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1035" windowWidth="14820" windowHeight="7785" tabRatio="894"/>
  </bookViews>
  <sheets>
    <sheet name="CDPS" sheetId="15" r:id="rId1"/>
    <sheet name="TH" sheetId="34" r:id="rId2"/>
    <sheet name="SC-I" sheetId="48" r:id="rId3"/>
    <sheet name="SC-II" sheetId="49" r:id="rId4"/>
    <sheet name="SC-III" sheetId="50" r:id="rId5"/>
    <sheet name="SC-IV" sheetId="51" r:id="rId6"/>
    <sheet name="CTTK" sheetId="47" r:id="rId7"/>
    <sheet name="111" sheetId="42" r:id="rId8"/>
    <sheet name="IN-TC" sheetId="39"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THEGT" sheetId="61" r:id="rId23"/>
    <sheet name="BK-NL" sheetId="69" r:id="rId24"/>
    <sheet name="SO-TS" sheetId="64" r:id="rId25"/>
    <sheet name="THE-TS" sheetId="68" r:id="rId26"/>
  </sheets>
  <externalReferences>
    <externalReference r:id="rId27"/>
    <externalReference r:id="rId28"/>
    <externalReference r:id="rId29"/>
  </externalReferences>
  <definedNames>
    <definedName name="_C111">TH!$S$10:$S$5716</definedName>
    <definedName name="_C112">TH!$V$10:$V$5716</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xlnm._FilterDatabase" localSheetId="7" hidden="1">'111'!$A$12:$J$180</definedName>
    <definedName name="_xlnm._FilterDatabase" localSheetId="9" hidden="1">'112'!$A$10:$K$80</definedName>
    <definedName name="_xlnm._FilterDatabase" localSheetId="12" hidden="1">'131'!$A$1:$N$32</definedName>
    <definedName name="_xlnm._FilterDatabase" localSheetId="13" hidden="1">'131-CT'!$A$15:$Q$38</definedName>
    <definedName name="_xlnm._FilterDatabase" localSheetId="15" hidden="1">'152-CT'!$A$12:$Q$37</definedName>
    <definedName name="_xlnm._FilterDatabase" localSheetId="10" hidden="1">'331'!$A$3:$I$79</definedName>
    <definedName name="_xlnm._FilterDatabase" localSheetId="11" hidden="1">'331-CT'!$A$12:$L$29</definedName>
    <definedName name="_xlnm._FilterDatabase" localSheetId="23" hidden="1">'BK-NL'!$A$13:$N$35</definedName>
    <definedName name="_xlnm._FilterDatabase" localSheetId="21" hidden="1">BTGT!$A$5:$Y$23</definedName>
    <definedName name="_xlnm._FilterDatabase" localSheetId="6" hidden="1">CTTK!$A$14:$J$33</definedName>
    <definedName name="_xlnm._FilterDatabase" localSheetId="14" hidden="1">NXT!$A$73:$U$119</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TH!$A$9:$AF$5717</definedName>
    <definedName name="_xlnm._FilterDatabase" localSheetId="20" hidden="1">TK!$A$1:$J$1</definedName>
    <definedName name="_N111">TH!$R$10:$R$5716</definedName>
    <definedName name="_N112">TH!$U$10:$U$5716</definedName>
    <definedName name="_TH">TH!$K$10:$K$5716</definedName>
    <definedName name="Bột_ngọt" localSheetId="14">NXT!$C$11:$C$112</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'131'!$B$5:$B$27</definedName>
    <definedName name="DSGT1">BTGT!$B$6:$B$16</definedName>
    <definedName name="DSGT10">BTGT!$B$197:$B$203</definedName>
    <definedName name="DSGT11">BTGT!$B$218:$B$224</definedName>
    <definedName name="DSGT12">BTGT!$B$256:$B$256</definedName>
    <definedName name="DSGT2">BTGT!$B$26:$B$28</definedName>
    <definedName name="DSGT3">BTGT!$B$43:$B$47</definedName>
    <definedName name="DSGT4">BTGT!$B$63:$B$67</definedName>
    <definedName name="DSGT5">BTGT!$B$80:$B$88</definedName>
    <definedName name="DSGT6">BTGT!$B$104:$B$130</definedName>
    <definedName name="DSGT7">BTGT!$B$140:$B$144</definedName>
    <definedName name="DSGT8">BTGT!$B$157:$B$162</definedName>
    <definedName name="DSGT9">BTGT!$B$175:$B$184</definedName>
    <definedName name="DSKH">'331'!$B$4:$B$78</definedName>
    <definedName name="DSKU">'341'!$B$23:$B$90</definedName>
    <definedName name="DSNL">NXT!$N$11:$S$551</definedName>
    <definedName name="DSSP1">BTGT!$B$6:$P$16</definedName>
    <definedName name="DSSP10">BTGT!$B$197:$P$203</definedName>
    <definedName name="DSSP11">BTGT!$B$218:$P$224</definedName>
    <definedName name="DSSP12">BTGT!$B$256:$P$256</definedName>
    <definedName name="DSSP2">BTGT!$B$26:$P$28</definedName>
    <definedName name="DSSP3">BTGT!$B$43:$P$47</definedName>
    <definedName name="DSSP4">BTGT!$B$63:$P$67</definedName>
    <definedName name="DSSP5">BTGT!$B$80:$P$88</definedName>
    <definedName name="DSSP6">BTGT!$B$104:$P$117</definedName>
    <definedName name="DSSP7">BTGT!$B$140:$P$144</definedName>
    <definedName name="DSSP8">BTGT!$B$157:$P$162</definedName>
    <definedName name="DSSP9">BTGT!$B$175:$P$184</definedName>
    <definedName name="DSTK">CDPS!$A$10:$D$78</definedName>
    <definedName name="DSTS1">'SO-TS'!$D$14:$D$35</definedName>
    <definedName name="DSTS2">'SO-TS'!$D$66:$D$67</definedName>
    <definedName name="KH">TH!$H$10:$H$5716</definedName>
    <definedName name="KHC">TH!$O$10:$O$5716</definedName>
    <definedName name="KHN">TH!$N$10:$N$5716</definedName>
    <definedName name="Loai">OFFSET(TH!$P$5,,,COUNTA(TH!$P$5:$P$9483))</definedName>
    <definedName name="Loai1">OFFSET(TH!$Q$5,,,COUNTA(TH!$Q$5:$Q$41349))</definedName>
    <definedName name="Loai10">OFFSET(TH!$AD$5,,,COUNTA(TH!$AD$5:$AD$41349))</definedName>
    <definedName name="Loai11">OFFSET(TH!$Y$5,,,COUNTA(TH!$Y$5:$Y$41349))</definedName>
    <definedName name="Loai2">OFFSET(TH!$T$5,,,COUNTA(TH!$T$5:$T$41349))</definedName>
    <definedName name="Loai3">OFFSET('SO-TS'!$P$13,,,COUNTA('SO-TS'!$P$13:$P$3937))</definedName>
    <definedName name="Loai4">OFFSET(TH!$W$5,,,COUNTA(TH!$W$5:$W$41349))</definedName>
    <definedName name="Loai5">OFFSET(TH!$X$5,,,COUNTA(TH!$X$5:$X$41349))</definedName>
    <definedName name="Loai6">OFFSET(TH!$Z$5,,,COUNTA(TH!$Z$5:$Z$41349))</definedName>
    <definedName name="Loai7">OFFSET(TH!$AA$5,,,COUNTA(TH!$AA$5:$AA$41349))</definedName>
    <definedName name="Loai8">OFFSET(TH!$AB$5,,,COUNTA(TH!$AB$5:$AB$41349))</definedName>
    <definedName name="Loai9">OFFSET(TH!$AC$5,,,COUNTA(TH!$AC$5:$AC$41349))</definedName>
    <definedName name="MH">TH!$F$10:$F$5716</definedName>
    <definedName name="NXT">NXT!$A$11:$A$433</definedName>
    <definedName name="_xlnm.Print_Area" localSheetId="7">'111'!$A$1:$J$193</definedName>
    <definedName name="_xlnm.Print_Area" localSheetId="9">'112'!$A$1:$I$90</definedName>
    <definedName name="_xlnm.Print_Area" localSheetId="15">'152-CT'!$B$2:$M$37</definedName>
    <definedName name="_xlnm.Print_Area" localSheetId="10">'331'!$A$1:$H$79</definedName>
    <definedName name="_xlnm.Print_Area" localSheetId="11">'331-CT'!$A$1:$J$57</definedName>
    <definedName name="_xlnm.Print_Area" localSheetId="16">'341'!$A$1:$P$96</definedName>
    <definedName name="_xlnm.Print_Area" localSheetId="17">'341-CT'!$A$1:$N$30</definedName>
    <definedName name="_xlnm.Print_Area" localSheetId="23">'BK-NL'!$A$1:$K$43</definedName>
    <definedName name="_xlnm.Print_Area" localSheetId="21">BTGT!$A$100:$P$163</definedName>
    <definedName name="_xlnm.Print_Area" localSheetId="0">CDPS!$A$8:$H$79</definedName>
    <definedName name="_xlnm.Print_Area" localSheetId="6">CTTK!$A$2:$I$40</definedName>
    <definedName name="_xlnm.Print_Area" localSheetId="19">'IN-NX'!$A$1:$I$30</definedName>
    <definedName name="_xlnm.Print_Area" localSheetId="8">'IN-TC'!$B$1:$O$28</definedName>
    <definedName name="_xlnm.Print_Area" localSheetId="14">NXT!$B$6:$L$118</definedName>
    <definedName name="_xlnm.Print_Area" localSheetId="5">'SC-IV'!$A$1:$BA$65</definedName>
    <definedName name="_xlnm.Print_Area" localSheetId="24">'SO-TS'!$A$1:$O$80</definedName>
    <definedName name="_xlnm.Print_Area" localSheetId="25">'THE-TS'!$A$2:$H$53</definedName>
    <definedName name="_xlnm.Print_Area" localSheetId="20">TK!$A$1:$J$38</definedName>
    <definedName name="_xlnm.Print_Titles" localSheetId="7">'111'!$10:$12</definedName>
    <definedName name="_xlnm.Print_Titles" localSheetId="9">'112'!$8:$10</definedName>
    <definedName name="_xlnm.Print_Titles" localSheetId="10">'331'!$2:$3</definedName>
    <definedName name="_xlnm.Print_Titles" localSheetId="11">'331-CT'!$10:$12</definedName>
    <definedName name="_xlnm.Print_Titles" localSheetId="23">'BK-NL'!$11:$13</definedName>
    <definedName name="_xlnm.Print_Titles" localSheetId="6">CTTK!$11:$13</definedName>
    <definedName name="_xlnm.Print_Titles" localSheetId="14">NXT!$7:$10</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TH!$I$10:$I$5716</definedName>
    <definedName name="TH">TH!$M$10:$M$5716</definedName>
    <definedName name="TM">TH!$A$10:$O$5716</definedName>
  </definedNames>
  <calcPr calcId="144525"/>
</workbook>
</file>

<file path=xl/calcChain.xml><?xml version="1.0" encoding="utf-8"?>
<calcChain xmlns="http://schemas.openxmlformats.org/spreadsheetml/2006/main">
  <c r="AC2475" i="34" l="1"/>
  <c r="AB2475" i="34"/>
  <c r="AA2475" i="34"/>
  <c r="Y2475" i="34"/>
  <c r="W2475" i="34"/>
  <c r="V2475" i="34"/>
  <c r="U2475" i="34"/>
  <c r="T2475" i="34"/>
  <c r="P2475" i="34"/>
  <c r="M2475" i="34"/>
  <c r="C2475" i="34"/>
  <c r="AD2475" i="34" s="1"/>
  <c r="AC2466" i="34"/>
  <c r="AB2466" i="34"/>
  <c r="AA2466" i="34"/>
  <c r="Y2466" i="34"/>
  <c r="W2466" i="34"/>
  <c r="V2466" i="34"/>
  <c r="U2466" i="34"/>
  <c r="T2466" i="34"/>
  <c r="P2466" i="34"/>
  <c r="C2466" i="34"/>
  <c r="AD2466" i="34" s="1"/>
  <c r="AC2465" i="34"/>
  <c r="AB2465" i="34"/>
  <c r="AA2465" i="34"/>
  <c r="Y2465" i="34"/>
  <c r="W2465" i="34"/>
  <c r="V2465" i="34"/>
  <c r="U2465" i="34"/>
  <c r="T2465" i="34"/>
  <c r="P2465" i="34"/>
  <c r="I2465" i="34"/>
  <c r="M2465" i="34" s="1"/>
  <c r="C2465" i="34"/>
  <c r="AD2465" i="34" s="1"/>
  <c r="AC2464" i="34"/>
  <c r="AB2464" i="34"/>
  <c r="AA2464" i="34"/>
  <c r="Y2464" i="34"/>
  <c r="W2464" i="34"/>
  <c r="V2464" i="34"/>
  <c r="U2464" i="34"/>
  <c r="T2464" i="34"/>
  <c r="P2464" i="34"/>
  <c r="M2464" i="34"/>
  <c r="C2464" i="34"/>
  <c r="AD2464" i="34" s="1"/>
  <c r="B2464" i="34"/>
  <c r="R2464" i="34" s="1"/>
  <c r="AC2463" i="34"/>
  <c r="AB2463" i="34"/>
  <c r="AA2463" i="34"/>
  <c r="Y2463" i="34"/>
  <c r="W2463" i="34"/>
  <c r="V2463" i="34"/>
  <c r="U2463" i="34"/>
  <c r="T2463" i="34"/>
  <c r="P2463" i="34"/>
  <c r="M2463" i="34"/>
  <c r="C2463" i="34"/>
  <c r="AD2463" i="34" s="1"/>
  <c r="AC2343" i="34"/>
  <c r="AB2343" i="34"/>
  <c r="AA2343" i="34"/>
  <c r="Y2343" i="34"/>
  <c r="W2343" i="34"/>
  <c r="V2343" i="34"/>
  <c r="U2343" i="34"/>
  <c r="T2343" i="34"/>
  <c r="P2343" i="34"/>
  <c r="M2343" i="34"/>
  <c r="C2343" i="34"/>
  <c r="AD2343" i="34" s="1"/>
  <c r="AC2423" i="34"/>
  <c r="AB2423" i="34"/>
  <c r="AA2423" i="34"/>
  <c r="Y2423" i="34"/>
  <c r="W2423" i="34"/>
  <c r="V2423" i="34"/>
  <c r="U2423" i="34"/>
  <c r="T2423" i="34"/>
  <c r="P2423" i="34"/>
  <c r="M2423" i="34"/>
  <c r="C2423" i="34"/>
  <c r="AD2423" i="34" s="1"/>
  <c r="D255" i="60"/>
  <c r="F255" i="60"/>
  <c r="C255" i="60"/>
  <c r="A255" i="60"/>
  <c r="I2466" i="34" l="1"/>
  <c r="M2466" i="34" s="1"/>
  <c r="A2464" i="34"/>
  <c r="B2475" i="34"/>
  <c r="B2463" i="34"/>
  <c r="S2464" i="34"/>
  <c r="B2465" i="34"/>
  <c r="Q2464" i="34"/>
  <c r="B2466" i="34"/>
  <c r="B2343" i="34"/>
  <c r="B2423" i="34"/>
  <c r="G255" i="60"/>
  <c r="C5714" i="34"/>
  <c r="B5714" i="34" s="1"/>
  <c r="A5714" i="34" s="1"/>
  <c r="AC3715" i="34"/>
  <c r="AB3715" i="34"/>
  <c r="Y3715" i="34"/>
  <c r="W3715" i="34"/>
  <c r="V3715" i="34"/>
  <c r="U3715" i="34"/>
  <c r="T3715" i="34"/>
  <c r="P3715" i="34"/>
  <c r="C3715" i="34"/>
  <c r="AD3715" i="34" s="1"/>
  <c r="AC4594" i="34"/>
  <c r="AB4594" i="34"/>
  <c r="Y4594" i="34"/>
  <c r="W4594" i="34"/>
  <c r="V4594" i="34"/>
  <c r="U4594" i="34"/>
  <c r="T4594" i="34"/>
  <c r="P4594" i="34"/>
  <c r="C4594" i="34"/>
  <c r="AD4594" i="34" s="1"/>
  <c r="AC4388" i="34"/>
  <c r="AB4388" i="34"/>
  <c r="Y4388" i="34"/>
  <c r="W4388" i="34"/>
  <c r="V4388" i="34"/>
  <c r="U4388" i="34"/>
  <c r="T4388" i="34"/>
  <c r="P4388" i="34"/>
  <c r="C4388" i="34"/>
  <c r="B4388" i="34" s="1"/>
  <c r="AC4227" i="34"/>
  <c r="AB4227" i="34"/>
  <c r="Y4227" i="34"/>
  <c r="W4227" i="34"/>
  <c r="V4227" i="34"/>
  <c r="U4227" i="34"/>
  <c r="T4227" i="34"/>
  <c r="P4227" i="34"/>
  <c r="C4227" i="34"/>
  <c r="B4227" i="34" s="1"/>
  <c r="AC4035" i="34"/>
  <c r="AB4035" i="34"/>
  <c r="Y4035" i="34"/>
  <c r="W4035" i="34"/>
  <c r="V4035" i="34"/>
  <c r="U4035" i="34"/>
  <c r="T4035" i="34"/>
  <c r="P4035" i="34"/>
  <c r="C4035" i="34"/>
  <c r="B4035" i="34" s="1"/>
  <c r="AC5282" i="34"/>
  <c r="AB5282" i="34"/>
  <c r="Y5282" i="34"/>
  <c r="W5282" i="34"/>
  <c r="V5282" i="34"/>
  <c r="U5282" i="34"/>
  <c r="T5282" i="34"/>
  <c r="P5282" i="34"/>
  <c r="C5282" i="34"/>
  <c r="AD5282" i="34" s="1"/>
  <c r="AC4999" i="34"/>
  <c r="AB4999" i="34"/>
  <c r="Y4999" i="34"/>
  <c r="W4999" i="34"/>
  <c r="V4999" i="34"/>
  <c r="U4999" i="34"/>
  <c r="T4999" i="34"/>
  <c r="P4999" i="34"/>
  <c r="C4999" i="34"/>
  <c r="B4999" i="34" s="1"/>
  <c r="AC5396" i="34"/>
  <c r="AB5396" i="34"/>
  <c r="Y5396" i="34"/>
  <c r="W5396" i="34"/>
  <c r="V5396" i="34"/>
  <c r="U5396" i="34"/>
  <c r="T5396" i="34"/>
  <c r="P5396" i="34"/>
  <c r="C5396" i="34"/>
  <c r="AD5396" i="34" s="1"/>
  <c r="C3714" i="34"/>
  <c r="AD3714" i="34" s="1"/>
  <c r="C4029" i="34"/>
  <c r="AD4029" i="34" s="1"/>
  <c r="C4226" i="34"/>
  <c r="B4226" i="34" s="1"/>
  <c r="Q4226" i="34" s="1"/>
  <c r="C4574" i="34"/>
  <c r="B4574" i="34" s="1"/>
  <c r="Q4574" i="34" s="1"/>
  <c r="C4593" i="34"/>
  <c r="B4593" i="34" s="1"/>
  <c r="Q4593" i="34" s="1"/>
  <c r="C4998" i="34"/>
  <c r="AD4998" i="34" s="1"/>
  <c r="C5395" i="34"/>
  <c r="B5395" i="34" s="1"/>
  <c r="Q5395" i="34" s="1"/>
  <c r="C5505" i="34"/>
  <c r="C5713" i="34"/>
  <c r="B5713" i="34" s="1"/>
  <c r="Q5713" i="34" s="1"/>
  <c r="C5506" i="34"/>
  <c r="AC4998" i="34"/>
  <c r="AB4998" i="34"/>
  <c r="Y4998" i="34"/>
  <c r="W4998" i="34"/>
  <c r="V4998" i="34"/>
  <c r="U4998" i="34"/>
  <c r="T4998" i="34"/>
  <c r="P4998" i="34"/>
  <c r="AC4593" i="34"/>
  <c r="AB4593" i="34"/>
  <c r="Y4593" i="34"/>
  <c r="W4593" i="34"/>
  <c r="V4593" i="34"/>
  <c r="U4593" i="34"/>
  <c r="T4593" i="34"/>
  <c r="P4593" i="34"/>
  <c r="AD4574" i="34"/>
  <c r="AC4574" i="34"/>
  <c r="AB4574" i="34"/>
  <c r="Y4574" i="34"/>
  <c r="W4574" i="34"/>
  <c r="V4574" i="34"/>
  <c r="U4574" i="34"/>
  <c r="T4574" i="34"/>
  <c r="P4574" i="34"/>
  <c r="AC4226" i="34"/>
  <c r="AB4226" i="34"/>
  <c r="Y4226" i="34"/>
  <c r="W4226" i="34"/>
  <c r="V4226" i="34"/>
  <c r="U4226" i="34"/>
  <c r="T4226" i="34"/>
  <c r="P4226" i="34"/>
  <c r="AC4029" i="34"/>
  <c r="AB4029" i="34"/>
  <c r="Y4029" i="34"/>
  <c r="W4029" i="34"/>
  <c r="V4029" i="34"/>
  <c r="U4029" i="34"/>
  <c r="T4029" i="34"/>
  <c r="P4029" i="34"/>
  <c r="B4029" i="34"/>
  <c r="Q4029" i="34" s="1"/>
  <c r="AC3714" i="34"/>
  <c r="AB3714" i="34"/>
  <c r="Y3714" i="34"/>
  <c r="W3714" i="34"/>
  <c r="V3714" i="34"/>
  <c r="U3714" i="34"/>
  <c r="T3714" i="34"/>
  <c r="P3714" i="34"/>
  <c r="AD5713" i="34"/>
  <c r="AC5713" i="34"/>
  <c r="AB5713" i="34"/>
  <c r="Y5713" i="34"/>
  <c r="W5713" i="34"/>
  <c r="V5713" i="34"/>
  <c r="U5713" i="34"/>
  <c r="T5713" i="34"/>
  <c r="P5713" i="34"/>
  <c r="AD5505" i="34"/>
  <c r="AC5505" i="34"/>
  <c r="AB5505" i="34"/>
  <c r="Y5505" i="34"/>
  <c r="W5505" i="34"/>
  <c r="V5505" i="34"/>
  <c r="U5505" i="34"/>
  <c r="T5505" i="34"/>
  <c r="P5505" i="34"/>
  <c r="B5505" i="34"/>
  <c r="Q5505" i="34" s="1"/>
  <c r="AC5395" i="34"/>
  <c r="AB5395" i="34"/>
  <c r="Y5395" i="34"/>
  <c r="W5395" i="34"/>
  <c r="V5395" i="34"/>
  <c r="U5395" i="34"/>
  <c r="T5395" i="34"/>
  <c r="P5395" i="34"/>
  <c r="Q2475" i="34" l="1"/>
  <c r="A2475" i="34"/>
  <c r="S2475" i="34"/>
  <c r="R2475" i="34"/>
  <c r="S2465" i="34"/>
  <c r="A2465" i="34"/>
  <c r="R2465" i="34"/>
  <c r="Q2465" i="34"/>
  <c r="Q2466" i="34"/>
  <c r="A2466" i="34"/>
  <c r="S2466" i="34"/>
  <c r="R2466" i="34"/>
  <c r="A2463" i="34"/>
  <c r="S2463" i="34"/>
  <c r="R2463" i="34"/>
  <c r="Q2463" i="34"/>
  <c r="Q2343" i="34"/>
  <c r="A2343" i="34"/>
  <c r="S2343" i="34"/>
  <c r="R2343" i="34"/>
  <c r="Q2423" i="34"/>
  <c r="A2423" i="34"/>
  <c r="R2423" i="34"/>
  <c r="S2423" i="34"/>
  <c r="AD5395" i="34"/>
  <c r="AD4226" i="34"/>
  <c r="B4594" i="34"/>
  <c r="Q4594" i="34" s="1"/>
  <c r="AD4035" i="34"/>
  <c r="B3715" i="34"/>
  <c r="R4388" i="34"/>
  <c r="Q4388" i="34"/>
  <c r="A4388" i="34"/>
  <c r="S4388" i="34"/>
  <c r="S4227" i="34"/>
  <c r="R4227" i="34"/>
  <c r="Q4227" i="34"/>
  <c r="A4227" i="34"/>
  <c r="S4035" i="34"/>
  <c r="R4035" i="34"/>
  <c r="Q4035" i="34"/>
  <c r="A4035" i="34"/>
  <c r="R4594" i="34"/>
  <c r="B3714" i="34"/>
  <c r="Q3714" i="34" s="1"/>
  <c r="AD4593" i="34"/>
  <c r="AD4999" i="34"/>
  <c r="AD4227" i="34"/>
  <c r="S4594" i="34"/>
  <c r="AD4388" i="34"/>
  <c r="A4594" i="34"/>
  <c r="R4999" i="34"/>
  <c r="Q4999" i="34"/>
  <c r="A4999" i="34"/>
  <c r="S4999" i="34"/>
  <c r="B5282" i="34"/>
  <c r="B5396" i="34"/>
  <c r="B4998" i="34"/>
  <c r="Q4998" i="34" s="1"/>
  <c r="A4029" i="34"/>
  <c r="R4029" i="34"/>
  <c r="A4226" i="34"/>
  <c r="R4226" i="34"/>
  <c r="A4574" i="34"/>
  <c r="R4574" i="34"/>
  <c r="A4593" i="34"/>
  <c r="R4593" i="34"/>
  <c r="S3714" i="34"/>
  <c r="S4029" i="34"/>
  <c r="S4226" i="34"/>
  <c r="S4574" i="34"/>
  <c r="S4593" i="34"/>
  <c r="A5395" i="34"/>
  <c r="R5395" i="34"/>
  <c r="A5505" i="34"/>
  <c r="R5505" i="34"/>
  <c r="A5713" i="34"/>
  <c r="R5713" i="34"/>
  <c r="S5395" i="34"/>
  <c r="S5505" i="34"/>
  <c r="S5713" i="34"/>
  <c r="R3714" i="34" l="1"/>
  <c r="S4998" i="34"/>
  <c r="A3714" i="34"/>
  <c r="Q3715" i="34"/>
  <c r="A3715" i="34"/>
  <c r="S3715" i="34"/>
  <c r="R3715" i="34"/>
  <c r="Q5282" i="34"/>
  <c r="A5282" i="34"/>
  <c r="S5282" i="34"/>
  <c r="R5282" i="34"/>
  <c r="Q5396" i="34"/>
  <c r="A5396" i="34"/>
  <c r="S5396" i="34"/>
  <c r="R5396" i="34"/>
  <c r="R4998" i="34"/>
  <c r="A4998" i="34"/>
  <c r="AC5508" i="34" l="1"/>
  <c r="AB5508" i="34"/>
  <c r="Y5508" i="34"/>
  <c r="W5508" i="34"/>
  <c r="V5508" i="34"/>
  <c r="U5508" i="34"/>
  <c r="T5508" i="34"/>
  <c r="P5508" i="34"/>
  <c r="C5508" i="34"/>
  <c r="AD5508" i="34" s="1"/>
  <c r="AC5507" i="34"/>
  <c r="AB5507" i="34"/>
  <c r="Y5507" i="34"/>
  <c r="W5507" i="34"/>
  <c r="V5507" i="34"/>
  <c r="U5507" i="34"/>
  <c r="T5507" i="34"/>
  <c r="P5507" i="34"/>
  <c r="C5507" i="34"/>
  <c r="B5507" i="34" s="1"/>
  <c r="AC5382" i="34"/>
  <c r="AB5382" i="34"/>
  <c r="Y5382" i="34"/>
  <c r="W5382" i="34"/>
  <c r="V5382" i="34"/>
  <c r="U5382" i="34"/>
  <c r="T5382" i="34"/>
  <c r="P5382" i="34"/>
  <c r="C5382" i="34"/>
  <c r="AD5382" i="34" s="1"/>
  <c r="AC5381" i="34"/>
  <c r="AB5381" i="34"/>
  <c r="Y5381" i="34"/>
  <c r="W5381" i="34"/>
  <c r="V5381" i="34"/>
  <c r="U5381" i="34"/>
  <c r="T5381" i="34"/>
  <c r="P5381" i="34"/>
  <c r="C5381" i="34"/>
  <c r="B5381" i="34" s="1"/>
  <c r="AC5394" i="34"/>
  <c r="AB5394" i="34"/>
  <c r="Y5394" i="34"/>
  <c r="W5394" i="34"/>
  <c r="V5394" i="34"/>
  <c r="U5394" i="34"/>
  <c r="T5394" i="34"/>
  <c r="P5394" i="34"/>
  <c r="C5394" i="34"/>
  <c r="AD5394" i="34" s="1"/>
  <c r="AC5393" i="34"/>
  <c r="AB5393" i="34"/>
  <c r="Y5393" i="34"/>
  <c r="W5393" i="34"/>
  <c r="V5393" i="34"/>
  <c r="U5393" i="34"/>
  <c r="T5393" i="34"/>
  <c r="P5393" i="34"/>
  <c r="C5393" i="34"/>
  <c r="B5393" i="34" s="1"/>
  <c r="AC5049" i="34"/>
  <c r="AB5049" i="34"/>
  <c r="Y5049" i="34"/>
  <c r="W5049" i="34"/>
  <c r="V5049" i="34"/>
  <c r="U5049" i="34"/>
  <c r="T5049" i="34"/>
  <c r="P5049" i="34"/>
  <c r="C5049" i="34"/>
  <c r="AD5049" i="34" s="1"/>
  <c r="AC5048" i="34"/>
  <c r="AB5048" i="34"/>
  <c r="Y5048" i="34"/>
  <c r="W5048" i="34"/>
  <c r="V5048" i="34"/>
  <c r="U5048" i="34"/>
  <c r="T5048" i="34"/>
  <c r="P5048" i="34"/>
  <c r="C5048" i="34"/>
  <c r="B5048" i="34" s="1"/>
  <c r="AC4997" i="34"/>
  <c r="AB4997" i="34"/>
  <c r="Y4997" i="34"/>
  <c r="W4997" i="34"/>
  <c r="V4997" i="34"/>
  <c r="U4997" i="34"/>
  <c r="T4997" i="34"/>
  <c r="P4997" i="34"/>
  <c r="C4997" i="34"/>
  <c r="AD4997" i="34" s="1"/>
  <c r="AC4996" i="34"/>
  <c r="AB4996" i="34"/>
  <c r="Y4996" i="34"/>
  <c r="W4996" i="34"/>
  <c r="V4996" i="34"/>
  <c r="U4996" i="34"/>
  <c r="T4996" i="34"/>
  <c r="P4996" i="34"/>
  <c r="C4996" i="34"/>
  <c r="B4996" i="34" s="1"/>
  <c r="AD5381" i="34" l="1"/>
  <c r="AD5507" i="34"/>
  <c r="R5507" i="34"/>
  <c r="Q5507" i="34"/>
  <c r="A5507" i="34"/>
  <c r="S5507" i="34"/>
  <c r="B5508" i="34"/>
  <c r="R5381" i="34"/>
  <c r="Q5381" i="34"/>
  <c r="A5381" i="34"/>
  <c r="S5381" i="34"/>
  <c r="B5382" i="34"/>
  <c r="B5049" i="34"/>
  <c r="Q5049" i="34" s="1"/>
  <c r="AD5393" i="34"/>
  <c r="R5393" i="34"/>
  <c r="Q5393" i="34"/>
  <c r="A5393" i="34"/>
  <c r="S5393" i="34"/>
  <c r="B5394" i="34"/>
  <c r="R5048" i="34"/>
  <c r="Q5048" i="34"/>
  <c r="A5048" i="34"/>
  <c r="S5048" i="34"/>
  <c r="AD5048" i="34"/>
  <c r="AD4996" i="34"/>
  <c r="R4996" i="34"/>
  <c r="Q4996" i="34"/>
  <c r="A4996" i="34"/>
  <c r="S4996" i="34"/>
  <c r="B4997" i="34"/>
  <c r="AC4990" i="34"/>
  <c r="AB4990" i="34"/>
  <c r="Y4990" i="34"/>
  <c r="W4990" i="34"/>
  <c r="V4990" i="34"/>
  <c r="U4990" i="34"/>
  <c r="T4990" i="34"/>
  <c r="P4990" i="34"/>
  <c r="C4990" i="34"/>
  <c r="AD4990" i="34" s="1"/>
  <c r="AC4989" i="34"/>
  <c r="AB4989" i="34"/>
  <c r="Y4989" i="34"/>
  <c r="W4989" i="34"/>
  <c r="V4989" i="34"/>
  <c r="U4989" i="34"/>
  <c r="T4989" i="34"/>
  <c r="P4989" i="34"/>
  <c r="C4989" i="34"/>
  <c r="B4989" i="34" s="1"/>
  <c r="A4989" i="34" s="1"/>
  <c r="AC4949" i="34"/>
  <c r="AB4949" i="34"/>
  <c r="Y4949" i="34"/>
  <c r="W4949" i="34"/>
  <c r="V4949" i="34"/>
  <c r="U4949" i="34"/>
  <c r="T4949" i="34"/>
  <c r="P4949" i="34"/>
  <c r="C4949" i="34"/>
  <c r="AD4949" i="34" s="1"/>
  <c r="AC4948" i="34"/>
  <c r="AB4948" i="34"/>
  <c r="Y4948" i="34"/>
  <c r="W4948" i="34"/>
  <c r="V4948" i="34"/>
  <c r="U4948" i="34"/>
  <c r="T4948" i="34"/>
  <c r="P4948" i="34"/>
  <c r="C4948" i="34"/>
  <c r="B4948" i="34" s="1"/>
  <c r="A4948" i="34" s="1"/>
  <c r="AC4768" i="34"/>
  <c r="AB4768" i="34"/>
  <c r="Y4768" i="34"/>
  <c r="W4768" i="34"/>
  <c r="V4768" i="34"/>
  <c r="U4768" i="34"/>
  <c r="T4768" i="34"/>
  <c r="P4768" i="34"/>
  <c r="C4768" i="34"/>
  <c r="AD4768" i="34" s="1"/>
  <c r="AC4767" i="34"/>
  <c r="AB4767" i="34"/>
  <c r="Y4767" i="34"/>
  <c r="W4767" i="34"/>
  <c r="V4767" i="34"/>
  <c r="U4767" i="34"/>
  <c r="T4767" i="34"/>
  <c r="P4767" i="34"/>
  <c r="C4767" i="34"/>
  <c r="B4767" i="34" s="1"/>
  <c r="A4767" i="34" s="1"/>
  <c r="AC4566" i="34"/>
  <c r="AB4566" i="34"/>
  <c r="Y4566" i="34"/>
  <c r="W4566" i="34"/>
  <c r="V4566" i="34"/>
  <c r="U4566" i="34"/>
  <c r="T4566" i="34"/>
  <c r="P4566" i="34"/>
  <c r="C4566" i="34"/>
  <c r="AD4566" i="34" s="1"/>
  <c r="AC4565" i="34"/>
  <c r="AB4565" i="34"/>
  <c r="Y4565" i="34"/>
  <c r="W4565" i="34"/>
  <c r="V4565" i="34"/>
  <c r="U4565" i="34"/>
  <c r="T4565" i="34"/>
  <c r="P4565" i="34"/>
  <c r="C4565" i="34"/>
  <c r="B4565" i="34" s="1"/>
  <c r="A4565" i="34" s="1"/>
  <c r="AC4564" i="34"/>
  <c r="AB4564" i="34"/>
  <c r="Y4564" i="34"/>
  <c r="W4564" i="34"/>
  <c r="V4564" i="34"/>
  <c r="U4564" i="34"/>
  <c r="T4564" i="34"/>
  <c r="P4564" i="34"/>
  <c r="C4564" i="34"/>
  <c r="AD4564" i="34" s="1"/>
  <c r="AC4234" i="34"/>
  <c r="AB4234" i="34"/>
  <c r="Y4234" i="34"/>
  <c r="W4234" i="34"/>
  <c r="V4234" i="34"/>
  <c r="U4234" i="34"/>
  <c r="T4234" i="34"/>
  <c r="P4234" i="34"/>
  <c r="C4234" i="34"/>
  <c r="AD4234" i="34" s="1"/>
  <c r="AC4233" i="34"/>
  <c r="AB4233" i="34"/>
  <c r="Y4233" i="34"/>
  <c r="W4233" i="34"/>
  <c r="V4233" i="34"/>
  <c r="U4233" i="34"/>
  <c r="T4233" i="34"/>
  <c r="P4233" i="34"/>
  <c r="C4233" i="34"/>
  <c r="B4233" i="34" s="1"/>
  <c r="A4233" i="34" s="1"/>
  <c r="C4034" i="34"/>
  <c r="AD4034" i="34" s="1"/>
  <c r="C3722" i="34"/>
  <c r="C3658" i="34"/>
  <c r="AD3658" i="34" s="1"/>
  <c r="C3656" i="34"/>
  <c r="AD3656" i="34" s="1"/>
  <c r="C3474" i="34"/>
  <c r="AD3474" i="34" s="1"/>
  <c r="C4033" i="34"/>
  <c r="C3721" i="34"/>
  <c r="B3721" i="34" s="1"/>
  <c r="A3721" i="34" s="1"/>
  <c r="C3657" i="34"/>
  <c r="C3655" i="34"/>
  <c r="B3655" i="34" s="1"/>
  <c r="A3655" i="34" s="1"/>
  <c r="C3497" i="34"/>
  <c r="C3473" i="34"/>
  <c r="B3473" i="34" s="1"/>
  <c r="A3473" i="34" s="1"/>
  <c r="C5712" i="34"/>
  <c r="C5711" i="34"/>
  <c r="C5710" i="34"/>
  <c r="C5709" i="34"/>
  <c r="C5708" i="34"/>
  <c r="C5707" i="34"/>
  <c r="C5706" i="34"/>
  <c r="C5705" i="34"/>
  <c r="C5704" i="34"/>
  <c r="C5703" i="34"/>
  <c r="C5702" i="34"/>
  <c r="C5701" i="34"/>
  <c r="C5700" i="34"/>
  <c r="C5699" i="34"/>
  <c r="C5698" i="34"/>
  <c r="C5697" i="34"/>
  <c r="C5696" i="34"/>
  <c r="C5695" i="34"/>
  <c r="C5694" i="34"/>
  <c r="C5693" i="34"/>
  <c r="C5692" i="34"/>
  <c r="C5691" i="34"/>
  <c r="C5690" i="34"/>
  <c r="C5689" i="34"/>
  <c r="C5688" i="34"/>
  <c r="C5687" i="34"/>
  <c r="C5686" i="34"/>
  <c r="C5685" i="34"/>
  <c r="C5684" i="34"/>
  <c r="C5683" i="34"/>
  <c r="C5682" i="34"/>
  <c r="C5681" i="34"/>
  <c r="C5680" i="34"/>
  <c r="C5679" i="34"/>
  <c r="C5678" i="34"/>
  <c r="C5677" i="34"/>
  <c r="C5676" i="34"/>
  <c r="C5675" i="34"/>
  <c r="C5674" i="34"/>
  <c r="C5673" i="34"/>
  <c r="C5672" i="34"/>
  <c r="C5671" i="34"/>
  <c r="C5670" i="34"/>
  <c r="C5669" i="34"/>
  <c r="C5668" i="34"/>
  <c r="C5667" i="34"/>
  <c r="C5666" i="34"/>
  <c r="C5665" i="34"/>
  <c r="C5664" i="34"/>
  <c r="C5663" i="34"/>
  <c r="C5662" i="34"/>
  <c r="C5661" i="34"/>
  <c r="C5660" i="34"/>
  <c r="C5659" i="34"/>
  <c r="C5658" i="34"/>
  <c r="C5657" i="34"/>
  <c r="C5656" i="34"/>
  <c r="C5655" i="34"/>
  <c r="C5654" i="34"/>
  <c r="C5653" i="34"/>
  <c r="C5652" i="34"/>
  <c r="C5651" i="34"/>
  <c r="C5650" i="34"/>
  <c r="C5649" i="34"/>
  <c r="C5648" i="34"/>
  <c r="C5647" i="34"/>
  <c r="C5646" i="34"/>
  <c r="C5645" i="34"/>
  <c r="C5644" i="34"/>
  <c r="C5643" i="34"/>
  <c r="C5642" i="34"/>
  <c r="C5641" i="34"/>
  <c r="C5640" i="34"/>
  <c r="C5639" i="34"/>
  <c r="C5638" i="34"/>
  <c r="C5637" i="34"/>
  <c r="C5636" i="34"/>
  <c r="C5635" i="34"/>
  <c r="C5634" i="34"/>
  <c r="C5633" i="34"/>
  <c r="C5632" i="34"/>
  <c r="C5631" i="34"/>
  <c r="C5630" i="34"/>
  <c r="C5629" i="34"/>
  <c r="C5628" i="34"/>
  <c r="C5627" i="34"/>
  <c r="C5626" i="34"/>
  <c r="C5625" i="34"/>
  <c r="C5624" i="34"/>
  <c r="C5623" i="34"/>
  <c r="C5622" i="34"/>
  <c r="C5621" i="34"/>
  <c r="C5620" i="34"/>
  <c r="C5619" i="34"/>
  <c r="C5618" i="34"/>
  <c r="C5617" i="34"/>
  <c r="C5616" i="34"/>
  <c r="C5615" i="34"/>
  <c r="C5614" i="34"/>
  <c r="C5613" i="34"/>
  <c r="C5612" i="34"/>
  <c r="C5611" i="34"/>
  <c r="C5610" i="34"/>
  <c r="C5609" i="34"/>
  <c r="C5608" i="34"/>
  <c r="C5607" i="34"/>
  <c r="C5606" i="34"/>
  <c r="C5605" i="34"/>
  <c r="C5604" i="34"/>
  <c r="C5603" i="34"/>
  <c r="C5602" i="34"/>
  <c r="C5601" i="34"/>
  <c r="C5600" i="34"/>
  <c r="C5599" i="34"/>
  <c r="C5598" i="34"/>
  <c r="C5597" i="34"/>
  <c r="C5596" i="34"/>
  <c r="C5595" i="34"/>
  <c r="C5594" i="34"/>
  <c r="C5593" i="34"/>
  <c r="C5592" i="34"/>
  <c r="C5591" i="34"/>
  <c r="C5590" i="34"/>
  <c r="C5589" i="34"/>
  <c r="C5588" i="34"/>
  <c r="C5587" i="34"/>
  <c r="C5586" i="34"/>
  <c r="C5585" i="34"/>
  <c r="C5584" i="34"/>
  <c r="C5583" i="34"/>
  <c r="C5582" i="34"/>
  <c r="C5581" i="34"/>
  <c r="C5580" i="34"/>
  <c r="C5579" i="34"/>
  <c r="C5578" i="34"/>
  <c r="C5577" i="34"/>
  <c r="C5576" i="34"/>
  <c r="C5575" i="34"/>
  <c r="C5574" i="34"/>
  <c r="C5573" i="34"/>
  <c r="C5572" i="34"/>
  <c r="C5571" i="34"/>
  <c r="C5570" i="34"/>
  <c r="C5569" i="34"/>
  <c r="C5568" i="34"/>
  <c r="C5567" i="34"/>
  <c r="C5566" i="34"/>
  <c r="C5565" i="34"/>
  <c r="C5564" i="34"/>
  <c r="C5563" i="34"/>
  <c r="C5562" i="34"/>
  <c r="C5561" i="34"/>
  <c r="C5560" i="34"/>
  <c r="C5559" i="34"/>
  <c r="C5558" i="34"/>
  <c r="C5557" i="34"/>
  <c r="C5556" i="34"/>
  <c r="C5555" i="34"/>
  <c r="C5554" i="34"/>
  <c r="C5553" i="34"/>
  <c r="C5552" i="34"/>
  <c r="C5551" i="34"/>
  <c r="C5550" i="34"/>
  <c r="C5549" i="34"/>
  <c r="C5548" i="34"/>
  <c r="C5547" i="34"/>
  <c r="C5546" i="34"/>
  <c r="C5545" i="34"/>
  <c r="C5544" i="34"/>
  <c r="C5543" i="34"/>
  <c r="C5542" i="34"/>
  <c r="C5541" i="34"/>
  <c r="C5540" i="34"/>
  <c r="C5539" i="34"/>
  <c r="C5532" i="34"/>
  <c r="C5531" i="34"/>
  <c r="C5530" i="34"/>
  <c r="C5529" i="34"/>
  <c r="C5528" i="34"/>
  <c r="C5538" i="34"/>
  <c r="C5537" i="34"/>
  <c r="C5536" i="34"/>
  <c r="C5535" i="34"/>
  <c r="C5534" i="34"/>
  <c r="C5533" i="34"/>
  <c r="C5527" i="34"/>
  <c r="C5526" i="34"/>
  <c r="C5525" i="34"/>
  <c r="C5524" i="34"/>
  <c r="C5523" i="34"/>
  <c r="C5522" i="34"/>
  <c r="C5521" i="34"/>
  <c r="C5520" i="34"/>
  <c r="C5519" i="34"/>
  <c r="C5518" i="34"/>
  <c r="C5517" i="34"/>
  <c r="C5516" i="34"/>
  <c r="C5515" i="34"/>
  <c r="C5514" i="34"/>
  <c r="C5513" i="34"/>
  <c r="C5512" i="34"/>
  <c r="C5511" i="34"/>
  <c r="C5510" i="34"/>
  <c r="C5509" i="34"/>
  <c r="C5504" i="34"/>
  <c r="C5503" i="34"/>
  <c r="C5502" i="34"/>
  <c r="C5501" i="34"/>
  <c r="C5500" i="34"/>
  <c r="C5499" i="34"/>
  <c r="C5498" i="34"/>
  <c r="C5497" i="34"/>
  <c r="C5496" i="34"/>
  <c r="C5495" i="34"/>
  <c r="C5494" i="34"/>
  <c r="C5493" i="34"/>
  <c r="C5492" i="34"/>
  <c r="C5491" i="34"/>
  <c r="C5490" i="34"/>
  <c r="C5489" i="34"/>
  <c r="C5488" i="34"/>
  <c r="C5487" i="34"/>
  <c r="C5486" i="34"/>
  <c r="C5485" i="34"/>
  <c r="C5484" i="34"/>
  <c r="C5483" i="34"/>
  <c r="C5482" i="34"/>
  <c r="C5481" i="34"/>
  <c r="C5480" i="34"/>
  <c r="C5479" i="34"/>
  <c r="C5478" i="34"/>
  <c r="C5477" i="34"/>
  <c r="C5476" i="34"/>
  <c r="C5475" i="34"/>
  <c r="C5474" i="34"/>
  <c r="C5473" i="34"/>
  <c r="C5472" i="34"/>
  <c r="C5471" i="34"/>
  <c r="C5470" i="34"/>
  <c r="C5469" i="34"/>
  <c r="C5468" i="34"/>
  <c r="C5467" i="34"/>
  <c r="C5466" i="34"/>
  <c r="C5465" i="34"/>
  <c r="C5464" i="34"/>
  <c r="C5463" i="34"/>
  <c r="C5462" i="34"/>
  <c r="C5461" i="34"/>
  <c r="C5460" i="34"/>
  <c r="C5459" i="34"/>
  <c r="C5458" i="34"/>
  <c r="C5457" i="34"/>
  <c r="C5456" i="34"/>
  <c r="C5455" i="34"/>
  <c r="C5454" i="34"/>
  <c r="C5453" i="34"/>
  <c r="C5452" i="34"/>
  <c r="C5451" i="34"/>
  <c r="C5450" i="34"/>
  <c r="C5449" i="34"/>
  <c r="C5448" i="34"/>
  <c r="C5447" i="34"/>
  <c r="C5446" i="34"/>
  <c r="C5445" i="34"/>
  <c r="C5444" i="34"/>
  <c r="C5443" i="34"/>
  <c r="C5442" i="34"/>
  <c r="C5441" i="34"/>
  <c r="C5440" i="34"/>
  <c r="C5439" i="34"/>
  <c r="C5438" i="34"/>
  <c r="C5437" i="34"/>
  <c r="C5436" i="34"/>
  <c r="C5435" i="34"/>
  <c r="C5434" i="34"/>
  <c r="C5433" i="34"/>
  <c r="C5432" i="34"/>
  <c r="C5431" i="34"/>
  <c r="C5430" i="34"/>
  <c r="C5429" i="34"/>
  <c r="C5428" i="34"/>
  <c r="C5427" i="34"/>
  <c r="C5426" i="34"/>
  <c r="C5425" i="34"/>
  <c r="C5424" i="34"/>
  <c r="C5423" i="34"/>
  <c r="C5422" i="34"/>
  <c r="C5421" i="34"/>
  <c r="C5420" i="34"/>
  <c r="C5419" i="34"/>
  <c r="C5418" i="34"/>
  <c r="C5417" i="34"/>
  <c r="C5416" i="34"/>
  <c r="C5415" i="34"/>
  <c r="C5414" i="34"/>
  <c r="C5413" i="34"/>
  <c r="C5412" i="34"/>
  <c r="C5411" i="34"/>
  <c r="C5410" i="34"/>
  <c r="C5409" i="34"/>
  <c r="C5408" i="34"/>
  <c r="C5407" i="34"/>
  <c r="C5406" i="34"/>
  <c r="C5405" i="34"/>
  <c r="C5404" i="34"/>
  <c r="C5403" i="34"/>
  <c r="C5402" i="34"/>
  <c r="C5401" i="34"/>
  <c r="C5400" i="34"/>
  <c r="C5399" i="34"/>
  <c r="C5398" i="34"/>
  <c r="C5397" i="34"/>
  <c r="C5390" i="34"/>
  <c r="C5389" i="34"/>
  <c r="C5388" i="34"/>
  <c r="C5387" i="34"/>
  <c r="C5386" i="34"/>
  <c r="C5385" i="34"/>
  <c r="C5384" i="34"/>
  <c r="C5383" i="34"/>
  <c r="C5392" i="34"/>
  <c r="C5391" i="34"/>
  <c r="C5380" i="34"/>
  <c r="C5379" i="34"/>
  <c r="C5378" i="34"/>
  <c r="C5377" i="34"/>
  <c r="C5376" i="34"/>
  <c r="C5375" i="34"/>
  <c r="C5374" i="34"/>
  <c r="C5373" i="34"/>
  <c r="C5372" i="34"/>
  <c r="C5371" i="34"/>
  <c r="C5370" i="34"/>
  <c r="C5369" i="34"/>
  <c r="C5368" i="34"/>
  <c r="C5367" i="34"/>
  <c r="C5366" i="34"/>
  <c r="C5365" i="34"/>
  <c r="C5364" i="34"/>
  <c r="C5363" i="34"/>
  <c r="C5362" i="34"/>
  <c r="C5361" i="34"/>
  <c r="C5360" i="34"/>
  <c r="C5359" i="34"/>
  <c r="C5358" i="34"/>
  <c r="C5357" i="34"/>
  <c r="C5356" i="34"/>
  <c r="C5355" i="34"/>
  <c r="C5354" i="34"/>
  <c r="C5353" i="34"/>
  <c r="C5352" i="34"/>
  <c r="C5351" i="34"/>
  <c r="C5350" i="34"/>
  <c r="C5349" i="34"/>
  <c r="C5348" i="34"/>
  <c r="C5347" i="34"/>
  <c r="C5346" i="34"/>
  <c r="C5345" i="34"/>
  <c r="C5344" i="34"/>
  <c r="C5343" i="34"/>
  <c r="C5341" i="34"/>
  <c r="C5342" i="34"/>
  <c r="C5340" i="34"/>
  <c r="C5339" i="34"/>
  <c r="C5338" i="34"/>
  <c r="C5337" i="34"/>
  <c r="C5336" i="34"/>
  <c r="C5335" i="34"/>
  <c r="C5334" i="34"/>
  <c r="C5333" i="34"/>
  <c r="C5332" i="34"/>
  <c r="C5331" i="34"/>
  <c r="C5330" i="34"/>
  <c r="C5329" i="34"/>
  <c r="C5328" i="34"/>
  <c r="C5327" i="34"/>
  <c r="C5326" i="34"/>
  <c r="C5325" i="34"/>
  <c r="C5324" i="34"/>
  <c r="C5323" i="34"/>
  <c r="C5322" i="34"/>
  <c r="C5321" i="34"/>
  <c r="C5320" i="34"/>
  <c r="C5319" i="34"/>
  <c r="C5318" i="34"/>
  <c r="C5317" i="34"/>
  <c r="C5316" i="34"/>
  <c r="C5315" i="34"/>
  <c r="C5314" i="34"/>
  <c r="C5313" i="34"/>
  <c r="C5308" i="34"/>
  <c r="C5312" i="34"/>
  <c r="C5311" i="34"/>
  <c r="C5310" i="34"/>
  <c r="C5309" i="34"/>
  <c r="C5307" i="34"/>
  <c r="C5306" i="34"/>
  <c r="C5305" i="34"/>
  <c r="C5304" i="34"/>
  <c r="C5303" i="34"/>
  <c r="C5302" i="34"/>
  <c r="C5301" i="34"/>
  <c r="C5300" i="34"/>
  <c r="C5299" i="34"/>
  <c r="C5298" i="34"/>
  <c r="C5297" i="34"/>
  <c r="C5296" i="34"/>
  <c r="C5295" i="34"/>
  <c r="C5294" i="34"/>
  <c r="C5293" i="34"/>
  <c r="C5292" i="34"/>
  <c r="C5291" i="34"/>
  <c r="C5290" i="34"/>
  <c r="C5289" i="34"/>
  <c r="C5288" i="34"/>
  <c r="C5287" i="34"/>
  <c r="C5286" i="34"/>
  <c r="C5285" i="34"/>
  <c r="C5284" i="34"/>
  <c r="C5283" i="34"/>
  <c r="C5272" i="34"/>
  <c r="C5271" i="34"/>
  <c r="C5270" i="34"/>
  <c r="C5269" i="34"/>
  <c r="C5268" i="34"/>
  <c r="C5267" i="34"/>
  <c r="C5266" i="34"/>
  <c r="C5265" i="34"/>
  <c r="C5264" i="34"/>
  <c r="C5263" i="34"/>
  <c r="C5281" i="34"/>
  <c r="C5280" i="34"/>
  <c r="C5279" i="34"/>
  <c r="C5278" i="34"/>
  <c r="C5277" i="34"/>
  <c r="C5276" i="34"/>
  <c r="C5275" i="34"/>
  <c r="C5274" i="34"/>
  <c r="C5273" i="34"/>
  <c r="C5262" i="34"/>
  <c r="C5261" i="34"/>
  <c r="C5260" i="34"/>
  <c r="C5259" i="34"/>
  <c r="C5258" i="34"/>
  <c r="C5257" i="34"/>
  <c r="C5256" i="34"/>
  <c r="C5255" i="34"/>
  <c r="C5254" i="34"/>
  <c r="C5252" i="34"/>
  <c r="C5251" i="34"/>
  <c r="C5245" i="34"/>
  <c r="C5244" i="34"/>
  <c r="C5243" i="34"/>
  <c r="C5242" i="34"/>
  <c r="C5241" i="34"/>
  <c r="C5240" i="34"/>
  <c r="C5239" i="34"/>
  <c r="C5238" i="34"/>
  <c r="C5246" i="34"/>
  <c r="C5253" i="34"/>
  <c r="C5250" i="34"/>
  <c r="C5249" i="34"/>
  <c r="C5248" i="34"/>
  <c r="C5247" i="34"/>
  <c r="C5237" i="34"/>
  <c r="C5236" i="34"/>
  <c r="C5235" i="34"/>
  <c r="C5234" i="34"/>
  <c r="C5233" i="34"/>
  <c r="C5232" i="34"/>
  <c r="C5231" i="34"/>
  <c r="C5230" i="34"/>
  <c r="C5229" i="34"/>
  <c r="C5228" i="34"/>
  <c r="C5208" i="34"/>
  <c r="C5227" i="34"/>
  <c r="C5226" i="34"/>
  <c r="C5225" i="34"/>
  <c r="C5224" i="34"/>
  <c r="C5223" i="34"/>
  <c r="C5222" i="34"/>
  <c r="C5221" i="34"/>
  <c r="C5220" i="34"/>
  <c r="C5219" i="34"/>
  <c r="C5218" i="34"/>
  <c r="C5217" i="34"/>
  <c r="C5216" i="34"/>
  <c r="C5215" i="34"/>
  <c r="C5214" i="34"/>
  <c r="C5213" i="34"/>
  <c r="C5212" i="34"/>
  <c r="C5211" i="34"/>
  <c r="C5210" i="34"/>
  <c r="C5209" i="34"/>
  <c r="C5207" i="34"/>
  <c r="C5206" i="34"/>
  <c r="C5205" i="34"/>
  <c r="C5204" i="34"/>
  <c r="C5203" i="34"/>
  <c r="C5202" i="34"/>
  <c r="C5201" i="34"/>
  <c r="C5200" i="34"/>
  <c r="C5199" i="34"/>
  <c r="C5198" i="34"/>
  <c r="C5197" i="34"/>
  <c r="C5196" i="34"/>
  <c r="C5195" i="34"/>
  <c r="C5194" i="34"/>
  <c r="C5193" i="34"/>
  <c r="C5168" i="34"/>
  <c r="C5192" i="34"/>
  <c r="C5191" i="34"/>
  <c r="C5190" i="34"/>
  <c r="C5189" i="34"/>
  <c r="C5188" i="34"/>
  <c r="C5187" i="34"/>
  <c r="C5186" i="34"/>
  <c r="C5185" i="34"/>
  <c r="C5184" i="34"/>
  <c r="C5183" i="34"/>
  <c r="C5182" i="34"/>
  <c r="C5181" i="34"/>
  <c r="C5180" i="34"/>
  <c r="C5179" i="34"/>
  <c r="C5178" i="34"/>
  <c r="C5177" i="34"/>
  <c r="C5176" i="34"/>
  <c r="C5175" i="34"/>
  <c r="C5174" i="34"/>
  <c r="C5173" i="34"/>
  <c r="C5172" i="34"/>
  <c r="C5171" i="34"/>
  <c r="C5170" i="34"/>
  <c r="C5169" i="34"/>
  <c r="C5167" i="34"/>
  <c r="C5166" i="34"/>
  <c r="C5165" i="34"/>
  <c r="C5164" i="34"/>
  <c r="C5163" i="34"/>
  <c r="C5162" i="34"/>
  <c r="C5161" i="34"/>
  <c r="C5160" i="34"/>
  <c r="C5150" i="34"/>
  <c r="C5159" i="34"/>
  <c r="C5158" i="34"/>
  <c r="C5157" i="34"/>
  <c r="C5156" i="34"/>
  <c r="C5155" i="34"/>
  <c r="C5154" i="34"/>
  <c r="C5153" i="34"/>
  <c r="C5152" i="34"/>
  <c r="C5151" i="34"/>
  <c r="C5149" i="34"/>
  <c r="C5148" i="34"/>
  <c r="C5147" i="34"/>
  <c r="C5146" i="34"/>
  <c r="C5145" i="34"/>
  <c r="C5144" i="34"/>
  <c r="C5143" i="34"/>
  <c r="C5142" i="34"/>
  <c r="C5141" i="34"/>
  <c r="C5140" i="34"/>
  <c r="C5139" i="34"/>
  <c r="C5138" i="34"/>
  <c r="C5137" i="34"/>
  <c r="C5136" i="34"/>
  <c r="C5135" i="34"/>
  <c r="C5134" i="34"/>
  <c r="C5133" i="34"/>
  <c r="C5132" i="34"/>
  <c r="C5131" i="34"/>
  <c r="C5130" i="34"/>
  <c r="C5129" i="34"/>
  <c r="C5128" i="34"/>
  <c r="C5127" i="34"/>
  <c r="C5126" i="34"/>
  <c r="C5125" i="34"/>
  <c r="C5124" i="34"/>
  <c r="C5123" i="34"/>
  <c r="C5122" i="34"/>
  <c r="C5121" i="34"/>
  <c r="C5120" i="34"/>
  <c r="C5119" i="34"/>
  <c r="C5118" i="34"/>
  <c r="C5117" i="34"/>
  <c r="C5116" i="34"/>
  <c r="C5115" i="34"/>
  <c r="C5114" i="34"/>
  <c r="C5113" i="34"/>
  <c r="C5112" i="34"/>
  <c r="C5111" i="34"/>
  <c r="C5110" i="34"/>
  <c r="C5109" i="34"/>
  <c r="C5108" i="34"/>
  <c r="C5107" i="34"/>
  <c r="C5106" i="34"/>
  <c r="C5105" i="34"/>
  <c r="C5100" i="34"/>
  <c r="C5104" i="34"/>
  <c r="C5103" i="34"/>
  <c r="C5102" i="34"/>
  <c r="C5101" i="34"/>
  <c r="C5099" i="34"/>
  <c r="C5098" i="34"/>
  <c r="C5097" i="34"/>
  <c r="C5096" i="34"/>
  <c r="C5095" i="34"/>
  <c r="C5094" i="34"/>
  <c r="C5093" i="34"/>
  <c r="C5092" i="34"/>
  <c r="C5091" i="34"/>
  <c r="C5090" i="34"/>
  <c r="C5089" i="34"/>
  <c r="C5088" i="34"/>
  <c r="C5087" i="34"/>
  <c r="C5086" i="34"/>
  <c r="C5085" i="34"/>
  <c r="C5084" i="34"/>
  <c r="C5083" i="34"/>
  <c r="C5082" i="34"/>
  <c r="C5081" i="34"/>
  <c r="C5080" i="34"/>
  <c r="C5079" i="34"/>
  <c r="C5078" i="34"/>
  <c r="C5077" i="34"/>
  <c r="C5076" i="34"/>
  <c r="C5075" i="34"/>
  <c r="C5074" i="34"/>
  <c r="C5073" i="34"/>
  <c r="C5072" i="34"/>
  <c r="C5071" i="34"/>
  <c r="C5070" i="34"/>
  <c r="C5069" i="34"/>
  <c r="C5068" i="34"/>
  <c r="C5067" i="34"/>
  <c r="C5066" i="34"/>
  <c r="C5065" i="34"/>
  <c r="C5064" i="34"/>
  <c r="C5063" i="34"/>
  <c r="C5062" i="34"/>
  <c r="C5061" i="34"/>
  <c r="C5060" i="34"/>
  <c r="C5059" i="34"/>
  <c r="C5058" i="34"/>
  <c r="C5057" i="34"/>
  <c r="C5056" i="34"/>
  <c r="C5047" i="34"/>
  <c r="C5046" i="34"/>
  <c r="C5055" i="34"/>
  <c r="C5054" i="34"/>
  <c r="C5053" i="34"/>
  <c r="C5052" i="34"/>
  <c r="C5051" i="34"/>
  <c r="C5050" i="34"/>
  <c r="C5045" i="34"/>
  <c r="C5044" i="34"/>
  <c r="C5043" i="34"/>
  <c r="C5042" i="34"/>
  <c r="C5041" i="34"/>
  <c r="C5040" i="34"/>
  <c r="C5039" i="34"/>
  <c r="C5038" i="34"/>
  <c r="C5037" i="34"/>
  <c r="C5036" i="34"/>
  <c r="C5035" i="34"/>
  <c r="C5034" i="34"/>
  <c r="C5033" i="34"/>
  <c r="C5032" i="34"/>
  <c r="C5031" i="34"/>
  <c r="C5030" i="34"/>
  <c r="C5029" i="34"/>
  <c r="C5028" i="34"/>
  <c r="C5027" i="34"/>
  <c r="C5026" i="34"/>
  <c r="C5025" i="34"/>
  <c r="C5024" i="34"/>
  <c r="C5023" i="34"/>
  <c r="C5022" i="34"/>
  <c r="C5021" i="34"/>
  <c r="C5020" i="34"/>
  <c r="C5019" i="34"/>
  <c r="C5018" i="34"/>
  <c r="C5017" i="34"/>
  <c r="C5016" i="34"/>
  <c r="C5015" i="34"/>
  <c r="C5014" i="34"/>
  <c r="C5013" i="34"/>
  <c r="C5012" i="34"/>
  <c r="C5011" i="34"/>
  <c r="C5010" i="34"/>
  <c r="C5009" i="34"/>
  <c r="C5008" i="34"/>
  <c r="C5007" i="34"/>
  <c r="C5006" i="34"/>
  <c r="C5005" i="34"/>
  <c r="C5004" i="34"/>
  <c r="C5003" i="34"/>
  <c r="C5002" i="34"/>
  <c r="C5001" i="34"/>
  <c r="C5000" i="34"/>
  <c r="C4995" i="34"/>
  <c r="C4994" i="34"/>
  <c r="C4993" i="34"/>
  <c r="C4992" i="34"/>
  <c r="C4991" i="34"/>
  <c r="C4988" i="34"/>
  <c r="C4987" i="34"/>
  <c r="C4986" i="34"/>
  <c r="C4985" i="34"/>
  <c r="C4984" i="34"/>
  <c r="C4983" i="34"/>
  <c r="C4982" i="34"/>
  <c r="C4981" i="34"/>
  <c r="C4980" i="34"/>
  <c r="C4979" i="34"/>
  <c r="C4978" i="34"/>
  <c r="C4977" i="34"/>
  <c r="C4976" i="34"/>
  <c r="C4975" i="34"/>
  <c r="C4974" i="34"/>
  <c r="C4973" i="34"/>
  <c r="C4972" i="34"/>
  <c r="C4971" i="34"/>
  <c r="C4970" i="34"/>
  <c r="C4969" i="34"/>
  <c r="C4968" i="34"/>
  <c r="C4967" i="34"/>
  <c r="C4966" i="34"/>
  <c r="C4965" i="34"/>
  <c r="C4964" i="34"/>
  <c r="C4963" i="34"/>
  <c r="C4962" i="34"/>
  <c r="C4961" i="34"/>
  <c r="C4796" i="34"/>
  <c r="C4960" i="34"/>
  <c r="C4959" i="34"/>
  <c r="C4958" i="34"/>
  <c r="C4957" i="34"/>
  <c r="C4956" i="34"/>
  <c r="C4955" i="34"/>
  <c r="C4954" i="34"/>
  <c r="C4953" i="34"/>
  <c r="C4952" i="34"/>
  <c r="C4951" i="34"/>
  <c r="C4795" i="34"/>
  <c r="C4950" i="34"/>
  <c r="C4947" i="34"/>
  <c r="C4946" i="34"/>
  <c r="C4945" i="34"/>
  <c r="C4941" i="34"/>
  <c r="C4944" i="34"/>
  <c r="C4943" i="34"/>
  <c r="C4942" i="34"/>
  <c r="C4940" i="34"/>
  <c r="C4939" i="34"/>
  <c r="C4938" i="34"/>
  <c r="C4937" i="34"/>
  <c r="C4928" i="34"/>
  <c r="C4927" i="34"/>
  <c r="C4926" i="34"/>
  <c r="C4925" i="34"/>
  <c r="C4924" i="34"/>
  <c r="C4923" i="34"/>
  <c r="C4922" i="34"/>
  <c r="C4921" i="34"/>
  <c r="C4936" i="34"/>
  <c r="C4935" i="34"/>
  <c r="C4934" i="34"/>
  <c r="C4933" i="34"/>
  <c r="C4932" i="34"/>
  <c r="C4931" i="34"/>
  <c r="C4930" i="34"/>
  <c r="C4929" i="34"/>
  <c r="C4899" i="34"/>
  <c r="C4898" i="34"/>
  <c r="C4897" i="34"/>
  <c r="C4920" i="34"/>
  <c r="C4919" i="34"/>
  <c r="C4918" i="34"/>
  <c r="C4917" i="34"/>
  <c r="C4916" i="34"/>
  <c r="C4915" i="34"/>
  <c r="C4914" i="34"/>
  <c r="C4913" i="34"/>
  <c r="C4912" i="34"/>
  <c r="C4911" i="34"/>
  <c r="C4910" i="34"/>
  <c r="C4909" i="34"/>
  <c r="C4908" i="34"/>
  <c r="C4907" i="34"/>
  <c r="C4906" i="34"/>
  <c r="C4905" i="34"/>
  <c r="C4904" i="34"/>
  <c r="C4903" i="34"/>
  <c r="C4902" i="34"/>
  <c r="C4901" i="34"/>
  <c r="C4900" i="34"/>
  <c r="C4896" i="34"/>
  <c r="C4895" i="34"/>
  <c r="C4894" i="34"/>
  <c r="C4893" i="34"/>
  <c r="C4892" i="34"/>
  <c r="C4891" i="34"/>
  <c r="C4890" i="34"/>
  <c r="C4889" i="34"/>
  <c r="C4888" i="34"/>
  <c r="C4887" i="34"/>
  <c r="C4886" i="34"/>
  <c r="C4885" i="34"/>
  <c r="C4884" i="34"/>
  <c r="C4883" i="34"/>
  <c r="C4882" i="34"/>
  <c r="C4881" i="34"/>
  <c r="C4880" i="34"/>
  <c r="C4879" i="34"/>
  <c r="C4878" i="34"/>
  <c r="C4877" i="34"/>
  <c r="C4876" i="34"/>
  <c r="C4875" i="34"/>
  <c r="C4874" i="34"/>
  <c r="C4873" i="34"/>
  <c r="C4872" i="34"/>
  <c r="C4871" i="34"/>
  <c r="C4870" i="34"/>
  <c r="C4869" i="34"/>
  <c r="C4868" i="34"/>
  <c r="C4867" i="34"/>
  <c r="C4866" i="34"/>
  <c r="C4865" i="34"/>
  <c r="C4864" i="34"/>
  <c r="C4863" i="34"/>
  <c r="C4862" i="34"/>
  <c r="C4855" i="34"/>
  <c r="C4861" i="34"/>
  <c r="C4860" i="34"/>
  <c r="C4859" i="34"/>
  <c r="C4858" i="34"/>
  <c r="C4857" i="34"/>
  <c r="C4856" i="34"/>
  <c r="C4854" i="34"/>
  <c r="C4853" i="34"/>
  <c r="C4852" i="34"/>
  <c r="C4851" i="34"/>
  <c r="C4850" i="34"/>
  <c r="C4849" i="34"/>
  <c r="C4848" i="34"/>
  <c r="C4847" i="34"/>
  <c r="C4842" i="34"/>
  <c r="C4846" i="34"/>
  <c r="C4845" i="34"/>
  <c r="C4844" i="34"/>
  <c r="C4843" i="34"/>
  <c r="C4841" i="34"/>
  <c r="C4840" i="34"/>
  <c r="C4839" i="34"/>
  <c r="C4831" i="34"/>
  <c r="C4830" i="34"/>
  <c r="C4829" i="34"/>
  <c r="C4828" i="34"/>
  <c r="C4838" i="34"/>
  <c r="C4837" i="34"/>
  <c r="C4836" i="34"/>
  <c r="C4835" i="34"/>
  <c r="C4834" i="34"/>
  <c r="C4833" i="34"/>
  <c r="C4832" i="34"/>
  <c r="C4822" i="34"/>
  <c r="C4821" i="34"/>
  <c r="C4820" i="34"/>
  <c r="C4819" i="34"/>
  <c r="C4818" i="34"/>
  <c r="C4817" i="34"/>
  <c r="C4816" i="34"/>
  <c r="C4815" i="34"/>
  <c r="C4814" i="34"/>
  <c r="C4813" i="34"/>
  <c r="C4812" i="34"/>
  <c r="C4827" i="34"/>
  <c r="C4826" i="34"/>
  <c r="C4825" i="34"/>
  <c r="C4824" i="34"/>
  <c r="C4823" i="34"/>
  <c r="C4811" i="34"/>
  <c r="C4810" i="34"/>
  <c r="C4809" i="34"/>
  <c r="C4808" i="34"/>
  <c r="C4807" i="34"/>
  <c r="C4806" i="34"/>
  <c r="C4799" i="34"/>
  <c r="C4798" i="34"/>
  <c r="C4800" i="34"/>
  <c r="C4797" i="34"/>
  <c r="C4805" i="34"/>
  <c r="C4804" i="34"/>
  <c r="C4803" i="34"/>
  <c r="C4802" i="34"/>
  <c r="C4801" i="34"/>
  <c r="C4794" i="34"/>
  <c r="C4793" i="34"/>
  <c r="C4792" i="34"/>
  <c r="C4791" i="34"/>
  <c r="C4790" i="34"/>
  <c r="C4789" i="34"/>
  <c r="C4788" i="34"/>
  <c r="C4787" i="34"/>
  <c r="C4786" i="34"/>
  <c r="C4785" i="34"/>
  <c r="C4784" i="34"/>
  <c r="C4783" i="34"/>
  <c r="C4782" i="34"/>
  <c r="C4781" i="34"/>
  <c r="C4780" i="34"/>
  <c r="C4779" i="34"/>
  <c r="C4778" i="34"/>
  <c r="C4777" i="34"/>
  <c r="C4776" i="34"/>
  <c r="C4775" i="34"/>
  <c r="C4774" i="34"/>
  <c r="C4773" i="34"/>
  <c r="C4771" i="34"/>
  <c r="C4770" i="34"/>
  <c r="C4769" i="34"/>
  <c r="C4766" i="34"/>
  <c r="C4765" i="34"/>
  <c r="C4764" i="34"/>
  <c r="C4763" i="34"/>
  <c r="C4762" i="34"/>
  <c r="C4761" i="34"/>
  <c r="C4760" i="34"/>
  <c r="C4759" i="34"/>
  <c r="C4758" i="34"/>
  <c r="C4757" i="34"/>
  <c r="C4756" i="34"/>
  <c r="C4755" i="34"/>
  <c r="C4754" i="34"/>
  <c r="C4749" i="34"/>
  <c r="C4753" i="34"/>
  <c r="C4752" i="34"/>
  <c r="C4751" i="34"/>
  <c r="C4750" i="34"/>
  <c r="C4748" i="34"/>
  <c r="C4747" i="34"/>
  <c r="C4772" i="34"/>
  <c r="C4746" i="34"/>
  <c r="C4745" i="34"/>
  <c r="C4744" i="34"/>
  <c r="C4743" i="34"/>
  <c r="C4742" i="34"/>
  <c r="C4741" i="34"/>
  <c r="C4740" i="34"/>
  <c r="C4739" i="34"/>
  <c r="C4738" i="34"/>
  <c r="C4737" i="34"/>
  <c r="C4736" i="34"/>
  <c r="C4735" i="34"/>
  <c r="C4734" i="34"/>
  <c r="C4733" i="34"/>
  <c r="C4732" i="34"/>
  <c r="C4731" i="34"/>
  <c r="C4730" i="34"/>
  <c r="C4729" i="34"/>
  <c r="C4728" i="34"/>
  <c r="C4727" i="34"/>
  <c r="C4726" i="34"/>
  <c r="C4725" i="34"/>
  <c r="C4724" i="34"/>
  <c r="C4723" i="34"/>
  <c r="C4722" i="34"/>
  <c r="C4721" i="34"/>
  <c r="C4720" i="34"/>
  <c r="C4710" i="34"/>
  <c r="C4719" i="34"/>
  <c r="C4718" i="34"/>
  <c r="C4717" i="34"/>
  <c r="C4716" i="34"/>
  <c r="C4715" i="34"/>
  <c r="C4714" i="34"/>
  <c r="C4713" i="34"/>
  <c r="C4712" i="34"/>
  <c r="C4711" i="34"/>
  <c r="C4696" i="34"/>
  <c r="C4709" i="34"/>
  <c r="C4708" i="34"/>
  <c r="C4707" i="34"/>
  <c r="C4706" i="34"/>
  <c r="C4705" i="34"/>
  <c r="C4704" i="34"/>
  <c r="C4703" i="34"/>
  <c r="C4702" i="34"/>
  <c r="C4701" i="34"/>
  <c r="C4700" i="34"/>
  <c r="C4699" i="34"/>
  <c r="C4698" i="34"/>
  <c r="C4697" i="34"/>
  <c r="C4695" i="34"/>
  <c r="C4694" i="34"/>
  <c r="C4693" i="34"/>
  <c r="C4692" i="34"/>
  <c r="C4691" i="34"/>
  <c r="C4690" i="34"/>
  <c r="C4689" i="34"/>
  <c r="C4688" i="34"/>
  <c r="C4687" i="34"/>
  <c r="C4686" i="34"/>
  <c r="C4685" i="34"/>
  <c r="C4684" i="34"/>
  <c r="C4683" i="34"/>
  <c r="C4682" i="34"/>
  <c r="C4681" i="34"/>
  <c r="C4680" i="34"/>
  <c r="C4679" i="34"/>
  <c r="C4678" i="34"/>
  <c r="C4677" i="34"/>
  <c r="C4676" i="34"/>
  <c r="C4675" i="34"/>
  <c r="C4674" i="34"/>
  <c r="C4673" i="34"/>
  <c r="C4672" i="34"/>
  <c r="C4671" i="34"/>
  <c r="C4670" i="34"/>
  <c r="C4669" i="34"/>
  <c r="C4668" i="34"/>
  <c r="C4667" i="34"/>
  <c r="C4666" i="34"/>
  <c r="C4665" i="34"/>
  <c r="C4664" i="34"/>
  <c r="C4663" i="34"/>
  <c r="C4662" i="34"/>
  <c r="C4661" i="34"/>
  <c r="C4660" i="34"/>
  <c r="C4659" i="34"/>
  <c r="C4658" i="34"/>
  <c r="C4657" i="34"/>
  <c r="C4656" i="34"/>
  <c r="C4655" i="34"/>
  <c r="C4654" i="34"/>
  <c r="C4653" i="34"/>
  <c r="C4652" i="34"/>
  <c r="C4651" i="34"/>
  <c r="C4650" i="34"/>
  <c r="C4649" i="34"/>
  <c r="C4648" i="34"/>
  <c r="C4647" i="34"/>
  <c r="C4646" i="34"/>
  <c r="C4645" i="34"/>
  <c r="C4644" i="34"/>
  <c r="C4643" i="34"/>
  <c r="C4642" i="34"/>
  <c r="C4641" i="34"/>
  <c r="C4640" i="34"/>
  <c r="C4626" i="34"/>
  <c r="C4639" i="34"/>
  <c r="C4638" i="34"/>
  <c r="C4637" i="34"/>
  <c r="C4636" i="34"/>
  <c r="C4635" i="34"/>
  <c r="C4634" i="34"/>
  <c r="C4633" i="34"/>
  <c r="C4632" i="34"/>
  <c r="C4631" i="34"/>
  <c r="C4630" i="34"/>
  <c r="C4629" i="34"/>
  <c r="C4628" i="34"/>
  <c r="C4627" i="34"/>
  <c r="C4609" i="34"/>
  <c r="C4625" i="34"/>
  <c r="C4624" i="34"/>
  <c r="C4623" i="34"/>
  <c r="C4622" i="34"/>
  <c r="C4621" i="34"/>
  <c r="C4620" i="34"/>
  <c r="C4619" i="34"/>
  <c r="C4618" i="34"/>
  <c r="C4617" i="34"/>
  <c r="C4616" i="34"/>
  <c r="C4615" i="34"/>
  <c r="C4614" i="34"/>
  <c r="C4613" i="34"/>
  <c r="C4612" i="34"/>
  <c r="C4611" i="34"/>
  <c r="C4610" i="34"/>
  <c r="C4595" i="34"/>
  <c r="C4608" i="34"/>
  <c r="C4607" i="34"/>
  <c r="C4606" i="34"/>
  <c r="C4605" i="34"/>
  <c r="C4604" i="34"/>
  <c r="C4603" i="34"/>
  <c r="C4602" i="34"/>
  <c r="C4601" i="34"/>
  <c r="C4600" i="34"/>
  <c r="C4599" i="34"/>
  <c r="C4598" i="34"/>
  <c r="C4597" i="34"/>
  <c r="C4596" i="34"/>
  <c r="C4592" i="34"/>
  <c r="C4591" i="34"/>
  <c r="C4590" i="34"/>
  <c r="C4589" i="34"/>
  <c r="C4588" i="34"/>
  <c r="C4587" i="34"/>
  <c r="C4586" i="34"/>
  <c r="C4585" i="34"/>
  <c r="C4584" i="34"/>
  <c r="C4583" i="34"/>
  <c r="C4582" i="34"/>
  <c r="C4581" i="34"/>
  <c r="C4580" i="34"/>
  <c r="C4579" i="34"/>
  <c r="C4578" i="34"/>
  <c r="C4577" i="34"/>
  <c r="C4576" i="34"/>
  <c r="C4575" i="34"/>
  <c r="C4573" i="34"/>
  <c r="C4572" i="34"/>
  <c r="C4571" i="34"/>
  <c r="C4570" i="34"/>
  <c r="C4569" i="34"/>
  <c r="C4568" i="34"/>
  <c r="C4567" i="34"/>
  <c r="C4563" i="34"/>
  <c r="C4562" i="34"/>
  <c r="C4561" i="34"/>
  <c r="C4560" i="34"/>
  <c r="C4559" i="34"/>
  <c r="C4558" i="34"/>
  <c r="C4557" i="34"/>
  <c r="C4556" i="34"/>
  <c r="C4555" i="34"/>
  <c r="C4554" i="34"/>
  <c r="C4553" i="34"/>
  <c r="C4552" i="34"/>
  <c r="C4551" i="34"/>
  <c r="C4550" i="34"/>
  <c r="C4549" i="34"/>
  <c r="C4548" i="34"/>
  <c r="C4547" i="34"/>
  <c r="C4546" i="34"/>
  <c r="C4545" i="34"/>
  <c r="C4544" i="34"/>
  <c r="C4543" i="34"/>
  <c r="C4542" i="34"/>
  <c r="C4541" i="34"/>
  <c r="C4540" i="34"/>
  <c r="C4539" i="34"/>
  <c r="C4538" i="34"/>
  <c r="C4537" i="34"/>
  <c r="C4536" i="34"/>
  <c r="C4535" i="34"/>
  <c r="C4534" i="34"/>
  <c r="C4533" i="34"/>
  <c r="C4532" i="34"/>
  <c r="C4531" i="34"/>
  <c r="C4530" i="34"/>
  <c r="C4529" i="34"/>
  <c r="C4528" i="34"/>
  <c r="C4527" i="34"/>
  <c r="C4526" i="34"/>
  <c r="C4525" i="34"/>
  <c r="C4524" i="34"/>
  <c r="C4523" i="34"/>
  <c r="C4522" i="34"/>
  <c r="C4521" i="34"/>
  <c r="C4520" i="34"/>
  <c r="C4519" i="34"/>
  <c r="C4518" i="34"/>
  <c r="C4517" i="34"/>
  <c r="C4516" i="34"/>
  <c r="C4515" i="34"/>
  <c r="C4514" i="34"/>
  <c r="C4513" i="34"/>
  <c r="C4512" i="34"/>
  <c r="C4511" i="34"/>
  <c r="C4510" i="34"/>
  <c r="C4509" i="34"/>
  <c r="C4508" i="34"/>
  <c r="C4507" i="34"/>
  <c r="C4506" i="34"/>
  <c r="C4505" i="34"/>
  <c r="C4504" i="34"/>
  <c r="C4503" i="34"/>
  <c r="C4502" i="34"/>
  <c r="C4501" i="34"/>
  <c r="C4500" i="34"/>
  <c r="C4499" i="34"/>
  <c r="C4498" i="34"/>
  <c r="C4497" i="34"/>
  <c r="C4496" i="34"/>
  <c r="C4495" i="34"/>
  <c r="C4494" i="34"/>
  <c r="C4493" i="34"/>
  <c r="C4492" i="34"/>
  <c r="C4491" i="34"/>
  <c r="C4490" i="34"/>
  <c r="C4489" i="34"/>
  <c r="C4488" i="34"/>
  <c r="C4487" i="34"/>
  <c r="C4486" i="34"/>
  <c r="C4485" i="34"/>
  <c r="C4484" i="34"/>
  <c r="C4483" i="34"/>
  <c r="C4482" i="34"/>
  <c r="C4481" i="34"/>
  <c r="C4480" i="34"/>
  <c r="C4479" i="34"/>
  <c r="C4478" i="34"/>
  <c r="C4477" i="34"/>
  <c r="C4476" i="34"/>
  <c r="C4475" i="34"/>
  <c r="C4474" i="34"/>
  <c r="C4473" i="34"/>
  <c r="C4472" i="34"/>
  <c r="C4471" i="34"/>
  <c r="C4470" i="34"/>
  <c r="C4469" i="34"/>
  <c r="C4468" i="34"/>
  <c r="C4467" i="34"/>
  <c r="C4466" i="34"/>
  <c r="C4465" i="34"/>
  <c r="C4464" i="34"/>
  <c r="C4463" i="34"/>
  <c r="C4462" i="34"/>
  <c r="C4461" i="34"/>
  <c r="C4460" i="34"/>
  <c r="C4459" i="34"/>
  <c r="C4458" i="34"/>
  <c r="C4457" i="34"/>
  <c r="C4456" i="34"/>
  <c r="C4455" i="34"/>
  <c r="C4454" i="34"/>
  <c r="C4453" i="34"/>
  <c r="C4452" i="34"/>
  <c r="C4451" i="34"/>
  <c r="C4450" i="34"/>
  <c r="C4449" i="34"/>
  <c r="C4448" i="34"/>
  <c r="C4447" i="34"/>
  <c r="C4446" i="34"/>
  <c r="C4445" i="34"/>
  <c r="C4444" i="34"/>
  <c r="C4443" i="34"/>
  <c r="C4442" i="34"/>
  <c r="C4441" i="34"/>
  <c r="C4440" i="34"/>
  <c r="C4439" i="34"/>
  <c r="C4438" i="34"/>
  <c r="C4437" i="34"/>
  <c r="C4436" i="34"/>
  <c r="C4435" i="34"/>
  <c r="C4434" i="34"/>
  <c r="C4433" i="34"/>
  <c r="C4432" i="34"/>
  <c r="C4431" i="34"/>
  <c r="C4430" i="34"/>
  <c r="C4429" i="34"/>
  <c r="C4428" i="34"/>
  <c r="C4427" i="34"/>
  <c r="C4426" i="34"/>
  <c r="C4425" i="34"/>
  <c r="C4424" i="34"/>
  <c r="C4423" i="34"/>
  <c r="C4422" i="34"/>
  <c r="C4421" i="34"/>
  <c r="C4420" i="34"/>
  <c r="C4419" i="34"/>
  <c r="C4418" i="34"/>
  <c r="C4417" i="34"/>
  <c r="C4416" i="34"/>
  <c r="C4415" i="34"/>
  <c r="C4414" i="34"/>
  <c r="C4413" i="34"/>
  <c r="C4412" i="34"/>
  <c r="C4411" i="34"/>
  <c r="C4410" i="34"/>
  <c r="C4409" i="34"/>
  <c r="C4408" i="34"/>
  <c r="C4407" i="34"/>
  <c r="C4406" i="34"/>
  <c r="C4405" i="34"/>
  <c r="C4404" i="34"/>
  <c r="C4403" i="34"/>
  <c r="C4402" i="34"/>
  <c r="C4401" i="34"/>
  <c r="C4400" i="34"/>
  <c r="C4399" i="34"/>
  <c r="C4398" i="34"/>
  <c r="C4397" i="34"/>
  <c r="C4396" i="34"/>
  <c r="C4395" i="34"/>
  <c r="C4394" i="34"/>
  <c r="C4393" i="34"/>
  <c r="C4392" i="34"/>
  <c r="C4391" i="34"/>
  <c r="C4390" i="34"/>
  <c r="C4389" i="34"/>
  <c r="C4387" i="34"/>
  <c r="C4386" i="34"/>
  <c r="C4385" i="34"/>
  <c r="C4384" i="34"/>
  <c r="C4383" i="34"/>
  <c r="C4382" i="34"/>
  <c r="C4381" i="34"/>
  <c r="C4380" i="34"/>
  <c r="C4379" i="34"/>
  <c r="C4378" i="34"/>
  <c r="C4377" i="34"/>
  <c r="C4376" i="34"/>
  <c r="C4375" i="34"/>
  <c r="C4374" i="34"/>
  <c r="C4373" i="34"/>
  <c r="C4372" i="34"/>
  <c r="C4371" i="34"/>
  <c r="C4370" i="34"/>
  <c r="C4369" i="34"/>
  <c r="C4368" i="34"/>
  <c r="C4367" i="34"/>
  <c r="C4366" i="34"/>
  <c r="C4365" i="34"/>
  <c r="C4364" i="34"/>
  <c r="C4363" i="34"/>
  <c r="C4362" i="34"/>
  <c r="C4361" i="34"/>
  <c r="C4360" i="34"/>
  <c r="C4359" i="34"/>
  <c r="C4358" i="34"/>
  <c r="C4357" i="34"/>
  <c r="C4356" i="34"/>
  <c r="C4355" i="34"/>
  <c r="C4354" i="34"/>
  <c r="C4353" i="34"/>
  <c r="C4352" i="34"/>
  <c r="C4351" i="34"/>
  <c r="C4350" i="34"/>
  <c r="C4349" i="34"/>
  <c r="C4348" i="34"/>
  <c r="C4347" i="34"/>
  <c r="C4346" i="34"/>
  <c r="C4345" i="34"/>
  <c r="C4344" i="34"/>
  <c r="C4343" i="34"/>
  <c r="C4342" i="34"/>
  <c r="C4341" i="34"/>
  <c r="C4340" i="34"/>
  <c r="C4339" i="34"/>
  <c r="C4338" i="34"/>
  <c r="C4337" i="34"/>
  <c r="C4336" i="34"/>
  <c r="C4335" i="34"/>
  <c r="C4334" i="34"/>
  <c r="C4333" i="34"/>
  <c r="C4332" i="34"/>
  <c r="C4331" i="34"/>
  <c r="C4330" i="34"/>
  <c r="C4329" i="34"/>
  <c r="C4328" i="34"/>
  <c r="C4327" i="34"/>
  <c r="C4326" i="34"/>
  <c r="C4325" i="34"/>
  <c r="C4324" i="34"/>
  <c r="C4323" i="34"/>
  <c r="C4322" i="34"/>
  <c r="C4321" i="34"/>
  <c r="C4320" i="34"/>
  <c r="C4319" i="34"/>
  <c r="C4318" i="34"/>
  <c r="C4317" i="34"/>
  <c r="C4316" i="34"/>
  <c r="C4315" i="34"/>
  <c r="C4314" i="34"/>
  <c r="C4313" i="34"/>
  <c r="C4312" i="34"/>
  <c r="C4311" i="34"/>
  <c r="C4310" i="34"/>
  <c r="C4309" i="34"/>
  <c r="C4308" i="34"/>
  <c r="C4307" i="34"/>
  <c r="C4306" i="34"/>
  <c r="C4305" i="34"/>
  <c r="C4304" i="34"/>
  <c r="C4303" i="34"/>
  <c r="C4302" i="34"/>
  <c r="C4301" i="34"/>
  <c r="C4300" i="34"/>
  <c r="C4299" i="34"/>
  <c r="C4298" i="34"/>
  <c r="C4297" i="34"/>
  <c r="C4296" i="34"/>
  <c r="C4295" i="34"/>
  <c r="C4294" i="34"/>
  <c r="C4293" i="34"/>
  <c r="C4292" i="34"/>
  <c r="C4291" i="34"/>
  <c r="C4290" i="34"/>
  <c r="C4289" i="34"/>
  <c r="C4288" i="34"/>
  <c r="C4287" i="34"/>
  <c r="C4286" i="34"/>
  <c r="C4285" i="34"/>
  <c r="C4284" i="34"/>
  <c r="C4283" i="34"/>
  <c r="C4282" i="34"/>
  <c r="C4281" i="34"/>
  <c r="C4280" i="34"/>
  <c r="C4279" i="34"/>
  <c r="C4278" i="34"/>
  <c r="C4277" i="34"/>
  <c r="C4276" i="34"/>
  <c r="C4275" i="34"/>
  <c r="C4274" i="34"/>
  <c r="C4273" i="34"/>
  <c r="C4272" i="34"/>
  <c r="C4271" i="34"/>
  <c r="C4270" i="34"/>
  <c r="C4269" i="34"/>
  <c r="C4268" i="34"/>
  <c r="C4267" i="34"/>
  <c r="C4266" i="34"/>
  <c r="C4265" i="34"/>
  <c r="C4264" i="34"/>
  <c r="C4263" i="34"/>
  <c r="C4262" i="34"/>
  <c r="C4261" i="34"/>
  <c r="C4260" i="34"/>
  <c r="C4259" i="34"/>
  <c r="C4258" i="34"/>
  <c r="C4257" i="34"/>
  <c r="C4256" i="34"/>
  <c r="C4255" i="34"/>
  <c r="C4254" i="34"/>
  <c r="C4253" i="34"/>
  <c r="C4198" i="34"/>
  <c r="C4197" i="34"/>
  <c r="C4252" i="34"/>
  <c r="C4251" i="34"/>
  <c r="C4250" i="34"/>
  <c r="C4249" i="34"/>
  <c r="C4248" i="34"/>
  <c r="C4247" i="34"/>
  <c r="C4246" i="34"/>
  <c r="C4245" i="34"/>
  <c r="C4160" i="34"/>
  <c r="C4159" i="34"/>
  <c r="C4152" i="34"/>
  <c r="C4151" i="34"/>
  <c r="C4244" i="34"/>
  <c r="C4243" i="34"/>
  <c r="C4242" i="34"/>
  <c r="C4241" i="34"/>
  <c r="C4240" i="34"/>
  <c r="C4239" i="34"/>
  <c r="C4238" i="34"/>
  <c r="C4237" i="34"/>
  <c r="C4236" i="34"/>
  <c r="C4235" i="34"/>
  <c r="C4232" i="34"/>
  <c r="C4231" i="34"/>
  <c r="C4230" i="34"/>
  <c r="C4229" i="34"/>
  <c r="C4111" i="34"/>
  <c r="C4110" i="34"/>
  <c r="C4109" i="34"/>
  <c r="C4108" i="34"/>
  <c r="C4228" i="34"/>
  <c r="C4225" i="34"/>
  <c r="C4224" i="34"/>
  <c r="C4223" i="34"/>
  <c r="C4222" i="34"/>
  <c r="C4221" i="34"/>
  <c r="C4220" i="34"/>
  <c r="C4219" i="34"/>
  <c r="C4218" i="34"/>
  <c r="C4217" i="34"/>
  <c r="C4216" i="34"/>
  <c r="C4215" i="34"/>
  <c r="C4214" i="34"/>
  <c r="C4213" i="34"/>
  <c r="C4212" i="34"/>
  <c r="C4211" i="34"/>
  <c r="C4210" i="34"/>
  <c r="C4209" i="34"/>
  <c r="C4208" i="34"/>
  <c r="C4207" i="34"/>
  <c r="C4206" i="34"/>
  <c r="C4205" i="34"/>
  <c r="C4204" i="34"/>
  <c r="C4203" i="34"/>
  <c r="C4202" i="34"/>
  <c r="C4201" i="34"/>
  <c r="C4200" i="34"/>
  <c r="C4199" i="34"/>
  <c r="C4196" i="34"/>
  <c r="C4195" i="34"/>
  <c r="C4194" i="34"/>
  <c r="C4193" i="34"/>
  <c r="C4192" i="34"/>
  <c r="C4191" i="34"/>
  <c r="C4190" i="34"/>
  <c r="C4189" i="34"/>
  <c r="C4188" i="34"/>
  <c r="C4187" i="34"/>
  <c r="C4186" i="34"/>
  <c r="C4185" i="34"/>
  <c r="C4184" i="34"/>
  <c r="C4183" i="34"/>
  <c r="C4182" i="34"/>
  <c r="C4181" i="34"/>
  <c r="C4180" i="34"/>
  <c r="C4179" i="34"/>
  <c r="C4178" i="34"/>
  <c r="C4177" i="34"/>
  <c r="C4176" i="34"/>
  <c r="C4175" i="34"/>
  <c r="C4174" i="34"/>
  <c r="C4173" i="34"/>
  <c r="C4172" i="34"/>
  <c r="C4171" i="34"/>
  <c r="C4170" i="34"/>
  <c r="C4169" i="34"/>
  <c r="C4168" i="34"/>
  <c r="C4167" i="34"/>
  <c r="C4166" i="34"/>
  <c r="C4165" i="34"/>
  <c r="C4164" i="34"/>
  <c r="C4163" i="34"/>
  <c r="C4162" i="34"/>
  <c r="C4161" i="34"/>
  <c r="C4158" i="34"/>
  <c r="C4157" i="34"/>
  <c r="C4156" i="34"/>
  <c r="C4155" i="34"/>
  <c r="C4154" i="34"/>
  <c r="C4153" i="34"/>
  <c r="C4150" i="34"/>
  <c r="C4149" i="34"/>
  <c r="C4148" i="34"/>
  <c r="C4147" i="34"/>
  <c r="C4146" i="34"/>
  <c r="C4145" i="34"/>
  <c r="C4144" i="34"/>
  <c r="C4143" i="34"/>
  <c r="C4142" i="34"/>
  <c r="C4141" i="34"/>
  <c r="C4140" i="34"/>
  <c r="C4139" i="34"/>
  <c r="C4138" i="34"/>
  <c r="C4137" i="34"/>
  <c r="C4136" i="34"/>
  <c r="C4135" i="34"/>
  <c r="C4134" i="34"/>
  <c r="C4133" i="34"/>
  <c r="C4132" i="34"/>
  <c r="C4131" i="34"/>
  <c r="C4130" i="34"/>
  <c r="C4129" i="34"/>
  <c r="C4128" i="34"/>
  <c r="C4127" i="34"/>
  <c r="C4126" i="34"/>
  <c r="C4125" i="34"/>
  <c r="C4124" i="34"/>
  <c r="C4123" i="34"/>
  <c r="C4122" i="34"/>
  <c r="C4121" i="34"/>
  <c r="C4120" i="34"/>
  <c r="C4119" i="34"/>
  <c r="C4118" i="34"/>
  <c r="C4117" i="34"/>
  <c r="C4116" i="34"/>
  <c r="C4115" i="34"/>
  <c r="C4114" i="34"/>
  <c r="C4113" i="34"/>
  <c r="C4112" i="34"/>
  <c r="C4107" i="34"/>
  <c r="C4106" i="34"/>
  <c r="C4105" i="34"/>
  <c r="C4104" i="34"/>
  <c r="C4103" i="34"/>
  <c r="C4102" i="34"/>
  <c r="C4101" i="34"/>
  <c r="C4100" i="34"/>
  <c r="C4099" i="34"/>
  <c r="C4098" i="34"/>
  <c r="C4097" i="34"/>
  <c r="C4096" i="34"/>
  <c r="C4095" i="34"/>
  <c r="C4094" i="34"/>
  <c r="C4093" i="34"/>
  <c r="C4092" i="34"/>
  <c r="C4091" i="34"/>
  <c r="C4090" i="34"/>
  <c r="C4089" i="34"/>
  <c r="C4088" i="34"/>
  <c r="C4087" i="34"/>
  <c r="C4086" i="34"/>
  <c r="C4085" i="34"/>
  <c r="C4084" i="34"/>
  <c r="C4083" i="34"/>
  <c r="C4082" i="34"/>
  <c r="C4081" i="34"/>
  <c r="C4080" i="34"/>
  <c r="C4079" i="34"/>
  <c r="C4078" i="34"/>
  <c r="C4077" i="34"/>
  <c r="C4076" i="34"/>
  <c r="C4075" i="34"/>
  <c r="C4074" i="34"/>
  <c r="C4073" i="34"/>
  <c r="C4072" i="34"/>
  <c r="C4071" i="34"/>
  <c r="C3740" i="34"/>
  <c r="C3739" i="34"/>
  <c r="C3738" i="34"/>
  <c r="C4070" i="34"/>
  <c r="C4069" i="34"/>
  <c r="C4068" i="34"/>
  <c r="C4067" i="34"/>
  <c r="C4066" i="34"/>
  <c r="C4065" i="34"/>
  <c r="C4064" i="34"/>
  <c r="C4063" i="34"/>
  <c r="C4062" i="34"/>
  <c r="C4061" i="34"/>
  <c r="C4060" i="34"/>
  <c r="C4059" i="34"/>
  <c r="C4058" i="34"/>
  <c r="C4057" i="34"/>
  <c r="C4056" i="34"/>
  <c r="C4055" i="34"/>
  <c r="C4054" i="34"/>
  <c r="C4053" i="34"/>
  <c r="C4052" i="34"/>
  <c r="C4051" i="34"/>
  <c r="C4050" i="34"/>
  <c r="C4049" i="34"/>
  <c r="C4048" i="34"/>
  <c r="C4047" i="34"/>
  <c r="C4046" i="34"/>
  <c r="C4045" i="34"/>
  <c r="C4044" i="34"/>
  <c r="C4043" i="34"/>
  <c r="C4042" i="34"/>
  <c r="C4041" i="34"/>
  <c r="C4040" i="34"/>
  <c r="C4039" i="34"/>
  <c r="C4038" i="34"/>
  <c r="C4037" i="34"/>
  <c r="C4036" i="34"/>
  <c r="C4032" i="34"/>
  <c r="C4031" i="34"/>
  <c r="C4030" i="34"/>
  <c r="C4028" i="34"/>
  <c r="C4027" i="34"/>
  <c r="C4026" i="34"/>
  <c r="C4025" i="34"/>
  <c r="C4024" i="34"/>
  <c r="C4023" i="34"/>
  <c r="C4022" i="34"/>
  <c r="C4021" i="34"/>
  <c r="C4020" i="34"/>
  <c r="C4019" i="34"/>
  <c r="C4018" i="34"/>
  <c r="C4017" i="34"/>
  <c r="C4016" i="34"/>
  <c r="C4015" i="34"/>
  <c r="C4014" i="34"/>
  <c r="C4013" i="34"/>
  <c r="C4012" i="34"/>
  <c r="C4011" i="34"/>
  <c r="C4010" i="34"/>
  <c r="C4009" i="34"/>
  <c r="C4008" i="34"/>
  <c r="C4007" i="34"/>
  <c r="C4006" i="34"/>
  <c r="C4005" i="34"/>
  <c r="C4004" i="34"/>
  <c r="C4003" i="34"/>
  <c r="C4002" i="34"/>
  <c r="C4001" i="34"/>
  <c r="C4000" i="34"/>
  <c r="C3999" i="34"/>
  <c r="C3998" i="34"/>
  <c r="C3997" i="34"/>
  <c r="C3996" i="34"/>
  <c r="C3995" i="34"/>
  <c r="C3994" i="34"/>
  <c r="C3993" i="34"/>
  <c r="C3992" i="34"/>
  <c r="C3991" i="34"/>
  <c r="C3990" i="34"/>
  <c r="C3989" i="34"/>
  <c r="C3988" i="34"/>
  <c r="C3987" i="34"/>
  <c r="C3986" i="34"/>
  <c r="C3985" i="34"/>
  <c r="C3984" i="34"/>
  <c r="C3983" i="34"/>
  <c r="C3982" i="34"/>
  <c r="C3981" i="34"/>
  <c r="C3980" i="34"/>
  <c r="C3979" i="34"/>
  <c r="C3978" i="34"/>
  <c r="C3977" i="34"/>
  <c r="C3976" i="34"/>
  <c r="C3975" i="34"/>
  <c r="C3974" i="34"/>
  <c r="C3973" i="34"/>
  <c r="C3972" i="34"/>
  <c r="C3971" i="34"/>
  <c r="C3970" i="34"/>
  <c r="C3969" i="34"/>
  <c r="C3968" i="34"/>
  <c r="C3967" i="34"/>
  <c r="C3966" i="34"/>
  <c r="C3965" i="34"/>
  <c r="C3964" i="34"/>
  <c r="C3963" i="34"/>
  <c r="C3962" i="34"/>
  <c r="C3961" i="34"/>
  <c r="C3960" i="34"/>
  <c r="C3959" i="34"/>
  <c r="C3958" i="34"/>
  <c r="C3957" i="34"/>
  <c r="C3956" i="34"/>
  <c r="C3955" i="34"/>
  <c r="C3954" i="34"/>
  <c r="C3953" i="34"/>
  <c r="C3952" i="34"/>
  <c r="C3951" i="34"/>
  <c r="C3950" i="34"/>
  <c r="C3949" i="34"/>
  <c r="C3948" i="34"/>
  <c r="C3947" i="34"/>
  <c r="C3946" i="34"/>
  <c r="C3945" i="34"/>
  <c r="C3944" i="34"/>
  <c r="C3943" i="34"/>
  <c r="C3942" i="34"/>
  <c r="C3941" i="34"/>
  <c r="C3940" i="34"/>
  <c r="C3939" i="34"/>
  <c r="C3938" i="34"/>
  <c r="C3937" i="34"/>
  <c r="C3936" i="34"/>
  <c r="C3935" i="34"/>
  <c r="C3934" i="34"/>
  <c r="C3933" i="34"/>
  <c r="C3932" i="34"/>
  <c r="C3931" i="34"/>
  <c r="C3930" i="34"/>
  <c r="C3929" i="34"/>
  <c r="C3928" i="34"/>
  <c r="C3927" i="34"/>
  <c r="C3926" i="34"/>
  <c r="C3925" i="34"/>
  <c r="C3924" i="34"/>
  <c r="C3923" i="34"/>
  <c r="C3922" i="34"/>
  <c r="C3921" i="34"/>
  <c r="C3920" i="34"/>
  <c r="C3919" i="34"/>
  <c r="C3918" i="34"/>
  <c r="C3917" i="34"/>
  <c r="C3916" i="34"/>
  <c r="C3915" i="34"/>
  <c r="C3914" i="34"/>
  <c r="C3913" i="34"/>
  <c r="C3912" i="34"/>
  <c r="C3911" i="34"/>
  <c r="C3910" i="34"/>
  <c r="C3909" i="34"/>
  <c r="C3908" i="34"/>
  <c r="C3907" i="34"/>
  <c r="C3906" i="34"/>
  <c r="C3905" i="34"/>
  <c r="C3904" i="34"/>
  <c r="C3903" i="34"/>
  <c r="C3902" i="34"/>
  <c r="C3901" i="34"/>
  <c r="C3900" i="34"/>
  <c r="C3899" i="34"/>
  <c r="C3898" i="34"/>
  <c r="C3897" i="34"/>
  <c r="C3896" i="34"/>
  <c r="C3895" i="34"/>
  <c r="C3894" i="34"/>
  <c r="C3893" i="34"/>
  <c r="C3892" i="34"/>
  <c r="C3891" i="34"/>
  <c r="C3890" i="34"/>
  <c r="C3889" i="34"/>
  <c r="C3888" i="34"/>
  <c r="C3887" i="34"/>
  <c r="C3886" i="34"/>
  <c r="C3885" i="34"/>
  <c r="C3884" i="34"/>
  <c r="C3883" i="34"/>
  <c r="C3882" i="34"/>
  <c r="C3881" i="34"/>
  <c r="C3880" i="34"/>
  <c r="C3879" i="34"/>
  <c r="C3878" i="34"/>
  <c r="C3877" i="34"/>
  <c r="C3876" i="34"/>
  <c r="C3875" i="34"/>
  <c r="C3874" i="34"/>
  <c r="C3873" i="34"/>
  <c r="C3872" i="34"/>
  <c r="C3871" i="34"/>
  <c r="C3870" i="34"/>
  <c r="C3869" i="34"/>
  <c r="C3868" i="34"/>
  <c r="C3867" i="34"/>
  <c r="C3866" i="34"/>
  <c r="C3865" i="34"/>
  <c r="C3864" i="34"/>
  <c r="C3863" i="34"/>
  <c r="C3862" i="34"/>
  <c r="C3861" i="34"/>
  <c r="C3860" i="34"/>
  <c r="C3859" i="34"/>
  <c r="C3858" i="34"/>
  <c r="C3857" i="34"/>
  <c r="C3856" i="34"/>
  <c r="C3822" i="34"/>
  <c r="C3821" i="34"/>
  <c r="C3855" i="34"/>
  <c r="C3854" i="34"/>
  <c r="C3853" i="34"/>
  <c r="C3852" i="34"/>
  <c r="C3851" i="34"/>
  <c r="C3850" i="34"/>
  <c r="C3849" i="34"/>
  <c r="C3848" i="34"/>
  <c r="C3847" i="34"/>
  <c r="C3846" i="34"/>
  <c r="C3845" i="34"/>
  <c r="C3844" i="34"/>
  <c r="C3843" i="34"/>
  <c r="C3842" i="34"/>
  <c r="C3841" i="34"/>
  <c r="C3840" i="34"/>
  <c r="C3839" i="34"/>
  <c r="C3838" i="34"/>
  <c r="C3837" i="34"/>
  <c r="C3836" i="34"/>
  <c r="C3835" i="34"/>
  <c r="C3834" i="34"/>
  <c r="C3833" i="34"/>
  <c r="C3832" i="34"/>
  <c r="C3831" i="34"/>
  <c r="C3830" i="34"/>
  <c r="C3829" i="34"/>
  <c r="C3828" i="34"/>
  <c r="C3827" i="34"/>
  <c r="C3826" i="34"/>
  <c r="C3825" i="34"/>
  <c r="C3824" i="34"/>
  <c r="C3823" i="34"/>
  <c r="C3737" i="34"/>
  <c r="C3820" i="34"/>
  <c r="C3819" i="34"/>
  <c r="C3818" i="34"/>
  <c r="C3817" i="34"/>
  <c r="C3816" i="34"/>
  <c r="C3815" i="34"/>
  <c r="C3814" i="34"/>
  <c r="C3813" i="34"/>
  <c r="C3812" i="34"/>
  <c r="C3811" i="34"/>
  <c r="C3810" i="34"/>
  <c r="C3809" i="34"/>
  <c r="C3808" i="34"/>
  <c r="C3807" i="34"/>
  <c r="C3806" i="34"/>
  <c r="C3805" i="34"/>
  <c r="C3804" i="34"/>
  <c r="C3803" i="34"/>
  <c r="C3802" i="34"/>
  <c r="C3801" i="34"/>
  <c r="C3800" i="34"/>
  <c r="C3799" i="34"/>
  <c r="C3798" i="34"/>
  <c r="C3797" i="34"/>
  <c r="C3796" i="34"/>
  <c r="C3795" i="34"/>
  <c r="C3794" i="34"/>
  <c r="C3793" i="34"/>
  <c r="C3792" i="34"/>
  <c r="C3791" i="34"/>
  <c r="C3790" i="34"/>
  <c r="C3789" i="34"/>
  <c r="C3788" i="34"/>
  <c r="C3787" i="34"/>
  <c r="C3786" i="34"/>
  <c r="C3785" i="34"/>
  <c r="C3784" i="34"/>
  <c r="C3783" i="34"/>
  <c r="C3782" i="34"/>
  <c r="C3781" i="34"/>
  <c r="C3780" i="34"/>
  <c r="C3779" i="34"/>
  <c r="C3778" i="34"/>
  <c r="C3777" i="34"/>
  <c r="C3776" i="34"/>
  <c r="C3775" i="34"/>
  <c r="C3774" i="34"/>
  <c r="C3773" i="34"/>
  <c r="C3772" i="34"/>
  <c r="C3771" i="34"/>
  <c r="C3770" i="34"/>
  <c r="C3769" i="34"/>
  <c r="C3768" i="34"/>
  <c r="C3767" i="34"/>
  <c r="C3766" i="34"/>
  <c r="C3765" i="34"/>
  <c r="C3764" i="34"/>
  <c r="C3763" i="34"/>
  <c r="C3762" i="34"/>
  <c r="C3761" i="34"/>
  <c r="C3760" i="34"/>
  <c r="C3759" i="34"/>
  <c r="C3758" i="34"/>
  <c r="C3757" i="34"/>
  <c r="C3756" i="34"/>
  <c r="C3755" i="34"/>
  <c r="C3754" i="34"/>
  <c r="C3753" i="34"/>
  <c r="C3752" i="34"/>
  <c r="C3751" i="34"/>
  <c r="C3750" i="34"/>
  <c r="C3749" i="34"/>
  <c r="C3748" i="34"/>
  <c r="C3747" i="34"/>
  <c r="C3746" i="34"/>
  <c r="C3745" i="34"/>
  <c r="C3744" i="34"/>
  <c r="C3743" i="34"/>
  <c r="C3742" i="34"/>
  <c r="C3741" i="34"/>
  <c r="C3736" i="34"/>
  <c r="C3735" i="34"/>
  <c r="C3734" i="34"/>
  <c r="C3733" i="34"/>
  <c r="C3732" i="34"/>
  <c r="C3731" i="34"/>
  <c r="C3730" i="34"/>
  <c r="C3729" i="34"/>
  <c r="C3728" i="34"/>
  <c r="C3727" i="34"/>
  <c r="C3726" i="34"/>
  <c r="C3725" i="34"/>
  <c r="C3724" i="34"/>
  <c r="C3723" i="34"/>
  <c r="C3720" i="34"/>
  <c r="C3719" i="34"/>
  <c r="C3718" i="34"/>
  <c r="C3717" i="34"/>
  <c r="C3713" i="34"/>
  <c r="C3712" i="34"/>
  <c r="C3701" i="34"/>
  <c r="C3700" i="34"/>
  <c r="C3699" i="34"/>
  <c r="C3716" i="34"/>
  <c r="C3711" i="34"/>
  <c r="C3710" i="34"/>
  <c r="C3709" i="34"/>
  <c r="C3708" i="34"/>
  <c r="C3707" i="34"/>
  <c r="C3706" i="34"/>
  <c r="C3705" i="34"/>
  <c r="C3704" i="34"/>
  <c r="C3703" i="34"/>
  <c r="C3702" i="34"/>
  <c r="C3698" i="34"/>
  <c r="C3697" i="34"/>
  <c r="C3696" i="34"/>
  <c r="C3695" i="34"/>
  <c r="C3694" i="34"/>
  <c r="C3693" i="34"/>
  <c r="C3692" i="34"/>
  <c r="C3691" i="34"/>
  <c r="C3690" i="34"/>
  <c r="C3689" i="34"/>
  <c r="C3688" i="34"/>
  <c r="C3687" i="34"/>
  <c r="C3686" i="34"/>
  <c r="C3685" i="34"/>
  <c r="C3684" i="34"/>
  <c r="C3683" i="34"/>
  <c r="C3682" i="34"/>
  <c r="C3681" i="34"/>
  <c r="C3680" i="34"/>
  <c r="C3679" i="34"/>
  <c r="C3678" i="34"/>
  <c r="C3677" i="34"/>
  <c r="C3676" i="34"/>
  <c r="C3675" i="34"/>
  <c r="C3674" i="34"/>
  <c r="C3673" i="34"/>
  <c r="C3672" i="34"/>
  <c r="C3671" i="34"/>
  <c r="C3670" i="34"/>
  <c r="C3669" i="34"/>
  <c r="C3668" i="34"/>
  <c r="C3667" i="34"/>
  <c r="C3666" i="34"/>
  <c r="C3665" i="34"/>
  <c r="C3664" i="34"/>
  <c r="C3663" i="34"/>
  <c r="C3662" i="34"/>
  <c r="C3661" i="34"/>
  <c r="C3660" i="34"/>
  <c r="C3659" i="34"/>
  <c r="C3654" i="34"/>
  <c r="C3653" i="34"/>
  <c r="C3652" i="34"/>
  <c r="C3651" i="34"/>
  <c r="C3650" i="34"/>
  <c r="C3649" i="34"/>
  <c r="C3648" i="34"/>
  <c r="C3647" i="34"/>
  <c r="C3646" i="34"/>
  <c r="C3645" i="34"/>
  <c r="C3644" i="34"/>
  <c r="C3643" i="34"/>
  <c r="C3642" i="34"/>
  <c r="C3641" i="34"/>
  <c r="C3640" i="34"/>
  <c r="C3639" i="34"/>
  <c r="C3638" i="34"/>
  <c r="C3637" i="34"/>
  <c r="C3636" i="34"/>
  <c r="C3635" i="34"/>
  <c r="C3634" i="34"/>
  <c r="C3633" i="34"/>
  <c r="C3632" i="34"/>
  <c r="C3631" i="34"/>
  <c r="C3630" i="34"/>
  <c r="C3629" i="34"/>
  <c r="C3628" i="34"/>
  <c r="C3627" i="34"/>
  <c r="C3626" i="34"/>
  <c r="C3625" i="34"/>
  <c r="C3624" i="34"/>
  <c r="C3623" i="34"/>
  <c r="C3622" i="34"/>
  <c r="C3621" i="34"/>
  <c r="C3620" i="34"/>
  <c r="C3619" i="34"/>
  <c r="C3618" i="34"/>
  <c r="C3617" i="34"/>
  <c r="C3616" i="34"/>
  <c r="C3615" i="34"/>
  <c r="C3614" i="34"/>
  <c r="C3613" i="34"/>
  <c r="C3612" i="34"/>
  <c r="C3611" i="34"/>
  <c r="C3610" i="34"/>
  <c r="C3609" i="34"/>
  <c r="C3608" i="34"/>
  <c r="C3607" i="34"/>
  <c r="C3606" i="34"/>
  <c r="C3605" i="34"/>
  <c r="C3604" i="34"/>
  <c r="C3603" i="34"/>
  <c r="C3602" i="34"/>
  <c r="C3601" i="34"/>
  <c r="C3600" i="34"/>
  <c r="C3599" i="34"/>
  <c r="C3598" i="34"/>
  <c r="C3597" i="34"/>
  <c r="C3596" i="34"/>
  <c r="C3595" i="34"/>
  <c r="C3594" i="34"/>
  <c r="C3593" i="34"/>
  <c r="C3592" i="34"/>
  <c r="C3591" i="34"/>
  <c r="C3590" i="34"/>
  <c r="C3589" i="34"/>
  <c r="C3588" i="34"/>
  <c r="C3587" i="34"/>
  <c r="C3586" i="34"/>
  <c r="C3585" i="34"/>
  <c r="C3584" i="34"/>
  <c r="C3583" i="34"/>
  <c r="C3582" i="34"/>
  <c r="C3581" i="34"/>
  <c r="C3580" i="34"/>
  <c r="C3579" i="34"/>
  <c r="C3578" i="34"/>
  <c r="C3577" i="34"/>
  <c r="C3576" i="34"/>
  <c r="C3575" i="34"/>
  <c r="C3574" i="34"/>
  <c r="C3573" i="34"/>
  <c r="C3560" i="34"/>
  <c r="C3559" i="34"/>
  <c r="C3572" i="34"/>
  <c r="C3571" i="34"/>
  <c r="C3445" i="34"/>
  <c r="C3444" i="34"/>
  <c r="C3494" i="34"/>
  <c r="C3493" i="34"/>
  <c r="C3566" i="34"/>
  <c r="C3565" i="34"/>
  <c r="C3564" i="34"/>
  <c r="C3563" i="34"/>
  <c r="C3562" i="34"/>
  <c r="C3561" i="34"/>
  <c r="C3558" i="34"/>
  <c r="C3557" i="34"/>
  <c r="C3556" i="34"/>
  <c r="C3555" i="34"/>
  <c r="C3554" i="34"/>
  <c r="C3553" i="34"/>
  <c r="C3552" i="34"/>
  <c r="C3551" i="34"/>
  <c r="C3550" i="34"/>
  <c r="C3549" i="34"/>
  <c r="C3548" i="34"/>
  <c r="C3547" i="34"/>
  <c r="C3546" i="34"/>
  <c r="C3545" i="34"/>
  <c r="C3544" i="34"/>
  <c r="C3543" i="34"/>
  <c r="C3542" i="34"/>
  <c r="C3541" i="34"/>
  <c r="C3540" i="34"/>
  <c r="C3539" i="34"/>
  <c r="C3538" i="34"/>
  <c r="C3537" i="34"/>
  <c r="C3536" i="34"/>
  <c r="C3535" i="34"/>
  <c r="C3534" i="34"/>
  <c r="C3533" i="34"/>
  <c r="C3532" i="34"/>
  <c r="C3531" i="34"/>
  <c r="C3530" i="34"/>
  <c r="C3529" i="34"/>
  <c r="C3528" i="34"/>
  <c r="C3527" i="34"/>
  <c r="C3526" i="34"/>
  <c r="C3525" i="34"/>
  <c r="C3524" i="34"/>
  <c r="C3523" i="34"/>
  <c r="C3522" i="34"/>
  <c r="C3521" i="34"/>
  <c r="C3520" i="34"/>
  <c r="C3519" i="34"/>
  <c r="C3518" i="34"/>
  <c r="C3517" i="34"/>
  <c r="C3516" i="34"/>
  <c r="C3515" i="34"/>
  <c r="C3514" i="34"/>
  <c r="C3513" i="34"/>
  <c r="C3512" i="34"/>
  <c r="C3511" i="34"/>
  <c r="C3510" i="34"/>
  <c r="C3509" i="34"/>
  <c r="C3508" i="34"/>
  <c r="C3507" i="34"/>
  <c r="C3506" i="34"/>
  <c r="C3505" i="34"/>
  <c r="C3504" i="34"/>
  <c r="C3503" i="34"/>
  <c r="C3502" i="34"/>
  <c r="C3501" i="34"/>
  <c r="C3500" i="34"/>
  <c r="C3499" i="34"/>
  <c r="C3498" i="34"/>
  <c r="C3496" i="34"/>
  <c r="C3495" i="34"/>
  <c r="C3492" i="34"/>
  <c r="C3491" i="34"/>
  <c r="C3490" i="34"/>
  <c r="C3489" i="34"/>
  <c r="C3488" i="34"/>
  <c r="C3487" i="34"/>
  <c r="C3486" i="34"/>
  <c r="C3485" i="34"/>
  <c r="C3484" i="34"/>
  <c r="C3483" i="34"/>
  <c r="C3482" i="34"/>
  <c r="C3481" i="34"/>
  <c r="C3480" i="34"/>
  <c r="C3479" i="34"/>
  <c r="C3478" i="34"/>
  <c r="C3477" i="34"/>
  <c r="C3476" i="34"/>
  <c r="C3475" i="34"/>
  <c r="C3472" i="34"/>
  <c r="C3471" i="34"/>
  <c r="C3470" i="34"/>
  <c r="C3469" i="34"/>
  <c r="C3468" i="34"/>
  <c r="C3467" i="34"/>
  <c r="C3466" i="34"/>
  <c r="C3465" i="34"/>
  <c r="C3464" i="34"/>
  <c r="C3463" i="34"/>
  <c r="C3462" i="34"/>
  <c r="C3461" i="34"/>
  <c r="C3460" i="34"/>
  <c r="C3459" i="34"/>
  <c r="C3458" i="34"/>
  <c r="C3455" i="34"/>
  <c r="C3457" i="34"/>
  <c r="C3456" i="34"/>
  <c r="C3454" i="34"/>
  <c r="C3453" i="34"/>
  <c r="C3452" i="34"/>
  <c r="C3451" i="34"/>
  <c r="C3450" i="34"/>
  <c r="C3449" i="34"/>
  <c r="C3448" i="34"/>
  <c r="C3447" i="34"/>
  <c r="C3446" i="34"/>
  <c r="C3443" i="34"/>
  <c r="C3442" i="34"/>
  <c r="C3441" i="34"/>
  <c r="C3440" i="34"/>
  <c r="C3439" i="34"/>
  <c r="C3438" i="34"/>
  <c r="C3437" i="34"/>
  <c r="C3436" i="34"/>
  <c r="C3435" i="34"/>
  <c r="C3434" i="34"/>
  <c r="C3433" i="34"/>
  <c r="C3432" i="34"/>
  <c r="C3427" i="34"/>
  <c r="AD3497" i="34"/>
  <c r="B3657" i="34"/>
  <c r="A3657" i="34" s="1"/>
  <c r="AD4033" i="34"/>
  <c r="B3722" i="34"/>
  <c r="A3722" i="34" s="1"/>
  <c r="AC4033" i="34"/>
  <c r="AB4033" i="34"/>
  <c r="Y4033" i="34"/>
  <c r="W4033" i="34"/>
  <c r="V4033" i="34"/>
  <c r="U4033" i="34"/>
  <c r="T4033" i="34"/>
  <c r="P4033" i="34"/>
  <c r="B4033" i="34"/>
  <c r="AC3721" i="34"/>
  <c r="AB3721" i="34"/>
  <c r="Y3721" i="34"/>
  <c r="W3721" i="34"/>
  <c r="V3721" i="34"/>
  <c r="U3721" i="34"/>
  <c r="T3721" i="34"/>
  <c r="P3721" i="34"/>
  <c r="AD3657" i="34"/>
  <c r="AC3657" i="34"/>
  <c r="AB3657" i="34"/>
  <c r="Y3657" i="34"/>
  <c r="W3657" i="34"/>
  <c r="V3657" i="34"/>
  <c r="U3657" i="34"/>
  <c r="T3657" i="34"/>
  <c r="P3657" i="34"/>
  <c r="AC3655" i="34"/>
  <c r="AB3655" i="34"/>
  <c r="Y3655" i="34"/>
  <c r="W3655" i="34"/>
  <c r="V3655" i="34"/>
  <c r="U3655" i="34"/>
  <c r="T3655" i="34"/>
  <c r="P3655" i="34"/>
  <c r="AC3497" i="34"/>
  <c r="AB3497" i="34"/>
  <c r="Y3497" i="34"/>
  <c r="W3497" i="34"/>
  <c r="V3497" i="34"/>
  <c r="U3497" i="34"/>
  <c r="T3497" i="34"/>
  <c r="P3497" i="34"/>
  <c r="B3497" i="34"/>
  <c r="A3497" i="34" s="1"/>
  <c r="AD3473" i="34"/>
  <c r="AC3473" i="34"/>
  <c r="AB3473" i="34"/>
  <c r="Y3473" i="34"/>
  <c r="W3473" i="34"/>
  <c r="V3473" i="34"/>
  <c r="U3473" i="34"/>
  <c r="T3473" i="34"/>
  <c r="P3473" i="34"/>
  <c r="AD3722" i="34"/>
  <c r="AC3722" i="34"/>
  <c r="AB3722" i="34"/>
  <c r="Y3722" i="34"/>
  <c r="W3722" i="34"/>
  <c r="V3722" i="34"/>
  <c r="U3722" i="34"/>
  <c r="T3722" i="34"/>
  <c r="P3722" i="34"/>
  <c r="AC3658" i="34"/>
  <c r="AB3658" i="34"/>
  <c r="Y3658" i="34"/>
  <c r="W3658" i="34"/>
  <c r="V3658" i="34"/>
  <c r="U3658" i="34"/>
  <c r="T3658" i="34"/>
  <c r="P3658" i="34"/>
  <c r="B3658" i="34"/>
  <c r="A3658" i="34" s="1"/>
  <c r="AC3656" i="34"/>
  <c r="AB3656" i="34"/>
  <c r="Y3656" i="34"/>
  <c r="W3656" i="34"/>
  <c r="V3656" i="34"/>
  <c r="U3656" i="34"/>
  <c r="T3656" i="34"/>
  <c r="P3656" i="34"/>
  <c r="B3656" i="34"/>
  <c r="A3656" i="34" s="1"/>
  <c r="AC3474" i="34"/>
  <c r="AB3474" i="34"/>
  <c r="Y3474" i="34"/>
  <c r="W3474" i="34"/>
  <c r="V3474" i="34"/>
  <c r="U3474" i="34"/>
  <c r="T3474" i="34"/>
  <c r="P3474" i="34"/>
  <c r="B3474" i="34"/>
  <c r="A3474" i="34" s="1"/>
  <c r="AC4034" i="34"/>
  <c r="AB4034" i="34"/>
  <c r="Y4034" i="34"/>
  <c r="W4034" i="34"/>
  <c r="V4034" i="34"/>
  <c r="U4034" i="34"/>
  <c r="T4034" i="34"/>
  <c r="P4034" i="34"/>
  <c r="B4034" i="34"/>
  <c r="AD3721" i="34" l="1"/>
  <c r="Q5508" i="34"/>
  <c r="A5508" i="34"/>
  <c r="S5508" i="34"/>
  <c r="R5508" i="34"/>
  <c r="Q5382" i="34"/>
  <c r="A5382" i="34"/>
  <c r="S5382" i="34"/>
  <c r="R5382" i="34"/>
  <c r="S5049" i="34"/>
  <c r="R5049" i="34"/>
  <c r="A5049" i="34"/>
  <c r="Q5394" i="34"/>
  <c r="A5394" i="34"/>
  <c r="S5394" i="34"/>
  <c r="R5394" i="34"/>
  <c r="Q4997" i="34"/>
  <c r="A4997" i="34"/>
  <c r="S4997" i="34"/>
  <c r="R4997" i="34"/>
  <c r="Q4034" i="34"/>
  <c r="A4034" i="34"/>
  <c r="Q4033" i="34"/>
  <c r="A4033" i="34"/>
  <c r="B4566" i="34"/>
  <c r="B4949" i="34"/>
  <c r="R4949" i="34" s="1"/>
  <c r="AD4989" i="34"/>
  <c r="AD4767" i="34"/>
  <c r="R4989" i="34"/>
  <c r="Q4989" i="34"/>
  <c r="S4989" i="34"/>
  <c r="B4990" i="34"/>
  <c r="A4990" i="34" s="1"/>
  <c r="R4948" i="34"/>
  <c r="Q4948" i="34"/>
  <c r="S4948" i="34"/>
  <c r="AD4948" i="34"/>
  <c r="R4767" i="34"/>
  <c r="Q4767" i="34"/>
  <c r="S4767" i="34"/>
  <c r="B4768" i="34"/>
  <c r="A4768" i="34" s="1"/>
  <c r="AD4565" i="34"/>
  <c r="R4565" i="34"/>
  <c r="Q4565" i="34"/>
  <c r="S4565" i="34"/>
  <c r="B4234" i="34"/>
  <c r="B4564" i="34"/>
  <c r="A4564" i="34" s="1"/>
  <c r="R4233" i="34"/>
  <c r="Q4233" i="34"/>
  <c r="S4233" i="34"/>
  <c r="AD4233" i="34"/>
  <c r="Q3658" i="34"/>
  <c r="Q3473" i="34"/>
  <c r="Q3656" i="34"/>
  <c r="Q3721" i="34"/>
  <c r="Q3474" i="34"/>
  <c r="Q3497" i="34"/>
  <c r="Q3722" i="34"/>
  <c r="Q3657" i="34"/>
  <c r="Q3655" i="34"/>
  <c r="AD3655" i="34"/>
  <c r="R3473" i="34"/>
  <c r="R3497" i="34"/>
  <c r="R3655" i="34"/>
  <c r="R3657" i="34"/>
  <c r="R3721" i="34"/>
  <c r="R4033" i="34"/>
  <c r="S3473" i="34"/>
  <c r="S3497" i="34"/>
  <c r="S3655" i="34"/>
  <c r="S3657" i="34"/>
  <c r="S3721" i="34"/>
  <c r="S4033" i="34"/>
  <c r="R3474" i="34"/>
  <c r="R3656" i="34"/>
  <c r="R3658" i="34"/>
  <c r="R3722" i="34"/>
  <c r="S3474" i="34"/>
  <c r="S3656" i="34"/>
  <c r="S3658" i="34"/>
  <c r="S3722" i="34"/>
  <c r="R4034" i="34"/>
  <c r="S4034" i="34"/>
  <c r="AC3415" i="34"/>
  <c r="AB3415" i="34"/>
  <c r="Y3415" i="34"/>
  <c r="W3415" i="34"/>
  <c r="V3415" i="34"/>
  <c r="U3415" i="34"/>
  <c r="T3415" i="34"/>
  <c r="P3415" i="34"/>
  <c r="C3415" i="34"/>
  <c r="AD3415" i="34" s="1"/>
  <c r="AC3409" i="34"/>
  <c r="AB3409" i="34"/>
  <c r="Y3409" i="34"/>
  <c r="W3409" i="34"/>
  <c r="V3409" i="34"/>
  <c r="U3409" i="34"/>
  <c r="T3409" i="34"/>
  <c r="P3409" i="34"/>
  <c r="C3409" i="34"/>
  <c r="B3409" i="34" s="1"/>
  <c r="A3409" i="34" s="1"/>
  <c r="AC3422" i="34"/>
  <c r="AB3422" i="34"/>
  <c r="Y3422" i="34"/>
  <c r="W3422" i="34"/>
  <c r="V3422" i="34"/>
  <c r="U3422" i="34"/>
  <c r="T3422" i="34"/>
  <c r="P3422" i="34"/>
  <c r="C3422" i="34"/>
  <c r="AD3422" i="34" s="1"/>
  <c r="AC3420" i="34"/>
  <c r="AB3420" i="34"/>
  <c r="Y3420" i="34"/>
  <c r="W3420" i="34"/>
  <c r="V3420" i="34"/>
  <c r="U3420" i="34"/>
  <c r="T3420" i="34"/>
  <c r="P3420" i="34"/>
  <c r="C3420" i="34"/>
  <c r="B3420" i="34" s="1"/>
  <c r="A3420" i="34" s="1"/>
  <c r="AC3414" i="34"/>
  <c r="AB3414" i="34"/>
  <c r="Y3414" i="34"/>
  <c r="W3414" i="34"/>
  <c r="V3414" i="34"/>
  <c r="U3414" i="34"/>
  <c r="T3414" i="34"/>
  <c r="P3414" i="34"/>
  <c r="C3414" i="34"/>
  <c r="AD3414" i="34" s="1"/>
  <c r="AC3407" i="34"/>
  <c r="AB3407" i="34"/>
  <c r="Y3407" i="34"/>
  <c r="W3407" i="34"/>
  <c r="V3407" i="34"/>
  <c r="U3407" i="34"/>
  <c r="T3407" i="34"/>
  <c r="P3407" i="34"/>
  <c r="C3407" i="34"/>
  <c r="B3407" i="34" s="1"/>
  <c r="A3407" i="34" s="1"/>
  <c r="AC4138" i="34"/>
  <c r="AB4138" i="34"/>
  <c r="Y4138" i="34"/>
  <c r="W4138" i="34"/>
  <c r="V4138" i="34"/>
  <c r="U4138" i="34"/>
  <c r="T4138" i="34"/>
  <c r="P4138" i="34"/>
  <c r="AD4138" i="34"/>
  <c r="AC3387" i="34"/>
  <c r="AB3387" i="34"/>
  <c r="Y3387" i="34"/>
  <c r="W3387" i="34"/>
  <c r="V3387" i="34"/>
  <c r="U3387" i="34"/>
  <c r="T3387" i="34"/>
  <c r="P3387" i="34"/>
  <c r="C3387" i="34"/>
  <c r="B3387" i="34" s="1"/>
  <c r="A3387" i="34" s="1"/>
  <c r="AC3386" i="34"/>
  <c r="AB3386" i="34"/>
  <c r="Y3386" i="34"/>
  <c r="W3386" i="34"/>
  <c r="V3386" i="34"/>
  <c r="U3386" i="34"/>
  <c r="T3386" i="34"/>
  <c r="P3386" i="34"/>
  <c r="C3386" i="34"/>
  <c r="AD3386" i="34" s="1"/>
  <c r="AC3419" i="34"/>
  <c r="AB3419" i="34"/>
  <c r="Y3419" i="34"/>
  <c r="W3419" i="34"/>
  <c r="V3419" i="34"/>
  <c r="U3419" i="34"/>
  <c r="T3419" i="34"/>
  <c r="P3419" i="34"/>
  <c r="C3419" i="34"/>
  <c r="AD3419" i="34" s="1"/>
  <c r="AC3423" i="34"/>
  <c r="AB3423" i="34"/>
  <c r="Y3423" i="34"/>
  <c r="W3423" i="34"/>
  <c r="V3423" i="34"/>
  <c r="U3423" i="34"/>
  <c r="T3423" i="34"/>
  <c r="P3423" i="34"/>
  <c r="C3423" i="34"/>
  <c r="AD3423" i="34" s="1"/>
  <c r="AC3421" i="34"/>
  <c r="AB3421" i="34"/>
  <c r="Y3421" i="34"/>
  <c r="W3421" i="34"/>
  <c r="V3421" i="34"/>
  <c r="U3421" i="34"/>
  <c r="T3421" i="34"/>
  <c r="P3421" i="34"/>
  <c r="C3421" i="34"/>
  <c r="B3421" i="34" s="1"/>
  <c r="A3421" i="34" s="1"/>
  <c r="AC4460" i="34"/>
  <c r="AB4460" i="34"/>
  <c r="Y4460" i="34"/>
  <c r="W4460" i="34"/>
  <c r="V4460" i="34"/>
  <c r="U4460" i="34"/>
  <c r="T4460" i="34"/>
  <c r="P4460" i="34"/>
  <c r="AD4460" i="34"/>
  <c r="AC4548" i="34"/>
  <c r="AB4548" i="34"/>
  <c r="Y4548" i="34"/>
  <c r="W4548" i="34"/>
  <c r="V4548" i="34"/>
  <c r="U4548" i="34"/>
  <c r="T4548" i="34"/>
  <c r="P4548" i="34"/>
  <c r="B4548" i="34"/>
  <c r="A4548" i="34" s="1"/>
  <c r="AC4639" i="34"/>
  <c r="AB4639" i="34"/>
  <c r="Y4639" i="34"/>
  <c r="W4639" i="34"/>
  <c r="V4639" i="34"/>
  <c r="U4639" i="34"/>
  <c r="T4639" i="34"/>
  <c r="P4639" i="34"/>
  <c r="B4639" i="34"/>
  <c r="A4639" i="34" s="1"/>
  <c r="AC5337" i="34"/>
  <c r="AB5337" i="34"/>
  <c r="Y5337" i="34"/>
  <c r="W5337" i="34"/>
  <c r="V5337" i="34"/>
  <c r="U5337" i="34"/>
  <c r="T5337" i="34"/>
  <c r="P5337" i="34"/>
  <c r="B5337" i="34"/>
  <c r="A5337" i="34" s="1"/>
  <c r="AC4105" i="34"/>
  <c r="AB4105" i="34"/>
  <c r="Y4105" i="34"/>
  <c r="W4105" i="34"/>
  <c r="V4105" i="34"/>
  <c r="U4105" i="34"/>
  <c r="T4105" i="34"/>
  <c r="P4105" i="34"/>
  <c r="AD4105" i="34"/>
  <c r="AC4104" i="34"/>
  <c r="AB4104" i="34"/>
  <c r="Y4104" i="34"/>
  <c r="W4104" i="34"/>
  <c r="V4104" i="34"/>
  <c r="U4104" i="34"/>
  <c r="T4104" i="34"/>
  <c r="P4104" i="34"/>
  <c r="B4104" i="34"/>
  <c r="A4104" i="34" s="1"/>
  <c r="AC5675" i="34"/>
  <c r="AB5675" i="34"/>
  <c r="Y5675" i="34"/>
  <c r="W5675" i="34"/>
  <c r="V5675" i="34"/>
  <c r="U5675" i="34"/>
  <c r="T5675" i="34"/>
  <c r="P5675" i="34"/>
  <c r="B5675" i="34"/>
  <c r="A5675" i="34" s="1"/>
  <c r="AC4490" i="34"/>
  <c r="AB4490" i="34"/>
  <c r="Y4490" i="34"/>
  <c r="W4490" i="34"/>
  <c r="V4490" i="34"/>
  <c r="U4490" i="34"/>
  <c r="T4490" i="34"/>
  <c r="P4490" i="34"/>
  <c r="AD4490" i="34"/>
  <c r="AC4461" i="34"/>
  <c r="AB4461" i="34"/>
  <c r="Y4461" i="34"/>
  <c r="W4461" i="34"/>
  <c r="V4461" i="34"/>
  <c r="U4461" i="34"/>
  <c r="T4461" i="34"/>
  <c r="P4461" i="34"/>
  <c r="B4461" i="34"/>
  <c r="A4461" i="34" s="1"/>
  <c r="AC3397" i="34"/>
  <c r="AB3397" i="34"/>
  <c r="Y3397" i="34"/>
  <c r="W3397" i="34"/>
  <c r="V3397" i="34"/>
  <c r="U3397" i="34"/>
  <c r="T3397" i="34"/>
  <c r="P3397" i="34"/>
  <c r="C3397" i="34"/>
  <c r="AD3397" i="34" s="1"/>
  <c r="AC3394" i="34"/>
  <c r="AB3394" i="34"/>
  <c r="Y3394" i="34"/>
  <c r="W3394" i="34"/>
  <c r="V3394" i="34"/>
  <c r="U3394" i="34"/>
  <c r="T3394" i="34"/>
  <c r="P3394" i="34"/>
  <c r="C3394" i="34"/>
  <c r="B3394" i="34" s="1"/>
  <c r="A3394" i="34" s="1"/>
  <c r="AC3418" i="34"/>
  <c r="AB3418" i="34"/>
  <c r="Y3418" i="34"/>
  <c r="W3418" i="34"/>
  <c r="V3418" i="34"/>
  <c r="U3418" i="34"/>
  <c r="T3418" i="34"/>
  <c r="P3418" i="34"/>
  <c r="C3418" i="34"/>
  <c r="AD3418" i="34" s="1"/>
  <c r="AC3398" i="34"/>
  <c r="AB3398" i="34"/>
  <c r="Y3398" i="34"/>
  <c r="W3398" i="34"/>
  <c r="V3398" i="34"/>
  <c r="U3398" i="34"/>
  <c r="T3398" i="34"/>
  <c r="P3398" i="34"/>
  <c r="C3398" i="34"/>
  <c r="B3398" i="34" s="1"/>
  <c r="A3398" i="34" s="1"/>
  <c r="AC3392" i="34"/>
  <c r="AB3392" i="34"/>
  <c r="Y3392" i="34"/>
  <c r="W3392" i="34"/>
  <c r="V3392" i="34"/>
  <c r="U3392" i="34"/>
  <c r="T3392" i="34"/>
  <c r="P3392" i="34"/>
  <c r="C3392" i="34"/>
  <c r="AD3392" i="34" s="1"/>
  <c r="AC3359" i="34"/>
  <c r="AB3359" i="34"/>
  <c r="Y3359" i="34"/>
  <c r="W3359" i="34"/>
  <c r="V3359" i="34"/>
  <c r="U3359" i="34"/>
  <c r="T3359" i="34"/>
  <c r="P3359" i="34"/>
  <c r="C3359" i="34"/>
  <c r="B3359" i="34" s="1"/>
  <c r="A3359" i="34" s="1"/>
  <c r="AC3352" i="34"/>
  <c r="AB3352" i="34"/>
  <c r="Y3352" i="34"/>
  <c r="W3352" i="34"/>
  <c r="V3352" i="34"/>
  <c r="U3352" i="34"/>
  <c r="T3352" i="34"/>
  <c r="P3352" i="34"/>
  <c r="C3352" i="34"/>
  <c r="B3352" i="34" s="1"/>
  <c r="A3352" i="34" s="1"/>
  <c r="AC3391" i="34"/>
  <c r="AB3391" i="34"/>
  <c r="Y3391" i="34"/>
  <c r="W3391" i="34"/>
  <c r="V3391" i="34"/>
  <c r="U3391" i="34"/>
  <c r="T3391" i="34"/>
  <c r="P3391" i="34"/>
  <c r="C3391" i="34"/>
  <c r="B3391" i="34" s="1"/>
  <c r="A3391" i="34" s="1"/>
  <c r="AC3424" i="34"/>
  <c r="AB3424" i="34"/>
  <c r="Y3424" i="34"/>
  <c r="W3424" i="34"/>
  <c r="V3424" i="34"/>
  <c r="U3424" i="34"/>
  <c r="T3424" i="34"/>
  <c r="P3424" i="34"/>
  <c r="C3424" i="34"/>
  <c r="AD3424" i="34" s="1"/>
  <c r="AC3417" i="34"/>
  <c r="AB3417" i="34"/>
  <c r="Y3417" i="34"/>
  <c r="W3417" i="34"/>
  <c r="V3417" i="34"/>
  <c r="U3417" i="34"/>
  <c r="T3417" i="34"/>
  <c r="P3417" i="34"/>
  <c r="C3417" i="34"/>
  <c r="B3417" i="34" s="1"/>
  <c r="A3417" i="34" s="1"/>
  <c r="AC3412" i="34"/>
  <c r="AB3412" i="34"/>
  <c r="Y3412" i="34"/>
  <c r="W3412" i="34"/>
  <c r="V3412" i="34"/>
  <c r="U3412" i="34"/>
  <c r="T3412" i="34"/>
  <c r="P3412" i="34"/>
  <c r="C3412" i="34"/>
  <c r="AD3412" i="34" s="1"/>
  <c r="AC3411" i="34"/>
  <c r="AB3411" i="34"/>
  <c r="Y3411" i="34"/>
  <c r="W3411" i="34"/>
  <c r="V3411" i="34"/>
  <c r="U3411" i="34"/>
  <c r="T3411" i="34"/>
  <c r="P3411" i="34"/>
  <c r="C3411" i="34"/>
  <c r="B3411" i="34" s="1"/>
  <c r="A3411" i="34" s="1"/>
  <c r="AC3399" i="34"/>
  <c r="AB3399" i="34"/>
  <c r="Y3399" i="34"/>
  <c r="W3399" i="34"/>
  <c r="V3399" i="34"/>
  <c r="U3399" i="34"/>
  <c r="T3399" i="34"/>
  <c r="P3399" i="34"/>
  <c r="C3399" i="34"/>
  <c r="AD3399" i="34" s="1"/>
  <c r="AC3400" i="34"/>
  <c r="AB3400" i="34"/>
  <c r="Y3400" i="34"/>
  <c r="W3400" i="34"/>
  <c r="V3400" i="34"/>
  <c r="U3400" i="34"/>
  <c r="T3400" i="34"/>
  <c r="P3400" i="34"/>
  <c r="C3400" i="34"/>
  <c r="AD3400" i="34" s="1"/>
  <c r="AC3373" i="34"/>
  <c r="AB3373" i="34"/>
  <c r="Y3373" i="34"/>
  <c r="W3373" i="34"/>
  <c r="V3373" i="34"/>
  <c r="U3373" i="34"/>
  <c r="T3373" i="34"/>
  <c r="P3373" i="34"/>
  <c r="C3373" i="34"/>
  <c r="B3373" i="34" s="1"/>
  <c r="A3373" i="34" s="1"/>
  <c r="AC3370" i="34"/>
  <c r="AB3370" i="34"/>
  <c r="Y3370" i="34"/>
  <c r="W3370" i="34"/>
  <c r="V3370" i="34"/>
  <c r="U3370" i="34"/>
  <c r="T3370" i="34"/>
  <c r="P3370" i="34"/>
  <c r="C3370" i="34"/>
  <c r="AD3370" i="34" s="1"/>
  <c r="AC3369" i="34"/>
  <c r="AB3369" i="34"/>
  <c r="Y3369" i="34"/>
  <c r="W3369" i="34"/>
  <c r="V3369" i="34"/>
  <c r="U3369" i="34"/>
  <c r="T3369" i="34"/>
  <c r="P3369" i="34"/>
  <c r="C3369" i="34"/>
  <c r="B3369" i="34" s="1"/>
  <c r="A3369" i="34" s="1"/>
  <c r="AC3384" i="34"/>
  <c r="AB3384" i="34"/>
  <c r="Y3384" i="34"/>
  <c r="W3384" i="34"/>
  <c r="V3384" i="34"/>
  <c r="U3384" i="34"/>
  <c r="T3384" i="34"/>
  <c r="P3384" i="34"/>
  <c r="C3384" i="34"/>
  <c r="AD3384" i="34" s="1"/>
  <c r="AC3382" i="34"/>
  <c r="AB3382" i="34"/>
  <c r="Y3382" i="34"/>
  <c r="W3382" i="34"/>
  <c r="V3382" i="34"/>
  <c r="U3382" i="34"/>
  <c r="T3382" i="34"/>
  <c r="P3382" i="34"/>
  <c r="C3382" i="34"/>
  <c r="B3382" i="34" s="1"/>
  <c r="A3382" i="34" s="1"/>
  <c r="AC3378" i="34"/>
  <c r="AB3378" i="34"/>
  <c r="Y3378" i="34"/>
  <c r="W3378" i="34"/>
  <c r="V3378" i="34"/>
  <c r="U3378" i="34"/>
  <c r="T3378" i="34"/>
  <c r="P3378" i="34"/>
  <c r="C3378" i="34"/>
  <c r="B3378" i="34" s="1"/>
  <c r="A3378" i="34" s="1"/>
  <c r="AC3374" i="34"/>
  <c r="AB3374" i="34"/>
  <c r="Y3374" i="34"/>
  <c r="W3374" i="34"/>
  <c r="V3374" i="34"/>
  <c r="U3374" i="34"/>
  <c r="T3374" i="34"/>
  <c r="P3374" i="34"/>
  <c r="C3374" i="34"/>
  <c r="B3374" i="34" s="1"/>
  <c r="A3374" i="34" s="1"/>
  <c r="AC3367" i="34"/>
  <c r="AB3367" i="34"/>
  <c r="Y3367" i="34"/>
  <c r="W3367" i="34"/>
  <c r="V3367" i="34"/>
  <c r="U3367" i="34"/>
  <c r="T3367" i="34"/>
  <c r="P3367" i="34"/>
  <c r="C3367" i="34"/>
  <c r="AD3367" i="34" s="1"/>
  <c r="AC3393" i="34"/>
  <c r="AB3393" i="34"/>
  <c r="Y3393" i="34"/>
  <c r="W3393" i="34"/>
  <c r="V3393" i="34"/>
  <c r="U3393" i="34"/>
  <c r="T3393" i="34"/>
  <c r="P3393" i="34"/>
  <c r="C3393" i="34"/>
  <c r="B3393" i="34" s="1"/>
  <c r="A3393" i="34" s="1"/>
  <c r="AC3396" i="34"/>
  <c r="AB3396" i="34"/>
  <c r="Y3396" i="34"/>
  <c r="W3396" i="34"/>
  <c r="V3396" i="34"/>
  <c r="U3396" i="34"/>
  <c r="T3396" i="34"/>
  <c r="P3396" i="34"/>
  <c r="C3396" i="34"/>
  <c r="B3396" i="34" s="1"/>
  <c r="A3396" i="34" s="1"/>
  <c r="AC3395" i="34"/>
  <c r="AB3395" i="34"/>
  <c r="Y3395" i="34"/>
  <c r="W3395" i="34"/>
  <c r="V3395" i="34"/>
  <c r="U3395" i="34"/>
  <c r="T3395" i="34"/>
  <c r="P3395" i="34"/>
  <c r="C3395" i="34"/>
  <c r="B3395" i="34" s="1"/>
  <c r="A3395" i="34" s="1"/>
  <c r="AC3375" i="34"/>
  <c r="AB3375" i="34"/>
  <c r="Y3375" i="34"/>
  <c r="W3375" i="34"/>
  <c r="V3375" i="34"/>
  <c r="U3375" i="34"/>
  <c r="T3375" i="34"/>
  <c r="P3375" i="34"/>
  <c r="C3375" i="34"/>
  <c r="AD3375" i="34" s="1"/>
  <c r="AC3406" i="34"/>
  <c r="AB3406" i="34"/>
  <c r="Y3406" i="34"/>
  <c r="W3406" i="34"/>
  <c r="V3406" i="34"/>
  <c r="U3406" i="34"/>
  <c r="T3406" i="34"/>
  <c r="P3406" i="34"/>
  <c r="C3406" i="34"/>
  <c r="AD3406" i="34" s="1"/>
  <c r="AC3404" i="34"/>
  <c r="AB3404" i="34"/>
  <c r="Y3404" i="34"/>
  <c r="W3404" i="34"/>
  <c r="V3404" i="34"/>
  <c r="U3404" i="34"/>
  <c r="T3404" i="34"/>
  <c r="P3404" i="34"/>
  <c r="C3404" i="34"/>
  <c r="AD3404" i="34" s="1"/>
  <c r="AC3401" i="34"/>
  <c r="AB3401" i="34"/>
  <c r="Y3401" i="34"/>
  <c r="W3401" i="34"/>
  <c r="V3401" i="34"/>
  <c r="U3401" i="34"/>
  <c r="T3401" i="34"/>
  <c r="P3401" i="34"/>
  <c r="C3401" i="34"/>
  <c r="B3401" i="34" s="1"/>
  <c r="A3401" i="34" s="1"/>
  <c r="AC3405" i="34"/>
  <c r="AB3405" i="34"/>
  <c r="Y3405" i="34"/>
  <c r="W3405" i="34"/>
  <c r="V3405" i="34"/>
  <c r="U3405" i="34"/>
  <c r="T3405" i="34"/>
  <c r="P3405" i="34"/>
  <c r="C3405" i="34"/>
  <c r="AD3405" i="34" s="1"/>
  <c r="AC3403" i="34"/>
  <c r="AB3403" i="34"/>
  <c r="Y3403" i="34"/>
  <c r="W3403" i="34"/>
  <c r="V3403" i="34"/>
  <c r="U3403" i="34"/>
  <c r="T3403" i="34"/>
  <c r="P3403" i="34"/>
  <c r="C3403" i="34"/>
  <c r="AD3403" i="34" s="1"/>
  <c r="AC3351" i="34"/>
  <c r="AB3351" i="34"/>
  <c r="Y3351" i="34"/>
  <c r="W3351" i="34"/>
  <c r="V3351" i="34"/>
  <c r="U3351" i="34"/>
  <c r="T3351" i="34"/>
  <c r="P3351" i="34"/>
  <c r="C3351" i="34"/>
  <c r="AD3351" i="34" s="1"/>
  <c r="AC3363" i="34"/>
  <c r="AB3363" i="34"/>
  <c r="Y3363" i="34"/>
  <c r="W3363" i="34"/>
  <c r="V3363" i="34"/>
  <c r="U3363" i="34"/>
  <c r="T3363" i="34"/>
  <c r="P3363" i="34"/>
  <c r="C3363" i="34"/>
  <c r="B3363" i="34" s="1"/>
  <c r="A3363" i="34" s="1"/>
  <c r="AC3353" i="34"/>
  <c r="AB3353" i="34"/>
  <c r="Y3353" i="34"/>
  <c r="W3353" i="34"/>
  <c r="V3353" i="34"/>
  <c r="U3353" i="34"/>
  <c r="T3353" i="34"/>
  <c r="P3353" i="34"/>
  <c r="C3353" i="34"/>
  <c r="AD3353" i="34" s="1"/>
  <c r="AC3350" i="34"/>
  <c r="AB3350" i="34"/>
  <c r="Y3350" i="34"/>
  <c r="W3350" i="34"/>
  <c r="V3350" i="34"/>
  <c r="U3350" i="34"/>
  <c r="T3350" i="34"/>
  <c r="P3350" i="34"/>
  <c r="C3350" i="34"/>
  <c r="B3350" i="34" s="1"/>
  <c r="A3350" i="34" s="1"/>
  <c r="AC3357" i="34"/>
  <c r="AB3357" i="34"/>
  <c r="Y3357" i="34"/>
  <c r="W3357" i="34"/>
  <c r="V3357" i="34"/>
  <c r="U3357" i="34"/>
  <c r="T3357" i="34"/>
  <c r="P3357" i="34"/>
  <c r="C3357" i="34"/>
  <c r="AD3357" i="34" s="1"/>
  <c r="AC3388" i="34"/>
  <c r="AB3388" i="34"/>
  <c r="Y3388" i="34"/>
  <c r="W3388" i="34"/>
  <c r="V3388" i="34"/>
  <c r="U3388" i="34"/>
  <c r="T3388" i="34"/>
  <c r="P3388" i="34"/>
  <c r="C3388" i="34"/>
  <c r="B3388" i="34" s="1"/>
  <c r="A3388" i="34" s="1"/>
  <c r="AC3380" i="34"/>
  <c r="AB3380" i="34"/>
  <c r="Y3380" i="34"/>
  <c r="W3380" i="34"/>
  <c r="V3380" i="34"/>
  <c r="U3380" i="34"/>
  <c r="T3380" i="34"/>
  <c r="P3380" i="34"/>
  <c r="C3380" i="34"/>
  <c r="AD3380" i="34" s="1"/>
  <c r="AC3376" i="34"/>
  <c r="AB3376" i="34"/>
  <c r="Y3376" i="34"/>
  <c r="W3376" i="34"/>
  <c r="V3376" i="34"/>
  <c r="U3376" i="34"/>
  <c r="T3376" i="34"/>
  <c r="P3376" i="34"/>
  <c r="C3376" i="34"/>
  <c r="B3376" i="34" s="1"/>
  <c r="A3376" i="34" s="1"/>
  <c r="AC3371" i="34"/>
  <c r="AB3371" i="34"/>
  <c r="Y3371" i="34"/>
  <c r="W3371" i="34"/>
  <c r="V3371" i="34"/>
  <c r="U3371" i="34"/>
  <c r="T3371" i="34"/>
  <c r="P3371" i="34"/>
  <c r="C3371" i="34"/>
  <c r="AD3371" i="34" s="1"/>
  <c r="AC3366" i="34"/>
  <c r="AB3366" i="34"/>
  <c r="Y3366" i="34"/>
  <c r="W3366" i="34"/>
  <c r="V3366" i="34"/>
  <c r="U3366" i="34"/>
  <c r="T3366" i="34"/>
  <c r="P3366" i="34"/>
  <c r="C3366" i="34"/>
  <c r="AD3366" i="34" s="1"/>
  <c r="AC3362" i="34"/>
  <c r="AB3362" i="34"/>
  <c r="Y3362" i="34"/>
  <c r="W3362" i="34"/>
  <c r="V3362" i="34"/>
  <c r="U3362" i="34"/>
  <c r="T3362" i="34"/>
  <c r="P3362" i="34"/>
  <c r="C3362" i="34"/>
  <c r="B3362" i="34" s="1"/>
  <c r="A3362" i="34" s="1"/>
  <c r="AC3360" i="34"/>
  <c r="AB3360" i="34"/>
  <c r="Y3360" i="34"/>
  <c r="W3360" i="34"/>
  <c r="V3360" i="34"/>
  <c r="U3360" i="34"/>
  <c r="T3360" i="34"/>
  <c r="P3360" i="34"/>
  <c r="C3360" i="34"/>
  <c r="B3360" i="34" s="1"/>
  <c r="A3360" i="34" s="1"/>
  <c r="AC3354" i="34"/>
  <c r="AB3354" i="34"/>
  <c r="Y3354" i="34"/>
  <c r="W3354" i="34"/>
  <c r="V3354" i="34"/>
  <c r="U3354" i="34"/>
  <c r="T3354" i="34"/>
  <c r="P3354" i="34"/>
  <c r="C3354" i="34"/>
  <c r="AD3354" i="34" s="1"/>
  <c r="AC3426" i="34"/>
  <c r="AB3426" i="34"/>
  <c r="Y3426" i="34"/>
  <c r="W3426" i="34"/>
  <c r="V3426" i="34"/>
  <c r="U3426" i="34"/>
  <c r="T3426" i="34"/>
  <c r="P3426" i="34"/>
  <c r="C3426" i="34"/>
  <c r="B3426" i="34" s="1"/>
  <c r="A3426" i="34" s="1"/>
  <c r="AC3416" i="34"/>
  <c r="AB3416" i="34"/>
  <c r="Y3416" i="34"/>
  <c r="W3416" i="34"/>
  <c r="V3416" i="34"/>
  <c r="U3416" i="34"/>
  <c r="T3416" i="34"/>
  <c r="P3416" i="34"/>
  <c r="C3416" i="34"/>
  <c r="AD3416" i="34" s="1"/>
  <c r="AC3413" i="34"/>
  <c r="AB3413" i="34"/>
  <c r="Y3413" i="34"/>
  <c r="W3413" i="34"/>
  <c r="V3413" i="34"/>
  <c r="U3413" i="34"/>
  <c r="T3413" i="34"/>
  <c r="P3413" i="34"/>
  <c r="C3413" i="34"/>
  <c r="AD3413" i="34" s="1"/>
  <c r="AC3408" i="34"/>
  <c r="AB3408" i="34"/>
  <c r="Y3408" i="34"/>
  <c r="W3408" i="34"/>
  <c r="V3408" i="34"/>
  <c r="U3408" i="34"/>
  <c r="T3408" i="34"/>
  <c r="P3408" i="34"/>
  <c r="C3408" i="34"/>
  <c r="AD3408" i="34" s="1"/>
  <c r="AC3402" i="34"/>
  <c r="AB3402" i="34"/>
  <c r="Y3402" i="34"/>
  <c r="W3402" i="34"/>
  <c r="V3402" i="34"/>
  <c r="U3402" i="34"/>
  <c r="T3402" i="34"/>
  <c r="P3402" i="34"/>
  <c r="C3402" i="34"/>
  <c r="B3402" i="34" s="1"/>
  <c r="A3402" i="34" s="1"/>
  <c r="AC3390" i="34"/>
  <c r="AB3390" i="34"/>
  <c r="Y3390" i="34"/>
  <c r="W3390" i="34"/>
  <c r="V3390" i="34"/>
  <c r="U3390" i="34"/>
  <c r="T3390" i="34"/>
  <c r="P3390" i="34"/>
  <c r="C3390" i="34"/>
  <c r="B3390" i="34" s="1"/>
  <c r="A3390" i="34" s="1"/>
  <c r="AC3358" i="34"/>
  <c r="AB3358" i="34"/>
  <c r="Y3358" i="34"/>
  <c r="W3358" i="34"/>
  <c r="V3358" i="34"/>
  <c r="U3358" i="34"/>
  <c r="T3358" i="34"/>
  <c r="P3358" i="34"/>
  <c r="C3358" i="34"/>
  <c r="AD3358" i="34" s="1"/>
  <c r="M3368" i="34"/>
  <c r="AC3364" i="34"/>
  <c r="AB3364" i="34"/>
  <c r="Y3364" i="34"/>
  <c r="W3364" i="34"/>
  <c r="V3364" i="34"/>
  <c r="U3364" i="34"/>
  <c r="T3364" i="34"/>
  <c r="P3364" i="34"/>
  <c r="C3364" i="34"/>
  <c r="AD3364" i="34" s="1"/>
  <c r="AC3383" i="34"/>
  <c r="AB3383" i="34"/>
  <c r="Y3383" i="34"/>
  <c r="W3383" i="34"/>
  <c r="V3383" i="34"/>
  <c r="U3383" i="34"/>
  <c r="T3383" i="34"/>
  <c r="P3383" i="34"/>
  <c r="C3383" i="34"/>
  <c r="B3383" i="34" s="1"/>
  <c r="A3383" i="34" s="1"/>
  <c r="AC3379" i="34"/>
  <c r="AB3379" i="34"/>
  <c r="Y3379" i="34"/>
  <c r="W3379" i="34"/>
  <c r="V3379" i="34"/>
  <c r="U3379" i="34"/>
  <c r="T3379" i="34"/>
  <c r="P3379" i="34"/>
  <c r="C3379" i="34"/>
  <c r="B3379" i="34" s="1"/>
  <c r="A3379" i="34" s="1"/>
  <c r="AC3372" i="34"/>
  <c r="AB3372" i="34"/>
  <c r="Y3372" i="34"/>
  <c r="W3372" i="34"/>
  <c r="V3372" i="34"/>
  <c r="U3372" i="34"/>
  <c r="T3372" i="34"/>
  <c r="P3372" i="34"/>
  <c r="C3372" i="34"/>
  <c r="AD3372" i="34" s="1"/>
  <c r="AC3368" i="34"/>
  <c r="AB3368" i="34"/>
  <c r="Y3368" i="34"/>
  <c r="W3368" i="34"/>
  <c r="V3368" i="34"/>
  <c r="U3368" i="34"/>
  <c r="T3368" i="34"/>
  <c r="P3368" i="34"/>
  <c r="C3368" i="34"/>
  <c r="AD3368" i="34" s="1"/>
  <c r="AC3361" i="34"/>
  <c r="AB3361" i="34"/>
  <c r="Y3361" i="34"/>
  <c r="W3361" i="34"/>
  <c r="V3361" i="34"/>
  <c r="U3361" i="34"/>
  <c r="T3361" i="34"/>
  <c r="P3361" i="34"/>
  <c r="C3361" i="34"/>
  <c r="B3361" i="34" s="1"/>
  <c r="A3361" i="34" s="1"/>
  <c r="AC3356" i="34"/>
  <c r="AB3356" i="34"/>
  <c r="Y3356" i="34"/>
  <c r="W3356" i="34"/>
  <c r="V3356" i="34"/>
  <c r="U3356" i="34"/>
  <c r="T3356" i="34"/>
  <c r="P3356" i="34"/>
  <c r="C3356" i="34"/>
  <c r="AD3356" i="34" s="1"/>
  <c r="AC3347" i="34"/>
  <c r="AB3347" i="34"/>
  <c r="Y3347" i="34"/>
  <c r="W3347" i="34"/>
  <c r="V3347" i="34"/>
  <c r="U3347" i="34"/>
  <c r="T3347" i="34"/>
  <c r="P3347" i="34"/>
  <c r="C3347" i="34"/>
  <c r="B3347" i="34" s="1"/>
  <c r="A3347" i="34" s="1"/>
  <c r="AC3349" i="34"/>
  <c r="AB3349" i="34"/>
  <c r="Y3349" i="34"/>
  <c r="W3349" i="34"/>
  <c r="V3349" i="34"/>
  <c r="U3349" i="34"/>
  <c r="T3349" i="34"/>
  <c r="P3349" i="34"/>
  <c r="C3349" i="34"/>
  <c r="AD3349" i="34" s="1"/>
  <c r="AC3348" i="34"/>
  <c r="AB3348" i="34"/>
  <c r="Y3348" i="34"/>
  <c r="W3348" i="34"/>
  <c r="V3348" i="34"/>
  <c r="U3348" i="34"/>
  <c r="T3348" i="34"/>
  <c r="P3348" i="34"/>
  <c r="C3348" i="34"/>
  <c r="B3348" i="34" s="1"/>
  <c r="A3348" i="34" s="1"/>
  <c r="AC3389" i="34"/>
  <c r="AB3389" i="34"/>
  <c r="Y3389" i="34"/>
  <c r="W3389" i="34"/>
  <c r="V3389" i="34"/>
  <c r="U3389" i="34"/>
  <c r="T3389" i="34"/>
  <c r="P3389" i="34"/>
  <c r="C3389" i="34"/>
  <c r="AD3389" i="34" s="1"/>
  <c r="AC3425" i="34"/>
  <c r="AB3425" i="34"/>
  <c r="Y3425" i="34"/>
  <c r="W3425" i="34"/>
  <c r="V3425" i="34"/>
  <c r="U3425" i="34"/>
  <c r="T3425" i="34"/>
  <c r="P3425" i="34"/>
  <c r="C3425" i="34"/>
  <c r="AD3425" i="34" s="1"/>
  <c r="AC3410" i="34"/>
  <c r="AB3410" i="34"/>
  <c r="Y3410" i="34"/>
  <c r="W3410" i="34"/>
  <c r="V3410" i="34"/>
  <c r="U3410" i="34"/>
  <c r="T3410" i="34"/>
  <c r="P3410" i="34"/>
  <c r="C3410" i="34"/>
  <c r="B3410" i="34" s="1"/>
  <c r="A3410" i="34" s="1"/>
  <c r="I55" i="12"/>
  <c r="I56" i="12"/>
  <c r="I57" i="12"/>
  <c r="I58" i="12"/>
  <c r="I59" i="12"/>
  <c r="I60" i="12"/>
  <c r="I61" i="12"/>
  <c r="I62" i="12"/>
  <c r="I63" i="12"/>
  <c r="I64" i="12"/>
  <c r="I65" i="12"/>
  <c r="I66"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I2461" i="34"/>
  <c r="M2461" i="34" s="1"/>
  <c r="AC2460" i="34"/>
  <c r="AB2460" i="34"/>
  <c r="Y2460" i="34"/>
  <c r="W2460" i="34"/>
  <c r="V2460" i="34"/>
  <c r="U2460" i="34"/>
  <c r="T2460" i="34"/>
  <c r="P2460" i="34"/>
  <c r="M2460" i="34"/>
  <c r="C2460" i="34"/>
  <c r="AD2460" i="34" s="1"/>
  <c r="AC2459" i="34"/>
  <c r="AB2459" i="34"/>
  <c r="Y2459" i="34"/>
  <c r="W2459" i="34"/>
  <c r="V2459" i="34"/>
  <c r="U2459" i="34"/>
  <c r="T2459" i="34"/>
  <c r="P2459" i="34"/>
  <c r="M2459" i="34"/>
  <c r="C2459" i="34"/>
  <c r="AD2459" i="34" s="1"/>
  <c r="AC2458" i="34"/>
  <c r="AB2458" i="34"/>
  <c r="Y2458" i="34"/>
  <c r="W2458" i="34"/>
  <c r="V2458" i="34"/>
  <c r="U2458" i="34"/>
  <c r="T2458" i="34"/>
  <c r="P2458" i="34"/>
  <c r="M2458" i="34"/>
  <c r="C2458" i="34"/>
  <c r="AD2458" i="34" s="1"/>
  <c r="AC2457" i="34"/>
  <c r="AB2457" i="34"/>
  <c r="Y2457" i="34"/>
  <c r="W2457" i="34"/>
  <c r="V2457" i="34"/>
  <c r="U2457" i="34"/>
  <c r="T2457" i="34"/>
  <c r="P2457" i="34"/>
  <c r="M2457" i="34"/>
  <c r="C2457" i="34"/>
  <c r="AD2457" i="34" s="1"/>
  <c r="AC2456" i="34"/>
  <c r="AB2456" i="34"/>
  <c r="Y2456" i="34"/>
  <c r="W2456" i="34"/>
  <c r="V2456" i="34"/>
  <c r="U2456" i="34"/>
  <c r="T2456" i="34"/>
  <c r="P2456" i="34"/>
  <c r="M2456" i="34"/>
  <c r="C2456" i="34"/>
  <c r="AD2456" i="34" s="1"/>
  <c r="AC2455" i="34"/>
  <c r="AB2455" i="34"/>
  <c r="Y2455" i="34"/>
  <c r="W2455" i="34"/>
  <c r="V2455" i="34"/>
  <c r="U2455" i="34"/>
  <c r="T2455" i="34"/>
  <c r="P2455" i="34"/>
  <c r="M2455" i="34"/>
  <c r="C2455" i="34"/>
  <c r="AD2455" i="34" s="1"/>
  <c r="AC2462" i="34"/>
  <c r="AB2462" i="34"/>
  <c r="Y2462" i="34"/>
  <c r="W2462" i="34"/>
  <c r="V2462" i="34"/>
  <c r="U2462" i="34"/>
  <c r="T2462" i="34"/>
  <c r="P2462" i="34"/>
  <c r="M2462" i="34"/>
  <c r="C2462" i="34"/>
  <c r="AD2462" i="34" s="1"/>
  <c r="AC2461" i="34"/>
  <c r="AB2461" i="34"/>
  <c r="Y2461" i="34"/>
  <c r="W2461" i="34"/>
  <c r="V2461" i="34"/>
  <c r="U2461" i="34"/>
  <c r="T2461" i="34"/>
  <c r="P2461" i="34"/>
  <c r="C2461" i="34"/>
  <c r="AD2461" i="34" s="1"/>
  <c r="I2450" i="34"/>
  <c r="M2450" i="34" s="1"/>
  <c r="I2447" i="34"/>
  <c r="I2445" i="34"/>
  <c r="M2445" i="34" s="1"/>
  <c r="AC2452" i="34"/>
  <c r="AB2452" i="34"/>
  <c r="Y2452" i="34"/>
  <c r="W2452" i="34"/>
  <c r="V2452" i="34"/>
  <c r="U2452" i="34"/>
  <c r="T2452" i="34"/>
  <c r="P2452" i="34"/>
  <c r="M2452" i="34"/>
  <c r="C2452" i="34"/>
  <c r="AD2452" i="34" s="1"/>
  <c r="AC2451" i="34"/>
  <c r="AB2451" i="34"/>
  <c r="Y2451" i="34"/>
  <c r="W2451" i="34"/>
  <c r="V2451" i="34"/>
  <c r="U2451" i="34"/>
  <c r="T2451" i="34"/>
  <c r="P2451" i="34"/>
  <c r="M2451" i="34"/>
  <c r="C2451" i="34"/>
  <c r="AD2451" i="34" s="1"/>
  <c r="AC2450" i="34"/>
  <c r="AB2450" i="34"/>
  <c r="Y2450" i="34"/>
  <c r="W2450" i="34"/>
  <c r="V2450" i="34"/>
  <c r="U2450" i="34"/>
  <c r="T2450" i="34"/>
  <c r="P2450" i="34"/>
  <c r="C2450" i="34"/>
  <c r="AD2450" i="34" s="1"/>
  <c r="AC2449" i="34"/>
  <c r="AB2449" i="34"/>
  <c r="Y2449" i="34"/>
  <c r="W2449" i="34"/>
  <c r="V2449" i="34"/>
  <c r="U2449" i="34"/>
  <c r="T2449" i="34"/>
  <c r="P2449" i="34"/>
  <c r="M2449" i="34"/>
  <c r="C2449" i="34"/>
  <c r="AD2449" i="34" s="1"/>
  <c r="AC2448" i="34"/>
  <c r="AB2448" i="34"/>
  <c r="Y2448" i="34"/>
  <c r="W2448" i="34"/>
  <c r="V2448" i="34"/>
  <c r="U2448" i="34"/>
  <c r="T2448" i="34"/>
  <c r="P2448" i="34"/>
  <c r="M2448" i="34"/>
  <c r="C2448" i="34"/>
  <c r="AD2448" i="34" s="1"/>
  <c r="AC2445" i="34"/>
  <c r="AB2445" i="34"/>
  <c r="Y2445" i="34"/>
  <c r="W2445" i="34"/>
  <c r="V2445" i="34"/>
  <c r="U2445" i="34"/>
  <c r="T2445" i="34"/>
  <c r="P2445" i="34"/>
  <c r="C2445" i="34"/>
  <c r="AD2445" i="34" s="1"/>
  <c r="AC2444" i="34"/>
  <c r="AB2444" i="34"/>
  <c r="Y2444" i="34"/>
  <c r="W2444" i="34"/>
  <c r="V2444" i="34"/>
  <c r="U2444" i="34"/>
  <c r="T2444" i="34"/>
  <c r="P2444" i="34"/>
  <c r="M2444" i="34"/>
  <c r="C2444" i="34"/>
  <c r="AD2444" i="34" s="1"/>
  <c r="AC2443" i="34"/>
  <c r="AB2443" i="34"/>
  <c r="Y2443" i="34"/>
  <c r="W2443" i="34"/>
  <c r="V2443" i="34"/>
  <c r="U2443" i="34"/>
  <c r="T2443" i="34"/>
  <c r="P2443" i="34"/>
  <c r="M2443" i="34"/>
  <c r="C2443" i="34"/>
  <c r="AD2443" i="34" s="1"/>
  <c r="M5560" i="34"/>
  <c r="M5558" i="34"/>
  <c r="Q4234" i="34" l="1"/>
  <c r="A4234" i="34"/>
  <c r="Q4949" i="34"/>
  <c r="A4949" i="34"/>
  <c r="Q4566" i="34"/>
  <c r="A4566" i="34"/>
  <c r="R4566" i="34"/>
  <c r="S4949" i="34"/>
  <c r="S4566" i="34"/>
  <c r="Q4990" i="34"/>
  <c r="S4990" i="34"/>
  <c r="R4990" i="34"/>
  <c r="Q4768" i="34"/>
  <c r="S4768" i="34"/>
  <c r="R4768" i="34"/>
  <c r="S4234" i="34"/>
  <c r="R4234" i="34"/>
  <c r="Q4564" i="34"/>
  <c r="S4564" i="34"/>
  <c r="R4564" i="34"/>
  <c r="S4639" i="34"/>
  <c r="S3388" i="34"/>
  <c r="S3352" i="34"/>
  <c r="S3379" i="34"/>
  <c r="S3390" i="34"/>
  <c r="S3396" i="34"/>
  <c r="S3378" i="34"/>
  <c r="AD3407" i="34"/>
  <c r="B3422" i="34"/>
  <c r="A3422" i="34" s="1"/>
  <c r="AD4104" i="34"/>
  <c r="AD4639" i="34"/>
  <c r="AD3421" i="34"/>
  <c r="AD4548" i="34"/>
  <c r="S3420" i="34"/>
  <c r="R3420" i="34"/>
  <c r="Q3420" i="34"/>
  <c r="R3409" i="34"/>
  <c r="Q3409" i="34"/>
  <c r="S3409" i="34"/>
  <c r="R3407" i="34"/>
  <c r="Q3407" i="34"/>
  <c r="S3407" i="34"/>
  <c r="B3414" i="34"/>
  <c r="A3414" i="34" s="1"/>
  <c r="AD3420" i="34"/>
  <c r="B3415" i="34"/>
  <c r="A3415" i="34" s="1"/>
  <c r="B3419" i="34"/>
  <c r="A3419" i="34" s="1"/>
  <c r="B3386" i="34"/>
  <c r="A3386" i="34" s="1"/>
  <c r="AD3409" i="34"/>
  <c r="AD5675" i="34"/>
  <c r="R3387" i="34"/>
  <c r="Q3387" i="34"/>
  <c r="S3387" i="34"/>
  <c r="R3421" i="34"/>
  <c r="Q3421" i="34"/>
  <c r="S3421" i="34"/>
  <c r="B3423" i="34"/>
  <c r="A3423" i="34" s="1"/>
  <c r="B4138" i="34"/>
  <c r="A4138" i="34" s="1"/>
  <c r="AD3387" i="34"/>
  <c r="R4104" i="34"/>
  <c r="Q4104" i="34"/>
  <c r="S4104" i="34"/>
  <c r="S5337" i="34"/>
  <c r="R5337" i="34"/>
  <c r="Q5337" i="34"/>
  <c r="R4548" i="34"/>
  <c r="Q4548" i="34"/>
  <c r="S4548" i="34"/>
  <c r="B4490" i="34"/>
  <c r="A4490" i="34" s="1"/>
  <c r="B4105" i="34"/>
  <c r="A4105" i="34" s="1"/>
  <c r="AD5337" i="34"/>
  <c r="B4460" i="34"/>
  <c r="A4460" i="34" s="1"/>
  <c r="Q4639" i="34"/>
  <c r="R4639" i="34"/>
  <c r="R4461" i="34"/>
  <c r="Q4461" i="34"/>
  <c r="S4461" i="34"/>
  <c r="S5675" i="34"/>
  <c r="R5675" i="34"/>
  <c r="Q5675" i="34"/>
  <c r="AD4461" i="34"/>
  <c r="B3404" i="34"/>
  <c r="A3404" i="34" s="1"/>
  <c r="B3370" i="34"/>
  <c r="A3370" i="34" s="1"/>
  <c r="B3406" i="34"/>
  <c r="A3406" i="34" s="1"/>
  <c r="B3412" i="34"/>
  <c r="A3412" i="34" s="1"/>
  <c r="AD3382" i="34"/>
  <c r="AD3417" i="34"/>
  <c r="AD3352" i="34"/>
  <c r="B3418" i="34"/>
  <c r="A3418" i="34" s="1"/>
  <c r="AD3393" i="34"/>
  <c r="AD3378" i="34"/>
  <c r="AD3394" i="34"/>
  <c r="B3403" i="34"/>
  <c r="A3403" i="34" s="1"/>
  <c r="AD3396" i="34"/>
  <c r="AD3373" i="34"/>
  <c r="AD3359" i="34"/>
  <c r="R3417" i="34"/>
  <c r="Q3417" i="34"/>
  <c r="S3417" i="34"/>
  <c r="S3411" i="34"/>
  <c r="R3411" i="34"/>
  <c r="Q3411" i="34"/>
  <c r="R3359" i="34"/>
  <c r="Q3359" i="34"/>
  <c r="S3359" i="34"/>
  <c r="S3398" i="34"/>
  <c r="R3398" i="34"/>
  <c r="Q3398" i="34"/>
  <c r="S3391" i="34"/>
  <c r="R3391" i="34"/>
  <c r="Q3391" i="34"/>
  <c r="R3394" i="34"/>
  <c r="Q3394" i="34"/>
  <c r="S3394" i="34"/>
  <c r="B3399" i="34"/>
  <c r="A3399" i="34" s="1"/>
  <c r="AD3411" i="34"/>
  <c r="B3424" i="34"/>
  <c r="A3424" i="34" s="1"/>
  <c r="AD3391" i="34"/>
  <c r="B3392" i="34"/>
  <c r="A3392" i="34" s="1"/>
  <c r="AD3398" i="34"/>
  <c r="B3397" i="34"/>
  <c r="A3397" i="34" s="1"/>
  <c r="Q3352" i="34"/>
  <c r="R3352" i="34"/>
  <c r="R3382" i="34"/>
  <c r="Q3382" i="34"/>
  <c r="S3382" i="34"/>
  <c r="R3393" i="34"/>
  <c r="Q3393" i="34"/>
  <c r="S3393" i="34"/>
  <c r="S3369" i="34"/>
  <c r="R3369" i="34"/>
  <c r="Q3369" i="34"/>
  <c r="S3374" i="34"/>
  <c r="R3374" i="34"/>
  <c r="Q3374" i="34"/>
  <c r="S3395" i="34"/>
  <c r="R3395" i="34"/>
  <c r="Q3395" i="34"/>
  <c r="R3373" i="34"/>
  <c r="Q3373" i="34"/>
  <c r="S3373" i="34"/>
  <c r="AD3395" i="34"/>
  <c r="B3367" i="34"/>
  <c r="A3367" i="34" s="1"/>
  <c r="AD3374" i="34"/>
  <c r="B3384" i="34"/>
  <c r="A3384" i="34" s="1"/>
  <c r="AD3369" i="34"/>
  <c r="B3400" i="34"/>
  <c r="A3400" i="34" s="1"/>
  <c r="Q3396" i="34"/>
  <c r="Q3378" i="34"/>
  <c r="R3396" i="34"/>
  <c r="R3378" i="34"/>
  <c r="S3401" i="34"/>
  <c r="R3401" i="34"/>
  <c r="Q3401" i="34"/>
  <c r="B3405" i="34"/>
  <c r="A3405" i="34" s="1"/>
  <c r="AD3401" i="34"/>
  <c r="B3375" i="34"/>
  <c r="A3375" i="34" s="1"/>
  <c r="Q3404" i="34"/>
  <c r="B3353" i="34"/>
  <c r="A3353" i="34" s="1"/>
  <c r="B3366" i="34"/>
  <c r="A3366" i="34" s="1"/>
  <c r="AD3390" i="34"/>
  <c r="B3416" i="34"/>
  <c r="A3416" i="34" s="1"/>
  <c r="B3349" i="34"/>
  <c r="B3413" i="34"/>
  <c r="A3413" i="34" s="1"/>
  <c r="AD3388" i="34"/>
  <c r="B3371" i="34"/>
  <c r="A3371" i="34" s="1"/>
  <c r="B3358" i="34"/>
  <c r="A3358" i="34" s="1"/>
  <c r="B3380" i="34"/>
  <c r="A3380" i="34" s="1"/>
  <c r="Q3390" i="34"/>
  <c r="AD3402" i="34"/>
  <c r="AD3360" i="34"/>
  <c r="AD3363" i="34"/>
  <c r="AD3376" i="34"/>
  <c r="S3362" i="34"/>
  <c r="R3362" i="34"/>
  <c r="Q3362" i="34"/>
  <c r="S3350" i="34"/>
  <c r="R3350" i="34"/>
  <c r="Q3350" i="34"/>
  <c r="Q3376" i="34"/>
  <c r="S3376" i="34"/>
  <c r="R3376" i="34"/>
  <c r="Q3360" i="34"/>
  <c r="S3360" i="34"/>
  <c r="R3360" i="34"/>
  <c r="R3363" i="34"/>
  <c r="Q3363" i="34"/>
  <c r="S3363" i="34"/>
  <c r="AD3362" i="34"/>
  <c r="B3357" i="34"/>
  <c r="A3357" i="34" s="1"/>
  <c r="AD3350" i="34"/>
  <c r="B3351" i="34"/>
  <c r="A3351" i="34" s="1"/>
  <c r="Q3388" i="34"/>
  <c r="R3388" i="34"/>
  <c r="AD3379" i="34"/>
  <c r="R3426" i="34"/>
  <c r="Q3426" i="34"/>
  <c r="S3426" i="34"/>
  <c r="R3402" i="34"/>
  <c r="Q3402" i="34"/>
  <c r="S3402" i="34"/>
  <c r="B3408" i="34"/>
  <c r="A3408" i="34" s="1"/>
  <c r="B3354" i="34"/>
  <c r="A3354" i="34" s="1"/>
  <c r="R3390" i="34"/>
  <c r="AD3426" i="34"/>
  <c r="AD3383" i="34"/>
  <c r="B3425" i="34"/>
  <c r="A3425" i="34" s="1"/>
  <c r="B3368" i="34"/>
  <c r="A3368" i="34" s="1"/>
  <c r="AD3347" i="34"/>
  <c r="S3361" i="34"/>
  <c r="R3361" i="34"/>
  <c r="Q3361" i="34"/>
  <c r="R3383" i="34"/>
  <c r="Q3383" i="34"/>
  <c r="S3383" i="34"/>
  <c r="AD3361" i="34"/>
  <c r="B3372" i="34"/>
  <c r="A3372" i="34" s="1"/>
  <c r="B3364" i="34"/>
  <c r="A3364" i="34" s="1"/>
  <c r="Q3379" i="34"/>
  <c r="R3379" i="34"/>
  <c r="R3347" i="34"/>
  <c r="Q3347" i="34"/>
  <c r="S3347" i="34"/>
  <c r="S3410" i="34"/>
  <c r="R3410" i="34"/>
  <c r="Q3410" i="34"/>
  <c r="S3348" i="34"/>
  <c r="R3348" i="34"/>
  <c r="Q3348" i="34"/>
  <c r="AD3410" i="34"/>
  <c r="B3389" i="34"/>
  <c r="A3389" i="34" s="1"/>
  <c r="AD3348" i="34"/>
  <c r="B3356" i="34"/>
  <c r="A3356" i="34" s="1"/>
  <c r="B2461" i="34"/>
  <c r="B2452" i="34"/>
  <c r="B2456" i="34"/>
  <c r="B2458" i="34"/>
  <c r="B2448" i="34"/>
  <c r="A2448" i="34" s="1"/>
  <c r="B2450" i="34"/>
  <c r="A2450" i="34" s="1"/>
  <c r="B2455" i="34"/>
  <c r="B2457" i="34"/>
  <c r="A2457" i="34" s="1"/>
  <c r="B2459" i="34"/>
  <c r="A2459" i="34" s="1"/>
  <c r="B2460" i="34"/>
  <c r="A2460" i="34" s="1"/>
  <c r="B2462" i="34"/>
  <c r="A2462" i="34" s="1"/>
  <c r="B2449" i="34"/>
  <c r="A2449" i="34" s="1"/>
  <c r="B2451" i="34"/>
  <c r="A2451" i="34" s="1"/>
  <c r="S2452" i="34"/>
  <c r="B2445" i="34"/>
  <c r="A2445" i="34" s="1"/>
  <c r="B2443" i="34"/>
  <c r="A2443" i="34" s="1"/>
  <c r="B2444" i="34"/>
  <c r="A2444" i="34" s="1"/>
  <c r="B5538" i="34"/>
  <c r="A5538" i="34" s="1"/>
  <c r="P5538" i="34"/>
  <c r="T5538" i="34"/>
  <c r="U5538" i="34"/>
  <c r="V5538" i="34"/>
  <c r="W5538" i="34"/>
  <c r="Y5538" i="34"/>
  <c r="AB5538" i="34"/>
  <c r="AC5538" i="34"/>
  <c r="I2440" i="34"/>
  <c r="M2440" i="34" s="1"/>
  <c r="AC2429" i="34"/>
  <c r="AB2429" i="34"/>
  <c r="Y2429" i="34"/>
  <c r="W2429" i="34"/>
  <c r="V2429" i="34"/>
  <c r="U2429" i="34"/>
  <c r="T2429" i="34"/>
  <c r="P2429" i="34"/>
  <c r="M2429" i="34"/>
  <c r="C2429" i="34"/>
  <c r="AD2429" i="34" s="1"/>
  <c r="AC2428" i="34"/>
  <c r="AB2428" i="34"/>
  <c r="Y2428" i="34"/>
  <c r="W2428" i="34"/>
  <c r="V2428" i="34"/>
  <c r="U2428" i="34"/>
  <c r="T2428" i="34"/>
  <c r="P2428" i="34"/>
  <c r="M2428" i="34"/>
  <c r="C2428" i="34"/>
  <c r="AD2428" i="34" s="1"/>
  <c r="AC2427" i="34"/>
  <c r="AB2427" i="34"/>
  <c r="Y2427" i="34"/>
  <c r="W2427" i="34"/>
  <c r="V2427" i="34"/>
  <c r="U2427" i="34"/>
  <c r="T2427" i="34"/>
  <c r="P2427" i="34"/>
  <c r="M2427" i="34"/>
  <c r="C2427" i="34"/>
  <c r="AD2427" i="34" s="1"/>
  <c r="AC2426" i="34"/>
  <c r="AB2426" i="34"/>
  <c r="Y2426" i="34"/>
  <c r="W2426" i="34"/>
  <c r="V2426" i="34"/>
  <c r="U2426" i="34"/>
  <c r="T2426" i="34"/>
  <c r="P2426" i="34"/>
  <c r="M2426" i="34"/>
  <c r="C2426" i="34"/>
  <c r="AD2426" i="34" s="1"/>
  <c r="AC2425" i="34"/>
  <c r="AB2425" i="34"/>
  <c r="Y2425" i="34"/>
  <c r="W2425" i="34"/>
  <c r="V2425" i="34"/>
  <c r="U2425" i="34"/>
  <c r="T2425" i="34"/>
  <c r="P2425" i="34"/>
  <c r="M2425" i="34"/>
  <c r="C2425" i="34"/>
  <c r="AD2425" i="34" s="1"/>
  <c r="AC2424" i="34"/>
  <c r="AB2424" i="34"/>
  <c r="Y2424" i="34"/>
  <c r="W2424" i="34"/>
  <c r="V2424" i="34"/>
  <c r="U2424" i="34"/>
  <c r="T2424" i="34"/>
  <c r="P2424" i="34"/>
  <c r="M2424" i="34"/>
  <c r="C2424" i="34"/>
  <c r="AD2424" i="34" s="1"/>
  <c r="I2479" i="34"/>
  <c r="M2479" i="34" s="1"/>
  <c r="I2473" i="34"/>
  <c r="M2473" i="34" s="1"/>
  <c r="AC2474" i="34"/>
  <c r="AB2474" i="34"/>
  <c r="Y2474" i="34"/>
  <c r="W2474" i="34"/>
  <c r="V2474" i="34"/>
  <c r="U2474" i="34"/>
  <c r="T2474" i="34"/>
  <c r="P2474" i="34"/>
  <c r="M2474" i="34"/>
  <c r="C2474" i="34"/>
  <c r="AD2474" i="34" s="1"/>
  <c r="AC2473" i="34"/>
  <c r="AB2473" i="34"/>
  <c r="Y2473" i="34"/>
  <c r="W2473" i="34"/>
  <c r="V2473" i="34"/>
  <c r="U2473" i="34"/>
  <c r="T2473" i="34"/>
  <c r="P2473" i="34"/>
  <c r="C2473" i="34"/>
  <c r="AD2473" i="34" s="1"/>
  <c r="AC2472" i="34"/>
  <c r="AB2472" i="34"/>
  <c r="Y2472" i="34"/>
  <c r="W2472" i="34"/>
  <c r="V2472" i="34"/>
  <c r="U2472" i="34"/>
  <c r="T2472" i="34"/>
  <c r="P2472" i="34"/>
  <c r="M2472" i="34"/>
  <c r="C2472" i="34"/>
  <c r="AD2472" i="34" s="1"/>
  <c r="AC2470" i="34"/>
  <c r="AB2470" i="34"/>
  <c r="Y2470" i="34"/>
  <c r="W2470" i="34"/>
  <c r="V2470" i="34"/>
  <c r="U2470" i="34"/>
  <c r="T2470" i="34"/>
  <c r="P2470" i="34"/>
  <c r="M2470" i="34"/>
  <c r="C2470" i="34"/>
  <c r="AD2470" i="34" s="1"/>
  <c r="AC2467" i="34"/>
  <c r="AB2467" i="34"/>
  <c r="Y2467" i="34"/>
  <c r="W2467" i="34"/>
  <c r="V2467" i="34"/>
  <c r="U2467" i="34"/>
  <c r="T2467" i="34"/>
  <c r="P2467" i="34"/>
  <c r="M2467" i="34"/>
  <c r="C2467" i="34"/>
  <c r="AD2467" i="34" s="1"/>
  <c r="AC2478" i="34"/>
  <c r="AB2478" i="34"/>
  <c r="Y2478" i="34"/>
  <c r="W2478" i="34"/>
  <c r="V2478" i="34"/>
  <c r="U2478" i="34"/>
  <c r="T2478" i="34"/>
  <c r="P2478" i="34"/>
  <c r="M2478" i="34"/>
  <c r="C2478" i="34"/>
  <c r="AD2478" i="34" s="1"/>
  <c r="AC2477" i="34"/>
  <c r="AB2477" i="34"/>
  <c r="Y2477" i="34"/>
  <c r="W2477" i="34"/>
  <c r="V2477" i="34"/>
  <c r="U2477" i="34"/>
  <c r="T2477" i="34"/>
  <c r="P2477" i="34"/>
  <c r="M2477" i="34"/>
  <c r="C2477" i="34"/>
  <c r="AD2477" i="34" s="1"/>
  <c r="AC2476" i="34"/>
  <c r="AB2476" i="34"/>
  <c r="Y2476" i="34"/>
  <c r="W2476" i="34"/>
  <c r="V2476" i="34"/>
  <c r="U2476" i="34"/>
  <c r="T2476" i="34"/>
  <c r="P2476" i="34"/>
  <c r="M2476" i="34"/>
  <c r="C2476" i="34"/>
  <c r="AD2476" i="34" s="1"/>
  <c r="AC2471" i="34"/>
  <c r="AB2471" i="34"/>
  <c r="Y2471" i="34"/>
  <c r="W2471" i="34"/>
  <c r="V2471" i="34"/>
  <c r="U2471" i="34"/>
  <c r="T2471" i="34"/>
  <c r="P2471" i="34"/>
  <c r="M2471" i="34"/>
  <c r="C2471" i="34"/>
  <c r="AD2471" i="34" s="1"/>
  <c r="AC2480" i="34"/>
  <c r="AB2480" i="34"/>
  <c r="Y2480" i="34"/>
  <c r="W2480" i="34"/>
  <c r="V2480" i="34"/>
  <c r="U2480" i="34"/>
  <c r="T2480" i="34"/>
  <c r="P2480" i="34"/>
  <c r="M2480" i="34"/>
  <c r="C2480" i="34"/>
  <c r="AD2480" i="34" s="1"/>
  <c r="AC2469" i="34"/>
  <c r="AB2469" i="34"/>
  <c r="Y2469" i="34"/>
  <c r="W2469" i="34"/>
  <c r="V2469" i="34"/>
  <c r="U2469" i="34"/>
  <c r="T2469" i="34"/>
  <c r="P2469" i="34"/>
  <c r="M2469" i="34"/>
  <c r="C2469" i="34"/>
  <c r="AD2469" i="34" s="1"/>
  <c r="AC2468" i="34"/>
  <c r="AB2468" i="34"/>
  <c r="Y2468" i="34"/>
  <c r="W2468" i="34"/>
  <c r="V2468" i="34"/>
  <c r="U2468" i="34"/>
  <c r="T2468" i="34"/>
  <c r="P2468" i="34"/>
  <c r="M2468" i="34"/>
  <c r="C2468" i="34"/>
  <c r="AD2468" i="34" s="1"/>
  <c r="AC2479" i="34"/>
  <c r="AB2479" i="34"/>
  <c r="Y2479" i="34"/>
  <c r="W2479" i="34"/>
  <c r="V2479" i="34"/>
  <c r="U2479" i="34"/>
  <c r="T2479" i="34"/>
  <c r="P2479" i="34"/>
  <c r="C2479" i="34"/>
  <c r="AD2479" i="34" s="1"/>
  <c r="AC2454" i="34"/>
  <c r="AB2454" i="34"/>
  <c r="Y2454" i="34"/>
  <c r="W2454" i="34"/>
  <c r="V2454" i="34"/>
  <c r="U2454" i="34"/>
  <c r="T2454" i="34"/>
  <c r="P2454" i="34"/>
  <c r="M2454" i="34"/>
  <c r="C2454" i="34"/>
  <c r="AD2454" i="34" s="1"/>
  <c r="AC2453" i="34"/>
  <c r="AB2453" i="34"/>
  <c r="Y2453" i="34"/>
  <c r="W2453" i="34"/>
  <c r="V2453" i="34"/>
  <c r="U2453" i="34"/>
  <c r="T2453" i="34"/>
  <c r="P2453" i="34"/>
  <c r="M2453" i="34"/>
  <c r="C2453" i="34"/>
  <c r="AD2453" i="34" s="1"/>
  <c r="AC2447" i="34"/>
  <c r="AB2447" i="34"/>
  <c r="Y2447" i="34"/>
  <c r="W2447" i="34"/>
  <c r="V2447" i="34"/>
  <c r="U2447" i="34"/>
  <c r="T2447" i="34"/>
  <c r="P2447" i="34"/>
  <c r="M2447" i="34"/>
  <c r="C2447" i="34"/>
  <c r="AD2447" i="34" s="1"/>
  <c r="AC2446" i="34"/>
  <c r="AB2446" i="34"/>
  <c r="Y2446" i="34"/>
  <c r="W2446" i="34"/>
  <c r="V2446" i="34"/>
  <c r="U2446" i="34"/>
  <c r="T2446" i="34"/>
  <c r="P2446" i="34"/>
  <c r="M2446" i="34"/>
  <c r="C2446" i="34"/>
  <c r="AD2446" i="34" s="1"/>
  <c r="AC2442" i="34"/>
  <c r="AB2442" i="34"/>
  <c r="Y2442" i="34"/>
  <c r="W2442" i="34"/>
  <c r="V2442" i="34"/>
  <c r="U2442" i="34"/>
  <c r="T2442" i="34"/>
  <c r="P2442" i="34"/>
  <c r="M2442" i="34"/>
  <c r="C2442" i="34"/>
  <c r="AD2442" i="34" s="1"/>
  <c r="AC2441" i="34"/>
  <c r="AB2441" i="34"/>
  <c r="Y2441" i="34"/>
  <c r="W2441" i="34"/>
  <c r="V2441" i="34"/>
  <c r="U2441" i="34"/>
  <c r="T2441" i="34"/>
  <c r="P2441" i="34"/>
  <c r="M2441" i="34"/>
  <c r="C2441" i="34"/>
  <c r="AD2441" i="34" s="1"/>
  <c r="AC2440" i="34"/>
  <c r="AB2440" i="34"/>
  <c r="Y2440" i="34"/>
  <c r="W2440" i="34"/>
  <c r="V2440" i="34"/>
  <c r="U2440" i="34"/>
  <c r="T2440" i="34"/>
  <c r="P2440" i="34"/>
  <c r="C2440" i="34"/>
  <c r="B2440" i="34" s="1"/>
  <c r="A2440" i="34" s="1"/>
  <c r="AC2439" i="34"/>
  <c r="AB2439" i="34"/>
  <c r="Y2439" i="34"/>
  <c r="W2439" i="34"/>
  <c r="V2439" i="34"/>
  <c r="U2439" i="34"/>
  <c r="T2439" i="34"/>
  <c r="P2439" i="34"/>
  <c r="M2439" i="34"/>
  <c r="C2439" i="34"/>
  <c r="AD2439" i="34" s="1"/>
  <c r="AC2438" i="34"/>
  <c r="AB2438" i="34"/>
  <c r="Y2438" i="34"/>
  <c r="W2438" i="34"/>
  <c r="V2438" i="34"/>
  <c r="U2438" i="34"/>
  <c r="T2438" i="34"/>
  <c r="P2438" i="34"/>
  <c r="M2438" i="34"/>
  <c r="C2438" i="34"/>
  <c r="AD2438" i="34" s="1"/>
  <c r="AC2437" i="34"/>
  <c r="AB2437" i="34"/>
  <c r="Y2437" i="34"/>
  <c r="W2437" i="34"/>
  <c r="V2437" i="34"/>
  <c r="U2437" i="34"/>
  <c r="T2437" i="34"/>
  <c r="P2437" i="34"/>
  <c r="M2437" i="34"/>
  <c r="C2437" i="34"/>
  <c r="AD2437" i="34" s="1"/>
  <c r="AC2436" i="34"/>
  <c r="AB2436" i="34"/>
  <c r="Y2436" i="34"/>
  <c r="W2436" i="34"/>
  <c r="V2436" i="34"/>
  <c r="U2436" i="34"/>
  <c r="T2436" i="34"/>
  <c r="P2436" i="34"/>
  <c r="M2436" i="34"/>
  <c r="C2436" i="34"/>
  <c r="AD2436" i="34" s="1"/>
  <c r="AC2435" i="34"/>
  <c r="AB2435" i="34"/>
  <c r="Y2435" i="34"/>
  <c r="W2435" i="34"/>
  <c r="V2435" i="34"/>
  <c r="U2435" i="34"/>
  <c r="T2435" i="34"/>
  <c r="P2435" i="34"/>
  <c r="M2435" i="34"/>
  <c r="C2435" i="34"/>
  <c r="AD2435" i="34" s="1"/>
  <c r="AC2434" i="34"/>
  <c r="AB2434" i="34"/>
  <c r="Y2434" i="34"/>
  <c r="W2434" i="34"/>
  <c r="V2434" i="34"/>
  <c r="U2434" i="34"/>
  <c r="T2434" i="34"/>
  <c r="P2434" i="34"/>
  <c r="M2434" i="34"/>
  <c r="C2434" i="34"/>
  <c r="AD2434" i="34" s="1"/>
  <c r="AC2433" i="34"/>
  <c r="AB2433" i="34"/>
  <c r="Y2433" i="34"/>
  <c r="W2433" i="34"/>
  <c r="V2433" i="34"/>
  <c r="U2433" i="34"/>
  <c r="T2433" i="34"/>
  <c r="P2433" i="34"/>
  <c r="M2433" i="34"/>
  <c r="C2433" i="34"/>
  <c r="B2433" i="34" s="1"/>
  <c r="A2433" i="34" s="1"/>
  <c r="AC2432" i="34"/>
  <c r="AB2432" i="34"/>
  <c r="Y2432" i="34"/>
  <c r="W2432" i="34"/>
  <c r="V2432" i="34"/>
  <c r="U2432" i="34"/>
  <c r="T2432" i="34"/>
  <c r="P2432" i="34"/>
  <c r="M2432" i="34"/>
  <c r="C2432" i="34"/>
  <c r="AD2432" i="34" s="1"/>
  <c r="AC2431" i="34"/>
  <c r="AB2431" i="34"/>
  <c r="Y2431" i="34"/>
  <c r="W2431" i="34"/>
  <c r="V2431" i="34"/>
  <c r="U2431" i="34"/>
  <c r="T2431" i="34"/>
  <c r="P2431" i="34"/>
  <c r="M2431" i="34"/>
  <c r="C2431" i="34"/>
  <c r="AD2431" i="34" s="1"/>
  <c r="AC2430" i="34"/>
  <c r="AB2430" i="34"/>
  <c r="Y2430" i="34"/>
  <c r="W2430" i="34"/>
  <c r="V2430" i="34"/>
  <c r="U2430" i="34"/>
  <c r="T2430" i="34"/>
  <c r="P2430" i="34"/>
  <c r="M2430" i="34"/>
  <c r="C2430" i="34"/>
  <c r="AD2430" i="34" s="1"/>
  <c r="I2282" i="34"/>
  <c r="M2282" i="34" s="1"/>
  <c r="I2284" i="34"/>
  <c r="M2284" i="34" s="1"/>
  <c r="AC2283" i="34"/>
  <c r="AB2283" i="34"/>
  <c r="Y2283" i="34"/>
  <c r="W2283" i="34"/>
  <c r="V2283" i="34"/>
  <c r="U2283" i="34"/>
  <c r="T2283" i="34"/>
  <c r="P2283" i="34"/>
  <c r="M2283" i="34"/>
  <c r="C2283" i="34"/>
  <c r="AD2283" i="34" s="1"/>
  <c r="I2275" i="34"/>
  <c r="M2275" i="34" s="1"/>
  <c r="I2271" i="34"/>
  <c r="M2271" i="34" s="1"/>
  <c r="I2285" i="34"/>
  <c r="M2285" i="34" s="1"/>
  <c r="I2286" i="34"/>
  <c r="M2286" i="34" s="1"/>
  <c r="AC2289" i="34"/>
  <c r="AB2289" i="34"/>
  <c r="Y2289" i="34"/>
  <c r="W2289" i="34"/>
  <c r="V2289" i="34"/>
  <c r="U2289" i="34"/>
  <c r="T2289" i="34"/>
  <c r="P2289" i="34"/>
  <c r="M2289" i="34"/>
  <c r="C2289" i="34"/>
  <c r="AD2289" i="34" s="1"/>
  <c r="AC2288" i="34"/>
  <c r="AB2288" i="34"/>
  <c r="Y2288" i="34"/>
  <c r="W2288" i="34"/>
  <c r="V2288" i="34"/>
  <c r="U2288" i="34"/>
  <c r="T2288" i="34"/>
  <c r="P2288" i="34"/>
  <c r="M2288" i="34"/>
  <c r="C2288" i="34"/>
  <c r="AD2288" i="34" s="1"/>
  <c r="AC2287" i="34"/>
  <c r="AB2287" i="34"/>
  <c r="Y2287" i="34"/>
  <c r="W2287" i="34"/>
  <c r="V2287" i="34"/>
  <c r="U2287" i="34"/>
  <c r="T2287" i="34"/>
  <c r="P2287" i="34"/>
  <c r="M2287" i="34"/>
  <c r="C2287" i="34"/>
  <c r="AD2287" i="34" s="1"/>
  <c r="AC2286" i="34"/>
  <c r="AB2286" i="34"/>
  <c r="Y2286" i="34"/>
  <c r="W2286" i="34"/>
  <c r="V2286" i="34"/>
  <c r="U2286" i="34"/>
  <c r="T2286" i="34"/>
  <c r="P2286" i="34"/>
  <c r="C2286" i="34"/>
  <c r="AD2286" i="34" s="1"/>
  <c r="AC2285" i="34"/>
  <c r="AB2285" i="34"/>
  <c r="Y2285" i="34"/>
  <c r="W2285" i="34"/>
  <c r="V2285" i="34"/>
  <c r="U2285" i="34"/>
  <c r="T2285" i="34"/>
  <c r="P2285" i="34"/>
  <c r="C2285" i="34"/>
  <c r="AD2285" i="34" s="1"/>
  <c r="AC2284" i="34"/>
  <c r="AB2284" i="34"/>
  <c r="Y2284" i="34"/>
  <c r="W2284" i="34"/>
  <c r="V2284" i="34"/>
  <c r="U2284" i="34"/>
  <c r="T2284" i="34"/>
  <c r="P2284" i="34"/>
  <c r="C2284" i="34"/>
  <c r="AD2284" i="34" s="1"/>
  <c r="AC2282" i="34"/>
  <c r="AB2282" i="34"/>
  <c r="Y2282" i="34"/>
  <c r="W2282" i="34"/>
  <c r="V2282" i="34"/>
  <c r="U2282" i="34"/>
  <c r="T2282" i="34"/>
  <c r="P2282" i="34"/>
  <c r="C2282" i="34"/>
  <c r="AD2282" i="34" s="1"/>
  <c r="AC2281" i="34"/>
  <c r="AB2281" i="34"/>
  <c r="Y2281" i="34"/>
  <c r="W2281" i="34"/>
  <c r="V2281" i="34"/>
  <c r="U2281" i="34"/>
  <c r="T2281" i="34"/>
  <c r="P2281" i="34"/>
  <c r="M2281" i="34"/>
  <c r="C2281" i="34"/>
  <c r="AD2281" i="34" s="1"/>
  <c r="AC2280" i="34"/>
  <c r="AB2280" i="34"/>
  <c r="Y2280" i="34"/>
  <c r="W2280" i="34"/>
  <c r="V2280" i="34"/>
  <c r="U2280" i="34"/>
  <c r="T2280" i="34"/>
  <c r="P2280" i="34"/>
  <c r="M2280" i="34"/>
  <c r="C2280" i="34"/>
  <c r="AD2280" i="34" s="1"/>
  <c r="AC2279" i="34"/>
  <c r="AB2279" i="34"/>
  <c r="Y2279" i="34"/>
  <c r="W2279" i="34"/>
  <c r="V2279" i="34"/>
  <c r="U2279" i="34"/>
  <c r="T2279" i="34"/>
  <c r="P2279" i="34"/>
  <c r="M2279" i="34"/>
  <c r="C2279" i="34"/>
  <c r="AD2279" i="34" s="1"/>
  <c r="AC2278" i="34"/>
  <c r="AB2278" i="34"/>
  <c r="Y2278" i="34"/>
  <c r="W2278" i="34"/>
  <c r="V2278" i="34"/>
  <c r="U2278" i="34"/>
  <c r="T2278" i="34"/>
  <c r="P2278" i="34"/>
  <c r="M2278" i="34"/>
  <c r="C2278" i="34"/>
  <c r="AD2278" i="34" s="1"/>
  <c r="AC2277" i="34"/>
  <c r="AB2277" i="34"/>
  <c r="Y2277" i="34"/>
  <c r="W2277" i="34"/>
  <c r="V2277" i="34"/>
  <c r="U2277" i="34"/>
  <c r="T2277" i="34"/>
  <c r="P2277" i="34"/>
  <c r="M2277" i="34"/>
  <c r="C2277" i="34"/>
  <c r="AD2277" i="34" s="1"/>
  <c r="AC2276" i="34"/>
  <c r="AB2276" i="34"/>
  <c r="Y2276" i="34"/>
  <c r="W2276" i="34"/>
  <c r="V2276" i="34"/>
  <c r="U2276" i="34"/>
  <c r="T2276" i="34"/>
  <c r="P2276" i="34"/>
  <c r="M2276" i="34"/>
  <c r="C2276" i="34"/>
  <c r="AD2276" i="34" s="1"/>
  <c r="AC2275" i="34"/>
  <c r="AB2275" i="34"/>
  <c r="Y2275" i="34"/>
  <c r="W2275" i="34"/>
  <c r="V2275" i="34"/>
  <c r="U2275" i="34"/>
  <c r="T2275" i="34"/>
  <c r="P2275" i="34"/>
  <c r="C2275" i="34"/>
  <c r="AD2275" i="34" s="1"/>
  <c r="AC2274" i="34"/>
  <c r="AB2274" i="34"/>
  <c r="Y2274" i="34"/>
  <c r="W2274" i="34"/>
  <c r="V2274" i="34"/>
  <c r="U2274" i="34"/>
  <c r="T2274" i="34"/>
  <c r="P2274" i="34"/>
  <c r="M2274" i="34"/>
  <c r="C2274" i="34"/>
  <c r="AD2274" i="34" s="1"/>
  <c r="AC2273" i="34"/>
  <c r="AB2273" i="34"/>
  <c r="Y2273" i="34"/>
  <c r="W2273" i="34"/>
  <c r="V2273" i="34"/>
  <c r="U2273" i="34"/>
  <c r="T2273" i="34"/>
  <c r="P2273" i="34"/>
  <c r="M2273" i="34"/>
  <c r="C2273" i="34"/>
  <c r="AD2273" i="34" s="1"/>
  <c r="AC2272" i="34"/>
  <c r="AB2272" i="34"/>
  <c r="Y2272" i="34"/>
  <c r="W2272" i="34"/>
  <c r="V2272" i="34"/>
  <c r="U2272" i="34"/>
  <c r="T2272" i="34"/>
  <c r="P2272" i="34"/>
  <c r="M2272" i="34"/>
  <c r="C2272" i="34"/>
  <c r="AD2272" i="34" s="1"/>
  <c r="AC2271" i="34"/>
  <c r="AB2271" i="34"/>
  <c r="Y2271" i="34"/>
  <c r="W2271" i="34"/>
  <c r="V2271" i="34"/>
  <c r="U2271" i="34"/>
  <c r="T2271" i="34"/>
  <c r="P2271" i="34"/>
  <c r="C2271" i="34"/>
  <c r="AD2271" i="34" s="1"/>
  <c r="AC2270" i="34"/>
  <c r="AB2270" i="34"/>
  <c r="Y2270" i="34"/>
  <c r="W2270" i="34"/>
  <c r="V2270" i="34"/>
  <c r="U2270" i="34"/>
  <c r="T2270" i="34"/>
  <c r="P2270" i="34"/>
  <c r="M2270" i="34"/>
  <c r="C2270" i="34"/>
  <c r="AD2270" i="34" s="1"/>
  <c r="AC2269" i="34"/>
  <c r="AB2269" i="34"/>
  <c r="Y2269" i="34"/>
  <c r="W2269" i="34"/>
  <c r="V2269" i="34"/>
  <c r="U2269" i="34"/>
  <c r="T2269" i="34"/>
  <c r="P2269" i="34"/>
  <c r="M2269" i="34"/>
  <c r="C2269" i="34"/>
  <c r="AD2269" i="34" s="1"/>
  <c r="AC2268" i="34"/>
  <c r="AB2268" i="34"/>
  <c r="Y2268" i="34"/>
  <c r="W2268" i="34"/>
  <c r="V2268" i="34"/>
  <c r="U2268" i="34"/>
  <c r="T2268" i="34"/>
  <c r="P2268" i="34"/>
  <c r="M2268" i="34"/>
  <c r="C2268" i="34"/>
  <c r="AD2268" i="34" s="1"/>
  <c r="AC2267" i="34"/>
  <c r="AB2267" i="34"/>
  <c r="Y2267" i="34"/>
  <c r="W2267" i="34"/>
  <c r="V2267" i="34"/>
  <c r="U2267" i="34"/>
  <c r="T2267" i="34"/>
  <c r="P2267" i="34"/>
  <c r="M2267" i="34"/>
  <c r="C2267" i="34"/>
  <c r="AD2267" i="34" s="1"/>
  <c r="AC2266" i="34"/>
  <c r="AB2266" i="34"/>
  <c r="Y2266" i="34"/>
  <c r="W2266" i="34"/>
  <c r="V2266" i="34"/>
  <c r="U2266" i="34"/>
  <c r="T2266" i="34"/>
  <c r="P2266" i="34"/>
  <c r="M2266" i="34"/>
  <c r="C2266" i="34"/>
  <c r="AD2266" i="34" s="1"/>
  <c r="AC2265" i="34"/>
  <c r="AB2265" i="34"/>
  <c r="Y2265" i="34"/>
  <c r="W2265" i="34"/>
  <c r="V2265" i="34"/>
  <c r="U2265" i="34"/>
  <c r="T2265" i="34"/>
  <c r="P2265" i="34"/>
  <c r="M2265" i="34"/>
  <c r="C2265" i="34"/>
  <c r="AD2265" i="34" s="1"/>
  <c r="AC2264" i="34"/>
  <c r="AB2264" i="34"/>
  <c r="Y2264" i="34"/>
  <c r="W2264" i="34"/>
  <c r="V2264" i="34"/>
  <c r="U2264" i="34"/>
  <c r="T2264" i="34"/>
  <c r="P2264" i="34"/>
  <c r="M2264" i="34"/>
  <c r="C2264" i="34"/>
  <c r="AD2264" i="34" s="1"/>
  <c r="AC5537" i="34"/>
  <c r="AB5537" i="34"/>
  <c r="Y5537" i="34"/>
  <c r="W5537" i="34"/>
  <c r="V5537" i="34"/>
  <c r="U5537" i="34"/>
  <c r="T5537" i="34"/>
  <c r="P5537" i="34"/>
  <c r="B5537" i="34"/>
  <c r="A5537" i="34" s="1"/>
  <c r="AC5522" i="34"/>
  <c r="AB5522" i="34"/>
  <c r="Y5522" i="34"/>
  <c r="W5522" i="34"/>
  <c r="V5522" i="34"/>
  <c r="U5522" i="34"/>
  <c r="T5522" i="34"/>
  <c r="P5522" i="34"/>
  <c r="AD5522" i="34"/>
  <c r="AC5521" i="34"/>
  <c r="AB5521" i="34"/>
  <c r="Y5521" i="34"/>
  <c r="W5521" i="34"/>
  <c r="V5521" i="34"/>
  <c r="U5521" i="34"/>
  <c r="T5521" i="34"/>
  <c r="P5521" i="34"/>
  <c r="B5521" i="34"/>
  <c r="A5521" i="34" s="1"/>
  <c r="AC5457" i="34"/>
  <c r="AB5457" i="34"/>
  <c r="Y5457" i="34"/>
  <c r="W5457" i="34"/>
  <c r="V5457" i="34"/>
  <c r="U5457" i="34"/>
  <c r="T5457" i="34"/>
  <c r="P5457" i="34"/>
  <c r="AD5457" i="34"/>
  <c r="AC5456" i="34"/>
  <c r="AB5456" i="34"/>
  <c r="Y5456" i="34"/>
  <c r="W5456" i="34"/>
  <c r="V5456" i="34"/>
  <c r="U5456" i="34"/>
  <c r="T5456" i="34"/>
  <c r="P5456" i="34"/>
  <c r="B5456" i="34"/>
  <c r="A5456" i="34" s="1"/>
  <c r="AC5392" i="34"/>
  <c r="AB5392" i="34"/>
  <c r="Y5392" i="34"/>
  <c r="W5392" i="34"/>
  <c r="V5392" i="34"/>
  <c r="U5392" i="34"/>
  <c r="T5392" i="34"/>
  <c r="P5392" i="34"/>
  <c r="AD5392" i="34"/>
  <c r="AC5391" i="34"/>
  <c r="AB5391" i="34"/>
  <c r="Y5391" i="34"/>
  <c r="W5391" i="34"/>
  <c r="V5391" i="34"/>
  <c r="U5391" i="34"/>
  <c r="T5391" i="34"/>
  <c r="P5391" i="34"/>
  <c r="AD5391" i="34"/>
  <c r="AC5560" i="34"/>
  <c r="AB5560" i="34"/>
  <c r="Y5560" i="34"/>
  <c r="W5560" i="34"/>
  <c r="V5560" i="34"/>
  <c r="U5560" i="34"/>
  <c r="T5560" i="34"/>
  <c r="P5560" i="34"/>
  <c r="AD5560" i="34"/>
  <c r="AC5559" i="34"/>
  <c r="AB5559" i="34"/>
  <c r="Y5559" i="34"/>
  <c r="W5559" i="34"/>
  <c r="V5559" i="34"/>
  <c r="U5559" i="34"/>
  <c r="T5559" i="34"/>
  <c r="P5559" i="34"/>
  <c r="B5559" i="34"/>
  <c r="A5559" i="34" s="1"/>
  <c r="AC5558" i="34"/>
  <c r="AB5558" i="34"/>
  <c r="Y5558" i="34"/>
  <c r="W5558" i="34"/>
  <c r="V5558" i="34"/>
  <c r="U5558" i="34"/>
  <c r="T5558" i="34"/>
  <c r="P5558" i="34"/>
  <c r="B5558" i="34"/>
  <c r="A5558" i="34" s="1"/>
  <c r="AC5557" i="34"/>
  <c r="AB5557" i="34"/>
  <c r="Y5557" i="34"/>
  <c r="W5557" i="34"/>
  <c r="V5557" i="34"/>
  <c r="U5557" i="34"/>
  <c r="T5557" i="34"/>
  <c r="P5557" i="34"/>
  <c r="AD5557" i="34"/>
  <c r="AC5643" i="34"/>
  <c r="AB5643" i="34"/>
  <c r="Y5643" i="34"/>
  <c r="W5643" i="34"/>
  <c r="V5643" i="34"/>
  <c r="U5643" i="34"/>
  <c r="T5643" i="34"/>
  <c r="P5643" i="34"/>
  <c r="AD5643" i="34"/>
  <c r="AC5642" i="34"/>
  <c r="AB5642" i="34"/>
  <c r="Y5642" i="34"/>
  <c r="W5642" i="34"/>
  <c r="V5642" i="34"/>
  <c r="U5642" i="34"/>
  <c r="T5642" i="34"/>
  <c r="P5642" i="34"/>
  <c r="B5642" i="34"/>
  <c r="A5642" i="34" s="1"/>
  <c r="AC5674" i="34"/>
  <c r="AB5674" i="34"/>
  <c r="Y5674" i="34"/>
  <c r="W5674" i="34"/>
  <c r="V5674" i="34"/>
  <c r="U5674" i="34"/>
  <c r="T5674" i="34"/>
  <c r="P5674" i="34"/>
  <c r="AD5674" i="34"/>
  <c r="AC5673" i="34"/>
  <c r="AB5673" i="34"/>
  <c r="Y5673" i="34"/>
  <c r="W5673" i="34"/>
  <c r="V5673" i="34"/>
  <c r="U5673" i="34"/>
  <c r="T5673" i="34"/>
  <c r="P5673" i="34"/>
  <c r="B5673" i="34"/>
  <c r="A5673" i="34" s="1"/>
  <c r="I2166" i="34"/>
  <c r="M2166" i="34" s="1"/>
  <c r="I2164" i="34"/>
  <c r="M2164" i="34" s="1"/>
  <c r="I2162" i="34"/>
  <c r="M2162" i="34" s="1"/>
  <c r="AC2165" i="34"/>
  <c r="AB2165" i="34"/>
  <c r="Y2165" i="34"/>
  <c r="W2165" i="34"/>
  <c r="V2165" i="34"/>
  <c r="U2165" i="34"/>
  <c r="T2165" i="34"/>
  <c r="P2165" i="34"/>
  <c r="M2165" i="34"/>
  <c r="C2165" i="34"/>
  <c r="AD2165" i="34" s="1"/>
  <c r="AC2162" i="34"/>
  <c r="AB2162" i="34"/>
  <c r="Y2162" i="34"/>
  <c r="W2162" i="34"/>
  <c r="V2162" i="34"/>
  <c r="U2162" i="34"/>
  <c r="T2162" i="34"/>
  <c r="P2162" i="34"/>
  <c r="C2162" i="34"/>
  <c r="AD2162" i="34" s="1"/>
  <c r="AC2161" i="34"/>
  <c r="AB2161" i="34"/>
  <c r="Y2161" i="34"/>
  <c r="W2161" i="34"/>
  <c r="V2161" i="34"/>
  <c r="U2161" i="34"/>
  <c r="T2161" i="34"/>
  <c r="P2161" i="34"/>
  <c r="M2161" i="34"/>
  <c r="C2161" i="34"/>
  <c r="AD2161" i="34" s="1"/>
  <c r="AC2160" i="34"/>
  <c r="AB2160" i="34"/>
  <c r="Y2160" i="34"/>
  <c r="W2160" i="34"/>
  <c r="V2160" i="34"/>
  <c r="U2160" i="34"/>
  <c r="T2160" i="34"/>
  <c r="P2160" i="34"/>
  <c r="M2160" i="34"/>
  <c r="C2160" i="34"/>
  <c r="AD2160" i="34" s="1"/>
  <c r="I2159" i="34"/>
  <c r="AC2150" i="34"/>
  <c r="AB2150" i="34"/>
  <c r="Y2150" i="34"/>
  <c r="W2150" i="34"/>
  <c r="V2150" i="34"/>
  <c r="U2150" i="34"/>
  <c r="T2150" i="34"/>
  <c r="P2150" i="34"/>
  <c r="M2150" i="34"/>
  <c r="C2150" i="34"/>
  <c r="AD2150" i="34" s="1"/>
  <c r="AC2149" i="34"/>
  <c r="AB2149" i="34"/>
  <c r="Y2149" i="34"/>
  <c r="W2149" i="34"/>
  <c r="V2149" i="34"/>
  <c r="U2149" i="34"/>
  <c r="T2149" i="34"/>
  <c r="P2149" i="34"/>
  <c r="M2149" i="34"/>
  <c r="C2149" i="34"/>
  <c r="AD2149" i="34" s="1"/>
  <c r="AC2148" i="34"/>
  <c r="AB2148" i="34"/>
  <c r="Y2148" i="34"/>
  <c r="W2148" i="34"/>
  <c r="V2148" i="34"/>
  <c r="U2148" i="34"/>
  <c r="T2148" i="34"/>
  <c r="P2148" i="34"/>
  <c r="M2148" i="34"/>
  <c r="C2148" i="34"/>
  <c r="AD2148" i="34" s="1"/>
  <c r="AC2147" i="34"/>
  <c r="AB2147" i="34"/>
  <c r="Y2147" i="34"/>
  <c r="W2147" i="34"/>
  <c r="V2147" i="34"/>
  <c r="U2147" i="34"/>
  <c r="T2147" i="34"/>
  <c r="P2147" i="34"/>
  <c r="M2147" i="34"/>
  <c r="C2147" i="34"/>
  <c r="AD2147" i="34" s="1"/>
  <c r="AC1979" i="34"/>
  <c r="AB1979" i="34"/>
  <c r="Y1979" i="34"/>
  <c r="W1979" i="34"/>
  <c r="V1979" i="34"/>
  <c r="U1979" i="34"/>
  <c r="T1979" i="34"/>
  <c r="P1979" i="34"/>
  <c r="M1979" i="34"/>
  <c r="C1979" i="34"/>
  <c r="AD1979" i="34" s="1"/>
  <c r="I1986" i="34"/>
  <c r="AC1983" i="34"/>
  <c r="AB1983" i="34"/>
  <c r="Y1983" i="34"/>
  <c r="W1983" i="34"/>
  <c r="V1983" i="34"/>
  <c r="U1983" i="34"/>
  <c r="T1983" i="34"/>
  <c r="P1983" i="34"/>
  <c r="M1983" i="34"/>
  <c r="C1983" i="34"/>
  <c r="AD1983" i="34" s="1"/>
  <c r="AC1982" i="34"/>
  <c r="AB1982" i="34"/>
  <c r="Y1982" i="34"/>
  <c r="W1982" i="34"/>
  <c r="V1982" i="34"/>
  <c r="U1982" i="34"/>
  <c r="T1982" i="34"/>
  <c r="P1982" i="34"/>
  <c r="M1982" i="34"/>
  <c r="C1982" i="34"/>
  <c r="AD1982" i="34" s="1"/>
  <c r="I1978" i="34"/>
  <c r="I1976" i="34"/>
  <c r="I1974" i="34"/>
  <c r="AC1968" i="34"/>
  <c r="AB1968" i="34"/>
  <c r="Y1968" i="34"/>
  <c r="W1968" i="34"/>
  <c r="V1968" i="34"/>
  <c r="U1968" i="34"/>
  <c r="T1968" i="34"/>
  <c r="P1968" i="34"/>
  <c r="M1968" i="34"/>
  <c r="C1968" i="34"/>
  <c r="AD1968" i="34" s="1"/>
  <c r="I1970" i="34"/>
  <c r="M1970" i="34" s="1"/>
  <c r="AC1971" i="34"/>
  <c r="AB1971" i="34"/>
  <c r="Y1971" i="34"/>
  <c r="W1971" i="34"/>
  <c r="V1971" i="34"/>
  <c r="U1971" i="34"/>
  <c r="T1971" i="34"/>
  <c r="P1971" i="34"/>
  <c r="M1971" i="34"/>
  <c r="C1971" i="34"/>
  <c r="AD1971" i="34" s="1"/>
  <c r="AC1970" i="34"/>
  <c r="AB1970" i="34"/>
  <c r="Y1970" i="34"/>
  <c r="W1970" i="34"/>
  <c r="V1970" i="34"/>
  <c r="U1970" i="34"/>
  <c r="T1970" i="34"/>
  <c r="P1970" i="34"/>
  <c r="C1970" i="34"/>
  <c r="B1970" i="34" s="1"/>
  <c r="AC1969" i="34"/>
  <c r="AB1969" i="34"/>
  <c r="Y1969" i="34"/>
  <c r="W1969" i="34"/>
  <c r="V1969" i="34"/>
  <c r="U1969" i="34"/>
  <c r="T1969" i="34"/>
  <c r="P1969" i="34"/>
  <c r="M1969" i="34"/>
  <c r="C1969" i="34"/>
  <c r="AD1969" i="34" s="1"/>
  <c r="AC1967" i="34"/>
  <c r="AB1967" i="34"/>
  <c r="Y1967" i="34"/>
  <c r="W1967" i="34"/>
  <c r="V1967" i="34"/>
  <c r="U1967" i="34"/>
  <c r="T1967" i="34"/>
  <c r="P1967" i="34"/>
  <c r="M1967" i="34"/>
  <c r="C1967" i="34"/>
  <c r="AD1967" i="34" s="1"/>
  <c r="AC1966" i="34"/>
  <c r="AB1966" i="34"/>
  <c r="Y1966" i="34"/>
  <c r="W1966" i="34"/>
  <c r="V1966" i="34"/>
  <c r="U1966" i="34"/>
  <c r="T1966" i="34"/>
  <c r="P1966" i="34"/>
  <c r="M1966" i="34"/>
  <c r="C1966" i="34"/>
  <c r="AD1966" i="34" s="1"/>
  <c r="AC1965" i="34"/>
  <c r="AB1965" i="34"/>
  <c r="Y1965" i="34"/>
  <c r="W1965" i="34"/>
  <c r="V1965" i="34"/>
  <c r="U1965" i="34"/>
  <c r="T1965" i="34"/>
  <c r="P1965" i="34"/>
  <c r="M1965" i="34"/>
  <c r="C1965" i="34"/>
  <c r="AD1965" i="34" s="1"/>
  <c r="AC1964" i="34"/>
  <c r="AB1964" i="34"/>
  <c r="Y1964" i="34"/>
  <c r="W1964" i="34"/>
  <c r="V1964" i="34"/>
  <c r="U1964" i="34"/>
  <c r="T1964" i="34"/>
  <c r="P1964" i="34"/>
  <c r="M1964" i="34"/>
  <c r="C1964" i="34"/>
  <c r="AD1964" i="34" s="1"/>
  <c r="AC1963" i="34"/>
  <c r="AB1963" i="34"/>
  <c r="Y1963" i="34"/>
  <c r="W1963" i="34"/>
  <c r="V1963" i="34"/>
  <c r="U1963" i="34"/>
  <c r="T1963" i="34"/>
  <c r="P1963" i="34"/>
  <c r="M1963" i="34"/>
  <c r="C1963" i="34"/>
  <c r="AD1963" i="34" s="1"/>
  <c r="AC1962" i="34"/>
  <c r="AB1962" i="34"/>
  <c r="Y1962" i="34"/>
  <c r="W1962" i="34"/>
  <c r="V1962" i="34"/>
  <c r="U1962" i="34"/>
  <c r="T1962" i="34"/>
  <c r="P1962" i="34"/>
  <c r="M1962" i="34"/>
  <c r="C1962" i="34"/>
  <c r="AD1962" i="34" s="1"/>
  <c r="AC1961" i="34"/>
  <c r="AB1961" i="34"/>
  <c r="Y1961" i="34"/>
  <c r="W1961" i="34"/>
  <c r="V1961" i="34"/>
  <c r="U1961" i="34"/>
  <c r="T1961" i="34"/>
  <c r="P1961" i="34"/>
  <c r="M1961" i="34"/>
  <c r="C1961" i="34"/>
  <c r="AD1961" i="34" s="1"/>
  <c r="AC1960" i="34"/>
  <c r="AB1960" i="34"/>
  <c r="Y1960" i="34"/>
  <c r="W1960" i="34"/>
  <c r="V1960" i="34"/>
  <c r="U1960" i="34"/>
  <c r="T1960" i="34"/>
  <c r="P1960" i="34"/>
  <c r="M1960" i="34"/>
  <c r="C1960" i="34"/>
  <c r="AD1960" i="34" s="1"/>
  <c r="AC1959" i="34"/>
  <c r="AB1959" i="34"/>
  <c r="Y1959" i="34"/>
  <c r="W1959" i="34"/>
  <c r="V1959" i="34"/>
  <c r="U1959" i="34"/>
  <c r="T1959" i="34"/>
  <c r="P1959" i="34"/>
  <c r="M1959" i="34"/>
  <c r="C1959" i="34"/>
  <c r="AD1959" i="34" s="1"/>
  <c r="AC2172" i="34"/>
  <c r="AB2172" i="34"/>
  <c r="Y2172" i="34"/>
  <c r="W2172" i="34"/>
  <c r="V2172" i="34"/>
  <c r="U2172" i="34"/>
  <c r="T2172" i="34"/>
  <c r="P2172" i="34"/>
  <c r="M2172" i="34"/>
  <c r="C2172" i="34"/>
  <c r="AD2172" i="34" s="1"/>
  <c r="AC2171" i="34"/>
  <c r="AB2171" i="34"/>
  <c r="Y2171" i="34"/>
  <c r="W2171" i="34"/>
  <c r="V2171" i="34"/>
  <c r="U2171" i="34"/>
  <c r="T2171" i="34"/>
  <c r="P2171" i="34"/>
  <c r="M2171" i="34"/>
  <c r="C2171" i="34"/>
  <c r="AD2171" i="34" s="1"/>
  <c r="AC2170" i="34"/>
  <c r="AB2170" i="34"/>
  <c r="Y2170" i="34"/>
  <c r="W2170" i="34"/>
  <c r="V2170" i="34"/>
  <c r="U2170" i="34"/>
  <c r="T2170" i="34"/>
  <c r="P2170" i="34"/>
  <c r="M2170" i="34"/>
  <c r="C2170" i="34"/>
  <c r="AD2170" i="34" s="1"/>
  <c r="AC2169" i="34"/>
  <c r="AB2169" i="34"/>
  <c r="Y2169" i="34"/>
  <c r="W2169" i="34"/>
  <c r="V2169" i="34"/>
  <c r="U2169" i="34"/>
  <c r="T2169" i="34"/>
  <c r="P2169" i="34"/>
  <c r="M2169" i="34"/>
  <c r="C2169" i="34"/>
  <c r="AD2169" i="34" s="1"/>
  <c r="AC2168" i="34"/>
  <c r="AB2168" i="34"/>
  <c r="Y2168" i="34"/>
  <c r="W2168" i="34"/>
  <c r="V2168" i="34"/>
  <c r="U2168" i="34"/>
  <c r="T2168" i="34"/>
  <c r="P2168" i="34"/>
  <c r="M2168" i="34"/>
  <c r="C2168" i="34"/>
  <c r="AD2168" i="34" s="1"/>
  <c r="AC2167" i="34"/>
  <c r="AB2167" i="34"/>
  <c r="Y2167" i="34"/>
  <c r="W2167" i="34"/>
  <c r="V2167" i="34"/>
  <c r="U2167" i="34"/>
  <c r="T2167" i="34"/>
  <c r="P2167" i="34"/>
  <c r="M2167" i="34"/>
  <c r="C2167" i="34"/>
  <c r="AD2167" i="34" s="1"/>
  <c r="AC2166" i="34"/>
  <c r="AB2166" i="34"/>
  <c r="Y2166" i="34"/>
  <c r="W2166" i="34"/>
  <c r="V2166" i="34"/>
  <c r="U2166" i="34"/>
  <c r="T2166" i="34"/>
  <c r="P2166" i="34"/>
  <c r="C2166" i="34"/>
  <c r="AD2166" i="34" s="1"/>
  <c r="AC2164" i="34"/>
  <c r="AB2164" i="34"/>
  <c r="Y2164" i="34"/>
  <c r="W2164" i="34"/>
  <c r="V2164" i="34"/>
  <c r="U2164" i="34"/>
  <c r="T2164" i="34"/>
  <c r="P2164" i="34"/>
  <c r="C2164" i="34"/>
  <c r="AD2164" i="34" s="1"/>
  <c r="AC2163" i="34"/>
  <c r="AB2163" i="34"/>
  <c r="Y2163" i="34"/>
  <c r="W2163" i="34"/>
  <c r="V2163" i="34"/>
  <c r="U2163" i="34"/>
  <c r="T2163" i="34"/>
  <c r="P2163" i="34"/>
  <c r="M2163" i="34"/>
  <c r="C2163" i="34"/>
  <c r="B2163" i="34" s="1"/>
  <c r="A2163" i="34" s="1"/>
  <c r="AC2159" i="34"/>
  <c r="AB2159" i="34"/>
  <c r="Y2159" i="34"/>
  <c r="W2159" i="34"/>
  <c r="V2159" i="34"/>
  <c r="U2159" i="34"/>
  <c r="T2159" i="34"/>
  <c r="P2159" i="34"/>
  <c r="M2159" i="34"/>
  <c r="C2159" i="34"/>
  <c r="AD2159" i="34" s="1"/>
  <c r="AC2158" i="34"/>
  <c r="AB2158" i="34"/>
  <c r="Y2158" i="34"/>
  <c r="W2158" i="34"/>
  <c r="V2158" i="34"/>
  <c r="U2158" i="34"/>
  <c r="T2158" i="34"/>
  <c r="P2158" i="34"/>
  <c r="M2158" i="34"/>
  <c r="C2158" i="34"/>
  <c r="AD2158" i="34" s="1"/>
  <c r="AC2157" i="34"/>
  <c r="AB2157" i="34"/>
  <c r="Y2157" i="34"/>
  <c r="W2157" i="34"/>
  <c r="V2157" i="34"/>
  <c r="U2157" i="34"/>
  <c r="T2157" i="34"/>
  <c r="P2157" i="34"/>
  <c r="M2157" i="34"/>
  <c r="C2157" i="34"/>
  <c r="AD2157" i="34" s="1"/>
  <c r="AC2156" i="34"/>
  <c r="AB2156" i="34"/>
  <c r="Y2156" i="34"/>
  <c r="W2156" i="34"/>
  <c r="V2156" i="34"/>
  <c r="U2156" i="34"/>
  <c r="T2156" i="34"/>
  <c r="P2156" i="34"/>
  <c r="M2156" i="34"/>
  <c r="C2156" i="34"/>
  <c r="AD2156" i="34" s="1"/>
  <c r="AC2155" i="34"/>
  <c r="AB2155" i="34"/>
  <c r="Y2155" i="34"/>
  <c r="W2155" i="34"/>
  <c r="V2155" i="34"/>
  <c r="U2155" i="34"/>
  <c r="T2155" i="34"/>
  <c r="P2155" i="34"/>
  <c r="M2155" i="34"/>
  <c r="C2155" i="34"/>
  <c r="AD2155" i="34" s="1"/>
  <c r="AC2154" i="34"/>
  <c r="AB2154" i="34"/>
  <c r="Y2154" i="34"/>
  <c r="W2154" i="34"/>
  <c r="V2154" i="34"/>
  <c r="U2154" i="34"/>
  <c r="T2154" i="34"/>
  <c r="P2154" i="34"/>
  <c r="M2154" i="34"/>
  <c r="C2154" i="34"/>
  <c r="AD2154" i="34" s="1"/>
  <c r="AC2153" i="34"/>
  <c r="AB2153" i="34"/>
  <c r="Y2153" i="34"/>
  <c r="W2153" i="34"/>
  <c r="V2153" i="34"/>
  <c r="U2153" i="34"/>
  <c r="T2153" i="34"/>
  <c r="P2153" i="34"/>
  <c r="M2153" i="34"/>
  <c r="C2153" i="34"/>
  <c r="B2153" i="34" s="1"/>
  <c r="A2153" i="34" s="1"/>
  <c r="AC2152" i="34"/>
  <c r="AB2152" i="34"/>
  <c r="Y2152" i="34"/>
  <c r="W2152" i="34"/>
  <c r="V2152" i="34"/>
  <c r="U2152" i="34"/>
  <c r="T2152" i="34"/>
  <c r="P2152" i="34"/>
  <c r="M2152" i="34"/>
  <c r="C2152" i="34"/>
  <c r="AD2152" i="34" s="1"/>
  <c r="AC2151" i="34"/>
  <c r="AB2151" i="34"/>
  <c r="Y2151" i="34"/>
  <c r="W2151" i="34"/>
  <c r="V2151" i="34"/>
  <c r="U2151" i="34"/>
  <c r="T2151" i="34"/>
  <c r="P2151" i="34"/>
  <c r="M2151" i="34"/>
  <c r="C2151" i="34"/>
  <c r="B2151" i="34" s="1"/>
  <c r="A2151" i="34" s="1"/>
  <c r="AC1990" i="34"/>
  <c r="AB1990" i="34"/>
  <c r="Y1990" i="34"/>
  <c r="W1990" i="34"/>
  <c r="V1990" i="34"/>
  <c r="U1990" i="34"/>
  <c r="T1990" i="34"/>
  <c r="P1990" i="34"/>
  <c r="M1990" i="34"/>
  <c r="C1990" i="34"/>
  <c r="AD1990" i="34" s="1"/>
  <c r="AC1989" i="34"/>
  <c r="AB1989" i="34"/>
  <c r="Y1989" i="34"/>
  <c r="W1989" i="34"/>
  <c r="V1989" i="34"/>
  <c r="U1989" i="34"/>
  <c r="T1989" i="34"/>
  <c r="P1989" i="34"/>
  <c r="M1989" i="34"/>
  <c r="C1989" i="34"/>
  <c r="AD1989" i="34" s="1"/>
  <c r="AC1988" i="34"/>
  <c r="AB1988" i="34"/>
  <c r="Y1988" i="34"/>
  <c r="W1988" i="34"/>
  <c r="V1988" i="34"/>
  <c r="U1988" i="34"/>
  <c r="T1988" i="34"/>
  <c r="P1988" i="34"/>
  <c r="M1988" i="34"/>
  <c r="C1988" i="34"/>
  <c r="AD1988" i="34" s="1"/>
  <c r="AC1987" i="34"/>
  <c r="AB1987" i="34"/>
  <c r="Y1987" i="34"/>
  <c r="W1987" i="34"/>
  <c r="V1987" i="34"/>
  <c r="U1987" i="34"/>
  <c r="T1987" i="34"/>
  <c r="P1987" i="34"/>
  <c r="M1987" i="34"/>
  <c r="C1987" i="34"/>
  <c r="AD1987" i="34" s="1"/>
  <c r="R3404" i="34" l="1"/>
  <c r="Q3349" i="34"/>
  <c r="A3349" i="34"/>
  <c r="S2455" i="34"/>
  <c r="A2455" i="34"/>
  <c r="Q2456" i="34"/>
  <c r="A2456" i="34"/>
  <c r="Q2452" i="34"/>
  <c r="A2452" i="34"/>
  <c r="Q4490" i="34"/>
  <c r="S5558" i="34"/>
  <c r="Q2461" i="34"/>
  <c r="A2461" i="34"/>
  <c r="S1970" i="34"/>
  <c r="A1970" i="34"/>
  <c r="R2458" i="34"/>
  <c r="A2458" i="34"/>
  <c r="S3425" i="34"/>
  <c r="S3358" i="34"/>
  <c r="S3349" i="34"/>
  <c r="S3353" i="34"/>
  <c r="R3406" i="34"/>
  <c r="R3386" i="34"/>
  <c r="R3371" i="34"/>
  <c r="S3416" i="34"/>
  <c r="S3370" i="34"/>
  <c r="S3419" i="34"/>
  <c r="S3404" i="34"/>
  <c r="R3422" i="34"/>
  <c r="S3368" i="34"/>
  <c r="S3380" i="34"/>
  <c r="S3413" i="34"/>
  <c r="S3366" i="34"/>
  <c r="S3403" i="34"/>
  <c r="S3418" i="34"/>
  <c r="S3412" i="34"/>
  <c r="R3416" i="34"/>
  <c r="R3349" i="34"/>
  <c r="R3370" i="34"/>
  <c r="Q3412" i="34"/>
  <c r="S4490" i="34"/>
  <c r="R3419" i="34"/>
  <c r="S3406" i="34"/>
  <c r="Q3353" i="34"/>
  <c r="R3353" i="34"/>
  <c r="Q3419" i="34"/>
  <c r="S3422" i="34"/>
  <c r="Q3422" i="34"/>
  <c r="Q3415" i="34"/>
  <c r="S3415" i="34"/>
  <c r="R3415" i="34"/>
  <c r="S3386" i="34"/>
  <c r="Q3386" i="34"/>
  <c r="Q3414" i="34"/>
  <c r="S3414" i="34"/>
  <c r="R3414" i="34"/>
  <c r="Q4138" i="34"/>
  <c r="S4138" i="34"/>
  <c r="R4138" i="34"/>
  <c r="Q3423" i="34"/>
  <c r="S3423" i="34"/>
  <c r="R3423" i="34"/>
  <c r="R4490" i="34"/>
  <c r="Q4460" i="34"/>
  <c r="S4460" i="34"/>
  <c r="R4460" i="34"/>
  <c r="Q4105" i="34"/>
  <c r="S4105" i="34"/>
  <c r="R4105" i="34"/>
  <c r="Q3370" i="34"/>
  <c r="Q3366" i="34"/>
  <c r="S3371" i="34"/>
  <c r="R3418" i="34"/>
  <c r="Q3406" i="34"/>
  <c r="Q3380" i="34"/>
  <c r="Q3418" i="34"/>
  <c r="R3412" i="34"/>
  <c r="R3403" i="34"/>
  <c r="Q3403" i="34"/>
  <c r="Q3397" i="34"/>
  <c r="S3397" i="34"/>
  <c r="R3397" i="34"/>
  <c r="Q3424" i="34"/>
  <c r="S3424" i="34"/>
  <c r="R3424" i="34"/>
  <c r="Q3392" i="34"/>
  <c r="S3392" i="34"/>
  <c r="R3392" i="34"/>
  <c r="Q3399" i="34"/>
  <c r="S3399" i="34"/>
  <c r="R3399" i="34"/>
  <c r="Q3384" i="34"/>
  <c r="S3384" i="34"/>
  <c r="R3384" i="34"/>
  <c r="Q3400" i="34"/>
  <c r="S3400" i="34"/>
  <c r="R3400" i="34"/>
  <c r="Q3367" i="34"/>
  <c r="S3367" i="34"/>
  <c r="R3367" i="34"/>
  <c r="Q3405" i="34"/>
  <c r="S3405" i="34"/>
  <c r="R3405" i="34"/>
  <c r="Q3375" i="34"/>
  <c r="S3375" i="34"/>
  <c r="R3375" i="34"/>
  <c r="R3380" i="34"/>
  <c r="R3366" i="34"/>
  <c r="R3358" i="34"/>
  <c r="Q3358" i="34"/>
  <c r="R3413" i="34"/>
  <c r="Q3413" i="34"/>
  <c r="Q3416" i="34"/>
  <c r="Q3371" i="34"/>
  <c r="Q3357" i="34"/>
  <c r="S3357" i="34"/>
  <c r="R3357" i="34"/>
  <c r="Q3351" i="34"/>
  <c r="S3351" i="34"/>
  <c r="R3351" i="34"/>
  <c r="Q3408" i="34"/>
  <c r="S3408" i="34"/>
  <c r="R3408" i="34"/>
  <c r="Q3354" i="34"/>
  <c r="S3354" i="34"/>
  <c r="R3354" i="34"/>
  <c r="R2450" i="34"/>
  <c r="R3368" i="34"/>
  <c r="R2461" i="34"/>
  <c r="Q3368" i="34"/>
  <c r="R3425" i="34"/>
  <c r="Q3425" i="34"/>
  <c r="Q3364" i="34"/>
  <c r="S3364" i="34"/>
  <c r="R3364" i="34"/>
  <c r="Q3372" i="34"/>
  <c r="S3372" i="34"/>
  <c r="R3372" i="34"/>
  <c r="Q3389" i="34"/>
  <c r="S3389" i="34"/>
  <c r="R3389" i="34"/>
  <c r="Q3356" i="34"/>
  <c r="S3356" i="34"/>
  <c r="R3356" i="34"/>
  <c r="R2452" i="34"/>
  <c r="S2461" i="34"/>
  <c r="R2456" i="34"/>
  <c r="S2450" i="34"/>
  <c r="Q2450" i="34"/>
  <c r="S2448" i="34"/>
  <c r="R2448" i="34"/>
  <c r="S2456" i="34"/>
  <c r="Q2455" i="34"/>
  <c r="Q2448" i="34"/>
  <c r="R2455" i="34"/>
  <c r="AD5538" i="34"/>
  <c r="Q2458" i="34"/>
  <c r="S2458" i="34"/>
  <c r="Q2460" i="34"/>
  <c r="S2460" i="34"/>
  <c r="R2460" i="34"/>
  <c r="S2459" i="34"/>
  <c r="R2459" i="34"/>
  <c r="Q2459" i="34"/>
  <c r="S2457" i="34"/>
  <c r="R2457" i="34"/>
  <c r="Q2457" i="34"/>
  <c r="S2462" i="34"/>
  <c r="R2462" i="34"/>
  <c r="Q2462" i="34"/>
  <c r="S2449" i="34"/>
  <c r="R2449" i="34"/>
  <c r="Q2449" i="34"/>
  <c r="R2451" i="34"/>
  <c r="Q2451" i="34"/>
  <c r="S2451" i="34"/>
  <c r="Q2445" i="34"/>
  <c r="S2445" i="34"/>
  <c r="R2445" i="34"/>
  <c r="Q2444" i="34"/>
  <c r="S2444" i="34"/>
  <c r="R2444" i="34"/>
  <c r="S2443" i="34"/>
  <c r="R2443" i="34"/>
  <c r="Q2443" i="34"/>
  <c r="Q5538" i="34"/>
  <c r="R5538" i="34"/>
  <c r="S5538" i="34"/>
  <c r="B2477" i="34"/>
  <c r="B2478" i="34"/>
  <c r="B2470" i="34"/>
  <c r="B2424" i="34"/>
  <c r="A2424" i="34" s="1"/>
  <c r="B2426" i="34"/>
  <c r="A2426" i="34" s="1"/>
  <c r="B2428" i="34"/>
  <c r="A2428" i="34" s="1"/>
  <c r="B2425" i="34"/>
  <c r="A2425" i="34" s="1"/>
  <c r="B2427" i="34"/>
  <c r="A2427" i="34" s="1"/>
  <c r="B2429" i="34"/>
  <c r="A2429" i="34" s="1"/>
  <c r="B2435" i="34"/>
  <c r="Q2435" i="34" s="1"/>
  <c r="B5522" i="34"/>
  <c r="A5522" i="34" s="1"/>
  <c r="B2471" i="34"/>
  <c r="B2432" i="34"/>
  <c r="A2432" i="34" s="1"/>
  <c r="B2476" i="34"/>
  <c r="B2479" i="34"/>
  <c r="B2473" i="34"/>
  <c r="A2473" i="34" s="1"/>
  <c r="B2467" i="34"/>
  <c r="A2467" i="34" s="1"/>
  <c r="B2472" i="34"/>
  <c r="A2472" i="34" s="1"/>
  <c r="B2474" i="34"/>
  <c r="A2474" i="34" s="1"/>
  <c r="B2442" i="34"/>
  <c r="A2442" i="34" s="1"/>
  <c r="B2447" i="34"/>
  <c r="B2454" i="34"/>
  <c r="R2433" i="34"/>
  <c r="S2433" i="34"/>
  <c r="B2431" i="34"/>
  <c r="AD2433" i="34"/>
  <c r="B2438" i="34"/>
  <c r="B2434" i="34"/>
  <c r="B2430" i="34"/>
  <c r="A2430" i="34" s="1"/>
  <c r="B2436" i="34"/>
  <c r="S2440" i="34"/>
  <c r="R2440" i="34"/>
  <c r="Q2440" i="34"/>
  <c r="AD2440" i="34"/>
  <c r="Q2433" i="34"/>
  <c r="B2437" i="34"/>
  <c r="A2437" i="34" s="1"/>
  <c r="B2441" i="34"/>
  <c r="A2441" i="34" s="1"/>
  <c r="B2446" i="34"/>
  <c r="A2446" i="34" s="1"/>
  <c r="B2453" i="34"/>
  <c r="A2453" i="34" s="1"/>
  <c r="B2469" i="34"/>
  <c r="A2469" i="34" s="1"/>
  <c r="B2439" i="34"/>
  <c r="A2439" i="34" s="1"/>
  <c r="B2468" i="34"/>
  <c r="A2468" i="34" s="1"/>
  <c r="B2480" i="34"/>
  <c r="A2480" i="34" s="1"/>
  <c r="B2160" i="34"/>
  <c r="B2273" i="34"/>
  <c r="B2283" i="34"/>
  <c r="A2283" i="34" s="1"/>
  <c r="AD5558" i="34"/>
  <c r="B2284" i="34"/>
  <c r="B2265" i="34"/>
  <c r="B2271" i="34"/>
  <c r="B2275" i="34"/>
  <c r="Q5558" i="34"/>
  <c r="AD5456" i="34"/>
  <c r="B5557" i="34"/>
  <c r="A5557" i="34" s="1"/>
  <c r="B1968" i="34"/>
  <c r="AD5537" i="34"/>
  <c r="B2267" i="34"/>
  <c r="B2278" i="34"/>
  <c r="B2280" i="34"/>
  <c r="B2269" i="34"/>
  <c r="B2277" i="34"/>
  <c r="A2277" i="34" s="1"/>
  <c r="B2279" i="34"/>
  <c r="A2279" i="34" s="1"/>
  <c r="B2282" i="34"/>
  <c r="A2282" i="34" s="1"/>
  <c r="B2264" i="34"/>
  <c r="A2264" i="34" s="1"/>
  <c r="B2266" i="34"/>
  <c r="A2266" i="34" s="1"/>
  <c r="B2268" i="34"/>
  <c r="A2268" i="34" s="1"/>
  <c r="B2270" i="34"/>
  <c r="A2270" i="34" s="1"/>
  <c r="B2272" i="34"/>
  <c r="A2272" i="34" s="1"/>
  <c r="B2274" i="34"/>
  <c r="A2274" i="34" s="1"/>
  <c r="B2276" i="34"/>
  <c r="A2276" i="34" s="1"/>
  <c r="B2281" i="34"/>
  <c r="A2281" i="34" s="1"/>
  <c r="B2285" i="34"/>
  <c r="A2285" i="34" s="1"/>
  <c r="B2287" i="34"/>
  <c r="A2287" i="34" s="1"/>
  <c r="B2286" i="34"/>
  <c r="A2286" i="34" s="1"/>
  <c r="B2288" i="34"/>
  <c r="A2288" i="34" s="1"/>
  <c r="B2289" i="34"/>
  <c r="A2289" i="34" s="1"/>
  <c r="B5392" i="34"/>
  <c r="A5392" i="34" s="1"/>
  <c r="B5391" i="34"/>
  <c r="A5391" i="34" s="1"/>
  <c r="R5456" i="34"/>
  <c r="Q5456" i="34"/>
  <c r="S5456" i="34"/>
  <c r="S5521" i="34"/>
  <c r="R5521" i="34"/>
  <c r="Q5521" i="34"/>
  <c r="R5537" i="34"/>
  <c r="Q5537" i="34"/>
  <c r="S5537" i="34"/>
  <c r="B5457" i="34"/>
  <c r="A5457" i="34" s="1"/>
  <c r="AD5521" i="34"/>
  <c r="B2169" i="34"/>
  <c r="R5559" i="34"/>
  <c r="Q5559" i="34"/>
  <c r="S5559" i="34"/>
  <c r="B5560" i="34"/>
  <c r="A5560" i="34" s="1"/>
  <c r="R5558" i="34"/>
  <c r="AD5559" i="34"/>
  <c r="R5642" i="34"/>
  <c r="Q5642" i="34"/>
  <c r="S5642" i="34"/>
  <c r="B5643" i="34"/>
  <c r="A5643" i="34" s="1"/>
  <c r="AD5642" i="34"/>
  <c r="R5673" i="34"/>
  <c r="Q5673" i="34"/>
  <c r="S5673" i="34"/>
  <c r="B5674" i="34"/>
  <c r="A5674" i="34" s="1"/>
  <c r="AD5673" i="34"/>
  <c r="B2165" i="34"/>
  <c r="A2165" i="34" s="1"/>
  <c r="B2161" i="34"/>
  <c r="A2161" i="34" s="1"/>
  <c r="B2162" i="34"/>
  <c r="A2162" i="34" s="1"/>
  <c r="B2148" i="34"/>
  <c r="B2147" i="34"/>
  <c r="A2147" i="34" s="1"/>
  <c r="B2149" i="34"/>
  <c r="A2149" i="34" s="1"/>
  <c r="B2150" i="34"/>
  <c r="A2150" i="34" s="1"/>
  <c r="B2155" i="34"/>
  <c r="B2166" i="34"/>
  <c r="B2152" i="34"/>
  <c r="B2154" i="34"/>
  <c r="B2157" i="34"/>
  <c r="B2159" i="34"/>
  <c r="B2164" i="34"/>
  <c r="B2170" i="34"/>
  <c r="S2151" i="34"/>
  <c r="Q2163" i="34"/>
  <c r="S2163" i="34"/>
  <c r="Q2153" i="34"/>
  <c r="S2153" i="34"/>
  <c r="AD2151" i="34"/>
  <c r="AD2153" i="34"/>
  <c r="B2156" i="34"/>
  <c r="AD2163" i="34"/>
  <c r="B2168" i="34"/>
  <c r="A2168" i="34" s="1"/>
  <c r="B1967" i="34"/>
  <c r="AD1970" i="34"/>
  <c r="B2158" i="34"/>
  <c r="B2167" i="34"/>
  <c r="B2171" i="34"/>
  <c r="B1959" i="34"/>
  <c r="B1960" i="34"/>
  <c r="B1961" i="34"/>
  <c r="B1962" i="34"/>
  <c r="B1963" i="34"/>
  <c r="B1979" i="34"/>
  <c r="A1979" i="34" s="1"/>
  <c r="B1969" i="34"/>
  <c r="B1966" i="34"/>
  <c r="B1965" i="34"/>
  <c r="B1964" i="34"/>
  <c r="B1982" i="34"/>
  <c r="A1982" i="34" s="1"/>
  <c r="B1983" i="34"/>
  <c r="A1983" i="34" s="1"/>
  <c r="Q1970" i="34"/>
  <c r="R1970" i="34"/>
  <c r="B1971" i="34"/>
  <c r="A1971" i="34" s="1"/>
  <c r="Q2151" i="34"/>
  <c r="R2151" i="34"/>
  <c r="R2153" i="34"/>
  <c r="R2163" i="34"/>
  <c r="B2172" i="34"/>
  <c r="A2172" i="34" s="1"/>
  <c r="B1987" i="34"/>
  <c r="A1987" i="34" s="1"/>
  <c r="B1989" i="34"/>
  <c r="A1989" i="34" s="1"/>
  <c r="B1988" i="34"/>
  <c r="A1988" i="34" s="1"/>
  <c r="B1990" i="34"/>
  <c r="A1990" i="34" s="1"/>
  <c r="AC1992" i="34"/>
  <c r="AB1992" i="34"/>
  <c r="Y1992" i="34"/>
  <c r="W1992" i="34"/>
  <c r="V1992" i="34"/>
  <c r="U1992" i="34"/>
  <c r="T1992" i="34"/>
  <c r="P1992" i="34"/>
  <c r="M1992" i="34"/>
  <c r="C1992" i="34"/>
  <c r="AD1992" i="34" s="1"/>
  <c r="AC1991" i="34"/>
  <c r="AB1991" i="34"/>
  <c r="Y1991" i="34"/>
  <c r="W1991" i="34"/>
  <c r="V1991" i="34"/>
  <c r="U1991" i="34"/>
  <c r="T1991" i="34"/>
  <c r="P1991" i="34"/>
  <c r="M1991" i="34"/>
  <c r="C1991" i="34"/>
  <c r="AD1991" i="34" s="1"/>
  <c r="AC1994" i="34"/>
  <c r="AB1994" i="34"/>
  <c r="Y1994" i="34"/>
  <c r="W1994" i="34"/>
  <c r="V1994" i="34"/>
  <c r="U1994" i="34"/>
  <c r="T1994" i="34"/>
  <c r="P1994" i="34"/>
  <c r="M1994" i="34"/>
  <c r="C1994" i="34"/>
  <c r="AD1994" i="34" s="1"/>
  <c r="AC1993" i="34"/>
  <c r="AB1993" i="34"/>
  <c r="Y1993" i="34"/>
  <c r="W1993" i="34"/>
  <c r="V1993" i="34"/>
  <c r="U1993" i="34"/>
  <c r="T1993" i="34"/>
  <c r="P1993" i="34"/>
  <c r="M1993" i="34"/>
  <c r="C1993" i="34"/>
  <c r="AD1993" i="34" s="1"/>
  <c r="AC1986" i="34"/>
  <c r="AB1986" i="34"/>
  <c r="Y1986" i="34"/>
  <c r="W1986" i="34"/>
  <c r="V1986" i="34"/>
  <c r="U1986" i="34"/>
  <c r="T1986" i="34"/>
  <c r="P1986" i="34"/>
  <c r="M1986" i="34"/>
  <c r="C1986" i="34"/>
  <c r="AD1986" i="34" s="1"/>
  <c r="AC1985" i="34"/>
  <c r="AB1985" i="34"/>
  <c r="Y1985" i="34"/>
  <c r="W1985" i="34"/>
  <c r="V1985" i="34"/>
  <c r="U1985" i="34"/>
  <c r="T1985" i="34"/>
  <c r="P1985" i="34"/>
  <c r="M1985" i="34"/>
  <c r="C1985" i="34"/>
  <c r="AD1985" i="34" s="1"/>
  <c r="AC1984" i="34"/>
  <c r="AB1984" i="34"/>
  <c r="Y1984" i="34"/>
  <c r="W1984" i="34"/>
  <c r="V1984" i="34"/>
  <c r="U1984" i="34"/>
  <c r="T1984" i="34"/>
  <c r="P1984" i="34"/>
  <c r="M1984" i="34"/>
  <c r="C1984" i="34"/>
  <c r="AD1984" i="34" s="1"/>
  <c r="AC1981" i="34"/>
  <c r="AB1981" i="34"/>
  <c r="Y1981" i="34"/>
  <c r="W1981" i="34"/>
  <c r="V1981" i="34"/>
  <c r="U1981" i="34"/>
  <c r="T1981" i="34"/>
  <c r="P1981" i="34"/>
  <c r="M1981" i="34"/>
  <c r="C1981" i="34"/>
  <c r="AD1981" i="34" s="1"/>
  <c r="AC1980" i="34"/>
  <c r="AB1980" i="34"/>
  <c r="Y1980" i="34"/>
  <c r="W1980" i="34"/>
  <c r="V1980" i="34"/>
  <c r="U1980" i="34"/>
  <c r="T1980" i="34"/>
  <c r="P1980" i="34"/>
  <c r="M1980" i="34"/>
  <c r="C1980" i="34"/>
  <c r="AD1980" i="34" s="1"/>
  <c r="AC1978" i="34"/>
  <c r="AB1978" i="34"/>
  <c r="Y1978" i="34"/>
  <c r="W1978" i="34"/>
  <c r="V1978" i="34"/>
  <c r="U1978" i="34"/>
  <c r="T1978" i="34"/>
  <c r="P1978" i="34"/>
  <c r="M1978" i="34"/>
  <c r="C1978" i="34"/>
  <c r="AD1978" i="34" s="1"/>
  <c r="AC1977" i="34"/>
  <c r="AB1977" i="34"/>
  <c r="Y1977" i="34"/>
  <c r="W1977" i="34"/>
  <c r="V1977" i="34"/>
  <c r="U1977" i="34"/>
  <c r="T1977" i="34"/>
  <c r="P1977" i="34"/>
  <c r="M1977" i="34"/>
  <c r="C1977" i="34"/>
  <c r="AD1977" i="34" s="1"/>
  <c r="AC1976" i="34"/>
  <c r="AB1976" i="34"/>
  <c r="Y1976" i="34"/>
  <c r="W1976" i="34"/>
  <c r="V1976" i="34"/>
  <c r="U1976" i="34"/>
  <c r="T1976" i="34"/>
  <c r="P1976" i="34"/>
  <c r="M1976" i="34"/>
  <c r="C1976" i="34"/>
  <c r="AD1976" i="34" s="1"/>
  <c r="AC1975" i="34"/>
  <c r="AB1975" i="34"/>
  <c r="Y1975" i="34"/>
  <c r="W1975" i="34"/>
  <c r="V1975" i="34"/>
  <c r="U1975" i="34"/>
  <c r="T1975" i="34"/>
  <c r="P1975" i="34"/>
  <c r="M1975" i="34"/>
  <c r="C1975" i="34"/>
  <c r="AD1975" i="34" s="1"/>
  <c r="AC1974" i="34"/>
  <c r="AB1974" i="34"/>
  <c r="Y1974" i="34"/>
  <c r="W1974" i="34"/>
  <c r="V1974" i="34"/>
  <c r="U1974" i="34"/>
  <c r="T1974" i="34"/>
  <c r="P1974" i="34"/>
  <c r="M1974" i="34"/>
  <c r="C1974" i="34"/>
  <c r="AD1974" i="34" s="1"/>
  <c r="AC1973" i="34"/>
  <c r="AB1973" i="34"/>
  <c r="Y1973" i="34"/>
  <c r="W1973" i="34"/>
  <c r="V1973" i="34"/>
  <c r="U1973" i="34"/>
  <c r="T1973" i="34"/>
  <c r="P1973" i="34"/>
  <c r="M1973" i="34"/>
  <c r="C1973" i="34"/>
  <c r="AD1973" i="34" s="1"/>
  <c r="AC1972" i="34"/>
  <c r="AB1972" i="34"/>
  <c r="Y1972" i="34"/>
  <c r="W1972" i="34"/>
  <c r="V1972" i="34"/>
  <c r="U1972" i="34"/>
  <c r="T1972" i="34"/>
  <c r="P1972" i="34"/>
  <c r="M1972" i="34"/>
  <c r="C1972" i="34"/>
  <c r="AD1972" i="34" s="1"/>
  <c r="AC1958" i="34"/>
  <c r="AB1958" i="34"/>
  <c r="Y1958" i="34"/>
  <c r="W1958" i="34"/>
  <c r="V1958" i="34"/>
  <c r="U1958" i="34"/>
  <c r="T1958" i="34"/>
  <c r="P1958" i="34"/>
  <c r="M1958" i="34"/>
  <c r="C1958" i="34"/>
  <c r="AD1958" i="34" s="1"/>
  <c r="I1820" i="34"/>
  <c r="M1820" i="34" s="1"/>
  <c r="I1815" i="34"/>
  <c r="M1815" i="34" s="1"/>
  <c r="I1821" i="34"/>
  <c r="M1821" i="34" s="1"/>
  <c r="AC1822" i="34"/>
  <c r="AB1822" i="34"/>
  <c r="Y1822" i="34"/>
  <c r="W1822" i="34"/>
  <c r="V1822" i="34"/>
  <c r="U1822" i="34"/>
  <c r="T1822" i="34"/>
  <c r="P1822" i="34"/>
  <c r="M1822" i="34"/>
  <c r="C1822" i="34"/>
  <c r="AD1822" i="34" s="1"/>
  <c r="AC1821" i="34"/>
  <c r="AB1821" i="34"/>
  <c r="Y1821" i="34"/>
  <c r="W1821" i="34"/>
  <c r="V1821" i="34"/>
  <c r="U1821" i="34"/>
  <c r="T1821" i="34"/>
  <c r="P1821" i="34"/>
  <c r="C1821" i="34"/>
  <c r="AD1821" i="34" s="1"/>
  <c r="AC1820" i="34"/>
  <c r="AB1820" i="34"/>
  <c r="Y1820" i="34"/>
  <c r="W1820" i="34"/>
  <c r="V1820" i="34"/>
  <c r="U1820" i="34"/>
  <c r="T1820" i="34"/>
  <c r="P1820" i="34"/>
  <c r="C1820" i="34"/>
  <c r="AD1820" i="34" s="1"/>
  <c r="AC1819" i="34"/>
  <c r="AB1819" i="34"/>
  <c r="Y1819" i="34"/>
  <c r="W1819" i="34"/>
  <c r="V1819" i="34"/>
  <c r="U1819" i="34"/>
  <c r="T1819" i="34"/>
  <c r="P1819" i="34"/>
  <c r="M1819" i="34"/>
  <c r="C1819" i="34"/>
  <c r="AD1819" i="34" s="1"/>
  <c r="AC1818" i="34"/>
  <c r="AB1818" i="34"/>
  <c r="Y1818" i="34"/>
  <c r="W1818" i="34"/>
  <c r="V1818" i="34"/>
  <c r="U1818" i="34"/>
  <c r="T1818" i="34"/>
  <c r="P1818" i="34"/>
  <c r="M1818" i="34"/>
  <c r="C1818" i="34"/>
  <c r="AD1818" i="34" s="1"/>
  <c r="AC1817" i="34"/>
  <c r="AB1817" i="34"/>
  <c r="Y1817" i="34"/>
  <c r="W1817" i="34"/>
  <c r="V1817" i="34"/>
  <c r="U1817" i="34"/>
  <c r="T1817" i="34"/>
  <c r="P1817" i="34"/>
  <c r="M1817" i="34"/>
  <c r="C1817" i="34"/>
  <c r="AD1817" i="34" s="1"/>
  <c r="AC1816" i="34"/>
  <c r="AB1816" i="34"/>
  <c r="Y1816" i="34"/>
  <c r="W1816" i="34"/>
  <c r="V1816" i="34"/>
  <c r="U1816" i="34"/>
  <c r="T1816" i="34"/>
  <c r="P1816" i="34"/>
  <c r="M1816" i="34"/>
  <c r="C1816" i="34"/>
  <c r="AD1816" i="34" s="1"/>
  <c r="AC1815" i="34"/>
  <c r="AB1815" i="34"/>
  <c r="Y1815" i="34"/>
  <c r="W1815" i="34"/>
  <c r="V1815" i="34"/>
  <c r="U1815" i="34"/>
  <c r="T1815" i="34"/>
  <c r="P1815" i="34"/>
  <c r="C1815" i="34"/>
  <c r="AD1815" i="34" s="1"/>
  <c r="AC1814" i="34"/>
  <c r="AB1814" i="34"/>
  <c r="Y1814" i="34"/>
  <c r="W1814" i="34"/>
  <c r="V1814" i="34"/>
  <c r="U1814" i="34"/>
  <c r="T1814" i="34"/>
  <c r="P1814" i="34"/>
  <c r="M1814" i="34"/>
  <c r="C1814" i="34"/>
  <c r="AD1814" i="34" s="1"/>
  <c r="AC1813" i="34"/>
  <c r="AB1813" i="34"/>
  <c r="Y1813" i="34"/>
  <c r="W1813" i="34"/>
  <c r="V1813" i="34"/>
  <c r="U1813" i="34"/>
  <c r="T1813" i="34"/>
  <c r="P1813" i="34"/>
  <c r="M1813" i="34"/>
  <c r="C1813" i="34"/>
  <c r="AD1813" i="34" s="1"/>
  <c r="AC1812" i="34"/>
  <c r="AB1812" i="34"/>
  <c r="Y1812" i="34"/>
  <c r="W1812" i="34"/>
  <c r="V1812" i="34"/>
  <c r="U1812" i="34"/>
  <c r="T1812" i="34"/>
  <c r="P1812" i="34"/>
  <c r="M1812" i="34"/>
  <c r="C1812" i="34"/>
  <c r="AD1812" i="34" s="1"/>
  <c r="AC1811" i="34"/>
  <c r="AB1811" i="34"/>
  <c r="Y1811" i="34"/>
  <c r="W1811" i="34"/>
  <c r="V1811" i="34"/>
  <c r="U1811" i="34"/>
  <c r="T1811" i="34"/>
  <c r="P1811" i="34"/>
  <c r="M1811" i="34"/>
  <c r="C1811" i="34"/>
  <c r="AD1811" i="34" s="1"/>
  <c r="AC1810" i="34"/>
  <c r="AB1810" i="34"/>
  <c r="Y1810" i="34"/>
  <c r="W1810" i="34"/>
  <c r="V1810" i="34"/>
  <c r="U1810" i="34"/>
  <c r="T1810" i="34"/>
  <c r="P1810" i="34"/>
  <c r="M1810" i="34"/>
  <c r="C1810" i="34"/>
  <c r="AD1810" i="34" s="1"/>
  <c r="AC1809" i="34"/>
  <c r="AB1809" i="34"/>
  <c r="Y1809" i="34"/>
  <c r="W1809" i="34"/>
  <c r="V1809" i="34"/>
  <c r="U1809" i="34"/>
  <c r="T1809" i="34"/>
  <c r="P1809" i="34"/>
  <c r="M1809" i="34"/>
  <c r="C1809" i="34"/>
  <c r="AD1809" i="34" s="1"/>
  <c r="AC1808" i="34"/>
  <c r="AB1808" i="34"/>
  <c r="Y1808" i="34"/>
  <c r="W1808" i="34"/>
  <c r="V1808" i="34"/>
  <c r="U1808" i="34"/>
  <c r="T1808" i="34"/>
  <c r="P1808" i="34"/>
  <c r="M1808" i="34"/>
  <c r="C1808" i="34"/>
  <c r="AD1808" i="34" s="1"/>
  <c r="I1745" i="34"/>
  <c r="I1743" i="34"/>
  <c r="AC1744" i="34"/>
  <c r="AB1744" i="34"/>
  <c r="Y1744" i="34"/>
  <c r="W1744" i="34"/>
  <c r="V1744" i="34"/>
  <c r="U1744" i="34"/>
  <c r="T1744" i="34"/>
  <c r="P1744" i="34"/>
  <c r="M1744" i="34"/>
  <c r="C1744" i="34"/>
  <c r="AD1744" i="34" s="1"/>
  <c r="I1740" i="34"/>
  <c r="AC3381" i="34"/>
  <c r="AB3381" i="34"/>
  <c r="Y3381" i="34"/>
  <c r="W3381" i="34"/>
  <c r="V3381" i="34"/>
  <c r="U3381" i="34"/>
  <c r="T3381" i="34"/>
  <c r="P3381" i="34"/>
  <c r="C3381" i="34"/>
  <c r="AD3381" i="34" s="1"/>
  <c r="AC3377" i="34"/>
  <c r="AB3377" i="34"/>
  <c r="Y3377" i="34"/>
  <c r="W3377" i="34"/>
  <c r="V3377" i="34"/>
  <c r="U3377" i="34"/>
  <c r="T3377" i="34"/>
  <c r="P3377" i="34"/>
  <c r="C3377" i="34"/>
  <c r="B3377" i="34" s="1"/>
  <c r="A3377" i="34" s="1"/>
  <c r="AC3365" i="34"/>
  <c r="AB3365" i="34"/>
  <c r="Y3365" i="34"/>
  <c r="W3365" i="34"/>
  <c r="V3365" i="34"/>
  <c r="U3365" i="34"/>
  <c r="T3365" i="34"/>
  <c r="P3365" i="34"/>
  <c r="C3365" i="34"/>
  <c r="AD3365" i="34" s="1"/>
  <c r="AC3355" i="34"/>
  <c r="AB3355" i="34"/>
  <c r="Y3355" i="34"/>
  <c r="W3355" i="34"/>
  <c r="V3355" i="34"/>
  <c r="U3355" i="34"/>
  <c r="T3355" i="34"/>
  <c r="P3355" i="34"/>
  <c r="C3355" i="34"/>
  <c r="AD3355" i="34" s="1"/>
  <c r="AC3385" i="34"/>
  <c r="AB3385" i="34"/>
  <c r="Y3385" i="34"/>
  <c r="W3385" i="34"/>
  <c r="V3385" i="34"/>
  <c r="U3385" i="34"/>
  <c r="T3385" i="34"/>
  <c r="P3385" i="34"/>
  <c r="C3385" i="34"/>
  <c r="B3385" i="34" s="1"/>
  <c r="A3385" i="34" s="1"/>
  <c r="M4844" i="34"/>
  <c r="M4753" i="34"/>
  <c r="AC5217" i="34"/>
  <c r="AB5217" i="34"/>
  <c r="Y5217" i="34"/>
  <c r="W5217" i="34"/>
  <c r="V5217" i="34"/>
  <c r="U5217" i="34"/>
  <c r="T5217" i="34"/>
  <c r="P5217" i="34"/>
  <c r="AD5217" i="34"/>
  <c r="AC5216" i="34"/>
  <c r="AB5216" i="34"/>
  <c r="Y5216" i="34"/>
  <c r="W5216" i="34"/>
  <c r="V5216" i="34"/>
  <c r="U5216" i="34"/>
  <c r="T5216" i="34"/>
  <c r="P5216" i="34"/>
  <c r="B5216" i="34"/>
  <c r="A5216" i="34" s="1"/>
  <c r="AC5055" i="34"/>
  <c r="AB5055" i="34"/>
  <c r="Y5055" i="34"/>
  <c r="W5055" i="34"/>
  <c r="V5055" i="34"/>
  <c r="U5055" i="34"/>
  <c r="T5055" i="34"/>
  <c r="P5055" i="34"/>
  <c r="AD5055" i="34"/>
  <c r="AC5054" i="34"/>
  <c r="AB5054" i="34"/>
  <c r="Y5054" i="34"/>
  <c r="W5054" i="34"/>
  <c r="V5054" i="34"/>
  <c r="U5054" i="34"/>
  <c r="T5054" i="34"/>
  <c r="P5054" i="34"/>
  <c r="B5054" i="34"/>
  <c r="A5054" i="34" s="1"/>
  <c r="AC3736" i="34"/>
  <c r="AB3736" i="34"/>
  <c r="Y3736" i="34"/>
  <c r="W3736" i="34"/>
  <c r="V3736" i="34"/>
  <c r="U3736" i="34"/>
  <c r="T3736" i="34"/>
  <c r="P3736" i="34"/>
  <c r="AD3736" i="34"/>
  <c r="AC3735" i="34"/>
  <c r="AB3735" i="34"/>
  <c r="Y3735" i="34"/>
  <c r="W3735" i="34"/>
  <c r="V3735" i="34"/>
  <c r="U3735" i="34"/>
  <c r="T3735" i="34"/>
  <c r="P3735" i="34"/>
  <c r="B3735" i="34"/>
  <c r="A3735" i="34" s="1"/>
  <c r="AC4985" i="34"/>
  <c r="AB4985" i="34"/>
  <c r="Y4985" i="34"/>
  <c r="W4985" i="34"/>
  <c r="V4985" i="34"/>
  <c r="U4985" i="34"/>
  <c r="T4985" i="34"/>
  <c r="P4985" i="34"/>
  <c r="AD4985" i="34"/>
  <c r="AC4984" i="34"/>
  <c r="AB4984" i="34"/>
  <c r="Y4984" i="34"/>
  <c r="W4984" i="34"/>
  <c r="V4984" i="34"/>
  <c r="U4984" i="34"/>
  <c r="T4984" i="34"/>
  <c r="P4984" i="34"/>
  <c r="B4984" i="34"/>
  <c r="A4984" i="34" s="1"/>
  <c r="AC4844" i="34"/>
  <c r="AB4844" i="34"/>
  <c r="Y4844" i="34"/>
  <c r="W4844" i="34"/>
  <c r="V4844" i="34"/>
  <c r="U4844" i="34"/>
  <c r="T4844" i="34"/>
  <c r="P4844" i="34"/>
  <c r="AD4844" i="34"/>
  <c r="AC4843" i="34"/>
  <c r="AB4843" i="34"/>
  <c r="Y4843" i="34"/>
  <c r="W4843" i="34"/>
  <c r="V4843" i="34"/>
  <c r="U4843" i="34"/>
  <c r="T4843" i="34"/>
  <c r="P4843" i="34"/>
  <c r="B4843" i="34"/>
  <c r="A4843" i="34" s="1"/>
  <c r="AC4827" i="34"/>
  <c r="AB4827" i="34"/>
  <c r="Y4827" i="34"/>
  <c r="W4827" i="34"/>
  <c r="V4827" i="34"/>
  <c r="U4827" i="34"/>
  <c r="T4827" i="34"/>
  <c r="P4827" i="34"/>
  <c r="AD4827" i="34"/>
  <c r="AC4826" i="34"/>
  <c r="AB4826" i="34"/>
  <c r="Y4826" i="34"/>
  <c r="W4826" i="34"/>
  <c r="V4826" i="34"/>
  <c r="U4826" i="34"/>
  <c r="T4826" i="34"/>
  <c r="P4826" i="34"/>
  <c r="B4826" i="34"/>
  <c r="A4826" i="34" s="1"/>
  <c r="AC4753" i="34"/>
  <c r="AB4753" i="34"/>
  <c r="Y4753" i="34"/>
  <c r="W4753" i="34"/>
  <c r="V4753" i="34"/>
  <c r="U4753" i="34"/>
  <c r="T4753" i="34"/>
  <c r="P4753" i="34"/>
  <c r="AD4753" i="34"/>
  <c r="AC4752" i="34"/>
  <c r="AB4752" i="34"/>
  <c r="Y4752" i="34"/>
  <c r="W4752" i="34"/>
  <c r="V4752" i="34"/>
  <c r="U4752" i="34"/>
  <c r="T4752" i="34"/>
  <c r="P4752" i="34"/>
  <c r="B4752" i="34"/>
  <c r="A4752" i="34" s="1"/>
  <c r="AC4751" i="34"/>
  <c r="AB4751" i="34"/>
  <c r="Y4751" i="34"/>
  <c r="W4751" i="34"/>
  <c r="V4751" i="34"/>
  <c r="U4751" i="34"/>
  <c r="T4751" i="34"/>
  <c r="P4751" i="34"/>
  <c r="B4751" i="34"/>
  <c r="A4751" i="34" s="1"/>
  <c r="AC4750" i="34"/>
  <c r="AB4750" i="34"/>
  <c r="Y4750" i="34"/>
  <c r="W4750" i="34"/>
  <c r="V4750" i="34"/>
  <c r="U4750" i="34"/>
  <c r="T4750" i="34"/>
  <c r="P4750" i="34"/>
  <c r="AD4750" i="34"/>
  <c r="AC5302" i="34"/>
  <c r="AB5302" i="34"/>
  <c r="Y5302" i="34"/>
  <c r="W5302" i="34"/>
  <c r="V5302" i="34"/>
  <c r="U5302" i="34"/>
  <c r="T5302" i="34"/>
  <c r="P5302" i="34"/>
  <c r="AD5302" i="34"/>
  <c r="AC5301" i="34"/>
  <c r="AB5301" i="34"/>
  <c r="Y5301" i="34"/>
  <c r="W5301" i="34"/>
  <c r="V5301" i="34"/>
  <c r="U5301" i="34"/>
  <c r="T5301" i="34"/>
  <c r="P5301" i="34"/>
  <c r="B5301" i="34"/>
  <c r="A5301" i="34" s="1"/>
  <c r="AC5300" i="34"/>
  <c r="AB5300" i="34"/>
  <c r="Y5300" i="34"/>
  <c r="W5300" i="34"/>
  <c r="V5300" i="34"/>
  <c r="U5300" i="34"/>
  <c r="T5300" i="34"/>
  <c r="P5300" i="34"/>
  <c r="AD5300" i="34"/>
  <c r="AC5299" i="34"/>
  <c r="AB5299" i="34"/>
  <c r="Y5299" i="34"/>
  <c r="W5299" i="34"/>
  <c r="V5299" i="34"/>
  <c r="U5299" i="34"/>
  <c r="T5299" i="34"/>
  <c r="P5299" i="34"/>
  <c r="AD5299" i="34"/>
  <c r="AC5281" i="34"/>
  <c r="AB5281" i="34"/>
  <c r="Y5281" i="34"/>
  <c r="W5281" i="34"/>
  <c r="V5281" i="34"/>
  <c r="U5281" i="34"/>
  <c r="T5281" i="34"/>
  <c r="P5281" i="34"/>
  <c r="AD5281" i="34"/>
  <c r="AC5280" i="34"/>
  <c r="AB5280" i="34"/>
  <c r="Y5280" i="34"/>
  <c r="W5280" i="34"/>
  <c r="V5280" i="34"/>
  <c r="U5280" i="34"/>
  <c r="T5280" i="34"/>
  <c r="P5280" i="34"/>
  <c r="B5280" i="34"/>
  <c r="A5280" i="34" s="1"/>
  <c r="AC5219" i="34"/>
  <c r="AB5219" i="34"/>
  <c r="Y5219" i="34"/>
  <c r="W5219" i="34"/>
  <c r="V5219" i="34"/>
  <c r="U5219" i="34"/>
  <c r="T5219" i="34"/>
  <c r="P5219" i="34"/>
  <c r="AD5219" i="34"/>
  <c r="AC5218" i="34"/>
  <c r="AB5218" i="34"/>
  <c r="Y5218" i="34"/>
  <c r="W5218" i="34"/>
  <c r="V5218" i="34"/>
  <c r="U5218" i="34"/>
  <c r="T5218" i="34"/>
  <c r="P5218" i="34"/>
  <c r="AD5218" i="34"/>
  <c r="AC5334" i="34"/>
  <c r="AB5334" i="34"/>
  <c r="Y5334" i="34"/>
  <c r="W5334" i="34"/>
  <c r="V5334" i="34"/>
  <c r="U5334" i="34"/>
  <c r="T5334" i="34"/>
  <c r="P5334" i="34"/>
  <c r="B5334" i="34"/>
  <c r="A5334" i="34" s="1"/>
  <c r="AC5333" i="34"/>
  <c r="AB5333" i="34"/>
  <c r="Y5333" i="34"/>
  <c r="W5333" i="34"/>
  <c r="V5333" i="34"/>
  <c r="U5333" i="34"/>
  <c r="T5333" i="34"/>
  <c r="P5333" i="34"/>
  <c r="AD5333" i="34"/>
  <c r="AC5332" i="34"/>
  <c r="AB5332" i="34"/>
  <c r="Y5332" i="34"/>
  <c r="W5332" i="34"/>
  <c r="V5332" i="34"/>
  <c r="U5332" i="34"/>
  <c r="T5332" i="34"/>
  <c r="P5332" i="34"/>
  <c r="AD5332" i="34"/>
  <c r="AC5331" i="34"/>
  <c r="AB5331" i="34"/>
  <c r="Y5331" i="34"/>
  <c r="W5331" i="34"/>
  <c r="V5331" i="34"/>
  <c r="U5331" i="34"/>
  <c r="T5331" i="34"/>
  <c r="P5331" i="34"/>
  <c r="B5331" i="34"/>
  <c r="A5331" i="34" s="1"/>
  <c r="AC5336" i="34"/>
  <c r="AB5336" i="34"/>
  <c r="Y5336" i="34"/>
  <c r="W5336" i="34"/>
  <c r="V5336" i="34"/>
  <c r="U5336" i="34"/>
  <c r="T5336" i="34"/>
  <c r="P5336" i="34"/>
  <c r="AD5336" i="34"/>
  <c r="AC5335" i="34"/>
  <c r="AB5335" i="34"/>
  <c r="Y5335" i="34"/>
  <c r="W5335" i="34"/>
  <c r="V5335" i="34"/>
  <c r="U5335" i="34"/>
  <c r="T5335" i="34"/>
  <c r="P5335" i="34"/>
  <c r="B5335" i="34"/>
  <c r="A5335" i="34" s="1"/>
  <c r="S5334" i="34" l="1"/>
  <c r="S1965" i="34"/>
  <c r="A1965" i="34"/>
  <c r="S1963" i="34"/>
  <c r="A1963" i="34"/>
  <c r="S1959" i="34"/>
  <c r="A1959" i="34"/>
  <c r="S2156" i="34"/>
  <c r="A2156" i="34"/>
  <c r="Q2170" i="34"/>
  <c r="A2170" i="34"/>
  <c r="S2154" i="34"/>
  <c r="A2154" i="34"/>
  <c r="Q5392" i="34"/>
  <c r="R2267" i="34"/>
  <c r="A2267" i="34"/>
  <c r="Q2265" i="34"/>
  <c r="A2265" i="34"/>
  <c r="Q2273" i="34"/>
  <c r="A2273" i="34"/>
  <c r="Q2436" i="34"/>
  <c r="A2436" i="34"/>
  <c r="R2454" i="34"/>
  <c r="A2454" i="34"/>
  <c r="S2476" i="34"/>
  <c r="A2476" i="34"/>
  <c r="R2435" i="34"/>
  <c r="A2435" i="34"/>
  <c r="S2478" i="34"/>
  <c r="A2478" i="34"/>
  <c r="R1966" i="34"/>
  <c r="A1966" i="34"/>
  <c r="Q1962" i="34"/>
  <c r="A1962" i="34"/>
  <c r="S2171" i="34"/>
  <c r="A2171" i="34"/>
  <c r="S1967" i="34"/>
  <c r="A1967" i="34"/>
  <c r="S2164" i="34"/>
  <c r="A2164" i="34"/>
  <c r="R2152" i="34"/>
  <c r="A2152" i="34"/>
  <c r="R2269" i="34"/>
  <c r="A2269" i="34"/>
  <c r="Q2284" i="34"/>
  <c r="A2284" i="34"/>
  <c r="Q2160" i="34"/>
  <c r="A2160" i="34"/>
  <c r="Q2431" i="34"/>
  <c r="A2431" i="34"/>
  <c r="Q2447" i="34"/>
  <c r="A2447" i="34"/>
  <c r="Q2477" i="34"/>
  <c r="A2477" i="34"/>
  <c r="S1962" i="34"/>
  <c r="R1969" i="34"/>
  <c r="A1969" i="34"/>
  <c r="S1961" i="34"/>
  <c r="A1961" i="34"/>
  <c r="S2167" i="34"/>
  <c r="A2167" i="34"/>
  <c r="S2159" i="34"/>
  <c r="A2159" i="34"/>
  <c r="Q2166" i="34"/>
  <c r="A2166" i="34"/>
  <c r="R2280" i="34"/>
  <c r="A2280" i="34"/>
  <c r="Q1968" i="34"/>
  <c r="A1968" i="34"/>
  <c r="Q2275" i="34"/>
  <c r="A2275" i="34"/>
  <c r="Q2434" i="34"/>
  <c r="A2434" i="34"/>
  <c r="S2471" i="34"/>
  <c r="A2471" i="34"/>
  <c r="R1964" i="34"/>
  <c r="A1964" i="34"/>
  <c r="Q1960" i="34"/>
  <c r="A1960" i="34"/>
  <c r="S2158" i="34"/>
  <c r="A2158" i="34"/>
  <c r="Q2157" i="34"/>
  <c r="A2157" i="34"/>
  <c r="Q2155" i="34"/>
  <c r="A2155" i="34"/>
  <c r="R2148" i="34"/>
  <c r="A2148" i="34"/>
  <c r="S2169" i="34"/>
  <c r="A2169" i="34"/>
  <c r="S5391" i="34"/>
  <c r="R2278" i="34"/>
  <c r="A2278" i="34"/>
  <c r="S5557" i="34"/>
  <c r="Q2271" i="34"/>
  <c r="A2271" i="34"/>
  <c r="Q2438" i="34"/>
  <c r="A2438" i="34"/>
  <c r="S2479" i="34"/>
  <c r="A2479" i="34"/>
  <c r="S5522" i="34"/>
  <c r="S2470" i="34"/>
  <c r="A2470" i="34"/>
  <c r="S1968" i="34"/>
  <c r="R1968" i="34"/>
  <c r="R5522" i="34"/>
  <c r="R2432" i="34"/>
  <c r="R2477" i="34"/>
  <c r="S2447" i="34"/>
  <c r="Q2478" i="34"/>
  <c r="R2155" i="34"/>
  <c r="S2432" i="34"/>
  <c r="S2442" i="34"/>
  <c r="Q2470" i="34"/>
  <c r="Q2432" i="34"/>
  <c r="S2435" i="34"/>
  <c r="R2478" i="34"/>
  <c r="Q5522" i="34"/>
  <c r="R2169" i="34"/>
  <c r="R2160" i="34"/>
  <c r="S2477" i="34"/>
  <c r="S2284" i="34"/>
  <c r="R2470" i="34"/>
  <c r="S2428" i="34"/>
  <c r="R2428" i="34"/>
  <c r="Q2428" i="34"/>
  <c r="Q2429" i="34"/>
  <c r="S2429" i="34"/>
  <c r="R2429" i="34"/>
  <c r="S2426" i="34"/>
  <c r="R2426" i="34"/>
  <c r="Q2426" i="34"/>
  <c r="Q2427" i="34"/>
  <c r="S2427" i="34"/>
  <c r="R2427" i="34"/>
  <c r="S2424" i="34"/>
  <c r="R2424" i="34"/>
  <c r="Q2424" i="34"/>
  <c r="R2436" i="34"/>
  <c r="Q2425" i="34"/>
  <c r="S2425" i="34"/>
  <c r="R2425" i="34"/>
  <c r="S2434" i="34"/>
  <c r="Q5557" i="34"/>
  <c r="R2284" i="34"/>
  <c r="R2434" i="34"/>
  <c r="S2273" i="34"/>
  <c r="R2476" i="34"/>
  <c r="R2157" i="34"/>
  <c r="Q2479" i="34"/>
  <c r="S2430" i="34"/>
  <c r="R2479" i="34"/>
  <c r="Q2476" i="34"/>
  <c r="R2471" i="34"/>
  <c r="R5392" i="34"/>
  <c r="S2160" i="34"/>
  <c r="Q2471" i="34"/>
  <c r="S2280" i="34"/>
  <c r="S2436" i="34"/>
  <c r="R2442" i="34"/>
  <c r="Q2442" i="34"/>
  <c r="Q2474" i="34"/>
  <c r="S2474" i="34"/>
  <c r="R2474" i="34"/>
  <c r="S2473" i="34"/>
  <c r="R2473" i="34"/>
  <c r="Q2473" i="34"/>
  <c r="Q2472" i="34"/>
  <c r="S2472" i="34"/>
  <c r="R2472" i="34"/>
  <c r="Q2467" i="34"/>
  <c r="S2467" i="34"/>
  <c r="R2467" i="34"/>
  <c r="Q2454" i="34"/>
  <c r="S2454" i="34"/>
  <c r="R2447" i="34"/>
  <c r="R2431" i="34"/>
  <c r="S2431" i="34"/>
  <c r="R2430" i="34"/>
  <c r="Q2430" i="34"/>
  <c r="R2438" i="34"/>
  <c r="S2438" i="34"/>
  <c r="Q2468" i="34"/>
  <c r="S2468" i="34"/>
  <c r="R2468" i="34"/>
  <c r="R2453" i="34"/>
  <c r="Q2453" i="34"/>
  <c r="S2453" i="34"/>
  <c r="R2441" i="34"/>
  <c r="Q2441" i="34"/>
  <c r="S2441" i="34"/>
  <c r="S2469" i="34"/>
  <c r="R2469" i="34"/>
  <c r="Q2469" i="34"/>
  <c r="Q2437" i="34"/>
  <c r="S2437" i="34"/>
  <c r="R2437" i="34"/>
  <c r="Q2480" i="34"/>
  <c r="S2480" i="34"/>
  <c r="R2480" i="34"/>
  <c r="R2439" i="34"/>
  <c r="Q2439" i="34"/>
  <c r="S2439" i="34"/>
  <c r="S2446" i="34"/>
  <c r="R2446" i="34"/>
  <c r="Q2446" i="34"/>
  <c r="R5557" i="34"/>
  <c r="S2265" i="34"/>
  <c r="S2278" i="34"/>
  <c r="Q2278" i="34"/>
  <c r="R2275" i="34"/>
  <c r="R2273" i="34"/>
  <c r="S2271" i="34"/>
  <c r="R2271" i="34"/>
  <c r="Q2283" i="34"/>
  <c r="S2283" i="34"/>
  <c r="R2283" i="34"/>
  <c r="Q2169" i="34"/>
  <c r="R2265" i="34"/>
  <c r="R2166" i="34"/>
  <c r="R1960" i="34"/>
  <c r="S2275" i="34"/>
  <c r="S2267" i="34"/>
  <c r="Q2156" i="34"/>
  <c r="R1962" i="34"/>
  <c r="Q1967" i="34"/>
  <c r="R5391" i="34"/>
  <c r="S2269" i="34"/>
  <c r="Q2267" i="34"/>
  <c r="Q2280" i="34"/>
  <c r="Q2269" i="34"/>
  <c r="Q2286" i="34"/>
  <c r="S2286" i="34"/>
  <c r="R2286" i="34"/>
  <c r="S2285" i="34"/>
  <c r="R2285" i="34"/>
  <c r="Q2285" i="34"/>
  <c r="R2276" i="34"/>
  <c r="Q2276" i="34"/>
  <c r="S2276" i="34"/>
  <c r="S2270" i="34"/>
  <c r="R2270" i="34"/>
  <c r="Q2270" i="34"/>
  <c r="S2266" i="34"/>
  <c r="R2266" i="34"/>
  <c r="Q2266" i="34"/>
  <c r="S2282" i="34"/>
  <c r="R2282" i="34"/>
  <c r="Q2282" i="34"/>
  <c r="S2277" i="34"/>
  <c r="R2277" i="34"/>
  <c r="Q2277" i="34"/>
  <c r="Q2289" i="34"/>
  <c r="S2289" i="34"/>
  <c r="R2289" i="34"/>
  <c r="S2274" i="34"/>
  <c r="R2274" i="34"/>
  <c r="Q2274" i="34"/>
  <c r="Q2288" i="34"/>
  <c r="S2288" i="34"/>
  <c r="R2288" i="34"/>
  <c r="S2287" i="34"/>
  <c r="R2287" i="34"/>
  <c r="Q2287" i="34"/>
  <c r="R2281" i="34"/>
  <c r="Q2281" i="34"/>
  <c r="S2281" i="34"/>
  <c r="S2272" i="34"/>
  <c r="R2272" i="34"/>
  <c r="Q2272" i="34"/>
  <c r="S2268" i="34"/>
  <c r="R2268" i="34"/>
  <c r="Q2268" i="34"/>
  <c r="S2264" i="34"/>
  <c r="R2264" i="34"/>
  <c r="Q2264" i="34"/>
  <c r="S2279" i="34"/>
  <c r="R2279" i="34"/>
  <c r="Q2279" i="34"/>
  <c r="R2154" i="34"/>
  <c r="S5392" i="34"/>
  <c r="Q5391" i="34"/>
  <c r="Q5457" i="34"/>
  <c r="S5457" i="34"/>
  <c r="R5457" i="34"/>
  <c r="Q2152" i="34"/>
  <c r="R2168" i="34"/>
  <c r="Q5560" i="34"/>
  <c r="S5560" i="34"/>
  <c r="R5560" i="34"/>
  <c r="Q5643" i="34"/>
  <c r="S5643" i="34"/>
  <c r="R5643" i="34"/>
  <c r="S2166" i="34"/>
  <c r="Q5674" i="34"/>
  <c r="S5674" i="34"/>
  <c r="R5674" i="34"/>
  <c r="Q2154" i="34"/>
  <c r="R2171" i="34"/>
  <c r="R2156" i="34"/>
  <c r="Q2165" i="34"/>
  <c r="S2165" i="34"/>
  <c r="R2165" i="34"/>
  <c r="Q2162" i="34"/>
  <c r="S2162" i="34"/>
  <c r="R2162" i="34"/>
  <c r="R2164" i="34"/>
  <c r="S2161" i="34"/>
  <c r="R2161" i="34"/>
  <c r="Q2161" i="34"/>
  <c r="Q1959" i="34"/>
  <c r="Q2148" i="34"/>
  <c r="S2148" i="34"/>
  <c r="R2167" i="34"/>
  <c r="R2159" i="34"/>
  <c r="Q2164" i="34"/>
  <c r="S2152" i="34"/>
  <c r="Q2150" i="34"/>
  <c r="S2150" i="34"/>
  <c r="R2150" i="34"/>
  <c r="S2149" i="34"/>
  <c r="R2149" i="34"/>
  <c r="Q2149" i="34"/>
  <c r="S2147" i="34"/>
  <c r="R2147" i="34"/>
  <c r="Q2147" i="34"/>
  <c r="R2158" i="34"/>
  <c r="Q2159" i="34"/>
  <c r="Q1965" i="34"/>
  <c r="S1960" i="34"/>
  <c r="S2155" i="34"/>
  <c r="Q2158" i="34"/>
  <c r="R1961" i="34"/>
  <c r="Q2171" i="34"/>
  <c r="R2170" i="34"/>
  <c r="S2170" i="34"/>
  <c r="Q2167" i="34"/>
  <c r="R1967" i="34"/>
  <c r="Q1961" i="34"/>
  <c r="S2157" i="34"/>
  <c r="Q2168" i="34"/>
  <c r="S2168" i="34"/>
  <c r="B1984" i="34"/>
  <c r="R1963" i="34"/>
  <c r="R1959" i="34"/>
  <c r="Q1963" i="34"/>
  <c r="B1986" i="34"/>
  <c r="B1980" i="34"/>
  <c r="Q1979" i="34"/>
  <c r="S1979" i="34"/>
  <c r="R1979" i="34"/>
  <c r="B1978" i="34"/>
  <c r="A1978" i="34" s="1"/>
  <c r="B1976" i="34"/>
  <c r="Q1969" i="34"/>
  <c r="S1969" i="34"/>
  <c r="Q1966" i="34"/>
  <c r="S1966" i="34"/>
  <c r="R1965" i="34"/>
  <c r="Q1964" i="34"/>
  <c r="S1964" i="34"/>
  <c r="Q1983" i="34"/>
  <c r="S1983" i="34"/>
  <c r="R1983" i="34"/>
  <c r="S1982" i="34"/>
  <c r="R1982" i="34"/>
  <c r="Q1982" i="34"/>
  <c r="Q1971" i="34"/>
  <c r="S1971" i="34"/>
  <c r="R1971" i="34"/>
  <c r="Q2172" i="34"/>
  <c r="S2172" i="34"/>
  <c r="R2172" i="34"/>
  <c r="Q1990" i="34"/>
  <c r="S1990" i="34"/>
  <c r="R1990" i="34"/>
  <c r="Q1988" i="34"/>
  <c r="S1988" i="34"/>
  <c r="R1988" i="34"/>
  <c r="S1989" i="34"/>
  <c r="R1989" i="34"/>
  <c r="Q1989" i="34"/>
  <c r="S1987" i="34"/>
  <c r="R1987" i="34"/>
  <c r="Q1987" i="34"/>
  <c r="B1991" i="34"/>
  <c r="A1991" i="34" s="1"/>
  <c r="B1992" i="34"/>
  <c r="A1992" i="34" s="1"/>
  <c r="B1972" i="34"/>
  <c r="S1978" i="34"/>
  <c r="B1974" i="34"/>
  <c r="B1958" i="34"/>
  <c r="A1958" i="34" s="1"/>
  <c r="B1973" i="34"/>
  <c r="A1973" i="34" s="1"/>
  <c r="B1975" i="34"/>
  <c r="A1975" i="34" s="1"/>
  <c r="B1977" i="34"/>
  <c r="A1977" i="34" s="1"/>
  <c r="B1993" i="34"/>
  <c r="A1993" i="34" s="1"/>
  <c r="B1981" i="34"/>
  <c r="A1981" i="34" s="1"/>
  <c r="B1985" i="34"/>
  <c r="A1985" i="34" s="1"/>
  <c r="B1994" i="34"/>
  <c r="A1994" i="34" s="1"/>
  <c r="B1810" i="34"/>
  <c r="B1808" i="34"/>
  <c r="B1812" i="34"/>
  <c r="B1815" i="34"/>
  <c r="B1817" i="34"/>
  <c r="B1814" i="34"/>
  <c r="B1819" i="34"/>
  <c r="B1816" i="34"/>
  <c r="A1816" i="34" s="1"/>
  <c r="B1809" i="34"/>
  <c r="A1809" i="34" s="1"/>
  <c r="B1811" i="34"/>
  <c r="A1811" i="34" s="1"/>
  <c r="B1813" i="34"/>
  <c r="A1813" i="34" s="1"/>
  <c r="B1818" i="34"/>
  <c r="A1818" i="34" s="1"/>
  <c r="B1820" i="34"/>
  <c r="A1820" i="34" s="1"/>
  <c r="B1821" i="34"/>
  <c r="A1821" i="34" s="1"/>
  <c r="B1822" i="34"/>
  <c r="A1822" i="34" s="1"/>
  <c r="B5332" i="34"/>
  <c r="A5332" i="34" s="1"/>
  <c r="AD5334" i="34"/>
  <c r="B4750" i="34"/>
  <c r="A4750" i="34" s="1"/>
  <c r="B5219" i="34"/>
  <c r="A5219" i="34" s="1"/>
  <c r="AD3385" i="34"/>
  <c r="B5055" i="34"/>
  <c r="A5055" i="34" s="1"/>
  <c r="B3355" i="34"/>
  <c r="A3355" i="34" s="1"/>
  <c r="B3365" i="34"/>
  <c r="A3365" i="34" s="1"/>
  <c r="B5333" i="34"/>
  <c r="A5333" i="34" s="1"/>
  <c r="B4827" i="34"/>
  <c r="A4827" i="34" s="1"/>
  <c r="AD3735" i="34"/>
  <c r="AD3377" i="34"/>
  <c r="B1744" i="34"/>
  <c r="R3377" i="34"/>
  <c r="Q3377" i="34"/>
  <c r="S3377" i="34"/>
  <c r="B3381" i="34"/>
  <c r="A3381" i="34" s="1"/>
  <c r="R3385" i="34"/>
  <c r="Q3385" i="34"/>
  <c r="S3385" i="34"/>
  <c r="AD5280" i="34"/>
  <c r="Q5334" i="34"/>
  <c r="B5218" i="34"/>
  <c r="A5218" i="34" s="1"/>
  <c r="B5299" i="34"/>
  <c r="A5299" i="34" s="1"/>
  <c r="B5300" i="34"/>
  <c r="A5300" i="34" s="1"/>
  <c r="AD4752" i="34"/>
  <c r="AD5216" i="34"/>
  <c r="B4985" i="34"/>
  <c r="A4985" i="34" s="1"/>
  <c r="AD4843" i="34"/>
  <c r="AD4751" i="34"/>
  <c r="R4752" i="34"/>
  <c r="Q4752" i="34"/>
  <c r="S4752" i="34"/>
  <c r="R3735" i="34"/>
  <c r="Q3735" i="34"/>
  <c r="S3735" i="34"/>
  <c r="S4751" i="34"/>
  <c r="R4751" i="34"/>
  <c r="Q4751" i="34"/>
  <c r="S4826" i="34"/>
  <c r="R4826" i="34"/>
  <c r="Q4826" i="34"/>
  <c r="S5054" i="34"/>
  <c r="R5054" i="34"/>
  <c r="Q5054" i="34"/>
  <c r="R4843" i="34"/>
  <c r="Q4843" i="34"/>
  <c r="S4843" i="34"/>
  <c r="R5216" i="34"/>
  <c r="Q5216" i="34"/>
  <c r="S5216" i="34"/>
  <c r="S4984" i="34"/>
  <c r="R4984" i="34"/>
  <c r="Q4984" i="34"/>
  <c r="B4753" i="34"/>
  <c r="A4753" i="34" s="1"/>
  <c r="AD4826" i="34"/>
  <c r="B4844" i="34"/>
  <c r="A4844" i="34" s="1"/>
  <c r="AD4984" i="34"/>
  <c r="B3736" i="34"/>
  <c r="A3736" i="34" s="1"/>
  <c r="AD5054" i="34"/>
  <c r="B5217" i="34"/>
  <c r="A5217" i="34" s="1"/>
  <c r="R5280" i="34"/>
  <c r="Q5280" i="34"/>
  <c r="S5280" i="34"/>
  <c r="R5301" i="34"/>
  <c r="Q5301" i="34"/>
  <c r="S5301" i="34"/>
  <c r="B5281" i="34"/>
  <c r="A5281" i="34" s="1"/>
  <c r="B5302" i="34"/>
  <c r="A5302" i="34" s="1"/>
  <c r="AD5301" i="34"/>
  <c r="R5331" i="34"/>
  <c r="Q5331" i="34"/>
  <c r="S5331" i="34"/>
  <c r="AD5331" i="34"/>
  <c r="R5334" i="34"/>
  <c r="R5335" i="34"/>
  <c r="Q5335" i="34"/>
  <c r="S5335" i="34"/>
  <c r="B5336" i="34"/>
  <c r="A5336" i="34" s="1"/>
  <c r="AD5335" i="34"/>
  <c r="I1736" i="34"/>
  <c r="AC1731" i="34"/>
  <c r="AB1731" i="34"/>
  <c r="Y1731" i="34"/>
  <c r="W1731" i="34"/>
  <c r="V1731" i="34"/>
  <c r="U1731" i="34"/>
  <c r="T1731" i="34"/>
  <c r="P1731" i="34"/>
  <c r="M1731" i="34"/>
  <c r="C1731" i="34"/>
  <c r="AD1731" i="34" s="1"/>
  <c r="AC1730" i="34"/>
  <c r="AB1730" i="34"/>
  <c r="Y1730" i="34"/>
  <c r="W1730" i="34"/>
  <c r="V1730" i="34"/>
  <c r="U1730" i="34"/>
  <c r="T1730" i="34"/>
  <c r="P1730" i="34"/>
  <c r="M1730" i="34"/>
  <c r="C1730" i="34"/>
  <c r="AD1730" i="34" s="1"/>
  <c r="AC1729" i="34"/>
  <c r="AB1729" i="34"/>
  <c r="Y1729" i="34"/>
  <c r="W1729" i="34"/>
  <c r="V1729" i="34"/>
  <c r="U1729" i="34"/>
  <c r="T1729" i="34"/>
  <c r="P1729" i="34"/>
  <c r="M1729" i="34"/>
  <c r="C1729" i="34"/>
  <c r="AD1729" i="34" s="1"/>
  <c r="AC1728" i="34"/>
  <c r="AB1728" i="34"/>
  <c r="Y1728" i="34"/>
  <c r="W1728" i="34"/>
  <c r="V1728" i="34"/>
  <c r="U1728" i="34"/>
  <c r="T1728" i="34"/>
  <c r="P1728" i="34"/>
  <c r="M1728" i="34"/>
  <c r="C1728" i="34"/>
  <c r="AD1728" i="34" s="1"/>
  <c r="AC1727" i="34"/>
  <c r="AB1727" i="34"/>
  <c r="Y1727" i="34"/>
  <c r="W1727" i="34"/>
  <c r="V1727" i="34"/>
  <c r="U1727" i="34"/>
  <c r="T1727" i="34"/>
  <c r="P1727" i="34"/>
  <c r="M1727" i="34"/>
  <c r="C1727" i="34"/>
  <c r="AD1727" i="34" s="1"/>
  <c r="AC1726" i="34"/>
  <c r="AB1726" i="34"/>
  <c r="Y1726" i="34"/>
  <c r="W1726" i="34"/>
  <c r="V1726" i="34"/>
  <c r="U1726" i="34"/>
  <c r="T1726" i="34"/>
  <c r="P1726" i="34"/>
  <c r="M1726" i="34"/>
  <c r="C1726" i="34"/>
  <c r="AD1726" i="34" s="1"/>
  <c r="AC1725" i="34"/>
  <c r="AB1725" i="34"/>
  <c r="Y1725" i="34"/>
  <c r="W1725" i="34"/>
  <c r="V1725" i="34"/>
  <c r="U1725" i="34"/>
  <c r="T1725" i="34"/>
  <c r="P1725" i="34"/>
  <c r="M1725" i="34"/>
  <c r="C1725" i="34"/>
  <c r="AD1725" i="34" s="1"/>
  <c r="AC1724" i="34"/>
  <c r="AB1724" i="34"/>
  <c r="Y1724" i="34"/>
  <c r="W1724" i="34"/>
  <c r="V1724" i="34"/>
  <c r="U1724" i="34"/>
  <c r="T1724" i="34"/>
  <c r="P1724" i="34"/>
  <c r="M1724" i="34"/>
  <c r="C1724" i="34"/>
  <c r="AD1724" i="34" s="1"/>
  <c r="AC1723" i="34"/>
  <c r="AB1723" i="34"/>
  <c r="Y1723" i="34"/>
  <c r="W1723" i="34"/>
  <c r="V1723" i="34"/>
  <c r="U1723" i="34"/>
  <c r="T1723" i="34"/>
  <c r="P1723" i="34"/>
  <c r="M1723" i="34"/>
  <c r="C1723" i="34"/>
  <c r="AD1723" i="34" s="1"/>
  <c r="AC1722" i="34"/>
  <c r="AB1722" i="34"/>
  <c r="Y1722" i="34"/>
  <c r="W1722" i="34"/>
  <c r="V1722" i="34"/>
  <c r="U1722" i="34"/>
  <c r="T1722" i="34"/>
  <c r="P1722" i="34"/>
  <c r="M1722" i="34"/>
  <c r="C1722" i="34"/>
  <c r="AD1722" i="34" s="1"/>
  <c r="AC1735" i="34"/>
  <c r="AB1735" i="34"/>
  <c r="Y1735" i="34"/>
  <c r="W1735" i="34"/>
  <c r="V1735" i="34"/>
  <c r="U1735" i="34"/>
  <c r="T1735" i="34"/>
  <c r="P1735" i="34"/>
  <c r="M1735" i="34"/>
  <c r="C1735" i="34"/>
  <c r="AD1735" i="34" s="1"/>
  <c r="S4985" i="34" l="1"/>
  <c r="S5299" i="34"/>
  <c r="S5219" i="34"/>
  <c r="R1819" i="34"/>
  <c r="A1819" i="34"/>
  <c r="R1812" i="34"/>
  <c r="A1812" i="34"/>
  <c r="S1980" i="34"/>
  <c r="A1980" i="34"/>
  <c r="S5218" i="34"/>
  <c r="S4750" i="34"/>
  <c r="R1814" i="34"/>
  <c r="A1814" i="34"/>
  <c r="Q1808" i="34"/>
  <c r="A1808" i="34"/>
  <c r="S1972" i="34"/>
  <c r="A1972" i="34"/>
  <c r="R1986" i="34"/>
  <c r="A1986" i="34"/>
  <c r="S1984" i="34"/>
  <c r="A1984" i="34"/>
  <c r="S4827" i="34"/>
  <c r="S5055" i="34"/>
  <c r="Q1817" i="34"/>
  <c r="A1817" i="34"/>
  <c r="Q1810" i="34"/>
  <c r="A1810" i="34"/>
  <c r="R5300" i="34"/>
  <c r="R1744" i="34"/>
  <c r="A1744" i="34"/>
  <c r="S5333" i="34"/>
  <c r="Q5332" i="34"/>
  <c r="R1815" i="34"/>
  <c r="A1815" i="34"/>
  <c r="S1974" i="34"/>
  <c r="A1974" i="34"/>
  <c r="R1976" i="34"/>
  <c r="A1976" i="34"/>
  <c r="R3365" i="34"/>
  <c r="S3355" i="34"/>
  <c r="Q1986" i="34"/>
  <c r="S1986" i="34"/>
  <c r="R5332" i="34"/>
  <c r="Q1984" i="34"/>
  <c r="R4985" i="34"/>
  <c r="S5332" i="34"/>
  <c r="Q5055" i="34"/>
  <c r="Q4985" i="34"/>
  <c r="R1984" i="34"/>
  <c r="R4750" i="34"/>
  <c r="Q4750" i="34"/>
  <c r="Q1976" i="34"/>
  <c r="Q1974" i="34"/>
  <c r="S1976" i="34"/>
  <c r="R1980" i="34"/>
  <c r="Q1980" i="34"/>
  <c r="Q1978" i="34"/>
  <c r="R1978" i="34"/>
  <c r="Q5219" i="34"/>
  <c r="Q1992" i="34"/>
  <c r="S1992" i="34"/>
  <c r="R1992" i="34"/>
  <c r="S1991" i="34"/>
  <c r="R1991" i="34"/>
  <c r="Q1991" i="34"/>
  <c r="R1810" i="34"/>
  <c r="Q3355" i="34"/>
  <c r="R1972" i="34"/>
  <c r="Q1972" i="34"/>
  <c r="R1974" i="34"/>
  <c r="R1808" i="34"/>
  <c r="S1808" i="34"/>
  <c r="Q1994" i="34"/>
  <c r="S1994" i="34"/>
  <c r="R1994" i="34"/>
  <c r="S1815" i="34"/>
  <c r="S1810" i="34"/>
  <c r="Q1985" i="34"/>
  <c r="S1985" i="34"/>
  <c r="R1985" i="34"/>
  <c r="S1977" i="34"/>
  <c r="R1977" i="34"/>
  <c r="Q1977" i="34"/>
  <c r="S1973" i="34"/>
  <c r="R1973" i="34"/>
  <c r="Q1973" i="34"/>
  <c r="Q1981" i="34"/>
  <c r="S1981" i="34"/>
  <c r="R1981" i="34"/>
  <c r="S1993" i="34"/>
  <c r="R1993" i="34"/>
  <c r="Q1993" i="34"/>
  <c r="S1975" i="34"/>
  <c r="R1975" i="34"/>
  <c r="Q1975" i="34"/>
  <c r="S1958" i="34"/>
  <c r="R1958" i="34"/>
  <c r="Q1958" i="34"/>
  <c r="R5218" i="34"/>
  <c r="Q1815" i="34"/>
  <c r="R1817" i="34"/>
  <c r="R5299" i="34"/>
  <c r="Q1819" i="34"/>
  <c r="S1819" i="34"/>
  <c r="S1817" i="34"/>
  <c r="Q1814" i="34"/>
  <c r="S1814" i="34"/>
  <c r="Q1812" i="34"/>
  <c r="S1812" i="34"/>
  <c r="R1820" i="34"/>
  <c r="Q1820" i="34"/>
  <c r="S1820" i="34"/>
  <c r="S1809" i="34"/>
  <c r="R1809" i="34"/>
  <c r="Q1809" i="34"/>
  <c r="S1821" i="34"/>
  <c r="R1821" i="34"/>
  <c r="Q1821" i="34"/>
  <c r="S1818" i="34"/>
  <c r="R1818" i="34"/>
  <c r="Q1818" i="34"/>
  <c r="S1816" i="34"/>
  <c r="R1816" i="34"/>
  <c r="Q1816" i="34"/>
  <c r="Q1822" i="34"/>
  <c r="S1822" i="34"/>
  <c r="R1822" i="34"/>
  <c r="S1813" i="34"/>
  <c r="R1813" i="34"/>
  <c r="Q1813" i="34"/>
  <c r="S1811" i="34"/>
  <c r="R1811" i="34"/>
  <c r="Q1811" i="34"/>
  <c r="R5055" i="34"/>
  <c r="R4827" i="34"/>
  <c r="Q4827" i="34"/>
  <c r="R5333" i="34"/>
  <c r="R5219" i="34"/>
  <c r="Q5299" i="34"/>
  <c r="Q5333" i="34"/>
  <c r="R3355" i="34"/>
  <c r="S3365" i="34"/>
  <c r="Q3365" i="34"/>
  <c r="Q1744" i="34"/>
  <c r="S1744" i="34"/>
  <c r="Q3381" i="34"/>
  <c r="S3381" i="34"/>
  <c r="R3381" i="34"/>
  <c r="Q5218" i="34"/>
  <c r="S5300" i="34"/>
  <c r="Q5300" i="34"/>
  <c r="Q5217" i="34"/>
  <c r="S5217" i="34"/>
  <c r="R5217" i="34"/>
  <c r="Q4844" i="34"/>
  <c r="S4844" i="34"/>
  <c r="R4844" i="34"/>
  <c r="Q3736" i="34"/>
  <c r="S3736" i="34"/>
  <c r="R3736" i="34"/>
  <c r="Q4753" i="34"/>
  <c r="S4753" i="34"/>
  <c r="R4753" i="34"/>
  <c r="Q5281" i="34"/>
  <c r="S5281" i="34"/>
  <c r="R5281" i="34"/>
  <c r="Q5302" i="34"/>
  <c r="S5302" i="34"/>
  <c r="R5302" i="34"/>
  <c r="Q5336" i="34"/>
  <c r="S5336" i="34"/>
  <c r="R5336" i="34"/>
  <c r="B1735" i="34"/>
  <c r="B1722" i="34"/>
  <c r="A1722" i="34" s="1"/>
  <c r="B1724" i="34"/>
  <c r="A1724" i="34" s="1"/>
  <c r="B1726" i="34"/>
  <c r="A1726" i="34" s="1"/>
  <c r="B1728" i="34"/>
  <c r="A1728" i="34" s="1"/>
  <c r="B1730" i="34"/>
  <c r="A1730" i="34" s="1"/>
  <c r="B1723" i="34"/>
  <c r="A1723" i="34" s="1"/>
  <c r="B1725" i="34"/>
  <c r="A1725" i="34" s="1"/>
  <c r="B1727" i="34"/>
  <c r="A1727" i="34" s="1"/>
  <c r="B1729" i="34"/>
  <c r="A1729" i="34" s="1"/>
  <c r="B1731" i="34"/>
  <c r="A1731" i="34" s="1"/>
  <c r="AC1749" i="34"/>
  <c r="AB1749" i="34"/>
  <c r="Y1749" i="34"/>
  <c r="W1749" i="34"/>
  <c r="V1749" i="34"/>
  <c r="U1749" i="34"/>
  <c r="T1749" i="34"/>
  <c r="P1749" i="34"/>
  <c r="M1749" i="34"/>
  <c r="C1749" i="34"/>
  <c r="AD1749" i="34" s="1"/>
  <c r="AC1748" i="34"/>
  <c r="AB1748" i="34"/>
  <c r="Y1748" i="34"/>
  <c r="W1748" i="34"/>
  <c r="V1748" i="34"/>
  <c r="U1748" i="34"/>
  <c r="T1748" i="34"/>
  <c r="P1748" i="34"/>
  <c r="M1748" i="34"/>
  <c r="C1748" i="34"/>
  <c r="AD1748" i="34" s="1"/>
  <c r="AC1747" i="34"/>
  <c r="AB1747" i="34"/>
  <c r="Y1747" i="34"/>
  <c r="W1747" i="34"/>
  <c r="V1747" i="34"/>
  <c r="U1747" i="34"/>
  <c r="T1747" i="34"/>
  <c r="P1747" i="34"/>
  <c r="M1747" i="34"/>
  <c r="C1747" i="34"/>
  <c r="AD1747" i="34" s="1"/>
  <c r="AC1746" i="34"/>
  <c r="AB1746" i="34"/>
  <c r="Y1746" i="34"/>
  <c r="W1746" i="34"/>
  <c r="V1746" i="34"/>
  <c r="U1746" i="34"/>
  <c r="T1746" i="34"/>
  <c r="P1746" i="34"/>
  <c r="M1746" i="34"/>
  <c r="C1746" i="34"/>
  <c r="AD1746" i="34" s="1"/>
  <c r="AC1745" i="34"/>
  <c r="AB1745" i="34"/>
  <c r="Y1745" i="34"/>
  <c r="W1745" i="34"/>
  <c r="V1745" i="34"/>
  <c r="U1745" i="34"/>
  <c r="T1745" i="34"/>
  <c r="P1745" i="34"/>
  <c r="M1745" i="34"/>
  <c r="C1745" i="34"/>
  <c r="AD1745" i="34" s="1"/>
  <c r="AC1743" i="34"/>
  <c r="AB1743" i="34"/>
  <c r="Y1743" i="34"/>
  <c r="W1743" i="34"/>
  <c r="V1743" i="34"/>
  <c r="U1743" i="34"/>
  <c r="T1743" i="34"/>
  <c r="P1743" i="34"/>
  <c r="M1743" i="34"/>
  <c r="C1743" i="34"/>
  <c r="AD1743" i="34" s="1"/>
  <c r="AC1742" i="34"/>
  <c r="AB1742" i="34"/>
  <c r="Y1742" i="34"/>
  <c r="W1742" i="34"/>
  <c r="V1742" i="34"/>
  <c r="U1742" i="34"/>
  <c r="T1742" i="34"/>
  <c r="P1742" i="34"/>
  <c r="M1742" i="34"/>
  <c r="C1742" i="34"/>
  <c r="AD1742" i="34" s="1"/>
  <c r="AC1741" i="34"/>
  <c r="AB1741" i="34"/>
  <c r="Y1741" i="34"/>
  <c r="W1741" i="34"/>
  <c r="V1741" i="34"/>
  <c r="U1741" i="34"/>
  <c r="T1741" i="34"/>
  <c r="P1741" i="34"/>
  <c r="M1741" i="34"/>
  <c r="C1741" i="34"/>
  <c r="AD1741" i="34" s="1"/>
  <c r="AC1740" i="34"/>
  <c r="AB1740" i="34"/>
  <c r="Y1740" i="34"/>
  <c r="W1740" i="34"/>
  <c r="V1740" i="34"/>
  <c r="U1740" i="34"/>
  <c r="T1740" i="34"/>
  <c r="P1740" i="34"/>
  <c r="M1740" i="34"/>
  <c r="C1740" i="34"/>
  <c r="AD1740" i="34" s="1"/>
  <c r="AC1739" i="34"/>
  <c r="AB1739" i="34"/>
  <c r="Y1739" i="34"/>
  <c r="W1739" i="34"/>
  <c r="V1739" i="34"/>
  <c r="U1739" i="34"/>
  <c r="T1739" i="34"/>
  <c r="P1739" i="34"/>
  <c r="M1739" i="34"/>
  <c r="C1739" i="34"/>
  <c r="AD1739" i="34" s="1"/>
  <c r="AC1738" i="34"/>
  <c r="AB1738" i="34"/>
  <c r="Y1738" i="34"/>
  <c r="W1738" i="34"/>
  <c r="V1738" i="34"/>
  <c r="U1738" i="34"/>
  <c r="T1738" i="34"/>
  <c r="P1738" i="34"/>
  <c r="M1738" i="34"/>
  <c r="C1738" i="34"/>
  <c r="AD1738" i="34" s="1"/>
  <c r="AC1737" i="34"/>
  <c r="AB1737" i="34"/>
  <c r="Y1737" i="34"/>
  <c r="W1737" i="34"/>
  <c r="V1737" i="34"/>
  <c r="U1737" i="34"/>
  <c r="T1737" i="34"/>
  <c r="P1737" i="34"/>
  <c r="M1737" i="34"/>
  <c r="C1737" i="34"/>
  <c r="AD1737" i="34" s="1"/>
  <c r="AC1736" i="34"/>
  <c r="AB1736" i="34"/>
  <c r="Y1736" i="34"/>
  <c r="W1736" i="34"/>
  <c r="V1736" i="34"/>
  <c r="U1736" i="34"/>
  <c r="T1736" i="34"/>
  <c r="P1736" i="34"/>
  <c r="M1736" i="34"/>
  <c r="C1736" i="34"/>
  <c r="AD1736" i="34" s="1"/>
  <c r="AC1734" i="34"/>
  <c r="AB1734" i="34"/>
  <c r="Y1734" i="34"/>
  <c r="W1734" i="34"/>
  <c r="V1734" i="34"/>
  <c r="U1734" i="34"/>
  <c r="T1734" i="34"/>
  <c r="P1734" i="34"/>
  <c r="M1734" i="34"/>
  <c r="C1734" i="34"/>
  <c r="AD1734" i="34" s="1"/>
  <c r="AC1733" i="34"/>
  <c r="AB1733" i="34"/>
  <c r="Y1733" i="34"/>
  <c r="W1733" i="34"/>
  <c r="V1733" i="34"/>
  <c r="U1733" i="34"/>
  <c r="T1733" i="34"/>
  <c r="P1733" i="34"/>
  <c r="M1733" i="34"/>
  <c r="C1733" i="34"/>
  <c r="AD1733" i="34" s="1"/>
  <c r="AC1732" i="34"/>
  <c r="AB1732" i="34"/>
  <c r="Y1732" i="34"/>
  <c r="W1732" i="34"/>
  <c r="V1732" i="34"/>
  <c r="U1732" i="34"/>
  <c r="T1732" i="34"/>
  <c r="P1732" i="34"/>
  <c r="M1732" i="34"/>
  <c r="C1732" i="34"/>
  <c r="AD1732" i="34" s="1"/>
  <c r="I1583" i="34"/>
  <c r="M1583" i="34" s="1"/>
  <c r="AC1575" i="34"/>
  <c r="AB1575" i="34"/>
  <c r="Y1575" i="34"/>
  <c r="W1575" i="34"/>
  <c r="V1575" i="34"/>
  <c r="U1575" i="34"/>
  <c r="T1575" i="34"/>
  <c r="P1575" i="34"/>
  <c r="M1575" i="34"/>
  <c r="C1575" i="34"/>
  <c r="AD1575" i="34" s="1"/>
  <c r="AC1582" i="34"/>
  <c r="AB1582" i="34"/>
  <c r="Y1582" i="34"/>
  <c r="W1582" i="34"/>
  <c r="V1582" i="34"/>
  <c r="U1582" i="34"/>
  <c r="T1582" i="34"/>
  <c r="P1582" i="34"/>
  <c r="M1582" i="34"/>
  <c r="C1582" i="34"/>
  <c r="AD1582" i="34" s="1"/>
  <c r="AC1581" i="34"/>
  <c r="AB1581" i="34"/>
  <c r="Y1581" i="34"/>
  <c r="W1581" i="34"/>
  <c r="V1581" i="34"/>
  <c r="U1581" i="34"/>
  <c r="T1581" i="34"/>
  <c r="P1581" i="34"/>
  <c r="M1581" i="34"/>
  <c r="C1581" i="34"/>
  <c r="AD1581" i="34" s="1"/>
  <c r="AC1580" i="34"/>
  <c r="AB1580" i="34"/>
  <c r="Y1580" i="34"/>
  <c r="W1580" i="34"/>
  <c r="V1580" i="34"/>
  <c r="U1580" i="34"/>
  <c r="T1580" i="34"/>
  <c r="P1580" i="34"/>
  <c r="M1580" i="34"/>
  <c r="C1580" i="34"/>
  <c r="AD1580" i="34" s="1"/>
  <c r="AC1579" i="34"/>
  <c r="AB1579" i="34"/>
  <c r="Y1579" i="34"/>
  <c r="W1579" i="34"/>
  <c r="V1579" i="34"/>
  <c r="U1579" i="34"/>
  <c r="T1579" i="34"/>
  <c r="P1579" i="34"/>
  <c r="M1579" i="34"/>
  <c r="C1579" i="34"/>
  <c r="AD1579" i="34" s="1"/>
  <c r="AC1587" i="34"/>
  <c r="AB1587" i="34"/>
  <c r="Y1587" i="34"/>
  <c r="W1587" i="34"/>
  <c r="V1587" i="34"/>
  <c r="U1587" i="34"/>
  <c r="T1587" i="34"/>
  <c r="P1587" i="34"/>
  <c r="M1587" i="34"/>
  <c r="C1587" i="34"/>
  <c r="AD1587" i="34" s="1"/>
  <c r="AC1586" i="34"/>
  <c r="AB1586" i="34"/>
  <c r="Y1586" i="34"/>
  <c r="W1586" i="34"/>
  <c r="V1586" i="34"/>
  <c r="U1586" i="34"/>
  <c r="T1586" i="34"/>
  <c r="P1586" i="34"/>
  <c r="M1586" i="34"/>
  <c r="C1586" i="34"/>
  <c r="AD1586" i="34" s="1"/>
  <c r="AC1585" i="34"/>
  <c r="AB1585" i="34"/>
  <c r="Y1585" i="34"/>
  <c r="W1585" i="34"/>
  <c r="V1585" i="34"/>
  <c r="U1585" i="34"/>
  <c r="T1585" i="34"/>
  <c r="P1585" i="34"/>
  <c r="M1585" i="34"/>
  <c r="C1585" i="34"/>
  <c r="AD1585" i="34" s="1"/>
  <c r="AC1584" i="34"/>
  <c r="AB1584" i="34"/>
  <c r="Y1584" i="34"/>
  <c r="W1584" i="34"/>
  <c r="V1584" i="34"/>
  <c r="U1584" i="34"/>
  <c r="T1584" i="34"/>
  <c r="P1584" i="34"/>
  <c r="M1584" i="34"/>
  <c r="C1584" i="34"/>
  <c r="AD1584" i="34" s="1"/>
  <c r="AC1574" i="34"/>
  <c r="AB1574" i="34"/>
  <c r="Y1574" i="34"/>
  <c r="W1574" i="34"/>
  <c r="V1574" i="34"/>
  <c r="U1574" i="34"/>
  <c r="T1574" i="34"/>
  <c r="P1574" i="34"/>
  <c r="M1574" i="34"/>
  <c r="C1574" i="34"/>
  <c r="AD1574" i="34" s="1"/>
  <c r="AC1576" i="34"/>
  <c r="AB1576" i="34"/>
  <c r="Y1576" i="34"/>
  <c r="W1576" i="34"/>
  <c r="V1576" i="34"/>
  <c r="U1576" i="34"/>
  <c r="T1576" i="34"/>
  <c r="P1576" i="34"/>
  <c r="M1576" i="34"/>
  <c r="C1576" i="34"/>
  <c r="AD1576" i="34" s="1"/>
  <c r="AC1583" i="34"/>
  <c r="AB1583" i="34"/>
  <c r="Y1583" i="34"/>
  <c r="W1583" i="34"/>
  <c r="V1583" i="34"/>
  <c r="U1583" i="34"/>
  <c r="T1583" i="34"/>
  <c r="P1583" i="34"/>
  <c r="C1583" i="34"/>
  <c r="AD1583" i="34" s="1"/>
  <c r="AC1578" i="34"/>
  <c r="AB1578" i="34"/>
  <c r="Y1578" i="34"/>
  <c r="W1578" i="34"/>
  <c r="V1578" i="34"/>
  <c r="U1578" i="34"/>
  <c r="T1578" i="34"/>
  <c r="P1578" i="34"/>
  <c r="M1578" i="34"/>
  <c r="C1578" i="34"/>
  <c r="AD1578" i="34" s="1"/>
  <c r="AC1577" i="34"/>
  <c r="AB1577" i="34"/>
  <c r="Y1577" i="34"/>
  <c r="W1577" i="34"/>
  <c r="V1577" i="34"/>
  <c r="U1577" i="34"/>
  <c r="T1577" i="34"/>
  <c r="P1577" i="34"/>
  <c r="M1577" i="34"/>
  <c r="C1577" i="34"/>
  <c r="AD1577" i="34" s="1"/>
  <c r="I1573" i="34"/>
  <c r="I1567" i="34"/>
  <c r="M1567" i="34" s="1"/>
  <c r="I1560" i="34"/>
  <c r="M1560" i="34" s="1"/>
  <c r="AC1571" i="34"/>
  <c r="AB1571" i="34"/>
  <c r="Y1571" i="34"/>
  <c r="W1571" i="34"/>
  <c r="V1571" i="34"/>
  <c r="U1571" i="34"/>
  <c r="T1571" i="34"/>
  <c r="P1571" i="34"/>
  <c r="M1571" i="34"/>
  <c r="C1571" i="34"/>
  <c r="AD1571" i="34" s="1"/>
  <c r="AC1570" i="34"/>
  <c r="AB1570" i="34"/>
  <c r="Y1570" i="34"/>
  <c r="W1570" i="34"/>
  <c r="V1570" i="34"/>
  <c r="U1570" i="34"/>
  <c r="T1570" i="34"/>
  <c r="P1570" i="34"/>
  <c r="M1570" i="34"/>
  <c r="C1570" i="34"/>
  <c r="AD1570" i="34" s="1"/>
  <c r="AC1569" i="34"/>
  <c r="AB1569" i="34"/>
  <c r="Y1569" i="34"/>
  <c r="W1569" i="34"/>
  <c r="V1569" i="34"/>
  <c r="U1569" i="34"/>
  <c r="T1569" i="34"/>
  <c r="P1569" i="34"/>
  <c r="M1569" i="34"/>
  <c r="C1569" i="34"/>
  <c r="AD1569" i="34" s="1"/>
  <c r="AC1568" i="34"/>
  <c r="AB1568" i="34"/>
  <c r="Y1568" i="34"/>
  <c r="W1568" i="34"/>
  <c r="V1568" i="34"/>
  <c r="U1568" i="34"/>
  <c r="T1568" i="34"/>
  <c r="P1568" i="34"/>
  <c r="M1568" i="34"/>
  <c r="C1568" i="34"/>
  <c r="AD1568" i="34" s="1"/>
  <c r="AC1567" i="34"/>
  <c r="AB1567" i="34"/>
  <c r="Y1567" i="34"/>
  <c r="W1567" i="34"/>
  <c r="V1567" i="34"/>
  <c r="U1567" i="34"/>
  <c r="T1567" i="34"/>
  <c r="P1567" i="34"/>
  <c r="C1567" i="34"/>
  <c r="AD1567" i="34" s="1"/>
  <c r="AC1566" i="34"/>
  <c r="AB1566" i="34"/>
  <c r="Y1566" i="34"/>
  <c r="W1566" i="34"/>
  <c r="V1566" i="34"/>
  <c r="U1566" i="34"/>
  <c r="T1566" i="34"/>
  <c r="P1566" i="34"/>
  <c r="M1566" i="34"/>
  <c r="C1566" i="34"/>
  <c r="AD1566" i="34" s="1"/>
  <c r="AC1565" i="34"/>
  <c r="AB1565" i="34"/>
  <c r="Y1565" i="34"/>
  <c r="W1565" i="34"/>
  <c r="V1565" i="34"/>
  <c r="U1565" i="34"/>
  <c r="T1565" i="34"/>
  <c r="P1565" i="34"/>
  <c r="M1565" i="34"/>
  <c r="C1565" i="34"/>
  <c r="AD1565" i="34" s="1"/>
  <c r="AC1564" i="34"/>
  <c r="AB1564" i="34"/>
  <c r="Y1564" i="34"/>
  <c r="W1564" i="34"/>
  <c r="V1564" i="34"/>
  <c r="U1564" i="34"/>
  <c r="T1564" i="34"/>
  <c r="P1564" i="34"/>
  <c r="M1564" i="34"/>
  <c r="C1564" i="34"/>
  <c r="AD1564" i="34" s="1"/>
  <c r="AC1563" i="34"/>
  <c r="AB1563" i="34"/>
  <c r="Y1563" i="34"/>
  <c r="W1563" i="34"/>
  <c r="V1563" i="34"/>
  <c r="U1563" i="34"/>
  <c r="T1563" i="34"/>
  <c r="P1563" i="34"/>
  <c r="M1563" i="34"/>
  <c r="C1563" i="34"/>
  <c r="AD1563" i="34" s="1"/>
  <c r="AC1562" i="34"/>
  <c r="AB1562" i="34"/>
  <c r="Y1562" i="34"/>
  <c r="W1562" i="34"/>
  <c r="V1562" i="34"/>
  <c r="U1562" i="34"/>
  <c r="T1562" i="34"/>
  <c r="P1562" i="34"/>
  <c r="M1562" i="34"/>
  <c r="C1562" i="34"/>
  <c r="AD1562" i="34" s="1"/>
  <c r="AC1561" i="34"/>
  <c r="AB1561" i="34"/>
  <c r="Y1561" i="34"/>
  <c r="W1561" i="34"/>
  <c r="V1561" i="34"/>
  <c r="U1561" i="34"/>
  <c r="T1561" i="34"/>
  <c r="P1561" i="34"/>
  <c r="M1561" i="34"/>
  <c r="C1561" i="34"/>
  <c r="AD1561" i="34" s="1"/>
  <c r="AC1560" i="34"/>
  <c r="AB1560" i="34"/>
  <c r="Y1560" i="34"/>
  <c r="W1560" i="34"/>
  <c r="V1560" i="34"/>
  <c r="U1560" i="34"/>
  <c r="T1560" i="34"/>
  <c r="P1560" i="34"/>
  <c r="C1560" i="34"/>
  <c r="AD1560" i="34" s="1"/>
  <c r="AC1559" i="34"/>
  <c r="AB1559" i="34"/>
  <c r="Y1559" i="34"/>
  <c r="W1559" i="34"/>
  <c r="V1559" i="34"/>
  <c r="U1559" i="34"/>
  <c r="T1559" i="34"/>
  <c r="P1559" i="34"/>
  <c r="M1559" i="34"/>
  <c r="C1559" i="34"/>
  <c r="AD1559" i="34" s="1"/>
  <c r="AC1604" i="34"/>
  <c r="AB1604" i="34"/>
  <c r="Y1604" i="34"/>
  <c r="W1604" i="34"/>
  <c r="V1604" i="34"/>
  <c r="U1604" i="34"/>
  <c r="T1604" i="34"/>
  <c r="P1604" i="34"/>
  <c r="M1604" i="34"/>
  <c r="C1604" i="34"/>
  <c r="AD1604" i="34" s="1"/>
  <c r="AC1603" i="34"/>
  <c r="AB1603" i="34"/>
  <c r="Y1603" i="34"/>
  <c r="W1603" i="34"/>
  <c r="V1603" i="34"/>
  <c r="U1603" i="34"/>
  <c r="T1603" i="34"/>
  <c r="P1603" i="34"/>
  <c r="M1603" i="34"/>
  <c r="C1603" i="34"/>
  <c r="AD1603" i="34" s="1"/>
  <c r="AC1602" i="34"/>
  <c r="AB1602" i="34"/>
  <c r="Y1602" i="34"/>
  <c r="W1602" i="34"/>
  <c r="V1602" i="34"/>
  <c r="U1602" i="34"/>
  <c r="T1602" i="34"/>
  <c r="P1602" i="34"/>
  <c r="M1602" i="34"/>
  <c r="C1602" i="34"/>
  <c r="AD1602" i="34" s="1"/>
  <c r="AC1601" i="34"/>
  <c r="AB1601" i="34"/>
  <c r="Y1601" i="34"/>
  <c r="W1601" i="34"/>
  <c r="V1601" i="34"/>
  <c r="U1601" i="34"/>
  <c r="T1601" i="34"/>
  <c r="P1601" i="34"/>
  <c r="M1601" i="34"/>
  <c r="C1601" i="34"/>
  <c r="AD1601" i="34" s="1"/>
  <c r="AC1600" i="34"/>
  <c r="AB1600" i="34"/>
  <c r="Y1600" i="34"/>
  <c r="W1600" i="34"/>
  <c r="V1600" i="34"/>
  <c r="U1600" i="34"/>
  <c r="T1600" i="34"/>
  <c r="P1600" i="34"/>
  <c r="M1600" i="34"/>
  <c r="C1600" i="34"/>
  <c r="AD1600" i="34" s="1"/>
  <c r="AC1599" i="34"/>
  <c r="AB1599" i="34"/>
  <c r="Y1599" i="34"/>
  <c r="W1599" i="34"/>
  <c r="V1599" i="34"/>
  <c r="U1599" i="34"/>
  <c r="T1599" i="34"/>
  <c r="P1599" i="34"/>
  <c r="M1599" i="34"/>
  <c r="C1599" i="34"/>
  <c r="AD1599" i="34" s="1"/>
  <c r="AC1598" i="34"/>
  <c r="AB1598" i="34"/>
  <c r="Y1598" i="34"/>
  <c r="W1598" i="34"/>
  <c r="V1598" i="34"/>
  <c r="U1598" i="34"/>
  <c r="T1598" i="34"/>
  <c r="P1598" i="34"/>
  <c r="M1598" i="34"/>
  <c r="C1598" i="34"/>
  <c r="AD1598" i="34" s="1"/>
  <c r="AC1597" i="34"/>
  <c r="AB1597" i="34"/>
  <c r="Y1597" i="34"/>
  <c r="W1597" i="34"/>
  <c r="V1597" i="34"/>
  <c r="U1597" i="34"/>
  <c r="T1597" i="34"/>
  <c r="P1597" i="34"/>
  <c r="M1597" i="34"/>
  <c r="C1597" i="34"/>
  <c r="AD1597" i="34" s="1"/>
  <c r="AC1596" i="34"/>
  <c r="AB1596" i="34"/>
  <c r="Y1596" i="34"/>
  <c r="W1596" i="34"/>
  <c r="V1596" i="34"/>
  <c r="U1596" i="34"/>
  <c r="T1596" i="34"/>
  <c r="P1596" i="34"/>
  <c r="M1596" i="34"/>
  <c r="C1596" i="34"/>
  <c r="AD1596" i="34" s="1"/>
  <c r="AC1595" i="34"/>
  <c r="AB1595" i="34"/>
  <c r="Y1595" i="34"/>
  <c r="W1595" i="34"/>
  <c r="V1595" i="34"/>
  <c r="U1595" i="34"/>
  <c r="T1595" i="34"/>
  <c r="P1595" i="34"/>
  <c r="M1595" i="34"/>
  <c r="C1595" i="34"/>
  <c r="AD1595" i="34" s="1"/>
  <c r="AC1594" i="34"/>
  <c r="AB1594" i="34"/>
  <c r="Y1594" i="34"/>
  <c r="W1594" i="34"/>
  <c r="V1594" i="34"/>
  <c r="U1594" i="34"/>
  <c r="T1594" i="34"/>
  <c r="P1594" i="34"/>
  <c r="M1594" i="34"/>
  <c r="C1594" i="34"/>
  <c r="AD1594" i="34" s="1"/>
  <c r="AC1593" i="34"/>
  <c r="AB1593" i="34"/>
  <c r="Y1593" i="34"/>
  <c r="W1593" i="34"/>
  <c r="V1593" i="34"/>
  <c r="U1593" i="34"/>
  <c r="T1593" i="34"/>
  <c r="P1593" i="34"/>
  <c r="M1593" i="34"/>
  <c r="C1593" i="34"/>
  <c r="AD1593" i="34" s="1"/>
  <c r="AC1610" i="34"/>
  <c r="AB1610" i="34"/>
  <c r="Y1610" i="34"/>
  <c r="W1610" i="34"/>
  <c r="V1610" i="34"/>
  <c r="U1610" i="34"/>
  <c r="T1610" i="34"/>
  <c r="P1610" i="34"/>
  <c r="M1610" i="34"/>
  <c r="C1610" i="34"/>
  <c r="AD1610" i="34" s="1"/>
  <c r="AC1609" i="34"/>
  <c r="AB1609" i="34"/>
  <c r="Y1609" i="34"/>
  <c r="W1609" i="34"/>
  <c r="V1609" i="34"/>
  <c r="U1609" i="34"/>
  <c r="T1609" i="34"/>
  <c r="P1609" i="34"/>
  <c r="M1609" i="34"/>
  <c r="C1609" i="34"/>
  <c r="AD1609" i="34" s="1"/>
  <c r="AC1608" i="34"/>
  <c r="AB1608" i="34"/>
  <c r="Y1608" i="34"/>
  <c r="W1608" i="34"/>
  <c r="V1608" i="34"/>
  <c r="U1608" i="34"/>
  <c r="T1608" i="34"/>
  <c r="P1608" i="34"/>
  <c r="M1608" i="34"/>
  <c r="C1608" i="34"/>
  <c r="AD1608" i="34" s="1"/>
  <c r="AC1607" i="34"/>
  <c r="AB1607" i="34"/>
  <c r="Y1607" i="34"/>
  <c r="W1607" i="34"/>
  <c r="V1607" i="34"/>
  <c r="U1607" i="34"/>
  <c r="T1607" i="34"/>
  <c r="P1607" i="34"/>
  <c r="M1607" i="34"/>
  <c r="C1607" i="34"/>
  <c r="AD1607" i="34" s="1"/>
  <c r="AC1606" i="34"/>
  <c r="AB1606" i="34"/>
  <c r="Y1606" i="34"/>
  <c r="W1606" i="34"/>
  <c r="V1606" i="34"/>
  <c r="U1606" i="34"/>
  <c r="T1606" i="34"/>
  <c r="P1606" i="34"/>
  <c r="M1606" i="34"/>
  <c r="C1606" i="34"/>
  <c r="AD1606" i="34" s="1"/>
  <c r="AC1605" i="34"/>
  <c r="AB1605" i="34"/>
  <c r="Y1605" i="34"/>
  <c r="W1605" i="34"/>
  <c r="V1605" i="34"/>
  <c r="U1605" i="34"/>
  <c r="T1605" i="34"/>
  <c r="P1605" i="34"/>
  <c r="M1605" i="34"/>
  <c r="C1605" i="34"/>
  <c r="AD1605" i="34" s="1"/>
  <c r="S1735" i="34" l="1"/>
  <c r="A1735" i="34"/>
  <c r="R1735" i="34"/>
  <c r="Q1735" i="34"/>
  <c r="Q1727" i="34"/>
  <c r="S1727" i="34"/>
  <c r="R1727" i="34"/>
  <c r="S1728" i="34"/>
  <c r="R1728" i="34"/>
  <c r="Q1728" i="34"/>
  <c r="Q1725" i="34"/>
  <c r="S1725" i="34"/>
  <c r="R1725" i="34"/>
  <c r="S1726" i="34"/>
  <c r="R1726" i="34"/>
  <c r="Q1726" i="34"/>
  <c r="Q1731" i="34"/>
  <c r="S1731" i="34"/>
  <c r="R1731" i="34"/>
  <c r="Q1723" i="34"/>
  <c r="S1723" i="34"/>
  <c r="R1723" i="34"/>
  <c r="S1724" i="34"/>
  <c r="R1724" i="34"/>
  <c r="Q1724" i="34"/>
  <c r="Q1729" i="34"/>
  <c r="S1729" i="34"/>
  <c r="R1729" i="34"/>
  <c r="S1730" i="34"/>
  <c r="R1730" i="34"/>
  <c r="Q1730" i="34"/>
  <c r="S1722" i="34"/>
  <c r="R1722" i="34"/>
  <c r="Q1722" i="34"/>
  <c r="B1732" i="34"/>
  <c r="A1732" i="34" s="1"/>
  <c r="B1734" i="34"/>
  <c r="A1734" i="34" s="1"/>
  <c r="B1736" i="34"/>
  <c r="A1736" i="34" s="1"/>
  <c r="B1738" i="34"/>
  <c r="A1738" i="34" s="1"/>
  <c r="B1740" i="34"/>
  <c r="A1740" i="34" s="1"/>
  <c r="B1742" i="34"/>
  <c r="A1742" i="34" s="1"/>
  <c r="B1745" i="34"/>
  <c r="A1745" i="34" s="1"/>
  <c r="B1747" i="34"/>
  <c r="A1747" i="34" s="1"/>
  <c r="B1749" i="34"/>
  <c r="A1749" i="34" s="1"/>
  <c r="B1733" i="34"/>
  <c r="A1733" i="34" s="1"/>
  <c r="B1737" i="34"/>
  <c r="A1737" i="34" s="1"/>
  <c r="B1739" i="34"/>
  <c r="A1739" i="34" s="1"/>
  <c r="B1741" i="34"/>
  <c r="A1741" i="34" s="1"/>
  <c r="B1743" i="34"/>
  <c r="A1743" i="34" s="1"/>
  <c r="B1746" i="34"/>
  <c r="A1746" i="34" s="1"/>
  <c r="B1748" i="34"/>
  <c r="A1748" i="34" s="1"/>
  <c r="B1598" i="34"/>
  <c r="B1567" i="34"/>
  <c r="B1582" i="34"/>
  <c r="B1563" i="34"/>
  <c r="B1579" i="34"/>
  <c r="B1594" i="34"/>
  <c r="B1602" i="34"/>
  <c r="B1569" i="34"/>
  <c r="B1600" i="34"/>
  <c r="B1565" i="34"/>
  <c r="B1580" i="34"/>
  <c r="B1596" i="34"/>
  <c r="B1581" i="34"/>
  <c r="B1575" i="34"/>
  <c r="A1575" i="34" s="1"/>
  <c r="B1578" i="34"/>
  <c r="A1578" i="34" s="1"/>
  <c r="B1576" i="34"/>
  <c r="A1576" i="34" s="1"/>
  <c r="B1584" i="34"/>
  <c r="A1584" i="34" s="1"/>
  <c r="B1587" i="34"/>
  <c r="A1587" i="34" s="1"/>
  <c r="B1577" i="34"/>
  <c r="A1577" i="34" s="1"/>
  <c r="B1583" i="34"/>
  <c r="A1583" i="34" s="1"/>
  <c r="B1574" i="34"/>
  <c r="A1574" i="34" s="1"/>
  <c r="B1585" i="34"/>
  <c r="A1585" i="34" s="1"/>
  <c r="B1586" i="34"/>
  <c r="A1586" i="34" s="1"/>
  <c r="B1561" i="34"/>
  <c r="B1559" i="34"/>
  <c r="B1560" i="34"/>
  <c r="A1560" i="34" s="1"/>
  <c r="B1562" i="34"/>
  <c r="A1562" i="34" s="1"/>
  <c r="B1564" i="34"/>
  <c r="A1564" i="34" s="1"/>
  <c r="B1566" i="34"/>
  <c r="A1566" i="34" s="1"/>
  <c r="B1568" i="34"/>
  <c r="A1568" i="34" s="1"/>
  <c r="B1570" i="34"/>
  <c r="A1570" i="34" s="1"/>
  <c r="B1571" i="34"/>
  <c r="A1571" i="34" s="1"/>
  <c r="B1593" i="34"/>
  <c r="A1593" i="34" s="1"/>
  <c r="B1595" i="34"/>
  <c r="A1595" i="34" s="1"/>
  <c r="B1597" i="34"/>
  <c r="A1597" i="34" s="1"/>
  <c r="B1599" i="34"/>
  <c r="A1599" i="34" s="1"/>
  <c r="B1601" i="34"/>
  <c r="A1601" i="34" s="1"/>
  <c r="B1603" i="34"/>
  <c r="A1603" i="34" s="1"/>
  <c r="B1604" i="34"/>
  <c r="A1604" i="34" s="1"/>
  <c r="B1605" i="34"/>
  <c r="A1605" i="34" s="1"/>
  <c r="B1607" i="34"/>
  <c r="A1607" i="34" s="1"/>
  <c r="B1609" i="34"/>
  <c r="A1609" i="34" s="1"/>
  <c r="B1606" i="34"/>
  <c r="A1606" i="34" s="1"/>
  <c r="B1608" i="34"/>
  <c r="A1608" i="34" s="1"/>
  <c r="B1610" i="34"/>
  <c r="A1610" i="34" s="1"/>
  <c r="AC1614" i="34"/>
  <c r="AB1614" i="34"/>
  <c r="Y1614" i="34"/>
  <c r="W1614" i="34"/>
  <c r="V1614" i="34"/>
  <c r="U1614" i="34"/>
  <c r="T1614" i="34"/>
  <c r="P1614" i="34"/>
  <c r="M1614" i="34"/>
  <c r="C1614" i="34"/>
  <c r="AD1614" i="34" s="1"/>
  <c r="AC1613" i="34"/>
  <c r="AB1613" i="34"/>
  <c r="Y1613" i="34"/>
  <c r="W1613" i="34"/>
  <c r="V1613" i="34"/>
  <c r="U1613" i="34"/>
  <c r="T1613" i="34"/>
  <c r="P1613" i="34"/>
  <c r="M1613" i="34"/>
  <c r="C1613" i="34"/>
  <c r="AD1613" i="34" s="1"/>
  <c r="AC1612" i="34"/>
  <c r="AB1612" i="34"/>
  <c r="Y1612" i="34"/>
  <c r="W1612" i="34"/>
  <c r="V1612" i="34"/>
  <c r="U1612" i="34"/>
  <c r="T1612" i="34"/>
  <c r="P1612" i="34"/>
  <c r="M1612" i="34"/>
  <c r="C1612" i="34"/>
  <c r="AD1612" i="34" s="1"/>
  <c r="AC1611" i="34"/>
  <c r="AB1611" i="34"/>
  <c r="Y1611" i="34"/>
  <c r="W1611" i="34"/>
  <c r="V1611" i="34"/>
  <c r="U1611" i="34"/>
  <c r="T1611" i="34"/>
  <c r="P1611" i="34"/>
  <c r="M1611" i="34"/>
  <c r="C1611" i="34"/>
  <c r="AD1611" i="34" s="1"/>
  <c r="AC1592" i="34"/>
  <c r="AB1592" i="34"/>
  <c r="Y1592" i="34"/>
  <c r="W1592" i="34"/>
  <c r="V1592" i="34"/>
  <c r="U1592" i="34"/>
  <c r="T1592" i="34"/>
  <c r="P1592" i="34"/>
  <c r="M1592" i="34"/>
  <c r="C1592" i="34"/>
  <c r="AD1592" i="34" s="1"/>
  <c r="AC1591" i="34"/>
  <c r="AB1591" i="34"/>
  <c r="Y1591" i="34"/>
  <c r="W1591" i="34"/>
  <c r="V1591" i="34"/>
  <c r="U1591" i="34"/>
  <c r="T1591" i="34"/>
  <c r="P1591" i="34"/>
  <c r="M1591" i="34"/>
  <c r="C1591" i="34"/>
  <c r="AD1591" i="34" s="1"/>
  <c r="AC1590" i="34"/>
  <c r="AB1590" i="34"/>
  <c r="Y1590" i="34"/>
  <c r="W1590" i="34"/>
  <c r="V1590" i="34"/>
  <c r="U1590" i="34"/>
  <c r="T1590" i="34"/>
  <c r="P1590" i="34"/>
  <c r="M1590" i="34"/>
  <c r="C1590" i="34"/>
  <c r="AD1590" i="34" s="1"/>
  <c r="AC1589" i="34"/>
  <c r="AB1589" i="34"/>
  <c r="Y1589" i="34"/>
  <c r="W1589" i="34"/>
  <c r="V1589" i="34"/>
  <c r="U1589" i="34"/>
  <c r="T1589" i="34"/>
  <c r="P1589" i="34"/>
  <c r="M1589" i="34"/>
  <c r="C1589" i="34"/>
  <c r="AD1589" i="34" s="1"/>
  <c r="AC1588" i="34"/>
  <c r="AB1588" i="34"/>
  <c r="Y1588" i="34"/>
  <c r="W1588" i="34"/>
  <c r="V1588" i="34"/>
  <c r="U1588" i="34"/>
  <c r="T1588" i="34"/>
  <c r="P1588" i="34"/>
  <c r="M1588" i="34"/>
  <c r="C1588" i="34"/>
  <c r="AD1588" i="34" s="1"/>
  <c r="AC1573" i="34"/>
  <c r="AB1573" i="34"/>
  <c r="Y1573" i="34"/>
  <c r="W1573" i="34"/>
  <c r="V1573" i="34"/>
  <c r="U1573" i="34"/>
  <c r="T1573" i="34"/>
  <c r="P1573" i="34"/>
  <c r="M1573" i="34"/>
  <c r="C1573" i="34"/>
  <c r="AD1573" i="34" s="1"/>
  <c r="AC1572" i="34"/>
  <c r="AB1572" i="34"/>
  <c r="Y1572" i="34"/>
  <c r="W1572" i="34"/>
  <c r="V1572" i="34"/>
  <c r="U1572" i="34"/>
  <c r="T1572" i="34"/>
  <c r="P1572" i="34"/>
  <c r="M1572" i="34"/>
  <c r="C1572" i="34"/>
  <c r="AD1572" i="34" s="1"/>
  <c r="I1419" i="34"/>
  <c r="M1419" i="34" s="1"/>
  <c r="AC1419" i="34"/>
  <c r="AB1419" i="34"/>
  <c r="Y1419" i="34"/>
  <c r="W1419" i="34"/>
  <c r="V1419" i="34"/>
  <c r="U1419" i="34"/>
  <c r="T1419" i="34"/>
  <c r="P1419" i="34"/>
  <c r="C1419" i="34"/>
  <c r="AD1419" i="34" s="1"/>
  <c r="I1421" i="34"/>
  <c r="AC1427" i="34"/>
  <c r="AB1427" i="34"/>
  <c r="Y1427" i="34"/>
  <c r="W1427" i="34"/>
  <c r="V1427" i="34"/>
  <c r="U1427" i="34"/>
  <c r="T1427" i="34"/>
  <c r="P1427" i="34"/>
  <c r="M1427" i="34"/>
  <c r="C1427" i="34"/>
  <c r="AD1427" i="34" s="1"/>
  <c r="I1416" i="34"/>
  <c r="M1416" i="34" s="1"/>
  <c r="AC1417" i="34"/>
  <c r="AB1417" i="34"/>
  <c r="Y1417" i="34"/>
  <c r="W1417" i="34"/>
  <c r="V1417" i="34"/>
  <c r="U1417" i="34"/>
  <c r="T1417" i="34"/>
  <c r="P1417" i="34"/>
  <c r="M1417" i="34"/>
  <c r="C1417" i="34"/>
  <c r="AD1417" i="34" s="1"/>
  <c r="AC1416" i="34"/>
  <c r="AB1416" i="34"/>
  <c r="Y1416" i="34"/>
  <c r="W1416" i="34"/>
  <c r="V1416" i="34"/>
  <c r="U1416" i="34"/>
  <c r="T1416" i="34"/>
  <c r="P1416" i="34"/>
  <c r="C1416" i="34"/>
  <c r="AD1416" i="34" s="1"/>
  <c r="AC1415" i="34"/>
  <c r="AB1415" i="34"/>
  <c r="Y1415" i="34"/>
  <c r="W1415" i="34"/>
  <c r="V1415" i="34"/>
  <c r="U1415" i="34"/>
  <c r="T1415" i="34"/>
  <c r="P1415" i="34"/>
  <c r="M1415" i="34"/>
  <c r="C1415" i="34"/>
  <c r="AD1415" i="34" s="1"/>
  <c r="AC1414" i="34"/>
  <c r="AB1414" i="34"/>
  <c r="Y1414" i="34"/>
  <c r="W1414" i="34"/>
  <c r="V1414" i="34"/>
  <c r="U1414" i="34"/>
  <c r="T1414" i="34"/>
  <c r="P1414" i="34"/>
  <c r="M1414" i="34"/>
  <c r="C1414" i="34"/>
  <c r="AD1414" i="34" s="1"/>
  <c r="AC1413" i="34"/>
  <c r="AB1413" i="34"/>
  <c r="Y1413" i="34"/>
  <c r="W1413" i="34"/>
  <c r="V1413" i="34"/>
  <c r="U1413" i="34"/>
  <c r="T1413" i="34"/>
  <c r="P1413" i="34"/>
  <c r="M1413" i="34"/>
  <c r="C1413" i="34"/>
  <c r="AD1413" i="34" s="1"/>
  <c r="AC1406" i="34"/>
  <c r="AB1406" i="34"/>
  <c r="Y1406" i="34"/>
  <c r="W1406" i="34"/>
  <c r="V1406" i="34"/>
  <c r="U1406" i="34"/>
  <c r="T1406" i="34"/>
  <c r="P1406" i="34"/>
  <c r="M1406" i="34"/>
  <c r="C1406" i="34"/>
  <c r="AD1406" i="34" s="1"/>
  <c r="AC1405" i="34"/>
  <c r="AB1405" i="34"/>
  <c r="Y1405" i="34"/>
  <c r="W1405" i="34"/>
  <c r="V1405" i="34"/>
  <c r="U1405" i="34"/>
  <c r="T1405" i="34"/>
  <c r="P1405" i="34"/>
  <c r="M1405" i="34"/>
  <c r="C1405" i="34"/>
  <c r="AD1405" i="34" s="1"/>
  <c r="AC1408" i="34"/>
  <c r="AB1408" i="34"/>
  <c r="Y1408" i="34"/>
  <c r="W1408" i="34"/>
  <c r="V1408" i="34"/>
  <c r="U1408" i="34"/>
  <c r="T1408" i="34"/>
  <c r="P1408" i="34"/>
  <c r="M1408" i="34"/>
  <c r="C1408" i="34"/>
  <c r="AD1408" i="34" s="1"/>
  <c r="AC1407" i="34"/>
  <c r="AB1407" i="34"/>
  <c r="Y1407" i="34"/>
  <c r="W1407" i="34"/>
  <c r="V1407" i="34"/>
  <c r="U1407" i="34"/>
  <c r="T1407" i="34"/>
  <c r="P1407" i="34"/>
  <c r="M1407" i="34"/>
  <c r="C1407" i="34"/>
  <c r="AD1407" i="34" s="1"/>
  <c r="I1411" i="34"/>
  <c r="M1411" i="34" s="1"/>
  <c r="AC1422" i="34"/>
  <c r="AB1422" i="34"/>
  <c r="Y1422" i="34"/>
  <c r="W1422" i="34"/>
  <c r="V1422" i="34"/>
  <c r="U1422" i="34"/>
  <c r="T1422" i="34"/>
  <c r="P1422" i="34"/>
  <c r="M1422" i="34"/>
  <c r="C1422" i="34"/>
  <c r="AD1422" i="34" s="1"/>
  <c r="AC1421" i="34"/>
  <c r="AB1421" i="34"/>
  <c r="Y1421" i="34"/>
  <c r="W1421" i="34"/>
  <c r="V1421" i="34"/>
  <c r="U1421" i="34"/>
  <c r="T1421" i="34"/>
  <c r="P1421" i="34"/>
  <c r="M1421" i="34"/>
  <c r="C1421" i="34"/>
  <c r="AD1421" i="34" s="1"/>
  <c r="AC1420" i="34"/>
  <c r="AB1420" i="34"/>
  <c r="Y1420" i="34"/>
  <c r="W1420" i="34"/>
  <c r="V1420" i="34"/>
  <c r="U1420" i="34"/>
  <c r="T1420" i="34"/>
  <c r="P1420" i="34"/>
  <c r="M1420" i="34"/>
  <c r="C1420" i="34"/>
  <c r="AD1420" i="34" s="1"/>
  <c r="AC1418" i="34"/>
  <c r="AB1418" i="34"/>
  <c r="Y1418" i="34"/>
  <c r="W1418" i="34"/>
  <c r="V1418" i="34"/>
  <c r="U1418" i="34"/>
  <c r="T1418" i="34"/>
  <c r="P1418" i="34"/>
  <c r="M1418" i="34"/>
  <c r="C1418" i="34"/>
  <c r="AD1418" i="34" s="1"/>
  <c r="AC1412" i="34"/>
  <c r="AB1412" i="34"/>
  <c r="Y1412" i="34"/>
  <c r="W1412" i="34"/>
  <c r="V1412" i="34"/>
  <c r="U1412" i="34"/>
  <c r="T1412" i="34"/>
  <c r="P1412" i="34"/>
  <c r="M1412" i="34"/>
  <c r="C1412" i="34"/>
  <c r="AD1412" i="34" s="1"/>
  <c r="AC1411" i="34"/>
  <c r="AB1411" i="34"/>
  <c r="Y1411" i="34"/>
  <c r="W1411" i="34"/>
  <c r="V1411" i="34"/>
  <c r="U1411" i="34"/>
  <c r="T1411" i="34"/>
  <c r="P1411" i="34"/>
  <c r="C1411" i="34"/>
  <c r="AD1411" i="34" s="1"/>
  <c r="AC1410" i="34"/>
  <c r="AB1410" i="34"/>
  <c r="Y1410" i="34"/>
  <c r="W1410" i="34"/>
  <c r="V1410" i="34"/>
  <c r="U1410" i="34"/>
  <c r="T1410" i="34"/>
  <c r="P1410" i="34"/>
  <c r="M1410" i="34"/>
  <c r="C1410" i="34"/>
  <c r="AD1410" i="34" s="1"/>
  <c r="AC1409" i="34"/>
  <c r="AB1409" i="34"/>
  <c r="Y1409" i="34"/>
  <c r="W1409" i="34"/>
  <c r="V1409" i="34"/>
  <c r="U1409" i="34"/>
  <c r="T1409" i="34"/>
  <c r="P1409" i="34"/>
  <c r="M1409" i="34"/>
  <c r="C1409" i="34"/>
  <c r="AD1409" i="34" s="1"/>
  <c r="AC1404" i="34"/>
  <c r="AB1404" i="34"/>
  <c r="Y1404" i="34"/>
  <c r="W1404" i="34"/>
  <c r="V1404" i="34"/>
  <c r="U1404" i="34"/>
  <c r="T1404" i="34"/>
  <c r="P1404" i="34"/>
  <c r="M1404" i="34"/>
  <c r="C1404" i="34"/>
  <c r="AD1404" i="34" s="1"/>
  <c r="AC1403" i="34"/>
  <c r="AB1403" i="34"/>
  <c r="Y1403" i="34"/>
  <c r="W1403" i="34"/>
  <c r="V1403" i="34"/>
  <c r="U1403" i="34"/>
  <c r="T1403" i="34"/>
  <c r="P1403" i="34"/>
  <c r="M1403" i="34"/>
  <c r="C1403" i="34"/>
  <c r="AD1403" i="34" s="1"/>
  <c r="AC1402" i="34"/>
  <c r="AB1402" i="34"/>
  <c r="Y1402" i="34"/>
  <c r="W1402" i="34"/>
  <c r="V1402" i="34"/>
  <c r="U1402" i="34"/>
  <c r="T1402" i="34"/>
  <c r="P1402" i="34"/>
  <c r="M1402" i="34"/>
  <c r="C1402" i="34"/>
  <c r="AD1402" i="34" s="1"/>
  <c r="AC1401" i="34"/>
  <c r="AB1401" i="34"/>
  <c r="Y1401" i="34"/>
  <c r="W1401" i="34"/>
  <c r="V1401" i="34"/>
  <c r="U1401" i="34"/>
  <c r="T1401" i="34"/>
  <c r="P1401" i="34"/>
  <c r="M1401" i="34"/>
  <c r="C1401" i="34"/>
  <c r="AD1401" i="34" s="1"/>
  <c r="AC1400" i="34"/>
  <c r="AB1400" i="34"/>
  <c r="Y1400" i="34"/>
  <c r="W1400" i="34"/>
  <c r="V1400" i="34"/>
  <c r="U1400" i="34"/>
  <c r="T1400" i="34"/>
  <c r="P1400" i="34"/>
  <c r="M1400" i="34"/>
  <c r="C1400" i="34"/>
  <c r="AD1400" i="34" s="1"/>
  <c r="AC1399" i="34"/>
  <c r="AB1399" i="34"/>
  <c r="Y1399" i="34"/>
  <c r="W1399" i="34"/>
  <c r="V1399" i="34"/>
  <c r="U1399" i="34"/>
  <c r="T1399" i="34"/>
  <c r="P1399" i="34"/>
  <c r="M1399" i="34"/>
  <c r="C1399" i="34"/>
  <c r="AD1399" i="34" s="1"/>
  <c r="AC1398" i="34"/>
  <c r="AB1398" i="34"/>
  <c r="Y1398" i="34"/>
  <c r="W1398" i="34"/>
  <c r="V1398" i="34"/>
  <c r="U1398" i="34"/>
  <c r="T1398" i="34"/>
  <c r="P1398" i="34"/>
  <c r="M1398" i="34"/>
  <c r="C1398" i="34"/>
  <c r="AD1398" i="34" s="1"/>
  <c r="AC1397" i="34"/>
  <c r="AB1397" i="34"/>
  <c r="Y1397" i="34"/>
  <c r="W1397" i="34"/>
  <c r="V1397" i="34"/>
  <c r="U1397" i="34"/>
  <c r="T1397" i="34"/>
  <c r="P1397" i="34"/>
  <c r="M1397" i="34"/>
  <c r="C1397" i="34"/>
  <c r="AD1397" i="34" s="1"/>
  <c r="AC1396" i="34"/>
  <c r="AB1396" i="34"/>
  <c r="Y1396" i="34"/>
  <c r="W1396" i="34"/>
  <c r="V1396" i="34"/>
  <c r="U1396" i="34"/>
  <c r="T1396" i="34"/>
  <c r="P1396" i="34"/>
  <c r="M1396" i="34"/>
  <c r="C1396" i="34"/>
  <c r="AD1396" i="34" s="1"/>
  <c r="AC1395" i="34"/>
  <c r="AB1395" i="34"/>
  <c r="Y1395" i="34"/>
  <c r="W1395" i="34"/>
  <c r="V1395" i="34"/>
  <c r="U1395" i="34"/>
  <c r="T1395" i="34"/>
  <c r="P1395" i="34"/>
  <c r="M1395" i="34"/>
  <c r="C1395" i="34"/>
  <c r="AD1395" i="34" s="1"/>
  <c r="AC1394" i="34"/>
  <c r="AB1394" i="34"/>
  <c r="Y1394" i="34"/>
  <c r="W1394" i="34"/>
  <c r="V1394" i="34"/>
  <c r="U1394" i="34"/>
  <c r="T1394" i="34"/>
  <c r="P1394" i="34"/>
  <c r="M1394" i="34"/>
  <c r="C1394" i="34"/>
  <c r="AD1394" i="34" s="1"/>
  <c r="AC1393" i="34"/>
  <c r="AB1393" i="34"/>
  <c r="Y1393" i="34"/>
  <c r="W1393" i="34"/>
  <c r="V1393" i="34"/>
  <c r="U1393" i="34"/>
  <c r="T1393" i="34"/>
  <c r="P1393" i="34"/>
  <c r="M1393" i="34"/>
  <c r="C1393" i="34"/>
  <c r="AD1393" i="34" s="1"/>
  <c r="B2398" i="34"/>
  <c r="A2398" i="34" s="1"/>
  <c r="B2399" i="34"/>
  <c r="A2399" i="34" s="1"/>
  <c r="B2132" i="34"/>
  <c r="A2132" i="34" s="1"/>
  <c r="B2133" i="34"/>
  <c r="A2133" i="34" s="1"/>
  <c r="B2050" i="34"/>
  <c r="A2050" i="34" s="1"/>
  <c r="B2051" i="34"/>
  <c r="A2051" i="34" s="1"/>
  <c r="B2052" i="34"/>
  <c r="A2052" i="34" s="1"/>
  <c r="B2053" i="34"/>
  <c r="A2053" i="34" s="1"/>
  <c r="B2054" i="34"/>
  <c r="A2054" i="34" s="1"/>
  <c r="B1866" i="34"/>
  <c r="A1866" i="34" s="1"/>
  <c r="B1867" i="34"/>
  <c r="A1867" i="34" s="1"/>
  <c r="B1868" i="34"/>
  <c r="A1868" i="34" s="1"/>
  <c r="AC1428" i="34"/>
  <c r="AB1428" i="34"/>
  <c r="Y1428" i="34"/>
  <c r="W1428" i="34"/>
  <c r="V1428" i="34"/>
  <c r="U1428" i="34"/>
  <c r="T1428" i="34"/>
  <c r="P1428" i="34"/>
  <c r="M1428" i="34"/>
  <c r="C1428" i="34"/>
  <c r="AD1428" i="34" s="1"/>
  <c r="AC1426" i="34"/>
  <c r="AB1426" i="34"/>
  <c r="Y1426" i="34"/>
  <c r="W1426" i="34"/>
  <c r="V1426" i="34"/>
  <c r="U1426" i="34"/>
  <c r="T1426" i="34"/>
  <c r="P1426" i="34"/>
  <c r="M1426" i="34"/>
  <c r="C1426" i="34"/>
  <c r="AD1426" i="34" s="1"/>
  <c r="AC1425" i="34"/>
  <c r="AB1425" i="34"/>
  <c r="Y1425" i="34"/>
  <c r="W1425" i="34"/>
  <c r="V1425" i="34"/>
  <c r="U1425" i="34"/>
  <c r="T1425" i="34"/>
  <c r="P1425" i="34"/>
  <c r="M1425" i="34"/>
  <c r="C1425" i="34"/>
  <c r="AD1425" i="34" s="1"/>
  <c r="AC1424" i="34"/>
  <c r="AB1424" i="34"/>
  <c r="Y1424" i="34"/>
  <c r="W1424" i="34"/>
  <c r="V1424" i="34"/>
  <c r="U1424" i="34"/>
  <c r="T1424" i="34"/>
  <c r="P1424" i="34"/>
  <c r="M1424" i="34"/>
  <c r="C1424" i="34"/>
  <c r="AD1424" i="34" s="1"/>
  <c r="AC1423" i="34"/>
  <c r="AB1423" i="34"/>
  <c r="Y1423" i="34"/>
  <c r="W1423" i="34"/>
  <c r="V1423" i="34"/>
  <c r="U1423" i="34"/>
  <c r="T1423" i="34"/>
  <c r="P1423" i="34"/>
  <c r="M1423" i="34"/>
  <c r="C1423" i="34"/>
  <c r="AD1423" i="34" s="1"/>
  <c r="AC1392" i="34"/>
  <c r="AB1392" i="34"/>
  <c r="Y1392" i="34"/>
  <c r="W1392" i="34"/>
  <c r="V1392" i="34"/>
  <c r="U1392" i="34"/>
  <c r="T1392" i="34"/>
  <c r="P1392" i="34"/>
  <c r="M1392" i="34"/>
  <c r="C1392" i="34"/>
  <c r="AD1392" i="34" s="1"/>
  <c r="AC1391" i="34"/>
  <c r="AB1391" i="34"/>
  <c r="Y1391" i="34"/>
  <c r="W1391" i="34"/>
  <c r="V1391" i="34"/>
  <c r="U1391" i="34"/>
  <c r="T1391" i="34"/>
  <c r="P1391" i="34"/>
  <c r="M1391" i="34"/>
  <c r="C1391" i="34"/>
  <c r="AD1391" i="34" s="1"/>
  <c r="AC1390" i="34"/>
  <c r="AB1390" i="34"/>
  <c r="Y1390" i="34"/>
  <c r="W1390" i="34"/>
  <c r="V1390" i="34"/>
  <c r="U1390" i="34"/>
  <c r="T1390" i="34"/>
  <c r="P1390" i="34"/>
  <c r="M1390" i="34"/>
  <c r="C1390" i="34"/>
  <c r="AD1390" i="34" s="1"/>
  <c r="AC1389" i="34"/>
  <c r="AB1389" i="34"/>
  <c r="Y1389" i="34"/>
  <c r="W1389" i="34"/>
  <c r="V1389" i="34"/>
  <c r="U1389" i="34"/>
  <c r="T1389" i="34"/>
  <c r="P1389" i="34"/>
  <c r="M1389" i="34"/>
  <c r="C1389" i="34"/>
  <c r="AD1389" i="34" s="1"/>
  <c r="AC1388" i="34"/>
  <c r="AB1388" i="34"/>
  <c r="Y1388" i="34"/>
  <c r="W1388" i="34"/>
  <c r="V1388" i="34"/>
  <c r="U1388" i="34"/>
  <c r="T1388" i="34"/>
  <c r="P1388" i="34"/>
  <c r="M1388" i="34"/>
  <c r="C1388" i="34"/>
  <c r="AD1388" i="34" s="1"/>
  <c r="AC1387" i="34"/>
  <c r="AB1387" i="34"/>
  <c r="Y1387" i="34"/>
  <c r="W1387" i="34"/>
  <c r="V1387" i="34"/>
  <c r="U1387" i="34"/>
  <c r="T1387" i="34"/>
  <c r="P1387" i="34"/>
  <c r="M1387" i="34"/>
  <c r="C1387" i="34"/>
  <c r="AD1387" i="34" s="1"/>
  <c r="AC1386" i="34"/>
  <c r="AB1386" i="34"/>
  <c r="Y1386" i="34"/>
  <c r="W1386" i="34"/>
  <c r="V1386" i="34"/>
  <c r="U1386" i="34"/>
  <c r="T1386" i="34"/>
  <c r="P1386" i="34"/>
  <c r="M1386" i="34"/>
  <c r="C1386" i="34"/>
  <c r="AD1386" i="34" s="1"/>
  <c r="I1260" i="34"/>
  <c r="M1260" i="34" s="1"/>
  <c r="I1254" i="34"/>
  <c r="M1254" i="34" s="1"/>
  <c r="AC1256" i="34"/>
  <c r="AB1256" i="34"/>
  <c r="Y1256" i="34"/>
  <c r="W1256" i="34"/>
  <c r="V1256" i="34"/>
  <c r="U1256" i="34"/>
  <c r="T1256" i="34"/>
  <c r="P1256" i="34"/>
  <c r="M1256" i="34"/>
  <c r="C1256" i="34"/>
  <c r="AD1256" i="34" s="1"/>
  <c r="AC1255" i="34"/>
  <c r="AB1255" i="34"/>
  <c r="Y1255" i="34"/>
  <c r="W1255" i="34"/>
  <c r="V1255" i="34"/>
  <c r="U1255" i="34"/>
  <c r="T1255" i="34"/>
  <c r="P1255" i="34"/>
  <c r="M1255" i="34"/>
  <c r="C1255" i="34"/>
  <c r="AD1255" i="34" s="1"/>
  <c r="AC1254" i="34"/>
  <c r="AB1254" i="34"/>
  <c r="Y1254" i="34"/>
  <c r="W1254" i="34"/>
  <c r="V1254" i="34"/>
  <c r="U1254" i="34"/>
  <c r="T1254" i="34"/>
  <c r="P1254" i="34"/>
  <c r="C1254" i="34"/>
  <c r="AD1254" i="34" s="1"/>
  <c r="AC1253" i="34"/>
  <c r="AB1253" i="34"/>
  <c r="Y1253" i="34"/>
  <c r="W1253" i="34"/>
  <c r="V1253" i="34"/>
  <c r="U1253" i="34"/>
  <c r="T1253" i="34"/>
  <c r="P1253" i="34"/>
  <c r="M1253" i="34"/>
  <c r="C1253" i="34"/>
  <c r="AD1253" i="34" s="1"/>
  <c r="AC1252" i="34"/>
  <c r="AB1252" i="34"/>
  <c r="Y1252" i="34"/>
  <c r="W1252" i="34"/>
  <c r="V1252" i="34"/>
  <c r="U1252" i="34"/>
  <c r="T1252" i="34"/>
  <c r="P1252" i="34"/>
  <c r="M1252" i="34"/>
  <c r="C1252" i="34"/>
  <c r="AD1252" i="34" s="1"/>
  <c r="AC1251" i="34"/>
  <c r="AB1251" i="34"/>
  <c r="Y1251" i="34"/>
  <c r="W1251" i="34"/>
  <c r="V1251" i="34"/>
  <c r="U1251" i="34"/>
  <c r="T1251" i="34"/>
  <c r="P1251" i="34"/>
  <c r="M1251" i="34"/>
  <c r="C1251" i="34"/>
  <c r="AD1251" i="34" s="1"/>
  <c r="AC1250" i="34"/>
  <c r="AB1250" i="34"/>
  <c r="Y1250" i="34"/>
  <c r="W1250" i="34"/>
  <c r="V1250" i="34"/>
  <c r="U1250" i="34"/>
  <c r="T1250" i="34"/>
  <c r="P1250" i="34"/>
  <c r="M1250" i="34"/>
  <c r="C1250" i="34"/>
  <c r="AD1250" i="34" s="1"/>
  <c r="AC1260" i="34"/>
  <c r="AB1260" i="34"/>
  <c r="Y1260" i="34"/>
  <c r="W1260" i="34"/>
  <c r="V1260" i="34"/>
  <c r="U1260" i="34"/>
  <c r="T1260" i="34"/>
  <c r="P1260" i="34"/>
  <c r="C1260" i="34"/>
  <c r="AD1260" i="34" s="1"/>
  <c r="AC1259" i="34"/>
  <c r="AB1259" i="34"/>
  <c r="Y1259" i="34"/>
  <c r="W1259" i="34"/>
  <c r="V1259" i="34"/>
  <c r="U1259" i="34"/>
  <c r="T1259" i="34"/>
  <c r="P1259" i="34"/>
  <c r="M1259" i="34"/>
  <c r="C1259" i="34"/>
  <c r="AD1259" i="34" s="1"/>
  <c r="AC1258" i="34"/>
  <c r="AB1258" i="34"/>
  <c r="Y1258" i="34"/>
  <c r="W1258" i="34"/>
  <c r="V1258" i="34"/>
  <c r="U1258" i="34"/>
  <c r="T1258" i="34"/>
  <c r="P1258" i="34"/>
  <c r="M1258" i="34"/>
  <c r="C1258" i="34"/>
  <c r="AD1258" i="34" s="1"/>
  <c r="AC1257" i="34"/>
  <c r="AB1257" i="34"/>
  <c r="Y1257" i="34"/>
  <c r="W1257" i="34"/>
  <c r="V1257" i="34"/>
  <c r="U1257" i="34"/>
  <c r="T1257" i="34"/>
  <c r="P1257" i="34"/>
  <c r="M1257" i="34"/>
  <c r="C1257" i="34"/>
  <c r="AD1257" i="34" s="1"/>
  <c r="AC1261" i="34"/>
  <c r="AB1261" i="34"/>
  <c r="Y1261" i="34"/>
  <c r="W1261" i="34"/>
  <c r="V1261" i="34"/>
  <c r="U1261" i="34"/>
  <c r="T1261" i="34"/>
  <c r="P1261" i="34"/>
  <c r="M1261" i="34"/>
  <c r="C1261" i="34"/>
  <c r="AD1261" i="34" s="1"/>
  <c r="AC1247" i="34"/>
  <c r="AB1247" i="34"/>
  <c r="Y1247" i="34"/>
  <c r="W1247" i="34"/>
  <c r="V1247" i="34"/>
  <c r="U1247" i="34"/>
  <c r="T1247" i="34"/>
  <c r="P1247" i="34"/>
  <c r="M1247" i="34"/>
  <c r="C1247" i="34"/>
  <c r="AD1247" i="34" s="1"/>
  <c r="I1249" i="34"/>
  <c r="M1249" i="34" s="1"/>
  <c r="AC1244" i="34"/>
  <c r="AB1244" i="34"/>
  <c r="Y1244" i="34"/>
  <c r="W1244" i="34"/>
  <c r="V1244" i="34"/>
  <c r="U1244" i="34"/>
  <c r="T1244" i="34"/>
  <c r="P1244" i="34"/>
  <c r="M1244" i="34"/>
  <c r="C1244" i="34"/>
  <c r="AD1244" i="34" s="1"/>
  <c r="AC1243" i="34"/>
  <c r="AB1243" i="34"/>
  <c r="Y1243" i="34"/>
  <c r="W1243" i="34"/>
  <c r="V1243" i="34"/>
  <c r="U1243" i="34"/>
  <c r="T1243" i="34"/>
  <c r="P1243" i="34"/>
  <c r="M1243" i="34"/>
  <c r="C1243" i="34"/>
  <c r="AD1243" i="34" s="1"/>
  <c r="AC1242" i="34"/>
  <c r="AB1242" i="34"/>
  <c r="Y1242" i="34"/>
  <c r="W1242" i="34"/>
  <c r="V1242" i="34"/>
  <c r="U1242" i="34"/>
  <c r="T1242" i="34"/>
  <c r="P1242" i="34"/>
  <c r="M1242" i="34"/>
  <c r="C1242" i="34"/>
  <c r="AD1242" i="34" s="1"/>
  <c r="AC1241" i="34"/>
  <c r="AB1241" i="34"/>
  <c r="Y1241" i="34"/>
  <c r="W1241" i="34"/>
  <c r="V1241" i="34"/>
  <c r="U1241" i="34"/>
  <c r="T1241" i="34"/>
  <c r="P1241" i="34"/>
  <c r="M1241" i="34"/>
  <c r="C1241" i="34"/>
  <c r="AD1241" i="34" s="1"/>
  <c r="AC1240" i="34"/>
  <c r="AB1240" i="34"/>
  <c r="Y1240" i="34"/>
  <c r="W1240" i="34"/>
  <c r="V1240" i="34"/>
  <c r="U1240" i="34"/>
  <c r="T1240" i="34"/>
  <c r="P1240" i="34"/>
  <c r="M1240" i="34"/>
  <c r="C1240" i="34"/>
  <c r="AD1240" i="34" s="1"/>
  <c r="I1239" i="34"/>
  <c r="M1239" i="34" s="1"/>
  <c r="AC1239" i="34"/>
  <c r="AB1239" i="34"/>
  <c r="Y1239" i="34"/>
  <c r="W1239" i="34"/>
  <c r="V1239" i="34"/>
  <c r="U1239" i="34"/>
  <c r="T1239" i="34"/>
  <c r="P1239" i="34"/>
  <c r="C1239" i="34"/>
  <c r="AD1239" i="34" s="1"/>
  <c r="AC1238" i="34"/>
  <c r="AB1238" i="34"/>
  <c r="Y1238" i="34"/>
  <c r="W1238" i="34"/>
  <c r="V1238" i="34"/>
  <c r="U1238" i="34"/>
  <c r="T1238" i="34"/>
  <c r="P1238" i="34"/>
  <c r="M1238" i="34"/>
  <c r="C1238" i="34"/>
  <c r="AD1238" i="34" s="1"/>
  <c r="AC1237" i="34"/>
  <c r="AB1237" i="34"/>
  <c r="Y1237" i="34"/>
  <c r="W1237" i="34"/>
  <c r="V1237" i="34"/>
  <c r="U1237" i="34"/>
  <c r="T1237" i="34"/>
  <c r="P1237" i="34"/>
  <c r="M1237" i="34"/>
  <c r="C1237" i="34"/>
  <c r="AD1237" i="34" s="1"/>
  <c r="AC1236" i="34"/>
  <c r="AB1236" i="34"/>
  <c r="Y1236" i="34"/>
  <c r="W1236" i="34"/>
  <c r="V1236" i="34"/>
  <c r="U1236" i="34"/>
  <c r="T1236" i="34"/>
  <c r="P1236" i="34"/>
  <c r="M1236" i="34"/>
  <c r="C1236" i="34"/>
  <c r="AD1236" i="34" s="1"/>
  <c r="AC1235" i="34"/>
  <c r="AB1235" i="34"/>
  <c r="Y1235" i="34"/>
  <c r="W1235" i="34"/>
  <c r="V1235" i="34"/>
  <c r="U1235" i="34"/>
  <c r="T1235" i="34"/>
  <c r="P1235" i="34"/>
  <c r="M1235" i="34"/>
  <c r="C1235" i="34"/>
  <c r="AD1235" i="34" s="1"/>
  <c r="AC1234" i="34"/>
  <c r="AB1234" i="34"/>
  <c r="Y1234" i="34"/>
  <c r="W1234" i="34"/>
  <c r="V1234" i="34"/>
  <c r="U1234" i="34"/>
  <c r="T1234" i="34"/>
  <c r="P1234" i="34"/>
  <c r="M1234" i="34"/>
  <c r="C1234" i="34"/>
  <c r="AD1234" i="34" s="1"/>
  <c r="AC1266" i="34"/>
  <c r="AB1266" i="34"/>
  <c r="Y1266" i="34"/>
  <c r="W1266" i="34"/>
  <c r="V1266" i="34"/>
  <c r="U1266" i="34"/>
  <c r="T1266" i="34"/>
  <c r="P1266" i="34"/>
  <c r="M1266" i="34"/>
  <c r="C1266" i="34"/>
  <c r="AD1266" i="34" s="1"/>
  <c r="AC1265" i="34"/>
  <c r="AB1265" i="34"/>
  <c r="Y1265" i="34"/>
  <c r="W1265" i="34"/>
  <c r="V1265" i="34"/>
  <c r="U1265" i="34"/>
  <c r="T1265" i="34"/>
  <c r="P1265" i="34"/>
  <c r="M1265" i="34"/>
  <c r="C1265" i="34"/>
  <c r="AD1265" i="34" s="1"/>
  <c r="AC1264" i="34"/>
  <c r="AB1264" i="34"/>
  <c r="Y1264" i="34"/>
  <c r="W1264" i="34"/>
  <c r="V1264" i="34"/>
  <c r="U1264" i="34"/>
  <c r="T1264" i="34"/>
  <c r="P1264" i="34"/>
  <c r="M1264" i="34"/>
  <c r="C1264" i="34"/>
  <c r="AD1264" i="34" s="1"/>
  <c r="AC1263" i="34"/>
  <c r="AB1263" i="34"/>
  <c r="Y1263" i="34"/>
  <c r="W1263" i="34"/>
  <c r="V1263" i="34"/>
  <c r="U1263" i="34"/>
  <c r="T1263" i="34"/>
  <c r="P1263" i="34"/>
  <c r="M1263" i="34"/>
  <c r="C1263" i="34"/>
  <c r="AD1263" i="34" s="1"/>
  <c r="AC1262" i="34"/>
  <c r="AB1262" i="34"/>
  <c r="Y1262" i="34"/>
  <c r="W1262" i="34"/>
  <c r="V1262" i="34"/>
  <c r="U1262" i="34"/>
  <c r="T1262" i="34"/>
  <c r="P1262" i="34"/>
  <c r="M1262" i="34"/>
  <c r="C1262" i="34"/>
  <c r="AD1262" i="34" s="1"/>
  <c r="AC1249" i="34"/>
  <c r="AB1249" i="34"/>
  <c r="Y1249" i="34"/>
  <c r="W1249" i="34"/>
  <c r="V1249" i="34"/>
  <c r="U1249" i="34"/>
  <c r="T1249" i="34"/>
  <c r="P1249" i="34"/>
  <c r="C1249" i="34"/>
  <c r="AD1249" i="34" s="1"/>
  <c r="AC1248" i="34"/>
  <c r="AB1248" i="34"/>
  <c r="Y1248" i="34"/>
  <c r="W1248" i="34"/>
  <c r="V1248" i="34"/>
  <c r="U1248" i="34"/>
  <c r="T1248" i="34"/>
  <c r="P1248" i="34"/>
  <c r="M1248" i="34"/>
  <c r="C1248" i="34"/>
  <c r="AD1248" i="34" s="1"/>
  <c r="AC1246" i="34"/>
  <c r="AB1246" i="34"/>
  <c r="Y1246" i="34"/>
  <c r="W1246" i="34"/>
  <c r="V1246" i="34"/>
  <c r="U1246" i="34"/>
  <c r="T1246" i="34"/>
  <c r="P1246" i="34"/>
  <c r="M1246" i="34"/>
  <c r="C1246" i="34"/>
  <c r="AD1246" i="34" s="1"/>
  <c r="AC1245" i="34"/>
  <c r="AB1245" i="34"/>
  <c r="Y1245" i="34"/>
  <c r="W1245" i="34"/>
  <c r="V1245" i="34"/>
  <c r="U1245" i="34"/>
  <c r="T1245" i="34"/>
  <c r="P1245" i="34"/>
  <c r="M1245" i="34"/>
  <c r="C1245" i="34"/>
  <c r="AD1245" i="34" s="1"/>
  <c r="AC1233" i="34"/>
  <c r="AB1233" i="34"/>
  <c r="Y1233" i="34"/>
  <c r="W1233" i="34"/>
  <c r="V1233" i="34"/>
  <c r="U1233" i="34"/>
  <c r="T1233" i="34"/>
  <c r="P1233" i="34"/>
  <c r="M1233" i="34"/>
  <c r="C1233" i="34"/>
  <c r="AD1233" i="34" s="1"/>
  <c r="AC1232" i="34"/>
  <c r="AB1232" i="34"/>
  <c r="Y1232" i="34"/>
  <c r="W1232" i="34"/>
  <c r="V1232" i="34"/>
  <c r="U1232" i="34"/>
  <c r="T1232" i="34"/>
  <c r="P1232" i="34"/>
  <c r="M1232" i="34"/>
  <c r="C1232" i="34"/>
  <c r="AD1232" i="34" s="1"/>
  <c r="AC1231" i="34"/>
  <c r="AB1231" i="34"/>
  <c r="Y1231" i="34"/>
  <c r="W1231" i="34"/>
  <c r="V1231" i="34"/>
  <c r="U1231" i="34"/>
  <c r="T1231" i="34"/>
  <c r="P1231" i="34"/>
  <c r="M1231" i="34"/>
  <c r="C1231" i="34"/>
  <c r="AD1231" i="34" s="1"/>
  <c r="AC1230" i="34"/>
  <c r="AB1230" i="34"/>
  <c r="Y1230" i="34"/>
  <c r="W1230" i="34"/>
  <c r="V1230" i="34"/>
  <c r="U1230" i="34"/>
  <c r="T1230" i="34"/>
  <c r="P1230" i="34"/>
  <c r="M1230" i="34"/>
  <c r="C1230" i="34"/>
  <c r="AD1230" i="34" s="1"/>
  <c r="AC1229" i="34"/>
  <c r="AB1229" i="34"/>
  <c r="Y1229" i="34"/>
  <c r="W1229" i="34"/>
  <c r="V1229" i="34"/>
  <c r="U1229" i="34"/>
  <c r="T1229" i="34"/>
  <c r="P1229" i="34"/>
  <c r="M1229" i="34"/>
  <c r="C1229" i="34"/>
  <c r="AD1229" i="34" s="1"/>
  <c r="AC1228" i="34"/>
  <c r="AB1228" i="34"/>
  <c r="Y1228" i="34"/>
  <c r="W1228" i="34"/>
  <c r="V1228" i="34"/>
  <c r="U1228" i="34"/>
  <c r="T1228" i="34"/>
  <c r="P1228" i="34"/>
  <c r="M1228" i="34"/>
  <c r="C1228" i="34"/>
  <c r="AD1228" i="34" s="1"/>
  <c r="AC1227" i="34"/>
  <c r="AB1227" i="34"/>
  <c r="Y1227" i="34"/>
  <c r="W1227" i="34"/>
  <c r="V1227" i="34"/>
  <c r="U1227" i="34"/>
  <c r="T1227" i="34"/>
  <c r="P1227" i="34"/>
  <c r="M1227" i="34"/>
  <c r="C1227" i="34"/>
  <c r="AD1227" i="34" s="1"/>
  <c r="I1133" i="34"/>
  <c r="M1133" i="34" s="1"/>
  <c r="J13" i="14"/>
  <c r="I13" i="14"/>
  <c r="AC1123" i="34"/>
  <c r="AB1123" i="34"/>
  <c r="Y1123" i="34"/>
  <c r="W1123" i="34"/>
  <c r="V1123" i="34"/>
  <c r="U1123" i="34"/>
  <c r="T1123" i="34"/>
  <c r="P1123" i="34"/>
  <c r="M1123" i="34"/>
  <c r="C1123" i="34"/>
  <c r="AD1123" i="34" s="1"/>
  <c r="AC1125" i="34"/>
  <c r="AB1125" i="34"/>
  <c r="Y1125" i="34"/>
  <c r="W1125" i="34"/>
  <c r="V1125" i="34"/>
  <c r="U1125" i="34"/>
  <c r="T1125" i="34"/>
  <c r="P1125" i="34"/>
  <c r="M1125" i="34"/>
  <c r="C1125" i="34"/>
  <c r="AD1125" i="34" s="1"/>
  <c r="AC1124" i="34"/>
  <c r="AB1124" i="34"/>
  <c r="Y1124" i="34"/>
  <c r="W1124" i="34"/>
  <c r="V1124" i="34"/>
  <c r="U1124" i="34"/>
  <c r="T1124" i="34"/>
  <c r="P1124" i="34"/>
  <c r="M1124" i="34"/>
  <c r="C1124" i="34"/>
  <c r="AD1124" i="34" s="1"/>
  <c r="AC1128" i="34"/>
  <c r="AB1128" i="34"/>
  <c r="Y1128" i="34"/>
  <c r="W1128" i="34"/>
  <c r="V1128" i="34"/>
  <c r="U1128" i="34"/>
  <c r="T1128" i="34"/>
  <c r="P1128" i="34"/>
  <c r="M1128" i="34"/>
  <c r="C1128" i="34"/>
  <c r="AD1128" i="34" s="1"/>
  <c r="AC1127" i="34"/>
  <c r="AB1127" i="34"/>
  <c r="Y1127" i="34"/>
  <c r="W1127" i="34"/>
  <c r="V1127" i="34"/>
  <c r="U1127" i="34"/>
  <c r="T1127" i="34"/>
  <c r="P1127" i="34"/>
  <c r="M1127" i="34"/>
  <c r="C1127" i="34"/>
  <c r="AD1127" i="34" s="1"/>
  <c r="AC1126" i="34"/>
  <c r="AB1126" i="34"/>
  <c r="Y1126" i="34"/>
  <c r="W1126" i="34"/>
  <c r="V1126" i="34"/>
  <c r="U1126" i="34"/>
  <c r="T1126" i="34"/>
  <c r="P1126" i="34"/>
  <c r="M1126" i="34"/>
  <c r="C1126" i="34"/>
  <c r="AD1126" i="34" s="1"/>
  <c r="AC1122" i="34"/>
  <c r="AB1122" i="34"/>
  <c r="Y1122" i="34"/>
  <c r="W1122" i="34"/>
  <c r="V1122" i="34"/>
  <c r="U1122" i="34"/>
  <c r="T1122" i="34"/>
  <c r="P1122" i="34"/>
  <c r="M1122" i="34"/>
  <c r="C1122" i="34"/>
  <c r="AD1122" i="34" s="1"/>
  <c r="AC1121" i="34"/>
  <c r="AB1121" i="34"/>
  <c r="Y1121" i="34"/>
  <c r="W1121" i="34"/>
  <c r="V1121" i="34"/>
  <c r="U1121" i="34"/>
  <c r="T1121" i="34"/>
  <c r="P1121" i="34"/>
  <c r="M1121" i="34"/>
  <c r="C1121" i="34"/>
  <c r="AD1121" i="34" s="1"/>
  <c r="AC1120" i="34"/>
  <c r="AB1120" i="34"/>
  <c r="Y1120" i="34"/>
  <c r="W1120" i="34"/>
  <c r="V1120" i="34"/>
  <c r="U1120" i="34"/>
  <c r="T1120" i="34"/>
  <c r="P1120" i="34"/>
  <c r="M1120" i="34"/>
  <c r="C1120" i="34"/>
  <c r="AD1120" i="34" s="1"/>
  <c r="AC1119" i="34"/>
  <c r="AB1119" i="34"/>
  <c r="Y1119" i="34"/>
  <c r="W1119" i="34"/>
  <c r="V1119" i="34"/>
  <c r="U1119" i="34"/>
  <c r="T1119" i="34"/>
  <c r="P1119" i="34"/>
  <c r="M1119" i="34"/>
  <c r="C1119" i="34"/>
  <c r="AD1119" i="34" s="1"/>
  <c r="AC1118" i="34"/>
  <c r="AB1118" i="34"/>
  <c r="Y1118" i="34"/>
  <c r="W1118" i="34"/>
  <c r="V1118" i="34"/>
  <c r="U1118" i="34"/>
  <c r="T1118" i="34"/>
  <c r="P1118" i="34"/>
  <c r="M1118" i="34"/>
  <c r="C1118" i="34"/>
  <c r="AD1118" i="34" s="1"/>
  <c r="AC1117" i="34"/>
  <c r="AB1117" i="34"/>
  <c r="Y1117" i="34"/>
  <c r="W1117" i="34"/>
  <c r="V1117" i="34"/>
  <c r="U1117" i="34"/>
  <c r="T1117" i="34"/>
  <c r="P1117" i="34"/>
  <c r="M1117" i="34"/>
  <c r="C1117" i="34"/>
  <c r="AD1117" i="34" s="1"/>
  <c r="AC1116" i="34"/>
  <c r="AB1116" i="34"/>
  <c r="Y1116" i="34"/>
  <c r="W1116" i="34"/>
  <c r="V1116" i="34"/>
  <c r="U1116" i="34"/>
  <c r="T1116" i="34"/>
  <c r="P1116" i="34"/>
  <c r="M1116" i="34"/>
  <c r="C1116" i="34"/>
  <c r="AD1116" i="34" s="1"/>
  <c r="AC1115" i="34"/>
  <c r="AB1115" i="34"/>
  <c r="Y1115" i="34"/>
  <c r="W1115" i="34"/>
  <c r="V1115" i="34"/>
  <c r="U1115" i="34"/>
  <c r="T1115" i="34"/>
  <c r="P1115" i="34"/>
  <c r="M1115" i="34"/>
  <c r="C1115" i="34"/>
  <c r="AD1115" i="34" s="1"/>
  <c r="I1130" i="34"/>
  <c r="M1130" i="34" s="1"/>
  <c r="AC1140" i="34"/>
  <c r="AB1140" i="34"/>
  <c r="Y1140" i="34"/>
  <c r="W1140" i="34"/>
  <c r="V1140" i="34"/>
  <c r="U1140" i="34"/>
  <c r="T1140" i="34"/>
  <c r="P1140" i="34"/>
  <c r="M1140" i="34"/>
  <c r="C1140" i="34"/>
  <c r="AD1140" i="34" s="1"/>
  <c r="AC1139" i="34"/>
  <c r="AB1139" i="34"/>
  <c r="Y1139" i="34"/>
  <c r="W1139" i="34"/>
  <c r="V1139" i="34"/>
  <c r="U1139" i="34"/>
  <c r="T1139" i="34"/>
  <c r="P1139" i="34"/>
  <c r="M1139" i="34"/>
  <c r="C1139" i="34"/>
  <c r="AD1139" i="34" s="1"/>
  <c r="AC1138" i="34"/>
  <c r="AB1138" i="34"/>
  <c r="Y1138" i="34"/>
  <c r="W1138" i="34"/>
  <c r="V1138" i="34"/>
  <c r="U1138" i="34"/>
  <c r="T1138" i="34"/>
  <c r="P1138" i="34"/>
  <c r="M1138" i="34"/>
  <c r="C1138" i="34"/>
  <c r="AD1138" i="34" s="1"/>
  <c r="AC1137" i="34"/>
  <c r="AB1137" i="34"/>
  <c r="Y1137" i="34"/>
  <c r="W1137" i="34"/>
  <c r="V1137" i="34"/>
  <c r="U1137" i="34"/>
  <c r="T1137" i="34"/>
  <c r="P1137" i="34"/>
  <c r="M1137" i="34"/>
  <c r="C1137" i="34"/>
  <c r="AD1137" i="34" s="1"/>
  <c r="AC1142" i="34"/>
  <c r="AB1142" i="34"/>
  <c r="Y1142" i="34"/>
  <c r="W1142" i="34"/>
  <c r="V1142" i="34"/>
  <c r="U1142" i="34"/>
  <c r="T1142" i="34"/>
  <c r="P1142" i="34"/>
  <c r="M1142" i="34"/>
  <c r="C1142" i="34"/>
  <c r="AD1142" i="34" s="1"/>
  <c r="AC1141" i="34"/>
  <c r="AB1141" i="34"/>
  <c r="Y1141" i="34"/>
  <c r="W1141" i="34"/>
  <c r="V1141" i="34"/>
  <c r="U1141" i="34"/>
  <c r="T1141" i="34"/>
  <c r="P1141" i="34"/>
  <c r="M1141" i="34"/>
  <c r="C1141" i="34"/>
  <c r="AD1141" i="34" s="1"/>
  <c r="AC1136" i="34"/>
  <c r="AB1136" i="34"/>
  <c r="Y1136" i="34"/>
  <c r="W1136" i="34"/>
  <c r="V1136" i="34"/>
  <c r="U1136" i="34"/>
  <c r="T1136" i="34"/>
  <c r="P1136" i="34"/>
  <c r="M1136" i="34"/>
  <c r="C1136" i="34"/>
  <c r="AD1136" i="34" s="1"/>
  <c r="AC1135" i="34"/>
  <c r="AB1135" i="34"/>
  <c r="Y1135" i="34"/>
  <c r="W1135" i="34"/>
  <c r="V1135" i="34"/>
  <c r="U1135" i="34"/>
  <c r="T1135" i="34"/>
  <c r="P1135" i="34"/>
  <c r="M1135" i="34"/>
  <c r="C1135" i="34"/>
  <c r="AD1135" i="34" s="1"/>
  <c r="AC1134" i="34"/>
  <c r="AB1134" i="34"/>
  <c r="Y1134" i="34"/>
  <c r="W1134" i="34"/>
  <c r="V1134" i="34"/>
  <c r="U1134" i="34"/>
  <c r="T1134" i="34"/>
  <c r="P1134" i="34"/>
  <c r="M1134" i="34"/>
  <c r="C1134" i="34"/>
  <c r="AD1134" i="34" s="1"/>
  <c r="AC1133" i="34"/>
  <c r="AB1133" i="34"/>
  <c r="Y1133" i="34"/>
  <c r="W1133" i="34"/>
  <c r="V1133" i="34"/>
  <c r="U1133" i="34"/>
  <c r="T1133" i="34"/>
  <c r="P1133" i="34"/>
  <c r="C1133" i="34"/>
  <c r="AD1133" i="34" s="1"/>
  <c r="AC1132" i="34"/>
  <c r="AB1132" i="34"/>
  <c r="Y1132" i="34"/>
  <c r="W1132" i="34"/>
  <c r="V1132" i="34"/>
  <c r="U1132" i="34"/>
  <c r="T1132" i="34"/>
  <c r="P1132" i="34"/>
  <c r="M1132" i="34"/>
  <c r="C1132" i="34"/>
  <c r="AD1132" i="34" s="1"/>
  <c r="AC1131" i="34"/>
  <c r="AB1131" i="34"/>
  <c r="Y1131" i="34"/>
  <c r="W1131" i="34"/>
  <c r="V1131" i="34"/>
  <c r="U1131" i="34"/>
  <c r="T1131" i="34"/>
  <c r="P1131" i="34"/>
  <c r="M1131" i="34"/>
  <c r="C1131" i="34"/>
  <c r="AD1131" i="34" s="1"/>
  <c r="AC1130" i="34"/>
  <c r="AB1130" i="34"/>
  <c r="Y1130" i="34"/>
  <c r="W1130" i="34"/>
  <c r="V1130" i="34"/>
  <c r="U1130" i="34"/>
  <c r="T1130" i="34"/>
  <c r="P1130" i="34"/>
  <c r="C1130" i="34"/>
  <c r="AD1130" i="34" s="1"/>
  <c r="AC1129" i="34"/>
  <c r="AB1129" i="34"/>
  <c r="Y1129" i="34"/>
  <c r="W1129" i="34"/>
  <c r="V1129" i="34"/>
  <c r="U1129" i="34"/>
  <c r="T1129" i="34"/>
  <c r="P1129" i="34"/>
  <c r="M1129" i="34"/>
  <c r="C1129" i="34"/>
  <c r="AD1129" i="34" s="1"/>
  <c r="AC1114" i="34"/>
  <c r="AB1114" i="34"/>
  <c r="Y1114" i="34"/>
  <c r="W1114" i="34"/>
  <c r="V1114" i="34"/>
  <c r="U1114" i="34"/>
  <c r="T1114" i="34"/>
  <c r="P1114" i="34"/>
  <c r="M1114" i="34"/>
  <c r="C1114" i="34"/>
  <c r="AD1114" i="34" s="1"/>
  <c r="AC1113" i="34"/>
  <c r="AB1113" i="34"/>
  <c r="Y1113" i="34"/>
  <c r="W1113" i="34"/>
  <c r="V1113" i="34"/>
  <c r="U1113" i="34"/>
  <c r="T1113" i="34"/>
  <c r="P1113" i="34"/>
  <c r="M1113" i="34"/>
  <c r="C1113" i="34"/>
  <c r="AD1113" i="34" s="1"/>
  <c r="AC1112" i="34"/>
  <c r="AB1112" i="34"/>
  <c r="Y1112" i="34"/>
  <c r="W1112" i="34"/>
  <c r="V1112" i="34"/>
  <c r="U1112" i="34"/>
  <c r="T1112" i="34"/>
  <c r="P1112" i="34"/>
  <c r="M1112" i="34"/>
  <c r="C1112" i="34"/>
  <c r="AD1112" i="34" s="1"/>
  <c r="AC1111" i="34"/>
  <c r="AB1111" i="34"/>
  <c r="Y1111" i="34"/>
  <c r="W1111" i="34"/>
  <c r="V1111" i="34"/>
  <c r="U1111" i="34"/>
  <c r="T1111" i="34"/>
  <c r="P1111" i="34"/>
  <c r="M1111" i="34"/>
  <c r="C1111" i="34"/>
  <c r="AD1111" i="34" s="1"/>
  <c r="AC1110" i="34"/>
  <c r="AB1110" i="34"/>
  <c r="Y1110" i="34"/>
  <c r="W1110" i="34"/>
  <c r="V1110" i="34"/>
  <c r="U1110" i="34"/>
  <c r="T1110" i="34"/>
  <c r="P1110" i="34"/>
  <c r="M1110" i="34"/>
  <c r="C1110" i="34"/>
  <c r="AD1110" i="34" s="1"/>
  <c r="AC1109" i="34"/>
  <c r="AB1109" i="34"/>
  <c r="Y1109" i="34"/>
  <c r="W1109" i="34"/>
  <c r="V1109" i="34"/>
  <c r="U1109" i="34"/>
  <c r="T1109" i="34"/>
  <c r="P1109" i="34"/>
  <c r="M1109" i="34"/>
  <c r="C1109" i="34"/>
  <c r="AD1109" i="34" s="1"/>
  <c r="AC1108" i="34"/>
  <c r="AB1108" i="34"/>
  <c r="Y1108" i="34"/>
  <c r="W1108" i="34"/>
  <c r="V1108" i="34"/>
  <c r="U1108" i="34"/>
  <c r="T1108" i="34"/>
  <c r="P1108" i="34"/>
  <c r="M1108" i="34"/>
  <c r="C1108" i="34"/>
  <c r="AD1108" i="34" s="1"/>
  <c r="AC1107" i="34"/>
  <c r="AB1107" i="34"/>
  <c r="Y1107" i="34"/>
  <c r="W1107" i="34"/>
  <c r="V1107" i="34"/>
  <c r="U1107" i="34"/>
  <c r="T1107" i="34"/>
  <c r="P1107" i="34"/>
  <c r="M1107" i="34"/>
  <c r="C1107" i="34"/>
  <c r="AD1107" i="34" s="1"/>
  <c r="AC1106" i="34"/>
  <c r="AB1106" i="34"/>
  <c r="Y1106" i="34"/>
  <c r="W1106" i="34"/>
  <c r="V1106" i="34"/>
  <c r="U1106" i="34"/>
  <c r="T1106" i="34"/>
  <c r="P1106" i="34"/>
  <c r="M1106" i="34"/>
  <c r="C1106" i="34"/>
  <c r="AD1106" i="34" s="1"/>
  <c r="AC1105" i="34"/>
  <c r="AB1105" i="34"/>
  <c r="Y1105" i="34"/>
  <c r="W1105" i="34"/>
  <c r="V1105" i="34"/>
  <c r="U1105" i="34"/>
  <c r="T1105" i="34"/>
  <c r="P1105" i="34"/>
  <c r="M1105" i="34"/>
  <c r="C1105" i="34"/>
  <c r="AD1105" i="34" s="1"/>
  <c r="AC1104" i="34"/>
  <c r="AB1104" i="34"/>
  <c r="Y1104" i="34"/>
  <c r="W1104" i="34"/>
  <c r="V1104" i="34"/>
  <c r="U1104" i="34"/>
  <c r="T1104" i="34"/>
  <c r="P1104" i="34"/>
  <c r="M1104" i="34"/>
  <c r="C1104" i="34"/>
  <c r="AD1104" i="34" s="1"/>
  <c r="I1008" i="34"/>
  <c r="M1008" i="34" s="1"/>
  <c r="AC1008" i="34"/>
  <c r="AB1008" i="34"/>
  <c r="Y1008" i="34"/>
  <c r="W1008" i="34"/>
  <c r="V1008" i="34"/>
  <c r="U1008" i="34"/>
  <c r="T1008" i="34"/>
  <c r="P1008" i="34"/>
  <c r="C1008" i="34"/>
  <c r="AD1008" i="34" s="1"/>
  <c r="AC1007" i="34"/>
  <c r="AB1007" i="34"/>
  <c r="Y1007" i="34"/>
  <c r="W1007" i="34"/>
  <c r="V1007" i="34"/>
  <c r="U1007" i="34"/>
  <c r="T1007" i="34"/>
  <c r="P1007" i="34"/>
  <c r="M1007" i="34"/>
  <c r="C1007" i="34"/>
  <c r="AD1007" i="34" s="1"/>
  <c r="AC1006" i="34"/>
  <c r="AB1006" i="34"/>
  <c r="Y1006" i="34"/>
  <c r="W1006" i="34"/>
  <c r="V1006" i="34"/>
  <c r="U1006" i="34"/>
  <c r="T1006" i="34"/>
  <c r="P1006" i="34"/>
  <c r="M1006" i="34"/>
  <c r="C1006" i="34"/>
  <c r="AD1006" i="34" s="1"/>
  <c r="AC1005" i="34"/>
  <c r="AB1005" i="34"/>
  <c r="Y1005" i="34"/>
  <c r="W1005" i="34"/>
  <c r="V1005" i="34"/>
  <c r="U1005" i="34"/>
  <c r="T1005" i="34"/>
  <c r="P1005" i="34"/>
  <c r="M1005" i="34"/>
  <c r="C1005" i="34"/>
  <c r="AD1005" i="34" s="1"/>
  <c r="AC1004" i="34"/>
  <c r="AB1004" i="34"/>
  <c r="Y1004" i="34"/>
  <c r="W1004" i="34"/>
  <c r="V1004" i="34"/>
  <c r="U1004" i="34"/>
  <c r="T1004" i="34"/>
  <c r="P1004" i="34"/>
  <c r="M1004" i="34"/>
  <c r="C1004" i="34"/>
  <c r="AD1004" i="34" s="1"/>
  <c r="AC1003" i="34"/>
  <c r="AB1003" i="34"/>
  <c r="Y1003" i="34"/>
  <c r="W1003" i="34"/>
  <c r="V1003" i="34"/>
  <c r="U1003" i="34"/>
  <c r="T1003" i="34"/>
  <c r="P1003" i="34"/>
  <c r="M1003" i="34"/>
  <c r="C1003" i="34"/>
  <c r="AD1003" i="34" s="1"/>
  <c r="AC1002" i="34"/>
  <c r="AB1002" i="34"/>
  <c r="Y1002" i="34"/>
  <c r="W1002" i="34"/>
  <c r="V1002" i="34"/>
  <c r="U1002" i="34"/>
  <c r="T1002" i="34"/>
  <c r="P1002" i="34"/>
  <c r="M1002" i="34"/>
  <c r="C1002" i="34"/>
  <c r="AD1002" i="34" s="1"/>
  <c r="AC1001" i="34"/>
  <c r="AB1001" i="34"/>
  <c r="Y1001" i="34"/>
  <c r="W1001" i="34"/>
  <c r="V1001" i="34"/>
  <c r="U1001" i="34"/>
  <c r="T1001" i="34"/>
  <c r="P1001" i="34"/>
  <c r="M1001" i="34"/>
  <c r="C1001" i="34"/>
  <c r="AD1001" i="34" s="1"/>
  <c r="AC1000" i="34"/>
  <c r="AB1000" i="34"/>
  <c r="Y1000" i="34"/>
  <c r="W1000" i="34"/>
  <c r="V1000" i="34"/>
  <c r="U1000" i="34"/>
  <c r="T1000" i="34"/>
  <c r="P1000" i="34"/>
  <c r="M1000" i="34"/>
  <c r="C1000" i="34"/>
  <c r="AD1000" i="34" s="1"/>
  <c r="Q1565" i="34" l="1"/>
  <c r="A1565" i="34"/>
  <c r="Q1594" i="34"/>
  <c r="A1594" i="34"/>
  <c r="Q1567" i="34"/>
  <c r="A1567" i="34"/>
  <c r="Q1559" i="34"/>
  <c r="A1559" i="34"/>
  <c r="R1581" i="34"/>
  <c r="A1581" i="34"/>
  <c r="Q1600" i="34"/>
  <c r="A1600" i="34"/>
  <c r="S1579" i="34"/>
  <c r="A1579" i="34"/>
  <c r="Q1598" i="34"/>
  <c r="A1598" i="34"/>
  <c r="Q1561" i="34"/>
  <c r="A1561" i="34"/>
  <c r="Q1596" i="34"/>
  <c r="A1596" i="34"/>
  <c r="Q1569" i="34"/>
  <c r="A1569" i="34"/>
  <c r="Q1563" i="34"/>
  <c r="A1563" i="34"/>
  <c r="S1580" i="34"/>
  <c r="A1580" i="34"/>
  <c r="Q1602" i="34"/>
  <c r="A1602" i="34"/>
  <c r="S1582" i="34"/>
  <c r="A1582" i="34"/>
  <c r="S1598" i="34"/>
  <c r="S1563" i="34"/>
  <c r="R1598" i="34"/>
  <c r="S1734" i="34"/>
  <c r="R1734" i="34"/>
  <c r="R1732" i="34"/>
  <c r="Q1732" i="34"/>
  <c r="S1732" i="34"/>
  <c r="Q1734" i="34"/>
  <c r="Q1748" i="34"/>
  <c r="S1748" i="34"/>
  <c r="R1748" i="34"/>
  <c r="Q1739" i="34"/>
  <c r="S1739" i="34"/>
  <c r="R1739" i="34"/>
  <c r="S1747" i="34"/>
  <c r="R1747" i="34"/>
  <c r="Q1747" i="34"/>
  <c r="S1738" i="34"/>
  <c r="R1738" i="34"/>
  <c r="Q1738" i="34"/>
  <c r="Q1746" i="34"/>
  <c r="S1746" i="34"/>
  <c r="R1746" i="34"/>
  <c r="Q1737" i="34"/>
  <c r="S1737" i="34"/>
  <c r="R1737" i="34"/>
  <c r="S1745" i="34"/>
  <c r="R1745" i="34"/>
  <c r="Q1745" i="34"/>
  <c r="S1736" i="34"/>
  <c r="R1736" i="34"/>
  <c r="Q1736" i="34"/>
  <c r="Q1743" i="34"/>
  <c r="S1743" i="34"/>
  <c r="R1743" i="34"/>
  <c r="S1742" i="34"/>
  <c r="R1742" i="34"/>
  <c r="Q1742" i="34"/>
  <c r="Q1741" i="34"/>
  <c r="S1741" i="34"/>
  <c r="R1741" i="34"/>
  <c r="R1733" i="34"/>
  <c r="Q1733" i="34"/>
  <c r="S1733" i="34"/>
  <c r="S1749" i="34"/>
  <c r="R1749" i="34"/>
  <c r="Q1749" i="34"/>
  <c r="S1740" i="34"/>
  <c r="R1740" i="34"/>
  <c r="Q1740" i="34"/>
  <c r="R1600" i="34"/>
  <c r="R1561" i="34"/>
  <c r="R1594" i="34"/>
  <c r="R1579" i="34"/>
  <c r="R1582" i="34"/>
  <c r="R1567" i="34"/>
  <c r="Q1579" i="34"/>
  <c r="S1561" i="34"/>
  <c r="S1602" i="34"/>
  <c r="S1567" i="34"/>
  <c r="R1565" i="34"/>
  <c r="S1594" i="34"/>
  <c r="S1600" i="34"/>
  <c r="S1569" i="34"/>
  <c r="Q1582" i="34"/>
  <c r="R1602" i="34"/>
  <c r="R1563" i="34"/>
  <c r="B1591" i="34"/>
  <c r="Q1591" i="34" s="1"/>
  <c r="R1596" i="34"/>
  <c r="R1569" i="34"/>
  <c r="S1596" i="34"/>
  <c r="Q1580" i="34"/>
  <c r="S1565" i="34"/>
  <c r="R1559" i="34"/>
  <c r="S1559" i="34"/>
  <c r="R1580" i="34"/>
  <c r="Q1581" i="34"/>
  <c r="S1581" i="34"/>
  <c r="Q1575" i="34"/>
  <c r="S1575" i="34"/>
  <c r="R1575" i="34"/>
  <c r="Q1574" i="34"/>
  <c r="S1574" i="34"/>
  <c r="R1574" i="34"/>
  <c r="Q1583" i="34"/>
  <c r="S1583" i="34"/>
  <c r="R1583" i="34"/>
  <c r="S1584" i="34"/>
  <c r="R1584" i="34"/>
  <c r="Q1584" i="34"/>
  <c r="Q1586" i="34"/>
  <c r="S1586" i="34"/>
  <c r="R1586" i="34"/>
  <c r="Q1577" i="34"/>
  <c r="S1577" i="34"/>
  <c r="R1577" i="34"/>
  <c r="S1576" i="34"/>
  <c r="R1576" i="34"/>
  <c r="Q1576" i="34"/>
  <c r="Q1585" i="34"/>
  <c r="S1585" i="34"/>
  <c r="R1585" i="34"/>
  <c r="S1587" i="34"/>
  <c r="R1587" i="34"/>
  <c r="Q1587" i="34"/>
  <c r="S1578" i="34"/>
  <c r="R1578" i="34"/>
  <c r="Q1578" i="34"/>
  <c r="B1588" i="34"/>
  <c r="A1588" i="34" s="1"/>
  <c r="B1589" i="34"/>
  <c r="S1568" i="34"/>
  <c r="R1568" i="34"/>
  <c r="Q1568" i="34"/>
  <c r="S1564" i="34"/>
  <c r="R1564" i="34"/>
  <c r="Q1564" i="34"/>
  <c r="S1560" i="34"/>
  <c r="R1560" i="34"/>
  <c r="Q1560" i="34"/>
  <c r="S1570" i="34"/>
  <c r="R1570" i="34"/>
  <c r="Q1570" i="34"/>
  <c r="S1566" i="34"/>
  <c r="R1566" i="34"/>
  <c r="Q1566" i="34"/>
  <c r="S1562" i="34"/>
  <c r="R1562" i="34"/>
  <c r="Q1562" i="34"/>
  <c r="Q1571" i="34"/>
  <c r="S1571" i="34"/>
  <c r="R1571" i="34"/>
  <c r="Q1604" i="34"/>
  <c r="S1604" i="34"/>
  <c r="R1604" i="34"/>
  <c r="S1597" i="34"/>
  <c r="R1597" i="34"/>
  <c r="Q1597" i="34"/>
  <c r="S1603" i="34"/>
  <c r="R1603" i="34"/>
  <c r="Q1603" i="34"/>
  <c r="S1595" i="34"/>
  <c r="R1595" i="34"/>
  <c r="Q1595" i="34"/>
  <c r="S1601" i="34"/>
  <c r="R1601" i="34"/>
  <c r="Q1601" i="34"/>
  <c r="S1593" i="34"/>
  <c r="R1593" i="34"/>
  <c r="Q1593" i="34"/>
  <c r="S1599" i="34"/>
  <c r="R1599" i="34"/>
  <c r="Q1599" i="34"/>
  <c r="Q1606" i="34"/>
  <c r="R1606" i="34"/>
  <c r="S1606" i="34"/>
  <c r="S1609" i="34"/>
  <c r="R1609" i="34"/>
  <c r="Q1609" i="34"/>
  <c r="Q1610" i="34"/>
  <c r="S1610" i="34"/>
  <c r="R1610" i="34"/>
  <c r="S1607" i="34"/>
  <c r="R1607" i="34"/>
  <c r="Q1607" i="34"/>
  <c r="Q1608" i="34"/>
  <c r="S1608" i="34"/>
  <c r="R1608" i="34"/>
  <c r="S1605" i="34"/>
  <c r="R1605" i="34"/>
  <c r="Q1605" i="34"/>
  <c r="B1614" i="34"/>
  <c r="B1590" i="34"/>
  <c r="A1590" i="34" s="1"/>
  <c r="B1573" i="34"/>
  <c r="A1573" i="34" s="1"/>
  <c r="B1611" i="34"/>
  <c r="A1611" i="34" s="1"/>
  <c r="B1613" i="34"/>
  <c r="A1613" i="34" s="1"/>
  <c r="B1572" i="34"/>
  <c r="A1572" i="34" s="1"/>
  <c r="B1592" i="34"/>
  <c r="A1592" i="34" s="1"/>
  <c r="B1612" i="34"/>
  <c r="A1612" i="34" s="1"/>
  <c r="B1415" i="34"/>
  <c r="B1419" i="34"/>
  <c r="A1419" i="34" s="1"/>
  <c r="B1427" i="34"/>
  <c r="A1427" i="34" s="1"/>
  <c r="B1400" i="34"/>
  <c r="B1392" i="34"/>
  <c r="B1391" i="34"/>
  <c r="B1416" i="34"/>
  <c r="B1414" i="34"/>
  <c r="B1413" i="34"/>
  <c r="B1417" i="34"/>
  <c r="A1417" i="34" s="1"/>
  <c r="B1405" i="34"/>
  <c r="A1405" i="34" s="1"/>
  <c r="B1406" i="34"/>
  <c r="A1406" i="34" s="1"/>
  <c r="B1407" i="34"/>
  <c r="A1407" i="34" s="1"/>
  <c r="B1408" i="34"/>
  <c r="A1408" i="34" s="1"/>
  <c r="B1402" i="34"/>
  <c r="A1402" i="34" s="1"/>
  <c r="B1404" i="34"/>
  <c r="A1404" i="34" s="1"/>
  <c r="B1410" i="34"/>
  <c r="A1410" i="34" s="1"/>
  <c r="B1412" i="34"/>
  <c r="A1412" i="34" s="1"/>
  <c r="B1420" i="34"/>
  <c r="A1420" i="34" s="1"/>
  <c r="B1422" i="34"/>
  <c r="A1422" i="34" s="1"/>
  <c r="B1401" i="34"/>
  <c r="A1401" i="34" s="1"/>
  <c r="B1403" i="34"/>
  <c r="A1403" i="34" s="1"/>
  <c r="B1409" i="34"/>
  <c r="A1409" i="34" s="1"/>
  <c r="B1411" i="34"/>
  <c r="A1411" i="34" s="1"/>
  <c r="B1418" i="34"/>
  <c r="A1418" i="34" s="1"/>
  <c r="B1421" i="34"/>
  <c r="A1421" i="34" s="1"/>
  <c r="B1394" i="34"/>
  <c r="A1394" i="34" s="1"/>
  <c r="B1396" i="34"/>
  <c r="A1396" i="34" s="1"/>
  <c r="B1398" i="34"/>
  <c r="A1398" i="34" s="1"/>
  <c r="B1393" i="34"/>
  <c r="A1393" i="34" s="1"/>
  <c r="B1395" i="34"/>
  <c r="A1395" i="34" s="1"/>
  <c r="B1397" i="34"/>
  <c r="A1397" i="34" s="1"/>
  <c r="B1399" i="34"/>
  <c r="A1399" i="34" s="1"/>
  <c r="B1387" i="34"/>
  <c r="B1423" i="34"/>
  <c r="B1425" i="34"/>
  <c r="B1426" i="34"/>
  <c r="B1424" i="34"/>
  <c r="B1389" i="34"/>
  <c r="B1386" i="34"/>
  <c r="A1386" i="34" s="1"/>
  <c r="B1388" i="34"/>
  <c r="A1388" i="34" s="1"/>
  <c r="B1390" i="34"/>
  <c r="A1390" i="34" s="1"/>
  <c r="B1428" i="34"/>
  <c r="A1428" i="34" s="1"/>
  <c r="B1252" i="34"/>
  <c r="B1254" i="34"/>
  <c r="B1251" i="34"/>
  <c r="B1261" i="34"/>
  <c r="B1250" i="34"/>
  <c r="B1253" i="34"/>
  <c r="B1255" i="34"/>
  <c r="A1255" i="34" s="1"/>
  <c r="B1256" i="34"/>
  <c r="A1256" i="34" s="1"/>
  <c r="B1257" i="34"/>
  <c r="A1257" i="34" s="1"/>
  <c r="B1259" i="34"/>
  <c r="A1259" i="34" s="1"/>
  <c r="B1258" i="34"/>
  <c r="A1258" i="34" s="1"/>
  <c r="B1260" i="34"/>
  <c r="A1260" i="34" s="1"/>
  <c r="B1236" i="34"/>
  <c r="B1247" i="34"/>
  <c r="A1247" i="34" s="1"/>
  <c r="B1234" i="34"/>
  <c r="B1241" i="34"/>
  <c r="A1241" i="34" s="1"/>
  <c r="B1243" i="34"/>
  <c r="A1243" i="34" s="1"/>
  <c r="B1240" i="34"/>
  <c r="A1240" i="34" s="1"/>
  <c r="B1242" i="34"/>
  <c r="A1242" i="34" s="1"/>
  <c r="B1244" i="34"/>
  <c r="A1244" i="34" s="1"/>
  <c r="S1236" i="34"/>
  <c r="B1246" i="34"/>
  <c r="B1237" i="34"/>
  <c r="B1235" i="34"/>
  <c r="B1238" i="34"/>
  <c r="A1238" i="34" s="1"/>
  <c r="B1239" i="34"/>
  <c r="A1239" i="34" s="1"/>
  <c r="B1245" i="34"/>
  <c r="A1245" i="34" s="1"/>
  <c r="B1248" i="34"/>
  <c r="A1248" i="34" s="1"/>
  <c r="B1227" i="34"/>
  <c r="A1227" i="34" s="1"/>
  <c r="B1229" i="34"/>
  <c r="A1229" i="34" s="1"/>
  <c r="B1231" i="34"/>
  <c r="A1231" i="34" s="1"/>
  <c r="B1233" i="34"/>
  <c r="A1233" i="34" s="1"/>
  <c r="B1262" i="34"/>
  <c r="A1262" i="34" s="1"/>
  <c r="B1264" i="34"/>
  <c r="A1264" i="34" s="1"/>
  <c r="B1266" i="34"/>
  <c r="A1266" i="34" s="1"/>
  <c r="B1228" i="34"/>
  <c r="A1228" i="34" s="1"/>
  <c r="B1230" i="34"/>
  <c r="A1230" i="34" s="1"/>
  <c r="B1232" i="34"/>
  <c r="A1232" i="34" s="1"/>
  <c r="B1249" i="34"/>
  <c r="A1249" i="34" s="1"/>
  <c r="B1263" i="34"/>
  <c r="A1263" i="34" s="1"/>
  <c r="B1265" i="34"/>
  <c r="A1265" i="34" s="1"/>
  <c r="B1136" i="34"/>
  <c r="B1123" i="34"/>
  <c r="A1123" i="34" s="1"/>
  <c r="B1124" i="34"/>
  <c r="A1124" i="34" s="1"/>
  <c r="B1125" i="34"/>
  <c r="A1125" i="34" s="1"/>
  <c r="B1116" i="34"/>
  <c r="A1116" i="34" s="1"/>
  <c r="B1118" i="34"/>
  <c r="A1118" i="34" s="1"/>
  <c r="B1120" i="34"/>
  <c r="A1120" i="34" s="1"/>
  <c r="B1122" i="34"/>
  <c r="A1122" i="34" s="1"/>
  <c r="B1127" i="34"/>
  <c r="A1127" i="34" s="1"/>
  <c r="B1115" i="34"/>
  <c r="A1115" i="34" s="1"/>
  <c r="B1117" i="34"/>
  <c r="A1117" i="34" s="1"/>
  <c r="B1119" i="34"/>
  <c r="A1119" i="34" s="1"/>
  <c r="B1121" i="34"/>
  <c r="A1121" i="34" s="1"/>
  <c r="B1126" i="34"/>
  <c r="A1126" i="34" s="1"/>
  <c r="B1128" i="34"/>
  <c r="A1128" i="34" s="1"/>
  <c r="B1110" i="34"/>
  <c r="B1132" i="34"/>
  <c r="B1106" i="34"/>
  <c r="B1114" i="34"/>
  <c r="B1137" i="34"/>
  <c r="A1137" i="34" s="1"/>
  <c r="B1139" i="34"/>
  <c r="A1139" i="34" s="1"/>
  <c r="B1138" i="34"/>
  <c r="A1138" i="34" s="1"/>
  <c r="B1140" i="34"/>
  <c r="A1140" i="34" s="1"/>
  <c r="B1141" i="34"/>
  <c r="A1141" i="34" s="1"/>
  <c r="B1142" i="34"/>
  <c r="A1142" i="34" s="1"/>
  <c r="B1104" i="34"/>
  <c r="B1112" i="34"/>
  <c r="B1134" i="34"/>
  <c r="B1108" i="34"/>
  <c r="B1130" i="34"/>
  <c r="B1105" i="34"/>
  <c r="A1105" i="34" s="1"/>
  <c r="B1107" i="34"/>
  <c r="A1107" i="34" s="1"/>
  <c r="B1109" i="34"/>
  <c r="A1109" i="34" s="1"/>
  <c r="B1111" i="34"/>
  <c r="A1111" i="34" s="1"/>
  <c r="B1113" i="34"/>
  <c r="A1113" i="34" s="1"/>
  <c r="B1129" i="34"/>
  <c r="A1129" i="34" s="1"/>
  <c r="B1131" i="34"/>
  <c r="A1131" i="34" s="1"/>
  <c r="B1133" i="34"/>
  <c r="A1133" i="34" s="1"/>
  <c r="B1135" i="34"/>
  <c r="A1135" i="34" s="1"/>
  <c r="B1001" i="34"/>
  <c r="A1001" i="34" s="1"/>
  <c r="B1003" i="34"/>
  <c r="A1003" i="34" s="1"/>
  <c r="B1005" i="34"/>
  <c r="A1005" i="34" s="1"/>
  <c r="B1007" i="34"/>
  <c r="A1007" i="34" s="1"/>
  <c r="B1000" i="34"/>
  <c r="A1000" i="34" s="1"/>
  <c r="B1002" i="34"/>
  <c r="A1002" i="34" s="1"/>
  <c r="B1004" i="34"/>
  <c r="A1004" i="34" s="1"/>
  <c r="B1006" i="34"/>
  <c r="A1006" i="34" s="1"/>
  <c r="B1008" i="34"/>
  <c r="A1008" i="34" s="1"/>
  <c r="D79" i="12"/>
  <c r="C79" i="12"/>
  <c r="AC1009" i="34"/>
  <c r="AB1009" i="34"/>
  <c r="Y1009" i="34"/>
  <c r="W1009" i="34"/>
  <c r="V1009" i="34"/>
  <c r="U1009" i="34"/>
  <c r="T1009" i="34"/>
  <c r="P1009" i="34"/>
  <c r="M1009" i="34"/>
  <c r="C1009" i="34"/>
  <c r="AD1009" i="34" s="1"/>
  <c r="AC999" i="34"/>
  <c r="AB999" i="34"/>
  <c r="Y999" i="34"/>
  <c r="W999" i="34"/>
  <c r="V999" i="34"/>
  <c r="U999" i="34"/>
  <c r="T999" i="34"/>
  <c r="P999" i="34"/>
  <c r="M999" i="34"/>
  <c r="C999" i="34"/>
  <c r="AD999" i="34" s="1"/>
  <c r="AC998" i="34"/>
  <c r="AB998" i="34"/>
  <c r="Y998" i="34"/>
  <c r="W998" i="34"/>
  <c r="V998" i="34"/>
  <c r="U998" i="34"/>
  <c r="T998" i="34"/>
  <c r="P998" i="34"/>
  <c r="M998" i="34"/>
  <c r="C998" i="34"/>
  <c r="AD998" i="34" s="1"/>
  <c r="AC997" i="34"/>
  <c r="AB997" i="34"/>
  <c r="Y997" i="34"/>
  <c r="W997" i="34"/>
  <c r="V997" i="34"/>
  <c r="U997" i="34"/>
  <c r="T997" i="34"/>
  <c r="P997" i="34"/>
  <c r="M997" i="34"/>
  <c r="C997" i="34"/>
  <c r="AD997" i="34" s="1"/>
  <c r="AC996" i="34"/>
  <c r="AB996" i="34"/>
  <c r="Y996" i="34"/>
  <c r="W996" i="34"/>
  <c r="V996" i="34"/>
  <c r="U996" i="34"/>
  <c r="T996" i="34"/>
  <c r="P996" i="34"/>
  <c r="M996" i="34"/>
  <c r="C996" i="34"/>
  <c r="AD996" i="34" s="1"/>
  <c r="AC995" i="34"/>
  <c r="AB995" i="34"/>
  <c r="Y995" i="34"/>
  <c r="W995" i="34"/>
  <c r="V995" i="34"/>
  <c r="U995" i="34"/>
  <c r="T995" i="34"/>
  <c r="P995" i="34"/>
  <c r="M995" i="34"/>
  <c r="C995" i="34"/>
  <c r="AD995" i="34" s="1"/>
  <c r="AC994" i="34"/>
  <c r="AB994" i="34"/>
  <c r="Y994" i="34"/>
  <c r="W994" i="34"/>
  <c r="V994" i="34"/>
  <c r="U994" i="34"/>
  <c r="T994" i="34"/>
  <c r="P994" i="34"/>
  <c r="M994" i="34"/>
  <c r="C994" i="34"/>
  <c r="AD994" i="34" s="1"/>
  <c r="AC993" i="34"/>
  <c r="AB993" i="34"/>
  <c r="Y993" i="34"/>
  <c r="W993" i="34"/>
  <c r="V993" i="34"/>
  <c r="U993" i="34"/>
  <c r="T993" i="34"/>
  <c r="P993" i="34"/>
  <c r="M993" i="34"/>
  <c r="C993" i="34"/>
  <c r="AD993" i="34" s="1"/>
  <c r="AC992" i="34"/>
  <c r="AB992" i="34"/>
  <c r="Y992" i="34"/>
  <c r="W992" i="34"/>
  <c r="V992" i="34"/>
  <c r="U992" i="34"/>
  <c r="T992" i="34"/>
  <c r="P992" i="34"/>
  <c r="M992" i="34"/>
  <c r="C992" i="34"/>
  <c r="AD992" i="34" s="1"/>
  <c r="AC991" i="34"/>
  <c r="AB991" i="34"/>
  <c r="Y991" i="34"/>
  <c r="W991" i="34"/>
  <c r="V991" i="34"/>
  <c r="U991" i="34"/>
  <c r="T991" i="34"/>
  <c r="P991" i="34"/>
  <c r="M991" i="34"/>
  <c r="C991" i="34"/>
  <c r="AD991" i="34" s="1"/>
  <c r="AC990" i="34"/>
  <c r="AB990" i="34"/>
  <c r="Y990" i="34"/>
  <c r="W990" i="34"/>
  <c r="V990" i="34"/>
  <c r="U990" i="34"/>
  <c r="T990" i="34"/>
  <c r="P990" i="34"/>
  <c r="M990" i="34"/>
  <c r="C990" i="34"/>
  <c r="AD990" i="34" s="1"/>
  <c r="AC989" i="34"/>
  <c r="AB989" i="34"/>
  <c r="Y989" i="34"/>
  <c r="W989" i="34"/>
  <c r="V989" i="34"/>
  <c r="U989" i="34"/>
  <c r="T989" i="34"/>
  <c r="P989" i="34"/>
  <c r="M989" i="34"/>
  <c r="C989" i="34"/>
  <c r="AD989" i="34" s="1"/>
  <c r="I948" i="34"/>
  <c r="AC957" i="34"/>
  <c r="AB957" i="34"/>
  <c r="Y957" i="34"/>
  <c r="W957" i="34"/>
  <c r="V957" i="34"/>
  <c r="U957" i="34"/>
  <c r="T957" i="34"/>
  <c r="P957" i="34"/>
  <c r="M957" i="34"/>
  <c r="C957" i="34"/>
  <c r="AD957" i="34" s="1"/>
  <c r="AC956" i="34"/>
  <c r="AB956" i="34"/>
  <c r="Y956" i="34"/>
  <c r="W956" i="34"/>
  <c r="V956" i="34"/>
  <c r="U956" i="34"/>
  <c r="T956" i="34"/>
  <c r="P956" i="34"/>
  <c r="M956" i="34"/>
  <c r="C956" i="34"/>
  <c r="AD956" i="34" s="1"/>
  <c r="AC959" i="34"/>
  <c r="AB959" i="34"/>
  <c r="Y959" i="34"/>
  <c r="W959" i="34"/>
  <c r="V959" i="34"/>
  <c r="U959" i="34"/>
  <c r="T959" i="34"/>
  <c r="P959" i="34"/>
  <c r="M959" i="34"/>
  <c r="C959" i="34"/>
  <c r="AD959" i="34" s="1"/>
  <c r="AC958" i="34"/>
  <c r="AB958" i="34"/>
  <c r="Y958" i="34"/>
  <c r="W958" i="34"/>
  <c r="V958" i="34"/>
  <c r="U958" i="34"/>
  <c r="T958" i="34"/>
  <c r="P958" i="34"/>
  <c r="M958" i="34"/>
  <c r="C958" i="34"/>
  <c r="AD958" i="34" s="1"/>
  <c r="AC944" i="34"/>
  <c r="AB944" i="34"/>
  <c r="Y944" i="34"/>
  <c r="W944" i="34"/>
  <c r="V944" i="34"/>
  <c r="U944" i="34"/>
  <c r="T944" i="34"/>
  <c r="P944" i="34"/>
  <c r="M944" i="34"/>
  <c r="C944" i="34"/>
  <c r="AD944" i="34" s="1"/>
  <c r="AC943" i="34"/>
  <c r="AB943" i="34"/>
  <c r="Y943" i="34"/>
  <c r="W943" i="34"/>
  <c r="V943" i="34"/>
  <c r="U943" i="34"/>
  <c r="T943" i="34"/>
  <c r="P943" i="34"/>
  <c r="M943" i="34"/>
  <c r="C943" i="34"/>
  <c r="AD943" i="34" s="1"/>
  <c r="AC946" i="34"/>
  <c r="AB946" i="34"/>
  <c r="Y946" i="34"/>
  <c r="W946" i="34"/>
  <c r="V946" i="34"/>
  <c r="U946" i="34"/>
  <c r="T946" i="34"/>
  <c r="P946" i="34"/>
  <c r="M946" i="34"/>
  <c r="C946" i="34"/>
  <c r="AD946" i="34" s="1"/>
  <c r="AC945" i="34"/>
  <c r="AB945" i="34"/>
  <c r="Y945" i="34"/>
  <c r="W945" i="34"/>
  <c r="V945" i="34"/>
  <c r="U945" i="34"/>
  <c r="T945" i="34"/>
  <c r="P945" i="34"/>
  <c r="M945" i="34"/>
  <c r="C945" i="34"/>
  <c r="AD945" i="34" s="1"/>
  <c r="AC947" i="34"/>
  <c r="AB947" i="34"/>
  <c r="Y947" i="34"/>
  <c r="W947" i="34"/>
  <c r="V947" i="34"/>
  <c r="U947" i="34"/>
  <c r="T947" i="34"/>
  <c r="P947" i="34"/>
  <c r="M947" i="34"/>
  <c r="C947" i="34"/>
  <c r="AD947" i="34" s="1"/>
  <c r="I942" i="34"/>
  <c r="AC938" i="34"/>
  <c r="AB938" i="34"/>
  <c r="Y938" i="34"/>
  <c r="W938" i="34"/>
  <c r="V938" i="34"/>
  <c r="U938" i="34"/>
  <c r="T938" i="34"/>
  <c r="P938" i="34"/>
  <c r="M938" i="34"/>
  <c r="C938" i="34"/>
  <c r="AD938" i="34" s="1"/>
  <c r="AC937" i="34"/>
  <c r="AB937" i="34"/>
  <c r="Y937" i="34"/>
  <c r="W937" i="34"/>
  <c r="V937" i="34"/>
  <c r="U937" i="34"/>
  <c r="T937" i="34"/>
  <c r="P937" i="34"/>
  <c r="M937" i="34"/>
  <c r="C937" i="34"/>
  <c r="AD937" i="34" s="1"/>
  <c r="AC936" i="34"/>
  <c r="AB936" i="34"/>
  <c r="Y936" i="34"/>
  <c r="W936" i="34"/>
  <c r="V936" i="34"/>
  <c r="U936" i="34"/>
  <c r="T936" i="34"/>
  <c r="P936" i="34"/>
  <c r="M936" i="34"/>
  <c r="C936" i="34"/>
  <c r="AD936" i="34" s="1"/>
  <c r="AC935" i="34"/>
  <c r="AB935" i="34"/>
  <c r="Y935" i="34"/>
  <c r="W935" i="34"/>
  <c r="V935" i="34"/>
  <c r="U935" i="34"/>
  <c r="T935" i="34"/>
  <c r="P935" i="34"/>
  <c r="M935" i="34"/>
  <c r="C935" i="34"/>
  <c r="AD935" i="34" s="1"/>
  <c r="AC934" i="34"/>
  <c r="AB934" i="34"/>
  <c r="Y934" i="34"/>
  <c r="W934" i="34"/>
  <c r="V934" i="34"/>
  <c r="U934" i="34"/>
  <c r="T934" i="34"/>
  <c r="P934" i="34"/>
  <c r="M934" i="34"/>
  <c r="C934" i="34"/>
  <c r="AD934" i="34" s="1"/>
  <c r="AC949" i="34"/>
  <c r="AB949" i="34"/>
  <c r="Y949" i="34"/>
  <c r="W949" i="34"/>
  <c r="V949" i="34"/>
  <c r="U949" i="34"/>
  <c r="T949" i="34"/>
  <c r="P949" i="34"/>
  <c r="M949" i="34"/>
  <c r="C949" i="34"/>
  <c r="AD949" i="34" s="1"/>
  <c r="AC942" i="34"/>
  <c r="AB942" i="34"/>
  <c r="Y942" i="34"/>
  <c r="W942" i="34"/>
  <c r="V942" i="34"/>
  <c r="U942" i="34"/>
  <c r="T942" i="34"/>
  <c r="P942" i="34"/>
  <c r="M942" i="34"/>
  <c r="C942" i="34"/>
  <c r="AD942" i="34" s="1"/>
  <c r="AC941" i="34"/>
  <c r="AB941" i="34"/>
  <c r="Y941" i="34"/>
  <c r="W941" i="34"/>
  <c r="V941" i="34"/>
  <c r="U941" i="34"/>
  <c r="T941" i="34"/>
  <c r="P941" i="34"/>
  <c r="M941" i="34"/>
  <c r="C941" i="34"/>
  <c r="AD941" i="34" s="1"/>
  <c r="AC940" i="34"/>
  <c r="AB940" i="34"/>
  <c r="Y940" i="34"/>
  <c r="W940" i="34"/>
  <c r="V940" i="34"/>
  <c r="U940" i="34"/>
  <c r="T940" i="34"/>
  <c r="P940" i="34"/>
  <c r="M940" i="34"/>
  <c r="C940" i="34"/>
  <c r="AD940" i="34" s="1"/>
  <c r="AC939" i="34"/>
  <c r="AB939" i="34"/>
  <c r="Y939" i="34"/>
  <c r="W939" i="34"/>
  <c r="V939" i="34"/>
  <c r="U939" i="34"/>
  <c r="T939" i="34"/>
  <c r="P939" i="34"/>
  <c r="M939" i="34"/>
  <c r="C939" i="34"/>
  <c r="AD939" i="34" s="1"/>
  <c r="I954" i="34"/>
  <c r="I933" i="34"/>
  <c r="Q1130" i="34" l="1"/>
  <c r="A1130" i="34"/>
  <c r="S1104" i="34"/>
  <c r="A1104" i="34"/>
  <c r="R1106" i="34"/>
  <c r="A1106" i="34"/>
  <c r="S1237" i="34"/>
  <c r="A1237" i="34"/>
  <c r="Q1234" i="34"/>
  <c r="A1234" i="34"/>
  <c r="R1251" i="34"/>
  <c r="A1251" i="34"/>
  <c r="S1424" i="34"/>
  <c r="A1424" i="34"/>
  <c r="Q1387" i="34"/>
  <c r="A1387" i="34"/>
  <c r="Q1391" i="34"/>
  <c r="A1391" i="34"/>
  <c r="Q1108" i="34"/>
  <c r="A1108" i="34"/>
  <c r="R1132" i="34"/>
  <c r="A1132" i="34"/>
  <c r="R1136" i="34"/>
  <c r="A1136" i="34"/>
  <c r="R1246" i="34"/>
  <c r="A1246" i="34"/>
  <c r="R1253" i="34"/>
  <c r="A1253" i="34"/>
  <c r="Q1254" i="34"/>
  <c r="A1254" i="34"/>
  <c r="S1426" i="34"/>
  <c r="A1426" i="34"/>
  <c r="R1413" i="34"/>
  <c r="A1413" i="34"/>
  <c r="S1392" i="34"/>
  <c r="A1392" i="34"/>
  <c r="Q1415" i="34"/>
  <c r="A1415" i="34"/>
  <c r="S1591" i="34"/>
  <c r="A1591" i="34"/>
  <c r="S1136" i="34"/>
  <c r="S1134" i="34"/>
  <c r="A1134" i="34"/>
  <c r="R1110" i="34"/>
  <c r="A1110" i="34"/>
  <c r="Q1236" i="34"/>
  <c r="A1236" i="34"/>
  <c r="S1250" i="34"/>
  <c r="A1250" i="34"/>
  <c r="S1252" i="34"/>
  <c r="A1252" i="34"/>
  <c r="R1425" i="34"/>
  <c r="A1425" i="34"/>
  <c r="S1414" i="34"/>
  <c r="A1414" i="34"/>
  <c r="S1400" i="34"/>
  <c r="A1400" i="34"/>
  <c r="R1614" i="34"/>
  <c r="A1614" i="34"/>
  <c r="S1112" i="34"/>
  <c r="A1112" i="34"/>
  <c r="R1114" i="34"/>
  <c r="A1114" i="34"/>
  <c r="S1235" i="34"/>
  <c r="A1235" i="34"/>
  <c r="S1261" i="34"/>
  <c r="A1261" i="34"/>
  <c r="S1389" i="34"/>
  <c r="A1389" i="34"/>
  <c r="Q1423" i="34"/>
  <c r="A1423" i="34"/>
  <c r="S1416" i="34"/>
  <c r="A1416" i="34"/>
  <c r="R1589" i="34"/>
  <c r="A1589" i="34"/>
  <c r="R1591" i="34"/>
  <c r="Q1589" i="34"/>
  <c r="S1589" i="34"/>
  <c r="S1588" i="34"/>
  <c r="R1588" i="34"/>
  <c r="Q1588" i="34"/>
  <c r="S1590" i="34"/>
  <c r="R1415" i="34"/>
  <c r="Q1392" i="34"/>
  <c r="S1391" i="34"/>
  <c r="R1590" i="34"/>
  <c r="Q1426" i="34"/>
  <c r="R1391" i="34"/>
  <c r="Q1590" i="34"/>
  <c r="S1614" i="34"/>
  <c r="Q1614" i="34"/>
  <c r="Q1612" i="34"/>
  <c r="S1612" i="34"/>
  <c r="R1612" i="34"/>
  <c r="S1611" i="34"/>
  <c r="R1611" i="34"/>
  <c r="Q1611" i="34"/>
  <c r="Q1572" i="34"/>
  <c r="S1572" i="34"/>
  <c r="R1572" i="34"/>
  <c r="R1573" i="34"/>
  <c r="Q1573" i="34"/>
  <c r="S1573" i="34"/>
  <c r="Q1592" i="34"/>
  <c r="S1592" i="34"/>
  <c r="R1592" i="34"/>
  <c r="S1613" i="34"/>
  <c r="R1613" i="34"/>
  <c r="Q1613" i="34"/>
  <c r="R1261" i="34"/>
  <c r="S1415" i="34"/>
  <c r="S1425" i="34"/>
  <c r="R1416" i="34"/>
  <c r="Q1419" i="34"/>
  <c r="S1419" i="34"/>
  <c r="R1419" i="34"/>
  <c r="R1423" i="34"/>
  <c r="Q1427" i="34"/>
  <c r="S1427" i="34"/>
  <c r="R1427" i="34"/>
  <c r="R1392" i="34"/>
  <c r="R1426" i="34"/>
  <c r="Q1400" i="34"/>
  <c r="R1400" i="34"/>
  <c r="Q1389" i="34"/>
  <c r="Q1414" i="34"/>
  <c r="Q1416" i="34"/>
  <c r="R1414" i="34"/>
  <c r="Q1413" i="34"/>
  <c r="S1413" i="34"/>
  <c r="Q1417" i="34"/>
  <c r="S1417" i="34"/>
  <c r="R1417" i="34"/>
  <c r="Q1406" i="34"/>
  <c r="S1406" i="34"/>
  <c r="R1406" i="34"/>
  <c r="S1405" i="34"/>
  <c r="R1405" i="34"/>
  <c r="Q1405" i="34"/>
  <c r="Q1408" i="34"/>
  <c r="S1408" i="34"/>
  <c r="R1408" i="34"/>
  <c r="S1407" i="34"/>
  <c r="R1407" i="34"/>
  <c r="Q1407" i="34"/>
  <c r="Q1409" i="34"/>
  <c r="S1409" i="34"/>
  <c r="R1409" i="34"/>
  <c r="S1422" i="34"/>
  <c r="R1422" i="34"/>
  <c r="Q1422" i="34"/>
  <c r="S1404" i="34"/>
  <c r="R1404" i="34"/>
  <c r="Q1404" i="34"/>
  <c r="Q1421" i="34"/>
  <c r="S1421" i="34"/>
  <c r="R1421" i="34"/>
  <c r="Q1403" i="34"/>
  <c r="S1403" i="34"/>
  <c r="R1403" i="34"/>
  <c r="S1420" i="34"/>
  <c r="R1420" i="34"/>
  <c r="Q1420" i="34"/>
  <c r="S1402" i="34"/>
  <c r="R1402" i="34"/>
  <c r="Q1402" i="34"/>
  <c r="Q1418" i="34"/>
  <c r="S1418" i="34"/>
  <c r="R1418" i="34"/>
  <c r="Q1401" i="34"/>
  <c r="S1401" i="34"/>
  <c r="R1401" i="34"/>
  <c r="S1412" i="34"/>
  <c r="R1412" i="34"/>
  <c r="Q1412" i="34"/>
  <c r="Q1411" i="34"/>
  <c r="S1411" i="34"/>
  <c r="R1411" i="34"/>
  <c r="S1410" i="34"/>
  <c r="R1410" i="34"/>
  <c r="Q1410" i="34"/>
  <c r="Q1393" i="34"/>
  <c r="S1393" i="34"/>
  <c r="R1393" i="34"/>
  <c r="Q1399" i="34"/>
  <c r="S1399" i="34"/>
  <c r="R1399" i="34"/>
  <c r="S1398" i="34"/>
  <c r="R1398" i="34"/>
  <c r="Q1398" i="34"/>
  <c r="Q1397" i="34"/>
  <c r="S1397" i="34"/>
  <c r="R1397" i="34"/>
  <c r="S1396" i="34"/>
  <c r="R1396" i="34"/>
  <c r="Q1396" i="34"/>
  <c r="Q1395" i="34"/>
  <c r="S1395" i="34"/>
  <c r="R1395" i="34"/>
  <c r="S1394" i="34"/>
  <c r="R1394" i="34"/>
  <c r="Q1394" i="34"/>
  <c r="S1387" i="34"/>
  <c r="S1423" i="34"/>
  <c r="Q1425" i="34"/>
  <c r="R1387" i="34"/>
  <c r="R1424" i="34"/>
  <c r="Q1424" i="34"/>
  <c r="R1389" i="34"/>
  <c r="Q1428" i="34"/>
  <c r="S1428" i="34"/>
  <c r="R1428" i="34"/>
  <c r="S1388" i="34"/>
  <c r="R1388" i="34"/>
  <c r="Q1388" i="34"/>
  <c r="S1390" i="34"/>
  <c r="R1390" i="34"/>
  <c r="Q1390" i="34"/>
  <c r="S1386" i="34"/>
  <c r="R1386" i="34"/>
  <c r="Q1386" i="34"/>
  <c r="R1254" i="34"/>
  <c r="S1254" i="34"/>
  <c r="R1252" i="34"/>
  <c r="Q1252" i="34"/>
  <c r="Q1235" i="34"/>
  <c r="Q1261" i="34"/>
  <c r="Q1246" i="34"/>
  <c r="Q1250" i="34"/>
  <c r="R1250" i="34"/>
  <c r="R1235" i="34"/>
  <c r="Q1253" i="34"/>
  <c r="S1253" i="34"/>
  <c r="Q1251" i="34"/>
  <c r="S1251" i="34"/>
  <c r="Q1256" i="34"/>
  <c r="S1256" i="34"/>
  <c r="R1256" i="34"/>
  <c r="S1255" i="34"/>
  <c r="R1255" i="34"/>
  <c r="Q1255" i="34"/>
  <c r="R1236" i="34"/>
  <c r="Q1260" i="34"/>
  <c r="S1260" i="34"/>
  <c r="R1260" i="34"/>
  <c r="Q1258" i="34"/>
  <c r="S1258" i="34"/>
  <c r="R1258" i="34"/>
  <c r="S1259" i="34"/>
  <c r="R1259" i="34"/>
  <c r="Q1259" i="34"/>
  <c r="S1257" i="34"/>
  <c r="R1257" i="34"/>
  <c r="Q1257" i="34"/>
  <c r="R1237" i="34"/>
  <c r="Q1247" i="34"/>
  <c r="S1247" i="34"/>
  <c r="R1247" i="34"/>
  <c r="Q1237" i="34"/>
  <c r="Q1240" i="34"/>
  <c r="S1240" i="34"/>
  <c r="R1240" i="34"/>
  <c r="R1234" i="34"/>
  <c r="S1234" i="34"/>
  <c r="S1243" i="34"/>
  <c r="R1243" i="34"/>
  <c r="Q1243" i="34"/>
  <c r="Q1244" i="34"/>
  <c r="S1244" i="34"/>
  <c r="R1244" i="34"/>
  <c r="S1241" i="34"/>
  <c r="R1241" i="34"/>
  <c r="Q1241" i="34"/>
  <c r="Q1242" i="34"/>
  <c r="S1242" i="34"/>
  <c r="R1242" i="34"/>
  <c r="S1246" i="34"/>
  <c r="Q1238" i="34"/>
  <c r="S1238" i="34"/>
  <c r="R1238" i="34"/>
  <c r="Q1239" i="34"/>
  <c r="S1239" i="34"/>
  <c r="R1239" i="34"/>
  <c r="Q1136" i="34"/>
  <c r="Q1265" i="34"/>
  <c r="S1265" i="34"/>
  <c r="R1265" i="34"/>
  <c r="Q1232" i="34"/>
  <c r="S1232" i="34"/>
  <c r="R1232" i="34"/>
  <c r="S1266" i="34"/>
  <c r="R1266" i="34"/>
  <c r="Q1266" i="34"/>
  <c r="S1227" i="34"/>
  <c r="R1227" i="34"/>
  <c r="Q1227" i="34"/>
  <c r="Q1263" i="34"/>
  <c r="S1263" i="34"/>
  <c r="R1263" i="34"/>
  <c r="Q1230" i="34"/>
  <c r="S1230" i="34"/>
  <c r="R1230" i="34"/>
  <c r="S1264" i="34"/>
  <c r="R1264" i="34"/>
  <c r="Q1264" i="34"/>
  <c r="R1233" i="34"/>
  <c r="Q1233" i="34"/>
  <c r="S1233" i="34"/>
  <c r="S1248" i="34"/>
  <c r="R1248" i="34"/>
  <c r="Q1248" i="34"/>
  <c r="Q1228" i="34"/>
  <c r="S1228" i="34"/>
  <c r="R1228" i="34"/>
  <c r="S1262" i="34"/>
  <c r="R1262" i="34"/>
  <c r="Q1262" i="34"/>
  <c r="S1231" i="34"/>
  <c r="R1231" i="34"/>
  <c r="Q1231" i="34"/>
  <c r="Q1249" i="34"/>
  <c r="S1249" i="34"/>
  <c r="R1249" i="34"/>
  <c r="S1229" i="34"/>
  <c r="R1229" i="34"/>
  <c r="Q1229" i="34"/>
  <c r="S1245" i="34"/>
  <c r="R1245" i="34"/>
  <c r="Q1245" i="34"/>
  <c r="S1114" i="34"/>
  <c r="Q1110" i="34"/>
  <c r="S1108" i="34"/>
  <c r="Q1123" i="34"/>
  <c r="S1123" i="34"/>
  <c r="R1123" i="34"/>
  <c r="Q1125" i="34"/>
  <c r="S1125" i="34"/>
  <c r="R1125" i="34"/>
  <c r="S1124" i="34"/>
  <c r="R1124" i="34"/>
  <c r="Q1124" i="34"/>
  <c r="Q1119" i="34"/>
  <c r="S1119" i="34"/>
  <c r="R1119" i="34"/>
  <c r="S1122" i="34"/>
  <c r="R1122" i="34"/>
  <c r="Q1122" i="34"/>
  <c r="Q1128" i="34"/>
  <c r="S1128" i="34"/>
  <c r="R1128" i="34"/>
  <c r="Q1117" i="34"/>
  <c r="S1117" i="34"/>
  <c r="R1117" i="34"/>
  <c r="S1120" i="34"/>
  <c r="R1120" i="34"/>
  <c r="Q1120" i="34"/>
  <c r="Q1126" i="34"/>
  <c r="S1126" i="34"/>
  <c r="R1126" i="34"/>
  <c r="Q1115" i="34"/>
  <c r="S1115" i="34"/>
  <c r="R1115" i="34"/>
  <c r="S1118" i="34"/>
  <c r="R1118" i="34"/>
  <c r="Q1118" i="34"/>
  <c r="Q1121" i="34"/>
  <c r="S1121" i="34"/>
  <c r="R1121" i="34"/>
  <c r="S1127" i="34"/>
  <c r="R1127" i="34"/>
  <c r="Q1127" i="34"/>
  <c r="S1116" i="34"/>
  <c r="R1116" i="34"/>
  <c r="Q1116" i="34"/>
  <c r="Q1106" i="34"/>
  <c r="Q1134" i="34"/>
  <c r="S1110" i="34"/>
  <c r="S1106" i="34"/>
  <c r="Q1132" i="34"/>
  <c r="S1132" i="34"/>
  <c r="Q1112" i="34"/>
  <c r="Q1114" i="34"/>
  <c r="Q1104" i="34"/>
  <c r="S1130" i="34"/>
  <c r="Q1140" i="34"/>
  <c r="S1140" i="34"/>
  <c r="R1140" i="34"/>
  <c r="Q1138" i="34"/>
  <c r="S1138" i="34"/>
  <c r="R1138" i="34"/>
  <c r="S1139" i="34"/>
  <c r="R1139" i="34"/>
  <c r="Q1139" i="34"/>
  <c r="S1137" i="34"/>
  <c r="R1137" i="34"/>
  <c r="Q1137" i="34"/>
  <c r="Q1142" i="34"/>
  <c r="S1142" i="34"/>
  <c r="R1142" i="34"/>
  <c r="S1141" i="34"/>
  <c r="R1141" i="34"/>
  <c r="Q1141" i="34"/>
  <c r="R1108" i="34"/>
  <c r="R1112" i="34"/>
  <c r="R1130" i="34"/>
  <c r="R1134" i="34"/>
  <c r="R1104" i="34"/>
  <c r="S1133" i="34"/>
  <c r="R1133" i="34"/>
  <c r="Q1133" i="34"/>
  <c r="S1129" i="34"/>
  <c r="R1129" i="34"/>
  <c r="Q1129" i="34"/>
  <c r="S1111" i="34"/>
  <c r="R1111" i="34"/>
  <c r="Q1111" i="34"/>
  <c r="S1107" i="34"/>
  <c r="R1107" i="34"/>
  <c r="Q1107" i="34"/>
  <c r="S1135" i="34"/>
  <c r="R1135" i="34"/>
  <c r="Q1135" i="34"/>
  <c r="S1131" i="34"/>
  <c r="R1131" i="34"/>
  <c r="Q1131" i="34"/>
  <c r="S1113" i="34"/>
  <c r="R1113" i="34"/>
  <c r="Q1113" i="34"/>
  <c r="S1109" i="34"/>
  <c r="R1109" i="34"/>
  <c r="Q1109" i="34"/>
  <c r="R1105" i="34"/>
  <c r="S1105" i="34"/>
  <c r="Q1105" i="34"/>
  <c r="Q1006" i="34"/>
  <c r="S1006" i="34"/>
  <c r="R1006" i="34"/>
  <c r="S1007" i="34"/>
  <c r="R1007" i="34"/>
  <c r="Q1007" i="34"/>
  <c r="Q1004" i="34"/>
  <c r="S1004" i="34"/>
  <c r="R1004" i="34"/>
  <c r="S1005" i="34"/>
  <c r="R1005" i="34"/>
  <c r="Q1005" i="34"/>
  <c r="Q1002" i="34"/>
  <c r="S1002" i="34"/>
  <c r="R1002" i="34"/>
  <c r="S1003" i="34"/>
  <c r="R1003" i="34"/>
  <c r="Q1003" i="34"/>
  <c r="Q1008" i="34"/>
  <c r="S1008" i="34"/>
  <c r="R1008" i="34"/>
  <c r="Q1000" i="34"/>
  <c r="R1000" i="34"/>
  <c r="S1000" i="34"/>
  <c r="S1001" i="34"/>
  <c r="R1001" i="34"/>
  <c r="Q1001" i="34"/>
  <c r="B935" i="34"/>
  <c r="B989" i="34"/>
  <c r="B990" i="34"/>
  <c r="B991" i="34"/>
  <c r="B993" i="34"/>
  <c r="B994" i="34"/>
  <c r="B958" i="34"/>
  <c r="B992" i="34"/>
  <c r="B996" i="34"/>
  <c r="A996" i="34" s="1"/>
  <c r="B998" i="34"/>
  <c r="A998" i="34" s="1"/>
  <c r="B1009" i="34"/>
  <c r="A1009" i="34" s="1"/>
  <c r="B995" i="34"/>
  <c r="A995" i="34" s="1"/>
  <c r="B997" i="34"/>
  <c r="A997" i="34" s="1"/>
  <c r="B999" i="34"/>
  <c r="A999" i="34" s="1"/>
  <c r="B959" i="34"/>
  <c r="B956" i="34"/>
  <c r="B957" i="34"/>
  <c r="A957" i="34" s="1"/>
  <c r="B945" i="34"/>
  <c r="B943" i="34"/>
  <c r="B944" i="34"/>
  <c r="A944" i="34" s="1"/>
  <c r="B946" i="34"/>
  <c r="A946" i="34" s="1"/>
  <c r="B947" i="34"/>
  <c r="A947" i="34" s="1"/>
  <c r="B939" i="34"/>
  <c r="B940" i="34"/>
  <c r="B941" i="34"/>
  <c r="B937" i="34"/>
  <c r="B936" i="34"/>
  <c r="A936" i="34" s="1"/>
  <c r="B934" i="34"/>
  <c r="A934" i="34" s="1"/>
  <c r="B938" i="34"/>
  <c r="A938" i="34" s="1"/>
  <c r="B942" i="34"/>
  <c r="A942" i="34" s="1"/>
  <c r="B949" i="34"/>
  <c r="A949" i="34" s="1"/>
  <c r="AC930" i="34"/>
  <c r="AB930" i="34"/>
  <c r="Y930" i="34"/>
  <c r="W930" i="34"/>
  <c r="V930" i="34"/>
  <c r="U930" i="34"/>
  <c r="T930" i="34"/>
  <c r="P930" i="34"/>
  <c r="M930" i="34"/>
  <c r="C930" i="34"/>
  <c r="AD930" i="34" s="1"/>
  <c r="AC929" i="34"/>
  <c r="AB929" i="34"/>
  <c r="Y929" i="34"/>
  <c r="W929" i="34"/>
  <c r="V929" i="34"/>
  <c r="U929" i="34"/>
  <c r="T929" i="34"/>
  <c r="P929" i="34"/>
  <c r="M929" i="34"/>
  <c r="C929" i="34"/>
  <c r="AD929" i="34" s="1"/>
  <c r="AC928" i="34"/>
  <c r="AB928" i="34"/>
  <c r="Y928" i="34"/>
  <c r="W928" i="34"/>
  <c r="V928" i="34"/>
  <c r="U928" i="34"/>
  <c r="T928" i="34"/>
  <c r="P928" i="34"/>
  <c r="M928" i="34"/>
  <c r="C928" i="34"/>
  <c r="AD928" i="34" s="1"/>
  <c r="AC927" i="34"/>
  <c r="AB927" i="34"/>
  <c r="Y927" i="34"/>
  <c r="W927" i="34"/>
  <c r="V927" i="34"/>
  <c r="U927" i="34"/>
  <c r="T927" i="34"/>
  <c r="P927" i="34"/>
  <c r="M927" i="34"/>
  <c r="C927" i="34"/>
  <c r="AD927" i="34" s="1"/>
  <c r="AC926" i="34"/>
  <c r="AB926" i="34"/>
  <c r="Y926" i="34"/>
  <c r="W926" i="34"/>
  <c r="V926" i="34"/>
  <c r="U926" i="34"/>
  <c r="T926" i="34"/>
  <c r="P926" i="34"/>
  <c r="M926" i="34"/>
  <c r="C926" i="34"/>
  <c r="AD926" i="34" s="1"/>
  <c r="AC925" i="34"/>
  <c r="AB925" i="34"/>
  <c r="Y925" i="34"/>
  <c r="W925" i="34"/>
  <c r="V925" i="34"/>
  <c r="U925" i="34"/>
  <c r="T925" i="34"/>
  <c r="P925" i="34"/>
  <c r="M925" i="34"/>
  <c r="C925" i="34"/>
  <c r="AD925" i="34" s="1"/>
  <c r="AC924" i="34"/>
  <c r="AB924" i="34"/>
  <c r="Y924" i="34"/>
  <c r="W924" i="34"/>
  <c r="V924" i="34"/>
  <c r="U924" i="34"/>
  <c r="T924" i="34"/>
  <c r="P924" i="34"/>
  <c r="M924" i="34"/>
  <c r="C924" i="34"/>
  <c r="AD924" i="34" s="1"/>
  <c r="C931" i="34"/>
  <c r="B931" i="34" s="1"/>
  <c r="C932" i="34"/>
  <c r="AD932" i="34" s="1"/>
  <c r="C933" i="34"/>
  <c r="B933" i="34" s="1"/>
  <c r="C948" i="34"/>
  <c r="B948" i="34" s="1"/>
  <c r="C950" i="34"/>
  <c r="B950" i="34" s="1"/>
  <c r="C951" i="34"/>
  <c r="AD951" i="34" s="1"/>
  <c r="C952" i="34"/>
  <c r="B952" i="34" s="1"/>
  <c r="A952" i="34" s="1"/>
  <c r="C953" i="34"/>
  <c r="AD953" i="34" s="1"/>
  <c r="M931" i="34"/>
  <c r="M932" i="34"/>
  <c r="M933" i="34"/>
  <c r="M948" i="34"/>
  <c r="M950" i="34"/>
  <c r="M951" i="34"/>
  <c r="M952" i="34"/>
  <c r="M953" i="34"/>
  <c r="AC961" i="34"/>
  <c r="AB961" i="34"/>
  <c r="Y961" i="34"/>
  <c r="W961" i="34"/>
  <c r="V961" i="34"/>
  <c r="U961" i="34"/>
  <c r="T961" i="34"/>
  <c r="P961" i="34"/>
  <c r="M961" i="34"/>
  <c r="C961" i="34"/>
  <c r="AD961" i="34" s="1"/>
  <c r="AC960" i="34"/>
  <c r="AB960" i="34"/>
  <c r="Y960" i="34"/>
  <c r="W960" i="34"/>
  <c r="V960" i="34"/>
  <c r="U960" i="34"/>
  <c r="T960" i="34"/>
  <c r="P960" i="34"/>
  <c r="M960" i="34"/>
  <c r="C960" i="34"/>
  <c r="AD960" i="34" s="1"/>
  <c r="AC955" i="34"/>
  <c r="AB955" i="34"/>
  <c r="Y955" i="34"/>
  <c r="W955" i="34"/>
  <c r="V955" i="34"/>
  <c r="U955" i="34"/>
  <c r="T955" i="34"/>
  <c r="P955" i="34"/>
  <c r="M955" i="34"/>
  <c r="C955" i="34"/>
  <c r="AD955" i="34" s="1"/>
  <c r="AC954" i="34"/>
  <c r="AB954" i="34"/>
  <c r="Y954" i="34"/>
  <c r="W954" i="34"/>
  <c r="V954" i="34"/>
  <c r="U954" i="34"/>
  <c r="T954" i="34"/>
  <c r="P954" i="34"/>
  <c r="M954" i="34"/>
  <c r="C954" i="34"/>
  <c r="AD954" i="34" s="1"/>
  <c r="AC953" i="34"/>
  <c r="AB953" i="34"/>
  <c r="Y953" i="34"/>
  <c r="W953" i="34"/>
  <c r="V953" i="34"/>
  <c r="U953" i="34"/>
  <c r="T953" i="34"/>
  <c r="P953" i="34"/>
  <c r="AC952" i="34"/>
  <c r="AB952" i="34"/>
  <c r="Y952" i="34"/>
  <c r="W952" i="34"/>
  <c r="V952" i="34"/>
  <c r="U952" i="34"/>
  <c r="T952" i="34"/>
  <c r="P952" i="34"/>
  <c r="AC951" i="34"/>
  <c r="AB951" i="34"/>
  <c r="Y951" i="34"/>
  <c r="W951" i="34"/>
  <c r="V951" i="34"/>
  <c r="U951" i="34"/>
  <c r="T951" i="34"/>
  <c r="P951" i="34"/>
  <c r="AC950" i="34"/>
  <c r="AB950" i="34"/>
  <c r="Y950" i="34"/>
  <c r="W950" i="34"/>
  <c r="V950" i="34"/>
  <c r="U950" i="34"/>
  <c r="T950" i="34"/>
  <c r="P950" i="34"/>
  <c r="AC948" i="34"/>
  <c r="AB948" i="34"/>
  <c r="Y948" i="34"/>
  <c r="W948" i="34"/>
  <c r="V948" i="34"/>
  <c r="U948" i="34"/>
  <c r="T948" i="34"/>
  <c r="P948" i="34"/>
  <c r="AC933" i="34"/>
  <c r="AB933" i="34"/>
  <c r="Y933" i="34"/>
  <c r="W933" i="34"/>
  <c r="V933" i="34"/>
  <c r="U933" i="34"/>
  <c r="T933" i="34"/>
  <c r="P933" i="34"/>
  <c r="AC932" i="34"/>
  <c r="AB932" i="34"/>
  <c r="Y932" i="34"/>
  <c r="W932" i="34"/>
  <c r="V932" i="34"/>
  <c r="U932" i="34"/>
  <c r="T932" i="34"/>
  <c r="P932" i="34"/>
  <c r="AC931" i="34"/>
  <c r="AB931" i="34"/>
  <c r="Y931" i="34"/>
  <c r="W931" i="34"/>
  <c r="V931" i="34"/>
  <c r="U931" i="34"/>
  <c r="T931" i="34"/>
  <c r="P931" i="34"/>
  <c r="B407" i="34"/>
  <c r="A407" i="34" s="1"/>
  <c r="B408" i="34"/>
  <c r="B409" i="34"/>
  <c r="A409" i="34" s="1"/>
  <c r="AD409" i="34"/>
  <c r="AC409" i="34"/>
  <c r="AB409" i="34"/>
  <c r="Y409" i="34"/>
  <c r="W409" i="34"/>
  <c r="V409" i="34"/>
  <c r="U409" i="34"/>
  <c r="T409" i="34"/>
  <c r="P409" i="34"/>
  <c r="AD408" i="34"/>
  <c r="AC408" i="34"/>
  <c r="AB408" i="34"/>
  <c r="Y408" i="34"/>
  <c r="W408" i="34"/>
  <c r="V408" i="34"/>
  <c r="U408" i="34"/>
  <c r="T408" i="34"/>
  <c r="P408" i="34"/>
  <c r="AD407" i="34"/>
  <c r="AC407" i="34"/>
  <c r="AB407" i="34"/>
  <c r="Y407" i="34"/>
  <c r="W407" i="34"/>
  <c r="V407" i="34"/>
  <c r="U407" i="34"/>
  <c r="T407" i="34"/>
  <c r="P407" i="34"/>
  <c r="B1662" i="34"/>
  <c r="A1662" i="34" s="1"/>
  <c r="E1662" i="34"/>
  <c r="P1662" i="34"/>
  <c r="T1662" i="34"/>
  <c r="U1662" i="34"/>
  <c r="V1662" i="34"/>
  <c r="W1662" i="34"/>
  <c r="Y1662" i="34"/>
  <c r="AB1662" i="34"/>
  <c r="AC1662" i="34"/>
  <c r="AD1662" i="34"/>
  <c r="Q933" i="34" l="1"/>
  <c r="A933" i="34"/>
  <c r="Q939" i="34"/>
  <c r="A939" i="34"/>
  <c r="S943" i="34"/>
  <c r="A943" i="34"/>
  <c r="Q959" i="34"/>
  <c r="A959" i="34"/>
  <c r="R958" i="34"/>
  <c r="A958" i="34"/>
  <c r="Q990" i="34"/>
  <c r="A990" i="34"/>
  <c r="S937" i="34"/>
  <c r="A937" i="34"/>
  <c r="S945" i="34"/>
  <c r="A945" i="34"/>
  <c r="S994" i="34"/>
  <c r="A994" i="34"/>
  <c r="S989" i="34"/>
  <c r="A989" i="34"/>
  <c r="R408" i="34"/>
  <c r="A408" i="34"/>
  <c r="S950" i="34"/>
  <c r="A950" i="34"/>
  <c r="Q931" i="34"/>
  <c r="A931" i="34"/>
  <c r="Q941" i="34"/>
  <c r="A941" i="34"/>
  <c r="S993" i="34"/>
  <c r="A993" i="34"/>
  <c r="S935" i="34"/>
  <c r="A935" i="34"/>
  <c r="R948" i="34"/>
  <c r="A948" i="34"/>
  <c r="S940" i="34"/>
  <c r="A940" i="34"/>
  <c r="S956" i="34"/>
  <c r="A956" i="34"/>
  <c r="R992" i="34"/>
  <c r="A992" i="34"/>
  <c r="S991" i="34"/>
  <c r="A991" i="34"/>
  <c r="AD950" i="34"/>
  <c r="R994" i="34"/>
  <c r="AD948" i="34"/>
  <c r="B953" i="34"/>
  <c r="R953" i="34" s="1"/>
  <c r="Q935" i="34"/>
  <c r="Q993" i="34"/>
  <c r="R990" i="34"/>
  <c r="AD931" i="34"/>
  <c r="R935" i="34"/>
  <c r="Q991" i="34"/>
  <c r="Q989" i="34"/>
  <c r="Q994" i="34"/>
  <c r="R989" i="34"/>
  <c r="R993" i="34"/>
  <c r="Q958" i="34"/>
  <c r="S958" i="34"/>
  <c r="R991" i="34"/>
  <c r="S990" i="34"/>
  <c r="Q992" i="34"/>
  <c r="S992" i="34"/>
  <c r="R995" i="34"/>
  <c r="Q995" i="34"/>
  <c r="S995" i="34"/>
  <c r="S998" i="34"/>
  <c r="R998" i="34"/>
  <c r="Q998" i="34"/>
  <c r="S996" i="34"/>
  <c r="R996" i="34"/>
  <c r="Q996" i="34"/>
  <c r="B932" i="34"/>
  <c r="B951" i="34"/>
  <c r="R936" i="34"/>
  <c r="R999" i="34"/>
  <c r="Q999" i="34"/>
  <c r="S999" i="34"/>
  <c r="R997" i="34"/>
  <c r="Q997" i="34"/>
  <c r="S997" i="34"/>
  <c r="S1009" i="34"/>
  <c r="R1009" i="34"/>
  <c r="Q1009" i="34"/>
  <c r="S959" i="34"/>
  <c r="R959" i="34"/>
  <c r="R939" i="34"/>
  <c r="Q937" i="34"/>
  <c r="R956" i="34"/>
  <c r="S939" i="34"/>
  <c r="Q956" i="34"/>
  <c r="R945" i="34"/>
  <c r="R943" i="34"/>
  <c r="Q957" i="34"/>
  <c r="S957" i="34"/>
  <c r="R957" i="34"/>
  <c r="R937" i="34"/>
  <c r="S941" i="34"/>
  <c r="Q945" i="34"/>
  <c r="Q943" i="34"/>
  <c r="Q944" i="34"/>
  <c r="S944" i="34"/>
  <c r="R944" i="34"/>
  <c r="Q946" i="34"/>
  <c r="S946" i="34"/>
  <c r="R946" i="34"/>
  <c r="Q947" i="34"/>
  <c r="S947" i="34"/>
  <c r="R947" i="34"/>
  <c r="R941" i="34"/>
  <c r="S407" i="34"/>
  <c r="AD933" i="34"/>
  <c r="AD952" i="34"/>
  <c r="R934" i="34"/>
  <c r="B928" i="34"/>
  <c r="Q940" i="34"/>
  <c r="R940" i="34"/>
  <c r="Q936" i="34"/>
  <c r="S936" i="34"/>
  <c r="Q934" i="34"/>
  <c r="S934" i="34"/>
  <c r="Q938" i="34"/>
  <c r="S938" i="34"/>
  <c r="R938" i="34"/>
  <c r="Q949" i="34"/>
  <c r="S949" i="34"/>
  <c r="R949" i="34"/>
  <c r="S942" i="34"/>
  <c r="R942" i="34"/>
  <c r="Q942" i="34"/>
  <c r="B924" i="34"/>
  <c r="B925" i="34"/>
  <c r="S409" i="34"/>
  <c r="B926" i="34"/>
  <c r="A926" i="34" s="1"/>
  <c r="B929" i="34"/>
  <c r="R407" i="34"/>
  <c r="S931" i="34"/>
  <c r="R933" i="34"/>
  <c r="B927" i="34"/>
  <c r="S408" i="34"/>
  <c r="B930" i="34"/>
  <c r="A930" i="34" s="1"/>
  <c r="Q948" i="34"/>
  <c r="S948" i="34"/>
  <c r="R952" i="34"/>
  <c r="S952" i="34"/>
  <c r="R931" i="34"/>
  <c r="S933" i="34"/>
  <c r="Q952" i="34"/>
  <c r="Q950" i="34"/>
  <c r="B954" i="34"/>
  <c r="A954" i="34" s="1"/>
  <c r="B960" i="34"/>
  <c r="A960" i="34" s="1"/>
  <c r="R950" i="34"/>
  <c r="B955" i="34"/>
  <c r="A955" i="34" s="1"/>
  <c r="B961" i="34"/>
  <c r="A961" i="34" s="1"/>
  <c r="R409" i="34"/>
  <c r="Q407" i="34"/>
  <c r="Q408" i="34"/>
  <c r="Q409" i="34"/>
  <c r="R1662" i="34"/>
  <c r="S1662" i="34"/>
  <c r="Q1662" i="34"/>
  <c r="J257" i="60"/>
  <c r="J226" i="60"/>
  <c r="J204" i="60"/>
  <c r="J185" i="60"/>
  <c r="J163" i="60"/>
  <c r="J145" i="60"/>
  <c r="M131" i="60"/>
  <c r="J89" i="60"/>
  <c r="J68" i="60"/>
  <c r="J50" i="60"/>
  <c r="J17" i="60"/>
  <c r="P13" i="34"/>
  <c r="T13" i="34"/>
  <c r="U13" i="34"/>
  <c r="V13" i="34"/>
  <c r="W13" i="34"/>
  <c r="Y13" i="34"/>
  <c r="AB13" i="34"/>
  <c r="AC13" i="34"/>
  <c r="P14" i="34"/>
  <c r="T14" i="34"/>
  <c r="U14" i="34"/>
  <c r="V14" i="34"/>
  <c r="W14" i="34"/>
  <c r="Y14" i="34"/>
  <c r="AB14" i="34"/>
  <c r="AC14" i="34"/>
  <c r="P15" i="34"/>
  <c r="T15" i="34"/>
  <c r="U15" i="34"/>
  <c r="V15" i="34"/>
  <c r="W15" i="34"/>
  <c r="Y15" i="34"/>
  <c r="AB15" i="34"/>
  <c r="AC15" i="34"/>
  <c r="P16" i="34"/>
  <c r="T16" i="34"/>
  <c r="U16" i="34"/>
  <c r="V16" i="34"/>
  <c r="W16" i="34"/>
  <c r="Y16" i="34"/>
  <c r="AB16" i="34"/>
  <c r="AC16" i="34"/>
  <c r="P17" i="34"/>
  <c r="T17" i="34"/>
  <c r="U17" i="34"/>
  <c r="V17" i="34"/>
  <c r="W17" i="34"/>
  <c r="Y17" i="34"/>
  <c r="AB17" i="34"/>
  <c r="AC17" i="34"/>
  <c r="P18" i="34"/>
  <c r="T18" i="34"/>
  <c r="U18" i="34"/>
  <c r="V18" i="34"/>
  <c r="W18" i="34"/>
  <c r="Y18" i="34"/>
  <c r="AB18" i="34"/>
  <c r="AC18" i="34"/>
  <c r="P19" i="34"/>
  <c r="T19" i="34"/>
  <c r="U19" i="34"/>
  <c r="V19" i="34"/>
  <c r="W19" i="34"/>
  <c r="Y19" i="34"/>
  <c r="AB19" i="34"/>
  <c r="AC19" i="34"/>
  <c r="P20" i="34"/>
  <c r="T20" i="34"/>
  <c r="U20" i="34"/>
  <c r="V20" i="34"/>
  <c r="W20" i="34"/>
  <c r="Y20" i="34"/>
  <c r="AB20" i="34"/>
  <c r="AC20" i="34"/>
  <c r="P21" i="34"/>
  <c r="T21" i="34"/>
  <c r="U21" i="34"/>
  <c r="V21" i="34"/>
  <c r="W21" i="34"/>
  <c r="Y21" i="34"/>
  <c r="AB21" i="34"/>
  <c r="AC21" i="34"/>
  <c r="P22" i="34"/>
  <c r="T22" i="34"/>
  <c r="U22" i="34"/>
  <c r="V22" i="34"/>
  <c r="W22" i="34"/>
  <c r="Y22" i="34"/>
  <c r="AB22" i="34"/>
  <c r="AC22" i="34"/>
  <c r="P23" i="34"/>
  <c r="T23" i="34"/>
  <c r="U23" i="34"/>
  <c r="V23" i="34"/>
  <c r="W23" i="34"/>
  <c r="Y23" i="34"/>
  <c r="AB23" i="34"/>
  <c r="AC23" i="34"/>
  <c r="P24" i="34"/>
  <c r="T24" i="34"/>
  <c r="U24" i="34"/>
  <c r="V24" i="34"/>
  <c r="W24" i="34"/>
  <c r="Y24" i="34"/>
  <c r="AB24" i="34"/>
  <c r="AC24" i="34"/>
  <c r="AD24" i="34"/>
  <c r="P25" i="34"/>
  <c r="T25" i="34"/>
  <c r="U25" i="34"/>
  <c r="V25" i="34"/>
  <c r="W25" i="34"/>
  <c r="Y25" i="34"/>
  <c r="AB25" i="34"/>
  <c r="AC25" i="34"/>
  <c r="AD25" i="34"/>
  <c r="P26" i="34"/>
  <c r="T26" i="34"/>
  <c r="U26" i="34"/>
  <c r="V26" i="34"/>
  <c r="W26" i="34"/>
  <c r="Y26" i="34"/>
  <c r="AB26" i="34"/>
  <c r="AC26" i="34"/>
  <c r="AD26" i="34"/>
  <c r="P27" i="34"/>
  <c r="T27" i="34"/>
  <c r="U27" i="34"/>
  <c r="V27" i="34"/>
  <c r="W27" i="34"/>
  <c r="Y27" i="34"/>
  <c r="AB27" i="34"/>
  <c r="AC27" i="34"/>
  <c r="AD27" i="34"/>
  <c r="P28" i="34"/>
  <c r="T28" i="34"/>
  <c r="U28" i="34"/>
  <c r="V28" i="34"/>
  <c r="W28" i="34"/>
  <c r="Y28" i="34"/>
  <c r="AB28" i="34"/>
  <c r="AC28" i="34"/>
  <c r="AD28" i="34"/>
  <c r="P29" i="34"/>
  <c r="T29" i="34"/>
  <c r="U29" i="34"/>
  <c r="V29" i="34"/>
  <c r="W29" i="34"/>
  <c r="Y29" i="34"/>
  <c r="AB29" i="34"/>
  <c r="AC29" i="34"/>
  <c r="AD29" i="34"/>
  <c r="P30" i="34"/>
  <c r="T30" i="34"/>
  <c r="U30" i="34"/>
  <c r="V30" i="34"/>
  <c r="W30" i="34"/>
  <c r="Y30" i="34"/>
  <c r="AB30" i="34"/>
  <c r="AC30" i="34"/>
  <c r="AD30" i="34"/>
  <c r="P31" i="34"/>
  <c r="T31" i="34"/>
  <c r="U31" i="34"/>
  <c r="V31" i="34"/>
  <c r="W31" i="34"/>
  <c r="Y31" i="34"/>
  <c r="AB31" i="34"/>
  <c r="AC31" i="34"/>
  <c r="AD31" i="34"/>
  <c r="P32" i="34"/>
  <c r="T32" i="34"/>
  <c r="U32" i="34"/>
  <c r="V32" i="34"/>
  <c r="W32" i="34"/>
  <c r="Y32" i="34"/>
  <c r="AB32" i="34"/>
  <c r="AC32" i="34"/>
  <c r="AD32" i="34"/>
  <c r="P33" i="34"/>
  <c r="T33" i="34"/>
  <c r="U33" i="34"/>
  <c r="V33" i="34"/>
  <c r="W33" i="34"/>
  <c r="Y33" i="34"/>
  <c r="AB33" i="34"/>
  <c r="AC33" i="34"/>
  <c r="AD33" i="34"/>
  <c r="P34" i="34"/>
  <c r="T34" i="34"/>
  <c r="U34" i="34"/>
  <c r="V34" i="34"/>
  <c r="W34" i="34"/>
  <c r="Y34" i="34"/>
  <c r="AB34" i="34"/>
  <c r="AC34" i="34"/>
  <c r="AD34" i="34"/>
  <c r="P35" i="34"/>
  <c r="T35" i="34"/>
  <c r="U35" i="34"/>
  <c r="V35" i="34"/>
  <c r="W35" i="34"/>
  <c r="Y35" i="34"/>
  <c r="AB35" i="34"/>
  <c r="AC35" i="34"/>
  <c r="AD35" i="34"/>
  <c r="P36" i="34"/>
  <c r="T36" i="34"/>
  <c r="U36" i="34"/>
  <c r="V36" i="34"/>
  <c r="W36" i="34"/>
  <c r="Y36" i="34"/>
  <c r="AB36" i="34"/>
  <c r="AC36" i="34"/>
  <c r="AD36" i="34"/>
  <c r="P37" i="34"/>
  <c r="T37" i="34"/>
  <c r="U37" i="34"/>
  <c r="V37" i="34"/>
  <c r="W37" i="34"/>
  <c r="Y37" i="34"/>
  <c r="AB37" i="34"/>
  <c r="AC37" i="34"/>
  <c r="AD37" i="34"/>
  <c r="P38" i="34"/>
  <c r="T38" i="34"/>
  <c r="U38" i="34"/>
  <c r="V38" i="34"/>
  <c r="W38" i="34"/>
  <c r="Y38" i="34"/>
  <c r="AB38" i="34"/>
  <c r="AC38" i="34"/>
  <c r="AD38" i="34"/>
  <c r="P39" i="34"/>
  <c r="T39" i="34"/>
  <c r="U39" i="34"/>
  <c r="V39" i="34"/>
  <c r="W39" i="34"/>
  <c r="Y39" i="34"/>
  <c r="AB39" i="34"/>
  <c r="AC39" i="34"/>
  <c r="AD39" i="34"/>
  <c r="P40" i="34"/>
  <c r="T40" i="34"/>
  <c r="U40" i="34"/>
  <c r="V40" i="34"/>
  <c r="W40" i="34"/>
  <c r="Y40" i="34"/>
  <c r="AB40" i="34"/>
  <c r="AC40" i="34"/>
  <c r="AD40" i="34"/>
  <c r="P41" i="34"/>
  <c r="T41" i="34"/>
  <c r="U41" i="34"/>
  <c r="V41" i="34"/>
  <c r="W41" i="34"/>
  <c r="Y41" i="34"/>
  <c r="AB41" i="34"/>
  <c r="AC41" i="34"/>
  <c r="AD41" i="34"/>
  <c r="P42" i="34"/>
  <c r="T42" i="34"/>
  <c r="U42" i="34"/>
  <c r="V42" i="34"/>
  <c r="W42" i="34"/>
  <c r="Y42" i="34"/>
  <c r="AB42" i="34"/>
  <c r="AC42" i="34"/>
  <c r="AD42" i="34"/>
  <c r="P43" i="34"/>
  <c r="T43" i="34"/>
  <c r="U43" i="34"/>
  <c r="V43" i="34"/>
  <c r="W43" i="34"/>
  <c r="Y43" i="34"/>
  <c r="AB43" i="34"/>
  <c r="AC43" i="34"/>
  <c r="AD43" i="34"/>
  <c r="P44" i="34"/>
  <c r="T44" i="34"/>
  <c r="U44" i="34"/>
  <c r="V44" i="34"/>
  <c r="W44" i="34"/>
  <c r="Y44" i="34"/>
  <c r="AB44" i="34"/>
  <c r="AC44" i="34"/>
  <c r="AD44" i="34"/>
  <c r="P45" i="34"/>
  <c r="T45" i="34"/>
  <c r="U45" i="34"/>
  <c r="V45" i="34"/>
  <c r="W45" i="34"/>
  <c r="Y45" i="34"/>
  <c r="AB45" i="34"/>
  <c r="AC45" i="34"/>
  <c r="AD45" i="34"/>
  <c r="P46" i="34"/>
  <c r="T46" i="34"/>
  <c r="U46" i="34"/>
  <c r="V46" i="34"/>
  <c r="W46" i="34"/>
  <c r="Y46" i="34"/>
  <c r="AB46" i="34"/>
  <c r="AC46" i="34"/>
  <c r="AD46" i="34"/>
  <c r="P47" i="34"/>
  <c r="T47" i="34"/>
  <c r="U47" i="34"/>
  <c r="V47" i="34"/>
  <c r="W47" i="34"/>
  <c r="Y47" i="34"/>
  <c r="AB47" i="34"/>
  <c r="AC47" i="34"/>
  <c r="AD47" i="34"/>
  <c r="P48" i="34"/>
  <c r="T48" i="34"/>
  <c r="U48" i="34"/>
  <c r="V48" i="34"/>
  <c r="W48" i="34"/>
  <c r="Y48" i="34"/>
  <c r="AB48" i="34"/>
  <c r="AC48" i="34"/>
  <c r="AD48" i="34"/>
  <c r="P49" i="34"/>
  <c r="T49" i="34"/>
  <c r="U49" i="34"/>
  <c r="V49" i="34"/>
  <c r="W49" i="34"/>
  <c r="Y49" i="34"/>
  <c r="AB49" i="34"/>
  <c r="AC49" i="34"/>
  <c r="AD49" i="34"/>
  <c r="P50" i="34"/>
  <c r="T50" i="34"/>
  <c r="U50" i="34"/>
  <c r="V50" i="34"/>
  <c r="W50" i="34"/>
  <c r="Y50" i="34"/>
  <c r="AB50" i="34"/>
  <c r="AC50" i="34"/>
  <c r="AD50" i="34"/>
  <c r="P51" i="34"/>
  <c r="T51" i="34"/>
  <c r="U51" i="34"/>
  <c r="V51" i="34"/>
  <c r="W51" i="34"/>
  <c r="Y51" i="34"/>
  <c r="AB51" i="34"/>
  <c r="AC51" i="34"/>
  <c r="AD51" i="34"/>
  <c r="P52" i="34"/>
  <c r="T52" i="34"/>
  <c r="U52" i="34"/>
  <c r="V52" i="34"/>
  <c r="W52" i="34"/>
  <c r="Y52" i="34"/>
  <c r="AB52" i="34"/>
  <c r="AC52" i="34"/>
  <c r="AD52" i="34"/>
  <c r="P53" i="34"/>
  <c r="T53" i="34"/>
  <c r="U53" i="34"/>
  <c r="V53" i="34"/>
  <c r="W53" i="34"/>
  <c r="Y53" i="34"/>
  <c r="AB53" i="34"/>
  <c r="AC53" i="34"/>
  <c r="AD53" i="34"/>
  <c r="P54" i="34"/>
  <c r="T54" i="34"/>
  <c r="U54" i="34"/>
  <c r="V54" i="34"/>
  <c r="W54" i="34"/>
  <c r="Y54" i="34"/>
  <c r="AB54" i="34"/>
  <c r="AC54" i="34"/>
  <c r="AD54" i="34"/>
  <c r="P55" i="34"/>
  <c r="T55" i="34"/>
  <c r="U55" i="34"/>
  <c r="V55" i="34"/>
  <c r="W55" i="34"/>
  <c r="Y55" i="34"/>
  <c r="AB55" i="34"/>
  <c r="AC55" i="34"/>
  <c r="AD55" i="34"/>
  <c r="P56" i="34"/>
  <c r="T56" i="34"/>
  <c r="U56" i="34"/>
  <c r="V56" i="34"/>
  <c r="W56" i="34"/>
  <c r="Y56" i="34"/>
  <c r="AB56" i="34"/>
  <c r="AC56" i="34"/>
  <c r="AD56" i="34"/>
  <c r="P57" i="34"/>
  <c r="T57" i="34"/>
  <c r="U57" i="34"/>
  <c r="V57" i="34"/>
  <c r="W57" i="34"/>
  <c r="Y57" i="34"/>
  <c r="AB57" i="34"/>
  <c r="AC57" i="34"/>
  <c r="AD57" i="34"/>
  <c r="P58" i="34"/>
  <c r="T58" i="34"/>
  <c r="U58" i="34"/>
  <c r="V58" i="34"/>
  <c r="W58" i="34"/>
  <c r="Y58" i="34"/>
  <c r="AB58" i="34"/>
  <c r="AC58" i="34"/>
  <c r="AD58" i="34"/>
  <c r="P59" i="34"/>
  <c r="T59" i="34"/>
  <c r="U59" i="34"/>
  <c r="V59" i="34"/>
  <c r="W59" i="34"/>
  <c r="Y59" i="34"/>
  <c r="AB59" i="34"/>
  <c r="AC59" i="34"/>
  <c r="AD59" i="34"/>
  <c r="P60" i="34"/>
  <c r="T60" i="34"/>
  <c r="U60" i="34"/>
  <c r="V60" i="34"/>
  <c r="W60" i="34"/>
  <c r="Y60" i="34"/>
  <c r="AB60" i="34"/>
  <c r="AC60" i="34"/>
  <c r="AD60" i="34"/>
  <c r="P61" i="34"/>
  <c r="T61" i="34"/>
  <c r="U61" i="34"/>
  <c r="V61" i="34"/>
  <c r="W61" i="34"/>
  <c r="Y61" i="34"/>
  <c r="AB61" i="34"/>
  <c r="AC61" i="34"/>
  <c r="AD61" i="34"/>
  <c r="P62" i="34"/>
  <c r="T62" i="34"/>
  <c r="U62" i="34"/>
  <c r="V62" i="34"/>
  <c r="W62" i="34"/>
  <c r="Y62" i="34"/>
  <c r="AB62" i="34"/>
  <c r="AC62" i="34"/>
  <c r="AD62" i="34"/>
  <c r="P63" i="34"/>
  <c r="T63" i="34"/>
  <c r="U63" i="34"/>
  <c r="V63" i="34"/>
  <c r="W63" i="34"/>
  <c r="Y63" i="34"/>
  <c r="AB63" i="34"/>
  <c r="AC63" i="34"/>
  <c r="AD63" i="34"/>
  <c r="P64" i="34"/>
  <c r="T64" i="34"/>
  <c r="U64" i="34"/>
  <c r="V64" i="34"/>
  <c r="W64" i="34"/>
  <c r="Y64" i="34"/>
  <c r="AB64" i="34"/>
  <c r="AC64" i="34"/>
  <c r="AD64" i="34"/>
  <c r="P65" i="34"/>
  <c r="T65" i="34"/>
  <c r="U65" i="34"/>
  <c r="V65" i="34"/>
  <c r="W65" i="34"/>
  <c r="Y65" i="34"/>
  <c r="AB65" i="34"/>
  <c r="AC65" i="34"/>
  <c r="AD65" i="34"/>
  <c r="P66" i="34"/>
  <c r="T66" i="34"/>
  <c r="U66" i="34"/>
  <c r="V66" i="34"/>
  <c r="W66" i="34"/>
  <c r="Y66" i="34"/>
  <c r="AB66" i="34"/>
  <c r="AC66" i="34"/>
  <c r="AD66" i="34"/>
  <c r="P67" i="34"/>
  <c r="T67" i="34"/>
  <c r="U67" i="34"/>
  <c r="V67" i="34"/>
  <c r="W67" i="34"/>
  <c r="Y67" i="34"/>
  <c r="AB67" i="34"/>
  <c r="AC67" i="34"/>
  <c r="AD67" i="34"/>
  <c r="P68" i="34"/>
  <c r="T68" i="34"/>
  <c r="U68" i="34"/>
  <c r="V68" i="34"/>
  <c r="W68" i="34"/>
  <c r="Y68" i="34"/>
  <c r="AB68" i="34"/>
  <c r="AC68" i="34"/>
  <c r="AD68" i="34"/>
  <c r="P69" i="34"/>
  <c r="T69" i="34"/>
  <c r="U69" i="34"/>
  <c r="V69" i="34"/>
  <c r="W69" i="34"/>
  <c r="Y69" i="34"/>
  <c r="AB69" i="34"/>
  <c r="AC69" i="34"/>
  <c r="AD69" i="34"/>
  <c r="P70" i="34"/>
  <c r="T70" i="34"/>
  <c r="U70" i="34"/>
  <c r="V70" i="34"/>
  <c r="W70" i="34"/>
  <c r="Y70" i="34"/>
  <c r="AB70" i="34"/>
  <c r="AC70" i="34"/>
  <c r="AD70" i="34"/>
  <c r="P71" i="34"/>
  <c r="T71" i="34"/>
  <c r="U71" i="34"/>
  <c r="V71" i="34"/>
  <c r="W71" i="34"/>
  <c r="Y71" i="34"/>
  <c r="AB71" i="34"/>
  <c r="AC71" i="34"/>
  <c r="AD71" i="34"/>
  <c r="P72" i="34"/>
  <c r="T72" i="34"/>
  <c r="U72" i="34"/>
  <c r="V72" i="34"/>
  <c r="W72" i="34"/>
  <c r="Y72" i="34"/>
  <c r="AB72" i="34"/>
  <c r="AC72" i="34"/>
  <c r="AD72" i="34"/>
  <c r="P73" i="34"/>
  <c r="T73" i="34"/>
  <c r="U73" i="34"/>
  <c r="V73" i="34"/>
  <c r="W73" i="34"/>
  <c r="Y73" i="34"/>
  <c r="AB73" i="34"/>
  <c r="AC73" i="34"/>
  <c r="AD73" i="34"/>
  <c r="P74" i="34"/>
  <c r="T74" i="34"/>
  <c r="U74" i="34"/>
  <c r="V74" i="34"/>
  <c r="W74" i="34"/>
  <c r="Y74" i="34"/>
  <c r="AB74" i="34"/>
  <c r="AC74" i="34"/>
  <c r="AD74" i="34"/>
  <c r="P75" i="34"/>
  <c r="T75" i="34"/>
  <c r="U75" i="34"/>
  <c r="V75" i="34"/>
  <c r="W75" i="34"/>
  <c r="Y75" i="34"/>
  <c r="AB75" i="34"/>
  <c r="AC75" i="34"/>
  <c r="AD75" i="34"/>
  <c r="P76" i="34"/>
  <c r="T76" i="34"/>
  <c r="U76" i="34"/>
  <c r="V76" i="34"/>
  <c r="W76" i="34"/>
  <c r="Y76" i="34"/>
  <c r="AB76" i="34"/>
  <c r="AC76" i="34"/>
  <c r="AD76" i="34"/>
  <c r="P77" i="34"/>
  <c r="T77" i="34"/>
  <c r="U77" i="34"/>
  <c r="V77" i="34"/>
  <c r="W77" i="34"/>
  <c r="Y77" i="34"/>
  <c r="AB77" i="34"/>
  <c r="AC77" i="34"/>
  <c r="AD77" i="34"/>
  <c r="P78" i="34"/>
  <c r="T78" i="34"/>
  <c r="U78" i="34"/>
  <c r="V78" i="34"/>
  <c r="W78" i="34"/>
  <c r="Y78" i="34"/>
  <c r="AB78" i="34"/>
  <c r="AC78" i="34"/>
  <c r="AD78" i="34"/>
  <c r="P79" i="34"/>
  <c r="T79" i="34"/>
  <c r="U79" i="34"/>
  <c r="V79" i="34"/>
  <c r="W79" i="34"/>
  <c r="Y79" i="34"/>
  <c r="AB79" i="34"/>
  <c r="AC79" i="34"/>
  <c r="AD79" i="34"/>
  <c r="P80" i="34"/>
  <c r="T80" i="34"/>
  <c r="U80" i="34"/>
  <c r="V80" i="34"/>
  <c r="W80" i="34"/>
  <c r="Y80" i="34"/>
  <c r="AB80" i="34"/>
  <c r="AC80" i="34"/>
  <c r="AD80" i="34"/>
  <c r="P81" i="34"/>
  <c r="T81" i="34"/>
  <c r="U81" i="34"/>
  <c r="V81" i="34"/>
  <c r="W81" i="34"/>
  <c r="Y81" i="34"/>
  <c r="AB81" i="34"/>
  <c r="AC81" i="34"/>
  <c r="AD81" i="34"/>
  <c r="P82" i="34"/>
  <c r="T82" i="34"/>
  <c r="U82" i="34"/>
  <c r="V82" i="34"/>
  <c r="W82" i="34"/>
  <c r="Y82" i="34"/>
  <c r="AB82" i="34"/>
  <c r="AC82" i="34"/>
  <c r="AD82" i="34"/>
  <c r="P83" i="34"/>
  <c r="T83" i="34"/>
  <c r="U83" i="34"/>
  <c r="V83" i="34"/>
  <c r="W83" i="34"/>
  <c r="Y83" i="34"/>
  <c r="AB83" i="34"/>
  <c r="AC83" i="34"/>
  <c r="AD83" i="34"/>
  <c r="P84" i="34"/>
  <c r="T84" i="34"/>
  <c r="U84" i="34"/>
  <c r="V84" i="34"/>
  <c r="W84" i="34"/>
  <c r="Y84" i="34"/>
  <c r="AB84" i="34"/>
  <c r="AC84" i="34"/>
  <c r="AD84" i="34"/>
  <c r="P85" i="34"/>
  <c r="T85" i="34"/>
  <c r="U85" i="34"/>
  <c r="V85" i="34"/>
  <c r="W85" i="34"/>
  <c r="Y85" i="34"/>
  <c r="AB85" i="34"/>
  <c r="AC85" i="34"/>
  <c r="AD85" i="34"/>
  <c r="P86" i="34"/>
  <c r="T86" i="34"/>
  <c r="U86" i="34"/>
  <c r="V86" i="34"/>
  <c r="W86" i="34"/>
  <c r="Y86" i="34"/>
  <c r="AB86" i="34"/>
  <c r="AC86" i="34"/>
  <c r="AD86" i="34"/>
  <c r="P87" i="34"/>
  <c r="T87" i="34"/>
  <c r="U87" i="34"/>
  <c r="V87" i="34"/>
  <c r="W87" i="34"/>
  <c r="Y87" i="34"/>
  <c r="AB87" i="34"/>
  <c r="AC87" i="34"/>
  <c r="AD87" i="34"/>
  <c r="P88" i="34"/>
  <c r="T88" i="34"/>
  <c r="U88" i="34"/>
  <c r="V88" i="34"/>
  <c r="W88" i="34"/>
  <c r="Y88" i="34"/>
  <c r="AB88" i="34"/>
  <c r="AC88" i="34"/>
  <c r="AD88" i="34"/>
  <c r="P89" i="34"/>
  <c r="T89" i="34"/>
  <c r="U89" i="34"/>
  <c r="V89" i="34"/>
  <c r="W89" i="34"/>
  <c r="Y89" i="34"/>
  <c r="AB89" i="34"/>
  <c r="AC89" i="34"/>
  <c r="AD89" i="34"/>
  <c r="P90" i="34"/>
  <c r="T90" i="34"/>
  <c r="U90" i="34"/>
  <c r="V90" i="34"/>
  <c r="W90" i="34"/>
  <c r="Y90" i="34"/>
  <c r="AB90" i="34"/>
  <c r="AC90" i="34"/>
  <c r="AD90" i="34"/>
  <c r="P91" i="34"/>
  <c r="W91" i="34"/>
  <c r="Y91" i="34"/>
  <c r="AB91" i="34"/>
  <c r="AC91" i="34"/>
  <c r="AD91" i="34"/>
  <c r="P92" i="34"/>
  <c r="W92" i="34"/>
  <c r="Y92" i="34"/>
  <c r="AB92" i="34"/>
  <c r="AC92" i="34"/>
  <c r="AD92" i="34"/>
  <c r="P93" i="34"/>
  <c r="T93" i="34"/>
  <c r="U93" i="34"/>
  <c r="V93" i="34"/>
  <c r="W93" i="34"/>
  <c r="Y93" i="34"/>
  <c r="AB93" i="34"/>
  <c r="AC93" i="34"/>
  <c r="AD93" i="34"/>
  <c r="P94" i="34"/>
  <c r="T94" i="34"/>
  <c r="U94" i="34"/>
  <c r="V94" i="34"/>
  <c r="W94" i="34"/>
  <c r="Y94" i="34"/>
  <c r="AB94" i="34"/>
  <c r="AC94" i="34"/>
  <c r="AD94" i="34"/>
  <c r="P95" i="34"/>
  <c r="T95" i="34"/>
  <c r="U95" i="34"/>
  <c r="V95" i="34"/>
  <c r="W95" i="34"/>
  <c r="Y95" i="34"/>
  <c r="AB95" i="34"/>
  <c r="AC95" i="34"/>
  <c r="AD95" i="34"/>
  <c r="P96" i="34"/>
  <c r="T96" i="34"/>
  <c r="U96" i="34"/>
  <c r="V96" i="34"/>
  <c r="W96" i="34"/>
  <c r="Y96" i="34"/>
  <c r="AB96" i="34"/>
  <c r="AC96" i="34"/>
  <c r="AD96" i="34"/>
  <c r="P97" i="34"/>
  <c r="T97" i="34"/>
  <c r="U97" i="34"/>
  <c r="V97" i="34"/>
  <c r="W97" i="34"/>
  <c r="Y97" i="34"/>
  <c r="AB97" i="34"/>
  <c r="AC97" i="34"/>
  <c r="AD97" i="34"/>
  <c r="P98" i="34"/>
  <c r="T98" i="34"/>
  <c r="U98" i="34"/>
  <c r="V98" i="34"/>
  <c r="W98" i="34"/>
  <c r="Y98" i="34"/>
  <c r="AB98" i="34"/>
  <c r="AC98" i="34"/>
  <c r="AD98" i="34"/>
  <c r="P99" i="34"/>
  <c r="T99" i="34"/>
  <c r="U99" i="34"/>
  <c r="V99" i="34"/>
  <c r="W99" i="34"/>
  <c r="Y99" i="34"/>
  <c r="AB99" i="34"/>
  <c r="AC99" i="34"/>
  <c r="AD99" i="34"/>
  <c r="P100" i="34"/>
  <c r="T100" i="34"/>
  <c r="U100" i="34"/>
  <c r="V100" i="34"/>
  <c r="W100" i="34"/>
  <c r="Y100" i="34"/>
  <c r="AB100" i="34"/>
  <c r="AC100" i="34"/>
  <c r="AD100" i="34"/>
  <c r="P101" i="34"/>
  <c r="T101" i="34"/>
  <c r="U101" i="34"/>
  <c r="V101" i="34"/>
  <c r="W101" i="34"/>
  <c r="Y101" i="34"/>
  <c r="AB101" i="34"/>
  <c r="AC101" i="34"/>
  <c r="AD101" i="34"/>
  <c r="P102" i="34"/>
  <c r="T102" i="34"/>
  <c r="U102" i="34"/>
  <c r="V102" i="34"/>
  <c r="W102" i="34"/>
  <c r="Y102" i="34"/>
  <c r="AB102" i="34"/>
  <c r="AC102" i="34"/>
  <c r="AD102" i="34"/>
  <c r="P103" i="34"/>
  <c r="T103" i="34"/>
  <c r="U103" i="34"/>
  <c r="V103" i="34"/>
  <c r="W103" i="34"/>
  <c r="Y103" i="34"/>
  <c r="AB103" i="34"/>
  <c r="AC103" i="34"/>
  <c r="AD103" i="34"/>
  <c r="P104" i="34"/>
  <c r="T104" i="34"/>
  <c r="U104" i="34"/>
  <c r="V104" i="34"/>
  <c r="W104" i="34"/>
  <c r="Y104" i="34"/>
  <c r="AB104" i="34"/>
  <c r="AC104" i="34"/>
  <c r="AD104" i="34"/>
  <c r="P105" i="34"/>
  <c r="T105" i="34"/>
  <c r="U105" i="34"/>
  <c r="V105" i="34"/>
  <c r="W105" i="34"/>
  <c r="Y105" i="34"/>
  <c r="AB105" i="34"/>
  <c r="AC105" i="34"/>
  <c r="AD105" i="34"/>
  <c r="P106" i="34"/>
  <c r="T106" i="34"/>
  <c r="U106" i="34"/>
  <c r="V106" i="34"/>
  <c r="W106" i="34"/>
  <c r="Y106" i="34"/>
  <c r="AB106" i="34"/>
  <c r="AC106" i="34"/>
  <c r="AD106" i="34"/>
  <c r="P107" i="34"/>
  <c r="T107" i="34"/>
  <c r="U107" i="34"/>
  <c r="V107" i="34"/>
  <c r="W107" i="34"/>
  <c r="Y107" i="34"/>
  <c r="AB107" i="34"/>
  <c r="AC107" i="34"/>
  <c r="AD107" i="34"/>
  <c r="P108" i="34"/>
  <c r="T108" i="34"/>
  <c r="U108" i="34"/>
  <c r="V108" i="34"/>
  <c r="W108" i="34"/>
  <c r="Y108" i="34"/>
  <c r="AB108" i="34"/>
  <c r="AC108" i="34"/>
  <c r="AD108" i="34"/>
  <c r="P109" i="34"/>
  <c r="T109" i="34"/>
  <c r="U109" i="34"/>
  <c r="V109" i="34"/>
  <c r="W109" i="34"/>
  <c r="Y109" i="34"/>
  <c r="AB109" i="34"/>
  <c r="AC109" i="34"/>
  <c r="AD109" i="34"/>
  <c r="P110" i="34"/>
  <c r="T110" i="34"/>
  <c r="U110" i="34"/>
  <c r="V110" i="34"/>
  <c r="W110" i="34"/>
  <c r="Y110" i="34"/>
  <c r="AB110" i="34"/>
  <c r="AC110" i="34"/>
  <c r="AD110" i="34"/>
  <c r="P111" i="34"/>
  <c r="T111" i="34"/>
  <c r="U111" i="34"/>
  <c r="V111" i="34"/>
  <c r="W111" i="34"/>
  <c r="Y111" i="34"/>
  <c r="AB111" i="34"/>
  <c r="AC111" i="34"/>
  <c r="AD111" i="34"/>
  <c r="P112" i="34"/>
  <c r="T112" i="34"/>
  <c r="U112" i="34"/>
  <c r="V112" i="34"/>
  <c r="W112" i="34"/>
  <c r="Y112" i="34"/>
  <c r="AB112" i="34"/>
  <c r="AC112" i="34"/>
  <c r="AD112" i="34"/>
  <c r="P113" i="34"/>
  <c r="T113" i="34"/>
  <c r="U113" i="34"/>
  <c r="V113" i="34"/>
  <c r="W113" i="34"/>
  <c r="Y113" i="34"/>
  <c r="AB113" i="34"/>
  <c r="AC113" i="34"/>
  <c r="AD113" i="34"/>
  <c r="P114" i="34"/>
  <c r="T114" i="34"/>
  <c r="U114" i="34"/>
  <c r="V114" i="34"/>
  <c r="W114" i="34"/>
  <c r="Y114" i="34"/>
  <c r="AB114" i="34"/>
  <c r="AC114" i="34"/>
  <c r="AD114" i="34"/>
  <c r="P115" i="34"/>
  <c r="T115" i="34"/>
  <c r="U115" i="34"/>
  <c r="V115" i="34"/>
  <c r="W115" i="34"/>
  <c r="Y115" i="34"/>
  <c r="AB115" i="34"/>
  <c r="AC115" i="34"/>
  <c r="AD115" i="34"/>
  <c r="P116" i="34"/>
  <c r="T116" i="34"/>
  <c r="U116" i="34"/>
  <c r="V116" i="34"/>
  <c r="W116" i="34"/>
  <c r="Y116" i="34"/>
  <c r="AB116" i="34"/>
  <c r="AC116" i="34"/>
  <c r="AD116" i="34"/>
  <c r="P117" i="34"/>
  <c r="T117" i="34"/>
  <c r="U117" i="34"/>
  <c r="V117" i="34"/>
  <c r="W117" i="34"/>
  <c r="Y117" i="34"/>
  <c r="AB117" i="34"/>
  <c r="AC117" i="34"/>
  <c r="AD117" i="34"/>
  <c r="P118" i="34"/>
  <c r="T118" i="34"/>
  <c r="U118" i="34"/>
  <c r="V118" i="34"/>
  <c r="W118" i="34"/>
  <c r="Y118" i="34"/>
  <c r="AB118" i="34"/>
  <c r="AC118" i="34"/>
  <c r="AD118" i="34"/>
  <c r="P119" i="34"/>
  <c r="T119" i="34"/>
  <c r="U119" i="34"/>
  <c r="V119" i="34"/>
  <c r="W119" i="34"/>
  <c r="Y119" i="34"/>
  <c r="AB119" i="34"/>
  <c r="AC119" i="34"/>
  <c r="AD119" i="34"/>
  <c r="P120" i="34"/>
  <c r="T120" i="34"/>
  <c r="U120" i="34"/>
  <c r="V120" i="34"/>
  <c r="W120" i="34"/>
  <c r="Y120" i="34"/>
  <c r="AB120" i="34"/>
  <c r="AC120" i="34"/>
  <c r="AD120" i="34"/>
  <c r="P121" i="34"/>
  <c r="T121" i="34"/>
  <c r="U121" i="34"/>
  <c r="V121" i="34"/>
  <c r="W121" i="34"/>
  <c r="Y121" i="34"/>
  <c r="AB121" i="34"/>
  <c r="AC121" i="34"/>
  <c r="AD121" i="34"/>
  <c r="P122" i="34"/>
  <c r="T122" i="34"/>
  <c r="U122" i="34"/>
  <c r="V122" i="34"/>
  <c r="W122" i="34"/>
  <c r="Y122" i="34"/>
  <c r="AB122" i="34"/>
  <c r="AC122" i="34"/>
  <c r="AD122" i="34"/>
  <c r="P123" i="34"/>
  <c r="T123" i="34"/>
  <c r="U123" i="34"/>
  <c r="V123" i="34"/>
  <c r="W123" i="34"/>
  <c r="Y123" i="34"/>
  <c r="AB123" i="34"/>
  <c r="AC123" i="34"/>
  <c r="AD123" i="34"/>
  <c r="P124" i="34"/>
  <c r="T124" i="34"/>
  <c r="U124" i="34"/>
  <c r="V124" i="34"/>
  <c r="W124" i="34"/>
  <c r="Y124" i="34"/>
  <c r="AB124" i="34"/>
  <c r="AC124" i="34"/>
  <c r="AD124" i="34"/>
  <c r="P125" i="34"/>
  <c r="T125" i="34"/>
  <c r="U125" i="34"/>
  <c r="V125" i="34"/>
  <c r="W125" i="34"/>
  <c r="Y125" i="34"/>
  <c r="AB125" i="34"/>
  <c r="AC125" i="34"/>
  <c r="AD125" i="34"/>
  <c r="P126" i="34"/>
  <c r="T126" i="34"/>
  <c r="U126" i="34"/>
  <c r="V126" i="34"/>
  <c r="W126" i="34"/>
  <c r="Y126" i="34"/>
  <c r="AB126" i="34"/>
  <c r="AC126" i="34"/>
  <c r="AD126" i="34"/>
  <c r="P127" i="34"/>
  <c r="T127" i="34"/>
  <c r="U127" i="34"/>
  <c r="V127" i="34"/>
  <c r="W127" i="34"/>
  <c r="Y127" i="34"/>
  <c r="AB127" i="34"/>
  <c r="AC127" i="34"/>
  <c r="AD127" i="34"/>
  <c r="P128" i="34"/>
  <c r="T128" i="34"/>
  <c r="U128" i="34"/>
  <c r="V128" i="34"/>
  <c r="W128" i="34"/>
  <c r="Y128" i="34"/>
  <c r="AB128" i="34"/>
  <c r="AC128" i="34"/>
  <c r="AD128" i="34"/>
  <c r="P129" i="34"/>
  <c r="T129" i="34"/>
  <c r="U129" i="34"/>
  <c r="V129" i="34"/>
  <c r="W129" i="34"/>
  <c r="Y129" i="34"/>
  <c r="AB129" i="34"/>
  <c r="AC129" i="34"/>
  <c r="AD129" i="34"/>
  <c r="P130" i="34"/>
  <c r="T130" i="34"/>
  <c r="U130" i="34"/>
  <c r="V130" i="34"/>
  <c r="W130" i="34"/>
  <c r="Y130" i="34"/>
  <c r="AB130" i="34"/>
  <c r="AC130" i="34"/>
  <c r="AD130" i="34"/>
  <c r="P131" i="34"/>
  <c r="T131" i="34"/>
  <c r="U131" i="34"/>
  <c r="V131" i="34"/>
  <c r="W131" i="34"/>
  <c r="Y131" i="34"/>
  <c r="AB131" i="34"/>
  <c r="AC131" i="34"/>
  <c r="AD131" i="34"/>
  <c r="P132" i="34"/>
  <c r="T132" i="34"/>
  <c r="U132" i="34"/>
  <c r="V132" i="34"/>
  <c r="W132" i="34"/>
  <c r="Y132" i="34"/>
  <c r="AB132" i="34"/>
  <c r="AC132" i="34"/>
  <c r="AD132" i="34"/>
  <c r="P133" i="34"/>
  <c r="T133" i="34"/>
  <c r="U133" i="34"/>
  <c r="V133" i="34"/>
  <c r="W133" i="34"/>
  <c r="Y133" i="34"/>
  <c r="AB133" i="34"/>
  <c r="AC133" i="34"/>
  <c r="AD133" i="34"/>
  <c r="P134" i="34"/>
  <c r="T134" i="34"/>
  <c r="U134" i="34"/>
  <c r="V134" i="34"/>
  <c r="W134" i="34"/>
  <c r="Y134" i="34"/>
  <c r="AB134" i="34"/>
  <c r="AC134" i="34"/>
  <c r="AD134" i="34"/>
  <c r="P135" i="34"/>
  <c r="T135" i="34"/>
  <c r="U135" i="34"/>
  <c r="V135" i="34"/>
  <c r="W135" i="34"/>
  <c r="Y135" i="34"/>
  <c r="AB135" i="34"/>
  <c r="AC135" i="34"/>
  <c r="AD135" i="34"/>
  <c r="P136" i="34"/>
  <c r="T136" i="34"/>
  <c r="U136" i="34"/>
  <c r="V136" i="34"/>
  <c r="W136" i="34"/>
  <c r="Y136" i="34"/>
  <c r="AB136" i="34"/>
  <c r="AC136" i="34"/>
  <c r="AD136" i="34"/>
  <c r="P137" i="34"/>
  <c r="T137" i="34"/>
  <c r="U137" i="34"/>
  <c r="V137" i="34"/>
  <c r="W137" i="34"/>
  <c r="Y137" i="34"/>
  <c r="AB137" i="34"/>
  <c r="AC137" i="34"/>
  <c r="AD137" i="34"/>
  <c r="P138" i="34"/>
  <c r="T138" i="34"/>
  <c r="U138" i="34"/>
  <c r="V138" i="34"/>
  <c r="W138" i="34"/>
  <c r="Y138" i="34"/>
  <c r="AB138" i="34"/>
  <c r="AC138" i="34"/>
  <c r="AD138" i="34"/>
  <c r="P139" i="34"/>
  <c r="T139" i="34"/>
  <c r="U139" i="34"/>
  <c r="V139" i="34"/>
  <c r="W139" i="34"/>
  <c r="Y139" i="34"/>
  <c r="AB139" i="34"/>
  <c r="AC139" i="34"/>
  <c r="AD139" i="34"/>
  <c r="P140" i="34"/>
  <c r="T140" i="34"/>
  <c r="U140" i="34"/>
  <c r="V140" i="34"/>
  <c r="W140" i="34"/>
  <c r="Y140" i="34"/>
  <c r="AB140" i="34"/>
  <c r="AC140" i="34"/>
  <c r="AD140" i="34"/>
  <c r="P141" i="34"/>
  <c r="T141" i="34"/>
  <c r="U141" i="34"/>
  <c r="V141" i="34"/>
  <c r="W141" i="34"/>
  <c r="Y141" i="34"/>
  <c r="AB141" i="34"/>
  <c r="AC141" i="34"/>
  <c r="AD141" i="34"/>
  <c r="P142" i="34"/>
  <c r="T142" i="34"/>
  <c r="U142" i="34"/>
  <c r="V142" i="34"/>
  <c r="W142" i="34"/>
  <c r="Y142" i="34"/>
  <c r="AB142" i="34"/>
  <c r="AC142" i="34"/>
  <c r="AD142" i="34"/>
  <c r="P143" i="34"/>
  <c r="T143" i="34"/>
  <c r="U143" i="34"/>
  <c r="V143" i="34"/>
  <c r="W143" i="34"/>
  <c r="Y143" i="34"/>
  <c r="AB143" i="34"/>
  <c r="AC143" i="34"/>
  <c r="AD143" i="34"/>
  <c r="P144" i="34"/>
  <c r="T144" i="34"/>
  <c r="U144" i="34"/>
  <c r="V144" i="34"/>
  <c r="W144" i="34"/>
  <c r="Y144" i="34"/>
  <c r="AB144" i="34"/>
  <c r="AC144" i="34"/>
  <c r="AD144" i="34"/>
  <c r="P145" i="34"/>
  <c r="T145" i="34"/>
  <c r="U145" i="34"/>
  <c r="V145" i="34"/>
  <c r="W145" i="34"/>
  <c r="Y145" i="34"/>
  <c r="AB145" i="34"/>
  <c r="AC145" i="34"/>
  <c r="AD145" i="34"/>
  <c r="P146" i="34"/>
  <c r="T146" i="34"/>
  <c r="U146" i="34"/>
  <c r="V146" i="34"/>
  <c r="W146" i="34"/>
  <c r="Y146" i="34"/>
  <c r="AB146" i="34"/>
  <c r="AC146" i="34"/>
  <c r="AD146" i="34"/>
  <c r="P147" i="34"/>
  <c r="T147" i="34"/>
  <c r="U147" i="34"/>
  <c r="V147" i="34"/>
  <c r="W147" i="34"/>
  <c r="Y147" i="34"/>
  <c r="AB147" i="34"/>
  <c r="AC147" i="34"/>
  <c r="AD147" i="34"/>
  <c r="P148" i="34"/>
  <c r="T148" i="34"/>
  <c r="U148" i="34"/>
  <c r="V148" i="34"/>
  <c r="W148" i="34"/>
  <c r="Y148" i="34"/>
  <c r="AB148" i="34"/>
  <c r="AC148" i="34"/>
  <c r="AD148" i="34"/>
  <c r="P149" i="34"/>
  <c r="T149" i="34"/>
  <c r="U149" i="34"/>
  <c r="V149" i="34"/>
  <c r="W149" i="34"/>
  <c r="Y149" i="34"/>
  <c r="AB149" i="34"/>
  <c r="AC149" i="34"/>
  <c r="AD149" i="34"/>
  <c r="P150" i="34"/>
  <c r="T150" i="34"/>
  <c r="U150" i="34"/>
  <c r="V150" i="34"/>
  <c r="W150" i="34"/>
  <c r="Y150" i="34"/>
  <c r="AB150" i="34"/>
  <c r="AC150" i="34"/>
  <c r="AD150" i="34"/>
  <c r="P151" i="34"/>
  <c r="T151" i="34"/>
  <c r="U151" i="34"/>
  <c r="V151" i="34"/>
  <c r="W151" i="34"/>
  <c r="Y151" i="34"/>
  <c r="AB151" i="34"/>
  <c r="AC151" i="34"/>
  <c r="AD151" i="34"/>
  <c r="P152" i="34"/>
  <c r="T152" i="34"/>
  <c r="U152" i="34"/>
  <c r="V152" i="34"/>
  <c r="W152" i="34"/>
  <c r="Y152" i="34"/>
  <c r="AB152" i="34"/>
  <c r="AC152" i="34"/>
  <c r="AD152" i="34"/>
  <c r="P153" i="34"/>
  <c r="T153" i="34"/>
  <c r="U153" i="34"/>
  <c r="V153" i="34"/>
  <c r="W153" i="34"/>
  <c r="Y153" i="34"/>
  <c r="AB153" i="34"/>
  <c r="AC153" i="34"/>
  <c r="AD153" i="34"/>
  <c r="P154" i="34"/>
  <c r="T154" i="34"/>
  <c r="U154" i="34"/>
  <c r="V154" i="34"/>
  <c r="W154" i="34"/>
  <c r="Y154" i="34"/>
  <c r="AB154" i="34"/>
  <c r="AC154" i="34"/>
  <c r="AD154" i="34"/>
  <c r="P155" i="34"/>
  <c r="T155" i="34"/>
  <c r="U155" i="34"/>
  <c r="V155" i="34"/>
  <c r="W155" i="34"/>
  <c r="Y155" i="34"/>
  <c r="AB155" i="34"/>
  <c r="AC155" i="34"/>
  <c r="AD155" i="34"/>
  <c r="P156" i="34"/>
  <c r="T156" i="34"/>
  <c r="U156" i="34"/>
  <c r="V156" i="34"/>
  <c r="W156" i="34"/>
  <c r="Y156" i="34"/>
  <c r="AB156" i="34"/>
  <c r="AC156" i="34"/>
  <c r="AD156" i="34"/>
  <c r="P157" i="34"/>
  <c r="T157" i="34"/>
  <c r="U157" i="34"/>
  <c r="V157" i="34"/>
  <c r="W157" i="34"/>
  <c r="Y157" i="34"/>
  <c r="AB157" i="34"/>
  <c r="AC157" i="34"/>
  <c r="AD157" i="34"/>
  <c r="P158" i="34"/>
  <c r="T158" i="34"/>
  <c r="U158" i="34"/>
  <c r="V158" i="34"/>
  <c r="W158" i="34"/>
  <c r="Y158" i="34"/>
  <c r="AB158" i="34"/>
  <c r="AC158" i="34"/>
  <c r="AD158" i="34"/>
  <c r="P159" i="34"/>
  <c r="T159" i="34"/>
  <c r="U159" i="34"/>
  <c r="V159" i="34"/>
  <c r="W159" i="34"/>
  <c r="Y159" i="34"/>
  <c r="AB159" i="34"/>
  <c r="AC159" i="34"/>
  <c r="AD159" i="34"/>
  <c r="P160" i="34"/>
  <c r="T160" i="34"/>
  <c r="U160" i="34"/>
  <c r="V160" i="34"/>
  <c r="W160" i="34"/>
  <c r="Y160" i="34"/>
  <c r="AB160" i="34"/>
  <c r="AC160" i="34"/>
  <c r="AD160" i="34"/>
  <c r="P161" i="34"/>
  <c r="T161" i="34"/>
  <c r="U161" i="34"/>
  <c r="V161" i="34"/>
  <c r="W161" i="34"/>
  <c r="Y161" i="34"/>
  <c r="AB161" i="34"/>
  <c r="AC161" i="34"/>
  <c r="AD161" i="34"/>
  <c r="P162" i="34"/>
  <c r="T162" i="34"/>
  <c r="U162" i="34"/>
  <c r="V162" i="34"/>
  <c r="W162" i="34"/>
  <c r="Y162" i="34"/>
  <c r="AB162" i="34"/>
  <c r="AC162" i="34"/>
  <c r="AD162" i="34"/>
  <c r="P163" i="34"/>
  <c r="T163" i="34"/>
  <c r="U163" i="34"/>
  <c r="V163" i="34"/>
  <c r="W163" i="34"/>
  <c r="Y163" i="34"/>
  <c r="AB163" i="34"/>
  <c r="AC163" i="34"/>
  <c r="AD163" i="34"/>
  <c r="P164" i="34"/>
  <c r="T164" i="34"/>
  <c r="U164" i="34"/>
  <c r="V164" i="34"/>
  <c r="W164" i="34"/>
  <c r="Y164" i="34"/>
  <c r="AB164" i="34"/>
  <c r="AC164" i="34"/>
  <c r="AD164" i="34"/>
  <c r="P165" i="34"/>
  <c r="T165" i="34"/>
  <c r="U165" i="34"/>
  <c r="V165" i="34"/>
  <c r="W165" i="34"/>
  <c r="Y165" i="34"/>
  <c r="AB165" i="34"/>
  <c r="AC165" i="34"/>
  <c r="AD165" i="34"/>
  <c r="P166" i="34"/>
  <c r="T166" i="34"/>
  <c r="U166" i="34"/>
  <c r="V166" i="34"/>
  <c r="W166" i="34"/>
  <c r="Y166" i="34"/>
  <c r="AB166" i="34"/>
  <c r="AC166" i="34"/>
  <c r="AD166" i="34"/>
  <c r="P167" i="34"/>
  <c r="T167" i="34"/>
  <c r="U167" i="34"/>
  <c r="V167" i="34"/>
  <c r="W167" i="34"/>
  <c r="Y167" i="34"/>
  <c r="AB167" i="34"/>
  <c r="AC167" i="34"/>
  <c r="AD167" i="34"/>
  <c r="P168" i="34"/>
  <c r="T168" i="34"/>
  <c r="U168" i="34"/>
  <c r="V168" i="34"/>
  <c r="W168" i="34"/>
  <c r="Y168" i="34"/>
  <c r="AB168" i="34"/>
  <c r="AC168" i="34"/>
  <c r="AD168" i="34"/>
  <c r="P169" i="34"/>
  <c r="T169" i="34"/>
  <c r="U169" i="34"/>
  <c r="V169" i="34"/>
  <c r="W169" i="34"/>
  <c r="Y169" i="34"/>
  <c r="AB169" i="34"/>
  <c r="AC169" i="34"/>
  <c r="AD169" i="34"/>
  <c r="P170" i="34"/>
  <c r="T170" i="34"/>
  <c r="U170" i="34"/>
  <c r="V170" i="34"/>
  <c r="W170" i="34"/>
  <c r="Y170" i="34"/>
  <c r="AB170" i="34"/>
  <c r="AC170" i="34"/>
  <c r="AD170" i="34"/>
  <c r="P171" i="34"/>
  <c r="T171" i="34"/>
  <c r="U171" i="34"/>
  <c r="V171" i="34"/>
  <c r="W171" i="34"/>
  <c r="Y171" i="34"/>
  <c r="AB171" i="34"/>
  <c r="AC171" i="34"/>
  <c r="AD171" i="34"/>
  <c r="P172" i="34"/>
  <c r="T172" i="34"/>
  <c r="U172" i="34"/>
  <c r="V172" i="34"/>
  <c r="W172" i="34"/>
  <c r="Y172" i="34"/>
  <c r="AB172" i="34"/>
  <c r="AC172" i="34"/>
  <c r="AD172" i="34"/>
  <c r="P173" i="34"/>
  <c r="T173" i="34"/>
  <c r="U173" i="34"/>
  <c r="V173" i="34"/>
  <c r="W173" i="34"/>
  <c r="Y173" i="34"/>
  <c r="AB173" i="34"/>
  <c r="AC173" i="34"/>
  <c r="AD173" i="34"/>
  <c r="P174" i="34"/>
  <c r="T174" i="34"/>
  <c r="U174" i="34"/>
  <c r="V174" i="34"/>
  <c r="W174" i="34"/>
  <c r="Y174" i="34"/>
  <c r="AB174" i="34"/>
  <c r="AC174" i="34"/>
  <c r="AD174" i="34"/>
  <c r="P175" i="34"/>
  <c r="T175" i="34"/>
  <c r="U175" i="34"/>
  <c r="V175" i="34"/>
  <c r="W175" i="34"/>
  <c r="Y175" i="34"/>
  <c r="AB175" i="34"/>
  <c r="AC175" i="34"/>
  <c r="AD175" i="34"/>
  <c r="P176" i="34"/>
  <c r="T176" i="34"/>
  <c r="U176" i="34"/>
  <c r="V176" i="34"/>
  <c r="W176" i="34"/>
  <c r="Y176" i="34"/>
  <c r="AB176" i="34"/>
  <c r="AC176" i="34"/>
  <c r="AD176" i="34"/>
  <c r="P177" i="34"/>
  <c r="T177" i="34"/>
  <c r="U177" i="34"/>
  <c r="V177" i="34"/>
  <c r="W177" i="34"/>
  <c r="Y177" i="34"/>
  <c r="AB177" i="34"/>
  <c r="AC177" i="34"/>
  <c r="AD177" i="34"/>
  <c r="P178" i="34"/>
  <c r="T178" i="34"/>
  <c r="U178" i="34"/>
  <c r="V178" i="34"/>
  <c r="W178" i="34"/>
  <c r="Y178" i="34"/>
  <c r="AB178" i="34"/>
  <c r="AC178" i="34"/>
  <c r="AD178" i="34"/>
  <c r="P179" i="34"/>
  <c r="T179" i="34"/>
  <c r="U179" i="34"/>
  <c r="V179" i="34"/>
  <c r="W179" i="34"/>
  <c r="Y179" i="34"/>
  <c r="AB179" i="34"/>
  <c r="AC179" i="34"/>
  <c r="AD179" i="34"/>
  <c r="P180" i="34"/>
  <c r="T180" i="34"/>
  <c r="U180" i="34"/>
  <c r="V180" i="34"/>
  <c r="W180" i="34"/>
  <c r="Y180" i="34"/>
  <c r="AB180" i="34"/>
  <c r="AC180" i="34"/>
  <c r="AD180" i="34"/>
  <c r="P181" i="34"/>
  <c r="T181" i="34"/>
  <c r="U181" i="34"/>
  <c r="V181" i="34"/>
  <c r="W181" i="34"/>
  <c r="Y181" i="34"/>
  <c r="AB181" i="34"/>
  <c r="AC181" i="34"/>
  <c r="AD181" i="34"/>
  <c r="P182" i="34"/>
  <c r="T182" i="34"/>
  <c r="U182" i="34"/>
  <c r="V182" i="34"/>
  <c r="W182" i="34"/>
  <c r="Y182" i="34"/>
  <c r="AB182" i="34"/>
  <c r="AC182" i="34"/>
  <c r="AD182" i="34"/>
  <c r="P183" i="34"/>
  <c r="T183" i="34"/>
  <c r="U183" i="34"/>
  <c r="V183" i="34"/>
  <c r="W183" i="34"/>
  <c r="Y183" i="34"/>
  <c r="AB183" i="34"/>
  <c r="AC183" i="34"/>
  <c r="AD183" i="34"/>
  <c r="P184" i="34"/>
  <c r="T184" i="34"/>
  <c r="U184" i="34"/>
  <c r="V184" i="34"/>
  <c r="W184" i="34"/>
  <c r="Y184" i="34"/>
  <c r="AB184" i="34"/>
  <c r="AC184" i="34"/>
  <c r="AD184" i="34"/>
  <c r="P185" i="34"/>
  <c r="T185" i="34"/>
  <c r="U185" i="34"/>
  <c r="V185" i="34"/>
  <c r="W185" i="34"/>
  <c r="Y185" i="34"/>
  <c r="AB185" i="34"/>
  <c r="AC185" i="34"/>
  <c r="AD185" i="34"/>
  <c r="P186" i="34"/>
  <c r="T186" i="34"/>
  <c r="U186" i="34"/>
  <c r="V186" i="34"/>
  <c r="W186" i="34"/>
  <c r="Y186" i="34"/>
  <c r="AB186" i="34"/>
  <c r="AC186" i="34"/>
  <c r="AD186" i="34"/>
  <c r="P187" i="34"/>
  <c r="T187" i="34"/>
  <c r="U187" i="34"/>
  <c r="V187" i="34"/>
  <c r="W187" i="34"/>
  <c r="Y187" i="34"/>
  <c r="AB187" i="34"/>
  <c r="AC187" i="34"/>
  <c r="AD187" i="34"/>
  <c r="P188" i="34"/>
  <c r="T188" i="34"/>
  <c r="U188" i="34"/>
  <c r="V188" i="34"/>
  <c r="W188" i="34"/>
  <c r="Y188" i="34"/>
  <c r="AB188" i="34"/>
  <c r="AC188" i="34"/>
  <c r="AD188" i="34"/>
  <c r="P189" i="34"/>
  <c r="T189" i="34"/>
  <c r="U189" i="34"/>
  <c r="V189" i="34"/>
  <c r="W189" i="34"/>
  <c r="Y189" i="34"/>
  <c r="AB189" i="34"/>
  <c r="AC189" i="34"/>
  <c r="AD189" i="34"/>
  <c r="P190" i="34"/>
  <c r="T190" i="34"/>
  <c r="U190" i="34"/>
  <c r="V190" i="34"/>
  <c r="W190" i="34"/>
  <c r="Y190" i="34"/>
  <c r="AB190" i="34"/>
  <c r="AC190" i="34"/>
  <c r="AD190" i="34"/>
  <c r="P191" i="34"/>
  <c r="T191" i="34"/>
  <c r="U191" i="34"/>
  <c r="V191" i="34"/>
  <c r="W191" i="34"/>
  <c r="Y191" i="34"/>
  <c r="AB191" i="34"/>
  <c r="AC191" i="34"/>
  <c r="AD191" i="34"/>
  <c r="P192" i="34"/>
  <c r="T192" i="34"/>
  <c r="U192" i="34"/>
  <c r="V192" i="34"/>
  <c r="W192" i="34"/>
  <c r="Y192" i="34"/>
  <c r="AB192" i="34"/>
  <c r="AC192" i="34"/>
  <c r="AD192" i="34"/>
  <c r="P193" i="34"/>
  <c r="T193" i="34"/>
  <c r="U193" i="34"/>
  <c r="V193" i="34"/>
  <c r="W193" i="34"/>
  <c r="Y193" i="34"/>
  <c r="AB193" i="34"/>
  <c r="AC193" i="34"/>
  <c r="AD193" i="34"/>
  <c r="P194" i="34"/>
  <c r="T194" i="34"/>
  <c r="U194" i="34"/>
  <c r="V194" i="34"/>
  <c r="W194" i="34"/>
  <c r="Y194" i="34"/>
  <c r="AB194" i="34"/>
  <c r="AC194" i="34"/>
  <c r="AD194" i="34"/>
  <c r="P195" i="34"/>
  <c r="T195" i="34"/>
  <c r="U195" i="34"/>
  <c r="V195" i="34"/>
  <c r="W195" i="34"/>
  <c r="Y195" i="34"/>
  <c r="AB195" i="34"/>
  <c r="AC195" i="34"/>
  <c r="AD195" i="34"/>
  <c r="P196" i="34"/>
  <c r="T196" i="34"/>
  <c r="U196" i="34"/>
  <c r="V196" i="34"/>
  <c r="W196" i="34"/>
  <c r="Y196" i="34"/>
  <c r="AB196" i="34"/>
  <c r="AC196" i="34"/>
  <c r="AD196" i="34"/>
  <c r="P197" i="34"/>
  <c r="T197" i="34"/>
  <c r="U197" i="34"/>
  <c r="V197" i="34"/>
  <c r="W197" i="34"/>
  <c r="Y197" i="34"/>
  <c r="AB197" i="34"/>
  <c r="AC197" i="34"/>
  <c r="AD197" i="34"/>
  <c r="P198" i="34"/>
  <c r="T198" i="34"/>
  <c r="U198" i="34"/>
  <c r="V198" i="34"/>
  <c r="W198" i="34"/>
  <c r="Y198" i="34"/>
  <c r="AB198" i="34"/>
  <c r="AC198" i="34"/>
  <c r="AD198" i="34"/>
  <c r="P199" i="34"/>
  <c r="T199" i="34"/>
  <c r="U199" i="34"/>
  <c r="V199" i="34"/>
  <c r="W199" i="34"/>
  <c r="Y199" i="34"/>
  <c r="AB199" i="34"/>
  <c r="AC199" i="34"/>
  <c r="AD199" i="34"/>
  <c r="P200" i="34"/>
  <c r="T200" i="34"/>
  <c r="U200" i="34"/>
  <c r="V200" i="34"/>
  <c r="W200" i="34"/>
  <c r="Y200" i="34"/>
  <c r="AB200" i="34"/>
  <c r="AC200" i="34"/>
  <c r="AD200" i="34"/>
  <c r="P201" i="34"/>
  <c r="T201" i="34"/>
  <c r="U201" i="34"/>
  <c r="V201" i="34"/>
  <c r="W201" i="34"/>
  <c r="Y201" i="34"/>
  <c r="AB201" i="34"/>
  <c r="AC201" i="34"/>
  <c r="AD201" i="34"/>
  <c r="P202" i="34"/>
  <c r="T202" i="34"/>
  <c r="U202" i="34"/>
  <c r="V202" i="34"/>
  <c r="W202" i="34"/>
  <c r="Y202" i="34"/>
  <c r="AB202" i="34"/>
  <c r="AC202" i="34"/>
  <c r="AD202" i="34"/>
  <c r="P203" i="34"/>
  <c r="T203" i="34"/>
  <c r="U203" i="34"/>
  <c r="V203" i="34"/>
  <c r="W203" i="34"/>
  <c r="Y203" i="34"/>
  <c r="AB203" i="34"/>
  <c r="AC203" i="34"/>
  <c r="AD203" i="34"/>
  <c r="P204" i="34"/>
  <c r="T204" i="34"/>
  <c r="U204" i="34"/>
  <c r="V204" i="34"/>
  <c r="W204" i="34"/>
  <c r="Y204" i="34"/>
  <c r="AB204" i="34"/>
  <c r="AC204" i="34"/>
  <c r="AD204" i="34"/>
  <c r="P205" i="34"/>
  <c r="T205" i="34"/>
  <c r="U205" i="34"/>
  <c r="V205" i="34"/>
  <c r="W205" i="34"/>
  <c r="Y205" i="34"/>
  <c r="AB205" i="34"/>
  <c r="AC205" i="34"/>
  <c r="AD205" i="34"/>
  <c r="P206" i="34"/>
  <c r="T206" i="34"/>
  <c r="U206" i="34"/>
  <c r="V206" i="34"/>
  <c r="W206" i="34"/>
  <c r="Y206" i="34"/>
  <c r="AB206" i="34"/>
  <c r="AC206" i="34"/>
  <c r="AD206" i="34"/>
  <c r="P207" i="34"/>
  <c r="T207" i="34"/>
  <c r="U207" i="34"/>
  <c r="V207" i="34"/>
  <c r="W207" i="34"/>
  <c r="Y207" i="34"/>
  <c r="AB207" i="34"/>
  <c r="AC207" i="34"/>
  <c r="AD207" i="34"/>
  <c r="P208" i="34"/>
  <c r="T208" i="34"/>
  <c r="U208" i="34"/>
  <c r="V208" i="34"/>
  <c r="W208" i="34"/>
  <c r="Y208" i="34"/>
  <c r="AB208" i="34"/>
  <c r="AC208" i="34"/>
  <c r="AD208" i="34"/>
  <c r="P209" i="34"/>
  <c r="T209" i="34"/>
  <c r="U209" i="34"/>
  <c r="V209" i="34"/>
  <c r="W209" i="34"/>
  <c r="Y209" i="34"/>
  <c r="AB209" i="34"/>
  <c r="AC209" i="34"/>
  <c r="AD209" i="34"/>
  <c r="P210" i="34"/>
  <c r="T210" i="34"/>
  <c r="U210" i="34"/>
  <c r="V210" i="34"/>
  <c r="W210" i="34"/>
  <c r="Y210" i="34"/>
  <c r="AB210" i="34"/>
  <c r="AC210" i="34"/>
  <c r="AD210" i="34"/>
  <c r="P211" i="34"/>
  <c r="T211" i="34"/>
  <c r="U211" i="34"/>
  <c r="V211" i="34"/>
  <c r="W211" i="34"/>
  <c r="Y211" i="34"/>
  <c r="AB211" i="34"/>
  <c r="AC211" i="34"/>
  <c r="AD211" i="34"/>
  <c r="P212" i="34"/>
  <c r="T212" i="34"/>
  <c r="U212" i="34"/>
  <c r="V212" i="34"/>
  <c r="W212" i="34"/>
  <c r="Y212" i="34"/>
  <c r="AB212" i="34"/>
  <c r="AC212" i="34"/>
  <c r="AD212" i="34"/>
  <c r="P213" i="34"/>
  <c r="T213" i="34"/>
  <c r="U213" i="34"/>
  <c r="V213" i="34"/>
  <c r="W213" i="34"/>
  <c r="Y213" i="34"/>
  <c r="AB213" i="34"/>
  <c r="AC213" i="34"/>
  <c r="AD213" i="34"/>
  <c r="P214" i="34"/>
  <c r="T214" i="34"/>
  <c r="U214" i="34"/>
  <c r="V214" i="34"/>
  <c r="W214" i="34"/>
  <c r="Y214" i="34"/>
  <c r="AB214" i="34"/>
  <c r="AC214" i="34"/>
  <c r="AD214" i="34"/>
  <c r="P215" i="34"/>
  <c r="T215" i="34"/>
  <c r="U215" i="34"/>
  <c r="V215" i="34"/>
  <c r="W215" i="34"/>
  <c r="Y215" i="34"/>
  <c r="AB215" i="34"/>
  <c r="AC215" i="34"/>
  <c r="AD215" i="34"/>
  <c r="P216" i="34"/>
  <c r="T216" i="34"/>
  <c r="U216" i="34"/>
  <c r="V216" i="34"/>
  <c r="W216" i="34"/>
  <c r="Y216" i="34"/>
  <c r="AB216" i="34"/>
  <c r="AC216" i="34"/>
  <c r="AD216" i="34"/>
  <c r="P217" i="34"/>
  <c r="T217" i="34"/>
  <c r="U217" i="34"/>
  <c r="V217" i="34"/>
  <c r="W217" i="34"/>
  <c r="Y217" i="34"/>
  <c r="AB217" i="34"/>
  <c r="AC217" i="34"/>
  <c r="AD217" i="34"/>
  <c r="P218" i="34"/>
  <c r="T218" i="34"/>
  <c r="U218" i="34"/>
  <c r="V218" i="34"/>
  <c r="W218" i="34"/>
  <c r="Y218" i="34"/>
  <c r="AB218" i="34"/>
  <c r="AC218" i="34"/>
  <c r="AD218" i="34"/>
  <c r="P219" i="34"/>
  <c r="T219" i="34"/>
  <c r="U219" i="34"/>
  <c r="V219" i="34"/>
  <c r="W219" i="34"/>
  <c r="Y219" i="34"/>
  <c r="AB219" i="34"/>
  <c r="AC219" i="34"/>
  <c r="AD219" i="34"/>
  <c r="P220" i="34"/>
  <c r="T220" i="34"/>
  <c r="U220" i="34"/>
  <c r="V220" i="34"/>
  <c r="W220" i="34"/>
  <c r="Y220" i="34"/>
  <c r="AB220" i="34"/>
  <c r="AC220" i="34"/>
  <c r="AD220" i="34"/>
  <c r="P221" i="34"/>
  <c r="T221" i="34"/>
  <c r="U221" i="34"/>
  <c r="V221" i="34"/>
  <c r="W221" i="34"/>
  <c r="Y221" i="34"/>
  <c r="AB221" i="34"/>
  <c r="AC221" i="34"/>
  <c r="AD221" i="34"/>
  <c r="P222" i="34"/>
  <c r="T222" i="34"/>
  <c r="U222" i="34"/>
  <c r="V222" i="34"/>
  <c r="W222" i="34"/>
  <c r="Y222" i="34"/>
  <c r="AB222" i="34"/>
  <c r="AC222" i="34"/>
  <c r="AD222" i="34"/>
  <c r="P223" i="34"/>
  <c r="T223" i="34"/>
  <c r="U223" i="34"/>
  <c r="V223" i="34"/>
  <c r="W223" i="34"/>
  <c r="Y223" i="34"/>
  <c r="AB223" i="34"/>
  <c r="AC223" i="34"/>
  <c r="AD223" i="34"/>
  <c r="P224" i="34"/>
  <c r="T224" i="34"/>
  <c r="U224" i="34"/>
  <c r="V224" i="34"/>
  <c r="W224" i="34"/>
  <c r="Y224" i="34"/>
  <c r="AB224" i="34"/>
  <c r="AC224" i="34"/>
  <c r="AD224" i="34"/>
  <c r="P225" i="34"/>
  <c r="T225" i="34"/>
  <c r="U225" i="34"/>
  <c r="V225" i="34"/>
  <c r="W225" i="34"/>
  <c r="Y225" i="34"/>
  <c r="AB225" i="34"/>
  <c r="AC225" i="34"/>
  <c r="AD225" i="34"/>
  <c r="P226" i="34"/>
  <c r="T226" i="34"/>
  <c r="U226" i="34"/>
  <c r="V226" i="34"/>
  <c r="W226" i="34"/>
  <c r="Y226" i="34"/>
  <c r="AB226" i="34"/>
  <c r="AC226" i="34"/>
  <c r="AD226" i="34"/>
  <c r="P227" i="34"/>
  <c r="T227" i="34"/>
  <c r="U227" i="34"/>
  <c r="V227" i="34"/>
  <c r="W227" i="34"/>
  <c r="Y227" i="34"/>
  <c r="AB227" i="34"/>
  <c r="AC227" i="34"/>
  <c r="AD227" i="34"/>
  <c r="P228" i="34"/>
  <c r="T228" i="34"/>
  <c r="U228" i="34"/>
  <c r="V228" i="34"/>
  <c r="W228" i="34"/>
  <c r="Y228" i="34"/>
  <c r="AB228" i="34"/>
  <c r="AC228" i="34"/>
  <c r="AD228" i="34"/>
  <c r="P229" i="34"/>
  <c r="T229" i="34"/>
  <c r="U229" i="34"/>
  <c r="V229" i="34"/>
  <c r="W229" i="34"/>
  <c r="Y229" i="34"/>
  <c r="AB229" i="34"/>
  <c r="AC229" i="34"/>
  <c r="AD229" i="34"/>
  <c r="P230" i="34"/>
  <c r="T230" i="34"/>
  <c r="U230" i="34"/>
  <c r="V230" i="34"/>
  <c r="W230" i="34"/>
  <c r="Y230" i="34"/>
  <c r="AB230" i="34"/>
  <c r="AC230" i="34"/>
  <c r="AD230" i="34"/>
  <c r="P231" i="34"/>
  <c r="T231" i="34"/>
  <c r="U231" i="34"/>
  <c r="V231" i="34"/>
  <c r="W231" i="34"/>
  <c r="Y231" i="34"/>
  <c r="AB231" i="34"/>
  <c r="AC231" i="34"/>
  <c r="AD231" i="34"/>
  <c r="P232" i="34"/>
  <c r="T232" i="34"/>
  <c r="U232" i="34"/>
  <c r="V232" i="34"/>
  <c r="W232" i="34"/>
  <c r="Y232" i="34"/>
  <c r="AB232" i="34"/>
  <c r="AC232" i="34"/>
  <c r="AD232" i="34"/>
  <c r="P233" i="34"/>
  <c r="T233" i="34"/>
  <c r="U233" i="34"/>
  <c r="V233" i="34"/>
  <c r="W233" i="34"/>
  <c r="Y233" i="34"/>
  <c r="AB233" i="34"/>
  <c r="AC233" i="34"/>
  <c r="AD233" i="34"/>
  <c r="P234" i="34"/>
  <c r="T234" i="34"/>
  <c r="U234" i="34"/>
  <c r="V234" i="34"/>
  <c r="W234" i="34"/>
  <c r="Y234" i="34"/>
  <c r="AB234" i="34"/>
  <c r="AC234" i="34"/>
  <c r="AD234" i="34"/>
  <c r="P235" i="34"/>
  <c r="T235" i="34"/>
  <c r="U235" i="34"/>
  <c r="V235" i="34"/>
  <c r="W235" i="34"/>
  <c r="Y235" i="34"/>
  <c r="AB235" i="34"/>
  <c r="AC235" i="34"/>
  <c r="AD235" i="34"/>
  <c r="P236" i="34"/>
  <c r="T236" i="34"/>
  <c r="U236" i="34"/>
  <c r="V236" i="34"/>
  <c r="W236" i="34"/>
  <c r="Y236" i="34"/>
  <c r="AB236" i="34"/>
  <c r="AC236" i="34"/>
  <c r="AD236" i="34"/>
  <c r="P237" i="34"/>
  <c r="T237" i="34"/>
  <c r="U237" i="34"/>
  <c r="V237" i="34"/>
  <c r="W237" i="34"/>
  <c r="Y237" i="34"/>
  <c r="AB237" i="34"/>
  <c r="AC237" i="34"/>
  <c r="AD237" i="34"/>
  <c r="P238" i="34"/>
  <c r="T238" i="34"/>
  <c r="U238" i="34"/>
  <c r="V238" i="34"/>
  <c r="W238" i="34"/>
  <c r="Y238" i="34"/>
  <c r="AB238" i="34"/>
  <c r="AC238" i="34"/>
  <c r="AD238" i="34"/>
  <c r="P239" i="34"/>
  <c r="T239" i="34"/>
  <c r="U239" i="34"/>
  <c r="V239" i="34"/>
  <c r="W239" i="34"/>
  <c r="Y239" i="34"/>
  <c r="AB239" i="34"/>
  <c r="AC239" i="34"/>
  <c r="AD239" i="34"/>
  <c r="P240" i="34"/>
  <c r="T240" i="34"/>
  <c r="U240" i="34"/>
  <c r="V240" i="34"/>
  <c r="W240" i="34"/>
  <c r="Y240" i="34"/>
  <c r="AB240" i="34"/>
  <c r="AC240" i="34"/>
  <c r="AD240" i="34"/>
  <c r="P241" i="34"/>
  <c r="T241" i="34"/>
  <c r="U241" i="34"/>
  <c r="V241" i="34"/>
  <c r="W241" i="34"/>
  <c r="Y241" i="34"/>
  <c r="AB241" i="34"/>
  <c r="AC241" i="34"/>
  <c r="AD241" i="34"/>
  <c r="P242" i="34"/>
  <c r="T242" i="34"/>
  <c r="U242" i="34"/>
  <c r="V242" i="34"/>
  <c r="W242" i="34"/>
  <c r="Y242" i="34"/>
  <c r="AB242" i="34"/>
  <c r="AC242" i="34"/>
  <c r="AD242" i="34"/>
  <c r="P243" i="34"/>
  <c r="T243" i="34"/>
  <c r="U243" i="34"/>
  <c r="V243" i="34"/>
  <c r="W243" i="34"/>
  <c r="Y243" i="34"/>
  <c r="AB243" i="34"/>
  <c r="AC243" i="34"/>
  <c r="AD243" i="34"/>
  <c r="P244" i="34"/>
  <c r="T244" i="34"/>
  <c r="U244" i="34"/>
  <c r="V244" i="34"/>
  <c r="W244" i="34"/>
  <c r="Y244" i="34"/>
  <c r="AB244" i="34"/>
  <c r="AC244" i="34"/>
  <c r="AD244" i="34"/>
  <c r="P245" i="34"/>
  <c r="T245" i="34"/>
  <c r="U245" i="34"/>
  <c r="V245" i="34"/>
  <c r="W245" i="34"/>
  <c r="Y245" i="34"/>
  <c r="AB245" i="34"/>
  <c r="AC245" i="34"/>
  <c r="AD245" i="34"/>
  <c r="P246" i="34"/>
  <c r="T246" i="34"/>
  <c r="U246" i="34"/>
  <c r="V246" i="34"/>
  <c r="W246" i="34"/>
  <c r="Y246" i="34"/>
  <c r="AB246" i="34"/>
  <c r="AC246" i="34"/>
  <c r="AD246" i="34"/>
  <c r="P247" i="34"/>
  <c r="T247" i="34"/>
  <c r="U247" i="34"/>
  <c r="V247" i="34"/>
  <c r="W247" i="34"/>
  <c r="Y247" i="34"/>
  <c r="AB247" i="34"/>
  <c r="AC247" i="34"/>
  <c r="AD247" i="34"/>
  <c r="P248" i="34"/>
  <c r="T248" i="34"/>
  <c r="U248" i="34"/>
  <c r="V248" i="34"/>
  <c r="W248" i="34"/>
  <c r="Y248" i="34"/>
  <c r="AB248" i="34"/>
  <c r="AC248" i="34"/>
  <c r="AD248" i="34"/>
  <c r="P249" i="34"/>
  <c r="T249" i="34"/>
  <c r="U249" i="34"/>
  <c r="V249" i="34"/>
  <c r="W249" i="34"/>
  <c r="Y249" i="34"/>
  <c r="AB249" i="34"/>
  <c r="AC249" i="34"/>
  <c r="AD249" i="34"/>
  <c r="P250" i="34"/>
  <c r="T250" i="34"/>
  <c r="U250" i="34"/>
  <c r="V250" i="34"/>
  <c r="W250" i="34"/>
  <c r="Y250" i="34"/>
  <c r="AB250" i="34"/>
  <c r="AC250" i="34"/>
  <c r="AD250" i="34"/>
  <c r="P251" i="34"/>
  <c r="T251" i="34"/>
  <c r="U251" i="34"/>
  <c r="V251" i="34"/>
  <c r="W251" i="34"/>
  <c r="Y251" i="34"/>
  <c r="AB251" i="34"/>
  <c r="AC251" i="34"/>
  <c r="AD251" i="34"/>
  <c r="P252" i="34"/>
  <c r="T252" i="34"/>
  <c r="U252" i="34"/>
  <c r="V252" i="34"/>
  <c r="W252" i="34"/>
  <c r="Y252" i="34"/>
  <c r="AB252" i="34"/>
  <c r="AC252" i="34"/>
  <c r="AD252" i="34"/>
  <c r="P253" i="34"/>
  <c r="T253" i="34"/>
  <c r="U253" i="34"/>
  <c r="V253" i="34"/>
  <c r="W253" i="34"/>
  <c r="Y253" i="34"/>
  <c r="AB253" i="34"/>
  <c r="AC253" i="34"/>
  <c r="AD253" i="34"/>
  <c r="P254" i="34"/>
  <c r="T254" i="34"/>
  <c r="U254" i="34"/>
  <c r="V254" i="34"/>
  <c r="W254" i="34"/>
  <c r="Y254" i="34"/>
  <c r="AB254" i="34"/>
  <c r="AC254" i="34"/>
  <c r="AD254" i="34"/>
  <c r="P255" i="34"/>
  <c r="T255" i="34"/>
  <c r="U255" i="34"/>
  <c r="V255" i="34"/>
  <c r="W255" i="34"/>
  <c r="Y255" i="34"/>
  <c r="AB255" i="34"/>
  <c r="AC255" i="34"/>
  <c r="AD255" i="34"/>
  <c r="P256" i="34"/>
  <c r="T256" i="34"/>
  <c r="U256" i="34"/>
  <c r="V256" i="34"/>
  <c r="W256" i="34"/>
  <c r="Y256" i="34"/>
  <c r="AB256" i="34"/>
  <c r="AC256" i="34"/>
  <c r="AD256" i="34"/>
  <c r="P257" i="34"/>
  <c r="T257" i="34"/>
  <c r="U257" i="34"/>
  <c r="V257" i="34"/>
  <c r="W257" i="34"/>
  <c r="Y257" i="34"/>
  <c r="AB257" i="34"/>
  <c r="AC257" i="34"/>
  <c r="AD257" i="34"/>
  <c r="P258" i="34"/>
  <c r="T258" i="34"/>
  <c r="U258" i="34"/>
  <c r="V258" i="34"/>
  <c r="W258" i="34"/>
  <c r="Y258" i="34"/>
  <c r="AB258" i="34"/>
  <c r="AC258" i="34"/>
  <c r="AD258" i="34"/>
  <c r="P259" i="34"/>
  <c r="T259" i="34"/>
  <c r="U259" i="34"/>
  <c r="V259" i="34"/>
  <c r="W259" i="34"/>
  <c r="Y259" i="34"/>
  <c r="AB259" i="34"/>
  <c r="AC259" i="34"/>
  <c r="AD259" i="34"/>
  <c r="P260" i="34"/>
  <c r="T260" i="34"/>
  <c r="U260" i="34"/>
  <c r="V260" i="34"/>
  <c r="W260" i="34"/>
  <c r="Y260" i="34"/>
  <c r="AB260" i="34"/>
  <c r="AC260" i="34"/>
  <c r="AD260" i="34"/>
  <c r="P261" i="34"/>
  <c r="T261" i="34"/>
  <c r="U261" i="34"/>
  <c r="V261" i="34"/>
  <c r="W261" i="34"/>
  <c r="Y261" i="34"/>
  <c r="AB261" i="34"/>
  <c r="AC261" i="34"/>
  <c r="AD261" i="34"/>
  <c r="P262" i="34"/>
  <c r="T262" i="34"/>
  <c r="U262" i="34"/>
  <c r="V262" i="34"/>
  <c r="W262" i="34"/>
  <c r="Y262" i="34"/>
  <c r="AB262" i="34"/>
  <c r="AC262" i="34"/>
  <c r="AD262" i="34"/>
  <c r="P263" i="34"/>
  <c r="T263" i="34"/>
  <c r="U263" i="34"/>
  <c r="V263" i="34"/>
  <c r="W263" i="34"/>
  <c r="Y263" i="34"/>
  <c r="AB263" i="34"/>
  <c r="AC263" i="34"/>
  <c r="AD263" i="34"/>
  <c r="P264" i="34"/>
  <c r="T264" i="34"/>
  <c r="U264" i="34"/>
  <c r="V264" i="34"/>
  <c r="W264" i="34"/>
  <c r="Y264" i="34"/>
  <c r="AB264" i="34"/>
  <c r="AC264" i="34"/>
  <c r="AD264" i="34"/>
  <c r="P265" i="34"/>
  <c r="T265" i="34"/>
  <c r="U265" i="34"/>
  <c r="V265" i="34"/>
  <c r="W265" i="34"/>
  <c r="Y265" i="34"/>
  <c r="AB265" i="34"/>
  <c r="AC265" i="34"/>
  <c r="AD265" i="34"/>
  <c r="P266" i="34"/>
  <c r="T266" i="34"/>
  <c r="U266" i="34"/>
  <c r="V266" i="34"/>
  <c r="W266" i="34"/>
  <c r="Y266" i="34"/>
  <c r="AB266" i="34"/>
  <c r="AC266" i="34"/>
  <c r="AD266" i="34"/>
  <c r="P267" i="34"/>
  <c r="T267" i="34"/>
  <c r="U267" i="34"/>
  <c r="V267" i="34"/>
  <c r="W267" i="34"/>
  <c r="Y267" i="34"/>
  <c r="AB267" i="34"/>
  <c r="AC267" i="34"/>
  <c r="AD267" i="34"/>
  <c r="P268" i="34"/>
  <c r="T268" i="34"/>
  <c r="U268" i="34"/>
  <c r="V268" i="34"/>
  <c r="W268" i="34"/>
  <c r="Y268" i="34"/>
  <c r="AB268" i="34"/>
  <c r="AC268" i="34"/>
  <c r="AD268" i="34"/>
  <c r="P269" i="34"/>
  <c r="T269" i="34"/>
  <c r="U269" i="34"/>
  <c r="V269" i="34"/>
  <c r="W269" i="34"/>
  <c r="Y269" i="34"/>
  <c r="AB269" i="34"/>
  <c r="AC269" i="34"/>
  <c r="AD269" i="34"/>
  <c r="P270" i="34"/>
  <c r="T270" i="34"/>
  <c r="U270" i="34"/>
  <c r="V270" i="34"/>
  <c r="W270" i="34"/>
  <c r="Y270" i="34"/>
  <c r="AB270" i="34"/>
  <c r="AC270" i="34"/>
  <c r="AD270" i="34"/>
  <c r="P271" i="34"/>
  <c r="T271" i="34"/>
  <c r="U271" i="34"/>
  <c r="V271" i="34"/>
  <c r="W271" i="34"/>
  <c r="Y271" i="34"/>
  <c r="AB271" i="34"/>
  <c r="AC271" i="34"/>
  <c r="AD271" i="34"/>
  <c r="P272" i="34"/>
  <c r="T272" i="34"/>
  <c r="U272" i="34"/>
  <c r="V272" i="34"/>
  <c r="W272" i="34"/>
  <c r="Y272" i="34"/>
  <c r="AB272" i="34"/>
  <c r="AC272" i="34"/>
  <c r="AD272" i="34"/>
  <c r="P273" i="34"/>
  <c r="T273" i="34"/>
  <c r="U273" i="34"/>
  <c r="V273" i="34"/>
  <c r="W273" i="34"/>
  <c r="Y273" i="34"/>
  <c r="AB273" i="34"/>
  <c r="AC273" i="34"/>
  <c r="AD273" i="34"/>
  <c r="P274" i="34"/>
  <c r="T274" i="34"/>
  <c r="U274" i="34"/>
  <c r="V274" i="34"/>
  <c r="W274" i="34"/>
  <c r="Y274" i="34"/>
  <c r="AB274" i="34"/>
  <c r="AC274" i="34"/>
  <c r="AD274" i="34"/>
  <c r="P275" i="34"/>
  <c r="T275" i="34"/>
  <c r="U275" i="34"/>
  <c r="V275" i="34"/>
  <c r="W275" i="34"/>
  <c r="Y275" i="34"/>
  <c r="AB275" i="34"/>
  <c r="AC275" i="34"/>
  <c r="AD275" i="34"/>
  <c r="P276" i="34"/>
  <c r="T276" i="34"/>
  <c r="U276" i="34"/>
  <c r="V276" i="34"/>
  <c r="W276" i="34"/>
  <c r="Y276" i="34"/>
  <c r="AB276" i="34"/>
  <c r="AC276" i="34"/>
  <c r="AD276" i="34"/>
  <c r="P277" i="34"/>
  <c r="T277" i="34"/>
  <c r="U277" i="34"/>
  <c r="V277" i="34"/>
  <c r="W277" i="34"/>
  <c r="Y277" i="34"/>
  <c r="AB277" i="34"/>
  <c r="AC277" i="34"/>
  <c r="AD277" i="34"/>
  <c r="P278" i="34"/>
  <c r="T278" i="34"/>
  <c r="U278" i="34"/>
  <c r="V278" i="34"/>
  <c r="W278" i="34"/>
  <c r="Y278" i="34"/>
  <c r="AB278" i="34"/>
  <c r="AC278" i="34"/>
  <c r="AD278" i="34"/>
  <c r="P279" i="34"/>
  <c r="T279" i="34"/>
  <c r="U279" i="34"/>
  <c r="V279" i="34"/>
  <c r="W279" i="34"/>
  <c r="Y279" i="34"/>
  <c r="AB279" i="34"/>
  <c r="AC279" i="34"/>
  <c r="AD279" i="34"/>
  <c r="P280" i="34"/>
  <c r="T280" i="34"/>
  <c r="U280" i="34"/>
  <c r="V280" i="34"/>
  <c r="W280" i="34"/>
  <c r="Y280" i="34"/>
  <c r="AB280" i="34"/>
  <c r="AC280" i="34"/>
  <c r="AD280" i="34"/>
  <c r="P281" i="34"/>
  <c r="T281" i="34"/>
  <c r="U281" i="34"/>
  <c r="V281" i="34"/>
  <c r="W281" i="34"/>
  <c r="Y281" i="34"/>
  <c r="AB281" i="34"/>
  <c r="AC281" i="34"/>
  <c r="AD281" i="34"/>
  <c r="P282" i="34"/>
  <c r="T282" i="34"/>
  <c r="U282" i="34"/>
  <c r="V282" i="34"/>
  <c r="W282" i="34"/>
  <c r="Y282" i="34"/>
  <c r="AB282" i="34"/>
  <c r="AC282" i="34"/>
  <c r="AD282" i="34"/>
  <c r="P283" i="34"/>
  <c r="T283" i="34"/>
  <c r="U283" i="34"/>
  <c r="V283" i="34"/>
  <c r="W283" i="34"/>
  <c r="Y283" i="34"/>
  <c r="AB283" i="34"/>
  <c r="AC283" i="34"/>
  <c r="AD283" i="34"/>
  <c r="P284" i="34"/>
  <c r="T284" i="34"/>
  <c r="U284" i="34"/>
  <c r="V284" i="34"/>
  <c r="W284" i="34"/>
  <c r="Y284" i="34"/>
  <c r="AB284" i="34"/>
  <c r="AC284" i="34"/>
  <c r="AD284" i="34"/>
  <c r="P285" i="34"/>
  <c r="T285" i="34"/>
  <c r="U285" i="34"/>
  <c r="V285" i="34"/>
  <c r="W285" i="34"/>
  <c r="Y285" i="34"/>
  <c r="AB285" i="34"/>
  <c r="AC285" i="34"/>
  <c r="AD285" i="34"/>
  <c r="P286" i="34"/>
  <c r="T286" i="34"/>
  <c r="U286" i="34"/>
  <c r="V286" i="34"/>
  <c r="W286" i="34"/>
  <c r="Y286" i="34"/>
  <c r="AB286" i="34"/>
  <c r="AC286" i="34"/>
  <c r="AD286" i="34"/>
  <c r="P287" i="34"/>
  <c r="T287" i="34"/>
  <c r="U287" i="34"/>
  <c r="V287" i="34"/>
  <c r="W287" i="34"/>
  <c r="Y287" i="34"/>
  <c r="AB287" i="34"/>
  <c r="AC287" i="34"/>
  <c r="AD287" i="34"/>
  <c r="P288" i="34"/>
  <c r="T288" i="34"/>
  <c r="U288" i="34"/>
  <c r="V288" i="34"/>
  <c r="W288" i="34"/>
  <c r="Y288" i="34"/>
  <c r="AB288" i="34"/>
  <c r="AC288" i="34"/>
  <c r="AD288" i="34"/>
  <c r="P289" i="34"/>
  <c r="T289" i="34"/>
  <c r="U289" i="34"/>
  <c r="V289" i="34"/>
  <c r="W289" i="34"/>
  <c r="Y289" i="34"/>
  <c r="AB289" i="34"/>
  <c r="AC289" i="34"/>
  <c r="AD289" i="34"/>
  <c r="P290" i="34"/>
  <c r="T290" i="34"/>
  <c r="U290" i="34"/>
  <c r="V290" i="34"/>
  <c r="W290" i="34"/>
  <c r="Y290" i="34"/>
  <c r="AB290" i="34"/>
  <c r="AC290" i="34"/>
  <c r="AD290" i="34"/>
  <c r="P291" i="34"/>
  <c r="T291" i="34"/>
  <c r="U291" i="34"/>
  <c r="V291" i="34"/>
  <c r="W291" i="34"/>
  <c r="Y291" i="34"/>
  <c r="AB291" i="34"/>
  <c r="AC291" i="34"/>
  <c r="AD291" i="34"/>
  <c r="P292" i="34"/>
  <c r="T292" i="34"/>
  <c r="U292" i="34"/>
  <c r="V292" i="34"/>
  <c r="W292" i="34"/>
  <c r="Y292" i="34"/>
  <c r="AB292" i="34"/>
  <c r="AC292" i="34"/>
  <c r="AD292" i="34"/>
  <c r="P293" i="34"/>
  <c r="T293" i="34"/>
  <c r="U293" i="34"/>
  <c r="V293" i="34"/>
  <c r="W293" i="34"/>
  <c r="Y293" i="34"/>
  <c r="AB293" i="34"/>
  <c r="AC293" i="34"/>
  <c r="AD293" i="34"/>
  <c r="P294" i="34"/>
  <c r="T294" i="34"/>
  <c r="U294" i="34"/>
  <c r="V294" i="34"/>
  <c r="W294" i="34"/>
  <c r="Y294" i="34"/>
  <c r="AB294" i="34"/>
  <c r="AC294" i="34"/>
  <c r="AD294" i="34"/>
  <c r="P295" i="34"/>
  <c r="T295" i="34"/>
  <c r="U295" i="34"/>
  <c r="V295" i="34"/>
  <c r="W295" i="34"/>
  <c r="Y295" i="34"/>
  <c r="AB295" i="34"/>
  <c r="AC295" i="34"/>
  <c r="AD295" i="34"/>
  <c r="P296" i="34"/>
  <c r="T296" i="34"/>
  <c r="U296" i="34"/>
  <c r="V296" i="34"/>
  <c r="W296" i="34"/>
  <c r="Y296" i="34"/>
  <c r="AB296" i="34"/>
  <c r="AC296" i="34"/>
  <c r="AD296" i="34"/>
  <c r="P297" i="34"/>
  <c r="T297" i="34"/>
  <c r="U297" i="34"/>
  <c r="V297" i="34"/>
  <c r="W297" i="34"/>
  <c r="Y297" i="34"/>
  <c r="AB297" i="34"/>
  <c r="AC297" i="34"/>
  <c r="AD297" i="34"/>
  <c r="P298" i="34"/>
  <c r="T298" i="34"/>
  <c r="U298" i="34"/>
  <c r="V298" i="34"/>
  <c r="W298" i="34"/>
  <c r="Y298" i="34"/>
  <c r="AB298" i="34"/>
  <c r="AC298" i="34"/>
  <c r="AD298" i="34"/>
  <c r="P299" i="34"/>
  <c r="T299" i="34"/>
  <c r="U299" i="34"/>
  <c r="V299" i="34"/>
  <c r="W299" i="34"/>
  <c r="Y299" i="34"/>
  <c r="AB299" i="34"/>
  <c r="AC299" i="34"/>
  <c r="AD299" i="34"/>
  <c r="P300" i="34"/>
  <c r="T300" i="34"/>
  <c r="U300" i="34"/>
  <c r="V300" i="34"/>
  <c r="W300" i="34"/>
  <c r="Y300" i="34"/>
  <c r="AB300" i="34"/>
  <c r="AC300" i="34"/>
  <c r="AD300" i="34"/>
  <c r="P301" i="34"/>
  <c r="T301" i="34"/>
  <c r="U301" i="34"/>
  <c r="V301" i="34"/>
  <c r="W301" i="34"/>
  <c r="Y301" i="34"/>
  <c r="AB301" i="34"/>
  <c r="AC301" i="34"/>
  <c r="AD301" i="34"/>
  <c r="P302" i="34"/>
  <c r="T302" i="34"/>
  <c r="U302" i="34"/>
  <c r="V302" i="34"/>
  <c r="W302" i="34"/>
  <c r="Y302" i="34"/>
  <c r="AB302" i="34"/>
  <c r="AC302" i="34"/>
  <c r="AD302" i="34"/>
  <c r="P303" i="34"/>
  <c r="T303" i="34"/>
  <c r="U303" i="34"/>
  <c r="V303" i="34"/>
  <c r="W303" i="34"/>
  <c r="Y303" i="34"/>
  <c r="AB303" i="34"/>
  <c r="AC303" i="34"/>
  <c r="AD303" i="34"/>
  <c r="P304" i="34"/>
  <c r="T304" i="34"/>
  <c r="U304" i="34"/>
  <c r="V304" i="34"/>
  <c r="W304" i="34"/>
  <c r="Y304" i="34"/>
  <c r="AB304" i="34"/>
  <c r="AC304" i="34"/>
  <c r="AD304" i="34"/>
  <c r="P305" i="34"/>
  <c r="T305" i="34"/>
  <c r="U305" i="34"/>
  <c r="V305" i="34"/>
  <c r="W305" i="34"/>
  <c r="Y305" i="34"/>
  <c r="AB305" i="34"/>
  <c r="AC305" i="34"/>
  <c r="AD305" i="34"/>
  <c r="P306" i="34"/>
  <c r="T306" i="34"/>
  <c r="U306" i="34"/>
  <c r="V306" i="34"/>
  <c r="W306" i="34"/>
  <c r="Y306" i="34"/>
  <c r="AB306" i="34"/>
  <c r="AC306" i="34"/>
  <c r="AD306" i="34"/>
  <c r="P307" i="34"/>
  <c r="T307" i="34"/>
  <c r="U307" i="34"/>
  <c r="V307" i="34"/>
  <c r="W307" i="34"/>
  <c r="Y307" i="34"/>
  <c r="AB307" i="34"/>
  <c r="AC307" i="34"/>
  <c r="AD307" i="34"/>
  <c r="P308" i="34"/>
  <c r="T308" i="34"/>
  <c r="U308" i="34"/>
  <c r="V308" i="34"/>
  <c r="W308" i="34"/>
  <c r="Y308" i="34"/>
  <c r="AB308" i="34"/>
  <c r="AC308" i="34"/>
  <c r="AD308" i="34"/>
  <c r="P309" i="34"/>
  <c r="T309" i="34"/>
  <c r="U309" i="34"/>
  <c r="V309" i="34"/>
  <c r="W309" i="34"/>
  <c r="Y309" i="34"/>
  <c r="AB309" i="34"/>
  <c r="AC309" i="34"/>
  <c r="AD309" i="34"/>
  <c r="P310" i="34"/>
  <c r="T310" i="34"/>
  <c r="U310" i="34"/>
  <c r="V310" i="34"/>
  <c r="W310" i="34"/>
  <c r="Y310" i="34"/>
  <c r="AB310" i="34"/>
  <c r="AC310" i="34"/>
  <c r="AD310" i="34"/>
  <c r="P311" i="34"/>
  <c r="T311" i="34"/>
  <c r="U311" i="34"/>
  <c r="V311" i="34"/>
  <c r="W311" i="34"/>
  <c r="Y311" i="34"/>
  <c r="AB311" i="34"/>
  <c r="AC311" i="34"/>
  <c r="AD311" i="34"/>
  <c r="P312" i="34"/>
  <c r="T312" i="34"/>
  <c r="U312" i="34"/>
  <c r="V312" i="34"/>
  <c r="W312" i="34"/>
  <c r="Y312" i="34"/>
  <c r="AB312" i="34"/>
  <c r="AC312" i="34"/>
  <c r="AD312" i="34"/>
  <c r="P313" i="34"/>
  <c r="T313" i="34"/>
  <c r="U313" i="34"/>
  <c r="V313" i="34"/>
  <c r="W313" i="34"/>
  <c r="Y313" i="34"/>
  <c r="AB313" i="34"/>
  <c r="AC313" i="34"/>
  <c r="AD313" i="34"/>
  <c r="P314" i="34"/>
  <c r="T314" i="34"/>
  <c r="U314" i="34"/>
  <c r="V314" i="34"/>
  <c r="W314" i="34"/>
  <c r="Y314" i="34"/>
  <c r="AB314" i="34"/>
  <c r="AC314" i="34"/>
  <c r="AD314" i="34"/>
  <c r="P315" i="34"/>
  <c r="T315" i="34"/>
  <c r="U315" i="34"/>
  <c r="V315" i="34"/>
  <c r="W315" i="34"/>
  <c r="Y315" i="34"/>
  <c r="AB315" i="34"/>
  <c r="AC315" i="34"/>
  <c r="AD315" i="34"/>
  <c r="P316" i="34"/>
  <c r="T316" i="34"/>
  <c r="U316" i="34"/>
  <c r="V316" i="34"/>
  <c r="W316" i="34"/>
  <c r="Y316" i="34"/>
  <c r="AB316" i="34"/>
  <c r="AC316" i="34"/>
  <c r="AD316" i="34"/>
  <c r="P317" i="34"/>
  <c r="T317" i="34"/>
  <c r="U317" i="34"/>
  <c r="V317" i="34"/>
  <c r="W317" i="34"/>
  <c r="Y317" i="34"/>
  <c r="AB317" i="34"/>
  <c r="AC317" i="34"/>
  <c r="AD317" i="34"/>
  <c r="P318" i="34"/>
  <c r="T318" i="34"/>
  <c r="U318" i="34"/>
  <c r="V318" i="34"/>
  <c r="W318" i="34"/>
  <c r="Y318" i="34"/>
  <c r="AB318" i="34"/>
  <c r="AC318" i="34"/>
  <c r="AD318" i="34"/>
  <c r="P319" i="34"/>
  <c r="T319" i="34"/>
  <c r="U319" i="34"/>
  <c r="V319" i="34"/>
  <c r="W319" i="34"/>
  <c r="Y319" i="34"/>
  <c r="AB319" i="34"/>
  <c r="AC319" i="34"/>
  <c r="AD319" i="34"/>
  <c r="P320" i="34"/>
  <c r="T320" i="34"/>
  <c r="U320" i="34"/>
  <c r="V320" i="34"/>
  <c r="W320" i="34"/>
  <c r="Y320" i="34"/>
  <c r="AB320" i="34"/>
  <c r="AC320" i="34"/>
  <c r="AD320" i="34"/>
  <c r="P321" i="34"/>
  <c r="T321" i="34"/>
  <c r="U321" i="34"/>
  <c r="V321" i="34"/>
  <c r="W321" i="34"/>
  <c r="Y321" i="34"/>
  <c r="AB321" i="34"/>
  <c r="AC321" i="34"/>
  <c r="AD321" i="34"/>
  <c r="P322" i="34"/>
  <c r="T322" i="34"/>
  <c r="U322" i="34"/>
  <c r="V322" i="34"/>
  <c r="W322" i="34"/>
  <c r="Y322" i="34"/>
  <c r="AB322" i="34"/>
  <c r="AC322" i="34"/>
  <c r="AD322" i="34"/>
  <c r="P323" i="34"/>
  <c r="T323" i="34"/>
  <c r="U323" i="34"/>
  <c r="V323" i="34"/>
  <c r="W323" i="34"/>
  <c r="Y323" i="34"/>
  <c r="AB323" i="34"/>
  <c r="AC323" i="34"/>
  <c r="AD323" i="34"/>
  <c r="P324" i="34"/>
  <c r="T324" i="34"/>
  <c r="U324" i="34"/>
  <c r="V324" i="34"/>
  <c r="W324" i="34"/>
  <c r="Y324" i="34"/>
  <c r="AB324" i="34"/>
  <c r="AC324" i="34"/>
  <c r="AD324" i="34"/>
  <c r="P325" i="34"/>
  <c r="T325" i="34"/>
  <c r="U325" i="34"/>
  <c r="V325" i="34"/>
  <c r="W325" i="34"/>
  <c r="Y325" i="34"/>
  <c r="AB325" i="34"/>
  <c r="AC325" i="34"/>
  <c r="AD325" i="34"/>
  <c r="P326" i="34"/>
  <c r="T326" i="34"/>
  <c r="U326" i="34"/>
  <c r="V326" i="34"/>
  <c r="W326" i="34"/>
  <c r="Y326" i="34"/>
  <c r="AB326" i="34"/>
  <c r="AC326" i="34"/>
  <c r="AD326" i="34"/>
  <c r="P327" i="34"/>
  <c r="T327" i="34"/>
  <c r="U327" i="34"/>
  <c r="V327" i="34"/>
  <c r="W327" i="34"/>
  <c r="Y327" i="34"/>
  <c r="AB327" i="34"/>
  <c r="AC327" i="34"/>
  <c r="AD327" i="34"/>
  <c r="P328" i="34"/>
  <c r="T328" i="34"/>
  <c r="U328" i="34"/>
  <c r="V328" i="34"/>
  <c r="W328" i="34"/>
  <c r="Y328" i="34"/>
  <c r="AB328" i="34"/>
  <c r="AC328" i="34"/>
  <c r="AD328" i="34"/>
  <c r="P329" i="34"/>
  <c r="T329" i="34"/>
  <c r="U329" i="34"/>
  <c r="V329" i="34"/>
  <c r="W329" i="34"/>
  <c r="Y329" i="34"/>
  <c r="AB329" i="34"/>
  <c r="AC329" i="34"/>
  <c r="AD329" i="34"/>
  <c r="P330" i="34"/>
  <c r="T330" i="34"/>
  <c r="U330" i="34"/>
  <c r="V330" i="34"/>
  <c r="W330" i="34"/>
  <c r="Y330" i="34"/>
  <c r="AB330" i="34"/>
  <c r="AC330" i="34"/>
  <c r="AD330" i="34"/>
  <c r="P331" i="34"/>
  <c r="T331" i="34"/>
  <c r="U331" i="34"/>
  <c r="V331" i="34"/>
  <c r="W331" i="34"/>
  <c r="Y331" i="34"/>
  <c r="AB331" i="34"/>
  <c r="AC331" i="34"/>
  <c r="AD331" i="34"/>
  <c r="P332" i="34"/>
  <c r="T332" i="34"/>
  <c r="U332" i="34"/>
  <c r="V332" i="34"/>
  <c r="W332" i="34"/>
  <c r="Y332" i="34"/>
  <c r="AB332" i="34"/>
  <c r="AC332" i="34"/>
  <c r="AD332" i="34"/>
  <c r="P333" i="34"/>
  <c r="T333" i="34"/>
  <c r="U333" i="34"/>
  <c r="V333" i="34"/>
  <c r="W333" i="34"/>
  <c r="Y333" i="34"/>
  <c r="AB333" i="34"/>
  <c r="AC333" i="34"/>
  <c r="AD333" i="34"/>
  <c r="P334" i="34"/>
  <c r="T334" i="34"/>
  <c r="U334" i="34"/>
  <c r="V334" i="34"/>
  <c r="W334" i="34"/>
  <c r="Y334" i="34"/>
  <c r="AB334" i="34"/>
  <c r="AC334" i="34"/>
  <c r="AD334" i="34"/>
  <c r="P335" i="34"/>
  <c r="T335" i="34"/>
  <c r="U335" i="34"/>
  <c r="V335" i="34"/>
  <c r="W335" i="34"/>
  <c r="Y335" i="34"/>
  <c r="AB335" i="34"/>
  <c r="AC335" i="34"/>
  <c r="AD335" i="34"/>
  <c r="P336" i="34"/>
  <c r="T336" i="34"/>
  <c r="U336" i="34"/>
  <c r="V336" i="34"/>
  <c r="W336" i="34"/>
  <c r="Y336" i="34"/>
  <c r="AB336" i="34"/>
  <c r="AC336" i="34"/>
  <c r="AD336" i="34"/>
  <c r="P337" i="34"/>
  <c r="T337" i="34"/>
  <c r="U337" i="34"/>
  <c r="V337" i="34"/>
  <c r="W337" i="34"/>
  <c r="Y337" i="34"/>
  <c r="AB337" i="34"/>
  <c r="AC337" i="34"/>
  <c r="AD337" i="34"/>
  <c r="P338" i="34"/>
  <c r="T338" i="34"/>
  <c r="U338" i="34"/>
  <c r="V338" i="34"/>
  <c r="W338" i="34"/>
  <c r="Y338" i="34"/>
  <c r="AB338" i="34"/>
  <c r="AC338" i="34"/>
  <c r="AD338" i="34"/>
  <c r="P339" i="34"/>
  <c r="T339" i="34"/>
  <c r="U339" i="34"/>
  <c r="V339" i="34"/>
  <c r="W339" i="34"/>
  <c r="Y339" i="34"/>
  <c r="AB339" i="34"/>
  <c r="AC339" i="34"/>
  <c r="AD339" i="34"/>
  <c r="P340" i="34"/>
  <c r="T340" i="34"/>
  <c r="U340" i="34"/>
  <c r="V340" i="34"/>
  <c r="W340" i="34"/>
  <c r="Y340" i="34"/>
  <c r="AB340" i="34"/>
  <c r="AC340" i="34"/>
  <c r="AD340" i="34"/>
  <c r="P341" i="34"/>
  <c r="T341" i="34"/>
  <c r="U341" i="34"/>
  <c r="V341" i="34"/>
  <c r="W341" i="34"/>
  <c r="Y341" i="34"/>
  <c r="AB341" i="34"/>
  <c r="AC341" i="34"/>
  <c r="AD341" i="34"/>
  <c r="P342" i="34"/>
  <c r="T342" i="34"/>
  <c r="U342" i="34"/>
  <c r="V342" i="34"/>
  <c r="W342" i="34"/>
  <c r="Y342" i="34"/>
  <c r="AB342" i="34"/>
  <c r="AC342" i="34"/>
  <c r="AD342" i="34"/>
  <c r="P343" i="34"/>
  <c r="T343" i="34"/>
  <c r="U343" i="34"/>
  <c r="V343" i="34"/>
  <c r="W343" i="34"/>
  <c r="Y343" i="34"/>
  <c r="AB343" i="34"/>
  <c r="AC343" i="34"/>
  <c r="AD343" i="34"/>
  <c r="P344" i="34"/>
  <c r="T344" i="34"/>
  <c r="U344" i="34"/>
  <c r="V344" i="34"/>
  <c r="W344" i="34"/>
  <c r="Y344" i="34"/>
  <c r="AB344" i="34"/>
  <c r="AC344" i="34"/>
  <c r="AD344" i="34"/>
  <c r="P345" i="34"/>
  <c r="T345" i="34"/>
  <c r="U345" i="34"/>
  <c r="V345" i="34"/>
  <c r="W345" i="34"/>
  <c r="Y345" i="34"/>
  <c r="AB345" i="34"/>
  <c r="AC345" i="34"/>
  <c r="AD345" i="34"/>
  <c r="P346" i="34"/>
  <c r="T346" i="34"/>
  <c r="U346" i="34"/>
  <c r="V346" i="34"/>
  <c r="W346" i="34"/>
  <c r="Y346" i="34"/>
  <c r="AB346" i="34"/>
  <c r="AC346" i="34"/>
  <c r="AD346" i="34"/>
  <c r="P347" i="34"/>
  <c r="T347" i="34"/>
  <c r="U347" i="34"/>
  <c r="V347" i="34"/>
  <c r="W347" i="34"/>
  <c r="Y347" i="34"/>
  <c r="AB347" i="34"/>
  <c r="AC347" i="34"/>
  <c r="AD347" i="34"/>
  <c r="P348" i="34"/>
  <c r="T348" i="34"/>
  <c r="U348" i="34"/>
  <c r="V348" i="34"/>
  <c r="W348" i="34"/>
  <c r="Y348" i="34"/>
  <c r="AB348" i="34"/>
  <c r="AC348" i="34"/>
  <c r="AD348" i="34"/>
  <c r="P349" i="34"/>
  <c r="T349" i="34"/>
  <c r="U349" i="34"/>
  <c r="V349" i="34"/>
  <c r="W349" i="34"/>
  <c r="Y349" i="34"/>
  <c r="AB349" i="34"/>
  <c r="AC349" i="34"/>
  <c r="AD349" i="34"/>
  <c r="P350" i="34"/>
  <c r="T350" i="34"/>
  <c r="U350" i="34"/>
  <c r="V350" i="34"/>
  <c r="W350" i="34"/>
  <c r="Y350" i="34"/>
  <c r="AB350" i="34"/>
  <c r="AC350" i="34"/>
  <c r="AD350" i="34"/>
  <c r="P351" i="34"/>
  <c r="T351" i="34"/>
  <c r="U351" i="34"/>
  <c r="V351" i="34"/>
  <c r="W351" i="34"/>
  <c r="Y351" i="34"/>
  <c r="AB351" i="34"/>
  <c r="AC351" i="34"/>
  <c r="AD351" i="34"/>
  <c r="P352" i="34"/>
  <c r="T352" i="34"/>
  <c r="U352" i="34"/>
  <c r="V352" i="34"/>
  <c r="W352" i="34"/>
  <c r="Y352" i="34"/>
  <c r="AB352" i="34"/>
  <c r="AC352" i="34"/>
  <c r="AD352" i="34"/>
  <c r="P353" i="34"/>
  <c r="T353" i="34"/>
  <c r="U353" i="34"/>
  <c r="V353" i="34"/>
  <c r="W353" i="34"/>
  <c r="Y353" i="34"/>
  <c r="AB353" i="34"/>
  <c r="AC353" i="34"/>
  <c r="AD353" i="34"/>
  <c r="P354" i="34"/>
  <c r="T354" i="34"/>
  <c r="U354" i="34"/>
  <c r="V354" i="34"/>
  <c r="W354" i="34"/>
  <c r="Y354" i="34"/>
  <c r="AB354" i="34"/>
  <c r="AC354" i="34"/>
  <c r="AD354" i="34"/>
  <c r="P355" i="34"/>
  <c r="T355" i="34"/>
  <c r="U355" i="34"/>
  <c r="V355" i="34"/>
  <c r="W355" i="34"/>
  <c r="Y355" i="34"/>
  <c r="AB355" i="34"/>
  <c r="AC355" i="34"/>
  <c r="AD355" i="34"/>
  <c r="P356" i="34"/>
  <c r="T356" i="34"/>
  <c r="U356" i="34"/>
  <c r="V356" i="34"/>
  <c r="W356" i="34"/>
  <c r="Y356" i="34"/>
  <c r="AB356" i="34"/>
  <c r="AC356" i="34"/>
  <c r="AD356" i="34"/>
  <c r="P357" i="34"/>
  <c r="T357" i="34"/>
  <c r="U357" i="34"/>
  <c r="V357" i="34"/>
  <c r="W357" i="34"/>
  <c r="Y357" i="34"/>
  <c r="AB357" i="34"/>
  <c r="AC357" i="34"/>
  <c r="AD357" i="34"/>
  <c r="P358" i="34"/>
  <c r="T358" i="34"/>
  <c r="U358" i="34"/>
  <c r="V358" i="34"/>
  <c r="W358" i="34"/>
  <c r="Y358" i="34"/>
  <c r="AB358" i="34"/>
  <c r="AC358" i="34"/>
  <c r="AD358" i="34"/>
  <c r="P359" i="34"/>
  <c r="T359" i="34"/>
  <c r="U359" i="34"/>
  <c r="V359" i="34"/>
  <c r="W359" i="34"/>
  <c r="Y359" i="34"/>
  <c r="AB359" i="34"/>
  <c r="AC359" i="34"/>
  <c r="AD359" i="34"/>
  <c r="P360" i="34"/>
  <c r="T360" i="34"/>
  <c r="U360" i="34"/>
  <c r="V360" i="34"/>
  <c r="W360" i="34"/>
  <c r="Y360" i="34"/>
  <c r="AB360" i="34"/>
  <c r="AC360" i="34"/>
  <c r="AD360" i="34"/>
  <c r="P361" i="34"/>
  <c r="T361" i="34"/>
  <c r="U361" i="34"/>
  <c r="V361" i="34"/>
  <c r="W361" i="34"/>
  <c r="Y361" i="34"/>
  <c r="AB361" i="34"/>
  <c r="AC361" i="34"/>
  <c r="AD361" i="34"/>
  <c r="P362" i="34"/>
  <c r="T362" i="34"/>
  <c r="U362" i="34"/>
  <c r="V362" i="34"/>
  <c r="W362" i="34"/>
  <c r="Y362" i="34"/>
  <c r="AB362" i="34"/>
  <c r="AC362" i="34"/>
  <c r="AD362" i="34"/>
  <c r="P363" i="34"/>
  <c r="T363" i="34"/>
  <c r="U363" i="34"/>
  <c r="V363" i="34"/>
  <c r="W363" i="34"/>
  <c r="Y363" i="34"/>
  <c r="AB363" i="34"/>
  <c r="AC363" i="34"/>
  <c r="AD363" i="34"/>
  <c r="P364" i="34"/>
  <c r="T364" i="34"/>
  <c r="U364" i="34"/>
  <c r="V364" i="34"/>
  <c r="W364" i="34"/>
  <c r="Y364" i="34"/>
  <c r="AB364" i="34"/>
  <c r="AC364" i="34"/>
  <c r="AD364" i="34"/>
  <c r="P365" i="34"/>
  <c r="T365" i="34"/>
  <c r="U365" i="34"/>
  <c r="V365" i="34"/>
  <c r="W365" i="34"/>
  <c r="Y365" i="34"/>
  <c r="AB365" i="34"/>
  <c r="AC365" i="34"/>
  <c r="AD365" i="34"/>
  <c r="P366" i="34"/>
  <c r="T366" i="34"/>
  <c r="U366" i="34"/>
  <c r="V366" i="34"/>
  <c r="W366" i="34"/>
  <c r="Y366" i="34"/>
  <c r="AB366" i="34"/>
  <c r="AC366" i="34"/>
  <c r="AD366" i="34"/>
  <c r="P367" i="34"/>
  <c r="T367" i="34"/>
  <c r="U367" i="34"/>
  <c r="V367" i="34"/>
  <c r="W367" i="34"/>
  <c r="Y367" i="34"/>
  <c r="AB367" i="34"/>
  <c r="AC367" i="34"/>
  <c r="AD367" i="34"/>
  <c r="P368" i="34"/>
  <c r="T368" i="34"/>
  <c r="U368" i="34"/>
  <c r="V368" i="34"/>
  <c r="W368" i="34"/>
  <c r="Y368" i="34"/>
  <c r="AB368" i="34"/>
  <c r="AC368" i="34"/>
  <c r="AD368" i="34"/>
  <c r="P369" i="34"/>
  <c r="T369" i="34"/>
  <c r="U369" i="34"/>
  <c r="V369" i="34"/>
  <c r="W369" i="34"/>
  <c r="Y369" i="34"/>
  <c r="AB369" i="34"/>
  <c r="AC369" i="34"/>
  <c r="AD369" i="34"/>
  <c r="P370" i="34"/>
  <c r="T370" i="34"/>
  <c r="U370" i="34"/>
  <c r="V370" i="34"/>
  <c r="W370" i="34"/>
  <c r="Y370" i="34"/>
  <c r="AB370" i="34"/>
  <c r="AC370" i="34"/>
  <c r="AD370" i="34"/>
  <c r="P371" i="34"/>
  <c r="T371" i="34"/>
  <c r="U371" i="34"/>
  <c r="V371" i="34"/>
  <c r="W371" i="34"/>
  <c r="Y371" i="34"/>
  <c r="AB371" i="34"/>
  <c r="AC371" i="34"/>
  <c r="AD371" i="34"/>
  <c r="P372" i="34"/>
  <c r="T372" i="34"/>
  <c r="U372" i="34"/>
  <c r="V372" i="34"/>
  <c r="W372" i="34"/>
  <c r="Y372" i="34"/>
  <c r="AB372" i="34"/>
  <c r="AC372" i="34"/>
  <c r="AD372" i="34"/>
  <c r="P373" i="34"/>
  <c r="T373" i="34"/>
  <c r="U373" i="34"/>
  <c r="V373" i="34"/>
  <c r="W373" i="34"/>
  <c r="Y373" i="34"/>
  <c r="AB373" i="34"/>
  <c r="AC373" i="34"/>
  <c r="AD373" i="34"/>
  <c r="P374" i="34"/>
  <c r="T374" i="34"/>
  <c r="U374" i="34"/>
  <c r="V374" i="34"/>
  <c r="W374" i="34"/>
  <c r="Y374" i="34"/>
  <c r="AB374" i="34"/>
  <c r="AC374" i="34"/>
  <c r="AD374" i="34"/>
  <c r="P375" i="34"/>
  <c r="T375" i="34"/>
  <c r="U375" i="34"/>
  <c r="V375" i="34"/>
  <c r="W375" i="34"/>
  <c r="Y375" i="34"/>
  <c r="AB375" i="34"/>
  <c r="AC375" i="34"/>
  <c r="AD375" i="34"/>
  <c r="P376" i="34"/>
  <c r="T376" i="34"/>
  <c r="U376" i="34"/>
  <c r="V376" i="34"/>
  <c r="W376" i="34"/>
  <c r="Y376" i="34"/>
  <c r="AB376" i="34"/>
  <c r="AC376" i="34"/>
  <c r="AD376" i="34"/>
  <c r="P377" i="34"/>
  <c r="T377" i="34"/>
  <c r="U377" i="34"/>
  <c r="V377" i="34"/>
  <c r="W377" i="34"/>
  <c r="Y377" i="34"/>
  <c r="AB377" i="34"/>
  <c r="AC377" i="34"/>
  <c r="AD377" i="34"/>
  <c r="P378" i="34"/>
  <c r="T378" i="34"/>
  <c r="U378" i="34"/>
  <c r="V378" i="34"/>
  <c r="W378" i="34"/>
  <c r="Y378" i="34"/>
  <c r="AB378" i="34"/>
  <c r="AC378" i="34"/>
  <c r="AD378" i="34"/>
  <c r="P379" i="34"/>
  <c r="T379" i="34"/>
  <c r="U379" i="34"/>
  <c r="V379" i="34"/>
  <c r="W379" i="34"/>
  <c r="Y379" i="34"/>
  <c r="AB379" i="34"/>
  <c r="AC379" i="34"/>
  <c r="AD379" i="34"/>
  <c r="P380" i="34"/>
  <c r="T380" i="34"/>
  <c r="U380" i="34"/>
  <c r="V380" i="34"/>
  <c r="W380" i="34"/>
  <c r="Y380" i="34"/>
  <c r="AB380" i="34"/>
  <c r="AC380" i="34"/>
  <c r="AD380" i="34"/>
  <c r="P381" i="34"/>
  <c r="T381" i="34"/>
  <c r="U381" i="34"/>
  <c r="V381" i="34"/>
  <c r="W381" i="34"/>
  <c r="Y381" i="34"/>
  <c r="AB381" i="34"/>
  <c r="AC381" i="34"/>
  <c r="AD381" i="34"/>
  <c r="P382" i="34"/>
  <c r="T382" i="34"/>
  <c r="U382" i="34"/>
  <c r="V382" i="34"/>
  <c r="W382" i="34"/>
  <c r="Y382" i="34"/>
  <c r="AB382" i="34"/>
  <c r="AC382" i="34"/>
  <c r="AD382" i="34"/>
  <c r="P383" i="34"/>
  <c r="T383" i="34"/>
  <c r="U383" i="34"/>
  <c r="V383" i="34"/>
  <c r="W383" i="34"/>
  <c r="Y383" i="34"/>
  <c r="AB383" i="34"/>
  <c r="AC383" i="34"/>
  <c r="AD383" i="34"/>
  <c r="P384" i="34"/>
  <c r="T384" i="34"/>
  <c r="U384" i="34"/>
  <c r="V384" i="34"/>
  <c r="W384" i="34"/>
  <c r="Y384" i="34"/>
  <c r="AB384" i="34"/>
  <c r="AC384" i="34"/>
  <c r="AD384" i="34"/>
  <c r="P385" i="34"/>
  <c r="T385" i="34"/>
  <c r="U385" i="34"/>
  <c r="V385" i="34"/>
  <c r="W385" i="34"/>
  <c r="Y385" i="34"/>
  <c r="AB385" i="34"/>
  <c r="AC385" i="34"/>
  <c r="AD385" i="34"/>
  <c r="P386" i="34"/>
  <c r="T386" i="34"/>
  <c r="U386" i="34"/>
  <c r="V386" i="34"/>
  <c r="W386" i="34"/>
  <c r="Y386" i="34"/>
  <c r="AB386" i="34"/>
  <c r="AC386" i="34"/>
  <c r="AD386" i="34"/>
  <c r="P387" i="34"/>
  <c r="T387" i="34"/>
  <c r="U387" i="34"/>
  <c r="V387" i="34"/>
  <c r="W387" i="34"/>
  <c r="Y387" i="34"/>
  <c r="AB387" i="34"/>
  <c r="AC387" i="34"/>
  <c r="AD387" i="34"/>
  <c r="P388" i="34"/>
  <c r="T388" i="34"/>
  <c r="U388" i="34"/>
  <c r="V388" i="34"/>
  <c r="W388" i="34"/>
  <c r="Y388" i="34"/>
  <c r="AB388" i="34"/>
  <c r="AC388" i="34"/>
  <c r="AD388" i="34"/>
  <c r="P389" i="34"/>
  <c r="T389" i="34"/>
  <c r="U389" i="34"/>
  <c r="V389" i="34"/>
  <c r="W389" i="34"/>
  <c r="Y389" i="34"/>
  <c r="AB389" i="34"/>
  <c r="AC389" i="34"/>
  <c r="AD389" i="34"/>
  <c r="P390" i="34"/>
  <c r="T390" i="34"/>
  <c r="U390" i="34"/>
  <c r="V390" i="34"/>
  <c r="W390" i="34"/>
  <c r="Y390" i="34"/>
  <c r="AB390" i="34"/>
  <c r="AC390" i="34"/>
  <c r="AD390" i="34"/>
  <c r="P391" i="34"/>
  <c r="T391" i="34"/>
  <c r="U391" i="34"/>
  <c r="V391" i="34"/>
  <c r="W391" i="34"/>
  <c r="Y391" i="34"/>
  <c r="AB391" i="34"/>
  <c r="AC391" i="34"/>
  <c r="AD391" i="34"/>
  <c r="P392" i="34"/>
  <c r="T392" i="34"/>
  <c r="U392" i="34"/>
  <c r="V392" i="34"/>
  <c r="W392" i="34"/>
  <c r="Y392" i="34"/>
  <c r="AB392" i="34"/>
  <c r="AC392" i="34"/>
  <c r="AD392" i="34"/>
  <c r="P393" i="34"/>
  <c r="T393" i="34"/>
  <c r="U393" i="34"/>
  <c r="V393" i="34"/>
  <c r="W393" i="34"/>
  <c r="Y393" i="34"/>
  <c r="AB393" i="34"/>
  <c r="AC393" i="34"/>
  <c r="AD393" i="34"/>
  <c r="P394" i="34"/>
  <c r="T394" i="34"/>
  <c r="U394" i="34"/>
  <c r="V394" i="34"/>
  <c r="W394" i="34"/>
  <c r="Y394" i="34"/>
  <c r="AB394" i="34"/>
  <c r="AC394" i="34"/>
  <c r="AD394" i="34"/>
  <c r="P395" i="34"/>
  <c r="T395" i="34"/>
  <c r="U395" i="34"/>
  <c r="V395" i="34"/>
  <c r="W395" i="34"/>
  <c r="Y395" i="34"/>
  <c r="AB395" i="34"/>
  <c r="AC395" i="34"/>
  <c r="AD395" i="34"/>
  <c r="P396" i="34"/>
  <c r="T396" i="34"/>
  <c r="U396" i="34"/>
  <c r="V396" i="34"/>
  <c r="W396" i="34"/>
  <c r="Y396" i="34"/>
  <c r="AB396" i="34"/>
  <c r="AC396" i="34"/>
  <c r="AD396" i="34"/>
  <c r="P397" i="34"/>
  <c r="T397" i="34"/>
  <c r="U397" i="34"/>
  <c r="V397" i="34"/>
  <c r="W397" i="34"/>
  <c r="Y397" i="34"/>
  <c r="AB397" i="34"/>
  <c r="AC397" i="34"/>
  <c r="AD397" i="34"/>
  <c r="P398" i="34"/>
  <c r="T398" i="34"/>
  <c r="U398" i="34"/>
  <c r="V398" i="34"/>
  <c r="W398" i="34"/>
  <c r="Y398" i="34"/>
  <c r="AB398" i="34"/>
  <c r="AC398" i="34"/>
  <c r="AD398" i="34"/>
  <c r="P399" i="34"/>
  <c r="T399" i="34"/>
  <c r="U399" i="34"/>
  <c r="V399" i="34"/>
  <c r="W399" i="34"/>
  <c r="Y399" i="34"/>
  <c r="AB399" i="34"/>
  <c r="AC399" i="34"/>
  <c r="AD399" i="34"/>
  <c r="P400" i="34"/>
  <c r="T400" i="34"/>
  <c r="U400" i="34"/>
  <c r="V400" i="34"/>
  <c r="W400" i="34"/>
  <c r="Y400" i="34"/>
  <c r="AB400" i="34"/>
  <c r="AC400" i="34"/>
  <c r="AD400" i="34"/>
  <c r="P401" i="34"/>
  <c r="T401" i="34"/>
  <c r="U401" i="34"/>
  <c r="V401" i="34"/>
  <c r="W401" i="34"/>
  <c r="Y401" i="34"/>
  <c r="AB401" i="34"/>
  <c r="AC401" i="34"/>
  <c r="AD401" i="34"/>
  <c r="P402" i="34"/>
  <c r="T402" i="34"/>
  <c r="U402" i="34"/>
  <c r="V402" i="34"/>
  <c r="W402" i="34"/>
  <c r="Y402" i="34"/>
  <c r="AB402" i="34"/>
  <c r="AC402" i="34"/>
  <c r="AD402" i="34"/>
  <c r="P403" i="34"/>
  <c r="T403" i="34"/>
  <c r="U403" i="34"/>
  <c r="V403" i="34"/>
  <c r="W403" i="34"/>
  <c r="Y403" i="34"/>
  <c r="AB403" i="34"/>
  <c r="AC403" i="34"/>
  <c r="AD403" i="34"/>
  <c r="P404" i="34"/>
  <c r="T404" i="34"/>
  <c r="U404" i="34"/>
  <c r="V404" i="34"/>
  <c r="W404" i="34"/>
  <c r="Y404" i="34"/>
  <c r="AB404" i="34"/>
  <c r="AC404" i="34"/>
  <c r="AD404" i="34"/>
  <c r="P405" i="34"/>
  <c r="T405" i="34"/>
  <c r="U405" i="34"/>
  <c r="V405" i="34"/>
  <c r="W405" i="34"/>
  <c r="Y405" i="34"/>
  <c r="AB405" i="34"/>
  <c r="AC405" i="34"/>
  <c r="AD405" i="34"/>
  <c r="P406" i="34"/>
  <c r="T406" i="34"/>
  <c r="U406" i="34"/>
  <c r="V406" i="34"/>
  <c r="W406" i="34"/>
  <c r="Y406" i="34"/>
  <c r="AB406" i="34"/>
  <c r="AC406" i="34"/>
  <c r="AD406" i="34"/>
  <c r="P410" i="34"/>
  <c r="T410" i="34"/>
  <c r="U410" i="34"/>
  <c r="V410" i="34"/>
  <c r="W410" i="34"/>
  <c r="Y410" i="34"/>
  <c r="AB410" i="34"/>
  <c r="AC410" i="34"/>
  <c r="AD410" i="34"/>
  <c r="P411" i="34"/>
  <c r="T411" i="34"/>
  <c r="U411" i="34"/>
  <c r="V411" i="34"/>
  <c r="W411" i="34"/>
  <c r="Y411" i="34"/>
  <c r="AB411" i="34"/>
  <c r="AC411" i="34"/>
  <c r="AD411" i="34"/>
  <c r="P412" i="34"/>
  <c r="T412" i="34"/>
  <c r="U412" i="34"/>
  <c r="V412" i="34"/>
  <c r="W412" i="34"/>
  <c r="Y412" i="34"/>
  <c r="AB412" i="34"/>
  <c r="AC412" i="34"/>
  <c r="AD412" i="34"/>
  <c r="P413" i="34"/>
  <c r="T413" i="34"/>
  <c r="U413" i="34"/>
  <c r="V413" i="34"/>
  <c r="W413" i="34"/>
  <c r="Y413" i="34"/>
  <c r="AB413" i="34"/>
  <c r="AC413" i="34"/>
  <c r="AD413" i="34"/>
  <c r="P414" i="34"/>
  <c r="T414" i="34"/>
  <c r="U414" i="34"/>
  <c r="V414" i="34"/>
  <c r="W414" i="34"/>
  <c r="Y414" i="34"/>
  <c r="AB414" i="34"/>
  <c r="AC414" i="34"/>
  <c r="AD414" i="34"/>
  <c r="P415" i="34"/>
  <c r="T415" i="34"/>
  <c r="U415" i="34"/>
  <c r="V415" i="34"/>
  <c r="W415" i="34"/>
  <c r="Y415" i="34"/>
  <c r="AB415" i="34"/>
  <c r="AC415" i="34"/>
  <c r="AD415" i="34"/>
  <c r="P416" i="34"/>
  <c r="T416" i="34"/>
  <c r="U416" i="34"/>
  <c r="V416" i="34"/>
  <c r="W416" i="34"/>
  <c r="Y416" i="34"/>
  <c r="AB416" i="34"/>
  <c r="AC416" i="34"/>
  <c r="AD416" i="34"/>
  <c r="P417" i="34"/>
  <c r="T417" i="34"/>
  <c r="U417" i="34"/>
  <c r="V417" i="34"/>
  <c r="W417" i="34"/>
  <c r="Y417" i="34"/>
  <c r="AB417" i="34"/>
  <c r="AC417" i="34"/>
  <c r="AD417" i="34"/>
  <c r="P418" i="34"/>
  <c r="T418" i="34"/>
  <c r="U418" i="34"/>
  <c r="V418" i="34"/>
  <c r="W418" i="34"/>
  <c r="Y418" i="34"/>
  <c r="AB418" i="34"/>
  <c r="AC418" i="34"/>
  <c r="AD418" i="34"/>
  <c r="P419" i="34"/>
  <c r="T419" i="34"/>
  <c r="U419" i="34"/>
  <c r="V419" i="34"/>
  <c r="W419" i="34"/>
  <c r="Y419" i="34"/>
  <c r="AB419" i="34"/>
  <c r="AC419" i="34"/>
  <c r="AD419" i="34"/>
  <c r="P420" i="34"/>
  <c r="T420" i="34"/>
  <c r="U420" i="34"/>
  <c r="V420" i="34"/>
  <c r="W420" i="34"/>
  <c r="Y420" i="34"/>
  <c r="AB420" i="34"/>
  <c r="AC420" i="34"/>
  <c r="AD420" i="34"/>
  <c r="P421" i="34"/>
  <c r="T421" i="34"/>
  <c r="U421" i="34"/>
  <c r="V421" i="34"/>
  <c r="W421" i="34"/>
  <c r="Y421" i="34"/>
  <c r="AB421" i="34"/>
  <c r="AC421" i="34"/>
  <c r="AD421" i="34"/>
  <c r="P422" i="34"/>
  <c r="T422" i="34"/>
  <c r="U422" i="34"/>
  <c r="V422" i="34"/>
  <c r="W422" i="34"/>
  <c r="Y422" i="34"/>
  <c r="AB422" i="34"/>
  <c r="AC422" i="34"/>
  <c r="AD422" i="34"/>
  <c r="P423" i="34"/>
  <c r="T423" i="34"/>
  <c r="U423" i="34"/>
  <c r="V423" i="34"/>
  <c r="W423" i="34"/>
  <c r="Y423" i="34"/>
  <c r="AB423" i="34"/>
  <c r="AC423" i="34"/>
  <c r="AD423" i="34"/>
  <c r="P424" i="34"/>
  <c r="T424" i="34"/>
  <c r="U424" i="34"/>
  <c r="V424" i="34"/>
  <c r="W424" i="34"/>
  <c r="Y424" i="34"/>
  <c r="AB424" i="34"/>
  <c r="AC424" i="34"/>
  <c r="AD424" i="34"/>
  <c r="P425" i="34"/>
  <c r="T425" i="34"/>
  <c r="U425" i="34"/>
  <c r="V425" i="34"/>
  <c r="W425" i="34"/>
  <c r="Y425" i="34"/>
  <c r="AB425" i="34"/>
  <c r="AC425" i="34"/>
  <c r="AD425" i="34"/>
  <c r="P426" i="34"/>
  <c r="T426" i="34"/>
  <c r="U426" i="34"/>
  <c r="V426" i="34"/>
  <c r="W426" i="34"/>
  <c r="Y426" i="34"/>
  <c r="AB426" i="34"/>
  <c r="AC426" i="34"/>
  <c r="AD426" i="34"/>
  <c r="P427" i="34"/>
  <c r="T427" i="34"/>
  <c r="U427" i="34"/>
  <c r="V427" i="34"/>
  <c r="W427" i="34"/>
  <c r="Y427" i="34"/>
  <c r="AB427" i="34"/>
  <c r="AC427" i="34"/>
  <c r="AD427" i="34"/>
  <c r="P428" i="34"/>
  <c r="T428" i="34"/>
  <c r="U428" i="34"/>
  <c r="V428" i="34"/>
  <c r="W428" i="34"/>
  <c r="Y428" i="34"/>
  <c r="AB428" i="34"/>
  <c r="AC428" i="34"/>
  <c r="AD428" i="34"/>
  <c r="P429" i="34"/>
  <c r="T429" i="34"/>
  <c r="U429" i="34"/>
  <c r="V429" i="34"/>
  <c r="W429" i="34"/>
  <c r="Y429" i="34"/>
  <c r="AB429" i="34"/>
  <c r="AC429" i="34"/>
  <c r="AD429" i="34"/>
  <c r="P430" i="34"/>
  <c r="T430" i="34"/>
  <c r="U430" i="34"/>
  <c r="V430" i="34"/>
  <c r="W430" i="34"/>
  <c r="Y430" i="34"/>
  <c r="AB430" i="34"/>
  <c r="AC430" i="34"/>
  <c r="AD430" i="34"/>
  <c r="P431" i="34"/>
  <c r="T431" i="34"/>
  <c r="U431" i="34"/>
  <c r="V431" i="34"/>
  <c r="W431" i="34"/>
  <c r="Y431" i="34"/>
  <c r="AB431" i="34"/>
  <c r="AC431" i="34"/>
  <c r="AD431" i="34"/>
  <c r="P432" i="34"/>
  <c r="T432" i="34"/>
  <c r="U432" i="34"/>
  <c r="V432" i="34"/>
  <c r="W432" i="34"/>
  <c r="Y432" i="34"/>
  <c r="AB432" i="34"/>
  <c r="AC432" i="34"/>
  <c r="AD432" i="34"/>
  <c r="P433" i="34"/>
  <c r="T433" i="34"/>
  <c r="U433" i="34"/>
  <c r="V433" i="34"/>
  <c r="W433" i="34"/>
  <c r="Y433" i="34"/>
  <c r="AB433" i="34"/>
  <c r="AC433" i="34"/>
  <c r="AD433" i="34"/>
  <c r="P434" i="34"/>
  <c r="T434" i="34"/>
  <c r="U434" i="34"/>
  <c r="V434" i="34"/>
  <c r="W434" i="34"/>
  <c r="Y434" i="34"/>
  <c r="AB434" i="34"/>
  <c r="AC434" i="34"/>
  <c r="AD434" i="34"/>
  <c r="P435" i="34"/>
  <c r="T435" i="34"/>
  <c r="U435" i="34"/>
  <c r="V435" i="34"/>
  <c r="W435" i="34"/>
  <c r="Y435" i="34"/>
  <c r="AB435" i="34"/>
  <c r="AC435" i="34"/>
  <c r="AD435" i="34"/>
  <c r="P436" i="34"/>
  <c r="T436" i="34"/>
  <c r="U436" i="34"/>
  <c r="V436" i="34"/>
  <c r="W436" i="34"/>
  <c r="Y436" i="34"/>
  <c r="AB436" i="34"/>
  <c r="AC436" i="34"/>
  <c r="AD436" i="34"/>
  <c r="P437" i="34"/>
  <c r="T437" i="34"/>
  <c r="U437" i="34"/>
  <c r="V437" i="34"/>
  <c r="W437" i="34"/>
  <c r="Y437" i="34"/>
  <c r="AB437" i="34"/>
  <c r="AC437" i="34"/>
  <c r="AD437" i="34"/>
  <c r="P438" i="34"/>
  <c r="T438" i="34"/>
  <c r="U438" i="34"/>
  <c r="V438" i="34"/>
  <c r="W438" i="34"/>
  <c r="Y438" i="34"/>
  <c r="AB438" i="34"/>
  <c r="AC438" i="34"/>
  <c r="AD438" i="34"/>
  <c r="P439" i="34"/>
  <c r="T439" i="34"/>
  <c r="U439" i="34"/>
  <c r="V439" i="34"/>
  <c r="W439" i="34"/>
  <c r="Y439" i="34"/>
  <c r="AB439" i="34"/>
  <c r="AC439" i="34"/>
  <c r="AD439" i="34"/>
  <c r="P440" i="34"/>
  <c r="T440" i="34"/>
  <c r="U440" i="34"/>
  <c r="V440" i="34"/>
  <c r="W440" i="34"/>
  <c r="Y440" i="34"/>
  <c r="AB440" i="34"/>
  <c r="AC440" i="34"/>
  <c r="AD440" i="34"/>
  <c r="P441" i="34"/>
  <c r="T441" i="34"/>
  <c r="U441" i="34"/>
  <c r="V441" i="34"/>
  <c r="W441" i="34"/>
  <c r="Y441" i="34"/>
  <c r="AB441" i="34"/>
  <c r="AC441" i="34"/>
  <c r="AD441" i="34"/>
  <c r="P442" i="34"/>
  <c r="T442" i="34"/>
  <c r="U442" i="34"/>
  <c r="V442" i="34"/>
  <c r="W442" i="34"/>
  <c r="Y442" i="34"/>
  <c r="AB442" i="34"/>
  <c r="AC442" i="34"/>
  <c r="AD442" i="34"/>
  <c r="P443" i="34"/>
  <c r="T443" i="34"/>
  <c r="U443" i="34"/>
  <c r="V443" i="34"/>
  <c r="W443" i="34"/>
  <c r="Y443" i="34"/>
  <c r="AB443" i="34"/>
  <c r="AC443" i="34"/>
  <c r="AD443" i="34"/>
  <c r="P444" i="34"/>
  <c r="T444" i="34"/>
  <c r="U444" i="34"/>
  <c r="V444" i="34"/>
  <c r="W444" i="34"/>
  <c r="Y444" i="34"/>
  <c r="AB444" i="34"/>
  <c r="AC444" i="34"/>
  <c r="AD444" i="34"/>
  <c r="P445" i="34"/>
  <c r="T445" i="34"/>
  <c r="U445" i="34"/>
  <c r="V445" i="34"/>
  <c r="W445" i="34"/>
  <c r="Y445" i="34"/>
  <c r="AB445" i="34"/>
  <c r="AC445" i="34"/>
  <c r="AD445" i="34"/>
  <c r="P446" i="34"/>
  <c r="T446" i="34"/>
  <c r="U446" i="34"/>
  <c r="V446" i="34"/>
  <c r="W446" i="34"/>
  <c r="Y446" i="34"/>
  <c r="AB446" i="34"/>
  <c r="AC446" i="34"/>
  <c r="AD446" i="34"/>
  <c r="P447" i="34"/>
  <c r="T447" i="34"/>
  <c r="U447" i="34"/>
  <c r="V447" i="34"/>
  <c r="W447" i="34"/>
  <c r="Y447" i="34"/>
  <c r="AB447" i="34"/>
  <c r="AC447" i="34"/>
  <c r="AD447" i="34"/>
  <c r="P448" i="34"/>
  <c r="T448" i="34"/>
  <c r="U448" i="34"/>
  <c r="V448" i="34"/>
  <c r="W448" i="34"/>
  <c r="Y448" i="34"/>
  <c r="AB448" i="34"/>
  <c r="AC448" i="34"/>
  <c r="AD448" i="34"/>
  <c r="P449" i="34"/>
  <c r="T449" i="34"/>
  <c r="U449" i="34"/>
  <c r="V449" i="34"/>
  <c r="W449" i="34"/>
  <c r="Y449" i="34"/>
  <c r="AB449" i="34"/>
  <c r="AC449" i="34"/>
  <c r="AD449" i="34"/>
  <c r="P450" i="34"/>
  <c r="T450" i="34"/>
  <c r="U450" i="34"/>
  <c r="V450" i="34"/>
  <c r="W450" i="34"/>
  <c r="Y450" i="34"/>
  <c r="AB450" i="34"/>
  <c r="AC450" i="34"/>
  <c r="AD450" i="34"/>
  <c r="P451" i="34"/>
  <c r="T451" i="34"/>
  <c r="U451" i="34"/>
  <c r="V451" i="34"/>
  <c r="W451" i="34"/>
  <c r="Y451" i="34"/>
  <c r="AB451" i="34"/>
  <c r="AC451" i="34"/>
  <c r="AD451" i="34"/>
  <c r="P452" i="34"/>
  <c r="T452" i="34"/>
  <c r="U452" i="34"/>
  <c r="V452" i="34"/>
  <c r="W452" i="34"/>
  <c r="Y452" i="34"/>
  <c r="AB452" i="34"/>
  <c r="AC452" i="34"/>
  <c r="AD452" i="34"/>
  <c r="P453" i="34"/>
  <c r="T453" i="34"/>
  <c r="U453" i="34"/>
  <c r="V453" i="34"/>
  <c r="W453" i="34"/>
  <c r="Y453" i="34"/>
  <c r="AB453" i="34"/>
  <c r="AC453" i="34"/>
  <c r="AD453" i="34"/>
  <c r="P454" i="34"/>
  <c r="T454" i="34"/>
  <c r="U454" i="34"/>
  <c r="V454" i="34"/>
  <c r="W454" i="34"/>
  <c r="Y454" i="34"/>
  <c r="AB454" i="34"/>
  <c r="AC454" i="34"/>
  <c r="AD454" i="34"/>
  <c r="P455" i="34"/>
  <c r="T455" i="34"/>
  <c r="U455" i="34"/>
  <c r="V455" i="34"/>
  <c r="W455" i="34"/>
  <c r="Y455" i="34"/>
  <c r="AB455" i="34"/>
  <c r="AC455" i="34"/>
  <c r="AD455" i="34"/>
  <c r="P456" i="34"/>
  <c r="T456" i="34"/>
  <c r="U456" i="34"/>
  <c r="V456" i="34"/>
  <c r="W456" i="34"/>
  <c r="Y456" i="34"/>
  <c r="AB456" i="34"/>
  <c r="AC456" i="34"/>
  <c r="AD456" i="34"/>
  <c r="P457" i="34"/>
  <c r="T457" i="34"/>
  <c r="U457" i="34"/>
  <c r="V457" i="34"/>
  <c r="W457" i="34"/>
  <c r="Y457" i="34"/>
  <c r="AB457" i="34"/>
  <c r="AC457" i="34"/>
  <c r="AD457" i="34"/>
  <c r="P458" i="34"/>
  <c r="T458" i="34"/>
  <c r="U458" i="34"/>
  <c r="V458" i="34"/>
  <c r="W458" i="34"/>
  <c r="Y458" i="34"/>
  <c r="AB458" i="34"/>
  <c r="AC458" i="34"/>
  <c r="AD458" i="34"/>
  <c r="P459" i="34"/>
  <c r="T459" i="34"/>
  <c r="U459" i="34"/>
  <c r="V459" i="34"/>
  <c r="W459" i="34"/>
  <c r="Y459" i="34"/>
  <c r="AB459" i="34"/>
  <c r="AC459" i="34"/>
  <c r="AD459" i="34"/>
  <c r="P460" i="34"/>
  <c r="T460" i="34"/>
  <c r="U460" i="34"/>
  <c r="V460" i="34"/>
  <c r="W460" i="34"/>
  <c r="Y460" i="34"/>
  <c r="AB460" i="34"/>
  <c r="AC460" i="34"/>
  <c r="AD460" i="34"/>
  <c r="P461" i="34"/>
  <c r="T461" i="34"/>
  <c r="U461" i="34"/>
  <c r="V461" i="34"/>
  <c r="W461" i="34"/>
  <c r="Y461" i="34"/>
  <c r="AB461" i="34"/>
  <c r="AC461" i="34"/>
  <c r="AD461" i="34"/>
  <c r="P462" i="34"/>
  <c r="T462" i="34"/>
  <c r="U462" i="34"/>
  <c r="V462" i="34"/>
  <c r="W462" i="34"/>
  <c r="Y462" i="34"/>
  <c r="AB462" i="34"/>
  <c r="AC462" i="34"/>
  <c r="AD462" i="34"/>
  <c r="P463" i="34"/>
  <c r="T463" i="34"/>
  <c r="U463" i="34"/>
  <c r="V463" i="34"/>
  <c r="W463" i="34"/>
  <c r="Y463" i="34"/>
  <c r="AB463" i="34"/>
  <c r="AC463" i="34"/>
  <c r="AD463" i="34"/>
  <c r="P464" i="34"/>
  <c r="T464" i="34"/>
  <c r="U464" i="34"/>
  <c r="V464" i="34"/>
  <c r="W464" i="34"/>
  <c r="Y464" i="34"/>
  <c r="AB464" i="34"/>
  <c r="AC464" i="34"/>
  <c r="AD464" i="34"/>
  <c r="P465" i="34"/>
  <c r="T465" i="34"/>
  <c r="U465" i="34"/>
  <c r="V465" i="34"/>
  <c r="W465" i="34"/>
  <c r="Y465" i="34"/>
  <c r="AB465" i="34"/>
  <c r="AC465" i="34"/>
  <c r="AD465" i="34"/>
  <c r="P466" i="34"/>
  <c r="T466" i="34"/>
  <c r="U466" i="34"/>
  <c r="V466" i="34"/>
  <c r="W466" i="34"/>
  <c r="Y466" i="34"/>
  <c r="AB466" i="34"/>
  <c r="AC466" i="34"/>
  <c r="AD466" i="34"/>
  <c r="P467" i="34"/>
  <c r="T467" i="34"/>
  <c r="U467" i="34"/>
  <c r="V467" i="34"/>
  <c r="W467" i="34"/>
  <c r="Y467" i="34"/>
  <c r="AB467" i="34"/>
  <c r="AC467" i="34"/>
  <c r="AD467" i="34"/>
  <c r="P468" i="34"/>
  <c r="T468" i="34"/>
  <c r="U468" i="34"/>
  <c r="V468" i="34"/>
  <c r="W468" i="34"/>
  <c r="Y468" i="34"/>
  <c r="AB468" i="34"/>
  <c r="AC468" i="34"/>
  <c r="AD468" i="34"/>
  <c r="P469" i="34"/>
  <c r="T469" i="34"/>
  <c r="U469" i="34"/>
  <c r="V469" i="34"/>
  <c r="W469" i="34"/>
  <c r="Y469" i="34"/>
  <c r="AB469" i="34"/>
  <c r="AC469" i="34"/>
  <c r="AD469" i="34"/>
  <c r="P470" i="34"/>
  <c r="T470" i="34"/>
  <c r="U470" i="34"/>
  <c r="V470" i="34"/>
  <c r="W470" i="34"/>
  <c r="Y470" i="34"/>
  <c r="AB470" i="34"/>
  <c r="AC470" i="34"/>
  <c r="AD470" i="34"/>
  <c r="P471" i="34"/>
  <c r="T471" i="34"/>
  <c r="U471" i="34"/>
  <c r="V471" i="34"/>
  <c r="W471" i="34"/>
  <c r="Y471" i="34"/>
  <c r="AB471" i="34"/>
  <c r="AC471" i="34"/>
  <c r="AD471" i="34"/>
  <c r="P472" i="34"/>
  <c r="T472" i="34"/>
  <c r="U472" i="34"/>
  <c r="V472" i="34"/>
  <c r="W472" i="34"/>
  <c r="Y472" i="34"/>
  <c r="AB472" i="34"/>
  <c r="AC472" i="34"/>
  <c r="AD472" i="34"/>
  <c r="P473" i="34"/>
  <c r="T473" i="34"/>
  <c r="U473" i="34"/>
  <c r="V473" i="34"/>
  <c r="W473" i="34"/>
  <c r="Y473" i="34"/>
  <c r="AB473" i="34"/>
  <c r="AC473" i="34"/>
  <c r="AD473" i="34"/>
  <c r="P474" i="34"/>
  <c r="T474" i="34"/>
  <c r="U474" i="34"/>
  <c r="V474" i="34"/>
  <c r="W474" i="34"/>
  <c r="Y474" i="34"/>
  <c r="AB474" i="34"/>
  <c r="AC474" i="34"/>
  <c r="AD474" i="34"/>
  <c r="P475" i="34"/>
  <c r="T475" i="34"/>
  <c r="U475" i="34"/>
  <c r="V475" i="34"/>
  <c r="W475" i="34"/>
  <c r="Y475" i="34"/>
  <c r="AB475" i="34"/>
  <c r="AC475" i="34"/>
  <c r="AD475" i="34"/>
  <c r="P476" i="34"/>
  <c r="T476" i="34"/>
  <c r="U476" i="34"/>
  <c r="V476" i="34"/>
  <c r="W476" i="34"/>
  <c r="Y476" i="34"/>
  <c r="AB476" i="34"/>
  <c r="AC476" i="34"/>
  <c r="AD476" i="34"/>
  <c r="P477" i="34"/>
  <c r="T477" i="34"/>
  <c r="U477" i="34"/>
  <c r="V477" i="34"/>
  <c r="W477" i="34"/>
  <c r="Y477" i="34"/>
  <c r="AB477" i="34"/>
  <c r="AC477" i="34"/>
  <c r="AD477" i="34"/>
  <c r="P478" i="34"/>
  <c r="T478" i="34"/>
  <c r="U478" i="34"/>
  <c r="V478" i="34"/>
  <c r="W478" i="34"/>
  <c r="Y478" i="34"/>
  <c r="AB478" i="34"/>
  <c r="AC478" i="34"/>
  <c r="AD478" i="34"/>
  <c r="P479" i="34"/>
  <c r="T479" i="34"/>
  <c r="U479" i="34"/>
  <c r="V479" i="34"/>
  <c r="W479" i="34"/>
  <c r="Y479" i="34"/>
  <c r="AB479" i="34"/>
  <c r="AC479" i="34"/>
  <c r="AD479" i="34"/>
  <c r="P480" i="34"/>
  <c r="T480" i="34"/>
  <c r="U480" i="34"/>
  <c r="V480" i="34"/>
  <c r="W480" i="34"/>
  <c r="Y480" i="34"/>
  <c r="AB480" i="34"/>
  <c r="AC480" i="34"/>
  <c r="AD480" i="34"/>
  <c r="P481" i="34"/>
  <c r="T481" i="34"/>
  <c r="U481" i="34"/>
  <c r="V481" i="34"/>
  <c r="W481" i="34"/>
  <c r="Y481" i="34"/>
  <c r="AB481" i="34"/>
  <c r="AC481" i="34"/>
  <c r="AD481" i="34"/>
  <c r="P482" i="34"/>
  <c r="T482" i="34"/>
  <c r="U482" i="34"/>
  <c r="V482" i="34"/>
  <c r="W482" i="34"/>
  <c r="Y482" i="34"/>
  <c r="AB482" i="34"/>
  <c r="AC482" i="34"/>
  <c r="AD482" i="34"/>
  <c r="P483" i="34"/>
  <c r="T483" i="34"/>
  <c r="U483" i="34"/>
  <c r="V483" i="34"/>
  <c r="W483" i="34"/>
  <c r="Y483" i="34"/>
  <c r="AB483" i="34"/>
  <c r="AC483" i="34"/>
  <c r="AD483" i="34"/>
  <c r="P484" i="34"/>
  <c r="T484" i="34"/>
  <c r="U484" i="34"/>
  <c r="V484" i="34"/>
  <c r="W484" i="34"/>
  <c r="Y484" i="34"/>
  <c r="AB484" i="34"/>
  <c r="AC484" i="34"/>
  <c r="AD484" i="34"/>
  <c r="P485" i="34"/>
  <c r="T485" i="34"/>
  <c r="U485" i="34"/>
  <c r="V485" i="34"/>
  <c r="W485" i="34"/>
  <c r="Y485" i="34"/>
  <c r="AB485" i="34"/>
  <c r="AC485" i="34"/>
  <c r="AD485" i="34"/>
  <c r="P486" i="34"/>
  <c r="T486" i="34"/>
  <c r="U486" i="34"/>
  <c r="V486" i="34"/>
  <c r="W486" i="34"/>
  <c r="Y486" i="34"/>
  <c r="AB486" i="34"/>
  <c r="AC486" i="34"/>
  <c r="AD486" i="34"/>
  <c r="P487" i="34"/>
  <c r="T487" i="34"/>
  <c r="U487" i="34"/>
  <c r="V487" i="34"/>
  <c r="W487" i="34"/>
  <c r="Y487" i="34"/>
  <c r="AB487" i="34"/>
  <c r="AC487" i="34"/>
  <c r="AD487" i="34"/>
  <c r="P488" i="34"/>
  <c r="T488" i="34"/>
  <c r="U488" i="34"/>
  <c r="V488" i="34"/>
  <c r="W488" i="34"/>
  <c r="Y488" i="34"/>
  <c r="AB488" i="34"/>
  <c r="AC488" i="34"/>
  <c r="AD488" i="34"/>
  <c r="P489" i="34"/>
  <c r="T489" i="34"/>
  <c r="U489" i="34"/>
  <c r="V489" i="34"/>
  <c r="W489" i="34"/>
  <c r="Y489" i="34"/>
  <c r="AB489" i="34"/>
  <c r="AC489" i="34"/>
  <c r="AD489" i="34"/>
  <c r="P490" i="34"/>
  <c r="T490" i="34"/>
  <c r="U490" i="34"/>
  <c r="V490" i="34"/>
  <c r="W490" i="34"/>
  <c r="Y490" i="34"/>
  <c r="AB490" i="34"/>
  <c r="AC490" i="34"/>
  <c r="AD490" i="34"/>
  <c r="P491" i="34"/>
  <c r="T491" i="34"/>
  <c r="U491" i="34"/>
  <c r="V491" i="34"/>
  <c r="W491" i="34"/>
  <c r="Y491" i="34"/>
  <c r="AB491" i="34"/>
  <c r="AC491" i="34"/>
  <c r="AD491" i="34"/>
  <c r="P492" i="34"/>
  <c r="T492" i="34"/>
  <c r="U492" i="34"/>
  <c r="V492" i="34"/>
  <c r="W492" i="34"/>
  <c r="Y492" i="34"/>
  <c r="AB492" i="34"/>
  <c r="AC492" i="34"/>
  <c r="AD492" i="34"/>
  <c r="P493" i="34"/>
  <c r="T493" i="34"/>
  <c r="U493" i="34"/>
  <c r="V493" i="34"/>
  <c r="W493" i="34"/>
  <c r="Y493" i="34"/>
  <c r="AB493" i="34"/>
  <c r="AC493" i="34"/>
  <c r="AD493" i="34"/>
  <c r="P494" i="34"/>
  <c r="T494" i="34"/>
  <c r="U494" i="34"/>
  <c r="V494" i="34"/>
  <c r="W494" i="34"/>
  <c r="Y494" i="34"/>
  <c r="AB494" i="34"/>
  <c r="AC494" i="34"/>
  <c r="AD494" i="34"/>
  <c r="P495" i="34"/>
  <c r="T495" i="34"/>
  <c r="U495" i="34"/>
  <c r="V495" i="34"/>
  <c r="W495" i="34"/>
  <c r="Y495" i="34"/>
  <c r="AB495" i="34"/>
  <c r="AC495" i="34"/>
  <c r="AD495" i="34"/>
  <c r="P496" i="34"/>
  <c r="T496" i="34"/>
  <c r="U496" i="34"/>
  <c r="V496" i="34"/>
  <c r="W496" i="34"/>
  <c r="Y496" i="34"/>
  <c r="AB496" i="34"/>
  <c r="AC496" i="34"/>
  <c r="AD496" i="34"/>
  <c r="P497" i="34"/>
  <c r="T497" i="34"/>
  <c r="U497" i="34"/>
  <c r="V497" i="34"/>
  <c r="W497" i="34"/>
  <c r="Y497" i="34"/>
  <c r="AB497" i="34"/>
  <c r="AC497" i="34"/>
  <c r="AD497" i="34"/>
  <c r="P498" i="34"/>
  <c r="T498" i="34"/>
  <c r="U498" i="34"/>
  <c r="V498" i="34"/>
  <c r="W498" i="34"/>
  <c r="Y498" i="34"/>
  <c r="AB498" i="34"/>
  <c r="AC498" i="34"/>
  <c r="AD498" i="34"/>
  <c r="P499" i="34"/>
  <c r="T499" i="34"/>
  <c r="U499" i="34"/>
  <c r="V499" i="34"/>
  <c r="W499" i="34"/>
  <c r="Y499" i="34"/>
  <c r="AB499" i="34"/>
  <c r="AC499" i="34"/>
  <c r="AD499" i="34"/>
  <c r="P500" i="34"/>
  <c r="T500" i="34"/>
  <c r="U500" i="34"/>
  <c r="V500" i="34"/>
  <c r="W500" i="34"/>
  <c r="Y500" i="34"/>
  <c r="AB500" i="34"/>
  <c r="AC500" i="34"/>
  <c r="AD500" i="34"/>
  <c r="P501" i="34"/>
  <c r="T501" i="34"/>
  <c r="U501" i="34"/>
  <c r="V501" i="34"/>
  <c r="W501" i="34"/>
  <c r="Y501" i="34"/>
  <c r="AB501" i="34"/>
  <c r="AC501" i="34"/>
  <c r="AD501" i="34"/>
  <c r="P502" i="34"/>
  <c r="T502" i="34"/>
  <c r="U502" i="34"/>
  <c r="V502" i="34"/>
  <c r="W502" i="34"/>
  <c r="Y502" i="34"/>
  <c r="AB502" i="34"/>
  <c r="AC502" i="34"/>
  <c r="AD502" i="34"/>
  <c r="P503" i="34"/>
  <c r="T503" i="34"/>
  <c r="U503" i="34"/>
  <c r="V503" i="34"/>
  <c r="W503" i="34"/>
  <c r="Y503" i="34"/>
  <c r="AB503" i="34"/>
  <c r="AC503" i="34"/>
  <c r="AD503" i="34"/>
  <c r="P504" i="34"/>
  <c r="T504" i="34"/>
  <c r="U504" i="34"/>
  <c r="V504" i="34"/>
  <c r="W504" i="34"/>
  <c r="Y504" i="34"/>
  <c r="AB504" i="34"/>
  <c r="AC504" i="34"/>
  <c r="AD504" i="34"/>
  <c r="P505" i="34"/>
  <c r="T505" i="34"/>
  <c r="U505" i="34"/>
  <c r="V505" i="34"/>
  <c r="W505" i="34"/>
  <c r="Y505" i="34"/>
  <c r="AB505" i="34"/>
  <c r="AC505" i="34"/>
  <c r="AD505" i="34"/>
  <c r="P506" i="34"/>
  <c r="T506" i="34"/>
  <c r="U506" i="34"/>
  <c r="V506" i="34"/>
  <c r="W506" i="34"/>
  <c r="Y506" i="34"/>
  <c r="AB506" i="34"/>
  <c r="AC506" i="34"/>
  <c r="AD506" i="34"/>
  <c r="P507" i="34"/>
  <c r="T507" i="34"/>
  <c r="U507" i="34"/>
  <c r="V507" i="34"/>
  <c r="W507" i="34"/>
  <c r="Y507" i="34"/>
  <c r="AB507" i="34"/>
  <c r="AC507" i="34"/>
  <c r="AD507" i="34"/>
  <c r="P508" i="34"/>
  <c r="T508" i="34"/>
  <c r="U508" i="34"/>
  <c r="V508" i="34"/>
  <c r="W508" i="34"/>
  <c r="Y508" i="34"/>
  <c r="AB508" i="34"/>
  <c r="AC508" i="34"/>
  <c r="AD508" i="34"/>
  <c r="P509" i="34"/>
  <c r="T509" i="34"/>
  <c r="U509" i="34"/>
  <c r="V509" i="34"/>
  <c r="W509" i="34"/>
  <c r="Y509" i="34"/>
  <c r="AB509" i="34"/>
  <c r="AC509" i="34"/>
  <c r="AD509" i="34"/>
  <c r="P510" i="34"/>
  <c r="T510" i="34"/>
  <c r="U510" i="34"/>
  <c r="V510" i="34"/>
  <c r="W510" i="34"/>
  <c r="Y510" i="34"/>
  <c r="AB510" i="34"/>
  <c r="AC510" i="34"/>
  <c r="AD510" i="34"/>
  <c r="P511" i="34"/>
  <c r="T511" i="34"/>
  <c r="U511" i="34"/>
  <c r="V511" i="34"/>
  <c r="W511" i="34"/>
  <c r="Y511" i="34"/>
  <c r="AB511" i="34"/>
  <c r="AC511" i="34"/>
  <c r="AD511" i="34"/>
  <c r="P512" i="34"/>
  <c r="T512" i="34"/>
  <c r="U512" i="34"/>
  <c r="V512" i="34"/>
  <c r="W512" i="34"/>
  <c r="Y512" i="34"/>
  <c r="AB512" i="34"/>
  <c r="AC512" i="34"/>
  <c r="AD512" i="34"/>
  <c r="P513" i="34"/>
  <c r="T513" i="34"/>
  <c r="U513" i="34"/>
  <c r="V513" i="34"/>
  <c r="W513" i="34"/>
  <c r="Y513" i="34"/>
  <c r="AB513" i="34"/>
  <c r="AC513" i="34"/>
  <c r="AD513" i="34"/>
  <c r="P514" i="34"/>
  <c r="T514" i="34"/>
  <c r="U514" i="34"/>
  <c r="V514" i="34"/>
  <c r="W514" i="34"/>
  <c r="Y514" i="34"/>
  <c r="AB514" i="34"/>
  <c r="AC514" i="34"/>
  <c r="AD514" i="34"/>
  <c r="P515" i="34"/>
  <c r="T515" i="34"/>
  <c r="U515" i="34"/>
  <c r="V515" i="34"/>
  <c r="W515" i="34"/>
  <c r="Y515" i="34"/>
  <c r="AB515" i="34"/>
  <c r="AC515" i="34"/>
  <c r="AD515" i="34"/>
  <c r="P516" i="34"/>
  <c r="T516" i="34"/>
  <c r="U516" i="34"/>
  <c r="V516" i="34"/>
  <c r="W516" i="34"/>
  <c r="Y516" i="34"/>
  <c r="AB516" i="34"/>
  <c r="AC516" i="34"/>
  <c r="AD516" i="34"/>
  <c r="P517" i="34"/>
  <c r="T517" i="34"/>
  <c r="U517" i="34"/>
  <c r="V517" i="34"/>
  <c r="W517" i="34"/>
  <c r="Y517" i="34"/>
  <c r="AB517" i="34"/>
  <c r="AC517" i="34"/>
  <c r="AD517" i="34"/>
  <c r="P518" i="34"/>
  <c r="T518" i="34"/>
  <c r="U518" i="34"/>
  <c r="V518" i="34"/>
  <c r="W518" i="34"/>
  <c r="Y518" i="34"/>
  <c r="AB518" i="34"/>
  <c r="AC518" i="34"/>
  <c r="AD518" i="34"/>
  <c r="P519" i="34"/>
  <c r="T519" i="34"/>
  <c r="U519" i="34"/>
  <c r="V519" i="34"/>
  <c r="W519" i="34"/>
  <c r="Y519" i="34"/>
  <c r="AB519" i="34"/>
  <c r="AC519" i="34"/>
  <c r="AD519" i="34"/>
  <c r="P520" i="34"/>
  <c r="T520" i="34"/>
  <c r="U520" i="34"/>
  <c r="V520" i="34"/>
  <c r="W520" i="34"/>
  <c r="Y520" i="34"/>
  <c r="AB520" i="34"/>
  <c r="AC520" i="34"/>
  <c r="AD520" i="34"/>
  <c r="P521" i="34"/>
  <c r="T521" i="34"/>
  <c r="U521" i="34"/>
  <c r="V521" i="34"/>
  <c r="W521" i="34"/>
  <c r="Y521" i="34"/>
  <c r="AB521" i="34"/>
  <c r="AC521" i="34"/>
  <c r="AD521" i="34"/>
  <c r="P522" i="34"/>
  <c r="T522" i="34"/>
  <c r="U522" i="34"/>
  <c r="V522" i="34"/>
  <c r="W522" i="34"/>
  <c r="Y522" i="34"/>
  <c r="AB522" i="34"/>
  <c r="AC522" i="34"/>
  <c r="AD522" i="34"/>
  <c r="P523" i="34"/>
  <c r="T523" i="34"/>
  <c r="U523" i="34"/>
  <c r="V523" i="34"/>
  <c r="W523" i="34"/>
  <c r="Y523" i="34"/>
  <c r="AB523" i="34"/>
  <c r="AC523" i="34"/>
  <c r="AD523" i="34"/>
  <c r="P524" i="34"/>
  <c r="T524" i="34"/>
  <c r="U524" i="34"/>
  <c r="V524" i="34"/>
  <c r="W524" i="34"/>
  <c r="Y524" i="34"/>
  <c r="AB524" i="34"/>
  <c r="AC524" i="34"/>
  <c r="AD524" i="34"/>
  <c r="P525" i="34"/>
  <c r="T525" i="34"/>
  <c r="U525" i="34"/>
  <c r="V525" i="34"/>
  <c r="W525" i="34"/>
  <c r="Y525" i="34"/>
  <c r="AB525" i="34"/>
  <c r="AC525" i="34"/>
  <c r="AD525" i="34"/>
  <c r="P526" i="34"/>
  <c r="T526" i="34"/>
  <c r="U526" i="34"/>
  <c r="V526" i="34"/>
  <c r="W526" i="34"/>
  <c r="Y526" i="34"/>
  <c r="AB526" i="34"/>
  <c r="AC526" i="34"/>
  <c r="AD526" i="34"/>
  <c r="P527" i="34"/>
  <c r="T527" i="34"/>
  <c r="U527" i="34"/>
  <c r="V527" i="34"/>
  <c r="W527" i="34"/>
  <c r="Y527" i="34"/>
  <c r="AB527" i="34"/>
  <c r="AC527" i="34"/>
  <c r="AD527" i="34"/>
  <c r="P528" i="34"/>
  <c r="T528" i="34"/>
  <c r="U528" i="34"/>
  <c r="V528" i="34"/>
  <c r="W528" i="34"/>
  <c r="Y528" i="34"/>
  <c r="AB528" i="34"/>
  <c r="AC528" i="34"/>
  <c r="AD528" i="34"/>
  <c r="P529" i="34"/>
  <c r="T529" i="34"/>
  <c r="U529" i="34"/>
  <c r="V529" i="34"/>
  <c r="W529" i="34"/>
  <c r="Y529" i="34"/>
  <c r="AB529" i="34"/>
  <c r="AC529" i="34"/>
  <c r="AD529" i="34"/>
  <c r="P530" i="34"/>
  <c r="T530" i="34"/>
  <c r="U530" i="34"/>
  <c r="V530" i="34"/>
  <c r="W530" i="34"/>
  <c r="Y530" i="34"/>
  <c r="AB530" i="34"/>
  <c r="AC530" i="34"/>
  <c r="AD530" i="34"/>
  <c r="P531" i="34"/>
  <c r="T531" i="34"/>
  <c r="U531" i="34"/>
  <c r="V531" i="34"/>
  <c r="W531" i="34"/>
  <c r="Y531" i="34"/>
  <c r="AB531" i="34"/>
  <c r="AC531" i="34"/>
  <c r="AD531" i="34"/>
  <c r="P532" i="34"/>
  <c r="T532" i="34"/>
  <c r="U532" i="34"/>
  <c r="V532" i="34"/>
  <c r="W532" i="34"/>
  <c r="Y532" i="34"/>
  <c r="AB532" i="34"/>
  <c r="AC532" i="34"/>
  <c r="AD532" i="34"/>
  <c r="P533" i="34"/>
  <c r="T533" i="34"/>
  <c r="U533" i="34"/>
  <c r="V533" i="34"/>
  <c r="W533" i="34"/>
  <c r="Y533" i="34"/>
  <c r="AB533" i="34"/>
  <c r="AC533" i="34"/>
  <c r="AD533" i="34"/>
  <c r="P534" i="34"/>
  <c r="T534" i="34"/>
  <c r="U534" i="34"/>
  <c r="V534" i="34"/>
  <c r="W534" i="34"/>
  <c r="Y534" i="34"/>
  <c r="AB534" i="34"/>
  <c r="AC534" i="34"/>
  <c r="AD534" i="34"/>
  <c r="P535" i="34"/>
  <c r="T535" i="34"/>
  <c r="U535" i="34"/>
  <c r="V535" i="34"/>
  <c r="W535" i="34"/>
  <c r="Y535" i="34"/>
  <c r="AB535" i="34"/>
  <c r="AC535" i="34"/>
  <c r="AD535" i="34"/>
  <c r="P536" i="34"/>
  <c r="T536" i="34"/>
  <c r="U536" i="34"/>
  <c r="V536" i="34"/>
  <c r="W536" i="34"/>
  <c r="Y536" i="34"/>
  <c r="AB536" i="34"/>
  <c r="AC536" i="34"/>
  <c r="AD536" i="34"/>
  <c r="P537" i="34"/>
  <c r="T537" i="34"/>
  <c r="U537" i="34"/>
  <c r="V537" i="34"/>
  <c r="W537" i="34"/>
  <c r="Y537" i="34"/>
  <c r="AB537" i="34"/>
  <c r="AC537" i="34"/>
  <c r="AD537" i="34"/>
  <c r="P538" i="34"/>
  <c r="T538" i="34"/>
  <c r="U538" i="34"/>
  <c r="V538" i="34"/>
  <c r="W538" i="34"/>
  <c r="Y538" i="34"/>
  <c r="AB538" i="34"/>
  <c r="AC538" i="34"/>
  <c r="AD538" i="34"/>
  <c r="P539" i="34"/>
  <c r="T539" i="34"/>
  <c r="U539" i="34"/>
  <c r="V539" i="34"/>
  <c r="W539" i="34"/>
  <c r="Y539" i="34"/>
  <c r="AB539" i="34"/>
  <c r="AC539" i="34"/>
  <c r="AD539" i="34"/>
  <c r="P540" i="34"/>
  <c r="T540" i="34"/>
  <c r="U540" i="34"/>
  <c r="V540" i="34"/>
  <c r="W540" i="34"/>
  <c r="Y540" i="34"/>
  <c r="AB540" i="34"/>
  <c r="AC540" i="34"/>
  <c r="AD540" i="34"/>
  <c r="P541" i="34"/>
  <c r="T541" i="34"/>
  <c r="U541" i="34"/>
  <c r="V541" i="34"/>
  <c r="W541" i="34"/>
  <c r="Y541" i="34"/>
  <c r="AB541" i="34"/>
  <c r="AC541" i="34"/>
  <c r="AD541" i="34"/>
  <c r="P542" i="34"/>
  <c r="T542" i="34"/>
  <c r="U542" i="34"/>
  <c r="V542" i="34"/>
  <c r="W542" i="34"/>
  <c r="Y542" i="34"/>
  <c r="AB542" i="34"/>
  <c r="AC542" i="34"/>
  <c r="AD542" i="34"/>
  <c r="P543" i="34"/>
  <c r="T543" i="34"/>
  <c r="U543" i="34"/>
  <c r="V543" i="34"/>
  <c r="W543" i="34"/>
  <c r="Y543" i="34"/>
  <c r="AB543" i="34"/>
  <c r="AC543" i="34"/>
  <c r="AD543" i="34"/>
  <c r="P544" i="34"/>
  <c r="T544" i="34"/>
  <c r="U544" i="34"/>
  <c r="V544" i="34"/>
  <c r="W544" i="34"/>
  <c r="Y544" i="34"/>
  <c r="AB544" i="34"/>
  <c r="AC544" i="34"/>
  <c r="AD544" i="34"/>
  <c r="P545" i="34"/>
  <c r="T545" i="34"/>
  <c r="U545" i="34"/>
  <c r="V545" i="34"/>
  <c r="W545" i="34"/>
  <c r="Y545" i="34"/>
  <c r="AB545" i="34"/>
  <c r="AC545" i="34"/>
  <c r="AD545" i="34"/>
  <c r="P546" i="34"/>
  <c r="T546" i="34"/>
  <c r="U546" i="34"/>
  <c r="V546" i="34"/>
  <c r="W546" i="34"/>
  <c r="Y546" i="34"/>
  <c r="AB546" i="34"/>
  <c r="AC546" i="34"/>
  <c r="AD546" i="34"/>
  <c r="P547" i="34"/>
  <c r="T547" i="34"/>
  <c r="U547" i="34"/>
  <c r="V547" i="34"/>
  <c r="W547" i="34"/>
  <c r="Y547" i="34"/>
  <c r="AB547" i="34"/>
  <c r="AC547" i="34"/>
  <c r="AD547" i="34"/>
  <c r="P548" i="34"/>
  <c r="T548" i="34"/>
  <c r="U548" i="34"/>
  <c r="V548" i="34"/>
  <c r="W548" i="34"/>
  <c r="Y548" i="34"/>
  <c r="AB548" i="34"/>
  <c r="AC548" i="34"/>
  <c r="AD548" i="34"/>
  <c r="P549" i="34"/>
  <c r="T549" i="34"/>
  <c r="U549" i="34"/>
  <c r="V549" i="34"/>
  <c r="W549" i="34"/>
  <c r="Y549" i="34"/>
  <c r="AB549" i="34"/>
  <c r="AC549" i="34"/>
  <c r="AD549" i="34"/>
  <c r="P550" i="34"/>
  <c r="T550" i="34"/>
  <c r="U550" i="34"/>
  <c r="V550" i="34"/>
  <c r="W550" i="34"/>
  <c r="Y550" i="34"/>
  <c r="AB550" i="34"/>
  <c r="AC550" i="34"/>
  <c r="AD550" i="34"/>
  <c r="P551" i="34"/>
  <c r="T551" i="34"/>
  <c r="U551" i="34"/>
  <c r="V551" i="34"/>
  <c r="W551" i="34"/>
  <c r="Y551" i="34"/>
  <c r="AB551" i="34"/>
  <c r="AC551" i="34"/>
  <c r="AD551" i="34"/>
  <c r="P552" i="34"/>
  <c r="T552" i="34"/>
  <c r="U552" i="34"/>
  <c r="V552" i="34"/>
  <c r="W552" i="34"/>
  <c r="Y552" i="34"/>
  <c r="AB552" i="34"/>
  <c r="AC552" i="34"/>
  <c r="AD552" i="34"/>
  <c r="P553" i="34"/>
  <c r="T553" i="34"/>
  <c r="U553" i="34"/>
  <c r="V553" i="34"/>
  <c r="W553" i="34"/>
  <c r="Y553" i="34"/>
  <c r="AB553" i="34"/>
  <c r="AC553" i="34"/>
  <c r="AD553" i="34"/>
  <c r="P554" i="34"/>
  <c r="T554" i="34"/>
  <c r="U554" i="34"/>
  <c r="V554" i="34"/>
  <c r="W554" i="34"/>
  <c r="Y554" i="34"/>
  <c r="AB554" i="34"/>
  <c r="AC554" i="34"/>
  <c r="AD554" i="34"/>
  <c r="P555" i="34"/>
  <c r="T555" i="34"/>
  <c r="U555" i="34"/>
  <c r="V555" i="34"/>
  <c r="W555" i="34"/>
  <c r="Y555" i="34"/>
  <c r="AB555" i="34"/>
  <c r="AC555" i="34"/>
  <c r="AD555" i="34"/>
  <c r="P556" i="34"/>
  <c r="T556" i="34"/>
  <c r="U556" i="34"/>
  <c r="V556" i="34"/>
  <c r="W556" i="34"/>
  <c r="Y556" i="34"/>
  <c r="AB556" i="34"/>
  <c r="AC556" i="34"/>
  <c r="AD556" i="34"/>
  <c r="P557" i="34"/>
  <c r="T557" i="34"/>
  <c r="U557" i="34"/>
  <c r="V557" i="34"/>
  <c r="W557" i="34"/>
  <c r="Y557" i="34"/>
  <c r="AB557" i="34"/>
  <c r="AC557" i="34"/>
  <c r="AD557" i="34"/>
  <c r="P558" i="34"/>
  <c r="T558" i="34"/>
  <c r="U558" i="34"/>
  <c r="V558" i="34"/>
  <c r="W558" i="34"/>
  <c r="Y558" i="34"/>
  <c r="AB558" i="34"/>
  <c r="AC558" i="34"/>
  <c r="AD558" i="34"/>
  <c r="P559" i="34"/>
  <c r="T559" i="34"/>
  <c r="U559" i="34"/>
  <c r="V559" i="34"/>
  <c r="W559" i="34"/>
  <c r="Y559" i="34"/>
  <c r="AB559" i="34"/>
  <c r="AC559" i="34"/>
  <c r="AD559" i="34"/>
  <c r="P560" i="34"/>
  <c r="T560" i="34"/>
  <c r="U560" i="34"/>
  <c r="V560" i="34"/>
  <c r="W560" i="34"/>
  <c r="Y560" i="34"/>
  <c r="AB560" i="34"/>
  <c r="AC560" i="34"/>
  <c r="AD560" i="34"/>
  <c r="P561" i="34"/>
  <c r="T561" i="34"/>
  <c r="U561" i="34"/>
  <c r="V561" i="34"/>
  <c r="W561" i="34"/>
  <c r="Y561" i="34"/>
  <c r="AB561" i="34"/>
  <c r="AC561" i="34"/>
  <c r="AD561" i="34"/>
  <c r="P562" i="34"/>
  <c r="T562" i="34"/>
  <c r="U562" i="34"/>
  <c r="V562" i="34"/>
  <c r="W562" i="34"/>
  <c r="Y562" i="34"/>
  <c r="AB562" i="34"/>
  <c r="AC562" i="34"/>
  <c r="AD562" i="34"/>
  <c r="P563" i="34"/>
  <c r="T563" i="34"/>
  <c r="U563" i="34"/>
  <c r="V563" i="34"/>
  <c r="W563" i="34"/>
  <c r="Y563" i="34"/>
  <c r="AB563" i="34"/>
  <c r="AC563" i="34"/>
  <c r="AD563" i="34"/>
  <c r="P564" i="34"/>
  <c r="T564" i="34"/>
  <c r="U564" i="34"/>
  <c r="V564" i="34"/>
  <c r="W564" i="34"/>
  <c r="Y564" i="34"/>
  <c r="AB564" i="34"/>
  <c r="AC564" i="34"/>
  <c r="AD564" i="34"/>
  <c r="P565" i="34"/>
  <c r="T565" i="34"/>
  <c r="U565" i="34"/>
  <c r="V565" i="34"/>
  <c r="W565" i="34"/>
  <c r="Y565" i="34"/>
  <c r="AB565" i="34"/>
  <c r="AC565" i="34"/>
  <c r="AD565" i="34"/>
  <c r="P566" i="34"/>
  <c r="T566" i="34"/>
  <c r="U566" i="34"/>
  <c r="V566" i="34"/>
  <c r="W566" i="34"/>
  <c r="Y566" i="34"/>
  <c r="AB566" i="34"/>
  <c r="AC566" i="34"/>
  <c r="AD566" i="34"/>
  <c r="P567" i="34"/>
  <c r="T567" i="34"/>
  <c r="U567" i="34"/>
  <c r="V567" i="34"/>
  <c r="W567" i="34"/>
  <c r="Y567" i="34"/>
  <c r="AB567" i="34"/>
  <c r="AC567" i="34"/>
  <c r="AD567" i="34"/>
  <c r="P568" i="34"/>
  <c r="T568" i="34"/>
  <c r="U568" i="34"/>
  <c r="V568" i="34"/>
  <c r="W568" i="34"/>
  <c r="Y568" i="34"/>
  <c r="AB568" i="34"/>
  <c r="AC568" i="34"/>
  <c r="AD568" i="34"/>
  <c r="P569" i="34"/>
  <c r="T569" i="34"/>
  <c r="U569" i="34"/>
  <c r="V569" i="34"/>
  <c r="W569" i="34"/>
  <c r="Y569" i="34"/>
  <c r="AB569" i="34"/>
  <c r="AC569" i="34"/>
  <c r="AD569" i="34"/>
  <c r="P570" i="34"/>
  <c r="T570" i="34"/>
  <c r="U570" i="34"/>
  <c r="V570" i="34"/>
  <c r="W570" i="34"/>
  <c r="Y570" i="34"/>
  <c r="AB570" i="34"/>
  <c r="AC570" i="34"/>
  <c r="AD570" i="34"/>
  <c r="P571" i="34"/>
  <c r="T571" i="34"/>
  <c r="U571" i="34"/>
  <c r="V571" i="34"/>
  <c r="W571" i="34"/>
  <c r="Y571" i="34"/>
  <c r="AB571" i="34"/>
  <c r="AC571" i="34"/>
  <c r="AD571" i="34"/>
  <c r="P572" i="34"/>
  <c r="T572" i="34"/>
  <c r="U572" i="34"/>
  <c r="V572" i="34"/>
  <c r="W572" i="34"/>
  <c r="Y572" i="34"/>
  <c r="AB572" i="34"/>
  <c r="AC572" i="34"/>
  <c r="AD572" i="34"/>
  <c r="P573" i="34"/>
  <c r="T573" i="34"/>
  <c r="U573" i="34"/>
  <c r="V573" i="34"/>
  <c r="W573" i="34"/>
  <c r="Y573" i="34"/>
  <c r="AB573" i="34"/>
  <c r="AC573" i="34"/>
  <c r="AD573" i="34"/>
  <c r="P574" i="34"/>
  <c r="T574" i="34"/>
  <c r="U574" i="34"/>
  <c r="V574" i="34"/>
  <c r="W574" i="34"/>
  <c r="Y574" i="34"/>
  <c r="AB574" i="34"/>
  <c r="AC574" i="34"/>
  <c r="AD574" i="34"/>
  <c r="P575" i="34"/>
  <c r="T575" i="34"/>
  <c r="U575" i="34"/>
  <c r="V575" i="34"/>
  <c r="W575" i="34"/>
  <c r="Y575" i="34"/>
  <c r="AB575" i="34"/>
  <c r="AC575" i="34"/>
  <c r="AD575" i="34"/>
  <c r="P576" i="34"/>
  <c r="T576" i="34"/>
  <c r="U576" i="34"/>
  <c r="V576" i="34"/>
  <c r="W576" i="34"/>
  <c r="Y576" i="34"/>
  <c r="AB576" i="34"/>
  <c r="AC576" i="34"/>
  <c r="AD576" i="34"/>
  <c r="P577" i="34"/>
  <c r="T577" i="34"/>
  <c r="U577" i="34"/>
  <c r="V577" i="34"/>
  <c r="W577" i="34"/>
  <c r="Y577" i="34"/>
  <c r="AB577" i="34"/>
  <c r="AC577" i="34"/>
  <c r="AD577" i="34"/>
  <c r="P578" i="34"/>
  <c r="T578" i="34"/>
  <c r="U578" i="34"/>
  <c r="V578" i="34"/>
  <c r="W578" i="34"/>
  <c r="Y578" i="34"/>
  <c r="AB578" i="34"/>
  <c r="AC578" i="34"/>
  <c r="AD578" i="34"/>
  <c r="P579" i="34"/>
  <c r="T579" i="34"/>
  <c r="U579" i="34"/>
  <c r="V579" i="34"/>
  <c r="W579" i="34"/>
  <c r="Y579" i="34"/>
  <c r="AB579" i="34"/>
  <c r="AC579" i="34"/>
  <c r="AD579" i="34"/>
  <c r="P580" i="34"/>
  <c r="T580" i="34"/>
  <c r="U580" i="34"/>
  <c r="V580" i="34"/>
  <c r="W580" i="34"/>
  <c r="Y580" i="34"/>
  <c r="AB580" i="34"/>
  <c r="AC580" i="34"/>
  <c r="AD580" i="34"/>
  <c r="P581" i="34"/>
  <c r="T581" i="34"/>
  <c r="U581" i="34"/>
  <c r="V581" i="34"/>
  <c r="W581" i="34"/>
  <c r="Y581" i="34"/>
  <c r="AB581" i="34"/>
  <c r="AC581" i="34"/>
  <c r="AD581" i="34"/>
  <c r="P582" i="34"/>
  <c r="T582" i="34"/>
  <c r="U582" i="34"/>
  <c r="V582" i="34"/>
  <c r="W582" i="34"/>
  <c r="Y582" i="34"/>
  <c r="AB582" i="34"/>
  <c r="AC582" i="34"/>
  <c r="AD582" i="34"/>
  <c r="P583" i="34"/>
  <c r="T583" i="34"/>
  <c r="U583" i="34"/>
  <c r="V583" i="34"/>
  <c r="W583" i="34"/>
  <c r="Y583" i="34"/>
  <c r="AB583" i="34"/>
  <c r="AC583" i="34"/>
  <c r="AD583" i="34"/>
  <c r="P584" i="34"/>
  <c r="T584" i="34"/>
  <c r="U584" i="34"/>
  <c r="V584" i="34"/>
  <c r="W584" i="34"/>
  <c r="Y584" i="34"/>
  <c r="AB584" i="34"/>
  <c r="AC584" i="34"/>
  <c r="AD584" i="34"/>
  <c r="P585" i="34"/>
  <c r="T585" i="34"/>
  <c r="U585" i="34"/>
  <c r="V585" i="34"/>
  <c r="W585" i="34"/>
  <c r="Y585" i="34"/>
  <c r="AB585" i="34"/>
  <c r="AC585" i="34"/>
  <c r="AD585" i="34"/>
  <c r="P586" i="34"/>
  <c r="T586" i="34"/>
  <c r="U586" i="34"/>
  <c r="V586" i="34"/>
  <c r="W586" i="34"/>
  <c r="Y586" i="34"/>
  <c r="AB586" i="34"/>
  <c r="AC586" i="34"/>
  <c r="AD586" i="34"/>
  <c r="P587" i="34"/>
  <c r="T587" i="34"/>
  <c r="U587" i="34"/>
  <c r="V587" i="34"/>
  <c r="W587" i="34"/>
  <c r="Y587" i="34"/>
  <c r="AB587" i="34"/>
  <c r="AC587" i="34"/>
  <c r="AD587" i="34"/>
  <c r="P588" i="34"/>
  <c r="T588" i="34"/>
  <c r="U588" i="34"/>
  <c r="V588" i="34"/>
  <c r="W588" i="34"/>
  <c r="Y588" i="34"/>
  <c r="AB588" i="34"/>
  <c r="AC588" i="34"/>
  <c r="AD588" i="34"/>
  <c r="P589" i="34"/>
  <c r="T589" i="34"/>
  <c r="U589" i="34"/>
  <c r="V589" i="34"/>
  <c r="W589" i="34"/>
  <c r="Y589" i="34"/>
  <c r="AB589" i="34"/>
  <c r="AC589" i="34"/>
  <c r="AD589" i="34"/>
  <c r="P590" i="34"/>
  <c r="T590" i="34"/>
  <c r="U590" i="34"/>
  <c r="V590" i="34"/>
  <c r="W590" i="34"/>
  <c r="Y590" i="34"/>
  <c r="AB590" i="34"/>
  <c r="AC590" i="34"/>
  <c r="AD590" i="34"/>
  <c r="P591" i="34"/>
  <c r="T591" i="34"/>
  <c r="U591" i="34"/>
  <c r="V591" i="34"/>
  <c r="W591" i="34"/>
  <c r="Y591" i="34"/>
  <c r="AB591" i="34"/>
  <c r="AC591" i="34"/>
  <c r="AD591" i="34"/>
  <c r="P592" i="34"/>
  <c r="T592" i="34"/>
  <c r="U592" i="34"/>
  <c r="V592" i="34"/>
  <c r="W592" i="34"/>
  <c r="Y592" i="34"/>
  <c r="AB592" i="34"/>
  <c r="AC592" i="34"/>
  <c r="AD592" i="34"/>
  <c r="P593" i="34"/>
  <c r="T593" i="34"/>
  <c r="U593" i="34"/>
  <c r="V593" i="34"/>
  <c r="W593" i="34"/>
  <c r="Y593" i="34"/>
  <c r="AB593" i="34"/>
  <c r="AC593" i="34"/>
  <c r="AD593" i="34"/>
  <c r="P594" i="34"/>
  <c r="T594" i="34"/>
  <c r="U594" i="34"/>
  <c r="V594" i="34"/>
  <c r="W594" i="34"/>
  <c r="Y594" i="34"/>
  <c r="AB594" i="34"/>
  <c r="AC594" i="34"/>
  <c r="AD594" i="34"/>
  <c r="P595" i="34"/>
  <c r="T595" i="34"/>
  <c r="U595" i="34"/>
  <c r="V595" i="34"/>
  <c r="W595" i="34"/>
  <c r="Y595" i="34"/>
  <c r="AB595" i="34"/>
  <c r="AC595" i="34"/>
  <c r="AD595" i="34"/>
  <c r="P596" i="34"/>
  <c r="T596" i="34"/>
  <c r="U596" i="34"/>
  <c r="V596" i="34"/>
  <c r="W596" i="34"/>
  <c r="Y596" i="34"/>
  <c r="AB596" i="34"/>
  <c r="AC596" i="34"/>
  <c r="AD596" i="34"/>
  <c r="P597" i="34"/>
  <c r="T597" i="34"/>
  <c r="U597" i="34"/>
  <c r="V597" i="34"/>
  <c r="W597" i="34"/>
  <c r="Y597" i="34"/>
  <c r="AB597" i="34"/>
  <c r="AC597" i="34"/>
  <c r="AD597" i="34"/>
  <c r="P598" i="34"/>
  <c r="T598" i="34"/>
  <c r="U598" i="34"/>
  <c r="V598" i="34"/>
  <c r="W598" i="34"/>
  <c r="Y598" i="34"/>
  <c r="AB598" i="34"/>
  <c r="AC598" i="34"/>
  <c r="AD598" i="34"/>
  <c r="P599" i="34"/>
  <c r="T599" i="34"/>
  <c r="U599" i="34"/>
  <c r="V599" i="34"/>
  <c r="W599" i="34"/>
  <c r="Y599" i="34"/>
  <c r="AB599" i="34"/>
  <c r="AC599" i="34"/>
  <c r="AD599" i="34"/>
  <c r="P600" i="34"/>
  <c r="T600" i="34"/>
  <c r="U600" i="34"/>
  <c r="V600" i="34"/>
  <c r="W600" i="34"/>
  <c r="Y600" i="34"/>
  <c r="AB600" i="34"/>
  <c r="AC600" i="34"/>
  <c r="AD600" i="34"/>
  <c r="P601" i="34"/>
  <c r="T601" i="34"/>
  <c r="U601" i="34"/>
  <c r="V601" i="34"/>
  <c r="W601" i="34"/>
  <c r="Y601" i="34"/>
  <c r="AB601" i="34"/>
  <c r="AC601" i="34"/>
  <c r="AD601" i="34"/>
  <c r="P602" i="34"/>
  <c r="T602" i="34"/>
  <c r="U602" i="34"/>
  <c r="V602" i="34"/>
  <c r="W602" i="34"/>
  <c r="Y602" i="34"/>
  <c r="AB602" i="34"/>
  <c r="AC602" i="34"/>
  <c r="AD602" i="34"/>
  <c r="P603" i="34"/>
  <c r="T603" i="34"/>
  <c r="U603" i="34"/>
  <c r="V603" i="34"/>
  <c r="W603" i="34"/>
  <c r="Y603" i="34"/>
  <c r="AB603" i="34"/>
  <c r="AC603" i="34"/>
  <c r="AD603" i="34"/>
  <c r="P604" i="34"/>
  <c r="T604" i="34"/>
  <c r="U604" i="34"/>
  <c r="V604" i="34"/>
  <c r="W604" i="34"/>
  <c r="Y604" i="34"/>
  <c r="AB604" i="34"/>
  <c r="AC604" i="34"/>
  <c r="AD604" i="34"/>
  <c r="P605" i="34"/>
  <c r="T605" i="34"/>
  <c r="U605" i="34"/>
  <c r="V605" i="34"/>
  <c r="W605" i="34"/>
  <c r="Y605" i="34"/>
  <c r="AB605" i="34"/>
  <c r="AC605" i="34"/>
  <c r="AD605" i="34"/>
  <c r="P606" i="34"/>
  <c r="T606" i="34"/>
  <c r="U606" i="34"/>
  <c r="V606" i="34"/>
  <c r="W606" i="34"/>
  <c r="Y606" i="34"/>
  <c r="AB606" i="34"/>
  <c r="AC606" i="34"/>
  <c r="AD606" i="34"/>
  <c r="P607" i="34"/>
  <c r="T607" i="34"/>
  <c r="U607" i="34"/>
  <c r="V607" i="34"/>
  <c r="W607" i="34"/>
  <c r="Y607" i="34"/>
  <c r="AB607" i="34"/>
  <c r="AC607" i="34"/>
  <c r="AD607" i="34"/>
  <c r="P608" i="34"/>
  <c r="T608" i="34"/>
  <c r="U608" i="34"/>
  <c r="V608" i="34"/>
  <c r="W608" i="34"/>
  <c r="Y608" i="34"/>
  <c r="AB608" i="34"/>
  <c r="AC608" i="34"/>
  <c r="AD608" i="34"/>
  <c r="P609" i="34"/>
  <c r="T609" i="34"/>
  <c r="U609" i="34"/>
  <c r="V609" i="34"/>
  <c r="W609" i="34"/>
  <c r="Y609" i="34"/>
  <c r="AB609" i="34"/>
  <c r="AC609" i="34"/>
  <c r="AD609" i="34"/>
  <c r="P610" i="34"/>
  <c r="T610" i="34"/>
  <c r="U610" i="34"/>
  <c r="V610" i="34"/>
  <c r="W610" i="34"/>
  <c r="Y610" i="34"/>
  <c r="AB610" i="34"/>
  <c r="AC610" i="34"/>
  <c r="AD610" i="34"/>
  <c r="P611" i="34"/>
  <c r="T611" i="34"/>
  <c r="U611" i="34"/>
  <c r="V611" i="34"/>
  <c r="W611" i="34"/>
  <c r="Y611" i="34"/>
  <c r="AB611" i="34"/>
  <c r="AC611" i="34"/>
  <c r="AD611" i="34"/>
  <c r="P612" i="34"/>
  <c r="T612" i="34"/>
  <c r="U612" i="34"/>
  <c r="V612" i="34"/>
  <c r="W612" i="34"/>
  <c r="Y612" i="34"/>
  <c r="AB612" i="34"/>
  <c r="AC612" i="34"/>
  <c r="AD612" i="34"/>
  <c r="P613" i="34"/>
  <c r="T613" i="34"/>
  <c r="U613" i="34"/>
  <c r="V613" i="34"/>
  <c r="W613" i="34"/>
  <c r="Y613" i="34"/>
  <c r="AB613" i="34"/>
  <c r="AC613" i="34"/>
  <c r="AD613" i="34"/>
  <c r="P614" i="34"/>
  <c r="T614" i="34"/>
  <c r="U614" i="34"/>
  <c r="V614" i="34"/>
  <c r="W614" i="34"/>
  <c r="Y614" i="34"/>
  <c r="AB614" i="34"/>
  <c r="AC614" i="34"/>
  <c r="AD614" i="34"/>
  <c r="P615" i="34"/>
  <c r="T615" i="34"/>
  <c r="U615" i="34"/>
  <c r="V615" i="34"/>
  <c r="W615" i="34"/>
  <c r="Y615" i="34"/>
  <c r="AB615" i="34"/>
  <c r="AC615" i="34"/>
  <c r="AD615" i="34"/>
  <c r="P616" i="34"/>
  <c r="T616" i="34"/>
  <c r="U616" i="34"/>
  <c r="V616" i="34"/>
  <c r="W616" i="34"/>
  <c r="Y616" i="34"/>
  <c r="AB616" i="34"/>
  <c r="AC616" i="34"/>
  <c r="AD616" i="34"/>
  <c r="P617" i="34"/>
  <c r="T617" i="34"/>
  <c r="U617" i="34"/>
  <c r="V617" i="34"/>
  <c r="W617" i="34"/>
  <c r="Y617" i="34"/>
  <c r="AB617" i="34"/>
  <c r="AC617" i="34"/>
  <c r="AD617" i="34"/>
  <c r="P618" i="34"/>
  <c r="T618" i="34"/>
  <c r="U618" i="34"/>
  <c r="V618" i="34"/>
  <c r="W618" i="34"/>
  <c r="Y618" i="34"/>
  <c r="AB618" i="34"/>
  <c r="AC618" i="34"/>
  <c r="AD618" i="34"/>
  <c r="P619" i="34"/>
  <c r="T619" i="34"/>
  <c r="U619" i="34"/>
  <c r="V619" i="34"/>
  <c r="W619" i="34"/>
  <c r="Y619" i="34"/>
  <c r="AB619" i="34"/>
  <c r="AC619" i="34"/>
  <c r="AD619" i="34"/>
  <c r="P620" i="34"/>
  <c r="T620" i="34"/>
  <c r="U620" i="34"/>
  <c r="V620" i="34"/>
  <c r="W620" i="34"/>
  <c r="Y620" i="34"/>
  <c r="AB620" i="34"/>
  <c r="AC620" i="34"/>
  <c r="AD620" i="34"/>
  <c r="P621" i="34"/>
  <c r="T621" i="34"/>
  <c r="U621" i="34"/>
  <c r="V621" i="34"/>
  <c r="W621" i="34"/>
  <c r="Y621" i="34"/>
  <c r="AB621" i="34"/>
  <c r="AC621" i="34"/>
  <c r="AD621" i="34"/>
  <c r="P622" i="34"/>
  <c r="T622" i="34"/>
  <c r="U622" i="34"/>
  <c r="V622" i="34"/>
  <c r="W622" i="34"/>
  <c r="Y622" i="34"/>
  <c r="AB622" i="34"/>
  <c r="AC622" i="34"/>
  <c r="AD622" i="34"/>
  <c r="P623" i="34"/>
  <c r="T623" i="34"/>
  <c r="U623" i="34"/>
  <c r="V623" i="34"/>
  <c r="W623" i="34"/>
  <c r="Y623" i="34"/>
  <c r="AB623" i="34"/>
  <c r="AC623" i="34"/>
  <c r="AD623" i="34"/>
  <c r="P624" i="34"/>
  <c r="T624" i="34"/>
  <c r="U624" i="34"/>
  <c r="V624" i="34"/>
  <c r="W624" i="34"/>
  <c r="Y624" i="34"/>
  <c r="AB624" i="34"/>
  <c r="AC624" i="34"/>
  <c r="AD624" i="34"/>
  <c r="P625" i="34"/>
  <c r="T625" i="34"/>
  <c r="U625" i="34"/>
  <c r="V625" i="34"/>
  <c r="W625" i="34"/>
  <c r="Y625" i="34"/>
  <c r="AB625" i="34"/>
  <c r="AC625" i="34"/>
  <c r="AD625" i="34"/>
  <c r="P626" i="34"/>
  <c r="T626" i="34"/>
  <c r="U626" i="34"/>
  <c r="V626" i="34"/>
  <c r="W626" i="34"/>
  <c r="Y626" i="34"/>
  <c r="AB626" i="34"/>
  <c r="AC626" i="34"/>
  <c r="AD626" i="34"/>
  <c r="P627" i="34"/>
  <c r="T627" i="34"/>
  <c r="U627" i="34"/>
  <c r="V627" i="34"/>
  <c r="W627" i="34"/>
  <c r="Y627" i="34"/>
  <c r="AB627" i="34"/>
  <c r="AC627" i="34"/>
  <c r="AD627" i="34"/>
  <c r="P628" i="34"/>
  <c r="T628" i="34"/>
  <c r="U628" i="34"/>
  <c r="V628" i="34"/>
  <c r="W628" i="34"/>
  <c r="Y628" i="34"/>
  <c r="AB628" i="34"/>
  <c r="AC628" i="34"/>
  <c r="AD628" i="34"/>
  <c r="P629" i="34"/>
  <c r="T629" i="34"/>
  <c r="U629" i="34"/>
  <c r="V629" i="34"/>
  <c r="W629" i="34"/>
  <c r="Y629" i="34"/>
  <c r="AB629" i="34"/>
  <c r="AC629" i="34"/>
  <c r="AD629" i="34"/>
  <c r="P630" i="34"/>
  <c r="T630" i="34"/>
  <c r="U630" i="34"/>
  <c r="V630" i="34"/>
  <c r="W630" i="34"/>
  <c r="Y630" i="34"/>
  <c r="AB630" i="34"/>
  <c r="AC630" i="34"/>
  <c r="AD630" i="34"/>
  <c r="P631" i="34"/>
  <c r="T631" i="34"/>
  <c r="U631" i="34"/>
  <c r="V631" i="34"/>
  <c r="W631" i="34"/>
  <c r="Y631" i="34"/>
  <c r="AB631" i="34"/>
  <c r="AC631" i="34"/>
  <c r="AD631" i="34"/>
  <c r="P632" i="34"/>
  <c r="T632" i="34"/>
  <c r="U632" i="34"/>
  <c r="V632" i="34"/>
  <c r="W632" i="34"/>
  <c r="Y632" i="34"/>
  <c r="AB632" i="34"/>
  <c r="AC632" i="34"/>
  <c r="AD632" i="34"/>
  <c r="P633" i="34"/>
  <c r="T633" i="34"/>
  <c r="U633" i="34"/>
  <c r="V633" i="34"/>
  <c r="W633" i="34"/>
  <c r="Y633" i="34"/>
  <c r="AB633" i="34"/>
  <c r="AC633" i="34"/>
  <c r="AD633" i="34"/>
  <c r="P634" i="34"/>
  <c r="T634" i="34"/>
  <c r="U634" i="34"/>
  <c r="V634" i="34"/>
  <c r="W634" i="34"/>
  <c r="Y634" i="34"/>
  <c r="AB634" i="34"/>
  <c r="AC634" i="34"/>
  <c r="AD634" i="34"/>
  <c r="P635" i="34"/>
  <c r="T635" i="34"/>
  <c r="U635" i="34"/>
  <c r="V635" i="34"/>
  <c r="W635" i="34"/>
  <c r="Y635" i="34"/>
  <c r="AB635" i="34"/>
  <c r="AC635" i="34"/>
  <c r="AD635" i="34"/>
  <c r="P636" i="34"/>
  <c r="T636" i="34"/>
  <c r="U636" i="34"/>
  <c r="V636" i="34"/>
  <c r="W636" i="34"/>
  <c r="Y636" i="34"/>
  <c r="AB636" i="34"/>
  <c r="AC636" i="34"/>
  <c r="AD636" i="34"/>
  <c r="P637" i="34"/>
  <c r="T637" i="34"/>
  <c r="U637" i="34"/>
  <c r="V637" i="34"/>
  <c r="W637" i="34"/>
  <c r="Y637" i="34"/>
  <c r="AB637" i="34"/>
  <c r="AC637" i="34"/>
  <c r="AD637" i="34"/>
  <c r="P638" i="34"/>
  <c r="T638" i="34"/>
  <c r="U638" i="34"/>
  <c r="V638" i="34"/>
  <c r="W638" i="34"/>
  <c r="Y638" i="34"/>
  <c r="AB638" i="34"/>
  <c r="AC638" i="34"/>
  <c r="AD638" i="34"/>
  <c r="P639" i="34"/>
  <c r="T639" i="34"/>
  <c r="U639" i="34"/>
  <c r="V639" i="34"/>
  <c r="W639" i="34"/>
  <c r="Y639" i="34"/>
  <c r="AB639" i="34"/>
  <c r="AC639" i="34"/>
  <c r="AD639" i="34"/>
  <c r="P640" i="34"/>
  <c r="T640" i="34"/>
  <c r="U640" i="34"/>
  <c r="V640" i="34"/>
  <c r="W640" i="34"/>
  <c r="Y640" i="34"/>
  <c r="AB640" i="34"/>
  <c r="AC640" i="34"/>
  <c r="AD640" i="34"/>
  <c r="P641" i="34"/>
  <c r="T641" i="34"/>
  <c r="U641" i="34"/>
  <c r="V641" i="34"/>
  <c r="W641" i="34"/>
  <c r="Y641" i="34"/>
  <c r="AB641" i="34"/>
  <c r="AC641" i="34"/>
  <c r="AD641" i="34"/>
  <c r="P642" i="34"/>
  <c r="T642" i="34"/>
  <c r="U642" i="34"/>
  <c r="V642" i="34"/>
  <c r="W642" i="34"/>
  <c r="Y642" i="34"/>
  <c r="AB642" i="34"/>
  <c r="AC642" i="34"/>
  <c r="AD642" i="34"/>
  <c r="P643" i="34"/>
  <c r="T643" i="34"/>
  <c r="U643" i="34"/>
  <c r="V643" i="34"/>
  <c r="W643" i="34"/>
  <c r="Y643" i="34"/>
  <c r="AB643" i="34"/>
  <c r="AC643" i="34"/>
  <c r="AD643" i="34"/>
  <c r="P644" i="34"/>
  <c r="T644" i="34"/>
  <c r="U644" i="34"/>
  <c r="V644" i="34"/>
  <c r="W644" i="34"/>
  <c r="Y644" i="34"/>
  <c r="AB644" i="34"/>
  <c r="AC644" i="34"/>
  <c r="AD644" i="34"/>
  <c r="P645" i="34"/>
  <c r="T645" i="34"/>
  <c r="U645" i="34"/>
  <c r="V645" i="34"/>
  <c r="W645" i="34"/>
  <c r="Y645" i="34"/>
  <c r="AB645" i="34"/>
  <c r="AC645" i="34"/>
  <c r="AD645" i="34"/>
  <c r="P646" i="34"/>
  <c r="T646" i="34"/>
  <c r="U646" i="34"/>
  <c r="V646" i="34"/>
  <c r="W646" i="34"/>
  <c r="Y646" i="34"/>
  <c r="AB646" i="34"/>
  <c r="AC646" i="34"/>
  <c r="AD646" i="34"/>
  <c r="P647" i="34"/>
  <c r="T647" i="34"/>
  <c r="U647" i="34"/>
  <c r="V647" i="34"/>
  <c r="W647" i="34"/>
  <c r="Y647" i="34"/>
  <c r="AB647" i="34"/>
  <c r="AC647" i="34"/>
  <c r="AD647" i="34"/>
  <c r="P648" i="34"/>
  <c r="T648" i="34"/>
  <c r="U648" i="34"/>
  <c r="V648" i="34"/>
  <c r="W648" i="34"/>
  <c r="Y648" i="34"/>
  <c r="AB648" i="34"/>
  <c r="AC648" i="34"/>
  <c r="AD648" i="34"/>
  <c r="P649" i="34"/>
  <c r="T649" i="34"/>
  <c r="U649" i="34"/>
  <c r="V649" i="34"/>
  <c r="W649" i="34"/>
  <c r="Y649" i="34"/>
  <c r="AB649" i="34"/>
  <c r="AC649" i="34"/>
  <c r="AD649" i="34"/>
  <c r="P650" i="34"/>
  <c r="T650" i="34"/>
  <c r="U650" i="34"/>
  <c r="V650" i="34"/>
  <c r="W650" i="34"/>
  <c r="Y650" i="34"/>
  <c r="AB650" i="34"/>
  <c r="AC650" i="34"/>
  <c r="AD650" i="34"/>
  <c r="P651" i="34"/>
  <c r="T651" i="34"/>
  <c r="U651" i="34"/>
  <c r="V651" i="34"/>
  <c r="W651" i="34"/>
  <c r="Y651" i="34"/>
  <c r="AB651" i="34"/>
  <c r="AC651" i="34"/>
  <c r="AD651" i="34"/>
  <c r="P652" i="34"/>
  <c r="T652" i="34"/>
  <c r="U652" i="34"/>
  <c r="V652" i="34"/>
  <c r="W652" i="34"/>
  <c r="Y652" i="34"/>
  <c r="AB652" i="34"/>
  <c r="AC652" i="34"/>
  <c r="AD652" i="34"/>
  <c r="P653" i="34"/>
  <c r="T653" i="34"/>
  <c r="U653" i="34"/>
  <c r="V653" i="34"/>
  <c r="W653" i="34"/>
  <c r="Y653" i="34"/>
  <c r="AB653" i="34"/>
  <c r="AC653" i="34"/>
  <c r="AD653" i="34"/>
  <c r="P654" i="34"/>
  <c r="T654" i="34"/>
  <c r="U654" i="34"/>
  <c r="V654" i="34"/>
  <c r="W654" i="34"/>
  <c r="Y654" i="34"/>
  <c r="AB654" i="34"/>
  <c r="AC654" i="34"/>
  <c r="AD654" i="34"/>
  <c r="P655" i="34"/>
  <c r="T655" i="34"/>
  <c r="U655" i="34"/>
  <c r="V655" i="34"/>
  <c r="W655" i="34"/>
  <c r="Y655" i="34"/>
  <c r="AB655" i="34"/>
  <c r="AC655" i="34"/>
  <c r="AD655" i="34"/>
  <c r="P656" i="34"/>
  <c r="T656" i="34"/>
  <c r="U656" i="34"/>
  <c r="V656" i="34"/>
  <c r="W656" i="34"/>
  <c r="Y656" i="34"/>
  <c r="AB656" i="34"/>
  <c r="AC656" i="34"/>
  <c r="AD656" i="34"/>
  <c r="P657" i="34"/>
  <c r="T657" i="34"/>
  <c r="U657" i="34"/>
  <c r="V657" i="34"/>
  <c r="W657" i="34"/>
  <c r="Y657" i="34"/>
  <c r="AB657" i="34"/>
  <c r="AC657" i="34"/>
  <c r="AD657" i="34"/>
  <c r="P658" i="34"/>
  <c r="T658" i="34"/>
  <c r="U658" i="34"/>
  <c r="V658" i="34"/>
  <c r="W658" i="34"/>
  <c r="Y658" i="34"/>
  <c r="AB658" i="34"/>
  <c r="AC658" i="34"/>
  <c r="AD658" i="34"/>
  <c r="P659" i="34"/>
  <c r="T659" i="34"/>
  <c r="U659" i="34"/>
  <c r="V659" i="34"/>
  <c r="W659" i="34"/>
  <c r="Y659" i="34"/>
  <c r="AB659" i="34"/>
  <c r="AC659" i="34"/>
  <c r="AD659" i="34"/>
  <c r="P660" i="34"/>
  <c r="T660" i="34"/>
  <c r="U660" i="34"/>
  <c r="V660" i="34"/>
  <c r="W660" i="34"/>
  <c r="Y660" i="34"/>
  <c r="AB660" i="34"/>
  <c r="AC660" i="34"/>
  <c r="AD660" i="34"/>
  <c r="P661" i="34"/>
  <c r="T661" i="34"/>
  <c r="U661" i="34"/>
  <c r="V661" i="34"/>
  <c r="W661" i="34"/>
  <c r="Y661" i="34"/>
  <c r="AB661" i="34"/>
  <c r="AC661" i="34"/>
  <c r="AD661" i="34"/>
  <c r="P662" i="34"/>
  <c r="T662" i="34"/>
  <c r="U662" i="34"/>
  <c r="V662" i="34"/>
  <c r="W662" i="34"/>
  <c r="Y662" i="34"/>
  <c r="AB662" i="34"/>
  <c r="AC662" i="34"/>
  <c r="AD662" i="34"/>
  <c r="P663" i="34"/>
  <c r="T663" i="34"/>
  <c r="U663" i="34"/>
  <c r="V663" i="34"/>
  <c r="W663" i="34"/>
  <c r="Y663" i="34"/>
  <c r="AB663" i="34"/>
  <c r="AC663" i="34"/>
  <c r="AD663" i="34"/>
  <c r="P664" i="34"/>
  <c r="T664" i="34"/>
  <c r="U664" i="34"/>
  <c r="V664" i="34"/>
  <c r="W664" i="34"/>
  <c r="Y664" i="34"/>
  <c r="AB664" i="34"/>
  <c r="AC664" i="34"/>
  <c r="AD664" i="34"/>
  <c r="P665" i="34"/>
  <c r="T665" i="34"/>
  <c r="U665" i="34"/>
  <c r="V665" i="34"/>
  <c r="W665" i="34"/>
  <c r="Y665" i="34"/>
  <c r="AB665" i="34"/>
  <c r="AC665" i="34"/>
  <c r="AD665" i="34"/>
  <c r="P666" i="34"/>
  <c r="T666" i="34"/>
  <c r="U666" i="34"/>
  <c r="V666" i="34"/>
  <c r="W666" i="34"/>
  <c r="Y666" i="34"/>
  <c r="AB666" i="34"/>
  <c r="AC666" i="34"/>
  <c r="AD666" i="34"/>
  <c r="P667" i="34"/>
  <c r="T667" i="34"/>
  <c r="U667" i="34"/>
  <c r="V667" i="34"/>
  <c r="W667" i="34"/>
  <c r="Y667" i="34"/>
  <c r="AB667" i="34"/>
  <c r="AC667" i="34"/>
  <c r="AD667" i="34"/>
  <c r="P668" i="34"/>
  <c r="T668" i="34"/>
  <c r="U668" i="34"/>
  <c r="V668" i="34"/>
  <c r="W668" i="34"/>
  <c r="Y668" i="34"/>
  <c r="AB668" i="34"/>
  <c r="AC668" i="34"/>
  <c r="AD668" i="34"/>
  <c r="P669" i="34"/>
  <c r="T669" i="34"/>
  <c r="U669" i="34"/>
  <c r="V669" i="34"/>
  <c r="W669" i="34"/>
  <c r="Y669" i="34"/>
  <c r="AB669" i="34"/>
  <c r="AC669" i="34"/>
  <c r="AD669" i="34"/>
  <c r="P670" i="34"/>
  <c r="T670" i="34"/>
  <c r="U670" i="34"/>
  <c r="V670" i="34"/>
  <c r="W670" i="34"/>
  <c r="Y670" i="34"/>
  <c r="AB670" i="34"/>
  <c r="AC670" i="34"/>
  <c r="AD670" i="34"/>
  <c r="P671" i="34"/>
  <c r="T671" i="34"/>
  <c r="U671" i="34"/>
  <c r="V671" i="34"/>
  <c r="W671" i="34"/>
  <c r="Y671" i="34"/>
  <c r="AB671" i="34"/>
  <c r="AC671" i="34"/>
  <c r="AD671" i="34"/>
  <c r="P672" i="34"/>
  <c r="T672" i="34"/>
  <c r="U672" i="34"/>
  <c r="V672" i="34"/>
  <c r="W672" i="34"/>
  <c r="Y672" i="34"/>
  <c r="AB672" i="34"/>
  <c r="AC672" i="34"/>
  <c r="AD672" i="34"/>
  <c r="P673" i="34"/>
  <c r="T673" i="34"/>
  <c r="U673" i="34"/>
  <c r="V673" i="34"/>
  <c r="W673" i="34"/>
  <c r="Y673" i="34"/>
  <c r="AB673" i="34"/>
  <c r="AC673" i="34"/>
  <c r="AD673" i="34"/>
  <c r="P674" i="34"/>
  <c r="T674" i="34"/>
  <c r="U674" i="34"/>
  <c r="V674" i="34"/>
  <c r="W674" i="34"/>
  <c r="Y674" i="34"/>
  <c r="AB674" i="34"/>
  <c r="AC674" i="34"/>
  <c r="AD674" i="34"/>
  <c r="P675" i="34"/>
  <c r="T675" i="34"/>
  <c r="U675" i="34"/>
  <c r="V675" i="34"/>
  <c r="W675" i="34"/>
  <c r="Y675" i="34"/>
  <c r="AB675" i="34"/>
  <c r="AC675" i="34"/>
  <c r="AD675" i="34"/>
  <c r="P676" i="34"/>
  <c r="T676" i="34"/>
  <c r="U676" i="34"/>
  <c r="V676" i="34"/>
  <c r="W676" i="34"/>
  <c r="Y676" i="34"/>
  <c r="AB676" i="34"/>
  <c r="AC676" i="34"/>
  <c r="AD676" i="34"/>
  <c r="P677" i="34"/>
  <c r="T677" i="34"/>
  <c r="U677" i="34"/>
  <c r="V677" i="34"/>
  <c r="W677" i="34"/>
  <c r="Y677" i="34"/>
  <c r="AB677" i="34"/>
  <c r="AC677" i="34"/>
  <c r="AD677" i="34"/>
  <c r="P678" i="34"/>
  <c r="T678" i="34"/>
  <c r="U678" i="34"/>
  <c r="V678" i="34"/>
  <c r="W678" i="34"/>
  <c r="Y678" i="34"/>
  <c r="AB678" i="34"/>
  <c r="AC678" i="34"/>
  <c r="AD678" i="34"/>
  <c r="P679" i="34"/>
  <c r="T679" i="34"/>
  <c r="U679" i="34"/>
  <c r="V679" i="34"/>
  <c r="W679" i="34"/>
  <c r="Y679" i="34"/>
  <c r="AB679" i="34"/>
  <c r="AC679" i="34"/>
  <c r="AD679" i="34"/>
  <c r="P680" i="34"/>
  <c r="T680" i="34"/>
  <c r="U680" i="34"/>
  <c r="V680" i="34"/>
  <c r="W680" i="34"/>
  <c r="Y680" i="34"/>
  <c r="AB680" i="34"/>
  <c r="AC680" i="34"/>
  <c r="AD680" i="34"/>
  <c r="P681" i="34"/>
  <c r="T681" i="34"/>
  <c r="U681" i="34"/>
  <c r="V681" i="34"/>
  <c r="W681" i="34"/>
  <c r="Y681" i="34"/>
  <c r="AB681" i="34"/>
  <c r="AC681" i="34"/>
  <c r="AD681" i="34"/>
  <c r="P682" i="34"/>
  <c r="T682" i="34"/>
  <c r="U682" i="34"/>
  <c r="V682" i="34"/>
  <c r="W682" i="34"/>
  <c r="Y682" i="34"/>
  <c r="AB682" i="34"/>
  <c r="AC682" i="34"/>
  <c r="AD682" i="34"/>
  <c r="P683" i="34"/>
  <c r="T683" i="34"/>
  <c r="U683" i="34"/>
  <c r="V683" i="34"/>
  <c r="W683" i="34"/>
  <c r="Y683" i="34"/>
  <c r="AB683" i="34"/>
  <c r="AC683" i="34"/>
  <c r="AD683" i="34"/>
  <c r="P684" i="34"/>
  <c r="T684" i="34"/>
  <c r="U684" i="34"/>
  <c r="V684" i="34"/>
  <c r="W684" i="34"/>
  <c r="Y684" i="34"/>
  <c r="AB684" i="34"/>
  <c r="AC684" i="34"/>
  <c r="AD684" i="34"/>
  <c r="P685" i="34"/>
  <c r="T685" i="34"/>
  <c r="U685" i="34"/>
  <c r="V685" i="34"/>
  <c r="W685" i="34"/>
  <c r="Y685" i="34"/>
  <c r="AB685" i="34"/>
  <c r="AC685" i="34"/>
  <c r="AD685" i="34"/>
  <c r="P686" i="34"/>
  <c r="T686" i="34"/>
  <c r="U686" i="34"/>
  <c r="V686" i="34"/>
  <c r="W686" i="34"/>
  <c r="Y686" i="34"/>
  <c r="AB686" i="34"/>
  <c r="AC686" i="34"/>
  <c r="AD686" i="34"/>
  <c r="P687" i="34"/>
  <c r="T687" i="34"/>
  <c r="U687" i="34"/>
  <c r="V687" i="34"/>
  <c r="W687" i="34"/>
  <c r="Y687" i="34"/>
  <c r="AB687" i="34"/>
  <c r="AC687" i="34"/>
  <c r="AD687" i="34"/>
  <c r="P688" i="34"/>
  <c r="T688" i="34"/>
  <c r="U688" i="34"/>
  <c r="V688" i="34"/>
  <c r="W688" i="34"/>
  <c r="Y688" i="34"/>
  <c r="AB688" i="34"/>
  <c r="AC688" i="34"/>
  <c r="AD688" i="34"/>
  <c r="P689" i="34"/>
  <c r="T689" i="34"/>
  <c r="U689" i="34"/>
  <c r="V689" i="34"/>
  <c r="W689" i="34"/>
  <c r="Y689" i="34"/>
  <c r="AB689" i="34"/>
  <c r="AC689" i="34"/>
  <c r="AD689" i="34"/>
  <c r="P690" i="34"/>
  <c r="T690" i="34"/>
  <c r="U690" i="34"/>
  <c r="V690" i="34"/>
  <c r="W690" i="34"/>
  <c r="Y690" i="34"/>
  <c r="AB690" i="34"/>
  <c r="AC690" i="34"/>
  <c r="AD690" i="34"/>
  <c r="P691" i="34"/>
  <c r="T691" i="34"/>
  <c r="U691" i="34"/>
  <c r="V691" i="34"/>
  <c r="W691" i="34"/>
  <c r="Y691" i="34"/>
  <c r="AB691" i="34"/>
  <c r="AC691" i="34"/>
  <c r="AD691" i="34"/>
  <c r="P692" i="34"/>
  <c r="T692" i="34"/>
  <c r="U692" i="34"/>
  <c r="V692" i="34"/>
  <c r="W692" i="34"/>
  <c r="Y692" i="34"/>
  <c r="AB692" i="34"/>
  <c r="AC692" i="34"/>
  <c r="AD692" i="34"/>
  <c r="P693" i="34"/>
  <c r="T693" i="34"/>
  <c r="U693" i="34"/>
  <c r="V693" i="34"/>
  <c r="W693" i="34"/>
  <c r="Y693" i="34"/>
  <c r="AB693" i="34"/>
  <c r="AC693" i="34"/>
  <c r="AD693" i="34"/>
  <c r="P694" i="34"/>
  <c r="T694" i="34"/>
  <c r="U694" i="34"/>
  <c r="V694" i="34"/>
  <c r="W694" i="34"/>
  <c r="Y694" i="34"/>
  <c r="AB694" i="34"/>
  <c r="AC694" i="34"/>
  <c r="AD694" i="34"/>
  <c r="P695" i="34"/>
  <c r="T695" i="34"/>
  <c r="U695" i="34"/>
  <c r="V695" i="34"/>
  <c r="W695" i="34"/>
  <c r="Y695" i="34"/>
  <c r="AB695" i="34"/>
  <c r="AC695" i="34"/>
  <c r="AD695" i="34"/>
  <c r="P696" i="34"/>
  <c r="T696" i="34"/>
  <c r="U696" i="34"/>
  <c r="V696" i="34"/>
  <c r="W696" i="34"/>
  <c r="Y696" i="34"/>
  <c r="AB696" i="34"/>
  <c r="AC696" i="34"/>
  <c r="AD696" i="34"/>
  <c r="P697" i="34"/>
  <c r="T697" i="34"/>
  <c r="U697" i="34"/>
  <c r="V697" i="34"/>
  <c r="W697" i="34"/>
  <c r="Y697" i="34"/>
  <c r="AB697" i="34"/>
  <c r="AC697" i="34"/>
  <c r="AD697" i="34"/>
  <c r="P698" i="34"/>
  <c r="T698" i="34"/>
  <c r="U698" i="34"/>
  <c r="V698" i="34"/>
  <c r="W698" i="34"/>
  <c r="Y698" i="34"/>
  <c r="AB698" i="34"/>
  <c r="AC698" i="34"/>
  <c r="AD698" i="34"/>
  <c r="P699" i="34"/>
  <c r="T699" i="34"/>
  <c r="U699" i="34"/>
  <c r="V699" i="34"/>
  <c r="W699" i="34"/>
  <c r="Y699" i="34"/>
  <c r="AB699" i="34"/>
  <c r="AC699" i="34"/>
  <c r="AD699" i="34"/>
  <c r="P700" i="34"/>
  <c r="T700" i="34"/>
  <c r="U700" i="34"/>
  <c r="V700" i="34"/>
  <c r="W700" i="34"/>
  <c r="Y700" i="34"/>
  <c r="AB700" i="34"/>
  <c r="AC700" i="34"/>
  <c r="AD700" i="34"/>
  <c r="P701" i="34"/>
  <c r="T701" i="34"/>
  <c r="U701" i="34"/>
  <c r="V701" i="34"/>
  <c r="W701" i="34"/>
  <c r="Y701" i="34"/>
  <c r="AB701" i="34"/>
  <c r="AC701" i="34"/>
  <c r="AD701" i="34"/>
  <c r="P702" i="34"/>
  <c r="T702" i="34"/>
  <c r="U702" i="34"/>
  <c r="V702" i="34"/>
  <c r="W702" i="34"/>
  <c r="Y702" i="34"/>
  <c r="AB702" i="34"/>
  <c r="AC702" i="34"/>
  <c r="AD702" i="34"/>
  <c r="P703" i="34"/>
  <c r="T703" i="34"/>
  <c r="U703" i="34"/>
  <c r="V703" i="34"/>
  <c r="W703" i="34"/>
  <c r="Y703" i="34"/>
  <c r="AB703" i="34"/>
  <c r="AC703" i="34"/>
  <c r="AD703" i="34"/>
  <c r="P704" i="34"/>
  <c r="T704" i="34"/>
  <c r="U704" i="34"/>
  <c r="V704" i="34"/>
  <c r="W704" i="34"/>
  <c r="Y704" i="34"/>
  <c r="AB704" i="34"/>
  <c r="AC704" i="34"/>
  <c r="AD704" i="34"/>
  <c r="P705" i="34"/>
  <c r="T705" i="34"/>
  <c r="U705" i="34"/>
  <c r="V705" i="34"/>
  <c r="W705" i="34"/>
  <c r="Y705" i="34"/>
  <c r="AB705" i="34"/>
  <c r="AC705" i="34"/>
  <c r="AD705" i="34"/>
  <c r="P706" i="34"/>
  <c r="T706" i="34"/>
  <c r="U706" i="34"/>
  <c r="V706" i="34"/>
  <c r="W706" i="34"/>
  <c r="Y706" i="34"/>
  <c r="AB706" i="34"/>
  <c r="AC706" i="34"/>
  <c r="AD706" i="34"/>
  <c r="P707" i="34"/>
  <c r="T707" i="34"/>
  <c r="U707" i="34"/>
  <c r="V707" i="34"/>
  <c r="W707" i="34"/>
  <c r="Y707" i="34"/>
  <c r="AB707" i="34"/>
  <c r="AC707" i="34"/>
  <c r="AD707" i="34"/>
  <c r="P708" i="34"/>
  <c r="T708" i="34"/>
  <c r="U708" i="34"/>
  <c r="V708" i="34"/>
  <c r="W708" i="34"/>
  <c r="Y708" i="34"/>
  <c r="AB708" i="34"/>
  <c r="AC708" i="34"/>
  <c r="AD708" i="34"/>
  <c r="P709" i="34"/>
  <c r="T709" i="34"/>
  <c r="U709" i="34"/>
  <c r="V709" i="34"/>
  <c r="W709" i="34"/>
  <c r="Y709" i="34"/>
  <c r="AB709" i="34"/>
  <c r="AC709" i="34"/>
  <c r="AD709" i="34"/>
  <c r="P710" i="34"/>
  <c r="T710" i="34"/>
  <c r="U710" i="34"/>
  <c r="V710" i="34"/>
  <c r="W710" i="34"/>
  <c r="Y710" i="34"/>
  <c r="AB710" i="34"/>
  <c r="AC710" i="34"/>
  <c r="AD710" i="34"/>
  <c r="P711" i="34"/>
  <c r="T711" i="34"/>
  <c r="U711" i="34"/>
  <c r="V711" i="34"/>
  <c r="W711" i="34"/>
  <c r="Y711" i="34"/>
  <c r="AB711" i="34"/>
  <c r="AC711" i="34"/>
  <c r="AD711" i="34"/>
  <c r="P712" i="34"/>
  <c r="T712" i="34"/>
  <c r="U712" i="34"/>
  <c r="V712" i="34"/>
  <c r="W712" i="34"/>
  <c r="Y712" i="34"/>
  <c r="AB712" i="34"/>
  <c r="AC712" i="34"/>
  <c r="AD712" i="34"/>
  <c r="P713" i="34"/>
  <c r="T713" i="34"/>
  <c r="U713" i="34"/>
  <c r="V713" i="34"/>
  <c r="W713" i="34"/>
  <c r="Y713" i="34"/>
  <c r="AB713" i="34"/>
  <c r="AC713" i="34"/>
  <c r="AD713" i="34"/>
  <c r="P714" i="34"/>
  <c r="T714" i="34"/>
  <c r="U714" i="34"/>
  <c r="V714" i="34"/>
  <c r="W714" i="34"/>
  <c r="Y714" i="34"/>
  <c r="AB714" i="34"/>
  <c r="AC714" i="34"/>
  <c r="AD714" i="34"/>
  <c r="P715" i="34"/>
  <c r="T715" i="34"/>
  <c r="U715" i="34"/>
  <c r="V715" i="34"/>
  <c r="W715" i="34"/>
  <c r="Y715" i="34"/>
  <c r="AB715" i="34"/>
  <c r="AC715" i="34"/>
  <c r="AD715" i="34"/>
  <c r="P716" i="34"/>
  <c r="T716" i="34"/>
  <c r="U716" i="34"/>
  <c r="V716" i="34"/>
  <c r="W716" i="34"/>
  <c r="Y716" i="34"/>
  <c r="AB716" i="34"/>
  <c r="AC716" i="34"/>
  <c r="AD716" i="34"/>
  <c r="P717" i="34"/>
  <c r="T717" i="34"/>
  <c r="U717" i="34"/>
  <c r="V717" i="34"/>
  <c r="W717" i="34"/>
  <c r="Y717" i="34"/>
  <c r="AB717" i="34"/>
  <c r="AC717" i="34"/>
  <c r="AD717" i="34"/>
  <c r="P718" i="34"/>
  <c r="T718" i="34"/>
  <c r="U718" i="34"/>
  <c r="V718" i="34"/>
  <c r="W718" i="34"/>
  <c r="Y718" i="34"/>
  <c r="AB718" i="34"/>
  <c r="AC718" i="34"/>
  <c r="AD718" i="34"/>
  <c r="P719" i="34"/>
  <c r="T719" i="34"/>
  <c r="U719" i="34"/>
  <c r="V719" i="34"/>
  <c r="W719" i="34"/>
  <c r="Y719" i="34"/>
  <c r="AB719" i="34"/>
  <c r="AC719" i="34"/>
  <c r="AD719" i="34"/>
  <c r="P720" i="34"/>
  <c r="T720" i="34"/>
  <c r="U720" i="34"/>
  <c r="V720" i="34"/>
  <c r="W720" i="34"/>
  <c r="Y720" i="34"/>
  <c r="AB720" i="34"/>
  <c r="AC720" i="34"/>
  <c r="AD720" i="34"/>
  <c r="P721" i="34"/>
  <c r="T721" i="34"/>
  <c r="U721" i="34"/>
  <c r="V721" i="34"/>
  <c r="W721" i="34"/>
  <c r="Y721" i="34"/>
  <c r="AB721" i="34"/>
  <c r="AC721" i="34"/>
  <c r="AD721" i="34"/>
  <c r="P722" i="34"/>
  <c r="T722" i="34"/>
  <c r="U722" i="34"/>
  <c r="V722" i="34"/>
  <c r="W722" i="34"/>
  <c r="Y722" i="34"/>
  <c r="AB722" i="34"/>
  <c r="AC722" i="34"/>
  <c r="AD722" i="34"/>
  <c r="P723" i="34"/>
  <c r="T723" i="34"/>
  <c r="U723" i="34"/>
  <c r="V723" i="34"/>
  <c r="W723" i="34"/>
  <c r="Y723" i="34"/>
  <c r="AB723" i="34"/>
  <c r="AC723" i="34"/>
  <c r="AD723" i="34"/>
  <c r="P724" i="34"/>
  <c r="T724" i="34"/>
  <c r="U724" i="34"/>
  <c r="V724" i="34"/>
  <c r="W724" i="34"/>
  <c r="Y724" i="34"/>
  <c r="AB724" i="34"/>
  <c r="AC724" i="34"/>
  <c r="AD724" i="34"/>
  <c r="P725" i="34"/>
  <c r="T725" i="34"/>
  <c r="U725" i="34"/>
  <c r="V725" i="34"/>
  <c r="W725" i="34"/>
  <c r="Y725" i="34"/>
  <c r="AB725" i="34"/>
  <c r="AC725" i="34"/>
  <c r="AD725" i="34"/>
  <c r="P726" i="34"/>
  <c r="T726" i="34"/>
  <c r="U726" i="34"/>
  <c r="V726" i="34"/>
  <c r="W726" i="34"/>
  <c r="Y726" i="34"/>
  <c r="AB726" i="34"/>
  <c r="AC726" i="34"/>
  <c r="AD726" i="34"/>
  <c r="P727" i="34"/>
  <c r="T727" i="34"/>
  <c r="U727" i="34"/>
  <c r="V727" i="34"/>
  <c r="W727" i="34"/>
  <c r="Y727" i="34"/>
  <c r="AB727" i="34"/>
  <c r="AC727" i="34"/>
  <c r="AD727" i="34"/>
  <c r="P728" i="34"/>
  <c r="T728" i="34"/>
  <c r="U728" i="34"/>
  <c r="V728" i="34"/>
  <c r="W728" i="34"/>
  <c r="Y728" i="34"/>
  <c r="AB728" i="34"/>
  <c r="AC728" i="34"/>
  <c r="AD728" i="34"/>
  <c r="P729" i="34"/>
  <c r="T729" i="34"/>
  <c r="U729" i="34"/>
  <c r="V729" i="34"/>
  <c r="W729" i="34"/>
  <c r="Y729" i="34"/>
  <c r="AB729" i="34"/>
  <c r="AC729" i="34"/>
  <c r="AD729" i="34"/>
  <c r="P730" i="34"/>
  <c r="T730" i="34"/>
  <c r="U730" i="34"/>
  <c r="V730" i="34"/>
  <c r="W730" i="34"/>
  <c r="Y730" i="34"/>
  <c r="AB730" i="34"/>
  <c r="AC730" i="34"/>
  <c r="AD730" i="34"/>
  <c r="P731" i="34"/>
  <c r="T731" i="34"/>
  <c r="U731" i="34"/>
  <c r="V731" i="34"/>
  <c r="W731" i="34"/>
  <c r="Y731" i="34"/>
  <c r="AB731" i="34"/>
  <c r="AC731" i="34"/>
  <c r="AD731" i="34"/>
  <c r="P732" i="34"/>
  <c r="T732" i="34"/>
  <c r="U732" i="34"/>
  <c r="V732" i="34"/>
  <c r="W732" i="34"/>
  <c r="Y732" i="34"/>
  <c r="AB732" i="34"/>
  <c r="AC732" i="34"/>
  <c r="AD732" i="34"/>
  <c r="P733" i="34"/>
  <c r="T733" i="34"/>
  <c r="U733" i="34"/>
  <c r="V733" i="34"/>
  <c r="W733" i="34"/>
  <c r="Y733" i="34"/>
  <c r="AB733" i="34"/>
  <c r="AC733" i="34"/>
  <c r="AD733" i="34"/>
  <c r="P734" i="34"/>
  <c r="T734" i="34"/>
  <c r="U734" i="34"/>
  <c r="V734" i="34"/>
  <c r="W734" i="34"/>
  <c r="Y734" i="34"/>
  <c r="AB734" i="34"/>
  <c r="AC734" i="34"/>
  <c r="AD734" i="34"/>
  <c r="P735" i="34"/>
  <c r="T735" i="34"/>
  <c r="U735" i="34"/>
  <c r="V735" i="34"/>
  <c r="W735" i="34"/>
  <c r="Y735" i="34"/>
  <c r="AB735" i="34"/>
  <c r="AC735" i="34"/>
  <c r="AD735" i="34"/>
  <c r="P736" i="34"/>
  <c r="T736" i="34"/>
  <c r="U736" i="34"/>
  <c r="V736" i="34"/>
  <c r="W736" i="34"/>
  <c r="Y736" i="34"/>
  <c r="AB736" i="34"/>
  <c r="AC736" i="34"/>
  <c r="AD736" i="34"/>
  <c r="P737" i="34"/>
  <c r="T737" i="34"/>
  <c r="U737" i="34"/>
  <c r="V737" i="34"/>
  <c r="W737" i="34"/>
  <c r="Y737" i="34"/>
  <c r="AB737" i="34"/>
  <c r="AC737" i="34"/>
  <c r="AD737" i="34"/>
  <c r="P738" i="34"/>
  <c r="T738" i="34"/>
  <c r="U738" i="34"/>
  <c r="V738" i="34"/>
  <c r="W738" i="34"/>
  <c r="Y738" i="34"/>
  <c r="AB738" i="34"/>
  <c r="AC738" i="34"/>
  <c r="AD738" i="34"/>
  <c r="P739" i="34"/>
  <c r="T739" i="34"/>
  <c r="U739" i="34"/>
  <c r="V739" i="34"/>
  <c r="W739" i="34"/>
  <c r="Y739" i="34"/>
  <c r="AB739" i="34"/>
  <c r="AC739" i="34"/>
  <c r="AD739" i="34"/>
  <c r="P740" i="34"/>
  <c r="T740" i="34"/>
  <c r="U740" i="34"/>
  <c r="V740" i="34"/>
  <c r="W740" i="34"/>
  <c r="Y740" i="34"/>
  <c r="AB740" i="34"/>
  <c r="AC740" i="34"/>
  <c r="AD740" i="34"/>
  <c r="P741" i="34"/>
  <c r="T741" i="34"/>
  <c r="U741" i="34"/>
  <c r="V741" i="34"/>
  <c r="W741" i="34"/>
  <c r="Y741" i="34"/>
  <c r="AB741" i="34"/>
  <c r="AC741" i="34"/>
  <c r="AD741" i="34"/>
  <c r="P742" i="34"/>
  <c r="T742" i="34"/>
  <c r="U742" i="34"/>
  <c r="V742" i="34"/>
  <c r="W742" i="34"/>
  <c r="Y742" i="34"/>
  <c r="AB742" i="34"/>
  <c r="AC742" i="34"/>
  <c r="AD742" i="34"/>
  <c r="P743" i="34"/>
  <c r="T743" i="34"/>
  <c r="U743" i="34"/>
  <c r="V743" i="34"/>
  <c r="W743" i="34"/>
  <c r="Y743" i="34"/>
  <c r="AB743" i="34"/>
  <c r="AC743" i="34"/>
  <c r="AD743" i="34"/>
  <c r="P744" i="34"/>
  <c r="T744" i="34"/>
  <c r="U744" i="34"/>
  <c r="V744" i="34"/>
  <c r="W744" i="34"/>
  <c r="Y744" i="34"/>
  <c r="AB744" i="34"/>
  <c r="AC744" i="34"/>
  <c r="AD744" i="34"/>
  <c r="P745" i="34"/>
  <c r="T745" i="34"/>
  <c r="U745" i="34"/>
  <c r="V745" i="34"/>
  <c r="W745" i="34"/>
  <c r="Y745" i="34"/>
  <c r="AB745" i="34"/>
  <c r="AC745" i="34"/>
  <c r="AD745" i="34"/>
  <c r="P746" i="34"/>
  <c r="T746" i="34"/>
  <c r="U746" i="34"/>
  <c r="V746" i="34"/>
  <c r="W746" i="34"/>
  <c r="Y746" i="34"/>
  <c r="AB746" i="34"/>
  <c r="AC746" i="34"/>
  <c r="AD746" i="34"/>
  <c r="P747" i="34"/>
  <c r="T747" i="34"/>
  <c r="U747" i="34"/>
  <c r="V747" i="34"/>
  <c r="W747" i="34"/>
  <c r="Y747" i="34"/>
  <c r="AB747" i="34"/>
  <c r="AC747" i="34"/>
  <c r="AD747" i="34"/>
  <c r="P748" i="34"/>
  <c r="T748" i="34"/>
  <c r="U748" i="34"/>
  <c r="V748" i="34"/>
  <c r="W748" i="34"/>
  <c r="Y748" i="34"/>
  <c r="AB748" i="34"/>
  <c r="AC748" i="34"/>
  <c r="AD748" i="34"/>
  <c r="P749" i="34"/>
  <c r="T749" i="34"/>
  <c r="U749" i="34"/>
  <c r="V749" i="34"/>
  <c r="W749" i="34"/>
  <c r="Y749" i="34"/>
  <c r="AB749" i="34"/>
  <c r="AC749" i="34"/>
  <c r="AD749" i="34"/>
  <c r="P750" i="34"/>
  <c r="T750" i="34"/>
  <c r="U750" i="34"/>
  <c r="V750" i="34"/>
  <c r="W750" i="34"/>
  <c r="Y750" i="34"/>
  <c r="AB750" i="34"/>
  <c r="AC750" i="34"/>
  <c r="AD750" i="34"/>
  <c r="P751" i="34"/>
  <c r="T751" i="34"/>
  <c r="U751" i="34"/>
  <c r="V751" i="34"/>
  <c r="W751" i="34"/>
  <c r="Y751" i="34"/>
  <c r="AB751" i="34"/>
  <c r="AC751" i="34"/>
  <c r="AD751" i="34"/>
  <c r="P752" i="34"/>
  <c r="T752" i="34"/>
  <c r="U752" i="34"/>
  <c r="V752" i="34"/>
  <c r="W752" i="34"/>
  <c r="Y752" i="34"/>
  <c r="AB752" i="34"/>
  <c r="AC752" i="34"/>
  <c r="AD752" i="34"/>
  <c r="P753" i="34"/>
  <c r="T753" i="34"/>
  <c r="U753" i="34"/>
  <c r="V753" i="34"/>
  <c r="W753" i="34"/>
  <c r="Y753" i="34"/>
  <c r="AB753" i="34"/>
  <c r="AC753" i="34"/>
  <c r="AD753" i="34"/>
  <c r="P754" i="34"/>
  <c r="T754" i="34"/>
  <c r="U754" i="34"/>
  <c r="V754" i="34"/>
  <c r="W754" i="34"/>
  <c r="Y754" i="34"/>
  <c r="AB754" i="34"/>
  <c r="AC754" i="34"/>
  <c r="AD754" i="34"/>
  <c r="P755" i="34"/>
  <c r="T755" i="34"/>
  <c r="U755" i="34"/>
  <c r="V755" i="34"/>
  <c r="W755" i="34"/>
  <c r="Y755" i="34"/>
  <c r="AB755" i="34"/>
  <c r="AC755" i="34"/>
  <c r="AD755" i="34"/>
  <c r="P756" i="34"/>
  <c r="T756" i="34"/>
  <c r="U756" i="34"/>
  <c r="V756" i="34"/>
  <c r="W756" i="34"/>
  <c r="Y756" i="34"/>
  <c r="AB756" i="34"/>
  <c r="AC756" i="34"/>
  <c r="AD756" i="34"/>
  <c r="P757" i="34"/>
  <c r="T757" i="34"/>
  <c r="U757" i="34"/>
  <c r="V757" i="34"/>
  <c r="W757" i="34"/>
  <c r="Y757" i="34"/>
  <c r="AB757" i="34"/>
  <c r="AC757" i="34"/>
  <c r="AD757" i="34"/>
  <c r="P758" i="34"/>
  <c r="T758" i="34"/>
  <c r="U758" i="34"/>
  <c r="V758" i="34"/>
  <c r="W758" i="34"/>
  <c r="Y758" i="34"/>
  <c r="AB758" i="34"/>
  <c r="AC758" i="34"/>
  <c r="AD758" i="34"/>
  <c r="P759" i="34"/>
  <c r="T759" i="34"/>
  <c r="U759" i="34"/>
  <c r="V759" i="34"/>
  <c r="W759" i="34"/>
  <c r="Y759" i="34"/>
  <c r="AB759" i="34"/>
  <c r="AC759" i="34"/>
  <c r="AD759" i="34"/>
  <c r="P760" i="34"/>
  <c r="T760" i="34"/>
  <c r="U760" i="34"/>
  <c r="V760" i="34"/>
  <c r="W760" i="34"/>
  <c r="Y760" i="34"/>
  <c r="AB760" i="34"/>
  <c r="AC760" i="34"/>
  <c r="AD760" i="34"/>
  <c r="P761" i="34"/>
  <c r="T761" i="34"/>
  <c r="U761" i="34"/>
  <c r="V761" i="34"/>
  <c r="W761" i="34"/>
  <c r="Y761" i="34"/>
  <c r="AB761" i="34"/>
  <c r="AC761" i="34"/>
  <c r="AD761" i="34"/>
  <c r="P762" i="34"/>
  <c r="T762" i="34"/>
  <c r="U762" i="34"/>
  <c r="V762" i="34"/>
  <c r="W762" i="34"/>
  <c r="Y762" i="34"/>
  <c r="AB762" i="34"/>
  <c r="AC762" i="34"/>
  <c r="AD762" i="34"/>
  <c r="P763" i="34"/>
  <c r="T763" i="34"/>
  <c r="U763" i="34"/>
  <c r="V763" i="34"/>
  <c r="W763" i="34"/>
  <c r="Y763" i="34"/>
  <c r="AB763" i="34"/>
  <c r="AC763" i="34"/>
  <c r="AD763" i="34"/>
  <c r="P764" i="34"/>
  <c r="T764" i="34"/>
  <c r="U764" i="34"/>
  <c r="V764" i="34"/>
  <c r="W764" i="34"/>
  <c r="Y764" i="34"/>
  <c r="AB764" i="34"/>
  <c r="AC764" i="34"/>
  <c r="AD764" i="34"/>
  <c r="P765" i="34"/>
  <c r="T765" i="34"/>
  <c r="U765" i="34"/>
  <c r="V765" i="34"/>
  <c r="W765" i="34"/>
  <c r="Y765" i="34"/>
  <c r="AB765" i="34"/>
  <c r="AC765" i="34"/>
  <c r="AD765" i="34"/>
  <c r="P766" i="34"/>
  <c r="T766" i="34"/>
  <c r="U766" i="34"/>
  <c r="V766" i="34"/>
  <c r="W766" i="34"/>
  <c r="Y766" i="34"/>
  <c r="AB766" i="34"/>
  <c r="AC766" i="34"/>
  <c r="AD766" i="34"/>
  <c r="P767" i="34"/>
  <c r="T767" i="34"/>
  <c r="U767" i="34"/>
  <c r="V767" i="34"/>
  <c r="W767" i="34"/>
  <c r="Y767" i="34"/>
  <c r="AB767" i="34"/>
  <c r="AC767" i="34"/>
  <c r="AD767" i="34"/>
  <c r="P768" i="34"/>
  <c r="T768" i="34"/>
  <c r="U768" i="34"/>
  <c r="V768" i="34"/>
  <c r="W768" i="34"/>
  <c r="Y768" i="34"/>
  <c r="AB768" i="34"/>
  <c r="AC768" i="34"/>
  <c r="AD768" i="34"/>
  <c r="P769" i="34"/>
  <c r="T769" i="34"/>
  <c r="U769" i="34"/>
  <c r="V769" i="34"/>
  <c r="W769" i="34"/>
  <c r="Y769" i="34"/>
  <c r="AB769" i="34"/>
  <c r="AC769" i="34"/>
  <c r="AD769" i="34"/>
  <c r="P770" i="34"/>
  <c r="T770" i="34"/>
  <c r="U770" i="34"/>
  <c r="V770" i="34"/>
  <c r="W770" i="34"/>
  <c r="Y770" i="34"/>
  <c r="AB770" i="34"/>
  <c r="AC770" i="34"/>
  <c r="AD770" i="34"/>
  <c r="P771" i="34"/>
  <c r="T771" i="34"/>
  <c r="U771" i="34"/>
  <c r="V771" i="34"/>
  <c r="W771" i="34"/>
  <c r="Y771" i="34"/>
  <c r="AB771" i="34"/>
  <c r="AC771" i="34"/>
  <c r="AD771" i="34"/>
  <c r="P772" i="34"/>
  <c r="T772" i="34"/>
  <c r="U772" i="34"/>
  <c r="V772" i="34"/>
  <c r="W772" i="34"/>
  <c r="Y772" i="34"/>
  <c r="AB772" i="34"/>
  <c r="AC772" i="34"/>
  <c r="AD772" i="34"/>
  <c r="P773" i="34"/>
  <c r="T773" i="34"/>
  <c r="U773" i="34"/>
  <c r="V773" i="34"/>
  <c r="W773" i="34"/>
  <c r="Y773" i="34"/>
  <c r="AB773" i="34"/>
  <c r="AC773" i="34"/>
  <c r="AD773" i="34"/>
  <c r="P774" i="34"/>
  <c r="T774" i="34"/>
  <c r="U774" i="34"/>
  <c r="V774" i="34"/>
  <c r="W774" i="34"/>
  <c r="Y774" i="34"/>
  <c r="AB774" i="34"/>
  <c r="AC774" i="34"/>
  <c r="AD774" i="34"/>
  <c r="P775" i="34"/>
  <c r="T775" i="34"/>
  <c r="U775" i="34"/>
  <c r="V775" i="34"/>
  <c r="W775" i="34"/>
  <c r="Y775" i="34"/>
  <c r="AB775" i="34"/>
  <c r="AC775" i="34"/>
  <c r="AD775" i="34"/>
  <c r="P776" i="34"/>
  <c r="T776" i="34"/>
  <c r="U776" i="34"/>
  <c r="V776" i="34"/>
  <c r="W776" i="34"/>
  <c r="Y776" i="34"/>
  <c r="AB776" i="34"/>
  <c r="AC776" i="34"/>
  <c r="AD776" i="34"/>
  <c r="P777" i="34"/>
  <c r="T777" i="34"/>
  <c r="U777" i="34"/>
  <c r="V777" i="34"/>
  <c r="W777" i="34"/>
  <c r="Y777" i="34"/>
  <c r="AB777" i="34"/>
  <c r="AC777" i="34"/>
  <c r="AD777" i="34"/>
  <c r="P778" i="34"/>
  <c r="T778" i="34"/>
  <c r="U778" i="34"/>
  <c r="V778" i="34"/>
  <c r="W778" i="34"/>
  <c r="Y778" i="34"/>
  <c r="AB778" i="34"/>
  <c r="AC778" i="34"/>
  <c r="AD778" i="34"/>
  <c r="P779" i="34"/>
  <c r="T779" i="34"/>
  <c r="U779" i="34"/>
  <c r="V779" i="34"/>
  <c r="W779" i="34"/>
  <c r="Y779" i="34"/>
  <c r="AB779" i="34"/>
  <c r="AC779" i="34"/>
  <c r="AD779" i="34"/>
  <c r="P780" i="34"/>
  <c r="T780" i="34"/>
  <c r="U780" i="34"/>
  <c r="V780" i="34"/>
  <c r="W780" i="34"/>
  <c r="Y780" i="34"/>
  <c r="AB780" i="34"/>
  <c r="AC780" i="34"/>
  <c r="AD780" i="34"/>
  <c r="P781" i="34"/>
  <c r="T781" i="34"/>
  <c r="U781" i="34"/>
  <c r="V781" i="34"/>
  <c r="W781" i="34"/>
  <c r="Y781" i="34"/>
  <c r="AB781" i="34"/>
  <c r="AC781" i="34"/>
  <c r="AD781" i="34"/>
  <c r="P782" i="34"/>
  <c r="T782" i="34"/>
  <c r="U782" i="34"/>
  <c r="V782" i="34"/>
  <c r="W782" i="34"/>
  <c r="Y782" i="34"/>
  <c r="AB782" i="34"/>
  <c r="AC782" i="34"/>
  <c r="AD782" i="34"/>
  <c r="P783" i="34"/>
  <c r="T783" i="34"/>
  <c r="U783" i="34"/>
  <c r="V783" i="34"/>
  <c r="W783" i="34"/>
  <c r="Y783" i="34"/>
  <c r="AB783" i="34"/>
  <c r="AC783" i="34"/>
  <c r="AD783" i="34"/>
  <c r="P784" i="34"/>
  <c r="T784" i="34"/>
  <c r="U784" i="34"/>
  <c r="V784" i="34"/>
  <c r="W784" i="34"/>
  <c r="Y784" i="34"/>
  <c r="AB784" i="34"/>
  <c r="AC784" i="34"/>
  <c r="AD784" i="34"/>
  <c r="P785" i="34"/>
  <c r="T785" i="34"/>
  <c r="U785" i="34"/>
  <c r="V785" i="34"/>
  <c r="W785" i="34"/>
  <c r="Y785" i="34"/>
  <c r="AB785" i="34"/>
  <c r="AC785" i="34"/>
  <c r="AD785" i="34"/>
  <c r="P786" i="34"/>
  <c r="T786" i="34"/>
  <c r="U786" i="34"/>
  <c r="V786" i="34"/>
  <c r="W786" i="34"/>
  <c r="Y786" i="34"/>
  <c r="AB786" i="34"/>
  <c r="AC786" i="34"/>
  <c r="AD786" i="34"/>
  <c r="P787" i="34"/>
  <c r="T787" i="34"/>
  <c r="U787" i="34"/>
  <c r="V787" i="34"/>
  <c r="W787" i="34"/>
  <c r="Y787" i="34"/>
  <c r="AB787" i="34"/>
  <c r="AC787" i="34"/>
  <c r="AD787" i="34"/>
  <c r="P788" i="34"/>
  <c r="T788" i="34"/>
  <c r="U788" i="34"/>
  <c r="V788" i="34"/>
  <c r="W788" i="34"/>
  <c r="Y788" i="34"/>
  <c r="AB788" i="34"/>
  <c r="AC788" i="34"/>
  <c r="AD788" i="34"/>
  <c r="P789" i="34"/>
  <c r="T789" i="34"/>
  <c r="U789" i="34"/>
  <c r="V789" i="34"/>
  <c r="W789" i="34"/>
  <c r="Y789" i="34"/>
  <c r="AB789" i="34"/>
  <c r="AC789" i="34"/>
  <c r="AD789" i="34"/>
  <c r="P790" i="34"/>
  <c r="T790" i="34"/>
  <c r="U790" i="34"/>
  <c r="V790" i="34"/>
  <c r="W790" i="34"/>
  <c r="Y790" i="34"/>
  <c r="AB790" i="34"/>
  <c r="AC790" i="34"/>
  <c r="AD790" i="34"/>
  <c r="P791" i="34"/>
  <c r="T791" i="34"/>
  <c r="U791" i="34"/>
  <c r="V791" i="34"/>
  <c r="W791" i="34"/>
  <c r="Y791" i="34"/>
  <c r="AB791" i="34"/>
  <c r="AC791" i="34"/>
  <c r="AD791" i="34"/>
  <c r="P792" i="34"/>
  <c r="T792" i="34"/>
  <c r="U792" i="34"/>
  <c r="V792" i="34"/>
  <c r="W792" i="34"/>
  <c r="Y792" i="34"/>
  <c r="AB792" i="34"/>
  <c r="AC792" i="34"/>
  <c r="AD792" i="34"/>
  <c r="P793" i="34"/>
  <c r="T793" i="34"/>
  <c r="U793" i="34"/>
  <c r="V793" i="34"/>
  <c r="W793" i="34"/>
  <c r="Y793" i="34"/>
  <c r="AB793" i="34"/>
  <c r="AC793" i="34"/>
  <c r="AD793" i="34"/>
  <c r="P794" i="34"/>
  <c r="T794" i="34"/>
  <c r="U794" i="34"/>
  <c r="V794" i="34"/>
  <c r="W794" i="34"/>
  <c r="Y794" i="34"/>
  <c r="AB794" i="34"/>
  <c r="AC794" i="34"/>
  <c r="AD794" i="34"/>
  <c r="P795" i="34"/>
  <c r="T795" i="34"/>
  <c r="U795" i="34"/>
  <c r="V795" i="34"/>
  <c r="W795" i="34"/>
  <c r="Y795" i="34"/>
  <c r="AB795" i="34"/>
  <c r="AC795" i="34"/>
  <c r="AD795" i="34"/>
  <c r="P796" i="34"/>
  <c r="T796" i="34"/>
  <c r="U796" i="34"/>
  <c r="V796" i="34"/>
  <c r="W796" i="34"/>
  <c r="Y796" i="34"/>
  <c r="AB796" i="34"/>
  <c r="AC796" i="34"/>
  <c r="AD796" i="34"/>
  <c r="P797" i="34"/>
  <c r="T797" i="34"/>
  <c r="U797" i="34"/>
  <c r="V797" i="34"/>
  <c r="W797" i="34"/>
  <c r="Y797" i="34"/>
  <c r="AB797" i="34"/>
  <c r="AC797" i="34"/>
  <c r="AD797" i="34"/>
  <c r="P798" i="34"/>
  <c r="T798" i="34"/>
  <c r="U798" i="34"/>
  <c r="V798" i="34"/>
  <c r="W798" i="34"/>
  <c r="Y798" i="34"/>
  <c r="AB798" i="34"/>
  <c r="AC798" i="34"/>
  <c r="AD798" i="34"/>
  <c r="P799" i="34"/>
  <c r="T799" i="34"/>
  <c r="U799" i="34"/>
  <c r="V799" i="34"/>
  <c r="W799" i="34"/>
  <c r="Y799" i="34"/>
  <c r="AB799" i="34"/>
  <c r="AC799" i="34"/>
  <c r="AD799" i="34"/>
  <c r="P800" i="34"/>
  <c r="T800" i="34"/>
  <c r="U800" i="34"/>
  <c r="V800" i="34"/>
  <c r="W800" i="34"/>
  <c r="Y800" i="34"/>
  <c r="AB800" i="34"/>
  <c r="AC800" i="34"/>
  <c r="AD800" i="34"/>
  <c r="P801" i="34"/>
  <c r="T801" i="34"/>
  <c r="U801" i="34"/>
  <c r="V801" i="34"/>
  <c r="W801" i="34"/>
  <c r="Y801" i="34"/>
  <c r="AB801" i="34"/>
  <c r="AC801" i="34"/>
  <c r="AD801" i="34"/>
  <c r="P802" i="34"/>
  <c r="T802" i="34"/>
  <c r="U802" i="34"/>
  <c r="V802" i="34"/>
  <c r="W802" i="34"/>
  <c r="Y802" i="34"/>
  <c r="AB802" i="34"/>
  <c r="AC802" i="34"/>
  <c r="AD802" i="34"/>
  <c r="P803" i="34"/>
  <c r="T803" i="34"/>
  <c r="U803" i="34"/>
  <c r="V803" i="34"/>
  <c r="W803" i="34"/>
  <c r="Y803" i="34"/>
  <c r="AB803" i="34"/>
  <c r="AC803" i="34"/>
  <c r="AD803" i="34"/>
  <c r="P804" i="34"/>
  <c r="T804" i="34"/>
  <c r="U804" i="34"/>
  <c r="V804" i="34"/>
  <c r="W804" i="34"/>
  <c r="Y804" i="34"/>
  <c r="AB804" i="34"/>
  <c r="AC804" i="34"/>
  <c r="AD804" i="34"/>
  <c r="P805" i="34"/>
  <c r="T805" i="34"/>
  <c r="U805" i="34"/>
  <c r="V805" i="34"/>
  <c r="W805" i="34"/>
  <c r="Y805" i="34"/>
  <c r="AB805" i="34"/>
  <c r="AC805" i="34"/>
  <c r="AD805" i="34"/>
  <c r="P806" i="34"/>
  <c r="T806" i="34"/>
  <c r="U806" i="34"/>
  <c r="V806" i="34"/>
  <c r="W806" i="34"/>
  <c r="Y806" i="34"/>
  <c r="AB806" i="34"/>
  <c r="AC806" i="34"/>
  <c r="AD806" i="34"/>
  <c r="P807" i="34"/>
  <c r="T807" i="34"/>
  <c r="U807" i="34"/>
  <c r="V807" i="34"/>
  <c r="W807" i="34"/>
  <c r="Y807" i="34"/>
  <c r="AB807" i="34"/>
  <c r="AC807" i="34"/>
  <c r="AD807" i="34"/>
  <c r="P808" i="34"/>
  <c r="T808" i="34"/>
  <c r="U808" i="34"/>
  <c r="V808" i="34"/>
  <c r="W808" i="34"/>
  <c r="Y808" i="34"/>
  <c r="AB808" i="34"/>
  <c r="AC808" i="34"/>
  <c r="AD808" i="34"/>
  <c r="P809" i="34"/>
  <c r="T809" i="34"/>
  <c r="U809" i="34"/>
  <c r="V809" i="34"/>
  <c r="W809" i="34"/>
  <c r="Y809" i="34"/>
  <c r="AB809" i="34"/>
  <c r="AC809" i="34"/>
  <c r="AD809" i="34"/>
  <c r="P810" i="34"/>
  <c r="T810" i="34"/>
  <c r="U810" i="34"/>
  <c r="V810" i="34"/>
  <c r="W810" i="34"/>
  <c r="Y810" i="34"/>
  <c r="AB810" i="34"/>
  <c r="AC810" i="34"/>
  <c r="AD810" i="34"/>
  <c r="P811" i="34"/>
  <c r="T811" i="34"/>
  <c r="U811" i="34"/>
  <c r="V811" i="34"/>
  <c r="W811" i="34"/>
  <c r="Y811" i="34"/>
  <c r="AB811" i="34"/>
  <c r="AC811" i="34"/>
  <c r="AD811" i="34"/>
  <c r="P812" i="34"/>
  <c r="T812" i="34"/>
  <c r="U812" i="34"/>
  <c r="V812" i="34"/>
  <c r="W812" i="34"/>
  <c r="Y812" i="34"/>
  <c r="AB812" i="34"/>
  <c r="AC812" i="34"/>
  <c r="AD812" i="34"/>
  <c r="P813" i="34"/>
  <c r="T813" i="34"/>
  <c r="U813" i="34"/>
  <c r="V813" i="34"/>
  <c r="W813" i="34"/>
  <c r="Y813" i="34"/>
  <c r="AB813" i="34"/>
  <c r="AC813" i="34"/>
  <c r="AD813" i="34"/>
  <c r="P814" i="34"/>
  <c r="T814" i="34"/>
  <c r="U814" i="34"/>
  <c r="V814" i="34"/>
  <c r="W814" i="34"/>
  <c r="Y814" i="34"/>
  <c r="AB814" i="34"/>
  <c r="AC814" i="34"/>
  <c r="AD814" i="34"/>
  <c r="P815" i="34"/>
  <c r="T815" i="34"/>
  <c r="U815" i="34"/>
  <c r="V815" i="34"/>
  <c r="W815" i="34"/>
  <c r="Y815" i="34"/>
  <c r="AB815" i="34"/>
  <c r="AC815" i="34"/>
  <c r="AD815" i="34"/>
  <c r="P816" i="34"/>
  <c r="T816" i="34"/>
  <c r="U816" i="34"/>
  <c r="V816" i="34"/>
  <c r="W816" i="34"/>
  <c r="Y816" i="34"/>
  <c r="AB816" i="34"/>
  <c r="AC816" i="34"/>
  <c r="AD816" i="34"/>
  <c r="P817" i="34"/>
  <c r="T817" i="34"/>
  <c r="U817" i="34"/>
  <c r="V817" i="34"/>
  <c r="W817" i="34"/>
  <c r="Y817" i="34"/>
  <c r="AB817" i="34"/>
  <c r="AC817" i="34"/>
  <c r="AD817" i="34"/>
  <c r="P818" i="34"/>
  <c r="T818" i="34"/>
  <c r="U818" i="34"/>
  <c r="V818" i="34"/>
  <c r="W818" i="34"/>
  <c r="Y818" i="34"/>
  <c r="AB818" i="34"/>
  <c r="AC818" i="34"/>
  <c r="AD818" i="34"/>
  <c r="P819" i="34"/>
  <c r="T819" i="34"/>
  <c r="U819" i="34"/>
  <c r="V819" i="34"/>
  <c r="W819" i="34"/>
  <c r="Y819" i="34"/>
  <c r="AB819" i="34"/>
  <c r="AC819" i="34"/>
  <c r="AD819" i="34"/>
  <c r="P820" i="34"/>
  <c r="T820" i="34"/>
  <c r="U820" i="34"/>
  <c r="V820" i="34"/>
  <c r="W820" i="34"/>
  <c r="Y820" i="34"/>
  <c r="AB820" i="34"/>
  <c r="AC820" i="34"/>
  <c r="AD820" i="34"/>
  <c r="P821" i="34"/>
  <c r="T821" i="34"/>
  <c r="U821" i="34"/>
  <c r="V821" i="34"/>
  <c r="W821" i="34"/>
  <c r="Y821" i="34"/>
  <c r="AB821" i="34"/>
  <c r="AC821" i="34"/>
  <c r="AD821" i="34"/>
  <c r="P822" i="34"/>
  <c r="T822" i="34"/>
  <c r="U822" i="34"/>
  <c r="V822" i="34"/>
  <c r="W822" i="34"/>
  <c r="Y822" i="34"/>
  <c r="AB822" i="34"/>
  <c r="AC822" i="34"/>
  <c r="AD822" i="34"/>
  <c r="P823" i="34"/>
  <c r="T823" i="34"/>
  <c r="U823" i="34"/>
  <c r="V823" i="34"/>
  <c r="W823" i="34"/>
  <c r="Y823" i="34"/>
  <c r="AB823" i="34"/>
  <c r="AC823" i="34"/>
  <c r="AD823" i="34"/>
  <c r="P824" i="34"/>
  <c r="T824" i="34"/>
  <c r="U824" i="34"/>
  <c r="V824" i="34"/>
  <c r="W824" i="34"/>
  <c r="Y824" i="34"/>
  <c r="AB824" i="34"/>
  <c r="AC824" i="34"/>
  <c r="AD824" i="34"/>
  <c r="P825" i="34"/>
  <c r="T825" i="34"/>
  <c r="U825" i="34"/>
  <c r="V825" i="34"/>
  <c r="W825" i="34"/>
  <c r="Y825" i="34"/>
  <c r="AB825" i="34"/>
  <c r="AC825" i="34"/>
  <c r="AD825" i="34"/>
  <c r="P826" i="34"/>
  <c r="T826" i="34"/>
  <c r="U826" i="34"/>
  <c r="V826" i="34"/>
  <c r="W826" i="34"/>
  <c r="Y826" i="34"/>
  <c r="AB826" i="34"/>
  <c r="AC826" i="34"/>
  <c r="AD826" i="34"/>
  <c r="P827" i="34"/>
  <c r="T827" i="34"/>
  <c r="U827" i="34"/>
  <c r="V827" i="34"/>
  <c r="W827" i="34"/>
  <c r="Y827" i="34"/>
  <c r="AB827" i="34"/>
  <c r="AC827" i="34"/>
  <c r="AD827" i="34"/>
  <c r="P828" i="34"/>
  <c r="T828" i="34"/>
  <c r="U828" i="34"/>
  <c r="V828" i="34"/>
  <c r="W828" i="34"/>
  <c r="Y828" i="34"/>
  <c r="AB828" i="34"/>
  <c r="AC828" i="34"/>
  <c r="AD828" i="34"/>
  <c r="P829" i="34"/>
  <c r="T829" i="34"/>
  <c r="U829" i="34"/>
  <c r="V829" i="34"/>
  <c r="W829" i="34"/>
  <c r="Y829" i="34"/>
  <c r="AB829" i="34"/>
  <c r="AC829" i="34"/>
  <c r="AD829" i="34"/>
  <c r="P830" i="34"/>
  <c r="T830" i="34"/>
  <c r="U830" i="34"/>
  <c r="V830" i="34"/>
  <c r="W830" i="34"/>
  <c r="Y830" i="34"/>
  <c r="AB830" i="34"/>
  <c r="AC830" i="34"/>
  <c r="AD830" i="34"/>
  <c r="P831" i="34"/>
  <c r="T831" i="34"/>
  <c r="U831" i="34"/>
  <c r="V831" i="34"/>
  <c r="W831" i="34"/>
  <c r="Y831" i="34"/>
  <c r="AB831" i="34"/>
  <c r="AC831" i="34"/>
  <c r="AD831" i="34"/>
  <c r="P832" i="34"/>
  <c r="T832" i="34"/>
  <c r="U832" i="34"/>
  <c r="V832" i="34"/>
  <c r="W832" i="34"/>
  <c r="Y832" i="34"/>
  <c r="AB832" i="34"/>
  <c r="AC832" i="34"/>
  <c r="AD832" i="34"/>
  <c r="P833" i="34"/>
  <c r="T833" i="34"/>
  <c r="U833" i="34"/>
  <c r="V833" i="34"/>
  <c r="W833" i="34"/>
  <c r="Y833" i="34"/>
  <c r="AB833" i="34"/>
  <c r="AC833" i="34"/>
  <c r="AD833" i="34"/>
  <c r="P834" i="34"/>
  <c r="T834" i="34"/>
  <c r="U834" i="34"/>
  <c r="V834" i="34"/>
  <c r="W834" i="34"/>
  <c r="Y834" i="34"/>
  <c r="AB834" i="34"/>
  <c r="AC834" i="34"/>
  <c r="AD834" i="34"/>
  <c r="P835" i="34"/>
  <c r="T835" i="34"/>
  <c r="U835" i="34"/>
  <c r="V835" i="34"/>
  <c r="W835" i="34"/>
  <c r="Y835" i="34"/>
  <c r="AB835" i="34"/>
  <c r="AC835" i="34"/>
  <c r="AD835" i="34"/>
  <c r="P836" i="34"/>
  <c r="T836" i="34"/>
  <c r="U836" i="34"/>
  <c r="V836" i="34"/>
  <c r="W836" i="34"/>
  <c r="Y836" i="34"/>
  <c r="AB836" i="34"/>
  <c r="AC836" i="34"/>
  <c r="AD836" i="34"/>
  <c r="P837" i="34"/>
  <c r="T837" i="34"/>
  <c r="U837" i="34"/>
  <c r="V837" i="34"/>
  <c r="W837" i="34"/>
  <c r="Y837" i="34"/>
  <c r="AB837" i="34"/>
  <c r="AC837" i="34"/>
  <c r="AD837" i="34"/>
  <c r="P838" i="34"/>
  <c r="T838" i="34"/>
  <c r="U838" i="34"/>
  <c r="V838" i="34"/>
  <c r="W838" i="34"/>
  <c r="Y838" i="34"/>
  <c r="AB838" i="34"/>
  <c r="AC838" i="34"/>
  <c r="AD838" i="34"/>
  <c r="P839" i="34"/>
  <c r="T839" i="34"/>
  <c r="U839" i="34"/>
  <c r="V839" i="34"/>
  <c r="W839" i="34"/>
  <c r="Y839" i="34"/>
  <c r="AB839" i="34"/>
  <c r="AC839" i="34"/>
  <c r="AD839" i="34"/>
  <c r="P840" i="34"/>
  <c r="T840" i="34"/>
  <c r="U840" i="34"/>
  <c r="V840" i="34"/>
  <c r="W840" i="34"/>
  <c r="Y840" i="34"/>
  <c r="AB840" i="34"/>
  <c r="AC840" i="34"/>
  <c r="AD840" i="34"/>
  <c r="P841" i="34"/>
  <c r="T841" i="34"/>
  <c r="U841" i="34"/>
  <c r="V841" i="34"/>
  <c r="W841" i="34"/>
  <c r="Y841" i="34"/>
  <c r="AB841" i="34"/>
  <c r="AC841" i="34"/>
  <c r="AD841" i="34"/>
  <c r="P842" i="34"/>
  <c r="T842" i="34"/>
  <c r="U842" i="34"/>
  <c r="V842" i="34"/>
  <c r="W842" i="34"/>
  <c r="Y842" i="34"/>
  <c r="AB842" i="34"/>
  <c r="AC842" i="34"/>
  <c r="AD842" i="34"/>
  <c r="P843" i="34"/>
  <c r="T843" i="34"/>
  <c r="U843" i="34"/>
  <c r="V843" i="34"/>
  <c r="W843" i="34"/>
  <c r="Y843" i="34"/>
  <c r="AB843" i="34"/>
  <c r="AC843" i="34"/>
  <c r="AD843" i="34"/>
  <c r="P844" i="34"/>
  <c r="T844" i="34"/>
  <c r="U844" i="34"/>
  <c r="V844" i="34"/>
  <c r="W844" i="34"/>
  <c r="Y844" i="34"/>
  <c r="AB844" i="34"/>
  <c r="AC844" i="34"/>
  <c r="AD844" i="34"/>
  <c r="P845" i="34"/>
  <c r="T845" i="34"/>
  <c r="U845" i="34"/>
  <c r="V845" i="34"/>
  <c r="W845" i="34"/>
  <c r="Y845" i="34"/>
  <c r="AB845" i="34"/>
  <c r="AC845" i="34"/>
  <c r="AD845" i="34"/>
  <c r="P846" i="34"/>
  <c r="T846" i="34"/>
  <c r="U846" i="34"/>
  <c r="V846" i="34"/>
  <c r="W846" i="34"/>
  <c r="Y846" i="34"/>
  <c r="AB846" i="34"/>
  <c r="AC846" i="34"/>
  <c r="AD846" i="34"/>
  <c r="P847" i="34"/>
  <c r="T847" i="34"/>
  <c r="U847" i="34"/>
  <c r="V847" i="34"/>
  <c r="W847" i="34"/>
  <c r="Y847" i="34"/>
  <c r="AB847" i="34"/>
  <c r="AC847" i="34"/>
  <c r="AD847" i="34"/>
  <c r="P848" i="34"/>
  <c r="T848" i="34"/>
  <c r="U848" i="34"/>
  <c r="V848" i="34"/>
  <c r="W848" i="34"/>
  <c r="Y848" i="34"/>
  <c r="AB848" i="34"/>
  <c r="AC848" i="34"/>
  <c r="AD848" i="34"/>
  <c r="P849" i="34"/>
  <c r="T849" i="34"/>
  <c r="U849" i="34"/>
  <c r="V849" i="34"/>
  <c r="W849" i="34"/>
  <c r="Y849" i="34"/>
  <c r="AB849" i="34"/>
  <c r="AC849" i="34"/>
  <c r="AD849" i="34"/>
  <c r="P850" i="34"/>
  <c r="T850" i="34"/>
  <c r="U850" i="34"/>
  <c r="V850" i="34"/>
  <c r="W850" i="34"/>
  <c r="Y850" i="34"/>
  <c r="AB850" i="34"/>
  <c r="AC850" i="34"/>
  <c r="AD850" i="34"/>
  <c r="P851" i="34"/>
  <c r="T851" i="34"/>
  <c r="U851" i="34"/>
  <c r="V851" i="34"/>
  <c r="W851" i="34"/>
  <c r="Y851" i="34"/>
  <c r="AB851" i="34"/>
  <c r="AC851" i="34"/>
  <c r="AD851" i="34"/>
  <c r="P852" i="34"/>
  <c r="T852" i="34"/>
  <c r="U852" i="34"/>
  <c r="V852" i="34"/>
  <c r="W852" i="34"/>
  <c r="Y852" i="34"/>
  <c r="AB852" i="34"/>
  <c r="AC852" i="34"/>
  <c r="AD852" i="34"/>
  <c r="P853" i="34"/>
  <c r="T853" i="34"/>
  <c r="U853" i="34"/>
  <c r="V853" i="34"/>
  <c r="W853" i="34"/>
  <c r="Y853" i="34"/>
  <c r="AB853" i="34"/>
  <c r="AC853" i="34"/>
  <c r="AD853" i="34"/>
  <c r="P854" i="34"/>
  <c r="T854" i="34"/>
  <c r="U854" i="34"/>
  <c r="V854" i="34"/>
  <c r="W854" i="34"/>
  <c r="Y854" i="34"/>
  <c r="AB854" i="34"/>
  <c r="AC854" i="34"/>
  <c r="AD854" i="34"/>
  <c r="P855" i="34"/>
  <c r="T855" i="34"/>
  <c r="U855" i="34"/>
  <c r="V855" i="34"/>
  <c r="W855" i="34"/>
  <c r="Y855" i="34"/>
  <c r="AB855" i="34"/>
  <c r="AC855" i="34"/>
  <c r="AD855" i="34"/>
  <c r="P856" i="34"/>
  <c r="T856" i="34"/>
  <c r="U856" i="34"/>
  <c r="V856" i="34"/>
  <c r="W856" i="34"/>
  <c r="Y856" i="34"/>
  <c r="AB856" i="34"/>
  <c r="AC856" i="34"/>
  <c r="AD856" i="34"/>
  <c r="P857" i="34"/>
  <c r="T857" i="34"/>
  <c r="U857" i="34"/>
  <c r="V857" i="34"/>
  <c r="W857" i="34"/>
  <c r="Y857" i="34"/>
  <c r="AB857" i="34"/>
  <c r="AC857" i="34"/>
  <c r="AD857" i="34"/>
  <c r="P858" i="34"/>
  <c r="T858" i="34"/>
  <c r="U858" i="34"/>
  <c r="V858" i="34"/>
  <c r="W858" i="34"/>
  <c r="Y858" i="34"/>
  <c r="AB858" i="34"/>
  <c r="AC858" i="34"/>
  <c r="AD858" i="34"/>
  <c r="P859" i="34"/>
  <c r="T859" i="34"/>
  <c r="U859" i="34"/>
  <c r="V859" i="34"/>
  <c r="W859" i="34"/>
  <c r="Y859" i="34"/>
  <c r="AB859" i="34"/>
  <c r="AC859" i="34"/>
  <c r="AD859" i="34"/>
  <c r="P860" i="34"/>
  <c r="T860" i="34"/>
  <c r="U860" i="34"/>
  <c r="V860" i="34"/>
  <c r="W860" i="34"/>
  <c r="Y860" i="34"/>
  <c r="AB860" i="34"/>
  <c r="AC860" i="34"/>
  <c r="AD860" i="34"/>
  <c r="P861" i="34"/>
  <c r="T861" i="34"/>
  <c r="U861" i="34"/>
  <c r="V861" i="34"/>
  <c r="W861" i="34"/>
  <c r="Y861" i="34"/>
  <c r="AB861" i="34"/>
  <c r="AC861" i="34"/>
  <c r="AD861" i="34"/>
  <c r="P862" i="34"/>
  <c r="T862" i="34"/>
  <c r="U862" i="34"/>
  <c r="V862" i="34"/>
  <c r="W862" i="34"/>
  <c r="Y862" i="34"/>
  <c r="AB862" i="34"/>
  <c r="AC862" i="34"/>
  <c r="AD862" i="34"/>
  <c r="P863" i="34"/>
  <c r="T863" i="34"/>
  <c r="U863" i="34"/>
  <c r="V863" i="34"/>
  <c r="W863" i="34"/>
  <c r="Y863" i="34"/>
  <c r="AB863" i="34"/>
  <c r="AC863" i="34"/>
  <c r="AD863" i="34"/>
  <c r="P864" i="34"/>
  <c r="T864" i="34"/>
  <c r="U864" i="34"/>
  <c r="V864" i="34"/>
  <c r="W864" i="34"/>
  <c r="Y864" i="34"/>
  <c r="AB864" i="34"/>
  <c r="AC864" i="34"/>
  <c r="P865" i="34"/>
  <c r="T865" i="34"/>
  <c r="U865" i="34"/>
  <c r="V865" i="34"/>
  <c r="W865" i="34"/>
  <c r="Y865" i="34"/>
  <c r="AB865" i="34"/>
  <c r="AC865" i="34"/>
  <c r="P866" i="34"/>
  <c r="T866" i="34"/>
  <c r="U866" i="34"/>
  <c r="V866" i="34"/>
  <c r="W866" i="34"/>
  <c r="Y866" i="34"/>
  <c r="AB866" i="34"/>
  <c r="AC866" i="34"/>
  <c r="P867" i="34"/>
  <c r="T867" i="34"/>
  <c r="U867" i="34"/>
  <c r="V867" i="34"/>
  <c r="W867" i="34"/>
  <c r="Y867" i="34"/>
  <c r="AB867" i="34"/>
  <c r="AC867" i="34"/>
  <c r="P868" i="34"/>
  <c r="T868" i="34"/>
  <c r="U868" i="34"/>
  <c r="V868" i="34"/>
  <c r="W868" i="34"/>
  <c r="Y868" i="34"/>
  <c r="AB868" i="34"/>
  <c r="AC868" i="34"/>
  <c r="P869" i="34"/>
  <c r="T869" i="34"/>
  <c r="U869" i="34"/>
  <c r="V869" i="34"/>
  <c r="W869" i="34"/>
  <c r="Y869" i="34"/>
  <c r="AB869" i="34"/>
  <c r="AC869" i="34"/>
  <c r="P870" i="34"/>
  <c r="T870" i="34"/>
  <c r="U870" i="34"/>
  <c r="V870" i="34"/>
  <c r="W870" i="34"/>
  <c r="Y870" i="34"/>
  <c r="AB870" i="34"/>
  <c r="AC870" i="34"/>
  <c r="P871" i="34"/>
  <c r="T871" i="34"/>
  <c r="U871" i="34"/>
  <c r="V871" i="34"/>
  <c r="W871" i="34"/>
  <c r="Y871" i="34"/>
  <c r="AB871" i="34"/>
  <c r="AC871" i="34"/>
  <c r="P872" i="34"/>
  <c r="T872" i="34"/>
  <c r="U872" i="34"/>
  <c r="V872" i="34"/>
  <c r="W872" i="34"/>
  <c r="Y872" i="34"/>
  <c r="AB872" i="34"/>
  <c r="AC872" i="34"/>
  <c r="P873" i="34"/>
  <c r="T873" i="34"/>
  <c r="U873" i="34"/>
  <c r="V873" i="34"/>
  <c r="W873" i="34"/>
  <c r="Y873" i="34"/>
  <c r="AB873" i="34"/>
  <c r="AC873" i="34"/>
  <c r="P874" i="34"/>
  <c r="T874" i="34"/>
  <c r="U874" i="34"/>
  <c r="V874" i="34"/>
  <c r="W874" i="34"/>
  <c r="Y874" i="34"/>
  <c r="AB874" i="34"/>
  <c r="AC874" i="34"/>
  <c r="P875" i="34"/>
  <c r="T875" i="34"/>
  <c r="U875" i="34"/>
  <c r="V875" i="34"/>
  <c r="W875" i="34"/>
  <c r="Y875" i="34"/>
  <c r="AB875" i="34"/>
  <c r="AC875" i="34"/>
  <c r="P876" i="34"/>
  <c r="T876" i="34"/>
  <c r="U876" i="34"/>
  <c r="V876" i="34"/>
  <c r="W876" i="34"/>
  <c r="Y876" i="34"/>
  <c r="AB876" i="34"/>
  <c r="AC876" i="34"/>
  <c r="P877" i="34"/>
  <c r="T877" i="34"/>
  <c r="U877" i="34"/>
  <c r="V877" i="34"/>
  <c r="W877" i="34"/>
  <c r="Y877" i="34"/>
  <c r="AB877" i="34"/>
  <c r="AC877" i="34"/>
  <c r="P878" i="34"/>
  <c r="T878" i="34"/>
  <c r="U878" i="34"/>
  <c r="V878" i="34"/>
  <c r="W878" i="34"/>
  <c r="Y878" i="34"/>
  <c r="AB878" i="34"/>
  <c r="AC878" i="34"/>
  <c r="P879" i="34"/>
  <c r="T879" i="34"/>
  <c r="U879" i="34"/>
  <c r="V879" i="34"/>
  <c r="W879" i="34"/>
  <c r="Y879" i="34"/>
  <c r="AB879" i="34"/>
  <c r="AC879" i="34"/>
  <c r="P880" i="34"/>
  <c r="T880" i="34"/>
  <c r="U880" i="34"/>
  <c r="V880" i="34"/>
  <c r="W880" i="34"/>
  <c r="Y880" i="34"/>
  <c r="AB880" i="34"/>
  <c r="AC880" i="34"/>
  <c r="P881" i="34"/>
  <c r="T881" i="34"/>
  <c r="U881" i="34"/>
  <c r="V881" i="34"/>
  <c r="W881" i="34"/>
  <c r="Y881" i="34"/>
  <c r="AB881" i="34"/>
  <c r="AC881" i="34"/>
  <c r="P882" i="34"/>
  <c r="T882" i="34"/>
  <c r="U882" i="34"/>
  <c r="V882" i="34"/>
  <c r="W882" i="34"/>
  <c r="Y882" i="34"/>
  <c r="AB882" i="34"/>
  <c r="AC882" i="34"/>
  <c r="P883" i="34"/>
  <c r="T883" i="34"/>
  <c r="U883" i="34"/>
  <c r="V883" i="34"/>
  <c r="W883" i="34"/>
  <c r="Y883" i="34"/>
  <c r="AB883" i="34"/>
  <c r="AC883" i="34"/>
  <c r="P884" i="34"/>
  <c r="T884" i="34"/>
  <c r="U884" i="34"/>
  <c r="V884" i="34"/>
  <c r="W884" i="34"/>
  <c r="Y884" i="34"/>
  <c r="AB884" i="34"/>
  <c r="AC884" i="34"/>
  <c r="P885" i="34"/>
  <c r="T885" i="34"/>
  <c r="U885" i="34"/>
  <c r="V885" i="34"/>
  <c r="W885" i="34"/>
  <c r="Y885" i="34"/>
  <c r="AB885" i="34"/>
  <c r="AC885" i="34"/>
  <c r="P886" i="34"/>
  <c r="T886" i="34"/>
  <c r="U886" i="34"/>
  <c r="V886" i="34"/>
  <c r="W886" i="34"/>
  <c r="Y886" i="34"/>
  <c r="AB886" i="34"/>
  <c r="AC886" i="34"/>
  <c r="AD886" i="34"/>
  <c r="P887" i="34"/>
  <c r="T887" i="34"/>
  <c r="U887" i="34"/>
  <c r="V887" i="34"/>
  <c r="W887" i="34"/>
  <c r="Y887" i="34"/>
  <c r="AB887" i="34"/>
  <c r="AC887" i="34"/>
  <c r="AD887" i="34"/>
  <c r="P888" i="34"/>
  <c r="T888" i="34"/>
  <c r="U888" i="34"/>
  <c r="V888" i="34"/>
  <c r="W888" i="34"/>
  <c r="Y888" i="34"/>
  <c r="AB888" i="34"/>
  <c r="AC888" i="34"/>
  <c r="AD888" i="34"/>
  <c r="P889" i="34"/>
  <c r="T889" i="34"/>
  <c r="U889" i="34"/>
  <c r="V889" i="34"/>
  <c r="W889" i="34"/>
  <c r="Y889" i="34"/>
  <c r="AB889" i="34"/>
  <c r="AC889" i="34"/>
  <c r="AD889" i="34"/>
  <c r="P890" i="34"/>
  <c r="T890" i="34"/>
  <c r="U890" i="34"/>
  <c r="V890" i="34"/>
  <c r="W890" i="34"/>
  <c r="Y890" i="34"/>
  <c r="AB890" i="34"/>
  <c r="AC890" i="34"/>
  <c r="AD890" i="34"/>
  <c r="P891" i="34"/>
  <c r="T891" i="34"/>
  <c r="U891" i="34"/>
  <c r="V891" i="34"/>
  <c r="W891" i="34"/>
  <c r="Y891" i="34"/>
  <c r="AB891" i="34"/>
  <c r="AC891" i="34"/>
  <c r="AD891" i="34"/>
  <c r="P892" i="34"/>
  <c r="T892" i="34"/>
  <c r="U892" i="34"/>
  <c r="V892" i="34"/>
  <c r="W892" i="34"/>
  <c r="Y892" i="34"/>
  <c r="AB892" i="34"/>
  <c r="AC892" i="34"/>
  <c r="AD892" i="34"/>
  <c r="P893" i="34"/>
  <c r="T893" i="34"/>
  <c r="U893" i="34"/>
  <c r="V893" i="34"/>
  <c r="W893" i="34"/>
  <c r="Y893" i="34"/>
  <c r="AB893" i="34"/>
  <c r="AC893" i="34"/>
  <c r="AD893" i="34"/>
  <c r="P894" i="34"/>
  <c r="T894" i="34"/>
  <c r="U894" i="34"/>
  <c r="V894" i="34"/>
  <c r="W894" i="34"/>
  <c r="Y894" i="34"/>
  <c r="AB894" i="34"/>
  <c r="AC894" i="34"/>
  <c r="AD894" i="34"/>
  <c r="P895" i="34"/>
  <c r="T895" i="34"/>
  <c r="U895" i="34"/>
  <c r="V895" i="34"/>
  <c r="W895" i="34"/>
  <c r="Y895" i="34"/>
  <c r="AB895" i="34"/>
  <c r="AC895" i="34"/>
  <c r="AD895" i="34"/>
  <c r="P896" i="34"/>
  <c r="T896" i="34"/>
  <c r="U896" i="34"/>
  <c r="V896" i="34"/>
  <c r="W896" i="34"/>
  <c r="Y896" i="34"/>
  <c r="AB896" i="34"/>
  <c r="AC896" i="34"/>
  <c r="AD896" i="34"/>
  <c r="P897" i="34"/>
  <c r="T897" i="34"/>
  <c r="U897" i="34"/>
  <c r="V897" i="34"/>
  <c r="W897" i="34"/>
  <c r="Y897" i="34"/>
  <c r="AB897" i="34"/>
  <c r="AC897" i="34"/>
  <c r="AD897" i="34"/>
  <c r="P898" i="34"/>
  <c r="T898" i="34"/>
  <c r="U898" i="34"/>
  <c r="V898" i="34"/>
  <c r="W898" i="34"/>
  <c r="Y898" i="34"/>
  <c r="AB898" i="34"/>
  <c r="AC898" i="34"/>
  <c r="AD898" i="34"/>
  <c r="P899" i="34"/>
  <c r="T899" i="34"/>
  <c r="U899" i="34"/>
  <c r="V899" i="34"/>
  <c r="W899" i="34"/>
  <c r="Y899" i="34"/>
  <c r="AB899" i="34"/>
  <c r="AC899" i="34"/>
  <c r="AD899" i="34"/>
  <c r="P900" i="34"/>
  <c r="T900" i="34"/>
  <c r="U900" i="34"/>
  <c r="V900" i="34"/>
  <c r="W900" i="34"/>
  <c r="Y900" i="34"/>
  <c r="AB900" i="34"/>
  <c r="AC900" i="34"/>
  <c r="AD900" i="34"/>
  <c r="P901" i="34"/>
  <c r="T901" i="34"/>
  <c r="U901" i="34"/>
  <c r="V901" i="34"/>
  <c r="W901" i="34"/>
  <c r="Y901" i="34"/>
  <c r="AB901" i="34"/>
  <c r="AC901" i="34"/>
  <c r="AD901" i="34"/>
  <c r="P902" i="34"/>
  <c r="T902" i="34"/>
  <c r="U902" i="34"/>
  <c r="V902" i="34"/>
  <c r="W902" i="34"/>
  <c r="Y902" i="34"/>
  <c r="AB902" i="34"/>
  <c r="AC902" i="34"/>
  <c r="AD902" i="34"/>
  <c r="P903" i="34"/>
  <c r="T903" i="34"/>
  <c r="U903" i="34"/>
  <c r="V903" i="34"/>
  <c r="W903" i="34"/>
  <c r="Y903" i="34"/>
  <c r="AB903" i="34"/>
  <c r="AC903" i="34"/>
  <c r="AD903" i="34"/>
  <c r="P904" i="34"/>
  <c r="T904" i="34"/>
  <c r="U904" i="34"/>
  <c r="V904" i="34"/>
  <c r="W904" i="34"/>
  <c r="Y904" i="34"/>
  <c r="AB904" i="34"/>
  <c r="AC904" i="34"/>
  <c r="AD904" i="34"/>
  <c r="P905" i="34"/>
  <c r="T905" i="34"/>
  <c r="U905" i="34"/>
  <c r="V905" i="34"/>
  <c r="W905" i="34"/>
  <c r="Y905" i="34"/>
  <c r="AB905" i="34"/>
  <c r="AC905" i="34"/>
  <c r="AD905" i="34"/>
  <c r="P906" i="34"/>
  <c r="T906" i="34"/>
  <c r="U906" i="34"/>
  <c r="V906" i="34"/>
  <c r="W906" i="34"/>
  <c r="Y906" i="34"/>
  <c r="AB906" i="34"/>
  <c r="AC906" i="34"/>
  <c r="AD906" i="34"/>
  <c r="P907" i="34"/>
  <c r="T907" i="34"/>
  <c r="U907" i="34"/>
  <c r="V907" i="34"/>
  <c r="W907" i="34"/>
  <c r="Y907" i="34"/>
  <c r="AB907" i="34"/>
  <c r="AC907" i="34"/>
  <c r="AD907" i="34"/>
  <c r="P908" i="34"/>
  <c r="T908" i="34"/>
  <c r="U908" i="34"/>
  <c r="V908" i="34"/>
  <c r="W908" i="34"/>
  <c r="Y908" i="34"/>
  <c r="AB908" i="34"/>
  <c r="AC908" i="34"/>
  <c r="AD908" i="34"/>
  <c r="P909" i="34"/>
  <c r="T909" i="34"/>
  <c r="U909" i="34"/>
  <c r="V909" i="34"/>
  <c r="W909" i="34"/>
  <c r="Y909" i="34"/>
  <c r="AB909" i="34"/>
  <c r="AC909" i="34"/>
  <c r="AD909" i="34"/>
  <c r="P910" i="34"/>
  <c r="T910" i="34"/>
  <c r="U910" i="34"/>
  <c r="V910" i="34"/>
  <c r="W910" i="34"/>
  <c r="Y910" i="34"/>
  <c r="AB910" i="34"/>
  <c r="AC910" i="34"/>
  <c r="AD910" i="34"/>
  <c r="P911" i="34"/>
  <c r="T911" i="34"/>
  <c r="U911" i="34"/>
  <c r="V911" i="34"/>
  <c r="W911" i="34"/>
  <c r="Y911" i="34"/>
  <c r="AB911" i="34"/>
  <c r="AC911" i="34"/>
  <c r="P912" i="34"/>
  <c r="T912" i="34"/>
  <c r="U912" i="34"/>
  <c r="V912" i="34"/>
  <c r="W912" i="34"/>
  <c r="Y912" i="34"/>
  <c r="AB912" i="34"/>
  <c r="AC912" i="34"/>
  <c r="P913" i="34"/>
  <c r="T913" i="34"/>
  <c r="U913" i="34"/>
  <c r="V913" i="34"/>
  <c r="W913" i="34"/>
  <c r="Y913" i="34"/>
  <c r="AB913" i="34"/>
  <c r="AC913" i="34"/>
  <c r="P914" i="34"/>
  <c r="T914" i="34"/>
  <c r="U914" i="34"/>
  <c r="V914" i="34"/>
  <c r="W914" i="34"/>
  <c r="Y914" i="34"/>
  <c r="AB914" i="34"/>
  <c r="AC914" i="34"/>
  <c r="P915" i="34"/>
  <c r="T915" i="34"/>
  <c r="U915" i="34"/>
  <c r="V915" i="34"/>
  <c r="W915" i="34"/>
  <c r="Y915" i="34"/>
  <c r="AB915" i="34"/>
  <c r="AC915" i="34"/>
  <c r="P916" i="34"/>
  <c r="T916" i="34"/>
  <c r="U916" i="34"/>
  <c r="V916" i="34"/>
  <c r="W916" i="34"/>
  <c r="Y916" i="34"/>
  <c r="AB916" i="34"/>
  <c r="AC916" i="34"/>
  <c r="P917" i="34"/>
  <c r="T917" i="34"/>
  <c r="U917" i="34"/>
  <c r="V917" i="34"/>
  <c r="W917" i="34"/>
  <c r="Y917" i="34"/>
  <c r="AB917" i="34"/>
  <c r="AC917" i="34"/>
  <c r="P918" i="34"/>
  <c r="T918" i="34"/>
  <c r="U918" i="34"/>
  <c r="V918" i="34"/>
  <c r="W918" i="34"/>
  <c r="Y918" i="34"/>
  <c r="AB918" i="34"/>
  <c r="AC918" i="34"/>
  <c r="P919" i="34"/>
  <c r="T919" i="34"/>
  <c r="U919" i="34"/>
  <c r="V919" i="34"/>
  <c r="W919" i="34"/>
  <c r="Y919" i="34"/>
  <c r="AB919" i="34"/>
  <c r="AC919" i="34"/>
  <c r="P920" i="34"/>
  <c r="T920" i="34"/>
  <c r="U920" i="34"/>
  <c r="V920" i="34"/>
  <c r="W920" i="34"/>
  <c r="Y920" i="34"/>
  <c r="AB920" i="34"/>
  <c r="AC920" i="34"/>
  <c r="P921" i="34"/>
  <c r="T921" i="34"/>
  <c r="U921" i="34"/>
  <c r="V921" i="34"/>
  <c r="W921" i="34"/>
  <c r="Y921" i="34"/>
  <c r="AB921" i="34"/>
  <c r="AC921" i="34"/>
  <c r="P922" i="34"/>
  <c r="T922" i="34"/>
  <c r="U922" i="34"/>
  <c r="V922" i="34"/>
  <c r="W922" i="34"/>
  <c r="Y922" i="34"/>
  <c r="AB922" i="34"/>
  <c r="AC922" i="34"/>
  <c r="P923" i="34"/>
  <c r="T923" i="34"/>
  <c r="U923" i="34"/>
  <c r="V923" i="34"/>
  <c r="W923" i="34"/>
  <c r="Y923" i="34"/>
  <c r="AB923" i="34"/>
  <c r="AC923" i="34"/>
  <c r="P962" i="34"/>
  <c r="T962" i="34"/>
  <c r="U962" i="34"/>
  <c r="V962" i="34"/>
  <c r="W962" i="34"/>
  <c r="Y962" i="34"/>
  <c r="AB962" i="34"/>
  <c r="AC962" i="34"/>
  <c r="AD962" i="34"/>
  <c r="P963" i="34"/>
  <c r="T963" i="34"/>
  <c r="U963" i="34"/>
  <c r="V963" i="34"/>
  <c r="W963" i="34"/>
  <c r="Y963" i="34"/>
  <c r="AB963" i="34"/>
  <c r="AC963" i="34"/>
  <c r="AD963" i="34"/>
  <c r="P964" i="34"/>
  <c r="T964" i="34"/>
  <c r="U964" i="34"/>
  <c r="V964" i="34"/>
  <c r="W964" i="34"/>
  <c r="Y964" i="34"/>
  <c r="AB964" i="34"/>
  <c r="AC964" i="34"/>
  <c r="AD964" i="34"/>
  <c r="P965" i="34"/>
  <c r="T965" i="34"/>
  <c r="U965" i="34"/>
  <c r="V965" i="34"/>
  <c r="W965" i="34"/>
  <c r="Y965" i="34"/>
  <c r="AB965" i="34"/>
  <c r="AC965" i="34"/>
  <c r="AD965" i="34"/>
  <c r="P966" i="34"/>
  <c r="T966" i="34"/>
  <c r="U966" i="34"/>
  <c r="V966" i="34"/>
  <c r="W966" i="34"/>
  <c r="Y966" i="34"/>
  <c r="AB966" i="34"/>
  <c r="AC966" i="34"/>
  <c r="AD966" i="34"/>
  <c r="P967" i="34"/>
  <c r="T967" i="34"/>
  <c r="U967" i="34"/>
  <c r="V967" i="34"/>
  <c r="W967" i="34"/>
  <c r="Y967" i="34"/>
  <c r="AB967" i="34"/>
  <c r="AC967" i="34"/>
  <c r="AD967" i="34"/>
  <c r="P968" i="34"/>
  <c r="T968" i="34"/>
  <c r="U968" i="34"/>
  <c r="V968" i="34"/>
  <c r="W968" i="34"/>
  <c r="Y968" i="34"/>
  <c r="AB968" i="34"/>
  <c r="AC968" i="34"/>
  <c r="AD968" i="34"/>
  <c r="P969" i="34"/>
  <c r="T969" i="34"/>
  <c r="U969" i="34"/>
  <c r="V969" i="34"/>
  <c r="W969" i="34"/>
  <c r="Y969" i="34"/>
  <c r="AB969" i="34"/>
  <c r="AC969" i="34"/>
  <c r="AD969" i="34"/>
  <c r="P970" i="34"/>
  <c r="T970" i="34"/>
  <c r="U970" i="34"/>
  <c r="V970" i="34"/>
  <c r="W970" i="34"/>
  <c r="Y970" i="34"/>
  <c r="AB970" i="34"/>
  <c r="AC970" i="34"/>
  <c r="AD970" i="34"/>
  <c r="P971" i="34"/>
  <c r="T971" i="34"/>
  <c r="U971" i="34"/>
  <c r="V971" i="34"/>
  <c r="W971" i="34"/>
  <c r="Y971" i="34"/>
  <c r="AB971" i="34"/>
  <c r="AC971" i="34"/>
  <c r="P972" i="34"/>
  <c r="T972" i="34"/>
  <c r="U972" i="34"/>
  <c r="V972" i="34"/>
  <c r="W972" i="34"/>
  <c r="Y972" i="34"/>
  <c r="AB972" i="34"/>
  <c r="AC972" i="34"/>
  <c r="P973" i="34"/>
  <c r="T973" i="34"/>
  <c r="U973" i="34"/>
  <c r="V973" i="34"/>
  <c r="W973" i="34"/>
  <c r="Y973" i="34"/>
  <c r="AB973" i="34"/>
  <c r="AC973" i="34"/>
  <c r="P974" i="34"/>
  <c r="T974" i="34"/>
  <c r="U974" i="34"/>
  <c r="V974" i="34"/>
  <c r="W974" i="34"/>
  <c r="Y974" i="34"/>
  <c r="AB974" i="34"/>
  <c r="AC974" i="34"/>
  <c r="AD974" i="34"/>
  <c r="P975" i="34"/>
  <c r="T975" i="34"/>
  <c r="U975" i="34"/>
  <c r="V975" i="34"/>
  <c r="W975" i="34"/>
  <c r="Y975" i="34"/>
  <c r="AB975" i="34"/>
  <c r="AC975" i="34"/>
  <c r="AD975" i="34"/>
  <c r="P976" i="34"/>
  <c r="T976" i="34"/>
  <c r="U976" i="34"/>
  <c r="V976" i="34"/>
  <c r="W976" i="34"/>
  <c r="Y976" i="34"/>
  <c r="AB976" i="34"/>
  <c r="AC976" i="34"/>
  <c r="AD976" i="34"/>
  <c r="P977" i="34"/>
  <c r="T977" i="34"/>
  <c r="U977" i="34"/>
  <c r="V977" i="34"/>
  <c r="W977" i="34"/>
  <c r="Y977" i="34"/>
  <c r="AB977" i="34"/>
  <c r="AC977" i="34"/>
  <c r="AD977" i="34"/>
  <c r="P978" i="34"/>
  <c r="T978" i="34"/>
  <c r="U978" i="34"/>
  <c r="V978" i="34"/>
  <c r="W978" i="34"/>
  <c r="Y978" i="34"/>
  <c r="AB978" i="34"/>
  <c r="AC978" i="34"/>
  <c r="AD978" i="34"/>
  <c r="P979" i="34"/>
  <c r="T979" i="34"/>
  <c r="U979" i="34"/>
  <c r="V979" i="34"/>
  <c r="W979" i="34"/>
  <c r="Y979" i="34"/>
  <c r="AB979" i="34"/>
  <c r="AC979" i="34"/>
  <c r="AD979" i="34"/>
  <c r="P980" i="34"/>
  <c r="T980" i="34"/>
  <c r="U980" i="34"/>
  <c r="V980" i="34"/>
  <c r="W980" i="34"/>
  <c r="Y980" i="34"/>
  <c r="AB980" i="34"/>
  <c r="AC980" i="34"/>
  <c r="AD980" i="34"/>
  <c r="P981" i="34"/>
  <c r="T981" i="34"/>
  <c r="U981" i="34"/>
  <c r="V981" i="34"/>
  <c r="W981" i="34"/>
  <c r="Y981" i="34"/>
  <c r="AB981" i="34"/>
  <c r="AC981" i="34"/>
  <c r="AD981" i="34"/>
  <c r="P982" i="34"/>
  <c r="T982" i="34"/>
  <c r="U982" i="34"/>
  <c r="V982" i="34"/>
  <c r="W982" i="34"/>
  <c r="Y982" i="34"/>
  <c r="AB982" i="34"/>
  <c r="AC982" i="34"/>
  <c r="AD982" i="34"/>
  <c r="P983" i="34"/>
  <c r="T983" i="34"/>
  <c r="U983" i="34"/>
  <c r="V983" i="34"/>
  <c r="W983" i="34"/>
  <c r="Y983" i="34"/>
  <c r="AB983" i="34"/>
  <c r="AC983" i="34"/>
  <c r="AD983" i="34"/>
  <c r="P984" i="34"/>
  <c r="T984" i="34"/>
  <c r="U984" i="34"/>
  <c r="V984" i="34"/>
  <c r="W984" i="34"/>
  <c r="Y984" i="34"/>
  <c r="AB984" i="34"/>
  <c r="AC984" i="34"/>
  <c r="AD984" i="34"/>
  <c r="P985" i="34"/>
  <c r="T985" i="34"/>
  <c r="U985" i="34"/>
  <c r="V985" i="34"/>
  <c r="W985" i="34"/>
  <c r="Y985" i="34"/>
  <c r="AB985" i="34"/>
  <c r="AC985" i="34"/>
  <c r="P986" i="34"/>
  <c r="T986" i="34"/>
  <c r="U986" i="34"/>
  <c r="V986" i="34"/>
  <c r="W986" i="34"/>
  <c r="Y986" i="34"/>
  <c r="AB986" i="34"/>
  <c r="AC986" i="34"/>
  <c r="P987" i="34"/>
  <c r="T987" i="34"/>
  <c r="U987" i="34"/>
  <c r="V987" i="34"/>
  <c r="W987" i="34"/>
  <c r="Y987" i="34"/>
  <c r="AB987" i="34"/>
  <c r="AC987" i="34"/>
  <c r="P988" i="34"/>
  <c r="T988" i="34"/>
  <c r="U988" i="34"/>
  <c r="V988" i="34"/>
  <c r="W988" i="34"/>
  <c r="Y988" i="34"/>
  <c r="AB988" i="34"/>
  <c r="AC988" i="34"/>
  <c r="P1010" i="34"/>
  <c r="T1010" i="34"/>
  <c r="U1010" i="34"/>
  <c r="V1010" i="34"/>
  <c r="W1010" i="34"/>
  <c r="Y1010" i="34"/>
  <c r="AB1010" i="34"/>
  <c r="AC1010" i="34"/>
  <c r="AD1010" i="34"/>
  <c r="P1011" i="34"/>
  <c r="T1011" i="34"/>
  <c r="U1011" i="34"/>
  <c r="V1011" i="34"/>
  <c r="W1011" i="34"/>
  <c r="Y1011" i="34"/>
  <c r="AB1011" i="34"/>
  <c r="AC1011" i="34"/>
  <c r="AD1011" i="34"/>
  <c r="P1012" i="34"/>
  <c r="T1012" i="34"/>
  <c r="U1012" i="34"/>
  <c r="V1012" i="34"/>
  <c r="W1012" i="34"/>
  <c r="Y1012" i="34"/>
  <c r="AB1012" i="34"/>
  <c r="AC1012" i="34"/>
  <c r="AD1012" i="34"/>
  <c r="P1013" i="34"/>
  <c r="T1013" i="34"/>
  <c r="U1013" i="34"/>
  <c r="V1013" i="34"/>
  <c r="W1013" i="34"/>
  <c r="Y1013" i="34"/>
  <c r="AB1013" i="34"/>
  <c r="AC1013" i="34"/>
  <c r="AD1013" i="34"/>
  <c r="P1014" i="34"/>
  <c r="T1014" i="34"/>
  <c r="U1014" i="34"/>
  <c r="V1014" i="34"/>
  <c r="W1014" i="34"/>
  <c r="Y1014" i="34"/>
  <c r="AB1014" i="34"/>
  <c r="AC1014" i="34"/>
  <c r="AD1014" i="34"/>
  <c r="P1015" i="34"/>
  <c r="T1015" i="34"/>
  <c r="U1015" i="34"/>
  <c r="V1015" i="34"/>
  <c r="W1015" i="34"/>
  <c r="Y1015" i="34"/>
  <c r="AB1015" i="34"/>
  <c r="AC1015" i="34"/>
  <c r="AD1015" i="34"/>
  <c r="P1016" i="34"/>
  <c r="T1016" i="34"/>
  <c r="U1016" i="34"/>
  <c r="V1016" i="34"/>
  <c r="W1016" i="34"/>
  <c r="Y1016" i="34"/>
  <c r="AB1016" i="34"/>
  <c r="AC1016" i="34"/>
  <c r="AD1016" i="34"/>
  <c r="P1017" i="34"/>
  <c r="T1017" i="34"/>
  <c r="U1017" i="34"/>
  <c r="V1017" i="34"/>
  <c r="W1017" i="34"/>
  <c r="Y1017" i="34"/>
  <c r="AB1017" i="34"/>
  <c r="AC1017" i="34"/>
  <c r="AD1017" i="34"/>
  <c r="P1018" i="34"/>
  <c r="T1018" i="34"/>
  <c r="U1018" i="34"/>
  <c r="V1018" i="34"/>
  <c r="W1018" i="34"/>
  <c r="Y1018" i="34"/>
  <c r="AB1018" i="34"/>
  <c r="AC1018" i="34"/>
  <c r="AD1018" i="34"/>
  <c r="P1019" i="34"/>
  <c r="T1019" i="34"/>
  <c r="U1019" i="34"/>
  <c r="V1019" i="34"/>
  <c r="W1019" i="34"/>
  <c r="Y1019" i="34"/>
  <c r="AB1019" i="34"/>
  <c r="AC1019" i="34"/>
  <c r="AD1019" i="34"/>
  <c r="P1020" i="34"/>
  <c r="T1020" i="34"/>
  <c r="U1020" i="34"/>
  <c r="V1020" i="34"/>
  <c r="W1020" i="34"/>
  <c r="Y1020" i="34"/>
  <c r="AB1020" i="34"/>
  <c r="AC1020" i="34"/>
  <c r="AD1020" i="34"/>
  <c r="P1021" i="34"/>
  <c r="T1021" i="34"/>
  <c r="U1021" i="34"/>
  <c r="V1021" i="34"/>
  <c r="W1021" i="34"/>
  <c r="Y1021" i="34"/>
  <c r="AB1021" i="34"/>
  <c r="AC1021" i="34"/>
  <c r="AD1021" i="34"/>
  <c r="P1022" i="34"/>
  <c r="T1022" i="34"/>
  <c r="U1022" i="34"/>
  <c r="V1022" i="34"/>
  <c r="W1022" i="34"/>
  <c r="Y1022" i="34"/>
  <c r="AB1022" i="34"/>
  <c r="AC1022" i="34"/>
  <c r="AD1022" i="34"/>
  <c r="P1023" i="34"/>
  <c r="T1023" i="34"/>
  <c r="U1023" i="34"/>
  <c r="V1023" i="34"/>
  <c r="W1023" i="34"/>
  <c r="Y1023" i="34"/>
  <c r="AB1023" i="34"/>
  <c r="AC1023" i="34"/>
  <c r="AD1023" i="34"/>
  <c r="P1024" i="34"/>
  <c r="T1024" i="34"/>
  <c r="U1024" i="34"/>
  <c r="V1024" i="34"/>
  <c r="W1024" i="34"/>
  <c r="Y1024" i="34"/>
  <c r="AB1024" i="34"/>
  <c r="AC1024" i="34"/>
  <c r="AD1024" i="34"/>
  <c r="P1025" i="34"/>
  <c r="T1025" i="34"/>
  <c r="U1025" i="34"/>
  <c r="V1025" i="34"/>
  <c r="W1025" i="34"/>
  <c r="Y1025" i="34"/>
  <c r="AB1025" i="34"/>
  <c r="AC1025" i="34"/>
  <c r="AD1025" i="34"/>
  <c r="P1026" i="34"/>
  <c r="T1026" i="34"/>
  <c r="U1026" i="34"/>
  <c r="V1026" i="34"/>
  <c r="W1026" i="34"/>
  <c r="Y1026" i="34"/>
  <c r="AB1026" i="34"/>
  <c r="AC1026" i="34"/>
  <c r="AD1026" i="34"/>
  <c r="P1027" i="34"/>
  <c r="T1027" i="34"/>
  <c r="U1027" i="34"/>
  <c r="V1027" i="34"/>
  <c r="W1027" i="34"/>
  <c r="Y1027" i="34"/>
  <c r="AB1027" i="34"/>
  <c r="AC1027" i="34"/>
  <c r="AD1027" i="34"/>
  <c r="P1028" i="34"/>
  <c r="T1028" i="34"/>
  <c r="U1028" i="34"/>
  <c r="V1028" i="34"/>
  <c r="W1028" i="34"/>
  <c r="Y1028" i="34"/>
  <c r="AB1028" i="34"/>
  <c r="AC1028" i="34"/>
  <c r="AD1028" i="34"/>
  <c r="P1029" i="34"/>
  <c r="T1029" i="34"/>
  <c r="U1029" i="34"/>
  <c r="V1029" i="34"/>
  <c r="W1029" i="34"/>
  <c r="Y1029" i="34"/>
  <c r="AB1029" i="34"/>
  <c r="AC1029" i="34"/>
  <c r="AD1029" i="34"/>
  <c r="P1030" i="34"/>
  <c r="T1030" i="34"/>
  <c r="U1030" i="34"/>
  <c r="V1030" i="34"/>
  <c r="W1030" i="34"/>
  <c r="Y1030" i="34"/>
  <c r="AB1030" i="34"/>
  <c r="AC1030" i="34"/>
  <c r="P1031" i="34"/>
  <c r="T1031" i="34"/>
  <c r="U1031" i="34"/>
  <c r="V1031" i="34"/>
  <c r="W1031" i="34"/>
  <c r="Y1031" i="34"/>
  <c r="AB1031" i="34"/>
  <c r="AC1031" i="34"/>
  <c r="P1032" i="34"/>
  <c r="T1032" i="34"/>
  <c r="U1032" i="34"/>
  <c r="V1032" i="34"/>
  <c r="W1032" i="34"/>
  <c r="Y1032" i="34"/>
  <c r="AB1032" i="34"/>
  <c r="AC1032" i="34"/>
  <c r="P1033" i="34"/>
  <c r="T1033" i="34"/>
  <c r="U1033" i="34"/>
  <c r="V1033" i="34"/>
  <c r="W1033" i="34"/>
  <c r="Y1033" i="34"/>
  <c r="AB1033" i="34"/>
  <c r="AC1033" i="34"/>
  <c r="P1034" i="34"/>
  <c r="T1034" i="34"/>
  <c r="U1034" i="34"/>
  <c r="V1034" i="34"/>
  <c r="W1034" i="34"/>
  <c r="Y1034" i="34"/>
  <c r="AB1034" i="34"/>
  <c r="AC1034" i="34"/>
  <c r="P1035" i="34"/>
  <c r="T1035" i="34"/>
  <c r="U1035" i="34"/>
  <c r="V1035" i="34"/>
  <c r="W1035" i="34"/>
  <c r="Y1035" i="34"/>
  <c r="AB1035" i="34"/>
  <c r="AC1035" i="34"/>
  <c r="P1036" i="34"/>
  <c r="T1036" i="34"/>
  <c r="U1036" i="34"/>
  <c r="V1036" i="34"/>
  <c r="W1036" i="34"/>
  <c r="Y1036" i="34"/>
  <c r="AB1036" i="34"/>
  <c r="AC1036" i="34"/>
  <c r="P1037" i="34"/>
  <c r="T1037" i="34"/>
  <c r="U1037" i="34"/>
  <c r="V1037" i="34"/>
  <c r="W1037" i="34"/>
  <c r="Y1037" i="34"/>
  <c r="AB1037" i="34"/>
  <c r="AC1037" i="34"/>
  <c r="P1038" i="34"/>
  <c r="T1038" i="34"/>
  <c r="U1038" i="34"/>
  <c r="V1038" i="34"/>
  <c r="W1038" i="34"/>
  <c r="Y1038" i="34"/>
  <c r="AB1038" i="34"/>
  <c r="AC1038" i="34"/>
  <c r="P1039" i="34"/>
  <c r="T1039" i="34"/>
  <c r="U1039" i="34"/>
  <c r="V1039" i="34"/>
  <c r="W1039" i="34"/>
  <c r="Y1039" i="34"/>
  <c r="AB1039" i="34"/>
  <c r="AC1039" i="34"/>
  <c r="P1040" i="34"/>
  <c r="T1040" i="34"/>
  <c r="U1040" i="34"/>
  <c r="V1040" i="34"/>
  <c r="W1040" i="34"/>
  <c r="Y1040" i="34"/>
  <c r="AB1040" i="34"/>
  <c r="AC1040" i="34"/>
  <c r="P1041" i="34"/>
  <c r="T1041" i="34"/>
  <c r="U1041" i="34"/>
  <c r="V1041" i="34"/>
  <c r="W1041" i="34"/>
  <c r="Y1041" i="34"/>
  <c r="AB1041" i="34"/>
  <c r="AC1041" i="34"/>
  <c r="P1042" i="34"/>
  <c r="T1042" i="34"/>
  <c r="U1042" i="34"/>
  <c r="V1042" i="34"/>
  <c r="W1042" i="34"/>
  <c r="Y1042" i="34"/>
  <c r="AB1042" i="34"/>
  <c r="AC1042" i="34"/>
  <c r="P1043" i="34"/>
  <c r="T1043" i="34"/>
  <c r="U1043" i="34"/>
  <c r="V1043" i="34"/>
  <c r="W1043" i="34"/>
  <c r="Y1043" i="34"/>
  <c r="AB1043" i="34"/>
  <c r="AC1043" i="34"/>
  <c r="P1044" i="34"/>
  <c r="T1044" i="34"/>
  <c r="U1044" i="34"/>
  <c r="V1044" i="34"/>
  <c r="W1044" i="34"/>
  <c r="Y1044" i="34"/>
  <c r="AB1044" i="34"/>
  <c r="AC1044" i="34"/>
  <c r="P1047" i="34"/>
  <c r="T1047" i="34"/>
  <c r="U1047" i="34"/>
  <c r="V1047" i="34"/>
  <c r="W1047" i="34"/>
  <c r="Y1047" i="34"/>
  <c r="AB1047" i="34"/>
  <c r="AC1047" i="34"/>
  <c r="P1045" i="34"/>
  <c r="T1045" i="34"/>
  <c r="U1045" i="34"/>
  <c r="V1045" i="34"/>
  <c r="W1045" i="34"/>
  <c r="Y1045" i="34"/>
  <c r="AB1045" i="34"/>
  <c r="AC1045" i="34"/>
  <c r="P1048" i="34"/>
  <c r="T1048" i="34"/>
  <c r="U1048" i="34"/>
  <c r="V1048" i="34"/>
  <c r="W1048" i="34"/>
  <c r="Y1048" i="34"/>
  <c r="AB1048" i="34"/>
  <c r="AC1048" i="34"/>
  <c r="P1049" i="34"/>
  <c r="T1049" i="34"/>
  <c r="U1049" i="34"/>
  <c r="V1049" i="34"/>
  <c r="W1049" i="34"/>
  <c r="Y1049" i="34"/>
  <c r="AB1049" i="34"/>
  <c r="AC1049" i="34"/>
  <c r="P1050" i="34"/>
  <c r="T1050" i="34"/>
  <c r="U1050" i="34"/>
  <c r="V1050" i="34"/>
  <c r="W1050" i="34"/>
  <c r="Y1050" i="34"/>
  <c r="AB1050" i="34"/>
  <c r="AC1050" i="34"/>
  <c r="P1051" i="34"/>
  <c r="T1051" i="34"/>
  <c r="U1051" i="34"/>
  <c r="V1051" i="34"/>
  <c r="W1051" i="34"/>
  <c r="Y1051" i="34"/>
  <c r="AB1051" i="34"/>
  <c r="AC1051" i="34"/>
  <c r="P1046" i="34"/>
  <c r="T1046" i="34"/>
  <c r="U1046" i="34"/>
  <c r="V1046" i="34"/>
  <c r="W1046" i="34"/>
  <c r="Y1046" i="34"/>
  <c r="AB1046" i="34"/>
  <c r="AC1046" i="34"/>
  <c r="P1052" i="34"/>
  <c r="T1052" i="34"/>
  <c r="U1052" i="34"/>
  <c r="V1052" i="34"/>
  <c r="W1052" i="34"/>
  <c r="Y1052" i="34"/>
  <c r="AB1052" i="34"/>
  <c r="AC1052" i="34"/>
  <c r="AD1052" i="34"/>
  <c r="P1053" i="34"/>
  <c r="T1053" i="34"/>
  <c r="U1053" i="34"/>
  <c r="V1053" i="34"/>
  <c r="W1053" i="34"/>
  <c r="Y1053" i="34"/>
  <c r="AB1053" i="34"/>
  <c r="AC1053" i="34"/>
  <c r="AD1053" i="34"/>
  <c r="P1054" i="34"/>
  <c r="T1054" i="34"/>
  <c r="U1054" i="34"/>
  <c r="V1054" i="34"/>
  <c r="W1054" i="34"/>
  <c r="Y1054" i="34"/>
  <c r="AB1054" i="34"/>
  <c r="AC1054" i="34"/>
  <c r="AD1054" i="34"/>
  <c r="P1055" i="34"/>
  <c r="T1055" i="34"/>
  <c r="U1055" i="34"/>
  <c r="V1055" i="34"/>
  <c r="W1055" i="34"/>
  <c r="Y1055" i="34"/>
  <c r="AB1055" i="34"/>
  <c r="AC1055" i="34"/>
  <c r="AD1055" i="34"/>
  <c r="P1056" i="34"/>
  <c r="T1056" i="34"/>
  <c r="U1056" i="34"/>
  <c r="V1056" i="34"/>
  <c r="W1056" i="34"/>
  <c r="Y1056" i="34"/>
  <c r="AB1056" i="34"/>
  <c r="AC1056" i="34"/>
  <c r="AD1056" i="34"/>
  <c r="P1057" i="34"/>
  <c r="T1057" i="34"/>
  <c r="U1057" i="34"/>
  <c r="V1057" i="34"/>
  <c r="W1057" i="34"/>
  <c r="Y1057" i="34"/>
  <c r="AB1057" i="34"/>
  <c r="AC1057" i="34"/>
  <c r="AD1057" i="34"/>
  <c r="P1058" i="34"/>
  <c r="T1058" i="34"/>
  <c r="U1058" i="34"/>
  <c r="V1058" i="34"/>
  <c r="W1058" i="34"/>
  <c r="Y1058" i="34"/>
  <c r="AB1058" i="34"/>
  <c r="AC1058" i="34"/>
  <c r="AD1058" i="34"/>
  <c r="P1059" i="34"/>
  <c r="T1059" i="34"/>
  <c r="U1059" i="34"/>
  <c r="V1059" i="34"/>
  <c r="W1059" i="34"/>
  <c r="Y1059" i="34"/>
  <c r="AB1059" i="34"/>
  <c r="AC1059" i="34"/>
  <c r="AD1059" i="34"/>
  <c r="P1060" i="34"/>
  <c r="T1060" i="34"/>
  <c r="U1060" i="34"/>
  <c r="V1060" i="34"/>
  <c r="W1060" i="34"/>
  <c r="Y1060" i="34"/>
  <c r="AB1060" i="34"/>
  <c r="AC1060" i="34"/>
  <c r="AD1060" i="34"/>
  <c r="P1061" i="34"/>
  <c r="T1061" i="34"/>
  <c r="U1061" i="34"/>
  <c r="V1061" i="34"/>
  <c r="W1061" i="34"/>
  <c r="Y1061" i="34"/>
  <c r="AB1061" i="34"/>
  <c r="AC1061" i="34"/>
  <c r="AD1061" i="34"/>
  <c r="P1062" i="34"/>
  <c r="T1062" i="34"/>
  <c r="U1062" i="34"/>
  <c r="V1062" i="34"/>
  <c r="W1062" i="34"/>
  <c r="Y1062" i="34"/>
  <c r="AB1062" i="34"/>
  <c r="AC1062" i="34"/>
  <c r="AD1062" i="34"/>
  <c r="P1063" i="34"/>
  <c r="T1063" i="34"/>
  <c r="U1063" i="34"/>
  <c r="V1063" i="34"/>
  <c r="W1063" i="34"/>
  <c r="Y1063" i="34"/>
  <c r="AB1063" i="34"/>
  <c r="AC1063" i="34"/>
  <c r="AD1063" i="34"/>
  <c r="P1064" i="34"/>
  <c r="T1064" i="34"/>
  <c r="U1064" i="34"/>
  <c r="V1064" i="34"/>
  <c r="W1064" i="34"/>
  <c r="Y1064" i="34"/>
  <c r="AB1064" i="34"/>
  <c r="AC1064" i="34"/>
  <c r="AD1064" i="34"/>
  <c r="P1065" i="34"/>
  <c r="T1065" i="34"/>
  <c r="U1065" i="34"/>
  <c r="V1065" i="34"/>
  <c r="W1065" i="34"/>
  <c r="Y1065" i="34"/>
  <c r="AB1065" i="34"/>
  <c r="AC1065" i="34"/>
  <c r="AD1065" i="34"/>
  <c r="P1066" i="34"/>
  <c r="T1066" i="34"/>
  <c r="U1066" i="34"/>
  <c r="V1066" i="34"/>
  <c r="W1066" i="34"/>
  <c r="Y1066" i="34"/>
  <c r="AB1066" i="34"/>
  <c r="AC1066" i="34"/>
  <c r="AD1066" i="34"/>
  <c r="P1067" i="34"/>
  <c r="T1067" i="34"/>
  <c r="U1067" i="34"/>
  <c r="V1067" i="34"/>
  <c r="W1067" i="34"/>
  <c r="Y1067" i="34"/>
  <c r="AB1067" i="34"/>
  <c r="AC1067" i="34"/>
  <c r="AD1067" i="34"/>
  <c r="P1068" i="34"/>
  <c r="T1068" i="34"/>
  <c r="U1068" i="34"/>
  <c r="V1068" i="34"/>
  <c r="W1068" i="34"/>
  <c r="Y1068" i="34"/>
  <c r="AB1068" i="34"/>
  <c r="AC1068" i="34"/>
  <c r="AD1068" i="34"/>
  <c r="P1069" i="34"/>
  <c r="T1069" i="34"/>
  <c r="U1069" i="34"/>
  <c r="V1069" i="34"/>
  <c r="W1069" i="34"/>
  <c r="Y1069" i="34"/>
  <c r="AB1069" i="34"/>
  <c r="AC1069" i="34"/>
  <c r="AD1069" i="34"/>
  <c r="P1070" i="34"/>
  <c r="T1070" i="34"/>
  <c r="U1070" i="34"/>
  <c r="V1070" i="34"/>
  <c r="W1070" i="34"/>
  <c r="Y1070" i="34"/>
  <c r="AB1070" i="34"/>
  <c r="AC1070" i="34"/>
  <c r="AD1070" i="34"/>
  <c r="P1071" i="34"/>
  <c r="T1071" i="34"/>
  <c r="U1071" i="34"/>
  <c r="V1071" i="34"/>
  <c r="W1071" i="34"/>
  <c r="Y1071" i="34"/>
  <c r="AB1071" i="34"/>
  <c r="AC1071" i="34"/>
  <c r="AD1071" i="34"/>
  <c r="P1072" i="34"/>
  <c r="T1072" i="34"/>
  <c r="U1072" i="34"/>
  <c r="V1072" i="34"/>
  <c r="W1072" i="34"/>
  <c r="Y1072" i="34"/>
  <c r="AB1072" i="34"/>
  <c r="AC1072" i="34"/>
  <c r="AD1072" i="34"/>
  <c r="P1073" i="34"/>
  <c r="T1073" i="34"/>
  <c r="U1073" i="34"/>
  <c r="V1073" i="34"/>
  <c r="W1073" i="34"/>
  <c r="Y1073" i="34"/>
  <c r="AB1073" i="34"/>
  <c r="AC1073" i="34"/>
  <c r="AD1073" i="34"/>
  <c r="P1074" i="34"/>
  <c r="T1074" i="34"/>
  <c r="U1074" i="34"/>
  <c r="V1074" i="34"/>
  <c r="W1074" i="34"/>
  <c r="Y1074" i="34"/>
  <c r="AB1074" i="34"/>
  <c r="AC1074" i="34"/>
  <c r="AD1074" i="34"/>
  <c r="P1075" i="34"/>
  <c r="T1075" i="34"/>
  <c r="U1075" i="34"/>
  <c r="V1075" i="34"/>
  <c r="W1075" i="34"/>
  <c r="Y1075" i="34"/>
  <c r="AB1075" i="34"/>
  <c r="AC1075" i="34"/>
  <c r="AD1075" i="34"/>
  <c r="P1076" i="34"/>
  <c r="T1076" i="34"/>
  <c r="U1076" i="34"/>
  <c r="V1076" i="34"/>
  <c r="W1076" i="34"/>
  <c r="Y1076" i="34"/>
  <c r="AB1076" i="34"/>
  <c r="AC1076" i="34"/>
  <c r="AD1076" i="34"/>
  <c r="P1077" i="34"/>
  <c r="T1077" i="34"/>
  <c r="U1077" i="34"/>
  <c r="V1077" i="34"/>
  <c r="W1077" i="34"/>
  <c r="Y1077" i="34"/>
  <c r="AB1077" i="34"/>
  <c r="AC1077" i="34"/>
  <c r="AD1077" i="34"/>
  <c r="P1078" i="34"/>
  <c r="T1078" i="34"/>
  <c r="U1078" i="34"/>
  <c r="V1078" i="34"/>
  <c r="W1078" i="34"/>
  <c r="Y1078" i="34"/>
  <c r="AB1078" i="34"/>
  <c r="AC1078" i="34"/>
  <c r="AD1078" i="34"/>
  <c r="P1079" i="34"/>
  <c r="T1079" i="34"/>
  <c r="U1079" i="34"/>
  <c r="V1079" i="34"/>
  <c r="W1079" i="34"/>
  <c r="Y1079" i="34"/>
  <c r="AB1079" i="34"/>
  <c r="AC1079" i="34"/>
  <c r="AD1079" i="34"/>
  <c r="P1080" i="34"/>
  <c r="T1080" i="34"/>
  <c r="U1080" i="34"/>
  <c r="V1080" i="34"/>
  <c r="W1080" i="34"/>
  <c r="Y1080" i="34"/>
  <c r="AB1080" i="34"/>
  <c r="AC1080" i="34"/>
  <c r="AD1080" i="34"/>
  <c r="P1081" i="34"/>
  <c r="T1081" i="34"/>
  <c r="U1081" i="34"/>
  <c r="V1081" i="34"/>
  <c r="W1081" i="34"/>
  <c r="Y1081" i="34"/>
  <c r="AB1081" i="34"/>
  <c r="AC1081" i="34"/>
  <c r="AD1081" i="34"/>
  <c r="P1082" i="34"/>
  <c r="T1082" i="34"/>
  <c r="U1082" i="34"/>
  <c r="V1082" i="34"/>
  <c r="W1082" i="34"/>
  <c r="Y1082" i="34"/>
  <c r="AB1082" i="34"/>
  <c r="AC1082" i="34"/>
  <c r="AD1082" i="34"/>
  <c r="P1083" i="34"/>
  <c r="T1083" i="34"/>
  <c r="U1083" i="34"/>
  <c r="V1083" i="34"/>
  <c r="W1083" i="34"/>
  <c r="Y1083" i="34"/>
  <c r="AB1083" i="34"/>
  <c r="AC1083" i="34"/>
  <c r="AD1083" i="34"/>
  <c r="P1084" i="34"/>
  <c r="T1084" i="34"/>
  <c r="U1084" i="34"/>
  <c r="V1084" i="34"/>
  <c r="W1084" i="34"/>
  <c r="Y1084" i="34"/>
  <c r="AB1084" i="34"/>
  <c r="AC1084" i="34"/>
  <c r="AD1084" i="34"/>
  <c r="P1085" i="34"/>
  <c r="T1085" i="34"/>
  <c r="U1085" i="34"/>
  <c r="V1085" i="34"/>
  <c r="W1085" i="34"/>
  <c r="Y1085" i="34"/>
  <c r="AB1085" i="34"/>
  <c r="AC1085" i="34"/>
  <c r="AD1085" i="34"/>
  <c r="P1086" i="34"/>
  <c r="T1086" i="34"/>
  <c r="U1086" i="34"/>
  <c r="V1086" i="34"/>
  <c r="W1086" i="34"/>
  <c r="Y1086" i="34"/>
  <c r="AB1086" i="34"/>
  <c r="AC1086" i="34"/>
  <c r="AD1086" i="34"/>
  <c r="P1087" i="34"/>
  <c r="T1087" i="34"/>
  <c r="U1087" i="34"/>
  <c r="V1087" i="34"/>
  <c r="W1087" i="34"/>
  <c r="Y1087" i="34"/>
  <c r="AB1087" i="34"/>
  <c r="AC1087" i="34"/>
  <c r="AD1087" i="34"/>
  <c r="P1088" i="34"/>
  <c r="T1088" i="34"/>
  <c r="U1088" i="34"/>
  <c r="V1088" i="34"/>
  <c r="W1088" i="34"/>
  <c r="Y1088" i="34"/>
  <c r="AB1088" i="34"/>
  <c r="AC1088" i="34"/>
  <c r="AD1088" i="34"/>
  <c r="P1089" i="34"/>
  <c r="T1089" i="34"/>
  <c r="U1089" i="34"/>
  <c r="V1089" i="34"/>
  <c r="W1089" i="34"/>
  <c r="Y1089" i="34"/>
  <c r="AB1089" i="34"/>
  <c r="AC1089" i="34"/>
  <c r="AD1089" i="34"/>
  <c r="P1090" i="34"/>
  <c r="T1090" i="34"/>
  <c r="U1090" i="34"/>
  <c r="V1090" i="34"/>
  <c r="W1090" i="34"/>
  <c r="Y1090" i="34"/>
  <c r="AB1090" i="34"/>
  <c r="AC1090" i="34"/>
  <c r="AD1090" i="34"/>
  <c r="P1091" i="34"/>
  <c r="T1091" i="34"/>
  <c r="U1091" i="34"/>
  <c r="V1091" i="34"/>
  <c r="W1091" i="34"/>
  <c r="Y1091" i="34"/>
  <c r="AB1091" i="34"/>
  <c r="AC1091" i="34"/>
  <c r="AD1091" i="34"/>
  <c r="P1092" i="34"/>
  <c r="T1092" i="34"/>
  <c r="U1092" i="34"/>
  <c r="V1092" i="34"/>
  <c r="W1092" i="34"/>
  <c r="Y1092" i="34"/>
  <c r="AB1092" i="34"/>
  <c r="AC1092" i="34"/>
  <c r="AD1092" i="34"/>
  <c r="P1093" i="34"/>
  <c r="T1093" i="34"/>
  <c r="U1093" i="34"/>
  <c r="V1093" i="34"/>
  <c r="W1093" i="34"/>
  <c r="Y1093" i="34"/>
  <c r="AB1093" i="34"/>
  <c r="AC1093" i="34"/>
  <c r="AD1093" i="34"/>
  <c r="P1094" i="34"/>
  <c r="T1094" i="34"/>
  <c r="U1094" i="34"/>
  <c r="V1094" i="34"/>
  <c r="W1094" i="34"/>
  <c r="Y1094" i="34"/>
  <c r="AB1094" i="34"/>
  <c r="AC1094" i="34"/>
  <c r="P1095" i="34"/>
  <c r="T1095" i="34"/>
  <c r="U1095" i="34"/>
  <c r="V1095" i="34"/>
  <c r="W1095" i="34"/>
  <c r="Y1095" i="34"/>
  <c r="AB1095" i="34"/>
  <c r="AC1095" i="34"/>
  <c r="P1096" i="34"/>
  <c r="T1096" i="34"/>
  <c r="U1096" i="34"/>
  <c r="V1096" i="34"/>
  <c r="W1096" i="34"/>
  <c r="Y1096" i="34"/>
  <c r="AB1096" i="34"/>
  <c r="AC1096" i="34"/>
  <c r="P1097" i="34"/>
  <c r="T1097" i="34"/>
  <c r="U1097" i="34"/>
  <c r="V1097" i="34"/>
  <c r="W1097" i="34"/>
  <c r="Y1097" i="34"/>
  <c r="AB1097" i="34"/>
  <c r="AC1097" i="34"/>
  <c r="P1098" i="34"/>
  <c r="T1098" i="34"/>
  <c r="U1098" i="34"/>
  <c r="V1098" i="34"/>
  <c r="W1098" i="34"/>
  <c r="Y1098" i="34"/>
  <c r="AB1098" i="34"/>
  <c r="AC1098" i="34"/>
  <c r="P1099" i="34"/>
  <c r="T1099" i="34"/>
  <c r="U1099" i="34"/>
  <c r="V1099" i="34"/>
  <c r="W1099" i="34"/>
  <c r="Y1099" i="34"/>
  <c r="AB1099" i="34"/>
  <c r="AC1099" i="34"/>
  <c r="P1100" i="34"/>
  <c r="T1100" i="34"/>
  <c r="U1100" i="34"/>
  <c r="V1100" i="34"/>
  <c r="W1100" i="34"/>
  <c r="Y1100" i="34"/>
  <c r="AB1100" i="34"/>
  <c r="AC1100" i="34"/>
  <c r="P1101" i="34"/>
  <c r="T1101" i="34"/>
  <c r="U1101" i="34"/>
  <c r="V1101" i="34"/>
  <c r="W1101" i="34"/>
  <c r="Y1101" i="34"/>
  <c r="AB1101" i="34"/>
  <c r="AC1101" i="34"/>
  <c r="P1102" i="34"/>
  <c r="T1102" i="34"/>
  <c r="U1102" i="34"/>
  <c r="V1102" i="34"/>
  <c r="W1102" i="34"/>
  <c r="Y1102" i="34"/>
  <c r="AB1102" i="34"/>
  <c r="AC1102" i="34"/>
  <c r="P1103" i="34"/>
  <c r="T1103" i="34"/>
  <c r="U1103" i="34"/>
  <c r="V1103" i="34"/>
  <c r="W1103" i="34"/>
  <c r="Y1103" i="34"/>
  <c r="AB1103" i="34"/>
  <c r="AC1103" i="34"/>
  <c r="P1143" i="34"/>
  <c r="T1143" i="34"/>
  <c r="U1143" i="34"/>
  <c r="V1143" i="34"/>
  <c r="W1143" i="34"/>
  <c r="Y1143" i="34"/>
  <c r="AB1143" i="34"/>
  <c r="AC1143" i="34"/>
  <c r="AD1143" i="34"/>
  <c r="P1144" i="34"/>
  <c r="T1144" i="34"/>
  <c r="U1144" i="34"/>
  <c r="V1144" i="34"/>
  <c r="W1144" i="34"/>
  <c r="Y1144" i="34"/>
  <c r="AB1144" i="34"/>
  <c r="AC1144" i="34"/>
  <c r="AD1144" i="34"/>
  <c r="P1145" i="34"/>
  <c r="T1145" i="34"/>
  <c r="U1145" i="34"/>
  <c r="V1145" i="34"/>
  <c r="W1145" i="34"/>
  <c r="Y1145" i="34"/>
  <c r="AB1145" i="34"/>
  <c r="AC1145" i="34"/>
  <c r="AD1145" i="34"/>
  <c r="P1146" i="34"/>
  <c r="T1146" i="34"/>
  <c r="U1146" i="34"/>
  <c r="V1146" i="34"/>
  <c r="W1146" i="34"/>
  <c r="Y1146" i="34"/>
  <c r="AB1146" i="34"/>
  <c r="AC1146" i="34"/>
  <c r="AD1146" i="34"/>
  <c r="P1147" i="34"/>
  <c r="T1147" i="34"/>
  <c r="U1147" i="34"/>
  <c r="V1147" i="34"/>
  <c r="W1147" i="34"/>
  <c r="Y1147" i="34"/>
  <c r="AB1147" i="34"/>
  <c r="AC1147" i="34"/>
  <c r="AD1147" i="34"/>
  <c r="P1148" i="34"/>
  <c r="T1148" i="34"/>
  <c r="U1148" i="34"/>
  <c r="V1148" i="34"/>
  <c r="W1148" i="34"/>
  <c r="Y1148" i="34"/>
  <c r="AB1148" i="34"/>
  <c r="AC1148" i="34"/>
  <c r="AD1148" i="34"/>
  <c r="P1149" i="34"/>
  <c r="T1149" i="34"/>
  <c r="U1149" i="34"/>
  <c r="V1149" i="34"/>
  <c r="W1149" i="34"/>
  <c r="Y1149" i="34"/>
  <c r="AB1149" i="34"/>
  <c r="AC1149" i="34"/>
  <c r="AD1149" i="34"/>
  <c r="P1150" i="34"/>
  <c r="T1150" i="34"/>
  <c r="U1150" i="34"/>
  <c r="V1150" i="34"/>
  <c r="W1150" i="34"/>
  <c r="Y1150" i="34"/>
  <c r="AB1150" i="34"/>
  <c r="AC1150" i="34"/>
  <c r="AD1150" i="34"/>
  <c r="P1151" i="34"/>
  <c r="T1151" i="34"/>
  <c r="U1151" i="34"/>
  <c r="V1151" i="34"/>
  <c r="W1151" i="34"/>
  <c r="Y1151" i="34"/>
  <c r="AB1151" i="34"/>
  <c r="AC1151" i="34"/>
  <c r="AD1151" i="34"/>
  <c r="P1152" i="34"/>
  <c r="T1152" i="34"/>
  <c r="U1152" i="34"/>
  <c r="V1152" i="34"/>
  <c r="W1152" i="34"/>
  <c r="Y1152" i="34"/>
  <c r="AB1152" i="34"/>
  <c r="AC1152" i="34"/>
  <c r="AD1152" i="34"/>
  <c r="P1153" i="34"/>
  <c r="T1153" i="34"/>
  <c r="U1153" i="34"/>
  <c r="V1153" i="34"/>
  <c r="W1153" i="34"/>
  <c r="Y1153" i="34"/>
  <c r="AB1153" i="34"/>
  <c r="AC1153" i="34"/>
  <c r="AD1153" i="34"/>
  <c r="P1154" i="34"/>
  <c r="T1154" i="34"/>
  <c r="U1154" i="34"/>
  <c r="V1154" i="34"/>
  <c r="W1154" i="34"/>
  <c r="Y1154" i="34"/>
  <c r="AB1154" i="34"/>
  <c r="AC1154" i="34"/>
  <c r="AD1154" i="34"/>
  <c r="P1155" i="34"/>
  <c r="T1155" i="34"/>
  <c r="U1155" i="34"/>
  <c r="V1155" i="34"/>
  <c r="W1155" i="34"/>
  <c r="Y1155" i="34"/>
  <c r="AB1155" i="34"/>
  <c r="AC1155" i="34"/>
  <c r="AD1155" i="34"/>
  <c r="P1156" i="34"/>
  <c r="T1156" i="34"/>
  <c r="U1156" i="34"/>
  <c r="V1156" i="34"/>
  <c r="W1156" i="34"/>
  <c r="Y1156" i="34"/>
  <c r="AB1156" i="34"/>
  <c r="AC1156" i="34"/>
  <c r="AD1156" i="34"/>
  <c r="P1157" i="34"/>
  <c r="T1157" i="34"/>
  <c r="U1157" i="34"/>
  <c r="V1157" i="34"/>
  <c r="W1157" i="34"/>
  <c r="Y1157" i="34"/>
  <c r="AB1157" i="34"/>
  <c r="AC1157" i="34"/>
  <c r="AD1157" i="34"/>
  <c r="P1158" i="34"/>
  <c r="T1158" i="34"/>
  <c r="U1158" i="34"/>
  <c r="V1158" i="34"/>
  <c r="W1158" i="34"/>
  <c r="Y1158" i="34"/>
  <c r="AB1158" i="34"/>
  <c r="AC1158" i="34"/>
  <c r="AD1158" i="34"/>
  <c r="P1159" i="34"/>
  <c r="T1159" i="34"/>
  <c r="U1159" i="34"/>
  <c r="V1159" i="34"/>
  <c r="W1159" i="34"/>
  <c r="Y1159" i="34"/>
  <c r="AB1159" i="34"/>
  <c r="AC1159" i="34"/>
  <c r="AD1159" i="34"/>
  <c r="P1160" i="34"/>
  <c r="T1160" i="34"/>
  <c r="U1160" i="34"/>
  <c r="V1160" i="34"/>
  <c r="W1160" i="34"/>
  <c r="Y1160" i="34"/>
  <c r="AB1160" i="34"/>
  <c r="AC1160" i="34"/>
  <c r="AD1160" i="34"/>
  <c r="P1161" i="34"/>
  <c r="T1161" i="34"/>
  <c r="U1161" i="34"/>
  <c r="V1161" i="34"/>
  <c r="W1161" i="34"/>
  <c r="Y1161" i="34"/>
  <c r="AB1161" i="34"/>
  <c r="AC1161" i="34"/>
  <c r="AD1161" i="34"/>
  <c r="P1162" i="34"/>
  <c r="T1162" i="34"/>
  <c r="U1162" i="34"/>
  <c r="V1162" i="34"/>
  <c r="W1162" i="34"/>
  <c r="Y1162" i="34"/>
  <c r="AB1162" i="34"/>
  <c r="AC1162" i="34"/>
  <c r="AD1162" i="34"/>
  <c r="P1163" i="34"/>
  <c r="T1163" i="34"/>
  <c r="U1163" i="34"/>
  <c r="V1163" i="34"/>
  <c r="W1163" i="34"/>
  <c r="Y1163" i="34"/>
  <c r="AB1163" i="34"/>
  <c r="AC1163" i="34"/>
  <c r="AD1163" i="34"/>
  <c r="P1164" i="34"/>
  <c r="T1164" i="34"/>
  <c r="U1164" i="34"/>
  <c r="V1164" i="34"/>
  <c r="W1164" i="34"/>
  <c r="Y1164" i="34"/>
  <c r="AB1164" i="34"/>
  <c r="AC1164" i="34"/>
  <c r="AD1164" i="34"/>
  <c r="P1165" i="34"/>
  <c r="T1165" i="34"/>
  <c r="U1165" i="34"/>
  <c r="V1165" i="34"/>
  <c r="W1165" i="34"/>
  <c r="Y1165" i="34"/>
  <c r="AB1165" i="34"/>
  <c r="AC1165" i="34"/>
  <c r="AD1165" i="34"/>
  <c r="P1166" i="34"/>
  <c r="T1166" i="34"/>
  <c r="U1166" i="34"/>
  <c r="V1166" i="34"/>
  <c r="W1166" i="34"/>
  <c r="Y1166" i="34"/>
  <c r="AB1166" i="34"/>
  <c r="AC1166" i="34"/>
  <c r="AD1166" i="34"/>
  <c r="P1167" i="34"/>
  <c r="T1167" i="34"/>
  <c r="U1167" i="34"/>
  <c r="V1167" i="34"/>
  <c r="W1167" i="34"/>
  <c r="Y1167" i="34"/>
  <c r="AB1167" i="34"/>
  <c r="AC1167" i="34"/>
  <c r="P1168" i="34"/>
  <c r="T1168" i="34"/>
  <c r="U1168" i="34"/>
  <c r="V1168" i="34"/>
  <c r="W1168" i="34"/>
  <c r="Y1168" i="34"/>
  <c r="AB1168" i="34"/>
  <c r="AC1168" i="34"/>
  <c r="P1169" i="34"/>
  <c r="T1169" i="34"/>
  <c r="U1169" i="34"/>
  <c r="V1169" i="34"/>
  <c r="W1169" i="34"/>
  <c r="Y1169" i="34"/>
  <c r="AB1169" i="34"/>
  <c r="AC1169" i="34"/>
  <c r="P1170" i="34"/>
  <c r="T1170" i="34"/>
  <c r="U1170" i="34"/>
  <c r="V1170" i="34"/>
  <c r="W1170" i="34"/>
  <c r="Y1170" i="34"/>
  <c r="AB1170" i="34"/>
  <c r="AC1170" i="34"/>
  <c r="P1171" i="34"/>
  <c r="T1171" i="34"/>
  <c r="U1171" i="34"/>
  <c r="V1171" i="34"/>
  <c r="W1171" i="34"/>
  <c r="Y1171" i="34"/>
  <c r="AB1171" i="34"/>
  <c r="AC1171" i="34"/>
  <c r="P1172" i="34"/>
  <c r="T1172" i="34"/>
  <c r="U1172" i="34"/>
  <c r="V1172" i="34"/>
  <c r="W1172" i="34"/>
  <c r="Y1172" i="34"/>
  <c r="AB1172" i="34"/>
  <c r="AC1172" i="34"/>
  <c r="P1173" i="34"/>
  <c r="T1173" i="34"/>
  <c r="U1173" i="34"/>
  <c r="V1173" i="34"/>
  <c r="W1173" i="34"/>
  <c r="Y1173" i="34"/>
  <c r="AB1173" i="34"/>
  <c r="AC1173" i="34"/>
  <c r="P1174" i="34"/>
  <c r="T1174" i="34"/>
  <c r="U1174" i="34"/>
  <c r="V1174" i="34"/>
  <c r="W1174" i="34"/>
  <c r="Y1174" i="34"/>
  <c r="AB1174" i="34"/>
  <c r="AC1174" i="34"/>
  <c r="P1175" i="34"/>
  <c r="T1175" i="34"/>
  <c r="U1175" i="34"/>
  <c r="V1175" i="34"/>
  <c r="W1175" i="34"/>
  <c r="Y1175" i="34"/>
  <c r="AB1175" i="34"/>
  <c r="AC1175" i="34"/>
  <c r="P1176" i="34"/>
  <c r="T1176" i="34"/>
  <c r="U1176" i="34"/>
  <c r="V1176" i="34"/>
  <c r="W1176" i="34"/>
  <c r="Y1176" i="34"/>
  <c r="AB1176" i="34"/>
  <c r="AC1176" i="34"/>
  <c r="P1177" i="34"/>
  <c r="T1177" i="34"/>
  <c r="U1177" i="34"/>
  <c r="V1177" i="34"/>
  <c r="W1177" i="34"/>
  <c r="Y1177" i="34"/>
  <c r="AB1177" i="34"/>
  <c r="AC1177" i="34"/>
  <c r="P1178" i="34"/>
  <c r="T1178" i="34"/>
  <c r="U1178" i="34"/>
  <c r="V1178" i="34"/>
  <c r="W1178" i="34"/>
  <c r="Y1178" i="34"/>
  <c r="AB1178" i="34"/>
  <c r="AC1178" i="34"/>
  <c r="P1179" i="34"/>
  <c r="T1179" i="34"/>
  <c r="U1179" i="34"/>
  <c r="V1179" i="34"/>
  <c r="W1179" i="34"/>
  <c r="Y1179" i="34"/>
  <c r="AB1179" i="34"/>
  <c r="AC1179" i="34"/>
  <c r="P1180" i="34"/>
  <c r="T1180" i="34"/>
  <c r="U1180" i="34"/>
  <c r="V1180" i="34"/>
  <c r="W1180" i="34"/>
  <c r="Y1180" i="34"/>
  <c r="AB1180" i="34"/>
  <c r="AC1180" i="34"/>
  <c r="P1181" i="34"/>
  <c r="T1181" i="34"/>
  <c r="U1181" i="34"/>
  <c r="V1181" i="34"/>
  <c r="W1181" i="34"/>
  <c r="Y1181" i="34"/>
  <c r="AB1181" i="34"/>
  <c r="AC1181" i="34"/>
  <c r="P1182" i="34"/>
  <c r="T1182" i="34"/>
  <c r="U1182" i="34"/>
  <c r="V1182" i="34"/>
  <c r="W1182" i="34"/>
  <c r="Y1182" i="34"/>
  <c r="AB1182" i="34"/>
  <c r="AC1182" i="34"/>
  <c r="P1183" i="34"/>
  <c r="T1183" i="34"/>
  <c r="U1183" i="34"/>
  <c r="V1183" i="34"/>
  <c r="W1183" i="34"/>
  <c r="Y1183" i="34"/>
  <c r="AB1183" i="34"/>
  <c r="AC1183" i="34"/>
  <c r="P1184" i="34"/>
  <c r="T1184" i="34"/>
  <c r="U1184" i="34"/>
  <c r="V1184" i="34"/>
  <c r="W1184" i="34"/>
  <c r="Y1184" i="34"/>
  <c r="AB1184" i="34"/>
  <c r="AC1184" i="34"/>
  <c r="P1185" i="34"/>
  <c r="T1185" i="34"/>
  <c r="U1185" i="34"/>
  <c r="V1185" i="34"/>
  <c r="W1185" i="34"/>
  <c r="Y1185" i="34"/>
  <c r="AB1185" i="34"/>
  <c r="AC1185" i="34"/>
  <c r="P1186" i="34"/>
  <c r="T1186" i="34"/>
  <c r="U1186" i="34"/>
  <c r="V1186" i="34"/>
  <c r="W1186" i="34"/>
  <c r="Y1186" i="34"/>
  <c r="AB1186" i="34"/>
  <c r="AC1186" i="34"/>
  <c r="AD1186" i="34"/>
  <c r="P1187" i="34"/>
  <c r="T1187" i="34"/>
  <c r="U1187" i="34"/>
  <c r="V1187" i="34"/>
  <c r="W1187" i="34"/>
  <c r="Y1187" i="34"/>
  <c r="AB1187" i="34"/>
  <c r="AC1187" i="34"/>
  <c r="AD1187" i="34"/>
  <c r="P1188" i="34"/>
  <c r="T1188" i="34"/>
  <c r="U1188" i="34"/>
  <c r="V1188" i="34"/>
  <c r="W1188" i="34"/>
  <c r="Y1188" i="34"/>
  <c r="AB1188" i="34"/>
  <c r="AC1188" i="34"/>
  <c r="AD1188" i="34"/>
  <c r="P1189" i="34"/>
  <c r="T1189" i="34"/>
  <c r="U1189" i="34"/>
  <c r="V1189" i="34"/>
  <c r="W1189" i="34"/>
  <c r="Y1189" i="34"/>
  <c r="AB1189" i="34"/>
  <c r="AC1189" i="34"/>
  <c r="AD1189" i="34"/>
  <c r="P1190" i="34"/>
  <c r="T1190" i="34"/>
  <c r="U1190" i="34"/>
  <c r="V1190" i="34"/>
  <c r="W1190" i="34"/>
  <c r="Y1190" i="34"/>
  <c r="AB1190" i="34"/>
  <c r="AC1190" i="34"/>
  <c r="AD1190" i="34"/>
  <c r="P1191" i="34"/>
  <c r="T1191" i="34"/>
  <c r="U1191" i="34"/>
  <c r="V1191" i="34"/>
  <c r="W1191" i="34"/>
  <c r="Y1191" i="34"/>
  <c r="AB1191" i="34"/>
  <c r="AC1191" i="34"/>
  <c r="AD1191" i="34"/>
  <c r="P1192" i="34"/>
  <c r="T1192" i="34"/>
  <c r="U1192" i="34"/>
  <c r="V1192" i="34"/>
  <c r="W1192" i="34"/>
  <c r="Y1192" i="34"/>
  <c r="AB1192" i="34"/>
  <c r="AC1192" i="34"/>
  <c r="AD1192" i="34"/>
  <c r="P1193" i="34"/>
  <c r="T1193" i="34"/>
  <c r="U1193" i="34"/>
  <c r="V1193" i="34"/>
  <c r="W1193" i="34"/>
  <c r="Y1193" i="34"/>
  <c r="AB1193" i="34"/>
  <c r="AC1193" i="34"/>
  <c r="AD1193" i="34"/>
  <c r="P1194" i="34"/>
  <c r="T1194" i="34"/>
  <c r="U1194" i="34"/>
  <c r="V1194" i="34"/>
  <c r="W1194" i="34"/>
  <c r="Y1194" i="34"/>
  <c r="AB1194" i="34"/>
  <c r="AC1194" i="34"/>
  <c r="AD1194" i="34"/>
  <c r="P1195" i="34"/>
  <c r="T1195" i="34"/>
  <c r="U1195" i="34"/>
  <c r="V1195" i="34"/>
  <c r="W1195" i="34"/>
  <c r="Y1195" i="34"/>
  <c r="AB1195" i="34"/>
  <c r="AC1195" i="34"/>
  <c r="AD1195" i="34"/>
  <c r="P1196" i="34"/>
  <c r="T1196" i="34"/>
  <c r="U1196" i="34"/>
  <c r="V1196" i="34"/>
  <c r="W1196" i="34"/>
  <c r="Y1196" i="34"/>
  <c r="AB1196" i="34"/>
  <c r="AC1196" i="34"/>
  <c r="AD1196" i="34"/>
  <c r="P1197" i="34"/>
  <c r="T1197" i="34"/>
  <c r="U1197" i="34"/>
  <c r="V1197" i="34"/>
  <c r="W1197" i="34"/>
  <c r="Y1197" i="34"/>
  <c r="AB1197" i="34"/>
  <c r="AC1197" i="34"/>
  <c r="AD1197" i="34"/>
  <c r="P1198" i="34"/>
  <c r="T1198" i="34"/>
  <c r="U1198" i="34"/>
  <c r="V1198" i="34"/>
  <c r="W1198" i="34"/>
  <c r="Y1198" i="34"/>
  <c r="AB1198" i="34"/>
  <c r="AC1198" i="34"/>
  <c r="AD1198" i="34"/>
  <c r="P1199" i="34"/>
  <c r="T1199" i="34"/>
  <c r="U1199" i="34"/>
  <c r="V1199" i="34"/>
  <c r="W1199" i="34"/>
  <c r="Y1199" i="34"/>
  <c r="AB1199" i="34"/>
  <c r="AC1199" i="34"/>
  <c r="AD1199" i="34"/>
  <c r="P1200" i="34"/>
  <c r="T1200" i="34"/>
  <c r="U1200" i="34"/>
  <c r="V1200" i="34"/>
  <c r="W1200" i="34"/>
  <c r="Y1200" i="34"/>
  <c r="AB1200" i="34"/>
  <c r="AC1200" i="34"/>
  <c r="AD1200" i="34"/>
  <c r="P1201" i="34"/>
  <c r="T1201" i="34"/>
  <c r="U1201" i="34"/>
  <c r="V1201" i="34"/>
  <c r="W1201" i="34"/>
  <c r="Y1201" i="34"/>
  <c r="AB1201" i="34"/>
  <c r="AC1201" i="34"/>
  <c r="AD1201" i="34"/>
  <c r="P1202" i="34"/>
  <c r="T1202" i="34"/>
  <c r="U1202" i="34"/>
  <c r="V1202" i="34"/>
  <c r="W1202" i="34"/>
  <c r="Y1202" i="34"/>
  <c r="AB1202" i="34"/>
  <c r="AC1202" i="34"/>
  <c r="AD1202" i="34"/>
  <c r="P1203" i="34"/>
  <c r="T1203" i="34"/>
  <c r="U1203" i="34"/>
  <c r="V1203" i="34"/>
  <c r="W1203" i="34"/>
  <c r="Y1203" i="34"/>
  <c r="AB1203" i="34"/>
  <c r="AC1203" i="34"/>
  <c r="AD1203" i="34"/>
  <c r="P1204" i="34"/>
  <c r="T1204" i="34"/>
  <c r="U1204" i="34"/>
  <c r="V1204" i="34"/>
  <c r="W1204" i="34"/>
  <c r="Y1204" i="34"/>
  <c r="AB1204" i="34"/>
  <c r="AC1204" i="34"/>
  <c r="AD1204" i="34"/>
  <c r="P1205" i="34"/>
  <c r="T1205" i="34"/>
  <c r="U1205" i="34"/>
  <c r="V1205" i="34"/>
  <c r="W1205" i="34"/>
  <c r="Y1205" i="34"/>
  <c r="AB1205" i="34"/>
  <c r="AC1205" i="34"/>
  <c r="AD1205" i="34"/>
  <c r="P1206" i="34"/>
  <c r="T1206" i="34"/>
  <c r="U1206" i="34"/>
  <c r="V1206" i="34"/>
  <c r="W1206" i="34"/>
  <c r="Y1206" i="34"/>
  <c r="AB1206" i="34"/>
  <c r="AC1206" i="34"/>
  <c r="AD1206" i="34"/>
  <c r="P1207" i="34"/>
  <c r="T1207" i="34"/>
  <c r="U1207" i="34"/>
  <c r="V1207" i="34"/>
  <c r="W1207" i="34"/>
  <c r="Y1207" i="34"/>
  <c r="AB1207" i="34"/>
  <c r="AC1207" i="34"/>
  <c r="AD1207" i="34"/>
  <c r="P1208" i="34"/>
  <c r="T1208" i="34"/>
  <c r="U1208" i="34"/>
  <c r="V1208" i="34"/>
  <c r="W1208" i="34"/>
  <c r="Y1208" i="34"/>
  <c r="AB1208" i="34"/>
  <c r="AC1208" i="34"/>
  <c r="AD1208" i="34"/>
  <c r="P1209" i="34"/>
  <c r="T1209" i="34"/>
  <c r="U1209" i="34"/>
  <c r="V1209" i="34"/>
  <c r="W1209" i="34"/>
  <c r="Y1209" i="34"/>
  <c r="AB1209" i="34"/>
  <c r="AC1209" i="34"/>
  <c r="AD1209" i="34"/>
  <c r="P1210" i="34"/>
  <c r="T1210" i="34"/>
  <c r="U1210" i="34"/>
  <c r="V1210" i="34"/>
  <c r="W1210" i="34"/>
  <c r="Y1210" i="34"/>
  <c r="AB1210" i="34"/>
  <c r="AC1210" i="34"/>
  <c r="AD1210" i="34"/>
  <c r="P1211" i="34"/>
  <c r="T1211" i="34"/>
  <c r="U1211" i="34"/>
  <c r="V1211" i="34"/>
  <c r="W1211" i="34"/>
  <c r="Y1211" i="34"/>
  <c r="AB1211" i="34"/>
  <c r="AC1211" i="34"/>
  <c r="AD1211" i="34"/>
  <c r="P1212" i="34"/>
  <c r="T1212" i="34"/>
  <c r="U1212" i="34"/>
  <c r="V1212" i="34"/>
  <c r="W1212" i="34"/>
  <c r="Y1212" i="34"/>
  <c r="AB1212" i="34"/>
  <c r="AC1212" i="34"/>
  <c r="AD1212" i="34"/>
  <c r="P1213" i="34"/>
  <c r="T1213" i="34"/>
  <c r="U1213" i="34"/>
  <c r="V1213" i="34"/>
  <c r="W1213" i="34"/>
  <c r="Y1213" i="34"/>
  <c r="AB1213" i="34"/>
  <c r="AC1213" i="34"/>
  <c r="AD1213" i="34"/>
  <c r="P1214" i="34"/>
  <c r="T1214" i="34"/>
  <c r="U1214" i="34"/>
  <c r="V1214" i="34"/>
  <c r="W1214" i="34"/>
  <c r="Y1214" i="34"/>
  <c r="AB1214" i="34"/>
  <c r="AC1214" i="34"/>
  <c r="AD1214" i="34"/>
  <c r="P1215" i="34"/>
  <c r="T1215" i="34"/>
  <c r="U1215" i="34"/>
  <c r="V1215" i="34"/>
  <c r="W1215" i="34"/>
  <c r="Y1215" i="34"/>
  <c r="AB1215" i="34"/>
  <c r="AC1215" i="34"/>
  <c r="AD1215" i="34"/>
  <c r="P1216" i="34"/>
  <c r="T1216" i="34"/>
  <c r="U1216" i="34"/>
  <c r="V1216" i="34"/>
  <c r="W1216" i="34"/>
  <c r="Y1216" i="34"/>
  <c r="AB1216" i="34"/>
  <c r="AC1216" i="34"/>
  <c r="P1217" i="34"/>
  <c r="T1217" i="34"/>
  <c r="U1217" i="34"/>
  <c r="V1217" i="34"/>
  <c r="W1217" i="34"/>
  <c r="Y1217" i="34"/>
  <c r="AB1217" i="34"/>
  <c r="AC1217" i="34"/>
  <c r="P1218" i="34"/>
  <c r="T1218" i="34"/>
  <c r="U1218" i="34"/>
  <c r="V1218" i="34"/>
  <c r="W1218" i="34"/>
  <c r="Y1218" i="34"/>
  <c r="AB1218" i="34"/>
  <c r="AC1218" i="34"/>
  <c r="P1219" i="34"/>
  <c r="T1219" i="34"/>
  <c r="U1219" i="34"/>
  <c r="V1219" i="34"/>
  <c r="W1219" i="34"/>
  <c r="Y1219" i="34"/>
  <c r="AB1219" i="34"/>
  <c r="AC1219" i="34"/>
  <c r="P1220" i="34"/>
  <c r="T1220" i="34"/>
  <c r="U1220" i="34"/>
  <c r="V1220" i="34"/>
  <c r="W1220" i="34"/>
  <c r="Y1220" i="34"/>
  <c r="AB1220" i="34"/>
  <c r="AC1220" i="34"/>
  <c r="P1221" i="34"/>
  <c r="T1221" i="34"/>
  <c r="U1221" i="34"/>
  <c r="V1221" i="34"/>
  <c r="W1221" i="34"/>
  <c r="Y1221" i="34"/>
  <c r="AB1221" i="34"/>
  <c r="AC1221" i="34"/>
  <c r="P1222" i="34"/>
  <c r="T1222" i="34"/>
  <c r="U1222" i="34"/>
  <c r="V1222" i="34"/>
  <c r="W1222" i="34"/>
  <c r="Y1222" i="34"/>
  <c r="AB1222" i="34"/>
  <c r="AC1222" i="34"/>
  <c r="P1223" i="34"/>
  <c r="T1223" i="34"/>
  <c r="U1223" i="34"/>
  <c r="V1223" i="34"/>
  <c r="W1223" i="34"/>
  <c r="Y1223" i="34"/>
  <c r="AB1223" i="34"/>
  <c r="AC1223" i="34"/>
  <c r="P1224" i="34"/>
  <c r="T1224" i="34"/>
  <c r="U1224" i="34"/>
  <c r="V1224" i="34"/>
  <c r="W1224" i="34"/>
  <c r="Y1224" i="34"/>
  <c r="AB1224" i="34"/>
  <c r="AC1224" i="34"/>
  <c r="P1225" i="34"/>
  <c r="T1225" i="34"/>
  <c r="U1225" i="34"/>
  <c r="V1225" i="34"/>
  <c r="W1225" i="34"/>
  <c r="Y1225" i="34"/>
  <c r="AB1225" i="34"/>
  <c r="AC1225" i="34"/>
  <c r="P1226" i="34"/>
  <c r="T1226" i="34"/>
  <c r="U1226" i="34"/>
  <c r="V1226" i="34"/>
  <c r="W1226" i="34"/>
  <c r="Y1226" i="34"/>
  <c r="AB1226" i="34"/>
  <c r="AC1226" i="34"/>
  <c r="P1267" i="34"/>
  <c r="T1267" i="34"/>
  <c r="U1267" i="34"/>
  <c r="V1267" i="34"/>
  <c r="W1267" i="34"/>
  <c r="Y1267" i="34"/>
  <c r="AB1267" i="34"/>
  <c r="AC1267" i="34"/>
  <c r="AD1267" i="34"/>
  <c r="P1268" i="34"/>
  <c r="T1268" i="34"/>
  <c r="U1268" i="34"/>
  <c r="V1268" i="34"/>
  <c r="W1268" i="34"/>
  <c r="Y1268" i="34"/>
  <c r="AB1268" i="34"/>
  <c r="AC1268" i="34"/>
  <c r="AD1268" i="34"/>
  <c r="P1269" i="34"/>
  <c r="T1269" i="34"/>
  <c r="U1269" i="34"/>
  <c r="V1269" i="34"/>
  <c r="W1269" i="34"/>
  <c r="Y1269" i="34"/>
  <c r="AB1269" i="34"/>
  <c r="AC1269" i="34"/>
  <c r="AD1269" i="34"/>
  <c r="P1270" i="34"/>
  <c r="T1270" i="34"/>
  <c r="U1270" i="34"/>
  <c r="V1270" i="34"/>
  <c r="W1270" i="34"/>
  <c r="Y1270" i="34"/>
  <c r="AB1270" i="34"/>
  <c r="AC1270" i="34"/>
  <c r="AD1270" i="34"/>
  <c r="P1271" i="34"/>
  <c r="T1271" i="34"/>
  <c r="U1271" i="34"/>
  <c r="V1271" i="34"/>
  <c r="W1271" i="34"/>
  <c r="Y1271" i="34"/>
  <c r="AB1271" i="34"/>
  <c r="AC1271" i="34"/>
  <c r="AD1271" i="34"/>
  <c r="P1272" i="34"/>
  <c r="T1272" i="34"/>
  <c r="U1272" i="34"/>
  <c r="V1272" i="34"/>
  <c r="W1272" i="34"/>
  <c r="Y1272" i="34"/>
  <c r="AB1272" i="34"/>
  <c r="AC1272" i="34"/>
  <c r="AD1272" i="34"/>
  <c r="P1273" i="34"/>
  <c r="T1273" i="34"/>
  <c r="U1273" i="34"/>
  <c r="V1273" i="34"/>
  <c r="W1273" i="34"/>
  <c r="Y1273" i="34"/>
  <c r="AB1273" i="34"/>
  <c r="AC1273" i="34"/>
  <c r="AD1273" i="34"/>
  <c r="P1274" i="34"/>
  <c r="T1274" i="34"/>
  <c r="U1274" i="34"/>
  <c r="V1274" i="34"/>
  <c r="W1274" i="34"/>
  <c r="Y1274" i="34"/>
  <c r="AB1274" i="34"/>
  <c r="AC1274" i="34"/>
  <c r="AD1274" i="34"/>
  <c r="P1275" i="34"/>
  <c r="T1275" i="34"/>
  <c r="U1275" i="34"/>
  <c r="V1275" i="34"/>
  <c r="W1275" i="34"/>
  <c r="Y1275" i="34"/>
  <c r="AB1275" i="34"/>
  <c r="AC1275" i="34"/>
  <c r="AD1275" i="34"/>
  <c r="P1276" i="34"/>
  <c r="T1276" i="34"/>
  <c r="U1276" i="34"/>
  <c r="V1276" i="34"/>
  <c r="W1276" i="34"/>
  <c r="Y1276" i="34"/>
  <c r="AB1276" i="34"/>
  <c r="AC1276" i="34"/>
  <c r="AD1276" i="34"/>
  <c r="P1277" i="34"/>
  <c r="T1277" i="34"/>
  <c r="U1277" i="34"/>
  <c r="V1277" i="34"/>
  <c r="W1277" i="34"/>
  <c r="Y1277" i="34"/>
  <c r="AB1277" i="34"/>
  <c r="AC1277" i="34"/>
  <c r="AD1277" i="34"/>
  <c r="P1278" i="34"/>
  <c r="T1278" i="34"/>
  <c r="U1278" i="34"/>
  <c r="V1278" i="34"/>
  <c r="W1278" i="34"/>
  <c r="Y1278" i="34"/>
  <c r="AB1278" i="34"/>
  <c r="AC1278" i="34"/>
  <c r="AD1278" i="34"/>
  <c r="P1279" i="34"/>
  <c r="T1279" i="34"/>
  <c r="U1279" i="34"/>
  <c r="V1279" i="34"/>
  <c r="W1279" i="34"/>
  <c r="Y1279" i="34"/>
  <c r="AB1279" i="34"/>
  <c r="AC1279" i="34"/>
  <c r="AD1279" i="34"/>
  <c r="P1280" i="34"/>
  <c r="T1280" i="34"/>
  <c r="U1280" i="34"/>
  <c r="V1280" i="34"/>
  <c r="W1280" i="34"/>
  <c r="Y1280" i="34"/>
  <c r="AB1280" i="34"/>
  <c r="AC1280" i="34"/>
  <c r="AD1280" i="34"/>
  <c r="P1281" i="34"/>
  <c r="T1281" i="34"/>
  <c r="U1281" i="34"/>
  <c r="V1281" i="34"/>
  <c r="W1281" i="34"/>
  <c r="Y1281" i="34"/>
  <c r="AB1281" i="34"/>
  <c r="AC1281" i="34"/>
  <c r="AD1281" i="34"/>
  <c r="P1282" i="34"/>
  <c r="T1282" i="34"/>
  <c r="U1282" i="34"/>
  <c r="V1282" i="34"/>
  <c r="W1282" i="34"/>
  <c r="Y1282" i="34"/>
  <c r="AB1282" i="34"/>
  <c r="AC1282" i="34"/>
  <c r="AD1282" i="34"/>
  <c r="P1283" i="34"/>
  <c r="T1283" i="34"/>
  <c r="U1283" i="34"/>
  <c r="V1283" i="34"/>
  <c r="W1283" i="34"/>
  <c r="Y1283" i="34"/>
  <c r="AB1283" i="34"/>
  <c r="AC1283" i="34"/>
  <c r="AD1283" i="34"/>
  <c r="P1284" i="34"/>
  <c r="T1284" i="34"/>
  <c r="U1284" i="34"/>
  <c r="V1284" i="34"/>
  <c r="W1284" i="34"/>
  <c r="Y1284" i="34"/>
  <c r="AB1284" i="34"/>
  <c r="AC1284" i="34"/>
  <c r="AD1284" i="34"/>
  <c r="P1285" i="34"/>
  <c r="T1285" i="34"/>
  <c r="U1285" i="34"/>
  <c r="V1285" i="34"/>
  <c r="W1285" i="34"/>
  <c r="Y1285" i="34"/>
  <c r="AB1285" i="34"/>
  <c r="AC1285" i="34"/>
  <c r="AD1285" i="34"/>
  <c r="P1286" i="34"/>
  <c r="T1286" i="34"/>
  <c r="U1286" i="34"/>
  <c r="V1286" i="34"/>
  <c r="W1286" i="34"/>
  <c r="Y1286" i="34"/>
  <c r="AB1286" i="34"/>
  <c r="AC1286" i="34"/>
  <c r="AD1286" i="34"/>
  <c r="P1287" i="34"/>
  <c r="T1287" i="34"/>
  <c r="U1287" i="34"/>
  <c r="V1287" i="34"/>
  <c r="W1287" i="34"/>
  <c r="Y1287" i="34"/>
  <c r="AB1287" i="34"/>
  <c r="AC1287" i="34"/>
  <c r="AD1287" i="34"/>
  <c r="P1288" i="34"/>
  <c r="T1288" i="34"/>
  <c r="U1288" i="34"/>
  <c r="V1288" i="34"/>
  <c r="W1288" i="34"/>
  <c r="Y1288" i="34"/>
  <c r="AB1288" i="34"/>
  <c r="AC1288" i="34"/>
  <c r="AD1288" i="34"/>
  <c r="P1289" i="34"/>
  <c r="T1289" i="34"/>
  <c r="U1289" i="34"/>
  <c r="V1289" i="34"/>
  <c r="W1289" i="34"/>
  <c r="Y1289" i="34"/>
  <c r="AB1289" i="34"/>
  <c r="AC1289" i="34"/>
  <c r="AD1289" i="34"/>
  <c r="P1290" i="34"/>
  <c r="T1290" i="34"/>
  <c r="U1290" i="34"/>
  <c r="V1290" i="34"/>
  <c r="W1290" i="34"/>
  <c r="Y1290" i="34"/>
  <c r="AB1290" i="34"/>
  <c r="AC1290" i="34"/>
  <c r="AD1290" i="34"/>
  <c r="P1291" i="34"/>
  <c r="T1291" i="34"/>
  <c r="U1291" i="34"/>
  <c r="V1291" i="34"/>
  <c r="W1291" i="34"/>
  <c r="Y1291" i="34"/>
  <c r="AB1291" i="34"/>
  <c r="AC1291" i="34"/>
  <c r="AD1291" i="34"/>
  <c r="P1292" i="34"/>
  <c r="T1292" i="34"/>
  <c r="U1292" i="34"/>
  <c r="V1292" i="34"/>
  <c r="W1292" i="34"/>
  <c r="Y1292" i="34"/>
  <c r="AB1292" i="34"/>
  <c r="AC1292" i="34"/>
  <c r="P1293" i="34"/>
  <c r="T1293" i="34"/>
  <c r="U1293" i="34"/>
  <c r="V1293" i="34"/>
  <c r="W1293" i="34"/>
  <c r="Y1293" i="34"/>
  <c r="AB1293" i="34"/>
  <c r="AC1293" i="34"/>
  <c r="P1294" i="34"/>
  <c r="T1294" i="34"/>
  <c r="U1294" i="34"/>
  <c r="V1294" i="34"/>
  <c r="W1294" i="34"/>
  <c r="Y1294" i="34"/>
  <c r="AB1294" i="34"/>
  <c r="AC1294" i="34"/>
  <c r="P1295" i="34"/>
  <c r="T1295" i="34"/>
  <c r="U1295" i="34"/>
  <c r="V1295" i="34"/>
  <c r="W1295" i="34"/>
  <c r="Y1295" i="34"/>
  <c r="AB1295" i="34"/>
  <c r="AC1295" i="34"/>
  <c r="P1296" i="34"/>
  <c r="T1296" i="34"/>
  <c r="U1296" i="34"/>
  <c r="V1296" i="34"/>
  <c r="W1296" i="34"/>
  <c r="Y1296" i="34"/>
  <c r="AB1296" i="34"/>
  <c r="AC1296" i="34"/>
  <c r="P1297" i="34"/>
  <c r="T1297" i="34"/>
  <c r="U1297" i="34"/>
  <c r="V1297" i="34"/>
  <c r="W1297" i="34"/>
  <c r="Y1297" i="34"/>
  <c r="AB1297" i="34"/>
  <c r="AC1297" i="34"/>
  <c r="P1298" i="34"/>
  <c r="T1298" i="34"/>
  <c r="U1298" i="34"/>
  <c r="V1298" i="34"/>
  <c r="W1298" i="34"/>
  <c r="Y1298" i="34"/>
  <c r="AB1298" i="34"/>
  <c r="AC1298" i="34"/>
  <c r="P1299" i="34"/>
  <c r="T1299" i="34"/>
  <c r="U1299" i="34"/>
  <c r="V1299" i="34"/>
  <c r="W1299" i="34"/>
  <c r="Y1299" i="34"/>
  <c r="AB1299" i="34"/>
  <c r="AC1299" i="34"/>
  <c r="P1300" i="34"/>
  <c r="T1300" i="34"/>
  <c r="U1300" i="34"/>
  <c r="V1300" i="34"/>
  <c r="W1300" i="34"/>
  <c r="Y1300" i="34"/>
  <c r="AB1300" i="34"/>
  <c r="AC1300" i="34"/>
  <c r="P1301" i="34"/>
  <c r="T1301" i="34"/>
  <c r="U1301" i="34"/>
  <c r="V1301" i="34"/>
  <c r="W1301" i="34"/>
  <c r="Y1301" i="34"/>
  <c r="AB1301" i="34"/>
  <c r="AC1301" i="34"/>
  <c r="P1302" i="34"/>
  <c r="T1302" i="34"/>
  <c r="U1302" i="34"/>
  <c r="V1302" i="34"/>
  <c r="W1302" i="34"/>
  <c r="Y1302" i="34"/>
  <c r="AB1302" i="34"/>
  <c r="AC1302" i="34"/>
  <c r="P1303" i="34"/>
  <c r="T1303" i="34"/>
  <c r="U1303" i="34"/>
  <c r="V1303" i="34"/>
  <c r="W1303" i="34"/>
  <c r="Y1303" i="34"/>
  <c r="AB1303" i="34"/>
  <c r="AC1303" i="34"/>
  <c r="P1304" i="34"/>
  <c r="T1304" i="34"/>
  <c r="U1304" i="34"/>
  <c r="V1304" i="34"/>
  <c r="W1304" i="34"/>
  <c r="Y1304" i="34"/>
  <c r="AB1304" i="34"/>
  <c r="AC1304" i="34"/>
  <c r="P1305" i="34"/>
  <c r="T1305" i="34"/>
  <c r="U1305" i="34"/>
  <c r="V1305" i="34"/>
  <c r="W1305" i="34"/>
  <c r="Y1305" i="34"/>
  <c r="AB1305" i="34"/>
  <c r="AC1305" i="34"/>
  <c r="P1306" i="34"/>
  <c r="T1306" i="34"/>
  <c r="U1306" i="34"/>
  <c r="V1306" i="34"/>
  <c r="W1306" i="34"/>
  <c r="Y1306" i="34"/>
  <c r="AB1306" i="34"/>
  <c r="AC1306" i="34"/>
  <c r="P1307" i="34"/>
  <c r="T1307" i="34"/>
  <c r="U1307" i="34"/>
  <c r="V1307" i="34"/>
  <c r="W1307" i="34"/>
  <c r="Y1307" i="34"/>
  <c r="AB1307" i="34"/>
  <c r="AC1307" i="34"/>
  <c r="P1308" i="34"/>
  <c r="T1308" i="34"/>
  <c r="U1308" i="34"/>
  <c r="V1308" i="34"/>
  <c r="W1308" i="34"/>
  <c r="Y1308" i="34"/>
  <c r="AB1308" i="34"/>
  <c r="AC1308" i="34"/>
  <c r="P1309" i="34"/>
  <c r="T1309" i="34"/>
  <c r="U1309" i="34"/>
  <c r="V1309" i="34"/>
  <c r="W1309" i="34"/>
  <c r="Y1309" i="34"/>
  <c r="AB1309" i="34"/>
  <c r="AC1309" i="34"/>
  <c r="P1310" i="34"/>
  <c r="T1310" i="34"/>
  <c r="U1310" i="34"/>
  <c r="V1310" i="34"/>
  <c r="W1310" i="34"/>
  <c r="Y1310" i="34"/>
  <c r="AB1310" i="34"/>
  <c r="AC1310" i="34"/>
  <c r="P1311" i="34"/>
  <c r="T1311" i="34"/>
  <c r="U1311" i="34"/>
  <c r="V1311" i="34"/>
  <c r="W1311" i="34"/>
  <c r="Y1311" i="34"/>
  <c r="AB1311" i="34"/>
  <c r="AC1311" i="34"/>
  <c r="AD1311" i="34"/>
  <c r="P1312" i="34"/>
  <c r="T1312" i="34"/>
  <c r="U1312" i="34"/>
  <c r="V1312" i="34"/>
  <c r="W1312" i="34"/>
  <c r="Y1312" i="34"/>
  <c r="AB1312" i="34"/>
  <c r="AC1312" i="34"/>
  <c r="AD1312" i="34"/>
  <c r="P1313" i="34"/>
  <c r="T1313" i="34"/>
  <c r="U1313" i="34"/>
  <c r="V1313" i="34"/>
  <c r="W1313" i="34"/>
  <c r="Y1313" i="34"/>
  <c r="AB1313" i="34"/>
  <c r="AC1313" i="34"/>
  <c r="AD1313" i="34"/>
  <c r="P1314" i="34"/>
  <c r="T1314" i="34"/>
  <c r="U1314" i="34"/>
  <c r="V1314" i="34"/>
  <c r="W1314" i="34"/>
  <c r="Y1314" i="34"/>
  <c r="AB1314" i="34"/>
  <c r="AC1314" i="34"/>
  <c r="AD1314" i="34"/>
  <c r="P1315" i="34"/>
  <c r="T1315" i="34"/>
  <c r="U1315" i="34"/>
  <c r="V1315" i="34"/>
  <c r="W1315" i="34"/>
  <c r="Y1315" i="34"/>
  <c r="AB1315" i="34"/>
  <c r="AC1315" i="34"/>
  <c r="AD1315" i="34"/>
  <c r="P1316" i="34"/>
  <c r="T1316" i="34"/>
  <c r="U1316" i="34"/>
  <c r="V1316" i="34"/>
  <c r="W1316" i="34"/>
  <c r="Y1316" i="34"/>
  <c r="AB1316" i="34"/>
  <c r="AC1316" i="34"/>
  <c r="AD1316" i="34"/>
  <c r="P1317" i="34"/>
  <c r="T1317" i="34"/>
  <c r="U1317" i="34"/>
  <c r="V1317" i="34"/>
  <c r="W1317" i="34"/>
  <c r="Y1317" i="34"/>
  <c r="AB1317" i="34"/>
  <c r="AC1317" i="34"/>
  <c r="AD1317" i="34"/>
  <c r="P1318" i="34"/>
  <c r="T1318" i="34"/>
  <c r="U1318" i="34"/>
  <c r="V1318" i="34"/>
  <c r="W1318" i="34"/>
  <c r="Y1318" i="34"/>
  <c r="AB1318" i="34"/>
  <c r="AC1318" i="34"/>
  <c r="AD1318" i="34"/>
  <c r="P1319" i="34"/>
  <c r="T1319" i="34"/>
  <c r="U1319" i="34"/>
  <c r="V1319" i="34"/>
  <c r="W1319" i="34"/>
  <c r="Y1319" i="34"/>
  <c r="AB1319" i="34"/>
  <c r="AC1319" i="34"/>
  <c r="AD1319" i="34"/>
  <c r="P1320" i="34"/>
  <c r="T1320" i="34"/>
  <c r="U1320" i="34"/>
  <c r="V1320" i="34"/>
  <c r="W1320" i="34"/>
  <c r="Y1320" i="34"/>
  <c r="AB1320" i="34"/>
  <c r="AC1320" i="34"/>
  <c r="AD1320" i="34"/>
  <c r="P1321" i="34"/>
  <c r="T1321" i="34"/>
  <c r="U1321" i="34"/>
  <c r="V1321" i="34"/>
  <c r="W1321" i="34"/>
  <c r="Y1321" i="34"/>
  <c r="AB1321" i="34"/>
  <c r="AC1321" i="34"/>
  <c r="AD1321" i="34"/>
  <c r="P1322" i="34"/>
  <c r="T1322" i="34"/>
  <c r="U1322" i="34"/>
  <c r="V1322" i="34"/>
  <c r="W1322" i="34"/>
  <c r="Y1322" i="34"/>
  <c r="AB1322" i="34"/>
  <c r="AC1322" i="34"/>
  <c r="AD1322" i="34"/>
  <c r="P1323" i="34"/>
  <c r="T1323" i="34"/>
  <c r="U1323" i="34"/>
  <c r="V1323" i="34"/>
  <c r="W1323" i="34"/>
  <c r="Y1323" i="34"/>
  <c r="AB1323" i="34"/>
  <c r="AC1323" i="34"/>
  <c r="AD1323" i="34"/>
  <c r="P1324" i="34"/>
  <c r="T1324" i="34"/>
  <c r="U1324" i="34"/>
  <c r="V1324" i="34"/>
  <c r="W1324" i="34"/>
  <c r="Y1324" i="34"/>
  <c r="AB1324" i="34"/>
  <c r="AC1324" i="34"/>
  <c r="AD1324" i="34"/>
  <c r="P1325" i="34"/>
  <c r="T1325" i="34"/>
  <c r="U1325" i="34"/>
  <c r="V1325" i="34"/>
  <c r="W1325" i="34"/>
  <c r="Y1325" i="34"/>
  <c r="AB1325" i="34"/>
  <c r="AC1325" i="34"/>
  <c r="AD1325" i="34"/>
  <c r="P1326" i="34"/>
  <c r="T1326" i="34"/>
  <c r="U1326" i="34"/>
  <c r="V1326" i="34"/>
  <c r="W1326" i="34"/>
  <c r="Y1326" i="34"/>
  <c r="AB1326" i="34"/>
  <c r="AC1326" i="34"/>
  <c r="AD1326" i="34"/>
  <c r="P1327" i="34"/>
  <c r="T1327" i="34"/>
  <c r="U1327" i="34"/>
  <c r="V1327" i="34"/>
  <c r="W1327" i="34"/>
  <c r="Y1327" i="34"/>
  <c r="AB1327" i="34"/>
  <c r="AC1327" i="34"/>
  <c r="AD1327" i="34"/>
  <c r="P1328" i="34"/>
  <c r="T1328" i="34"/>
  <c r="U1328" i="34"/>
  <c r="V1328" i="34"/>
  <c r="W1328" i="34"/>
  <c r="Y1328" i="34"/>
  <c r="AB1328" i="34"/>
  <c r="AC1328" i="34"/>
  <c r="AD1328" i="34"/>
  <c r="P1329" i="34"/>
  <c r="T1329" i="34"/>
  <c r="U1329" i="34"/>
  <c r="V1329" i="34"/>
  <c r="W1329" i="34"/>
  <c r="Y1329" i="34"/>
  <c r="AB1329" i="34"/>
  <c r="AC1329" i="34"/>
  <c r="AD1329" i="34"/>
  <c r="P1330" i="34"/>
  <c r="T1330" i="34"/>
  <c r="U1330" i="34"/>
  <c r="V1330" i="34"/>
  <c r="W1330" i="34"/>
  <c r="Y1330" i="34"/>
  <c r="AB1330" i="34"/>
  <c r="AC1330" i="34"/>
  <c r="AD1330" i="34"/>
  <c r="P1331" i="34"/>
  <c r="T1331" i="34"/>
  <c r="U1331" i="34"/>
  <c r="V1331" i="34"/>
  <c r="W1331" i="34"/>
  <c r="Y1331" i="34"/>
  <c r="AB1331" i="34"/>
  <c r="AC1331" i="34"/>
  <c r="AD1331" i="34"/>
  <c r="P1332" i="34"/>
  <c r="T1332" i="34"/>
  <c r="U1332" i="34"/>
  <c r="V1332" i="34"/>
  <c r="W1332" i="34"/>
  <c r="Y1332" i="34"/>
  <c r="AB1332" i="34"/>
  <c r="AC1332" i="34"/>
  <c r="AD1332" i="34"/>
  <c r="P1333" i="34"/>
  <c r="T1333" i="34"/>
  <c r="U1333" i="34"/>
  <c r="V1333" i="34"/>
  <c r="W1333" i="34"/>
  <c r="Y1333" i="34"/>
  <c r="AB1333" i="34"/>
  <c r="AC1333" i="34"/>
  <c r="AD1333" i="34"/>
  <c r="P1334" i="34"/>
  <c r="T1334" i="34"/>
  <c r="U1334" i="34"/>
  <c r="V1334" i="34"/>
  <c r="W1334" i="34"/>
  <c r="Y1334" i="34"/>
  <c r="AB1334" i="34"/>
  <c r="AC1334" i="34"/>
  <c r="AD1334" i="34"/>
  <c r="P1335" i="34"/>
  <c r="T1335" i="34"/>
  <c r="U1335" i="34"/>
  <c r="V1335" i="34"/>
  <c r="W1335" i="34"/>
  <c r="Y1335" i="34"/>
  <c r="AB1335" i="34"/>
  <c r="AC1335" i="34"/>
  <c r="AD1335" i="34"/>
  <c r="P1336" i="34"/>
  <c r="T1336" i="34"/>
  <c r="U1336" i="34"/>
  <c r="V1336" i="34"/>
  <c r="W1336" i="34"/>
  <c r="Y1336" i="34"/>
  <c r="AB1336" i="34"/>
  <c r="AC1336" i="34"/>
  <c r="AD1336" i="34"/>
  <c r="P1337" i="34"/>
  <c r="T1337" i="34"/>
  <c r="U1337" i="34"/>
  <c r="V1337" i="34"/>
  <c r="W1337" i="34"/>
  <c r="Y1337" i="34"/>
  <c r="AB1337" i="34"/>
  <c r="AC1337" i="34"/>
  <c r="AD1337" i="34"/>
  <c r="P1338" i="34"/>
  <c r="T1338" i="34"/>
  <c r="U1338" i="34"/>
  <c r="V1338" i="34"/>
  <c r="W1338" i="34"/>
  <c r="Y1338" i="34"/>
  <c r="AB1338" i="34"/>
  <c r="AC1338" i="34"/>
  <c r="AD1338" i="34"/>
  <c r="P1339" i="34"/>
  <c r="T1339" i="34"/>
  <c r="U1339" i="34"/>
  <c r="V1339" i="34"/>
  <c r="W1339" i="34"/>
  <c r="Y1339" i="34"/>
  <c r="AB1339" i="34"/>
  <c r="AC1339" i="34"/>
  <c r="AD1339" i="34"/>
  <c r="P1340" i="34"/>
  <c r="T1340" i="34"/>
  <c r="U1340" i="34"/>
  <c r="V1340" i="34"/>
  <c r="W1340" i="34"/>
  <c r="Y1340" i="34"/>
  <c r="AB1340" i="34"/>
  <c r="AC1340" i="34"/>
  <c r="AD1340" i="34"/>
  <c r="P1341" i="34"/>
  <c r="T1341" i="34"/>
  <c r="U1341" i="34"/>
  <c r="V1341" i="34"/>
  <c r="W1341" i="34"/>
  <c r="Y1341" i="34"/>
  <c r="AB1341" i="34"/>
  <c r="AC1341" i="34"/>
  <c r="AD1341" i="34"/>
  <c r="P1342" i="34"/>
  <c r="T1342" i="34"/>
  <c r="U1342" i="34"/>
  <c r="V1342" i="34"/>
  <c r="W1342" i="34"/>
  <c r="Y1342" i="34"/>
  <c r="AB1342" i="34"/>
  <c r="AC1342" i="34"/>
  <c r="AD1342" i="34"/>
  <c r="P1343" i="34"/>
  <c r="T1343" i="34"/>
  <c r="U1343" i="34"/>
  <c r="V1343" i="34"/>
  <c r="W1343" i="34"/>
  <c r="Y1343" i="34"/>
  <c r="AB1343" i="34"/>
  <c r="AC1343" i="34"/>
  <c r="AD1343" i="34"/>
  <c r="P1344" i="34"/>
  <c r="T1344" i="34"/>
  <c r="U1344" i="34"/>
  <c r="V1344" i="34"/>
  <c r="W1344" i="34"/>
  <c r="Y1344" i="34"/>
  <c r="AB1344" i="34"/>
  <c r="AC1344" i="34"/>
  <c r="AD1344" i="34"/>
  <c r="P1345" i="34"/>
  <c r="T1345" i="34"/>
  <c r="U1345" i="34"/>
  <c r="V1345" i="34"/>
  <c r="W1345" i="34"/>
  <c r="Y1345" i="34"/>
  <c r="AB1345" i="34"/>
  <c r="AC1345" i="34"/>
  <c r="AD1345" i="34"/>
  <c r="P1346" i="34"/>
  <c r="T1346" i="34"/>
  <c r="U1346" i="34"/>
  <c r="V1346" i="34"/>
  <c r="W1346" i="34"/>
  <c r="Y1346" i="34"/>
  <c r="AB1346" i="34"/>
  <c r="AC1346" i="34"/>
  <c r="AD1346" i="34"/>
  <c r="P1347" i="34"/>
  <c r="T1347" i="34"/>
  <c r="U1347" i="34"/>
  <c r="V1347" i="34"/>
  <c r="W1347" i="34"/>
  <c r="Y1347" i="34"/>
  <c r="AB1347" i="34"/>
  <c r="AC1347" i="34"/>
  <c r="AD1347" i="34"/>
  <c r="P1348" i="34"/>
  <c r="T1348" i="34"/>
  <c r="U1348" i="34"/>
  <c r="V1348" i="34"/>
  <c r="W1348" i="34"/>
  <c r="Y1348" i="34"/>
  <c r="AB1348" i="34"/>
  <c r="AC1348" i="34"/>
  <c r="AD1348" i="34"/>
  <c r="P1349" i="34"/>
  <c r="T1349" i="34"/>
  <c r="U1349" i="34"/>
  <c r="V1349" i="34"/>
  <c r="W1349" i="34"/>
  <c r="Y1349" i="34"/>
  <c r="AB1349" i="34"/>
  <c r="AC1349" i="34"/>
  <c r="AD1349" i="34"/>
  <c r="P1350" i="34"/>
  <c r="T1350" i="34"/>
  <c r="U1350" i="34"/>
  <c r="V1350" i="34"/>
  <c r="W1350" i="34"/>
  <c r="Y1350" i="34"/>
  <c r="AB1350" i="34"/>
  <c r="AC1350" i="34"/>
  <c r="AD1350" i="34"/>
  <c r="P1351" i="34"/>
  <c r="T1351" i="34"/>
  <c r="U1351" i="34"/>
  <c r="V1351" i="34"/>
  <c r="W1351" i="34"/>
  <c r="Y1351" i="34"/>
  <c r="AB1351" i="34"/>
  <c r="AC1351" i="34"/>
  <c r="AD1351" i="34"/>
  <c r="P1352" i="34"/>
  <c r="T1352" i="34"/>
  <c r="U1352" i="34"/>
  <c r="V1352" i="34"/>
  <c r="W1352" i="34"/>
  <c r="Y1352" i="34"/>
  <c r="AB1352" i="34"/>
  <c r="AC1352" i="34"/>
  <c r="AD1352" i="34"/>
  <c r="P1353" i="34"/>
  <c r="T1353" i="34"/>
  <c r="U1353" i="34"/>
  <c r="V1353" i="34"/>
  <c r="W1353" i="34"/>
  <c r="Y1353" i="34"/>
  <c r="AB1353" i="34"/>
  <c r="AC1353" i="34"/>
  <c r="AD1353" i="34"/>
  <c r="P1354" i="34"/>
  <c r="T1354" i="34"/>
  <c r="U1354" i="34"/>
  <c r="V1354" i="34"/>
  <c r="W1354" i="34"/>
  <c r="Y1354" i="34"/>
  <c r="AB1354" i="34"/>
  <c r="AC1354" i="34"/>
  <c r="AD1354" i="34"/>
  <c r="P1355" i="34"/>
  <c r="T1355" i="34"/>
  <c r="U1355" i="34"/>
  <c r="V1355" i="34"/>
  <c r="W1355" i="34"/>
  <c r="Y1355" i="34"/>
  <c r="AB1355" i="34"/>
  <c r="AC1355" i="34"/>
  <c r="AD1355" i="34"/>
  <c r="P1356" i="34"/>
  <c r="T1356" i="34"/>
  <c r="U1356" i="34"/>
  <c r="V1356" i="34"/>
  <c r="W1356" i="34"/>
  <c r="Y1356" i="34"/>
  <c r="AB1356" i="34"/>
  <c r="AC1356" i="34"/>
  <c r="AD1356" i="34"/>
  <c r="P1357" i="34"/>
  <c r="T1357" i="34"/>
  <c r="U1357" i="34"/>
  <c r="V1357" i="34"/>
  <c r="W1357" i="34"/>
  <c r="Y1357" i="34"/>
  <c r="AB1357" i="34"/>
  <c r="AC1357" i="34"/>
  <c r="AD1357" i="34"/>
  <c r="P1358" i="34"/>
  <c r="T1358" i="34"/>
  <c r="U1358" i="34"/>
  <c r="V1358" i="34"/>
  <c r="W1358" i="34"/>
  <c r="Y1358" i="34"/>
  <c r="AB1358" i="34"/>
  <c r="AC1358" i="34"/>
  <c r="AD1358" i="34"/>
  <c r="P1359" i="34"/>
  <c r="T1359" i="34"/>
  <c r="U1359" i="34"/>
  <c r="V1359" i="34"/>
  <c r="W1359" i="34"/>
  <c r="Y1359" i="34"/>
  <c r="AB1359" i="34"/>
  <c r="AC1359" i="34"/>
  <c r="AD1359" i="34"/>
  <c r="P1360" i="34"/>
  <c r="T1360" i="34"/>
  <c r="U1360" i="34"/>
  <c r="V1360" i="34"/>
  <c r="W1360" i="34"/>
  <c r="Y1360" i="34"/>
  <c r="AB1360" i="34"/>
  <c r="AC1360" i="34"/>
  <c r="AD1360" i="34"/>
  <c r="P1361" i="34"/>
  <c r="T1361" i="34"/>
  <c r="U1361" i="34"/>
  <c r="V1361" i="34"/>
  <c r="W1361" i="34"/>
  <c r="Y1361" i="34"/>
  <c r="AB1361" i="34"/>
  <c r="AC1361" i="34"/>
  <c r="AD1361" i="34"/>
  <c r="P1362" i="34"/>
  <c r="T1362" i="34"/>
  <c r="U1362" i="34"/>
  <c r="V1362" i="34"/>
  <c r="W1362" i="34"/>
  <c r="Y1362" i="34"/>
  <c r="AB1362" i="34"/>
  <c r="AC1362" i="34"/>
  <c r="AD1362" i="34"/>
  <c r="P1363" i="34"/>
  <c r="T1363" i="34"/>
  <c r="U1363" i="34"/>
  <c r="V1363" i="34"/>
  <c r="W1363" i="34"/>
  <c r="Y1363" i="34"/>
  <c r="AB1363" i="34"/>
  <c r="AC1363" i="34"/>
  <c r="AD1363" i="34"/>
  <c r="P1364" i="34"/>
  <c r="T1364" i="34"/>
  <c r="U1364" i="34"/>
  <c r="V1364" i="34"/>
  <c r="W1364" i="34"/>
  <c r="Y1364" i="34"/>
  <c r="AB1364" i="34"/>
  <c r="AC1364" i="34"/>
  <c r="AD1364" i="34"/>
  <c r="P1365" i="34"/>
  <c r="T1365" i="34"/>
  <c r="U1365" i="34"/>
  <c r="V1365" i="34"/>
  <c r="W1365" i="34"/>
  <c r="Y1365" i="34"/>
  <c r="AB1365" i="34"/>
  <c r="AC1365" i="34"/>
  <c r="AD1365" i="34"/>
  <c r="P1366" i="34"/>
  <c r="T1366" i="34"/>
  <c r="U1366" i="34"/>
  <c r="V1366" i="34"/>
  <c r="W1366" i="34"/>
  <c r="Y1366" i="34"/>
  <c r="AB1366" i="34"/>
  <c r="AC1366" i="34"/>
  <c r="AD1366" i="34"/>
  <c r="P1367" i="34"/>
  <c r="T1367" i="34"/>
  <c r="U1367" i="34"/>
  <c r="V1367" i="34"/>
  <c r="W1367" i="34"/>
  <c r="Y1367" i="34"/>
  <c r="AB1367" i="34"/>
  <c r="AC1367" i="34"/>
  <c r="AD1367" i="34"/>
  <c r="P1368" i="34"/>
  <c r="T1368" i="34"/>
  <c r="U1368" i="34"/>
  <c r="V1368" i="34"/>
  <c r="W1368" i="34"/>
  <c r="Y1368" i="34"/>
  <c r="AB1368" i="34"/>
  <c r="AC1368" i="34"/>
  <c r="AD1368" i="34"/>
  <c r="P1369" i="34"/>
  <c r="T1369" i="34"/>
  <c r="U1369" i="34"/>
  <c r="V1369" i="34"/>
  <c r="W1369" i="34"/>
  <c r="Y1369" i="34"/>
  <c r="AB1369" i="34"/>
  <c r="AC1369" i="34"/>
  <c r="AD1369" i="34"/>
  <c r="P1370" i="34"/>
  <c r="T1370" i="34"/>
  <c r="U1370" i="34"/>
  <c r="V1370" i="34"/>
  <c r="W1370" i="34"/>
  <c r="Y1370" i="34"/>
  <c r="AB1370" i="34"/>
  <c r="AC1370" i="34"/>
  <c r="P1371" i="34"/>
  <c r="T1371" i="34"/>
  <c r="U1371" i="34"/>
  <c r="V1371" i="34"/>
  <c r="W1371" i="34"/>
  <c r="Y1371" i="34"/>
  <c r="AB1371" i="34"/>
  <c r="AC1371" i="34"/>
  <c r="P1372" i="34"/>
  <c r="T1372" i="34"/>
  <c r="U1372" i="34"/>
  <c r="V1372" i="34"/>
  <c r="W1372" i="34"/>
  <c r="Y1372" i="34"/>
  <c r="AB1372" i="34"/>
  <c r="AC1372" i="34"/>
  <c r="P1373" i="34"/>
  <c r="T1373" i="34"/>
  <c r="U1373" i="34"/>
  <c r="V1373" i="34"/>
  <c r="W1373" i="34"/>
  <c r="Y1373" i="34"/>
  <c r="AB1373" i="34"/>
  <c r="AC1373" i="34"/>
  <c r="P1374" i="34"/>
  <c r="T1374" i="34"/>
  <c r="U1374" i="34"/>
  <c r="V1374" i="34"/>
  <c r="W1374" i="34"/>
  <c r="Y1374" i="34"/>
  <c r="AB1374" i="34"/>
  <c r="AC1374" i="34"/>
  <c r="P1375" i="34"/>
  <c r="T1375" i="34"/>
  <c r="U1375" i="34"/>
  <c r="V1375" i="34"/>
  <c r="W1375" i="34"/>
  <c r="Y1375" i="34"/>
  <c r="AB1375" i="34"/>
  <c r="AC1375" i="34"/>
  <c r="P1376" i="34"/>
  <c r="T1376" i="34"/>
  <c r="U1376" i="34"/>
  <c r="V1376" i="34"/>
  <c r="W1376" i="34"/>
  <c r="Y1376" i="34"/>
  <c r="AB1376" i="34"/>
  <c r="AC1376" i="34"/>
  <c r="P1377" i="34"/>
  <c r="T1377" i="34"/>
  <c r="U1377" i="34"/>
  <c r="V1377" i="34"/>
  <c r="W1377" i="34"/>
  <c r="Y1377" i="34"/>
  <c r="AB1377" i="34"/>
  <c r="AC1377" i="34"/>
  <c r="P1378" i="34"/>
  <c r="T1378" i="34"/>
  <c r="U1378" i="34"/>
  <c r="V1378" i="34"/>
  <c r="W1378" i="34"/>
  <c r="Y1378" i="34"/>
  <c r="AB1378" i="34"/>
  <c r="AC1378" i="34"/>
  <c r="P1379" i="34"/>
  <c r="T1379" i="34"/>
  <c r="U1379" i="34"/>
  <c r="V1379" i="34"/>
  <c r="W1379" i="34"/>
  <c r="Y1379" i="34"/>
  <c r="AB1379" i="34"/>
  <c r="AC1379" i="34"/>
  <c r="P1380" i="34"/>
  <c r="T1380" i="34"/>
  <c r="U1380" i="34"/>
  <c r="V1380" i="34"/>
  <c r="W1380" i="34"/>
  <c r="Y1380" i="34"/>
  <c r="AB1380" i="34"/>
  <c r="AC1380" i="34"/>
  <c r="P1381" i="34"/>
  <c r="T1381" i="34"/>
  <c r="U1381" i="34"/>
  <c r="V1381" i="34"/>
  <c r="W1381" i="34"/>
  <c r="Y1381" i="34"/>
  <c r="AB1381" i="34"/>
  <c r="AC1381" i="34"/>
  <c r="P1382" i="34"/>
  <c r="T1382" i="34"/>
  <c r="U1382" i="34"/>
  <c r="V1382" i="34"/>
  <c r="W1382" i="34"/>
  <c r="Y1382" i="34"/>
  <c r="AB1382" i="34"/>
  <c r="AC1382" i="34"/>
  <c r="P1383" i="34"/>
  <c r="T1383" i="34"/>
  <c r="U1383" i="34"/>
  <c r="V1383" i="34"/>
  <c r="W1383" i="34"/>
  <c r="Y1383" i="34"/>
  <c r="AB1383" i="34"/>
  <c r="AC1383" i="34"/>
  <c r="P1384" i="34"/>
  <c r="T1384" i="34"/>
  <c r="U1384" i="34"/>
  <c r="V1384" i="34"/>
  <c r="W1384" i="34"/>
  <c r="Y1384" i="34"/>
  <c r="AB1384" i="34"/>
  <c r="AC1384" i="34"/>
  <c r="P1385" i="34"/>
  <c r="T1385" i="34"/>
  <c r="U1385" i="34"/>
  <c r="V1385" i="34"/>
  <c r="W1385" i="34"/>
  <c r="Y1385" i="34"/>
  <c r="AB1385" i="34"/>
  <c r="AC1385" i="34"/>
  <c r="P1429" i="34"/>
  <c r="T1429" i="34"/>
  <c r="U1429" i="34"/>
  <c r="V1429" i="34"/>
  <c r="W1429" i="34"/>
  <c r="Y1429" i="34"/>
  <c r="AB1429" i="34"/>
  <c r="AC1429" i="34"/>
  <c r="AD1429" i="34"/>
  <c r="P1430" i="34"/>
  <c r="T1430" i="34"/>
  <c r="U1430" i="34"/>
  <c r="V1430" i="34"/>
  <c r="W1430" i="34"/>
  <c r="Y1430" i="34"/>
  <c r="AB1430" i="34"/>
  <c r="AC1430" i="34"/>
  <c r="AD1430" i="34"/>
  <c r="P1431" i="34"/>
  <c r="T1431" i="34"/>
  <c r="U1431" i="34"/>
  <c r="V1431" i="34"/>
  <c r="W1431" i="34"/>
  <c r="Y1431" i="34"/>
  <c r="AB1431" i="34"/>
  <c r="AC1431" i="34"/>
  <c r="AD1431" i="34"/>
  <c r="P1432" i="34"/>
  <c r="T1432" i="34"/>
  <c r="U1432" i="34"/>
  <c r="V1432" i="34"/>
  <c r="W1432" i="34"/>
  <c r="Y1432" i="34"/>
  <c r="AB1432" i="34"/>
  <c r="AC1432" i="34"/>
  <c r="AD1432" i="34"/>
  <c r="P1433" i="34"/>
  <c r="T1433" i="34"/>
  <c r="U1433" i="34"/>
  <c r="V1433" i="34"/>
  <c r="W1433" i="34"/>
  <c r="Y1433" i="34"/>
  <c r="AB1433" i="34"/>
  <c r="AC1433" i="34"/>
  <c r="AD1433" i="34"/>
  <c r="P1434" i="34"/>
  <c r="T1434" i="34"/>
  <c r="U1434" i="34"/>
  <c r="V1434" i="34"/>
  <c r="W1434" i="34"/>
  <c r="Y1434" i="34"/>
  <c r="AB1434" i="34"/>
  <c r="AC1434" i="34"/>
  <c r="AD1434" i="34"/>
  <c r="P1435" i="34"/>
  <c r="T1435" i="34"/>
  <c r="U1435" i="34"/>
  <c r="V1435" i="34"/>
  <c r="W1435" i="34"/>
  <c r="Y1435" i="34"/>
  <c r="AB1435" i="34"/>
  <c r="AC1435" i="34"/>
  <c r="AD1435" i="34"/>
  <c r="P1436" i="34"/>
  <c r="T1436" i="34"/>
  <c r="U1436" i="34"/>
  <c r="V1436" i="34"/>
  <c r="W1436" i="34"/>
  <c r="Y1436" i="34"/>
  <c r="AB1436" i="34"/>
  <c r="AC1436" i="34"/>
  <c r="AD1436" i="34"/>
  <c r="P1437" i="34"/>
  <c r="T1437" i="34"/>
  <c r="U1437" i="34"/>
  <c r="V1437" i="34"/>
  <c r="W1437" i="34"/>
  <c r="Y1437" i="34"/>
  <c r="AB1437" i="34"/>
  <c r="AC1437" i="34"/>
  <c r="AD1437" i="34"/>
  <c r="P1438" i="34"/>
  <c r="T1438" i="34"/>
  <c r="U1438" i="34"/>
  <c r="V1438" i="34"/>
  <c r="W1438" i="34"/>
  <c r="Y1438" i="34"/>
  <c r="AB1438" i="34"/>
  <c r="AC1438" i="34"/>
  <c r="AD1438" i="34"/>
  <c r="P1439" i="34"/>
  <c r="T1439" i="34"/>
  <c r="U1439" i="34"/>
  <c r="V1439" i="34"/>
  <c r="W1439" i="34"/>
  <c r="Y1439" i="34"/>
  <c r="AB1439" i="34"/>
  <c r="AC1439" i="34"/>
  <c r="AD1439" i="34"/>
  <c r="P1440" i="34"/>
  <c r="T1440" i="34"/>
  <c r="U1440" i="34"/>
  <c r="V1440" i="34"/>
  <c r="W1440" i="34"/>
  <c r="Y1440" i="34"/>
  <c r="AB1440" i="34"/>
  <c r="AC1440" i="34"/>
  <c r="AD1440" i="34"/>
  <c r="P1441" i="34"/>
  <c r="T1441" i="34"/>
  <c r="U1441" i="34"/>
  <c r="V1441" i="34"/>
  <c r="W1441" i="34"/>
  <c r="Y1441" i="34"/>
  <c r="AB1441" i="34"/>
  <c r="AC1441" i="34"/>
  <c r="AD1441" i="34"/>
  <c r="P1442" i="34"/>
  <c r="T1442" i="34"/>
  <c r="U1442" i="34"/>
  <c r="V1442" i="34"/>
  <c r="W1442" i="34"/>
  <c r="Y1442" i="34"/>
  <c r="AB1442" i="34"/>
  <c r="AC1442" i="34"/>
  <c r="AD1442" i="34"/>
  <c r="P1443" i="34"/>
  <c r="T1443" i="34"/>
  <c r="U1443" i="34"/>
  <c r="V1443" i="34"/>
  <c r="W1443" i="34"/>
  <c r="Y1443" i="34"/>
  <c r="AB1443" i="34"/>
  <c r="AC1443" i="34"/>
  <c r="AD1443" i="34"/>
  <c r="P1444" i="34"/>
  <c r="T1444" i="34"/>
  <c r="U1444" i="34"/>
  <c r="V1444" i="34"/>
  <c r="W1444" i="34"/>
  <c r="Y1444" i="34"/>
  <c r="AB1444" i="34"/>
  <c r="AC1444" i="34"/>
  <c r="AD1444" i="34"/>
  <c r="P1445" i="34"/>
  <c r="T1445" i="34"/>
  <c r="U1445" i="34"/>
  <c r="V1445" i="34"/>
  <c r="W1445" i="34"/>
  <c r="Y1445" i="34"/>
  <c r="AB1445" i="34"/>
  <c r="AC1445" i="34"/>
  <c r="AD1445" i="34"/>
  <c r="P1446" i="34"/>
  <c r="T1446" i="34"/>
  <c r="U1446" i="34"/>
  <c r="V1446" i="34"/>
  <c r="W1446" i="34"/>
  <c r="Y1446" i="34"/>
  <c r="AB1446" i="34"/>
  <c r="AC1446" i="34"/>
  <c r="AD1446" i="34"/>
  <c r="P1447" i="34"/>
  <c r="T1447" i="34"/>
  <c r="U1447" i="34"/>
  <c r="V1447" i="34"/>
  <c r="W1447" i="34"/>
  <c r="Y1447" i="34"/>
  <c r="AB1447" i="34"/>
  <c r="AC1447" i="34"/>
  <c r="AD1447" i="34"/>
  <c r="P1448" i="34"/>
  <c r="T1448" i="34"/>
  <c r="U1448" i="34"/>
  <c r="V1448" i="34"/>
  <c r="W1448" i="34"/>
  <c r="Y1448" i="34"/>
  <c r="AB1448" i="34"/>
  <c r="AC1448" i="34"/>
  <c r="AD1448" i="34"/>
  <c r="P1449" i="34"/>
  <c r="T1449" i="34"/>
  <c r="U1449" i="34"/>
  <c r="V1449" i="34"/>
  <c r="W1449" i="34"/>
  <c r="Y1449" i="34"/>
  <c r="AB1449" i="34"/>
  <c r="AC1449" i="34"/>
  <c r="AD1449" i="34"/>
  <c r="P1450" i="34"/>
  <c r="T1450" i="34"/>
  <c r="U1450" i="34"/>
  <c r="V1450" i="34"/>
  <c r="W1450" i="34"/>
  <c r="Y1450" i="34"/>
  <c r="AB1450" i="34"/>
  <c r="AC1450" i="34"/>
  <c r="AD1450" i="34"/>
  <c r="P1451" i="34"/>
  <c r="T1451" i="34"/>
  <c r="U1451" i="34"/>
  <c r="V1451" i="34"/>
  <c r="W1451" i="34"/>
  <c r="Y1451" i="34"/>
  <c r="AB1451" i="34"/>
  <c r="AC1451" i="34"/>
  <c r="AD1451" i="34"/>
  <c r="P1452" i="34"/>
  <c r="T1452" i="34"/>
  <c r="U1452" i="34"/>
  <c r="V1452" i="34"/>
  <c r="W1452" i="34"/>
  <c r="Y1452" i="34"/>
  <c r="AB1452" i="34"/>
  <c r="AC1452" i="34"/>
  <c r="AD1452" i="34"/>
  <c r="P1453" i="34"/>
  <c r="T1453" i="34"/>
  <c r="U1453" i="34"/>
  <c r="V1453" i="34"/>
  <c r="W1453" i="34"/>
  <c r="Y1453" i="34"/>
  <c r="AB1453" i="34"/>
  <c r="AC1453" i="34"/>
  <c r="AD1453" i="34"/>
  <c r="P1454" i="34"/>
  <c r="T1454" i="34"/>
  <c r="U1454" i="34"/>
  <c r="V1454" i="34"/>
  <c r="W1454" i="34"/>
  <c r="Y1454" i="34"/>
  <c r="AB1454" i="34"/>
  <c r="AC1454" i="34"/>
  <c r="AD1454" i="34"/>
  <c r="P1455" i="34"/>
  <c r="T1455" i="34"/>
  <c r="U1455" i="34"/>
  <c r="V1455" i="34"/>
  <c r="W1455" i="34"/>
  <c r="Y1455" i="34"/>
  <c r="AB1455" i="34"/>
  <c r="AC1455" i="34"/>
  <c r="AD1455" i="34"/>
  <c r="P1456" i="34"/>
  <c r="T1456" i="34"/>
  <c r="U1456" i="34"/>
  <c r="V1456" i="34"/>
  <c r="W1456" i="34"/>
  <c r="Y1456" i="34"/>
  <c r="AB1456" i="34"/>
  <c r="AC1456" i="34"/>
  <c r="AD1456" i="34"/>
  <c r="P1457" i="34"/>
  <c r="T1457" i="34"/>
  <c r="U1457" i="34"/>
  <c r="V1457" i="34"/>
  <c r="W1457" i="34"/>
  <c r="Y1457" i="34"/>
  <c r="AB1457" i="34"/>
  <c r="AC1457" i="34"/>
  <c r="AD1457" i="34"/>
  <c r="P1458" i="34"/>
  <c r="T1458" i="34"/>
  <c r="U1458" i="34"/>
  <c r="V1458" i="34"/>
  <c r="W1458" i="34"/>
  <c r="Y1458" i="34"/>
  <c r="AB1458" i="34"/>
  <c r="AC1458" i="34"/>
  <c r="AD1458" i="34"/>
  <c r="P1459" i="34"/>
  <c r="T1459" i="34"/>
  <c r="U1459" i="34"/>
  <c r="V1459" i="34"/>
  <c r="W1459" i="34"/>
  <c r="Y1459" i="34"/>
  <c r="AB1459" i="34"/>
  <c r="AC1459" i="34"/>
  <c r="AD1459" i="34"/>
  <c r="P1460" i="34"/>
  <c r="T1460" i="34"/>
  <c r="U1460" i="34"/>
  <c r="V1460" i="34"/>
  <c r="W1460" i="34"/>
  <c r="Y1460" i="34"/>
  <c r="AB1460" i="34"/>
  <c r="AC1460" i="34"/>
  <c r="AD1460" i="34"/>
  <c r="P1461" i="34"/>
  <c r="T1461" i="34"/>
  <c r="U1461" i="34"/>
  <c r="V1461" i="34"/>
  <c r="W1461" i="34"/>
  <c r="Y1461" i="34"/>
  <c r="AB1461" i="34"/>
  <c r="AC1461" i="34"/>
  <c r="AD1461" i="34"/>
  <c r="P1462" i="34"/>
  <c r="T1462" i="34"/>
  <c r="U1462" i="34"/>
  <c r="V1462" i="34"/>
  <c r="W1462" i="34"/>
  <c r="Y1462" i="34"/>
  <c r="AB1462" i="34"/>
  <c r="AC1462" i="34"/>
  <c r="AD1462" i="34"/>
  <c r="P1463" i="34"/>
  <c r="T1463" i="34"/>
  <c r="U1463" i="34"/>
  <c r="V1463" i="34"/>
  <c r="W1463" i="34"/>
  <c r="Y1463" i="34"/>
  <c r="AB1463" i="34"/>
  <c r="AC1463" i="34"/>
  <c r="AD1463" i="34"/>
  <c r="P1464" i="34"/>
  <c r="T1464" i="34"/>
  <c r="U1464" i="34"/>
  <c r="V1464" i="34"/>
  <c r="W1464" i="34"/>
  <c r="Y1464" i="34"/>
  <c r="AB1464" i="34"/>
  <c r="AC1464" i="34"/>
  <c r="AD1464" i="34"/>
  <c r="P1465" i="34"/>
  <c r="T1465" i="34"/>
  <c r="U1465" i="34"/>
  <c r="V1465" i="34"/>
  <c r="W1465" i="34"/>
  <c r="Y1465" i="34"/>
  <c r="AB1465" i="34"/>
  <c r="AC1465" i="34"/>
  <c r="AD1465" i="34"/>
  <c r="P1466" i="34"/>
  <c r="T1466" i="34"/>
  <c r="U1466" i="34"/>
  <c r="V1466" i="34"/>
  <c r="W1466" i="34"/>
  <c r="Y1466" i="34"/>
  <c r="AB1466" i="34"/>
  <c r="AC1466" i="34"/>
  <c r="AD1466" i="34"/>
  <c r="P1467" i="34"/>
  <c r="T1467" i="34"/>
  <c r="U1467" i="34"/>
  <c r="V1467" i="34"/>
  <c r="W1467" i="34"/>
  <c r="Y1467" i="34"/>
  <c r="AB1467" i="34"/>
  <c r="AC1467" i="34"/>
  <c r="AD1467" i="34"/>
  <c r="P1468" i="34"/>
  <c r="T1468" i="34"/>
  <c r="U1468" i="34"/>
  <c r="V1468" i="34"/>
  <c r="W1468" i="34"/>
  <c r="Y1468" i="34"/>
  <c r="AB1468" i="34"/>
  <c r="AC1468" i="34"/>
  <c r="P1469" i="34"/>
  <c r="T1469" i="34"/>
  <c r="U1469" i="34"/>
  <c r="V1469" i="34"/>
  <c r="W1469" i="34"/>
  <c r="Y1469" i="34"/>
  <c r="AB1469" i="34"/>
  <c r="AC1469" i="34"/>
  <c r="P1470" i="34"/>
  <c r="T1470" i="34"/>
  <c r="U1470" i="34"/>
  <c r="V1470" i="34"/>
  <c r="W1470" i="34"/>
  <c r="Y1470" i="34"/>
  <c r="AB1470" i="34"/>
  <c r="AC1470" i="34"/>
  <c r="P1471" i="34"/>
  <c r="T1471" i="34"/>
  <c r="U1471" i="34"/>
  <c r="V1471" i="34"/>
  <c r="W1471" i="34"/>
  <c r="Y1471" i="34"/>
  <c r="AB1471" i="34"/>
  <c r="AC1471" i="34"/>
  <c r="P1472" i="34"/>
  <c r="T1472" i="34"/>
  <c r="U1472" i="34"/>
  <c r="V1472" i="34"/>
  <c r="W1472" i="34"/>
  <c r="Y1472" i="34"/>
  <c r="AB1472" i="34"/>
  <c r="AC1472" i="34"/>
  <c r="P1473" i="34"/>
  <c r="T1473" i="34"/>
  <c r="U1473" i="34"/>
  <c r="V1473" i="34"/>
  <c r="W1473" i="34"/>
  <c r="Y1473" i="34"/>
  <c r="AB1473" i="34"/>
  <c r="AC1473" i="34"/>
  <c r="P1474" i="34"/>
  <c r="T1474" i="34"/>
  <c r="U1474" i="34"/>
  <c r="V1474" i="34"/>
  <c r="W1474" i="34"/>
  <c r="Y1474" i="34"/>
  <c r="AB1474" i="34"/>
  <c r="AC1474" i="34"/>
  <c r="P1475" i="34"/>
  <c r="T1475" i="34"/>
  <c r="U1475" i="34"/>
  <c r="V1475" i="34"/>
  <c r="W1475" i="34"/>
  <c r="Y1475" i="34"/>
  <c r="AB1475" i="34"/>
  <c r="AC1475" i="34"/>
  <c r="P1476" i="34"/>
  <c r="T1476" i="34"/>
  <c r="U1476" i="34"/>
  <c r="V1476" i="34"/>
  <c r="W1476" i="34"/>
  <c r="Y1476" i="34"/>
  <c r="AB1476" i="34"/>
  <c r="AC1476" i="34"/>
  <c r="P1477" i="34"/>
  <c r="T1477" i="34"/>
  <c r="U1477" i="34"/>
  <c r="V1477" i="34"/>
  <c r="W1477" i="34"/>
  <c r="Y1477" i="34"/>
  <c r="AB1477" i="34"/>
  <c r="AC1477" i="34"/>
  <c r="P1478" i="34"/>
  <c r="T1478" i="34"/>
  <c r="U1478" i="34"/>
  <c r="V1478" i="34"/>
  <c r="W1478" i="34"/>
  <c r="Y1478" i="34"/>
  <c r="AB1478" i="34"/>
  <c r="AC1478" i="34"/>
  <c r="P1479" i="34"/>
  <c r="T1479" i="34"/>
  <c r="U1479" i="34"/>
  <c r="V1479" i="34"/>
  <c r="W1479" i="34"/>
  <c r="Y1479" i="34"/>
  <c r="AB1479" i="34"/>
  <c r="AC1479" i="34"/>
  <c r="P1480" i="34"/>
  <c r="T1480" i="34"/>
  <c r="U1480" i="34"/>
  <c r="V1480" i="34"/>
  <c r="W1480" i="34"/>
  <c r="Y1480" i="34"/>
  <c r="AB1480" i="34"/>
  <c r="AC1480" i="34"/>
  <c r="P1481" i="34"/>
  <c r="T1481" i="34"/>
  <c r="U1481" i="34"/>
  <c r="V1481" i="34"/>
  <c r="W1481" i="34"/>
  <c r="Y1481" i="34"/>
  <c r="AB1481" i="34"/>
  <c r="AC1481" i="34"/>
  <c r="P1482" i="34"/>
  <c r="T1482" i="34"/>
  <c r="U1482" i="34"/>
  <c r="V1482" i="34"/>
  <c r="W1482" i="34"/>
  <c r="Y1482" i="34"/>
  <c r="AB1482" i="34"/>
  <c r="AC1482" i="34"/>
  <c r="P1483" i="34"/>
  <c r="T1483" i="34"/>
  <c r="U1483" i="34"/>
  <c r="V1483" i="34"/>
  <c r="W1483" i="34"/>
  <c r="Y1483" i="34"/>
  <c r="AB1483" i="34"/>
  <c r="AC1483" i="34"/>
  <c r="P1484" i="34"/>
  <c r="T1484" i="34"/>
  <c r="U1484" i="34"/>
  <c r="V1484" i="34"/>
  <c r="W1484" i="34"/>
  <c r="Y1484" i="34"/>
  <c r="AB1484" i="34"/>
  <c r="AC1484" i="34"/>
  <c r="P1485" i="34"/>
  <c r="T1485" i="34"/>
  <c r="U1485" i="34"/>
  <c r="V1485" i="34"/>
  <c r="W1485" i="34"/>
  <c r="Y1485" i="34"/>
  <c r="AB1485" i="34"/>
  <c r="AC1485" i="34"/>
  <c r="P1486" i="34"/>
  <c r="T1486" i="34"/>
  <c r="U1486" i="34"/>
  <c r="V1486" i="34"/>
  <c r="W1486" i="34"/>
  <c r="Y1486" i="34"/>
  <c r="AB1486" i="34"/>
  <c r="AC1486" i="34"/>
  <c r="P1487" i="34"/>
  <c r="T1487" i="34"/>
  <c r="U1487" i="34"/>
  <c r="V1487" i="34"/>
  <c r="W1487" i="34"/>
  <c r="Y1487" i="34"/>
  <c r="AB1487" i="34"/>
  <c r="AC1487" i="34"/>
  <c r="P1488" i="34"/>
  <c r="T1488" i="34"/>
  <c r="U1488" i="34"/>
  <c r="V1488" i="34"/>
  <c r="W1488" i="34"/>
  <c r="Y1488" i="34"/>
  <c r="AB1488" i="34"/>
  <c r="AC1488" i="34"/>
  <c r="P1489" i="34"/>
  <c r="T1489" i="34"/>
  <c r="U1489" i="34"/>
  <c r="V1489" i="34"/>
  <c r="W1489" i="34"/>
  <c r="Y1489" i="34"/>
  <c r="AB1489" i="34"/>
  <c r="AC1489" i="34"/>
  <c r="P1490" i="34"/>
  <c r="T1490" i="34"/>
  <c r="U1490" i="34"/>
  <c r="V1490" i="34"/>
  <c r="W1490" i="34"/>
  <c r="Y1490" i="34"/>
  <c r="AB1490" i="34"/>
  <c r="AC1490" i="34"/>
  <c r="P1491" i="34"/>
  <c r="T1491" i="34"/>
  <c r="U1491" i="34"/>
  <c r="V1491" i="34"/>
  <c r="W1491" i="34"/>
  <c r="Y1491" i="34"/>
  <c r="AB1491" i="34"/>
  <c r="AC1491" i="34"/>
  <c r="P1492" i="34"/>
  <c r="T1492" i="34"/>
  <c r="U1492" i="34"/>
  <c r="V1492" i="34"/>
  <c r="W1492" i="34"/>
  <c r="Y1492" i="34"/>
  <c r="AB1492" i="34"/>
  <c r="AC1492" i="34"/>
  <c r="P1493" i="34"/>
  <c r="T1493" i="34"/>
  <c r="U1493" i="34"/>
  <c r="V1493" i="34"/>
  <c r="W1493" i="34"/>
  <c r="Y1493" i="34"/>
  <c r="AB1493" i="34"/>
  <c r="AC1493" i="34"/>
  <c r="P1494" i="34"/>
  <c r="T1494" i="34"/>
  <c r="U1494" i="34"/>
  <c r="V1494" i="34"/>
  <c r="W1494" i="34"/>
  <c r="Y1494" i="34"/>
  <c r="AB1494" i="34"/>
  <c r="AC1494" i="34"/>
  <c r="P1495" i="34"/>
  <c r="T1495" i="34"/>
  <c r="U1495" i="34"/>
  <c r="V1495" i="34"/>
  <c r="W1495" i="34"/>
  <c r="Y1495" i="34"/>
  <c r="AB1495" i="34"/>
  <c r="AC1495" i="34"/>
  <c r="P1496" i="34"/>
  <c r="T1496" i="34"/>
  <c r="U1496" i="34"/>
  <c r="V1496" i="34"/>
  <c r="W1496" i="34"/>
  <c r="Y1496" i="34"/>
  <c r="AB1496" i="34"/>
  <c r="AC1496" i="34"/>
  <c r="P1497" i="34"/>
  <c r="T1497" i="34"/>
  <c r="U1497" i="34"/>
  <c r="V1497" i="34"/>
  <c r="W1497" i="34"/>
  <c r="Y1497" i="34"/>
  <c r="AB1497" i="34"/>
  <c r="AC1497" i="34"/>
  <c r="P1498" i="34"/>
  <c r="T1498" i="34"/>
  <c r="U1498" i="34"/>
  <c r="V1498" i="34"/>
  <c r="W1498" i="34"/>
  <c r="Y1498" i="34"/>
  <c r="AB1498" i="34"/>
  <c r="AC1498" i="34"/>
  <c r="P1499" i="34"/>
  <c r="T1499" i="34"/>
  <c r="U1499" i="34"/>
  <c r="V1499" i="34"/>
  <c r="W1499" i="34"/>
  <c r="Y1499" i="34"/>
  <c r="AB1499" i="34"/>
  <c r="AC1499" i="34"/>
  <c r="P1500" i="34"/>
  <c r="T1500" i="34"/>
  <c r="U1500" i="34"/>
  <c r="V1500" i="34"/>
  <c r="W1500" i="34"/>
  <c r="Y1500" i="34"/>
  <c r="AB1500" i="34"/>
  <c r="AC1500" i="34"/>
  <c r="P1501" i="34"/>
  <c r="T1501" i="34"/>
  <c r="U1501" i="34"/>
  <c r="V1501" i="34"/>
  <c r="W1501" i="34"/>
  <c r="Y1501" i="34"/>
  <c r="AB1501" i="34"/>
  <c r="AC1501" i="34"/>
  <c r="P1502" i="34"/>
  <c r="T1502" i="34"/>
  <c r="U1502" i="34"/>
  <c r="V1502" i="34"/>
  <c r="W1502" i="34"/>
  <c r="Y1502" i="34"/>
  <c r="AB1502" i="34"/>
  <c r="AC1502" i="34"/>
  <c r="P1503" i="34"/>
  <c r="T1503" i="34"/>
  <c r="U1503" i="34"/>
  <c r="V1503" i="34"/>
  <c r="W1503" i="34"/>
  <c r="Y1503" i="34"/>
  <c r="AB1503" i="34"/>
  <c r="AC1503" i="34"/>
  <c r="P1504" i="34"/>
  <c r="T1504" i="34"/>
  <c r="U1504" i="34"/>
  <c r="V1504" i="34"/>
  <c r="W1504" i="34"/>
  <c r="Y1504" i="34"/>
  <c r="AB1504" i="34"/>
  <c r="AC1504" i="34"/>
  <c r="P1505" i="34"/>
  <c r="T1505" i="34"/>
  <c r="U1505" i="34"/>
  <c r="V1505" i="34"/>
  <c r="W1505" i="34"/>
  <c r="Y1505" i="34"/>
  <c r="AB1505" i="34"/>
  <c r="AC1505" i="34"/>
  <c r="P1506" i="34"/>
  <c r="T1506" i="34"/>
  <c r="U1506" i="34"/>
  <c r="V1506" i="34"/>
  <c r="W1506" i="34"/>
  <c r="Y1506" i="34"/>
  <c r="AB1506" i="34"/>
  <c r="AC1506" i="34"/>
  <c r="P1507" i="34"/>
  <c r="T1507" i="34"/>
  <c r="U1507" i="34"/>
  <c r="V1507" i="34"/>
  <c r="W1507" i="34"/>
  <c r="Y1507" i="34"/>
  <c r="AB1507" i="34"/>
  <c r="AC1507" i="34"/>
  <c r="P1508" i="34"/>
  <c r="T1508" i="34"/>
  <c r="U1508" i="34"/>
  <c r="V1508" i="34"/>
  <c r="W1508" i="34"/>
  <c r="Y1508" i="34"/>
  <c r="AB1508" i="34"/>
  <c r="AC1508" i="34"/>
  <c r="P1509" i="34"/>
  <c r="T1509" i="34"/>
  <c r="U1509" i="34"/>
  <c r="V1509" i="34"/>
  <c r="W1509" i="34"/>
  <c r="Y1509" i="34"/>
  <c r="AB1509" i="34"/>
  <c r="AC1509" i="34"/>
  <c r="P1510" i="34"/>
  <c r="T1510" i="34"/>
  <c r="U1510" i="34"/>
  <c r="V1510" i="34"/>
  <c r="W1510" i="34"/>
  <c r="Y1510" i="34"/>
  <c r="AB1510" i="34"/>
  <c r="AC1510" i="34"/>
  <c r="P1511" i="34"/>
  <c r="T1511" i="34"/>
  <c r="U1511" i="34"/>
  <c r="V1511" i="34"/>
  <c r="W1511" i="34"/>
  <c r="Y1511" i="34"/>
  <c r="AB1511" i="34"/>
  <c r="AC1511" i="34"/>
  <c r="P1512" i="34"/>
  <c r="T1512" i="34"/>
  <c r="U1512" i="34"/>
  <c r="V1512" i="34"/>
  <c r="W1512" i="34"/>
  <c r="Y1512" i="34"/>
  <c r="AB1512" i="34"/>
  <c r="AC1512" i="34"/>
  <c r="P1513" i="34"/>
  <c r="T1513" i="34"/>
  <c r="U1513" i="34"/>
  <c r="V1513" i="34"/>
  <c r="W1513" i="34"/>
  <c r="Y1513" i="34"/>
  <c r="AB1513" i="34"/>
  <c r="AC1513" i="34"/>
  <c r="P1514" i="34"/>
  <c r="T1514" i="34"/>
  <c r="U1514" i="34"/>
  <c r="V1514" i="34"/>
  <c r="W1514" i="34"/>
  <c r="Y1514" i="34"/>
  <c r="AB1514" i="34"/>
  <c r="AC1514" i="34"/>
  <c r="P1515" i="34"/>
  <c r="T1515" i="34"/>
  <c r="U1515" i="34"/>
  <c r="V1515" i="34"/>
  <c r="W1515" i="34"/>
  <c r="Y1515" i="34"/>
  <c r="AB1515" i="34"/>
  <c r="AC1515" i="34"/>
  <c r="P1516" i="34"/>
  <c r="T1516" i="34"/>
  <c r="U1516" i="34"/>
  <c r="V1516" i="34"/>
  <c r="W1516" i="34"/>
  <c r="Y1516" i="34"/>
  <c r="AB1516" i="34"/>
  <c r="AC1516" i="34"/>
  <c r="P1517" i="34"/>
  <c r="T1517" i="34"/>
  <c r="U1517" i="34"/>
  <c r="V1517" i="34"/>
  <c r="W1517" i="34"/>
  <c r="Y1517" i="34"/>
  <c r="AB1517" i="34"/>
  <c r="AC1517" i="34"/>
  <c r="P1518" i="34"/>
  <c r="T1518" i="34"/>
  <c r="U1518" i="34"/>
  <c r="V1518" i="34"/>
  <c r="W1518" i="34"/>
  <c r="Y1518" i="34"/>
  <c r="AB1518" i="34"/>
  <c r="AC1518" i="34"/>
  <c r="P1519" i="34"/>
  <c r="T1519" i="34"/>
  <c r="U1519" i="34"/>
  <c r="V1519" i="34"/>
  <c r="W1519" i="34"/>
  <c r="Y1519" i="34"/>
  <c r="AB1519" i="34"/>
  <c r="AC1519" i="34"/>
  <c r="P1520" i="34"/>
  <c r="T1520" i="34"/>
  <c r="U1520" i="34"/>
  <c r="V1520" i="34"/>
  <c r="W1520" i="34"/>
  <c r="Y1520" i="34"/>
  <c r="AB1520" i="34"/>
  <c r="AC1520" i="34"/>
  <c r="P1521" i="34"/>
  <c r="T1521" i="34"/>
  <c r="U1521" i="34"/>
  <c r="V1521" i="34"/>
  <c r="W1521" i="34"/>
  <c r="Y1521" i="34"/>
  <c r="AB1521" i="34"/>
  <c r="AC1521" i="34"/>
  <c r="P1522" i="34"/>
  <c r="T1522" i="34"/>
  <c r="U1522" i="34"/>
  <c r="V1522" i="34"/>
  <c r="W1522" i="34"/>
  <c r="Y1522" i="34"/>
  <c r="AB1522" i="34"/>
  <c r="AC1522" i="34"/>
  <c r="P1523" i="34"/>
  <c r="T1523" i="34"/>
  <c r="U1523" i="34"/>
  <c r="V1523" i="34"/>
  <c r="W1523" i="34"/>
  <c r="Y1523" i="34"/>
  <c r="AB1523" i="34"/>
  <c r="AC1523" i="34"/>
  <c r="AD1523" i="34"/>
  <c r="P1524" i="34"/>
  <c r="T1524" i="34"/>
  <c r="U1524" i="34"/>
  <c r="V1524" i="34"/>
  <c r="W1524" i="34"/>
  <c r="Y1524" i="34"/>
  <c r="AB1524" i="34"/>
  <c r="AC1524" i="34"/>
  <c r="AD1524" i="34"/>
  <c r="P1525" i="34"/>
  <c r="T1525" i="34"/>
  <c r="U1525" i="34"/>
  <c r="V1525" i="34"/>
  <c r="W1525" i="34"/>
  <c r="Y1525" i="34"/>
  <c r="AB1525" i="34"/>
  <c r="AC1525" i="34"/>
  <c r="AD1525" i="34"/>
  <c r="P1526" i="34"/>
  <c r="T1526" i="34"/>
  <c r="U1526" i="34"/>
  <c r="V1526" i="34"/>
  <c r="W1526" i="34"/>
  <c r="Y1526" i="34"/>
  <c r="AB1526" i="34"/>
  <c r="AC1526" i="34"/>
  <c r="AD1526" i="34"/>
  <c r="P1527" i="34"/>
  <c r="T1527" i="34"/>
  <c r="U1527" i="34"/>
  <c r="V1527" i="34"/>
  <c r="W1527" i="34"/>
  <c r="Y1527" i="34"/>
  <c r="AB1527" i="34"/>
  <c r="AC1527" i="34"/>
  <c r="AD1527" i="34"/>
  <c r="P1528" i="34"/>
  <c r="T1528" i="34"/>
  <c r="U1528" i="34"/>
  <c r="V1528" i="34"/>
  <c r="W1528" i="34"/>
  <c r="Y1528" i="34"/>
  <c r="AB1528" i="34"/>
  <c r="AC1528" i="34"/>
  <c r="AD1528" i="34"/>
  <c r="P1529" i="34"/>
  <c r="T1529" i="34"/>
  <c r="U1529" i="34"/>
  <c r="V1529" i="34"/>
  <c r="W1529" i="34"/>
  <c r="Y1529" i="34"/>
  <c r="AB1529" i="34"/>
  <c r="AC1529" i="34"/>
  <c r="AD1529" i="34"/>
  <c r="P1530" i="34"/>
  <c r="T1530" i="34"/>
  <c r="U1530" i="34"/>
  <c r="V1530" i="34"/>
  <c r="W1530" i="34"/>
  <c r="Y1530" i="34"/>
  <c r="AB1530" i="34"/>
  <c r="AC1530" i="34"/>
  <c r="AD1530" i="34"/>
  <c r="P1531" i="34"/>
  <c r="T1531" i="34"/>
  <c r="U1531" i="34"/>
  <c r="V1531" i="34"/>
  <c r="W1531" i="34"/>
  <c r="Y1531" i="34"/>
  <c r="AB1531" i="34"/>
  <c r="AC1531" i="34"/>
  <c r="AD1531" i="34"/>
  <c r="P1532" i="34"/>
  <c r="T1532" i="34"/>
  <c r="U1532" i="34"/>
  <c r="V1532" i="34"/>
  <c r="W1532" i="34"/>
  <c r="Y1532" i="34"/>
  <c r="AB1532" i="34"/>
  <c r="AC1532" i="34"/>
  <c r="AD1532" i="34"/>
  <c r="P1533" i="34"/>
  <c r="T1533" i="34"/>
  <c r="U1533" i="34"/>
  <c r="V1533" i="34"/>
  <c r="W1533" i="34"/>
  <c r="Y1533" i="34"/>
  <c r="AB1533" i="34"/>
  <c r="AC1533" i="34"/>
  <c r="AD1533" i="34"/>
  <c r="P1534" i="34"/>
  <c r="T1534" i="34"/>
  <c r="U1534" i="34"/>
  <c r="V1534" i="34"/>
  <c r="W1534" i="34"/>
  <c r="Y1534" i="34"/>
  <c r="AB1534" i="34"/>
  <c r="AC1534" i="34"/>
  <c r="AD1534" i="34"/>
  <c r="P1535" i="34"/>
  <c r="T1535" i="34"/>
  <c r="U1535" i="34"/>
  <c r="V1535" i="34"/>
  <c r="W1535" i="34"/>
  <c r="Y1535" i="34"/>
  <c r="AB1535" i="34"/>
  <c r="AC1535" i="34"/>
  <c r="AD1535" i="34"/>
  <c r="P1536" i="34"/>
  <c r="T1536" i="34"/>
  <c r="U1536" i="34"/>
  <c r="V1536" i="34"/>
  <c r="W1536" i="34"/>
  <c r="Y1536" i="34"/>
  <c r="AB1536" i="34"/>
  <c r="AC1536" i="34"/>
  <c r="AD1536" i="34"/>
  <c r="P1537" i="34"/>
  <c r="T1537" i="34"/>
  <c r="U1537" i="34"/>
  <c r="V1537" i="34"/>
  <c r="W1537" i="34"/>
  <c r="Y1537" i="34"/>
  <c r="AB1537" i="34"/>
  <c r="AC1537" i="34"/>
  <c r="AD1537" i="34"/>
  <c r="P1538" i="34"/>
  <c r="T1538" i="34"/>
  <c r="U1538" i="34"/>
  <c r="V1538" i="34"/>
  <c r="W1538" i="34"/>
  <c r="Y1538" i="34"/>
  <c r="AB1538" i="34"/>
  <c r="AC1538" i="34"/>
  <c r="AD1538" i="34"/>
  <c r="P1539" i="34"/>
  <c r="T1539" i="34"/>
  <c r="U1539" i="34"/>
  <c r="V1539" i="34"/>
  <c r="W1539" i="34"/>
  <c r="Y1539" i="34"/>
  <c r="AB1539" i="34"/>
  <c r="AC1539" i="34"/>
  <c r="AD1539" i="34"/>
  <c r="P1540" i="34"/>
  <c r="T1540" i="34"/>
  <c r="U1540" i="34"/>
  <c r="V1540" i="34"/>
  <c r="W1540" i="34"/>
  <c r="Y1540" i="34"/>
  <c r="AB1540" i="34"/>
  <c r="AC1540" i="34"/>
  <c r="AD1540" i="34"/>
  <c r="P1541" i="34"/>
  <c r="T1541" i="34"/>
  <c r="U1541" i="34"/>
  <c r="V1541" i="34"/>
  <c r="W1541" i="34"/>
  <c r="Y1541" i="34"/>
  <c r="AB1541" i="34"/>
  <c r="AC1541" i="34"/>
  <c r="AD1541" i="34"/>
  <c r="P1542" i="34"/>
  <c r="T1542" i="34"/>
  <c r="U1542" i="34"/>
  <c r="V1542" i="34"/>
  <c r="W1542" i="34"/>
  <c r="Y1542" i="34"/>
  <c r="AB1542" i="34"/>
  <c r="AC1542" i="34"/>
  <c r="AD1542" i="34"/>
  <c r="P1543" i="34"/>
  <c r="T1543" i="34"/>
  <c r="U1543" i="34"/>
  <c r="V1543" i="34"/>
  <c r="W1543" i="34"/>
  <c r="Y1543" i="34"/>
  <c r="AB1543" i="34"/>
  <c r="AC1543" i="34"/>
  <c r="AD1543" i="34"/>
  <c r="P1544" i="34"/>
  <c r="T1544" i="34"/>
  <c r="U1544" i="34"/>
  <c r="V1544" i="34"/>
  <c r="W1544" i="34"/>
  <c r="Y1544" i="34"/>
  <c r="AB1544" i="34"/>
  <c r="AC1544" i="34"/>
  <c r="P1545" i="34"/>
  <c r="T1545" i="34"/>
  <c r="U1545" i="34"/>
  <c r="V1545" i="34"/>
  <c r="W1545" i="34"/>
  <c r="Y1545" i="34"/>
  <c r="AB1545" i="34"/>
  <c r="AC1545" i="34"/>
  <c r="P1546" i="34"/>
  <c r="T1546" i="34"/>
  <c r="U1546" i="34"/>
  <c r="V1546" i="34"/>
  <c r="W1546" i="34"/>
  <c r="Y1546" i="34"/>
  <c r="AB1546" i="34"/>
  <c r="AC1546" i="34"/>
  <c r="P1547" i="34"/>
  <c r="T1547" i="34"/>
  <c r="U1547" i="34"/>
  <c r="V1547" i="34"/>
  <c r="W1547" i="34"/>
  <c r="Y1547" i="34"/>
  <c r="AB1547" i="34"/>
  <c r="AC1547" i="34"/>
  <c r="P1548" i="34"/>
  <c r="T1548" i="34"/>
  <c r="U1548" i="34"/>
  <c r="V1548" i="34"/>
  <c r="W1548" i="34"/>
  <c r="Y1548" i="34"/>
  <c r="AB1548" i="34"/>
  <c r="AC1548" i="34"/>
  <c r="P1549" i="34"/>
  <c r="T1549" i="34"/>
  <c r="U1549" i="34"/>
  <c r="V1549" i="34"/>
  <c r="W1549" i="34"/>
  <c r="Y1549" i="34"/>
  <c r="AB1549" i="34"/>
  <c r="AC1549" i="34"/>
  <c r="P1550" i="34"/>
  <c r="T1550" i="34"/>
  <c r="U1550" i="34"/>
  <c r="V1550" i="34"/>
  <c r="W1550" i="34"/>
  <c r="Y1550" i="34"/>
  <c r="AB1550" i="34"/>
  <c r="AC1550" i="34"/>
  <c r="P1551" i="34"/>
  <c r="T1551" i="34"/>
  <c r="U1551" i="34"/>
  <c r="V1551" i="34"/>
  <c r="W1551" i="34"/>
  <c r="Y1551" i="34"/>
  <c r="AB1551" i="34"/>
  <c r="AC1551" i="34"/>
  <c r="P1552" i="34"/>
  <c r="T1552" i="34"/>
  <c r="U1552" i="34"/>
  <c r="V1552" i="34"/>
  <c r="W1552" i="34"/>
  <c r="Y1552" i="34"/>
  <c r="AB1552" i="34"/>
  <c r="AC1552" i="34"/>
  <c r="P1553" i="34"/>
  <c r="T1553" i="34"/>
  <c r="U1553" i="34"/>
  <c r="V1553" i="34"/>
  <c r="W1553" i="34"/>
  <c r="Y1553" i="34"/>
  <c r="AB1553" i="34"/>
  <c r="AC1553" i="34"/>
  <c r="P1554" i="34"/>
  <c r="T1554" i="34"/>
  <c r="U1554" i="34"/>
  <c r="V1554" i="34"/>
  <c r="W1554" i="34"/>
  <c r="Y1554" i="34"/>
  <c r="AB1554" i="34"/>
  <c r="AC1554" i="34"/>
  <c r="P1555" i="34"/>
  <c r="T1555" i="34"/>
  <c r="U1555" i="34"/>
  <c r="V1555" i="34"/>
  <c r="W1555" i="34"/>
  <c r="Y1555" i="34"/>
  <c r="AB1555" i="34"/>
  <c r="AC1555" i="34"/>
  <c r="P1556" i="34"/>
  <c r="T1556" i="34"/>
  <c r="U1556" i="34"/>
  <c r="V1556" i="34"/>
  <c r="W1556" i="34"/>
  <c r="Y1556" i="34"/>
  <c r="AB1556" i="34"/>
  <c r="AC1556" i="34"/>
  <c r="P1557" i="34"/>
  <c r="T1557" i="34"/>
  <c r="U1557" i="34"/>
  <c r="V1557" i="34"/>
  <c r="W1557" i="34"/>
  <c r="Y1557" i="34"/>
  <c r="AB1557" i="34"/>
  <c r="AC1557" i="34"/>
  <c r="P1558" i="34"/>
  <c r="T1558" i="34"/>
  <c r="U1558" i="34"/>
  <c r="V1558" i="34"/>
  <c r="W1558" i="34"/>
  <c r="Y1558" i="34"/>
  <c r="AB1558" i="34"/>
  <c r="AC1558" i="34"/>
  <c r="P1615" i="34"/>
  <c r="T1615" i="34"/>
  <c r="U1615" i="34"/>
  <c r="V1615" i="34"/>
  <c r="W1615" i="34"/>
  <c r="Y1615" i="34"/>
  <c r="AB1615" i="34"/>
  <c r="AC1615" i="34"/>
  <c r="AD1615" i="34"/>
  <c r="P1616" i="34"/>
  <c r="T1616" i="34"/>
  <c r="U1616" i="34"/>
  <c r="V1616" i="34"/>
  <c r="W1616" i="34"/>
  <c r="Y1616" i="34"/>
  <c r="AB1616" i="34"/>
  <c r="AC1616" i="34"/>
  <c r="AD1616" i="34"/>
  <c r="P1617" i="34"/>
  <c r="T1617" i="34"/>
  <c r="U1617" i="34"/>
  <c r="V1617" i="34"/>
  <c r="W1617" i="34"/>
  <c r="Y1617" i="34"/>
  <c r="AB1617" i="34"/>
  <c r="AC1617" i="34"/>
  <c r="AD1617" i="34"/>
  <c r="P1618" i="34"/>
  <c r="T1618" i="34"/>
  <c r="U1618" i="34"/>
  <c r="V1618" i="34"/>
  <c r="W1618" i="34"/>
  <c r="Y1618" i="34"/>
  <c r="AB1618" i="34"/>
  <c r="AC1618" i="34"/>
  <c r="AD1618" i="34"/>
  <c r="P1619" i="34"/>
  <c r="T1619" i="34"/>
  <c r="U1619" i="34"/>
  <c r="V1619" i="34"/>
  <c r="W1619" i="34"/>
  <c r="Y1619" i="34"/>
  <c r="AB1619" i="34"/>
  <c r="AC1619" i="34"/>
  <c r="AD1619" i="34"/>
  <c r="P1620" i="34"/>
  <c r="T1620" i="34"/>
  <c r="U1620" i="34"/>
  <c r="V1620" i="34"/>
  <c r="W1620" i="34"/>
  <c r="Y1620" i="34"/>
  <c r="AB1620" i="34"/>
  <c r="AC1620" i="34"/>
  <c r="AD1620" i="34"/>
  <c r="P1621" i="34"/>
  <c r="T1621" i="34"/>
  <c r="U1621" i="34"/>
  <c r="V1621" i="34"/>
  <c r="W1621" i="34"/>
  <c r="Y1621" i="34"/>
  <c r="AB1621" i="34"/>
  <c r="AC1621" i="34"/>
  <c r="AD1621" i="34"/>
  <c r="P1622" i="34"/>
  <c r="T1622" i="34"/>
  <c r="U1622" i="34"/>
  <c r="V1622" i="34"/>
  <c r="W1622" i="34"/>
  <c r="Y1622" i="34"/>
  <c r="AB1622" i="34"/>
  <c r="AC1622" i="34"/>
  <c r="AD1622" i="34"/>
  <c r="P1623" i="34"/>
  <c r="T1623" i="34"/>
  <c r="U1623" i="34"/>
  <c r="V1623" i="34"/>
  <c r="W1623" i="34"/>
  <c r="Y1623" i="34"/>
  <c r="AB1623" i="34"/>
  <c r="AC1623" i="34"/>
  <c r="AD1623" i="34"/>
  <c r="P1624" i="34"/>
  <c r="T1624" i="34"/>
  <c r="U1624" i="34"/>
  <c r="V1624" i="34"/>
  <c r="W1624" i="34"/>
  <c r="Y1624" i="34"/>
  <c r="AB1624" i="34"/>
  <c r="AC1624" i="34"/>
  <c r="AD1624" i="34"/>
  <c r="P1625" i="34"/>
  <c r="T1625" i="34"/>
  <c r="U1625" i="34"/>
  <c r="V1625" i="34"/>
  <c r="W1625" i="34"/>
  <c r="Y1625" i="34"/>
  <c r="AB1625" i="34"/>
  <c r="AC1625" i="34"/>
  <c r="AD1625" i="34"/>
  <c r="P1626" i="34"/>
  <c r="T1626" i="34"/>
  <c r="U1626" i="34"/>
  <c r="V1626" i="34"/>
  <c r="W1626" i="34"/>
  <c r="Y1626" i="34"/>
  <c r="AB1626" i="34"/>
  <c r="AC1626" i="34"/>
  <c r="AD1626" i="34"/>
  <c r="P1627" i="34"/>
  <c r="T1627" i="34"/>
  <c r="U1627" i="34"/>
  <c r="V1627" i="34"/>
  <c r="W1627" i="34"/>
  <c r="Y1627" i="34"/>
  <c r="AB1627" i="34"/>
  <c r="AC1627" i="34"/>
  <c r="AD1627" i="34"/>
  <c r="P1628" i="34"/>
  <c r="T1628" i="34"/>
  <c r="U1628" i="34"/>
  <c r="V1628" i="34"/>
  <c r="W1628" i="34"/>
  <c r="Y1628" i="34"/>
  <c r="AB1628" i="34"/>
  <c r="AC1628" i="34"/>
  <c r="AD1628" i="34"/>
  <c r="P1629" i="34"/>
  <c r="T1629" i="34"/>
  <c r="U1629" i="34"/>
  <c r="V1629" i="34"/>
  <c r="W1629" i="34"/>
  <c r="Y1629" i="34"/>
  <c r="AB1629" i="34"/>
  <c r="AC1629" i="34"/>
  <c r="AD1629" i="34"/>
  <c r="P1630" i="34"/>
  <c r="T1630" i="34"/>
  <c r="U1630" i="34"/>
  <c r="V1630" i="34"/>
  <c r="W1630" i="34"/>
  <c r="Y1630" i="34"/>
  <c r="AB1630" i="34"/>
  <c r="AC1630" i="34"/>
  <c r="AD1630" i="34"/>
  <c r="P1631" i="34"/>
  <c r="T1631" i="34"/>
  <c r="U1631" i="34"/>
  <c r="V1631" i="34"/>
  <c r="W1631" i="34"/>
  <c r="Y1631" i="34"/>
  <c r="AB1631" i="34"/>
  <c r="AC1631" i="34"/>
  <c r="AD1631" i="34"/>
  <c r="P1632" i="34"/>
  <c r="T1632" i="34"/>
  <c r="U1632" i="34"/>
  <c r="V1632" i="34"/>
  <c r="W1632" i="34"/>
  <c r="Y1632" i="34"/>
  <c r="AB1632" i="34"/>
  <c r="AC1632" i="34"/>
  <c r="AD1632" i="34"/>
  <c r="P1633" i="34"/>
  <c r="T1633" i="34"/>
  <c r="U1633" i="34"/>
  <c r="V1633" i="34"/>
  <c r="W1633" i="34"/>
  <c r="Y1633" i="34"/>
  <c r="AB1633" i="34"/>
  <c r="AC1633" i="34"/>
  <c r="AD1633" i="34"/>
  <c r="P1634" i="34"/>
  <c r="T1634" i="34"/>
  <c r="U1634" i="34"/>
  <c r="V1634" i="34"/>
  <c r="W1634" i="34"/>
  <c r="Y1634" i="34"/>
  <c r="AB1634" i="34"/>
  <c r="AC1634" i="34"/>
  <c r="AD1634" i="34"/>
  <c r="P1635" i="34"/>
  <c r="T1635" i="34"/>
  <c r="U1635" i="34"/>
  <c r="V1635" i="34"/>
  <c r="W1635" i="34"/>
  <c r="Y1635" i="34"/>
  <c r="AB1635" i="34"/>
  <c r="AC1635" i="34"/>
  <c r="AD1635" i="34"/>
  <c r="P1636" i="34"/>
  <c r="T1636" i="34"/>
  <c r="U1636" i="34"/>
  <c r="V1636" i="34"/>
  <c r="W1636" i="34"/>
  <c r="Y1636" i="34"/>
  <c r="AB1636" i="34"/>
  <c r="AC1636" i="34"/>
  <c r="AD1636" i="34"/>
  <c r="P1637" i="34"/>
  <c r="T1637" i="34"/>
  <c r="U1637" i="34"/>
  <c r="V1637" i="34"/>
  <c r="W1637" i="34"/>
  <c r="Y1637" i="34"/>
  <c r="AB1637" i="34"/>
  <c r="AC1637" i="34"/>
  <c r="AD1637" i="34"/>
  <c r="P1638" i="34"/>
  <c r="T1638" i="34"/>
  <c r="U1638" i="34"/>
  <c r="V1638" i="34"/>
  <c r="W1638" i="34"/>
  <c r="Y1638" i="34"/>
  <c r="AB1638" i="34"/>
  <c r="AC1638" i="34"/>
  <c r="AD1638" i="34"/>
  <c r="P1639" i="34"/>
  <c r="T1639" i="34"/>
  <c r="U1639" i="34"/>
  <c r="V1639" i="34"/>
  <c r="W1639" i="34"/>
  <c r="Y1639" i="34"/>
  <c r="AB1639" i="34"/>
  <c r="AC1639" i="34"/>
  <c r="AD1639" i="34"/>
  <c r="P1640" i="34"/>
  <c r="T1640" i="34"/>
  <c r="U1640" i="34"/>
  <c r="V1640" i="34"/>
  <c r="W1640" i="34"/>
  <c r="Y1640" i="34"/>
  <c r="AB1640" i="34"/>
  <c r="AC1640" i="34"/>
  <c r="AD1640" i="34"/>
  <c r="P1641" i="34"/>
  <c r="T1641" i="34"/>
  <c r="U1641" i="34"/>
  <c r="V1641" i="34"/>
  <c r="W1641" i="34"/>
  <c r="Y1641" i="34"/>
  <c r="AB1641" i="34"/>
  <c r="AC1641" i="34"/>
  <c r="AD1641" i="34"/>
  <c r="P1642" i="34"/>
  <c r="T1642" i="34"/>
  <c r="U1642" i="34"/>
  <c r="V1642" i="34"/>
  <c r="W1642" i="34"/>
  <c r="Y1642" i="34"/>
  <c r="AB1642" i="34"/>
  <c r="AC1642" i="34"/>
  <c r="AD1642" i="34"/>
  <c r="P1643" i="34"/>
  <c r="T1643" i="34"/>
  <c r="U1643" i="34"/>
  <c r="V1643" i="34"/>
  <c r="W1643" i="34"/>
  <c r="Y1643" i="34"/>
  <c r="AB1643" i="34"/>
  <c r="AC1643" i="34"/>
  <c r="AD1643" i="34"/>
  <c r="P1644" i="34"/>
  <c r="T1644" i="34"/>
  <c r="U1644" i="34"/>
  <c r="V1644" i="34"/>
  <c r="W1644" i="34"/>
  <c r="Y1644" i="34"/>
  <c r="AB1644" i="34"/>
  <c r="AC1644" i="34"/>
  <c r="AD1644" i="34"/>
  <c r="P1645" i="34"/>
  <c r="T1645" i="34"/>
  <c r="U1645" i="34"/>
  <c r="V1645" i="34"/>
  <c r="W1645" i="34"/>
  <c r="Y1645" i="34"/>
  <c r="AB1645" i="34"/>
  <c r="AC1645" i="34"/>
  <c r="AD1645" i="34"/>
  <c r="P1646" i="34"/>
  <c r="T1646" i="34"/>
  <c r="U1646" i="34"/>
  <c r="V1646" i="34"/>
  <c r="W1646" i="34"/>
  <c r="Y1646" i="34"/>
  <c r="AB1646" i="34"/>
  <c r="AC1646" i="34"/>
  <c r="AD1646" i="34"/>
  <c r="P1647" i="34"/>
  <c r="T1647" i="34"/>
  <c r="U1647" i="34"/>
  <c r="V1647" i="34"/>
  <c r="W1647" i="34"/>
  <c r="Y1647" i="34"/>
  <c r="AB1647" i="34"/>
  <c r="AC1647" i="34"/>
  <c r="AD1647" i="34"/>
  <c r="P1648" i="34"/>
  <c r="T1648" i="34"/>
  <c r="U1648" i="34"/>
  <c r="V1648" i="34"/>
  <c r="W1648" i="34"/>
  <c r="Y1648" i="34"/>
  <c r="AB1648" i="34"/>
  <c r="AC1648" i="34"/>
  <c r="AD1648" i="34"/>
  <c r="P1649" i="34"/>
  <c r="T1649" i="34"/>
  <c r="U1649" i="34"/>
  <c r="V1649" i="34"/>
  <c r="W1649" i="34"/>
  <c r="Y1649" i="34"/>
  <c r="AB1649" i="34"/>
  <c r="AC1649" i="34"/>
  <c r="AD1649" i="34"/>
  <c r="P1650" i="34"/>
  <c r="T1650" i="34"/>
  <c r="U1650" i="34"/>
  <c r="V1650" i="34"/>
  <c r="W1650" i="34"/>
  <c r="Y1650" i="34"/>
  <c r="AB1650" i="34"/>
  <c r="AC1650" i="34"/>
  <c r="AD1650" i="34"/>
  <c r="P1651" i="34"/>
  <c r="T1651" i="34"/>
  <c r="U1651" i="34"/>
  <c r="V1651" i="34"/>
  <c r="W1651" i="34"/>
  <c r="Y1651" i="34"/>
  <c r="AB1651" i="34"/>
  <c r="AC1651" i="34"/>
  <c r="AD1651" i="34"/>
  <c r="P1652" i="34"/>
  <c r="T1652" i="34"/>
  <c r="U1652" i="34"/>
  <c r="V1652" i="34"/>
  <c r="W1652" i="34"/>
  <c r="Y1652" i="34"/>
  <c r="AB1652" i="34"/>
  <c r="AC1652" i="34"/>
  <c r="AD1652" i="34"/>
  <c r="P1653" i="34"/>
  <c r="T1653" i="34"/>
  <c r="U1653" i="34"/>
  <c r="V1653" i="34"/>
  <c r="W1653" i="34"/>
  <c r="Y1653" i="34"/>
  <c r="AB1653" i="34"/>
  <c r="AC1653" i="34"/>
  <c r="AD1653" i="34"/>
  <c r="P1654" i="34"/>
  <c r="T1654" i="34"/>
  <c r="U1654" i="34"/>
  <c r="V1654" i="34"/>
  <c r="W1654" i="34"/>
  <c r="Y1654" i="34"/>
  <c r="AB1654" i="34"/>
  <c r="AC1654" i="34"/>
  <c r="AD1654" i="34"/>
  <c r="P1655" i="34"/>
  <c r="T1655" i="34"/>
  <c r="U1655" i="34"/>
  <c r="V1655" i="34"/>
  <c r="W1655" i="34"/>
  <c r="Y1655" i="34"/>
  <c r="AB1655" i="34"/>
  <c r="AC1655" i="34"/>
  <c r="AD1655" i="34"/>
  <c r="P1656" i="34"/>
  <c r="T1656" i="34"/>
  <c r="U1656" i="34"/>
  <c r="V1656" i="34"/>
  <c r="W1656" i="34"/>
  <c r="Y1656" i="34"/>
  <c r="AB1656" i="34"/>
  <c r="AC1656" i="34"/>
  <c r="AD1656" i="34"/>
  <c r="P1657" i="34"/>
  <c r="T1657" i="34"/>
  <c r="U1657" i="34"/>
  <c r="V1657" i="34"/>
  <c r="W1657" i="34"/>
  <c r="Y1657" i="34"/>
  <c r="AB1657" i="34"/>
  <c r="AC1657" i="34"/>
  <c r="AD1657" i="34"/>
  <c r="P1658" i="34"/>
  <c r="T1658" i="34"/>
  <c r="U1658" i="34"/>
  <c r="V1658" i="34"/>
  <c r="W1658" i="34"/>
  <c r="Y1658" i="34"/>
  <c r="AB1658" i="34"/>
  <c r="AC1658" i="34"/>
  <c r="AD1658" i="34"/>
  <c r="P1659" i="34"/>
  <c r="T1659" i="34"/>
  <c r="U1659" i="34"/>
  <c r="V1659" i="34"/>
  <c r="W1659" i="34"/>
  <c r="Y1659" i="34"/>
  <c r="AB1659" i="34"/>
  <c r="AC1659" i="34"/>
  <c r="AD1659" i="34"/>
  <c r="P1660" i="34"/>
  <c r="T1660" i="34"/>
  <c r="U1660" i="34"/>
  <c r="V1660" i="34"/>
  <c r="W1660" i="34"/>
  <c r="Y1660" i="34"/>
  <c r="AB1660" i="34"/>
  <c r="AC1660" i="34"/>
  <c r="AD1660" i="34"/>
  <c r="P1661" i="34"/>
  <c r="T1661" i="34"/>
  <c r="U1661" i="34"/>
  <c r="V1661" i="34"/>
  <c r="W1661" i="34"/>
  <c r="Y1661" i="34"/>
  <c r="AB1661" i="34"/>
  <c r="AC1661" i="34"/>
  <c r="AD1661" i="34"/>
  <c r="P1663" i="34"/>
  <c r="T1663" i="34"/>
  <c r="U1663" i="34"/>
  <c r="V1663" i="34"/>
  <c r="W1663" i="34"/>
  <c r="Y1663" i="34"/>
  <c r="AB1663" i="34"/>
  <c r="AC1663" i="34"/>
  <c r="AD1663" i="34"/>
  <c r="P1664" i="34"/>
  <c r="T1664" i="34"/>
  <c r="U1664" i="34"/>
  <c r="V1664" i="34"/>
  <c r="W1664" i="34"/>
  <c r="Y1664" i="34"/>
  <c r="AB1664" i="34"/>
  <c r="AC1664" i="34"/>
  <c r="AD1664" i="34"/>
  <c r="P1665" i="34"/>
  <c r="T1665" i="34"/>
  <c r="U1665" i="34"/>
  <c r="V1665" i="34"/>
  <c r="W1665" i="34"/>
  <c r="Y1665" i="34"/>
  <c r="AB1665" i="34"/>
  <c r="AC1665" i="34"/>
  <c r="AD1665" i="34"/>
  <c r="P1666" i="34"/>
  <c r="T1666" i="34"/>
  <c r="U1666" i="34"/>
  <c r="V1666" i="34"/>
  <c r="W1666" i="34"/>
  <c r="Y1666" i="34"/>
  <c r="AB1666" i="34"/>
  <c r="AC1666" i="34"/>
  <c r="AD1666" i="34"/>
  <c r="P1667" i="34"/>
  <c r="T1667" i="34"/>
  <c r="U1667" i="34"/>
  <c r="V1667" i="34"/>
  <c r="W1667" i="34"/>
  <c r="Y1667" i="34"/>
  <c r="AB1667" i="34"/>
  <c r="AC1667" i="34"/>
  <c r="P1668" i="34"/>
  <c r="T1668" i="34"/>
  <c r="U1668" i="34"/>
  <c r="V1668" i="34"/>
  <c r="W1668" i="34"/>
  <c r="Y1668" i="34"/>
  <c r="AB1668" i="34"/>
  <c r="AC1668" i="34"/>
  <c r="P1669" i="34"/>
  <c r="T1669" i="34"/>
  <c r="U1669" i="34"/>
  <c r="V1669" i="34"/>
  <c r="W1669" i="34"/>
  <c r="Y1669" i="34"/>
  <c r="AB1669" i="34"/>
  <c r="AC1669" i="34"/>
  <c r="P1670" i="34"/>
  <c r="T1670" i="34"/>
  <c r="U1670" i="34"/>
  <c r="V1670" i="34"/>
  <c r="W1670" i="34"/>
  <c r="Y1670" i="34"/>
  <c r="AB1670" i="34"/>
  <c r="AC1670" i="34"/>
  <c r="P1671" i="34"/>
  <c r="T1671" i="34"/>
  <c r="U1671" i="34"/>
  <c r="V1671" i="34"/>
  <c r="W1671" i="34"/>
  <c r="Y1671" i="34"/>
  <c r="AB1671" i="34"/>
  <c r="AC1671" i="34"/>
  <c r="P1672" i="34"/>
  <c r="T1672" i="34"/>
  <c r="U1672" i="34"/>
  <c r="V1672" i="34"/>
  <c r="W1672" i="34"/>
  <c r="Y1672" i="34"/>
  <c r="AB1672" i="34"/>
  <c r="AC1672" i="34"/>
  <c r="P1673" i="34"/>
  <c r="T1673" i="34"/>
  <c r="U1673" i="34"/>
  <c r="V1673" i="34"/>
  <c r="W1673" i="34"/>
  <c r="Y1673" i="34"/>
  <c r="AB1673" i="34"/>
  <c r="AC1673" i="34"/>
  <c r="P1674" i="34"/>
  <c r="T1674" i="34"/>
  <c r="U1674" i="34"/>
  <c r="V1674" i="34"/>
  <c r="W1674" i="34"/>
  <c r="Y1674" i="34"/>
  <c r="AB1674" i="34"/>
  <c r="AC1674" i="34"/>
  <c r="P1675" i="34"/>
  <c r="T1675" i="34"/>
  <c r="U1675" i="34"/>
  <c r="V1675" i="34"/>
  <c r="W1675" i="34"/>
  <c r="Y1675" i="34"/>
  <c r="AB1675" i="34"/>
  <c r="AC1675" i="34"/>
  <c r="P1676" i="34"/>
  <c r="T1676" i="34"/>
  <c r="U1676" i="34"/>
  <c r="V1676" i="34"/>
  <c r="W1676" i="34"/>
  <c r="Y1676" i="34"/>
  <c r="AB1676" i="34"/>
  <c r="AC1676" i="34"/>
  <c r="P1677" i="34"/>
  <c r="T1677" i="34"/>
  <c r="U1677" i="34"/>
  <c r="V1677" i="34"/>
  <c r="W1677" i="34"/>
  <c r="Y1677" i="34"/>
  <c r="AB1677" i="34"/>
  <c r="AC1677" i="34"/>
  <c r="P1678" i="34"/>
  <c r="T1678" i="34"/>
  <c r="U1678" i="34"/>
  <c r="V1678" i="34"/>
  <c r="W1678" i="34"/>
  <c r="Y1678" i="34"/>
  <c r="AB1678" i="34"/>
  <c r="AC1678" i="34"/>
  <c r="P1679" i="34"/>
  <c r="T1679" i="34"/>
  <c r="U1679" i="34"/>
  <c r="V1679" i="34"/>
  <c r="W1679" i="34"/>
  <c r="Y1679" i="34"/>
  <c r="AB1679" i="34"/>
  <c r="AC1679" i="34"/>
  <c r="P1680" i="34"/>
  <c r="T1680" i="34"/>
  <c r="U1680" i="34"/>
  <c r="V1680" i="34"/>
  <c r="W1680" i="34"/>
  <c r="Y1680" i="34"/>
  <c r="AB1680" i="34"/>
  <c r="AC1680" i="34"/>
  <c r="P1681" i="34"/>
  <c r="T1681" i="34"/>
  <c r="U1681" i="34"/>
  <c r="V1681" i="34"/>
  <c r="W1681" i="34"/>
  <c r="Y1681" i="34"/>
  <c r="AB1681" i="34"/>
  <c r="AC1681" i="34"/>
  <c r="P1682" i="34"/>
  <c r="T1682" i="34"/>
  <c r="U1682" i="34"/>
  <c r="V1682" i="34"/>
  <c r="W1682" i="34"/>
  <c r="Y1682" i="34"/>
  <c r="AB1682" i="34"/>
  <c r="AC1682" i="34"/>
  <c r="P1683" i="34"/>
  <c r="T1683" i="34"/>
  <c r="U1683" i="34"/>
  <c r="V1683" i="34"/>
  <c r="W1683" i="34"/>
  <c r="Y1683" i="34"/>
  <c r="AB1683" i="34"/>
  <c r="AC1683" i="34"/>
  <c r="P1684" i="34"/>
  <c r="T1684" i="34"/>
  <c r="U1684" i="34"/>
  <c r="V1684" i="34"/>
  <c r="W1684" i="34"/>
  <c r="Y1684" i="34"/>
  <c r="AB1684" i="34"/>
  <c r="AC1684" i="34"/>
  <c r="P1685" i="34"/>
  <c r="T1685" i="34"/>
  <c r="U1685" i="34"/>
  <c r="V1685" i="34"/>
  <c r="W1685" i="34"/>
  <c r="Y1685" i="34"/>
  <c r="AB1685" i="34"/>
  <c r="AC1685" i="34"/>
  <c r="P1686" i="34"/>
  <c r="T1686" i="34"/>
  <c r="U1686" i="34"/>
  <c r="V1686" i="34"/>
  <c r="W1686" i="34"/>
  <c r="Y1686" i="34"/>
  <c r="AB1686" i="34"/>
  <c r="AC1686" i="34"/>
  <c r="P1687" i="34"/>
  <c r="T1687" i="34"/>
  <c r="U1687" i="34"/>
  <c r="V1687" i="34"/>
  <c r="W1687" i="34"/>
  <c r="Y1687" i="34"/>
  <c r="AB1687" i="34"/>
  <c r="AC1687" i="34"/>
  <c r="AD1687" i="34"/>
  <c r="P1688" i="34"/>
  <c r="T1688" i="34"/>
  <c r="U1688" i="34"/>
  <c r="V1688" i="34"/>
  <c r="W1688" i="34"/>
  <c r="Y1688" i="34"/>
  <c r="AB1688" i="34"/>
  <c r="AC1688" i="34"/>
  <c r="AD1688" i="34"/>
  <c r="P1689" i="34"/>
  <c r="T1689" i="34"/>
  <c r="U1689" i="34"/>
  <c r="V1689" i="34"/>
  <c r="W1689" i="34"/>
  <c r="Y1689" i="34"/>
  <c r="AB1689" i="34"/>
  <c r="AC1689" i="34"/>
  <c r="AD1689" i="34"/>
  <c r="P1690" i="34"/>
  <c r="T1690" i="34"/>
  <c r="U1690" i="34"/>
  <c r="V1690" i="34"/>
  <c r="W1690" i="34"/>
  <c r="Y1690" i="34"/>
  <c r="AB1690" i="34"/>
  <c r="AC1690" i="34"/>
  <c r="AD1690" i="34"/>
  <c r="P1691" i="34"/>
  <c r="T1691" i="34"/>
  <c r="U1691" i="34"/>
  <c r="V1691" i="34"/>
  <c r="W1691" i="34"/>
  <c r="Y1691" i="34"/>
  <c r="AB1691" i="34"/>
  <c r="AC1691" i="34"/>
  <c r="AD1691" i="34"/>
  <c r="P1692" i="34"/>
  <c r="T1692" i="34"/>
  <c r="U1692" i="34"/>
  <c r="V1692" i="34"/>
  <c r="W1692" i="34"/>
  <c r="Y1692" i="34"/>
  <c r="AB1692" i="34"/>
  <c r="AC1692" i="34"/>
  <c r="AD1692" i="34"/>
  <c r="P1693" i="34"/>
  <c r="T1693" i="34"/>
  <c r="U1693" i="34"/>
  <c r="V1693" i="34"/>
  <c r="W1693" i="34"/>
  <c r="Y1693" i="34"/>
  <c r="AB1693" i="34"/>
  <c r="AC1693" i="34"/>
  <c r="AD1693" i="34"/>
  <c r="P1694" i="34"/>
  <c r="T1694" i="34"/>
  <c r="U1694" i="34"/>
  <c r="V1694" i="34"/>
  <c r="W1694" i="34"/>
  <c r="Y1694" i="34"/>
  <c r="AB1694" i="34"/>
  <c r="AC1694" i="34"/>
  <c r="AD1694" i="34"/>
  <c r="P1695" i="34"/>
  <c r="T1695" i="34"/>
  <c r="U1695" i="34"/>
  <c r="V1695" i="34"/>
  <c r="W1695" i="34"/>
  <c r="Y1695" i="34"/>
  <c r="AB1695" i="34"/>
  <c r="AC1695" i="34"/>
  <c r="AD1695" i="34"/>
  <c r="P1696" i="34"/>
  <c r="T1696" i="34"/>
  <c r="U1696" i="34"/>
  <c r="V1696" i="34"/>
  <c r="W1696" i="34"/>
  <c r="Y1696" i="34"/>
  <c r="AB1696" i="34"/>
  <c r="AC1696" i="34"/>
  <c r="AD1696" i="34"/>
  <c r="P1697" i="34"/>
  <c r="T1697" i="34"/>
  <c r="U1697" i="34"/>
  <c r="V1697" i="34"/>
  <c r="W1697" i="34"/>
  <c r="Y1697" i="34"/>
  <c r="AB1697" i="34"/>
  <c r="AC1697" i="34"/>
  <c r="AD1697" i="34"/>
  <c r="P1698" i="34"/>
  <c r="T1698" i="34"/>
  <c r="U1698" i="34"/>
  <c r="V1698" i="34"/>
  <c r="W1698" i="34"/>
  <c r="Y1698" i="34"/>
  <c r="AB1698" i="34"/>
  <c r="AC1698" i="34"/>
  <c r="AD1698" i="34"/>
  <c r="P1699" i="34"/>
  <c r="T1699" i="34"/>
  <c r="U1699" i="34"/>
  <c r="V1699" i="34"/>
  <c r="W1699" i="34"/>
  <c r="Y1699" i="34"/>
  <c r="AB1699" i="34"/>
  <c r="AC1699" i="34"/>
  <c r="AD1699" i="34"/>
  <c r="P1700" i="34"/>
  <c r="T1700" i="34"/>
  <c r="U1700" i="34"/>
  <c r="V1700" i="34"/>
  <c r="W1700" i="34"/>
  <c r="Y1700" i="34"/>
  <c r="AB1700" i="34"/>
  <c r="AC1700" i="34"/>
  <c r="AD1700" i="34"/>
  <c r="P1701" i="34"/>
  <c r="T1701" i="34"/>
  <c r="U1701" i="34"/>
  <c r="V1701" i="34"/>
  <c r="W1701" i="34"/>
  <c r="Y1701" i="34"/>
  <c r="AB1701" i="34"/>
  <c r="AC1701" i="34"/>
  <c r="AD1701" i="34"/>
  <c r="P1702" i="34"/>
  <c r="T1702" i="34"/>
  <c r="U1702" i="34"/>
  <c r="V1702" i="34"/>
  <c r="W1702" i="34"/>
  <c r="Y1702" i="34"/>
  <c r="AB1702" i="34"/>
  <c r="AC1702" i="34"/>
  <c r="AD1702" i="34"/>
  <c r="P1703" i="34"/>
  <c r="T1703" i="34"/>
  <c r="U1703" i="34"/>
  <c r="V1703" i="34"/>
  <c r="W1703" i="34"/>
  <c r="Y1703" i="34"/>
  <c r="AB1703" i="34"/>
  <c r="AC1703" i="34"/>
  <c r="AD1703" i="34"/>
  <c r="P1704" i="34"/>
  <c r="T1704" i="34"/>
  <c r="U1704" i="34"/>
  <c r="V1704" i="34"/>
  <c r="W1704" i="34"/>
  <c r="Y1704" i="34"/>
  <c r="AB1704" i="34"/>
  <c r="AC1704" i="34"/>
  <c r="AD1704" i="34"/>
  <c r="P1705" i="34"/>
  <c r="T1705" i="34"/>
  <c r="U1705" i="34"/>
  <c r="V1705" i="34"/>
  <c r="W1705" i="34"/>
  <c r="Y1705" i="34"/>
  <c r="AB1705" i="34"/>
  <c r="AC1705" i="34"/>
  <c r="AD1705" i="34"/>
  <c r="P1706" i="34"/>
  <c r="T1706" i="34"/>
  <c r="U1706" i="34"/>
  <c r="V1706" i="34"/>
  <c r="W1706" i="34"/>
  <c r="Y1706" i="34"/>
  <c r="AB1706" i="34"/>
  <c r="AC1706" i="34"/>
  <c r="AD1706" i="34"/>
  <c r="P1707" i="34"/>
  <c r="T1707" i="34"/>
  <c r="U1707" i="34"/>
  <c r="V1707" i="34"/>
  <c r="W1707" i="34"/>
  <c r="Y1707" i="34"/>
  <c r="AB1707" i="34"/>
  <c r="AC1707" i="34"/>
  <c r="AD1707" i="34"/>
  <c r="P1708" i="34"/>
  <c r="T1708" i="34"/>
  <c r="U1708" i="34"/>
  <c r="V1708" i="34"/>
  <c r="W1708" i="34"/>
  <c r="Y1708" i="34"/>
  <c r="AB1708" i="34"/>
  <c r="AC1708" i="34"/>
  <c r="AD1708" i="34"/>
  <c r="P1709" i="34"/>
  <c r="T1709" i="34"/>
  <c r="U1709" i="34"/>
  <c r="V1709" i="34"/>
  <c r="W1709" i="34"/>
  <c r="Y1709" i="34"/>
  <c r="AB1709" i="34"/>
  <c r="AC1709" i="34"/>
  <c r="AD1709" i="34"/>
  <c r="P1710" i="34"/>
  <c r="T1710" i="34"/>
  <c r="U1710" i="34"/>
  <c r="V1710" i="34"/>
  <c r="W1710" i="34"/>
  <c r="Y1710" i="34"/>
  <c r="AB1710" i="34"/>
  <c r="AC1710" i="34"/>
  <c r="AD1710" i="34"/>
  <c r="P1711" i="34"/>
  <c r="T1711" i="34"/>
  <c r="U1711" i="34"/>
  <c r="V1711" i="34"/>
  <c r="W1711" i="34"/>
  <c r="Y1711" i="34"/>
  <c r="AB1711" i="34"/>
  <c r="AC1711" i="34"/>
  <c r="AD1711" i="34"/>
  <c r="P1712" i="34"/>
  <c r="T1712" i="34"/>
  <c r="U1712" i="34"/>
  <c r="V1712" i="34"/>
  <c r="W1712" i="34"/>
  <c r="Y1712" i="34"/>
  <c r="AB1712" i="34"/>
  <c r="AC1712" i="34"/>
  <c r="P1713" i="34"/>
  <c r="T1713" i="34"/>
  <c r="U1713" i="34"/>
  <c r="V1713" i="34"/>
  <c r="W1713" i="34"/>
  <c r="Y1713" i="34"/>
  <c r="AB1713" i="34"/>
  <c r="AC1713" i="34"/>
  <c r="P1714" i="34"/>
  <c r="T1714" i="34"/>
  <c r="U1714" i="34"/>
  <c r="V1714" i="34"/>
  <c r="W1714" i="34"/>
  <c r="Y1714" i="34"/>
  <c r="AB1714" i="34"/>
  <c r="AC1714" i="34"/>
  <c r="P1715" i="34"/>
  <c r="T1715" i="34"/>
  <c r="U1715" i="34"/>
  <c r="V1715" i="34"/>
  <c r="W1715" i="34"/>
  <c r="Y1715" i="34"/>
  <c r="AB1715" i="34"/>
  <c r="AC1715" i="34"/>
  <c r="P1716" i="34"/>
  <c r="T1716" i="34"/>
  <c r="U1716" i="34"/>
  <c r="V1716" i="34"/>
  <c r="W1716" i="34"/>
  <c r="Y1716" i="34"/>
  <c r="AB1716" i="34"/>
  <c r="AC1716" i="34"/>
  <c r="P1717" i="34"/>
  <c r="T1717" i="34"/>
  <c r="U1717" i="34"/>
  <c r="V1717" i="34"/>
  <c r="W1717" i="34"/>
  <c r="Y1717" i="34"/>
  <c r="AB1717" i="34"/>
  <c r="AC1717" i="34"/>
  <c r="P1718" i="34"/>
  <c r="T1718" i="34"/>
  <c r="U1718" i="34"/>
  <c r="V1718" i="34"/>
  <c r="W1718" i="34"/>
  <c r="Y1718" i="34"/>
  <c r="AB1718" i="34"/>
  <c r="AC1718" i="34"/>
  <c r="P1719" i="34"/>
  <c r="T1719" i="34"/>
  <c r="U1719" i="34"/>
  <c r="V1719" i="34"/>
  <c r="W1719" i="34"/>
  <c r="Y1719" i="34"/>
  <c r="AB1719" i="34"/>
  <c r="AC1719" i="34"/>
  <c r="P1720" i="34"/>
  <c r="T1720" i="34"/>
  <c r="U1720" i="34"/>
  <c r="V1720" i="34"/>
  <c r="W1720" i="34"/>
  <c r="Y1720" i="34"/>
  <c r="AB1720" i="34"/>
  <c r="AC1720" i="34"/>
  <c r="P1721" i="34"/>
  <c r="T1721" i="34"/>
  <c r="U1721" i="34"/>
  <c r="V1721" i="34"/>
  <c r="W1721" i="34"/>
  <c r="Y1721" i="34"/>
  <c r="AB1721" i="34"/>
  <c r="AC1721" i="34"/>
  <c r="P1750" i="34"/>
  <c r="T1750" i="34"/>
  <c r="U1750" i="34"/>
  <c r="V1750" i="34"/>
  <c r="W1750" i="34"/>
  <c r="Y1750" i="34"/>
  <c r="AB1750" i="34"/>
  <c r="AC1750" i="34"/>
  <c r="AD1750" i="34"/>
  <c r="P1751" i="34"/>
  <c r="T1751" i="34"/>
  <c r="U1751" i="34"/>
  <c r="V1751" i="34"/>
  <c r="W1751" i="34"/>
  <c r="Y1751" i="34"/>
  <c r="AB1751" i="34"/>
  <c r="AC1751" i="34"/>
  <c r="AD1751" i="34"/>
  <c r="P1752" i="34"/>
  <c r="T1752" i="34"/>
  <c r="U1752" i="34"/>
  <c r="V1752" i="34"/>
  <c r="W1752" i="34"/>
  <c r="Y1752" i="34"/>
  <c r="AB1752" i="34"/>
  <c r="AC1752" i="34"/>
  <c r="AD1752" i="34"/>
  <c r="P1753" i="34"/>
  <c r="T1753" i="34"/>
  <c r="U1753" i="34"/>
  <c r="V1753" i="34"/>
  <c r="W1753" i="34"/>
  <c r="Y1753" i="34"/>
  <c r="AB1753" i="34"/>
  <c r="AC1753" i="34"/>
  <c r="AD1753" i="34"/>
  <c r="P1754" i="34"/>
  <c r="T1754" i="34"/>
  <c r="U1754" i="34"/>
  <c r="V1754" i="34"/>
  <c r="W1754" i="34"/>
  <c r="Y1754" i="34"/>
  <c r="AB1754" i="34"/>
  <c r="AC1754" i="34"/>
  <c r="AD1754" i="34"/>
  <c r="P1755" i="34"/>
  <c r="T1755" i="34"/>
  <c r="U1755" i="34"/>
  <c r="V1755" i="34"/>
  <c r="W1755" i="34"/>
  <c r="Y1755" i="34"/>
  <c r="AB1755" i="34"/>
  <c r="AC1755" i="34"/>
  <c r="AD1755" i="34"/>
  <c r="P1756" i="34"/>
  <c r="T1756" i="34"/>
  <c r="U1756" i="34"/>
  <c r="V1756" i="34"/>
  <c r="W1756" i="34"/>
  <c r="Y1756" i="34"/>
  <c r="AB1756" i="34"/>
  <c r="AC1756" i="34"/>
  <c r="AD1756" i="34"/>
  <c r="P1757" i="34"/>
  <c r="T1757" i="34"/>
  <c r="U1757" i="34"/>
  <c r="V1757" i="34"/>
  <c r="W1757" i="34"/>
  <c r="Y1757" i="34"/>
  <c r="AB1757" i="34"/>
  <c r="AC1757" i="34"/>
  <c r="AD1757" i="34"/>
  <c r="P1758" i="34"/>
  <c r="T1758" i="34"/>
  <c r="U1758" i="34"/>
  <c r="V1758" i="34"/>
  <c r="W1758" i="34"/>
  <c r="Y1758" i="34"/>
  <c r="AB1758" i="34"/>
  <c r="AC1758" i="34"/>
  <c r="AD1758" i="34"/>
  <c r="P1759" i="34"/>
  <c r="T1759" i="34"/>
  <c r="U1759" i="34"/>
  <c r="V1759" i="34"/>
  <c r="W1759" i="34"/>
  <c r="Y1759" i="34"/>
  <c r="AB1759" i="34"/>
  <c r="AC1759" i="34"/>
  <c r="AD1759" i="34"/>
  <c r="P1760" i="34"/>
  <c r="T1760" i="34"/>
  <c r="U1760" i="34"/>
  <c r="V1760" i="34"/>
  <c r="W1760" i="34"/>
  <c r="Y1760" i="34"/>
  <c r="AB1760" i="34"/>
  <c r="AC1760" i="34"/>
  <c r="AD1760" i="34"/>
  <c r="P1761" i="34"/>
  <c r="T1761" i="34"/>
  <c r="U1761" i="34"/>
  <c r="V1761" i="34"/>
  <c r="W1761" i="34"/>
  <c r="Y1761" i="34"/>
  <c r="AB1761" i="34"/>
  <c r="AC1761" i="34"/>
  <c r="AD1761" i="34"/>
  <c r="P1762" i="34"/>
  <c r="T1762" i="34"/>
  <c r="U1762" i="34"/>
  <c r="V1762" i="34"/>
  <c r="W1762" i="34"/>
  <c r="Y1762" i="34"/>
  <c r="AB1762" i="34"/>
  <c r="AC1762" i="34"/>
  <c r="AD1762" i="34"/>
  <c r="P1763" i="34"/>
  <c r="T1763" i="34"/>
  <c r="U1763" i="34"/>
  <c r="V1763" i="34"/>
  <c r="W1763" i="34"/>
  <c r="Y1763" i="34"/>
  <c r="AB1763" i="34"/>
  <c r="AC1763" i="34"/>
  <c r="AD1763" i="34"/>
  <c r="P1764" i="34"/>
  <c r="T1764" i="34"/>
  <c r="U1764" i="34"/>
  <c r="V1764" i="34"/>
  <c r="W1764" i="34"/>
  <c r="Y1764" i="34"/>
  <c r="AB1764" i="34"/>
  <c r="AC1764" i="34"/>
  <c r="AD1764" i="34"/>
  <c r="P1765" i="34"/>
  <c r="T1765" i="34"/>
  <c r="U1765" i="34"/>
  <c r="V1765" i="34"/>
  <c r="W1765" i="34"/>
  <c r="Y1765" i="34"/>
  <c r="AB1765" i="34"/>
  <c r="AC1765" i="34"/>
  <c r="AD1765" i="34"/>
  <c r="P1766" i="34"/>
  <c r="T1766" i="34"/>
  <c r="U1766" i="34"/>
  <c r="V1766" i="34"/>
  <c r="W1766" i="34"/>
  <c r="Y1766" i="34"/>
  <c r="AB1766" i="34"/>
  <c r="AC1766" i="34"/>
  <c r="AD1766" i="34"/>
  <c r="P1767" i="34"/>
  <c r="T1767" i="34"/>
  <c r="U1767" i="34"/>
  <c r="V1767" i="34"/>
  <c r="W1767" i="34"/>
  <c r="Y1767" i="34"/>
  <c r="AB1767" i="34"/>
  <c r="AC1767" i="34"/>
  <c r="AD1767" i="34"/>
  <c r="P1768" i="34"/>
  <c r="T1768" i="34"/>
  <c r="U1768" i="34"/>
  <c r="V1768" i="34"/>
  <c r="W1768" i="34"/>
  <c r="Y1768" i="34"/>
  <c r="AB1768" i="34"/>
  <c r="AC1768" i="34"/>
  <c r="P1769" i="34"/>
  <c r="T1769" i="34"/>
  <c r="U1769" i="34"/>
  <c r="V1769" i="34"/>
  <c r="W1769" i="34"/>
  <c r="Y1769" i="34"/>
  <c r="AB1769" i="34"/>
  <c r="AC1769" i="34"/>
  <c r="P1770" i="34"/>
  <c r="T1770" i="34"/>
  <c r="U1770" i="34"/>
  <c r="V1770" i="34"/>
  <c r="W1770" i="34"/>
  <c r="Y1770" i="34"/>
  <c r="AB1770" i="34"/>
  <c r="AC1770" i="34"/>
  <c r="P1771" i="34"/>
  <c r="T1771" i="34"/>
  <c r="U1771" i="34"/>
  <c r="V1771" i="34"/>
  <c r="W1771" i="34"/>
  <c r="Y1771" i="34"/>
  <c r="AB1771" i="34"/>
  <c r="AC1771" i="34"/>
  <c r="P1772" i="34"/>
  <c r="T1772" i="34"/>
  <c r="U1772" i="34"/>
  <c r="V1772" i="34"/>
  <c r="W1772" i="34"/>
  <c r="Y1772" i="34"/>
  <c r="AB1772" i="34"/>
  <c r="AC1772" i="34"/>
  <c r="P1773" i="34"/>
  <c r="T1773" i="34"/>
  <c r="U1773" i="34"/>
  <c r="V1773" i="34"/>
  <c r="W1773" i="34"/>
  <c r="Y1773" i="34"/>
  <c r="AB1773" i="34"/>
  <c r="AC1773" i="34"/>
  <c r="P1774" i="34"/>
  <c r="T1774" i="34"/>
  <c r="U1774" i="34"/>
  <c r="V1774" i="34"/>
  <c r="W1774" i="34"/>
  <c r="Y1774" i="34"/>
  <c r="AB1774" i="34"/>
  <c r="AC1774" i="34"/>
  <c r="P1775" i="34"/>
  <c r="T1775" i="34"/>
  <c r="U1775" i="34"/>
  <c r="V1775" i="34"/>
  <c r="W1775" i="34"/>
  <c r="Y1775" i="34"/>
  <c r="AB1775" i="34"/>
  <c r="AC1775" i="34"/>
  <c r="P1776" i="34"/>
  <c r="T1776" i="34"/>
  <c r="U1776" i="34"/>
  <c r="V1776" i="34"/>
  <c r="W1776" i="34"/>
  <c r="Y1776" i="34"/>
  <c r="AB1776" i="34"/>
  <c r="AC1776" i="34"/>
  <c r="P1777" i="34"/>
  <c r="T1777" i="34"/>
  <c r="U1777" i="34"/>
  <c r="V1777" i="34"/>
  <c r="W1777" i="34"/>
  <c r="Y1777" i="34"/>
  <c r="AB1777" i="34"/>
  <c r="AC1777" i="34"/>
  <c r="P1778" i="34"/>
  <c r="T1778" i="34"/>
  <c r="U1778" i="34"/>
  <c r="V1778" i="34"/>
  <c r="W1778" i="34"/>
  <c r="Y1778" i="34"/>
  <c r="AB1778" i="34"/>
  <c r="AC1778" i="34"/>
  <c r="AD1778" i="34"/>
  <c r="P1779" i="34"/>
  <c r="T1779" i="34"/>
  <c r="U1779" i="34"/>
  <c r="V1779" i="34"/>
  <c r="W1779" i="34"/>
  <c r="Y1779" i="34"/>
  <c r="AB1779" i="34"/>
  <c r="AC1779" i="34"/>
  <c r="AD1779" i="34"/>
  <c r="P1780" i="34"/>
  <c r="T1780" i="34"/>
  <c r="U1780" i="34"/>
  <c r="V1780" i="34"/>
  <c r="W1780" i="34"/>
  <c r="Y1780" i="34"/>
  <c r="AB1780" i="34"/>
  <c r="AC1780" i="34"/>
  <c r="AD1780" i="34"/>
  <c r="P1781" i="34"/>
  <c r="T1781" i="34"/>
  <c r="U1781" i="34"/>
  <c r="V1781" i="34"/>
  <c r="W1781" i="34"/>
  <c r="Y1781" i="34"/>
  <c r="AB1781" i="34"/>
  <c r="AC1781" i="34"/>
  <c r="AD1781" i="34"/>
  <c r="P1782" i="34"/>
  <c r="T1782" i="34"/>
  <c r="U1782" i="34"/>
  <c r="V1782" i="34"/>
  <c r="W1782" i="34"/>
  <c r="Y1782" i="34"/>
  <c r="AB1782" i="34"/>
  <c r="AC1782" i="34"/>
  <c r="AD1782" i="34"/>
  <c r="P1783" i="34"/>
  <c r="T1783" i="34"/>
  <c r="U1783" i="34"/>
  <c r="V1783" i="34"/>
  <c r="W1783" i="34"/>
  <c r="Y1783" i="34"/>
  <c r="AB1783" i="34"/>
  <c r="AC1783" i="34"/>
  <c r="AD1783" i="34"/>
  <c r="P1784" i="34"/>
  <c r="T1784" i="34"/>
  <c r="U1784" i="34"/>
  <c r="V1784" i="34"/>
  <c r="W1784" i="34"/>
  <c r="Y1784" i="34"/>
  <c r="AB1784" i="34"/>
  <c r="AC1784" i="34"/>
  <c r="AD1784" i="34"/>
  <c r="P1785" i="34"/>
  <c r="T1785" i="34"/>
  <c r="U1785" i="34"/>
  <c r="V1785" i="34"/>
  <c r="W1785" i="34"/>
  <c r="Y1785" i="34"/>
  <c r="AB1785" i="34"/>
  <c r="AC1785" i="34"/>
  <c r="AD1785" i="34"/>
  <c r="P1786" i="34"/>
  <c r="T1786" i="34"/>
  <c r="U1786" i="34"/>
  <c r="V1786" i="34"/>
  <c r="W1786" i="34"/>
  <c r="Y1786" i="34"/>
  <c r="AB1786" i="34"/>
  <c r="AC1786" i="34"/>
  <c r="AD1786" i="34"/>
  <c r="P1787" i="34"/>
  <c r="T1787" i="34"/>
  <c r="U1787" i="34"/>
  <c r="V1787" i="34"/>
  <c r="W1787" i="34"/>
  <c r="Y1787" i="34"/>
  <c r="AB1787" i="34"/>
  <c r="AC1787" i="34"/>
  <c r="AD1787" i="34"/>
  <c r="P1788" i="34"/>
  <c r="T1788" i="34"/>
  <c r="U1788" i="34"/>
  <c r="V1788" i="34"/>
  <c r="W1788" i="34"/>
  <c r="Y1788" i="34"/>
  <c r="AB1788" i="34"/>
  <c r="AC1788" i="34"/>
  <c r="AD1788" i="34"/>
  <c r="P1789" i="34"/>
  <c r="T1789" i="34"/>
  <c r="U1789" i="34"/>
  <c r="V1789" i="34"/>
  <c r="W1789" i="34"/>
  <c r="Y1789" i="34"/>
  <c r="AB1789" i="34"/>
  <c r="AC1789" i="34"/>
  <c r="AD1789" i="34"/>
  <c r="P1790" i="34"/>
  <c r="T1790" i="34"/>
  <c r="U1790" i="34"/>
  <c r="V1790" i="34"/>
  <c r="W1790" i="34"/>
  <c r="Y1790" i="34"/>
  <c r="AB1790" i="34"/>
  <c r="AC1790" i="34"/>
  <c r="AD1790" i="34"/>
  <c r="P1791" i="34"/>
  <c r="T1791" i="34"/>
  <c r="U1791" i="34"/>
  <c r="V1791" i="34"/>
  <c r="W1791" i="34"/>
  <c r="Y1791" i="34"/>
  <c r="AB1791" i="34"/>
  <c r="AC1791" i="34"/>
  <c r="AD1791" i="34"/>
  <c r="P1792" i="34"/>
  <c r="T1792" i="34"/>
  <c r="U1792" i="34"/>
  <c r="V1792" i="34"/>
  <c r="W1792" i="34"/>
  <c r="Y1792" i="34"/>
  <c r="AB1792" i="34"/>
  <c r="AC1792" i="34"/>
  <c r="AD1792" i="34"/>
  <c r="P1793" i="34"/>
  <c r="T1793" i="34"/>
  <c r="U1793" i="34"/>
  <c r="V1793" i="34"/>
  <c r="W1793" i="34"/>
  <c r="Y1793" i="34"/>
  <c r="AB1793" i="34"/>
  <c r="AC1793" i="34"/>
  <c r="AD1793" i="34"/>
  <c r="P1794" i="34"/>
  <c r="T1794" i="34"/>
  <c r="U1794" i="34"/>
  <c r="V1794" i="34"/>
  <c r="W1794" i="34"/>
  <c r="Y1794" i="34"/>
  <c r="AB1794" i="34"/>
  <c r="AC1794" i="34"/>
  <c r="AD1794" i="34"/>
  <c r="P1795" i="34"/>
  <c r="T1795" i="34"/>
  <c r="U1795" i="34"/>
  <c r="V1795" i="34"/>
  <c r="W1795" i="34"/>
  <c r="Y1795" i="34"/>
  <c r="AB1795" i="34"/>
  <c r="AC1795" i="34"/>
  <c r="AD1795" i="34"/>
  <c r="P1796" i="34"/>
  <c r="T1796" i="34"/>
  <c r="U1796" i="34"/>
  <c r="V1796" i="34"/>
  <c r="W1796" i="34"/>
  <c r="Y1796" i="34"/>
  <c r="AB1796" i="34"/>
  <c r="AC1796" i="34"/>
  <c r="AD1796" i="34"/>
  <c r="P1797" i="34"/>
  <c r="T1797" i="34"/>
  <c r="U1797" i="34"/>
  <c r="V1797" i="34"/>
  <c r="W1797" i="34"/>
  <c r="Y1797" i="34"/>
  <c r="AB1797" i="34"/>
  <c r="AC1797" i="34"/>
  <c r="AD1797" i="34"/>
  <c r="P1798" i="34"/>
  <c r="T1798" i="34"/>
  <c r="U1798" i="34"/>
  <c r="V1798" i="34"/>
  <c r="W1798" i="34"/>
  <c r="Y1798" i="34"/>
  <c r="AB1798" i="34"/>
  <c r="AC1798" i="34"/>
  <c r="P1799" i="34"/>
  <c r="T1799" i="34"/>
  <c r="U1799" i="34"/>
  <c r="V1799" i="34"/>
  <c r="W1799" i="34"/>
  <c r="Y1799" i="34"/>
  <c r="AB1799" i="34"/>
  <c r="AC1799" i="34"/>
  <c r="P1800" i="34"/>
  <c r="T1800" i="34"/>
  <c r="U1800" i="34"/>
  <c r="V1800" i="34"/>
  <c r="W1800" i="34"/>
  <c r="Y1800" i="34"/>
  <c r="AB1800" i="34"/>
  <c r="AC1800" i="34"/>
  <c r="P1801" i="34"/>
  <c r="T1801" i="34"/>
  <c r="U1801" i="34"/>
  <c r="V1801" i="34"/>
  <c r="W1801" i="34"/>
  <c r="Y1801" i="34"/>
  <c r="AB1801" i="34"/>
  <c r="AC1801" i="34"/>
  <c r="P1802" i="34"/>
  <c r="T1802" i="34"/>
  <c r="U1802" i="34"/>
  <c r="V1802" i="34"/>
  <c r="W1802" i="34"/>
  <c r="Y1802" i="34"/>
  <c r="AB1802" i="34"/>
  <c r="AC1802" i="34"/>
  <c r="P1803" i="34"/>
  <c r="T1803" i="34"/>
  <c r="U1803" i="34"/>
  <c r="V1803" i="34"/>
  <c r="W1803" i="34"/>
  <c r="Y1803" i="34"/>
  <c r="AB1803" i="34"/>
  <c r="AC1803" i="34"/>
  <c r="P1804" i="34"/>
  <c r="T1804" i="34"/>
  <c r="U1804" i="34"/>
  <c r="V1804" i="34"/>
  <c r="W1804" i="34"/>
  <c r="Y1804" i="34"/>
  <c r="AB1804" i="34"/>
  <c r="AC1804" i="34"/>
  <c r="P1805" i="34"/>
  <c r="T1805" i="34"/>
  <c r="U1805" i="34"/>
  <c r="V1805" i="34"/>
  <c r="W1805" i="34"/>
  <c r="Y1805" i="34"/>
  <c r="AB1805" i="34"/>
  <c r="AC1805" i="34"/>
  <c r="P1806" i="34"/>
  <c r="T1806" i="34"/>
  <c r="U1806" i="34"/>
  <c r="V1806" i="34"/>
  <c r="W1806" i="34"/>
  <c r="Y1806" i="34"/>
  <c r="AB1806" i="34"/>
  <c r="AC1806" i="34"/>
  <c r="P1807" i="34"/>
  <c r="T1807" i="34"/>
  <c r="U1807" i="34"/>
  <c r="V1807" i="34"/>
  <c r="W1807" i="34"/>
  <c r="Y1807" i="34"/>
  <c r="AB1807" i="34"/>
  <c r="AC1807" i="34"/>
  <c r="P1823" i="34"/>
  <c r="T1823" i="34"/>
  <c r="U1823" i="34"/>
  <c r="V1823" i="34"/>
  <c r="W1823" i="34"/>
  <c r="Y1823" i="34"/>
  <c r="AB1823" i="34"/>
  <c r="AC1823" i="34"/>
  <c r="AD1823" i="34"/>
  <c r="P1824" i="34"/>
  <c r="T1824" i="34"/>
  <c r="U1824" i="34"/>
  <c r="V1824" i="34"/>
  <c r="W1824" i="34"/>
  <c r="Y1824" i="34"/>
  <c r="AB1824" i="34"/>
  <c r="AC1824" i="34"/>
  <c r="AD1824" i="34"/>
  <c r="P1825" i="34"/>
  <c r="T1825" i="34"/>
  <c r="U1825" i="34"/>
  <c r="V1825" i="34"/>
  <c r="W1825" i="34"/>
  <c r="Y1825" i="34"/>
  <c r="AB1825" i="34"/>
  <c r="AC1825" i="34"/>
  <c r="AD1825" i="34"/>
  <c r="P1826" i="34"/>
  <c r="T1826" i="34"/>
  <c r="U1826" i="34"/>
  <c r="V1826" i="34"/>
  <c r="W1826" i="34"/>
  <c r="Y1826" i="34"/>
  <c r="AB1826" i="34"/>
  <c r="AC1826" i="34"/>
  <c r="AD1826" i="34"/>
  <c r="P1827" i="34"/>
  <c r="T1827" i="34"/>
  <c r="U1827" i="34"/>
  <c r="V1827" i="34"/>
  <c r="W1827" i="34"/>
  <c r="Y1827" i="34"/>
  <c r="AB1827" i="34"/>
  <c r="AC1827" i="34"/>
  <c r="AD1827" i="34"/>
  <c r="P1828" i="34"/>
  <c r="T1828" i="34"/>
  <c r="U1828" i="34"/>
  <c r="V1828" i="34"/>
  <c r="W1828" i="34"/>
  <c r="Y1828" i="34"/>
  <c r="AB1828" i="34"/>
  <c r="AC1828" i="34"/>
  <c r="AD1828" i="34"/>
  <c r="P1829" i="34"/>
  <c r="T1829" i="34"/>
  <c r="U1829" i="34"/>
  <c r="V1829" i="34"/>
  <c r="W1829" i="34"/>
  <c r="Y1829" i="34"/>
  <c r="AB1829" i="34"/>
  <c r="AC1829" i="34"/>
  <c r="AD1829" i="34"/>
  <c r="P1830" i="34"/>
  <c r="T1830" i="34"/>
  <c r="U1830" i="34"/>
  <c r="V1830" i="34"/>
  <c r="W1830" i="34"/>
  <c r="Y1830" i="34"/>
  <c r="AB1830" i="34"/>
  <c r="AC1830" i="34"/>
  <c r="AD1830" i="34"/>
  <c r="P1831" i="34"/>
  <c r="T1831" i="34"/>
  <c r="U1831" i="34"/>
  <c r="V1831" i="34"/>
  <c r="W1831" i="34"/>
  <c r="Y1831" i="34"/>
  <c r="AB1831" i="34"/>
  <c r="AC1831" i="34"/>
  <c r="AD1831" i="34"/>
  <c r="P1832" i="34"/>
  <c r="T1832" i="34"/>
  <c r="U1832" i="34"/>
  <c r="V1832" i="34"/>
  <c r="W1832" i="34"/>
  <c r="Y1832" i="34"/>
  <c r="AB1832" i="34"/>
  <c r="AC1832" i="34"/>
  <c r="AD1832" i="34"/>
  <c r="P1833" i="34"/>
  <c r="T1833" i="34"/>
  <c r="U1833" i="34"/>
  <c r="V1833" i="34"/>
  <c r="W1833" i="34"/>
  <c r="Y1833" i="34"/>
  <c r="AB1833" i="34"/>
  <c r="AC1833" i="34"/>
  <c r="AD1833" i="34"/>
  <c r="P1834" i="34"/>
  <c r="T1834" i="34"/>
  <c r="U1834" i="34"/>
  <c r="V1834" i="34"/>
  <c r="W1834" i="34"/>
  <c r="Y1834" i="34"/>
  <c r="AB1834" i="34"/>
  <c r="AC1834" i="34"/>
  <c r="AD1834" i="34"/>
  <c r="P1835" i="34"/>
  <c r="T1835" i="34"/>
  <c r="U1835" i="34"/>
  <c r="V1835" i="34"/>
  <c r="W1835" i="34"/>
  <c r="Y1835" i="34"/>
  <c r="AB1835" i="34"/>
  <c r="AC1835" i="34"/>
  <c r="AD1835" i="34"/>
  <c r="P1836" i="34"/>
  <c r="T1836" i="34"/>
  <c r="U1836" i="34"/>
  <c r="V1836" i="34"/>
  <c r="W1836" i="34"/>
  <c r="Y1836" i="34"/>
  <c r="AB1836" i="34"/>
  <c r="AC1836" i="34"/>
  <c r="AD1836" i="34"/>
  <c r="P1837" i="34"/>
  <c r="T1837" i="34"/>
  <c r="U1837" i="34"/>
  <c r="V1837" i="34"/>
  <c r="W1837" i="34"/>
  <c r="Y1837" i="34"/>
  <c r="AB1837" i="34"/>
  <c r="AC1837" i="34"/>
  <c r="AD1837" i="34"/>
  <c r="P1838" i="34"/>
  <c r="T1838" i="34"/>
  <c r="U1838" i="34"/>
  <c r="V1838" i="34"/>
  <c r="W1838" i="34"/>
  <c r="Y1838" i="34"/>
  <c r="AB1838" i="34"/>
  <c r="AC1838" i="34"/>
  <c r="AD1838" i="34"/>
  <c r="P1839" i="34"/>
  <c r="T1839" i="34"/>
  <c r="U1839" i="34"/>
  <c r="V1839" i="34"/>
  <c r="W1839" i="34"/>
  <c r="Y1839" i="34"/>
  <c r="AB1839" i="34"/>
  <c r="AC1839" i="34"/>
  <c r="AD1839" i="34"/>
  <c r="P1840" i="34"/>
  <c r="T1840" i="34"/>
  <c r="U1840" i="34"/>
  <c r="V1840" i="34"/>
  <c r="W1840" i="34"/>
  <c r="Y1840" i="34"/>
  <c r="AB1840" i="34"/>
  <c r="AC1840" i="34"/>
  <c r="AD1840" i="34"/>
  <c r="P1841" i="34"/>
  <c r="T1841" i="34"/>
  <c r="U1841" i="34"/>
  <c r="V1841" i="34"/>
  <c r="W1841" i="34"/>
  <c r="Y1841" i="34"/>
  <c r="AB1841" i="34"/>
  <c r="AC1841" i="34"/>
  <c r="AD1841" i="34"/>
  <c r="P1842" i="34"/>
  <c r="T1842" i="34"/>
  <c r="U1842" i="34"/>
  <c r="V1842" i="34"/>
  <c r="W1842" i="34"/>
  <c r="Y1842" i="34"/>
  <c r="AB1842" i="34"/>
  <c r="AC1842" i="34"/>
  <c r="AD1842" i="34"/>
  <c r="P1843" i="34"/>
  <c r="T1843" i="34"/>
  <c r="U1843" i="34"/>
  <c r="V1843" i="34"/>
  <c r="W1843" i="34"/>
  <c r="Y1843" i="34"/>
  <c r="AB1843" i="34"/>
  <c r="AC1843" i="34"/>
  <c r="AD1843" i="34"/>
  <c r="P1844" i="34"/>
  <c r="T1844" i="34"/>
  <c r="U1844" i="34"/>
  <c r="V1844" i="34"/>
  <c r="W1844" i="34"/>
  <c r="Y1844" i="34"/>
  <c r="AB1844" i="34"/>
  <c r="AC1844" i="34"/>
  <c r="AD1844" i="34"/>
  <c r="P1845" i="34"/>
  <c r="T1845" i="34"/>
  <c r="U1845" i="34"/>
  <c r="V1845" i="34"/>
  <c r="W1845" i="34"/>
  <c r="Y1845" i="34"/>
  <c r="AB1845" i="34"/>
  <c r="AC1845" i="34"/>
  <c r="AD1845" i="34"/>
  <c r="P1846" i="34"/>
  <c r="T1846" i="34"/>
  <c r="U1846" i="34"/>
  <c r="V1846" i="34"/>
  <c r="W1846" i="34"/>
  <c r="Y1846" i="34"/>
  <c r="AB1846" i="34"/>
  <c r="AC1846" i="34"/>
  <c r="AD1846" i="34"/>
  <c r="P1847" i="34"/>
  <c r="T1847" i="34"/>
  <c r="U1847" i="34"/>
  <c r="V1847" i="34"/>
  <c r="W1847" i="34"/>
  <c r="Y1847" i="34"/>
  <c r="AB1847" i="34"/>
  <c r="AC1847" i="34"/>
  <c r="AD1847" i="34"/>
  <c r="P1848" i="34"/>
  <c r="T1848" i="34"/>
  <c r="U1848" i="34"/>
  <c r="V1848" i="34"/>
  <c r="W1848" i="34"/>
  <c r="Y1848" i="34"/>
  <c r="AB1848" i="34"/>
  <c r="AC1848" i="34"/>
  <c r="AD1848" i="34"/>
  <c r="P1849" i="34"/>
  <c r="T1849" i="34"/>
  <c r="U1849" i="34"/>
  <c r="V1849" i="34"/>
  <c r="W1849" i="34"/>
  <c r="Y1849" i="34"/>
  <c r="AB1849" i="34"/>
  <c r="AC1849" i="34"/>
  <c r="AD1849" i="34"/>
  <c r="P1850" i="34"/>
  <c r="T1850" i="34"/>
  <c r="U1850" i="34"/>
  <c r="V1850" i="34"/>
  <c r="W1850" i="34"/>
  <c r="Y1850" i="34"/>
  <c r="AB1850" i="34"/>
  <c r="AC1850" i="34"/>
  <c r="AD1850" i="34"/>
  <c r="P1851" i="34"/>
  <c r="T1851" i="34"/>
  <c r="U1851" i="34"/>
  <c r="V1851" i="34"/>
  <c r="W1851" i="34"/>
  <c r="Y1851" i="34"/>
  <c r="AB1851" i="34"/>
  <c r="AC1851" i="34"/>
  <c r="AD1851" i="34"/>
  <c r="P1852" i="34"/>
  <c r="T1852" i="34"/>
  <c r="U1852" i="34"/>
  <c r="V1852" i="34"/>
  <c r="W1852" i="34"/>
  <c r="Y1852" i="34"/>
  <c r="AB1852" i="34"/>
  <c r="AC1852" i="34"/>
  <c r="AD1852" i="34"/>
  <c r="P1853" i="34"/>
  <c r="T1853" i="34"/>
  <c r="U1853" i="34"/>
  <c r="V1853" i="34"/>
  <c r="W1853" i="34"/>
  <c r="Y1853" i="34"/>
  <c r="AB1853" i="34"/>
  <c r="AC1853" i="34"/>
  <c r="AD1853" i="34"/>
  <c r="P1854" i="34"/>
  <c r="T1854" i="34"/>
  <c r="U1854" i="34"/>
  <c r="V1854" i="34"/>
  <c r="W1854" i="34"/>
  <c r="Y1854" i="34"/>
  <c r="AB1854" i="34"/>
  <c r="AC1854" i="34"/>
  <c r="AD1854" i="34"/>
  <c r="P1855" i="34"/>
  <c r="T1855" i="34"/>
  <c r="U1855" i="34"/>
  <c r="V1855" i="34"/>
  <c r="W1855" i="34"/>
  <c r="Y1855" i="34"/>
  <c r="AB1855" i="34"/>
  <c r="AC1855" i="34"/>
  <c r="AD1855" i="34"/>
  <c r="P1856" i="34"/>
  <c r="T1856" i="34"/>
  <c r="U1856" i="34"/>
  <c r="V1856" i="34"/>
  <c r="W1856" i="34"/>
  <c r="Y1856" i="34"/>
  <c r="AB1856" i="34"/>
  <c r="AC1856" i="34"/>
  <c r="AD1856" i="34"/>
  <c r="P1857" i="34"/>
  <c r="T1857" i="34"/>
  <c r="U1857" i="34"/>
  <c r="V1857" i="34"/>
  <c r="W1857" i="34"/>
  <c r="Y1857" i="34"/>
  <c r="AB1857" i="34"/>
  <c r="AC1857" i="34"/>
  <c r="AD1857" i="34"/>
  <c r="P1858" i="34"/>
  <c r="T1858" i="34"/>
  <c r="U1858" i="34"/>
  <c r="V1858" i="34"/>
  <c r="W1858" i="34"/>
  <c r="Y1858" i="34"/>
  <c r="AB1858" i="34"/>
  <c r="AC1858" i="34"/>
  <c r="AD1858" i="34"/>
  <c r="P1859" i="34"/>
  <c r="T1859" i="34"/>
  <c r="U1859" i="34"/>
  <c r="V1859" i="34"/>
  <c r="W1859" i="34"/>
  <c r="Y1859" i="34"/>
  <c r="AB1859" i="34"/>
  <c r="AC1859" i="34"/>
  <c r="AD1859" i="34"/>
  <c r="P1860" i="34"/>
  <c r="T1860" i="34"/>
  <c r="U1860" i="34"/>
  <c r="V1860" i="34"/>
  <c r="W1860" i="34"/>
  <c r="Y1860" i="34"/>
  <c r="AB1860" i="34"/>
  <c r="AC1860" i="34"/>
  <c r="AD1860" i="34"/>
  <c r="P1861" i="34"/>
  <c r="T1861" i="34"/>
  <c r="U1861" i="34"/>
  <c r="V1861" i="34"/>
  <c r="W1861" i="34"/>
  <c r="Y1861" i="34"/>
  <c r="AB1861" i="34"/>
  <c r="AC1861" i="34"/>
  <c r="AD1861" i="34"/>
  <c r="P1862" i="34"/>
  <c r="T1862" i="34"/>
  <c r="U1862" i="34"/>
  <c r="V1862" i="34"/>
  <c r="W1862" i="34"/>
  <c r="Y1862" i="34"/>
  <c r="AB1862" i="34"/>
  <c r="AC1862" i="34"/>
  <c r="AD1862" i="34"/>
  <c r="P1863" i="34"/>
  <c r="T1863" i="34"/>
  <c r="U1863" i="34"/>
  <c r="V1863" i="34"/>
  <c r="W1863" i="34"/>
  <c r="Y1863" i="34"/>
  <c r="AB1863" i="34"/>
  <c r="AC1863" i="34"/>
  <c r="AD1863" i="34"/>
  <c r="P1864" i="34"/>
  <c r="T1864" i="34"/>
  <c r="U1864" i="34"/>
  <c r="V1864" i="34"/>
  <c r="W1864" i="34"/>
  <c r="Y1864" i="34"/>
  <c r="AB1864" i="34"/>
  <c r="AC1864" i="34"/>
  <c r="AD1864" i="34"/>
  <c r="P1865" i="34"/>
  <c r="T1865" i="34"/>
  <c r="U1865" i="34"/>
  <c r="V1865" i="34"/>
  <c r="W1865" i="34"/>
  <c r="Y1865" i="34"/>
  <c r="AB1865" i="34"/>
  <c r="AC1865" i="34"/>
  <c r="AD1865" i="34"/>
  <c r="P1866" i="34"/>
  <c r="T1866" i="34"/>
  <c r="U1866" i="34"/>
  <c r="V1866" i="34"/>
  <c r="W1866" i="34"/>
  <c r="Y1866" i="34"/>
  <c r="AB1866" i="34"/>
  <c r="AC1866" i="34"/>
  <c r="AD1866" i="34"/>
  <c r="P1867" i="34"/>
  <c r="T1867" i="34"/>
  <c r="U1867" i="34"/>
  <c r="V1867" i="34"/>
  <c r="W1867" i="34"/>
  <c r="Y1867" i="34"/>
  <c r="AB1867" i="34"/>
  <c r="AC1867" i="34"/>
  <c r="AD1867" i="34"/>
  <c r="P1868" i="34"/>
  <c r="T1868" i="34"/>
  <c r="U1868" i="34"/>
  <c r="V1868" i="34"/>
  <c r="W1868" i="34"/>
  <c r="Y1868" i="34"/>
  <c r="AB1868" i="34"/>
  <c r="AC1868" i="34"/>
  <c r="AD1868" i="34"/>
  <c r="P1869" i="34"/>
  <c r="T1869" i="34"/>
  <c r="U1869" i="34"/>
  <c r="V1869" i="34"/>
  <c r="W1869" i="34"/>
  <c r="Y1869" i="34"/>
  <c r="AB1869" i="34"/>
  <c r="AC1869" i="34"/>
  <c r="P1870" i="34"/>
  <c r="T1870" i="34"/>
  <c r="U1870" i="34"/>
  <c r="V1870" i="34"/>
  <c r="W1870" i="34"/>
  <c r="Y1870" i="34"/>
  <c r="AB1870" i="34"/>
  <c r="AC1870" i="34"/>
  <c r="P1871" i="34"/>
  <c r="T1871" i="34"/>
  <c r="U1871" i="34"/>
  <c r="V1871" i="34"/>
  <c r="W1871" i="34"/>
  <c r="Y1871" i="34"/>
  <c r="AB1871" i="34"/>
  <c r="AC1871" i="34"/>
  <c r="P1872" i="34"/>
  <c r="T1872" i="34"/>
  <c r="U1872" i="34"/>
  <c r="V1872" i="34"/>
  <c r="W1872" i="34"/>
  <c r="Y1872" i="34"/>
  <c r="AB1872" i="34"/>
  <c r="AC1872" i="34"/>
  <c r="P1873" i="34"/>
  <c r="T1873" i="34"/>
  <c r="U1873" i="34"/>
  <c r="V1873" i="34"/>
  <c r="W1873" i="34"/>
  <c r="Y1873" i="34"/>
  <c r="AB1873" i="34"/>
  <c r="AC1873" i="34"/>
  <c r="P1874" i="34"/>
  <c r="T1874" i="34"/>
  <c r="U1874" i="34"/>
  <c r="V1874" i="34"/>
  <c r="W1874" i="34"/>
  <c r="Y1874" i="34"/>
  <c r="AB1874" i="34"/>
  <c r="AC1874" i="34"/>
  <c r="P1875" i="34"/>
  <c r="T1875" i="34"/>
  <c r="U1875" i="34"/>
  <c r="V1875" i="34"/>
  <c r="W1875" i="34"/>
  <c r="Y1875" i="34"/>
  <c r="AB1875" i="34"/>
  <c r="AC1875" i="34"/>
  <c r="P1876" i="34"/>
  <c r="T1876" i="34"/>
  <c r="U1876" i="34"/>
  <c r="V1876" i="34"/>
  <c r="W1876" i="34"/>
  <c r="Y1876" i="34"/>
  <c r="AB1876" i="34"/>
  <c r="AC1876" i="34"/>
  <c r="P1877" i="34"/>
  <c r="T1877" i="34"/>
  <c r="U1877" i="34"/>
  <c r="V1877" i="34"/>
  <c r="W1877" i="34"/>
  <c r="Y1877" i="34"/>
  <c r="AB1877" i="34"/>
  <c r="AC1877" i="34"/>
  <c r="P1878" i="34"/>
  <c r="T1878" i="34"/>
  <c r="U1878" i="34"/>
  <c r="V1878" i="34"/>
  <c r="W1878" i="34"/>
  <c r="Y1878" i="34"/>
  <c r="AB1878" i="34"/>
  <c r="AC1878" i="34"/>
  <c r="P1879" i="34"/>
  <c r="T1879" i="34"/>
  <c r="U1879" i="34"/>
  <c r="V1879" i="34"/>
  <c r="W1879" i="34"/>
  <c r="Y1879" i="34"/>
  <c r="AB1879" i="34"/>
  <c r="AC1879" i="34"/>
  <c r="P1880" i="34"/>
  <c r="T1880" i="34"/>
  <c r="U1880" i="34"/>
  <c r="V1880" i="34"/>
  <c r="W1880" i="34"/>
  <c r="Y1880" i="34"/>
  <c r="AB1880" i="34"/>
  <c r="AC1880" i="34"/>
  <c r="P1881" i="34"/>
  <c r="T1881" i="34"/>
  <c r="U1881" i="34"/>
  <c r="V1881" i="34"/>
  <c r="W1881" i="34"/>
  <c r="Y1881" i="34"/>
  <c r="AB1881" i="34"/>
  <c r="AC1881" i="34"/>
  <c r="P1882" i="34"/>
  <c r="T1882" i="34"/>
  <c r="U1882" i="34"/>
  <c r="V1882" i="34"/>
  <c r="W1882" i="34"/>
  <c r="Y1882" i="34"/>
  <c r="AB1882" i="34"/>
  <c r="AC1882" i="34"/>
  <c r="P1883" i="34"/>
  <c r="T1883" i="34"/>
  <c r="U1883" i="34"/>
  <c r="V1883" i="34"/>
  <c r="W1883" i="34"/>
  <c r="Y1883" i="34"/>
  <c r="AB1883" i="34"/>
  <c r="AC1883" i="34"/>
  <c r="P1884" i="34"/>
  <c r="T1884" i="34"/>
  <c r="U1884" i="34"/>
  <c r="V1884" i="34"/>
  <c r="W1884" i="34"/>
  <c r="Y1884" i="34"/>
  <c r="AB1884" i="34"/>
  <c r="AC1884" i="34"/>
  <c r="P1885" i="34"/>
  <c r="T1885" i="34"/>
  <c r="U1885" i="34"/>
  <c r="V1885" i="34"/>
  <c r="W1885" i="34"/>
  <c r="Y1885" i="34"/>
  <c r="AB1885" i="34"/>
  <c r="AC1885" i="34"/>
  <c r="P1886" i="34"/>
  <c r="T1886" i="34"/>
  <c r="U1886" i="34"/>
  <c r="V1886" i="34"/>
  <c r="W1886" i="34"/>
  <c r="Y1886" i="34"/>
  <c r="AB1886" i="34"/>
  <c r="AC1886" i="34"/>
  <c r="P1887" i="34"/>
  <c r="T1887" i="34"/>
  <c r="U1887" i="34"/>
  <c r="V1887" i="34"/>
  <c r="W1887" i="34"/>
  <c r="Y1887" i="34"/>
  <c r="AB1887" i="34"/>
  <c r="AC1887" i="34"/>
  <c r="P1888" i="34"/>
  <c r="T1888" i="34"/>
  <c r="U1888" i="34"/>
  <c r="V1888" i="34"/>
  <c r="W1888" i="34"/>
  <c r="Y1888" i="34"/>
  <c r="AB1888" i="34"/>
  <c r="AC1888" i="34"/>
  <c r="P1889" i="34"/>
  <c r="T1889" i="34"/>
  <c r="U1889" i="34"/>
  <c r="V1889" i="34"/>
  <c r="W1889" i="34"/>
  <c r="Y1889" i="34"/>
  <c r="AB1889" i="34"/>
  <c r="AC1889" i="34"/>
  <c r="P1890" i="34"/>
  <c r="T1890" i="34"/>
  <c r="U1890" i="34"/>
  <c r="V1890" i="34"/>
  <c r="W1890" i="34"/>
  <c r="Y1890" i="34"/>
  <c r="AB1890" i="34"/>
  <c r="AC1890" i="34"/>
  <c r="P1891" i="34"/>
  <c r="T1891" i="34"/>
  <c r="U1891" i="34"/>
  <c r="V1891" i="34"/>
  <c r="W1891" i="34"/>
  <c r="Y1891" i="34"/>
  <c r="AB1891" i="34"/>
  <c r="AC1891" i="34"/>
  <c r="P1892" i="34"/>
  <c r="T1892" i="34"/>
  <c r="U1892" i="34"/>
  <c r="V1892" i="34"/>
  <c r="W1892" i="34"/>
  <c r="Y1892" i="34"/>
  <c r="AB1892" i="34"/>
  <c r="AC1892" i="34"/>
  <c r="P1893" i="34"/>
  <c r="T1893" i="34"/>
  <c r="U1893" i="34"/>
  <c r="V1893" i="34"/>
  <c r="W1893" i="34"/>
  <c r="Y1893" i="34"/>
  <c r="AB1893" i="34"/>
  <c r="AC1893" i="34"/>
  <c r="P1894" i="34"/>
  <c r="T1894" i="34"/>
  <c r="U1894" i="34"/>
  <c r="V1894" i="34"/>
  <c r="W1894" i="34"/>
  <c r="Y1894" i="34"/>
  <c r="AB1894" i="34"/>
  <c r="AC1894" i="34"/>
  <c r="P1895" i="34"/>
  <c r="T1895" i="34"/>
  <c r="U1895" i="34"/>
  <c r="V1895" i="34"/>
  <c r="W1895" i="34"/>
  <c r="Y1895" i="34"/>
  <c r="AB1895" i="34"/>
  <c r="AC1895" i="34"/>
  <c r="AD1895" i="34"/>
  <c r="P1896" i="34"/>
  <c r="T1896" i="34"/>
  <c r="U1896" i="34"/>
  <c r="V1896" i="34"/>
  <c r="W1896" i="34"/>
  <c r="Y1896" i="34"/>
  <c r="AB1896" i="34"/>
  <c r="AC1896" i="34"/>
  <c r="AD1896" i="34"/>
  <c r="P1897" i="34"/>
  <c r="T1897" i="34"/>
  <c r="U1897" i="34"/>
  <c r="V1897" i="34"/>
  <c r="W1897" i="34"/>
  <c r="Y1897" i="34"/>
  <c r="AB1897" i="34"/>
  <c r="AC1897" i="34"/>
  <c r="AD1897" i="34"/>
  <c r="P1898" i="34"/>
  <c r="T1898" i="34"/>
  <c r="U1898" i="34"/>
  <c r="V1898" i="34"/>
  <c r="W1898" i="34"/>
  <c r="Y1898" i="34"/>
  <c r="AB1898" i="34"/>
  <c r="AC1898" i="34"/>
  <c r="AD1898" i="34"/>
  <c r="P1899" i="34"/>
  <c r="T1899" i="34"/>
  <c r="U1899" i="34"/>
  <c r="V1899" i="34"/>
  <c r="W1899" i="34"/>
  <c r="Y1899" i="34"/>
  <c r="AB1899" i="34"/>
  <c r="AC1899" i="34"/>
  <c r="AD1899" i="34"/>
  <c r="P1900" i="34"/>
  <c r="T1900" i="34"/>
  <c r="U1900" i="34"/>
  <c r="V1900" i="34"/>
  <c r="W1900" i="34"/>
  <c r="Y1900" i="34"/>
  <c r="AB1900" i="34"/>
  <c r="AC1900" i="34"/>
  <c r="AD1900" i="34"/>
  <c r="P1901" i="34"/>
  <c r="T1901" i="34"/>
  <c r="U1901" i="34"/>
  <c r="V1901" i="34"/>
  <c r="W1901" i="34"/>
  <c r="Y1901" i="34"/>
  <c r="AB1901" i="34"/>
  <c r="AC1901" i="34"/>
  <c r="AD1901" i="34"/>
  <c r="P1902" i="34"/>
  <c r="T1902" i="34"/>
  <c r="U1902" i="34"/>
  <c r="V1902" i="34"/>
  <c r="W1902" i="34"/>
  <c r="Y1902" i="34"/>
  <c r="AB1902" i="34"/>
  <c r="AC1902" i="34"/>
  <c r="AD1902" i="34"/>
  <c r="P1903" i="34"/>
  <c r="T1903" i="34"/>
  <c r="U1903" i="34"/>
  <c r="V1903" i="34"/>
  <c r="W1903" i="34"/>
  <c r="Y1903" i="34"/>
  <c r="AB1903" i="34"/>
  <c r="AC1903" i="34"/>
  <c r="AD1903" i="34"/>
  <c r="P1904" i="34"/>
  <c r="T1904" i="34"/>
  <c r="U1904" i="34"/>
  <c r="V1904" i="34"/>
  <c r="W1904" i="34"/>
  <c r="Y1904" i="34"/>
  <c r="AB1904" i="34"/>
  <c r="AC1904" i="34"/>
  <c r="AD1904" i="34"/>
  <c r="P1905" i="34"/>
  <c r="T1905" i="34"/>
  <c r="U1905" i="34"/>
  <c r="V1905" i="34"/>
  <c r="W1905" i="34"/>
  <c r="Y1905" i="34"/>
  <c r="AB1905" i="34"/>
  <c r="AC1905" i="34"/>
  <c r="AD1905" i="34"/>
  <c r="P1906" i="34"/>
  <c r="T1906" i="34"/>
  <c r="U1906" i="34"/>
  <c r="V1906" i="34"/>
  <c r="W1906" i="34"/>
  <c r="Y1906" i="34"/>
  <c r="AB1906" i="34"/>
  <c r="AC1906" i="34"/>
  <c r="AD1906" i="34"/>
  <c r="P1907" i="34"/>
  <c r="T1907" i="34"/>
  <c r="U1907" i="34"/>
  <c r="V1907" i="34"/>
  <c r="W1907" i="34"/>
  <c r="Y1907" i="34"/>
  <c r="AB1907" i="34"/>
  <c r="AC1907" i="34"/>
  <c r="AD1907" i="34"/>
  <c r="P1908" i="34"/>
  <c r="T1908" i="34"/>
  <c r="U1908" i="34"/>
  <c r="V1908" i="34"/>
  <c r="W1908" i="34"/>
  <c r="Y1908" i="34"/>
  <c r="AB1908" i="34"/>
  <c r="AC1908" i="34"/>
  <c r="AD1908" i="34"/>
  <c r="P1909" i="34"/>
  <c r="T1909" i="34"/>
  <c r="U1909" i="34"/>
  <c r="V1909" i="34"/>
  <c r="W1909" i="34"/>
  <c r="Y1909" i="34"/>
  <c r="AB1909" i="34"/>
  <c r="AC1909" i="34"/>
  <c r="AD1909" i="34"/>
  <c r="P1910" i="34"/>
  <c r="T1910" i="34"/>
  <c r="U1910" i="34"/>
  <c r="V1910" i="34"/>
  <c r="W1910" i="34"/>
  <c r="Y1910" i="34"/>
  <c r="AB1910" i="34"/>
  <c r="AC1910" i="34"/>
  <c r="AD1910" i="34"/>
  <c r="P1911" i="34"/>
  <c r="T1911" i="34"/>
  <c r="U1911" i="34"/>
  <c r="V1911" i="34"/>
  <c r="W1911" i="34"/>
  <c r="Y1911" i="34"/>
  <c r="AB1911" i="34"/>
  <c r="AC1911" i="34"/>
  <c r="AD1911" i="34"/>
  <c r="P1912" i="34"/>
  <c r="T1912" i="34"/>
  <c r="U1912" i="34"/>
  <c r="V1912" i="34"/>
  <c r="W1912" i="34"/>
  <c r="Y1912" i="34"/>
  <c r="AB1912" i="34"/>
  <c r="AC1912" i="34"/>
  <c r="AD1912" i="34"/>
  <c r="P1913" i="34"/>
  <c r="T1913" i="34"/>
  <c r="U1913" i="34"/>
  <c r="V1913" i="34"/>
  <c r="W1913" i="34"/>
  <c r="Y1913" i="34"/>
  <c r="AB1913" i="34"/>
  <c r="AC1913" i="34"/>
  <c r="AD1913" i="34"/>
  <c r="P1914" i="34"/>
  <c r="T1914" i="34"/>
  <c r="U1914" i="34"/>
  <c r="V1914" i="34"/>
  <c r="W1914" i="34"/>
  <c r="Y1914" i="34"/>
  <c r="AB1914" i="34"/>
  <c r="AC1914" i="34"/>
  <c r="AD1914" i="34"/>
  <c r="P1915" i="34"/>
  <c r="T1915" i="34"/>
  <c r="U1915" i="34"/>
  <c r="V1915" i="34"/>
  <c r="W1915" i="34"/>
  <c r="Y1915" i="34"/>
  <c r="AB1915" i="34"/>
  <c r="AC1915" i="34"/>
  <c r="AD1915" i="34"/>
  <c r="P1916" i="34"/>
  <c r="T1916" i="34"/>
  <c r="U1916" i="34"/>
  <c r="V1916" i="34"/>
  <c r="W1916" i="34"/>
  <c r="Y1916" i="34"/>
  <c r="AB1916" i="34"/>
  <c r="AC1916" i="34"/>
  <c r="AD1916" i="34"/>
  <c r="P1917" i="34"/>
  <c r="T1917" i="34"/>
  <c r="U1917" i="34"/>
  <c r="V1917" i="34"/>
  <c r="W1917" i="34"/>
  <c r="Y1917" i="34"/>
  <c r="AB1917" i="34"/>
  <c r="AC1917" i="34"/>
  <c r="AD1917" i="34"/>
  <c r="P1918" i="34"/>
  <c r="T1918" i="34"/>
  <c r="U1918" i="34"/>
  <c r="V1918" i="34"/>
  <c r="W1918" i="34"/>
  <c r="Y1918" i="34"/>
  <c r="AB1918" i="34"/>
  <c r="AC1918" i="34"/>
  <c r="AD1918" i="34"/>
  <c r="P1919" i="34"/>
  <c r="T1919" i="34"/>
  <c r="U1919" i="34"/>
  <c r="V1919" i="34"/>
  <c r="W1919" i="34"/>
  <c r="Y1919" i="34"/>
  <c r="AB1919" i="34"/>
  <c r="AC1919" i="34"/>
  <c r="AD1919" i="34"/>
  <c r="P1920" i="34"/>
  <c r="T1920" i="34"/>
  <c r="U1920" i="34"/>
  <c r="V1920" i="34"/>
  <c r="W1920" i="34"/>
  <c r="Y1920" i="34"/>
  <c r="AB1920" i="34"/>
  <c r="AC1920" i="34"/>
  <c r="AD1920" i="34"/>
  <c r="P1921" i="34"/>
  <c r="T1921" i="34"/>
  <c r="U1921" i="34"/>
  <c r="V1921" i="34"/>
  <c r="W1921" i="34"/>
  <c r="Y1921" i="34"/>
  <c r="AB1921" i="34"/>
  <c r="AC1921" i="34"/>
  <c r="AD1921" i="34"/>
  <c r="P1922" i="34"/>
  <c r="T1922" i="34"/>
  <c r="U1922" i="34"/>
  <c r="V1922" i="34"/>
  <c r="W1922" i="34"/>
  <c r="Y1922" i="34"/>
  <c r="AB1922" i="34"/>
  <c r="AC1922" i="34"/>
  <c r="AD1922" i="34"/>
  <c r="P1923" i="34"/>
  <c r="T1923" i="34"/>
  <c r="U1923" i="34"/>
  <c r="V1923" i="34"/>
  <c r="W1923" i="34"/>
  <c r="Y1923" i="34"/>
  <c r="AB1923" i="34"/>
  <c r="AC1923" i="34"/>
  <c r="AD1923" i="34"/>
  <c r="P1924" i="34"/>
  <c r="T1924" i="34"/>
  <c r="U1924" i="34"/>
  <c r="V1924" i="34"/>
  <c r="W1924" i="34"/>
  <c r="Y1924" i="34"/>
  <c r="AB1924" i="34"/>
  <c r="AC1924" i="34"/>
  <c r="AD1924" i="34"/>
  <c r="P1925" i="34"/>
  <c r="T1925" i="34"/>
  <c r="U1925" i="34"/>
  <c r="V1925" i="34"/>
  <c r="W1925" i="34"/>
  <c r="Y1925" i="34"/>
  <c r="AB1925" i="34"/>
  <c r="AC1925" i="34"/>
  <c r="AD1925" i="34"/>
  <c r="P1926" i="34"/>
  <c r="T1926" i="34"/>
  <c r="U1926" i="34"/>
  <c r="V1926" i="34"/>
  <c r="W1926" i="34"/>
  <c r="Y1926" i="34"/>
  <c r="AB1926" i="34"/>
  <c r="AC1926" i="34"/>
  <c r="AD1926" i="34"/>
  <c r="P1927" i="34"/>
  <c r="T1927" i="34"/>
  <c r="U1927" i="34"/>
  <c r="V1927" i="34"/>
  <c r="W1927" i="34"/>
  <c r="Y1927" i="34"/>
  <c r="AB1927" i="34"/>
  <c r="AC1927" i="34"/>
  <c r="AD1927" i="34"/>
  <c r="P1928" i="34"/>
  <c r="T1928" i="34"/>
  <c r="U1928" i="34"/>
  <c r="V1928" i="34"/>
  <c r="W1928" i="34"/>
  <c r="Y1928" i="34"/>
  <c r="AB1928" i="34"/>
  <c r="AC1928" i="34"/>
  <c r="AD1928" i="34"/>
  <c r="P1929" i="34"/>
  <c r="T1929" i="34"/>
  <c r="U1929" i="34"/>
  <c r="V1929" i="34"/>
  <c r="W1929" i="34"/>
  <c r="Y1929" i="34"/>
  <c r="AB1929" i="34"/>
  <c r="AC1929" i="34"/>
  <c r="AD1929" i="34"/>
  <c r="P1930" i="34"/>
  <c r="T1930" i="34"/>
  <c r="U1930" i="34"/>
  <c r="V1930" i="34"/>
  <c r="W1930" i="34"/>
  <c r="Y1930" i="34"/>
  <c r="AB1930" i="34"/>
  <c r="AC1930" i="34"/>
  <c r="AD1930" i="34"/>
  <c r="P1931" i="34"/>
  <c r="T1931" i="34"/>
  <c r="U1931" i="34"/>
  <c r="V1931" i="34"/>
  <c r="W1931" i="34"/>
  <c r="Y1931" i="34"/>
  <c r="AB1931" i="34"/>
  <c r="AC1931" i="34"/>
  <c r="AD1931" i="34"/>
  <c r="P1932" i="34"/>
  <c r="T1932" i="34"/>
  <c r="U1932" i="34"/>
  <c r="V1932" i="34"/>
  <c r="W1932" i="34"/>
  <c r="Y1932" i="34"/>
  <c r="AB1932" i="34"/>
  <c r="AC1932" i="34"/>
  <c r="AD1932" i="34"/>
  <c r="P1933" i="34"/>
  <c r="T1933" i="34"/>
  <c r="U1933" i="34"/>
  <c r="V1933" i="34"/>
  <c r="W1933" i="34"/>
  <c r="Y1933" i="34"/>
  <c r="AB1933" i="34"/>
  <c r="AC1933" i="34"/>
  <c r="AD1933" i="34"/>
  <c r="P1934" i="34"/>
  <c r="T1934" i="34"/>
  <c r="U1934" i="34"/>
  <c r="V1934" i="34"/>
  <c r="W1934" i="34"/>
  <c r="Y1934" i="34"/>
  <c r="AB1934" i="34"/>
  <c r="AC1934" i="34"/>
  <c r="AD1934" i="34"/>
  <c r="P1935" i="34"/>
  <c r="T1935" i="34"/>
  <c r="U1935" i="34"/>
  <c r="V1935" i="34"/>
  <c r="W1935" i="34"/>
  <c r="Y1935" i="34"/>
  <c r="AB1935" i="34"/>
  <c r="AC1935" i="34"/>
  <c r="AD1935" i="34"/>
  <c r="P1936" i="34"/>
  <c r="T1936" i="34"/>
  <c r="U1936" i="34"/>
  <c r="V1936" i="34"/>
  <c r="W1936" i="34"/>
  <c r="Y1936" i="34"/>
  <c r="AB1936" i="34"/>
  <c r="AC1936" i="34"/>
  <c r="AD1936" i="34"/>
  <c r="P1937" i="34"/>
  <c r="T1937" i="34"/>
  <c r="U1937" i="34"/>
  <c r="V1937" i="34"/>
  <c r="W1937" i="34"/>
  <c r="Y1937" i="34"/>
  <c r="AB1937" i="34"/>
  <c r="AC1937" i="34"/>
  <c r="AD1937" i="34"/>
  <c r="P1938" i="34"/>
  <c r="T1938" i="34"/>
  <c r="U1938" i="34"/>
  <c r="V1938" i="34"/>
  <c r="W1938" i="34"/>
  <c r="Y1938" i="34"/>
  <c r="AB1938" i="34"/>
  <c r="AC1938" i="34"/>
  <c r="AD1938" i="34"/>
  <c r="P1939" i="34"/>
  <c r="T1939" i="34"/>
  <c r="U1939" i="34"/>
  <c r="V1939" i="34"/>
  <c r="W1939" i="34"/>
  <c r="Y1939" i="34"/>
  <c r="AB1939" i="34"/>
  <c r="AC1939" i="34"/>
  <c r="AD1939" i="34"/>
  <c r="P1940" i="34"/>
  <c r="T1940" i="34"/>
  <c r="U1940" i="34"/>
  <c r="V1940" i="34"/>
  <c r="W1940" i="34"/>
  <c r="Y1940" i="34"/>
  <c r="AB1940" i="34"/>
  <c r="AC1940" i="34"/>
  <c r="AD1940" i="34"/>
  <c r="P1941" i="34"/>
  <c r="T1941" i="34"/>
  <c r="U1941" i="34"/>
  <c r="V1941" i="34"/>
  <c r="W1941" i="34"/>
  <c r="Y1941" i="34"/>
  <c r="AB1941" i="34"/>
  <c r="AC1941" i="34"/>
  <c r="AD1941" i="34"/>
  <c r="P1942" i="34"/>
  <c r="T1942" i="34"/>
  <c r="U1942" i="34"/>
  <c r="V1942" i="34"/>
  <c r="W1942" i="34"/>
  <c r="Y1942" i="34"/>
  <c r="AB1942" i="34"/>
  <c r="AC1942" i="34"/>
  <c r="AD1942" i="34"/>
  <c r="P1943" i="34"/>
  <c r="T1943" i="34"/>
  <c r="U1943" i="34"/>
  <c r="V1943" i="34"/>
  <c r="W1943" i="34"/>
  <c r="Y1943" i="34"/>
  <c r="AB1943" i="34"/>
  <c r="AC1943" i="34"/>
  <c r="AD1943" i="34"/>
  <c r="P1944" i="34"/>
  <c r="T1944" i="34"/>
  <c r="U1944" i="34"/>
  <c r="V1944" i="34"/>
  <c r="W1944" i="34"/>
  <c r="Y1944" i="34"/>
  <c r="AB1944" i="34"/>
  <c r="AC1944" i="34"/>
  <c r="P1945" i="34"/>
  <c r="T1945" i="34"/>
  <c r="U1945" i="34"/>
  <c r="V1945" i="34"/>
  <c r="W1945" i="34"/>
  <c r="Y1945" i="34"/>
  <c r="AB1945" i="34"/>
  <c r="AC1945" i="34"/>
  <c r="P1946" i="34"/>
  <c r="T1946" i="34"/>
  <c r="U1946" i="34"/>
  <c r="V1946" i="34"/>
  <c r="W1946" i="34"/>
  <c r="Y1946" i="34"/>
  <c r="AB1946" i="34"/>
  <c r="AC1946" i="34"/>
  <c r="P1947" i="34"/>
  <c r="T1947" i="34"/>
  <c r="U1947" i="34"/>
  <c r="V1947" i="34"/>
  <c r="W1947" i="34"/>
  <c r="Y1947" i="34"/>
  <c r="AB1947" i="34"/>
  <c r="AC1947" i="34"/>
  <c r="P1948" i="34"/>
  <c r="T1948" i="34"/>
  <c r="U1948" i="34"/>
  <c r="V1948" i="34"/>
  <c r="W1948" i="34"/>
  <c r="Y1948" i="34"/>
  <c r="AB1948" i="34"/>
  <c r="AC1948" i="34"/>
  <c r="P1949" i="34"/>
  <c r="T1949" i="34"/>
  <c r="U1949" i="34"/>
  <c r="V1949" i="34"/>
  <c r="W1949" i="34"/>
  <c r="Y1949" i="34"/>
  <c r="AB1949" i="34"/>
  <c r="AC1949" i="34"/>
  <c r="P1950" i="34"/>
  <c r="T1950" i="34"/>
  <c r="U1950" i="34"/>
  <c r="V1950" i="34"/>
  <c r="W1950" i="34"/>
  <c r="Y1950" i="34"/>
  <c r="AB1950" i="34"/>
  <c r="AC1950" i="34"/>
  <c r="P1951" i="34"/>
  <c r="T1951" i="34"/>
  <c r="U1951" i="34"/>
  <c r="V1951" i="34"/>
  <c r="W1951" i="34"/>
  <c r="Y1951" i="34"/>
  <c r="AB1951" i="34"/>
  <c r="AC1951" i="34"/>
  <c r="P1952" i="34"/>
  <c r="T1952" i="34"/>
  <c r="U1952" i="34"/>
  <c r="V1952" i="34"/>
  <c r="W1952" i="34"/>
  <c r="Y1952" i="34"/>
  <c r="AB1952" i="34"/>
  <c r="AC1952" i="34"/>
  <c r="P1953" i="34"/>
  <c r="T1953" i="34"/>
  <c r="U1953" i="34"/>
  <c r="V1953" i="34"/>
  <c r="W1953" i="34"/>
  <c r="Y1953" i="34"/>
  <c r="AB1953" i="34"/>
  <c r="AC1953" i="34"/>
  <c r="P1954" i="34"/>
  <c r="T1954" i="34"/>
  <c r="U1954" i="34"/>
  <c r="V1954" i="34"/>
  <c r="W1954" i="34"/>
  <c r="Y1954" i="34"/>
  <c r="AB1954" i="34"/>
  <c r="AC1954" i="34"/>
  <c r="P1955" i="34"/>
  <c r="T1955" i="34"/>
  <c r="U1955" i="34"/>
  <c r="V1955" i="34"/>
  <c r="W1955" i="34"/>
  <c r="Y1955" i="34"/>
  <c r="AB1955" i="34"/>
  <c r="AC1955" i="34"/>
  <c r="P1956" i="34"/>
  <c r="T1956" i="34"/>
  <c r="U1956" i="34"/>
  <c r="V1956" i="34"/>
  <c r="W1956" i="34"/>
  <c r="Y1956" i="34"/>
  <c r="AB1956" i="34"/>
  <c r="AC1956" i="34"/>
  <c r="P1957" i="34"/>
  <c r="T1957" i="34"/>
  <c r="U1957" i="34"/>
  <c r="V1957" i="34"/>
  <c r="W1957" i="34"/>
  <c r="Y1957" i="34"/>
  <c r="AB1957" i="34"/>
  <c r="AC1957" i="34"/>
  <c r="P1995" i="34"/>
  <c r="T1995" i="34"/>
  <c r="U1995" i="34"/>
  <c r="V1995" i="34"/>
  <c r="W1995" i="34"/>
  <c r="Y1995" i="34"/>
  <c r="AB1995" i="34"/>
  <c r="AC1995" i="34"/>
  <c r="AD1995" i="34"/>
  <c r="P1996" i="34"/>
  <c r="T1996" i="34"/>
  <c r="U1996" i="34"/>
  <c r="V1996" i="34"/>
  <c r="W1996" i="34"/>
  <c r="Y1996" i="34"/>
  <c r="AB1996" i="34"/>
  <c r="AC1996" i="34"/>
  <c r="AD1996" i="34"/>
  <c r="P1997" i="34"/>
  <c r="T1997" i="34"/>
  <c r="U1997" i="34"/>
  <c r="V1997" i="34"/>
  <c r="W1997" i="34"/>
  <c r="Y1997" i="34"/>
  <c r="AB1997" i="34"/>
  <c r="AC1997" i="34"/>
  <c r="AD1997" i="34"/>
  <c r="P1998" i="34"/>
  <c r="T1998" i="34"/>
  <c r="U1998" i="34"/>
  <c r="V1998" i="34"/>
  <c r="W1998" i="34"/>
  <c r="Y1998" i="34"/>
  <c r="AB1998" i="34"/>
  <c r="AC1998" i="34"/>
  <c r="AD1998" i="34"/>
  <c r="P1999" i="34"/>
  <c r="T1999" i="34"/>
  <c r="U1999" i="34"/>
  <c r="V1999" i="34"/>
  <c r="W1999" i="34"/>
  <c r="Y1999" i="34"/>
  <c r="AB1999" i="34"/>
  <c r="AC1999" i="34"/>
  <c r="AD1999" i="34"/>
  <c r="P2000" i="34"/>
  <c r="T2000" i="34"/>
  <c r="U2000" i="34"/>
  <c r="V2000" i="34"/>
  <c r="W2000" i="34"/>
  <c r="Y2000" i="34"/>
  <c r="AB2000" i="34"/>
  <c r="AC2000" i="34"/>
  <c r="AD2000" i="34"/>
  <c r="P2001" i="34"/>
  <c r="T2001" i="34"/>
  <c r="U2001" i="34"/>
  <c r="V2001" i="34"/>
  <c r="W2001" i="34"/>
  <c r="Y2001" i="34"/>
  <c r="AB2001" i="34"/>
  <c r="AC2001" i="34"/>
  <c r="AD2001" i="34"/>
  <c r="P2002" i="34"/>
  <c r="T2002" i="34"/>
  <c r="U2002" i="34"/>
  <c r="V2002" i="34"/>
  <c r="W2002" i="34"/>
  <c r="Y2002" i="34"/>
  <c r="AB2002" i="34"/>
  <c r="AC2002" i="34"/>
  <c r="AD2002" i="34"/>
  <c r="P2003" i="34"/>
  <c r="T2003" i="34"/>
  <c r="U2003" i="34"/>
  <c r="V2003" i="34"/>
  <c r="W2003" i="34"/>
  <c r="Y2003" i="34"/>
  <c r="AB2003" i="34"/>
  <c r="AC2003" i="34"/>
  <c r="AD2003" i="34"/>
  <c r="P2004" i="34"/>
  <c r="T2004" i="34"/>
  <c r="U2004" i="34"/>
  <c r="V2004" i="34"/>
  <c r="W2004" i="34"/>
  <c r="Y2004" i="34"/>
  <c r="AB2004" i="34"/>
  <c r="AC2004" i="34"/>
  <c r="AD2004" i="34"/>
  <c r="P2005" i="34"/>
  <c r="T2005" i="34"/>
  <c r="U2005" i="34"/>
  <c r="V2005" i="34"/>
  <c r="W2005" i="34"/>
  <c r="Y2005" i="34"/>
  <c r="AB2005" i="34"/>
  <c r="AC2005" i="34"/>
  <c r="AD2005" i="34"/>
  <c r="P2006" i="34"/>
  <c r="T2006" i="34"/>
  <c r="U2006" i="34"/>
  <c r="V2006" i="34"/>
  <c r="W2006" i="34"/>
  <c r="Y2006" i="34"/>
  <c r="AB2006" i="34"/>
  <c r="AC2006" i="34"/>
  <c r="AD2006" i="34"/>
  <c r="P2007" i="34"/>
  <c r="T2007" i="34"/>
  <c r="U2007" i="34"/>
  <c r="V2007" i="34"/>
  <c r="W2007" i="34"/>
  <c r="Y2007" i="34"/>
  <c r="AB2007" i="34"/>
  <c r="AC2007" i="34"/>
  <c r="AD2007" i="34"/>
  <c r="P2008" i="34"/>
  <c r="T2008" i="34"/>
  <c r="U2008" i="34"/>
  <c r="V2008" i="34"/>
  <c r="W2008" i="34"/>
  <c r="Y2008" i="34"/>
  <c r="AB2008" i="34"/>
  <c r="AC2008" i="34"/>
  <c r="AD2008" i="34"/>
  <c r="P2009" i="34"/>
  <c r="T2009" i="34"/>
  <c r="U2009" i="34"/>
  <c r="V2009" i="34"/>
  <c r="W2009" i="34"/>
  <c r="Y2009" i="34"/>
  <c r="AB2009" i="34"/>
  <c r="AC2009" i="34"/>
  <c r="AD2009" i="34"/>
  <c r="P2010" i="34"/>
  <c r="T2010" i="34"/>
  <c r="U2010" i="34"/>
  <c r="V2010" i="34"/>
  <c r="W2010" i="34"/>
  <c r="Y2010" i="34"/>
  <c r="AB2010" i="34"/>
  <c r="AC2010" i="34"/>
  <c r="AD2010" i="34"/>
  <c r="P2011" i="34"/>
  <c r="T2011" i="34"/>
  <c r="U2011" i="34"/>
  <c r="V2011" i="34"/>
  <c r="W2011" i="34"/>
  <c r="Y2011" i="34"/>
  <c r="AB2011" i="34"/>
  <c r="AC2011" i="34"/>
  <c r="AD2011" i="34"/>
  <c r="P2012" i="34"/>
  <c r="T2012" i="34"/>
  <c r="U2012" i="34"/>
  <c r="V2012" i="34"/>
  <c r="W2012" i="34"/>
  <c r="Y2012" i="34"/>
  <c r="AB2012" i="34"/>
  <c r="AC2012" i="34"/>
  <c r="AD2012" i="34"/>
  <c r="P2013" i="34"/>
  <c r="T2013" i="34"/>
  <c r="U2013" i="34"/>
  <c r="V2013" i="34"/>
  <c r="W2013" i="34"/>
  <c r="Y2013" i="34"/>
  <c r="AB2013" i="34"/>
  <c r="AC2013" i="34"/>
  <c r="AD2013" i="34"/>
  <c r="P2014" i="34"/>
  <c r="T2014" i="34"/>
  <c r="U2014" i="34"/>
  <c r="V2014" i="34"/>
  <c r="W2014" i="34"/>
  <c r="Y2014" i="34"/>
  <c r="AB2014" i="34"/>
  <c r="AC2014" i="34"/>
  <c r="AD2014" i="34"/>
  <c r="P2015" i="34"/>
  <c r="T2015" i="34"/>
  <c r="U2015" i="34"/>
  <c r="V2015" i="34"/>
  <c r="W2015" i="34"/>
  <c r="Y2015" i="34"/>
  <c r="AB2015" i="34"/>
  <c r="AC2015" i="34"/>
  <c r="AD2015" i="34"/>
  <c r="P2016" i="34"/>
  <c r="T2016" i="34"/>
  <c r="U2016" i="34"/>
  <c r="V2016" i="34"/>
  <c r="W2016" i="34"/>
  <c r="Y2016" i="34"/>
  <c r="AB2016" i="34"/>
  <c r="AC2016" i="34"/>
  <c r="AD2016" i="34"/>
  <c r="P2017" i="34"/>
  <c r="T2017" i="34"/>
  <c r="U2017" i="34"/>
  <c r="V2017" i="34"/>
  <c r="W2017" i="34"/>
  <c r="Y2017" i="34"/>
  <c r="AB2017" i="34"/>
  <c r="AC2017" i="34"/>
  <c r="AD2017" i="34"/>
  <c r="P2018" i="34"/>
  <c r="T2018" i="34"/>
  <c r="U2018" i="34"/>
  <c r="V2018" i="34"/>
  <c r="W2018" i="34"/>
  <c r="Y2018" i="34"/>
  <c r="AB2018" i="34"/>
  <c r="AC2018" i="34"/>
  <c r="AD2018" i="34"/>
  <c r="P2019" i="34"/>
  <c r="T2019" i="34"/>
  <c r="U2019" i="34"/>
  <c r="V2019" i="34"/>
  <c r="W2019" i="34"/>
  <c r="Y2019" i="34"/>
  <c r="AB2019" i="34"/>
  <c r="AC2019" i="34"/>
  <c r="AD2019" i="34"/>
  <c r="P2020" i="34"/>
  <c r="T2020" i="34"/>
  <c r="U2020" i="34"/>
  <c r="V2020" i="34"/>
  <c r="W2020" i="34"/>
  <c r="Y2020" i="34"/>
  <c r="AB2020" i="34"/>
  <c r="AC2020" i="34"/>
  <c r="AD2020" i="34"/>
  <c r="P2021" i="34"/>
  <c r="T2021" i="34"/>
  <c r="U2021" i="34"/>
  <c r="V2021" i="34"/>
  <c r="W2021" i="34"/>
  <c r="Y2021" i="34"/>
  <c r="AB2021" i="34"/>
  <c r="AC2021" i="34"/>
  <c r="AD2021" i="34"/>
  <c r="P2022" i="34"/>
  <c r="T2022" i="34"/>
  <c r="U2022" i="34"/>
  <c r="V2022" i="34"/>
  <c r="W2022" i="34"/>
  <c r="Y2022" i="34"/>
  <c r="AB2022" i="34"/>
  <c r="AC2022" i="34"/>
  <c r="AD2022" i="34"/>
  <c r="P2023" i="34"/>
  <c r="T2023" i="34"/>
  <c r="U2023" i="34"/>
  <c r="V2023" i="34"/>
  <c r="W2023" i="34"/>
  <c r="Y2023" i="34"/>
  <c r="AB2023" i="34"/>
  <c r="AC2023" i="34"/>
  <c r="AD2023" i="34"/>
  <c r="P2024" i="34"/>
  <c r="T2024" i="34"/>
  <c r="U2024" i="34"/>
  <c r="V2024" i="34"/>
  <c r="W2024" i="34"/>
  <c r="Y2024" i="34"/>
  <c r="AB2024" i="34"/>
  <c r="AC2024" i="34"/>
  <c r="AD2024" i="34"/>
  <c r="P2025" i="34"/>
  <c r="T2025" i="34"/>
  <c r="U2025" i="34"/>
  <c r="V2025" i="34"/>
  <c r="W2025" i="34"/>
  <c r="Y2025" i="34"/>
  <c r="AB2025" i="34"/>
  <c r="AC2025" i="34"/>
  <c r="AD2025" i="34"/>
  <c r="P2026" i="34"/>
  <c r="T2026" i="34"/>
  <c r="U2026" i="34"/>
  <c r="V2026" i="34"/>
  <c r="W2026" i="34"/>
  <c r="Y2026" i="34"/>
  <c r="AB2026" i="34"/>
  <c r="AC2026" i="34"/>
  <c r="AD2026" i="34"/>
  <c r="P2027" i="34"/>
  <c r="T2027" i="34"/>
  <c r="U2027" i="34"/>
  <c r="V2027" i="34"/>
  <c r="W2027" i="34"/>
  <c r="Y2027" i="34"/>
  <c r="AB2027" i="34"/>
  <c r="AC2027" i="34"/>
  <c r="AD2027" i="34"/>
  <c r="P2028" i="34"/>
  <c r="T2028" i="34"/>
  <c r="U2028" i="34"/>
  <c r="V2028" i="34"/>
  <c r="W2028" i="34"/>
  <c r="Y2028" i="34"/>
  <c r="AB2028" i="34"/>
  <c r="AC2028" i="34"/>
  <c r="AD2028" i="34"/>
  <c r="P2029" i="34"/>
  <c r="T2029" i="34"/>
  <c r="U2029" i="34"/>
  <c r="V2029" i="34"/>
  <c r="W2029" i="34"/>
  <c r="Y2029" i="34"/>
  <c r="AB2029" i="34"/>
  <c r="AC2029" i="34"/>
  <c r="AD2029" i="34"/>
  <c r="P2030" i="34"/>
  <c r="T2030" i="34"/>
  <c r="U2030" i="34"/>
  <c r="V2030" i="34"/>
  <c r="W2030" i="34"/>
  <c r="Y2030" i="34"/>
  <c r="AB2030" i="34"/>
  <c r="AC2030" i="34"/>
  <c r="AD2030" i="34"/>
  <c r="P2031" i="34"/>
  <c r="T2031" i="34"/>
  <c r="U2031" i="34"/>
  <c r="V2031" i="34"/>
  <c r="W2031" i="34"/>
  <c r="Y2031" i="34"/>
  <c r="AB2031" i="34"/>
  <c r="AC2031" i="34"/>
  <c r="AD2031" i="34"/>
  <c r="P2032" i="34"/>
  <c r="T2032" i="34"/>
  <c r="U2032" i="34"/>
  <c r="V2032" i="34"/>
  <c r="W2032" i="34"/>
  <c r="Y2032" i="34"/>
  <c r="AB2032" i="34"/>
  <c r="AC2032" i="34"/>
  <c r="AD2032" i="34"/>
  <c r="P2033" i="34"/>
  <c r="T2033" i="34"/>
  <c r="U2033" i="34"/>
  <c r="V2033" i="34"/>
  <c r="W2033" i="34"/>
  <c r="Y2033" i="34"/>
  <c r="AB2033" i="34"/>
  <c r="AC2033" i="34"/>
  <c r="AD2033" i="34"/>
  <c r="P2034" i="34"/>
  <c r="T2034" i="34"/>
  <c r="U2034" i="34"/>
  <c r="V2034" i="34"/>
  <c r="W2034" i="34"/>
  <c r="Y2034" i="34"/>
  <c r="AB2034" i="34"/>
  <c r="AC2034" i="34"/>
  <c r="AD2034" i="34"/>
  <c r="P2035" i="34"/>
  <c r="T2035" i="34"/>
  <c r="U2035" i="34"/>
  <c r="V2035" i="34"/>
  <c r="W2035" i="34"/>
  <c r="Y2035" i="34"/>
  <c r="AB2035" i="34"/>
  <c r="AC2035" i="34"/>
  <c r="AD2035" i="34"/>
  <c r="P2036" i="34"/>
  <c r="T2036" i="34"/>
  <c r="U2036" i="34"/>
  <c r="V2036" i="34"/>
  <c r="W2036" i="34"/>
  <c r="Y2036" i="34"/>
  <c r="AB2036" i="34"/>
  <c r="AC2036" i="34"/>
  <c r="AD2036" i="34"/>
  <c r="P2037" i="34"/>
  <c r="T2037" i="34"/>
  <c r="U2037" i="34"/>
  <c r="V2037" i="34"/>
  <c r="W2037" i="34"/>
  <c r="Y2037" i="34"/>
  <c r="AB2037" i="34"/>
  <c r="AC2037" i="34"/>
  <c r="AD2037" i="34"/>
  <c r="P2038" i="34"/>
  <c r="T2038" i="34"/>
  <c r="U2038" i="34"/>
  <c r="V2038" i="34"/>
  <c r="W2038" i="34"/>
  <c r="Y2038" i="34"/>
  <c r="AB2038" i="34"/>
  <c r="AC2038" i="34"/>
  <c r="AD2038" i="34"/>
  <c r="P2039" i="34"/>
  <c r="T2039" i="34"/>
  <c r="U2039" i="34"/>
  <c r="V2039" i="34"/>
  <c r="W2039" i="34"/>
  <c r="Y2039" i="34"/>
  <c r="AB2039" i="34"/>
  <c r="AC2039" i="34"/>
  <c r="AD2039" i="34"/>
  <c r="P2040" i="34"/>
  <c r="T2040" i="34"/>
  <c r="U2040" i="34"/>
  <c r="V2040" i="34"/>
  <c r="W2040" i="34"/>
  <c r="Y2040" i="34"/>
  <c r="AB2040" i="34"/>
  <c r="AC2040" i="34"/>
  <c r="AD2040" i="34"/>
  <c r="P2041" i="34"/>
  <c r="T2041" i="34"/>
  <c r="U2041" i="34"/>
  <c r="V2041" i="34"/>
  <c r="W2041" i="34"/>
  <c r="Y2041" i="34"/>
  <c r="AB2041" i="34"/>
  <c r="AC2041" i="34"/>
  <c r="AD2041" i="34"/>
  <c r="P2042" i="34"/>
  <c r="T2042" i="34"/>
  <c r="U2042" i="34"/>
  <c r="V2042" i="34"/>
  <c r="W2042" i="34"/>
  <c r="Y2042" i="34"/>
  <c r="AB2042" i="34"/>
  <c r="AC2042" i="34"/>
  <c r="AD2042" i="34"/>
  <c r="P2043" i="34"/>
  <c r="T2043" i="34"/>
  <c r="U2043" i="34"/>
  <c r="V2043" i="34"/>
  <c r="W2043" i="34"/>
  <c r="Y2043" i="34"/>
  <c r="AB2043" i="34"/>
  <c r="AC2043" i="34"/>
  <c r="AD2043" i="34"/>
  <c r="P2044" i="34"/>
  <c r="T2044" i="34"/>
  <c r="U2044" i="34"/>
  <c r="V2044" i="34"/>
  <c r="W2044" i="34"/>
  <c r="Y2044" i="34"/>
  <c r="AB2044" i="34"/>
  <c r="AC2044" i="34"/>
  <c r="AD2044" i="34"/>
  <c r="P2045" i="34"/>
  <c r="T2045" i="34"/>
  <c r="U2045" i="34"/>
  <c r="V2045" i="34"/>
  <c r="W2045" i="34"/>
  <c r="Y2045" i="34"/>
  <c r="AB2045" i="34"/>
  <c r="AC2045" i="34"/>
  <c r="AD2045" i="34"/>
  <c r="P2046" i="34"/>
  <c r="T2046" i="34"/>
  <c r="U2046" i="34"/>
  <c r="V2046" i="34"/>
  <c r="W2046" i="34"/>
  <c r="Y2046" i="34"/>
  <c r="AB2046" i="34"/>
  <c r="AC2046" i="34"/>
  <c r="AD2046" i="34"/>
  <c r="P2047" i="34"/>
  <c r="T2047" i="34"/>
  <c r="U2047" i="34"/>
  <c r="V2047" i="34"/>
  <c r="W2047" i="34"/>
  <c r="Y2047" i="34"/>
  <c r="AB2047" i="34"/>
  <c r="AC2047" i="34"/>
  <c r="AD2047" i="34"/>
  <c r="P2048" i="34"/>
  <c r="T2048" i="34"/>
  <c r="U2048" i="34"/>
  <c r="V2048" i="34"/>
  <c r="W2048" i="34"/>
  <c r="Y2048" i="34"/>
  <c r="AB2048" i="34"/>
  <c r="AC2048" i="34"/>
  <c r="AD2048" i="34"/>
  <c r="P2049" i="34"/>
  <c r="T2049" i="34"/>
  <c r="U2049" i="34"/>
  <c r="V2049" i="34"/>
  <c r="W2049" i="34"/>
  <c r="Y2049" i="34"/>
  <c r="AB2049" i="34"/>
  <c r="AC2049" i="34"/>
  <c r="AD2049" i="34"/>
  <c r="P2050" i="34"/>
  <c r="T2050" i="34"/>
  <c r="U2050" i="34"/>
  <c r="V2050" i="34"/>
  <c r="W2050" i="34"/>
  <c r="Y2050" i="34"/>
  <c r="AB2050" i="34"/>
  <c r="AC2050" i="34"/>
  <c r="AD2050" i="34"/>
  <c r="P2051" i="34"/>
  <c r="T2051" i="34"/>
  <c r="U2051" i="34"/>
  <c r="V2051" i="34"/>
  <c r="W2051" i="34"/>
  <c r="Y2051" i="34"/>
  <c r="AB2051" i="34"/>
  <c r="AC2051" i="34"/>
  <c r="AD2051" i="34"/>
  <c r="P2052" i="34"/>
  <c r="T2052" i="34"/>
  <c r="U2052" i="34"/>
  <c r="V2052" i="34"/>
  <c r="W2052" i="34"/>
  <c r="Y2052" i="34"/>
  <c r="AB2052" i="34"/>
  <c r="AC2052" i="34"/>
  <c r="AD2052" i="34"/>
  <c r="P2053" i="34"/>
  <c r="T2053" i="34"/>
  <c r="U2053" i="34"/>
  <c r="V2053" i="34"/>
  <c r="W2053" i="34"/>
  <c r="Y2053" i="34"/>
  <c r="AB2053" i="34"/>
  <c r="AC2053" i="34"/>
  <c r="AD2053" i="34"/>
  <c r="P2054" i="34"/>
  <c r="T2054" i="34"/>
  <c r="U2054" i="34"/>
  <c r="V2054" i="34"/>
  <c r="W2054" i="34"/>
  <c r="Y2054" i="34"/>
  <c r="AB2054" i="34"/>
  <c r="AC2054" i="34"/>
  <c r="AD2054" i="34"/>
  <c r="P2055" i="34"/>
  <c r="T2055" i="34"/>
  <c r="U2055" i="34"/>
  <c r="V2055" i="34"/>
  <c r="W2055" i="34"/>
  <c r="Y2055" i="34"/>
  <c r="AB2055" i="34"/>
  <c r="AC2055" i="34"/>
  <c r="P2056" i="34"/>
  <c r="T2056" i="34"/>
  <c r="U2056" i="34"/>
  <c r="V2056" i="34"/>
  <c r="W2056" i="34"/>
  <c r="Y2056" i="34"/>
  <c r="AB2056" i="34"/>
  <c r="AC2056" i="34"/>
  <c r="P2057" i="34"/>
  <c r="T2057" i="34"/>
  <c r="U2057" i="34"/>
  <c r="V2057" i="34"/>
  <c r="W2057" i="34"/>
  <c r="Y2057" i="34"/>
  <c r="AB2057" i="34"/>
  <c r="AC2057" i="34"/>
  <c r="P2058" i="34"/>
  <c r="T2058" i="34"/>
  <c r="U2058" i="34"/>
  <c r="V2058" i="34"/>
  <c r="W2058" i="34"/>
  <c r="Y2058" i="34"/>
  <c r="AB2058" i="34"/>
  <c r="AC2058" i="34"/>
  <c r="P2059" i="34"/>
  <c r="T2059" i="34"/>
  <c r="U2059" i="34"/>
  <c r="V2059" i="34"/>
  <c r="W2059" i="34"/>
  <c r="Y2059" i="34"/>
  <c r="AB2059" i="34"/>
  <c r="AC2059" i="34"/>
  <c r="P2060" i="34"/>
  <c r="T2060" i="34"/>
  <c r="U2060" i="34"/>
  <c r="V2060" i="34"/>
  <c r="W2060" i="34"/>
  <c r="Y2060" i="34"/>
  <c r="AB2060" i="34"/>
  <c r="AC2060" i="34"/>
  <c r="P2061" i="34"/>
  <c r="T2061" i="34"/>
  <c r="U2061" i="34"/>
  <c r="V2061" i="34"/>
  <c r="W2061" i="34"/>
  <c r="Y2061" i="34"/>
  <c r="AB2061" i="34"/>
  <c r="AC2061" i="34"/>
  <c r="P2062" i="34"/>
  <c r="T2062" i="34"/>
  <c r="U2062" i="34"/>
  <c r="V2062" i="34"/>
  <c r="W2062" i="34"/>
  <c r="Y2062" i="34"/>
  <c r="AB2062" i="34"/>
  <c r="AC2062" i="34"/>
  <c r="P2063" i="34"/>
  <c r="T2063" i="34"/>
  <c r="U2063" i="34"/>
  <c r="V2063" i="34"/>
  <c r="W2063" i="34"/>
  <c r="Y2063" i="34"/>
  <c r="AB2063" i="34"/>
  <c r="AC2063" i="34"/>
  <c r="P2064" i="34"/>
  <c r="T2064" i="34"/>
  <c r="U2064" i="34"/>
  <c r="V2064" i="34"/>
  <c r="W2064" i="34"/>
  <c r="Y2064" i="34"/>
  <c r="AB2064" i="34"/>
  <c r="AC2064" i="34"/>
  <c r="P2065" i="34"/>
  <c r="T2065" i="34"/>
  <c r="U2065" i="34"/>
  <c r="V2065" i="34"/>
  <c r="W2065" i="34"/>
  <c r="Y2065" i="34"/>
  <c r="AB2065" i="34"/>
  <c r="AC2065" i="34"/>
  <c r="P2066" i="34"/>
  <c r="T2066" i="34"/>
  <c r="U2066" i="34"/>
  <c r="V2066" i="34"/>
  <c r="W2066" i="34"/>
  <c r="Y2066" i="34"/>
  <c r="AB2066" i="34"/>
  <c r="AC2066" i="34"/>
  <c r="P2067" i="34"/>
  <c r="T2067" i="34"/>
  <c r="U2067" i="34"/>
  <c r="V2067" i="34"/>
  <c r="W2067" i="34"/>
  <c r="Y2067" i="34"/>
  <c r="AB2067" i="34"/>
  <c r="AC2067" i="34"/>
  <c r="P2068" i="34"/>
  <c r="T2068" i="34"/>
  <c r="U2068" i="34"/>
  <c r="V2068" i="34"/>
  <c r="W2068" i="34"/>
  <c r="Y2068" i="34"/>
  <c r="AB2068" i="34"/>
  <c r="AC2068" i="34"/>
  <c r="P2069" i="34"/>
  <c r="T2069" i="34"/>
  <c r="U2069" i="34"/>
  <c r="V2069" i="34"/>
  <c r="W2069" i="34"/>
  <c r="Y2069" i="34"/>
  <c r="AB2069" i="34"/>
  <c r="AC2069" i="34"/>
  <c r="P2070" i="34"/>
  <c r="T2070" i="34"/>
  <c r="U2070" i="34"/>
  <c r="V2070" i="34"/>
  <c r="W2070" i="34"/>
  <c r="Y2070" i="34"/>
  <c r="AB2070" i="34"/>
  <c r="AC2070" i="34"/>
  <c r="P2071" i="34"/>
  <c r="T2071" i="34"/>
  <c r="U2071" i="34"/>
  <c r="V2071" i="34"/>
  <c r="W2071" i="34"/>
  <c r="Y2071" i="34"/>
  <c r="AB2071" i="34"/>
  <c r="AC2071" i="34"/>
  <c r="P2072" i="34"/>
  <c r="T2072" i="34"/>
  <c r="U2072" i="34"/>
  <c r="V2072" i="34"/>
  <c r="W2072" i="34"/>
  <c r="Y2072" i="34"/>
  <c r="AB2072" i="34"/>
  <c r="AC2072" i="34"/>
  <c r="AD2072" i="34"/>
  <c r="P2073" i="34"/>
  <c r="T2073" i="34"/>
  <c r="U2073" i="34"/>
  <c r="V2073" i="34"/>
  <c r="W2073" i="34"/>
  <c r="Y2073" i="34"/>
  <c r="AB2073" i="34"/>
  <c r="AC2073" i="34"/>
  <c r="AD2073" i="34"/>
  <c r="P2074" i="34"/>
  <c r="T2074" i="34"/>
  <c r="U2074" i="34"/>
  <c r="V2074" i="34"/>
  <c r="W2074" i="34"/>
  <c r="Y2074" i="34"/>
  <c r="AB2074" i="34"/>
  <c r="AC2074" i="34"/>
  <c r="AD2074" i="34"/>
  <c r="P2075" i="34"/>
  <c r="T2075" i="34"/>
  <c r="U2075" i="34"/>
  <c r="V2075" i="34"/>
  <c r="W2075" i="34"/>
  <c r="Y2075" i="34"/>
  <c r="AB2075" i="34"/>
  <c r="AC2075" i="34"/>
  <c r="AD2075" i="34"/>
  <c r="P2076" i="34"/>
  <c r="T2076" i="34"/>
  <c r="U2076" i="34"/>
  <c r="V2076" i="34"/>
  <c r="W2076" i="34"/>
  <c r="Y2076" i="34"/>
  <c r="AB2076" i="34"/>
  <c r="AC2076" i="34"/>
  <c r="AD2076" i="34"/>
  <c r="P2077" i="34"/>
  <c r="T2077" i="34"/>
  <c r="U2077" i="34"/>
  <c r="V2077" i="34"/>
  <c r="W2077" i="34"/>
  <c r="Y2077" i="34"/>
  <c r="AB2077" i="34"/>
  <c r="AC2077" i="34"/>
  <c r="AD2077" i="34"/>
  <c r="P2078" i="34"/>
  <c r="T2078" i="34"/>
  <c r="U2078" i="34"/>
  <c r="V2078" i="34"/>
  <c r="W2078" i="34"/>
  <c r="Y2078" i="34"/>
  <c r="AB2078" i="34"/>
  <c r="AC2078" i="34"/>
  <c r="AD2078" i="34"/>
  <c r="P2079" i="34"/>
  <c r="T2079" i="34"/>
  <c r="U2079" i="34"/>
  <c r="V2079" i="34"/>
  <c r="W2079" i="34"/>
  <c r="Y2079" i="34"/>
  <c r="AB2079" i="34"/>
  <c r="AC2079" i="34"/>
  <c r="AD2079" i="34"/>
  <c r="P2080" i="34"/>
  <c r="T2080" i="34"/>
  <c r="U2080" i="34"/>
  <c r="V2080" i="34"/>
  <c r="W2080" i="34"/>
  <c r="Y2080" i="34"/>
  <c r="AB2080" i="34"/>
  <c r="AC2080" i="34"/>
  <c r="AD2080" i="34"/>
  <c r="P2081" i="34"/>
  <c r="T2081" i="34"/>
  <c r="U2081" i="34"/>
  <c r="V2081" i="34"/>
  <c r="W2081" i="34"/>
  <c r="Y2081" i="34"/>
  <c r="AB2081" i="34"/>
  <c r="AC2081" i="34"/>
  <c r="AD2081" i="34"/>
  <c r="P2082" i="34"/>
  <c r="T2082" i="34"/>
  <c r="U2082" i="34"/>
  <c r="V2082" i="34"/>
  <c r="W2082" i="34"/>
  <c r="Y2082" i="34"/>
  <c r="AB2082" i="34"/>
  <c r="AC2082" i="34"/>
  <c r="AD2082" i="34"/>
  <c r="P2083" i="34"/>
  <c r="T2083" i="34"/>
  <c r="U2083" i="34"/>
  <c r="V2083" i="34"/>
  <c r="W2083" i="34"/>
  <c r="Y2083" i="34"/>
  <c r="AB2083" i="34"/>
  <c r="AC2083" i="34"/>
  <c r="AD2083" i="34"/>
  <c r="P2084" i="34"/>
  <c r="T2084" i="34"/>
  <c r="U2084" i="34"/>
  <c r="V2084" i="34"/>
  <c r="W2084" i="34"/>
  <c r="Y2084" i="34"/>
  <c r="AB2084" i="34"/>
  <c r="AC2084" i="34"/>
  <c r="AD2084" i="34"/>
  <c r="P2085" i="34"/>
  <c r="T2085" i="34"/>
  <c r="U2085" i="34"/>
  <c r="V2085" i="34"/>
  <c r="W2085" i="34"/>
  <c r="Y2085" i="34"/>
  <c r="AB2085" i="34"/>
  <c r="AC2085" i="34"/>
  <c r="AD2085" i="34"/>
  <c r="P2086" i="34"/>
  <c r="T2086" i="34"/>
  <c r="U2086" i="34"/>
  <c r="V2086" i="34"/>
  <c r="W2086" i="34"/>
  <c r="Y2086" i="34"/>
  <c r="AB2086" i="34"/>
  <c r="AC2086" i="34"/>
  <c r="AD2086" i="34"/>
  <c r="P2087" i="34"/>
  <c r="T2087" i="34"/>
  <c r="U2087" i="34"/>
  <c r="V2087" i="34"/>
  <c r="W2087" i="34"/>
  <c r="Y2087" i="34"/>
  <c r="AB2087" i="34"/>
  <c r="AC2087" i="34"/>
  <c r="AD2087" i="34"/>
  <c r="P2088" i="34"/>
  <c r="T2088" i="34"/>
  <c r="U2088" i="34"/>
  <c r="V2088" i="34"/>
  <c r="W2088" i="34"/>
  <c r="Y2088" i="34"/>
  <c r="AB2088" i="34"/>
  <c r="AC2088" i="34"/>
  <c r="AD2088" i="34"/>
  <c r="P2089" i="34"/>
  <c r="T2089" i="34"/>
  <c r="U2089" i="34"/>
  <c r="V2089" i="34"/>
  <c r="W2089" i="34"/>
  <c r="Y2089" i="34"/>
  <c r="AB2089" i="34"/>
  <c r="AC2089" i="34"/>
  <c r="AD2089" i="34"/>
  <c r="P2090" i="34"/>
  <c r="T2090" i="34"/>
  <c r="U2090" i="34"/>
  <c r="V2090" i="34"/>
  <c r="W2090" i="34"/>
  <c r="Y2090" i="34"/>
  <c r="AB2090" i="34"/>
  <c r="AC2090" i="34"/>
  <c r="AD2090" i="34"/>
  <c r="P2091" i="34"/>
  <c r="T2091" i="34"/>
  <c r="U2091" i="34"/>
  <c r="V2091" i="34"/>
  <c r="W2091" i="34"/>
  <c r="Y2091" i="34"/>
  <c r="AB2091" i="34"/>
  <c r="AC2091" i="34"/>
  <c r="AD2091" i="34"/>
  <c r="P2092" i="34"/>
  <c r="T2092" i="34"/>
  <c r="U2092" i="34"/>
  <c r="V2092" i="34"/>
  <c r="W2092" i="34"/>
  <c r="Y2092" i="34"/>
  <c r="AB2092" i="34"/>
  <c r="AC2092" i="34"/>
  <c r="AD2092" i="34"/>
  <c r="P2093" i="34"/>
  <c r="T2093" i="34"/>
  <c r="U2093" i="34"/>
  <c r="V2093" i="34"/>
  <c r="W2093" i="34"/>
  <c r="Y2093" i="34"/>
  <c r="AB2093" i="34"/>
  <c r="AC2093" i="34"/>
  <c r="AD2093" i="34"/>
  <c r="P2094" i="34"/>
  <c r="T2094" i="34"/>
  <c r="U2094" i="34"/>
  <c r="V2094" i="34"/>
  <c r="W2094" i="34"/>
  <c r="Y2094" i="34"/>
  <c r="AB2094" i="34"/>
  <c r="AC2094" i="34"/>
  <c r="AD2094" i="34"/>
  <c r="P2095" i="34"/>
  <c r="T2095" i="34"/>
  <c r="U2095" i="34"/>
  <c r="V2095" i="34"/>
  <c r="W2095" i="34"/>
  <c r="Y2095" i="34"/>
  <c r="AB2095" i="34"/>
  <c r="AC2095" i="34"/>
  <c r="AD2095" i="34"/>
  <c r="P2096" i="34"/>
  <c r="T2096" i="34"/>
  <c r="U2096" i="34"/>
  <c r="V2096" i="34"/>
  <c r="W2096" i="34"/>
  <c r="Y2096" i="34"/>
  <c r="AB2096" i="34"/>
  <c r="AC2096" i="34"/>
  <c r="AD2096" i="34"/>
  <c r="P2097" i="34"/>
  <c r="T2097" i="34"/>
  <c r="U2097" i="34"/>
  <c r="V2097" i="34"/>
  <c r="W2097" i="34"/>
  <c r="Y2097" i="34"/>
  <c r="AB2097" i="34"/>
  <c r="AC2097" i="34"/>
  <c r="AD2097" i="34"/>
  <c r="P2098" i="34"/>
  <c r="T2098" i="34"/>
  <c r="U2098" i="34"/>
  <c r="V2098" i="34"/>
  <c r="W2098" i="34"/>
  <c r="Y2098" i="34"/>
  <c r="AB2098" i="34"/>
  <c r="AC2098" i="34"/>
  <c r="AD2098" i="34"/>
  <c r="P2099" i="34"/>
  <c r="T2099" i="34"/>
  <c r="U2099" i="34"/>
  <c r="V2099" i="34"/>
  <c r="W2099" i="34"/>
  <c r="Y2099" i="34"/>
  <c r="AB2099" i="34"/>
  <c r="AC2099" i="34"/>
  <c r="AD2099" i="34"/>
  <c r="P2100" i="34"/>
  <c r="T2100" i="34"/>
  <c r="U2100" i="34"/>
  <c r="V2100" i="34"/>
  <c r="W2100" i="34"/>
  <c r="Y2100" i="34"/>
  <c r="AB2100" i="34"/>
  <c r="AC2100" i="34"/>
  <c r="AD2100" i="34"/>
  <c r="P2101" i="34"/>
  <c r="T2101" i="34"/>
  <c r="U2101" i="34"/>
  <c r="V2101" i="34"/>
  <c r="W2101" i="34"/>
  <c r="Y2101" i="34"/>
  <c r="AB2101" i="34"/>
  <c r="AC2101" i="34"/>
  <c r="AD2101" i="34"/>
  <c r="P2102" i="34"/>
  <c r="T2102" i="34"/>
  <c r="U2102" i="34"/>
  <c r="V2102" i="34"/>
  <c r="W2102" i="34"/>
  <c r="Y2102" i="34"/>
  <c r="AB2102" i="34"/>
  <c r="AC2102" i="34"/>
  <c r="AD2102" i="34"/>
  <c r="P2103" i="34"/>
  <c r="T2103" i="34"/>
  <c r="U2103" i="34"/>
  <c r="V2103" i="34"/>
  <c r="W2103" i="34"/>
  <c r="Y2103" i="34"/>
  <c r="AB2103" i="34"/>
  <c r="AC2103" i="34"/>
  <c r="AD2103" i="34"/>
  <c r="P2104" i="34"/>
  <c r="T2104" i="34"/>
  <c r="U2104" i="34"/>
  <c r="V2104" i="34"/>
  <c r="W2104" i="34"/>
  <c r="Y2104" i="34"/>
  <c r="AB2104" i="34"/>
  <c r="AC2104" i="34"/>
  <c r="AD2104" i="34"/>
  <c r="P2105" i="34"/>
  <c r="T2105" i="34"/>
  <c r="U2105" i="34"/>
  <c r="V2105" i="34"/>
  <c r="W2105" i="34"/>
  <c r="Y2105" i="34"/>
  <c r="AB2105" i="34"/>
  <c r="AC2105" i="34"/>
  <c r="AD2105" i="34"/>
  <c r="P2106" i="34"/>
  <c r="T2106" i="34"/>
  <c r="U2106" i="34"/>
  <c r="V2106" i="34"/>
  <c r="W2106" i="34"/>
  <c r="Y2106" i="34"/>
  <c r="AB2106" i="34"/>
  <c r="AC2106" i="34"/>
  <c r="AD2106" i="34"/>
  <c r="P2107" i="34"/>
  <c r="T2107" i="34"/>
  <c r="U2107" i="34"/>
  <c r="V2107" i="34"/>
  <c r="W2107" i="34"/>
  <c r="Y2107" i="34"/>
  <c r="AB2107" i="34"/>
  <c r="AC2107" i="34"/>
  <c r="AD2107" i="34"/>
  <c r="P2108" i="34"/>
  <c r="T2108" i="34"/>
  <c r="U2108" i="34"/>
  <c r="V2108" i="34"/>
  <c r="W2108" i="34"/>
  <c r="Y2108" i="34"/>
  <c r="AB2108" i="34"/>
  <c r="AC2108" i="34"/>
  <c r="AD2108" i="34"/>
  <c r="P2109" i="34"/>
  <c r="T2109" i="34"/>
  <c r="U2109" i="34"/>
  <c r="V2109" i="34"/>
  <c r="W2109" i="34"/>
  <c r="Y2109" i="34"/>
  <c r="AB2109" i="34"/>
  <c r="AC2109" i="34"/>
  <c r="AD2109" i="34"/>
  <c r="P2110" i="34"/>
  <c r="T2110" i="34"/>
  <c r="U2110" i="34"/>
  <c r="V2110" i="34"/>
  <c r="W2110" i="34"/>
  <c r="Y2110" i="34"/>
  <c r="AB2110" i="34"/>
  <c r="AC2110" i="34"/>
  <c r="AD2110" i="34"/>
  <c r="P2111" i="34"/>
  <c r="T2111" i="34"/>
  <c r="U2111" i="34"/>
  <c r="V2111" i="34"/>
  <c r="W2111" i="34"/>
  <c r="Y2111" i="34"/>
  <c r="AB2111" i="34"/>
  <c r="AC2111" i="34"/>
  <c r="AD2111" i="34"/>
  <c r="P2112" i="34"/>
  <c r="T2112" i="34"/>
  <c r="U2112" i="34"/>
  <c r="V2112" i="34"/>
  <c r="W2112" i="34"/>
  <c r="Y2112" i="34"/>
  <c r="AB2112" i="34"/>
  <c r="AC2112" i="34"/>
  <c r="AD2112" i="34"/>
  <c r="P2113" i="34"/>
  <c r="T2113" i="34"/>
  <c r="U2113" i="34"/>
  <c r="V2113" i="34"/>
  <c r="W2113" i="34"/>
  <c r="Y2113" i="34"/>
  <c r="AB2113" i="34"/>
  <c r="AC2113" i="34"/>
  <c r="AD2113" i="34"/>
  <c r="P2114" i="34"/>
  <c r="T2114" i="34"/>
  <c r="U2114" i="34"/>
  <c r="V2114" i="34"/>
  <c r="W2114" i="34"/>
  <c r="Y2114" i="34"/>
  <c r="AB2114" i="34"/>
  <c r="AC2114" i="34"/>
  <c r="AD2114" i="34"/>
  <c r="P2115" i="34"/>
  <c r="T2115" i="34"/>
  <c r="U2115" i="34"/>
  <c r="V2115" i="34"/>
  <c r="W2115" i="34"/>
  <c r="Y2115" i="34"/>
  <c r="AB2115" i="34"/>
  <c r="AC2115" i="34"/>
  <c r="AD2115" i="34"/>
  <c r="P2116" i="34"/>
  <c r="T2116" i="34"/>
  <c r="U2116" i="34"/>
  <c r="V2116" i="34"/>
  <c r="W2116" i="34"/>
  <c r="Y2116" i="34"/>
  <c r="AB2116" i="34"/>
  <c r="AC2116" i="34"/>
  <c r="AD2116" i="34"/>
  <c r="P2117" i="34"/>
  <c r="T2117" i="34"/>
  <c r="U2117" i="34"/>
  <c r="V2117" i="34"/>
  <c r="W2117" i="34"/>
  <c r="Y2117" i="34"/>
  <c r="AB2117" i="34"/>
  <c r="AC2117" i="34"/>
  <c r="AD2117" i="34"/>
  <c r="P2118" i="34"/>
  <c r="T2118" i="34"/>
  <c r="U2118" i="34"/>
  <c r="V2118" i="34"/>
  <c r="W2118" i="34"/>
  <c r="Y2118" i="34"/>
  <c r="AB2118" i="34"/>
  <c r="AC2118" i="34"/>
  <c r="AD2118" i="34"/>
  <c r="P2119" i="34"/>
  <c r="T2119" i="34"/>
  <c r="U2119" i="34"/>
  <c r="V2119" i="34"/>
  <c r="W2119" i="34"/>
  <c r="Y2119" i="34"/>
  <c r="AB2119" i="34"/>
  <c r="AC2119" i="34"/>
  <c r="AD2119" i="34"/>
  <c r="P2120" i="34"/>
  <c r="T2120" i="34"/>
  <c r="U2120" i="34"/>
  <c r="V2120" i="34"/>
  <c r="W2120" i="34"/>
  <c r="Y2120" i="34"/>
  <c r="AB2120" i="34"/>
  <c r="AC2120" i="34"/>
  <c r="AD2120" i="34"/>
  <c r="P2121" i="34"/>
  <c r="T2121" i="34"/>
  <c r="U2121" i="34"/>
  <c r="V2121" i="34"/>
  <c r="W2121" i="34"/>
  <c r="Y2121" i="34"/>
  <c r="AB2121" i="34"/>
  <c r="AC2121" i="34"/>
  <c r="AD2121" i="34"/>
  <c r="P2122" i="34"/>
  <c r="T2122" i="34"/>
  <c r="U2122" i="34"/>
  <c r="V2122" i="34"/>
  <c r="W2122" i="34"/>
  <c r="Y2122" i="34"/>
  <c r="AB2122" i="34"/>
  <c r="AC2122" i="34"/>
  <c r="AD2122" i="34"/>
  <c r="P2123" i="34"/>
  <c r="T2123" i="34"/>
  <c r="U2123" i="34"/>
  <c r="V2123" i="34"/>
  <c r="W2123" i="34"/>
  <c r="Y2123" i="34"/>
  <c r="AB2123" i="34"/>
  <c r="AC2123" i="34"/>
  <c r="AD2123" i="34"/>
  <c r="P2124" i="34"/>
  <c r="T2124" i="34"/>
  <c r="U2124" i="34"/>
  <c r="V2124" i="34"/>
  <c r="W2124" i="34"/>
  <c r="Y2124" i="34"/>
  <c r="AB2124" i="34"/>
  <c r="AC2124" i="34"/>
  <c r="AD2124" i="34"/>
  <c r="P2125" i="34"/>
  <c r="T2125" i="34"/>
  <c r="U2125" i="34"/>
  <c r="V2125" i="34"/>
  <c r="W2125" i="34"/>
  <c r="Y2125" i="34"/>
  <c r="AB2125" i="34"/>
  <c r="AC2125" i="34"/>
  <c r="AD2125" i="34"/>
  <c r="P2126" i="34"/>
  <c r="T2126" i="34"/>
  <c r="U2126" i="34"/>
  <c r="V2126" i="34"/>
  <c r="W2126" i="34"/>
  <c r="Y2126" i="34"/>
  <c r="AB2126" i="34"/>
  <c r="AC2126" i="34"/>
  <c r="AD2126" i="34"/>
  <c r="P2127" i="34"/>
  <c r="T2127" i="34"/>
  <c r="U2127" i="34"/>
  <c r="V2127" i="34"/>
  <c r="W2127" i="34"/>
  <c r="Y2127" i="34"/>
  <c r="AB2127" i="34"/>
  <c r="AC2127" i="34"/>
  <c r="AD2127" i="34"/>
  <c r="P2128" i="34"/>
  <c r="T2128" i="34"/>
  <c r="U2128" i="34"/>
  <c r="V2128" i="34"/>
  <c r="W2128" i="34"/>
  <c r="Y2128" i="34"/>
  <c r="AB2128" i="34"/>
  <c r="AC2128" i="34"/>
  <c r="AD2128" i="34"/>
  <c r="P2129" i="34"/>
  <c r="T2129" i="34"/>
  <c r="U2129" i="34"/>
  <c r="V2129" i="34"/>
  <c r="W2129" i="34"/>
  <c r="Y2129" i="34"/>
  <c r="AB2129" i="34"/>
  <c r="AC2129" i="34"/>
  <c r="AD2129" i="34"/>
  <c r="P2130" i="34"/>
  <c r="T2130" i="34"/>
  <c r="U2130" i="34"/>
  <c r="V2130" i="34"/>
  <c r="W2130" i="34"/>
  <c r="Y2130" i="34"/>
  <c r="AB2130" i="34"/>
  <c r="AC2130" i="34"/>
  <c r="AD2130" i="34"/>
  <c r="P2131" i="34"/>
  <c r="T2131" i="34"/>
  <c r="U2131" i="34"/>
  <c r="V2131" i="34"/>
  <c r="W2131" i="34"/>
  <c r="Y2131" i="34"/>
  <c r="AB2131" i="34"/>
  <c r="AC2131" i="34"/>
  <c r="AD2131" i="34"/>
  <c r="P2132" i="34"/>
  <c r="T2132" i="34"/>
  <c r="U2132" i="34"/>
  <c r="V2132" i="34"/>
  <c r="W2132" i="34"/>
  <c r="Y2132" i="34"/>
  <c r="AB2132" i="34"/>
  <c r="AC2132" i="34"/>
  <c r="AD2132" i="34"/>
  <c r="P2133" i="34"/>
  <c r="T2133" i="34"/>
  <c r="U2133" i="34"/>
  <c r="V2133" i="34"/>
  <c r="W2133" i="34"/>
  <c r="Y2133" i="34"/>
  <c r="AB2133" i="34"/>
  <c r="AC2133" i="34"/>
  <c r="AD2133" i="34"/>
  <c r="P2134" i="34"/>
  <c r="T2134" i="34"/>
  <c r="U2134" i="34"/>
  <c r="V2134" i="34"/>
  <c r="W2134" i="34"/>
  <c r="Y2134" i="34"/>
  <c r="AB2134" i="34"/>
  <c r="AC2134" i="34"/>
  <c r="P2135" i="34"/>
  <c r="T2135" i="34"/>
  <c r="U2135" i="34"/>
  <c r="V2135" i="34"/>
  <c r="W2135" i="34"/>
  <c r="Y2135" i="34"/>
  <c r="AB2135" i="34"/>
  <c r="AC2135" i="34"/>
  <c r="P2136" i="34"/>
  <c r="T2136" i="34"/>
  <c r="U2136" i="34"/>
  <c r="V2136" i="34"/>
  <c r="W2136" i="34"/>
  <c r="Y2136" i="34"/>
  <c r="AB2136" i="34"/>
  <c r="AC2136" i="34"/>
  <c r="P2137" i="34"/>
  <c r="T2137" i="34"/>
  <c r="U2137" i="34"/>
  <c r="V2137" i="34"/>
  <c r="W2137" i="34"/>
  <c r="Y2137" i="34"/>
  <c r="AB2137" i="34"/>
  <c r="AC2137" i="34"/>
  <c r="P2138" i="34"/>
  <c r="T2138" i="34"/>
  <c r="U2138" i="34"/>
  <c r="V2138" i="34"/>
  <c r="W2138" i="34"/>
  <c r="Y2138" i="34"/>
  <c r="AB2138" i="34"/>
  <c r="AC2138" i="34"/>
  <c r="P2139" i="34"/>
  <c r="T2139" i="34"/>
  <c r="U2139" i="34"/>
  <c r="V2139" i="34"/>
  <c r="W2139" i="34"/>
  <c r="Y2139" i="34"/>
  <c r="AB2139" i="34"/>
  <c r="AC2139" i="34"/>
  <c r="P2140" i="34"/>
  <c r="T2140" i="34"/>
  <c r="U2140" i="34"/>
  <c r="V2140" i="34"/>
  <c r="W2140" i="34"/>
  <c r="Y2140" i="34"/>
  <c r="AB2140" i="34"/>
  <c r="AC2140" i="34"/>
  <c r="P2141" i="34"/>
  <c r="T2141" i="34"/>
  <c r="U2141" i="34"/>
  <c r="V2141" i="34"/>
  <c r="W2141" i="34"/>
  <c r="Y2141" i="34"/>
  <c r="AB2141" i="34"/>
  <c r="AC2141" i="34"/>
  <c r="P2142" i="34"/>
  <c r="T2142" i="34"/>
  <c r="U2142" i="34"/>
  <c r="V2142" i="34"/>
  <c r="W2142" i="34"/>
  <c r="Y2142" i="34"/>
  <c r="AB2142" i="34"/>
  <c r="AC2142" i="34"/>
  <c r="P2143" i="34"/>
  <c r="T2143" i="34"/>
  <c r="U2143" i="34"/>
  <c r="V2143" i="34"/>
  <c r="W2143" i="34"/>
  <c r="Y2143" i="34"/>
  <c r="AB2143" i="34"/>
  <c r="AC2143" i="34"/>
  <c r="P2144" i="34"/>
  <c r="T2144" i="34"/>
  <c r="U2144" i="34"/>
  <c r="V2144" i="34"/>
  <c r="W2144" i="34"/>
  <c r="Y2144" i="34"/>
  <c r="AB2144" i="34"/>
  <c r="AC2144" i="34"/>
  <c r="P2145" i="34"/>
  <c r="T2145" i="34"/>
  <c r="U2145" i="34"/>
  <c r="V2145" i="34"/>
  <c r="W2145" i="34"/>
  <c r="Y2145" i="34"/>
  <c r="AB2145" i="34"/>
  <c r="AC2145" i="34"/>
  <c r="P2146" i="34"/>
  <c r="T2146" i="34"/>
  <c r="U2146" i="34"/>
  <c r="V2146" i="34"/>
  <c r="W2146" i="34"/>
  <c r="Y2146" i="34"/>
  <c r="AB2146" i="34"/>
  <c r="AC2146" i="34"/>
  <c r="P2173" i="34"/>
  <c r="T2173" i="34"/>
  <c r="U2173" i="34"/>
  <c r="V2173" i="34"/>
  <c r="W2173" i="34"/>
  <c r="Y2173" i="34"/>
  <c r="AB2173" i="34"/>
  <c r="AC2173" i="34"/>
  <c r="AD2173" i="34"/>
  <c r="P2174" i="34"/>
  <c r="T2174" i="34"/>
  <c r="U2174" i="34"/>
  <c r="V2174" i="34"/>
  <c r="W2174" i="34"/>
  <c r="Y2174" i="34"/>
  <c r="AB2174" i="34"/>
  <c r="AC2174" i="34"/>
  <c r="AD2174" i="34"/>
  <c r="P2175" i="34"/>
  <c r="T2175" i="34"/>
  <c r="U2175" i="34"/>
  <c r="V2175" i="34"/>
  <c r="W2175" i="34"/>
  <c r="Y2175" i="34"/>
  <c r="AB2175" i="34"/>
  <c r="AC2175" i="34"/>
  <c r="AD2175" i="34"/>
  <c r="P2176" i="34"/>
  <c r="T2176" i="34"/>
  <c r="U2176" i="34"/>
  <c r="V2176" i="34"/>
  <c r="W2176" i="34"/>
  <c r="Y2176" i="34"/>
  <c r="AB2176" i="34"/>
  <c r="AC2176" i="34"/>
  <c r="AD2176" i="34"/>
  <c r="P2177" i="34"/>
  <c r="T2177" i="34"/>
  <c r="U2177" i="34"/>
  <c r="V2177" i="34"/>
  <c r="W2177" i="34"/>
  <c r="Y2177" i="34"/>
  <c r="AB2177" i="34"/>
  <c r="AC2177" i="34"/>
  <c r="AD2177" i="34"/>
  <c r="P2178" i="34"/>
  <c r="T2178" i="34"/>
  <c r="U2178" i="34"/>
  <c r="V2178" i="34"/>
  <c r="W2178" i="34"/>
  <c r="Y2178" i="34"/>
  <c r="AB2178" i="34"/>
  <c r="AC2178" i="34"/>
  <c r="AD2178" i="34"/>
  <c r="P2179" i="34"/>
  <c r="T2179" i="34"/>
  <c r="U2179" i="34"/>
  <c r="V2179" i="34"/>
  <c r="W2179" i="34"/>
  <c r="Y2179" i="34"/>
  <c r="AB2179" i="34"/>
  <c r="AC2179" i="34"/>
  <c r="AD2179" i="34"/>
  <c r="P2180" i="34"/>
  <c r="T2180" i="34"/>
  <c r="U2180" i="34"/>
  <c r="V2180" i="34"/>
  <c r="W2180" i="34"/>
  <c r="Y2180" i="34"/>
  <c r="AB2180" i="34"/>
  <c r="AC2180" i="34"/>
  <c r="AD2180" i="34"/>
  <c r="P2181" i="34"/>
  <c r="T2181" i="34"/>
  <c r="U2181" i="34"/>
  <c r="V2181" i="34"/>
  <c r="W2181" i="34"/>
  <c r="Y2181" i="34"/>
  <c r="AB2181" i="34"/>
  <c r="AC2181" i="34"/>
  <c r="AD2181" i="34"/>
  <c r="P2182" i="34"/>
  <c r="T2182" i="34"/>
  <c r="U2182" i="34"/>
  <c r="V2182" i="34"/>
  <c r="W2182" i="34"/>
  <c r="Y2182" i="34"/>
  <c r="AB2182" i="34"/>
  <c r="AC2182" i="34"/>
  <c r="AD2182" i="34"/>
  <c r="P2183" i="34"/>
  <c r="T2183" i="34"/>
  <c r="U2183" i="34"/>
  <c r="V2183" i="34"/>
  <c r="W2183" i="34"/>
  <c r="Y2183" i="34"/>
  <c r="AB2183" i="34"/>
  <c r="AC2183" i="34"/>
  <c r="AD2183" i="34"/>
  <c r="P2184" i="34"/>
  <c r="T2184" i="34"/>
  <c r="U2184" i="34"/>
  <c r="V2184" i="34"/>
  <c r="W2184" i="34"/>
  <c r="Y2184" i="34"/>
  <c r="AB2184" i="34"/>
  <c r="AC2184" i="34"/>
  <c r="AD2184" i="34"/>
  <c r="P2185" i="34"/>
  <c r="T2185" i="34"/>
  <c r="U2185" i="34"/>
  <c r="V2185" i="34"/>
  <c r="W2185" i="34"/>
  <c r="Y2185" i="34"/>
  <c r="AB2185" i="34"/>
  <c r="AC2185" i="34"/>
  <c r="AD2185" i="34"/>
  <c r="P2186" i="34"/>
  <c r="T2186" i="34"/>
  <c r="U2186" i="34"/>
  <c r="V2186" i="34"/>
  <c r="W2186" i="34"/>
  <c r="Y2186" i="34"/>
  <c r="AB2186" i="34"/>
  <c r="AC2186" i="34"/>
  <c r="AD2186" i="34"/>
  <c r="P2187" i="34"/>
  <c r="T2187" i="34"/>
  <c r="U2187" i="34"/>
  <c r="V2187" i="34"/>
  <c r="W2187" i="34"/>
  <c r="Y2187" i="34"/>
  <c r="AB2187" i="34"/>
  <c r="AC2187" i="34"/>
  <c r="AD2187" i="34"/>
  <c r="P2188" i="34"/>
  <c r="T2188" i="34"/>
  <c r="U2188" i="34"/>
  <c r="V2188" i="34"/>
  <c r="W2188" i="34"/>
  <c r="Y2188" i="34"/>
  <c r="AB2188" i="34"/>
  <c r="AC2188" i="34"/>
  <c r="AD2188" i="34"/>
  <c r="P2189" i="34"/>
  <c r="T2189" i="34"/>
  <c r="U2189" i="34"/>
  <c r="V2189" i="34"/>
  <c r="W2189" i="34"/>
  <c r="Y2189" i="34"/>
  <c r="AB2189" i="34"/>
  <c r="AC2189" i="34"/>
  <c r="AD2189" i="34"/>
  <c r="P2190" i="34"/>
  <c r="T2190" i="34"/>
  <c r="U2190" i="34"/>
  <c r="V2190" i="34"/>
  <c r="W2190" i="34"/>
  <c r="Y2190" i="34"/>
  <c r="AB2190" i="34"/>
  <c r="AC2190" i="34"/>
  <c r="AD2190" i="34"/>
  <c r="P2191" i="34"/>
  <c r="T2191" i="34"/>
  <c r="U2191" i="34"/>
  <c r="V2191" i="34"/>
  <c r="W2191" i="34"/>
  <c r="Y2191" i="34"/>
  <c r="AB2191" i="34"/>
  <c r="AC2191" i="34"/>
  <c r="AD2191" i="34"/>
  <c r="P2192" i="34"/>
  <c r="T2192" i="34"/>
  <c r="U2192" i="34"/>
  <c r="V2192" i="34"/>
  <c r="W2192" i="34"/>
  <c r="Y2192" i="34"/>
  <c r="AB2192" i="34"/>
  <c r="AC2192" i="34"/>
  <c r="AD2192" i="34"/>
  <c r="P2193" i="34"/>
  <c r="T2193" i="34"/>
  <c r="U2193" i="34"/>
  <c r="V2193" i="34"/>
  <c r="W2193" i="34"/>
  <c r="Y2193" i="34"/>
  <c r="AB2193" i="34"/>
  <c r="AC2193" i="34"/>
  <c r="AD2193" i="34"/>
  <c r="P2194" i="34"/>
  <c r="T2194" i="34"/>
  <c r="U2194" i="34"/>
  <c r="V2194" i="34"/>
  <c r="W2194" i="34"/>
  <c r="Y2194" i="34"/>
  <c r="AB2194" i="34"/>
  <c r="AC2194" i="34"/>
  <c r="AD2194" i="34"/>
  <c r="P2195" i="34"/>
  <c r="T2195" i="34"/>
  <c r="U2195" i="34"/>
  <c r="V2195" i="34"/>
  <c r="W2195" i="34"/>
  <c r="Y2195" i="34"/>
  <c r="AB2195" i="34"/>
  <c r="AC2195" i="34"/>
  <c r="AD2195" i="34"/>
  <c r="P2196" i="34"/>
  <c r="T2196" i="34"/>
  <c r="U2196" i="34"/>
  <c r="V2196" i="34"/>
  <c r="W2196" i="34"/>
  <c r="Y2196" i="34"/>
  <c r="AB2196" i="34"/>
  <c r="AC2196" i="34"/>
  <c r="AD2196" i="34"/>
  <c r="P2197" i="34"/>
  <c r="T2197" i="34"/>
  <c r="U2197" i="34"/>
  <c r="V2197" i="34"/>
  <c r="W2197" i="34"/>
  <c r="Y2197" i="34"/>
  <c r="AB2197" i="34"/>
  <c r="AC2197" i="34"/>
  <c r="AD2197" i="34"/>
  <c r="P2198" i="34"/>
  <c r="T2198" i="34"/>
  <c r="U2198" i="34"/>
  <c r="V2198" i="34"/>
  <c r="W2198" i="34"/>
  <c r="Y2198" i="34"/>
  <c r="AB2198" i="34"/>
  <c r="AC2198" i="34"/>
  <c r="AD2198" i="34"/>
  <c r="P2199" i="34"/>
  <c r="T2199" i="34"/>
  <c r="U2199" i="34"/>
  <c r="V2199" i="34"/>
  <c r="W2199" i="34"/>
  <c r="Y2199" i="34"/>
  <c r="AB2199" i="34"/>
  <c r="AC2199" i="34"/>
  <c r="AD2199" i="34"/>
  <c r="P2200" i="34"/>
  <c r="T2200" i="34"/>
  <c r="U2200" i="34"/>
  <c r="V2200" i="34"/>
  <c r="W2200" i="34"/>
  <c r="Y2200" i="34"/>
  <c r="AB2200" i="34"/>
  <c r="AC2200" i="34"/>
  <c r="AD2200" i="34"/>
  <c r="P2201" i="34"/>
  <c r="T2201" i="34"/>
  <c r="U2201" i="34"/>
  <c r="V2201" i="34"/>
  <c r="W2201" i="34"/>
  <c r="Y2201" i="34"/>
  <c r="AB2201" i="34"/>
  <c r="AC2201" i="34"/>
  <c r="AD2201" i="34"/>
  <c r="P2202" i="34"/>
  <c r="T2202" i="34"/>
  <c r="U2202" i="34"/>
  <c r="V2202" i="34"/>
  <c r="W2202" i="34"/>
  <c r="Y2202" i="34"/>
  <c r="AB2202" i="34"/>
  <c r="AC2202" i="34"/>
  <c r="AD2202" i="34"/>
  <c r="P2203" i="34"/>
  <c r="T2203" i="34"/>
  <c r="U2203" i="34"/>
  <c r="V2203" i="34"/>
  <c r="W2203" i="34"/>
  <c r="Y2203" i="34"/>
  <c r="AB2203" i="34"/>
  <c r="AC2203" i="34"/>
  <c r="AD2203" i="34"/>
  <c r="P2204" i="34"/>
  <c r="T2204" i="34"/>
  <c r="U2204" i="34"/>
  <c r="V2204" i="34"/>
  <c r="W2204" i="34"/>
  <c r="Y2204" i="34"/>
  <c r="AB2204" i="34"/>
  <c r="AC2204" i="34"/>
  <c r="AD2204" i="34"/>
  <c r="P2205" i="34"/>
  <c r="T2205" i="34"/>
  <c r="U2205" i="34"/>
  <c r="V2205" i="34"/>
  <c r="W2205" i="34"/>
  <c r="Y2205" i="34"/>
  <c r="AB2205" i="34"/>
  <c r="AC2205" i="34"/>
  <c r="P2206" i="34"/>
  <c r="T2206" i="34"/>
  <c r="U2206" i="34"/>
  <c r="V2206" i="34"/>
  <c r="W2206" i="34"/>
  <c r="Y2206" i="34"/>
  <c r="AB2206" i="34"/>
  <c r="AC2206" i="34"/>
  <c r="P2207" i="34"/>
  <c r="T2207" i="34"/>
  <c r="U2207" i="34"/>
  <c r="V2207" i="34"/>
  <c r="W2207" i="34"/>
  <c r="Y2207" i="34"/>
  <c r="AB2207" i="34"/>
  <c r="AC2207" i="34"/>
  <c r="P2208" i="34"/>
  <c r="T2208" i="34"/>
  <c r="U2208" i="34"/>
  <c r="V2208" i="34"/>
  <c r="W2208" i="34"/>
  <c r="Y2208" i="34"/>
  <c r="AB2208" i="34"/>
  <c r="AC2208" i="34"/>
  <c r="P2209" i="34"/>
  <c r="T2209" i="34"/>
  <c r="U2209" i="34"/>
  <c r="V2209" i="34"/>
  <c r="W2209" i="34"/>
  <c r="Y2209" i="34"/>
  <c r="AB2209" i="34"/>
  <c r="AC2209" i="34"/>
  <c r="P2210" i="34"/>
  <c r="T2210" i="34"/>
  <c r="U2210" i="34"/>
  <c r="V2210" i="34"/>
  <c r="W2210" i="34"/>
  <c r="Y2210" i="34"/>
  <c r="AB2210" i="34"/>
  <c r="AC2210" i="34"/>
  <c r="P2211" i="34"/>
  <c r="T2211" i="34"/>
  <c r="U2211" i="34"/>
  <c r="V2211" i="34"/>
  <c r="W2211" i="34"/>
  <c r="Y2211" i="34"/>
  <c r="AB2211" i="34"/>
  <c r="AC2211" i="34"/>
  <c r="P2212" i="34"/>
  <c r="T2212" i="34"/>
  <c r="U2212" i="34"/>
  <c r="V2212" i="34"/>
  <c r="W2212" i="34"/>
  <c r="Y2212" i="34"/>
  <c r="AB2212" i="34"/>
  <c r="AC2212" i="34"/>
  <c r="AD2212" i="34"/>
  <c r="P2217" i="34"/>
  <c r="T2217" i="34"/>
  <c r="U2217" i="34"/>
  <c r="V2217" i="34"/>
  <c r="W2217" i="34"/>
  <c r="Y2217" i="34"/>
  <c r="AB2217" i="34"/>
  <c r="AC2217" i="34"/>
  <c r="AD2217" i="34"/>
  <c r="P2218" i="34"/>
  <c r="T2218" i="34"/>
  <c r="U2218" i="34"/>
  <c r="V2218" i="34"/>
  <c r="W2218" i="34"/>
  <c r="Y2218" i="34"/>
  <c r="AB2218" i="34"/>
  <c r="AC2218" i="34"/>
  <c r="AD2218" i="34"/>
  <c r="P2213" i="34"/>
  <c r="T2213" i="34"/>
  <c r="U2213" i="34"/>
  <c r="V2213" i="34"/>
  <c r="W2213" i="34"/>
  <c r="Y2213" i="34"/>
  <c r="AB2213" i="34"/>
  <c r="AC2213" i="34"/>
  <c r="AD2213" i="34"/>
  <c r="P2214" i="34"/>
  <c r="T2214" i="34"/>
  <c r="U2214" i="34"/>
  <c r="V2214" i="34"/>
  <c r="W2214" i="34"/>
  <c r="Y2214" i="34"/>
  <c r="AB2214" i="34"/>
  <c r="AC2214" i="34"/>
  <c r="AD2214" i="34"/>
  <c r="P2215" i="34"/>
  <c r="T2215" i="34"/>
  <c r="U2215" i="34"/>
  <c r="V2215" i="34"/>
  <c r="W2215" i="34"/>
  <c r="Y2215" i="34"/>
  <c r="AB2215" i="34"/>
  <c r="AC2215" i="34"/>
  <c r="AD2215" i="34"/>
  <c r="P2216" i="34"/>
  <c r="T2216" i="34"/>
  <c r="U2216" i="34"/>
  <c r="V2216" i="34"/>
  <c r="W2216" i="34"/>
  <c r="Y2216" i="34"/>
  <c r="AB2216" i="34"/>
  <c r="AC2216" i="34"/>
  <c r="AD2216" i="34"/>
  <c r="P2219" i="34"/>
  <c r="T2219" i="34"/>
  <c r="U2219" i="34"/>
  <c r="V2219" i="34"/>
  <c r="W2219" i="34"/>
  <c r="Y2219" i="34"/>
  <c r="AB2219" i="34"/>
  <c r="AC2219" i="34"/>
  <c r="AD2219" i="34"/>
  <c r="P2220" i="34"/>
  <c r="T2220" i="34"/>
  <c r="U2220" i="34"/>
  <c r="V2220" i="34"/>
  <c r="W2220" i="34"/>
  <c r="Y2220" i="34"/>
  <c r="AB2220" i="34"/>
  <c r="AC2220" i="34"/>
  <c r="AD2220" i="34"/>
  <c r="P2221" i="34"/>
  <c r="T2221" i="34"/>
  <c r="U2221" i="34"/>
  <c r="V2221" i="34"/>
  <c r="W2221" i="34"/>
  <c r="Y2221" i="34"/>
  <c r="AB2221" i="34"/>
  <c r="AC2221" i="34"/>
  <c r="AD2221" i="34"/>
  <c r="P2222" i="34"/>
  <c r="T2222" i="34"/>
  <c r="U2222" i="34"/>
  <c r="V2222" i="34"/>
  <c r="W2222" i="34"/>
  <c r="Y2222" i="34"/>
  <c r="AB2222" i="34"/>
  <c r="AC2222" i="34"/>
  <c r="AD2222" i="34"/>
  <c r="P2223" i="34"/>
  <c r="T2223" i="34"/>
  <c r="U2223" i="34"/>
  <c r="V2223" i="34"/>
  <c r="W2223" i="34"/>
  <c r="Y2223" i="34"/>
  <c r="AB2223" i="34"/>
  <c r="AC2223" i="34"/>
  <c r="AD2223" i="34"/>
  <c r="P2224" i="34"/>
  <c r="T2224" i="34"/>
  <c r="U2224" i="34"/>
  <c r="V2224" i="34"/>
  <c r="W2224" i="34"/>
  <c r="Y2224" i="34"/>
  <c r="AB2224" i="34"/>
  <c r="AC2224" i="34"/>
  <c r="AD2224" i="34"/>
  <c r="P2225" i="34"/>
  <c r="T2225" i="34"/>
  <c r="U2225" i="34"/>
  <c r="V2225" i="34"/>
  <c r="W2225" i="34"/>
  <c r="Y2225" i="34"/>
  <c r="AB2225" i="34"/>
  <c r="AC2225" i="34"/>
  <c r="AD2225" i="34"/>
  <c r="P2226" i="34"/>
  <c r="T2226" i="34"/>
  <c r="U2226" i="34"/>
  <c r="V2226" i="34"/>
  <c r="W2226" i="34"/>
  <c r="Y2226" i="34"/>
  <c r="AB2226" i="34"/>
  <c r="AC2226" i="34"/>
  <c r="AD2226" i="34"/>
  <c r="P2227" i="34"/>
  <c r="T2227" i="34"/>
  <c r="U2227" i="34"/>
  <c r="V2227" i="34"/>
  <c r="W2227" i="34"/>
  <c r="Y2227" i="34"/>
  <c r="AB2227" i="34"/>
  <c r="AC2227" i="34"/>
  <c r="AD2227" i="34"/>
  <c r="P2228" i="34"/>
  <c r="T2228" i="34"/>
  <c r="U2228" i="34"/>
  <c r="V2228" i="34"/>
  <c r="W2228" i="34"/>
  <c r="Y2228" i="34"/>
  <c r="AB2228" i="34"/>
  <c r="AC2228" i="34"/>
  <c r="AD2228" i="34"/>
  <c r="P2229" i="34"/>
  <c r="T2229" i="34"/>
  <c r="U2229" i="34"/>
  <c r="V2229" i="34"/>
  <c r="W2229" i="34"/>
  <c r="Y2229" i="34"/>
  <c r="AB2229" i="34"/>
  <c r="AC2229" i="34"/>
  <c r="AD2229" i="34"/>
  <c r="P2230" i="34"/>
  <c r="T2230" i="34"/>
  <c r="U2230" i="34"/>
  <c r="V2230" i="34"/>
  <c r="W2230" i="34"/>
  <c r="Y2230" i="34"/>
  <c r="AB2230" i="34"/>
  <c r="AC2230" i="34"/>
  <c r="AD2230" i="34"/>
  <c r="P2231" i="34"/>
  <c r="T2231" i="34"/>
  <c r="U2231" i="34"/>
  <c r="V2231" i="34"/>
  <c r="W2231" i="34"/>
  <c r="Y2231" i="34"/>
  <c r="AB2231" i="34"/>
  <c r="AC2231" i="34"/>
  <c r="AD2231" i="34"/>
  <c r="P2232" i="34"/>
  <c r="T2232" i="34"/>
  <c r="U2232" i="34"/>
  <c r="V2232" i="34"/>
  <c r="W2232" i="34"/>
  <c r="Y2232" i="34"/>
  <c r="AB2232" i="34"/>
  <c r="AC2232" i="34"/>
  <c r="AD2232" i="34"/>
  <c r="P2233" i="34"/>
  <c r="T2233" i="34"/>
  <c r="U2233" i="34"/>
  <c r="V2233" i="34"/>
  <c r="W2233" i="34"/>
  <c r="Y2233" i="34"/>
  <c r="AB2233" i="34"/>
  <c r="AC2233" i="34"/>
  <c r="AD2233" i="34"/>
  <c r="P2234" i="34"/>
  <c r="T2234" i="34"/>
  <c r="U2234" i="34"/>
  <c r="V2234" i="34"/>
  <c r="W2234" i="34"/>
  <c r="Y2234" i="34"/>
  <c r="AB2234" i="34"/>
  <c r="AC2234" i="34"/>
  <c r="AD2234" i="34"/>
  <c r="P2235" i="34"/>
  <c r="T2235" i="34"/>
  <c r="U2235" i="34"/>
  <c r="V2235" i="34"/>
  <c r="W2235" i="34"/>
  <c r="Y2235" i="34"/>
  <c r="AB2235" i="34"/>
  <c r="AC2235" i="34"/>
  <c r="AD2235" i="34"/>
  <c r="P2236" i="34"/>
  <c r="T2236" i="34"/>
  <c r="U2236" i="34"/>
  <c r="V2236" i="34"/>
  <c r="W2236" i="34"/>
  <c r="Y2236" i="34"/>
  <c r="AB2236" i="34"/>
  <c r="AC2236" i="34"/>
  <c r="AD2236" i="34"/>
  <c r="P2237" i="34"/>
  <c r="T2237" i="34"/>
  <c r="U2237" i="34"/>
  <c r="V2237" i="34"/>
  <c r="W2237" i="34"/>
  <c r="Y2237" i="34"/>
  <c r="AB2237" i="34"/>
  <c r="AC2237" i="34"/>
  <c r="AD2237" i="34"/>
  <c r="P2238" i="34"/>
  <c r="T2238" i="34"/>
  <c r="U2238" i="34"/>
  <c r="V2238" i="34"/>
  <c r="W2238" i="34"/>
  <c r="Y2238" i="34"/>
  <c r="AB2238" i="34"/>
  <c r="AC2238" i="34"/>
  <c r="AD2238" i="34"/>
  <c r="P2239" i="34"/>
  <c r="T2239" i="34"/>
  <c r="U2239" i="34"/>
  <c r="V2239" i="34"/>
  <c r="W2239" i="34"/>
  <c r="Y2239" i="34"/>
  <c r="AB2239" i="34"/>
  <c r="AC2239" i="34"/>
  <c r="AD2239" i="34"/>
  <c r="P2240" i="34"/>
  <c r="T2240" i="34"/>
  <c r="U2240" i="34"/>
  <c r="V2240" i="34"/>
  <c r="W2240" i="34"/>
  <c r="Y2240" i="34"/>
  <c r="AB2240" i="34"/>
  <c r="AC2240" i="34"/>
  <c r="AD2240" i="34"/>
  <c r="P2241" i="34"/>
  <c r="T2241" i="34"/>
  <c r="U2241" i="34"/>
  <c r="V2241" i="34"/>
  <c r="W2241" i="34"/>
  <c r="Y2241" i="34"/>
  <c r="AB2241" i="34"/>
  <c r="AC2241" i="34"/>
  <c r="AD2241" i="34"/>
  <c r="P2242" i="34"/>
  <c r="T2242" i="34"/>
  <c r="U2242" i="34"/>
  <c r="V2242" i="34"/>
  <c r="W2242" i="34"/>
  <c r="Y2242" i="34"/>
  <c r="AB2242" i="34"/>
  <c r="AC2242" i="34"/>
  <c r="AD2242" i="34"/>
  <c r="P2243" i="34"/>
  <c r="T2243" i="34"/>
  <c r="U2243" i="34"/>
  <c r="V2243" i="34"/>
  <c r="W2243" i="34"/>
  <c r="Y2243" i="34"/>
  <c r="AB2243" i="34"/>
  <c r="AC2243" i="34"/>
  <c r="AD2243" i="34"/>
  <c r="P2244" i="34"/>
  <c r="T2244" i="34"/>
  <c r="U2244" i="34"/>
  <c r="V2244" i="34"/>
  <c r="W2244" i="34"/>
  <c r="Y2244" i="34"/>
  <c r="AB2244" i="34"/>
  <c r="AC2244" i="34"/>
  <c r="AD2244" i="34"/>
  <c r="P2245" i="34"/>
  <c r="T2245" i="34"/>
  <c r="U2245" i="34"/>
  <c r="V2245" i="34"/>
  <c r="W2245" i="34"/>
  <c r="Y2245" i="34"/>
  <c r="AB2245" i="34"/>
  <c r="AC2245" i="34"/>
  <c r="AD2245" i="34"/>
  <c r="P2246" i="34"/>
  <c r="T2246" i="34"/>
  <c r="U2246" i="34"/>
  <c r="V2246" i="34"/>
  <c r="W2246" i="34"/>
  <c r="Y2246" i="34"/>
  <c r="AB2246" i="34"/>
  <c r="AC2246" i="34"/>
  <c r="AD2246" i="34"/>
  <c r="P2247" i="34"/>
  <c r="T2247" i="34"/>
  <c r="U2247" i="34"/>
  <c r="V2247" i="34"/>
  <c r="W2247" i="34"/>
  <c r="Y2247" i="34"/>
  <c r="AB2247" i="34"/>
  <c r="AC2247" i="34"/>
  <c r="AD2247" i="34"/>
  <c r="P2248" i="34"/>
  <c r="T2248" i="34"/>
  <c r="U2248" i="34"/>
  <c r="V2248" i="34"/>
  <c r="W2248" i="34"/>
  <c r="Y2248" i="34"/>
  <c r="AB2248" i="34"/>
  <c r="AC2248" i="34"/>
  <c r="AD2248" i="34"/>
  <c r="P2249" i="34"/>
  <c r="T2249" i="34"/>
  <c r="U2249" i="34"/>
  <c r="V2249" i="34"/>
  <c r="W2249" i="34"/>
  <c r="Y2249" i="34"/>
  <c r="AB2249" i="34"/>
  <c r="AC2249" i="34"/>
  <c r="AD2249" i="34"/>
  <c r="P2250" i="34"/>
  <c r="T2250" i="34"/>
  <c r="U2250" i="34"/>
  <c r="V2250" i="34"/>
  <c r="W2250" i="34"/>
  <c r="Y2250" i="34"/>
  <c r="AB2250" i="34"/>
  <c r="AC2250" i="34"/>
  <c r="P2251" i="34"/>
  <c r="T2251" i="34"/>
  <c r="U2251" i="34"/>
  <c r="V2251" i="34"/>
  <c r="W2251" i="34"/>
  <c r="Y2251" i="34"/>
  <c r="AB2251" i="34"/>
  <c r="AC2251" i="34"/>
  <c r="P2252" i="34"/>
  <c r="T2252" i="34"/>
  <c r="U2252" i="34"/>
  <c r="V2252" i="34"/>
  <c r="W2252" i="34"/>
  <c r="Y2252" i="34"/>
  <c r="AB2252" i="34"/>
  <c r="AC2252" i="34"/>
  <c r="P2253" i="34"/>
  <c r="T2253" i="34"/>
  <c r="U2253" i="34"/>
  <c r="V2253" i="34"/>
  <c r="W2253" i="34"/>
  <c r="Y2253" i="34"/>
  <c r="AB2253" i="34"/>
  <c r="AC2253" i="34"/>
  <c r="P2254" i="34"/>
  <c r="T2254" i="34"/>
  <c r="U2254" i="34"/>
  <c r="V2254" i="34"/>
  <c r="W2254" i="34"/>
  <c r="Y2254" i="34"/>
  <c r="AB2254" i="34"/>
  <c r="AC2254" i="34"/>
  <c r="P2255" i="34"/>
  <c r="T2255" i="34"/>
  <c r="U2255" i="34"/>
  <c r="V2255" i="34"/>
  <c r="W2255" i="34"/>
  <c r="Y2255" i="34"/>
  <c r="AB2255" i="34"/>
  <c r="AC2255" i="34"/>
  <c r="P2256" i="34"/>
  <c r="T2256" i="34"/>
  <c r="U2256" i="34"/>
  <c r="V2256" i="34"/>
  <c r="W2256" i="34"/>
  <c r="Y2256" i="34"/>
  <c r="AB2256" i="34"/>
  <c r="AC2256" i="34"/>
  <c r="P2257" i="34"/>
  <c r="T2257" i="34"/>
  <c r="U2257" i="34"/>
  <c r="V2257" i="34"/>
  <c r="W2257" i="34"/>
  <c r="Y2257" i="34"/>
  <c r="AB2257" i="34"/>
  <c r="AC2257" i="34"/>
  <c r="P2258" i="34"/>
  <c r="T2258" i="34"/>
  <c r="U2258" i="34"/>
  <c r="V2258" i="34"/>
  <c r="W2258" i="34"/>
  <c r="Y2258" i="34"/>
  <c r="AB2258" i="34"/>
  <c r="AC2258" i="34"/>
  <c r="P2259" i="34"/>
  <c r="T2259" i="34"/>
  <c r="U2259" i="34"/>
  <c r="V2259" i="34"/>
  <c r="W2259" i="34"/>
  <c r="Y2259" i="34"/>
  <c r="AB2259" i="34"/>
  <c r="AC2259" i="34"/>
  <c r="P2260" i="34"/>
  <c r="T2260" i="34"/>
  <c r="U2260" i="34"/>
  <c r="V2260" i="34"/>
  <c r="W2260" i="34"/>
  <c r="Y2260" i="34"/>
  <c r="AB2260" i="34"/>
  <c r="AC2260" i="34"/>
  <c r="P2261" i="34"/>
  <c r="T2261" i="34"/>
  <c r="U2261" i="34"/>
  <c r="V2261" i="34"/>
  <c r="W2261" i="34"/>
  <c r="Y2261" i="34"/>
  <c r="AB2261" i="34"/>
  <c r="AC2261" i="34"/>
  <c r="P2262" i="34"/>
  <c r="T2262" i="34"/>
  <c r="U2262" i="34"/>
  <c r="V2262" i="34"/>
  <c r="W2262" i="34"/>
  <c r="Y2262" i="34"/>
  <c r="AB2262" i="34"/>
  <c r="AC2262" i="34"/>
  <c r="P2263" i="34"/>
  <c r="T2263" i="34"/>
  <c r="U2263" i="34"/>
  <c r="V2263" i="34"/>
  <c r="W2263" i="34"/>
  <c r="Y2263" i="34"/>
  <c r="AB2263" i="34"/>
  <c r="AC2263" i="34"/>
  <c r="P2290" i="34"/>
  <c r="T2290" i="34"/>
  <c r="U2290" i="34"/>
  <c r="V2290" i="34"/>
  <c r="W2290" i="34"/>
  <c r="Y2290" i="34"/>
  <c r="AB2290" i="34"/>
  <c r="AC2290" i="34"/>
  <c r="AD2290" i="34"/>
  <c r="P2291" i="34"/>
  <c r="T2291" i="34"/>
  <c r="U2291" i="34"/>
  <c r="V2291" i="34"/>
  <c r="W2291" i="34"/>
  <c r="Y2291" i="34"/>
  <c r="AB2291" i="34"/>
  <c r="AC2291" i="34"/>
  <c r="AD2291" i="34"/>
  <c r="P2292" i="34"/>
  <c r="T2292" i="34"/>
  <c r="U2292" i="34"/>
  <c r="V2292" i="34"/>
  <c r="W2292" i="34"/>
  <c r="Y2292" i="34"/>
  <c r="AB2292" i="34"/>
  <c r="AC2292" i="34"/>
  <c r="AD2292" i="34"/>
  <c r="P2293" i="34"/>
  <c r="T2293" i="34"/>
  <c r="U2293" i="34"/>
  <c r="V2293" i="34"/>
  <c r="W2293" i="34"/>
  <c r="Y2293" i="34"/>
  <c r="AB2293" i="34"/>
  <c r="AC2293" i="34"/>
  <c r="AD2293" i="34"/>
  <c r="P2294" i="34"/>
  <c r="T2294" i="34"/>
  <c r="U2294" i="34"/>
  <c r="V2294" i="34"/>
  <c r="W2294" i="34"/>
  <c r="Y2294" i="34"/>
  <c r="AB2294" i="34"/>
  <c r="AC2294" i="34"/>
  <c r="AD2294" i="34"/>
  <c r="P2295" i="34"/>
  <c r="T2295" i="34"/>
  <c r="U2295" i="34"/>
  <c r="V2295" i="34"/>
  <c r="W2295" i="34"/>
  <c r="Y2295" i="34"/>
  <c r="AB2295" i="34"/>
  <c r="AC2295" i="34"/>
  <c r="AD2295" i="34"/>
  <c r="P2296" i="34"/>
  <c r="T2296" i="34"/>
  <c r="U2296" i="34"/>
  <c r="V2296" i="34"/>
  <c r="W2296" i="34"/>
  <c r="Y2296" i="34"/>
  <c r="AB2296" i="34"/>
  <c r="AC2296" i="34"/>
  <c r="AD2296" i="34"/>
  <c r="P2297" i="34"/>
  <c r="T2297" i="34"/>
  <c r="U2297" i="34"/>
  <c r="V2297" i="34"/>
  <c r="W2297" i="34"/>
  <c r="Y2297" i="34"/>
  <c r="AB2297" i="34"/>
  <c r="AC2297" i="34"/>
  <c r="AD2297" i="34"/>
  <c r="P2298" i="34"/>
  <c r="T2298" i="34"/>
  <c r="U2298" i="34"/>
  <c r="V2298" i="34"/>
  <c r="W2298" i="34"/>
  <c r="Y2298" i="34"/>
  <c r="AB2298" i="34"/>
  <c r="AC2298" i="34"/>
  <c r="AD2298" i="34"/>
  <c r="P2299" i="34"/>
  <c r="T2299" i="34"/>
  <c r="U2299" i="34"/>
  <c r="V2299" i="34"/>
  <c r="W2299" i="34"/>
  <c r="Y2299" i="34"/>
  <c r="AB2299" i="34"/>
  <c r="AC2299" i="34"/>
  <c r="AD2299" i="34"/>
  <c r="P2300" i="34"/>
  <c r="T2300" i="34"/>
  <c r="U2300" i="34"/>
  <c r="V2300" i="34"/>
  <c r="W2300" i="34"/>
  <c r="Y2300" i="34"/>
  <c r="AB2300" i="34"/>
  <c r="AC2300" i="34"/>
  <c r="AD2300" i="34"/>
  <c r="P2301" i="34"/>
  <c r="T2301" i="34"/>
  <c r="U2301" i="34"/>
  <c r="V2301" i="34"/>
  <c r="W2301" i="34"/>
  <c r="Y2301" i="34"/>
  <c r="AB2301" i="34"/>
  <c r="AC2301" i="34"/>
  <c r="AD2301" i="34"/>
  <c r="P2302" i="34"/>
  <c r="T2302" i="34"/>
  <c r="U2302" i="34"/>
  <c r="V2302" i="34"/>
  <c r="W2302" i="34"/>
  <c r="Y2302" i="34"/>
  <c r="AB2302" i="34"/>
  <c r="AC2302" i="34"/>
  <c r="AD2302" i="34"/>
  <c r="P2303" i="34"/>
  <c r="T2303" i="34"/>
  <c r="U2303" i="34"/>
  <c r="V2303" i="34"/>
  <c r="W2303" i="34"/>
  <c r="Y2303" i="34"/>
  <c r="AB2303" i="34"/>
  <c r="AC2303" i="34"/>
  <c r="AD2303" i="34"/>
  <c r="P2304" i="34"/>
  <c r="T2304" i="34"/>
  <c r="U2304" i="34"/>
  <c r="V2304" i="34"/>
  <c r="W2304" i="34"/>
  <c r="Y2304" i="34"/>
  <c r="AB2304" i="34"/>
  <c r="AC2304" i="34"/>
  <c r="AD2304" i="34"/>
  <c r="P2305" i="34"/>
  <c r="T2305" i="34"/>
  <c r="U2305" i="34"/>
  <c r="V2305" i="34"/>
  <c r="W2305" i="34"/>
  <c r="Y2305" i="34"/>
  <c r="AB2305" i="34"/>
  <c r="AC2305" i="34"/>
  <c r="AD2305" i="34"/>
  <c r="P2306" i="34"/>
  <c r="T2306" i="34"/>
  <c r="U2306" i="34"/>
  <c r="V2306" i="34"/>
  <c r="W2306" i="34"/>
  <c r="Y2306" i="34"/>
  <c r="AB2306" i="34"/>
  <c r="AC2306" i="34"/>
  <c r="AD2306" i="34"/>
  <c r="P2307" i="34"/>
  <c r="T2307" i="34"/>
  <c r="U2307" i="34"/>
  <c r="V2307" i="34"/>
  <c r="W2307" i="34"/>
  <c r="Y2307" i="34"/>
  <c r="AB2307" i="34"/>
  <c r="AC2307" i="34"/>
  <c r="AD2307" i="34"/>
  <c r="P2308" i="34"/>
  <c r="T2308" i="34"/>
  <c r="U2308" i="34"/>
  <c r="V2308" i="34"/>
  <c r="W2308" i="34"/>
  <c r="Y2308" i="34"/>
  <c r="AB2308" i="34"/>
  <c r="AC2308" i="34"/>
  <c r="AD2308" i="34"/>
  <c r="P2309" i="34"/>
  <c r="T2309" i="34"/>
  <c r="U2309" i="34"/>
  <c r="V2309" i="34"/>
  <c r="W2309" i="34"/>
  <c r="Y2309" i="34"/>
  <c r="AB2309" i="34"/>
  <c r="AC2309" i="34"/>
  <c r="AD2309" i="34"/>
  <c r="P2310" i="34"/>
  <c r="T2310" i="34"/>
  <c r="U2310" i="34"/>
  <c r="V2310" i="34"/>
  <c r="W2310" i="34"/>
  <c r="Y2310" i="34"/>
  <c r="AB2310" i="34"/>
  <c r="AC2310" i="34"/>
  <c r="AD2310" i="34"/>
  <c r="P2311" i="34"/>
  <c r="T2311" i="34"/>
  <c r="U2311" i="34"/>
  <c r="V2311" i="34"/>
  <c r="W2311" i="34"/>
  <c r="Y2311" i="34"/>
  <c r="AB2311" i="34"/>
  <c r="AC2311" i="34"/>
  <c r="AD2311" i="34"/>
  <c r="P2312" i="34"/>
  <c r="T2312" i="34"/>
  <c r="U2312" i="34"/>
  <c r="V2312" i="34"/>
  <c r="W2312" i="34"/>
  <c r="Y2312" i="34"/>
  <c r="AB2312" i="34"/>
  <c r="AC2312" i="34"/>
  <c r="AD2312" i="34"/>
  <c r="P2313" i="34"/>
  <c r="T2313" i="34"/>
  <c r="U2313" i="34"/>
  <c r="V2313" i="34"/>
  <c r="W2313" i="34"/>
  <c r="Y2313" i="34"/>
  <c r="AB2313" i="34"/>
  <c r="AC2313" i="34"/>
  <c r="AD2313" i="34"/>
  <c r="P2314" i="34"/>
  <c r="T2314" i="34"/>
  <c r="U2314" i="34"/>
  <c r="V2314" i="34"/>
  <c r="W2314" i="34"/>
  <c r="Y2314" i="34"/>
  <c r="AB2314" i="34"/>
  <c r="AC2314" i="34"/>
  <c r="AD2314" i="34"/>
  <c r="P2315" i="34"/>
  <c r="T2315" i="34"/>
  <c r="U2315" i="34"/>
  <c r="V2315" i="34"/>
  <c r="W2315" i="34"/>
  <c r="Y2315" i="34"/>
  <c r="AB2315" i="34"/>
  <c r="AC2315" i="34"/>
  <c r="AD2315" i="34"/>
  <c r="P2316" i="34"/>
  <c r="T2316" i="34"/>
  <c r="U2316" i="34"/>
  <c r="V2316" i="34"/>
  <c r="W2316" i="34"/>
  <c r="Y2316" i="34"/>
  <c r="AB2316" i="34"/>
  <c r="AC2316" i="34"/>
  <c r="AD2316" i="34"/>
  <c r="P2317" i="34"/>
  <c r="T2317" i="34"/>
  <c r="U2317" i="34"/>
  <c r="V2317" i="34"/>
  <c r="W2317" i="34"/>
  <c r="Y2317" i="34"/>
  <c r="AB2317" i="34"/>
  <c r="AC2317" i="34"/>
  <c r="AD2317" i="34"/>
  <c r="P2318" i="34"/>
  <c r="T2318" i="34"/>
  <c r="U2318" i="34"/>
  <c r="V2318" i="34"/>
  <c r="W2318" i="34"/>
  <c r="Y2318" i="34"/>
  <c r="AB2318" i="34"/>
  <c r="AC2318" i="34"/>
  <c r="AD2318" i="34"/>
  <c r="P2319" i="34"/>
  <c r="T2319" i="34"/>
  <c r="U2319" i="34"/>
  <c r="V2319" i="34"/>
  <c r="W2319" i="34"/>
  <c r="Y2319" i="34"/>
  <c r="AB2319" i="34"/>
  <c r="AC2319" i="34"/>
  <c r="AD2319" i="34"/>
  <c r="P2320" i="34"/>
  <c r="T2320" i="34"/>
  <c r="U2320" i="34"/>
  <c r="V2320" i="34"/>
  <c r="W2320" i="34"/>
  <c r="Y2320" i="34"/>
  <c r="AB2320" i="34"/>
  <c r="AC2320" i="34"/>
  <c r="AD2320" i="34"/>
  <c r="P2321" i="34"/>
  <c r="T2321" i="34"/>
  <c r="U2321" i="34"/>
  <c r="V2321" i="34"/>
  <c r="W2321" i="34"/>
  <c r="Y2321" i="34"/>
  <c r="AB2321" i="34"/>
  <c r="AC2321" i="34"/>
  <c r="AD2321" i="34"/>
  <c r="P2322" i="34"/>
  <c r="T2322" i="34"/>
  <c r="U2322" i="34"/>
  <c r="V2322" i="34"/>
  <c r="W2322" i="34"/>
  <c r="Y2322" i="34"/>
  <c r="AB2322" i="34"/>
  <c r="AC2322" i="34"/>
  <c r="AD2322" i="34"/>
  <c r="P2323" i="34"/>
  <c r="T2323" i="34"/>
  <c r="U2323" i="34"/>
  <c r="V2323" i="34"/>
  <c r="W2323" i="34"/>
  <c r="Y2323" i="34"/>
  <c r="AB2323" i="34"/>
  <c r="AC2323" i="34"/>
  <c r="AD2323" i="34"/>
  <c r="P2324" i="34"/>
  <c r="T2324" i="34"/>
  <c r="U2324" i="34"/>
  <c r="V2324" i="34"/>
  <c r="W2324" i="34"/>
  <c r="Y2324" i="34"/>
  <c r="AB2324" i="34"/>
  <c r="AC2324" i="34"/>
  <c r="AD2324" i="34"/>
  <c r="P2325" i="34"/>
  <c r="T2325" i="34"/>
  <c r="U2325" i="34"/>
  <c r="V2325" i="34"/>
  <c r="W2325" i="34"/>
  <c r="Y2325" i="34"/>
  <c r="AB2325" i="34"/>
  <c r="AC2325" i="34"/>
  <c r="AD2325" i="34"/>
  <c r="P2326" i="34"/>
  <c r="T2326" i="34"/>
  <c r="U2326" i="34"/>
  <c r="V2326" i="34"/>
  <c r="W2326" i="34"/>
  <c r="Y2326" i="34"/>
  <c r="AB2326" i="34"/>
  <c r="AC2326" i="34"/>
  <c r="AD2326" i="34"/>
  <c r="P2327" i="34"/>
  <c r="T2327" i="34"/>
  <c r="U2327" i="34"/>
  <c r="V2327" i="34"/>
  <c r="W2327" i="34"/>
  <c r="Y2327" i="34"/>
  <c r="AB2327" i="34"/>
  <c r="AC2327" i="34"/>
  <c r="AD2327" i="34"/>
  <c r="P2328" i="34"/>
  <c r="T2328" i="34"/>
  <c r="U2328" i="34"/>
  <c r="V2328" i="34"/>
  <c r="W2328" i="34"/>
  <c r="Y2328" i="34"/>
  <c r="AB2328" i="34"/>
  <c r="AC2328" i="34"/>
  <c r="P2329" i="34"/>
  <c r="T2329" i="34"/>
  <c r="U2329" i="34"/>
  <c r="V2329" i="34"/>
  <c r="W2329" i="34"/>
  <c r="Y2329" i="34"/>
  <c r="AB2329" i="34"/>
  <c r="AC2329" i="34"/>
  <c r="P2330" i="34"/>
  <c r="T2330" i="34"/>
  <c r="U2330" i="34"/>
  <c r="V2330" i="34"/>
  <c r="W2330" i="34"/>
  <c r="Y2330" i="34"/>
  <c r="AB2330" i="34"/>
  <c r="AC2330" i="34"/>
  <c r="P2331" i="34"/>
  <c r="T2331" i="34"/>
  <c r="U2331" i="34"/>
  <c r="V2331" i="34"/>
  <c r="W2331" i="34"/>
  <c r="Y2331" i="34"/>
  <c r="AB2331" i="34"/>
  <c r="AC2331" i="34"/>
  <c r="P2332" i="34"/>
  <c r="T2332" i="34"/>
  <c r="U2332" i="34"/>
  <c r="V2332" i="34"/>
  <c r="W2332" i="34"/>
  <c r="Y2332" i="34"/>
  <c r="AB2332" i="34"/>
  <c r="AC2332" i="34"/>
  <c r="P2333" i="34"/>
  <c r="T2333" i="34"/>
  <c r="U2333" i="34"/>
  <c r="V2333" i="34"/>
  <c r="W2333" i="34"/>
  <c r="Y2333" i="34"/>
  <c r="AB2333" i="34"/>
  <c r="AC2333" i="34"/>
  <c r="P2334" i="34"/>
  <c r="T2334" i="34"/>
  <c r="U2334" i="34"/>
  <c r="V2334" i="34"/>
  <c r="W2334" i="34"/>
  <c r="Y2334" i="34"/>
  <c r="AB2334" i="34"/>
  <c r="AC2334" i="34"/>
  <c r="P2335" i="34"/>
  <c r="T2335" i="34"/>
  <c r="U2335" i="34"/>
  <c r="V2335" i="34"/>
  <c r="W2335" i="34"/>
  <c r="Y2335" i="34"/>
  <c r="AB2335" i="34"/>
  <c r="AC2335" i="34"/>
  <c r="P2336" i="34"/>
  <c r="T2336" i="34"/>
  <c r="U2336" i="34"/>
  <c r="V2336" i="34"/>
  <c r="W2336" i="34"/>
  <c r="Y2336" i="34"/>
  <c r="AB2336" i="34"/>
  <c r="AC2336" i="34"/>
  <c r="P2337" i="34"/>
  <c r="T2337" i="34"/>
  <c r="U2337" i="34"/>
  <c r="V2337" i="34"/>
  <c r="W2337" i="34"/>
  <c r="Y2337" i="34"/>
  <c r="AB2337" i="34"/>
  <c r="AC2337" i="34"/>
  <c r="P2338" i="34"/>
  <c r="T2338" i="34"/>
  <c r="U2338" i="34"/>
  <c r="V2338" i="34"/>
  <c r="W2338" i="34"/>
  <c r="Y2338" i="34"/>
  <c r="AB2338" i="34"/>
  <c r="AC2338" i="34"/>
  <c r="P2339" i="34"/>
  <c r="T2339" i="34"/>
  <c r="U2339" i="34"/>
  <c r="V2339" i="34"/>
  <c r="W2339" i="34"/>
  <c r="Y2339" i="34"/>
  <c r="AB2339" i="34"/>
  <c r="AC2339" i="34"/>
  <c r="P2340" i="34"/>
  <c r="T2340" i="34"/>
  <c r="U2340" i="34"/>
  <c r="V2340" i="34"/>
  <c r="W2340" i="34"/>
  <c r="Y2340" i="34"/>
  <c r="AB2340" i="34"/>
  <c r="AC2340" i="34"/>
  <c r="P2341" i="34"/>
  <c r="T2341" i="34"/>
  <c r="U2341" i="34"/>
  <c r="V2341" i="34"/>
  <c r="W2341" i="34"/>
  <c r="Y2341" i="34"/>
  <c r="AB2341" i="34"/>
  <c r="AC2341" i="34"/>
  <c r="P2342" i="34"/>
  <c r="T2342" i="34"/>
  <c r="U2342" i="34"/>
  <c r="V2342" i="34"/>
  <c r="W2342" i="34"/>
  <c r="Y2342" i="34"/>
  <c r="AB2342" i="34"/>
  <c r="AC2342" i="34"/>
  <c r="P2344" i="34"/>
  <c r="T2344" i="34"/>
  <c r="U2344" i="34"/>
  <c r="V2344" i="34"/>
  <c r="W2344" i="34"/>
  <c r="Y2344" i="34"/>
  <c r="AB2344" i="34"/>
  <c r="AC2344" i="34"/>
  <c r="AD2344" i="34"/>
  <c r="P2345" i="34"/>
  <c r="T2345" i="34"/>
  <c r="U2345" i="34"/>
  <c r="V2345" i="34"/>
  <c r="W2345" i="34"/>
  <c r="Y2345" i="34"/>
  <c r="AB2345" i="34"/>
  <c r="AC2345" i="34"/>
  <c r="AD2345" i="34"/>
  <c r="P2346" i="34"/>
  <c r="T2346" i="34"/>
  <c r="U2346" i="34"/>
  <c r="V2346" i="34"/>
  <c r="W2346" i="34"/>
  <c r="Y2346" i="34"/>
  <c r="AB2346" i="34"/>
  <c r="AC2346" i="34"/>
  <c r="AD2346" i="34"/>
  <c r="P2347" i="34"/>
  <c r="T2347" i="34"/>
  <c r="U2347" i="34"/>
  <c r="V2347" i="34"/>
  <c r="W2347" i="34"/>
  <c r="Y2347" i="34"/>
  <c r="AB2347" i="34"/>
  <c r="AC2347" i="34"/>
  <c r="AD2347" i="34"/>
  <c r="P2348" i="34"/>
  <c r="T2348" i="34"/>
  <c r="U2348" i="34"/>
  <c r="V2348" i="34"/>
  <c r="W2348" i="34"/>
  <c r="Y2348" i="34"/>
  <c r="AB2348" i="34"/>
  <c r="AC2348" i="34"/>
  <c r="AD2348" i="34"/>
  <c r="P2349" i="34"/>
  <c r="T2349" i="34"/>
  <c r="U2349" i="34"/>
  <c r="V2349" i="34"/>
  <c r="W2349" i="34"/>
  <c r="Y2349" i="34"/>
  <c r="AB2349" i="34"/>
  <c r="AC2349" i="34"/>
  <c r="AD2349" i="34"/>
  <c r="P2350" i="34"/>
  <c r="T2350" i="34"/>
  <c r="U2350" i="34"/>
  <c r="V2350" i="34"/>
  <c r="W2350" i="34"/>
  <c r="Y2350" i="34"/>
  <c r="AB2350" i="34"/>
  <c r="AC2350" i="34"/>
  <c r="AD2350" i="34"/>
  <c r="P2351" i="34"/>
  <c r="T2351" i="34"/>
  <c r="U2351" i="34"/>
  <c r="V2351" i="34"/>
  <c r="W2351" i="34"/>
  <c r="Y2351" i="34"/>
  <c r="AB2351" i="34"/>
  <c r="AC2351" i="34"/>
  <c r="AD2351" i="34"/>
  <c r="P2352" i="34"/>
  <c r="T2352" i="34"/>
  <c r="U2352" i="34"/>
  <c r="V2352" i="34"/>
  <c r="W2352" i="34"/>
  <c r="Y2352" i="34"/>
  <c r="AB2352" i="34"/>
  <c r="AC2352" i="34"/>
  <c r="AD2352" i="34"/>
  <c r="P2353" i="34"/>
  <c r="T2353" i="34"/>
  <c r="U2353" i="34"/>
  <c r="V2353" i="34"/>
  <c r="W2353" i="34"/>
  <c r="Y2353" i="34"/>
  <c r="AB2353" i="34"/>
  <c r="AC2353" i="34"/>
  <c r="AD2353" i="34"/>
  <c r="P2354" i="34"/>
  <c r="T2354" i="34"/>
  <c r="U2354" i="34"/>
  <c r="V2354" i="34"/>
  <c r="W2354" i="34"/>
  <c r="Y2354" i="34"/>
  <c r="AB2354" i="34"/>
  <c r="AC2354" i="34"/>
  <c r="AD2354" i="34"/>
  <c r="P2355" i="34"/>
  <c r="T2355" i="34"/>
  <c r="U2355" i="34"/>
  <c r="V2355" i="34"/>
  <c r="W2355" i="34"/>
  <c r="Y2355" i="34"/>
  <c r="AB2355" i="34"/>
  <c r="AC2355" i="34"/>
  <c r="AD2355" i="34"/>
  <c r="P2356" i="34"/>
  <c r="T2356" i="34"/>
  <c r="U2356" i="34"/>
  <c r="V2356" i="34"/>
  <c r="W2356" i="34"/>
  <c r="Y2356" i="34"/>
  <c r="AB2356" i="34"/>
  <c r="AC2356" i="34"/>
  <c r="AD2356" i="34"/>
  <c r="P2357" i="34"/>
  <c r="T2357" i="34"/>
  <c r="U2357" i="34"/>
  <c r="V2357" i="34"/>
  <c r="W2357" i="34"/>
  <c r="Y2357" i="34"/>
  <c r="AB2357" i="34"/>
  <c r="AC2357" i="34"/>
  <c r="AD2357" i="34"/>
  <c r="P2358" i="34"/>
  <c r="T2358" i="34"/>
  <c r="U2358" i="34"/>
  <c r="V2358" i="34"/>
  <c r="W2358" i="34"/>
  <c r="Y2358" i="34"/>
  <c r="AB2358" i="34"/>
  <c r="AC2358" i="34"/>
  <c r="AD2358" i="34"/>
  <c r="P2359" i="34"/>
  <c r="T2359" i="34"/>
  <c r="U2359" i="34"/>
  <c r="V2359" i="34"/>
  <c r="W2359" i="34"/>
  <c r="Y2359" i="34"/>
  <c r="AB2359" i="34"/>
  <c r="AC2359" i="34"/>
  <c r="AD2359" i="34"/>
  <c r="P2360" i="34"/>
  <c r="T2360" i="34"/>
  <c r="U2360" i="34"/>
  <c r="V2360" i="34"/>
  <c r="W2360" i="34"/>
  <c r="Y2360" i="34"/>
  <c r="AB2360" i="34"/>
  <c r="AC2360" i="34"/>
  <c r="AD2360" i="34"/>
  <c r="P2361" i="34"/>
  <c r="T2361" i="34"/>
  <c r="U2361" i="34"/>
  <c r="V2361" i="34"/>
  <c r="W2361" i="34"/>
  <c r="Y2361" i="34"/>
  <c r="AB2361" i="34"/>
  <c r="AC2361" i="34"/>
  <c r="AD2361" i="34"/>
  <c r="P2362" i="34"/>
  <c r="T2362" i="34"/>
  <c r="U2362" i="34"/>
  <c r="V2362" i="34"/>
  <c r="W2362" i="34"/>
  <c r="Y2362" i="34"/>
  <c r="AB2362" i="34"/>
  <c r="AC2362" i="34"/>
  <c r="AD2362" i="34"/>
  <c r="P2363" i="34"/>
  <c r="T2363" i="34"/>
  <c r="U2363" i="34"/>
  <c r="V2363" i="34"/>
  <c r="W2363" i="34"/>
  <c r="Y2363" i="34"/>
  <c r="AB2363" i="34"/>
  <c r="AC2363" i="34"/>
  <c r="AD2363" i="34"/>
  <c r="P2364" i="34"/>
  <c r="T2364" i="34"/>
  <c r="U2364" i="34"/>
  <c r="V2364" i="34"/>
  <c r="W2364" i="34"/>
  <c r="Y2364" i="34"/>
  <c r="AB2364" i="34"/>
  <c r="AC2364" i="34"/>
  <c r="AD2364" i="34"/>
  <c r="P2365" i="34"/>
  <c r="T2365" i="34"/>
  <c r="U2365" i="34"/>
  <c r="V2365" i="34"/>
  <c r="W2365" i="34"/>
  <c r="Y2365" i="34"/>
  <c r="AB2365" i="34"/>
  <c r="AC2365" i="34"/>
  <c r="AD2365" i="34"/>
  <c r="P2366" i="34"/>
  <c r="T2366" i="34"/>
  <c r="U2366" i="34"/>
  <c r="V2366" i="34"/>
  <c r="W2366" i="34"/>
  <c r="Y2366" i="34"/>
  <c r="AB2366" i="34"/>
  <c r="AC2366" i="34"/>
  <c r="AD2366" i="34"/>
  <c r="P2367" i="34"/>
  <c r="T2367" i="34"/>
  <c r="U2367" i="34"/>
  <c r="V2367" i="34"/>
  <c r="W2367" i="34"/>
  <c r="Y2367" i="34"/>
  <c r="AB2367" i="34"/>
  <c r="AC2367" i="34"/>
  <c r="AD2367" i="34"/>
  <c r="P2368" i="34"/>
  <c r="T2368" i="34"/>
  <c r="U2368" i="34"/>
  <c r="V2368" i="34"/>
  <c r="W2368" i="34"/>
  <c r="Y2368" i="34"/>
  <c r="AB2368" i="34"/>
  <c r="AC2368" i="34"/>
  <c r="AD2368" i="34"/>
  <c r="P2369" i="34"/>
  <c r="T2369" i="34"/>
  <c r="U2369" i="34"/>
  <c r="V2369" i="34"/>
  <c r="W2369" i="34"/>
  <c r="Y2369" i="34"/>
  <c r="AB2369" i="34"/>
  <c r="AC2369" i="34"/>
  <c r="AD2369" i="34"/>
  <c r="P2370" i="34"/>
  <c r="T2370" i="34"/>
  <c r="U2370" i="34"/>
  <c r="V2370" i="34"/>
  <c r="W2370" i="34"/>
  <c r="Y2370" i="34"/>
  <c r="AB2370" i="34"/>
  <c r="AC2370" i="34"/>
  <c r="AD2370" i="34"/>
  <c r="P2371" i="34"/>
  <c r="T2371" i="34"/>
  <c r="U2371" i="34"/>
  <c r="V2371" i="34"/>
  <c r="W2371" i="34"/>
  <c r="Y2371" i="34"/>
  <c r="AB2371" i="34"/>
  <c r="AC2371" i="34"/>
  <c r="AD2371" i="34"/>
  <c r="P2372" i="34"/>
  <c r="T2372" i="34"/>
  <c r="U2372" i="34"/>
  <c r="V2372" i="34"/>
  <c r="W2372" i="34"/>
  <c r="Y2372" i="34"/>
  <c r="AB2372" i="34"/>
  <c r="AC2372" i="34"/>
  <c r="AD2372" i="34"/>
  <c r="P2373" i="34"/>
  <c r="T2373" i="34"/>
  <c r="U2373" i="34"/>
  <c r="V2373" i="34"/>
  <c r="W2373" i="34"/>
  <c r="Y2373" i="34"/>
  <c r="AB2373" i="34"/>
  <c r="AC2373" i="34"/>
  <c r="AD2373" i="34"/>
  <c r="P2374" i="34"/>
  <c r="T2374" i="34"/>
  <c r="U2374" i="34"/>
  <c r="V2374" i="34"/>
  <c r="W2374" i="34"/>
  <c r="Y2374" i="34"/>
  <c r="AB2374" i="34"/>
  <c r="AC2374" i="34"/>
  <c r="AD2374" i="34"/>
  <c r="P2375" i="34"/>
  <c r="T2375" i="34"/>
  <c r="U2375" i="34"/>
  <c r="V2375" i="34"/>
  <c r="W2375" i="34"/>
  <c r="Y2375" i="34"/>
  <c r="AB2375" i="34"/>
  <c r="AC2375" i="34"/>
  <c r="AD2375" i="34"/>
  <c r="P2376" i="34"/>
  <c r="T2376" i="34"/>
  <c r="U2376" i="34"/>
  <c r="V2376" i="34"/>
  <c r="W2376" i="34"/>
  <c r="Y2376" i="34"/>
  <c r="AB2376" i="34"/>
  <c r="AC2376" i="34"/>
  <c r="AD2376" i="34"/>
  <c r="P2377" i="34"/>
  <c r="T2377" i="34"/>
  <c r="U2377" i="34"/>
  <c r="V2377" i="34"/>
  <c r="W2377" i="34"/>
  <c r="Y2377" i="34"/>
  <c r="AB2377" i="34"/>
  <c r="AC2377" i="34"/>
  <c r="AD2377" i="34"/>
  <c r="P2378" i="34"/>
  <c r="T2378" i="34"/>
  <c r="U2378" i="34"/>
  <c r="V2378" i="34"/>
  <c r="W2378" i="34"/>
  <c r="Y2378" i="34"/>
  <c r="AB2378" i="34"/>
  <c r="AC2378" i="34"/>
  <c r="AD2378" i="34"/>
  <c r="P2379" i="34"/>
  <c r="T2379" i="34"/>
  <c r="U2379" i="34"/>
  <c r="V2379" i="34"/>
  <c r="W2379" i="34"/>
  <c r="Y2379" i="34"/>
  <c r="AB2379" i="34"/>
  <c r="AC2379" i="34"/>
  <c r="AD2379" i="34"/>
  <c r="P2380" i="34"/>
  <c r="T2380" i="34"/>
  <c r="U2380" i="34"/>
  <c r="V2380" i="34"/>
  <c r="W2380" i="34"/>
  <c r="Y2380" i="34"/>
  <c r="AB2380" i="34"/>
  <c r="AC2380" i="34"/>
  <c r="AD2380" i="34"/>
  <c r="P2381" i="34"/>
  <c r="T2381" i="34"/>
  <c r="U2381" i="34"/>
  <c r="V2381" i="34"/>
  <c r="W2381" i="34"/>
  <c r="Y2381" i="34"/>
  <c r="AB2381" i="34"/>
  <c r="AC2381" i="34"/>
  <c r="AD2381" i="34"/>
  <c r="P2382" i="34"/>
  <c r="T2382" i="34"/>
  <c r="U2382" i="34"/>
  <c r="V2382" i="34"/>
  <c r="W2382" i="34"/>
  <c r="Y2382" i="34"/>
  <c r="AB2382" i="34"/>
  <c r="AC2382" i="34"/>
  <c r="AD2382" i="34"/>
  <c r="P2383" i="34"/>
  <c r="T2383" i="34"/>
  <c r="U2383" i="34"/>
  <c r="V2383" i="34"/>
  <c r="W2383" i="34"/>
  <c r="Y2383" i="34"/>
  <c r="AB2383" i="34"/>
  <c r="AC2383" i="34"/>
  <c r="AD2383" i="34"/>
  <c r="P2384" i="34"/>
  <c r="T2384" i="34"/>
  <c r="U2384" i="34"/>
  <c r="V2384" i="34"/>
  <c r="W2384" i="34"/>
  <c r="Y2384" i="34"/>
  <c r="AB2384" i="34"/>
  <c r="AC2384" i="34"/>
  <c r="AD2384" i="34"/>
  <c r="P2385" i="34"/>
  <c r="T2385" i="34"/>
  <c r="U2385" i="34"/>
  <c r="V2385" i="34"/>
  <c r="W2385" i="34"/>
  <c r="Y2385" i="34"/>
  <c r="AB2385" i="34"/>
  <c r="AC2385" i="34"/>
  <c r="AD2385" i="34"/>
  <c r="P2386" i="34"/>
  <c r="T2386" i="34"/>
  <c r="U2386" i="34"/>
  <c r="V2386" i="34"/>
  <c r="W2386" i="34"/>
  <c r="Y2386" i="34"/>
  <c r="AB2386" i="34"/>
  <c r="AC2386" i="34"/>
  <c r="AD2386" i="34"/>
  <c r="P2387" i="34"/>
  <c r="T2387" i="34"/>
  <c r="U2387" i="34"/>
  <c r="V2387" i="34"/>
  <c r="W2387" i="34"/>
  <c r="Y2387" i="34"/>
  <c r="AB2387" i="34"/>
  <c r="AC2387" i="34"/>
  <c r="AD2387" i="34"/>
  <c r="P2388" i="34"/>
  <c r="T2388" i="34"/>
  <c r="U2388" i="34"/>
  <c r="V2388" i="34"/>
  <c r="W2388" i="34"/>
  <c r="Y2388" i="34"/>
  <c r="AB2388" i="34"/>
  <c r="AC2388" i="34"/>
  <c r="AD2388" i="34"/>
  <c r="P2389" i="34"/>
  <c r="T2389" i="34"/>
  <c r="U2389" i="34"/>
  <c r="V2389" i="34"/>
  <c r="W2389" i="34"/>
  <c r="Y2389" i="34"/>
  <c r="AB2389" i="34"/>
  <c r="AC2389" i="34"/>
  <c r="AD2389" i="34"/>
  <c r="P2390" i="34"/>
  <c r="T2390" i="34"/>
  <c r="U2390" i="34"/>
  <c r="V2390" i="34"/>
  <c r="W2390" i="34"/>
  <c r="Y2390" i="34"/>
  <c r="AB2390" i="34"/>
  <c r="AC2390" i="34"/>
  <c r="AD2390" i="34"/>
  <c r="P2391" i="34"/>
  <c r="T2391" i="34"/>
  <c r="U2391" i="34"/>
  <c r="V2391" i="34"/>
  <c r="W2391" i="34"/>
  <c r="Y2391" i="34"/>
  <c r="AB2391" i="34"/>
  <c r="AC2391" i="34"/>
  <c r="AD2391" i="34"/>
  <c r="P2392" i="34"/>
  <c r="T2392" i="34"/>
  <c r="U2392" i="34"/>
  <c r="V2392" i="34"/>
  <c r="W2392" i="34"/>
  <c r="Y2392" i="34"/>
  <c r="AB2392" i="34"/>
  <c r="AC2392" i="34"/>
  <c r="AD2392" i="34"/>
  <c r="P2393" i="34"/>
  <c r="T2393" i="34"/>
  <c r="U2393" i="34"/>
  <c r="V2393" i="34"/>
  <c r="W2393" i="34"/>
  <c r="Y2393" i="34"/>
  <c r="AB2393" i="34"/>
  <c r="AC2393" i="34"/>
  <c r="AD2393" i="34"/>
  <c r="P2394" i="34"/>
  <c r="T2394" i="34"/>
  <c r="U2394" i="34"/>
  <c r="V2394" i="34"/>
  <c r="W2394" i="34"/>
  <c r="Y2394" i="34"/>
  <c r="AB2394" i="34"/>
  <c r="AC2394" i="34"/>
  <c r="AD2394" i="34"/>
  <c r="P2395" i="34"/>
  <c r="T2395" i="34"/>
  <c r="U2395" i="34"/>
  <c r="V2395" i="34"/>
  <c r="W2395" i="34"/>
  <c r="Y2395" i="34"/>
  <c r="AB2395" i="34"/>
  <c r="AC2395" i="34"/>
  <c r="AD2395" i="34"/>
  <c r="P2396" i="34"/>
  <c r="T2396" i="34"/>
  <c r="U2396" i="34"/>
  <c r="V2396" i="34"/>
  <c r="W2396" i="34"/>
  <c r="Y2396" i="34"/>
  <c r="AB2396" i="34"/>
  <c r="AC2396" i="34"/>
  <c r="AD2396" i="34"/>
  <c r="P2397" i="34"/>
  <c r="T2397" i="34"/>
  <c r="U2397" i="34"/>
  <c r="V2397" i="34"/>
  <c r="W2397" i="34"/>
  <c r="Y2397" i="34"/>
  <c r="AB2397" i="34"/>
  <c r="AC2397" i="34"/>
  <c r="AD2397" i="34"/>
  <c r="P2398" i="34"/>
  <c r="T2398" i="34"/>
  <c r="U2398" i="34"/>
  <c r="V2398" i="34"/>
  <c r="W2398" i="34"/>
  <c r="Y2398" i="34"/>
  <c r="AB2398" i="34"/>
  <c r="AC2398" i="34"/>
  <c r="AD2398" i="34"/>
  <c r="P2399" i="34"/>
  <c r="T2399" i="34"/>
  <c r="U2399" i="34"/>
  <c r="V2399" i="34"/>
  <c r="W2399" i="34"/>
  <c r="Y2399" i="34"/>
  <c r="AB2399" i="34"/>
  <c r="AC2399" i="34"/>
  <c r="AD2399" i="34"/>
  <c r="P2400" i="34"/>
  <c r="T2400" i="34"/>
  <c r="U2400" i="34"/>
  <c r="V2400" i="34"/>
  <c r="W2400" i="34"/>
  <c r="Y2400" i="34"/>
  <c r="AB2400" i="34"/>
  <c r="AC2400" i="34"/>
  <c r="P2401" i="34"/>
  <c r="T2401" i="34"/>
  <c r="U2401" i="34"/>
  <c r="V2401" i="34"/>
  <c r="W2401" i="34"/>
  <c r="Y2401" i="34"/>
  <c r="AB2401" i="34"/>
  <c r="AC2401" i="34"/>
  <c r="P2402" i="34"/>
  <c r="T2402" i="34"/>
  <c r="U2402" i="34"/>
  <c r="V2402" i="34"/>
  <c r="W2402" i="34"/>
  <c r="Y2402" i="34"/>
  <c r="AB2402" i="34"/>
  <c r="AC2402" i="34"/>
  <c r="P2403" i="34"/>
  <c r="T2403" i="34"/>
  <c r="U2403" i="34"/>
  <c r="V2403" i="34"/>
  <c r="W2403" i="34"/>
  <c r="Y2403" i="34"/>
  <c r="AB2403" i="34"/>
  <c r="AC2403" i="34"/>
  <c r="P2404" i="34"/>
  <c r="T2404" i="34"/>
  <c r="U2404" i="34"/>
  <c r="V2404" i="34"/>
  <c r="W2404" i="34"/>
  <c r="Y2404" i="34"/>
  <c r="AB2404" i="34"/>
  <c r="AC2404" i="34"/>
  <c r="P2405" i="34"/>
  <c r="T2405" i="34"/>
  <c r="U2405" i="34"/>
  <c r="V2405" i="34"/>
  <c r="W2405" i="34"/>
  <c r="Y2405" i="34"/>
  <c r="AB2405" i="34"/>
  <c r="AC2405" i="34"/>
  <c r="P2406" i="34"/>
  <c r="T2406" i="34"/>
  <c r="U2406" i="34"/>
  <c r="V2406" i="34"/>
  <c r="W2406" i="34"/>
  <c r="Y2406" i="34"/>
  <c r="AB2406" i="34"/>
  <c r="AC2406" i="34"/>
  <c r="P2407" i="34"/>
  <c r="T2407" i="34"/>
  <c r="U2407" i="34"/>
  <c r="V2407" i="34"/>
  <c r="W2407" i="34"/>
  <c r="Y2407" i="34"/>
  <c r="AB2407" i="34"/>
  <c r="AC2407" i="34"/>
  <c r="P2408" i="34"/>
  <c r="T2408" i="34"/>
  <c r="U2408" i="34"/>
  <c r="V2408" i="34"/>
  <c r="W2408" i="34"/>
  <c r="Y2408" i="34"/>
  <c r="AB2408" i="34"/>
  <c r="AC2408" i="34"/>
  <c r="P2409" i="34"/>
  <c r="T2409" i="34"/>
  <c r="U2409" i="34"/>
  <c r="V2409" i="34"/>
  <c r="W2409" i="34"/>
  <c r="Y2409" i="34"/>
  <c r="AB2409" i="34"/>
  <c r="AC2409" i="34"/>
  <c r="P2410" i="34"/>
  <c r="T2410" i="34"/>
  <c r="U2410" i="34"/>
  <c r="V2410" i="34"/>
  <c r="W2410" i="34"/>
  <c r="Y2410" i="34"/>
  <c r="AB2410" i="34"/>
  <c r="AC2410" i="34"/>
  <c r="P2411" i="34"/>
  <c r="T2411" i="34"/>
  <c r="U2411" i="34"/>
  <c r="V2411" i="34"/>
  <c r="W2411" i="34"/>
  <c r="Y2411" i="34"/>
  <c r="AB2411" i="34"/>
  <c r="AC2411" i="34"/>
  <c r="P2412" i="34"/>
  <c r="T2412" i="34"/>
  <c r="U2412" i="34"/>
  <c r="V2412" i="34"/>
  <c r="W2412" i="34"/>
  <c r="Y2412" i="34"/>
  <c r="AB2412" i="34"/>
  <c r="AC2412" i="34"/>
  <c r="P2413" i="34"/>
  <c r="T2413" i="34"/>
  <c r="U2413" i="34"/>
  <c r="V2413" i="34"/>
  <c r="W2413" i="34"/>
  <c r="Y2413" i="34"/>
  <c r="AB2413" i="34"/>
  <c r="AC2413" i="34"/>
  <c r="P2414" i="34"/>
  <c r="T2414" i="34"/>
  <c r="U2414" i="34"/>
  <c r="V2414" i="34"/>
  <c r="W2414" i="34"/>
  <c r="Y2414" i="34"/>
  <c r="AB2414" i="34"/>
  <c r="AC2414" i="34"/>
  <c r="P2415" i="34"/>
  <c r="T2415" i="34"/>
  <c r="U2415" i="34"/>
  <c r="V2415" i="34"/>
  <c r="W2415" i="34"/>
  <c r="Y2415" i="34"/>
  <c r="AB2415" i="34"/>
  <c r="AC2415" i="34"/>
  <c r="P2416" i="34"/>
  <c r="T2416" i="34"/>
  <c r="U2416" i="34"/>
  <c r="V2416" i="34"/>
  <c r="W2416" i="34"/>
  <c r="Y2416" i="34"/>
  <c r="AB2416" i="34"/>
  <c r="AC2416" i="34"/>
  <c r="P2417" i="34"/>
  <c r="T2417" i="34"/>
  <c r="U2417" i="34"/>
  <c r="V2417" i="34"/>
  <c r="W2417" i="34"/>
  <c r="Y2417" i="34"/>
  <c r="AB2417" i="34"/>
  <c r="AC2417" i="34"/>
  <c r="P2418" i="34"/>
  <c r="T2418" i="34"/>
  <c r="U2418" i="34"/>
  <c r="V2418" i="34"/>
  <c r="W2418" i="34"/>
  <c r="Y2418" i="34"/>
  <c r="AB2418" i="34"/>
  <c r="AC2418" i="34"/>
  <c r="P2419" i="34"/>
  <c r="T2419" i="34"/>
  <c r="U2419" i="34"/>
  <c r="V2419" i="34"/>
  <c r="W2419" i="34"/>
  <c r="Y2419" i="34"/>
  <c r="AB2419" i="34"/>
  <c r="AC2419" i="34"/>
  <c r="P2420" i="34"/>
  <c r="T2420" i="34"/>
  <c r="U2420" i="34"/>
  <c r="V2420" i="34"/>
  <c r="W2420" i="34"/>
  <c r="Y2420" i="34"/>
  <c r="AB2420" i="34"/>
  <c r="AC2420" i="34"/>
  <c r="P2421" i="34"/>
  <c r="T2421" i="34"/>
  <c r="U2421" i="34"/>
  <c r="V2421" i="34"/>
  <c r="W2421" i="34"/>
  <c r="Y2421" i="34"/>
  <c r="AB2421" i="34"/>
  <c r="AC2421" i="34"/>
  <c r="P2422" i="34"/>
  <c r="T2422" i="34"/>
  <c r="U2422" i="34"/>
  <c r="V2422" i="34"/>
  <c r="W2422" i="34"/>
  <c r="Y2422" i="34"/>
  <c r="AB2422" i="34"/>
  <c r="AC2422" i="34"/>
  <c r="P3427" i="34"/>
  <c r="T3427" i="34"/>
  <c r="U3427" i="34"/>
  <c r="V3427" i="34"/>
  <c r="W3427" i="34"/>
  <c r="Y3427" i="34"/>
  <c r="AB3427" i="34"/>
  <c r="AC3427" i="34"/>
  <c r="AD3427" i="34"/>
  <c r="P3428" i="34"/>
  <c r="T3428" i="34"/>
  <c r="U3428" i="34"/>
  <c r="V3428" i="34"/>
  <c r="W3428" i="34"/>
  <c r="Y3428" i="34"/>
  <c r="AB3428" i="34"/>
  <c r="AC3428" i="34"/>
  <c r="AD3428" i="34"/>
  <c r="P3429" i="34"/>
  <c r="T3429" i="34"/>
  <c r="U3429" i="34"/>
  <c r="V3429" i="34"/>
  <c r="W3429" i="34"/>
  <c r="Y3429" i="34"/>
  <c r="AB3429" i="34"/>
  <c r="AC3429" i="34"/>
  <c r="AD3429" i="34"/>
  <c r="P3430" i="34"/>
  <c r="T3430" i="34"/>
  <c r="U3430" i="34"/>
  <c r="V3430" i="34"/>
  <c r="W3430" i="34"/>
  <c r="Y3430" i="34"/>
  <c r="AB3430" i="34"/>
  <c r="AC3430" i="34"/>
  <c r="AD3430" i="34"/>
  <c r="P3431" i="34"/>
  <c r="T3431" i="34"/>
  <c r="U3431" i="34"/>
  <c r="V3431" i="34"/>
  <c r="W3431" i="34"/>
  <c r="Y3431" i="34"/>
  <c r="AB3431" i="34"/>
  <c r="AC3431" i="34"/>
  <c r="AD3431" i="34"/>
  <c r="P3432" i="34"/>
  <c r="T3432" i="34"/>
  <c r="U3432" i="34"/>
  <c r="V3432" i="34"/>
  <c r="W3432" i="34"/>
  <c r="Y3432" i="34"/>
  <c r="AB3432" i="34"/>
  <c r="AC3432" i="34"/>
  <c r="AD3432" i="34"/>
  <c r="P3433" i="34"/>
  <c r="T3433" i="34"/>
  <c r="U3433" i="34"/>
  <c r="V3433" i="34"/>
  <c r="W3433" i="34"/>
  <c r="Y3433" i="34"/>
  <c r="AB3433" i="34"/>
  <c r="AC3433" i="34"/>
  <c r="AD3433" i="34"/>
  <c r="P3435" i="34"/>
  <c r="T3435" i="34"/>
  <c r="U3435" i="34"/>
  <c r="V3435" i="34"/>
  <c r="W3435" i="34"/>
  <c r="Y3435" i="34"/>
  <c r="AB3435" i="34"/>
  <c r="AC3435" i="34"/>
  <c r="AD3435" i="34"/>
  <c r="P3436" i="34"/>
  <c r="T3436" i="34"/>
  <c r="U3436" i="34"/>
  <c r="V3436" i="34"/>
  <c r="W3436" i="34"/>
  <c r="Y3436" i="34"/>
  <c r="AB3436" i="34"/>
  <c r="AC3436" i="34"/>
  <c r="AD3436" i="34"/>
  <c r="P3437" i="34"/>
  <c r="T3437" i="34"/>
  <c r="U3437" i="34"/>
  <c r="V3437" i="34"/>
  <c r="W3437" i="34"/>
  <c r="Y3437" i="34"/>
  <c r="AB3437" i="34"/>
  <c r="AC3437" i="34"/>
  <c r="AD3437" i="34"/>
  <c r="P3446" i="34"/>
  <c r="T3446" i="34"/>
  <c r="U3446" i="34"/>
  <c r="V3446" i="34"/>
  <c r="W3446" i="34"/>
  <c r="Y3446" i="34"/>
  <c r="AB3446" i="34"/>
  <c r="AC3446" i="34"/>
  <c r="AD3446" i="34"/>
  <c r="P3447" i="34"/>
  <c r="T3447" i="34"/>
  <c r="U3447" i="34"/>
  <c r="V3447" i="34"/>
  <c r="W3447" i="34"/>
  <c r="Y3447" i="34"/>
  <c r="AB3447" i="34"/>
  <c r="AC3447" i="34"/>
  <c r="AD3447" i="34"/>
  <c r="P3448" i="34"/>
  <c r="T3448" i="34"/>
  <c r="U3448" i="34"/>
  <c r="V3448" i="34"/>
  <c r="W3448" i="34"/>
  <c r="Y3448" i="34"/>
  <c r="AB3448" i="34"/>
  <c r="AC3448" i="34"/>
  <c r="AD3448" i="34"/>
  <c r="P3449" i="34"/>
  <c r="T3449" i="34"/>
  <c r="U3449" i="34"/>
  <c r="V3449" i="34"/>
  <c r="W3449" i="34"/>
  <c r="Y3449" i="34"/>
  <c r="AB3449" i="34"/>
  <c r="AC3449" i="34"/>
  <c r="AD3449" i="34"/>
  <c r="P3450" i="34"/>
  <c r="T3450" i="34"/>
  <c r="U3450" i="34"/>
  <c r="V3450" i="34"/>
  <c r="W3450" i="34"/>
  <c r="Y3450" i="34"/>
  <c r="AB3450" i="34"/>
  <c r="AC3450" i="34"/>
  <c r="AD3450" i="34"/>
  <c r="P3451" i="34"/>
  <c r="T3451" i="34"/>
  <c r="U3451" i="34"/>
  <c r="V3451" i="34"/>
  <c r="W3451" i="34"/>
  <c r="Y3451" i="34"/>
  <c r="AB3451" i="34"/>
  <c r="AC3451" i="34"/>
  <c r="AD3451" i="34"/>
  <c r="P3458" i="34"/>
  <c r="T3458" i="34"/>
  <c r="U3458" i="34"/>
  <c r="V3458" i="34"/>
  <c r="W3458" i="34"/>
  <c r="Y3458" i="34"/>
  <c r="AB3458" i="34"/>
  <c r="AC3458" i="34"/>
  <c r="AD3458" i="34"/>
  <c r="P3475" i="34"/>
  <c r="T3475" i="34"/>
  <c r="U3475" i="34"/>
  <c r="V3475" i="34"/>
  <c r="W3475" i="34"/>
  <c r="Y3475" i="34"/>
  <c r="AB3475" i="34"/>
  <c r="AC3475" i="34"/>
  <c r="AD3475" i="34"/>
  <c r="P3476" i="34"/>
  <c r="T3476" i="34"/>
  <c r="U3476" i="34"/>
  <c r="V3476" i="34"/>
  <c r="W3476" i="34"/>
  <c r="Y3476" i="34"/>
  <c r="AB3476" i="34"/>
  <c r="AC3476" i="34"/>
  <c r="AD3476" i="34"/>
  <c r="P3477" i="34"/>
  <c r="T3477" i="34"/>
  <c r="U3477" i="34"/>
  <c r="V3477" i="34"/>
  <c r="W3477" i="34"/>
  <c r="Y3477" i="34"/>
  <c r="AB3477" i="34"/>
  <c r="AC3477" i="34"/>
  <c r="AD3477" i="34"/>
  <c r="P3478" i="34"/>
  <c r="T3478" i="34"/>
  <c r="U3478" i="34"/>
  <c r="V3478" i="34"/>
  <c r="W3478" i="34"/>
  <c r="Y3478" i="34"/>
  <c r="AB3478" i="34"/>
  <c r="AC3478" i="34"/>
  <c r="AD3478" i="34"/>
  <c r="P3480" i="34"/>
  <c r="T3480" i="34"/>
  <c r="U3480" i="34"/>
  <c r="V3480" i="34"/>
  <c r="W3480" i="34"/>
  <c r="Y3480" i="34"/>
  <c r="AB3480" i="34"/>
  <c r="AC3480" i="34"/>
  <c r="AD3480" i="34"/>
  <c r="P3481" i="34"/>
  <c r="T3481" i="34"/>
  <c r="U3481" i="34"/>
  <c r="V3481" i="34"/>
  <c r="W3481" i="34"/>
  <c r="Y3481" i="34"/>
  <c r="AB3481" i="34"/>
  <c r="AC3481" i="34"/>
  <c r="AD3481" i="34"/>
  <c r="P3482" i="34"/>
  <c r="T3482" i="34"/>
  <c r="U3482" i="34"/>
  <c r="V3482" i="34"/>
  <c r="W3482" i="34"/>
  <c r="Y3482" i="34"/>
  <c r="AB3482" i="34"/>
  <c r="AC3482" i="34"/>
  <c r="AD3482" i="34"/>
  <c r="P3483" i="34"/>
  <c r="T3483" i="34"/>
  <c r="U3483" i="34"/>
  <c r="V3483" i="34"/>
  <c r="W3483" i="34"/>
  <c r="Y3483" i="34"/>
  <c r="AB3483" i="34"/>
  <c r="AC3483" i="34"/>
  <c r="AD3483" i="34"/>
  <c r="P3484" i="34"/>
  <c r="T3484" i="34"/>
  <c r="U3484" i="34"/>
  <c r="V3484" i="34"/>
  <c r="W3484" i="34"/>
  <c r="Y3484" i="34"/>
  <c r="AB3484" i="34"/>
  <c r="AC3484" i="34"/>
  <c r="AD3484" i="34"/>
  <c r="P3485" i="34"/>
  <c r="T3485" i="34"/>
  <c r="U3485" i="34"/>
  <c r="V3485" i="34"/>
  <c r="W3485" i="34"/>
  <c r="Y3485" i="34"/>
  <c r="AB3485" i="34"/>
  <c r="AC3485" i="34"/>
  <c r="AD3485" i="34"/>
  <c r="P3486" i="34"/>
  <c r="T3486" i="34"/>
  <c r="U3486" i="34"/>
  <c r="V3486" i="34"/>
  <c r="W3486" i="34"/>
  <c r="Y3486" i="34"/>
  <c r="AB3486" i="34"/>
  <c r="AC3486" i="34"/>
  <c r="AD3486" i="34"/>
  <c r="P3490" i="34"/>
  <c r="T3490" i="34"/>
  <c r="U3490" i="34"/>
  <c r="V3490" i="34"/>
  <c r="W3490" i="34"/>
  <c r="Y3490" i="34"/>
  <c r="AB3490" i="34"/>
  <c r="AC3490" i="34"/>
  <c r="AD3490" i="34"/>
  <c r="P3491" i="34"/>
  <c r="T3491" i="34"/>
  <c r="U3491" i="34"/>
  <c r="V3491" i="34"/>
  <c r="W3491" i="34"/>
  <c r="Y3491" i="34"/>
  <c r="AB3491" i="34"/>
  <c r="AC3491" i="34"/>
  <c r="AD3491" i="34"/>
  <c r="P3495" i="34"/>
  <c r="T3495" i="34"/>
  <c r="U3495" i="34"/>
  <c r="V3495" i="34"/>
  <c r="W3495" i="34"/>
  <c r="Y3495" i="34"/>
  <c r="AB3495" i="34"/>
  <c r="AC3495" i="34"/>
  <c r="AD3495" i="34"/>
  <c r="P3498" i="34"/>
  <c r="T3498" i="34"/>
  <c r="U3498" i="34"/>
  <c r="V3498" i="34"/>
  <c r="W3498" i="34"/>
  <c r="Y3498" i="34"/>
  <c r="AB3498" i="34"/>
  <c r="AC3498" i="34"/>
  <c r="AD3498" i="34"/>
  <c r="P3499" i="34"/>
  <c r="T3499" i="34"/>
  <c r="U3499" i="34"/>
  <c r="V3499" i="34"/>
  <c r="W3499" i="34"/>
  <c r="Y3499" i="34"/>
  <c r="AB3499" i="34"/>
  <c r="AC3499" i="34"/>
  <c r="AD3499" i="34"/>
  <c r="P3500" i="34"/>
  <c r="T3500" i="34"/>
  <c r="U3500" i="34"/>
  <c r="V3500" i="34"/>
  <c r="W3500" i="34"/>
  <c r="Y3500" i="34"/>
  <c r="AB3500" i="34"/>
  <c r="AC3500" i="34"/>
  <c r="AD3500" i="34"/>
  <c r="P3505" i="34"/>
  <c r="T3505" i="34"/>
  <c r="U3505" i="34"/>
  <c r="V3505" i="34"/>
  <c r="W3505" i="34"/>
  <c r="Y3505" i="34"/>
  <c r="AB3505" i="34"/>
  <c r="AC3505" i="34"/>
  <c r="AD3505" i="34"/>
  <c r="P3506" i="34"/>
  <c r="T3506" i="34"/>
  <c r="U3506" i="34"/>
  <c r="V3506" i="34"/>
  <c r="W3506" i="34"/>
  <c r="Y3506" i="34"/>
  <c r="AB3506" i="34"/>
  <c r="AC3506" i="34"/>
  <c r="AD3506" i="34"/>
  <c r="P3507" i="34"/>
  <c r="T3507" i="34"/>
  <c r="U3507" i="34"/>
  <c r="V3507" i="34"/>
  <c r="W3507" i="34"/>
  <c r="Y3507" i="34"/>
  <c r="AB3507" i="34"/>
  <c r="AC3507" i="34"/>
  <c r="AD3507" i="34"/>
  <c r="P3509" i="34"/>
  <c r="T3509" i="34"/>
  <c r="U3509" i="34"/>
  <c r="V3509" i="34"/>
  <c r="W3509" i="34"/>
  <c r="Y3509" i="34"/>
  <c r="AB3509" i="34"/>
  <c r="AC3509" i="34"/>
  <c r="AD3509" i="34"/>
  <c r="P3510" i="34"/>
  <c r="T3510" i="34"/>
  <c r="U3510" i="34"/>
  <c r="V3510" i="34"/>
  <c r="W3510" i="34"/>
  <c r="Y3510" i="34"/>
  <c r="AB3510" i="34"/>
  <c r="AC3510" i="34"/>
  <c r="AD3510" i="34"/>
  <c r="P3532" i="34"/>
  <c r="T3532" i="34"/>
  <c r="U3532" i="34"/>
  <c r="V3532" i="34"/>
  <c r="W3532" i="34"/>
  <c r="Y3532" i="34"/>
  <c r="AB3532" i="34"/>
  <c r="AC3532" i="34"/>
  <c r="AD3532" i="34"/>
  <c r="P3533" i="34"/>
  <c r="T3533" i="34"/>
  <c r="U3533" i="34"/>
  <c r="V3533" i="34"/>
  <c r="W3533" i="34"/>
  <c r="Y3533" i="34"/>
  <c r="AB3533" i="34"/>
  <c r="AC3533" i="34"/>
  <c r="AD3533" i="34"/>
  <c r="P3534" i="34"/>
  <c r="T3534" i="34"/>
  <c r="U3534" i="34"/>
  <c r="V3534" i="34"/>
  <c r="W3534" i="34"/>
  <c r="Y3534" i="34"/>
  <c r="AB3534" i="34"/>
  <c r="AC3534" i="34"/>
  <c r="AD3534" i="34"/>
  <c r="P3535" i="34"/>
  <c r="T3535" i="34"/>
  <c r="U3535" i="34"/>
  <c r="V3535" i="34"/>
  <c r="W3535" i="34"/>
  <c r="Y3535" i="34"/>
  <c r="AB3535" i="34"/>
  <c r="AC3535" i="34"/>
  <c r="AD3535" i="34"/>
  <c r="P3546" i="34"/>
  <c r="T3546" i="34"/>
  <c r="U3546" i="34"/>
  <c r="V3546" i="34"/>
  <c r="W3546" i="34"/>
  <c r="Y3546" i="34"/>
  <c r="AB3546" i="34"/>
  <c r="AC3546" i="34"/>
  <c r="AD3546" i="34"/>
  <c r="P3547" i="34"/>
  <c r="T3547" i="34"/>
  <c r="U3547" i="34"/>
  <c r="V3547" i="34"/>
  <c r="W3547" i="34"/>
  <c r="Y3547" i="34"/>
  <c r="AB3547" i="34"/>
  <c r="AC3547" i="34"/>
  <c r="AD3547" i="34"/>
  <c r="P3548" i="34"/>
  <c r="T3548" i="34"/>
  <c r="U3548" i="34"/>
  <c r="V3548" i="34"/>
  <c r="W3548" i="34"/>
  <c r="Y3548" i="34"/>
  <c r="AB3548" i="34"/>
  <c r="AC3548" i="34"/>
  <c r="AD3548" i="34"/>
  <c r="P3549" i="34"/>
  <c r="T3549" i="34"/>
  <c r="U3549" i="34"/>
  <c r="V3549" i="34"/>
  <c r="W3549" i="34"/>
  <c r="Y3549" i="34"/>
  <c r="AB3549" i="34"/>
  <c r="AC3549" i="34"/>
  <c r="AD3549" i="34"/>
  <c r="P3552" i="34"/>
  <c r="T3552" i="34"/>
  <c r="U3552" i="34"/>
  <c r="V3552" i="34"/>
  <c r="W3552" i="34"/>
  <c r="Y3552" i="34"/>
  <c r="AB3552" i="34"/>
  <c r="AC3552" i="34"/>
  <c r="AD3552" i="34"/>
  <c r="P3553" i="34"/>
  <c r="T3553" i="34"/>
  <c r="U3553" i="34"/>
  <c r="V3553" i="34"/>
  <c r="W3553" i="34"/>
  <c r="Y3553" i="34"/>
  <c r="AB3553" i="34"/>
  <c r="AC3553" i="34"/>
  <c r="AD3553" i="34"/>
  <c r="P3561" i="34"/>
  <c r="T3561" i="34"/>
  <c r="U3561" i="34"/>
  <c r="V3561" i="34"/>
  <c r="W3561" i="34"/>
  <c r="Y3561" i="34"/>
  <c r="AB3561" i="34"/>
  <c r="AC3561" i="34"/>
  <c r="AD3561" i="34"/>
  <c r="P3562" i="34"/>
  <c r="T3562" i="34"/>
  <c r="U3562" i="34"/>
  <c r="V3562" i="34"/>
  <c r="W3562" i="34"/>
  <c r="Y3562" i="34"/>
  <c r="AB3562" i="34"/>
  <c r="AC3562" i="34"/>
  <c r="AD3562" i="34"/>
  <c r="P3563" i="34"/>
  <c r="T3563" i="34"/>
  <c r="U3563" i="34"/>
  <c r="V3563" i="34"/>
  <c r="W3563" i="34"/>
  <c r="Y3563" i="34"/>
  <c r="AB3563" i="34"/>
  <c r="AC3563" i="34"/>
  <c r="AD3563" i="34"/>
  <c r="P3564" i="34"/>
  <c r="T3564" i="34"/>
  <c r="U3564" i="34"/>
  <c r="V3564" i="34"/>
  <c r="W3564" i="34"/>
  <c r="Y3564" i="34"/>
  <c r="AB3564" i="34"/>
  <c r="AC3564" i="34"/>
  <c r="AD3564" i="34"/>
  <c r="P3565" i="34"/>
  <c r="T3565" i="34"/>
  <c r="U3565" i="34"/>
  <c r="V3565" i="34"/>
  <c r="W3565" i="34"/>
  <c r="Y3565" i="34"/>
  <c r="AB3565" i="34"/>
  <c r="AC3565" i="34"/>
  <c r="AD3565" i="34"/>
  <c r="P3605" i="34"/>
  <c r="T3605" i="34"/>
  <c r="U3605" i="34"/>
  <c r="V3605" i="34"/>
  <c r="W3605" i="34"/>
  <c r="Y3605" i="34"/>
  <c r="AB3605" i="34"/>
  <c r="AC3605" i="34"/>
  <c r="AD3605" i="34"/>
  <c r="P3566" i="34"/>
  <c r="T3566" i="34"/>
  <c r="U3566" i="34"/>
  <c r="V3566" i="34"/>
  <c r="W3566" i="34"/>
  <c r="Y3566" i="34"/>
  <c r="AB3566" i="34"/>
  <c r="AC3566" i="34"/>
  <c r="AD3566" i="34"/>
  <c r="P3493" i="34"/>
  <c r="T3493" i="34"/>
  <c r="U3493" i="34"/>
  <c r="V3493" i="34"/>
  <c r="W3493" i="34"/>
  <c r="Y3493" i="34"/>
  <c r="AB3493" i="34"/>
  <c r="AC3493" i="34"/>
  <c r="AD3493" i="34"/>
  <c r="P3494" i="34"/>
  <c r="T3494" i="34"/>
  <c r="U3494" i="34"/>
  <c r="V3494" i="34"/>
  <c r="W3494" i="34"/>
  <c r="Y3494" i="34"/>
  <c r="AB3494" i="34"/>
  <c r="AC3494" i="34"/>
  <c r="AD3494" i="34"/>
  <c r="P3444" i="34"/>
  <c r="T3444" i="34"/>
  <c r="U3444" i="34"/>
  <c r="V3444" i="34"/>
  <c r="W3444" i="34"/>
  <c r="Y3444" i="34"/>
  <c r="AB3444" i="34"/>
  <c r="AC3444" i="34"/>
  <c r="AD3444" i="34"/>
  <c r="P3445" i="34"/>
  <c r="T3445" i="34"/>
  <c r="U3445" i="34"/>
  <c r="V3445" i="34"/>
  <c r="W3445" i="34"/>
  <c r="Y3445" i="34"/>
  <c r="AB3445" i="34"/>
  <c r="AC3445" i="34"/>
  <c r="AD3445" i="34"/>
  <c r="P3567" i="34"/>
  <c r="T3567" i="34"/>
  <c r="U3567" i="34"/>
  <c r="V3567" i="34"/>
  <c r="W3567" i="34"/>
  <c r="Y3567" i="34"/>
  <c r="AB3567" i="34"/>
  <c r="AC3567" i="34"/>
  <c r="AD3567" i="34"/>
  <c r="P3568" i="34"/>
  <c r="T3568" i="34"/>
  <c r="U3568" i="34"/>
  <c r="V3568" i="34"/>
  <c r="W3568" i="34"/>
  <c r="Y3568" i="34"/>
  <c r="AB3568" i="34"/>
  <c r="AC3568" i="34"/>
  <c r="AD3568" i="34"/>
  <c r="P3569" i="34"/>
  <c r="T3569" i="34"/>
  <c r="U3569" i="34"/>
  <c r="V3569" i="34"/>
  <c r="W3569" i="34"/>
  <c r="Y3569" i="34"/>
  <c r="AB3569" i="34"/>
  <c r="AC3569" i="34"/>
  <c r="AD3569" i="34"/>
  <c r="P3570" i="34"/>
  <c r="T3570" i="34"/>
  <c r="U3570" i="34"/>
  <c r="V3570" i="34"/>
  <c r="W3570" i="34"/>
  <c r="Y3570" i="34"/>
  <c r="AB3570" i="34"/>
  <c r="AC3570" i="34"/>
  <c r="AD3570" i="34"/>
  <c r="P3571" i="34"/>
  <c r="T3571" i="34"/>
  <c r="U3571" i="34"/>
  <c r="V3571" i="34"/>
  <c r="W3571" i="34"/>
  <c r="Y3571" i="34"/>
  <c r="AB3571" i="34"/>
  <c r="AC3571" i="34"/>
  <c r="AD3571" i="34"/>
  <c r="P3572" i="34"/>
  <c r="T3572" i="34"/>
  <c r="U3572" i="34"/>
  <c r="V3572" i="34"/>
  <c r="W3572" i="34"/>
  <c r="Y3572" i="34"/>
  <c r="AB3572" i="34"/>
  <c r="AC3572" i="34"/>
  <c r="AD3572" i="34"/>
  <c r="P3559" i="34"/>
  <c r="T3559" i="34"/>
  <c r="U3559" i="34"/>
  <c r="V3559" i="34"/>
  <c r="W3559" i="34"/>
  <c r="Y3559" i="34"/>
  <c r="AB3559" i="34"/>
  <c r="AC3559" i="34"/>
  <c r="AD3559" i="34"/>
  <c r="P3560" i="34"/>
  <c r="T3560" i="34"/>
  <c r="U3560" i="34"/>
  <c r="V3560" i="34"/>
  <c r="W3560" i="34"/>
  <c r="Y3560" i="34"/>
  <c r="AB3560" i="34"/>
  <c r="AC3560" i="34"/>
  <c r="AD3560" i="34"/>
  <c r="P3573" i="34"/>
  <c r="T3573" i="34"/>
  <c r="U3573" i="34"/>
  <c r="V3573" i="34"/>
  <c r="W3573" i="34"/>
  <c r="Y3573" i="34"/>
  <c r="AB3573" i="34"/>
  <c r="AC3573" i="34"/>
  <c r="AD3573" i="34"/>
  <c r="P3574" i="34"/>
  <c r="T3574" i="34"/>
  <c r="U3574" i="34"/>
  <c r="V3574" i="34"/>
  <c r="W3574" i="34"/>
  <c r="Y3574" i="34"/>
  <c r="AB3574" i="34"/>
  <c r="AC3574" i="34"/>
  <c r="AD3574" i="34"/>
  <c r="P3581" i="34"/>
  <c r="T3581" i="34"/>
  <c r="U3581" i="34"/>
  <c r="V3581" i="34"/>
  <c r="W3581" i="34"/>
  <c r="Y3581" i="34"/>
  <c r="AB3581" i="34"/>
  <c r="AC3581" i="34"/>
  <c r="AD3581" i="34"/>
  <c r="P3582" i="34"/>
  <c r="T3582" i="34"/>
  <c r="U3582" i="34"/>
  <c r="V3582" i="34"/>
  <c r="W3582" i="34"/>
  <c r="Y3582" i="34"/>
  <c r="AB3582" i="34"/>
  <c r="AC3582" i="34"/>
  <c r="AD3582" i="34"/>
  <c r="P3583" i="34"/>
  <c r="T3583" i="34"/>
  <c r="U3583" i="34"/>
  <c r="V3583" i="34"/>
  <c r="W3583" i="34"/>
  <c r="Y3583" i="34"/>
  <c r="AB3583" i="34"/>
  <c r="AC3583" i="34"/>
  <c r="AD3583" i="34"/>
  <c r="P3584" i="34"/>
  <c r="T3584" i="34"/>
  <c r="U3584" i="34"/>
  <c r="V3584" i="34"/>
  <c r="W3584" i="34"/>
  <c r="Y3584" i="34"/>
  <c r="AB3584" i="34"/>
  <c r="AC3584" i="34"/>
  <c r="AD3584" i="34"/>
  <c r="P3585" i="34"/>
  <c r="T3585" i="34"/>
  <c r="U3585" i="34"/>
  <c r="V3585" i="34"/>
  <c r="W3585" i="34"/>
  <c r="Y3585" i="34"/>
  <c r="AB3585" i="34"/>
  <c r="AC3585" i="34"/>
  <c r="AD3585" i="34"/>
  <c r="P3586" i="34"/>
  <c r="T3586" i="34"/>
  <c r="U3586" i="34"/>
  <c r="V3586" i="34"/>
  <c r="W3586" i="34"/>
  <c r="Y3586" i="34"/>
  <c r="AB3586" i="34"/>
  <c r="AC3586" i="34"/>
  <c r="AD3586" i="34"/>
  <c r="P3606" i="34"/>
  <c r="T3606" i="34"/>
  <c r="U3606" i="34"/>
  <c r="V3606" i="34"/>
  <c r="W3606" i="34"/>
  <c r="Y3606" i="34"/>
  <c r="AB3606" i="34"/>
  <c r="AC3606" i="34"/>
  <c r="AD3606" i="34"/>
  <c r="P3607" i="34"/>
  <c r="T3607" i="34"/>
  <c r="U3607" i="34"/>
  <c r="V3607" i="34"/>
  <c r="W3607" i="34"/>
  <c r="Y3607" i="34"/>
  <c r="AB3607" i="34"/>
  <c r="AC3607" i="34"/>
  <c r="AD3607" i="34"/>
  <c r="P3608" i="34"/>
  <c r="T3608" i="34"/>
  <c r="U3608" i="34"/>
  <c r="V3608" i="34"/>
  <c r="W3608" i="34"/>
  <c r="Y3608" i="34"/>
  <c r="AB3608" i="34"/>
  <c r="AC3608" i="34"/>
  <c r="AD3608" i="34"/>
  <c r="P3609" i="34"/>
  <c r="T3609" i="34"/>
  <c r="U3609" i="34"/>
  <c r="V3609" i="34"/>
  <c r="W3609" i="34"/>
  <c r="Y3609" i="34"/>
  <c r="AB3609" i="34"/>
  <c r="AC3609" i="34"/>
  <c r="AD3609" i="34"/>
  <c r="P3610" i="34"/>
  <c r="T3610" i="34"/>
  <c r="U3610" i="34"/>
  <c r="V3610" i="34"/>
  <c r="W3610" i="34"/>
  <c r="Y3610" i="34"/>
  <c r="AB3610" i="34"/>
  <c r="AC3610" i="34"/>
  <c r="AD3610" i="34"/>
  <c r="P3611" i="34"/>
  <c r="T3611" i="34"/>
  <c r="U3611" i="34"/>
  <c r="V3611" i="34"/>
  <c r="W3611" i="34"/>
  <c r="Y3611" i="34"/>
  <c r="AB3611" i="34"/>
  <c r="AC3611" i="34"/>
  <c r="AD3611" i="34"/>
  <c r="P3613" i="34"/>
  <c r="T3613" i="34"/>
  <c r="U3613" i="34"/>
  <c r="V3613" i="34"/>
  <c r="W3613" i="34"/>
  <c r="Y3613" i="34"/>
  <c r="AB3613" i="34"/>
  <c r="AC3613" i="34"/>
  <c r="AD3613" i="34"/>
  <c r="P3614" i="34"/>
  <c r="T3614" i="34"/>
  <c r="U3614" i="34"/>
  <c r="V3614" i="34"/>
  <c r="W3614" i="34"/>
  <c r="Y3614" i="34"/>
  <c r="AB3614" i="34"/>
  <c r="AC3614" i="34"/>
  <c r="AD3614" i="34"/>
  <c r="P3623" i="34"/>
  <c r="T3623" i="34"/>
  <c r="U3623" i="34"/>
  <c r="V3623" i="34"/>
  <c r="W3623" i="34"/>
  <c r="Y3623" i="34"/>
  <c r="AB3623" i="34"/>
  <c r="AC3623" i="34"/>
  <c r="AD3623" i="34"/>
  <c r="P3624" i="34"/>
  <c r="T3624" i="34"/>
  <c r="U3624" i="34"/>
  <c r="V3624" i="34"/>
  <c r="W3624" i="34"/>
  <c r="Y3624" i="34"/>
  <c r="AB3624" i="34"/>
  <c r="AC3624" i="34"/>
  <c r="AD3624" i="34"/>
  <c r="P3625" i="34"/>
  <c r="T3625" i="34"/>
  <c r="U3625" i="34"/>
  <c r="V3625" i="34"/>
  <c r="W3625" i="34"/>
  <c r="Y3625" i="34"/>
  <c r="AB3625" i="34"/>
  <c r="AC3625" i="34"/>
  <c r="AD3625" i="34"/>
  <c r="P3626" i="34"/>
  <c r="T3626" i="34"/>
  <c r="U3626" i="34"/>
  <c r="V3626" i="34"/>
  <c r="W3626" i="34"/>
  <c r="Y3626" i="34"/>
  <c r="AB3626" i="34"/>
  <c r="AC3626" i="34"/>
  <c r="AD3626" i="34"/>
  <c r="P3627" i="34"/>
  <c r="T3627" i="34"/>
  <c r="U3627" i="34"/>
  <c r="V3627" i="34"/>
  <c r="W3627" i="34"/>
  <c r="Y3627" i="34"/>
  <c r="AB3627" i="34"/>
  <c r="AC3627" i="34"/>
  <c r="AD3627" i="34"/>
  <c r="P3628" i="34"/>
  <c r="T3628" i="34"/>
  <c r="U3628" i="34"/>
  <c r="V3628" i="34"/>
  <c r="W3628" i="34"/>
  <c r="Y3628" i="34"/>
  <c r="AB3628" i="34"/>
  <c r="AC3628" i="34"/>
  <c r="AD3628" i="34"/>
  <c r="P3629" i="34"/>
  <c r="T3629" i="34"/>
  <c r="U3629" i="34"/>
  <c r="V3629" i="34"/>
  <c r="W3629" i="34"/>
  <c r="Y3629" i="34"/>
  <c r="AB3629" i="34"/>
  <c r="AC3629" i="34"/>
  <c r="AD3629" i="34"/>
  <c r="P3630" i="34"/>
  <c r="T3630" i="34"/>
  <c r="U3630" i="34"/>
  <c r="V3630" i="34"/>
  <c r="W3630" i="34"/>
  <c r="Y3630" i="34"/>
  <c r="AB3630" i="34"/>
  <c r="AC3630" i="34"/>
  <c r="AD3630" i="34"/>
  <c r="P3631" i="34"/>
  <c r="T3631" i="34"/>
  <c r="U3631" i="34"/>
  <c r="V3631" i="34"/>
  <c r="W3631" i="34"/>
  <c r="Y3631" i="34"/>
  <c r="AB3631" i="34"/>
  <c r="AC3631" i="34"/>
  <c r="AD3631" i="34"/>
  <c r="P3632" i="34"/>
  <c r="T3632" i="34"/>
  <c r="U3632" i="34"/>
  <c r="V3632" i="34"/>
  <c r="W3632" i="34"/>
  <c r="Y3632" i="34"/>
  <c r="AB3632" i="34"/>
  <c r="AC3632" i="34"/>
  <c r="AD3632" i="34"/>
  <c r="P3633" i="34"/>
  <c r="T3633" i="34"/>
  <c r="U3633" i="34"/>
  <c r="V3633" i="34"/>
  <c r="W3633" i="34"/>
  <c r="Y3633" i="34"/>
  <c r="AB3633" i="34"/>
  <c r="AC3633" i="34"/>
  <c r="AD3633" i="34"/>
  <c r="P3634" i="34"/>
  <c r="T3634" i="34"/>
  <c r="U3634" i="34"/>
  <c r="V3634" i="34"/>
  <c r="W3634" i="34"/>
  <c r="Y3634" i="34"/>
  <c r="AB3634" i="34"/>
  <c r="AC3634" i="34"/>
  <c r="AD3634" i="34"/>
  <c r="P3636" i="34"/>
  <c r="T3636" i="34"/>
  <c r="U3636" i="34"/>
  <c r="V3636" i="34"/>
  <c r="W3636" i="34"/>
  <c r="Y3636" i="34"/>
  <c r="AB3636" i="34"/>
  <c r="AC3636" i="34"/>
  <c r="AD3636" i="34"/>
  <c r="P3637" i="34"/>
  <c r="T3637" i="34"/>
  <c r="U3637" i="34"/>
  <c r="V3637" i="34"/>
  <c r="W3637" i="34"/>
  <c r="Y3637" i="34"/>
  <c r="AB3637" i="34"/>
  <c r="AC3637" i="34"/>
  <c r="AD3637" i="34"/>
  <c r="P3638" i="34"/>
  <c r="T3638" i="34"/>
  <c r="U3638" i="34"/>
  <c r="V3638" i="34"/>
  <c r="W3638" i="34"/>
  <c r="Y3638" i="34"/>
  <c r="AB3638" i="34"/>
  <c r="AC3638" i="34"/>
  <c r="AD3638" i="34"/>
  <c r="P3639" i="34"/>
  <c r="T3639" i="34"/>
  <c r="U3639" i="34"/>
  <c r="V3639" i="34"/>
  <c r="W3639" i="34"/>
  <c r="Y3639" i="34"/>
  <c r="AB3639" i="34"/>
  <c r="AC3639" i="34"/>
  <c r="AD3639" i="34"/>
  <c r="P3659" i="34"/>
  <c r="T3659" i="34"/>
  <c r="U3659" i="34"/>
  <c r="V3659" i="34"/>
  <c r="W3659" i="34"/>
  <c r="Y3659" i="34"/>
  <c r="AB3659" i="34"/>
  <c r="AC3659" i="34"/>
  <c r="AD3659" i="34"/>
  <c r="P3660" i="34"/>
  <c r="T3660" i="34"/>
  <c r="U3660" i="34"/>
  <c r="V3660" i="34"/>
  <c r="W3660" i="34"/>
  <c r="Y3660" i="34"/>
  <c r="AB3660" i="34"/>
  <c r="AC3660" i="34"/>
  <c r="AD3660" i="34"/>
  <c r="P3661" i="34"/>
  <c r="T3661" i="34"/>
  <c r="U3661" i="34"/>
  <c r="V3661" i="34"/>
  <c r="W3661" i="34"/>
  <c r="Y3661" i="34"/>
  <c r="AB3661" i="34"/>
  <c r="AC3661" i="34"/>
  <c r="AD3661" i="34"/>
  <c r="P3663" i="34"/>
  <c r="T3663" i="34"/>
  <c r="U3663" i="34"/>
  <c r="V3663" i="34"/>
  <c r="W3663" i="34"/>
  <c r="Y3663" i="34"/>
  <c r="AB3663" i="34"/>
  <c r="AC3663" i="34"/>
  <c r="AD3663" i="34"/>
  <c r="P3664" i="34"/>
  <c r="T3664" i="34"/>
  <c r="U3664" i="34"/>
  <c r="V3664" i="34"/>
  <c r="W3664" i="34"/>
  <c r="Y3664" i="34"/>
  <c r="AB3664" i="34"/>
  <c r="AC3664" i="34"/>
  <c r="AD3664" i="34"/>
  <c r="P3665" i="34"/>
  <c r="T3665" i="34"/>
  <c r="U3665" i="34"/>
  <c r="V3665" i="34"/>
  <c r="W3665" i="34"/>
  <c r="Y3665" i="34"/>
  <c r="AB3665" i="34"/>
  <c r="AC3665" i="34"/>
  <c r="AD3665" i="34"/>
  <c r="P3670" i="34"/>
  <c r="T3670" i="34"/>
  <c r="U3670" i="34"/>
  <c r="V3670" i="34"/>
  <c r="W3670" i="34"/>
  <c r="Y3670" i="34"/>
  <c r="AB3670" i="34"/>
  <c r="AC3670" i="34"/>
  <c r="AD3670" i="34"/>
  <c r="P3671" i="34"/>
  <c r="T3671" i="34"/>
  <c r="U3671" i="34"/>
  <c r="V3671" i="34"/>
  <c r="W3671" i="34"/>
  <c r="Y3671" i="34"/>
  <c r="AB3671" i="34"/>
  <c r="AC3671" i="34"/>
  <c r="AD3671" i="34"/>
  <c r="P3672" i="34"/>
  <c r="T3672" i="34"/>
  <c r="U3672" i="34"/>
  <c r="V3672" i="34"/>
  <c r="W3672" i="34"/>
  <c r="Y3672" i="34"/>
  <c r="AB3672" i="34"/>
  <c r="AC3672" i="34"/>
  <c r="AD3672" i="34"/>
  <c r="P3676" i="34"/>
  <c r="T3676" i="34"/>
  <c r="U3676" i="34"/>
  <c r="V3676" i="34"/>
  <c r="W3676" i="34"/>
  <c r="Y3676" i="34"/>
  <c r="AB3676" i="34"/>
  <c r="AC3676" i="34"/>
  <c r="AD3676" i="34"/>
  <c r="P3677" i="34"/>
  <c r="T3677" i="34"/>
  <c r="U3677" i="34"/>
  <c r="V3677" i="34"/>
  <c r="W3677" i="34"/>
  <c r="Y3677" i="34"/>
  <c r="AB3677" i="34"/>
  <c r="AC3677" i="34"/>
  <c r="AD3677" i="34"/>
  <c r="P3678" i="34"/>
  <c r="T3678" i="34"/>
  <c r="U3678" i="34"/>
  <c r="V3678" i="34"/>
  <c r="W3678" i="34"/>
  <c r="Y3678" i="34"/>
  <c r="AB3678" i="34"/>
  <c r="AC3678" i="34"/>
  <c r="AD3678" i="34"/>
  <c r="P3673" i="34"/>
  <c r="T3673" i="34"/>
  <c r="U3673" i="34"/>
  <c r="V3673" i="34"/>
  <c r="W3673" i="34"/>
  <c r="Y3673" i="34"/>
  <c r="AB3673" i="34"/>
  <c r="AC3673" i="34"/>
  <c r="AD3673" i="34"/>
  <c r="P3674" i="34"/>
  <c r="T3674" i="34"/>
  <c r="U3674" i="34"/>
  <c r="V3674" i="34"/>
  <c r="W3674" i="34"/>
  <c r="Y3674" i="34"/>
  <c r="AB3674" i="34"/>
  <c r="AC3674" i="34"/>
  <c r="AD3674" i="34"/>
  <c r="P3675" i="34"/>
  <c r="T3675" i="34"/>
  <c r="U3675" i="34"/>
  <c r="V3675" i="34"/>
  <c r="W3675" i="34"/>
  <c r="Y3675" i="34"/>
  <c r="AB3675" i="34"/>
  <c r="AC3675" i="34"/>
  <c r="AD3675" i="34"/>
  <c r="P3679" i="34"/>
  <c r="T3679" i="34"/>
  <c r="U3679" i="34"/>
  <c r="V3679" i="34"/>
  <c r="W3679" i="34"/>
  <c r="Y3679" i="34"/>
  <c r="AB3679" i="34"/>
  <c r="AC3679" i="34"/>
  <c r="AD3679" i="34"/>
  <c r="P3680" i="34"/>
  <c r="T3680" i="34"/>
  <c r="U3680" i="34"/>
  <c r="V3680" i="34"/>
  <c r="W3680" i="34"/>
  <c r="Y3680" i="34"/>
  <c r="AB3680" i="34"/>
  <c r="AC3680" i="34"/>
  <c r="AD3680" i="34"/>
  <c r="P3681" i="34"/>
  <c r="T3681" i="34"/>
  <c r="U3681" i="34"/>
  <c r="V3681" i="34"/>
  <c r="W3681" i="34"/>
  <c r="Y3681" i="34"/>
  <c r="AB3681" i="34"/>
  <c r="AC3681" i="34"/>
  <c r="AD3681" i="34"/>
  <c r="P3682" i="34"/>
  <c r="T3682" i="34"/>
  <c r="U3682" i="34"/>
  <c r="V3682" i="34"/>
  <c r="W3682" i="34"/>
  <c r="Y3682" i="34"/>
  <c r="AB3682" i="34"/>
  <c r="AC3682" i="34"/>
  <c r="AD3682" i="34"/>
  <c r="P3683" i="34"/>
  <c r="T3683" i="34"/>
  <c r="U3683" i="34"/>
  <c r="V3683" i="34"/>
  <c r="W3683" i="34"/>
  <c r="Y3683" i="34"/>
  <c r="AB3683" i="34"/>
  <c r="AC3683" i="34"/>
  <c r="AD3683" i="34"/>
  <c r="P3684" i="34"/>
  <c r="T3684" i="34"/>
  <c r="U3684" i="34"/>
  <c r="V3684" i="34"/>
  <c r="W3684" i="34"/>
  <c r="Y3684" i="34"/>
  <c r="AB3684" i="34"/>
  <c r="AC3684" i="34"/>
  <c r="AD3684" i="34"/>
  <c r="P3685" i="34"/>
  <c r="T3685" i="34"/>
  <c r="U3685" i="34"/>
  <c r="V3685" i="34"/>
  <c r="W3685" i="34"/>
  <c r="Y3685" i="34"/>
  <c r="AB3685" i="34"/>
  <c r="AC3685" i="34"/>
  <c r="AD3685" i="34"/>
  <c r="P3686" i="34"/>
  <c r="T3686" i="34"/>
  <c r="U3686" i="34"/>
  <c r="V3686" i="34"/>
  <c r="W3686" i="34"/>
  <c r="Y3686" i="34"/>
  <c r="AB3686" i="34"/>
  <c r="AC3686" i="34"/>
  <c r="AD3686" i="34"/>
  <c r="P3687" i="34"/>
  <c r="T3687" i="34"/>
  <c r="U3687" i="34"/>
  <c r="V3687" i="34"/>
  <c r="W3687" i="34"/>
  <c r="Y3687" i="34"/>
  <c r="AB3687" i="34"/>
  <c r="AC3687" i="34"/>
  <c r="AD3687" i="34"/>
  <c r="P3688" i="34"/>
  <c r="T3688" i="34"/>
  <c r="U3688" i="34"/>
  <c r="V3688" i="34"/>
  <c r="W3688" i="34"/>
  <c r="Y3688" i="34"/>
  <c r="AB3688" i="34"/>
  <c r="AC3688" i="34"/>
  <c r="AD3688" i="34"/>
  <c r="P3693" i="34"/>
  <c r="T3693" i="34"/>
  <c r="U3693" i="34"/>
  <c r="V3693" i="34"/>
  <c r="W3693" i="34"/>
  <c r="Y3693" i="34"/>
  <c r="AB3693" i="34"/>
  <c r="AC3693" i="34"/>
  <c r="AD3693" i="34"/>
  <c r="P3694" i="34"/>
  <c r="T3694" i="34"/>
  <c r="U3694" i="34"/>
  <c r="V3694" i="34"/>
  <c r="W3694" i="34"/>
  <c r="Y3694" i="34"/>
  <c r="AB3694" i="34"/>
  <c r="AC3694" i="34"/>
  <c r="AD3694" i="34"/>
  <c r="P3703" i="34"/>
  <c r="T3703" i="34"/>
  <c r="U3703" i="34"/>
  <c r="V3703" i="34"/>
  <c r="W3703" i="34"/>
  <c r="Y3703" i="34"/>
  <c r="AB3703" i="34"/>
  <c r="AC3703" i="34"/>
  <c r="AD3703" i="34"/>
  <c r="P3704" i="34"/>
  <c r="T3704" i="34"/>
  <c r="U3704" i="34"/>
  <c r="V3704" i="34"/>
  <c r="W3704" i="34"/>
  <c r="Y3704" i="34"/>
  <c r="AB3704" i="34"/>
  <c r="AC3704" i="34"/>
  <c r="AD3704" i="34"/>
  <c r="P3705" i="34"/>
  <c r="T3705" i="34"/>
  <c r="U3705" i="34"/>
  <c r="V3705" i="34"/>
  <c r="W3705" i="34"/>
  <c r="Y3705" i="34"/>
  <c r="AB3705" i="34"/>
  <c r="AC3705" i="34"/>
  <c r="AD3705" i="34"/>
  <c r="P3706" i="34"/>
  <c r="T3706" i="34"/>
  <c r="U3706" i="34"/>
  <c r="V3706" i="34"/>
  <c r="W3706" i="34"/>
  <c r="Y3706" i="34"/>
  <c r="AB3706" i="34"/>
  <c r="AC3706" i="34"/>
  <c r="AD3706" i="34"/>
  <c r="P3707" i="34"/>
  <c r="T3707" i="34"/>
  <c r="U3707" i="34"/>
  <c r="V3707" i="34"/>
  <c r="W3707" i="34"/>
  <c r="Y3707" i="34"/>
  <c r="AB3707" i="34"/>
  <c r="AC3707" i="34"/>
  <c r="AD3707" i="34"/>
  <c r="P3716" i="34"/>
  <c r="T3716" i="34"/>
  <c r="U3716" i="34"/>
  <c r="V3716" i="34"/>
  <c r="W3716" i="34"/>
  <c r="Y3716" i="34"/>
  <c r="AB3716" i="34"/>
  <c r="AC3716" i="34"/>
  <c r="AD3716" i="34"/>
  <c r="P3699" i="34"/>
  <c r="T3699" i="34"/>
  <c r="U3699" i="34"/>
  <c r="V3699" i="34"/>
  <c r="W3699" i="34"/>
  <c r="Y3699" i="34"/>
  <c r="AB3699" i="34"/>
  <c r="AC3699" i="34"/>
  <c r="AD3699" i="34"/>
  <c r="P3700" i="34"/>
  <c r="T3700" i="34"/>
  <c r="U3700" i="34"/>
  <c r="V3700" i="34"/>
  <c r="W3700" i="34"/>
  <c r="Y3700" i="34"/>
  <c r="AB3700" i="34"/>
  <c r="AC3700" i="34"/>
  <c r="AD3700" i="34"/>
  <c r="P3701" i="34"/>
  <c r="T3701" i="34"/>
  <c r="U3701" i="34"/>
  <c r="V3701" i="34"/>
  <c r="W3701" i="34"/>
  <c r="Y3701" i="34"/>
  <c r="AB3701" i="34"/>
  <c r="AC3701" i="34"/>
  <c r="AD3701" i="34"/>
  <c r="P3712" i="34"/>
  <c r="T3712" i="34"/>
  <c r="U3712" i="34"/>
  <c r="V3712" i="34"/>
  <c r="W3712" i="34"/>
  <c r="Y3712" i="34"/>
  <c r="AB3712" i="34"/>
  <c r="AC3712" i="34"/>
  <c r="AD3712" i="34"/>
  <c r="P3713" i="34"/>
  <c r="T3713" i="34"/>
  <c r="U3713" i="34"/>
  <c r="V3713" i="34"/>
  <c r="W3713" i="34"/>
  <c r="Y3713" i="34"/>
  <c r="AB3713" i="34"/>
  <c r="AC3713" i="34"/>
  <c r="AD3713" i="34"/>
  <c r="P3727" i="34"/>
  <c r="T3727" i="34"/>
  <c r="U3727" i="34"/>
  <c r="V3727" i="34"/>
  <c r="W3727" i="34"/>
  <c r="Y3727" i="34"/>
  <c r="AB3727" i="34"/>
  <c r="AC3727" i="34"/>
  <c r="AD3727" i="34"/>
  <c r="P3728" i="34"/>
  <c r="T3728" i="34"/>
  <c r="U3728" i="34"/>
  <c r="V3728" i="34"/>
  <c r="W3728" i="34"/>
  <c r="Y3728" i="34"/>
  <c r="AB3728" i="34"/>
  <c r="AC3728" i="34"/>
  <c r="AD3728" i="34"/>
  <c r="P3729" i="34"/>
  <c r="T3729" i="34"/>
  <c r="U3729" i="34"/>
  <c r="V3729" i="34"/>
  <c r="W3729" i="34"/>
  <c r="Y3729" i="34"/>
  <c r="AB3729" i="34"/>
  <c r="AC3729" i="34"/>
  <c r="AD3729" i="34"/>
  <c r="P3730" i="34"/>
  <c r="T3730" i="34"/>
  <c r="U3730" i="34"/>
  <c r="V3730" i="34"/>
  <c r="W3730" i="34"/>
  <c r="Y3730" i="34"/>
  <c r="AB3730" i="34"/>
  <c r="AC3730" i="34"/>
  <c r="AD3730" i="34"/>
  <c r="P3741" i="34"/>
  <c r="T3741" i="34"/>
  <c r="U3741" i="34"/>
  <c r="V3741" i="34"/>
  <c r="W3741" i="34"/>
  <c r="Y3741" i="34"/>
  <c r="AB3741" i="34"/>
  <c r="AC3741" i="34"/>
  <c r="AD3741" i="34"/>
  <c r="P3743" i="34"/>
  <c r="T3743" i="34"/>
  <c r="U3743" i="34"/>
  <c r="V3743" i="34"/>
  <c r="W3743" i="34"/>
  <c r="Y3743" i="34"/>
  <c r="AB3743" i="34"/>
  <c r="AC3743" i="34"/>
  <c r="AD3743" i="34"/>
  <c r="P3744" i="34"/>
  <c r="T3744" i="34"/>
  <c r="U3744" i="34"/>
  <c r="V3744" i="34"/>
  <c r="W3744" i="34"/>
  <c r="Y3744" i="34"/>
  <c r="AB3744" i="34"/>
  <c r="AC3744" i="34"/>
  <c r="AD3744" i="34"/>
  <c r="P3745" i="34"/>
  <c r="T3745" i="34"/>
  <c r="U3745" i="34"/>
  <c r="V3745" i="34"/>
  <c r="W3745" i="34"/>
  <c r="Y3745" i="34"/>
  <c r="AB3745" i="34"/>
  <c r="AC3745" i="34"/>
  <c r="AD3745" i="34"/>
  <c r="P3746" i="34"/>
  <c r="T3746" i="34"/>
  <c r="U3746" i="34"/>
  <c r="V3746" i="34"/>
  <c r="W3746" i="34"/>
  <c r="Y3746" i="34"/>
  <c r="AB3746" i="34"/>
  <c r="AC3746" i="34"/>
  <c r="AD3746" i="34"/>
  <c r="P3748" i="34"/>
  <c r="T3748" i="34"/>
  <c r="U3748" i="34"/>
  <c r="V3748" i="34"/>
  <c r="W3748" i="34"/>
  <c r="Y3748" i="34"/>
  <c r="AB3748" i="34"/>
  <c r="AC3748" i="34"/>
  <c r="AD3748" i="34"/>
  <c r="P3749" i="34"/>
  <c r="T3749" i="34"/>
  <c r="U3749" i="34"/>
  <c r="V3749" i="34"/>
  <c r="W3749" i="34"/>
  <c r="Y3749" i="34"/>
  <c r="AB3749" i="34"/>
  <c r="AC3749" i="34"/>
  <c r="AD3749" i="34"/>
  <c r="P3750" i="34"/>
  <c r="T3750" i="34"/>
  <c r="U3750" i="34"/>
  <c r="V3750" i="34"/>
  <c r="W3750" i="34"/>
  <c r="Y3750" i="34"/>
  <c r="AB3750" i="34"/>
  <c r="AC3750" i="34"/>
  <c r="AD3750" i="34"/>
  <c r="P3781" i="34"/>
  <c r="T3781" i="34"/>
  <c r="U3781" i="34"/>
  <c r="V3781" i="34"/>
  <c r="W3781" i="34"/>
  <c r="Y3781" i="34"/>
  <c r="AB3781" i="34"/>
  <c r="AC3781" i="34"/>
  <c r="AD3781" i="34"/>
  <c r="P3782" i="34"/>
  <c r="T3782" i="34"/>
  <c r="U3782" i="34"/>
  <c r="V3782" i="34"/>
  <c r="W3782" i="34"/>
  <c r="Y3782" i="34"/>
  <c r="AB3782" i="34"/>
  <c r="AC3782" i="34"/>
  <c r="AD3782" i="34"/>
  <c r="P3783" i="34"/>
  <c r="T3783" i="34"/>
  <c r="U3783" i="34"/>
  <c r="V3783" i="34"/>
  <c r="W3783" i="34"/>
  <c r="Y3783" i="34"/>
  <c r="AB3783" i="34"/>
  <c r="AC3783" i="34"/>
  <c r="AD3783" i="34"/>
  <c r="P3784" i="34"/>
  <c r="T3784" i="34"/>
  <c r="U3784" i="34"/>
  <c r="V3784" i="34"/>
  <c r="W3784" i="34"/>
  <c r="Y3784" i="34"/>
  <c r="AB3784" i="34"/>
  <c r="AC3784" i="34"/>
  <c r="AD3784" i="34"/>
  <c r="P3785" i="34"/>
  <c r="T3785" i="34"/>
  <c r="U3785" i="34"/>
  <c r="V3785" i="34"/>
  <c r="W3785" i="34"/>
  <c r="Y3785" i="34"/>
  <c r="AB3785" i="34"/>
  <c r="AC3785" i="34"/>
  <c r="AD3785" i="34"/>
  <c r="P3787" i="34"/>
  <c r="T3787" i="34"/>
  <c r="U3787" i="34"/>
  <c r="V3787" i="34"/>
  <c r="W3787" i="34"/>
  <c r="Y3787" i="34"/>
  <c r="AB3787" i="34"/>
  <c r="AC3787" i="34"/>
  <c r="AD3787" i="34"/>
  <c r="P3788" i="34"/>
  <c r="T3788" i="34"/>
  <c r="U3788" i="34"/>
  <c r="V3788" i="34"/>
  <c r="W3788" i="34"/>
  <c r="Y3788" i="34"/>
  <c r="AB3788" i="34"/>
  <c r="AC3788" i="34"/>
  <c r="AD3788" i="34"/>
  <c r="P3799" i="34"/>
  <c r="T3799" i="34"/>
  <c r="U3799" i="34"/>
  <c r="V3799" i="34"/>
  <c r="W3799" i="34"/>
  <c r="Y3799" i="34"/>
  <c r="AB3799" i="34"/>
  <c r="AC3799" i="34"/>
  <c r="AD3799" i="34"/>
  <c r="P3804" i="34"/>
  <c r="T3804" i="34"/>
  <c r="U3804" i="34"/>
  <c r="V3804" i="34"/>
  <c r="W3804" i="34"/>
  <c r="Y3804" i="34"/>
  <c r="AB3804" i="34"/>
  <c r="AC3804" i="34"/>
  <c r="AD3804" i="34"/>
  <c r="P3805" i="34"/>
  <c r="T3805" i="34"/>
  <c r="U3805" i="34"/>
  <c r="V3805" i="34"/>
  <c r="W3805" i="34"/>
  <c r="Y3805" i="34"/>
  <c r="AB3805" i="34"/>
  <c r="AC3805" i="34"/>
  <c r="AD3805" i="34"/>
  <c r="P3806" i="34"/>
  <c r="T3806" i="34"/>
  <c r="U3806" i="34"/>
  <c r="V3806" i="34"/>
  <c r="W3806" i="34"/>
  <c r="Y3806" i="34"/>
  <c r="AB3806" i="34"/>
  <c r="AC3806" i="34"/>
  <c r="AD3806" i="34"/>
  <c r="P3808" i="34"/>
  <c r="T3808" i="34"/>
  <c r="U3808" i="34"/>
  <c r="V3808" i="34"/>
  <c r="W3808" i="34"/>
  <c r="Y3808" i="34"/>
  <c r="AB3808" i="34"/>
  <c r="AC3808" i="34"/>
  <c r="AD3808" i="34"/>
  <c r="P3809" i="34"/>
  <c r="T3809" i="34"/>
  <c r="U3809" i="34"/>
  <c r="V3809" i="34"/>
  <c r="W3809" i="34"/>
  <c r="Y3809" i="34"/>
  <c r="AB3809" i="34"/>
  <c r="AC3809" i="34"/>
  <c r="AD3809" i="34"/>
  <c r="P3812" i="34"/>
  <c r="T3812" i="34"/>
  <c r="U3812" i="34"/>
  <c r="V3812" i="34"/>
  <c r="W3812" i="34"/>
  <c r="Y3812" i="34"/>
  <c r="AB3812" i="34"/>
  <c r="AC3812" i="34"/>
  <c r="AD3812" i="34"/>
  <c r="P3813" i="34"/>
  <c r="T3813" i="34"/>
  <c r="U3813" i="34"/>
  <c r="V3813" i="34"/>
  <c r="W3813" i="34"/>
  <c r="Y3813" i="34"/>
  <c r="AB3813" i="34"/>
  <c r="AC3813" i="34"/>
  <c r="AD3813" i="34"/>
  <c r="P3814" i="34"/>
  <c r="T3814" i="34"/>
  <c r="U3814" i="34"/>
  <c r="V3814" i="34"/>
  <c r="W3814" i="34"/>
  <c r="Y3814" i="34"/>
  <c r="AB3814" i="34"/>
  <c r="AC3814" i="34"/>
  <c r="AD3814" i="34"/>
  <c r="P3737" i="34"/>
  <c r="T3737" i="34"/>
  <c r="U3737" i="34"/>
  <c r="V3737" i="34"/>
  <c r="W3737" i="34"/>
  <c r="Y3737" i="34"/>
  <c r="AB3737" i="34"/>
  <c r="AC3737" i="34"/>
  <c r="AD3737" i="34"/>
  <c r="P3823" i="34"/>
  <c r="T3823" i="34"/>
  <c r="U3823" i="34"/>
  <c r="V3823" i="34"/>
  <c r="W3823" i="34"/>
  <c r="Y3823" i="34"/>
  <c r="AB3823" i="34"/>
  <c r="AC3823" i="34"/>
  <c r="AD3823" i="34"/>
  <c r="P3826" i="34"/>
  <c r="T3826" i="34"/>
  <c r="U3826" i="34"/>
  <c r="V3826" i="34"/>
  <c r="W3826" i="34"/>
  <c r="Y3826" i="34"/>
  <c r="AB3826" i="34"/>
  <c r="AC3826" i="34"/>
  <c r="AD3826" i="34"/>
  <c r="P3827" i="34"/>
  <c r="T3827" i="34"/>
  <c r="U3827" i="34"/>
  <c r="V3827" i="34"/>
  <c r="W3827" i="34"/>
  <c r="Y3827" i="34"/>
  <c r="AB3827" i="34"/>
  <c r="AC3827" i="34"/>
  <c r="AD3827" i="34"/>
  <c r="P3828" i="34"/>
  <c r="T3828" i="34"/>
  <c r="U3828" i="34"/>
  <c r="V3828" i="34"/>
  <c r="W3828" i="34"/>
  <c r="Y3828" i="34"/>
  <c r="AB3828" i="34"/>
  <c r="AC3828" i="34"/>
  <c r="AD3828" i="34"/>
  <c r="P3836" i="34"/>
  <c r="T3836" i="34"/>
  <c r="U3836" i="34"/>
  <c r="V3836" i="34"/>
  <c r="W3836" i="34"/>
  <c r="Y3836" i="34"/>
  <c r="AB3836" i="34"/>
  <c r="AC3836" i="34"/>
  <c r="AD3836" i="34"/>
  <c r="P3837" i="34"/>
  <c r="T3837" i="34"/>
  <c r="U3837" i="34"/>
  <c r="V3837" i="34"/>
  <c r="W3837" i="34"/>
  <c r="Y3837" i="34"/>
  <c r="AB3837" i="34"/>
  <c r="AC3837" i="34"/>
  <c r="AD3837" i="34"/>
  <c r="P3838" i="34"/>
  <c r="T3838" i="34"/>
  <c r="U3838" i="34"/>
  <c r="V3838" i="34"/>
  <c r="W3838" i="34"/>
  <c r="Y3838" i="34"/>
  <c r="AB3838" i="34"/>
  <c r="AC3838" i="34"/>
  <c r="AD3838" i="34"/>
  <c r="P3839" i="34"/>
  <c r="T3839" i="34"/>
  <c r="U3839" i="34"/>
  <c r="V3839" i="34"/>
  <c r="W3839" i="34"/>
  <c r="Y3839" i="34"/>
  <c r="AB3839" i="34"/>
  <c r="AC3839" i="34"/>
  <c r="AD3839" i="34"/>
  <c r="P3841" i="34"/>
  <c r="T3841" i="34"/>
  <c r="U3841" i="34"/>
  <c r="V3841" i="34"/>
  <c r="W3841" i="34"/>
  <c r="Y3841" i="34"/>
  <c r="AB3841" i="34"/>
  <c r="AC3841" i="34"/>
  <c r="AD3841" i="34"/>
  <c r="P3842" i="34"/>
  <c r="T3842" i="34"/>
  <c r="U3842" i="34"/>
  <c r="V3842" i="34"/>
  <c r="W3842" i="34"/>
  <c r="Y3842" i="34"/>
  <c r="AB3842" i="34"/>
  <c r="AC3842" i="34"/>
  <c r="AD3842" i="34"/>
  <c r="P3846" i="34"/>
  <c r="T3846" i="34"/>
  <c r="U3846" i="34"/>
  <c r="V3846" i="34"/>
  <c r="W3846" i="34"/>
  <c r="Y3846" i="34"/>
  <c r="AB3846" i="34"/>
  <c r="AC3846" i="34"/>
  <c r="AD3846" i="34"/>
  <c r="P3847" i="34"/>
  <c r="T3847" i="34"/>
  <c r="U3847" i="34"/>
  <c r="V3847" i="34"/>
  <c r="W3847" i="34"/>
  <c r="Y3847" i="34"/>
  <c r="AB3847" i="34"/>
  <c r="AC3847" i="34"/>
  <c r="AD3847" i="34"/>
  <c r="P3848" i="34"/>
  <c r="T3848" i="34"/>
  <c r="U3848" i="34"/>
  <c r="V3848" i="34"/>
  <c r="W3848" i="34"/>
  <c r="Y3848" i="34"/>
  <c r="AB3848" i="34"/>
  <c r="AC3848" i="34"/>
  <c r="AD3848" i="34"/>
  <c r="P3849" i="34"/>
  <c r="T3849" i="34"/>
  <c r="U3849" i="34"/>
  <c r="V3849" i="34"/>
  <c r="W3849" i="34"/>
  <c r="Y3849" i="34"/>
  <c r="AB3849" i="34"/>
  <c r="AC3849" i="34"/>
  <c r="AD3849" i="34"/>
  <c r="P3850" i="34"/>
  <c r="T3850" i="34"/>
  <c r="U3850" i="34"/>
  <c r="V3850" i="34"/>
  <c r="W3850" i="34"/>
  <c r="Y3850" i="34"/>
  <c r="AB3850" i="34"/>
  <c r="AC3850" i="34"/>
  <c r="AD3850" i="34"/>
  <c r="P3851" i="34"/>
  <c r="T3851" i="34"/>
  <c r="U3851" i="34"/>
  <c r="V3851" i="34"/>
  <c r="W3851" i="34"/>
  <c r="Y3851" i="34"/>
  <c r="AB3851" i="34"/>
  <c r="AC3851" i="34"/>
  <c r="AD3851" i="34"/>
  <c r="P3852" i="34"/>
  <c r="T3852" i="34"/>
  <c r="U3852" i="34"/>
  <c r="V3852" i="34"/>
  <c r="W3852" i="34"/>
  <c r="Y3852" i="34"/>
  <c r="AB3852" i="34"/>
  <c r="AC3852" i="34"/>
  <c r="AD3852" i="34"/>
  <c r="P3853" i="34"/>
  <c r="T3853" i="34"/>
  <c r="U3853" i="34"/>
  <c r="V3853" i="34"/>
  <c r="W3853" i="34"/>
  <c r="Y3853" i="34"/>
  <c r="AB3853" i="34"/>
  <c r="AC3853" i="34"/>
  <c r="AD3853" i="34"/>
  <c r="P3854" i="34"/>
  <c r="T3854" i="34"/>
  <c r="U3854" i="34"/>
  <c r="V3854" i="34"/>
  <c r="W3854" i="34"/>
  <c r="Y3854" i="34"/>
  <c r="AB3854" i="34"/>
  <c r="AC3854" i="34"/>
  <c r="AD3854" i="34"/>
  <c r="P3855" i="34"/>
  <c r="T3855" i="34"/>
  <c r="U3855" i="34"/>
  <c r="V3855" i="34"/>
  <c r="W3855" i="34"/>
  <c r="Y3855" i="34"/>
  <c r="AB3855" i="34"/>
  <c r="AC3855" i="34"/>
  <c r="AD3855" i="34"/>
  <c r="P3821" i="34"/>
  <c r="T3821" i="34"/>
  <c r="U3821" i="34"/>
  <c r="V3821" i="34"/>
  <c r="W3821" i="34"/>
  <c r="Y3821" i="34"/>
  <c r="AB3821" i="34"/>
  <c r="AC3821" i="34"/>
  <c r="AD3821" i="34"/>
  <c r="P3822" i="34"/>
  <c r="T3822" i="34"/>
  <c r="U3822" i="34"/>
  <c r="V3822" i="34"/>
  <c r="W3822" i="34"/>
  <c r="Y3822" i="34"/>
  <c r="AB3822" i="34"/>
  <c r="AC3822" i="34"/>
  <c r="AD3822" i="34"/>
  <c r="P3859" i="34"/>
  <c r="T3859" i="34"/>
  <c r="U3859" i="34"/>
  <c r="V3859" i="34"/>
  <c r="W3859" i="34"/>
  <c r="Y3859" i="34"/>
  <c r="AB3859" i="34"/>
  <c r="AC3859" i="34"/>
  <c r="AD3859" i="34"/>
  <c r="P3860" i="34"/>
  <c r="T3860" i="34"/>
  <c r="U3860" i="34"/>
  <c r="V3860" i="34"/>
  <c r="W3860" i="34"/>
  <c r="Y3860" i="34"/>
  <c r="AB3860" i="34"/>
  <c r="AC3860" i="34"/>
  <c r="AD3860" i="34"/>
  <c r="P3867" i="34"/>
  <c r="T3867" i="34"/>
  <c r="U3867" i="34"/>
  <c r="V3867" i="34"/>
  <c r="W3867" i="34"/>
  <c r="Y3867" i="34"/>
  <c r="AB3867" i="34"/>
  <c r="AC3867" i="34"/>
  <c r="AD3867" i="34"/>
  <c r="P3868" i="34"/>
  <c r="T3868" i="34"/>
  <c r="U3868" i="34"/>
  <c r="V3868" i="34"/>
  <c r="W3868" i="34"/>
  <c r="Y3868" i="34"/>
  <c r="AB3868" i="34"/>
  <c r="AC3868" i="34"/>
  <c r="AD3868" i="34"/>
  <c r="P3869" i="34"/>
  <c r="T3869" i="34"/>
  <c r="U3869" i="34"/>
  <c r="V3869" i="34"/>
  <c r="W3869" i="34"/>
  <c r="Y3869" i="34"/>
  <c r="AB3869" i="34"/>
  <c r="AC3869" i="34"/>
  <c r="AD3869" i="34"/>
  <c r="P4834" i="34"/>
  <c r="T4834" i="34"/>
  <c r="U4834" i="34"/>
  <c r="V4834" i="34"/>
  <c r="W4834" i="34"/>
  <c r="Y4834" i="34"/>
  <c r="AB4834" i="34"/>
  <c r="AC4834" i="34"/>
  <c r="AD4834" i="34"/>
  <c r="P4835" i="34"/>
  <c r="T4835" i="34"/>
  <c r="U4835" i="34"/>
  <c r="V4835" i="34"/>
  <c r="W4835" i="34"/>
  <c r="Y4835" i="34"/>
  <c r="AB4835" i="34"/>
  <c r="AC4835" i="34"/>
  <c r="AD4835" i="34"/>
  <c r="P4836" i="34"/>
  <c r="T4836" i="34"/>
  <c r="U4836" i="34"/>
  <c r="V4836" i="34"/>
  <c r="W4836" i="34"/>
  <c r="Y4836" i="34"/>
  <c r="AB4836" i="34"/>
  <c r="AC4836" i="34"/>
  <c r="AD4836" i="34"/>
  <c r="P3862" i="34"/>
  <c r="T3862" i="34"/>
  <c r="U3862" i="34"/>
  <c r="V3862" i="34"/>
  <c r="W3862" i="34"/>
  <c r="Y3862" i="34"/>
  <c r="AB3862" i="34"/>
  <c r="AC3862" i="34"/>
  <c r="AD3862" i="34"/>
  <c r="P3863" i="34"/>
  <c r="T3863" i="34"/>
  <c r="U3863" i="34"/>
  <c r="V3863" i="34"/>
  <c r="W3863" i="34"/>
  <c r="Y3863" i="34"/>
  <c r="AB3863" i="34"/>
  <c r="AC3863" i="34"/>
  <c r="AD3863" i="34"/>
  <c r="P3864" i="34"/>
  <c r="T3864" i="34"/>
  <c r="U3864" i="34"/>
  <c r="V3864" i="34"/>
  <c r="W3864" i="34"/>
  <c r="Y3864" i="34"/>
  <c r="AB3864" i="34"/>
  <c r="AC3864" i="34"/>
  <c r="AD3864" i="34"/>
  <c r="P3865" i="34"/>
  <c r="T3865" i="34"/>
  <c r="U3865" i="34"/>
  <c r="V3865" i="34"/>
  <c r="W3865" i="34"/>
  <c r="Y3865" i="34"/>
  <c r="AB3865" i="34"/>
  <c r="AC3865" i="34"/>
  <c r="AD3865" i="34"/>
  <c r="P3866" i="34"/>
  <c r="T3866" i="34"/>
  <c r="U3866" i="34"/>
  <c r="V3866" i="34"/>
  <c r="W3866" i="34"/>
  <c r="Y3866" i="34"/>
  <c r="AB3866" i="34"/>
  <c r="AC3866" i="34"/>
  <c r="AD3866" i="34"/>
  <c r="P3877" i="34"/>
  <c r="T3877" i="34"/>
  <c r="U3877" i="34"/>
  <c r="V3877" i="34"/>
  <c r="W3877" i="34"/>
  <c r="Y3877" i="34"/>
  <c r="AB3877" i="34"/>
  <c r="AC3877" i="34"/>
  <c r="AD3877" i="34"/>
  <c r="P3903" i="34"/>
  <c r="T3903" i="34"/>
  <c r="U3903" i="34"/>
  <c r="V3903" i="34"/>
  <c r="W3903" i="34"/>
  <c r="Y3903" i="34"/>
  <c r="AB3903" i="34"/>
  <c r="AC3903" i="34"/>
  <c r="AD3903" i="34"/>
  <c r="P3905" i="34"/>
  <c r="T3905" i="34"/>
  <c r="U3905" i="34"/>
  <c r="V3905" i="34"/>
  <c r="W3905" i="34"/>
  <c r="Y3905" i="34"/>
  <c r="AB3905" i="34"/>
  <c r="AC3905" i="34"/>
  <c r="AD3905" i="34"/>
  <c r="P3906" i="34"/>
  <c r="T3906" i="34"/>
  <c r="U3906" i="34"/>
  <c r="V3906" i="34"/>
  <c r="W3906" i="34"/>
  <c r="Y3906" i="34"/>
  <c r="AB3906" i="34"/>
  <c r="AC3906" i="34"/>
  <c r="AD3906" i="34"/>
  <c r="P3907" i="34"/>
  <c r="T3907" i="34"/>
  <c r="U3907" i="34"/>
  <c r="V3907" i="34"/>
  <c r="W3907" i="34"/>
  <c r="Y3907" i="34"/>
  <c r="AB3907" i="34"/>
  <c r="AC3907" i="34"/>
  <c r="AD3907" i="34"/>
  <c r="P3908" i="34"/>
  <c r="T3908" i="34"/>
  <c r="U3908" i="34"/>
  <c r="V3908" i="34"/>
  <c r="W3908" i="34"/>
  <c r="Y3908" i="34"/>
  <c r="AB3908" i="34"/>
  <c r="AC3908" i="34"/>
  <c r="AD3908" i="34"/>
  <c r="P3909" i="34"/>
  <c r="T3909" i="34"/>
  <c r="U3909" i="34"/>
  <c r="V3909" i="34"/>
  <c r="W3909" i="34"/>
  <c r="Y3909" i="34"/>
  <c r="AB3909" i="34"/>
  <c r="AC3909" i="34"/>
  <c r="AD3909" i="34"/>
  <c r="P3910" i="34"/>
  <c r="T3910" i="34"/>
  <c r="U3910" i="34"/>
  <c r="V3910" i="34"/>
  <c r="W3910" i="34"/>
  <c r="Y3910" i="34"/>
  <c r="AB3910" i="34"/>
  <c r="AC3910" i="34"/>
  <c r="AD3910" i="34"/>
  <c r="P3912" i="34"/>
  <c r="T3912" i="34"/>
  <c r="U3912" i="34"/>
  <c r="V3912" i="34"/>
  <c r="W3912" i="34"/>
  <c r="Y3912" i="34"/>
  <c r="AB3912" i="34"/>
  <c r="AC3912" i="34"/>
  <c r="AD3912" i="34"/>
  <c r="P3913" i="34"/>
  <c r="T3913" i="34"/>
  <c r="U3913" i="34"/>
  <c r="V3913" i="34"/>
  <c r="W3913" i="34"/>
  <c r="Y3913" i="34"/>
  <c r="AB3913" i="34"/>
  <c r="AC3913" i="34"/>
  <c r="AD3913" i="34"/>
  <c r="P3914" i="34"/>
  <c r="T3914" i="34"/>
  <c r="U3914" i="34"/>
  <c r="V3914" i="34"/>
  <c r="W3914" i="34"/>
  <c r="Y3914" i="34"/>
  <c r="AB3914" i="34"/>
  <c r="AC3914" i="34"/>
  <c r="AD3914" i="34"/>
  <c r="P3915" i="34"/>
  <c r="T3915" i="34"/>
  <c r="U3915" i="34"/>
  <c r="V3915" i="34"/>
  <c r="W3915" i="34"/>
  <c r="Y3915" i="34"/>
  <c r="AB3915" i="34"/>
  <c r="AC3915" i="34"/>
  <c r="AD3915" i="34"/>
  <c r="P3916" i="34"/>
  <c r="T3916" i="34"/>
  <c r="U3916" i="34"/>
  <c r="V3916" i="34"/>
  <c r="W3916" i="34"/>
  <c r="Y3916" i="34"/>
  <c r="AB3916" i="34"/>
  <c r="AC3916" i="34"/>
  <c r="AD3916" i="34"/>
  <c r="P3917" i="34"/>
  <c r="T3917" i="34"/>
  <c r="U3917" i="34"/>
  <c r="V3917" i="34"/>
  <c r="W3917" i="34"/>
  <c r="Y3917" i="34"/>
  <c r="AB3917" i="34"/>
  <c r="AC3917" i="34"/>
  <c r="AD3917" i="34"/>
  <c r="P3918" i="34"/>
  <c r="T3918" i="34"/>
  <c r="U3918" i="34"/>
  <c r="V3918" i="34"/>
  <c r="W3918" i="34"/>
  <c r="Y3918" i="34"/>
  <c r="AB3918" i="34"/>
  <c r="AC3918" i="34"/>
  <c r="AD3918" i="34"/>
  <c r="P3919" i="34"/>
  <c r="T3919" i="34"/>
  <c r="U3919" i="34"/>
  <c r="V3919" i="34"/>
  <c r="W3919" i="34"/>
  <c r="Y3919" i="34"/>
  <c r="AB3919" i="34"/>
  <c r="AC3919" i="34"/>
  <c r="AD3919" i="34"/>
  <c r="P3920" i="34"/>
  <c r="T3920" i="34"/>
  <c r="U3920" i="34"/>
  <c r="V3920" i="34"/>
  <c r="W3920" i="34"/>
  <c r="Y3920" i="34"/>
  <c r="AB3920" i="34"/>
  <c r="AC3920" i="34"/>
  <c r="AD3920" i="34"/>
  <c r="P3921" i="34"/>
  <c r="T3921" i="34"/>
  <c r="U3921" i="34"/>
  <c r="V3921" i="34"/>
  <c r="W3921" i="34"/>
  <c r="Y3921" i="34"/>
  <c r="AB3921" i="34"/>
  <c r="AC3921" i="34"/>
  <c r="AD3921" i="34"/>
  <c r="P3923" i="34"/>
  <c r="T3923" i="34"/>
  <c r="U3923" i="34"/>
  <c r="V3923" i="34"/>
  <c r="W3923" i="34"/>
  <c r="Y3923" i="34"/>
  <c r="AB3923" i="34"/>
  <c r="AC3923" i="34"/>
  <c r="AD3923" i="34"/>
  <c r="P3924" i="34"/>
  <c r="T3924" i="34"/>
  <c r="U3924" i="34"/>
  <c r="V3924" i="34"/>
  <c r="W3924" i="34"/>
  <c r="Y3924" i="34"/>
  <c r="AB3924" i="34"/>
  <c r="AC3924" i="34"/>
  <c r="AD3924" i="34"/>
  <c r="P3925" i="34"/>
  <c r="T3925" i="34"/>
  <c r="U3925" i="34"/>
  <c r="V3925" i="34"/>
  <c r="W3925" i="34"/>
  <c r="Y3925" i="34"/>
  <c r="AB3925" i="34"/>
  <c r="AC3925" i="34"/>
  <c r="AD3925" i="34"/>
  <c r="P3926" i="34"/>
  <c r="T3926" i="34"/>
  <c r="U3926" i="34"/>
  <c r="V3926" i="34"/>
  <c r="W3926" i="34"/>
  <c r="Y3926" i="34"/>
  <c r="AB3926" i="34"/>
  <c r="AC3926" i="34"/>
  <c r="AD3926" i="34"/>
  <c r="P3927" i="34"/>
  <c r="T3927" i="34"/>
  <c r="U3927" i="34"/>
  <c r="V3927" i="34"/>
  <c r="W3927" i="34"/>
  <c r="Y3927" i="34"/>
  <c r="AB3927" i="34"/>
  <c r="AC3927" i="34"/>
  <c r="AD3927" i="34"/>
  <c r="P3928" i="34"/>
  <c r="T3928" i="34"/>
  <c r="U3928" i="34"/>
  <c r="V3928" i="34"/>
  <c r="W3928" i="34"/>
  <c r="Y3928" i="34"/>
  <c r="AB3928" i="34"/>
  <c r="AC3928" i="34"/>
  <c r="AD3928" i="34"/>
  <c r="P3929" i="34"/>
  <c r="T3929" i="34"/>
  <c r="U3929" i="34"/>
  <c r="V3929" i="34"/>
  <c r="W3929" i="34"/>
  <c r="Y3929" i="34"/>
  <c r="AB3929" i="34"/>
  <c r="AC3929" i="34"/>
  <c r="AD3929" i="34"/>
  <c r="P3930" i="34"/>
  <c r="T3930" i="34"/>
  <c r="U3930" i="34"/>
  <c r="V3930" i="34"/>
  <c r="W3930" i="34"/>
  <c r="Y3930" i="34"/>
  <c r="AB3930" i="34"/>
  <c r="AC3930" i="34"/>
  <c r="AD3930" i="34"/>
  <c r="P3933" i="34"/>
  <c r="T3933" i="34"/>
  <c r="U3933" i="34"/>
  <c r="V3933" i="34"/>
  <c r="W3933" i="34"/>
  <c r="Y3933" i="34"/>
  <c r="AB3933" i="34"/>
  <c r="AC3933" i="34"/>
  <c r="AD3933" i="34"/>
  <c r="P3934" i="34"/>
  <c r="T3934" i="34"/>
  <c r="U3934" i="34"/>
  <c r="V3934" i="34"/>
  <c r="W3934" i="34"/>
  <c r="Y3934" i="34"/>
  <c r="AB3934" i="34"/>
  <c r="AC3934" i="34"/>
  <c r="AD3934" i="34"/>
  <c r="P3935" i="34"/>
  <c r="T3935" i="34"/>
  <c r="U3935" i="34"/>
  <c r="V3935" i="34"/>
  <c r="W3935" i="34"/>
  <c r="Y3935" i="34"/>
  <c r="AB3935" i="34"/>
  <c r="AC3935" i="34"/>
  <c r="AD3935" i="34"/>
  <c r="P3936" i="34"/>
  <c r="T3936" i="34"/>
  <c r="U3936" i="34"/>
  <c r="V3936" i="34"/>
  <c r="W3936" i="34"/>
  <c r="Y3936" i="34"/>
  <c r="AB3936" i="34"/>
  <c r="AC3936" i="34"/>
  <c r="AD3936" i="34"/>
  <c r="P3943" i="34"/>
  <c r="T3943" i="34"/>
  <c r="U3943" i="34"/>
  <c r="V3943" i="34"/>
  <c r="W3943" i="34"/>
  <c r="Y3943" i="34"/>
  <c r="AB3943" i="34"/>
  <c r="AC3943" i="34"/>
  <c r="AD3943" i="34"/>
  <c r="P3944" i="34"/>
  <c r="T3944" i="34"/>
  <c r="U3944" i="34"/>
  <c r="V3944" i="34"/>
  <c r="W3944" i="34"/>
  <c r="Y3944" i="34"/>
  <c r="AB3944" i="34"/>
  <c r="AC3944" i="34"/>
  <c r="AD3944" i="34"/>
  <c r="P3959" i="34"/>
  <c r="T3959" i="34"/>
  <c r="U3959" i="34"/>
  <c r="V3959" i="34"/>
  <c r="W3959" i="34"/>
  <c r="Y3959" i="34"/>
  <c r="AB3959" i="34"/>
  <c r="AC3959" i="34"/>
  <c r="AD3959" i="34"/>
  <c r="P3960" i="34"/>
  <c r="T3960" i="34"/>
  <c r="U3960" i="34"/>
  <c r="V3960" i="34"/>
  <c r="W3960" i="34"/>
  <c r="Y3960" i="34"/>
  <c r="AB3960" i="34"/>
  <c r="AC3960" i="34"/>
  <c r="AD3960" i="34"/>
  <c r="P3961" i="34"/>
  <c r="T3961" i="34"/>
  <c r="U3961" i="34"/>
  <c r="V3961" i="34"/>
  <c r="W3961" i="34"/>
  <c r="Y3961" i="34"/>
  <c r="AB3961" i="34"/>
  <c r="AC3961" i="34"/>
  <c r="AD3961" i="34"/>
  <c r="P3962" i="34"/>
  <c r="T3962" i="34"/>
  <c r="U3962" i="34"/>
  <c r="V3962" i="34"/>
  <c r="W3962" i="34"/>
  <c r="Y3962" i="34"/>
  <c r="AB3962" i="34"/>
  <c r="AC3962" i="34"/>
  <c r="AD3962" i="34"/>
  <c r="P3963" i="34"/>
  <c r="T3963" i="34"/>
  <c r="U3963" i="34"/>
  <c r="V3963" i="34"/>
  <c r="W3963" i="34"/>
  <c r="Y3963" i="34"/>
  <c r="AB3963" i="34"/>
  <c r="AC3963" i="34"/>
  <c r="AD3963" i="34"/>
  <c r="P3967" i="34"/>
  <c r="T3967" i="34"/>
  <c r="U3967" i="34"/>
  <c r="V3967" i="34"/>
  <c r="W3967" i="34"/>
  <c r="Y3967" i="34"/>
  <c r="AB3967" i="34"/>
  <c r="AC3967" i="34"/>
  <c r="AD3967" i="34"/>
  <c r="P3973" i="34"/>
  <c r="T3973" i="34"/>
  <c r="U3973" i="34"/>
  <c r="V3973" i="34"/>
  <c r="W3973" i="34"/>
  <c r="Y3973" i="34"/>
  <c r="AB3973" i="34"/>
  <c r="AC3973" i="34"/>
  <c r="AD3973" i="34"/>
  <c r="P3974" i="34"/>
  <c r="T3974" i="34"/>
  <c r="U3974" i="34"/>
  <c r="V3974" i="34"/>
  <c r="W3974" i="34"/>
  <c r="Y3974" i="34"/>
  <c r="AB3974" i="34"/>
  <c r="AC3974" i="34"/>
  <c r="AD3974" i="34"/>
  <c r="P3975" i="34"/>
  <c r="T3975" i="34"/>
  <c r="U3975" i="34"/>
  <c r="V3975" i="34"/>
  <c r="W3975" i="34"/>
  <c r="Y3975" i="34"/>
  <c r="AB3975" i="34"/>
  <c r="AC3975" i="34"/>
  <c r="AD3975" i="34"/>
  <c r="P3976" i="34"/>
  <c r="T3976" i="34"/>
  <c r="U3976" i="34"/>
  <c r="V3976" i="34"/>
  <c r="W3976" i="34"/>
  <c r="Y3976" i="34"/>
  <c r="AB3976" i="34"/>
  <c r="AC3976" i="34"/>
  <c r="AD3976" i="34"/>
  <c r="P3977" i="34"/>
  <c r="T3977" i="34"/>
  <c r="U3977" i="34"/>
  <c r="V3977" i="34"/>
  <c r="W3977" i="34"/>
  <c r="Y3977" i="34"/>
  <c r="AB3977" i="34"/>
  <c r="AC3977" i="34"/>
  <c r="AD3977" i="34"/>
  <c r="P3978" i="34"/>
  <c r="T3978" i="34"/>
  <c r="U3978" i="34"/>
  <c r="V3978" i="34"/>
  <c r="W3978" i="34"/>
  <c r="Y3978" i="34"/>
  <c r="AB3978" i="34"/>
  <c r="AC3978" i="34"/>
  <c r="AD3978" i="34"/>
  <c r="P3979" i="34"/>
  <c r="T3979" i="34"/>
  <c r="U3979" i="34"/>
  <c r="V3979" i="34"/>
  <c r="W3979" i="34"/>
  <c r="Y3979" i="34"/>
  <c r="AB3979" i="34"/>
  <c r="AC3979" i="34"/>
  <c r="AD3979" i="34"/>
  <c r="P3980" i="34"/>
  <c r="T3980" i="34"/>
  <c r="U3980" i="34"/>
  <c r="V3980" i="34"/>
  <c r="W3980" i="34"/>
  <c r="Y3980" i="34"/>
  <c r="AB3980" i="34"/>
  <c r="AC3980" i="34"/>
  <c r="AD3980" i="34"/>
  <c r="P3981" i="34"/>
  <c r="T3981" i="34"/>
  <c r="U3981" i="34"/>
  <c r="V3981" i="34"/>
  <c r="W3981" i="34"/>
  <c r="Y3981" i="34"/>
  <c r="AB3981" i="34"/>
  <c r="AC3981" i="34"/>
  <c r="AD3981" i="34"/>
  <c r="P3988" i="34"/>
  <c r="T3988" i="34"/>
  <c r="U3988" i="34"/>
  <c r="V3988" i="34"/>
  <c r="W3988" i="34"/>
  <c r="Y3988" i="34"/>
  <c r="AB3988" i="34"/>
  <c r="AC3988" i="34"/>
  <c r="AD3988" i="34"/>
  <c r="P3989" i="34"/>
  <c r="T3989" i="34"/>
  <c r="U3989" i="34"/>
  <c r="V3989" i="34"/>
  <c r="W3989" i="34"/>
  <c r="Y3989" i="34"/>
  <c r="AB3989" i="34"/>
  <c r="AC3989" i="34"/>
  <c r="AD3989" i="34"/>
  <c r="P3990" i="34"/>
  <c r="T3990" i="34"/>
  <c r="U3990" i="34"/>
  <c r="V3990" i="34"/>
  <c r="W3990" i="34"/>
  <c r="Y3990" i="34"/>
  <c r="AB3990" i="34"/>
  <c r="AC3990" i="34"/>
  <c r="AD3990" i="34"/>
  <c r="P3996" i="34"/>
  <c r="T3996" i="34"/>
  <c r="U3996" i="34"/>
  <c r="V3996" i="34"/>
  <c r="W3996" i="34"/>
  <c r="Y3996" i="34"/>
  <c r="AB3996" i="34"/>
  <c r="AC3996" i="34"/>
  <c r="AD3996" i="34"/>
  <c r="P4022" i="34"/>
  <c r="T4022" i="34"/>
  <c r="U4022" i="34"/>
  <c r="V4022" i="34"/>
  <c r="W4022" i="34"/>
  <c r="Y4022" i="34"/>
  <c r="AB4022" i="34"/>
  <c r="AC4022" i="34"/>
  <c r="AD4022" i="34"/>
  <c r="P4023" i="34"/>
  <c r="T4023" i="34"/>
  <c r="U4023" i="34"/>
  <c r="V4023" i="34"/>
  <c r="W4023" i="34"/>
  <c r="Y4023" i="34"/>
  <c r="AB4023" i="34"/>
  <c r="AC4023" i="34"/>
  <c r="AD4023" i="34"/>
  <c r="P4024" i="34"/>
  <c r="T4024" i="34"/>
  <c r="U4024" i="34"/>
  <c r="V4024" i="34"/>
  <c r="W4024" i="34"/>
  <c r="Y4024" i="34"/>
  <c r="AB4024" i="34"/>
  <c r="AC4024" i="34"/>
  <c r="AD4024" i="34"/>
  <c r="P4025" i="34"/>
  <c r="T4025" i="34"/>
  <c r="U4025" i="34"/>
  <c r="V4025" i="34"/>
  <c r="W4025" i="34"/>
  <c r="Y4025" i="34"/>
  <c r="AB4025" i="34"/>
  <c r="AC4025" i="34"/>
  <c r="AD4025" i="34"/>
  <c r="P4026" i="34"/>
  <c r="T4026" i="34"/>
  <c r="U4026" i="34"/>
  <c r="V4026" i="34"/>
  <c r="W4026" i="34"/>
  <c r="Y4026" i="34"/>
  <c r="AB4026" i="34"/>
  <c r="AC4026" i="34"/>
  <c r="AD4026" i="34"/>
  <c r="P4027" i="34"/>
  <c r="T4027" i="34"/>
  <c r="U4027" i="34"/>
  <c r="V4027" i="34"/>
  <c r="W4027" i="34"/>
  <c r="Y4027" i="34"/>
  <c r="AB4027" i="34"/>
  <c r="AC4027" i="34"/>
  <c r="AD4027" i="34"/>
  <c r="P4028" i="34"/>
  <c r="T4028" i="34"/>
  <c r="U4028" i="34"/>
  <c r="V4028" i="34"/>
  <c r="W4028" i="34"/>
  <c r="Y4028" i="34"/>
  <c r="AB4028" i="34"/>
  <c r="AC4028" i="34"/>
  <c r="AD4028" i="34"/>
  <c r="P4190" i="34"/>
  <c r="T4190" i="34"/>
  <c r="U4190" i="34"/>
  <c r="V4190" i="34"/>
  <c r="W4190" i="34"/>
  <c r="Y4190" i="34"/>
  <c r="AB4190" i="34"/>
  <c r="AC4190" i="34"/>
  <c r="AD4190" i="34"/>
  <c r="P4030" i="34"/>
  <c r="T4030" i="34"/>
  <c r="U4030" i="34"/>
  <c r="V4030" i="34"/>
  <c r="W4030" i="34"/>
  <c r="Y4030" i="34"/>
  <c r="AB4030" i="34"/>
  <c r="AC4030" i="34"/>
  <c r="AD4030" i="34"/>
  <c r="P4031" i="34"/>
  <c r="T4031" i="34"/>
  <c r="U4031" i="34"/>
  <c r="V4031" i="34"/>
  <c r="W4031" i="34"/>
  <c r="Y4031" i="34"/>
  <c r="AB4031" i="34"/>
  <c r="AC4031" i="34"/>
  <c r="AD4031" i="34"/>
  <c r="P4036" i="34"/>
  <c r="T4036" i="34"/>
  <c r="U4036" i="34"/>
  <c r="V4036" i="34"/>
  <c r="W4036" i="34"/>
  <c r="Y4036" i="34"/>
  <c r="AB4036" i="34"/>
  <c r="AC4036" i="34"/>
  <c r="AD4036" i="34"/>
  <c r="P4037" i="34"/>
  <c r="T4037" i="34"/>
  <c r="U4037" i="34"/>
  <c r="V4037" i="34"/>
  <c r="W4037" i="34"/>
  <c r="Y4037" i="34"/>
  <c r="AB4037" i="34"/>
  <c r="AC4037" i="34"/>
  <c r="AD4037" i="34"/>
  <c r="P4044" i="34"/>
  <c r="T4044" i="34"/>
  <c r="U4044" i="34"/>
  <c r="V4044" i="34"/>
  <c r="W4044" i="34"/>
  <c r="Y4044" i="34"/>
  <c r="AB4044" i="34"/>
  <c r="AC4044" i="34"/>
  <c r="AD4044" i="34"/>
  <c r="P4045" i="34"/>
  <c r="T4045" i="34"/>
  <c r="U4045" i="34"/>
  <c r="V4045" i="34"/>
  <c r="W4045" i="34"/>
  <c r="Y4045" i="34"/>
  <c r="AB4045" i="34"/>
  <c r="AC4045" i="34"/>
  <c r="AD4045" i="34"/>
  <c r="P4046" i="34"/>
  <c r="T4046" i="34"/>
  <c r="U4046" i="34"/>
  <c r="V4046" i="34"/>
  <c r="W4046" i="34"/>
  <c r="Y4046" i="34"/>
  <c r="AB4046" i="34"/>
  <c r="AC4046" i="34"/>
  <c r="AD4046" i="34"/>
  <c r="P4047" i="34"/>
  <c r="T4047" i="34"/>
  <c r="U4047" i="34"/>
  <c r="V4047" i="34"/>
  <c r="W4047" i="34"/>
  <c r="Y4047" i="34"/>
  <c r="AB4047" i="34"/>
  <c r="AC4047" i="34"/>
  <c r="AD4047" i="34"/>
  <c r="P4048" i="34"/>
  <c r="T4048" i="34"/>
  <c r="U4048" i="34"/>
  <c r="V4048" i="34"/>
  <c r="W4048" i="34"/>
  <c r="Y4048" i="34"/>
  <c r="AB4048" i="34"/>
  <c r="AC4048" i="34"/>
  <c r="AD4048" i="34"/>
  <c r="P4050" i="34"/>
  <c r="T4050" i="34"/>
  <c r="U4050" i="34"/>
  <c r="V4050" i="34"/>
  <c r="W4050" i="34"/>
  <c r="Y4050" i="34"/>
  <c r="AB4050" i="34"/>
  <c r="AC4050" i="34"/>
  <c r="AD4050" i="34"/>
  <c r="P4051" i="34"/>
  <c r="T4051" i="34"/>
  <c r="U4051" i="34"/>
  <c r="V4051" i="34"/>
  <c r="W4051" i="34"/>
  <c r="Y4051" i="34"/>
  <c r="AB4051" i="34"/>
  <c r="AC4051" i="34"/>
  <c r="AD4051" i="34"/>
  <c r="P4052" i="34"/>
  <c r="T4052" i="34"/>
  <c r="U4052" i="34"/>
  <c r="V4052" i="34"/>
  <c r="W4052" i="34"/>
  <c r="Y4052" i="34"/>
  <c r="AB4052" i="34"/>
  <c r="AC4052" i="34"/>
  <c r="AD4052" i="34"/>
  <c r="P4053" i="34"/>
  <c r="T4053" i="34"/>
  <c r="U4053" i="34"/>
  <c r="V4053" i="34"/>
  <c r="W4053" i="34"/>
  <c r="Y4053" i="34"/>
  <c r="AB4053" i="34"/>
  <c r="AC4053" i="34"/>
  <c r="AD4053" i="34"/>
  <c r="P4054" i="34"/>
  <c r="T4054" i="34"/>
  <c r="U4054" i="34"/>
  <c r="V4054" i="34"/>
  <c r="W4054" i="34"/>
  <c r="Y4054" i="34"/>
  <c r="AB4054" i="34"/>
  <c r="AC4054" i="34"/>
  <c r="AD4054" i="34"/>
  <c r="P4055" i="34"/>
  <c r="T4055" i="34"/>
  <c r="U4055" i="34"/>
  <c r="V4055" i="34"/>
  <c r="W4055" i="34"/>
  <c r="Y4055" i="34"/>
  <c r="AB4055" i="34"/>
  <c r="AC4055" i="34"/>
  <c r="AD4055" i="34"/>
  <c r="P4056" i="34"/>
  <c r="T4056" i="34"/>
  <c r="U4056" i="34"/>
  <c r="V4056" i="34"/>
  <c r="W4056" i="34"/>
  <c r="Y4056" i="34"/>
  <c r="AB4056" i="34"/>
  <c r="AC4056" i="34"/>
  <c r="AD4056" i="34"/>
  <c r="P4068" i="34"/>
  <c r="T4068" i="34"/>
  <c r="U4068" i="34"/>
  <c r="V4068" i="34"/>
  <c r="W4068" i="34"/>
  <c r="Y4068" i="34"/>
  <c r="AB4068" i="34"/>
  <c r="AC4068" i="34"/>
  <c r="AD4068" i="34"/>
  <c r="P4069" i="34"/>
  <c r="T4069" i="34"/>
  <c r="U4069" i="34"/>
  <c r="V4069" i="34"/>
  <c r="W4069" i="34"/>
  <c r="Y4069" i="34"/>
  <c r="AB4069" i="34"/>
  <c r="AC4069" i="34"/>
  <c r="AD4069" i="34"/>
  <c r="P4070" i="34"/>
  <c r="T4070" i="34"/>
  <c r="U4070" i="34"/>
  <c r="V4070" i="34"/>
  <c r="W4070" i="34"/>
  <c r="Y4070" i="34"/>
  <c r="AB4070" i="34"/>
  <c r="AC4070" i="34"/>
  <c r="AD4070" i="34"/>
  <c r="P3738" i="34"/>
  <c r="T3738" i="34"/>
  <c r="U3738" i="34"/>
  <c r="V3738" i="34"/>
  <c r="W3738" i="34"/>
  <c r="Y3738" i="34"/>
  <c r="AB3738" i="34"/>
  <c r="AC3738" i="34"/>
  <c r="AD3738" i="34"/>
  <c r="P3739" i="34"/>
  <c r="T3739" i="34"/>
  <c r="U3739" i="34"/>
  <c r="V3739" i="34"/>
  <c r="W3739" i="34"/>
  <c r="Y3739" i="34"/>
  <c r="AB3739" i="34"/>
  <c r="AC3739" i="34"/>
  <c r="AD3739" i="34"/>
  <c r="P3740" i="34"/>
  <c r="T3740" i="34"/>
  <c r="U3740" i="34"/>
  <c r="V3740" i="34"/>
  <c r="W3740" i="34"/>
  <c r="Y3740" i="34"/>
  <c r="AB3740" i="34"/>
  <c r="AC3740" i="34"/>
  <c r="AD3740" i="34"/>
  <c r="P4071" i="34"/>
  <c r="T4071" i="34"/>
  <c r="U4071" i="34"/>
  <c r="V4071" i="34"/>
  <c r="W4071" i="34"/>
  <c r="Y4071" i="34"/>
  <c r="AB4071" i="34"/>
  <c r="AC4071" i="34"/>
  <c r="AD4071" i="34"/>
  <c r="P4072" i="34"/>
  <c r="T4072" i="34"/>
  <c r="U4072" i="34"/>
  <c r="V4072" i="34"/>
  <c r="W4072" i="34"/>
  <c r="Y4072" i="34"/>
  <c r="AB4072" i="34"/>
  <c r="AC4072" i="34"/>
  <c r="AD4072" i="34"/>
  <c r="P4073" i="34"/>
  <c r="T4073" i="34"/>
  <c r="U4073" i="34"/>
  <c r="V4073" i="34"/>
  <c r="W4073" i="34"/>
  <c r="Y4073" i="34"/>
  <c r="AB4073" i="34"/>
  <c r="AC4073" i="34"/>
  <c r="AD4073" i="34"/>
  <c r="P4067" i="34"/>
  <c r="T4067" i="34"/>
  <c r="U4067" i="34"/>
  <c r="V4067" i="34"/>
  <c r="W4067" i="34"/>
  <c r="Y4067" i="34"/>
  <c r="AB4067" i="34"/>
  <c r="AC4067" i="34"/>
  <c r="AD4067" i="34"/>
  <c r="P4076" i="34"/>
  <c r="T4076" i="34"/>
  <c r="U4076" i="34"/>
  <c r="V4076" i="34"/>
  <c r="W4076" i="34"/>
  <c r="Y4076" i="34"/>
  <c r="AB4076" i="34"/>
  <c r="AC4076" i="34"/>
  <c r="AD4076" i="34"/>
  <c r="P4077" i="34"/>
  <c r="T4077" i="34"/>
  <c r="U4077" i="34"/>
  <c r="V4077" i="34"/>
  <c r="W4077" i="34"/>
  <c r="Y4077" i="34"/>
  <c r="AB4077" i="34"/>
  <c r="AC4077" i="34"/>
  <c r="AD4077" i="34"/>
  <c r="P4078" i="34"/>
  <c r="T4078" i="34"/>
  <c r="U4078" i="34"/>
  <c r="V4078" i="34"/>
  <c r="W4078" i="34"/>
  <c r="Y4078" i="34"/>
  <c r="AB4078" i="34"/>
  <c r="AC4078" i="34"/>
  <c r="AD4078" i="34"/>
  <c r="P4084" i="34"/>
  <c r="T4084" i="34"/>
  <c r="U4084" i="34"/>
  <c r="V4084" i="34"/>
  <c r="W4084" i="34"/>
  <c r="Y4084" i="34"/>
  <c r="AB4084" i="34"/>
  <c r="AC4084" i="34"/>
  <c r="AD4084" i="34"/>
  <c r="P4089" i="34"/>
  <c r="T4089" i="34"/>
  <c r="U4089" i="34"/>
  <c r="V4089" i="34"/>
  <c r="W4089" i="34"/>
  <c r="Y4089" i="34"/>
  <c r="AB4089" i="34"/>
  <c r="AC4089" i="34"/>
  <c r="AD4089" i="34"/>
  <c r="P4090" i="34"/>
  <c r="T4090" i="34"/>
  <c r="U4090" i="34"/>
  <c r="V4090" i="34"/>
  <c r="W4090" i="34"/>
  <c r="Y4090" i="34"/>
  <c r="AB4090" i="34"/>
  <c r="AC4090" i="34"/>
  <c r="AD4090" i="34"/>
  <c r="P4091" i="34"/>
  <c r="T4091" i="34"/>
  <c r="U4091" i="34"/>
  <c r="V4091" i="34"/>
  <c r="W4091" i="34"/>
  <c r="Y4091" i="34"/>
  <c r="AB4091" i="34"/>
  <c r="AC4091" i="34"/>
  <c r="AD4091" i="34"/>
  <c r="P4092" i="34"/>
  <c r="T4092" i="34"/>
  <c r="U4092" i="34"/>
  <c r="V4092" i="34"/>
  <c r="W4092" i="34"/>
  <c r="Y4092" i="34"/>
  <c r="AB4092" i="34"/>
  <c r="AC4092" i="34"/>
  <c r="AD4092" i="34"/>
  <c r="P4093" i="34"/>
  <c r="T4093" i="34"/>
  <c r="U4093" i="34"/>
  <c r="V4093" i="34"/>
  <c r="W4093" i="34"/>
  <c r="Y4093" i="34"/>
  <c r="AB4093" i="34"/>
  <c r="AC4093" i="34"/>
  <c r="AD4093" i="34"/>
  <c r="P4094" i="34"/>
  <c r="T4094" i="34"/>
  <c r="U4094" i="34"/>
  <c r="V4094" i="34"/>
  <c r="W4094" i="34"/>
  <c r="Y4094" i="34"/>
  <c r="AB4094" i="34"/>
  <c r="AC4094" i="34"/>
  <c r="AD4094" i="34"/>
  <c r="P4095" i="34"/>
  <c r="T4095" i="34"/>
  <c r="U4095" i="34"/>
  <c r="V4095" i="34"/>
  <c r="W4095" i="34"/>
  <c r="Y4095" i="34"/>
  <c r="AB4095" i="34"/>
  <c r="AC4095" i="34"/>
  <c r="AD4095" i="34"/>
  <c r="P4096" i="34"/>
  <c r="T4096" i="34"/>
  <c r="U4096" i="34"/>
  <c r="V4096" i="34"/>
  <c r="W4096" i="34"/>
  <c r="Y4096" i="34"/>
  <c r="AB4096" i="34"/>
  <c r="AC4096" i="34"/>
  <c r="AD4096" i="34"/>
  <c r="P4097" i="34"/>
  <c r="T4097" i="34"/>
  <c r="U4097" i="34"/>
  <c r="V4097" i="34"/>
  <c r="W4097" i="34"/>
  <c r="Y4097" i="34"/>
  <c r="AB4097" i="34"/>
  <c r="AC4097" i="34"/>
  <c r="AD4097" i="34"/>
  <c r="P4101" i="34"/>
  <c r="T4101" i="34"/>
  <c r="U4101" i="34"/>
  <c r="V4101" i="34"/>
  <c r="W4101" i="34"/>
  <c r="Y4101" i="34"/>
  <c r="AB4101" i="34"/>
  <c r="AC4101" i="34"/>
  <c r="AD4101" i="34"/>
  <c r="P4102" i="34"/>
  <c r="T4102" i="34"/>
  <c r="U4102" i="34"/>
  <c r="V4102" i="34"/>
  <c r="W4102" i="34"/>
  <c r="Y4102" i="34"/>
  <c r="AB4102" i="34"/>
  <c r="AC4102" i="34"/>
  <c r="AD4102" i="34"/>
  <c r="P4103" i="34"/>
  <c r="T4103" i="34"/>
  <c r="U4103" i="34"/>
  <c r="V4103" i="34"/>
  <c r="W4103" i="34"/>
  <c r="Y4103" i="34"/>
  <c r="AB4103" i="34"/>
  <c r="AC4103" i="34"/>
  <c r="AD4103" i="34"/>
  <c r="P4098" i="34"/>
  <c r="T4098" i="34"/>
  <c r="U4098" i="34"/>
  <c r="V4098" i="34"/>
  <c r="W4098" i="34"/>
  <c r="Y4098" i="34"/>
  <c r="AB4098" i="34"/>
  <c r="AC4098" i="34"/>
  <c r="AD4098" i="34"/>
  <c r="P4099" i="34"/>
  <c r="T4099" i="34"/>
  <c r="U4099" i="34"/>
  <c r="V4099" i="34"/>
  <c r="W4099" i="34"/>
  <c r="Y4099" i="34"/>
  <c r="AB4099" i="34"/>
  <c r="AC4099" i="34"/>
  <c r="AD4099" i="34"/>
  <c r="P4100" i="34"/>
  <c r="T4100" i="34"/>
  <c r="U4100" i="34"/>
  <c r="V4100" i="34"/>
  <c r="W4100" i="34"/>
  <c r="Y4100" i="34"/>
  <c r="AB4100" i="34"/>
  <c r="AC4100" i="34"/>
  <c r="AD4100" i="34"/>
  <c r="P4085" i="34"/>
  <c r="T4085" i="34"/>
  <c r="U4085" i="34"/>
  <c r="V4085" i="34"/>
  <c r="W4085" i="34"/>
  <c r="Y4085" i="34"/>
  <c r="AB4085" i="34"/>
  <c r="AC4085" i="34"/>
  <c r="AD4085" i="34"/>
  <c r="P4086" i="34"/>
  <c r="T4086" i="34"/>
  <c r="U4086" i="34"/>
  <c r="V4086" i="34"/>
  <c r="W4086" i="34"/>
  <c r="Y4086" i="34"/>
  <c r="AB4086" i="34"/>
  <c r="AC4086" i="34"/>
  <c r="AD4086" i="34"/>
  <c r="P4087" i="34"/>
  <c r="T4087" i="34"/>
  <c r="U4087" i="34"/>
  <c r="V4087" i="34"/>
  <c r="W4087" i="34"/>
  <c r="Y4087" i="34"/>
  <c r="AB4087" i="34"/>
  <c r="AC4087" i="34"/>
  <c r="AD4087" i="34"/>
  <c r="P4088" i="34"/>
  <c r="T4088" i="34"/>
  <c r="U4088" i="34"/>
  <c r="V4088" i="34"/>
  <c r="W4088" i="34"/>
  <c r="Y4088" i="34"/>
  <c r="AB4088" i="34"/>
  <c r="AC4088" i="34"/>
  <c r="AD4088" i="34"/>
  <c r="P4112" i="34"/>
  <c r="T4112" i="34"/>
  <c r="U4112" i="34"/>
  <c r="V4112" i="34"/>
  <c r="W4112" i="34"/>
  <c r="Y4112" i="34"/>
  <c r="AB4112" i="34"/>
  <c r="AC4112" i="34"/>
  <c r="AD4112" i="34"/>
  <c r="P4113" i="34"/>
  <c r="T4113" i="34"/>
  <c r="U4113" i="34"/>
  <c r="V4113" i="34"/>
  <c r="W4113" i="34"/>
  <c r="Y4113" i="34"/>
  <c r="AB4113" i="34"/>
  <c r="AC4113" i="34"/>
  <c r="AD4113" i="34"/>
  <c r="P4114" i="34"/>
  <c r="T4114" i="34"/>
  <c r="U4114" i="34"/>
  <c r="V4114" i="34"/>
  <c r="W4114" i="34"/>
  <c r="Y4114" i="34"/>
  <c r="AB4114" i="34"/>
  <c r="AC4114" i="34"/>
  <c r="AD4114" i="34"/>
  <c r="P4130" i="34"/>
  <c r="T4130" i="34"/>
  <c r="U4130" i="34"/>
  <c r="V4130" i="34"/>
  <c r="W4130" i="34"/>
  <c r="Y4130" i="34"/>
  <c r="AB4130" i="34"/>
  <c r="AC4130" i="34"/>
  <c r="AD4130" i="34"/>
  <c r="P4135" i="34"/>
  <c r="T4135" i="34"/>
  <c r="U4135" i="34"/>
  <c r="V4135" i="34"/>
  <c r="W4135" i="34"/>
  <c r="Y4135" i="34"/>
  <c r="AB4135" i="34"/>
  <c r="AC4135" i="34"/>
  <c r="AD4135" i="34"/>
  <c r="P4136" i="34"/>
  <c r="T4136" i="34"/>
  <c r="U4136" i="34"/>
  <c r="V4136" i="34"/>
  <c r="W4136" i="34"/>
  <c r="Y4136" i="34"/>
  <c r="AB4136" i="34"/>
  <c r="AC4136" i="34"/>
  <c r="AD4136" i="34"/>
  <c r="P4137" i="34"/>
  <c r="T4137" i="34"/>
  <c r="U4137" i="34"/>
  <c r="V4137" i="34"/>
  <c r="W4137" i="34"/>
  <c r="Y4137" i="34"/>
  <c r="AB4137" i="34"/>
  <c r="AC4137" i="34"/>
  <c r="AD4137" i="34"/>
  <c r="P4140" i="34"/>
  <c r="T4140" i="34"/>
  <c r="U4140" i="34"/>
  <c r="V4140" i="34"/>
  <c r="W4140" i="34"/>
  <c r="Y4140" i="34"/>
  <c r="AB4140" i="34"/>
  <c r="AC4140" i="34"/>
  <c r="AD4140" i="34"/>
  <c r="P4141" i="34"/>
  <c r="T4141" i="34"/>
  <c r="U4141" i="34"/>
  <c r="V4141" i="34"/>
  <c r="W4141" i="34"/>
  <c r="Y4141" i="34"/>
  <c r="AB4141" i="34"/>
  <c r="AC4141" i="34"/>
  <c r="AD4141" i="34"/>
  <c r="P4142" i="34"/>
  <c r="T4142" i="34"/>
  <c r="U4142" i="34"/>
  <c r="V4142" i="34"/>
  <c r="W4142" i="34"/>
  <c r="Y4142" i="34"/>
  <c r="AB4142" i="34"/>
  <c r="AC4142" i="34"/>
  <c r="AD4142" i="34"/>
  <c r="P4143" i="34"/>
  <c r="T4143" i="34"/>
  <c r="U4143" i="34"/>
  <c r="V4143" i="34"/>
  <c r="W4143" i="34"/>
  <c r="Y4143" i="34"/>
  <c r="AB4143" i="34"/>
  <c r="AC4143" i="34"/>
  <c r="AD4143" i="34"/>
  <c r="P4144" i="34"/>
  <c r="T4144" i="34"/>
  <c r="U4144" i="34"/>
  <c r="V4144" i="34"/>
  <c r="W4144" i="34"/>
  <c r="Y4144" i="34"/>
  <c r="AB4144" i="34"/>
  <c r="AC4144" i="34"/>
  <c r="AD4144" i="34"/>
  <c r="P4145" i="34"/>
  <c r="T4145" i="34"/>
  <c r="U4145" i="34"/>
  <c r="V4145" i="34"/>
  <c r="W4145" i="34"/>
  <c r="Y4145" i="34"/>
  <c r="AB4145" i="34"/>
  <c r="AC4145" i="34"/>
  <c r="AD4145" i="34"/>
  <c r="P4153" i="34"/>
  <c r="T4153" i="34"/>
  <c r="U4153" i="34"/>
  <c r="V4153" i="34"/>
  <c r="W4153" i="34"/>
  <c r="Y4153" i="34"/>
  <c r="AB4153" i="34"/>
  <c r="AC4153" i="34"/>
  <c r="AD4153" i="34"/>
  <c r="P4154" i="34"/>
  <c r="T4154" i="34"/>
  <c r="U4154" i="34"/>
  <c r="V4154" i="34"/>
  <c r="W4154" i="34"/>
  <c r="Y4154" i="34"/>
  <c r="AB4154" i="34"/>
  <c r="AC4154" i="34"/>
  <c r="AD4154" i="34"/>
  <c r="P4155" i="34"/>
  <c r="T4155" i="34"/>
  <c r="U4155" i="34"/>
  <c r="V4155" i="34"/>
  <c r="W4155" i="34"/>
  <c r="Y4155" i="34"/>
  <c r="AB4155" i="34"/>
  <c r="AC4155" i="34"/>
  <c r="AD4155" i="34"/>
  <c r="P4156" i="34"/>
  <c r="T4156" i="34"/>
  <c r="U4156" i="34"/>
  <c r="V4156" i="34"/>
  <c r="W4156" i="34"/>
  <c r="Y4156" i="34"/>
  <c r="AB4156" i="34"/>
  <c r="AC4156" i="34"/>
  <c r="AD4156" i="34"/>
  <c r="P4157" i="34"/>
  <c r="T4157" i="34"/>
  <c r="U4157" i="34"/>
  <c r="V4157" i="34"/>
  <c r="W4157" i="34"/>
  <c r="Y4157" i="34"/>
  <c r="AB4157" i="34"/>
  <c r="AC4157" i="34"/>
  <c r="AD4157" i="34"/>
  <c r="P4161" i="34"/>
  <c r="T4161" i="34"/>
  <c r="U4161" i="34"/>
  <c r="V4161" i="34"/>
  <c r="W4161" i="34"/>
  <c r="Y4161" i="34"/>
  <c r="AB4161" i="34"/>
  <c r="AC4161" i="34"/>
  <c r="AD4161" i="34"/>
  <c r="P4175" i="34"/>
  <c r="T4175" i="34"/>
  <c r="U4175" i="34"/>
  <c r="V4175" i="34"/>
  <c r="W4175" i="34"/>
  <c r="Y4175" i="34"/>
  <c r="AB4175" i="34"/>
  <c r="AC4175" i="34"/>
  <c r="AD4175" i="34"/>
  <c r="P4176" i="34"/>
  <c r="T4176" i="34"/>
  <c r="U4176" i="34"/>
  <c r="V4176" i="34"/>
  <c r="W4176" i="34"/>
  <c r="Y4176" i="34"/>
  <c r="AB4176" i="34"/>
  <c r="AC4176" i="34"/>
  <c r="AD4176" i="34"/>
  <c r="P4184" i="34"/>
  <c r="T4184" i="34"/>
  <c r="U4184" i="34"/>
  <c r="V4184" i="34"/>
  <c r="W4184" i="34"/>
  <c r="Y4184" i="34"/>
  <c r="AB4184" i="34"/>
  <c r="AC4184" i="34"/>
  <c r="AD4184" i="34"/>
  <c r="P4185" i="34"/>
  <c r="T4185" i="34"/>
  <c r="U4185" i="34"/>
  <c r="V4185" i="34"/>
  <c r="W4185" i="34"/>
  <c r="Y4185" i="34"/>
  <c r="AB4185" i="34"/>
  <c r="AC4185" i="34"/>
  <c r="AD4185" i="34"/>
  <c r="P4186" i="34"/>
  <c r="T4186" i="34"/>
  <c r="U4186" i="34"/>
  <c r="V4186" i="34"/>
  <c r="W4186" i="34"/>
  <c r="Y4186" i="34"/>
  <c r="AB4186" i="34"/>
  <c r="AC4186" i="34"/>
  <c r="AD4186" i="34"/>
  <c r="P4187" i="34"/>
  <c r="T4187" i="34"/>
  <c r="U4187" i="34"/>
  <c r="V4187" i="34"/>
  <c r="W4187" i="34"/>
  <c r="Y4187" i="34"/>
  <c r="AB4187" i="34"/>
  <c r="AC4187" i="34"/>
  <c r="AD4187" i="34"/>
  <c r="P4191" i="34"/>
  <c r="T4191" i="34"/>
  <c r="U4191" i="34"/>
  <c r="V4191" i="34"/>
  <c r="W4191" i="34"/>
  <c r="Y4191" i="34"/>
  <c r="AB4191" i="34"/>
  <c r="AC4191" i="34"/>
  <c r="AD4191" i="34"/>
  <c r="P4194" i="34"/>
  <c r="T4194" i="34"/>
  <c r="U4194" i="34"/>
  <c r="V4194" i="34"/>
  <c r="W4194" i="34"/>
  <c r="Y4194" i="34"/>
  <c r="AB4194" i="34"/>
  <c r="AC4194" i="34"/>
  <c r="AD4194" i="34"/>
  <c r="P4195" i="34"/>
  <c r="T4195" i="34"/>
  <c r="U4195" i="34"/>
  <c r="V4195" i="34"/>
  <c r="W4195" i="34"/>
  <c r="Y4195" i="34"/>
  <c r="AB4195" i="34"/>
  <c r="AC4195" i="34"/>
  <c r="AD4195" i="34"/>
  <c r="P4196" i="34"/>
  <c r="T4196" i="34"/>
  <c r="U4196" i="34"/>
  <c r="V4196" i="34"/>
  <c r="W4196" i="34"/>
  <c r="Y4196" i="34"/>
  <c r="AB4196" i="34"/>
  <c r="AC4196" i="34"/>
  <c r="AD4196" i="34"/>
  <c r="P4199" i="34"/>
  <c r="T4199" i="34"/>
  <c r="U4199" i="34"/>
  <c r="V4199" i="34"/>
  <c r="W4199" i="34"/>
  <c r="Y4199" i="34"/>
  <c r="AB4199" i="34"/>
  <c r="AC4199" i="34"/>
  <c r="AD4199" i="34"/>
  <c r="P4200" i="34"/>
  <c r="T4200" i="34"/>
  <c r="U4200" i="34"/>
  <c r="V4200" i="34"/>
  <c r="W4200" i="34"/>
  <c r="Y4200" i="34"/>
  <c r="AB4200" i="34"/>
  <c r="AC4200" i="34"/>
  <c r="AD4200" i="34"/>
  <c r="P4206" i="34"/>
  <c r="T4206" i="34"/>
  <c r="U4206" i="34"/>
  <c r="V4206" i="34"/>
  <c r="W4206" i="34"/>
  <c r="Y4206" i="34"/>
  <c r="AB4206" i="34"/>
  <c r="AC4206" i="34"/>
  <c r="AD4206" i="34"/>
  <c r="P4211" i="34"/>
  <c r="T4211" i="34"/>
  <c r="U4211" i="34"/>
  <c r="V4211" i="34"/>
  <c r="W4211" i="34"/>
  <c r="Y4211" i="34"/>
  <c r="AB4211" i="34"/>
  <c r="AC4211" i="34"/>
  <c r="AD4211" i="34"/>
  <c r="P4212" i="34"/>
  <c r="T4212" i="34"/>
  <c r="U4212" i="34"/>
  <c r="V4212" i="34"/>
  <c r="W4212" i="34"/>
  <c r="Y4212" i="34"/>
  <c r="AB4212" i="34"/>
  <c r="AC4212" i="34"/>
  <c r="AD4212" i="34"/>
  <c r="P4213" i="34"/>
  <c r="T4213" i="34"/>
  <c r="U4213" i="34"/>
  <c r="V4213" i="34"/>
  <c r="W4213" i="34"/>
  <c r="Y4213" i="34"/>
  <c r="AB4213" i="34"/>
  <c r="AC4213" i="34"/>
  <c r="AD4213" i="34"/>
  <c r="P4214" i="34"/>
  <c r="T4214" i="34"/>
  <c r="U4214" i="34"/>
  <c r="V4214" i="34"/>
  <c r="W4214" i="34"/>
  <c r="Y4214" i="34"/>
  <c r="AB4214" i="34"/>
  <c r="AC4214" i="34"/>
  <c r="AD4214" i="34"/>
  <c r="P4215" i="34"/>
  <c r="T4215" i="34"/>
  <c r="U4215" i="34"/>
  <c r="V4215" i="34"/>
  <c r="W4215" i="34"/>
  <c r="Y4215" i="34"/>
  <c r="AB4215" i="34"/>
  <c r="AC4215" i="34"/>
  <c r="AD4215" i="34"/>
  <c r="P4216" i="34"/>
  <c r="T4216" i="34"/>
  <c r="U4216" i="34"/>
  <c r="V4216" i="34"/>
  <c r="W4216" i="34"/>
  <c r="Y4216" i="34"/>
  <c r="AB4216" i="34"/>
  <c r="AC4216" i="34"/>
  <c r="AD4216" i="34"/>
  <c r="P4217" i="34"/>
  <c r="T4217" i="34"/>
  <c r="U4217" i="34"/>
  <c r="V4217" i="34"/>
  <c r="W4217" i="34"/>
  <c r="Y4217" i="34"/>
  <c r="AB4217" i="34"/>
  <c r="AC4217" i="34"/>
  <c r="AD4217" i="34"/>
  <c r="P4218" i="34"/>
  <c r="T4218" i="34"/>
  <c r="U4218" i="34"/>
  <c r="V4218" i="34"/>
  <c r="W4218" i="34"/>
  <c r="Y4218" i="34"/>
  <c r="AB4218" i="34"/>
  <c r="AC4218" i="34"/>
  <c r="AD4218" i="34"/>
  <c r="P4219" i="34"/>
  <c r="T4219" i="34"/>
  <c r="U4219" i="34"/>
  <c r="V4219" i="34"/>
  <c r="W4219" i="34"/>
  <c r="Y4219" i="34"/>
  <c r="AB4219" i="34"/>
  <c r="AC4219" i="34"/>
  <c r="AD4219" i="34"/>
  <c r="P4220" i="34"/>
  <c r="T4220" i="34"/>
  <c r="U4220" i="34"/>
  <c r="V4220" i="34"/>
  <c r="W4220" i="34"/>
  <c r="Y4220" i="34"/>
  <c r="AB4220" i="34"/>
  <c r="AC4220" i="34"/>
  <c r="AD4220" i="34"/>
  <c r="P4221" i="34"/>
  <c r="T4221" i="34"/>
  <c r="U4221" i="34"/>
  <c r="V4221" i="34"/>
  <c r="W4221" i="34"/>
  <c r="Y4221" i="34"/>
  <c r="AB4221" i="34"/>
  <c r="AC4221" i="34"/>
  <c r="AD4221" i="34"/>
  <c r="P4228" i="34"/>
  <c r="T4228" i="34"/>
  <c r="U4228" i="34"/>
  <c r="V4228" i="34"/>
  <c r="W4228" i="34"/>
  <c r="Y4228" i="34"/>
  <c r="AB4228" i="34"/>
  <c r="AC4228" i="34"/>
  <c r="AD4228" i="34"/>
  <c r="P4108" i="34"/>
  <c r="T4108" i="34"/>
  <c r="U4108" i="34"/>
  <c r="V4108" i="34"/>
  <c r="W4108" i="34"/>
  <c r="Y4108" i="34"/>
  <c r="AB4108" i="34"/>
  <c r="AC4108" i="34"/>
  <c r="AD4108" i="34"/>
  <c r="P4109" i="34"/>
  <c r="T4109" i="34"/>
  <c r="U4109" i="34"/>
  <c r="V4109" i="34"/>
  <c r="W4109" i="34"/>
  <c r="Y4109" i="34"/>
  <c r="AB4109" i="34"/>
  <c r="AC4109" i="34"/>
  <c r="AD4109" i="34"/>
  <c r="P4110" i="34"/>
  <c r="T4110" i="34"/>
  <c r="U4110" i="34"/>
  <c r="V4110" i="34"/>
  <c r="W4110" i="34"/>
  <c r="Y4110" i="34"/>
  <c r="AB4110" i="34"/>
  <c r="AC4110" i="34"/>
  <c r="AD4110" i="34"/>
  <c r="P4111" i="34"/>
  <c r="T4111" i="34"/>
  <c r="U4111" i="34"/>
  <c r="V4111" i="34"/>
  <c r="W4111" i="34"/>
  <c r="Y4111" i="34"/>
  <c r="AB4111" i="34"/>
  <c r="AC4111" i="34"/>
  <c r="AD4111" i="34"/>
  <c r="P4235" i="34"/>
  <c r="T4235" i="34"/>
  <c r="U4235" i="34"/>
  <c r="V4235" i="34"/>
  <c r="W4235" i="34"/>
  <c r="Y4235" i="34"/>
  <c r="AB4235" i="34"/>
  <c r="AC4235" i="34"/>
  <c r="AD4235" i="34"/>
  <c r="P4236" i="34"/>
  <c r="T4236" i="34"/>
  <c r="U4236" i="34"/>
  <c r="V4236" i="34"/>
  <c r="W4236" i="34"/>
  <c r="Y4236" i="34"/>
  <c r="AB4236" i="34"/>
  <c r="AC4236" i="34"/>
  <c r="AD4236" i="34"/>
  <c r="P4237" i="34"/>
  <c r="T4237" i="34"/>
  <c r="U4237" i="34"/>
  <c r="V4237" i="34"/>
  <c r="W4237" i="34"/>
  <c r="Y4237" i="34"/>
  <c r="AB4237" i="34"/>
  <c r="AC4237" i="34"/>
  <c r="AD4237" i="34"/>
  <c r="P4238" i="34"/>
  <c r="T4238" i="34"/>
  <c r="U4238" i="34"/>
  <c r="V4238" i="34"/>
  <c r="W4238" i="34"/>
  <c r="Y4238" i="34"/>
  <c r="AB4238" i="34"/>
  <c r="AC4238" i="34"/>
  <c r="AD4238" i="34"/>
  <c r="P4239" i="34"/>
  <c r="T4239" i="34"/>
  <c r="U4239" i="34"/>
  <c r="V4239" i="34"/>
  <c r="W4239" i="34"/>
  <c r="Y4239" i="34"/>
  <c r="AB4239" i="34"/>
  <c r="AC4239" i="34"/>
  <c r="AD4239" i="34"/>
  <c r="P4240" i="34"/>
  <c r="T4240" i="34"/>
  <c r="U4240" i="34"/>
  <c r="V4240" i="34"/>
  <c r="W4240" i="34"/>
  <c r="Y4240" i="34"/>
  <c r="AB4240" i="34"/>
  <c r="AC4240" i="34"/>
  <c r="AD4240" i="34"/>
  <c r="P4241" i="34"/>
  <c r="T4241" i="34"/>
  <c r="U4241" i="34"/>
  <c r="V4241" i="34"/>
  <c r="W4241" i="34"/>
  <c r="Y4241" i="34"/>
  <c r="AB4241" i="34"/>
  <c r="AC4241" i="34"/>
  <c r="AD4241" i="34"/>
  <c r="P4242" i="34"/>
  <c r="T4242" i="34"/>
  <c r="U4242" i="34"/>
  <c r="V4242" i="34"/>
  <c r="W4242" i="34"/>
  <c r="Y4242" i="34"/>
  <c r="AB4242" i="34"/>
  <c r="AC4242" i="34"/>
  <c r="AD4242" i="34"/>
  <c r="P4243" i="34"/>
  <c r="T4243" i="34"/>
  <c r="U4243" i="34"/>
  <c r="V4243" i="34"/>
  <c r="W4243" i="34"/>
  <c r="Y4243" i="34"/>
  <c r="AB4243" i="34"/>
  <c r="AC4243" i="34"/>
  <c r="AD4243" i="34"/>
  <c r="P4244" i="34"/>
  <c r="T4244" i="34"/>
  <c r="U4244" i="34"/>
  <c r="V4244" i="34"/>
  <c r="W4244" i="34"/>
  <c r="Y4244" i="34"/>
  <c r="AB4244" i="34"/>
  <c r="AC4244" i="34"/>
  <c r="AD4244" i="34"/>
  <c r="P4151" i="34"/>
  <c r="T4151" i="34"/>
  <c r="U4151" i="34"/>
  <c r="V4151" i="34"/>
  <c r="W4151" i="34"/>
  <c r="Y4151" i="34"/>
  <c r="AB4151" i="34"/>
  <c r="AC4151" i="34"/>
  <c r="AD4151" i="34"/>
  <c r="P4152" i="34"/>
  <c r="T4152" i="34"/>
  <c r="U4152" i="34"/>
  <c r="V4152" i="34"/>
  <c r="W4152" i="34"/>
  <c r="Y4152" i="34"/>
  <c r="AB4152" i="34"/>
  <c r="AC4152" i="34"/>
  <c r="AD4152" i="34"/>
  <c r="P4159" i="34"/>
  <c r="T4159" i="34"/>
  <c r="U4159" i="34"/>
  <c r="V4159" i="34"/>
  <c r="W4159" i="34"/>
  <c r="Y4159" i="34"/>
  <c r="AB4159" i="34"/>
  <c r="AC4159" i="34"/>
  <c r="AD4159" i="34"/>
  <c r="P4160" i="34"/>
  <c r="T4160" i="34"/>
  <c r="U4160" i="34"/>
  <c r="V4160" i="34"/>
  <c r="W4160" i="34"/>
  <c r="Y4160" i="34"/>
  <c r="AB4160" i="34"/>
  <c r="AC4160" i="34"/>
  <c r="AD4160" i="34"/>
  <c r="P4246" i="34"/>
  <c r="T4246" i="34"/>
  <c r="U4246" i="34"/>
  <c r="V4246" i="34"/>
  <c r="W4246" i="34"/>
  <c r="Y4246" i="34"/>
  <c r="AB4246" i="34"/>
  <c r="AC4246" i="34"/>
  <c r="AD4246" i="34"/>
  <c r="P4247" i="34"/>
  <c r="T4247" i="34"/>
  <c r="U4247" i="34"/>
  <c r="V4247" i="34"/>
  <c r="W4247" i="34"/>
  <c r="Y4247" i="34"/>
  <c r="AB4247" i="34"/>
  <c r="AC4247" i="34"/>
  <c r="AD4247" i="34"/>
  <c r="P4250" i="34"/>
  <c r="T4250" i="34"/>
  <c r="U4250" i="34"/>
  <c r="V4250" i="34"/>
  <c r="W4250" i="34"/>
  <c r="Y4250" i="34"/>
  <c r="AB4250" i="34"/>
  <c r="AC4250" i="34"/>
  <c r="AD4250" i="34"/>
  <c r="P4251" i="34"/>
  <c r="T4251" i="34"/>
  <c r="U4251" i="34"/>
  <c r="V4251" i="34"/>
  <c r="W4251" i="34"/>
  <c r="Y4251" i="34"/>
  <c r="AB4251" i="34"/>
  <c r="AC4251" i="34"/>
  <c r="AD4251" i="34"/>
  <c r="P4252" i="34"/>
  <c r="T4252" i="34"/>
  <c r="U4252" i="34"/>
  <c r="V4252" i="34"/>
  <c r="W4252" i="34"/>
  <c r="Y4252" i="34"/>
  <c r="AB4252" i="34"/>
  <c r="AC4252" i="34"/>
  <c r="AD4252" i="34"/>
  <c r="P4197" i="34"/>
  <c r="T4197" i="34"/>
  <c r="U4197" i="34"/>
  <c r="V4197" i="34"/>
  <c r="W4197" i="34"/>
  <c r="Y4197" i="34"/>
  <c r="AB4197" i="34"/>
  <c r="AC4197" i="34"/>
  <c r="AD4197" i="34"/>
  <c r="P4198" i="34"/>
  <c r="T4198" i="34"/>
  <c r="U4198" i="34"/>
  <c r="V4198" i="34"/>
  <c r="W4198" i="34"/>
  <c r="Y4198" i="34"/>
  <c r="AB4198" i="34"/>
  <c r="AC4198" i="34"/>
  <c r="AD4198" i="34"/>
  <c r="P4856" i="34"/>
  <c r="T4856" i="34"/>
  <c r="U4856" i="34"/>
  <c r="V4856" i="34"/>
  <c r="W4856" i="34"/>
  <c r="Y4856" i="34"/>
  <c r="AB4856" i="34"/>
  <c r="AC4856" i="34"/>
  <c r="AD4856" i="34"/>
  <c r="P4857" i="34"/>
  <c r="T4857" i="34"/>
  <c r="U4857" i="34"/>
  <c r="V4857" i="34"/>
  <c r="W4857" i="34"/>
  <c r="Y4857" i="34"/>
  <c r="AB4857" i="34"/>
  <c r="AC4857" i="34"/>
  <c r="AD4857" i="34"/>
  <c r="P4858" i="34"/>
  <c r="T4858" i="34"/>
  <c r="U4858" i="34"/>
  <c r="V4858" i="34"/>
  <c r="W4858" i="34"/>
  <c r="Y4858" i="34"/>
  <c r="AB4858" i="34"/>
  <c r="AC4858" i="34"/>
  <c r="AD4858" i="34"/>
  <c r="P4269" i="34"/>
  <c r="T4269" i="34"/>
  <c r="U4269" i="34"/>
  <c r="V4269" i="34"/>
  <c r="W4269" i="34"/>
  <c r="Y4269" i="34"/>
  <c r="AB4269" i="34"/>
  <c r="AC4269" i="34"/>
  <c r="AD4269" i="34"/>
  <c r="P4270" i="34"/>
  <c r="T4270" i="34"/>
  <c r="U4270" i="34"/>
  <c r="V4270" i="34"/>
  <c r="W4270" i="34"/>
  <c r="Y4270" i="34"/>
  <c r="AB4270" i="34"/>
  <c r="AC4270" i="34"/>
  <c r="AD4270" i="34"/>
  <c r="P4279" i="34"/>
  <c r="T4279" i="34"/>
  <c r="U4279" i="34"/>
  <c r="V4279" i="34"/>
  <c r="W4279" i="34"/>
  <c r="Y4279" i="34"/>
  <c r="AB4279" i="34"/>
  <c r="AC4279" i="34"/>
  <c r="AD4279" i="34"/>
  <c r="P4280" i="34"/>
  <c r="T4280" i="34"/>
  <c r="U4280" i="34"/>
  <c r="V4280" i="34"/>
  <c r="W4280" i="34"/>
  <c r="Y4280" i="34"/>
  <c r="AB4280" i="34"/>
  <c r="AC4280" i="34"/>
  <c r="AD4280" i="34"/>
  <c r="P4281" i="34"/>
  <c r="T4281" i="34"/>
  <c r="U4281" i="34"/>
  <c r="V4281" i="34"/>
  <c r="W4281" i="34"/>
  <c r="Y4281" i="34"/>
  <c r="AB4281" i="34"/>
  <c r="AC4281" i="34"/>
  <c r="AD4281" i="34"/>
  <c r="P4289" i="34"/>
  <c r="T4289" i="34"/>
  <c r="U4289" i="34"/>
  <c r="V4289" i="34"/>
  <c r="W4289" i="34"/>
  <c r="Y4289" i="34"/>
  <c r="AB4289" i="34"/>
  <c r="AC4289" i="34"/>
  <c r="AD4289" i="34"/>
  <c r="P4290" i="34"/>
  <c r="T4290" i="34"/>
  <c r="U4290" i="34"/>
  <c r="V4290" i="34"/>
  <c r="W4290" i="34"/>
  <c r="Y4290" i="34"/>
  <c r="AB4290" i="34"/>
  <c r="AC4290" i="34"/>
  <c r="AD4290" i="34"/>
  <c r="P4294" i="34"/>
  <c r="T4294" i="34"/>
  <c r="U4294" i="34"/>
  <c r="V4294" i="34"/>
  <c r="W4294" i="34"/>
  <c r="Y4294" i="34"/>
  <c r="AB4294" i="34"/>
  <c r="AC4294" i="34"/>
  <c r="AD4294" i="34"/>
  <c r="P4295" i="34"/>
  <c r="T4295" i="34"/>
  <c r="U4295" i="34"/>
  <c r="V4295" i="34"/>
  <c r="W4295" i="34"/>
  <c r="Y4295" i="34"/>
  <c r="AB4295" i="34"/>
  <c r="AC4295" i="34"/>
  <c r="AD4295" i="34"/>
  <c r="P4302" i="34"/>
  <c r="T4302" i="34"/>
  <c r="U4302" i="34"/>
  <c r="V4302" i="34"/>
  <c r="W4302" i="34"/>
  <c r="Y4302" i="34"/>
  <c r="AB4302" i="34"/>
  <c r="AC4302" i="34"/>
  <c r="AD4302" i="34"/>
  <c r="P4303" i="34"/>
  <c r="T4303" i="34"/>
  <c r="U4303" i="34"/>
  <c r="V4303" i="34"/>
  <c r="W4303" i="34"/>
  <c r="Y4303" i="34"/>
  <c r="AB4303" i="34"/>
  <c r="AC4303" i="34"/>
  <c r="AD4303" i="34"/>
  <c r="P4311" i="34"/>
  <c r="T4311" i="34"/>
  <c r="U4311" i="34"/>
  <c r="V4311" i="34"/>
  <c r="W4311" i="34"/>
  <c r="Y4311" i="34"/>
  <c r="AB4311" i="34"/>
  <c r="AC4311" i="34"/>
  <c r="AD4311" i="34"/>
  <c r="P4312" i="34"/>
  <c r="T4312" i="34"/>
  <c r="U4312" i="34"/>
  <c r="V4312" i="34"/>
  <c r="W4312" i="34"/>
  <c r="Y4312" i="34"/>
  <c r="AB4312" i="34"/>
  <c r="AC4312" i="34"/>
  <c r="AD4312" i="34"/>
  <c r="P3732" i="34"/>
  <c r="T3732" i="34"/>
  <c r="U3732" i="34"/>
  <c r="V3732" i="34"/>
  <c r="W3732" i="34"/>
  <c r="Y3732" i="34"/>
  <c r="AB3732" i="34"/>
  <c r="AC3732" i="34"/>
  <c r="AD3732" i="34"/>
  <c r="P3733" i="34"/>
  <c r="T3733" i="34"/>
  <c r="U3733" i="34"/>
  <c r="V3733" i="34"/>
  <c r="W3733" i="34"/>
  <c r="Y3733" i="34"/>
  <c r="AB3733" i="34"/>
  <c r="AC3733" i="34"/>
  <c r="AD3733" i="34"/>
  <c r="P3734" i="34"/>
  <c r="T3734" i="34"/>
  <c r="U3734" i="34"/>
  <c r="V3734" i="34"/>
  <c r="W3734" i="34"/>
  <c r="Y3734" i="34"/>
  <c r="AB3734" i="34"/>
  <c r="AC3734" i="34"/>
  <c r="AD3734" i="34"/>
  <c r="P4905" i="34"/>
  <c r="T4905" i="34"/>
  <c r="U4905" i="34"/>
  <c r="V4905" i="34"/>
  <c r="W4905" i="34"/>
  <c r="Y4905" i="34"/>
  <c r="AB4905" i="34"/>
  <c r="AC4905" i="34"/>
  <c r="AD4905" i="34"/>
  <c r="P4906" i="34"/>
  <c r="T4906" i="34"/>
  <c r="U4906" i="34"/>
  <c r="V4906" i="34"/>
  <c r="W4906" i="34"/>
  <c r="Y4906" i="34"/>
  <c r="AB4906" i="34"/>
  <c r="AC4906" i="34"/>
  <c r="AD4906" i="34"/>
  <c r="P4907" i="34"/>
  <c r="T4907" i="34"/>
  <c r="U4907" i="34"/>
  <c r="V4907" i="34"/>
  <c r="W4907" i="34"/>
  <c r="Y4907" i="34"/>
  <c r="AB4907" i="34"/>
  <c r="AC4907" i="34"/>
  <c r="AD4907" i="34"/>
  <c r="P4326" i="34"/>
  <c r="T4326" i="34"/>
  <c r="U4326" i="34"/>
  <c r="V4326" i="34"/>
  <c r="W4326" i="34"/>
  <c r="Y4326" i="34"/>
  <c r="AB4326" i="34"/>
  <c r="AC4326" i="34"/>
  <c r="AD4326" i="34"/>
  <c r="P4327" i="34"/>
  <c r="T4327" i="34"/>
  <c r="U4327" i="34"/>
  <c r="V4327" i="34"/>
  <c r="W4327" i="34"/>
  <c r="Y4327" i="34"/>
  <c r="AB4327" i="34"/>
  <c r="AC4327" i="34"/>
  <c r="AD4327" i="34"/>
  <c r="P4328" i="34"/>
  <c r="T4328" i="34"/>
  <c r="U4328" i="34"/>
  <c r="V4328" i="34"/>
  <c r="W4328" i="34"/>
  <c r="Y4328" i="34"/>
  <c r="AB4328" i="34"/>
  <c r="AC4328" i="34"/>
  <c r="AD4328" i="34"/>
  <c r="P4324" i="34"/>
  <c r="T4324" i="34"/>
  <c r="U4324" i="34"/>
  <c r="V4324" i="34"/>
  <c r="W4324" i="34"/>
  <c r="Y4324" i="34"/>
  <c r="AB4324" i="34"/>
  <c r="AC4324" i="34"/>
  <c r="AD4324" i="34"/>
  <c r="P4325" i="34"/>
  <c r="T4325" i="34"/>
  <c r="U4325" i="34"/>
  <c r="V4325" i="34"/>
  <c r="W4325" i="34"/>
  <c r="Y4325" i="34"/>
  <c r="AB4325" i="34"/>
  <c r="AC4325" i="34"/>
  <c r="AD4325" i="34"/>
  <c r="P4373" i="34"/>
  <c r="T4373" i="34"/>
  <c r="U4373" i="34"/>
  <c r="V4373" i="34"/>
  <c r="W4373" i="34"/>
  <c r="Y4373" i="34"/>
  <c r="AB4373" i="34"/>
  <c r="AC4373" i="34"/>
  <c r="AD4373" i="34"/>
  <c r="P4374" i="34"/>
  <c r="T4374" i="34"/>
  <c r="U4374" i="34"/>
  <c r="V4374" i="34"/>
  <c r="W4374" i="34"/>
  <c r="Y4374" i="34"/>
  <c r="AB4374" i="34"/>
  <c r="AC4374" i="34"/>
  <c r="AD4374" i="34"/>
  <c r="P4375" i="34"/>
  <c r="T4375" i="34"/>
  <c r="U4375" i="34"/>
  <c r="V4375" i="34"/>
  <c r="W4375" i="34"/>
  <c r="Y4375" i="34"/>
  <c r="AB4375" i="34"/>
  <c r="AC4375" i="34"/>
  <c r="AD4375" i="34"/>
  <c r="P4379" i="34"/>
  <c r="T4379" i="34"/>
  <c r="U4379" i="34"/>
  <c r="V4379" i="34"/>
  <c r="W4379" i="34"/>
  <c r="Y4379" i="34"/>
  <c r="AB4379" i="34"/>
  <c r="AC4379" i="34"/>
  <c r="AD4379" i="34"/>
  <c r="P4380" i="34"/>
  <c r="T4380" i="34"/>
  <c r="U4380" i="34"/>
  <c r="V4380" i="34"/>
  <c r="W4380" i="34"/>
  <c r="Y4380" i="34"/>
  <c r="AB4380" i="34"/>
  <c r="AC4380" i="34"/>
  <c r="AD4380" i="34"/>
  <c r="P4381" i="34"/>
  <c r="T4381" i="34"/>
  <c r="U4381" i="34"/>
  <c r="V4381" i="34"/>
  <c r="W4381" i="34"/>
  <c r="Y4381" i="34"/>
  <c r="AB4381" i="34"/>
  <c r="AC4381" i="34"/>
  <c r="AD4381" i="34"/>
  <c r="P4382" i="34"/>
  <c r="T4382" i="34"/>
  <c r="U4382" i="34"/>
  <c r="V4382" i="34"/>
  <c r="W4382" i="34"/>
  <c r="Y4382" i="34"/>
  <c r="AB4382" i="34"/>
  <c r="AC4382" i="34"/>
  <c r="AD4382" i="34"/>
  <c r="P4383" i="34"/>
  <c r="T4383" i="34"/>
  <c r="U4383" i="34"/>
  <c r="V4383" i="34"/>
  <c r="W4383" i="34"/>
  <c r="Y4383" i="34"/>
  <c r="AB4383" i="34"/>
  <c r="AC4383" i="34"/>
  <c r="AD4383" i="34"/>
  <c r="P4390" i="34"/>
  <c r="T4390" i="34"/>
  <c r="U4390" i="34"/>
  <c r="V4390" i="34"/>
  <c r="W4390" i="34"/>
  <c r="Y4390" i="34"/>
  <c r="AB4390" i="34"/>
  <c r="AC4390" i="34"/>
  <c r="AD4390" i="34"/>
  <c r="P4391" i="34"/>
  <c r="T4391" i="34"/>
  <c r="U4391" i="34"/>
  <c r="V4391" i="34"/>
  <c r="W4391" i="34"/>
  <c r="Y4391" i="34"/>
  <c r="AB4391" i="34"/>
  <c r="AC4391" i="34"/>
  <c r="AD4391" i="34"/>
  <c r="P4392" i="34"/>
  <c r="T4392" i="34"/>
  <c r="U4392" i="34"/>
  <c r="V4392" i="34"/>
  <c r="W4392" i="34"/>
  <c r="Y4392" i="34"/>
  <c r="AB4392" i="34"/>
  <c r="AC4392" i="34"/>
  <c r="AD4392" i="34"/>
  <c r="P3731" i="34"/>
  <c r="T3731" i="34"/>
  <c r="U3731" i="34"/>
  <c r="V3731" i="34"/>
  <c r="W3731" i="34"/>
  <c r="Y3731" i="34"/>
  <c r="AB3731" i="34"/>
  <c r="AC3731" i="34"/>
  <c r="AD3731" i="34"/>
  <c r="P4393" i="34"/>
  <c r="T4393" i="34"/>
  <c r="U4393" i="34"/>
  <c r="V4393" i="34"/>
  <c r="W4393" i="34"/>
  <c r="Y4393" i="34"/>
  <c r="AB4393" i="34"/>
  <c r="AC4393" i="34"/>
  <c r="AD4393" i="34"/>
  <c r="P4394" i="34"/>
  <c r="T4394" i="34"/>
  <c r="U4394" i="34"/>
  <c r="V4394" i="34"/>
  <c r="W4394" i="34"/>
  <c r="Y4394" i="34"/>
  <c r="AB4394" i="34"/>
  <c r="AC4394" i="34"/>
  <c r="AD4394" i="34"/>
  <c r="P4404" i="34"/>
  <c r="T4404" i="34"/>
  <c r="U4404" i="34"/>
  <c r="V4404" i="34"/>
  <c r="W4404" i="34"/>
  <c r="Y4404" i="34"/>
  <c r="AB4404" i="34"/>
  <c r="AC4404" i="34"/>
  <c r="AD4404" i="34"/>
  <c r="P4405" i="34"/>
  <c r="T4405" i="34"/>
  <c r="U4405" i="34"/>
  <c r="V4405" i="34"/>
  <c r="W4405" i="34"/>
  <c r="Y4405" i="34"/>
  <c r="AB4405" i="34"/>
  <c r="AC4405" i="34"/>
  <c r="AD4405" i="34"/>
  <c r="P4408" i="34"/>
  <c r="T4408" i="34"/>
  <c r="U4408" i="34"/>
  <c r="V4408" i="34"/>
  <c r="W4408" i="34"/>
  <c r="Y4408" i="34"/>
  <c r="AB4408" i="34"/>
  <c r="AC4408" i="34"/>
  <c r="AD4408" i="34"/>
  <c r="P4409" i="34"/>
  <c r="T4409" i="34"/>
  <c r="U4409" i="34"/>
  <c r="V4409" i="34"/>
  <c r="W4409" i="34"/>
  <c r="Y4409" i="34"/>
  <c r="AB4409" i="34"/>
  <c r="AC4409" i="34"/>
  <c r="AD4409" i="34"/>
  <c r="P4410" i="34"/>
  <c r="T4410" i="34"/>
  <c r="U4410" i="34"/>
  <c r="V4410" i="34"/>
  <c r="W4410" i="34"/>
  <c r="Y4410" i="34"/>
  <c r="AB4410" i="34"/>
  <c r="AC4410" i="34"/>
  <c r="AD4410" i="34"/>
  <c r="P4414" i="34"/>
  <c r="T4414" i="34"/>
  <c r="U4414" i="34"/>
  <c r="V4414" i="34"/>
  <c r="W4414" i="34"/>
  <c r="Y4414" i="34"/>
  <c r="AB4414" i="34"/>
  <c r="AC4414" i="34"/>
  <c r="AD4414" i="34"/>
  <c r="P4415" i="34"/>
  <c r="T4415" i="34"/>
  <c r="U4415" i="34"/>
  <c r="V4415" i="34"/>
  <c r="W4415" i="34"/>
  <c r="Y4415" i="34"/>
  <c r="AB4415" i="34"/>
  <c r="AC4415" i="34"/>
  <c r="AD4415" i="34"/>
  <c r="P4416" i="34"/>
  <c r="T4416" i="34"/>
  <c r="U4416" i="34"/>
  <c r="V4416" i="34"/>
  <c r="W4416" i="34"/>
  <c r="Y4416" i="34"/>
  <c r="AB4416" i="34"/>
  <c r="AC4416" i="34"/>
  <c r="AD4416" i="34"/>
  <c r="P4417" i="34"/>
  <c r="T4417" i="34"/>
  <c r="U4417" i="34"/>
  <c r="V4417" i="34"/>
  <c r="W4417" i="34"/>
  <c r="Y4417" i="34"/>
  <c r="AB4417" i="34"/>
  <c r="AC4417" i="34"/>
  <c r="AD4417" i="34"/>
  <c r="P4418" i="34"/>
  <c r="T4418" i="34"/>
  <c r="U4418" i="34"/>
  <c r="V4418" i="34"/>
  <c r="W4418" i="34"/>
  <c r="Y4418" i="34"/>
  <c r="AB4418" i="34"/>
  <c r="AC4418" i="34"/>
  <c r="AD4418" i="34"/>
  <c r="P4419" i="34"/>
  <c r="T4419" i="34"/>
  <c r="U4419" i="34"/>
  <c r="V4419" i="34"/>
  <c r="W4419" i="34"/>
  <c r="Y4419" i="34"/>
  <c r="AB4419" i="34"/>
  <c r="AC4419" i="34"/>
  <c r="AD4419" i="34"/>
  <c r="P4420" i="34"/>
  <c r="T4420" i="34"/>
  <c r="U4420" i="34"/>
  <c r="V4420" i="34"/>
  <c r="W4420" i="34"/>
  <c r="Y4420" i="34"/>
  <c r="AB4420" i="34"/>
  <c r="AC4420" i="34"/>
  <c r="AD4420" i="34"/>
  <c r="P4421" i="34"/>
  <c r="T4421" i="34"/>
  <c r="U4421" i="34"/>
  <c r="V4421" i="34"/>
  <c r="W4421" i="34"/>
  <c r="Y4421" i="34"/>
  <c r="AB4421" i="34"/>
  <c r="AC4421" i="34"/>
  <c r="AD4421" i="34"/>
  <c r="P4422" i="34"/>
  <c r="T4422" i="34"/>
  <c r="U4422" i="34"/>
  <c r="V4422" i="34"/>
  <c r="W4422" i="34"/>
  <c r="Y4422" i="34"/>
  <c r="AB4422" i="34"/>
  <c r="AC4422" i="34"/>
  <c r="AD4422" i="34"/>
  <c r="P4423" i="34"/>
  <c r="T4423" i="34"/>
  <c r="U4423" i="34"/>
  <c r="V4423" i="34"/>
  <c r="W4423" i="34"/>
  <c r="Y4423" i="34"/>
  <c r="AB4423" i="34"/>
  <c r="AC4423" i="34"/>
  <c r="AD4423" i="34"/>
  <c r="P4424" i="34"/>
  <c r="T4424" i="34"/>
  <c r="U4424" i="34"/>
  <c r="V4424" i="34"/>
  <c r="W4424" i="34"/>
  <c r="Y4424" i="34"/>
  <c r="AB4424" i="34"/>
  <c r="AC4424" i="34"/>
  <c r="AD4424" i="34"/>
  <c r="P4438" i="34"/>
  <c r="T4438" i="34"/>
  <c r="U4438" i="34"/>
  <c r="V4438" i="34"/>
  <c r="W4438" i="34"/>
  <c r="Y4438" i="34"/>
  <c r="AB4438" i="34"/>
  <c r="AC4438" i="34"/>
  <c r="AD4438" i="34"/>
  <c r="P4439" i="34"/>
  <c r="T4439" i="34"/>
  <c r="U4439" i="34"/>
  <c r="V4439" i="34"/>
  <c r="W4439" i="34"/>
  <c r="Y4439" i="34"/>
  <c r="AB4439" i="34"/>
  <c r="AC4439" i="34"/>
  <c r="AD4439" i="34"/>
  <c r="P4440" i="34"/>
  <c r="T4440" i="34"/>
  <c r="U4440" i="34"/>
  <c r="V4440" i="34"/>
  <c r="W4440" i="34"/>
  <c r="Y4440" i="34"/>
  <c r="AB4440" i="34"/>
  <c r="AC4440" i="34"/>
  <c r="AD4440" i="34"/>
  <c r="P4437" i="34"/>
  <c r="T4437" i="34"/>
  <c r="U4437" i="34"/>
  <c r="V4437" i="34"/>
  <c r="W4437" i="34"/>
  <c r="Y4437" i="34"/>
  <c r="AB4437" i="34"/>
  <c r="AC4437" i="34"/>
  <c r="AD4437" i="34"/>
  <c r="P4447" i="34"/>
  <c r="T4447" i="34"/>
  <c r="U4447" i="34"/>
  <c r="V4447" i="34"/>
  <c r="W4447" i="34"/>
  <c r="Y4447" i="34"/>
  <c r="AB4447" i="34"/>
  <c r="AC4447" i="34"/>
  <c r="AD4447" i="34"/>
  <c r="P4449" i="34"/>
  <c r="T4449" i="34"/>
  <c r="U4449" i="34"/>
  <c r="V4449" i="34"/>
  <c r="W4449" i="34"/>
  <c r="Y4449" i="34"/>
  <c r="AB4449" i="34"/>
  <c r="AC4449" i="34"/>
  <c r="AD4449" i="34"/>
  <c r="P4457" i="34"/>
  <c r="T4457" i="34"/>
  <c r="U4457" i="34"/>
  <c r="V4457" i="34"/>
  <c r="W4457" i="34"/>
  <c r="Y4457" i="34"/>
  <c r="AB4457" i="34"/>
  <c r="AC4457" i="34"/>
  <c r="AD4457" i="34"/>
  <c r="P4458" i="34"/>
  <c r="T4458" i="34"/>
  <c r="U4458" i="34"/>
  <c r="V4458" i="34"/>
  <c r="W4458" i="34"/>
  <c r="Y4458" i="34"/>
  <c r="AB4458" i="34"/>
  <c r="AC4458" i="34"/>
  <c r="AD4458" i="34"/>
  <c r="P4459" i="34"/>
  <c r="T4459" i="34"/>
  <c r="U4459" i="34"/>
  <c r="V4459" i="34"/>
  <c r="W4459" i="34"/>
  <c r="Y4459" i="34"/>
  <c r="AB4459" i="34"/>
  <c r="AC4459" i="34"/>
  <c r="AD4459" i="34"/>
  <c r="P4451" i="34"/>
  <c r="T4451" i="34"/>
  <c r="U4451" i="34"/>
  <c r="V4451" i="34"/>
  <c r="W4451" i="34"/>
  <c r="Y4451" i="34"/>
  <c r="AB4451" i="34"/>
  <c r="AC4451" i="34"/>
  <c r="AD4451" i="34"/>
  <c r="P4452" i="34"/>
  <c r="T4452" i="34"/>
  <c r="U4452" i="34"/>
  <c r="V4452" i="34"/>
  <c r="W4452" i="34"/>
  <c r="Y4452" i="34"/>
  <c r="AB4452" i="34"/>
  <c r="AC4452" i="34"/>
  <c r="AD4452" i="34"/>
  <c r="P4453" i="34"/>
  <c r="T4453" i="34"/>
  <c r="U4453" i="34"/>
  <c r="V4453" i="34"/>
  <c r="W4453" i="34"/>
  <c r="Y4453" i="34"/>
  <c r="AB4453" i="34"/>
  <c r="AC4453" i="34"/>
  <c r="AD4453" i="34"/>
  <c r="P4454" i="34"/>
  <c r="T4454" i="34"/>
  <c r="U4454" i="34"/>
  <c r="V4454" i="34"/>
  <c r="W4454" i="34"/>
  <c r="Y4454" i="34"/>
  <c r="AB4454" i="34"/>
  <c r="AC4454" i="34"/>
  <c r="AD4454" i="34"/>
  <c r="P4455" i="34"/>
  <c r="T4455" i="34"/>
  <c r="U4455" i="34"/>
  <c r="V4455" i="34"/>
  <c r="W4455" i="34"/>
  <c r="Y4455" i="34"/>
  <c r="AB4455" i="34"/>
  <c r="AC4455" i="34"/>
  <c r="AD4455" i="34"/>
  <c r="P4456" i="34"/>
  <c r="T4456" i="34"/>
  <c r="U4456" i="34"/>
  <c r="V4456" i="34"/>
  <c r="W4456" i="34"/>
  <c r="Y4456" i="34"/>
  <c r="AB4456" i="34"/>
  <c r="AC4456" i="34"/>
  <c r="AD4456" i="34"/>
  <c r="P4450" i="34"/>
  <c r="T4450" i="34"/>
  <c r="U4450" i="34"/>
  <c r="V4450" i="34"/>
  <c r="W4450" i="34"/>
  <c r="Y4450" i="34"/>
  <c r="AB4450" i="34"/>
  <c r="AC4450" i="34"/>
  <c r="AD4450" i="34"/>
  <c r="P4480" i="34"/>
  <c r="T4480" i="34"/>
  <c r="U4480" i="34"/>
  <c r="V4480" i="34"/>
  <c r="W4480" i="34"/>
  <c r="Y4480" i="34"/>
  <c r="AB4480" i="34"/>
  <c r="AC4480" i="34"/>
  <c r="AD4480" i="34"/>
  <c r="P4481" i="34"/>
  <c r="T4481" i="34"/>
  <c r="U4481" i="34"/>
  <c r="V4481" i="34"/>
  <c r="W4481" i="34"/>
  <c r="Y4481" i="34"/>
  <c r="AB4481" i="34"/>
  <c r="AC4481" i="34"/>
  <c r="AD4481" i="34"/>
  <c r="P4482" i="34"/>
  <c r="T4482" i="34"/>
  <c r="U4482" i="34"/>
  <c r="V4482" i="34"/>
  <c r="W4482" i="34"/>
  <c r="Y4482" i="34"/>
  <c r="AB4482" i="34"/>
  <c r="AC4482" i="34"/>
  <c r="AD4482" i="34"/>
  <c r="P4487" i="34"/>
  <c r="T4487" i="34"/>
  <c r="U4487" i="34"/>
  <c r="V4487" i="34"/>
  <c r="W4487" i="34"/>
  <c r="Y4487" i="34"/>
  <c r="AB4487" i="34"/>
  <c r="AC4487" i="34"/>
  <c r="AD4487" i="34"/>
  <c r="P4488" i="34"/>
  <c r="T4488" i="34"/>
  <c r="U4488" i="34"/>
  <c r="V4488" i="34"/>
  <c r="W4488" i="34"/>
  <c r="Y4488" i="34"/>
  <c r="AB4488" i="34"/>
  <c r="AC4488" i="34"/>
  <c r="AD4488" i="34"/>
  <c r="P4489" i="34"/>
  <c r="T4489" i="34"/>
  <c r="U4489" i="34"/>
  <c r="V4489" i="34"/>
  <c r="W4489" i="34"/>
  <c r="Y4489" i="34"/>
  <c r="AB4489" i="34"/>
  <c r="AC4489" i="34"/>
  <c r="AD4489" i="34"/>
  <c r="P4499" i="34"/>
  <c r="T4499" i="34"/>
  <c r="U4499" i="34"/>
  <c r="V4499" i="34"/>
  <c r="W4499" i="34"/>
  <c r="Y4499" i="34"/>
  <c r="AB4499" i="34"/>
  <c r="AC4499" i="34"/>
  <c r="AD4499" i="34"/>
  <c r="P4500" i="34"/>
  <c r="T4500" i="34"/>
  <c r="U4500" i="34"/>
  <c r="V4500" i="34"/>
  <c r="W4500" i="34"/>
  <c r="Y4500" i="34"/>
  <c r="AB4500" i="34"/>
  <c r="AC4500" i="34"/>
  <c r="AD4500" i="34"/>
  <c r="P4501" i="34"/>
  <c r="T4501" i="34"/>
  <c r="U4501" i="34"/>
  <c r="V4501" i="34"/>
  <c r="W4501" i="34"/>
  <c r="Y4501" i="34"/>
  <c r="AB4501" i="34"/>
  <c r="AC4501" i="34"/>
  <c r="AD4501" i="34"/>
  <c r="P4502" i="34"/>
  <c r="T4502" i="34"/>
  <c r="U4502" i="34"/>
  <c r="V4502" i="34"/>
  <c r="W4502" i="34"/>
  <c r="Y4502" i="34"/>
  <c r="AB4502" i="34"/>
  <c r="AC4502" i="34"/>
  <c r="AD4502" i="34"/>
  <c r="P4516" i="34"/>
  <c r="T4516" i="34"/>
  <c r="U4516" i="34"/>
  <c r="V4516" i="34"/>
  <c r="W4516" i="34"/>
  <c r="Y4516" i="34"/>
  <c r="AB4516" i="34"/>
  <c r="AC4516" i="34"/>
  <c r="AD4516" i="34"/>
  <c r="P4517" i="34"/>
  <c r="T4517" i="34"/>
  <c r="U4517" i="34"/>
  <c r="V4517" i="34"/>
  <c r="W4517" i="34"/>
  <c r="Y4517" i="34"/>
  <c r="AB4517" i="34"/>
  <c r="AC4517" i="34"/>
  <c r="AD4517" i="34"/>
  <c r="P4518" i="34"/>
  <c r="T4518" i="34"/>
  <c r="U4518" i="34"/>
  <c r="V4518" i="34"/>
  <c r="W4518" i="34"/>
  <c r="Y4518" i="34"/>
  <c r="AB4518" i="34"/>
  <c r="AC4518" i="34"/>
  <c r="AD4518" i="34"/>
  <c r="P4521" i="34"/>
  <c r="T4521" i="34"/>
  <c r="U4521" i="34"/>
  <c r="V4521" i="34"/>
  <c r="W4521" i="34"/>
  <c r="Y4521" i="34"/>
  <c r="AB4521" i="34"/>
  <c r="AC4521" i="34"/>
  <c r="AD4521" i="34"/>
  <c r="P4522" i="34"/>
  <c r="T4522" i="34"/>
  <c r="U4522" i="34"/>
  <c r="V4522" i="34"/>
  <c r="W4522" i="34"/>
  <c r="Y4522" i="34"/>
  <c r="AB4522" i="34"/>
  <c r="AC4522" i="34"/>
  <c r="AD4522" i="34"/>
  <c r="P4523" i="34"/>
  <c r="T4523" i="34"/>
  <c r="U4523" i="34"/>
  <c r="V4523" i="34"/>
  <c r="W4523" i="34"/>
  <c r="Y4523" i="34"/>
  <c r="AB4523" i="34"/>
  <c r="AC4523" i="34"/>
  <c r="AD4523" i="34"/>
  <c r="P4524" i="34"/>
  <c r="T4524" i="34"/>
  <c r="U4524" i="34"/>
  <c r="V4524" i="34"/>
  <c r="W4524" i="34"/>
  <c r="Y4524" i="34"/>
  <c r="AB4524" i="34"/>
  <c r="AC4524" i="34"/>
  <c r="AD4524" i="34"/>
  <c r="P4525" i="34"/>
  <c r="T4525" i="34"/>
  <c r="U4525" i="34"/>
  <c r="V4525" i="34"/>
  <c r="W4525" i="34"/>
  <c r="Y4525" i="34"/>
  <c r="AB4525" i="34"/>
  <c r="AC4525" i="34"/>
  <c r="AD4525" i="34"/>
  <c r="P4526" i="34"/>
  <c r="T4526" i="34"/>
  <c r="U4526" i="34"/>
  <c r="V4526" i="34"/>
  <c r="W4526" i="34"/>
  <c r="Y4526" i="34"/>
  <c r="AB4526" i="34"/>
  <c r="AC4526" i="34"/>
  <c r="AD4526" i="34"/>
  <c r="P4520" i="34"/>
  <c r="T4520" i="34"/>
  <c r="U4520" i="34"/>
  <c r="V4520" i="34"/>
  <c r="W4520" i="34"/>
  <c r="Y4520" i="34"/>
  <c r="AB4520" i="34"/>
  <c r="AC4520" i="34"/>
  <c r="AD4520" i="34"/>
  <c r="P4535" i="34"/>
  <c r="T4535" i="34"/>
  <c r="U4535" i="34"/>
  <c r="V4535" i="34"/>
  <c r="W4535" i="34"/>
  <c r="Y4535" i="34"/>
  <c r="AB4535" i="34"/>
  <c r="AC4535" i="34"/>
  <c r="AD4535" i="34"/>
  <c r="P4536" i="34"/>
  <c r="T4536" i="34"/>
  <c r="U4536" i="34"/>
  <c r="V4536" i="34"/>
  <c r="W4536" i="34"/>
  <c r="Y4536" i="34"/>
  <c r="AB4536" i="34"/>
  <c r="AC4536" i="34"/>
  <c r="AD4536" i="34"/>
  <c r="P4537" i="34"/>
  <c r="T4537" i="34"/>
  <c r="U4537" i="34"/>
  <c r="V4537" i="34"/>
  <c r="W4537" i="34"/>
  <c r="Y4537" i="34"/>
  <c r="AB4537" i="34"/>
  <c r="AC4537" i="34"/>
  <c r="AD4537" i="34"/>
  <c r="P4538" i="34"/>
  <c r="T4538" i="34"/>
  <c r="U4538" i="34"/>
  <c r="V4538" i="34"/>
  <c r="W4538" i="34"/>
  <c r="Y4538" i="34"/>
  <c r="AB4538" i="34"/>
  <c r="AC4538" i="34"/>
  <c r="AD4538" i="34"/>
  <c r="P4539" i="34"/>
  <c r="T4539" i="34"/>
  <c r="U4539" i="34"/>
  <c r="V4539" i="34"/>
  <c r="W4539" i="34"/>
  <c r="Y4539" i="34"/>
  <c r="AB4539" i="34"/>
  <c r="AC4539" i="34"/>
  <c r="AD4539" i="34"/>
  <c r="P4540" i="34"/>
  <c r="T4540" i="34"/>
  <c r="U4540" i="34"/>
  <c r="V4540" i="34"/>
  <c r="W4540" i="34"/>
  <c r="Y4540" i="34"/>
  <c r="AB4540" i="34"/>
  <c r="AC4540" i="34"/>
  <c r="AD4540" i="34"/>
  <c r="P4542" i="34"/>
  <c r="T4542" i="34"/>
  <c r="U4542" i="34"/>
  <c r="V4542" i="34"/>
  <c r="W4542" i="34"/>
  <c r="Y4542" i="34"/>
  <c r="AB4542" i="34"/>
  <c r="AC4542" i="34"/>
  <c r="AD4542" i="34"/>
  <c r="P4543" i="34"/>
  <c r="T4543" i="34"/>
  <c r="U4543" i="34"/>
  <c r="V4543" i="34"/>
  <c r="W4543" i="34"/>
  <c r="Y4543" i="34"/>
  <c r="AB4543" i="34"/>
  <c r="AC4543" i="34"/>
  <c r="AD4543" i="34"/>
  <c r="P4544" i="34"/>
  <c r="T4544" i="34"/>
  <c r="U4544" i="34"/>
  <c r="V4544" i="34"/>
  <c r="W4544" i="34"/>
  <c r="Y4544" i="34"/>
  <c r="AB4544" i="34"/>
  <c r="AC4544" i="34"/>
  <c r="AD4544" i="34"/>
  <c r="P4545" i="34"/>
  <c r="T4545" i="34"/>
  <c r="U4545" i="34"/>
  <c r="V4545" i="34"/>
  <c r="W4545" i="34"/>
  <c r="Y4545" i="34"/>
  <c r="AB4545" i="34"/>
  <c r="AC4545" i="34"/>
  <c r="AD4545" i="34"/>
  <c r="P4546" i="34"/>
  <c r="T4546" i="34"/>
  <c r="U4546" i="34"/>
  <c r="V4546" i="34"/>
  <c r="W4546" i="34"/>
  <c r="Y4546" i="34"/>
  <c r="AB4546" i="34"/>
  <c r="AC4546" i="34"/>
  <c r="AD4546" i="34"/>
  <c r="P4547" i="34"/>
  <c r="T4547" i="34"/>
  <c r="U4547" i="34"/>
  <c r="V4547" i="34"/>
  <c r="W4547" i="34"/>
  <c r="Y4547" i="34"/>
  <c r="AB4547" i="34"/>
  <c r="AC4547" i="34"/>
  <c r="AD4547" i="34"/>
  <c r="P4567" i="34"/>
  <c r="T4567" i="34"/>
  <c r="U4567" i="34"/>
  <c r="V4567" i="34"/>
  <c r="W4567" i="34"/>
  <c r="Y4567" i="34"/>
  <c r="AB4567" i="34"/>
  <c r="AC4567" i="34"/>
  <c r="AD4567" i="34"/>
  <c r="P4568" i="34"/>
  <c r="T4568" i="34"/>
  <c r="U4568" i="34"/>
  <c r="V4568" i="34"/>
  <c r="W4568" i="34"/>
  <c r="Y4568" i="34"/>
  <c r="AB4568" i="34"/>
  <c r="AC4568" i="34"/>
  <c r="AD4568" i="34"/>
  <c r="P4580" i="34"/>
  <c r="T4580" i="34"/>
  <c r="U4580" i="34"/>
  <c r="V4580" i="34"/>
  <c r="W4580" i="34"/>
  <c r="Y4580" i="34"/>
  <c r="AB4580" i="34"/>
  <c r="AC4580" i="34"/>
  <c r="AD4580" i="34"/>
  <c r="P4581" i="34"/>
  <c r="T4581" i="34"/>
  <c r="U4581" i="34"/>
  <c r="V4581" i="34"/>
  <c r="W4581" i="34"/>
  <c r="Y4581" i="34"/>
  <c r="AB4581" i="34"/>
  <c r="AC4581" i="34"/>
  <c r="AD4581" i="34"/>
  <c r="P4582" i="34"/>
  <c r="T4582" i="34"/>
  <c r="U4582" i="34"/>
  <c r="V4582" i="34"/>
  <c r="W4582" i="34"/>
  <c r="Y4582" i="34"/>
  <c r="AB4582" i="34"/>
  <c r="AC4582" i="34"/>
  <c r="AD4582" i="34"/>
  <c r="P4583" i="34"/>
  <c r="T4583" i="34"/>
  <c r="U4583" i="34"/>
  <c r="V4583" i="34"/>
  <c r="W4583" i="34"/>
  <c r="Y4583" i="34"/>
  <c r="AB4583" i="34"/>
  <c r="AC4583" i="34"/>
  <c r="AD4583" i="34"/>
  <c r="P4584" i="34"/>
  <c r="T4584" i="34"/>
  <c r="U4584" i="34"/>
  <c r="V4584" i="34"/>
  <c r="W4584" i="34"/>
  <c r="Y4584" i="34"/>
  <c r="AB4584" i="34"/>
  <c r="AC4584" i="34"/>
  <c r="AD4584" i="34"/>
  <c r="P4585" i="34"/>
  <c r="T4585" i="34"/>
  <c r="U4585" i="34"/>
  <c r="V4585" i="34"/>
  <c r="W4585" i="34"/>
  <c r="Y4585" i="34"/>
  <c r="AB4585" i="34"/>
  <c r="AC4585" i="34"/>
  <c r="AD4585" i="34"/>
  <c r="P4586" i="34"/>
  <c r="T4586" i="34"/>
  <c r="U4586" i="34"/>
  <c r="V4586" i="34"/>
  <c r="W4586" i="34"/>
  <c r="Y4586" i="34"/>
  <c r="AB4586" i="34"/>
  <c r="AC4586" i="34"/>
  <c r="AD4586" i="34"/>
  <c r="P4587" i="34"/>
  <c r="T4587" i="34"/>
  <c r="U4587" i="34"/>
  <c r="V4587" i="34"/>
  <c r="W4587" i="34"/>
  <c r="Y4587" i="34"/>
  <c r="AB4587" i="34"/>
  <c r="AC4587" i="34"/>
  <c r="AD4587" i="34"/>
  <c r="P4588" i="34"/>
  <c r="T4588" i="34"/>
  <c r="U4588" i="34"/>
  <c r="V4588" i="34"/>
  <c r="W4588" i="34"/>
  <c r="Y4588" i="34"/>
  <c r="AB4588" i="34"/>
  <c r="AC4588" i="34"/>
  <c r="AD4588" i="34"/>
  <c r="P4589" i="34"/>
  <c r="T4589" i="34"/>
  <c r="U4589" i="34"/>
  <c r="V4589" i="34"/>
  <c r="W4589" i="34"/>
  <c r="Y4589" i="34"/>
  <c r="AB4589" i="34"/>
  <c r="AC4589" i="34"/>
  <c r="AD4589" i="34"/>
  <c r="P4590" i="34"/>
  <c r="T4590" i="34"/>
  <c r="U4590" i="34"/>
  <c r="V4590" i="34"/>
  <c r="W4590" i="34"/>
  <c r="Y4590" i="34"/>
  <c r="AB4590" i="34"/>
  <c r="AC4590" i="34"/>
  <c r="AD4590" i="34"/>
  <c r="P4591" i="34"/>
  <c r="T4591" i="34"/>
  <c r="U4591" i="34"/>
  <c r="V4591" i="34"/>
  <c r="W4591" i="34"/>
  <c r="Y4591" i="34"/>
  <c r="AB4591" i="34"/>
  <c r="AC4591" i="34"/>
  <c r="AD4591" i="34"/>
  <c r="P4769" i="34"/>
  <c r="T4769" i="34"/>
  <c r="U4769" i="34"/>
  <c r="V4769" i="34"/>
  <c r="W4769" i="34"/>
  <c r="Y4769" i="34"/>
  <c r="AB4769" i="34"/>
  <c r="AC4769" i="34"/>
  <c r="AD4769" i="34"/>
  <c r="P4596" i="34"/>
  <c r="T4596" i="34"/>
  <c r="U4596" i="34"/>
  <c r="V4596" i="34"/>
  <c r="W4596" i="34"/>
  <c r="Y4596" i="34"/>
  <c r="AB4596" i="34"/>
  <c r="AC4596" i="34"/>
  <c r="AD4596" i="34"/>
  <c r="P4597" i="34"/>
  <c r="T4597" i="34"/>
  <c r="U4597" i="34"/>
  <c r="V4597" i="34"/>
  <c r="W4597" i="34"/>
  <c r="Y4597" i="34"/>
  <c r="AB4597" i="34"/>
  <c r="AC4597" i="34"/>
  <c r="AD4597" i="34"/>
  <c r="P4598" i="34"/>
  <c r="T4598" i="34"/>
  <c r="U4598" i="34"/>
  <c r="V4598" i="34"/>
  <c r="W4598" i="34"/>
  <c r="Y4598" i="34"/>
  <c r="AB4598" i="34"/>
  <c r="AC4598" i="34"/>
  <c r="AD4598" i="34"/>
  <c r="P4599" i="34"/>
  <c r="T4599" i="34"/>
  <c r="U4599" i="34"/>
  <c r="V4599" i="34"/>
  <c r="W4599" i="34"/>
  <c r="Y4599" i="34"/>
  <c r="AB4599" i="34"/>
  <c r="AC4599" i="34"/>
  <c r="AD4599" i="34"/>
  <c r="P4610" i="34"/>
  <c r="T4610" i="34"/>
  <c r="U4610" i="34"/>
  <c r="V4610" i="34"/>
  <c r="W4610" i="34"/>
  <c r="Y4610" i="34"/>
  <c r="AB4610" i="34"/>
  <c r="AC4610" i="34"/>
  <c r="AD4610" i="34"/>
  <c r="P4611" i="34"/>
  <c r="T4611" i="34"/>
  <c r="U4611" i="34"/>
  <c r="V4611" i="34"/>
  <c r="W4611" i="34"/>
  <c r="Y4611" i="34"/>
  <c r="AB4611" i="34"/>
  <c r="AC4611" i="34"/>
  <c r="AD4611" i="34"/>
  <c r="P4627" i="34"/>
  <c r="T4627" i="34"/>
  <c r="U4627" i="34"/>
  <c r="V4627" i="34"/>
  <c r="W4627" i="34"/>
  <c r="Y4627" i="34"/>
  <c r="AB4627" i="34"/>
  <c r="AC4627" i="34"/>
  <c r="AD4627" i="34"/>
  <c r="P4628" i="34"/>
  <c r="T4628" i="34"/>
  <c r="U4628" i="34"/>
  <c r="V4628" i="34"/>
  <c r="W4628" i="34"/>
  <c r="Y4628" i="34"/>
  <c r="AB4628" i="34"/>
  <c r="AC4628" i="34"/>
  <c r="AD4628" i="34"/>
  <c r="P4629" i="34"/>
  <c r="T4629" i="34"/>
  <c r="U4629" i="34"/>
  <c r="V4629" i="34"/>
  <c r="W4629" i="34"/>
  <c r="Y4629" i="34"/>
  <c r="AB4629" i="34"/>
  <c r="AC4629" i="34"/>
  <c r="AD4629" i="34"/>
  <c r="P4630" i="34"/>
  <c r="T4630" i="34"/>
  <c r="U4630" i="34"/>
  <c r="V4630" i="34"/>
  <c r="W4630" i="34"/>
  <c r="Y4630" i="34"/>
  <c r="AB4630" i="34"/>
  <c r="AC4630" i="34"/>
  <c r="AD4630" i="34"/>
  <c r="P4631" i="34"/>
  <c r="T4631" i="34"/>
  <c r="U4631" i="34"/>
  <c r="V4631" i="34"/>
  <c r="W4631" i="34"/>
  <c r="Y4631" i="34"/>
  <c r="AB4631" i="34"/>
  <c r="AC4631" i="34"/>
  <c r="AD4631" i="34"/>
  <c r="P4632" i="34"/>
  <c r="T4632" i="34"/>
  <c r="U4632" i="34"/>
  <c r="V4632" i="34"/>
  <c r="W4632" i="34"/>
  <c r="Y4632" i="34"/>
  <c r="AB4632" i="34"/>
  <c r="AC4632" i="34"/>
  <c r="AD4632" i="34"/>
  <c r="P4633" i="34"/>
  <c r="T4633" i="34"/>
  <c r="U4633" i="34"/>
  <c r="V4633" i="34"/>
  <c r="W4633" i="34"/>
  <c r="Y4633" i="34"/>
  <c r="AB4633" i="34"/>
  <c r="AC4633" i="34"/>
  <c r="AD4633" i="34"/>
  <c r="P4634" i="34"/>
  <c r="T4634" i="34"/>
  <c r="U4634" i="34"/>
  <c r="V4634" i="34"/>
  <c r="W4634" i="34"/>
  <c r="Y4634" i="34"/>
  <c r="AB4634" i="34"/>
  <c r="AC4634" i="34"/>
  <c r="AD4634" i="34"/>
  <c r="P4635" i="34"/>
  <c r="T4635" i="34"/>
  <c r="U4635" i="34"/>
  <c r="V4635" i="34"/>
  <c r="W4635" i="34"/>
  <c r="Y4635" i="34"/>
  <c r="AB4635" i="34"/>
  <c r="AC4635" i="34"/>
  <c r="AD4635" i="34"/>
  <c r="P4636" i="34"/>
  <c r="T4636" i="34"/>
  <c r="U4636" i="34"/>
  <c r="V4636" i="34"/>
  <c r="W4636" i="34"/>
  <c r="Y4636" i="34"/>
  <c r="AB4636" i="34"/>
  <c r="AC4636" i="34"/>
  <c r="AD4636" i="34"/>
  <c r="P4637" i="34"/>
  <c r="T4637" i="34"/>
  <c r="U4637" i="34"/>
  <c r="V4637" i="34"/>
  <c r="W4637" i="34"/>
  <c r="Y4637" i="34"/>
  <c r="AB4637" i="34"/>
  <c r="AC4637" i="34"/>
  <c r="AD4637" i="34"/>
  <c r="P4638" i="34"/>
  <c r="T4638" i="34"/>
  <c r="U4638" i="34"/>
  <c r="V4638" i="34"/>
  <c r="W4638" i="34"/>
  <c r="Y4638" i="34"/>
  <c r="AB4638" i="34"/>
  <c r="AC4638" i="34"/>
  <c r="AD4638" i="34"/>
  <c r="P4642" i="34"/>
  <c r="T4642" i="34"/>
  <c r="U4642" i="34"/>
  <c r="V4642" i="34"/>
  <c r="W4642" i="34"/>
  <c r="Y4642" i="34"/>
  <c r="AB4642" i="34"/>
  <c r="AC4642" i="34"/>
  <c r="AD4642" i="34"/>
  <c r="P4643" i="34"/>
  <c r="T4643" i="34"/>
  <c r="U4643" i="34"/>
  <c r="V4643" i="34"/>
  <c r="W4643" i="34"/>
  <c r="Y4643" i="34"/>
  <c r="AB4643" i="34"/>
  <c r="AC4643" i="34"/>
  <c r="AD4643" i="34"/>
  <c r="P4647" i="34"/>
  <c r="T4647" i="34"/>
  <c r="U4647" i="34"/>
  <c r="V4647" i="34"/>
  <c r="W4647" i="34"/>
  <c r="Y4647" i="34"/>
  <c r="AB4647" i="34"/>
  <c r="AC4647" i="34"/>
  <c r="AD4647" i="34"/>
  <c r="P4648" i="34"/>
  <c r="T4648" i="34"/>
  <c r="U4648" i="34"/>
  <c r="V4648" i="34"/>
  <c r="W4648" i="34"/>
  <c r="Y4648" i="34"/>
  <c r="AB4648" i="34"/>
  <c r="AC4648" i="34"/>
  <c r="AD4648" i="34"/>
  <c r="P4658" i="34"/>
  <c r="T4658" i="34"/>
  <c r="U4658" i="34"/>
  <c r="V4658" i="34"/>
  <c r="W4658" i="34"/>
  <c r="Y4658" i="34"/>
  <c r="AB4658" i="34"/>
  <c r="AC4658" i="34"/>
  <c r="AD4658" i="34"/>
  <c r="P4659" i="34"/>
  <c r="T4659" i="34"/>
  <c r="U4659" i="34"/>
  <c r="V4659" i="34"/>
  <c r="W4659" i="34"/>
  <c r="Y4659" i="34"/>
  <c r="AB4659" i="34"/>
  <c r="AC4659" i="34"/>
  <c r="AD4659" i="34"/>
  <c r="P4660" i="34"/>
  <c r="T4660" i="34"/>
  <c r="U4660" i="34"/>
  <c r="V4660" i="34"/>
  <c r="W4660" i="34"/>
  <c r="Y4660" i="34"/>
  <c r="AB4660" i="34"/>
  <c r="AC4660" i="34"/>
  <c r="AD4660" i="34"/>
  <c r="P4661" i="34"/>
  <c r="T4661" i="34"/>
  <c r="U4661" i="34"/>
  <c r="V4661" i="34"/>
  <c r="W4661" i="34"/>
  <c r="Y4661" i="34"/>
  <c r="AB4661" i="34"/>
  <c r="AC4661" i="34"/>
  <c r="AD4661" i="34"/>
  <c r="P4666" i="34"/>
  <c r="T4666" i="34"/>
  <c r="U4666" i="34"/>
  <c r="V4666" i="34"/>
  <c r="W4666" i="34"/>
  <c r="Y4666" i="34"/>
  <c r="AB4666" i="34"/>
  <c r="AC4666" i="34"/>
  <c r="AD4666" i="34"/>
  <c r="P4667" i="34"/>
  <c r="T4667" i="34"/>
  <c r="U4667" i="34"/>
  <c r="V4667" i="34"/>
  <c r="W4667" i="34"/>
  <c r="Y4667" i="34"/>
  <c r="AB4667" i="34"/>
  <c r="AC4667" i="34"/>
  <c r="AD4667" i="34"/>
  <c r="P4668" i="34"/>
  <c r="T4668" i="34"/>
  <c r="U4668" i="34"/>
  <c r="V4668" i="34"/>
  <c r="W4668" i="34"/>
  <c r="Y4668" i="34"/>
  <c r="AB4668" i="34"/>
  <c r="AC4668" i="34"/>
  <c r="AD4668" i="34"/>
  <c r="P4676" i="34"/>
  <c r="T4676" i="34"/>
  <c r="U4676" i="34"/>
  <c r="V4676" i="34"/>
  <c r="W4676" i="34"/>
  <c r="Y4676" i="34"/>
  <c r="AB4676" i="34"/>
  <c r="AC4676" i="34"/>
  <c r="AD4676" i="34"/>
  <c r="P4677" i="34"/>
  <c r="T4677" i="34"/>
  <c r="U4677" i="34"/>
  <c r="V4677" i="34"/>
  <c r="W4677" i="34"/>
  <c r="Y4677" i="34"/>
  <c r="AB4677" i="34"/>
  <c r="AC4677" i="34"/>
  <c r="AD4677" i="34"/>
  <c r="P4678" i="34"/>
  <c r="T4678" i="34"/>
  <c r="U4678" i="34"/>
  <c r="V4678" i="34"/>
  <c r="W4678" i="34"/>
  <c r="Y4678" i="34"/>
  <c r="AB4678" i="34"/>
  <c r="AC4678" i="34"/>
  <c r="AD4678" i="34"/>
  <c r="P4679" i="34"/>
  <c r="T4679" i="34"/>
  <c r="U4679" i="34"/>
  <c r="V4679" i="34"/>
  <c r="W4679" i="34"/>
  <c r="Y4679" i="34"/>
  <c r="AB4679" i="34"/>
  <c r="AC4679" i="34"/>
  <c r="AD4679" i="34"/>
  <c r="P4680" i="34"/>
  <c r="T4680" i="34"/>
  <c r="U4680" i="34"/>
  <c r="V4680" i="34"/>
  <c r="W4680" i="34"/>
  <c r="Y4680" i="34"/>
  <c r="AB4680" i="34"/>
  <c r="AC4680" i="34"/>
  <c r="AD4680" i="34"/>
  <c r="P4682" i="34"/>
  <c r="T4682" i="34"/>
  <c r="U4682" i="34"/>
  <c r="V4682" i="34"/>
  <c r="W4682" i="34"/>
  <c r="Y4682" i="34"/>
  <c r="AB4682" i="34"/>
  <c r="AC4682" i="34"/>
  <c r="AD4682" i="34"/>
  <c r="P4683" i="34"/>
  <c r="T4683" i="34"/>
  <c r="U4683" i="34"/>
  <c r="V4683" i="34"/>
  <c r="W4683" i="34"/>
  <c r="Y4683" i="34"/>
  <c r="AB4683" i="34"/>
  <c r="AC4683" i="34"/>
  <c r="AD4683" i="34"/>
  <c r="P4684" i="34"/>
  <c r="T4684" i="34"/>
  <c r="U4684" i="34"/>
  <c r="V4684" i="34"/>
  <c r="W4684" i="34"/>
  <c r="Y4684" i="34"/>
  <c r="AB4684" i="34"/>
  <c r="AC4684" i="34"/>
  <c r="AD4684" i="34"/>
  <c r="P4686" i="34"/>
  <c r="T4686" i="34"/>
  <c r="U4686" i="34"/>
  <c r="V4686" i="34"/>
  <c r="W4686" i="34"/>
  <c r="Y4686" i="34"/>
  <c r="AB4686" i="34"/>
  <c r="AC4686" i="34"/>
  <c r="AD4686" i="34"/>
  <c r="P4687" i="34"/>
  <c r="T4687" i="34"/>
  <c r="U4687" i="34"/>
  <c r="V4687" i="34"/>
  <c r="W4687" i="34"/>
  <c r="Y4687" i="34"/>
  <c r="AB4687" i="34"/>
  <c r="AC4687" i="34"/>
  <c r="AD4687" i="34"/>
  <c r="P4688" i="34"/>
  <c r="T4688" i="34"/>
  <c r="U4688" i="34"/>
  <c r="V4688" i="34"/>
  <c r="W4688" i="34"/>
  <c r="Y4688" i="34"/>
  <c r="AB4688" i="34"/>
  <c r="AC4688" i="34"/>
  <c r="AD4688" i="34"/>
  <c r="P4689" i="34"/>
  <c r="T4689" i="34"/>
  <c r="U4689" i="34"/>
  <c r="V4689" i="34"/>
  <c r="W4689" i="34"/>
  <c r="Y4689" i="34"/>
  <c r="AB4689" i="34"/>
  <c r="AC4689" i="34"/>
  <c r="AD4689" i="34"/>
  <c r="P4714" i="34"/>
  <c r="T4714" i="34"/>
  <c r="U4714" i="34"/>
  <c r="V4714" i="34"/>
  <c r="W4714" i="34"/>
  <c r="Y4714" i="34"/>
  <c r="AB4714" i="34"/>
  <c r="AC4714" i="34"/>
  <c r="AD4714" i="34"/>
  <c r="P4715" i="34"/>
  <c r="T4715" i="34"/>
  <c r="U4715" i="34"/>
  <c r="V4715" i="34"/>
  <c r="W4715" i="34"/>
  <c r="Y4715" i="34"/>
  <c r="AB4715" i="34"/>
  <c r="AC4715" i="34"/>
  <c r="AD4715" i="34"/>
  <c r="P4716" i="34"/>
  <c r="T4716" i="34"/>
  <c r="U4716" i="34"/>
  <c r="V4716" i="34"/>
  <c r="W4716" i="34"/>
  <c r="Y4716" i="34"/>
  <c r="AB4716" i="34"/>
  <c r="AC4716" i="34"/>
  <c r="AD4716" i="34"/>
  <c r="P4711" i="34"/>
  <c r="T4711" i="34"/>
  <c r="U4711" i="34"/>
  <c r="V4711" i="34"/>
  <c r="W4711" i="34"/>
  <c r="Y4711" i="34"/>
  <c r="AB4711" i="34"/>
  <c r="AC4711" i="34"/>
  <c r="AD4711" i="34"/>
  <c r="P4712" i="34"/>
  <c r="T4712" i="34"/>
  <c r="U4712" i="34"/>
  <c r="V4712" i="34"/>
  <c r="W4712" i="34"/>
  <c r="Y4712" i="34"/>
  <c r="AB4712" i="34"/>
  <c r="AC4712" i="34"/>
  <c r="AD4712" i="34"/>
  <c r="P4859" i="34"/>
  <c r="T4859" i="34"/>
  <c r="U4859" i="34"/>
  <c r="V4859" i="34"/>
  <c r="W4859" i="34"/>
  <c r="Y4859" i="34"/>
  <c r="AB4859" i="34"/>
  <c r="AC4859" i="34"/>
  <c r="AD4859" i="34"/>
  <c r="P4860" i="34"/>
  <c r="T4860" i="34"/>
  <c r="U4860" i="34"/>
  <c r="V4860" i="34"/>
  <c r="W4860" i="34"/>
  <c r="Y4860" i="34"/>
  <c r="AB4860" i="34"/>
  <c r="AC4860" i="34"/>
  <c r="AD4860" i="34"/>
  <c r="P4861" i="34"/>
  <c r="T4861" i="34"/>
  <c r="U4861" i="34"/>
  <c r="V4861" i="34"/>
  <c r="W4861" i="34"/>
  <c r="Y4861" i="34"/>
  <c r="AB4861" i="34"/>
  <c r="AC4861" i="34"/>
  <c r="AD4861" i="34"/>
  <c r="P4713" i="34"/>
  <c r="T4713" i="34"/>
  <c r="U4713" i="34"/>
  <c r="V4713" i="34"/>
  <c r="W4713" i="34"/>
  <c r="Y4713" i="34"/>
  <c r="AB4713" i="34"/>
  <c r="AC4713" i="34"/>
  <c r="AD4713" i="34"/>
  <c r="P4720" i="34"/>
  <c r="T4720" i="34"/>
  <c r="U4720" i="34"/>
  <c r="V4720" i="34"/>
  <c r="W4720" i="34"/>
  <c r="Y4720" i="34"/>
  <c r="AB4720" i="34"/>
  <c r="AC4720" i="34"/>
  <c r="AD4720" i="34"/>
  <c r="P4721" i="34"/>
  <c r="T4721" i="34"/>
  <c r="U4721" i="34"/>
  <c r="V4721" i="34"/>
  <c r="W4721" i="34"/>
  <c r="Y4721" i="34"/>
  <c r="AB4721" i="34"/>
  <c r="AC4721" i="34"/>
  <c r="AD4721" i="34"/>
  <c r="P4722" i="34"/>
  <c r="T4722" i="34"/>
  <c r="U4722" i="34"/>
  <c r="V4722" i="34"/>
  <c r="W4722" i="34"/>
  <c r="Y4722" i="34"/>
  <c r="AB4722" i="34"/>
  <c r="AC4722" i="34"/>
  <c r="AD4722" i="34"/>
  <c r="P4723" i="34"/>
  <c r="T4723" i="34"/>
  <c r="U4723" i="34"/>
  <c r="V4723" i="34"/>
  <c r="W4723" i="34"/>
  <c r="Y4723" i="34"/>
  <c r="AB4723" i="34"/>
  <c r="AC4723" i="34"/>
  <c r="AD4723" i="34"/>
  <c r="P4724" i="34"/>
  <c r="T4724" i="34"/>
  <c r="U4724" i="34"/>
  <c r="V4724" i="34"/>
  <c r="W4724" i="34"/>
  <c r="Y4724" i="34"/>
  <c r="AB4724" i="34"/>
  <c r="AC4724" i="34"/>
  <c r="AD4724" i="34"/>
  <c r="P4725" i="34"/>
  <c r="T4725" i="34"/>
  <c r="U4725" i="34"/>
  <c r="V4725" i="34"/>
  <c r="W4725" i="34"/>
  <c r="Y4725" i="34"/>
  <c r="AB4725" i="34"/>
  <c r="AC4725" i="34"/>
  <c r="AD4725" i="34"/>
  <c r="P4726" i="34"/>
  <c r="T4726" i="34"/>
  <c r="U4726" i="34"/>
  <c r="V4726" i="34"/>
  <c r="W4726" i="34"/>
  <c r="Y4726" i="34"/>
  <c r="AB4726" i="34"/>
  <c r="AC4726" i="34"/>
  <c r="AD4726" i="34"/>
  <c r="P4727" i="34"/>
  <c r="T4727" i="34"/>
  <c r="U4727" i="34"/>
  <c r="V4727" i="34"/>
  <c r="W4727" i="34"/>
  <c r="Y4727" i="34"/>
  <c r="AB4727" i="34"/>
  <c r="AC4727" i="34"/>
  <c r="AD4727" i="34"/>
  <c r="P4729" i="34"/>
  <c r="T4729" i="34"/>
  <c r="U4729" i="34"/>
  <c r="V4729" i="34"/>
  <c r="W4729" i="34"/>
  <c r="Y4729" i="34"/>
  <c r="AB4729" i="34"/>
  <c r="AC4729" i="34"/>
  <c r="AD4729" i="34"/>
  <c r="P4730" i="34"/>
  <c r="T4730" i="34"/>
  <c r="U4730" i="34"/>
  <c r="V4730" i="34"/>
  <c r="W4730" i="34"/>
  <c r="Y4730" i="34"/>
  <c r="AB4730" i="34"/>
  <c r="AC4730" i="34"/>
  <c r="AD4730" i="34"/>
  <c r="P4731" i="34"/>
  <c r="T4731" i="34"/>
  <c r="U4731" i="34"/>
  <c r="V4731" i="34"/>
  <c r="W4731" i="34"/>
  <c r="Y4731" i="34"/>
  <c r="AB4731" i="34"/>
  <c r="AC4731" i="34"/>
  <c r="AD4731" i="34"/>
  <c r="P4732" i="34"/>
  <c r="T4732" i="34"/>
  <c r="U4732" i="34"/>
  <c r="V4732" i="34"/>
  <c r="W4732" i="34"/>
  <c r="Y4732" i="34"/>
  <c r="AB4732" i="34"/>
  <c r="AC4732" i="34"/>
  <c r="AD4732" i="34"/>
  <c r="P4736" i="34"/>
  <c r="T4736" i="34"/>
  <c r="U4736" i="34"/>
  <c r="V4736" i="34"/>
  <c r="W4736" i="34"/>
  <c r="Y4736" i="34"/>
  <c r="AB4736" i="34"/>
  <c r="AC4736" i="34"/>
  <c r="AD4736" i="34"/>
  <c r="P4737" i="34"/>
  <c r="T4737" i="34"/>
  <c r="U4737" i="34"/>
  <c r="V4737" i="34"/>
  <c r="W4737" i="34"/>
  <c r="Y4737" i="34"/>
  <c r="AB4737" i="34"/>
  <c r="AC4737" i="34"/>
  <c r="AD4737" i="34"/>
  <c r="P4738" i="34"/>
  <c r="T4738" i="34"/>
  <c r="U4738" i="34"/>
  <c r="V4738" i="34"/>
  <c r="W4738" i="34"/>
  <c r="Y4738" i="34"/>
  <c r="AB4738" i="34"/>
  <c r="AC4738" i="34"/>
  <c r="AD4738" i="34"/>
  <c r="P4744" i="34"/>
  <c r="T4744" i="34"/>
  <c r="U4744" i="34"/>
  <c r="V4744" i="34"/>
  <c r="W4744" i="34"/>
  <c r="Y4744" i="34"/>
  <c r="AB4744" i="34"/>
  <c r="AC4744" i="34"/>
  <c r="AD4744" i="34"/>
  <c r="P4745" i="34"/>
  <c r="T4745" i="34"/>
  <c r="U4745" i="34"/>
  <c r="V4745" i="34"/>
  <c r="W4745" i="34"/>
  <c r="Y4745" i="34"/>
  <c r="AB4745" i="34"/>
  <c r="AC4745" i="34"/>
  <c r="AD4745" i="34"/>
  <c r="P4746" i="34"/>
  <c r="T4746" i="34"/>
  <c r="U4746" i="34"/>
  <c r="V4746" i="34"/>
  <c r="W4746" i="34"/>
  <c r="Y4746" i="34"/>
  <c r="AB4746" i="34"/>
  <c r="AC4746" i="34"/>
  <c r="AD4746" i="34"/>
  <c r="P4761" i="34"/>
  <c r="T4761" i="34"/>
  <c r="U4761" i="34"/>
  <c r="V4761" i="34"/>
  <c r="W4761" i="34"/>
  <c r="Y4761" i="34"/>
  <c r="AB4761" i="34"/>
  <c r="AC4761" i="34"/>
  <c r="AD4761" i="34"/>
  <c r="P4762" i="34"/>
  <c r="T4762" i="34"/>
  <c r="U4762" i="34"/>
  <c r="V4762" i="34"/>
  <c r="W4762" i="34"/>
  <c r="Y4762" i="34"/>
  <c r="AB4762" i="34"/>
  <c r="AC4762" i="34"/>
  <c r="AD4762" i="34"/>
  <c r="P4763" i="34"/>
  <c r="T4763" i="34"/>
  <c r="U4763" i="34"/>
  <c r="V4763" i="34"/>
  <c r="W4763" i="34"/>
  <c r="Y4763" i="34"/>
  <c r="AB4763" i="34"/>
  <c r="AC4763" i="34"/>
  <c r="AD4763" i="34"/>
  <c r="P4764" i="34"/>
  <c r="T4764" i="34"/>
  <c r="U4764" i="34"/>
  <c r="V4764" i="34"/>
  <c r="W4764" i="34"/>
  <c r="Y4764" i="34"/>
  <c r="AB4764" i="34"/>
  <c r="AC4764" i="34"/>
  <c r="AD4764" i="34"/>
  <c r="P4770" i="34"/>
  <c r="T4770" i="34"/>
  <c r="U4770" i="34"/>
  <c r="V4770" i="34"/>
  <c r="W4770" i="34"/>
  <c r="Y4770" i="34"/>
  <c r="AB4770" i="34"/>
  <c r="AC4770" i="34"/>
  <c r="AD4770" i="34"/>
  <c r="P4771" i="34"/>
  <c r="T4771" i="34"/>
  <c r="U4771" i="34"/>
  <c r="V4771" i="34"/>
  <c r="W4771" i="34"/>
  <c r="Y4771" i="34"/>
  <c r="AB4771" i="34"/>
  <c r="AC4771" i="34"/>
  <c r="AD4771" i="34"/>
  <c r="P4773" i="34"/>
  <c r="T4773" i="34"/>
  <c r="U4773" i="34"/>
  <c r="V4773" i="34"/>
  <c r="W4773" i="34"/>
  <c r="Y4773" i="34"/>
  <c r="AB4773" i="34"/>
  <c r="AC4773" i="34"/>
  <c r="AD4773" i="34"/>
  <c r="P4774" i="34"/>
  <c r="T4774" i="34"/>
  <c r="U4774" i="34"/>
  <c r="V4774" i="34"/>
  <c r="W4774" i="34"/>
  <c r="Y4774" i="34"/>
  <c r="AB4774" i="34"/>
  <c r="AC4774" i="34"/>
  <c r="AD4774" i="34"/>
  <c r="P4775" i="34"/>
  <c r="T4775" i="34"/>
  <c r="U4775" i="34"/>
  <c r="V4775" i="34"/>
  <c r="W4775" i="34"/>
  <c r="Y4775" i="34"/>
  <c r="AB4775" i="34"/>
  <c r="AC4775" i="34"/>
  <c r="AD4775" i="34"/>
  <c r="P4776" i="34"/>
  <c r="T4776" i="34"/>
  <c r="U4776" i="34"/>
  <c r="V4776" i="34"/>
  <c r="W4776" i="34"/>
  <c r="Y4776" i="34"/>
  <c r="AB4776" i="34"/>
  <c r="AC4776" i="34"/>
  <c r="AD4776" i="34"/>
  <c r="P4772" i="34"/>
  <c r="T4772" i="34"/>
  <c r="U4772" i="34"/>
  <c r="V4772" i="34"/>
  <c r="W4772" i="34"/>
  <c r="Y4772" i="34"/>
  <c r="AB4772" i="34"/>
  <c r="AC4772" i="34"/>
  <c r="AD4772" i="34"/>
  <c r="P4777" i="34"/>
  <c r="T4777" i="34"/>
  <c r="U4777" i="34"/>
  <c r="V4777" i="34"/>
  <c r="W4777" i="34"/>
  <c r="Y4777" i="34"/>
  <c r="AB4777" i="34"/>
  <c r="AC4777" i="34"/>
  <c r="AD4777" i="34"/>
  <c r="P4778" i="34"/>
  <c r="T4778" i="34"/>
  <c r="U4778" i="34"/>
  <c r="V4778" i="34"/>
  <c r="W4778" i="34"/>
  <c r="Y4778" i="34"/>
  <c r="AB4778" i="34"/>
  <c r="AC4778" i="34"/>
  <c r="AD4778" i="34"/>
  <c r="P4779" i="34"/>
  <c r="T4779" i="34"/>
  <c r="U4779" i="34"/>
  <c r="V4779" i="34"/>
  <c r="W4779" i="34"/>
  <c r="Y4779" i="34"/>
  <c r="AB4779" i="34"/>
  <c r="AC4779" i="34"/>
  <c r="AD4779" i="34"/>
  <c r="P4780" i="34"/>
  <c r="T4780" i="34"/>
  <c r="U4780" i="34"/>
  <c r="V4780" i="34"/>
  <c r="W4780" i="34"/>
  <c r="Y4780" i="34"/>
  <c r="AB4780" i="34"/>
  <c r="AC4780" i="34"/>
  <c r="AD4780" i="34"/>
  <c r="P4781" i="34"/>
  <c r="T4781" i="34"/>
  <c r="U4781" i="34"/>
  <c r="V4781" i="34"/>
  <c r="W4781" i="34"/>
  <c r="Y4781" i="34"/>
  <c r="AB4781" i="34"/>
  <c r="AC4781" i="34"/>
  <c r="AD4781" i="34"/>
  <c r="P4782" i="34"/>
  <c r="T4782" i="34"/>
  <c r="U4782" i="34"/>
  <c r="V4782" i="34"/>
  <c r="W4782" i="34"/>
  <c r="Y4782" i="34"/>
  <c r="AB4782" i="34"/>
  <c r="AC4782" i="34"/>
  <c r="AD4782" i="34"/>
  <c r="P4783" i="34"/>
  <c r="T4783" i="34"/>
  <c r="U4783" i="34"/>
  <c r="V4783" i="34"/>
  <c r="W4783" i="34"/>
  <c r="Y4783" i="34"/>
  <c r="AB4783" i="34"/>
  <c r="AC4783" i="34"/>
  <c r="AD4783" i="34"/>
  <c r="P4801" i="34"/>
  <c r="T4801" i="34"/>
  <c r="U4801" i="34"/>
  <c r="V4801" i="34"/>
  <c r="W4801" i="34"/>
  <c r="Y4801" i="34"/>
  <c r="AB4801" i="34"/>
  <c r="AC4801" i="34"/>
  <c r="AD4801" i="34"/>
  <c r="P4794" i="34"/>
  <c r="T4794" i="34"/>
  <c r="U4794" i="34"/>
  <c r="V4794" i="34"/>
  <c r="W4794" i="34"/>
  <c r="Y4794" i="34"/>
  <c r="AB4794" i="34"/>
  <c r="AC4794" i="34"/>
  <c r="AD4794" i="34"/>
  <c r="P4802" i="34"/>
  <c r="T4802" i="34"/>
  <c r="U4802" i="34"/>
  <c r="V4802" i="34"/>
  <c r="W4802" i="34"/>
  <c r="Y4802" i="34"/>
  <c r="AB4802" i="34"/>
  <c r="AC4802" i="34"/>
  <c r="AD4802" i="34"/>
  <c r="P4803" i="34"/>
  <c r="T4803" i="34"/>
  <c r="U4803" i="34"/>
  <c r="V4803" i="34"/>
  <c r="W4803" i="34"/>
  <c r="Y4803" i="34"/>
  <c r="AB4803" i="34"/>
  <c r="AC4803" i="34"/>
  <c r="AD4803" i="34"/>
  <c r="P4804" i="34"/>
  <c r="T4804" i="34"/>
  <c r="U4804" i="34"/>
  <c r="V4804" i="34"/>
  <c r="W4804" i="34"/>
  <c r="Y4804" i="34"/>
  <c r="AB4804" i="34"/>
  <c r="AC4804" i="34"/>
  <c r="AD4804" i="34"/>
  <c r="P4805" i="34"/>
  <c r="T4805" i="34"/>
  <c r="U4805" i="34"/>
  <c r="V4805" i="34"/>
  <c r="W4805" i="34"/>
  <c r="Y4805" i="34"/>
  <c r="AB4805" i="34"/>
  <c r="AC4805" i="34"/>
  <c r="AD4805" i="34"/>
  <c r="P4806" i="34"/>
  <c r="T4806" i="34"/>
  <c r="U4806" i="34"/>
  <c r="V4806" i="34"/>
  <c r="W4806" i="34"/>
  <c r="Y4806" i="34"/>
  <c r="AB4806" i="34"/>
  <c r="AC4806" i="34"/>
  <c r="AD4806" i="34"/>
  <c r="P4807" i="34"/>
  <c r="T4807" i="34"/>
  <c r="U4807" i="34"/>
  <c r="V4807" i="34"/>
  <c r="W4807" i="34"/>
  <c r="Y4807" i="34"/>
  <c r="AB4807" i="34"/>
  <c r="AC4807" i="34"/>
  <c r="AD4807" i="34"/>
  <c r="P4808" i="34"/>
  <c r="T4808" i="34"/>
  <c r="U4808" i="34"/>
  <c r="V4808" i="34"/>
  <c r="W4808" i="34"/>
  <c r="Y4808" i="34"/>
  <c r="AB4808" i="34"/>
  <c r="AC4808" i="34"/>
  <c r="AD4808" i="34"/>
  <c r="P4809" i="34"/>
  <c r="T4809" i="34"/>
  <c r="U4809" i="34"/>
  <c r="V4809" i="34"/>
  <c r="W4809" i="34"/>
  <c r="Y4809" i="34"/>
  <c r="AB4809" i="34"/>
  <c r="AC4809" i="34"/>
  <c r="AD4809" i="34"/>
  <c r="P4823" i="34"/>
  <c r="T4823" i="34"/>
  <c r="U4823" i="34"/>
  <c r="V4823" i="34"/>
  <c r="W4823" i="34"/>
  <c r="Y4823" i="34"/>
  <c r="AB4823" i="34"/>
  <c r="AC4823" i="34"/>
  <c r="AD4823" i="34"/>
  <c r="P4824" i="34"/>
  <c r="T4824" i="34"/>
  <c r="U4824" i="34"/>
  <c r="V4824" i="34"/>
  <c r="W4824" i="34"/>
  <c r="Y4824" i="34"/>
  <c r="AB4824" i="34"/>
  <c r="AC4824" i="34"/>
  <c r="AD4824" i="34"/>
  <c r="P4825" i="34"/>
  <c r="T4825" i="34"/>
  <c r="U4825" i="34"/>
  <c r="V4825" i="34"/>
  <c r="W4825" i="34"/>
  <c r="Y4825" i="34"/>
  <c r="AB4825" i="34"/>
  <c r="AC4825" i="34"/>
  <c r="AD4825" i="34"/>
  <c r="P4832" i="34"/>
  <c r="T4832" i="34"/>
  <c r="U4832" i="34"/>
  <c r="V4832" i="34"/>
  <c r="W4832" i="34"/>
  <c r="Y4832" i="34"/>
  <c r="AB4832" i="34"/>
  <c r="AC4832" i="34"/>
  <c r="AD4832" i="34"/>
  <c r="P4833" i="34"/>
  <c r="T4833" i="34"/>
  <c r="U4833" i="34"/>
  <c r="V4833" i="34"/>
  <c r="W4833" i="34"/>
  <c r="Y4833" i="34"/>
  <c r="AB4833" i="34"/>
  <c r="AC4833" i="34"/>
  <c r="AD4833" i="34"/>
  <c r="P4839" i="34"/>
  <c r="T4839" i="34"/>
  <c r="U4839" i="34"/>
  <c r="V4839" i="34"/>
  <c r="W4839" i="34"/>
  <c r="Y4839" i="34"/>
  <c r="AB4839" i="34"/>
  <c r="AC4839" i="34"/>
  <c r="AD4839" i="34"/>
  <c r="P4850" i="34"/>
  <c r="T4850" i="34"/>
  <c r="U4850" i="34"/>
  <c r="V4850" i="34"/>
  <c r="W4850" i="34"/>
  <c r="Y4850" i="34"/>
  <c r="AB4850" i="34"/>
  <c r="AC4850" i="34"/>
  <c r="AD4850" i="34"/>
  <c r="P4851" i="34"/>
  <c r="T4851" i="34"/>
  <c r="U4851" i="34"/>
  <c r="V4851" i="34"/>
  <c r="W4851" i="34"/>
  <c r="Y4851" i="34"/>
  <c r="AB4851" i="34"/>
  <c r="AC4851" i="34"/>
  <c r="AD4851" i="34"/>
  <c r="P4852" i="34"/>
  <c r="T4852" i="34"/>
  <c r="U4852" i="34"/>
  <c r="V4852" i="34"/>
  <c r="W4852" i="34"/>
  <c r="Y4852" i="34"/>
  <c r="AB4852" i="34"/>
  <c r="AC4852" i="34"/>
  <c r="AD4852" i="34"/>
  <c r="P4853" i="34"/>
  <c r="T4853" i="34"/>
  <c r="U4853" i="34"/>
  <c r="V4853" i="34"/>
  <c r="W4853" i="34"/>
  <c r="Y4853" i="34"/>
  <c r="AB4853" i="34"/>
  <c r="AC4853" i="34"/>
  <c r="AD4853" i="34"/>
  <c r="P4854" i="34"/>
  <c r="T4854" i="34"/>
  <c r="U4854" i="34"/>
  <c r="V4854" i="34"/>
  <c r="W4854" i="34"/>
  <c r="Y4854" i="34"/>
  <c r="AB4854" i="34"/>
  <c r="AC4854" i="34"/>
  <c r="AD4854" i="34"/>
  <c r="P4872" i="34"/>
  <c r="T4872" i="34"/>
  <c r="U4872" i="34"/>
  <c r="V4872" i="34"/>
  <c r="W4872" i="34"/>
  <c r="Y4872" i="34"/>
  <c r="AB4872" i="34"/>
  <c r="AC4872" i="34"/>
  <c r="AD4872" i="34"/>
  <c r="P4874" i="34"/>
  <c r="T4874" i="34"/>
  <c r="U4874" i="34"/>
  <c r="V4874" i="34"/>
  <c r="W4874" i="34"/>
  <c r="Y4874" i="34"/>
  <c r="AB4874" i="34"/>
  <c r="AC4874" i="34"/>
  <c r="AD4874" i="34"/>
  <c r="P4875" i="34"/>
  <c r="T4875" i="34"/>
  <c r="U4875" i="34"/>
  <c r="V4875" i="34"/>
  <c r="W4875" i="34"/>
  <c r="Y4875" i="34"/>
  <c r="AB4875" i="34"/>
  <c r="AC4875" i="34"/>
  <c r="AD4875" i="34"/>
  <c r="P4876" i="34"/>
  <c r="T4876" i="34"/>
  <c r="U4876" i="34"/>
  <c r="V4876" i="34"/>
  <c r="W4876" i="34"/>
  <c r="Y4876" i="34"/>
  <c r="AB4876" i="34"/>
  <c r="AC4876" i="34"/>
  <c r="AD4876" i="34"/>
  <c r="P4877" i="34"/>
  <c r="T4877" i="34"/>
  <c r="U4877" i="34"/>
  <c r="V4877" i="34"/>
  <c r="W4877" i="34"/>
  <c r="Y4877" i="34"/>
  <c r="AB4877" i="34"/>
  <c r="AC4877" i="34"/>
  <c r="AD4877" i="34"/>
  <c r="P4888" i="34"/>
  <c r="T4888" i="34"/>
  <c r="U4888" i="34"/>
  <c r="V4888" i="34"/>
  <c r="W4888" i="34"/>
  <c r="Y4888" i="34"/>
  <c r="AB4888" i="34"/>
  <c r="AC4888" i="34"/>
  <c r="AD4888" i="34"/>
  <c r="P4889" i="34"/>
  <c r="T4889" i="34"/>
  <c r="U4889" i="34"/>
  <c r="V4889" i="34"/>
  <c r="W4889" i="34"/>
  <c r="Y4889" i="34"/>
  <c r="AB4889" i="34"/>
  <c r="AC4889" i="34"/>
  <c r="AD4889" i="34"/>
  <c r="P4890" i="34"/>
  <c r="T4890" i="34"/>
  <c r="U4890" i="34"/>
  <c r="V4890" i="34"/>
  <c r="W4890" i="34"/>
  <c r="Y4890" i="34"/>
  <c r="AB4890" i="34"/>
  <c r="AC4890" i="34"/>
  <c r="AD4890" i="34"/>
  <c r="P4891" i="34"/>
  <c r="T4891" i="34"/>
  <c r="U4891" i="34"/>
  <c r="V4891" i="34"/>
  <c r="W4891" i="34"/>
  <c r="Y4891" i="34"/>
  <c r="AB4891" i="34"/>
  <c r="AC4891" i="34"/>
  <c r="AD4891" i="34"/>
  <c r="P4892" i="34"/>
  <c r="T4892" i="34"/>
  <c r="U4892" i="34"/>
  <c r="V4892" i="34"/>
  <c r="W4892" i="34"/>
  <c r="Y4892" i="34"/>
  <c r="AB4892" i="34"/>
  <c r="AC4892" i="34"/>
  <c r="AD4892" i="34"/>
  <c r="P4900" i="34"/>
  <c r="T4900" i="34"/>
  <c r="U4900" i="34"/>
  <c r="V4900" i="34"/>
  <c r="W4900" i="34"/>
  <c r="Y4900" i="34"/>
  <c r="AB4900" i="34"/>
  <c r="AC4900" i="34"/>
  <c r="AD4900" i="34"/>
  <c r="P4901" i="34"/>
  <c r="T4901" i="34"/>
  <c r="U4901" i="34"/>
  <c r="V4901" i="34"/>
  <c r="W4901" i="34"/>
  <c r="Y4901" i="34"/>
  <c r="AB4901" i="34"/>
  <c r="AC4901" i="34"/>
  <c r="AD4901" i="34"/>
  <c r="P4902" i="34"/>
  <c r="T4902" i="34"/>
  <c r="U4902" i="34"/>
  <c r="V4902" i="34"/>
  <c r="W4902" i="34"/>
  <c r="Y4902" i="34"/>
  <c r="AB4902" i="34"/>
  <c r="AC4902" i="34"/>
  <c r="AD4902" i="34"/>
  <c r="P4903" i="34"/>
  <c r="T4903" i="34"/>
  <c r="U4903" i="34"/>
  <c r="V4903" i="34"/>
  <c r="W4903" i="34"/>
  <c r="Y4903" i="34"/>
  <c r="AB4903" i="34"/>
  <c r="AC4903" i="34"/>
  <c r="AD4903" i="34"/>
  <c r="P4904" i="34"/>
  <c r="T4904" i="34"/>
  <c r="U4904" i="34"/>
  <c r="V4904" i="34"/>
  <c r="W4904" i="34"/>
  <c r="Y4904" i="34"/>
  <c r="AB4904" i="34"/>
  <c r="AC4904" i="34"/>
  <c r="AD4904" i="34"/>
  <c r="P4929" i="34"/>
  <c r="T4929" i="34"/>
  <c r="U4929" i="34"/>
  <c r="V4929" i="34"/>
  <c r="W4929" i="34"/>
  <c r="Y4929" i="34"/>
  <c r="AB4929" i="34"/>
  <c r="AC4929" i="34"/>
  <c r="AD4929" i="34"/>
  <c r="P4930" i="34"/>
  <c r="T4930" i="34"/>
  <c r="U4930" i="34"/>
  <c r="V4930" i="34"/>
  <c r="W4930" i="34"/>
  <c r="Y4930" i="34"/>
  <c r="AB4930" i="34"/>
  <c r="AC4930" i="34"/>
  <c r="AD4930" i="34"/>
  <c r="P4931" i="34"/>
  <c r="T4931" i="34"/>
  <c r="U4931" i="34"/>
  <c r="V4931" i="34"/>
  <c r="W4931" i="34"/>
  <c r="Y4931" i="34"/>
  <c r="AB4931" i="34"/>
  <c r="AC4931" i="34"/>
  <c r="AD4931" i="34"/>
  <c r="P4932" i="34"/>
  <c r="T4932" i="34"/>
  <c r="U4932" i="34"/>
  <c r="V4932" i="34"/>
  <c r="W4932" i="34"/>
  <c r="Y4932" i="34"/>
  <c r="AB4932" i="34"/>
  <c r="AC4932" i="34"/>
  <c r="AD4932" i="34"/>
  <c r="P4933" i="34"/>
  <c r="T4933" i="34"/>
  <c r="U4933" i="34"/>
  <c r="V4933" i="34"/>
  <c r="W4933" i="34"/>
  <c r="Y4933" i="34"/>
  <c r="AB4933" i="34"/>
  <c r="AC4933" i="34"/>
  <c r="AD4933" i="34"/>
  <c r="P4934" i="34"/>
  <c r="T4934" i="34"/>
  <c r="U4934" i="34"/>
  <c r="V4934" i="34"/>
  <c r="W4934" i="34"/>
  <c r="Y4934" i="34"/>
  <c r="AB4934" i="34"/>
  <c r="AC4934" i="34"/>
  <c r="AD4934" i="34"/>
  <c r="P4935" i="34"/>
  <c r="T4935" i="34"/>
  <c r="U4935" i="34"/>
  <c r="V4935" i="34"/>
  <c r="W4935" i="34"/>
  <c r="Y4935" i="34"/>
  <c r="AB4935" i="34"/>
  <c r="AC4935" i="34"/>
  <c r="AD4935" i="34"/>
  <c r="P4936" i="34"/>
  <c r="T4936" i="34"/>
  <c r="U4936" i="34"/>
  <c r="V4936" i="34"/>
  <c r="W4936" i="34"/>
  <c r="Y4936" i="34"/>
  <c r="AB4936" i="34"/>
  <c r="AC4936" i="34"/>
  <c r="AD4936" i="34"/>
  <c r="P4937" i="34"/>
  <c r="T4937" i="34"/>
  <c r="U4937" i="34"/>
  <c r="V4937" i="34"/>
  <c r="W4937" i="34"/>
  <c r="Y4937" i="34"/>
  <c r="AB4937" i="34"/>
  <c r="AC4937" i="34"/>
  <c r="AD4937" i="34"/>
  <c r="P4938" i="34"/>
  <c r="T4938" i="34"/>
  <c r="U4938" i="34"/>
  <c r="V4938" i="34"/>
  <c r="W4938" i="34"/>
  <c r="Y4938" i="34"/>
  <c r="AB4938" i="34"/>
  <c r="AC4938" i="34"/>
  <c r="AD4938" i="34"/>
  <c r="P4939" i="34"/>
  <c r="T4939" i="34"/>
  <c r="U4939" i="34"/>
  <c r="V4939" i="34"/>
  <c r="W4939" i="34"/>
  <c r="Y4939" i="34"/>
  <c r="AB4939" i="34"/>
  <c r="AC4939" i="34"/>
  <c r="AD4939" i="34"/>
  <c r="P4942" i="34"/>
  <c r="T4942" i="34"/>
  <c r="U4942" i="34"/>
  <c r="V4942" i="34"/>
  <c r="W4942" i="34"/>
  <c r="Y4942" i="34"/>
  <c r="AB4942" i="34"/>
  <c r="AC4942" i="34"/>
  <c r="AD4942" i="34"/>
  <c r="P4943" i="34"/>
  <c r="T4943" i="34"/>
  <c r="U4943" i="34"/>
  <c r="V4943" i="34"/>
  <c r="W4943" i="34"/>
  <c r="Y4943" i="34"/>
  <c r="AB4943" i="34"/>
  <c r="AC4943" i="34"/>
  <c r="AD4943" i="34"/>
  <c r="P4950" i="34"/>
  <c r="T4950" i="34"/>
  <c r="U4950" i="34"/>
  <c r="V4950" i="34"/>
  <c r="W4950" i="34"/>
  <c r="Y4950" i="34"/>
  <c r="AB4950" i="34"/>
  <c r="AC4950" i="34"/>
  <c r="AD4950" i="34"/>
  <c r="P4795" i="34"/>
  <c r="T4795" i="34"/>
  <c r="U4795" i="34"/>
  <c r="V4795" i="34"/>
  <c r="W4795" i="34"/>
  <c r="Y4795" i="34"/>
  <c r="AB4795" i="34"/>
  <c r="AC4795" i="34"/>
  <c r="AD4795" i="34"/>
  <c r="P4960" i="34"/>
  <c r="T4960" i="34"/>
  <c r="U4960" i="34"/>
  <c r="V4960" i="34"/>
  <c r="W4960" i="34"/>
  <c r="Y4960" i="34"/>
  <c r="AB4960" i="34"/>
  <c r="AC4960" i="34"/>
  <c r="AD4960" i="34"/>
  <c r="P4796" i="34"/>
  <c r="T4796" i="34"/>
  <c r="U4796" i="34"/>
  <c r="V4796" i="34"/>
  <c r="W4796" i="34"/>
  <c r="Y4796" i="34"/>
  <c r="AB4796" i="34"/>
  <c r="AC4796" i="34"/>
  <c r="AD4796" i="34"/>
  <c r="P4961" i="34"/>
  <c r="T4961" i="34"/>
  <c r="U4961" i="34"/>
  <c r="V4961" i="34"/>
  <c r="W4961" i="34"/>
  <c r="Y4961" i="34"/>
  <c r="AB4961" i="34"/>
  <c r="AC4961" i="34"/>
  <c r="AD4961" i="34"/>
  <c r="P4962" i="34"/>
  <c r="T4962" i="34"/>
  <c r="U4962" i="34"/>
  <c r="V4962" i="34"/>
  <c r="W4962" i="34"/>
  <c r="Y4962" i="34"/>
  <c r="AB4962" i="34"/>
  <c r="AC4962" i="34"/>
  <c r="AD4962" i="34"/>
  <c r="P4963" i="34"/>
  <c r="T4963" i="34"/>
  <c r="U4963" i="34"/>
  <c r="V4963" i="34"/>
  <c r="W4963" i="34"/>
  <c r="Y4963" i="34"/>
  <c r="AB4963" i="34"/>
  <c r="AC4963" i="34"/>
  <c r="AD4963" i="34"/>
  <c r="P4978" i="34"/>
  <c r="T4978" i="34"/>
  <c r="U4978" i="34"/>
  <c r="V4978" i="34"/>
  <c r="W4978" i="34"/>
  <c r="Y4978" i="34"/>
  <c r="AB4978" i="34"/>
  <c r="AC4978" i="34"/>
  <c r="AD4978" i="34"/>
  <c r="P4979" i="34"/>
  <c r="T4979" i="34"/>
  <c r="U4979" i="34"/>
  <c r="V4979" i="34"/>
  <c r="W4979" i="34"/>
  <c r="Y4979" i="34"/>
  <c r="AB4979" i="34"/>
  <c r="AC4979" i="34"/>
  <c r="AD4979" i="34"/>
  <c r="P4980" i="34"/>
  <c r="T4980" i="34"/>
  <c r="U4980" i="34"/>
  <c r="V4980" i="34"/>
  <c r="W4980" i="34"/>
  <c r="Y4980" i="34"/>
  <c r="AB4980" i="34"/>
  <c r="AC4980" i="34"/>
  <c r="AD4980" i="34"/>
  <c r="P4981" i="34"/>
  <c r="T4981" i="34"/>
  <c r="U4981" i="34"/>
  <c r="V4981" i="34"/>
  <c r="W4981" i="34"/>
  <c r="Y4981" i="34"/>
  <c r="AB4981" i="34"/>
  <c r="AC4981" i="34"/>
  <c r="AD4981" i="34"/>
  <c r="P4982" i="34"/>
  <c r="T4982" i="34"/>
  <c r="U4982" i="34"/>
  <c r="V4982" i="34"/>
  <c r="W4982" i="34"/>
  <c r="Y4982" i="34"/>
  <c r="AB4982" i="34"/>
  <c r="AC4982" i="34"/>
  <c r="AD4982" i="34"/>
  <c r="P4983" i="34"/>
  <c r="T4983" i="34"/>
  <c r="U4983" i="34"/>
  <c r="V4983" i="34"/>
  <c r="W4983" i="34"/>
  <c r="Y4983" i="34"/>
  <c r="AB4983" i="34"/>
  <c r="AC4983" i="34"/>
  <c r="AD4983" i="34"/>
  <c r="P4991" i="34"/>
  <c r="T4991" i="34"/>
  <c r="U4991" i="34"/>
  <c r="V4991" i="34"/>
  <c r="W4991" i="34"/>
  <c r="Y4991" i="34"/>
  <c r="AB4991" i="34"/>
  <c r="AC4991" i="34"/>
  <c r="AD4991" i="34"/>
  <c r="P4992" i="34"/>
  <c r="T4992" i="34"/>
  <c r="U4992" i="34"/>
  <c r="V4992" i="34"/>
  <c r="W4992" i="34"/>
  <c r="Y4992" i="34"/>
  <c r="AB4992" i="34"/>
  <c r="AC4992" i="34"/>
  <c r="AD4992" i="34"/>
  <c r="P5000" i="34"/>
  <c r="T5000" i="34"/>
  <c r="U5000" i="34"/>
  <c r="V5000" i="34"/>
  <c r="W5000" i="34"/>
  <c r="Y5000" i="34"/>
  <c r="AB5000" i="34"/>
  <c r="AC5000" i="34"/>
  <c r="AD5000" i="34"/>
  <c r="P5001" i="34"/>
  <c r="T5001" i="34"/>
  <c r="U5001" i="34"/>
  <c r="V5001" i="34"/>
  <c r="W5001" i="34"/>
  <c r="Y5001" i="34"/>
  <c r="AB5001" i="34"/>
  <c r="AC5001" i="34"/>
  <c r="AD5001" i="34"/>
  <c r="P5002" i="34"/>
  <c r="T5002" i="34"/>
  <c r="U5002" i="34"/>
  <c r="V5002" i="34"/>
  <c r="W5002" i="34"/>
  <c r="Y5002" i="34"/>
  <c r="AB5002" i="34"/>
  <c r="AC5002" i="34"/>
  <c r="AD5002" i="34"/>
  <c r="P5003" i="34"/>
  <c r="T5003" i="34"/>
  <c r="U5003" i="34"/>
  <c r="V5003" i="34"/>
  <c r="W5003" i="34"/>
  <c r="Y5003" i="34"/>
  <c r="AB5003" i="34"/>
  <c r="AC5003" i="34"/>
  <c r="AD5003" i="34"/>
  <c r="P5004" i="34"/>
  <c r="T5004" i="34"/>
  <c r="U5004" i="34"/>
  <c r="V5004" i="34"/>
  <c r="W5004" i="34"/>
  <c r="Y5004" i="34"/>
  <c r="AB5004" i="34"/>
  <c r="AC5004" i="34"/>
  <c r="AD5004" i="34"/>
  <c r="P5005" i="34"/>
  <c r="T5005" i="34"/>
  <c r="U5005" i="34"/>
  <c r="V5005" i="34"/>
  <c r="W5005" i="34"/>
  <c r="Y5005" i="34"/>
  <c r="AB5005" i="34"/>
  <c r="AC5005" i="34"/>
  <c r="AD5005" i="34"/>
  <c r="P5006" i="34"/>
  <c r="T5006" i="34"/>
  <c r="U5006" i="34"/>
  <c r="V5006" i="34"/>
  <c r="W5006" i="34"/>
  <c r="Y5006" i="34"/>
  <c r="AB5006" i="34"/>
  <c r="AC5006" i="34"/>
  <c r="AD5006" i="34"/>
  <c r="P5007" i="34"/>
  <c r="T5007" i="34"/>
  <c r="U5007" i="34"/>
  <c r="V5007" i="34"/>
  <c r="W5007" i="34"/>
  <c r="Y5007" i="34"/>
  <c r="AB5007" i="34"/>
  <c r="AC5007" i="34"/>
  <c r="AD5007" i="34"/>
  <c r="P5008" i="34"/>
  <c r="T5008" i="34"/>
  <c r="U5008" i="34"/>
  <c r="V5008" i="34"/>
  <c r="W5008" i="34"/>
  <c r="Y5008" i="34"/>
  <c r="AB5008" i="34"/>
  <c r="AC5008" i="34"/>
  <c r="AD5008" i="34"/>
  <c r="P5009" i="34"/>
  <c r="T5009" i="34"/>
  <c r="U5009" i="34"/>
  <c r="V5009" i="34"/>
  <c r="W5009" i="34"/>
  <c r="Y5009" i="34"/>
  <c r="AB5009" i="34"/>
  <c r="AC5009" i="34"/>
  <c r="AD5009" i="34"/>
  <c r="P5010" i="34"/>
  <c r="T5010" i="34"/>
  <c r="U5010" i="34"/>
  <c r="V5010" i="34"/>
  <c r="W5010" i="34"/>
  <c r="Y5010" i="34"/>
  <c r="AB5010" i="34"/>
  <c r="AC5010" i="34"/>
  <c r="AD5010" i="34"/>
  <c r="P5011" i="34"/>
  <c r="T5011" i="34"/>
  <c r="U5011" i="34"/>
  <c r="V5011" i="34"/>
  <c r="W5011" i="34"/>
  <c r="Y5011" i="34"/>
  <c r="AB5011" i="34"/>
  <c r="AC5011" i="34"/>
  <c r="AD5011" i="34"/>
  <c r="P5013" i="34"/>
  <c r="T5013" i="34"/>
  <c r="U5013" i="34"/>
  <c r="V5013" i="34"/>
  <c r="W5013" i="34"/>
  <c r="Y5013" i="34"/>
  <c r="AB5013" i="34"/>
  <c r="AC5013" i="34"/>
  <c r="AD5013" i="34"/>
  <c r="P5014" i="34"/>
  <c r="T5014" i="34"/>
  <c r="U5014" i="34"/>
  <c r="V5014" i="34"/>
  <c r="W5014" i="34"/>
  <c r="Y5014" i="34"/>
  <c r="AB5014" i="34"/>
  <c r="AC5014" i="34"/>
  <c r="AD5014" i="34"/>
  <c r="P5015" i="34"/>
  <c r="T5015" i="34"/>
  <c r="U5015" i="34"/>
  <c r="V5015" i="34"/>
  <c r="W5015" i="34"/>
  <c r="Y5015" i="34"/>
  <c r="AB5015" i="34"/>
  <c r="AC5015" i="34"/>
  <c r="AD5015" i="34"/>
  <c r="P5016" i="34"/>
  <c r="T5016" i="34"/>
  <c r="U5016" i="34"/>
  <c r="V5016" i="34"/>
  <c r="W5016" i="34"/>
  <c r="Y5016" i="34"/>
  <c r="AB5016" i="34"/>
  <c r="AC5016" i="34"/>
  <c r="AD5016" i="34"/>
  <c r="P5017" i="34"/>
  <c r="T5017" i="34"/>
  <c r="U5017" i="34"/>
  <c r="V5017" i="34"/>
  <c r="W5017" i="34"/>
  <c r="Y5017" i="34"/>
  <c r="AB5017" i="34"/>
  <c r="AC5017" i="34"/>
  <c r="AD5017" i="34"/>
  <c r="P5018" i="34"/>
  <c r="T5018" i="34"/>
  <c r="U5018" i="34"/>
  <c r="V5018" i="34"/>
  <c r="W5018" i="34"/>
  <c r="Y5018" i="34"/>
  <c r="AB5018" i="34"/>
  <c r="AC5018" i="34"/>
  <c r="AD5018" i="34"/>
  <c r="P5019" i="34"/>
  <c r="T5019" i="34"/>
  <c r="U5019" i="34"/>
  <c r="V5019" i="34"/>
  <c r="W5019" i="34"/>
  <c r="Y5019" i="34"/>
  <c r="AB5019" i="34"/>
  <c r="AC5019" i="34"/>
  <c r="AD5019" i="34"/>
  <c r="P5022" i="34"/>
  <c r="T5022" i="34"/>
  <c r="U5022" i="34"/>
  <c r="V5022" i="34"/>
  <c r="W5022" i="34"/>
  <c r="Y5022" i="34"/>
  <c r="AB5022" i="34"/>
  <c r="AC5022" i="34"/>
  <c r="AD5022" i="34"/>
  <c r="P5023" i="34"/>
  <c r="T5023" i="34"/>
  <c r="U5023" i="34"/>
  <c r="V5023" i="34"/>
  <c r="W5023" i="34"/>
  <c r="Y5023" i="34"/>
  <c r="AB5023" i="34"/>
  <c r="AC5023" i="34"/>
  <c r="AD5023" i="34"/>
  <c r="P5024" i="34"/>
  <c r="T5024" i="34"/>
  <c r="U5024" i="34"/>
  <c r="V5024" i="34"/>
  <c r="W5024" i="34"/>
  <c r="Y5024" i="34"/>
  <c r="AB5024" i="34"/>
  <c r="AC5024" i="34"/>
  <c r="AD5024" i="34"/>
  <c r="P5025" i="34"/>
  <c r="T5025" i="34"/>
  <c r="U5025" i="34"/>
  <c r="V5025" i="34"/>
  <c r="W5025" i="34"/>
  <c r="Y5025" i="34"/>
  <c r="AB5025" i="34"/>
  <c r="AC5025" i="34"/>
  <c r="AD5025" i="34"/>
  <c r="P5026" i="34"/>
  <c r="T5026" i="34"/>
  <c r="U5026" i="34"/>
  <c r="V5026" i="34"/>
  <c r="W5026" i="34"/>
  <c r="Y5026" i="34"/>
  <c r="AB5026" i="34"/>
  <c r="AC5026" i="34"/>
  <c r="AD5026" i="34"/>
  <c r="P5027" i="34"/>
  <c r="T5027" i="34"/>
  <c r="U5027" i="34"/>
  <c r="V5027" i="34"/>
  <c r="W5027" i="34"/>
  <c r="Y5027" i="34"/>
  <c r="AB5027" i="34"/>
  <c r="AC5027" i="34"/>
  <c r="AD5027" i="34"/>
  <c r="P5028" i="34"/>
  <c r="T5028" i="34"/>
  <c r="U5028" i="34"/>
  <c r="V5028" i="34"/>
  <c r="W5028" i="34"/>
  <c r="Y5028" i="34"/>
  <c r="AB5028" i="34"/>
  <c r="AC5028" i="34"/>
  <c r="AD5028" i="34"/>
  <c r="P5029" i="34"/>
  <c r="T5029" i="34"/>
  <c r="U5029" i="34"/>
  <c r="V5029" i="34"/>
  <c r="W5029" i="34"/>
  <c r="Y5029" i="34"/>
  <c r="AB5029" i="34"/>
  <c r="AC5029" i="34"/>
  <c r="AD5029" i="34"/>
  <c r="P5050" i="34"/>
  <c r="T5050" i="34"/>
  <c r="U5050" i="34"/>
  <c r="V5050" i="34"/>
  <c r="W5050" i="34"/>
  <c r="Y5050" i="34"/>
  <c r="AB5050" i="34"/>
  <c r="AC5050" i="34"/>
  <c r="AD5050" i="34"/>
  <c r="P5051" i="34"/>
  <c r="T5051" i="34"/>
  <c r="U5051" i="34"/>
  <c r="V5051" i="34"/>
  <c r="W5051" i="34"/>
  <c r="Y5051" i="34"/>
  <c r="AB5051" i="34"/>
  <c r="AC5051" i="34"/>
  <c r="AD5051" i="34"/>
  <c r="P5052" i="34"/>
  <c r="T5052" i="34"/>
  <c r="U5052" i="34"/>
  <c r="V5052" i="34"/>
  <c r="W5052" i="34"/>
  <c r="Y5052" i="34"/>
  <c r="AB5052" i="34"/>
  <c r="AC5052" i="34"/>
  <c r="AD5052" i="34"/>
  <c r="P5053" i="34"/>
  <c r="T5053" i="34"/>
  <c r="U5053" i="34"/>
  <c r="V5053" i="34"/>
  <c r="W5053" i="34"/>
  <c r="Y5053" i="34"/>
  <c r="AB5053" i="34"/>
  <c r="AC5053" i="34"/>
  <c r="AD5053" i="34"/>
  <c r="P5068" i="34"/>
  <c r="T5068" i="34"/>
  <c r="U5068" i="34"/>
  <c r="V5068" i="34"/>
  <c r="W5068" i="34"/>
  <c r="Y5068" i="34"/>
  <c r="AB5068" i="34"/>
  <c r="AC5068" i="34"/>
  <c r="AD5068" i="34"/>
  <c r="P5069" i="34"/>
  <c r="T5069" i="34"/>
  <c r="U5069" i="34"/>
  <c r="V5069" i="34"/>
  <c r="W5069" i="34"/>
  <c r="Y5069" i="34"/>
  <c r="AB5069" i="34"/>
  <c r="AC5069" i="34"/>
  <c r="AD5069" i="34"/>
  <c r="P5080" i="34"/>
  <c r="T5080" i="34"/>
  <c r="U5080" i="34"/>
  <c r="V5080" i="34"/>
  <c r="W5080" i="34"/>
  <c r="Y5080" i="34"/>
  <c r="AB5080" i="34"/>
  <c r="AC5080" i="34"/>
  <c r="AD5080" i="34"/>
  <c r="P5081" i="34"/>
  <c r="T5081" i="34"/>
  <c r="U5081" i="34"/>
  <c r="V5081" i="34"/>
  <c r="W5081" i="34"/>
  <c r="Y5081" i="34"/>
  <c r="AB5081" i="34"/>
  <c r="AC5081" i="34"/>
  <c r="AD5081" i="34"/>
  <c r="P5083" i="34"/>
  <c r="T5083" i="34"/>
  <c r="U5083" i="34"/>
  <c r="V5083" i="34"/>
  <c r="W5083" i="34"/>
  <c r="Y5083" i="34"/>
  <c r="AB5083" i="34"/>
  <c r="AC5083" i="34"/>
  <c r="AD5083" i="34"/>
  <c r="P5084" i="34"/>
  <c r="T5084" i="34"/>
  <c r="U5084" i="34"/>
  <c r="V5084" i="34"/>
  <c r="W5084" i="34"/>
  <c r="Y5084" i="34"/>
  <c r="AB5084" i="34"/>
  <c r="AC5084" i="34"/>
  <c r="AD5084" i="34"/>
  <c r="P5085" i="34"/>
  <c r="T5085" i="34"/>
  <c r="U5085" i="34"/>
  <c r="V5085" i="34"/>
  <c r="W5085" i="34"/>
  <c r="Y5085" i="34"/>
  <c r="AB5085" i="34"/>
  <c r="AC5085" i="34"/>
  <c r="AD5085" i="34"/>
  <c r="P5086" i="34"/>
  <c r="T5086" i="34"/>
  <c r="U5086" i="34"/>
  <c r="V5086" i="34"/>
  <c r="W5086" i="34"/>
  <c r="Y5086" i="34"/>
  <c r="AB5086" i="34"/>
  <c r="AC5086" i="34"/>
  <c r="AD5086" i="34"/>
  <c r="P5087" i="34"/>
  <c r="T5087" i="34"/>
  <c r="U5087" i="34"/>
  <c r="V5087" i="34"/>
  <c r="W5087" i="34"/>
  <c r="Y5087" i="34"/>
  <c r="AB5087" i="34"/>
  <c r="AC5087" i="34"/>
  <c r="AD5087" i="34"/>
  <c r="P5088" i="34"/>
  <c r="T5088" i="34"/>
  <c r="U5088" i="34"/>
  <c r="V5088" i="34"/>
  <c r="W5088" i="34"/>
  <c r="Y5088" i="34"/>
  <c r="AB5088" i="34"/>
  <c r="AC5088" i="34"/>
  <c r="AD5088" i="34"/>
  <c r="P5089" i="34"/>
  <c r="T5089" i="34"/>
  <c r="U5089" i="34"/>
  <c r="V5089" i="34"/>
  <c r="W5089" i="34"/>
  <c r="Y5089" i="34"/>
  <c r="AB5089" i="34"/>
  <c r="AC5089" i="34"/>
  <c r="AD5089" i="34"/>
  <c r="P5090" i="34"/>
  <c r="T5090" i="34"/>
  <c r="U5090" i="34"/>
  <c r="V5090" i="34"/>
  <c r="W5090" i="34"/>
  <c r="Y5090" i="34"/>
  <c r="AB5090" i="34"/>
  <c r="AC5090" i="34"/>
  <c r="AD5090" i="34"/>
  <c r="P5091" i="34"/>
  <c r="T5091" i="34"/>
  <c r="U5091" i="34"/>
  <c r="V5091" i="34"/>
  <c r="W5091" i="34"/>
  <c r="Y5091" i="34"/>
  <c r="AB5091" i="34"/>
  <c r="AC5091" i="34"/>
  <c r="AD5091" i="34"/>
  <c r="P5092" i="34"/>
  <c r="T5092" i="34"/>
  <c r="U5092" i="34"/>
  <c r="V5092" i="34"/>
  <c r="W5092" i="34"/>
  <c r="Y5092" i="34"/>
  <c r="AB5092" i="34"/>
  <c r="AC5092" i="34"/>
  <c r="AD5092" i="34"/>
  <c r="P5093" i="34"/>
  <c r="T5093" i="34"/>
  <c r="U5093" i="34"/>
  <c r="V5093" i="34"/>
  <c r="W5093" i="34"/>
  <c r="Y5093" i="34"/>
  <c r="AB5093" i="34"/>
  <c r="AC5093" i="34"/>
  <c r="AD5093" i="34"/>
  <c r="P5096" i="34"/>
  <c r="T5096" i="34"/>
  <c r="U5096" i="34"/>
  <c r="V5096" i="34"/>
  <c r="W5096" i="34"/>
  <c r="Y5096" i="34"/>
  <c r="AB5096" i="34"/>
  <c r="AC5096" i="34"/>
  <c r="AD5096" i="34"/>
  <c r="P5097" i="34"/>
  <c r="T5097" i="34"/>
  <c r="U5097" i="34"/>
  <c r="V5097" i="34"/>
  <c r="W5097" i="34"/>
  <c r="Y5097" i="34"/>
  <c r="AB5097" i="34"/>
  <c r="AC5097" i="34"/>
  <c r="AD5097" i="34"/>
  <c r="P5098" i="34"/>
  <c r="T5098" i="34"/>
  <c r="U5098" i="34"/>
  <c r="V5098" i="34"/>
  <c r="W5098" i="34"/>
  <c r="Y5098" i="34"/>
  <c r="AB5098" i="34"/>
  <c r="AC5098" i="34"/>
  <c r="AD5098" i="34"/>
  <c r="P5099" i="34"/>
  <c r="T5099" i="34"/>
  <c r="U5099" i="34"/>
  <c r="V5099" i="34"/>
  <c r="W5099" i="34"/>
  <c r="Y5099" i="34"/>
  <c r="AB5099" i="34"/>
  <c r="AC5099" i="34"/>
  <c r="AD5099" i="34"/>
  <c r="P5101" i="34"/>
  <c r="T5101" i="34"/>
  <c r="U5101" i="34"/>
  <c r="V5101" i="34"/>
  <c r="W5101" i="34"/>
  <c r="Y5101" i="34"/>
  <c r="AB5101" i="34"/>
  <c r="AC5101" i="34"/>
  <c r="AD5101" i="34"/>
  <c r="P5102" i="34"/>
  <c r="T5102" i="34"/>
  <c r="U5102" i="34"/>
  <c r="V5102" i="34"/>
  <c r="W5102" i="34"/>
  <c r="Y5102" i="34"/>
  <c r="AB5102" i="34"/>
  <c r="AC5102" i="34"/>
  <c r="AD5102" i="34"/>
  <c r="P5103" i="34"/>
  <c r="T5103" i="34"/>
  <c r="U5103" i="34"/>
  <c r="V5103" i="34"/>
  <c r="W5103" i="34"/>
  <c r="Y5103" i="34"/>
  <c r="AB5103" i="34"/>
  <c r="AC5103" i="34"/>
  <c r="AD5103" i="34"/>
  <c r="P5104" i="34"/>
  <c r="T5104" i="34"/>
  <c r="U5104" i="34"/>
  <c r="V5104" i="34"/>
  <c r="W5104" i="34"/>
  <c r="Y5104" i="34"/>
  <c r="AB5104" i="34"/>
  <c r="AC5104" i="34"/>
  <c r="AD5104" i="34"/>
  <c r="P5109" i="34"/>
  <c r="T5109" i="34"/>
  <c r="U5109" i="34"/>
  <c r="V5109" i="34"/>
  <c r="W5109" i="34"/>
  <c r="Y5109" i="34"/>
  <c r="AB5109" i="34"/>
  <c r="AC5109" i="34"/>
  <c r="AD5109" i="34"/>
  <c r="P5110" i="34"/>
  <c r="T5110" i="34"/>
  <c r="U5110" i="34"/>
  <c r="V5110" i="34"/>
  <c r="W5110" i="34"/>
  <c r="Y5110" i="34"/>
  <c r="AB5110" i="34"/>
  <c r="AC5110" i="34"/>
  <c r="AD5110" i="34"/>
  <c r="P5116" i="34"/>
  <c r="T5116" i="34"/>
  <c r="U5116" i="34"/>
  <c r="V5116" i="34"/>
  <c r="W5116" i="34"/>
  <c r="Y5116" i="34"/>
  <c r="AB5116" i="34"/>
  <c r="AC5116" i="34"/>
  <c r="AD5116" i="34"/>
  <c r="P5117" i="34"/>
  <c r="T5117" i="34"/>
  <c r="U5117" i="34"/>
  <c r="V5117" i="34"/>
  <c r="W5117" i="34"/>
  <c r="Y5117" i="34"/>
  <c r="AB5117" i="34"/>
  <c r="AC5117" i="34"/>
  <c r="AD5117" i="34"/>
  <c r="P5118" i="34"/>
  <c r="T5118" i="34"/>
  <c r="U5118" i="34"/>
  <c r="V5118" i="34"/>
  <c r="W5118" i="34"/>
  <c r="Y5118" i="34"/>
  <c r="AB5118" i="34"/>
  <c r="AC5118" i="34"/>
  <c r="AD5118" i="34"/>
  <c r="P5119" i="34"/>
  <c r="T5119" i="34"/>
  <c r="U5119" i="34"/>
  <c r="V5119" i="34"/>
  <c r="W5119" i="34"/>
  <c r="Y5119" i="34"/>
  <c r="AB5119" i="34"/>
  <c r="AC5119" i="34"/>
  <c r="AD5119" i="34"/>
  <c r="P5120" i="34"/>
  <c r="T5120" i="34"/>
  <c r="U5120" i="34"/>
  <c r="V5120" i="34"/>
  <c r="W5120" i="34"/>
  <c r="Y5120" i="34"/>
  <c r="AB5120" i="34"/>
  <c r="AC5120" i="34"/>
  <c r="AD5120" i="34"/>
  <c r="P5126" i="34"/>
  <c r="T5126" i="34"/>
  <c r="U5126" i="34"/>
  <c r="V5126" i="34"/>
  <c r="W5126" i="34"/>
  <c r="Y5126" i="34"/>
  <c r="AB5126" i="34"/>
  <c r="AC5126" i="34"/>
  <c r="AD5126" i="34"/>
  <c r="P5127" i="34"/>
  <c r="T5127" i="34"/>
  <c r="U5127" i="34"/>
  <c r="V5127" i="34"/>
  <c r="W5127" i="34"/>
  <c r="Y5127" i="34"/>
  <c r="AB5127" i="34"/>
  <c r="AC5127" i="34"/>
  <c r="AD5127" i="34"/>
  <c r="P5128" i="34"/>
  <c r="T5128" i="34"/>
  <c r="U5128" i="34"/>
  <c r="V5128" i="34"/>
  <c r="W5128" i="34"/>
  <c r="Y5128" i="34"/>
  <c r="AB5128" i="34"/>
  <c r="AC5128" i="34"/>
  <c r="AD5128" i="34"/>
  <c r="P5129" i="34"/>
  <c r="T5129" i="34"/>
  <c r="U5129" i="34"/>
  <c r="V5129" i="34"/>
  <c r="W5129" i="34"/>
  <c r="Y5129" i="34"/>
  <c r="AB5129" i="34"/>
  <c r="AC5129" i="34"/>
  <c r="AD5129" i="34"/>
  <c r="P5130" i="34"/>
  <c r="T5130" i="34"/>
  <c r="U5130" i="34"/>
  <c r="V5130" i="34"/>
  <c r="W5130" i="34"/>
  <c r="Y5130" i="34"/>
  <c r="AB5130" i="34"/>
  <c r="AC5130" i="34"/>
  <c r="AD5130" i="34"/>
  <c r="P5131" i="34"/>
  <c r="T5131" i="34"/>
  <c r="U5131" i="34"/>
  <c r="V5131" i="34"/>
  <c r="W5131" i="34"/>
  <c r="Y5131" i="34"/>
  <c r="AB5131" i="34"/>
  <c r="AC5131" i="34"/>
  <c r="AD5131" i="34"/>
  <c r="P5132" i="34"/>
  <c r="T5132" i="34"/>
  <c r="U5132" i="34"/>
  <c r="V5132" i="34"/>
  <c r="W5132" i="34"/>
  <c r="Y5132" i="34"/>
  <c r="AB5132" i="34"/>
  <c r="AC5132" i="34"/>
  <c r="AD5132" i="34"/>
  <c r="P5133" i="34"/>
  <c r="T5133" i="34"/>
  <c r="U5133" i="34"/>
  <c r="V5133" i="34"/>
  <c r="W5133" i="34"/>
  <c r="Y5133" i="34"/>
  <c r="AB5133" i="34"/>
  <c r="AC5133" i="34"/>
  <c r="AD5133" i="34"/>
  <c r="P5134" i="34"/>
  <c r="T5134" i="34"/>
  <c r="U5134" i="34"/>
  <c r="V5134" i="34"/>
  <c r="W5134" i="34"/>
  <c r="Y5134" i="34"/>
  <c r="AB5134" i="34"/>
  <c r="AC5134" i="34"/>
  <c r="AD5134" i="34"/>
  <c r="P5135" i="34"/>
  <c r="T5135" i="34"/>
  <c r="U5135" i="34"/>
  <c r="V5135" i="34"/>
  <c r="W5135" i="34"/>
  <c r="Y5135" i="34"/>
  <c r="AB5135" i="34"/>
  <c r="AC5135" i="34"/>
  <c r="AD5135" i="34"/>
  <c r="P5136" i="34"/>
  <c r="T5136" i="34"/>
  <c r="U5136" i="34"/>
  <c r="V5136" i="34"/>
  <c r="W5136" i="34"/>
  <c r="Y5136" i="34"/>
  <c r="AB5136" i="34"/>
  <c r="AC5136" i="34"/>
  <c r="AD5136" i="34"/>
  <c r="P5137" i="34"/>
  <c r="T5137" i="34"/>
  <c r="U5137" i="34"/>
  <c r="V5137" i="34"/>
  <c r="W5137" i="34"/>
  <c r="Y5137" i="34"/>
  <c r="AB5137" i="34"/>
  <c r="AC5137" i="34"/>
  <c r="AD5137" i="34"/>
  <c r="P5140" i="34"/>
  <c r="T5140" i="34"/>
  <c r="U5140" i="34"/>
  <c r="V5140" i="34"/>
  <c r="W5140" i="34"/>
  <c r="Y5140" i="34"/>
  <c r="AB5140" i="34"/>
  <c r="AC5140" i="34"/>
  <c r="AD5140" i="34"/>
  <c r="P5141" i="34"/>
  <c r="T5141" i="34"/>
  <c r="U5141" i="34"/>
  <c r="V5141" i="34"/>
  <c r="W5141" i="34"/>
  <c r="Y5141" i="34"/>
  <c r="AB5141" i="34"/>
  <c r="AC5141" i="34"/>
  <c r="AD5141" i="34"/>
  <c r="P5142" i="34"/>
  <c r="T5142" i="34"/>
  <c r="U5142" i="34"/>
  <c r="V5142" i="34"/>
  <c r="W5142" i="34"/>
  <c r="Y5142" i="34"/>
  <c r="AB5142" i="34"/>
  <c r="AC5142" i="34"/>
  <c r="AD5142" i="34"/>
  <c r="P5143" i="34"/>
  <c r="T5143" i="34"/>
  <c r="U5143" i="34"/>
  <c r="V5143" i="34"/>
  <c r="W5143" i="34"/>
  <c r="Y5143" i="34"/>
  <c r="AB5143" i="34"/>
  <c r="AC5143" i="34"/>
  <c r="AD5143" i="34"/>
  <c r="P5144" i="34"/>
  <c r="T5144" i="34"/>
  <c r="U5144" i="34"/>
  <c r="V5144" i="34"/>
  <c r="W5144" i="34"/>
  <c r="Y5144" i="34"/>
  <c r="AB5144" i="34"/>
  <c r="AC5144" i="34"/>
  <c r="AD5144" i="34"/>
  <c r="P5145" i="34"/>
  <c r="T5145" i="34"/>
  <c r="U5145" i="34"/>
  <c r="V5145" i="34"/>
  <c r="W5145" i="34"/>
  <c r="Y5145" i="34"/>
  <c r="AB5145" i="34"/>
  <c r="AC5145" i="34"/>
  <c r="AD5145" i="34"/>
  <c r="P5146" i="34"/>
  <c r="T5146" i="34"/>
  <c r="U5146" i="34"/>
  <c r="V5146" i="34"/>
  <c r="W5146" i="34"/>
  <c r="Y5146" i="34"/>
  <c r="AB5146" i="34"/>
  <c r="AC5146" i="34"/>
  <c r="AD5146" i="34"/>
  <c r="P5147" i="34"/>
  <c r="T5147" i="34"/>
  <c r="U5147" i="34"/>
  <c r="V5147" i="34"/>
  <c r="W5147" i="34"/>
  <c r="Y5147" i="34"/>
  <c r="AB5147" i="34"/>
  <c r="AC5147" i="34"/>
  <c r="AD5147" i="34"/>
  <c r="P5148" i="34"/>
  <c r="T5148" i="34"/>
  <c r="U5148" i="34"/>
  <c r="V5148" i="34"/>
  <c r="W5148" i="34"/>
  <c r="Y5148" i="34"/>
  <c r="AB5148" i="34"/>
  <c r="AC5148" i="34"/>
  <c r="AD5148" i="34"/>
  <c r="P5149" i="34"/>
  <c r="T5149" i="34"/>
  <c r="U5149" i="34"/>
  <c r="V5149" i="34"/>
  <c r="W5149" i="34"/>
  <c r="Y5149" i="34"/>
  <c r="AB5149" i="34"/>
  <c r="AC5149" i="34"/>
  <c r="AD5149" i="34"/>
  <c r="P5151" i="34"/>
  <c r="T5151" i="34"/>
  <c r="U5151" i="34"/>
  <c r="V5151" i="34"/>
  <c r="W5151" i="34"/>
  <c r="Y5151" i="34"/>
  <c r="AB5151" i="34"/>
  <c r="AC5151" i="34"/>
  <c r="AD5151" i="34"/>
  <c r="P5152" i="34"/>
  <c r="T5152" i="34"/>
  <c r="U5152" i="34"/>
  <c r="V5152" i="34"/>
  <c r="W5152" i="34"/>
  <c r="Y5152" i="34"/>
  <c r="AB5152" i="34"/>
  <c r="AC5152" i="34"/>
  <c r="AD5152" i="34"/>
  <c r="P5153" i="34"/>
  <c r="T5153" i="34"/>
  <c r="U5153" i="34"/>
  <c r="V5153" i="34"/>
  <c r="W5153" i="34"/>
  <c r="Y5153" i="34"/>
  <c r="AB5153" i="34"/>
  <c r="AC5153" i="34"/>
  <c r="AD5153" i="34"/>
  <c r="P5154" i="34"/>
  <c r="T5154" i="34"/>
  <c r="U5154" i="34"/>
  <c r="V5154" i="34"/>
  <c r="W5154" i="34"/>
  <c r="Y5154" i="34"/>
  <c r="AB5154" i="34"/>
  <c r="AC5154" i="34"/>
  <c r="AD5154" i="34"/>
  <c r="P5155" i="34"/>
  <c r="T5155" i="34"/>
  <c r="U5155" i="34"/>
  <c r="V5155" i="34"/>
  <c r="W5155" i="34"/>
  <c r="Y5155" i="34"/>
  <c r="AB5155" i="34"/>
  <c r="AC5155" i="34"/>
  <c r="AD5155" i="34"/>
  <c r="P5156" i="34"/>
  <c r="T5156" i="34"/>
  <c r="U5156" i="34"/>
  <c r="V5156" i="34"/>
  <c r="W5156" i="34"/>
  <c r="Y5156" i="34"/>
  <c r="AB5156" i="34"/>
  <c r="AC5156" i="34"/>
  <c r="AD5156" i="34"/>
  <c r="P5157" i="34"/>
  <c r="T5157" i="34"/>
  <c r="U5157" i="34"/>
  <c r="V5157" i="34"/>
  <c r="W5157" i="34"/>
  <c r="Y5157" i="34"/>
  <c r="AB5157" i="34"/>
  <c r="AC5157" i="34"/>
  <c r="AD5157" i="34"/>
  <c r="P5158" i="34"/>
  <c r="T5158" i="34"/>
  <c r="U5158" i="34"/>
  <c r="V5158" i="34"/>
  <c r="W5158" i="34"/>
  <c r="Y5158" i="34"/>
  <c r="AB5158" i="34"/>
  <c r="AC5158" i="34"/>
  <c r="AD5158" i="34"/>
  <c r="P5159" i="34"/>
  <c r="T5159" i="34"/>
  <c r="U5159" i="34"/>
  <c r="V5159" i="34"/>
  <c r="W5159" i="34"/>
  <c r="Y5159" i="34"/>
  <c r="AB5159" i="34"/>
  <c r="AC5159" i="34"/>
  <c r="AD5159" i="34"/>
  <c r="P5165" i="34"/>
  <c r="T5165" i="34"/>
  <c r="U5165" i="34"/>
  <c r="V5165" i="34"/>
  <c r="W5165" i="34"/>
  <c r="Y5165" i="34"/>
  <c r="AB5165" i="34"/>
  <c r="AC5165" i="34"/>
  <c r="AD5165" i="34"/>
  <c r="P5166" i="34"/>
  <c r="T5166" i="34"/>
  <c r="U5166" i="34"/>
  <c r="V5166" i="34"/>
  <c r="W5166" i="34"/>
  <c r="Y5166" i="34"/>
  <c r="AB5166" i="34"/>
  <c r="AC5166" i="34"/>
  <c r="AD5166" i="34"/>
  <c r="P5169" i="34"/>
  <c r="T5169" i="34"/>
  <c r="U5169" i="34"/>
  <c r="V5169" i="34"/>
  <c r="W5169" i="34"/>
  <c r="Y5169" i="34"/>
  <c r="AB5169" i="34"/>
  <c r="AC5169" i="34"/>
  <c r="AD5169" i="34"/>
  <c r="P5170" i="34"/>
  <c r="T5170" i="34"/>
  <c r="U5170" i="34"/>
  <c r="V5170" i="34"/>
  <c r="W5170" i="34"/>
  <c r="Y5170" i="34"/>
  <c r="AB5170" i="34"/>
  <c r="AC5170" i="34"/>
  <c r="AD5170" i="34"/>
  <c r="P5171" i="34"/>
  <c r="T5171" i="34"/>
  <c r="U5171" i="34"/>
  <c r="V5171" i="34"/>
  <c r="W5171" i="34"/>
  <c r="Y5171" i="34"/>
  <c r="AB5171" i="34"/>
  <c r="AC5171" i="34"/>
  <c r="AD5171" i="34"/>
  <c r="P5172" i="34"/>
  <c r="T5172" i="34"/>
  <c r="U5172" i="34"/>
  <c r="V5172" i="34"/>
  <c r="W5172" i="34"/>
  <c r="Y5172" i="34"/>
  <c r="AB5172" i="34"/>
  <c r="AC5172" i="34"/>
  <c r="AD5172" i="34"/>
  <c r="P5173" i="34"/>
  <c r="T5173" i="34"/>
  <c r="U5173" i="34"/>
  <c r="V5173" i="34"/>
  <c r="W5173" i="34"/>
  <c r="Y5173" i="34"/>
  <c r="AB5173" i="34"/>
  <c r="AC5173" i="34"/>
  <c r="AD5173" i="34"/>
  <c r="P5174" i="34"/>
  <c r="T5174" i="34"/>
  <c r="U5174" i="34"/>
  <c r="V5174" i="34"/>
  <c r="W5174" i="34"/>
  <c r="Y5174" i="34"/>
  <c r="AB5174" i="34"/>
  <c r="AC5174" i="34"/>
  <c r="AD5174" i="34"/>
  <c r="P5175" i="34"/>
  <c r="T5175" i="34"/>
  <c r="U5175" i="34"/>
  <c r="V5175" i="34"/>
  <c r="W5175" i="34"/>
  <c r="Y5175" i="34"/>
  <c r="AB5175" i="34"/>
  <c r="AC5175" i="34"/>
  <c r="AD5175" i="34"/>
  <c r="P5176" i="34"/>
  <c r="T5176" i="34"/>
  <c r="U5176" i="34"/>
  <c r="V5176" i="34"/>
  <c r="W5176" i="34"/>
  <c r="Y5176" i="34"/>
  <c r="AB5176" i="34"/>
  <c r="AC5176" i="34"/>
  <c r="AD5176" i="34"/>
  <c r="P5177" i="34"/>
  <c r="T5177" i="34"/>
  <c r="U5177" i="34"/>
  <c r="V5177" i="34"/>
  <c r="W5177" i="34"/>
  <c r="Y5177" i="34"/>
  <c r="AB5177" i="34"/>
  <c r="AC5177" i="34"/>
  <c r="AD5177" i="34"/>
  <c r="P5178" i="34"/>
  <c r="T5178" i="34"/>
  <c r="U5178" i="34"/>
  <c r="V5178" i="34"/>
  <c r="W5178" i="34"/>
  <c r="Y5178" i="34"/>
  <c r="AB5178" i="34"/>
  <c r="AC5178" i="34"/>
  <c r="AD5178" i="34"/>
  <c r="P5179" i="34"/>
  <c r="T5179" i="34"/>
  <c r="U5179" i="34"/>
  <c r="V5179" i="34"/>
  <c r="W5179" i="34"/>
  <c r="Y5179" i="34"/>
  <c r="AB5179" i="34"/>
  <c r="AC5179" i="34"/>
  <c r="AD5179" i="34"/>
  <c r="P5193" i="34"/>
  <c r="T5193" i="34"/>
  <c r="U5193" i="34"/>
  <c r="V5193" i="34"/>
  <c r="W5193" i="34"/>
  <c r="Y5193" i="34"/>
  <c r="AB5193" i="34"/>
  <c r="AC5193" i="34"/>
  <c r="AD5193" i="34"/>
  <c r="P5194" i="34"/>
  <c r="T5194" i="34"/>
  <c r="U5194" i="34"/>
  <c r="V5194" i="34"/>
  <c r="W5194" i="34"/>
  <c r="Y5194" i="34"/>
  <c r="AB5194" i="34"/>
  <c r="AC5194" i="34"/>
  <c r="AD5194" i="34"/>
  <c r="P5195" i="34"/>
  <c r="T5195" i="34"/>
  <c r="U5195" i="34"/>
  <c r="V5195" i="34"/>
  <c r="W5195" i="34"/>
  <c r="Y5195" i="34"/>
  <c r="AB5195" i="34"/>
  <c r="AC5195" i="34"/>
  <c r="AD5195" i="34"/>
  <c r="P5196" i="34"/>
  <c r="T5196" i="34"/>
  <c r="U5196" i="34"/>
  <c r="V5196" i="34"/>
  <c r="W5196" i="34"/>
  <c r="Y5196" i="34"/>
  <c r="AB5196" i="34"/>
  <c r="AC5196" i="34"/>
  <c r="AD5196" i="34"/>
  <c r="P5197" i="34"/>
  <c r="T5197" i="34"/>
  <c r="U5197" i="34"/>
  <c r="V5197" i="34"/>
  <c r="W5197" i="34"/>
  <c r="Y5197" i="34"/>
  <c r="AB5197" i="34"/>
  <c r="AC5197" i="34"/>
  <c r="AD5197" i="34"/>
  <c r="P5198" i="34"/>
  <c r="T5198" i="34"/>
  <c r="U5198" i="34"/>
  <c r="V5198" i="34"/>
  <c r="W5198" i="34"/>
  <c r="Y5198" i="34"/>
  <c r="AB5198" i="34"/>
  <c r="AC5198" i="34"/>
  <c r="AD5198" i="34"/>
  <c r="P5199" i="34"/>
  <c r="T5199" i="34"/>
  <c r="U5199" i="34"/>
  <c r="V5199" i="34"/>
  <c r="W5199" i="34"/>
  <c r="Y5199" i="34"/>
  <c r="AB5199" i="34"/>
  <c r="AC5199" i="34"/>
  <c r="AD5199" i="34"/>
  <c r="P5200" i="34"/>
  <c r="T5200" i="34"/>
  <c r="U5200" i="34"/>
  <c r="V5200" i="34"/>
  <c r="W5200" i="34"/>
  <c r="Y5200" i="34"/>
  <c r="AB5200" i="34"/>
  <c r="AC5200" i="34"/>
  <c r="AD5200" i="34"/>
  <c r="P5201" i="34"/>
  <c r="T5201" i="34"/>
  <c r="U5201" i="34"/>
  <c r="V5201" i="34"/>
  <c r="W5201" i="34"/>
  <c r="Y5201" i="34"/>
  <c r="AB5201" i="34"/>
  <c r="AC5201" i="34"/>
  <c r="AD5201" i="34"/>
  <c r="P5202" i="34"/>
  <c r="T5202" i="34"/>
  <c r="U5202" i="34"/>
  <c r="V5202" i="34"/>
  <c r="W5202" i="34"/>
  <c r="Y5202" i="34"/>
  <c r="AB5202" i="34"/>
  <c r="AC5202" i="34"/>
  <c r="AD5202" i="34"/>
  <c r="P5209" i="34"/>
  <c r="T5209" i="34"/>
  <c r="U5209" i="34"/>
  <c r="V5209" i="34"/>
  <c r="W5209" i="34"/>
  <c r="Y5209" i="34"/>
  <c r="AB5209" i="34"/>
  <c r="AC5209" i="34"/>
  <c r="AD5209" i="34"/>
  <c r="P5210" i="34"/>
  <c r="T5210" i="34"/>
  <c r="U5210" i="34"/>
  <c r="V5210" i="34"/>
  <c r="W5210" i="34"/>
  <c r="Y5210" i="34"/>
  <c r="AB5210" i="34"/>
  <c r="AC5210" i="34"/>
  <c r="AD5210" i="34"/>
  <c r="P5211" i="34"/>
  <c r="T5211" i="34"/>
  <c r="U5211" i="34"/>
  <c r="V5211" i="34"/>
  <c r="W5211" i="34"/>
  <c r="Y5211" i="34"/>
  <c r="AB5211" i="34"/>
  <c r="AC5211" i="34"/>
  <c r="AD5211" i="34"/>
  <c r="P5212" i="34"/>
  <c r="T5212" i="34"/>
  <c r="U5212" i="34"/>
  <c r="V5212" i="34"/>
  <c r="W5212" i="34"/>
  <c r="Y5212" i="34"/>
  <c r="AB5212" i="34"/>
  <c r="AC5212" i="34"/>
  <c r="AD5212" i="34"/>
  <c r="P5213" i="34"/>
  <c r="T5213" i="34"/>
  <c r="U5213" i="34"/>
  <c r="V5213" i="34"/>
  <c r="W5213" i="34"/>
  <c r="Y5213" i="34"/>
  <c r="AB5213" i="34"/>
  <c r="AC5213" i="34"/>
  <c r="AD5213" i="34"/>
  <c r="P5214" i="34"/>
  <c r="T5214" i="34"/>
  <c r="U5214" i="34"/>
  <c r="V5214" i="34"/>
  <c r="W5214" i="34"/>
  <c r="Y5214" i="34"/>
  <c r="AB5214" i="34"/>
  <c r="AC5214" i="34"/>
  <c r="AD5214" i="34"/>
  <c r="P5215" i="34"/>
  <c r="T5215" i="34"/>
  <c r="U5215" i="34"/>
  <c r="V5215" i="34"/>
  <c r="W5215" i="34"/>
  <c r="Y5215" i="34"/>
  <c r="AB5215" i="34"/>
  <c r="AC5215" i="34"/>
  <c r="AD5215" i="34"/>
  <c r="P5228" i="34"/>
  <c r="T5228" i="34"/>
  <c r="U5228" i="34"/>
  <c r="V5228" i="34"/>
  <c r="W5228" i="34"/>
  <c r="Y5228" i="34"/>
  <c r="AB5228" i="34"/>
  <c r="AC5228" i="34"/>
  <c r="AD5228" i="34"/>
  <c r="P5229" i="34"/>
  <c r="T5229" i="34"/>
  <c r="U5229" i="34"/>
  <c r="V5229" i="34"/>
  <c r="W5229" i="34"/>
  <c r="Y5229" i="34"/>
  <c r="AB5229" i="34"/>
  <c r="AC5229" i="34"/>
  <c r="AD5229" i="34"/>
  <c r="P5230" i="34"/>
  <c r="T5230" i="34"/>
  <c r="U5230" i="34"/>
  <c r="V5230" i="34"/>
  <c r="W5230" i="34"/>
  <c r="Y5230" i="34"/>
  <c r="AB5230" i="34"/>
  <c r="AC5230" i="34"/>
  <c r="AD5230" i="34"/>
  <c r="P5231" i="34"/>
  <c r="T5231" i="34"/>
  <c r="U5231" i="34"/>
  <c r="V5231" i="34"/>
  <c r="W5231" i="34"/>
  <c r="Y5231" i="34"/>
  <c r="AB5231" i="34"/>
  <c r="AC5231" i="34"/>
  <c r="AD5231" i="34"/>
  <c r="P5247" i="34"/>
  <c r="T5247" i="34"/>
  <c r="U5247" i="34"/>
  <c r="V5247" i="34"/>
  <c r="W5247" i="34"/>
  <c r="Y5247" i="34"/>
  <c r="AB5247" i="34"/>
  <c r="AC5247" i="34"/>
  <c r="AD5247" i="34"/>
  <c r="P5248" i="34"/>
  <c r="T5248" i="34"/>
  <c r="U5248" i="34"/>
  <c r="V5248" i="34"/>
  <c r="W5248" i="34"/>
  <c r="Y5248" i="34"/>
  <c r="AB5248" i="34"/>
  <c r="AC5248" i="34"/>
  <c r="AD5248" i="34"/>
  <c r="P5249" i="34"/>
  <c r="T5249" i="34"/>
  <c r="U5249" i="34"/>
  <c r="V5249" i="34"/>
  <c r="W5249" i="34"/>
  <c r="Y5249" i="34"/>
  <c r="AB5249" i="34"/>
  <c r="AC5249" i="34"/>
  <c r="AD5249" i="34"/>
  <c r="P5250" i="34"/>
  <c r="T5250" i="34"/>
  <c r="U5250" i="34"/>
  <c r="V5250" i="34"/>
  <c r="W5250" i="34"/>
  <c r="Y5250" i="34"/>
  <c r="AB5250" i="34"/>
  <c r="AC5250" i="34"/>
  <c r="AD5250" i="34"/>
  <c r="P5251" i="34"/>
  <c r="T5251" i="34"/>
  <c r="U5251" i="34"/>
  <c r="V5251" i="34"/>
  <c r="W5251" i="34"/>
  <c r="Y5251" i="34"/>
  <c r="AB5251" i="34"/>
  <c r="AC5251" i="34"/>
  <c r="AD5251" i="34"/>
  <c r="P5252" i="34"/>
  <c r="T5252" i="34"/>
  <c r="U5252" i="34"/>
  <c r="V5252" i="34"/>
  <c r="W5252" i="34"/>
  <c r="Y5252" i="34"/>
  <c r="AB5252" i="34"/>
  <c r="AC5252" i="34"/>
  <c r="AD5252" i="34"/>
  <c r="P5253" i="34"/>
  <c r="T5253" i="34"/>
  <c r="U5253" i="34"/>
  <c r="V5253" i="34"/>
  <c r="W5253" i="34"/>
  <c r="Y5253" i="34"/>
  <c r="AB5253" i="34"/>
  <c r="AC5253" i="34"/>
  <c r="AD5253" i="34"/>
  <c r="P5254" i="34"/>
  <c r="T5254" i="34"/>
  <c r="U5254" i="34"/>
  <c r="V5254" i="34"/>
  <c r="W5254" i="34"/>
  <c r="Y5254" i="34"/>
  <c r="AB5254" i="34"/>
  <c r="AC5254" i="34"/>
  <c r="AD5254" i="34"/>
  <c r="P5255" i="34"/>
  <c r="T5255" i="34"/>
  <c r="U5255" i="34"/>
  <c r="V5255" i="34"/>
  <c r="W5255" i="34"/>
  <c r="Y5255" i="34"/>
  <c r="AB5255" i="34"/>
  <c r="AC5255" i="34"/>
  <c r="AD5255" i="34"/>
  <c r="P5256" i="34"/>
  <c r="T5256" i="34"/>
  <c r="U5256" i="34"/>
  <c r="V5256" i="34"/>
  <c r="W5256" i="34"/>
  <c r="Y5256" i="34"/>
  <c r="AB5256" i="34"/>
  <c r="AC5256" i="34"/>
  <c r="AD5256" i="34"/>
  <c r="P5257" i="34"/>
  <c r="T5257" i="34"/>
  <c r="U5257" i="34"/>
  <c r="V5257" i="34"/>
  <c r="W5257" i="34"/>
  <c r="Y5257" i="34"/>
  <c r="AB5257" i="34"/>
  <c r="AC5257" i="34"/>
  <c r="AD5257" i="34"/>
  <c r="P5273" i="34"/>
  <c r="T5273" i="34"/>
  <c r="U5273" i="34"/>
  <c r="V5273" i="34"/>
  <c r="W5273" i="34"/>
  <c r="Y5273" i="34"/>
  <c r="AB5273" i="34"/>
  <c r="AC5273" i="34"/>
  <c r="AD5273" i="34"/>
  <c r="P5274" i="34"/>
  <c r="T5274" i="34"/>
  <c r="U5274" i="34"/>
  <c r="V5274" i="34"/>
  <c r="W5274" i="34"/>
  <c r="Y5274" i="34"/>
  <c r="AB5274" i="34"/>
  <c r="AC5274" i="34"/>
  <c r="AD5274" i="34"/>
  <c r="P5275" i="34"/>
  <c r="T5275" i="34"/>
  <c r="U5275" i="34"/>
  <c r="V5275" i="34"/>
  <c r="W5275" i="34"/>
  <c r="Y5275" i="34"/>
  <c r="AB5275" i="34"/>
  <c r="AC5275" i="34"/>
  <c r="AD5275" i="34"/>
  <c r="P5276" i="34"/>
  <c r="T5276" i="34"/>
  <c r="U5276" i="34"/>
  <c r="V5276" i="34"/>
  <c r="W5276" i="34"/>
  <c r="Y5276" i="34"/>
  <c r="AB5276" i="34"/>
  <c r="AC5276" i="34"/>
  <c r="AD5276" i="34"/>
  <c r="P5277" i="34"/>
  <c r="T5277" i="34"/>
  <c r="U5277" i="34"/>
  <c r="V5277" i="34"/>
  <c r="W5277" i="34"/>
  <c r="Y5277" i="34"/>
  <c r="AB5277" i="34"/>
  <c r="AC5277" i="34"/>
  <c r="AD5277" i="34"/>
  <c r="P5278" i="34"/>
  <c r="T5278" i="34"/>
  <c r="U5278" i="34"/>
  <c r="V5278" i="34"/>
  <c r="W5278" i="34"/>
  <c r="Y5278" i="34"/>
  <c r="AB5278" i="34"/>
  <c r="AC5278" i="34"/>
  <c r="AD5278" i="34"/>
  <c r="P5279" i="34"/>
  <c r="T5279" i="34"/>
  <c r="U5279" i="34"/>
  <c r="V5279" i="34"/>
  <c r="W5279" i="34"/>
  <c r="Y5279" i="34"/>
  <c r="AB5279" i="34"/>
  <c r="AC5279" i="34"/>
  <c r="AD5279" i="34"/>
  <c r="P5475" i="34"/>
  <c r="T5475" i="34"/>
  <c r="U5475" i="34"/>
  <c r="V5475" i="34"/>
  <c r="W5475" i="34"/>
  <c r="Y5475" i="34"/>
  <c r="AB5475" i="34"/>
  <c r="AC5475" i="34"/>
  <c r="AD5475" i="34"/>
  <c r="P5284" i="34"/>
  <c r="T5284" i="34"/>
  <c r="U5284" i="34"/>
  <c r="V5284" i="34"/>
  <c r="W5284" i="34"/>
  <c r="Y5284" i="34"/>
  <c r="AB5284" i="34"/>
  <c r="AC5284" i="34"/>
  <c r="AD5284" i="34"/>
  <c r="P5285" i="34"/>
  <c r="T5285" i="34"/>
  <c r="U5285" i="34"/>
  <c r="V5285" i="34"/>
  <c r="W5285" i="34"/>
  <c r="Y5285" i="34"/>
  <c r="AB5285" i="34"/>
  <c r="AC5285" i="34"/>
  <c r="AD5285" i="34"/>
  <c r="P5292" i="34"/>
  <c r="T5292" i="34"/>
  <c r="U5292" i="34"/>
  <c r="V5292" i="34"/>
  <c r="W5292" i="34"/>
  <c r="Y5292" i="34"/>
  <c r="AB5292" i="34"/>
  <c r="AC5292" i="34"/>
  <c r="AD5292" i="34"/>
  <c r="P5293" i="34"/>
  <c r="T5293" i="34"/>
  <c r="U5293" i="34"/>
  <c r="V5293" i="34"/>
  <c r="W5293" i="34"/>
  <c r="Y5293" i="34"/>
  <c r="AB5293" i="34"/>
  <c r="AC5293" i="34"/>
  <c r="AD5293" i="34"/>
  <c r="P5295" i="34"/>
  <c r="T5295" i="34"/>
  <c r="U5295" i="34"/>
  <c r="V5295" i="34"/>
  <c r="W5295" i="34"/>
  <c r="Y5295" i="34"/>
  <c r="AB5295" i="34"/>
  <c r="AC5295" i="34"/>
  <c r="AD5295" i="34"/>
  <c r="P5296" i="34"/>
  <c r="T5296" i="34"/>
  <c r="U5296" i="34"/>
  <c r="V5296" i="34"/>
  <c r="W5296" i="34"/>
  <c r="Y5296" i="34"/>
  <c r="AB5296" i="34"/>
  <c r="AC5296" i="34"/>
  <c r="AD5296" i="34"/>
  <c r="P5297" i="34"/>
  <c r="T5297" i="34"/>
  <c r="U5297" i="34"/>
  <c r="V5297" i="34"/>
  <c r="W5297" i="34"/>
  <c r="Y5297" i="34"/>
  <c r="AB5297" i="34"/>
  <c r="AC5297" i="34"/>
  <c r="AD5297" i="34"/>
  <c r="P5298" i="34"/>
  <c r="T5298" i="34"/>
  <c r="U5298" i="34"/>
  <c r="V5298" i="34"/>
  <c r="W5298" i="34"/>
  <c r="Y5298" i="34"/>
  <c r="AB5298" i="34"/>
  <c r="AC5298" i="34"/>
  <c r="AD5298" i="34"/>
  <c r="P5309" i="34"/>
  <c r="T5309" i="34"/>
  <c r="U5309" i="34"/>
  <c r="V5309" i="34"/>
  <c r="W5309" i="34"/>
  <c r="Y5309" i="34"/>
  <c r="AB5309" i="34"/>
  <c r="AC5309" i="34"/>
  <c r="AD5309" i="34"/>
  <c r="P5310" i="34"/>
  <c r="T5310" i="34"/>
  <c r="U5310" i="34"/>
  <c r="V5310" i="34"/>
  <c r="W5310" i="34"/>
  <c r="Y5310" i="34"/>
  <c r="AB5310" i="34"/>
  <c r="AC5310" i="34"/>
  <c r="AD5310" i="34"/>
  <c r="P5311" i="34"/>
  <c r="T5311" i="34"/>
  <c r="U5311" i="34"/>
  <c r="V5311" i="34"/>
  <c r="W5311" i="34"/>
  <c r="Y5311" i="34"/>
  <c r="AB5311" i="34"/>
  <c r="AC5311" i="34"/>
  <c r="AD5311" i="34"/>
  <c r="P5312" i="34"/>
  <c r="T5312" i="34"/>
  <c r="U5312" i="34"/>
  <c r="V5312" i="34"/>
  <c r="W5312" i="34"/>
  <c r="Y5312" i="34"/>
  <c r="AB5312" i="34"/>
  <c r="AC5312" i="34"/>
  <c r="AD5312" i="34"/>
  <c r="P5322" i="34"/>
  <c r="T5322" i="34"/>
  <c r="U5322" i="34"/>
  <c r="V5322" i="34"/>
  <c r="W5322" i="34"/>
  <c r="Y5322" i="34"/>
  <c r="AB5322" i="34"/>
  <c r="AC5322" i="34"/>
  <c r="AD5322" i="34"/>
  <c r="P5323" i="34"/>
  <c r="T5323" i="34"/>
  <c r="U5323" i="34"/>
  <c r="V5323" i="34"/>
  <c r="W5323" i="34"/>
  <c r="Y5323" i="34"/>
  <c r="AB5323" i="34"/>
  <c r="AC5323" i="34"/>
  <c r="AD5323" i="34"/>
  <c r="P5343" i="34"/>
  <c r="T5343" i="34"/>
  <c r="U5343" i="34"/>
  <c r="V5343" i="34"/>
  <c r="W5343" i="34"/>
  <c r="Y5343" i="34"/>
  <c r="AB5343" i="34"/>
  <c r="AC5343" i="34"/>
  <c r="AD5343" i="34"/>
  <c r="P5344" i="34"/>
  <c r="T5344" i="34"/>
  <c r="U5344" i="34"/>
  <c r="V5344" i="34"/>
  <c r="W5344" i="34"/>
  <c r="Y5344" i="34"/>
  <c r="AB5344" i="34"/>
  <c r="AC5344" i="34"/>
  <c r="AD5344" i="34"/>
  <c r="P5346" i="34"/>
  <c r="T5346" i="34"/>
  <c r="U5346" i="34"/>
  <c r="V5346" i="34"/>
  <c r="W5346" i="34"/>
  <c r="Y5346" i="34"/>
  <c r="AB5346" i="34"/>
  <c r="AC5346" i="34"/>
  <c r="AD5346" i="34"/>
  <c r="P5365" i="34"/>
  <c r="T5365" i="34"/>
  <c r="U5365" i="34"/>
  <c r="V5365" i="34"/>
  <c r="W5365" i="34"/>
  <c r="Y5365" i="34"/>
  <c r="AB5365" i="34"/>
  <c r="AC5365" i="34"/>
  <c r="AD5365" i="34"/>
  <c r="P5366" i="34"/>
  <c r="T5366" i="34"/>
  <c r="U5366" i="34"/>
  <c r="V5366" i="34"/>
  <c r="W5366" i="34"/>
  <c r="Y5366" i="34"/>
  <c r="AB5366" i="34"/>
  <c r="AC5366" i="34"/>
  <c r="AD5366" i="34"/>
  <c r="P5367" i="34"/>
  <c r="T5367" i="34"/>
  <c r="U5367" i="34"/>
  <c r="V5367" i="34"/>
  <c r="W5367" i="34"/>
  <c r="Y5367" i="34"/>
  <c r="AB5367" i="34"/>
  <c r="AC5367" i="34"/>
  <c r="AD5367" i="34"/>
  <c r="P5368" i="34"/>
  <c r="T5368" i="34"/>
  <c r="U5368" i="34"/>
  <c r="V5368" i="34"/>
  <c r="W5368" i="34"/>
  <c r="Y5368" i="34"/>
  <c r="AB5368" i="34"/>
  <c r="AC5368" i="34"/>
  <c r="AD5368" i="34"/>
  <c r="P5369" i="34"/>
  <c r="T5369" i="34"/>
  <c r="U5369" i="34"/>
  <c r="V5369" i="34"/>
  <c r="W5369" i="34"/>
  <c r="Y5369" i="34"/>
  <c r="AB5369" i="34"/>
  <c r="AC5369" i="34"/>
  <c r="AD5369" i="34"/>
  <c r="P5370" i="34"/>
  <c r="T5370" i="34"/>
  <c r="U5370" i="34"/>
  <c r="V5370" i="34"/>
  <c r="W5370" i="34"/>
  <c r="Y5370" i="34"/>
  <c r="AB5370" i="34"/>
  <c r="AC5370" i="34"/>
  <c r="AD5370" i="34"/>
  <c r="P5371" i="34"/>
  <c r="T5371" i="34"/>
  <c r="U5371" i="34"/>
  <c r="V5371" i="34"/>
  <c r="W5371" i="34"/>
  <c r="Y5371" i="34"/>
  <c r="AB5371" i="34"/>
  <c r="AC5371" i="34"/>
  <c r="AD5371" i="34"/>
  <c r="P5372" i="34"/>
  <c r="T5372" i="34"/>
  <c r="U5372" i="34"/>
  <c r="V5372" i="34"/>
  <c r="W5372" i="34"/>
  <c r="Y5372" i="34"/>
  <c r="AB5372" i="34"/>
  <c r="AC5372" i="34"/>
  <c r="AD5372" i="34"/>
  <c r="P5397" i="34"/>
  <c r="T5397" i="34"/>
  <c r="U5397" i="34"/>
  <c r="V5397" i="34"/>
  <c r="W5397" i="34"/>
  <c r="Y5397" i="34"/>
  <c r="AB5397" i="34"/>
  <c r="AC5397" i="34"/>
  <c r="AD5397" i="34"/>
  <c r="P5398" i="34"/>
  <c r="T5398" i="34"/>
  <c r="U5398" i="34"/>
  <c r="V5398" i="34"/>
  <c r="W5398" i="34"/>
  <c r="Y5398" i="34"/>
  <c r="AB5398" i="34"/>
  <c r="AC5398" i="34"/>
  <c r="AD5398" i="34"/>
  <c r="P5418" i="34"/>
  <c r="T5418" i="34"/>
  <c r="U5418" i="34"/>
  <c r="V5418" i="34"/>
  <c r="W5418" i="34"/>
  <c r="Y5418" i="34"/>
  <c r="AB5418" i="34"/>
  <c r="AC5418" i="34"/>
  <c r="AD5418" i="34"/>
  <c r="P5419" i="34"/>
  <c r="T5419" i="34"/>
  <c r="U5419" i="34"/>
  <c r="V5419" i="34"/>
  <c r="W5419" i="34"/>
  <c r="Y5419" i="34"/>
  <c r="AB5419" i="34"/>
  <c r="AC5419" i="34"/>
  <c r="AD5419" i="34"/>
  <c r="P5420" i="34"/>
  <c r="T5420" i="34"/>
  <c r="U5420" i="34"/>
  <c r="V5420" i="34"/>
  <c r="W5420" i="34"/>
  <c r="Y5420" i="34"/>
  <c r="AB5420" i="34"/>
  <c r="AC5420" i="34"/>
  <c r="AD5420" i="34"/>
  <c r="P5421" i="34"/>
  <c r="T5421" i="34"/>
  <c r="U5421" i="34"/>
  <c r="V5421" i="34"/>
  <c r="W5421" i="34"/>
  <c r="Y5421" i="34"/>
  <c r="AB5421" i="34"/>
  <c r="AC5421" i="34"/>
  <c r="AD5421" i="34"/>
  <c r="P5429" i="34"/>
  <c r="T5429" i="34"/>
  <c r="U5429" i="34"/>
  <c r="V5429" i="34"/>
  <c r="W5429" i="34"/>
  <c r="Y5429" i="34"/>
  <c r="AB5429" i="34"/>
  <c r="AC5429" i="34"/>
  <c r="AD5429" i="34"/>
  <c r="P5430" i="34"/>
  <c r="T5430" i="34"/>
  <c r="U5430" i="34"/>
  <c r="V5430" i="34"/>
  <c r="W5430" i="34"/>
  <c r="Y5430" i="34"/>
  <c r="AB5430" i="34"/>
  <c r="AC5430" i="34"/>
  <c r="AD5430" i="34"/>
  <c r="P5434" i="34"/>
  <c r="T5434" i="34"/>
  <c r="U5434" i="34"/>
  <c r="V5434" i="34"/>
  <c r="W5434" i="34"/>
  <c r="Y5434" i="34"/>
  <c r="AB5434" i="34"/>
  <c r="AC5434" i="34"/>
  <c r="AD5434" i="34"/>
  <c r="P5435" i="34"/>
  <c r="T5435" i="34"/>
  <c r="U5435" i="34"/>
  <c r="V5435" i="34"/>
  <c r="W5435" i="34"/>
  <c r="Y5435" i="34"/>
  <c r="AB5435" i="34"/>
  <c r="AC5435" i="34"/>
  <c r="AD5435" i="34"/>
  <c r="P5446" i="34"/>
  <c r="T5446" i="34"/>
  <c r="U5446" i="34"/>
  <c r="V5446" i="34"/>
  <c r="W5446" i="34"/>
  <c r="Y5446" i="34"/>
  <c r="AB5446" i="34"/>
  <c r="AC5446" i="34"/>
  <c r="AD5446" i="34"/>
  <c r="P5447" i="34"/>
  <c r="T5447" i="34"/>
  <c r="U5447" i="34"/>
  <c r="V5447" i="34"/>
  <c r="W5447" i="34"/>
  <c r="Y5447" i="34"/>
  <c r="AB5447" i="34"/>
  <c r="AC5447" i="34"/>
  <c r="AD5447" i="34"/>
  <c r="P5448" i="34"/>
  <c r="T5448" i="34"/>
  <c r="U5448" i="34"/>
  <c r="V5448" i="34"/>
  <c r="W5448" i="34"/>
  <c r="Y5448" i="34"/>
  <c r="AB5448" i="34"/>
  <c r="AC5448" i="34"/>
  <c r="AD5448" i="34"/>
  <c r="P5449" i="34"/>
  <c r="T5449" i="34"/>
  <c r="U5449" i="34"/>
  <c r="V5449" i="34"/>
  <c r="W5449" i="34"/>
  <c r="Y5449" i="34"/>
  <c r="AB5449" i="34"/>
  <c r="AC5449" i="34"/>
  <c r="AD5449" i="34"/>
  <c r="P5465" i="34"/>
  <c r="T5465" i="34"/>
  <c r="U5465" i="34"/>
  <c r="V5465" i="34"/>
  <c r="W5465" i="34"/>
  <c r="Y5465" i="34"/>
  <c r="AB5465" i="34"/>
  <c r="AC5465" i="34"/>
  <c r="AD5465" i="34"/>
  <c r="P5466" i="34"/>
  <c r="T5466" i="34"/>
  <c r="U5466" i="34"/>
  <c r="V5466" i="34"/>
  <c r="W5466" i="34"/>
  <c r="Y5466" i="34"/>
  <c r="AB5466" i="34"/>
  <c r="AC5466" i="34"/>
  <c r="AD5466" i="34"/>
  <c r="P5476" i="34"/>
  <c r="T5476" i="34"/>
  <c r="U5476" i="34"/>
  <c r="V5476" i="34"/>
  <c r="W5476" i="34"/>
  <c r="Y5476" i="34"/>
  <c r="AB5476" i="34"/>
  <c r="AC5476" i="34"/>
  <c r="AD5476" i="34"/>
  <c r="P5477" i="34"/>
  <c r="T5477" i="34"/>
  <c r="U5477" i="34"/>
  <c r="V5477" i="34"/>
  <c r="W5477" i="34"/>
  <c r="Y5477" i="34"/>
  <c r="AB5477" i="34"/>
  <c r="AC5477" i="34"/>
  <c r="AD5477" i="34"/>
  <c r="P5478" i="34"/>
  <c r="T5478" i="34"/>
  <c r="U5478" i="34"/>
  <c r="V5478" i="34"/>
  <c r="W5478" i="34"/>
  <c r="Y5478" i="34"/>
  <c r="AB5478" i="34"/>
  <c r="AC5478" i="34"/>
  <c r="AD5478" i="34"/>
  <c r="P5479" i="34"/>
  <c r="T5479" i="34"/>
  <c r="U5479" i="34"/>
  <c r="V5479" i="34"/>
  <c r="W5479" i="34"/>
  <c r="Y5479" i="34"/>
  <c r="AB5479" i="34"/>
  <c r="AC5479" i="34"/>
  <c r="AD5479" i="34"/>
  <c r="P5480" i="34"/>
  <c r="T5480" i="34"/>
  <c r="U5480" i="34"/>
  <c r="V5480" i="34"/>
  <c r="W5480" i="34"/>
  <c r="Y5480" i="34"/>
  <c r="AB5480" i="34"/>
  <c r="AC5480" i="34"/>
  <c r="AD5480" i="34"/>
  <c r="P5481" i="34"/>
  <c r="T5481" i="34"/>
  <c r="U5481" i="34"/>
  <c r="V5481" i="34"/>
  <c r="W5481" i="34"/>
  <c r="Y5481" i="34"/>
  <c r="AB5481" i="34"/>
  <c r="AC5481" i="34"/>
  <c r="AD5481" i="34"/>
  <c r="P5482" i="34"/>
  <c r="T5482" i="34"/>
  <c r="U5482" i="34"/>
  <c r="V5482" i="34"/>
  <c r="W5482" i="34"/>
  <c r="Y5482" i="34"/>
  <c r="AB5482" i="34"/>
  <c r="AC5482" i="34"/>
  <c r="AD5482" i="34"/>
  <c r="P5483" i="34"/>
  <c r="T5483" i="34"/>
  <c r="U5483" i="34"/>
  <c r="V5483" i="34"/>
  <c r="W5483" i="34"/>
  <c r="Y5483" i="34"/>
  <c r="AB5483" i="34"/>
  <c r="AC5483" i="34"/>
  <c r="AD5483" i="34"/>
  <c r="P5484" i="34"/>
  <c r="T5484" i="34"/>
  <c r="U5484" i="34"/>
  <c r="V5484" i="34"/>
  <c r="W5484" i="34"/>
  <c r="Y5484" i="34"/>
  <c r="AB5484" i="34"/>
  <c r="AC5484" i="34"/>
  <c r="AD5484" i="34"/>
  <c r="P5485" i="34"/>
  <c r="T5485" i="34"/>
  <c r="U5485" i="34"/>
  <c r="V5485" i="34"/>
  <c r="W5485" i="34"/>
  <c r="Y5485" i="34"/>
  <c r="AB5485" i="34"/>
  <c r="AC5485" i="34"/>
  <c r="AD5485" i="34"/>
  <c r="P5486" i="34"/>
  <c r="T5486" i="34"/>
  <c r="U5486" i="34"/>
  <c r="V5486" i="34"/>
  <c r="W5486" i="34"/>
  <c r="Y5486" i="34"/>
  <c r="AB5486" i="34"/>
  <c r="AC5486" i="34"/>
  <c r="AD5486" i="34"/>
  <c r="P5487" i="34"/>
  <c r="T5487" i="34"/>
  <c r="U5487" i="34"/>
  <c r="V5487" i="34"/>
  <c r="W5487" i="34"/>
  <c r="Y5487" i="34"/>
  <c r="AB5487" i="34"/>
  <c r="AC5487" i="34"/>
  <c r="AD5487" i="34"/>
  <c r="P5488" i="34"/>
  <c r="T5488" i="34"/>
  <c r="U5488" i="34"/>
  <c r="V5488" i="34"/>
  <c r="W5488" i="34"/>
  <c r="Y5488" i="34"/>
  <c r="AB5488" i="34"/>
  <c r="AC5488" i="34"/>
  <c r="AD5488" i="34"/>
  <c r="P5489" i="34"/>
  <c r="T5489" i="34"/>
  <c r="U5489" i="34"/>
  <c r="V5489" i="34"/>
  <c r="W5489" i="34"/>
  <c r="Y5489" i="34"/>
  <c r="AB5489" i="34"/>
  <c r="AC5489" i="34"/>
  <c r="AD5489" i="34"/>
  <c r="P5490" i="34"/>
  <c r="T5490" i="34"/>
  <c r="U5490" i="34"/>
  <c r="V5490" i="34"/>
  <c r="W5490" i="34"/>
  <c r="Y5490" i="34"/>
  <c r="AB5490" i="34"/>
  <c r="AC5490" i="34"/>
  <c r="AD5490" i="34"/>
  <c r="P5518" i="34"/>
  <c r="T5518" i="34"/>
  <c r="U5518" i="34"/>
  <c r="V5518" i="34"/>
  <c r="W5518" i="34"/>
  <c r="Y5518" i="34"/>
  <c r="AB5518" i="34"/>
  <c r="AC5518" i="34"/>
  <c r="AD5518" i="34"/>
  <c r="P5519" i="34"/>
  <c r="T5519" i="34"/>
  <c r="U5519" i="34"/>
  <c r="V5519" i="34"/>
  <c r="W5519" i="34"/>
  <c r="Y5519" i="34"/>
  <c r="AB5519" i="34"/>
  <c r="AC5519" i="34"/>
  <c r="AD5519" i="34"/>
  <c r="P5520" i="34"/>
  <c r="T5520" i="34"/>
  <c r="U5520" i="34"/>
  <c r="V5520" i="34"/>
  <c r="W5520" i="34"/>
  <c r="Y5520" i="34"/>
  <c r="AB5520" i="34"/>
  <c r="AC5520" i="34"/>
  <c r="AD5520" i="34"/>
  <c r="P5533" i="34"/>
  <c r="T5533" i="34"/>
  <c r="U5533" i="34"/>
  <c r="V5533" i="34"/>
  <c r="W5533" i="34"/>
  <c r="Y5533" i="34"/>
  <c r="AB5533" i="34"/>
  <c r="AC5533" i="34"/>
  <c r="AD5533" i="34"/>
  <c r="P5534" i="34"/>
  <c r="T5534" i="34"/>
  <c r="U5534" i="34"/>
  <c r="V5534" i="34"/>
  <c r="W5534" i="34"/>
  <c r="Y5534" i="34"/>
  <c r="AB5534" i="34"/>
  <c r="AC5534" i="34"/>
  <c r="AD5534" i="34"/>
  <c r="P5535" i="34"/>
  <c r="T5535" i="34"/>
  <c r="U5535" i="34"/>
  <c r="V5535" i="34"/>
  <c r="W5535" i="34"/>
  <c r="Y5535" i="34"/>
  <c r="AB5535" i="34"/>
  <c r="AC5535" i="34"/>
  <c r="AD5535" i="34"/>
  <c r="P5536" i="34"/>
  <c r="T5536" i="34"/>
  <c r="U5536" i="34"/>
  <c r="V5536" i="34"/>
  <c r="W5536" i="34"/>
  <c r="Y5536" i="34"/>
  <c r="AB5536" i="34"/>
  <c r="AC5536" i="34"/>
  <c r="AD5536" i="34"/>
  <c r="P5539" i="34"/>
  <c r="T5539" i="34"/>
  <c r="U5539" i="34"/>
  <c r="V5539" i="34"/>
  <c r="W5539" i="34"/>
  <c r="Y5539" i="34"/>
  <c r="AB5539" i="34"/>
  <c r="AC5539" i="34"/>
  <c r="AD5539" i="34"/>
  <c r="P5540" i="34"/>
  <c r="T5540" i="34"/>
  <c r="U5540" i="34"/>
  <c r="V5540" i="34"/>
  <c r="W5540" i="34"/>
  <c r="Y5540" i="34"/>
  <c r="AB5540" i="34"/>
  <c r="AC5540" i="34"/>
  <c r="AD5540" i="34"/>
  <c r="P5541" i="34"/>
  <c r="T5541" i="34"/>
  <c r="U5541" i="34"/>
  <c r="V5541" i="34"/>
  <c r="W5541" i="34"/>
  <c r="Y5541" i="34"/>
  <c r="AB5541" i="34"/>
  <c r="AC5541" i="34"/>
  <c r="AD5541" i="34"/>
  <c r="P5542" i="34"/>
  <c r="T5542" i="34"/>
  <c r="U5542" i="34"/>
  <c r="V5542" i="34"/>
  <c r="W5542" i="34"/>
  <c r="Y5542" i="34"/>
  <c r="AB5542" i="34"/>
  <c r="AC5542" i="34"/>
  <c r="AD5542" i="34"/>
  <c r="P5543" i="34"/>
  <c r="T5543" i="34"/>
  <c r="U5543" i="34"/>
  <c r="V5543" i="34"/>
  <c r="W5543" i="34"/>
  <c r="Y5543" i="34"/>
  <c r="AB5543" i="34"/>
  <c r="AC5543" i="34"/>
  <c r="AD5543" i="34"/>
  <c r="P5544" i="34"/>
  <c r="T5544" i="34"/>
  <c r="U5544" i="34"/>
  <c r="V5544" i="34"/>
  <c r="W5544" i="34"/>
  <c r="Y5544" i="34"/>
  <c r="AB5544" i="34"/>
  <c r="AC5544" i="34"/>
  <c r="AD5544" i="34"/>
  <c r="P5545" i="34"/>
  <c r="T5545" i="34"/>
  <c r="U5545" i="34"/>
  <c r="V5545" i="34"/>
  <c r="W5545" i="34"/>
  <c r="Y5545" i="34"/>
  <c r="AB5545" i="34"/>
  <c r="AC5545" i="34"/>
  <c r="AD5545" i="34"/>
  <c r="P5546" i="34"/>
  <c r="T5546" i="34"/>
  <c r="U5546" i="34"/>
  <c r="V5546" i="34"/>
  <c r="W5546" i="34"/>
  <c r="Y5546" i="34"/>
  <c r="AB5546" i="34"/>
  <c r="AC5546" i="34"/>
  <c r="AD5546" i="34"/>
  <c r="P5551" i="34"/>
  <c r="T5551" i="34"/>
  <c r="U5551" i="34"/>
  <c r="V5551" i="34"/>
  <c r="W5551" i="34"/>
  <c r="Y5551" i="34"/>
  <c r="AB5551" i="34"/>
  <c r="AC5551" i="34"/>
  <c r="AD5551" i="34"/>
  <c r="P5552" i="34"/>
  <c r="T5552" i="34"/>
  <c r="U5552" i="34"/>
  <c r="V5552" i="34"/>
  <c r="W5552" i="34"/>
  <c r="Y5552" i="34"/>
  <c r="AB5552" i="34"/>
  <c r="AC5552" i="34"/>
  <c r="AD5552" i="34"/>
  <c r="P5553" i="34"/>
  <c r="T5553" i="34"/>
  <c r="U5553" i="34"/>
  <c r="V5553" i="34"/>
  <c r="W5553" i="34"/>
  <c r="Y5553" i="34"/>
  <c r="AB5553" i="34"/>
  <c r="AC5553" i="34"/>
  <c r="AD5553" i="34"/>
  <c r="P5554" i="34"/>
  <c r="T5554" i="34"/>
  <c r="U5554" i="34"/>
  <c r="V5554" i="34"/>
  <c r="W5554" i="34"/>
  <c r="Y5554" i="34"/>
  <c r="AB5554" i="34"/>
  <c r="AC5554" i="34"/>
  <c r="AD5554" i="34"/>
  <c r="P5555" i="34"/>
  <c r="T5555" i="34"/>
  <c r="U5555" i="34"/>
  <c r="V5555" i="34"/>
  <c r="W5555" i="34"/>
  <c r="Y5555" i="34"/>
  <c r="AB5555" i="34"/>
  <c r="AC5555" i="34"/>
  <c r="AD5555" i="34"/>
  <c r="P5556" i="34"/>
  <c r="T5556" i="34"/>
  <c r="U5556" i="34"/>
  <c r="V5556" i="34"/>
  <c r="W5556" i="34"/>
  <c r="Y5556" i="34"/>
  <c r="AB5556" i="34"/>
  <c r="AC5556" i="34"/>
  <c r="AD5556" i="34"/>
  <c r="P5578" i="34"/>
  <c r="T5578" i="34"/>
  <c r="U5578" i="34"/>
  <c r="V5578" i="34"/>
  <c r="W5578" i="34"/>
  <c r="Y5578" i="34"/>
  <c r="AB5578" i="34"/>
  <c r="AC5578" i="34"/>
  <c r="AD5578" i="34"/>
  <c r="P5579" i="34"/>
  <c r="T5579" i="34"/>
  <c r="U5579" i="34"/>
  <c r="V5579" i="34"/>
  <c r="W5579" i="34"/>
  <c r="Y5579" i="34"/>
  <c r="AB5579" i="34"/>
  <c r="AC5579" i="34"/>
  <c r="AD5579" i="34"/>
  <c r="P5583" i="34"/>
  <c r="T5583" i="34"/>
  <c r="U5583" i="34"/>
  <c r="V5583" i="34"/>
  <c r="W5583" i="34"/>
  <c r="Y5583" i="34"/>
  <c r="AB5583" i="34"/>
  <c r="AC5583" i="34"/>
  <c r="AD5583" i="34"/>
  <c r="P5584" i="34"/>
  <c r="T5584" i="34"/>
  <c r="U5584" i="34"/>
  <c r="V5584" i="34"/>
  <c r="W5584" i="34"/>
  <c r="Y5584" i="34"/>
  <c r="AB5584" i="34"/>
  <c r="AC5584" i="34"/>
  <c r="AD5584" i="34"/>
  <c r="P5585" i="34"/>
  <c r="T5585" i="34"/>
  <c r="U5585" i="34"/>
  <c r="V5585" i="34"/>
  <c r="W5585" i="34"/>
  <c r="Y5585" i="34"/>
  <c r="AB5585" i="34"/>
  <c r="AC5585" i="34"/>
  <c r="AD5585" i="34"/>
  <c r="P5586" i="34"/>
  <c r="T5586" i="34"/>
  <c r="U5586" i="34"/>
  <c r="V5586" i="34"/>
  <c r="W5586" i="34"/>
  <c r="Y5586" i="34"/>
  <c r="AB5586" i="34"/>
  <c r="AC5586" i="34"/>
  <c r="AD5586" i="34"/>
  <c r="P5587" i="34"/>
  <c r="T5587" i="34"/>
  <c r="U5587" i="34"/>
  <c r="V5587" i="34"/>
  <c r="W5587" i="34"/>
  <c r="Y5587" i="34"/>
  <c r="AB5587" i="34"/>
  <c r="AC5587" i="34"/>
  <c r="AD5587" i="34"/>
  <c r="P5588" i="34"/>
  <c r="T5588" i="34"/>
  <c r="U5588" i="34"/>
  <c r="V5588" i="34"/>
  <c r="W5588" i="34"/>
  <c r="Y5588" i="34"/>
  <c r="AB5588" i="34"/>
  <c r="AC5588" i="34"/>
  <c r="AD5588" i="34"/>
  <c r="P5599" i="34"/>
  <c r="T5599" i="34"/>
  <c r="U5599" i="34"/>
  <c r="V5599" i="34"/>
  <c r="W5599" i="34"/>
  <c r="Y5599" i="34"/>
  <c r="AB5599" i="34"/>
  <c r="AC5599" i="34"/>
  <c r="AD5599" i="34"/>
  <c r="P5600" i="34"/>
  <c r="T5600" i="34"/>
  <c r="U5600" i="34"/>
  <c r="V5600" i="34"/>
  <c r="W5600" i="34"/>
  <c r="Y5600" i="34"/>
  <c r="AB5600" i="34"/>
  <c r="AC5600" i="34"/>
  <c r="AD5600" i="34"/>
  <c r="P5603" i="34"/>
  <c r="T5603" i="34"/>
  <c r="U5603" i="34"/>
  <c r="V5603" i="34"/>
  <c r="W5603" i="34"/>
  <c r="Y5603" i="34"/>
  <c r="AB5603" i="34"/>
  <c r="AC5603" i="34"/>
  <c r="AD5603" i="34"/>
  <c r="P5640" i="34"/>
  <c r="T5640" i="34"/>
  <c r="U5640" i="34"/>
  <c r="V5640" i="34"/>
  <c r="W5640" i="34"/>
  <c r="Y5640" i="34"/>
  <c r="AB5640" i="34"/>
  <c r="AC5640" i="34"/>
  <c r="AD5640" i="34"/>
  <c r="P5641" i="34"/>
  <c r="T5641" i="34"/>
  <c r="U5641" i="34"/>
  <c r="V5641" i="34"/>
  <c r="W5641" i="34"/>
  <c r="Y5641" i="34"/>
  <c r="AB5641" i="34"/>
  <c r="AC5641" i="34"/>
  <c r="AD5641" i="34"/>
  <c r="P5650" i="34"/>
  <c r="T5650" i="34"/>
  <c r="U5650" i="34"/>
  <c r="V5650" i="34"/>
  <c r="W5650" i="34"/>
  <c r="Y5650" i="34"/>
  <c r="AB5650" i="34"/>
  <c r="AC5650" i="34"/>
  <c r="AD5650" i="34"/>
  <c r="P5651" i="34"/>
  <c r="T5651" i="34"/>
  <c r="U5651" i="34"/>
  <c r="V5651" i="34"/>
  <c r="W5651" i="34"/>
  <c r="Y5651" i="34"/>
  <c r="AB5651" i="34"/>
  <c r="AC5651" i="34"/>
  <c r="AD5651" i="34"/>
  <c r="P5652" i="34"/>
  <c r="T5652" i="34"/>
  <c r="U5652" i="34"/>
  <c r="V5652" i="34"/>
  <c r="W5652" i="34"/>
  <c r="Y5652" i="34"/>
  <c r="AB5652" i="34"/>
  <c r="AC5652" i="34"/>
  <c r="AD5652" i="34"/>
  <c r="P5653" i="34"/>
  <c r="T5653" i="34"/>
  <c r="U5653" i="34"/>
  <c r="V5653" i="34"/>
  <c r="W5653" i="34"/>
  <c r="Y5653" i="34"/>
  <c r="AB5653" i="34"/>
  <c r="AC5653" i="34"/>
  <c r="AD5653" i="34"/>
  <c r="P5658" i="34"/>
  <c r="T5658" i="34"/>
  <c r="U5658" i="34"/>
  <c r="V5658" i="34"/>
  <c r="W5658" i="34"/>
  <c r="Y5658" i="34"/>
  <c r="AB5658" i="34"/>
  <c r="AC5658" i="34"/>
  <c r="AD5658" i="34"/>
  <c r="P5659" i="34"/>
  <c r="T5659" i="34"/>
  <c r="U5659" i="34"/>
  <c r="V5659" i="34"/>
  <c r="W5659" i="34"/>
  <c r="Y5659" i="34"/>
  <c r="AB5659" i="34"/>
  <c r="AC5659" i="34"/>
  <c r="AD5659" i="34"/>
  <c r="P5669" i="34"/>
  <c r="T5669" i="34"/>
  <c r="U5669" i="34"/>
  <c r="V5669" i="34"/>
  <c r="W5669" i="34"/>
  <c r="Y5669" i="34"/>
  <c r="AB5669" i="34"/>
  <c r="AC5669" i="34"/>
  <c r="AD5669" i="34"/>
  <c r="P5670" i="34"/>
  <c r="T5670" i="34"/>
  <c r="U5670" i="34"/>
  <c r="V5670" i="34"/>
  <c r="W5670" i="34"/>
  <c r="Y5670" i="34"/>
  <c r="AB5670" i="34"/>
  <c r="AC5670" i="34"/>
  <c r="AD5670" i="34"/>
  <c r="P5671" i="34"/>
  <c r="T5671" i="34"/>
  <c r="U5671" i="34"/>
  <c r="V5671" i="34"/>
  <c r="W5671" i="34"/>
  <c r="Y5671" i="34"/>
  <c r="AB5671" i="34"/>
  <c r="AC5671" i="34"/>
  <c r="AD5671" i="34"/>
  <c r="P5672" i="34"/>
  <c r="T5672" i="34"/>
  <c r="U5672" i="34"/>
  <c r="V5672" i="34"/>
  <c r="W5672" i="34"/>
  <c r="Y5672" i="34"/>
  <c r="AB5672" i="34"/>
  <c r="AC5672" i="34"/>
  <c r="AD5672" i="34"/>
  <c r="P5685" i="34"/>
  <c r="T5685" i="34"/>
  <c r="U5685" i="34"/>
  <c r="V5685" i="34"/>
  <c r="W5685" i="34"/>
  <c r="Y5685" i="34"/>
  <c r="AB5685" i="34"/>
  <c r="AC5685" i="34"/>
  <c r="AD5685" i="34"/>
  <c r="P5686" i="34"/>
  <c r="T5686" i="34"/>
  <c r="U5686" i="34"/>
  <c r="V5686" i="34"/>
  <c r="W5686" i="34"/>
  <c r="Y5686" i="34"/>
  <c r="AB5686" i="34"/>
  <c r="AC5686" i="34"/>
  <c r="AD5686" i="34"/>
  <c r="P5687" i="34"/>
  <c r="T5687" i="34"/>
  <c r="U5687" i="34"/>
  <c r="V5687" i="34"/>
  <c r="W5687" i="34"/>
  <c r="Y5687" i="34"/>
  <c r="AB5687" i="34"/>
  <c r="AC5687" i="34"/>
  <c r="AD5687" i="34"/>
  <c r="P5688" i="34"/>
  <c r="T5688" i="34"/>
  <c r="U5688" i="34"/>
  <c r="V5688" i="34"/>
  <c r="W5688" i="34"/>
  <c r="Y5688" i="34"/>
  <c r="AB5688" i="34"/>
  <c r="AC5688" i="34"/>
  <c r="AD5688" i="34"/>
  <c r="P5701" i="34"/>
  <c r="T5701" i="34"/>
  <c r="U5701" i="34"/>
  <c r="V5701" i="34"/>
  <c r="W5701" i="34"/>
  <c r="Y5701" i="34"/>
  <c r="AB5701" i="34"/>
  <c r="AC5701" i="34"/>
  <c r="AD5701" i="34"/>
  <c r="P5702" i="34"/>
  <c r="T5702" i="34"/>
  <c r="U5702" i="34"/>
  <c r="V5702" i="34"/>
  <c r="W5702" i="34"/>
  <c r="Y5702" i="34"/>
  <c r="AB5702" i="34"/>
  <c r="AC5702" i="34"/>
  <c r="AD5702" i="34"/>
  <c r="P5703" i="34"/>
  <c r="T5703" i="34"/>
  <c r="U5703" i="34"/>
  <c r="V5703" i="34"/>
  <c r="W5703" i="34"/>
  <c r="Y5703" i="34"/>
  <c r="AB5703" i="34"/>
  <c r="AC5703" i="34"/>
  <c r="AD5703" i="34"/>
  <c r="P5704" i="34"/>
  <c r="T5704" i="34"/>
  <c r="U5704" i="34"/>
  <c r="V5704" i="34"/>
  <c r="W5704" i="34"/>
  <c r="Y5704" i="34"/>
  <c r="AB5704" i="34"/>
  <c r="AC5704" i="34"/>
  <c r="AD5704" i="34"/>
  <c r="P5707" i="34"/>
  <c r="T5707" i="34"/>
  <c r="U5707" i="34"/>
  <c r="V5707" i="34"/>
  <c r="W5707" i="34"/>
  <c r="Y5707" i="34"/>
  <c r="AB5707" i="34"/>
  <c r="AC5707" i="34"/>
  <c r="AD5707" i="34"/>
  <c r="P5708" i="34"/>
  <c r="T5708" i="34"/>
  <c r="U5708" i="34"/>
  <c r="V5708" i="34"/>
  <c r="W5708" i="34"/>
  <c r="Y5708" i="34"/>
  <c r="AB5708" i="34"/>
  <c r="AC5708" i="34"/>
  <c r="AD5708" i="34"/>
  <c r="P5709" i="34"/>
  <c r="T5709" i="34"/>
  <c r="U5709" i="34"/>
  <c r="V5709" i="34"/>
  <c r="W5709" i="34"/>
  <c r="Y5709" i="34"/>
  <c r="AB5709" i="34"/>
  <c r="AC5709" i="34"/>
  <c r="AD5709" i="34"/>
  <c r="P5710" i="34"/>
  <c r="T5710" i="34"/>
  <c r="U5710" i="34"/>
  <c r="V5710" i="34"/>
  <c r="W5710" i="34"/>
  <c r="Y5710" i="34"/>
  <c r="AB5710" i="34"/>
  <c r="AC5710" i="34"/>
  <c r="AD5710" i="34"/>
  <c r="P5711" i="34"/>
  <c r="T5711" i="34"/>
  <c r="U5711" i="34"/>
  <c r="V5711" i="34"/>
  <c r="W5711" i="34"/>
  <c r="Y5711" i="34"/>
  <c r="AB5711" i="34"/>
  <c r="AC5711" i="34"/>
  <c r="AD5711" i="34"/>
  <c r="P2481" i="34"/>
  <c r="W2481" i="34"/>
  <c r="Y2481" i="34"/>
  <c r="AB2481" i="34"/>
  <c r="AC2481" i="34"/>
  <c r="AD2481" i="34"/>
  <c r="P2482" i="34"/>
  <c r="W2482" i="34"/>
  <c r="Y2482" i="34"/>
  <c r="AB2482" i="34"/>
  <c r="AC2482" i="34"/>
  <c r="AD2482" i="34"/>
  <c r="P2483" i="34"/>
  <c r="W2483" i="34"/>
  <c r="Y2483" i="34"/>
  <c r="AB2483" i="34"/>
  <c r="AC2483" i="34"/>
  <c r="AD2483" i="34"/>
  <c r="P3459" i="34"/>
  <c r="W3459" i="34"/>
  <c r="Y3459" i="34"/>
  <c r="AB3459" i="34"/>
  <c r="AC3459" i="34"/>
  <c r="AD3459" i="34"/>
  <c r="P3460" i="34"/>
  <c r="W3460" i="34"/>
  <c r="Y3460" i="34"/>
  <c r="AB3460" i="34"/>
  <c r="AC3460" i="34"/>
  <c r="AD3460" i="34"/>
  <c r="P3640" i="34"/>
  <c r="W3640" i="34"/>
  <c r="Y3640" i="34"/>
  <c r="AB3640" i="34"/>
  <c r="AC3640" i="34"/>
  <c r="AD3640" i="34"/>
  <c r="P3829" i="34"/>
  <c r="W3829" i="34"/>
  <c r="Y3829" i="34"/>
  <c r="AB3829" i="34"/>
  <c r="AC3829" i="34"/>
  <c r="AD3829" i="34"/>
  <c r="P3830" i="34"/>
  <c r="W3830" i="34"/>
  <c r="Y3830" i="34"/>
  <c r="AB3830" i="34"/>
  <c r="AC3830" i="34"/>
  <c r="AD3830" i="34"/>
  <c r="P3831" i="34"/>
  <c r="W3831" i="34"/>
  <c r="Y3831" i="34"/>
  <c r="AB3831" i="34"/>
  <c r="AC3831" i="34"/>
  <c r="AD3831" i="34"/>
  <c r="P3832" i="34"/>
  <c r="W3832" i="34"/>
  <c r="Y3832" i="34"/>
  <c r="AB3832" i="34"/>
  <c r="AC3832" i="34"/>
  <c r="AD3832" i="34"/>
  <c r="P3840" i="34"/>
  <c r="W3840" i="34"/>
  <c r="Y3840" i="34"/>
  <c r="AB3840" i="34"/>
  <c r="AC3840" i="34"/>
  <c r="AD3840" i="34"/>
  <c r="P3843" i="34"/>
  <c r="W3843" i="34"/>
  <c r="Y3843" i="34"/>
  <c r="AB3843" i="34"/>
  <c r="AC3843" i="34"/>
  <c r="AD3843" i="34"/>
  <c r="P3911" i="34"/>
  <c r="W3911" i="34"/>
  <c r="Y3911" i="34"/>
  <c r="AB3911" i="34"/>
  <c r="AC3911" i="34"/>
  <c r="AD3911" i="34"/>
  <c r="P4057" i="34"/>
  <c r="W4057" i="34"/>
  <c r="Y4057" i="34"/>
  <c r="AB4057" i="34"/>
  <c r="AC4057" i="34"/>
  <c r="AD4057" i="34"/>
  <c r="P4271" i="34"/>
  <c r="W4271" i="34"/>
  <c r="Y4271" i="34"/>
  <c r="AB4271" i="34"/>
  <c r="AC4271" i="34"/>
  <c r="AD4271" i="34"/>
  <c r="P4296" i="34"/>
  <c r="W4296" i="34"/>
  <c r="Y4296" i="34"/>
  <c r="AB4296" i="34"/>
  <c r="AC4296" i="34"/>
  <c r="AD4296" i="34"/>
  <c r="P4297" i="34"/>
  <c r="W4297" i="34"/>
  <c r="Y4297" i="34"/>
  <c r="AB4297" i="34"/>
  <c r="AC4297" i="34"/>
  <c r="AD4297" i="34"/>
  <c r="P4329" i="34"/>
  <c r="W4329" i="34"/>
  <c r="Y4329" i="34"/>
  <c r="AB4329" i="34"/>
  <c r="AC4329" i="34"/>
  <c r="AD4329" i="34"/>
  <c r="P4330" i="34"/>
  <c r="W4330" i="34"/>
  <c r="Y4330" i="34"/>
  <c r="AB4330" i="34"/>
  <c r="AC4330" i="34"/>
  <c r="AD4330" i="34"/>
  <c r="P4331" i="34"/>
  <c r="W4331" i="34"/>
  <c r="Y4331" i="34"/>
  <c r="AB4331" i="34"/>
  <c r="AC4331" i="34"/>
  <c r="AD4331" i="34"/>
  <c r="P4332" i="34"/>
  <c r="W4332" i="34"/>
  <c r="Y4332" i="34"/>
  <c r="AB4332" i="34"/>
  <c r="AC4332" i="34"/>
  <c r="AD4332" i="34"/>
  <c r="P4333" i="34"/>
  <c r="W4333" i="34"/>
  <c r="Y4333" i="34"/>
  <c r="AB4333" i="34"/>
  <c r="AC4333" i="34"/>
  <c r="AD4333" i="34"/>
  <c r="P4334" i="34"/>
  <c r="W4334" i="34"/>
  <c r="Y4334" i="34"/>
  <c r="AB4334" i="34"/>
  <c r="AC4334" i="34"/>
  <c r="AD4334" i="34"/>
  <c r="P4335" i="34"/>
  <c r="W4335" i="34"/>
  <c r="Y4335" i="34"/>
  <c r="AB4335" i="34"/>
  <c r="AC4335" i="34"/>
  <c r="AD4335" i="34"/>
  <c r="P4336" i="34"/>
  <c r="W4336" i="34"/>
  <c r="Y4336" i="34"/>
  <c r="AB4336" i="34"/>
  <c r="AC4336" i="34"/>
  <c r="AD4336" i="34"/>
  <c r="P4448" i="34"/>
  <c r="W4448" i="34"/>
  <c r="Y4448" i="34"/>
  <c r="AB4448" i="34"/>
  <c r="AC4448" i="34"/>
  <c r="AD4448" i="34"/>
  <c r="P4649" i="34"/>
  <c r="W4649" i="34"/>
  <c r="Y4649" i="34"/>
  <c r="AB4649" i="34"/>
  <c r="AC4649" i="34"/>
  <c r="AD4649" i="34"/>
  <c r="P4690" i="34"/>
  <c r="W4690" i="34"/>
  <c r="Y4690" i="34"/>
  <c r="AB4690" i="34"/>
  <c r="AC4690" i="34"/>
  <c r="AD4690" i="34"/>
  <c r="P4739" i="34"/>
  <c r="W4739" i="34"/>
  <c r="Y4739" i="34"/>
  <c r="AB4739" i="34"/>
  <c r="AC4739" i="34"/>
  <c r="AD4739" i="34"/>
  <c r="P4765" i="34"/>
  <c r="W4765" i="34"/>
  <c r="Y4765" i="34"/>
  <c r="AB4765" i="34"/>
  <c r="AC4765" i="34"/>
  <c r="AD4765" i="34"/>
  <c r="P4837" i="34"/>
  <c r="W4837" i="34"/>
  <c r="Y4837" i="34"/>
  <c r="AB4837" i="34"/>
  <c r="AC4837" i="34"/>
  <c r="AD4837" i="34"/>
  <c r="P4951" i="34"/>
  <c r="W4951" i="34"/>
  <c r="Y4951" i="34"/>
  <c r="AB4951" i="34"/>
  <c r="AC4951" i="34"/>
  <c r="AD4951" i="34"/>
  <c r="P4952" i="34"/>
  <c r="W4952" i="34"/>
  <c r="Y4952" i="34"/>
  <c r="AB4952" i="34"/>
  <c r="AC4952" i="34"/>
  <c r="AD4952" i="34"/>
  <c r="P4953" i="34"/>
  <c r="W4953" i="34"/>
  <c r="Y4953" i="34"/>
  <c r="AB4953" i="34"/>
  <c r="AC4953" i="34"/>
  <c r="AD4953" i="34"/>
  <c r="P4954" i="34"/>
  <c r="W4954" i="34"/>
  <c r="Y4954" i="34"/>
  <c r="AB4954" i="34"/>
  <c r="AC4954" i="34"/>
  <c r="AD4954" i="34"/>
  <c r="P4964" i="34"/>
  <c r="W4964" i="34"/>
  <c r="Y4964" i="34"/>
  <c r="AB4964" i="34"/>
  <c r="AC4964" i="34"/>
  <c r="AD4964" i="34"/>
  <c r="P4965" i="34"/>
  <c r="W4965" i="34"/>
  <c r="Y4965" i="34"/>
  <c r="AB4965" i="34"/>
  <c r="AC4965" i="34"/>
  <c r="AD4965" i="34"/>
  <c r="P4966" i="34"/>
  <c r="W4966" i="34"/>
  <c r="Y4966" i="34"/>
  <c r="AB4966" i="34"/>
  <c r="AC4966" i="34"/>
  <c r="AD4966" i="34"/>
  <c r="P4967" i="34"/>
  <c r="W4967" i="34"/>
  <c r="Y4967" i="34"/>
  <c r="AB4967" i="34"/>
  <c r="AC4967" i="34"/>
  <c r="AD4967" i="34"/>
  <c r="P4968" i="34"/>
  <c r="W4968" i="34"/>
  <c r="Y4968" i="34"/>
  <c r="AB4968" i="34"/>
  <c r="AC4968" i="34"/>
  <c r="AD4968" i="34"/>
  <c r="P4969" i="34"/>
  <c r="W4969" i="34"/>
  <c r="Y4969" i="34"/>
  <c r="AB4969" i="34"/>
  <c r="AC4969" i="34"/>
  <c r="AD4969" i="34"/>
  <c r="P4970" i="34"/>
  <c r="W4970" i="34"/>
  <c r="Y4970" i="34"/>
  <c r="AB4970" i="34"/>
  <c r="AC4970" i="34"/>
  <c r="AD4970" i="34"/>
  <c r="P4971" i="34"/>
  <c r="W4971" i="34"/>
  <c r="Y4971" i="34"/>
  <c r="AB4971" i="34"/>
  <c r="AC4971" i="34"/>
  <c r="AD4971" i="34"/>
  <c r="P5094" i="34"/>
  <c r="W5094" i="34"/>
  <c r="Y5094" i="34"/>
  <c r="AB5094" i="34"/>
  <c r="AC5094" i="34"/>
  <c r="AD5094" i="34"/>
  <c r="P5320" i="34"/>
  <c r="W5320" i="34"/>
  <c r="Y5320" i="34"/>
  <c r="AB5320" i="34"/>
  <c r="AC5320" i="34"/>
  <c r="AD5320" i="34"/>
  <c r="P5373" i="34"/>
  <c r="W5373" i="34"/>
  <c r="Y5373" i="34"/>
  <c r="AB5373" i="34"/>
  <c r="AC5373" i="34"/>
  <c r="AD5373" i="34"/>
  <c r="P5383" i="34"/>
  <c r="W5383" i="34"/>
  <c r="Y5383" i="34"/>
  <c r="AB5383" i="34"/>
  <c r="AC5383" i="34"/>
  <c r="AD5383" i="34"/>
  <c r="P5422" i="34"/>
  <c r="W5422" i="34"/>
  <c r="Y5422" i="34"/>
  <c r="AB5422" i="34"/>
  <c r="AC5422" i="34"/>
  <c r="AD5422" i="34"/>
  <c r="P5423" i="34"/>
  <c r="W5423" i="34"/>
  <c r="Y5423" i="34"/>
  <c r="AB5423" i="34"/>
  <c r="AC5423" i="34"/>
  <c r="AD5423" i="34"/>
  <c r="P5424" i="34"/>
  <c r="W5424" i="34"/>
  <c r="Y5424" i="34"/>
  <c r="AB5424" i="34"/>
  <c r="AC5424" i="34"/>
  <c r="AD5424" i="34"/>
  <c r="P5425" i="34"/>
  <c r="W5425" i="34"/>
  <c r="Y5425" i="34"/>
  <c r="AB5425" i="34"/>
  <c r="AC5425" i="34"/>
  <c r="AD5425" i="34"/>
  <c r="P5561" i="34"/>
  <c r="W5561" i="34"/>
  <c r="Y5561" i="34"/>
  <c r="AB5561" i="34"/>
  <c r="AC5561" i="34"/>
  <c r="AD5561" i="34"/>
  <c r="P5660" i="34"/>
  <c r="W5660" i="34"/>
  <c r="Y5660" i="34"/>
  <c r="AB5660" i="34"/>
  <c r="AC5660" i="34"/>
  <c r="AD5660" i="34"/>
  <c r="P5661" i="34"/>
  <c r="W5661" i="34"/>
  <c r="Y5661" i="34"/>
  <c r="AB5661" i="34"/>
  <c r="AC5661" i="34"/>
  <c r="AD5661" i="34"/>
  <c r="P5662" i="34"/>
  <c r="W5662" i="34"/>
  <c r="Y5662" i="34"/>
  <c r="AB5662" i="34"/>
  <c r="AC5662" i="34"/>
  <c r="AD5662" i="34"/>
  <c r="P5663" i="34"/>
  <c r="W5663" i="34"/>
  <c r="Y5663" i="34"/>
  <c r="AB5663" i="34"/>
  <c r="AC5663" i="34"/>
  <c r="AD5663" i="34"/>
  <c r="P5664" i="34"/>
  <c r="W5664" i="34"/>
  <c r="Y5664" i="34"/>
  <c r="AB5664" i="34"/>
  <c r="AC5664" i="34"/>
  <c r="AD5664" i="34"/>
  <c r="P5665" i="34"/>
  <c r="W5665" i="34"/>
  <c r="Y5665" i="34"/>
  <c r="AB5665" i="34"/>
  <c r="AC5665" i="34"/>
  <c r="AD5665" i="34"/>
  <c r="P5666" i="34"/>
  <c r="W5666" i="34"/>
  <c r="Y5666" i="34"/>
  <c r="AB5666" i="34"/>
  <c r="AC5666" i="34"/>
  <c r="AD5666" i="34"/>
  <c r="P5667" i="34"/>
  <c r="W5667" i="34"/>
  <c r="Y5667" i="34"/>
  <c r="AB5667" i="34"/>
  <c r="AC5667" i="34"/>
  <c r="AD5667" i="34"/>
  <c r="P2484" i="34"/>
  <c r="T2484" i="34"/>
  <c r="U2484" i="34"/>
  <c r="V2484" i="34"/>
  <c r="W2484" i="34"/>
  <c r="Y2484" i="34"/>
  <c r="AB2484" i="34"/>
  <c r="AC2484" i="34"/>
  <c r="AD2484" i="34"/>
  <c r="P2485" i="34"/>
  <c r="T2485" i="34"/>
  <c r="U2485" i="34"/>
  <c r="V2485" i="34"/>
  <c r="W2485" i="34"/>
  <c r="Y2485" i="34"/>
  <c r="AB2485" i="34"/>
  <c r="AC2485" i="34"/>
  <c r="AD2485" i="34"/>
  <c r="P2486" i="34"/>
  <c r="T2486" i="34"/>
  <c r="U2486" i="34"/>
  <c r="V2486" i="34"/>
  <c r="W2486" i="34"/>
  <c r="Y2486" i="34"/>
  <c r="AB2486" i="34"/>
  <c r="AC2486" i="34"/>
  <c r="AD2486" i="34"/>
  <c r="P2487" i="34"/>
  <c r="T2487" i="34"/>
  <c r="U2487" i="34"/>
  <c r="V2487" i="34"/>
  <c r="W2487" i="34"/>
  <c r="Y2487" i="34"/>
  <c r="AB2487" i="34"/>
  <c r="AC2487" i="34"/>
  <c r="AD2487" i="34"/>
  <c r="P2488" i="34"/>
  <c r="T2488" i="34"/>
  <c r="U2488" i="34"/>
  <c r="V2488" i="34"/>
  <c r="W2488" i="34"/>
  <c r="Y2488" i="34"/>
  <c r="AB2488" i="34"/>
  <c r="AC2488" i="34"/>
  <c r="AD2488" i="34"/>
  <c r="P2489" i="34"/>
  <c r="T2489" i="34"/>
  <c r="U2489" i="34"/>
  <c r="V2489" i="34"/>
  <c r="W2489" i="34"/>
  <c r="Y2489" i="34"/>
  <c r="AB2489" i="34"/>
  <c r="AC2489" i="34"/>
  <c r="AD2489" i="34"/>
  <c r="P2490" i="34"/>
  <c r="T2490" i="34"/>
  <c r="U2490" i="34"/>
  <c r="V2490" i="34"/>
  <c r="W2490" i="34"/>
  <c r="Y2490" i="34"/>
  <c r="AB2490" i="34"/>
  <c r="AC2490" i="34"/>
  <c r="AD2490" i="34"/>
  <c r="P2491" i="34"/>
  <c r="T2491" i="34"/>
  <c r="U2491" i="34"/>
  <c r="V2491" i="34"/>
  <c r="W2491" i="34"/>
  <c r="Y2491" i="34"/>
  <c r="AB2491" i="34"/>
  <c r="AC2491" i="34"/>
  <c r="AD2491" i="34"/>
  <c r="P2492" i="34"/>
  <c r="T2492" i="34"/>
  <c r="U2492" i="34"/>
  <c r="V2492" i="34"/>
  <c r="W2492" i="34"/>
  <c r="Y2492" i="34"/>
  <c r="AB2492" i="34"/>
  <c r="AC2492" i="34"/>
  <c r="AD2492" i="34"/>
  <c r="P2493" i="34"/>
  <c r="T2493" i="34"/>
  <c r="U2493" i="34"/>
  <c r="V2493" i="34"/>
  <c r="W2493" i="34"/>
  <c r="Y2493" i="34"/>
  <c r="AB2493" i="34"/>
  <c r="AC2493" i="34"/>
  <c r="AD2493" i="34"/>
  <c r="P2494" i="34"/>
  <c r="T2494" i="34"/>
  <c r="U2494" i="34"/>
  <c r="V2494" i="34"/>
  <c r="W2494" i="34"/>
  <c r="Y2494" i="34"/>
  <c r="AB2494" i="34"/>
  <c r="AC2494" i="34"/>
  <c r="AD2494" i="34"/>
  <c r="P2495" i="34"/>
  <c r="T2495" i="34"/>
  <c r="U2495" i="34"/>
  <c r="V2495" i="34"/>
  <c r="W2495" i="34"/>
  <c r="Y2495" i="34"/>
  <c r="AB2495" i="34"/>
  <c r="AC2495" i="34"/>
  <c r="AD2495" i="34"/>
  <c r="P2496" i="34"/>
  <c r="T2496" i="34"/>
  <c r="U2496" i="34"/>
  <c r="V2496" i="34"/>
  <c r="W2496" i="34"/>
  <c r="Y2496" i="34"/>
  <c r="AB2496" i="34"/>
  <c r="AC2496" i="34"/>
  <c r="AD2496" i="34"/>
  <c r="P2497" i="34"/>
  <c r="T2497" i="34"/>
  <c r="U2497" i="34"/>
  <c r="V2497" i="34"/>
  <c r="W2497" i="34"/>
  <c r="Y2497" i="34"/>
  <c r="AB2497" i="34"/>
  <c r="AC2497" i="34"/>
  <c r="AD2497" i="34"/>
  <c r="P2498" i="34"/>
  <c r="T2498" i="34"/>
  <c r="U2498" i="34"/>
  <c r="V2498" i="34"/>
  <c r="W2498" i="34"/>
  <c r="Y2498" i="34"/>
  <c r="AB2498" i="34"/>
  <c r="AC2498" i="34"/>
  <c r="AD2498" i="34"/>
  <c r="P2499" i="34"/>
  <c r="T2499" i="34"/>
  <c r="U2499" i="34"/>
  <c r="V2499" i="34"/>
  <c r="W2499" i="34"/>
  <c r="Y2499" i="34"/>
  <c r="AB2499" i="34"/>
  <c r="AC2499" i="34"/>
  <c r="AD2499" i="34"/>
  <c r="P2500" i="34"/>
  <c r="T2500" i="34"/>
  <c r="U2500" i="34"/>
  <c r="V2500" i="34"/>
  <c r="W2500" i="34"/>
  <c r="Y2500" i="34"/>
  <c r="AB2500" i="34"/>
  <c r="AC2500" i="34"/>
  <c r="AD2500" i="34"/>
  <c r="P2501" i="34"/>
  <c r="T2501" i="34"/>
  <c r="U2501" i="34"/>
  <c r="V2501" i="34"/>
  <c r="W2501" i="34"/>
  <c r="Y2501" i="34"/>
  <c r="AB2501" i="34"/>
  <c r="AC2501" i="34"/>
  <c r="AD2501" i="34"/>
  <c r="P2502" i="34"/>
  <c r="T2502" i="34"/>
  <c r="U2502" i="34"/>
  <c r="V2502" i="34"/>
  <c r="W2502" i="34"/>
  <c r="Y2502" i="34"/>
  <c r="AB2502" i="34"/>
  <c r="AC2502" i="34"/>
  <c r="AD2502" i="34"/>
  <c r="P2503" i="34"/>
  <c r="T2503" i="34"/>
  <c r="U2503" i="34"/>
  <c r="V2503" i="34"/>
  <c r="W2503" i="34"/>
  <c r="Y2503" i="34"/>
  <c r="AB2503" i="34"/>
  <c r="AC2503" i="34"/>
  <c r="AD2503" i="34"/>
  <c r="P2504" i="34"/>
  <c r="T2504" i="34"/>
  <c r="U2504" i="34"/>
  <c r="V2504" i="34"/>
  <c r="W2504" i="34"/>
  <c r="Y2504" i="34"/>
  <c r="AB2504" i="34"/>
  <c r="AC2504" i="34"/>
  <c r="AD2504" i="34"/>
  <c r="P2505" i="34"/>
  <c r="T2505" i="34"/>
  <c r="U2505" i="34"/>
  <c r="V2505" i="34"/>
  <c r="W2505" i="34"/>
  <c r="Y2505" i="34"/>
  <c r="AB2505" i="34"/>
  <c r="AC2505" i="34"/>
  <c r="AD2505" i="34"/>
  <c r="P2506" i="34"/>
  <c r="T2506" i="34"/>
  <c r="U2506" i="34"/>
  <c r="V2506" i="34"/>
  <c r="W2506" i="34"/>
  <c r="Y2506" i="34"/>
  <c r="AB2506" i="34"/>
  <c r="AC2506" i="34"/>
  <c r="AD2506" i="34"/>
  <c r="P2507" i="34"/>
  <c r="T2507" i="34"/>
  <c r="U2507" i="34"/>
  <c r="V2507" i="34"/>
  <c r="W2507" i="34"/>
  <c r="Y2507" i="34"/>
  <c r="AB2507" i="34"/>
  <c r="AC2507" i="34"/>
  <c r="AD2507" i="34"/>
  <c r="P2508" i="34"/>
  <c r="T2508" i="34"/>
  <c r="U2508" i="34"/>
  <c r="V2508" i="34"/>
  <c r="W2508" i="34"/>
  <c r="Y2508" i="34"/>
  <c r="AB2508" i="34"/>
  <c r="AC2508" i="34"/>
  <c r="AD2508" i="34"/>
  <c r="P2509" i="34"/>
  <c r="T2509" i="34"/>
  <c r="U2509" i="34"/>
  <c r="V2509" i="34"/>
  <c r="W2509" i="34"/>
  <c r="Y2509" i="34"/>
  <c r="AB2509" i="34"/>
  <c r="AC2509" i="34"/>
  <c r="AD2509" i="34"/>
  <c r="P2510" i="34"/>
  <c r="T2510" i="34"/>
  <c r="U2510" i="34"/>
  <c r="V2510" i="34"/>
  <c r="W2510" i="34"/>
  <c r="Y2510" i="34"/>
  <c r="AB2510" i="34"/>
  <c r="AC2510" i="34"/>
  <c r="AD2510" i="34"/>
  <c r="P2511" i="34"/>
  <c r="T2511" i="34"/>
  <c r="U2511" i="34"/>
  <c r="V2511" i="34"/>
  <c r="W2511" i="34"/>
  <c r="Y2511" i="34"/>
  <c r="AB2511" i="34"/>
  <c r="AC2511" i="34"/>
  <c r="AD2511" i="34"/>
  <c r="P2512" i="34"/>
  <c r="T2512" i="34"/>
  <c r="U2512" i="34"/>
  <c r="V2512" i="34"/>
  <c r="W2512" i="34"/>
  <c r="Y2512" i="34"/>
  <c r="AB2512" i="34"/>
  <c r="AC2512" i="34"/>
  <c r="AD2512" i="34"/>
  <c r="P2513" i="34"/>
  <c r="T2513" i="34"/>
  <c r="U2513" i="34"/>
  <c r="V2513" i="34"/>
  <c r="W2513" i="34"/>
  <c r="Y2513" i="34"/>
  <c r="AB2513" i="34"/>
  <c r="AC2513" i="34"/>
  <c r="AD2513" i="34"/>
  <c r="P2514" i="34"/>
  <c r="T2514" i="34"/>
  <c r="U2514" i="34"/>
  <c r="V2514" i="34"/>
  <c r="W2514" i="34"/>
  <c r="Y2514" i="34"/>
  <c r="AB2514" i="34"/>
  <c r="AC2514" i="34"/>
  <c r="AD2514" i="34"/>
  <c r="P2515" i="34"/>
  <c r="T2515" i="34"/>
  <c r="U2515" i="34"/>
  <c r="V2515" i="34"/>
  <c r="W2515" i="34"/>
  <c r="Y2515" i="34"/>
  <c r="AB2515" i="34"/>
  <c r="AC2515" i="34"/>
  <c r="AD2515" i="34"/>
  <c r="P2516" i="34"/>
  <c r="T2516" i="34"/>
  <c r="U2516" i="34"/>
  <c r="V2516" i="34"/>
  <c r="W2516" i="34"/>
  <c r="Y2516" i="34"/>
  <c r="AB2516" i="34"/>
  <c r="AC2516" i="34"/>
  <c r="AD2516" i="34"/>
  <c r="P2517" i="34"/>
  <c r="T2517" i="34"/>
  <c r="U2517" i="34"/>
  <c r="V2517" i="34"/>
  <c r="W2517" i="34"/>
  <c r="Y2517" i="34"/>
  <c r="AB2517" i="34"/>
  <c r="AC2517" i="34"/>
  <c r="AD2517" i="34"/>
  <c r="P2518" i="34"/>
  <c r="T2518" i="34"/>
  <c r="U2518" i="34"/>
  <c r="V2518" i="34"/>
  <c r="W2518" i="34"/>
  <c r="Y2518" i="34"/>
  <c r="AB2518" i="34"/>
  <c r="AC2518" i="34"/>
  <c r="AD2518" i="34"/>
  <c r="P2519" i="34"/>
  <c r="T2519" i="34"/>
  <c r="U2519" i="34"/>
  <c r="V2519" i="34"/>
  <c r="W2519" i="34"/>
  <c r="Y2519" i="34"/>
  <c r="AB2519" i="34"/>
  <c r="AC2519" i="34"/>
  <c r="AD2519" i="34"/>
  <c r="P2520" i="34"/>
  <c r="T2520" i="34"/>
  <c r="U2520" i="34"/>
  <c r="V2520" i="34"/>
  <c r="W2520" i="34"/>
  <c r="Y2520" i="34"/>
  <c r="AB2520" i="34"/>
  <c r="AC2520" i="34"/>
  <c r="AD2520" i="34"/>
  <c r="P2521" i="34"/>
  <c r="T2521" i="34"/>
  <c r="U2521" i="34"/>
  <c r="V2521" i="34"/>
  <c r="W2521" i="34"/>
  <c r="Y2521" i="34"/>
  <c r="AB2521" i="34"/>
  <c r="AC2521" i="34"/>
  <c r="AD2521" i="34"/>
  <c r="P2522" i="34"/>
  <c r="T2522" i="34"/>
  <c r="U2522" i="34"/>
  <c r="V2522" i="34"/>
  <c r="W2522" i="34"/>
  <c r="Y2522" i="34"/>
  <c r="AB2522" i="34"/>
  <c r="AC2522" i="34"/>
  <c r="AD2522" i="34"/>
  <c r="P2523" i="34"/>
  <c r="T2523" i="34"/>
  <c r="U2523" i="34"/>
  <c r="V2523" i="34"/>
  <c r="W2523" i="34"/>
  <c r="Y2523" i="34"/>
  <c r="AB2523" i="34"/>
  <c r="AC2523" i="34"/>
  <c r="AD2523" i="34"/>
  <c r="P2524" i="34"/>
  <c r="T2524" i="34"/>
  <c r="U2524" i="34"/>
  <c r="V2524" i="34"/>
  <c r="W2524" i="34"/>
  <c r="Y2524" i="34"/>
  <c r="AB2524" i="34"/>
  <c r="AC2524" i="34"/>
  <c r="AD2524" i="34"/>
  <c r="P2525" i="34"/>
  <c r="T2525" i="34"/>
  <c r="U2525" i="34"/>
  <c r="V2525" i="34"/>
  <c r="W2525" i="34"/>
  <c r="Y2525" i="34"/>
  <c r="AB2525" i="34"/>
  <c r="AC2525" i="34"/>
  <c r="AD2525" i="34"/>
  <c r="P2526" i="34"/>
  <c r="T2526" i="34"/>
  <c r="U2526" i="34"/>
  <c r="V2526" i="34"/>
  <c r="W2526" i="34"/>
  <c r="Y2526" i="34"/>
  <c r="AB2526" i="34"/>
  <c r="AC2526" i="34"/>
  <c r="AD2526" i="34"/>
  <c r="P2527" i="34"/>
  <c r="T2527" i="34"/>
  <c r="U2527" i="34"/>
  <c r="V2527" i="34"/>
  <c r="W2527" i="34"/>
  <c r="Y2527" i="34"/>
  <c r="AB2527" i="34"/>
  <c r="AC2527" i="34"/>
  <c r="AD2527" i="34"/>
  <c r="P2528" i="34"/>
  <c r="T2528" i="34"/>
  <c r="U2528" i="34"/>
  <c r="V2528" i="34"/>
  <c r="W2528" i="34"/>
  <c r="Y2528" i="34"/>
  <c r="AB2528" i="34"/>
  <c r="AC2528" i="34"/>
  <c r="AD2528" i="34"/>
  <c r="P2529" i="34"/>
  <c r="T2529" i="34"/>
  <c r="U2529" i="34"/>
  <c r="V2529" i="34"/>
  <c r="W2529" i="34"/>
  <c r="Y2529" i="34"/>
  <c r="AB2529" i="34"/>
  <c r="AC2529" i="34"/>
  <c r="AD2529" i="34"/>
  <c r="P2530" i="34"/>
  <c r="T2530" i="34"/>
  <c r="U2530" i="34"/>
  <c r="V2530" i="34"/>
  <c r="W2530" i="34"/>
  <c r="Y2530" i="34"/>
  <c r="AB2530" i="34"/>
  <c r="AC2530" i="34"/>
  <c r="AD2530" i="34"/>
  <c r="P2531" i="34"/>
  <c r="T2531" i="34"/>
  <c r="U2531" i="34"/>
  <c r="V2531" i="34"/>
  <c r="W2531" i="34"/>
  <c r="Y2531" i="34"/>
  <c r="AB2531" i="34"/>
  <c r="AC2531" i="34"/>
  <c r="AD2531" i="34"/>
  <c r="P2532" i="34"/>
  <c r="T2532" i="34"/>
  <c r="U2532" i="34"/>
  <c r="V2532" i="34"/>
  <c r="W2532" i="34"/>
  <c r="Y2532" i="34"/>
  <c r="AB2532" i="34"/>
  <c r="AC2532" i="34"/>
  <c r="AD2532" i="34"/>
  <c r="P2533" i="34"/>
  <c r="T2533" i="34"/>
  <c r="U2533" i="34"/>
  <c r="V2533" i="34"/>
  <c r="W2533" i="34"/>
  <c r="Y2533" i="34"/>
  <c r="AB2533" i="34"/>
  <c r="AC2533" i="34"/>
  <c r="AD2533" i="34"/>
  <c r="P2534" i="34"/>
  <c r="T2534" i="34"/>
  <c r="U2534" i="34"/>
  <c r="V2534" i="34"/>
  <c r="W2534" i="34"/>
  <c r="Y2534" i="34"/>
  <c r="AB2534" i="34"/>
  <c r="AC2534" i="34"/>
  <c r="AD2534" i="34"/>
  <c r="P2535" i="34"/>
  <c r="T2535" i="34"/>
  <c r="U2535" i="34"/>
  <c r="V2535" i="34"/>
  <c r="W2535" i="34"/>
  <c r="Y2535" i="34"/>
  <c r="AB2535" i="34"/>
  <c r="AC2535" i="34"/>
  <c r="AD2535" i="34"/>
  <c r="P2536" i="34"/>
  <c r="T2536" i="34"/>
  <c r="U2536" i="34"/>
  <c r="V2536" i="34"/>
  <c r="W2536" i="34"/>
  <c r="Y2536" i="34"/>
  <c r="AB2536" i="34"/>
  <c r="AC2536" i="34"/>
  <c r="AD2536" i="34"/>
  <c r="P2537" i="34"/>
  <c r="T2537" i="34"/>
  <c r="U2537" i="34"/>
  <c r="V2537" i="34"/>
  <c r="W2537" i="34"/>
  <c r="Y2537" i="34"/>
  <c r="AB2537" i="34"/>
  <c r="AC2537" i="34"/>
  <c r="AD2537" i="34"/>
  <c r="P2538" i="34"/>
  <c r="T2538" i="34"/>
  <c r="U2538" i="34"/>
  <c r="V2538" i="34"/>
  <c r="W2538" i="34"/>
  <c r="Y2538" i="34"/>
  <c r="AB2538" i="34"/>
  <c r="AC2538" i="34"/>
  <c r="AD2538" i="34"/>
  <c r="P2539" i="34"/>
  <c r="T2539" i="34"/>
  <c r="U2539" i="34"/>
  <c r="V2539" i="34"/>
  <c r="W2539" i="34"/>
  <c r="Y2539" i="34"/>
  <c r="AB2539" i="34"/>
  <c r="AC2539" i="34"/>
  <c r="AD2539" i="34"/>
  <c r="P2540" i="34"/>
  <c r="T2540" i="34"/>
  <c r="U2540" i="34"/>
  <c r="V2540" i="34"/>
  <c r="W2540" i="34"/>
  <c r="Y2540" i="34"/>
  <c r="AB2540" i="34"/>
  <c r="AC2540" i="34"/>
  <c r="AD2540" i="34"/>
  <c r="P2541" i="34"/>
  <c r="T2541" i="34"/>
  <c r="U2541" i="34"/>
  <c r="V2541" i="34"/>
  <c r="W2541" i="34"/>
  <c r="Y2541" i="34"/>
  <c r="AB2541" i="34"/>
  <c r="AC2541" i="34"/>
  <c r="AD2541" i="34"/>
  <c r="P2542" i="34"/>
  <c r="T2542" i="34"/>
  <c r="U2542" i="34"/>
  <c r="V2542" i="34"/>
  <c r="W2542" i="34"/>
  <c r="Y2542" i="34"/>
  <c r="AB2542" i="34"/>
  <c r="AC2542" i="34"/>
  <c r="AD2542" i="34"/>
  <c r="P2543" i="34"/>
  <c r="T2543" i="34"/>
  <c r="U2543" i="34"/>
  <c r="V2543" i="34"/>
  <c r="W2543" i="34"/>
  <c r="Y2543" i="34"/>
  <c r="AB2543" i="34"/>
  <c r="AC2543" i="34"/>
  <c r="AD2543" i="34"/>
  <c r="P2544" i="34"/>
  <c r="T2544" i="34"/>
  <c r="U2544" i="34"/>
  <c r="V2544" i="34"/>
  <c r="W2544" i="34"/>
  <c r="Y2544" i="34"/>
  <c r="AB2544" i="34"/>
  <c r="AC2544" i="34"/>
  <c r="AD2544" i="34"/>
  <c r="P2545" i="34"/>
  <c r="T2545" i="34"/>
  <c r="U2545" i="34"/>
  <c r="V2545" i="34"/>
  <c r="W2545" i="34"/>
  <c r="Y2545" i="34"/>
  <c r="AB2545" i="34"/>
  <c r="AC2545" i="34"/>
  <c r="AD2545" i="34"/>
  <c r="P2546" i="34"/>
  <c r="T2546" i="34"/>
  <c r="U2546" i="34"/>
  <c r="V2546" i="34"/>
  <c r="W2546" i="34"/>
  <c r="Y2546" i="34"/>
  <c r="AB2546" i="34"/>
  <c r="AC2546" i="34"/>
  <c r="AD2546" i="34"/>
  <c r="P2547" i="34"/>
  <c r="T2547" i="34"/>
  <c r="U2547" i="34"/>
  <c r="V2547" i="34"/>
  <c r="W2547" i="34"/>
  <c r="Y2547" i="34"/>
  <c r="AB2547" i="34"/>
  <c r="AC2547" i="34"/>
  <c r="AD2547" i="34"/>
  <c r="P2548" i="34"/>
  <c r="T2548" i="34"/>
  <c r="U2548" i="34"/>
  <c r="V2548" i="34"/>
  <c r="W2548" i="34"/>
  <c r="Y2548" i="34"/>
  <c r="AB2548" i="34"/>
  <c r="AC2548" i="34"/>
  <c r="AD2548" i="34"/>
  <c r="P2549" i="34"/>
  <c r="T2549" i="34"/>
  <c r="U2549" i="34"/>
  <c r="V2549" i="34"/>
  <c r="W2549" i="34"/>
  <c r="Y2549" i="34"/>
  <c r="AB2549" i="34"/>
  <c r="AC2549" i="34"/>
  <c r="AD2549" i="34"/>
  <c r="P2550" i="34"/>
  <c r="T2550" i="34"/>
  <c r="U2550" i="34"/>
  <c r="V2550" i="34"/>
  <c r="W2550" i="34"/>
  <c r="Y2550" i="34"/>
  <c r="AB2550" i="34"/>
  <c r="AC2550" i="34"/>
  <c r="AD2550" i="34"/>
  <c r="P2551" i="34"/>
  <c r="T2551" i="34"/>
  <c r="U2551" i="34"/>
  <c r="V2551" i="34"/>
  <c r="W2551" i="34"/>
  <c r="Y2551" i="34"/>
  <c r="AB2551" i="34"/>
  <c r="AC2551" i="34"/>
  <c r="AD2551" i="34"/>
  <c r="P2552" i="34"/>
  <c r="T2552" i="34"/>
  <c r="U2552" i="34"/>
  <c r="V2552" i="34"/>
  <c r="W2552" i="34"/>
  <c r="Y2552" i="34"/>
  <c r="AB2552" i="34"/>
  <c r="AC2552" i="34"/>
  <c r="AD2552" i="34"/>
  <c r="P2553" i="34"/>
  <c r="T2553" i="34"/>
  <c r="U2553" i="34"/>
  <c r="V2553" i="34"/>
  <c r="W2553" i="34"/>
  <c r="Y2553" i="34"/>
  <c r="AB2553" i="34"/>
  <c r="AC2553" i="34"/>
  <c r="AD2553" i="34"/>
  <c r="P2554" i="34"/>
  <c r="T2554" i="34"/>
  <c r="U2554" i="34"/>
  <c r="V2554" i="34"/>
  <c r="W2554" i="34"/>
  <c r="Y2554" i="34"/>
  <c r="AB2554" i="34"/>
  <c r="AC2554" i="34"/>
  <c r="AD2554" i="34"/>
  <c r="P2555" i="34"/>
  <c r="T2555" i="34"/>
  <c r="U2555" i="34"/>
  <c r="V2555" i="34"/>
  <c r="W2555" i="34"/>
  <c r="Y2555" i="34"/>
  <c r="AB2555" i="34"/>
  <c r="AC2555" i="34"/>
  <c r="AD2555" i="34"/>
  <c r="P2556" i="34"/>
  <c r="T2556" i="34"/>
  <c r="U2556" i="34"/>
  <c r="V2556" i="34"/>
  <c r="W2556" i="34"/>
  <c r="Y2556" i="34"/>
  <c r="AB2556" i="34"/>
  <c r="AC2556" i="34"/>
  <c r="AD2556" i="34"/>
  <c r="P2557" i="34"/>
  <c r="T2557" i="34"/>
  <c r="U2557" i="34"/>
  <c r="V2557" i="34"/>
  <c r="W2557" i="34"/>
  <c r="Y2557" i="34"/>
  <c r="AB2557" i="34"/>
  <c r="AC2557" i="34"/>
  <c r="AD2557" i="34"/>
  <c r="P2558" i="34"/>
  <c r="T2558" i="34"/>
  <c r="U2558" i="34"/>
  <c r="V2558" i="34"/>
  <c r="W2558" i="34"/>
  <c r="Y2558" i="34"/>
  <c r="AB2558" i="34"/>
  <c r="AC2558" i="34"/>
  <c r="AD2558" i="34"/>
  <c r="P2559" i="34"/>
  <c r="T2559" i="34"/>
  <c r="U2559" i="34"/>
  <c r="V2559" i="34"/>
  <c r="W2559" i="34"/>
  <c r="Y2559" i="34"/>
  <c r="AB2559" i="34"/>
  <c r="AC2559" i="34"/>
  <c r="AD2559" i="34"/>
  <c r="P2560" i="34"/>
  <c r="T2560" i="34"/>
  <c r="U2560" i="34"/>
  <c r="V2560" i="34"/>
  <c r="W2560" i="34"/>
  <c r="Y2560" i="34"/>
  <c r="AB2560" i="34"/>
  <c r="AC2560" i="34"/>
  <c r="AD2560" i="34"/>
  <c r="P2561" i="34"/>
  <c r="T2561" i="34"/>
  <c r="U2561" i="34"/>
  <c r="V2561" i="34"/>
  <c r="W2561" i="34"/>
  <c r="Y2561" i="34"/>
  <c r="AB2561" i="34"/>
  <c r="AC2561" i="34"/>
  <c r="AD2561" i="34"/>
  <c r="P2562" i="34"/>
  <c r="T2562" i="34"/>
  <c r="U2562" i="34"/>
  <c r="V2562" i="34"/>
  <c r="W2562" i="34"/>
  <c r="Y2562" i="34"/>
  <c r="AB2562" i="34"/>
  <c r="AC2562" i="34"/>
  <c r="AD2562" i="34"/>
  <c r="P2563" i="34"/>
  <c r="T2563" i="34"/>
  <c r="U2563" i="34"/>
  <c r="V2563" i="34"/>
  <c r="W2563" i="34"/>
  <c r="Y2563" i="34"/>
  <c r="AB2563" i="34"/>
  <c r="AC2563" i="34"/>
  <c r="AD2563" i="34"/>
  <c r="P2564" i="34"/>
  <c r="T2564" i="34"/>
  <c r="U2564" i="34"/>
  <c r="V2564" i="34"/>
  <c r="W2564" i="34"/>
  <c r="Y2564" i="34"/>
  <c r="AB2564" i="34"/>
  <c r="AC2564" i="34"/>
  <c r="AD2564" i="34"/>
  <c r="P2565" i="34"/>
  <c r="T2565" i="34"/>
  <c r="U2565" i="34"/>
  <c r="V2565" i="34"/>
  <c r="W2565" i="34"/>
  <c r="Y2565" i="34"/>
  <c r="AB2565" i="34"/>
  <c r="AC2565" i="34"/>
  <c r="AD2565" i="34"/>
  <c r="P2566" i="34"/>
  <c r="T2566" i="34"/>
  <c r="U2566" i="34"/>
  <c r="V2566" i="34"/>
  <c r="W2566" i="34"/>
  <c r="Y2566" i="34"/>
  <c r="AB2566" i="34"/>
  <c r="AC2566" i="34"/>
  <c r="AD2566" i="34"/>
  <c r="P2567" i="34"/>
  <c r="T2567" i="34"/>
  <c r="U2567" i="34"/>
  <c r="V2567" i="34"/>
  <c r="W2567" i="34"/>
  <c r="Y2567" i="34"/>
  <c r="AB2567" i="34"/>
  <c r="AC2567" i="34"/>
  <c r="AD2567" i="34"/>
  <c r="P2568" i="34"/>
  <c r="T2568" i="34"/>
  <c r="U2568" i="34"/>
  <c r="V2568" i="34"/>
  <c r="W2568" i="34"/>
  <c r="Y2568" i="34"/>
  <c r="AB2568" i="34"/>
  <c r="AC2568" i="34"/>
  <c r="AD2568" i="34"/>
  <c r="P2569" i="34"/>
  <c r="T2569" i="34"/>
  <c r="U2569" i="34"/>
  <c r="V2569" i="34"/>
  <c r="W2569" i="34"/>
  <c r="Y2569" i="34"/>
  <c r="AB2569" i="34"/>
  <c r="AC2569" i="34"/>
  <c r="AD2569" i="34"/>
  <c r="P2570" i="34"/>
  <c r="T2570" i="34"/>
  <c r="U2570" i="34"/>
  <c r="V2570" i="34"/>
  <c r="W2570" i="34"/>
  <c r="Y2570" i="34"/>
  <c r="AB2570" i="34"/>
  <c r="AC2570" i="34"/>
  <c r="AD2570" i="34"/>
  <c r="P2571" i="34"/>
  <c r="T2571" i="34"/>
  <c r="U2571" i="34"/>
  <c r="V2571" i="34"/>
  <c r="W2571" i="34"/>
  <c r="Y2571" i="34"/>
  <c r="AB2571" i="34"/>
  <c r="AC2571" i="34"/>
  <c r="AD2571" i="34"/>
  <c r="P2572" i="34"/>
  <c r="T2572" i="34"/>
  <c r="U2572" i="34"/>
  <c r="V2572" i="34"/>
  <c r="W2572" i="34"/>
  <c r="Y2572" i="34"/>
  <c r="AB2572" i="34"/>
  <c r="AC2572" i="34"/>
  <c r="AD2572" i="34"/>
  <c r="P2573" i="34"/>
  <c r="T2573" i="34"/>
  <c r="U2573" i="34"/>
  <c r="V2573" i="34"/>
  <c r="W2573" i="34"/>
  <c r="Y2573" i="34"/>
  <c r="AB2573" i="34"/>
  <c r="AC2573" i="34"/>
  <c r="AD2573" i="34"/>
  <c r="P2574" i="34"/>
  <c r="T2574" i="34"/>
  <c r="U2574" i="34"/>
  <c r="V2574" i="34"/>
  <c r="W2574" i="34"/>
  <c r="Y2574" i="34"/>
  <c r="AB2574" i="34"/>
  <c r="AC2574" i="34"/>
  <c r="AD2574" i="34"/>
  <c r="P2575" i="34"/>
  <c r="T2575" i="34"/>
  <c r="U2575" i="34"/>
  <c r="V2575" i="34"/>
  <c r="W2575" i="34"/>
  <c r="Y2575" i="34"/>
  <c r="AB2575" i="34"/>
  <c r="AC2575" i="34"/>
  <c r="AD2575" i="34"/>
  <c r="P2576" i="34"/>
  <c r="T2576" i="34"/>
  <c r="U2576" i="34"/>
  <c r="V2576" i="34"/>
  <c r="W2576" i="34"/>
  <c r="Y2576" i="34"/>
  <c r="AB2576" i="34"/>
  <c r="AC2576" i="34"/>
  <c r="AD2576" i="34"/>
  <c r="P4313" i="34"/>
  <c r="T4313" i="34"/>
  <c r="U4313" i="34"/>
  <c r="V4313" i="34"/>
  <c r="W4313" i="34"/>
  <c r="Y4313" i="34"/>
  <c r="AB4313" i="34"/>
  <c r="AC4313" i="34"/>
  <c r="AD4313" i="34"/>
  <c r="P4314" i="34"/>
  <c r="T4314" i="34"/>
  <c r="U4314" i="34"/>
  <c r="V4314" i="34"/>
  <c r="W4314" i="34"/>
  <c r="Y4314" i="34"/>
  <c r="AB4314" i="34"/>
  <c r="AC4314" i="34"/>
  <c r="AD4314" i="34"/>
  <c r="P4316" i="34"/>
  <c r="T4316" i="34"/>
  <c r="U4316" i="34"/>
  <c r="V4316" i="34"/>
  <c r="W4316" i="34"/>
  <c r="Y4316" i="34"/>
  <c r="AB4316" i="34"/>
  <c r="AC4316" i="34"/>
  <c r="AD4316" i="34"/>
  <c r="P4317" i="34"/>
  <c r="T4317" i="34"/>
  <c r="U4317" i="34"/>
  <c r="V4317" i="34"/>
  <c r="W4317" i="34"/>
  <c r="Y4317" i="34"/>
  <c r="AB4317" i="34"/>
  <c r="AC4317" i="34"/>
  <c r="AD4317" i="34"/>
  <c r="P4318" i="34"/>
  <c r="T4318" i="34"/>
  <c r="U4318" i="34"/>
  <c r="V4318" i="34"/>
  <c r="W4318" i="34"/>
  <c r="Y4318" i="34"/>
  <c r="AB4318" i="34"/>
  <c r="AC4318" i="34"/>
  <c r="AD4318" i="34"/>
  <c r="P4384" i="34"/>
  <c r="T4384" i="34"/>
  <c r="U4384" i="34"/>
  <c r="V4384" i="34"/>
  <c r="W4384" i="34"/>
  <c r="Y4384" i="34"/>
  <c r="AB4384" i="34"/>
  <c r="AC4384" i="34"/>
  <c r="AD4384" i="34"/>
  <c r="P4553" i="34"/>
  <c r="T4553" i="34"/>
  <c r="U4553" i="34"/>
  <c r="V4553" i="34"/>
  <c r="W4553" i="34"/>
  <c r="Y4553" i="34"/>
  <c r="AB4553" i="34"/>
  <c r="AC4553" i="34"/>
  <c r="AD4553" i="34"/>
  <c r="P4554" i="34"/>
  <c r="T4554" i="34"/>
  <c r="U4554" i="34"/>
  <c r="V4554" i="34"/>
  <c r="W4554" i="34"/>
  <c r="Y4554" i="34"/>
  <c r="AB4554" i="34"/>
  <c r="AC4554" i="34"/>
  <c r="AD4554" i="34"/>
  <c r="P4555" i="34"/>
  <c r="T4555" i="34"/>
  <c r="U4555" i="34"/>
  <c r="V4555" i="34"/>
  <c r="W4555" i="34"/>
  <c r="Y4555" i="34"/>
  <c r="AB4555" i="34"/>
  <c r="AC4555" i="34"/>
  <c r="AD4555" i="34"/>
  <c r="P4556" i="34"/>
  <c r="T4556" i="34"/>
  <c r="U4556" i="34"/>
  <c r="V4556" i="34"/>
  <c r="W4556" i="34"/>
  <c r="Y4556" i="34"/>
  <c r="AB4556" i="34"/>
  <c r="AC4556" i="34"/>
  <c r="AD4556" i="34"/>
  <c r="P4557" i="34"/>
  <c r="T4557" i="34"/>
  <c r="U4557" i="34"/>
  <c r="V4557" i="34"/>
  <c r="W4557" i="34"/>
  <c r="Y4557" i="34"/>
  <c r="AB4557" i="34"/>
  <c r="AC4557" i="34"/>
  <c r="AD4557" i="34"/>
  <c r="P4558" i="34"/>
  <c r="T4558" i="34"/>
  <c r="U4558" i="34"/>
  <c r="V4558" i="34"/>
  <c r="W4558" i="34"/>
  <c r="Y4558" i="34"/>
  <c r="AB4558" i="34"/>
  <c r="AC4558" i="34"/>
  <c r="AD4558" i="34"/>
  <c r="P4569" i="34"/>
  <c r="T4569" i="34"/>
  <c r="U4569" i="34"/>
  <c r="V4569" i="34"/>
  <c r="W4569" i="34"/>
  <c r="Y4569" i="34"/>
  <c r="AB4569" i="34"/>
  <c r="AC4569" i="34"/>
  <c r="AD4569" i="34"/>
  <c r="P4570" i="34"/>
  <c r="T4570" i="34"/>
  <c r="U4570" i="34"/>
  <c r="V4570" i="34"/>
  <c r="W4570" i="34"/>
  <c r="Y4570" i="34"/>
  <c r="AB4570" i="34"/>
  <c r="AC4570" i="34"/>
  <c r="AD4570" i="34"/>
  <c r="P4571" i="34"/>
  <c r="T4571" i="34"/>
  <c r="U4571" i="34"/>
  <c r="V4571" i="34"/>
  <c r="W4571" i="34"/>
  <c r="Y4571" i="34"/>
  <c r="AB4571" i="34"/>
  <c r="AC4571" i="34"/>
  <c r="AD4571" i="34"/>
  <c r="P4572" i="34"/>
  <c r="T4572" i="34"/>
  <c r="U4572" i="34"/>
  <c r="V4572" i="34"/>
  <c r="W4572" i="34"/>
  <c r="Y4572" i="34"/>
  <c r="AB4572" i="34"/>
  <c r="AC4572" i="34"/>
  <c r="AD4572" i="34"/>
  <c r="P4573" i="34"/>
  <c r="T4573" i="34"/>
  <c r="U4573" i="34"/>
  <c r="V4573" i="34"/>
  <c r="W4573" i="34"/>
  <c r="Y4573" i="34"/>
  <c r="AB4573" i="34"/>
  <c r="AC4573" i="34"/>
  <c r="AD4573" i="34"/>
  <c r="P4592" i="34"/>
  <c r="T4592" i="34"/>
  <c r="U4592" i="34"/>
  <c r="V4592" i="34"/>
  <c r="W4592" i="34"/>
  <c r="Y4592" i="34"/>
  <c r="AB4592" i="34"/>
  <c r="AC4592" i="34"/>
  <c r="AD4592" i="34"/>
  <c r="P4612" i="34"/>
  <c r="T4612" i="34"/>
  <c r="U4612" i="34"/>
  <c r="V4612" i="34"/>
  <c r="W4612" i="34"/>
  <c r="Y4612" i="34"/>
  <c r="AB4612" i="34"/>
  <c r="AC4612" i="34"/>
  <c r="AD4612" i="34"/>
  <c r="P4613" i="34"/>
  <c r="T4613" i="34"/>
  <c r="U4613" i="34"/>
  <c r="V4613" i="34"/>
  <c r="W4613" i="34"/>
  <c r="Y4613" i="34"/>
  <c r="AB4613" i="34"/>
  <c r="AC4613" i="34"/>
  <c r="AD4613" i="34"/>
  <c r="P4614" i="34"/>
  <c r="T4614" i="34"/>
  <c r="U4614" i="34"/>
  <c r="V4614" i="34"/>
  <c r="W4614" i="34"/>
  <c r="Y4614" i="34"/>
  <c r="AB4614" i="34"/>
  <c r="AC4614" i="34"/>
  <c r="AD4614" i="34"/>
  <c r="P4615" i="34"/>
  <c r="T4615" i="34"/>
  <c r="U4615" i="34"/>
  <c r="V4615" i="34"/>
  <c r="W4615" i="34"/>
  <c r="Y4615" i="34"/>
  <c r="AB4615" i="34"/>
  <c r="AC4615" i="34"/>
  <c r="AD4615" i="34"/>
  <c r="P4616" i="34"/>
  <c r="T4616" i="34"/>
  <c r="U4616" i="34"/>
  <c r="V4616" i="34"/>
  <c r="W4616" i="34"/>
  <c r="Y4616" i="34"/>
  <c r="AB4616" i="34"/>
  <c r="AC4616" i="34"/>
  <c r="AD4616" i="34"/>
  <c r="P4617" i="34"/>
  <c r="T4617" i="34"/>
  <c r="U4617" i="34"/>
  <c r="V4617" i="34"/>
  <c r="W4617" i="34"/>
  <c r="Y4617" i="34"/>
  <c r="AB4617" i="34"/>
  <c r="AC4617" i="34"/>
  <c r="AD4617" i="34"/>
  <c r="P4618" i="34"/>
  <c r="T4618" i="34"/>
  <c r="U4618" i="34"/>
  <c r="V4618" i="34"/>
  <c r="W4618" i="34"/>
  <c r="Y4618" i="34"/>
  <c r="AB4618" i="34"/>
  <c r="AC4618" i="34"/>
  <c r="AD4618" i="34"/>
  <c r="P4619" i="34"/>
  <c r="T4619" i="34"/>
  <c r="U4619" i="34"/>
  <c r="V4619" i="34"/>
  <c r="W4619" i="34"/>
  <c r="Y4619" i="34"/>
  <c r="AB4619" i="34"/>
  <c r="AC4619" i="34"/>
  <c r="AD4619" i="34"/>
  <c r="P4620" i="34"/>
  <c r="T4620" i="34"/>
  <c r="U4620" i="34"/>
  <c r="V4620" i="34"/>
  <c r="W4620" i="34"/>
  <c r="Y4620" i="34"/>
  <c r="AB4620" i="34"/>
  <c r="AC4620" i="34"/>
  <c r="AD4620" i="34"/>
  <c r="P4621" i="34"/>
  <c r="T4621" i="34"/>
  <c r="U4621" i="34"/>
  <c r="V4621" i="34"/>
  <c r="W4621" i="34"/>
  <c r="Y4621" i="34"/>
  <c r="AB4621" i="34"/>
  <c r="AC4621" i="34"/>
  <c r="AD4621" i="34"/>
  <c r="P4622" i="34"/>
  <c r="T4622" i="34"/>
  <c r="U4622" i="34"/>
  <c r="V4622" i="34"/>
  <c r="W4622" i="34"/>
  <c r="Y4622" i="34"/>
  <c r="AB4622" i="34"/>
  <c r="AC4622" i="34"/>
  <c r="AD4622" i="34"/>
  <c r="P4623" i="34"/>
  <c r="T4623" i="34"/>
  <c r="U4623" i="34"/>
  <c r="V4623" i="34"/>
  <c r="W4623" i="34"/>
  <c r="Y4623" i="34"/>
  <c r="AB4623" i="34"/>
  <c r="AC4623" i="34"/>
  <c r="AD4623" i="34"/>
  <c r="P4626" i="34"/>
  <c r="T4626" i="34"/>
  <c r="U4626" i="34"/>
  <c r="V4626" i="34"/>
  <c r="W4626" i="34"/>
  <c r="Y4626" i="34"/>
  <c r="AB4626" i="34"/>
  <c r="AC4626" i="34"/>
  <c r="AD4626" i="34"/>
  <c r="P4728" i="34"/>
  <c r="T4728" i="34"/>
  <c r="U4728" i="34"/>
  <c r="V4728" i="34"/>
  <c r="W4728" i="34"/>
  <c r="Y4728" i="34"/>
  <c r="AB4728" i="34"/>
  <c r="AC4728" i="34"/>
  <c r="AD4728" i="34"/>
  <c r="P4740" i="34"/>
  <c r="T4740" i="34"/>
  <c r="U4740" i="34"/>
  <c r="V4740" i="34"/>
  <c r="W4740" i="34"/>
  <c r="Y4740" i="34"/>
  <c r="AB4740" i="34"/>
  <c r="AC4740" i="34"/>
  <c r="AD4740" i="34"/>
  <c r="P4741" i="34"/>
  <c r="T4741" i="34"/>
  <c r="U4741" i="34"/>
  <c r="V4741" i="34"/>
  <c r="W4741" i="34"/>
  <c r="Y4741" i="34"/>
  <c r="AB4741" i="34"/>
  <c r="AC4741" i="34"/>
  <c r="AD4741" i="34"/>
  <c r="P4742" i="34"/>
  <c r="T4742" i="34"/>
  <c r="U4742" i="34"/>
  <c r="V4742" i="34"/>
  <c r="W4742" i="34"/>
  <c r="Y4742" i="34"/>
  <c r="AB4742" i="34"/>
  <c r="AC4742" i="34"/>
  <c r="AD4742" i="34"/>
  <c r="P4743" i="34"/>
  <c r="T4743" i="34"/>
  <c r="U4743" i="34"/>
  <c r="V4743" i="34"/>
  <c r="W4743" i="34"/>
  <c r="Y4743" i="34"/>
  <c r="AB4743" i="34"/>
  <c r="AC4743" i="34"/>
  <c r="AD4743" i="34"/>
  <c r="P4784" i="34"/>
  <c r="T4784" i="34"/>
  <c r="U4784" i="34"/>
  <c r="V4784" i="34"/>
  <c r="W4784" i="34"/>
  <c r="Y4784" i="34"/>
  <c r="AB4784" i="34"/>
  <c r="AC4784" i="34"/>
  <c r="AD4784" i="34"/>
  <c r="P4785" i="34"/>
  <c r="T4785" i="34"/>
  <c r="U4785" i="34"/>
  <c r="V4785" i="34"/>
  <c r="W4785" i="34"/>
  <c r="Y4785" i="34"/>
  <c r="AB4785" i="34"/>
  <c r="AC4785" i="34"/>
  <c r="AD4785" i="34"/>
  <c r="P4797" i="34"/>
  <c r="T4797" i="34"/>
  <c r="U4797" i="34"/>
  <c r="V4797" i="34"/>
  <c r="W4797" i="34"/>
  <c r="Y4797" i="34"/>
  <c r="AB4797" i="34"/>
  <c r="AC4797" i="34"/>
  <c r="AD4797" i="34"/>
  <c r="P4800" i="34"/>
  <c r="T4800" i="34"/>
  <c r="U4800" i="34"/>
  <c r="V4800" i="34"/>
  <c r="W4800" i="34"/>
  <c r="Y4800" i="34"/>
  <c r="AB4800" i="34"/>
  <c r="AC4800" i="34"/>
  <c r="AD4800" i="34"/>
  <c r="P4798" i="34"/>
  <c r="T4798" i="34"/>
  <c r="U4798" i="34"/>
  <c r="V4798" i="34"/>
  <c r="W4798" i="34"/>
  <c r="Y4798" i="34"/>
  <c r="AB4798" i="34"/>
  <c r="AC4798" i="34"/>
  <c r="AD4798" i="34"/>
  <c r="P4799" i="34"/>
  <c r="T4799" i="34"/>
  <c r="U4799" i="34"/>
  <c r="V4799" i="34"/>
  <c r="W4799" i="34"/>
  <c r="Y4799" i="34"/>
  <c r="AB4799" i="34"/>
  <c r="AC4799" i="34"/>
  <c r="AD4799" i="34"/>
  <c r="P4840" i="34"/>
  <c r="T4840" i="34"/>
  <c r="U4840" i="34"/>
  <c r="V4840" i="34"/>
  <c r="W4840" i="34"/>
  <c r="Y4840" i="34"/>
  <c r="AB4840" i="34"/>
  <c r="AC4840" i="34"/>
  <c r="AD4840" i="34"/>
  <c r="P4841" i="34"/>
  <c r="T4841" i="34"/>
  <c r="U4841" i="34"/>
  <c r="V4841" i="34"/>
  <c r="W4841" i="34"/>
  <c r="Y4841" i="34"/>
  <c r="AB4841" i="34"/>
  <c r="AC4841" i="34"/>
  <c r="AD4841" i="34"/>
  <c r="P4845" i="34"/>
  <c r="T4845" i="34"/>
  <c r="U4845" i="34"/>
  <c r="V4845" i="34"/>
  <c r="W4845" i="34"/>
  <c r="Y4845" i="34"/>
  <c r="AB4845" i="34"/>
  <c r="AC4845" i="34"/>
  <c r="AD4845" i="34"/>
  <c r="P4846" i="34"/>
  <c r="T4846" i="34"/>
  <c r="U4846" i="34"/>
  <c r="V4846" i="34"/>
  <c r="W4846" i="34"/>
  <c r="Y4846" i="34"/>
  <c r="AB4846" i="34"/>
  <c r="AC4846" i="34"/>
  <c r="AD4846" i="34"/>
  <c r="P4847" i="34"/>
  <c r="T4847" i="34"/>
  <c r="U4847" i="34"/>
  <c r="V4847" i="34"/>
  <c r="W4847" i="34"/>
  <c r="Y4847" i="34"/>
  <c r="AB4847" i="34"/>
  <c r="AC4847" i="34"/>
  <c r="AD4847" i="34"/>
  <c r="P4848" i="34"/>
  <c r="T4848" i="34"/>
  <c r="U4848" i="34"/>
  <c r="V4848" i="34"/>
  <c r="W4848" i="34"/>
  <c r="Y4848" i="34"/>
  <c r="AB4848" i="34"/>
  <c r="AC4848" i="34"/>
  <c r="AD4848" i="34"/>
  <c r="P4849" i="34"/>
  <c r="T4849" i="34"/>
  <c r="U4849" i="34"/>
  <c r="V4849" i="34"/>
  <c r="W4849" i="34"/>
  <c r="Y4849" i="34"/>
  <c r="AB4849" i="34"/>
  <c r="AC4849" i="34"/>
  <c r="AD4849" i="34"/>
  <c r="P4855" i="34"/>
  <c r="T4855" i="34"/>
  <c r="U4855" i="34"/>
  <c r="V4855" i="34"/>
  <c r="W4855" i="34"/>
  <c r="Y4855" i="34"/>
  <c r="AB4855" i="34"/>
  <c r="AC4855" i="34"/>
  <c r="AD4855" i="34"/>
  <c r="P4862" i="34"/>
  <c r="T4862" i="34"/>
  <c r="U4862" i="34"/>
  <c r="V4862" i="34"/>
  <c r="W4862" i="34"/>
  <c r="Y4862" i="34"/>
  <c r="AB4862" i="34"/>
  <c r="AC4862" i="34"/>
  <c r="AD4862" i="34"/>
  <c r="P4863" i="34"/>
  <c r="T4863" i="34"/>
  <c r="U4863" i="34"/>
  <c r="V4863" i="34"/>
  <c r="W4863" i="34"/>
  <c r="Y4863" i="34"/>
  <c r="AB4863" i="34"/>
  <c r="AC4863" i="34"/>
  <c r="AD4863" i="34"/>
  <c r="P4864" i="34"/>
  <c r="T4864" i="34"/>
  <c r="U4864" i="34"/>
  <c r="V4864" i="34"/>
  <c r="W4864" i="34"/>
  <c r="Y4864" i="34"/>
  <c r="AB4864" i="34"/>
  <c r="AC4864" i="34"/>
  <c r="AD4864" i="34"/>
  <c r="P4865" i="34"/>
  <c r="T4865" i="34"/>
  <c r="U4865" i="34"/>
  <c r="V4865" i="34"/>
  <c r="W4865" i="34"/>
  <c r="Y4865" i="34"/>
  <c r="AB4865" i="34"/>
  <c r="AC4865" i="34"/>
  <c r="AD4865" i="34"/>
  <c r="P4866" i="34"/>
  <c r="T4866" i="34"/>
  <c r="U4866" i="34"/>
  <c r="V4866" i="34"/>
  <c r="W4866" i="34"/>
  <c r="Y4866" i="34"/>
  <c r="AB4866" i="34"/>
  <c r="AC4866" i="34"/>
  <c r="AD4866" i="34"/>
  <c r="P4867" i="34"/>
  <c r="T4867" i="34"/>
  <c r="U4867" i="34"/>
  <c r="V4867" i="34"/>
  <c r="W4867" i="34"/>
  <c r="Y4867" i="34"/>
  <c r="AB4867" i="34"/>
  <c r="AC4867" i="34"/>
  <c r="AD4867" i="34"/>
  <c r="P4868" i="34"/>
  <c r="T4868" i="34"/>
  <c r="U4868" i="34"/>
  <c r="V4868" i="34"/>
  <c r="W4868" i="34"/>
  <c r="Y4868" i="34"/>
  <c r="AB4868" i="34"/>
  <c r="AC4868" i="34"/>
  <c r="AD4868" i="34"/>
  <c r="P4869" i="34"/>
  <c r="T4869" i="34"/>
  <c r="U4869" i="34"/>
  <c r="V4869" i="34"/>
  <c r="W4869" i="34"/>
  <c r="Y4869" i="34"/>
  <c r="AB4869" i="34"/>
  <c r="AC4869" i="34"/>
  <c r="AD4869" i="34"/>
  <c r="P4870" i="34"/>
  <c r="T4870" i="34"/>
  <c r="U4870" i="34"/>
  <c r="V4870" i="34"/>
  <c r="W4870" i="34"/>
  <c r="Y4870" i="34"/>
  <c r="AB4870" i="34"/>
  <c r="AC4870" i="34"/>
  <c r="AD4870" i="34"/>
  <c r="P4871" i="34"/>
  <c r="T4871" i="34"/>
  <c r="U4871" i="34"/>
  <c r="V4871" i="34"/>
  <c r="W4871" i="34"/>
  <c r="Y4871" i="34"/>
  <c r="AB4871" i="34"/>
  <c r="AC4871" i="34"/>
  <c r="AD4871" i="34"/>
  <c r="P4885" i="34"/>
  <c r="T4885" i="34"/>
  <c r="U4885" i="34"/>
  <c r="V4885" i="34"/>
  <c r="W4885" i="34"/>
  <c r="Y4885" i="34"/>
  <c r="AB4885" i="34"/>
  <c r="AC4885" i="34"/>
  <c r="AD4885" i="34"/>
  <c r="P4886" i="34"/>
  <c r="T4886" i="34"/>
  <c r="U4886" i="34"/>
  <c r="V4886" i="34"/>
  <c r="W4886" i="34"/>
  <c r="Y4886" i="34"/>
  <c r="AB4886" i="34"/>
  <c r="AC4886" i="34"/>
  <c r="AD4886" i="34"/>
  <c r="P4887" i="34"/>
  <c r="T4887" i="34"/>
  <c r="U4887" i="34"/>
  <c r="V4887" i="34"/>
  <c r="W4887" i="34"/>
  <c r="Y4887" i="34"/>
  <c r="AB4887" i="34"/>
  <c r="AC4887" i="34"/>
  <c r="AD4887" i="34"/>
  <c r="P4993" i="34"/>
  <c r="T4993" i="34"/>
  <c r="U4993" i="34"/>
  <c r="V4993" i="34"/>
  <c r="W4993" i="34"/>
  <c r="Y4993" i="34"/>
  <c r="AB4993" i="34"/>
  <c r="AC4993" i="34"/>
  <c r="AD4993" i="34"/>
  <c r="P4994" i="34"/>
  <c r="T4994" i="34"/>
  <c r="U4994" i="34"/>
  <c r="V4994" i="34"/>
  <c r="W4994" i="34"/>
  <c r="Y4994" i="34"/>
  <c r="AB4994" i="34"/>
  <c r="AC4994" i="34"/>
  <c r="AD4994" i="34"/>
  <c r="P4995" i="34"/>
  <c r="T4995" i="34"/>
  <c r="U4995" i="34"/>
  <c r="V4995" i="34"/>
  <c r="W4995" i="34"/>
  <c r="Y4995" i="34"/>
  <c r="AB4995" i="34"/>
  <c r="AC4995" i="34"/>
  <c r="AD4995" i="34"/>
  <c r="P5012" i="34"/>
  <c r="T5012" i="34"/>
  <c r="U5012" i="34"/>
  <c r="V5012" i="34"/>
  <c r="W5012" i="34"/>
  <c r="Y5012" i="34"/>
  <c r="AB5012" i="34"/>
  <c r="AC5012" i="34"/>
  <c r="AD5012" i="34"/>
  <c r="P5020" i="34"/>
  <c r="T5020" i="34"/>
  <c r="U5020" i="34"/>
  <c r="V5020" i="34"/>
  <c r="W5020" i="34"/>
  <c r="Y5020" i="34"/>
  <c r="AB5020" i="34"/>
  <c r="AC5020" i="34"/>
  <c r="AD5020" i="34"/>
  <c r="P5021" i="34"/>
  <c r="T5021" i="34"/>
  <c r="U5021" i="34"/>
  <c r="V5021" i="34"/>
  <c r="W5021" i="34"/>
  <c r="Y5021" i="34"/>
  <c r="AB5021" i="34"/>
  <c r="AC5021" i="34"/>
  <c r="AD5021" i="34"/>
  <c r="P5030" i="34"/>
  <c r="T5030" i="34"/>
  <c r="U5030" i="34"/>
  <c r="V5030" i="34"/>
  <c r="W5030" i="34"/>
  <c r="Y5030" i="34"/>
  <c r="AB5030" i="34"/>
  <c r="AC5030" i="34"/>
  <c r="AD5030" i="34"/>
  <c r="P5031" i="34"/>
  <c r="T5031" i="34"/>
  <c r="U5031" i="34"/>
  <c r="V5031" i="34"/>
  <c r="W5031" i="34"/>
  <c r="Y5031" i="34"/>
  <c r="AB5031" i="34"/>
  <c r="AC5031" i="34"/>
  <c r="AD5031" i="34"/>
  <c r="P5032" i="34"/>
  <c r="T5032" i="34"/>
  <c r="U5032" i="34"/>
  <c r="V5032" i="34"/>
  <c r="W5032" i="34"/>
  <c r="Y5032" i="34"/>
  <c r="AB5032" i="34"/>
  <c r="AC5032" i="34"/>
  <c r="AD5032" i="34"/>
  <c r="P5033" i="34"/>
  <c r="T5033" i="34"/>
  <c r="U5033" i="34"/>
  <c r="V5033" i="34"/>
  <c r="W5033" i="34"/>
  <c r="Y5033" i="34"/>
  <c r="AB5033" i="34"/>
  <c r="AC5033" i="34"/>
  <c r="AD5033" i="34"/>
  <c r="P5034" i="34"/>
  <c r="T5034" i="34"/>
  <c r="U5034" i="34"/>
  <c r="V5034" i="34"/>
  <c r="W5034" i="34"/>
  <c r="Y5034" i="34"/>
  <c r="AB5034" i="34"/>
  <c r="AC5034" i="34"/>
  <c r="AD5034" i="34"/>
  <c r="P5035" i="34"/>
  <c r="T5035" i="34"/>
  <c r="U5035" i="34"/>
  <c r="V5035" i="34"/>
  <c r="W5035" i="34"/>
  <c r="Y5035" i="34"/>
  <c r="AB5035" i="34"/>
  <c r="AC5035" i="34"/>
  <c r="AD5035" i="34"/>
  <c r="P5036" i="34"/>
  <c r="T5036" i="34"/>
  <c r="U5036" i="34"/>
  <c r="V5036" i="34"/>
  <c r="W5036" i="34"/>
  <c r="Y5036" i="34"/>
  <c r="AB5036" i="34"/>
  <c r="AC5036" i="34"/>
  <c r="AD5036" i="34"/>
  <c r="P5037" i="34"/>
  <c r="T5037" i="34"/>
  <c r="U5037" i="34"/>
  <c r="V5037" i="34"/>
  <c r="W5037" i="34"/>
  <c r="Y5037" i="34"/>
  <c r="AB5037" i="34"/>
  <c r="AC5037" i="34"/>
  <c r="AD5037" i="34"/>
  <c r="P5038" i="34"/>
  <c r="T5038" i="34"/>
  <c r="U5038" i="34"/>
  <c r="V5038" i="34"/>
  <c r="W5038" i="34"/>
  <c r="Y5038" i="34"/>
  <c r="AB5038" i="34"/>
  <c r="AC5038" i="34"/>
  <c r="AD5038" i="34"/>
  <c r="P5039" i="34"/>
  <c r="T5039" i="34"/>
  <c r="U5039" i="34"/>
  <c r="V5039" i="34"/>
  <c r="W5039" i="34"/>
  <c r="Y5039" i="34"/>
  <c r="AB5039" i="34"/>
  <c r="AC5039" i="34"/>
  <c r="AD5039" i="34"/>
  <c r="P5040" i="34"/>
  <c r="T5040" i="34"/>
  <c r="U5040" i="34"/>
  <c r="V5040" i="34"/>
  <c r="W5040" i="34"/>
  <c r="Y5040" i="34"/>
  <c r="AB5040" i="34"/>
  <c r="AC5040" i="34"/>
  <c r="AD5040" i="34"/>
  <c r="P5041" i="34"/>
  <c r="T5041" i="34"/>
  <c r="U5041" i="34"/>
  <c r="V5041" i="34"/>
  <c r="W5041" i="34"/>
  <c r="Y5041" i="34"/>
  <c r="AB5041" i="34"/>
  <c r="AC5041" i="34"/>
  <c r="AD5041" i="34"/>
  <c r="P5042" i="34"/>
  <c r="T5042" i="34"/>
  <c r="U5042" i="34"/>
  <c r="V5042" i="34"/>
  <c r="W5042" i="34"/>
  <c r="Y5042" i="34"/>
  <c r="AB5042" i="34"/>
  <c r="AC5042" i="34"/>
  <c r="AD5042" i="34"/>
  <c r="P5043" i="34"/>
  <c r="T5043" i="34"/>
  <c r="U5043" i="34"/>
  <c r="V5043" i="34"/>
  <c r="W5043" i="34"/>
  <c r="Y5043" i="34"/>
  <c r="AB5043" i="34"/>
  <c r="AC5043" i="34"/>
  <c r="AD5043" i="34"/>
  <c r="P5044" i="34"/>
  <c r="T5044" i="34"/>
  <c r="U5044" i="34"/>
  <c r="V5044" i="34"/>
  <c r="W5044" i="34"/>
  <c r="Y5044" i="34"/>
  <c r="AB5044" i="34"/>
  <c r="AC5044" i="34"/>
  <c r="AD5044" i="34"/>
  <c r="P5180" i="34"/>
  <c r="T5180" i="34"/>
  <c r="U5180" i="34"/>
  <c r="V5180" i="34"/>
  <c r="W5180" i="34"/>
  <c r="Y5180" i="34"/>
  <c r="AB5180" i="34"/>
  <c r="AC5180" i="34"/>
  <c r="AD5180" i="34"/>
  <c r="P5263" i="34"/>
  <c r="T5263" i="34"/>
  <c r="U5263" i="34"/>
  <c r="V5263" i="34"/>
  <c r="W5263" i="34"/>
  <c r="Y5263" i="34"/>
  <c r="AB5263" i="34"/>
  <c r="AC5263" i="34"/>
  <c r="AD5263" i="34"/>
  <c r="P5264" i="34"/>
  <c r="T5264" i="34"/>
  <c r="U5264" i="34"/>
  <c r="V5264" i="34"/>
  <c r="W5264" i="34"/>
  <c r="Y5264" i="34"/>
  <c r="AB5264" i="34"/>
  <c r="AC5264" i="34"/>
  <c r="AD5264" i="34"/>
  <c r="P5265" i="34"/>
  <c r="T5265" i="34"/>
  <c r="U5265" i="34"/>
  <c r="V5265" i="34"/>
  <c r="W5265" i="34"/>
  <c r="Y5265" i="34"/>
  <c r="AB5265" i="34"/>
  <c r="AC5265" i="34"/>
  <c r="AD5265" i="34"/>
  <c r="P5324" i="34"/>
  <c r="T5324" i="34"/>
  <c r="U5324" i="34"/>
  <c r="V5324" i="34"/>
  <c r="W5324" i="34"/>
  <c r="Y5324" i="34"/>
  <c r="AB5324" i="34"/>
  <c r="AC5324" i="34"/>
  <c r="AD5324" i="34"/>
  <c r="P5338" i="34"/>
  <c r="T5338" i="34"/>
  <c r="U5338" i="34"/>
  <c r="V5338" i="34"/>
  <c r="W5338" i="34"/>
  <c r="Y5338" i="34"/>
  <c r="AB5338" i="34"/>
  <c r="AC5338" i="34"/>
  <c r="AD5338" i="34"/>
  <c r="P5339" i="34"/>
  <c r="T5339" i="34"/>
  <c r="U5339" i="34"/>
  <c r="V5339" i="34"/>
  <c r="W5339" i="34"/>
  <c r="Y5339" i="34"/>
  <c r="AB5339" i="34"/>
  <c r="AC5339" i="34"/>
  <c r="AD5339" i="34"/>
  <c r="P5340" i="34"/>
  <c r="T5340" i="34"/>
  <c r="U5340" i="34"/>
  <c r="V5340" i="34"/>
  <c r="W5340" i="34"/>
  <c r="Y5340" i="34"/>
  <c r="AB5340" i="34"/>
  <c r="AC5340" i="34"/>
  <c r="AD5340" i="34"/>
  <c r="P5359" i="34"/>
  <c r="T5359" i="34"/>
  <c r="U5359" i="34"/>
  <c r="V5359" i="34"/>
  <c r="W5359" i="34"/>
  <c r="Y5359" i="34"/>
  <c r="AB5359" i="34"/>
  <c r="AC5359" i="34"/>
  <c r="AD5359" i="34"/>
  <c r="P5360" i="34"/>
  <c r="T5360" i="34"/>
  <c r="U5360" i="34"/>
  <c r="V5360" i="34"/>
  <c r="W5360" i="34"/>
  <c r="Y5360" i="34"/>
  <c r="AB5360" i="34"/>
  <c r="AC5360" i="34"/>
  <c r="AD5360" i="34"/>
  <c r="P5374" i="34"/>
  <c r="T5374" i="34"/>
  <c r="U5374" i="34"/>
  <c r="V5374" i="34"/>
  <c r="W5374" i="34"/>
  <c r="Y5374" i="34"/>
  <c r="AB5374" i="34"/>
  <c r="AC5374" i="34"/>
  <c r="AD5374" i="34"/>
  <c r="P5384" i="34"/>
  <c r="T5384" i="34"/>
  <c r="U5384" i="34"/>
  <c r="V5384" i="34"/>
  <c r="W5384" i="34"/>
  <c r="Y5384" i="34"/>
  <c r="AB5384" i="34"/>
  <c r="AC5384" i="34"/>
  <c r="AD5384" i="34"/>
  <c r="P5385" i="34"/>
  <c r="T5385" i="34"/>
  <c r="U5385" i="34"/>
  <c r="V5385" i="34"/>
  <c r="W5385" i="34"/>
  <c r="Y5385" i="34"/>
  <c r="AB5385" i="34"/>
  <c r="AC5385" i="34"/>
  <c r="AD5385" i="34"/>
  <c r="P5386" i="34"/>
  <c r="T5386" i="34"/>
  <c r="U5386" i="34"/>
  <c r="V5386" i="34"/>
  <c r="W5386" i="34"/>
  <c r="Y5386" i="34"/>
  <c r="AB5386" i="34"/>
  <c r="AC5386" i="34"/>
  <c r="AD5386" i="34"/>
  <c r="P5399" i="34"/>
  <c r="T5399" i="34"/>
  <c r="U5399" i="34"/>
  <c r="V5399" i="34"/>
  <c r="W5399" i="34"/>
  <c r="Y5399" i="34"/>
  <c r="AB5399" i="34"/>
  <c r="AC5399" i="34"/>
  <c r="AD5399" i="34"/>
  <c r="P5400" i="34"/>
  <c r="T5400" i="34"/>
  <c r="U5400" i="34"/>
  <c r="V5400" i="34"/>
  <c r="W5400" i="34"/>
  <c r="Y5400" i="34"/>
  <c r="AB5400" i="34"/>
  <c r="AC5400" i="34"/>
  <c r="AD5400" i="34"/>
  <c r="P5401" i="34"/>
  <c r="T5401" i="34"/>
  <c r="U5401" i="34"/>
  <c r="V5401" i="34"/>
  <c r="W5401" i="34"/>
  <c r="Y5401" i="34"/>
  <c r="AB5401" i="34"/>
  <c r="AC5401" i="34"/>
  <c r="AD5401" i="34"/>
  <c r="P5402" i="34"/>
  <c r="T5402" i="34"/>
  <c r="U5402" i="34"/>
  <c r="V5402" i="34"/>
  <c r="W5402" i="34"/>
  <c r="Y5402" i="34"/>
  <c r="AB5402" i="34"/>
  <c r="AC5402" i="34"/>
  <c r="AD5402" i="34"/>
  <c r="P5403" i="34"/>
  <c r="T5403" i="34"/>
  <c r="U5403" i="34"/>
  <c r="V5403" i="34"/>
  <c r="W5403" i="34"/>
  <c r="Y5403" i="34"/>
  <c r="AB5403" i="34"/>
  <c r="AC5403" i="34"/>
  <c r="AD5403" i="34"/>
  <c r="P5404" i="34"/>
  <c r="T5404" i="34"/>
  <c r="U5404" i="34"/>
  <c r="V5404" i="34"/>
  <c r="W5404" i="34"/>
  <c r="Y5404" i="34"/>
  <c r="AB5404" i="34"/>
  <c r="AC5404" i="34"/>
  <c r="AD5404" i="34"/>
  <c r="P5405" i="34"/>
  <c r="T5405" i="34"/>
  <c r="U5405" i="34"/>
  <c r="V5405" i="34"/>
  <c r="W5405" i="34"/>
  <c r="Y5405" i="34"/>
  <c r="AB5405" i="34"/>
  <c r="AC5405" i="34"/>
  <c r="AD5405" i="34"/>
  <c r="P5406" i="34"/>
  <c r="T5406" i="34"/>
  <c r="U5406" i="34"/>
  <c r="V5406" i="34"/>
  <c r="W5406" i="34"/>
  <c r="Y5406" i="34"/>
  <c r="AB5406" i="34"/>
  <c r="AC5406" i="34"/>
  <c r="AD5406" i="34"/>
  <c r="P5407" i="34"/>
  <c r="T5407" i="34"/>
  <c r="U5407" i="34"/>
  <c r="V5407" i="34"/>
  <c r="W5407" i="34"/>
  <c r="Y5407" i="34"/>
  <c r="AB5407" i="34"/>
  <c r="AC5407" i="34"/>
  <c r="AD5407" i="34"/>
  <c r="P5408" i="34"/>
  <c r="T5408" i="34"/>
  <c r="U5408" i="34"/>
  <c r="V5408" i="34"/>
  <c r="W5408" i="34"/>
  <c r="Y5408" i="34"/>
  <c r="AB5408" i="34"/>
  <c r="AC5408" i="34"/>
  <c r="AD5408" i="34"/>
  <c r="P5409" i="34"/>
  <c r="T5409" i="34"/>
  <c r="U5409" i="34"/>
  <c r="V5409" i="34"/>
  <c r="W5409" i="34"/>
  <c r="Y5409" i="34"/>
  <c r="AB5409" i="34"/>
  <c r="AC5409" i="34"/>
  <c r="AD5409" i="34"/>
  <c r="P5410" i="34"/>
  <c r="T5410" i="34"/>
  <c r="U5410" i="34"/>
  <c r="V5410" i="34"/>
  <c r="W5410" i="34"/>
  <c r="Y5410" i="34"/>
  <c r="AB5410" i="34"/>
  <c r="AC5410" i="34"/>
  <c r="AD5410" i="34"/>
  <c r="P5411" i="34"/>
  <c r="T5411" i="34"/>
  <c r="U5411" i="34"/>
  <c r="V5411" i="34"/>
  <c r="W5411" i="34"/>
  <c r="Y5411" i="34"/>
  <c r="AB5411" i="34"/>
  <c r="AC5411" i="34"/>
  <c r="AD5411" i="34"/>
  <c r="P5412" i="34"/>
  <c r="T5412" i="34"/>
  <c r="U5412" i="34"/>
  <c r="V5412" i="34"/>
  <c r="W5412" i="34"/>
  <c r="Y5412" i="34"/>
  <c r="AB5412" i="34"/>
  <c r="AC5412" i="34"/>
  <c r="AD5412" i="34"/>
  <c r="P5413" i="34"/>
  <c r="T5413" i="34"/>
  <c r="U5413" i="34"/>
  <c r="V5413" i="34"/>
  <c r="W5413" i="34"/>
  <c r="Y5413" i="34"/>
  <c r="AB5413" i="34"/>
  <c r="AC5413" i="34"/>
  <c r="AD5413" i="34"/>
  <c r="P5426" i="34"/>
  <c r="T5426" i="34"/>
  <c r="U5426" i="34"/>
  <c r="V5426" i="34"/>
  <c r="W5426" i="34"/>
  <c r="Y5426" i="34"/>
  <c r="AB5426" i="34"/>
  <c r="AC5426" i="34"/>
  <c r="AD5426" i="34"/>
  <c r="P5432" i="34"/>
  <c r="T5432" i="34"/>
  <c r="U5432" i="34"/>
  <c r="V5432" i="34"/>
  <c r="W5432" i="34"/>
  <c r="Y5432" i="34"/>
  <c r="AB5432" i="34"/>
  <c r="AC5432" i="34"/>
  <c r="AD5432" i="34"/>
  <c r="P5433" i="34"/>
  <c r="T5433" i="34"/>
  <c r="U5433" i="34"/>
  <c r="V5433" i="34"/>
  <c r="W5433" i="34"/>
  <c r="Y5433" i="34"/>
  <c r="AB5433" i="34"/>
  <c r="AC5433" i="34"/>
  <c r="AD5433" i="34"/>
  <c r="P5436" i="34"/>
  <c r="T5436" i="34"/>
  <c r="U5436" i="34"/>
  <c r="V5436" i="34"/>
  <c r="W5436" i="34"/>
  <c r="Y5436" i="34"/>
  <c r="AB5436" i="34"/>
  <c r="AC5436" i="34"/>
  <c r="AD5436" i="34"/>
  <c r="P5437" i="34"/>
  <c r="T5437" i="34"/>
  <c r="U5437" i="34"/>
  <c r="V5437" i="34"/>
  <c r="W5437" i="34"/>
  <c r="Y5437" i="34"/>
  <c r="AB5437" i="34"/>
  <c r="AC5437" i="34"/>
  <c r="AD5437" i="34"/>
  <c r="P5438" i="34"/>
  <c r="T5438" i="34"/>
  <c r="U5438" i="34"/>
  <c r="V5438" i="34"/>
  <c r="W5438" i="34"/>
  <c r="Y5438" i="34"/>
  <c r="AB5438" i="34"/>
  <c r="AC5438" i="34"/>
  <c r="AD5438" i="34"/>
  <c r="P5439" i="34"/>
  <c r="T5439" i="34"/>
  <c r="U5439" i="34"/>
  <c r="V5439" i="34"/>
  <c r="W5439" i="34"/>
  <c r="Y5439" i="34"/>
  <c r="AB5439" i="34"/>
  <c r="AC5439" i="34"/>
  <c r="AD5439" i="34"/>
  <c r="P5440" i="34"/>
  <c r="T5440" i="34"/>
  <c r="U5440" i="34"/>
  <c r="V5440" i="34"/>
  <c r="W5440" i="34"/>
  <c r="Y5440" i="34"/>
  <c r="AB5440" i="34"/>
  <c r="AC5440" i="34"/>
  <c r="AD5440" i="34"/>
  <c r="P5450" i="34"/>
  <c r="T5450" i="34"/>
  <c r="U5450" i="34"/>
  <c r="V5450" i="34"/>
  <c r="W5450" i="34"/>
  <c r="Y5450" i="34"/>
  <c r="AB5450" i="34"/>
  <c r="AC5450" i="34"/>
  <c r="AD5450" i="34"/>
  <c r="P5451" i="34"/>
  <c r="T5451" i="34"/>
  <c r="U5451" i="34"/>
  <c r="V5451" i="34"/>
  <c r="W5451" i="34"/>
  <c r="Y5451" i="34"/>
  <c r="AB5451" i="34"/>
  <c r="AC5451" i="34"/>
  <c r="AD5451" i="34"/>
  <c r="P5467" i="34"/>
  <c r="T5467" i="34"/>
  <c r="U5467" i="34"/>
  <c r="V5467" i="34"/>
  <c r="W5467" i="34"/>
  <c r="Y5467" i="34"/>
  <c r="AB5467" i="34"/>
  <c r="AC5467" i="34"/>
  <c r="AD5467" i="34"/>
  <c r="P5468" i="34"/>
  <c r="T5468" i="34"/>
  <c r="U5468" i="34"/>
  <c r="V5468" i="34"/>
  <c r="W5468" i="34"/>
  <c r="Y5468" i="34"/>
  <c r="AB5468" i="34"/>
  <c r="AC5468" i="34"/>
  <c r="AD5468" i="34"/>
  <c r="P5469" i="34"/>
  <c r="T5469" i="34"/>
  <c r="U5469" i="34"/>
  <c r="V5469" i="34"/>
  <c r="W5469" i="34"/>
  <c r="Y5469" i="34"/>
  <c r="AB5469" i="34"/>
  <c r="AC5469" i="34"/>
  <c r="AD5469" i="34"/>
  <c r="P5470" i="34"/>
  <c r="T5470" i="34"/>
  <c r="U5470" i="34"/>
  <c r="V5470" i="34"/>
  <c r="W5470" i="34"/>
  <c r="Y5470" i="34"/>
  <c r="AB5470" i="34"/>
  <c r="AC5470" i="34"/>
  <c r="AD5470" i="34"/>
  <c r="P5491" i="34"/>
  <c r="T5491" i="34"/>
  <c r="U5491" i="34"/>
  <c r="V5491" i="34"/>
  <c r="W5491" i="34"/>
  <c r="Y5491" i="34"/>
  <c r="AB5491" i="34"/>
  <c r="AC5491" i="34"/>
  <c r="AD5491" i="34"/>
  <c r="P5492" i="34"/>
  <c r="T5492" i="34"/>
  <c r="U5492" i="34"/>
  <c r="V5492" i="34"/>
  <c r="W5492" i="34"/>
  <c r="Y5492" i="34"/>
  <c r="AB5492" i="34"/>
  <c r="AC5492" i="34"/>
  <c r="AD5492" i="34"/>
  <c r="P5493" i="34"/>
  <c r="T5493" i="34"/>
  <c r="U5493" i="34"/>
  <c r="V5493" i="34"/>
  <c r="W5493" i="34"/>
  <c r="Y5493" i="34"/>
  <c r="AB5493" i="34"/>
  <c r="AC5493" i="34"/>
  <c r="AD5493" i="34"/>
  <c r="P5494" i="34"/>
  <c r="T5494" i="34"/>
  <c r="U5494" i="34"/>
  <c r="V5494" i="34"/>
  <c r="W5494" i="34"/>
  <c r="Y5494" i="34"/>
  <c r="AB5494" i="34"/>
  <c r="AC5494" i="34"/>
  <c r="AD5494" i="34"/>
  <c r="P5495" i="34"/>
  <c r="T5495" i="34"/>
  <c r="U5495" i="34"/>
  <c r="V5495" i="34"/>
  <c r="W5495" i="34"/>
  <c r="Y5495" i="34"/>
  <c r="AB5495" i="34"/>
  <c r="AC5495" i="34"/>
  <c r="AD5495" i="34"/>
  <c r="P5509" i="34"/>
  <c r="T5509" i="34"/>
  <c r="U5509" i="34"/>
  <c r="V5509" i="34"/>
  <c r="W5509" i="34"/>
  <c r="Y5509" i="34"/>
  <c r="AB5509" i="34"/>
  <c r="AC5509" i="34"/>
  <c r="AD5509" i="34"/>
  <c r="P5510" i="34"/>
  <c r="T5510" i="34"/>
  <c r="U5510" i="34"/>
  <c r="V5510" i="34"/>
  <c r="W5510" i="34"/>
  <c r="Y5510" i="34"/>
  <c r="AB5510" i="34"/>
  <c r="AC5510" i="34"/>
  <c r="AD5510" i="34"/>
  <c r="P5511" i="34"/>
  <c r="T5511" i="34"/>
  <c r="U5511" i="34"/>
  <c r="V5511" i="34"/>
  <c r="W5511" i="34"/>
  <c r="Y5511" i="34"/>
  <c r="AB5511" i="34"/>
  <c r="AC5511" i="34"/>
  <c r="AD5511" i="34"/>
  <c r="P5512" i="34"/>
  <c r="T5512" i="34"/>
  <c r="U5512" i="34"/>
  <c r="V5512" i="34"/>
  <c r="W5512" i="34"/>
  <c r="Y5512" i="34"/>
  <c r="AB5512" i="34"/>
  <c r="AC5512" i="34"/>
  <c r="AD5512" i="34"/>
  <c r="P5513" i="34"/>
  <c r="T5513" i="34"/>
  <c r="U5513" i="34"/>
  <c r="V5513" i="34"/>
  <c r="W5513" i="34"/>
  <c r="Y5513" i="34"/>
  <c r="AB5513" i="34"/>
  <c r="AC5513" i="34"/>
  <c r="AD5513" i="34"/>
  <c r="P5562" i="34"/>
  <c r="T5562" i="34"/>
  <c r="U5562" i="34"/>
  <c r="V5562" i="34"/>
  <c r="W5562" i="34"/>
  <c r="Y5562" i="34"/>
  <c r="AB5562" i="34"/>
  <c r="AC5562" i="34"/>
  <c r="AD5562" i="34"/>
  <c r="P5563" i="34"/>
  <c r="T5563" i="34"/>
  <c r="U5563" i="34"/>
  <c r="V5563" i="34"/>
  <c r="W5563" i="34"/>
  <c r="Y5563" i="34"/>
  <c r="AB5563" i="34"/>
  <c r="AC5563" i="34"/>
  <c r="AD5563" i="34"/>
  <c r="P5564" i="34"/>
  <c r="T5564" i="34"/>
  <c r="U5564" i="34"/>
  <c r="V5564" i="34"/>
  <c r="W5564" i="34"/>
  <c r="Y5564" i="34"/>
  <c r="AB5564" i="34"/>
  <c r="AC5564" i="34"/>
  <c r="AD5564" i="34"/>
  <c r="P5570" i="34"/>
  <c r="T5570" i="34"/>
  <c r="U5570" i="34"/>
  <c r="V5570" i="34"/>
  <c r="W5570" i="34"/>
  <c r="Y5570" i="34"/>
  <c r="AB5570" i="34"/>
  <c r="AC5570" i="34"/>
  <c r="AD5570" i="34"/>
  <c r="P5571" i="34"/>
  <c r="T5571" i="34"/>
  <c r="U5571" i="34"/>
  <c r="V5571" i="34"/>
  <c r="W5571" i="34"/>
  <c r="Y5571" i="34"/>
  <c r="AB5571" i="34"/>
  <c r="AC5571" i="34"/>
  <c r="AD5571" i="34"/>
  <c r="P5572" i="34"/>
  <c r="T5572" i="34"/>
  <c r="U5572" i="34"/>
  <c r="V5572" i="34"/>
  <c r="W5572" i="34"/>
  <c r="Y5572" i="34"/>
  <c r="AB5572" i="34"/>
  <c r="AC5572" i="34"/>
  <c r="AD5572" i="34"/>
  <c r="P5589" i="34"/>
  <c r="T5589" i="34"/>
  <c r="U5589" i="34"/>
  <c r="V5589" i="34"/>
  <c r="W5589" i="34"/>
  <c r="Y5589" i="34"/>
  <c r="AB5589" i="34"/>
  <c r="AC5589" i="34"/>
  <c r="AD5589" i="34"/>
  <c r="P5590" i="34"/>
  <c r="T5590" i="34"/>
  <c r="U5590" i="34"/>
  <c r="V5590" i="34"/>
  <c r="W5590" i="34"/>
  <c r="Y5590" i="34"/>
  <c r="AB5590" i="34"/>
  <c r="AC5590" i="34"/>
  <c r="AD5590" i="34"/>
  <c r="P5601" i="34"/>
  <c r="T5601" i="34"/>
  <c r="U5601" i="34"/>
  <c r="V5601" i="34"/>
  <c r="W5601" i="34"/>
  <c r="Y5601" i="34"/>
  <c r="AB5601" i="34"/>
  <c r="AC5601" i="34"/>
  <c r="AD5601" i="34"/>
  <c r="P5602" i="34"/>
  <c r="T5602" i="34"/>
  <c r="U5602" i="34"/>
  <c r="V5602" i="34"/>
  <c r="W5602" i="34"/>
  <c r="Y5602" i="34"/>
  <c r="AB5602" i="34"/>
  <c r="AC5602" i="34"/>
  <c r="AD5602" i="34"/>
  <c r="P5604" i="34"/>
  <c r="T5604" i="34"/>
  <c r="U5604" i="34"/>
  <c r="V5604" i="34"/>
  <c r="W5604" i="34"/>
  <c r="Y5604" i="34"/>
  <c r="AB5604" i="34"/>
  <c r="AC5604" i="34"/>
  <c r="AD5604" i="34"/>
  <c r="P5605" i="34"/>
  <c r="T5605" i="34"/>
  <c r="U5605" i="34"/>
  <c r="V5605" i="34"/>
  <c r="W5605" i="34"/>
  <c r="Y5605" i="34"/>
  <c r="AB5605" i="34"/>
  <c r="AC5605" i="34"/>
  <c r="AD5605" i="34"/>
  <c r="P5606" i="34"/>
  <c r="T5606" i="34"/>
  <c r="U5606" i="34"/>
  <c r="V5606" i="34"/>
  <c r="W5606" i="34"/>
  <c r="Y5606" i="34"/>
  <c r="AB5606" i="34"/>
  <c r="AC5606" i="34"/>
  <c r="AD5606" i="34"/>
  <c r="P5607" i="34"/>
  <c r="T5607" i="34"/>
  <c r="U5607" i="34"/>
  <c r="V5607" i="34"/>
  <c r="W5607" i="34"/>
  <c r="Y5607" i="34"/>
  <c r="AB5607" i="34"/>
  <c r="AC5607" i="34"/>
  <c r="AD5607" i="34"/>
  <c r="P5608" i="34"/>
  <c r="T5608" i="34"/>
  <c r="U5608" i="34"/>
  <c r="V5608" i="34"/>
  <c r="W5608" i="34"/>
  <c r="Y5608" i="34"/>
  <c r="AB5608" i="34"/>
  <c r="AC5608" i="34"/>
  <c r="AD5608" i="34"/>
  <c r="P5609" i="34"/>
  <c r="T5609" i="34"/>
  <c r="U5609" i="34"/>
  <c r="V5609" i="34"/>
  <c r="W5609" i="34"/>
  <c r="Y5609" i="34"/>
  <c r="AB5609" i="34"/>
  <c r="AC5609" i="34"/>
  <c r="AD5609" i="34"/>
  <c r="P5610" i="34"/>
  <c r="T5610" i="34"/>
  <c r="U5610" i="34"/>
  <c r="V5610" i="34"/>
  <c r="W5610" i="34"/>
  <c r="Y5610" i="34"/>
  <c r="AB5610" i="34"/>
  <c r="AC5610" i="34"/>
  <c r="AD5610" i="34"/>
  <c r="P5611" i="34"/>
  <c r="T5611" i="34"/>
  <c r="U5611" i="34"/>
  <c r="V5611" i="34"/>
  <c r="W5611" i="34"/>
  <c r="Y5611" i="34"/>
  <c r="AB5611" i="34"/>
  <c r="AC5611" i="34"/>
  <c r="AD5611" i="34"/>
  <c r="P5612" i="34"/>
  <c r="T5612" i="34"/>
  <c r="U5612" i="34"/>
  <c r="V5612" i="34"/>
  <c r="W5612" i="34"/>
  <c r="Y5612" i="34"/>
  <c r="AB5612" i="34"/>
  <c r="AC5612" i="34"/>
  <c r="AD5612" i="34"/>
  <c r="P5613" i="34"/>
  <c r="T5613" i="34"/>
  <c r="U5613" i="34"/>
  <c r="V5613" i="34"/>
  <c r="W5613" i="34"/>
  <c r="Y5613" i="34"/>
  <c r="AB5613" i="34"/>
  <c r="AC5613" i="34"/>
  <c r="AD5613" i="34"/>
  <c r="P5614" i="34"/>
  <c r="T5614" i="34"/>
  <c r="U5614" i="34"/>
  <c r="V5614" i="34"/>
  <c r="W5614" i="34"/>
  <c r="Y5614" i="34"/>
  <c r="AB5614" i="34"/>
  <c r="AC5614" i="34"/>
  <c r="AD5614" i="34"/>
  <c r="P5615" i="34"/>
  <c r="T5615" i="34"/>
  <c r="U5615" i="34"/>
  <c r="V5615" i="34"/>
  <c r="W5615" i="34"/>
  <c r="Y5615" i="34"/>
  <c r="AB5615" i="34"/>
  <c r="AC5615" i="34"/>
  <c r="AD5615" i="34"/>
  <c r="P5616" i="34"/>
  <c r="T5616" i="34"/>
  <c r="U5616" i="34"/>
  <c r="V5616" i="34"/>
  <c r="W5616" i="34"/>
  <c r="Y5616" i="34"/>
  <c r="AB5616" i="34"/>
  <c r="AC5616" i="34"/>
  <c r="AD5616" i="34"/>
  <c r="P5617" i="34"/>
  <c r="T5617" i="34"/>
  <c r="U5617" i="34"/>
  <c r="V5617" i="34"/>
  <c r="W5617" i="34"/>
  <c r="Y5617" i="34"/>
  <c r="AB5617" i="34"/>
  <c r="AC5617" i="34"/>
  <c r="AD5617" i="34"/>
  <c r="P5618" i="34"/>
  <c r="T5618" i="34"/>
  <c r="U5618" i="34"/>
  <c r="V5618" i="34"/>
  <c r="W5618" i="34"/>
  <c r="Y5618" i="34"/>
  <c r="AB5618" i="34"/>
  <c r="AC5618" i="34"/>
  <c r="AD5618" i="34"/>
  <c r="P5619" i="34"/>
  <c r="T5619" i="34"/>
  <c r="U5619" i="34"/>
  <c r="V5619" i="34"/>
  <c r="W5619" i="34"/>
  <c r="Y5619" i="34"/>
  <c r="AB5619" i="34"/>
  <c r="AC5619" i="34"/>
  <c r="AD5619" i="34"/>
  <c r="P5620" i="34"/>
  <c r="T5620" i="34"/>
  <c r="U5620" i="34"/>
  <c r="V5620" i="34"/>
  <c r="W5620" i="34"/>
  <c r="Y5620" i="34"/>
  <c r="AB5620" i="34"/>
  <c r="AC5620" i="34"/>
  <c r="AD5620" i="34"/>
  <c r="P5621" i="34"/>
  <c r="T5621" i="34"/>
  <c r="U5621" i="34"/>
  <c r="V5621" i="34"/>
  <c r="W5621" i="34"/>
  <c r="Y5621" i="34"/>
  <c r="AB5621" i="34"/>
  <c r="AC5621" i="34"/>
  <c r="AD5621" i="34"/>
  <c r="P5622" i="34"/>
  <c r="T5622" i="34"/>
  <c r="U5622" i="34"/>
  <c r="V5622" i="34"/>
  <c r="W5622" i="34"/>
  <c r="Y5622" i="34"/>
  <c r="AB5622" i="34"/>
  <c r="AC5622" i="34"/>
  <c r="AD5622" i="34"/>
  <c r="P5628" i="34"/>
  <c r="T5628" i="34"/>
  <c r="U5628" i="34"/>
  <c r="V5628" i="34"/>
  <c r="W5628" i="34"/>
  <c r="Y5628" i="34"/>
  <c r="AB5628" i="34"/>
  <c r="AC5628" i="34"/>
  <c r="AD5628" i="34"/>
  <c r="P5629" i="34"/>
  <c r="T5629" i="34"/>
  <c r="U5629" i="34"/>
  <c r="V5629" i="34"/>
  <c r="W5629" i="34"/>
  <c r="Y5629" i="34"/>
  <c r="AB5629" i="34"/>
  <c r="AC5629" i="34"/>
  <c r="AD5629" i="34"/>
  <c r="P5630" i="34"/>
  <c r="T5630" i="34"/>
  <c r="U5630" i="34"/>
  <c r="V5630" i="34"/>
  <c r="W5630" i="34"/>
  <c r="Y5630" i="34"/>
  <c r="AB5630" i="34"/>
  <c r="AC5630" i="34"/>
  <c r="AD5630" i="34"/>
  <c r="P5631" i="34"/>
  <c r="T5631" i="34"/>
  <c r="U5631" i="34"/>
  <c r="V5631" i="34"/>
  <c r="W5631" i="34"/>
  <c r="Y5631" i="34"/>
  <c r="AB5631" i="34"/>
  <c r="AC5631" i="34"/>
  <c r="AD5631" i="34"/>
  <c r="P5632" i="34"/>
  <c r="T5632" i="34"/>
  <c r="U5632" i="34"/>
  <c r="V5632" i="34"/>
  <c r="W5632" i="34"/>
  <c r="Y5632" i="34"/>
  <c r="AB5632" i="34"/>
  <c r="AC5632" i="34"/>
  <c r="AD5632" i="34"/>
  <c r="P5635" i="34"/>
  <c r="T5635" i="34"/>
  <c r="U5635" i="34"/>
  <c r="V5635" i="34"/>
  <c r="W5635" i="34"/>
  <c r="Y5635" i="34"/>
  <c r="AB5635" i="34"/>
  <c r="AC5635" i="34"/>
  <c r="AD5635" i="34"/>
  <c r="P5636" i="34"/>
  <c r="T5636" i="34"/>
  <c r="U5636" i="34"/>
  <c r="V5636" i="34"/>
  <c r="W5636" i="34"/>
  <c r="Y5636" i="34"/>
  <c r="AB5636" i="34"/>
  <c r="AC5636" i="34"/>
  <c r="AD5636" i="34"/>
  <c r="P5644" i="34"/>
  <c r="T5644" i="34"/>
  <c r="U5644" i="34"/>
  <c r="V5644" i="34"/>
  <c r="W5644" i="34"/>
  <c r="Y5644" i="34"/>
  <c r="AB5644" i="34"/>
  <c r="AC5644" i="34"/>
  <c r="AD5644" i="34"/>
  <c r="P5645" i="34"/>
  <c r="T5645" i="34"/>
  <c r="U5645" i="34"/>
  <c r="V5645" i="34"/>
  <c r="W5645" i="34"/>
  <c r="Y5645" i="34"/>
  <c r="AB5645" i="34"/>
  <c r="AC5645" i="34"/>
  <c r="AD5645" i="34"/>
  <c r="P5646" i="34"/>
  <c r="T5646" i="34"/>
  <c r="U5646" i="34"/>
  <c r="V5646" i="34"/>
  <c r="W5646" i="34"/>
  <c r="Y5646" i="34"/>
  <c r="AB5646" i="34"/>
  <c r="AC5646" i="34"/>
  <c r="AD5646" i="34"/>
  <c r="P5689" i="34"/>
  <c r="T5689" i="34"/>
  <c r="U5689" i="34"/>
  <c r="V5689" i="34"/>
  <c r="W5689" i="34"/>
  <c r="Y5689" i="34"/>
  <c r="AB5689" i="34"/>
  <c r="AC5689" i="34"/>
  <c r="AD5689" i="34"/>
  <c r="P5690" i="34"/>
  <c r="T5690" i="34"/>
  <c r="U5690" i="34"/>
  <c r="V5690" i="34"/>
  <c r="W5690" i="34"/>
  <c r="Y5690" i="34"/>
  <c r="AB5690" i="34"/>
  <c r="AC5690" i="34"/>
  <c r="AD5690" i="34"/>
  <c r="P5712" i="34"/>
  <c r="T5712" i="34"/>
  <c r="U5712" i="34"/>
  <c r="V5712" i="34"/>
  <c r="W5712" i="34"/>
  <c r="Y5712" i="34"/>
  <c r="AB5712" i="34"/>
  <c r="AC5712" i="34"/>
  <c r="AD5712" i="34"/>
  <c r="P2577" i="34"/>
  <c r="T2577" i="34"/>
  <c r="U2577" i="34"/>
  <c r="V2577" i="34"/>
  <c r="W2577" i="34"/>
  <c r="Y2577" i="34"/>
  <c r="AB2577" i="34"/>
  <c r="AC2577" i="34"/>
  <c r="AD2577" i="34"/>
  <c r="P2578" i="34"/>
  <c r="T2578" i="34"/>
  <c r="U2578" i="34"/>
  <c r="V2578" i="34"/>
  <c r="W2578" i="34"/>
  <c r="Y2578" i="34"/>
  <c r="AB2578" i="34"/>
  <c r="AC2578" i="34"/>
  <c r="AD2578" i="34"/>
  <c r="P2579" i="34"/>
  <c r="T2579" i="34"/>
  <c r="U2579" i="34"/>
  <c r="V2579" i="34"/>
  <c r="W2579" i="34"/>
  <c r="Y2579" i="34"/>
  <c r="AB2579" i="34"/>
  <c r="AC2579" i="34"/>
  <c r="AD2579" i="34"/>
  <c r="P2580" i="34"/>
  <c r="T2580" i="34"/>
  <c r="U2580" i="34"/>
  <c r="V2580" i="34"/>
  <c r="W2580" i="34"/>
  <c r="Y2580" i="34"/>
  <c r="AB2580" i="34"/>
  <c r="AC2580" i="34"/>
  <c r="AD2580" i="34"/>
  <c r="P2581" i="34"/>
  <c r="T2581" i="34"/>
  <c r="U2581" i="34"/>
  <c r="V2581" i="34"/>
  <c r="W2581" i="34"/>
  <c r="Y2581" i="34"/>
  <c r="AB2581" i="34"/>
  <c r="AC2581" i="34"/>
  <c r="AD2581" i="34"/>
  <c r="P2582" i="34"/>
  <c r="T2582" i="34"/>
  <c r="U2582" i="34"/>
  <c r="V2582" i="34"/>
  <c r="W2582" i="34"/>
  <c r="Y2582" i="34"/>
  <c r="AB2582" i="34"/>
  <c r="AC2582" i="34"/>
  <c r="AD2582" i="34"/>
  <c r="P2583" i="34"/>
  <c r="T2583" i="34"/>
  <c r="U2583" i="34"/>
  <c r="V2583" i="34"/>
  <c r="W2583" i="34"/>
  <c r="Y2583" i="34"/>
  <c r="AB2583" i="34"/>
  <c r="AC2583" i="34"/>
  <c r="AD2583" i="34"/>
  <c r="P2584" i="34"/>
  <c r="T2584" i="34"/>
  <c r="U2584" i="34"/>
  <c r="V2584" i="34"/>
  <c r="W2584" i="34"/>
  <c r="Y2584" i="34"/>
  <c r="AB2584" i="34"/>
  <c r="AC2584" i="34"/>
  <c r="AD2584" i="34"/>
  <c r="P2585" i="34"/>
  <c r="T2585" i="34"/>
  <c r="U2585" i="34"/>
  <c r="V2585" i="34"/>
  <c r="W2585" i="34"/>
  <c r="Y2585" i="34"/>
  <c r="AB2585" i="34"/>
  <c r="AC2585" i="34"/>
  <c r="AD2585" i="34"/>
  <c r="P2586" i="34"/>
  <c r="T2586" i="34"/>
  <c r="U2586" i="34"/>
  <c r="V2586" i="34"/>
  <c r="W2586" i="34"/>
  <c r="Y2586" i="34"/>
  <c r="AB2586" i="34"/>
  <c r="AC2586" i="34"/>
  <c r="AD2586" i="34"/>
  <c r="P2587" i="34"/>
  <c r="T2587" i="34"/>
  <c r="U2587" i="34"/>
  <c r="V2587" i="34"/>
  <c r="W2587" i="34"/>
  <c r="Y2587" i="34"/>
  <c r="AB2587" i="34"/>
  <c r="AC2587" i="34"/>
  <c r="AD2587" i="34"/>
  <c r="P2588" i="34"/>
  <c r="T2588" i="34"/>
  <c r="U2588" i="34"/>
  <c r="V2588" i="34"/>
  <c r="W2588" i="34"/>
  <c r="Y2588" i="34"/>
  <c r="AB2588" i="34"/>
  <c r="AC2588" i="34"/>
  <c r="AD2588" i="34"/>
  <c r="P2589" i="34"/>
  <c r="T2589" i="34"/>
  <c r="U2589" i="34"/>
  <c r="V2589" i="34"/>
  <c r="W2589" i="34"/>
  <c r="Y2589" i="34"/>
  <c r="AB2589" i="34"/>
  <c r="AC2589" i="34"/>
  <c r="AD2589" i="34"/>
  <c r="P2590" i="34"/>
  <c r="T2590" i="34"/>
  <c r="U2590" i="34"/>
  <c r="V2590" i="34"/>
  <c r="W2590" i="34"/>
  <c r="Y2590" i="34"/>
  <c r="AB2590" i="34"/>
  <c r="AC2590" i="34"/>
  <c r="AD2590" i="34"/>
  <c r="P2591" i="34"/>
  <c r="T2591" i="34"/>
  <c r="U2591" i="34"/>
  <c r="V2591" i="34"/>
  <c r="W2591" i="34"/>
  <c r="Y2591" i="34"/>
  <c r="AB2591" i="34"/>
  <c r="AC2591" i="34"/>
  <c r="AD2591" i="34"/>
  <c r="P2592" i="34"/>
  <c r="T2592" i="34"/>
  <c r="U2592" i="34"/>
  <c r="V2592" i="34"/>
  <c r="W2592" i="34"/>
  <c r="Y2592" i="34"/>
  <c r="AB2592" i="34"/>
  <c r="AC2592" i="34"/>
  <c r="AD2592" i="34"/>
  <c r="P2593" i="34"/>
  <c r="T2593" i="34"/>
  <c r="U2593" i="34"/>
  <c r="V2593" i="34"/>
  <c r="W2593" i="34"/>
  <c r="Y2593" i="34"/>
  <c r="AB2593" i="34"/>
  <c r="AC2593" i="34"/>
  <c r="AD2593" i="34"/>
  <c r="P2594" i="34"/>
  <c r="T2594" i="34"/>
  <c r="U2594" i="34"/>
  <c r="V2594" i="34"/>
  <c r="W2594" i="34"/>
  <c r="Y2594" i="34"/>
  <c r="AB2594" i="34"/>
  <c r="AC2594" i="34"/>
  <c r="AD2594" i="34"/>
  <c r="P2595" i="34"/>
  <c r="T2595" i="34"/>
  <c r="U2595" i="34"/>
  <c r="V2595" i="34"/>
  <c r="W2595" i="34"/>
  <c r="Y2595" i="34"/>
  <c r="AB2595" i="34"/>
  <c r="AC2595" i="34"/>
  <c r="AD2595" i="34"/>
  <c r="P2596" i="34"/>
  <c r="T2596" i="34"/>
  <c r="U2596" i="34"/>
  <c r="V2596" i="34"/>
  <c r="W2596" i="34"/>
  <c r="Y2596" i="34"/>
  <c r="AB2596" i="34"/>
  <c r="AC2596" i="34"/>
  <c r="AD2596" i="34"/>
  <c r="P2597" i="34"/>
  <c r="T2597" i="34"/>
  <c r="U2597" i="34"/>
  <c r="V2597" i="34"/>
  <c r="W2597" i="34"/>
  <c r="Y2597" i="34"/>
  <c r="AB2597" i="34"/>
  <c r="AC2597" i="34"/>
  <c r="AD2597" i="34"/>
  <c r="P2598" i="34"/>
  <c r="T2598" i="34"/>
  <c r="U2598" i="34"/>
  <c r="V2598" i="34"/>
  <c r="W2598" i="34"/>
  <c r="Y2598" i="34"/>
  <c r="AB2598" i="34"/>
  <c r="AC2598" i="34"/>
  <c r="AD2598" i="34"/>
  <c r="P2599" i="34"/>
  <c r="T2599" i="34"/>
  <c r="U2599" i="34"/>
  <c r="V2599" i="34"/>
  <c r="W2599" i="34"/>
  <c r="Y2599" i="34"/>
  <c r="AB2599" i="34"/>
  <c r="AC2599" i="34"/>
  <c r="AD2599" i="34"/>
  <c r="P2600" i="34"/>
  <c r="T2600" i="34"/>
  <c r="U2600" i="34"/>
  <c r="V2600" i="34"/>
  <c r="W2600" i="34"/>
  <c r="Y2600" i="34"/>
  <c r="AB2600" i="34"/>
  <c r="AC2600" i="34"/>
  <c r="AD2600" i="34"/>
  <c r="P2601" i="34"/>
  <c r="T2601" i="34"/>
  <c r="U2601" i="34"/>
  <c r="V2601" i="34"/>
  <c r="W2601" i="34"/>
  <c r="Y2601" i="34"/>
  <c r="AB2601" i="34"/>
  <c r="AC2601" i="34"/>
  <c r="AD2601" i="34"/>
  <c r="P2602" i="34"/>
  <c r="T2602" i="34"/>
  <c r="U2602" i="34"/>
  <c r="V2602" i="34"/>
  <c r="W2602" i="34"/>
  <c r="Y2602" i="34"/>
  <c r="AB2602" i="34"/>
  <c r="AC2602" i="34"/>
  <c r="AD2602" i="34"/>
  <c r="P2603" i="34"/>
  <c r="T2603" i="34"/>
  <c r="U2603" i="34"/>
  <c r="V2603" i="34"/>
  <c r="W2603" i="34"/>
  <c r="Y2603" i="34"/>
  <c r="AB2603" i="34"/>
  <c r="AC2603" i="34"/>
  <c r="AD2603" i="34"/>
  <c r="P2604" i="34"/>
  <c r="T2604" i="34"/>
  <c r="U2604" i="34"/>
  <c r="V2604" i="34"/>
  <c r="W2604" i="34"/>
  <c r="Y2604" i="34"/>
  <c r="AB2604" i="34"/>
  <c r="AC2604" i="34"/>
  <c r="AD2604" i="34"/>
  <c r="P2605" i="34"/>
  <c r="T2605" i="34"/>
  <c r="U2605" i="34"/>
  <c r="V2605" i="34"/>
  <c r="W2605" i="34"/>
  <c r="Y2605" i="34"/>
  <c r="AB2605" i="34"/>
  <c r="AC2605" i="34"/>
  <c r="AD2605" i="34"/>
  <c r="P2606" i="34"/>
  <c r="T2606" i="34"/>
  <c r="U2606" i="34"/>
  <c r="V2606" i="34"/>
  <c r="W2606" i="34"/>
  <c r="Y2606" i="34"/>
  <c r="AB2606" i="34"/>
  <c r="AC2606" i="34"/>
  <c r="AD2606" i="34"/>
  <c r="P2607" i="34"/>
  <c r="T2607" i="34"/>
  <c r="U2607" i="34"/>
  <c r="V2607" i="34"/>
  <c r="W2607" i="34"/>
  <c r="Y2607" i="34"/>
  <c r="AB2607" i="34"/>
  <c r="AC2607" i="34"/>
  <c r="AD2607" i="34"/>
  <c r="P2608" i="34"/>
  <c r="T2608" i="34"/>
  <c r="U2608" i="34"/>
  <c r="V2608" i="34"/>
  <c r="W2608" i="34"/>
  <c r="Y2608" i="34"/>
  <c r="AB2608" i="34"/>
  <c r="AC2608" i="34"/>
  <c r="AD2608" i="34"/>
  <c r="P2609" i="34"/>
  <c r="T2609" i="34"/>
  <c r="U2609" i="34"/>
  <c r="V2609" i="34"/>
  <c r="W2609" i="34"/>
  <c r="Y2609" i="34"/>
  <c r="AB2609" i="34"/>
  <c r="AC2609" i="34"/>
  <c r="AD2609" i="34"/>
  <c r="P2610" i="34"/>
  <c r="T2610" i="34"/>
  <c r="U2610" i="34"/>
  <c r="V2610" i="34"/>
  <c r="W2610" i="34"/>
  <c r="Y2610" i="34"/>
  <c r="AB2610" i="34"/>
  <c r="AC2610" i="34"/>
  <c r="AD2610" i="34"/>
  <c r="P2611" i="34"/>
  <c r="T2611" i="34"/>
  <c r="U2611" i="34"/>
  <c r="V2611" i="34"/>
  <c r="W2611" i="34"/>
  <c r="Y2611" i="34"/>
  <c r="AB2611" i="34"/>
  <c r="AC2611" i="34"/>
  <c r="AD2611" i="34"/>
  <c r="P2612" i="34"/>
  <c r="T2612" i="34"/>
  <c r="U2612" i="34"/>
  <c r="V2612" i="34"/>
  <c r="W2612" i="34"/>
  <c r="Y2612" i="34"/>
  <c r="AB2612" i="34"/>
  <c r="AC2612" i="34"/>
  <c r="AD2612" i="34"/>
  <c r="P2613" i="34"/>
  <c r="T2613" i="34"/>
  <c r="U2613" i="34"/>
  <c r="V2613" i="34"/>
  <c r="W2613" i="34"/>
  <c r="Y2613" i="34"/>
  <c r="AB2613" i="34"/>
  <c r="AC2613" i="34"/>
  <c r="AD2613" i="34"/>
  <c r="P2614" i="34"/>
  <c r="T2614" i="34"/>
  <c r="U2614" i="34"/>
  <c r="V2614" i="34"/>
  <c r="W2614" i="34"/>
  <c r="Y2614" i="34"/>
  <c r="AB2614" i="34"/>
  <c r="AC2614" i="34"/>
  <c r="AD2614" i="34"/>
  <c r="P2615" i="34"/>
  <c r="T2615" i="34"/>
  <c r="U2615" i="34"/>
  <c r="V2615" i="34"/>
  <c r="W2615" i="34"/>
  <c r="Y2615" i="34"/>
  <c r="AB2615" i="34"/>
  <c r="AC2615" i="34"/>
  <c r="AD2615" i="34"/>
  <c r="P2616" i="34"/>
  <c r="T2616" i="34"/>
  <c r="U2616" i="34"/>
  <c r="V2616" i="34"/>
  <c r="W2616" i="34"/>
  <c r="Y2616" i="34"/>
  <c r="AB2616" i="34"/>
  <c r="AC2616" i="34"/>
  <c r="AD2616" i="34"/>
  <c r="P2617" i="34"/>
  <c r="T2617" i="34"/>
  <c r="U2617" i="34"/>
  <c r="V2617" i="34"/>
  <c r="W2617" i="34"/>
  <c r="Y2617" i="34"/>
  <c r="AB2617" i="34"/>
  <c r="AC2617" i="34"/>
  <c r="AD2617" i="34"/>
  <c r="P2618" i="34"/>
  <c r="T2618" i="34"/>
  <c r="U2618" i="34"/>
  <c r="V2618" i="34"/>
  <c r="W2618" i="34"/>
  <c r="Y2618" i="34"/>
  <c r="AB2618" i="34"/>
  <c r="AC2618" i="34"/>
  <c r="AD2618" i="34"/>
  <c r="P2619" i="34"/>
  <c r="T2619" i="34"/>
  <c r="U2619" i="34"/>
  <c r="V2619" i="34"/>
  <c r="W2619" i="34"/>
  <c r="Y2619" i="34"/>
  <c r="AB2619" i="34"/>
  <c r="AC2619" i="34"/>
  <c r="AD2619" i="34"/>
  <c r="P2620" i="34"/>
  <c r="T2620" i="34"/>
  <c r="U2620" i="34"/>
  <c r="V2620" i="34"/>
  <c r="W2620" i="34"/>
  <c r="Y2620" i="34"/>
  <c r="AB2620" i="34"/>
  <c r="AC2620" i="34"/>
  <c r="AD2620" i="34"/>
  <c r="P2621" i="34"/>
  <c r="T2621" i="34"/>
  <c r="U2621" i="34"/>
  <c r="V2621" i="34"/>
  <c r="W2621" i="34"/>
  <c r="Y2621" i="34"/>
  <c r="AB2621" i="34"/>
  <c r="AC2621" i="34"/>
  <c r="AD2621" i="34"/>
  <c r="P2622" i="34"/>
  <c r="T2622" i="34"/>
  <c r="U2622" i="34"/>
  <c r="V2622" i="34"/>
  <c r="W2622" i="34"/>
  <c r="Y2622" i="34"/>
  <c r="AB2622" i="34"/>
  <c r="AC2622" i="34"/>
  <c r="AD2622" i="34"/>
  <c r="P2623" i="34"/>
  <c r="T2623" i="34"/>
  <c r="U2623" i="34"/>
  <c r="V2623" i="34"/>
  <c r="W2623" i="34"/>
  <c r="Y2623" i="34"/>
  <c r="AB2623" i="34"/>
  <c r="AC2623" i="34"/>
  <c r="AD2623" i="34"/>
  <c r="P2624" i="34"/>
  <c r="T2624" i="34"/>
  <c r="U2624" i="34"/>
  <c r="V2624" i="34"/>
  <c r="W2624" i="34"/>
  <c r="Y2624" i="34"/>
  <c r="AB2624" i="34"/>
  <c r="AC2624" i="34"/>
  <c r="AD2624" i="34"/>
  <c r="P2625" i="34"/>
  <c r="T2625" i="34"/>
  <c r="U2625" i="34"/>
  <c r="V2625" i="34"/>
  <c r="W2625" i="34"/>
  <c r="Y2625" i="34"/>
  <c r="AB2625" i="34"/>
  <c r="AC2625" i="34"/>
  <c r="AD2625" i="34"/>
  <c r="P2626" i="34"/>
  <c r="T2626" i="34"/>
  <c r="U2626" i="34"/>
  <c r="V2626" i="34"/>
  <c r="W2626" i="34"/>
  <c r="Y2626" i="34"/>
  <c r="AB2626" i="34"/>
  <c r="AC2626" i="34"/>
  <c r="AD2626" i="34"/>
  <c r="P2627" i="34"/>
  <c r="T2627" i="34"/>
  <c r="U2627" i="34"/>
  <c r="V2627" i="34"/>
  <c r="W2627" i="34"/>
  <c r="Y2627" i="34"/>
  <c r="AB2627" i="34"/>
  <c r="AC2627" i="34"/>
  <c r="AD2627" i="34"/>
  <c r="P2628" i="34"/>
  <c r="T2628" i="34"/>
  <c r="U2628" i="34"/>
  <c r="V2628" i="34"/>
  <c r="W2628" i="34"/>
  <c r="Y2628" i="34"/>
  <c r="AB2628" i="34"/>
  <c r="AC2628" i="34"/>
  <c r="AD2628" i="34"/>
  <c r="P2629" i="34"/>
  <c r="T2629" i="34"/>
  <c r="U2629" i="34"/>
  <c r="V2629" i="34"/>
  <c r="W2629" i="34"/>
  <c r="Y2629" i="34"/>
  <c r="AB2629" i="34"/>
  <c r="AC2629" i="34"/>
  <c r="AD2629" i="34"/>
  <c r="P2630" i="34"/>
  <c r="T2630" i="34"/>
  <c r="U2630" i="34"/>
  <c r="V2630" i="34"/>
  <c r="W2630" i="34"/>
  <c r="Y2630" i="34"/>
  <c r="AB2630" i="34"/>
  <c r="AC2630" i="34"/>
  <c r="AD2630" i="34"/>
  <c r="P2631" i="34"/>
  <c r="T2631" i="34"/>
  <c r="U2631" i="34"/>
  <c r="V2631" i="34"/>
  <c r="W2631" i="34"/>
  <c r="Y2631" i="34"/>
  <c r="AB2631" i="34"/>
  <c r="AC2631" i="34"/>
  <c r="AD2631" i="34"/>
  <c r="P2632" i="34"/>
  <c r="T2632" i="34"/>
  <c r="U2632" i="34"/>
  <c r="V2632" i="34"/>
  <c r="W2632" i="34"/>
  <c r="Y2632" i="34"/>
  <c r="AB2632" i="34"/>
  <c r="AC2632" i="34"/>
  <c r="AD2632" i="34"/>
  <c r="P2633" i="34"/>
  <c r="T2633" i="34"/>
  <c r="U2633" i="34"/>
  <c r="V2633" i="34"/>
  <c r="W2633" i="34"/>
  <c r="Y2633" i="34"/>
  <c r="AB2633" i="34"/>
  <c r="AC2633" i="34"/>
  <c r="AD2633" i="34"/>
  <c r="P2634" i="34"/>
  <c r="T2634" i="34"/>
  <c r="U2634" i="34"/>
  <c r="V2634" i="34"/>
  <c r="W2634" i="34"/>
  <c r="Y2634" i="34"/>
  <c r="AB2634" i="34"/>
  <c r="AC2634" i="34"/>
  <c r="AD2634" i="34"/>
  <c r="P2635" i="34"/>
  <c r="T2635" i="34"/>
  <c r="U2635" i="34"/>
  <c r="V2635" i="34"/>
  <c r="W2635" i="34"/>
  <c r="Y2635" i="34"/>
  <c r="AB2635" i="34"/>
  <c r="AC2635" i="34"/>
  <c r="AD2635" i="34"/>
  <c r="P2636" i="34"/>
  <c r="T2636" i="34"/>
  <c r="U2636" i="34"/>
  <c r="V2636" i="34"/>
  <c r="W2636" i="34"/>
  <c r="Y2636" i="34"/>
  <c r="AB2636" i="34"/>
  <c r="AC2636" i="34"/>
  <c r="AD2636" i="34"/>
  <c r="P2637" i="34"/>
  <c r="T2637" i="34"/>
  <c r="U2637" i="34"/>
  <c r="V2637" i="34"/>
  <c r="W2637" i="34"/>
  <c r="Y2637" i="34"/>
  <c r="AB2637" i="34"/>
  <c r="AC2637" i="34"/>
  <c r="AD2637" i="34"/>
  <c r="P2638" i="34"/>
  <c r="T2638" i="34"/>
  <c r="U2638" i="34"/>
  <c r="V2638" i="34"/>
  <c r="W2638" i="34"/>
  <c r="Y2638" i="34"/>
  <c r="AB2638" i="34"/>
  <c r="AC2638" i="34"/>
  <c r="AD2638" i="34"/>
  <c r="P2639" i="34"/>
  <c r="T2639" i="34"/>
  <c r="U2639" i="34"/>
  <c r="V2639" i="34"/>
  <c r="W2639" i="34"/>
  <c r="Y2639" i="34"/>
  <c r="AB2639" i="34"/>
  <c r="AC2639" i="34"/>
  <c r="AD2639" i="34"/>
  <c r="P2640" i="34"/>
  <c r="T2640" i="34"/>
  <c r="U2640" i="34"/>
  <c r="V2640" i="34"/>
  <c r="W2640" i="34"/>
  <c r="Y2640" i="34"/>
  <c r="AB2640" i="34"/>
  <c r="AC2640" i="34"/>
  <c r="AD2640" i="34"/>
  <c r="P2641" i="34"/>
  <c r="T2641" i="34"/>
  <c r="U2641" i="34"/>
  <c r="V2641" i="34"/>
  <c r="W2641" i="34"/>
  <c r="Y2641" i="34"/>
  <c r="AB2641" i="34"/>
  <c r="AC2641" i="34"/>
  <c r="AD2641" i="34"/>
  <c r="P2642" i="34"/>
  <c r="T2642" i="34"/>
  <c r="U2642" i="34"/>
  <c r="V2642" i="34"/>
  <c r="W2642" i="34"/>
  <c r="Y2642" i="34"/>
  <c r="AB2642" i="34"/>
  <c r="AC2642" i="34"/>
  <c r="AD2642" i="34"/>
  <c r="P2643" i="34"/>
  <c r="T2643" i="34"/>
  <c r="U2643" i="34"/>
  <c r="V2643" i="34"/>
  <c r="W2643" i="34"/>
  <c r="Y2643" i="34"/>
  <c r="AB2643" i="34"/>
  <c r="AC2643" i="34"/>
  <c r="AD2643" i="34"/>
  <c r="P2644" i="34"/>
  <c r="T2644" i="34"/>
  <c r="U2644" i="34"/>
  <c r="V2644" i="34"/>
  <c r="W2644" i="34"/>
  <c r="Y2644" i="34"/>
  <c r="AB2644" i="34"/>
  <c r="AC2644" i="34"/>
  <c r="AD2644" i="34"/>
  <c r="P2645" i="34"/>
  <c r="T2645" i="34"/>
  <c r="U2645" i="34"/>
  <c r="V2645" i="34"/>
  <c r="W2645" i="34"/>
  <c r="Y2645" i="34"/>
  <c r="AB2645" i="34"/>
  <c r="AC2645" i="34"/>
  <c r="AD2645" i="34"/>
  <c r="P2646" i="34"/>
  <c r="T2646" i="34"/>
  <c r="U2646" i="34"/>
  <c r="V2646" i="34"/>
  <c r="W2646" i="34"/>
  <c r="Y2646" i="34"/>
  <c r="AB2646" i="34"/>
  <c r="AC2646" i="34"/>
  <c r="AD2646" i="34"/>
  <c r="P2647" i="34"/>
  <c r="T2647" i="34"/>
  <c r="U2647" i="34"/>
  <c r="V2647" i="34"/>
  <c r="W2647" i="34"/>
  <c r="Y2647" i="34"/>
  <c r="AB2647" i="34"/>
  <c r="AC2647" i="34"/>
  <c r="AD2647" i="34"/>
  <c r="P2648" i="34"/>
  <c r="T2648" i="34"/>
  <c r="U2648" i="34"/>
  <c r="V2648" i="34"/>
  <c r="W2648" i="34"/>
  <c r="Y2648" i="34"/>
  <c r="AB2648" i="34"/>
  <c r="AC2648" i="34"/>
  <c r="AD2648" i="34"/>
  <c r="P2649" i="34"/>
  <c r="T2649" i="34"/>
  <c r="U2649" i="34"/>
  <c r="V2649" i="34"/>
  <c r="W2649" i="34"/>
  <c r="Y2649" i="34"/>
  <c r="AB2649" i="34"/>
  <c r="AC2649" i="34"/>
  <c r="AD2649" i="34"/>
  <c r="P2650" i="34"/>
  <c r="T2650" i="34"/>
  <c r="U2650" i="34"/>
  <c r="V2650" i="34"/>
  <c r="W2650" i="34"/>
  <c r="Y2650" i="34"/>
  <c r="AB2650" i="34"/>
  <c r="AC2650" i="34"/>
  <c r="AD2650" i="34"/>
  <c r="P3456" i="34"/>
  <c r="T3456" i="34"/>
  <c r="U3456" i="34"/>
  <c r="V3456" i="34"/>
  <c r="W3456" i="34"/>
  <c r="Y3456" i="34"/>
  <c r="AB3456" i="34"/>
  <c r="AC3456" i="34"/>
  <c r="AD3456" i="34"/>
  <c r="P3457" i="34"/>
  <c r="T3457" i="34"/>
  <c r="U3457" i="34"/>
  <c r="V3457" i="34"/>
  <c r="W3457" i="34"/>
  <c r="Y3457" i="34"/>
  <c r="AB3457" i="34"/>
  <c r="AC3457" i="34"/>
  <c r="AD3457" i="34"/>
  <c r="P3461" i="34"/>
  <c r="T3461" i="34"/>
  <c r="U3461" i="34"/>
  <c r="V3461" i="34"/>
  <c r="W3461" i="34"/>
  <c r="Y3461" i="34"/>
  <c r="AB3461" i="34"/>
  <c r="AC3461" i="34"/>
  <c r="AD3461" i="34"/>
  <c r="P3462" i="34"/>
  <c r="T3462" i="34"/>
  <c r="U3462" i="34"/>
  <c r="V3462" i="34"/>
  <c r="W3462" i="34"/>
  <c r="Y3462" i="34"/>
  <c r="AB3462" i="34"/>
  <c r="AC3462" i="34"/>
  <c r="AD3462" i="34"/>
  <c r="P3463" i="34"/>
  <c r="T3463" i="34"/>
  <c r="U3463" i="34"/>
  <c r="V3463" i="34"/>
  <c r="W3463" i="34"/>
  <c r="Y3463" i="34"/>
  <c r="AB3463" i="34"/>
  <c r="AC3463" i="34"/>
  <c r="AD3463" i="34"/>
  <c r="P3464" i="34"/>
  <c r="T3464" i="34"/>
  <c r="U3464" i="34"/>
  <c r="V3464" i="34"/>
  <c r="W3464" i="34"/>
  <c r="Y3464" i="34"/>
  <c r="AB3464" i="34"/>
  <c r="AC3464" i="34"/>
  <c r="AD3464" i="34"/>
  <c r="P3465" i="34"/>
  <c r="T3465" i="34"/>
  <c r="U3465" i="34"/>
  <c r="V3465" i="34"/>
  <c r="W3465" i="34"/>
  <c r="Y3465" i="34"/>
  <c r="AB3465" i="34"/>
  <c r="AC3465" i="34"/>
  <c r="AD3465" i="34"/>
  <c r="P3466" i="34"/>
  <c r="T3466" i="34"/>
  <c r="U3466" i="34"/>
  <c r="V3466" i="34"/>
  <c r="W3466" i="34"/>
  <c r="Y3466" i="34"/>
  <c r="AB3466" i="34"/>
  <c r="AC3466" i="34"/>
  <c r="AD3466" i="34"/>
  <c r="P3467" i="34"/>
  <c r="T3467" i="34"/>
  <c r="U3467" i="34"/>
  <c r="V3467" i="34"/>
  <c r="W3467" i="34"/>
  <c r="Y3467" i="34"/>
  <c r="AB3467" i="34"/>
  <c r="AC3467" i="34"/>
  <c r="AD3467" i="34"/>
  <c r="P3468" i="34"/>
  <c r="T3468" i="34"/>
  <c r="U3468" i="34"/>
  <c r="V3468" i="34"/>
  <c r="W3468" i="34"/>
  <c r="Y3468" i="34"/>
  <c r="AB3468" i="34"/>
  <c r="AC3468" i="34"/>
  <c r="AD3468" i="34"/>
  <c r="P3469" i="34"/>
  <c r="T3469" i="34"/>
  <c r="U3469" i="34"/>
  <c r="V3469" i="34"/>
  <c r="W3469" i="34"/>
  <c r="Y3469" i="34"/>
  <c r="AB3469" i="34"/>
  <c r="AC3469" i="34"/>
  <c r="AD3469" i="34"/>
  <c r="P3470" i="34"/>
  <c r="T3470" i="34"/>
  <c r="U3470" i="34"/>
  <c r="V3470" i="34"/>
  <c r="W3470" i="34"/>
  <c r="Y3470" i="34"/>
  <c r="AB3470" i="34"/>
  <c r="AC3470" i="34"/>
  <c r="AD3470" i="34"/>
  <c r="P3471" i="34"/>
  <c r="T3471" i="34"/>
  <c r="U3471" i="34"/>
  <c r="V3471" i="34"/>
  <c r="W3471" i="34"/>
  <c r="Y3471" i="34"/>
  <c r="AB3471" i="34"/>
  <c r="AC3471" i="34"/>
  <c r="AD3471" i="34"/>
  <c r="P3472" i="34"/>
  <c r="T3472" i="34"/>
  <c r="U3472" i="34"/>
  <c r="V3472" i="34"/>
  <c r="W3472" i="34"/>
  <c r="Y3472" i="34"/>
  <c r="AB3472" i="34"/>
  <c r="AC3472" i="34"/>
  <c r="AD3472" i="34"/>
  <c r="P3511" i="34"/>
  <c r="T3511" i="34"/>
  <c r="U3511" i="34"/>
  <c r="V3511" i="34"/>
  <c r="W3511" i="34"/>
  <c r="Y3511" i="34"/>
  <c r="AB3511" i="34"/>
  <c r="AC3511" i="34"/>
  <c r="AD3511" i="34"/>
  <c r="P3512" i="34"/>
  <c r="T3512" i="34"/>
  <c r="U3512" i="34"/>
  <c r="V3512" i="34"/>
  <c r="W3512" i="34"/>
  <c r="Y3512" i="34"/>
  <c r="AB3512" i="34"/>
  <c r="AC3512" i="34"/>
  <c r="AD3512" i="34"/>
  <c r="P3513" i="34"/>
  <c r="T3513" i="34"/>
  <c r="U3513" i="34"/>
  <c r="V3513" i="34"/>
  <c r="W3513" i="34"/>
  <c r="Y3513" i="34"/>
  <c r="AB3513" i="34"/>
  <c r="AC3513" i="34"/>
  <c r="AD3513" i="34"/>
  <c r="P3514" i="34"/>
  <c r="T3514" i="34"/>
  <c r="U3514" i="34"/>
  <c r="V3514" i="34"/>
  <c r="W3514" i="34"/>
  <c r="Y3514" i="34"/>
  <c r="AB3514" i="34"/>
  <c r="AC3514" i="34"/>
  <c r="AD3514" i="34"/>
  <c r="P3515" i="34"/>
  <c r="T3515" i="34"/>
  <c r="U3515" i="34"/>
  <c r="V3515" i="34"/>
  <c r="W3515" i="34"/>
  <c r="Y3515" i="34"/>
  <c r="AB3515" i="34"/>
  <c r="AC3515" i="34"/>
  <c r="AD3515" i="34"/>
  <c r="P3516" i="34"/>
  <c r="T3516" i="34"/>
  <c r="U3516" i="34"/>
  <c r="V3516" i="34"/>
  <c r="W3516" i="34"/>
  <c r="Y3516" i="34"/>
  <c r="AB3516" i="34"/>
  <c r="AC3516" i="34"/>
  <c r="AD3516" i="34"/>
  <c r="P3517" i="34"/>
  <c r="T3517" i="34"/>
  <c r="U3517" i="34"/>
  <c r="V3517" i="34"/>
  <c r="W3517" i="34"/>
  <c r="Y3517" i="34"/>
  <c r="AB3517" i="34"/>
  <c r="AC3517" i="34"/>
  <c r="AD3517" i="34"/>
  <c r="P3550" i="34"/>
  <c r="T3550" i="34"/>
  <c r="U3550" i="34"/>
  <c r="V3550" i="34"/>
  <c r="W3550" i="34"/>
  <c r="Y3550" i="34"/>
  <c r="AB3550" i="34"/>
  <c r="AC3550" i="34"/>
  <c r="AD3550" i="34"/>
  <c r="P3551" i="34"/>
  <c r="T3551" i="34"/>
  <c r="U3551" i="34"/>
  <c r="V3551" i="34"/>
  <c r="W3551" i="34"/>
  <c r="Y3551" i="34"/>
  <c r="AB3551" i="34"/>
  <c r="AC3551" i="34"/>
  <c r="AD3551" i="34"/>
  <c r="P3612" i="34"/>
  <c r="T3612" i="34"/>
  <c r="U3612" i="34"/>
  <c r="V3612" i="34"/>
  <c r="W3612" i="34"/>
  <c r="Y3612" i="34"/>
  <c r="AB3612" i="34"/>
  <c r="AC3612" i="34"/>
  <c r="AD3612" i="34"/>
  <c r="P3603" i="34"/>
  <c r="T3603" i="34"/>
  <c r="U3603" i="34"/>
  <c r="V3603" i="34"/>
  <c r="W3603" i="34"/>
  <c r="Y3603" i="34"/>
  <c r="AB3603" i="34"/>
  <c r="AC3603" i="34"/>
  <c r="AD3603" i="34"/>
  <c r="P3615" i="34"/>
  <c r="T3615" i="34"/>
  <c r="U3615" i="34"/>
  <c r="V3615" i="34"/>
  <c r="W3615" i="34"/>
  <c r="Y3615" i="34"/>
  <c r="AB3615" i="34"/>
  <c r="AC3615" i="34"/>
  <c r="AD3615" i="34"/>
  <c r="P3616" i="34"/>
  <c r="T3616" i="34"/>
  <c r="U3616" i="34"/>
  <c r="V3616" i="34"/>
  <c r="W3616" i="34"/>
  <c r="Y3616" i="34"/>
  <c r="AB3616" i="34"/>
  <c r="AC3616" i="34"/>
  <c r="AD3616" i="34"/>
  <c r="P3617" i="34"/>
  <c r="T3617" i="34"/>
  <c r="U3617" i="34"/>
  <c r="V3617" i="34"/>
  <c r="W3617" i="34"/>
  <c r="Y3617" i="34"/>
  <c r="AB3617" i="34"/>
  <c r="AC3617" i="34"/>
  <c r="AD3617" i="34"/>
  <c r="P3618" i="34"/>
  <c r="T3618" i="34"/>
  <c r="U3618" i="34"/>
  <c r="V3618" i="34"/>
  <c r="W3618" i="34"/>
  <c r="Y3618" i="34"/>
  <c r="AB3618" i="34"/>
  <c r="AC3618" i="34"/>
  <c r="AD3618" i="34"/>
  <c r="P3635" i="34"/>
  <c r="T3635" i="34"/>
  <c r="U3635" i="34"/>
  <c r="V3635" i="34"/>
  <c r="W3635" i="34"/>
  <c r="Y3635" i="34"/>
  <c r="AB3635" i="34"/>
  <c r="AC3635" i="34"/>
  <c r="AD3635" i="34"/>
  <c r="P3641" i="34"/>
  <c r="T3641" i="34"/>
  <c r="U3641" i="34"/>
  <c r="V3641" i="34"/>
  <c r="W3641" i="34"/>
  <c r="Y3641" i="34"/>
  <c r="AB3641" i="34"/>
  <c r="AC3641" i="34"/>
  <c r="AD3641" i="34"/>
  <c r="P3642" i="34"/>
  <c r="T3642" i="34"/>
  <c r="U3642" i="34"/>
  <c r="V3642" i="34"/>
  <c r="W3642" i="34"/>
  <c r="Y3642" i="34"/>
  <c r="AB3642" i="34"/>
  <c r="AC3642" i="34"/>
  <c r="AD3642" i="34"/>
  <c r="P3643" i="34"/>
  <c r="T3643" i="34"/>
  <c r="U3643" i="34"/>
  <c r="V3643" i="34"/>
  <c r="W3643" i="34"/>
  <c r="Y3643" i="34"/>
  <c r="AB3643" i="34"/>
  <c r="AC3643" i="34"/>
  <c r="AD3643" i="34"/>
  <c r="P3644" i="34"/>
  <c r="T3644" i="34"/>
  <c r="U3644" i="34"/>
  <c r="V3644" i="34"/>
  <c r="W3644" i="34"/>
  <c r="Y3644" i="34"/>
  <c r="AB3644" i="34"/>
  <c r="AC3644" i="34"/>
  <c r="AD3644" i="34"/>
  <c r="P3645" i="34"/>
  <c r="T3645" i="34"/>
  <c r="U3645" i="34"/>
  <c r="V3645" i="34"/>
  <c r="W3645" i="34"/>
  <c r="Y3645" i="34"/>
  <c r="AB3645" i="34"/>
  <c r="AC3645" i="34"/>
  <c r="AD3645" i="34"/>
  <c r="P3646" i="34"/>
  <c r="T3646" i="34"/>
  <c r="U3646" i="34"/>
  <c r="V3646" i="34"/>
  <c r="W3646" i="34"/>
  <c r="Y3646" i="34"/>
  <c r="AB3646" i="34"/>
  <c r="AC3646" i="34"/>
  <c r="AD3646" i="34"/>
  <c r="P3647" i="34"/>
  <c r="T3647" i="34"/>
  <c r="U3647" i="34"/>
  <c r="V3647" i="34"/>
  <c r="W3647" i="34"/>
  <c r="Y3647" i="34"/>
  <c r="AB3647" i="34"/>
  <c r="AC3647" i="34"/>
  <c r="AD3647" i="34"/>
  <c r="P3649" i="34"/>
  <c r="T3649" i="34"/>
  <c r="U3649" i="34"/>
  <c r="V3649" i="34"/>
  <c r="W3649" i="34"/>
  <c r="Y3649" i="34"/>
  <c r="AB3649" i="34"/>
  <c r="AC3649" i="34"/>
  <c r="AD3649" i="34"/>
  <c r="P3650" i="34"/>
  <c r="T3650" i="34"/>
  <c r="U3650" i="34"/>
  <c r="V3650" i="34"/>
  <c r="W3650" i="34"/>
  <c r="Y3650" i="34"/>
  <c r="AB3650" i="34"/>
  <c r="AC3650" i="34"/>
  <c r="AD3650" i="34"/>
  <c r="P3651" i="34"/>
  <c r="T3651" i="34"/>
  <c r="U3651" i="34"/>
  <c r="V3651" i="34"/>
  <c r="W3651" i="34"/>
  <c r="Y3651" i="34"/>
  <c r="AB3651" i="34"/>
  <c r="AC3651" i="34"/>
  <c r="AD3651" i="34"/>
  <c r="P3652" i="34"/>
  <c r="T3652" i="34"/>
  <c r="U3652" i="34"/>
  <c r="V3652" i="34"/>
  <c r="W3652" i="34"/>
  <c r="Y3652" i="34"/>
  <c r="AB3652" i="34"/>
  <c r="AC3652" i="34"/>
  <c r="AD3652" i="34"/>
  <c r="P3648" i="34"/>
  <c r="T3648" i="34"/>
  <c r="U3648" i="34"/>
  <c r="V3648" i="34"/>
  <c r="W3648" i="34"/>
  <c r="Y3648" i="34"/>
  <c r="AB3648" i="34"/>
  <c r="AC3648" i="34"/>
  <c r="AD3648" i="34"/>
  <c r="P3662" i="34"/>
  <c r="T3662" i="34"/>
  <c r="U3662" i="34"/>
  <c r="V3662" i="34"/>
  <c r="W3662" i="34"/>
  <c r="Y3662" i="34"/>
  <c r="AB3662" i="34"/>
  <c r="AC3662" i="34"/>
  <c r="AD3662" i="34"/>
  <c r="P3666" i="34"/>
  <c r="W3666" i="34"/>
  <c r="Y3666" i="34"/>
  <c r="AB3666" i="34"/>
  <c r="AC3666" i="34"/>
  <c r="AD3666" i="34"/>
  <c r="P3667" i="34"/>
  <c r="T3667" i="34"/>
  <c r="U3667" i="34"/>
  <c r="V3667" i="34"/>
  <c r="W3667" i="34"/>
  <c r="Y3667" i="34"/>
  <c r="AB3667" i="34"/>
  <c r="AC3667" i="34"/>
  <c r="AD3667" i="34"/>
  <c r="P3689" i="34"/>
  <c r="T3689" i="34"/>
  <c r="U3689" i="34"/>
  <c r="V3689" i="34"/>
  <c r="W3689" i="34"/>
  <c r="Y3689" i="34"/>
  <c r="AB3689" i="34"/>
  <c r="AC3689" i="34"/>
  <c r="AD3689" i="34"/>
  <c r="P3695" i="34"/>
  <c r="T3695" i="34"/>
  <c r="U3695" i="34"/>
  <c r="V3695" i="34"/>
  <c r="W3695" i="34"/>
  <c r="Y3695" i="34"/>
  <c r="AB3695" i="34"/>
  <c r="AC3695" i="34"/>
  <c r="AD3695" i="34"/>
  <c r="P3696" i="34"/>
  <c r="T3696" i="34"/>
  <c r="U3696" i="34"/>
  <c r="V3696" i="34"/>
  <c r="W3696" i="34"/>
  <c r="Y3696" i="34"/>
  <c r="AB3696" i="34"/>
  <c r="AC3696" i="34"/>
  <c r="AD3696" i="34"/>
  <c r="P3697" i="34"/>
  <c r="T3697" i="34"/>
  <c r="U3697" i="34"/>
  <c r="V3697" i="34"/>
  <c r="W3697" i="34"/>
  <c r="Y3697" i="34"/>
  <c r="AB3697" i="34"/>
  <c r="AC3697" i="34"/>
  <c r="AD3697" i="34"/>
  <c r="P3698" i="34"/>
  <c r="T3698" i="34"/>
  <c r="U3698" i="34"/>
  <c r="V3698" i="34"/>
  <c r="W3698" i="34"/>
  <c r="Y3698" i="34"/>
  <c r="AB3698" i="34"/>
  <c r="AC3698" i="34"/>
  <c r="AD3698" i="34"/>
  <c r="P3708" i="34"/>
  <c r="T3708" i="34"/>
  <c r="U3708" i="34"/>
  <c r="V3708" i="34"/>
  <c r="W3708" i="34"/>
  <c r="Y3708" i="34"/>
  <c r="AB3708" i="34"/>
  <c r="AC3708" i="34"/>
  <c r="AD3708" i="34"/>
  <c r="P3709" i="34"/>
  <c r="T3709" i="34"/>
  <c r="U3709" i="34"/>
  <c r="V3709" i="34"/>
  <c r="W3709" i="34"/>
  <c r="Y3709" i="34"/>
  <c r="AB3709" i="34"/>
  <c r="AC3709" i="34"/>
  <c r="AD3709" i="34"/>
  <c r="P3702" i="34"/>
  <c r="T3702" i="34"/>
  <c r="U3702" i="34"/>
  <c r="V3702" i="34"/>
  <c r="W3702" i="34"/>
  <c r="Y3702" i="34"/>
  <c r="AB3702" i="34"/>
  <c r="AC3702" i="34"/>
  <c r="AD3702" i="34"/>
  <c r="P3710" i="34"/>
  <c r="T3710" i="34"/>
  <c r="U3710" i="34"/>
  <c r="V3710" i="34"/>
  <c r="W3710" i="34"/>
  <c r="Y3710" i="34"/>
  <c r="AB3710" i="34"/>
  <c r="AC3710" i="34"/>
  <c r="AD3710" i="34"/>
  <c r="P3711" i="34"/>
  <c r="T3711" i="34"/>
  <c r="U3711" i="34"/>
  <c r="V3711" i="34"/>
  <c r="W3711" i="34"/>
  <c r="Y3711" i="34"/>
  <c r="AB3711" i="34"/>
  <c r="AC3711" i="34"/>
  <c r="AD3711" i="34"/>
  <c r="P3717" i="34"/>
  <c r="T3717" i="34"/>
  <c r="U3717" i="34"/>
  <c r="V3717" i="34"/>
  <c r="W3717" i="34"/>
  <c r="Y3717" i="34"/>
  <c r="AB3717" i="34"/>
  <c r="AC3717" i="34"/>
  <c r="AD3717" i="34"/>
  <c r="P3718" i="34"/>
  <c r="T3718" i="34"/>
  <c r="U3718" i="34"/>
  <c r="V3718" i="34"/>
  <c r="W3718" i="34"/>
  <c r="Y3718" i="34"/>
  <c r="AB3718" i="34"/>
  <c r="AC3718" i="34"/>
  <c r="AD3718" i="34"/>
  <c r="P3719" i="34"/>
  <c r="T3719" i="34"/>
  <c r="U3719" i="34"/>
  <c r="V3719" i="34"/>
  <c r="W3719" i="34"/>
  <c r="Y3719" i="34"/>
  <c r="AB3719" i="34"/>
  <c r="AC3719" i="34"/>
  <c r="AD3719" i="34"/>
  <c r="P3723" i="34"/>
  <c r="T3723" i="34"/>
  <c r="U3723" i="34"/>
  <c r="V3723" i="34"/>
  <c r="W3723" i="34"/>
  <c r="Y3723" i="34"/>
  <c r="AB3723" i="34"/>
  <c r="AC3723" i="34"/>
  <c r="AD3723" i="34"/>
  <c r="P3725" i="34"/>
  <c r="T3725" i="34"/>
  <c r="U3725" i="34"/>
  <c r="V3725" i="34"/>
  <c r="W3725" i="34"/>
  <c r="Y3725" i="34"/>
  <c r="AB3725" i="34"/>
  <c r="AC3725" i="34"/>
  <c r="AD3725" i="34"/>
  <c r="P3758" i="34"/>
  <c r="T3758" i="34"/>
  <c r="U3758" i="34"/>
  <c r="V3758" i="34"/>
  <c r="W3758" i="34"/>
  <c r="Y3758" i="34"/>
  <c r="AB3758" i="34"/>
  <c r="AC3758" i="34"/>
  <c r="AD3758" i="34"/>
  <c r="P3759" i="34"/>
  <c r="T3759" i="34"/>
  <c r="U3759" i="34"/>
  <c r="V3759" i="34"/>
  <c r="W3759" i="34"/>
  <c r="Y3759" i="34"/>
  <c r="AB3759" i="34"/>
  <c r="AC3759" i="34"/>
  <c r="AD3759" i="34"/>
  <c r="P3760" i="34"/>
  <c r="T3760" i="34"/>
  <c r="U3760" i="34"/>
  <c r="V3760" i="34"/>
  <c r="W3760" i="34"/>
  <c r="Y3760" i="34"/>
  <c r="AB3760" i="34"/>
  <c r="AC3760" i="34"/>
  <c r="AD3760" i="34"/>
  <c r="P3761" i="34"/>
  <c r="T3761" i="34"/>
  <c r="U3761" i="34"/>
  <c r="V3761" i="34"/>
  <c r="W3761" i="34"/>
  <c r="Y3761" i="34"/>
  <c r="AB3761" i="34"/>
  <c r="AC3761" i="34"/>
  <c r="AD3761" i="34"/>
  <c r="P3762" i="34"/>
  <c r="T3762" i="34"/>
  <c r="U3762" i="34"/>
  <c r="V3762" i="34"/>
  <c r="W3762" i="34"/>
  <c r="Y3762" i="34"/>
  <c r="AB3762" i="34"/>
  <c r="AC3762" i="34"/>
  <c r="AD3762" i="34"/>
  <c r="P3763" i="34"/>
  <c r="T3763" i="34"/>
  <c r="U3763" i="34"/>
  <c r="V3763" i="34"/>
  <c r="W3763" i="34"/>
  <c r="Y3763" i="34"/>
  <c r="AB3763" i="34"/>
  <c r="AC3763" i="34"/>
  <c r="AD3763" i="34"/>
  <c r="P3764" i="34"/>
  <c r="T3764" i="34"/>
  <c r="U3764" i="34"/>
  <c r="V3764" i="34"/>
  <c r="W3764" i="34"/>
  <c r="Y3764" i="34"/>
  <c r="AB3764" i="34"/>
  <c r="AC3764" i="34"/>
  <c r="AD3764" i="34"/>
  <c r="P3765" i="34"/>
  <c r="T3765" i="34"/>
  <c r="U3765" i="34"/>
  <c r="V3765" i="34"/>
  <c r="W3765" i="34"/>
  <c r="Y3765" i="34"/>
  <c r="AB3765" i="34"/>
  <c r="AC3765" i="34"/>
  <c r="AD3765" i="34"/>
  <c r="P3766" i="34"/>
  <c r="T3766" i="34"/>
  <c r="U3766" i="34"/>
  <c r="V3766" i="34"/>
  <c r="W3766" i="34"/>
  <c r="Y3766" i="34"/>
  <c r="AB3766" i="34"/>
  <c r="AC3766" i="34"/>
  <c r="AD3766" i="34"/>
  <c r="P3767" i="34"/>
  <c r="T3767" i="34"/>
  <c r="U3767" i="34"/>
  <c r="V3767" i="34"/>
  <c r="W3767" i="34"/>
  <c r="Y3767" i="34"/>
  <c r="AB3767" i="34"/>
  <c r="AC3767" i="34"/>
  <c r="AD3767" i="34"/>
  <c r="P3768" i="34"/>
  <c r="T3768" i="34"/>
  <c r="U3768" i="34"/>
  <c r="V3768" i="34"/>
  <c r="W3768" i="34"/>
  <c r="Y3768" i="34"/>
  <c r="AB3768" i="34"/>
  <c r="AC3768" i="34"/>
  <c r="AD3768" i="34"/>
  <c r="P3769" i="34"/>
  <c r="T3769" i="34"/>
  <c r="U3769" i="34"/>
  <c r="V3769" i="34"/>
  <c r="W3769" i="34"/>
  <c r="Y3769" i="34"/>
  <c r="AB3769" i="34"/>
  <c r="AC3769" i="34"/>
  <c r="AD3769" i="34"/>
  <c r="P3770" i="34"/>
  <c r="T3770" i="34"/>
  <c r="U3770" i="34"/>
  <c r="V3770" i="34"/>
  <c r="W3770" i="34"/>
  <c r="Y3770" i="34"/>
  <c r="AB3770" i="34"/>
  <c r="AC3770" i="34"/>
  <c r="AD3770" i="34"/>
  <c r="P3771" i="34"/>
  <c r="T3771" i="34"/>
  <c r="U3771" i="34"/>
  <c r="V3771" i="34"/>
  <c r="W3771" i="34"/>
  <c r="Y3771" i="34"/>
  <c r="AB3771" i="34"/>
  <c r="AC3771" i="34"/>
  <c r="AD3771" i="34"/>
  <c r="P3772" i="34"/>
  <c r="T3772" i="34"/>
  <c r="U3772" i="34"/>
  <c r="V3772" i="34"/>
  <c r="W3772" i="34"/>
  <c r="Y3772" i="34"/>
  <c r="AB3772" i="34"/>
  <c r="AC3772" i="34"/>
  <c r="AD3772" i="34"/>
  <c r="P3773" i="34"/>
  <c r="T3773" i="34"/>
  <c r="U3773" i="34"/>
  <c r="V3773" i="34"/>
  <c r="W3773" i="34"/>
  <c r="Y3773" i="34"/>
  <c r="AB3773" i="34"/>
  <c r="AC3773" i="34"/>
  <c r="AD3773" i="34"/>
  <c r="P3774" i="34"/>
  <c r="T3774" i="34"/>
  <c r="U3774" i="34"/>
  <c r="V3774" i="34"/>
  <c r="W3774" i="34"/>
  <c r="Y3774" i="34"/>
  <c r="AB3774" i="34"/>
  <c r="AC3774" i="34"/>
  <c r="AD3774" i="34"/>
  <c r="P3775" i="34"/>
  <c r="T3775" i="34"/>
  <c r="U3775" i="34"/>
  <c r="V3775" i="34"/>
  <c r="W3775" i="34"/>
  <c r="Y3775" i="34"/>
  <c r="AB3775" i="34"/>
  <c r="AC3775" i="34"/>
  <c r="AD3775" i="34"/>
  <c r="P3776" i="34"/>
  <c r="T3776" i="34"/>
  <c r="U3776" i="34"/>
  <c r="V3776" i="34"/>
  <c r="W3776" i="34"/>
  <c r="Y3776" i="34"/>
  <c r="AB3776" i="34"/>
  <c r="AC3776" i="34"/>
  <c r="AD3776" i="34"/>
  <c r="P3777" i="34"/>
  <c r="T3777" i="34"/>
  <c r="U3777" i="34"/>
  <c r="V3777" i="34"/>
  <c r="W3777" i="34"/>
  <c r="Y3777" i="34"/>
  <c r="AB3777" i="34"/>
  <c r="AC3777" i="34"/>
  <c r="AD3777" i="34"/>
  <c r="P3778" i="34"/>
  <c r="T3778" i="34"/>
  <c r="U3778" i="34"/>
  <c r="V3778" i="34"/>
  <c r="W3778" i="34"/>
  <c r="Y3778" i="34"/>
  <c r="AB3778" i="34"/>
  <c r="AC3778" i="34"/>
  <c r="AD3778" i="34"/>
  <c r="P3789" i="34"/>
  <c r="T3789" i="34"/>
  <c r="U3789" i="34"/>
  <c r="V3789" i="34"/>
  <c r="W3789" i="34"/>
  <c r="Y3789" i="34"/>
  <c r="AB3789" i="34"/>
  <c r="AC3789" i="34"/>
  <c r="AD3789" i="34"/>
  <c r="P3790" i="34"/>
  <c r="T3790" i="34"/>
  <c r="U3790" i="34"/>
  <c r="V3790" i="34"/>
  <c r="W3790" i="34"/>
  <c r="Y3790" i="34"/>
  <c r="AB3790" i="34"/>
  <c r="AC3790" i="34"/>
  <c r="AD3790" i="34"/>
  <c r="P3791" i="34"/>
  <c r="T3791" i="34"/>
  <c r="U3791" i="34"/>
  <c r="V3791" i="34"/>
  <c r="W3791" i="34"/>
  <c r="Y3791" i="34"/>
  <c r="AB3791" i="34"/>
  <c r="AC3791" i="34"/>
  <c r="AD3791" i="34"/>
  <c r="P3800" i="34"/>
  <c r="T3800" i="34"/>
  <c r="U3800" i="34"/>
  <c r="V3800" i="34"/>
  <c r="W3800" i="34"/>
  <c r="Y3800" i="34"/>
  <c r="AB3800" i="34"/>
  <c r="AC3800" i="34"/>
  <c r="AD3800" i="34"/>
  <c r="P3801" i="34"/>
  <c r="T3801" i="34"/>
  <c r="U3801" i="34"/>
  <c r="V3801" i="34"/>
  <c r="W3801" i="34"/>
  <c r="Y3801" i="34"/>
  <c r="AB3801" i="34"/>
  <c r="AC3801" i="34"/>
  <c r="AD3801" i="34"/>
  <c r="P3802" i="34"/>
  <c r="T3802" i="34"/>
  <c r="U3802" i="34"/>
  <c r="V3802" i="34"/>
  <c r="W3802" i="34"/>
  <c r="Y3802" i="34"/>
  <c r="AB3802" i="34"/>
  <c r="AC3802" i="34"/>
  <c r="AD3802" i="34"/>
  <c r="P3803" i="34"/>
  <c r="T3803" i="34"/>
  <c r="U3803" i="34"/>
  <c r="V3803" i="34"/>
  <c r="W3803" i="34"/>
  <c r="Y3803" i="34"/>
  <c r="AB3803" i="34"/>
  <c r="AC3803" i="34"/>
  <c r="AD3803" i="34"/>
  <c r="P3815" i="34"/>
  <c r="T3815" i="34"/>
  <c r="U3815" i="34"/>
  <c r="V3815" i="34"/>
  <c r="W3815" i="34"/>
  <c r="Y3815" i="34"/>
  <c r="AB3815" i="34"/>
  <c r="AC3815" i="34"/>
  <c r="AD3815" i="34"/>
  <c r="P3824" i="34"/>
  <c r="T3824" i="34"/>
  <c r="U3824" i="34"/>
  <c r="V3824" i="34"/>
  <c r="W3824" i="34"/>
  <c r="Y3824" i="34"/>
  <c r="AB3824" i="34"/>
  <c r="AC3824" i="34"/>
  <c r="AD3824" i="34"/>
  <c r="P3833" i="34"/>
  <c r="T3833" i="34"/>
  <c r="U3833" i="34"/>
  <c r="V3833" i="34"/>
  <c r="W3833" i="34"/>
  <c r="Y3833" i="34"/>
  <c r="AB3833" i="34"/>
  <c r="AC3833" i="34"/>
  <c r="AD3833" i="34"/>
  <c r="P3834" i="34"/>
  <c r="T3834" i="34"/>
  <c r="U3834" i="34"/>
  <c r="V3834" i="34"/>
  <c r="W3834" i="34"/>
  <c r="Y3834" i="34"/>
  <c r="AB3834" i="34"/>
  <c r="AC3834" i="34"/>
  <c r="AD3834" i="34"/>
  <c r="P3835" i="34"/>
  <c r="T3835" i="34"/>
  <c r="U3835" i="34"/>
  <c r="V3835" i="34"/>
  <c r="W3835" i="34"/>
  <c r="Y3835" i="34"/>
  <c r="AB3835" i="34"/>
  <c r="AC3835" i="34"/>
  <c r="AD3835" i="34"/>
  <c r="P3844" i="34"/>
  <c r="T3844" i="34"/>
  <c r="U3844" i="34"/>
  <c r="V3844" i="34"/>
  <c r="W3844" i="34"/>
  <c r="Y3844" i="34"/>
  <c r="AB3844" i="34"/>
  <c r="AC3844" i="34"/>
  <c r="AD3844" i="34"/>
  <c r="P3845" i="34"/>
  <c r="T3845" i="34"/>
  <c r="U3845" i="34"/>
  <c r="V3845" i="34"/>
  <c r="W3845" i="34"/>
  <c r="Y3845" i="34"/>
  <c r="AB3845" i="34"/>
  <c r="AC3845" i="34"/>
  <c r="AD3845" i="34"/>
  <c r="P3878" i="34"/>
  <c r="T3878" i="34"/>
  <c r="U3878" i="34"/>
  <c r="V3878" i="34"/>
  <c r="W3878" i="34"/>
  <c r="Y3878" i="34"/>
  <c r="AB3878" i="34"/>
  <c r="AC3878" i="34"/>
  <c r="AD3878" i="34"/>
  <c r="P3922" i="34"/>
  <c r="T3922" i="34"/>
  <c r="U3922" i="34"/>
  <c r="V3922" i="34"/>
  <c r="W3922" i="34"/>
  <c r="Y3922" i="34"/>
  <c r="AB3922" i="34"/>
  <c r="AC3922" i="34"/>
  <c r="AD3922" i="34"/>
  <c r="P4038" i="34"/>
  <c r="T4038" i="34"/>
  <c r="U4038" i="34"/>
  <c r="V4038" i="34"/>
  <c r="W4038" i="34"/>
  <c r="Y4038" i="34"/>
  <c r="AB4038" i="34"/>
  <c r="AC4038" i="34"/>
  <c r="AD4038" i="34"/>
  <c r="P4039" i="34"/>
  <c r="T4039" i="34"/>
  <c r="U4039" i="34"/>
  <c r="V4039" i="34"/>
  <c r="W4039" i="34"/>
  <c r="Y4039" i="34"/>
  <c r="AB4039" i="34"/>
  <c r="AC4039" i="34"/>
  <c r="AD4039" i="34"/>
  <c r="P4040" i="34"/>
  <c r="T4040" i="34"/>
  <c r="U4040" i="34"/>
  <c r="V4040" i="34"/>
  <c r="W4040" i="34"/>
  <c r="Y4040" i="34"/>
  <c r="AB4040" i="34"/>
  <c r="AC4040" i="34"/>
  <c r="AD4040" i="34"/>
  <c r="P4058" i="34"/>
  <c r="T4058" i="34"/>
  <c r="U4058" i="34"/>
  <c r="V4058" i="34"/>
  <c r="W4058" i="34"/>
  <c r="Y4058" i="34"/>
  <c r="AB4058" i="34"/>
  <c r="AC4058" i="34"/>
  <c r="AD4058" i="34"/>
  <c r="P4059" i="34"/>
  <c r="T4059" i="34"/>
  <c r="U4059" i="34"/>
  <c r="V4059" i="34"/>
  <c r="W4059" i="34"/>
  <c r="Y4059" i="34"/>
  <c r="AB4059" i="34"/>
  <c r="AC4059" i="34"/>
  <c r="AD4059" i="34"/>
  <c r="P4060" i="34"/>
  <c r="T4060" i="34"/>
  <c r="U4060" i="34"/>
  <c r="V4060" i="34"/>
  <c r="W4060" i="34"/>
  <c r="Y4060" i="34"/>
  <c r="AB4060" i="34"/>
  <c r="AC4060" i="34"/>
  <c r="AD4060" i="34"/>
  <c r="P4061" i="34"/>
  <c r="T4061" i="34"/>
  <c r="U4061" i="34"/>
  <c r="V4061" i="34"/>
  <c r="W4061" i="34"/>
  <c r="Y4061" i="34"/>
  <c r="AB4061" i="34"/>
  <c r="AC4061" i="34"/>
  <c r="AD4061" i="34"/>
  <c r="P4081" i="34"/>
  <c r="T4081" i="34"/>
  <c r="U4081" i="34"/>
  <c r="V4081" i="34"/>
  <c r="W4081" i="34"/>
  <c r="Y4081" i="34"/>
  <c r="AB4081" i="34"/>
  <c r="AC4081" i="34"/>
  <c r="AD4081" i="34"/>
  <c r="P4106" i="34"/>
  <c r="T4106" i="34"/>
  <c r="U4106" i="34"/>
  <c r="V4106" i="34"/>
  <c r="W4106" i="34"/>
  <c r="Y4106" i="34"/>
  <c r="AB4106" i="34"/>
  <c r="AC4106" i="34"/>
  <c r="AD4106" i="34"/>
  <c r="P4115" i="34"/>
  <c r="T4115" i="34"/>
  <c r="U4115" i="34"/>
  <c r="V4115" i="34"/>
  <c r="W4115" i="34"/>
  <c r="Y4115" i="34"/>
  <c r="AB4115" i="34"/>
  <c r="AC4115" i="34"/>
  <c r="AD4115" i="34"/>
  <c r="P4116" i="34"/>
  <c r="T4116" i="34"/>
  <c r="U4116" i="34"/>
  <c r="V4116" i="34"/>
  <c r="W4116" i="34"/>
  <c r="Y4116" i="34"/>
  <c r="AB4116" i="34"/>
  <c r="AC4116" i="34"/>
  <c r="AD4116" i="34"/>
  <c r="P4117" i="34"/>
  <c r="T4117" i="34"/>
  <c r="U4117" i="34"/>
  <c r="V4117" i="34"/>
  <c r="W4117" i="34"/>
  <c r="Y4117" i="34"/>
  <c r="AB4117" i="34"/>
  <c r="AC4117" i="34"/>
  <c r="AD4117" i="34"/>
  <c r="P4118" i="34"/>
  <c r="T4118" i="34"/>
  <c r="U4118" i="34"/>
  <c r="V4118" i="34"/>
  <c r="W4118" i="34"/>
  <c r="Y4118" i="34"/>
  <c r="AB4118" i="34"/>
  <c r="AC4118" i="34"/>
  <c r="AD4118" i="34"/>
  <c r="P4119" i="34"/>
  <c r="T4119" i="34"/>
  <c r="U4119" i="34"/>
  <c r="V4119" i="34"/>
  <c r="W4119" i="34"/>
  <c r="Y4119" i="34"/>
  <c r="AB4119" i="34"/>
  <c r="AC4119" i="34"/>
  <c r="AD4119" i="34"/>
  <c r="P4120" i="34"/>
  <c r="T4120" i="34"/>
  <c r="U4120" i="34"/>
  <c r="V4120" i="34"/>
  <c r="W4120" i="34"/>
  <c r="Y4120" i="34"/>
  <c r="AB4120" i="34"/>
  <c r="AC4120" i="34"/>
  <c r="AD4120" i="34"/>
  <c r="P4121" i="34"/>
  <c r="T4121" i="34"/>
  <c r="U4121" i="34"/>
  <c r="V4121" i="34"/>
  <c r="W4121" i="34"/>
  <c r="Y4121" i="34"/>
  <c r="AB4121" i="34"/>
  <c r="AC4121" i="34"/>
  <c r="AD4121" i="34"/>
  <c r="P4122" i="34"/>
  <c r="T4122" i="34"/>
  <c r="U4122" i="34"/>
  <c r="V4122" i="34"/>
  <c r="W4122" i="34"/>
  <c r="Y4122" i="34"/>
  <c r="AB4122" i="34"/>
  <c r="AC4122" i="34"/>
  <c r="AD4122" i="34"/>
  <c r="P4123" i="34"/>
  <c r="T4123" i="34"/>
  <c r="U4123" i="34"/>
  <c r="V4123" i="34"/>
  <c r="W4123" i="34"/>
  <c r="Y4123" i="34"/>
  <c r="AB4123" i="34"/>
  <c r="AC4123" i="34"/>
  <c r="AD4123" i="34"/>
  <c r="P4124" i="34"/>
  <c r="T4124" i="34"/>
  <c r="U4124" i="34"/>
  <c r="V4124" i="34"/>
  <c r="W4124" i="34"/>
  <c r="Y4124" i="34"/>
  <c r="AB4124" i="34"/>
  <c r="AC4124" i="34"/>
  <c r="AD4124" i="34"/>
  <c r="P4125" i="34"/>
  <c r="T4125" i="34"/>
  <c r="U4125" i="34"/>
  <c r="V4125" i="34"/>
  <c r="W4125" i="34"/>
  <c r="Y4125" i="34"/>
  <c r="AB4125" i="34"/>
  <c r="AC4125" i="34"/>
  <c r="AD4125" i="34"/>
  <c r="P4126" i="34"/>
  <c r="T4126" i="34"/>
  <c r="U4126" i="34"/>
  <c r="V4126" i="34"/>
  <c r="W4126" i="34"/>
  <c r="Y4126" i="34"/>
  <c r="AB4126" i="34"/>
  <c r="AC4126" i="34"/>
  <c r="AD4126" i="34"/>
  <c r="P4127" i="34"/>
  <c r="T4127" i="34"/>
  <c r="U4127" i="34"/>
  <c r="V4127" i="34"/>
  <c r="W4127" i="34"/>
  <c r="Y4127" i="34"/>
  <c r="AB4127" i="34"/>
  <c r="AC4127" i="34"/>
  <c r="AD4127" i="34"/>
  <c r="P4128" i="34"/>
  <c r="T4128" i="34"/>
  <c r="U4128" i="34"/>
  <c r="V4128" i="34"/>
  <c r="W4128" i="34"/>
  <c r="Y4128" i="34"/>
  <c r="AB4128" i="34"/>
  <c r="AC4128" i="34"/>
  <c r="AD4128" i="34"/>
  <c r="P4222" i="34"/>
  <c r="T4222" i="34"/>
  <c r="U4222" i="34"/>
  <c r="V4222" i="34"/>
  <c r="W4222" i="34"/>
  <c r="Y4222" i="34"/>
  <c r="AB4222" i="34"/>
  <c r="AC4222" i="34"/>
  <c r="AD4222" i="34"/>
  <c r="P4229" i="34"/>
  <c r="T4229" i="34"/>
  <c r="U4229" i="34"/>
  <c r="V4229" i="34"/>
  <c r="W4229" i="34"/>
  <c r="Y4229" i="34"/>
  <c r="AB4229" i="34"/>
  <c r="AC4229" i="34"/>
  <c r="AD4229" i="34"/>
  <c r="P4230" i="34"/>
  <c r="T4230" i="34"/>
  <c r="U4230" i="34"/>
  <c r="V4230" i="34"/>
  <c r="W4230" i="34"/>
  <c r="Y4230" i="34"/>
  <c r="AB4230" i="34"/>
  <c r="AC4230" i="34"/>
  <c r="AD4230" i="34"/>
  <c r="P4231" i="34"/>
  <c r="T4231" i="34"/>
  <c r="U4231" i="34"/>
  <c r="V4231" i="34"/>
  <c r="W4231" i="34"/>
  <c r="Y4231" i="34"/>
  <c r="AB4231" i="34"/>
  <c r="AC4231" i="34"/>
  <c r="AD4231" i="34"/>
  <c r="P4245" i="34"/>
  <c r="T4245" i="34"/>
  <c r="U4245" i="34"/>
  <c r="V4245" i="34"/>
  <c r="W4245" i="34"/>
  <c r="Y4245" i="34"/>
  <c r="AB4245" i="34"/>
  <c r="AC4245" i="34"/>
  <c r="AD4245" i="34"/>
  <c r="P4248" i="34"/>
  <c r="T4248" i="34"/>
  <c r="U4248" i="34"/>
  <c r="V4248" i="34"/>
  <c r="W4248" i="34"/>
  <c r="Y4248" i="34"/>
  <c r="AB4248" i="34"/>
  <c r="AC4248" i="34"/>
  <c r="AD4248" i="34"/>
  <c r="P4253" i="34"/>
  <c r="T4253" i="34"/>
  <c r="U4253" i="34"/>
  <c r="V4253" i="34"/>
  <c r="W4253" i="34"/>
  <c r="Y4253" i="34"/>
  <c r="AB4253" i="34"/>
  <c r="AC4253" i="34"/>
  <c r="AD4253" i="34"/>
  <c r="P4254" i="34"/>
  <c r="T4254" i="34"/>
  <c r="U4254" i="34"/>
  <c r="V4254" i="34"/>
  <c r="W4254" i="34"/>
  <c r="Y4254" i="34"/>
  <c r="AB4254" i="34"/>
  <c r="AC4254" i="34"/>
  <c r="AD4254" i="34"/>
  <c r="P4255" i="34"/>
  <c r="T4255" i="34"/>
  <c r="U4255" i="34"/>
  <c r="V4255" i="34"/>
  <c r="W4255" i="34"/>
  <c r="Y4255" i="34"/>
  <c r="AB4255" i="34"/>
  <c r="AC4255" i="34"/>
  <c r="AD4255" i="34"/>
  <c r="P4256" i="34"/>
  <c r="T4256" i="34"/>
  <c r="U4256" i="34"/>
  <c r="V4256" i="34"/>
  <c r="W4256" i="34"/>
  <c r="Y4256" i="34"/>
  <c r="AB4256" i="34"/>
  <c r="AC4256" i="34"/>
  <c r="AD4256" i="34"/>
  <c r="P4263" i="34"/>
  <c r="T4263" i="34"/>
  <c r="U4263" i="34"/>
  <c r="V4263" i="34"/>
  <c r="W4263" i="34"/>
  <c r="Y4263" i="34"/>
  <c r="AB4263" i="34"/>
  <c r="AC4263" i="34"/>
  <c r="AD4263" i="34"/>
  <c r="P4264" i="34"/>
  <c r="T4264" i="34"/>
  <c r="U4264" i="34"/>
  <c r="V4264" i="34"/>
  <c r="W4264" i="34"/>
  <c r="Y4264" i="34"/>
  <c r="AB4264" i="34"/>
  <c r="AC4264" i="34"/>
  <c r="AD4264" i="34"/>
  <c r="P4265" i="34"/>
  <c r="T4265" i="34"/>
  <c r="U4265" i="34"/>
  <c r="V4265" i="34"/>
  <c r="W4265" i="34"/>
  <c r="Y4265" i="34"/>
  <c r="AB4265" i="34"/>
  <c r="AC4265" i="34"/>
  <c r="AD4265" i="34"/>
  <c r="P4266" i="34"/>
  <c r="T4266" i="34"/>
  <c r="U4266" i="34"/>
  <c r="V4266" i="34"/>
  <c r="W4266" i="34"/>
  <c r="Y4266" i="34"/>
  <c r="AB4266" i="34"/>
  <c r="AC4266" i="34"/>
  <c r="AD4266" i="34"/>
  <c r="P4272" i="34"/>
  <c r="T4272" i="34"/>
  <c r="U4272" i="34"/>
  <c r="V4272" i="34"/>
  <c r="W4272" i="34"/>
  <c r="Y4272" i="34"/>
  <c r="AB4272" i="34"/>
  <c r="AC4272" i="34"/>
  <c r="AD4272" i="34"/>
  <c r="P4273" i="34"/>
  <c r="T4273" i="34"/>
  <c r="U4273" i="34"/>
  <c r="V4273" i="34"/>
  <c r="W4273" i="34"/>
  <c r="Y4273" i="34"/>
  <c r="AB4273" i="34"/>
  <c r="AC4273" i="34"/>
  <c r="AD4273" i="34"/>
  <c r="P4274" i="34"/>
  <c r="T4274" i="34"/>
  <c r="U4274" i="34"/>
  <c r="V4274" i="34"/>
  <c r="W4274" i="34"/>
  <c r="Y4274" i="34"/>
  <c r="AB4274" i="34"/>
  <c r="AC4274" i="34"/>
  <c r="AD4274" i="34"/>
  <c r="P4275" i="34"/>
  <c r="T4275" i="34"/>
  <c r="U4275" i="34"/>
  <c r="V4275" i="34"/>
  <c r="W4275" i="34"/>
  <c r="Y4275" i="34"/>
  <c r="AB4275" i="34"/>
  <c r="AC4275" i="34"/>
  <c r="AD4275" i="34"/>
  <c r="P4276" i="34"/>
  <c r="T4276" i="34"/>
  <c r="U4276" i="34"/>
  <c r="V4276" i="34"/>
  <c r="W4276" i="34"/>
  <c r="Y4276" i="34"/>
  <c r="AB4276" i="34"/>
  <c r="AC4276" i="34"/>
  <c r="AD4276" i="34"/>
  <c r="P4277" i="34"/>
  <c r="T4277" i="34"/>
  <c r="U4277" i="34"/>
  <c r="V4277" i="34"/>
  <c r="W4277" i="34"/>
  <c r="Y4277" i="34"/>
  <c r="AB4277" i="34"/>
  <c r="AC4277" i="34"/>
  <c r="AD4277" i="34"/>
  <c r="P4298" i="34"/>
  <c r="T4298" i="34"/>
  <c r="U4298" i="34"/>
  <c r="V4298" i="34"/>
  <c r="W4298" i="34"/>
  <c r="Y4298" i="34"/>
  <c r="AB4298" i="34"/>
  <c r="AC4298" i="34"/>
  <c r="AD4298" i="34"/>
  <c r="P4299" i="34"/>
  <c r="T4299" i="34"/>
  <c r="U4299" i="34"/>
  <c r="V4299" i="34"/>
  <c r="W4299" i="34"/>
  <c r="Y4299" i="34"/>
  <c r="AB4299" i="34"/>
  <c r="AC4299" i="34"/>
  <c r="AD4299" i="34"/>
  <c r="P4300" i="34"/>
  <c r="T4300" i="34"/>
  <c r="U4300" i="34"/>
  <c r="V4300" i="34"/>
  <c r="W4300" i="34"/>
  <c r="Y4300" i="34"/>
  <c r="AB4300" i="34"/>
  <c r="AC4300" i="34"/>
  <c r="AD4300" i="34"/>
  <c r="P4301" i="34"/>
  <c r="T4301" i="34"/>
  <c r="U4301" i="34"/>
  <c r="V4301" i="34"/>
  <c r="W4301" i="34"/>
  <c r="Y4301" i="34"/>
  <c r="AB4301" i="34"/>
  <c r="AC4301" i="34"/>
  <c r="AD4301" i="34"/>
  <c r="P4304" i="34"/>
  <c r="T4304" i="34"/>
  <c r="U4304" i="34"/>
  <c r="V4304" i="34"/>
  <c r="W4304" i="34"/>
  <c r="Y4304" i="34"/>
  <c r="AB4304" i="34"/>
  <c r="AC4304" i="34"/>
  <c r="AD4304" i="34"/>
  <c r="P4305" i="34"/>
  <c r="T4305" i="34"/>
  <c r="U4305" i="34"/>
  <c r="V4305" i="34"/>
  <c r="W4305" i="34"/>
  <c r="Y4305" i="34"/>
  <c r="AB4305" i="34"/>
  <c r="AC4305" i="34"/>
  <c r="AD4305" i="34"/>
  <c r="P4306" i="34"/>
  <c r="T4306" i="34"/>
  <c r="U4306" i="34"/>
  <c r="V4306" i="34"/>
  <c r="W4306" i="34"/>
  <c r="Y4306" i="34"/>
  <c r="AB4306" i="34"/>
  <c r="AC4306" i="34"/>
  <c r="AD4306" i="34"/>
  <c r="P4307" i="34"/>
  <c r="T4307" i="34"/>
  <c r="U4307" i="34"/>
  <c r="V4307" i="34"/>
  <c r="W4307" i="34"/>
  <c r="Y4307" i="34"/>
  <c r="AB4307" i="34"/>
  <c r="AC4307" i="34"/>
  <c r="AD4307" i="34"/>
  <c r="P4319" i="34"/>
  <c r="T4319" i="34"/>
  <c r="U4319" i="34"/>
  <c r="V4319" i="34"/>
  <c r="W4319" i="34"/>
  <c r="Y4319" i="34"/>
  <c r="AB4319" i="34"/>
  <c r="AC4319" i="34"/>
  <c r="AD4319" i="34"/>
  <c r="P4320" i="34"/>
  <c r="T4320" i="34"/>
  <c r="U4320" i="34"/>
  <c r="V4320" i="34"/>
  <c r="W4320" i="34"/>
  <c r="Y4320" i="34"/>
  <c r="AB4320" i="34"/>
  <c r="AC4320" i="34"/>
  <c r="AD4320" i="34"/>
  <c r="P4321" i="34"/>
  <c r="T4321" i="34"/>
  <c r="U4321" i="34"/>
  <c r="V4321" i="34"/>
  <c r="W4321" i="34"/>
  <c r="Y4321" i="34"/>
  <c r="AB4321" i="34"/>
  <c r="AC4321" i="34"/>
  <c r="AD4321" i="34"/>
  <c r="P4322" i="34"/>
  <c r="T4322" i="34"/>
  <c r="U4322" i="34"/>
  <c r="V4322" i="34"/>
  <c r="W4322" i="34"/>
  <c r="Y4322" i="34"/>
  <c r="AB4322" i="34"/>
  <c r="AC4322" i="34"/>
  <c r="AD4322" i="34"/>
  <c r="P4323" i="34"/>
  <c r="T4323" i="34"/>
  <c r="U4323" i="34"/>
  <c r="V4323" i="34"/>
  <c r="W4323" i="34"/>
  <c r="Y4323" i="34"/>
  <c r="AB4323" i="34"/>
  <c r="AC4323" i="34"/>
  <c r="AD4323" i="34"/>
  <c r="P4337" i="34"/>
  <c r="T4337" i="34"/>
  <c r="U4337" i="34"/>
  <c r="V4337" i="34"/>
  <c r="W4337" i="34"/>
  <c r="Y4337" i="34"/>
  <c r="AB4337" i="34"/>
  <c r="AC4337" i="34"/>
  <c r="AD4337" i="34"/>
  <c r="P4338" i="34"/>
  <c r="T4338" i="34"/>
  <c r="U4338" i="34"/>
  <c r="V4338" i="34"/>
  <c r="W4338" i="34"/>
  <c r="Y4338" i="34"/>
  <c r="AB4338" i="34"/>
  <c r="AC4338" i="34"/>
  <c r="AD4338" i="34"/>
  <c r="P4339" i="34"/>
  <c r="T4339" i="34"/>
  <c r="U4339" i="34"/>
  <c r="V4339" i="34"/>
  <c r="W4339" i="34"/>
  <c r="Y4339" i="34"/>
  <c r="AB4339" i="34"/>
  <c r="AC4339" i="34"/>
  <c r="AD4339" i="34"/>
  <c r="P4340" i="34"/>
  <c r="T4340" i="34"/>
  <c r="U4340" i="34"/>
  <c r="V4340" i="34"/>
  <c r="W4340" i="34"/>
  <c r="Y4340" i="34"/>
  <c r="AB4340" i="34"/>
  <c r="AC4340" i="34"/>
  <c r="AD4340" i="34"/>
  <c r="P4341" i="34"/>
  <c r="T4341" i="34"/>
  <c r="U4341" i="34"/>
  <c r="V4341" i="34"/>
  <c r="W4341" i="34"/>
  <c r="Y4341" i="34"/>
  <c r="AB4341" i="34"/>
  <c r="AC4341" i="34"/>
  <c r="AD4341" i="34"/>
  <c r="P4342" i="34"/>
  <c r="T4342" i="34"/>
  <c r="U4342" i="34"/>
  <c r="V4342" i="34"/>
  <c r="W4342" i="34"/>
  <c r="Y4342" i="34"/>
  <c r="AB4342" i="34"/>
  <c r="AC4342" i="34"/>
  <c r="AD4342" i="34"/>
  <c r="P4343" i="34"/>
  <c r="T4343" i="34"/>
  <c r="U4343" i="34"/>
  <c r="V4343" i="34"/>
  <c r="W4343" i="34"/>
  <c r="Y4343" i="34"/>
  <c r="AB4343" i="34"/>
  <c r="AC4343" i="34"/>
  <c r="AD4343" i="34"/>
  <c r="P4344" i="34"/>
  <c r="T4344" i="34"/>
  <c r="U4344" i="34"/>
  <c r="V4344" i="34"/>
  <c r="W4344" i="34"/>
  <c r="Y4344" i="34"/>
  <c r="AB4344" i="34"/>
  <c r="AC4344" i="34"/>
  <c r="AD4344" i="34"/>
  <c r="P4345" i="34"/>
  <c r="T4345" i="34"/>
  <c r="U4345" i="34"/>
  <c r="V4345" i="34"/>
  <c r="W4345" i="34"/>
  <c r="Y4345" i="34"/>
  <c r="AB4345" i="34"/>
  <c r="AC4345" i="34"/>
  <c r="AD4345" i="34"/>
  <c r="P4346" i="34"/>
  <c r="T4346" i="34"/>
  <c r="U4346" i="34"/>
  <c r="V4346" i="34"/>
  <c r="W4346" i="34"/>
  <c r="Y4346" i="34"/>
  <c r="AB4346" i="34"/>
  <c r="AC4346" i="34"/>
  <c r="AD4346" i="34"/>
  <c r="P4347" i="34"/>
  <c r="T4347" i="34"/>
  <c r="U4347" i="34"/>
  <c r="V4347" i="34"/>
  <c r="W4347" i="34"/>
  <c r="Y4347" i="34"/>
  <c r="AB4347" i="34"/>
  <c r="AC4347" i="34"/>
  <c r="AD4347" i="34"/>
  <c r="P4348" i="34"/>
  <c r="T4348" i="34"/>
  <c r="U4348" i="34"/>
  <c r="V4348" i="34"/>
  <c r="W4348" i="34"/>
  <c r="Y4348" i="34"/>
  <c r="AB4348" i="34"/>
  <c r="AC4348" i="34"/>
  <c r="AD4348" i="34"/>
  <c r="P4376" i="34"/>
  <c r="T4376" i="34"/>
  <c r="U4376" i="34"/>
  <c r="V4376" i="34"/>
  <c r="W4376" i="34"/>
  <c r="Y4376" i="34"/>
  <c r="AB4376" i="34"/>
  <c r="AC4376" i="34"/>
  <c r="AD4376" i="34"/>
  <c r="P4377" i="34"/>
  <c r="T4377" i="34"/>
  <c r="U4377" i="34"/>
  <c r="V4377" i="34"/>
  <c r="W4377" i="34"/>
  <c r="Y4377" i="34"/>
  <c r="AB4377" i="34"/>
  <c r="AC4377" i="34"/>
  <c r="AD4377" i="34"/>
  <c r="P4378" i="34"/>
  <c r="T4378" i="34"/>
  <c r="U4378" i="34"/>
  <c r="V4378" i="34"/>
  <c r="W4378" i="34"/>
  <c r="Y4378" i="34"/>
  <c r="AB4378" i="34"/>
  <c r="AC4378" i="34"/>
  <c r="AD4378" i="34"/>
  <c r="P4385" i="34"/>
  <c r="T4385" i="34"/>
  <c r="U4385" i="34"/>
  <c r="V4385" i="34"/>
  <c r="W4385" i="34"/>
  <c r="Y4385" i="34"/>
  <c r="AB4385" i="34"/>
  <c r="AC4385" i="34"/>
  <c r="AD4385" i="34"/>
  <c r="P4395" i="34"/>
  <c r="T4395" i="34"/>
  <c r="U4395" i="34"/>
  <c r="V4395" i="34"/>
  <c r="W4395" i="34"/>
  <c r="Y4395" i="34"/>
  <c r="AB4395" i="34"/>
  <c r="AC4395" i="34"/>
  <c r="AD4395" i="34"/>
  <c r="P4396" i="34"/>
  <c r="T4396" i="34"/>
  <c r="U4396" i="34"/>
  <c r="V4396" i="34"/>
  <c r="W4396" i="34"/>
  <c r="Y4396" i="34"/>
  <c r="AB4396" i="34"/>
  <c r="AC4396" i="34"/>
  <c r="AD4396" i="34"/>
  <c r="P4397" i="34"/>
  <c r="T4397" i="34"/>
  <c r="U4397" i="34"/>
  <c r="V4397" i="34"/>
  <c r="W4397" i="34"/>
  <c r="Y4397" i="34"/>
  <c r="AB4397" i="34"/>
  <c r="AC4397" i="34"/>
  <c r="AD4397" i="34"/>
  <c r="P4406" i="34"/>
  <c r="T4406" i="34"/>
  <c r="U4406" i="34"/>
  <c r="V4406" i="34"/>
  <c r="W4406" i="34"/>
  <c r="Y4406" i="34"/>
  <c r="AB4406" i="34"/>
  <c r="AC4406" i="34"/>
  <c r="AD4406" i="34"/>
  <c r="P4407" i="34"/>
  <c r="T4407" i="34"/>
  <c r="U4407" i="34"/>
  <c r="V4407" i="34"/>
  <c r="W4407" i="34"/>
  <c r="Y4407" i="34"/>
  <c r="AB4407" i="34"/>
  <c r="AC4407" i="34"/>
  <c r="AD4407" i="34"/>
  <c r="P4641" i="34"/>
  <c r="T4641" i="34"/>
  <c r="U4641" i="34"/>
  <c r="V4641" i="34"/>
  <c r="W4641" i="34"/>
  <c r="Y4641" i="34"/>
  <c r="AB4641" i="34"/>
  <c r="AC4641" i="34"/>
  <c r="AD4641" i="34"/>
  <c r="P4650" i="34"/>
  <c r="T4650" i="34"/>
  <c r="U4650" i="34"/>
  <c r="V4650" i="34"/>
  <c r="W4650" i="34"/>
  <c r="Y4650" i="34"/>
  <c r="AB4650" i="34"/>
  <c r="AC4650" i="34"/>
  <c r="AD4650" i="34"/>
  <c r="P4669" i="34"/>
  <c r="T4669" i="34"/>
  <c r="U4669" i="34"/>
  <c r="V4669" i="34"/>
  <c r="W4669" i="34"/>
  <c r="Y4669" i="34"/>
  <c r="AB4669" i="34"/>
  <c r="AC4669" i="34"/>
  <c r="AD4669" i="34"/>
  <c r="P4692" i="34"/>
  <c r="T4692" i="34"/>
  <c r="U4692" i="34"/>
  <c r="V4692" i="34"/>
  <c r="W4692" i="34"/>
  <c r="Y4692" i="34"/>
  <c r="AB4692" i="34"/>
  <c r="AC4692" i="34"/>
  <c r="AD4692" i="34"/>
  <c r="P4693" i="34"/>
  <c r="T4693" i="34"/>
  <c r="U4693" i="34"/>
  <c r="V4693" i="34"/>
  <c r="W4693" i="34"/>
  <c r="Y4693" i="34"/>
  <c r="AB4693" i="34"/>
  <c r="AC4693" i="34"/>
  <c r="AD4693" i="34"/>
  <c r="P4694" i="34"/>
  <c r="T4694" i="34"/>
  <c r="U4694" i="34"/>
  <c r="V4694" i="34"/>
  <c r="W4694" i="34"/>
  <c r="Y4694" i="34"/>
  <c r="AB4694" i="34"/>
  <c r="AC4694" i="34"/>
  <c r="AD4694" i="34"/>
  <c r="P4695" i="34"/>
  <c r="T4695" i="34"/>
  <c r="U4695" i="34"/>
  <c r="V4695" i="34"/>
  <c r="W4695" i="34"/>
  <c r="Y4695" i="34"/>
  <c r="AB4695" i="34"/>
  <c r="AC4695" i="34"/>
  <c r="AD4695" i="34"/>
  <c r="P4733" i="34"/>
  <c r="T4733" i="34"/>
  <c r="U4733" i="34"/>
  <c r="V4733" i="34"/>
  <c r="W4733" i="34"/>
  <c r="Y4733" i="34"/>
  <c r="AB4733" i="34"/>
  <c r="AC4733" i="34"/>
  <c r="AD4733" i="34"/>
  <c r="P4734" i="34"/>
  <c r="T4734" i="34"/>
  <c r="U4734" i="34"/>
  <c r="V4734" i="34"/>
  <c r="W4734" i="34"/>
  <c r="Y4734" i="34"/>
  <c r="AB4734" i="34"/>
  <c r="AC4734" i="34"/>
  <c r="AD4734" i="34"/>
  <c r="P4735" i="34"/>
  <c r="T4735" i="34"/>
  <c r="U4735" i="34"/>
  <c r="V4735" i="34"/>
  <c r="W4735" i="34"/>
  <c r="Y4735" i="34"/>
  <c r="AB4735" i="34"/>
  <c r="AC4735" i="34"/>
  <c r="AD4735" i="34"/>
  <c r="P4786" i="34"/>
  <c r="T4786" i="34"/>
  <c r="U4786" i="34"/>
  <c r="V4786" i="34"/>
  <c r="W4786" i="34"/>
  <c r="Y4786" i="34"/>
  <c r="AB4786" i="34"/>
  <c r="AC4786" i="34"/>
  <c r="AD4786" i="34"/>
  <c r="P4810" i="34"/>
  <c r="T4810" i="34"/>
  <c r="U4810" i="34"/>
  <c r="V4810" i="34"/>
  <c r="W4810" i="34"/>
  <c r="Y4810" i="34"/>
  <c r="AB4810" i="34"/>
  <c r="AC4810" i="34"/>
  <c r="AD4810" i="34"/>
  <c r="P4812" i="34"/>
  <c r="T4812" i="34"/>
  <c r="U4812" i="34"/>
  <c r="V4812" i="34"/>
  <c r="W4812" i="34"/>
  <c r="Y4812" i="34"/>
  <c r="AB4812" i="34"/>
  <c r="AC4812" i="34"/>
  <c r="AD4812" i="34"/>
  <c r="P4813" i="34"/>
  <c r="T4813" i="34"/>
  <c r="U4813" i="34"/>
  <c r="V4813" i="34"/>
  <c r="W4813" i="34"/>
  <c r="Y4813" i="34"/>
  <c r="AB4813" i="34"/>
  <c r="AC4813" i="34"/>
  <c r="AD4813" i="34"/>
  <c r="P4814" i="34"/>
  <c r="T4814" i="34"/>
  <c r="U4814" i="34"/>
  <c r="V4814" i="34"/>
  <c r="W4814" i="34"/>
  <c r="Y4814" i="34"/>
  <c r="AB4814" i="34"/>
  <c r="AC4814" i="34"/>
  <c r="AD4814" i="34"/>
  <c r="P4815" i="34"/>
  <c r="T4815" i="34"/>
  <c r="U4815" i="34"/>
  <c r="V4815" i="34"/>
  <c r="W4815" i="34"/>
  <c r="Y4815" i="34"/>
  <c r="AB4815" i="34"/>
  <c r="AC4815" i="34"/>
  <c r="AD4815" i="34"/>
  <c r="P4816" i="34"/>
  <c r="T4816" i="34"/>
  <c r="U4816" i="34"/>
  <c r="V4816" i="34"/>
  <c r="W4816" i="34"/>
  <c r="Y4816" i="34"/>
  <c r="AB4816" i="34"/>
  <c r="AC4816" i="34"/>
  <c r="AD4816" i="34"/>
  <c r="P4817" i="34"/>
  <c r="T4817" i="34"/>
  <c r="U4817" i="34"/>
  <c r="V4817" i="34"/>
  <c r="W4817" i="34"/>
  <c r="Y4817" i="34"/>
  <c r="AB4817" i="34"/>
  <c r="AC4817" i="34"/>
  <c r="AD4817" i="34"/>
  <c r="P4818" i="34"/>
  <c r="T4818" i="34"/>
  <c r="U4818" i="34"/>
  <c r="V4818" i="34"/>
  <c r="W4818" i="34"/>
  <c r="Y4818" i="34"/>
  <c r="AB4818" i="34"/>
  <c r="AC4818" i="34"/>
  <c r="AD4818" i="34"/>
  <c r="P4819" i="34"/>
  <c r="T4819" i="34"/>
  <c r="U4819" i="34"/>
  <c r="V4819" i="34"/>
  <c r="W4819" i="34"/>
  <c r="Y4819" i="34"/>
  <c r="AB4819" i="34"/>
  <c r="AC4819" i="34"/>
  <c r="AD4819" i="34"/>
  <c r="P4820" i="34"/>
  <c r="T4820" i="34"/>
  <c r="U4820" i="34"/>
  <c r="V4820" i="34"/>
  <c r="W4820" i="34"/>
  <c r="Y4820" i="34"/>
  <c r="AB4820" i="34"/>
  <c r="AC4820" i="34"/>
  <c r="AD4820" i="34"/>
  <c r="P4821" i="34"/>
  <c r="T4821" i="34"/>
  <c r="U4821" i="34"/>
  <c r="V4821" i="34"/>
  <c r="W4821" i="34"/>
  <c r="Y4821" i="34"/>
  <c r="AB4821" i="34"/>
  <c r="AC4821" i="34"/>
  <c r="AD4821" i="34"/>
  <c r="P4873" i="34"/>
  <c r="T4873" i="34"/>
  <c r="U4873" i="34"/>
  <c r="V4873" i="34"/>
  <c r="W4873" i="34"/>
  <c r="Y4873" i="34"/>
  <c r="AB4873" i="34"/>
  <c r="AC4873" i="34"/>
  <c r="AD4873" i="34"/>
  <c r="P4878" i="34"/>
  <c r="T4878" i="34"/>
  <c r="U4878" i="34"/>
  <c r="V4878" i="34"/>
  <c r="W4878" i="34"/>
  <c r="Y4878" i="34"/>
  <c r="AB4878" i="34"/>
  <c r="AC4878" i="34"/>
  <c r="AD4878" i="34"/>
  <c r="P4879" i="34"/>
  <c r="T4879" i="34"/>
  <c r="U4879" i="34"/>
  <c r="V4879" i="34"/>
  <c r="W4879" i="34"/>
  <c r="Y4879" i="34"/>
  <c r="AB4879" i="34"/>
  <c r="AC4879" i="34"/>
  <c r="AD4879" i="34"/>
  <c r="P4880" i="34"/>
  <c r="T4880" i="34"/>
  <c r="U4880" i="34"/>
  <c r="V4880" i="34"/>
  <c r="W4880" i="34"/>
  <c r="Y4880" i="34"/>
  <c r="AB4880" i="34"/>
  <c r="AC4880" i="34"/>
  <c r="AD4880" i="34"/>
  <c r="P4881" i="34"/>
  <c r="T4881" i="34"/>
  <c r="U4881" i="34"/>
  <c r="V4881" i="34"/>
  <c r="W4881" i="34"/>
  <c r="Y4881" i="34"/>
  <c r="AB4881" i="34"/>
  <c r="AC4881" i="34"/>
  <c r="AD4881" i="34"/>
  <c r="P4882" i="34"/>
  <c r="T4882" i="34"/>
  <c r="U4882" i="34"/>
  <c r="V4882" i="34"/>
  <c r="W4882" i="34"/>
  <c r="Y4882" i="34"/>
  <c r="AB4882" i="34"/>
  <c r="AC4882" i="34"/>
  <c r="AD4882" i="34"/>
  <c r="P4883" i="34"/>
  <c r="T4883" i="34"/>
  <c r="U4883" i="34"/>
  <c r="V4883" i="34"/>
  <c r="W4883" i="34"/>
  <c r="Y4883" i="34"/>
  <c r="AB4883" i="34"/>
  <c r="AC4883" i="34"/>
  <c r="AD4883" i="34"/>
  <c r="P4884" i="34"/>
  <c r="T4884" i="34"/>
  <c r="U4884" i="34"/>
  <c r="V4884" i="34"/>
  <c r="W4884" i="34"/>
  <c r="Y4884" i="34"/>
  <c r="AB4884" i="34"/>
  <c r="AC4884" i="34"/>
  <c r="AD4884" i="34"/>
  <c r="P4893" i="34"/>
  <c r="T4893" i="34"/>
  <c r="U4893" i="34"/>
  <c r="V4893" i="34"/>
  <c r="W4893" i="34"/>
  <c r="Y4893" i="34"/>
  <c r="AB4893" i="34"/>
  <c r="AC4893" i="34"/>
  <c r="AD4893" i="34"/>
  <c r="P4894" i="34"/>
  <c r="T4894" i="34"/>
  <c r="U4894" i="34"/>
  <c r="V4894" i="34"/>
  <c r="W4894" i="34"/>
  <c r="Y4894" i="34"/>
  <c r="AB4894" i="34"/>
  <c r="AC4894" i="34"/>
  <c r="AD4894" i="34"/>
  <c r="P4895" i="34"/>
  <c r="T4895" i="34"/>
  <c r="U4895" i="34"/>
  <c r="V4895" i="34"/>
  <c r="W4895" i="34"/>
  <c r="Y4895" i="34"/>
  <c r="AB4895" i="34"/>
  <c r="AC4895" i="34"/>
  <c r="AD4895" i="34"/>
  <c r="P4896" i="34"/>
  <c r="T4896" i="34"/>
  <c r="U4896" i="34"/>
  <c r="V4896" i="34"/>
  <c r="W4896" i="34"/>
  <c r="Y4896" i="34"/>
  <c r="AB4896" i="34"/>
  <c r="AC4896" i="34"/>
  <c r="AD4896" i="34"/>
  <c r="P4908" i="34"/>
  <c r="T4908" i="34"/>
  <c r="U4908" i="34"/>
  <c r="V4908" i="34"/>
  <c r="W4908" i="34"/>
  <c r="Y4908" i="34"/>
  <c r="AB4908" i="34"/>
  <c r="AC4908" i="34"/>
  <c r="AD4908" i="34"/>
  <c r="P4909" i="34"/>
  <c r="T4909" i="34"/>
  <c r="U4909" i="34"/>
  <c r="V4909" i="34"/>
  <c r="W4909" i="34"/>
  <c r="Y4909" i="34"/>
  <c r="AB4909" i="34"/>
  <c r="AC4909" i="34"/>
  <c r="AD4909" i="34"/>
  <c r="P4910" i="34"/>
  <c r="T4910" i="34"/>
  <c r="U4910" i="34"/>
  <c r="V4910" i="34"/>
  <c r="W4910" i="34"/>
  <c r="Y4910" i="34"/>
  <c r="AB4910" i="34"/>
  <c r="AC4910" i="34"/>
  <c r="AD4910" i="34"/>
  <c r="P4911" i="34"/>
  <c r="T4911" i="34"/>
  <c r="U4911" i="34"/>
  <c r="V4911" i="34"/>
  <c r="W4911" i="34"/>
  <c r="Y4911" i="34"/>
  <c r="AB4911" i="34"/>
  <c r="AC4911" i="34"/>
  <c r="AD4911" i="34"/>
  <c r="P4912" i="34"/>
  <c r="T4912" i="34"/>
  <c r="U4912" i="34"/>
  <c r="V4912" i="34"/>
  <c r="W4912" i="34"/>
  <c r="Y4912" i="34"/>
  <c r="AB4912" i="34"/>
  <c r="AC4912" i="34"/>
  <c r="AD4912" i="34"/>
  <c r="P4913" i="34"/>
  <c r="T4913" i="34"/>
  <c r="U4913" i="34"/>
  <c r="V4913" i="34"/>
  <c r="W4913" i="34"/>
  <c r="Y4913" i="34"/>
  <c r="AB4913" i="34"/>
  <c r="AC4913" i="34"/>
  <c r="AD4913" i="34"/>
  <c r="P4914" i="34"/>
  <c r="T4914" i="34"/>
  <c r="U4914" i="34"/>
  <c r="V4914" i="34"/>
  <c r="W4914" i="34"/>
  <c r="Y4914" i="34"/>
  <c r="AB4914" i="34"/>
  <c r="AC4914" i="34"/>
  <c r="AD4914" i="34"/>
  <c r="P4915" i="34"/>
  <c r="T4915" i="34"/>
  <c r="U4915" i="34"/>
  <c r="V4915" i="34"/>
  <c r="W4915" i="34"/>
  <c r="Y4915" i="34"/>
  <c r="AB4915" i="34"/>
  <c r="AC4915" i="34"/>
  <c r="AD4915" i="34"/>
  <c r="P4916" i="34"/>
  <c r="T4916" i="34"/>
  <c r="U4916" i="34"/>
  <c r="V4916" i="34"/>
  <c r="W4916" i="34"/>
  <c r="Y4916" i="34"/>
  <c r="AB4916" i="34"/>
  <c r="AC4916" i="34"/>
  <c r="AD4916" i="34"/>
  <c r="P4917" i="34"/>
  <c r="T4917" i="34"/>
  <c r="U4917" i="34"/>
  <c r="V4917" i="34"/>
  <c r="W4917" i="34"/>
  <c r="Y4917" i="34"/>
  <c r="AB4917" i="34"/>
  <c r="AC4917" i="34"/>
  <c r="AD4917" i="34"/>
  <c r="P4918" i="34"/>
  <c r="T4918" i="34"/>
  <c r="U4918" i="34"/>
  <c r="V4918" i="34"/>
  <c r="W4918" i="34"/>
  <c r="Y4918" i="34"/>
  <c r="AB4918" i="34"/>
  <c r="AC4918" i="34"/>
  <c r="AD4918" i="34"/>
  <c r="P4919" i="34"/>
  <c r="T4919" i="34"/>
  <c r="U4919" i="34"/>
  <c r="V4919" i="34"/>
  <c r="W4919" i="34"/>
  <c r="Y4919" i="34"/>
  <c r="AB4919" i="34"/>
  <c r="AC4919" i="34"/>
  <c r="AD4919" i="34"/>
  <c r="P4920" i="34"/>
  <c r="T4920" i="34"/>
  <c r="U4920" i="34"/>
  <c r="V4920" i="34"/>
  <c r="W4920" i="34"/>
  <c r="Y4920" i="34"/>
  <c r="AB4920" i="34"/>
  <c r="AC4920" i="34"/>
  <c r="AD4920" i="34"/>
  <c r="P4944" i="34"/>
  <c r="T4944" i="34"/>
  <c r="U4944" i="34"/>
  <c r="V4944" i="34"/>
  <c r="W4944" i="34"/>
  <c r="Y4944" i="34"/>
  <c r="AB4944" i="34"/>
  <c r="AC4944" i="34"/>
  <c r="AD4944" i="34"/>
  <c r="P4955" i="34"/>
  <c r="T4955" i="34"/>
  <c r="U4955" i="34"/>
  <c r="V4955" i="34"/>
  <c r="W4955" i="34"/>
  <c r="Y4955" i="34"/>
  <c r="AB4955" i="34"/>
  <c r="AC4955" i="34"/>
  <c r="AD4955" i="34"/>
  <c r="P4956" i="34"/>
  <c r="T4956" i="34"/>
  <c r="U4956" i="34"/>
  <c r="V4956" i="34"/>
  <c r="W4956" i="34"/>
  <c r="Y4956" i="34"/>
  <c r="AB4956" i="34"/>
  <c r="AC4956" i="34"/>
  <c r="AD4956" i="34"/>
  <c r="P4957" i="34"/>
  <c r="T4957" i="34"/>
  <c r="U4957" i="34"/>
  <c r="V4957" i="34"/>
  <c r="W4957" i="34"/>
  <c r="Y4957" i="34"/>
  <c r="AB4957" i="34"/>
  <c r="AC4957" i="34"/>
  <c r="AD4957" i="34"/>
  <c r="P5070" i="34"/>
  <c r="T5070" i="34"/>
  <c r="U5070" i="34"/>
  <c r="V5070" i="34"/>
  <c r="W5070" i="34"/>
  <c r="Y5070" i="34"/>
  <c r="AB5070" i="34"/>
  <c r="AC5070" i="34"/>
  <c r="AD5070" i="34"/>
  <c r="P5095" i="34"/>
  <c r="T5095" i="34"/>
  <c r="U5095" i="34"/>
  <c r="V5095" i="34"/>
  <c r="W5095" i="34"/>
  <c r="Y5095" i="34"/>
  <c r="AB5095" i="34"/>
  <c r="AC5095" i="34"/>
  <c r="AD5095" i="34"/>
  <c r="P5100" i="34"/>
  <c r="T5100" i="34"/>
  <c r="U5100" i="34"/>
  <c r="V5100" i="34"/>
  <c r="W5100" i="34"/>
  <c r="Y5100" i="34"/>
  <c r="AB5100" i="34"/>
  <c r="AC5100" i="34"/>
  <c r="AD5100" i="34"/>
  <c r="P5105" i="34"/>
  <c r="T5105" i="34"/>
  <c r="U5105" i="34"/>
  <c r="V5105" i="34"/>
  <c r="W5105" i="34"/>
  <c r="Y5105" i="34"/>
  <c r="AB5105" i="34"/>
  <c r="AC5105" i="34"/>
  <c r="AD5105" i="34"/>
  <c r="P5106" i="34"/>
  <c r="T5106" i="34"/>
  <c r="U5106" i="34"/>
  <c r="V5106" i="34"/>
  <c r="W5106" i="34"/>
  <c r="Y5106" i="34"/>
  <c r="AB5106" i="34"/>
  <c r="AC5106" i="34"/>
  <c r="AD5106" i="34"/>
  <c r="P5107" i="34"/>
  <c r="T5107" i="34"/>
  <c r="U5107" i="34"/>
  <c r="V5107" i="34"/>
  <c r="W5107" i="34"/>
  <c r="Y5107" i="34"/>
  <c r="AB5107" i="34"/>
  <c r="AC5107" i="34"/>
  <c r="AD5107" i="34"/>
  <c r="P5108" i="34"/>
  <c r="T5108" i="34"/>
  <c r="U5108" i="34"/>
  <c r="V5108" i="34"/>
  <c r="W5108" i="34"/>
  <c r="Y5108" i="34"/>
  <c r="AB5108" i="34"/>
  <c r="AC5108" i="34"/>
  <c r="AD5108" i="34"/>
  <c r="P5111" i="34"/>
  <c r="W5111" i="34"/>
  <c r="Y5111" i="34"/>
  <c r="AB5111" i="34"/>
  <c r="AC5111" i="34"/>
  <c r="AD5111" i="34"/>
  <c r="P5112" i="34"/>
  <c r="T5112" i="34"/>
  <c r="U5112" i="34"/>
  <c r="V5112" i="34"/>
  <c r="W5112" i="34"/>
  <c r="Y5112" i="34"/>
  <c r="AB5112" i="34"/>
  <c r="AC5112" i="34"/>
  <c r="AD5112" i="34"/>
  <c r="P5113" i="34"/>
  <c r="T5113" i="34"/>
  <c r="U5113" i="34"/>
  <c r="V5113" i="34"/>
  <c r="W5113" i="34"/>
  <c r="Y5113" i="34"/>
  <c r="AB5113" i="34"/>
  <c r="AC5113" i="34"/>
  <c r="AD5113" i="34"/>
  <c r="P5114" i="34"/>
  <c r="T5114" i="34"/>
  <c r="U5114" i="34"/>
  <c r="V5114" i="34"/>
  <c r="W5114" i="34"/>
  <c r="Y5114" i="34"/>
  <c r="AB5114" i="34"/>
  <c r="AC5114" i="34"/>
  <c r="AD5114" i="34"/>
  <c r="P5203" i="34"/>
  <c r="T5203" i="34"/>
  <c r="U5203" i="34"/>
  <c r="V5203" i="34"/>
  <c r="W5203" i="34"/>
  <c r="Y5203" i="34"/>
  <c r="AB5203" i="34"/>
  <c r="AC5203" i="34"/>
  <c r="AD5203" i="34"/>
  <c r="P5204" i="34"/>
  <c r="T5204" i="34"/>
  <c r="U5204" i="34"/>
  <c r="V5204" i="34"/>
  <c r="W5204" i="34"/>
  <c r="Y5204" i="34"/>
  <c r="AB5204" i="34"/>
  <c r="AC5204" i="34"/>
  <c r="AD5204" i="34"/>
  <c r="P5246" i="34"/>
  <c r="T5246" i="34"/>
  <c r="U5246" i="34"/>
  <c r="V5246" i="34"/>
  <c r="W5246" i="34"/>
  <c r="Y5246" i="34"/>
  <c r="AB5246" i="34"/>
  <c r="AC5246" i="34"/>
  <c r="AD5246" i="34"/>
  <c r="P5232" i="34"/>
  <c r="T5232" i="34"/>
  <c r="U5232" i="34"/>
  <c r="V5232" i="34"/>
  <c r="W5232" i="34"/>
  <c r="Y5232" i="34"/>
  <c r="AB5232" i="34"/>
  <c r="AC5232" i="34"/>
  <c r="AD5232" i="34"/>
  <c r="P5233" i="34"/>
  <c r="T5233" i="34"/>
  <c r="U5233" i="34"/>
  <c r="V5233" i="34"/>
  <c r="W5233" i="34"/>
  <c r="Y5233" i="34"/>
  <c r="AB5233" i="34"/>
  <c r="AC5233" i="34"/>
  <c r="AD5233" i="34"/>
  <c r="P5238" i="34"/>
  <c r="T5238" i="34"/>
  <c r="U5238" i="34"/>
  <c r="V5238" i="34"/>
  <c r="W5238" i="34"/>
  <c r="Y5238" i="34"/>
  <c r="AB5238" i="34"/>
  <c r="AC5238" i="34"/>
  <c r="AD5238" i="34"/>
  <c r="P5239" i="34"/>
  <c r="T5239" i="34"/>
  <c r="U5239" i="34"/>
  <c r="V5239" i="34"/>
  <c r="W5239" i="34"/>
  <c r="Y5239" i="34"/>
  <c r="AB5239" i="34"/>
  <c r="AC5239" i="34"/>
  <c r="AD5239" i="34"/>
  <c r="P5240" i="34"/>
  <c r="T5240" i="34"/>
  <c r="U5240" i="34"/>
  <c r="V5240" i="34"/>
  <c r="W5240" i="34"/>
  <c r="Y5240" i="34"/>
  <c r="AB5240" i="34"/>
  <c r="AC5240" i="34"/>
  <c r="AD5240" i="34"/>
  <c r="P5241" i="34"/>
  <c r="T5241" i="34"/>
  <c r="U5241" i="34"/>
  <c r="V5241" i="34"/>
  <c r="W5241" i="34"/>
  <c r="Y5241" i="34"/>
  <c r="AB5241" i="34"/>
  <c r="AC5241" i="34"/>
  <c r="AD5241" i="34"/>
  <c r="P5242" i="34"/>
  <c r="T5242" i="34"/>
  <c r="U5242" i="34"/>
  <c r="V5242" i="34"/>
  <c r="W5242" i="34"/>
  <c r="Y5242" i="34"/>
  <c r="AB5242" i="34"/>
  <c r="AC5242" i="34"/>
  <c r="AD5242" i="34"/>
  <c r="P5294" i="34"/>
  <c r="T5294" i="34"/>
  <c r="U5294" i="34"/>
  <c r="V5294" i="34"/>
  <c r="W5294" i="34"/>
  <c r="Y5294" i="34"/>
  <c r="AB5294" i="34"/>
  <c r="AC5294" i="34"/>
  <c r="AD5294" i="34"/>
  <c r="P5303" i="34"/>
  <c r="T5303" i="34"/>
  <c r="U5303" i="34"/>
  <c r="V5303" i="34"/>
  <c r="W5303" i="34"/>
  <c r="Y5303" i="34"/>
  <c r="AB5303" i="34"/>
  <c r="AC5303" i="34"/>
  <c r="AD5303" i="34"/>
  <c r="P5304" i="34"/>
  <c r="T5304" i="34"/>
  <c r="U5304" i="34"/>
  <c r="V5304" i="34"/>
  <c r="W5304" i="34"/>
  <c r="Y5304" i="34"/>
  <c r="AB5304" i="34"/>
  <c r="AC5304" i="34"/>
  <c r="AD5304" i="34"/>
  <c r="P5342" i="34"/>
  <c r="T5342" i="34"/>
  <c r="U5342" i="34"/>
  <c r="V5342" i="34"/>
  <c r="W5342" i="34"/>
  <c r="Y5342" i="34"/>
  <c r="AB5342" i="34"/>
  <c r="AC5342" i="34"/>
  <c r="AD5342" i="34"/>
  <c r="P5345" i="34"/>
  <c r="T5345" i="34"/>
  <c r="U5345" i="34"/>
  <c r="V5345" i="34"/>
  <c r="W5345" i="34"/>
  <c r="Y5345" i="34"/>
  <c r="AB5345" i="34"/>
  <c r="AC5345" i="34"/>
  <c r="AD5345" i="34"/>
  <c r="P5347" i="34"/>
  <c r="T5347" i="34"/>
  <c r="U5347" i="34"/>
  <c r="V5347" i="34"/>
  <c r="W5347" i="34"/>
  <c r="Y5347" i="34"/>
  <c r="AB5347" i="34"/>
  <c r="AC5347" i="34"/>
  <c r="AD5347" i="34"/>
  <c r="P5348" i="34"/>
  <c r="T5348" i="34"/>
  <c r="U5348" i="34"/>
  <c r="V5348" i="34"/>
  <c r="W5348" i="34"/>
  <c r="Y5348" i="34"/>
  <c r="AB5348" i="34"/>
  <c r="AC5348" i="34"/>
  <c r="AD5348" i="34"/>
  <c r="P5349" i="34"/>
  <c r="T5349" i="34"/>
  <c r="U5349" i="34"/>
  <c r="V5349" i="34"/>
  <c r="W5349" i="34"/>
  <c r="Y5349" i="34"/>
  <c r="AB5349" i="34"/>
  <c r="AC5349" i="34"/>
  <c r="AD5349" i="34"/>
  <c r="P5350" i="34"/>
  <c r="T5350" i="34"/>
  <c r="U5350" i="34"/>
  <c r="V5350" i="34"/>
  <c r="W5350" i="34"/>
  <c r="Y5350" i="34"/>
  <c r="AB5350" i="34"/>
  <c r="AC5350" i="34"/>
  <c r="AD5350" i="34"/>
  <c r="P5351" i="34"/>
  <c r="T5351" i="34"/>
  <c r="U5351" i="34"/>
  <c r="V5351" i="34"/>
  <c r="W5351" i="34"/>
  <c r="Y5351" i="34"/>
  <c r="AB5351" i="34"/>
  <c r="AC5351" i="34"/>
  <c r="AD5351" i="34"/>
  <c r="P5352" i="34"/>
  <c r="T5352" i="34"/>
  <c r="U5352" i="34"/>
  <c r="V5352" i="34"/>
  <c r="W5352" i="34"/>
  <c r="Y5352" i="34"/>
  <c r="AB5352" i="34"/>
  <c r="AC5352" i="34"/>
  <c r="AD5352" i="34"/>
  <c r="P5353" i="34"/>
  <c r="T5353" i="34"/>
  <c r="U5353" i="34"/>
  <c r="V5353" i="34"/>
  <c r="W5353" i="34"/>
  <c r="Y5353" i="34"/>
  <c r="AB5353" i="34"/>
  <c r="AC5353" i="34"/>
  <c r="AD5353" i="34"/>
  <c r="P5354" i="34"/>
  <c r="T5354" i="34"/>
  <c r="U5354" i="34"/>
  <c r="V5354" i="34"/>
  <c r="W5354" i="34"/>
  <c r="Y5354" i="34"/>
  <c r="AB5354" i="34"/>
  <c r="AC5354" i="34"/>
  <c r="AD5354" i="34"/>
  <c r="P5355" i="34"/>
  <c r="T5355" i="34"/>
  <c r="U5355" i="34"/>
  <c r="V5355" i="34"/>
  <c r="W5355" i="34"/>
  <c r="Y5355" i="34"/>
  <c r="AB5355" i="34"/>
  <c r="AC5355" i="34"/>
  <c r="AD5355" i="34"/>
  <c r="P5356" i="34"/>
  <c r="T5356" i="34"/>
  <c r="U5356" i="34"/>
  <c r="V5356" i="34"/>
  <c r="W5356" i="34"/>
  <c r="Y5356" i="34"/>
  <c r="AB5356" i="34"/>
  <c r="AC5356" i="34"/>
  <c r="AD5356" i="34"/>
  <c r="P5357" i="34"/>
  <c r="T5357" i="34"/>
  <c r="U5357" i="34"/>
  <c r="V5357" i="34"/>
  <c r="W5357" i="34"/>
  <c r="Y5357" i="34"/>
  <c r="AB5357" i="34"/>
  <c r="AC5357" i="34"/>
  <c r="AD5357" i="34"/>
  <c r="P5358" i="34"/>
  <c r="T5358" i="34"/>
  <c r="U5358" i="34"/>
  <c r="V5358" i="34"/>
  <c r="W5358" i="34"/>
  <c r="Y5358" i="34"/>
  <c r="AB5358" i="34"/>
  <c r="AC5358" i="34"/>
  <c r="AD5358" i="34"/>
  <c r="P5375" i="34"/>
  <c r="T5375" i="34"/>
  <c r="U5375" i="34"/>
  <c r="V5375" i="34"/>
  <c r="W5375" i="34"/>
  <c r="Y5375" i="34"/>
  <c r="AB5375" i="34"/>
  <c r="AC5375" i="34"/>
  <c r="AD5375" i="34"/>
  <c r="P5387" i="34"/>
  <c r="T5387" i="34"/>
  <c r="U5387" i="34"/>
  <c r="V5387" i="34"/>
  <c r="W5387" i="34"/>
  <c r="Y5387" i="34"/>
  <c r="AB5387" i="34"/>
  <c r="AC5387" i="34"/>
  <c r="AD5387" i="34"/>
  <c r="P5388" i="34"/>
  <c r="T5388" i="34"/>
  <c r="U5388" i="34"/>
  <c r="V5388" i="34"/>
  <c r="W5388" i="34"/>
  <c r="Y5388" i="34"/>
  <c r="AB5388" i="34"/>
  <c r="AC5388" i="34"/>
  <c r="AD5388" i="34"/>
  <c r="P5389" i="34"/>
  <c r="T5389" i="34"/>
  <c r="U5389" i="34"/>
  <c r="V5389" i="34"/>
  <c r="W5389" i="34"/>
  <c r="Y5389" i="34"/>
  <c r="AB5389" i="34"/>
  <c r="AC5389" i="34"/>
  <c r="AD5389" i="34"/>
  <c r="P5390" i="34"/>
  <c r="T5390" i="34"/>
  <c r="U5390" i="34"/>
  <c r="V5390" i="34"/>
  <c r="W5390" i="34"/>
  <c r="Y5390" i="34"/>
  <c r="AB5390" i="34"/>
  <c r="AC5390" i="34"/>
  <c r="AD5390" i="34"/>
  <c r="P5441" i="34"/>
  <c r="T5441" i="34"/>
  <c r="U5441" i="34"/>
  <c r="V5441" i="34"/>
  <c r="W5441" i="34"/>
  <c r="Y5441" i="34"/>
  <c r="AB5441" i="34"/>
  <c r="AC5441" i="34"/>
  <c r="AD5441" i="34"/>
  <c r="P5452" i="34"/>
  <c r="T5452" i="34"/>
  <c r="U5452" i="34"/>
  <c r="V5452" i="34"/>
  <c r="W5452" i="34"/>
  <c r="Y5452" i="34"/>
  <c r="AB5452" i="34"/>
  <c r="AC5452" i="34"/>
  <c r="AD5452" i="34"/>
  <c r="P5453" i="34"/>
  <c r="T5453" i="34"/>
  <c r="U5453" i="34"/>
  <c r="V5453" i="34"/>
  <c r="W5453" i="34"/>
  <c r="Y5453" i="34"/>
  <c r="AB5453" i="34"/>
  <c r="AC5453" i="34"/>
  <c r="AD5453" i="34"/>
  <c r="P5454" i="34"/>
  <c r="T5454" i="34"/>
  <c r="U5454" i="34"/>
  <c r="V5454" i="34"/>
  <c r="W5454" i="34"/>
  <c r="Y5454" i="34"/>
  <c r="AB5454" i="34"/>
  <c r="AC5454" i="34"/>
  <c r="AD5454" i="34"/>
  <c r="P5471" i="34"/>
  <c r="T5471" i="34"/>
  <c r="U5471" i="34"/>
  <c r="V5471" i="34"/>
  <c r="W5471" i="34"/>
  <c r="Y5471" i="34"/>
  <c r="AB5471" i="34"/>
  <c r="AC5471" i="34"/>
  <c r="AD5471" i="34"/>
  <c r="P5496" i="34"/>
  <c r="T5496" i="34"/>
  <c r="U5496" i="34"/>
  <c r="V5496" i="34"/>
  <c r="W5496" i="34"/>
  <c r="Y5496" i="34"/>
  <c r="AB5496" i="34"/>
  <c r="AC5496" i="34"/>
  <c r="AD5496" i="34"/>
  <c r="P5497" i="34"/>
  <c r="T5497" i="34"/>
  <c r="U5497" i="34"/>
  <c r="V5497" i="34"/>
  <c r="W5497" i="34"/>
  <c r="Y5497" i="34"/>
  <c r="AB5497" i="34"/>
  <c r="AC5497" i="34"/>
  <c r="AD5497" i="34"/>
  <c r="P5498" i="34"/>
  <c r="T5498" i="34"/>
  <c r="U5498" i="34"/>
  <c r="V5498" i="34"/>
  <c r="W5498" i="34"/>
  <c r="Y5498" i="34"/>
  <c r="AB5498" i="34"/>
  <c r="AC5498" i="34"/>
  <c r="AD5498" i="34"/>
  <c r="P5499" i="34"/>
  <c r="T5499" i="34"/>
  <c r="U5499" i="34"/>
  <c r="V5499" i="34"/>
  <c r="W5499" i="34"/>
  <c r="Y5499" i="34"/>
  <c r="AB5499" i="34"/>
  <c r="AC5499" i="34"/>
  <c r="AD5499" i="34"/>
  <c r="P5500" i="34"/>
  <c r="T5500" i="34"/>
  <c r="U5500" i="34"/>
  <c r="V5500" i="34"/>
  <c r="W5500" i="34"/>
  <c r="Y5500" i="34"/>
  <c r="AB5500" i="34"/>
  <c r="AC5500" i="34"/>
  <c r="AD5500" i="34"/>
  <c r="P5501" i="34"/>
  <c r="T5501" i="34"/>
  <c r="U5501" i="34"/>
  <c r="V5501" i="34"/>
  <c r="W5501" i="34"/>
  <c r="Y5501" i="34"/>
  <c r="AB5501" i="34"/>
  <c r="AC5501" i="34"/>
  <c r="AD5501" i="34"/>
  <c r="P5502" i="34"/>
  <c r="T5502" i="34"/>
  <c r="U5502" i="34"/>
  <c r="V5502" i="34"/>
  <c r="W5502" i="34"/>
  <c r="Y5502" i="34"/>
  <c r="AB5502" i="34"/>
  <c r="AC5502" i="34"/>
  <c r="AD5502" i="34"/>
  <c r="P5503" i="34"/>
  <c r="T5503" i="34"/>
  <c r="U5503" i="34"/>
  <c r="V5503" i="34"/>
  <c r="W5503" i="34"/>
  <c r="Y5503" i="34"/>
  <c r="AB5503" i="34"/>
  <c r="AC5503" i="34"/>
  <c r="AD5503" i="34"/>
  <c r="P5514" i="34"/>
  <c r="T5514" i="34"/>
  <c r="U5514" i="34"/>
  <c r="V5514" i="34"/>
  <c r="W5514" i="34"/>
  <c r="Y5514" i="34"/>
  <c r="AB5514" i="34"/>
  <c r="AC5514" i="34"/>
  <c r="AD5514" i="34"/>
  <c r="P5523" i="34"/>
  <c r="T5523" i="34"/>
  <c r="U5523" i="34"/>
  <c r="V5523" i="34"/>
  <c r="W5523" i="34"/>
  <c r="Y5523" i="34"/>
  <c r="AB5523" i="34"/>
  <c r="AC5523" i="34"/>
  <c r="AD5523" i="34"/>
  <c r="P5547" i="34"/>
  <c r="T5547" i="34"/>
  <c r="U5547" i="34"/>
  <c r="V5547" i="34"/>
  <c r="W5547" i="34"/>
  <c r="Y5547" i="34"/>
  <c r="AB5547" i="34"/>
  <c r="AC5547" i="34"/>
  <c r="AD5547" i="34"/>
  <c r="P5548" i="34"/>
  <c r="T5548" i="34"/>
  <c r="U5548" i="34"/>
  <c r="V5548" i="34"/>
  <c r="W5548" i="34"/>
  <c r="Y5548" i="34"/>
  <c r="AB5548" i="34"/>
  <c r="AC5548" i="34"/>
  <c r="AD5548" i="34"/>
  <c r="P5549" i="34"/>
  <c r="T5549" i="34"/>
  <c r="U5549" i="34"/>
  <c r="V5549" i="34"/>
  <c r="W5549" i="34"/>
  <c r="Y5549" i="34"/>
  <c r="AB5549" i="34"/>
  <c r="AC5549" i="34"/>
  <c r="AD5549" i="34"/>
  <c r="P5550" i="34"/>
  <c r="T5550" i="34"/>
  <c r="U5550" i="34"/>
  <c r="V5550" i="34"/>
  <c r="W5550" i="34"/>
  <c r="Y5550" i="34"/>
  <c r="AB5550" i="34"/>
  <c r="AC5550" i="34"/>
  <c r="AD5550" i="34"/>
  <c r="P5580" i="34"/>
  <c r="T5580" i="34"/>
  <c r="U5580" i="34"/>
  <c r="V5580" i="34"/>
  <c r="W5580" i="34"/>
  <c r="Y5580" i="34"/>
  <c r="AB5580" i="34"/>
  <c r="AC5580" i="34"/>
  <c r="AD5580" i="34"/>
  <c r="P5581" i="34"/>
  <c r="T5581" i="34"/>
  <c r="U5581" i="34"/>
  <c r="V5581" i="34"/>
  <c r="W5581" i="34"/>
  <c r="Y5581" i="34"/>
  <c r="AB5581" i="34"/>
  <c r="AC5581" i="34"/>
  <c r="AD5581" i="34"/>
  <c r="P5591" i="34"/>
  <c r="T5591" i="34"/>
  <c r="U5591" i="34"/>
  <c r="V5591" i="34"/>
  <c r="W5591" i="34"/>
  <c r="Y5591" i="34"/>
  <c r="AB5591" i="34"/>
  <c r="AC5591" i="34"/>
  <c r="AD5591" i="34"/>
  <c r="P5592" i="34"/>
  <c r="T5592" i="34"/>
  <c r="U5592" i="34"/>
  <c r="V5592" i="34"/>
  <c r="W5592" i="34"/>
  <c r="Y5592" i="34"/>
  <c r="AB5592" i="34"/>
  <c r="AC5592" i="34"/>
  <c r="AD5592" i="34"/>
  <c r="P5593" i="34"/>
  <c r="T5593" i="34"/>
  <c r="U5593" i="34"/>
  <c r="V5593" i="34"/>
  <c r="W5593" i="34"/>
  <c r="Y5593" i="34"/>
  <c r="AB5593" i="34"/>
  <c r="AC5593" i="34"/>
  <c r="AD5593" i="34"/>
  <c r="P5594" i="34"/>
  <c r="T5594" i="34"/>
  <c r="U5594" i="34"/>
  <c r="V5594" i="34"/>
  <c r="W5594" i="34"/>
  <c r="Y5594" i="34"/>
  <c r="AB5594" i="34"/>
  <c r="AC5594" i="34"/>
  <c r="AD5594" i="34"/>
  <c r="P5676" i="34"/>
  <c r="T5676" i="34"/>
  <c r="U5676" i="34"/>
  <c r="V5676" i="34"/>
  <c r="W5676" i="34"/>
  <c r="Y5676" i="34"/>
  <c r="AB5676" i="34"/>
  <c r="AC5676" i="34"/>
  <c r="AD5676" i="34"/>
  <c r="P5677" i="34"/>
  <c r="T5677" i="34"/>
  <c r="U5677" i="34"/>
  <c r="V5677" i="34"/>
  <c r="W5677" i="34"/>
  <c r="Y5677" i="34"/>
  <c r="AB5677" i="34"/>
  <c r="AC5677" i="34"/>
  <c r="AD5677" i="34"/>
  <c r="P5678" i="34"/>
  <c r="T5678" i="34"/>
  <c r="U5678" i="34"/>
  <c r="V5678" i="34"/>
  <c r="W5678" i="34"/>
  <c r="Y5678" i="34"/>
  <c r="AB5678" i="34"/>
  <c r="AC5678" i="34"/>
  <c r="AD5678" i="34"/>
  <c r="P5679" i="34"/>
  <c r="T5679" i="34"/>
  <c r="U5679" i="34"/>
  <c r="V5679" i="34"/>
  <c r="W5679" i="34"/>
  <c r="Y5679" i="34"/>
  <c r="AB5679" i="34"/>
  <c r="AC5679" i="34"/>
  <c r="AD5679" i="34"/>
  <c r="P5680" i="34"/>
  <c r="T5680" i="34"/>
  <c r="U5680" i="34"/>
  <c r="V5680" i="34"/>
  <c r="W5680" i="34"/>
  <c r="Y5680" i="34"/>
  <c r="AB5680" i="34"/>
  <c r="AC5680" i="34"/>
  <c r="AD5680" i="34"/>
  <c r="P5681" i="34"/>
  <c r="T5681" i="34"/>
  <c r="U5681" i="34"/>
  <c r="V5681" i="34"/>
  <c r="W5681" i="34"/>
  <c r="Y5681" i="34"/>
  <c r="AB5681" i="34"/>
  <c r="AC5681" i="34"/>
  <c r="AD5681" i="34"/>
  <c r="P5682" i="34"/>
  <c r="T5682" i="34"/>
  <c r="U5682" i="34"/>
  <c r="V5682" i="34"/>
  <c r="W5682" i="34"/>
  <c r="Y5682" i="34"/>
  <c r="AB5682" i="34"/>
  <c r="AC5682" i="34"/>
  <c r="AD5682" i="34"/>
  <c r="P5683" i="34"/>
  <c r="T5683" i="34"/>
  <c r="U5683" i="34"/>
  <c r="V5683" i="34"/>
  <c r="W5683" i="34"/>
  <c r="Y5683" i="34"/>
  <c r="AB5683" i="34"/>
  <c r="AC5683" i="34"/>
  <c r="AD5683" i="34"/>
  <c r="P5691" i="34"/>
  <c r="T5691" i="34"/>
  <c r="U5691" i="34"/>
  <c r="V5691" i="34"/>
  <c r="W5691" i="34"/>
  <c r="Y5691" i="34"/>
  <c r="AB5691" i="34"/>
  <c r="AC5691" i="34"/>
  <c r="AD5691" i="34"/>
  <c r="P2651" i="34"/>
  <c r="T2651" i="34"/>
  <c r="U2651" i="34"/>
  <c r="V2651" i="34"/>
  <c r="W2651" i="34"/>
  <c r="Y2651" i="34"/>
  <c r="AB2651" i="34"/>
  <c r="AC2651" i="34"/>
  <c r="AD2651" i="34"/>
  <c r="P2652" i="34"/>
  <c r="T2652" i="34"/>
  <c r="U2652" i="34"/>
  <c r="V2652" i="34"/>
  <c r="W2652" i="34"/>
  <c r="Y2652" i="34"/>
  <c r="AB2652" i="34"/>
  <c r="AC2652" i="34"/>
  <c r="AD2652" i="34"/>
  <c r="P2653" i="34"/>
  <c r="T2653" i="34"/>
  <c r="U2653" i="34"/>
  <c r="V2653" i="34"/>
  <c r="W2653" i="34"/>
  <c r="Y2653" i="34"/>
  <c r="AB2653" i="34"/>
  <c r="AC2653" i="34"/>
  <c r="AD2653" i="34"/>
  <c r="P2654" i="34"/>
  <c r="T2654" i="34"/>
  <c r="U2654" i="34"/>
  <c r="V2654" i="34"/>
  <c r="W2654" i="34"/>
  <c r="Y2654" i="34"/>
  <c r="AB2654" i="34"/>
  <c r="AC2654" i="34"/>
  <c r="AD2654" i="34"/>
  <c r="P2655" i="34"/>
  <c r="T2655" i="34"/>
  <c r="U2655" i="34"/>
  <c r="V2655" i="34"/>
  <c r="W2655" i="34"/>
  <c r="Y2655" i="34"/>
  <c r="AB2655" i="34"/>
  <c r="AC2655" i="34"/>
  <c r="AD2655" i="34"/>
  <c r="P2656" i="34"/>
  <c r="T2656" i="34"/>
  <c r="U2656" i="34"/>
  <c r="V2656" i="34"/>
  <c r="W2656" i="34"/>
  <c r="Y2656" i="34"/>
  <c r="AB2656" i="34"/>
  <c r="AC2656" i="34"/>
  <c r="AD2656" i="34"/>
  <c r="P2657" i="34"/>
  <c r="T2657" i="34"/>
  <c r="U2657" i="34"/>
  <c r="V2657" i="34"/>
  <c r="W2657" i="34"/>
  <c r="Y2657" i="34"/>
  <c r="AB2657" i="34"/>
  <c r="AC2657" i="34"/>
  <c r="AD2657" i="34"/>
  <c r="P2658" i="34"/>
  <c r="T2658" i="34"/>
  <c r="U2658" i="34"/>
  <c r="V2658" i="34"/>
  <c r="W2658" i="34"/>
  <c r="Y2658" i="34"/>
  <c r="AB2658" i="34"/>
  <c r="AC2658" i="34"/>
  <c r="AD2658" i="34"/>
  <c r="P2659" i="34"/>
  <c r="T2659" i="34"/>
  <c r="U2659" i="34"/>
  <c r="V2659" i="34"/>
  <c r="W2659" i="34"/>
  <c r="Y2659" i="34"/>
  <c r="AB2659" i="34"/>
  <c r="AC2659" i="34"/>
  <c r="AD2659" i="34"/>
  <c r="P2660" i="34"/>
  <c r="T2660" i="34"/>
  <c r="U2660" i="34"/>
  <c r="V2660" i="34"/>
  <c r="W2660" i="34"/>
  <c r="Y2660" i="34"/>
  <c r="AB2660" i="34"/>
  <c r="AC2660" i="34"/>
  <c r="AD2660" i="34"/>
  <c r="P2661" i="34"/>
  <c r="T2661" i="34"/>
  <c r="U2661" i="34"/>
  <c r="V2661" i="34"/>
  <c r="W2661" i="34"/>
  <c r="Y2661" i="34"/>
  <c r="AB2661" i="34"/>
  <c r="AC2661" i="34"/>
  <c r="AD2661" i="34"/>
  <c r="P2662" i="34"/>
  <c r="T2662" i="34"/>
  <c r="U2662" i="34"/>
  <c r="V2662" i="34"/>
  <c r="W2662" i="34"/>
  <c r="Y2662" i="34"/>
  <c r="AB2662" i="34"/>
  <c r="AC2662" i="34"/>
  <c r="AD2662" i="34"/>
  <c r="P2663" i="34"/>
  <c r="T2663" i="34"/>
  <c r="U2663" i="34"/>
  <c r="V2663" i="34"/>
  <c r="W2663" i="34"/>
  <c r="Y2663" i="34"/>
  <c r="AB2663" i="34"/>
  <c r="AC2663" i="34"/>
  <c r="AD2663" i="34"/>
  <c r="P2664" i="34"/>
  <c r="T2664" i="34"/>
  <c r="U2664" i="34"/>
  <c r="V2664" i="34"/>
  <c r="W2664" i="34"/>
  <c r="Y2664" i="34"/>
  <c r="AB2664" i="34"/>
  <c r="AC2664" i="34"/>
  <c r="AD2664" i="34"/>
  <c r="P2665" i="34"/>
  <c r="T2665" i="34"/>
  <c r="U2665" i="34"/>
  <c r="V2665" i="34"/>
  <c r="W2665" i="34"/>
  <c r="Y2665" i="34"/>
  <c r="AB2665" i="34"/>
  <c r="AC2665" i="34"/>
  <c r="AD2665" i="34"/>
  <c r="P2666" i="34"/>
  <c r="T2666" i="34"/>
  <c r="U2666" i="34"/>
  <c r="V2666" i="34"/>
  <c r="W2666" i="34"/>
  <c r="Y2666" i="34"/>
  <c r="AB2666" i="34"/>
  <c r="AC2666" i="34"/>
  <c r="AD2666" i="34"/>
  <c r="P2667" i="34"/>
  <c r="T2667" i="34"/>
  <c r="U2667" i="34"/>
  <c r="V2667" i="34"/>
  <c r="W2667" i="34"/>
  <c r="Y2667" i="34"/>
  <c r="AB2667" i="34"/>
  <c r="AC2667" i="34"/>
  <c r="AD2667" i="34"/>
  <c r="P2668" i="34"/>
  <c r="T2668" i="34"/>
  <c r="U2668" i="34"/>
  <c r="V2668" i="34"/>
  <c r="W2668" i="34"/>
  <c r="Y2668" i="34"/>
  <c r="AB2668" i="34"/>
  <c r="AC2668" i="34"/>
  <c r="AD2668" i="34"/>
  <c r="P2669" i="34"/>
  <c r="T2669" i="34"/>
  <c r="U2669" i="34"/>
  <c r="V2669" i="34"/>
  <c r="W2669" i="34"/>
  <c r="Y2669" i="34"/>
  <c r="AB2669" i="34"/>
  <c r="AC2669" i="34"/>
  <c r="AD2669" i="34"/>
  <c r="P2670" i="34"/>
  <c r="T2670" i="34"/>
  <c r="U2670" i="34"/>
  <c r="V2670" i="34"/>
  <c r="W2670" i="34"/>
  <c r="Y2670" i="34"/>
  <c r="AB2670" i="34"/>
  <c r="AC2670" i="34"/>
  <c r="AD2670" i="34"/>
  <c r="P2671" i="34"/>
  <c r="T2671" i="34"/>
  <c r="U2671" i="34"/>
  <c r="V2671" i="34"/>
  <c r="W2671" i="34"/>
  <c r="Y2671" i="34"/>
  <c r="AB2671" i="34"/>
  <c r="AC2671" i="34"/>
  <c r="AD2671" i="34"/>
  <c r="P2672" i="34"/>
  <c r="T2672" i="34"/>
  <c r="U2672" i="34"/>
  <c r="V2672" i="34"/>
  <c r="W2672" i="34"/>
  <c r="Y2672" i="34"/>
  <c r="AB2672" i="34"/>
  <c r="AC2672" i="34"/>
  <c r="AD2672" i="34"/>
  <c r="P2673" i="34"/>
  <c r="T2673" i="34"/>
  <c r="U2673" i="34"/>
  <c r="V2673" i="34"/>
  <c r="W2673" i="34"/>
  <c r="Y2673" i="34"/>
  <c r="AB2673" i="34"/>
  <c r="AC2673" i="34"/>
  <c r="AD2673" i="34"/>
  <c r="P2674" i="34"/>
  <c r="T2674" i="34"/>
  <c r="U2674" i="34"/>
  <c r="V2674" i="34"/>
  <c r="W2674" i="34"/>
  <c r="Y2674" i="34"/>
  <c r="AB2674" i="34"/>
  <c r="AC2674" i="34"/>
  <c r="AD2674" i="34"/>
  <c r="P2675" i="34"/>
  <c r="T2675" i="34"/>
  <c r="U2675" i="34"/>
  <c r="V2675" i="34"/>
  <c r="W2675" i="34"/>
  <c r="Y2675" i="34"/>
  <c r="AB2675" i="34"/>
  <c r="AC2675" i="34"/>
  <c r="AD2675" i="34"/>
  <c r="P2676" i="34"/>
  <c r="T2676" i="34"/>
  <c r="U2676" i="34"/>
  <c r="V2676" i="34"/>
  <c r="W2676" i="34"/>
  <c r="Y2676" i="34"/>
  <c r="AB2676" i="34"/>
  <c r="AC2676" i="34"/>
  <c r="AD2676" i="34"/>
  <c r="P2677" i="34"/>
  <c r="T2677" i="34"/>
  <c r="U2677" i="34"/>
  <c r="V2677" i="34"/>
  <c r="W2677" i="34"/>
  <c r="Y2677" i="34"/>
  <c r="AB2677" i="34"/>
  <c r="AC2677" i="34"/>
  <c r="AD2677" i="34"/>
  <c r="P2678" i="34"/>
  <c r="T2678" i="34"/>
  <c r="U2678" i="34"/>
  <c r="V2678" i="34"/>
  <c r="W2678" i="34"/>
  <c r="Y2678" i="34"/>
  <c r="AB2678" i="34"/>
  <c r="AC2678" i="34"/>
  <c r="AD2678" i="34"/>
  <c r="P2679" i="34"/>
  <c r="T2679" i="34"/>
  <c r="U2679" i="34"/>
  <c r="V2679" i="34"/>
  <c r="W2679" i="34"/>
  <c r="Y2679" i="34"/>
  <c r="AB2679" i="34"/>
  <c r="AC2679" i="34"/>
  <c r="AD2679" i="34"/>
  <c r="P2680" i="34"/>
  <c r="T2680" i="34"/>
  <c r="U2680" i="34"/>
  <c r="V2680" i="34"/>
  <c r="W2680" i="34"/>
  <c r="Y2680" i="34"/>
  <c r="AB2680" i="34"/>
  <c r="AC2680" i="34"/>
  <c r="AD2680" i="34"/>
  <c r="P2681" i="34"/>
  <c r="T2681" i="34"/>
  <c r="U2681" i="34"/>
  <c r="V2681" i="34"/>
  <c r="W2681" i="34"/>
  <c r="Y2681" i="34"/>
  <c r="AB2681" i="34"/>
  <c r="AC2681" i="34"/>
  <c r="AD2681" i="34"/>
  <c r="P2682" i="34"/>
  <c r="T2682" i="34"/>
  <c r="U2682" i="34"/>
  <c r="V2682" i="34"/>
  <c r="W2682" i="34"/>
  <c r="Y2682" i="34"/>
  <c r="AB2682" i="34"/>
  <c r="AC2682" i="34"/>
  <c r="AD2682" i="34"/>
  <c r="P2683" i="34"/>
  <c r="T2683" i="34"/>
  <c r="U2683" i="34"/>
  <c r="V2683" i="34"/>
  <c r="W2683" i="34"/>
  <c r="Y2683" i="34"/>
  <c r="AB2683" i="34"/>
  <c r="AC2683" i="34"/>
  <c r="AD2683" i="34"/>
  <c r="P2684" i="34"/>
  <c r="T2684" i="34"/>
  <c r="U2684" i="34"/>
  <c r="V2684" i="34"/>
  <c r="W2684" i="34"/>
  <c r="Y2684" i="34"/>
  <c r="AB2684" i="34"/>
  <c r="AC2684" i="34"/>
  <c r="AD2684" i="34"/>
  <c r="P2685" i="34"/>
  <c r="T2685" i="34"/>
  <c r="U2685" i="34"/>
  <c r="V2685" i="34"/>
  <c r="W2685" i="34"/>
  <c r="Y2685" i="34"/>
  <c r="AB2685" i="34"/>
  <c r="AC2685" i="34"/>
  <c r="AD2685" i="34"/>
  <c r="P2686" i="34"/>
  <c r="T2686" i="34"/>
  <c r="U2686" i="34"/>
  <c r="V2686" i="34"/>
  <c r="W2686" i="34"/>
  <c r="Y2686" i="34"/>
  <c r="AB2686" i="34"/>
  <c r="AC2686" i="34"/>
  <c r="AD2686" i="34"/>
  <c r="P2687" i="34"/>
  <c r="T2687" i="34"/>
  <c r="U2687" i="34"/>
  <c r="V2687" i="34"/>
  <c r="W2687" i="34"/>
  <c r="Y2687" i="34"/>
  <c r="AB2687" i="34"/>
  <c r="AC2687" i="34"/>
  <c r="AD2687" i="34"/>
  <c r="P2688" i="34"/>
  <c r="T2688" i="34"/>
  <c r="U2688" i="34"/>
  <c r="V2688" i="34"/>
  <c r="W2688" i="34"/>
  <c r="Y2688" i="34"/>
  <c r="AB2688" i="34"/>
  <c r="AC2688" i="34"/>
  <c r="AD2688" i="34"/>
  <c r="P2689" i="34"/>
  <c r="T2689" i="34"/>
  <c r="U2689" i="34"/>
  <c r="V2689" i="34"/>
  <c r="W2689" i="34"/>
  <c r="Y2689" i="34"/>
  <c r="AB2689" i="34"/>
  <c r="AC2689" i="34"/>
  <c r="AD2689" i="34"/>
  <c r="P2690" i="34"/>
  <c r="T2690" i="34"/>
  <c r="U2690" i="34"/>
  <c r="V2690" i="34"/>
  <c r="W2690" i="34"/>
  <c r="Y2690" i="34"/>
  <c r="AB2690" i="34"/>
  <c r="AC2690" i="34"/>
  <c r="AD2690" i="34"/>
  <c r="P2691" i="34"/>
  <c r="T2691" i="34"/>
  <c r="U2691" i="34"/>
  <c r="V2691" i="34"/>
  <c r="W2691" i="34"/>
  <c r="Y2691" i="34"/>
  <c r="AB2691" i="34"/>
  <c r="AC2691" i="34"/>
  <c r="AD2691" i="34"/>
  <c r="P2692" i="34"/>
  <c r="T2692" i="34"/>
  <c r="U2692" i="34"/>
  <c r="V2692" i="34"/>
  <c r="W2692" i="34"/>
  <c r="Y2692" i="34"/>
  <c r="AB2692" i="34"/>
  <c r="AC2692" i="34"/>
  <c r="AD2692" i="34"/>
  <c r="P2693" i="34"/>
  <c r="T2693" i="34"/>
  <c r="U2693" i="34"/>
  <c r="V2693" i="34"/>
  <c r="W2693" i="34"/>
  <c r="Y2693" i="34"/>
  <c r="AB2693" i="34"/>
  <c r="AC2693" i="34"/>
  <c r="AD2693" i="34"/>
  <c r="P2694" i="34"/>
  <c r="T2694" i="34"/>
  <c r="U2694" i="34"/>
  <c r="V2694" i="34"/>
  <c r="W2694" i="34"/>
  <c r="Y2694" i="34"/>
  <c r="AB2694" i="34"/>
  <c r="AC2694" i="34"/>
  <c r="AD2694" i="34"/>
  <c r="P2695" i="34"/>
  <c r="T2695" i="34"/>
  <c r="U2695" i="34"/>
  <c r="V2695" i="34"/>
  <c r="W2695" i="34"/>
  <c r="Y2695" i="34"/>
  <c r="AB2695" i="34"/>
  <c r="AC2695" i="34"/>
  <c r="AD2695" i="34"/>
  <c r="P2696" i="34"/>
  <c r="T2696" i="34"/>
  <c r="U2696" i="34"/>
  <c r="V2696" i="34"/>
  <c r="W2696" i="34"/>
  <c r="Y2696" i="34"/>
  <c r="AB2696" i="34"/>
  <c r="AC2696" i="34"/>
  <c r="AD2696" i="34"/>
  <c r="P2697" i="34"/>
  <c r="T2697" i="34"/>
  <c r="U2697" i="34"/>
  <c r="V2697" i="34"/>
  <c r="W2697" i="34"/>
  <c r="Y2697" i="34"/>
  <c r="AB2697" i="34"/>
  <c r="AC2697" i="34"/>
  <c r="AD2697" i="34"/>
  <c r="P2698" i="34"/>
  <c r="T2698" i="34"/>
  <c r="U2698" i="34"/>
  <c r="V2698" i="34"/>
  <c r="W2698" i="34"/>
  <c r="Y2698" i="34"/>
  <c r="AB2698" i="34"/>
  <c r="AC2698" i="34"/>
  <c r="AD2698" i="34"/>
  <c r="P2699" i="34"/>
  <c r="T2699" i="34"/>
  <c r="U2699" i="34"/>
  <c r="V2699" i="34"/>
  <c r="W2699" i="34"/>
  <c r="Y2699" i="34"/>
  <c r="AB2699" i="34"/>
  <c r="AC2699" i="34"/>
  <c r="AD2699" i="34"/>
  <c r="P2700" i="34"/>
  <c r="T2700" i="34"/>
  <c r="U2700" i="34"/>
  <c r="V2700" i="34"/>
  <c r="W2700" i="34"/>
  <c r="Y2700" i="34"/>
  <c r="AB2700" i="34"/>
  <c r="AC2700" i="34"/>
  <c r="AD2700" i="34"/>
  <c r="P2701" i="34"/>
  <c r="T2701" i="34"/>
  <c r="U2701" i="34"/>
  <c r="V2701" i="34"/>
  <c r="W2701" i="34"/>
  <c r="Y2701" i="34"/>
  <c r="AB2701" i="34"/>
  <c r="AC2701" i="34"/>
  <c r="AD2701" i="34"/>
  <c r="P2702" i="34"/>
  <c r="T2702" i="34"/>
  <c r="U2702" i="34"/>
  <c r="V2702" i="34"/>
  <c r="W2702" i="34"/>
  <c r="Y2702" i="34"/>
  <c r="AB2702" i="34"/>
  <c r="AC2702" i="34"/>
  <c r="AD2702" i="34"/>
  <c r="P2703" i="34"/>
  <c r="T2703" i="34"/>
  <c r="U2703" i="34"/>
  <c r="V2703" i="34"/>
  <c r="W2703" i="34"/>
  <c r="Y2703" i="34"/>
  <c r="AB2703" i="34"/>
  <c r="AC2703" i="34"/>
  <c r="AD2703" i="34"/>
  <c r="P2704" i="34"/>
  <c r="T2704" i="34"/>
  <c r="U2704" i="34"/>
  <c r="V2704" i="34"/>
  <c r="W2704" i="34"/>
  <c r="Y2704" i="34"/>
  <c r="AB2704" i="34"/>
  <c r="AC2704" i="34"/>
  <c r="AD2704" i="34"/>
  <c r="P2705" i="34"/>
  <c r="T2705" i="34"/>
  <c r="U2705" i="34"/>
  <c r="V2705" i="34"/>
  <c r="W2705" i="34"/>
  <c r="Y2705" i="34"/>
  <c r="AB2705" i="34"/>
  <c r="AC2705" i="34"/>
  <c r="AD2705" i="34"/>
  <c r="P2706" i="34"/>
  <c r="T2706" i="34"/>
  <c r="U2706" i="34"/>
  <c r="V2706" i="34"/>
  <c r="W2706" i="34"/>
  <c r="Y2706" i="34"/>
  <c r="AB2706" i="34"/>
  <c r="AC2706" i="34"/>
  <c r="AD2706" i="34"/>
  <c r="P2707" i="34"/>
  <c r="T2707" i="34"/>
  <c r="U2707" i="34"/>
  <c r="V2707" i="34"/>
  <c r="W2707" i="34"/>
  <c r="Y2707" i="34"/>
  <c r="AB2707" i="34"/>
  <c r="AC2707" i="34"/>
  <c r="AD2707" i="34"/>
  <c r="P2708" i="34"/>
  <c r="T2708" i="34"/>
  <c r="U2708" i="34"/>
  <c r="V2708" i="34"/>
  <c r="W2708" i="34"/>
  <c r="Y2708" i="34"/>
  <c r="AB2708" i="34"/>
  <c r="AC2708" i="34"/>
  <c r="AD2708" i="34"/>
  <c r="P2709" i="34"/>
  <c r="T2709" i="34"/>
  <c r="U2709" i="34"/>
  <c r="V2709" i="34"/>
  <c r="W2709" i="34"/>
  <c r="Y2709" i="34"/>
  <c r="AB2709" i="34"/>
  <c r="AC2709" i="34"/>
  <c r="AD2709" i="34"/>
  <c r="P2710" i="34"/>
  <c r="T2710" i="34"/>
  <c r="U2710" i="34"/>
  <c r="V2710" i="34"/>
  <c r="W2710" i="34"/>
  <c r="Y2710" i="34"/>
  <c r="AB2710" i="34"/>
  <c r="AC2710" i="34"/>
  <c r="AD2710" i="34"/>
  <c r="P2711" i="34"/>
  <c r="T2711" i="34"/>
  <c r="U2711" i="34"/>
  <c r="V2711" i="34"/>
  <c r="W2711" i="34"/>
  <c r="Y2711" i="34"/>
  <c r="AB2711" i="34"/>
  <c r="AC2711" i="34"/>
  <c r="AD2711" i="34"/>
  <c r="P2712" i="34"/>
  <c r="T2712" i="34"/>
  <c r="U2712" i="34"/>
  <c r="V2712" i="34"/>
  <c r="W2712" i="34"/>
  <c r="Y2712" i="34"/>
  <c r="AB2712" i="34"/>
  <c r="AC2712" i="34"/>
  <c r="AD2712" i="34"/>
  <c r="P2713" i="34"/>
  <c r="T2713" i="34"/>
  <c r="U2713" i="34"/>
  <c r="V2713" i="34"/>
  <c r="W2713" i="34"/>
  <c r="Y2713" i="34"/>
  <c r="AB2713" i="34"/>
  <c r="AC2713" i="34"/>
  <c r="AD2713" i="34"/>
  <c r="P2714" i="34"/>
  <c r="T2714" i="34"/>
  <c r="U2714" i="34"/>
  <c r="V2714" i="34"/>
  <c r="W2714" i="34"/>
  <c r="Y2714" i="34"/>
  <c r="AB2714" i="34"/>
  <c r="AC2714" i="34"/>
  <c r="AD2714" i="34"/>
  <c r="P2715" i="34"/>
  <c r="T2715" i="34"/>
  <c r="U2715" i="34"/>
  <c r="V2715" i="34"/>
  <c r="W2715" i="34"/>
  <c r="Y2715" i="34"/>
  <c r="AB2715" i="34"/>
  <c r="AC2715" i="34"/>
  <c r="AD2715" i="34"/>
  <c r="P2716" i="34"/>
  <c r="T2716" i="34"/>
  <c r="U2716" i="34"/>
  <c r="V2716" i="34"/>
  <c r="W2716" i="34"/>
  <c r="Y2716" i="34"/>
  <c r="AB2716" i="34"/>
  <c r="AC2716" i="34"/>
  <c r="AD2716" i="34"/>
  <c r="P2717" i="34"/>
  <c r="T2717" i="34"/>
  <c r="U2717" i="34"/>
  <c r="V2717" i="34"/>
  <c r="W2717" i="34"/>
  <c r="Y2717" i="34"/>
  <c r="AB2717" i="34"/>
  <c r="AC2717" i="34"/>
  <c r="AD2717" i="34"/>
  <c r="P2718" i="34"/>
  <c r="T2718" i="34"/>
  <c r="U2718" i="34"/>
  <c r="V2718" i="34"/>
  <c r="W2718" i="34"/>
  <c r="Y2718" i="34"/>
  <c r="AB2718" i="34"/>
  <c r="AC2718" i="34"/>
  <c r="AD2718" i="34"/>
  <c r="P2719" i="34"/>
  <c r="T2719" i="34"/>
  <c r="U2719" i="34"/>
  <c r="V2719" i="34"/>
  <c r="W2719" i="34"/>
  <c r="Y2719" i="34"/>
  <c r="AB2719" i="34"/>
  <c r="AC2719" i="34"/>
  <c r="AD2719" i="34"/>
  <c r="P2720" i="34"/>
  <c r="T2720" i="34"/>
  <c r="U2720" i="34"/>
  <c r="V2720" i="34"/>
  <c r="W2720" i="34"/>
  <c r="Y2720" i="34"/>
  <c r="AB2720" i="34"/>
  <c r="AC2720" i="34"/>
  <c r="AD2720" i="34"/>
  <c r="P2721" i="34"/>
  <c r="T2721" i="34"/>
  <c r="U2721" i="34"/>
  <c r="V2721" i="34"/>
  <c r="W2721" i="34"/>
  <c r="Y2721" i="34"/>
  <c r="AB2721" i="34"/>
  <c r="AC2721" i="34"/>
  <c r="AD2721" i="34"/>
  <c r="P2722" i="34"/>
  <c r="T2722" i="34"/>
  <c r="U2722" i="34"/>
  <c r="V2722" i="34"/>
  <c r="W2722" i="34"/>
  <c r="Y2722" i="34"/>
  <c r="AB2722" i="34"/>
  <c r="AC2722" i="34"/>
  <c r="AD2722" i="34"/>
  <c r="P2723" i="34"/>
  <c r="T2723" i="34"/>
  <c r="U2723" i="34"/>
  <c r="V2723" i="34"/>
  <c r="W2723" i="34"/>
  <c r="Y2723" i="34"/>
  <c r="AB2723" i="34"/>
  <c r="AC2723" i="34"/>
  <c r="AD2723" i="34"/>
  <c r="P2724" i="34"/>
  <c r="T2724" i="34"/>
  <c r="U2724" i="34"/>
  <c r="V2724" i="34"/>
  <c r="W2724" i="34"/>
  <c r="Y2724" i="34"/>
  <c r="AB2724" i="34"/>
  <c r="AC2724" i="34"/>
  <c r="AD2724" i="34"/>
  <c r="P2725" i="34"/>
  <c r="T2725" i="34"/>
  <c r="U2725" i="34"/>
  <c r="V2725" i="34"/>
  <c r="W2725" i="34"/>
  <c r="Y2725" i="34"/>
  <c r="AB2725" i="34"/>
  <c r="AC2725" i="34"/>
  <c r="AD2725" i="34"/>
  <c r="P2726" i="34"/>
  <c r="T2726" i="34"/>
  <c r="U2726" i="34"/>
  <c r="V2726" i="34"/>
  <c r="W2726" i="34"/>
  <c r="Y2726" i="34"/>
  <c r="AB2726" i="34"/>
  <c r="AC2726" i="34"/>
  <c r="AD2726" i="34"/>
  <c r="P2727" i="34"/>
  <c r="T2727" i="34"/>
  <c r="U2727" i="34"/>
  <c r="V2727" i="34"/>
  <c r="W2727" i="34"/>
  <c r="Y2727" i="34"/>
  <c r="AB2727" i="34"/>
  <c r="AC2727" i="34"/>
  <c r="AD2727" i="34"/>
  <c r="P2728" i="34"/>
  <c r="T2728" i="34"/>
  <c r="U2728" i="34"/>
  <c r="V2728" i="34"/>
  <c r="W2728" i="34"/>
  <c r="Y2728" i="34"/>
  <c r="AB2728" i="34"/>
  <c r="AC2728" i="34"/>
  <c r="AD2728" i="34"/>
  <c r="P2729" i="34"/>
  <c r="T2729" i="34"/>
  <c r="U2729" i="34"/>
  <c r="V2729" i="34"/>
  <c r="W2729" i="34"/>
  <c r="Y2729" i="34"/>
  <c r="AB2729" i="34"/>
  <c r="AC2729" i="34"/>
  <c r="AD2729" i="34"/>
  <c r="P2730" i="34"/>
  <c r="T2730" i="34"/>
  <c r="U2730" i="34"/>
  <c r="V2730" i="34"/>
  <c r="W2730" i="34"/>
  <c r="Y2730" i="34"/>
  <c r="AB2730" i="34"/>
  <c r="AC2730" i="34"/>
  <c r="AD2730" i="34"/>
  <c r="P2731" i="34"/>
  <c r="T2731" i="34"/>
  <c r="U2731" i="34"/>
  <c r="V2731" i="34"/>
  <c r="W2731" i="34"/>
  <c r="Y2731" i="34"/>
  <c r="AB2731" i="34"/>
  <c r="AC2731" i="34"/>
  <c r="AD2731" i="34"/>
  <c r="P2732" i="34"/>
  <c r="T2732" i="34"/>
  <c r="U2732" i="34"/>
  <c r="V2732" i="34"/>
  <c r="W2732" i="34"/>
  <c r="Y2732" i="34"/>
  <c r="AB2732" i="34"/>
  <c r="AC2732" i="34"/>
  <c r="AD2732" i="34"/>
  <c r="P2733" i="34"/>
  <c r="T2733" i="34"/>
  <c r="U2733" i="34"/>
  <c r="V2733" i="34"/>
  <c r="W2733" i="34"/>
  <c r="Y2733" i="34"/>
  <c r="AB2733" i="34"/>
  <c r="AC2733" i="34"/>
  <c r="AD2733" i="34"/>
  <c r="P2734" i="34"/>
  <c r="T2734" i="34"/>
  <c r="U2734" i="34"/>
  <c r="V2734" i="34"/>
  <c r="W2734" i="34"/>
  <c r="Y2734" i="34"/>
  <c r="AB2734" i="34"/>
  <c r="AC2734" i="34"/>
  <c r="AD2734" i="34"/>
  <c r="P2735" i="34"/>
  <c r="T2735" i="34"/>
  <c r="U2735" i="34"/>
  <c r="V2735" i="34"/>
  <c r="W2735" i="34"/>
  <c r="Y2735" i="34"/>
  <c r="AB2735" i="34"/>
  <c r="AC2735" i="34"/>
  <c r="AD2735" i="34"/>
  <c r="P2736" i="34"/>
  <c r="T2736" i="34"/>
  <c r="U2736" i="34"/>
  <c r="V2736" i="34"/>
  <c r="W2736" i="34"/>
  <c r="Y2736" i="34"/>
  <c r="AB2736" i="34"/>
  <c r="AC2736" i="34"/>
  <c r="AD2736" i="34"/>
  <c r="P2737" i="34"/>
  <c r="T2737" i="34"/>
  <c r="U2737" i="34"/>
  <c r="V2737" i="34"/>
  <c r="W2737" i="34"/>
  <c r="Y2737" i="34"/>
  <c r="AB2737" i="34"/>
  <c r="AC2737" i="34"/>
  <c r="AD2737" i="34"/>
  <c r="P2738" i="34"/>
  <c r="T2738" i="34"/>
  <c r="U2738" i="34"/>
  <c r="V2738" i="34"/>
  <c r="W2738" i="34"/>
  <c r="Y2738" i="34"/>
  <c r="AB2738" i="34"/>
  <c r="AC2738" i="34"/>
  <c r="AD2738" i="34"/>
  <c r="P2739" i="34"/>
  <c r="T2739" i="34"/>
  <c r="U2739" i="34"/>
  <c r="V2739" i="34"/>
  <c r="W2739" i="34"/>
  <c r="Y2739" i="34"/>
  <c r="AB2739" i="34"/>
  <c r="AC2739" i="34"/>
  <c r="AD2739" i="34"/>
  <c r="P2740" i="34"/>
  <c r="T2740" i="34"/>
  <c r="U2740" i="34"/>
  <c r="V2740" i="34"/>
  <c r="W2740" i="34"/>
  <c r="Y2740" i="34"/>
  <c r="AB2740" i="34"/>
  <c r="AC2740" i="34"/>
  <c r="AD2740" i="34"/>
  <c r="P2741" i="34"/>
  <c r="T2741" i="34"/>
  <c r="U2741" i="34"/>
  <c r="V2741" i="34"/>
  <c r="W2741" i="34"/>
  <c r="Y2741" i="34"/>
  <c r="AB2741" i="34"/>
  <c r="AC2741" i="34"/>
  <c r="AD2741" i="34"/>
  <c r="P2742" i="34"/>
  <c r="T2742" i="34"/>
  <c r="U2742" i="34"/>
  <c r="V2742" i="34"/>
  <c r="W2742" i="34"/>
  <c r="Y2742" i="34"/>
  <c r="AB2742" i="34"/>
  <c r="AC2742" i="34"/>
  <c r="AD2742" i="34"/>
  <c r="P2743" i="34"/>
  <c r="T2743" i="34"/>
  <c r="U2743" i="34"/>
  <c r="V2743" i="34"/>
  <c r="W2743" i="34"/>
  <c r="Y2743" i="34"/>
  <c r="AB2743" i="34"/>
  <c r="AC2743" i="34"/>
  <c r="AD2743" i="34"/>
  <c r="P2744" i="34"/>
  <c r="T2744" i="34"/>
  <c r="U2744" i="34"/>
  <c r="V2744" i="34"/>
  <c r="W2744" i="34"/>
  <c r="Y2744" i="34"/>
  <c r="AB2744" i="34"/>
  <c r="AC2744" i="34"/>
  <c r="AD2744" i="34"/>
  <c r="P2745" i="34"/>
  <c r="T2745" i="34"/>
  <c r="U2745" i="34"/>
  <c r="V2745" i="34"/>
  <c r="W2745" i="34"/>
  <c r="Y2745" i="34"/>
  <c r="AB2745" i="34"/>
  <c r="AC2745" i="34"/>
  <c r="AD2745" i="34"/>
  <c r="P2746" i="34"/>
  <c r="T2746" i="34"/>
  <c r="U2746" i="34"/>
  <c r="V2746" i="34"/>
  <c r="W2746" i="34"/>
  <c r="Y2746" i="34"/>
  <c r="AB2746" i="34"/>
  <c r="AC2746" i="34"/>
  <c r="AD2746" i="34"/>
  <c r="P2747" i="34"/>
  <c r="T2747" i="34"/>
  <c r="U2747" i="34"/>
  <c r="V2747" i="34"/>
  <c r="W2747" i="34"/>
  <c r="Y2747" i="34"/>
  <c r="AB2747" i="34"/>
  <c r="AC2747" i="34"/>
  <c r="AD2747" i="34"/>
  <c r="P2748" i="34"/>
  <c r="T2748" i="34"/>
  <c r="U2748" i="34"/>
  <c r="V2748" i="34"/>
  <c r="W2748" i="34"/>
  <c r="Y2748" i="34"/>
  <c r="AB2748" i="34"/>
  <c r="AC2748" i="34"/>
  <c r="AD2748" i="34"/>
  <c r="P2749" i="34"/>
  <c r="T2749" i="34"/>
  <c r="U2749" i="34"/>
  <c r="V2749" i="34"/>
  <c r="W2749" i="34"/>
  <c r="Y2749" i="34"/>
  <c r="AB2749" i="34"/>
  <c r="AC2749" i="34"/>
  <c r="AD2749" i="34"/>
  <c r="P2750" i="34"/>
  <c r="T2750" i="34"/>
  <c r="U2750" i="34"/>
  <c r="V2750" i="34"/>
  <c r="W2750" i="34"/>
  <c r="Y2750" i="34"/>
  <c r="AB2750" i="34"/>
  <c r="AC2750" i="34"/>
  <c r="AD2750" i="34"/>
  <c r="P2751" i="34"/>
  <c r="T2751" i="34"/>
  <c r="U2751" i="34"/>
  <c r="V2751" i="34"/>
  <c r="W2751" i="34"/>
  <c r="Y2751" i="34"/>
  <c r="AB2751" i="34"/>
  <c r="AC2751" i="34"/>
  <c r="AD2751" i="34"/>
  <c r="P2752" i="34"/>
  <c r="T2752" i="34"/>
  <c r="U2752" i="34"/>
  <c r="V2752" i="34"/>
  <c r="W2752" i="34"/>
  <c r="Y2752" i="34"/>
  <c r="AB2752" i="34"/>
  <c r="AC2752" i="34"/>
  <c r="AD2752" i="34"/>
  <c r="P2753" i="34"/>
  <c r="T2753" i="34"/>
  <c r="U2753" i="34"/>
  <c r="V2753" i="34"/>
  <c r="W2753" i="34"/>
  <c r="Y2753" i="34"/>
  <c r="AB2753" i="34"/>
  <c r="AC2753" i="34"/>
  <c r="AD2753" i="34"/>
  <c r="P2754" i="34"/>
  <c r="T2754" i="34"/>
  <c r="U2754" i="34"/>
  <c r="V2754" i="34"/>
  <c r="W2754" i="34"/>
  <c r="Y2754" i="34"/>
  <c r="AB2754" i="34"/>
  <c r="AC2754" i="34"/>
  <c r="AD2754" i="34"/>
  <c r="P2755" i="34"/>
  <c r="T2755" i="34"/>
  <c r="U2755" i="34"/>
  <c r="V2755" i="34"/>
  <c r="W2755" i="34"/>
  <c r="Y2755" i="34"/>
  <c r="AB2755" i="34"/>
  <c r="AC2755" i="34"/>
  <c r="AD2755" i="34"/>
  <c r="P2756" i="34"/>
  <c r="T2756" i="34"/>
  <c r="U2756" i="34"/>
  <c r="V2756" i="34"/>
  <c r="W2756" i="34"/>
  <c r="Y2756" i="34"/>
  <c r="AB2756" i="34"/>
  <c r="AC2756" i="34"/>
  <c r="AD2756" i="34"/>
  <c r="P2757" i="34"/>
  <c r="T2757" i="34"/>
  <c r="U2757" i="34"/>
  <c r="V2757" i="34"/>
  <c r="W2757" i="34"/>
  <c r="Y2757" i="34"/>
  <c r="AB2757" i="34"/>
  <c r="AC2757" i="34"/>
  <c r="AD2757" i="34"/>
  <c r="P2758" i="34"/>
  <c r="T2758" i="34"/>
  <c r="U2758" i="34"/>
  <c r="V2758" i="34"/>
  <c r="W2758" i="34"/>
  <c r="Y2758" i="34"/>
  <c r="AB2758" i="34"/>
  <c r="AC2758" i="34"/>
  <c r="AD2758" i="34"/>
  <c r="P2759" i="34"/>
  <c r="T2759" i="34"/>
  <c r="U2759" i="34"/>
  <c r="V2759" i="34"/>
  <c r="W2759" i="34"/>
  <c r="Y2759" i="34"/>
  <c r="AB2759" i="34"/>
  <c r="AC2759" i="34"/>
  <c r="AD2759" i="34"/>
  <c r="P2760" i="34"/>
  <c r="T2760" i="34"/>
  <c r="U2760" i="34"/>
  <c r="V2760" i="34"/>
  <c r="W2760" i="34"/>
  <c r="Y2760" i="34"/>
  <c r="AB2760" i="34"/>
  <c r="AC2760" i="34"/>
  <c r="AD2760" i="34"/>
  <c r="P2761" i="34"/>
  <c r="T2761" i="34"/>
  <c r="U2761" i="34"/>
  <c r="V2761" i="34"/>
  <c r="W2761" i="34"/>
  <c r="Y2761" i="34"/>
  <c r="AB2761" i="34"/>
  <c r="AC2761" i="34"/>
  <c r="AD2761" i="34"/>
  <c r="P2762" i="34"/>
  <c r="T2762" i="34"/>
  <c r="U2762" i="34"/>
  <c r="V2762" i="34"/>
  <c r="W2762" i="34"/>
  <c r="Y2762" i="34"/>
  <c r="AB2762" i="34"/>
  <c r="AC2762" i="34"/>
  <c r="AD2762" i="34"/>
  <c r="P2763" i="34"/>
  <c r="T2763" i="34"/>
  <c r="U2763" i="34"/>
  <c r="V2763" i="34"/>
  <c r="W2763" i="34"/>
  <c r="Y2763" i="34"/>
  <c r="AB2763" i="34"/>
  <c r="AC2763" i="34"/>
  <c r="AD2763" i="34"/>
  <c r="P2764" i="34"/>
  <c r="T2764" i="34"/>
  <c r="U2764" i="34"/>
  <c r="V2764" i="34"/>
  <c r="W2764" i="34"/>
  <c r="Y2764" i="34"/>
  <c r="AB2764" i="34"/>
  <c r="AC2764" i="34"/>
  <c r="AD2764" i="34"/>
  <c r="P2765" i="34"/>
  <c r="T2765" i="34"/>
  <c r="U2765" i="34"/>
  <c r="V2765" i="34"/>
  <c r="W2765" i="34"/>
  <c r="Y2765" i="34"/>
  <c r="AB2765" i="34"/>
  <c r="AC2765" i="34"/>
  <c r="AD2765" i="34"/>
  <c r="P2766" i="34"/>
  <c r="T2766" i="34"/>
  <c r="U2766" i="34"/>
  <c r="V2766" i="34"/>
  <c r="W2766" i="34"/>
  <c r="Y2766" i="34"/>
  <c r="AB2766" i="34"/>
  <c r="AC2766" i="34"/>
  <c r="AD2766" i="34"/>
  <c r="P2767" i="34"/>
  <c r="T2767" i="34"/>
  <c r="U2767" i="34"/>
  <c r="V2767" i="34"/>
  <c r="W2767" i="34"/>
  <c r="Y2767" i="34"/>
  <c r="AB2767" i="34"/>
  <c r="AC2767" i="34"/>
  <c r="AD2767" i="34"/>
  <c r="P2768" i="34"/>
  <c r="T2768" i="34"/>
  <c r="U2768" i="34"/>
  <c r="V2768" i="34"/>
  <c r="W2768" i="34"/>
  <c r="Y2768" i="34"/>
  <c r="AB2768" i="34"/>
  <c r="AC2768" i="34"/>
  <c r="AD2768" i="34"/>
  <c r="P2769" i="34"/>
  <c r="T2769" i="34"/>
  <c r="U2769" i="34"/>
  <c r="V2769" i="34"/>
  <c r="W2769" i="34"/>
  <c r="Y2769" i="34"/>
  <c r="AB2769" i="34"/>
  <c r="AC2769" i="34"/>
  <c r="AD2769" i="34"/>
  <c r="P2770" i="34"/>
  <c r="T2770" i="34"/>
  <c r="U2770" i="34"/>
  <c r="V2770" i="34"/>
  <c r="W2770" i="34"/>
  <c r="Y2770" i="34"/>
  <c r="AB2770" i="34"/>
  <c r="AC2770" i="34"/>
  <c r="AD2770" i="34"/>
  <c r="P2771" i="34"/>
  <c r="T2771" i="34"/>
  <c r="U2771" i="34"/>
  <c r="V2771" i="34"/>
  <c r="W2771" i="34"/>
  <c r="Y2771" i="34"/>
  <c r="AB2771" i="34"/>
  <c r="AC2771" i="34"/>
  <c r="AD2771" i="34"/>
  <c r="P2772" i="34"/>
  <c r="T2772" i="34"/>
  <c r="U2772" i="34"/>
  <c r="V2772" i="34"/>
  <c r="W2772" i="34"/>
  <c r="Y2772" i="34"/>
  <c r="AB2772" i="34"/>
  <c r="AC2772" i="34"/>
  <c r="AD2772" i="34"/>
  <c r="P2773" i="34"/>
  <c r="T2773" i="34"/>
  <c r="U2773" i="34"/>
  <c r="V2773" i="34"/>
  <c r="W2773" i="34"/>
  <c r="Y2773" i="34"/>
  <c r="AB2773" i="34"/>
  <c r="AC2773" i="34"/>
  <c r="AD2773" i="34"/>
  <c r="P2774" i="34"/>
  <c r="T2774" i="34"/>
  <c r="U2774" i="34"/>
  <c r="V2774" i="34"/>
  <c r="W2774" i="34"/>
  <c r="Y2774" i="34"/>
  <c r="AB2774" i="34"/>
  <c r="AC2774" i="34"/>
  <c r="AD2774" i="34"/>
  <c r="P2775" i="34"/>
  <c r="T2775" i="34"/>
  <c r="U2775" i="34"/>
  <c r="V2775" i="34"/>
  <c r="W2775" i="34"/>
  <c r="Y2775" i="34"/>
  <c r="AB2775" i="34"/>
  <c r="AC2775" i="34"/>
  <c r="AD2775" i="34"/>
  <c r="P2776" i="34"/>
  <c r="T2776" i="34"/>
  <c r="U2776" i="34"/>
  <c r="V2776" i="34"/>
  <c r="W2776" i="34"/>
  <c r="Y2776" i="34"/>
  <c r="AB2776" i="34"/>
  <c r="AC2776" i="34"/>
  <c r="AD2776" i="34"/>
  <c r="P2777" i="34"/>
  <c r="T2777" i="34"/>
  <c r="U2777" i="34"/>
  <c r="V2777" i="34"/>
  <c r="W2777" i="34"/>
  <c r="Y2777" i="34"/>
  <c r="AB2777" i="34"/>
  <c r="AC2777" i="34"/>
  <c r="AD2777" i="34"/>
  <c r="P2778" i="34"/>
  <c r="T2778" i="34"/>
  <c r="U2778" i="34"/>
  <c r="V2778" i="34"/>
  <c r="W2778" i="34"/>
  <c r="Y2778" i="34"/>
  <c r="AB2778" i="34"/>
  <c r="AC2778" i="34"/>
  <c r="AD2778" i="34"/>
  <c r="P2779" i="34"/>
  <c r="T2779" i="34"/>
  <c r="U2779" i="34"/>
  <c r="V2779" i="34"/>
  <c r="W2779" i="34"/>
  <c r="Y2779" i="34"/>
  <c r="AB2779" i="34"/>
  <c r="AC2779" i="34"/>
  <c r="AD2779" i="34"/>
  <c r="P2780" i="34"/>
  <c r="T2780" i="34"/>
  <c r="U2780" i="34"/>
  <c r="V2780" i="34"/>
  <c r="W2780" i="34"/>
  <c r="Y2780" i="34"/>
  <c r="AB2780" i="34"/>
  <c r="AC2780" i="34"/>
  <c r="AD2780" i="34"/>
  <c r="P2781" i="34"/>
  <c r="T2781" i="34"/>
  <c r="U2781" i="34"/>
  <c r="V2781" i="34"/>
  <c r="W2781" i="34"/>
  <c r="Y2781" i="34"/>
  <c r="AB2781" i="34"/>
  <c r="AC2781" i="34"/>
  <c r="AD2781" i="34"/>
  <c r="P2782" i="34"/>
  <c r="T2782" i="34"/>
  <c r="U2782" i="34"/>
  <c r="V2782" i="34"/>
  <c r="W2782" i="34"/>
  <c r="Y2782" i="34"/>
  <c r="AB2782" i="34"/>
  <c r="AC2782" i="34"/>
  <c r="AD2782" i="34"/>
  <c r="P2783" i="34"/>
  <c r="T2783" i="34"/>
  <c r="U2783" i="34"/>
  <c r="V2783" i="34"/>
  <c r="W2783" i="34"/>
  <c r="Y2783" i="34"/>
  <c r="AB2783" i="34"/>
  <c r="AC2783" i="34"/>
  <c r="AD2783" i="34"/>
  <c r="P2784" i="34"/>
  <c r="T2784" i="34"/>
  <c r="U2784" i="34"/>
  <c r="V2784" i="34"/>
  <c r="W2784" i="34"/>
  <c r="Y2784" i="34"/>
  <c r="AB2784" i="34"/>
  <c r="AC2784" i="34"/>
  <c r="AD2784" i="34"/>
  <c r="P2785" i="34"/>
  <c r="T2785" i="34"/>
  <c r="U2785" i="34"/>
  <c r="V2785" i="34"/>
  <c r="W2785" i="34"/>
  <c r="Y2785" i="34"/>
  <c r="AB2785" i="34"/>
  <c r="AC2785" i="34"/>
  <c r="AD2785" i="34"/>
  <c r="P2786" i="34"/>
  <c r="T2786" i="34"/>
  <c r="U2786" i="34"/>
  <c r="V2786" i="34"/>
  <c r="W2786" i="34"/>
  <c r="Y2786" i="34"/>
  <c r="AB2786" i="34"/>
  <c r="AC2786" i="34"/>
  <c r="AD2786" i="34"/>
  <c r="P2787" i="34"/>
  <c r="T2787" i="34"/>
  <c r="U2787" i="34"/>
  <c r="V2787" i="34"/>
  <c r="W2787" i="34"/>
  <c r="Y2787" i="34"/>
  <c r="AB2787" i="34"/>
  <c r="AC2787" i="34"/>
  <c r="AD2787" i="34"/>
  <c r="P2788" i="34"/>
  <c r="T2788" i="34"/>
  <c r="U2788" i="34"/>
  <c r="V2788" i="34"/>
  <c r="W2788" i="34"/>
  <c r="Y2788" i="34"/>
  <c r="AB2788" i="34"/>
  <c r="AC2788" i="34"/>
  <c r="AD2788" i="34"/>
  <c r="P2789" i="34"/>
  <c r="T2789" i="34"/>
  <c r="U2789" i="34"/>
  <c r="V2789" i="34"/>
  <c r="W2789" i="34"/>
  <c r="Y2789" i="34"/>
  <c r="AB2789" i="34"/>
  <c r="AC2789" i="34"/>
  <c r="AD2789" i="34"/>
  <c r="P2790" i="34"/>
  <c r="T2790" i="34"/>
  <c r="U2790" i="34"/>
  <c r="V2790" i="34"/>
  <c r="W2790" i="34"/>
  <c r="Y2790" i="34"/>
  <c r="AB2790" i="34"/>
  <c r="AC2790" i="34"/>
  <c r="AD2790" i="34"/>
  <c r="P2791" i="34"/>
  <c r="T2791" i="34"/>
  <c r="U2791" i="34"/>
  <c r="V2791" i="34"/>
  <c r="W2791" i="34"/>
  <c r="Y2791" i="34"/>
  <c r="AB2791" i="34"/>
  <c r="AC2791" i="34"/>
  <c r="AD2791" i="34"/>
  <c r="P2792" i="34"/>
  <c r="T2792" i="34"/>
  <c r="U2792" i="34"/>
  <c r="V2792" i="34"/>
  <c r="W2792" i="34"/>
  <c r="Y2792" i="34"/>
  <c r="AB2792" i="34"/>
  <c r="AC2792" i="34"/>
  <c r="AD2792" i="34"/>
  <c r="P2793" i="34"/>
  <c r="T2793" i="34"/>
  <c r="U2793" i="34"/>
  <c r="V2793" i="34"/>
  <c r="W2793" i="34"/>
  <c r="Y2793" i="34"/>
  <c r="AB2793" i="34"/>
  <c r="AC2793" i="34"/>
  <c r="AD2793" i="34"/>
  <c r="P2794" i="34"/>
  <c r="T2794" i="34"/>
  <c r="U2794" i="34"/>
  <c r="V2794" i="34"/>
  <c r="W2794" i="34"/>
  <c r="Y2794" i="34"/>
  <c r="AB2794" i="34"/>
  <c r="AC2794" i="34"/>
  <c r="AD2794" i="34"/>
  <c r="P2795" i="34"/>
  <c r="T2795" i="34"/>
  <c r="U2795" i="34"/>
  <c r="V2795" i="34"/>
  <c r="W2795" i="34"/>
  <c r="Y2795" i="34"/>
  <c r="AB2795" i="34"/>
  <c r="AC2795" i="34"/>
  <c r="AD2795" i="34"/>
  <c r="P2796" i="34"/>
  <c r="T2796" i="34"/>
  <c r="U2796" i="34"/>
  <c r="V2796" i="34"/>
  <c r="W2796" i="34"/>
  <c r="Y2796" i="34"/>
  <c r="AB2796" i="34"/>
  <c r="AC2796" i="34"/>
  <c r="AD2796" i="34"/>
  <c r="P2797" i="34"/>
  <c r="T2797" i="34"/>
  <c r="U2797" i="34"/>
  <c r="V2797" i="34"/>
  <c r="W2797" i="34"/>
  <c r="Y2797" i="34"/>
  <c r="AB2797" i="34"/>
  <c r="AC2797" i="34"/>
  <c r="AD2797" i="34"/>
  <c r="P2798" i="34"/>
  <c r="T2798" i="34"/>
  <c r="U2798" i="34"/>
  <c r="V2798" i="34"/>
  <c r="W2798" i="34"/>
  <c r="Y2798" i="34"/>
  <c r="AB2798" i="34"/>
  <c r="AC2798" i="34"/>
  <c r="AD2798" i="34"/>
  <c r="P2799" i="34"/>
  <c r="T2799" i="34"/>
  <c r="U2799" i="34"/>
  <c r="V2799" i="34"/>
  <c r="W2799" i="34"/>
  <c r="Y2799" i="34"/>
  <c r="AB2799" i="34"/>
  <c r="AC2799" i="34"/>
  <c r="AD2799" i="34"/>
  <c r="P2800" i="34"/>
  <c r="T2800" i="34"/>
  <c r="U2800" i="34"/>
  <c r="V2800" i="34"/>
  <c r="W2800" i="34"/>
  <c r="Y2800" i="34"/>
  <c r="AB2800" i="34"/>
  <c r="AC2800" i="34"/>
  <c r="AD2800" i="34"/>
  <c r="P2801" i="34"/>
  <c r="T2801" i="34"/>
  <c r="U2801" i="34"/>
  <c r="V2801" i="34"/>
  <c r="W2801" i="34"/>
  <c r="Y2801" i="34"/>
  <c r="AB2801" i="34"/>
  <c r="AC2801" i="34"/>
  <c r="AD2801" i="34"/>
  <c r="P2802" i="34"/>
  <c r="T2802" i="34"/>
  <c r="U2802" i="34"/>
  <c r="V2802" i="34"/>
  <c r="W2802" i="34"/>
  <c r="Y2802" i="34"/>
  <c r="AB2802" i="34"/>
  <c r="AC2802" i="34"/>
  <c r="AD2802" i="34"/>
  <c r="P2803" i="34"/>
  <c r="T2803" i="34"/>
  <c r="U2803" i="34"/>
  <c r="V2803" i="34"/>
  <c r="W2803" i="34"/>
  <c r="Y2803" i="34"/>
  <c r="AB2803" i="34"/>
  <c r="AC2803" i="34"/>
  <c r="AD2803" i="34"/>
  <c r="P2804" i="34"/>
  <c r="T2804" i="34"/>
  <c r="U2804" i="34"/>
  <c r="V2804" i="34"/>
  <c r="W2804" i="34"/>
  <c r="Y2804" i="34"/>
  <c r="AB2804" i="34"/>
  <c r="AC2804" i="34"/>
  <c r="AD2804" i="34"/>
  <c r="P2805" i="34"/>
  <c r="T2805" i="34"/>
  <c r="U2805" i="34"/>
  <c r="V2805" i="34"/>
  <c r="W2805" i="34"/>
  <c r="Y2805" i="34"/>
  <c r="AB2805" i="34"/>
  <c r="AC2805" i="34"/>
  <c r="AD2805" i="34"/>
  <c r="P2806" i="34"/>
  <c r="T2806" i="34"/>
  <c r="U2806" i="34"/>
  <c r="V2806" i="34"/>
  <c r="W2806" i="34"/>
  <c r="Y2806" i="34"/>
  <c r="AB2806" i="34"/>
  <c r="AC2806" i="34"/>
  <c r="AD2806" i="34"/>
  <c r="P2807" i="34"/>
  <c r="T2807" i="34"/>
  <c r="U2807" i="34"/>
  <c r="V2807" i="34"/>
  <c r="W2807" i="34"/>
  <c r="Y2807" i="34"/>
  <c r="AB2807" i="34"/>
  <c r="AC2807" i="34"/>
  <c r="AD2807" i="34"/>
  <c r="P2808" i="34"/>
  <c r="T2808" i="34"/>
  <c r="U2808" i="34"/>
  <c r="V2808" i="34"/>
  <c r="W2808" i="34"/>
  <c r="Y2808" i="34"/>
  <c r="AB2808" i="34"/>
  <c r="AC2808" i="34"/>
  <c r="AD2808" i="34"/>
  <c r="P2809" i="34"/>
  <c r="T2809" i="34"/>
  <c r="U2809" i="34"/>
  <c r="V2809" i="34"/>
  <c r="W2809" i="34"/>
  <c r="Y2809" i="34"/>
  <c r="AB2809" i="34"/>
  <c r="AC2809" i="34"/>
  <c r="AD2809" i="34"/>
  <c r="P2810" i="34"/>
  <c r="T2810" i="34"/>
  <c r="U2810" i="34"/>
  <c r="V2810" i="34"/>
  <c r="W2810" i="34"/>
  <c r="Y2810" i="34"/>
  <c r="AB2810" i="34"/>
  <c r="AC2810" i="34"/>
  <c r="AD2810" i="34"/>
  <c r="P2811" i="34"/>
  <c r="T2811" i="34"/>
  <c r="U2811" i="34"/>
  <c r="V2811" i="34"/>
  <c r="W2811" i="34"/>
  <c r="Y2811" i="34"/>
  <c r="AB2811" i="34"/>
  <c r="AC2811" i="34"/>
  <c r="AD2811" i="34"/>
  <c r="P2812" i="34"/>
  <c r="T2812" i="34"/>
  <c r="U2812" i="34"/>
  <c r="V2812" i="34"/>
  <c r="W2812" i="34"/>
  <c r="Y2812" i="34"/>
  <c r="AB2812" i="34"/>
  <c r="AC2812" i="34"/>
  <c r="AD2812" i="34"/>
  <c r="P2813" i="34"/>
  <c r="T2813" i="34"/>
  <c r="U2813" i="34"/>
  <c r="V2813" i="34"/>
  <c r="W2813" i="34"/>
  <c r="Y2813" i="34"/>
  <c r="AB2813" i="34"/>
  <c r="AC2813" i="34"/>
  <c r="AD2813" i="34"/>
  <c r="P2814" i="34"/>
  <c r="T2814" i="34"/>
  <c r="U2814" i="34"/>
  <c r="V2814" i="34"/>
  <c r="W2814" i="34"/>
  <c r="Y2814" i="34"/>
  <c r="AB2814" i="34"/>
  <c r="AC2814" i="34"/>
  <c r="AD2814" i="34"/>
  <c r="P2815" i="34"/>
  <c r="T2815" i="34"/>
  <c r="U2815" i="34"/>
  <c r="V2815" i="34"/>
  <c r="W2815" i="34"/>
  <c r="Y2815" i="34"/>
  <c r="AB2815" i="34"/>
  <c r="AC2815" i="34"/>
  <c r="AD2815" i="34"/>
  <c r="P2816" i="34"/>
  <c r="T2816" i="34"/>
  <c r="U2816" i="34"/>
  <c r="V2816" i="34"/>
  <c r="W2816" i="34"/>
  <c r="Y2816" i="34"/>
  <c r="AB2816" i="34"/>
  <c r="AC2816" i="34"/>
  <c r="AD2816" i="34"/>
  <c r="P2817" i="34"/>
  <c r="T2817" i="34"/>
  <c r="U2817" i="34"/>
  <c r="V2817" i="34"/>
  <c r="W2817" i="34"/>
  <c r="Y2817" i="34"/>
  <c r="AB2817" i="34"/>
  <c r="AC2817" i="34"/>
  <c r="AD2817" i="34"/>
  <c r="P2818" i="34"/>
  <c r="T2818" i="34"/>
  <c r="U2818" i="34"/>
  <c r="V2818" i="34"/>
  <c r="W2818" i="34"/>
  <c r="Y2818" i="34"/>
  <c r="AB2818" i="34"/>
  <c r="AC2818" i="34"/>
  <c r="AD2818" i="34"/>
  <c r="P2819" i="34"/>
  <c r="T2819" i="34"/>
  <c r="U2819" i="34"/>
  <c r="V2819" i="34"/>
  <c r="W2819" i="34"/>
  <c r="Y2819" i="34"/>
  <c r="AB2819" i="34"/>
  <c r="AC2819" i="34"/>
  <c r="AD2819" i="34"/>
  <c r="P2820" i="34"/>
  <c r="T2820" i="34"/>
  <c r="U2820" i="34"/>
  <c r="V2820" i="34"/>
  <c r="W2820" i="34"/>
  <c r="Y2820" i="34"/>
  <c r="AB2820" i="34"/>
  <c r="AC2820" i="34"/>
  <c r="AD2820" i="34"/>
  <c r="P2821" i="34"/>
  <c r="T2821" i="34"/>
  <c r="U2821" i="34"/>
  <c r="V2821" i="34"/>
  <c r="W2821" i="34"/>
  <c r="Y2821" i="34"/>
  <c r="AB2821" i="34"/>
  <c r="AC2821" i="34"/>
  <c r="AD2821" i="34"/>
  <c r="P2822" i="34"/>
  <c r="T2822" i="34"/>
  <c r="U2822" i="34"/>
  <c r="V2822" i="34"/>
  <c r="W2822" i="34"/>
  <c r="Y2822" i="34"/>
  <c r="AB2822" i="34"/>
  <c r="AC2822" i="34"/>
  <c r="AD2822" i="34"/>
  <c r="P2823" i="34"/>
  <c r="T2823" i="34"/>
  <c r="U2823" i="34"/>
  <c r="V2823" i="34"/>
  <c r="W2823" i="34"/>
  <c r="Y2823" i="34"/>
  <c r="AB2823" i="34"/>
  <c r="AC2823" i="34"/>
  <c r="AD2823" i="34"/>
  <c r="P2824" i="34"/>
  <c r="T2824" i="34"/>
  <c r="U2824" i="34"/>
  <c r="V2824" i="34"/>
  <c r="W2824" i="34"/>
  <c r="Y2824" i="34"/>
  <c r="AB2824" i="34"/>
  <c r="AC2824" i="34"/>
  <c r="AD2824" i="34"/>
  <c r="P2825" i="34"/>
  <c r="T2825" i="34"/>
  <c r="U2825" i="34"/>
  <c r="V2825" i="34"/>
  <c r="W2825" i="34"/>
  <c r="Y2825" i="34"/>
  <c r="AB2825" i="34"/>
  <c r="AC2825" i="34"/>
  <c r="AD2825" i="34"/>
  <c r="P2826" i="34"/>
  <c r="T2826" i="34"/>
  <c r="U2826" i="34"/>
  <c r="V2826" i="34"/>
  <c r="W2826" i="34"/>
  <c r="Y2826" i="34"/>
  <c r="AB2826" i="34"/>
  <c r="AC2826" i="34"/>
  <c r="AD2826" i="34"/>
  <c r="P2827" i="34"/>
  <c r="T2827" i="34"/>
  <c r="U2827" i="34"/>
  <c r="V2827" i="34"/>
  <c r="W2827" i="34"/>
  <c r="Y2827" i="34"/>
  <c r="AB2827" i="34"/>
  <c r="AC2827" i="34"/>
  <c r="AD2827" i="34"/>
  <c r="P2828" i="34"/>
  <c r="T2828" i="34"/>
  <c r="U2828" i="34"/>
  <c r="V2828" i="34"/>
  <c r="W2828" i="34"/>
  <c r="Y2828" i="34"/>
  <c r="AB2828" i="34"/>
  <c r="AC2828" i="34"/>
  <c r="AD2828" i="34"/>
  <c r="P2829" i="34"/>
  <c r="T2829" i="34"/>
  <c r="U2829" i="34"/>
  <c r="V2829" i="34"/>
  <c r="W2829" i="34"/>
  <c r="Y2829" i="34"/>
  <c r="AB2829" i="34"/>
  <c r="AC2829" i="34"/>
  <c r="AD2829" i="34"/>
  <c r="P2830" i="34"/>
  <c r="T2830" i="34"/>
  <c r="U2830" i="34"/>
  <c r="V2830" i="34"/>
  <c r="W2830" i="34"/>
  <c r="Y2830" i="34"/>
  <c r="AB2830" i="34"/>
  <c r="AC2830" i="34"/>
  <c r="AD2830" i="34"/>
  <c r="P2831" i="34"/>
  <c r="T2831" i="34"/>
  <c r="U2831" i="34"/>
  <c r="V2831" i="34"/>
  <c r="W2831" i="34"/>
  <c r="Y2831" i="34"/>
  <c r="AB2831" i="34"/>
  <c r="AC2831" i="34"/>
  <c r="AD2831" i="34"/>
  <c r="P2832" i="34"/>
  <c r="T2832" i="34"/>
  <c r="U2832" i="34"/>
  <c r="V2832" i="34"/>
  <c r="W2832" i="34"/>
  <c r="Y2832" i="34"/>
  <c r="AB2832" i="34"/>
  <c r="AC2832" i="34"/>
  <c r="AD2832" i="34"/>
  <c r="P2833" i="34"/>
  <c r="T2833" i="34"/>
  <c r="U2833" i="34"/>
  <c r="V2833" i="34"/>
  <c r="W2833" i="34"/>
  <c r="Y2833" i="34"/>
  <c r="AB2833" i="34"/>
  <c r="AC2833" i="34"/>
  <c r="AD2833" i="34"/>
  <c r="P2834" i="34"/>
  <c r="T2834" i="34"/>
  <c r="U2834" i="34"/>
  <c r="V2834" i="34"/>
  <c r="W2834" i="34"/>
  <c r="Y2834" i="34"/>
  <c r="AB2834" i="34"/>
  <c r="AC2834" i="34"/>
  <c r="AD2834" i="34"/>
  <c r="P2835" i="34"/>
  <c r="T2835" i="34"/>
  <c r="U2835" i="34"/>
  <c r="V2835" i="34"/>
  <c r="W2835" i="34"/>
  <c r="Y2835" i="34"/>
  <c r="AB2835" i="34"/>
  <c r="AC2835" i="34"/>
  <c r="AD2835" i="34"/>
  <c r="P2836" i="34"/>
  <c r="T2836" i="34"/>
  <c r="U2836" i="34"/>
  <c r="V2836" i="34"/>
  <c r="W2836" i="34"/>
  <c r="Y2836" i="34"/>
  <c r="AB2836" i="34"/>
  <c r="AC2836" i="34"/>
  <c r="AD2836" i="34"/>
  <c r="P2837" i="34"/>
  <c r="T2837" i="34"/>
  <c r="U2837" i="34"/>
  <c r="V2837" i="34"/>
  <c r="W2837" i="34"/>
  <c r="Y2837" i="34"/>
  <c r="AB2837" i="34"/>
  <c r="AC2837" i="34"/>
  <c r="AD2837" i="34"/>
  <c r="P2838" i="34"/>
  <c r="T2838" i="34"/>
  <c r="U2838" i="34"/>
  <c r="V2838" i="34"/>
  <c r="W2838" i="34"/>
  <c r="Y2838" i="34"/>
  <c r="AB2838" i="34"/>
  <c r="AC2838" i="34"/>
  <c r="AD2838" i="34"/>
  <c r="P2839" i="34"/>
  <c r="T2839" i="34"/>
  <c r="U2839" i="34"/>
  <c r="V2839" i="34"/>
  <c r="W2839" i="34"/>
  <c r="Y2839" i="34"/>
  <c r="AB2839" i="34"/>
  <c r="AC2839" i="34"/>
  <c r="AD2839" i="34"/>
  <c r="P2840" i="34"/>
  <c r="T2840" i="34"/>
  <c r="U2840" i="34"/>
  <c r="V2840" i="34"/>
  <c r="W2840" i="34"/>
  <c r="Y2840" i="34"/>
  <c r="AB2840" i="34"/>
  <c r="AC2840" i="34"/>
  <c r="AD2840" i="34"/>
  <c r="P2841" i="34"/>
  <c r="T2841" i="34"/>
  <c r="U2841" i="34"/>
  <c r="V2841" i="34"/>
  <c r="W2841" i="34"/>
  <c r="Y2841" i="34"/>
  <c r="AB2841" i="34"/>
  <c r="AC2841" i="34"/>
  <c r="AD2841" i="34"/>
  <c r="P2842" i="34"/>
  <c r="T2842" i="34"/>
  <c r="U2842" i="34"/>
  <c r="V2842" i="34"/>
  <c r="W2842" i="34"/>
  <c r="Y2842" i="34"/>
  <c r="AB2842" i="34"/>
  <c r="AC2842" i="34"/>
  <c r="AD2842" i="34"/>
  <c r="P2843" i="34"/>
  <c r="T2843" i="34"/>
  <c r="U2843" i="34"/>
  <c r="V2843" i="34"/>
  <c r="W2843" i="34"/>
  <c r="Y2843" i="34"/>
  <c r="AB2843" i="34"/>
  <c r="AC2843" i="34"/>
  <c r="AD2843" i="34"/>
  <c r="P2844" i="34"/>
  <c r="T2844" i="34"/>
  <c r="U2844" i="34"/>
  <c r="V2844" i="34"/>
  <c r="W2844" i="34"/>
  <c r="Y2844" i="34"/>
  <c r="AB2844" i="34"/>
  <c r="AC2844" i="34"/>
  <c r="AD2844" i="34"/>
  <c r="P2845" i="34"/>
  <c r="T2845" i="34"/>
  <c r="U2845" i="34"/>
  <c r="V2845" i="34"/>
  <c r="W2845" i="34"/>
  <c r="Y2845" i="34"/>
  <c r="AB2845" i="34"/>
  <c r="AC2845" i="34"/>
  <c r="AD2845" i="34"/>
  <c r="P2846" i="34"/>
  <c r="T2846" i="34"/>
  <c r="U2846" i="34"/>
  <c r="V2846" i="34"/>
  <c r="W2846" i="34"/>
  <c r="Y2846" i="34"/>
  <c r="AB2846" i="34"/>
  <c r="AC2846" i="34"/>
  <c r="AD2846" i="34"/>
  <c r="P2847" i="34"/>
  <c r="T2847" i="34"/>
  <c r="U2847" i="34"/>
  <c r="V2847" i="34"/>
  <c r="W2847" i="34"/>
  <c r="Y2847" i="34"/>
  <c r="AB2847" i="34"/>
  <c r="AC2847" i="34"/>
  <c r="AD2847" i="34"/>
  <c r="P2848" i="34"/>
  <c r="T2848" i="34"/>
  <c r="U2848" i="34"/>
  <c r="V2848" i="34"/>
  <c r="W2848" i="34"/>
  <c r="Y2848" i="34"/>
  <c r="AB2848" i="34"/>
  <c r="AC2848" i="34"/>
  <c r="AD2848" i="34"/>
  <c r="P2849" i="34"/>
  <c r="T2849" i="34"/>
  <c r="U2849" i="34"/>
  <c r="V2849" i="34"/>
  <c r="W2849" i="34"/>
  <c r="Y2849" i="34"/>
  <c r="AB2849" i="34"/>
  <c r="AC2849" i="34"/>
  <c r="AD2849" i="34"/>
  <c r="P2850" i="34"/>
  <c r="T2850" i="34"/>
  <c r="U2850" i="34"/>
  <c r="V2850" i="34"/>
  <c r="W2850" i="34"/>
  <c r="Y2850" i="34"/>
  <c r="AB2850" i="34"/>
  <c r="AC2850" i="34"/>
  <c r="AD2850" i="34"/>
  <c r="P2851" i="34"/>
  <c r="T2851" i="34"/>
  <c r="U2851" i="34"/>
  <c r="V2851" i="34"/>
  <c r="W2851" i="34"/>
  <c r="Y2851" i="34"/>
  <c r="AB2851" i="34"/>
  <c r="AC2851" i="34"/>
  <c r="AD2851" i="34"/>
  <c r="P2852" i="34"/>
  <c r="T2852" i="34"/>
  <c r="U2852" i="34"/>
  <c r="V2852" i="34"/>
  <c r="W2852" i="34"/>
  <c r="Y2852" i="34"/>
  <c r="AB2852" i="34"/>
  <c r="AC2852" i="34"/>
  <c r="AD2852" i="34"/>
  <c r="P2853" i="34"/>
  <c r="T2853" i="34"/>
  <c r="U2853" i="34"/>
  <c r="V2853" i="34"/>
  <c r="W2853" i="34"/>
  <c r="Y2853" i="34"/>
  <c r="AB2853" i="34"/>
  <c r="AC2853" i="34"/>
  <c r="AD2853" i="34"/>
  <c r="P2854" i="34"/>
  <c r="T2854" i="34"/>
  <c r="U2854" i="34"/>
  <c r="V2854" i="34"/>
  <c r="W2854" i="34"/>
  <c r="Y2854" i="34"/>
  <c r="AB2854" i="34"/>
  <c r="AC2854" i="34"/>
  <c r="AD2854" i="34"/>
  <c r="P2855" i="34"/>
  <c r="T2855" i="34"/>
  <c r="U2855" i="34"/>
  <c r="V2855" i="34"/>
  <c r="W2855" i="34"/>
  <c r="Y2855" i="34"/>
  <c r="AB2855" i="34"/>
  <c r="AC2855" i="34"/>
  <c r="AD2855" i="34"/>
  <c r="P2856" i="34"/>
  <c r="T2856" i="34"/>
  <c r="U2856" i="34"/>
  <c r="V2856" i="34"/>
  <c r="W2856" i="34"/>
  <c r="Y2856" i="34"/>
  <c r="AB2856" i="34"/>
  <c r="AC2856" i="34"/>
  <c r="AD2856" i="34"/>
  <c r="P2857" i="34"/>
  <c r="T2857" i="34"/>
  <c r="U2857" i="34"/>
  <c r="V2857" i="34"/>
  <c r="W2857" i="34"/>
  <c r="Y2857" i="34"/>
  <c r="AB2857" i="34"/>
  <c r="AC2857" i="34"/>
  <c r="AD2857" i="34"/>
  <c r="P2858" i="34"/>
  <c r="T2858" i="34"/>
  <c r="U2858" i="34"/>
  <c r="V2858" i="34"/>
  <c r="W2858" i="34"/>
  <c r="Y2858" i="34"/>
  <c r="AB2858" i="34"/>
  <c r="AC2858" i="34"/>
  <c r="AD2858" i="34"/>
  <c r="P2859" i="34"/>
  <c r="T2859" i="34"/>
  <c r="U2859" i="34"/>
  <c r="V2859" i="34"/>
  <c r="W2859" i="34"/>
  <c r="Y2859" i="34"/>
  <c r="AB2859" i="34"/>
  <c r="AC2859" i="34"/>
  <c r="AD2859" i="34"/>
  <c r="P2860" i="34"/>
  <c r="T2860" i="34"/>
  <c r="U2860" i="34"/>
  <c r="V2860" i="34"/>
  <c r="W2860" i="34"/>
  <c r="Y2860" i="34"/>
  <c r="AB2860" i="34"/>
  <c r="AC2860" i="34"/>
  <c r="AD2860" i="34"/>
  <c r="P2861" i="34"/>
  <c r="T2861" i="34"/>
  <c r="U2861" i="34"/>
  <c r="V2861" i="34"/>
  <c r="W2861" i="34"/>
  <c r="Y2861" i="34"/>
  <c r="AB2861" i="34"/>
  <c r="AC2861" i="34"/>
  <c r="AD2861" i="34"/>
  <c r="P2862" i="34"/>
  <c r="T2862" i="34"/>
  <c r="U2862" i="34"/>
  <c r="V2862" i="34"/>
  <c r="W2862" i="34"/>
  <c r="Y2862" i="34"/>
  <c r="AB2862" i="34"/>
  <c r="AC2862" i="34"/>
  <c r="AD2862" i="34"/>
  <c r="P2863" i="34"/>
  <c r="T2863" i="34"/>
  <c r="U2863" i="34"/>
  <c r="V2863" i="34"/>
  <c r="W2863" i="34"/>
  <c r="Y2863" i="34"/>
  <c r="AB2863" i="34"/>
  <c r="AC2863" i="34"/>
  <c r="AD2863" i="34"/>
  <c r="P2864" i="34"/>
  <c r="T2864" i="34"/>
  <c r="U2864" i="34"/>
  <c r="V2864" i="34"/>
  <c r="W2864" i="34"/>
  <c r="Y2864" i="34"/>
  <c r="AB2864" i="34"/>
  <c r="AC2864" i="34"/>
  <c r="AD2864" i="34"/>
  <c r="P2865" i="34"/>
  <c r="T2865" i="34"/>
  <c r="U2865" i="34"/>
  <c r="V2865" i="34"/>
  <c r="W2865" i="34"/>
  <c r="Y2865" i="34"/>
  <c r="AB2865" i="34"/>
  <c r="AC2865" i="34"/>
  <c r="AD2865" i="34"/>
  <c r="P2866" i="34"/>
  <c r="T2866" i="34"/>
  <c r="U2866" i="34"/>
  <c r="V2866" i="34"/>
  <c r="W2866" i="34"/>
  <c r="Y2866" i="34"/>
  <c r="AB2866" i="34"/>
  <c r="AC2866" i="34"/>
  <c r="AD2866" i="34"/>
  <c r="P2867" i="34"/>
  <c r="T2867" i="34"/>
  <c r="U2867" i="34"/>
  <c r="V2867" i="34"/>
  <c r="W2867" i="34"/>
  <c r="Y2867" i="34"/>
  <c r="AB2867" i="34"/>
  <c r="AC2867" i="34"/>
  <c r="AD2867" i="34"/>
  <c r="P2868" i="34"/>
  <c r="T2868" i="34"/>
  <c r="U2868" i="34"/>
  <c r="V2868" i="34"/>
  <c r="W2868" i="34"/>
  <c r="Y2868" i="34"/>
  <c r="AB2868" i="34"/>
  <c r="AC2868" i="34"/>
  <c r="AD2868" i="34"/>
  <c r="P2869" i="34"/>
  <c r="T2869" i="34"/>
  <c r="U2869" i="34"/>
  <c r="V2869" i="34"/>
  <c r="W2869" i="34"/>
  <c r="Y2869" i="34"/>
  <c r="AB2869" i="34"/>
  <c r="AC2869" i="34"/>
  <c r="AD2869" i="34"/>
  <c r="P2870" i="34"/>
  <c r="T2870" i="34"/>
  <c r="U2870" i="34"/>
  <c r="V2870" i="34"/>
  <c r="W2870" i="34"/>
  <c r="Y2870" i="34"/>
  <c r="AB2870" i="34"/>
  <c r="AC2870" i="34"/>
  <c r="AD2870" i="34"/>
  <c r="P2871" i="34"/>
  <c r="T2871" i="34"/>
  <c r="U2871" i="34"/>
  <c r="V2871" i="34"/>
  <c r="W2871" i="34"/>
  <c r="Y2871" i="34"/>
  <c r="AB2871" i="34"/>
  <c r="AC2871" i="34"/>
  <c r="AD2871" i="34"/>
  <c r="P2872" i="34"/>
  <c r="T2872" i="34"/>
  <c r="U2872" i="34"/>
  <c r="V2872" i="34"/>
  <c r="W2872" i="34"/>
  <c r="Y2872" i="34"/>
  <c r="AB2872" i="34"/>
  <c r="AC2872" i="34"/>
  <c r="AD2872" i="34"/>
  <c r="P2873" i="34"/>
  <c r="T2873" i="34"/>
  <c r="U2873" i="34"/>
  <c r="V2873" i="34"/>
  <c r="W2873" i="34"/>
  <c r="Y2873" i="34"/>
  <c r="AB2873" i="34"/>
  <c r="AC2873" i="34"/>
  <c r="AD2873" i="34"/>
  <c r="P2874" i="34"/>
  <c r="T2874" i="34"/>
  <c r="U2874" i="34"/>
  <c r="V2874" i="34"/>
  <c r="W2874" i="34"/>
  <c r="Y2874" i="34"/>
  <c r="AB2874" i="34"/>
  <c r="AC2874" i="34"/>
  <c r="AD2874" i="34"/>
  <c r="P2875" i="34"/>
  <c r="T2875" i="34"/>
  <c r="U2875" i="34"/>
  <c r="V2875" i="34"/>
  <c r="W2875" i="34"/>
  <c r="Y2875" i="34"/>
  <c r="AB2875" i="34"/>
  <c r="AC2875" i="34"/>
  <c r="AD2875" i="34"/>
  <c r="P2876" i="34"/>
  <c r="T2876" i="34"/>
  <c r="U2876" i="34"/>
  <c r="V2876" i="34"/>
  <c r="W2876" i="34"/>
  <c r="Y2876" i="34"/>
  <c r="AB2876" i="34"/>
  <c r="AC2876" i="34"/>
  <c r="AD2876" i="34"/>
  <c r="P2877" i="34"/>
  <c r="T2877" i="34"/>
  <c r="U2877" i="34"/>
  <c r="V2877" i="34"/>
  <c r="W2877" i="34"/>
  <c r="Y2877" i="34"/>
  <c r="AB2877" i="34"/>
  <c r="AC2877" i="34"/>
  <c r="AD2877" i="34"/>
  <c r="P2878" i="34"/>
  <c r="T2878" i="34"/>
  <c r="U2878" i="34"/>
  <c r="V2878" i="34"/>
  <c r="W2878" i="34"/>
  <c r="Y2878" i="34"/>
  <c r="AB2878" i="34"/>
  <c r="AC2878" i="34"/>
  <c r="AD2878" i="34"/>
  <c r="P2879" i="34"/>
  <c r="T2879" i="34"/>
  <c r="U2879" i="34"/>
  <c r="V2879" i="34"/>
  <c r="W2879" i="34"/>
  <c r="Y2879" i="34"/>
  <c r="AB2879" i="34"/>
  <c r="AC2879" i="34"/>
  <c r="AD2879" i="34"/>
  <c r="P2880" i="34"/>
  <c r="T2880" i="34"/>
  <c r="U2880" i="34"/>
  <c r="V2880" i="34"/>
  <c r="W2880" i="34"/>
  <c r="Y2880" i="34"/>
  <c r="AB2880" i="34"/>
  <c r="AC2880" i="34"/>
  <c r="AD2880" i="34"/>
  <c r="P2881" i="34"/>
  <c r="T2881" i="34"/>
  <c r="U2881" i="34"/>
  <c r="V2881" i="34"/>
  <c r="W2881" i="34"/>
  <c r="Y2881" i="34"/>
  <c r="AB2881" i="34"/>
  <c r="AC2881" i="34"/>
  <c r="AD2881" i="34"/>
  <c r="P2882" i="34"/>
  <c r="T2882" i="34"/>
  <c r="U2882" i="34"/>
  <c r="V2882" i="34"/>
  <c r="W2882" i="34"/>
  <c r="Y2882" i="34"/>
  <c r="AB2882" i="34"/>
  <c r="AC2882" i="34"/>
  <c r="AD2882" i="34"/>
  <c r="P2883" i="34"/>
  <c r="T2883" i="34"/>
  <c r="U2883" i="34"/>
  <c r="V2883" i="34"/>
  <c r="W2883" i="34"/>
  <c r="Y2883" i="34"/>
  <c r="AB2883" i="34"/>
  <c r="AC2883" i="34"/>
  <c r="AD2883" i="34"/>
  <c r="P2884" i="34"/>
  <c r="T2884" i="34"/>
  <c r="U2884" i="34"/>
  <c r="V2884" i="34"/>
  <c r="W2884" i="34"/>
  <c r="Y2884" i="34"/>
  <c r="AB2884" i="34"/>
  <c r="AC2884" i="34"/>
  <c r="AD2884" i="34"/>
  <c r="P2885" i="34"/>
  <c r="T2885" i="34"/>
  <c r="U2885" i="34"/>
  <c r="V2885" i="34"/>
  <c r="W2885" i="34"/>
  <c r="Y2885" i="34"/>
  <c r="AB2885" i="34"/>
  <c r="AC2885" i="34"/>
  <c r="AD2885" i="34"/>
  <c r="P2886" i="34"/>
  <c r="T2886" i="34"/>
  <c r="U2886" i="34"/>
  <c r="V2886" i="34"/>
  <c r="W2886" i="34"/>
  <c r="Y2886" i="34"/>
  <c r="AB2886" i="34"/>
  <c r="AC2886" i="34"/>
  <c r="AD2886" i="34"/>
  <c r="P2887" i="34"/>
  <c r="T2887" i="34"/>
  <c r="U2887" i="34"/>
  <c r="V2887" i="34"/>
  <c r="W2887" i="34"/>
  <c r="Y2887" i="34"/>
  <c r="AB2887" i="34"/>
  <c r="AC2887" i="34"/>
  <c r="AD2887" i="34"/>
  <c r="P2888" i="34"/>
  <c r="T2888" i="34"/>
  <c r="U2888" i="34"/>
  <c r="V2888" i="34"/>
  <c r="W2888" i="34"/>
  <c r="Y2888" i="34"/>
  <c r="AB2888" i="34"/>
  <c r="AC2888" i="34"/>
  <c r="AD2888" i="34"/>
  <c r="P2889" i="34"/>
  <c r="T2889" i="34"/>
  <c r="U2889" i="34"/>
  <c r="V2889" i="34"/>
  <c r="W2889" i="34"/>
  <c r="Y2889" i="34"/>
  <c r="AB2889" i="34"/>
  <c r="AC2889" i="34"/>
  <c r="AD2889" i="34"/>
  <c r="P2890" i="34"/>
  <c r="T2890" i="34"/>
  <c r="U2890" i="34"/>
  <c r="V2890" i="34"/>
  <c r="W2890" i="34"/>
  <c r="Y2890" i="34"/>
  <c r="AB2890" i="34"/>
  <c r="AC2890" i="34"/>
  <c r="AD2890" i="34"/>
  <c r="P2891" i="34"/>
  <c r="T2891" i="34"/>
  <c r="U2891" i="34"/>
  <c r="V2891" i="34"/>
  <c r="W2891" i="34"/>
  <c r="Y2891" i="34"/>
  <c r="AB2891" i="34"/>
  <c r="AC2891" i="34"/>
  <c r="AD2891" i="34"/>
  <c r="P2892" i="34"/>
  <c r="T2892" i="34"/>
  <c r="U2892" i="34"/>
  <c r="V2892" i="34"/>
  <c r="W2892" i="34"/>
  <c r="Y2892" i="34"/>
  <c r="AB2892" i="34"/>
  <c r="AC2892" i="34"/>
  <c r="AD2892" i="34"/>
  <c r="P2893" i="34"/>
  <c r="T2893" i="34"/>
  <c r="U2893" i="34"/>
  <c r="V2893" i="34"/>
  <c r="W2893" i="34"/>
  <c r="Y2893" i="34"/>
  <c r="AB2893" i="34"/>
  <c r="AC2893" i="34"/>
  <c r="AD2893" i="34"/>
  <c r="P2894" i="34"/>
  <c r="T2894" i="34"/>
  <c r="U2894" i="34"/>
  <c r="V2894" i="34"/>
  <c r="W2894" i="34"/>
  <c r="Y2894" i="34"/>
  <c r="AB2894" i="34"/>
  <c r="AC2894" i="34"/>
  <c r="AD2894" i="34"/>
  <c r="P2895" i="34"/>
  <c r="T2895" i="34"/>
  <c r="U2895" i="34"/>
  <c r="V2895" i="34"/>
  <c r="W2895" i="34"/>
  <c r="Y2895" i="34"/>
  <c r="AB2895" i="34"/>
  <c r="AC2895" i="34"/>
  <c r="AD2895" i="34"/>
  <c r="P2896" i="34"/>
  <c r="T2896" i="34"/>
  <c r="U2896" i="34"/>
  <c r="V2896" i="34"/>
  <c r="W2896" i="34"/>
  <c r="Y2896" i="34"/>
  <c r="AB2896" i="34"/>
  <c r="AC2896" i="34"/>
  <c r="AD2896" i="34"/>
  <c r="P2897" i="34"/>
  <c r="T2897" i="34"/>
  <c r="U2897" i="34"/>
  <c r="V2897" i="34"/>
  <c r="W2897" i="34"/>
  <c r="Y2897" i="34"/>
  <c r="AB2897" i="34"/>
  <c r="AC2897" i="34"/>
  <c r="AD2897" i="34"/>
  <c r="P2898" i="34"/>
  <c r="T2898" i="34"/>
  <c r="U2898" i="34"/>
  <c r="V2898" i="34"/>
  <c r="W2898" i="34"/>
  <c r="Y2898" i="34"/>
  <c r="AB2898" i="34"/>
  <c r="AC2898" i="34"/>
  <c r="AD2898" i="34"/>
  <c r="P2899" i="34"/>
  <c r="T2899" i="34"/>
  <c r="U2899" i="34"/>
  <c r="V2899" i="34"/>
  <c r="W2899" i="34"/>
  <c r="Y2899" i="34"/>
  <c r="AB2899" i="34"/>
  <c r="AC2899" i="34"/>
  <c r="AD2899" i="34"/>
  <c r="P2900" i="34"/>
  <c r="T2900" i="34"/>
  <c r="U2900" i="34"/>
  <c r="V2900" i="34"/>
  <c r="W2900" i="34"/>
  <c r="Y2900" i="34"/>
  <c r="AB2900" i="34"/>
  <c r="AC2900" i="34"/>
  <c r="AD2900" i="34"/>
  <c r="P2901" i="34"/>
  <c r="T2901" i="34"/>
  <c r="U2901" i="34"/>
  <c r="V2901" i="34"/>
  <c r="W2901" i="34"/>
  <c r="Y2901" i="34"/>
  <c r="AB2901" i="34"/>
  <c r="AC2901" i="34"/>
  <c r="AD2901" i="34"/>
  <c r="P2902" i="34"/>
  <c r="T2902" i="34"/>
  <c r="U2902" i="34"/>
  <c r="V2902" i="34"/>
  <c r="W2902" i="34"/>
  <c r="Y2902" i="34"/>
  <c r="AB2902" i="34"/>
  <c r="AC2902" i="34"/>
  <c r="AD2902" i="34"/>
  <c r="P2903" i="34"/>
  <c r="T2903" i="34"/>
  <c r="U2903" i="34"/>
  <c r="V2903" i="34"/>
  <c r="W2903" i="34"/>
  <c r="Y2903" i="34"/>
  <c r="AB2903" i="34"/>
  <c r="AC2903" i="34"/>
  <c r="AD2903" i="34"/>
  <c r="P2904" i="34"/>
  <c r="T2904" i="34"/>
  <c r="U2904" i="34"/>
  <c r="V2904" i="34"/>
  <c r="W2904" i="34"/>
  <c r="Y2904" i="34"/>
  <c r="AB2904" i="34"/>
  <c r="AC2904" i="34"/>
  <c r="AD2904" i="34"/>
  <c r="P2905" i="34"/>
  <c r="T2905" i="34"/>
  <c r="U2905" i="34"/>
  <c r="V2905" i="34"/>
  <c r="W2905" i="34"/>
  <c r="Y2905" i="34"/>
  <c r="AB2905" i="34"/>
  <c r="AC2905" i="34"/>
  <c r="AD2905" i="34"/>
  <c r="P2906" i="34"/>
  <c r="T2906" i="34"/>
  <c r="U2906" i="34"/>
  <c r="V2906" i="34"/>
  <c r="W2906" i="34"/>
  <c r="Y2906" i="34"/>
  <c r="AB2906" i="34"/>
  <c r="AC2906" i="34"/>
  <c r="AD2906" i="34"/>
  <c r="P2907" i="34"/>
  <c r="T2907" i="34"/>
  <c r="U2907" i="34"/>
  <c r="V2907" i="34"/>
  <c r="W2907" i="34"/>
  <c r="Y2907" i="34"/>
  <c r="AB2907" i="34"/>
  <c r="AC2907" i="34"/>
  <c r="AD2907" i="34"/>
  <c r="P2908" i="34"/>
  <c r="T2908" i="34"/>
  <c r="U2908" i="34"/>
  <c r="V2908" i="34"/>
  <c r="W2908" i="34"/>
  <c r="Y2908" i="34"/>
  <c r="AB2908" i="34"/>
  <c r="AC2908" i="34"/>
  <c r="AD2908" i="34"/>
  <c r="P2909" i="34"/>
  <c r="T2909" i="34"/>
  <c r="U2909" i="34"/>
  <c r="V2909" i="34"/>
  <c r="W2909" i="34"/>
  <c r="Y2909" i="34"/>
  <c r="AB2909" i="34"/>
  <c r="AC2909" i="34"/>
  <c r="AD2909" i="34"/>
  <c r="P2910" i="34"/>
  <c r="T2910" i="34"/>
  <c r="U2910" i="34"/>
  <c r="V2910" i="34"/>
  <c r="W2910" i="34"/>
  <c r="Y2910" i="34"/>
  <c r="AB2910" i="34"/>
  <c r="AC2910" i="34"/>
  <c r="AD2910" i="34"/>
  <c r="P2911" i="34"/>
  <c r="T2911" i="34"/>
  <c r="U2911" i="34"/>
  <c r="V2911" i="34"/>
  <c r="W2911" i="34"/>
  <c r="Y2911" i="34"/>
  <c r="AB2911" i="34"/>
  <c r="AC2911" i="34"/>
  <c r="AD2911" i="34"/>
  <c r="P2912" i="34"/>
  <c r="T2912" i="34"/>
  <c r="U2912" i="34"/>
  <c r="V2912" i="34"/>
  <c r="W2912" i="34"/>
  <c r="Y2912" i="34"/>
  <c r="AB2912" i="34"/>
  <c r="AC2912" i="34"/>
  <c r="AD2912" i="34"/>
  <c r="P2913" i="34"/>
  <c r="T2913" i="34"/>
  <c r="U2913" i="34"/>
  <c r="V2913" i="34"/>
  <c r="W2913" i="34"/>
  <c r="Y2913" i="34"/>
  <c r="AB2913" i="34"/>
  <c r="AC2913" i="34"/>
  <c r="AD2913" i="34"/>
  <c r="P2914" i="34"/>
  <c r="T2914" i="34"/>
  <c r="U2914" i="34"/>
  <c r="V2914" i="34"/>
  <c r="W2914" i="34"/>
  <c r="Y2914" i="34"/>
  <c r="AB2914" i="34"/>
  <c r="AC2914" i="34"/>
  <c r="AD2914" i="34"/>
  <c r="P2915" i="34"/>
  <c r="T2915" i="34"/>
  <c r="U2915" i="34"/>
  <c r="V2915" i="34"/>
  <c r="W2915" i="34"/>
  <c r="Y2915" i="34"/>
  <c r="AB2915" i="34"/>
  <c r="AC2915" i="34"/>
  <c r="AD2915" i="34"/>
  <c r="P2916" i="34"/>
  <c r="T2916" i="34"/>
  <c r="U2916" i="34"/>
  <c r="V2916" i="34"/>
  <c r="W2916" i="34"/>
  <c r="Y2916" i="34"/>
  <c r="AB2916" i="34"/>
  <c r="AC2916" i="34"/>
  <c r="AD2916" i="34"/>
  <c r="P2917" i="34"/>
  <c r="T2917" i="34"/>
  <c r="U2917" i="34"/>
  <c r="V2917" i="34"/>
  <c r="W2917" i="34"/>
  <c r="Y2917" i="34"/>
  <c r="AB2917" i="34"/>
  <c r="AC2917" i="34"/>
  <c r="AD2917" i="34"/>
  <c r="P2918" i="34"/>
  <c r="T2918" i="34"/>
  <c r="U2918" i="34"/>
  <c r="V2918" i="34"/>
  <c r="W2918" i="34"/>
  <c r="Y2918" i="34"/>
  <c r="AB2918" i="34"/>
  <c r="AC2918" i="34"/>
  <c r="AD2918" i="34"/>
  <c r="P2919" i="34"/>
  <c r="T2919" i="34"/>
  <c r="U2919" i="34"/>
  <c r="V2919" i="34"/>
  <c r="W2919" i="34"/>
  <c r="Y2919" i="34"/>
  <c r="AB2919" i="34"/>
  <c r="AC2919" i="34"/>
  <c r="AD2919" i="34"/>
  <c r="P2920" i="34"/>
  <c r="T2920" i="34"/>
  <c r="U2920" i="34"/>
  <c r="V2920" i="34"/>
  <c r="W2920" i="34"/>
  <c r="Y2920" i="34"/>
  <c r="AB2920" i="34"/>
  <c r="AC2920" i="34"/>
  <c r="AD2920" i="34"/>
  <c r="P2921" i="34"/>
  <c r="T2921" i="34"/>
  <c r="U2921" i="34"/>
  <c r="V2921" i="34"/>
  <c r="W2921" i="34"/>
  <c r="Y2921" i="34"/>
  <c r="AB2921" i="34"/>
  <c r="AC2921" i="34"/>
  <c r="AD2921" i="34"/>
  <c r="P2922" i="34"/>
  <c r="T2922" i="34"/>
  <c r="U2922" i="34"/>
  <c r="V2922" i="34"/>
  <c r="W2922" i="34"/>
  <c r="Y2922" i="34"/>
  <c r="AB2922" i="34"/>
  <c r="AC2922" i="34"/>
  <c r="AD2922" i="34"/>
  <c r="P2923" i="34"/>
  <c r="T2923" i="34"/>
  <c r="U2923" i="34"/>
  <c r="V2923" i="34"/>
  <c r="W2923" i="34"/>
  <c r="Y2923" i="34"/>
  <c r="AB2923" i="34"/>
  <c r="AC2923" i="34"/>
  <c r="AD2923" i="34"/>
  <c r="P2924" i="34"/>
  <c r="T2924" i="34"/>
  <c r="U2924" i="34"/>
  <c r="V2924" i="34"/>
  <c r="W2924" i="34"/>
  <c r="Y2924" i="34"/>
  <c r="AB2924" i="34"/>
  <c r="AC2924" i="34"/>
  <c r="AD2924" i="34"/>
  <c r="P2925" i="34"/>
  <c r="T2925" i="34"/>
  <c r="U2925" i="34"/>
  <c r="V2925" i="34"/>
  <c r="W2925" i="34"/>
  <c r="Y2925" i="34"/>
  <c r="AB2925" i="34"/>
  <c r="AC2925" i="34"/>
  <c r="AD2925" i="34"/>
  <c r="P2926" i="34"/>
  <c r="T2926" i="34"/>
  <c r="U2926" i="34"/>
  <c r="V2926" i="34"/>
  <c r="W2926" i="34"/>
  <c r="Y2926" i="34"/>
  <c r="AB2926" i="34"/>
  <c r="AC2926" i="34"/>
  <c r="AD2926" i="34"/>
  <c r="P2927" i="34"/>
  <c r="T2927" i="34"/>
  <c r="U2927" i="34"/>
  <c r="V2927" i="34"/>
  <c r="W2927" i="34"/>
  <c r="Y2927" i="34"/>
  <c r="AB2927" i="34"/>
  <c r="AC2927" i="34"/>
  <c r="AD2927" i="34"/>
  <c r="P2928" i="34"/>
  <c r="T2928" i="34"/>
  <c r="U2928" i="34"/>
  <c r="V2928" i="34"/>
  <c r="W2928" i="34"/>
  <c r="Y2928" i="34"/>
  <c r="AB2928" i="34"/>
  <c r="AC2928" i="34"/>
  <c r="AD2928" i="34"/>
  <c r="P2929" i="34"/>
  <c r="T2929" i="34"/>
  <c r="U2929" i="34"/>
  <c r="V2929" i="34"/>
  <c r="W2929" i="34"/>
  <c r="Y2929" i="34"/>
  <c r="AB2929" i="34"/>
  <c r="AC2929" i="34"/>
  <c r="AD2929" i="34"/>
  <c r="P2930" i="34"/>
  <c r="T2930" i="34"/>
  <c r="U2930" i="34"/>
  <c r="V2930" i="34"/>
  <c r="W2930" i="34"/>
  <c r="Y2930" i="34"/>
  <c r="AB2930" i="34"/>
  <c r="AC2930" i="34"/>
  <c r="AD2930" i="34"/>
  <c r="P2931" i="34"/>
  <c r="T2931" i="34"/>
  <c r="U2931" i="34"/>
  <c r="V2931" i="34"/>
  <c r="W2931" i="34"/>
  <c r="Y2931" i="34"/>
  <c r="AB2931" i="34"/>
  <c r="AC2931" i="34"/>
  <c r="AD2931" i="34"/>
  <c r="P2932" i="34"/>
  <c r="T2932" i="34"/>
  <c r="U2932" i="34"/>
  <c r="V2932" i="34"/>
  <c r="W2932" i="34"/>
  <c r="Y2932" i="34"/>
  <c r="AB2932" i="34"/>
  <c r="AC2932" i="34"/>
  <c r="AD2932" i="34"/>
  <c r="P2933" i="34"/>
  <c r="T2933" i="34"/>
  <c r="U2933" i="34"/>
  <c r="V2933" i="34"/>
  <c r="W2933" i="34"/>
  <c r="Y2933" i="34"/>
  <c r="AB2933" i="34"/>
  <c r="AC2933" i="34"/>
  <c r="AD2933" i="34"/>
  <c r="P2934" i="34"/>
  <c r="T2934" i="34"/>
  <c r="U2934" i="34"/>
  <c r="V2934" i="34"/>
  <c r="W2934" i="34"/>
  <c r="Y2934" i="34"/>
  <c r="AB2934" i="34"/>
  <c r="AC2934" i="34"/>
  <c r="AD2934" i="34"/>
  <c r="P2935" i="34"/>
  <c r="T2935" i="34"/>
  <c r="U2935" i="34"/>
  <c r="V2935" i="34"/>
  <c r="W2935" i="34"/>
  <c r="Y2935" i="34"/>
  <c r="AB2935" i="34"/>
  <c r="AC2935" i="34"/>
  <c r="AD2935" i="34"/>
  <c r="P2936" i="34"/>
  <c r="T2936" i="34"/>
  <c r="U2936" i="34"/>
  <c r="V2936" i="34"/>
  <c r="W2936" i="34"/>
  <c r="Y2936" i="34"/>
  <c r="AB2936" i="34"/>
  <c r="AC2936" i="34"/>
  <c r="AD2936" i="34"/>
  <c r="P2937" i="34"/>
  <c r="T2937" i="34"/>
  <c r="U2937" i="34"/>
  <c r="V2937" i="34"/>
  <c r="W2937" i="34"/>
  <c r="Y2937" i="34"/>
  <c r="AB2937" i="34"/>
  <c r="AC2937" i="34"/>
  <c r="AD2937" i="34"/>
  <c r="P2938" i="34"/>
  <c r="T2938" i="34"/>
  <c r="U2938" i="34"/>
  <c r="V2938" i="34"/>
  <c r="W2938" i="34"/>
  <c r="Y2938" i="34"/>
  <c r="AB2938" i="34"/>
  <c r="AC2938" i="34"/>
  <c r="AD2938" i="34"/>
  <c r="P2939" i="34"/>
  <c r="T2939" i="34"/>
  <c r="U2939" i="34"/>
  <c r="V2939" i="34"/>
  <c r="W2939" i="34"/>
  <c r="Y2939" i="34"/>
  <c r="AB2939" i="34"/>
  <c r="AC2939" i="34"/>
  <c r="AD2939" i="34"/>
  <c r="P2940" i="34"/>
  <c r="T2940" i="34"/>
  <c r="U2940" i="34"/>
  <c r="V2940" i="34"/>
  <c r="W2940" i="34"/>
  <c r="Y2940" i="34"/>
  <c r="AB2940" i="34"/>
  <c r="AC2940" i="34"/>
  <c r="AD2940" i="34"/>
  <c r="P2941" i="34"/>
  <c r="T2941" i="34"/>
  <c r="U2941" i="34"/>
  <c r="V2941" i="34"/>
  <c r="W2941" i="34"/>
  <c r="Y2941" i="34"/>
  <c r="AB2941" i="34"/>
  <c r="AC2941" i="34"/>
  <c r="AD2941" i="34"/>
  <c r="P2942" i="34"/>
  <c r="T2942" i="34"/>
  <c r="U2942" i="34"/>
  <c r="V2942" i="34"/>
  <c r="W2942" i="34"/>
  <c r="Y2942" i="34"/>
  <c r="AB2942" i="34"/>
  <c r="AC2942" i="34"/>
  <c r="AD2942" i="34"/>
  <c r="P2943" i="34"/>
  <c r="T2943" i="34"/>
  <c r="U2943" i="34"/>
  <c r="V2943" i="34"/>
  <c r="W2943" i="34"/>
  <c r="Y2943" i="34"/>
  <c r="AB2943" i="34"/>
  <c r="AC2943" i="34"/>
  <c r="AD2943" i="34"/>
  <c r="P2944" i="34"/>
  <c r="T2944" i="34"/>
  <c r="U2944" i="34"/>
  <c r="V2944" i="34"/>
  <c r="W2944" i="34"/>
  <c r="Y2944" i="34"/>
  <c r="AB2944" i="34"/>
  <c r="AC2944" i="34"/>
  <c r="AD2944" i="34"/>
  <c r="P2945" i="34"/>
  <c r="T2945" i="34"/>
  <c r="U2945" i="34"/>
  <c r="V2945" i="34"/>
  <c r="W2945" i="34"/>
  <c r="Y2945" i="34"/>
  <c r="AB2945" i="34"/>
  <c r="AC2945" i="34"/>
  <c r="AD2945" i="34"/>
  <c r="P2946" i="34"/>
  <c r="T2946" i="34"/>
  <c r="U2946" i="34"/>
  <c r="V2946" i="34"/>
  <c r="W2946" i="34"/>
  <c r="Y2946" i="34"/>
  <c r="AB2946" i="34"/>
  <c r="AC2946" i="34"/>
  <c r="AD2946" i="34"/>
  <c r="P2947" i="34"/>
  <c r="T2947" i="34"/>
  <c r="U2947" i="34"/>
  <c r="V2947" i="34"/>
  <c r="W2947" i="34"/>
  <c r="Y2947" i="34"/>
  <c r="AB2947" i="34"/>
  <c r="AC2947" i="34"/>
  <c r="AD2947" i="34"/>
  <c r="P2948" i="34"/>
  <c r="T2948" i="34"/>
  <c r="U2948" i="34"/>
  <c r="V2948" i="34"/>
  <c r="W2948" i="34"/>
  <c r="Y2948" i="34"/>
  <c r="AB2948" i="34"/>
  <c r="AC2948" i="34"/>
  <c r="AD2948" i="34"/>
  <c r="P2949" i="34"/>
  <c r="T2949" i="34"/>
  <c r="U2949" i="34"/>
  <c r="V2949" i="34"/>
  <c r="W2949" i="34"/>
  <c r="Y2949" i="34"/>
  <c r="AB2949" i="34"/>
  <c r="AC2949" i="34"/>
  <c r="AD2949" i="34"/>
  <c r="P2950" i="34"/>
  <c r="T2950" i="34"/>
  <c r="U2950" i="34"/>
  <c r="V2950" i="34"/>
  <c r="W2950" i="34"/>
  <c r="Y2950" i="34"/>
  <c r="AB2950" i="34"/>
  <c r="AC2950" i="34"/>
  <c r="AD2950" i="34"/>
  <c r="P2951" i="34"/>
  <c r="T2951" i="34"/>
  <c r="U2951" i="34"/>
  <c r="V2951" i="34"/>
  <c r="W2951" i="34"/>
  <c r="Y2951" i="34"/>
  <c r="AB2951" i="34"/>
  <c r="AC2951" i="34"/>
  <c r="AD2951" i="34"/>
  <c r="P2952" i="34"/>
  <c r="T2952" i="34"/>
  <c r="U2952" i="34"/>
  <c r="V2952" i="34"/>
  <c r="W2952" i="34"/>
  <c r="Y2952" i="34"/>
  <c r="AB2952" i="34"/>
  <c r="AC2952" i="34"/>
  <c r="AD2952" i="34"/>
  <c r="P2953" i="34"/>
  <c r="T2953" i="34"/>
  <c r="U2953" i="34"/>
  <c r="V2953" i="34"/>
  <c r="W2953" i="34"/>
  <c r="Y2953" i="34"/>
  <c r="AB2953" i="34"/>
  <c r="AC2953" i="34"/>
  <c r="AD2953" i="34"/>
  <c r="P2954" i="34"/>
  <c r="T2954" i="34"/>
  <c r="U2954" i="34"/>
  <c r="V2954" i="34"/>
  <c r="W2954" i="34"/>
  <c r="Y2954" i="34"/>
  <c r="AB2954" i="34"/>
  <c r="AC2954" i="34"/>
  <c r="AD2954" i="34"/>
  <c r="P2955" i="34"/>
  <c r="T2955" i="34"/>
  <c r="U2955" i="34"/>
  <c r="V2955" i="34"/>
  <c r="W2955" i="34"/>
  <c r="Y2955" i="34"/>
  <c r="AB2955" i="34"/>
  <c r="AC2955" i="34"/>
  <c r="AD2955" i="34"/>
  <c r="P2956" i="34"/>
  <c r="T2956" i="34"/>
  <c r="U2956" i="34"/>
  <c r="V2956" i="34"/>
  <c r="W2956" i="34"/>
  <c r="Y2956" i="34"/>
  <c r="AB2956" i="34"/>
  <c r="AC2956" i="34"/>
  <c r="AD2956" i="34"/>
  <c r="P2957" i="34"/>
  <c r="T2957" i="34"/>
  <c r="U2957" i="34"/>
  <c r="V2957" i="34"/>
  <c r="W2957" i="34"/>
  <c r="Y2957" i="34"/>
  <c r="AB2957" i="34"/>
  <c r="AC2957" i="34"/>
  <c r="AD2957" i="34"/>
  <c r="P2958" i="34"/>
  <c r="T2958" i="34"/>
  <c r="U2958" i="34"/>
  <c r="V2958" i="34"/>
  <c r="W2958" i="34"/>
  <c r="Y2958" i="34"/>
  <c r="AB2958" i="34"/>
  <c r="AC2958" i="34"/>
  <c r="AD2958" i="34"/>
  <c r="P2959" i="34"/>
  <c r="T2959" i="34"/>
  <c r="U2959" i="34"/>
  <c r="V2959" i="34"/>
  <c r="W2959" i="34"/>
  <c r="Y2959" i="34"/>
  <c r="AB2959" i="34"/>
  <c r="AC2959" i="34"/>
  <c r="AD2959" i="34"/>
  <c r="P2960" i="34"/>
  <c r="T2960" i="34"/>
  <c r="U2960" i="34"/>
  <c r="V2960" i="34"/>
  <c r="W2960" i="34"/>
  <c r="Y2960" i="34"/>
  <c r="AB2960" i="34"/>
  <c r="AC2960" i="34"/>
  <c r="AD2960" i="34"/>
  <c r="P2961" i="34"/>
  <c r="T2961" i="34"/>
  <c r="U2961" i="34"/>
  <c r="V2961" i="34"/>
  <c r="W2961" i="34"/>
  <c r="Y2961" i="34"/>
  <c r="AB2961" i="34"/>
  <c r="AC2961" i="34"/>
  <c r="AD2961" i="34"/>
  <c r="P2962" i="34"/>
  <c r="T2962" i="34"/>
  <c r="U2962" i="34"/>
  <c r="V2962" i="34"/>
  <c r="W2962" i="34"/>
  <c r="Y2962" i="34"/>
  <c r="AB2962" i="34"/>
  <c r="AC2962" i="34"/>
  <c r="AD2962" i="34"/>
  <c r="P2963" i="34"/>
  <c r="T2963" i="34"/>
  <c r="U2963" i="34"/>
  <c r="V2963" i="34"/>
  <c r="W2963" i="34"/>
  <c r="Y2963" i="34"/>
  <c r="AB2963" i="34"/>
  <c r="AC2963" i="34"/>
  <c r="AD2963" i="34"/>
  <c r="P2964" i="34"/>
  <c r="T2964" i="34"/>
  <c r="U2964" i="34"/>
  <c r="V2964" i="34"/>
  <c r="W2964" i="34"/>
  <c r="Y2964" i="34"/>
  <c r="AB2964" i="34"/>
  <c r="AC2964" i="34"/>
  <c r="AD2964" i="34"/>
  <c r="P2965" i="34"/>
  <c r="T2965" i="34"/>
  <c r="U2965" i="34"/>
  <c r="V2965" i="34"/>
  <c r="W2965" i="34"/>
  <c r="Y2965" i="34"/>
  <c r="AB2965" i="34"/>
  <c r="AC2965" i="34"/>
  <c r="AD2965" i="34"/>
  <c r="P2966" i="34"/>
  <c r="T2966" i="34"/>
  <c r="U2966" i="34"/>
  <c r="V2966" i="34"/>
  <c r="W2966" i="34"/>
  <c r="Y2966" i="34"/>
  <c r="AB2966" i="34"/>
  <c r="AC2966" i="34"/>
  <c r="AD2966" i="34"/>
  <c r="P2967" i="34"/>
  <c r="T2967" i="34"/>
  <c r="U2967" i="34"/>
  <c r="V2967" i="34"/>
  <c r="W2967" i="34"/>
  <c r="Y2967" i="34"/>
  <c r="AB2967" i="34"/>
  <c r="AC2967" i="34"/>
  <c r="AD2967" i="34"/>
  <c r="P2968" i="34"/>
  <c r="T2968" i="34"/>
  <c r="U2968" i="34"/>
  <c r="V2968" i="34"/>
  <c r="W2968" i="34"/>
  <c r="Y2968" i="34"/>
  <c r="AB2968" i="34"/>
  <c r="AC2968" i="34"/>
  <c r="AD2968" i="34"/>
  <c r="P2969" i="34"/>
  <c r="T2969" i="34"/>
  <c r="U2969" i="34"/>
  <c r="V2969" i="34"/>
  <c r="W2969" i="34"/>
  <c r="Y2969" i="34"/>
  <c r="AB2969" i="34"/>
  <c r="AC2969" i="34"/>
  <c r="AD2969" i="34"/>
  <c r="P2970" i="34"/>
  <c r="T2970" i="34"/>
  <c r="U2970" i="34"/>
  <c r="V2970" i="34"/>
  <c r="W2970" i="34"/>
  <c r="Y2970" i="34"/>
  <c r="AB2970" i="34"/>
  <c r="AC2970" i="34"/>
  <c r="AD2970" i="34"/>
  <c r="P2971" i="34"/>
  <c r="T2971" i="34"/>
  <c r="U2971" i="34"/>
  <c r="V2971" i="34"/>
  <c r="W2971" i="34"/>
  <c r="Y2971" i="34"/>
  <c r="AB2971" i="34"/>
  <c r="AC2971" i="34"/>
  <c r="AD2971" i="34"/>
  <c r="P2972" i="34"/>
  <c r="T2972" i="34"/>
  <c r="U2972" i="34"/>
  <c r="V2972" i="34"/>
  <c r="W2972" i="34"/>
  <c r="Y2972" i="34"/>
  <c r="AB2972" i="34"/>
  <c r="AC2972" i="34"/>
  <c r="AD2972" i="34"/>
  <c r="P2973" i="34"/>
  <c r="T2973" i="34"/>
  <c r="U2973" i="34"/>
  <c r="V2973" i="34"/>
  <c r="W2973" i="34"/>
  <c r="Y2973" i="34"/>
  <c r="AB2973" i="34"/>
  <c r="AC2973" i="34"/>
  <c r="AD2973" i="34"/>
  <c r="P2974" i="34"/>
  <c r="T2974" i="34"/>
  <c r="U2974" i="34"/>
  <c r="V2974" i="34"/>
  <c r="W2974" i="34"/>
  <c r="Y2974" i="34"/>
  <c r="AB2974" i="34"/>
  <c r="AC2974" i="34"/>
  <c r="AD2974" i="34"/>
  <c r="P2975" i="34"/>
  <c r="T2975" i="34"/>
  <c r="U2975" i="34"/>
  <c r="V2975" i="34"/>
  <c r="W2975" i="34"/>
  <c r="Y2975" i="34"/>
  <c r="AB2975" i="34"/>
  <c r="AC2975" i="34"/>
  <c r="AD2975" i="34"/>
  <c r="P2976" i="34"/>
  <c r="T2976" i="34"/>
  <c r="U2976" i="34"/>
  <c r="V2976" i="34"/>
  <c r="W2976" i="34"/>
  <c r="Y2976" i="34"/>
  <c r="AB2976" i="34"/>
  <c r="AC2976" i="34"/>
  <c r="AD2976" i="34"/>
  <c r="P2977" i="34"/>
  <c r="T2977" i="34"/>
  <c r="U2977" i="34"/>
  <c r="V2977" i="34"/>
  <c r="W2977" i="34"/>
  <c r="Y2977" i="34"/>
  <c r="AB2977" i="34"/>
  <c r="AC2977" i="34"/>
  <c r="AD2977" i="34"/>
  <c r="P2978" i="34"/>
  <c r="T2978" i="34"/>
  <c r="U2978" i="34"/>
  <c r="V2978" i="34"/>
  <c r="W2978" i="34"/>
  <c r="Y2978" i="34"/>
  <c r="AB2978" i="34"/>
  <c r="AC2978" i="34"/>
  <c r="AD2978" i="34"/>
  <c r="P2979" i="34"/>
  <c r="T2979" i="34"/>
  <c r="U2979" i="34"/>
  <c r="V2979" i="34"/>
  <c r="W2979" i="34"/>
  <c r="Y2979" i="34"/>
  <c r="AB2979" i="34"/>
  <c r="AC2979" i="34"/>
  <c r="AD2979" i="34"/>
  <c r="P2980" i="34"/>
  <c r="T2980" i="34"/>
  <c r="U2980" i="34"/>
  <c r="V2980" i="34"/>
  <c r="W2980" i="34"/>
  <c r="Y2980" i="34"/>
  <c r="AB2980" i="34"/>
  <c r="AC2980" i="34"/>
  <c r="AD2980" i="34"/>
  <c r="P2981" i="34"/>
  <c r="T2981" i="34"/>
  <c r="U2981" i="34"/>
  <c r="V2981" i="34"/>
  <c r="W2981" i="34"/>
  <c r="Y2981" i="34"/>
  <c r="AB2981" i="34"/>
  <c r="AC2981" i="34"/>
  <c r="AD2981" i="34"/>
  <c r="P2982" i="34"/>
  <c r="T2982" i="34"/>
  <c r="U2982" i="34"/>
  <c r="V2982" i="34"/>
  <c r="W2982" i="34"/>
  <c r="Y2982" i="34"/>
  <c r="AB2982" i="34"/>
  <c r="AC2982" i="34"/>
  <c r="AD2982" i="34"/>
  <c r="P2983" i="34"/>
  <c r="T2983" i="34"/>
  <c r="U2983" i="34"/>
  <c r="V2983" i="34"/>
  <c r="W2983" i="34"/>
  <c r="Y2983" i="34"/>
  <c r="AB2983" i="34"/>
  <c r="AC2983" i="34"/>
  <c r="AD2983" i="34"/>
  <c r="P2984" i="34"/>
  <c r="T2984" i="34"/>
  <c r="U2984" i="34"/>
  <c r="V2984" i="34"/>
  <c r="W2984" i="34"/>
  <c r="Y2984" i="34"/>
  <c r="AB2984" i="34"/>
  <c r="AC2984" i="34"/>
  <c r="AD2984" i="34"/>
  <c r="P2985" i="34"/>
  <c r="T2985" i="34"/>
  <c r="U2985" i="34"/>
  <c r="V2985" i="34"/>
  <c r="W2985" i="34"/>
  <c r="Y2985" i="34"/>
  <c r="AB2985" i="34"/>
  <c r="AC2985" i="34"/>
  <c r="AD2985" i="34"/>
  <c r="P2986" i="34"/>
  <c r="T2986" i="34"/>
  <c r="U2986" i="34"/>
  <c r="V2986" i="34"/>
  <c r="W2986" i="34"/>
  <c r="Y2986" i="34"/>
  <c r="AB2986" i="34"/>
  <c r="AC2986" i="34"/>
  <c r="AD2986" i="34"/>
  <c r="P2987" i="34"/>
  <c r="T2987" i="34"/>
  <c r="U2987" i="34"/>
  <c r="V2987" i="34"/>
  <c r="W2987" i="34"/>
  <c r="Y2987" i="34"/>
  <c r="AB2987" i="34"/>
  <c r="AC2987" i="34"/>
  <c r="AD2987" i="34"/>
  <c r="P2988" i="34"/>
  <c r="T2988" i="34"/>
  <c r="U2988" i="34"/>
  <c r="V2988" i="34"/>
  <c r="W2988" i="34"/>
  <c r="Y2988" i="34"/>
  <c r="AB2988" i="34"/>
  <c r="AC2988" i="34"/>
  <c r="AD2988" i="34"/>
  <c r="P2989" i="34"/>
  <c r="T2989" i="34"/>
  <c r="U2989" i="34"/>
  <c r="V2989" i="34"/>
  <c r="W2989" i="34"/>
  <c r="Y2989" i="34"/>
  <c r="AB2989" i="34"/>
  <c r="AC2989" i="34"/>
  <c r="AD2989" i="34"/>
  <c r="P2990" i="34"/>
  <c r="T2990" i="34"/>
  <c r="U2990" i="34"/>
  <c r="V2990" i="34"/>
  <c r="W2990" i="34"/>
  <c r="Y2990" i="34"/>
  <c r="AB2990" i="34"/>
  <c r="AC2990" i="34"/>
  <c r="AD2990" i="34"/>
  <c r="P2991" i="34"/>
  <c r="T2991" i="34"/>
  <c r="U2991" i="34"/>
  <c r="V2991" i="34"/>
  <c r="W2991" i="34"/>
  <c r="Y2991" i="34"/>
  <c r="AB2991" i="34"/>
  <c r="AC2991" i="34"/>
  <c r="AD2991" i="34"/>
  <c r="P2992" i="34"/>
  <c r="T2992" i="34"/>
  <c r="U2992" i="34"/>
  <c r="V2992" i="34"/>
  <c r="W2992" i="34"/>
  <c r="Y2992" i="34"/>
  <c r="AB2992" i="34"/>
  <c r="AC2992" i="34"/>
  <c r="AD2992" i="34"/>
  <c r="P2993" i="34"/>
  <c r="T2993" i="34"/>
  <c r="U2993" i="34"/>
  <c r="V2993" i="34"/>
  <c r="W2993" i="34"/>
  <c r="Y2993" i="34"/>
  <c r="AB2993" i="34"/>
  <c r="AC2993" i="34"/>
  <c r="AD2993" i="34"/>
  <c r="P2994" i="34"/>
  <c r="T2994" i="34"/>
  <c r="U2994" i="34"/>
  <c r="V2994" i="34"/>
  <c r="W2994" i="34"/>
  <c r="Y2994" i="34"/>
  <c r="AB2994" i="34"/>
  <c r="AC2994" i="34"/>
  <c r="AD2994" i="34"/>
  <c r="P2995" i="34"/>
  <c r="T2995" i="34"/>
  <c r="U2995" i="34"/>
  <c r="V2995" i="34"/>
  <c r="W2995" i="34"/>
  <c r="Y2995" i="34"/>
  <c r="AB2995" i="34"/>
  <c r="AC2995" i="34"/>
  <c r="AD2995" i="34"/>
  <c r="P2996" i="34"/>
  <c r="T2996" i="34"/>
  <c r="U2996" i="34"/>
  <c r="V2996" i="34"/>
  <c r="W2996" i="34"/>
  <c r="Y2996" i="34"/>
  <c r="AB2996" i="34"/>
  <c r="AC2996" i="34"/>
  <c r="AD2996" i="34"/>
  <c r="P2997" i="34"/>
  <c r="T2997" i="34"/>
  <c r="U2997" i="34"/>
  <c r="V2997" i="34"/>
  <c r="W2997" i="34"/>
  <c r="Y2997" i="34"/>
  <c r="AB2997" i="34"/>
  <c r="AC2997" i="34"/>
  <c r="AD2997" i="34"/>
  <c r="P2998" i="34"/>
  <c r="T2998" i="34"/>
  <c r="U2998" i="34"/>
  <c r="V2998" i="34"/>
  <c r="W2998" i="34"/>
  <c r="Y2998" i="34"/>
  <c r="AB2998" i="34"/>
  <c r="AC2998" i="34"/>
  <c r="AD2998" i="34"/>
  <c r="P2999" i="34"/>
  <c r="T2999" i="34"/>
  <c r="U2999" i="34"/>
  <c r="V2999" i="34"/>
  <c r="W2999" i="34"/>
  <c r="Y2999" i="34"/>
  <c r="AB2999" i="34"/>
  <c r="AC2999" i="34"/>
  <c r="AD2999" i="34"/>
  <c r="P3000" i="34"/>
  <c r="T3000" i="34"/>
  <c r="U3000" i="34"/>
  <c r="V3000" i="34"/>
  <c r="W3000" i="34"/>
  <c r="Y3000" i="34"/>
  <c r="AB3000" i="34"/>
  <c r="AC3000" i="34"/>
  <c r="AD3000" i="34"/>
  <c r="P3001" i="34"/>
  <c r="T3001" i="34"/>
  <c r="U3001" i="34"/>
  <c r="V3001" i="34"/>
  <c r="W3001" i="34"/>
  <c r="Y3001" i="34"/>
  <c r="AB3001" i="34"/>
  <c r="AC3001" i="34"/>
  <c r="AD3001" i="34"/>
  <c r="P3002" i="34"/>
  <c r="T3002" i="34"/>
  <c r="U3002" i="34"/>
  <c r="V3002" i="34"/>
  <c r="W3002" i="34"/>
  <c r="Y3002" i="34"/>
  <c r="AB3002" i="34"/>
  <c r="AC3002" i="34"/>
  <c r="AD3002" i="34"/>
  <c r="P3003" i="34"/>
  <c r="T3003" i="34"/>
  <c r="U3003" i="34"/>
  <c r="V3003" i="34"/>
  <c r="W3003" i="34"/>
  <c r="Y3003" i="34"/>
  <c r="AB3003" i="34"/>
  <c r="AC3003" i="34"/>
  <c r="AD3003" i="34"/>
  <c r="P3004" i="34"/>
  <c r="T3004" i="34"/>
  <c r="U3004" i="34"/>
  <c r="V3004" i="34"/>
  <c r="W3004" i="34"/>
  <c r="Y3004" i="34"/>
  <c r="AB3004" i="34"/>
  <c r="AC3004" i="34"/>
  <c r="AD3004" i="34"/>
  <c r="P3005" i="34"/>
  <c r="T3005" i="34"/>
  <c r="U3005" i="34"/>
  <c r="V3005" i="34"/>
  <c r="W3005" i="34"/>
  <c r="Y3005" i="34"/>
  <c r="AB3005" i="34"/>
  <c r="AC3005" i="34"/>
  <c r="AD3005" i="34"/>
  <c r="P3006" i="34"/>
  <c r="T3006" i="34"/>
  <c r="U3006" i="34"/>
  <c r="V3006" i="34"/>
  <c r="W3006" i="34"/>
  <c r="Y3006" i="34"/>
  <c r="AB3006" i="34"/>
  <c r="AC3006" i="34"/>
  <c r="AD3006" i="34"/>
  <c r="P3007" i="34"/>
  <c r="T3007" i="34"/>
  <c r="U3007" i="34"/>
  <c r="V3007" i="34"/>
  <c r="W3007" i="34"/>
  <c r="Y3007" i="34"/>
  <c r="AB3007" i="34"/>
  <c r="AC3007" i="34"/>
  <c r="AD3007" i="34"/>
  <c r="P3008" i="34"/>
  <c r="T3008" i="34"/>
  <c r="U3008" i="34"/>
  <c r="V3008" i="34"/>
  <c r="W3008" i="34"/>
  <c r="Y3008" i="34"/>
  <c r="AB3008" i="34"/>
  <c r="AC3008" i="34"/>
  <c r="AD3008" i="34"/>
  <c r="P3009" i="34"/>
  <c r="T3009" i="34"/>
  <c r="U3009" i="34"/>
  <c r="V3009" i="34"/>
  <c r="W3009" i="34"/>
  <c r="Y3009" i="34"/>
  <c r="AB3009" i="34"/>
  <c r="AC3009" i="34"/>
  <c r="AD3009" i="34"/>
  <c r="P3010" i="34"/>
  <c r="T3010" i="34"/>
  <c r="U3010" i="34"/>
  <c r="V3010" i="34"/>
  <c r="W3010" i="34"/>
  <c r="Y3010" i="34"/>
  <c r="AB3010" i="34"/>
  <c r="AC3010" i="34"/>
  <c r="AD3010" i="34"/>
  <c r="P3011" i="34"/>
  <c r="T3011" i="34"/>
  <c r="U3011" i="34"/>
  <c r="V3011" i="34"/>
  <c r="W3011" i="34"/>
  <c r="Y3011" i="34"/>
  <c r="AB3011" i="34"/>
  <c r="AC3011" i="34"/>
  <c r="AD3011" i="34"/>
  <c r="P3012" i="34"/>
  <c r="T3012" i="34"/>
  <c r="U3012" i="34"/>
  <c r="V3012" i="34"/>
  <c r="W3012" i="34"/>
  <c r="Y3012" i="34"/>
  <c r="AB3012" i="34"/>
  <c r="AC3012" i="34"/>
  <c r="AD3012" i="34"/>
  <c r="P3013" i="34"/>
  <c r="T3013" i="34"/>
  <c r="U3013" i="34"/>
  <c r="V3013" i="34"/>
  <c r="W3013" i="34"/>
  <c r="Y3013" i="34"/>
  <c r="AB3013" i="34"/>
  <c r="AC3013" i="34"/>
  <c r="AD3013" i="34"/>
  <c r="P3014" i="34"/>
  <c r="T3014" i="34"/>
  <c r="U3014" i="34"/>
  <c r="V3014" i="34"/>
  <c r="W3014" i="34"/>
  <c r="Y3014" i="34"/>
  <c r="AB3014" i="34"/>
  <c r="AC3014" i="34"/>
  <c r="AD3014" i="34"/>
  <c r="P3015" i="34"/>
  <c r="T3015" i="34"/>
  <c r="U3015" i="34"/>
  <c r="V3015" i="34"/>
  <c r="W3015" i="34"/>
  <c r="Y3015" i="34"/>
  <c r="AB3015" i="34"/>
  <c r="AC3015" i="34"/>
  <c r="AD3015" i="34"/>
  <c r="P3016" i="34"/>
  <c r="T3016" i="34"/>
  <c r="U3016" i="34"/>
  <c r="V3016" i="34"/>
  <c r="W3016" i="34"/>
  <c r="Y3016" i="34"/>
  <c r="AB3016" i="34"/>
  <c r="AC3016" i="34"/>
  <c r="AD3016" i="34"/>
  <c r="P3017" i="34"/>
  <c r="T3017" i="34"/>
  <c r="U3017" i="34"/>
  <c r="V3017" i="34"/>
  <c r="W3017" i="34"/>
  <c r="Y3017" i="34"/>
  <c r="AB3017" i="34"/>
  <c r="AC3017" i="34"/>
  <c r="AD3017" i="34"/>
  <c r="P3018" i="34"/>
  <c r="T3018" i="34"/>
  <c r="U3018" i="34"/>
  <c r="V3018" i="34"/>
  <c r="W3018" i="34"/>
  <c r="Y3018" i="34"/>
  <c r="AB3018" i="34"/>
  <c r="AC3018" i="34"/>
  <c r="AD3018" i="34"/>
  <c r="P3019" i="34"/>
  <c r="T3019" i="34"/>
  <c r="U3019" i="34"/>
  <c r="V3019" i="34"/>
  <c r="W3019" i="34"/>
  <c r="Y3019" i="34"/>
  <c r="AB3019" i="34"/>
  <c r="AC3019" i="34"/>
  <c r="AD3019" i="34"/>
  <c r="P3020" i="34"/>
  <c r="T3020" i="34"/>
  <c r="U3020" i="34"/>
  <c r="V3020" i="34"/>
  <c r="W3020" i="34"/>
  <c r="Y3020" i="34"/>
  <c r="AB3020" i="34"/>
  <c r="AC3020" i="34"/>
  <c r="AD3020" i="34"/>
  <c r="P3021" i="34"/>
  <c r="T3021" i="34"/>
  <c r="U3021" i="34"/>
  <c r="V3021" i="34"/>
  <c r="W3021" i="34"/>
  <c r="Y3021" i="34"/>
  <c r="AB3021" i="34"/>
  <c r="AC3021" i="34"/>
  <c r="AD3021" i="34"/>
  <c r="P3022" i="34"/>
  <c r="T3022" i="34"/>
  <c r="U3022" i="34"/>
  <c r="V3022" i="34"/>
  <c r="W3022" i="34"/>
  <c r="Y3022" i="34"/>
  <c r="AB3022" i="34"/>
  <c r="AC3022" i="34"/>
  <c r="AD3022" i="34"/>
  <c r="P3023" i="34"/>
  <c r="T3023" i="34"/>
  <c r="U3023" i="34"/>
  <c r="V3023" i="34"/>
  <c r="W3023" i="34"/>
  <c r="Y3023" i="34"/>
  <c r="AB3023" i="34"/>
  <c r="AC3023" i="34"/>
  <c r="AD3023" i="34"/>
  <c r="P3024" i="34"/>
  <c r="T3024" i="34"/>
  <c r="U3024" i="34"/>
  <c r="V3024" i="34"/>
  <c r="W3024" i="34"/>
  <c r="Y3024" i="34"/>
  <c r="AB3024" i="34"/>
  <c r="AC3024" i="34"/>
  <c r="AD3024" i="34"/>
  <c r="P3025" i="34"/>
  <c r="T3025" i="34"/>
  <c r="U3025" i="34"/>
  <c r="V3025" i="34"/>
  <c r="W3025" i="34"/>
  <c r="Y3025" i="34"/>
  <c r="AB3025" i="34"/>
  <c r="AC3025" i="34"/>
  <c r="AD3025" i="34"/>
  <c r="P3026" i="34"/>
  <c r="T3026" i="34"/>
  <c r="U3026" i="34"/>
  <c r="V3026" i="34"/>
  <c r="W3026" i="34"/>
  <c r="Y3026" i="34"/>
  <c r="AB3026" i="34"/>
  <c r="AC3026" i="34"/>
  <c r="AD3026" i="34"/>
  <c r="P3027" i="34"/>
  <c r="T3027" i="34"/>
  <c r="U3027" i="34"/>
  <c r="V3027" i="34"/>
  <c r="W3027" i="34"/>
  <c r="Y3027" i="34"/>
  <c r="AB3027" i="34"/>
  <c r="AC3027" i="34"/>
  <c r="AD3027" i="34"/>
  <c r="P3028" i="34"/>
  <c r="T3028" i="34"/>
  <c r="U3028" i="34"/>
  <c r="V3028" i="34"/>
  <c r="W3028" i="34"/>
  <c r="Y3028" i="34"/>
  <c r="AB3028" i="34"/>
  <c r="AC3028" i="34"/>
  <c r="AD3028" i="34"/>
  <c r="P3029" i="34"/>
  <c r="T3029" i="34"/>
  <c r="U3029" i="34"/>
  <c r="V3029" i="34"/>
  <c r="W3029" i="34"/>
  <c r="Y3029" i="34"/>
  <c r="AB3029" i="34"/>
  <c r="AC3029" i="34"/>
  <c r="AD3029" i="34"/>
  <c r="P3030" i="34"/>
  <c r="T3030" i="34"/>
  <c r="U3030" i="34"/>
  <c r="V3030" i="34"/>
  <c r="W3030" i="34"/>
  <c r="Y3030" i="34"/>
  <c r="AB3030" i="34"/>
  <c r="AC3030" i="34"/>
  <c r="AD3030" i="34"/>
  <c r="P3031" i="34"/>
  <c r="T3031" i="34"/>
  <c r="U3031" i="34"/>
  <c r="V3031" i="34"/>
  <c r="W3031" i="34"/>
  <c r="Y3031" i="34"/>
  <c r="AB3031" i="34"/>
  <c r="AC3031" i="34"/>
  <c r="AD3031" i="34"/>
  <c r="P3032" i="34"/>
  <c r="T3032" i="34"/>
  <c r="U3032" i="34"/>
  <c r="V3032" i="34"/>
  <c r="W3032" i="34"/>
  <c r="Y3032" i="34"/>
  <c r="AB3032" i="34"/>
  <c r="AC3032" i="34"/>
  <c r="AD3032" i="34"/>
  <c r="P3033" i="34"/>
  <c r="T3033" i="34"/>
  <c r="U3033" i="34"/>
  <c r="V3033" i="34"/>
  <c r="W3033" i="34"/>
  <c r="Y3033" i="34"/>
  <c r="AB3033" i="34"/>
  <c r="AC3033" i="34"/>
  <c r="AD3033" i="34"/>
  <c r="P3034" i="34"/>
  <c r="T3034" i="34"/>
  <c r="U3034" i="34"/>
  <c r="V3034" i="34"/>
  <c r="W3034" i="34"/>
  <c r="Y3034" i="34"/>
  <c r="AB3034" i="34"/>
  <c r="AC3034" i="34"/>
  <c r="AD3034" i="34"/>
  <c r="P3035" i="34"/>
  <c r="T3035" i="34"/>
  <c r="U3035" i="34"/>
  <c r="V3035" i="34"/>
  <c r="W3035" i="34"/>
  <c r="Y3035" i="34"/>
  <c r="AB3035" i="34"/>
  <c r="AC3035" i="34"/>
  <c r="AD3035" i="34"/>
  <c r="P3036" i="34"/>
  <c r="T3036" i="34"/>
  <c r="U3036" i="34"/>
  <c r="V3036" i="34"/>
  <c r="W3036" i="34"/>
  <c r="Y3036" i="34"/>
  <c r="AB3036" i="34"/>
  <c r="AC3036" i="34"/>
  <c r="AD3036" i="34"/>
  <c r="P3037" i="34"/>
  <c r="T3037" i="34"/>
  <c r="U3037" i="34"/>
  <c r="V3037" i="34"/>
  <c r="W3037" i="34"/>
  <c r="Y3037" i="34"/>
  <c r="AB3037" i="34"/>
  <c r="AC3037" i="34"/>
  <c r="AD3037" i="34"/>
  <c r="P3038" i="34"/>
  <c r="T3038" i="34"/>
  <c r="U3038" i="34"/>
  <c r="V3038" i="34"/>
  <c r="W3038" i="34"/>
  <c r="Y3038" i="34"/>
  <c r="AB3038" i="34"/>
  <c r="AC3038" i="34"/>
  <c r="AD3038" i="34"/>
  <c r="P3039" i="34"/>
  <c r="T3039" i="34"/>
  <c r="U3039" i="34"/>
  <c r="V3039" i="34"/>
  <c r="W3039" i="34"/>
  <c r="Y3039" i="34"/>
  <c r="AB3039" i="34"/>
  <c r="AC3039" i="34"/>
  <c r="AD3039" i="34"/>
  <c r="P3040" i="34"/>
  <c r="T3040" i="34"/>
  <c r="U3040" i="34"/>
  <c r="V3040" i="34"/>
  <c r="W3040" i="34"/>
  <c r="Y3040" i="34"/>
  <c r="AB3040" i="34"/>
  <c r="AC3040" i="34"/>
  <c r="AD3040" i="34"/>
  <c r="P3041" i="34"/>
  <c r="T3041" i="34"/>
  <c r="U3041" i="34"/>
  <c r="V3041" i="34"/>
  <c r="W3041" i="34"/>
  <c r="Y3041" i="34"/>
  <c r="AB3041" i="34"/>
  <c r="AC3041" i="34"/>
  <c r="AD3041" i="34"/>
  <c r="P3042" i="34"/>
  <c r="T3042" i="34"/>
  <c r="U3042" i="34"/>
  <c r="V3042" i="34"/>
  <c r="W3042" i="34"/>
  <c r="Y3042" i="34"/>
  <c r="AB3042" i="34"/>
  <c r="AC3042" i="34"/>
  <c r="AD3042" i="34"/>
  <c r="P3043" i="34"/>
  <c r="T3043" i="34"/>
  <c r="U3043" i="34"/>
  <c r="V3043" i="34"/>
  <c r="W3043" i="34"/>
  <c r="Y3043" i="34"/>
  <c r="AB3043" i="34"/>
  <c r="AC3043" i="34"/>
  <c r="AD3043" i="34"/>
  <c r="P3044" i="34"/>
  <c r="T3044" i="34"/>
  <c r="U3044" i="34"/>
  <c r="V3044" i="34"/>
  <c r="W3044" i="34"/>
  <c r="Y3044" i="34"/>
  <c r="AB3044" i="34"/>
  <c r="AC3044" i="34"/>
  <c r="AD3044" i="34"/>
  <c r="P3045" i="34"/>
  <c r="T3045" i="34"/>
  <c r="U3045" i="34"/>
  <c r="V3045" i="34"/>
  <c r="W3045" i="34"/>
  <c r="Y3045" i="34"/>
  <c r="AB3045" i="34"/>
  <c r="AC3045" i="34"/>
  <c r="AD3045" i="34"/>
  <c r="P3046" i="34"/>
  <c r="T3046" i="34"/>
  <c r="U3046" i="34"/>
  <c r="V3046" i="34"/>
  <c r="W3046" i="34"/>
  <c r="Y3046" i="34"/>
  <c r="AB3046" i="34"/>
  <c r="AC3046" i="34"/>
  <c r="AD3046" i="34"/>
  <c r="P3047" i="34"/>
  <c r="T3047" i="34"/>
  <c r="U3047" i="34"/>
  <c r="V3047" i="34"/>
  <c r="W3047" i="34"/>
  <c r="Y3047" i="34"/>
  <c r="AB3047" i="34"/>
  <c r="AC3047" i="34"/>
  <c r="AD3047" i="34"/>
  <c r="P3048" i="34"/>
  <c r="T3048" i="34"/>
  <c r="U3048" i="34"/>
  <c r="V3048" i="34"/>
  <c r="W3048" i="34"/>
  <c r="Y3048" i="34"/>
  <c r="AB3048" i="34"/>
  <c r="AC3048" i="34"/>
  <c r="AD3048" i="34"/>
  <c r="P3049" i="34"/>
  <c r="T3049" i="34"/>
  <c r="U3049" i="34"/>
  <c r="V3049" i="34"/>
  <c r="W3049" i="34"/>
  <c r="Y3049" i="34"/>
  <c r="AB3049" i="34"/>
  <c r="AC3049" i="34"/>
  <c r="AD3049" i="34"/>
  <c r="P3050" i="34"/>
  <c r="T3050" i="34"/>
  <c r="U3050" i="34"/>
  <c r="V3050" i="34"/>
  <c r="W3050" i="34"/>
  <c r="Y3050" i="34"/>
  <c r="AB3050" i="34"/>
  <c r="AC3050" i="34"/>
  <c r="AD3050" i="34"/>
  <c r="P3051" i="34"/>
  <c r="T3051" i="34"/>
  <c r="U3051" i="34"/>
  <c r="V3051" i="34"/>
  <c r="W3051" i="34"/>
  <c r="Y3051" i="34"/>
  <c r="AB3051" i="34"/>
  <c r="AC3051" i="34"/>
  <c r="AD3051" i="34"/>
  <c r="P3052" i="34"/>
  <c r="T3052" i="34"/>
  <c r="U3052" i="34"/>
  <c r="V3052" i="34"/>
  <c r="W3052" i="34"/>
  <c r="Y3052" i="34"/>
  <c r="AB3052" i="34"/>
  <c r="AC3052" i="34"/>
  <c r="AD3052" i="34"/>
  <c r="P3053" i="34"/>
  <c r="T3053" i="34"/>
  <c r="U3053" i="34"/>
  <c r="V3053" i="34"/>
  <c r="W3053" i="34"/>
  <c r="Y3053" i="34"/>
  <c r="AB3053" i="34"/>
  <c r="AC3053" i="34"/>
  <c r="AD3053" i="34"/>
  <c r="P3054" i="34"/>
  <c r="T3054" i="34"/>
  <c r="U3054" i="34"/>
  <c r="V3054" i="34"/>
  <c r="W3054" i="34"/>
  <c r="Y3054" i="34"/>
  <c r="AB3054" i="34"/>
  <c r="AC3054" i="34"/>
  <c r="AD3054" i="34"/>
  <c r="P3055" i="34"/>
  <c r="T3055" i="34"/>
  <c r="U3055" i="34"/>
  <c r="V3055" i="34"/>
  <c r="W3055" i="34"/>
  <c r="Y3055" i="34"/>
  <c r="AB3055" i="34"/>
  <c r="AC3055" i="34"/>
  <c r="AD3055" i="34"/>
  <c r="P3056" i="34"/>
  <c r="T3056" i="34"/>
  <c r="U3056" i="34"/>
  <c r="V3056" i="34"/>
  <c r="W3056" i="34"/>
  <c r="Y3056" i="34"/>
  <c r="AB3056" i="34"/>
  <c r="AC3056" i="34"/>
  <c r="AD3056" i="34"/>
  <c r="P3057" i="34"/>
  <c r="T3057" i="34"/>
  <c r="U3057" i="34"/>
  <c r="V3057" i="34"/>
  <c r="W3057" i="34"/>
  <c r="Y3057" i="34"/>
  <c r="AB3057" i="34"/>
  <c r="AC3057" i="34"/>
  <c r="AD3057" i="34"/>
  <c r="P3058" i="34"/>
  <c r="T3058" i="34"/>
  <c r="U3058" i="34"/>
  <c r="V3058" i="34"/>
  <c r="W3058" i="34"/>
  <c r="Y3058" i="34"/>
  <c r="AB3058" i="34"/>
  <c r="AC3058" i="34"/>
  <c r="AD3058" i="34"/>
  <c r="P3059" i="34"/>
  <c r="T3059" i="34"/>
  <c r="U3059" i="34"/>
  <c r="V3059" i="34"/>
  <c r="W3059" i="34"/>
  <c r="Y3059" i="34"/>
  <c r="AB3059" i="34"/>
  <c r="AC3059" i="34"/>
  <c r="AD3059" i="34"/>
  <c r="P3060" i="34"/>
  <c r="T3060" i="34"/>
  <c r="U3060" i="34"/>
  <c r="V3060" i="34"/>
  <c r="W3060" i="34"/>
  <c r="Y3060" i="34"/>
  <c r="AB3060" i="34"/>
  <c r="AC3060" i="34"/>
  <c r="AD3060" i="34"/>
  <c r="P3061" i="34"/>
  <c r="T3061" i="34"/>
  <c r="U3061" i="34"/>
  <c r="V3061" i="34"/>
  <c r="W3061" i="34"/>
  <c r="Y3061" i="34"/>
  <c r="AB3061" i="34"/>
  <c r="AC3061" i="34"/>
  <c r="AD3061" i="34"/>
  <c r="P3062" i="34"/>
  <c r="T3062" i="34"/>
  <c r="U3062" i="34"/>
  <c r="V3062" i="34"/>
  <c r="W3062" i="34"/>
  <c r="Y3062" i="34"/>
  <c r="AB3062" i="34"/>
  <c r="AC3062" i="34"/>
  <c r="AD3062" i="34"/>
  <c r="P3063" i="34"/>
  <c r="T3063" i="34"/>
  <c r="U3063" i="34"/>
  <c r="V3063" i="34"/>
  <c r="W3063" i="34"/>
  <c r="Y3063" i="34"/>
  <c r="AB3063" i="34"/>
  <c r="AC3063" i="34"/>
  <c r="AD3063" i="34"/>
  <c r="P3064" i="34"/>
  <c r="T3064" i="34"/>
  <c r="U3064" i="34"/>
  <c r="V3064" i="34"/>
  <c r="W3064" i="34"/>
  <c r="Y3064" i="34"/>
  <c r="AB3064" i="34"/>
  <c r="AC3064" i="34"/>
  <c r="AD3064" i="34"/>
  <c r="P3065" i="34"/>
  <c r="T3065" i="34"/>
  <c r="U3065" i="34"/>
  <c r="V3065" i="34"/>
  <c r="W3065" i="34"/>
  <c r="Y3065" i="34"/>
  <c r="AB3065" i="34"/>
  <c r="AC3065" i="34"/>
  <c r="AD3065" i="34"/>
  <c r="P3066" i="34"/>
  <c r="T3066" i="34"/>
  <c r="U3066" i="34"/>
  <c r="V3066" i="34"/>
  <c r="W3066" i="34"/>
  <c r="Y3066" i="34"/>
  <c r="AB3066" i="34"/>
  <c r="AC3066" i="34"/>
  <c r="AD3066" i="34"/>
  <c r="P3067" i="34"/>
  <c r="T3067" i="34"/>
  <c r="U3067" i="34"/>
  <c r="V3067" i="34"/>
  <c r="W3067" i="34"/>
  <c r="Y3067" i="34"/>
  <c r="AB3067" i="34"/>
  <c r="AC3067" i="34"/>
  <c r="AD3067" i="34"/>
  <c r="P3068" i="34"/>
  <c r="T3068" i="34"/>
  <c r="U3068" i="34"/>
  <c r="V3068" i="34"/>
  <c r="W3068" i="34"/>
  <c r="Y3068" i="34"/>
  <c r="AB3068" i="34"/>
  <c r="AC3068" i="34"/>
  <c r="AD3068" i="34"/>
  <c r="P3069" i="34"/>
  <c r="T3069" i="34"/>
  <c r="U3069" i="34"/>
  <c r="V3069" i="34"/>
  <c r="W3069" i="34"/>
  <c r="Y3069" i="34"/>
  <c r="AB3069" i="34"/>
  <c r="AC3069" i="34"/>
  <c r="AD3069" i="34"/>
  <c r="P3070" i="34"/>
  <c r="T3070" i="34"/>
  <c r="U3070" i="34"/>
  <c r="V3070" i="34"/>
  <c r="W3070" i="34"/>
  <c r="Y3070" i="34"/>
  <c r="AB3070" i="34"/>
  <c r="AC3070" i="34"/>
  <c r="AD3070" i="34"/>
  <c r="P3071" i="34"/>
  <c r="T3071" i="34"/>
  <c r="U3071" i="34"/>
  <c r="V3071" i="34"/>
  <c r="W3071" i="34"/>
  <c r="Y3071" i="34"/>
  <c r="AB3071" i="34"/>
  <c r="AC3071" i="34"/>
  <c r="AD3071" i="34"/>
  <c r="P3072" i="34"/>
  <c r="T3072" i="34"/>
  <c r="U3072" i="34"/>
  <c r="V3072" i="34"/>
  <c r="W3072" i="34"/>
  <c r="Y3072" i="34"/>
  <c r="AB3072" i="34"/>
  <c r="AC3072" i="34"/>
  <c r="AD3072" i="34"/>
  <c r="P3073" i="34"/>
  <c r="T3073" i="34"/>
  <c r="U3073" i="34"/>
  <c r="V3073" i="34"/>
  <c r="W3073" i="34"/>
  <c r="Y3073" i="34"/>
  <c r="AB3073" i="34"/>
  <c r="AC3073" i="34"/>
  <c r="AD3073" i="34"/>
  <c r="P3074" i="34"/>
  <c r="T3074" i="34"/>
  <c r="U3074" i="34"/>
  <c r="V3074" i="34"/>
  <c r="W3074" i="34"/>
  <c r="Y3074" i="34"/>
  <c r="AB3074" i="34"/>
  <c r="AC3074" i="34"/>
  <c r="AD3074" i="34"/>
  <c r="P3075" i="34"/>
  <c r="T3075" i="34"/>
  <c r="U3075" i="34"/>
  <c r="V3075" i="34"/>
  <c r="W3075" i="34"/>
  <c r="Y3075" i="34"/>
  <c r="AB3075" i="34"/>
  <c r="AC3075" i="34"/>
  <c r="AD3075" i="34"/>
  <c r="P3076" i="34"/>
  <c r="T3076" i="34"/>
  <c r="U3076" i="34"/>
  <c r="V3076" i="34"/>
  <c r="W3076" i="34"/>
  <c r="Y3076" i="34"/>
  <c r="AB3076" i="34"/>
  <c r="AC3076" i="34"/>
  <c r="AD3076" i="34"/>
  <c r="P3077" i="34"/>
  <c r="T3077" i="34"/>
  <c r="U3077" i="34"/>
  <c r="V3077" i="34"/>
  <c r="W3077" i="34"/>
  <c r="Y3077" i="34"/>
  <c r="AB3077" i="34"/>
  <c r="AC3077" i="34"/>
  <c r="AD3077" i="34"/>
  <c r="P3078" i="34"/>
  <c r="T3078" i="34"/>
  <c r="U3078" i="34"/>
  <c r="V3078" i="34"/>
  <c r="W3078" i="34"/>
  <c r="Y3078" i="34"/>
  <c r="AB3078" i="34"/>
  <c r="AC3078" i="34"/>
  <c r="AD3078" i="34"/>
  <c r="P3079" i="34"/>
  <c r="T3079" i="34"/>
  <c r="U3079" i="34"/>
  <c r="V3079" i="34"/>
  <c r="W3079" i="34"/>
  <c r="Y3079" i="34"/>
  <c r="AB3079" i="34"/>
  <c r="AC3079" i="34"/>
  <c r="AD3079" i="34"/>
  <c r="P3080" i="34"/>
  <c r="T3080" i="34"/>
  <c r="U3080" i="34"/>
  <c r="V3080" i="34"/>
  <c r="W3080" i="34"/>
  <c r="Y3080" i="34"/>
  <c r="AB3080" i="34"/>
  <c r="AC3080" i="34"/>
  <c r="AD3080" i="34"/>
  <c r="P3081" i="34"/>
  <c r="T3081" i="34"/>
  <c r="U3081" i="34"/>
  <c r="V3081" i="34"/>
  <c r="W3081" i="34"/>
  <c r="Y3081" i="34"/>
  <c r="AB3081" i="34"/>
  <c r="AC3081" i="34"/>
  <c r="AD3081" i="34"/>
  <c r="P3082" i="34"/>
  <c r="T3082" i="34"/>
  <c r="U3082" i="34"/>
  <c r="V3082" i="34"/>
  <c r="W3082" i="34"/>
  <c r="Y3082" i="34"/>
  <c r="AB3082" i="34"/>
  <c r="AC3082" i="34"/>
  <c r="AD3082" i="34"/>
  <c r="P3083" i="34"/>
  <c r="T3083" i="34"/>
  <c r="U3083" i="34"/>
  <c r="V3083" i="34"/>
  <c r="W3083" i="34"/>
  <c r="Y3083" i="34"/>
  <c r="AB3083" i="34"/>
  <c r="AC3083" i="34"/>
  <c r="AD3083" i="34"/>
  <c r="P3084" i="34"/>
  <c r="T3084" i="34"/>
  <c r="U3084" i="34"/>
  <c r="V3084" i="34"/>
  <c r="W3084" i="34"/>
  <c r="Y3084" i="34"/>
  <c r="AB3084" i="34"/>
  <c r="AC3084" i="34"/>
  <c r="AD3084" i="34"/>
  <c r="P3085" i="34"/>
  <c r="T3085" i="34"/>
  <c r="U3085" i="34"/>
  <c r="V3085" i="34"/>
  <c r="W3085" i="34"/>
  <c r="Y3085" i="34"/>
  <c r="AB3085" i="34"/>
  <c r="AC3085" i="34"/>
  <c r="AD3085" i="34"/>
  <c r="P3086" i="34"/>
  <c r="T3086" i="34"/>
  <c r="U3086" i="34"/>
  <c r="V3086" i="34"/>
  <c r="W3086" i="34"/>
  <c r="Y3086" i="34"/>
  <c r="AB3086" i="34"/>
  <c r="AC3086" i="34"/>
  <c r="AD3086" i="34"/>
  <c r="P3087" i="34"/>
  <c r="T3087" i="34"/>
  <c r="U3087" i="34"/>
  <c r="V3087" i="34"/>
  <c r="W3087" i="34"/>
  <c r="Y3087" i="34"/>
  <c r="AB3087" i="34"/>
  <c r="AC3087" i="34"/>
  <c r="AD3087" i="34"/>
  <c r="P3088" i="34"/>
  <c r="T3088" i="34"/>
  <c r="U3088" i="34"/>
  <c r="V3088" i="34"/>
  <c r="W3088" i="34"/>
  <c r="Y3088" i="34"/>
  <c r="AB3088" i="34"/>
  <c r="AC3088" i="34"/>
  <c r="AD3088" i="34"/>
  <c r="P3089" i="34"/>
  <c r="T3089" i="34"/>
  <c r="U3089" i="34"/>
  <c r="V3089" i="34"/>
  <c r="W3089" i="34"/>
  <c r="Y3089" i="34"/>
  <c r="AB3089" i="34"/>
  <c r="AC3089" i="34"/>
  <c r="AD3089" i="34"/>
  <c r="P3090" i="34"/>
  <c r="T3090" i="34"/>
  <c r="U3090" i="34"/>
  <c r="V3090" i="34"/>
  <c r="W3090" i="34"/>
  <c r="Y3090" i="34"/>
  <c r="AB3090" i="34"/>
  <c r="AC3090" i="34"/>
  <c r="AD3090" i="34"/>
  <c r="P3091" i="34"/>
  <c r="T3091" i="34"/>
  <c r="U3091" i="34"/>
  <c r="V3091" i="34"/>
  <c r="W3091" i="34"/>
  <c r="Y3091" i="34"/>
  <c r="AB3091" i="34"/>
  <c r="AC3091" i="34"/>
  <c r="AD3091" i="34"/>
  <c r="P3092" i="34"/>
  <c r="T3092" i="34"/>
  <c r="U3092" i="34"/>
  <c r="V3092" i="34"/>
  <c r="W3092" i="34"/>
  <c r="Y3092" i="34"/>
  <c r="AB3092" i="34"/>
  <c r="AC3092" i="34"/>
  <c r="AD3092" i="34"/>
  <c r="P3093" i="34"/>
  <c r="T3093" i="34"/>
  <c r="U3093" i="34"/>
  <c r="V3093" i="34"/>
  <c r="W3093" i="34"/>
  <c r="Y3093" i="34"/>
  <c r="AB3093" i="34"/>
  <c r="AC3093" i="34"/>
  <c r="AD3093" i="34"/>
  <c r="P3094" i="34"/>
  <c r="T3094" i="34"/>
  <c r="U3094" i="34"/>
  <c r="V3094" i="34"/>
  <c r="W3094" i="34"/>
  <c r="Y3094" i="34"/>
  <c r="AB3094" i="34"/>
  <c r="AC3094" i="34"/>
  <c r="AD3094" i="34"/>
  <c r="P3095" i="34"/>
  <c r="T3095" i="34"/>
  <c r="U3095" i="34"/>
  <c r="V3095" i="34"/>
  <c r="W3095" i="34"/>
  <c r="Y3095" i="34"/>
  <c r="AB3095" i="34"/>
  <c r="AC3095" i="34"/>
  <c r="AD3095" i="34"/>
  <c r="P3096" i="34"/>
  <c r="T3096" i="34"/>
  <c r="U3096" i="34"/>
  <c r="V3096" i="34"/>
  <c r="W3096" i="34"/>
  <c r="Y3096" i="34"/>
  <c r="AB3096" i="34"/>
  <c r="AC3096" i="34"/>
  <c r="AD3096" i="34"/>
  <c r="P3097" i="34"/>
  <c r="T3097" i="34"/>
  <c r="U3097" i="34"/>
  <c r="V3097" i="34"/>
  <c r="W3097" i="34"/>
  <c r="Y3097" i="34"/>
  <c r="AB3097" i="34"/>
  <c r="AC3097" i="34"/>
  <c r="AD3097" i="34"/>
  <c r="P3098" i="34"/>
  <c r="T3098" i="34"/>
  <c r="U3098" i="34"/>
  <c r="V3098" i="34"/>
  <c r="W3098" i="34"/>
  <c r="Y3098" i="34"/>
  <c r="AB3098" i="34"/>
  <c r="AC3098" i="34"/>
  <c r="AD3098" i="34"/>
  <c r="P3099" i="34"/>
  <c r="T3099" i="34"/>
  <c r="U3099" i="34"/>
  <c r="V3099" i="34"/>
  <c r="W3099" i="34"/>
  <c r="Y3099" i="34"/>
  <c r="AB3099" i="34"/>
  <c r="AC3099" i="34"/>
  <c r="AD3099" i="34"/>
  <c r="P3100" i="34"/>
  <c r="T3100" i="34"/>
  <c r="U3100" i="34"/>
  <c r="V3100" i="34"/>
  <c r="W3100" i="34"/>
  <c r="Y3100" i="34"/>
  <c r="AB3100" i="34"/>
  <c r="AC3100" i="34"/>
  <c r="AD3100" i="34"/>
  <c r="P3101" i="34"/>
  <c r="T3101" i="34"/>
  <c r="U3101" i="34"/>
  <c r="V3101" i="34"/>
  <c r="W3101" i="34"/>
  <c r="Y3101" i="34"/>
  <c r="AB3101" i="34"/>
  <c r="AC3101" i="34"/>
  <c r="AD3101" i="34"/>
  <c r="P3102" i="34"/>
  <c r="T3102" i="34"/>
  <c r="U3102" i="34"/>
  <c r="V3102" i="34"/>
  <c r="W3102" i="34"/>
  <c r="Y3102" i="34"/>
  <c r="AB3102" i="34"/>
  <c r="AC3102" i="34"/>
  <c r="AD3102" i="34"/>
  <c r="P3103" i="34"/>
  <c r="T3103" i="34"/>
  <c r="U3103" i="34"/>
  <c r="V3103" i="34"/>
  <c r="W3103" i="34"/>
  <c r="Y3103" i="34"/>
  <c r="AB3103" i="34"/>
  <c r="AC3103" i="34"/>
  <c r="AD3103" i="34"/>
  <c r="P3104" i="34"/>
  <c r="T3104" i="34"/>
  <c r="U3104" i="34"/>
  <c r="V3104" i="34"/>
  <c r="W3104" i="34"/>
  <c r="Y3104" i="34"/>
  <c r="AB3104" i="34"/>
  <c r="AC3104" i="34"/>
  <c r="AD3104" i="34"/>
  <c r="P3105" i="34"/>
  <c r="T3105" i="34"/>
  <c r="U3105" i="34"/>
  <c r="V3105" i="34"/>
  <c r="W3105" i="34"/>
  <c r="Y3105" i="34"/>
  <c r="AB3105" i="34"/>
  <c r="AC3105" i="34"/>
  <c r="AD3105" i="34"/>
  <c r="P3106" i="34"/>
  <c r="T3106" i="34"/>
  <c r="U3106" i="34"/>
  <c r="V3106" i="34"/>
  <c r="W3106" i="34"/>
  <c r="Y3106" i="34"/>
  <c r="AB3106" i="34"/>
  <c r="AC3106" i="34"/>
  <c r="AD3106" i="34"/>
  <c r="P3107" i="34"/>
  <c r="T3107" i="34"/>
  <c r="U3107" i="34"/>
  <c r="V3107" i="34"/>
  <c r="W3107" i="34"/>
  <c r="Y3107" i="34"/>
  <c r="AB3107" i="34"/>
  <c r="AC3107" i="34"/>
  <c r="AD3107" i="34"/>
  <c r="P3108" i="34"/>
  <c r="T3108" i="34"/>
  <c r="U3108" i="34"/>
  <c r="V3108" i="34"/>
  <c r="W3108" i="34"/>
  <c r="Y3108" i="34"/>
  <c r="AB3108" i="34"/>
  <c r="AC3108" i="34"/>
  <c r="AD3108" i="34"/>
  <c r="P3109" i="34"/>
  <c r="T3109" i="34"/>
  <c r="U3109" i="34"/>
  <c r="V3109" i="34"/>
  <c r="W3109" i="34"/>
  <c r="Y3109" i="34"/>
  <c r="AB3109" i="34"/>
  <c r="AC3109" i="34"/>
  <c r="AD3109" i="34"/>
  <c r="P3110" i="34"/>
  <c r="T3110" i="34"/>
  <c r="U3110" i="34"/>
  <c r="V3110" i="34"/>
  <c r="W3110" i="34"/>
  <c r="Y3110" i="34"/>
  <c r="AB3110" i="34"/>
  <c r="AC3110" i="34"/>
  <c r="AD3110" i="34"/>
  <c r="P3111" i="34"/>
  <c r="T3111" i="34"/>
  <c r="U3111" i="34"/>
  <c r="V3111" i="34"/>
  <c r="W3111" i="34"/>
  <c r="Y3111" i="34"/>
  <c r="AB3111" i="34"/>
  <c r="AC3111" i="34"/>
  <c r="AD3111" i="34"/>
  <c r="P3112" i="34"/>
  <c r="T3112" i="34"/>
  <c r="U3112" i="34"/>
  <c r="V3112" i="34"/>
  <c r="W3112" i="34"/>
  <c r="Y3112" i="34"/>
  <c r="AB3112" i="34"/>
  <c r="AC3112" i="34"/>
  <c r="AD3112" i="34"/>
  <c r="P3113" i="34"/>
  <c r="T3113" i="34"/>
  <c r="U3113" i="34"/>
  <c r="V3113" i="34"/>
  <c r="W3113" i="34"/>
  <c r="Y3113" i="34"/>
  <c r="AB3113" i="34"/>
  <c r="AC3113" i="34"/>
  <c r="AD3113" i="34"/>
  <c r="P3114" i="34"/>
  <c r="T3114" i="34"/>
  <c r="U3114" i="34"/>
  <c r="V3114" i="34"/>
  <c r="W3114" i="34"/>
  <c r="Y3114" i="34"/>
  <c r="AB3114" i="34"/>
  <c r="AC3114" i="34"/>
  <c r="AD3114" i="34"/>
  <c r="P3115" i="34"/>
  <c r="T3115" i="34"/>
  <c r="U3115" i="34"/>
  <c r="V3115" i="34"/>
  <c r="W3115" i="34"/>
  <c r="Y3115" i="34"/>
  <c r="AB3115" i="34"/>
  <c r="AC3115" i="34"/>
  <c r="AD3115" i="34"/>
  <c r="P3116" i="34"/>
  <c r="T3116" i="34"/>
  <c r="U3116" i="34"/>
  <c r="V3116" i="34"/>
  <c r="W3116" i="34"/>
  <c r="Y3116" i="34"/>
  <c r="AB3116" i="34"/>
  <c r="AC3116" i="34"/>
  <c r="AD3116" i="34"/>
  <c r="P3117" i="34"/>
  <c r="T3117" i="34"/>
  <c r="U3117" i="34"/>
  <c r="V3117" i="34"/>
  <c r="W3117" i="34"/>
  <c r="Y3117" i="34"/>
  <c r="AB3117" i="34"/>
  <c r="AC3117" i="34"/>
  <c r="AD3117" i="34"/>
  <c r="P3118" i="34"/>
  <c r="T3118" i="34"/>
  <c r="U3118" i="34"/>
  <c r="V3118" i="34"/>
  <c r="W3118" i="34"/>
  <c r="Y3118" i="34"/>
  <c r="AB3118" i="34"/>
  <c r="AC3118" i="34"/>
  <c r="AD3118" i="34"/>
  <c r="P3119" i="34"/>
  <c r="T3119" i="34"/>
  <c r="U3119" i="34"/>
  <c r="V3119" i="34"/>
  <c r="W3119" i="34"/>
  <c r="Y3119" i="34"/>
  <c r="AB3119" i="34"/>
  <c r="AC3119" i="34"/>
  <c r="AD3119" i="34"/>
  <c r="P3120" i="34"/>
  <c r="T3120" i="34"/>
  <c r="U3120" i="34"/>
  <c r="V3120" i="34"/>
  <c r="W3120" i="34"/>
  <c r="Y3120" i="34"/>
  <c r="AB3120" i="34"/>
  <c r="AC3120" i="34"/>
  <c r="AD3120" i="34"/>
  <c r="P3121" i="34"/>
  <c r="T3121" i="34"/>
  <c r="U3121" i="34"/>
  <c r="V3121" i="34"/>
  <c r="W3121" i="34"/>
  <c r="Y3121" i="34"/>
  <c r="AB3121" i="34"/>
  <c r="AC3121" i="34"/>
  <c r="AD3121" i="34"/>
  <c r="P3122" i="34"/>
  <c r="T3122" i="34"/>
  <c r="U3122" i="34"/>
  <c r="V3122" i="34"/>
  <c r="W3122" i="34"/>
  <c r="Y3122" i="34"/>
  <c r="AB3122" i="34"/>
  <c r="AC3122" i="34"/>
  <c r="AD3122" i="34"/>
  <c r="P3123" i="34"/>
  <c r="T3123" i="34"/>
  <c r="U3123" i="34"/>
  <c r="V3123" i="34"/>
  <c r="W3123" i="34"/>
  <c r="Y3123" i="34"/>
  <c r="AB3123" i="34"/>
  <c r="AC3123" i="34"/>
  <c r="AD3123" i="34"/>
  <c r="P3124" i="34"/>
  <c r="T3124" i="34"/>
  <c r="U3124" i="34"/>
  <c r="V3124" i="34"/>
  <c r="W3124" i="34"/>
  <c r="Y3124" i="34"/>
  <c r="AB3124" i="34"/>
  <c r="AC3124" i="34"/>
  <c r="AD3124" i="34"/>
  <c r="P3125" i="34"/>
  <c r="T3125" i="34"/>
  <c r="U3125" i="34"/>
  <c r="V3125" i="34"/>
  <c r="W3125" i="34"/>
  <c r="Y3125" i="34"/>
  <c r="AB3125" i="34"/>
  <c r="AC3125" i="34"/>
  <c r="AD3125" i="34"/>
  <c r="P3126" i="34"/>
  <c r="T3126" i="34"/>
  <c r="U3126" i="34"/>
  <c r="V3126" i="34"/>
  <c r="W3126" i="34"/>
  <c r="Y3126" i="34"/>
  <c r="AB3126" i="34"/>
  <c r="AC3126" i="34"/>
  <c r="AD3126" i="34"/>
  <c r="P3127" i="34"/>
  <c r="T3127" i="34"/>
  <c r="U3127" i="34"/>
  <c r="V3127" i="34"/>
  <c r="W3127" i="34"/>
  <c r="Y3127" i="34"/>
  <c r="AB3127" i="34"/>
  <c r="AC3127" i="34"/>
  <c r="AD3127" i="34"/>
  <c r="P3128" i="34"/>
  <c r="T3128" i="34"/>
  <c r="U3128" i="34"/>
  <c r="V3128" i="34"/>
  <c r="W3128" i="34"/>
  <c r="Y3128" i="34"/>
  <c r="AB3128" i="34"/>
  <c r="AC3128" i="34"/>
  <c r="AD3128" i="34"/>
  <c r="P3129" i="34"/>
  <c r="T3129" i="34"/>
  <c r="U3129" i="34"/>
  <c r="V3129" i="34"/>
  <c r="W3129" i="34"/>
  <c r="Y3129" i="34"/>
  <c r="AB3129" i="34"/>
  <c r="AC3129" i="34"/>
  <c r="AD3129" i="34"/>
  <c r="P3130" i="34"/>
  <c r="T3130" i="34"/>
  <c r="U3130" i="34"/>
  <c r="V3130" i="34"/>
  <c r="W3130" i="34"/>
  <c r="Y3130" i="34"/>
  <c r="AB3130" i="34"/>
  <c r="AC3130" i="34"/>
  <c r="AD3130" i="34"/>
  <c r="P3131" i="34"/>
  <c r="T3131" i="34"/>
  <c r="U3131" i="34"/>
  <c r="V3131" i="34"/>
  <c r="W3131" i="34"/>
  <c r="Y3131" i="34"/>
  <c r="AB3131" i="34"/>
  <c r="AC3131" i="34"/>
  <c r="AD3131" i="34"/>
  <c r="P3132" i="34"/>
  <c r="T3132" i="34"/>
  <c r="U3132" i="34"/>
  <c r="V3132" i="34"/>
  <c r="W3132" i="34"/>
  <c r="Y3132" i="34"/>
  <c r="AB3132" i="34"/>
  <c r="AC3132" i="34"/>
  <c r="AD3132" i="34"/>
  <c r="P3133" i="34"/>
  <c r="T3133" i="34"/>
  <c r="U3133" i="34"/>
  <c r="V3133" i="34"/>
  <c r="W3133" i="34"/>
  <c r="Y3133" i="34"/>
  <c r="AB3133" i="34"/>
  <c r="AC3133" i="34"/>
  <c r="AD3133" i="34"/>
  <c r="P3134" i="34"/>
  <c r="T3134" i="34"/>
  <c r="U3134" i="34"/>
  <c r="V3134" i="34"/>
  <c r="W3134" i="34"/>
  <c r="Y3134" i="34"/>
  <c r="AB3134" i="34"/>
  <c r="AC3134" i="34"/>
  <c r="AD3134" i="34"/>
  <c r="P3135" i="34"/>
  <c r="T3135" i="34"/>
  <c r="U3135" i="34"/>
  <c r="V3135" i="34"/>
  <c r="W3135" i="34"/>
  <c r="Y3135" i="34"/>
  <c r="AB3135" i="34"/>
  <c r="AC3135" i="34"/>
  <c r="AD3135" i="34"/>
  <c r="P3136" i="34"/>
  <c r="T3136" i="34"/>
  <c r="U3136" i="34"/>
  <c r="V3136" i="34"/>
  <c r="W3136" i="34"/>
  <c r="Y3136" i="34"/>
  <c r="AB3136" i="34"/>
  <c r="AC3136" i="34"/>
  <c r="AD3136" i="34"/>
  <c r="P3137" i="34"/>
  <c r="T3137" i="34"/>
  <c r="U3137" i="34"/>
  <c r="V3137" i="34"/>
  <c r="W3137" i="34"/>
  <c r="Y3137" i="34"/>
  <c r="AB3137" i="34"/>
  <c r="AC3137" i="34"/>
  <c r="AD3137" i="34"/>
  <c r="P3138" i="34"/>
  <c r="T3138" i="34"/>
  <c r="U3138" i="34"/>
  <c r="V3138" i="34"/>
  <c r="W3138" i="34"/>
  <c r="Y3138" i="34"/>
  <c r="AB3138" i="34"/>
  <c r="AC3138" i="34"/>
  <c r="AD3138" i="34"/>
  <c r="P3139" i="34"/>
  <c r="T3139" i="34"/>
  <c r="U3139" i="34"/>
  <c r="V3139" i="34"/>
  <c r="W3139" i="34"/>
  <c r="Y3139" i="34"/>
  <c r="AB3139" i="34"/>
  <c r="AC3139" i="34"/>
  <c r="AD3139" i="34"/>
  <c r="P3140" i="34"/>
  <c r="T3140" i="34"/>
  <c r="U3140" i="34"/>
  <c r="V3140" i="34"/>
  <c r="W3140" i="34"/>
  <c r="Y3140" i="34"/>
  <c r="AB3140" i="34"/>
  <c r="AC3140" i="34"/>
  <c r="AD3140" i="34"/>
  <c r="P3141" i="34"/>
  <c r="T3141" i="34"/>
  <c r="U3141" i="34"/>
  <c r="V3141" i="34"/>
  <c r="W3141" i="34"/>
  <c r="Y3141" i="34"/>
  <c r="AB3141" i="34"/>
  <c r="AC3141" i="34"/>
  <c r="AD3141" i="34"/>
  <c r="P3142" i="34"/>
  <c r="T3142" i="34"/>
  <c r="U3142" i="34"/>
  <c r="V3142" i="34"/>
  <c r="W3142" i="34"/>
  <c r="Y3142" i="34"/>
  <c r="AB3142" i="34"/>
  <c r="AC3142" i="34"/>
  <c r="AD3142" i="34"/>
  <c r="P3143" i="34"/>
  <c r="T3143" i="34"/>
  <c r="U3143" i="34"/>
  <c r="V3143" i="34"/>
  <c r="W3143" i="34"/>
  <c r="Y3143" i="34"/>
  <c r="AB3143" i="34"/>
  <c r="AC3143" i="34"/>
  <c r="AD3143" i="34"/>
  <c r="P3144" i="34"/>
  <c r="T3144" i="34"/>
  <c r="U3144" i="34"/>
  <c r="V3144" i="34"/>
  <c r="W3144" i="34"/>
  <c r="Y3144" i="34"/>
  <c r="AB3144" i="34"/>
  <c r="AC3144" i="34"/>
  <c r="AD3144" i="34"/>
  <c r="P3145" i="34"/>
  <c r="T3145" i="34"/>
  <c r="U3145" i="34"/>
  <c r="V3145" i="34"/>
  <c r="W3145" i="34"/>
  <c r="Y3145" i="34"/>
  <c r="AB3145" i="34"/>
  <c r="AC3145" i="34"/>
  <c r="AD3145" i="34"/>
  <c r="P3146" i="34"/>
  <c r="T3146" i="34"/>
  <c r="U3146" i="34"/>
  <c r="V3146" i="34"/>
  <c r="W3146" i="34"/>
  <c r="Y3146" i="34"/>
  <c r="AB3146" i="34"/>
  <c r="AC3146" i="34"/>
  <c r="AD3146" i="34"/>
  <c r="P3147" i="34"/>
  <c r="T3147" i="34"/>
  <c r="U3147" i="34"/>
  <c r="V3147" i="34"/>
  <c r="W3147" i="34"/>
  <c r="Y3147" i="34"/>
  <c r="AB3147" i="34"/>
  <c r="AC3147" i="34"/>
  <c r="AD3147" i="34"/>
  <c r="P3148" i="34"/>
  <c r="T3148" i="34"/>
  <c r="U3148" i="34"/>
  <c r="V3148" i="34"/>
  <c r="W3148" i="34"/>
  <c r="Y3148" i="34"/>
  <c r="AB3148" i="34"/>
  <c r="AC3148" i="34"/>
  <c r="AD3148" i="34"/>
  <c r="P3149" i="34"/>
  <c r="T3149" i="34"/>
  <c r="U3149" i="34"/>
  <c r="V3149" i="34"/>
  <c r="W3149" i="34"/>
  <c r="Y3149" i="34"/>
  <c r="AB3149" i="34"/>
  <c r="AC3149" i="34"/>
  <c r="AD3149" i="34"/>
  <c r="P3150" i="34"/>
  <c r="T3150" i="34"/>
  <c r="U3150" i="34"/>
  <c r="V3150" i="34"/>
  <c r="W3150" i="34"/>
  <c r="Y3150" i="34"/>
  <c r="AB3150" i="34"/>
  <c r="AC3150" i="34"/>
  <c r="AD3150" i="34"/>
  <c r="P3151" i="34"/>
  <c r="T3151" i="34"/>
  <c r="U3151" i="34"/>
  <c r="V3151" i="34"/>
  <c r="W3151" i="34"/>
  <c r="Y3151" i="34"/>
  <c r="AB3151" i="34"/>
  <c r="AC3151" i="34"/>
  <c r="AD3151" i="34"/>
  <c r="P3152" i="34"/>
  <c r="T3152" i="34"/>
  <c r="U3152" i="34"/>
  <c r="V3152" i="34"/>
  <c r="W3152" i="34"/>
  <c r="Y3152" i="34"/>
  <c r="AB3152" i="34"/>
  <c r="AC3152" i="34"/>
  <c r="AD3152" i="34"/>
  <c r="P3153" i="34"/>
  <c r="T3153" i="34"/>
  <c r="U3153" i="34"/>
  <c r="V3153" i="34"/>
  <c r="W3153" i="34"/>
  <c r="Y3153" i="34"/>
  <c r="AB3153" i="34"/>
  <c r="AC3153" i="34"/>
  <c r="AD3153" i="34"/>
  <c r="P3154" i="34"/>
  <c r="T3154" i="34"/>
  <c r="U3154" i="34"/>
  <c r="V3154" i="34"/>
  <c r="W3154" i="34"/>
  <c r="Y3154" i="34"/>
  <c r="AB3154" i="34"/>
  <c r="AC3154" i="34"/>
  <c r="AD3154" i="34"/>
  <c r="P3155" i="34"/>
  <c r="T3155" i="34"/>
  <c r="U3155" i="34"/>
  <c r="V3155" i="34"/>
  <c r="W3155" i="34"/>
  <c r="Y3155" i="34"/>
  <c r="AB3155" i="34"/>
  <c r="AC3155" i="34"/>
  <c r="AD3155" i="34"/>
  <c r="P3156" i="34"/>
  <c r="T3156" i="34"/>
  <c r="U3156" i="34"/>
  <c r="V3156" i="34"/>
  <c r="W3156" i="34"/>
  <c r="Y3156" i="34"/>
  <c r="AB3156" i="34"/>
  <c r="AC3156" i="34"/>
  <c r="AD3156" i="34"/>
  <c r="P3157" i="34"/>
  <c r="T3157" i="34"/>
  <c r="U3157" i="34"/>
  <c r="V3157" i="34"/>
  <c r="W3157" i="34"/>
  <c r="Y3157" i="34"/>
  <c r="AB3157" i="34"/>
  <c r="AC3157" i="34"/>
  <c r="AD3157" i="34"/>
  <c r="P3158" i="34"/>
  <c r="T3158" i="34"/>
  <c r="U3158" i="34"/>
  <c r="V3158" i="34"/>
  <c r="W3158" i="34"/>
  <c r="Y3158" i="34"/>
  <c r="AB3158" i="34"/>
  <c r="AC3158" i="34"/>
  <c r="AD3158" i="34"/>
  <c r="P3159" i="34"/>
  <c r="T3159" i="34"/>
  <c r="U3159" i="34"/>
  <c r="V3159" i="34"/>
  <c r="W3159" i="34"/>
  <c r="Y3159" i="34"/>
  <c r="AB3159" i="34"/>
  <c r="AC3159" i="34"/>
  <c r="AD3159" i="34"/>
  <c r="P3160" i="34"/>
  <c r="T3160" i="34"/>
  <c r="U3160" i="34"/>
  <c r="V3160" i="34"/>
  <c r="W3160" i="34"/>
  <c r="Y3160" i="34"/>
  <c r="AB3160" i="34"/>
  <c r="AC3160" i="34"/>
  <c r="AD3160" i="34"/>
  <c r="P3161" i="34"/>
  <c r="T3161" i="34"/>
  <c r="U3161" i="34"/>
  <c r="V3161" i="34"/>
  <c r="W3161" i="34"/>
  <c r="Y3161" i="34"/>
  <c r="AB3161" i="34"/>
  <c r="AC3161" i="34"/>
  <c r="AD3161" i="34"/>
  <c r="P3162" i="34"/>
  <c r="T3162" i="34"/>
  <c r="U3162" i="34"/>
  <c r="V3162" i="34"/>
  <c r="W3162" i="34"/>
  <c r="Y3162" i="34"/>
  <c r="AB3162" i="34"/>
  <c r="AC3162" i="34"/>
  <c r="AD3162" i="34"/>
  <c r="P3163" i="34"/>
  <c r="T3163" i="34"/>
  <c r="U3163" i="34"/>
  <c r="V3163" i="34"/>
  <c r="W3163" i="34"/>
  <c r="Y3163" i="34"/>
  <c r="AB3163" i="34"/>
  <c r="AC3163" i="34"/>
  <c r="AD3163" i="34"/>
  <c r="P3164" i="34"/>
  <c r="T3164" i="34"/>
  <c r="U3164" i="34"/>
  <c r="V3164" i="34"/>
  <c r="W3164" i="34"/>
  <c r="Y3164" i="34"/>
  <c r="AB3164" i="34"/>
  <c r="AC3164" i="34"/>
  <c r="AD3164" i="34"/>
  <c r="P3165" i="34"/>
  <c r="T3165" i="34"/>
  <c r="U3165" i="34"/>
  <c r="V3165" i="34"/>
  <c r="W3165" i="34"/>
  <c r="Y3165" i="34"/>
  <c r="AB3165" i="34"/>
  <c r="AC3165" i="34"/>
  <c r="AD3165" i="34"/>
  <c r="P3166" i="34"/>
  <c r="T3166" i="34"/>
  <c r="U3166" i="34"/>
  <c r="V3166" i="34"/>
  <c r="W3166" i="34"/>
  <c r="Y3166" i="34"/>
  <c r="AB3166" i="34"/>
  <c r="AC3166" i="34"/>
  <c r="AD3166" i="34"/>
  <c r="P3167" i="34"/>
  <c r="T3167" i="34"/>
  <c r="U3167" i="34"/>
  <c r="V3167" i="34"/>
  <c r="W3167" i="34"/>
  <c r="Y3167" i="34"/>
  <c r="AB3167" i="34"/>
  <c r="AC3167" i="34"/>
  <c r="AD3167" i="34"/>
  <c r="P3168" i="34"/>
  <c r="T3168" i="34"/>
  <c r="U3168" i="34"/>
  <c r="V3168" i="34"/>
  <c r="W3168" i="34"/>
  <c r="Y3168" i="34"/>
  <c r="AB3168" i="34"/>
  <c r="AC3168" i="34"/>
  <c r="AD3168" i="34"/>
  <c r="P3169" i="34"/>
  <c r="T3169" i="34"/>
  <c r="U3169" i="34"/>
  <c r="V3169" i="34"/>
  <c r="W3169" i="34"/>
  <c r="Y3169" i="34"/>
  <c r="AB3169" i="34"/>
  <c r="AC3169" i="34"/>
  <c r="AD3169" i="34"/>
  <c r="P3170" i="34"/>
  <c r="T3170" i="34"/>
  <c r="U3170" i="34"/>
  <c r="V3170" i="34"/>
  <c r="W3170" i="34"/>
  <c r="Y3170" i="34"/>
  <c r="AB3170" i="34"/>
  <c r="AC3170" i="34"/>
  <c r="AD3170" i="34"/>
  <c r="P3171" i="34"/>
  <c r="T3171" i="34"/>
  <c r="U3171" i="34"/>
  <c r="V3171" i="34"/>
  <c r="W3171" i="34"/>
  <c r="Y3171" i="34"/>
  <c r="AB3171" i="34"/>
  <c r="AC3171" i="34"/>
  <c r="AD3171" i="34"/>
  <c r="P3172" i="34"/>
  <c r="T3172" i="34"/>
  <c r="U3172" i="34"/>
  <c r="V3172" i="34"/>
  <c r="W3172" i="34"/>
  <c r="Y3172" i="34"/>
  <c r="AB3172" i="34"/>
  <c r="AC3172" i="34"/>
  <c r="AD3172" i="34"/>
  <c r="P3173" i="34"/>
  <c r="T3173" i="34"/>
  <c r="U3173" i="34"/>
  <c r="V3173" i="34"/>
  <c r="W3173" i="34"/>
  <c r="Y3173" i="34"/>
  <c r="AB3173" i="34"/>
  <c r="AC3173" i="34"/>
  <c r="AD3173" i="34"/>
  <c r="P3174" i="34"/>
  <c r="T3174" i="34"/>
  <c r="U3174" i="34"/>
  <c r="V3174" i="34"/>
  <c r="W3174" i="34"/>
  <c r="Y3174" i="34"/>
  <c r="AB3174" i="34"/>
  <c r="AC3174" i="34"/>
  <c r="AD3174" i="34"/>
  <c r="P3175" i="34"/>
  <c r="T3175" i="34"/>
  <c r="U3175" i="34"/>
  <c r="V3175" i="34"/>
  <c r="W3175" i="34"/>
  <c r="Y3175" i="34"/>
  <c r="AB3175" i="34"/>
  <c r="AC3175" i="34"/>
  <c r="AD3175" i="34"/>
  <c r="P3176" i="34"/>
  <c r="T3176" i="34"/>
  <c r="U3176" i="34"/>
  <c r="V3176" i="34"/>
  <c r="W3176" i="34"/>
  <c r="Y3176" i="34"/>
  <c r="AB3176" i="34"/>
  <c r="AC3176" i="34"/>
  <c r="AD3176" i="34"/>
  <c r="P3177" i="34"/>
  <c r="T3177" i="34"/>
  <c r="U3177" i="34"/>
  <c r="V3177" i="34"/>
  <c r="W3177" i="34"/>
  <c r="Y3177" i="34"/>
  <c r="AB3177" i="34"/>
  <c r="AC3177" i="34"/>
  <c r="AD3177" i="34"/>
  <c r="P3178" i="34"/>
  <c r="T3178" i="34"/>
  <c r="U3178" i="34"/>
  <c r="V3178" i="34"/>
  <c r="W3178" i="34"/>
  <c r="Y3178" i="34"/>
  <c r="AB3178" i="34"/>
  <c r="AC3178" i="34"/>
  <c r="AD3178" i="34"/>
  <c r="P3179" i="34"/>
  <c r="T3179" i="34"/>
  <c r="U3179" i="34"/>
  <c r="V3179" i="34"/>
  <c r="W3179" i="34"/>
  <c r="Y3179" i="34"/>
  <c r="AB3179" i="34"/>
  <c r="AC3179" i="34"/>
  <c r="AD3179" i="34"/>
  <c r="P3180" i="34"/>
  <c r="T3180" i="34"/>
  <c r="U3180" i="34"/>
  <c r="V3180" i="34"/>
  <c r="W3180" i="34"/>
  <c r="Y3180" i="34"/>
  <c r="AB3180" i="34"/>
  <c r="AC3180" i="34"/>
  <c r="AD3180" i="34"/>
  <c r="P3181" i="34"/>
  <c r="T3181" i="34"/>
  <c r="U3181" i="34"/>
  <c r="V3181" i="34"/>
  <c r="W3181" i="34"/>
  <c r="Y3181" i="34"/>
  <c r="AB3181" i="34"/>
  <c r="AC3181" i="34"/>
  <c r="AD3181" i="34"/>
  <c r="P3182" i="34"/>
  <c r="T3182" i="34"/>
  <c r="U3182" i="34"/>
  <c r="V3182" i="34"/>
  <c r="W3182" i="34"/>
  <c r="Y3182" i="34"/>
  <c r="AB3182" i="34"/>
  <c r="AC3182" i="34"/>
  <c r="AD3182" i="34"/>
  <c r="P3183" i="34"/>
  <c r="T3183" i="34"/>
  <c r="U3183" i="34"/>
  <c r="V3183" i="34"/>
  <c r="W3183" i="34"/>
  <c r="Y3183" i="34"/>
  <c r="AB3183" i="34"/>
  <c r="AC3183" i="34"/>
  <c r="AD3183" i="34"/>
  <c r="P3184" i="34"/>
  <c r="T3184" i="34"/>
  <c r="U3184" i="34"/>
  <c r="V3184" i="34"/>
  <c r="W3184" i="34"/>
  <c r="Y3184" i="34"/>
  <c r="AB3184" i="34"/>
  <c r="AC3184" i="34"/>
  <c r="AD3184" i="34"/>
  <c r="P3185" i="34"/>
  <c r="T3185" i="34"/>
  <c r="U3185" i="34"/>
  <c r="V3185" i="34"/>
  <c r="W3185" i="34"/>
  <c r="Y3185" i="34"/>
  <c r="AB3185" i="34"/>
  <c r="AC3185" i="34"/>
  <c r="AD3185" i="34"/>
  <c r="P3186" i="34"/>
  <c r="T3186" i="34"/>
  <c r="U3186" i="34"/>
  <c r="V3186" i="34"/>
  <c r="W3186" i="34"/>
  <c r="Y3186" i="34"/>
  <c r="AB3186" i="34"/>
  <c r="AC3186" i="34"/>
  <c r="AD3186" i="34"/>
  <c r="P3187" i="34"/>
  <c r="T3187" i="34"/>
  <c r="U3187" i="34"/>
  <c r="V3187" i="34"/>
  <c r="W3187" i="34"/>
  <c r="Y3187" i="34"/>
  <c r="AB3187" i="34"/>
  <c r="AC3187" i="34"/>
  <c r="AD3187" i="34"/>
  <c r="P3188" i="34"/>
  <c r="T3188" i="34"/>
  <c r="U3188" i="34"/>
  <c r="V3188" i="34"/>
  <c r="W3188" i="34"/>
  <c r="Y3188" i="34"/>
  <c r="AB3188" i="34"/>
  <c r="AC3188" i="34"/>
  <c r="AD3188" i="34"/>
  <c r="P3189" i="34"/>
  <c r="T3189" i="34"/>
  <c r="U3189" i="34"/>
  <c r="V3189" i="34"/>
  <c r="W3189" i="34"/>
  <c r="Y3189" i="34"/>
  <c r="AB3189" i="34"/>
  <c r="AC3189" i="34"/>
  <c r="AD3189" i="34"/>
  <c r="P3190" i="34"/>
  <c r="T3190" i="34"/>
  <c r="U3190" i="34"/>
  <c r="V3190" i="34"/>
  <c r="W3190" i="34"/>
  <c r="Y3190" i="34"/>
  <c r="AB3190" i="34"/>
  <c r="AC3190" i="34"/>
  <c r="AD3190" i="34"/>
  <c r="P3191" i="34"/>
  <c r="T3191" i="34"/>
  <c r="U3191" i="34"/>
  <c r="V3191" i="34"/>
  <c r="W3191" i="34"/>
  <c r="Y3191" i="34"/>
  <c r="AB3191" i="34"/>
  <c r="AC3191" i="34"/>
  <c r="AD3191" i="34"/>
  <c r="P3192" i="34"/>
  <c r="T3192" i="34"/>
  <c r="U3192" i="34"/>
  <c r="V3192" i="34"/>
  <c r="W3192" i="34"/>
  <c r="Y3192" i="34"/>
  <c r="AB3192" i="34"/>
  <c r="AC3192" i="34"/>
  <c r="AD3192" i="34"/>
  <c r="P3193" i="34"/>
  <c r="T3193" i="34"/>
  <c r="U3193" i="34"/>
  <c r="V3193" i="34"/>
  <c r="W3193" i="34"/>
  <c r="Y3193" i="34"/>
  <c r="AB3193" i="34"/>
  <c r="AC3193" i="34"/>
  <c r="AD3193" i="34"/>
  <c r="P3194" i="34"/>
  <c r="T3194" i="34"/>
  <c r="U3194" i="34"/>
  <c r="V3194" i="34"/>
  <c r="W3194" i="34"/>
  <c r="Y3194" i="34"/>
  <c r="AB3194" i="34"/>
  <c r="AC3194" i="34"/>
  <c r="AD3194" i="34"/>
  <c r="P3195" i="34"/>
  <c r="T3195" i="34"/>
  <c r="U3195" i="34"/>
  <c r="V3195" i="34"/>
  <c r="W3195" i="34"/>
  <c r="Y3195" i="34"/>
  <c r="AB3195" i="34"/>
  <c r="AC3195" i="34"/>
  <c r="AD3195" i="34"/>
  <c r="P3196" i="34"/>
  <c r="T3196" i="34"/>
  <c r="U3196" i="34"/>
  <c r="V3196" i="34"/>
  <c r="W3196" i="34"/>
  <c r="Y3196" i="34"/>
  <c r="AB3196" i="34"/>
  <c r="AC3196" i="34"/>
  <c r="AD3196" i="34"/>
  <c r="P3197" i="34"/>
  <c r="T3197" i="34"/>
  <c r="U3197" i="34"/>
  <c r="V3197" i="34"/>
  <c r="W3197" i="34"/>
  <c r="Y3197" i="34"/>
  <c r="AB3197" i="34"/>
  <c r="AC3197" i="34"/>
  <c r="AD3197" i="34"/>
  <c r="P3198" i="34"/>
  <c r="T3198" i="34"/>
  <c r="U3198" i="34"/>
  <c r="V3198" i="34"/>
  <c r="W3198" i="34"/>
  <c r="Y3198" i="34"/>
  <c r="AB3198" i="34"/>
  <c r="AC3198" i="34"/>
  <c r="AD3198" i="34"/>
  <c r="P3199" i="34"/>
  <c r="T3199" i="34"/>
  <c r="U3199" i="34"/>
  <c r="V3199" i="34"/>
  <c r="W3199" i="34"/>
  <c r="Y3199" i="34"/>
  <c r="AB3199" i="34"/>
  <c r="AC3199" i="34"/>
  <c r="AD3199" i="34"/>
  <c r="P3200" i="34"/>
  <c r="T3200" i="34"/>
  <c r="U3200" i="34"/>
  <c r="V3200" i="34"/>
  <c r="W3200" i="34"/>
  <c r="Y3200" i="34"/>
  <c r="AB3200" i="34"/>
  <c r="AC3200" i="34"/>
  <c r="AD3200" i="34"/>
  <c r="P3201" i="34"/>
  <c r="T3201" i="34"/>
  <c r="U3201" i="34"/>
  <c r="V3201" i="34"/>
  <c r="W3201" i="34"/>
  <c r="Y3201" i="34"/>
  <c r="AB3201" i="34"/>
  <c r="AC3201" i="34"/>
  <c r="AD3201" i="34"/>
  <c r="P3202" i="34"/>
  <c r="T3202" i="34"/>
  <c r="U3202" i="34"/>
  <c r="V3202" i="34"/>
  <c r="W3202" i="34"/>
  <c r="Y3202" i="34"/>
  <c r="AB3202" i="34"/>
  <c r="AC3202" i="34"/>
  <c r="AD3202" i="34"/>
  <c r="P3203" i="34"/>
  <c r="T3203" i="34"/>
  <c r="U3203" i="34"/>
  <c r="V3203" i="34"/>
  <c r="W3203" i="34"/>
  <c r="Y3203" i="34"/>
  <c r="AB3203" i="34"/>
  <c r="AC3203" i="34"/>
  <c r="AD3203" i="34"/>
  <c r="P3204" i="34"/>
  <c r="T3204" i="34"/>
  <c r="U3204" i="34"/>
  <c r="V3204" i="34"/>
  <c r="W3204" i="34"/>
  <c r="Y3204" i="34"/>
  <c r="AB3204" i="34"/>
  <c r="AC3204" i="34"/>
  <c r="AD3204" i="34"/>
  <c r="P3205" i="34"/>
  <c r="T3205" i="34"/>
  <c r="U3205" i="34"/>
  <c r="V3205" i="34"/>
  <c r="W3205" i="34"/>
  <c r="Y3205" i="34"/>
  <c r="AB3205" i="34"/>
  <c r="AC3205" i="34"/>
  <c r="AD3205" i="34"/>
  <c r="P3206" i="34"/>
  <c r="T3206" i="34"/>
  <c r="U3206" i="34"/>
  <c r="V3206" i="34"/>
  <c r="W3206" i="34"/>
  <c r="Y3206" i="34"/>
  <c r="AB3206" i="34"/>
  <c r="AC3206" i="34"/>
  <c r="AD3206" i="34"/>
  <c r="P3207" i="34"/>
  <c r="T3207" i="34"/>
  <c r="U3207" i="34"/>
  <c r="V3207" i="34"/>
  <c r="W3207" i="34"/>
  <c r="Y3207" i="34"/>
  <c r="AB3207" i="34"/>
  <c r="AC3207" i="34"/>
  <c r="AD3207" i="34"/>
  <c r="P3208" i="34"/>
  <c r="T3208" i="34"/>
  <c r="U3208" i="34"/>
  <c r="V3208" i="34"/>
  <c r="W3208" i="34"/>
  <c r="Y3208" i="34"/>
  <c r="AB3208" i="34"/>
  <c r="AC3208" i="34"/>
  <c r="AD3208" i="34"/>
  <c r="P3209" i="34"/>
  <c r="T3209" i="34"/>
  <c r="U3209" i="34"/>
  <c r="V3209" i="34"/>
  <c r="W3209" i="34"/>
  <c r="Y3209" i="34"/>
  <c r="AB3209" i="34"/>
  <c r="AC3209" i="34"/>
  <c r="AD3209" i="34"/>
  <c r="P3210" i="34"/>
  <c r="T3210" i="34"/>
  <c r="U3210" i="34"/>
  <c r="V3210" i="34"/>
  <c r="W3210" i="34"/>
  <c r="Y3210" i="34"/>
  <c r="AB3210" i="34"/>
  <c r="AC3210" i="34"/>
  <c r="AD3210" i="34"/>
  <c r="P3211" i="34"/>
  <c r="T3211" i="34"/>
  <c r="U3211" i="34"/>
  <c r="V3211" i="34"/>
  <c r="W3211" i="34"/>
  <c r="Y3211" i="34"/>
  <c r="AB3211" i="34"/>
  <c r="AC3211" i="34"/>
  <c r="AD3211" i="34"/>
  <c r="P3212" i="34"/>
  <c r="T3212" i="34"/>
  <c r="U3212" i="34"/>
  <c r="V3212" i="34"/>
  <c r="W3212" i="34"/>
  <c r="Y3212" i="34"/>
  <c r="AB3212" i="34"/>
  <c r="AC3212" i="34"/>
  <c r="AD3212" i="34"/>
  <c r="P3213" i="34"/>
  <c r="T3213" i="34"/>
  <c r="U3213" i="34"/>
  <c r="V3213" i="34"/>
  <c r="W3213" i="34"/>
  <c r="Y3213" i="34"/>
  <c r="AB3213" i="34"/>
  <c r="AC3213" i="34"/>
  <c r="AD3213" i="34"/>
  <c r="P3214" i="34"/>
  <c r="T3214" i="34"/>
  <c r="U3214" i="34"/>
  <c r="V3214" i="34"/>
  <c r="W3214" i="34"/>
  <c r="Y3214" i="34"/>
  <c r="AB3214" i="34"/>
  <c r="AC3214" i="34"/>
  <c r="AD3214" i="34"/>
  <c r="P3215" i="34"/>
  <c r="T3215" i="34"/>
  <c r="U3215" i="34"/>
  <c r="V3215" i="34"/>
  <c r="W3215" i="34"/>
  <c r="Y3215" i="34"/>
  <c r="AB3215" i="34"/>
  <c r="AC3215" i="34"/>
  <c r="AD3215" i="34"/>
  <c r="P3216" i="34"/>
  <c r="T3216" i="34"/>
  <c r="U3216" i="34"/>
  <c r="V3216" i="34"/>
  <c r="W3216" i="34"/>
  <c r="Y3216" i="34"/>
  <c r="AB3216" i="34"/>
  <c r="AC3216" i="34"/>
  <c r="AD3216" i="34"/>
  <c r="P3217" i="34"/>
  <c r="T3217" i="34"/>
  <c r="U3217" i="34"/>
  <c r="V3217" i="34"/>
  <c r="W3217" i="34"/>
  <c r="Y3217" i="34"/>
  <c r="AB3217" i="34"/>
  <c r="AC3217" i="34"/>
  <c r="AD3217" i="34"/>
  <c r="P3218" i="34"/>
  <c r="T3218" i="34"/>
  <c r="U3218" i="34"/>
  <c r="V3218" i="34"/>
  <c r="W3218" i="34"/>
  <c r="Y3218" i="34"/>
  <c r="AB3218" i="34"/>
  <c r="AC3218" i="34"/>
  <c r="AD3218" i="34"/>
  <c r="P3219" i="34"/>
  <c r="T3219" i="34"/>
  <c r="U3219" i="34"/>
  <c r="V3219" i="34"/>
  <c r="W3219" i="34"/>
  <c r="Y3219" i="34"/>
  <c r="AB3219" i="34"/>
  <c r="AC3219" i="34"/>
  <c r="AD3219" i="34"/>
  <c r="P3220" i="34"/>
  <c r="T3220" i="34"/>
  <c r="U3220" i="34"/>
  <c r="V3220" i="34"/>
  <c r="W3220" i="34"/>
  <c r="Y3220" i="34"/>
  <c r="AB3220" i="34"/>
  <c r="AC3220" i="34"/>
  <c r="AD3220" i="34"/>
  <c r="P3221" i="34"/>
  <c r="T3221" i="34"/>
  <c r="U3221" i="34"/>
  <c r="V3221" i="34"/>
  <c r="W3221" i="34"/>
  <c r="Y3221" i="34"/>
  <c r="AB3221" i="34"/>
  <c r="AC3221" i="34"/>
  <c r="AD3221" i="34"/>
  <c r="P3222" i="34"/>
  <c r="T3222" i="34"/>
  <c r="U3222" i="34"/>
  <c r="V3222" i="34"/>
  <c r="W3222" i="34"/>
  <c r="Y3222" i="34"/>
  <c r="AB3222" i="34"/>
  <c r="AC3222" i="34"/>
  <c r="AD3222" i="34"/>
  <c r="P3223" i="34"/>
  <c r="T3223" i="34"/>
  <c r="U3223" i="34"/>
  <c r="V3223" i="34"/>
  <c r="W3223" i="34"/>
  <c r="Y3223" i="34"/>
  <c r="AB3223" i="34"/>
  <c r="AC3223" i="34"/>
  <c r="AD3223" i="34"/>
  <c r="P3224" i="34"/>
  <c r="T3224" i="34"/>
  <c r="U3224" i="34"/>
  <c r="V3224" i="34"/>
  <c r="W3224" i="34"/>
  <c r="Y3224" i="34"/>
  <c r="AB3224" i="34"/>
  <c r="AC3224" i="34"/>
  <c r="AD3224" i="34"/>
  <c r="P3225" i="34"/>
  <c r="T3225" i="34"/>
  <c r="U3225" i="34"/>
  <c r="V3225" i="34"/>
  <c r="W3225" i="34"/>
  <c r="Y3225" i="34"/>
  <c r="AB3225" i="34"/>
  <c r="AC3225" i="34"/>
  <c r="AD3225" i="34"/>
  <c r="P3226" i="34"/>
  <c r="T3226" i="34"/>
  <c r="U3226" i="34"/>
  <c r="V3226" i="34"/>
  <c r="W3226" i="34"/>
  <c r="Y3226" i="34"/>
  <c r="AB3226" i="34"/>
  <c r="AC3226" i="34"/>
  <c r="AD3226" i="34"/>
  <c r="P3227" i="34"/>
  <c r="T3227" i="34"/>
  <c r="U3227" i="34"/>
  <c r="V3227" i="34"/>
  <c r="W3227" i="34"/>
  <c r="Y3227" i="34"/>
  <c r="AB3227" i="34"/>
  <c r="AC3227" i="34"/>
  <c r="AD3227" i="34"/>
  <c r="P3228" i="34"/>
  <c r="T3228" i="34"/>
  <c r="U3228" i="34"/>
  <c r="V3228" i="34"/>
  <c r="W3228" i="34"/>
  <c r="Y3228" i="34"/>
  <c r="AB3228" i="34"/>
  <c r="AC3228" i="34"/>
  <c r="AD3228" i="34"/>
  <c r="P3229" i="34"/>
  <c r="T3229" i="34"/>
  <c r="U3229" i="34"/>
  <c r="V3229" i="34"/>
  <c r="W3229" i="34"/>
  <c r="Y3229" i="34"/>
  <c r="AB3229" i="34"/>
  <c r="AC3229" i="34"/>
  <c r="AD3229" i="34"/>
  <c r="P3230" i="34"/>
  <c r="T3230" i="34"/>
  <c r="U3230" i="34"/>
  <c r="V3230" i="34"/>
  <c r="W3230" i="34"/>
  <c r="Y3230" i="34"/>
  <c r="AB3230" i="34"/>
  <c r="AC3230" i="34"/>
  <c r="AD3230" i="34"/>
  <c r="P3231" i="34"/>
  <c r="T3231" i="34"/>
  <c r="U3231" i="34"/>
  <c r="V3231" i="34"/>
  <c r="W3231" i="34"/>
  <c r="Y3231" i="34"/>
  <c r="AB3231" i="34"/>
  <c r="AC3231" i="34"/>
  <c r="AD3231" i="34"/>
  <c r="P3232" i="34"/>
  <c r="T3232" i="34"/>
  <c r="U3232" i="34"/>
  <c r="V3232" i="34"/>
  <c r="W3232" i="34"/>
  <c r="Y3232" i="34"/>
  <c r="AB3232" i="34"/>
  <c r="AC3232" i="34"/>
  <c r="AD3232" i="34"/>
  <c r="P3233" i="34"/>
  <c r="T3233" i="34"/>
  <c r="U3233" i="34"/>
  <c r="V3233" i="34"/>
  <c r="W3233" i="34"/>
  <c r="Y3233" i="34"/>
  <c r="AB3233" i="34"/>
  <c r="AC3233" i="34"/>
  <c r="AD3233" i="34"/>
  <c r="P3234" i="34"/>
  <c r="T3234" i="34"/>
  <c r="U3234" i="34"/>
  <c r="V3234" i="34"/>
  <c r="W3234" i="34"/>
  <c r="Y3234" i="34"/>
  <c r="AB3234" i="34"/>
  <c r="AC3234" i="34"/>
  <c r="AD3234" i="34"/>
  <c r="P3235" i="34"/>
  <c r="T3235" i="34"/>
  <c r="U3235" i="34"/>
  <c r="V3235" i="34"/>
  <c r="W3235" i="34"/>
  <c r="Y3235" i="34"/>
  <c r="AB3235" i="34"/>
  <c r="AC3235" i="34"/>
  <c r="AD3235" i="34"/>
  <c r="P3236" i="34"/>
  <c r="T3236" i="34"/>
  <c r="U3236" i="34"/>
  <c r="V3236" i="34"/>
  <c r="W3236" i="34"/>
  <c r="Y3236" i="34"/>
  <c r="AB3236" i="34"/>
  <c r="AC3236" i="34"/>
  <c r="AD3236" i="34"/>
  <c r="P3237" i="34"/>
  <c r="T3237" i="34"/>
  <c r="U3237" i="34"/>
  <c r="V3237" i="34"/>
  <c r="W3237" i="34"/>
  <c r="Y3237" i="34"/>
  <c r="AB3237" i="34"/>
  <c r="AC3237" i="34"/>
  <c r="AD3237" i="34"/>
  <c r="P3238" i="34"/>
  <c r="T3238" i="34"/>
  <c r="U3238" i="34"/>
  <c r="V3238" i="34"/>
  <c r="W3238" i="34"/>
  <c r="Y3238" i="34"/>
  <c r="AB3238" i="34"/>
  <c r="AC3238" i="34"/>
  <c r="AD3238" i="34"/>
  <c r="P3239" i="34"/>
  <c r="T3239" i="34"/>
  <c r="U3239" i="34"/>
  <c r="V3239" i="34"/>
  <c r="W3239" i="34"/>
  <c r="Y3239" i="34"/>
  <c r="AB3239" i="34"/>
  <c r="AC3239" i="34"/>
  <c r="AD3239" i="34"/>
  <c r="P3240" i="34"/>
  <c r="T3240" i="34"/>
  <c r="U3240" i="34"/>
  <c r="V3240" i="34"/>
  <c r="W3240" i="34"/>
  <c r="Y3240" i="34"/>
  <c r="AB3240" i="34"/>
  <c r="AC3240" i="34"/>
  <c r="AD3240" i="34"/>
  <c r="P3241" i="34"/>
  <c r="T3241" i="34"/>
  <c r="U3241" i="34"/>
  <c r="V3241" i="34"/>
  <c r="W3241" i="34"/>
  <c r="Y3241" i="34"/>
  <c r="AB3241" i="34"/>
  <c r="AC3241" i="34"/>
  <c r="AD3241" i="34"/>
  <c r="P3242" i="34"/>
  <c r="T3242" i="34"/>
  <c r="U3242" i="34"/>
  <c r="V3242" i="34"/>
  <c r="W3242" i="34"/>
  <c r="Y3242" i="34"/>
  <c r="AB3242" i="34"/>
  <c r="AC3242" i="34"/>
  <c r="AD3242" i="34"/>
  <c r="P3243" i="34"/>
  <c r="T3243" i="34"/>
  <c r="U3243" i="34"/>
  <c r="V3243" i="34"/>
  <c r="W3243" i="34"/>
  <c r="Y3243" i="34"/>
  <c r="AB3243" i="34"/>
  <c r="AC3243" i="34"/>
  <c r="AD3243" i="34"/>
  <c r="P3244" i="34"/>
  <c r="T3244" i="34"/>
  <c r="U3244" i="34"/>
  <c r="V3244" i="34"/>
  <c r="W3244" i="34"/>
  <c r="Y3244" i="34"/>
  <c r="AB3244" i="34"/>
  <c r="AC3244" i="34"/>
  <c r="AD3244" i="34"/>
  <c r="P3245" i="34"/>
  <c r="T3245" i="34"/>
  <c r="U3245" i="34"/>
  <c r="V3245" i="34"/>
  <c r="W3245" i="34"/>
  <c r="Y3245" i="34"/>
  <c r="AB3245" i="34"/>
  <c r="AC3245" i="34"/>
  <c r="AD3245" i="34"/>
  <c r="P3246" i="34"/>
  <c r="T3246" i="34"/>
  <c r="U3246" i="34"/>
  <c r="V3246" i="34"/>
  <c r="W3246" i="34"/>
  <c r="Y3246" i="34"/>
  <c r="AB3246" i="34"/>
  <c r="AC3246" i="34"/>
  <c r="AD3246" i="34"/>
  <c r="P3247" i="34"/>
  <c r="T3247" i="34"/>
  <c r="U3247" i="34"/>
  <c r="V3247" i="34"/>
  <c r="W3247" i="34"/>
  <c r="Y3247" i="34"/>
  <c r="AB3247" i="34"/>
  <c r="AC3247" i="34"/>
  <c r="AD3247" i="34"/>
  <c r="P3248" i="34"/>
  <c r="T3248" i="34"/>
  <c r="U3248" i="34"/>
  <c r="V3248" i="34"/>
  <c r="W3248" i="34"/>
  <c r="Y3248" i="34"/>
  <c r="AB3248" i="34"/>
  <c r="AC3248" i="34"/>
  <c r="AD3248" i="34"/>
  <c r="P3249" i="34"/>
  <c r="T3249" i="34"/>
  <c r="U3249" i="34"/>
  <c r="V3249" i="34"/>
  <c r="W3249" i="34"/>
  <c r="Y3249" i="34"/>
  <c r="AB3249" i="34"/>
  <c r="AC3249" i="34"/>
  <c r="AD3249" i="34"/>
  <c r="P3250" i="34"/>
  <c r="T3250" i="34"/>
  <c r="U3250" i="34"/>
  <c r="V3250" i="34"/>
  <c r="W3250" i="34"/>
  <c r="Y3250" i="34"/>
  <c r="AB3250" i="34"/>
  <c r="AC3250" i="34"/>
  <c r="AD3250" i="34"/>
  <c r="P3251" i="34"/>
  <c r="T3251" i="34"/>
  <c r="U3251" i="34"/>
  <c r="V3251" i="34"/>
  <c r="W3251" i="34"/>
  <c r="Y3251" i="34"/>
  <c r="AB3251" i="34"/>
  <c r="AC3251" i="34"/>
  <c r="AD3251" i="34"/>
  <c r="P3252" i="34"/>
  <c r="T3252" i="34"/>
  <c r="U3252" i="34"/>
  <c r="V3252" i="34"/>
  <c r="W3252" i="34"/>
  <c r="Y3252" i="34"/>
  <c r="AB3252" i="34"/>
  <c r="AC3252" i="34"/>
  <c r="AD3252" i="34"/>
  <c r="P3253" i="34"/>
  <c r="T3253" i="34"/>
  <c r="U3253" i="34"/>
  <c r="V3253" i="34"/>
  <c r="W3253" i="34"/>
  <c r="Y3253" i="34"/>
  <c r="AB3253" i="34"/>
  <c r="AC3253" i="34"/>
  <c r="AD3253" i="34"/>
  <c r="P3254" i="34"/>
  <c r="T3254" i="34"/>
  <c r="U3254" i="34"/>
  <c r="V3254" i="34"/>
  <c r="W3254" i="34"/>
  <c r="Y3254" i="34"/>
  <c r="AB3254" i="34"/>
  <c r="AC3254" i="34"/>
  <c r="AD3254" i="34"/>
  <c r="P3255" i="34"/>
  <c r="T3255" i="34"/>
  <c r="U3255" i="34"/>
  <c r="V3255" i="34"/>
  <c r="W3255" i="34"/>
  <c r="Y3255" i="34"/>
  <c r="AB3255" i="34"/>
  <c r="AC3255" i="34"/>
  <c r="AD3255" i="34"/>
  <c r="P3256" i="34"/>
  <c r="T3256" i="34"/>
  <c r="U3256" i="34"/>
  <c r="V3256" i="34"/>
  <c r="W3256" i="34"/>
  <c r="Y3256" i="34"/>
  <c r="AB3256" i="34"/>
  <c r="AC3256" i="34"/>
  <c r="AD3256" i="34"/>
  <c r="P3257" i="34"/>
  <c r="T3257" i="34"/>
  <c r="U3257" i="34"/>
  <c r="V3257" i="34"/>
  <c r="W3257" i="34"/>
  <c r="Y3257" i="34"/>
  <c r="AB3257" i="34"/>
  <c r="AC3257" i="34"/>
  <c r="AD3257" i="34"/>
  <c r="P3258" i="34"/>
  <c r="T3258" i="34"/>
  <c r="U3258" i="34"/>
  <c r="V3258" i="34"/>
  <c r="W3258" i="34"/>
  <c r="Y3258" i="34"/>
  <c r="AB3258" i="34"/>
  <c r="AC3258" i="34"/>
  <c r="AD3258" i="34"/>
  <c r="P3259" i="34"/>
  <c r="T3259" i="34"/>
  <c r="U3259" i="34"/>
  <c r="V3259" i="34"/>
  <c r="W3259" i="34"/>
  <c r="Y3259" i="34"/>
  <c r="AB3259" i="34"/>
  <c r="AC3259" i="34"/>
  <c r="AD3259" i="34"/>
  <c r="P3260" i="34"/>
  <c r="T3260" i="34"/>
  <c r="U3260" i="34"/>
  <c r="V3260" i="34"/>
  <c r="W3260" i="34"/>
  <c r="Y3260" i="34"/>
  <c r="AB3260" i="34"/>
  <c r="AC3260" i="34"/>
  <c r="AD3260" i="34"/>
  <c r="P3261" i="34"/>
  <c r="T3261" i="34"/>
  <c r="U3261" i="34"/>
  <c r="V3261" i="34"/>
  <c r="W3261" i="34"/>
  <c r="Y3261" i="34"/>
  <c r="AB3261" i="34"/>
  <c r="AC3261" i="34"/>
  <c r="AD3261" i="34"/>
  <c r="P3262" i="34"/>
  <c r="T3262" i="34"/>
  <c r="U3262" i="34"/>
  <c r="V3262" i="34"/>
  <c r="W3262" i="34"/>
  <c r="Y3262" i="34"/>
  <c r="AB3262" i="34"/>
  <c r="AC3262" i="34"/>
  <c r="AD3262" i="34"/>
  <c r="P3263" i="34"/>
  <c r="T3263" i="34"/>
  <c r="U3263" i="34"/>
  <c r="V3263" i="34"/>
  <c r="W3263" i="34"/>
  <c r="Y3263" i="34"/>
  <c r="AB3263" i="34"/>
  <c r="AC3263" i="34"/>
  <c r="AD3263" i="34"/>
  <c r="P3264" i="34"/>
  <c r="T3264" i="34"/>
  <c r="U3264" i="34"/>
  <c r="V3264" i="34"/>
  <c r="W3264" i="34"/>
  <c r="Y3264" i="34"/>
  <c r="AB3264" i="34"/>
  <c r="AC3264" i="34"/>
  <c r="AD3264" i="34"/>
  <c r="P3265" i="34"/>
  <c r="T3265" i="34"/>
  <c r="U3265" i="34"/>
  <c r="V3265" i="34"/>
  <c r="W3265" i="34"/>
  <c r="Y3265" i="34"/>
  <c r="AB3265" i="34"/>
  <c r="AC3265" i="34"/>
  <c r="AD3265" i="34"/>
  <c r="P3266" i="34"/>
  <c r="T3266" i="34"/>
  <c r="U3266" i="34"/>
  <c r="V3266" i="34"/>
  <c r="W3266" i="34"/>
  <c r="Y3266" i="34"/>
  <c r="AB3266" i="34"/>
  <c r="AC3266" i="34"/>
  <c r="AD3266" i="34"/>
  <c r="P3267" i="34"/>
  <c r="T3267" i="34"/>
  <c r="U3267" i="34"/>
  <c r="V3267" i="34"/>
  <c r="W3267" i="34"/>
  <c r="Y3267" i="34"/>
  <c r="AB3267" i="34"/>
  <c r="AC3267" i="34"/>
  <c r="AD3267" i="34"/>
  <c r="P3268" i="34"/>
  <c r="T3268" i="34"/>
  <c r="U3268" i="34"/>
  <c r="V3268" i="34"/>
  <c r="W3268" i="34"/>
  <c r="Y3268" i="34"/>
  <c r="AB3268" i="34"/>
  <c r="AC3268" i="34"/>
  <c r="AD3268" i="34"/>
  <c r="P3269" i="34"/>
  <c r="T3269" i="34"/>
  <c r="U3269" i="34"/>
  <c r="V3269" i="34"/>
  <c r="W3269" i="34"/>
  <c r="Y3269" i="34"/>
  <c r="AB3269" i="34"/>
  <c r="AC3269" i="34"/>
  <c r="AD3269" i="34"/>
  <c r="P3270" i="34"/>
  <c r="T3270" i="34"/>
  <c r="U3270" i="34"/>
  <c r="V3270" i="34"/>
  <c r="W3270" i="34"/>
  <c r="Y3270" i="34"/>
  <c r="AB3270" i="34"/>
  <c r="AC3270" i="34"/>
  <c r="AD3270" i="34"/>
  <c r="P3271" i="34"/>
  <c r="T3271" i="34"/>
  <c r="U3271" i="34"/>
  <c r="V3271" i="34"/>
  <c r="W3271" i="34"/>
  <c r="Y3271" i="34"/>
  <c r="AB3271" i="34"/>
  <c r="AC3271" i="34"/>
  <c r="AD3271" i="34"/>
  <c r="P3272" i="34"/>
  <c r="T3272" i="34"/>
  <c r="U3272" i="34"/>
  <c r="V3272" i="34"/>
  <c r="W3272" i="34"/>
  <c r="Y3272" i="34"/>
  <c r="AB3272" i="34"/>
  <c r="AC3272" i="34"/>
  <c r="AD3272" i="34"/>
  <c r="P3273" i="34"/>
  <c r="T3273" i="34"/>
  <c r="U3273" i="34"/>
  <c r="V3273" i="34"/>
  <c r="W3273" i="34"/>
  <c r="Y3273" i="34"/>
  <c r="AB3273" i="34"/>
  <c r="AC3273" i="34"/>
  <c r="AD3273" i="34"/>
  <c r="P3274" i="34"/>
  <c r="T3274" i="34"/>
  <c r="U3274" i="34"/>
  <c r="V3274" i="34"/>
  <c r="W3274" i="34"/>
  <c r="Y3274" i="34"/>
  <c r="AB3274" i="34"/>
  <c r="AC3274" i="34"/>
  <c r="AD3274" i="34"/>
  <c r="P3275" i="34"/>
  <c r="T3275" i="34"/>
  <c r="U3275" i="34"/>
  <c r="V3275" i="34"/>
  <c r="W3275" i="34"/>
  <c r="Y3275" i="34"/>
  <c r="AB3275" i="34"/>
  <c r="AC3275" i="34"/>
  <c r="AD3275" i="34"/>
  <c r="P3276" i="34"/>
  <c r="T3276" i="34"/>
  <c r="U3276" i="34"/>
  <c r="V3276" i="34"/>
  <c r="W3276" i="34"/>
  <c r="Y3276" i="34"/>
  <c r="AB3276" i="34"/>
  <c r="AC3276" i="34"/>
  <c r="AD3276" i="34"/>
  <c r="P3277" i="34"/>
  <c r="T3277" i="34"/>
  <c r="U3277" i="34"/>
  <c r="V3277" i="34"/>
  <c r="W3277" i="34"/>
  <c r="Y3277" i="34"/>
  <c r="AB3277" i="34"/>
  <c r="AC3277" i="34"/>
  <c r="AD3277" i="34"/>
  <c r="P3278" i="34"/>
  <c r="T3278" i="34"/>
  <c r="U3278" i="34"/>
  <c r="V3278" i="34"/>
  <c r="W3278" i="34"/>
  <c r="Y3278" i="34"/>
  <c r="AB3278" i="34"/>
  <c r="AC3278" i="34"/>
  <c r="AD3278" i="34"/>
  <c r="P3279" i="34"/>
  <c r="T3279" i="34"/>
  <c r="U3279" i="34"/>
  <c r="V3279" i="34"/>
  <c r="W3279" i="34"/>
  <c r="Y3279" i="34"/>
  <c r="AB3279" i="34"/>
  <c r="AC3279" i="34"/>
  <c r="AD3279" i="34"/>
  <c r="P3280" i="34"/>
  <c r="T3280" i="34"/>
  <c r="U3280" i="34"/>
  <c r="V3280" i="34"/>
  <c r="W3280" i="34"/>
  <c r="Y3280" i="34"/>
  <c r="AB3280" i="34"/>
  <c r="AC3280" i="34"/>
  <c r="AD3280" i="34"/>
  <c r="P3281" i="34"/>
  <c r="T3281" i="34"/>
  <c r="U3281" i="34"/>
  <c r="V3281" i="34"/>
  <c r="W3281" i="34"/>
  <c r="Y3281" i="34"/>
  <c r="AB3281" i="34"/>
  <c r="AC3281" i="34"/>
  <c r="AD3281" i="34"/>
  <c r="P3282" i="34"/>
  <c r="T3282" i="34"/>
  <c r="U3282" i="34"/>
  <c r="V3282" i="34"/>
  <c r="W3282" i="34"/>
  <c r="Y3282" i="34"/>
  <c r="AB3282" i="34"/>
  <c r="AC3282" i="34"/>
  <c r="AD3282" i="34"/>
  <c r="P3283" i="34"/>
  <c r="T3283" i="34"/>
  <c r="U3283" i="34"/>
  <c r="V3283" i="34"/>
  <c r="W3283" i="34"/>
  <c r="Y3283" i="34"/>
  <c r="AB3283" i="34"/>
  <c r="AC3283" i="34"/>
  <c r="AD3283" i="34"/>
  <c r="P3284" i="34"/>
  <c r="T3284" i="34"/>
  <c r="U3284" i="34"/>
  <c r="V3284" i="34"/>
  <c r="W3284" i="34"/>
  <c r="Y3284" i="34"/>
  <c r="AB3284" i="34"/>
  <c r="AC3284" i="34"/>
  <c r="AD3284" i="34"/>
  <c r="P3285" i="34"/>
  <c r="T3285" i="34"/>
  <c r="U3285" i="34"/>
  <c r="V3285" i="34"/>
  <c r="W3285" i="34"/>
  <c r="Y3285" i="34"/>
  <c r="AB3285" i="34"/>
  <c r="AC3285" i="34"/>
  <c r="AD3285" i="34"/>
  <c r="P3286" i="34"/>
  <c r="T3286" i="34"/>
  <c r="U3286" i="34"/>
  <c r="V3286" i="34"/>
  <c r="W3286" i="34"/>
  <c r="Y3286" i="34"/>
  <c r="AB3286" i="34"/>
  <c r="AC3286" i="34"/>
  <c r="AD3286" i="34"/>
  <c r="P3287" i="34"/>
  <c r="T3287" i="34"/>
  <c r="U3287" i="34"/>
  <c r="V3287" i="34"/>
  <c r="W3287" i="34"/>
  <c r="Y3287" i="34"/>
  <c r="AB3287" i="34"/>
  <c r="AC3287" i="34"/>
  <c r="AD3287" i="34"/>
  <c r="P3288" i="34"/>
  <c r="T3288" i="34"/>
  <c r="U3288" i="34"/>
  <c r="V3288" i="34"/>
  <c r="W3288" i="34"/>
  <c r="Y3288" i="34"/>
  <c r="AB3288" i="34"/>
  <c r="AC3288" i="34"/>
  <c r="AD3288" i="34"/>
  <c r="P3289" i="34"/>
  <c r="T3289" i="34"/>
  <c r="U3289" i="34"/>
  <c r="V3289" i="34"/>
  <c r="W3289" i="34"/>
  <c r="Y3289" i="34"/>
  <c r="AB3289" i="34"/>
  <c r="AC3289" i="34"/>
  <c r="AD3289" i="34"/>
  <c r="P3290" i="34"/>
  <c r="T3290" i="34"/>
  <c r="U3290" i="34"/>
  <c r="V3290" i="34"/>
  <c r="W3290" i="34"/>
  <c r="Y3290" i="34"/>
  <c r="AB3290" i="34"/>
  <c r="AC3290" i="34"/>
  <c r="AD3290" i="34"/>
  <c r="P3291" i="34"/>
  <c r="T3291" i="34"/>
  <c r="U3291" i="34"/>
  <c r="V3291" i="34"/>
  <c r="W3291" i="34"/>
  <c r="Y3291" i="34"/>
  <c r="AB3291" i="34"/>
  <c r="AC3291" i="34"/>
  <c r="AD3291" i="34"/>
  <c r="P3292" i="34"/>
  <c r="T3292" i="34"/>
  <c r="U3292" i="34"/>
  <c r="V3292" i="34"/>
  <c r="W3292" i="34"/>
  <c r="Y3292" i="34"/>
  <c r="AB3292" i="34"/>
  <c r="AC3292" i="34"/>
  <c r="AD3292" i="34"/>
  <c r="P3293" i="34"/>
  <c r="T3293" i="34"/>
  <c r="U3293" i="34"/>
  <c r="V3293" i="34"/>
  <c r="W3293" i="34"/>
  <c r="Y3293" i="34"/>
  <c r="AB3293" i="34"/>
  <c r="AC3293" i="34"/>
  <c r="AD3293" i="34"/>
  <c r="P3294" i="34"/>
  <c r="T3294" i="34"/>
  <c r="U3294" i="34"/>
  <c r="V3294" i="34"/>
  <c r="W3294" i="34"/>
  <c r="Y3294" i="34"/>
  <c r="AB3294" i="34"/>
  <c r="AC3294" i="34"/>
  <c r="AD3294" i="34"/>
  <c r="P3295" i="34"/>
  <c r="T3295" i="34"/>
  <c r="U3295" i="34"/>
  <c r="V3295" i="34"/>
  <c r="W3295" i="34"/>
  <c r="Y3295" i="34"/>
  <c r="AB3295" i="34"/>
  <c r="AC3295" i="34"/>
  <c r="AD3295" i="34"/>
  <c r="P3296" i="34"/>
  <c r="T3296" i="34"/>
  <c r="U3296" i="34"/>
  <c r="V3296" i="34"/>
  <c r="W3296" i="34"/>
  <c r="Y3296" i="34"/>
  <c r="AB3296" i="34"/>
  <c r="AC3296" i="34"/>
  <c r="AD3296" i="34"/>
  <c r="P3297" i="34"/>
  <c r="T3297" i="34"/>
  <c r="U3297" i="34"/>
  <c r="V3297" i="34"/>
  <c r="W3297" i="34"/>
  <c r="Y3297" i="34"/>
  <c r="AB3297" i="34"/>
  <c r="AC3297" i="34"/>
  <c r="AD3297" i="34"/>
  <c r="P3298" i="34"/>
  <c r="T3298" i="34"/>
  <c r="U3298" i="34"/>
  <c r="V3298" i="34"/>
  <c r="W3298" i="34"/>
  <c r="Y3298" i="34"/>
  <c r="AB3298" i="34"/>
  <c r="AC3298" i="34"/>
  <c r="AD3298" i="34"/>
  <c r="P3299" i="34"/>
  <c r="T3299" i="34"/>
  <c r="U3299" i="34"/>
  <c r="V3299" i="34"/>
  <c r="W3299" i="34"/>
  <c r="Y3299" i="34"/>
  <c r="AB3299" i="34"/>
  <c r="AC3299" i="34"/>
  <c r="AD3299" i="34"/>
  <c r="P3300" i="34"/>
  <c r="T3300" i="34"/>
  <c r="U3300" i="34"/>
  <c r="V3300" i="34"/>
  <c r="W3300" i="34"/>
  <c r="Y3300" i="34"/>
  <c r="AB3300" i="34"/>
  <c r="AC3300" i="34"/>
  <c r="AD3300" i="34"/>
  <c r="P3301" i="34"/>
  <c r="T3301" i="34"/>
  <c r="U3301" i="34"/>
  <c r="V3301" i="34"/>
  <c r="W3301" i="34"/>
  <c r="Y3301" i="34"/>
  <c r="AB3301" i="34"/>
  <c r="AC3301" i="34"/>
  <c r="AD3301" i="34"/>
  <c r="P3302" i="34"/>
  <c r="T3302" i="34"/>
  <c r="U3302" i="34"/>
  <c r="V3302" i="34"/>
  <c r="W3302" i="34"/>
  <c r="Y3302" i="34"/>
  <c r="AB3302" i="34"/>
  <c r="AC3302" i="34"/>
  <c r="AD3302" i="34"/>
  <c r="P3303" i="34"/>
  <c r="T3303" i="34"/>
  <c r="U3303" i="34"/>
  <c r="V3303" i="34"/>
  <c r="W3303" i="34"/>
  <c r="Y3303" i="34"/>
  <c r="AB3303" i="34"/>
  <c r="AC3303" i="34"/>
  <c r="AD3303" i="34"/>
  <c r="P3304" i="34"/>
  <c r="T3304" i="34"/>
  <c r="U3304" i="34"/>
  <c r="V3304" i="34"/>
  <c r="W3304" i="34"/>
  <c r="Y3304" i="34"/>
  <c r="AB3304" i="34"/>
  <c r="AC3304" i="34"/>
  <c r="AD3304" i="34"/>
  <c r="P3305" i="34"/>
  <c r="T3305" i="34"/>
  <c r="U3305" i="34"/>
  <c r="V3305" i="34"/>
  <c r="W3305" i="34"/>
  <c r="Y3305" i="34"/>
  <c r="AB3305" i="34"/>
  <c r="AC3305" i="34"/>
  <c r="AD3305" i="34"/>
  <c r="P3306" i="34"/>
  <c r="T3306" i="34"/>
  <c r="U3306" i="34"/>
  <c r="V3306" i="34"/>
  <c r="W3306" i="34"/>
  <c r="Y3306" i="34"/>
  <c r="AB3306" i="34"/>
  <c r="AC3306" i="34"/>
  <c r="AD3306" i="34"/>
  <c r="P3307" i="34"/>
  <c r="T3307" i="34"/>
  <c r="U3307" i="34"/>
  <c r="V3307" i="34"/>
  <c r="W3307" i="34"/>
  <c r="Y3307" i="34"/>
  <c r="AB3307" i="34"/>
  <c r="AC3307" i="34"/>
  <c r="AD3307" i="34"/>
  <c r="P3308" i="34"/>
  <c r="T3308" i="34"/>
  <c r="U3308" i="34"/>
  <c r="V3308" i="34"/>
  <c r="W3308" i="34"/>
  <c r="Y3308" i="34"/>
  <c r="AB3308" i="34"/>
  <c r="AC3308" i="34"/>
  <c r="AD3308" i="34"/>
  <c r="P3309" i="34"/>
  <c r="T3309" i="34"/>
  <c r="U3309" i="34"/>
  <c r="V3309" i="34"/>
  <c r="W3309" i="34"/>
  <c r="Y3309" i="34"/>
  <c r="AB3309" i="34"/>
  <c r="AC3309" i="34"/>
  <c r="AD3309" i="34"/>
  <c r="P3310" i="34"/>
  <c r="T3310" i="34"/>
  <c r="U3310" i="34"/>
  <c r="V3310" i="34"/>
  <c r="W3310" i="34"/>
  <c r="Y3310" i="34"/>
  <c r="AB3310" i="34"/>
  <c r="AC3310" i="34"/>
  <c r="AD3310" i="34"/>
  <c r="P3311" i="34"/>
  <c r="T3311" i="34"/>
  <c r="U3311" i="34"/>
  <c r="V3311" i="34"/>
  <c r="W3311" i="34"/>
  <c r="Y3311" i="34"/>
  <c r="AB3311" i="34"/>
  <c r="AC3311" i="34"/>
  <c r="AD3311" i="34"/>
  <c r="P3312" i="34"/>
  <c r="T3312" i="34"/>
  <c r="U3312" i="34"/>
  <c r="V3312" i="34"/>
  <c r="W3312" i="34"/>
  <c r="Y3312" i="34"/>
  <c r="AB3312" i="34"/>
  <c r="AC3312" i="34"/>
  <c r="AD3312" i="34"/>
  <c r="P3313" i="34"/>
  <c r="T3313" i="34"/>
  <c r="U3313" i="34"/>
  <c r="V3313" i="34"/>
  <c r="W3313" i="34"/>
  <c r="Y3313" i="34"/>
  <c r="AB3313" i="34"/>
  <c r="AC3313" i="34"/>
  <c r="AD3313" i="34"/>
  <c r="P3314" i="34"/>
  <c r="T3314" i="34"/>
  <c r="U3314" i="34"/>
  <c r="V3314" i="34"/>
  <c r="W3314" i="34"/>
  <c r="Y3314" i="34"/>
  <c r="AB3314" i="34"/>
  <c r="AC3314" i="34"/>
  <c r="AD3314" i="34"/>
  <c r="P3315" i="34"/>
  <c r="T3315" i="34"/>
  <c r="U3315" i="34"/>
  <c r="V3315" i="34"/>
  <c r="W3315" i="34"/>
  <c r="Y3315" i="34"/>
  <c r="AB3315" i="34"/>
  <c r="AC3315" i="34"/>
  <c r="AD3315" i="34"/>
  <c r="P3316" i="34"/>
  <c r="T3316" i="34"/>
  <c r="U3316" i="34"/>
  <c r="V3316" i="34"/>
  <c r="W3316" i="34"/>
  <c r="Y3316" i="34"/>
  <c r="AB3316" i="34"/>
  <c r="AC3316" i="34"/>
  <c r="AD3316" i="34"/>
  <c r="P3317" i="34"/>
  <c r="T3317" i="34"/>
  <c r="U3317" i="34"/>
  <c r="V3317" i="34"/>
  <c r="W3317" i="34"/>
  <c r="Y3317" i="34"/>
  <c r="AB3317" i="34"/>
  <c r="AC3317" i="34"/>
  <c r="AD3317" i="34"/>
  <c r="P3318" i="34"/>
  <c r="T3318" i="34"/>
  <c r="U3318" i="34"/>
  <c r="V3318" i="34"/>
  <c r="W3318" i="34"/>
  <c r="Y3318" i="34"/>
  <c r="AB3318" i="34"/>
  <c r="AC3318" i="34"/>
  <c r="AD3318" i="34"/>
  <c r="P3319" i="34"/>
  <c r="T3319" i="34"/>
  <c r="U3319" i="34"/>
  <c r="V3319" i="34"/>
  <c r="W3319" i="34"/>
  <c r="Y3319" i="34"/>
  <c r="AB3319" i="34"/>
  <c r="AC3319" i="34"/>
  <c r="AD3319" i="34"/>
  <c r="P3320" i="34"/>
  <c r="T3320" i="34"/>
  <c r="U3320" i="34"/>
  <c r="V3320" i="34"/>
  <c r="W3320" i="34"/>
  <c r="Y3320" i="34"/>
  <c r="AB3320" i="34"/>
  <c r="AC3320" i="34"/>
  <c r="AD3320" i="34"/>
  <c r="P3321" i="34"/>
  <c r="T3321" i="34"/>
  <c r="U3321" i="34"/>
  <c r="V3321" i="34"/>
  <c r="W3321" i="34"/>
  <c r="Y3321" i="34"/>
  <c r="AB3321" i="34"/>
  <c r="AC3321" i="34"/>
  <c r="AD3321" i="34"/>
  <c r="P3322" i="34"/>
  <c r="T3322" i="34"/>
  <c r="U3322" i="34"/>
  <c r="V3322" i="34"/>
  <c r="W3322" i="34"/>
  <c r="Y3322" i="34"/>
  <c r="AB3322" i="34"/>
  <c r="AC3322" i="34"/>
  <c r="AD3322" i="34"/>
  <c r="P3323" i="34"/>
  <c r="T3323" i="34"/>
  <c r="U3323" i="34"/>
  <c r="V3323" i="34"/>
  <c r="W3323" i="34"/>
  <c r="Y3323" i="34"/>
  <c r="AB3323" i="34"/>
  <c r="AC3323" i="34"/>
  <c r="AD3323" i="34"/>
  <c r="P3324" i="34"/>
  <c r="T3324" i="34"/>
  <c r="U3324" i="34"/>
  <c r="V3324" i="34"/>
  <c r="W3324" i="34"/>
  <c r="Y3324" i="34"/>
  <c r="AB3324" i="34"/>
  <c r="AC3324" i="34"/>
  <c r="AD3324" i="34"/>
  <c r="P3325" i="34"/>
  <c r="T3325" i="34"/>
  <c r="U3325" i="34"/>
  <c r="V3325" i="34"/>
  <c r="W3325" i="34"/>
  <c r="Y3325" i="34"/>
  <c r="AB3325" i="34"/>
  <c r="AC3325" i="34"/>
  <c r="AD3325" i="34"/>
  <c r="P3326" i="34"/>
  <c r="T3326" i="34"/>
  <c r="U3326" i="34"/>
  <c r="V3326" i="34"/>
  <c r="W3326" i="34"/>
  <c r="Y3326" i="34"/>
  <c r="AB3326" i="34"/>
  <c r="AC3326" i="34"/>
  <c r="AD3326" i="34"/>
  <c r="P3327" i="34"/>
  <c r="T3327" i="34"/>
  <c r="U3327" i="34"/>
  <c r="V3327" i="34"/>
  <c r="W3327" i="34"/>
  <c r="Y3327" i="34"/>
  <c r="AB3327" i="34"/>
  <c r="AC3327" i="34"/>
  <c r="AD3327" i="34"/>
  <c r="P3328" i="34"/>
  <c r="T3328" i="34"/>
  <c r="U3328" i="34"/>
  <c r="V3328" i="34"/>
  <c r="W3328" i="34"/>
  <c r="Y3328" i="34"/>
  <c r="AB3328" i="34"/>
  <c r="AC3328" i="34"/>
  <c r="AD3328" i="34"/>
  <c r="P3329" i="34"/>
  <c r="T3329" i="34"/>
  <c r="U3329" i="34"/>
  <c r="V3329" i="34"/>
  <c r="W3329" i="34"/>
  <c r="Y3329" i="34"/>
  <c r="AB3329" i="34"/>
  <c r="AC3329" i="34"/>
  <c r="AD3329" i="34"/>
  <c r="P3330" i="34"/>
  <c r="T3330" i="34"/>
  <c r="U3330" i="34"/>
  <c r="V3330" i="34"/>
  <c r="W3330" i="34"/>
  <c r="Y3330" i="34"/>
  <c r="AB3330" i="34"/>
  <c r="AC3330" i="34"/>
  <c r="AD3330" i="34"/>
  <c r="P3331" i="34"/>
  <c r="T3331" i="34"/>
  <c r="U3331" i="34"/>
  <c r="V3331" i="34"/>
  <c r="W3331" i="34"/>
  <c r="Y3331" i="34"/>
  <c r="AB3331" i="34"/>
  <c r="AC3331" i="34"/>
  <c r="AD3331" i="34"/>
  <c r="P3332" i="34"/>
  <c r="T3332" i="34"/>
  <c r="U3332" i="34"/>
  <c r="V3332" i="34"/>
  <c r="W3332" i="34"/>
  <c r="Y3332" i="34"/>
  <c r="AB3332" i="34"/>
  <c r="AC3332" i="34"/>
  <c r="AD3332" i="34"/>
  <c r="P3333" i="34"/>
  <c r="T3333" i="34"/>
  <c r="U3333" i="34"/>
  <c r="V3333" i="34"/>
  <c r="W3333" i="34"/>
  <c r="Y3333" i="34"/>
  <c r="AB3333" i="34"/>
  <c r="AC3333" i="34"/>
  <c r="AD3333" i="34"/>
  <c r="P3334" i="34"/>
  <c r="T3334" i="34"/>
  <c r="U3334" i="34"/>
  <c r="V3334" i="34"/>
  <c r="W3334" i="34"/>
  <c r="Y3334" i="34"/>
  <c r="AB3334" i="34"/>
  <c r="AC3334" i="34"/>
  <c r="AD3334" i="34"/>
  <c r="P3335" i="34"/>
  <c r="T3335" i="34"/>
  <c r="U3335" i="34"/>
  <c r="V3335" i="34"/>
  <c r="W3335" i="34"/>
  <c r="Y3335" i="34"/>
  <c r="AB3335" i="34"/>
  <c r="AC3335" i="34"/>
  <c r="AD3335" i="34"/>
  <c r="P3336" i="34"/>
  <c r="T3336" i="34"/>
  <c r="U3336" i="34"/>
  <c r="V3336" i="34"/>
  <c r="W3336" i="34"/>
  <c r="Y3336" i="34"/>
  <c r="AB3336" i="34"/>
  <c r="AC3336" i="34"/>
  <c r="AD3336" i="34"/>
  <c r="P3337" i="34"/>
  <c r="T3337" i="34"/>
  <c r="U3337" i="34"/>
  <c r="V3337" i="34"/>
  <c r="W3337" i="34"/>
  <c r="Y3337" i="34"/>
  <c r="AB3337" i="34"/>
  <c r="AC3337" i="34"/>
  <c r="AD3337" i="34"/>
  <c r="P3338" i="34"/>
  <c r="T3338" i="34"/>
  <c r="U3338" i="34"/>
  <c r="V3338" i="34"/>
  <c r="W3338" i="34"/>
  <c r="Y3338" i="34"/>
  <c r="AB3338" i="34"/>
  <c r="AC3338" i="34"/>
  <c r="AD3338" i="34"/>
  <c r="P3339" i="34"/>
  <c r="T3339" i="34"/>
  <c r="U3339" i="34"/>
  <c r="V3339" i="34"/>
  <c r="W3339" i="34"/>
  <c r="Y3339" i="34"/>
  <c r="AB3339" i="34"/>
  <c r="AC3339" i="34"/>
  <c r="AD3339" i="34"/>
  <c r="P3340" i="34"/>
  <c r="T3340" i="34"/>
  <c r="U3340" i="34"/>
  <c r="V3340" i="34"/>
  <c r="W3340" i="34"/>
  <c r="Y3340" i="34"/>
  <c r="AB3340" i="34"/>
  <c r="AC3340" i="34"/>
  <c r="AD3340" i="34"/>
  <c r="P3341" i="34"/>
  <c r="T3341" i="34"/>
  <c r="U3341" i="34"/>
  <c r="V3341" i="34"/>
  <c r="W3341" i="34"/>
  <c r="Y3341" i="34"/>
  <c r="AB3341" i="34"/>
  <c r="AC3341" i="34"/>
  <c r="AD3341" i="34"/>
  <c r="P3342" i="34"/>
  <c r="T3342" i="34"/>
  <c r="U3342" i="34"/>
  <c r="V3342" i="34"/>
  <c r="W3342" i="34"/>
  <c r="Y3342" i="34"/>
  <c r="AB3342" i="34"/>
  <c r="AC3342" i="34"/>
  <c r="AD3342" i="34"/>
  <c r="P3343" i="34"/>
  <c r="T3343" i="34"/>
  <c r="U3343" i="34"/>
  <c r="V3343" i="34"/>
  <c r="W3343" i="34"/>
  <c r="Y3343" i="34"/>
  <c r="AB3343" i="34"/>
  <c r="AC3343" i="34"/>
  <c r="AD3343" i="34"/>
  <c r="P3344" i="34"/>
  <c r="T3344" i="34"/>
  <c r="U3344" i="34"/>
  <c r="V3344" i="34"/>
  <c r="W3344" i="34"/>
  <c r="Y3344" i="34"/>
  <c r="AB3344" i="34"/>
  <c r="AC3344" i="34"/>
  <c r="AD3344" i="34"/>
  <c r="P3345" i="34"/>
  <c r="T3345" i="34"/>
  <c r="U3345" i="34"/>
  <c r="V3345" i="34"/>
  <c r="W3345" i="34"/>
  <c r="Y3345" i="34"/>
  <c r="AB3345" i="34"/>
  <c r="AC3345" i="34"/>
  <c r="AD3345" i="34"/>
  <c r="P3346" i="34"/>
  <c r="T3346" i="34"/>
  <c r="U3346" i="34"/>
  <c r="V3346" i="34"/>
  <c r="W3346" i="34"/>
  <c r="Y3346" i="34"/>
  <c r="AB3346" i="34"/>
  <c r="AC3346" i="34"/>
  <c r="AD3346" i="34"/>
  <c r="P3434" i="34"/>
  <c r="T3434" i="34"/>
  <c r="U3434" i="34"/>
  <c r="V3434" i="34"/>
  <c r="W3434" i="34"/>
  <c r="Y3434" i="34"/>
  <c r="AB3434" i="34"/>
  <c r="AC3434" i="34"/>
  <c r="AD3434" i="34"/>
  <c r="P3438" i="34"/>
  <c r="T3438" i="34"/>
  <c r="U3438" i="34"/>
  <c r="V3438" i="34"/>
  <c r="W3438" i="34"/>
  <c r="Y3438" i="34"/>
  <c r="AB3438" i="34"/>
  <c r="AC3438" i="34"/>
  <c r="AD3438" i="34"/>
  <c r="P3439" i="34"/>
  <c r="T3439" i="34"/>
  <c r="U3439" i="34"/>
  <c r="V3439" i="34"/>
  <c r="W3439" i="34"/>
  <c r="Y3439" i="34"/>
  <c r="AB3439" i="34"/>
  <c r="AC3439" i="34"/>
  <c r="AD3439" i="34"/>
  <c r="P3440" i="34"/>
  <c r="T3440" i="34"/>
  <c r="U3440" i="34"/>
  <c r="V3440" i="34"/>
  <c r="W3440" i="34"/>
  <c r="Y3440" i="34"/>
  <c r="AB3440" i="34"/>
  <c r="AC3440" i="34"/>
  <c r="AD3440" i="34"/>
  <c r="P3441" i="34"/>
  <c r="T3441" i="34"/>
  <c r="U3441" i="34"/>
  <c r="V3441" i="34"/>
  <c r="W3441" i="34"/>
  <c r="Y3441" i="34"/>
  <c r="AB3441" i="34"/>
  <c r="AC3441" i="34"/>
  <c r="AD3441" i="34"/>
  <c r="P3442" i="34"/>
  <c r="T3442" i="34"/>
  <c r="U3442" i="34"/>
  <c r="V3442" i="34"/>
  <c r="W3442" i="34"/>
  <c r="Y3442" i="34"/>
  <c r="AB3442" i="34"/>
  <c r="AC3442" i="34"/>
  <c r="AD3442" i="34"/>
  <c r="P3443" i="34"/>
  <c r="T3443" i="34"/>
  <c r="U3443" i="34"/>
  <c r="V3443" i="34"/>
  <c r="W3443" i="34"/>
  <c r="Y3443" i="34"/>
  <c r="AB3443" i="34"/>
  <c r="AC3443" i="34"/>
  <c r="AD3443" i="34"/>
  <c r="P3452" i="34"/>
  <c r="T3452" i="34"/>
  <c r="U3452" i="34"/>
  <c r="V3452" i="34"/>
  <c r="W3452" i="34"/>
  <c r="Y3452" i="34"/>
  <c r="AB3452" i="34"/>
  <c r="AC3452" i="34"/>
  <c r="AD3452" i="34"/>
  <c r="P3453" i="34"/>
  <c r="T3453" i="34"/>
  <c r="U3453" i="34"/>
  <c r="V3453" i="34"/>
  <c r="W3453" i="34"/>
  <c r="Y3453" i="34"/>
  <c r="AB3453" i="34"/>
  <c r="AC3453" i="34"/>
  <c r="AD3453" i="34"/>
  <c r="P3454" i="34"/>
  <c r="T3454" i="34"/>
  <c r="U3454" i="34"/>
  <c r="V3454" i="34"/>
  <c r="W3454" i="34"/>
  <c r="Y3454" i="34"/>
  <c r="AB3454" i="34"/>
  <c r="AC3454" i="34"/>
  <c r="AD3454" i="34"/>
  <c r="P3455" i="34"/>
  <c r="T3455" i="34"/>
  <c r="U3455" i="34"/>
  <c r="V3455" i="34"/>
  <c r="W3455" i="34"/>
  <c r="Y3455" i="34"/>
  <c r="AB3455" i="34"/>
  <c r="AC3455" i="34"/>
  <c r="AD3455" i="34"/>
  <c r="P3479" i="34"/>
  <c r="T3479" i="34"/>
  <c r="U3479" i="34"/>
  <c r="V3479" i="34"/>
  <c r="W3479" i="34"/>
  <c r="Y3479" i="34"/>
  <c r="AB3479" i="34"/>
  <c r="AC3479" i="34"/>
  <c r="AD3479" i="34"/>
  <c r="P3487" i="34"/>
  <c r="T3487" i="34"/>
  <c r="U3487" i="34"/>
  <c r="V3487" i="34"/>
  <c r="W3487" i="34"/>
  <c r="Y3487" i="34"/>
  <c r="AB3487" i="34"/>
  <c r="AC3487" i="34"/>
  <c r="AD3487" i="34"/>
  <c r="P3488" i="34"/>
  <c r="T3488" i="34"/>
  <c r="U3488" i="34"/>
  <c r="V3488" i="34"/>
  <c r="W3488" i="34"/>
  <c r="Y3488" i="34"/>
  <c r="AB3488" i="34"/>
  <c r="AC3488" i="34"/>
  <c r="AD3488" i="34"/>
  <c r="P3489" i="34"/>
  <c r="T3489" i="34"/>
  <c r="U3489" i="34"/>
  <c r="V3489" i="34"/>
  <c r="W3489" i="34"/>
  <c r="Y3489" i="34"/>
  <c r="AB3489" i="34"/>
  <c r="AC3489" i="34"/>
  <c r="AD3489" i="34"/>
  <c r="P3492" i="34"/>
  <c r="T3492" i="34"/>
  <c r="U3492" i="34"/>
  <c r="V3492" i="34"/>
  <c r="W3492" i="34"/>
  <c r="Y3492" i="34"/>
  <c r="AB3492" i="34"/>
  <c r="AC3492" i="34"/>
  <c r="AD3492" i="34"/>
  <c r="P3496" i="34"/>
  <c r="T3496" i="34"/>
  <c r="U3496" i="34"/>
  <c r="V3496" i="34"/>
  <c r="W3496" i="34"/>
  <c r="Y3496" i="34"/>
  <c r="AB3496" i="34"/>
  <c r="AC3496" i="34"/>
  <c r="AD3496" i="34"/>
  <c r="P3501" i="34"/>
  <c r="T3501" i="34"/>
  <c r="U3501" i="34"/>
  <c r="V3501" i="34"/>
  <c r="W3501" i="34"/>
  <c r="Y3501" i="34"/>
  <c r="AB3501" i="34"/>
  <c r="AC3501" i="34"/>
  <c r="AD3501" i="34"/>
  <c r="P3502" i="34"/>
  <c r="T3502" i="34"/>
  <c r="U3502" i="34"/>
  <c r="V3502" i="34"/>
  <c r="W3502" i="34"/>
  <c r="Y3502" i="34"/>
  <c r="AB3502" i="34"/>
  <c r="AC3502" i="34"/>
  <c r="AD3502" i="34"/>
  <c r="P3503" i="34"/>
  <c r="T3503" i="34"/>
  <c r="U3503" i="34"/>
  <c r="V3503" i="34"/>
  <c r="W3503" i="34"/>
  <c r="Y3503" i="34"/>
  <c r="AB3503" i="34"/>
  <c r="AC3503" i="34"/>
  <c r="AD3503" i="34"/>
  <c r="P3504" i="34"/>
  <c r="T3504" i="34"/>
  <c r="U3504" i="34"/>
  <c r="V3504" i="34"/>
  <c r="W3504" i="34"/>
  <c r="Y3504" i="34"/>
  <c r="AB3504" i="34"/>
  <c r="AC3504" i="34"/>
  <c r="AD3504" i="34"/>
  <c r="P3508" i="34"/>
  <c r="T3508" i="34"/>
  <c r="U3508" i="34"/>
  <c r="V3508" i="34"/>
  <c r="W3508" i="34"/>
  <c r="Y3508" i="34"/>
  <c r="AB3508" i="34"/>
  <c r="AC3508" i="34"/>
  <c r="AD3508" i="34"/>
  <c r="P3518" i="34"/>
  <c r="T3518" i="34"/>
  <c r="U3518" i="34"/>
  <c r="V3518" i="34"/>
  <c r="W3518" i="34"/>
  <c r="Y3518" i="34"/>
  <c r="AB3518" i="34"/>
  <c r="AC3518" i="34"/>
  <c r="AD3518" i="34"/>
  <c r="P3519" i="34"/>
  <c r="T3519" i="34"/>
  <c r="U3519" i="34"/>
  <c r="V3519" i="34"/>
  <c r="W3519" i="34"/>
  <c r="Y3519" i="34"/>
  <c r="AB3519" i="34"/>
  <c r="AC3519" i="34"/>
  <c r="AD3519" i="34"/>
  <c r="P3520" i="34"/>
  <c r="T3520" i="34"/>
  <c r="U3520" i="34"/>
  <c r="V3520" i="34"/>
  <c r="W3520" i="34"/>
  <c r="Y3520" i="34"/>
  <c r="AB3520" i="34"/>
  <c r="AC3520" i="34"/>
  <c r="AD3520" i="34"/>
  <c r="P3521" i="34"/>
  <c r="T3521" i="34"/>
  <c r="U3521" i="34"/>
  <c r="V3521" i="34"/>
  <c r="W3521" i="34"/>
  <c r="Y3521" i="34"/>
  <c r="AB3521" i="34"/>
  <c r="AC3521" i="34"/>
  <c r="AD3521" i="34"/>
  <c r="P3522" i="34"/>
  <c r="T3522" i="34"/>
  <c r="U3522" i="34"/>
  <c r="V3522" i="34"/>
  <c r="W3522" i="34"/>
  <c r="Y3522" i="34"/>
  <c r="AB3522" i="34"/>
  <c r="AC3522" i="34"/>
  <c r="AD3522" i="34"/>
  <c r="P3523" i="34"/>
  <c r="T3523" i="34"/>
  <c r="U3523" i="34"/>
  <c r="V3523" i="34"/>
  <c r="W3523" i="34"/>
  <c r="Y3523" i="34"/>
  <c r="AB3523" i="34"/>
  <c r="AC3523" i="34"/>
  <c r="AD3523" i="34"/>
  <c r="P3524" i="34"/>
  <c r="T3524" i="34"/>
  <c r="U3524" i="34"/>
  <c r="V3524" i="34"/>
  <c r="W3524" i="34"/>
  <c r="Y3524" i="34"/>
  <c r="AB3524" i="34"/>
  <c r="AC3524" i="34"/>
  <c r="AD3524" i="34"/>
  <c r="P3525" i="34"/>
  <c r="T3525" i="34"/>
  <c r="U3525" i="34"/>
  <c r="V3525" i="34"/>
  <c r="W3525" i="34"/>
  <c r="Y3525" i="34"/>
  <c r="AB3525" i="34"/>
  <c r="AC3525" i="34"/>
  <c r="AD3525" i="34"/>
  <c r="P3526" i="34"/>
  <c r="T3526" i="34"/>
  <c r="U3526" i="34"/>
  <c r="V3526" i="34"/>
  <c r="W3526" i="34"/>
  <c r="Y3526" i="34"/>
  <c r="AB3526" i="34"/>
  <c r="AC3526" i="34"/>
  <c r="AD3526" i="34"/>
  <c r="P3527" i="34"/>
  <c r="T3527" i="34"/>
  <c r="U3527" i="34"/>
  <c r="V3527" i="34"/>
  <c r="W3527" i="34"/>
  <c r="Y3527" i="34"/>
  <c r="AB3527" i="34"/>
  <c r="AC3527" i="34"/>
  <c r="AD3527" i="34"/>
  <c r="P3528" i="34"/>
  <c r="T3528" i="34"/>
  <c r="U3528" i="34"/>
  <c r="V3528" i="34"/>
  <c r="W3528" i="34"/>
  <c r="Y3528" i="34"/>
  <c r="AB3528" i="34"/>
  <c r="AC3528" i="34"/>
  <c r="AD3528" i="34"/>
  <c r="P3529" i="34"/>
  <c r="T3529" i="34"/>
  <c r="U3529" i="34"/>
  <c r="V3529" i="34"/>
  <c r="W3529" i="34"/>
  <c r="Y3529" i="34"/>
  <c r="AB3529" i="34"/>
  <c r="AC3529" i="34"/>
  <c r="AD3529" i="34"/>
  <c r="P3530" i="34"/>
  <c r="T3530" i="34"/>
  <c r="U3530" i="34"/>
  <c r="V3530" i="34"/>
  <c r="W3530" i="34"/>
  <c r="Y3530" i="34"/>
  <c r="AB3530" i="34"/>
  <c r="AC3530" i="34"/>
  <c r="AD3530" i="34"/>
  <c r="P3531" i="34"/>
  <c r="T3531" i="34"/>
  <c r="U3531" i="34"/>
  <c r="V3531" i="34"/>
  <c r="W3531" i="34"/>
  <c r="Y3531" i="34"/>
  <c r="AB3531" i="34"/>
  <c r="AC3531" i="34"/>
  <c r="AD3531" i="34"/>
  <c r="P3536" i="34"/>
  <c r="T3536" i="34"/>
  <c r="U3536" i="34"/>
  <c r="V3536" i="34"/>
  <c r="W3536" i="34"/>
  <c r="Y3536" i="34"/>
  <c r="AB3536" i="34"/>
  <c r="AC3536" i="34"/>
  <c r="AD3536" i="34"/>
  <c r="P3537" i="34"/>
  <c r="T3537" i="34"/>
  <c r="U3537" i="34"/>
  <c r="V3537" i="34"/>
  <c r="W3537" i="34"/>
  <c r="Y3537" i="34"/>
  <c r="AB3537" i="34"/>
  <c r="AC3537" i="34"/>
  <c r="AD3537" i="34"/>
  <c r="P3538" i="34"/>
  <c r="T3538" i="34"/>
  <c r="U3538" i="34"/>
  <c r="V3538" i="34"/>
  <c r="W3538" i="34"/>
  <c r="Y3538" i="34"/>
  <c r="AB3538" i="34"/>
  <c r="AC3538" i="34"/>
  <c r="AD3538" i="34"/>
  <c r="P3539" i="34"/>
  <c r="T3539" i="34"/>
  <c r="U3539" i="34"/>
  <c r="V3539" i="34"/>
  <c r="W3539" i="34"/>
  <c r="Y3539" i="34"/>
  <c r="AB3539" i="34"/>
  <c r="AC3539" i="34"/>
  <c r="AD3539" i="34"/>
  <c r="P3540" i="34"/>
  <c r="T3540" i="34"/>
  <c r="U3540" i="34"/>
  <c r="V3540" i="34"/>
  <c r="W3540" i="34"/>
  <c r="Y3540" i="34"/>
  <c r="AB3540" i="34"/>
  <c r="AC3540" i="34"/>
  <c r="AD3540" i="34"/>
  <c r="P3541" i="34"/>
  <c r="T3541" i="34"/>
  <c r="U3541" i="34"/>
  <c r="V3541" i="34"/>
  <c r="W3541" i="34"/>
  <c r="Y3541" i="34"/>
  <c r="AB3541" i="34"/>
  <c r="AC3541" i="34"/>
  <c r="AD3541" i="34"/>
  <c r="P3542" i="34"/>
  <c r="T3542" i="34"/>
  <c r="U3542" i="34"/>
  <c r="V3542" i="34"/>
  <c r="W3542" i="34"/>
  <c r="Y3542" i="34"/>
  <c r="AB3542" i="34"/>
  <c r="AC3542" i="34"/>
  <c r="AD3542" i="34"/>
  <c r="P3543" i="34"/>
  <c r="T3543" i="34"/>
  <c r="U3543" i="34"/>
  <c r="V3543" i="34"/>
  <c r="W3543" i="34"/>
  <c r="Y3543" i="34"/>
  <c r="AB3543" i="34"/>
  <c r="AC3543" i="34"/>
  <c r="AD3543" i="34"/>
  <c r="P3544" i="34"/>
  <c r="T3544" i="34"/>
  <c r="U3544" i="34"/>
  <c r="V3544" i="34"/>
  <c r="W3544" i="34"/>
  <c r="Y3544" i="34"/>
  <c r="AB3544" i="34"/>
  <c r="AC3544" i="34"/>
  <c r="AD3544" i="34"/>
  <c r="P3545" i="34"/>
  <c r="T3545" i="34"/>
  <c r="U3545" i="34"/>
  <c r="V3545" i="34"/>
  <c r="W3545" i="34"/>
  <c r="Y3545" i="34"/>
  <c r="AB3545" i="34"/>
  <c r="AC3545" i="34"/>
  <c r="AD3545" i="34"/>
  <c r="P3554" i="34"/>
  <c r="T3554" i="34"/>
  <c r="U3554" i="34"/>
  <c r="V3554" i="34"/>
  <c r="W3554" i="34"/>
  <c r="Y3554" i="34"/>
  <c r="AB3554" i="34"/>
  <c r="AC3554" i="34"/>
  <c r="AD3554" i="34"/>
  <c r="P3555" i="34"/>
  <c r="T3555" i="34"/>
  <c r="U3555" i="34"/>
  <c r="V3555" i="34"/>
  <c r="W3555" i="34"/>
  <c r="Y3555" i="34"/>
  <c r="AB3555" i="34"/>
  <c r="AC3555" i="34"/>
  <c r="AD3555" i="34"/>
  <c r="P3556" i="34"/>
  <c r="T3556" i="34"/>
  <c r="U3556" i="34"/>
  <c r="V3556" i="34"/>
  <c r="W3556" i="34"/>
  <c r="Y3556" i="34"/>
  <c r="AB3556" i="34"/>
  <c r="AC3556" i="34"/>
  <c r="AD3556" i="34"/>
  <c r="P3557" i="34"/>
  <c r="T3557" i="34"/>
  <c r="U3557" i="34"/>
  <c r="V3557" i="34"/>
  <c r="W3557" i="34"/>
  <c r="Y3557" i="34"/>
  <c r="AB3557" i="34"/>
  <c r="AC3557" i="34"/>
  <c r="AD3557" i="34"/>
  <c r="P3558" i="34"/>
  <c r="T3558" i="34"/>
  <c r="U3558" i="34"/>
  <c r="V3558" i="34"/>
  <c r="W3558" i="34"/>
  <c r="Y3558" i="34"/>
  <c r="AB3558" i="34"/>
  <c r="AC3558" i="34"/>
  <c r="AD3558" i="34"/>
  <c r="P3575" i="34"/>
  <c r="T3575" i="34"/>
  <c r="U3575" i="34"/>
  <c r="V3575" i="34"/>
  <c r="W3575" i="34"/>
  <c r="Y3575" i="34"/>
  <c r="AB3575" i="34"/>
  <c r="AC3575" i="34"/>
  <c r="AD3575" i="34"/>
  <c r="P3576" i="34"/>
  <c r="T3576" i="34"/>
  <c r="U3576" i="34"/>
  <c r="V3576" i="34"/>
  <c r="W3576" i="34"/>
  <c r="Y3576" i="34"/>
  <c r="AB3576" i="34"/>
  <c r="AC3576" i="34"/>
  <c r="AD3576" i="34"/>
  <c r="P3577" i="34"/>
  <c r="T3577" i="34"/>
  <c r="U3577" i="34"/>
  <c r="V3577" i="34"/>
  <c r="W3577" i="34"/>
  <c r="Y3577" i="34"/>
  <c r="AB3577" i="34"/>
  <c r="AC3577" i="34"/>
  <c r="AD3577" i="34"/>
  <c r="P3578" i="34"/>
  <c r="T3578" i="34"/>
  <c r="U3578" i="34"/>
  <c r="V3578" i="34"/>
  <c r="W3578" i="34"/>
  <c r="Y3578" i="34"/>
  <c r="AB3578" i="34"/>
  <c r="AC3578" i="34"/>
  <c r="AD3578" i="34"/>
  <c r="P3579" i="34"/>
  <c r="T3579" i="34"/>
  <c r="U3579" i="34"/>
  <c r="V3579" i="34"/>
  <c r="W3579" i="34"/>
  <c r="Y3579" i="34"/>
  <c r="AB3579" i="34"/>
  <c r="AC3579" i="34"/>
  <c r="AD3579" i="34"/>
  <c r="P3580" i="34"/>
  <c r="T3580" i="34"/>
  <c r="U3580" i="34"/>
  <c r="V3580" i="34"/>
  <c r="W3580" i="34"/>
  <c r="Y3580" i="34"/>
  <c r="AB3580" i="34"/>
  <c r="AC3580" i="34"/>
  <c r="AD3580" i="34"/>
  <c r="P3587" i="34"/>
  <c r="T3587" i="34"/>
  <c r="U3587" i="34"/>
  <c r="V3587" i="34"/>
  <c r="W3587" i="34"/>
  <c r="Y3587" i="34"/>
  <c r="AB3587" i="34"/>
  <c r="AC3587" i="34"/>
  <c r="AD3587" i="34"/>
  <c r="P3588" i="34"/>
  <c r="T3588" i="34"/>
  <c r="U3588" i="34"/>
  <c r="V3588" i="34"/>
  <c r="W3588" i="34"/>
  <c r="Y3588" i="34"/>
  <c r="AB3588" i="34"/>
  <c r="AC3588" i="34"/>
  <c r="AD3588" i="34"/>
  <c r="P3589" i="34"/>
  <c r="T3589" i="34"/>
  <c r="U3589" i="34"/>
  <c r="V3589" i="34"/>
  <c r="W3589" i="34"/>
  <c r="Y3589" i="34"/>
  <c r="AB3589" i="34"/>
  <c r="AC3589" i="34"/>
  <c r="AD3589" i="34"/>
  <c r="P3590" i="34"/>
  <c r="T3590" i="34"/>
  <c r="U3590" i="34"/>
  <c r="V3590" i="34"/>
  <c r="W3590" i="34"/>
  <c r="Y3590" i="34"/>
  <c r="AB3590" i="34"/>
  <c r="AC3590" i="34"/>
  <c r="AD3590" i="34"/>
  <c r="P3591" i="34"/>
  <c r="T3591" i="34"/>
  <c r="U3591" i="34"/>
  <c r="V3591" i="34"/>
  <c r="W3591" i="34"/>
  <c r="Y3591" i="34"/>
  <c r="AB3591" i="34"/>
  <c r="AC3591" i="34"/>
  <c r="AD3591" i="34"/>
  <c r="P3592" i="34"/>
  <c r="T3592" i="34"/>
  <c r="U3592" i="34"/>
  <c r="V3592" i="34"/>
  <c r="W3592" i="34"/>
  <c r="Y3592" i="34"/>
  <c r="AB3592" i="34"/>
  <c r="AC3592" i="34"/>
  <c r="AD3592" i="34"/>
  <c r="P3593" i="34"/>
  <c r="T3593" i="34"/>
  <c r="U3593" i="34"/>
  <c r="V3593" i="34"/>
  <c r="W3593" i="34"/>
  <c r="Y3593" i="34"/>
  <c r="AB3593" i="34"/>
  <c r="AC3593" i="34"/>
  <c r="AD3593" i="34"/>
  <c r="P3594" i="34"/>
  <c r="T3594" i="34"/>
  <c r="U3594" i="34"/>
  <c r="V3594" i="34"/>
  <c r="W3594" i="34"/>
  <c r="Y3594" i="34"/>
  <c r="AB3594" i="34"/>
  <c r="AC3594" i="34"/>
  <c r="AD3594" i="34"/>
  <c r="P3595" i="34"/>
  <c r="T3595" i="34"/>
  <c r="U3595" i="34"/>
  <c r="V3595" i="34"/>
  <c r="W3595" i="34"/>
  <c r="Y3595" i="34"/>
  <c r="AB3595" i="34"/>
  <c r="AC3595" i="34"/>
  <c r="AD3595" i="34"/>
  <c r="P3596" i="34"/>
  <c r="T3596" i="34"/>
  <c r="U3596" i="34"/>
  <c r="V3596" i="34"/>
  <c r="W3596" i="34"/>
  <c r="Y3596" i="34"/>
  <c r="AB3596" i="34"/>
  <c r="AC3596" i="34"/>
  <c r="AD3596" i="34"/>
  <c r="P3597" i="34"/>
  <c r="T3597" i="34"/>
  <c r="U3597" i="34"/>
  <c r="V3597" i="34"/>
  <c r="W3597" i="34"/>
  <c r="Y3597" i="34"/>
  <c r="AB3597" i="34"/>
  <c r="AC3597" i="34"/>
  <c r="AD3597" i="34"/>
  <c r="P3598" i="34"/>
  <c r="T3598" i="34"/>
  <c r="U3598" i="34"/>
  <c r="V3598" i="34"/>
  <c r="W3598" i="34"/>
  <c r="Y3598" i="34"/>
  <c r="AB3598" i="34"/>
  <c r="AC3598" i="34"/>
  <c r="AD3598" i="34"/>
  <c r="P3599" i="34"/>
  <c r="T3599" i="34"/>
  <c r="U3599" i="34"/>
  <c r="V3599" i="34"/>
  <c r="W3599" i="34"/>
  <c r="Y3599" i="34"/>
  <c r="AB3599" i="34"/>
  <c r="AC3599" i="34"/>
  <c r="AD3599" i="34"/>
  <c r="P3600" i="34"/>
  <c r="T3600" i="34"/>
  <c r="U3600" i="34"/>
  <c r="V3600" i="34"/>
  <c r="W3600" i="34"/>
  <c r="Y3600" i="34"/>
  <c r="AB3600" i="34"/>
  <c r="AC3600" i="34"/>
  <c r="AD3600" i="34"/>
  <c r="P3601" i="34"/>
  <c r="T3601" i="34"/>
  <c r="U3601" i="34"/>
  <c r="V3601" i="34"/>
  <c r="W3601" i="34"/>
  <c r="Y3601" i="34"/>
  <c r="AB3601" i="34"/>
  <c r="AC3601" i="34"/>
  <c r="AD3601" i="34"/>
  <c r="P3602" i="34"/>
  <c r="T3602" i="34"/>
  <c r="U3602" i="34"/>
  <c r="V3602" i="34"/>
  <c r="W3602" i="34"/>
  <c r="Y3602" i="34"/>
  <c r="AB3602" i="34"/>
  <c r="AC3602" i="34"/>
  <c r="AD3602" i="34"/>
  <c r="P3604" i="34"/>
  <c r="T3604" i="34"/>
  <c r="U3604" i="34"/>
  <c r="V3604" i="34"/>
  <c r="W3604" i="34"/>
  <c r="Y3604" i="34"/>
  <c r="AB3604" i="34"/>
  <c r="AC3604" i="34"/>
  <c r="AD3604" i="34"/>
  <c r="P3619" i="34"/>
  <c r="T3619" i="34"/>
  <c r="U3619" i="34"/>
  <c r="V3619" i="34"/>
  <c r="W3619" i="34"/>
  <c r="Y3619" i="34"/>
  <c r="AB3619" i="34"/>
  <c r="AC3619" i="34"/>
  <c r="AD3619" i="34"/>
  <c r="P3620" i="34"/>
  <c r="T3620" i="34"/>
  <c r="U3620" i="34"/>
  <c r="V3620" i="34"/>
  <c r="W3620" i="34"/>
  <c r="Y3620" i="34"/>
  <c r="AB3620" i="34"/>
  <c r="AC3620" i="34"/>
  <c r="AD3620" i="34"/>
  <c r="P3621" i="34"/>
  <c r="T3621" i="34"/>
  <c r="U3621" i="34"/>
  <c r="V3621" i="34"/>
  <c r="W3621" i="34"/>
  <c r="Y3621" i="34"/>
  <c r="AB3621" i="34"/>
  <c r="AC3621" i="34"/>
  <c r="AD3621" i="34"/>
  <c r="P3622" i="34"/>
  <c r="T3622" i="34"/>
  <c r="U3622" i="34"/>
  <c r="V3622" i="34"/>
  <c r="W3622" i="34"/>
  <c r="Y3622" i="34"/>
  <c r="AB3622" i="34"/>
  <c r="AC3622" i="34"/>
  <c r="AD3622" i="34"/>
  <c r="P3653" i="34"/>
  <c r="T3653" i="34"/>
  <c r="U3653" i="34"/>
  <c r="V3653" i="34"/>
  <c r="W3653" i="34"/>
  <c r="Y3653" i="34"/>
  <c r="AB3653" i="34"/>
  <c r="AC3653" i="34"/>
  <c r="AD3653" i="34"/>
  <c r="P3654" i="34"/>
  <c r="T3654" i="34"/>
  <c r="U3654" i="34"/>
  <c r="V3654" i="34"/>
  <c r="W3654" i="34"/>
  <c r="Y3654" i="34"/>
  <c r="AB3654" i="34"/>
  <c r="AC3654" i="34"/>
  <c r="AD3654" i="34"/>
  <c r="P3668" i="34"/>
  <c r="T3668" i="34"/>
  <c r="U3668" i="34"/>
  <c r="V3668" i="34"/>
  <c r="W3668" i="34"/>
  <c r="Y3668" i="34"/>
  <c r="AB3668" i="34"/>
  <c r="AC3668" i="34"/>
  <c r="AD3668" i="34"/>
  <c r="P3669" i="34"/>
  <c r="T3669" i="34"/>
  <c r="U3669" i="34"/>
  <c r="V3669" i="34"/>
  <c r="W3669" i="34"/>
  <c r="Y3669" i="34"/>
  <c r="AB3669" i="34"/>
  <c r="AC3669" i="34"/>
  <c r="AD3669" i="34"/>
  <c r="P3690" i="34"/>
  <c r="T3690" i="34"/>
  <c r="U3690" i="34"/>
  <c r="V3690" i="34"/>
  <c r="W3690" i="34"/>
  <c r="Y3690" i="34"/>
  <c r="AB3690" i="34"/>
  <c r="AC3690" i="34"/>
  <c r="AD3690" i="34"/>
  <c r="P3691" i="34"/>
  <c r="T3691" i="34"/>
  <c r="U3691" i="34"/>
  <c r="V3691" i="34"/>
  <c r="W3691" i="34"/>
  <c r="Y3691" i="34"/>
  <c r="AB3691" i="34"/>
  <c r="AC3691" i="34"/>
  <c r="AD3691" i="34"/>
  <c r="P3692" i="34"/>
  <c r="T3692" i="34"/>
  <c r="U3692" i="34"/>
  <c r="V3692" i="34"/>
  <c r="W3692" i="34"/>
  <c r="Y3692" i="34"/>
  <c r="AB3692" i="34"/>
  <c r="AC3692" i="34"/>
  <c r="AD3692" i="34"/>
  <c r="P3720" i="34"/>
  <c r="T3720" i="34"/>
  <c r="U3720" i="34"/>
  <c r="V3720" i="34"/>
  <c r="W3720" i="34"/>
  <c r="Y3720" i="34"/>
  <c r="AB3720" i="34"/>
  <c r="AC3720" i="34"/>
  <c r="AD3720" i="34"/>
  <c r="P3724" i="34"/>
  <c r="T3724" i="34"/>
  <c r="U3724" i="34"/>
  <c r="V3724" i="34"/>
  <c r="W3724" i="34"/>
  <c r="Y3724" i="34"/>
  <c r="AB3724" i="34"/>
  <c r="AC3724" i="34"/>
  <c r="AD3724" i="34"/>
  <c r="P3726" i="34"/>
  <c r="T3726" i="34"/>
  <c r="U3726" i="34"/>
  <c r="V3726" i="34"/>
  <c r="W3726" i="34"/>
  <c r="Y3726" i="34"/>
  <c r="AB3726" i="34"/>
  <c r="AC3726" i="34"/>
  <c r="AD3726" i="34"/>
  <c r="P3742" i="34"/>
  <c r="T3742" i="34"/>
  <c r="U3742" i="34"/>
  <c r="V3742" i="34"/>
  <c r="W3742" i="34"/>
  <c r="Y3742" i="34"/>
  <c r="AB3742" i="34"/>
  <c r="AC3742" i="34"/>
  <c r="AD3742" i="34"/>
  <c r="P3747" i="34"/>
  <c r="T3747" i="34"/>
  <c r="U3747" i="34"/>
  <c r="V3747" i="34"/>
  <c r="W3747" i="34"/>
  <c r="Y3747" i="34"/>
  <c r="AB3747" i="34"/>
  <c r="AC3747" i="34"/>
  <c r="AD3747" i="34"/>
  <c r="P3751" i="34"/>
  <c r="T3751" i="34"/>
  <c r="U3751" i="34"/>
  <c r="V3751" i="34"/>
  <c r="W3751" i="34"/>
  <c r="Y3751" i="34"/>
  <c r="AB3751" i="34"/>
  <c r="AC3751" i="34"/>
  <c r="AD3751" i="34"/>
  <c r="P3752" i="34"/>
  <c r="T3752" i="34"/>
  <c r="U3752" i="34"/>
  <c r="V3752" i="34"/>
  <c r="W3752" i="34"/>
  <c r="Y3752" i="34"/>
  <c r="AB3752" i="34"/>
  <c r="AC3752" i="34"/>
  <c r="AD3752" i="34"/>
  <c r="P3753" i="34"/>
  <c r="T3753" i="34"/>
  <c r="U3753" i="34"/>
  <c r="V3753" i="34"/>
  <c r="W3753" i="34"/>
  <c r="Y3753" i="34"/>
  <c r="AB3753" i="34"/>
  <c r="AC3753" i="34"/>
  <c r="AD3753" i="34"/>
  <c r="P3754" i="34"/>
  <c r="T3754" i="34"/>
  <c r="U3754" i="34"/>
  <c r="V3754" i="34"/>
  <c r="W3754" i="34"/>
  <c r="Y3754" i="34"/>
  <c r="AB3754" i="34"/>
  <c r="AC3754" i="34"/>
  <c r="AD3754" i="34"/>
  <c r="P3755" i="34"/>
  <c r="T3755" i="34"/>
  <c r="U3755" i="34"/>
  <c r="V3755" i="34"/>
  <c r="W3755" i="34"/>
  <c r="Y3755" i="34"/>
  <c r="AB3755" i="34"/>
  <c r="AC3755" i="34"/>
  <c r="AD3755" i="34"/>
  <c r="P3756" i="34"/>
  <c r="T3756" i="34"/>
  <c r="U3756" i="34"/>
  <c r="V3756" i="34"/>
  <c r="W3756" i="34"/>
  <c r="Y3756" i="34"/>
  <c r="AB3756" i="34"/>
  <c r="AC3756" i="34"/>
  <c r="AD3756" i="34"/>
  <c r="P3757" i="34"/>
  <c r="T3757" i="34"/>
  <c r="U3757" i="34"/>
  <c r="V3757" i="34"/>
  <c r="W3757" i="34"/>
  <c r="Y3757" i="34"/>
  <c r="AB3757" i="34"/>
  <c r="AC3757" i="34"/>
  <c r="AD3757" i="34"/>
  <c r="P3779" i="34"/>
  <c r="T3779" i="34"/>
  <c r="U3779" i="34"/>
  <c r="V3779" i="34"/>
  <c r="W3779" i="34"/>
  <c r="Y3779" i="34"/>
  <c r="AB3779" i="34"/>
  <c r="AC3779" i="34"/>
  <c r="AD3779" i="34"/>
  <c r="P3780" i="34"/>
  <c r="T3780" i="34"/>
  <c r="U3780" i="34"/>
  <c r="V3780" i="34"/>
  <c r="W3780" i="34"/>
  <c r="Y3780" i="34"/>
  <c r="AB3780" i="34"/>
  <c r="AC3780" i="34"/>
  <c r="AD3780" i="34"/>
  <c r="P3786" i="34"/>
  <c r="T3786" i="34"/>
  <c r="U3786" i="34"/>
  <c r="V3786" i="34"/>
  <c r="W3786" i="34"/>
  <c r="Y3786" i="34"/>
  <c r="AB3786" i="34"/>
  <c r="AC3786" i="34"/>
  <c r="AD3786" i="34"/>
  <c r="P3792" i="34"/>
  <c r="T3792" i="34"/>
  <c r="U3792" i="34"/>
  <c r="V3792" i="34"/>
  <c r="W3792" i="34"/>
  <c r="Y3792" i="34"/>
  <c r="AB3792" i="34"/>
  <c r="AC3792" i="34"/>
  <c r="AD3792" i="34"/>
  <c r="P3793" i="34"/>
  <c r="T3793" i="34"/>
  <c r="U3793" i="34"/>
  <c r="V3793" i="34"/>
  <c r="W3793" i="34"/>
  <c r="Y3793" i="34"/>
  <c r="AB3793" i="34"/>
  <c r="AC3793" i="34"/>
  <c r="AD3793" i="34"/>
  <c r="P3794" i="34"/>
  <c r="T3794" i="34"/>
  <c r="U3794" i="34"/>
  <c r="V3794" i="34"/>
  <c r="W3794" i="34"/>
  <c r="Y3794" i="34"/>
  <c r="AB3794" i="34"/>
  <c r="AC3794" i="34"/>
  <c r="AD3794" i="34"/>
  <c r="P3795" i="34"/>
  <c r="T3795" i="34"/>
  <c r="U3795" i="34"/>
  <c r="V3795" i="34"/>
  <c r="W3795" i="34"/>
  <c r="Y3795" i="34"/>
  <c r="AB3795" i="34"/>
  <c r="AC3795" i="34"/>
  <c r="AD3795" i="34"/>
  <c r="P3796" i="34"/>
  <c r="T3796" i="34"/>
  <c r="U3796" i="34"/>
  <c r="V3796" i="34"/>
  <c r="W3796" i="34"/>
  <c r="Y3796" i="34"/>
  <c r="AB3796" i="34"/>
  <c r="AC3796" i="34"/>
  <c r="AD3796" i="34"/>
  <c r="P3797" i="34"/>
  <c r="T3797" i="34"/>
  <c r="U3797" i="34"/>
  <c r="V3797" i="34"/>
  <c r="W3797" i="34"/>
  <c r="Y3797" i="34"/>
  <c r="AB3797" i="34"/>
  <c r="AC3797" i="34"/>
  <c r="AD3797" i="34"/>
  <c r="P3798" i="34"/>
  <c r="T3798" i="34"/>
  <c r="U3798" i="34"/>
  <c r="V3798" i="34"/>
  <c r="W3798" i="34"/>
  <c r="Y3798" i="34"/>
  <c r="AB3798" i="34"/>
  <c r="AC3798" i="34"/>
  <c r="AD3798" i="34"/>
  <c r="P3807" i="34"/>
  <c r="T3807" i="34"/>
  <c r="U3807" i="34"/>
  <c r="V3807" i="34"/>
  <c r="W3807" i="34"/>
  <c r="Y3807" i="34"/>
  <c r="AB3807" i="34"/>
  <c r="AC3807" i="34"/>
  <c r="AD3807" i="34"/>
  <c r="P3810" i="34"/>
  <c r="T3810" i="34"/>
  <c r="U3810" i="34"/>
  <c r="V3810" i="34"/>
  <c r="W3810" i="34"/>
  <c r="Y3810" i="34"/>
  <c r="AB3810" i="34"/>
  <c r="AC3810" i="34"/>
  <c r="AD3810" i="34"/>
  <c r="P3811" i="34"/>
  <c r="T3811" i="34"/>
  <c r="U3811" i="34"/>
  <c r="V3811" i="34"/>
  <c r="W3811" i="34"/>
  <c r="Y3811" i="34"/>
  <c r="AB3811" i="34"/>
  <c r="AC3811" i="34"/>
  <c r="AD3811" i="34"/>
  <c r="P3816" i="34"/>
  <c r="T3816" i="34"/>
  <c r="U3816" i="34"/>
  <c r="V3816" i="34"/>
  <c r="W3816" i="34"/>
  <c r="Y3816" i="34"/>
  <c r="AB3816" i="34"/>
  <c r="AC3816" i="34"/>
  <c r="AD3816" i="34"/>
  <c r="P3817" i="34"/>
  <c r="T3817" i="34"/>
  <c r="U3817" i="34"/>
  <c r="V3817" i="34"/>
  <c r="W3817" i="34"/>
  <c r="Y3817" i="34"/>
  <c r="AB3817" i="34"/>
  <c r="AC3817" i="34"/>
  <c r="AD3817" i="34"/>
  <c r="P3818" i="34"/>
  <c r="T3818" i="34"/>
  <c r="U3818" i="34"/>
  <c r="V3818" i="34"/>
  <c r="W3818" i="34"/>
  <c r="Y3818" i="34"/>
  <c r="AB3818" i="34"/>
  <c r="AC3818" i="34"/>
  <c r="AD3818" i="34"/>
  <c r="P3819" i="34"/>
  <c r="T3819" i="34"/>
  <c r="U3819" i="34"/>
  <c r="V3819" i="34"/>
  <c r="W3819" i="34"/>
  <c r="Y3819" i="34"/>
  <c r="AB3819" i="34"/>
  <c r="AC3819" i="34"/>
  <c r="AD3819" i="34"/>
  <c r="P3820" i="34"/>
  <c r="T3820" i="34"/>
  <c r="U3820" i="34"/>
  <c r="V3820" i="34"/>
  <c r="W3820" i="34"/>
  <c r="Y3820" i="34"/>
  <c r="AB3820" i="34"/>
  <c r="AC3820" i="34"/>
  <c r="AD3820" i="34"/>
  <c r="P3825" i="34"/>
  <c r="T3825" i="34"/>
  <c r="U3825" i="34"/>
  <c r="V3825" i="34"/>
  <c r="W3825" i="34"/>
  <c r="Y3825" i="34"/>
  <c r="AB3825" i="34"/>
  <c r="AC3825" i="34"/>
  <c r="AD3825" i="34"/>
  <c r="P3856" i="34"/>
  <c r="T3856" i="34"/>
  <c r="U3856" i="34"/>
  <c r="V3856" i="34"/>
  <c r="W3856" i="34"/>
  <c r="Y3856" i="34"/>
  <c r="AB3856" i="34"/>
  <c r="AC3856" i="34"/>
  <c r="AD3856" i="34"/>
  <c r="P3857" i="34"/>
  <c r="T3857" i="34"/>
  <c r="U3857" i="34"/>
  <c r="V3857" i="34"/>
  <c r="W3857" i="34"/>
  <c r="Y3857" i="34"/>
  <c r="AB3857" i="34"/>
  <c r="AC3857" i="34"/>
  <c r="AD3857" i="34"/>
  <c r="P3858" i="34"/>
  <c r="T3858" i="34"/>
  <c r="U3858" i="34"/>
  <c r="V3858" i="34"/>
  <c r="W3858" i="34"/>
  <c r="Y3858" i="34"/>
  <c r="AB3858" i="34"/>
  <c r="AC3858" i="34"/>
  <c r="AD3858" i="34"/>
  <c r="P3861" i="34"/>
  <c r="T3861" i="34"/>
  <c r="U3861" i="34"/>
  <c r="V3861" i="34"/>
  <c r="W3861" i="34"/>
  <c r="Y3861" i="34"/>
  <c r="AB3861" i="34"/>
  <c r="AC3861" i="34"/>
  <c r="AD3861" i="34"/>
  <c r="P3870" i="34"/>
  <c r="T3870" i="34"/>
  <c r="U3870" i="34"/>
  <c r="V3870" i="34"/>
  <c r="W3870" i="34"/>
  <c r="Y3870" i="34"/>
  <c r="AB3870" i="34"/>
  <c r="AC3870" i="34"/>
  <c r="AD3870" i="34"/>
  <c r="P3871" i="34"/>
  <c r="T3871" i="34"/>
  <c r="U3871" i="34"/>
  <c r="V3871" i="34"/>
  <c r="W3871" i="34"/>
  <c r="Y3871" i="34"/>
  <c r="AB3871" i="34"/>
  <c r="AC3871" i="34"/>
  <c r="AD3871" i="34"/>
  <c r="P3872" i="34"/>
  <c r="T3872" i="34"/>
  <c r="U3872" i="34"/>
  <c r="V3872" i="34"/>
  <c r="W3872" i="34"/>
  <c r="Y3872" i="34"/>
  <c r="AB3872" i="34"/>
  <c r="AC3872" i="34"/>
  <c r="AD3872" i="34"/>
  <c r="P3873" i="34"/>
  <c r="T3873" i="34"/>
  <c r="U3873" i="34"/>
  <c r="V3873" i="34"/>
  <c r="W3873" i="34"/>
  <c r="Y3873" i="34"/>
  <c r="AB3873" i="34"/>
  <c r="AC3873" i="34"/>
  <c r="AD3873" i="34"/>
  <c r="P3874" i="34"/>
  <c r="T3874" i="34"/>
  <c r="U3874" i="34"/>
  <c r="V3874" i="34"/>
  <c r="W3874" i="34"/>
  <c r="Y3874" i="34"/>
  <c r="AB3874" i="34"/>
  <c r="AC3874" i="34"/>
  <c r="AD3874" i="34"/>
  <c r="P3875" i="34"/>
  <c r="T3875" i="34"/>
  <c r="U3875" i="34"/>
  <c r="V3875" i="34"/>
  <c r="W3875" i="34"/>
  <c r="Y3875" i="34"/>
  <c r="AB3875" i="34"/>
  <c r="AC3875" i="34"/>
  <c r="AD3875" i="34"/>
  <c r="P3879" i="34"/>
  <c r="T3879" i="34"/>
  <c r="U3879" i="34"/>
  <c r="V3879" i="34"/>
  <c r="W3879" i="34"/>
  <c r="Y3879" i="34"/>
  <c r="AB3879" i="34"/>
  <c r="AC3879" i="34"/>
  <c r="AD3879" i="34"/>
  <c r="P3876" i="34"/>
  <c r="T3876" i="34"/>
  <c r="U3876" i="34"/>
  <c r="V3876" i="34"/>
  <c r="W3876" i="34"/>
  <c r="Y3876" i="34"/>
  <c r="AB3876" i="34"/>
  <c r="AC3876" i="34"/>
  <c r="AD3876" i="34"/>
  <c r="P3880" i="34"/>
  <c r="T3880" i="34"/>
  <c r="U3880" i="34"/>
  <c r="V3880" i="34"/>
  <c r="W3880" i="34"/>
  <c r="Y3880" i="34"/>
  <c r="AB3880" i="34"/>
  <c r="AC3880" i="34"/>
  <c r="AD3880" i="34"/>
  <c r="P3881" i="34"/>
  <c r="T3881" i="34"/>
  <c r="U3881" i="34"/>
  <c r="V3881" i="34"/>
  <c r="W3881" i="34"/>
  <c r="Y3881" i="34"/>
  <c r="AB3881" i="34"/>
  <c r="AC3881" i="34"/>
  <c r="AD3881" i="34"/>
  <c r="P3882" i="34"/>
  <c r="T3882" i="34"/>
  <c r="U3882" i="34"/>
  <c r="V3882" i="34"/>
  <c r="W3882" i="34"/>
  <c r="Y3882" i="34"/>
  <c r="AB3882" i="34"/>
  <c r="AC3882" i="34"/>
  <c r="AD3882" i="34"/>
  <c r="P3883" i="34"/>
  <c r="T3883" i="34"/>
  <c r="U3883" i="34"/>
  <c r="V3883" i="34"/>
  <c r="W3883" i="34"/>
  <c r="Y3883" i="34"/>
  <c r="AB3883" i="34"/>
  <c r="AC3883" i="34"/>
  <c r="AD3883" i="34"/>
  <c r="P3884" i="34"/>
  <c r="T3884" i="34"/>
  <c r="U3884" i="34"/>
  <c r="V3884" i="34"/>
  <c r="W3884" i="34"/>
  <c r="Y3884" i="34"/>
  <c r="AB3884" i="34"/>
  <c r="AC3884" i="34"/>
  <c r="AD3884" i="34"/>
  <c r="P3885" i="34"/>
  <c r="T3885" i="34"/>
  <c r="U3885" i="34"/>
  <c r="V3885" i="34"/>
  <c r="W3885" i="34"/>
  <c r="Y3885" i="34"/>
  <c r="AB3885" i="34"/>
  <c r="AC3885" i="34"/>
  <c r="AD3885" i="34"/>
  <c r="P3886" i="34"/>
  <c r="T3886" i="34"/>
  <c r="U3886" i="34"/>
  <c r="V3886" i="34"/>
  <c r="W3886" i="34"/>
  <c r="Y3886" i="34"/>
  <c r="AB3886" i="34"/>
  <c r="AC3886" i="34"/>
  <c r="AD3886" i="34"/>
  <c r="P3887" i="34"/>
  <c r="T3887" i="34"/>
  <c r="U3887" i="34"/>
  <c r="V3887" i="34"/>
  <c r="W3887" i="34"/>
  <c r="Y3887" i="34"/>
  <c r="AB3887" i="34"/>
  <c r="AC3887" i="34"/>
  <c r="AD3887" i="34"/>
  <c r="P3888" i="34"/>
  <c r="T3888" i="34"/>
  <c r="U3888" i="34"/>
  <c r="V3888" i="34"/>
  <c r="W3888" i="34"/>
  <c r="Y3888" i="34"/>
  <c r="AB3888" i="34"/>
  <c r="AC3888" i="34"/>
  <c r="AD3888" i="34"/>
  <c r="P3889" i="34"/>
  <c r="T3889" i="34"/>
  <c r="U3889" i="34"/>
  <c r="V3889" i="34"/>
  <c r="W3889" i="34"/>
  <c r="Y3889" i="34"/>
  <c r="AB3889" i="34"/>
  <c r="AC3889" i="34"/>
  <c r="AD3889" i="34"/>
  <c r="P3890" i="34"/>
  <c r="T3890" i="34"/>
  <c r="U3890" i="34"/>
  <c r="V3890" i="34"/>
  <c r="W3890" i="34"/>
  <c r="Y3890" i="34"/>
  <c r="AB3890" i="34"/>
  <c r="AC3890" i="34"/>
  <c r="AD3890" i="34"/>
  <c r="P3891" i="34"/>
  <c r="T3891" i="34"/>
  <c r="U3891" i="34"/>
  <c r="V3891" i="34"/>
  <c r="W3891" i="34"/>
  <c r="Y3891" i="34"/>
  <c r="AB3891" i="34"/>
  <c r="AC3891" i="34"/>
  <c r="AD3891" i="34"/>
  <c r="P3892" i="34"/>
  <c r="T3892" i="34"/>
  <c r="U3892" i="34"/>
  <c r="V3892" i="34"/>
  <c r="W3892" i="34"/>
  <c r="Y3892" i="34"/>
  <c r="AB3892" i="34"/>
  <c r="AC3892" i="34"/>
  <c r="AD3892" i="34"/>
  <c r="P3893" i="34"/>
  <c r="T3893" i="34"/>
  <c r="U3893" i="34"/>
  <c r="V3893" i="34"/>
  <c r="W3893" i="34"/>
  <c r="Y3893" i="34"/>
  <c r="AB3893" i="34"/>
  <c r="AC3893" i="34"/>
  <c r="AD3893" i="34"/>
  <c r="P3894" i="34"/>
  <c r="T3894" i="34"/>
  <c r="U3894" i="34"/>
  <c r="V3894" i="34"/>
  <c r="W3894" i="34"/>
  <c r="Y3894" i="34"/>
  <c r="AB3894" i="34"/>
  <c r="AC3894" i="34"/>
  <c r="AD3894" i="34"/>
  <c r="P3895" i="34"/>
  <c r="T3895" i="34"/>
  <c r="U3895" i="34"/>
  <c r="V3895" i="34"/>
  <c r="W3895" i="34"/>
  <c r="Y3895" i="34"/>
  <c r="AB3895" i="34"/>
  <c r="AC3895" i="34"/>
  <c r="AD3895" i="34"/>
  <c r="P3896" i="34"/>
  <c r="T3896" i="34"/>
  <c r="U3896" i="34"/>
  <c r="V3896" i="34"/>
  <c r="W3896" i="34"/>
  <c r="Y3896" i="34"/>
  <c r="AB3896" i="34"/>
  <c r="AC3896" i="34"/>
  <c r="AD3896" i="34"/>
  <c r="P3897" i="34"/>
  <c r="T3897" i="34"/>
  <c r="U3897" i="34"/>
  <c r="V3897" i="34"/>
  <c r="W3897" i="34"/>
  <c r="Y3897" i="34"/>
  <c r="AB3897" i="34"/>
  <c r="AC3897" i="34"/>
  <c r="AD3897" i="34"/>
  <c r="P3898" i="34"/>
  <c r="T3898" i="34"/>
  <c r="U3898" i="34"/>
  <c r="V3898" i="34"/>
  <c r="W3898" i="34"/>
  <c r="Y3898" i="34"/>
  <c r="AB3898" i="34"/>
  <c r="AC3898" i="34"/>
  <c r="AD3898" i="34"/>
  <c r="P3899" i="34"/>
  <c r="T3899" i="34"/>
  <c r="U3899" i="34"/>
  <c r="V3899" i="34"/>
  <c r="W3899" i="34"/>
  <c r="Y3899" i="34"/>
  <c r="AB3899" i="34"/>
  <c r="AC3899" i="34"/>
  <c r="AD3899" i="34"/>
  <c r="P3900" i="34"/>
  <c r="T3900" i="34"/>
  <c r="U3900" i="34"/>
  <c r="V3900" i="34"/>
  <c r="W3900" i="34"/>
  <c r="Y3900" i="34"/>
  <c r="AB3900" i="34"/>
  <c r="AC3900" i="34"/>
  <c r="AD3900" i="34"/>
  <c r="P3901" i="34"/>
  <c r="T3901" i="34"/>
  <c r="U3901" i="34"/>
  <c r="V3901" i="34"/>
  <c r="W3901" i="34"/>
  <c r="Y3901" i="34"/>
  <c r="AB3901" i="34"/>
  <c r="AC3901" i="34"/>
  <c r="AD3901" i="34"/>
  <c r="P3902" i="34"/>
  <c r="T3902" i="34"/>
  <c r="U3902" i="34"/>
  <c r="V3902" i="34"/>
  <c r="W3902" i="34"/>
  <c r="Y3902" i="34"/>
  <c r="AB3902" i="34"/>
  <c r="AC3902" i="34"/>
  <c r="AD3902" i="34"/>
  <c r="P3904" i="34"/>
  <c r="T3904" i="34"/>
  <c r="U3904" i="34"/>
  <c r="V3904" i="34"/>
  <c r="W3904" i="34"/>
  <c r="Y3904" i="34"/>
  <c r="AB3904" i="34"/>
  <c r="AC3904" i="34"/>
  <c r="AD3904" i="34"/>
  <c r="P3931" i="34"/>
  <c r="T3931" i="34"/>
  <c r="U3931" i="34"/>
  <c r="V3931" i="34"/>
  <c r="W3931" i="34"/>
  <c r="Y3931" i="34"/>
  <c r="AB3931" i="34"/>
  <c r="AC3931" i="34"/>
  <c r="AD3931" i="34"/>
  <c r="P3932" i="34"/>
  <c r="T3932" i="34"/>
  <c r="U3932" i="34"/>
  <c r="V3932" i="34"/>
  <c r="W3932" i="34"/>
  <c r="Y3932" i="34"/>
  <c r="AB3932" i="34"/>
  <c r="AC3932" i="34"/>
  <c r="AD3932" i="34"/>
  <c r="P3937" i="34"/>
  <c r="T3937" i="34"/>
  <c r="U3937" i="34"/>
  <c r="V3937" i="34"/>
  <c r="W3937" i="34"/>
  <c r="Y3937" i="34"/>
  <c r="AB3937" i="34"/>
  <c r="AC3937" i="34"/>
  <c r="AD3937" i="34"/>
  <c r="P3938" i="34"/>
  <c r="T3938" i="34"/>
  <c r="U3938" i="34"/>
  <c r="V3938" i="34"/>
  <c r="W3938" i="34"/>
  <c r="Y3938" i="34"/>
  <c r="AB3938" i="34"/>
  <c r="AC3938" i="34"/>
  <c r="AD3938" i="34"/>
  <c r="P3939" i="34"/>
  <c r="T3939" i="34"/>
  <c r="U3939" i="34"/>
  <c r="V3939" i="34"/>
  <c r="W3939" i="34"/>
  <c r="Y3939" i="34"/>
  <c r="AB3939" i="34"/>
  <c r="AC3939" i="34"/>
  <c r="AD3939" i="34"/>
  <c r="P3940" i="34"/>
  <c r="T3940" i="34"/>
  <c r="U3940" i="34"/>
  <c r="V3940" i="34"/>
  <c r="W3940" i="34"/>
  <c r="Y3940" i="34"/>
  <c r="AB3940" i="34"/>
  <c r="AC3940" i="34"/>
  <c r="AD3940" i="34"/>
  <c r="P3945" i="34"/>
  <c r="T3945" i="34"/>
  <c r="U3945" i="34"/>
  <c r="V3945" i="34"/>
  <c r="W3945" i="34"/>
  <c r="Y3945" i="34"/>
  <c r="AB3945" i="34"/>
  <c r="AC3945" i="34"/>
  <c r="AD3945" i="34"/>
  <c r="P3941" i="34"/>
  <c r="T3941" i="34"/>
  <c r="U3941" i="34"/>
  <c r="V3941" i="34"/>
  <c r="W3941" i="34"/>
  <c r="Y3941" i="34"/>
  <c r="AB3941" i="34"/>
  <c r="AC3941" i="34"/>
  <c r="AD3941" i="34"/>
  <c r="P3942" i="34"/>
  <c r="T3942" i="34"/>
  <c r="U3942" i="34"/>
  <c r="V3942" i="34"/>
  <c r="W3942" i="34"/>
  <c r="Y3942" i="34"/>
  <c r="AB3942" i="34"/>
  <c r="AC3942" i="34"/>
  <c r="AD3942" i="34"/>
  <c r="P3946" i="34"/>
  <c r="T3946" i="34"/>
  <c r="U3946" i="34"/>
  <c r="V3946" i="34"/>
  <c r="W3946" i="34"/>
  <c r="Y3946" i="34"/>
  <c r="AB3946" i="34"/>
  <c r="AC3946" i="34"/>
  <c r="AD3946" i="34"/>
  <c r="P3947" i="34"/>
  <c r="T3947" i="34"/>
  <c r="U3947" i="34"/>
  <c r="V3947" i="34"/>
  <c r="W3947" i="34"/>
  <c r="Y3947" i="34"/>
  <c r="AB3947" i="34"/>
  <c r="AC3947" i="34"/>
  <c r="AD3947" i="34"/>
  <c r="P3948" i="34"/>
  <c r="T3948" i="34"/>
  <c r="U3948" i="34"/>
  <c r="V3948" i="34"/>
  <c r="W3948" i="34"/>
  <c r="Y3948" i="34"/>
  <c r="AB3948" i="34"/>
  <c r="AC3948" i="34"/>
  <c r="AD3948" i="34"/>
  <c r="P3949" i="34"/>
  <c r="T3949" i="34"/>
  <c r="U3949" i="34"/>
  <c r="V3949" i="34"/>
  <c r="W3949" i="34"/>
  <c r="Y3949" i="34"/>
  <c r="AB3949" i="34"/>
  <c r="AC3949" i="34"/>
  <c r="AD3949" i="34"/>
  <c r="P3950" i="34"/>
  <c r="T3950" i="34"/>
  <c r="U3950" i="34"/>
  <c r="V3950" i="34"/>
  <c r="W3950" i="34"/>
  <c r="Y3950" i="34"/>
  <c r="AB3950" i="34"/>
  <c r="AC3950" i="34"/>
  <c r="AD3950" i="34"/>
  <c r="P3951" i="34"/>
  <c r="T3951" i="34"/>
  <c r="U3951" i="34"/>
  <c r="V3951" i="34"/>
  <c r="W3951" i="34"/>
  <c r="Y3951" i="34"/>
  <c r="AB3951" i="34"/>
  <c r="AC3951" i="34"/>
  <c r="AD3951" i="34"/>
  <c r="P3952" i="34"/>
  <c r="T3952" i="34"/>
  <c r="U3952" i="34"/>
  <c r="V3952" i="34"/>
  <c r="W3952" i="34"/>
  <c r="Y3952" i="34"/>
  <c r="AB3952" i="34"/>
  <c r="AC3952" i="34"/>
  <c r="AD3952" i="34"/>
  <c r="P3953" i="34"/>
  <c r="T3953" i="34"/>
  <c r="U3953" i="34"/>
  <c r="V3953" i="34"/>
  <c r="W3953" i="34"/>
  <c r="Y3953" i="34"/>
  <c r="AB3953" i="34"/>
  <c r="AC3953" i="34"/>
  <c r="AD3953" i="34"/>
  <c r="P3954" i="34"/>
  <c r="T3954" i="34"/>
  <c r="U3954" i="34"/>
  <c r="V3954" i="34"/>
  <c r="W3954" i="34"/>
  <c r="Y3954" i="34"/>
  <c r="AB3954" i="34"/>
  <c r="AC3954" i="34"/>
  <c r="AD3954" i="34"/>
  <c r="P3955" i="34"/>
  <c r="T3955" i="34"/>
  <c r="U3955" i="34"/>
  <c r="V3955" i="34"/>
  <c r="W3955" i="34"/>
  <c r="Y3955" i="34"/>
  <c r="AB3955" i="34"/>
  <c r="AC3955" i="34"/>
  <c r="AD3955" i="34"/>
  <c r="P3956" i="34"/>
  <c r="T3956" i="34"/>
  <c r="U3956" i="34"/>
  <c r="V3956" i="34"/>
  <c r="W3956" i="34"/>
  <c r="Y3956" i="34"/>
  <c r="AB3956" i="34"/>
  <c r="AC3956" i="34"/>
  <c r="AD3956" i="34"/>
  <c r="P3957" i="34"/>
  <c r="T3957" i="34"/>
  <c r="U3957" i="34"/>
  <c r="V3957" i="34"/>
  <c r="W3957" i="34"/>
  <c r="Y3957" i="34"/>
  <c r="AB3957" i="34"/>
  <c r="AC3957" i="34"/>
  <c r="AD3957" i="34"/>
  <c r="P3958" i="34"/>
  <c r="T3958" i="34"/>
  <c r="U3958" i="34"/>
  <c r="V3958" i="34"/>
  <c r="W3958" i="34"/>
  <c r="Y3958" i="34"/>
  <c r="AB3958" i="34"/>
  <c r="AC3958" i="34"/>
  <c r="AD3958" i="34"/>
  <c r="P3964" i="34"/>
  <c r="T3964" i="34"/>
  <c r="U3964" i="34"/>
  <c r="V3964" i="34"/>
  <c r="W3964" i="34"/>
  <c r="Y3964" i="34"/>
  <c r="AB3964" i="34"/>
  <c r="AC3964" i="34"/>
  <c r="AD3964" i="34"/>
  <c r="P3965" i="34"/>
  <c r="T3965" i="34"/>
  <c r="U3965" i="34"/>
  <c r="V3965" i="34"/>
  <c r="W3965" i="34"/>
  <c r="Y3965" i="34"/>
  <c r="AB3965" i="34"/>
  <c r="AC3965" i="34"/>
  <c r="AD3965" i="34"/>
  <c r="P3966" i="34"/>
  <c r="T3966" i="34"/>
  <c r="U3966" i="34"/>
  <c r="V3966" i="34"/>
  <c r="W3966" i="34"/>
  <c r="Y3966" i="34"/>
  <c r="AB3966" i="34"/>
  <c r="AC3966" i="34"/>
  <c r="AD3966" i="34"/>
  <c r="P3968" i="34"/>
  <c r="T3968" i="34"/>
  <c r="U3968" i="34"/>
  <c r="V3968" i="34"/>
  <c r="W3968" i="34"/>
  <c r="Y3968" i="34"/>
  <c r="AB3968" i="34"/>
  <c r="AC3968" i="34"/>
  <c r="AD3968" i="34"/>
  <c r="P3969" i="34"/>
  <c r="T3969" i="34"/>
  <c r="U3969" i="34"/>
  <c r="V3969" i="34"/>
  <c r="W3969" i="34"/>
  <c r="Y3969" i="34"/>
  <c r="AB3969" i="34"/>
  <c r="AC3969" i="34"/>
  <c r="AD3969" i="34"/>
  <c r="P3970" i="34"/>
  <c r="T3970" i="34"/>
  <c r="U3970" i="34"/>
  <c r="V3970" i="34"/>
  <c r="W3970" i="34"/>
  <c r="Y3970" i="34"/>
  <c r="AB3970" i="34"/>
  <c r="AC3970" i="34"/>
  <c r="AD3970" i="34"/>
  <c r="P3971" i="34"/>
  <c r="T3971" i="34"/>
  <c r="U3971" i="34"/>
  <c r="V3971" i="34"/>
  <c r="W3971" i="34"/>
  <c r="Y3971" i="34"/>
  <c r="AB3971" i="34"/>
  <c r="AC3971" i="34"/>
  <c r="AD3971" i="34"/>
  <c r="P3972" i="34"/>
  <c r="T3972" i="34"/>
  <c r="U3972" i="34"/>
  <c r="V3972" i="34"/>
  <c r="W3972" i="34"/>
  <c r="Y3972" i="34"/>
  <c r="AB3972" i="34"/>
  <c r="AC3972" i="34"/>
  <c r="AD3972" i="34"/>
  <c r="P3983" i="34"/>
  <c r="T3983" i="34"/>
  <c r="U3983" i="34"/>
  <c r="V3983" i="34"/>
  <c r="W3983" i="34"/>
  <c r="Y3983" i="34"/>
  <c r="AB3983" i="34"/>
  <c r="AC3983" i="34"/>
  <c r="AD3983" i="34"/>
  <c r="P3982" i="34"/>
  <c r="T3982" i="34"/>
  <c r="U3982" i="34"/>
  <c r="V3982" i="34"/>
  <c r="W3982" i="34"/>
  <c r="Y3982" i="34"/>
  <c r="AB3982" i="34"/>
  <c r="AC3982" i="34"/>
  <c r="AD3982" i="34"/>
  <c r="P3984" i="34"/>
  <c r="T3984" i="34"/>
  <c r="U3984" i="34"/>
  <c r="V3984" i="34"/>
  <c r="W3984" i="34"/>
  <c r="Y3984" i="34"/>
  <c r="AB3984" i="34"/>
  <c r="AC3984" i="34"/>
  <c r="AD3984" i="34"/>
  <c r="P3985" i="34"/>
  <c r="T3985" i="34"/>
  <c r="U3985" i="34"/>
  <c r="V3985" i="34"/>
  <c r="W3985" i="34"/>
  <c r="Y3985" i="34"/>
  <c r="AB3985" i="34"/>
  <c r="AC3985" i="34"/>
  <c r="AD3985" i="34"/>
  <c r="P3986" i="34"/>
  <c r="T3986" i="34"/>
  <c r="U3986" i="34"/>
  <c r="V3986" i="34"/>
  <c r="W3986" i="34"/>
  <c r="Y3986" i="34"/>
  <c r="AB3986" i="34"/>
  <c r="AC3986" i="34"/>
  <c r="AD3986" i="34"/>
  <c r="P3987" i="34"/>
  <c r="T3987" i="34"/>
  <c r="U3987" i="34"/>
  <c r="V3987" i="34"/>
  <c r="W3987" i="34"/>
  <c r="Y3987" i="34"/>
  <c r="AB3987" i="34"/>
  <c r="AC3987" i="34"/>
  <c r="AD3987" i="34"/>
  <c r="P3991" i="34"/>
  <c r="T3991" i="34"/>
  <c r="U3991" i="34"/>
  <c r="V3991" i="34"/>
  <c r="W3991" i="34"/>
  <c r="Y3991" i="34"/>
  <c r="AB3991" i="34"/>
  <c r="AC3991" i="34"/>
  <c r="AD3991" i="34"/>
  <c r="P3992" i="34"/>
  <c r="T3992" i="34"/>
  <c r="U3992" i="34"/>
  <c r="V3992" i="34"/>
  <c r="W3992" i="34"/>
  <c r="Y3992" i="34"/>
  <c r="AB3992" i="34"/>
  <c r="AC3992" i="34"/>
  <c r="AD3992" i="34"/>
  <c r="P3993" i="34"/>
  <c r="T3993" i="34"/>
  <c r="U3993" i="34"/>
  <c r="V3993" i="34"/>
  <c r="W3993" i="34"/>
  <c r="Y3993" i="34"/>
  <c r="AB3993" i="34"/>
  <c r="AC3993" i="34"/>
  <c r="AD3993" i="34"/>
  <c r="P3997" i="34"/>
  <c r="T3997" i="34"/>
  <c r="U3997" i="34"/>
  <c r="V3997" i="34"/>
  <c r="W3997" i="34"/>
  <c r="Y3997" i="34"/>
  <c r="AB3997" i="34"/>
  <c r="AC3997" i="34"/>
  <c r="AD3997" i="34"/>
  <c r="P3994" i="34"/>
  <c r="T3994" i="34"/>
  <c r="U3994" i="34"/>
  <c r="V3994" i="34"/>
  <c r="W3994" i="34"/>
  <c r="Y3994" i="34"/>
  <c r="AB3994" i="34"/>
  <c r="AC3994" i="34"/>
  <c r="AD3994" i="34"/>
  <c r="P3995" i="34"/>
  <c r="T3995" i="34"/>
  <c r="U3995" i="34"/>
  <c r="V3995" i="34"/>
  <c r="W3995" i="34"/>
  <c r="Y3995" i="34"/>
  <c r="AB3995" i="34"/>
  <c r="AC3995" i="34"/>
  <c r="AD3995" i="34"/>
  <c r="P3998" i="34"/>
  <c r="T3998" i="34"/>
  <c r="U3998" i="34"/>
  <c r="V3998" i="34"/>
  <c r="W3998" i="34"/>
  <c r="Y3998" i="34"/>
  <c r="AB3998" i="34"/>
  <c r="AC3998" i="34"/>
  <c r="AD3998" i="34"/>
  <c r="P3999" i="34"/>
  <c r="T3999" i="34"/>
  <c r="U3999" i="34"/>
  <c r="V3999" i="34"/>
  <c r="W3999" i="34"/>
  <c r="Y3999" i="34"/>
  <c r="AB3999" i="34"/>
  <c r="AC3999" i="34"/>
  <c r="AD3999" i="34"/>
  <c r="P4000" i="34"/>
  <c r="T4000" i="34"/>
  <c r="U4000" i="34"/>
  <c r="V4000" i="34"/>
  <c r="W4000" i="34"/>
  <c r="Y4000" i="34"/>
  <c r="AB4000" i="34"/>
  <c r="AC4000" i="34"/>
  <c r="AD4000" i="34"/>
  <c r="P4001" i="34"/>
  <c r="T4001" i="34"/>
  <c r="U4001" i="34"/>
  <c r="V4001" i="34"/>
  <c r="W4001" i="34"/>
  <c r="Y4001" i="34"/>
  <c r="AB4001" i="34"/>
  <c r="AC4001" i="34"/>
  <c r="AD4001" i="34"/>
  <c r="P4002" i="34"/>
  <c r="T4002" i="34"/>
  <c r="U4002" i="34"/>
  <c r="V4002" i="34"/>
  <c r="W4002" i="34"/>
  <c r="Y4002" i="34"/>
  <c r="AB4002" i="34"/>
  <c r="AC4002" i="34"/>
  <c r="AD4002" i="34"/>
  <c r="P4003" i="34"/>
  <c r="T4003" i="34"/>
  <c r="U4003" i="34"/>
  <c r="V4003" i="34"/>
  <c r="W4003" i="34"/>
  <c r="Y4003" i="34"/>
  <c r="AB4003" i="34"/>
  <c r="AC4003" i="34"/>
  <c r="AD4003" i="34"/>
  <c r="P4004" i="34"/>
  <c r="T4004" i="34"/>
  <c r="U4004" i="34"/>
  <c r="V4004" i="34"/>
  <c r="W4004" i="34"/>
  <c r="Y4004" i="34"/>
  <c r="AB4004" i="34"/>
  <c r="AC4004" i="34"/>
  <c r="AD4004" i="34"/>
  <c r="P4005" i="34"/>
  <c r="T4005" i="34"/>
  <c r="U4005" i="34"/>
  <c r="V4005" i="34"/>
  <c r="W4005" i="34"/>
  <c r="Y4005" i="34"/>
  <c r="AB4005" i="34"/>
  <c r="AC4005" i="34"/>
  <c r="AD4005" i="34"/>
  <c r="P4006" i="34"/>
  <c r="T4006" i="34"/>
  <c r="U4006" i="34"/>
  <c r="V4006" i="34"/>
  <c r="W4006" i="34"/>
  <c r="Y4006" i="34"/>
  <c r="AB4006" i="34"/>
  <c r="AC4006" i="34"/>
  <c r="AD4006" i="34"/>
  <c r="P4007" i="34"/>
  <c r="T4007" i="34"/>
  <c r="U4007" i="34"/>
  <c r="V4007" i="34"/>
  <c r="W4007" i="34"/>
  <c r="Y4007" i="34"/>
  <c r="AB4007" i="34"/>
  <c r="AC4007" i="34"/>
  <c r="AD4007" i="34"/>
  <c r="P4008" i="34"/>
  <c r="T4008" i="34"/>
  <c r="U4008" i="34"/>
  <c r="V4008" i="34"/>
  <c r="W4008" i="34"/>
  <c r="Y4008" i="34"/>
  <c r="AB4008" i="34"/>
  <c r="AC4008" i="34"/>
  <c r="AD4008" i="34"/>
  <c r="P4009" i="34"/>
  <c r="T4009" i="34"/>
  <c r="U4009" i="34"/>
  <c r="V4009" i="34"/>
  <c r="W4009" i="34"/>
  <c r="Y4009" i="34"/>
  <c r="AB4009" i="34"/>
  <c r="AC4009" i="34"/>
  <c r="AD4009" i="34"/>
  <c r="P4010" i="34"/>
  <c r="T4010" i="34"/>
  <c r="U4010" i="34"/>
  <c r="V4010" i="34"/>
  <c r="W4010" i="34"/>
  <c r="Y4010" i="34"/>
  <c r="AB4010" i="34"/>
  <c r="AC4010" i="34"/>
  <c r="AD4010" i="34"/>
  <c r="P4011" i="34"/>
  <c r="T4011" i="34"/>
  <c r="U4011" i="34"/>
  <c r="V4011" i="34"/>
  <c r="W4011" i="34"/>
  <c r="Y4011" i="34"/>
  <c r="AB4011" i="34"/>
  <c r="AC4011" i="34"/>
  <c r="AD4011" i="34"/>
  <c r="P4012" i="34"/>
  <c r="T4012" i="34"/>
  <c r="U4012" i="34"/>
  <c r="V4012" i="34"/>
  <c r="W4012" i="34"/>
  <c r="Y4012" i="34"/>
  <c r="AB4012" i="34"/>
  <c r="AC4012" i="34"/>
  <c r="AD4012" i="34"/>
  <c r="P4013" i="34"/>
  <c r="T4013" i="34"/>
  <c r="U4013" i="34"/>
  <c r="V4013" i="34"/>
  <c r="W4013" i="34"/>
  <c r="Y4013" i="34"/>
  <c r="AB4013" i="34"/>
  <c r="AC4013" i="34"/>
  <c r="AD4013" i="34"/>
  <c r="P4014" i="34"/>
  <c r="T4014" i="34"/>
  <c r="U4014" i="34"/>
  <c r="V4014" i="34"/>
  <c r="W4014" i="34"/>
  <c r="Y4014" i="34"/>
  <c r="AB4014" i="34"/>
  <c r="AC4014" i="34"/>
  <c r="AD4014" i="34"/>
  <c r="P4015" i="34"/>
  <c r="T4015" i="34"/>
  <c r="U4015" i="34"/>
  <c r="V4015" i="34"/>
  <c r="W4015" i="34"/>
  <c r="Y4015" i="34"/>
  <c r="AB4015" i="34"/>
  <c r="AC4015" i="34"/>
  <c r="AD4015" i="34"/>
  <c r="P4016" i="34"/>
  <c r="T4016" i="34"/>
  <c r="U4016" i="34"/>
  <c r="V4016" i="34"/>
  <c r="W4016" i="34"/>
  <c r="Y4016" i="34"/>
  <c r="AB4016" i="34"/>
  <c r="AC4016" i="34"/>
  <c r="AD4016" i="34"/>
  <c r="P4017" i="34"/>
  <c r="T4017" i="34"/>
  <c r="U4017" i="34"/>
  <c r="V4017" i="34"/>
  <c r="W4017" i="34"/>
  <c r="Y4017" i="34"/>
  <c r="AB4017" i="34"/>
  <c r="AC4017" i="34"/>
  <c r="AD4017" i="34"/>
  <c r="P4018" i="34"/>
  <c r="T4018" i="34"/>
  <c r="U4018" i="34"/>
  <c r="V4018" i="34"/>
  <c r="W4018" i="34"/>
  <c r="Y4018" i="34"/>
  <c r="AB4018" i="34"/>
  <c r="AC4018" i="34"/>
  <c r="AD4018" i="34"/>
  <c r="P4019" i="34"/>
  <c r="T4019" i="34"/>
  <c r="U4019" i="34"/>
  <c r="V4019" i="34"/>
  <c r="W4019" i="34"/>
  <c r="Y4019" i="34"/>
  <c r="AB4019" i="34"/>
  <c r="AC4019" i="34"/>
  <c r="AD4019" i="34"/>
  <c r="P4020" i="34"/>
  <c r="T4020" i="34"/>
  <c r="U4020" i="34"/>
  <c r="V4020" i="34"/>
  <c r="W4020" i="34"/>
  <c r="Y4020" i="34"/>
  <c r="AB4020" i="34"/>
  <c r="AC4020" i="34"/>
  <c r="AD4020" i="34"/>
  <c r="P4021" i="34"/>
  <c r="T4021" i="34"/>
  <c r="U4021" i="34"/>
  <c r="V4021" i="34"/>
  <c r="W4021" i="34"/>
  <c r="Y4021" i="34"/>
  <c r="AB4021" i="34"/>
  <c r="AC4021" i="34"/>
  <c r="AD4021" i="34"/>
  <c r="P4032" i="34"/>
  <c r="T4032" i="34"/>
  <c r="U4032" i="34"/>
  <c r="V4032" i="34"/>
  <c r="W4032" i="34"/>
  <c r="Y4032" i="34"/>
  <c r="AB4032" i="34"/>
  <c r="AC4032" i="34"/>
  <c r="AD4032" i="34"/>
  <c r="P4041" i="34"/>
  <c r="T4041" i="34"/>
  <c r="U4041" i="34"/>
  <c r="V4041" i="34"/>
  <c r="W4041" i="34"/>
  <c r="Y4041" i="34"/>
  <c r="AB4041" i="34"/>
  <c r="AC4041" i="34"/>
  <c r="AD4041" i="34"/>
  <c r="P4042" i="34"/>
  <c r="T4042" i="34"/>
  <c r="U4042" i="34"/>
  <c r="V4042" i="34"/>
  <c r="W4042" i="34"/>
  <c r="Y4042" i="34"/>
  <c r="AB4042" i="34"/>
  <c r="AC4042" i="34"/>
  <c r="AD4042" i="34"/>
  <c r="P4043" i="34"/>
  <c r="T4043" i="34"/>
  <c r="U4043" i="34"/>
  <c r="V4043" i="34"/>
  <c r="W4043" i="34"/>
  <c r="Y4043" i="34"/>
  <c r="AB4043" i="34"/>
  <c r="AC4043" i="34"/>
  <c r="AD4043" i="34"/>
  <c r="P4049" i="34"/>
  <c r="T4049" i="34"/>
  <c r="U4049" i="34"/>
  <c r="V4049" i="34"/>
  <c r="W4049" i="34"/>
  <c r="Y4049" i="34"/>
  <c r="AB4049" i="34"/>
  <c r="AC4049" i="34"/>
  <c r="AD4049" i="34"/>
  <c r="P4062" i="34"/>
  <c r="T4062" i="34"/>
  <c r="U4062" i="34"/>
  <c r="V4062" i="34"/>
  <c r="W4062" i="34"/>
  <c r="Y4062" i="34"/>
  <c r="AB4062" i="34"/>
  <c r="AC4062" i="34"/>
  <c r="AD4062" i="34"/>
  <c r="P4063" i="34"/>
  <c r="T4063" i="34"/>
  <c r="U4063" i="34"/>
  <c r="V4063" i="34"/>
  <c r="W4063" i="34"/>
  <c r="Y4063" i="34"/>
  <c r="AB4063" i="34"/>
  <c r="AC4063" i="34"/>
  <c r="AD4063" i="34"/>
  <c r="P4064" i="34"/>
  <c r="T4064" i="34"/>
  <c r="U4064" i="34"/>
  <c r="V4064" i="34"/>
  <c r="W4064" i="34"/>
  <c r="Y4064" i="34"/>
  <c r="AB4064" i="34"/>
  <c r="AC4064" i="34"/>
  <c r="AD4064" i="34"/>
  <c r="P4065" i="34"/>
  <c r="T4065" i="34"/>
  <c r="U4065" i="34"/>
  <c r="V4065" i="34"/>
  <c r="W4065" i="34"/>
  <c r="Y4065" i="34"/>
  <c r="AB4065" i="34"/>
  <c r="AC4065" i="34"/>
  <c r="AD4065" i="34"/>
  <c r="P4066" i="34"/>
  <c r="T4066" i="34"/>
  <c r="U4066" i="34"/>
  <c r="V4066" i="34"/>
  <c r="W4066" i="34"/>
  <c r="Y4066" i="34"/>
  <c r="AB4066" i="34"/>
  <c r="AC4066" i="34"/>
  <c r="AD4066" i="34"/>
  <c r="P4074" i="34"/>
  <c r="T4074" i="34"/>
  <c r="U4074" i="34"/>
  <c r="V4074" i="34"/>
  <c r="W4074" i="34"/>
  <c r="Y4074" i="34"/>
  <c r="AB4074" i="34"/>
  <c r="AC4074" i="34"/>
  <c r="AD4074" i="34"/>
  <c r="P4075" i="34"/>
  <c r="T4075" i="34"/>
  <c r="U4075" i="34"/>
  <c r="V4075" i="34"/>
  <c r="W4075" i="34"/>
  <c r="Y4075" i="34"/>
  <c r="AB4075" i="34"/>
  <c r="AC4075" i="34"/>
  <c r="AD4075" i="34"/>
  <c r="P4079" i="34"/>
  <c r="T4079" i="34"/>
  <c r="U4079" i="34"/>
  <c r="V4079" i="34"/>
  <c r="W4079" i="34"/>
  <c r="Y4079" i="34"/>
  <c r="AB4079" i="34"/>
  <c r="AC4079" i="34"/>
  <c r="AD4079" i="34"/>
  <c r="P4080" i="34"/>
  <c r="T4080" i="34"/>
  <c r="U4080" i="34"/>
  <c r="V4080" i="34"/>
  <c r="W4080" i="34"/>
  <c r="Y4080" i="34"/>
  <c r="AB4080" i="34"/>
  <c r="AC4080" i="34"/>
  <c r="AD4080" i="34"/>
  <c r="P4082" i="34"/>
  <c r="T4082" i="34"/>
  <c r="U4082" i="34"/>
  <c r="V4082" i="34"/>
  <c r="W4082" i="34"/>
  <c r="Y4082" i="34"/>
  <c r="AB4082" i="34"/>
  <c r="AC4082" i="34"/>
  <c r="AD4082" i="34"/>
  <c r="P4083" i="34"/>
  <c r="T4083" i="34"/>
  <c r="U4083" i="34"/>
  <c r="V4083" i="34"/>
  <c r="W4083" i="34"/>
  <c r="Y4083" i="34"/>
  <c r="AB4083" i="34"/>
  <c r="AC4083" i="34"/>
  <c r="AD4083" i="34"/>
  <c r="P4107" i="34"/>
  <c r="T4107" i="34"/>
  <c r="U4107" i="34"/>
  <c r="V4107" i="34"/>
  <c r="W4107" i="34"/>
  <c r="Y4107" i="34"/>
  <c r="AB4107" i="34"/>
  <c r="AC4107" i="34"/>
  <c r="AD4107" i="34"/>
  <c r="P4129" i="34"/>
  <c r="T4129" i="34"/>
  <c r="U4129" i="34"/>
  <c r="V4129" i="34"/>
  <c r="W4129" i="34"/>
  <c r="Y4129" i="34"/>
  <c r="AB4129" i="34"/>
  <c r="AC4129" i="34"/>
  <c r="AD4129" i="34"/>
  <c r="P4131" i="34"/>
  <c r="T4131" i="34"/>
  <c r="U4131" i="34"/>
  <c r="V4131" i="34"/>
  <c r="W4131" i="34"/>
  <c r="Y4131" i="34"/>
  <c r="AB4131" i="34"/>
  <c r="AC4131" i="34"/>
  <c r="AD4131" i="34"/>
  <c r="P4132" i="34"/>
  <c r="T4132" i="34"/>
  <c r="U4132" i="34"/>
  <c r="V4132" i="34"/>
  <c r="W4132" i="34"/>
  <c r="Y4132" i="34"/>
  <c r="AB4132" i="34"/>
  <c r="AC4132" i="34"/>
  <c r="AD4132" i="34"/>
  <c r="P4133" i="34"/>
  <c r="T4133" i="34"/>
  <c r="U4133" i="34"/>
  <c r="V4133" i="34"/>
  <c r="W4133" i="34"/>
  <c r="Y4133" i="34"/>
  <c r="AB4133" i="34"/>
  <c r="AC4133" i="34"/>
  <c r="AD4133" i="34"/>
  <c r="P4134" i="34"/>
  <c r="T4134" i="34"/>
  <c r="U4134" i="34"/>
  <c r="V4134" i="34"/>
  <c r="W4134" i="34"/>
  <c r="Y4134" i="34"/>
  <c r="AB4134" i="34"/>
  <c r="AC4134" i="34"/>
  <c r="AD4134" i="34"/>
  <c r="P4139" i="34"/>
  <c r="T4139" i="34"/>
  <c r="U4139" i="34"/>
  <c r="V4139" i="34"/>
  <c r="W4139" i="34"/>
  <c r="Y4139" i="34"/>
  <c r="AB4139" i="34"/>
  <c r="AC4139" i="34"/>
  <c r="AD4139" i="34"/>
  <c r="P4146" i="34"/>
  <c r="T4146" i="34"/>
  <c r="U4146" i="34"/>
  <c r="V4146" i="34"/>
  <c r="W4146" i="34"/>
  <c r="Y4146" i="34"/>
  <c r="AB4146" i="34"/>
  <c r="AC4146" i="34"/>
  <c r="AD4146" i="34"/>
  <c r="P4147" i="34"/>
  <c r="T4147" i="34"/>
  <c r="U4147" i="34"/>
  <c r="V4147" i="34"/>
  <c r="W4147" i="34"/>
  <c r="Y4147" i="34"/>
  <c r="AB4147" i="34"/>
  <c r="AC4147" i="34"/>
  <c r="AD4147" i="34"/>
  <c r="P4148" i="34"/>
  <c r="T4148" i="34"/>
  <c r="U4148" i="34"/>
  <c r="V4148" i="34"/>
  <c r="W4148" i="34"/>
  <c r="Y4148" i="34"/>
  <c r="AB4148" i="34"/>
  <c r="AC4148" i="34"/>
  <c r="AD4148" i="34"/>
  <c r="P4149" i="34"/>
  <c r="T4149" i="34"/>
  <c r="U4149" i="34"/>
  <c r="V4149" i="34"/>
  <c r="W4149" i="34"/>
  <c r="Y4149" i="34"/>
  <c r="AB4149" i="34"/>
  <c r="AC4149" i="34"/>
  <c r="AD4149" i="34"/>
  <c r="P4150" i="34"/>
  <c r="T4150" i="34"/>
  <c r="U4150" i="34"/>
  <c r="V4150" i="34"/>
  <c r="W4150" i="34"/>
  <c r="Y4150" i="34"/>
  <c r="AB4150" i="34"/>
  <c r="AC4150" i="34"/>
  <c r="AD4150" i="34"/>
  <c r="P4158" i="34"/>
  <c r="T4158" i="34"/>
  <c r="U4158" i="34"/>
  <c r="V4158" i="34"/>
  <c r="W4158" i="34"/>
  <c r="Y4158" i="34"/>
  <c r="AB4158" i="34"/>
  <c r="AC4158" i="34"/>
  <c r="AD4158" i="34"/>
  <c r="P4162" i="34"/>
  <c r="T4162" i="34"/>
  <c r="U4162" i="34"/>
  <c r="V4162" i="34"/>
  <c r="W4162" i="34"/>
  <c r="Y4162" i="34"/>
  <c r="AB4162" i="34"/>
  <c r="AC4162" i="34"/>
  <c r="AD4162" i="34"/>
  <c r="P4163" i="34"/>
  <c r="T4163" i="34"/>
  <c r="U4163" i="34"/>
  <c r="V4163" i="34"/>
  <c r="W4163" i="34"/>
  <c r="Y4163" i="34"/>
  <c r="AB4163" i="34"/>
  <c r="AC4163" i="34"/>
  <c r="AD4163" i="34"/>
  <c r="P4164" i="34"/>
  <c r="T4164" i="34"/>
  <c r="U4164" i="34"/>
  <c r="V4164" i="34"/>
  <c r="W4164" i="34"/>
  <c r="Y4164" i="34"/>
  <c r="AB4164" i="34"/>
  <c r="AC4164" i="34"/>
  <c r="AD4164" i="34"/>
  <c r="P4165" i="34"/>
  <c r="T4165" i="34"/>
  <c r="U4165" i="34"/>
  <c r="V4165" i="34"/>
  <c r="W4165" i="34"/>
  <c r="Y4165" i="34"/>
  <c r="AB4165" i="34"/>
  <c r="AC4165" i="34"/>
  <c r="AD4165" i="34"/>
  <c r="P4166" i="34"/>
  <c r="T4166" i="34"/>
  <c r="U4166" i="34"/>
  <c r="V4166" i="34"/>
  <c r="W4166" i="34"/>
  <c r="Y4166" i="34"/>
  <c r="AB4166" i="34"/>
  <c r="AC4166" i="34"/>
  <c r="AD4166" i="34"/>
  <c r="P4167" i="34"/>
  <c r="T4167" i="34"/>
  <c r="U4167" i="34"/>
  <c r="V4167" i="34"/>
  <c r="W4167" i="34"/>
  <c r="Y4167" i="34"/>
  <c r="AB4167" i="34"/>
  <c r="AC4167" i="34"/>
  <c r="AD4167" i="34"/>
  <c r="P4168" i="34"/>
  <c r="T4168" i="34"/>
  <c r="U4168" i="34"/>
  <c r="V4168" i="34"/>
  <c r="W4168" i="34"/>
  <c r="Y4168" i="34"/>
  <c r="AB4168" i="34"/>
  <c r="AC4168" i="34"/>
  <c r="AD4168" i="34"/>
  <c r="P4169" i="34"/>
  <c r="T4169" i="34"/>
  <c r="U4169" i="34"/>
  <c r="V4169" i="34"/>
  <c r="W4169" i="34"/>
  <c r="Y4169" i="34"/>
  <c r="AB4169" i="34"/>
  <c r="AC4169" i="34"/>
  <c r="AD4169" i="34"/>
  <c r="P4170" i="34"/>
  <c r="T4170" i="34"/>
  <c r="U4170" i="34"/>
  <c r="V4170" i="34"/>
  <c r="W4170" i="34"/>
  <c r="Y4170" i="34"/>
  <c r="AB4170" i="34"/>
  <c r="AC4170" i="34"/>
  <c r="AD4170" i="34"/>
  <c r="P4171" i="34"/>
  <c r="T4171" i="34"/>
  <c r="U4171" i="34"/>
  <c r="V4171" i="34"/>
  <c r="W4171" i="34"/>
  <c r="Y4171" i="34"/>
  <c r="AB4171" i="34"/>
  <c r="AC4171" i="34"/>
  <c r="AD4171" i="34"/>
  <c r="P4172" i="34"/>
  <c r="T4172" i="34"/>
  <c r="U4172" i="34"/>
  <c r="V4172" i="34"/>
  <c r="W4172" i="34"/>
  <c r="Y4172" i="34"/>
  <c r="AB4172" i="34"/>
  <c r="AC4172" i="34"/>
  <c r="AD4172" i="34"/>
  <c r="P4173" i="34"/>
  <c r="T4173" i="34"/>
  <c r="U4173" i="34"/>
  <c r="V4173" i="34"/>
  <c r="W4173" i="34"/>
  <c r="Y4173" i="34"/>
  <c r="AB4173" i="34"/>
  <c r="AC4173" i="34"/>
  <c r="AD4173" i="34"/>
  <c r="P4174" i="34"/>
  <c r="T4174" i="34"/>
  <c r="U4174" i="34"/>
  <c r="V4174" i="34"/>
  <c r="W4174" i="34"/>
  <c r="Y4174" i="34"/>
  <c r="AB4174" i="34"/>
  <c r="AC4174" i="34"/>
  <c r="AD4174" i="34"/>
  <c r="P4177" i="34"/>
  <c r="T4177" i="34"/>
  <c r="U4177" i="34"/>
  <c r="V4177" i="34"/>
  <c r="W4177" i="34"/>
  <c r="Y4177" i="34"/>
  <c r="AB4177" i="34"/>
  <c r="AC4177" i="34"/>
  <c r="AD4177" i="34"/>
  <c r="P4178" i="34"/>
  <c r="T4178" i="34"/>
  <c r="U4178" i="34"/>
  <c r="V4178" i="34"/>
  <c r="W4178" i="34"/>
  <c r="Y4178" i="34"/>
  <c r="AB4178" i="34"/>
  <c r="AC4178" i="34"/>
  <c r="AD4178" i="34"/>
  <c r="P4179" i="34"/>
  <c r="T4179" i="34"/>
  <c r="U4179" i="34"/>
  <c r="V4179" i="34"/>
  <c r="W4179" i="34"/>
  <c r="Y4179" i="34"/>
  <c r="AB4179" i="34"/>
  <c r="AC4179" i="34"/>
  <c r="AD4179" i="34"/>
  <c r="P4180" i="34"/>
  <c r="T4180" i="34"/>
  <c r="U4180" i="34"/>
  <c r="V4180" i="34"/>
  <c r="W4180" i="34"/>
  <c r="Y4180" i="34"/>
  <c r="AB4180" i="34"/>
  <c r="AC4180" i="34"/>
  <c r="AD4180" i="34"/>
  <c r="P4181" i="34"/>
  <c r="T4181" i="34"/>
  <c r="U4181" i="34"/>
  <c r="V4181" i="34"/>
  <c r="W4181" i="34"/>
  <c r="Y4181" i="34"/>
  <c r="AB4181" i="34"/>
  <c r="AC4181" i="34"/>
  <c r="AD4181" i="34"/>
  <c r="P4182" i="34"/>
  <c r="T4182" i="34"/>
  <c r="U4182" i="34"/>
  <c r="V4182" i="34"/>
  <c r="W4182" i="34"/>
  <c r="Y4182" i="34"/>
  <c r="AB4182" i="34"/>
  <c r="AC4182" i="34"/>
  <c r="AD4182" i="34"/>
  <c r="P4183" i="34"/>
  <c r="T4183" i="34"/>
  <c r="U4183" i="34"/>
  <c r="V4183" i="34"/>
  <c r="W4183" i="34"/>
  <c r="Y4183" i="34"/>
  <c r="AB4183" i="34"/>
  <c r="AC4183" i="34"/>
  <c r="AD4183" i="34"/>
  <c r="P4188" i="34"/>
  <c r="T4188" i="34"/>
  <c r="U4188" i="34"/>
  <c r="V4188" i="34"/>
  <c r="W4188" i="34"/>
  <c r="Y4188" i="34"/>
  <c r="AB4188" i="34"/>
  <c r="AC4188" i="34"/>
  <c r="AD4188" i="34"/>
  <c r="P4189" i="34"/>
  <c r="T4189" i="34"/>
  <c r="U4189" i="34"/>
  <c r="V4189" i="34"/>
  <c r="W4189" i="34"/>
  <c r="Y4189" i="34"/>
  <c r="AB4189" i="34"/>
  <c r="AC4189" i="34"/>
  <c r="AD4189" i="34"/>
  <c r="P4192" i="34"/>
  <c r="T4192" i="34"/>
  <c r="U4192" i="34"/>
  <c r="V4192" i="34"/>
  <c r="W4192" i="34"/>
  <c r="Y4192" i="34"/>
  <c r="AB4192" i="34"/>
  <c r="AC4192" i="34"/>
  <c r="AD4192" i="34"/>
  <c r="P4193" i="34"/>
  <c r="T4193" i="34"/>
  <c r="U4193" i="34"/>
  <c r="V4193" i="34"/>
  <c r="W4193" i="34"/>
  <c r="Y4193" i="34"/>
  <c r="AB4193" i="34"/>
  <c r="AC4193" i="34"/>
  <c r="AD4193" i="34"/>
  <c r="P4201" i="34"/>
  <c r="T4201" i="34"/>
  <c r="U4201" i="34"/>
  <c r="V4201" i="34"/>
  <c r="W4201" i="34"/>
  <c r="Y4201" i="34"/>
  <c r="AB4201" i="34"/>
  <c r="AC4201" i="34"/>
  <c r="AD4201" i="34"/>
  <c r="P4202" i="34"/>
  <c r="T4202" i="34"/>
  <c r="U4202" i="34"/>
  <c r="V4202" i="34"/>
  <c r="W4202" i="34"/>
  <c r="Y4202" i="34"/>
  <c r="AB4202" i="34"/>
  <c r="AC4202" i="34"/>
  <c r="AD4202" i="34"/>
  <c r="P4203" i="34"/>
  <c r="T4203" i="34"/>
  <c r="U4203" i="34"/>
  <c r="V4203" i="34"/>
  <c r="W4203" i="34"/>
  <c r="Y4203" i="34"/>
  <c r="AB4203" i="34"/>
  <c r="AC4203" i="34"/>
  <c r="AD4203" i="34"/>
  <c r="P4204" i="34"/>
  <c r="T4204" i="34"/>
  <c r="U4204" i="34"/>
  <c r="V4204" i="34"/>
  <c r="W4204" i="34"/>
  <c r="Y4204" i="34"/>
  <c r="AB4204" i="34"/>
  <c r="AC4204" i="34"/>
  <c r="AD4204" i="34"/>
  <c r="P4205" i="34"/>
  <c r="T4205" i="34"/>
  <c r="U4205" i="34"/>
  <c r="V4205" i="34"/>
  <c r="W4205" i="34"/>
  <c r="Y4205" i="34"/>
  <c r="AB4205" i="34"/>
  <c r="AC4205" i="34"/>
  <c r="AD4205" i="34"/>
  <c r="P4207" i="34"/>
  <c r="T4207" i="34"/>
  <c r="U4207" i="34"/>
  <c r="V4207" i="34"/>
  <c r="W4207" i="34"/>
  <c r="Y4207" i="34"/>
  <c r="AB4207" i="34"/>
  <c r="AC4207" i="34"/>
  <c r="AD4207" i="34"/>
  <c r="P4208" i="34"/>
  <c r="T4208" i="34"/>
  <c r="U4208" i="34"/>
  <c r="V4208" i="34"/>
  <c r="W4208" i="34"/>
  <c r="Y4208" i="34"/>
  <c r="AB4208" i="34"/>
  <c r="AC4208" i="34"/>
  <c r="AD4208" i="34"/>
  <c r="P4209" i="34"/>
  <c r="T4209" i="34"/>
  <c r="U4209" i="34"/>
  <c r="V4209" i="34"/>
  <c r="W4209" i="34"/>
  <c r="Y4209" i="34"/>
  <c r="AB4209" i="34"/>
  <c r="AC4209" i="34"/>
  <c r="AD4209" i="34"/>
  <c r="P4210" i="34"/>
  <c r="T4210" i="34"/>
  <c r="U4210" i="34"/>
  <c r="V4210" i="34"/>
  <c r="W4210" i="34"/>
  <c r="Y4210" i="34"/>
  <c r="AB4210" i="34"/>
  <c r="AC4210" i="34"/>
  <c r="AD4210" i="34"/>
  <c r="P4223" i="34"/>
  <c r="T4223" i="34"/>
  <c r="U4223" i="34"/>
  <c r="V4223" i="34"/>
  <c r="W4223" i="34"/>
  <c r="Y4223" i="34"/>
  <c r="AB4223" i="34"/>
  <c r="AC4223" i="34"/>
  <c r="AD4223" i="34"/>
  <c r="P4224" i="34"/>
  <c r="T4224" i="34"/>
  <c r="U4224" i="34"/>
  <c r="V4224" i="34"/>
  <c r="W4224" i="34"/>
  <c r="Y4224" i="34"/>
  <c r="AB4224" i="34"/>
  <c r="AC4224" i="34"/>
  <c r="AD4224" i="34"/>
  <c r="P4225" i="34"/>
  <c r="T4225" i="34"/>
  <c r="U4225" i="34"/>
  <c r="V4225" i="34"/>
  <c r="W4225" i="34"/>
  <c r="Y4225" i="34"/>
  <c r="AB4225" i="34"/>
  <c r="AC4225" i="34"/>
  <c r="AD4225" i="34"/>
  <c r="P4232" i="34"/>
  <c r="T4232" i="34"/>
  <c r="U4232" i="34"/>
  <c r="V4232" i="34"/>
  <c r="W4232" i="34"/>
  <c r="Y4232" i="34"/>
  <c r="AB4232" i="34"/>
  <c r="AC4232" i="34"/>
  <c r="AD4232" i="34"/>
  <c r="P4249" i="34"/>
  <c r="T4249" i="34"/>
  <c r="U4249" i="34"/>
  <c r="V4249" i="34"/>
  <c r="W4249" i="34"/>
  <c r="Y4249" i="34"/>
  <c r="AB4249" i="34"/>
  <c r="AC4249" i="34"/>
  <c r="AD4249" i="34"/>
  <c r="P4257" i="34"/>
  <c r="T4257" i="34"/>
  <c r="U4257" i="34"/>
  <c r="V4257" i="34"/>
  <c r="W4257" i="34"/>
  <c r="Y4257" i="34"/>
  <c r="AB4257" i="34"/>
  <c r="AC4257" i="34"/>
  <c r="AD4257" i="34"/>
  <c r="P4258" i="34"/>
  <c r="T4258" i="34"/>
  <c r="U4258" i="34"/>
  <c r="V4258" i="34"/>
  <c r="W4258" i="34"/>
  <c r="Y4258" i="34"/>
  <c r="AB4258" i="34"/>
  <c r="AC4258" i="34"/>
  <c r="AD4258" i="34"/>
  <c r="P4259" i="34"/>
  <c r="T4259" i="34"/>
  <c r="U4259" i="34"/>
  <c r="V4259" i="34"/>
  <c r="W4259" i="34"/>
  <c r="Y4259" i="34"/>
  <c r="AB4259" i="34"/>
  <c r="AC4259" i="34"/>
  <c r="AD4259" i="34"/>
  <c r="P4260" i="34"/>
  <c r="T4260" i="34"/>
  <c r="U4260" i="34"/>
  <c r="V4260" i="34"/>
  <c r="W4260" i="34"/>
  <c r="Y4260" i="34"/>
  <c r="AB4260" i="34"/>
  <c r="AC4260" i="34"/>
  <c r="AD4260" i="34"/>
  <c r="P4261" i="34"/>
  <c r="T4261" i="34"/>
  <c r="U4261" i="34"/>
  <c r="V4261" i="34"/>
  <c r="W4261" i="34"/>
  <c r="Y4261" i="34"/>
  <c r="AB4261" i="34"/>
  <c r="AC4261" i="34"/>
  <c r="AD4261" i="34"/>
  <c r="P4262" i="34"/>
  <c r="T4262" i="34"/>
  <c r="U4262" i="34"/>
  <c r="V4262" i="34"/>
  <c r="W4262" i="34"/>
  <c r="Y4262" i="34"/>
  <c r="AB4262" i="34"/>
  <c r="AC4262" i="34"/>
  <c r="AD4262" i="34"/>
  <c r="P4267" i="34"/>
  <c r="T4267" i="34"/>
  <c r="U4267" i="34"/>
  <c r="V4267" i="34"/>
  <c r="W4267" i="34"/>
  <c r="Y4267" i="34"/>
  <c r="AB4267" i="34"/>
  <c r="AC4267" i="34"/>
  <c r="AD4267" i="34"/>
  <c r="P4268" i="34"/>
  <c r="T4268" i="34"/>
  <c r="U4268" i="34"/>
  <c r="V4268" i="34"/>
  <c r="W4268" i="34"/>
  <c r="Y4268" i="34"/>
  <c r="AB4268" i="34"/>
  <c r="AC4268" i="34"/>
  <c r="AD4268" i="34"/>
  <c r="P4278" i="34"/>
  <c r="T4278" i="34"/>
  <c r="U4278" i="34"/>
  <c r="V4278" i="34"/>
  <c r="W4278" i="34"/>
  <c r="Y4278" i="34"/>
  <c r="AB4278" i="34"/>
  <c r="AC4278" i="34"/>
  <c r="AD4278" i="34"/>
  <c r="P4282" i="34"/>
  <c r="T4282" i="34"/>
  <c r="U4282" i="34"/>
  <c r="V4282" i="34"/>
  <c r="W4282" i="34"/>
  <c r="Y4282" i="34"/>
  <c r="AB4282" i="34"/>
  <c r="AC4282" i="34"/>
  <c r="AD4282" i="34"/>
  <c r="P4283" i="34"/>
  <c r="T4283" i="34"/>
  <c r="U4283" i="34"/>
  <c r="V4283" i="34"/>
  <c r="W4283" i="34"/>
  <c r="Y4283" i="34"/>
  <c r="AB4283" i="34"/>
  <c r="AC4283" i="34"/>
  <c r="AD4283" i="34"/>
  <c r="P4284" i="34"/>
  <c r="T4284" i="34"/>
  <c r="U4284" i="34"/>
  <c r="V4284" i="34"/>
  <c r="W4284" i="34"/>
  <c r="Y4284" i="34"/>
  <c r="AB4284" i="34"/>
  <c r="AC4284" i="34"/>
  <c r="AD4284" i="34"/>
  <c r="P4285" i="34"/>
  <c r="T4285" i="34"/>
  <c r="U4285" i="34"/>
  <c r="V4285" i="34"/>
  <c r="W4285" i="34"/>
  <c r="Y4285" i="34"/>
  <c r="AB4285" i="34"/>
  <c r="AC4285" i="34"/>
  <c r="AD4285" i="34"/>
  <c r="P4286" i="34"/>
  <c r="T4286" i="34"/>
  <c r="U4286" i="34"/>
  <c r="V4286" i="34"/>
  <c r="W4286" i="34"/>
  <c r="Y4286" i="34"/>
  <c r="AB4286" i="34"/>
  <c r="AC4286" i="34"/>
  <c r="AD4286" i="34"/>
  <c r="P4287" i="34"/>
  <c r="T4287" i="34"/>
  <c r="U4287" i="34"/>
  <c r="V4287" i="34"/>
  <c r="W4287" i="34"/>
  <c r="Y4287" i="34"/>
  <c r="AB4287" i="34"/>
  <c r="AC4287" i="34"/>
  <c r="AD4287" i="34"/>
  <c r="P4288" i="34"/>
  <c r="T4288" i="34"/>
  <c r="U4288" i="34"/>
  <c r="V4288" i="34"/>
  <c r="W4288" i="34"/>
  <c r="Y4288" i="34"/>
  <c r="AB4288" i="34"/>
  <c r="AC4288" i="34"/>
  <c r="AD4288" i="34"/>
  <c r="P4291" i="34"/>
  <c r="T4291" i="34"/>
  <c r="U4291" i="34"/>
  <c r="V4291" i="34"/>
  <c r="W4291" i="34"/>
  <c r="Y4291" i="34"/>
  <c r="AB4291" i="34"/>
  <c r="AC4291" i="34"/>
  <c r="AD4291" i="34"/>
  <c r="P4292" i="34"/>
  <c r="T4292" i="34"/>
  <c r="U4292" i="34"/>
  <c r="V4292" i="34"/>
  <c r="W4292" i="34"/>
  <c r="Y4292" i="34"/>
  <c r="AB4292" i="34"/>
  <c r="AC4292" i="34"/>
  <c r="AD4292" i="34"/>
  <c r="P4293" i="34"/>
  <c r="T4293" i="34"/>
  <c r="U4293" i="34"/>
  <c r="V4293" i="34"/>
  <c r="W4293" i="34"/>
  <c r="Y4293" i="34"/>
  <c r="AB4293" i="34"/>
  <c r="AC4293" i="34"/>
  <c r="AD4293" i="34"/>
  <c r="P4308" i="34"/>
  <c r="T4308" i="34"/>
  <c r="U4308" i="34"/>
  <c r="V4308" i="34"/>
  <c r="W4308" i="34"/>
  <c r="Y4308" i="34"/>
  <c r="AB4308" i="34"/>
  <c r="AC4308" i="34"/>
  <c r="AD4308" i="34"/>
  <c r="P4309" i="34"/>
  <c r="T4309" i="34"/>
  <c r="U4309" i="34"/>
  <c r="V4309" i="34"/>
  <c r="W4309" i="34"/>
  <c r="Y4309" i="34"/>
  <c r="AB4309" i="34"/>
  <c r="AC4309" i="34"/>
  <c r="AD4309" i="34"/>
  <c r="P4310" i="34"/>
  <c r="T4310" i="34"/>
  <c r="U4310" i="34"/>
  <c r="V4310" i="34"/>
  <c r="W4310" i="34"/>
  <c r="Y4310" i="34"/>
  <c r="AB4310" i="34"/>
  <c r="AC4310" i="34"/>
  <c r="AD4310" i="34"/>
  <c r="P4315" i="34"/>
  <c r="T4315" i="34"/>
  <c r="U4315" i="34"/>
  <c r="V4315" i="34"/>
  <c r="W4315" i="34"/>
  <c r="Y4315" i="34"/>
  <c r="AB4315" i="34"/>
  <c r="AC4315" i="34"/>
  <c r="AD4315" i="34"/>
  <c r="P4349" i="34"/>
  <c r="T4349" i="34"/>
  <c r="U4349" i="34"/>
  <c r="V4349" i="34"/>
  <c r="W4349" i="34"/>
  <c r="Y4349" i="34"/>
  <c r="AB4349" i="34"/>
  <c r="AC4349" i="34"/>
  <c r="AD4349" i="34"/>
  <c r="P4350" i="34"/>
  <c r="T4350" i="34"/>
  <c r="U4350" i="34"/>
  <c r="V4350" i="34"/>
  <c r="W4350" i="34"/>
  <c r="Y4350" i="34"/>
  <c r="AB4350" i="34"/>
  <c r="AC4350" i="34"/>
  <c r="AD4350" i="34"/>
  <c r="P4351" i="34"/>
  <c r="T4351" i="34"/>
  <c r="U4351" i="34"/>
  <c r="V4351" i="34"/>
  <c r="W4351" i="34"/>
  <c r="Y4351" i="34"/>
  <c r="AB4351" i="34"/>
  <c r="AC4351" i="34"/>
  <c r="AD4351" i="34"/>
  <c r="P4352" i="34"/>
  <c r="T4352" i="34"/>
  <c r="U4352" i="34"/>
  <c r="V4352" i="34"/>
  <c r="W4352" i="34"/>
  <c r="Y4352" i="34"/>
  <c r="AB4352" i="34"/>
  <c r="AC4352" i="34"/>
  <c r="AD4352" i="34"/>
  <c r="P4353" i="34"/>
  <c r="T4353" i="34"/>
  <c r="U4353" i="34"/>
  <c r="V4353" i="34"/>
  <c r="W4353" i="34"/>
  <c r="Y4353" i="34"/>
  <c r="AB4353" i="34"/>
  <c r="AC4353" i="34"/>
  <c r="AD4353" i="34"/>
  <c r="P4354" i="34"/>
  <c r="T4354" i="34"/>
  <c r="U4354" i="34"/>
  <c r="V4354" i="34"/>
  <c r="W4354" i="34"/>
  <c r="Y4354" i="34"/>
  <c r="AB4354" i="34"/>
  <c r="AC4354" i="34"/>
  <c r="AD4354" i="34"/>
  <c r="P4355" i="34"/>
  <c r="T4355" i="34"/>
  <c r="U4355" i="34"/>
  <c r="V4355" i="34"/>
  <c r="W4355" i="34"/>
  <c r="Y4355" i="34"/>
  <c r="AB4355" i="34"/>
  <c r="AC4355" i="34"/>
  <c r="AD4355" i="34"/>
  <c r="P4356" i="34"/>
  <c r="T4356" i="34"/>
  <c r="U4356" i="34"/>
  <c r="V4356" i="34"/>
  <c r="W4356" i="34"/>
  <c r="Y4356" i="34"/>
  <c r="AB4356" i="34"/>
  <c r="AC4356" i="34"/>
  <c r="AD4356" i="34"/>
  <c r="P4357" i="34"/>
  <c r="T4357" i="34"/>
  <c r="U4357" i="34"/>
  <c r="V4357" i="34"/>
  <c r="W4357" i="34"/>
  <c r="Y4357" i="34"/>
  <c r="AB4357" i="34"/>
  <c r="AC4357" i="34"/>
  <c r="AD4357" i="34"/>
  <c r="P4358" i="34"/>
  <c r="T4358" i="34"/>
  <c r="U4358" i="34"/>
  <c r="V4358" i="34"/>
  <c r="W4358" i="34"/>
  <c r="Y4358" i="34"/>
  <c r="AB4358" i="34"/>
  <c r="AC4358" i="34"/>
  <c r="AD4358" i="34"/>
  <c r="P4359" i="34"/>
  <c r="T4359" i="34"/>
  <c r="U4359" i="34"/>
  <c r="V4359" i="34"/>
  <c r="W4359" i="34"/>
  <c r="Y4359" i="34"/>
  <c r="AB4359" i="34"/>
  <c r="AC4359" i="34"/>
  <c r="AD4359" i="34"/>
  <c r="P4360" i="34"/>
  <c r="T4360" i="34"/>
  <c r="U4360" i="34"/>
  <c r="V4360" i="34"/>
  <c r="W4360" i="34"/>
  <c r="Y4360" i="34"/>
  <c r="AB4360" i="34"/>
  <c r="AC4360" i="34"/>
  <c r="AD4360" i="34"/>
  <c r="P4361" i="34"/>
  <c r="T4361" i="34"/>
  <c r="U4361" i="34"/>
  <c r="V4361" i="34"/>
  <c r="W4361" i="34"/>
  <c r="Y4361" i="34"/>
  <c r="AB4361" i="34"/>
  <c r="AC4361" i="34"/>
  <c r="AD4361" i="34"/>
  <c r="P4362" i="34"/>
  <c r="T4362" i="34"/>
  <c r="U4362" i="34"/>
  <c r="V4362" i="34"/>
  <c r="W4362" i="34"/>
  <c r="Y4362" i="34"/>
  <c r="AB4362" i="34"/>
  <c r="AC4362" i="34"/>
  <c r="AD4362" i="34"/>
  <c r="P4363" i="34"/>
  <c r="T4363" i="34"/>
  <c r="U4363" i="34"/>
  <c r="V4363" i="34"/>
  <c r="W4363" i="34"/>
  <c r="Y4363" i="34"/>
  <c r="AB4363" i="34"/>
  <c r="AC4363" i="34"/>
  <c r="AD4363" i="34"/>
  <c r="P4364" i="34"/>
  <c r="T4364" i="34"/>
  <c r="U4364" i="34"/>
  <c r="V4364" i="34"/>
  <c r="W4364" i="34"/>
  <c r="Y4364" i="34"/>
  <c r="AB4364" i="34"/>
  <c r="AC4364" i="34"/>
  <c r="AD4364" i="34"/>
  <c r="P4365" i="34"/>
  <c r="T4365" i="34"/>
  <c r="U4365" i="34"/>
  <c r="V4365" i="34"/>
  <c r="W4365" i="34"/>
  <c r="Y4365" i="34"/>
  <c r="AB4365" i="34"/>
  <c r="AC4365" i="34"/>
  <c r="AD4365" i="34"/>
  <c r="P4366" i="34"/>
  <c r="T4366" i="34"/>
  <c r="U4366" i="34"/>
  <c r="V4366" i="34"/>
  <c r="W4366" i="34"/>
  <c r="Y4366" i="34"/>
  <c r="AB4366" i="34"/>
  <c r="AC4366" i="34"/>
  <c r="AD4366" i="34"/>
  <c r="P4367" i="34"/>
  <c r="T4367" i="34"/>
  <c r="U4367" i="34"/>
  <c r="V4367" i="34"/>
  <c r="W4367" i="34"/>
  <c r="Y4367" i="34"/>
  <c r="AB4367" i="34"/>
  <c r="AC4367" i="34"/>
  <c r="AD4367" i="34"/>
  <c r="P4368" i="34"/>
  <c r="T4368" i="34"/>
  <c r="U4368" i="34"/>
  <c r="V4368" i="34"/>
  <c r="W4368" i="34"/>
  <c r="Y4368" i="34"/>
  <c r="AB4368" i="34"/>
  <c r="AC4368" i="34"/>
  <c r="AD4368" i="34"/>
  <c r="P4369" i="34"/>
  <c r="T4369" i="34"/>
  <c r="U4369" i="34"/>
  <c r="V4369" i="34"/>
  <c r="W4369" i="34"/>
  <c r="Y4369" i="34"/>
  <c r="AB4369" i="34"/>
  <c r="AC4369" i="34"/>
  <c r="AD4369" i="34"/>
  <c r="P4370" i="34"/>
  <c r="T4370" i="34"/>
  <c r="U4370" i="34"/>
  <c r="V4370" i="34"/>
  <c r="W4370" i="34"/>
  <c r="Y4370" i="34"/>
  <c r="AB4370" i="34"/>
  <c r="AC4370" i="34"/>
  <c r="AD4370" i="34"/>
  <c r="P4371" i="34"/>
  <c r="T4371" i="34"/>
  <c r="U4371" i="34"/>
  <c r="V4371" i="34"/>
  <c r="W4371" i="34"/>
  <c r="Y4371" i="34"/>
  <c r="AB4371" i="34"/>
  <c r="AC4371" i="34"/>
  <c r="AD4371" i="34"/>
  <c r="P4372" i="34"/>
  <c r="T4372" i="34"/>
  <c r="U4372" i="34"/>
  <c r="V4372" i="34"/>
  <c r="W4372" i="34"/>
  <c r="Y4372" i="34"/>
  <c r="AB4372" i="34"/>
  <c r="AC4372" i="34"/>
  <c r="AD4372" i="34"/>
  <c r="P4386" i="34"/>
  <c r="T4386" i="34"/>
  <c r="U4386" i="34"/>
  <c r="V4386" i="34"/>
  <c r="W4386" i="34"/>
  <c r="Y4386" i="34"/>
  <c r="AB4386" i="34"/>
  <c r="AC4386" i="34"/>
  <c r="AD4386" i="34"/>
  <c r="P4387" i="34"/>
  <c r="T4387" i="34"/>
  <c r="U4387" i="34"/>
  <c r="V4387" i="34"/>
  <c r="W4387" i="34"/>
  <c r="Y4387" i="34"/>
  <c r="AB4387" i="34"/>
  <c r="AC4387" i="34"/>
  <c r="AD4387" i="34"/>
  <c r="P4389" i="34"/>
  <c r="T4389" i="34"/>
  <c r="U4389" i="34"/>
  <c r="V4389" i="34"/>
  <c r="W4389" i="34"/>
  <c r="Y4389" i="34"/>
  <c r="AB4389" i="34"/>
  <c r="AC4389" i="34"/>
  <c r="AD4389" i="34"/>
  <c r="P4398" i="34"/>
  <c r="T4398" i="34"/>
  <c r="U4398" i="34"/>
  <c r="V4398" i="34"/>
  <c r="W4398" i="34"/>
  <c r="Y4398" i="34"/>
  <c r="AB4398" i="34"/>
  <c r="AC4398" i="34"/>
  <c r="AD4398" i="34"/>
  <c r="P4399" i="34"/>
  <c r="T4399" i="34"/>
  <c r="U4399" i="34"/>
  <c r="V4399" i="34"/>
  <c r="W4399" i="34"/>
  <c r="Y4399" i="34"/>
  <c r="AB4399" i="34"/>
  <c r="AC4399" i="34"/>
  <c r="AD4399" i="34"/>
  <c r="P4400" i="34"/>
  <c r="T4400" i="34"/>
  <c r="U4400" i="34"/>
  <c r="V4400" i="34"/>
  <c r="W4400" i="34"/>
  <c r="Y4400" i="34"/>
  <c r="AB4400" i="34"/>
  <c r="AC4400" i="34"/>
  <c r="AD4400" i="34"/>
  <c r="P4401" i="34"/>
  <c r="T4401" i="34"/>
  <c r="U4401" i="34"/>
  <c r="V4401" i="34"/>
  <c r="W4401" i="34"/>
  <c r="Y4401" i="34"/>
  <c r="AB4401" i="34"/>
  <c r="AC4401" i="34"/>
  <c r="AD4401" i="34"/>
  <c r="P4402" i="34"/>
  <c r="T4402" i="34"/>
  <c r="U4402" i="34"/>
  <c r="V4402" i="34"/>
  <c r="W4402" i="34"/>
  <c r="Y4402" i="34"/>
  <c r="AB4402" i="34"/>
  <c r="AC4402" i="34"/>
  <c r="AD4402" i="34"/>
  <c r="P4403" i="34"/>
  <c r="T4403" i="34"/>
  <c r="U4403" i="34"/>
  <c r="V4403" i="34"/>
  <c r="W4403" i="34"/>
  <c r="Y4403" i="34"/>
  <c r="AB4403" i="34"/>
  <c r="AC4403" i="34"/>
  <c r="AD4403" i="34"/>
  <c r="P4411" i="34"/>
  <c r="T4411" i="34"/>
  <c r="U4411" i="34"/>
  <c r="V4411" i="34"/>
  <c r="W4411" i="34"/>
  <c r="Y4411" i="34"/>
  <c r="AB4411" i="34"/>
  <c r="AC4411" i="34"/>
  <c r="AD4411" i="34"/>
  <c r="P4412" i="34"/>
  <c r="T4412" i="34"/>
  <c r="U4412" i="34"/>
  <c r="V4412" i="34"/>
  <c r="W4412" i="34"/>
  <c r="Y4412" i="34"/>
  <c r="AB4412" i="34"/>
  <c r="AC4412" i="34"/>
  <c r="AD4412" i="34"/>
  <c r="P4413" i="34"/>
  <c r="T4413" i="34"/>
  <c r="U4413" i="34"/>
  <c r="V4413" i="34"/>
  <c r="W4413" i="34"/>
  <c r="Y4413" i="34"/>
  <c r="AB4413" i="34"/>
  <c r="AC4413" i="34"/>
  <c r="AD4413" i="34"/>
  <c r="P4425" i="34"/>
  <c r="T4425" i="34"/>
  <c r="U4425" i="34"/>
  <c r="V4425" i="34"/>
  <c r="W4425" i="34"/>
  <c r="Y4425" i="34"/>
  <c r="AB4425" i="34"/>
  <c r="AC4425" i="34"/>
  <c r="AD4425" i="34"/>
  <c r="P4426" i="34"/>
  <c r="T4426" i="34"/>
  <c r="U4426" i="34"/>
  <c r="V4426" i="34"/>
  <c r="W4426" i="34"/>
  <c r="Y4426" i="34"/>
  <c r="AB4426" i="34"/>
  <c r="AC4426" i="34"/>
  <c r="AD4426" i="34"/>
  <c r="P4427" i="34"/>
  <c r="T4427" i="34"/>
  <c r="U4427" i="34"/>
  <c r="V4427" i="34"/>
  <c r="W4427" i="34"/>
  <c r="Y4427" i="34"/>
  <c r="AB4427" i="34"/>
  <c r="AC4427" i="34"/>
  <c r="AD4427" i="34"/>
  <c r="P4428" i="34"/>
  <c r="T4428" i="34"/>
  <c r="U4428" i="34"/>
  <c r="V4428" i="34"/>
  <c r="W4428" i="34"/>
  <c r="Y4428" i="34"/>
  <c r="AB4428" i="34"/>
  <c r="AC4428" i="34"/>
  <c r="AD4428" i="34"/>
  <c r="P4429" i="34"/>
  <c r="T4429" i="34"/>
  <c r="U4429" i="34"/>
  <c r="V4429" i="34"/>
  <c r="W4429" i="34"/>
  <c r="Y4429" i="34"/>
  <c r="AB4429" i="34"/>
  <c r="AC4429" i="34"/>
  <c r="AD4429" i="34"/>
  <c r="P4430" i="34"/>
  <c r="T4430" i="34"/>
  <c r="U4430" i="34"/>
  <c r="V4430" i="34"/>
  <c r="W4430" i="34"/>
  <c r="Y4430" i="34"/>
  <c r="AB4430" i="34"/>
  <c r="AC4430" i="34"/>
  <c r="AD4430" i="34"/>
  <c r="P4431" i="34"/>
  <c r="T4431" i="34"/>
  <c r="U4431" i="34"/>
  <c r="V4431" i="34"/>
  <c r="W4431" i="34"/>
  <c r="Y4431" i="34"/>
  <c r="AB4431" i="34"/>
  <c r="AC4431" i="34"/>
  <c r="AD4431" i="34"/>
  <c r="P4432" i="34"/>
  <c r="T4432" i="34"/>
  <c r="U4432" i="34"/>
  <c r="V4432" i="34"/>
  <c r="W4432" i="34"/>
  <c r="Y4432" i="34"/>
  <c r="AB4432" i="34"/>
  <c r="AC4432" i="34"/>
  <c r="AD4432" i="34"/>
  <c r="P4433" i="34"/>
  <c r="T4433" i="34"/>
  <c r="U4433" i="34"/>
  <c r="V4433" i="34"/>
  <c r="W4433" i="34"/>
  <c r="Y4433" i="34"/>
  <c r="AB4433" i="34"/>
  <c r="AC4433" i="34"/>
  <c r="AD4433" i="34"/>
  <c r="P4434" i="34"/>
  <c r="T4434" i="34"/>
  <c r="U4434" i="34"/>
  <c r="V4434" i="34"/>
  <c r="W4434" i="34"/>
  <c r="Y4434" i="34"/>
  <c r="AB4434" i="34"/>
  <c r="AC4434" i="34"/>
  <c r="AD4434" i="34"/>
  <c r="P4435" i="34"/>
  <c r="T4435" i="34"/>
  <c r="U4435" i="34"/>
  <c r="V4435" i="34"/>
  <c r="W4435" i="34"/>
  <c r="Y4435" i="34"/>
  <c r="AB4435" i="34"/>
  <c r="AC4435" i="34"/>
  <c r="AD4435" i="34"/>
  <c r="P4436" i="34"/>
  <c r="T4436" i="34"/>
  <c r="U4436" i="34"/>
  <c r="V4436" i="34"/>
  <c r="W4436" i="34"/>
  <c r="Y4436" i="34"/>
  <c r="AB4436" i="34"/>
  <c r="AC4436" i="34"/>
  <c r="AD4436" i="34"/>
  <c r="P4441" i="34"/>
  <c r="T4441" i="34"/>
  <c r="U4441" i="34"/>
  <c r="V4441" i="34"/>
  <c r="W4441" i="34"/>
  <c r="Y4441" i="34"/>
  <c r="AB4441" i="34"/>
  <c r="AC4441" i="34"/>
  <c r="AD4441" i="34"/>
  <c r="P4442" i="34"/>
  <c r="T4442" i="34"/>
  <c r="U4442" i="34"/>
  <c r="V4442" i="34"/>
  <c r="W4442" i="34"/>
  <c r="Y4442" i="34"/>
  <c r="AB4442" i="34"/>
  <c r="AC4442" i="34"/>
  <c r="AD4442" i="34"/>
  <c r="P4443" i="34"/>
  <c r="T4443" i="34"/>
  <c r="U4443" i="34"/>
  <c r="V4443" i="34"/>
  <c r="W4443" i="34"/>
  <c r="Y4443" i="34"/>
  <c r="AB4443" i="34"/>
  <c r="AC4443" i="34"/>
  <c r="AD4443" i="34"/>
  <c r="P4444" i="34"/>
  <c r="T4444" i="34"/>
  <c r="U4444" i="34"/>
  <c r="V4444" i="34"/>
  <c r="W4444" i="34"/>
  <c r="Y4444" i="34"/>
  <c r="AB4444" i="34"/>
  <c r="AC4444" i="34"/>
  <c r="AD4444" i="34"/>
  <c r="P4445" i="34"/>
  <c r="T4445" i="34"/>
  <c r="U4445" i="34"/>
  <c r="V4445" i="34"/>
  <c r="W4445" i="34"/>
  <c r="Y4445" i="34"/>
  <c r="AB4445" i="34"/>
  <c r="AC4445" i="34"/>
  <c r="AD4445" i="34"/>
  <c r="P4446" i="34"/>
  <c r="T4446" i="34"/>
  <c r="U4446" i="34"/>
  <c r="V4446" i="34"/>
  <c r="W4446" i="34"/>
  <c r="Y4446" i="34"/>
  <c r="AB4446" i="34"/>
  <c r="AC4446" i="34"/>
  <c r="AD4446" i="34"/>
  <c r="P4462" i="34"/>
  <c r="T4462" i="34"/>
  <c r="U4462" i="34"/>
  <c r="V4462" i="34"/>
  <c r="W4462" i="34"/>
  <c r="Y4462" i="34"/>
  <c r="AB4462" i="34"/>
  <c r="AC4462" i="34"/>
  <c r="AD4462" i="34"/>
  <c r="P4463" i="34"/>
  <c r="T4463" i="34"/>
  <c r="U4463" i="34"/>
  <c r="V4463" i="34"/>
  <c r="W4463" i="34"/>
  <c r="Y4463" i="34"/>
  <c r="AB4463" i="34"/>
  <c r="AC4463" i="34"/>
  <c r="AD4463" i="34"/>
  <c r="P4464" i="34"/>
  <c r="T4464" i="34"/>
  <c r="U4464" i="34"/>
  <c r="V4464" i="34"/>
  <c r="W4464" i="34"/>
  <c r="Y4464" i="34"/>
  <c r="AB4464" i="34"/>
  <c r="AC4464" i="34"/>
  <c r="AD4464" i="34"/>
  <c r="P4465" i="34"/>
  <c r="T4465" i="34"/>
  <c r="U4465" i="34"/>
  <c r="V4465" i="34"/>
  <c r="W4465" i="34"/>
  <c r="Y4465" i="34"/>
  <c r="AB4465" i="34"/>
  <c r="AC4465" i="34"/>
  <c r="AD4465" i="34"/>
  <c r="P4466" i="34"/>
  <c r="T4466" i="34"/>
  <c r="U4466" i="34"/>
  <c r="V4466" i="34"/>
  <c r="W4466" i="34"/>
  <c r="Y4466" i="34"/>
  <c r="AB4466" i="34"/>
  <c r="AC4466" i="34"/>
  <c r="AD4466" i="34"/>
  <c r="P4467" i="34"/>
  <c r="T4467" i="34"/>
  <c r="U4467" i="34"/>
  <c r="V4467" i="34"/>
  <c r="W4467" i="34"/>
  <c r="Y4467" i="34"/>
  <c r="AB4467" i="34"/>
  <c r="AC4467" i="34"/>
  <c r="AD4467" i="34"/>
  <c r="P4468" i="34"/>
  <c r="T4468" i="34"/>
  <c r="U4468" i="34"/>
  <c r="V4468" i="34"/>
  <c r="W4468" i="34"/>
  <c r="Y4468" i="34"/>
  <c r="AB4468" i="34"/>
  <c r="AC4468" i="34"/>
  <c r="AD4468" i="34"/>
  <c r="P4469" i="34"/>
  <c r="T4469" i="34"/>
  <c r="U4469" i="34"/>
  <c r="V4469" i="34"/>
  <c r="W4469" i="34"/>
  <c r="Y4469" i="34"/>
  <c r="AB4469" i="34"/>
  <c r="AC4469" i="34"/>
  <c r="AD4469" i="34"/>
  <c r="P4470" i="34"/>
  <c r="T4470" i="34"/>
  <c r="U4470" i="34"/>
  <c r="V4470" i="34"/>
  <c r="W4470" i="34"/>
  <c r="Y4470" i="34"/>
  <c r="AB4470" i="34"/>
  <c r="AC4470" i="34"/>
  <c r="AD4470" i="34"/>
  <c r="P4471" i="34"/>
  <c r="T4471" i="34"/>
  <c r="U4471" i="34"/>
  <c r="V4471" i="34"/>
  <c r="W4471" i="34"/>
  <c r="Y4471" i="34"/>
  <c r="AB4471" i="34"/>
  <c r="AC4471" i="34"/>
  <c r="AD4471" i="34"/>
  <c r="P4472" i="34"/>
  <c r="T4472" i="34"/>
  <c r="U4472" i="34"/>
  <c r="V4472" i="34"/>
  <c r="W4472" i="34"/>
  <c r="Y4472" i="34"/>
  <c r="AB4472" i="34"/>
  <c r="AC4472" i="34"/>
  <c r="AD4472" i="34"/>
  <c r="P4473" i="34"/>
  <c r="T4473" i="34"/>
  <c r="U4473" i="34"/>
  <c r="V4473" i="34"/>
  <c r="W4473" i="34"/>
  <c r="Y4473" i="34"/>
  <c r="AB4473" i="34"/>
  <c r="AC4473" i="34"/>
  <c r="AD4473" i="34"/>
  <c r="P4474" i="34"/>
  <c r="T4474" i="34"/>
  <c r="U4474" i="34"/>
  <c r="V4474" i="34"/>
  <c r="W4474" i="34"/>
  <c r="Y4474" i="34"/>
  <c r="AB4474" i="34"/>
  <c r="AC4474" i="34"/>
  <c r="AD4474" i="34"/>
  <c r="P4475" i="34"/>
  <c r="T4475" i="34"/>
  <c r="U4475" i="34"/>
  <c r="V4475" i="34"/>
  <c r="W4475" i="34"/>
  <c r="Y4475" i="34"/>
  <c r="AB4475" i="34"/>
  <c r="AC4475" i="34"/>
  <c r="AD4475" i="34"/>
  <c r="P4476" i="34"/>
  <c r="T4476" i="34"/>
  <c r="U4476" i="34"/>
  <c r="V4476" i="34"/>
  <c r="W4476" i="34"/>
  <c r="Y4476" i="34"/>
  <c r="AB4476" i="34"/>
  <c r="AC4476" i="34"/>
  <c r="AD4476" i="34"/>
  <c r="P4477" i="34"/>
  <c r="T4477" i="34"/>
  <c r="U4477" i="34"/>
  <c r="V4477" i="34"/>
  <c r="W4477" i="34"/>
  <c r="Y4477" i="34"/>
  <c r="AB4477" i="34"/>
  <c r="AC4477" i="34"/>
  <c r="AD4477" i="34"/>
  <c r="P4478" i="34"/>
  <c r="T4478" i="34"/>
  <c r="U4478" i="34"/>
  <c r="V4478" i="34"/>
  <c r="W4478" i="34"/>
  <c r="Y4478" i="34"/>
  <c r="AB4478" i="34"/>
  <c r="AC4478" i="34"/>
  <c r="AD4478" i="34"/>
  <c r="P4479" i="34"/>
  <c r="T4479" i="34"/>
  <c r="U4479" i="34"/>
  <c r="V4479" i="34"/>
  <c r="W4479" i="34"/>
  <c r="Y4479" i="34"/>
  <c r="AB4479" i="34"/>
  <c r="AC4479" i="34"/>
  <c r="AD4479" i="34"/>
  <c r="P4483" i="34"/>
  <c r="T4483" i="34"/>
  <c r="U4483" i="34"/>
  <c r="V4483" i="34"/>
  <c r="W4483" i="34"/>
  <c r="Y4483" i="34"/>
  <c r="AB4483" i="34"/>
  <c r="AC4483" i="34"/>
  <c r="AD4483" i="34"/>
  <c r="P4484" i="34"/>
  <c r="T4484" i="34"/>
  <c r="U4484" i="34"/>
  <c r="V4484" i="34"/>
  <c r="W4484" i="34"/>
  <c r="Y4484" i="34"/>
  <c r="AB4484" i="34"/>
  <c r="AC4484" i="34"/>
  <c r="AD4484" i="34"/>
  <c r="P4485" i="34"/>
  <c r="T4485" i="34"/>
  <c r="U4485" i="34"/>
  <c r="V4485" i="34"/>
  <c r="W4485" i="34"/>
  <c r="Y4485" i="34"/>
  <c r="AB4485" i="34"/>
  <c r="AC4485" i="34"/>
  <c r="AD4485" i="34"/>
  <c r="P4486" i="34"/>
  <c r="T4486" i="34"/>
  <c r="U4486" i="34"/>
  <c r="V4486" i="34"/>
  <c r="W4486" i="34"/>
  <c r="Y4486" i="34"/>
  <c r="AB4486" i="34"/>
  <c r="AC4486" i="34"/>
  <c r="AD4486" i="34"/>
  <c r="P4491" i="34"/>
  <c r="T4491" i="34"/>
  <c r="U4491" i="34"/>
  <c r="V4491" i="34"/>
  <c r="W4491" i="34"/>
  <c r="Y4491" i="34"/>
  <c r="AB4491" i="34"/>
  <c r="AC4491" i="34"/>
  <c r="AD4491" i="34"/>
  <c r="P4492" i="34"/>
  <c r="T4492" i="34"/>
  <c r="U4492" i="34"/>
  <c r="V4492" i="34"/>
  <c r="W4492" i="34"/>
  <c r="Y4492" i="34"/>
  <c r="AB4492" i="34"/>
  <c r="AC4492" i="34"/>
  <c r="AD4492" i="34"/>
  <c r="P4493" i="34"/>
  <c r="T4493" i="34"/>
  <c r="U4493" i="34"/>
  <c r="V4493" i="34"/>
  <c r="W4493" i="34"/>
  <c r="Y4493" i="34"/>
  <c r="AB4493" i="34"/>
  <c r="AC4493" i="34"/>
  <c r="AD4493" i="34"/>
  <c r="P4494" i="34"/>
  <c r="T4494" i="34"/>
  <c r="U4494" i="34"/>
  <c r="V4494" i="34"/>
  <c r="W4494" i="34"/>
  <c r="Y4494" i="34"/>
  <c r="AB4494" i="34"/>
  <c r="AC4494" i="34"/>
  <c r="AD4494" i="34"/>
  <c r="P4495" i="34"/>
  <c r="T4495" i="34"/>
  <c r="U4495" i="34"/>
  <c r="V4495" i="34"/>
  <c r="W4495" i="34"/>
  <c r="Y4495" i="34"/>
  <c r="AB4495" i="34"/>
  <c r="AC4495" i="34"/>
  <c r="AD4495" i="34"/>
  <c r="P4496" i="34"/>
  <c r="T4496" i="34"/>
  <c r="U4496" i="34"/>
  <c r="V4496" i="34"/>
  <c r="W4496" i="34"/>
  <c r="Y4496" i="34"/>
  <c r="AB4496" i="34"/>
  <c r="AC4496" i="34"/>
  <c r="AD4496" i="34"/>
  <c r="P4497" i="34"/>
  <c r="T4497" i="34"/>
  <c r="U4497" i="34"/>
  <c r="V4497" i="34"/>
  <c r="W4497" i="34"/>
  <c r="Y4497" i="34"/>
  <c r="AB4497" i="34"/>
  <c r="AC4497" i="34"/>
  <c r="AD4497" i="34"/>
  <c r="P4498" i="34"/>
  <c r="T4498" i="34"/>
  <c r="U4498" i="34"/>
  <c r="V4498" i="34"/>
  <c r="W4498" i="34"/>
  <c r="Y4498" i="34"/>
  <c r="AB4498" i="34"/>
  <c r="AC4498" i="34"/>
  <c r="AD4498" i="34"/>
  <c r="P4503" i="34"/>
  <c r="T4503" i="34"/>
  <c r="U4503" i="34"/>
  <c r="V4503" i="34"/>
  <c r="W4503" i="34"/>
  <c r="Y4503" i="34"/>
  <c r="AB4503" i="34"/>
  <c r="AC4503" i="34"/>
  <c r="AD4503" i="34"/>
  <c r="P4504" i="34"/>
  <c r="T4504" i="34"/>
  <c r="U4504" i="34"/>
  <c r="V4504" i="34"/>
  <c r="W4504" i="34"/>
  <c r="Y4504" i="34"/>
  <c r="AB4504" i="34"/>
  <c r="AC4504" i="34"/>
  <c r="AD4504" i="34"/>
  <c r="P4505" i="34"/>
  <c r="T4505" i="34"/>
  <c r="U4505" i="34"/>
  <c r="V4505" i="34"/>
  <c r="W4505" i="34"/>
  <c r="Y4505" i="34"/>
  <c r="AB4505" i="34"/>
  <c r="AC4505" i="34"/>
  <c r="AD4505" i="34"/>
  <c r="P4506" i="34"/>
  <c r="T4506" i="34"/>
  <c r="U4506" i="34"/>
  <c r="V4506" i="34"/>
  <c r="W4506" i="34"/>
  <c r="Y4506" i="34"/>
  <c r="AB4506" i="34"/>
  <c r="AC4506" i="34"/>
  <c r="AD4506" i="34"/>
  <c r="P4507" i="34"/>
  <c r="T4507" i="34"/>
  <c r="U4507" i="34"/>
  <c r="V4507" i="34"/>
  <c r="W4507" i="34"/>
  <c r="Y4507" i="34"/>
  <c r="AB4507" i="34"/>
  <c r="AC4507" i="34"/>
  <c r="AD4507" i="34"/>
  <c r="P4508" i="34"/>
  <c r="T4508" i="34"/>
  <c r="U4508" i="34"/>
  <c r="V4508" i="34"/>
  <c r="W4508" i="34"/>
  <c r="Y4508" i="34"/>
  <c r="AB4508" i="34"/>
  <c r="AC4508" i="34"/>
  <c r="AD4508" i="34"/>
  <c r="P4509" i="34"/>
  <c r="T4509" i="34"/>
  <c r="U4509" i="34"/>
  <c r="V4509" i="34"/>
  <c r="W4509" i="34"/>
  <c r="Y4509" i="34"/>
  <c r="AB4509" i="34"/>
  <c r="AC4509" i="34"/>
  <c r="AD4509" i="34"/>
  <c r="P4510" i="34"/>
  <c r="T4510" i="34"/>
  <c r="U4510" i="34"/>
  <c r="V4510" i="34"/>
  <c r="W4510" i="34"/>
  <c r="Y4510" i="34"/>
  <c r="AB4510" i="34"/>
  <c r="AC4510" i="34"/>
  <c r="AD4510" i="34"/>
  <c r="P4511" i="34"/>
  <c r="T4511" i="34"/>
  <c r="U4511" i="34"/>
  <c r="V4511" i="34"/>
  <c r="W4511" i="34"/>
  <c r="Y4511" i="34"/>
  <c r="AB4511" i="34"/>
  <c r="AC4511" i="34"/>
  <c r="AD4511" i="34"/>
  <c r="P4512" i="34"/>
  <c r="T4512" i="34"/>
  <c r="U4512" i="34"/>
  <c r="V4512" i="34"/>
  <c r="W4512" i="34"/>
  <c r="Y4512" i="34"/>
  <c r="AB4512" i="34"/>
  <c r="AC4512" i="34"/>
  <c r="AD4512" i="34"/>
  <c r="P4513" i="34"/>
  <c r="T4513" i="34"/>
  <c r="U4513" i="34"/>
  <c r="V4513" i="34"/>
  <c r="W4513" i="34"/>
  <c r="Y4513" i="34"/>
  <c r="AB4513" i="34"/>
  <c r="AC4513" i="34"/>
  <c r="AD4513" i="34"/>
  <c r="P4514" i="34"/>
  <c r="T4514" i="34"/>
  <c r="U4514" i="34"/>
  <c r="V4514" i="34"/>
  <c r="W4514" i="34"/>
  <c r="Y4514" i="34"/>
  <c r="AB4514" i="34"/>
  <c r="AC4514" i="34"/>
  <c r="AD4514" i="34"/>
  <c r="P4515" i="34"/>
  <c r="T4515" i="34"/>
  <c r="U4515" i="34"/>
  <c r="V4515" i="34"/>
  <c r="W4515" i="34"/>
  <c r="Y4515" i="34"/>
  <c r="AB4515" i="34"/>
  <c r="AC4515" i="34"/>
  <c r="AD4515" i="34"/>
  <c r="P4519" i="34"/>
  <c r="T4519" i="34"/>
  <c r="U4519" i="34"/>
  <c r="V4519" i="34"/>
  <c r="W4519" i="34"/>
  <c r="Y4519" i="34"/>
  <c r="AB4519" i="34"/>
  <c r="AC4519" i="34"/>
  <c r="AD4519" i="34"/>
  <c r="P4527" i="34"/>
  <c r="T4527" i="34"/>
  <c r="U4527" i="34"/>
  <c r="V4527" i="34"/>
  <c r="W4527" i="34"/>
  <c r="Y4527" i="34"/>
  <c r="AB4527" i="34"/>
  <c r="AC4527" i="34"/>
  <c r="AD4527" i="34"/>
  <c r="P4528" i="34"/>
  <c r="T4528" i="34"/>
  <c r="U4528" i="34"/>
  <c r="V4528" i="34"/>
  <c r="W4528" i="34"/>
  <c r="Y4528" i="34"/>
  <c r="AB4528" i="34"/>
  <c r="AC4528" i="34"/>
  <c r="AD4528" i="34"/>
  <c r="P4529" i="34"/>
  <c r="T4529" i="34"/>
  <c r="U4529" i="34"/>
  <c r="V4529" i="34"/>
  <c r="W4529" i="34"/>
  <c r="Y4529" i="34"/>
  <c r="AB4529" i="34"/>
  <c r="AC4529" i="34"/>
  <c r="AD4529" i="34"/>
  <c r="P4530" i="34"/>
  <c r="T4530" i="34"/>
  <c r="U4530" i="34"/>
  <c r="V4530" i="34"/>
  <c r="W4530" i="34"/>
  <c r="Y4530" i="34"/>
  <c r="AB4530" i="34"/>
  <c r="AC4530" i="34"/>
  <c r="AD4530" i="34"/>
  <c r="P4531" i="34"/>
  <c r="T4531" i="34"/>
  <c r="U4531" i="34"/>
  <c r="V4531" i="34"/>
  <c r="W4531" i="34"/>
  <c r="Y4531" i="34"/>
  <c r="AB4531" i="34"/>
  <c r="AC4531" i="34"/>
  <c r="AD4531" i="34"/>
  <c r="P4532" i="34"/>
  <c r="T4532" i="34"/>
  <c r="U4532" i="34"/>
  <c r="V4532" i="34"/>
  <c r="W4532" i="34"/>
  <c r="Y4532" i="34"/>
  <c r="AB4532" i="34"/>
  <c r="AC4532" i="34"/>
  <c r="AD4532" i="34"/>
  <c r="P4533" i="34"/>
  <c r="T4533" i="34"/>
  <c r="U4533" i="34"/>
  <c r="V4533" i="34"/>
  <c r="W4533" i="34"/>
  <c r="Y4533" i="34"/>
  <c r="AB4533" i="34"/>
  <c r="AC4533" i="34"/>
  <c r="AD4533" i="34"/>
  <c r="P4534" i="34"/>
  <c r="T4534" i="34"/>
  <c r="U4534" i="34"/>
  <c r="V4534" i="34"/>
  <c r="W4534" i="34"/>
  <c r="Y4534" i="34"/>
  <c r="AB4534" i="34"/>
  <c r="AC4534" i="34"/>
  <c r="AD4534" i="34"/>
  <c r="P4541" i="34"/>
  <c r="T4541" i="34"/>
  <c r="U4541" i="34"/>
  <c r="V4541" i="34"/>
  <c r="W4541" i="34"/>
  <c r="Y4541" i="34"/>
  <c r="AB4541" i="34"/>
  <c r="AC4541" i="34"/>
  <c r="AD4541" i="34"/>
  <c r="P4549" i="34"/>
  <c r="T4549" i="34"/>
  <c r="U4549" i="34"/>
  <c r="V4549" i="34"/>
  <c r="W4549" i="34"/>
  <c r="Y4549" i="34"/>
  <c r="AB4549" i="34"/>
  <c r="AC4549" i="34"/>
  <c r="AD4549" i="34"/>
  <c r="P4550" i="34"/>
  <c r="T4550" i="34"/>
  <c r="U4550" i="34"/>
  <c r="V4550" i="34"/>
  <c r="W4550" i="34"/>
  <c r="Y4550" i="34"/>
  <c r="AB4550" i="34"/>
  <c r="AC4550" i="34"/>
  <c r="AD4550" i="34"/>
  <c r="P4551" i="34"/>
  <c r="T4551" i="34"/>
  <c r="U4551" i="34"/>
  <c r="V4551" i="34"/>
  <c r="W4551" i="34"/>
  <c r="Y4551" i="34"/>
  <c r="AB4551" i="34"/>
  <c r="AC4551" i="34"/>
  <c r="AD4551" i="34"/>
  <c r="P4552" i="34"/>
  <c r="T4552" i="34"/>
  <c r="U4552" i="34"/>
  <c r="V4552" i="34"/>
  <c r="W4552" i="34"/>
  <c r="Y4552" i="34"/>
  <c r="AB4552" i="34"/>
  <c r="AC4552" i="34"/>
  <c r="AD4552" i="34"/>
  <c r="P4559" i="34"/>
  <c r="T4559" i="34"/>
  <c r="U4559" i="34"/>
  <c r="V4559" i="34"/>
  <c r="W4559" i="34"/>
  <c r="Y4559" i="34"/>
  <c r="AB4559" i="34"/>
  <c r="AC4559" i="34"/>
  <c r="AD4559" i="34"/>
  <c r="P4560" i="34"/>
  <c r="T4560" i="34"/>
  <c r="U4560" i="34"/>
  <c r="V4560" i="34"/>
  <c r="W4560" i="34"/>
  <c r="Y4560" i="34"/>
  <c r="AB4560" i="34"/>
  <c r="AC4560" i="34"/>
  <c r="AD4560" i="34"/>
  <c r="P4561" i="34"/>
  <c r="T4561" i="34"/>
  <c r="U4561" i="34"/>
  <c r="V4561" i="34"/>
  <c r="W4561" i="34"/>
  <c r="Y4561" i="34"/>
  <c r="AB4561" i="34"/>
  <c r="AC4561" i="34"/>
  <c r="AD4561" i="34"/>
  <c r="P4562" i="34"/>
  <c r="T4562" i="34"/>
  <c r="U4562" i="34"/>
  <c r="V4562" i="34"/>
  <c r="W4562" i="34"/>
  <c r="Y4562" i="34"/>
  <c r="AB4562" i="34"/>
  <c r="AC4562" i="34"/>
  <c r="AD4562" i="34"/>
  <c r="P4563" i="34"/>
  <c r="T4563" i="34"/>
  <c r="U4563" i="34"/>
  <c r="V4563" i="34"/>
  <c r="W4563" i="34"/>
  <c r="Y4563" i="34"/>
  <c r="AB4563" i="34"/>
  <c r="AC4563" i="34"/>
  <c r="AD4563" i="34"/>
  <c r="P4575" i="34"/>
  <c r="T4575" i="34"/>
  <c r="U4575" i="34"/>
  <c r="V4575" i="34"/>
  <c r="W4575" i="34"/>
  <c r="Y4575" i="34"/>
  <c r="AB4575" i="34"/>
  <c r="AC4575" i="34"/>
  <c r="AD4575" i="34"/>
  <c r="P4576" i="34"/>
  <c r="T4576" i="34"/>
  <c r="U4576" i="34"/>
  <c r="V4576" i="34"/>
  <c r="W4576" i="34"/>
  <c r="Y4576" i="34"/>
  <c r="AB4576" i="34"/>
  <c r="AC4576" i="34"/>
  <c r="AD4576" i="34"/>
  <c r="P4577" i="34"/>
  <c r="T4577" i="34"/>
  <c r="U4577" i="34"/>
  <c r="V4577" i="34"/>
  <c r="W4577" i="34"/>
  <c r="Y4577" i="34"/>
  <c r="AB4577" i="34"/>
  <c r="AC4577" i="34"/>
  <c r="AD4577" i="34"/>
  <c r="P4578" i="34"/>
  <c r="T4578" i="34"/>
  <c r="U4578" i="34"/>
  <c r="V4578" i="34"/>
  <c r="W4578" i="34"/>
  <c r="Y4578" i="34"/>
  <c r="AB4578" i="34"/>
  <c r="AC4578" i="34"/>
  <c r="AD4578" i="34"/>
  <c r="P4579" i="34"/>
  <c r="T4579" i="34"/>
  <c r="U4579" i="34"/>
  <c r="V4579" i="34"/>
  <c r="W4579" i="34"/>
  <c r="Y4579" i="34"/>
  <c r="AB4579" i="34"/>
  <c r="AC4579" i="34"/>
  <c r="AD4579" i="34"/>
  <c r="P4600" i="34"/>
  <c r="T4600" i="34"/>
  <c r="U4600" i="34"/>
  <c r="V4600" i="34"/>
  <c r="W4600" i="34"/>
  <c r="Y4600" i="34"/>
  <c r="AB4600" i="34"/>
  <c r="AC4600" i="34"/>
  <c r="AD4600" i="34"/>
  <c r="P4601" i="34"/>
  <c r="T4601" i="34"/>
  <c r="U4601" i="34"/>
  <c r="V4601" i="34"/>
  <c r="W4601" i="34"/>
  <c r="Y4601" i="34"/>
  <c r="AB4601" i="34"/>
  <c r="AC4601" i="34"/>
  <c r="AD4601" i="34"/>
  <c r="P4602" i="34"/>
  <c r="T4602" i="34"/>
  <c r="U4602" i="34"/>
  <c r="V4602" i="34"/>
  <c r="W4602" i="34"/>
  <c r="Y4602" i="34"/>
  <c r="AB4602" i="34"/>
  <c r="AC4602" i="34"/>
  <c r="AD4602" i="34"/>
  <c r="P4603" i="34"/>
  <c r="T4603" i="34"/>
  <c r="U4603" i="34"/>
  <c r="V4603" i="34"/>
  <c r="W4603" i="34"/>
  <c r="Y4603" i="34"/>
  <c r="AB4603" i="34"/>
  <c r="AC4603" i="34"/>
  <c r="AD4603" i="34"/>
  <c r="P4604" i="34"/>
  <c r="T4604" i="34"/>
  <c r="U4604" i="34"/>
  <c r="V4604" i="34"/>
  <c r="W4604" i="34"/>
  <c r="Y4604" i="34"/>
  <c r="AB4604" i="34"/>
  <c r="AC4604" i="34"/>
  <c r="AD4604" i="34"/>
  <c r="P4605" i="34"/>
  <c r="T4605" i="34"/>
  <c r="U4605" i="34"/>
  <c r="V4605" i="34"/>
  <c r="W4605" i="34"/>
  <c r="Y4605" i="34"/>
  <c r="AB4605" i="34"/>
  <c r="AC4605" i="34"/>
  <c r="AD4605" i="34"/>
  <c r="P4606" i="34"/>
  <c r="T4606" i="34"/>
  <c r="U4606" i="34"/>
  <c r="V4606" i="34"/>
  <c r="W4606" i="34"/>
  <c r="Y4606" i="34"/>
  <c r="AB4606" i="34"/>
  <c r="AC4606" i="34"/>
  <c r="AD4606" i="34"/>
  <c r="P4607" i="34"/>
  <c r="T4607" i="34"/>
  <c r="U4607" i="34"/>
  <c r="V4607" i="34"/>
  <c r="W4607" i="34"/>
  <c r="Y4607" i="34"/>
  <c r="AB4607" i="34"/>
  <c r="AC4607" i="34"/>
  <c r="AD4607" i="34"/>
  <c r="P4608" i="34"/>
  <c r="T4608" i="34"/>
  <c r="U4608" i="34"/>
  <c r="V4608" i="34"/>
  <c r="W4608" i="34"/>
  <c r="Y4608" i="34"/>
  <c r="AB4608" i="34"/>
  <c r="AC4608" i="34"/>
  <c r="AD4608" i="34"/>
  <c r="P4595" i="34"/>
  <c r="T4595" i="34"/>
  <c r="U4595" i="34"/>
  <c r="V4595" i="34"/>
  <c r="W4595" i="34"/>
  <c r="Y4595" i="34"/>
  <c r="AB4595" i="34"/>
  <c r="AC4595" i="34"/>
  <c r="AD4595" i="34"/>
  <c r="P4624" i="34"/>
  <c r="T4624" i="34"/>
  <c r="U4624" i="34"/>
  <c r="V4624" i="34"/>
  <c r="W4624" i="34"/>
  <c r="Y4624" i="34"/>
  <c r="AB4624" i="34"/>
  <c r="AC4624" i="34"/>
  <c r="AD4624" i="34"/>
  <c r="P4625" i="34"/>
  <c r="T4625" i="34"/>
  <c r="U4625" i="34"/>
  <c r="V4625" i="34"/>
  <c r="W4625" i="34"/>
  <c r="Y4625" i="34"/>
  <c r="AB4625" i="34"/>
  <c r="AC4625" i="34"/>
  <c r="AD4625" i="34"/>
  <c r="P4609" i="34"/>
  <c r="T4609" i="34"/>
  <c r="U4609" i="34"/>
  <c r="V4609" i="34"/>
  <c r="W4609" i="34"/>
  <c r="Y4609" i="34"/>
  <c r="AB4609" i="34"/>
  <c r="AC4609" i="34"/>
  <c r="AD4609" i="34"/>
  <c r="P4640" i="34"/>
  <c r="T4640" i="34"/>
  <c r="U4640" i="34"/>
  <c r="V4640" i="34"/>
  <c r="W4640" i="34"/>
  <c r="Y4640" i="34"/>
  <c r="AB4640" i="34"/>
  <c r="AC4640" i="34"/>
  <c r="AD4640" i="34"/>
  <c r="P4644" i="34"/>
  <c r="T4644" i="34"/>
  <c r="U4644" i="34"/>
  <c r="V4644" i="34"/>
  <c r="W4644" i="34"/>
  <c r="Y4644" i="34"/>
  <c r="AB4644" i="34"/>
  <c r="AC4644" i="34"/>
  <c r="AD4644" i="34"/>
  <c r="P4645" i="34"/>
  <c r="T4645" i="34"/>
  <c r="U4645" i="34"/>
  <c r="V4645" i="34"/>
  <c r="W4645" i="34"/>
  <c r="Y4645" i="34"/>
  <c r="AB4645" i="34"/>
  <c r="AC4645" i="34"/>
  <c r="AD4645" i="34"/>
  <c r="P4646" i="34"/>
  <c r="T4646" i="34"/>
  <c r="U4646" i="34"/>
  <c r="V4646" i="34"/>
  <c r="W4646" i="34"/>
  <c r="Y4646" i="34"/>
  <c r="AB4646" i="34"/>
  <c r="AC4646" i="34"/>
  <c r="AD4646" i="34"/>
  <c r="P4651" i="34"/>
  <c r="T4651" i="34"/>
  <c r="U4651" i="34"/>
  <c r="V4651" i="34"/>
  <c r="W4651" i="34"/>
  <c r="Y4651" i="34"/>
  <c r="AB4651" i="34"/>
  <c r="AC4651" i="34"/>
  <c r="AD4651" i="34"/>
  <c r="P4652" i="34"/>
  <c r="T4652" i="34"/>
  <c r="U4652" i="34"/>
  <c r="V4652" i="34"/>
  <c r="W4652" i="34"/>
  <c r="Y4652" i="34"/>
  <c r="AB4652" i="34"/>
  <c r="AC4652" i="34"/>
  <c r="AD4652" i="34"/>
  <c r="P4653" i="34"/>
  <c r="T4653" i="34"/>
  <c r="U4653" i="34"/>
  <c r="V4653" i="34"/>
  <c r="W4653" i="34"/>
  <c r="Y4653" i="34"/>
  <c r="AB4653" i="34"/>
  <c r="AC4653" i="34"/>
  <c r="AD4653" i="34"/>
  <c r="P4654" i="34"/>
  <c r="T4654" i="34"/>
  <c r="U4654" i="34"/>
  <c r="V4654" i="34"/>
  <c r="W4654" i="34"/>
  <c r="Y4654" i="34"/>
  <c r="AB4654" i="34"/>
  <c r="AC4654" i="34"/>
  <c r="AD4654" i="34"/>
  <c r="P4655" i="34"/>
  <c r="T4655" i="34"/>
  <c r="U4655" i="34"/>
  <c r="V4655" i="34"/>
  <c r="W4655" i="34"/>
  <c r="Y4655" i="34"/>
  <c r="AB4655" i="34"/>
  <c r="AC4655" i="34"/>
  <c r="AD4655" i="34"/>
  <c r="P4656" i="34"/>
  <c r="T4656" i="34"/>
  <c r="U4656" i="34"/>
  <c r="V4656" i="34"/>
  <c r="W4656" i="34"/>
  <c r="Y4656" i="34"/>
  <c r="AB4656" i="34"/>
  <c r="AC4656" i="34"/>
  <c r="AD4656" i="34"/>
  <c r="P4657" i="34"/>
  <c r="T4657" i="34"/>
  <c r="U4657" i="34"/>
  <c r="V4657" i="34"/>
  <c r="W4657" i="34"/>
  <c r="Y4657" i="34"/>
  <c r="AB4657" i="34"/>
  <c r="AC4657" i="34"/>
  <c r="AD4657" i="34"/>
  <c r="P4662" i="34"/>
  <c r="T4662" i="34"/>
  <c r="U4662" i="34"/>
  <c r="V4662" i="34"/>
  <c r="W4662" i="34"/>
  <c r="Y4662" i="34"/>
  <c r="AB4662" i="34"/>
  <c r="AC4662" i="34"/>
  <c r="AD4662" i="34"/>
  <c r="P4663" i="34"/>
  <c r="T4663" i="34"/>
  <c r="U4663" i="34"/>
  <c r="V4663" i="34"/>
  <c r="W4663" i="34"/>
  <c r="Y4663" i="34"/>
  <c r="AB4663" i="34"/>
  <c r="AC4663" i="34"/>
  <c r="AD4663" i="34"/>
  <c r="P4664" i="34"/>
  <c r="T4664" i="34"/>
  <c r="U4664" i="34"/>
  <c r="V4664" i="34"/>
  <c r="W4664" i="34"/>
  <c r="Y4664" i="34"/>
  <c r="AB4664" i="34"/>
  <c r="AC4664" i="34"/>
  <c r="AD4664" i="34"/>
  <c r="P4665" i="34"/>
  <c r="T4665" i="34"/>
  <c r="U4665" i="34"/>
  <c r="V4665" i="34"/>
  <c r="W4665" i="34"/>
  <c r="Y4665" i="34"/>
  <c r="AB4665" i="34"/>
  <c r="AC4665" i="34"/>
  <c r="AD4665" i="34"/>
  <c r="P4670" i="34"/>
  <c r="T4670" i="34"/>
  <c r="U4670" i="34"/>
  <c r="V4670" i="34"/>
  <c r="W4670" i="34"/>
  <c r="Y4670" i="34"/>
  <c r="AB4670" i="34"/>
  <c r="AC4670" i="34"/>
  <c r="AD4670" i="34"/>
  <c r="P4671" i="34"/>
  <c r="T4671" i="34"/>
  <c r="U4671" i="34"/>
  <c r="V4671" i="34"/>
  <c r="W4671" i="34"/>
  <c r="Y4671" i="34"/>
  <c r="AB4671" i="34"/>
  <c r="AC4671" i="34"/>
  <c r="AD4671" i="34"/>
  <c r="P4672" i="34"/>
  <c r="T4672" i="34"/>
  <c r="U4672" i="34"/>
  <c r="V4672" i="34"/>
  <c r="W4672" i="34"/>
  <c r="Y4672" i="34"/>
  <c r="AB4672" i="34"/>
  <c r="AC4672" i="34"/>
  <c r="AD4672" i="34"/>
  <c r="P4673" i="34"/>
  <c r="T4673" i="34"/>
  <c r="U4673" i="34"/>
  <c r="V4673" i="34"/>
  <c r="W4673" i="34"/>
  <c r="Y4673" i="34"/>
  <c r="AB4673" i="34"/>
  <c r="AC4673" i="34"/>
  <c r="AD4673" i="34"/>
  <c r="P4674" i="34"/>
  <c r="T4674" i="34"/>
  <c r="U4674" i="34"/>
  <c r="V4674" i="34"/>
  <c r="W4674" i="34"/>
  <c r="Y4674" i="34"/>
  <c r="AB4674" i="34"/>
  <c r="AC4674" i="34"/>
  <c r="AD4674" i="34"/>
  <c r="P4675" i="34"/>
  <c r="T4675" i="34"/>
  <c r="U4675" i="34"/>
  <c r="V4675" i="34"/>
  <c r="W4675" i="34"/>
  <c r="Y4675" i="34"/>
  <c r="AB4675" i="34"/>
  <c r="AC4675" i="34"/>
  <c r="AD4675" i="34"/>
  <c r="P4749" i="34"/>
  <c r="T4749" i="34"/>
  <c r="U4749" i="34"/>
  <c r="V4749" i="34"/>
  <c r="W4749" i="34"/>
  <c r="Y4749" i="34"/>
  <c r="AB4749" i="34"/>
  <c r="AC4749" i="34"/>
  <c r="AD4749" i="34"/>
  <c r="P4766" i="34"/>
  <c r="T4766" i="34"/>
  <c r="U4766" i="34"/>
  <c r="V4766" i="34"/>
  <c r="W4766" i="34"/>
  <c r="Y4766" i="34"/>
  <c r="AB4766" i="34"/>
  <c r="AC4766" i="34"/>
  <c r="AD4766" i="34"/>
  <c r="P4681" i="34"/>
  <c r="T4681" i="34"/>
  <c r="U4681" i="34"/>
  <c r="V4681" i="34"/>
  <c r="W4681" i="34"/>
  <c r="Y4681" i="34"/>
  <c r="AB4681" i="34"/>
  <c r="AC4681" i="34"/>
  <c r="AD4681" i="34"/>
  <c r="P4685" i="34"/>
  <c r="T4685" i="34"/>
  <c r="U4685" i="34"/>
  <c r="V4685" i="34"/>
  <c r="W4685" i="34"/>
  <c r="Y4685" i="34"/>
  <c r="AB4685" i="34"/>
  <c r="AC4685" i="34"/>
  <c r="AD4685" i="34"/>
  <c r="P4691" i="34"/>
  <c r="T4691" i="34"/>
  <c r="U4691" i="34"/>
  <c r="V4691" i="34"/>
  <c r="W4691" i="34"/>
  <c r="Y4691" i="34"/>
  <c r="AB4691" i="34"/>
  <c r="AC4691" i="34"/>
  <c r="AD4691" i="34"/>
  <c r="P4697" i="34"/>
  <c r="T4697" i="34"/>
  <c r="U4697" i="34"/>
  <c r="V4697" i="34"/>
  <c r="W4697" i="34"/>
  <c r="Y4697" i="34"/>
  <c r="AB4697" i="34"/>
  <c r="AC4697" i="34"/>
  <c r="AD4697" i="34"/>
  <c r="P4698" i="34"/>
  <c r="T4698" i="34"/>
  <c r="U4698" i="34"/>
  <c r="V4698" i="34"/>
  <c r="W4698" i="34"/>
  <c r="Y4698" i="34"/>
  <c r="AB4698" i="34"/>
  <c r="AC4698" i="34"/>
  <c r="AD4698" i="34"/>
  <c r="P4699" i="34"/>
  <c r="T4699" i="34"/>
  <c r="U4699" i="34"/>
  <c r="V4699" i="34"/>
  <c r="W4699" i="34"/>
  <c r="Y4699" i="34"/>
  <c r="AB4699" i="34"/>
  <c r="AC4699" i="34"/>
  <c r="AD4699" i="34"/>
  <c r="P4700" i="34"/>
  <c r="T4700" i="34"/>
  <c r="U4700" i="34"/>
  <c r="V4700" i="34"/>
  <c r="W4700" i="34"/>
  <c r="Y4700" i="34"/>
  <c r="AB4700" i="34"/>
  <c r="AC4700" i="34"/>
  <c r="AD4700" i="34"/>
  <c r="P4701" i="34"/>
  <c r="T4701" i="34"/>
  <c r="U4701" i="34"/>
  <c r="V4701" i="34"/>
  <c r="W4701" i="34"/>
  <c r="Y4701" i="34"/>
  <c r="AB4701" i="34"/>
  <c r="AC4701" i="34"/>
  <c r="AD4701" i="34"/>
  <c r="P4702" i="34"/>
  <c r="T4702" i="34"/>
  <c r="U4702" i="34"/>
  <c r="V4702" i="34"/>
  <c r="W4702" i="34"/>
  <c r="Y4702" i="34"/>
  <c r="AB4702" i="34"/>
  <c r="AC4702" i="34"/>
  <c r="AD4702" i="34"/>
  <c r="P4703" i="34"/>
  <c r="T4703" i="34"/>
  <c r="U4703" i="34"/>
  <c r="V4703" i="34"/>
  <c r="W4703" i="34"/>
  <c r="Y4703" i="34"/>
  <c r="AB4703" i="34"/>
  <c r="AC4703" i="34"/>
  <c r="AD4703" i="34"/>
  <c r="P4704" i="34"/>
  <c r="T4704" i="34"/>
  <c r="U4704" i="34"/>
  <c r="V4704" i="34"/>
  <c r="W4704" i="34"/>
  <c r="Y4704" i="34"/>
  <c r="AB4704" i="34"/>
  <c r="AC4704" i="34"/>
  <c r="AD4704" i="34"/>
  <c r="P4705" i="34"/>
  <c r="T4705" i="34"/>
  <c r="U4705" i="34"/>
  <c r="V4705" i="34"/>
  <c r="W4705" i="34"/>
  <c r="Y4705" i="34"/>
  <c r="AB4705" i="34"/>
  <c r="AC4705" i="34"/>
  <c r="AD4705" i="34"/>
  <c r="P4706" i="34"/>
  <c r="T4706" i="34"/>
  <c r="U4706" i="34"/>
  <c r="V4706" i="34"/>
  <c r="W4706" i="34"/>
  <c r="Y4706" i="34"/>
  <c r="AB4706" i="34"/>
  <c r="AC4706" i="34"/>
  <c r="AD4706" i="34"/>
  <c r="P4707" i="34"/>
  <c r="T4707" i="34"/>
  <c r="U4707" i="34"/>
  <c r="V4707" i="34"/>
  <c r="W4707" i="34"/>
  <c r="Y4707" i="34"/>
  <c r="AB4707" i="34"/>
  <c r="AC4707" i="34"/>
  <c r="AD4707" i="34"/>
  <c r="P4708" i="34"/>
  <c r="T4708" i="34"/>
  <c r="U4708" i="34"/>
  <c r="V4708" i="34"/>
  <c r="W4708" i="34"/>
  <c r="Y4708" i="34"/>
  <c r="AB4708" i="34"/>
  <c r="AC4708" i="34"/>
  <c r="AD4708" i="34"/>
  <c r="P4709" i="34"/>
  <c r="T4709" i="34"/>
  <c r="U4709" i="34"/>
  <c r="V4709" i="34"/>
  <c r="W4709" i="34"/>
  <c r="Y4709" i="34"/>
  <c r="AB4709" i="34"/>
  <c r="AC4709" i="34"/>
  <c r="AD4709" i="34"/>
  <c r="P4696" i="34"/>
  <c r="T4696" i="34"/>
  <c r="U4696" i="34"/>
  <c r="V4696" i="34"/>
  <c r="W4696" i="34"/>
  <c r="Y4696" i="34"/>
  <c r="AB4696" i="34"/>
  <c r="AC4696" i="34"/>
  <c r="AD4696" i="34"/>
  <c r="P4717" i="34"/>
  <c r="T4717" i="34"/>
  <c r="U4717" i="34"/>
  <c r="V4717" i="34"/>
  <c r="W4717" i="34"/>
  <c r="Y4717" i="34"/>
  <c r="AB4717" i="34"/>
  <c r="AC4717" i="34"/>
  <c r="AD4717" i="34"/>
  <c r="P4718" i="34"/>
  <c r="T4718" i="34"/>
  <c r="U4718" i="34"/>
  <c r="V4718" i="34"/>
  <c r="W4718" i="34"/>
  <c r="Y4718" i="34"/>
  <c r="AB4718" i="34"/>
  <c r="AC4718" i="34"/>
  <c r="AD4718" i="34"/>
  <c r="P4719" i="34"/>
  <c r="T4719" i="34"/>
  <c r="U4719" i="34"/>
  <c r="V4719" i="34"/>
  <c r="W4719" i="34"/>
  <c r="Y4719" i="34"/>
  <c r="AB4719" i="34"/>
  <c r="AC4719" i="34"/>
  <c r="AD4719" i="34"/>
  <c r="P4710" i="34"/>
  <c r="T4710" i="34"/>
  <c r="U4710" i="34"/>
  <c r="V4710" i="34"/>
  <c r="W4710" i="34"/>
  <c r="Y4710" i="34"/>
  <c r="AB4710" i="34"/>
  <c r="AC4710" i="34"/>
  <c r="AD4710" i="34"/>
  <c r="P4747" i="34"/>
  <c r="T4747" i="34"/>
  <c r="U4747" i="34"/>
  <c r="V4747" i="34"/>
  <c r="W4747" i="34"/>
  <c r="Y4747" i="34"/>
  <c r="AB4747" i="34"/>
  <c r="AC4747" i="34"/>
  <c r="AD4747" i="34"/>
  <c r="P4748" i="34"/>
  <c r="T4748" i="34"/>
  <c r="U4748" i="34"/>
  <c r="V4748" i="34"/>
  <c r="W4748" i="34"/>
  <c r="Y4748" i="34"/>
  <c r="AB4748" i="34"/>
  <c r="AC4748" i="34"/>
  <c r="AD4748" i="34"/>
  <c r="P4754" i="34"/>
  <c r="T4754" i="34"/>
  <c r="U4754" i="34"/>
  <c r="V4754" i="34"/>
  <c r="W4754" i="34"/>
  <c r="Y4754" i="34"/>
  <c r="AB4754" i="34"/>
  <c r="AC4754" i="34"/>
  <c r="AD4754" i="34"/>
  <c r="P4755" i="34"/>
  <c r="T4755" i="34"/>
  <c r="U4755" i="34"/>
  <c r="V4755" i="34"/>
  <c r="W4755" i="34"/>
  <c r="Y4755" i="34"/>
  <c r="AB4755" i="34"/>
  <c r="AC4755" i="34"/>
  <c r="AD4755" i="34"/>
  <c r="P4756" i="34"/>
  <c r="T4756" i="34"/>
  <c r="U4756" i="34"/>
  <c r="V4756" i="34"/>
  <c r="W4756" i="34"/>
  <c r="Y4756" i="34"/>
  <c r="AB4756" i="34"/>
  <c r="AC4756" i="34"/>
  <c r="AD4756" i="34"/>
  <c r="P4757" i="34"/>
  <c r="T4757" i="34"/>
  <c r="U4757" i="34"/>
  <c r="V4757" i="34"/>
  <c r="W4757" i="34"/>
  <c r="Y4757" i="34"/>
  <c r="AB4757" i="34"/>
  <c r="AC4757" i="34"/>
  <c r="AD4757" i="34"/>
  <c r="P4758" i="34"/>
  <c r="T4758" i="34"/>
  <c r="U4758" i="34"/>
  <c r="V4758" i="34"/>
  <c r="W4758" i="34"/>
  <c r="Y4758" i="34"/>
  <c r="AB4758" i="34"/>
  <c r="AC4758" i="34"/>
  <c r="AD4758" i="34"/>
  <c r="P4759" i="34"/>
  <c r="T4759" i="34"/>
  <c r="U4759" i="34"/>
  <c r="V4759" i="34"/>
  <c r="W4759" i="34"/>
  <c r="Y4759" i="34"/>
  <c r="AB4759" i="34"/>
  <c r="AC4759" i="34"/>
  <c r="AD4759" i="34"/>
  <c r="P4760" i="34"/>
  <c r="T4760" i="34"/>
  <c r="U4760" i="34"/>
  <c r="V4760" i="34"/>
  <c r="W4760" i="34"/>
  <c r="Y4760" i="34"/>
  <c r="AB4760" i="34"/>
  <c r="AC4760" i="34"/>
  <c r="AD4760" i="34"/>
  <c r="P4787" i="34"/>
  <c r="T4787" i="34"/>
  <c r="U4787" i="34"/>
  <c r="V4787" i="34"/>
  <c r="W4787" i="34"/>
  <c r="Y4787" i="34"/>
  <c r="AB4787" i="34"/>
  <c r="AC4787" i="34"/>
  <c r="AD4787" i="34"/>
  <c r="P4788" i="34"/>
  <c r="T4788" i="34"/>
  <c r="U4788" i="34"/>
  <c r="V4788" i="34"/>
  <c r="W4788" i="34"/>
  <c r="Y4788" i="34"/>
  <c r="AB4788" i="34"/>
  <c r="AC4788" i="34"/>
  <c r="AD4788" i="34"/>
  <c r="P4789" i="34"/>
  <c r="T4789" i="34"/>
  <c r="U4789" i="34"/>
  <c r="V4789" i="34"/>
  <c r="W4789" i="34"/>
  <c r="Y4789" i="34"/>
  <c r="AB4789" i="34"/>
  <c r="AC4789" i="34"/>
  <c r="AD4789" i="34"/>
  <c r="P4790" i="34"/>
  <c r="T4790" i="34"/>
  <c r="U4790" i="34"/>
  <c r="V4790" i="34"/>
  <c r="W4790" i="34"/>
  <c r="Y4790" i="34"/>
  <c r="AB4790" i="34"/>
  <c r="AC4790" i="34"/>
  <c r="AD4790" i="34"/>
  <c r="P4791" i="34"/>
  <c r="T4791" i="34"/>
  <c r="U4791" i="34"/>
  <c r="V4791" i="34"/>
  <c r="W4791" i="34"/>
  <c r="Y4791" i="34"/>
  <c r="AB4791" i="34"/>
  <c r="AC4791" i="34"/>
  <c r="AD4791" i="34"/>
  <c r="P4792" i="34"/>
  <c r="T4792" i="34"/>
  <c r="U4792" i="34"/>
  <c r="V4792" i="34"/>
  <c r="W4792" i="34"/>
  <c r="Y4792" i="34"/>
  <c r="AB4792" i="34"/>
  <c r="AC4792" i="34"/>
  <c r="AD4792" i="34"/>
  <c r="P4793" i="34"/>
  <c r="T4793" i="34"/>
  <c r="U4793" i="34"/>
  <c r="V4793" i="34"/>
  <c r="W4793" i="34"/>
  <c r="Y4793" i="34"/>
  <c r="AB4793" i="34"/>
  <c r="AC4793" i="34"/>
  <c r="AD4793" i="34"/>
  <c r="P4811" i="34"/>
  <c r="T4811" i="34"/>
  <c r="U4811" i="34"/>
  <c r="V4811" i="34"/>
  <c r="W4811" i="34"/>
  <c r="Y4811" i="34"/>
  <c r="AB4811" i="34"/>
  <c r="AC4811" i="34"/>
  <c r="AD4811" i="34"/>
  <c r="P4822" i="34"/>
  <c r="T4822" i="34"/>
  <c r="U4822" i="34"/>
  <c r="V4822" i="34"/>
  <c r="W4822" i="34"/>
  <c r="Y4822" i="34"/>
  <c r="AB4822" i="34"/>
  <c r="AC4822" i="34"/>
  <c r="AD4822" i="34"/>
  <c r="P4838" i="34"/>
  <c r="T4838" i="34"/>
  <c r="U4838" i="34"/>
  <c r="V4838" i="34"/>
  <c r="W4838" i="34"/>
  <c r="Y4838" i="34"/>
  <c r="AB4838" i="34"/>
  <c r="AC4838" i="34"/>
  <c r="AD4838" i="34"/>
  <c r="P4828" i="34"/>
  <c r="T4828" i="34"/>
  <c r="U4828" i="34"/>
  <c r="V4828" i="34"/>
  <c r="W4828" i="34"/>
  <c r="Y4828" i="34"/>
  <c r="AB4828" i="34"/>
  <c r="AC4828" i="34"/>
  <c r="AD4828" i="34"/>
  <c r="P4829" i="34"/>
  <c r="T4829" i="34"/>
  <c r="U4829" i="34"/>
  <c r="V4829" i="34"/>
  <c r="W4829" i="34"/>
  <c r="Y4829" i="34"/>
  <c r="AB4829" i="34"/>
  <c r="AC4829" i="34"/>
  <c r="AD4829" i="34"/>
  <c r="P4830" i="34"/>
  <c r="T4830" i="34"/>
  <c r="U4830" i="34"/>
  <c r="V4830" i="34"/>
  <c r="W4830" i="34"/>
  <c r="Y4830" i="34"/>
  <c r="AB4830" i="34"/>
  <c r="AC4830" i="34"/>
  <c r="AD4830" i="34"/>
  <c r="P4831" i="34"/>
  <c r="T4831" i="34"/>
  <c r="U4831" i="34"/>
  <c r="V4831" i="34"/>
  <c r="W4831" i="34"/>
  <c r="Y4831" i="34"/>
  <c r="AB4831" i="34"/>
  <c r="AC4831" i="34"/>
  <c r="AD4831" i="34"/>
  <c r="P4842" i="34"/>
  <c r="T4842" i="34"/>
  <c r="U4842" i="34"/>
  <c r="V4842" i="34"/>
  <c r="W4842" i="34"/>
  <c r="Y4842" i="34"/>
  <c r="AB4842" i="34"/>
  <c r="AC4842" i="34"/>
  <c r="AD4842" i="34"/>
  <c r="P4897" i="34"/>
  <c r="T4897" i="34"/>
  <c r="U4897" i="34"/>
  <c r="V4897" i="34"/>
  <c r="W4897" i="34"/>
  <c r="Y4897" i="34"/>
  <c r="AB4897" i="34"/>
  <c r="AC4897" i="34"/>
  <c r="AD4897" i="34"/>
  <c r="P4898" i="34"/>
  <c r="T4898" i="34"/>
  <c r="U4898" i="34"/>
  <c r="V4898" i="34"/>
  <c r="W4898" i="34"/>
  <c r="Y4898" i="34"/>
  <c r="AB4898" i="34"/>
  <c r="AC4898" i="34"/>
  <c r="AD4898" i="34"/>
  <c r="P4899" i="34"/>
  <c r="T4899" i="34"/>
  <c r="U4899" i="34"/>
  <c r="V4899" i="34"/>
  <c r="W4899" i="34"/>
  <c r="Y4899" i="34"/>
  <c r="AB4899" i="34"/>
  <c r="AC4899" i="34"/>
  <c r="AD4899" i="34"/>
  <c r="P4921" i="34"/>
  <c r="T4921" i="34"/>
  <c r="U4921" i="34"/>
  <c r="V4921" i="34"/>
  <c r="W4921" i="34"/>
  <c r="Y4921" i="34"/>
  <c r="AB4921" i="34"/>
  <c r="AC4921" i="34"/>
  <c r="AD4921" i="34"/>
  <c r="P4922" i="34"/>
  <c r="T4922" i="34"/>
  <c r="U4922" i="34"/>
  <c r="V4922" i="34"/>
  <c r="W4922" i="34"/>
  <c r="Y4922" i="34"/>
  <c r="AB4922" i="34"/>
  <c r="AC4922" i="34"/>
  <c r="AD4922" i="34"/>
  <c r="P4923" i="34"/>
  <c r="T4923" i="34"/>
  <c r="U4923" i="34"/>
  <c r="V4923" i="34"/>
  <c r="W4923" i="34"/>
  <c r="Y4923" i="34"/>
  <c r="AB4923" i="34"/>
  <c r="AC4923" i="34"/>
  <c r="AD4923" i="34"/>
  <c r="P4924" i="34"/>
  <c r="T4924" i="34"/>
  <c r="U4924" i="34"/>
  <c r="V4924" i="34"/>
  <c r="W4924" i="34"/>
  <c r="Y4924" i="34"/>
  <c r="AB4924" i="34"/>
  <c r="AC4924" i="34"/>
  <c r="AD4924" i="34"/>
  <c r="P4925" i="34"/>
  <c r="T4925" i="34"/>
  <c r="U4925" i="34"/>
  <c r="V4925" i="34"/>
  <c r="W4925" i="34"/>
  <c r="Y4925" i="34"/>
  <c r="AB4925" i="34"/>
  <c r="AC4925" i="34"/>
  <c r="AD4925" i="34"/>
  <c r="P4926" i="34"/>
  <c r="T4926" i="34"/>
  <c r="U4926" i="34"/>
  <c r="V4926" i="34"/>
  <c r="W4926" i="34"/>
  <c r="Y4926" i="34"/>
  <c r="AB4926" i="34"/>
  <c r="AC4926" i="34"/>
  <c r="AD4926" i="34"/>
  <c r="P4927" i="34"/>
  <c r="T4927" i="34"/>
  <c r="U4927" i="34"/>
  <c r="V4927" i="34"/>
  <c r="W4927" i="34"/>
  <c r="Y4927" i="34"/>
  <c r="AB4927" i="34"/>
  <c r="AC4927" i="34"/>
  <c r="AD4927" i="34"/>
  <c r="P4928" i="34"/>
  <c r="T4928" i="34"/>
  <c r="U4928" i="34"/>
  <c r="V4928" i="34"/>
  <c r="W4928" i="34"/>
  <c r="Y4928" i="34"/>
  <c r="AB4928" i="34"/>
  <c r="AC4928" i="34"/>
  <c r="AD4928" i="34"/>
  <c r="P4940" i="34"/>
  <c r="T4940" i="34"/>
  <c r="U4940" i="34"/>
  <c r="V4940" i="34"/>
  <c r="W4940" i="34"/>
  <c r="Y4940" i="34"/>
  <c r="AB4940" i="34"/>
  <c r="AC4940" i="34"/>
  <c r="AD4940" i="34"/>
  <c r="P4941" i="34"/>
  <c r="T4941" i="34"/>
  <c r="U4941" i="34"/>
  <c r="V4941" i="34"/>
  <c r="W4941" i="34"/>
  <c r="Y4941" i="34"/>
  <c r="AB4941" i="34"/>
  <c r="AC4941" i="34"/>
  <c r="AD4941" i="34"/>
  <c r="P4945" i="34"/>
  <c r="T4945" i="34"/>
  <c r="U4945" i="34"/>
  <c r="V4945" i="34"/>
  <c r="W4945" i="34"/>
  <c r="Y4945" i="34"/>
  <c r="AB4945" i="34"/>
  <c r="AC4945" i="34"/>
  <c r="AD4945" i="34"/>
  <c r="P4946" i="34"/>
  <c r="T4946" i="34"/>
  <c r="U4946" i="34"/>
  <c r="V4946" i="34"/>
  <c r="W4946" i="34"/>
  <c r="Y4946" i="34"/>
  <c r="AB4946" i="34"/>
  <c r="AC4946" i="34"/>
  <c r="AD4946" i="34"/>
  <c r="P4947" i="34"/>
  <c r="T4947" i="34"/>
  <c r="U4947" i="34"/>
  <c r="V4947" i="34"/>
  <c r="W4947" i="34"/>
  <c r="Y4947" i="34"/>
  <c r="AB4947" i="34"/>
  <c r="AC4947" i="34"/>
  <c r="AD4947" i="34"/>
  <c r="P4958" i="34"/>
  <c r="T4958" i="34"/>
  <c r="U4958" i="34"/>
  <c r="V4958" i="34"/>
  <c r="W4958" i="34"/>
  <c r="Y4958" i="34"/>
  <c r="AB4958" i="34"/>
  <c r="AC4958" i="34"/>
  <c r="AD4958" i="34"/>
  <c r="P4959" i="34"/>
  <c r="T4959" i="34"/>
  <c r="U4959" i="34"/>
  <c r="V4959" i="34"/>
  <c r="W4959" i="34"/>
  <c r="Y4959" i="34"/>
  <c r="AB4959" i="34"/>
  <c r="AC4959" i="34"/>
  <c r="AD4959" i="34"/>
  <c r="P4972" i="34"/>
  <c r="T4972" i="34"/>
  <c r="U4972" i="34"/>
  <c r="V4972" i="34"/>
  <c r="W4972" i="34"/>
  <c r="Y4972" i="34"/>
  <c r="AB4972" i="34"/>
  <c r="AC4972" i="34"/>
  <c r="AD4972" i="34"/>
  <c r="P4973" i="34"/>
  <c r="T4973" i="34"/>
  <c r="U4973" i="34"/>
  <c r="V4973" i="34"/>
  <c r="W4973" i="34"/>
  <c r="Y4973" i="34"/>
  <c r="AB4973" i="34"/>
  <c r="AC4973" i="34"/>
  <c r="AD4973" i="34"/>
  <c r="P4974" i="34"/>
  <c r="T4974" i="34"/>
  <c r="U4974" i="34"/>
  <c r="V4974" i="34"/>
  <c r="W4974" i="34"/>
  <c r="Y4974" i="34"/>
  <c r="AB4974" i="34"/>
  <c r="AC4974" i="34"/>
  <c r="AD4974" i="34"/>
  <c r="P4975" i="34"/>
  <c r="T4975" i="34"/>
  <c r="U4975" i="34"/>
  <c r="V4975" i="34"/>
  <c r="W4975" i="34"/>
  <c r="Y4975" i="34"/>
  <c r="AB4975" i="34"/>
  <c r="AC4975" i="34"/>
  <c r="AD4975" i="34"/>
  <c r="P4976" i="34"/>
  <c r="T4976" i="34"/>
  <c r="U4976" i="34"/>
  <c r="V4976" i="34"/>
  <c r="W4976" i="34"/>
  <c r="Y4976" i="34"/>
  <c r="AB4976" i="34"/>
  <c r="AC4976" i="34"/>
  <c r="AD4976" i="34"/>
  <c r="P4977" i="34"/>
  <c r="T4977" i="34"/>
  <c r="U4977" i="34"/>
  <c r="V4977" i="34"/>
  <c r="W4977" i="34"/>
  <c r="Y4977" i="34"/>
  <c r="AB4977" i="34"/>
  <c r="AC4977" i="34"/>
  <c r="AD4977" i="34"/>
  <c r="P4986" i="34"/>
  <c r="T4986" i="34"/>
  <c r="U4986" i="34"/>
  <c r="V4986" i="34"/>
  <c r="W4986" i="34"/>
  <c r="Y4986" i="34"/>
  <c r="AB4986" i="34"/>
  <c r="AC4986" i="34"/>
  <c r="AD4986" i="34"/>
  <c r="P4987" i="34"/>
  <c r="T4987" i="34"/>
  <c r="U4987" i="34"/>
  <c r="V4987" i="34"/>
  <c r="W4987" i="34"/>
  <c r="Y4987" i="34"/>
  <c r="AB4987" i="34"/>
  <c r="AC4987" i="34"/>
  <c r="AD4987" i="34"/>
  <c r="P4988" i="34"/>
  <c r="T4988" i="34"/>
  <c r="U4988" i="34"/>
  <c r="V4988" i="34"/>
  <c r="W4988" i="34"/>
  <c r="Y4988" i="34"/>
  <c r="AB4988" i="34"/>
  <c r="AC4988" i="34"/>
  <c r="AD4988" i="34"/>
  <c r="P5045" i="34"/>
  <c r="T5045" i="34"/>
  <c r="U5045" i="34"/>
  <c r="V5045" i="34"/>
  <c r="W5045" i="34"/>
  <c r="Y5045" i="34"/>
  <c r="AB5045" i="34"/>
  <c r="AC5045" i="34"/>
  <c r="AD5045" i="34"/>
  <c r="P5046" i="34"/>
  <c r="T5046" i="34"/>
  <c r="U5046" i="34"/>
  <c r="V5046" i="34"/>
  <c r="W5046" i="34"/>
  <c r="Y5046" i="34"/>
  <c r="AB5046" i="34"/>
  <c r="AC5046" i="34"/>
  <c r="AD5046" i="34"/>
  <c r="P5047" i="34"/>
  <c r="T5047" i="34"/>
  <c r="U5047" i="34"/>
  <c r="V5047" i="34"/>
  <c r="W5047" i="34"/>
  <c r="Y5047" i="34"/>
  <c r="AB5047" i="34"/>
  <c r="AC5047" i="34"/>
  <c r="AD5047" i="34"/>
  <c r="P5056" i="34"/>
  <c r="T5056" i="34"/>
  <c r="U5056" i="34"/>
  <c r="V5056" i="34"/>
  <c r="W5056" i="34"/>
  <c r="Y5056" i="34"/>
  <c r="AB5056" i="34"/>
  <c r="AC5056" i="34"/>
  <c r="AD5056" i="34"/>
  <c r="P5057" i="34"/>
  <c r="T5057" i="34"/>
  <c r="U5057" i="34"/>
  <c r="V5057" i="34"/>
  <c r="W5057" i="34"/>
  <c r="Y5057" i="34"/>
  <c r="AB5057" i="34"/>
  <c r="AC5057" i="34"/>
  <c r="AD5057" i="34"/>
  <c r="P5058" i="34"/>
  <c r="T5058" i="34"/>
  <c r="U5058" i="34"/>
  <c r="V5058" i="34"/>
  <c r="W5058" i="34"/>
  <c r="Y5058" i="34"/>
  <c r="AB5058" i="34"/>
  <c r="AC5058" i="34"/>
  <c r="AD5058" i="34"/>
  <c r="P5059" i="34"/>
  <c r="T5059" i="34"/>
  <c r="U5059" i="34"/>
  <c r="V5059" i="34"/>
  <c r="W5059" i="34"/>
  <c r="Y5059" i="34"/>
  <c r="AB5059" i="34"/>
  <c r="AC5059" i="34"/>
  <c r="AD5059" i="34"/>
  <c r="P5060" i="34"/>
  <c r="T5060" i="34"/>
  <c r="U5060" i="34"/>
  <c r="V5060" i="34"/>
  <c r="W5060" i="34"/>
  <c r="Y5060" i="34"/>
  <c r="AB5060" i="34"/>
  <c r="AC5060" i="34"/>
  <c r="AD5060" i="34"/>
  <c r="P5061" i="34"/>
  <c r="T5061" i="34"/>
  <c r="U5061" i="34"/>
  <c r="V5061" i="34"/>
  <c r="W5061" i="34"/>
  <c r="Y5061" i="34"/>
  <c r="AB5061" i="34"/>
  <c r="AC5061" i="34"/>
  <c r="AD5061" i="34"/>
  <c r="P5062" i="34"/>
  <c r="T5062" i="34"/>
  <c r="U5062" i="34"/>
  <c r="V5062" i="34"/>
  <c r="W5062" i="34"/>
  <c r="Y5062" i="34"/>
  <c r="AB5062" i="34"/>
  <c r="AC5062" i="34"/>
  <c r="AD5062" i="34"/>
  <c r="P5063" i="34"/>
  <c r="T5063" i="34"/>
  <c r="U5063" i="34"/>
  <c r="V5063" i="34"/>
  <c r="W5063" i="34"/>
  <c r="Y5063" i="34"/>
  <c r="AB5063" i="34"/>
  <c r="AC5063" i="34"/>
  <c r="AD5063" i="34"/>
  <c r="P5064" i="34"/>
  <c r="T5064" i="34"/>
  <c r="U5064" i="34"/>
  <c r="V5064" i="34"/>
  <c r="W5064" i="34"/>
  <c r="Y5064" i="34"/>
  <c r="AB5064" i="34"/>
  <c r="AC5064" i="34"/>
  <c r="AD5064" i="34"/>
  <c r="P5065" i="34"/>
  <c r="T5065" i="34"/>
  <c r="U5065" i="34"/>
  <c r="V5065" i="34"/>
  <c r="W5065" i="34"/>
  <c r="Y5065" i="34"/>
  <c r="AB5065" i="34"/>
  <c r="AC5065" i="34"/>
  <c r="AD5065" i="34"/>
  <c r="P5066" i="34"/>
  <c r="T5066" i="34"/>
  <c r="U5066" i="34"/>
  <c r="V5066" i="34"/>
  <c r="W5066" i="34"/>
  <c r="Y5066" i="34"/>
  <c r="AB5066" i="34"/>
  <c r="AC5066" i="34"/>
  <c r="AD5066" i="34"/>
  <c r="P5067" i="34"/>
  <c r="T5067" i="34"/>
  <c r="U5067" i="34"/>
  <c r="V5067" i="34"/>
  <c r="W5067" i="34"/>
  <c r="Y5067" i="34"/>
  <c r="AB5067" i="34"/>
  <c r="AC5067" i="34"/>
  <c r="AD5067" i="34"/>
  <c r="P5071" i="34"/>
  <c r="T5071" i="34"/>
  <c r="U5071" i="34"/>
  <c r="V5071" i="34"/>
  <c r="W5071" i="34"/>
  <c r="Y5071" i="34"/>
  <c r="AB5071" i="34"/>
  <c r="AC5071" i="34"/>
  <c r="AD5071" i="34"/>
  <c r="P5072" i="34"/>
  <c r="T5072" i="34"/>
  <c r="U5072" i="34"/>
  <c r="V5072" i="34"/>
  <c r="W5072" i="34"/>
  <c r="Y5072" i="34"/>
  <c r="AB5072" i="34"/>
  <c r="AC5072" i="34"/>
  <c r="AD5072" i="34"/>
  <c r="P5073" i="34"/>
  <c r="T5073" i="34"/>
  <c r="U5073" i="34"/>
  <c r="V5073" i="34"/>
  <c r="W5073" i="34"/>
  <c r="Y5073" i="34"/>
  <c r="AB5073" i="34"/>
  <c r="AC5073" i="34"/>
  <c r="AD5073" i="34"/>
  <c r="P5074" i="34"/>
  <c r="T5074" i="34"/>
  <c r="U5074" i="34"/>
  <c r="V5074" i="34"/>
  <c r="W5074" i="34"/>
  <c r="Y5074" i="34"/>
  <c r="AB5074" i="34"/>
  <c r="AC5074" i="34"/>
  <c r="AD5074" i="34"/>
  <c r="P5075" i="34"/>
  <c r="T5075" i="34"/>
  <c r="U5075" i="34"/>
  <c r="V5075" i="34"/>
  <c r="W5075" i="34"/>
  <c r="Y5075" i="34"/>
  <c r="AB5075" i="34"/>
  <c r="AC5075" i="34"/>
  <c r="AD5075" i="34"/>
  <c r="P5076" i="34"/>
  <c r="T5076" i="34"/>
  <c r="U5076" i="34"/>
  <c r="V5076" i="34"/>
  <c r="W5076" i="34"/>
  <c r="Y5076" i="34"/>
  <c r="AB5076" i="34"/>
  <c r="AC5076" i="34"/>
  <c r="AD5076" i="34"/>
  <c r="P5077" i="34"/>
  <c r="T5077" i="34"/>
  <c r="U5077" i="34"/>
  <c r="V5077" i="34"/>
  <c r="W5077" i="34"/>
  <c r="Y5077" i="34"/>
  <c r="AB5077" i="34"/>
  <c r="AC5077" i="34"/>
  <c r="AD5077" i="34"/>
  <c r="P5078" i="34"/>
  <c r="T5078" i="34"/>
  <c r="U5078" i="34"/>
  <c r="V5078" i="34"/>
  <c r="W5078" i="34"/>
  <c r="Y5078" i="34"/>
  <c r="AB5078" i="34"/>
  <c r="AC5078" i="34"/>
  <c r="AD5078" i="34"/>
  <c r="P5079" i="34"/>
  <c r="T5079" i="34"/>
  <c r="U5079" i="34"/>
  <c r="V5079" i="34"/>
  <c r="W5079" i="34"/>
  <c r="Y5079" i="34"/>
  <c r="AB5079" i="34"/>
  <c r="AC5079" i="34"/>
  <c r="AD5079" i="34"/>
  <c r="P5082" i="34"/>
  <c r="T5082" i="34"/>
  <c r="U5082" i="34"/>
  <c r="V5082" i="34"/>
  <c r="W5082" i="34"/>
  <c r="Y5082" i="34"/>
  <c r="AB5082" i="34"/>
  <c r="AC5082" i="34"/>
  <c r="AD5082" i="34"/>
  <c r="P5115" i="34"/>
  <c r="T5115" i="34"/>
  <c r="U5115" i="34"/>
  <c r="V5115" i="34"/>
  <c r="W5115" i="34"/>
  <c r="Y5115" i="34"/>
  <c r="AB5115" i="34"/>
  <c r="AC5115" i="34"/>
  <c r="AD5115" i="34"/>
  <c r="P5121" i="34"/>
  <c r="T5121" i="34"/>
  <c r="U5121" i="34"/>
  <c r="V5121" i="34"/>
  <c r="W5121" i="34"/>
  <c r="Y5121" i="34"/>
  <c r="AB5121" i="34"/>
  <c r="AC5121" i="34"/>
  <c r="AD5121" i="34"/>
  <c r="P5122" i="34"/>
  <c r="T5122" i="34"/>
  <c r="U5122" i="34"/>
  <c r="V5122" i="34"/>
  <c r="W5122" i="34"/>
  <c r="Y5122" i="34"/>
  <c r="AB5122" i="34"/>
  <c r="AC5122" i="34"/>
  <c r="AD5122" i="34"/>
  <c r="P5123" i="34"/>
  <c r="T5123" i="34"/>
  <c r="U5123" i="34"/>
  <c r="V5123" i="34"/>
  <c r="W5123" i="34"/>
  <c r="Y5123" i="34"/>
  <c r="AB5123" i="34"/>
  <c r="AC5123" i="34"/>
  <c r="AD5123" i="34"/>
  <c r="P5124" i="34"/>
  <c r="T5124" i="34"/>
  <c r="U5124" i="34"/>
  <c r="V5124" i="34"/>
  <c r="W5124" i="34"/>
  <c r="Y5124" i="34"/>
  <c r="AB5124" i="34"/>
  <c r="AC5124" i="34"/>
  <c r="AD5124" i="34"/>
  <c r="P5125" i="34"/>
  <c r="T5125" i="34"/>
  <c r="U5125" i="34"/>
  <c r="V5125" i="34"/>
  <c r="W5125" i="34"/>
  <c r="Y5125" i="34"/>
  <c r="AB5125" i="34"/>
  <c r="AC5125" i="34"/>
  <c r="AD5125" i="34"/>
  <c r="P5138" i="34"/>
  <c r="T5138" i="34"/>
  <c r="U5138" i="34"/>
  <c r="V5138" i="34"/>
  <c r="W5138" i="34"/>
  <c r="Y5138" i="34"/>
  <c r="AB5138" i="34"/>
  <c r="AC5138" i="34"/>
  <c r="AD5138" i="34"/>
  <c r="P5139" i="34"/>
  <c r="T5139" i="34"/>
  <c r="U5139" i="34"/>
  <c r="V5139" i="34"/>
  <c r="W5139" i="34"/>
  <c r="Y5139" i="34"/>
  <c r="AB5139" i="34"/>
  <c r="AC5139" i="34"/>
  <c r="AD5139" i="34"/>
  <c r="P5150" i="34"/>
  <c r="T5150" i="34"/>
  <c r="U5150" i="34"/>
  <c r="V5150" i="34"/>
  <c r="W5150" i="34"/>
  <c r="Y5150" i="34"/>
  <c r="AB5150" i="34"/>
  <c r="AC5150" i="34"/>
  <c r="AD5150" i="34"/>
  <c r="P5160" i="34"/>
  <c r="T5160" i="34"/>
  <c r="U5160" i="34"/>
  <c r="V5160" i="34"/>
  <c r="W5160" i="34"/>
  <c r="Y5160" i="34"/>
  <c r="AB5160" i="34"/>
  <c r="AC5160" i="34"/>
  <c r="AD5160" i="34"/>
  <c r="P5161" i="34"/>
  <c r="T5161" i="34"/>
  <c r="U5161" i="34"/>
  <c r="V5161" i="34"/>
  <c r="W5161" i="34"/>
  <c r="Y5161" i="34"/>
  <c r="AB5161" i="34"/>
  <c r="AC5161" i="34"/>
  <c r="AD5161" i="34"/>
  <c r="P5162" i="34"/>
  <c r="T5162" i="34"/>
  <c r="U5162" i="34"/>
  <c r="V5162" i="34"/>
  <c r="W5162" i="34"/>
  <c r="Y5162" i="34"/>
  <c r="AB5162" i="34"/>
  <c r="AC5162" i="34"/>
  <c r="AD5162" i="34"/>
  <c r="P5163" i="34"/>
  <c r="T5163" i="34"/>
  <c r="U5163" i="34"/>
  <c r="V5163" i="34"/>
  <c r="W5163" i="34"/>
  <c r="Y5163" i="34"/>
  <c r="AB5163" i="34"/>
  <c r="AC5163" i="34"/>
  <c r="AD5163" i="34"/>
  <c r="P5164" i="34"/>
  <c r="T5164" i="34"/>
  <c r="U5164" i="34"/>
  <c r="V5164" i="34"/>
  <c r="W5164" i="34"/>
  <c r="Y5164" i="34"/>
  <c r="AB5164" i="34"/>
  <c r="AC5164" i="34"/>
  <c r="AD5164" i="34"/>
  <c r="P5167" i="34"/>
  <c r="T5167" i="34"/>
  <c r="U5167" i="34"/>
  <c r="V5167" i="34"/>
  <c r="W5167" i="34"/>
  <c r="Y5167" i="34"/>
  <c r="AB5167" i="34"/>
  <c r="AC5167" i="34"/>
  <c r="AD5167" i="34"/>
  <c r="P5181" i="34"/>
  <c r="T5181" i="34"/>
  <c r="U5181" i="34"/>
  <c r="V5181" i="34"/>
  <c r="W5181" i="34"/>
  <c r="Y5181" i="34"/>
  <c r="AB5181" i="34"/>
  <c r="AC5181" i="34"/>
  <c r="AD5181" i="34"/>
  <c r="P5182" i="34"/>
  <c r="T5182" i="34"/>
  <c r="U5182" i="34"/>
  <c r="V5182" i="34"/>
  <c r="W5182" i="34"/>
  <c r="Y5182" i="34"/>
  <c r="AB5182" i="34"/>
  <c r="AC5182" i="34"/>
  <c r="AD5182" i="34"/>
  <c r="P5183" i="34"/>
  <c r="T5183" i="34"/>
  <c r="U5183" i="34"/>
  <c r="V5183" i="34"/>
  <c r="W5183" i="34"/>
  <c r="Y5183" i="34"/>
  <c r="AB5183" i="34"/>
  <c r="AC5183" i="34"/>
  <c r="AD5183" i="34"/>
  <c r="P5184" i="34"/>
  <c r="T5184" i="34"/>
  <c r="U5184" i="34"/>
  <c r="V5184" i="34"/>
  <c r="W5184" i="34"/>
  <c r="Y5184" i="34"/>
  <c r="AB5184" i="34"/>
  <c r="AC5184" i="34"/>
  <c r="AD5184" i="34"/>
  <c r="P5185" i="34"/>
  <c r="T5185" i="34"/>
  <c r="U5185" i="34"/>
  <c r="V5185" i="34"/>
  <c r="W5185" i="34"/>
  <c r="Y5185" i="34"/>
  <c r="AB5185" i="34"/>
  <c r="AC5185" i="34"/>
  <c r="AD5185" i="34"/>
  <c r="P5186" i="34"/>
  <c r="T5186" i="34"/>
  <c r="U5186" i="34"/>
  <c r="V5186" i="34"/>
  <c r="W5186" i="34"/>
  <c r="Y5186" i="34"/>
  <c r="AB5186" i="34"/>
  <c r="AC5186" i="34"/>
  <c r="AD5186" i="34"/>
  <c r="P5187" i="34"/>
  <c r="T5187" i="34"/>
  <c r="U5187" i="34"/>
  <c r="V5187" i="34"/>
  <c r="W5187" i="34"/>
  <c r="Y5187" i="34"/>
  <c r="AB5187" i="34"/>
  <c r="AC5187" i="34"/>
  <c r="AD5187" i="34"/>
  <c r="P5188" i="34"/>
  <c r="T5188" i="34"/>
  <c r="U5188" i="34"/>
  <c r="V5188" i="34"/>
  <c r="W5188" i="34"/>
  <c r="Y5188" i="34"/>
  <c r="AB5188" i="34"/>
  <c r="AC5188" i="34"/>
  <c r="AD5188" i="34"/>
  <c r="P5189" i="34"/>
  <c r="T5189" i="34"/>
  <c r="U5189" i="34"/>
  <c r="V5189" i="34"/>
  <c r="W5189" i="34"/>
  <c r="Y5189" i="34"/>
  <c r="AB5189" i="34"/>
  <c r="AC5189" i="34"/>
  <c r="AD5189" i="34"/>
  <c r="P5190" i="34"/>
  <c r="T5190" i="34"/>
  <c r="U5190" i="34"/>
  <c r="V5190" i="34"/>
  <c r="W5190" i="34"/>
  <c r="Y5190" i="34"/>
  <c r="AB5190" i="34"/>
  <c r="AC5190" i="34"/>
  <c r="AD5190" i="34"/>
  <c r="P5191" i="34"/>
  <c r="T5191" i="34"/>
  <c r="U5191" i="34"/>
  <c r="V5191" i="34"/>
  <c r="W5191" i="34"/>
  <c r="Y5191" i="34"/>
  <c r="AB5191" i="34"/>
  <c r="AC5191" i="34"/>
  <c r="AD5191" i="34"/>
  <c r="P5192" i="34"/>
  <c r="T5192" i="34"/>
  <c r="U5192" i="34"/>
  <c r="V5192" i="34"/>
  <c r="W5192" i="34"/>
  <c r="Y5192" i="34"/>
  <c r="AB5192" i="34"/>
  <c r="AC5192" i="34"/>
  <c r="AD5192" i="34"/>
  <c r="P5205" i="34"/>
  <c r="T5205" i="34"/>
  <c r="U5205" i="34"/>
  <c r="V5205" i="34"/>
  <c r="W5205" i="34"/>
  <c r="Y5205" i="34"/>
  <c r="AB5205" i="34"/>
  <c r="AC5205" i="34"/>
  <c r="AD5205" i="34"/>
  <c r="P5206" i="34"/>
  <c r="T5206" i="34"/>
  <c r="U5206" i="34"/>
  <c r="V5206" i="34"/>
  <c r="W5206" i="34"/>
  <c r="Y5206" i="34"/>
  <c r="AB5206" i="34"/>
  <c r="AC5206" i="34"/>
  <c r="AD5206" i="34"/>
  <c r="P5207" i="34"/>
  <c r="T5207" i="34"/>
  <c r="U5207" i="34"/>
  <c r="V5207" i="34"/>
  <c r="W5207" i="34"/>
  <c r="Y5207" i="34"/>
  <c r="AB5207" i="34"/>
  <c r="AC5207" i="34"/>
  <c r="AD5207" i="34"/>
  <c r="P5220" i="34"/>
  <c r="T5220" i="34"/>
  <c r="U5220" i="34"/>
  <c r="V5220" i="34"/>
  <c r="W5220" i="34"/>
  <c r="Y5220" i="34"/>
  <c r="AB5220" i="34"/>
  <c r="AC5220" i="34"/>
  <c r="AD5220" i="34"/>
  <c r="P5221" i="34"/>
  <c r="T5221" i="34"/>
  <c r="U5221" i="34"/>
  <c r="V5221" i="34"/>
  <c r="W5221" i="34"/>
  <c r="Y5221" i="34"/>
  <c r="AB5221" i="34"/>
  <c r="AC5221" i="34"/>
  <c r="AD5221" i="34"/>
  <c r="P5222" i="34"/>
  <c r="T5222" i="34"/>
  <c r="U5222" i="34"/>
  <c r="V5222" i="34"/>
  <c r="W5222" i="34"/>
  <c r="Y5222" i="34"/>
  <c r="AB5222" i="34"/>
  <c r="AC5222" i="34"/>
  <c r="AD5222" i="34"/>
  <c r="P5223" i="34"/>
  <c r="T5223" i="34"/>
  <c r="U5223" i="34"/>
  <c r="V5223" i="34"/>
  <c r="W5223" i="34"/>
  <c r="Y5223" i="34"/>
  <c r="AB5223" i="34"/>
  <c r="AC5223" i="34"/>
  <c r="AD5223" i="34"/>
  <c r="P5224" i="34"/>
  <c r="T5224" i="34"/>
  <c r="U5224" i="34"/>
  <c r="V5224" i="34"/>
  <c r="W5224" i="34"/>
  <c r="Y5224" i="34"/>
  <c r="AB5224" i="34"/>
  <c r="AC5224" i="34"/>
  <c r="AD5224" i="34"/>
  <c r="P5225" i="34"/>
  <c r="T5225" i="34"/>
  <c r="U5225" i="34"/>
  <c r="V5225" i="34"/>
  <c r="W5225" i="34"/>
  <c r="Y5225" i="34"/>
  <c r="AB5225" i="34"/>
  <c r="AC5225" i="34"/>
  <c r="AD5225" i="34"/>
  <c r="P5226" i="34"/>
  <c r="T5226" i="34"/>
  <c r="U5226" i="34"/>
  <c r="V5226" i="34"/>
  <c r="W5226" i="34"/>
  <c r="Y5226" i="34"/>
  <c r="AB5226" i="34"/>
  <c r="AC5226" i="34"/>
  <c r="AD5226" i="34"/>
  <c r="P5227" i="34"/>
  <c r="T5227" i="34"/>
  <c r="U5227" i="34"/>
  <c r="V5227" i="34"/>
  <c r="W5227" i="34"/>
  <c r="Y5227" i="34"/>
  <c r="AB5227" i="34"/>
  <c r="AC5227" i="34"/>
  <c r="AD5227" i="34"/>
  <c r="P5234" i="34"/>
  <c r="T5234" i="34"/>
  <c r="U5234" i="34"/>
  <c r="V5234" i="34"/>
  <c r="W5234" i="34"/>
  <c r="Y5234" i="34"/>
  <c r="AB5234" i="34"/>
  <c r="AC5234" i="34"/>
  <c r="AD5234" i="34"/>
  <c r="P5235" i="34"/>
  <c r="T5235" i="34"/>
  <c r="U5235" i="34"/>
  <c r="V5235" i="34"/>
  <c r="W5235" i="34"/>
  <c r="Y5235" i="34"/>
  <c r="AB5235" i="34"/>
  <c r="AC5235" i="34"/>
  <c r="AD5235" i="34"/>
  <c r="P5236" i="34"/>
  <c r="T5236" i="34"/>
  <c r="U5236" i="34"/>
  <c r="V5236" i="34"/>
  <c r="W5236" i="34"/>
  <c r="Y5236" i="34"/>
  <c r="AB5236" i="34"/>
  <c r="AC5236" i="34"/>
  <c r="AD5236" i="34"/>
  <c r="P5237" i="34"/>
  <c r="T5237" i="34"/>
  <c r="U5237" i="34"/>
  <c r="V5237" i="34"/>
  <c r="W5237" i="34"/>
  <c r="Y5237" i="34"/>
  <c r="AB5237" i="34"/>
  <c r="AC5237" i="34"/>
  <c r="AD5237" i="34"/>
  <c r="P5243" i="34"/>
  <c r="T5243" i="34"/>
  <c r="U5243" i="34"/>
  <c r="V5243" i="34"/>
  <c r="W5243" i="34"/>
  <c r="Y5243" i="34"/>
  <c r="AB5243" i="34"/>
  <c r="AC5243" i="34"/>
  <c r="AD5243" i="34"/>
  <c r="P5244" i="34"/>
  <c r="T5244" i="34"/>
  <c r="U5244" i="34"/>
  <c r="V5244" i="34"/>
  <c r="W5244" i="34"/>
  <c r="Y5244" i="34"/>
  <c r="AB5244" i="34"/>
  <c r="AC5244" i="34"/>
  <c r="AD5244" i="34"/>
  <c r="P5258" i="34"/>
  <c r="T5258" i="34"/>
  <c r="U5258" i="34"/>
  <c r="V5258" i="34"/>
  <c r="W5258" i="34"/>
  <c r="Y5258" i="34"/>
  <c r="AB5258" i="34"/>
  <c r="AC5258" i="34"/>
  <c r="AD5258" i="34"/>
  <c r="P5259" i="34"/>
  <c r="T5259" i="34"/>
  <c r="U5259" i="34"/>
  <c r="V5259" i="34"/>
  <c r="W5259" i="34"/>
  <c r="Y5259" i="34"/>
  <c r="AB5259" i="34"/>
  <c r="AC5259" i="34"/>
  <c r="AD5259" i="34"/>
  <c r="P5260" i="34"/>
  <c r="T5260" i="34"/>
  <c r="U5260" i="34"/>
  <c r="V5260" i="34"/>
  <c r="W5260" i="34"/>
  <c r="Y5260" i="34"/>
  <c r="AB5260" i="34"/>
  <c r="AC5260" i="34"/>
  <c r="AD5260" i="34"/>
  <c r="P5261" i="34"/>
  <c r="T5261" i="34"/>
  <c r="U5261" i="34"/>
  <c r="V5261" i="34"/>
  <c r="W5261" i="34"/>
  <c r="Y5261" i="34"/>
  <c r="AB5261" i="34"/>
  <c r="AC5261" i="34"/>
  <c r="AD5261" i="34"/>
  <c r="P5262" i="34"/>
  <c r="T5262" i="34"/>
  <c r="U5262" i="34"/>
  <c r="V5262" i="34"/>
  <c r="W5262" i="34"/>
  <c r="Y5262" i="34"/>
  <c r="AB5262" i="34"/>
  <c r="AC5262" i="34"/>
  <c r="AD5262" i="34"/>
  <c r="P5266" i="34"/>
  <c r="T5266" i="34"/>
  <c r="U5266" i="34"/>
  <c r="V5266" i="34"/>
  <c r="W5266" i="34"/>
  <c r="Y5266" i="34"/>
  <c r="AB5266" i="34"/>
  <c r="AC5266" i="34"/>
  <c r="AD5266" i="34"/>
  <c r="P5267" i="34"/>
  <c r="T5267" i="34"/>
  <c r="U5267" i="34"/>
  <c r="V5267" i="34"/>
  <c r="W5267" i="34"/>
  <c r="Y5267" i="34"/>
  <c r="AB5267" i="34"/>
  <c r="AC5267" i="34"/>
  <c r="AD5267" i="34"/>
  <c r="P5268" i="34"/>
  <c r="T5268" i="34"/>
  <c r="U5268" i="34"/>
  <c r="V5268" i="34"/>
  <c r="W5268" i="34"/>
  <c r="Y5268" i="34"/>
  <c r="AB5268" i="34"/>
  <c r="AC5268" i="34"/>
  <c r="AD5268" i="34"/>
  <c r="P5269" i="34"/>
  <c r="T5269" i="34"/>
  <c r="U5269" i="34"/>
  <c r="V5269" i="34"/>
  <c r="W5269" i="34"/>
  <c r="Y5269" i="34"/>
  <c r="AB5269" i="34"/>
  <c r="AC5269" i="34"/>
  <c r="AD5269" i="34"/>
  <c r="P5270" i="34"/>
  <c r="T5270" i="34"/>
  <c r="U5270" i="34"/>
  <c r="V5270" i="34"/>
  <c r="W5270" i="34"/>
  <c r="Y5270" i="34"/>
  <c r="AB5270" i="34"/>
  <c r="AC5270" i="34"/>
  <c r="AD5270" i="34"/>
  <c r="P5271" i="34"/>
  <c r="T5271" i="34"/>
  <c r="U5271" i="34"/>
  <c r="V5271" i="34"/>
  <c r="W5271" i="34"/>
  <c r="Y5271" i="34"/>
  <c r="AB5271" i="34"/>
  <c r="AC5271" i="34"/>
  <c r="AD5271" i="34"/>
  <c r="P5168" i="34"/>
  <c r="T5168" i="34"/>
  <c r="U5168" i="34"/>
  <c r="V5168" i="34"/>
  <c r="W5168" i="34"/>
  <c r="Y5168" i="34"/>
  <c r="AB5168" i="34"/>
  <c r="AC5168" i="34"/>
  <c r="AD5168" i="34"/>
  <c r="P5208" i="34"/>
  <c r="T5208" i="34"/>
  <c r="U5208" i="34"/>
  <c r="V5208" i="34"/>
  <c r="W5208" i="34"/>
  <c r="Y5208" i="34"/>
  <c r="AB5208" i="34"/>
  <c r="AC5208" i="34"/>
  <c r="AD5208" i="34"/>
  <c r="P5245" i="34"/>
  <c r="T5245" i="34"/>
  <c r="U5245" i="34"/>
  <c r="V5245" i="34"/>
  <c r="W5245" i="34"/>
  <c r="Y5245" i="34"/>
  <c r="AB5245" i="34"/>
  <c r="AC5245" i="34"/>
  <c r="AD5245" i="34"/>
  <c r="P5272" i="34"/>
  <c r="T5272" i="34"/>
  <c r="U5272" i="34"/>
  <c r="V5272" i="34"/>
  <c r="W5272" i="34"/>
  <c r="Y5272" i="34"/>
  <c r="AB5272" i="34"/>
  <c r="AC5272" i="34"/>
  <c r="AD5272" i="34"/>
  <c r="P5283" i="34"/>
  <c r="T5283" i="34"/>
  <c r="U5283" i="34"/>
  <c r="V5283" i="34"/>
  <c r="W5283" i="34"/>
  <c r="Y5283" i="34"/>
  <c r="AB5283" i="34"/>
  <c r="AC5283" i="34"/>
  <c r="AD5283" i="34"/>
  <c r="P5286" i="34"/>
  <c r="T5286" i="34"/>
  <c r="U5286" i="34"/>
  <c r="V5286" i="34"/>
  <c r="W5286" i="34"/>
  <c r="Y5286" i="34"/>
  <c r="AB5286" i="34"/>
  <c r="AC5286" i="34"/>
  <c r="AD5286" i="34"/>
  <c r="P5287" i="34"/>
  <c r="T5287" i="34"/>
  <c r="U5287" i="34"/>
  <c r="V5287" i="34"/>
  <c r="W5287" i="34"/>
  <c r="Y5287" i="34"/>
  <c r="AB5287" i="34"/>
  <c r="AC5287" i="34"/>
  <c r="AD5287" i="34"/>
  <c r="P5288" i="34"/>
  <c r="T5288" i="34"/>
  <c r="U5288" i="34"/>
  <c r="V5288" i="34"/>
  <c r="W5288" i="34"/>
  <c r="Y5288" i="34"/>
  <c r="AB5288" i="34"/>
  <c r="AC5288" i="34"/>
  <c r="AD5288" i="34"/>
  <c r="P5289" i="34"/>
  <c r="T5289" i="34"/>
  <c r="U5289" i="34"/>
  <c r="V5289" i="34"/>
  <c r="W5289" i="34"/>
  <c r="Y5289" i="34"/>
  <c r="AB5289" i="34"/>
  <c r="AC5289" i="34"/>
  <c r="AD5289" i="34"/>
  <c r="P5290" i="34"/>
  <c r="T5290" i="34"/>
  <c r="U5290" i="34"/>
  <c r="V5290" i="34"/>
  <c r="W5290" i="34"/>
  <c r="Y5290" i="34"/>
  <c r="AB5290" i="34"/>
  <c r="AC5290" i="34"/>
  <c r="AD5290" i="34"/>
  <c r="P5291" i="34"/>
  <c r="T5291" i="34"/>
  <c r="U5291" i="34"/>
  <c r="V5291" i="34"/>
  <c r="W5291" i="34"/>
  <c r="Y5291" i="34"/>
  <c r="AB5291" i="34"/>
  <c r="AC5291" i="34"/>
  <c r="AD5291" i="34"/>
  <c r="P5305" i="34"/>
  <c r="T5305" i="34"/>
  <c r="U5305" i="34"/>
  <c r="V5305" i="34"/>
  <c r="W5305" i="34"/>
  <c r="Y5305" i="34"/>
  <c r="AB5305" i="34"/>
  <c r="AC5305" i="34"/>
  <c r="AD5305" i="34"/>
  <c r="P5306" i="34"/>
  <c r="T5306" i="34"/>
  <c r="U5306" i="34"/>
  <c r="V5306" i="34"/>
  <c r="W5306" i="34"/>
  <c r="Y5306" i="34"/>
  <c r="AB5306" i="34"/>
  <c r="AC5306" i="34"/>
  <c r="AD5306" i="34"/>
  <c r="P5307" i="34"/>
  <c r="T5307" i="34"/>
  <c r="U5307" i="34"/>
  <c r="V5307" i="34"/>
  <c r="W5307" i="34"/>
  <c r="Y5307" i="34"/>
  <c r="AB5307" i="34"/>
  <c r="AC5307" i="34"/>
  <c r="AD5307" i="34"/>
  <c r="P5308" i="34"/>
  <c r="T5308" i="34"/>
  <c r="U5308" i="34"/>
  <c r="V5308" i="34"/>
  <c r="W5308" i="34"/>
  <c r="Y5308" i="34"/>
  <c r="AB5308" i="34"/>
  <c r="AC5308" i="34"/>
  <c r="AD5308" i="34"/>
  <c r="P5313" i="34"/>
  <c r="T5313" i="34"/>
  <c r="U5313" i="34"/>
  <c r="V5313" i="34"/>
  <c r="W5313" i="34"/>
  <c r="Y5313" i="34"/>
  <c r="AB5313" i="34"/>
  <c r="AC5313" i="34"/>
  <c r="AD5313" i="34"/>
  <c r="P5314" i="34"/>
  <c r="T5314" i="34"/>
  <c r="U5314" i="34"/>
  <c r="V5314" i="34"/>
  <c r="W5314" i="34"/>
  <c r="Y5314" i="34"/>
  <c r="AB5314" i="34"/>
  <c r="AC5314" i="34"/>
  <c r="AD5314" i="34"/>
  <c r="P5315" i="34"/>
  <c r="T5315" i="34"/>
  <c r="U5315" i="34"/>
  <c r="V5315" i="34"/>
  <c r="W5315" i="34"/>
  <c r="Y5315" i="34"/>
  <c r="AB5315" i="34"/>
  <c r="AC5315" i="34"/>
  <c r="AD5315" i="34"/>
  <c r="P5316" i="34"/>
  <c r="T5316" i="34"/>
  <c r="U5316" i="34"/>
  <c r="V5316" i="34"/>
  <c r="W5316" i="34"/>
  <c r="Y5316" i="34"/>
  <c r="AB5316" i="34"/>
  <c r="AC5316" i="34"/>
  <c r="AD5316" i="34"/>
  <c r="P5317" i="34"/>
  <c r="T5317" i="34"/>
  <c r="U5317" i="34"/>
  <c r="V5317" i="34"/>
  <c r="W5317" i="34"/>
  <c r="Y5317" i="34"/>
  <c r="AB5317" i="34"/>
  <c r="AC5317" i="34"/>
  <c r="AD5317" i="34"/>
  <c r="P5318" i="34"/>
  <c r="T5318" i="34"/>
  <c r="U5318" i="34"/>
  <c r="V5318" i="34"/>
  <c r="W5318" i="34"/>
  <c r="Y5318" i="34"/>
  <c r="AB5318" i="34"/>
  <c r="AC5318" i="34"/>
  <c r="AD5318" i="34"/>
  <c r="P5319" i="34"/>
  <c r="T5319" i="34"/>
  <c r="U5319" i="34"/>
  <c r="V5319" i="34"/>
  <c r="W5319" i="34"/>
  <c r="Y5319" i="34"/>
  <c r="AB5319" i="34"/>
  <c r="AC5319" i="34"/>
  <c r="AD5319" i="34"/>
  <c r="P5321" i="34"/>
  <c r="T5321" i="34"/>
  <c r="U5321" i="34"/>
  <c r="V5321" i="34"/>
  <c r="W5321" i="34"/>
  <c r="Y5321" i="34"/>
  <c r="AB5321" i="34"/>
  <c r="AC5321" i="34"/>
  <c r="AD5321" i="34"/>
  <c r="P5325" i="34"/>
  <c r="T5325" i="34"/>
  <c r="U5325" i="34"/>
  <c r="V5325" i="34"/>
  <c r="W5325" i="34"/>
  <c r="Y5325" i="34"/>
  <c r="AB5325" i="34"/>
  <c r="AC5325" i="34"/>
  <c r="AD5325" i="34"/>
  <c r="P5326" i="34"/>
  <c r="T5326" i="34"/>
  <c r="U5326" i="34"/>
  <c r="V5326" i="34"/>
  <c r="W5326" i="34"/>
  <c r="Y5326" i="34"/>
  <c r="AB5326" i="34"/>
  <c r="AC5326" i="34"/>
  <c r="AD5326" i="34"/>
  <c r="P5327" i="34"/>
  <c r="T5327" i="34"/>
  <c r="U5327" i="34"/>
  <c r="V5327" i="34"/>
  <c r="W5327" i="34"/>
  <c r="Y5327" i="34"/>
  <c r="AB5327" i="34"/>
  <c r="AC5327" i="34"/>
  <c r="AD5327" i="34"/>
  <c r="P5328" i="34"/>
  <c r="T5328" i="34"/>
  <c r="U5328" i="34"/>
  <c r="V5328" i="34"/>
  <c r="W5328" i="34"/>
  <c r="Y5328" i="34"/>
  <c r="AB5328" i="34"/>
  <c r="AC5328" i="34"/>
  <c r="AD5328" i="34"/>
  <c r="P5329" i="34"/>
  <c r="T5329" i="34"/>
  <c r="U5329" i="34"/>
  <c r="V5329" i="34"/>
  <c r="W5329" i="34"/>
  <c r="Y5329" i="34"/>
  <c r="AB5329" i="34"/>
  <c r="AC5329" i="34"/>
  <c r="AD5329" i="34"/>
  <c r="P5330" i="34"/>
  <c r="T5330" i="34"/>
  <c r="U5330" i="34"/>
  <c r="V5330" i="34"/>
  <c r="W5330" i="34"/>
  <c r="Y5330" i="34"/>
  <c r="AB5330" i="34"/>
  <c r="AC5330" i="34"/>
  <c r="AD5330" i="34"/>
  <c r="P5341" i="34"/>
  <c r="T5341" i="34"/>
  <c r="U5341" i="34"/>
  <c r="V5341" i="34"/>
  <c r="W5341" i="34"/>
  <c r="Y5341" i="34"/>
  <c r="AB5341" i="34"/>
  <c r="AC5341" i="34"/>
  <c r="AD5341" i="34"/>
  <c r="P5361" i="34"/>
  <c r="T5361" i="34"/>
  <c r="U5361" i="34"/>
  <c r="V5361" i="34"/>
  <c r="W5361" i="34"/>
  <c r="Y5361" i="34"/>
  <c r="AB5361" i="34"/>
  <c r="AC5361" i="34"/>
  <c r="AD5361" i="34"/>
  <c r="P5362" i="34"/>
  <c r="T5362" i="34"/>
  <c r="U5362" i="34"/>
  <c r="V5362" i="34"/>
  <c r="W5362" i="34"/>
  <c r="Y5362" i="34"/>
  <c r="AB5362" i="34"/>
  <c r="AC5362" i="34"/>
  <c r="AD5362" i="34"/>
  <c r="P5363" i="34"/>
  <c r="T5363" i="34"/>
  <c r="U5363" i="34"/>
  <c r="V5363" i="34"/>
  <c r="W5363" i="34"/>
  <c r="Y5363" i="34"/>
  <c r="AB5363" i="34"/>
  <c r="AC5363" i="34"/>
  <c r="AD5363" i="34"/>
  <c r="P5364" i="34"/>
  <c r="T5364" i="34"/>
  <c r="U5364" i="34"/>
  <c r="V5364" i="34"/>
  <c r="W5364" i="34"/>
  <c r="Y5364" i="34"/>
  <c r="AB5364" i="34"/>
  <c r="AC5364" i="34"/>
  <c r="AD5364" i="34"/>
  <c r="P5376" i="34"/>
  <c r="T5376" i="34"/>
  <c r="U5376" i="34"/>
  <c r="V5376" i="34"/>
  <c r="W5376" i="34"/>
  <c r="Y5376" i="34"/>
  <c r="AB5376" i="34"/>
  <c r="AC5376" i="34"/>
  <c r="AD5376" i="34"/>
  <c r="P5377" i="34"/>
  <c r="T5377" i="34"/>
  <c r="U5377" i="34"/>
  <c r="V5377" i="34"/>
  <c r="W5377" i="34"/>
  <c r="Y5377" i="34"/>
  <c r="AB5377" i="34"/>
  <c r="AC5377" i="34"/>
  <c r="AD5377" i="34"/>
  <c r="P5378" i="34"/>
  <c r="T5378" i="34"/>
  <c r="U5378" i="34"/>
  <c r="V5378" i="34"/>
  <c r="W5378" i="34"/>
  <c r="Y5378" i="34"/>
  <c r="AB5378" i="34"/>
  <c r="AC5378" i="34"/>
  <c r="AD5378" i="34"/>
  <c r="P5379" i="34"/>
  <c r="T5379" i="34"/>
  <c r="U5379" i="34"/>
  <c r="V5379" i="34"/>
  <c r="W5379" i="34"/>
  <c r="Y5379" i="34"/>
  <c r="AB5379" i="34"/>
  <c r="AC5379" i="34"/>
  <c r="AD5379" i="34"/>
  <c r="P5380" i="34"/>
  <c r="T5380" i="34"/>
  <c r="U5380" i="34"/>
  <c r="V5380" i="34"/>
  <c r="W5380" i="34"/>
  <c r="Y5380" i="34"/>
  <c r="AB5380" i="34"/>
  <c r="AC5380" i="34"/>
  <c r="AD5380" i="34"/>
  <c r="P5414" i="34"/>
  <c r="T5414" i="34"/>
  <c r="U5414" i="34"/>
  <c r="V5414" i="34"/>
  <c r="W5414" i="34"/>
  <c r="Y5414" i="34"/>
  <c r="AB5414" i="34"/>
  <c r="AC5414" i="34"/>
  <c r="AD5414" i="34"/>
  <c r="P5415" i="34"/>
  <c r="T5415" i="34"/>
  <c r="U5415" i="34"/>
  <c r="V5415" i="34"/>
  <c r="W5415" i="34"/>
  <c r="Y5415" i="34"/>
  <c r="AB5415" i="34"/>
  <c r="AC5415" i="34"/>
  <c r="AD5415" i="34"/>
  <c r="P5416" i="34"/>
  <c r="T5416" i="34"/>
  <c r="U5416" i="34"/>
  <c r="V5416" i="34"/>
  <c r="W5416" i="34"/>
  <c r="Y5416" i="34"/>
  <c r="AB5416" i="34"/>
  <c r="AC5416" i="34"/>
  <c r="AD5416" i="34"/>
  <c r="P5417" i="34"/>
  <c r="T5417" i="34"/>
  <c r="U5417" i="34"/>
  <c r="V5417" i="34"/>
  <c r="W5417" i="34"/>
  <c r="Y5417" i="34"/>
  <c r="AB5417" i="34"/>
  <c r="AC5417" i="34"/>
  <c r="AD5417" i="34"/>
  <c r="P5427" i="34"/>
  <c r="T5427" i="34"/>
  <c r="U5427" i="34"/>
  <c r="V5427" i="34"/>
  <c r="W5427" i="34"/>
  <c r="Y5427" i="34"/>
  <c r="AB5427" i="34"/>
  <c r="AC5427" i="34"/>
  <c r="AD5427" i="34"/>
  <c r="P5428" i="34"/>
  <c r="T5428" i="34"/>
  <c r="U5428" i="34"/>
  <c r="V5428" i="34"/>
  <c r="W5428" i="34"/>
  <c r="Y5428" i="34"/>
  <c r="AB5428" i="34"/>
  <c r="AC5428" i="34"/>
  <c r="AD5428" i="34"/>
  <c r="P5431" i="34"/>
  <c r="T5431" i="34"/>
  <c r="U5431" i="34"/>
  <c r="V5431" i="34"/>
  <c r="W5431" i="34"/>
  <c r="Y5431" i="34"/>
  <c r="AB5431" i="34"/>
  <c r="AC5431" i="34"/>
  <c r="AD5431" i="34"/>
  <c r="P5442" i="34"/>
  <c r="T5442" i="34"/>
  <c r="U5442" i="34"/>
  <c r="V5442" i="34"/>
  <c r="W5442" i="34"/>
  <c r="Y5442" i="34"/>
  <c r="AB5442" i="34"/>
  <c r="AC5442" i="34"/>
  <c r="AD5442" i="34"/>
  <c r="P5443" i="34"/>
  <c r="T5443" i="34"/>
  <c r="U5443" i="34"/>
  <c r="V5443" i="34"/>
  <c r="W5443" i="34"/>
  <c r="Y5443" i="34"/>
  <c r="AB5443" i="34"/>
  <c r="AC5443" i="34"/>
  <c r="AD5443" i="34"/>
  <c r="P5444" i="34"/>
  <c r="T5444" i="34"/>
  <c r="U5444" i="34"/>
  <c r="V5444" i="34"/>
  <c r="W5444" i="34"/>
  <c r="Y5444" i="34"/>
  <c r="AB5444" i="34"/>
  <c r="AC5444" i="34"/>
  <c r="AD5444" i="34"/>
  <c r="P5445" i="34"/>
  <c r="T5445" i="34"/>
  <c r="U5445" i="34"/>
  <c r="V5445" i="34"/>
  <c r="W5445" i="34"/>
  <c r="Y5445" i="34"/>
  <c r="AB5445" i="34"/>
  <c r="AC5445" i="34"/>
  <c r="AD5445" i="34"/>
  <c r="P5455" i="34"/>
  <c r="T5455" i="34"/>
  <c r="U5455" i="34"/>
  <c r="V5455" i="34"/>
  <c r="W5455" i="34"/>
  <c r="Y5455" i="34"/>
  <c r="AB5455" i="34"/>
  <c r="AC5455" i="34"/>
  <c r="AD5455" i="34"/>
  <c r="P5458" i="34"/>
  <c r="T5458" i="34"/>
  <c r="U5458" i="34"/>
  <c r="V5458" i="34"/>
  <c r="W5458" i="34"/>
  <c r="Y5458" i="34"/>
  <c r="AB5458" i="34"/>
  <c r="AC5458" i="34"/>
  <c r="AD5458" i="34"/>
  <c r="P5459" i="34"/>
  <c r="T5459" i="34"/>
  <c r="U5459" i="34"/>
  <c r="V5459" i="34"/>
  <c r="W5459" i="34"/>
  <c r="Y5459" i="34"/>
  <c r="AB5459" i="34"/>
  <c r="AC5459" i="34"/>
  <c r="AD5459" i="34"/>
  <c r="P5460" i="34"/>
  <c r="T5460" i="34"/>
  <c r="U5460" i="34"/>
  <c r="V5460" i="34"/>
  <c r="W5460" i="34"/>
  <c r="Y5460" i="34"/>
  <c r="AB5460" i="34"/>
  <c r="AC5460" i="34"/>
  <c r="AD5460" i="34"/>
  <c r="P5461" i="34"/>
  <c r="T5461" i="34"/>
  <c r="U5461" i="34"/>
  <c r="V5461" i="34"/>
  <c r="W5461" i="34"/>
  <c r="Y5461" i="34"/>
  <c r="AB5461" i="34"/>
  <c r="AC5461" i="34"/>
  <c r="AD5461" i="34"/>
  <c r="P5462" i="34"/>
  <c r="T5462" i="34"/>
  <c r="U5462" i="34"/>
  <c r="V5462" i="34"/>
  <c r="W5462" i="34"/>
  <c r="Y5462" i="34"/>
  <c r="AB5462" i="34"/>
  <c r="AC5462" i="34"/>
  <c r="AD5462" i="34"/>
  <c r="P5463" i="34"/>
  <c r="T5463" i="34"/>
  <c r="U5463" i="34"/>
  <c r="V5463" i="34"/>
  <c r="W5463" i="34"/>
  <c r="Y5463" i="34"/>
  <c r="AB5463" i="34"/>
  <c r="AC5463" i="34"/>
  <c r="AD5463" i="34"/>
  <c r="P5464" i="34"/>
  <c r="T5464" i="34"/>
  <c r="U5464" i="34"/>
  <c r="V5464" i="34"/>
  <c r="W5464" i="34"/>
  <c r="Y5464" i="34"/>
  <c r="AB5464" i="34"/>
  <c r="AC5464" i="34"/>
  <c r="AD5464" i="34"/>
  <c r="P5472" i="34"/>
  <c r="T5472" i="34"/>
  <c r="U5472" i="34"/>
  <c r="V5472" i="34"/>
  <c r="W5472" i="34"/>
  <c r="Y5472" i="34"/>
  <c r="AB5472" i="34"/>
  <c r="AC5472" i="34"/>
  <c r="AD5472" i="34"/>
  <c r="P5473" i="34"/>
  <c r="T5473" i="34"/>
  <c r="U5473" i="34"/>
  <c r="V5473" i="34"/>
  <c r="W5473" i="34"/>
  <c r="Y5473" i="34"/>
  <c r="AB5473" i="34"/>
  <c r="AC5473" i="34"/>
  <c r="AD5473" i="34"/>
  <c r="P5474" i="34"/>
  <c r="T5474" i="34"/>
  <c r="U5474" i="34"/>
  <c r="V5474" i="34"/>
  <c r="W5474" i="34"/>
  <c r="Y5474" i="34"/>
  <c r="AB5474" i="34"/>
  <c r="AC5474" i="34"/>
  <c r="AD5474" i="34"/>
  <c r="P5504" i="34"/>
  <c r="T5504" i="34"/>
  <c r="U5504" i="34"/>
  <c r="V5504" i="34"/>
  <c r="W5504" i="34"/>
  <c r="Y5504" i="34"/>
  <c r="AB5504" i="34"/>
  <c r="AC5504" i="34"/>
  <c r="AD5504" i="34"/>
  <c r="P5515" i="34"/>
  <c r="T5515" i="34"/>
  <c r="U5515" i="34"/>
  <c r="V5515" i="34"/>
  <c r="W5515" i="34"/>
  <c r="Y5515" i="34"/>
  <c r="AB5515" i="34"/>
  <c r="AC5515" i="34"/>
  <c r="AD5515" i="34"/>
  <c r="P5516" i="34"/>
  <c r="T5516" i="34"/>
  <c r="U5516" i="34"/>
  <c r="V5516" i="34"/>
  <c r="W5516" i="34"/>
  <c r="Y5516" i="34"/>
  <c r="AB5516" i="34"/>
  <c r="AC5516" i="34"/>
  <c r="AD5516" i="34"/>
  <c r="P5517" i="34"/>
  <c r="T5517" i="34"/>
  <c r="U5517" i="34"/>
  <c r="V5517" i="34"/>
  <c r="W5517" i="34"/>
  <c r="Y5517" i="34"/>
  <c r="AB5517" i="34"/>
  <c r="AC5517" i="34"/>
  <c r="AD5517" i="34"/>
  <c r="P5524" i="34"/>
  <c r="T5524" i="34"/>
  <c r="U5524" i="34"/>
  <c r="V5524" i="34"/>
  <c r="W5524" i="34"/>
  <c r="Y5524" i="34"/>
  <c r="AB5524" i="34"/>
  <c r="AC5524" i="34"/>
  <c r="AD5524" i="34"/>
  <c r="P5525" i="34"/>
  <c r="T5525" i="34"/>
  <c r="U5525" i="34"/>
  <c r="V5525" i="34"/>
  <c r="W5525" i="34"/>
  <c r="Y5525" i="34"/>
  <c r="AB5525" i="34"/>
  <c r="AC5525" i="34"/>
  <c r="AD5525" i="34"/>
  <c r="P5526" i="34"/>
  <c r="T5526" i="34"/>
  <c r="U5526" i="34"/>
  <c r="V5526" i="34"/>
  <c r="W5526" i="34"/>
  <c r="Y5526" i="34"/>
  <c r="AB5526" i="34"/>
  <c r="AC5526" i="34"/>
  <c r="AD5526" i="34"/>
  <c r="P5527" i="34"/>
  <c r="T5527" i="34"/>
  <c r="U5527" i="34"/>
  <c r="V5527" i="34"/>
  <c r="W5527" i="34"/>
  <c r="Y5527" i="34"/>
  <c r="AB5527" i="34"/>
  <c r="AC5527" i="34"/>
  <c r="AD5527" i="34"/>
  <c r="P5528" i="34"/>
  <c r="T5528" i="34"/>
  <c r="U5528" i="34"/>
  <c r="V5528" i="34"/>
  <c r="W5528" i="34"/>
  <c r="Y5528" i="34"/>
  <c r="AB5528" i="34"/>
  <c r="AC5528" i="34"/>
  <c r="AD5528" i="34"/>
  <c r="P5529" i="34"/>
  <c r="T5529" i="34"/>
  <c r="U5529" i="34"/>
  <c r="V5529" i="34"/>
  <c r="W5529" i="34"/>
  <c r="Y5529" i="34"/>
  <c r="AB5529" i="34"/>
  <c r="AC5529" i="34"/>
  <c r="AD5529" i="34"/>
  <c r="P5530" i="34"/>
  <c r="T5530" i="34"/>
  <c r="U5530" i="34"/>
  <c r="V5530" i="34"/>
  <c r="W5530" i="34"/>
  <c r="Y5530" i="34"/>
  <c r="AB5530" i="34"/>
  <c r="AC5530" i="34"/>
  <c r="AD5530" i="34"/>
  <c r="P5531" i="34"/>
  <c r="T5531" i="34"/>
  <c r="U5531" i="34"/>
  <c r="V5531" i="34"/>
  <c r="W5531" i="34"/>
  <c r="Y5531" i="34"/>
  <c r="AB5531" i="34"/>
  <c r="AC5531" i="34"/>
  <c r="AD5531" i="34"/>
  <c r="P5532" i="34"/>
  <c r="T5532" i="34"/>
  <c r="U5532" i="34"/>
  <c r="V5532" i="34"/>
  <c r="W5532" i="34"/>
  <c r="Y5532" i="34"/>
  <c r="AB5532" i="34"/>
  <c r="AC5532" i="34"/>
  <c r="AD5532" i="34"/>
  <c r="P5565" i="34"/>
  <c r="T5565" i="34"/>
  <c r="U5565" i="34"/>
  <c r="V5565" i="34"/>
  <c r="W5565" i="34"/>
  <c r="Y5565" i="34"/>
  <c r="AB5565" i="34"/>
  <c r="AC5565" i="34"/>
  <c r="AD5565" i="34"/>
  <c r="P5566" i="34"/>
  <c r="T5566" i="34"/>
  <c r="U5566" i="34"/>
  <c r="V5566" i="34"/>
  <c r="W5566" i="34"/>
  <c r="Y5566" i="34"/>
  <c r="AB5566" i="34"/>
  <c r="AC5566" i="34"/>
  <c r="AD5566" i="34"/>
  <c r="P5567" i="34"/>
  <c r="T5567" i="34"/>
  <c r="U5567" i="34"/>
  <c r="V5567" i="34"/>
  <c r="W5567" i="34"/>
  <c r="Y5567" i="34"/>
  <c r="AB5567" i="34"/>
  <c r="AC5567" i="34"/>
  <c r="AD5567" i="34"/>
  <c r="P5568" i="34"/>
  <c r="T5568" i="34"/>
  <c r="U5568" i="34"/>
  <c r="V5568" i="34"/>
  <c r="W5568" i="34"/>
  <c r="Y5568" i="34"/>
  <c r="AB5568" i="34"/>
  <c r="AC5568" i="34"/>
  <c r="AD5568" i="34"/>
  <c r="P5569" i="34"/>
  <c r="T5569" i="34"/>
  <c r="U5569" i="34"/>
  <c r="V5569" i="34"/>
  <c r="W5569" i="34"/>
  <c r="Y5569" i="34"/>
  <c r="AB5569" i="34"/>
  <c r="AC5569" i="34"/>
  <c r="AD5569" i="34"/>
  <c r="P5573" i="34"/>
  <c r="T5573" i="34"/>
  <c r="U5573" i="34"/>
  <c r="V5573" i="34"/>
  <c r="W5573" i="34"/>
  <c r="Y5573" i="34"/>
  <c r="AB5573" i="34"/>
  <c r="AC5573" i="34"/>
  <c r="AD5573" i="34"/>
  <c r="P5574" i="34"/>
  <c r="T5574" i="34"/>
  <c r="U5574" i="34"/>
  <c r="V5574" i="34"/>
  <c r="W5574" i="34"/>
  <c r="Y5574" i="34"/>
  <c r="AB5574" i="34"/>
  <c r="AC5574" i="34"/>
  <c r="AD5574" i="34"/>
  <c r="P5575" i="34"/>
  <c r="T5575" i="34"/>
  <c r="U5575" i="34"/>
  <c r="V5575" i="34"/>
  <c r="W5575" i="34"/>
  <c r="Y5575" i="34"/>
  <c r="AB5575" i="34"/>
  <c r="AC5575" i="34"/>
  <c r="AD5575" i="34"/>
  <c r="P5576" i="34"/>
  <c r="T5576" i="34"/>
  <c r="U5576" i="34"/>
  <c r="V5576" i="34"/>
  <c r="W5576" i="34"/>
  <c r="Y5576" i="34"/>
  <c r="AB5576" i="34"/>
  <c r="AC5576" i="34"/>
  <c r="AD5576" i="34"/>
  <c r="P5577" i="34"/>
  <c r="T5577" i="34"/>
  <c r="U5577" i="34"/>
  <c r="V5577" i="34"/>
  <c r="W5577" i="34"/>
  <c r="Y5577" i="34"/>
  <c r="AB5577" i="34"/>
  <c r="AC5577" i="34"/>
  <c r="AD5577" i="34"/>
  <c r="P5582" i="34"/>
  <c r="T5582" i="34"/>
  <c r="U5582" i="34"/>
  <c r="V5582" i="34"/>
  <c r="W5582" i="34"/>
  <c r="Y5582" i="34"/>
  <c r="AB5582" i="34"/>
  <c r="AC5582" i="34"/>
  <c r="AD5582" i="34"/>
  <c r="P5595" i="34"/>
  <c r="T5595" i="34"/>
  <c r="U5595" i="34"/>
  <c r="V5595" i="34"/>
  <c r="W5595" i="34"/>
  <c r="Y5595" i="34"/>
  <c r="AB5595" i="34"/>
  <c r="AC5595" i="34"/>
  <c r="AD5595" i="34"/>
  <c r="P5596" i="34"/>
  <c r="T5596" i="34"/>
  <c r="U5596" i="34"/>
  <c r="V5596" i="34"/>
  <c r="W5596" i="34"/>
  <c r="Y5596" i="34"/>
  <c r="AB5596" i="34"/>
  <c r="AC5596" i="34"/>
  <c r="AD5596" i="34"/>
  <c r="P5597" i="34"/>
  <c r="T5597" i="34"/>
  <c r="U5597" i="34"/>
  <c r="V5597" i="34"/>
  <c r="W5597" i="34"/>
  <c r="Y5597" i="34"/>
  <c r="AB5597" i="34"/>
  <c r="AC5597" i="34"/>
  <c r="AD5597" i="34"/>
  <c r="P5598" i="34"/>
  <c r="T5598" i="34"/>
  <c r="U5598" i="34"/>
  <c r="V5598" i="34"/>
  <c r="W5598" i="34"/>
  <c r="Y5598" i="34"/>
  <c r="AB5598" i="34"/>
  <c r="AC5598" i="34"/>
  <c r="AD5598" i="34"/>
  <c r="P5623" i="34"/>
  <c r="T5623" i="34"/>
  <c r="U5623" i="34"/>
  <c r="V5623" i="34"/>
  <c r="W5623" i="34"/>
  <c r="Y5623" i="34"/>
  <c r="AB5623" i="34"/>
  <c r="AC5623" i="34"/>
  <c r="AD5623" i="34"/>
  <c r="P5624" i="34"/>
  <c r="T5624" i="34"/>
  <c r="U5624" i="34"/>
  <c r="V5624" i="34"/>
  <c r="W5624" i="34"/>
  <c r="Y5624" i="34"/>
  <c r="AB5624" i="34"/>
  <c r="AC5624" i="34"/>
  <c r="AD5624" i="34"/>
  <c r="P5625" i="34"/>
  <c r="T5625" i="34"/>
  <c r="U5625" i="34"/>
  <c r="V5625" i="34"/>
  <c r="W5625" i="34"/>
  <c r="Y5625" i="34"/>
  <c r="AB5625" i="34"/>
  <c r="AC5625" i="34"/>
  <c r="AD5625" i="34"/>
  <c r="P5626" i="34"/>
  <c r="T5626" i="34"/>
  <c r="U5626" i="34"/>
  <c r="V5626" i="34"/>
  <c r="W5626" i="34"/>
  <c r="Y5626" i="34"/>
  <c r="AB5626" i="34"/>
  <c r="AC5626" i="34"/>
  <c r="AD5626" i="34"/>
  <c r="P5627" i="34"/>
  <c r="T5627" i="34"/>
  <c r="U5627" i="34"/>
  <c r="V5627" i="34"/>
  <c r="W5627" i="34"/>
  <c r="Y5627" i="34"/>
  <c r="AB5627" i="34"/>
  <c r="AC5627" i="34"/>
  <c r="AD5627" i="34"/>
  <c r="P5633" i="34"/>
  <c r="T5633" i="34"/>
  <c r="U5633" i="34"/>
  <c r="V5633" i="34"/>
  <c r="W5633" i="34"/>
  <c r="Y5633" i="34"/>
  <c r="AB5633" i="34"/>
  <c r="AC5633" i="34"/>
  <c r="AD5633" i="34"/>
  <c r="P5634" i="34"/>
  <c r="T5634" i="34"/>
  <c r="U5634" i="34"/>
  <c r="V5634" i="34"/>
  <c r="W5634" i="34"/>
  <c r="Y5634" i="34"/>
  <c r="AB5634" i="34"/>
  <c r="AC5634" i="34"/>
  <c r="AD5634" i="34"/>
  <c r="P5637" i="34"/>
  <c r="T5637" i="34"/>
  <c r="U5637" i="34"/>
  <c r="V5637" i="34"/>
  <c r="W5637" i="34"/>
  <c r="Y5637" i="34"/>
  <c r="AB5637" i="34"/>
  <c r="AC5637" i="34"/>
  <c r="AD5637" i="34"/>
  <c r="P5638" i="34"/>
  <c r="T5638" i="34"/>
  <c r="U5638" i="34"/>
  <c r="V5638" i="34"/>
  <c r="W5638" i="34"/>
  <c r="Y5638" i="34"/>
  <c r="AB5638" i="34"/>
  <c r="AC5638" i="34"/>
  <c r="AD5638" i="34"/>
  <c r="P5639" i="34"/>
  <c r="T5639" i="34"/>
  <c r="U5639" i="34"/>
  <c r="V5639" i="34"/>
  <c r="W5639" i="34"/>
  <c r="Y5639" i="34"/>
  <c r="AB5639" i="34"/>
  <c r="AC5639" i="34"/>
  <c r="AD5639" i="34"/>
  <c r="P5647" i="34"/>
  <c r="T5647" i="34"/>
  <c r="U5647" i="34"/>
  <c r="V5647" i="34"/>
  <c r="W5647" i="34"/>
  <c r="Y5647" i="34"/>
  <c r="AB5647" i="34"/>
  <c r="AC5647" i="34"/>
  <c r="AD5647" i="34"/>
  <c r="P5648" i="34"/>
  <c r="T5648" i="34"/>
  <c r="U5648" i="34"/>
  <c r="V5648" i="34"/>
  <c r="W5648" i="34"/>
  <c r="Y5648" i="34"/>
  <c r="AB5648" i="34"/>
  <c r="AC5648" i="34"/>
  <c r="AD5648" i="34"/>
  <c r="P5649" i="34"/>
  <c r="T5649" i="34"/>
  <c r="U5649" i="34"/>
  <c r="V5649" i="34"/>
  <c r="W5649" i="34"/>
  <c r="Y5649" i="34"/>
  <c r="AB5649" i="34"/>
  <c r="AC5649" i="34"/>
  <c r="AD5649" i="34"/>
  <c r="P5654" i="34"/>
  <c r="T5654" i="34"/>
  <c r="U5654" i="34"/>
  <c r="V5654" i="34"/>
  <c r="W5654" i="34"/>
  <c r="Y5654" i="34"/>
  <c r="AB5654" i="34"/>
  <c r="AC5654" i="34"/>
  <c r="AD5654" i="34"/>
  <c r="P5655" i="34"/>
  <c r="T5655" i="34"/>
  <c r="U5655" i="34"/>
  <c r="V5655" i="34"/>
  <c r="W5655" i="34"/>
  <c r="Y5655" i="34"/>
  <c r="AB5655" i="34"/>
  <c r="AC5655" i="34"/>
  <c r="AD5655" i="34"/>
  <c r="P5656" i="34"/>
  <c r="T5656" i="34"/>
  <c r="U5656" i="34"/>
  <c r="V5656" i="34"/>
  <c r="W5656" i="34"/>
  <c r="Y5656" i="34"/>
  <c r="AB5656" i="34"/>
  <c r="AC5656" i="34"/>
  <c r="AD5656" i="34"/>
  <c r="P5657" i="34"/>
  <c r="T5657" i="34"/>
  <c r="U5657" i="34"/>
  <c r="V5657" i="34"/>
  <c r="W5657" i="34"/>
  <c r="Y5657" i="34"/>
  <c r="AB5657" i="34"/>
  <c r="AC5657" i="34"/>
  <c r="AD5657" i="34"/>
  <c r="P5668" i="34"/>
  <c r="T5668" i="34"/>
  <c r="U5668" i="34"/>
  <c r="V5668" i="34"/>
  <c r="W5668" i="34"/>
  <c r="Y5668" i="34"/>
  <c r="AB5668" i="34"/>
  <c r="AC5668" i="34"/>
  <c r="AD5668" i="34"/>
  <c r="P5684" i="34"/>
  <c r="T5684" i="34"/>
  <c r="U5684" i="34"/>
  <c r="V5684" i="34"/>
  <c r="W5684" i="34"/>
  <c r="Y5684" i="34"/>
  <c r="AB5684" i="34"/>
  <c r="AC5684" i="34"/>
  <c r="AD5684" i="34"/>
  <c r="P5692" i="34"/>
  <c r="T5692" i="34"/>
  <c r="U5692" i="34"/>
  <c r="V5692" i="34"/>
  <c r="W5692" i="34"/>
  <c r="Y5692" i="34"/>
  <c r="AB5692" i="34"/>
  <c r="AC5692" i="34"/>
  <c r="AD5692" i="34"/>
  <c r="P5693" i="34"/>
  <c r="T5693" i="34"/>
  <c r="U5693" i="34"/>
  <c r="V5693" i="34"/>
  <c r="W5693" i="34"/>
  <c r="Y5693" i="34"/>
  <c r="AB5693" i="34"/>
  <c r="AC5693" i="34"/>
  <c r="AD5693" i="34"/>
  <c r="P5694" i="34"/>
  <c r="T5694" i="34"/>
  <c r="U5694" i="34"/>
  <c r="V5694" i="34"/>
  <c r="W5694" i="34"/>
  <c r="Y5694" i="34"/>
  <c r="AB5694" i="34"/>
  <c r="AC5694" i="34"/>
  <c r="AD5694" i="34"/>
  <c r="P5695" i="34"/>
  <c r="T5695" i="34"/>
  <c r="U5695" i="34"/>
  <c r="V5695" i="34"/>
  <c r="W5695" i="34"/>
  <c r="Y5695" i="34"/>
  <c r="AB5695" i="34"/>
  <c r="AC5695" i="34"/>
  <c r="AD5695" i="34"/>
  <c r="P5696" i="34"/>
  <c r="T5696" i="34"/>
  <c r="U5696" i="34"/>
  <c r="V5696" i="34"/>
  <c r="W5696" i="34"/>
  <c r="Y5696" i="34"/>
  <c r="AB5696" i="34"/>
  <c r="AC5696" i="34"/>
  <c r="AD5696" i="34"/>
  <c r="P5697" i="34"/>
  <c r="T5697" i="34"/>
  <c r="U5697" i="34"/>
  <c r="V5697" i="34"/>
  <c r="W5697" i="34"/>
  <c r="Y5697" i="34"/>
  <c r="AB5697" i="34"/>
  <c r="AC5697" i="34"/>
  <c r="AD5697" i="34"/>
  <c r="P5698" i="34"/>
  <c r="T5698" i="34"/>
  <c r="U5698" i="34"/>
  <c r="V5698" i="34"/>
  <c r="W5698" i="34"/>
  <c r="Y5698" i="34"/>
  <c r="AB5698" i="34"/>
  <c r="AC5698" i="34"/>
  <c r="AD5698" i="34"/>
  <c r="P5699" i="34"/>
  <c r="T5699" i="34"/>
  <c r="U5699" i="34"/>
  <c r="V5699" i="34"/>
  <c r="W5699" i="34"/>
  <c r="Y5699" i="34"/>
  <c r="AB5699" i="34"/>
  <c r="AC5699" i="34"/>
  <c r="AD5699" i="34"/>
  <c r="P5700" i="34"/>
  <c r="T5700" i="34"/>
  <c r="U5700" i="34"/>
  <c r="V5700" i="34"/>
  <c r="W5700" i="34"/>
  <c r="Y5700" i="34"/>
  <c r="AB5700" i="34"/>
  <c r="AC5700" i="34"/>
  <c r="AD5700" i="34"/>
  <c r="P5705" i="34"/>
  <c r="T5705" i="34"/>
  <c r="U5705" i="34"/>
  <c r="V5705" i="34"/>
  <c r="W5705" i="34"/>
  <c r="Y5705" i="34"/>
  <c r="AB5705" i="34"/>
  <c r="AC5705" i="34"/>
  <c r="AD5705" i="34"/>
  <c r="P5706" i="34"/>
  <c r="T5706" i="34"/>
  <c r="U5706" i="34"/>
  <c r="V5706" i="34"/>
  <c r="W5706" i="34"/>
  <c r="Y5706" i="34"/>
  <c r="AB5706" i="34"/>
  <c r="AC5706" i="34"/>
  <c r="AD5706" i="34"/>
  <c r="P5506" i="34"/>
  <c r="T5506" i="34"/>
  <c r="U5506" i="34"/>
  <c r="V5506" i="34"/>
  <c r="W5506" i="34"/>
  <c r="Y5506" i="34"/>
  <c r="AB5506" i="34"/>
  <c r="AC5506" i="34"/>
  <c r="AD5506" i="34"/>
  <c r="P5714" i="34"/>
  <c r="T5714" i="34"/>
  <c r="U5714" i="34"/>
  <c r="V5714" i="34"/>
  <c r="W5714" i="34"/>
  <c r="Y5714" i="34"/>
  <c r="AB5714" i="34"/>
  <c r="AC5714" i="34"/>
  <c r="AD5714" i="34"/>
  <c r="P5715" i="34"/>
  <c r="T5715" i="34"/>
  <c r="U5715" i="34"/>
  <c r="V5715" i="34"/>
  <c r="W5715" i="34"/>
  <c r="Y5715" i="34"/>
  <c r="AB5715" i="34"/>
  <c r="AC5715" i="34"/>
  <c r="AD5715" i="34"/>
  <c r="P5716" i="34"/>
  <c r="T5716" i="34"/>
  <c r="U5716" i="34"/>
  <c r="V5716" i="34"/>
  <c r="W5716" i="34"/>
  <c r="Y5716" i="34"/>
  <c r="AB5716" i="34"/>
  <c r="AC5716" i="34"/>
  <c r="AD5716" i="34"/>
  <c r="M2412" i="34"/>
  <c r="C2412" i="34"/>
  <c r="V254" i="60"/>
  <c r="L244" i="60" s="1"/>
  <c r="V256" i="60"/>
  <c r="L246" i="60" s="1"/>
  <c r="V257" i="60"/>
  <c r="L247" i="60" s="1"/>
  <c r="V258" i="60"/>
  <c r="L248" i="60" s="1"/>
  <c r="V259" i="60"/>
  <c r="L249" i="60" s="1"/>
  <c r="V260" i="60"/>
  <c r="L250" i="60" s="1"/>
  <c r="V261" i="60"/>
  <c r="L251" i="60" s="1"/>
  <c r="V262" i="60"/>
  <c r="L252" i="60" s="1"/>
  <c r="V263" i="60"/>
  <c r="L253" i="60" s="1"/>
  <c r="V264" i="60"/>
  <c r="L254" i="60" s="1"/>
  <c r="M2262" i="34"/>
  <c r="C2262" i="34"/>
  <c r="AD2262" i="34" s="1"/>
  <c r="M2260" i="34"/>
  <c r="C2260" i="34"/>
  <c r="AD2260" i="34" s="1"/>
  <c r="M2145" i="34"/>
  <c r="C2145" i="34"/>
  <c r="V233" i="60"/>
  <c r="V232" i="60"/>
  <c r="V211" i="60"/>
  <c r="M257" i="60"/>
  <c r="M2261" i="34"/>
  <c r="C2261" i="34"/>
  <c r="AD2261" i="34" s="1"/>
  <c r="M2263" i="34"/>
  <c r="C2263" i="34"/>
  <c r="AD2263" i="34" s="1"/>
  <c r="M2259" i="34"/>
  <c r="C2259" i="34"/>
  <c r="AD2259" i="34" s="1"/>
  <c r="M2258" i="34"/>
  <c r="C2258" i="34"/>
  <c r="AD2258" i="34" s="1"/>
  <c r="M2257" i="34"/>
  <c r="C2257" i="34"/>
  <c r="AD2257" i="34" s="1"/>
  <c r="M2256" i="34"/>
  <c r="C2256" i="34"/>
  <c r="AD2256" i="34" s="1"/>
  <c r="M2255" i="34"/>
  <c r="C2255" i="34"/>
  <c r="AD2255" i="34" s="1"/>
  <c r="M2254" i="34"/>
  <c r="C2254" i="34"/>
  <c r="AD2254" i="34" s="1"/>
  <c r="M2253" i="34"/>
  <c r="C2253" i="34"/>
  <c r="AD2253" i="34" s="1"/>
  <c r="M2252" i="34"/>
  <c r="C2252" i="34"/>
  <c r="AD2252" i="34" s="1"/>
  <c r="M2251" i="34"/>
  <c r="C2251" i="34"/>
  <c r="AD2251" i="34" s="1"/>
  <c r="M2250" i="34"/>
  <c r="C2250" i="34"/>
  <c r="AD2250" i="34" s="1"/>
  <c r="M2146" i="34"/>
  <c r="C2146" i="34"/>
  <c r="M2144" i="34"/>
  <c r="C2144" i="34"/>
  <c r="M2143" i="34"/>
  <c r="C2143" i="34"/>
  <c r="M2142" i="34"/>
  <c r="C2142" i="34"/>
  <c r="M2141" i="34"/>
  <c r="C2141" i="34"/>
  <c r="M2140" i="34"/>
  <c r="C2140" i="34"/>
  <c r="M2139" i="34"/>
  <c r="C2139" i="34"/>
  <c r="M2138" i="34"/>
  <c r="C2138" i="34"/>
  <c r="M2137" i="34"/>
  <c r="C2137" i="34"/>
  <c r="M2136" i="34"/>
  <c r="C2136" i="34"/>
  <c r="M2135" i="34"/>
  <c r="C2135" i="34"/>
  <c r="M2134" i="34"/>
  <c r="C2134" i="34"/>
  <c r="I1879" i="34"/>
  <c r="I1878" i="34"/>
  <c r="M1880" i="34"/>
  <c r="C1880" i="34"/>
  <c r="AD1880" i="34" s="1"/>
  <c r="T185" i="60"/>
  <c r="M1869" i="34"/>
  <c r="C1869" i="34"/>
  <c r="V188" i="60"/>
  <c r="L180" i="60" s="1"/>
  <c r="G175" i="60"/>
  <c r="C175" i="60"/>
  <c r="M1801" i="34"/>
  <c r="C1801" i="34"/>
  <c r="AD1801" i="34" s="1"/>
  <c r="M1800" i="34"/>
  <c r="C1800" i="34"/>
  <c r="AD1800" i="34" s="1"/>
  <c r="M1799" i="34"/>
  <c r="C1799" i="34"/>
  <c r="AD1799" i="34" s="1"/>
  <c r="M1798" i="34"/>
  <c r="C1798" i="34"/>
  <c r="AD1798" i="34" s="1"/>
  <c r="M1803" i="34"/>
  <c r="C1803" i="34"/>
  <c r="AD1803" i="34" s="1"/>
  <c r="M1802" i="34"/>
  <c r="C1802" i="34"/>
  <c r="AD1802" i="34" s="1"/>
  <c r="V168" i="60"/>
  <c r="L161" i="60" s="1"/>
  <c r="M163" i="60"/>
  <c r="V150" i="60"/>
  <c r="L142" i="60" s="1"/>
  <c r="S932" i="34" l="1"/>
  <c r="A932" i="34"/>
  <c r="S925" i="34"/>
  <c r="A925" i="34"/>
  <c r="S927" i="34"/>
  <c r="A927" i="34"/>
  <c r="S929" i="34"/>
  <c r="A929" i="34"/>
  <c r="Q924" i="34"/>
  <c r="A924" i="34"/>
  <c r="Q928" i="34"/>
  <c r="A928" i="34"/>
  <c r="S953" i="34"/>
  <c r="A953" i="34"/>
  <c r="R951" i="34"/>
  <c r="A951" i="34"/>
  <c r="Q953" i="34"/>
  <c r="AD1869" i="34"/>
  <c r="B1869" i="34"/>
  <c r="A1869" i="34" s="1"/>
  <c r="AD2137" i="34"/>
  <c r="B2137" i="34"/>
  <c r="A2137" i="34" s="1"/>
  <c r="AD2412" i="34"/>
  <c r="B2412" i="34"/>
  <c r="A2412" i="34" s="1"/>
  <c r="AD2135" i="34"/>
  <c r="B2135" i="34"/>
  <c r="A2135" i="34" s="1"/>
  <c r="AD2139" i="34"/>
  <c r="B2139" i="34"/>
  <c r="A2139" i="34" s="1"/>
  <c r="AD2141" i="34"/>
  <c r="B2141" i="34"/>
  <c r="A2141" i="34" s="1"/>
  <c r="AD2143" i="34"/>
  <c r="B2143" i="34"/>
  <c r="AD2146" i="34"/>
  <c r="B2146" i="34"/>
  <c r="A2146" i="34" s="1"/>
  <c r="AD2134" i="34"/>
  <c r="B2134" i="34"/>
  <c r="A2134" i="34" s="1"/>
  <c r="AD2136" i="34"/>
  <c r="B2136" i="34"/>
  <c r="A2136" i="34" s="1"/>
  <c r="AD2138" i="34"/>
  <c r="B2138" i="34"/>
  <c r="A2138" i="34" s="1"/>
  <c r="AD2140" i="34"/>
  <c r="B2140" i="34"/>
  <c r="A2140" i="34" s="1"/>
  <c r="AD2142" i="34"/>
  <c r="B2142" i="34"/>
  <c r="AD2144" i="34"/>
  <c r="B2144" i="34"/>
  <c r="A2144" i="34" s="1"/>
  <c r="AD2145" i="34"/>
  <c r="B2145" i="34"/>
  <c r="A2145" i="34" s="1"/>
  <c r="R932" i="34"/>
  <c r="Q932" i="34"/>
  <c r="Q951" i="34"/>
  <c r="S951" i="34"/>
  <c r="R928" i="34"/>
  <c r="Q925" i="34"/>
  <c r="R926" i="34"/>
  <c r="S928" i="34"/>
  <c r="R929" i="34"/>
  <c r="S924" i="34"/>
  <c r="R925" i="34"/>
  <c r="R924" i="34"/>
  <c r="Q927" i="34"/>
  <c r="R927" i="34"/>
  <c r="Q929" i="34"/>
  <c r="Q926" i="34"/>
  <c r="S926" i="34"/>
  <c r="Q930" i="34"/>
  <c r="S930" i="34"/>
  <c r="R930" i="34"/>
  <c r="S954" i="34"/>
  <c r="R954" i="34"/>
  <c r="Q954" i="34"/>
  <c r="Q961" i="34"/>
  <c r="S961" i="34"/>
  <c r="R961" i="34"/>
  <c r="Q955" i="34"/>
  <c r="S955" i="34"/>
  <c r="R955" i="34"/>
  <c r="S960" i="34"/>
  <c r="R960" i="34"/>
  <c r="Q960" i="34"/>
  <c r="L224" i="60"/>
  <c r="B2257" i="34"/>
  <c r="B2255" i="34"/>
  <c r="A2255" i="34" s="1"/>
  <c r="B2253" i="34"/>
  <c r="A2253" i="34" s="1"/>
  <c r="B2262" i="34"/>
  <c r="A2262" i="34" s="1"/>
  <c r="B2260" i="34"/>
  <c r="A2260" i="34" s="1"/>
  <c r="B2261" i="34"/>
  <c r="A2261" i="34" s="1"/>
  <c r="B2251" i="34"/>
  <c r="A2251" i="34" s="1"/>
  <c r="B2256" i="34"/>
  <c r="A2256" i="34" s="1"/>
  <c r="B2258" i="34"/>
  <c r="A2258" i="34" s="1"/>
  <c r="B2250" i="34"/>
  <c r="A2250" i="34" s="1"/>
  <c r="B2252" i="34"/>
  <c r="A2252" i="34" s="1"/>
  <c r="B2254" i="34"/>
  <c r="A2254" i="34" s="1"/>
  <c r="B2259" i="34"/>
  <c r="A2259" i="34" s="1"/>
  <c r="B2263" i="34"/>
  <c r="A2263" i="34" s="1"/>
  <c r="B1880" i="34"/>
  <c r="A1880" i="34" s="1"/>
  <c r="L160" i="60"/>
  <c r="B1798" i="34"/>
  <c r="A1798" i="34" s="1"/>
  <c r="B1800" i="34"/>
  <c r="A1800" i="34" s="1"/>
  <c r="B1799" i="34"/>
  <c r="A1799" i="34" s="1"/>
  <c r="B1801" i="34"/>
  <c r="A1801" i="34" s="1"/>
  <c r="B1802" i="34"/>
  <c r="A1802" i="34" s="1"/>
  <c r="B1803" i="34"/>
  <c r="A1803" i="34" s="1"/>
  <c r="L141" i="60"/>
  <c r="M1553" i="34"/>
  <c r="C1553" i="34"/>
  <c r="AD1553" i="34" s="1"/>
  <c r="V116" i="60"/>
  <c r="L114" i="60" s="1"/>
  <c r="V117" i="60"/>
  <c r="V118" i="60"/>
  <c r="V119" i="60"/>
  <c r="L117" i="60" s="1"/>
  <c r="V120" i="60"/>
  <c r="L122" i="60" s="1"/>
  <c r="V115" i="60"/>
  <c r="L111" i="60" s="1"/>
  <c r="V114" i="60"/>
  <c r="L106" i="60" s="1"/>
  <c r="T90" i="60"/>
  <c r="T89" i="60"/>
  <c r="R2142" i="34" l="1"/>
  <c r="A2142" i="34"/>
  <c r="Q2143" i="34"/>
  <c r="A2143" i="34"/>
  <c r="Q2257" i="34"/>
  <c r="A2257" i="34"/>
  <c r="S2142" i="34"/>
  <c r="S2257" i="34"/>
  <c r="S2143" i="34"/>
  <c r="R2257" i="34"/>
  <c r="Q2142" i="34"/>
  <c r="R2143" i="34"/>
  <c r="Q2134" i="34"/>
  <c r="R2134" i="34"/>
  <c r="S2134" i="34"/>
  <c r="R1869" i="34"/>
  <c r="S1869" i="34"/>
  <c r="Q1869" i="34"/>
  <c r="S2135" i="34"/>
  <c r="Q2135" i="34"/>
  <c r="R2135" i="34"/>
  <c r="S2263" i="34"/>
  <c r="Q2263" i="34"/>
  <c r="R2263" i="34"/>
  <c r="Q2250" i="34"/>
  <c r="R2250" i="34"/>
  <c r="S2250" i="34"/>
  <c r="Q2260" i="34"/>
  <c r="R2260" i="34"/>
  <c r="S2260" i="34"/>
  <c r="S2253" i="34"/>
  <c r="Q2253" i="34"/>
  <c r="R2253" i="34"/>
  <c r="Q1801" i="34"/>
  <c r="R1801" i="34"/>
  <c r="S1801" i="34"/>
  <c r="Q2252" i="34"/>
  <c r="R2252" i="34"/>
  <c r="S2252" i="34"/>
  <c r="Q1799" i="34"/>
  <c r="R1799" i="34"/>
  <c r="S1799" i="34"/>
  <c r="Q1803" i="34"/>
  <c r="R1803" i="34"/>
  <c r="S1803" i="34"/>
  <c r="R1800" i="34"/>
  <c r="S1800" i="34"/>
  <c r="Q1800" i="34"/>
  <c r="Q1880" i="34"/>
  <c r="R1880" i="34"/>
  <c r="S1880" i="34"/>
  <c r="S2137" i="34"/>
  <c r="Q2137" i="34"/>
  <c r="R2137" i="34"/>
  <c r="S2259" i="34"/>
  <c r="Q2259" i="34"/>
  <c r="R2259" i="34"/>
  <c r="S2251" i="34"/>
  <c r="Q2251" i="34"/>
  <c r="R2251" i="34"/>
  <c r="Q2262" i="34"/>
  <c r="R2262" i="34"/>
  <c r="S2262" i="34"/>
  <c r="Q2146" i="34"/>
  <c r="R2146" i="34"/>
  <c r="S2146" i="34"/>
  <c r="S2139" i="34"/>
  <c r="Q2139" i="34"/>
  <c r="R2139" i="34"/>
  <c r="R1802" i="34"/>
  <c r="S1802" i="34"/>
  <c r="Q1802" i="34"/>
  <c r="R1798" i="34"/>
  <c r="S1798" i="34"/>
  <c r="Q1798" i="34"/>
  <c r="Q2136" i="34"/>
  <c r="R2136" i="34"/>
  <c r="S2136" i="34"/>
  <c r="S2141" i="34"/>
  <c r="Q2141" i="34"/>
  <c r="R2141" i="34"/>
  <c r="Q2140" i="34"/>
  <c r="R2140" i="34"/>
  <c r="S2140" i="34"/>
  <c r="Q2254" i="34"/>
  <c r="R2254" i="34"/>
  <c r="S2254" i="34"/>
  <c r="Q2258" i="34"/>
  <c r="R2258" i="34"/>
  <c r="S2258" i="34"/>
  <c r="S2261" i="34"/>
  <c r="Q2261" i="34"/>
  <c r="R2261" i="34"/>
  <c r="R2412" i="34"/>
  <c r="S2412" i="34"/>
  <c r="Q2412" i="34"/>
  <c r="Q2138" i="34"/>
  <c r="R2138" i="34"/>
  <c r="S2138" i="34"/>
  <c r="Q2256" i="34"/>
  <c r="R2256" i="34"/>
  <c r="S2256" i="34"/>
  <c r="S2145" i="34"/>
  <c r="Q2145" i="34"/>
  <c r="R2145" i="34"/>
  <c r="S2255" i="34"/>
  <c r="Q2255" i="34"/>
  <c r="R2255" i="34"/>
  <c r="Q2144" i="34"/>
  <c r="R2144" i="34"/>
  <c r="S2144" i="34"/>
  <c r="L116" i="60"/>
  <c r="L127" i="60"/>
  <c r="L120" i="60"/>
  <c r="L115" i="60"/>
  <c r="L125" i="60"/>
  <c r="L110" i="60"/>
  <c r="L121" i="60"/>
  <c r="L129" i="60"/>
  <c r="L124" i="60"/>
  <c r="L119" i="60"/>
  <c r="L107" i="60"/>
  <c r="L128" i="60"/>
  <c r="L123" i="60"/>
  <c r="L113" i="60"/>
  <c r="L109" i="60"/>
  <c r="L112" i="60"/>
  <c r="L108" i="60"/>
  <c r="L118" i="60"/>
  <c r="L126" i="60"/>
  <c r="B1553" i="34"/>
  <c r="A1553" i="34" s="1"/>
  <c r="T38" i="60"/>
  <c r="T16" i="60"/>
  <c r="T15" i="60"/>
  <c r="I877" i="34"/>
  <c r="M2066" i="34"/>
  <c r="C2066" i="34"/>
  <c r="AD2066" i="34" s="1"/>
  <c r="M2055" i="34"/>
  <c r="O199" i="60"/>
  <c r="C202" i="60"/>
  <c r="D202" i="60" s="1"/>
  <c r="F202" i="60"/>
  <c r="M2361" i="34"/>
  <c r="E2361" i="34"/>
  <c r="B2361" i="34"/>
  <c r="A2361" i="34" s="1"/>
  <c r="M2188" i="34"/>
  <c r="B2188" i="34"/>
  <c r="A2188" i="34" s="1"/>
  <c r="F241" i="60"/>
  <c r="F242" i="60"/>
  <c r="F243" i="60"/>
  <c r="F244" i="60"/>
  <c r="F245" i="60"/>
  <c r="F246" i="60"/>
  <c r="F247" i="60"/>
  <c r="F248" i="60"/>
  <c r="F249" i="60"/>
  <c r="F250" i="60"/>
  <c r="F251" i="60"/>
  <c r="F252" i="60"/>
  <c r="F253" i="60"/>
  <c r="F254" i="60"/>
  <c r="C241" i="60"/>
  <c r="D241" i="60" s="1"/>
  <c r="C242" i="60"/>
  <c r="D242" i="60" s="1"/>
  <c r="C243" i="60"/>
  <c r="D243" i="60" s="1"/>
  <c r="C244" i="60"/>
  <c r="D244" i="60" s="1"/>
  <c r="C245" i="60"/>
  <c r="D245" i="60" s="1"/>
  <c r="C246" i="60"/>
  <c r="D246" i="60" s="1"/>
  <c r="C247" i="60"/>
  <c r="D247" i="60" s="1"/>
  <c r="C248" i="60"/>
  <c r="D248" i="60" s="1"/>
  <c r="C249" i="60"/>
  <c r="D249" i="60" s="1"/>
  <c r="C250" i="60"/>
  <c r="D250" i="60" s="1"/>
  <c r="C251" i="60"/>
  <c r="D251" i="60" s="1"/>
  <c r="C252" i="60"/>
  <c r="D252" i="60" s="1"/>
  <c r="C253" i="60"/>
  <c r="D253" i="60" s="1"/>
  <c r="C254" i="60"/>
  <c r="D254" i="60" s="1"/>
  <c r="C240" i="60"/>
  <c r="D240" i="60" s="1"/>
  <c r="E257" i="60"/>
  <c r="O257" i="60"/>
  <c r="A241" i="60"/>
  <c r="A242" i="60" s="1"/>
  <c r="A243" i="60" s="1"/>
  <c r="A244" i="60" s="1"/>
  <c r="A245" i="60" s="1"/>
  <c r="A246" i="60" s="1"/>
  <c r="A247" i="60" s="1"/>
  <c r="A248" i="60" s="1"/>
  <c r="A249" i="60" s="1"/>
  <c r="A250" i="60" s="1"/>
  <c r="A251" i="60" s="1"/>
  <c r="A252" i="60" s="1"/>
  <c r="M2334" i="34"/>
  <c r="M2333" i="34"/>
  <c r="M2332" i="34"/>
  <c r="M2331" i="34"/>
  <c r="M2330" i="34"/>
  <c r="M2329" i="34"/>
  <c r="M2328" i="34"/>
  <c r="M2341" i="34"/>
  <c r="M2340" i="34"/>
  <c r="M2339" i="34"/>
  <c r="M2338" i="34"/>
  <c r="M2337" i="34"/>
  <c r="M2336" i="34"/>
  <c r="M2335" i="34"/>
  <c r="M2342" i="34"/>
  <c r="M2374" i="34"/>
  <c r="I2344" i="34"/>
  <c r="M2346" i="34" s="1"/>
  <c r="E2346" i="34"/>
  <c r="B2346" i="34"/>
  <c r="A2346" i="34" s="1"/>
  <c r="M2345" i="34"/>
  <c r="E2345" i="34"/>
  <c r="B2345" i="34"/>
  <c r="A2345" i="34" s="1"/>
  <c r="M2205" i="34"/>
  <c r="M2207" i="34"/>
  <c r="M2206" i="34"/>
  <c r="M2211" i="34"/>
  <c r="M2210" i="34"/>
  <c r="M2209" i="34"/>
  <c r="M2208" i="34"/>
  <c r="C219" i="60"/>
  <c r="D219" i="60" s="1"/>
  <c r="C220" i="60"/>
  <c r="D220" i="60" s="1"/>
  <c r="C221" i="60"/>
  <c r="D221" i="60" s="1"/>
  <c r="C222" i="60"/>
  <c r="D222" i="60" s="1"/>
  <c r="C223" i="60"/>
  <c r="D223" i="60" s="1"/>
  <c r="C224" i="60"/>
  <c r="D224" i="60" s="1"/>
  <c r="C218" i="60"/>
  <c r="D218" i="60" s="1"/>
  <c r="F220" i="60"/>
  <c r="F221" i="60"/>
  <c r="F222" i="60"/>
  <c r="F223" i="60"/>
  <c r="F224" i="60"/>
  <c r="A219" i="60"/>
  <c r="A220" i="60" s="1"/>
  <c r="A221" i="60" s="1"/>
  <c r="A222" i="60" s="1"/>
  <c r="A223" i="60" s="1"/>
  <c r="A224" i="60" s="1"/>
  <c r="M2371" i="34"/>
  <c r="E2371" i="34"/>
  <c r="B2371" i="34"/>
  <c r="A2371" i="34" s="1"/>
  <c r="M2370" i="34"/>
  <c r="E2370" i="34"/>
  <c r="B2370" i="34"/>
  <c r="A2370" i="34" s="1"/>
  <c r="M2372" i="34"/>
  <c r="E2372" i="34"/>
  <c r="B2372" i="34"/>
  <c r="A2372" i="34" s="1"/>
  <c r="I2218" i="34"/>
  <c r="M2218" i="34" s="1"/>
  <c r="E2212" i="34"/>
  <c r="E2217" i="34"/>
  <c r="E2218" i="34"/>
  <c r="E2213" i="34"/>
  <c r="E2214" i="34"/>
  <c r="B2218" i="34"/>
  <c r="A2218" i="34" s="1"/>
  <c r="I2212" i="34"/>
  <c r="F199" i="60"/>
  <c r="F200" i="60"/>
  <c r="F201" i="60"/>
  <c r="F197" i="60"/>
  <c r="C198" i="60"/>
  <c r="C199" i="60"/>
  <c r="C200" i="60"/>
  <c r="D200" i="60" s="1"/>
  <c r="C201" i="60"/>
  <c r="D201" i="60" s="1"/>
  <c r="C197" i="60"/>
  <c r="M2060" i="34"/>
  <c r="M2059" i="34"/>
  <c r="M2058" i="34"/>
  <c r="M2057" i="34"/>
  <c r="M2056" i="34"/>
  <c r="M2065" i="34"/>
  <c r="C2065" i="34"/>
  <c r="AD2065" i="34" s="1"/>
  <c r="I2064" i="34"/>
  <c r="M2064" i="34" s="1"/>
  <c r="C2064" i="34"/>
  <c r="AD2064" i="34" s="1"/>
  <c r="I2063" i="34"/>
  <c r="M2063" i="34" s="1"/>
  <c r="C2063" i="34"/>
  <c r="AD2063" i="34" s="1"/>
  <c r="M1874" i="34"/>
  <c r="C1874" i="34"/>
  <c r="M1873" i="34"/>
  <c r="C1873" i="34"/>
  <c r="M1872" i="34"/>
  <c r="C1872" i="34"/>
  <c r="M1871" i="34"/>
  <c r="C1871" i="34"/>
  <c r="M1870" i="34"/>
  <c r="C1870" i="34"/>
  <c r="M1877" i="34"/>
  <c r="C1877" i="34"/>
  <c r="M1876" i="34"/>
  <c r="C1876" i="34"/>
  <c r="M1875" i="34"/>
  <c r="C1875" i="34"/>
  <c r="G157" i="60"/>
  <c r="G158" i="60"/>
  <c r="M1771" i="34"/>
  <c r="M1772" i="34"/>
  <c r="M1770" i="34"/>
  <c r="M1769" i="34"/>
  <c r="M1768" i="34"/>
  <c r="I2061" i="34"/>
  <c r="M2061" i="34" s="1"/>
  <c r="C2061" i="34"/>
  <c r="I2062" i="34"/>
  <c r="M2062" i="34" s="1"/>
  <c r="C2062" i="34"/>
  <c r="M1868" i="34"/>
  <c r="E1868" i="34"/>
  <c r="M1767" i="34"/>
  <c r="E1767" i="34"/>
  <c r="B1767" i="34"/>
  <c r="A1767" i="34" s="1"/>
  <c r="M1766" i="34"/>
  <c r="E1766" i="34"/>
  <c r="B1766" i="34"/>
  <c r="A1766" i="34" s="1"/>
  <c r="M1879" i="34"/>
  <c r="C1879" i="34"/>
  <c r="B1851" i="34"/>
  <c r="A1851" i="34" s="1"/>
  <c r="E1851" i="34"/>
  <c r="M1851" i="34"/>
  <c r="B1852" i="34"/>
  <c r="A1852" i="34" s="1"/>
  <c r="E1852" i="34"/>
  <c r="M1852" i="34"/>
  <c r="B1853" i="34"/>
  <c r="A1853" i="34" s="1"/>
  <c r="E1853" i="34"/>
  <c r="M1853" i="34"/>
  <c r="B1854" i="34"/>
  <c r="A1854" i="34" s="1"/>
  <c r="E1854" i="34"/>
  <c r="M1854" i="34"/>
  <c r="B1855" i="34"/>
  <c r="A1855" i="34" s="1"/>
  <c r="E1855" i="34"/>
  <c r="M1855" i="34"/>
  <c r="B1856" i="34"/>
  <c r="A1856" i="34" s="1"/>
  <c r="E1856" i="34"/>
  <c r="M1856" i="34"/>
  <c r="B1857" i="34"/>
  <c r="A1857" i="34" s="1"/>
  <c r="E1857" i="34"/>
  <c r="M1857" i="34"/>
  <c r="M1773" i="34"/>
  <c r="C1773" i="34"/>
  <c r="AD1773" i="34" s="1"/>
  <c r="AD1875" i="34" l="1"/>
  <c r="B1875" i="34"/>
  <c r="A1875" i="34" s="1"/>
  <c r="AD1871" i="34"/>
  <c r="B1871" i="34"/>
  <c r="A1871" i="34" s="1"/>
  <c r="AD1873" i="34"/>
  <c r="B1873" i="34"/>
  <c r="A1873" i="34" s="1"/>
  <c r="AD1879" i="34"/>
  <c r="B1879" i="34"/>
  <c r="A1879" i="34" s="1"/>
  <c r="AD2061" i="34"/>
  <c r="B2061" i="34"/>
  <c r="A2061" i="34" s="1"/>
  <c r="AD2062" i="34"/>
  <c r="B2062" i="34"/>
  <c r="A2062" i="34" s="1"/>
  <c r="AD1877" i="34"/>
  <c r="B1877" i="34"/>
  <c r="A1877" i="34" s="1"/>
  <c r="AD1876" i="34"/>
  <c r="B1876" i="34"/>
  <c r="A1876" i="34" s="1"/>
  <c r="AD1870" i="34"/>
  <c r="B1870" i="34"/>
  <c r="A1870" i="34" s="1"/>
  <c r="AD1872" i="34"/>
  <c r="B1872" i="34"/>
  <c r="A1872" i="34" s="1"/>
  <c r="AD1874" i="34"/>
  <c r="B1874" i="34"/>
  <c r="A1874" i="34" s="1"/>
  <c r="Q1852" i="34"/>
  <c r="R1852" i="34"/>
  <c r="S1852" i="34"/>
  <c r="R1857" i="34"/>
  <c r="S1857" i="34"/>
  <c r="Q1857" i="34"/>
  <c r="R1853" i="34"/>
  <c r="S1853" i="34"/>
  <c r="Q1853" i="34"/>
  <c r="Q1767" i="34"/>
  <c r="R1767" i="34"/>
  <c r="S1767" i="34"/>
  <c r="Q2218" i="34"/>
  <c r="R2218" i="34"/>
  <c r="S2218" i="34"/>
  <c r="S2346" i="34"/>
  <c r="R2346" i="34"/>
  <c r="Q2346" i="34"/>
  <c r="R1553" i="34"/>
  <c r="S1553" i="34"/>
  <c r="Q1553" i="34"/>
  <c r="Q2371" i="34"/>
  <c r="R2371" i="34"/>
  <c r="S2371" i="34"/>
  <c r="Q2345" i="34"/>
  <c r="R2345" i="34"/>
  <c r="S2345" i="34"/>
  <c r="Q2361" i="34"/>
  <c r="R2361" i="34"/>
  <c r="S2361" i="34"/>
  <c r="Q1856" i="34"/>
  <c r="R1856" i="34"/>
  <c r="S1856" i="34"/>
  <c r="Q1854" i="34"/>
  <c r="R1854" i="34"/>
  <c r="S1854" i="34"/>
  <c r="R1766" i="34"/>
  <c r="S1766" i="34"/>
  <c r="Q1766" i="34"/>
  <c r="R1855" i="34"/>
  <c r="S1855" i="34"/>
  <c r="Q1855" i="34"/>
  <c r="R1851" i="34"/>
  <c r="S1851" i="34"/>
  <c r="Q1851" i="34"/>
  <c r="R2370" i="34"/>
  <c r="S2370" i="34"/>
  <c r="Q2370" i="34"/>
  <c r="Q1868" i="34"/>
  <c r="R1868" i="34"/>
  <c r="S1868" i="34"/>
  <c r="R2372" i="34"/>
  <c r="S2372" i="34"/>
  <c r="Q2372" i="34"/>
  <c r="Q2188" i="34"/>
  <c r="R2188" i="34"/>
  <c r="S2188" i="34"/>
  <c r="D226" i="60"/>
  <c r="G251" i="60"/>
  <c r="G243" i="60"/>
  <c r="G246" i="60"/>
  <c r="G245" i="60"/>
  <c r="G241" i="60"/>
  <c r="G254" i="60"/>
  <c r="G242" i="60"/>
  <c r="G250" i="60"/>
  <c r="G202" i="60"/>
  <c r="B2066" i="34"/>
  <c r="A2066" i="34" s="1"/>
  <c r="G201" i="60"/>
  <c r="G244" i="60"/>
  <c r="G222" i="60"/>
  <c r="G248" i="60"/>
  <c r="G247" i="60"/>
  <c r="A253" i="60"/>
  <c r="A254" i="60" s="1"/>
  <c r="G253" i="60"/>
  <c r="G249" i="60"/>
  <c r="G252" i="60"/>
  <c r="G240" i="60"/>
  <c r="D257" i="60"/>
  <c r="G200" i="60"/>
  <c r="G221" i="60"/>
  <c r="G224" i="60"/>
  <c r="G220" i="60"/>
  <c r="M2212" i="34"/>
  <c r="G223" i="60"/>
  <c r="G219" i="60"/>
  <c r="G218" i="60"/>
  <c r="B1773" i="34"/>
  <c r="A1773" i="34" s="1"/>
  <c r="B2065" i="34"/>
  <c r="A2065" i="34" s="1"/>
  <c r="B2064" i="34"/>
  <c r="A2064" i="34" s="1"/>
  <c r="B2063" i="34"/>
  <c r="A2063" i="34" s="1"/>
  <c r="I1671" i="34"/>
  <c r="M1666" i="34"/>
  <c r="M1665" i="34"/>
  <c r="M1664" i="34"/>
  <c r="M1663" i="34"/>
  <c r="I1672" i="34"/>
  <c r="M1672" i="34" s="1"/>
  <c r="I1673" i="34"/>
  <c r="C1672" i="34"/>
  <c r="AD1672" i="34" s="1"/>
  <c r="M1670" i="34"/>
  <c r="C1670" i="34"/>
  <c r="AD1670" i="34" s="1"/>
  <c r="I1669" i="34"/>
  <c r="M1669" i="34" s="1"/>
  <c r="C1669" i="34"/>
  <c r="AD1669" i="34" s="1"/>
  <c r="I1668" i="34"/>
  <c r="I1667" i="34"/>
  <c r="C105" i="60"/>
  <c r="V113" i="60"/>
  <c r="M1175" i="34"/>
  <c r="C1175" i="34"/>
  <c r="AD1175" i="34" s="1"/>
  <c r="M1038" i="34"/>
  <c r="C1038" i="34"/>
  <c r="AD1038" i="34" s="1"/>
  <c r="I1042" i="34"/>
  <c r="M1041" i="34"/>
  <c r="C1041" i="34"/>
  <c r="AD1041" i="34" s="1"/>
  <c r="I874" i="34"/>
  <c r="B862" i="34"/>
  <c r="A862" i="34" s="1"/>
  <c r="E862" i="34"/>
  <c r="M862" i="34"/>
  <c r="B863" i="34"/>
  <c r="A863" i="34" s="1"/>
  <c r="E863" i="34"/>
  <c r="M863" i="34"/>
  <c r="J255" i="60" l="1"/>
  <c r="K255" i="60"/>
  <c r="H255" i="60"/>
  <c r="I255" i="60"/>
  <c r="Q1870" i="34"/>
  <c r="R1870" i="34"/>
  <c r="S1870" i="34"/>
  <c r="Q863" i="34"/>
  <c r="R863" i="34"/>
  <c r="S863" i="34"/>
  <c r="R1871" i="34"/>
  <c r="S1871" i="34"/>
  <c r="Q1871" i="34"/>
  <c r="S2063" i="34"/>
  <c r="Q2063" i="34"/>
  <c r="R2063" i="34"/>
  <c r="S2061" i="34"/>
  <c r="Q2061" i="34"/>
  <c r="R2061" i="34"/>
  <c r="Q1872" i="34"/>
  <c r="R1872" i="34"/>
  <c r="S1872" i="34"/>
  <c r="Q2064" i="34"/>
  <c r="R2064" i="34"/>
  <c r="S2064" i="34"/>
  <c r="Q1874" i="34"/>
  <c r="R1874" i="34"/>
  <c r="S1874" i="34"/>
  <c r="Q1773" i="34"/>
  <c r="R1773" i="34"/>
  <c r="S1773" i="34"/>
  <c r="R862" i="34"/>
  <c r="S862" i="34"/>
  <c r="Q862" i="34"/>
  <c r="R1879" i="34"/>
  <c r="S1879" i="34"/>
  <c r="Q1879" i="34"/>
  <c r="Q2062" i="34"/>
  <c r="R2062" i="34"/>
  <c r="S2062" i="34"/>
  <c r="R1873" i="34"/>
  <c r="S1873" i="34"/>
  <c r="Q1873" i="34"/>
  <c r="R1877" i="34"/>
  <c r="S1877" i="34"/>
  <c r="Q1877" i="34"/>
  <c r="Q1876" i="34"/>
  <c r="R1876" i="34"/>
  <c r="S1876" i="34"/>
  <c r="S2065" i="34"/>
  <c r="Q2065" i="34"/>
  <c r="R2065" i="34"/>
  <c r="R1875" i="34"/>
  <c r="S1875" i="34"/>
  <c r="Q1875" i="34"/>
  <c r="Q2066" i="34"/>
  <c r="R2066" i="34"/>
  <c r="S2066" i="34"/>
  <c r="G226" i="60"/>
  <c r="L104" i="60"/>
  <c r="L105" i="60"/>
  <c r="D105" i="60"/>
  <c r="G257" i="60"/>
  <c r="B1670" i="34"/>
  <c r="A1670" i="34" s="1"/>
  <c r="B1672" i="34"/>
  <c r="A1672" i="34" s="1"/>
  <c r="B1669" i="34"/>
  <c r="A1669" i="34" s="1"/>
  <c r="B1175" i="34"/>
  <c r="A1175" i="34" s="1"/>
  <c r="B1038" i="34"/>
  <c r="A1038" i="34" s="1"/>
  <c r="B1041" i="34"/>
  <c r="A1041" i="34" s="1"/>
  <c r="M1497" i="34"/>
  <c r="C1497" i="34"/>
  <c r="AD1497" i="34" s="1"/>
  <c r="G105" i="60" l="1"/>
  <c r="Q1669" i="34"/>
  <c r="R1669" i="34"/>
  <c r="S1669" i="34"/>
  <c r="Q1041" i="34"/>
  <c r="R1041" i="34"/>
  <c r="S1041" i="34"/>
  <c r="R1672" i="34"/>
  <c r="S1672" i="34"/>
  <c r="Q1672" i="34"/>
  <c r="R1038" i="34"/>
  <c r="S1038" i="34"/>
  <c r="Q1038" i="34"/>
  <c r="R1670" i="34"/>
  <c r="S1670" i="34"/>
  <c r="Q1670" i="34"/>
  <c r="S1175" i="34"/>
  <c r="Q1175" i="34"/>
  <c r="R1175" i="34"/>
  <c r="B1497" i="34"/>
  <c r="A1497" i="34" s="1"/>
  <c r="I1496" i="34"/>
  <c r="I1494" i="34"/>
  <c r="I1301" i="34"/>
  <c r="I1302" i="34" s="1"/>
  <c r="I1177" i="34"/>
  <c r="B1143" i="34"/>
  <c r="A1143" i="34" s="1"/>
  <c r="R1143" i="34" l="1"/>
  <c r="S1143" i="34"/>
  <c r="Q1143" i="34"/>
  <c r="Q1497" i="34"/>
  <c r="R1497" i="34"/>
  <c r="S1497" i="34"/>
  <c r="I1498" i="34"/>
  <c r="C1480" i="34"/>
  <c r="AD1480" i="34" s="1"/>
  <c r="M1480" i="34"/>
  <c r="M1482" i="34"/>
  <c r="C1482" i="34"/>
  <c r="AD1482" i="34" s="1"/>
  <c r="M1481" i="34"/>
  <c r="C1481" i="34"/>
  <c r="AD1481" i="34" s="1"/>
  <c r="M1479" i="34"/>
  <c r="C1479" i="34"/>
  <c r="AD1479" i="34" s="1"/>
  <c r="M1478" i="34"/>
  <c r="C1478" i="34"/>
  <c r="AD1478" i="34" s="1"/>
  <c r="M1477" i="34"/>
  <c r="C1477" i="34"/>
  <c r="AD1477" i="34" s="1"/>
  <c r="M1476" i="34"/>
  <c r="C1476" i="34"/>
  <c r="AD1476" i="34" s="1"/>
  <c r="M1475" i="34"/>
  <c r="C1475" i="34"/>
  <c r="AD1475" i="34" s="1"/>
  <c r="M1474" i="34"/>
  <c r="C1474" i="34"/>
  <c r="AD1474" i="34" s="1"/>
  <c r="M1473" i="34"/>
  <c r="C1473" i="34"/>
  <c r="AD1473" i="34" s="1"/>
  <c r="M1472" i="34"/>
  <c r="C1472" i="34"/>
  <c r="AD1472" i="34" s="1"/>
  <c r="M1471" i="34"/>
  <c r="C1471" i="34"/>
  <c r="AD1471" i="34" s="1"/>
  <c r="M1470" i="34"/>
  <c r="C1470" i="34"/>
  <c r="AD1470" i="34" s="1"/>
  <c r="M1469" i="34"/>
  <c r="C1469" i="34"/>
  <c r="AD1469" i="34" s="1"/>
  <c r="M1468" i="34"/>
  <c r="C1468" i="34"/>
  <c r="AD1468" i="34" s="1"/>
  <c r="B1465" i="34"/>
  <c r="A1465" i="34" s="1"/>
  <c r="B1466" i="34"/>
  <c r="A1466" i="34" s="1"/>
  <c r="B1467" i="34"/>
  <c r="A1467" i="34" s="1"/>
  <c r="M1490" i="34"/>
  <c r="C1490" i="34"/>
  <c r="AD1490" i="34" s="1"/>
  <c r="M1489" i="34"/>
  <c r="C1489" i="34"/>
  <c r="AD1489" i="34" s="1"/>
  <c r="M1488" i="34"/>
  <c r="C1488" i="34"/>
  <c r="AD1488" i="34" s="1"/>
  <c r="M1487" i="34"/>
  <c r="C1487" i="34"/>
  <c r="AD1487" i="34" s="1"/>
  <c r="M1486" i="34"/>
  <c r="C1486" i="34"/>
  <c r="AD1486" i="34" s="1"/>
  <c r="M1485" i="34"/>
  <c r="C1485" i="34"/>
  <c r="AD1485" i="34" s="1"/>
  <c r="M1484" i="34"/>
  <c r="C1484" i="34"/>
  <c r="AD1484" i="34" s="1"/>
  <c r="M1483" i="34"/>
  <c r="C1483" i="34"/>
  <c r="AD1483" i="34" s="1"/>
  <c r="M1493" i="34"/>
  <c r="C1493" i="34"/>
  <c r="AD1493" i="34" s="1"/>
  <c r="M1492" i="34"/>
  <c r="C1492" i="34"/>
  <c r="AD1492" i="34" s="1"/>
  <c r="M1491" i="34"/>
  <c r="C1491" i="34"/>
  <c r="AD1491" i="34" s="1"/>
  <c r="E131" i="60"/>
  <c r="B1291" i="34"/>
  <c r="A1291" i="34" s="1"/>
  <c r="M1293" i="34"/>
  <c r="C1293" i="34"/>
  <c r="AD1293" i="34" s="1"/>
  <c r="M1292" i="34"/>
  <c r="C1292" i="34"/>
  <c r="AD1292" i="34" s="1"/>
  <c r="M1299" i="34"/>
  <c r="C1299" i="34"/>
  <c r="AD1299" i="34" s="1"/>
  <c r="M1298" i="34"/>
  <c r="C1298" i="34"/>
  <c r="AD1298" i="34" s="1"/>
  <c r="M1297" i="34"/>
  <c r="C1297" i="34"/>
  <c r="AD1297" i="34" s="1"/>
  <c r="M1296" i="34"/>
  <c r="C1296" i="34"/>
  <c r="AD1296" i="34" s="1"/>
  <c r="M1295" i="34"/>
  <c r="C1295" i="34"/>
  <c r="AD1295" i="34" s="1"/>
  <c r="M1294" i="34"/>
  <c r="C1294" i="34"/>
  <c r="AD1294" i="34" s="1"/>
  <c r="M1301" i="34"/>
  <c r="C1301" i="34"/>
  <c r="AD1301" i="34" s="1"/>
  <c r="C1168" i="34"/>
  <c r="AD1168" i="34" s="1"/>
  <c r="C1167" i="34"/>
  <c r="AD1167" i="34" s="1"/>
  <c r="M1174" i="34"/>
  <c r="C1174" i="34"/>
  <c r="AD1174" i="34" s="1"/>
  <c r="O44" i="60"/>
  <c r="S1466" i="34" l="1"/>
  <c r="Q1466" i="34"/>
  <c r="R1466" i="34"/>
  <c r="Q1465" i="34"/>
  <c r="R1465" i="34"/>
  <c r="S1465" i="34"/>
  <c r="S1291" i="34"/>
  <c r="Q1291" i="34"/>
  <c r="R1291" i="34"/>
  <c r="Q1467" i="34"/>
  <c r="R1467" i="34"/>
  <c r="S1467" i="34"/>
  <c r="B1480" i="34"/>
  <c r="A1480" i="34" s="1"/>
  <c r="B1294" i="34"/>
  <c r="A1294" i="34" s="1"/>
  <c r="B1483" i="34"/>
  <c r="A1483" i="34" s="1"/>
  <c r="B1487" i="34"/>
  <c r="A1487" i="34" s="1"/>
  <c r="B1491" i="34"/>
  <c r="A1491" i="34" s="1"/>
  <c r="B1471" i="34"/>
  <c r="A1471" i="34" s="1"/>
  <c r="B1473" i="34"/>
  <c r="A1473" i="34" s="1"/>
  <c r="B1475" i="34"/>
  <c r="A1475" i="34" s="1"/>
  <c r="B1477" i="34"/>
  <c r="A1477" i="34" s="1"/>
  <c r="B1479" i="34"/>
  <c r="A1479" i="34" s="1"/>
  <c r="B1481" i="34"/>
  <c r="A1481" i="34" s="1"/>
  <c r="B1490" i="34"/>
  <c r="A1490" i="34" s="1"/>
  <c r="B1486" i="34"/>
  <c r="A1486" i="34" s="1"/>
  <c r="B1493" i="34"/>
  <c r="A1493" i="34" s="1"/>
  <c r="B1489" i="34"/>
  <c r="A1489" i="34" s="1"/>
  <c r="B1485" i="34"/>
  <c r="A1485" i="34" s="1"/>
  <c r="B1492" i="34"/>
  <c r="A1492" i="34" s="1"/>
  <c r="B1488" i="34"/>
  <c r="A1488" i="34" s="1"/>
  <c r="B1484" i="34"/>
  <c r="A1484" i="34" s="1"/>
  <c r="B1468" i="34"/>
  <c r="A1468" i="34" s="1"/>
  <c r="B1469" i="34"/>
  <c r="A1469" i="34" s="1"/>
  <c r="B1470" i="34"/>
  <c r="A1470" i="34" s="1"/>
  <c r="B1472" i="34"/>
  <c r="A1472" i="34" s="1"/>
  <c r="B1474" i="34"/>
  <c r="A1474" i="34" s="1"/>
  <c r="B1476" i="34"/>
  <c r="A1476" i="34" s="1"/>
  <c r="B1478" i="34"/>
  <c r="A1478" i="34" s="1"/>
  <c r="B1482" i="34"/>
  <c r="A1482" i="34" s="1"/>
  <c r="B1296" i="34"/>
  <c r="A1296" i="34" s="1"/>
  <c r="B1299" i="34"/>
  <c r="A1299" i="34" s="1"/>
  <c r="B1295" i="34"/>
  <c r="A1295" i="34" s="1"/>
  <c r="B1298" i="34"/>
  <c r="A1298" i="34" s="1"/>
  <c r="B1297" i="34"/>
  <c r="A1297" i="34" s="1"/>
  <c r="B1293" i="34"/>
  <c r="A1293" i="34" s="1"/>
  <c r="B1292" i="34"/>
  <c r="A1292" i="34" s="1"/>
  <c r="B1301" i="34"/>
  <c r="A1301" i="34" s="1"/>
  <c r="B1174" i="34"/>
  <c r="A1174" i="34" s="1"/>
  <c r="M1172" i="34"/>
  <c r="C1172" i="34"/>
  <c r="AD1172" i="34" s="1"/>
  <c r="M1171" i="34"/>
  <c r="C1171" i="34"/>
  <c r="AD1171" i="34" s="1"/>
  <c r="M1169" i="34"/>
  <c r="C1169" i="34"/>
  <c r="AD1169" i="34" s="1"/>
  <c r="M1170" i="34"/>
  <c r="C1170" i="34"/>
  <c r="AD1170" i="34" s="1"/>
  <c r="M1168" i="34"/>
  <c r="M1167" i="34"/>
  <c r="E68" i="60"/>
  <c r="B1163" i="34"/>
  <c r="A1163" i="34" s="1"/>
  <c r="B1164" i="34"/>
  <c r="A1164" i="34" s="1"/>
  <c r="B1165" i="34"/>
  <c r="A1165" i="34" s="1"/>
  <c r="M1164" i="34"/>
  <c r="E1164" i="34"/>
  <c r="M968" i="34"/>
  <c r="E968" i="34"/>
  <c r="B968" i="34"/>
  <c r="A968" i="34" s="1"/>
  <c r="C1039" i="34"/>
  <c r="AD1039" i="34" s="1"/>
  <c r="M1039" i="34"/>
  <c r="M1033" i="34"/>
  <c r="C1033" i="34"/>
  <c r="AD1033" i="34" s="1"/>
  <c r="M1035" i="34"/>
  <c r="C1035" i="34"/>
  <c r="AD1035" i="34" s="1"/>
  <c r="M1034" i="34"/>
  <c r="C1034" i="34"/>
  <c r="AD1034" i="34" s="1"/>
  <c r="M1032" i="34"/>
  <c r="C1032" i="34"/>
  <c r="AD1032" i="34" s="1"/>
  <c r="M1031" i="34"/>
  <c r="C1031" i="34"/>
  <c r="AD1031" i="34" s="1"/>
  <c r="M1030" i="34"/>
  <c r="C1030" i="34"/>
  <c r="AD1030" i="34" s="1"/>
  <c r="M969" i="34"/>
  <c r="E969" i="34"/>
  <c r="E970" i="34"/>
  <c r="M970" i="34"/>
  <c r="B970" i="34"/>
  <c r="A970" i="34" s="1"/>
  <c r="B969" i="34"/>
  <c r="A969" i="34" s="1"/>
  <c r="Q1164" i="34" l="1"/>
  <c r="R1164" i="34"/>
  <c r="S1164" i="34"/>
  <c r="S1299" i="34"/>
  <c r="Q1299" i="34"/>
  <c r="R1299" i="34"/>
  <c r="R1163" i="34"/>
  <c r="S1163" i="34"/>
  <c r="Q1163" i="34"/>
  <c r="Q1174" i="34"/>
  <c r="R1174" i="34"/>
  <c r="S1174" i="34"/>
  <c r="S1297" i="34"/>
  <c r="Q1297" i="34"/>
  <c r="R1297" i="34"/>
  <c r="Q1296" i="34"/>
  <c r="R1296" i="34"/>
  <c r="S1296" i="34"/>
  <c r="S1474" i="34"/>
  <c r="Q1474" i="34"/>
  <c r="R1474" i="34"/>
  <c r="S1468" i="34"/>
  <c r="Q1468" i="34"/>
  <c r="R1468" i="34"/>
  <c r="Q1485" i="34"/>
  <c r="R1485" i="34"/>
  <c r="S1485" i="34"/>
  <c r="S1490" i="34"/>
  <c r="Q1490" i="34"/>
  <c r="R1490" i="34"/>
  <c r="Q1475" i="34"/>
  <c r="R1475" i="34"/>
  <c r="S1475" i="34"/>
  <c r="Q1487" i="34"/>
  <c r="R1487" i="34"/>
  <c r="S1487" i="34"/>
  <c r="S1484" i="34"/>
  <c r="Q1484" i="34"/>
  <c r="R1484" i="34"/>
  <c r="Q968" i="34"/>
  <c r="R968" i="34"/>
  <c r="S968" i="34"/>
  <c r="S1301" i="34"/>
  <c r="Q1301" i="34"/>
  <c r="R1301" i="34"/>
  <c r="Q1298" i="34"/>
  <c r="R1298" i="34"/>
  <c r="S1298" i="34"/>
  <c r="S1482" i="34"/>
  <c r="Q1482" i="34"/>
  <c r="R1482" i="34"/>
  <c r="S1472" i="34"/>
  <c r="Q1472" i="34"/>
  <c r="R1472" i="34"/>
  <c r="Q1489" i="34"/>
  <c r="R1489" i="34"/>
  <c r="S1489" i="34"/>
  <c r="Q1481" i="34"/>
  <c r="R1481" i="34"/>
  <c r="S1481" i="34"/>
  <c r="Q1473" i="34"/>
  <c r="R1473" i="34"/>
  <c r="S1473" i="34"/>
  <c r="Q1483" i="34"/>
  <c r="R1483" i="34"/>
  <c r="S1483" i="34"/>
  <c r="Q970" i="34"/>
  <c r="R970" i="34"/>
  <c r="S970" i="34"/>
  <c r="R1165" i="34"/>
  <c r="S1165" i="34"/>
  <c r="Q1165" i="34"/>
  <c r="Q1292" i="34"/>
  <c r="R1292" i="34"/>
  <c r="S1292" i="34"/>
  <c r="S1295" i="34"/>
  <c r="Q1295" i="34"/>
  <c r="R1295" i="34"/>
  <c r="S1478" i="34"/>
  <c r="Q1478" i="34"/>
  <c r="R1478" i="34"/>
  <c r="S1470" i="34"/>
  <c r="Q1470" i="34"/>
  <c r="R1470" i="34"/>
  <c r="S1488" i="34"/>
  <c r="Q1488" i="34"/>
  <c r="R1488" i="34"/>
  <c r="Q1493" i="34"/>
  <c r="R1493" i="34"/>
  <c r="S1493" i="34"/>
  <c r="Q1479" i="34"/>
  <c r="R1479" i="34"/>
  <c r="S1479" i="34"/>
  <c r="Q1471" i="34"/>
  <c r="R1471" i="34"/>
  <c r="S1471" i="34"/>
  <c r="Q1294" i="34"/>
  <c r="R1294" i="34"/>
  <c r="S1294" i="34"/>
  <c r="R969" i="34"/>
  <c r="S969" i="34"/>
  <c r="Q969" i="34"/>
  <c r="S1293" i="34"/>
  <c r="Q1293" i="34"/>
  <c r="R1293" i="34"/>
  <c r="S1476" i="34"/>
  <c r="Q1476" i="34"/>
  <c r="R1476" i="34"/>
  <c r="Q1469" i="34"/>
  <c r="R1469" i="34"/>
  <c r="S1469" i="34"/>
  <c r="S1492" i="34"/>
  <c r="Q1492" i="34"/>
  <c r="R1492" i="34"/>
  <c r="S1486" i="34"/>
  <c r="Q1486" i="34"/>
  <c r="R1486" i="34"/>
  <c r="Q1477" i="34"/>
  <c r="R1477" i="34"/>
  <c r="S1477" i="34"/>
  <c r="Q1491" i="34"/>
  <c r="R1491" i="34"/>
  <c r="S1491" i="34"/>
  <c r="S1480" i="34"/>
  <c r="Q1480" i="34"/>
  <c r="R1480" i="34"/>
  <c r="B1039" i="34"/>
  <c r="A1039" i="34" s="1"/>
  <c r="B1168" i="34"/>
  <c r="A1168" i="34" s="1"/>
  <c r="B1170" i="34"/>
  <c r="A1170" i="34" s="1"/>
  <c r="B1169" i="34"/>
  <c r="A1169" i="34" s="1"/>
  <c r="B1167" i="34"/>
  <c r="A1167" i="34" s="1"/>
  <c r="B1172" i="34"/>
  <c r="A1172" i="34" s="1"/>
  <c r="B1171" i="34"/>
  <c r="A1171" i="34" s="1"/>
  <c r="B1034" i="34"/>
  <c r="A1034" i="34" s="1"/>
  <c r="B1035" i="34"/>
  <c r="A1035" i="34" s="1"/>
  <c r="B1033" i="34"/>
  <c r="A1033" i="34" s="1"/>
  <c r="B1032" i="34"/>
  <c r="A1032" i="34" s="1"/>
  <c r="B1030" i="34"/>
  <c r="A1030" i="34" s="1"/>
  <c r="B1031" i="34"/>
  <c r="A1031" i="34" s="1"/>
  <c r="M873" i="34"/>
  <c r="C873" i="34"/>
  <c r="AD873" i="34" s="1"/>
  <c r="M872" i="34"/>
  <c r="C872" i="34"/>
  <c r="AD872" i="34" s="1"/>
  <c r="M871" i="34"/>
  <c r="C871" i="34"/>
  <c r="AD871" i="34" s="1"/>
  <c r="M870" i="34"/>
  <c r="C870" i="34"/>
  <c r="AD870" i="34" s="1"/>
  <c r="M869" i="34"/>
  <c r="C869" i="34"/>
  <c r="AD869" i="34" s="1"/>
  <c r="M868" i="34"/>
  <c r="C868" i="34"/>
  <c r="AD868" i="34" s="1"/>
  <c r="M867" i="34"/>
  <c r="C867" i="34"/>
  <c r="AD867" i="34" s="1"/>
  <c r="M866" i="34"/>
  <c r="C866" i="34"/>
  <c r="AD866" i="34" s="1"/>
  <c r="M865" i="34"/>
  <c r="C865" i="34"/>
  <c r="AD865" i="34" s="1"/>
  <c r="M864" i="34"/>
  <c r="C864" i="34"/>
  <c r="AD864" i="34" s="1"/>
  <c r="Q1031" i="34" l="1"/>
  <c r="R1031" i="34"/>
  <c r="S1031" i="34"/>
  <c r="Q1172" i="34"/>
  <c r="S1172" i="34"/>
  <c r="R1172" i="34"/>
  <c r="R1030" i="34"/>
  <c r="S1030" i="34"/>
  <c r="Q1030" i="34"/>
  <c r="R1034" i="34"/>
  <c r="S1034" i="34"/>
  <c r="Q1034" i="34"/>
  <c r="Q1168" i="34"/>
  <c r="R1168" i="34"/>
  <c r="S1168" i="34"/>
  <c r="R1032" i="34"/>
  <c r="S1032" i="34"/>
  <c r="Q1032" i="34"/>
  <c r="Q1033" i="34"/>
  <c r="R1033" i="34"/>
  <c r="S1033" i="34"/>
  <c r="S1171" i="34"/>
  <c r="Q1171" i="34"/>
  <c r="R1171" i="34"/>
  <c r="R1169" i="34"/>
  <c r="S1169" i="34"/>
  <c r="Q1169" i="34"/>
  <c r="R1167" i="34"/>
  <c r="S1167" i="34"/>
  <c r="Q1167" i="34"/>
  <c r="Q1035" i="34"/>
  <c r="R1035" i="34"/>
  <c r="S1035" i="34"/>
  <c r="Q1170" i="34"/>
  <c r="R1170" i="34"/>
  <c r="S1170" i="34"/>
  <c r="Q1039" i="34"/>
  <c r="R1039" i="34"/>
  <c r="S1039" i="34"/>
  <c r="B866" i="34"/>
  <c r="A866" i="34" s="1"/>
  <c r="B869" i="34"/>
  <c r="A869" i="34" s="1"/>
  <c r="B864" i="34"/>
  <c r="A864" i="34" s="1"/>
  <c r="B868" i="34"/>
  <c r="A868" i="34" s="1"/>
  <c r="B871" i="34"/>
  <c r="A871" i="34" s="1"/>
  <c r="B873" i="34"/>
  <c r="A873" i="34" s="1"/>
  <c r="B865" i="34"/>
  <c r="A865" i="34" s="1"/>
  <c r="B867" i="34"/>
  <c r="A867" i="34" s="1"/>
  <c r="B870" i="34"/>
  <c r="A870" i="34" s="1"/>
  <c r="B872" i="34"/>
  <c r="A872" i="34" s="1"/>
  <c r="F129" i="60"/>
  <c r="C129" i="60"/>
  <c r="D129" i="60" s="1"/>
  <c r="F128" i="60"/>
  <c r="C128" i="60"/>
  <c r="D128" i="60" s="1"/>
  <c r="F127" i="60"/>
  <c r="C127" i="60"/>
  <c r="D127" i="60" s="1"/>
  <c r="C126" i="60"/>
  <c r="F125" i="60"/>
  <c r="C125" i="60"/>
  <c r="D125" i="60" s="1"/>
  <c r="C124" i="60"/>
  <c r="F123" i="60"/>
  <c r="C123" i="60"/>
  <c r="D123" i="60" s="1"/>
  <c r="F122" i="60"/>
  <c r="C122" i="60"/>
  <c r="D122" i="60" s="1"/>
  <c r="F121" i="60"/>
  <c r="C121" i="60"/>
  <c r="D121" i="60" s="1"/>
  <c r="F120" i="60"/>
  <c r="C120" i="60"/>
  <c r="D120" i="60" s="1"/>
  <c r="F119" i="60"/>
  <c r="C119" i="60"/>
  <c r="D119" i="60" s="1"/>
  <c r="F118" i="60"/>
  <c r="C118" i="60"/>
  <c r="D118" i="60" s="1"/>
  <c r="F117" i="60"/>
  <c r="C117" i="60"/>
  <c r="D117" i="60" s="1"/>
  <c r="F116" i="60"/>
  <c r="C116" i="60"/>
  <c r="D116" i="60" s="1"/>
  <c r="F115" i="60"/>
  <c r="C115" i="60"/>
  <c r="D115" i="60" s="1"/>
  <c r="F114" i="60"/>
  <c r="C114" i="60"/>
  <c r="D114" i="60" s="1"/>
  <c r="F113" i="60"/>
  <c r="C113" i="60"/>
  <c r="D113" i="60" s="1"/>
  <c r="F112" i="60"/>
  <c r="C112" i="60"/>
  <c r="D112" i="60" s="1"/>
  <c r="F111" i="60"/>
  <c r="C111" i="60"/>
  <c r="D111" i="60" s="1"/>
  <c r="V126" i="60"/>
  <c r="M2072" i="34"/>
  <c r="M2073" i="34"/>
  <c r="M2074" i="34"/>
  <c r="M2075" i="34"/>
  <c r="M2076" i="34"/>
  <c r="M2077" i="34"/>
  <c r="M2078" i="34"/>
  <c r="M2079" i="34"/>
  <c r="M2217" i="34"/>
  <c r="M2213" i="34"/>
  <c r="M2214" i="34"/>
  <c r="M2215" i="34"/>
  <c r="M2216" i="34"/>
  <c r="M2219" i="34"/>
  <c r="M2220" i="34"/>
  <c r="M2221" i="34"/>
  <c r="M2222" i="34"/>
  <c r="M2223" i="34"/>
  <c r="M2224" i="34"/>
  <c r="M2225" i="34"/>
  <c r="M2226" i="34"/>
  <c r="M2227" i="34"/>
  <c r="M2228" i="34"/>
  <c r="M2229" i="34"/>
  <c r="M2230" i="34"/>
  <c r="M2344" i="34"/>
  <c r="M2347" i="34"/>
  <c r="M2348" i="34"/>
  <c r="M2349" i="34"/>
  <c r="M2350" i="34"/>
  <c r="M2351" i="34"/>
  <c r="M2352" i="34"/>
  <c r="M2353" i="34"/>
  <c r="M2354" i="34"/>
  <c r="M2355" i="34"/>
  <c r="M2356" i="34"/>
  <c r="M2357" i="34"/>
  <c r="M2362" i="34"/>
  <c r="M2363" i="34"/>
  <c r="M2364" i="34"/>
  <c r="M2365" i="34"/>
  <c r="M2366" i="34"/>
  <c r="M2367" i="34"/>
  <c r="M2368" i="34"/>
  <c r="M2369" i="34"/>
  <c r="M2373" i="34"/>
  <c r="M2358" i="34"/>
  <c r="M2359" i="34"/>
  <c r="M2360" i="34"/>
  <c r="B2072" i="34"/>
  <c r="A2072" i="34" s="1"/>
  <c r="B2073" i="34"/>
  <c r="A2073" i="34" s="1"/>
  <c r="B2074" i="34"/>
  <c r="A2074" i="34" s="1"/>
  <c r="B2075" i="34"/>
  <c r="A2075" i="34" s="1"/>
  <c r="B2076" i="34"/>
  <c r="A2076" i="34" s="1"/>
  <c r="B2077" i="34"/>
  <c r="A2077" i="34" s="1"/>
  <c r="B2078" i="34"/>
  <c r="A2078" i="34" s="1"/>
  <c r="B2079" i="34"/>
  <c r="A2079" i="34" s="1"/>
  <c r="B2221" i="34"/>
  <c r="A2221" i="34" s="1"/>
  <c r="E2221" i="34"/>
  <c r="B2224" i="34"/>
  <c r="A2224" i="34" s="1"/>
  <c r="E2224" i="34"/>
  <c r="B2225" i="34"/>
  <c r="A2225" i="34" s="1"/>
  <c r="E2225" i="34"/>
  <c r="B2226" i="34"/>
  <c r="A2226" i="34" s="1"/>
  <c r="E2226" i="34"/>
  <c r="B2227" i="34"/>
  <c r="A2227" i="34" s="1"/>
  <c r="E2227" i="34"/>
  <c r="B2228" i="34"/>
  <c r="A2228" i="34" s="1"/>
  <c r="E2228" i="34"/>
  <c r="B2229" i="34"/>
  <c r="A2229" i="34" s="1"/>
  <c r="E2229" i="34"/>
  <c r="B2230" i="34"/>
  <c r="A2230" i="34" s="1"/>
  <c r="E2230" i="34"/>
  <c r="E2360" i="34"/>
  <c r="B2360" i="34"/>
  <c r="A2360" i="34" s="1"/>
  <c r="E2359" i="34"/>
  <c r="B2359" i="34"/>
  <c r="A2359" i="34" s="1"/>
  <c r="E2358" i="34"/>
  <c r="B2358" i="34"/>
  <c r="A2358" i="34" s="1"/>
  <c r="E2373" i="34"/>
  <c r="B2373" i="34"/>
  <c r="A2373" i="34" s="1"/>
  <c r="E2369" i="34"/>
  <c r="B2369" i="34"/>
  <c r="A2369" i="34" s="1"/>
  <c r="E2368" i="34"/>
  <c r="B2368" i="34"/>
  <c r="A2368" i="34" s="1"/>
  <c r="E2367" i="34"/>
  <c r="B2367" i="34"/>
  <c r="A2367" i="34" s="1"/>
  <c r="E2366" i="34"/>
  <c r="B2366" i="34"/>
  <c r="A2366" i="34" s="1"/>
  <c r="E2365" i="34"/>
  <c r="B2365" i="34"/>
  <c r="A2365" i="34" s="1"/>
  <c r="E2364" i="34"/>
  <c r="B2364" i="34"/>
  <c r="A2364" i="34" s="1"/>
  <c r="E2363" i="34"/>
  <c r="B2363" i="34"/>
  <c r="A2363" i="34" s="1"/>
  <c r="E2362" i="34"/>
  <c r="B2362" i="34"/>
  <c r="A2362" i="34" s="1"/>
  <c r="E2357" i="34"/>
  <c r="B2357" i="34"/>
  <c r="A2357" i="34" s="1"/>
  <c r="E2356" i="34"/>
  <c r="B2356" i="34"/>
  <c r="A2356" i="34" s="1"/>
  <c r="E2355" i="34"/>
  <c r="B2355" i="34"/>
  <c r="A2355" i="34" s="1"/>
  <c r="E2354" i="34"/>
  <c r="B2354" i="34"/>
  <c r="A2354" i="34" s="1"/>
  <c r="E2353" i="34"/>
  <c r="B2353" i="34"/>
  <c r="A2353" i="34" s="1"/>
  <c r="E2352" i="34"/>
  <c r="B2352" i="34"/>
  <c r="A2352" i="34" s="1"/>
  <c r="E2351" i="34"/>
  <c r="B2351" i="34"/>
  <c r="A2351" i="34" s="1"/>
  <c r="E2350" i="34"/>
  <c r="B2350" i="34"/>
  <c r="A2350" i="34" s="1"/>
  <c r="E2349" i="34"/>
  <c r="B2349" i="34"/>
  <c r="A2349" i="34" s="1"/>
  <c r="E2348" i="34"/>
  <c r="B2348" i="34"/>
  <c r="A2348" i="34" s="1"/>
  <c r="E2347" i="34"/>
  <c r="B2347" i="34"/>
  <c r="A2347" i="34" s="1"/>
  <c r="E2344" i="34"/>
  <c r="B2344" i="34"/>
  <c r="A2344" i="34" s="1"/>
  <c r="E2223" i="34"/>
  <c r="B2223" i="34"/>
  <c r="A2223" i="34" s="1"/>
  <c r="E2222" i="34"/>
  <c r="B2222" i="34"/>
  <c r="A2222" i="34" s="1"/>
  <c r="E2220" i="34"/>
  <c r="B2220" i="34"/>
  <c r="A2220" i="34" s="1"/>
  <c r="E2219" i="34"/>
  <c r="B2219" i="34"/>
  <c r="A2219" i="34" s="1"/>
  <c r="E2216" i="34"/>
  <c r="B2216" i="34"/>
  <c r="A2216" i="34" s="1"/>
  <c r="E2215" i="34"/>
  <c r="B2215" i="34"/>
  <c r="A2215" i="34" s="1"/>
  <c r="B2214" i="34"/>
  <c r="A2214" i="34" s="1"/>
  <c r="B2213" i="34"/>
  <c r="A2213" i="34" s="1"/>
  <c r="G111" i="60" l="1"/>
  <c r="G113" i="60"/>
  <c r="G115" i="60"/>
  <c r="G117" i="60"/>
  <c r="G119" i="60"/>
  <c r="G121" i="60"/>
  <c r="G123" i="60"/>
  <c r="G128" i="60"/>
  <c r="G125" i="60"/>
  <c r="G112" i="60"/>
  <c r="G114" i="60"/>
  <c r="G116" i="60"/>
  <c r="G118" i="60"/>
  <c r="G120" i="60"/>
  <c r="G122" i="60"/>
  <c r="G127" i="60"/>
  <c r="S2215" i="34"/>
  <c r="Q2215" i="34"/>
  <c r="R2215" i="34"/>
  <c r="S2219" i="34"/>
  <c r="Q2219" i="34"/>
  <c r="R2219" i="34"/>
  <c r="Q2222" i="34"/>
  <c r="R2222" i="34"/>
  <c r="S2222" i="34"/>
  <c r="S2344" i="34"/>
  <c r="R2344" i="34"/>
  <c r="Q2344" i="34"/>
  <c r="R2348" i="34"/>
  <c r="Q2348" i="34"/>
  <c r="S2348" i="34"/>
  <c r="R2350" i="34"/>
  <c r="Q2350" i="34"/>
  <c r="S2350" i="34"/>
  <c r="R2352" i="34"/>
  <c r="Q2352" i="34"/>
  <c r="S2352" i="34"/>
  <c r="R2354" i="34"/>
  <c r="Q2354" i="34"/>
  <c r="S2354" i="34"/>
  <c r="Q2356" i="34"/>
  <c r="R2356" i="34"/>
  <c r="S2356" i="34"/>
  <c r="R2362" i="34"/>
  <c r="S2362" i="34"/>
  <c r="Q2362" i="34"/>
  <c r="R2364" i="34"/>
  <c r="S2364" i="34"/>
  <c r="Q2364" i="34"/>
  <c r="R2366" i="34"/>
  <c r="S2366" i="34"/>
  <c r="Q2366" i="34"/>
  <c r="R2368" i="34"/>
  <c r="S2368" i="34"/>
  <c r="Q2368" i="34"/>
  <c r="Q2373" i="34"/>
  <c r="R2373" i="34"/>
  <c r="S2373" i="34"/>
  <c r="Q2359" i="34"/>
  <c r="R2359" i="34"/>
  <c r="S2359" i="34"/>
  <c r="S2079" i="34"/>
  <c r="Q2079" i="34"/>
  <c r="R2079" i="34"/>
  <c r="S2075" i="34"/>
  <c r="Q2075" i="34"/>
  <c r="R2075" i="34"/>
  <c r="R867" i="34"/>
  <c r="S867" i="34"/>
  <c r="Q867" i="34"/>
  <c r="R868" i="34"/>
  <c r="Q868" i="34"/>
  <c r="S868" i="34"/>
  <c r="Q2226" i="34"/>
  <c r="R2226" i="34"/>
  <c r="S2226" i="34"/>
  <c r="Q2078" i="34"/>
  <c r="R2078" i="34"/>
  <c r="S2078" i="34"/>
  <c r="Q2074" i="34"/>
  <c r="R2074" i="34"/>
  <c r="S2074" i="34"/>
  <c r="Q865" i="34"/>
  <c r="R865" i="34"/>
  <c r="S865" i="34"/>
  <c r="R864" i="34"/>
  <c r="S864" i="34"/>
  <c r="Q864" i="34"/>
  <c r="Q2230" i="34"/>
  <c r="R2230" i="34"/>
  <c r="S2230" i="34"/>
  <c r="Q2228" i="34"/>
  <c r="R2228" i="34"/>
  <c r="S2228" i="34"/>
  <c r="Q2224" i="34"/>
  <c r="R2224" i="34"/>
  <c r="S2224" i="34"/>
  <c r="S2213" i="34"/>
  <c r="Q2213" i="34"/>
  <c r="R2213" i="34"/>
  <c r="Q2216" i="34"/>
  <c r="R2216" i="34"/>
  <c r="S2216" i="34"/>
  <c r="Q2220" i="34"/>
  <c r="R2220" i="34"/>
  <c r="S2220" i="34"/>
  <c r="S2223" i="34"/>
  <c r="Q2223" i="34"/>
  <c r="R2223" i="34"/>
  <c r="R2347" i="34"/>
  <c r="Q2347" i="34"/>
  <c r="S2347" i="34"/>
  <c r="R2349" i="34"/>
  <c r="Q2349" i="34"/>
  <c r="S2349" i="34"/>
  <c r="R2351" i="34"/>
  <c r="Q2351" i="34"/>
  <c r="S2351" i="34"/>
  <c r="R2353" i="34"/>
  <c r="Q2353" i="34"/>
  <c r="S2353" i="34"/>
  <c r="R2355" i="34"/>
  <c r="Q2355" i="34"/>
  <c r="S2355" i="34"/>
  <c r="R2357" i="34"/>
  <c r="S2357" i="34"/>
  <c r="Q2357" i="34"/>
  <c r="Q2363" i="34"/>
  <c r="R2363" i="34"/>
  <c r="S2363" i="34"/>
  <c r="Q2365" i="34"/>
  <c r="R2365" i="34"/>
  <c r="S2365" i="34"/>
  <c r="Q2367" i="34"/>
  <c r="R2367" i="34"/>
  <c r="S2367" i="34"/>
  <c r="Q2369" i="34"/>
  <c r="R2369" i="34"/>
  <c r="S2369" i="34"/>
  <c r="R2358" i="34"/>
  <c r="S2358" i="34"/>
  <c r="Q2358" i="34"/>
  <c r="R2360" i="34"/>
  <c r="S2360" i="34"/>
  <c r="Q2360" i="34"/>
  <c r="S2077" i="34"/>
  <c r="Q2077" i="34"/>
  <c r="R2077" i="34"/>
  <c r="S2073" i="34"/>
  <c r="Q2073" i="34"/>
  <c r="R2073" i="34"/>
  <c r="R872" i="34"/>
  <c r="Q872" i="34"/>
  <c r="S872" i="34"/>
  <c r="Q873" i="34"/>
  <c r="R873" i="34"/>
  <c r="S873" i="34"/>
  <c r="R869" i="34"/>
  <c r="S869" i="34"/>
  <c r="Q869" i="34"/>
  <c r="Q2214" i="34"/>
  <c r="R2214" i="34"/>
  <c r="S2214" i="34"/>
  <c r="S2229" i="34"/>
  <c r="Q2229" i="34"/>
  <c r="R2229" i="34"/>
  <c r="S2227" i="34"/>
  <c r="Q2227" i="34"/>
  <c r="R2227" i="34"/>
  <c r="S2225" i="34"/>
  <c r="Q2225" i="34"/>
  <c r="R2225" i="34"/>
  <c r="S2221" i="34"/>
  <c r="Q2221" i="34"/>
  <c r="R2221" i="34"/>
  <c r="Q2076" i="34"/>
  <c r="R2076" i="34"/>
  <c r="S2076" i="34"/>
  <c r="Q2072" i="34"/>
  <c r="R2072" i="34"/>
  <c r="S2072" i="34"/>
  <c r="R870" i="34"/>
  <c r="Q870" i="34"/>
  <c r="S870" i="34"/>
  <c r="S871" i="34"/>
  <c r="Q871" i="34"/>
  <c r="R871" i="34"/>
  <c r="R866" i="34"/>
  <c r="S866" i="34"/>
  <c r="Q866" i="34"/>
  <c r="D126" i="60"/>
  <c r="G126" i="60" s="1"/>
  <c r="D124" i="60"/>
  <c r="G124" i="60" s="1"/>
  <c r="G129" i="60"/>
  <c r="J36" i="64"/>
  <c r="L21" i="64"/>
  <c r="L22" i="64"/>
  <c r="L23" i="64"/>
  <c r="L24" i="64"/>
  <c r="L25" i="64"/>
  <c r="L26" i="64"/>
  <c r="L27" i="64"/>
  <c r="L28" i="64"/>
  <c r="L29" i="64"/>
  <c r="L30" i="64"/>
  <c r="P29" i="64"/>
  <c r="G29" i="64"/>
  <c r="L13" i="57"/>
  <c r="K13" i="57"/>
  <c r="M2639" i="34"/>
  <c r="M2629" i="34"/>
  <c r="M3344" i="34"/>
  <c r="M3335" i="34"/>
  <c r="M3334" i="34"/>
  <c r="M3333" i="34"/>
  <c r="M3332" i="34"/>
  <c r="M3331" i="34"/>
  <c r="M3330" i="34"/>
  <c r="M3329" i="34"/>
  <c r="M3328" i="34"/>
  <c r="M3327" i="34"/>
  <c r="M3326" i="34"/>
  <c r="M3325" i="34"/>
  <c r="M3324" i="34"/>
  <c r="M3323" i="34"/>
  <c r="M3319" i="34"/>
  <c r="M3315" i="34"/>
  <c r="M3307" i="34"/>
  <c r="M3303" i="34"/>
  <c r="M3297" i="34"/>
  <c r="M3292" i="34"/>
  <c r="M3287" i="34"/>
  <c r="M3286" i="34"/>
  <c r="M3285" i="34"/>
  <c r="M3284" i="34"/>
  <c r="M3283" i="34"/>
  <c r="M3282" i="34"/>
  <c r="M3281" i="34"/>
  <c r="M3280" i="34"/>
  <c r="M3279" i="34"/>
  <c r="M3278" i="34"/>
  <c r="M3277" i="34"/>
  <c r="M3276" i="34"/>
  <c r="M3275" i="34"/>
  <c r="M3274" i="34"/>
  <c r="M3265" i="34"/>
  <c r="M3253" i="34"/>
  <c r="M3252" i="34"/>
  <c r="M3242" i="34"/>
  <c r="M3236" i="34"/>
  <c r="M3233" i="34"/>
  <c r="M3217" i="34"/>
  <c r="M3215" i="34"/>
  <c r="M3212" i="34"/>
  <c r="M3209" i="34"/>
  <c r="M3207" i="34"/>
  <c r="M3197" i="34"/>
  <c r="M3196" i="34"/>
  <c r="M3195" i="34"/>
  <c r="M3194" i="34"/>
  <c r="M3193" i="34"/>
  <c r="M3192" i="34"/>
  <c r="M3191" i="34"/>
  <c r="M3190" i="34"/>
  <c r="M3189" i="34"/>
  <c r="M3188" i="34"/>
  <c r="M3187" i="34"/>
  <c r="M3186" i="34"/>
  <c r="M3185" i="34"/>
  <c r="M3184" i="34"/>
  <c r="M3181" i="34"/>
  <c r="M3180" i="34"/>
  <c r="M3179" i="34"/>
  <c r="M3177" i="34"/>
  <c r="M3169" i="34"/>
  <c r="M3168" i="34"/>
  <c r="M3167" i="34"/>
  <c r="M3157" i="34"/>
  <c r="M3147" i="34"/>
  <c r="M3129" i="34"/>
  <c r="M3128" i="34"/>
  <c r="M3127" i="34"/>
  <c r="M3126" i="34"/>
  <c r="M3125" i="34"/>
  <c r="M3124" i="34"/>
  <c r="M3123" i="34"/>
  <c r="M3122" i="34"/>
  <c r="M3121" i="34"/>
  <c r="M3120" i="34"/>
  <c r="M3119" i="34"/>
  <c r="M3118" i="34"/>
  <c r="M3117" i="34"/>
  <c r="M3113" i="34"/>
  <c r="M3112" i="34"/>
  <c r="M3105" i="34"/>
  <c r="M3103" i="34"/>
  <c r="M3093" i="34"/>
  <c r="M3092" i="34"/>
  <c r="M3091" i="34"/>
  <c r="M3079" i="34"/>
  <c r="M3065" i="34"/>
  <c r="M3061" i="34"/>
  <c r="M3060" i="34"/>
  <c r="M3059" i="34"/>
  <c r="M3058" i="34"/>
  <c r="M3057" i="34"/>
  <c r="M3056" i="34"/>
  <c r="M3055" i="34"/>
  <c r="M3054" i="34"/>
  <c r="M3053" i="34"/>
  <c r="M3052" i="34"/>
  <c r="M3051" i="34"/>
  <c r="M3050" i="34"/>
  <c r="M3048" i="34"/>
  <c r="M3047" i="34"/>
  <c r="M3046" i="34"/>
  <c r="M3045" i="34"/>
  <c r="M3041" i="34"/>
  <c r="M3035" i="34"/>
  <c r="M3028" i="34"/>
  <c r="M3023" i="34"/>
  <c r="M3016" i="34"/>
  <c r="M3011" i="34"/>
  <c r="M3010" i="34"/>
  <c r="M3009" i="34"/>
  <c r="M3008" i="34"/>
  <c r="M3007" i="34"/>
  <c r="M3006" i="34"/>
  <c r="M3005" i="34"/>
  <c r="M3004" i="34"/>
  <c r="M3003" i="34"/>
  <c r="M3002" i="34"/>
  <c r="M3001" i="34"/>
  <c r="M3000" i="34"/>
  <c r="M2999" i="34"/>
  <c r="M2998" i="34"/>
  <c r="M2997" i="34"/>
  <c r="M2978" i="34"/>
  <c r="M2962" i="34"/>
  <c r="M2961" i="34"/>
  <c r="M2960" i="34"/>
  <c r="M2959" i="34"/>
  <c r="M2958" i="34"/>
  <c r="M2957" i="34"/>
  <c r="M2956" i="34"/>
  <c r="M2955" i="34"/>
  <c r="M2954" i="34"/>
  <c r="M2953" i="34"/>
  <c r="M2952" i="34"/>
  <c r="M2951" i="34"/>
  <c r="M2950" i="34"/>
  <c r="M2947" i="34"/>
  <c r="M2944" i="34"/>
  <c r="M2941" i="34"/>
  <c r="M2940" i="34"/>
  <c r="M2939" i="34"/>
  <c r="M2919" i="34"/>
  <c r="M2906" i="34"/>
  <c r="M2901" i="34"/>
  <c r="M2897" i="34"/>
  <c r="M2896" i="34"/>
  <c r="M2895" i="34"/>
  <c r="M2894" i="34"/>
  <c r="M2893" i="34"/>
  <c r="M2892" i="34"/>
  <c r="M2891" i="34"/>
  <c r="M2890" i="34"/>
  <c r="M2889" i="34"/>
  <c r="M2887" i="34"/>
  <c r="M2885" i="34"/>
  <c r="M2881" i="34"/>
  <c r="M2880" i="34"/>
  <c r="M2879" i="34"/>
  <c r="M2878" i="34"/>
  <c r="M2871" i="34"/>
  <c r="M2864" i="34"/>
  <c r="M2857" i="34"/>
  <c r="M2848" i="34"/>
  <c r="M2842" i="34"/>
  <c r="M2841" i="34"/>
  <c r="M2840" i="34"/>
  <c r="M2839" i="34"/>
  <c r="M2838" i="34"/>
  <c r="M2837" i="34"/>
  <c r="M2836" i="34"/>
  <c r="M2835" i="34"/>
  <c r="M2834" i="34"/>
  <c r="M2833" i="34"/>
  <c r="M2832" i="34"/>
  <c r="M2831" i="34"/>
  <c r="M2830" i="34"/>
  <c r="M2814" i="34"/>
  <c r="M2810" i="34"/>
  <c r="M2803" i="34"/>
  <c r="M2802" i="34"/>
  <c r="M2801" i="34"/>
  <c r="M2800" i="34"/>
  <c r="M2799" i="34"/>
  <c r="M2798" i="34"/>
  <c r="M2797" i="34"/>
  <c r="M2796" i="34"/>
  <c r="M2795" i="34"/>
  <c r="M2794" i="34"/>
  <c r="M2791" i="34"/>
  <c r="M2790" i="34"/>
  <c r="M2789" i="34"/>
  <c r="M2788" i="34"/>
  <c r="M2787" i="34"/>
  <c r="M2786" i="34"/>
  <c r="M2785" i="34"/>
  <c r="M2782" i="34"/>
  <c r="M2772" i="34"/>
  <c r="M2764" i="34"/>
  <c r="M2763" i="34"/>
  <c r="M2762" i="34"/>
  <c r="M2761" i="34"/>
  <c r="M2760" i="34"/>
  <c r="M2759" i="34"/>
  <c r="M2758" i="34"/>
  <c r="M2757" i="34"/>
  <c r="M2756" i="34"/>
  <c r="M2755" i="34"/>
  <c r="M2754" i="34"/>
  <c r="M2753" i="34"/>
  <c r="M2752" i="34"/>
  <c r="M2751" i="34"/>
  <c r="M2750" i="34"/>
  <c r="M2749" i="34"/>
  <c r="M2748" i="34"/>
  <c r="M2747" i="34"/>
  <c r="M2746" i="34"/>
  <c r="M2745" i="34"/>
  <c r="M2744" i="34"/>
  <c r="M2741" i="34"/>
  <c r="M2735" i="34"/>
  <c r="M2734" i="34"/>
  <c r="M2733" i="34"/>
  <c r="M2732" i="34"/>
  <c r="M2731" i="34"/>
  <c r="M2730" i="34"/>
  <c r="M2729" i="34"/>
  <c r="M2728" i="34"/>
  <c r="M2727" i="34"/>
  <c r="M2719" i="34"/>
  <c r="M2716" i="34"/>
  <c r="M2704" i="34"/>
  <c r="M2701" i="34"/>
  <c r="M2698" i="34"/>
  <c r="M2687" i="34"/>
  <c r="M2686" i="34"/>
  <c r="M2685" i="34"/>
  <c r="M2684" i="34"/>
  <c r="M2683" i="34"/>
  <c r="M2682" i="34"/>
  <c r="M2681" i="34"/>
  <c r="M2680" i="34"/>
  <c r="M2679" i="34"/>
  <c r="M2678" i="34"/>
  <c r="M2676" i="34"/>
  <c r="M2672" i="34"/>
  <c r="M2667" i="34"/>
  <c r="M2651" i="34"/>
  <c r="M2606" i="34"/>
  <c r="M2603" i="34"/>
  <c r="M2600" i="34"/>
  <c r="M2597" i="34"/>
  <c r="M2591" i="34"/>
  <c r="M2588" i="34"/>
  <c r="M2587" i="34"/>
  <c r="M2586" i="34"/>
  <c r="M2585" i="34"/>
  <c r="M2582" i="34"/>
  <c r="M2581" i="34"/>
  <c r="M2580" i="34"/>
  <c r="M2579" i="34"/>
  <c r="M2576" i="34"/>
  <c r="M2574" i="34"/>
  <c r="M2572" i="34"/>
  <c r="M2570" i="34"/>
  <c r="M2569" i="34"/>
  <c r="M2568" i="34"/>
  <c r="M2567" i="34"/>
  <c r="M2565" i="34"/>
  <c r="M2557" i="34"/>
  <c r="M2550" i="34"/>
  <c r="M2541" i="34"/>
  <c r="M2539" i="34"/>
  <c r="M2537" i="34"/>
  <c r="M2536" i="34"/>
  <c r="M2535" i="34"/>
  <c r="M2530" i="34"/>
  <c r="M2528" i="34"/>
  <c r="M2527" i="34"/>
  <c r="M2526" i="34"/>
  <c r="M2524" i="34"/>
  <c r="M2523" i="34"/>
  <c r="M2522" i="34"/>
  <c r="M2521" i="34"/>
  <c r="M2520" i="34"/>
  <c r="M2517" i="34"/>
  <c r="M2516" i="34"/>
  <c r="M2515" i="34"/>
  <c r="M2499" i="34"/>
  <c r="G92" i="34"/>
  <c r="G91" i="34"/>
  <c r="U91" i="34" l="1"/>
  <c r="V91" i="34"/>
  <c r="T91" i="34"/>
  <c r="T92" i="34"/>
  <c r="U92" i="34"/>
  <c r="V92" i="34"/>
  <c r="F13" i="57"/>
  <c r="M3341" i="34"/>
  <c r="M3339" i="34"/>
  <c r="M3338" i="34"/>
  <c r="M3336" i="34"/>
  <c r="M3313" i="34"/>
  <c r="M3312" i="34"/>
  <c r="M3310" i="34"/>
  <c r="M3306" i="34"/>
  <c r="M3301" i="34"/>
  <c r="M3300" i="34"/>
  <c r="M3296" i="34"/>
  <c r="M3295" i="34"/>
  <c r="M3294" i="34"/>
  <c r="M3290" i="34"/>
  <c r="M3289" i="34"/>
  <c r="M3269" i="34"/>
  <c r="M3268" i="34"/>
  <c r="M3263" i="34"/>
  <c r="M3262" i="34"/>
  <c r="M3257" i="34"/>
  <c r="M3256" i="34"/>
  <c r="M3245" i="34"/>
  <c r="M3244" i="34"/>
  <c r="M3239" i="34"/>
  <c r="M3238" i="34"/>
  <c r="M3230" i="34"/>
  <c r="M3229" i="34"/>
  <c r="M3228" i="34"/>
  <c r="M3227" i="34"/>
  <c r="M3222" i="34"/>
  <c r="M3221" i="34"/>
  <c r="M3219" i="34"/>
  <c r="M3218" i="34"/>
  <c r="M3199" i="34"/>
  <c r="M3198" i="34"/>
  <c r="M3165" i="34"/>
  <c r="M2319" i="34"/>
  <c r="M2317" i="34"/>
  <c r="M2316" i="34"/>
  <c r="M2315" i="34"/>
  <c r="M2314" i="34"/>
  <c r="M2313" i="34"/>
  <c r="M2312" i="34"/>
  <c r="M2311" i="34"/>
  <c r="M2310" i="34"/>
  <c r="M2199" i="34"/>
  <c r="M2198" i="34"/>
  <c r="M2197" i="34"/>
  <c r="M2196" i="34"/>
  <c r="M2195" i="34"/>
  <c r="M2194" i="34"/>
  <c r="M2193" i="34"/>
  <c r="M2189" i="34"/>
  <c r="M2180" i="34"/>
  <c r="M2033" i="34"/>
  <c r="M2032" i="34"/>
  <c r="M2030" i="34"/>
  <c r="M2029" i="34"/>
  <c r="M2028" i="34"/>
  <c r="M2027" i="34"/>
  <c r="M2026" i="34"/>
  <c r="M2025" i="34"/>
  <c r="M1847" i="34"/>
  <c r="M1829" i="34"/>
  <c r="M1827" i="34"/>
  <c r="M1826" i="34"/>
  <c r="M1825" i="34"/>
  <c r="M1824" i="34"/>
  <c r="M1823" i="34"/>
  <c r="M1633" i="34"/>
  <c r="M1632" i="34"/>
  <c r="M1631" i="34"/>
  <c r="M1630" i="34"/>
  <c r="M1629" i="34"/>
  <c r="M1628" i="34"/>
  <c r="M1627" i="34"/>
  <c r="M1626" i="34"/>
  <c r="M1625" i="34"/>
  <c r="M1449" i="34"/>
  <c r="M1442" i="34"/>
  <c r="M1443" i="34"/>
  <c r="M1447" i="34"/>
  <c r="M1444" i="34"/>
  <c r="M1439" i="34"/>
  <c r="M1445" i="34"/>
  <c r="M1446" i="34"/>
  <c r="M1440" i="34"/>
  <c r="M1441" i="34"/>
  <c r="M1436" i="34"/>
  <c r="M1438" i="34"/>
  <c r="M1437" i="34"/>
  <c r="M1279" i="34"/>
  <c r="M1157" i="34"/>
  <c r="M1156" i="34"/>
  <c r="M1148" i="34"/>
  <c r="M1147" i="34"/>
  <c r="M1146" i="34"/>
  <c r="M1145" i="34"/>
  <c r="M1144" i="34"/>
  <c r="M1023" i="34"/>
  <c r="M1022" i="34"/>
  <c r="M1021" i="34"/>
  <c r="M1020" i="34"/>
  <c r="M1019" i="34"/>
  <c r="M1012" i="34"/>
  <c r="M1011" i="34"/>
  <c r="M965" i="34"/>
  <c r="M964" i="34"/>
  <c r="M962" i="34"/>
  <c r="M858" i="34"/>
  <c r="M857" i="34"/>
  <c r="M856" i="34"/>
  <c r="M855" i="34"/>
  <c r="M3907" i="34"/>
  <c r="M2485" i="34"/>
  <c r="N16" i="52" l="1"/>
  <c r="M16" i="52"/>
  <c r="L16" i="52"/>
  <c r="K16" i="52"/>
  <c r="P12" i="34" l="1"/>
  <c r="T12" i="34"/>
  <c r="U12" i="34"/>
  <c r="V12" i="34"/>
  <c r="W12" i="34"/>
  <c r="Y12" i="34"/>
  <c r="AB12" i="34"/>
  <c r="AC12" i="34"/>
  <c r="M3343" i="34"/>
  <c r="M3322" i="34"/>
  <c r="M3318" i="34"/>
  <c r="M3271" i="34"/>
  <c r="M3259" i="34"/>
  <c r="M3251" i="34"/>
  <c r="M3247" i="34"/>
  <c r="M3224" i="34"/>
  <c r="M3204" i="34"/>
  <c r="M3201" i="34"/>
  <c r="M3178" i="34"/>
  <c r="M3174" i="34"/>
  <c r="M3171" i="34"/>
  <c r="M3164" i="34"/>
  <c r="M3160" i="34"/>
  <c r="M3154" i="34"/>
  <c r="M3151" i="34"/>
  <c r="M3146" i="34"/>
  <c r="M3143" i="34"/>
  <c r="M3140" i="34"/>
  <c r="M3136" i="34"/>
  <c r="M3134" i="34"/>
  <c r="M3114" i="34"/>
  <c r="M3108" i="34"/>
  <c r="M3095" i="34"/>
  <c r="M3090" i="34"/>
  <c r="M3084" i="34"/>
  <c r="M3072" i="34"/>
  <c r="M3070" i="34"/>
  <c r="M3062" i="34"/>
  <c r="M3049" i="34"/>
  <c r="M3038" i="34"/>
  <c r="M3032" i="34"/>
  <c r="M3025" i="34"/>
  <c r="M3020" i="34"/>
  <c r="M3015" i="34"/>
  <c r="M3012" i="34"/>
  <c r="M2994" i="34"/>
  <c r="M2988" i="34"/>
  <c r="M2985" i="34"/>
  <c r="M2981" i="34"/>
  <c r="M2974" i="34"/>
  <c r="M2971" i="34"/>
  <c r="M2966" i="34"/>
  <c r="M2930" i="34"/>
  <c r="M2927" i="34"/>
  <c r="M2924" i="34"/>
  <c r="M2918" i="34"/>
  <c r="M2913" i="34"/>
  <c r="M2911" i="34"/>
  <c r="M2903" i="34"/>
  <c r="M2898" i="34"/>
  <c r="M2882" i="34"/>
  <c r="M2875" i="34"/>
  <c r="M2872" i="34"/>
  <c r="M2868" i="34"/>
  <c r="M2860" i="34"/>
  <c r="M2854" i="34"/>
  <c r="M2850" i="34"/>
  <c r="M2844" i="34"/>
  <c r="M2827" i="34"/>
  <c r="M2825" i="34"/>
  <c r="M2820" i="34"/>
  <c r="M2816" i="34"/>
  <c r="M2813" i="34"/>
  <c r="M2806" i="34"/>
  <c r="M2804" i="34"/>
  <c r="M2779" i="34"/>
  <c r="M2776" i="34"/>
  <c r="M2769" i="34"/>
  <c r="M2765" i="34"/>
  <c r="M2737" i="34"/>
  <c r="M2725" i="34"/>
  <c r="M2721" i="34"/>
  <c r="M2712" i="34"/>
  <c r="M2709" i="34"/>
  <c r="M2707" i="34"/>
  <c r="M2694" i="34"/>
  <c r="M2691" i="34"/>
  <c r="M2688" i="34"/>
  <c r="M2674" i="34"/>
  <c r="M2668" i="34"/>
  <c r="M2664" i="34"/>
  <c r="M2656" i="34"/>
  <c r="M2654" i="34"/>
  <c r="M2632" i="34"/>
  <c r="M2622" i="34"/>
  <c r="M2612" i="34"/>
  <c r="M2610" i="34"/>
  <c r="M2608" i="34"/>
  <c r="M2594" i="34"/>
  <c r="M2590" i="34"/>
  <c r="M2561" i="34"/>
  <c r="M2554" i="34"/>
  <c r="M2546" i="34"/>
  <c r="M2543" i="34"/>
  <c r="M2533" i="34"/>
  <c r="M2529" i="34"/>
  <c r="M2518" i="34"/>
  <c r="M2509" i="34"/>
  <c r="M2484" i="34"/>
  <c r="M2488" i="34"/>
  <c r="M2492" i="34"/>
  <c r="M2497" i="34"/>
  <c r="M2500" i="34"/>
  <c r="M2504" i="34"/>
  <c r="M2508" i="34"/>
  <c r="P11" i="34"/>
  <c r="T11" i="34"/>
  <c r="U11" i="34"/>
  <c r="V11" i="34"/>
  <c r="W11" i="34"/>
  <c r="Y11" i="34"/>
  <c r="AB11" i="34"/>
  <c r="AC11" i="34"/>
  <c r="B5704" i="34"/>
  <c r="A5704" i="34" s="1"/>
  <c r="B5703" i="34"/>
  <c r="A5703" i="34" s="1"/>
  <c r="B5588" i="34"/>
  <c r="A5588" i="34" s="1"/>
  <c r="B5587" i="34"/>
  <c r="A5587" i="34" s="1"/>
  <c r="B5653" i="34"/>
  <c r="A5653" i="34" s="1"/>
  <c r="B5652" i="34"/>
  <c r="A5652" i="34" s="1"/>
  <c r="B5672" i="34"/>
  <c r="A5672" i="34" s="1"/>
  <c r="B5671" i="34"/>
  <c r="A5671" i="34" s="1"/>
  <c r="B5688" i="34"/>
  <c r="A5688" i="34" s="1"/>
  <c r="B5687" i="34"/>
  <c r="A5687" i="34" s="1"/>
  <c r="B5659" i="34"/>
  <c r="A5659" i="34" s="1"/>
  <c r="B5658" i="34"/>
  <c r="A5658" i="34" s="1"/>
  <c r="B5702" i="34"/>
  <c r="A5702" i="34" s="1"/>
  <c r="B5701" i="34"/>
  <c r="A5701" i="34" s="1"/>
  <c r="B5546" i="34"/>
  <c r="A5546" i="34" s="1"/>
  <c r="B5545" i="34"/>
  <c r="A5545" i="34" s="1"/>
  <c r="B5486" i="34"/>
  <c r="A5486" i="34" s="1"/>
  <c r="B5485" i="34"/>
  <c r="A5485" i="34" s="1"/>
  <c r="B5449" i="34"/>
  <c r="A5449" i="34" s="1"/>
  <c r="B5448" i="34"/>
  <c r="A5448" i="34" s="1"/>
  <c r="B5466" i="34"/>
  <c r="A5466" i="34" s="1"/>
  <c r="B5465" i="34"/>
  <c r="A5465" i="34" s="1"/>
  <c r="B5419" i="34"/>
  <c r="A5419" i="34" s="1"/>
  <c r="B5418" i="34"/>
  <c r="A5418" i="34" s="1"/>
  <c r="B5429" i="34"/>
  <c r="A5429" i="34" s="1"/>
  <c r="B5430" i="34"/>
  <c r="A5430" i="34" s="1"/>
  <c r="B5149" i="34"/>
  <c r="A5149" i="34" s="1"/>
  <c r="B5148" i="34"/>
  <c r="A5148" i="34" s="1"/>
  <c r="B844" i="34"/>
  <c r="A844" i="34" s="1"/>
  <c r="B845" i="34"/>
  <c r="A845" i="34" s="1"/>
  <c r="B846" i="34"/>
  <c r="A846" i="34" s="1"/>
  <c r="B847" i="34"/>
  <c r="A847" i="34" s="1"/>
  <c r="E847" i="34"/>
  <c r="E846" i="34"/>
  <c r="E845" i="34"/>
  <c r="E844" i="34"/>
  <c r="R5485" i="34" l="1"/>
  <c r="Q5485" i="34"/>
  <c r="S5485" i="34"/>
  <c r="S5652" i="34"/>
  <c r="Q5652" i="34"/>
  <c r="R5652" i="34"/>
  <c r="Q5703" i="34"/>
  <c r="R5703" i="34"/>
  <c r="S5703" i="34"/>
  <c r="R846" i="34"/>
  <c r="S846" i="34"/>
  <c r="Q846" i="34"/>
  <c r="Q5429" i="34"/>
  <c r="R5429" i="34"/>
  <c r="S5429" i="34"/>
  <c r="S5466" i="34"/>
  <c r="Q5466" i="34"/>
  <c r="R5466" i="34"/>
  <c r="R5486" i="34"/>
  <c r="Q5486" i="34"/>
  <c r="S5486" i="34"/>
  <c r="S5702" i="34"/>
  <c r="Q5702" i="34"/>
  <c r="R5702" i="34"/>
  <c r="S5688" i="34"/>
  <c r="Q5688" i="34"/>
  <c r="R5688" i="34"/>
  <c r="R5653" i="34"/>
  <c r="Q5653" i="34"/>
  <c r="S5653" i="34"/>
  <c r="S5704" i="34"/>
  <c r="Q5704" i="34"/>
  <c r="R5704" i="34"/>
  <c r="Q847" i="34"/>
  <c r="R847" i="34"/>
  <c r="S847" i="34"/>
  <c r="S5430" i="34"/>
  <c r="Q5430" i="34"/>
  <c r="R5430" i="34"/>
  <c r="Q5701" i="34"/>
  <c r="R5701" i="34"/>
  <c r="S5701" i="34"/>
  <c r="Q845" i="34"/>
  <c r="R845" i="34"/>
  <c r="S845" i="34"/>
  <c r="Q5418" i="34"/>
  <c r="R5418" i="34"/>
  <c r="S5418" i="34"/>
  <c r="R5545" i="34"/>
  <c r="Q5545" i="34"/>
  <c r="S5545" i="34"/>
  <c r="Q5658" i="34"/>
  <c r="R5658" i="34"/>
  <c r="S5658" i="34"/>
  <c r="R5587" i="34"/>
  <c r="Q5587" i="34"/>
  <c r="S5587" i="34"/>
  <c r="Q5465" i="34"/>
  <c r="R5465" i="34"/>
  <c r="S5465" i="34"/>
  <c r="S5148" i="34"/>
  <c r="Q5148" i="34"/>
  <c r="R5148" i="34"/>
  <c r="Q5448" i="34"/>
  <c r="R5448" i="34"/>
  <c r="S5448" i="34"/>
  <c r="Q5671" i="34"/>
  <c r="R5671" i="34"/>
  <c r="S5671" i="34"/>
  <c r="R844" i="34"/>
  <c r="S844" i="34"/>
  <c r="Q844" i="34"/>
  <c r="Q5149" i="34"/>
  <c r="R5149" i="34"/>
  <c r="S5149" i="34"/>
  <c r="S5419" i="34"/>
  <c r="Q5419" i="34"/>
  <c r="R5419" i="34"/>
  <c r="S5449" i="34"/>
  <c r="Q5449" i="34"/>
  <c r="R5449" i="34"/>
  <c r="R5546" i="34"/>
  <c r="Q5546" i="34"/>
  <c r="S5546" i="34"/>
  <c r="R5659" i="34"/>
  <c r="S5659" i="34"/>
  <c r="Q5659" i="34"/>
  <c r="S5672" i="34"/>
  <c r="Q5672" i="34"/>
  <c r="R5672" i="34"/>
  <c r="R5588" i="34"/>
  <c r="S5588" i="34"/>
  <c r="Q5588" i="34"/>
  <c r="Q5687" i="34"/>
  <c r="R5687" i="34"/>
  <c r="S5687" i="34"/>
  <c r="M5697" i="34"/>
  <c r="M2777" i="34"/>
  <c r="M2778" i="34"/>
  <c r="M2805" i="34"/>
  <c r="M2815" i="34"/>
  <c r="M2817" i="34"/>
  <c r="M2869" i="34"/>
  <c r="M2874" i="34"/>
  <c r="M2926" i="34"/>
  <c r="M3069" i="34"/>
  <c r="M3135" i="34"/>
  <c r="M3137" i="34"/>
  <c r="M3345" i="34"/>
  <c r="M5573" i="34"/>
  <c r="M5525" i="34"/>
  <c r="M5516" i="34"/>
  <c r="M5459" i="34"/>
  <c r="M5427" i="34"/>
  <c r="M3342" i="34"/>
  <c r="M3337" i="34"/>
  <c r="M3320" i="34"/>
  <c r="M3316" i="34"/>
  <c r="M3311" i="34"/>
  <c r="M3308" i="34"/>
  <c r="M3304" i="34"/>
  <c r="M3298" i="34"/>
  <c r="M3291" i="34"/>
  <c r="M3288" i="34"/>
  <c r="M3273" i="34"/>
  <c r="M3272" i="34"/>
  <c r="M3266" i="34"/>
  <c r="M3261" i="34"/>
  <c r="M3260" i="34"/>
  <c r="M3254" i="34"/>
  <c r="M3250" i="34"/>
  <c r="M3249" i="34"/>
  <c r="M3248" i="34"/>
  <c r="M3241" i="34"/>
  <c r="M3235" i="34"/>
  <c r="M3232" i="34"/>
  <c r="M3226" i="34"/>
  <c r="M3225" i="34"/>
  <c r="M3216" i="34"/>
  <c r="M3213" i="34"/>
  <c r="M3210" i="34"/>
  <c r="M3208" i="34"/>
  <c r="M3206" i="34"/>
  <c r="M3205" i="34"/>
  <c r="M3203" i="34"/>
  <c r="M3202" i="34"/>
  <c r="M3182" i="34"/>
  <c r="M3176" i="34"/>
  <c r="M3175" i="34"/>
  <c r="M3173" i="34"/>
  <c r="M3172" i="34"/>
  <c r="M3170" i="34"/>
  <c r="M3162" i="34"/>
  <c r="M3158" i="34"/>
  <c r="M3153" i="34"/>
  <c r="M3152" i="34"/>
  <c r="M3150" i="34"/>
  <c r="M3148" i="34"/>
  <c r="M3139" i="34"/>
  <c r="M3133" i="34"/>
  <c r="M3132" i="34"/>
  <c r="M3131" i="34"/>
  <c r="M3130" i="34"/>
  <c r="M3111" i="34"/>
  <c r="M3106" i="34"/>
  <c r="M3102" i="34"/>
  <c r="M3101" i="34"/>
  <c r="M3100" i="34"/>
  <c r="M3099" i="34"/>
  <c r="M3098" i="34"/>
  <c r="M3094" i="34"/>
  <c r="M3089" i="34"/>
  <c r="M3087" i="34"/>
  <c r="M3083" i="34"/>
  <c r="M3082" i="34"/>
  <c r="M3080" i="34"/>
  <c r="M3078" i="34"/>
  <c r="M3077" i="34"/>
  <c r="M3076" i="34"/>
  <c r="M3075" i="34"/>
  <c r="M3071" i="34"/>
  <c r="M3068" i="34"/>
  <c r="M3067" i="34"/>
  <c r="M3066" i="34"/>
  <c r="M3044" i="34"/>
  <c r="M3042" i="34"/>
  <c r="M3036" i="34"/>
  <c r="M3031" i="34"/>
  <c r="M3029" i="34"/>
  <c r="M3024" i="34"/>
  <c r="M3019" i="34"/>
  <c r="M3017" i="34"/>
  <c r="M2993" i="34"/>
  <c r="M2992" i="34"/>
  <c r="M2991" i="34"/>
  <c r="M2984" i="34"/>
  <c r="M2979" i="34"/>
  <c r="M2977" i="34"/>
  <c r="M2970" i="34"/>
  <c r="M2969" i="34"/>
  <c r="M2965" i="34"/>
  <c r="M2964" i="34"/>
  <c r="M2963" i="34"/>
  <c r="M2948" i="34"/>
  <c r="M2945" i="34"/>
  <c r="M2942" i="34"/>
  <c r="M2938" i="34"/>
  <c r="M2937" i="34"/>
  <c r="M2936" i="34"/>
  <c r="M2935" i="34"/>
  <c r="M2934" i="34"/>
  <c r="M2933" i="34"/>
  <c r="M2923" i="34"/>
  <c r="M2922" i="34"/>
  <c r="M2920" i="34"/>
  <c r="M2917" i="34"/>
  <c r="M2916" i="34"/>
  <c r="M2910" i="34"/>
  <c r="M2909" i="34"/>
  <c r="M2907" i="34"/>
  <c r="M2902" i="34"/>
  <c r="M2886" i="34"/>
  <c r="M2867" i="34"/>
  <c r="M2866" i="34"/>
  <c r="M2863" i="34"/>
  <c r="M2858" i="34"/>
  <c r="M2853" i="34"/>
  <c r="M2852" i="34"/>
  <c r="M2847" i="34"/>
  <c r="M2843" i="34"/>
  <c r="M2829" i="34"/>
  <c r="M2824" i="34"/>
  <c r="M2823" i="34"/>
  <c r="M2821" i="34"/>
  <c r="M2818" i="34"/>
  <c r="M2812" i="34"/>
  <c r="M2809" i="34"/>
  <c r="M2792" i="34"/>
  <c r="M2783" i="34"/>
  <c r="M2775" i="34"/>
  <c r="M2773" i="34"/>
  <c r="M2768" i="34"/>
  <c r="M2767" i="34"/>
  <c r="M2742" i="34"/>
  <c r="M2740" i="34"/>
  <c r="M2739" i="34"/>
  <c r="M2736" i="34"/>
  <c r="M2724" i="34"/>
  <c r="M2723" i="34"/>
  <c r="M2718" i="34"/>
  <c r="M2715" i="34"/>
  <c r="M2714" i="34"/>
  <c r="M2713" i="34"/>
  <c r="M2706" i="34"/>
  <c r="M2703" i="34"/>
  <c r="M2700" i="34"/>
  <c r="M2697" i="34"/>
  <c r="M2675" i="34"/>
  <c r="M2671" i="34"/>
  <c r="M2666" i="34"/>
  <c r="M2663" i="34"/>
  <c r="M2662" i="34"/>
  <c r="M2659" i="34"/>
  <c r="M2658" i="34"/>
  <c r="M2657" i="34"/>
  <c r="M2653" i="34"/>
  <c r="M2652" i="34"/>
  <c r="M5303" i="34"/>
  <c r="M2650" i="34"/>
  <c r="M2649" i="34"/>
  <c r="M2648" i="34"/>
  <c r="M2647" i="34"/>
  <c r="M2646" i="34"/>
  <c r="M2645" i="34"/>
  <c r="M2644" i="34"/>
  <c r="M2643" i="34"/>
  <c r="M2642" i="34"/>
  <c r="M2611" i="34"/>
  <c r="M2609" i="34"/>
  <c r="M2605" i="34"/>
  <c r="M2602" i="34"/>
  <c r="M2599" i="34"/>
  <c r="M2596" i="34"/>
  <c r="M2593" i="34"/>
  <c r="M2592" i="34"/>
  <c r="M2589" i="34"/>
  <c r="M2583" i="34"/>
  <c r="M2577" i="34"/>
  <c r="M5604" i="34"/>
  <c r="M5469" i="34"/>
  <c r="M5436" i="34"/>
  <c r="M5432" i="34"/>
  <c r="M5359" i="34"/>
  <c r="M5324" i="34"/>
  <c r="M2575" i="34"/>
  <c r="M2573" i="34"/>
  <c r="M2571" i="34"/>
  <c r="M2564" i="34"/>
  <c r="M2563" i="34"/>
  <c r="M2560" i="34"/>
  <c r="M2559" i="34"/>
  <c r="M2556" i="34"/>
  <c r="M2553" i="34"/>
  <c r="M2552" i="34"/>
  <c r="M2549" i="34"/>
  <c r="M2548" i="34"/>
  <c r="M2545" i="34"/>
  <c r="M2542" i="34"/>
  <c r="M2540" i="34"/>
  <c r="M2538" i="34"/>
  <c r="M2532" i="34"/>
  <c r="M2531" i="34"/>
  <c r="M2525" i="34"/>
  <c r="M2519" i="34"/>
  <c r="M2514" i="34"/>
  <c r="M2513" i="34"/>
  <c r="M2512" i="34"/>
  <c r="M2511" i="34"/>
  <c r="M2507" i="34"/>
  <c r="M2506" i="34"/>
  <c r="M2503" i="34"/>
  <c r="M2502" i="34"/>
  <c r="M2498" i="34"/>
  <c r="M2496" i="34"/>
  <c r="M2495" i="34"/>
  <c r="M2491" i="34"/>
  <c r="M2490" i="34"/>
  <c r="M2489" i="34"/>
  <c r="M2487" i="34"/>
  <c r="M2483" i="34"/>
  <c r="M2482" i="34"/>
  <c r="M4701" i="34"/>
  <c r="M279" i="34" l="1"/>
  <c r="M278" i="34"/>
  <c r="M275" i="34"/>
  <c r="M277" i="34" s="1"/>
  <c r="M274" i="34"/>
  <c r="M276" i="34" s="1"/>
  <c r="M273" i="34"/>
  <c r="M272" i="34"/>
  <c r="M271" i="34"/>
  <c r="M270" i="34"/>
  <c r="M269" i="34"/>
  <c r="M268" i="34"/>
  <c r="M267" i="34"/>
  <c r="M266" i="34"/>
  <c r="M259" i="34"/>
  <c r="M258" i="34"/>
  <c r="M255" i="34"/>
  <c r="M257" i="34" s="1"/>
  <c r="M254" i="34"/>
  <c r="M256" i="34" s="1"/>
  <c r="M253" i="34"/>
  <c r="M252" i="34"/>
  <c r="M251" i="34"/>
  <c r="M250" i="34"/>
  <c r="M249" i="34"/>
  <c r="M248" i="34"/>
  <c r="M247" i="34"/>
  <c r="M246" i="34"/>
  <c r="M239" i="34"/>
  <c r="M238" i="34"/>
  <c r="M235" i="34"/>
  <c r="M237" i="34" s="1"/>
  <c r="M234" i="34"/>
  <c r="M236" i="34" s="1"/>
  <c r="M233" i="34"/>
  <c r="M232" i="34"/>
  <c r="M231" i="34"/>
  <c r="M230" i="34"/>
  <c r="M229" i="34"/>
  <c r="M228" i="34"/>
  <c r="M227" i="34"/>
  <c r="M226" i="34"/>
  <c r="M220" i="34"/>
  <c r="M219" i="34"/>
  <c r="M216" i="34"/>
  <c r="M218" i="34" s="1"/>
  <c r="M215" i="34"/>
  <c r="M217" i="34" s="1"/>
  <c r="M214" i="34"/>
  <c r="M213" i="34"/>
  <c r="M212" i="34"/>
  <c r="M211" i="34"/>
  <c r="M210" i="34"/>
  <c r="M209" i="34"/>
  <c r="M208" i="34"/>
  <c r="M207" i="34"/>
  <c r="M204" i="34"/>
  <c r="M203" i="34"/>
  <c r="M200" i="34"/>
  <c r="M202" i="34" s="1"/>
  <c r="M199" i="34"/>
  <c r="M201" i="34" s="1"/>
  <c r="M198" i="34"/>
  <c r="M197" i="34"/>
  <c r="M196" i="34"/>
  <c r="M195" i="34"/>
  <c r="M194" i="34"/>
  <c r="M193" i="34"/>
  <c r="M192" i="34"/>
  <c r="M191" i="34"/>
  <c r="M185" i="34"/>
  <c r="M187" i="34" s="1"/>
  <c r="M184" i="34"/>
  <c r="M186" i="34" s="1"/>
  <c r="M183" i="34"/>
  <c r="M182" i="34"/>
  <c r="M181" i="34"/>
  <c r="M180" i="34"/>
  <c r="M179" i="34"/>
  <c r="M178" i="34"/>
  <c r="M177" i="34"/>
  <c r="M176" i="34"/>
  <c r="M168" i="34"/>
  <c r="M170" i="34" s="1"/>
  <c r="M167" i="34"/>
  <c r="M169" i="34" s="1"/>
  <c r="M166" i="34"/>
  <c r="M165" i="34"/>
  <c r="M164" i="34"/>
  <c r="M163" i="34"/>
  <c r="M162" i="34"/>
  <c r="M161" i="34"/>
  <c r="M160" i="34"/>
  <c r="M159" i="34"/>
  <c r="M151" i="34"/>
  <c r="M153" i="34" s="1"/>
  <c r="M150" i="34"/>
  <c r="M152" i="34" s="1"/>
  <c r="M149" i="34"/>
  <c r="M148" i="34"/>
  <c r="M147" i="34"/>
  <c r="M146" i="34"/>
  <c r="M145" i="34"/>
  <c r="M144" i="34"/>
  <c r="M143" i="34"/>
  <c r="M142" i="34"/>
  <c r="M136" i="34"/>
  <c r="M138" i="34" s="1"/>
  <c r="M135" i="34"/>
  <c r="M137" i="34" s="1"/>
  <c r="M134" i="34"/>
  <c r="M133" i="34"/>
  <c r="M132" i="34"/>
  <c r="M131" i="34"/>
  <c r="M130" i="34"/>
  <c r="M129" i="34"/>
  <c r="M128" i="34"/>
  <c r="M127" i="34"/>
  <c r="M119" i="34"/>
  <c r="M121" i="34" s="1"/>
  <c r="M118" i="34"/>
  <c r="M120" i="34" s="1"/>
  <c r="M117" i="34"/>
  <c r="M116" i="34"/>
  <c r="M115" i="34"/>
  <c r="M114" i="34"/>
  <c r="M113" i="34"/>
  <c r="M112" i="34"/>
  <c r="M111" i="34"/>
  <c r="M110" i="34"/>
  <c r="M82" i="34"/>
  <c r="M81" i="34"/>
  <c r="AG2645" i="34"/>
  <c r="AG2643" i="34"/>
  <c r="AG2638" i="34"/>
  <c r="AG2636" i="34"/>
  <c r="AG2634" i="34"/>
  <c r="AG2628" i="34"/>
  <c r="AG2626" i="34"/>
  <c r="AG2624" i="34"/>
  <c r="AG2618" i="34"/>
  <c r="AG2616" i="34"/>
  <c r="AG2614" i="34"/>
  <c r="B826" i="34"/>
  <c r="A826" i="34" s="1"/>
  <c r="B825" i="34"/>
  <c r="A825" i="34" s="1"/>
  <c r="J2184" i="34"/>
  <c r="J2016" i="34"/>
  <c r="Q825" i="34" l="1"/>
  <c r="R825" i="34"/>
  <c r="S825" i="34"/>
  <c r="R826" i="34"/>
  <c r="S826" i="34"/>
  <c r="Q826" i="34"/>
  <c r="B842" i="34"/>
  <c r="A842" i="34" s="1"/>
  <c r="B843" i="34"/>
  <c r="A843" i="34" s="1"/>
  <c r="B2395" i="34"/>
  <c r="A2395" i="34" s="1"/>
  <c r="B2396" i="34"/>
  <c r="A2396" i="34" s="1"/>
  <c r="E2396" i="34"/>
  <c r="M2395" i="34"/>
  <c r="E2395" i="34"/>
  <c r="B804" i="34"/>
  <c r="A804" i="34" s="1"/>
  <c r="B803" i="34"/>
  <c r="A803" i="34" s="1"/>
  <c r="B5541" i="34"/>
  <c r="A5541" i="34" s="1"/>
  <c r="B5542" i="34"/>
  <c r="A5542" i="34" s="1"/>
  <c r="B5543" i="34"/>
  <c r="A5543" i="34" s="1"/>
  <c r="B5544" i="34"/>
  <c r="A5544" i="34" s="1"/>
  <c r="B26" i="34"/>
  <c r="A26" i="34" s="1"/>
  <c r="E26" i="34"/>
  <c r="B5679" i="34"/>
  <c r="A5679" i="34" s="1"/>
  <c r="B5678" i="34"/>
  <c r="A5678" i="34" s="1"/>
  <c r="B5677" i="34"/>
  <c r="A5677" i="34" s="1"/>
  <c r="B5676" i="34"/>
  <c r="A5676" i="34" s="1"/>
  <c r="S5679" i="34" l="1"/>
  <c r="Q5679" i="34"/>
  <c r="R5679" i="34"/>
  <c r="R5544" i="34"/>
  <c r="S5544" i="34"/>
  <c r="Q5544" i="34"/>
  <c r="R842" i="34"/>
  <c r="S842" i="34"/>
  <c r="Q842" i="34"/>
  <c r="R5543" i="34"/>
  <c r="Q5543" i="34"/>
  <c r="S5543" i="34"/>
  <c r="R804" i="34"/>
  <c r="S804" i="34"/>
  <c r="Q804" i="34"/>
  <c r="R2396" i="34"/>
  <c r="S2396" i="34"/>
  <c r="Q2396" i="34"/>
  <c r="Q5676" i="34"/>
  <c r="R5676" i="34"/>
  <c r="S5676" i="34"/>
  <c r="Q5678" i="34"/>
  <c r="R5678" i="34"/>
  <c r="S5678" i="34"/>
  <c r="R5542" i="34"/>
  <c r="Q5542" i="34"/>
  <c r="S5542" i="34"/>
  <c r="Q2395" i="34"/>
  <c r="R2395" i="34"/>
  <c r="S2395" i="34"/>
  <c r="Q26" i="34"/>
  <c r="R26" i="34"/>
  <c r="S26" i="34"/>
  <c r="R5541" i="34"/>
  <c r="Q5541" i="34"/>
  <c r="S5541" i="34"/>
  <c r="Q843" i="34"/>
  <c r="R843" i="34"/>
  <c r="S843" i="34"/>
  <c r="S5677" i="34"/>
  <c r="Q5677" i="34"/>
  <c r="R5677" i="34"/>
  <c r="Q803" i="34"/>
  <c r="R803" i="34"/>
  <c r="S803" i="34"/>
  <c r="E841" i="34" l="1"/>
  <c r="B841" i="34"/>
  <c r="A841" i="34" s="1"/>
  <c r="E840" i="34"/>
  <c r="B840" i="34"/>
  <c r="A840" i="34" s="1"/>
  <c r="E839" i="34"/>
  <c r="B839" i="34"/>
  <c r="A839" i="34" s="1"/>
  <c r="E838" i="34"/>
  <c r="B838" i="34"/>
  <c r="A838" i="34" s="1"/>
  <c r="E837" i="34"/>
  <c r="B837" i="34"/>
  <c r="A837" i="34" s="1"/>
  <c r="E836" i="34"/>
  <c r="B836" i="34"/>
  <c r="A836" i="34" s="1"/>
  <c r="E835" i="34"/>
  <c r="B835" i="34"/>
  <c r="A835" i="34" s="1"/>
  <c r="E834" i="34"/>
  <c r="B834" i="34"/>
  <c r="A834" i="34" s="1"/>
  <c r="B833" i="34"/>
  <c r="A833" i="34" s="1"/>
  <c r="E833" i="34"/>
  <c r="E832" i="34"/>
  <c r="B832" i="34"/>
  <c r="A832" i="34" s="1"/>
  <c r="E831" i="34"/>
  <c r="B831" i="34"/>
  <c r="A831" i="34" s="1"/>
  <c r="E830" i="34"/>
  <c r="B830" i="34"/>
  <c r="A830" i="34" s="1"/>
  <c r="E829" i="34"/>
  <c r="B829" i="34"/>
  <c r="A829" i="34" s="1"/>
  <c r="E828" i="34"/>
  <c r="B828" i="34"/>
  <c r="A828" i="34" s="1"/>
  <c r="E827" i="34"/>
  <c r="B827" i="34"/>
  <c r="A827" i="34" s="1"/>
  <c r="K2324" i="34"/>
  <c r="M2324" i="34" s="1"/>
  <c r="E2324" i="34"/>
  <c r="B2324" i="34"/>
  <c r="A2324" i="34" s="1"/>
  <c r="B824" i="34"/>
  <c r="A824" i="34" s="1"/>
  <c r="B823" i="34"/>
  <c r="A823" i="34" s="1"/>
  <c r="B822" i="34"/>
  <c r="A822" i="34" s="1"/>
  <c r="B821" i="34"/>
  <c r="A821" i="34" s="1"/>
  <c r="B820" i="34"/>
  <c r="A820" i="34" s="1"/>
  <c r="B819" i="34"/>
  <c r="A819" i="34" s="1"/>
  <c r="B818" i="34"/>
  <c r="A818" i="34" s="1"/>
  <c r="B817" i="34"/>
  <c r="A817" i="34" s="1"/>
  <c r="B816" i="34"/>
  <c r="A816" i="34" s="1"/>
  <c r="B815" i="34"/>
  <c r="A815" i="34" s="1"/>
  <c r="B814" i="34"/>
  <c r="A814" i="34" s="1"/>
  <c r="B813" i="34"/>
  <c r="A813" i="34" s="1"/>
  <c r="B812" i="34"/>
  <c r="A812" i="34" s="1"/>
  <c r="B811" i="34"/>
  <c r="A811" i="34" s="1"/>
  <c r="B810" i="34"/>
  <c r="A810" i="34" s="1"/>
  <c r="B807" i="34"/>
  <c r="A807" i="34" s="1"/>
  <c r="B808" i="34"/>
  <c r="A808" i="34" s="1"/>
  <c r="B809" i="34"/>
  <c r="A809" i="34" s="1"/>
  <c r="E2399" i="34"/>
  <c r="M2398" i="34"/>
  <c r="E2398" i="34"/>
  <c r="M2397" i="34"/>
  <c r="E2397" i="34"/>
  <c r="B2397" i="34"/>
  <c r="A2397" i="34" s="1"/>
  <c r="Q811" i="34" l="1"/>
  <c r="R811" i="34"/>
  <c r="S811" i="34"/>
  <c r="Q823" i="34"/>
  <c r="R823" i="34"/>
  <c r="S823" i="34"/>
  <c r="Q2399" i="34"/>
  <c r="R2399" i="34"/>
  <c r="S2399" i="34"/>
  <c r="Q813" i="34"/>
  <c r="R813" i="34"/>
  <c r="S813" i="34"/>
  <c r="Q817" i="34"/>
  <c r="R817" i="34"/>
  <c r="S817" i="34"/>
  <c r="Q2324" i="34"/>
  <c r="R2324" i="34"/>
  <c r="S2324" i="34"/>
  <c r="R2398" i="34"/>
  <c r="S2398" i="34"/>
  <c r="Q2398" i="34"/>
  <c r="R810" i="34"/>
  <c r="S810" i="34"/>
  <c r="Q810" i="34"/>
  <c r="R814" i="34"/>
  <c r="S814" i="34"/>
  <c r="Q814" i="34"/>
  <c r="R818" i="34"/>
  <c r="S818" i="34"/>
  <c r="Q818" i="34"/>
  <c r="R822" i="34"/>
  <c r="S822" i="34"/>
  <c r="Q822" i="34"/>
  <c r="R828" i="34"/>
  <c r="S828" i="34"/>
  <c r="Q828" i="34"/>
  <c r="R830" i="34"/>
  <c r="S830" i="34"/>
  <c r="Q830" i="34"/>
  <c r="R832" i="34"/>
  <c r="S832" i="34"/>
  <c r="Q832" i="34"/>
  <c r="R834" i="34"/>
  <c r="S834" i="34"/>
  <c r="Q834" i="34"/>
  <c r="R836" i="34"/>
  <c r="S836" i="34"/>
  <c r="Q836" i="34"/>
  <c r="R838" i="34"/>
  <c r="S838" i="34"/>
  <c r="Q838" i="34"/>
  <c r="R840" i="34"/>
  <c r="S840" i="34"/>
  <c r="Q840" i="34"/>
  <c r="Q2397" i="34"/>
  <c r="R2397" i="34"/>
  <c r="S2397" i="34"/>
  <c r="Q809" i="34"/>
  <c r="R809" i="34"/>
  <c r="S809" i="34"/>
  <c r="Q819" i="34"/>
  <c r="R819" i="34"/>
  <c r="S819" i="34"/>
  <c r="R808" i="34"/>
  <c r="S808" i="34"/>
  <c r="Q808" i="34"/>
  <c r="R812" i="34"/>
  <c r="S812" i="34"/>
  <c r="Q812" i="34"/>
  <c r="R816" i="34"/>
  <c r="S816" i="34"/>
  <c r="Q816" i="34"/>
  <c r="R820" i="34"/>
  <c r="S820" i="34"/>
  <c r="Q820" i="34"/>
  <c r="R824" i="34"/>
  <c r="S824" i="34"/>
  <c r="Q824" i="34"/>
  <c r="Q827" i="34"/>
  <c r="R827" i="34"/>
  <c r="S827" i="34"/>
  <c r="Q829" i="34"/>
  <c r="R829" i="34"/>
  <c r="S829" i="34"/>
  <c r="Q831" i="34"/>
  <c r="R831" i="34"/>
  <c r="S831" i="34"/>
  <c r="Q835" i="34"/>
  <c r="R835" i="34"/>
  <c r="S835" i="34"/>
  <c r="Q837" i="34"/>
  <c r="R837" i="34"/>
  <c r="S837" i="34"/>
  <c r="Q839" i="34"/>
  <c r="R839" i="34"/>
  <c r="S839" i="34"/>
  <c r="Q841" i="34"/>
  <c r="R841" i="34"/>
  <c r="S841" i="34"/>
  <c r="Q815" i="34"/>
  <c r="R815" i="34"/>
  <c r="S815" i="34"/>
  <c r="Q807" i="34"/>
  <c r="R807" i="34"/>
  <c r="S807" i="34"/>
  <c r="Q821" i="34"/>
  <c r="R821" i="34"/>
  <c r="S821" i="34"/>
  <c r="Q833" i="34"/>
  <c r="R833" i="34"/>
  <c r="S833" i="34"/>
  <c r="E286" i="34"/>
  <c r="B286" i="34"/>
  <c r="A286" i="34" s="1"/>
  <c r="E285" i="34"/>
  <c r="B285" i="34"/>
  <c r="A285" i="34" s="1"/>
  <c r="E284" i="34"/>
  <c r="B284" i="34"/>
  <c r="A284" i="34" s="1"/>
  <c r="K2322" i="34"/>
  <c r="M2322" i="34" s="1"/>
  <c r="K2323" i="34"/>
  <c r="M2323" i="34" s="1"/>
  <c r="K2321" i="34"/>
  <c r="M2321" i="34" s="1"/>
  <c r="B2321" i="34"/>
  <c r="A2321" i="34" s="1"/>
  <c r="E2321" i="34"/>
  <c r="B2322" i="34"/>
  <c r="A2322" i="34" s="1"/>
  <c r="E2322" i="34"/>
  <c r="B2323" i="34"/>
  <c r="A2323" i="34" s="1"/>
  <c r="E2323" i="34"/>
  <c r="Q2322" i="34" l="1"/>
  <c r="R2322" i="34"/>
  <c r="S2322" i="34"/>
  <c r="Q285" i="34"/>
  <c r="R285" i="34"/>
  <c r="S285" i="34"/>
  <c r="S2323" i="34"/>
  <c r="Q2323" i="34"/>
  <c r="R2323" i="34"/>
  <c r="S2321" i="34"/>
  <c r="Q2321" i="34"/>
  <c r="R2321" i="34"/>
  <c r="R284" i="34"/>
  <c r="S284" i="34"/>
  <c r="Q284" i="34"/>
  <c r="R286" i="34"/>
  <c r="S286" i="34"/>
  <c r="Q286" i="34"/>
  <c r="B5630" i="34"/>
  <c r="A5630" i="34" s="1"/>
  <c r="B2326" i="34"/>
  <c r="A2326" i="34" s="1"/>
  <c r="E2326" i="34"/>
  <c r="M2326" i="34"/>
  <c r="B25" i="34"/>
  <c r="A25" i="34" s="1"/>
  <c r="E25" i="34"/>
  <c r="B2327" i="34"/>
  <c r="A2327" i="34" s="1"/>
  <c r="E2327" i="34"/>
  <c r="M2327" i="34"/>
  <c r="M2325" i="34"/>
  <c r="E2325" i="34"/>
  <c r="B2325" i="34"/>
  <c r="A2325" i="34" s="1"/>
  <c r="M2394" i="34"/>
  <c r="E2394" i="34"/>
  <c r="B2394" i="34"/>
  <c r="A2394" i="34" s="1"/>
  <c r="E2393" i="34"/>
  <c r="B2393" i="34"/>
  <c r="A2393" i="34" s="1"/>
  <c r="M2392" i="34"/>
  <c r="E2392" i="34"/>
  <c r="B2392" i="34"/>
  <c r="A2392" i="34" s="1"/>
  <c r="E2391" i="34"/>
  <c r="B2391" i="34"/>
  <c r="A2391" i="34" s="1"/>
  <c r="M2390" i="34"/>
  <c r="E2390" i="34"/>
  <c r="B2390" i="34"/>
  <c r="A2390" i="34" s="1"/>
  <c r="B5708" i="34"/>
  <c r="A5708" i="34" s="1"/>
  <c r="B5707" i="34"/>
  <c r="A5707" i="34" s="1"/>
  <c r="B5709" i="34"/>
  <c r="A5709" i="34" s="1"/>
  <c r="B5600" i="34"/>
  <c r="A5600" i="34" s="1"/>
  <c r="B5599" i="34"/>
  <c r="A5599" i="34" s="1"/>
  <c r="B5710" i="34"/>
  <c r="A5710" i="34" s="1"/>
  <c r="B5711" i="34"/>
  <c r="A5711" i="34" s="1"/>
  <c r="B5685" i="34"/>
  <c r="A5685" i="34" s="1"/>
  <c r="B5686" i="34"/>
  <c r="A5686" i="34" s="1"/>
  <c r="B5670" i="34"/>
  <c r="A5670" i="34" s="1"/>
  <c r="B5669" i="34"/>
  <c r="A5669" i="34" s="1"/>
  <c r="B5651" i="34"/>
  <c r="A5651" i="34" s="1"/>
  <c r="B5650" i="34"/>
  <c r="A5650" i="34" s="1"/>
  <c r="B5641" i="34"/>
  <c r="A5641" i="34" s="1"/>
  <c r="B5640" i="34"/>
  <c r="A5640" i="34" s="1"/>
  <c r="B5603" i="34"/>
  <c r="A5603" i="34" s="1"/>
  <c r="B5586" i="34"/>
  <c r="A5586" i="34" s="1"/>
  <c r="B5585" i="34"/>
  <c r="A5585" i="34" s="1"/>
  <c r="B5584" i="34"/>
  <c r="A5584" i="34" s="1"/>
  <c r="B5583" i="34"/>
  <c r="A5583" i="34" s="1"/>
  <c r="B5579" i="34"/>
  <c r="A5579" i="34" s="1"/>
  <c r="B5578" i="34"/>
  <c r="A5578" i="34" s="1"/>
  <c r="B5554" i="34"/>
  <c r="A5554" i="34" s="1"/>
  <c r="B5553" i="34"/>
  <c r="A5553" i="34" s="1"/>
  <c r="B5552" i="34"/>
  <c r="A5552" i="34" s="1"/>
  <c r="B5555" i="34"/>
  <c r="A5555" i="34" s="1"/>
  <c r="B5556" i="34"/>
  <c r="A5556" i="34" s="1"/>
  <c r="R5586" i="34" l="1"/>
  <c r="Q5586" i="34"/>
  <c r="S5586" i="34"/>
  <c r="R5599" i="34"/>
  <c r="Q5599" i="34"/>
  <c r="S5599" i="34"/>
  <c r="R5554" i="34"/>
  <c r="Q5554" i="34"/>
  <c r="S5554" i="34"/>
  <c r="Q5640" i="34"/>
  <c r="R5640" i="34"/>
  <c r="S5640" i="34"/>
  <c r="Q5669" i="34"/>
  <c r="R5669" i="34"/>
  <c r="S5669" i="34"/>
  <c r="Q5709" i="34"/>
  <c r="R5709" i="34"/>
  <c r="S5709" i="34"/>
  <c r="R5555" i="34"/>
  <c r="Q5555" i="34"/>
  <c r="S5555" i="34"/>
  <c r="R5578" i="34"/>
  <c r="Q5578" i="34"/>
  <c r="S5578" i="34"/>
  <c r="R5585" i="34"/>
  <c r="Q5585" i="34"/>
  <c r="S5585" i="34"/>
  <c r="R5641" i="34"/>
  <c r="Q5641" i="34"/>
  <c r="S5641" i="34"/>
  <c r="S5670" i="34"/>
  <c r="Q5670" i="34"/>
  <c r="R5670" i="34"/>
  <c r="S5710" i="34"/>
  <c r="Q5710" i="34"/>
  <c r="R5710" i="34"/>
  <c r="Q5707" i="34"/>
  <c r="R5707" i="34"/>
  <c r="S5707" i="34"/>
  <c r="R2394" i="34"/>
  <c r="S2394" i="34"/>
  <c r="Q2394" i="34"/>
  <c r="S2327" i="34"/>
  <c r="R2327" i="34"/>
  <c r="Q2327" i="34"/>
  <c r="R5579" i="34"/>
  <c r="Q5579" i="34"/>
  <c r="S5579" i="34"/>
  <c r="S5708" i="34"/>
  <c r="Q5708" i="34"/>
  <c r="R5708" i="34"/>
  <c r="Q2326" i="34"/>
  <c r="R2326" i="34"/>
  <c r="S2326" i="34"/>
  <c r="R5552" i="34"/>
  <c r="S5552" i="34"/>
  <c r="Q5552" i="34"/>
  <c r="R5650" i="34"/>
  <c r="S5650" i="34"/>
  <c r="Q5650" i="34"/>
  <c r="Q2391" i="34"/>
  <c r="R2391" i="34"/>
  <c r="S2391" i="34"/>
  <c r="R5553" i="34"/>
  <c r="Q5553" i="34"/>
  <c r="S5553" i="34"/>
  <c r="R5583" i="34"/>
  <c r="Q5583" i="34"/>
  <c r="S5583" i="34"/>
  <c r="R5603" i="34"/>
  <c r="S5603" i="34"/>
  <c r="Q5603" i="34"/>
  <c r="R5651" i="34"/>
  <c r="Q5651" i="34"/>
  <c r="S5651" i="34"/>
  <c r="Q5685" i="34"/>
  <c r="R5685" i="34"/>
  <c r="S5685" i="34"/>
  <c r="Q5600" i="34"/>
  <c r="R5600" i="34"/>
  <c r="S5600" i="34"/>
  <c r="R2390" i="34"/>
  <c r="S2390" i="34"/>
  <c r="Q2390" i="34"/>
  <c r="Q2393" i="34"/>
  <c r="R2393" i="34"/>
  <c r="S2393" i="34"/>
  <c r="R25" i="34"/>
  <c r="S25" i="34"/>
  <c r="Q25" i="34"/>
  <c r="S5686" i="34"/>
  <c r="Q5686" i="34"/>
  <c r="R5686" i="34"/>
  <c r="R5556" i="34"/>
  <c r="S5556" i="34"/>
  <c r="Q5556" i="34"/>
  <c r="R5584" i="34"/>
  <c r="S5584" i="34"/>
  <c r="Q5584" i="34"/>
  <c r="Q5711" i="34"/>
  <c r="R5711" i="34"/>
  <c r="S5711" i="34"/>
  <c r="R2392" i="34"/>
  <c r="S2392" i="34"/>
  <c r="Q2392" i="34"/>
  <c r="S2325" i="34"/>
  <c r="Q2325" i="34"/>
  <c r="R2325" i="34"/>
  <c r="Q5630" i="34"/>
  <c r="R5630" i="34"/>
  <c r="S5630" i="34"/>
  <c r="A20" i="45"/>
  <c r="A21" i="45"/>
  <c r="A22" i="45"/>
  <c r="E2576" i="34"/>
  <c r="B2576" i="34"/>
  <c r="A2576" i="34" s="1"/>
  <c r="E2575" i="34"/>
  <c r="B2575" i="34"/>
  <c r="A2575" i="34" s="1"/>
  <c r="B2574" i="34"/>
  <c r="A2574" i="34" s="1"/>
  <c r="E2574" i="34"/>
  <c r="E2573" i="34"/>
  <c r="B2572" i="34"/>
  <c r="A2572" i="34" s="1"/>
  <c r="E2572" i="34"/>
  <c r="B2573" i="34"/>
  <c r="A2573" i="34" s="1"/>
  <c r="I3843" i="34"/>
  <c r="B5284" i="34"/>
  <c r="A5284" i="34" s="1"/>
  <c r="I72" i="55" l="1" a="1"/>
  <c r="I72" i="55" s="1"/>
  <c r="I71" i="55" a="1"/>
  <c r="I71" i="55" s="1"/>
  <c r="I70" i="55" a="1"/>
  <c r="I70" i="55" s="1"/>
  <c r="G72" i="55" a="1"/>
  <c r="G72" i="55" s="1"/>
  <c r="G71" i="55" a="1"/>
  <c r="G71" i="55" s="1"/>
  <c r="G70" i="55" a="1"/>
  <c r="G70" i="55" s="1"/>
  <c r="S5284" i="34"/>
  <c r="Q5284" i="34"/>
  <c r="R5284" i="34"/>
  <c r="Q2573" i="34"/>
  <c r="R2573" i="34"/>
  <c r="S2573" i="34"/>
  <c r="S2576" i="34"/>
  <c r="Q2576" i="34"/>
  <c r="R2576" i="34"/>
  <c r="S2574" i="34"/>
  <c r="Q2574" i="34"/>
  <c r="R2574" i="34"/>
  <c r="S2572" i="34"/>
  <c r="Q2572" i="34"/>
  <c r="R2572" i="34"/>
  <c r="Q2575" i="34"/>
  <c r="R2575" i="34"/>
  <c r="S2575" i="34"/>
  <c r="G111" i="55" a="1"/>
  <c r="G111" i="55" s="1"/>
  <c r="I111" i="55" a="1"/>
  <c r="I111" i="55" s="1"/>
  <c r="B5691" i="34"/>
  <c r="A5691" i="34" s="1"/>
  <c r="E2320" i="34"/>
  <c r="B2320" i="34"/>
  <c r="A2320" i="34" s="1"/>
  <c r="E2319" i="34"/>
  <c r="B2319" i="34"/>
  <c r="A2319" i="34" s="1"/>
  <c r="B2313" i="34"/>
  <c r="A2313" i="34" s="1"/>
  <c r="E2313" i="34"/>
  <c r="B2310" i="34"/>
  <c r="A2310" i="34" s="1"/>
  <c r="B2311" i="34"/>
  <c r="A2311" i="34" s="1"/>
  <c r="B2312" i="34"/>
  <c r="A2312" i="34" s="1"/>
  <c r="B2316" i="34"/>
  <c r="A2316" i="34" s="1"/>
  <c r="B2314" i="34"/>
  <c r="A2314" i="34" s="1"/>
  <c r="B2317" i="34"/>
  <c r="A2317" i="34" s="1"/>
  <c r="B2315" i="34"/>
  <c r="A2315" i="34" s="1"/>
  <c r="B2318" i="34"/>
  <c r="A2318" i="34" s="1"/>
  <c r="E2318" i="34"/>
  <c r="E2315" i="34"/>
  <c r="E2317" i="34"/>
  <c r="E2314" i="34"/>
  <c r="E2316" i="34"/>
  <c r="E2312" i="34"/>
  <c r="E2311" i="34"/>
  <c r="E2310" i="34"/>
  <c r="B5660" i="34"/>
  <c r="A5660" i="34" s="1"/>
  <c r="B5661" i="34"/>
  <c r="A5661" i="34" s="1"/>
  <c r="B5662" i="34"/>
  <c r="A5662" i="34" s="1"/>
  <c r="B5663" i="34"/>
  <c r="A5663" i="34" s="1"/>
  <c r="B5664" i="34"/>
  <c r="A5664" i="34" s="1"/>
  <c r="B5665" i="34"/>
  <c r="A5665" i="34" s="1"/>
  <c r="B5666" i="34"/>
  <c r="A5666" i="34" s="1"/>
  <c r="B5667" i="34"/>
  <c r="A5667" i="34" s="1"/>
  <c r="B5706" i="34"/>
  <c r="A5706" i="34" s="1"/>
  <c r="B5705" i="34"/>
  <c r="A5705" i="34" s="1"/>
  <c r="B5700" i="34"/>
  <c r="A5700" i="34" s="1"/>
  <c r="B5699" i="34"/>
  <c r="A5699" i="34" s="1"/>
  <c r="B5698" i="34"/>
  <c r="A5698" i="34" s="1"/>
  <c r="B5697" i="34"/>
  <c r="A5697" i="34" s="1"/>
  <c r="B5695" i="34"/>
  <c r="A5695" i="34" s="1"/>
  <c r="B5696" i="34"/>
  <c r="A5696" i="34" s="1"/>
  <c r="B5693" i="34"/>
  <c r="A5693" i="34" s="1"/>
  <c r="B5694" i="34"/>
  <c r="A5694" i="34" s="1"/>
  <c r="M5684" i="34"/>
  <c r="B5684" i="34"/>
  <c r="A5684" i="34" s="1"/>
  <c r="B5692" i="34"/>
  <c r="A5692" i="34" s="1"/>
  <c r="A94" i="45"/>
  <c r="A93" i="45"/>
  <c r="B3346" i="34"/>
  <c r="A3346" i="34" s="1"/>
  <c r="E3346" i="34"/>
  <c r="B3317" i="34"/>
  <c r="A3317" i="34" s="1"/>
  <c r="E3317" i="34"/>
  <c r="E3342" i="34"/>
  <c r="B3342" i="34"/>
  <c r="A3342" i="34" s="1"/>
  <c r="K70" i="55" l="1"/>
  <c r="K71" i="55"/>
  <c r="K72" i="55"/>
  <c r="R3317" i="34"/>
  <c r="S3317" i="34"/>
  <c r="Q3317" i="34"/>
  <c r="S5700" i="34"/>
  <c r="Q5700" i="34"/>
  <c r="R5700" i="34"/>
  <c r="S2317" i="34"/>
  <c r="Q2317" i="34"/>
  <c r="R2317" i="34"/>
  <c r="S2319" i="34"/>
  <c r="Q2319" i="34"/>
  <c r="R2319" i="34"/>
  <c r="S5692" i="34"/>
  <c r="Q5692" i="34"/>
  <c r="R5692" i="34"/>
  <c r="Q5693" i="34"/>
  <c r="R5693" i="34"/>
  <c r="S5693" i="34"/>
  <c r="Q5695" i="34"/>
  <c r="R5695" i="34"/>
  <c r="S5695" i="34"/>
  <c r="S5666" i="34"/>
  <c r="Q5666" i="34"/>
  <c r="R5666" i="34"/>
  <c r="S5662" i="34"/>
  <c r="Q5662" i="34"/>
  <c r="R5662" i="34"/>
  <c r="Q2314" i="34"/>
  <c r="R2314" i="34"/>
  <c r="S2314" i="34"/>
  <c r="Q5691" i="34"/>
  <c r="R5691" i="34"/>
  <c r="S5691" i="34"/>
  <c r="Q3346" i="34"/>
  <c r="R3346" i="34"/>
  <c r="S3346" i="34"/>
  <c r="Q5684" i="34"/>
  <c r="R5684" i="34"/>
  <c r="S5684" i="34"/>
  <c r="Q5697" i="34"/>
  <c r="R5697" i="34"/>
  <c r="S5697" i="34"/>
  <c r="Q5699" i="34"/>
  <c r="R5699" i="34"/>
  <c r="S5699" i="34"/>
  <c r="Q5705" i="34"/>
  <c r="R5705" i="34"/>
  <c r="S5705" i="34"/>
  <c r="Q2318" i="34"/>
  <c r="R2318" i="34"/>
  <c r="S2318" i="34"/>
  <c r="Q2316" i="34"/>
  <c r="R2316" i="34"/>
  <c r="S2316" i="34"/>
  <c r="Q2320" i="34"/>
  <c r="R2320" i="34"/>
  <c r="S2320" i="34"/>
  <c r="S5698" i="34"/>
  <c r="Q5698" i="34"/>
  <c r="R5698" i="34"/>
  <c r="S5706" i="34"/>
  <c r="Q5706" i="34"/>
  <c r="R5706" i="34"/>
  <c r="S2311" i="34"/>
  <c r="Q2311" i="34"/>
  <c r="R2311" i="34"/>
  <c r="Q3342" i="34"/>
  <c r="R3342" i="34"/>
  <c r="S3342" i="34"/>
  <c r="S5664" i="34"/>
  <c r="Q5664" i="34"/>
  <c r="R5664" i="34"/>
  <c r="S5660" i="34"/>
  <c r="Q5660" i="34"/>
  <c r="R5660" i="34"/>
  <c r="Q2310" i="34"/>
  <c r="R2310" i="34"/>
  <c r="S2310" i="34"/>
  <c r="S5694" i="34"/>
  <c r="Q5694" i="34"/>
  <c r="R5694" i="34"/>
  <c r="S5696" i="34"/>
  <c r="Q5696" i="34"/>
  <c r="R5696" i="34"/>
  <c r="Q5667" i="34"/>
  <c r="R5667" i="34"/>
  <c r="S5667" i="34"/>
  <c r="Q5665" i="34"/>
  <c r="R5665" i="34"/>
  <c r="S5665" i="34"/>
  <c r="Q5663" i="34"/>
  <c r="R5663" i="34"/>
  <c r="S5663" i="34"/>
  <c r="Q5661" i="34"/>
  <c r="R5661" i="34"/>
  <c r="S5661" i="34"/>
  <c r="S2315" i="34"/>
  <c r="Q2315" i="34"/>
  <c r="R2315" i="34"/>
  <c r="Q2312" i="34"/>
  <c r="R2312" i="34"/>
  <c r="S2312" i="34"/>
  <c r="S2313" i="34"/>
  <c r="Q2313" i="34"/>
  <c r="R2313" i="34"/>
  <c r="K111" i="55"/>
  <c r="B5681" i="34"/>
  <c r="A5681" i="34" s="1"/>
  <c r="B5682" i="34"/>
  <c r="A5682" i="34" s="1"/>
  <c r="B5683" i="34"/>
  <c r="A5683" i="34" s="1"/>
  <c r="B5668" i="34"/>
  <c r="A5668" i="34" s="1"/>
  <c r="B5657" i="34"/>
  <c r="A5657" i="34" s="1"/>
  <c r="B3339" i="34"/>
  <c r="A3339" i="34" s="1"/>
  <c r="E3339" i="34"/>
  <c r="B3340" i="34"/>
  <c r="A3340" i="34" s="1"/>
  <c r="E3340" i="34"/>
  <c r="B3338" i="34"/>
  <c r="A3338" i="34" s="1"/>
  <c r="E3338" i="34"/>
  <c r="B2309" i="34"/>
  <c r="A2309" i="34" s="1"/>
  <c r="E2309" i="34"/>
  <c r="K2309" i="34"/>
  <c r="M2309" i="34" s="1"/>
  <c r="B2308" i="34"/>
  <c r="A2308" i="34" s="1"/>
  <c r="E2308" i="34"/>
  <c r="K2308" i="34"/>
  <c r="M2308" i="34" s="1"/>
  <c r="K2307" i="34"/>
  <c r="M2307" i="34" s="1"/>
  <c r="E2307" i="34"/>
  <c r="B2307" i="34"/>
  <c r="A2307" i="34" s="1"/>
  <c r="B2301" i="34"/>
  <c r="A2301" i="34" s="1"/>
  <c r="E2301" i="34"/>
  <c r="K2301" i="34"/>
  <c r="M2301" i="34" s="1"/>
  <c r="B2302" i="34"/>
  <c r="A2302" i="34" s="1"/>
  <c r="E2302" i="34"/>
  <c r="K2302" i="34"/>
  <c r="M2302" i="34" s="1"/>
  <c r="B2303" i="34"/>
  <c r="A2303" i="34" s="1"/>
  <c r="E2303" i="34"/>
  <c r="K2303" i="34"/>
  <c r="M2303" i="34" s="1"/>
  <c r="B2304" i="34"/>
  <c r="A2304" i="34" s="1"/>
  <c r="E2304" i="34"/>
  <c r="K2304" i="34"/>
  <c r="M2304" i="34" s="1"/>
  <c r="B2305" i="34"/>
  <c r="A2305" i="34" s="1"/>
  <c r="E2305" i="34"/>
  <c r="K2305" i="34"/>
  <c r="M2305" i="34" s="1"/>
  <c r="B2306" i="34"/>
  <c r="A2306" i="34" s="1"/>
  <c r="E2306" i="34"/>
  <c r="K2306" i="34"/>
  <c r="M2306" i="34" s="1"/>
  <c r="Q2308" i="34" l="1"/>
  <c r="R2308" i="34"/>
  <c r="S2308" i="34"/>
  <c r="S5668" i="34"/>
  <c r="Q5668" i="34"/>
  <c r="R5668" i="34"/>
  <c r="S2307" i="34"/>
  <c r="Q2307" i="34"/>
  <c r="R2307" i="34"/>
  <c r="Q3338" i="34"/>
  <c r="R3338" i="34"/>
  <c r="S3338" i="34"/>
  <c r="R3339" i="34"/>
  <c r="S3339" i="34"/>
  <c r="Q3339" i="34"/>
  <c r="Q5682" i="34"/>
  <c r="R5682" i="34"/>
  <c r="S5682" i="34"/>
  <c r="Q3340" i="34"/>
  <c r="R3340" i="34"/>
  <c r="S3340" i="34"/>
  <c r="S2303" i="34"/>
  <c r="Q2303" i="34"/>
  <c r="R2303" i="34"/>
  <c r="Q2304" i="34"/>
  <c r="R2304" i="34"/>
  <c r="S2304" i="34"/>
  <c r="S2305" i="34"/>
  <c r="Q2305" i="34"/>
  <c r="R2305" i="34"/>
  <c r="S2301" i="34"/>
  <c r="Q2301" i="34"/>
  <c r="R2301" i="34"/>
  <c r="Q5657" i="34"/>
  <c r="R5657" i="34"/>
  <c r="S5657" i="34"/>
  <c r="Q2306" i="34"/>
  <c r="R2306" i="34"/>
  <c r="S2306" i="34"/>
  <c r="Q2302" i="34"/>
  <c r="R2302" i="34"/>
  <c r="S2302" i="34"/>
  <c r="S2309" i="34"/>
  <c r="Q2309" i="34"/>
  <c r="R2309" i="34"/>
  <c r="S5683" i="34"/>
  <c r="Q5683" i="34"/>
  <c r="R5683" i="34"/>
  <c r="S5681" i="34"/>
  <c r="Q5681" i="34"/>
  <c r="R5681" i="34"/>
  <c r="B5294" i="34"/>
  <c r="A5294" i="34" s="1"/>
  <c r="B2650" i="34"/>
  <c r="A2650" i="34" s="1"/>
  <c r="B2649" i="34"/>
  <c r="A2649" i="34" s="1"/>
  <c r="B2648" i="34"/>
  <c r="A2648" i="34" s="1"/>
  <c r="B2647" i="34"/>
  <c r="A2647" i="34" s="1"/>
  <c r="B2646" i="34"/>
  <c r="A2646" i="34" s="1"/>
  <c r="E2647" i="34"/>
  <c r="E2646" i="34"/>
  <c r="E2648" i="34"/>
  <c r="E2649" i="34"/>
  <c r="E2650" i="34"/>
  <c r="Q2650" i="34" l="1"/>
  <c r="R2650" i="34"/>
  <c r="S2650" i="34"/>
  <c r="S2649" i="34"/>
  <c r="Q2649" i="34"/>
  <c r="R2649" i="34"/>
  <c r="Q2646" i="34"/>
  <c r="R2646" i="34"/>
  <c r="S2646" i="34"/>
  <c r="S2647" i="34"/>
  <c r="Q2647" i="34"/>
  <c r="R2647" i="34"/>
  <c r="S5294" i="34"/>
  <c r="Q5294" i="34"/>
  <c r="R5294" i="34"/>
  <c r="Q2648" i="34"/>
  <c r="R2648" i="34"/>
  <c r="S2648" i="34"/>
  <c r="I55" i="15"/>
  <c r="B243" i="34"/>
  <c r="A243" i="34" s="1"/>
  <c r="E243" i="34"/>
  <c r="B280" i="34"/>
  <c r="A280" i="34" s="1"/>
  <c r="E280" i="34"/>
  <c r="B281" i="34"/>
  <c r="A281" i="34" s="1"/>
  <c r="E281" i="34"/>
  <c r="B282" i="34"/>
  <c r="A282" i="34" s="1"/>
  <c r="E282" i="34"/>
  <c r="B283" i="34"/>
  <c r="A283" i="34" s="1"/>
  <c r="E283" i="34"/>
  <c r="B263" i="34"/>
  <c r="A263" i="34" s="1"/>
  <c r="E263" i="34"/>
  <c r="B260" i="34"/>
  <c r="A260" i="34" s="1"/>
  <c r="E260" i="34"/>
  <c r="B261" i="34"/>
  <c r="A261" i="34" s="1"/>
  <c r="E261" i="34"/>
  <c r="B262" i="34"/>
  <c r="A262" i="34" s="1"/>
  <c r="E262" i="34"/>
  <c r="B240" i="34"/>
  <c r="A240" i="34" s="1"/>
  <c r="E240" i="34"/>
  <c r="B241" i="34"/>
  <c r="A241" i="34" s="1"/>
  <c r="E241" i="34"/>
  <c r="B242" i="34"/>
  <c r="A242" i="34" s="1"/>
  <c r="E242" i="34"/>
  <c r="E278" i="34"/>
  <c r="E279" i="34"/>
  <c r="B278" i="34"/>
  <c r="A278" i="34" s="1"/>
  <c r="B279" i="34"/>
  <c r="A279" i="34" s="1"/>
  <c r="B258" i="34"/>
  <c r="A258" i="34" s="1"/>
  <c r="E258" i="34"/>
  <c r="B259" i="34"/>
  <c r="A259" i="34" s="1"/>
  <c r="E259" i="34"/>
  <c r="B2300" i="34"/>
  <c r="A2300" i="34" s="1"/>
  <c r="E2300" i="34"/>
  <c r="K2300" i="34"/>
  <c r="M2300" i="34" s="1"/>
  <c r="B3337" i="34"/>
  <c r="A3337" i="34" s="1"/>
  <c r="E3337" i="34"/>
  <c r="B5656" i="34"/>
  <c r="A5656" i="34" s="1"/>
  <c r="B5655" i="34"/>
  <c r="A5655" i="34" s="1"/>
  <c r="B5654" i="34"/>
  <c r="A5654" i="34" s="1"/>
  <c r="B5648" i="34"/>
  <c r="A5648" i="34" s="1"/>
  <c r="B5647" i="34"/>
  <c r="A5647" i="34" s="1"/>
  <c r="B2551" i="34"/>
  <c r="A2551" i="34" s="1"/>
  <c r="E2551" i="34"/>
  <c r="B2566" i="34"/>
  <c r="A2566" i="34" s="1"/>
  <c r="E2566" i="34"/>
  <c r="B2558" i="34"/>
  <c r="A2558" i="34" s="1"/>
  <c r="E2558" i="34"/>
  <c r="B3257" i="34"/>
  <c r="A3257" i="34" s="1"/>
  <c r="E3257" i="34"/>
  <c r="B3258" i="34"/>
  <c r="A3258" i="34" s="1"/>
  <c r="E3258" i="34"/>
  <c r="B3245" i="34"/>
  <c r="A3245" i="34" s="1"/>
  <c r="E3245" i="34"/>
  <c r="B3246" i="34"/>
  <c r="A3246" i="34" s="1"/>
  <c r="E3246" i="34"/>
  <c r="B3222" i="34"/>
  <c r="A3222" i="34" s="1"/>
  <c r="E3222" i="34"/>
  <c r="B3223" i="34"/>
  <c r="A3223" i="34" s="1"/>
  <c r="E3223" i="34"/>
  <c r="B3200" i="34"/>
  <c r="A3200" i="34" s="1"/>
  <c r="E3200" i="34"/>
  <c r="B3166" i="34"/>
  <c r="A3166" i="34" s="1"/>
  <c r="E3166" i="34"/>
  <c r="B3142" i="34"/>
  <c r="A3142" i="34" s="1"/>
  <c r="E3142" i="34"/>
  <c r="B3040" i="34"/>
  <c r="A3040" i="34" s="1"/>
  <c r="E3040" i="34"/>
  <c r="B3022" i="34"/>
  <c r="A3022" i="34" s="1"/>
  <c r="E3022" i="34"/>
  <c r="B2976" i="34"/>
  <c r="A2976" i="34" s="1"/>
  <c r="E2976" i="34"/>
  <c r="B2562" i="34"/>
  <c r="A2562" i="34" s="1"/>
  <c r="E2562" i="34"/>
  <c r="B2555" i="34"/>
  <c r="A2555" i="34" s="1"/>
  <c r="E2555" i="34"/>
  <c r="B2547" i="34"/>
  <c r="A2547" i="34" s="1"/>
  <c r="E2547" i="34"/>
  <c r="B2544" i="34"/>
  <c r="A2544" i="34" s="1"/>
  <c r="E2544" i="34"/>
  <c r="B2534" i="34"/>
  <c r="A2534" i="34" s="1"/>
  <c r="E2534" i="34"/>
  <c r="B2510" i="34"/>
  <c r="A2510" i="34" s="1"/>
  <c r="E2510" i="34"/>
  <c r="B2505" i="34"/>
  <c r="A2505" i="34" s="1"/>
  <c r="E2505" i="34"/>
  <c r="B2501" i="34"/>
  <c r="A2501" i="34" s="1"/>
  <c r="E2501" i="34"/>
  <c r="B2493" i="34"/>
  <c r="A2493" i="34" s="1"/>
  <c r="E2493" i="34"/>
  <c r="B2486" i="34"/>
  <c r="A2486" i="34" s="1"/>
  <c r="E2486" i="34"/>
  <c r="B2996" i="34"/>
  <c r="A2996" i="34" s="1"/>
  <c r="E2996" i="34"/>
  <c r="B2990" i="34"/>
  <c r="A2990" i="34" s="1"/>
  <c r="E2990" i="34"/>
  <c r="B2987" i="34"/>
  <c r="A2987" i="34" s="1"/>
  <c r="E2987" i="34"/>
  <c r="B2983" i="34"/>
  <c r="A2983" i="34" s="1"/>
  <c r="E2983" i="34"/>
  <c r="B2915" i="34"/>
  <c r="A2915" i="34" s="1"/>
  <c r="E2915" i="34"/>
  <c r="B2968" i="34"/>
  <c r="A2968" i="34" s="1"/>
  <c r="E2968" i="34"/>
  <c r="B2929" i="34"/>
  <c r="A2929" i="34" s="1"/>
  <c r="E2929" i="34"/>
  <c r="B2856" i="34"/>
  <c r="A2856" i="34" s="1"/>
  <c r="E2856" i="34"/>
  <c r="B2862" i="34"/>
  <c r="A2862" i="34" s="1"/>
  <c r="E2862" i="34"/>
  <c r="B2808" i="34"/>
  <c r="A2808" i="34" s="1"/>
  <c r="E2808" i="34"/>
  <c r="Q2808" i="34" l="1"/>
  <c r="R2808" i="34"/>
  <c r="S2808" i="34"/>
  <c r="Q2856" i="34"/>
  <c r="R2856" i="34"/>
  <c r="S2856" i="34"/>
  <c r="Q2968" i="34"/>
  <c r="R2968" i="34"/>
  <c r="S2968" i="34"/>
  <c r="S2983" i="34"/>
  <c r="Q2983" i="34"/>
  <c r="R2983" i="34"/>
  <c r="Q2990" i="34"/>
  <c r="R2990" i="34"/>
  <c r="S2990" i="34"/>
  <c r="S2486" i="34"/>
  <c r="Q2486" i="34"/>
  <c r="R2486" i="34"/>
  <c r="Q2501" i="34"/>
  <c r="R2501" i="34"/>
  <c r="S2501" i="34"/>
  <c r="S2510" i="34"/>
  <c r="Q2510" i="34"/>
  <c r="R2510" i="34"/>
  <c r="S2544" i="34"/>
  <c r="Q2544" i="34"/>
  <c r="R2544" i="34"/>
  <c r="Q2555" i="34"/>
  <c r="R2555" i="34"/>
  <c r="S2555" i="34"/>
  <c r="Q2976" i="34"/>
  <c r="R2976" i="34"/>
  <c r="S2976" i="34"/>
  <c r="Q3040" i="34"/>
  <c r="R3040" i="34"/>
  <c r="S3040" i="34"/>
  <c r="Q3166" i="34"/>
  <c r="R3166" i="34"/>
  <c r="S3166" i="34"/>
  <c r="S3223" i="34"/>
  <c r="R3223" i="34"/>
  <c r="Q3223" i="34"/>
  <c r="R3246" i="34"/>
  <c r="Q3246" i="34"/>
  <c r="S3246" i="34"/>
  <c r="R3258" i="34"/>
  <c r="Q3258" i="34"/>
  <c r="S3258" i="34"/>
  <c r="S2558" i="34"/>
  <c r="Q2558" i="34"/>
  <c r="R2558" i="34"/>
  <c r="Q2551" i="34"/>
  <c r="R2551" i="34"/>
  <c r="S2551" i="34"/>
  <c r="R3337" i="34"/>
  <c r="S3337" i="34"/>
  <c r="Q3337" i="34"/>
  <c r="Q279" i="34"/>
  <c r="R279" i="34"/>
  <c r="S279" i="34"/>
  <c r="Q5647" i="34"/>
  <c r="R5647" i="34"/>
  <c r="S5647" i="34"/>
  <c r="S5654" i="34"/>
  <c r="Q5654" i="34"/>
  <c r="R5654" i="34"/>
  <c r="S5656" i="34"/>
  <c r="Q5656" i="34"/>
  <c r="R5656" i="34"/>
  <c r="Q259" i="34"/>
  <c r="R259" i="34"/>
  <c r="S259" i="34"/>
  <c r="R278" i="34"/>
  <c r="S278" i="34"/>
  <c r="Q278" i="34"/>
  <c r="R242" i="34"/>
  <c r="Q242" i="34"/>
  <c r="S242" i="34"/>
  <c r="Q240" i="34"/>
  <c r="R240" i="34"/>
  <c r="S240" i="34"/>
  <c r="Q261" i="34"/>
  <c r="R261" i="34"/>
  <c r="S261" i="34"/>
  <c r="Q263" i="34"/>
  <c r="R263" i="34"/>
  <c r="S263" i="34"/>
  <c r="R282" i="34"/>
  <c r="S282" i="34"/>
  <c r="Q282" i="34"/>
  <c r="R280" i="34"/>
  <c r="S280" i="34"/>
  <c r="Q280" i="34"/>
  <c r="Q2862" i="34"/>
  <c r="R2862" i="34"/>
  <c r="S2862" i="34"/>
  <c r="S2929" i="34"/>
  <c r="Q2929" i="34"/>
  <c r="R2929" i="34"/>
  <c r="S2915" i="34"/>
  <c r="Q2915" i="34"/>
  <c r="R2915" i="34"/>
  <c r="S2987" i="34"/>
  <c r="Q2987" i="34"/>
  <c r="R2987" i="34"/>
  <c r="Q2996" i="34"/>
  <c r="R2996" i="34"/>
  <c r="S2996" i="34"/>
  <c r="Q2493" i="34"/>
  <c r="R2493" i="34"/>
  <c r="S2493" i="34"/>
  <c r="Q2505" i="34"/>
  <c r="R2505" i="34"/>
  <c r="S2505" i="34"/>
  <c r="S2534" i="34"/>
  <c r="Q2534" i="34"/>
  <c r="R2534" i="34"/>
  <c r="Q2547" i="34"/>
  <c r="R2547" i="34"/>
  <c r="S2547" i="34"/>
  <c r="S2562" i="34"/>
  <c r="Q2562" i="34"/>
  <c r="R2562" i="34"/>
  <c r="Q3022" i="34"/>
  <c r="R3022" i="34"/>
  <c r="S3022" i="34"/>
  <c r="Q3142" i="34"/>
  <c r="R3142" i="34"/>
  <c r="S3142" i="34"/>
  <c r="Q3200" i="34"/>
  <c r="R3200" i="34"/>
  <c r="S3200" i="34"/>
  <c r="Q3222" i="34"/>
  <c r="R3222" i="34"/>
  <c r="S3222" i="34"/>
  <c r="R3245" i="34"/>
  <c r="Q3245" i="34"/>
  <c r="S3245" i="34"/>
  <c r="R3257" i="34"/>
  <c r="Q3257" i="34"/>
  <c r="S3257" i="34"/>
  <c r="S2566" i="34"/>
  <c r="Q2566" i="34"/>
  <c r="R2566" i="34"/>
  <c r="S5648" i="34"/>
  <c r="Q5648" i="34"/>
  <c r="R5648" i="34"/>
  <c r="Q5655" i="34"/>
  <c r="R5655" i="34"/>
  <c r="S5655" i="34"/>
  <c r="Q2300" i="34"/>
  <c r="R2300" i="34"/>
  <c r="S2300" i="34"/>
  <c r="R258" i="34"/>
  <c r="S258" i="34"/>
  <c r="Q258" i="34"/>
  <c r="R241" i="34"/>
  <c r="Q241" i="34"/>
  <c r="S241" i="34"/>
  <c r="R262" i="34"/>
  <c r="S262" i="34"/>
  <c r="Q262" i="34"/>
  <c r="R260" i="34"/>
  <c r="S260" i="34"/>
  <c r="Q260" i="34"/>
  <c r="Q283" i="34"/>
  <c r="R283" i="34"/>
  <c r="S283" i="34"/>
  <c r="Q281" i="34"/>
  <c r="R281" i="34"/>
  <c r="S281" i="34"/>
  <c r="R243" i="34"/>
  <c r="Q243" i="34"/>
  <c r="S243" i="34"/>
  <c r="B2563" i="34"/>
  <c r="A2563" i="34" s="1"/>
  <c r="E2563" i="34"/>
  <c r="A16" i="45"/>
  <c r="A17" i="45"/>
  <c r="A18" i="45"/>
  <c r="A19" i="45"/>
  <c r="B2567" i="34"/>
  <c r="A2567" i="34" s="1"/>
  <c r="E2567" i="34"/>
  <c r="B2568" i="34"/>
  <c r="A2568" i="34" s="1"/>
  <c r="E2568" i="34"/>
  <c r="B2569" i="34"/>
  <c r="A2569" i="34" s="1"/>
  <c r="E2569" i="34"/>
  <c r="B2570" i="34"/>
  <c r="A2570" i="34" s="1"/>
  <c r="E2570" i="34"/>
  <c r="E2565" i="34"/>
  <c r="B2565" i="34"/>
  <c r="A2565" i="34" s="1"/>
  <c r="E2564" i="34"/>
  <c r="B2564" i="34"/>
  <c r="A2564" i="34" s="1"/>
  <c r="E2561" i="34"/>
  <c r="B2561" i="34"/>
  <c r="A2561" i="34" s="1"/>
  <c r="E2560" i="34"/>
  <c r="B2560" i="34"/>
  <c r="A2560" i="34" s="1"/>
  <c r="E2559" i="34"/>
  <c r="B2557" i="34"/>
  <c r="A2557" i="34" s="1"/>
  <c r="E2557" i="34"/>
  <c r="E2556" i="34"/>
  <c r="B2556" i="34"/>
  <c r="A2556" i="34" s="1"/>
  <c r="E2554" i="34"/>
  <c r="B2554" i="34"/>
  <c r="A2554" i="34" s="1"/>
  <c r="E2553" i="34"/>
  <c r="B2553" i="34"/>
  <c r="A2553" i="34" s="1"/>
  <c r="E2552" i="34"/>
  <c r="B2552" i="34"/>
  <c r="A2552" i="34" s="1"/>
  <c r="B2549" i="34"/>
  <c r="A2549" i="34" s="1"/>
  <c r="E2549" i="34"/>
  <c r="B2550" i="34"/>
  <c r="A2550" i="34" s="1"/>
  <c r="E2550" i="34"/>
  <c r="B2546" i="34"/>
  <c r="A2546" i="34" s="1"/>
  <c r="E2546" i="34"/>
  <c r="B2548" i="34"/>
  <c r="A2548" i="34" s="1"/>
  <c r="B2559" i="34"/>
  <c r="A2559" i="34" s="1"/>
  <c r="B2571" i="34"/>
  <c r="A2571" i="34" s="1"/>
  <c r="B2545" i="34"/>
  <c r="A2545" i="34" s="1"/>
  <c r="B5646" i="34"/>
  <c r="A5646" i="34" s="1"/>
  <c r="B5645" i="34"/>
  <c r="A5645" i="34" s="1"/>
  <c r="B5644" i="34"/>
  <c r="A5644" i="34" s="1"/>
  <c r="B5636" i="34"/>
  <c r="A5636" i="34" s="1"/>
  <c r="B5635" i="34"/>
  <c r="A5635" i="34" s="1"/>
  <c r="B5632" i="34"/>
  <c r="A5632" i="34" s="1"/>
  <c r="B5631" i="34"/>
  <c r="A5631" i="34" s="1"/>
  <c r="M5628" i="34"/>
  <c r="B5628" i="34"/>
  <c r="A5628" i="34" s="1"/>
  <c r="B5622" i="34"/>
  <c r="A5622" i="34" s="1"/>
  <c r="B5621" i="34"/>
  <c r="A5621" i="34" s="1"/>
  <c r="B5620" i="34"/>
  <c r="A5620" i="34" s="1"/>
  <c r="B5619" i="34"/>
  <c r="A5619" i="34" s="1"/>
  <c r="B5618" i="34"/>
  <c r="A5618" i="34" s="1"/>
  <c r="B5617" i="34"/>
  <c r="A5617" i="34" s="1"/>
  <c r="B5616" i="34"/>
  <c r="A5616" i="34" s="1"/>
  <c r="B5615" i="34"/>
  <c r="A5615" i="34" s="1"/>
  <c r="B5614" i="34"/>
  <c r="A5614" i="34" s="1"/>
  <c r="B5609" i="34"/>
  <c r="A5609" i="34" s="1"/>
  <c r="B5610" i="34"/>
  <c r="A5610" i="34" s="1"/>
  <c r="B5611" i="34"/>
  <c r="A5611" i="34" s="1"/>
  <c r="B5613" i="34"/>
  <c r="A5613" i="34" s="1"/>
  <c r="B5612" i="34"/>
  <c r="A5612" i="34" s="1"/>
  <c r="B5608" i="34"/>
  <c r="A5608" i="34" s="1"/>
  <c r="B5607" i="34"/>
  <c r="A5607" i="34" s="1"/>
  <c r="B5606" i="34"/>
  <c r="A5606" i="34" s="1"/>
  <c r="B5605" i="34"/>
  <c r="A5605" i="34" s="1"/>
  <c r="B5604" i="34"/>
  <c r="A5604" i="34" s="1"/>
  <c r="B5590" i="34"/>
  <c r="A5590" i="34" s="1"/>
  <c r="M5589" i="34"/>
  <c r="B5589" i="34"/>
  <c r="A5589" i="34" s="1"/>
  <c r="B5572" i="34"/>
  <c r="A5572" i="34" s="1"/>
  <c r="B5571" i="34"/>
  <c r="A5571" i="34" s="1"/>
  <c r="B5570" i="34"/>
  <c r="A5570" i="34" s="1"/>
  <c r="B5564" i="34"/>
  <c r="A5564" i="34" s="1"/>
  <c r="B5563" i="34"/>
  <c r="A5563" i="34" s="1"/>
  <c r="B5562" i="34"/>
  <c r="A5562" i="34" s="1"/>
  <c r="M5562" i="34"/>
  <c r="B5512" i="34"/>
  <c r="A5512" i="34" s="1"/>
  <c r="B5513" i="34"/>
  <c r="A5513" i="34" s="1"/>
  <c r="B5511" i="34"/>
  <c r="A5511" i="34" s="1"/>
  <c r="B5601" i="34"/>
  <c r="A5601" i="34" s="1"/>
  <c r="B5602" i="34"/>
  <c r="A5602" i="34" s="1"/>
  <c r="B5629" i="34"/>
  <c r="A5629" i="34" s="1"/>
  <c r="B5689" i="34"/>
  <c r="A5689" i="34" s="1"/>
  <c r="B5690" i="34"/>
  <c r="A5690" i="34" s="1"/>
  <c r="B5712" i="34"/>
  <c r="A5712" i="34" s="1"/>
  <c r="B3335" i="34"/>
  <c r="A3335" i="34" s="1"/>
  <c r="E3335" i="34"/>
  <c r="B3336" i="34"/>
  <c r="A3336" i="34" s="1"/>
  <c r="E3336" i="34"/>
  <c r="B3341" i="34"/>
  <c r="A3341" i="34" s="1"/>
  <c r="E3341" i="34"/>
  <c r="B3343" i="34"/>
  <c r="A3343" i="34" s="1"/>
  <c r="E3343" i="34"/>
  <c r="B3344" i="34"/>
  <c r="A3344" i="34" s="1"/>
  <c r="E3344" i="34"/>
  <c r="B3345" i="34"/>
  <c r="A3345" i="34" s="1"/>
  <c r="E3345" i="34"/>
  <c r="B3321" i="34"/>
  <c r="A3321" i="34" s="1"/>
  <c r="E3321" i="34"/>
  <c r="B3313" i="34"/>
  <c r="A3313" i="34" s="1"/>
  <c r="E3313" i="34"/>
  <c r="B3314" i="34"/>
  <c r="A3314" i="34" s="1"/>
  <c r="E3314" i="34"/>
  <c r="A91" i="45"/>
  <c r="A92" i="45"/>
  <c r="E3320" i="34"/>
  <c r="B3320" i="34"/>
  <c r="A3320" i="34" s="1"/>
  <c r="E3319" i="34"/>
  <c r="B3319" i="34"/>
  <c r="A3319" i="34" s="1"/>
  <c r="B3322" i="34"/>
  <c r="A3322" i="34" s="1"/>
  <c r="E3322" i="34"/>
  <c r="B3323" i="34"/>
  <c r="A3323" i="34" s="1"/>
  <c r="E3323" i="34"/>
  <c r="B3324" i="34"/>
  <c r="A3324" i="34" s="1"/>
  <c r="E3324" i="34"/>
  <c r="B3325" i="34"/>
  <c r="A3325" i="34" s="1"/>
  <c r="E3325" i="34"/>
  <c r="B3326" i="34"/>
  <c r="A3326" i="34" s="1"/>
  <c r="E3326" i="34"/>
  <c r="B3327" i="34"/>
  <c r="A3327" i="34" s="1"/>
  <c r="E3327" i="34"/>
  <c r="B3328" i="34"/>
  <c r="A3328" i="34" s="1"/>
  <c r="E3328" i="34"/>
  <c r="B3329" i="34"/>
  <c r="A3329" i="34" s="1"/>
  <c r="E3329" i="34"/>
  <c r="B3330" i="34"/>
  <c r="A3330" i="34" s="1"/>
  <c r="E3330" i="34"/>
  <c r="B3331" i="34"/>
  <c r="A3331" i="34" s="1"/>
  <c r="E3331" i="34"/>
  <c r="B3332" i="34"/>
  <c r="A3332" i="34" s="1"/>
  <c r="E3332" i="34"/>
  <c r="B3333" i="34"/>
  <c r="A3333" i="34" s="1"/>
  <c r="E3333" i="34"/>
  <c r="B3334" i="34"/>
  <c r="A3334" i="34" s="1"/>
  <c r="E3334" i="34"/>
  <c r="B5638" i="34"/>
  <c r="A5638" i="34" s="1"/>
  <c r="B5634" i="34"/>
  <c r="A5634" i="34" s="1"/>
  <c r="M5634" i="34"/>
  <c r="B5627" i="34"/>
  <c r="A5627" i="34" s="1"/>
  <c r="M5633" i="34"/>
  <c r="B5633" i="34"/>
  <c r="A5633" i="34" s="1"/>
  <c r="B5626" i="34"/>
  <c r="A5626" i="34" s="1"/>
  <c r="B5625" i="34"/>
  <c r="A5625" i="34" s="1"/>
  <c r="B5624" i="34"/>
  <c r="A5624" i="34" s="1"/>
  <c r="E2389" i="34"/>
  <c r="B2389" i="34"/>
  <c r="A2389" i="34" s="1"/>
  <c r="M2388" i="34"/>
  <c r="E2388" i="34"/>
  <c r="B2388" i="34"/>
  <c r="A2388" i="34" s="1"/>
  <c r="M2387" i="34"/>
  <c r="E2387" i="34"/>
  <c r="B2387" i="34"/>
  <c r="A2387" i="34" s="1"/>
  <c r="M2386" i="34"/>
  <c r="E2386" i="34"/>
  <c r="B2386" i="34"/>
  <c r="A2386" i="34" s="1"/>
  <c r="M2385" i="34"/>
  <c r="E2385" i="34"/>
  <c r="B2385" i="34"/>
  <c r="A2385" i="34" s="1"/>
  <c r="B2379" i="34"/>
  <c r="A2379" i="34" s="1"/>
  <c r="B2380" i="34"/>
  <c r="A2380" i="34" s="1"/>
  <c r="B2381" i="34"/>
  <c r="A2381" i="34" s="1"/>
  <c r="B2382" i="34"/>
  <c r="A2382" i="34" s="1"/>
  <c r="B2383" i="34"/>
  <c r="A2383" i="34" s="1"/>
  <c r="B2384" i="34"/>
  <c r="A2384" i="34" s="1"/>
  <c r="E2384" i="34"/>
  <c r="M2383" i="34"/>
  <c r="E2383" i="34"/>
  <c r="M2382" i="34"/>
  <c r="E2382" i="34"/>
  <c r="M2381" i="34"/>
  <c r="E2381" i="34"/>
  <c r="M2380" i="34"/>
  <c r="E2380" i="34"/>
  <c r="M2379" i="34"/>
  <c r="E2379" i="34"/>
  <c r="Q3320" i="34" l="1"/>
  <c r="R3320" i="34"/>
  <c r="S3320" i="34"/>
  <c r="Q5712" i="34"/>
  <c r="R5712" i="34"/>
  <c r="S5712" i="34"/>
  <c r="Q5602" i="34"/>
  <c r="R5602" i="34"/>
  <c r="S5602" i="34"/>
  <c r="S5564" i="34"/>
  <c r="Q5564" i="34"/>
  <c r="R5564" i="34"/>
  <c r="S5571" i="34"/>
  <c r="Q5571" i="34"/>
  <c r="R5571" i="34"/>
  <c r="S5589" i="34"/>
  <c r="Q5589" i="34"/>
  <c r="R5589" i="34"/>
  <c r="Q5611" i="34"/>
  <c r="R5611" i="34"/>
  <c r="S5611" i="34"/>
  <c r="Q5609" i="34"/>
  <c r="R5609" i="34"/>
  <c r="S5609" i="34"/>
  <c r="Q5632" i="34"/>
  <c r="R5632" i="34"/>
  <c r="S5632" i="34"/>
  <c r="Q5645" i="34"/>
  <c r="R5645" i="34"/>
  <c r="S5645" i="34"/>
  <c r="Q2545" i="34"/>
  <c r="R2545" i="34"/>
  <c r="S2545" i="34"/>
  <c r="Q2553" i="34"/>
  <c r="R2553" i="34"/>
  <c r="S2553" i="34"/>
  <c r="S2556" i="34"/>
  <c r="Q2556" i="34"/>
  <c r="R2556" i="34"/>
  <c r="Q2569" i="34"/>
  <c r="R2569" i="34"/>
  <c r="S2569" i="34"/>
  <c r="Q2567" i="34"/>
  <c r="R2567" i="34"/>
  <c r="S2567" i="34"/>
  <c r="Q2381" i="34"/>
  <c r="R2381" i="34"/>
  <c r="S2381" i="34"/>
  <c r="R2380" i="34"/>
  <c r="S2380" i="34"/>
  <c r="Q2380" i="34"/>
  <c r="Q2387" i="34"/>
  <c r="R2387" i="34"/>
  <c r="S2387" i="34"/>
  <c r="Q2383" i="34"/>
  <c r="R2383" i="34"/>
  <c r="S2383" i="34"/>
  <c r="Q2379" i="34"/>
  <c r="R2379" i="34"/>
  <c r="S2379" i="34"/>
  <c r="R2386" i="34"/>
  <c r="S2386" i="34"/>
  <c r="Q2386" i="34"/>
  <c r="S5624" i="34"/>
  <c r="Q5624" i="34"/>
  <c r="R5624" i="34"/>
  <c r="Q5627" i="34"/>
  <c r="R5627" i="34"/>
  <c r="S5627" i="34"/>
  <c r="Q5634" i="34"/>
  <c r="R5634" i="34"/>
  <c r="S5634" i="34"/>
  <c r="Q3334" i="34"/>
  <c r="R3334" i="34"/>
  <c r="S3334" i="34"/>
  <c r="Q3332" i="34"/>
  <c r="R3332" i="34"/>
  <c r="S3332" i="34"/>
  <c r="Q3330" i="34"/>
  <c r="R3330" i="34"/>
  <c r="S3330" i="34"/>
  <c r="Q3328" i="34"/>
  <c r="R3328" i="34"/>
  <c r="S3328" i="34"/>
  <c r="Q3326" i="34"/>
  <c r="R3326" i="34"/>
  <c r="S3326" i="34"/>
  <c r="Q3324" i="34"/>
  <c r="R3324" i="34"/>
  <c r="S3324" i="34"/>
  <c r="Q3322" i="34"/>
  <c r="R3322" i="34"/>
  <c r="S3322" i="34"/>
  <c r="R3314" i="34"/>
  <c r="Q3314" i="34"/>
  <c r="S3314" i="34"/>
  <c r="R3321" i="34"/>
  <c r="S3321" i="34"/>
  <c r="Q3321" i="34"/>
  <c r="Q3344" i="34"/>
  <c r="R3344" i="34"/>
  <c r="S3344" i="34"/>
  <c r="R3341" i="34"/>
  <c r="S3341" i="34"/>
  <c r="Q3341" i="34"/>
  <c r="R3335" i="34"/>
  <c r="S3335" i="34"/>
  <c r="Q3335" i="34"/>
  <c r="S5690" i="34"/>
  <c r="Q5690" i="34"/>
  <c r="R5690" i="34"/>
  <c r="S5601" i="34"/>
  <c r="Q5601" i="34"/>
  <c r="R5601" i="34"/>
  <c r="Q5513" i="34"/>
  <c r="R5513" i="34"/>
  <c r="S5513" i="34"/>
  <c r="S5562" i="34"/>
  <c r="Q5562" i="34"/>
  <c r="R5562" i="34"/>
  <c r="S5604" i="34"/>
  <c r="Q5604" i="34"/>
  <c r="R5604" i="34"/>
  <c r="S5606" i="34"/>
  <c r="Q5606" i="34"/>
  <c r="R5606" i="34"/>
  <c r="S5608" i="34"/>
  <c r="Q5608" i="34"/>
  <c r="R5608" i="34"/>
  <c r="Q5613" i="34"/>
  <c r="R5613" i="34"/>
  <c r="S5613" i="34"/>
  <c r="S5614" i="34"/>
  <c r="Q5614" i="34"/>
  <c r="R5614" i="34"/>
  <c r="S5616" i="34"/>
  <c r="Q5616" i="34"/>
  <c r="R5616" i="34"/>
  <c r="S5618" i="34"/>
  <c r="Q5618" i="34"/>
  <c r="R5618" i="34"/>
  <c r="S5620" i="34"/>
  <c r="Q5620" i="34"/>
  <c r="R5620" i="34"/>
  <c r="S5622" i="34"/>
  <c r="Q5622" i="34"/>
  <c r="R5622" i="34"/>
  <c r="Q5636" i="34"/>
  <c r="R5636" i="34"/>
  <c r="S5636" i="34"/>
  <c r="Q2571" i="34"/>
  <c r="R2571" i="34"/>
  <c r="S2571" i="34"/>
  <c r="S2546" i="34"/>
  <c r="Q2546" i="34"/>
  <c r="R2546" i="34"/>
  <c r="Q2549" i="34"/>
  <c r="R2549" i="34"/>
  <c r="S2549" i="34"/>
  <c r="S2560" i="34"/>
  <c r="Q2560" i="34"/>
  <c r="R2560" i="34"/>
  <c r="S2564" i="34"/>
  <c r="Q2564" i="34"/>
  <c r="R2564" i="34"/>
  <c r="R2388" i="34"/>
  <c r="S2388" i="34"/>
  <c r="Q2388" i="34"/>
  <c r="R2384" i="34"/>
  <c r="S2384" i="34"/>
  <c r="Q2384" i="34"/>
  <c r="S5626" i="34"/>
  <c r="Q5626" i="34"/>
  <c r="R5626" i="34"/>
  <c r="R2382" i="34"/>
  <c r="S2382" i="34"/>
  <c r="Q2382" i="34"/>
  <c r="Q2385" i="34"/>
  <c r="R2385" i="34"/>
  <c r="S2385" i="34"/>
  <c r="Q2389" i="34"/>
  <c r="R2389" i="34"/>
  <c r="S2389" i="34"/>
  <c r="Q5625" i="34"/>
  <c r="R5625" i="34"/>
  <c r="S5625" i="34"/>
  <c r="S5633" i="34"/>
  <c r="Q5633" i="34"/>
  <c r="R5633" i="34"/>
  <c r="Q5638" i="34"/>
  <c r="R5638" i="34"/>
  <c r="S5638" i="34"/>
  <c r="R3319" i="34"/>
  <c r="S3319" i="34"/>
  <c r="Q3319" i="34"/>
  <c r="Q5689" i="34"/>
  <c r="R5689" i="34"/>
  <c r="S5689" i="34"/>
  <c r="Q5511" i="34"/>
  <c r="R5511" i="34"/>
  <c r="S5511" i="34"/>
  <c r="S5512" i="34"/>
  <c r="Q5512" i="34"/>
  <c r="R5512" i="34"/>
  <c r="Q5563" i="34"/>
  <c r="R5563" i="34"/>
  <c r="S5563" i="34"/>
  <c r="Q5570" i="34"/>
  <c r="R5570" i="34"/>
  <c r="S5570" i="34"/>
  <c r="Q5572" i="34"/>
  <c r="R5572" i="34"/>
  <c r="S5572" i="34"/>
  <c r="S5610" i="34"/>
  <c r="Q5610" i="34"/>
  <c r="R5610" i="34"/>
  <c r="S5631" i="34"/>
  <c r="Q5631" i="34"/>
  <c r="R5631" i="34"/>
  <c r="S5635" i="34"/>
  <c r="Q5635" i="34"/>
  <c r="R5635" i="34"/>
  <c r="S5644" i="34"/>
  <c r="Q5644" i="34"/>
  <c r="R5644" i="34"/>
  <c r="S5646" i="34"/>
  <c r="Q5646" i="34"/>
  <c r="R5646" i="34"/>
  <c r="Q2559" i="34"/>
  <c r="R2559" i="34"/>
  <c r="S2559" i="34"/>
  <c r="S2552" i="34"/>
  <c r="Q2552" i="34"/>
  <c r="R2552" i="34"/>
  <c r="S2554" i="34"/>
  <c r="Q2554" i="34"/>
  <c r="R2554" i="34"/>
  <c r="S2570" i="34"/>
  <c r="Q2570" i="34"/>
  <c r="R2570" i="34"/>
  <c r="S2568" i="34"/>
  <c r="Q2568" i="34"/>
  <c r="R2568" i="34"/>
  <c r="Q2563" i="34"/>
  <c r="R2563" i="34"/>
  <c r="S2563" i="34"/>
  <c r="R3333" i="34"/>
  <c r="S3333" i="34"/>
  <c r="Q3333" i="34"/>
  <c r="R3331" i="34"/>
  <c r="S3331" i="34"/>
  <c r="Q3331" i="34"/>
  <c r="R3329" i="34"/>
  <c r="S3329" i="34"/>
  <c r="Q3329" i="34"/>
  <c r="R3327" i="34"/>
  <c r="S3327" i="34"/>
  <c r="Q3327" i="34"/>
  <c r="R3325" i="34"/>
  <c r="S3325" i="34"/>
  <c r="Q3325" i="34"/>
  <c r="R3323" i="34"/>
  <c r="S3323" i="34"/>
  <c r="Q3323" i="34"/>
  <c r="R3313" i="34"/>
  <c r="S3313" i="34"/>
  <c r="Q3313" i="34"/>
  <c r="R3345" i="34"/>
  <c r="S3345" i="34"/>
  <c r="Q3345" i="34"/>
  <c r="R3343" i="34"/>
  <c r="S3343" i="34"/>
  <c r="Q3343" i="34"/>
  <c r="Q3336" i="34"/>
  <c r="R3336" i="34"/>
  <c r="S3336" i="34"/>
  <c r="S5629" i="34"/>
  <c r="Q5629" i="34"/>
  <c r="R5629" i="34"/>
  <c r="Q5590" i="34"/>
  <c r="R5590" i="34"/>
  <c r="S5590" i="34"/>
  <c r="Q5605" i="34"/>
  <c r="R5605" i="34"/>
  <c r="S5605" i="34"/>
  <c r="Q5607" i="34"/>
  <c r="R5607" i="34"/>
  <c r="S5607" i="34"/>
  <c r="S5612" i="34"/>
  <c r="Q5612" i="34"/>
  <c r="R5612" i="34"/>
  <c r="Q5615" i="34"/>
  <c r="R5615" i="34"/>
  <c r="S5615" i="34"/>
  <c r="Q5617" i="34"/>
  <c r="R5617" i="34"/>
  <c r="S5617" i="34"/>
  <c r="Q5619" i="34"/>
  <c r="R5619" i="34"/>
  <c r="S5619" i="34"/>
  <c r="Q5621" i="34"/>
  <c r="R5621" i="34"/>
  <c r="S5621" i="34"/>
  <c r="Q5628" i="34"/>
  <c r="R5628" i="34"/>
  <c r="S5628" i="34"/>
  <c r="S2548" i="34"/>
  <c r="Q2548" i="34"/>
  <c r="R2548" i="34"/>
  <c r="S2550" i="34"/>
  <c r="Q2550" i="34"/>
  <c r="R2550" i="34"/>
  <c r="Q2557" i="34"/>
  <c r="R2557" i="34"/>
  <c r="S2557" i="34"/>
  <c r="Q2561" i="34"/>
  <c r="R2561" i="34"/>
  <c r="S2561" i="34"/>
  <c r="Q2565" i="34"/>
  <c r="R2565" i="34"/>
  <c r="S2565" i="34"/>
  <c r="B777" i="34"/>
  <c r="A777" i="34" s="1"/>
  <c r="B778" i="34"/>
  <c r="A778" i="34" s="1"/>
  <c r="B238" i="34"/>
  <c r="A238" i="34" s="1"/>
  <c r="E238" i="34"/>
  <c r="B239" i="34"/>
  <c r="A239" i="34" s="1"/>
  <c r="E239" i="34"/>
  <c r="B2296" i="34"/>
  <c r="A2296" i="34" s="1"/>
  <c r="E2296" i="34"/>
  <c r="K2296" i="34"/>
  <c r="M2296" i="34" s="1"/>
  <c r="B2297" i="34"/>
  <c r="A2297" i="34" s="1"/>
  <c r="E2297" i="34"/>
  <c r="K2297" i="34"/>
  <c r="M2297" i="34" s="1"/>
  <c r="B2298" i="34"/>
  <c r="A2298" i="34" s="1"/>
  <c r="E2298" i="34"/>
  <c r="K2298" i="34"/>
  <c r="M2298" i="34" s="1"/>
  <c r="B2299" i="34"/>
  <c r="A2299" i="34" s="1"/>
  <c r="E2299" i="34"/>
  <c r="K2299" i="34"/>
  <c r="M2299" i="34" s="1"/>
  <c r="K2295" i="34"/>
  <c r="M2295" i="34" s="1"/>
  <c r="E2295" i="34"/>
  <c r="B2295" i="34"/>
  <c r="A2295" i="34" s="1"/>
  <c r="B5597" i="34"/>
  <c r="A5597" i="34" s="1"/>
  <c r="B5598" i="34"/>
  <c r="A5598" i="34" s="1"/>
  <c r="B5595" i="34"/>
  <c r="A5595" i="34" s="1"/>
  <c r="B5596" i="34"/>
  <c r="A5596" i="34" s="1"/>
  <c r="B5623" i="34"/>
  <c r="A5623" i="34" s="1"/>
  <c r="B5637" i="34"/>
  <c r="A5637" i="34" s="1"/>
  <c r="B5639" i="34"/>
  <c r="A5639" i="34" s="1"/>
  <c r="B5649" i="34"/>
  <c r="A5649" i="34" s="1"/>
  <c r="B3316" i="34"/>
  <c r="A3316" i="34" s="1"/>
  <c r="E3316" i="34"/>
  <c r="B3318" i="34"/>
  <c r="A3318" i="34" s="1"/>
  <c r="E3318" i="34"/>
  <c r="B3312" i="34"/>
  <c r="A3312" i="34" s="1"/>
  <c r="B3315" i="34"/>
  <c r="A3315" i="34" s="1"/>
  <c r="B3310" i="34"/>
  <c r="A3310" i="34" s="1"/>
  <c r="B3311" i="34"/>
  <c r="A3311" i="34" s="1"/>
  <c r="B5594" i="34"/>
  <c r="A5594" i="34" s="1"/>
  <c r="B5593" i="34"/>
  <c r="A5593" i="34" s="1"/>
  <c r="B5592" i="34"/>
  <c r="A5592" i="34" s="1"/>
  <c r="B5680" i="34"/>
  <c r="A5680" i="34" s="1"/>
  <c r="B5591" i="34"/>
  <c r="A5591" i="34" s="1"/>
  <c r="A26" i="56"/>
  <c r="S5594" i="34" l="1"/>
  <c r="Q5594" i="34"/>
  <c r="R5594" i="34"/>
  <c r="S5639" i="34"/>
  <c r="Q5639" i="34"/>
  <c r="R5639" i="34"/>
  <c r="Q5597" i="34"/>
  <c r="R5597" i="34"/>
  <c r="S5597" i="34"/>
  <c r="R778" i="34"/>
  <c r="S778" i="34"/>
  <c r="Q778" i="34"/>
  <c r="Q3311" i="34"/>
  <c r="R3311" i="34"/>
  <c r="S3311" i="34"/>
  <c r="S5637" i="34"/>
  <c r="Q5637" i="34"/>
  <c r="R5637" i="34"/>
  <c r="S2295" i="34"/>
  <c r="Q2295" i="34"/>
  <c r="R2295" i="34"/>
  <c r="Q2298" i="34"/>
  <c r="R2298" i="34"/>
  <c r="S2298" i="34"/>
  <c r="S239" i="34"/>
  <c r="R239" i="34"/>
  <c r="Q239" i="34"/>
  <c r="Q777" i="34"/>
  <c r="R777" i="34"/>
  <c r="S777" i="34"/>
  <c r="S5592" i="34"/>
  <c r="Q5592" i="34"/>
  <c r="R5592" i="34"/>
  <c r="Q5593" i="34"/>
  <c r="R5593" i="34"/>
  <c r="S5593" i="34"/>
  <c r="Q5623" i="34"/>
  <c r="R5623" i="34"/>
  <c r="S5623" i="34"/>
  <c r="S5598" i="34"/>
  <c r="Q5598" i="34"/>
  <c r="R5598" i="34"/>
  <c r="Q5680" i="34"/>
  <c r="R5680" i="34"/>
  <c r="S5680" i="34"/>
  <c r="R3310" i="34"/>
  <c r="Q3310" i="34"/>
  <c r="S3310" i="34"/>
  <c r="Q3318" i="34"/>
  <c r="R3318" i="34"/>
  <c r="S3318" i="34"/>
  <c r="S2299" i="34"/>
  <c r="Q2299" i="34"/>
  <c r="R2299" i="34"/>
  <c r="Q3315" i="34"/>
  <c r="R3315" i="34"/>
  <c r="S3315" i="34"/>
  <c r="Q5649" i="34"/>
  <c r="R5649" i="34"/>
  <c r="S5649" i="34"/>
  <c r="S5596" i="34"/>
  <c r="Q5596" i="34"/>
  <c r="R5596" i="34"/>
  <c r="Q2296" i="34"/>
  <c r="R2296" i="34"/>
  <c r="S2296" i="34"/>
  <c r="Q238" i="34"/>
  <c r="R238" i="34"/>
  <c r="S238" i="34"/>
  <c r="Q5591" i="34"/>
  <c r="R5591" i="34"/>
  <c r="S5591" i="34"/>
  <c r="R3312" i="34"/>
  <c r="S3312" i="34"/>
  <c r="Q3312" i="34"/>
  <c r="R3316" i="34"/>
  <c r="S3316" i="34"/>
  <c r="Q3316" i="34"/>
  <c r="Q5595" i="34"/>
  <c r="R5595" i="34"/>
  <c r="S5595" i="34"/>
  <c r="S2297" i="34"/>
  <c r="Q2297" i="34"/>
  <c r="R2297" i="34"/>
  <c r="B805" i="34"/>
  <c r="A805" i="34" s="1"/>
  <c r="B806" i="34"/>
  <c r="A806" i="34" s="1"/>
  <c r="E806" i="34"/>
  <c r="E805" i="34"/>
  <c r="B802" i="34"/>
  <c r="A802" i="34" s="1"/>
  <c r="B801" i="34"/>
  <c r="A801" i="34" s="1"/>
  <c r="B799" i="34"/>
  <c r="A799" i="34" s="1"/>
  <c r="B800" i="34"/>
  <c r="A800" i="34" s="1"/>
  <c r="B5580" i="34"/>
  <c r="A5580" i="34" s="1"/>
  <c r="B5581" i="34"/>
  <c r="A5581" i="34" s="1"/>
  <c r="B5573" i="34"/>
  <c r="A5573" i="34" s="1"/>
  <c r="B5574" i="34"/>
  <c r="A5574" i="34" s="1"/>
  <c r="B5575" i="34"/>
  <c r="A5575" i="34" s="1"/>
  <c r="B5576" i="34"/>
  <c r="A5576" i="34" s="1"/>
  <c r="B5577" i="34"/>
  <c r="A5577" i="34" s="1"/>
  <c r="B5582" i="34"/>
  <c r="A5582" i="34" s="1"/>
  <c r="B5490" i="34"/>
  <c r="A5490" i="34" s="1"/>
  <c r="B5484" i="34"/>
  <c r="A5484" i="34" s="1"/>
  <c r="B5483" i="34"/>
  <c r="A5483" i="34" s="1"/>
  <c r="B2199" i="34"/>
  <c r="A2199" i="34" s="1"/>
  <c r="E2199" i="34"/>
  <c r="B2193" i="34"/>
  <c r="A2193" i="34" s="1"/>
  <c r="B2194" i="34"/>
  <c r="A2194" i="34" s="1"/>
  <c r="B2195" i="34"/>
  <c r="A2195" i="34" s="1"/>
  <c r="B2196" i="34"/>
  <c r="A2196" i="34" s="1"/>
  <c r="B2197" i="34"/>
  <c r="A2197" i="34" s="1"/>
  <c r="B2198" i="34"/>
  <c r="A2198" i="34" s="1"/>
  <c r="B2200" i="34"/>
  <c r="A2200" i="34" s="1"/>
  <c r="E2200" i="34"/>
  <c r="E2198" i="34"/>
  <c r="E2197" i="34"/>
  <c r="E2196" i="34"/>
  <c r="E2195" i="34"/>
  <c r="E2194" i="34"/>
  <c r="E2193" i="34"/>
  <c r="S2197" i="34" l="1"/>
  <c r="Q2197" i="34"/>
  <c r="R2197" i="34"/>
  <c r="R5573" i="34"/>
  <c r="Q5573" i="34"/>
  <c r="S5573" i="34"/>
  <c r="S2195" i="34"/>
  <c r="Q2195" i="34"/>
  <c r="R2195" i="34"/>
  <c r="S2199" i="34"/>
  <c r="Q2199" i="34"/>
  <c r="R2199" i="34"/>
  <c r="R5575" i="34"/>
  <c r="Q5575" i="34"/>
  <c r="S5575" i="34"/>
  <c r="Q799" i="34"/>
  <c r="R799" i="34"/>
  <c r="S799" i="34"/>
  <c r="Q2198" i="34"/>
  <c r="R2198" i="34"/>
  <c r="S2198" i="34"/>
  <c r="Q2194" i="34"/>
  <c r="R2194" i="34"/>
  <c r="S2194" i="34"/>
  <c r="R5483" i="34"/>
  <c r="S5483" i="34"/>
  <c r="Q5483" i="34"/>
  <c r="S5582" i="34"/>
  <c r="Q5582" i="34"/>
  <c r="R5582" i="34"/>
  <c r="S5574" i="34"/>
  <c r="Q5574" i="34"/>
  <c r="R5574" i="34"/>
  <c r="S5581" i="34"/>
  <c r="Q5581" i="34"/>
  <c r="R5581" i="34"/>
  <c r="Q801" i="34"/>
  <c r="R801" i="34"/>
  <c r="S801" i="34"/>
  <c r="R806" i="34"/>
  <c r="S806" i="34"/>
  <c r="Q806" i="34"/>
  <c r="R5484" i="34"/>
  <c r="Q5484" i="34"/>
  <c r="S5484" i="34"/>
  <c r="Q805" i="34"/>
  <c r="R805" i="34"/>
  <c r="S805" i="34"/>
  <c r="S2193" i="34"/>
  <c r="Q2193" i="34"/>
  <c r="R2193" i="34"/>
  <c r="Q5580" i="34"/>
  <c r="R5580" i="34"/>
  <c r="S5580" i="34"/>
  <c r="Q2196" i="34"/>
  <c r="R2196" i="34"/>
  <c r="S2196" i="34"/>
  <c r="R5490" i="34"/>
  <c r="Q5490" i="34"/>
  <c r="S5490" i="34"/>
  <c r="Q5576" i="34"/>
  <c r="R5576" i="34"/>
  <c r="S5576" i="34"/>
  <c r="R800" i="34"/>
  <c r="S800" i="34"/>
  <c r="Q800" i="34"/>
  <c r="R5577" i="34"/>
  <c r="Q5577" i="34"/>
  <c r="S5577" i="34"/>
  <c r="R802" i="34"/>
  <c r="S802" i="34"/>
  <c r="Q802" i="34"/>
  <c r="Q2200" i="34"/>
  <c r="R2200" i="34"/>
  <c r="S2200" i="34"/>
  <c r="B796" i="34"/>
  <c r="A796" i="34" s="1"/>
  <c r="B797" i="34"/>
  <c r="A797" i="34" s="1"/>
  <c r="B798" i="34"/>
  <c r="A798" i="34" s="1"/>
  <c r="E798" i="34"/>
  <c r="E797" i="34"/>
  <c r="E796" i="34"/>
  <c r="B2294" i="34"/>
  <c r="A2294" i="34" s="1"/>
  <c r="E2294" i="34"/>
  <c r="K2294" i="34"/>
  <c r="M2294" i="34" s="1"/>
  <c r="M2377" i="34"/>
  <c r="M2375" i="34"/>
  <c r="M2248" i="34"/>
  <c r="M2244" i="34"/>
  <c r="M2233" i="34"/>
  <c r="M2231" i="34"/>
  <c r="G96" i="45"/>
  <c r="A89" i="45"/>
  <c r="A90" i="45"/>
  <c r="M5576" i="34"/>
  <c r="M5575" i="34"/>
  <c r="B748" i="34"/>
  <c r="A748" i="34" s="1"/>
  <c r="B749" i="34"/>
  <c r="A749" i="34" s="1"/>
  <c r="M748" i="34"/>
  <c r="B5323" i="34"/>
  <c r="A5323" i="34" s="1"/>
  <c r="B5322" i="34"/>
  <c r="A5322" i="34" s="1"/>
  <c r="B5312" i="34"/>
  <c r="A5312" i="34" s="1"/>
  <c r="B5311" i="34"/>
  <c r="A5311" i="34" s="1"/>
  <c r="B5310" i="34"/>
  <c r="A5310" i="34" s="1"/>
  <c r="B5309" i="34"/>
  <c r="A5309" i="34" s="1"/>
  <c r="B5298" i="34"/>
  <c r="A5298" i="34" s="1"/>
  <c r="B5297" i="34"/>
  <c r="A5297" i="34" s="1"/>
  <c r="B5296" i="34"/>
  <c r="A5296" i="34" s="1"/>
  <c r="B5295" i="34"/>
  <c r="A5295" i="34" s="1"/>
  <c r="B5293" i="34"/>
  <c r="A5293" i="34" s="1"/>
  <c r="B5292" i="34"/>
  <c r="A5292" i="34" s="1"/>
  <c r="B5285" i="34"/>
  <c r="A5285" i="34" s="1"/>
  <c r="B5475" i="34"/>
  <c r="A5475" i="34" s="1"/>
  <c r="B2249" i="34"/>
  <c r="A2249" i="34" s="1"/>
  <c r="B2248" i="34"/>
  <c r="A2248" i="34" s="1"/>
  <c r="B2247" i="34"/>
  <c r="A2247" i="34" s="1"/>
  <c r="B2246" i="34"/>
  <c r="A2246" i="34" s="1"/>
  <c r="B2245" i="34"/>
  <c r="A2245" i="34" s="1"/>
  <c r="B2244" i="34"/>
  <c r="A2244" i="34" s="1"/>
  <c r="B2243" i="34"/>
  <c r="A2243" i="34" s="1"/>
  <c r="B2242" i="34"/>
  <c r="A2242" i="34" s="1"/>
  <c r="B2241" i="34"/>
  <c r="A2241" i="34" s="1"/>
  <c r="B2240" i="34"/>
  <c r="A2240" i="34" s="1"/>
  <c r="B2239" i="34"/>
  <c r="A2239" i="34" s="1"/>
  <c r="B2238" i="34"/>
  <c r="A2238" i="34" s="1"/>
  <c r="B2237" i="34"/>
  <c r="A2237" i="34" s="1"/>
  <c r="B2236" i="34"/>
  <c r="A2236" i="34" s="1"/>
  <c r="B2235" i="34"/>
  <c r="A2235" i="34" s="1"/>
  <c r="B2234" i="34"/>
  <c r="A2234" i="34" s="1"/>
  <c r="B2233" i="34"/>
  <c r="A2233" i="34" s="1"/>
  <c r="B2232" i="34"/>
  <c r="A2232" i="34" s="1"/>
  <c r="B2231" i="34"/>
  <c r="A2231" i="34" s="1"/>
  <c r="B2204" i="34"/>
  <c r="A2204" i="34" s="1"/>
  <c r="B2203" i="34"/>
  <c r="A2203" i="34" s="1"/>
  <c r="E2249" i="34"/>
  <c r="E2248" i="34"/>
  <c r="E2245" i="34"/>
  <c r="E2244" i="34"/>
  <c r="E2234" i="34"/>
  <c r="E2233" i="34"/>
  <c r="E2232" i="34"/>
  <c r="E2231" i="34"/>
  <c r="B3305" i="34"/>
  <c r="A3305" i="34" s="1"/>
  <c r="E3305" i="34"/>
  <c r="B3309" i="34"/>
  <c r="A3309" i="34" s="1"/>
  <c r="E3309" i="34"/>
  <c r="B3302" i="34"/>
  <c r="A3302" i="34" s="1"/>
  <c r="E3302" i="34"/>
  <c r="B3301" i="34"/>
  <c r="A3301" i="34" s="1"/>
  <c r="E3301" i="34"/>
  <c r="B3300" i="34"/>
  <c r="A3300" i="34" s="1"/>
  <c r="B3303" i="34"/>
  <c r="A3303" i="34" s="1"/>
  <c r="B3304" i="34"/>
  <c r="A3304" i="34" s="1"/>
  <c r="B3306" i="34"/>
  <c r="A3306" i="34" s="1"/>
  <c r="B3307" i="34"/>
  <c r="A3307" i="34" s="1"/>
  <c r="B3308" i="34"/>
  <c r="A3308" i="34" s="1"/>
  <c r="B5565" i="34"/>
  <c r="A5565" i="34" s="1"/>
  <c r="B5566" i="34"/>
  <c r="A5566" i="34" s="1"/>
  <c r="B5567" i="34"/>
  <c r="A5567" i="34" s="1"/>
  <c r="B5568" i="34"/>
  <c r="A5568" i="34" s="1"/>
  <c r="B5569" i="34"/>
  <c r="A5569" i="34" s="1"/>
  <c r="B2292" i="34"/>
  <c r="A2292" i="34" s="1"/>
  <c r="E2292" i="34"/>
  <c r="K2292" i="34"/>
  <c r="M2292" i="34" s="1"/>
  <c r="B2291" i="34"/>
  <c r="A2291" i="34" s="1"/>
  <c r="E2291" i="34"/>
  <c r="K2291" i="34"/>
  <c r="M2291" i="34" s="1"/>
  <c r="B2293" i="34"/>
  <c r="A2293" i="34" s="1"/>
  <c r="E2293" i="34"/>
  <c r="K2293" i="34"/>
  <c r="M2293" i="34" s="1"/>
  <c r="B2374" i="34"/>
  <c r="A2374" i="34" s="1"/>
  <c r="B2290" i="34"/>
  <c r="A2290" i="34" s="1"/>
  <c r="B5252" i="34"/>
  <c r="A5252" i="34" s="1"/>
  <c r="B5251" i="34"/>
  <c r="A5251" i="34" s="1"/>
  <c r="B5215" i="34"/>
  <c r="A5215" i="34" s="1"/>
  <c r="B5214" i="34"/>
  <c r="A5214" i="34" s="1"/>
  <c r="B5202" i="34"/>
  <c r="A5202" i="34" s="1"/>
  <c r="B5201" i="34"/>
  <c r="A5201" i="34" s="1"/>
  <c r="B5179" i="34"/>
  <c r="A5179" i="34" s="1"/>
  <c r="B5178" i="34"/>
  <c r="A5178" i="34" s="1"/>
  <c r="B5166" i="34"/>
  <c r="A5166" i="34" s="1"/>
  <c r="B5165" i="34"/>
  <c r="A5165" i="34" s="1"/>
  <c r="B5159" i="34"/>
  <c r="A5159" i="34" s="1"/>
  <c r="B5158" i="34"/>
  <c r="A5158" i="34" s="1"/>
  <c r="B5104" i="34"/>
  <c r="A5104" i="34" s="1"/>
  <c r="B5103" i="34"/>
  <c r="A5103" i="34" s="1"/>
  <c r="B5099" i="34"/>
  <c r="A5099" i="34" s="1"/>
  <c r="B5098" i="34"/>
  <c r="A5098" i="34" s="1"/>
  <c r="B5093" i="34"/>
  <c r="A5093" i="34" s="1"/>
  <c r="B5092" i="34"/>
  <c r="A5092" i="34" s="1"/>
  <c r="B5089" i="34"/>
  <c r="A5089" i="34" s="1"/>
  <c r="B5088" i="34"/>
  <c r="A5088" i="34" s="1"/>
  <c r="B5024" i="34"/>
  <c r="A5024" i="34" s="1"/>
  <c r="B5023" i="34"/>
  <c r="A5023" i="34" s="1"/>
  <c r="B5480" i="34"/>
  <c r="A5480" i="34" s="1"/>
  <c r="B5479" i="34"/>
  <c r="A5479" i="34" s="1"/>
  <c r="B5231" i="34"/>
  <c r="A5231" i="34" s="1"/>
  <c r="B5230" i="34"/>
  <c r="A5230" i="34" s="1"/>
  <c r="B5200" i="34"/>
  <c r="A5200" i="34" s="1"/>
  <c r="B5199" i="34"/>
  <c r="A5199" i="34" s="1"/>
  <c r="B5157" i="34"/>
  <c r="A5157" i="34" s="1"/>
  <c r="B5156" i="34"/>
  <c r="A5156" i="34" s="1"/>
  <c r="B5147" i="34"/>
  <c r="A5147" i="34" s="1"/>
  <c r="B5146" i="34"/>
  <c r="A5146" i="34" s="1"/>
  <c r="B5136" i="34"/>
  <c r="A5136" i="34" s="1"/>
  <c r="B5135" i="34"/>
  <c r="A5135" i="34" s="1"/>
  <c r="B5097" i="34"/>
  <c r="A5097" i="34" s="1"/>
  <c r="B5096" i="34"/>
  <c r="A5096" i="34" s="1"/>
  <c r="B5091" i="34"/>
  <c r="A5091" i="34" s="1"/>
  <c r="B5090" i="34"/>
  <c r="A5090" i="34" s="1"/>
  <c r="B5087" i="34"/>
  <c r="A5087" i="34" s="1"/>
  <c r="B5086" i="34"/>
  <c r="A5086" i="34" s="1"/>
  <c r="B5029" i="34"/>
  <c r="A5029" i="34" s="1"/>
  <c r="B5028" i="34"/>
  <c r="A5028" i="34" s="1"/>
  <c r="B5019" i="34"/>
  <c r="A5019" i="34" s="1"/>
  <c r="B5018" i="34"/>
  <c r="A5018" i="34" s="1"/>
  <c r="B4596" i="34"/>
  <c r="A4596" i="34" s="1"/>
  <c r="B3228" i="34"/>
  <c r="A3228" i="34" s="1"/>
  <c r="E3228" i="34"/>
  <c r="B3296" i="34"/>
  <c r="A3296" i="34" s="1"/>
  <c r="E3296" i="34"/>
  <c r="K2290" i="34"/>
  <c r="M2290" i="34" s="1"/>
  <c r="E2290" i="34"/>
  <c r="B781" i="34"/>
  <c r="A781" i="34" s="1"/>
  <c r="B782" i="34"/>
  <c r="A782" i="34" s="1"/>
  <c r="B783" i="34"/>
  <c r="A783" i="34" s="1"/>
  <c r="B784" i="34"/>
  <c r="A784" i="34" s="1"/>
  <c r="B785" i="34"/>
  <c r="A785" i="34" s="1"/>
  <c r="B786" i="34"/>
  <c r="A786" i="34" s="1"/>
  <c r="B787" i="34"/>
  <c r="A787" i="34" s="1"/>
  <c r="B788" i="34"/>
  <c r="A788" i="34" s="1"/>
  <c r="B789" i="34"/>
  <c r="A789" i="34" s="1"/>
  <c r="Q5147" i="34" l="1"/>
  <c r="R5147" i="34"/>
  <c r="S5147" i="34"/>
  <c r="Q5029" i="34"/>
  <c r="R5029" i="34"/>
  <c r="S5029" i="34"/>
  <c r="S5136" i="34"/>
  <c r="Q5136" i="34"/>
  <c r="R5136" i="34"/>
  <c r="S5231" i="34"/>
  <c r="Q5231" i="34"/>
  <c r="R5231" i="34"/>
  <c r="Q789" i="34"/>
  <c r="R789" i="34"/>
  <c r="S789" i="34"/>
  <c r="Q785" i="34"/>
  <c r="R785" i="34"/>
  <c r="S785" i="34"/>
  <c r="Q781" i="34"/>
  <c r="R781" i="34"/>
  <c r="S781" i="34"/>
  <c r="R3296" i="34"/>
  <c r="Q3296" i="34"/>
  <c r="S3296" i="34"/>
  <c r="S5018" i="34"/>
  <c r="Q5018" i="34"/>
  <c r="R5018" i="34"/>
  <c r="Q5086" i="34"/>
  <c r="R5086" i="34"/>
  <c r="S5086" i="34"/>
  <c r="Q5096" i="34"/>
  <c r="R5096" i="34"/>
  <c r="S5096" i="34"/>
  <c r="S5146" i="34"/>
  <c r="Q5146" i="34"/>
  <c r="R5146" i="34"/>
  <c r="S5199" i="34"/>
  <c r="Q5199" i="34"/>
  <c r="R5199" i="34"/>
  <c r="S5479" i="34"/>
  <c r="Q5479" i="34"/>
  <c r="R5479" i="34"/>
  <c r="Q5088" i="34"/>
  <c r="R5088" i="34"/>
  <c r="S5088" i="34"/>
  <c r="Q5098" i="34"/>
  <c r="R5098" i="34"/>
  <c r="S5098" i="34"/>
  <c r="Q5158" i="34"/>
  <c r="R5158" i="34"/>
  <c r="S5158" i="34"/>
  <c r="S5178" i="34"/>
  <c r="Q5178" i="34"/>
  <c r="R5178" i="34"/>
  <c r="Q5214" i="34"/>
  <c r="R5214" i="34"/>
  <c r="S5214" i="34"/>
  <c r="Q2290" i="34"/>
  <c r="R2290" i="34"/>
  <c r="S2290" i="34"/>
  <c r="S2293" i="34"/>
  <c r="Q2293" i="34"/>
  <c r="R2293" i="34"/>
  <c r="Q5569" i="34"/>
  <c r="R5569" i="34"/>
  <c r="S5569" i="34"/>
  <c r="Q5565" i="34"/>
  <c r="R5565" i="34"/>
  <c r="S5565" i="34"/>
  <c r="R3304" i="34"/>
  <c r="S3304" i="34"/>
  <c r="Q3304" i="34"/>
  <c r="R3301" i="34"/>
  <c r="Q3301" i="34"/>
  <c r="S3301" i="34"/>
  <c r="R3309" i="34"/>
  <c r="S3309" i="34"/>
  <c r="Q3309" i="34"/>
  <c r="Q2204" i="34"/>
  <c r="R2204" i="34"/>
  <c r="S2204" i="34"/>
  <c r="Q2234" i="34"/>
  <c r="R2234" i="34"/>
  <c r="S2234" i="34"/>
  <c r="Q2238" i="34"/>
  <c r="R2238" i="34"/>
  <c r="S2238" i="34"/>
  <c r="Q2242" i="34"/>
  <c r="R2242" i="34"/>
  <c r="S2242" i="34"/>
  <c r="Q2246" i="34"/>
  <c r="R2246" i="34"/>
  <c r="S2246" i="34"/>
  <c r="Q5475" i="34"/>
  <c r="R5475" i="34"/>
  <c r="S5475" i="34"/>
  <c r="S5295" i="34"/>
  <c r="Q5295" i="34"/>
  <c r="R5295" i="34"/>
  <c r="S5309" i="34"/>
  <c r="Q5309" i="34"/>
  <c r="R5309" i="34"/>
  <c r="S5322" i="34"/>
  <c r="Q5322" i="34"/>
  <c r="R5322" i="34"/>
  <c r="R748" i="34"/>
  <c r="S748" i="34"/>
  <c r="Q748" i="34"/>
  <c r="Q797" i="34"/>
  <c r="R797" i="34"/>
  <c r="S797" i="34"/>
  <c r="R784" i="34"/>
  <c r="S784" i="34"/>
  <c r="Q784" i="34"/>
  <c r="S5097" i="34"/>
  <c r="Q5097" i="34"/>
  <c r="R5097" i="34"/>
  <c r="R5480" i="34"/>
  <c r="S5480" i="34"/>
  <c r="Q5480" i="34"/>
  <c r="S5099" i="34"/>
  <c r="Q5099" i="34"/>
  <c r="R5099" i="34"/>
  <c r="Q5179" i="34"/>
  <c r="R5179" i="34"/>
  <c r="S5179" i="34"/>
  <c r="R2374" i="34"/>
  <c r="S2374" i="34"/>
  <c r="Q2374" i="34"/>
  <c r="R5568" i="34"/>
  <c r="Q5568" i="34"/>
  <c r="S5568" i="34"/>
  <c r="R3308" i="34"/>
  <c r="S3308" i="34"/>
  <c r="Q3308" i="34"/>
  <c r="Q3303" i="34"/>
  <c r="R3303" i="34"/>
  <c r="S3303" i="34"/>
  <c r="S2231" i="34"/>
  <c r="Q2231" i="34"/>
  <c r="R2231" i="34"/>
  <c r="S2235" i="34"/>
  <c r="Q2235" i="34"/>
  <c r="R2235" i="34"/>
  <c r="S2239" i="34"/>
  <c r="Q2239" i="34"/>
  <c r="R2239" i="34"/>
  <c r="S2243" i="34"/>
  <c r="Q2243" i="34"/>
  <c r="R2243" i="34"/>
  <c r="S2247" i="34"/>
  <c r="Q2247" i="34"/>
  <c r="R2247" i="34"/>
  <c r="Q5285" i="34"/>
  <c r="R5285" i="34"/>
  <c r="S5285" i="34"/>
  <c r="Q5296" i="34"/>
  <c r="R5296" i="34"/>
  <c r="S5296" i="34"/>
  <c r="Q5310" i="34"/>
  <c r="R5310" i="34"/>
  <c r="S5310" i="34"/>
  <c r="Q5323" i="34"/>
  <c r="R5323" i="34"/>
  <c r="S5323" i="34"/>
  <c r="R796" i="34"/>
  <c r="S796" i="34"/>
  <c r="Q796" i="34"/>
  <c r="S5087" i="34"/>
  <c r="Q5087" i="34"/>
  <c r="R5087" i="34"/>
  <c r="Q5200" i="34"/>
  <c r="R5200" i="34"/>
  <c r="S5200" i="34"/>
  <c r="S5089" i="34"/>
  <c r="Q5089" i="34"/>
  <c r="R5089" i="34"/>
  <c r="S5159" i="34"/>
  <c r="Q5159" i="34"/>
  <c r="R5159" i="34"/>
  <c r="S5215" i="34"/>
  <c r="Q5215" i="34"/>
  <c r="R5215" i="34"/>
  <c r="Q787" i="34"/>
  <c r="R787" i="34"/>
  <c r="S787" i="34"/>
  <c r="Q783" i="34"/>
  <c r="R783" i="34"/>
  <c r="S783" i="34"/>
  <c r="R3228" i="34"/>
  <c r="Q3228" i="34"/>
  <c r="S3228" i="34"/>
  <c r="S5028" i="34"/>
  <c r="Q5028" i="34"/>
  <c r="R5028" i="34"/>
  <c r="Q5090" i="34"/>
  <c r="R5090" i="34"/>
  <c r="S5090" i="34"/>
  <c r="Q5135" i="34"/>
  <c r="R5135" i="34"/>
  <c r="S5135" i="34"/>
  <c r="Q5156" i="34"/>
  <c r="R5156" i="34"/>
  <c r="S5156" i="34"/>
  <c r="Q5230" i="34"/>
  <c r="R5230" i="34"/>
  <c r="S5230" i="34"/>
  <c r="Q5023" i="34"/>
  <c r="R5023" i="34"/>
  <c r="S5023" i="34"/>
  <c r="Q5092" i="34"/>
  <c r="R5092" i="34"/>
  <c r="S5092" i="34"/>
  <c r="Q5103" i="34"/>
  <c r="R5103" i="34"/>
  <c r="S5103" i="34"/>
  <c r="Q5165" i="34"/>
  <c r="R5165" i="34"/>
  <c r="S5165" i="34"/>
  <c r="S5201" i="34"/>
  <c r="Q5201" i="34"/>
  <c r="R5201" i="34"/>
  <c r="Q5251" i="34"/>
  <c r="R5251" i="34"/>
  <c r="S5251" i="34"/>
  <c r="Q2292" i="34"/>
  <c r="R2292" i="34"/>
  <c r="S2292" i="34"/>
  <c r="S5567" i="34"/>
  <c r="Q5567" i="34"/>
  <c r="R5567" i="34"/>
  <c r="Q3307" i="34"/>
  <c r="R3307" i="34"/>
  <c r="S3307" i="34"/>
  <c r="R3300" i="34"/>
  <c r="Q3300" i="34"/>
  <c r="S3300" i="34"/>
  <c r="R3302" i="34"/>
  <c r="Q3302" i="34"/>
  <c r="S3302" i="34"/>
  <c r="R3305" i="34"/>
  <c r="S3305" i="34"/>
  <c r="Q3305" i="34"/>
  <c r="Q2232" i="34"/>
  <c r="R2232" i="34"/>
  <c r="S2232" i="34"/>
  <c r="Q2236" i="34"/>
  <c r="R2236" i="34"/>
  <c r="S2236" i="34"/>
  <c r="Q2240" i="34"/>
  <c r="R2240" i="34"/>
  <c r="S2240" i="34"/>
  <c r="Q2244" i="34"/>
  <c r="R2244" i="34"/>
  <c r="S2244" i="34"/>
  <c r="Q2248" i="34"/>
  <c r="R2248" i="34"/>
  <c r="S2248" i="34"/>
  <c r="S5292" i="34"/>
  <c r="Q5292" i="34"/>
  <c r="R5292" i="34"/>
  <c r="S5297" i="34"/>
  <c r="Q5297" i="34"/>
  <c r="R5297" i="34"/>
  <c r="S5311" i="34"/>
  <c r="Q5311" i="34"/>
  <c r="R5311" i="34"/>
  <c r="R788" i="34"/>
  <c r="S788" i="34"/>
  <c r="Q788" i="34"/>
  <c r="Q5019" i="34"/>
  <c r="R5019" i="34"/>
  <c r="S5019" i="34"/>
  <c r="R786" i="34"/>
  <c r="S786" i="34"/>
  <c r="Q786" i="34"/>
  <c r="R782" i="34"/>
  <c r="S782" i="34"/>
  <c r="Q782" i="34"/>
  <c r="Q4596" i="34"/>
  <c r="R4596" i="34"/>
  <c r="S4596" i="34"/>
  <c r="S5091" i="34"/>
  <c r="Q5091" i="34"/>
  <c r="R5091" i="34"/>
  <c r="S5157" i="34"/>
  <c r="Q5157" i="34"/>
  <c r="R5157" i="34"/>
  <c r="S5024" i="34"/>
  <c r="Q5024" i="34"/>
  <c r="R5024" i="34"/>
  <c r="S5093" i="34"/>
  <c r="Q5093" i="34"/>
  <c r="R5093" i="34"/>
  <c r="S5104" i="34"/>
  <c r="Q5104" i="34"/>
  <c r="R5104" i="34"/>
  <c r="S5166" i="34"/>
  <c r="Q5166" i="34"/>
  <c r="R5166" i="34"/>
  <c r="Q5202" i="34"/>
  <c r="R5202" i="34"/>
  <c r="S5202" i="34"/>
  <c r="S5252" i="34"/>
  <c r="Q5252" i="34"/>
  <c r="R5252" i="34"/>
  <c r="S2291" i="34"/>
  <c r="Q2291" i="34"/>
  <c r="R2291" i="34"/>
  <c r="R5566" i="34"/>
  <c r="Q5566" i="34"/>
  <c r="S5566" i="34"/>
  <c r="R3306" i="34"/>
  <c r="Q3306" i="34"/>
  <c r="S3306" i="34"/>
  <c r="S2203" i="34"/>
  <c r="Q2203" i="34"/>
  <c r="R2203" i="34"/>
  <c r="S2233" i="34"/>
  <c r="Q2233" i="34"/>
  <c r="R2233" i="34"/>
  <c r="S2237" i="34"/>
  <c r="Q2237" i="34"/>
  <c r="R2237" i="34"/>
  <c r="S2241" i="34"/>
  <c r="Q2241" i="34"/>
  <c r="R2241" i="34"/>
  <c r="S2245" i="34"/>
  <c r="Q2245" i="34"/>
  <c r="R2245" i="34"/>
  <c r="S2249" i="34"/>
  <c r="Q2249" i="34"/>
  <c r="R2249" i="34"/>
  <c r="Q5293" i="34"/>
  <c r="R5293" i="34"/>
  <c r="S5293" i="34"/>
  <c r="Q5298" i="34"/>
  <c r="R5298" i="34"/>
  <c r="S5298" i="34"/>
  <c r="Q5312" i="34"/>
  <c r="R5312" i="34"/>
  <c r="S5312" i="34"/>
  <c r="Q749" i="34"/>
  <c r="R749" i="34"/>
  <c r="S749" i="34"/>
  <c r="Q2294" i="34"/>
  <c r="R2294" i="34"/>
  <c r="S2294" i="34"/>
  <c r="R798" i="34"/>
  <c r="S798" i="34"/>
  <c r="Q798" i="34"/>
  <c r="B5213" i="34"/>
  <c r="A5213" i="34" s="1"/>
  <c r="B5212" i="34"/>
  <c r="A5212" i="34" s="1"/>
  <c r="B5176" i="34"/>
  <c r="A5176" i="34" s="1"/>
  <c r="B5177" i="34"/>
  <c r="A5177" i="34" s="1"/>
  <c r="B4737" i="34"/>
  <c r="A4737" i="34" s="1"/>
  <c r="B4736" i="34"/>
  <c r="A4736" i="34" s="1"/>
  <c r="B5250" i="34"/>
  <c r="A5250" i="34" s="1"/>
  <c r="B5249" i="34"/>
  <c r="A5249" i="34" s="1"/>
  <c r="B5134" i="34"/>
  <c r="A5134" i="34" s="1"/>
  <c r="B5133" i="34"/>
  <c r="A5133" i="34" s="1"/>
  <c r="B5532" i="34"/>
  <c r="A5532" i="34" s="1"/>
  <c r="B5531" i="34"/>
  <c r="A5531" i="34" s="1"/>
  <c r="B5530" i="34"/>
  <c r="A5530" i="34" s="1"/>
  <c r="B5529" i="34"/>
  <c r="A5529" i="34" s="1"/>
  <c r="B5528" i="34"/>
  <c r="A5528" i="34" s="1"/>
  <c r="B5527" i="34"/>
  <c r="A5527" i="34" s="1"/>
  <c r="B5526" i="34"/>
  <c r="A5526" i="34" s="1"/>
  <c r="B5525" i="34"/>
  <c r="A5525" i="34" s="1"/>
  <c r="B5524" i="34"/>
  <c r="A5524" i="34" s="1"/>
  <c r="B5517" i="34"/>
  <c r="A5517" i="34" s="1"/>
  <c r="B5516" i="34"/>
  <c r="A5516" i="34" s="1"/>
  <c r="B5515" i="34"/>
  <c r="A5515" i="34" s="1"/>
  <c r="B3299" i="34"/>
  <c r="A3299" i="34" s="1"/>
  <c r="B3298" i="34"/>
  <c r="A3298" i="34" s="1"/>
  <c r="B3297" i="34"/>
  <c r="A3297" i="34" s="1"/>
  <c r="B3295" i="34"/>
  <c r="A3295" i="34" s="1"/>
  <c r="B5550" i="34"/>
  <c r="A5550" i="34" s="1"/>
  <c r="B5549" i="34"/>
  <c r="A5549" i="34" s="1"/>
  <c r="B5548" i="34"/>
  <c r="A5548" i="34" s="1"/>
  <c r="B5547" i="34"/>
  <c r="A5547" i="34" s="1"/>
  <c r="B5523" i="34"/>
  <c r="A5523" i="34" s="1"/>
  <c r="B5514" i="34"/>
  <c r="A5514" i="34" s="1"/>
  <c r="B5510" i="34"/>
  <c r="A5510" i="34" s="1"/>
  <c r="B5509" i="34"/>
  <c r="A5509" i="34" s="1"/>
  <c r="B2378" i="34"/>
  <c r="A2378" i="34" s="1"/>
  <c r="B2377" i="34"/>
  <c r="A2377" i="34" s="1"/>
  <c r="B2376" i="34"/>
  <c r="A2376" i="34" s="1"/>
  <c r="B2375" i="34"/>
  <c r="A2375" i="34" s="1"/>
  <c r="B795" i="34"/>
  <c r="A795" i="34" s="1"/>
  <c r="B794" i="34"/>
  <c r="A794" i="34" s="1"/>
  <c r="B793" i="34"/>
  <c r="A793" i="34" s="1"/>
  <c r="B792" i="34"/>
  <c r="A792" i="34" s="1"/>
  <c r="B791" i="34"/>
  <c r="A791" i="34" s="1"/>
  <c r="B790" i="34"/>
  <c r="A790" i="34" s="1"/>
  <c r="B761" i="34"/>
  <c r="A761" i="34" s="1"/>
  <c r="B762" i="34"/>
  <c r="A762" i="34" s="1"/>
  <c r="B5039" i="34"/>
  <c r="A5039" i="34" s="1"/>
  <c r="B5037" i="34"/>
  <c r="A5037" i="34" s="1"/>
  <c r="B5038" i="34"/>
  <c r="A5038" i="34" s="1"/>
  <c r="E220" i="34"/>
  <c r="B220" i="34"/>
  <c r="A220" i="34" s="1"/>
  <c r="E219" i="34"/>
  <c r="B219" i="34"/>
  <c r="A219" i="34" s="1"/>
  <c r="E204" i="34"/>
  <c r="B204" i="34"/>
  <c r="A204" i="34" s="1"/>
  <c r="E203" i="34"/>
  <c r="B203" i="34"/>
  <c r="A203" i="34" s="1"/>
  <c r="M78" i="34"/>
  <c r="B188" i="34"/>
  <c r="A188" i="34" s="1"/>
  <c r="M2240" i="34"/>
  <c r="E2240" i="34"/>
  <c r="E2243" i="34"/>
  <c r="M2242" i="34"/>
  <c r="E2242" i="34"/>
  <c r="M2241" i="34"/>
  <c r="E2241" i="34"/>
  <c r="M2238" i="34"/>
  <c r="E2238" i="34"/>
  <c r="M2237" i="34"/>
  <c r="E2237" i="34"/>
  <c r="M2239" i="34"/>
  <c r="E2239" i="34"/>
  <c r="E2375" i="34"/>
  <c r="E2376" i="34"/>
  <c r="E2377" i="34"/>
  <c r="E2378" i="34"/>
  <c r="B4781" i="34"/>
  <c r="A4781" i="34" s="1"/>
  <c r="B4782" i="34"/>
  <c r="A4782" i="34" s="1"/>
  <c r="B4783" i="34"/>
  <c r="A4783" i="34" s="1"/>
  <c r="B4780" i="34"/>
  <c r="A4780" i="34" s="1"/>
  <c r="B5478" i="34"/>
  <c r="A5478" i="34" s="1"/>
  <c r="B5477" i="34"/>
  <c r="A5477" i="34" s="1"/>
  <c r="B5447" i="34"/>
  <c r="A5447" i="34" s="1"/>
  <c r="B5446" i="34"/>
  <c r="A5446" i="34" s="1"/>
  <c r="B5421" i="34"/>
  <c r="A5421" i="34" s="1"/>
  <c r="B5420" i="34"/>
  <c r="A5420" i="34" s="1"/>
  <c r="B4570" i="34"/>
  <c r="A4570" i="34" s="1"/>
  <c r="B4571" i="34"/>
  <c r="A4571" i="34" s="1"/>
  <c r="B4339" i="34"/>
  <c r="A4339" i="34" s="1"/>
  <c r="B4340" i="34"/>
  <c r="A4340" i="34" s="1"/>
  <c r="B221" i="34"/>
  <c r="A221" i="34" s="1"/>
  <c r="E221" i="34"/>
  <c r="B222" i="34"/>
  <c r="A222" i="34" s="1"/>
  <c r="E222" i="34"/>
  <c r="B223" i="34"/>
  <c r="A223" i="34" s="1"/>
  <c r="E223" i="34"/>
  <c r="E188" i="34"/>
  <c r="B171" i="34"/>
  <c r="A171" i="34" s="1"/>
  <c r="E171" i="34"/>
  <c r="B172" i="34"/>
  <c r="A172" i="34" s="1"/>
  <c r="E172" i="34"/>
  <c r="B173" i="34"/>
  <c r="A173" i="34" s="1"/>
  <c r="E173" i="34"/>
  <c r="B154" i="34"/>
  <c r="A154" i="34" s="1"/>
  <c r="E154" i="34"/>
  <c r="B155" i="34"/>
  <c r="A155" i="34" s="1"/>
  <c r="E155" i="34"/>
  <c r="B156" i="34"/>
  <c r="A156" i="34" s="1"/>
  <c r="E156" i="34"/>
  <c r="B139" i="34"/>
  <c r="A139" i="34" s="1"/>
  <c r="E139" i="34"/>
  <c r="B122" i="34"/>
  <c r="A122" i="34" s="1"/>
  <c r="E122" i="34"/>
  <c r="B123" i="34"/>
  <c r="A123" i="34" s="1"/>
  <c r="E123" i="34"/>
  <c r="B124" i="34"/>
  <c r="A124" i="34" s="1"/>
  <c r="E124" i="34"/>
  <c r="B105" i="34"/>
  <c r="A105" i="34" s="1"/>
  <c r="E105" i="34"/>
  <c r="B106" i="34"/>
  <c r="A106" i="34" s="1"/>
  <c r="E106" i="34"/>
  <c r="B107" i="34"/>
  <c r="A107" i="34" s="1"/>
  <c r="E107" i="34"/>
  <c r="B90" i="34"/>
  <c r="A90" i="34" s="1"/>
  <c r="E90" i="34"/>
  <c r="Q222" i="34" l="1"/>
  <c r="R222" i="34"/>
  <c r="S222" i="34"/>
  <c r="S5421" i="34"/>
  <c r="Q5421" i="34"/>
  <c r="R5421" i="34"/>
  <c r="Q90" i="34"/>
  <c r="R90" i="34"/>
  <c r="S90" i="34"/>
  <c r="R124" i="34"/>
  <c r="S124" i="34"/>
  <c r="Q124" i="34"/>
  <c r="R122" i="34"/>
  <c r="S122" i="34"/>
  <c r="Q122" i="34"/>
  <c r="R156" i="34"/>
  <c r="S156" i="34"/>
  <c r="Q156" i="34"/>
  <c r="R154" i="34"/>
  <c r="S154" i="34"/>
  <c r="Q154" i="34"/>
  <c r="R172" i="34"/>
  <c r="Q172" i="34"/>
  <c r="S172" i="34"/>
  <c r="Q5446" i="34"/>
  <c r="R5446" i="34"/>
  <c r="S5446" i="34"/>
  <c r="Q4780" i="34"/>
  <c r="R4780" i="34"/>
  <c r="S4780" i="34"/>
  <c r="S5038" i="34"/>
  <c r="Q5038" i="34"/>
  <c r="R5038" i="34"/>
  <c r="Q5039" i="34"/>
  <c r="R5039" i="34"/>
  <c r="S5039" i="34"/>
  <c r="R790" i="34"/>
  <c r="S790" i="34"/>
  <c r="Q790" i="34"/>
  <c r="R794" i="34"/>
  <c r="S794" i="34"/>
  <c r="Q794" i="34"/>
  <c r="Q2377" i="34"/>
  <c r="R2377" i="34"/>
  <c r="S2377" i="34"/>
  <c r="Q5514" i="34"/>
  <c r="R5514" i="34"/>
  <c r="S5514" i="34"/>
  <c r="Q5549" i="34"/>
  <c r="R5549" i="34"/>
  <c r="S5549" i="34"/>
  <c r="R3298" i="34"/>
  <c r="Q3298" i="34"/>
  <c r="S3298" i="34"/>
  <c r="S5517" i="34"/>
  <c r="Q5517" i="34"/>
  <c r="R5517" i="34"/>
  <c r="S5527" i="34"/>
  <c r="Q5527" i="34"/>
  <c r="R5527" i="34"/>
  <c r="S5531" i="34"/>
  <c r="Q5531" i="34"/>
  <c r="R5531" i="34"/>
  <c r="Q5249" i="34"/>
  <c r="R5249" i="34"/>
  <c r="S5249" i="34"/>
  <c r="Q5177" i="34"/>
  <c r="R5177" i="34"/>
  <c r="S5177" i="34"/>
  <c r="S4781" i="34"/>
  <c r="Q4781" i="34"/>
  <c r="R4781" i="34"/>
  <c r="R106" i="34"/>
  <c r="S106" i="34"/>
  <c r="Q106" i="34"/>
  <c r="S223" i="34"/>
  <c r="Q223" i="34"/>
  <c r="R223" i="34"/>
  <c r="S221" i="34"/>
  <c r="Q221" i="34"/>
  <c r="R221" i="34"/>
  <c r="Q4339" i="34"/>
  <c r="R4339" i="34"/>
  <c r="S4339" i="34"/>
  <c r="S4570" i="34"/>
  <c r="Q4570" i="34"/>
  <c r="R4570" i="34"/>
  <c r="S5447" i="34"/>
  <c r="Q5447" i="34"/>
  <c r="R5447" i="34"/>
  <c r="S4783" i="34"/>
  <c r="Q4783" i="34"/>
  <c r="R4783" i="34"/>
  <c r="Q188" i="34"/>
  <c r="R188" i="34"/>
  <c r="S188" i="34"/>
  <c r="Q204" i="34"/>
  <c r="R204" i="34"/>
  <c r="S204" i="34"/>
  <c r="Q220" i="34"/>
  <c r="R220" i="34"/>
  <c r="S220" i="34"/>
  <c r="R762" i="34"/>
  <c r="S762" i="34"/>
  <c r="Q762" i="34"/>
  <c r="Q791" i="34"/>
  <c r="R791" i="34"/>
  <c r="S791" i="34"/>
  <c r="Q795" i="34"/>
  <c r="R795" i="34"/>
  <c r="S795" i="34"/>
  <c r="R2378" i="34"/>
  <c r="S2378" i="34"/>
  <c r="Q2378" i="34"/>
  <c r="S5523" i="34"/>
  <c r="Q5523" i="34"/>
  <c r="R5523" i="34"/>
  <c r="S5550" i="34"/>
  <c r="Q5550" i="34"/>
  <c r="R5550" i="34"/>
  <c r="R3299" i="34"/>
  <c r="Q3299" i="34"/>
  <c r="S3299" i="34"/>
  <c r="R5524" i="34"/>
  <c r="Q5524" i="34"/>
  <c r="S5524" i="34"/>
  <c r="R5528" i="34"/>
  <c r="Q5528" i="34"/>
  <c r="S5528" i="34"/>
  <c r="R5532" i="34"/>
  <c r="Q5532" i="34"/>
  <c r="S5532" i="34"/>
  <c r="S5250" i="34"/>
  <c r="Q5250" i="34"/>
  <c r="R5250" i="34"/>
  <c r="S5176" i="34"/>
  <c r="Q5176" i="34"/>
  <c r="R5176" i="34"/>
  <c r="S4340" i="34"/>
  <c r="R4340" i="34"/>
  <c r="Q4340" i="34"/>
  <c r="Q5478" i="34"/>
  <c r="R5478" i="34"/>
  <c r="S5478" i="34"/>
  <c r="Q107" i="34"/>
  <c r="R107" i="34"/>
  <c r="S107" i="34"/>
  <c r="Q105" i="34"/>
  <c r="R105" i="34"/>
  <c r="S105" i="34"/>
  <c r="Q123" i="34"/>
  <c r="R123" i="34"/>
  <c r="S123" i="34"/>
  <c r="Q139" i="34"/>
  <c r="R139" i="34"/>
  <c r="S139" i="34"/>
  <c r="Q155" i="34"/>
  <c r="R155" i="34"/>
  <c r="S155" i="34"/>
  <c r="Q173" i="34"/>
  <c r="R173" i="34"/>
  <c r="S173" i="34"/>
  <c r="R171" i="34"/>
  <c r="S171" i="34"/>
  <c r="Q171" i="34"/>
  <c r="Q5420" i="34"/>
  <c r="R5420" i="34"/>
  <c r="S5420" i="34"/>
  <c r="S5477" i="34"/>
  <c r="Q5477" i="34"/>
  <c r="R5477" i="34"/>
  <c r="Q4782" i="34"/>
  <c r="R4782" i="34"/>
  <c r="S4782" i="34"/>
  <c r="Q5037" i="34"/>
  <c r="R5037" i="34"/>
  <c r="S5037" i="34"/>
  <c r="Q761" i="34"/>
  <c r="R761" i="34"/>
  <c r="S761" i="34"/>
  <c r="R792" i="34"/>
  <c r="S792" i="34"/>
  <c r="Q792" i="34"/>
  <c r="Q2375" i="34"/>
  <c r="R2375" i="34"/>
  <c r="S2375" i="34"/>
  <c r="Q5509" i="34"/>
  <c r="R5509" i="34"/>
  <c r="S5509" i="34"/>
  <c r="Q5547" i="34"/>
  <c r="R5547" i="34"/>
  <c r="S5547" i="34"/>
  <c r="R3295" i="34"/>
  <c r="Q3295" i="34"/>
  <c r="S3295" i="34"/>
  <c r="Q5515" i="34"/>
  <c r="R5515" i="34"/>
  <c r="S5515" i="34"/>
  <c r="Q5525" i="34"/>
  <c r="R5525" i="34"/>
  <c r="S5525" i="34"/>
  <c r="Q5529" i="34"/>
  <c r="R5529" i="34"/>
  <c r="S5529" i="34"/>
  <c r="Q5133" i="34"/>
  <c r="R5133" i="34"/>
  <c r="S5133" i="34"/>
  <c r="Q4736" i="34"/>
  <c r="R4736" i="34"/>
  <c r="S4736" i="34"/>
  <c r="Q5212" i="34"/>
  <c r="R5212" i="34"/>
  <c r="S5212" i="34"/>
  <c r="Q4571" i="34"/>
  <c r="R4571" i="34"/>
  <c r="S4571" i="34"/>
  <c r="S203" i="34"/>
  <c r="Q203" i="34"/>
  <c r="R203" i="34"/>
  <c r="S219" i="34"/>
  <c r="Q219" i="34"/>
  <c r="R219" i="34"/>
  <c r="Q793" i="34"/>
  <c r="R793" i="34"/>
  <c r="S793" i="34"/>
  <c r="R2376" i="34"/>
  <c r="S2376" i="34"/>
  <c r="Q2376" i="34"/>
  <c r="S5510" i="34"/>
  <c r="Q5510" i="34"/>
  <c r="R5510" i="34"/>
  <c r="S5548" i="34"/>
  <c r="Q5548" i="34"/>
  <c r="R5548" i="34"/>
  <c r="R3297" i="34"/>
  <c r="Q3297" i="34"/>
  <c r="S3297" i="34"/>
  <c r="R5516" i="34"/>
  <c r="Q5516" i="34"/>
  <c r="S5516" i="34"/>
  <c r="R5526" i="34"/>
  <c r="Q5526" i="34"/>
  <c r="S5526" i="34"/>
  <c r="R5530" i="34"/>
  <c r="Q5530" i="34"/>
  <c r="S5530" i="34"/>
  <c r="S5134" i="34"/>
  <c r="Q5134" i="34"/>
  <c r="R5134" i="34"/>
  <c r="S4737" i="34"/>
  <c r="Q4737" i="34"/>
  <c r="R4737" i="34"/>
  <c r="S5213" i="34"/>
  <c r="Q5213" i="34"/>
  <c r="R5213" i="34"/>
  <c r="E760" i="34"/>
  <c r="B760" i="34"/>
  <c r="A760" i="34" s="1"/>
  <c r="E759" i="34"/>
  <c r="B759" i="34"/>
  <c r="A759" i="34" s="1"/>
  <c r="E758" i="34"/>
  <c r="B758" i="34"/>
  <c r="A758" i="34" s="1"/>
  <c r="E2247" i="34"/>
  <c r="M2246" i="34"/>
  <c r="E2246" i="34"/>
  <c r="E3299" i="34"/>
  <c r="E3311" i="34"/>
  <c r="E3312" i="34"/>
  <c r="E3315" i="34"/>
  <c r="E3298" i="34"/>
  <c r="E3300" i="34"/>
  <c r="E3303" i="34"/>
  <c r="E3304" i="34"/>
  <c r="E3306" i="34"/>
  <c r="E3307" i="34"/>
  <c r="E3308" i="34"/>
  <c r="E3310" i="34"/>
  <c r="R758" i="34" l="1"/>
  <c r="S758" i="34"/>
  <c r="Q758" i="34"/>
  <c r="R760" i="34"/>
  <c r="S760" i="34"/>
  <c r="Q760" i="34"/>
  <c r="Q759" i="34"/>
  <c r="R759" i="34"/>
  <c r="S759" i="34"/>
  <c r="M5527" i="34"/>
  <c r="M5515" i="34"/>
  <c r="B2543" i="34"/>
  <c r="A2543" i="34" s="1"/>
  <c r="E2543" i="34"/>
  <c r="C911" i="34"/>
  <c r="AD911" i="34" s="1"/>
  <c r="B2189" i="34"/>
  <c r="A2189" i="34" s="1"/>
  <c r="B2190" i="34"/>
  <c r="A2190" i="34" s="1"/>
  <c r="E2374" i="34"/>
  <c r="B780" i="34"/>
  <c r="A780" i="34" s="1"/>
  <c r="B779" i="34"/>
  <c r="A779" i="34" s="1"/>
  <c r="B763" i="34"/>
  <c r="A763" i="34" s="1"/>
  <c r="B764" i="34"/>
  <c r="A764" i="34" s="1"/>
  <c r="B765" i="34"/>
  <c r="A765" i="34" s="1"/>
  <c r="B766" i="34"/>
  <c r="A766" i="34" s="1"/>
  <c r="B767" i="34"/>
  <c r="A767" i="34" s="1"/>
  <c r="B5482" i="34"/>
  <c r="A5482" i="34" s="1"/>
  <c r="B5481" i="34"/>
  <c r="A5481" i="34" s="1"/>
  <c r="B5384" i="34"/>
  <c r="A5384" i="34" s="1"/>
  <c r="B5450" i="34"/>
  <c r="A5450" i="34" s="1"/>
  <c r="B5493" i="34"/>
  <c r="A5493" i="34" s="1"/>
  <c r="B5494" i="34"/>
  <c r="A5494" i="34" s="1"/>
  <c r="B746" i="34"/>
  <c r="A746" i="34" s="1"/>
  <c r="B747" i="34"/>
  <c r="A747" i="34" s="1"/>
  <c r="B750" i="34"/>
  <c r="A750" i="34" s="1"/>
  <c r="B751" i="34"/>
  <c r="A751" i="34" s="1"/>
  <c r="E2531" i="34"/>
  <c r="B2531" i="34"/>
  <c r="A2531" i="34" s="1"/>
  <c r="E2530" i="34"/>
  <c r="B2530" i="34"/>
  <c r="A2530" i="34" s="1"/>
  <c r="E2533" i="34"/>
  <c r="B2533" i="34"/>
  <c r="A2533" i="34" s="1"/>
  <c r="E2542" i="34"/>
  <c r="B2542" i="34"/>
  <c r="A2542" i="34" s="1"/>
  <c r="E2541" i="34"/>
  <c r="E2540" i="34"/>
  <c r="B2539" i="34"/>
  <c r="A2539" i="34" s="1"/>
  <c r="E2539" i="34"/>
  <c r="B2538" i="34"/>
  <c r="A2538" i="34" s="1"/>
  <c r="E2538" i="34"/>
  <c r="B2536" i="34"/>
  <c r="A2536" i="34" s="1"/>
  <c r="E2536" i="34"/>
  <c r="B2537" i="34"/>
  <c r="A2537" i="34" s="1"/>
  <c r="E2537" i="34"/>
  <c r="B2535" i="34"/>
  <c r="A2535" i="34" s="1"/>
  <c r="B2540" i="34"/>
  <c r="A2540" i="34" s="1"/>
  <c r="B2541" i="34"/>
  <c r="A2541" i="34" s="1"/>
  <c r="B2532" i="34"/>
  <c r="A2532" i="34" s="1"/>
  <c r="E2571" i="34"/>
  <c r="E2535" i="34"/>
  <c r="E2545" i="34"/>
  <c r="E2548" i="34"/>
  <c r="E2532" i="34"/>
  <c r="B5495" i="34"/>
  <c r="A5495" i="34" s="1"/>
  <c r="M5494" i="34"/>
  <c r="M5493" i="34"/>
  <c r="B5492" i="34"/>
  <c r="A5492" i="34" s="1"/>
  <c r="B5470" i="34"/>
  <c r="A5470" i="34" s="1"/>
  <c r="B5491" i="34"/>
  <c r="A5491" i="34" s="1"/>
  <c r="B5469" i="34"/>
  <c r="A5469" i="34" s="1"/>
  <c r="B5468" i="34"/>
  <c r="A5468" i="34" s="1"/>
  <c r="B5467" i="34"/>
  <c r="A5467" i="34" s="1"/>
  <c r="B5451" i="34"/>
  <c r="A5451" i="34" s="1"/>
  <c r="M5450" i="34"/>
  <c r="B5440" i="34"/>
  <c r="A5440" i="34" s="1"/>
  <c r="B5439" i="34"/>
  <c r="A5439" i="34" s="1"/>
  <c r="B5438" i="34"/>
  <c r="A5438" i="34" s="1"/>
  <c r="B5437" i="34"/>
  <c r="A5437" i="34" s="1"/>
  <c r="B5436" i="34"/>
  <c r="A5436" i="34" s="1"/>
  <c r="B5433" i="34"/>
  <c r="A5433" i="34" s="1"/>
  <c r="B5432" i="34"/>
  <c r="A5432" i="34" s="1"/>
  <c r="B5426" i="34"/>
  <c r="A5426" i="34" s="1"/>
  <c r="B5413" i="34"/>
  <c r="A5413" i="34" s="1"/>
  <c r="B5412" i="34"/>
  <c r="A5412" i="34" s="1"/>
  <c r="B5411" i="34"/>
  <c r="A5411" i="34" s="1"/>
  <c r="B5410" i="34"/>
  <c r="A5410" i="34" s="1"/>
  <c r="B5409" i="34"/>
  <c r="A5409" i="34" s="1"/>
  <c r="B5408" i="34"/>
  <c r="A5408" i="34" s="1"/>
  <c r="B5407" i="34"/>
  <c r="A5407" i="34" s="1"/>
  <c r="B5406" i="34"/>
  <c r="A5406" i="34" s="1"/>
  <c r="B5405" i="34"/>
  <c r="A5405" i="34" s="1"/>
  <c r="B5404" i="34"/>
  <c r="A5404" i="34" s="1"/>
  <c r="B5403" i="34"/>
  <c r="A5403" i="34" s="1"/>
  <c r="B5402" i="34"/>
  <c r="A5402" i="34" s="1"/>
  <c r="B5385" i="34"/>
  <c r="A5385" i="34" s="1"/>
  <c r="B5386" i="34"/>
  <c r="A5386" i="34" s="1"/>
  <c r="B5399" i="34"/>
  <c r="A5399" i="34" s="1"/>
  <c r="B5400" i="34"/>
  <c r="A5400" i="34" s="1"/>
  <c r="B5401" i="34"/>
  <c r="A5401" i="34" s="1"/>
  <c r="M5384" i="34"/>
  <c r="B5374" i="34"/>
  <c r="A5374" i="34" s="1"/>
  <c r="B5360" i="34"/>
  <c r="A5360" i="34" s="1"/>
  <c r="B5359" i="34"/>
  <c r="A5359" i="34" s="1"/>
  <c r="B5340" i="34"/>
  <c r="A5340" i="34" s="1"/>
  <c r="B5339" i="34"/>
  <c r="A5339" i="34" s="1"/>
  <c r="B5338" i="34"/>
  <c r="A5338" i="34" s="1"/>
  <c r="B5324" i="34"/>
  <c r="A5324" i="34" s="1"/>
  <c r="B2192" i="34"/>
  <c r="A2192" i="34" s="1"/>
  <c r="E2192" i="34"/>
  <c r="K2192" i="34"/>
  <c r="M2192" i="34" s="1"/>
  <c r="A17" i="12"/>
  <c r="B5503" i="34"/>
  <c r="A5503" i="34" s="1"/>
  <c r="B5502" i="34"/>
  <c r="A5502" i="34" s="1"/>
  <c r="B5501" i="34"/>
  <c r="A5501" i="34" s="1"/>
  <c r="B5500" i="34"/>
  <c r="A5500" i="34" s="1"/>
  <c r="B5498" i="34"/>
  <c r="A5498" i="34" s="1"/>
  <c r="B5497" i="34"/>
  <c r="A5497" i="34" s="1"/>
  <c r="B5496" i="34"/>
  <c r="A5496" i="34" s="1"/>
  <c r="B5471" i="34"/>
  <c r="A5471" i="34" s="1"/>
  <c r="B5472" i="34"/>
  <c r="A5472" i="34" s="1"/>
  <c r="B5473" i="34"/>
  <c r="A5473" i="34" s="1"/>
  <c r="B5474" i="34"/>
  <c r="A5474" i="34" s="1"/>
  <c r="B5504" i="34"/>
  <c r="A5504" i="34" s="1"/>
  <c r="B776" i="34"/>
  <c r="A776" i="34" s="1"/>
  <c r="B775" i="34"/>
  <c r="A775" i="34" s="1"/>
  <c r="B5489" i="34"/>
  <c r="A5489" i="34" s="1"/>
  <c r="B5488" i="34"/>
  <c r="A5488" i="34" s="1"/>
  <c r="B5487" i="34"/>
  <c r="A5487" i="34" s="1"/>
  <c r="B5476" i="34"/>
  <c r="A5476" i="34" s="1"/>
  <c r="E2236" i="34"/>
  <c r="M2235" i="34"/>
  <c r="E2235" i="34"/>
  <c r="B5499" i="34"/>
  <c r="A5499" i="34" s="1"/>
  <c r="E2190" i="34"/>
  <c r="E2189" i="34"/>
  <c r="B5462" i="34"/>
  <c r="A5462" i="34" s="1"/>
  <c r="B5463" i="34"/>
  <c r="A5463" i="34" s="1"/>
  <c r="B5464" i="34"/>
  <c r="A5464" i="34" s="1"/>
  <c r="B5461" i="34"/>
  <c r="A5461" i="34" s="1"/>
  <c r="B3294" i="34"/>
  <c r="A3294" i="34" s="1"/>
  <c r="E3294" i="34"/>
  <c r="B5460" i="34"/>
  <c r="A5460" i="34" s="1"/>
  <c r="M5460" i="34"/>
  <c r="B5458" i="34"/>
  <c r="A5458" i="34" s="1"/>
  <c r="B3291" i="34"/>
  <c r="A3291" i="34" s="1"/>
  <c r="B3292" i="34"/>
  <c r="A3292" i="34" s="1"/>
  <c r="B3293" i="34"/>
  <c r="A3293" i="34" s="1"/>
  <c r="B3270" i="34"/>
  <c r="A3270" i="34" s="1"/>
  <c r="E3270" i="34"/>
  <c r="B3269" i="34"/>
  <c r="A3269" i="34" s="1"/>
  <c r="E3269" i="34"/>
  <c r="B2191" i="34"/>
  <c r="A2191" i="34" s="1"/>
  <c r="E2191" i="34"/>
  <c r="K2191" i="34"/>
  <c r="M2191" i="34" s="1"/>
  <c r="B2186" i="34"/>
  <c r="A2186" i="34" s="1"/>
  <c r="B2185" i="34"/>
  <c r="A2185" i="34" s="1"/>
  <c r="B2184" i="34"/>
  <c r="A2184" i="34" s="1"/>
  <c r="K2186" i="34"/>
  <c r="M2186" i="34" s="1"/>
  <c r="E2186" i="34"/>
  <c r="K2185" i="34"/>
  <c r="M2185" i="34" s="1"/>
  <c r="E2185" i="34"/>
  <c r="M2184" i="34"/>
  <c r="E2184" i="34"/>
  <c r="B2187" i="34"/>
  <c r="A2187" i="34" s="1"/>
  <c r="E2187" i="34"/>
  <c r="K2187" i="34"/>
  <c r="M2187" i="34" s="1"/>
  <c r="E3293" i="34"/>
  <c r="B3290" i="34"/>
  <c r="A3290" i="34" s="1"/>
  <c r="E3290" i="34"/>
  <c r="B3268" i="34"/>
  <c r="A3268" i="34" s="1"/>
  <c r="B3271" i="34"/>
  <c r="A3271" i="34" s="1"/>
  <c r="B3272" i="34"/>
  <c r="A3272" i="34" s="1"/>
  <c r="B3273" i="34"/>
  <c r="A3273" i="34" s="1"/>
  <c r="B3274" i="34"/>
  <c r="A3274" i="34" s="1"/>
  <c r="B3275" i="34"/>
  <c r="A3275" i="34" s="1"/>
  <c r="B3276" i="34"/>
  <c r="A3276" i="34" s="1"/>
  <c r="B3277" i="34"/>
  <c r="A3277" i="34" s="1"/>
  <c r="B3278" i="34"/>
  <c r="A3278" i="34" s="1"/>
  <c r="B3279" i="34"/>
  <c r="A3279" i="34" s="1"/>
  <c r="B3280" i="34"/>
  <c r="A3280" i="34" s="1"/>
  <c r="B3281" i="34"/>
  <c r="A3281" i="34" s="1"/>
  <c r="B3282" i="34"/>
  <c r="A3282" i="34" s="1"/>
  <c r="B3283" i="34"/>
  <c r="A3283" i="34" s="1"/>
  <c r="B3284" i="34"/>
  <c r="A3284" i="34" s="1"/>
  <c r="B3285" i="34"/>
  <c r="A3285" i="34" s="1"/>
  <c r="B3286" i="34"/>
  <c r="A3286" i="34" s="1"/>
  <c r="B3287" i="34"/>
  <c r="A3287" i="34" s="1"/>
  <c r="B3288" i="34"/>
  <c r="A3288" i="34" s="1"/>
  <c r="B3289" i="34"/>
  <c r="A3289" i="34" s="1"/>
  <c r="B5441" i="34"/>
  <c r="A5441" i="34" s="1"/>
  <c r="B5452" i="34"/>
  <c r="A5452" i="34" s="1"/>
  <c r="B5453" i="34"/>
  <c r="A5453" i="34" s="1"/>
  <c r="B5454" i="34"/>
  <c r="A5454" i="34" s="1"/>
  <c r="B5455" i="34"/>
  <c r="A5455" i="34" s="1"/>
  <c r="B5431" i="34"/>
  <c r="A5431" i="34" s="1"/>
  <c r="B5442" i="34"/>
  <c r="A5442" i="34" s="1"/>
  <c r="B5443" i="34"/>
  <c r="A5443" i="34" s="1"/>
  <c r="B5444" i="34"/>
  <c r="A5444" i="34" s="1"/>
  <c r="B5445" i="34"/>
  <c r="A5445" i="34" s="1"/>
  <c r="B5459" i="34"/>
  <c r="A5459" i="34" s="1"/>
  <c r="Q5452" i="34" l="1"/>
  <c r="R5452" i="34"/>
  <c r="S5452" i="34"/>
  <c r="R3287" i="34"/>
  <c r="Q3287" i="34"/>
  <c r="S3287" i="34"/>
  <c r="R3283" i="34"/>
  <c r="Q3283" i="34"/>
  <c r="S3283" i="34"/>
  <c r="R3279" i="34"/>
  <c r="Q3279" i="34"/>
  <c r="S3279" i="34"/>
  <c r="R3275" i="34"/>
  <c r="Q3275" i="34"/>
  <c r="S3275" i="34"/>
  <c r="R3271" i="34"/>
  <c r="Q3271" i="34"/>
  <c r="S3271" i="34"/>
  <c r="Q2186" i="34"/>
  <c r="R2186" i="34"/>
  <c r="S2186" i="34"/>
  <c r="R3293" i="34"/>
  <c r="Q3293" i="34"/>
  <c r="S3293" i="34"/>
  <c r="R5458" i="34"/>
  <c r="S5458" i="34"/>
  <c r="Q5458" i="34"/>
  <c r="S5499" i="34"/>
  <c r="Q5499" i="34"/>
  <c r="R5499" i="34"/>
  <c r="R5489" i="34"/>
  <c r="Q5489" i="34"/>
  <c r="S5489" i="34"/>
  <c r="R5473" i="34"/>
  <c r="Q5473" i="34"/>
  <c r="S5473" i="34"/>
  <c r="Q5339" i="34"/>
  <c r="R5339" i="34"/>
  <c r="S5339" i="34"/>
  <c r="Q5399" i="34"/>
  <c r="R5399" i="34"/>
  <c r="S5399" i="34"/>
  <c r="Q2533" i="34"/>
  <c r="R2533" i="34"/>
  <c r="S2533" i="34"/>
  <c r="Q2531" i="34"/>
  <c r="R2531" i="34"/>
  <c r="S2531" i="34"/>
  <c r="Q747" i="34"/>
  <c r="R747" i="34"/>
  <c r="S747" i="34"/>
  <c r="S5450" i="34"/>
  <c r="Q5450" i="34"/>
  <c r="R5450" i="34"/>
  <c r="Q767" i="34"/>
  <c r="R767" i="34"/>
  <c r="S767" i="34"/>
  <c r="Q763" i="34"/>
  <c r="R763" i="34"/>
  <c r="S763" i="34"/>
  <c r="Q2190" i="34"/>
  <c r="R2190" i="34"/>
  <c r="S2190" i="34"/>
  <c r="Q2543" i="34"/>
  <c r="R2543" i="34"/>
  <c r="S2543" i="34"/>
  <c r="R5459" i="34"/>
  <c r="Q5459" i="34"/>
  <c r="S5459" i="34"/>
  <c r="Q5442" i="34"/>
  <c r="R5442" i="34"/>
  <c r="S5442" i="34"/>
  <c r="Q5455" i="34"/>
  <c r="R5455" i="34"/>
  <c r="S5455" i="34"/>
  <c r="S5441" i="34"/>
  <c r="Q5441" i="34"/>
  <c r="R5441" i="34"/>
  <c r="R3286" i="34"/>
  <c r="Q3286" i="34"/>
  <c r="S3286" i="34"/>
  <c r="R3282" i="34"/>
  <c r="Q3282" i="34"/>
  <c r="S3282" i="34"/>
  <c r="R3278" i="34"/>
  <c r="Q3278" i="34"/>
  <c r="S3278" i="34"/>
  <c r="R3274" i="34"/>
  <c r="Q3274" i="34"/>
  <c r="S3274" i="34"/>
  <c r="R3268" i="34"/>
  <c r="Q3268" i="34"/>
  <c r="S3268" i="34"/>
  <c r="R3269" i="34"/>
  <c r="Q3269" i="34"/>
  <c r="S3269" i="34"/>
  <c r="R3292" i="34"/>
  <c r="Q3292" i="34"/>
  <c r="S3292" i="34"/>
  <c r="R3294" i="34"/>
  <c r="Q3294" i="34"/>
  <c r="S3294" i="34"/>
  <c r="R5464" i="34"/>
  <c r="Q5464" i="34"/>
  <c r="S5464" i="34"/>
  <c r="R5462" i="34"/>
  <c r="Q5462" i="34"/>
  <c r="S5462" i="34"/>
  <c r="Q5476" i="34"/>
  <c r="R5476" i="34"/>
  <c r="S5476" i="34"/>
  <c r="Q775" i="34"/>
  <c r="R775" i="34"/>
  <c r="S775" i="34"/>
  <c r="Q5472" i="34"/>
  <c r="R5472" i="34"/>
  <c r="S5472" i="34"/>
  <c r="Q5496" i="34"/>
  <c r="R5496" i="34"/>
  <c r="S5496" i="34"/>
  <c r="Q5498" i="34"/>
  <c r="R5498" i="34"/>
  <c r="S5498" i="34"/>
  <c r="S5501" i="34"/>
  <c r="Q5501" i="34"/>
  <c r="R5501" i="34"/>
  <c r="S5503" i="34"/>
  <c r="Q5503" i="34"/>
  <c r="R5503" i="34"/>
  <c r="S5340" i="34"/>
  <c r="Q5340" i="34"/>
  <c r="R5340" i="34"/>
  <c r="S5360" i="34"/>
  <c r="Q5360" i="34"/>
  <c r="R5360" i="34"/>
  <c r="Q5401" i="34"/>
  <c r="R5401" i="34"/>
  <c r="S5401" i="34"/>
  <c r="S5386" i="34"/>
  <c r="Q5386" i="34"/>
  <c r="R5386" i="34"/>
  <c r="Q5403" i="34"/>
  <c r="R5403" i="34"/>
  <c r="S5403" i="34"/>
  <c r="Q5405" i="34"/>
  <c r="R5405" i="34"/>
  <c r="S5405" i="34"/>
  <c r="Q5407" i="34"/>
  <c r="R5407" i="34"/>
  <c r="S5407" i="34"/>
  <c r="Q5409" i="34"/>
  <c r="R5409" i="34"/>
  <c r="S5409" i="34"/>
  <c r="Q5411" i="34"/>
  <c r="R5411" i="34"/>
  <c r="S5411" i="34"/>
  <c r="Q5413" i="34"/>
  <c r="R5413" i="34"/>
  <c r="S5413" i="34"/>
  <c r="Q5432" i="34"/>
  <c r="R5432" i="34"/>
  <c r="S5432" i="34"/>
  <c r="Q5436" i="34"/>
  <c r="R5436" i="34"/>
  <c r="S5436" i="34"/>
  <c r="Q5438" i="34"/>
  <c r="R5438" i="34"/>
  <c r="S5438" i="34"/>
  <c r="Q5440" i="34"/>
  <c r="R5440" i="34"/>
  <c r="S5440" i="34"/>
  <c r="Q5451" i="34"/>
  <c r="R5451" i="34"/>
  <c r="S5451" i="34"/>
  <c r="Q5468" i="34"/>
  <c r="R5468" i="34"/>
  <c r="S5468" i="34"/>
  <c r="S5491" i="34"/>
  <c r="Q5491" i="34"/>
  <c r="R5491" i="34"/>
  <c r="Q5492" i="34"/>
  <c r="R5492" i="34"/>
  <c r="S5492" i="34"/>
  <c r="S2532" i="34"/>
  <c r="Q2532" i="34"/>
  <c r="R2532" i="34"/>
  <c r="Q2541" i="34"/>
  <c r="R2541" i="34"/>
  <c r="S2541" i="34"/>
  <c r="Q2537" i="34"/>
  <c r="R2537" i="34"/>
  <c r="S2537" i="34"/>
  <c r="S2538" i="34"/>
  <c r="Q2538" i="34"/>
  <c r="R2538" i="34"/>
  <c r="R746" i="34"/>
  <c r="S746" i="34"/>
  <c r="Q746" i="34"/>
  <c r="S5384" i="34"/>
  <c r="Q5384" i="34"/>
  <c r="R5384" i="34"/>
  <c r="R766" i="34"/>
  <c r="S766" i="34"/>
  <c r="Q766" i="34"/>
  <c r="Q779" i="34"/>
  <c r="R779" i="34"/>
  <c r="S779" i="34"/>
  <c r="S2189" i="34"/>
  <c r="Q2189" i="34"/>
  <c r="R2189" i="34"/>
  <c r="R5445" i="34"/>
  <c r="S5445" i="34"/>
  <c r="Q5445" i="34"/>
  <c r="Q5454" i="34"/>
  <c r="R5454" i="34"/>
  <c r="S5454" i="34"/>
  <c r="R3289" i="34"/>
  <c r="Q3289" i="34"/>
  <c r="S3289" i="34"/>
  <c r="R3285" i="34"/>
  <c r="Q3285" i="34"/>
  <c r="S3285" i="34"/>
  <c r="R3281" i="34"/>
  <c r="Q3281" i="34"/>
  <c r="S3281" i="34"/>
  <c r="R3277" i="34"/>
  <c r="Q3277" i="34"/>
  <c r="S3277" i="34"/>
  <c r="R3273" i="34"/>
  <c r="Q3273" i="34"/>
  <c r="S3273" i="34"/>
  <c r="Q2184" i="34"/>
  <c r="R2184" i="34"/>
  <c r="S2184" i="34"/>
  <c r="R3291" i="34"/>
  <c r="Q3291" i="34"/>
  <c r="S3291" i="34"/>
  <c r="R5487" i="34"/>
  <c r="S5487" i="34"/>
  <c r="Q5487" i="34"/>
  <c r="R776" i="34"/>
  <c r="S776" i="34"/>
  <c r="Q776" i="34"/>
  <c r="R5504" i="34"/>
  <c r="Q5504" i="34"/>
  <c r="S5504" i="34"/>
  <c r="Q2192" i="34"/>
  <c r="R2192" i="34"/>
  <c r="S2192" i="34"/>
  <c r="Q5324" i="34"/>
  <c r="R5324" i="34"/>
  <c r="S5324" i="34"/>
  <c r="Q5359" i="34"/>
  <c r="R5359" i="34"/>
  <c r="S5359" i="34"/>
  <c r="Q5385" i="34"/>
  <c r="R5385" i="34"/>
  <c r="S5385" i="34"/>
  <c r="S2540" i="34"/>
  <c r="Q2540" i="34"/>
  <c r="R2540" i="34"/>
  <c r="S2542" i="34"/>
  <c r="Q2542" i="34"/>
  <c r="R2542" i="34"/>
  <c r="S2530" i="34"/>
  <c r="Q2530" i="34"/>
  <c r="R2530" i="34"/>
  <c r="Q751" i="34"/>
  <c r="R751" i="34"/>
  <c r="S751" i="34"/>
  <c r="Q5494" i="34"/>
  <c r="R5494" i="34"/>
  <c r="S5494" i="34"/>
  <c r="R5481" i="34"/>
  <c r="Q5481" i="34"/>
  <c r="S5481" i="34"/>
  <c r="Q765" i="34"/>
  <c r="R765" i="34"/>
  <c r="S765" i="34"/>
  <c r="R780" i="34"/>
  <c r="S780" i="34"/>
  <c r="Q780" i="34"/>
  <c r="R5443" i="34"/>
  <c r="S5443" i="34"/>
  <c r="Q5443" i="34"/>
  <c r="R5431" i="34"/>
  <c r="S5431" i="34"/>
  <c r="Q5431" i="34"/>
  <c r="Q5444" i="34"/>
  <c r="R5444" i="34"/>
  <c r="S5444" i="34"/>
  <c r="S5453" i="34"/>
  <c r="Q5453" i="34"/>
  <c r="R5453" i="34"/>
  <c r="R3288" i="34"/>
  <c r="Q3288" i="34"/>
  <c r="S3288" i="34"/>
  <c r="R3284" i="34"/>
  <c r="Q3284" i="34"/>
  <c r="S3284" i="34"/>
  <c r="R3280" i="34"/>
  <c r="Q3280" i="34"/>
  <c r="S3280" i="34"/>
  <c r="R3276" i="34"/>
  <c r="Q3276" i="34"/>
  <c r="S3276" i="34"/>
  <c r="R3272" i="34"/>
  <c r="Q3272" i="34"/>
  <c r="S3272" i="34"/>
  <c r="R3290" i="34"/>
  <c r="Q3290" i="34"/>
  <c r="S3290" i="34"/>
  <c r="S2187" i="34"/>
  <c r="Q2187" i="34"/>
  <c r="R2187" i="34"/>
  <c r="S2185" i="34"/>
  <c r="Q2185" i="34"/>
  <c r="R2185" i="34"/>
  <c r="S2191" i="34"/>
  <c r="Q2191" i="34"/>
  <c r="R2191" i="34"/>
  <c r="R3270" i="34"/>
  <c r="Q3270" i="34"/>
  <c r="S3270" i="34"/>
  <c r="R5460" i="34"/>
  <c r="Q5460" i="34"/>
  <c r="S5460" i="34"/>
  <c r="R5461" i="34"/>
  <c r="Q5461" i="34"/>
  <c r="S5461" i="34"/>
  <c r="S5463" i="34"/>
  <c r="Q5463" i="34"/>
  <c r="R5463" i="34"/>
  <c r="R5488" i="34"/>
  <c r="Q5488" i="34"/>
  <c r="S5488" i="34"/>
  <c r="S5474" i="34"/>
  <c r="Q5474" i="34"/>
  <c r="R5474" i="34"/>
  <c r="S5471" i="34"/>
  <c r="Q5471" i="34"/>
  <c r="R5471" i="34"/>
  <c r="S5497" i="34"/>
  <c r="Q5497" i="34"/>
  <c r="R5497" i="34"/>
  <c r="Q5500" i="34"/>
  <c r="R5500" i="34"/>
  <c r="S5500" i="34"/>
  <c r="Q5502" i="34"/>
  <c r="R5502" i="34"/>
  <c r="S5502" i="34"/>
  <c r="S5338" i="34"/>
  <c r="Q5338" i="34"/>
  <c r="R5338" i="34"/>
  <c r="Q5374" i="34"/>
  <c r="R5374" i="34"/>
  <c r="S5374" i="34"/>
  <c r="S5400" i="34"/>
  <c r="Q5400" i="34"/>
  <c r="R5400" i="34"/>
  <c r="S5402" i="34"/>
  <c r="Q5402" i="34"/>
  <c r="R5402" i="34"/>
  <c r="S5404" i="34"/>
  <c r="Q5404" i="34"/>
  <c r="R5404" i="34"/>
  <c r="S5406" i="34"/>
  <c r="Q5406" i="34"/>
  <c r="R5406" i="34"/>
  <c r="S5408" i="34"/>
  <c r="Q5408" i="34"/>
  <c r="R5408" i="34"/>
  <c r="S5410" i="34"/>
  <c r="Q5410" i="34"/>
  <c r="R5410" i="34"/>
  <c r="S5412" i="34"/>
  <c r="Q5412" i="34"/>
  <c r="R5412" i="34"/>
  <c r="S5426" i="34"/>
  <c r="Q5426" i="34"/>
  <c r="R5426" i="34"/>
  <c r="S5433" i="34"/>
  <c r="Q5433" i="34"/>
  <c r="R5433" i="34"/>
  <c r="S5437" i="34"/>
  <c r="Q5437" i="34"/>
  <c r="R5437" i="34"/>
  <c r="S5439" i="34"/>
  <c r="Q5439" i="34"/>
  <c r="R5439" i="34"/>
  <c r="S5467" i="34"/>
  <c r="Q5467" i="34"/>
  <c r="R5467" i="34"/>
  <c r="S5469" i="34"/>
  <c r="Q5469" i="34"/>
  <c r="R5469" i="34"/>
  <c r="Q5470" i="34"/>
  <c r="R5470" i="34"/>
  <c r="S5470" i="34"/>
  <c r="S5495" i="34"/>
  <c r="Q5495" i="34"/>
  <c r="R5495" i="34"/>
  <c r="Q2535" i="34"/>
  <c r="R2535" i="34"/>
  <c r="S2535" i="34"/>
  <c r="S2536" i="34"/>
  <c r="Q2536" i="34"/>
  <c r="R2536" i="34"/>
  <c r="Q2539" i="34"/>
  <c r="R2539" i="34"/>
  <c r="S2539" i="34"/>
  <c r="R750" i="34"/>
  <c r="S750" i="34"/>
  <c r="Q750" i="34"/>
  <c r="S5493" i="34"/>
  <c r="Q5493" i="34"/>
  <c r="R5493" i="34"/>
  <c r="R5482" i="34"/>
  <c r="Q5482" i="34"/>
  <c r="S5482" i="34"/>
  <c r="R764" i="34"/>
  <c r="S764" i="34"/>
  <c r="Q764" i="34"/>
  <c r="E3272" i="34"/>
  <c r="E3273" i="34"/>
  <c r="E3274" i="34"/>
  <c r="E3275" i="34"/>
  <c r="E3276" i="34"/>
  <c r="E3277" i="34"/>
  <c r="E3278" i="34"/>
  <c r="E3279" i="34"/>
  <c r="E3280" i="34"/>
  <c r="E3281" i="34"/>
  <c r="E3282" i="34"/>
  <c r="E3283" i="34"/>
  <c r="E3284" i="34"/>
  <c r="E3268" i="34"/>
  <c r="E3271" i="34"/>
  <c r="E3285" i="34"/>
  <c r="E3286" i="34"/>
  <c r="E3287" i="34"/>
  <c r="E3288" i="34"/>
  <c r="E3289" i="34"/>
  <c r="E3291" i="34"/>
  <c r="E3292" i="34"/>
  <c r="E3295" i="34"/>
  <c r="E3297" i="34"/>
  <c r="B5435" i="34"/>
  <c r="A5435" i="34" s="1"/>
  <c r="B5434" i="34"/>
  <c r="A5434" i="34" s="1"/>
  <c r="B5320" i="34"/>
  <c r="A5320" i="34" s="1"/>
  <c r="B5398" i="34"/>
  <c r="A5398" i="34" s="1"/>
  <c r="B5397" i="34"/>
  <c r="A5397" i="34" s="1"/>
  <c r="B5372" i="34"/>
  <c r="A5372" i="34" s="1"/>
  <c r="B5371" i="34"/>
  <c r="A5371" i="34" s="1"/>
  <c r="B5370" i="34"/>
  <c r="A5370" i="34" s="1"/>
  <c r="B5369" i="34"/>
  <c r="A5369" i="34" s="1"/>
  <c r="B5368" i="34"/>
  <c r="A5368" i="34" s="1"/>
  <c r="B5367" i="34"/>
  <c r="A5367" i="34" s="1"/>
  <c r="B5366" i="34"/>
  <c r="A5366" i="34" s="1"/>
  <c r="B5365" i="34"/>
  <c r="A5365" i="34" s="1"/>
  <c r="B5346" i="34"/>
  <c r="A5346" i="34" s="1"/>
  <c r="B5344" i="34"/>
  <c r="A5344" i="34" s="1"/>
  <c r="B5343" i="34"/>
  <c r="A5343" i="34" s="1"/>
  <c r="B5539" i="34"/>
  <c r="A5539" i="34" s="1"/>
  <c r="B5540" i="34"/>
  <c r="A5540" i="34" s="1"/>
  <c r="B5551" i="34"/>
  <c r="A5551" i="34" s="1"/>
  <c r="B5518" i="34"/>
  <c r="A5518" i="34" s="1"/>
  <c r="B5519" i="34"/>
  <c r="A5519" i="34" s="1"/>
  <c r="B5520" i="34"/>
  <c r="A5520" i="34" s="1"/>
  <c r="B5533" i="34"/>
  <c r="A5533" i="34" s="1"/>
  <c r="B5534" i="34"/>
  <c r="A5534" i="34" s="1"/>
  <c r="B5535" i="34"/>
  <c r="A5535" i="34" s="1"/>
  <c r="B5536" i="34"/>
  <c r="A5536" i="34" s="1"/>
  <c r="E757" i="34"/>
  <c r="B757" i="34"/>
  <c r="A757" i="34" s="1"/>
  <c r="E756" i="34"/>
  <c r="B756" i="34"/>
  <c r="A756" i="34" s="1"/>
  <c r="E755" i="34"/>
  <c r="B755" i="34"/>
  <c r="A755" i="34" s="1"/>
  <c r="E766" i="34"/>
  <c r="E765" i="34"/>
  <c r="E764" i="34"/>
  <c r="E763" i="34"/>
  <c r="B2036" i="34"/>
  <c r="A2036" i="34" s="1"/>
  <c r="B2037" i="34"/>
  <c r="A2037" i="34" s="1"/>
  <c r="B2038" i="34"/>
  <c r="A2038" i="34" s="1"/>
  <c r="B2039" i="34"/>
  <c r="A2039" i="34" s="1"/>
  <c r="B2040" i="34"/>
  <c r="A2040" i="34" s="1"/>
  <c r="B2041" i="34"/>
  <c r="A2041" i="34" s="1"/>
  <c r="B2042" i="34"/>
  <c r="A2042" i="34" s="1"/>
  <c r="B2043" i="34"/>
  <c r="A2043" i="34" s="1"/>
  <c r="B2044" i="34"/>
  <c r="A2044" i="34" s="1"/>
  <c r="B2045" i="34"/>
  <c r="A2045" i="34" s="1"/>
  <c r="B2046" i="34"/>
  <c r="A2046" i="34" s="1"/>
  <c r="B2047" i="34"/>
  <c r="A2047" i="34" s="1"/>
  <c r="B2048" i="34"/>
  <c r="A2048" i="34" s="1"/>
  <c r="B2049" i="34"/>
  <c r="A2049" i="34" s="1"/>
  <c r="E2041" i="34"/>
  <c r="M2041" i="34"/>
  <c r="E2042" i="34"/>
  <c r="M2042" i="34"/>
  <c r="E2043" i="34"/>
  <c r="M2043" i="34"/>
  <c r="E2044" i="34"/>
  <c r="M2044" i="34"/>
  <c r="E2045" i="34"/>
  <c r="M2045" i="34"/>
  <c r="E2046" i="34"/>
  <c r="M2046" i="34"/>
  <c r="E2047" i="34"/>
  <c r="M2047" i="34"/>
  <c r="E2048" i="34"/>
  <c r="M2048" i="34"/>
  <c r="E2049" i="34"/>
  <c r="M2049" i="34"/>
  <c r="E2050" i="34"/>
  <c r="M2050" i="34"/>
  <c r="E2040" i="34"/>
  <c r="M2040" i="34"/>
  <c r="E2039" i="34"/>
  <c r="M2039" i="34"/>
  <c r="E2038" i="34"/>
  <c r="M2038" i="34"/>
  <c r="M2037" i="34"/>
  <c r="E2037" i="34"/>
  <c r="M5085" i="34"/>
  <c r="M5084" i="34"/>
  <c r="B5084" i="34"/>
  <c r="A5084" i="34" s="1"/>
  <c r="B5085" i="34"/>
  <c r="A5085" i="34" s="1"/>
  <c r="B773" i="34"/>
  <c r="A773" i="34" s="1"/>
  <c r="B774" i="34"/>
  <c r="A774" i="34" s="1"/>
  <c r="B5428" i="34"/>
  <c r="A5428" i="34" s="1"/>
  <c r="B5427" i="34"/>
  <c r="A5427" i="34" s="1"/>
  <c r="B5422" i="34"/>
  <c r="A5422" i="34" s="1"/>
  <c r="B5423" i="34"/>
  <c r="A5423" i="34" s="1"/>
  <c r="B5424" i="34"/>
  <c r="A5424" i="34" s="1"/>
  <c r="B5425" i="34"/>
  <c r="A5425" i="34" s="1"/>
  <c r="B5253" i="34"/>
  <c r="A5253" i="34" s="1"/>
  <c r="B5211" i="34"/>
  <c r="A5211" i="34" s="1"/>
  <c r="B5169" i="34"/>
  <c r="A5169" i="34" s="1"/>
  <c r="B5137" i="34"/>
  <c r="A5137" i="34" s="1"/>
  <c r="B5130" i="34"/>
  <c r="A5130" i="34" s="1"/>
  <c r="B5083" i="34"/>
  <c r="A5083" i="34" s="1"/>
  <c r="E2133" i="34"/>
  <c r="M2132" i="34"/>
  <c r="E2132" i="34"/>
  <c r="E2129" i="34"/>
  <c r="B2129" i="34"/>
  <c r="A2129" i="34" s="1"/>
  <c r="M2128" i="34"/>
  <c r="E2128" i="34"/>
  <c r="B2128" i="34"/>
  <c r="A2128" i="34" s="1"/>
  <c r="E2117" i="34"/>
  <c r="B2117" i="34"/>
  <c r="A2117" i="34" s="1"/>
  <c r="M2116" i="34"/>
  <c r="E2116" i="34"/>
  <c r="B2116" i="34"/>
  <c r="A2116" i="34" s="1"/>
  <c r="E2103" i="34"/>
  <c r="B2103" i="34"/>
  <c r="A2103" i="34" s="1"/>
  <c r="M2102" i="34"/>
  <c r="E2102" i="34"/>
  <c r="B2102" i="34"/>
  <c r="A2102" i="34" s="1"/>
  <c r="E2101" i="34"/>
  <c r="B2101" i="34"/>
  <c r="A2101" i="34" s="1"/>
  <c r="M2100" i="34"/>
  <c r="E2100" i="34"/>
  <c r="B2100" i="34"/>
  <c r="A2100" i="34" s="1"/>
  <c r="E2095" i="34"/>
  <c r="B2095" i="34"/>
  <c r="A2095" i="34" s="1"/>
  <c r="M2094" i="34"/>
  <c r="E2094" i="34"/>
  <c r="B2094" i="34"/>
  <c r="A2094" i="34" s="1"/>
  <c r="B2183" i="34"/>
  <c r="A2183" i="34" s="1"/>
  <c r="E2183" i="34"/>
  <c r="K2183" i="34"/>
  <c r="M2183" i="34" s="1"/>
  <c r="K2182" i="34"/>
  <c r="M2182" i="34" s="1"/>
  <c r="E2182" i="34"/>
  <c r="B2182" i="34"/>
  <c r="A2182" i="34" s="1"/>
  <c r="B5276" i="34"/>
  <c r="A5276" i="34" s="1"/>
  <c r="B5275" i="34"/>
  <c r="A5275" i="34" s="1"/>
  <c r="E29" i="60"/>
  <c r="B768" i="34"/>
  <c r="A768" i="34" s="1"/>
  <c r="B769" i="34"/>
  <c r="A769" i="34" s="1"/>
  <c r="B770" i="34"/>
  <c r="A770" i="34" s="1"/>
  <c r="B771" i="34"/>
  <c r="A771" i="34" s="1"/>
  <c r="B772" i="34"/>
  <c r="A772" i="34" s="1"/>
  <c r="B732" i="34"/>
  <c r="A732" i="34" s="1"/>
  <c r="B733" i="34"/>
  <c r="A733" i="34" s="1"/>
  <c r="Q769" i="34" l="1"/>
  <c r="R769" i="34"/>
  <c r="S769" i="34"/>
  <c r="S2103" i="34"/>
  <c r="Q2103" i="34"/>
  <c r="R2103" i="34"/>
  <c r="Q2132" i="34"/>
  <c r="R2132" i="34"/>
  <c r="S2132" i="34"/>
  <c r="R772" i="34"/>
  <c r="S772" i="34"/>
  <c r="Q772" i="34"/>
  <c r="R768" i="34"/>
  <c r="S768" i="34"/>
  <c r="Q768" i="34"/>
  <c r="Q2182" i="34"/>
  <c r="R2182" i="34"/>
  <c r="S2182" i="34"/>
  <c r="Q2102" i="34"/>
  <c r="R2102" i="34"/>
  <c r="S2102" i="34"/>
  <c r="S2117" i="34"/>
  <c r="Q2117" i="34"/>
  <c r="R2117" i="34"/>
  <c r="S5083" i="34"/>
  <c r="Q5083" i="34"/>
  <c r="R5083" i="34"/>
  <c r="S5211" i="34"/>
  <c r="Q5211" i="34"/>
  <c r="R5211" i="34"/>
  <c r="Q5428" i="34"/>
  <c r="R5428" i="34"/>
  <c r="S5428" i="34"/>
  <c r="S5085" i="34"/>
  <c r="Q5085" i="34"/>
  <c r="R5085" i="34"/>
  <c r="S2051" i="34"/>
  <c r="Q2051" i="34"/>
  <c r="R2051" i="34"/>
  <c r="S2047" i="34"/>
  <c r="Q2047" i="34"/>
  <c r="R2047" i="34"/>
  <c r="S2043" i="34"/>
  <c r="Q2043" i="34"/>
  <c r="R2043" i="34"/>
  <c r="S2039" i="34"/>
  <c r="Q2039" i="34"/>
  <c r="R2039" i="34"/>
  <c r="Q755" i="34"/>
  <c r="R755" i="34"/>
  <c r="S755" i="34"/>
  <c r="Q757" i="34"/>
  <c r="R757" i="34"/>
  <c r="S757" i="34"/>
  <c r="R5534" i="34"/>
  <c r="S5534" i="34"/>
  <c r="Q5534" i="34"/>
  <c r="R5518" i="34"/>
  <c r="S5518" i="34"/>
  <c r="Q5518" i="34"/>
  <c r="S5343" i="34"/>
  <c r="Q5343" i="34"/>
  <c r="R5343" i="34"/>
  <c r="S5366" i="34"/>
  <c r="Q5366" i="34"/>
  <c r="R5366" i="34"/>
  <c r="S5370" i="34"/>
  <c r="Q5370" i="34"/>
  <c r="R5370" i="34"/>
  <c r="S5398" i="34"/>
  <c r="Q5398" i="34"/>
  <c r="R5398" i="34"/>
  <c r="R732" i="34"/>
  <c r="S732" i="34"/>
  <c r="Q732" i="34"/>
  <c r="Q771" i="34"/>
  <c r="R771" i="34"/>
  <c r="S771" i="34"/>
  <c r="S2183" i="34"/>
  <c r="Q2183" i="34"/>
  <c r="R2183" i="34"/>
  <c r="S2095" i="34"/>
  <c r="Q2095" i="34"/>
  <c r="R2095" i="34"/>
  <c r="Q2116" i="34"/>
  <c r="R2116" i="34"/>
  <c r="S2116" i="34"/>
  <c r="S2129" i="34"/>
  <c r="Q2129" i="34"/>
  <c r="R2129" i="34"/>
  <c r="Q5253" i="34"/>
  <c r="R5253" i="34"/>
  <c r="S5253" i="34"/>
  <c r="Q5424" i="34"/>
  <c r="R5424" i="34"/>
  <c r="S5424" i="34"/>
  <c r="Q5422" i="34"/>
  <c r="R5422" i="34"/>
  <c r="S5422" i="34"/>
  <c r="Q5084" i="34"/>
  <c r="R5084" i="34"/>
  <c r="S5084" i="34"/>
  <c r="Q2050" i="34"/>
  <c r="R2050" i="34"/>
  <c r="S2050" i="34"/>
  <c r="Q2046" i="34"/>
  <c r="R2046" i="34"/>
  <c r="S2046" i="34"/>
  <c r="Q2042" i="34"/>
  <c r="R2042" i="34"/>
  <c r="S2042" i="34"/>
  <c r="Q2038" i="34"/>
  <c r="R2038" i="34"/>
  <c r="S2038" i="34"/>
  <c r="R5533" i="34"/>
  <c r="Q5533" i="34"/>
  <c r="S5533" i="34"/>
  <c r="R5551" i="34"/>
  <c r="Q5551" i="34"/>
  <c r="S5551" i="34"/>
  <c r="Q5344" i="34"/>
  <c r="R5344" i="34"/>
  <c r="S5344" i="34"/>
  <c r="Q5367" i="34"/>
  <c r="R5367" i="34"/>
  <c r="S5367" i="34"/>
  <c r="Q5371" i="34"/>
  <c r="R5371" i="34"/>
  <c r="S5371" i="34"/>
  <c r="S5320" i="34"/>
  <c r="Q5320" i="34"/>
  <c r="R5320" i="34"/>
  <c r="S5130" i="34"/>
  <c r="Q5130" i="34"/>
  <c r="R5130" i="34"/>
  <c r="Q733" i="34"/>
  <c r="R733" i="34"/>
  <c r="S733" i="34"/>
  <c r="R770" i="34"/>
  <c r="S770" i="34"/>
  <c r="Q770" i="34"/>
  <c r="S5275" i="34"/>
  <c r="Q5275" i="34"/>
  <c r="R5275" i="34"/>
  <c r="Q2094" i="34"/>
  <c r="R2094" i="34"/>
  <c r="S2094" i="34"/>
  <c r="S2101" i="34"/>
  <c r="Q2101" i="34"/>
  <c r="R2101" i="34"/>
  <c r="Q2128" i="34"/>
  <c r="R2128" i="34"/>
  <c r="S2128" i="34"/>
  <c r="S2133" i="34"/>
  <c r="Q2133" i="34"/>
  <c r="R2133" i="34"/>
  <c r="Q5137" i="34"/>
  <c r="R5137" i="34"/>
  <c r="S5137" i="34"/>
  <c r="R5427" i="34"/>
  <c r="S5427" i="34"/>
  <c r="Q5427" i="34"/>
  <c r="R774" i="34"/>
  <c r="S774" i="34"/>
  <c r="Q774" i="34"/>
  <c r="S2049" i="34"/>
  <c r="Q2049" i="34"/>
  <c r="R2049" i="34"/>
  <c r="S2045" i="34"/>
  <c r="Q2045" i="34"/>
  <c r="R2045" i="34"/>
  <c r="S2041" i="34"/>
  <c r="Q2041" i="34"/>
  <c r="R2041" i="34"/>
  <c r="S2037" i="34"/>
  <c r="Q2037" i="34"/>
  <c r="R2037" i="34"/>
  <c r="R756" i="34"/>
  <c r="S756" i="34"/>
  <c r="Q756" i="34"/>
  <c r="R5536" i="34"/>
  <c r="Q5536" i="34"/>
  <c r="S5536" i="34"/>
  <c r="R5520" i="34"/>
  <c r="Q5520" i="34"/>
  <c r="S5520" i="34"/>
  <c r="R5540" i="34"/>
  <c r="S5540" i="34"/>
  <c r="Q5540" i="34"/>
  <c r="S5346" i="34"/>
  <c r="Q5346" i="34"/>
  <c r="R5346" i="34"/>
  <c r="S5368" i="34"/>
  <c r="Q5368" i="34"/>
  <c r="R5368" i="34"/>
  <c r="S5372" i="34"/>
  <c r="Q5372" i="34"/>
  <c r="R5372" i="34"/>
  <c r="Q5434" i="34"/>
  <c r="R5434" i="34"/>
  <c r="S5434" i="34"/>
  <c r="Q5276" i="34"/>
  <c r="R5276" i="34"/>
  <c r="S5276" i="34"/>
  <c r="Q2100" i="34"/>
  <c r="R2100" i="34"/>
  <c r="S2100" i="34"/>
  <c r="Q5169" i="34"/>
  <c r="R5169" i="34"/>
  <c r="S5169" i="34"/>
  <c r="S5425" i="34"/>
  <c r="Q5425" i="34"/>
  <c r="R5425" i="34"/>
  <c r="S5423" i="34"/>
  <c r="Q5423" i="34"/>
  <c r="R5423" i="34"/>
  <c r="Q773" i="34"/>
  <c r="R773" i="34"/>
  <c r="S773" i="34"/>
  <c r="Q2048" i="34"/>
  <c r="R2048" i="34"/>
  <c r="S2048" i="34"/>
  <c r="Q2044" i="34"/>
  <c r="R2044" i="34"/>
  <c r="S2044" i="34"/>
  <c r="Q2040" i="34"/>
  <c r="R2040" i="34"/>
  <c r="S2040" i="34"/>
  <c r="Q2036" i="34"/>
  <c r="R2036" i="34"/>
  <c r="S2036" i="34"/>
  <c r="R5535" i="34"/>
  <c r="Q5535" i="34"/>
  <c r="S5535" i="34"/>
  <c r="R5519" i="34"/>
  <c r="Q5519" i="34"/>
  <c r="S5519" i="34"/>
  <c r="R5539" i="34"/>
  <c r="Q5539" i="34"/>
  <c r="S5539" i="34"/>
  <c r="Q5365" i="34"/>
  <c r="R5365" i="34"/>
  <c r="S5365" i="34"/>
  <c r="Q5369" i="34"/>
  <c r="R5369" i="34"/>
  <c r="S5369" i="34"/>
  <c r="Q5397" i="34"/>
  <c r="R5397" i="34"/>
  <c r="S5397" i="34"/>
  <c r="S5435" i="34"/>
  <c r="Q5435" i="34"/>
  <c r="R5435" i="34"/>
  <c r="B2035" i="34"/>
  <c r="A2035" i="34" s="1"/>
  <c r="B745" i="34"/>
  <c r="A745" i="34" s="1"/>
  <c r="B744" i="34"/>
  <c r="A744" i="34" s="1"/>
  <c r="B743" i="34"/>
  <c r="A743" i="34" s="1"/>
  <c r="B742" i="34"/>
  <c r="A742" i="34" s="1"/>
  <c r="B741" i="34"/>
  <c r="A741" i="34" s="1"/>
  <c r="B740" i="34"/>
  <c r="A740" i="34" s="1"/>
  <c r="B1895" i="34"/>
  <c r="A1895" i="34" s="1"/>
  <c r="B1924" i="34"/>
  <c r="A1924" i="34" s="1"/>
  <c r="B1928" i="34"/>
  <c r="A1928" i="34" s="1"/>
  <c r="B1930" i="34"/>
  <c r="A1930" i="34" s="1"/>
  <c r="B1934" i="34"/>
  <c r="A1934" i="34" s="1"/>
  <c r="B1938" i="34"/>
  <c r="A1938" i="34" s="1"/>
  <c r="B2080" i="34"/>
  <c r="A2080" i="34" s="1"/>
  <c r="B2082" i="34"/>
  <c r="A2082" i="34" s="1"/>
  <c r="B2032" i="34"/>
  <c r="A2032" i="34" s="1"/>
  <c r="B2033" i="34"/>
  <c r="A2033" i="34" s="1"/>
  <c r="E2033" i="34"/>
  <c r="B2034" i="34"/>
  <c r="A2034" i="34" s="1"/>
  <c r="E2034" i="34"/>
  <c r="E2032" i="34"/>
  <c r="M5306" i="34"/>
  <c r="B5376" i="34"/>
  <c r="A5376" i="34" s="1"/>
  <c r="B5377" i="34"/>
  <c r="A5377" i="34" s="1"/>
  <c r="B5378" i="34"/>
  <c r="A5378" i="34" s="1"/>
  <c r="B5379" i="34"/>
  <c r="A5379" i="34" s="1"/>
  <c r="B5380" i="34"/>
  <c r="A5380" i="34" s="1"/>
  <c r="B5414" i="34"/>
  <c r="A5414" i="34" s="1"/>
  <c r="B5415" i="34"/>
  <c r="A5415" i="34" s="1"/>
  <c r="B5416" i="34"/>
  <c r="A5416" i="34" s="1"/>
  <c r="B5417" i="34"/>
  <c r="A5417" i="34" s="1"/>
  <c r="B3267" i="34"/>
  <c r="A3267" i="34" s="1"/>
  <c r="E3267" i="34"/>
  <c r="B3266" i="34"/>
  <c r="A3266" i="34" s="1"/>
  <c r="E3266" i="34"/>
  <c r="B3265" i="34"/>
  <c r="A3265" i="34" s="1"/>
  <c r="E3265" i="34"/>
  <c r="B3264" i="34"/>
  <c r="A3264" i="34" s="1"/>
  <c r="E3264" i="34"/>
  <c r="B3263" i="34"/>
  <c r="A3263" i="34" s="1"/>
  <c r="E3263" i="34"/>
  <c r="E3262" i="34"/>
  <c r="B3262" i="34"/>
  <c r="A3262" i="34" s="1"/>
  <c r="E3261" i="34"/>
  <c r="B3261" i="34"/>
  <c r="A3261" i="34" s="1"/>
  <c r="E3260" i="34"/>
  <c r="B3260" i="34"/>
  <c r="A3260" i="34" s="1"/>
  <c r="E3259" i="34"/>
  <c r="B3259" i="34"/>
  <c r="A3259" i="34" s="1"/>
  <c r="E3256" i="34"/>
  <c r="B3256" i="34"/>
  <c r="A3256" i="34" s="1"/>
  <c r="B5364" i="34"/>
  <c r="A5364" i="34" s="1"/>
  <c r="B5363" i="34"/>
  <c r="A5363" i="34" s="1"/>
  <c r="B5362" i="34"/>
  <c r="A5362" i="34" s="1"/>
  <c r="B5361" i="34"/>
  <c r="A5361" i="34" s="1"/>
  <c r="B5341" i="34"/>
  <c r="A5341" i="34" s="1"/>
  <c r="B5330" i="34"/>
  <c r="A5330" i="34" s="1"/>
  <c r="B5329" i="34"/>
  <c r="A5329" i="34" s="1"/>
  <c r="B5328" i="34"/>
  <c r="A5328" i="34" s="1"/>
  <c r="B5327" i="34"/>
  <c r="A5327" i="34" s="1"/>
  <c r="B5326" i="34"/>
  <c r="A5326" i="34" s="1"/>
  <c r="B5325" i="34"/>
  <c r="A5325" i="34" s="1"/>
  <c r="B5321" i="34"/>
  <c r="A5321" i="34" s="1"/>
  <c r="B5319" i="34"/>
  <c r="A5319" i="34" s="1"/>
  <c r="B5318" i="34"/>
  <c r="A5318" i="34" s="1"/>
  <c r="B5317" i="34"/>
  <c r="A5317" i="34" s="1"/>
  <c r="B5316" i="34"/>
  <c r="A5316" i="34" s="1"/>
  <c r="B5315" i="34"/>
  <c r="A5315" i="34" s="1"/>
  <c r="B5314" i="34"/>
  <c r="A5314" i="34" s="1"/>
  <c r="B5313" i="34"/>
  <c r="A5313" i="34" s="1"/>
  <c r="B5308" i="34"/>
  <c r="A5308" i="34" s="1"/>
  <c r="B5307" i="34"/>
  <c r="A5307" i="34" s="1"/>
  <c r="B5306" i="34"/>
  <c r="A5306" i="34" s="1"/>
  <c r="B5305" i="34"/>
  <c r="A5305" i="34" s="1"/>
  <c r="B5291" i="34"/>
  <c r="A5291" i="34" s="1"/>
  <c r="B5290" i="34"/>
  <c r="A5290" i="34" s="1"/>
  <c r="B5289" i="34"/>
  <c r="A5289" i="34" s="1"/>
  <c r="B5288" i="34"/>
  <c r="A5288" i="34" s="1"/>
  <c r="B5287" i="34"/>
  <c r="A5287" i="34" s="1"/>
  <c r="B5286" i="34"/>
  <c r="A5286" i="34" s="1"/>
  <c r="B5283" i="34"/>
  <c r="A5283" i="34" s="1"/>
  <c r="B3255" i="34"/>
  <c r="A3255" i="34" s="1"/>
  <c r="B3254" i="34"/>
  <c r="A3254" i="34" s="1"/>
  <c r="B3253" i="34"/>
  <c r="A3253" i="34" s="1"/>
  <c r="B3252" i="34"/>
  <c r="A3252" i="34" s="1"/>
  <c r="B3251" i="34"/>
  <c r="A3251" i="34" s="1"/>
  <c r="B3250" i="34"/>
  <c r="A3250" i="34" s="1"/>
  <c r="B3249" i="34"/>
  <c r="A3249" i="34" s="1"/>
  <c r="B3248" i="34"/>
  <c r="A3248" i="34" s="1"/>
  <c r="B3247" i="34"/>
  <c r="A3247" i="34" s="1"/>
  <c r="B3244" i="34"/>
  <c r="A3244" i="34" s="1"/>
  <c r="B3243" i="34"/>
  <c r="A3243" i="34" s="1"/>
  <c r="B3242" i="34"/>
  <c r="A3242" i="34" s="1"/>
  <c r="B3241" i="34"/>
  <c r="A3241" i="34" s="1"/>
  <c r="B3240" i="34"/>
  <c r="A3240" i="34" s="1"/>
  <c r="B3239" i="34"/>
  <c r="A3239" i="34" s="1"/>
  <c r="B3238" i="34"/>
  <c r="A3238" i="34" s="1"/>
  <c r="B3237" i="34"/>
  <c r="A3237" i="34" s="1"/>
  <c r="B3236" i="34"/>
  <c r="A3236" i="34" s="1"/>
  <c r="B3235" i="34"/>
  <c r="A3235" i="34" s="1"/>
  <c r="B3234" i="34"/>
  <c r="A3234" i="34" s="1"/>
  <c r="B3233" i="34"/>
  <c r="A3233" i="34" s="1"/>
  <c r="B3232" i="34"/>
  <c r="A3232" i="34" s="1"/>
  <c r="B3231" i="34"/>
  <c r="A3231" i="34" s="1"/>
  <c r="B3230" i="34"/>
  <c r="A3230" i="34" s="1"/>
  <c r="B3229" i="34"/>
  <c r="A3229" i="34" s="1"/>
  <c r="B3227" i="34"/>
  <c r="A3227" i="34" s="1"/>
  <c r="B3226" i="34"/>
  <c r="A3226" i="34" s="1"/>
  <c r="B3225" i="34"/>
  <c r="A3225" i="34" s="1"/>
  <c r="B3224" i="34"/>
  <c r="A3224" i="34" s="1"/>
  <c r="B3221" i="34"/>
  <c r="A3221" i="34" s="1"/>
  <c r="B5390" i="34"/>
  <c r="A5390" i="34" s="1"/>
  <c r="B5389" i="34"/>
  <c r="A5389" i="34" s="1"/>
  <c r="B5388" i="34"/>
  <c r="A5388" i="34" s="1"/>
  <c r="B5387" i="34"/>
  <c r="A5387" i="34" s="1"/>
  <c r="B5375" i="34"/>
  <c r="A5375" i="34" s="1"/>
  <c r="B5358" i="34"/>
  <c r="A5358" i="34" s="1"/>
  <c r="B5357" i="34"/>
  <c r="A5357" i="34" s="1"/>
  <c r="B5356" i="34"/>
  <c r="A5356" i="34" s="1"/>
  <c r="B5355" i="34"/>
  <c r="A5355" i="34" s="1"/>
  <c r="B5354" i="34"/>
  <c r="A5354" i="34" s="1"/>
  <c r="B5353" i="34"/>
  <c r="A5353" i="34" s="1"/>
  <c r="B5352" i="34"/>
  <c r="A5352" i="34" s="1"/>
  <c r="B5351" i="34"/>
  <c r="A5351" i="34" s="1"/>
  <c r="B5350" i="34"/>
  <c r="A5350" i="34" s="1"/>
  <c r="B5349" i="34"/>
  <c r="A5349" i="34" s="1"/>
  <c r="B5348" i="34"/>
  <c r="A5348" i="34" s="1"/>
  <c r="B5347" i="34"/>
  <c r="A5347" i="34" s="1"/>
  <c r="B5345" i="34"/>
  <c r="A5345" i="34" s="1"/>
  <c r="B5342" i="34"/>
  <c r="A5342" i="34" s="1"/>
  <c r="B5304" i="34"/>
  <c r="A5304" i="34" s="1"/>
  <c r="B5303" i="34"/>
  <c r="A5303" i="34" s="1"/>
  <c r="B5383" i="34"/>
  <c r="A5383" i="34" s="1"/>
  <c r="B5373" i="34"/>
  <c r="A5373" i="34" s="1"/>
  <c r="B2202" i="34"/>
  <c r="A2202" i="34" s="1"/>
  <c r="B2201" i="34"/>
  <c r="A2201" i="34" s="1"/>
  <c r="B2181" i="34"/>
  <c r="A2181" i="34" s="1"/>
  <c r="B2180" i="34"/>
  <c r="A2180" i="34" s="1"/>
  <c r="B2179" i="34"/>
  <c r="A2179" i="34" s="1"/>
  <c r="B2178" i="34"/>
  <c r="A2178" i="34" s="1"/>
  <c r="B2177" i="34"/>
  <c r="A2177" i="34" s="1"/>
  <c r="B2176" i="34"/>
  <c r="A2176" i="34" s="1"/>
  <c r="B2175" i="34"/>
  <c r="A2175" i="34" s="1"/>
  <c r="B2174" i="34"/>
  <c r="A2174" i="34" s="1"/>
  <c r="B2173" i="34"/>
  <c r="A2173" i="34" s="1"/>
  <c r="B754" i="34"/>
  <c r="A754" i="34" s="1"/>
  <c r="B753" i="34"/>
  <c r="A753" i="34" s="1"/>
  <c r="B752" i="34"/>
  <c r="A752" i="34" s="1"/>
  <c r="B257" i="34"/>
  <c r="A257" i="34" s="1"/>
  <c r="B4938" i="34"/>
  <c r="A4938" i="34" s="1"/>
  <c r="B4937" i="34"/>
  <c r="A4937" i="34" s="1"/>
  <c r="B5027" i="34"/>
  <c r="A5027" i="34" s="1"/>
  <c r="B5026" i="34"/>
  <c r="A5026" i="34" s="1"/>
  <c r="B5274" i="34"/>
  <c r="A5274" i="34" s="1"/>
  <c r="B5273" i="34"/>
  <c r="A5273" i="34" s="1"/>
  <c r="B4904" i="34"/>
  <c r="A4904" i="34" s="1"/>
  <c r="B4903" i="34"/>
  <c r="A4903" i="34" s="1"/>
  <c r="B5008" i="34"/>
  <c r="A5008" i="34" s="1"/>
  <c r="B5007" i="34"/>
  <c r="A5007" i="34" s="1"/>
  <c r="B5016" i="34"/>
  <c r="A5016" i="34" s="1"/>
  <c r="B5017" i="34"/>
  <c r="A5017" i="34" s="1"/>
  <c r="B4877" i="34"/>
  <c r="A4877" i="34" s="1"/>
  <c r="B4876" i="34"/>
  <c r="A4876" i="34" s="1"/>
  <c r="B4762" i="34"/>
  <c r="A4762" i="34" s="1"/>
  <c r="B4761" i="34"/>
  <c r="A4761" i="34" s="1"/>
  <c r="B5015" i="34"/>
  <c r="A5015" i="34" s="1"/>
  <c r="B5014" i="34"/>
  <c r="A5014" i="34" s="1"/>
  <c r="B4687" i="34"/>
  <c r="A4687" i="34" s="1"/>
  <c r="B4686" i="34"/>
  <c r="A4686" i="34" s="1"/>
  <c r="B4875" i="34"/>
  <c r="A4875" i="34" s="1"/>
  <c r="B4874" i="34"/>
  <c r="A4874" i="34" s="1"/>
  <c r="B4936" i="34"/>
  <c r="A4936" i="34" s="1"/>
  <c r="B4935" i="34"/>
  <c r="A4935" i="34" s="1"/>
  <c r="B5006" i="34"/>
  <c r="A5006" i="34" s="1"/>
  <c r="B5005" i="34"/>
  <c r="A5005" i="34" s="1"/>
  <c r="B4809" i="34"/>
  <c r="A4809" i="34" s="1"/>
  <c r="B4808" i="34"/>
  <c r="A4808" i="34" s="1"/>
  <c r="A7" i="12"/>
  <c r="B5155" i="34"/>
  <c r="A5155" i="34" s="1"/>
  <c r="B5120" i="34"/>
  <c r="A5120" i="34" s="1"/>
  <c r="B4963" i="34"/>
  <c r="A4963" i="34" s="1"/>
  <c r="B2096" i="34"/>
  <c r="A2096" i="34" s="1"/>
  <c r="B2097" i="34"/>
  <c r="A2097" i="34" s="1"/>
  <c r="E2097" i="34"/>
  <c r="M2096" i="34"/>
  <c r="E2096" i="34"/>
  <c r="B2114" i="34"/>
  <c r="A2114" i="34" s="1"/>
  <c r="B2115" i="34"/>
  <c r="A2115" i="34" s="1"/>
  <c r="E2115" i="34"/>
  <c r="M2114" i="34"/>
  <c r="E2114" i="34"/>
  <c r="E1931" i="34"/>
  <c r="B1931" i="34"/>
  <c r="A1931" i="34" s="1"/>
  <c r="M1930" i="34"/>
  <c r="E1930" i="34"/>
  <c r="B2013" i="34"/>
  <c r="A2013" i="34" s="1"/>
  <c r="E2013" i="34"/>
  <c r="K2013" i="34"/>
  <c r="M2013" i="34" s="1"/>
  <c r="B2015" i="34"/>
  <c r="A2015" i="34" s="1"/>
  <c r="E2015" i="34"/>
  <c r="K2015" i="34"/>
  <c r="M2015" i="34" s="1"/>
  <c r="B5278" i="34"/>
  <c r="A5278" i="34" s="1"/>
  <c r="B5277" i="34"/>
  <c r="A5277" i="34" s="1"/>
  <c r="E3234" i="34"/>
  <c r="S2013" i="34" l="1"/>
  <c r="Q2013" i="34"/>
  <c r="R2013" i="34"/>
  <c r="S2115" i="34"/>
  <c r="Q2115" i="34"/>
  <c r="R2115" i="34"/>
  <c r="S4936" i="34"/>
  <c r="Q4936" i="34"/>
  <c r="R4936" i="34"/>
  <c r="S4877" i="34"/>
  <c r="Q4877" i="34"/>
  <c r="R4877" i="34"/>
  <c r="S2175" i="34"/>
  <c r="Q2175" i="34"/>
  <c r="R2175" i="34"/>
  <c r="Q2202" i="34"/>
  <c r="R2202" i="34"/>
  <c r="S2202" i="34"/>
  <c r="S5348" i="34"/>
  <c r="Q5348" i="34"/>
  <c r="R5348" i="34"/>
  <c r="S5356" i="34"/>
  <c r="Q5356" i="34"/>
  <c r="R5356" i="34"/>
  <c r="R3240" i="34"/>
  <c r="Q3240" i="34"/>
  <c r="S3240" i="34"/>
  <c r="S5277" i="34"/>
  <c r="Q5277" i="34"/>
  <c r="R5277" i="34"/>
  <c r="S2015" i="34"/>
  <c r="Q2015" i="34"/>
  <c r="R2015" i="34"/>
  <c r="Q2114" i="34"/>
  <c r="R2114" i="34"/>
  <c r="S2114" i="34"/>
  <c r="S2097" i="34"/>
  <c r="Q2097" i="34"/>
  <c r="R2097" i="34"/>
  <c r="S5155" i="34"/>
  <c r="Q5155" i="34"/>
  <c r="R5155" i="34"/>
  <c r="S5005" i="34"/>
  <c r="Q5005" i="34"/>
  <c r="R5005" i="34"/>
  <c r="S4686" i="34"/>
  <c r="Q4686" i="34"/>
  <c r="R4686" i="34"/>
  <c r="Q4761" i="34"/>
  <c r="R4761" i="34"/>
  <c r="S4761" i="34"/>
  <c r="Q5017" i="34"/>
  <c r="R5017" i="34"/>
  <c r="S5017" i="34"/>
  <c r="Q4903" i="34"/>
  <c r="R4903" i="34"/>
  <c r="S4903" i="34"/>
  <c r="S5273" i="34"/>
  <c r="Q5273" i="34"/>
  <c r="R5273" i="34"/>
  <c r="Q4937" i="34"/>
  <c r="R4937" i="34"/>
  <c r="S4937" i="34"/>
  <c r="R754" i="34"/>
  <c r="S754" i="34"/>
  <c r="Q754" i="34"/>
  <c r="Q2176" i="34"/>
  <c r="R2176" i="34"/>
  <c r="S2176" i="34"/>
  <c r="Q2180" i="34"/>
  <c r="R2180" i="34"/>
  <c r="S2180" i="34"/>
  <c r="Q5373" i="34"/>
  <c r="R5373" i="34"/>
  <c r="S5373" i="34"/>
  <c r="Q5342" i="34"/>
  <c r="R5342" i="34"/>
  <c r="S5342" i="34"/>
  <c r="Q5349" i="34"/>
  <c r="R5349" i="34"/>
  <c r="S5349" i="34"/>
  <c r="Q5353" i="34"/>
  <c r="R5353" i="34"/>
  <c r="S5353" i="34"/>
  <c r="Q5357" i="34"/>
  <c r="R5357" i="34"/>
  <c r="S5357" i="34"/>
  <c r="Q5388" i="34"/>
  <c r="R5388" i="34"/>
  <c r="S5388" i="34"/>
  <c r="R3224" i="34"/>
  <c r="Q3224" i="34"/>
  <c r="S3224" i="34"/>
  <c r="R3229" i="34"/>
  <c r="Q3229" i="34"/>
  <c r="S3229" i="34"/>
  <c r="R3233" i="34"/>
  <c r="Q3233" i="34"/>
  <c r="S3233" i="34"/>
  <c r="R3237" i="34"/>
  <c r="Q3237" i="34"/>
  <c r="S3237" i="34"/>
  <c r="R3241" i="34"/>
  <c r="Q3241" i="34"/>
  <c r="S3241" i="34"/>
  <c r="R3247" i="34"/>
  <c r="Q3247" i="34"/>
  <c r="S3247" i="34"/>
  <c r="R3251" i="34"/>
  <c r="Q3251" i="34"/>
  <c r="S3251" i="34"/>
  <c r="R3255" i="34"/>
  <c r="Q3255" i="34"/>
  <c r="S3255" i="34"/>
  <c r="R5288" i="34"/>
  <c r="S5288" i="34"/>
  <c r="Q5288" i="34"/>
  <c r="R5305" i="34"/>
  <c r="S5305" i="34"/>
  <c r="Q5305" i="34"/>
  <c r="R5313" i="34"/>
  <c r="S5313" i="34"/>
  <c r="Q5313" i="34"/>
  <c r="R5317" i="34"/>
  <c r="S5317" i="34"/>
  <c r="Q5317" i="34"/>
  <c r="R5325" i="34"/>
  <c r="S5325" i="34"/>
  <c r="Q5325" i="34"/>
  <c r="R5329" i="34"/>
  <c r="S5329" i="34"/>
  <c r="Q5329" i="34"/>
  <c r="R5362" i="34"/>
  <c r="S5362" i="34"/>
  <c r="Q5362" i="34"/>
  <c r="R3264" i="34"/>
  <c r="Q3264" i="34"/>
  <c r="S3264" i="34"/>
  <c r="R3266" i="34"/>
  <c r="Q3266" i="34"/>
  <c r="S3266" i="34"/>
  <c r="Q5380" i="34"/>
  <c r="R5380" i="34"/>
  <c r="S5380" i="34"/>
  <c r="Q5376" i="34"/>
  <c r="R5376" i="34"/>
  <c r="S5376" i="34"/>
  <c r="Q2034" i="34"/>
  <c r="R2034" i="34"/>
  <c r="S2034" i="34"/>
  <c r="Q2082" i="34"/>
  <c r="R2082" i="34"/>
  <c r="S2082" i="34"/>
  <c r="R1930" i="34"/>
  <c r="S1930" i="34"/>
  <c r="Q1930" i="34"/>
  <c r="R740" i="34"/>
  <c r="S740" i="34"/>
  <c r="Q740" i="34"/>
  <c r="R744" i="34"/>
  <c r="S744" i="34"/>
  <c r="Q744" i="34"/>
  <c r="S4875" i="34"/>
  <c r="Q4875" i="34"/>
  <c r="R4875" i="34"/>
  <c r="Q5008" i="34"/>
  <c r="R5008" i="34"/>
  <c r="S5008" i="34"/>
  <c r="Q2096" i="34"/>
  <c r="R2096" i="34"/>
  <c r="S2096" i="34"/>
  <c r="Q5006" i="34"/>
  <c r="R5006" i="34"/>
  <c r="S5006" i="34"/>
  <c r="Q4687" i="34"/>
  <c r="R4687" i="34"/>
  <c r="S4687" i="34"/>
  <c r="Q257" i="34"/>
  <c r="R257" i="34"/>
  <c r="S257" i="34"/>
  <c r="S2173" i="34"/>
  <c r="Q2173" i="34"/>
  <c r="R2173" i="34"/>
  <c r="S2177" i="34"/>
  <c r="Q2177" i="34"/>
  <c r="R2177" i="34"/>
  <c r="S2181" i="34"/>
  <c r="Q2181" i="34"/>
  <c r="R2181" i="34"/>
  <c r="S5383" i="34"/>
  <c r="Q5383" i="34"/>
  <c r="R5383" i="34"/>
  <c r="S5345" i="34"/>
  <c r="Q5345" i="34"/>
  <c r="R5345" i="34"/>
  <c r="S5350" i="34"/>
  <c r="Q5350" i="34"/>
  <c r="R5350" i="34"/>
  <c r="S5354" i="34"/>
  <c r="Q5354" i="34"/>
  <c r="R5354" i="34"/>
  <c r="S5358" i="34"/>
  <c r="Q5358" i="34"/>
  <c r="R5358" i="34"/>
  <c r="S5389" i="34"/>
  <c r="Q5389" i="34"/>
  <c r="R5389" i="34"/>
  <c r="R3225" i="34"/>
  <c r="Q3225" i="34"/>
  <c r="S3225" i="34"/>
  <c r="R3230" i="34"/>
  <c r="Q3230" i="34"/>
  <c r="S3230" i="34"/>
  <c r="R3234" i="34"/>
  <c r="Q3234" i="34"/>
  <c r="S3234" i="34"/>
  <c r="R3238" i="34"/>
  <c r="Q3238" i="34"/>
  <c r="S3238" i="34"/>
  <c r="R3242" i="34"/>
  <c r="Q3242" i="34"/>
  <c r="S3242" i="34"/>
  <c r="R3248" i="34"/>
  <c r="Q3248" i="34"/>
  <c r="S3248" i="34"/>
  <c r="R3252" i="34"/>
  <c r="Q3252" i="34"/>
  <c r="S3252" i="34"/>
  <c r="Q5283" i="34"/>
  <c r="R5283" i="34"/>
  <c r="S5283" i="34"/>
  <c r="Q5289" i="34"/>
  <c r="R5289" i="34"/>
  <c r="S5289" i="34"/>
  <c r="Q5306" i="34"/>
  <c r="R5306" i="34"/>
  <c r="S5306" i="34"/>
  <c r="Q5314" i="34"/>
  <c r="R5314" i="34"/>
  <c r="S5314" i="34"/>
  <c r="Q5318" i="34"/>
  <c r="R5318" i="34"/>
  <c r="S5318" i="34"/>
  <c r="Q5326" i="34"/>
  <c r="R5326" i="34"/>
  <c r="S5326" i="34"/>
  <c r="Q5330" i="34"/>
  <c r="R5330" i="34"/>
  <c r="S5330" i="34"/>
  <c r="Q5363" i="34"/>
  <c r="R5363" i="34"/>
  <c r="S5363" i="34"/>
  <c r="R3259" i="34"/>
  <c r="Q3259" i="34"/>
  <c r="S3259" i="34"/>
  <c r="R3261" i="34"/>
  <c r="Q3261" i="34"/>
  <c r="S3261" i="34"/>
  <c r="R5416" i="34"/>
  <c r="S5416" i="34"/>
  <c r="Q5416" i="34"/>
  <c r="R5379" i="34"/>
  <c r="S5379" i="34"/>
  <c r="Q5379" i="34"/>
  <c r="Q2080" i="34"/>
  <c r="R2080" i="34"/>
  <c r="S2080" i="34"/>
  <c r="Q1928" i="34"/>
  <c r="R1928" i="34"/>
  <c r="S1928" i="34"/>
  <c r="Q741" i="34"/>
  <c r="R741" i="34"/>
  <c r="S741" i="34"/>
  <c r="Q745" i="34"/>
  <c r="R745" i="34"/>
  <c r="S745" i="34"/>
  <c r="Q5120" i="34"/>
  <c r="R5120" i="34"/>
  <c r="S5120" i="34"/>
  <c r="Q5015" i="34"/>
  <c r="R5015" i="34"/>
  <c r="S5015" i="34"/>
  <c r="Q5027" i="34"/>
  <c r="R5027" i="34"/>
  <c r="S5027" i="34"/>
  <c r="Q5278" i="34"/>
  <c r="R5278" i="34"/>
  <c r="S5278" i="34"/>
  <c r="S4762" i="34"/>
  <c r="Q4762" i="34"/>
  <c r="R4762" i="34"/>
  <c r="S5016" i="34"/>
  <c r="Q5016" i="34"/>
  <c r="R5016" i="34"/>
  <c r="Q5274" i="34"/>
  <c r="R5274" i="34"/>
  <c r="S5274" i="34"/>
  <c r="Q1931" i="34"/>
  <c r="R1931" i="34"/>
  <c r="S1931" i="34"/>
  <c r="S4963" i="34"/>
  <c r="Q4963" i="34"/>
  <c r="R4963" i="34"/>
  <c r="Q4808" i="34"/>
  <c r="R4808" i="34"/>
  <c r="S4808" i="34"/>
  <c r="Q4935" i="34"/>
  <c r="R4935" i="34"/>
  <c r="S4935" i="34"/>
  <c r="Q4874" i="34"/>
  <c r="R4874" i="34"/>
  <c r="S4874" i="34"/>
  <c r="S5014" i="34"/>
  <c r="Q5014" i="34"/>
  <c r="R5014" i="34"/>
  <c r="Q4876" i="34"/>
  <c r="R4876" i="34"/>
  <c r="S4876" i="34"/>
  <c r="S5007" i="34"/>
  <c r="Q5007" i="34"/>
  <c r="R5007" i="34"/>
  <c r="S4904" i="34"/>
  <c r="Q4904" i="34"/>
  <c r="R4904" i="34"/>
  <c r="S5026" i="34"/>
  <c r="Q5026" i="34"/>
  <c r="R5026" i="34"/>
  <c r="S4938" i="34"/>
  <c r="Q4938" i="34"/>
  <c r="R4938" i="34"/>
  <c r="R752" i="34"/>
  <c r="S752" i="34"/>
  <c r="Q752" i="34"/>
  <c r="Q2174" i="34"/>
  <c r="R2174" i="34"/>
  <c r="S2174" i="34"/>
  <c r="Q2178" i="34"/>
  <c r="R2178" i="34"/>
  <c r="S2178" i="34"/>
  <c r="S2201" i="34"/>
  <c r="Q2201" i="34"/>
  <c r="R2201" i="34"/>
  <c r="Q5303" i="34"/>
  <c r="R5303" i="34"/>
  <c r="S5303" i="34"/>
  <c r="Q5347" i="34"/>
  <c r="R5347" i="34"/>
  <c r="S5347" i="34"/>
  <c r="Q5351" i="34"/>
  <c r="R5351" i="34"/>
  <c r="S5351" i="34"/>
  <c r="Q5355" i="34"/>
  <c r="R5355" i="34"/>
  <c r="S5355" i="34"/>
  <c r="Q5375" i="34"/>
  <c r="R5375" i="34"/>
  <c r="S5375" i="34"/>
  <c r="Q5390" i="34"/>
  <c r="R5390" i="34"/>
  <c r="S5390" i="34"/>
  <c r="R3226" i="34"/>
  <c r="Q3226" i="34"/>
  <c r="S3226" i="34"/>
  <c r="R3231" i="34"/>
  <c r="Q3231" i="34"/>
  <c r="S3231" i="34"/>
  <c r="R3235" i="34"/>
  <c r="Q3235" i="34"/>
  <c r="S3235" i="34"/>
  <c r="R3239" i="34"/>
  <c r="Q3239" i="34"/>
  <c r="S3239" i="34"/>
  <c r="R3243" i="34"/>
  <c r="Q3243" i="34"/>
  <c r="S3243" i="34"/>
  <c r="R3249" i="34"/>
  <c r="Q3249" i="34"/>
  <c r="S3249" i="34"/>
  <c r="R3253" i="34"/>
  <c r="Q3253" i="34"/>
  <c r="S3253" i="34"/>
  <c r="R5286" i="34"/>
  <c r="S5286" i="34"/>
  <c r="Q5286" i="34"/>
  <c r="R5290" i="34"/>
  <c r="S5290" i="34"/>
  <c r="Q5290" i="34"/>
  <c r="R5307" i="34"/>
  <c r="S5307" i="34"/>
  <c r="Q5307" i="34"/>
  <c r="R5315" i="34"/>
  <c r="S5315" i="34"/>
  <c r="Q5315" i="34"/>
  <c r="R5319" i="34"/>
  <c r="S5319" i="34"/>
  <c r="Q5319" i="34"/>
  <c r="R5327" i="34"/>
  <c r="S5327" i="34"/>
  <c r="Q5327" i="34"/>
  <c r="R5341" i="34"/>
  <c r="S5341" i="34"/>
  <c r="Q5341" i="34"/>
  <c r="R5364" i="34"/>
  <c r="S5364" i="34"/>
  <c r="Q5364" i="34"/>
  <c r="R3263" i="34"/>
  <c r="Q3263" i="34"/>
  <c r="S3263" i="34"/>
  <c r="R3265" i="34"/>
  <c r="Q3265" i="34"/>
  <c r="S3265" i="34"/>
  <c r="R3267" i="34"/>
  <c r="Q3267" i="34"/>
  <c r="S3267" i="34"/>
  <c r="Q5415" i="34"/>
  <c r="R5415" i="34"/>
  <c r="S5415" i="34"/>
  <c r="Q5378" i="34"/>
  <c r="R5378" i="34"/>
  <c r="S5378" i="34"/>
  <c r="S2033" i="34"/>
  <c r="Q2033" i="34"/>
  <c r="R2033" i="34"/>
  <c r="S1938" i="34"/>
  <c r="Q1938" i="34"/>
  <c r="R1938" i="34"/>
  <c r="Q1924" i="34"/>
  <c r="R1924" i="34"/>
  <c r="S1924" i="34"/>
  <c r="R742" i="34"/>
  <c r="S742" i="34"/>
  <c r="Q742" i="34"/>
  <c r="S2035" i="34"/>
  <c r="Q2035" i="34"/>
  <c r="R2035" i="34"/>
  <c r="S4809" i="34"/>
  <c r="Q4809" i="34"/>
  <c r="R4809" i="34"/>
  <c r="Q753" i="34"/>
  <c r="R753" i="34"/>
  <c r="S753" i="34"/>
  <c r="S2179" i="34"/>
  <c r="Q2179" i="34"/>
  <c r="R2179" i="34"/>
  <c r="S5304" i="34"/>
  <c r="Q5304" i="34"/>
  <c r="R5304" i="34"/>
  <c r="S5352" i="34"/>
  <c r="Q5352" i="34"/>
  <c r="R5352" i="34"/>
  <c r="S5387" i="34"/>
  <c r="Q5387" i="34"/>
  <c r="R5387" i="34"/>
  <c r="S3221" i="34"/>
  <c r="R3221" i="34"/>
  <c r="Q3221" i="34"/>
  <c r="R3227" i="34"/>
  <c r="Q3227" i="34"/>
  <c r="S3227" i="34"/>
  <c r="R3232" i="34"/>
  <c r="Q3232" i="34"/>
  <c r="S3232" i="34"/>
  <c r="R3236" i="34"/>
  <c r="Q3236" i="34"/>
  <c r="S3236" i="34"/>
  <c r="R3244" i="34"/>
  <c r="Q3244" i="34"/>
  <c r="S3244" i="34"/>
  <c r="R3250" i="34"/>
  <c r="Q3250" i="34"/>
  <c r="S3250" i="34"/>
  <c r="R3254" i="34"/>
  <c r="Q3254" i="34"/>
  <c r="S3254" i="34"/>
  <c r="Q5287" i="34"/>
  <c r="R5287" i="34"/>
  <c r="S5287" i="34"/>
  <c r="Q5291" i="34"/>
  <c r="R5291" i="34"/>
  <c r="S5291" i="34"/>
  <c r="Q5308" i="34"/>
  <c r="R5308" i="34"/>
  <c r="S5308" i="34"/>
  <c r="Q5316" i="34"/>
  <c r="R5316" i="34"/>
  <c r="S5316" i="34"/>
  <c r="Q5321" i="34"/>
  <c r="R5321" i="34"/>
  <c r="S5321" i="34"/>
  <c r="Q5328" i="34"/>
  <c r="R5328" i="34"/>
  <c r="S5328" i="34"/>
  <c r="Q5361" i="34"/>
  <c r="R5361" i="34"/>
  <c r="S5361" i="34"/>
  <c r="R3256" i="34"/>
  <c r="Q3256" i="34"/>
  <c r="S3256" i="34"/>
  <c r="R3260" i="34"/>
  <c r="Q3260" i="34"/>
  <c r="S3260" i="34"/>
  <c r="R3262" i="34"/>
  <c r="Q3262" i="34"/>
  <c r="S3262" i="34"/>
  <c r="Q5417" i="34"/>
  <c r="R5417" i="34"/>
  <c r="S5417" i="34"/>
  <c r="R5414" i="34"/>
  <c r="S5414" i="34"/>
  <c r="Q5414" i="34"/>
  <c r="R5377" i="34"/>
  <c r="S5377" i="34"/>
  <c r="Q5377" i="34"/>
  <c r="Q2032" i="34"/>
  <c r="R2032" i="34"/>
  <c r="S2032" i="34"/>
  <c r="S1934" i="34"/>
  <c r="Q1934" i="34"/>
  <c r="R1934" i="34"/>
  <c r="R1895" i="34"/>
  <c r="S1895" i="34"/>
  <c r="Q1895" i="34"/>
  <c r="Q743" i="34"/>
  <c r="R743" i="34"/>
  <c r="S743" i="34"/>
  <c r="F96" i="45" l="1"/>
  <c r="H96" i="45"/>
  <c r="E96" i="45"/>
  <c r="L5244" i="34"/>
  <c r="E2181" i="34"/>
  <c r="E2180" i="34"/>
  <c r="E754" i="34"/>
  <c r="E753" i="34"/>
  <c r="E752" i="34"/>
  <c r="E3227" i="34" l="1"/>
  <c r="E3249" i="34"/>
  <c r="E3248" i="34"/>
  <c r="E3225" i="34"/>
  <c r="E3226" i="34"/>
  <c r="E3255" i="34"/>
  <c r="E3254" i="34"/>
  <c r="E3253" i="34"/>
  <c r="E3252" i="34"/>
  <c r="E3251" i="34"/>
  <c r="E3250" i="34"/>
  <c r="E3247" i="34"/>
  <c r="E3244" i="34"/>
  <c r="E3243" i="34"/>
  <c r="E3242" i="34"/>
  <c r="E3241" i="34"/>
  <c r="E3240" i="34"/>
  <c r="E3239" i="34"/>
  <c r="E3238" i="34"/>
  <c r="E3237" i="34"/>
  <c r="E3236" i="34"/>
  <c r="E3235" i="34"/>
  <c r="E3233" i="34"/>
  <c r="E3232" i="34"/>
  <c r="E3231" i="34"/>
  <c r="E3230" i="34"/>
  <c r="E3229" i="34"/>
  <c r="E3224" i="34"/>
  <c r="E3221" i="34"/>
  <c r="B5271" i="34"/>
  <c r="A5271" i="34" s="1"/>
  <c r="A85" i="45"/>
  <c r="A86" i="45"/>
  <c r="A87" i="45"/>
  <c r="A88" i="45"/>
  <c r="A83" i="45"/>
  <c r="A39" i="12"/>
  <c r="M5305" i="34"/>
  <c r="M5286" i="34"/>
  <c r="A81" i="45"/>
  <c r="A82" i="45"/>
  <c r="A78" i="45"/>
  <c r="A79" i="45"/>
  <c r="A80" i="45"/>
  <c r="E3173" i="34"/>
  <c r="B3173" i="34"/>
  <c r="A3173" i="34" s="1"/>
  <c r="E3172" i="34"/>
  <c r="B3172" i="34"/>
  <c r="A3172" i="34" s="1"/>
  <c r="B3081" i="34"/>
  <c r="A3081" i="34" s="1"/>
  <c r="E3081" i="34"/>
  <c r="B3104" i="34"/>
  <c r="A3104" i="34" s="1"/>
  <c r="E3104" i="34"/>
  <c r="B3149" i="34"/>
  <c r="A3149" i="34" s="1"/>
  <c r="E3149" i="34"/>
  <c r="B3159" i="34"/>
  <c r="A3159" i="34" s="1"/>
  <c r="E3159" i="34"/>
  <c r="B3163" i="34"/>
  <c r="A3163" i="34" s="1"/>
  <c r="E3163" i="34"/>
  <c r="E2175" i="34"/>
  <c r="K2175" i="34"/>
  <c r="M2175" i="34" s="1"/>
  <c r="E2176" i="34"/>
  <c r="K2176" i="34"/>
  <c r="M2176" i="34" s="1"/>
  <c r="E2177" i="34"/>
  <c r="K2177" i="34"/>
  <c r="M2177" i="34" s="1"/>
  <c r="E2178" i="34"/>
  <c r="K2178" i="34"/>
  <c r="M2178" i="34" s="1"/>
  <c r="E2179" i="34"/>
  <c r="K2179" i="34"/>
  <c r="M2179" i="34" s="1"/>
  <c r="E2174" i="34"/>
  <c r="K2174" i="34"/>
  <c r="M2174" i="34" s="1"/>
  <c r="K2173" i="34"/>
  <c r="M2173" i="34" s="1"/>
  <c r="E2173" i="34"/>
  <c r="E2202" i="34"/>
  <c r="M2202" i="34"/>
  <c r="E2203" i="34"/>
  <c r="M2203" i="34"/>
  <c r="E2204" i="34"/>
  <c r="M2204" i="34"/>
  <c r="M2201" i="34"/>
  <c r="E2201" i="34"/>
  <c r="S3173" i="34" l="1"/>
  <c r="Q3173" i="34"/>
  <c r="R3173" i="34"/>
  <c r="S3163" i="34"/>
  <c r="Q3163" i="34"/>
  <c r="R3163" i="34"/>
  <c r="S3149" i="34"/>
  <c r="Q3149" i="34"/>
  <c r="R3149" i="34"/>
  <c r="S3081" i="34"/>
  <c r="Q3081" i="34"/>
  <c r="R3081" i="34"/>
  <c r="R5271" i="34"/>
  <c r="S5271" i="34"/>
  <c r="Q5271" i="34"/>
  <c r="Q3172" i="34"/>
  <c r="R3172" i="34"/>
  <c r="S3172" i="34"/>
  <c r="S3159" i="34"/>
  <c r="Q3159" i="34"/>
  <c r="R3159" i="34"/>
  <c r="Q3104" i="34"/>
  <c r="R3104" i="34"/>
  <c r="S3104" i="34"/>
  <c r="E2036" i="34"/>
  <c r="M2035" i="34"/>
  <c r="E2035" i="34"/>
  <c r="B5257" i="34" l="1"/>
  <c r="A5257" i="34" s="1"/>
  <c r="B5256" i="34"/>
  <c r="A5256" i="34" s="1"/>
  <c r="B5255" i="34"/>
  <c r="A5255" i="34" s="1"/>
  <c r="B5254" i="34"/>
  <c r="A5254" i="34" s="1"/>
  <c r="B5248" i="34"/>
  <c r="A5248" i="34" s="1"/>
  <c r="B5247" i="34"/>
  <c r="A5247" i="34" s="1"/>
  <c r="B5229" i="34"/>
  <c r="A5229" i="34" s="1"/>
  <c r="B5228" i="34"/>
  <c r="A5228" i="34" s="1"/>
  <c r="B5198" i="34"/>
  <c r="A5198" i="34" s="1"/>
  <c r="B5197" i="34"/>
  <c r="A5197" i="34" s="1"/>
  <c r="B5196" i="34"/>
  <c r="A5196" i="34" s="1"/>
  <c r="B5195" i="34"/>
  <c r="A5195" i="34" s="1"/>
  <c r="B5194" i="34"/>
  <c r="A5194" i="34" s="1"/>
  <c r="B5193" i="34"/>
  <c r="A5193" i="34" s="1"/>
  <c r="B5175" i="34"/>
  <c r="A5175" i="34" s="1"/>
  <c r="B5174" i="34"/>
  <c r="A5174" i="34" s="1"/>
  <c r="B5173" i="34"/>
  <c r="A5173" i="34" s="1"/>
  <c r="B5172" i="34"/>
  <c r="A5172" i="34" s="1"/>
  <c r="B5171" i="34"/>
  <c r="A5171" i="34" s="1"/>
  <c r="B5170" i="34"/>
  <c r="A5170" i="34" s="1"/>
  <c r="B5154" i="34"/>
  <c r="A5154" i="34" s="1"/>
  <c r="B5153" i="34"/>
  <c r="A5153" i="34" s="1"/>
  <c r="B5152" i="34"/>
  <c r="A5152" i="34" s="1"/>
  <c r="B5151" i="34"/>
  <c r="A5151" i="34" s="1"/>
  <c r="B5145" i="34"/>
  <c r="A5145" i="34" s="1"/>
  <c r="B5144" i="34"/>
  <c r="A5144" i="34" s="1"/>
  <c r="B5143" i="34"/>
  <c r="A5143" i="34" s="1"/>
  <c r="B5142" i="34"/>
  <c r="A5142" i="34" s="1"/>
  <c r="B5141" i="34"/>
  <c r="A5141" i="34" s="1"/>
  <c r="B5140" i="34"/>
  <c r="A5140" i="34" s="1"/>
  <c r="B5132" i="34"/>
  <c r="A5132" i="34" s="1"/>
  <c r="B5131" i="34"/>
  <c r="A5131" i="34" s="1"/>
  <c r="B5129" i="34"/>
  <c r="A5129" i="34" s="1"/>
  <c r="B5128" i="34"/>
  <c r="A5128" i="34" s="1"/>
  <c r="B5127" i="34"/>
  <c r="A5127" i="34" s="1"/>
  <c r="B5126" i="34"/>
  <c r="A5126" i="34" s="1"/>
  <c r="B5119" i="34"/>
  <c r="A5119" i="34" s="1"/>
  <c r="B5118" i="34"/>
  <c r="A5118" i="34" s="1"/>
  <c r="B5117" i="34"/>
  <c r="A5117" i="34" s="1"/>
  <c r="B5116" i="34"/>
  <c r="A5116" i="34" s="1"/>
  <c r="B5110" i="34"/>
  <c r="A5110" i="34" s="1"/>
  <c r="B5109" i="34"/>
  <c r="A5109" i="34" s="1"/>
  <c r="B5102" i="34"/>
  <c r="A5102" i="34" s="1"/>
  <c r="B5101" i="34"/>
  <c r="A5101" i="34" s="1"/>
  <c r="B5081" i="34"/>
  <c r="A5081" i="34" s="1"/>
  <c r="B5080" i="34"/>
  <c r="A5080" i="34" s="1"/>
  <c r="B5053" i="34"/>
  <c r="A5053" i="34" s="1"/>
  <c r="B5052" i="34"/>
  <c r="A5052" i="34" s="1"/>
  <c r="B5242" i="34"/>
  <c r="A5242" i="34" s="1"/>
  <c r="B5239" i="34"/>
  <c r="A5239" i="34" s="1"/>
  <c r="B5240" i="34"/>
  <c r="A5240" i="34" s="1"/>
  <c r="B5241" i="34"/>
  <c r="A5241" i="34" s="1"/>
  <c r="B5238" i="34"/>
  <c r="A5238" i="34" s="1"/>
  <c r="B5233" i="34"/>
  <c r="A5233" i="34" s="1"/>
  <c r="B5232" i="34"/>
  <c r="A5232" i="34" s="1"/>
  <c r="B5204" i="34"/>
  <c r="A5204" i="34" s="1"/>
  <c r="B5203" i="34"/>
  <c r="A5203" i="34" s="1"/>
  <c r="E2051" i="34"/>
  <c r="M2051" i="34"/>
  <c r="E2052" i="34"/>
  <c r="M2052" i="34"/>
  <c r="E2053" i="34"/>
  <c r="M2053" i="34"/>
  <c r="E2054" i="34"/>
  <c r="M2054" i="34"/>
  <c r="B5209" i="34"/>
  <c r="A5209" i="34" s="1"/>
  <c r="B5208" i="34"/>
  <c r="A5208" i="34" s="1"/>
  <c r="B5270" i="34"/>
  <c r="A5270" i="34" s="1"/>
  <c r="B5269" i="34"/>
  <c r="A5269" i="34" s="1"/>
  <c r="B5268" i="34"/>
  <c r="A5268" i="34" s="1"/>
  <c r="B5267" i="34"/>
  <c r="A5267" i="34" s="1"/>
  <c r="B5266" i="34"/>
  <c r="A5266" i="34" s="1"/>
  <c r="M5262" i="34"/>
  <c r="B5262" i="34"/>
  <c r="A5262" i="34" s="1"/>
  <c r="B5261" i="34"/>
  <c r="A5261" i="34" s="1"/>
  <c r="B5260" i="34"/>
  <c r="A5260" i="34" s="1"/>
  <c r="B5259" i="34"/>
  <c r="A5259" i="34" s="1"/>
  <c r="M5258" i="34"/>
  <c r="B5258" i="34"/>
  <c r="A5258" i="34" s="1"/>
  <c r="B5244" i="34"/>
  <c r="A5244" i="34" s="1"/>
  <c r="B5243" i="34"/>
  <c r="A5243" i="34" s="1"/>
  <c r="B5237" i="34"/>
  <c r="A5237" i="34" s="1"/>
  <c r="B5236" i="34"/>
  <c r="A5236" i="34" s="1"/>
  <c r="B5235" i="34"/>
  <c r="A5235" i="34" s="1"/>
  <c r="B5234" i="34"/>
  <c r="A5234" i="34" s="1"/>
  <c r="B5227" i="34"/>
  <c r="A5227" i="34" s="1"/>
  <c r="B5226" i="34"/>
  <c r="A5226" i="34" s="1"/>
  <c r="B5225" i="34"/>
  <c r="A5225" i="34" s="1"/>
  <c r="B5224" i="34"/>
  <c r="A5224" i="34" s="1"/>
  <c r="B5223" i="34"/>
  <c r="A5223" i="34" s="1"/>
  <c r="B5222" i="34"/>
  <c r="A5222" i="34" s="1"/>
  <c r="B5221" i="34"/>
  <c r="A5221" i="34" s="1"/>
  <c r="B5220" i="34"/>
  <c r="A5220" i="34" s="1"/>
  <c r="M5207" i="34"/>
  <c r="B5207" i="34"/>
  <c r="A5207" i="34" s="1"/>
  <c r="B5206" i="34"/>
  <c r="A5206" i="34" s="1"/>
  <c r="B5205" i="34"/>
  <c r="A5205" i="34" s="1"/>
  <c r="B5192" i="34"/>
  <c r="A5192" i="34" s="1"/>
  <c r="B5191" i="34"/>
  <c r="A5191" i="34" s="1"/>
  <c r="B5190" i="34"/>
  <c r="A5190" i="34" s="1"/>
  <c r="B5189" i="34"/>
  <c r="A5189" i="34" s="1"/>
  <c r="B5188" i="34"/>
  <c r="A5188" i="34" s="1"/>
  <c r="B5187" i="34"/>
  <c r="A5187" i="34" s="1"/>
  <c r="B5186" i="34"/>
  <c r="A5186" i="34" s="1"/>
  <c r="B5185" i="34"/>
  <c r="A5185" i="34" s="1"/>
  <c r="B5184" i="34"/>
  <c r="A5184" i="34" s="1"/>
  <c r="B5183" i="34"/>
  <c r="A5183" i="34" s="1"/>
  <c r="B5182" i="34"/>
  <c r="A5182" i="34" s="1"/>
  <c r="B5181" i="34"/>
  <c r="A5181" i="34" s="1"/>
  <c r="E3220" i="34"/>
  <c r="B3220" i="34"/>
  <c r="A3220" i="34" s="1"/>
  <c r="E3219" i="34"/>
  <c r="B3219" i="34"/>
  <c r="A3219" i="34" s="1"/>
  <c r="E3218" i="34"/>
  <c r="B3218" i="34"/>
  <c r="A3218" i="34" s="1"/>
  <c r="E3217" i="34"/>
  <c r="B3217" i="34"/>
  <c r="A3217" i="34" s="1"/>
  <c r="E3216" i="34"/>
  <c r="B3216" i="34"/>
  <c r="A3216" i="34" s="1"/>
  <c r="E3215" i="34"/>
  <c r="B3215" i="34"/>
  <c r="A3215" i="34" s="1"/>
  <c r="E3214" i="34"/>
  <c r="B3214" i="34"/>
  <c r="A3214" i="34" s="1"/>
  <c r="E3213" i="34"/>
  <c r="B3213" i="34"/>
  <c r="A3213" i="34" s="1"/>
  <c r="E3212" i="34"/>
  <c r="B3212" i="34"/>
  <c r="A3212" i="34" s="1"/>
  <c r="E3211" i="34"/>
  <c r="B3211" i="34"/>
  <c r="A3211" i="34" s="1"/>
  <c r="E3210" i="34"/>
  <c r="B3210" i="34"/>
  <c r="A3210" i="34" s="1"/>
  <c r="E3209" i="34"/>
  <c r="B3209" i="34"/>
  <c r="A3209" i="34" s="1"/>
  <c r="E3208" i="34"/>
  <c r="B3208" i="34"/>
  <c r="A3208" i="34" s="1"/>
  <c r="E3207" i="34"/>
  <c r="B3207" i="34"/>
  <c r="A3207" i="34" s="1"/>
  <c r="E3206" i="34"/>
  <c r="B3206" i="34"/>
  <c r="A3206" i="34" s="1"/>
  <c r="E3205" i="34"/>
  <c r="B3205" i="34"/>
  <c r="A3205" i="34" s="1"/>
  <c r="E3204" i="34"/>
  <c r="B3204" i="34"/>
  <c r="A3204" i="34" s="1"/>
  <c r="E3203" i="34"/>
  <c r="B3203" i="34"/>
  <c r="A3203" i="34" s="1"/>
  <c r="E3202" i="34"/>
  <c r="B3202" i="34"/>
  <c r="A3202" i="34" s="1"/>
  <c r="E3201" i="34"/>
  <c r="B3201" i="34"/>
  <c r="A3201" i="34" s="1"/>
  <c r="E3199" i="34"/>
  <c r="B3199" i="34"/>
  <c r="A3199" i="34" s="1"/>
  <c r="E3198" i="34"/>
  <c r="B3198" i="34"/>
  <c r="A3198" i="34" s="1"/>
  <c r="E3197" i="34"/>
  <c r="B3197" i="34"/>
  <c r="A3197" i="34" s="1"/>
  <c r="E3196" i="34"/>
  <c r="B3196" i="34"/>
  <c r="A3196" i="34" s="1"/>
  <c r="E3195" i="34"/>
  <c r="B3195" i="34"/>
  <c r="A3195" i="34" s="1"/>
  <c r="E3194" i="34"/>
  <c r="B3194" i="34"/>
  <c r="A3194" i="34" s="1"/>
  <c r="E3193" i="34"/>
  <c r="B3193" i="34"/>
  <c r="A3193" i="34" s="1"/>
  <c r="E3192" i="34"/>
  <c r="B3192" i="34"/>
  <c r="A3192" i="34" s="1"/>
  <c r="E3191" i="34"/>
  <c r="B3191" i="34"/>
  <c r="A3191" i="34" s="1"/>
  <c r="E3190" i="34"/>
  <c r="B3190" i="34"/>
  <c r="A3190" i="34" s="1"/>
  <c r="E3189" i="34"/>
  <c r="B3189" i="34"/>
  <c r="A3189" i="34" s="1"/>
  <c r="E3188" i="34"/>
  <c r="B3188" i="34"/>
  <c r="A3188" i="34" s="1"/>
  <c r="E3187" i="34"/>
  <c r="B3187" i="34"/>
  <c r="A3187" i="34" s="1"/>
  <c r="E3186" i="34"/>
  <c r="B3186" i="34"/>
  <c r="A3186" i="34" s="1"/>
  <c r="E3185" i="34"/>
  <c r="B3185" i="34"/>
  <c r="A3185" i="34" s="1"/>
  <c r="E3184" i="34"/>
  <c r="B3184" i="34"/>
  <c r="A3184" i="34" s="1"/>
  <c r="E3183" i="34"/>
  <c r="B3183" i="34"/>
  <c r="A3183" i="34" s="1"/>
  <c r="E3182" i="34"/>
  <c r="B3182" i="34"/>
  <c r="A3182" i="34" s="1"/>
  <c r="E3181" i="34"/>
  <c r="B3181" i="34"/>
  <c r="A3181" i="34" s="1"/>
  <c r="E3180" i="34"/>
  <c r="B3180" i="34"/>
  <c r="A3180" i="34" s="1"/>
  <c r="E3179" i="34"/>
  <c r="B3179" i="34"/>
  <c r="A3179" i="34" s="1"/>
  <c r="E3178" i="34"/>
  <c r="B3178" i="34"/>
  <c r="A3178" i="34" s="1"/>
  <c r="E3177" i="34"/>
  <c r="B3177" i="34"/>
  <c r="A3177" i="34" s="1"/>
  <c r="E3176" i="34"/>
  <c r="B3176" i="34"/>
  <c r="A3176" i="34" s="1"/>
  <c r="E3175" i="34"/>
  <c r="B3175" i="34"/>
  <c r="A3175" i="34" s="1"/>
  <c r="E3174" i="34"/>
  <c r="B3174" i="34"/>
  <c r="A3174" i="34" s="1"/>
  <c r="E3171" i="34"/>
  <c r="B3171" i="34"/>
  <c r="A3171" i="34" s="1"/>
  <c r="E3170" i="34"/>
  <c r="B3170" i="34"/>
  <c r="A3170" i="34" s="1"/>
  <c r="E3169" i="34"/>
  <c r="B3169" i="34"/>
  <c r="A3169" i="34" s="1"/>
  <c r="E3168" i="34"/>
  <c r="B3168" i="34"/>
  <c r="A3168" i="34" s="1"/>
  <c r="E3167" i="34"/>
  <c r="B3167" i="34"/>
  <c r="A3167" i="34" s="1"/>
  <c r="E3165" i="34"/>
  <c r="B3165" i="34"/>
  <c r="A3165" i="34" s="1"/>
  <c r="E3164" i="34"/>
  <c r="B3164" i="34"/>
  <c r="A3164" i="34" s="1"/>
  <c r="E3162" i="34"/>
  <c r="B3162" i="34"/>
  <c r="A3162" i="34" s="1"/>
  <c r="E2528" i="34"/>
  <c r="B2528" i="34"/>
  <c r="A2528" i="34" s="1"/>
  <c r="E2527" i="34"/>
  <c r="B2527" i="34"/>
  <c r="A2527" i="34" s="1"/>
  <c r="E2526" i="34"/>
  <c r="B2526" i="34"/>
  <c r="A2526" i="34" s="1"/>
  <c r="E2525" i="34"/>
  <c r="B2525" i="34"/>
  <c r="A2525" i="34" s="1"/>
  <c r="E2524" i="34"/>
  <c r="B2524" i="34"/>
  <c r="A2524" i="34" s="1"/>
  <c r="E2523" i="34"/>
  <c r="B2523" i="34"/>
  <c r="A2523" i="34" s="1"/>
  <c r="E2522" i="34"/>
  <c r="B2522" i="34"/>
  <c r="A2522" i="34" s="1"/>
  <c r="E2521" i="34"/>
  <c r="B2521" i="34"/>
  <c r="A2521" i="34" s="1"/>
  <c r="B5265" i="34"/>
  <c r="A5265" i="34" s="1"/>
  <c r="E2529" i="34"/>
  <c r="B2529" i="34"/>
  <c r="A2529" i="34" s="1"/>
  <c r="B5264" i="34"/>
  <c r="A5264" i="34" s="1"/>
  <c r="B5263" i="34"/>
  <c r="A5263" i="34" s="1"/>
  <c r="B5180" i="34"/>
  <c r="A5180" i="34" s="1"/>
  <c r="B680" i="34"/>
  <c r="A680" i="34" s="1"/>
  <c r="B679" i="34"/>
  <c r="A679" i="34" s="1"/>
  <c r="E2131" i="34"/>
  <c r="B2131" i="34"/>
  <c r="A2131" i="34" s="1"/>
  <c r="E2130" i="34"/>
  <c r="B2130" i="34"/>
  <c r="A2130" i="34" s="1"/>
  <c r="B2025" i="34"/>
  <c r="A2025" i="34" s="1"/>
  <c r="E2025" i="34"/>
  <c r="B2026" i="34"/>
  <c r="A2026" i="34" s="1"/>
  <c r="E2026" i="34"/>
  <c r="B2027" i="34"/>
  <c r="A2027" i="34" s="1"/>
  <c r="E2027" i="34"/>
  <c r="B2028" i="34"/>
  <c r="A2028" i="34" s="1"/>
  <c r="E2028" i="34"/>
  <c r="B2029" i="34"/>
  <c r="A2029" i="34" s="1"/>
  <c r="E2029" i="34"/>
  <c r="B2030" i="34"/>
  <c r="A2030" i="34" s="1"/>
  <c r="E2030" i="34"/>
  <c r="B2031" i="34"/>
  <c r="A2031" i="34" s="1"/>
  <c r="E2031" i="34"/>
  <c r="K2022" i="34"/>
  <c r="M2022" i="34" s="1"/>
  <c r="E2022" i="34"/>
  <c r="B2022" i="34"/>
  <c r="A2022" i="34" s="1"/>
  <c r="Q5221" i="34" l="1"/>
  <c r="R5221" i="34"/>
  <c r="S5221" i="34"/>
  <c r="Q5223" i="34"/>
  <c r="R5223" i="34"/>
  <c r="S5223" i="34"/>
  <c r="Q5225" i="34"/>
  <c r="R5225" i="34"/>
  <c r="S5225" i="34"/>
  <c r="Q5227" i="34"/>
  <c r="R5227" i="34"/>
  <c r="S5227" i="34"/>
  <c r="Q5235" i="34"/>
  <c r="R5235" i="34"/>
  <c r="S5235" i="34"/>
  <c r="Q5237" i="34"/>
  <c r="R5237" i="34"/>
  <c r="S5237" i="34"/>
  <c r="Q5244" i="34"/>
  <c r="R5244" i="34"/>
  <c r="S5244" i="34"/>
  <c r="R5267" i="34"/>
  <c r="S5267" i="34"/>
  <c r="Q5267" i="34"/>
  <c r="R5269" i="34"/>
  <c r="S5269" i="34"/>
  <c r="Q5269" i="34"/>
  <c r="S2053" i="34"/>
  <c r="Q2053" i="34"/>
  <c r="R2053" i="34"/>
  <c r="R5204" i="34"/>
  <c r="Q5204" i="34"/>
  <c r="S5204" i="34"/>
  <c r="S5233" i="34"/>
  <c r="Q5233" i="34"/>
  <c r="R5233" i="34"/>
  <c r="R5240" i="34"/>
  <c r="Q5240" i="34"/>
  <c r="S5240" i="34"/>
  <c r="S5052" i="34"/>
  <c r="Q5052" i="34"/>
  <c r="R5052" i="34"/>
  <c r="Q5101" i="34"/>
  <c r="R5101" i="34"/>
  <c r="S5101" i="34"/>
  <c r="Q5116" i="34"/>
  <c r="R5116" i="34"/>
  <c r="S5116" i="34"/>
  <c r="S5126" i="34"/>
  <c r="Q5126" i="34"/>
  <c r="R5126" i="34"/>
  <c r="Q5131" i="34"/>
  <c r="R5131" i="34"/>
  <c r="S5131" i="34"/>
  <c r="S5142" i="34"/>
  <c r="Q5142" i="34"/>
  <c r="R5142" i="34"/>
  <c r="S5151" i="34"/>
  <c r="Q5151" i="34"/>
  <c r="R5151" i="34"/>
  <c r="S5170" i="34"/>
  <c r="Q5170" i="34"/>
  <c r="R5170" i="34"/>
  <c r="S5174" i="34"/>
  <c r="Q5174" i="34"/>
  <c r="R5174" i="34"/>
  <c r="S5195" i="34"/>
  <c r="Q5195" i="34"/>
  <c r="R5195" i="34"/>
  <c r="Q5228" i="34"/>
  <c r="R5228" i="34"/>
  <c r="S5228" i="34"/>
  <c r="S5254" i="34"/>
  <c r="Q5254" i="34"/>
  <c r="R5254" i="34"/>
  <c r="Q2022" i="34"/>
  <c r="R2022" i="34"/>
  <c r="S2022" i="34"/>
  <c r="Q2030" i="34"/>
  <c r="R2030" i="34"/>
  <c r="S2030" i="34"/>
  <c r="Q2028" i="34"/>
  <c r="R2028" i="34"/>
  <c r="S2028" i="34"/>
  <c r="Q2026" i="34"/>
  <c r="R2026" i="34"/>
  <c r="S2026" i="34"/>
  <c r="R680" i="34"/>
  <c r="S680" i="34"/>
  <c r="Q680" i="34"/>
  <c r="S2131" i="34"/>
  <c r="Q2131" i="34"/>
  <c r="R2131" i="34"/>
  <c r="Q5180" i="34"/>
  <c r="R5180" i="34"/>
  <c r="S5180" i="34"/>
  <c r="Q5264" i="34"/>
  <c r="R5264" i="34"/>
  <c r="S5264" i="34"/>
  <c r="S5265" i="34"/>
  <c r="Q5265" i="34"/>
  <c r="R5265" i="34"/>
  <c r="S2522" i="34"/>
  <c r="Q2522" i="34"/>
  <c r="R2522" i="34"/>
  <c r="S2524" i="34"/>
  <c r="Q2524" i="34"/>
  <c r="R2524" i="34"/>
  <c r="S2526" i="34"/>
  <c r="Q2526" i="34"/>
  <c r="R2526" i="34"/>
  <c r="S2528" i="34"/>
  <c r="Q2528" i="34"/>
  <c r="R2528" i="34"/>
  <c r="Q3164" i="34"/>
  <c r="R3164" i="34"/>
  <c r="S3164" i="34"/>
  <c r="S3167" i="34"/>
  <c r="Q3167" i="34"/>
  <c r="R3167" i="34"/>
  <c r="S3169" i="34"/>
  <c r="Q3169" i="34"/>
  <c r="R3169" i="34"/>
  <c r="S3171" i="34"/>
  <c r="Q3171" i="34"/>
  <c r="R3171" i="34"/>
  <c r="S3175" i="34"/>
  <c r="Q3175" i="34"/>
  <c r="R3175" i="34"/>
  <c r="S3177" i="34"/>
  <c r="Q3177" i="34"/>
  <c r="R3177" i="34"/>
  <c r="S3179" i="34"/>
  <c r="Q3179" i="34"/>
  <c r="R3179" i="34"/>
  <c r="S3181" i="34"/>
  <c r="Q3181" i="34"/>
  <c r="R3181" i="34"/>
  <c r="S3183" i="34"/>
  <c r="Q3183" i="34"/>
  <c r="R3183" i="34"/>
  <c r="S3185" i="34"/>
  <c r="Q3185" i="34"/>
  <c r="R3185" i="34"/>
  <c r="S3187" i="34"/>
  <c r="Q3187" i="34"/>
  <c r="R3187" i="34"/>
  <c r="S3189" i="34"/>
  <c r="R3189" i="34"/>
  <c r="Q3189" i="34"/>
  <c r="S3191" i="34"/>
  <c r="R3191" i="34"/>
  <c r="Q3191" i="34"/>
  <c r="S3193" i="34"/>
  <c r="R3193" i="34"/>
  <c r="Q3193" i="34"/>
  <c r="S3195" i="34"/>
  <c r="R3195" i="34"/>
  <c r="Q3195" i="34"/>
  <c r="S3197" i="34"/>
  <c r="R3197" i="34"/>
  <c r="Q3197" i="34"/>
  <c r="S3199" i="34"/>
  <c r="R3199" i="34"/>
  <c r="Q3199" i="34"/>
  <c r="Q3202" i="34"/>
  <c r="R3202" i="34"/>
  <c r="S3202" i="34"/>
  <c r="Q3204" i="34"/>
  <c r="R3204" i="34"/>
  <c r="S3204" i="34"/>
  <c r="Q3206" i="34"/>
  <c r="R3206" i="34"/>
  <c r="S3206" i="34"/>
  <c r="Q3208" i="34"/>
  <c r="R3208" i="34"/>
  <c r="S3208" i="34"/>
  <c r="Q3210" i="34"/>
  <c r="R3210" i="34"/>
  <c r="S3210" i="34"/>
  <c r="Q3212" i="34"/>
  <c r="R3212" i="34"/>
  <c r="S3212" i="34"/>
  <c r="Q3214" i="34"/>
  <c r="R3214" i="34"/>
  <c r="S3214" i="34"/>
  <c r="Q3216" i="34"/>
  <c r="R3216" i="34"/>
  <c r="S3216" i="34"/>
  <c r="Q3218" i="34"/>
  <c r="R3218" i="34"/>
  <c r="S3218" i="34"/>
  <c r="Q3220" i="34"/>
  <c r="R3220" i="34"/>
  <c r="S3220" i="34"/>
  <c r="R5182" i="34"/>
  <c r="S5182" i="34"/>
  <c r="Q5182" i="34"/>
  <c r="R5184" i="34"/>
  <c r="S5184" i="34"/>
  <c r="Q5184" i="34"/>
  <c r="R5186" i="34"/>
  <c r="S5186" i="34"/>
  <c r="Q5186" i="34"/>
  <c r="R5188" i="34"/>
  <c r="S5188" i="34"/>
  <c r="Q5188" i="34"/>
  <c r="R5190" i="34"/>
  <c r="S5190" i="34"/>
  <c r="Q5190" i="34"/>
  <c r="R5192" i="34"/>
  <c r="S5192" i="34"/>
  <c r="Q5192" i="34"/>
  <c r="R5206" i="34"/>
  <c r="S5206" i="34"/>
  <c r="Q5206" i="34"/>
  <c r="Q5259" i="34"/>
  <c r="R5259" i="34"/>
  <c r="S5259" i="34"/>
  <c r="Q5261" i="34"/>
  <c r="R5261" i="34"/>
  <c r="S5261" i="34"/>
  <c r="R5208" i="34"/>
  <c r="S5208" i="34"/>
  <c r="Q5208" i="34"/>
  <c r="Q2054" i="34"/>
  <c r="R2054" i="34"/>
  <c r="S2054" i="34"/>
  <c r="Q5239" i="34"/>
  <c r="R5239" i="34"/>
  <c r="S5239" i="34"/>
  <c r="Q5053" i="34"/>
  <c r="R5053" i="34"/>
  <c r="S5053" i="34"/>
  <c r="S5102" i="34"/>
  <c r="Q5102" i="34"/>
  <c r="R5102" i="34"/>
  <c r="S5117" i="34"/>
  <c r="Q5117" i="34"/>
  <c r="R5117" i="34"/>
  <c r="Q5127" i="34"/>
  <c r="R5127" i="34"/>
  <c r="S5127" i="34"/>
  <c r="S5132" i="34"/>
  <c r="Q5132" i="34"/>
  <c r="R5132" i="34"/>
  <c r="Q5143" i="34"/>
  <c r="R5143" i="34"/>
  <c r="S5143" i="34"/>
  <c r="Q5152" i="34"/>
  <c r="R5152" i="34"/>
  <c r="S5152" i="34"/>
  <c r="Q5171" i="34"/>
  <c r="R5171" i="34"/>
  <c r="S5171" i="34"/>
  <c r="Q5175" i="34"/>
  <c r="R5175" i="34"/>
  <c r="S5175" i="34"/>
  <c r="Q5196" i="34"/>
  <c r="R5196" i="34"/>
  <c r="S5196" i="34"/>
  <c r="S5229" i="34"/>
  <c r="Q5229" i="34"/>
  <c r="R5229" i="34"/>
  <c r="Q5255" i="34"/>
  <c r="R5255" i="34"/>
  <c r="S5255" i="34"/>
  <c r="S2031" i="34"/>
  <c r="Q2031" i="34"/>
  <c r="R2031" i="34"/>
  <c r="S2027" i="34"/>
  <c r="Q2027" i="34"/>
  <c r="R2027" i="34"/>
  <c r="R5220" i="34"/>
  <c r="S5220" i="34"/>
  <c r="Q5220" i="34"/>
  <c r="R5222" i="34"/>
  <c r="S5222" i="34"/>
  <c r="Q5222" i="34"/>
  <c r="R5224" i="34"/>
  <c r="S5224" i="34"/>
  <c r="Q5224" i="34"/>
  <c r="R5226" i="34"/>
  <c r="S5226" i="34"/>
  <c r="Q5226" i="34"/>
  <c r="R5234" i="34"/>
  <c r="S5234" i="34"/>
  <c r="Q5234" i="34"/>
  <c r="R5236" i="34"/>
  <c r="S5236" i="34"/>
  <c r="Q5236" i="34"/>
  <c r="R5243" i="34"/>
  <c r="S5243" i="34"/>
  <c r="Q5243" i="34"/>
  <c r="R5258" i="34"/>
  <c r="S5258" i="34"/>
  <c r="Q5258" i="34"/>
  <c r="Q5266" i="34"/>
  <c r="R5266" i="34"/>
  <c r="S5266" i="34"/>
  <c r="Q5268" i="34"/>
  <c r="R5268" i="34"/>
  <c r="S5268" i="34"/>
  <c r="Q5270" i="34"/>
  <c r="R5270" i="34"/>
  <c r="S5270" i="34"/>
  <c r="S5209" i="34"/>
  <c r="Q5209" i="34"/>
  <c r="R5209" i="34"/>
  <c r="R5232" i="34"/>
  <c r="Q5232" i="34"/>
  <c r="S5232" i="34"/>
  <c r="R5238" i="34"/>
  <c r="Q5238" i="34"/>
  <c r="S5238" i="34"/>
  <c r="Q5242" i="34"/>
  <c r="R5242" i="34"/>
  <c r="S5242" i="34"/>
  <c r="S5080" i="34"/>
  <c r="Q5080" i="34"/>
  <c r="R5080" i="34"/>
  <c r="Q5109" i="34"/>
  <c r="R5109" i="34"/>
  <c r="S5109" i="34"/>
  <c r="Q5118" i="34"/>
  <c r="R5118" i="34"/>
  <c r="S5118" i="34"/>
  <c r="S5128" i="34"/>
  <c r="Q5128" i="34"/>
  <c r="R5128" i="34"/>
  <c r="S5140" i="34"/>
  <c r="Q5140" i="34"/>
  <c r="R5140" i="34"/>
  <c r="S5144" i="34"/>
  <c r="Q5144" i="34"/>
  <c r="R5144" i="34"/>
  <c r="S5153" i="34"/>
  <c r="Q5153" i="34"/>
  <c r="R5153" i="34"/>
  <c r="S5172" i="34"/>
  <c r="Q5172" i="34"/>
  <c r="R5172" i="34"/>
  <c r="S5193" i="34"/>
  <c r="Q5193" i="34"/>
  <c r="R5193" i="34"/>
  <c r="S5197" i="34"/>
  <c r="Q5197" i="34"/>
  <c r="R5197" i="34"/>
  <c r="Q5247" i="34"/>
  <c r="R5247" i="34"/>
  <c r="S5247" i="34"/>
  <c r="S5256" i="34"/>
  <c r="Q5256" i="34"/>
  <c r="R5256" i="34"/>
  <c r="S2029" i="34"/>
  <c r="Q2029" i="34"/>
  <c r="R2029" i="34"/>
  <c r="S2025" i="34"/>
  <c r="Q2025" i="34"/>
  <c r="R2025" i="34"/>
  <c r="Q2130" i="34"/>
  <c r="R2130" i="34"/>
  <c r="S2130" i="34"/>
  <c r="Q679" i="34"/>
  <c r="R679" i="34"/>
  <c r="S679" i="34"/>
  <c r="S5263" i="34"/>
  <c r="Q5263" i="34"/>
  <c r="R5263" i="34"/>
  <c r="Q2529" i="34"/>
  <c r="R2529" i="34"/>
  <c r="S2529" i="34"/>
  <c r="Q2521" i="34"/>
  <c r="R2521" i="34"/>
  <c r="S2521" i="34"/>
  <c r="Q2523" i="34"/>
  <c r="R2523" i="34"/>
  <c r="S2523" i="34"/>
  <c r="Q2525" i="34"/>
  <c r="R2525" i="34"/>
  <c r="S2525" i="34"/>
  <c r="Q2527" i="34"/>
  <c r="R2527" i="34"/>
  <c r="S2527" i="34"/>
  <c r="Q3162" i="34"/>
  <c r="R3162" i="34"/>
  <c r="S3162" i="34"/>
  <c r="S3165" i="34"/>
  <c r="Q3165" i="34"/>
  <c r="R3165" i="34"/>
  <c r="Q3168" i="34"/>
  <c r="R3168" i="34"/>
  <c r="S3168" i="34"/>
  <c r="Q3170" i="34"/>
  <c r="R3170" i="34"/>
  <c r="S3170" i="34"/>
  <c r="Q3174" i="34"/>
  <c r="R3174" i="34"/>
  <c r="S3174" i="34"/>
  <c r="Q3176" i="34"/>
  <c r="R3176" i="34"/>
  <c r="S3176" i="34"/>
  <c r="Q3178" i="34"/>
  <c r="R3178" i="34"/>
  <c r="S3178" i="34"/>
  <c r="Q3180" i="34"/>
  <c r="R3180" i="34"/>
  <c r="S3180" i="34"/>
  <c r="Q3182" i="34"/>
  <c r="R3182" i="34"/>
  <c r="S3182" i="34"/>
  <c r="Q3184" i="34"/>
  <c r="R3184" i="34"/>
  <c r="S3184" i="34"/>
  <c r="Q3186" i="34"/>
  <c r="R3186" i="34"/>
  <c r="S3186" i="34"/>
  <c r="Q3188" i="34"/>
  <c r="R3188" i="34"/>
  <c r="S3188" i="34"/>
  <c r="Q3190" i="34"/>
  <c r="R3190" i="34"/>
  <c r="S3190" i="34"/>
  <c r="Q3192" i="34"/>
  <c r="R3192" i="34"/>
  <c r="S3192" i="34"/>
  <c r="Q3194" i="34"/>
  <c r="R3194" i="34"/>
  <c r="S3194" i="34"/>
  <c r="Q3196" i="34"/>
  <c r="R3196" i="34"/>
  <c r="S3196" i="34"/>
  <c r="Q3198" i="34"/>
  <c r="R3198" i="34"/>
  <c r="S3198" i="34"/>
  <c r="S3201" i="34"/>
  <c r="R3201" i="34"/>
  <c r="Q3201" i="34"/>
  <c r="S3203" i="34"/>
  <c r="R3203" i="34"/>
  <c r="Q3203" i="34"/>
  <c r="S3205" i="34"/>
  <c r="R3205" i="34"/>
  <c r="Q3205" i="34"/>
  <c r="S3207" i="34"/>
  <c r="R3207" i="34"/>
  <c r="Q3207" i="34"/>
  <c r="S3209" i="34"/>
  <c r="R3209" i="34"/>
  <c r="Q3209" i="34"/>
  <c r="S3211" i="34"/>
  <c r="R3211" i="34"/>
  <c r="Q3211" i="34"/>
  <c r="S3213" i="34"/>
  <c r="R3213" i="34"/>
  <c r="Q3213" i="34"/>
  <c r="S3215" i="34"/>
  <c r="R3215" i="34"/>
  <c r="Q3215" i="34"/>
  <c r="S3217" i="34"/>
  <c r="R3217" i="34"/>
  <c r="Q3217" i="34"/>
  <c r="S3219" i="34"/>
  <c r="R3219" i="34"/>
  <c r="Q3219" i="34"/>
  <c r="Q5181" i="34"/>
  <c r="R5181" i="34"/>
  <c r="S5181" i="34"/>
  <c r="Q5183" i="34"/>
  <c r="R5183" i="34"/>
  <c r="S5183" i="34"/>
  <c r="Q5185" i="34"/>
  <c r="R5185" i="34"/>
  <c r="S5185" i="34"/>
  <c r="Q5187" i="34"/>
  <c r="R5187" i="34"/>
  <c r="S5187" i="34"/>
  <c r="Q5189" i="34"/>
  <c r="R5189" i="34"/>
  <c r="S5189" i="34"/>
  <c r="Q5191" i="34"/>
  <c r="R5191" i="34"/>
  <c r="S5191" i="34"/>
  <c r="Q5205" i="34"/>
  <c r="R5205" i="34"/>
  <c r="S5205" i="34"/>
  <c r="Q5207" i="34"/>
  <c r="R5207" i="34"/>
  <c r="S5207" i="34"/>
  <c r="R5260" i="34"/>
  <c r="S5260" i="34"/>
  <c r="Q5260" i="34"/>
  <c r="R5262" i="34"/>
  <c r="S5262" i="34"/>
  <c r="Q5262" i="34"/>
  <c r="Q2052" i="34"/>
  <c r="R2052" i="34"/>
  <c r="S2052" i="34"/>
  <c r="S5203" i="34"/>
  <c r="Q5203" i="34"/>
  <c r="R5203" i="34"/>
  <c r="S5241" i="34"/>
  <c r="Q5241" i="34"/>
  <c r="R5241" i="34"/>
  <c r="Q5081" i="34"/>
  <c r="R5081" i="34"/>
  <c r="S5081" i="34"/>
  <c r="S5110" i="34"/>
  <c r="Q5110" i="34"/>
  <c r="R5110" i="34"/>
  <c r="S5119" i="34"/>
  <c r="Q5119" i="34"/>
  <c r="R5119" i="34"/>
  <c r="Q5129" i="34"/>
  <c r="R5129" i="34"/>
  <c r="S5129" i="34"/>
  <c r="Q5141" i="34"/>
  <c r="R5141" i="34"/>
  <c r="S5141" i="34"/>
  <c r="Q5145" i="34"/>
  <c r="R5145" i="34"/>
  <c r="S5145" i="34"/>
  <c r="Q5154" i="34"/>
  <c r="R5154" i="34"/>
  <c r="S5154" i="34"/>
  <c r="Q5173" i="34"/>
  <c r="R5173" i="34"/>
  <c r="S5173" i="34"/>
  <c r="Q5194" i="34"/>
  <c r="R5194" i="34"/>
  <c r="S5194" i="34"/>
  <c r="Q5198" i="34"/>
  <c r="R5198" i="34"/>
  <c r="S5198" i="34"/>
  <c r="S5248" i="34"/>
  <c r="Q5248" i="34"/>
  <c r="R5248" i="34"/>
  <c r="Q5257" i="34"/>
  <c r="R5257" i="34"/>
  <c r="S5257" i="34"/>
  <c r="E2822" i="34" l="1"/>
  <c r="B2822" i="34"/>
  <c r="A2822" i="34" s="1"/>
  <c r="E2821" i="34"/>
  <c r="B2821" i="34"/>
  <c r="A2821" i="34" s="1"/>
  <c r="E2820" i="34"/>
  <c r="B2820" i="34"/>
  <c r="A2820" i="34" s="1"/>
  <c r="S2821" i="34" l="1"/>
  <c r="Q2821" i="34"/>
  <c r="R2821" i="34"/>
  <c r="Q2820" i="34"/>
  <c r="R2820" i="34"/>
  <c r="S2820" i="34"/>
  <c r="Q2822" i="34"/>
  <c r="R2822" i="34"/>
  <c r="S2822" i="34"/>
  <c r="E3156" i="34"/>
  <c r="B3156" i="34"/>
  <c r="A3156" i="34" s="1"/>
  <c r="M3155" i="34"/>
  <c r="E3155" i="34"/>
  <c r="B3155" i="34"/>
  <c r="A3155" i="34" s="1"/>
  <c r="S3155" i="34" l="1"/>
  <c r="Q3155" i="34"/>
  <c r="R3155" i="34"/>
  <c r="Q3156" i="34"/>
  <c r="R3156" i="34"/>
  <c r="S3156" i="34"/>
  <c r="K4747" i="34"/>
  <c r="E2888" i="34"/>
  <c r="B2888" i="34"/>
  <c r="A2888" i="34" s="1"/>
  <c r="E2887" i="34"/>
  <c r="B2887" i="34"/>
  <c r="A2887" i="34" s="1"/>
  <c r="S2887" i="34" l="1"/>
  <c r="Q2887" i="34"/>
  <c r="R2887" i="34"/>
  <c r="Q2888" i="34"/>
  <c r="R2888" i="34"/>
  <c r="S2888" i="34"/>
  <c r="E2870" i="34"/>
  <c r="B2870" i="34"/>
  <c r="A2870" i="34" s="1"/>
  <c r="E2868" i="34"/>
  <c r="E2869" i="34"/>
  <c r="B2868" i="34"/>
  <c r="A2868" i="34" s="1"/>
  <c r="B2869" i="34"/>
  <c r="A2869" i="34" s="1"/>
  <c r="Q2868" i="34" l="1"/>
  <c r="R2868" i="34"/>
  <c r="S2868" i="34"/>
  <c r="S2869" i="34"/>
  <c r="Q2869" i="34"/>
  <c r="R2869" i="34"/>
  <c r="Q2870" i="34"/>
  <c r="R2870" i="34"/>
  <c r="S2870" i="34"/>
  <c r="K2660" i="34"/>
  <c r="M2660" i="34" s="1"/>
  <c r="B2660" i="34"/>
  <c r="A2660" i="34" s="1"/>
  <c r="M2912" i="34"/>
  <c r="E2912" i="34"/>
  <c r="B2912" i="34"/>
  <c r="A2912" i="34" s="1"/>
  <c r="M2851" i="34"/>
  <c r="E2851" i="34"/>
  <c r="B2851" i="34"/>
  <c r="A2851" i="34" s="1"/>
  <c r="E2877" i="34"/>
  <c r="B2877" i="34"/>
  <c r="A2877" i="34" s="1"/>
  <c r="B2777" i="34"/>
  <c r="A2777" i="34" s="1"/>
  <c r="M2876" i="34"/>
  <c r="E2876" i="34"/>
  <c r="B2876" i="34"/>
  <c r="A2876" i="34" s="1"/>
  <c r="M2826" i="34"/>
  <c r="E2826" i="34"/>
  <c r="B2826" i="34"/>
  <c r="A2826" i="34" s="1"/>
  <c r="K2494" i="34"/>
  <c r="M2494" i="34" s="1"/>
  <c r="E2494" i="34"/>
  <c r="B2494" i="34"/>
  <c r="A2494" i="34" s="1"/>
  <c r="S2494" i="34" l="1"/>
  <c r="Q2494" i="34"/>
  <c r="R2494" i="34"/>
  <c r="S2851" i="34"/>
  <c r="Q2851" i="34"/>
  <c r="R2851" i="34"/>
  <c r="S2777" i="34"/>
  <c r="Q2777" i="34"/>
  <c r="R2777" i="34"/>
  <c r="Q2876" i="34"/>
  <c r="R2876" i="34"/>
  <c r="S2876" i="34"/>
  <c r="S2877" i="34"/>
  <c r="Q2877" i="34"/>
  <c r="R2877" i="34"/>
  <c r="Q2660" i="34"/>
  <c r="R2660" i="34"/>
  <c r="S2660" i="34"/>
  <c r="Q2826" i="34"/>
  <c r="R2826" i="34"/>
  <c r="S2826" i="34"/>
  <c r="Q2912" i="34"/>
  <c r="R2912" i="34"/>
  <c r="S2912" i="34"/>
  <c r="M3039" i="34" l="1"/>
  <c r="E3039" i="34"/>
  <c r="B3039" i="34"/>
  <c r="A3039" i="34" s="1"/>
  <c r="M3021" i="34"/>
  <c r="E3021" i="34"/>
  <c r="B3021" i="34"/>
  <c r="A3021" i="34" s="1"/>
  <c r="S3021" i="34" l="1"/>
  <c r="Q3021" i="34"/>
  <c r="R3021" i="34"/>
  <c r="S3039" i="34"/>
  <c r="Q3039" i="34"/>
  <c r="R3039" i="34"/>
  <c r="B2771" i="34"/>
  <c r="A2771" i="34" s="1"/>
  <c r="M3161" i="34"/>
  <c r="M3144" i="34"/>
  <c r="M3141" i="34"/>
  <c r="M3115" i="34"/>
  <c r="M3109" i="34"/>
  <c r="M3096" i="34"/>
  <c r="M3085" i="34"/>
  <c r="M3073" i="34"/>
  <c r="M3063" i="34"/>
  <c r="M3033" i="34"/>
  <c r="M3026" i="34"/>
  <c r="M3013" i="34"/>
  <c r="M2995" i="34"/>
  <c r="M2989" i="34"/>
  <c r="M2986" i="34"/>
  <c r="M2982" i="34"/>
  <c r="M4411" i="34"/>
  <c r="M2975" i="34"/>
  <c r="M2972" i="34"/>
  <c r="M2967" i="34"/>
  <c r="M2931" i="34"/>
  <c r="M2928" i="34"/>
  <c r="M2925" i="34"/>
  <c r="M2914" i="34"/>
  <c r="M2904" i="34"/>
  <c r="M2899" i="34"/>
  <c r="M2873" i="34"/>
  <c r="M2883" i="34"/>
  <c r="M4082" i="34"/>
  <c r="M2861" i="34"/>
  <c r="M2855" i="34"/>
  <c r="M2845" i="34"/>
  <c r="M2828" i="34"/>
  <c r="M2807" i="34"/>
  <c r="M2780" i="34"/>
  <c r="M2766" i="34"/>
  <c r="M2770" i="34"/>
  <c r="M2726" i="34"/>
  <c r="M3668" i="34"/>
  <c r="M2738" i="34"/>
  <c r="M2708" i="34"/>
  <c r="M2710" i="34"/>
  <c r="M2695" i="34"/>
  <c r="M2692" i="34"/>
  <c r="M2689" i="34"/>
  <c r="M2665" i="34"/>
  <c r="M2669" i="34"/>
  <c r="M2655" i="34"/>
  <c r="E2897" i="34"/>
  <c r="B2897" i="34"/>
  <c r="A2897" i="34" s="1"/>
  <c r="E2896" i="34"/>
  <c r="B2896" i="34"/>
  <c r="A2896" i="34" s="1"/>
  <c r="E2895" i="34"/>
  <c r="B2895" i="34"/>
  <c r="A2895" i="34" s="1"/>
  <c r="E2894" i="34"/>
  <c r="B2894" i="34"/>
  <c r="A2894" i="34" s="1"/>
  <c r="E2893" i="34"/>
  <c r="B2893" i="34"/>
  <c r="A2893" i="34" s="1"/>
  <c r="E2892" i="34"/>
  <c r="B2892" i="34"/>
  <c r="A2892" i="34" s="1"/>
  <c r="E2891" i="34"/>
  <c r="B2891" i="34"/>
  <c r="A2891" i="34" s="1"/>
  <c r="E2890" i="34"/>
  <c r="B2890" i="34"/>
  <c r="A2890" i="34" s="1"/>
  <c r="E2889" i="34"/>
  <c r="B2889" i="34"/>
  <c r="A2889" i="34" s="1"/>
  <c r="E2886" i="34"/>
  <c r="B2886" i="34"/>
  <c r="A2886" i="34" s="1"/>
  <c r="E2885" i="34"/>
  <c r="B2885" i="34"/>
  <c r="A2885" i="34" s="1"/>
  <c r="E2884" i="34"/>
  <c r="B2884" i="34"/>
  <c r="A2884" i="34" s="1"/>
  <c r="E2883" i="34"/>
  <c r="B2883" i="34"/>
  <c r="A2883" i="34" s="1"/>
  <c r="E2882" i="34"/>
  <c r="B2882" i="34"/>
  <c r="A2882" i="34" s="1"/>
  <c r="M2722" i="34"/>
  <c r="M2633" i="34"/>
  <c r="M2635" i="34"/>
  <c r="M2637" i="34"/>
  <c r="M2640" i="34"/>
  <c r="M2623" i="34"/>
  <c r="M2625" i="34"/>
  <c r="M2627" i="34"/>
  <c r="M2630" i="34"/>
  <c r="M4385" i="34"/>
  <c r="M4395" i="34"/>
  <c r="M2613" i="34"/>
  <c r="M2615" i="34"/>
  <c r="M2617" i="34"/>
  <c r="M2619" i="34"/>
  <c r="M2620" i="34"/>
  <c r="M2595" i="34"/>
  <c r="M2481" i="34"/>
  <c r="Q13" i="43"/>
  <c r="P13" i="43"/>
  <c r="E6" i="43"/>
  <c r="S2883" i="34" l="1"/>
  <c r="Q2883" i="34"/>
  <c r="R2883" i="34"/>
  <c r="S2885" i="34"/>
  <c r="Q2885" i="34"/>
  <c r="R2885" i="34"/>
  <c r="S2889" i="34"/>
  <c r="Q2889" i="34"/>
  <c r="R2889" i="34"/>
  <c r="S2891" i="34"/>
  <c r="Q2891" i="34"/>
  <c r="R2891" i="34"/>
  <c r="S2893" i="34"/>
  <c r="Q2893" i="34"/>
  <c r="R2893" i="34"/>
  <c r="S2895" i="34"/>
  <c r="Q2895" i="34"/>
  <c r="R2895" i="34"/>
  <c r="S2897" i="34"/>
  <c r="Q2897" i="34"/>
  <c r="R2897" i="34"/>
  <c r="Q2882" i="34"/>
  <c r="R2882" i="34"/>
  <c r="S2882" i="34"/>
  <c r="Q2884" i="34"/>
  <c r="R2884" i="34"/>
  <c r="S2884" i="34"/>
  <c r="Q2886" i="34"/>
  <c r="R2886" i="34"/>
  <c r="S2886" i="34"/>
  <c r="Q2890" i="34"/>
  <c r="R2890" i="34"/>
  <c r="S2890" i="34"/>
  <c r="Q2892" i="34"/>
  <c r="R2892" i="34"/>
  <c r="S2892" i="34"/>
  <c r="Q2894" i="34"/>
  <c r="R2894" i="34"/>
  <c r="S2894" i="34"/>
  <c r="Q2896" i="34"/>
  <c r="R2896" i="34"/>
  <c r="S2896" i="34"/>
  <c r="S2771" i="34"/>
  <c r="Q2771" i="34"/>
  <c r="R2771" i="34"/>
  <c r="M4993" i="34" l="1"/>
  <c r="M4840" i="34"/>
  <c r="M4797" i="34"/>
  <c r="M4740" i="34"/>
  <c r="M4316" i="34"/>
  <c r="B4626" i="34"/>
  <c r="A4626" i="34" s="1"/>
  <c r="D16" i="15"/>
  <c r="Q4626" i="34" l="1"/>
  <c r="R4626" i="34"/>
  <c r="S4626" i="34"/>
  <c r="M1758" i="34"/>
  <c r="M1759" i="34"/>
  <c r="M1760" i="34"/>
  <c r="M1761" i="34"/>
  <c r="M1762" i="34"/>
  <c r="M1763" i="34"/>
  <c r="M1764" i="34"/>
  <c r="M1765" i="34"/>
  <c r="M1849" i="34"/>
  <c r="M1850" i="34"/>
  <c r="M1858" i="34"/>
  <c r="M1859" i="34"/>
  <c r="M1860" i="34"/>
  <c r="M1861" i="34"/>
  <c r="M1862" i="34"/>
  <c r="M1863" i="34"/>
  <c r="M1864" i="34"/>
  <c r="M1865" i="34"/>
  <c r="M1866" i="34"/>
  <c r="M1867" i="34"/>
  <c r="M861" i="34"/>
  <c r="M966" i="34"/>
  <c r="M967" i="34"/>
  <c r="M1025" i="34"/>
  <c r="M1026" i="34"/>
  <c r="M1027" i="34"/>
  <c r="M1028" i="34"/>
  <c r="M1029" i="34"/>
  <c r="M1158" i="34"/>
  <c r="M1159" i="34"/>
  <c r="M1160" i="34"/>
  <c r="M1161" i="34"/>
  <c r="M1162" i="34"/>
  <c r="M1163" i="34"/>
  <c r="M1165" i="34"/>
  <c r="M1166" i="34"/>
  <c r="M1283" i="34"/>
  <c r="M1284" i="34"/>
  <c r="M1285" i="34"/>
  <c r="M1286" i="34"/>
  <c r="M1287" i="34"/>
  <c r="M1288" i="34"/>
  <c r="M1289" i="34"/>
  <c r="M1290" i="34"/>
  <c r="M1291" i="34"/>
  <c r="M1462" i="34"/>
  <c r="M1463" i="34"/>
  <c r="M1464" i="34"/>
  <c r="M1465" i="34"/>
  <c r="M1466" i="34"/>
  <c r="M1467" i="34"/>
  <c r="M1635" i="34"/>
  <c r="M1636" i="34"/>
  <c r="M1637" i="34"/>
  <c r="M1638" i="34"/>
  <c r="M1639" i="34"/>
  <c r="M1640" i="34"/>
  <c r="M1641" i="34"/>
  <c r="M1642" i="34"/>
  <c r="M1643" i="34"/>
  <c r="M1644" i="34"/>
  <c r="M1645" i="34"/>
  <c r="M1646" i="34"/>
  <c r="M1647" i="34"/>
  <c r="M1648" i="34"/>
  <c r="M1649" i="34"/>
  <c r="M1650" i="34"/>
  <c r="M1651" i="34"/>
  <c r="M1652" i="34"/>
  <c r="M1653" i="34"/>
  <c r="M1654" i="34"/>
  <c r="M1655" i="34"/>
  <c r="M1656" i="34"/>
  <c r="M1657" i="34"/>
  <c r="M1658" i="34"/>
  <c r="M1659" i="34"/>
  <c r="M1660" i="34"/>
  <c r="M1661" i="34"/>
  <c r="C58" i="15"/>
  <c r="D58" i="15"/>
  <c r="H97" i="45" s="1"/>
  <c r="C55" i="15"/>
  <c r="D55" i="15"/>
  <c r="C43" i="15"/>
  <c r="D43" i="15"/>
  <c r="C39" i="15"/>
  <c r="D39" i="15"/>
  <c r="C37" i="15"/>
  <c r="D37" i="15"/>
  <c r="D34" i="15"/>
  <c r="C34" i="15"/>
  <c r="D32" i="15"/>
  <c r="C32" i="15"/>
  <c r="D25" i="15"/>
  <c r="C25" i="15"/>
  <c r="D21" i="15"/>
  <c r="C21" i="15"/>
  <c r="D19" i="15"/>
  <c r="C19" i="15"/>
  <c r="D14" i="15"/>
  <c r="C14" i="15"/>
  <c r="D11" i="15"/>
  <c r="C11" i="15"/>
  <c r="E2021" i="34"/>
  <c r="B2021" i="34"/>
  <c r="A2021" i="34" s="1"/>
  <c r="M2005" i="34"/>
  <c r="E2005" i="34"/>
  <c r="B2005" i="34"/>
  <c r="A2005" i="34" s="1"/>
  <c r="M2020" i="34"/>
  <c r="E2020" i="34"/>
  <c r="B2020" i="34"/>
  <c r="A2020" i="34" s="1"/>
  <c r="J2002" i="34"/>
  <c r="J2006" i="34"/>
  <c r="J2010" i="34"/>
  <c r="M2010" i="34" s="1"/>
  <c r="E2010" i="34"/>
  <c r="B2010" i="34"/>
  <c r="A2010" i="34" s="1"/>
  <c r="C79" i="15" l="1"/>
  <c r="S2021" i="34"/>
  <c r="Q2021" i="34"/>
  <c r="R2021" i="34"/>
  <c r="Q2010" i="34"/>
  <c r="R2010" i="34"/>
  <c r="S2010" i="34"/>
  <c r="S2005" i="34"/>
  <c r="Q2005" i="34"/>
  <c r="R2005" i="34"/>
  <c r="Q2020" i="34"/>
  <c r="R2020" i="34"/>
  <c r="S2020" i="34"/>
  <c r="D79" i="15"/>
  <c r="M2006" i="34"/>
  <c r="M2002" i="34"/>
  <c r="M2016" i="34"/>
  <c r="F159" i="60" l="1"/>
  <c r="C10" i="60"/>
  <c r="F10" i="60"/>
  <c r="F141" i="60"/>
  <c r="M1807" i="34"/>
  <c r="C1807" i="34"/>
  <c r="AD1807" i="34" s="1"/>
  <c r="M1806" i="34"/>
  <c r="C1806" i="34"/>
  <c r="AD1806" i="34" s="1"/>
  <c r="M1805" i="34"/>
  <c r="C1805" i="34"/>
  <c r="AD1805" i="34" s="1"/>
  <c r="M1804" i="34"/>
  <c r="C1804" i="34"/>
  <c r="AD1804" i="34" s="1"/>
  <c r="M1721" i="34"/>
  <c r="C1721" i="34"/>
  <c r="AD1721" i="34" s="1"/>
  <c r="M1720" i="34"/>
  <c r="C1720" i="34"/>
  <c r="AD1720" i="34" s="1"/>
  <c r="M1719" i="34"/>
  <c r="C1719" i="34"/>
  <c r="AD1719" i="34" s="1"/>
  <c r="M1718" i="34"/>
  <c r="C1718" i="34"/>
  <c r="AD1718" i="34" s="1"/>
  <c r="M1717" i="34"/>
  <c r="C1717" i="34"/>
  <c r="AD1717" i="34" s="1"/>
  <c r="M1716" i="34"/>
  <c r="C1716" i="34"/>
  <c r="AD1716" i="34" s="1"/>
  <c r="M1715" i="34"/>
  <c r="C1715" i="34"/>
  <c r="AD1715" i="34" s="1"/>
  <c r="M1714" i="34"/>
  <c r="C1714" i="34"/>
  <c r="AD1714" i="34" s="1"/>
  <c r="M1713" i="34"/>
  <c r="C1713" i="34"/>
  <c r="AD1713" i="34" s="1"/>
  <c r="M1712" i="34"/>
  <c r="C1712" i="34"/>
  <c r="AD1712" i="34" s="1"/>
  <c r="M1956" i="34"/>
  <c r="C1956" i="34"/>
  <c r="AD1956" i="34" s="1"/>
  <c r="M1955" i="34"/>
  <c r="C1955" i="34"/>
  <c r="AD1955" i="34" s="1"/>
  <c r="M1954" i="34"/>
  <c r="C1954" i="34"/>
  <c r="AD1954" i="34" s="1"/>
  <c r="M1953" i="34"/>
  <c r="C1953" i="34"/>
  <c r="AD1953" i="34" s="1"/>
  <c r="M1952" i="34"/>
  <c r="C1952" i="34"/>
  <c r="AD1952" i="34" s="1"/>
  <c r="M1951" i="34"/>
  <c r="C1951" i="34"/>
  <c r="AD1951" i="34" s="1"/>
  <c r="M1950" i="34"/>
  <c r="C1950" i="34"/>
  <c r="AD1950" i="34" s="1"/>
  <c r="M1949" i="34"/>
  <c r="C1949" i="34"/>
  <c r="AD1949" i="34" s="1"/>
  <c r="M1948" i="34"/>
  <c r="C1948" i="34"/>
  <c r="AD1948" i="34" s="1"/>
  <c r="M1947" i="34"/>
  <c r="C1947" i="34"/>
  <c r="AD1947" i="34" s="1"/>
  <c r="M1946" i="34"/>
  <c r="C1946" i="34"/>
  <c r="AD1946" i="34" s="1"/>
  <c r="M1945" i="34"/>
  <c r="C1945" i="34"/>
  <c r="AD1945" i="34" s="1"/>
  <c r="M1944" i="34"/>
  <c r="C1944" i="34"/>
  <c r="AD1944" i="34" s="1"/>
  <c r="M2414" i="34"/>
  <c r="C2414" i="34"/>
  <c r="M2413" i="34"/>
  <c r="C2413" i="34"/>
  <c r="M2411" i="34"/>
  <c r="C2411" i="34"/>
  <c r="M2410" i="34"/>
  <c r="C2410" i="34"/>
  <c r="M2409" i="34"/>
  <c r="C2409" i="34"/>
  <c r="M2408" i="34"/>
  <c r="C2408" i="34"/>
  <c r="M2407" i="34"/>
  <c r="C2407" i="34"/>
  <c r="M2406" i="34"/>
  <c r="C2406" i="34"/>
  <c r="M2405" i="34"/>
  <c r="C2405" i="34"/>
  <c r="M2404" i="34"/>
  <c r="C2404" i="34"/>
  <c r="M2403" i="34"/>
  <c r="C2403" i="34"/>
  <c r="M2402" i="34"/>
  <c r="C2402" i="34"/>
  <c r="M2401" i="34"/>
  <c r="C2401" i="34"/>
  <c r="M2400" i="34"/>
  <c r="C2400" i="34"/>
  <c r="M1957" i="34"/>
  <c r="C1957" i="34"/>
  <c r="AD1957" i="34" s="1"/>
  <c r="M2422" i="34"/>
  <c r="C2422" i="34"/>
  <c r="M2421" i="34"/>
  <c r="C2421" i="34"/>
  <c r="M2420" i="34"/>
  <c r="C2420" i="34"/>
  <c r="M2419" i="34"/>
  <c r="C2419" i="34"/>
  <c r="M2418" i="34"/>
  <c r="C2418" i="34"/>
  <c r="M2417" i="34"/>
  <c r="C2417" i="34"/>
  <c r="M2416" i="34"/>
  <c r="C2416" i="34"/>
  <c r="M2415" i="34"/>
  <c r="C2415" i="34"/>
  <c r="F104" i="60"/>
  <c r="M1380" i="34"/>
  <c r="C1380" i="34"/>
  <c r="AD1380" i="34" s="1"/>
  <c r="M1379" i="34"/>
  <c r="C1379" i="34"/>
  <c r="AD1379" i="34" s="1"/>
  <c r="M1378" i="34"/>
  <c r="C1378" i="34"/>
  <c r="AD1378" i="34" s="1"/>
  <c r="M1377" i="34"/>
  <c r="C1377" i="34"/>
  <c r="AD1377" i="34" s="1"/>
  <c r="M1376" i="34"/>
  <c r="C1376" i="34"/>
  <c r="AD1376" i="34" s="1"/>
  <c r="M1375" i="34"/>
  <c r="C1375" i="34"/>
  <c r="AD1375" i="34" s="1"/>
  <c r="M1374" i="34"/>
  <c r="C1374" i="34"/>
  <c r="AD1374" i="34" s="1"/>
  <c r="M1373" i="34"/>
  <c r="C1373" i="34"/>
  <c r="AD1373" i="34" s="1"/>
  <c r="M1372" i="34"/>
  <c r="C1372" i="34"/>
  <c r="AD1372" i="34" s="1"/>
  <c r="M1371" i="34"/>
  <c r="C1371" i="34"/>
  <c r="AD1371" i="34" s="1"/>
  <c r="M1370" i="34"/>
  <c r="C1370" i="34"/>
  <c r="AD1370" i="34" s="1"/>
  <c r="M1549" i="34"/>
  <c r="C1549" i="34"/>
  <c r="AD1549" i="34" s="1"/>
  <c r="M1548" i="34"/>
  <c r="C1548" i="34"/>
  <c r="AD1548" i="34" s="1"/>
  <c r="M1547" i="34"/>
  <c r="C1547" i="34"/>
  <c r="AD1547" i="34" s="1"/>
  <c r="M1546" i="34"/>
  <c r="C1546" i="34"/>
  <c r="AD1546" i="34" s="1"/>
  <c r="M1545" i="34"/>
  <c r="C1545" i="34"/>
  <c r="AD1545" i="34" s="1"/>
  <c r="M1544" i="34"/>
  <c r="C1544" i="34"/>
  <c r="AD1544" i="34" s="1"/>
  <c r="M1385" i="34"/>
  <c r="C1385" i="34"/>
  <c r="AD1385" i="34" s="1"/>
  <c r="M1384" i="34"/>
  <c r="C1384" i="34"/>
  <c r="AD1384" i="34" s="1"/>
  <c r="M1383" i="34"/>
  <c r="C1383" i="34"/>
  <c r="AD1383" i="34" s="1"/>
  <c r="M1382" i="34"/>
  <c r="C1382" i="34"/>
  <c r="AD1382" i="34" s="1"/>
  <c r="M1381" i="34"/>
  <c r="C1381" i="34"/>
  <c r="AD1381" i="34" s="1"/>
  <c r="V93" i="60"/>
  <c r="L84" i="60" s="1"/>
  <c r="M1223" i="34"/>
  <c r="C1223" i="34"/>
  <c r="AD1223" i="34" s="1"/>
  <c r="M1222" i="34"/>
  <c r="C1222" i="34"/>
  <c r="AD1222" i="34" s="1"/>
  <c r="M1221" i="34"/>
  <c r="C1221" i="34"/>
  <c r="AD1221" i="34" s="1"/>
  <c r="M1220" i="34"/>
  <c r="C1220" i="34"/>
  <c r="AD1220" i="34" s="1"/>
  <c r="M1219" i="34"/>
  <c r="C1219" i="34"/>
  <c r="AD1219" i="34" s="1"/>
  <c r="M1218" i="34"/>
  <c r="C1218" i="34"/>
  <c r="AD1218" i="34" s="1"/>
  <c r="M1217" i="34"/>
  <c r="C1217" i="34"/>
  <c r="AD1217" i="34" s="1"/>
  <c r="M1216" i="34"/>
  <c r="C1216" i="34"/>
  <c r="AD1216" i="34" s="1"/>
  <c r="M1552" i="34"/>
  <c r="C1552" i="34"/>
  <c r="AD1552" i="34" s="1"/>
  <c r="M1551" i="34"/>
  <c r="C1551" i="34"/>
  <c r="AD1551" i="34" s="1"/>
  <c r="M1550" i="34"/>
  <c r="C1550" i="34"/>
  <c r="AD1550" i="34" s="1"/>
  <c r="M1226" i="34"/>
  <c r="C1226" i="34"/>
  <c r="AD1226" i="34" s="1"/>
  <c r="M1225" i="34"/>
  <c r="C1225" i="34"/>
  <c r="AD1225" i="34" s="1"/>
  <c r="M1224" i="34"/>
  <c r="C1224" i="34"/>
  <c r="AD1224" i="34" s="1"/>
  <c r="AD2415" i="34" l="1"/>
  <c r="B2415" i="34"/>
  <c r="A2415" i="34" s="1"/>
  <c r="AD2417" i="34"/>
  <c r="B2417" i="34"/>
  <c r="A2417" i="34" s="1"/>
  <c r="AD2419" i="34"/>
  <c r="B2419" i="34"/>
  <c r="A2419" i="34" s="1"/>
  <c r="AD2421" i="34"/>
  <c r="B2421" i="34"/>
  <c r="A2421" i="34" s="1"/>
  <c r="AD2401" i="34"/>
  <c r="B2401" i="34"/>
  <c r="A2401" i="34" s="1"/>
  <c r="AD2403" i="34"/>
  <c r="B2403" i="34"/>
  <c r="A2403" i="34" s="1"/>
  <c r="AD2405" i="34"/>
  <c r="B2405" i="34"/>
  <c r="A2405" i="34" s="1"/>
  <c r="AD2407" i="34"/>
  <c r="B2407" i="34"/>
  <c r="A2407" i="34" s="1"/>
  <c r="AD2409" i="34"/>
  <c r="B2409" i="34"/>
  <c r="A2409" i="34" s="1"/>
  <c r="AD2411" i="34"/>
  <c r="B2411" i="34"/>
  <c r="A2411" i="34" s="1"/>
  <c r="AD2414" i="34"/>
  <c r="B2414" i="34"/>
  <c r="A2414" i="34" s="1"/>
  <c r="AD2416" i="34"/>
  <c r="B2416" i="34"/>
  <c r="A2416" i="34" s="1"/>
  <c r="AD2418" i="34"/>
  <c r="B2418" i="34"/>
  <c r="A2418" i="34" s="1"/>
  <c r="AD2420" i="34"/>
  <c r="B2420" i="34"/>
  <c r="A2420" i="34" s="1"/>
  <c r="AD2422" i="34"/>
  <c r="B2422" i="34"/>
  <c r="A2422" i="34" s="1"/>
  <c r="AD2400" i="34"/>
  <c r="B2400" i="34"/>
  <c r="A2400" i="34" s="1"/>
  <c r="AD2402" i="34"/>
  <c r="B2402" i="34"/>
  <c r="A2402" i="34" s="1"/>
  <c r="AD2404" i="34"/>
  <c r="B2404" i="34"/>
  <c r="A2404" i="34" s="1"/>
  <c r="AD2406" i="34"/>
  <c r="B2406" i="34"/>
  <c r="A2406" i="34" s="1"/>
  <c r="AD2408" i="34"/>
  <c r="B2408" i="34"/>
  <c r="A2408" i="34" s="1"/>
  <c r="AD2410" i="34"/>
  <c r="B2410" i="34"/>
  <c r="A2410" i="34" s="1"/>
  <c r="AD2413" i="34"/>
  <c r="B2413" i="34"/>
  <c r="A2413" i="34" s="1"/>
  <c r="B1225" i="34"/>
  <c r="A1225" i="34" s="1"/>
  <c r="B1948" i="34"/>
  <c r="A1948" i="34" s="1"/>
  <c r="B1804" i="34"/>
  <c r="A1804" i="34" s="1"/>
  <c r="B1717" i="34"/>
  <c r="A1717" i="34" s="1"/>
  <c r="B1715" i="34"/>
  <c r="A1715" i="34" s="1"/>
  <c r="B1719" i="34"/>
  <c r="A1719" i="34" s="1"/>
  <c r="B1221" i="34"/>
  <c r="A1221" i="34" s="1"/>
  <c r="B1721" i="34"/>
  <c r="A1721" i="34" s="1"/>
  <c r="B1955" i="34"/>
  <c r="A1955" i="34" s="1"/>
  <c r="B1952" i="34"/>
  <c r="A1952" i="34" s="1"/>
  <c r="B1957" i="34"/>
  <c r="A1957" i="34" s="1"/>
  <c r="B1713" i="34"/>
  <c r="A1713" i="34" s="1"/>
  <c r="B1944" i="34"/>
  <c r="A1944" i="34" s="1"/>
  <c r="B1950" i="34"/>
  <c r="A1950" i="34" s="1"/>
  <c r="B1951" i="34"/>
  <c r="A1951" i="34" s="1"/>
  <c r="B1954" i="34"/>
  <c r="A1954" i="34" s="1"/>
  <c r="B1370" i="34"/>
  <c r="A1370" i="34" s="1"/>
  <c r="B1382" i="34"/>
  <c r="A1382" i="34" s="1"/>
  <c r="B1384" i="34"/>
  <c r="A1384" i="34" s="1"/>
  <c r="B1544" i="34"/>
  <c r="A1544" i="34" s="1"/>
  <c r="B1378" i="34"/>
  <c r="A1378" i="34" s="1"/>
  <c r="B1946" i="34"/>
  <c r="A1946" i="34" s="1"/>
  <c r="B1947" i="34"/>
  <c r="A1947" i="34" s="1"/>
  <c r="B1949" i="34"/>
  <c r="A1949" i="34" s="1"/>
  <c r="B1712" i="34"/>
  <c r="A1712" i="34" s="1"/>
  <c r="B1714" i="34"/>
  <c r="A1714" i="34" s="1"/>
  <c r="B1716" i="34"/>
  <c r="A1716" i="34" s="1"/>
  <c r="B1718" i="34"/>
  <c r="A1718" i="34" s="1"/>
  <c r="B1720" i="34"/>
  <c r="A1720" i="34" s="1"/>
  <c r="B1805" i="34"/>
  <c r="A1805" i="34" s="1"/>
  <c r="B1807" i="34"/>
  <c r="A1807" i="34" s="1"/>
  <c r="B1945" i="34"/>
  <c r="A1945" i="34" s="1"/>
  <c r="B1953" i="34"/>
  <c r="A1953" i="34" s="1"/>
  <c r="B1806" i="34"/>
  <c r="A1806" i="34" s="1"/>
  <c r="B1956" i="34"/>
  <c r="A1956" i="34" s="1"/>
  <c r="B1372" i="34"/>
  <c r="A1372" i="34" s="1"/>
  <c r="B1373" i="34"/>
  <c r="A1373" i="34" s="1"/>
  <c r="B1375" i="34"/>
  <c r="A1375" i="34" s="1"/>
  <c r="B1376" i="34"/>
  <c r="A1376" i="34" s="1"/>
  <c r="B1377" i="34"/>
  <c r="A1377" i="34" s="1"/>
  <c r="B1371" i="34"/>
  <c r="A1371" i="34" s="1"/>
  <c r="B1374" i="34"/>
  <c r="A1374" i="34" s="1"/>
  <c r="B1379" i="34"/>
  <c r="A1379" i="34" s="1"/>
  <c r="B1550" i="34"/>
  <c r="A1550" i="34" s="1"/>
  <c r="B1380" i="34"/>
  <c r="A1380" i="34" s="1"/>
  <c r="B1546" i="34"/>
  <c r="A1546" i="34" s="1"/>
  <c r="B1548" i="34"/>
  <c r="A1548" i="34" s="1"/>
  <c r="B1551" i="34"/>
  <c r="A1551" i="34" s="1"/>
  <c r="B1381" i="34"/>
  <c r="A1381" i="34" s="1"/>
  <c r="B1383" i="34"/>
  <c r="A1383" i="34" s="1"/>
  <c r="B1385" i="34"/>
  <c r="A1385" i="34" s="1"/>
  <c r="B1545" i="34"/>
  <c r="A1545" i="34" s="1"/>
  <c r="B1547" i="34"/>
  <c r="A1547" i="34" s="1"/>
  <c r="B1549" i="34"/>
  <c r="A1549" i="34" s="1"/>
  <c r="B1217" i="34"/>
  <c r="A1217" i="34" s="1"/>
  <c r="B1218" i="34"/>
  <c r="A1218" i="34" s="1"/>
  <c r="B1224" i="34"/>
  <c r="A1224" i="34" s="1"/>
  <c r="B1226" i="34"/>
  <c r="A1226" i="34" s="1"/>
  <c r="B1216" i="34"/>
  <c r="A1216" i="34" s="1"/>
  <c r="B1219" i="34"/>
  <c r="A1219" i="34" s="1"/>
  <c r="B1220" i="34"/>
  <c r="A1220" i="34" s="1"/>
  <c r="B1222" i="34"/>
  <c r="A1222" i="34" s="1"/>
  <c r="B1223" i="34"/>
  <c r="A1223" i="34" s="1"/>
  <c r="B1552" i="34"/>
  <c r="A1552" i="34" s="1"/>
  <c r="V54" i="60"/>
  <c r="L46" i="60" s="1"/>
  <c r="V55" i="60"/>
  <c r="F47" i="60"/>
  <c r="M1100" i="34"/>
  <c r="C1100" i="34"/>
  <c r="AD1100" i="34" s="1"/>
  <c r="M1099" i="34"/>
  <c r="C1099" i="34"/>
  <c r="AD1099" i="34" s="1"/>
  <c r="M1098" i="34"/>
  <c r="C1098" i="34"/>
  <c r="AD1098" i="34" s="1"/>
  <c r="M1097" i="34"/>
  <c r="C1097" i="34"/>
  <c r="AD1097" i="34" s="1"/>
  <c r="M1096" i="34"/>
  <c r="C1096" i="34"/>
  <c r="AD1096" i="34" s="1"/>
  <c r="M1095" i="34"/>
  <c r="C1095" i="34"/>
  <c r="AD1095" i="34" s="1"/>
  <c r="M1094" i="34"/>
  <c r="C1094" i="34"/>
  <c r="AD1094" i="34" s="1"/>
  <c r="M988" i="34"/>
  <c r="C988" i="34"/>
  <c r="AD988" i="34" s="1"/>
  <c r="M987" i="34"/>
  <c r="C987" i="34"/>
  <c r="AD987" i="34" s="1"/>
  <c r="M986" i="34"/>
  <c r="C986" i="34"/>
  <c r="AD986" i="34" s="1"/>
  <c r="M985" i="34"/>
  <c r="C985" i="34"/>
  <c r="AD985" i="34" s="1"/>
  <c r="M1554" i="34"/>
  <c r="C1554" i="34"/>
  <c r="AD1554" i="34" s="1"/>
  <c r="M1103" i="34"/>
  <c r="C1103" i="34"/>
  <c r="AD1103" i="34" s="1"/>
  <c r="M1102" i="34"/>
  <c r="C1102" i="34"/>
  <c r="AD1102" i="34" s="1"/>
  <c r="M1101" i="34"/>
  <c r="C1101" i="34"/>
  <c r="AD1101" i="34" s="1"/>
  <c r="M912" i="34"/>
  <c r="M913" i="34"/>
  <c r="M914" i="34"/>
  <c r="M915" i="34"/>
  <c r="M916" i="34"/>
  <c r="M917" i="34"/>
  <c r="M918" i="34"/>
  <c r="M919" i="34"/>
  <c r="M920" i="34"/>
  <c r="M921" i="34"/>
  <c r="M922" i="34"/>
  <c r="M923" i="34"/>
  <c r="M1555" i="34"/>
  <c r="M1556" i="34"/>
  <c r="M1557" i="34"/>
  <c r="M1558" i="34"/>
  <c r="M911" i="34"/>
  <c r="C917" i="34"/>
  <c r="AD917" i="34" s="1"/>
  <c r="C916" i="34"/>
  <c r="AD916" i="34" s="1"/>
  <c r="C915" i="34"/>
  <c r="AD915" i="34" s="1"/>
  <c r="C914" i="34"/>
  <c r="AD914" i="34" s="1"/>
  <c r="C913" i="34"/>
  <c r="AD913" i="34" s="1"/>
  <c r="C912" i="34"/>
  <c r="AD912" i="34" s="1"/>
  <c r="C923" i="34"/>
  <c r="AD923" i="34" s="1"/>
  <c r="C922" i="34"/>
  <c r="AD922" i="34" s="1"/>
  <c r="C921" i="34"/>
  <c r="AD921" i="34" s="1"/>
  <c r="C920" i="34"/>
  <c r="AD920" i="34" s="1"/>
  <c r="C919" i="34"/>
  <c r="AD919" i="34" s="1"/>
  <c r="C918" i="34"/>
  <c r="AD918" i="34" s="1"/>
  <c r="C1555" i="34"/>
  <c r="AD1555" i="34" s="1"/>
  <c r="C1556" i="34"/>
  <c r="AD1556" i="34" s="1"/>
  <c r="C1557" i="34"/>
  <c r="AD1557" i="34" s="1"/>
  <c r="C1558" i="34"/>
  <c r="AD1558" i="34" s="1"/>
  <c r="Q1222" i="34" l="1"/>
  <c r="R1222" i="34"/>
  <c r="S1222" i="34"/>
  <c r="Q1226" i="34"/>
  <c r="R1226" i="34"/>
  <c r="S1226" i="34"/>
  <c r="R1549" i="34"/>
  <c r="S1549" i="34"/>
  <c r="Q1549" i="34"/>
  <c r="S1383" i="34"/>
  <c r="Q1383" i="34"/>
  <c r="R1383" i="34"/>
  <c r="Q1546" i="34"/>
  <c r="R1546" i="34"/>
  <c r="S1546" i="34"/>
  <c r="Q1374" i="34"/>
  <c r="R1374" i="34"/>
  <c r="S1374" i="34"/>
  <c r="S1375" i="34"/>
  <c r="Q1375" i="34"/>
  <c r="R1375" i="34"/>
  <c r="R2420" i="34"/>
  <c r="S2420" i="34"/>
  <c r="Q2420" i="34"/>
  <c r="Q2415" i="34"/>
  <c r="R2415" i="34"/>
  <c r="S2415" i="34"/>
  <c r="R1806" i="34"/>
  <c r="S1806" i="34"/>
  <c r="Q1806" i="34"/>
  <c r="Q1805" i="34"/>
  <c r="R1805" i="34"/>
  <c r="S1805" i="34"/>
  <c r="R1714" i="34"/>
  <c r="S1714" i="34"/>
  <c r="Q1714" i="34"/>
  <c r="S1946" i="34"/>
  <c r="Q1946" i="34"/>
  <c r="R1946" i="34"/>
  <c r="Q1382" i="34"/>
  <c r="R1382" i="34"/>
  <c r="S1382" i="34"/>
  <c r="S1950" i="34"/>
  <c r="Q1950" i="34"/>
  <c r="R1950" i="34"/>
  <c r="Q2413" i="34"/>
  <c r="R2413" i="34"/>
  <c r="S2413" i="34"/>
  <c r="Q1957" i="34"/>
  <c r="R1957" i="34"/>
  <c r="S1957" i="34"/>
  <c r="R2408" i="34"/>
  <c r="S2408" i="34"/>
  <c r="Q2408" i="34"/>
  <c r="R2410" i="34"/>
  <c r="S2410" i="34"/>
  <c r="Q2410" i="34"/>
  <c r="Q1719" i="34"/>
  <c r="R1719" i="34"/>
  <c r="S1719" i="34"/>
  <c r="R1804" i="34"/>
  <c r="S1804" i="34"/>
  <c r="Q1804" i="34"/>
  <c r="Q1220" i="34"/>
  <c r="R1220" i="34"/>
  <c r="S1220" i="34"/>
  <c r="Q1224" i="34"/>
  <c r="R1224" i="34"/>
  <c r="S1224" i="34"/>
  <c r="R1547" i="34"/>
  <c r="S1547" i="34"/>
  <c r="Q1547" i="34"/>
  <c r="S1381" i="34"/>
  <c r="Q1381" i="34"/>
  <c r="R1381" i="34"/>
  <c r="Q1380" i="34"/>
  <c r="R1380" i="34"/>
  <c r="S1380" i="34"/>
  <c r="S1371" i="34"/>
  <c r="Q1371" i="34"/>
  <c r="R1371" i="34"/>
  <c r="S1373" i="34"/>
  <c r="Q1373" i="34"/>
  <c r="R1373" i="34"/>
  <c r="R2418" i="34"/>
  <c r="S2418" i="34"/>
  <c r="Q2418" i="34"/>
  <c r="Q2417" i="34"/>
  <c r="R2417" i="34"/>
  <c r="S2417" i="34"/>
  <c r="Q1953" i="34"/>
  <c r="R1953" i="34"/>
  <c r="S1953" i="34"/>
  <c r="R1720" i="34"/>
  <c r="S1720" i="34"/>
  <c r="Q1720" i="34"/>
  <c r="R1712" i="34"/>
  <c r="S1712" i="34"/>
  <c r="Q1712" i="34"/>
  <c r="Q1378" i="34"/>
  <c r="R1378" i="34"/>
  <c r="S1378" i="34"/>
  <c r="Q1370" i="34"/>
  <c r="R1370" i="34"/>
  <c r="S1370" i="34"/>
  <c r="S1944" i="34"/>
  <c r="Q1944" i="34"/>
  <c r="R1944" i="34"/>
  <c r="Q2409" i="34"/>
  <c r="R2409" i="34"/>
  <c r="S2409" i="34"/>
  <c r="S1952" i="34"/>
  <c r="Q1952" i="34"/>
  <c r="R1952" i="34"/>
  <c r="Q2407" i="34"/>
  <c r="R2407" i="34"/>
  <c r="S2407" i="34"/>
  <c r="Q1721" i="34"/>
  <c r="R1721" i="34"/>
  <c r="S1721" i="34"/>
  <c r="Q1715" i="34"/>
  <c r="R1715" i="34"/>
  <c r="S1715" i="34"/>
  <c r="S1948" i="34"/>
  <c r="Q1948" i="34"/>
  <c r="R1948" i="34"/>
  <c r="Q1552" i="34"/>
  <c r="R1552" i="34"/>
  <c r="S1552" i="34"/>
  <c r="S1219" i="34"/>
  <c r="Q1219" i="34"/>
  <c r="R1219" i="34"/>
  <c r="Q1218" i="34"/>
  <c r="R1218" i="34"/>
  <c r="S1218" i="34"/>
  <c r="R1545" i="34"/>
  <c r="Q1545" i="34"/>
  <c r="S1545" i="34"/>
  <c r="R1551" i="34"/>
  <c r="S1551" i="34"/>
  <c r="Q1551" i="34"/>
  <c r="Q1550" i="34"/>
  <c r="R1550" i="34"/>
  <c r="S1550" i="34"/>
  <c r="S1377" i="34"/>
  <c r="Q1377" i="34"/>
  <c r="R1377" i="34"/>
  <c r="Q1372" i="34"/>
  <c r="R1372" i="34"/>
  <c r="S1372" i="34"/>
  <c r="Q2421" i="34"/>
  <c r="R2421" i="34"/>
  <c r="S2421" i="34"/>
  <c r="S1956" i="34"/>
  <c r="Q1956" i="34"/>
  <c r="R1956" i="34"/>
  <c r="Q1945" i="34"/>
  <c r="R1945" i="34"/>
  <c r="S1945" i="34"/>
  <c r="R1718" i="34"/>
  <c r="S1718" i="34"/>
  <c r="Q1718" i="34"/>
  <c r="Q1949" i="34"/>
  <c r="R1949" i="34"/>
  <c r="S1949" i="34"/>
  <c r="R1544" i="34"/>
  <c r="S1544" i="34"/>
  <c r="Q1544" i="34"/>
  <c r="S1954" i="34"/>
  <c r="Q1954" i="34"/>
  <c r="R1954" i="34"/>
  <c r="R2402" i="34"/>
  <c r="S2402" i="34"/>
  <c r="Q2402" i="34"/>
  <c r="R2406" i="34"/>
  <c r="S2406" i="34"/>
  <c r="Q2406" i="34"/>
  <c r="R2404" i="34"/>
  <c r="S2404" i="34"/>
  <c r="Q2404" i="34"/>
  <c r="Q1955" i="34"/>
  <c r="R1955" i="34"/>
  <c r="S1955" i="34"/>
  <c r="S1221" i="34"/>
  <c r="Q1221" i="34"/>
  <c r="R1221" i="34"/>
  <c r="R2400" i="34"/>
  <c r="S2400" i="34"/>
  <c r="Q2400" i="34"/>
  <c r="Q2405" i="34"/>
  <c r="R2405" i="34"/>
  <c r="S2405" i="34"/>
  <c r="S1223" i="34"/>
  <c r="Q1223" i="34"/>
  <c r="R1223" i="34"/>
  <c r="Q1216" i="34"/>
  <c r="R1216" i="34"/>
  <c r="S1216" i="34"/>
  <c r="S1217" i="34"/>
  <c r="Q1217" i="34"/>
  <c r="R1217" i="34"/>
  <c r="S1385" i="34"/>
  <c r="Q1385" i="34"/>
  <c r="R1385" i="34"/>
  <c r="Q1548" i="34"/>
  <c r="R1548" i="34"/>
  <c r="S1548" i="34"/>
  <c r="S1379" i="34"/>
  <c r="Q1379" i="34"/>
  <c r="R1379" i="34"/>
  <c r="Q1376" i="34"/>
  <c r="R1376" i="34"/>
  <c r="S1376" i="34"/>
  <c r="R2422" i="34"/>
  <c r="S2422" i="34"/>
  <c r="Q2422" i="34"/>
  <c r="R2414" i="34"/>
  <c r="S2414" i="34"/>
  <c r="Q2414" i="34"/>
  <c r="R2416" i="34"/>
  <c r="S2416" i="34"/>
  <c r="Q2416" i="34"/>
  <c r="Q1807" i="34"/>
  <c r="R1807" i="34"/>
  <c r="S1807" i="34"/>
  <c r="R1716" i="34"/>
  <c r="S1716" i="34"/>
  <c r="Q1716" i="34"/>
  <c r="Q1947" i="34"/>
  <c r="R1947" i="34"/>
  <c r="S1947" i="34"/>
  <c r="Q1384" i="34"/>
  <c r="R1384" i="34"/>
  <c r="S1384" i="34"/>
  <c r="Q1951" i="34"/>
  <c r="R1951" i="34"/>
  <c r="S1951" i="34"/>
  <c r="Q1713" i="34"/>
  <c r="R1713" i="34"/>
  <c r="S1713" i="34"/>
  <c r="Q2401" i="34"/>
  <c r="R2401" i="34"/>
  <c r="S2401" i="34"/>
  <c r="Q2403" i="34"/>
  <c r="R2403" i="34"/>
  <c r="S2403" i="34"/>
  <c r="Q2411" i="34"/>
  <c r="R2411" i="34"/>
  <c r="S2411" i="34"/>
  <c r="Q2419" i="34"/>
  <c r="R2419" i="34"/>
  <c r="S2419" i="34"/>
  <c r="Q1717" i="34"/>
  <c r="R1717" i="34"/>
  <c r="S1717" i="34"/>
  <c r="S1225" i="34"/>
  <c r="Q1225" i="34"/>
  <c r="R1225" i="34"/>
  <c r="B911" i="34"/>
  <c r="A911" i="34" s="1"/>
  <c r="B913" i="34"/>
  <c r="A913" i="34" s="1"/>
  <c r="B914" i="34"/>
  <c r="A914" i="34" s="1"/>
  <c r="B922" i="34"/>
  <c r="A922" i="34" s="1"/>
  <c r="B912" i="34"/>
  <c r="A912" i="34" s="1"/>
  <c r="B918" i="34"/>
  <c r="A918" i="34" s="1"/>
  <c r="B920" i="34"/>
  <c r="A920" i="34" s="1"/>
  <c r="L47" i="60"/>
  <c r="L48" i="60"/>
  <c r="B1096" i="34"/>
  <c r="A1096" i="34" s="1"/>
  <c r="B1094" i="34"/>
  <c r="A1094" i="34" s="1"/>
  <c r="B988" i="34"/>
  <c r="A988" i="34" s="1"/>
  <c r="B986" i="34"/>
  <c r="A986" i="34" s="1"/>
  <c r="B985" i="34"/>
  <c r="A985" i="34" s="1"/>
  <c r="B987" i="34"/>
  <c r="A987" i="34" s="1"/>
  <c r="B1095" i="34"/>
  <c r="A1095" i="34" s="1"/>
  <c r="B1097" i="34"/>
  <c r="A1097" i="34" s="1"/>
  <c r="B1099" i="34"/>
  <c r="A1099" i="34" s="1"/>
  <c r="B1098" i="34"/>
  <c r="A1098" i="34" s="1"/>
  <c r="B1100" i="34"/>
  <c r="A1100" i="34" s="1"/>
  <c r="B1101" i="34"/>
  <c r="A1101" i="34" s="1"/>
  <c r="B1103" i="34"/>
  <c r="A1103" i="34" s="1"/>
  <c r="B1102" i="34"/>
  <c r="A1102" i="34" s="1"/>
  <c r="B1554" i="34"/>
  <c r="A1554" i="34" s="1"/>
  <c r="B916" i="34"/>
  <c r="A916" i="34" s="1"/>
  <c r="B915" i="34"/>
  <c r="A915" i="34" s="1"/>
  <c r="B917" i="34"/>
  <c r="A917" i="34" s="1"/>
  <c r="B919" i="34"/>
  <c r="A919" i="34" s="1"/>
  <c r="B921" i="34"/>
  <c r="A921" i="34" s="1"/>
  <c r="B923" i="34"/>
  <c r="A923" i="34" s="1"/>
  <c r="B1558" i="34"/>
  <c r="A1558" i="34" s="1"/>
  <c r="B1557" i="34"/>
  <c r="A1557" i="34" s="1"/>
  <c r="B1556" i="34"/>
  <c r="A1556" i="34" s="1"/>
  <c r="B1555" i="34"/>
  <c r="A1555" i="34" s="1"/>
  <c r="F8" i="60"/>
  <c r="F9" i="60"/>
  <c r="F11" i="60"/>
  <c r="C11" i="60"/>
  <c r="C12" i="60"/>
  <c r="C7" i="60"/>
  <c r="C8" i="60"/>
  <c r="F160" i="60"/>
  <c r="F161" i="60"/>
  <c r="F143" i="60"/>
  <c r="F107" i="60"/>
  <c r="F108" i="60"/>
  <c r="F109" i="60"/>
  <c r="F106" i="60"/>
  <c r="F110" i="60"/>
  <c r="F81" i="60"/>
  <c r="F82" i="60"/>
  <c r="F83" i="60"/>
  <c r="F84" i="60"/>
  <c r="F86" i="60"/>
  <c r="F87" i="60"/>
  <c r="F64" i="60"/>
  <c r="F65" i="60"/>
  <c r="F66" i="60"/>
  <c r="F48" i="60"/>
  <c r="F26" i="60"/>
  <c r="F12" i="60"/>
  <c r="F13" i="60"/>
  <c r="F14" i="60"/>
  <c r="F15" i="60"/>
  <c r="C159" i="60"/>
  <c r="C160" i="60"/>
  <c r="C161" i="60"/>
  <c r="M61" i="60"/>
  <c r="M68" i="60" s="1"/>
  <c r="O61" i="60"/>
  <c r="C64" i="60"/>
  <c r="V63" i="60"/>
  <c r="V64" i="60"/>
  <c r="V65" i="60"/>
  <c r="V66" i="60"/>
  <c r="V67" i="60"/>
  <c r="V144" i="60"/>
  <c r="V145" i="60"/>
  <c r="V146" i="60"/>
  <c r="R1557" i="34" l="1"/>
  <c r="S1557" i="34"/>
  <c r="Q1557" i="34"/>
  <c r="R919" i="34"/>
  <c r="S919" i="34"/>
  <c r="Q919" i="34"/>
  <c r="Q1554" i="34"/>
  <c r="R1554" i="34"/>
  <c r="S1554" i="34"/>
  <c r="R1100" i="34"/>
  <c r="S1100" i="34"/>
  <c r="Q1100" i="34"/>
  <c r="Q1095" i="34"/>
  <c r="R1095" i="34"/>
  <c r="S1095" i="34"/>
  <c r="Q988" i="34"/>
  <c r="R988" i="34"/>
  <c r="S988" i="34"/>
  <c r="Q922" i="34"/>
  <c r="R922" i="34"/>
  <c r="S922" i="34"/>
  <c r="Q1558" i="34"/>
  <c r="R1558" i="34"/>
  <c r="S1558" i="34"/>
  <c r="R917" i="34"/>
  <c r="S917" i="34"/>
  <c r="Q917" i="34"/>
  <c r="R1102" i="34"/>
  <c r="S1102" i="34"/>
  <c r="Q1102" i="34"/>
  <c r="R1098" i="34"/>
  <c r="S1098" i="34"/>
  <c r="Q1098" i="34"/>
  <c r="R987" i="34"/>
  <c r="S987" i="34"/>
  <c r="Q987" i="34"/>
  <c r="R1094" i="34"/>
  <c r="S1094" i="34"/>
  <c r="Q1094" i="34"/>
  <c r="Q920" i="34"/>
  <c r="R920" i="34"/>
  <c r="S920" i="34"/>
  <c r="Q914" i="34"/>
  <c r="R914" i="34"/>
  <c r="S914" i="34"/>
  <c r="R1555" i="34"/>
  <c r="S1555" i="34"/>
  <c r="Q1555" i="34"/>
  <c r="R923" i="34"/>
  <c r="S923" i="34"/>
  <c r="Q923" i="34"/>
  <c r="R915" i="34"/>
  <c r="S915" i="34"/>
  <c r="Q915" i="34"/>
  <c r="Q1103" i="34"/>
  <c r="R1103" i="34"/>
  <c r="S1103" i="34"/>
  <c r="Q1099" i="34"/>
  <c r="R1099" i="34"/>
  <c r="S1099" i="34"/>
  <c r="R985" i="34"/>
  <c r="S985" i="34"/>
  <c r="Q985" i="34"/>
  <c r="R1096" i="34"/>
  <c r="S1096" i="34"/>
  <c r="Q1096" i="34"/>
  <c r="Q918" i="34"/>
  <c r="R918" i="34"/>
  <c r="S918" i="34"/>
  <c r="R913" i="34"/>
  <c r="S913" i="34"/>
  <c r="Q913" i="34"/>
  <c r="Q1556" i="34"/>
  <c r="R1556" i="34"/>
  <c r="S1556" i="34"/>
  <c r="R921" i="34"/>
  <c r="S921" i="34"/>
  <c r="Q921" i="34"/>
  <c r="Q916" i="34"/>
  <c r="R916" i="34"/>
  <c r="S916" i="34"/>
  <c r="Q1101" i="34"/>
  <c r="R1101" i="34"/>
  <c r="S1101" i="34"/>
  <c r="Q1097" i="34"/>
  <c r="R1097" i="34"/>
  <c r="S1097" i="34"/>
  <c r="Q986" i="34"/>
  <c r="R986" i="34"/>
  <c r="S986" i="34"/>
  <c r="Q912" i="34"/>
  <c r="R912" i="34"/>
  <c r="S912" i="34"/>
  <c r="R911" i="34"/>
  <c r="S911" i="34"/>
  <c r="Q911" i="34"/>
  <c r="E50" i="60"/>
  <c r="E17" i="60"/>
  <c r="V187" i="60"/>
  <c r="V189" i="60"/>
  <c r="V190" i="60"/>
  <c r="V191" i="60"/>
  <c r="C178" i="60"/>
  <c r="D179" i="60"/>
  <c r="G179" i="60" s="1"/>
  <c r="C180" i="60"/>
  <c r="D180" i="60" s="1"/>
  <c r="G180" i="60" s="1"/>
  <c r="C181" i="60"/>
  <c r="C182" i="60"/>
  <c r="D182" i="60" s="1"/>
  <c r="G182" i="60" s="1"/>
  <c r="C183" i="60"/>
  <c r="V180" i="60"/>
  <c r="V179" i="60"/>
  <c r="C177" i="60"/>
  <c r="C176" i="60"/>
  <c r="C157" i="60"/>
  <c r="C141" i="60"/>
  <c r="D141" i="60" s="1"/>
  <c r="G141" i="60" s="1"/>
  <c r="C142" i="60"/>
  <c r="D142" i="60" s="1"/>
  <c r="G142" i="60" s="1"/>
  <c r="G27" i="60"/>
  <c r="C140" i="60"/>
  <c r="D140" i="60" s="1"/>
  <c r="G140" i="60" s="1"/>
  <c r="C104" i="60"/>
  <c r="D104" i="60" s="1"/>
  <c r="G104" i="60" s="1"/>
  <c r="C107" i="60"/>
  <c r="D107" i="60" s="1"/>
  <c r="G107" i="60" s="1"/>
  <c r="C108" i="60"/>
  <c r="D108" i="60" s="1"/>
  <c r="G108" i="60" s="1"/>
  <c r="C109" i="60"/>
  <c r="D109" i="60" s="1"/>
  <c r="G109" i="60" s="1"/>
  <c r="C106" i="60"/>
  <c r="D106" i="60" s="1"/>
  <c r="C110" i="60"/>
  <c r="D110" i="60" s="1"/>
  <c r="G110" i="60" s="1"/>
  <c r="C81" i="60"/>
  <c r="C82" i="60"/>
  <c r="D82" i="60" s="1"/>
  <c r="G82" i="60" s="1"/>
  <c r="C83" i="60"/>
  <c r="D83" i="60" s="1"/>
  <c r="G83" i="60" s="1"/>
  <c r="C84" i="60"/>
  <c r="D84" i="60" s="1"/>
  <c r="G84" i="60" s="1"/>
  <c r="C85" i="60"/>
  <c r="D85" i="60" s="1"/>
  <c r="G85" i="60" s="1"/>
  <c r="C86" i="60"/>
  <c r="D86" i="60" s="1"/>
  <c r="G86" i="60" s="1"/>
  <c r="C87" i="60"/>
  <c r="D87" i="60" s="1"/>
  <c r="G87" i="60" s="1"/>
  <c r="C80" i="60"/>
  <c r="D80" i="60" s="1"/>
  <c r="C61" i="60"/>
  <c r="D61" i="60" s="1"/>
  <c r="C65" i="60"/>
  <c r="D65" i="60" s="1"/>
  <c r="G65" i="60" s="1"/>
  <c r="C66" i="60"/>
  <c r="D66" i="60" s="1"/>
  <c r="G66" i="60" s="1"/>
  <c r="C62" i="60"/>
  <c r="C44" i="60"/>
  <c r="C45" i="60"/>
  <c r="D45" i="60" s="1"/>
  <c r="G45" i="60" s="1"/>
  <c r="C46" i="60"/>
  <c r="D46" i="60" s="1"/>
  <c r="G46" i="60" s="1"/>
  <c r="C47" i="60"/>
  <c r="D47" i="60" s="1"/>
  <c r="G47" i="60" s="1"/>
  <c r="C48" i="60"/>
  <c r="D48" i="60" s="1"/>
  <c r="G48" i="60" s="1"/>
  <c r="C43" i="60"/>
  <c r="D43" i="60" s="1"/>
  <c r="G43" i="60" s="1"/>
  <c r="C27" i="60"/>
  <c r="C26" i="60"/>
  <c r="C9" i="60"/>
  <c r="C13" i="60"/>
  <c r="C14" i="60"/>
  <c r="C15" i="60"/>
  <c r="V127" i="60"/>
  <c r="O89" i="60"/>
  <c r="E89" i="60"/>
  <c r="A44" i="60"/>
  <c r="A45" i="60" s="1"/>
  <c r="A46" i="60" s="1"/>
  <c r="A47" i="60" s="1"/>
  <c r="A48" i="60" s="1"/>
  <c r="O62" i="60"/>
  <c r="V53" i="60"/>
  <c r="L45" i="60" s="1"/>
  <c r="M403" i="34"/>
  <c r="M405" i="34"/>
  <c r="M508" i="34"/>
  <c r="M860" i="34"/>
  <c r="M363" i="34"/>
  <c r="M50" i="60"/>
  <c r="C1774" i="34"/>
  <c r="AD1774" i="34" s="1"/>
  <c r="C1878" i="34"/>
  <c r="M1878" i="34"/>
  <c r="M1774" i="34"/>
  <c r="C1667" i="34"/>
  <c r="AD1667" i="34" s="1"/>
  <c r="C1671" i="34"/>
  <c r="AD1671" i="34" s="1"/>
  <c r="C1673" i="34"/>
  <c r="AD1673" i="34" s="1"/>
  <c r="C1668" i="34"/>
  <c r="AD1668" i="34" s="1"/>
  <c r="M1667" i="34"/>
  <c r="M1671" i="34"/>
  <c r="M1673" i="34"/>
  <c r="M1668" i="34"/>
  <c r="M1678" i="34"/>
  <c r="C1494" i="34"/>
  <c r="AD1494" i="34" s="1"/>
  <c r="AD1878" i="34" l="1"/>
  <c r="B1878" i="34"/>
  <c r="A1878" i="34" s="1"/>
  <c r="G61" i="60"/>
  <c r="G106" i="60"/>
  <c r="G131" i="60" s="1"/>
  <c r="D131" i="60"/>
  <c r="J105" i="60" s="1"/>
  <c r="N104" i="60"/>
  <c r="L183" i="60"/>
  <c r="L181" i="60"/>
  <c r="L182" i="60"/>
  <c r="L179" i="60"/>
  <c r="L178" i="60"/>
  <c r="B1668" i="34"/>
  <c r="A1668" i="34" s="1"/>
  <c r="B1667" i="34"/>
  <c r="A1667" i="34" s="1"/>
  <c r="B1494" i="34"/>
  <c r="A1494" i="34" s="1"/>
  <c r="O68" i="60"/>
  <c r="B1671" i="34"/>
  <c r="A1671" i="34" s="1"/>
  <c r="V52" i="60"/>
  <c r="E163" i="60"/>
  <c r="T75" i="60"/>
  <c r="T170" i="60"/>
  <c r="T192" i="60"/>
  <c r="D44" i="60"/>
  <c r="D50" i="60" s="1"/>
  <c r="T129" i="60"/>
  <c r="B1673" i="34"/>
  <c r="A1673" i="34" s="1"/>
  <c r="O50" i="60"/>
  <c r="B1774" i="34"/>
  <c r="A1774" i="34" s="1"/>
  <c r="C1495" i="34"/>
  <c r="AD1495" i="34" s="1"/>
  <c r="Q1667" i="34" l="1"/>
  <c r="R1667" i="34"/>
  <c r="S1667" i="34"/>
  <c r="Q1671" i="34"/>
  <c r="R1671" i="34"/>
  <c r="S1671" i="34"/>
  <c r="R1668" i="34"/>
  <c r="S1668" i="34"/>
  <c r="Q1668" i="34"/>
  <c r="Q1878" i="34"/>
  <c r="R1878" i="34"/>
  <c r="S1878" i="34"/>
  <c r="Q1673" i="34"/>
  <c r="R1673" i="34"/>
  <c r="S1673" i="34"/>
  <c r="R1774" i="34"/>
  <c r="S1774" i="34"/>
  <c r="Q1774" i="34"/>
  <c r="S1494" i="34"/>
  <c r="Q1494" i="34"/>
  <c r="R1494" i="34"/>
  <c r="L44" i="60"/>
  <c r="L43" i="60"/>
  <c r="N43" i="60" s="1"/>
  <c r="B1495" i="34"/>
  <c r="A1495" i="34" s="1"/>
  <c r="T56" i="60"/>
  <c r="V56" i="60"/>
  <c r="D64" i="60"/>
  <c r="G64" i="60" s="1"/>
  <c r="G44" i="60"/>
  <c r="J45" i="60"/>
  <c r="M1498" i="34"/>
  <c r="C1496" i="34"/>
  <c r="AD1496" i="34" s="1"/>
  <c r="M1496" i="34"/>
  <c r="M1500" i="34"/>
  <c r="M1501" i="34"/>
  <c r="M1502" i="34"/>
  <c r="M1495" i="34"/>
  <c r="M1494" i="34"/>
  <c r="M1499" i="34"/>
  <c r="M1503" i="34"/>
  <c r="M1512" i="34"/>
  <c r="M1513" i="34"/>
  <c r="M1302" i="34"/>
  <c r="M1300" i="34"/>
  <c r="M1307" i="34"/>
  <c r="C1300" i="34"/>
  <c r="AD1300" i="34" s="1"/>
  <c r="M1173" i="34"/>
  <c r="M1051" i="34"/>
  <c r="M1046" i="34"/>
  <c r="M1181" i="34"/>
  <c r="M1182" i="34"/>
  <c r="M1183" i="34"/>
  <c r="M1184" i="34"/>
  <c r="M1185" i="34"/>
  <c r="M1040" i="34"/>
  <c r="C1040" i="34"/>
  <c r="AD1040" i="34" s="1"/>
  <c r="C1042" i="34"/>
  <c r="AD1042" i="34" s="1"/>
  <c r="C1048" i="34"/>
  <c r="AD1048" i="34" s="1"/>
  <c r="G50" i="60" l="1"/>
  <c r="Q1495" i="34"/>
  <c r="R1495" i="34"/>
  <c r="S1495" i="34"/>
  <c r="B1496" i="34"/>
  <c r="A1496" i="34" s="1"/>
  <c r="B1300" i="34"/>
  <c r="A1300" i="34" s="1"/>
  <c r="P43" i="60"/>
  <c r="K48" i="60"/>
  <c r="K44" i="60"/>
  <c r="K45" i="60"/>
  <c r="H47" i="60"/>
  <c r="K46" i="60"/>
  <c r="H48" i="60"/>
  <c r="J46" i="60"/>
  <c r="J47" i="60"/>
  <c r="J48" i="60"/>
  <c r="K47" i="60"/>
  <c r="H46" i="60"/>
  <c r="H44" i="60"/>
  <c r="H45" i="60"/>
  <c r="J44" i="60"/>
  <c r="V36" i="60"/>
  <c r="B1040" i="34"/>
  <c r="A1040" i="34" s="1"/>
  <c r="V198" i="60"/>
  <c r="V199" i="60"/>
  <c r="V200" i="60"/>
  <c r="V201" i="60"/>
  <c r="V202" i="60"/>
  <c r="V203" i="60"/>
  <c r="S1496" i="34" l="1"/>
  <c r="Q1496" i="34"/>
  <c r="R1496" i="34"/>
  <c r="R1040" i="34"/>
  <c r="S1040" i="34"/>
  <c r="Q1040" i="34"/>
  <c r="Q1300" i="34"/>
  <c r="R1300" i="34"/>
  <c r="S1300" i="34"/>
  <c r="V128" i="60"/>
  <c r="V129" i="60" s="1"/>
  <c r="V105" i="60"/>
  <c r="V106" i="60"/>
  <c r="V107" i="60"/>
  <c r="V108" i="60"/>
  <c r="V109" i="60"/>
  <c r="V110" i="60"/>
  <c r="V92" i="60"/>
  <c r="L82" i="60" s="1"/>
  <c r="V94" i="60"/>
  <c r="V95" i="60"/>
  <c r="V96" i="60"/>
  <c r="L86" i="60" s="1"/>
  <c r="V97" i="60"/>
  <c r="L87" i="60" s="1"/>
  <c r="V89" i="60"/>
  <c r="V90" i="60"/>
  <c r="T99" i="60"/>
  <c r="V82" i="60"/>
  <c r="V83" i="60"/>
  <c r="V84" i="60"/>
  <c r="V85" i="60"/>
  <c r="V86" i="60"/>
  <c r="V70" i="60"/>
  <c r="V71" i="60"/>
  <c r="L64" i="60" s="1"/>
  <c r="V72" i="60"/>
  <c r="L65" i="60" s="1"/>
  <c r="V73" i="60"/>
  <c r="L66" i="60" s="1"/>
  <c r="V74" i="60"/>
  <c r="V44" i="60"/>
  <c r="V45" i="60"/>
  <c r="V46" i="60"/>
  <c r="V47" i="60"/>
  <c r="V48" i="60"/>
  <c r="V49" i="60"/>
  <c r="L63" i="60" l="1"/>
  <c r="L61" i="60"/>
  <c r="N61" i="60" s="1"/>
  <c r="L62" i="60"/>
  <c r="L80" i="60"/>
  <c r="L85" i="60"/>
  <c r="L83" i="60"/>
  <c r="C1037" i="34"/>
  <c r="AD1037" i="34" s="1"/>
  <c r="C875" i="34"/>
  <c r="AD875" i="34" s="1"/>
  <c r="C876" i="34"/>
  <c r="AD876" i="34" s="1"/>
  <c r="C877" i="34"/>
  <c r="AD877" i="34" s="1"/>
  <c r="C878" i="34"/>
  <c r="AD878" i="34" s="1"/>
  <c r="C879" i="34"/>
  <c r="AD879" i="34" s="1"/>
  <c r="C880" i="34"/>
  <c r="AD880" i="34" s="1"/>
  <c r="C881" i="34"/>
  <c r="AD881" i="34" s="1"/>
  <c r="C882" i="34"/>
  <c r="AD882" i="34" s="1"/>
  <c r="C883" i="34"/>
  <c r="AD883" i="34" s="1"/>
  <c r="C884" i="34"/>
  <c r="AD884" i="34" s="1"/>
  <c r="C885" i="34"/>
  <c r="AD885" i="34" s="1"/>
  <c r="C971" i="34"/>
  <c r="AD971" i="34" s="1"/>
  <c r="C972" i="34"/>
  <c r="AD972" i="34" s="1"/>
  <c r="C973" i="34"/>
  <c r="AD973" i="34" s="1"/>
  <c r="C1043" i="34"/>
  <c r="AD1043" i="34" s="1"/>
  <c r="C1044" i="34"/>
  <c r="AD1044" i="34" s="1"/>
  <c r="C1047" i="34"/>
  <c r="AD1047" i="34" s="1"/>
  <c r="C1045" i="34"/>
  <c r="AD1045" i="34" s="1"/>
  <c r="C1036" i="34"/>
  <c r="AD1036" i="34" s="1"/>
  <c r="C1049" i="34"/>
  <c r="AD1049" i="34" s="1"/>
  <c r="C1050" i="34"/>
  <c r="AD1050" i="34" s="1"/>
  <c r="C1051" i="34"/>
  <c r="AD1051" i="34" s="1"/>
  <c r="C1046" i="34"/>
  <c r="AD1046" i="34" s="1"/>
  <c r="C1173" i="34"/>
  <c r="AD1173" i="34" s="1"/>
  <c r="C1181" i="34"/>
  <c r="AD1181" i="34" s="1"/>
  <c r="C1182" i="34"/>
  <c r="AD1182" i="34" s="1"/>
  <c r="C1183" i="34"/>
  <c r="AD1183" i="34" s="1"/>
  <c r="C1184" i="34"/>
  <c r="AD1184" i="34" s="1"/>
  <c r="C1185" i="34"/>
  <c r="AD1185" i="34" s="1"/>
  <c r="C1178" i="34"/>
  <c r="AD1178" i="34" s="1"/>
  <c r="C1177" i="34"/>
  <c r="AD1177" i="34" s="1"/>
  <c r="C1176" i="34"/>
  <c r="AD1176" i="34" s="1"/>
  <c r="C1180" i="34"/>
  <c r="AD1180" i="34" s="1"/>
  <c r="C1179" i="34"/>
  <c r="AD1179" i="34" s="1"/>
  <c r="C1303" i="34"/>
  <c r="AD1303" i="34" s="1"/>
  <c r="C1304" i="34"/>
  <c r="AD1304" i="34" s="1"/>
  <c r="C1305" i="34"/>
  <c r="AD1305" i="34" s="1"/>
  <c r="C1306" i="34"/>
  <c r="AD1306" i="34" s="1"/>
  <c r="C1307" i="34"/>
  <c r="AD1307" i="34" s="1"/>
  <c r="C1302" i="34"/>
  <c r="AD1302" i="34" s="1"/>
  <c r="C1308" i="34"/>
  <c r="AD1308" i="34" s="1"/>
  <c r="C1309" i="34"/>
  <c r="AD1309" i="34" s="1"/>
  <c r="C1310" i="34"/>
  <c r="AD1310" i="34" s="1"/>
  <c r="C1500" i="34"/>
  <c r="AD1500" i="34" s="1"/>
  <c r="C1501" i="34"/>
  <c r="AD1501" i="34" s="1"/>
  <c r="C1502" i="34"/>
  <c r="AD1502" i="34" s="1"/>
  <c r="C1498" i="34"/>
  <c r="AD1498" i="34" s="1"/>
  <c r="C1499" i="34"/>
  <c r="AD1499" i="34" s="1"/>
  <c r="C1503" i="34"/>
  <c r="AD1503" i="34" s="1"/>
  <c r="C1512" i="34"/>
  <c r="AD1512" i="34" s="1"/>
  <c r="C1513" i="34"/>
  <c r="AD1513" i="34" s="1"/>
  <c r="C1511" i="34"/>
  <c r="AD1511" i="34" s="1"/>
  <c r="C1514" i="34"/>
  <c r="AD1514" i="34" s="1"/>
  <c r="C1515" i="34"/>
  <c r="AD1515" i="34" s="1"/>
  <c r="C1516" i="34"/>
  <c r="AD1516" i="34" s="1"/>
  <c r="C1517" i="34"/>
  <c r="AD1517" i="34" s="1"/>
  <c r="C1518" i="34"/>
  <c r="AD1518" i="34" s="1"/>
  <c r="C1519" i="34"/>
  <c r="AD1519" i="34" s="1"/>
  <c r="C1520" i="34"/>
  <c r="AD1520" i="34" s="1"/>
  <c r="C1521" i="34"/>
  <c r="AD1521" i="34" s="1"/>
  <c r="C1522" i="34"/>
  <c r="AD1522" i="34" s="1"/>
  <c r="C1504" i="34"/>
  <c r="AD1504" i="34" s="1"/>
  <c r="C1505" i="34"/>
  <c r="AD1505" i="34" s="1"/>
  <c r="C1506" i="34"/>
  <c r="AD1506" i="34" s="1"/>
  <c r="C1507" i="34"/>
  <c r="AD1507" i="34" s="1"/>
  <c r="C1508" i="34"/>
  <c r="AD1508" i="34" s="1"/>
  <c r="C1509" i="34"/>
  <c r="AD1509" i="34" s="1"/>
  <c r="C1510" i="34"/>
  <c r="AD1510" i="34" s="1"/>
  <c r="C1674" i="34"/>
  <c r="AD1674" i="34" s="1"/>
  <c r="C1675" i="34"/>
  <c r="AD1675" i="34" s="1"/>
  <c r="C1676" i="34"/>
  <c r="AD1676" i="34" s="1"/>
  <c r="C1677" i="34"/>
  <c r="AD1677" i="34" s="1"/>
  <c r="C1678" i="34"/>
  <c r="AD1678" i="34" s="1"/>
  <c r="C1679" i="34"/>
  <c r="AD1679" i="34" s="1"/>
  <c r="C1680" i="34"/>
  <c r="AD1680" i="34" s="1"/>
  <c r="C1681" i="34"/>
  <c r="AD1681" i="34" s="1"/>
  <c r="C1682" i="34"/>
  <c r="AD1682" i="34" s="1"/>
  <c r="C1683" i="34"/>
  <c r="AD1683" i="34" s="1"/>
  <c r="C1684" i="34"/>
  <c r="AD1684" i="34" s="1"/>
  <c r="C1685" i="34"/>
  <c r="AD1685" i="34" s="1"/>
  <c r="C1686" i="34"/>
  <c r="AD1686" i="34" s="1"/>
  <c r="C1775" i="34"/>
  <c r="AD1775" i="34" s="1"/>
  <c r="C1776" i="34"/>
  <c r="AD1776" i="34" s="1"/>
  <c r="C1777" i="34"/>
  <c r="AD1777" i="34" s="1"/>
  <c r="C1889" i="34"/>
  <c r="AD1889" i="34" s="1"/>
  <c r="C1890" i="34"/>
  <c r="AD1890" i="34" s="1"/>
  <c r="C1891" i="34"/>
  <c r="AD1891" i="34" s="1"/>
  <c r="C1892" i="34"/>
  <c r="AD1892" i="34" s="1"/>
  <c r="C1893" i="34"/>
  <c r="AD1893" i="34" s="1"/>
  <c r="C1894" i="34"/>
  <c r="AD1894" i="34" s="1"/>
  <c r="C1882" i="34"/>
  <c r="AD1882" i="34" s="1"/>
  <c r="C1883" i="34"/>
  <c r="AD1883" i="34" s="1"/>
  <c r="C1884" i="34"/>
  <c r="AD1884" i="34" s="1"/>
  <c r="C1881" i="34"/>
  <c r="AD1881" i="34" s="1"/>
  <c r="C1885" i="34"/>
  <c r="AD1885" i="34" s="1"/>
  <c r="C1886" i="34"/>
  <c r="AD1886" i="34" s="1"/>
  <c r="C1887" i="34"/>
  <c r="AD1887" i="34" s="1"/>
  <c r="C1888" i="34"/>
  <c r="AD1888" i="34" s="1"/>
  <c r="C2068" i="34"/>
  <c r="AD2068" i="34" s="1"/>
  <c r="C2067" i="34"/>
  <c r="AD2067" i="34" s="1"/>
  <c r="C2069" i="34"/>
  <c r="AD2069" i="34" s="1"/>
  <c r="C2070" i="34"/>
  <c r="AD2070" i="34" s="1"/>
  <c r="C2071" i="34"/>
  <c r="AD2071" i="34" s="1"/>
  <c r="M1036" i="34"/>
  <c r="M874" i="34"/>
  <c r="M875" i="34"/>
  <c r="C874" i="34"/>
  <c r="AD874" i="34" s="1"/>
  <c r="B1509" i="34" l="1"/>
  <c r="A1509" i="34" s="1"/>
  <c r="B1506" i="34"/>
  <c r="A1506" i="34" s="1"/>
  <c r="B1522" i="34"/>
  <c r="A1522" i="34" s="1"/>
  <c r="B1518" i="34"/>
  <c r="A1518" i="34" s="1"/>
  <c r="B1505" i="34"/>
  <c r="A1505" i="34" s="1"/>
  <c r="B1521" i="34"/>
  <c r="A1521" i="34" s="1"/>
  <c r="B1517" i="34"/>
  <c r="A1517" i="34" s="1"/>
  <c r="B1510" i="34"/>
  <c r="A1510" i="34" s="1"/>
  <c r="B1508" i="34"/>
  <c r="A1508" i="34" s="1"/>
  <c r="B1504" i="34"/>
  <c r="A1504" i="34" s="1"/>
  <c r="B1520" i="34"/>
  <c r="A1520" i="34" s="1"/>
  <c r="B1516" i="34"/>
  <c r="A1516" i="34" s="1"/>
  <c r="B1507" i="34"/>
  <c r="A1507" i="34" s="1"/>
  <c r="B1519" i="34"/>
  <c r="A1519" i="34" s="1"/>
  <c r="B1515" i="34"/>
  <c r="A1515" i="34" s="1"/>
  <c r="B1514" i="34"/>
  <c r="A1514" i="34" s="1"/>
  <c r="B1503" i="34"/>
  <c r="A1503" i="34" s="1"/>
  <c r="B1501" i="34"/>
  <c r="A1501" i="34" s="1"/>
  <c r="B1511" i="34"/>
  <c r="A1511" i="34" s="1"/>
  <c r="B1499" i="34"/>
  <c r="A1499" i="34" s="1"/>
  <c r="B1500" i="34"/>
  <c r="A1500" i="34" s="1"/>
  <c r="B1513" i="34"/>
  <c r="A1513" i="34" s="1"/>
  <c r="B1498" i="34"/>
  <c r="A1498" i="34" s="1"/>
  <c r="B1512" i="34"/>
  <c r="A1512" i="34" s="1"/>
  <c r="B1502" i="34"/>
  <c r="A1502" i="34" s="1"/>
  <c r="B1304" i="34"/>
  <c r="A1304" i="34" s="1"/>
  <c r="B1303" i="34"/>
  <c r="A1303" i="34" s="1"/>
  <c r="B1305" i="34"/>
  <c r="A1305" i="34" s="1"/>
  <c r="B875" i="34"/>
  <c r="A875" i="34" s="1"/>
  <c r="B874" i="34"/>
  <c r="A874" i="34" s="1"/>
  <c r="B1037" i="34"/>
  <c r="A1037" i="34" s="1"/>
  <c r="S1305" i="34" l="1"/>
  <c r="Q1305" i="34"/>
  <c r="R1305" i="34"/>
  <c r="S1512" i="34"/>
  <c r="Q1512" i="34"/>
  <c r="R1512" i="34"/>
  <c r="Q1499" i="34"/>
  <c r="R1499" i="34"/>
  <c r="S1499" i="34"/>
  <c r="S1514" i="34"/>
  <c r="Q1514" i="34"/>
  <c r="R1514" i="34"/>
  <c r="S1516" i="34"/>
  <c r="Q1516" i="34"/>
  <c r="R1516" i="34"/>
  <c r="S1510" i="34"/>
  <c r="Q1510" i="34"/>
  <c r="R1510" i="34"/>
  <c r="S1518" i="34"/>
  <c r="Q1518" i="34"/>
  <c r="R1518" i="34"/>
  <c r="Q1037" i="34"/>
  <c r="R1037" i="34"/>
  <c r="S1037" i="34"/>
  <c r="S1498" i="34"/>
  <c r="Q1498" i="34"/>
  <c r="R1498" i="34"/>
  <c r="Q1511" i="34"/>
  <c r="R1511" i="34"/>
  <c r="S1511" i="34"/>
  <c r="Q1515" i="34"/>
  <c r="R1515" i="34"/>
  <c r="S1515" i="34"/>
  <c r="S1520" i="34"/>
  <c r="R1520" i="34"/>
  <c r="Q1520" i="34"/>
  <c r="Q1517" i="34"/>
  <c r="R1517" i="34"/>
  <c r="S1517" i="34"/>
  <c r="S1522" i="34"/>
  <c r="R1522" i="34"/>
  <c r="Q1522" i="34"/>
  <c r="R874" i="34"/>
  <c r="S874" i="34"/>
  <c r="Q874" i="34"/>
  <c r="Q1304" i="34"/>
  <c r="R1304" i="34"/>
  <c r="S1304" i="34"/>
  <c r="Q1513" i="34"/>
  <c r="R1513" i="34"/>
  <c r="S1513" i="34"/>
  <c r="Q1501" i="34"/>
  <c r="R1501" i="34"/>
  <c r="S1501" i="34"/>
  <c r="Q1519" i="34"/>
  <c r="R1519" i="34"/>
  <c r="S1519" i="34"/>
  <c r="S1504" i="34"/>
  <c r="Q1504" i="34"/>
  <c r="R1504" i="34"/>
  <c r="Q1521" i="34"/>
  <c r="R1521" i="34"/>
  <c r="S1521" i="34"/>
  <c r="S1506" i="34"/>
  <c r="Q1506" i="34"/>
  <c r="R1506" i="34"/>
  <c r="S1303" i="34"/>
  <c r="Q1303" i="34"/>
  <c r="R1303" i="34"/>
  <c r="Q875" i="34"/>
  <c r="R875" i="34"/>
  <c r="S875" i="34"/>
  <c r="S1502" i="34"/>
  <c r="Q1502" i="34"/>
  <c r="R1502" i="34"/>
  <c r="S1500" i="34"/>
  <c r="Q1500" i="34"/>
  <c r="R1500" i="34"/>
  <c r="Q1503" i="34"/>
  <c r="R1503" i="34"/>
  <c r="S1503" i="34"/>
  <c r="Q1507" i="34"/>
  <c r="R1507" i="34"/>
  <c r="S1507" i="34"/>
  <c r="S1508" i="34"/>
  <c r="Q1508" i="34"/>
  <c r="R1508" i="34"/>
  <c r="Q1505" i="34"/>
  <c r="R1505" i="34"/>
  <c r="S1505" i="34"/>
  <c r="Q1509" i="34"/>
  <c r="R1509" i="34"/>
  <c r="S1509" i="34"/>
  <c r="B77" i="55"/>
  <c r="B78" i="55" s="1"/>
  <c r="B79" i="55" s="1"/>
  <c r="B80" i="55" s="1"/>
  <c r="B81" i="55" s="1"/>
  <c r="B82" i="55" s="1"/>
  <c r="B83" i="55" s="1"/>
  <c r="B84" i="55" s="1"/>
  <c r="B85" i="55" s="1"/>
  <c r="B86" i="55" s="1"/>
  <c r="B87" i="55" s="1"/>
  <c r="B88" i="55" s="1"/>
  <c r="B89" i="55" s="1"/>
  <c r="M878" i="34"/>
  <c r="M879" i="34"/>
  <c r="M880" i="34"/>
  <c r="M881" i="34"/>
  <c r="M882" i="34"/>
  <c r="M883" i="34"/>
  <c r="M884" i="34"/>
  <c r="M885" i="34"/>
  <c r="M971" i="34"/>
  <c r="M972" i="34"/>
  <c r="M973" i="34"/>
  <c r="M1043" i="34"/>
  <c r="M1044" i="34"/>
  <c r="M1047" i="34"/>
  <c r="M1045" i="34"/>
  <c r="M1042" i="34"/>
  <c r="M1048" i="34"/>
  <c r="M1049" i="34"/>
  <c r="M1050" i="34"/>
  <c r="M1178" i="34"/>
  <c r="M1177" i="34"/>
  <c r="M1176" i="34"/>
  <c r="M1180" i="34"/>
  <c r="M1179" i="34"/>
  <c r="M1303" i="34"/>
  <c r="M1304" i="34"/>
  <c r="M1305" i="34"/>
  <c r="M1306" i="34"/>
  <c r="M1308" i="34"/>
  <c r="M1309" i="34"/>
  <c r="M1310" i="34"/>
  <c r="M1511" i="34"/>
  <c r="M1514" i="34"/>
  <c r="M1515" i="34"/>
  <c r="M1516" i="34"/>
  <c r="M1517" i="34"/>
  <c r="M1518" i="34"/>
  <c r="M1519" i="34"/>
  <c r="M1520" i="34"/>
  <c r="M1521" i="34"/>
  <c r="M1522" i="34"/>
  <c r="M1504" i="34"/>
  <c r="M1505" i="34"/>
  <c r="M1506" i="34"/>
  <c r="M1507" i="34"/>
  <c r="M1508" i="34"/>
  <c r="M1509" i="34"/>
  <c r="M1510" i="34"/>
  <c r="M1674" i="34"/>
  <c r="M1675" i="34"/>
  <c r="M1676" i="34"/>
  <c r="M1677" i="34"/>
  <c r="M1679" i="34"/>
  <c r="M1680" i="34"/>
  <c r="M1681" i="34"/>
  <c r="M1682" i="34"/>
  <c r="M1683" i="34"/>
  <c r="M1684" i="34"/>
  <c r="M1685" i="34"/>
  <c r="M1686" i="34"/>
  <c r="M1775" i="34"/>
  <c r="M1776" i="34"/>
  <c r="M1777" i="34"/>
  <c r="M1889" i="34"/>
  <c r="M1890" i="34"/>
  <c r="M1891" i="34"/>
  <c r="M1892" i="34"/>
  <c r="M1893" i="34"/>
  <c r="M1894" i="34"/>
  <c r="M1882" i="34"/>
  <c r="M1883" i="34"/>
  <c r="M1884" i="34"/>
  <c r="M1881" i="34"/>
  <c r="M1885" i="34"/>
  <c r="M1886" i="34"/>
  <c r="M1887" i="34"/>
  <c r="M1888" i="34"/>
  <c r="M2068" i="34"/>
  <c r="M2067" i="34"/>
  <c r="M2069" i="34"/>
  <c r="M2070" i="34"/>
  <c r="M2071" i="34"/>
  <c r="M877" i="34"/>
  <c r="M876" i="34"/>
  <c r="M886" i="34"/>
  <c r="B2071" i="34"/>
  <c r="A2071" i="34" s="1"/>
  <c r="B2070" i="34"/>
  <c r="A2070" i="34" s="1"/>
  <c r="B2069" i="34"/>
  <c r="A2069" i="34" s="1"/>
  <c r="B2067" i="34"/>
  <c r="A2067" i="34" s="1"/>
  <c r="B2068" i="34"/>
  <c r="A2068" i="34" s="1"/>
  <c r="B1888" i="34"/>
  <c r="A1888" i="34" s="1"/>
  <c r="B1887" i="34"/>
  <c r="A1887" i="34" s="1"/>
  <c r="B1886" i="34"/>
  <c r="A1886" i="34" s="1"/>
  <c r="B1885" i="34"/>
  <c r="A1885" i="34" s="1"/>
  <c r="B1881" i="34"/>
  <c r="A1881" i="34" s="1"/>
  <c r="B1884" i="34"/>
  <c r="A1884" i="34" s="1"/>
  <c r="B1883" i="34"/>
  <c r="A1883" i="34" s="1"/>
  <c r="B1882" i="34"/>
  <c r="A1882" i="34" s="1"/>
  <c r="B1894" i="34"/>
  <c r="A1894" i="34" s="1"/>
  <c r="B1893" i="34"/>
  <c r="A1893" i="34" s="1"/>
  <c r="B1892" i="34"/>
  <c r="A1892" i="34" s="1"/>
  <c r="B1891" i="34"/>
  <c r="A1891" i="34" s="1"/>
  <c r="B1890" i="34"/>
  <c r="A1890" i="34" s="1"/>
  <c r="B1889" i="34"/>
  <c r="A1889" i="34" s="1"/>
  <c r="B1777" i="34"/>
  <c r="A1777" i="34" s="1"/>
  <c r="B1776" i="34"/>
  <c r="A1776" i="34" s="1"/>
  <c r="B1775" i="34"/>
  <c r="A1775" i="34" s="1"/>
  <c r="B1686" i="34"/>
  <c r="A1686" i="34" s="1"/>
  <c r="B1685" i="34"/>
  <c r="A1685" i="34" s="1"/>
  <c r="B1684" i="34"/>
  <c r="A1684" i="34" s="1"/>
  <c r="B1683" i="34"/>
  <c r="A1683" i="34" s="1"/>
  <c r="B1682" i="34"/>
  <c r="A1682" i="34" s="1"/>
  <c r="B1681" i="34"/>
  <c r="A1681" i="34" s="1"/>
  <c r="B1680" i="34"/>
  <c r="A1680" i="34" s="1"/>
  <c r="B1679" i="34"/>
  <c r="A1679" i="34" s="1"/>
  <c r="B1678" i="34"/>
  <c r="A1678" i="34" s="1"/>
  <c r="B1677" i="34"/>
  <c r="A1677" i="34" s="1"/>
  <c r="B1676" i="34"/>
  <c r="A1676" i="34" s="1"/>
  <c r="B1675" i="34"/>
  <c r="A1675" i="34" s="1"/>
  <c r="B1674" i="34"/>
  <c r="A1674" i="34" s="1"/>
  <c r="B1310" i="34"/>
  <c r="A1310" i="34" s="1"/>
  <c r="B1309" i="34"/>
  <c r="A1309" i="34" s="1"/>
  <c r="B1308" i="34"/>
  <c r="A1308" i="34" s="1"/>
  <c r="B1302" i="34"/>
  <c r="A1302" i="34" s="1"/>
  <c r="B1307" i="34"/>
  <c r="A1307" i="34" s="1"/>
  <c r="B1306" i="34"/>
  <c r="A1306" i="34" s="1"/>
  <c r="B1179" i="34"/>
  <c r="A1179" i="34" s="1"/>
  <c r="B1180" i="34"/>
  <c r="A1180" i="34" s="1"/>
  <c r="B1176" i="34"/>
  <c r="A1176" i="34" s="1"/>
  <c r="B1177" i="34"/>
  <c r="A1177" i="34" s="1"/>
  <c r="B1178" i="34"/>
  <c r="A1178" i="34" s="1"/>
  <c r="B1185" i="34"/>
  <c r="A1185" i="34" s="1"/>
  <c r="B1184" i="34"/>
  <c r="A1184" i="34" s="1"/>
  <c r="B1183" i="34"/>
  <c r="A1183" i="34" s="1"/>
  <c r="B1182" i="34"/>
  <c r="A1182" i="34" s="1"/>
  <c r="B1181" i="34"/>
  <c r="A1181" i="34" s="1"/>
  <c r="B1173" i="34"/>
  <c r="A1173" i="34" s="1"/>
  <c r="B1046" i="34"/>
  <c r="A1046" i="34" s="1"/>
  <c r="B1051" i="34"/>
  <c r="A1051" i="34" s="1"/>
  <c r="B1050" i="34"/>
  <c r="A1050" i="34" s="1"/>
  <c r="B1049" i="34"/>
  <c r="A1049" i="34" s="1"/>
  <c r="B1048" i="34"/>
  <c r="A1048" i="34" s="1"/>
  <c r="B1042" i="34"/>
  <c r="A1042" i="34" s="1"/>
  <c r="B1045" i="34"/>
  <c r="A1045" i="34" s="1"/>
  <c r="B1047" i="34"/>
  <c r="A1047" i="34" s="1"/>
  <c r="B1044" i="34"/>
  <c r="A1044" i="34" s="1"/>
  <c r="B1043" i="34"/>
  <c r="A1043" i="34" s="1"/>
  <c r="B973" i="34"/>
  <c r="A973" i="34" s="1"/>
  <c r="B972" i="34"/>
  <c r="A972" i="34" s="1"/>
  <c r="B971" i="34"/>
  <c r="A971" i="34" s="1"/>
  <c r="B885" i="34"/>
  <c r="A885" i="34" s="1"/>
  <c r="B884" i="34"/>
  <c r="A884" i="34" s="1"/>
  <c r="B883" i="34"/>
  <c r="A883" i="34" s="1"/>
  <c r="B882" i="34"/>
  <c r="A882" i="34" s="1"/>
  <c r="B881" i="34"/>
  <c r="A881" i="34" s="1"/>
  <c r="B880" i="34"/>
  <c r="A880" i="34" s="1"/>
  <c r="B879" i="34"/>
  <c r="A879" i="34" s="1"/>
  <c r="B878" i="34"/>
  <c r="A878" i="34" s="1"/>
  <c r="B877" i="34"/>
  <c r="A877" i="34" s="1"/>
  <c r="R879" i="34" l="1"/>
  <c r="S879" i="34"/>
  <c r="Q879" i="34"/>
  <c r="Q1047" i="34"/>
  <c r="R1047" i="34"/>
  <c r="S1047" i="34"/>
  <c r="Q1184" i="34"/>
  <c r="R1184" i="34"/>
  <c r="S1184" i="34"/>
  <c r="Q1310" i="34"/>
  <c r="R1310" i="34"/>
  <c r="S1310" i="34"/>
  <c r="Q1892" i="34"/>
  <c r="R1892" i="34"/>
  <c r="S1892" i="34"/>
  <c r="S2067" i="34"/>
  <c r="Q2067" i="34"/>
  <c r="R2067" i="34"/>
  <c r="R973" i="34"/>
  <c r="S973" i="34"/>
  <c r="Q973" i="34"/>
  <c r="S1185" i="34"/>
  <c r="Q1185" i="34"/>
  <c r="R1185" i="34"/>
  <c r="R877" i="34"/>
  <c r="S877" i="34"/>
  <c r="Q877" i="34"/>
  <c r="R881" i="34"/>
  <c r="S881" i="34"/>
  <c r="Q881" i="34"/>
  <c r="R885" i="34"/>
  <c r="S885" i="34"/>
  <c r="Q885" i="34"/>
  <c r="Q1043" i="34"/>
  <c r="R1043" i="34"/>
  <c r="S1043" i="34"/>
  <c r="R1042" i="34"/>
  <c r="S1042" i="34"/>
  <c r="Q1042" i="34"/>
  <c r="R1051" i="34"/>
  <c r="S1051" i="34"/>
  <c r="Q1051" i="34"/>
  <c r="Q1182" i="34"/>
  <c r="R1182" i="34"/>
  <c r="S1182" i="34"/>
  <c r="Q1178" i="34"/>
  <c r="R1178" i="34"/>
  <c r="S1178" i="34"/>
  <c r="S1179" i="34"/>
  <c r="Q1179" i="34"/>
  <c r="R1179" i="34"/>
  <c r="Q1308" i="34"/>
  <c r="R1308" i="34"/>
  <c r="S1308" i="34"/>
  <c r="Q1675" i="34"/>
  <c r="R1675" i="34"/>
  <c r="S1675" i="34"/>
  <c r="Q1679" i="34"/>
  <c r="R1679" i="34"/>
  <c r="S1679" i="34"/>
  <c r="Q1683" i="34"/>
  <c r="R1683" i="34"/>
  <c r="S1683" i="34"/>
  <c r="Q1775" i="34"/>
  <c r="R1775" i="34"/>
  <c r="S1775" i="34"/>
  <c r="Q1890" i="34"/>
  <c r="R1890" i="34"/>
  <c r="S1890" i="34"/>
  <c r="Q1894" i="34"/>
  <c r="R1894" i="34"/>
  <c r="S1894" i="34"/>
  <c r="R1881" i="34"/>
  <c r="S1881" i="34"/>
  <c r="Q1881" i="34"/>
  <c r="Q1888" i="34"/>
  <c r="R1888" i="34"/>
  <c r="S1888" i="34"/>
  <c r="Q2070" i="34"/>
  <c r="R2070" i="34"/>
  <c r="S2070" i="34"/>
  <c r="Q972" i="34"/>
  <c r="R972" i="34"/>
  <c r="S972" i="34"/>
  <c r="S1173" i="34"/>
  <c r="R1173" i="34"/>
  <c r="Q1173" i="34"/>
  <c r="S1307" i="34"/>
  <c r="Q1307" i="34"/>
  <c r="R1307" i="34"/>
  <c r="Q1681" i="34"/>
  <c r="R1681" i="34"/>
  <c r="S1681" i="34"/>
  <c r="Q1777" i="34"/>
  <c r="R1777" i="34"/>
  <c r="S1777" i="34"/>
  <c r="R1883" i="34"/>
  <c r="S1883" i="34"/>
  <c r="Q1883" i="34"/>
  <c r="Q880" i="34"/>
  <c r="R880" i="34"/>
  <c r="S880" i="34"/>
  <c r="R1045" i="34"/>
  <c r="S1045" i="34"/>
  <c r="Q1045" i="34"/>
  <c r="S1181" i="34"/>
  <c r="Q1181" i="34"/>
  <c r="R1181" i="34"/>
  <c r="Q878" i="34"/>
  <c r="R878" i="34"/>
  <c r="S878" i="34"/>
  <c r="Q882" i="34"/>
  <c r="R882" i="34"/>
  <c r="S882" i="34"/>
  <c r="R971" i="34"/>
  <c r="S971" i="34"/>
  <c r="Q971" i="34"/>
  <c r="R1044" i="34"/>
  <c r="S1044" i="34"/>
  <c r="Q1044" i="34"/>
  <c r="Q1048" i="34"/>
  <c r="R1048" i="34"/>
  <c r="S1048" i="34"/>
  <c r="Q1046" i="34"/>
  <c r="R1046" i="34"/>
  <c r="S1046" i="34"/>
  <c r="S1183" i="34"/>
  <c r="Q1183" i="34"/>
  <c r="R1183" i="34"/>
  <c r="S1177" i="34"/>
  <c r="Q1177" i="34"/>
  <c r="R1177" i="34"/>
  <c r="Q1306" i="34"/>
  <c r="R1306" i="34"/>
  <c r="S1306" i="34"/>
  <c r="S1309" i="34"/>
  <c r="Q1309" i="34"/>
  <c r="R1309" i="34"/>
  <c r="R1676" i="34"/>
  <c r="S1676" i="34"/>
  <c r="Q1676" i="34"/>
  <c r="R1680" i="34"/>
  <c r="S1680" i="34"/>
  <c r="Q1680" i="34"/>
  <c r="R1684" i="34"/>
  <c r="S1684" i="34"/>
  <c r="Q1684" i="34"/>
  <c r="R1776" i="34"/>
  <c r="S1776" i="34"/>
  <c r="Q1776" i="34"/>
  <c r="R1891" i="34"/>
  <c r="S1891" i="34"/>
  <c r="Q1891" i="34"/>
  <c r="Q1882" i="34"/>
  <c r="R1882" i="34"/>
  <c r="S1882" i="34"/>
  <c r="R1885" i="34"/>
  <c r="S1885" i="34"/>
  <c r="Q1885" i="34"/>
  <c r="Q2068" i="34"/>
  <c r="R2068" i="34"/>
  <c r="S2068" i="34"/>
  <c r="S2071" i="34"/>
  <c r="Q2071" i="34"/>
  <c r="R2071" i="34"/>
  <c r="R883" i="34"/>
  <c r="S883" i="34"/>
  <c r="Q883" i="34"/>
  <c r="R1049" i="34"/>
  <c r="S1049" i="34"/>
  <c r="Q1049" i="34"/>
  <c r="Q1176" i="34"/>
  <c r="R1176" i="34"/>
  <c r="S1176" i="34"/>
  <c r="Q1677" i="34"/>
  <c r="R1677" i="34"/>
  <c r="S1677" i="34"/>
  <c r="Q1685" i="34"/>
  <c r="R1685" i="34"/>
  <c r="S1685" i="34"/>
  <c r="Q1886" i="34"/>
  <c r="R1886" i="34"/>
  <c r="S1886" i="34"/>
  <c r="Q884" i="34"/>
  <c r="R884" i="34"/>
  <c r="S884" i="34"/>
  <c r="Q1050" i="34"/>
  <c r="R1050" i="34"/>
  <c r="S1050" i="34"/>
  <c r="Q1180" i="34"/>
  <c r="R1180" i="34"/>
  <c r="S1180" i="34"/>
  <c r="Q1302" i="34"/>
  <c r="R1302" i="34"/>
  <c r="S1302" i="34"/>
  <c r="R1674" i="34"/>
  <c r="S1674" i="34"/>
  <c r="Q1674" i="34"/>
  <c r="R1678" i="34"/>
  <c r="S1678" i="34"/>
  <c r="Q1678" i="34"/>
  <c r="R1682" i="34"/>
  <c r="S1682" i="34"/>
  <c r="Q1682" i="34"/>
  <c r="R1686" i="34"/>
  <c r="S1686" i="34"/>
  <c r="Q1686" i="34"/>
  <c r="R1889" i="34"/>
  <c r="S1889" i="34"/>
  <c r="Q1889" i="34"/>
  <c r="R1893" i="34"/>
  <c r="S1893" i="34"/>
  <c r="Q1893" i="34"/>
  <c r="Q1884" i="34"/>
  <c r="R1884" i="34"/>
  <c r="S1884" i="34"/>
  <c r="R1887" i="34"/>
  <c r="S1887" i="34"/>
  <c r="Q1887" i="34"/>
  <c r="S2069" i="34"/>
  <c r="Q2069" i="34"/>
  <c r="R2069" i="34"/>
  <c r="B90" i="55"/>
  <c r="B91" i="55" s="1"/>
  <c r="B92" i="55" s="1"/>
  <c r="B93" i="55" s="1"/>
  <c r="B94" i="55" s="1"/>
  <c r="B95" i="55" s="1"/>
  <c r="B96" i="55" s="1"/>
  <c r="B97" i="55" s="1"/>
  <c r="B98" i="55" s="1"/>
  <c r="B99" i="55" s="1"/>
  <c r="B100" i="55" s="1"/>
  <c r="B101" i="55" s="1"/>
  <c r="B102" i="55" s="1"/>
  <c r="B103" i="55" s="1"/>
  <c r="B104" i="55" s="1"/>
  <c r="B105" i="55" s="1"/>
  <c r="B106" i="55" s="1"/>
  <c r="B107" i="55" s="1"/>
  <c r="B108" i="55" s="1"/>
  <c r="A86" i="55"/>
  <c r="M17" i="60"/>
  <c r="O17" i="60"/>
  <c r="F113" i="55"/>
  <c r="E113" i="55"/>
  <c r="A112" i="55"/>
  <c r="V16" i="60"/>
  <c r="V17" i="60"/>
  <c r="L8" i="60" s="1"/>
  <c r="V18" i="60"/>
  <c r="L10" i="60" s="1"/>
  <c r="V19" i="60"/>
  <c r="L11" i="60" s="1"/>
  <c r="V20" i="60"/>
  <c r="V21" i="60"/>
  <c r="J9" i="52"/>
  <c r="A71" i="45"/>
  <c r="A72" i="45"/>
  <c r="A73" i="45"/>
  <c r="A74" i="45"/>
  <c r="A11" i="45"/>
  <c r="A13" i="45"/>
  <c r="A14" i="45"/>
  <c r="A12" i="45"/>
  <c r="A15" i="45"/>
  <c r="A75" i="45"/>
  <c r="A76" i="45"/>
  <c r="A77" i="45"/>
  <c r="A84" i="45"/>
  <c r="A113" i="55"/>
  <c r="A75" i="55"/>
  <c r="F74" i="55"/>
  <c r="E74" i="55"/>
  <c r="A73" i="55"/>
  <c r="A74" i="55"/>
  <c r="A50" i="55"/>
  <c r="A108" i="55" l="1"/>
  <c r="B109" i="55"/>
  <c r="B110" i="55" s="1"/>
  <c r="A107" i="55"/>
  <c r="L9" i="60"/>
  <c r="L13" i="60"/>
  <c r="L14" i="60"/>
  <c r="L15" i="60"/>
  <c r="L12" i="60"/>
  <c r="F49" i="55"/>
  <c r="E49" i="55"/>
  <c r="E1290" i="34"/>
  <c r="B1290" i="34"/>
  <c r="A1290" i="34" s="1"/>
  <c r="D32" i="62"/>
  <c r="E32" i="62"/>
  <c r="F32" i="62"/>
  <c r="C32" i="62"/>
  <c r="A27" i="62"/>
  <c r="A28" i="62"/>
  <c r="A29" i="62"/>
  <c r="A30" i="62"/>
  <c r="A31" i="62"/>
  <c r="E29" i="34"/>
  <c r="C11" i="34"/>
  <c r="AD11" i="34" s="1"/>
  <c r="C12" i="34"/>
  <c r="AD12" i="34" s="1"/>
  <c r="C13" i="34"/>
  <c r="AD13" i="34" s="1"/>
  <c r="C14" i="34"/>
  <c r="AD14" i="34" s="1"/>
  <c r="C15" i="34"/>
  <c r="AD15" i="34" s="1"/>
  <c r="C16" i="34"/>
  <c r="AD16" i="34" s="1"/>
  <c r="C17" i="34"/>
  <c r="AD17" i="34" s="1"/>
  <c r="C18" i="34"/>
  <c r="AD18" i="34" s="1"/>
  <c r="C19" i="34"/>
  <c r="AD19" i="34" s="1"/>
  <c r="C20" i="34"/>
  <c r="AD20" i="34" s="1"/>
  <c r="C21" i="34"/>
  <c r="AD21" i="34" s="1"/>
  <c r="C22" i="34"/>
  <c r="AD22" i="34" s="1"/>
  <c r="C23" i="34"/>
  <c r="AD23" i="34" s="1"/>
  <c r="C10" i="34"/>
  <c r="B6" i="57" s="1"/>
  <c r="M11" i="34"/>
  <c r="Q1290" i="34" l="1"/>
  <c r="R1290" i="34"/>
  <c r="S1290" i="34"/>
  <c r="A110" i="55"/>
  <c r="B111" i="55"/>
  <c r="A111" i="55" s="1"/>
  <c r="A109" i="55"/>
  <c r="B5004" i="34"/>
  <c r="A5004" i="34" s="1"/>
  <c r="B5003" i="34"/>
  <c r="A5003" i="34" s="1"/>
  <c r="B734" i="34"/>
  <c r="A734" i="34" s="1"/>
  <c r="B735" i="34"/>
  <c r="A735" i="34" s="1"/>
  <c r="B736" i="34"/>
  <c r="A736" i="34" s="1"/>
  <c r="B737" i="34"/>
  <c r="A737" i="34" s="1"/>
  <c r="B738" i="34"/>
  <c r="A738" i="34" s="1"/>
  <c r="B739" i="34"/>
  <c r="A739" i="34" s="1"/>
  <c r="B3088" i="34"/>
  <c r="A3088" i="34" s="1"/>
  <c r="E3088" i="34"/>
  <c r="B677" i="34"/>
  <c r="A677" i="34" s="1"/>
  <c r="B678" i="34"/>
  <c r="A678" i="34" s="1"/>
  <c r="B607" i="34"/>
  <c r="A607" i="34" s="1"/>
  <c r="B606" i="34"/>
  <c r="A606" i="34" s="1"/>
  <c r="B731" i="34"/>
  <c r="A731" i="34" s="1"/>
  <c r="B730" i="34"/>
  <c r="A730" i="34" s="1"/>
  <c r="B729" i="34"/>
  <c r="A729" i="34" s="1"/>
  <c r="B728" i="34"/>
  <c r="A728" i="34" s="1"/>
  <c r="B727" i="34"/>
  <c r="A727" i="34" s="1"/>
  <c r="B726" i="34"/>
  <c r="A726" i="34" s="1"/>
  <c r="B725" i="34"/>
  <c r="A725" i="34" s="1"/>
  <c r="B724" i="34"/>
  <c r="A724" i="34" s="1"/>
  <c r="B723" i="34"/>
  <c r="A723" i="34" s="1"/>
  <c r="B722" i="34"/>
  <c r="A722" i="34" s="1"/>
  <c r="B721" i="34"/>
  <c r="A721" i="34" s="1"/>
  <c r="B720" i="34"/>
  <c r="A720" i="34" s="1"/>
  <c r="B719" i="34"/>
  <c r="A719" i="34" s="1"/>
  <c r="B718" i="34"/>
  <c r="A718" i="34" s="1"/>
  <c r="B717" i="34"/>
  <c r="A717" i="34" s="1"/>
  <c r="B716" i="34"/>
  <c r="A716" i="34" s="1"/>
  <c r="B715" i="34"/>
  <c r="A715" i="34" s="1"/>
  <c r="B714" i="34"/>
  <c r="A714" i="34" s="1"/>
  <c r="B713" i="34"/>
  <c r="A713" i="34" s="1"/>
  <c r="B712" i="34"/>
  <c r="A712" i="34" s="1"/>
  <c r="B711" i="34"/>
  <c r="A711" i="34" s="1"/>
  <c r="B710" i="34"/>
  <c r="A710" i="34" s="1"/>
  <c r="B709" i="34"/>
  <c r="A709" i="34" s="1"/>
  <c r="B708" i="34"/>
  <c r="A708" i="34" s="1"/>
  <c r="B705" i="34"/>
  <c r="A705" i="34" s="1"/>
  <c r="B706" i="34"/>
  <c r="A706" i="34" s="1"/>
  <c r="B707" i="34"/>
  <c r="A707" i="34" s="1"/>
  <c r="K2008" i="34"/>
  <c r="M2008" i="34" s="1"/>
  <c r="E2008" i="34"/>
  <c r="B2008" i="34"/>
  <c r="A2008" i="34" s="1"/>
  <c r="K2007" i="34"/>
  <c r="M2007" i="34" s="1"/>
  <c r="E2007" i="34"/>
  <c r="B2007" i="34"/>
  <c r="A2007" i="34" s="1"/>
  <c r="E2006" i="34"/>
  <c r="B2006" i="34"/>
  <c r="A2006" i="34" s="1"/>
  <c r="B561" i="34"/>
  <c r="A561" i="34" s="1"/>
  <c r="B560" i="34"/>
  <c r="A560" i="34" s="1"/>
  <c r="B5272" i="34"/>
  <c r="A5272" i="34" s="1"/>
  <c r="B2024" i="34"/>
  <c r="A2024" i="34" s="1"/>
  <c r="E2024" i="34"/>
  <c r="K2024" i="34"/>
  <c r="M2024" i="34" s="1"/>
  <c r="K2023" i="34"/>
  <c r="M2023" i="34" s="1"/>
  <c r="E2023" i="34"/>
  <c r="B2023" i="34"/>
  <c r="A2023" i="34" s="1"/>
  <c r="B2019" i="34"/>
  <c r="A2019" i="34" s="1"/>
  <c r="E2019" i="34"/>
  <c r="K2019" i="34"/>
  <c r="M2019" i="34" s="1"/>
  <c r="B2014" i="34"/>
  <c r="A2014" i="34" s="1"/>
  <c r="E2014" i="34"/>
  <c r="K2014" i="34"/>
  <c r="M2014" i="34" s="1"/>
  <c r="K2012" i="34"/>
  <c r="M2012" i="34" s="1"/>
  <c r="E2012" i="34"/>
  <c r="B2012" i="34"/>
  <c r="A2012" i="34" s="1"/>
  <c r="B2011" i="34"/>
  <c r="A2011" i="34" s="1"/>
  <c r="E2011" i="34"/>
  <c r="K2011" i="34"/>
  <c r="M2011" i="34" s="1"/>
  <c r="B2009" i="34"/>
  <c r="A2009" i="34" s="1"/>
  <c r="E2009" i="34"/>
  <c r="K2009" i="34"/>
  <c r="M2009" i="34" s="1"/>
  <c r="B2001" i="34"/>
  <c r="A2001" i="34" s="1"/>
  <c r="E2001" i="34"/>
  <c r="K2001" i="34"/>
  <c r="M2001" i="34" s="1"/>
  <c r="B2000" i="34"/>
  <c r="A2000" i="34" s="1"/>
  <c r="E2000" i="34"/>
  <c r="K2000" i="34"/>
  <c r="M2000" i="34" s="1"/>
  <c r="B1999" i="34"/>
  <c r="A1999" i="34" s="1"/>
  <c r="E1999" i="34"/>
  <c r="K1999" i="34"/>
  <c r="M1999" i="34" s="1"/>
  <c r="B1998" i="34"/>
  <c r="A1998" i="34" s="1"/>
  <c r="E1998" i="34"/>
  <c r="K1998" i="34"/>
  <c r="M1998" i="34" s="1"/>
  <c r="E2125" i="34"/>
  <c r="B2125" i="34"/>
  <c r="A2125" i="34" s="1"/>
  <c r="M2124" i="34"/>
  <c r="E2124" i="34"/>
  <c r="B2124" i="34"/>
  <c r="A2124" i="34" s="1"/>
  <c r="M2123" i="34"/>
  <c r="E2123" i="34"/>
  <c r="B2123" i="34"/>
  <c r="A2123" i="34" s="1"/>
  <c r="M2122" i="34"/>
  <c r="E2122" i="34"/>
  <c r="B2122" i="34"/>
  <c r="A2122" i="34" s="1"/>
  <c r="M2121" i="34"/>
  <c r="E2121" i="34"/>
  <c r="B2121" i="34"/>
  <c r="A2121" i="34" s="1"/>
  <c r="M2120" i="34"/>
  <c r="E2120" i="34"/>
  <c r="B2120" i="34"/>
  <c r="A2120" i="34" s="1"/>
  <c r="M2119" i="34"/>
  <c r="E2119" i="34"/>
  <c r="B2119" i="34"/>
  <c r="A2119" i="34" s="1"/>
  <c r="M2118" i="34"/>
  <c r="E2118" i="34"/>
  <c r="B2118" i="34"/>
  <c r="A2118" i="34" s="1"/>
  <c r="B2105" i="34"/>
  <c r="A2105" i="34" s="1"/>
  <c r="B2106" i="34"/>
  <c r="A2106" i="34" s="1"/>
  <c r="B2107" i="34"/>
  <c r="A2107" i="34" s="1"/>
  <c r="B2108" i="34"/>
  <c r="A2108" i="34" s="1"/>
  <c r="B2109" i="34"/>
  <c r="A2109" i="34" s="1"/>
  <c r="B2110" i="34"/>
  <c r="A2110" i="34" s="1"/>
  <c r="B2111" i="34"/>
  <c r="A2111" i="34" s="1"/>
  <c r="B2112" i="34"/>
  <c r="A2112" i="34" s="1"/>
  <c r="B2113" i="34"/>
  <c r="A2113" i="34" s="1"/>
  <c r="M2105" i="34"/>
  <c r="M2106" i="34"/>
  <c r="M2107" i="34"/>
  <c r="M2108" i="34"/>
  <c r="M2109" i="34"/>
  <c r="M2110" i="34"/>
  <c r="M2111" i="34"/>
  <c r="M2112" i="34"/>
  <c r="E2105" i="34"/>
  <c r="E2106" i="34"/>
  <c r="E2107" i="34"/>
  <c r="E2108" i="34"/>
  <c r="E2109" i="34"/>
  <c r="E2110" i="34"/>
  <c r="E2111" i="34"/>
  <c r="E2112" i="34"/>
  <c r="E2113" i="34"/>
  <c r="M2104" i="34"/>
  <c r="E2104" i="34"/>
  <c r="B2104" i="34"/>
  <c r="A2104" i="34" s="1"/>
  <c r="B5246" i="34"/>
  <c r="A5246" i="34" s="1"/>
  <c r="E702" i="34"/>
  <c r="B702" i="34"/>
  <c r="A702" i="34" s="1"/>
  <c r="E701" i="34"/>
  <c r="B701" i="34"/>
  <c r="A701" i="34" s="1"/>
  <c r="E700" i="34"/>
  <c r="B700" i="34"/>
  <c r="A700" i="34" s="1"/>
  <c r="B5210" i="34"/>
  <c r="A5210" i="34" s="1"/>
  <c r="B4983" i="34"/>
  <c r="A4983" i="34" s="1"/>
  <c r="B4982" i="34"/>
  <c r="A4982" i="34" s="1"/>
  <c r="E2127" i="34"/>
  <c r="B2127" i="34"/>
  <c r="A2127" i="34" s="1"/>
  <c r="M2126" i="34"/>
  <c r="E2126" i="34"/>
  <c r="B2126" i="34"/>
  <c r="A2126" i="34" s="1"/>
  <c r="B5245" i="34"/>
  <c r="A5245" i="34" s="1"/>
  <c r="E699" i="34"/>
  <c r="B699" i="34"/>
  <c r="A699" i="34" s="1"/>
  <c r="E698" i="34"/>
  <c r="B698" i="34"/>
  <c r="A698" i="34" s="1"/>
  <c r="E697" i="34"/>
  <c r="B697" i="34"/>
  <c r="A697" i="34" s="1"/>
  <c r="E696" i="34"/>
  <c r="B696" i="34"/>
  <c r="A696" i="34" s="1"/>
  <c r="E695" i="34"/>
  <c r="B695" i="34"/>
  <c r="A695" i="34" s="1"/>
  <c r="E694" i="34"/>
  <c r="B694" i="34"/>
  <c r="A694" i="34" s="1"/>
  <c r="L5167" i="34"/>
  <c r="B3145" i="34"/>
  <c r="A3145" i="34" s="1"/>
  <c r="E3145" i="34"/>
  <c r="K1844" i="34"/>
  <c r="M1844" i="34" s="1"/>
  <c r="B1844" i="34"/>
  <c r="A1844" i="34" s="1"/>
  <c r="E1844" i="34"/>
  <c r="B1843" i="34"/>
  <c r="A1843" i="34" s="1"/>
  <c r="E1843" i="34"/>
  <c r="K1843" i="34"/>
  <c r="M1843" i="34" s="1"/>
  <c r="B1842" i="34"/>
  <c r="A1842" i="34" s="1"/>
  <c r="E1842" i="34"/>
  <c r="K1842" i="34"/>
  <c r="M1842" i="34" s="1"/>
  <c r="A70" i="45"/>
  <c r="L4959" i="34"/>
  <c r="L4898" i="34"/>
  <c r="E693" i="34"/>
  <c r="B693" i="34"/>
  <c r="A693" i="34" s="1"/>
  <c r="E692" i="34"/>
  <c r="B692" i="34"/>
  <c r="A692" i="34" s="1"/>
  <c r="E691" i="34"/>
  <c r="B691" i="34"/>
  <c r="A691" i="34" s="1"/>
  <c r="E690" i="34"/>
  <c r="B690" i="34"/>
  <c r="A690" i="34" s="1"/>
  <c r="E689" i="34"/>
  <c r="B689" i="34"/>
  <c r="A689" i="34" s="1"/>
  <c r="B5036" i="34"/>
  <c r="A5036" i="34" s="1"/>
  <c r="B5044" i="34"/>
  <c r="A5044" i="34" s="1"/>
  <c r="B5043" i="34"/>
  <c r="A5043" i="34" s="1"/>
  <c r="B5042" i="34"/>
  <c r="A5042" i="34" s="1"/>
  <c r="B5041" i="34"/>
  <c r="A5041" i="34" s="1"/>
  <c r="B5040" i="34"/>
  <c r="A5040" i="34" s="1"/>
  <c r="B5035" i="34"/>
  <c r="A5035" i="34" s="1"/>
  <c r="B5034" i="34"/>
  <c r="A5034" i="34" s="1"/>
  <c r="B5033" i="34"/>
  <c r="A5033" i="34" s="1"/>
  <c r="B5032" i="34"/>
  <c r="A5032" i="34" s="1"/>
  <c r="B5031" i="34"/>
  <c r="A5031" i="34" s="1"/>
  <c r="B5021" i="34"/>
  <c r="A5021" i="34" s="1"/>
  <c r="B5020" i="34"/>
  <c r="A5020" i="34" s="1"/>
  <c r="B5094" i="34"/>
  <c r="A5094" i="34" s="1"/>
  <c r="B5114" i="34"/>
  <c r="A5114" i="34" s="1"/>
  <c r="B5113" i="34"/>
  <c r="A5113" i="34" s="1"/>
  <c r="A23" i="12"/>
  <c r="B5107" i="34"/>
  <c r="A5107" i="34" s="1"/>
  <c r="B5108" i="34"/>
  <c r="A5108" i="34" s="1"/>
  <c r="B5106" i="34"/>
  <c r="A5106" i="34" s="1"/>
  <c r="B5561" i="34"/>
  <c r="A5561" i="34" s="1"/>
  <c r="B5070" i="34"/>
  <c r="A5070" i="34" s="1"/>
  <c r="B5095" i="34"/>
  <c r="A5095" i="34" s="1"/>
  <c r="B5111" i="34"/>
  <c r="A5111" i="34" s="1"/>
  <c r="B5112" i="34"/>
  <c r="A5112" i="34" s="1"/>
  <c r="B5030" i="34"/>
  <c r="A5030" i="34" s="1"/>
  <c r="B3161" i="34"/>
  <c r="A3161" i="34" s="1"/>
  <c r="E3161" i="34"/>
  <c r="E3160" i="34"/>
  <c r="B3160" i="34"/>
  <c r="A3160" i="34" s="1"/>
  <c r="E3158" i="34"/>
  <c r="B3158" i="34"/>
  <c r="A3158" i="34" s="1"/>
  <c r="E3157" i="34"/>
  <c r="B3157" i="34"/>
  <c r="A3157" i="34" s="1"/>
  <c r="B3152" i="34"/>
  <c r="A3152" i="34" s="1"/>
  <c r="E3152" i="34"/>
  <c r="B3148" i="34"/>
  <c r="A3148" i="34" s="1"/>
  <c r="E3148" i="34"/>
  <c r="B3144" i="34"/>
  <c r="A3144" i="34" s="1"/>
  <c r="E3144" i="34"/>
  <c r="B3141" i="34"/>
  <c r="A3141" i="34" s="1"/>
  <c r="E3141" i="34"/>
  <c r="E3143" i="34"/>
  <c r="E3146" i="34"/>
  <c r="E3147" i="34"/>
  <c r="E3151" i="34"/>
  <c r="E3154" i="34"/>
  <c r="E3140" i="34"/>
  <c r="B5168" i="34"/>
  <c r="A5168" i="34" s="1"/>
  <c r="B5075" i="34"/>
  <c r="A5075" i="34" s="1"/>
  <c r="B5074" i="34"/>
  <c r="A5074" i="34" s="1"/>
  <c r="B5073" i="34"/>
  <c r="A5073" i="34" s="1"/>
  <c r="B5072" i="34"/>
  <c r="A5072" i="34" s="1"/>
  <c r="B5071" i="34"/>
  <c r="A5071" i="34" s="1"/>
  <c r="B5167" i="34"/>
  <c r="A5167" i="34" s="1"/>
  <c r="E3153" i="34"/>
  <c r="B3153" i="34"/>
  <c r="A3153" i="34" s="1"/>
  <c r="B5164" i="34"/>
  <c r="A5164" i="34" s="1"/>
  <c r="B5163" i="34"/>
  <c r="A5163" i="34" s="1"/>
  <c r="B5162" i="34"/>
  <c r="A5162" i="34" s="1"/>
  <c r="B5161" i="34"/>
  <c r="A5161" i="34" s="1"/>
  <c r="B5160" i="34"/>
  <c r="A5160" i="34" s="1"/>
  <c r="B5139" i="34"/>
  <c r="A5139" i="34" s="1"/>
  <c r="B5138" i="34"/>
  <c r="A5138" i="34" s="1"/>
  <c r="B5125" i="34"/>
  <c r="A5125" i="34" s="1"/>
  <c r="B5124" i="34"/>
  <c r="A5124" i="34" s="1"/>
  <c r="B5123" i="34"/>
  <c r="A5123" i="34" s="1"/>
  <c r="B5122" i="34"/>
  <c r="A5122" i="34" s="1"/>
  <c r="B5076" i="34"/>
  <c r="A5076" i="34" s="1"/>
  <c r="B5077" i="34"/>
  <c r="A5077" i="34" s="1"/>
  <c r="B5078" i="34"/>
  <c r="A5078" i="34" s="1"/>
  <c r="B5079" i="34"/>
  <c r="A5079" i="34" s="1"/>
  <c r="E3150" i="34"/>
  <c r="B5067" i="34"/>
  <c r="A5067" i="34" s="1"/>
  <c r="B5066" i="34"/>
  <c r="A5066" i="34" s="1"/>
  <c r="B5065" i="34"/>
  <c r="A5065" i="34" s="1"/>
  <c r="B5061" i="34"/>
  <c r="A5061" i="34" s="1"/>
  <c r="B5060" i="34"/>
  <c r="A5060" i="34" s="1"/>
  <c r="B5062" i="34"/>
  <c r="A5062" i="34" s="1"/>
  <c r="B5064" i="34"/>
  <c r="A5064" i="34" s="1"/>
  <c r="B5063" i="34"/>
  <c r="A5063" i="34" s="1"/>
  <c r="B5059" i="34"/>
  <c r="A5059" i="34" s="1"/>
  <c r="B5056" i="34"/>
  <c r="A5056" i="34" s="1"/>
  <c r="B5057" i="34"/>
  <c r="A5057" i="34" s="1"/>
  <c r="B5058" i="34"/>
  <c r="A5058" i="34" s="1"/>
  <c r="B3139" i="34"/>
  <c r="A3139" i="34" s="1"/>
  <c r="E3139" i="34"/>
  <c r="B5045" i="34"/>
  <c r="A5045" i="34" s="1"/>
  <c r="B4902" i="34"/>
  <c r="A4902" i="34" s="1"/>
  <c r="B4901" i="34"/>
  <c r="A4901" i="34" s="1"/>
  <c r="B4854" i="34"/>
  <c r="A4854" i="34" s="1"/>
  <c r="B4853" i="34"/>
  <c r="A4853" i="34" s="1"/>
  <c r="B5100" i="34"/>
  <c r="A5100" i="34" s="1"/>
  <c r="B5105" i="34"/>
  <c r="A5105" i="34" s="1"/>
  <c r="B5150" i="34"/>
  <c r="A5150" i="34" s="1"/>
  <c r="B5068" i="34"/>
  <c r="A5068" i="34" s="1"/>
  <c r="B5051" i="34"/>
  <c r="A5051" i="34" s="1"/>
  <c r="B5022" i="34"/>
  <c r="A5022" i="34" s="1"/>
  <c r="B5013" i="34"/>
  <c r="A5013" i="34" s="1"/>
  <c r="B4992" i="34"/>
  <c r="A4992" i="34" s="1"/>
  <c r="B4979" i="34"/>
  <c r="A4979" i="34" s="1"/>
  <c r="B4796" i="34"/>
  <c r="A4796" i="34" s="1"/>
  <c r="B4795" i="34"/>
  <c r="A4795" i="34" s="1"/>
  <c r="B4794" i="34"/>
  <c r="A4794" i="34" s="1"/>
  <c r="E2091" i="34"/>
  <c r="B2091" i="34"/>
  <c r="A2091" i="34" s="1"/>
  <c r="M2090" i="34"/>
  <c r="E2090" i="34"/>
  <c r="B2090" i="34"/>
  <c r="A2090" i="34" s="1"/>
  <c r="E2089" i="34"/>
  <c r="B2089" i="34"/>
  <c r="A2089" i="34" s="1"/>
  <c r="M2088" i="34"/>
  <c r="E2088" i="34"/>
  <c r="B2088" i="34"/>
  <c r="A2088" i="34" s="1"/>
  <c r="E2085" i="34"/>
  <c r="B2085" i="34"/>
  <c r="A2085" i="34" s="1"/>
  <c r="M2084" i="34"/>
  <c r="E2084" i="34"/>
  <c r="B2084" i="34"/>
  <c r="A2084" i="34" s="1"/>
  <c r="E2081" i="34"/>
  <c r="B2081" i="34"/>
  <c r="A2081" i="34" s="1"/>
  <c r="M2080" i="34"/>
  <c r="E2080" i="34"/>
  <c r="E1939" i="34"/>
  <c r="B1939" i="34"/>
  <c r="A1939" i="34" s="1"/>
  <c r="M1938" i="34"/>
  <c r="E1938" i="34"/>
  <c r="E1935" i="34"/>
  <c r="B1935" i="34"/>
  <c r="A1935" i="34" s="1"/>
  <c r="M1934" i="34"/>
  <c r="E1934" i="34"/>
  <c r="E1929" i="34"/>
  <c r="B1929" i="34"/>
  <c r="A1929" i="34" s="1"/>
  <c r="M1928" i="34"/>
  <c r="E1928" i="34"/>
  <c r="E1925" i="34"/>
  <c r="B1925" i="34"/>
  <c r="A1925" i="34" s="1"/>
  <c r="M1924" i="34"/>
  <c r="E1924" i="34"/>
  <c r="E1898" i="34"/>
  <c r="B1898" i="34"/>
  <c r="A1898" i="34" s="1"/>
  <c r="M1897" i="34"/>
  <c r="E1897" i="34"/>
  <c r="B1897" i="34"/>
  <c r="A1897" i="34" s="1"/>
  <c r="E2099" i="34"/>
  <c r="B2099" i="34"/>
  <c r="A2099" i="34" s="1"/>
  <c r="M2098" i="34"/>
  <c r="E2098" i="34"/>
  <c r="B2098" i="34"/>
  <c r="A2098" i="34" s="1"/>
  <c r="B4837" i="34"/>
  <c r="A4837" i="34" s="1"/>
  <c r="B4952" i="34"/>
  <c r="A4952" i="34" s="1"/>
  <c r="B4953" i="34"/>
  <c r="A4953" i="34" s="1"/>
  <c r="B4954" i="34"/>
  <c r="A4954" i="34" s="1"/>
  <c r="B4964" i="34"/>
  <c r="A4964" i="34" s="1"/>
  <c r="B4965" i="34"/>
  <c r="A4965" i="34" s="1"/>
  <c r="B4966" i="34"/>
  <c r="A4966" i="34" s="1"/>
  <c r="B4967" i="34"/>
  <c r="A4967" i="34" s="1"/>
  <c r="B4968" i="34"/>
  <c r="A4968" i="34" s="1"/>
  <c r="B4969" i="34"/>
  <c r="A4969" i="34" s="1"/>
  <c r="B4970" i="34"/>
  <c r="A4970" i="34" s="1"/>
  <c r="B4971" i="34"/>
  <c r="A4971" i="34" s="1"/>
  <c r="B27" i="34"/>
  <c r="A27" i="34" s="1"/>
  <c r="E1848" i="34"/>
  <c r="B1848" i="34"/>
  <c r="A1848" i="34" s="1"/>
  <c r="E1847" i="34"/>
  <c r="B1847" i="34"/>
  <c r="A1847" i="34" s="1"/>
  <c r="B5001" i="34"/>
  <c r="A5001" i="34" s="1"/>
  <c r="B5000" i="34"/>
  <c r="A5000" i="34" s="1"/>
  <c r="B4981" i="34"/>
  <c r="A4981" i="34" s="1"/>
  <c r="B4980" i="34"/>
  <c r="A4980" i="34" s="1"/>
  <c r="B4961" i="34"/>
  <c r="A4961" i="34" s="1"/>
  <c r="B4962" i="34"/>
  <c r="A4962" i="34" s="1"/>
  <c r="B4932" i="34"/>
  <c r="A4932" i="34" s="1"/>
  <c r="B4931" i="34"/>
  <c r="A4931" i="34" s="1"/>
  <c r="B4930" i="34"/>
  <c r="A4930" i="34" s="1"/>
  <c r="B4929" i="34"/>
  <c r="A4929" i="34" s="1"/>
  <c r="B4892" i="34"/>
  <c r="A4892" i="34" s="1"/>
  <c r="B4891" i="34"/>
  <c r="A4891" i="34" s="1"/>
  <c r="B4890" i="34"/>
  <c r="A4890" i="34" s="1"/>
  <c r="B4889" i="34"/>
  <c r="A4889" i="34" s="1"/>
  <c r="B4851" i="34"/>
  <c r="A4851" i="34" s="1"/>
  <c r="B4852" i="34"/>
  <c r="A4852" i="34" s="1"/>
  <c r="B4832" i="34"/>
  <c r="A4832" i="34" s="1"/>
  <c r="B4833" i="34"/>
  <c r="A4833" i="34" s="1"/>
  <c r="B4824" i="34"/>
  <c r="A4824" i="34" s="1"/>
  <c r="B4823" i="34"/>
  <c r="A4823" i="34" s="1"/>
  <c r="B4807" i="34"/>
  <c r="A4807" i="34" s="1"/>
  <c r="B4806" i="34"/>
  <c r="A4806" i="34" s="1"/>
  <c r="B4799" i="34"/>
  <c r="A4799" i="34" s="1"/>
  <c r="B4798" i="34"/>
  <c r="A4798" i="34" s="1"/>
  <c r="B4805" i="34"/>
  <c r="A4805" i="34" s="1"/>
  <c r="B4804" i="34"/>
  <c r="A4804" i="34" s="1"/>
  <c r="B4803" i="34"/>
  <c r="A4803" i="34" s="1"/>
  <c r="B4825" i="34"/>
  <c r="A4825" i="34" s="1"/>
  <c r="E2517" i="34"/>
  <c r="E2515" i="34"/>
  <c r="E2516" i="34"/>
  <c r="E2519" i="34"/>
  <c r="E2520" i="34"/>
  <c r="B3132" i="34"/>
  <c r="A3132" i="34" s="1"/>
  <c r="E3132" i="34"/>
  <c r="B3133" i="34"/>
  <c r="A3133" i="34" s="1"/>
  <c r="E3133" i="34"/>
  <c r="B2512" i="34"/>
  <c r="A2512" i="34" s="1"/>
  <c r="E2512" i="34"/>
  <c r="B2513" i="34"/>
  <c r="A2513" i="34" s="1"/>
  <c r="E2513" i="34"/>
  <c r="E2511" i="34"/>
  <c r="B2511" i="34"/>
  <c r="A2511" i="34" s="1"/>
  <c r="E2509" i="34"/>
  <c r="B2509" i="34"/>
  <c r="A2509" i="34" s="1"/>
  <c r="B2506" i="34"/>
  <c r="A2506" i="34" s="1"/>
  <c r="E2506" i="34"/>
  <c r="B2515" i="34"/>
  <c r="A2515" i="34" s="1"/>
  <c r="B2516" i="34"/>
  <c r="A2516" i="34" s="1"/>
  <c r="B2517" i="34"/>
  <c r="A2517" i="34" s="1"/>
  <c r="B2519" i="34"/>
  <c r="A2519" i="34" s="1"/>
  <c r="B2520" i="34"/>
  <c r="A2520" i="34" s="1"/>
  <c r="E2504" i="34"/>
  <c r="B4995" i="34"/>
  <c r="A4995" i="34" s="1"/>
  <c r="B4994" i="34"/>
  <c r="A4994" i="34" s="1"/>
  <c r="B4993" i="34"/>
  <c r="A4993" i="34" s="1"/>
  <c r="B4887" i="34"/>
  <c r="A4887" i="34" s="1"/>
  <c r="B4886" i="34"/>
  <c r="A4886" i="34" s="1"/>
  <c r="B4885" i="34"/>
  <c r="A4885" i="34" s="1"/>
  <c r="E2514" i="34"/>
  <c r="B2514" i="34"/>
  <c r="A2514" i="34" s="1"/>
  <c r="B4871" i="34"/>
  <c r="A4871" i="34" s="1"/>
  <c r="B4870" i="34"/>
  <c r="A4870" i="34" s="1"/>
  <c r="B4869" i="34"/>
  <c r="A4869" i="34" s="1"/>
  <c r="B4868" i="34"/>
  <c r="A4868" i="34" s="1"/>
  <c r="B4867" i="34"/>
  <c r="A4867" i="34" s="1"/>
  <c r="B4866" i="34"/>
  <c r="A4866" i="34" s="1"/>
  <c r="B4865" i="34"/>
  <c r="A4865" i="34" s="1"/>
  <c r="B4864" i="34"/>
  <c r="A4864" i="34" s="1"/>
  <c r="B4863" i="34"/>
  <c r="A4863" i="34" s="1"/>
  <c r="B4862" i="34"/>
  <c r="A4862" i="34" s="1"/>
  <c r="B4855" i="34"/>
  <c r="A4855" i="34" s="1"/>
  <c r="E2507" i="34"/>
  <c r="B2507" i="34"/>
  <c r="A2507" i="34" s="1"/>
  <c r="B4847" i="34"/>
  <c r="A4847" i="34" s="1"/>
  <c r="B4849" i="34"/>
  <c r="A4849" i="34" s="1"/>
  <c r="B4848" i="34"/>
  <c r="A4848" i="34" s="1"/>
  <c r="B4846" i="34"/>
  <c r="A4846" i="34" s="1"/>
  <c r="B4845" i="34"/>
  <c r="A4845" i="34" s="1"/>
  <c r="B4841" i="34"/>
  <c r="A4841" i="34" s="1"/>
  <c r="B4840" i="34"/>
  <c r="A4840" i="34" s="1"/>
  <c r="B4800" i="34"/>
  <c r="A4800" i="34" s="1"/>
  <c r="B4797" i="34"/>
  <c r="A4797" i="34" s="1"/>
  <c r="B4957" i="34"/>
  <c r="A4957" i="34" s="1"/>
  <c r="B4956" i="34"/>
  <c r="A4956" i="34" s="1"/>
  <c r="B4955" i="34"/>
  <c r="A4955" i="34" s="1"/>
  <c r="B4801" i="34"/>
  <c r="A4801" i="34" s="1"/>
  <c r="B4920" i="34"/>
  <c r="A4920" i="34" s="1"/>
  <c r="B4919" i="34"/>
  <c r="A4919" i="34" s="1"/>
  <c r="B4918" i="34"/>
  <c r="A4918" i="34" s="1"/>
  <c r="B4917" i="34"/>
  <c r="A4917" i="34" s="1"/>
  <c r="B4916" i="34"/>
  <c r="A4916" i="34" s="1"/>
  <c r="B4915" i="34"/>
  <c r="A4915" i="34" s="1"/>
  <c r="B4914" i="34"/>
  <c r="A4914" i="34" s="1"/>
  <c r="B4913" i="34"/>
  <c r="A4913" i="34" s="1"/>
  <c r="B4912" i="34"/>
  <c r="A4912" i="34" s="1"/>
  <c r="B4911" i="34"/>
  <c r="A4911" i="34" s="1"/>
  <c r="B4910" i="34"/>
  <c r="A4910" i="34" s="1"/>
  <c r="B4909" i="34"/>
  <c r="A4909" i="34" s="1"/>
  <c r="B4908" i="34"/>
  <c r="A4908" i="34" s="1"/>
  <c r="B684" i="34"/>
  <c r="A684" i="34" s="1"/>
  <c r="B685" i="34"/>
  <c r="A685" i="34" s="1"/>
  <c r="B683" i="34"/>
  <c r="A683" i="34" s="1"/>
  <c r="B4988" i="34"/>
  <c r="A4988" i="34" s="1"/>
  <c r="B4977" i="34"/>
  <c r="A4977" i="34" s="1"/>
  <c r="B4976" i="34"/>
  <c r="A4976" i="34" s="1"/>
  <c r="B4975" i="34"/>
  <c r="A4975" i="34" s="1"/>
  <c r="B4974" i="34"/>
  <c r="A4974" i="34" s="1"/>
  <c r="B4973" i="34"/>
  <c r="A4973" i="34" s="1"/>
  <c r="B4972" i="34"/>
  <c r="A4972" i="34" s="1"/>
  <c r="Q4973" i="34" l="1"/>
  <c r="R4973" i="34"/>
  <c r="S4973" i="34"/>
  <c r="Q4975" i="34"/>
  <c r="R4975" i="34"/>
  <c r="S4975" i="34"/>
  <c r="Q4977" i="34"/>
  <c r="R4977" i="34"/>
  <c r="S4977" i="34"/>
  <c r="Q683" i="34"/>
  <c r="R683" i="34"/>
  <c r="S683" i="34"/>
  <c r="R4909" i="34"/>
  <c r="Q4909" i="34"/>
  <c r="S4909" i="34"/>
  <c r="R4911" i="34"/>
  <c r="Q4911" i="34"/>
  <c r="S4911" i="34"/>
  <c r="R4913" i="34"/>
  <c r="Q4913" i="34"/>
  <c r="S4913" i="34"/>
  <c r="R4915" i="34"/>
  <c r="Q4915" i="34"/>
  <c r="S4915" i="34"/>
  <c r="R4917" i="34"/>
  <c r="Q4917" i="34"/>
  <c r="S4917" i="34"/>
  <c r="R4919" i="34"/>
  <c r="S4919" i="34"/>
  <c r="Q4919" i="34"/>
  <c r="R4956" i="34"/>
  <c r="S4956" i="34"/>
  <c r="Q4956" i="34"/>
  <c r="Q4845" i="34"/>
  <c r="R4845" i="34"/>
  <c r="S4845" i="34"/>
  <c r="S4848" i="34"/>
  <c r="Q4848" i="34"/>
  <c r="R4848" i="34"/>
  <c r="Q4847" i="34"/>
  <c r="R4847" i="34"/>
  <c r="S4847" i="34"/>
  <c r="S4855" i="34"/>
  <c r="Q4855" i="34"/>
  <c r="R4855" i="34"/>
  <c r="Q4864" i="34"/>
  <c r="R4864" i="34"/>
  <c r="S4864" i="34"/>
  <c r="Q4866" i="34"/>
  <c r="R4866" i="34"/>
  <c r="S4866" i="34"/>
  <c r="Q4868" i="34"/>
  <c r="R4868" i="34"/>
  <c r="S4868" i="34"/>
  <c r="Q4870" i="34"/>
  <c r="R4870" i="34"/>
  <c r="S4870" i="34"/>
  <c r="S2514" i="34"/>
  <c r="Q2514" i="34"/>
  <c r="R2514" i="34"/>
  <c r="S4886" i="34"/>
  <c r="Q4886" i="34"/>
  <c r="R4886" i="34"/>
  <c r="S4993" i="34"/>
  <c r="Q4993" i="34"/>
  <c r="R4993" i="34"/>
  <c r="S4995" i="34"/>
  <c r="Q4995" i="34"/>
  <c r="R4995" i="34"/>
  <c r="Q2519" i="34"/>
  <c r="R2519" i="34"/>
  <c r="S2519" i="34"/>
  <c r="Q2511" i="34"/>
  <c r="R2511" i="34"/>
  <c r="S2511" i="34"/>
  <c r="S4803" i="34"/>
  <c r="Q4803" i="34"/>
  <c r="R4803" i="34"/>
  <c r="S4799" i="34"/>
  <c r="Q4799" i="34"/>
  <c r="R4799" i="34"/>
  <c r="S4824" i="34"/>
  <c r="Q4824" i="34"/>
  <c r="R4824" i="34"/>
  <c r="S4832" i="34"/>
  <c r="Q4832" i="34"/>
  <c r="R4832" i="34"/>
  <c r="Q4890" i="34"/>
  <c r="R4890" i="34"/>
  <c r="S4890" i="34"/>
  <c r="S4932" i="34"/>
  <c r="Q4932" i="34"/>
  <c r="R4932" i="34"/>
  <c r="S4961" i="34"/>
  <c r="Q4961" i="34"/>
  <c r="R4961" i="34"/>
  <c r="S4971" i="34"/>
  <c r="Q4971" i="34"/>
  <c r="R4971" i="34"/>
  <c r="S4967" i="34"/>
  <c r="Q4967" i="34"/>
  <c r="R4967" i="34"/>
  <c r="S4954" i="34"/>
  <c r="Q4954" i="34"/>
  <c r="R4954" i="34"/>
  <c r="Q2098" i="34"/>
  <c r="R2098" i="34"/>
  <c r="S2098" i="34"/>
  <c r="Q1898" i="34"/>
  <c r="R1898" i="34"/>
  <c r="S1898" i="34"/>
  <c r="R1925" i="34"/>
  <c r="S1925" i="34"/>
  <c r="Q1925" i="34"/>
  <c r="Q1929" i="34"/>
  <c r="R1929" i="34"/>
  <c r="S1929" i="34"/>
  <c r="Q1935" i="34"/>
  <c r="R1935" i="34"/>
  <c r="S1935" i="34"/>
  <c r="Q1939" i="34"/>
  <c r="R1939" i="34"/>
  <c r="S1939" i="34"/>
  <c r="S2081" i="34"/>
  <c r="Q2081" i="34"/>
  <c r="R2081" i="34"/>
  <c r="Q2090" i="34"/>
  <c r="R2090" i="34"/>
  <c r="S2090" i="34"/>
  <c r="S4979" i="34"/>
  <c r="Q4979" i="34"/>
  <c r="R4979" i="34"/>
  <c r="Q5051" i="34"/>
  <c r="R5051" i="34"/>
  <c r="S5051" i="34"/>
  <c r="S4853" i="34"/>
  <c r="Q4853" i="34"/>
  <c r="R4853" i="34"/>
  <c r="S4902" i="34"/>
  <c r="Q4902" i="34"/>
  <c r="R4902" i="34"/>
  <c r="Q5059" i="34"/>
  <c r="R5059" i="34"/>
  <c r="S5059" i="34"/>
  <c r="R5064" i="34"/>
  <c r="S5064" i="34"/>
  <c r="Q5064" i="34"/>
  <c r="R5060" i="34"/>
  <c r="S5060" i="34"/>
  <c r="Q5060" i="34"/>
  <c r="Q5065" i="34"/>
  <c r="R5065" i="34"/>
  <c r="S5065" i="34"/>
  <c r="Q5067" i="34"/>
  <c r="R5067" i="34"/>
  <c r="S5067" i="34"/>
  <c r="Q5076" i="34"/>
  <c r="R5076" i="34"/>
  <c r="S5076" i="34"/>
  <c r="S3141" i="34"/>
  <c r="Q3141" i="34"/>
  <c r="R3141" i="34"/>
  <c r="Q3148" i="34"/>
  <c r="R3148" i="34"/>
  <c r="S3148" i="34"/>
  <c r="R5112" i="34"/>
  <c r="Q5112" i="34"/>
  <c r="S5112" i="34"/>
  <c r="Q5561" i="34"/>
  <c r="R5561" i="34"/>
  <c r="S5561" i="34"/>
  <c r="Q5094" i="34"/>
  <c r="R5094" i="34"/>
  <c r="S5094" i="34"/>
  <c r="S5032" i="34"/>
  <c r="Q5032" i="34"/>
  <c r="R5032" i="34"/>
  <c r="S5034" i="34"/>
  <c r="Q5034" i="34"/>
  <c r="R5034" i="34"/>
  <c r="Q689" i="34"/>
  <c r="R689" i="34"/>
  <c r="S689" i="34"/>
  <c r="Q691" i="34"/>
  <c r="R691" i="34"/>
  <c r="S691" i="34"/>
  <c r="Q693" i="34"/>
  <c r="R693" i="34"/>
  <c r="S693" i="34"/>
  <c r="Q1844" i="34"/>
  <c r="R1844" i="34"/>
  <c r="S1844" i="34"/>
  <c r="Q4982" i="34"/>
  <c r="R4982" i="34"/>
  <c r="S4982" i="34"/>
  <c r="Q2112" i="34"/>
  <c r="R2112" i="34"/>
  <c r="S2112" i="34"/>
  <c r="Q2108" i="34"/>
  <c r="R2108" i="34"/>
  <c r="S2108" i="34"/>
  <c r="Q2118" i="34"/>
  <c r="R2118" i="34"/>
  <c r="S2118" i="34"/>
  <c r="Q2122" i="34"/>
  <c r="R2122" i="34"/>
  <c r="S2122" i="34"/>
  <c r="S1999" i="34"/>
  <c r="Q1999" i="34"/>
  <c r="R1999" i="34"/>
  <c r="S2011" i="34"/>
  <c r="Q2011" i="34"/>
  <c r="R2011" i="34"/>
  <c r="Q2006" i="34"/>
  <c r="R2006" i="34"/>
  <c r="S2006" i="34"/>
  <c r="Q707" i="34"/>
  <c r="R707" i="34"/>
  <c r="S707" i="34"/>
  <c r="Q709" i="34"/>
  <c r="R709" i="34"/>
  <c r="S709" i="34"/>
  <c r="Q713" i="34"/>
  <c r="R713" i="34"/>
  <c r="S713" i="34"/>
  <c r="Q717" i="34"/>
  <c r="R717" i="34"/>
  <c r="S717" i="34"/>
  <c r="Q721" i="34"/>
  <c r="R721" i="34"/>
  <c r="S721" i="34"/>
  <c r="Q725" i="34"/>
  <c r="R725" i="34"/>
  <c r="S725" i="34"/>
  <c r="Q729" i="34"/>
  <c r="R729" i="34"/>
  <c r="S729" i="34"/>
  <c r="Q607" i="34"/>
  <c r="R607" i="34"/>
  <c r="S607" i="34"/>
  <c r="Q3088" i="34"/>
  <c r="R3088" i="34"/>
  <c r="S3088" i="34"/>
  <c r="R736" i="34"/>
  <c r="S736" i="34"/>
  <c r="Q736" i="34"/>
  <c r="Q5004" i="34"/>
  <c r="R5004" i="34"/>
  <c r="S5004" i="34"/>
  <c r="Q685" i="34"/>
  <c r="R685" i="34"/>
  <c r="S685" i="34"/>
  <c r="Q4801" i="34"/>
  <c r="R4801" i="34"/>
  <c r="S4801" i="34"/>
  <c r="Q4840" i="34"/>
  <c r="R4840" i="34"/>
  <c r="S4840" i="34"/>
  <c r="Q2507" i="34"/>
  <c r="R2507" i="34"/>
  <c r="S2507" i="34"/>
  <c r="Q4862" i="34"/>
  <c r="R4862" i="34"/>
  <c r="S4862" i="34"/>
  <c r="Q2517" i="34"/>
  <c r="R2517" i="34"/>
  <c r="S2517" i="34"/>
  <c r="S2506" i="34"/>
  <c r="Q2506" i="34"/>
  <c r="R2506" i="34"/>
  <c r="S2512" i="34"/>
  <c r="Q2512" i="34"/>
  <c r="R2512" i="34"/>
  <c r="Q3132" i="34"/>
  <c r="R3132" i="34"/>
  <c r="S3132" i="34"/>
  <c r="Q4804" i="34"/>
  <c r="R4804" i="34"/>
  <c r="S4804" i="34"/>
  <c r="Q4806" i="34"/>
  <c r="R4806" i="34"/>
  <c r="S4806" i="34"/>
  <c r="Q4852" i="34"/>
  <c r="R4852" i="34"/>
  <c r="S4852" i="34"/>
  <c r="Q4892" i="34"/>
  <c r="R4892" i="34"/>
  <c r="S4892" i="34"/>
  <c r="S4930" i="34"/>
  <c r="Q4930" i="34"/>
  <c r="R4930" i="34"/>
  <c r="Q4980" i="34"/>
  <c r="R4980" i="34"/>
  <c r="S4980" i="34"/>
  <c r="S5001" i="34"/>
  <c r="Q5001" i="34"/>
  <c r="R5001" i="34"/>
  <c r="Q1848" i="34"/>
  <c r="R1848" i="34"/>
  <c r="S1848" i="34"/>
  <c r="R27" i="34"/>
  <c r="S27" i="34"/>
  <c r="Q27" i="34"/>
  <c r="Q4970" i="34"/>
  <c r="R4970" i="34"/>
  <c r="S4970" i="34"/>
  <c r="Q4966" i="34"/>
  <c r="R4966" i="34"/>
  <c r="S4966" i="34"/>
  <c r="Q4953" i="34"/>
  <c r="R4953" i="34"/>
  <c r="S4953" i="34"/>
  <c r="R1897" i="34"/>
  <c r="S1897" i="34"/>
  <c r="Q1897" i="34"/>
  <c r="S2085" i="34"/>
  <c r="Q2085" i="34"/>
  <c r="R2085" i="34"/>
  <c r="S4794" i="34"/>
  <c r="Q4794" i="34"/>
  <c r="R4794" i="34"/>
  <c r="S4992" i="34"/>
  <c r="Q4992" i="34"/>
  <c r="R4992" i="34"/>
  <c r="S5068" i="34"/>
  <c r="Q5068" i="34"/>
  <c r="R5068" i="34"/>
  <c r="R5105" i="34"/>
  <c r="S5105" i="34"/>
  <c r="Q5105" i="34"/>
  <c r="Q4854" i="34"/>
  <c r="R4854" i="34"/>
  <c r="S4854" i="34"/>
  <c r="S3139" i="34"/>
  <c r="Q3139" i="34"/>
  <c r="R3139" i="34"/>
  <c r="Q5057" i="34"/>
  <c r="R5057" i="34"/>
  <c r="S5057" i="34"/>
  <c r="R5079" i="34"/>
  <c r="S5079" i="34"/>
  <c r="Q5079" i="34"/>
  <c r="R5122" i="34"/>
  <c r="S5122" i="34"/>
  <c r="Q5122" i="34"/>
  <c r="R5124" i="34"/>
  <c r="S5124" i="34"/>
  <c r="Q5124" i="34"/>
  <c r="R5138" i="34"/>
  <c r="S5138" i="34"/>
  <c r="Q5138" i="34"/>
  <c r="Q5160" i="34"/>
  <c r="R5160" i="34"/>
  <c r="S5160" i="34"/>
  <c r="Q5162" i="34"/>
  <c r="R5162" i="34"/>
  <c r="S5162" i="34"/>
  <c r="Q5164" i="34"/>
  <c r="R5164" i="34"/>
  <c r="S5164" i="34"/>
  <c r="Q5072" i="34"/>
  <c r="R5072" i="34"/>
  <c r="S5072" i="34"/>
  <c r="Q5074" i="34"/>
  <c r="R5074" i="34"/>
  <c r="S5074" i="34"/>
  <c r="Q3158" i="34"/>
  <c r="R3158" i="34"/>
  <c r="S3158" i="34"/>
  <c r="R5111" i="34"/>
  <c r="S5111" i="34"/>
  <c r="Q5111" i="34"/>
  <c r="R5106" i="34"/>
  <c r="Q5106" i="34"/>
  <c r="S5106" i="34"/>
  <c r="Q5107" i="34"/>
  <c r="R5107" i="34"/>
  <c r="S5107" i="34"/>
  <c r="R5114" i="34"/>
  <c r="Q5114" i="34"/>
  <c r="S5114" i="34"/>
  <c r="S5020" i="34"/>
  <c r="Q5020" i="34"/>
  <c r="R5020" i="34"/>
  <c r="S5040" i="34"/>
  <c r="Q5040" i="34"/>
  <c r="R5040" i="34"/>
  <c r="S5042" i="34"/>
  <c r="Q5042" i="34"/>
  <c r="R5042" i="34"/>
  <c r="S5044" i="34"/>
  <c r="Q5044" i="34"/>
  <c r="R5044" i="34"/>
  <c r="R694" i="34"/>
  <c r="S694" i="34"/>
  <c r="Q694" i="34"/>
  <c r="R696" i="34"/>
  <c r="S696" i="34"/>
  <c r="Q696" i="34"/>
  <c r="R698" i="34"/>
  <c r="S698" i="34"/>
  <c r="Q698" i="34"/>
  <c r="S4983" i="34"/>
  <c r="Q4983" i="34"/>
  <c r="R4983" i="34"/>
  <c r="Q701" i="34"/>
  <c r="R701" i="34"/>
  <c r="S701" i="34"/>
  <c r="S2111" i="34"/>
  <c r="Q2111" i="34"/>
  <c r="R2111" i="34"/>
  <c r="S2107" i="34"/>
  <c r="Q2107" i="34"/>
  <c r="R2107" i="34"/>
  <c r="S2121" i="34"/>
  <c r="Q2121" i="34"/>
  <c r="R2121" i="34"/>
  <c r="S2125" i="34"/>
  <c r="Q2125" i="34"/>
  <c r="R2125" i="34"/>
  <c r="Q1998" i="34"/>
  <c r="R1998" i="34"/>
  <c r="S1998" i="34"/>
  <c r="S2009" i="34"/>
  <c r="Q2009" i="34"/>
  <c r="R2009" i="34"/>
  <c r="Q2012" i="34"/>
  <c r="R2012" i="34"/>
  <c r="S2012" i="34"/>
  <c r="S2019" i="34"/>
  <c r="Q2019" i="34"/>
  <c r="R2019" i="34"/>
  <c r="R5272" i="34"/>
  <c r="S5272" i="34"/>
  <c r="Q5272" i="34"/>
  <c r="Q2008" i="34"/>
  <c r="R2008" i="34"/>
  <c r="S2008" i="34"/>
  <c r="R706" i="34"/>
  <c r="S706" i="34"/>
  <c r="Q706" i="34"/>
  <c r="R710" i="34"/>
  <c r="S710" i="34"/>
  <c r="Q710" i="34"/>
  <c r="R714" i="34"/>
  <c r="S714" i="34"/>
  <c r="Q714" i="34"/>
  <c r="R718" i="34"/>
  <c r="S718" i="34"/>
  <c r="Q718" i="34"/>
  <c r="R722" i="34"/>
  <c r="S722" i="34"/>
  <c r="Q722" i="34"/>
  <c r="R726" i="34"/>
  <c r="S726" i="34"/>
  <c r="Q726" i="34"/>
  <c r="R730" i="34"/>
  <c r="S730" i="34"/>
  <c r="Q730" i="34"/>
  <c r="R678" i="34"/>
  <c r="S678" i="34"/>
  <c r="Q678" i="34"/>
  <c r="Q739" i="34"/>
  <c r="R739" i="34"/>
  <c r="S739" i="34"/>
  <c r="Q735" i="34"/>
  <c r="R735" i="34"/>
  <c r="S735" i="34"/>
  <c r="R4972" i="34"/>
  <c r="S4972" i="34"/>
  <c r="Q4972" i="34"/>
  <c r="R4974" i="34"/>
  <c r="S4974" i="34"/>
  <c r="Q4974" i="34"/>
  <c r="R4976" i="34"/>
  <c r="S4976" i="34"/>
  <c r="Q4976" i="34"/>
  <c r="R4988" i="34"/>
  <c r="S4988" i="34"/>
  <c r="Q4988" i="34"/>
  <c r="R684" i="34"/>
  <c r="S684" i="34"/>
  <c r="Q684" i="34"/>
  <c r="R4910" i="34"/>
  <c r="Q4910" i="34"/>
  <c r="S4910" i="34"/>
  <c r="R4912" i="34"/>
  <c r="Q4912" i="34"/>
  <c r="S4912" i="34"/>
  <c r="R4914" i="34"/>
  <c r="Q4914" i="34"/>
  <c r="S4914" i="34"/>
  <c r="R4916" i="34"/>
  <c r="Q4916" i="34"/>
  <c r="S4916" i="34"/>
  <c r="Q4918" i="34"/>
  <c r="R4918" i="34"/>
  <c r="S4918" i="34"/>
  <c r="R4920" i="34"/>
  <c r="S4920" i="34"/>
  <c r="Q4920" i="34"/>
  <c r="Q4955" i="34"/>
  <c r="R4955" i="34"/>
  <c r="S4955" i="34"/>
  <c r="R4957" i="34"/>
  <c r="S4957" i="34"/>
  <c r="Q4957" i="34"/>
  <c r="Q4797" i="34"/>
  <c r="R4797" i="34"/>
  <c r="S4797" i="34"/>
  <c r="S4841" i="34"/>
  <c r="Q4841" i="34"/>
  <c r="R4841" i="34"/>
  <c r="S4846" i="34"/>
  <c r="Q4846" i="34"/>
  <c r="R4846" i="34"/>
  <c r="Q4849" i="34"/>
  <c r="R4849" i="34"/>
  <c r="S4849" i="34"/>
  <c r="S4863" i="34"/>
  <c r="Q4863" i="34"/>
  <c r="R4863" i="34"/>
  <c r="S4865" i="34"/>
  <c r="Q4865" i="34"/>
  <c r="R4865" i="34"/>
  <c r="S4867" i="34"/>
  <c r="Q4867" i="34"/>
  <c r="R4867" i="34"/>
  <c r="S4869" i="34"/>
  <c r="Q4869" i="34"/>
  <c r="R4869" i="34"/>
  <c r="S4871" i="34"/>
  <c r="Q4871" i="34"/>
  <c r="R4871" i="34"/>
  <c r="Q4885" i="34"/>
  <c r="R4885" i="34"/>
  <c r="S4885" i="34"/>
  <c r="Q4887" i="34"/>
  <c r="R4887" i="34"/>
  <c r="S4887" i="34"/>
  <c r="S2516" i="34"/>
  <c r="Q2516" i="34"/>
  <c r="R2516" i="34"/>
  <c r="Q2509" i="34"/>
  <c r="R2509" i="34"/>
  <c r="S2509" i="34"/>
  <c r="S4805" i="34"/>
  <c r="Q4805" i="34"/>
  <c r="R4805" i="34"/>
  <c r="S4807" i="34"/>
  <c r="Q4807" i="34"/>
  <c r="R4807" i="34"/>
  <c r="Q4833" i="34"/>
  <c r="R4833" i="34"/>
  <c r="S4833" i="34"/>
  <c r="S4851" i="34"/>
  <c r="Q4851" i="34"/>
  <c r="R4851" i="34"/>
  <c r="S4981" i="34"/>
  <c r="Q4981" i="34"/>
  <c r="R4981" i="34"/>
  <c r="S4969" i="34"/>
  <c r="Q4969" i="34"/>
  <c r="R4969" i="34"/>
  <c r="S4965" i="34"/>
  <c r="Q4965" i="34"/>
  <c r="R4965" i="34"/>
  <c r="S4952" i="34"/>
  <c r="Q4952" i="34"/>
  <c r="R4952" i="34"/>
  <c r="Q2084" i="34"/>
  <c r="R2084" i="34"/>
  <c r="S2084" i="34"/>
  <c r="S2089" i="34"/>
  <c r="Q2089" i="34"/>
  <c r="R2089" i="34"/>
  <c r="Q4795" i="34"/>
  <c r="R4795" i="34"/>
  <c r="S4795" i="34"/>
  <c r="Q5013" i="34"/>
  <c r="R5013" i="34"/>
  <c r="S5013" i="34"/>
  <c r="Q4901" i="34"/>
  <c r="R4901" i="34"/>
  <c r="S4901" i="34"/>
  <c r="Q5063" i="34"/>
  <c r="R5063" i="34"/>
  <c r="S5063" i="34"/>
  <c r="R5062" i="34"/>
  <c r="S5062" i="34"/>
  <c r="Q5062" i="34"/>
  <c r="Q5061" i="34"/>
  <c r="R5061" i="34"/>
  <c r="S5061" i="34"/>
  <c r="R5066" i="34"/>
  <c r="S5066" i="34"/>
  <c r="Q5066" i="34"/>
  <c r="Q5078" i="34"/>
  <c r="R5078" i="34"/>
  <c r="S5078" i="34"/>
  <c r="R5167" i="34"/>
  <c r="S5167" i="34"/>
  <c r="Q5167" i="34"/>
  <c r="Q5168" i="34"/>
  <c r="R5168" i="34"/>
  <c r="S5168" i="34"/>
  <c r="Q3144" i="34"/>
  <c r="R3144" i="34"/>
  <c r="S3144" i="34"/>
  <c r="Q3152" i="34"/>
  <c r="R3152" i="34"/>
  <c r="S3152" i="34"/>
  <c r="S3161" i="34"/>
  <c r="Q3161" i="34"/>
  <c r="R3161" i="34"/>
  <c r="Q5095" i="34"/>
  <c r="R5095" i="34"/>
  <c r="S5095" i="34"/>
  <c r="Q5031" i="34"/>
  <c r="R5031" i="34"/>
  <c r="S5031" i="34"/>
  <c r="Q5033" i="34"/>
  <c r="R5033" i="34"/>
  <c r="S5033" i="34"/>
  <c r="Q5035" i="34"/>
  <c r="R5035" i="34"/>
  <c r="S5035" i="34"/>
  <c r="R690" i="34"/>
  <c r="S690" i="34"/>
  <c r="Q690" i="34"/>
  <c r="R692" i="34"/>
  <c r="S692" i="34"/>
  <c r="Q692" i="34"/>
  <c r="R1843" i="34"/>
  <c r="S1843" i="34"/>
  <c r="Q1843" i="34"/>
  <c r="Q5245" i="34"/>
  <c r="R5245" i="34"/>
  <c r="S5245" i="34"/>
  <c r="S2127" i="34"/>
  <c r="Q2127" i="34"/>
  <c r="R2127" i="34"/>
  <c r="Q5210" i="34"/>
  <c r="R5210" i="34"/>
  <c r="S5210" i="34"/>
  <c r="Q5246" i="34"/>
  <c r="R5246" i="34"/>
  <c r="S5246" i="34"/>
  <c r="Q2110" i="34"/>
  <c r="R2110" i="34"/>
  <c r="S2110" i="34"/>
  <c r="Q2106" i="34"/>
  <c r="R2106" i="34"/>
  <c r="S2106" i="34"/>
  <c r="Q2120" i="34"/>
  <c r="R2120" i="34"/>
  <c r="S2120" i="34"/>
  <c r="Q2124" i="34"/>
  <c r="R2124" i="34"/>
  <c r="S2124" i="34"/>
  <c r="S2001" i="34"/>
  <c r="Q2001" i="34"/>
  <c r="R2001" i="34"/>
  <c r="Q2014" i="34"/>
  <c r="R2014" i="34"/>
  <c r="S2014" i="34"/>
  <c r="S2023" i="34"/>
  <c r="Q2023" i="34"/>
  <c r="R2023" i="34"/>
  <c r="R560" i="34"/>
  <c r="S560" i="34"/>
  <c r="Q560" i="34"/>
  <c r="S2007" i="34"/>
  <c r="Q2007" i="34"/>
  <c r="R2007" i="34"/>
  <c r="Q705" i="34"/>
  <c r="R705" i="34"/>
  <c r="S705" i="34"/>
  <c r="Q711" i="34"/>
  <c r="S711" i="34"/>
  <c r="R711" i="34"/>
  <c r="Q715" i="34"/>
  <c r="R715" i="34"/>
  <c r="S715" i="34"/>
  <c r="Q719" i="34"/>
  <c r="R719" i="34"/>
  <c r="S719" i="34"/>
  <c r="Q723" i="34"/>
  <c r="R723" i="34"/>
  <c r="S723" i="34"/>
  <c r="Q727" i="34"/>
  <c r="R727" i="34"/>
  <c r="S727" i="34"/>
  <c r="Q731" i="34"/>
  <c r="R731" i="34"/>
  <c r="S731" i="34"/>
  <c r="Q677" i="34"/>
  <c r="R677" i="34"/>
  <c r="S677" i="34"/>
  <c r="R738" i="34"/>
  <c r="S738" i="34"/>
  <c r="Q738" i="34"/>
  <c r="R734" i="34"/>
  <c r="S734" i="34"/>
  <c r="Q734" i="34"/>
  <c r="R4908" i="34"/>
  <c r="Q4908" i="34"/>
  <c r="S4908" i="34"/>
  <c r="S4800" i="34"/>
  <c r="Q4800" i="34"/>
  <c r="R4800" i="34"/>
  <c r="Q4994" i="34"/>
  <c r="R4994" i="34"/>
  <c r="S4994" i="34"/>
  <c r="S2520" i="34"/>
  <c r="Q2520" i="34"/>
  <c r="R2520" i="34"/>
  <c r="Q2515" i="34"/>
  <c r="R2515" i="34"/>
  <c r="S2515" i="34"/>
  <c r="Q2513" i="34"/>
  <c r="R2513" i="34"/>
  <c r="S2513" i="34"/>
  <c r="S3133" i="34"/>
  <c r="Q3133" i="34"/>
  <c r="R3133" i="34"/>
  <c r="Q4825" i="34"/>
  <c r="R4825" i="34"/>
  <c r="S4825" i="34"/>
  <c r="Q4798" i="34"/>
  <c r="R4798" i="34"/>
  <c r="S4798" i="34"/>
  <c r="Q4823" i="34"/>
  <c r="R4823" i="34"/>
  <c r="S4823" i="34"/>
  <c r="S4889" i="34"/>
  <c r="Q4889" i="34"/>
  <c r="R4889" i="34"/>
  <c r="S4891" i="34"/>
  <c r="Q4891" i="34"/>
  <c r="R4891" i="34"/>
  <c r="Q4929" i="34"/>
  <c r="R4929" i="34"/>
  <c r="S4929" i="34"/>
  <c r="Q4931" i="34"/>
  <c r="R4931" i="34"/>
  <c r="S4931" i="34"/>
  <c r="Q4962" i="34"/>
  <c r="R4962" i="34"/>
  <c r="S4962" i="34"/>
  <c r="Q5000" i="34"/>
  <c r="R5000" i="34"/>
  <c r="S5000" i="34"/>
  <c r="R1847" i="34"/>
  <c r="S1847" i="34"/>
  <c r="Q1847" i="34"/>
  <c r="Q4968" i="34"/>
  <c r="R4968" i="34"/>
  <c r="S4968" i="34"/>
  <c r="Q4964" i="34"/>
  <c r="R4964" i="34"/>
  <c r="S4964" i="34"/>
  <c r="S4837" i="34"/>
  <c r="Q4837" i="34"/>
  <c r="R4837" i="34"/>
  <c r="S2099" i="34"/>
  <c r="Q2099" i="34"/>
  <c r="R2099" i="34"/>
  <c r="Q2088" i="34"/>
  <c r="R2088" i="34"/>
  <c r="S2088" i="34"/>
  <c r="S2091" i="34"/>
  <c r="Q2091" i="34"/>
  <c r="R2091" i="34"/>
  <c r="Q4796" i="34"/>
  <c r="R4796" i="34"/>
  <c r="S4796" i="34"/>
  <c r="S5022" i="34"/>
  <c r="Q5022" i="34"/>
  <c r="R5022" i="34"/>
  <c r="R5150" i="34"/>
  <c r="S5150" i="34"/>
  <c r="Q5150" i="34"/>
  <c r="R5100" i="34"/>
  <c r="S5100" i="34"/>
  <c r="Q5100" i="34"/>
  <c r="Q5045" i="34"/>
  <c r="R5045" i="34"/>
  <c r="S5045" i="34"/>
  <c r="R5058" i="34"/>
  <c r="S5058" i="34"/>
  <c r="Q5058" i="34"/>
  <c r="R5056" i="34"/>
  <c r="S5056" i="34"/>
  <c r="Q5056" i="34"/>
  <c r="R5077" i="34"/>
  <c r="S5077" i="34"/>
  <c r="Q5077" i="34"/>
  <c r="Q5123" i="34"/>
  <c r="R5123" i="34"/>
  <c r="S5123" i="34"/>
  <c r="Q5125" i="34"/>
  <c r="R5125" i="34"/>
  <c r="S5125" i="34"/>
  <c r="Q5139" i="34"/>
  <c r="R5139" i="34"/>
  <c r="S5139" i="34"/>
  <c r="R5161" i="34"/>
  <c r="S5161" i="34"/>
  <c r="Q5161" i="34"/>
  <c r="R5163" i="34"/>
  <c r="S5163" i="34"/>
  <c r="Q5163" i="34"/>
  <c r="S3153" i="34"/>
  <c r="Q3153" i="34"/>
  <c r="R3153" i="34"/>
  <c r="R5071" i="34"/>
  <c r="S5071" i="34"/>
  <c r="Q5071" i="34"/>
  <c r="R5073" i="34"/>
  <c r="S5073" i="34"/>
  <c r="Q5073" i="34"/>
  <c r="R5075" i="34"/>
  <c r="S5075" i="34"/>
  <c r="Q5075" i="34"/>
  <c r="S3157" i="34"/>
  <c r="Q3157" i="34"/>
  <c r="R3157" i="34"/>
  <c r="Q3160" i="34"/>
  <c r="R3160" i="34"/>
  <c r="S3160" i="34"/>
  <c r="S5030" i="34"/>
  <c r="Q5030" i="34"/>
  <c r="R5030" i="34"/>
  <c r="R5070" i="34"/>
  <c r="Q5070" i="34"/>
  <c r="S5070" i="34"/>
  <c r="R5108" i="34"/>
  <c r="S5108" i="34"/>
  <c r="Q5108" i="34"/>
  <c r="Q5113" i="34"/>
  <c r="R5113" i="34"/>
  <c r="S5113" i="34"/>
  <c r="Q5021" i="34"/>
  <c r="R5021" i="34"/>
  <c r="S5021" i="34"/>
  <c r="Q5041" i="34"/>
  <c r="R5041" i="34"/>
  <c r="S5041" i="34"/>
  <c r="Q5043" i="34"/>
  <c r="R5043" i="34"/>
  <c r="S5043" i="34"/>
  <c r="S5036" i="34"/>
  <c r="Q5036" i="34"/>
  <c r="R5036" i="34"/>
  <c r="Q1842" i="34"/>
  <c r="R1842" i="34"/>
  <c r="S1842" i="34"/>
  <c r="S3145" i="34"/>
  <c r="Q3145" i="34"/>
  <c r="R3145" i="34"/>
  <c r="Q695" i="34"/>
  <c r="R695" i="34"/>
  <c r="S695" i="34"/>
  <c r="Q697" i="34"/>
  <c r="R697" i="34"/>
  <c r="S697" i="34"/>
  <c r="Q699" i="34"/>
  <c r="R699" i="34"/>
  <c r="S699" i="34"/>
  <c r="Q2126" i="34"/>
  <c r="R2126" i="34"/>
  <c r="S2126" i="34"/>
  <c r="R700" i="34"/>
  <c r="S700" i="34"/>
  <c r="Q700" i="34"/>
  <c r="R702" i="34"/>
  <c r="S702" i="34"/>
  <c r="Q702" i="34"/>
  <c r="Q2104" i="34"/>
  <c r="R2104" i="34"/>
  <c r="S2104" i="34"/>
  <c r="S2113" i="34"/>
  <c r="Q2113" i="34"/>
  <c r="R2113" i="34"/>
  <c r="S2109" i="34"/>
  <c r="Q2109" i="34"/>
  <c r="R2109" i="34"/>
  <c r="S2105" i="34"/>
  <c r="Q2105" i="34"/>
  <c r="R2105" i="34"/>
  <c r="S2119" i="34"/>
  <c r="Q2119" i="34"/>
  <c r="R2119" i="34"/>
  <c r="S2123" i="34"/>
  <c r="Q2123" i="34"/>
  <c r="R2123" i="34"/>
  <c r="Q2000" i="34"/>
  <c r="R2000" i="34"/>
  <c r="S2000" i="34"/>
  <c r="Q2024" i="34"/>
  <c r="R2024" i="34"/>
  <c r="S2024" i="34"/>
  <c r="Q561" i="34"/>
  <c r="R561" i="34"/>
  <c r="S561" i="34"/>
  <c r="R708" i="34"/>
  <c r="S708" i="34"/>
  <c r="Q708" i="34"/>
  <c r="R712" i="34"/>
  <c r="Q712" i="34"/>
  <c r="S712" i="34"/>
  <c r="R716" i="34"/>
  <c r="S716" i="34"/>
  <c r="Q716" i="34"/>
  <c r="R720" i="34"/>
  <c r="S720" i="34"/>
  <c r="Q720" i="34"/>
  <c r="R724" i="34"/>
  <c r="S724" i="34"/>
  <c r="Q724" i="34"/>
  <c r="R728" i="34"/>
  <c r="S728" i="34"/>
  <c r="Q728" i="34"/>
  <c r="R606" i="34"/>
  <c r="S606" i="34"/>
  <c r="Q606" i="34"/>
  <c r="Q737" i="34"/>
  <c r="R737" i="34"/>
  <c r="S737" i="34"/>
  <c r="S5003" i="34"/>
  <c r="Q5003" i="34"/>
  <c r="R5003" i="34"/>
  <c r="M99" i="34"/>
  <c r="M95" i="34"/>
  <c r="M101" i="34"/>
  <c r="M103" i="34" s="1"/>
  <c r="M97" i="34"/>
  <c r="M93" i="34"/>
  <c r="M100" i="34"/>
  <c r="M96" i="34"/>
  <c r="M102" i="34"/>
  <c r="M104" i="34" s="1"/>
  <c r="M98" i="34"/>
  <c r="M94" i="34"/>
  <c r="B4959" i="34"/>
  <c r="A4959" i="34" s="1"/>
  <c r="B4947" i="34"/>
  <c r="A4947" i="34" s="1"/>
  <c r="B4946" i="34"/>
  <c r="A4946" i="34" s="1"/>
  <c r="B4945" i="34"/>
  <c r="A4945" i="34" s="1"/>
  <c r="B4940" i="34"/>
  <c r="A4940" i="34" s="1"/>
  <c r="B4928" i="34"/>
  <c r="A4928" i="34" s="1"/>
  <c r="B4927" i="34"/>
  <c r="A4927" i="34" s="1"/>
  <c r="B4926" i="34"/>
  <c r="A4926" i="34" s="1"/>
  <c r="B4925" i="34"/>
  <c r="A4925" i="34" s="1"/>
  <c r="B4924" i="34"/>
  <c r="A4924" i="34" s="1"/>
  <c r="B4923" i="34"/>
  <c r="A4923" i="34" s="1"/>
  <c r="B4922" i="34"/>
  <c r="A4922" i="34" s="1"/>
  <c r="B3103" i="34"/>
  <c r="A3103" i="34" s="1"/>
  <c r="E3103" i="34"/>
  <c r="E3138" i="34"/>
  <c r="B3138" i="34"/>
  <c r="A3138" i="34" s="1"/>
  <c r="E3137" i="34"/>
  <c r="B3137" i="34"/>
  <c r="A3137" i="34" s="1"/>
  <c r="E3136" i="34"/>
  <c r="B3136" i="34"/>
  <c r="A3136" i="34" s="1"/>
  <c r="E3135" i="34"/>
  <c r="B3135" i="34"/>
  <c r="A3135" i="34" s="1"/>
  <c r="E3134" i="34"/>
  <c r="B2518" i="34"/>
  <c r="A2518" i="34" s="1"/>
  <c r="E2518" i="34"/>
  <c r="E3131" i="34"/>
  <c r="B3131" i="34"/>
  <c r="A3131" i="34" s="1"/>
  <c r="E3130" i="34"/>
  <c r="E3129" i="34"/>
  <c r="B3129" i="34"/>
  <c r="A3129" i="34" s="1"/>
  <c r="E3128" i="34"/>
  <c r="B3128" i="34"/>
  <c r="A3128" i="34" s="1"/>
  <c r="E3127" i="34"/>
  <c r="B3127" i="34"/>
  <c r="A3127" i="34" s="1"/>
  <c r="E3126" i="34"/>
  <c r="B3126" i="34"/>
  <c r="A3126" i="34" s="1"/>
  <c r="E3125" i="34"/>
  <c r="B3125" i="34"/>
  <c r="A3125" i="34" s="1"/>
  <c r="E3124" i="34"/>
  <c r="B3124" i="34"/>
  <c r="A3124" i="34" s="1"/>
  <c r="E3123" i="34"/>
  <c r="B3123" i="34"/>
  <c r="A3123" i="34" s="1"/>
  <c r="E3122" i="34"/>
  <c r="B3122" i="34"/>
  <c r="A3122" i="34" s="1"/>
  <c r="E3121" i="34"/>
  <c r="B3121" i="34"/>
  <c r="A3121" i="34" s="1"/>
  <c r="E3120" i="34"/>
  <c r="B3120" i="34"/>
  <c r="A3120" i="34" s="1"/>
  <c r="E3119" i="34"/>
  <c r="B3119" i="34"/>
  <c r="A3119" i="34" s="1"/>
  <c r="E3118" i="34"/>
  <c r="B3118" i="34"/>
  <c r="A3118" i="34" s="1"/>
  <c r="E3117" i="34"/>
  <c r="B3117" i="34"/>
  <c r="A3117" i="34" s="1"/>
  <c r="E3116" i="34"/>
  <c r="B3116" i="34"/>
  <c r="A3116" i="34" s="1"/>
  <c r="E3115" i="34"/>
  <c r="B3115" i="34"/>
  <c r="A3115" i="34" s="1"/>
  <c r="E3114" i="34"/>
  <c r="B3114" i="34"/>
  <c r="A3114" i="34" s="1"/>
  <c r="B3112" i="34"/>
  <c r="A3112" i="34" s="1"/>
  <c r="E3112" i="34"/>
  <c r="B3113" i="34"/>
  <c r="A3113" i="34" s="1"/>
  <c r="E3113" i="34"/>
  <c r="E3111" i="34"/>
  <c r="B3109" i="34"/>
  <c r="A3109" i="34" s="1"/>
  <c r="E3109" i="34"/>
  <c r="B3110" i="34"/>
  <c r="A3110" i="34" s="1"/>
  <c r="E3110" i="34"/>
  <c r="E3108" i="34"/>
  <c r="B4295" i="34"/>
  <c r="A4295" i="34" s="1"/>
  <c r="B4294" i="34"/>
  <c r="A4294" i="34" s="1"/>
  <c r="B4270" i="34"/>
  <c r="A4270" i="34" s="1"/>
  <c r="B4269" i="34"/>
  <c r="A4269" i="34" s="1"/>
  <c r="B4281" i="34"/>
  <c r="A4281" i="34" s="1"/>
  <c r="B4280" i="34"/>
  <c r="A4280" i="34" s="1"/>
  <c r="B4382" i="34"/>
  <c r="A4382" i="34" s="1"/>
  <c r="B4381" i="34"/>
  <c r="A4381" i="34" s="1"/>
  <c r="B4536" i="34"/>
  <c r="A4536" i="34" s="1"/>
  <c r="B4535" i="34"/>
  <c r="A4535" i="34" s="1"/>
  <c r="B4584" i="34"/>
  <c r="A4584" i="34" s="1"/>
  <c r="B4583" i="34"/>
  <c r="A4583" i="34" s="1"/>
  <c r="B4586" i="34"/>
  <c r="A4586" i="34" s="1"/>
  <c r="B4585" i="34"/>
  <c r="A4585" i="34" s="1"/>
  <c r="B4582" i="34"/>
  <c r="A4582" i="34" s="1"/>
  <c r="B4581" i="34"/>
  <c r="A4581" i="34" s="1"/>
  <c r="B4630" i="34"/>
  <c r="A4630" i="34" s="1"/>
  <c r="B4629" i="34"/>
  <c r="A4629" i="34" s="1"/>
  <c r="B5010" i="34"/>
  <c r="A5010" i="34" s="1"/>
  <c r="B5009" i="34"/>
  <c r="A5009" i="34" s="1"/>
  <c r="B5011" i="34"/>
  <c r="A5011" i="34" s="1"/>
  <c r="B704" i="34"/>
  <c r="A704" i="34" s="1"/>
  <c r="B703" i="34"/>
  <c r="A703" i="34" s="1"/>
  <c r="E1943" i="34"/>
  <c r="B1943" i="34"/>
  <c r="A1943" i="34" s="1"/>
  <c r="M1942" i="34"/>
  <c r="E1942" i="34"/>
  <c r="B1942" i="34"/>
  <c r="A1942" i="34" s="1"/>
  <c r="E688" i="34"/>
  <c r="B688" i="34"/>
  <c r="A688" i="34" s="1"/>
  <c r="E687" i="34"/>
  <c r="B687" i="34"/>
  <c r="A687" i="34" s="1"/>
  <c r="E686" i="34"/>
  <c r="B686" i="34"/>
  <c r="A686" i="34" s="1"/>
  <c r="E616" i="34"/>
  <c r="B616" i="34"/>
  <c r="A616" i="34" s="1"/>
  <c r="E615" i="34"/>
  <c r="B615" i="34"/>
  <c r="A615" i="34" s="1"/>
  <c r="B1860" i="34"/>
  <c r="A1860" i="34" s="1"/>
  <c r="E1860" i="34"/>
  <c r="B1864" i="34"/>
  <c r="A1864" i="34" s="1"/>
  <c r="E1864" i="34"/>
  <c r="B1865" i="34"/>
  <c r="A1865" i="34" s="1"/>
  <c r="E1865" i="34"/>
  <c r="E1866" i="34"/>
  <c r="E1867" i="34"/>
  <c r="E1849" i="34"/>
  <c r="B1849" i="34"/>
  <c r="A1849" i="34" s="1"/>
  <c r="B1863" i="34"/>
  <c r="A1863" i="34" s="1"/>
  <c r="E1863" i="34"/>
  <c r="B1850" i="34"/>
  <c r="A1850" i="34" s="1"/>
  <c r="E1850" i="34"/>
  <c r="B1859" i="34"/>
  <c r="A1859" i="34" s="1"/>
  <c r="E1859" i="34"/>
  <c r="B1862" i="34"/>
  <c r="A1862" i="34" s="1"/>
  <c r="E1862" i="34"/>
  <c r="E1765" i="34"/>
  <c r="B1765" i="34"/>
  <c r="A1765" i="34" s="1"/>
  <c r="E1764" i="34"/>
  <c r="B1764" i="34"/>
  <c r="A1764" i="34" s="1"/>
  <c r="E1763" i="34"/>
  <c r="B1763" i="34"/>
  <c r="A1763" i="34" s="1"/>
  <c r="E1762" i="34"/>
  <c r="B1762" i="34"/>
  <c r="A1762" i="34" s="1"/>
  <c r="E1761" i="34"/>
  <c r="B1761" i="34"/>
  <c r="A1761" i="34" s="1"/>
  <c r="B1661" i="34"/>
  <c r="A1661" i="34" s="1"/>
  <c r="E1661" i="34"/>
  <c r="B676" i="34"/>
  <c r="A676" i="34" s="1"/>
  <c r="B675" i="34"/>
  <c r="A675" i="34" s="1"/>
  <c r="B674" i="34"/>
  <c r="A674" i="34" s="1"/>
  <c r="B673" i="34"/>
  <c r="A673" i="34" s="1"/>
  <c r="B672" i="34"/>
  <c r="A672" i="34" s="1"/>
  <c r="B671" i="34"/>
  <c r="A671" i="34" s="1"/>
  <c r="B682" i="34"/>
  <c r="A682" i="34" s="1"/>
  <c r="B681" i="34"/>
  <c r="A681" i="34" s="1"/>
  <c r="B5082" i="34"/>
  <c r="A5082" i="34" s="1"/>
  <c r="B5047" i="34"/>
  <c r="A5047" i="34" s="1"/>
  <c r="B5046" i="34"/>
  <c r="A5046" i="34" s="1"/>
  <c r="B620" i="34"/>
  <c r="A620" i="34" s="1"/>
  <c r="B619" i="34"/>
  <c r="A619" i="34" s="1"/>
  <c r="B91" i="34"/>
  <c r="A91" i="34" s="1"/>
  <c r="B3460" i="34"/>
  <c r="A3460" i="34" s="1"/>
  <c r="B3459" i="34"/>
  <c r="A3459" i="34" s="1"/>
  <c r="B2582" i="34"/>
  <c r="A2582" i="34" s="1"/>
  <c r="B2581" i="34"/>
  <c r="A2581" i="34" s="1"/>
  <c r="B2580" i="34"/>
  <c r="A2580" i="34" s="1"/>
  <c r="B2578" i="34"/>
  <c r="A2578" i="34" s="1"/>
  <c r="B2579" i="34"/>
  <c r="A2579" i="34" s="1"/>
  <c r="B2577" i="34"/>
  <c r="A2577" i="34" s="1"/>
  <c r="B3551" i="34"/>
  <c r="A3551" i="34" s="1"/>
  <c r="B3550" i="34"/>
  <c r="A3550" i="34" s="1"/>
  <c r="B3517" i="34"/>
  <c r="A3517" i="34" s="1"/>
  <c r="B3516" i="34"/>
  <c r="A3516" i="34" s="1"/>
  <c r="B3515" i="34"/>
  <c r="A3515" i="34" s="1"/>
  <c r="B3514" i="34"/>
  <c r="A3514" i="34" s="1"/>
  <c r="B3513" i="34"/>
  <c r="A3513" i="34" s="1"/>
  <c r="B3512" i="34"/>
  <c r="A3512" i="34" s="1"/>
  <c r="B3511" i="34"/>
  <c r="A3511" i="34" s="1"/>
  <c r="B3472" i="34"/>
  <c r="A3472" i="34" s="1"/>
  <c r="B3471" i="34"/>
  <c r="A3471" i="34" s="1"/>
  <c r="B3470" i="34"/>
  <c r="A3470" i="34" s="1"/>
  <c r="B3469" i="34"/>
  <c r="A3469" i="34" s="1"/>
  <c r="B3468" i="34"/>
  <c r="A3468" i="34" s="1"/>
  <c r="B3467" i="34"/>
  <c r="A3467" i="34" s="1"/>
  <c r="B3466" i="34"/>
  <c r="A3466" i="34" s="1"/>
  <c r="B3465" i="34"/>
  <c r="A3465" i="34" s="1"/>
  <c r="B3464" i="34"/>
  <c r="A3464" i="34" s="1"/>
  <c r="B3463" i="34"/>
  <c r="A3463" i="34" s="1"/>
  <c r="B3462" i="34"/>
  <c r="A3462" i="34" s="1"/>
  <c r="B3457" i="34"/>
  <c r="A3457" i="34" s="1"/>
  <c r="B2687" i="34"/>
  <c r="A2687" i="34" s="1"/>
  <c r="B2686" i="34"/>
  <c r="A2686" i="34" s="1"/>
  <c r="B2685" i="34"/>
  <c r="A2685" i="34" s="1"/>
  <c r="B2684" i="34"/>
  <c r="A2684" i="34" s="1"/>
  <c r="B2683" i="34"/>
  <c r="A2683" i="34" s="1"/>
  <c r="B2682" i="34"/>
  <c r="A2682" i="34" s="1"/>
  <c r="B2681" i="34"/>
  <c r="A2681" i="34" s="1"/>
  <c r="B2680" i="34"/>
  <c r="A2680" i="34" s="1"/>
  <c r="B2679" i="34"/>
  <c r="A2679" i="34" s="1"/>
  <c r="B2678" i="34"/>
  <c r="A2678" i="34" s="1"/>
  <c r="B2677" i="34"/>
  <c r="A2677" i="34" s="1"/>
  <c r="B2676" i="34"/>
  <c r="A2676" i="34" s="1"/>
  <c r="B2675" i="34"/>
  <c r="A2675" i="34" s="1"/>
  <c r="B2674" i="34"/>
  <c r="A2674" i="34" s="1"/>
  <c r="B2673" i="34"/>
  <c r="A2673" i="34" s="1"/>
  <c r="B2672" i="34"/>
  <c r="A2672" i="34" s="1"/>
  <c r="B2671" i="34"/>
  <c r="A2671" i="34" s="1"/>
  <c r="B2670" i="34"/>
  <c r="A2670" i="34" s="1"/>
  <c r="B2669" i="34"/>
  <c r="A2669" i="34" s="1"/>
  <c r="B2668" i="34"/>
  <c r="A2668" i="34" s="1"/>
  <c r="B2667" i="34"/>
  <c r="A2667" i="34" s="1"/>
  <c r="B2666" i="34"/>
  <c r="A2666" i="34" s="1"/>
  <c r="B2665" i="34"/>
  <c r="A2665" i="34" s="1"/>
  <c r="B2664" i="34"/>
  <c r="A2664" i="34" s="1"/>
  <c r="B2662" i="34"/>
  <c r="A2662" i="34" s="1"/>
  <c r="B2661" i="34"/>
  <c r="A2661" i="34" s="1"/>
  <c r="B2659" i="34"/>
  <c r="A2659" i="34" s="1"/>
  <c r="B2658" i="34"/>
  <c r="A2658" i="34" s="1"/>
  <c r="B2657" i="34"/>
  <c r="A2657" i="34" s="1"/>
  <c r="B2656" i="34"/>
  <c r="A2656" i="34" s="1"/>
  <c r="B2655" i="34"/>
  <c r="A2655" i="34" s="1"/>
  <c r="B2654" i="34"/>
  <c r="A2654" i="34" s="1"/>
  <c r="B2652" i="34"/>
  <c r="A2652" i="34" s="1"/>
  <c r="B2651" i="34"/>
  <c r="A2651" i="34" s="1"/>
  <c r="B3558" i="34"/>
  <c r="A3558" i="34" s="1"/>
  <c r="B3557" i="34"/>
  <c r="A3557" i="34" s="1"/>
  <c r="B3556" i="34"/>
  <c r="A3556" i="34" s="1"/>
  <c r="B3555" i="34"/>
  <c r="A3555" i="34" s="1"/>
  <c r="B3544" i="34"/>
  <c r="A3544" i="34" s="1"/>
  <c r="B3543" i="34"/>
  <c r="A3543" i="34" s="1"/>
  <c r="B3542" i="34"/>
  <c r="A3542" i="34" s="1"/>
  <c r="B3541" i="34"/>
  <c r="A3541" i="34" s="1"/>
  <c r="B3540" i="34"/>
  <c r="A3540" i="34" s="1"/>
  <c r="B3539" i="34"/>
  <c r="A3539" i="34" s="1"/>
  <c r="B3538" i="34"/>
  <c r="A3538" i="34" s="1"/>
  <c r="B3537" i="34"/>
  <c r="A3537" i="34" s="1"/>
  <c r="B3536" i="34"/>
  <c r="A3536" i="34" s="1"/>
  <c r="B3531" i="34"/>
  <c r="A3531" i="34" s="1"/>
  <c r="B3530" i="34"/>
  <c r="A3530" i="34" s="1"/>
  <c r="B3529" i="34"/>
  <c r="A3529" i="34" s="1"/>
  <c r="B3528" i="34"/>
  <c r="A3528" i="34" s="1"/>
  <c r="B3527" i="34"/>
  <c r="A3527" i="34" s="1"/>
  <c r="B3526" i="34"/>
  <c r="A3526" i="34" s="1"/>
  <c r="B3525" i="34"/>
  <c r="A3525" i="34" s="1"/>
  <c r="B3524" i="34"/>
  <c r="A3524" i="34" s="1"/>
  <c r="B3523" i="34"/>
  <c r="A3523" i="34" s="1"/>
  <c r="B3522" i="34"/>
  <c r="A3522" i="34" s="1"/>
  <c r="B3521" i="34"/>
  <c r="A3521" i="34" s="1"/>
  <c r="B3520" i="34"/>
  <c r="A3520" i="34" s="1"/>
  <c r="B3519" i="34"/>
  <c r="A3519" i="34" s="1"/>
  <c r="B3508" i="34"/>
  <c r="A3508" i="34" s="1"/>
  <c r="B3504" i="34"/>
  <c r="A3504" i="34" s="1"/>
  <c r="B3503" i="34"/>
  <c r="A3503" i="34" s="1"/>
  <c r="B3502" i="34"/>
  <c r="A3502" i="34" s="1"/>
  <c r="B3492" i="34"/>
  <c r="A3492" i="34" s="1"/>
  <c r="B3489" i="34"/>
  <c r="A3489" i="34" s="1"/>
  <c r="B3488" i="34"/>
  <c r="A3488" i="34" s="1"/>
  <c r="B3487" i="34"/>
  <c r="A3487" i="34" s="1"/>
  <c r="B2663" i="34"/>
  <c r="A2663" i="34" s="1"/>
  <c r="B3479" i="34"/>
  <c r="A3479" i="34" s="1"/>
  <c r="B3454" i="34"/>
  <c r="A3454" i="34" s="1"/>
  <c r="B3453" i="34"/>
  <c r="A3453" i="34" s="1"/>
  <c r="B2653" i="34"/>
  <c r="A2653" i="34" s="1"/>
  <c r="B3452" i="34"/>
  <c r="A3452" i="34" s="1"/>
  <c r="B3443" i="34"/>
  <c r="A3443" i="34" s="1"/>
  <c r="B3442" i="34"/>
  <c r="A3442" i="34" s="1"/>
  <c r="B3441" i="34"/>
  <c r="A3441" i="34" s="1"/>
  <c r="B3440" i="34"/>
  <c r="A3440" i="34" s="1"/>
  <c r="B3439" i="34"/>
  <c r="A3439" i="34" s="1"/>
  <c r="B3438" i="34"/>
  <c r="A3438" i="34" s="1"/>
  <c r="B3565" i="34"/>
  <c r="A3565" i="34" s="1"/>
  <c r="B3564" i="34"/>
  <c r="A3564" i="34" s="1"/>
  <c r="B3563" i="34"/>
  <c r="A3563" i="34" s="1"/>
  <c r="B3562" i="34"/>
  <c r="A3562" i="34" s="1"/>
  <c r="B3561" i="34"/>
  <c r="A3561" i="34" s="1"/>
  <c r="B3553" i="34"/>
  <c r="A3553" i="34" s="1"/>
  <c r="B3552" i="34"/>
  <c r="A3552" i="34" s="1"/>
  <c r="B3549" i="34"/>
  <c r="A3549" i="34" s="1"/>
  <c r="B3548" i="34"/>
  <c r="A3548" i="34" s="1"/>
  <c r="B3547" i="34"/>
  <c r="A3547" i="34" s="1"/>
  <c r="B3546" i="34"/>
  <c r="A3546" i="34" s="1"/>
  <c r="B3535" i="34"/>
  <c r="A3535" i="34" s="1"/>
  <c r="B3534" i="34"/>
  <c r="A3534" i="34" s="1"/>
  <c r="B3533" i="34"/>
  <c r="A3533" i="34" s="1"/>
  <c r="B3532" i="34"/>
  <c r="A3532" i="34" s="1"/>
  <c r="B3510" i="34"/>
  <c r="A3510" i="34" s="1"/>
  <c r="B3509" i="34"/>
  <c r="A3509" i="34" s="1"/>
  <c r="B3507" i="34"/>
  <c r="A3507" i="34" s="1"/>
  <c r="B3506" i="34"/>
  <c r="A3506" i="34" s="1"/>
  <c r="B3505" i="34"/>
  <c r="A3505" i="34" s="1"/>
  <c r="B3500" i="34"/>
  <c r="A3500" i="34" s="1"/>
  <c r="B3499" i="34"/>
  <c r="A3499" i="34" s="1"/>
  <c r="B3498" i="34"/>
  <c r="A3498" i="34" s="1"/>
  <c r="B3495" i="34"/>
  <c r="A3495" i="34" s="1"/>
  <c r="B3491" i="34"/>
  <c r="A3491" i="34" s="1"/>
  <c r="B3490" i="34"/>
  <c r="A3490" i="34" s="1"/>
  <c r="B3486" i="34"/>
  <c r="A3486" i="34" s="1"/>
  <c r="B3485" i="34"/>
  <c r="A3485" i="34" s="1"/>
  <c r="B3484" i="34"/>
  <c r="A3484" i="34" s="1"/>
  <c r="B3483" i="34"/>
  <c r="A3483" i="34" s="1"/>
  <c r="B3482" i="34"/>
  <c r="A3482" i="34" s="1"/>
  <c r="B3481" i="34"/>
  <c r="A3481" i="34" s="1"/>
  <c r="B3480" i="34"/>
  <c r="A3480" i="34" s="1"/>
  <c r="B3478" i="34"/>
  <c r="A3478" i="34" s="1"/>
  <c r="B3477" i="34"/>
  <c r="A3477" i="34" s="1"/>
  <c r="B3476" i="34"/>
  <c r="A3476" i="34" s="1"/>
  <c r="B3475" i="34"/>
  <c r="A3475" i="34" s="1"/>
  <c r="B3458" i="34"/>
  <c r="A3458" i="34" s="1"/>
  <c r="B3456" i="34"/>
  <c r="A3456" i="34" s="1"/>
  <c r="B3451" i="34"/>
  <c r="A3451" i="34" s="1"/>
  <c r="B3450" i="34"/>
  <c r="A3450" i="34" s="1"/>
  <c r="B3449" i="34"/>
  <c r="A3449" i="34" s="1"/>
  <c r="B3448" i="34"/>
  <c r="A3448" i="34" s="1"/>
  <c r="B3447" i="34"/>
  <c r="A3447" i="34" s="1"/>
  <c r="B3446" i="34"/>
  <c r="A3446" i="34" s="1"/>
  <c r="B3437" i="34"/>
  <c r="A3437" i="34" s="1"/>
  <c r="B3436" i="34"/>
  <c r="A3436" i="34" s="1"/>
  <c r="B3435" i="34"/>
  <c r="A3435" i="34" s="1"/>
  <c r="B3433" i="34"/>
  <c r="A3433" i="34" s="1"/>
  <c r="B3432" i="34"/>
  <c r="A3432" i="34" s="1"/>
  <c r="B3434" i="34"/>
  <c r="A3434" i="34" s="1"/>
  <c r="B3431" i="34"/>
  <c r="A3431" i="34" s="1"/>
  <c r="B3430" i="34"/>
  <c r="A3430" i="34" s="1"/>
  <c r="B3429" i="34"/>
  <c r="A3429" i="34" s="1"/>
  <c r="B3428" i="34"/>
  <c r="A3428" i="34" s="1"/>
  <c r="B3427" i="34"/>
  <c r="A3427" i="34" s="1"/>
  <c r="B3554" i="34"/>
  <c r="A3554" i="34" s="1"/>
  <c r="B3545" i="34"/>
  <c r="A3545" i="34" s="1"/>
  <c r="B3518" i="34"/>
  <c r="A3518" i="34" s="1"/>
  <c r="B3501" i="34"/>
  <c r="A3501" i="34" s="1"/>
  <c r="B3496" i="34"/>
  <c r="A3496" i="34" s="1"/>
  <c r="B3461" i="34"/>
  <c r="A3461" i="34" s="1"/>
  <c r="B3455" i="34"/>
  <c r="A3455" i="34" s="1"/>
  <c r="B910" i="34"/>
  <c r="A910" i="34" s="1"/>
  <c r="B909" i="34"/>
  <c r="A909" i="34" s="1"/>
  <c r="B908" i="34"/>
  <c r="A908" i="34" s="1"/>
  <c r="B907" i="34"/>
  <c r="A907" i="34" s="1"/>
  <c r="B906" i="34"/>
  <c r="A906" i="34" s="1"/>
  <c r="B905" i="34"/>
  <c r="A905" i="34" s="1"/>
  <c r="B904" i="34"/>
  <c r="A904" i="34" s="1"/>
  <c r="B903" i="34"/>
  <c r="A903" i="34" s="1"/>
  <c r="B902" i="34"/>
  <c r="A902" i="34" s="1"/>
  <c r="B901" i="34"/>
  <c r="A901" i="34" s="1"/>
  <c r="B900" i="34"/>
  <c r="A900" i="34" s="1"/>
  <c r="B899" i="34"/>
  <c r="A899" i="34" s="1"/>
  <c r="B898" i="34"/>
  <c r="A898" i="34" s="1"/>
  <c r="B897" i="34"/>
  <c r="A897" i="34" s="1"/>
  <c r="B896" i="34"/>
  <c r="A896" i="34" s="1"/>
  <c r="B895" i="34"/>
  <c r="A895" i="34" s="1"/>
  <c r="B894" i="34"/>
  <c r="A894" i="34" s="1"/>
  <c r="B893" i="34"/>
  <c r="A893" i="34" s="1"/>
  <c r="B892" i="34"/>
  <c r="A892" i="34" s="1"/>
  <c r="B891" i="34"/>
  <c r="A891" i="34" s="1"/>
  <c r="B890" i="34"/>
  <c r="A890" i="34" s="1"/>
  <c r="B889" i="34"/>
  <c r="A889" i="34" s="1"/>
  <c r="B888" i="34"/>
  <c r="A888" i="34" s="1"/>
  <c r="B887" i="34"/>
  <c r="A887" i="34" s="1"/>
  <c r="B886" i="34"/>
  <c r="A886" i="34" s="1"/>
  <c r="B323" i="34"/>
  <c r="A323" i="34" s="1"/>
  <c r="B322" i="34"/>
  <c r="A322" i="34" s="1"/>
  <c r="B321" i="34"/>
  <c r="A321" i="34" s="1"/>
  <c r="B320" i="34"/>
  <c r="A320" i="34" s="1"/>
  <c r="B319" i="34"/>
  <c r="A319" i="34" s="1"/>
  <c r="B318" i="34"/>
  <c r="A318" i="34" s="1"/>
  <c r="B317" i="34"/>
  <c r="A317" i="34" s="1"/>
  <c r="B316" i="34"/>
  <c r="A316" i="34" s="1"/>
  <c r="B315" i="34"/>
  <c r="A315" i="34" s="1"/>
  <c r="B314" i="34"/>
  <c r="A314" i="34" s="1"/>
  <c r="B313" i="34"/>
  <c r="A313" i="34" s="1"/>
  <c r="B312" i="34"/>
  <c r="A312" i="34" s="1"/>
  <c r="B311" i="34"/>
  <c r="A311" i="34" s="1"/>
  <c r="B310" i="34"/>
  <c r="A310" i="34" s="1"/>
  <c r="B309" i="34"/>
  <c r="A309" i="34" s="1"/>
  <c r="B308" i="34"/>
  <c r="A308" i="34" s="1"/>
  <c r="B307" i="34"/>
  <c r="A307" i="34" s="1"/>
  <c r="B306" i="34"/>
  <c r="A306" i="34" s="1"/>
  <c r="B305" i="34"/>
  <c r="A305" i="34" s="1"/>
  <c r="B304" i="34"/>
  <c r="A304" i="34" s="1"/>
  <c r="B303" i="34"/>
  <c r="A303" i="34" s="1"/>
  <c r="B302" i="34"/>
  <c r="A302" i="34" s="1"/>
  <c r="B301" i="34"/>
  <c r="A301" i="34" s="1"/>
  <c r="B300" i="34"/>
  <c r="A300" i="34" s="1"/>
  <c r="B299" i="34"/>
  <c r="A299" i="34" s="1"/>
  <c r="B298" i="34"/>
  <c r="A298" i="34" s="1"/>
  <c r="B297" i="34"/>
  <c r="A297" i="34" s="1"/>
  <c r="B296" i="34"/>
  <c r="A296" i="34" s="1"/>
  <c r="B295" i="34"/>
  <c r="A295" i="34" s="1"/>
  <c r="B294" i="34"/>
  <c r="A294" i="34" s="1"/>
  <c r="B293" i="34"/>
  <c r="A293" i="34" s="1"/>
  <c r="B292" i="34"/>
  <c r="A292" i="34" s="1"/>
  <c r="B291" i="34"/>
  <c r="A291" i="34" s="1"/>
  <c r="B290" i="34"/>
  <c r="A290" i="34" s="1"/>
  <c r="B289" i="34"/>
  <c r="A289" i="34" s="1"/>
  <c r="B288" i="34"/>
  <c r="A288" i="34" s="1"/>
  <c r="B287" i="34"/>
  <c r="A287" i="34" s="1"/>
  <c r="B861" i="34"/>
  <c r="A861" i="34" s="1"/>
  <c r="B860" i="34"/>
  <c r="A860" i="34" s="1"/>
  <c r="B2004" i="34"/>
  <c r="A2004" i="34" s="1"/>
  <c r="B2003" i="34"/>
  <c r="A2003" i="34" s="1"/>
  <c r="B2002" i="34"/>
  <c r="A2002" i="34" s="1"/>
  <c r="B859" i="34"/>
  <c r="A859" i="34" s="1"/>
  <c r="B858" i="34"/>
  <c r="A858" i="34" s="1"/>
  <c r="B857" i="34"/>
  <c r="A857" i="34" s="1"/>
  <c r="B856" i="34"/>
  <c r="A856" i="34" s="1"/>
  <c r="B855" i="34"/>
  <c r="A855" i="34" s="1"/>
  <c r="B854" i="34"/>
  <c r="A854" i="34" s="1"/>
  <c r="B853" i="34"/>
  <c r="A853" i="34" s="1"/>
  <c r="B852" i="34"/>
  <c r="A852" i="34" s="1"/>
  <c r="B851" i="34"/>
  <c r="A851" i="34" s="1"/>
  <c r="B850" i="34"/>
  <c r="A850" i="34" s="1"/>
  <c r="B849" i="34"/>
  <c r="A849" i="34" s="1"/>
  <c r="B848" i="34"/>
  <c r="A848" i="34" s="1"/>
  <c r="B89" i="34"/>
  <c r="A89" i="34" s="1"/>
  <c r="B88" i="34"/>
  <c r="A88" i="34" s="1"/>
  <c r="B87" i="34"/>
  <c r="A87" i="34" s="1"/>
  <c r="B86" i="34"/>
  <c r="A86" i="34" s="1"/>
  <c r="B85" i="34"/>
  <c r="A85" i="34" s="1"/>
  <c r="B84" i="34"/>
  <c r="A84" i="34" s="1"/>
  <c r="B83" i="34"/>
  <c r="A83" i="34" s="1"/>
  <c r="B82" i="34"/>
  <c r="A82" i="34" s="1"/>
  <c r="B81" i="34"/>
  <c r="A81" i="34" s="1"/>
  <c r="B80" i="34"/>
  <c r="A80" i="34" s="1"/>
  <c r="B79" i="34"/>
  <c r="A79" i="34" s="1"/>
  <c r="B78" i="34"/>
  <c r="A78" i="34" s="1"/>
  <c r="B77" i="34"/>
  <c r="A77" i="34" s="1"/>
  <c r="B76" i="34"/>
  <c r="A76" i="34" s="1"/>
  <c r="B3107" i="34"/>
  <c r="A3107" i="34" s="1"/>
  <c r="B3106" i="34"/>
  <c r="A3106" i="34" s="1"/>
  <c r="B3105" i="34"/>
  <c r="A3105" i="34" s="1"/>
  <c r="B2508" i="34"/>
  <c r="A2508" i="34" s="1"/>
  <c r="B3102" i="34"/>
  <c r="A3102" i="34" s="1"/>
  <c r="B3101" i="34"/>
  <c r="A3101" i="34" s="1"/>
  <c r="B3100" i="34"/>
  <c r="A3100" i="34" s="1"/>
  <c r="B3099" i="34"/>
  <c r="A3099" i="34" s="1"/>
  <c r="B3098" i="34"/>
  <c r="A3098" i="34" s="1"/>
  <c r="B3097" i="34"/>
  <c r="A3097" i="34" s="1"/>
  <c r="B3096" i="34"/>
  <c r="A3096" i="34" s="1"/>
  <c r="B3095" i="34"/>
  <c r="A3095" i="34" s="1"/>
  <c r="B4831" i="34"/>
  <c r="A4831" i="34" s="1"/>
  <c r="B3094" i="34"/>
  <c r="A3094" i="34" s="1"/>
  <c r="B3093" i="34"/>
  <c r="A3093" i="34" s="1"/>
  <c r="B3092" i="34"/>
  <c r="A3092" i="34" s="1"/>
  <c r="B3091" i="34"/>
  <c r="A3091" i="34" s="1"/>
  <c r="B3090" i="34"/>
  <c r="A3090" i="34" s="1"/>
  <c r="B3089" i="34"/>
  <c r="A3089" i="34" s="1"/>
  <c r="B3087" i="34"/>
  <c r="A3087" i="34" s="1"/>
  <c r="B3086" i="34"/>
  <c r="A3086" i="34" s="1"/>
  <c r="B3085" i="34"/>
  <c r="A3085" i="34" s="1"/>
  <c r="B3084" i="34"/>
  <c r="A3084" i="34" s="1"/>
  <c r="B3082" i="34"/>
  <c r="A3082" i="34" s="1"/>
  <c r="B3080" i="34"/>
  <c r="A3080" i="34" s="1"/>
  <c r="B3079" i="34"/>
  <c r="A3079" i="34" s="1"/>
  <c r="B3078" i="34"/>
  <c r="A3078" i="34" s="1"/>
  <c r="B3077" i="34"/>
  <c r="A3077" i="34" s="1"/>
  <c r="B3076" i="34"/>
  <c r="A3076" i="34" s="1"/>
  <c r="B3075" i="34"/>
  <c r="A3075" i="34" s="1"/>
  <c r="B3074" i="34"/>
  <c r="A3074" i="34" s="1"/>
  <c r="B3073" i="34"/>
  <c r="A3073" i="34" s="1"/>
  <c r="B3072" i="34"/>
  <c r="A3072" i="34" s="1"/>
  <c r="B4896" i="34"/>
  <c r="A4896" i="34" s="1"/>
  <c r="B4895" i="34"/>
  <c r="A4895" i="34" s="1"/>
  <c r="B4894" i="34"/>
  <c r="A4894" i="34" s="1"/>
  <c r="B4893" i="34"/>
  <c r="A4893" i="34" s="1"/>
  <c r="B4884" i="34"/>
  <c r="A4884" i="34" s="1"/>
  <c r="B4883" i="34"/>
  <c r="A4883" i="34" s="1"/>
  <c r="B4882" i="34"/>
  <c r="A4882" i="34" s="1"/>
  <c r="B4881" i="34"/>
  <c r="A4881" i="34" s="1"/>
  <c r="B4880" i="34"/>
  <c r="A4880" i="34" s="1"/>
  <c r="B4879" i="34"/>
  <c r="A4879" i="34" s="1"/>
  <c r="B4878" i="34"/>
  <c r="A4878" i="34" s="1"/>
  <c r="B4873" i="34"/>
  <c r="A4873" i="34" s="1"/>
  <c r="B4821" i="34"/>
  <c r="A4821" i="34" s="1"/>
  <c r="B4820" i="34"/>
  <c r="A4820" i="34" s="1"/>
  <c r="B4819" i="34"/>
  <c r="A4819" i="34" s="1"/>
  <c r="B4818" i="34"/>
  <c r="A4818" i="34" s="1"/>
  <c r="B4817" i="34"/>
  <c r="A4817" i="34" s="1"/>
  <c r="B4816" i="34"/>
  <c r="A4816" i="34" s="1"/>
  <c r="B4815" i="34"/>
  <c r="A4815" i="34" s="1"/>
  <c r="B4814" i="34"/>
  <c r="A4814" i="34" s="1"/>
  <c r="B4813" i="34"/>
  <c r="A4813" i="34" s="1"/>
  <c r="B4810" i="34"/>
  <c r="A4810" i="34" s="1"/>
  <c r="B4786" i="34"/>
  <c r="A4786" i="34" s="1"/>
  <c r="B4838" i="34"/>
  <c r="A4838" i="34" s="1"/>
  <c r="B4830" i="34"/>
  <c r="A4830" i="34" s="1"/>
  <c r="B4829" i="34"/>
  <c r="A4829" i="34" s="1"/>
  <c r="B4822" i="34"/>
  <c r="A4822" i="34" s="1"/>
  <c r="B3083" i="34"/>
  <c r="A3083" i="34" s="1"/>
  <c r="B4811" i="34"/>
  <c r="A4811" i="34" s="1"/>
  <c r="B4793" i="34"/>
  <c r="A4793" i="34" s="1"/>
  <c r="B4792" i="34"/>
  <c r="A4792" i="34" s="1"/>
  <c r="B4791" i="34"/>
  <c r="A4791" i="34" s="1"/>
  <c r="B4790" i="34"/>
  <c r="A4790" i="34" s="1"/>
  <c r="B4789" i="34"/>
  <c r="A4789" i="34" s="1"/>
  <c r="B4788" i="34"/>
  <c r="A4788" i="34" s="1"/>
  <c r="B3071" i="34"/>
  <c r="A3071" i="34" s="1"/>
  <c r="B5002" i="34"/>
  <c r="A5002" i="34" s="1"/>
  <c r="B4991" i="34"/>
  <c r="A4991" i="34" s="1"/>
  <c r="B4978" i="34"/>
  <c r="A4978" i="34" s="1"/>
  <c r="B4960" i="34"/>
  <c r="A4960" i="34" s="1"/>
  <c r="B4950" i="34"/>
  <c r="A4950" i="34" s="1"/>
  <c r="B4942" i="34"/>
  <c r="A4942" i="34" s="1"/>
  <c r="B4943" i="34"/>
  <c r="A4943" i="34" s="1"/>
  <c r="B4939" i="34"/>
  <c r="A4939" i="34" s="1"/>
  <c r="B4933" i="34"/>
  <c r="A4933" i="34" s="1"/>
  <c r="B4900" i="34"/>
  <c r="A4900" i="34" s="1"/>
  <c r="B4888" i="34"/>
  <c r="A4888" i="34" s="1"/>
  <c r="B4934" i="34"/>
  <c r="A4934" i="34" s="1"/>
  <c r="B4872" i="34"/>
  <c r="A4872" i="34" s="1"/>
  <c r="B4850" i="34"/>
  <c r="A4850" i="34" s="1"/>
  <c r="B4839" i="34"/>
  <c r="A4839" i="34" s="1"/>
  <c r="B4802" i="34"/>
  <c r="A4802" i="34" s="1"/>
  <c r="B4987" i="34"/>
  <c r="A4987" i="34" s="1"/>
  <c r="B4986" i="34"/>
  <c r="A4986" i="34" s="1"/>
  <c r="B4958" i="34"/>
  <c r="A4958" i="34" s="1"/>
  <c r="B4941" i="34"/>
  <c r="A4941" i="34" s="1"/>
  <c r="B4921" i="34"/>
  <c r="A4921" i="34" s="1"/>
  <c r="B4897" i="34"/>
  <c r="A4897" i="34" s="1"/>
  <c r="B4842" i="34"/>
  <c r="A4842" i="34" s="1"/>
  <c r="B4828" i="34"/>
  <c r="A4828" i="34" s="1"/>
  <c r="B4812" i="34"/>
  <c r="A4812" i="34" s="1"/>
  <c r="B4787" i="34"/>
  <c r="A4787" i="34" s="1"/>
  <c r="B1941" i="34"/>
  <c r="A1941" i="34" s="1"/>
  <c r="B1940" i="34"/>
  <c r="A1940" i="34" s="1"/>
  <c r="B1937" i="34"/>
  <c r="A1937" i="34" s="1"/>
  <c r="B1936" i="34"/>
  <c r="A1936" i="34" s="1"/>
  <c r="B1933" i="34"/>
  <c r="A1933" i="34" s="1"/>
  <c r="B1932" i="34"/>
  <c r="A1932" i="34" s="1"/>
  <c r="B1927" i="34"/>
  <c r="A1927" i="34" s="1"/>
  <c r="B1926" i="34"/>
  <c r="A1926" i="34" s="1"/>
  <c r="B1923" i="34"/>
  <c r="A1923" i="34" s="1"/>
  <c r="B1922" i="34"/>
  <c r="A1922" i="34" s="1"/>
  <c r="B1921" i="34"/>
  <c r="A1921" i="34" s="1"/>
  <c r="B1920" i="34"/>
  <c r="A1920" i="34" s="1"/>
  <c r="B1919" i="34"/>
  <c r="A1919" i="34" s="1"/>
  <c r="B1918" i="34"/>
  <c r="A1918" i="34" s="1"/>
  <c r="B1917" i="34"/>
  <c r="A1917" i="34" s="1"/>
  <c r="B1916" i="34"/>
  <c r="A1916" i="34" s="1"/>
  <c r="B1915" i="34"/>
  <c r="A1915" i="34" s="1"/>
  <c r="B1914" i="34"/>
  <c r="A1914" i="34" s="1"/>
  <c r="B1913" i="34"/>
  <c r="A1913" i="34" s="1"/>
  <c r="B1912" i="34"/>
  <c r="A1912" i="34" s="1"/>
  <c r="B1911" i="34"/>
  <c r="A1911" i="34" s="1"/>
  <c r="B1910" i="34"/>
  <c r="A1910" i="34" s="1"/>
  <c r="B1909" i="34"/>
  <c r="A1909" i="34" s="1"/>
  <c r="B1908" i="34"/>
  <c r="A1908" i="34" s="1"/>
  <c r="B1907" i="34"/>
  <c r="A1907" i="34" s="1"/>
  <c r="B1906" i="34"/>
  <c r="A1906" i="34" s="1"/>
  <c r="B1905" i="34"/>
  <c r="A1905" i="34" s="1"/>
  <c r="B1904" i="34"/>
  <c r="A1904" i="34" s="1"/>
  <c r="B1903" i="34"/>
  <c r="A1903" i="34" s="1"/>
  <c r="B1902" i="34"/>
  <c r="A1902" i="34" s="1"/>
  <c r="B1901" i="34"/>
  <c r="A1901" i="34" s="1"/>
  <c r="B1900" i="34"/>
  <c r="A1900" i="34" s="1"/>
  <c r="B1899" i="34"/>
  <c r="A1899" i="34" s="1"/>
  <c r="B1896" i="34"/>
  <c r="A1896" i="34" s="1"/>
  <c r="B670" i="34"/>
  <c r="A670" i="34" s="1"/>
  <c r="B669" i="34"/>
  <c r="A669" i="34" s="1"/>
  <c r="B668" i="34"/>
  <c r="A668" i="34" s="1"/>
  <c r="B667" i="34"/>
  <c r="A667" i="34" s="1"/>
  <c r="B666" i="34"/>
  <c r="A666" i="34" s="1"/>
  <c r="B665" i="34"/>
  <c r="A665" i="34" s="1"/>
  <c r="B664" i="34"/>
  <c r="A664" i="34" s="1"/>
  <c r="B663" i="34"/>
  <c r="A663" i="34" s="1"/>
  <c r="B662" i="34"/>
  <c r="A662" i="34" s="1"/>
  <c r="B661" i="34"/>
  <c r="A661" i="34" s="1"/>
  <c r="B660" i="34"/>
  <c r="A660" i="34" s="1"/>
  <c r="B659" i="34"/>
  <c r="A659" i="34" s="1"/>
  <c r="B658" i="34"/>
  <c r="A658" i="34" s="1"/>
  <c r="B657" i="34"/>
  <c r="A657" i="34" s="1"/>
  <c r="B656" i="34"/>
  <c r="A656" i="34" s="1"/>
  <c r="B655" i="34"/>
  <c r="A655" i="34" s="1"/>
  <c r="B654" i="34"/>
  <c r="A654" i="34" s="1"/>
  <c r="B653" i="34"/>
  <c r="A653" i="34" s="1"/>
  <c r="B652" i="34"/>
  <c r="A652" i="34" s="1"/>
  <c r="B651" i="34"/>
  <c r="A651" i="34" s="1"/>
  <c r="B650" i="34"/>
  <c r="A650" i="34" s="1"/>
  <c r="B649" i="34"/>
  <c r="A649" i="34" s="1"/>
  <c r="B648" i="34"/>
  <c r="A648" i="34" s="1"/>
  <c r="B647" i="34"/>
  <c r="A647" i="34" s="1"/>
  <c r="B646" i="34"/>
  <c r="A646" i="34" s="1"/>
  <c r="B645" i="34"/>
  <c r="A645" i="34" s="1"/>
  <c r="B644" i="34"/>
  <c r="A644" i="34" s="1"/>
  <c r="B643" i="34"/>
  <c r="A643" i="34" s="1"/>
  <c r="B642" i="34"/>
  <c r="A642" i="34" s="1"/>
  <c r="B641" i="34"/>
  <c r="A641" i="34" s="1"/>
  <c r="B640" i="34"/>
  <c r="A640" i="34" s="1"/>
  <c r="B639" i="34"/>
  <c r="A639" i="34" s="1"/>
  <c r="B638" i="34"/>
  <c r="A638" i="34" s="1"/>
  <c r="B637" i="34"/>
  <c r="A637" i="34" s="1"/>
  <c r="B636" i="34"/>
  <c r="A636" i="34" s="1"/>
  <c r="B635" i="34"/>
  <c r="A635" i="34" s="1"/>
  <c r="B634" i="34"/>
  <c r="A634" i="34" s="1"/>
  <c r="B633" i="34"/>
  <c r="A633" i="34" s="1"/>
  <c r="B632" i="34"/>
  <c r="A632" i="34" s="1"/>
  <c r="B631" i="34"/>
  <c r="A631" i="34" s="1"/>
  <c r="B630" i="34"/>
  <c r="A630" i="34" s="1"/>
  <c r="B629" i="34"/>
  <c r="A629" i="34" s="1"/>
  <c r="B628" i="34"/>
  <c r="A628" i="34" s="1"/>
  <c r="B627" i="34"/>
  <c r="A627" i="34" s="1"/>
  <c r="B626" i="34"/>
  <c r="A626" i="34" s="1"/>
  <c r="B625" i="34"/>
  <c r="A625" i="34" s="1"/>
  <c r="B624" i="34"/>
  <c r="A624" i="34" s="1"/>
  <c r="B623" i="34"/>
  <c r="A623" i="34" s="1"/>
  <c r="B622" i="34"/>
  <c r="A622" i="34" s="1"/>
  <c r="B621" i="34"/>
  <c r="A621" i="34" s="1"/>
  <c r="B618" i="34"/>
  <c r="A618" i="34" s="1"/>
  <c r="B617" i="34"/>
  <c r="A617" i="34" s="1"/>
  <c r="B614" i="34"/>
  <c r="A614" i="34" s="1"/>
  <c r="B613" i="34"/>
  <c r="A613" i="34" s="1"/>
  <c r="B612" i="34"/>
  <c r="A612" i="34" s="1"/>
  <c r="B611" i="34"/>
  <c r="A611" i="34" s="1"/>
  <c r="B610" i="34"/>
  <c r="A610" i="34" s="1"/>
  <c r="B609" i="34"/>
  <c r="A609" i="34" s="1"/>
  <c r="B608" i="34"/>
  <c r="A608" i="34" s="1"/>
  <c r="B1861" i="34"/>
  <c r="A1861" i="34" s="1"/>
  <c r="B1858" i="34"/>
  <c r="A1858" i="34" s="1"/>
  <c r="B1846" i="34"/>
  <c r="A1846" i="34" s="1"/>
  <c r="B1845" i="34"/>
  <c r="A1845" i="34" s="1"/>
  <c r="B1841" i="34"/>
  <c r="A1841" i="34" s="1"/>
  <c r="B1840" i="34"/>
  <c r="A1840" i="34" s="1"/>
  <c r="B1839" i="34"/>
  <c r="A1839" i="34" s="1"/>
  <c r="B1838" i="34"/>
  <c r="A1838" i="34" s="1"/>
  <c r="B1837" i="34"/>
  <c r="A1837" i="34" s="1"/>
  <c r="B1836" i="34"/>
  <c r="A1836" i="34" s="1"/>
  <c r="B1835" i="34"/>
  <c r="A1835" i="34" s="1"/>
  <c r="B1834" i="34"/>
  <c r="A1834" i="34" s="1"/>
  <c r="B1833" i="34"/>
  <c r="A1833" i="34" s="1"/>
  <c r="B1832" i="34"/>
  <c r="A1832" i="34" s="1"/>
  <c r="B1831" i="34"/>
  <c r="A1831" i="34" s="1"/>
  <c r="B1830" i="34"/>
  <c r="A1830" i="34" s="1"/>
  <c r="B1829" i="34"/>
  <c r="A1829" i="34" s="1"/>
  <c r="B1828" i="34"/>
  <c r="A1828" i="34" s="1"/>
  <c r="B1827" i="34"/>
  <c r="A1827" i="34" s="1"/>
  <c r="B1826" i="34"/>
  <c r="A1826" i="34" s="1"/>
  <c r="B1825" i="34"/>
  <c r="A1825" i="34" s="1"/>
  <c r="B1824" i="34"/>
  <c r="A1824" i="34" s="1"/>
  <c r="B1823" i="34"/>
  <c r="A1823" i="34" s="1"/>
  <c r="B218" i="34"/>
  <c r="A218" i="34" s="1"/>
  <c r="B217" i="34"/>
  <c r="A217" i="34" s="1"/>
  <c r="B216" i="34"/>
  <c r="A216" i="34" s="1"/>
  <c r="B215" i="34"/>
  <c r="A215" i="34" s="1"/>
  <c r="B214" i="34"/>
  <c r="A214" i="34" s="1"/>
  <c r="B213" i="34"/>
  <c r="A213" i="34" s="1"/>
  <c r="B212" i="34"/>
  <c r="A212" i="34" s="1"/>
  <c r="B211" i="34"/>
  <c r="A211" i="34" s="1"/>
  <c r="B210" i="34"/>
  <c r="A210" i="34" s="1"/>
  <c r="B209" i="34"/>
  <c r="A209" i="34" s="1"/>
  <c r="B208" i="34"/>
  <c r="A208" i="34" s="1"/>
  <c r="B207" i="34"/>
  <c r="A207" i="34" s="1"/>
  <c r="B206" i="34"/>
  <c r="A206" i="34" s="1"/>
  <c r="B205" i="34"/>
  <c r="A205" i="34" s="1"/>
  <c r="B54" i="34"/>
  <c r="A54" i="34" s="1"/>
  <c r="B53" i="34"/>
  <c r="A53" i="34" s="1"/>
  <c r="B52" i="34"/>
  <c r="A52" i="34" s="1"/>
  <c r="B2483" i="34"/>
  <c r="A2483" i="34" s="1"/>
  <c r="B4739" i="34"/>
  <c r="A4739" i="34" s="1"/>
  <c r="B4690" i="34"/>
  <c r="A4690" i="34" s="1"/>
  <c r="B4649" i="34"/>
  <c r="A4649" i="34" s="1"/>
  <c r="B4735" i="34"/>
  <c r="A4735" i="34" s="1"/>
  <c r="B4734" i="34"/>
  <c r="A4734" i="34" s="1"/>
  <c r="B4733" i="34"/>
  <c r="A4733" i="34" s="1"/>
  <c r="B4695" i="34"/>
  <c r="A4695" i="34" s="1"/>
  <c r="B4694" i="34"/>
  <c r="A4694" i="34" s="1"/>
  <c r="B4693" i="34"/>
  <c r="A4693" i="34" s="1"/>
  <c r="B4692" i="34"/>
  <c r="A4692" i="34" s="1"/>
  <c r="B4650" i="34"/>
  <c r="A4650" i="34" s="1"/>
  <c r="B4641" i="34"/>
  <c r="A4641" i="34" s="1"/>
  <c r="B2502" i="34"/>
  <c r="A2502" i="34" s="1"/>
  <c r="B2500" i="34"/>
  <c r="A2500" i="34" s="1"/>
  <c r="B2499" i="34"/>
  <c r="A2499" i="34" s="1"/>
  <c r="B2498" i="34"/>
  <c r="A2498" i="34" s="1"/>
  <c r="B2495" i="34"/>
  <c r="A2495" i="34" s="1"/>
  <c r="B2492" i="34"/>
  <c r="A2492" i="34" s="1"/>
  <c r="B4785" i="34"/>
  <c r="A4785" i="34" s="1"/>
  <c r="B4784" i="34"/>
  <c r="A4784" i="34" s="1"/>
  <c r="B2503" i="34"/>
  <c r="A2503" i="34" s="1"/>
  <c r="B4743" i="34"/>
  <c r="A4743" i="34" s="1"/>
  <c r="B4742" i="34"/>
  <c r="A4742" i="34" s="1"/>
  <c r="B4741" i="34"/>
  <c r="A4741" i="34" s="1"/>
  <c r="B4740" i="34"/>
  <c r="A4740" i="34" s="1"/>
  <c r="B4728" i="34"/>
  <c r="A4728" i="34" s="1"/>
  <c r="B2496" i="34"/>
  <c r="A2496" i="34" s="1"/>
  <c r="B4623" i="34"/>
  <c r="A4623" i="34" s="1"/>
  <c r="B4622" i="34"/>
  <c r="A4622" i="34" s="1"/>
  <c r="B4621" i="34"/>
  <c r="A4621" i="34" s="1"/>
  <c r="B4620" i="34"/>
  <c r="A4620" i="34" s="1"/>
  <c r="B4619" i="34"/>
  <c r="A4619" i="34" s="1"/>
  <c r="B4618" i="34"/>
  <c r="A4618" i="34" s="1"/>
  <c r="B4617" i="34"/>
  <c r="A4617" i="34" s="1"/>
  <c r="B4616" i="34"/>
  <c r="A4616" i="34" s="1"/>
  <c r="B4615" i="34"/>
  <c r="A4615" i="34" s="1"/>
  <c r="B4614" i="34"/>
  <c r="A4614" i="34" s="1"/>
  <c r="B4613" i="34"/>
  <c r="A4613" i="34" s="1"/>
  <c r="B4612" i="34"/>
  <c r="A4612" i="34" s="1"/>
  <c r="B3070" i="34"/>
  <c r="A3070" i="34" s="1"/>
  <c r="B3068" i="34"/>
  <c r="A3068" i="34" s="1"/>
  <c r="B3067" i="34"/>
  <c r="A3067" i="34" s="1"/>
  <c r="B2497" i="34"/>
  <c r="A2497" i="34" s="1"/>
  <c r="B3066" i="34"/>
  <c r="A3066" i="34" s="1"/>
  <c r="B3065" i="34"/>
  <c r="A3065" i="34" s="1"/>
  <c r="B3064" i="34"/>
  <c r="A3064" i="34" s="1"/>
  <c r="B3063" i="34"/>
  <c r="A3063" i="34" s="1"/>
  <c r="B3062" i="34"/>
  <c r="A3062" i="34" s="1"/>
  <c r="B3061" i="34"/>
  <c r="A3061" i="34" s="1"/>
  <c r="B3060" i="34"/>
  <c r="A3060" i="34" s="1"/>
  <c r="B3059" i="34"/>
  <c r="A3059" i="34" s="1"/>
  <c r="B3058" i="34"/>
  <c r="A3058" i="34" s="1"/>
  <c r="B3057" i="34"/>
  <c r="A3057" i="34" s="1"/>
  <c r="B3056" i="34"/>
  <c r="A3056" i="34" s="1"/>
  <c r="B3055" i="34"/>
  <c r="A3055" i="34" s="1"/>
  <c r="B3054" i="34"/>
  <c r="A3054" i="34" s="1"/>
  <c r="B3053" i="34"/>
  <c r="A3053" i="34" s="1"/>
  <c r="B3052" i="34"/>
  <c r="A3052" i="34" s="1"/>
  <c r="B3051" i="34"/>
  <c r="A3051" i="34" s="1"/>
  <c r="B3050" i="34"/>
  <c r="A3050" i="34" s="1"/>
  <c r="B3049" i="34"/>
  <c r="A3049" i="34" s="1"/>
  <c r="B3048" i="34"/>
  <c r="A3048" i="34" s="1"/>
  <c r="B3047" i="34"/>
  <c r="A3047" i="34" s="1"/>
  <c r="B3046" i="34"/>
  <c r="A3046" i="34" s="1"/>
  <c r="B3045" i="34"/>
  <c r="A3045" i="34" s="1"/>
  <c r="B3043" i="34"/>
  <c r="A3043" i="34" s="1"/>
  <c r="B3042" i="34"/>
  <c r="A3042" i="34" s="1"/>
  <c r="B3041" i="34"/>
  <c r="A3041" i="34" s="1"/>
  <c r="B3038" i="34"/>
  <c r="A3038" i="34" s="1"/>
  <c r="B3037" i="34"/>
  <c r="A3037" i="34" s="1"/>
  <c r="B3036" i="34"/>
  <c r="A3036" i="34" s="1"/>
  <c r="B3035" i="34"/>
  <c r="A3035" i="34" s="1"/>
  <c r="B3034" i="34"/>
  <c r="A3034" i="34" s="1"/>
  <c r="B3033" i="34"/>
  <c r="A3033" i="34" s="1"/>
  <c r="B3032" i="34"/>
  <c r="A3032" i="34" s="1"/>
  <c r="B3030" i="34"/>
  <c r="A3030" i="34" s="1"/>
  <c r="B3029" i="34"/>
  <c r="A3029" i="34" s="1"/>
  <c r="B3028" i="34"/>
  <c r="A3028" i="34" s="1"/>
  <c r="B3027" i="34"/>
  <c r="A3027" i="34" s="1"/>
  <c r="B3026" i="34"/>
  <c r="A3026" i="34" s="1"/>
  <c r="B3025" i="34"/>
  <c r="A3025" i="34" s="1"/>
  <c r="B4644" i="34"/>
  <c r="A4644" i="34" s="1"/>
  <c r="B3024" i="34"/>
  <c r="A3024" i="34" s="1"/>
  <c r="B3023" i="34"/>
  <c r="A3023" i="34" s="1"/>
  <c r="B3020" i="34"/>
  <c r="A3020" i="34" s="1"/>
  <c r="B3069" i="34"/>
  <c r="A3069" i="34" s="1"/>
  <c r="B4760" i="34"/>
  <c r="A4760" i="34" s="1"/>
  <c r="B4759" i="34"/>
  <c r="A4759" i="34" s="1"/>
  <c r="B4758" i="34"/>
  <c r="A4758" i="34" s="1"/>
  <c r="B4757" i="34"/>
  <c r="A4757" i="34" s="1"/>
  <c r="B4756" i="34"/>
  <c r="A4756" i="34" s="1"/>
  <c r="B4755" i="34"/>
  <c r="A4755" i="34" s="1"/>
  <c r="B4754" i="34"/>
  <c r="A4754" i="34" s="1"/>
  <c r="B4748" i="34"/>
  <c r="A4748" i="34" s="1"/>
  <c r="B4747" i="34"/>
  <c r="A4747" i="34" s="1"/>
  <c r="B4719" i="34"/>
  <c r="A4719" i="34" s="1"/>
  <c r="B4718" i="34"/>
  <c r="A4718" i="34" s="1"/>
  <c r="B4717" i="34"/>
  <c r="A4717" i="34" s="1"/>
  <c r="B4709" i="34"/>
  <c r="A4709" i="34" s="1"/>
  <c r="B4708" i="34"/>
  <c r="A4708" i="34" s="1"/>
  <c r="B4707" i="34"/>
  <c r="A4707" i="34" s="1"/>
  <c r="B4706" i="34"/>
  <c r="A4706" i="34" s="1"/>
  <c r="B4705" i="34"/>
  <c r="A4705" i="34" s="1"/>
  <c r="B4704" i="34"/>
  <c r="A4704" i="34" s="1"/>
  <c r="B4703" i="34"/>
  <c r="A4703" i="34" s="1"/>
  <c r="B4702" i="34"/>
  <c r="A4702" i="34" s="1"/>
  <c r="B4701" i="34"/>
  <c r="A4701" i="34" s="1"/>
  <c r="B4700" i="34"/>
  <c r="A4700" i="34" s="1"/>
  <c r="B3044" i="34"/>
  <c r="A3044" i="34" s="1"/>
  <c r="B4699" i="34"/>
  <c r="A4699" i="34" s="1"/>
  <c r="B4698" i="34"/>
  <c r="A4698" i="34" s="1"/>
  <c r="B4697" i="34"/>
  <c r="A4697" i="34" s="1"/>
  <c r="B4691" i="34"/>
  <c r="A4691" i="34" s="1"/>
  <c r="B4685" i="34"/>
  <c r="A4685" i="34" s="1"/>
  <c r="B4675" i="34"/>
  <c r="A4675" i="34" s="1"/>
  <c r="B4674" i="34"/>
  <c r="A4674" i="34" s="1"/>
  <c r="B4681" i="34"/>
  <c r="A4681" i="34" s="1"/>
  <c r="B4673" i="34"/>
  <c r="A4673" i="34" s="1"/>
  <c r="B4672" i="34"/>
  <c r="A4672" i="34" s="1"/>
  <c r="B4671" i="34"/>
  <c r="A4671" i="34" s="1"/>
  <c r="B4670" i="34"/>
  <c r="A4670" i="34" s="1"/>
  <c r="B4665" i="34"/>
  <c r="A4665" i="34" s="1"/>
  <c r="B4664" i="34"/>
  <c r="A4664" i="34" s="1"/>
  <c r="B4663" i="34"/>
  <c r="A4663" i="34" s="1"/>
  <c r="B4662" i="34"/>
  <c r="A4662" i="34" s="1"/>
  <c r="B4657" i="34"/>
  <c r="A4657" i="34" s="1"/>
  <c r="B4656" i="34"/>
  <c r="A4656" i="34" s="1"/>
  <c r="B4655" i="34"/>
  <c r="A4655" i="34" s="1"/>
  <c r="B4654" i="34"/>
  <c r="A4654" i="34" s="1"/>
  <c r="B4653" i="34"/>
  <c r="A4653" i="34" s="1"/>
  <c r="B4652" i="34"/>
  <c r="A4652" i="34" s="1"/>
  <c r="B4651" i="34"/>
  <c r="A4651" i="34" s="1"/>
  <c r="B3031" i="34"/>
  <c r="A3031" i="34" s="1"/>
  <c r="B4646" i="34"/>
  <c r="A4646" i="34" s="1"/>
  <c r="B4640" i="34"/>
  <c r="A4640" i="34" s="1"/>
  <c r="B4625" i="34"/>
  <c r="A4625" i="34" s="1"/>
  <c r="B4624" i="34"/>
  <c r="A4624" i="34" s="1"/>
  <c r="B4608" i="34"/>
  <c r="A4608" i="34" s="1"/>
  <c r="B4607" i="34"/>
  <c r="A4607" i="34" s="1"/>
  <c r="B4606" i="34"/>
  <c r="A4606" i="34" s="1"/>
  <c r="B4605" i="34"/>
  <c r="A4605" i="34" s="1"/>
  <c r="B4604" i="34"/>
  <c r="A4604" i="34" s="1"/>
  <c r="B4603" i="34"/>
  <c r="A4603" i="34" s="1"/>
  <c r="B4602" i="34"/>
  <c r="A4602" i="34" s="1"/>
  <c r="B4601" i="34"/>
  <c r="A4601" i="34" s="1"/>
  <c r="B4600" i="34"/>
  <c r="A4600" i="34" s="1"/>
  <c r="B4779" i="34"/>
  <c r="A4779" i="34" s="1"/>
  <c r="B4778" i="34"/>
  <c r="A4778" i="34" s="1"/>
  <c r="B4777" i="34"/>
  <c r="A4777" i="34" s="1"/>
  <c r="B4772" i="34"/>
  <c r="A4772" i="34" s="1"/>
  <c r="B4776" i="34"/>
  <c r="A4776" i="34" s="1"/>
  <c r="B4775" i="34"/>
  <c r="A4775" i="34" s="1"/>
  <c r="B4774" i="34"/>
  <c r="A4774" i="34" s="1"/>
  <c r="B4773" i="34"/>
  <c r="A4773" i="34" s="1"/>
  <c r="B4771" i="34"/>
  <c r="A4771" i="34" s="1"/>
  <c r="B4770" i="34"/>
  <c r="A4770" i="34" s="1"/>
  <c r="B4764" i="34"/>
  <c r="A4764" i="34" s="1"/>
  <c r="B4763" i="34"/>
  <c r="A4763" i="34" s="1"/>
  <c r="B4746" i="34"/>
  <c r="A4746" i="34" s="1"/>
  <c r="B4745" i="34"/>
  <c r="A4745" i="34" s="1"/>
  <c r="B4744" i="34"/>
  <c r="A4744" i="34" s="1"/>
  <c r="B4738" i="34"/>
  <c r="A4738" i="34" s="1"/>
  <c r="B4732" i="34"/>
  <c r="A4732" i="34" s="1"/>
  <c r="B4731" i="34"/>
  <c r="A4731" i="34" s="1"/>
  <c r="B4730" i="34"/>
  <c r="A4730" i="34" s="1"/>
  <c r="B4729" i="34"/>
  <c r="A4729" i="34" s="1"/>
  <c r="B4727" i="34"/>
  <c r="A4727" i="34" s="1"/>
  <c r="B4726" i="34"/>
  <c r="A4726" i="34" s="1"/>
  <c r="B4725" i="34"/>
  <c r="A4725" i="34" s="1"/>
  <c r="B4724" i="34"/>
  <c r="A4724" i="34" s="1"/>
  <c r="B4723" i="34"/>
  <c r="A4723" i="34" s="1"/>
  <c r="B4722" i="34"/>
  <c r="A4722" i="34" s="1"/>
  <c r="B4721" i="34"/>
  <c r="A4721" i="34" s="1"/>
  <c r="B4720" i="34"/>
  <c r="A4720" i="34" s="1"/>
  <c r="B4713" i="34"/>
  <c r="A4713" i="34" s="1"/>
  <c r="B4861" i="34"/>
  <c r="A4861" i="34" s="1"/>
  <c r="B4860" i="34"/>
  <c r="A4860" i="34" s="1"/>
  <c r="B4859" i="34"/>
  <c r="A4859" i="34" s="1"/>
  <c r="B4712" i="34"/>
  <c r="A4712" i="34" s="1"/>
  <c r="B4711" i="34"/>
  <c r="A4711" i="34" s="1"/>
  <c r="B4716" i="34"/>
  <c r="A4716" i="34" s="1"/>
  <c r="B4715" i="34"/>
  <c r="A4715" i="34" s="1"/>
  <c r="B4714" i="34"/>
  <c r="A4714" i="34" s="1"/>
  <c r="B4689" i="34"/>
  <c r="A4689" i="34" s="1"/>
  <c r="B4688" i="34"/>
  <c r="A4688" i="34" s="1"/>
  <c r="B4684" i="34"/>
  <c r="A4684" i="34" s="1"/>
  <c r="B4683" i="34"/>
  <c r="A4683" i="34" s="1"/>
  <c r="B4682" i="34"/>
  <c r="A4682" i="34" s="1"/>
  <c r="B4680" i="34"/>
  <c r="A4680" i="34" s="1"/>
  <c r="B4679" i="34"/>
  <c r="A4679" i="34" s="1"/>
  <c r="B4678" i="34"/>
  <c r="A4678" i="34" s="1"/>
  <c r="B4677" i="34"/>
  <c r="A4677" i="34" s="1"/>
  <c r="B4676" i="34"/>
  <c r="A4676" i="34" s="1"/>
  <c r="B4668" i="34"/>
  <c r="A4668" i="34" s="1"/>
  <c r="B4667" i="34"/>
  <c r="A4667" i="34" s="1"/>
  <c r="B4666" i="34"/>
  <c r="A4666" i="34" s="1"/>
  <c r="B4661" i="34"/>
  <c r="A4661" i="34" s="1"/>
  <c r="B4660" i="34"/>
  <c r="A4660" i="34" s="1"/>
  <c r="B4659" i="34"/>
  <c r="A4659" i="34" s="1"/>
  <c r="B4658" i="34"/>
  <c r="A4658" i="34" s="1"/>
  <c r="B4648" i="34"/>
  <c r="A4648" i="34" s="1"/>
  <c r="B4647" i="34"/>
  <c r="A4647" i="34" s="1"/>
  <c r="B4643" i="34"/>
  <c r="A4643" i="34" s="1"/>
  <c r="B4642" i="34"/>
  <c r="A4642" i="34" s="1"/>
  <c r="B4638" i="34"/>
  <c r="A4638" i="34" s="1"/>
  <c r="B4637" i="34"/>
  <c r="A4637" i="34" s="1"/>
  <c r="B4636" i="34"/>
  <c r="A4636" i="34" s="1"/>
  <c r="B4635" i="34"/>
  <c r="A4635" i="34" s="1"/>
  <c r="B4634" i="34"/>
  <c r="A4634" i="34" s="1"/>
  <c r="B4633" i="34"/>
  <c r="A4633" i="34" s="1"/>
  <c r="B4632" i="34"/>
  <c r="A4632" i="34" s="1"/>
  <c r="B4631" i="34"/>
  <c r="A4631" i="34" s="1"/>
  <c r="B4628" i="34"/>
  <c r="A4628" i="34" s="1"/>
  <c r="B4627" i="34"/>
  <c r="A4627" i="34" s="1"/>
  <c r="B4611" i="34"/>
  <c r="A4611" i="34" s="1"/>
  <c r="B4610" i="34"/>
  <c r="A4610" i="34" s="1"/>
  <c r="B4599" i="34"/>
  <c r="A4599" i="34" s="1"/>
  <c r="B4598" i="34"/>
  <c r="A4598" i="34" s="1"/>
  <c r="B4597" i="34"/>
  <c r="A4597" i="34" s="1"/>
  <c r="B4769" i="34"/>
  <c r="A4769" i="34" s="1"/>
  <c r="B4766" i="34"/>
  <c r="A4766" i="34" s="1"/>
  <c r="B4765" i="34"/>
  <c r="A4765" i="34" s="1"/>
  <c r="B4749" i="34"/>
  <c r="A4749" i="34" s="1"/>
  <c r="B4710" i="34"/>
  <c r="A4710" i="34" s="1"/>
  <c r="B4696" i="34"/>
  <c r="A4696" i="34" s="1"/>
  <c r="B4669" i="34"/>
  <c r="A4669" i="34" s="1"/>
  <c r="B4645" i="34"/>
  <c r="A4645" i="34" s="1"/>
  <c r="B4609" i="34"/>
  <c r="A4609" i="34" s="1"/>
  <c r="B4595" i="34"/>
  <c r="A4595" i="34" s="1"/>
  <c r="B1797" i="34"/>
  <c r="A1797" i="34" s="1"/>
  <c r="B1796" i="34"/>
  <c r="A1796" i="34" s="1"/>
  <c r="B1795" i="34"/>
  <c r="A1795" i="34" s="1"/>
  <c r="B1794" i="34"/>
  <c r="A1794" i="34" s="1"/>
  <c r="B1793" i="34"/>
  <c r="A1793" i="34" s="1"/>
  <c r="B1792" i="34"/>
  <c r="A1792" i="34" s="1"/>
  <c r="B1791" i="34"/>
  <c r="A1791" i="34" s="1"/>
  <c r="B1790" i="34"/>
  <c r="A1790" i="34" s="1"/>
  <c r="B1789" i="34"/>
  <c r="A1789" i="34" s="1"/>
  <c r="B1788" i="34"/>
  <c r="A1788" i="34" s="1"/>
  <c r="B1787" i="34"/>
  <c r="A1787" i="34" s="1"/>
  <c r="B1786" i="34"/>
  <c r="A1786" i="34" s="1"/>
  <c r="B1785" i="34"/>
  <c r="A1785" i="34" s="1"/>
  <c r="B1784" i="34"/>
  <c r="A1784" i="34" s="1"/>
  <c r="B1783" i="34"/>
  <c r="A1783" i="34" s="1"/>
  <c r="B1782" i="34"/>
  <c r="A1782" i="34" s="1"/>
  <c r="B1781" i="34"/>
  <c r="A1781" i="34" s="1"/>
  <c r="B1780" i="34"/>
  <c r="A1780" i="34" s="1"/>
  <c r="B1779" i="34"/>
  <c r="A1779" i="34" s="1"/>
  <c r="B1778" i="34"/>
  <c r="A1778" i="34" s="1"/>
  <c r="B605" i="34"/>
  <c r="A605" i="34" s="1"/>
  <c r="B604" i="34"/>
  <c r="A604" i="34" s="1"/>
  <c r="B603" i="34"/>
  <c r="A603" i="34" s="1"/>
  <c r="B602" i="34"/>
  <c r="A602" i="34" s="1"/>
  <c r="B601" i="34"/>
  <c r="A601" i="34" s="1"/>
  <c r="B600" i="34"/>
  <c r="A600" i="34" s="1"/>
  <c r="B599" i="34"/>
  <c r="A599" i="34" s="1"/>
  <c r="B598" i="34"/>
  <c r="A598" i="34" s="1"/>
  <c r="B597" i="34"/>
  <c r="A597" i="34" s="1"/>
  <c r="B596" i="34"/>
  <c r="A596" i="34" s="1"/>
  <c r="B595" i="34"/>
  <c r="A595" i="34" s="1"/>
  <c r="B594" i="34"/>
  <c r="A594" i="34" s="1"/>
  <c r="B593" i="34"/>
  <c r="A593" i="34" s="1"/>
  <c r="B592" i="34"/>
  <c r="A592" i="34" s="1"/>
  <c r="B591" i="34"/>
  <c r="A591" i="34" s="1"/>
  <c r="B590" i="34"/>
  <c r="A590" i="34" s="1"/>
  <c r="B589" i="34"/>
  <c r="A589" i="34" s="1"/>
  <c r="B588" i="34"/>
  <c r="A588" i="34" s="1"/>
  <c r="B587" i="34"/>
  <c r="A587" i="34" s="1"/>
  <c r="B586" i="34"/>
  <c r="A586" i="34" s="1"/>
  <c r="B585" i="34"/>
  <c r="A585" i="34" s="1"/>
  <c r="B584" i="34"/>
  <c r="A584" i="34" s="1"/>
  <c r="B583" i="34"/>
  <c r="A583" i="34" s="1"/>
  <c r="B582" i="34"/>
  <c r="A582" i="34" s="1"/>
  <c r="B581" i="34"/>
  <c r="A581" i="34" s="1"/>
  <c r="B580" i="34"/>
  <c r="A580" i="34" s="1"/>
  <c r="B579" i="34"/>
  <c r="A579" i="34" s="1"/>
  <c r="B578" i="34"/>
  <c r="A578" i="34" s="1"/>
  <c r="B577" i="34"/>
  <c r="A577" i="34" s="1"/>
  <c r="B576" i="34"/>
  <c r="A576" i="34" s="1"/>
  <c r="B575" i="34"/>
  <c r="A575" i="34" s="1"/>
  <c r="B574" i="34"/>
  <c r="A574" i="34" s="1"/>
  <c r="B573" i="34"/>
  <c r="A573" i="34" s="1"/>
  <c r="B572" i="34"/>
  <c r="A572" i="34" s="1"/>
  <c r="B571" i="34"/>
  <c r="A571" i="34" s="1"/>
  <c r="B570" i="34"/>
  <c r="A570" i="34" s="1"/>
  <c r="B569" i="34"/>
  <c r="A569" i="34" s="1"/>
  <c r="B568" i="34"/>
  <c r="A568" i="34" s="1"/>
  <c r="B567" i="34"/>
  <c r="A567" i="34" s="1"/>
  <c r="B566" i="34"/>
  <c r="A566" i="34" s="1"/>
  <c r="B565" i="34"/>
  <c r="A565" i="34" s="1"/>
  <c r="B564" i="34"/>
  <c r="A564" i="34" s="1"/>
  <c r="B563" i="34"/>
  <c r="A563" i="34" s="1"/>
  <c r="B562" i="34"/>
  <c r="A562" i="34" s="1"/>
  <c r="B1760" i="34"/>
  <c r="A1760" i="34" s="1"/>
  <c r="B1759" i="34"/>
  <c r="A1759" i="34" s="1"/>
  <c r="B1758" i="34"/>
  <c r="A1758" i="34" s="1"/>
  <c r="B1757" i="34"/>
  <c r="A1757" i="34" s="1"/>
  <c r="B1756" i="34"/>
  <c r="A1756" i="34" s="1"/>
  <c r="B1755" i="34"/>
  <c r="A1755" i="34" s="1"/>
  <c r="B1754" i="34"/>
  <c r="A1754" i="34" s="1"/>
  <c r="B1753" i="34"/>
  <c r="A1753" i="34" s="1"/>
  <c r="B1752" i="34"/>
  <c r="A1752" i="34" s="1"/>
  <c r="B1751" i="34"/>
  <c r="A1751" i="34" s="1"/>
  <c r="B1750" i="34"/>
  <c r="A1750" i="34" s="1"/>
  <c r="B202" i="34"/>
  <c r="A202" i="34" s="1"/>
  <c r="B201" i="34"/>
  <c r="A201" i="34" s="1"/>
  <c r="B200" i="34"/>
  <c r="A200" i="34" s="1"/>
  <c r="B199" i="34"/>
  <c r="A199" i="34" s="1"/>
  <c r="B198" i="34"/>
  <c r="A198" i="34" s="1"/>
  <c r="B197" i="34"/>
  <c r="A197" i="34" s="1"/>
  <c r="B196" i="34"/>
  <c r="A196" i="34" s="1"/>
  <c r="B195" i="34"/>
  <c r="A195" i="34" s="1"/>
  <c r="B194" i="34"/>
  <c r="A194" i="34" s="1"/>
  <c r="B193" i="34"/>
  <c r="A193" i="34" s="1"/>
  <c r="B192" i="34"/>
  <c r="A192" i="34" s="1"/>
  <c r="B191" i="34"/>
  <c r="A191" i="34" s="1"/>
  <c r="B190" i="34"/>
  <c r="A190" i="34" s="1"/>
  <c r="B189" i="34"/>
  <c r="A189" i="34" s="1"/>
  <c r="B51" i="34"/>
  <c r="A51" i="34" s="1"/>
  <c r="B50" i="34"/>
  <c r="A50" i="34" s="1"/>
  <c r="B4384" i="34"/>
  <c r="A4384" i="34" s="1"/>
  <c r="B4318" i="34"/>
  <c r="A4318" i="34" s="1"/>
  <c r="B4316" i="34"/>
  <c r="A4316" i="34" s="1"/>
  <c r="B4314" i="34"/>
  <c r="A4314" i="34" s="1"/>
  <c r="B2970" i="34"/>
  <c r="A2970" i="34" s="1"/>
  <c r="B2969" i="34"/>
  <c r="A2969" i="34" s="1"/>
  <c r="B2610" i="34"/>
  <c r="A2610" i="34" s="1"/>
  <c r="B2967" i="34"/>
  <c r="A2967" i="34" s="1"/>
  <c r="B2966" i="34"/>
  <c r="A2966" i="34" s="1"/>
  <c r="B2484" i="34"/>
  <c r="A2484" i="34" s="1"/>
  <c r="B2964" i="34"/>
  <c r="A2964" i="34" s="1"/>
  <c r="B2963" i="34"/>
  <c r="A2963" i="34" s="1"/>
  <c r="B2962" i="34"/>
  <c r="A2962" i="34" s="1"/>
  <c r="B2961" i="34"/>
  <c r="A2961" i="34" s="1"/>
  <c r="B2960" i="34"/>
  <c r="A2960" i="34" s="1"/>
  <c r="B2959" i="34"/>
  <c r="A2959" i="34" s="1"/>
  <c r="B2958" i="34"/>
  <c r="A2958" i="34" s="1"/>
  <c r="B2957" i="34"/>
  <c r="A2957" i="34" s="1"/>
  <c r="B2956" i="34"/>
  <c r="A2956" i="34" s="1"/>
  <c r="B2955" i="34"/>
  <c r="A2955" i="34" s="1"/>
  <c r="B2954" i="34"/>
  <c r="A2954" i="34" s="1"/>
  <c r="B2953" i="34"/>
  <c r="A2953" i="34" s="1"/>
  <c r="B2952" i="34"/>
  <c r="A2952" i="34" s="1"/>
  <c r="B2951" i="34"/>
  <c r="A2951" i="34" s="1"/>
  <c r="B2950" i="34"/>
  <c r="A2950" i="34" s="1"/>
  <c r="B2949" i="34"/>
  <c r="A2949" i="34" s="1"/>
  <c r="B2948" i="34"/>
  <c r="A2948" i="34" s="1"/>
  <c r="B2947" i="34"/>
  <c r="A2947" i="34" s="1"/>
  <c r="B2946" i="34"/>
  <c r="A2946" i="34" s="1"/>
  <c r="B2945" i="34"/>
  <c r="A2945" i="34" s="1"/>
  <c r="B2944" i="34"/>
  <c r="A2944" i="34" s="1"/>
  <c r="B2943" i="34"/>
  <c r="A2943" i="34" s="1"/>
  <c r="B2942" i="34"/>
  <c r="A2942" i="34" s="1"/>
  <c r="B2941" i="34"/>
  <c r="A2941" i="34" s="1"/>
  <c r="B2940" i="34"/>
  <c r="A2940" i="34" s="1"/>
  <c r="B2939" i="34"/>
  <c r="A2939" i="34" s="1"/>
  <c r="B2938" i="34"/>
  <c r="A2938" i="34" s="1"/>
  <c r="B2937" i="34"/>
  <c r="A2937" i="34" s="1"/>
  <c r="B2936" i="34"/>
  <c r="A2936" i="34" s="1"/>
  <c r="B2935" i="34"/>
  <c r="A2935" i="34" s="1"/>
  <c r="B2934" i="34"/>
  <c r="A2934" i="34" s="1"/>
  <c r="B2933" i="34"/>
  <c r="A2933" i="34" s="1"/>
  <c r="B2932" i="34"/>
  <c r="A2932" i="34" s="1"/>
  <c r="B2931" i="34"/>
  <c r="A2931" i="34" s="1"/>
  <c r="B2930" i="34"/>
  <c r="A2930" i="34" s="1"/>
  <c r="B2928" i="34"/>
  <c r="A2928" i="34" s="1"/>
  <c r="B2927" i="34"/>
  <c r="A2927" i="34" s="1"/>
  <c r="B2923" i="34"/>
  <c r="A2923" i="34" s="1"/>
  <c r="B2925" i="34"/>
  <c r="A2925" i="34" s="1"/>
  <c r="B2924" i="34"/>
  <c r="A2924" i="34" s="1"/>
  <c r="B2922" i="34"/>
  <c r="A2922" i="34" s="1"/>
  <c r="B2921" i="34"/>
  <c r="A2921" i="34" s="1"/>
  <c r="B2920" i="34"/>
  <c r="A2920" i="34" s="1"/>
  <c r="B2919" i="34"/>
  <c r="A2919" i="34" s="1"/>
  <c r="B2918" i="34"/>
  <c r="A2918" i="34" s="1"/>
  <c r="B2916" i="34"/>
  <c r="A2916" i="34" s="1"/>
  <c r="B2914" i="34"/>
  <c r="A2914" i="34" s="1"/>
  <c r="B2913" i="34"/>
  <c r="A2913" i="34" s="1"/>
  <c r="B4387" i="34"/>
  <c r="A4387" i="34" s="1"/>
  <c r="B4372" i="34"/>
  <c r="A4372" i="34" s="1"/>
  <c r="B4371" i="34"/>
  <c r="A4371" i="34" s="1"/>
  <c r="B4370" i="34"/>
  <c r="A4370" i="34" s="1"/>
  <c r="B4369" i="34"/>
  <c r="A4369" i="34" s="1"/>
  <c r="B4368" i="34"/>
  <c r="A4368" i="34" s="1"/>
  <c r="B4367" i="34"/>
  <c r="A4367" i="34" s="1"/>
  <c r="B4366" i="34"/>
  <c r="A4366" i="34" s="1"/>
  <c r="B4365" i="34"/>
  <c r="A4365" i="34" s="1"/>
  <c r="B4364" i="34"/>
  <c r="A4364" i="34" s="1"/>
  <c r="B4363" i="34"/>
  <c r="A4363" i="34" s="1"/>
  <c r="B4362" i="34"/>
  <c r="A4362" i="34" s="1"/>
  <c r="B4361" i="34"/>
  <c r="A4361" i="34" s="1"/>
  <c r="B4360" i="34"/>
  <c r="A4360" i="34" s="1"/>
  <c r="B4359" i="34"/>
  <c r="A4359" i="34" s="1"/>
  <c r="B4358" i="34"/>
  <c r="A4358" i="34" s="1"/>
  <c r="B4357" i="34"/>
  <c r="A4357" i="34" s="1"/>
  <c r="B4356" i="34"/>
  <c r="A4356" i="34" s="1"/>
  <c r="B4355" i="34"/>
  <c r="A4355" i="34" s="1"/>
  <c r="B4354" i="34"/>
  <c r="A4354" i="34" s="1"/>
  <c r="B4353" i="34"/>
  <c r="A4353" i="34" s="1"/>
  <c r="B4352" i="34"/>
  <c r="A4352" i="34" s="1"/>
  <c r="B4350" i="34"/>
  <c r="A4350" i="34" s="1"/>
  <c r="B2965" i="34"/>
  <c r="A2965" i="34" s="1"/>
  <c r="B4315" i="34"/>
  <c r="A4315" i="34" s="1"/>
  <c r="B4310" i="34"/>
  <c r="A4310" i="34" s="1"/>
  <c r="B4309" i="34"/>
  <c r="A4309" i="34" s="1"/>
  <c r="B4308" i="34"/>
  <c r="A4308" i="34" s="1"/>
  <c r="B2926" i="34"/>
  <c r="A2926" i="34" s="1"/>
  <c r="B4293" i="34"/>
  <c r="A4293" i="34" s="1"/>
  <c r="B4292" i="34"/>
  <c r="A4292" i="34" s="1"/>
  <c r="B4291" i="34"/>
  <c r="A4291" i="34" s="1"/>
  <c r="B4288" i="34"/>
  <c r="A4288" i="34" s="1"/>
  <c r="B4287" i="34"/>
  <c r="A4287" i="34" s="1"/>
  <c r="B4286" i="34"/>
  <c r="A4286" i="34" s="1"/>
  <c r="B4285" i="34"/>
  <c r="A4285" i="34" s="1"/>
  <c r="B4284" i="34"/>
  <c r="A4284" i="34" s="1"/>
  <c r="B4283" i="34"/>
  <c r="A4283" i="34" s="1"/>
  <c r="B4278" i="34"/>
  <c r="A4278" i="34" s="1"/>
  <c r="B4268" i="34"/>
  <c r="A4268" i="34" s="1"/>
  <c r="B4262" i="34"/>
  <c r="A4262" i="34" s="1"/>
  <c r="B4261" i="34"/>
  <c r="A4261" i="34" s="1"/>
  <c r="B4260" i="34"/>
  <c r="A4260" i="34" s="1"/>
  <c r="B4259" i="34"/>
  <c r="A4259" i="34" s="1"/>
  <c r="B2917" i="34"/>
  <c r="A2917" i="34" s="1"/>
  <c r="B4258" i="34"/>
  <c r="A4258" i="34" s="1"/>
  <c r="B4257" i="34"/>
  <c r="A4257" i="34" s="1"/>
  <c r="B4249" i="34"/>
  <c r="A4249" i="34" s="1"/>
  <c r="B4232" i="34"/>
  <c r="A4232" i="34" s="1"/>
  <c r="B4385" i="34"/>
  <c r="A4385" i="34" s="1"/>
  <c r="B4378" i="34"/>
  <c r="A4378" i="34" s="1"/>
  <c r="B4377" i="34"/>
  <c r="A4377" i="34" s="1"/>
  <c r="B4376" i="34"/>
  <c r="A4376" i="34" s="1"/>
  <c r="B4348" i="34"/>
  <c r="A4348" i="34" s="1"/>
  <c r="B4347" i="34"/>
  <c r="A4347" i="34" s="1"/>
  <c r="B4346" i="34"/>
  <c r="A4346" i="34" s="1"/>
  <c r="B4345" i="34"/>
  <c r="A4345" i="34" s="1"/>
  <c r="B4344" i="34"/>
  <c r="A4344" i="34" s="1"/>
  <c r="B4343" i="34"/>
  <c r="A4343" i="34" s="1"/>
  <c r="B4342" i="34"/>
  <c r="A4342" i="34" s="1"/>
  <c r="B4341" i="34"/>
  <c r="A4341" i="34" s="1"/>
  <c r="B4338" i="34"/>
  <c r="A4338" i="34" s="1"/>
  <c r="B4337" i="34"/>
  <c r="A4337" i="34" s="1"/>
  <c r="B4323" i="34"/>
  <c r="A4323" i="34" s="1"/>
  <c r="B4322" i="34"/>
  <c r="A4322" i="34" s="1"/>
  <c r="B4321" i="34"/>
  <c r="A4321" i="34" s="1"/>
  <c r="B4320" i="34"/>
  <c r="A4320" i="34" s="1"/>
  <c r="B4307" i="34"/>
  <c r="A4307" i="34" s="1"/>
  <c r="B4306" i="34"/>
  <c r="A4306" i="34" s="1"/>
  <c r="B4305" i="34"/>
  <c r="A4305" i="34" s="1"/>
  <c r="B4301" i="34"/>
  <c r="A4301" i="34" s="1"/>
  <c r="B4300" i="34"/>
  <c r="A4300" i="34" s="1"/>
  <c r="B4299" i="34"/>
  <c r="A4299" i="34" s="1"/>
  <c r="B4298" i="34"/>
  <c r="A4298" i="34" s="1"/>
  <c r="B4277" i="34"/>
  <c r="A4277" i="34" s="1"/>
  <c r="B4276" i="34"/>
  <c r="A4276" i="34" s="1"/>
  <c r="B4275" i="34"/>
  <c r="A4275" i="34" s="1"/>
  <c r="B4274" i="34"/>
  <c r="A4274" i="34" s="1"/>
  <c r="B4273" i="34"/>
  <c r="A4273" i="34" s="1"/>
  <c r="B4272" i="34"/>
  <c r="A4272" i="34" s="1"/>
  <c r="B4266" i="34"/>
  <c r="A4266" i="34" s="1"/>
  <c r="B4265" i="34"/>
  <c r="A4265" i="34" s="1"/>
  <c r="B4264" i="34"/>
  <c r="A4264" i="34" s="1"/>
  <c r="B4256" i="34"/>
  <c r="A4256" i="34" s="1"/>
  <c r="B4255" i="34"/>
  <c r="A4255" i="34" s="1"/>
  <c r="B4254" i="34"/>
  <c r="A4254" i="34" s="1"/>
  <c r="B4248" i="34"/>
  <c r="A4248" i="34" s="1"/>
  <c r="B4245" i="34"/>
  <c r="A4245" i="34" s="1"/>
  <c r="B4231" i="34"/>
  <c r="A4231" i="34" s="1"/>
  <c r="B4230" i="34"/>
  <c r="A4230" i="34" s="1"/>
  <c r="B4229" i="34"/>
  <c r="A4229" i="34" s="1"/>
  <c r="B2482" i="34"/>
  <c r="A2482" i="34" s="1"/>
  <c r="B4336" i="34"/>
  <c r="A4336" i="34" s="1"/>
  <c r="B4335" i="34"/>
  <c r="A4335" i="34" s="1"/>
  <c r="B4334" i="34"/>
  <c r="A4334" i="34" s="1"/>
  <c r="B4333" i="34"/>
  <c r="A4333" i="34" s="1"/>
  <c r="B4332" i="34"/>
  <c r="A4332" i="34" s="1"/>
  <c r="B4331" i="34"/>
  <c r="A4331" i="34" s="1"/>
  <c r="B4330" i="34"/>
  <c r="A4330" i="34" s="1"/>
  <c r="B4329" i="34"/>
  <c r="A4329" i="34" s="1"/>
  <c r="B4296" i="34"/>
  <c r="A4296" i="34" s="1"/>
  <c r="B4271" i="34"/>
  <c r="A4271" i="34" s="1"/>
  <c r="B4383" i="34"/>
  <c r="A4383" i="34" s="1"/>
  <c r="B4380" i="34"/>
  <c r="A4380" i="34" s="1"/>
  <c r="B4379" i="34"/>
  <c r="A4379" i="34" s="1"/>
  <c r="B4375" i="34"/>
  <c r="A4375" i="34" s="1"/>
  <c r="B4374" i="34"/>
  <c r="A4374" i="34" s="1"/>
  <c r="B4373" i="34"/>
  <c r="A4373" i="34" s="1"/>
  <c r="B4325" i="34"/>
  <c r="A4325" i="34" s="1"/>
  <c r="B4324" i="34"/>
  <c r="A4324" i="34" s="1"/>
  <c r="B4328" i="34"/>
  <c r="A4328" i="34" s="1"/>
  <c r="B4327" i="34"/>
  <c r="A4327" i="34" s="1"/>
  <c r="B4326" i="34"/>
  <c r="A4326" i="34" s="1"/>
  <c r="B4907" i="34"/>
  <c r="A4907" i="34" s="1"/>
  <c r="B4906" i="34"/>
  <c r="A4906" i="34" s="1"/>
  <c r="B4905" i="34"/>
  <c r="A4905" i="34" s="1"/>
  <c r="B3734" i="34"/>
  <c r="A3734" i="34" s="1"/>
  <c r="B3733" i="34"/>
  <c r="A3733" i="34" s="1"/>
  <c r="B3732" i="34"/>
  <c r="A3732" i="34" s="1"/>
  <c r="B4312" i="34"/>
  <c r="A4312" i="34" s="1"/>
  <c r="B4311" i="34"/>
  <c r="A4311" i="34" s="1"/>
  <c r="B4313" i="34"/>
  <c r="A4313" i="34" s="1"/>
  <c r="B4303" i="34"/>
  <c r="A4303" i="34" s="1"/>
  <c r="B4302" i="34"/>
  <c r="A4302" i="34" s="1"/>
  <c r="B4290" i="34"/>
  <c r="A4290" i="34" s="1"/>
  <c r="B4289" i="34"/>
  <c r="A4289" i="34" s="1"/>
  <c r="B4279" i="34"/>
  <c r="A4279" i="34" s="1"/>
  <c r="B4263" i="34"/>
  <c r="A4263" i="34" s="1"/>
  <c r="B4858" i="34"/>
  <c r="A4858" i="34" s="1"/>
  <c r="B4857" i="34"/>
  <c r="A4857" i="34" s="1"/>
  <c r="B4856" i="34"/>
  <c r="A4856" i="34" s="1"/>
  <c r="B4198" i="34"/>
  <c r="A4198" i="34" s="1"/>
  <c r="B4197" i="34"/>
  <c r="A4197" i="34" s="1"/>
  <c r="B4252" i="34"/>
  <c r="A4252" i="34" s="1"/>
  <c r="B4251" i="34"/>
  <c r="A4251" i="34" s="1"/>
  <c r="B4250" i="34"/>
  <c r="A4250" i="34" s="1"/>
  <c r="B4247" i="34"/>
  <c r="A4247" i="34" s="1"/>
  <c r="B4246" i="34"/>
  <c r="A4246" i="34" s="1"/>
  <c r="B4160" i="34"/>
  <c r="A4160" i="34" s="1"/>
  <c r="B4159" i="34"/>
  <c r="A4159" i="34" s="1"/>
  <c r="B4152" i="34"/>
  <c r="A4152" i="34" s="1"/>
  <c r="B4151" i="34"/>
  <c r="A4151" i="34" s="1"/>
  <c r="B4244" i="34"/>
  <c r="A4244" i="34" s="1"/>
  <c r="B4243" i="34"/>
  <c r="A4243" i="34" s="1"/>
  <c r="B4242" i="34"/>
  <c r="A4242" i="34" s="1"/>
  <c r="B4241" i="34"/>
  <c r="A4241" i="34" s="1"/>
  <c r="B4240" i="34"/>
  <c r="A4240" i="34" s="1"/>
  <c r="B4239" i="34"/>
  <c r="A4239" i="34" s="1"/>
  <c r="B4238" i="34"/>
  <c r="A4238" i="34" s="1"/>
  <c r="B4237" i="34"/>
  <c r="A4237" i="34" s="1"/>
  <c r="B4236" i="34"/>
  <c r="A4236" i="34" s="1"/>
  <c r="B4235" i="34"/>
  <c r="A4235" i="34" s="1"/>
  <c r="B4111" i="34"/>
  <c r="A4111" i="34" s="1"/>
  <c r="B4110" i="34"/>
  <c r="A4110" i="34" s="1"/>
  <c r="B4109" i="34"/>
  <c r="A4109" i="34" s="1"/>
  <c r="B4108" i="34"/>
  <c r="A4108" i="34" s="1"/>
  <c r="B4228" i="34"/>
  <c r="A4228" i="34" s="1"/>
  <c r="B4386" i="34"/>
  <c r="A4386" i="34" s="1"/>
  <c r="B4351" i="34"/>
  <c r="A4351" i="34" s="1"/>
  <c r="B4349" i="34"/>
  <c r="A4349" i="34" s="1"/>
  <c r="B4317" i="34"/>
  <c r="A4317" i="34" s="1"/>
  <c r="B4319" i="34"/>
  <c r="A4319" i="34" s="1"/>
  <c r="B4304" i="34"/>
  <c r="A4304" i="34" s="1"/>
  <c r="B4297" i="34"/>
  <c r="A4297" i="34" s="1"/>
  <c r="B4282" i="34"/>
  <c r="A4282" i="34" s="1"/>
  <c r="B4267" i="34"/>
  <c r="A4267" i="34" s="1"/>
  <c r="B4253" i="34"/>
  <c r="A4253" i="34" s="1"/>
  <c r="B1543" i="34"/>
  <c r="A1543" i="34" s="1"/>
  <c r="B1542" i="34"/>
  <c r="A1542" i="34" s="1"/>
  <c r="B1541" i="34"/>
  <c r="A1541" i="34" s="1"/>
  <c r="B1540" i="34"/>
  <c r="A1540" i="34" s="1"/>
  <c r="B1539" i="34"/>
  <c r="A1539" i="34" s="1"/>
  <c r="B1538" i="34"/>
  <c r="A1538" i="34" s="1"/>
  <c r="B1537" i="34"/>
  <c r="A1537" i="34" s="1"/>
  <c r="B1536" i="34"/>
  <c r="A1536" i="34" s="1"/>
  <c r="B1535" i="34"/>
  <c r="A1535" i="34" s="1"/>
  <c r="B1534" i="34"/>
  <c r="A1534" i="34" s="1"/>
  <c r="B1533" i="34"/>
  <c r="A1533" i="34" s="1"/>
  <c r="B1532" i="34"/>
  <c r="A1532" i="34" s="1"/>
  <c r="B1531" i="34"/>
  <c r="A1531" i="34" s="1"/>
  <c r="B1530" i="34"/>
  <c r="A1530" i="34" s="1"/>
  <c r="B1529" i="34"/>
  <c r="A1529" i="34" s="1"/>
  <c r="B1528" i="34"/>
  <c r="A1528" i="34" s="1"/>
  <c r="B1527" i="34"/>
  <c r="A1527" i="34" s="1"/>
  <c r="B1526" i="34"/>
  <c r="A1526" i="34" s="1"/>
  <c r="B1525" i="34"/>
  <c r="A1525" i="34" s="1"/>
  <c r="B1524" i="34"/>
  <c r="A1524" i="34" s="1"/>
  <c r="B1523" i="34"/>
  <c r="A1523" i="34" s="1"/>
  <c r="B511" i="34"/>
  <c r="A511" i="34" s="1"/>
  <c r="B510" i="34"/>
  <c r="A510" i="34" s="1"/>
  <c r="B509" i="34"/>
  <c r="A509" i="34" s="1"/>
  <c r="B508" i="34"/>
  <c r="A508" i="34" s="1"/>
  <c r="B507" i="34"/>
  <c r="A507" i="34" s="1"/>
  <c r="B506" i="34"/>
  <c r="A506" i="34" s="1"/>
  <c r="B505" i="34"/>
  <c r="A505" i="34" s="1"/>
  <c r="B504" i="34"/>
  <c r="A504" i="34" s="1"/>
  <c r="B503" i="34"/>
  <c r="A503" i="34" s="1"/>
  <c r="B502" i="34"/>
  <c r="A502" i="34" s="1"/>
  <c r="B501" i="34"/>
  <c r="A501" i="34" s="1"/>
  <c r="B500" i="34"/>
  <c r="A500" i="34" s="1"/>
  <c r="B499" i="34"/>
  <c r="A499" i="34" s="1"/>
  <c r="B498" i="34"/>
  <c r="A498" i="34" s="1"/>
  <c r="B497" i="34"/>
  <c r="A497" i="34" s="1"/>
  <c r="B496" i="34"/>
  <c r="A496" i="34" s="1"/>
  <c r="B495" i="34"/>
  <c r="A495" i="34" s="1"/>
  <c r="B494" i="34"/>
  <c r="A494" i="34" s="1"/>
  <c r="B493" i="34"/>
  <c r="A493" i="34" s="1"/>
  <c r="B492" i="34"/>
  <c r="A492" i="34" s="1"/>
  <c r="B491" i="34"/>
  <c r="A491" i="34" s="1"/>
  <c r="B490" i="34"/>
  <c r="A490" i="34" s="1"/>
  <c r="B489" i="34"/>
  <c r="A489" i="34" s="1"/>
  <c r="B488" i="34"/>
  <c r="A488" i="34" s="1"/>
  <c r="B487" i="34"/>
  <c r="A487" i="34" s="1"/>
  <c r="B486" i="34"/>
  <c r="A486" i="34" s="1"/>
  <c r="B485" i="34"/>
  <c r="A485" i="34" s="1"/>
  <c r="B484" i="34"/>
  <c r="A484" i="34" s="1"/>
  <c r="B483" i="34"/>
  <c r="A483" i="34" s="1"/>
  <c r="B482" i="34"/>
  <c r="A482" i="34" s="1"/>
  <c r="B481" i="34"/>
  <c r="A481" i="34" s="1"/>
  <c r="B480" i="34"/>
  <c r="A480" i="34" s="1"/>
  <c r="B479" i="34"/>
  <c r="A479" i="34" s="1"/>
  <c r="B478" i="34"/>
  <c r="A478" i="34" s="1"/>
  <c r="B477" i="34"/>
  <c r="A477" i="34" s="1"/>
  <c r="B476" i="34"/>
  <c r="A476" i="34" s="1"/>
  <c r="B475" i="34"/>
  <c r="A475" i="34" s="1"/>
  <c r="B474" i="34"/>
  <c r="A474" i="34" s="1"/>
  <c r="B473" i="34"/>
  <c r="A473" i="34" s="1"/>
  <c r="B472" i="34"/>
  <c r="A472" i="34" s="1"/>
  <c r="B471" i="34"/>
  <c r="A471" i="34" s="1"/>
  <c r="B470" i="34"/>
  <c r="A470" i="34" s="1"/>
  <c r="B469" i="34"/>
  <c r="A469" i="34" s="1"/>
  <c r="B468" i="34"/>
  <c r="A468" i="34" s="1"/>
  <c r="B467" i="34"/>
  <c r="A467" i="34" s="1"/>
  <c r="B466" i="34"/>
  <c r="A466" i="34" s="1"/>
  <c r="B465" i="34"/>
  <c r="A465" i="34" s="1"/>
  <c r="B464" i="34"/>
  <c r="A464" i="34" s="1"/>
  <c r="B463" i="34"/>
  <c r="A463" i="34" s="1"/>
  <c r="B462" i="34"/>
  <c r="A462" i="34" s="1"/>
  <c r="B461" i="34"/>
  <c r="A461" i="34" s="1"/>
  <c r="B1464" i="34"/>
  <c r="A1464" i="34" s="1"/>
  <c r="B1463" i="34"/>
  <c r="A1463" i="34" s="1"/>
  <c r="B1462" i="34"/>
  <c r="A1462" i="34" s="1"/>
  <c r="B1461" i="34"/>
  <c r="A1461" i="34" s="1"/>
  <c r="B1460" i="34"/>
  <c r="A1460" i="34" s="1"/>
  <c r="B1459" i="34"/>
  <c r="A1459" i="34" s="1"/>
  <c r="B1458" i="34"/>
  <c r="A1458" i="34" s="1"/>
  <c r="B1457" i="34"/>
  <c r="A1457" i="34" s="1"/>
  <c r="B1456" i="34"/>
  <c r="A1456" i="34" s="1"/>
  <c r="B1455" i="34"/>
  <c r="A1455" i="34" s="1"/>
  <c r="B1454" i="34"/>
  <c r="A1454" i="34" s="1"/>
  <c r="B1453" i="34"/>
  <c r="A1453" i="34" s="1"/>
  <c r="B1452" i="34"/>
  <c r="A1452" i="34" s="1"/>
  <c r="B1451" i="34"/>
  <c r="A1451" i="34" s="1"/>
  <c r="B1450" i="34"/>
  <c r="A1450" i="34" s="1"/>
  <c r="B1449" i="34"/>
  <c r="A1449" i="34" s="1"/>
  <c r="B1448" i="34"/>
  <c r="A1448" i="34" s="1"/>
  <c r="B1442" i="34"/>
  <c r="A1442" i="34" s="1"/>
  <c r="B1443" i="34"/>
  <c r="A1443" i="34" s="1"/>
  <c r="B1447" i="34"/>
  <c r="A1447" i="34" s="1"/>
  <c r="B1444" i="34"/>
  <c r="A1444" i="34" s="1"/>
  <c r="B1439" i="34"/>
  <c r="A1439" i="34" s="1"/>
  <c r="B1445" i="34"/>
  <c r="A1445" i="34" s="1"/>
  <c r="B1446" i="34"/>
  <c r="A1446" i="34" s="1"/>
  <c r="B1440" i="34"/>
  <c r="A1440" i="34" s="1"/>
  <c r="B1441" i="34"/>
  <c r="A1441" i="34" s="1"/>
  <c r="B1436" i="34"/>
  <c r="A1436" i="34" s="1"/>
  <c r="B1438" i="34"/>
  <c r="A1438" i="34" s="1"/>
  <c r="B1437" i="34"/>
  <c r="A1437" i="34" s="1"/>
  <c r="B1435" i="34"/>
  <c r="A1435" i="34" s="1"/>
  <c r="B1434" i="34"/>
  <c r="A1434" i="34" s="1"/>
  <c r="B1433" i="34"/>
  <c r="A1433" i="34" s="1"/>
  <c r="B1432" i="34"/>
  <c r="A1432" i="34" s="1"/>
  <c r="B1431" i="34"/>
  <c r="A1431" i="34" s="1"/>
  <c r="B1430" i="34"/>
  <c r="A1430" i="34" s="1"/>
  <c r="B1429" i="34"/>
  <c r="A1429" i="34" s="1"/>
  <c r="B170" i="34"/>
  <c r="A170" i="34" s="1"/>
  <c r="B169" i="34"/>
  <c r="A169" i="34" s="1"/>
  <c r="B168" i="34"/>
  <c r="A168" i="34" s="1"/>
  <c r="B167" i="34"/>
  <c r="A167" i="34" s="1"/>
  <c r="B166" i="34"/>
  <c r="A166" i="34" s="1"/>
  <c r="B165" i="34"/>
  <c r="A165" i="34" s="1"/>
  <c r="B164" i="34"/>
  <c r="A164" i="34" s="1"/>
  <c r="B163" i="34"/>
  <c r="A163" i="34" s="1"/>
  <c r="B162" i="34"/>
  <c r="A162" i="34" s="1"/>
  <c r="B161" i="34"/>
  <c r="A161" i="34" s="1"/>
  <c r="B160" i="34"/>
  <c r="A160" i="34" s="1"/>
  <c r="B159" i="34"/>
  <c r="A159" i="34" s="1"/>
  <c r="B158" i="34"/>
  <c r="A158" i="34" s="1"/>
  <c r="B157" i="34"/>
  <c r="A157" i="34" s="1"/>
  <c r="B45" i="34"/>
  <c r="A45" i="34" s="1"/>
  <c r="B44" i="34"/>
  <c r="A44" i="34" s="1"/>
  <c r="B43" i="34"/>
  <c r="A43" i="34" s="1"/>
  <c r="B2911" i="34"/>
  <c r="A2911" i="34" s="1"/>
  <c r="B2908" i="34"/>
  <c r="A2908" i="34" s="1"/>
  <c r="B2907" i="34"/>
  <c r="A2907" i="34" s="1"/>
  <c r="B2906" i="34"/>
  <c r="A2906" i="34" s="1"/>
  <c r="B2905" i="34"/>
  <c r="A2905" i="34" s="1"/>
  <c r="B2904" i="34"/>
  <c r="A2904" i="34" s="1"/>
  <c r="B2903" i="34"/>
  <c r="A2903" i="34" s="1"/>
  <c r="B4205" i="34"/>
  <c r="A4205" i="34" s="1"/>
  <c r="B2902" i="34"/>
  <c r="A2902" i="34" s="1"/>
  <c r="B2901" i="34"/>
  <c r="A2901" i="34" s="1"/>
  <c r="B2900" i="34"/>
  <c r="A2900" i="34" s="1"/>
  <c r="B2899" i="34"/>
  <c r="A2899" i="34" s="1"/>
  <c r="B2898" i="34"/>
  <c r="A2898" i="34" s="1"/>
  <c r="B2881" i="34"/>
  <c r="A2881" i="34" s="1"/>
  <c r="B2880" i="34"/>
  <c r="A2880" i="34" s="1"/>
  <c r="B2879" i="34"/>
  <c r="A2879" i="34" s="1"/>
  <c r="B2878" i="34"/>
  <c r="A2878" i="34" s="1"/>
  <c r="B2875" i="34"/>
  <c r="A2875" i="34" s="1"/>
  <c r="B2873" i="34"/>
  <c r="A2873" i="34" s="1"/>
  <c r="B2872" i="34"/>
  <c r="A2872" i="34" s="1"/>
  <c r="B2871" i="34"/>
  <c r="A2871" i="34" s="1"/>
  <c r="B2867" i="34"/>
  <c r="A2867" i="34" s="1"/>
  <c r="B2866" i="34"/>
  <c r="A2866" i="34" s="1"/>
  <c r="B2865" i="34"/>
  <c r="A2865" i="34" s="1"/>
  <c r="B2864" i="34"/>
  <c r="A2864" i="34" s="1"/>
  <c r="B2863" i="34"/>
  <c r="A2863" i="34" s="1"/>
  <c r="B2861" i="34"/>
  <c r="A2861" i="34" s="1"/>
  <c r="B2860" i="34"/>
  <c r="A2860" i="34" s="1"/>
  <c r="B2859" i="34"/>
  <c r="A2859" i="34" s="1"/>
  <c r="B2858" i="34"/>
  <c r="A2858" i="34" s="1"/>
  <c r="B2857" i="34"/>
  <c r="A2857" i="34" s="1"/>
  <c r="B2855" i="34"/>
  <c r="A2855" i="34" s="1"/>
  <c r="B2854" i="34"/>
  <c r="A2854" i="34" s="1"/>
  <c r="B2850" i="34"/>
  <c r="A2850" i="34" s="1"/>
  <c r="B2910" i="34"/>
  <c r="A2910" i="34" s="1"/>
  <c r="B4225" i="34"/>
  <c r="A4225" i="34" s="1"/>
  <c r="B2909" i="34"/>
  <c r="A2909" i="34" s="1"/>
  <c r="B4210" i="34"/>
  <c r="A4210" i="34" s="1"/>
  <c r="B4209" i="34"/>
  <c r="A4209" i="34" s="1"/>
  <c r="B4208" i="34"/>
  <c r="A4208" i="34" s="1"/>
  <c r="B4207" i="34"/>
  <c r="A4207" i="34" s="1"/>
  <c r="B4204" i="34"/>
  <c r="A4204" i="34" s="1"/>
  <c r="B4203" i="34"/>
  <c r="A4203" i="34" s="1"/>
  <c r="B4202" i="34"/>
  <c r="A4202" i="34" s="1"/>
  <c r="B4201" i="34"/>
  <c r="A4201" i="34" s="1"/>
  <c r="B4193" i="34"/>
  <c r="A4193" i="34" s="1"/>
  <c r="B4192" i="34"/>
  <c r="A4192" i="34" s="1"/>
  <c r="B4189" i="34"/>
  <c r="A4189" i="34" s="1"/>
  <c r="B4183" i="34"/>
  <c r="A4183" i="34" s="1"/>
  <c r="B4182" i="34"/>
  <c r="A4182" i="34" s="1"/>
  <c r="B4181" i="34"/>
  <c r="A4181" i="34" s="1"/>
  <c r="B4180" i="34"/>
  <c r="A4180" i="34" s="1"/>
  <c r="B4179" i="34"/>
  <c r="A4179" i="34" s="1"/>
  <c r="B4178" i="34"/>
  <c r="A4178" i="34" s="1"/>
  <c r="B4174" i="34"/>
  <c r="A4174" i="34" s="1"/>
  <c r="B4173" i="34"/>
  <c r="A4173" i="34" s="1"/>
  <c r="B4172" i="34"/>
  <c r="A4172" i="34" s="1"/>
  <c r="B4171" i="34"/>
  <c r="A4171" i="34" s="1"/>
  <c r="B4170" i="34"/>
  <c r="A4170" i="34" s="1"/>
  <c r="B4169" i="34"/>
  <c r="A4169" i="34" s="1"/>
  <c r="B4168" i="34"/>
  <c r="A4168" i="34" s="1"/>
  <c r="B4167" i="34"/>
  <c r="A4167" i="34" s="1"/>
  <c r="B4166" i="34"/>
  <c r="A4166" i="34" s="1"/>
  <c r="B4165" i="34"/>
  <c r="A4165" i="34" s="1"/>
  <c r="B4164" i="34"/>
  <c r="A4164" i="34" s="1"/>
  <c r="B4163" i="34"/>
  <c r="A4163" i="34" s="1"/>
  <c r="B4158" i="34"/>
  <c r="A4158" i="34" s="1"/>
  <c r="B4150" i="34"/>
  <c r="A4150" i="34" s="1"/>
  <c r="B4149" i="34"/>
  <c r="A4149" i="34" s="1"/>
  <c r="B4148" i="34"/>
  <c r="A4148" i="34" s="1"/>
  <c r="B2874" i="34"/>
  <c r="A2874" i="34" s="1"/>
  <c r="B4147" i="34"/>
  <c r="A4147" i="34" s="1"/>
  <c r="B4146" i="34"/>
  <c r="A4146" i="34" s="1"/>
  <c r="B4139" i="34"/>
  <c r="A4139" i="34" s="1"/>
  <c r="B4134" i="34"/>
  <c r="A4134" i="34" s="1"/>
  <c r="B4133" i="34"/>
  <c r="A4133" i="34" s="1"/>
  <c r="B4132" i="34"/>
  <c r="A4132" i="34" s="1"/>
  <c r="B4129" i="34"/>
  <c r="A4129" i="34" s="1"/>
  <c r="B4107" i="34"/>
  <c r="A4107" i="34" s="1"/>
  <c r="B4082" i="34"/>
  <c r="A4082" i="34" s="1"/>
  <c r="B4079" i="34"/>
  <c r="A4079" i="34" s="1"/>
  <c r="B4080" i="34"/>
  <c r="A4080" i="34" s="1"/>
  <c r="B4075" i="34"/>
  <c r="A4075" i="34" s="1"/>
  <c r="B4066" i="34"/>
  <c r="A4066" i="34" s="1"/>
  <c r="B4065" i="34"/>
  <c r="A4065" i="34" s="1"/>
  <c r="B4064" i="34"/>
  <c r="A4064" i="34" s="1"/>
  <c r="B4063" i="34"/>
  <c r="A4063" i="34" s="1"/>
  <c r="B2853" i="34"/>
  <c r="A2853" i="34" s="1"/>
  <c r="B4062" i="34"/>
  <c r="A4062" i="34" s="1"/>
  <c r="B4049" i="34"/>
  <c r="A4049" i="34" s="1"/>
  <c r="B4043" i="34"/>
  <c r="A4043" i="34" s="1"/>
  <c r="B4042" i="34"/>
  <c r="A4042" i="34" s="1"/>
  <c r="B4041" i="34"/>
  <c r="A4041" i="34" s="1"/>
  <c r="B2852" i="34"/>
  <c r="A2852" i="34" s="1"/>
  <c r="B4032" i="34"/>
  <c r="A4032" i="34" s="1"/>
  <c r="B2608" i="34"/>
  <c r="A2608" i="34" s="1"/>
  <c r="B4128" i="34"/>
  <c r="A4128" i="34" s="1"/>
  <c r="B4127" i="34"/>
  <c r="A4127" i="34" s="1"/>
  <c r="B4126" i="34"/>
  <c r="A4126" i="34" s="1"/>
  <c r="B4125" i="34"/>
  <c r="A4125" i="34" s="1"/>
  <c r="B4124" i="34"/>
  <c r="A4124" i="34" s="1"/>
  <c r="B4123" i="34"/>
  <c r="A4123" i="34" s="1"/>
  <c r="B4122" i="34"/>
  <c r="A4122" i="34" s="1"/>
  <c r="B4121" i="34"/>
  <c r="A4121" i="34" s="1"/>
  <c r="B4120" i="34"/>
  <c r="A4120" i="34" s="1"/>
  <c r="B4119" i="34"/>
  <c r="A4119" i="34" s="1"/>
  <c r="B4118" i="34"/>
  <c r="A4118" i="34" s="1"/>
  <c r="B4117" i="34"/>
  <c r="A4117" i="34" s="1"/>
  <c r="B4116" i="34"/>
  <c r="A4116" i="34" s="1"/>
  <c r="B4115" i="34"/>
  <c r="A4115" i="34" s="1"/>
  <c r="B4106" i="34"/>
  <c r="A4106" i="34" s="1"/>
  <c r="B2609" i="34"/>
  <c r="A2609" i="34" s="1"/>
  <c r="B4060" i="34"/>
  <c r="A4060" i="34" s="1"/>
  <c r="B4059" i="34"/>
  <c r="A4059" i="34" s="1"/>
  <c r="B4058" i="34"/>
  <c r="A4058" i="34" s="1"/>
  <c r="B4040" i="34"/>
  <c r="A4040" i="34" s="1"/>
  <c r="B4039" i="34"/>
  <c r="A4039" i="34" s="1"/>
  <c r="B4038" i="34"/>
  <c r="A4038" i="34" s="1"/>
  <c r="B2481" i="34"/>
  <c r="A2481" i="34" s="1"/>
  <c r="B4057" i="34"/>
  <c r="A4057" i="34" s="1"/>
  <c r="B4221" i="34"/>
  <c r="A4221" i="34" s="1"/>
  <c r="B4220" i="34"/>
  <c r="A4220" i="34" s="1"/>
  <c r="B4219" i="34"/>
  <c r="A4219" i="34" s="1"/>
  <c r="B4218" i="34"/>
  <c r="A4218" i="34" s="1"/>
  <c r="B4217" i="34"/>
  <c r="A4217" i="34" s="1"/>
  <c r="B4216" i="34"/>
  <c r="A4216" i="34" s="1"/>
  <c r="B4215" i="34"/>
  <c r="A4215" i="34" s="1"/>
  <c r="B4222" i="34"/>
  <c r="A4222" i="34" s="1"/>
  <c r="B4214" i="34"/>
  <c r="A4214" i="34" s="1"/>
  <c r="B4213" i="34"/>
  <c r="A4213" i="34" s="1"/>
  <c r="B4212" i="34"/>
  <c r="A4212" i="34" s="1"/>
  <c r="B4211" i="34"/>
  <c r="A4211" i="34" s="1"/>
  <c r="B4206" i="34"/>
  <c r="A4206" i="34" s="1"/>
  <c r="B4200" i="34"/>
  <c r="A4200" i="34" s="1"/>
  <c r="B4199" i="34"/>
  <c r="A4199" i="34" s="1"/>
  <c r="B4196" i="34"/>
  <c r="A4196" i="34" s="1"/>
  <c r="B4195" i="34"/>
  <c r="A4195" i="34" s="1"/>
  <c r="B4194" i="34"/>
  <c r="A4194" i="34" s="1"/>
  <c r="B4191" i="34"/>
  <c r="A4191" i="34" s="1"/>
  <c r="B4187" i="34"/>
  <c r="A4187" i="34" s="1"/>
  <c r="B4186" i="34"/>
  <c r="A4186" i="34" s="1"/>
  <c r="B4185" i="34"/>
  <c r="A4185" i="34" s="1"/>
  <c r="B4184" i="34"/>
  <c r="A4184" i="34" s="1"/>
  <c r="B4177" i="34"/>
  <c r="A4177" i="34" s="1"/>
  <c r="B4176" i="34"/>
  <c r="A4176" i="34" s="1"/>
  <c r="B4175" i="34"/>
  <c r="A4175" i="34" s="1"/>
  <c r="B4161" i="34"/>
  <c r="A4161" i="34" s="1"/>
  <c r="B4157" i="34"/>
  <c r="A4157" i="34" s="1"/>
  <c r="B4156" i="34"/>
  <c r="A4156" i="34" s="1"/>
  <c r="B4155" i="34"/>
  <c r="A4155" i="34" s="1"/>
  <c r="B4154" i="34"/>
  <c r="A4154" i="34" s="1"/>
  <c r="B4153" i="34"/>
  <c r="A4153" i="34" s="1"/>
  <c r="B4145" i="34"/>
  <c r="A4145" i="34" s="1"/>
  <c r="B4144" i="34"/>
  <c r="A4144" i="34" s="1"/>
  <c r="B4143" i="34"/>
  <c r="A4143" i="34" s="1"/>
  <c r="B4142" i="34"/>
  <c r="A4142" i="34" s="1"/>
  <c r="B4141" i="34"/>
  <c r="A4141" i="34" s="1"/>
  <c r="B4140" i="34"/>
  <c r="A4140" i="34" s="1"/>
  <c r="B4137" i="34"/>
  <c r="A4137" i="34" s="1"/>
  <c r="B4136" i="34"/>
  <c r="A4136" i="34" s="1"/>
  <c r="B4135" i="34"/>
  <c r="A4135" i="34" s="1"/>
  <c r="B4130" i="34"/>
  <c r="A4130" i="34" s="1"/>
  <c r="B4114" i="34"/>
  <c r="A4114" i="34" s="1"/>
  <c r="B4113" i="34"/>
  <c r="A4113" i="34" s="1"/>
  <c r="B4112" i="34"/>
  <c r="A4112" i="34" s="1"/>
  <c r="B4088" i="34"/>
  <c r="A4088" i="34" s="1"/>
  <c r="B4087" i="34"/>
  <c r="A4087" i="34" s="1"/>
  <c r="B4086" i="34"/>
  <c r="A4086" i="34" s="1"/>
  <c r="B4085" i="34"/>
  <c r="A4085" i="34" s="1"/>
  <c r="B4100" i="34"/>
  <c r="A4100" i="34" s="1"/>
  <c r="B4099" i="34"/>
  <c r="A4099" i="34" s="1"/>
  <c r="B4098" i="34"/>
  <c r="A4098" i="34" s="1"/>
  <c r="B4103" i="34"/>
  <c r="A4103" i="34" s="1"/>
  <c r="B4102" i="34"/>
  <c r="A4102" i="34" s="1"/>
  <c r="B4101" i="34"/>
  <c r="A4101" i="34" s="1"/>
  <c r="B4097" i="34"/>
  <c r="A4097" i="34" s="1"/>
  <c r="B4096" i="34"/>
  <c r="A4096" i="34" s="1"/>
  <c r="B4095" i="34"/>
  <c r="A4095" i="34" s="1"/>
  <c r="B4094" i="34"/>
  <c r="A4094" i="34" s="1"/>
  <c r="B4093" i="34"/>
  <c r="A4093" i="34" s="1"/>
  <c r="B4092" i="34"/>
  <c r="A4092" i="34" s="1"/>
  <c r="B4091" i="34"/>
  <c r="A4091" i="34" s="1"/>
  <c r="B4090" i="34"/>
  <c r="A4090" i="34" s="1"/>
  <c r="B4089" i="34"/>
  <c r="A4089" i="34" s="1"/>
  <c r="B4084" i="34"/>
  <c r="A4084" i="34" s="1"/>
  <c r="B4081" i="34"/>
  <c r="A4081" i="34" s="1"/>
  <c r="B4078" i="34"/>
  <c r="A4078" i="34" s="1"/>
  <c r="B4077" i="34"/>
  <c r="A4077" i="34" s="1"/>
  <c r="B4076" i="34"/>
  <c r="A4076" i="34" s="1"/>
  <c r="B4067" i="34"/>
  <c r="A4067" i="34" s="1"/>
  <c r="B4073" i="34"/>
  <c r="A4073" i="34" s="1"/>
  <c r="B4072" i="34"/>
  <c r="A4072" i="34" s="1"/>
  <c r="B4071" i="34"/>
  <c r="A4071" i="34" s="1"/>
  <c r="B3740" i="34"/>
  <c r="A3740" i="34" s="1"/>
  <c r="B3739" i="34"/>
  <c r="A3739" i="34" s="1"/>
  <c r="B3738" i="34"/>
  <c r="A3738" i="34" s="1"/>
  <c r="B4070" i="34"/>
  <c r="A4070" i="34" s="1"/>
  <c r="B4069" i="34"/>
  <c r="A4069" i="34" s="1"/>
  <c r="B4068" i="34"/>
  <c r="A4068" i="34" s="1"/>
  <c r="B4056" i="34"/>
  <c r="A4056" i="34" s="1"/>
  <c r="B4055" i="34"/>
  <c r="A4055" i="34" s="1"/>
  <c r="B4054" i="34"/>
  <c r="A4054" i="34" s="1"/>
  <c r="B4053" i="34"/>
  <c r="A4053" i="34" s="1"/>
  <c r="B4052" i="34"/>
  <c r="A4052" i="34" s="1"/>
  <c r="B4051" i="34"/>
  <c r="A4051" i="34" s="1"/>
  <c r="B4050" i="34"/>
  <c r="A4050" i="34" s="1"/>
  <c r="B4048" i="34"/>
  <c r="A4048" i="34" s="1"/>
  <c r="B4047" i="34"/>
  <c r="A4047" i="34" s="1"/>
  <c r="B4046" i="34"/>
  <c r="A4046" i="34" s="1"/>
  <c r="B4045" i="34"/>
  <c r="A4045" i="34" s="1"/>
  <c r="B4044" i="34"/>
  <c r="A4044" i="34" s="1"/>
  <c r="B4037" i="34"/>
  <c r="A4037" i="34" s="1"/>
  <c r="B4036" i="34"/>
  <c r="A4036" i="34" s="1"/>
  <c r="B4031" i="34"/>
  <c r="A4031" i="34" s="1"/>
  <c r="B4030" i="34"/>
  <c r="A4030" i="34" s="1"/>
  <c r="B4224" i="34"/>
  <c r="A4224" i="34" s="1"/>
  <c r="B4223" i="34"/>
  <c r="A4223" i="34" s="1"/>
  <c r="B4190" i="34"/>
  <c r="A4190" i="34" s="1"/>
  <c r="B4188" i="34"/>
  <c r="A4188" i="34" s="1"/>
  <c r="B4162" i="34"/>
  <c r="A4162" i="34" s="1"/>
  <c r="B4131" i="34"/>
  <c r="A4131" i="34" s="1"/>
  <c r="B4083" i="34"/>
  <c r="A4083" i="34" s="1"/>
  <c r="B4074" i="34"/>
  <c r="A4074" i="34" s="1"/>
  <c r="B4061" i="34"/>
  <c r="A4061" i="34" s="1"/>
  <c r="B1369" i="34"/>
  <c r="A1369" i="34" s="1"/>
  <c r="B1368" i="34"/>
  <c r="A1368" i="34" s="1"/>
  <c r="B1367" i="34"/>
  <c r="A1367" i="34" s="1"/>
  <c r="B1366" i="34"/>
  <c r="A1366" i="34" s="1"/>
  <c r="B1365" i="34"/>
  <c r="A1365" i="34" s="1"/>
  <c r="B1364" i="34"/>
  <c r="A1364" i="34" s="1"/>
  <c r="B1363" i="34"/>
  <c r="A1363" i="34" s="1"/>
  <c r="B1362" i="34"/>
  <c r="A1362" i="34" s="1"/>
  <c r="B1361" i="34"/>
  <c r="A1361" i="34" s="1"/>
  <c r="B1360" i="34"/>
  <c r="A1360" i="34" s="1"/>
  <c r="B1359" i="34"/>
  <c r="A1359" i="34" s="1"/>
  <c r="B1358" i="34"/>
  <c r="A1358" i="34" s="1"/>
  <c r="B1357" i="34"/>
  <c r="A1357" i="34" s="1"/>
  <c r="B1356" i="34"/>
  <c r="A1356" i="34" s="1"/>
  <c r="B1355" i="34"/>
  <c r="A1355" i="34" s="1"/>
  <c r="B1354" i="34"/>
  <c r="A1354" i="34" s="1"/>
  <c r="B1353" i="34"/>
  <c r="A1353" i="34" s="1"/>
  <c r="B1352" i="34"/>
  <c r="A1352" i="34" s="1"/>
  <c r="B1351" i="34"/>
  <c r="A1351" i="34" s="1"/>
  <c r="B1350" i="34"/>
  <c r="A1350" i="34" s="1"/>
  <c r="B1349" i="34"/>
  <c r="A1349" i="34" s="1"/>
  <c r="B1348" i="34"/>
  <c r="A1348" i="34" s="1"/>
  <c r="B1347" i="34"/>
  <c r="A1347" i="34" s="1"/>
  <c r="B1346" i="34"/>
  <c r="A1346" i="34" s="1"/>
  <c r="B1345" i="34"/>
  <c r="A1345" i="34" s="1"/>
  <c r="B1344" i="34"/>
  <c r="A1344" i="34" s="1"/>
  <c r="B1343" i="34"/>
  <c r="A1343" i="34" s="1"/>
  <c r="B1342" i="34"/>
  <c r="A1342" i="34" s="1"/>
  <c r="B1341" i="34"/>
  <c r="A1341" i="34" s="1"/>
  <c r="B1340" i="34"/>
  <c r="A1340" i="34" s="1"/>
  <c r="B1339" i="34"/>
  <c r="A1339" i="34" s="1"/>
  <c r="B1338" i="34"/>
  <c r="A1338" i="34" s="1"/>
  <c r="B1337" i="34"/>
  <c r="A1337" i="34" s="1"/>
  <c r="B1336" i="34"/>
  <c r="A1336" i="34" s="1"/>
  <c r="B1335" i="34"/>
  <c r="A1335" i="34" s="1"/>
  <c r="B1334" i="34"/>
  <c r="A1334" i="34" s="1"/>
  <c r="B1333" i="34"/>
  <c r="A1333" i="34" s="1"/>
  <c r="B1332" i="34"/>
  <c r="A1332" i="34" s="1"/>
  <c r="B1331" i="34"/>
  <c r="A1331" i="34" s="1"/>
  <c r="B1330" i="34"/>
  <c r="A1330" i="34" s="1"/>
  <c r="B1329" i="34"/>
  <c r="A1329" i="34" s="1"/>
  <c r="B1328" i="34"/>
  <c r="A1328" i="34" s="1"/>
  <c r="B1327" i="34"/>
  <c r="A1327" i="34" s="1"/>
  <c r="B1324" i="34"/>
  <c r="A1324" i="34" s="1"/>
  <c r="B1323" i="34"/>
  <c r="A1323" i="34" s="1"/>
  <c r="B1326" i="34"/>
  <c r="A1326" i="34" s="1"/>
  <c r="B1325" i="34"/>
  <c r="A1325" i="34" s="1"/>
  <c r="B1322" i="34"/>
  <c r="A1322" i="34" s="1"/>
  <c r="B1321" i="34"/>
  <c r="A1321" i="34" s="1"/>
  <c r="B1320" i="34"/>
  <c r="A1320" i="34" s="1"/>
  <c r="B1319" i="34"/>
  <c r="A1319" i="34" s="1"/>
  <c r="B1318" i="34"/>
  <c r="A1318" i="34" s="1"/>
  <c r="B1317" i="34"/>
  <c r="A1317" i="34" s="1"/>
  <c r="B1316" i="34"/>
  <c r="A1316" i="34" s="1"/>
  <c r="B1315" i="34"/>
  <c r="A1315" i="34" s="1"/>
  <c r="B1314" i="34"/>
  <c r="A1314" i="34" s="1"/>
  <c r="B1313" i="34"/>
  <c r="A1313" i="34" s="1"/>
  <c r="B1312" i="34"/>
  <c r="A1312" i="34" s="1"/>
  <c r="B1311" i="34"/>
  <c r="A1311" i="34" s="1"/>
  <c r="B460" i="34"/>
  <c r="A460" i="34" s="1"/>
  <c r="B459" i="34"/>
  <c r="A459" i="34" s="1"/>
  <c r="B458" i="34"/>
  <c r="A458" i="34" s="1"/>
  <c r="B457" i="34"/>
  <c r="A457" i="34" s="1"/>
  <c r="B456" i="34"/>
  <c r="A456" i="34" s="1"/>
  <c r="B455" i="34"/>
  <c r="A455" i="34" s="1"/>
  <c r="B454" i="34"/>
  <c r="A454" i="34" s="1"/>
  <c r="B453" i="34"/>
  <c r="A453" i="34" s="1"/>
  <c r="B452" i="34"/>
  <c r="A452" i="34" s="1"/>
  <c r="B451" i="34"/>
  <c r="A451" i="34" s="1"/>
  <c r="B450" i="34"/>
  <c r="A450" i="34" s="1"/>
  <c r="B449" i="34"/>
  <c r="A449" i="34" s="1"/>
  <c r="B448" i="34"/>
  <c r="A448" i="34" s="1"/>
  <c r="B447" i="34"/>
  <c r="A447" i="34" s="1"/>
  <c r="B446" i="34"/>
  <c r="A446" i="34" s="1"/>
  <c r="B445" i="34"/>
  <c r="A445" i="34" s="1"/>
  <c r="B444" i="34"/>
  <c r="A444" i="34" s="1"/>
  <c r="B443" i="34"/>
  <c r="A443" i="34" s="1"/>
  <c r="B442" i="34"/>
  <c r="A442" i="34" s="1"/>
  <c r="B441" i="34"/>
  <c r="A441" i="34" s="1"/>
  <c r="B440" i="34"/>
  <c r="A440" i="34" s="1"/>
  <c r="B439" i="34"/>
  <c r="A439" i="34" s="1"/>
  <c r="B438" i="34"/>
  <c r="A438" i="34" s="1"/>
  <c r="B437" i="34"/>
  <c r="A437" i="34" s="1"/>
  <c r="B436" i="34"/>
  <c r="A436" i="34" s="1"/>
  <c r="B435" i="34"/>
  <c r="A435" i="34" s="1"/>
  <c r="B434" i="34"/>
  <c r="A434" i="34" s="1"/>
  <c r="B433" i="34"/>
  <c r="A433" i="34" s="1"/>
  <c r="B432" i="34"/>
  <c r="A432" i="34" s="1"/>
  <c r="B431" i="34"/>
  <c r="A431" i="34" s="1"/>
  <c r="B430" i="34"/>
  <c r="A430" i="34" s="1"/>
  <c r="B429" i="34"/>
  <c r="A429" i="34" s="1"/>
  <c r="B428" i="34"/>
  <c r="A428" i="34" s="1"/>
  <c r="B427" i="34"/>
  <c r="A427" i="34" s="1"/>
  <c r="B426" i="34"/>
  <c r="A426" i="34" s="1"/>
  <c r="B425" i="34"/>
  <c r="A425" i="34" s="1"/>
  <c r="B424" i="34"/>
  <c r="A424" i="34" s="1"/>
  <c r="B423" i="34"/>
  <c r="A423" i="34" s="1"/>
  <c r="B422" i="34"/>
  <c r="A422" i="34" s="1"/>
  <c r="B421" i="34"/>
  <c r="A421" i="34" s="1"/>
  <c r="B420" i="34"/>
  <c r="A420" i="34" s="1"/>
  <c r="B419" i="34"/>
  <c r="A419" i="34" s="1"/>
  <c r="B418" i="34"/>
  <c r="A418" i="34" s="1"/>
  <c r="B417" i="34"/>
  <c r="A417" i="34" s="1"/>
  <c r="B416" i="34"/>
  <c r="A416" i="34" s="1"/>
  <c r="B415" i="34"/>
  <c r="A415" i="34" s="1"/>
  <c r="B414" i="34"/>
  <c r="A414" i="34" s="1"/>
  <c r="B413" i="34"/>
  <c r="A413" i="34" s="1"/>
  <c r="B412" i="34"/>
  <c r="A412" i="34" s="1"/>
  <c r="B411" i="34"/>
  <c r="A411" i="34" s="1"/>
  <c r="B410" i="34"/>
  <c r="A410" i="34" s="1"/>
  <c r="B1289" i="34"/>
  <c r="A1289" i="34" s="1"/>
  <c r="B1288" i="34"/>
  <c r="A1288" i="34" s="1"/>
  <c r="B1287" i="34"/>
  <c r="A1287" i="34" s="1"/>
  <c r="B1286" i="34"/>
  <c r="A1286" i="34" s="1"/>
  <c r="B1285" i="34"/>
  <c r="A1285" i="34" s="1"/>
  <c r="B1284" i="34"/>
  <c r="A1284" i="34" s="1"/>
  <c r="B1283" i="34"/>
  <c r="A1283" i="34" s="1"/>
  <c r="B1282" i="34"/>
  <c r="A1282" i="34" s="1"/>
  <c r="B1281" i="34"/>
  <c r="A1281" i="34" s="1"/>
  <c r="B1280" i="34"/>
  <c r="A1280" i="34" s="1"/>
  <c r="B1279" i="34"/>
  <c r="A1279" i="34" s="1"/>
  <c r="B1278" i="34"/>
  <c r="A1278" i="34" s="1"/>
  <c r="B1277" i="34"/>
  <c r="A1277" i="34" s="1"/>
  <c r="B1276" i="34"/>
  <c r="A1276" i="34" s="1"/>
  <c r="B1275" i="34"/>
  <c r="A1275" i="34" s="1"/>
  <c r="B1274" i="34"/>
  <c r="A1274" i="34" s="1"/>
  <c r="B1273" i="34"/>
  <c r="A1273" i="34" s="1"/>
  <c r="B1272" i="34"/>
  <c r="A1272" i="34" s="1"/>
  <c r="B1271" i="34"/>
  <c r="A1271" i="34" s="1"/>
  <c r="B1270" i="34"/>
  <c r="A1270" i="34" s="1"/>
  <c r="B1269" i="34"/>
  <c r="A1269" i="34" s="1"/>
  <c r="B1268" i="34"/>
  <c r="A1268" i="34" s="1"/>
  <c r="B1267" i="34"/>
  <c r="A1267" i="34" s="1"/>
  <c r="B153" i="34"/>
  <c r="A153" i="34" s="1"/>
  <c r="B152" i="34"/>
  <c r="A152" i="34" s="1"/>
  <c r="B151" i="34"/>
  <c r="A151" i="34" s="1"/>
  <c r="B150" i="34"/>
  <c r="A150" i="34" s="1"/>
  <c r="B149" i="34"/>
  <c r="A149" i="34" s="1"/>
  <c r="B148" i="34"/>
  <c r="A148" i="34" s="1"/>
  <c r="B147" i="34"/>
  <c r="A147" i="34" s="1"/>
  <c r="B146" i="34"/>
  <c r="A146" i="34" s="1"/>
  <c r="B145" i="34"/>
  <c r="A145" i="34" s="1"/>
  <c r="B144" i="34"/>
  <c r="A144" i="34" s="1"/>
  <c r="B143" i="34"/>
  <c r="A143" i="34" s="1"/>
  <c r="B142" i="34"/>
  <c r="A142" i="34" s="1"/>
  <c r="B141" i="34"/>
  <c r="A141" i="34" s="1"/>
  <c r="B140" i="34"/>
  <c r="A140" i="34" s="1"/>
  <c r="B42" i="34"/>
  <c r="A42" i="34" s="1"/>
  <c r="B41" i="34"/>
  <c r="A41" i="34" s="1"/>
  <c r="B40" i="34"/>
  <c r="A40" i="34" s="1"/>
  <c r="B3911" i="34"/>
  <c r="A3911" i="34" s="1"/>
  <c r="B2607" i="34"/>
  <c r="A2607" i="34" s="1"/>
  <c r="B2606" i="34"/>
  <c r="A2606" i="34" s="1"/>
  <c r="B2605" i="34"/>
  <c r="A2605" i="34" s="1"/>
  <c r="B2604" i="34"/>
  <c r="A2604" i="34" s="1"/>
  <c r="B2603" i="34"/>
  <c r="A2603" i="34" s="1"/>
  <c r="B2602" i="34"/>
  <c r="A2602" i="34" s="1"/>
  <c r="B2601" i="34"/>
  <c r="A2601" i="34" s="1"/>
  <c r="B2600" i="34"/>
  <c r="A2600" i="34" s="1"/>
  <c r="B2599" i="34"/>
  <c r="A2599" i="34" s="1"/>
  <c r="B2598" i="34"/>
  <c r="A2598" i="34" s="1"/>
  <c r="B2597" i="34"/>
  <c r="A2597" i="34" s="1"/>
  <c r="B2596" i="34"/>
  <c r="A2596" i="34" s="1"/>
  <c r="B3922" i="34"/>
  <c r="A3922" i="34" s="1"/>
  <c r="B3878" i="34"/>
  <c r="A3878" i="34" s="1"/>
  <c r="B2849" i="34"/>
  <c r="A2849" i="34" s="1"/>
  <c r="B2848" i="34"/>
  <c r="A2848" i="34" s="1"/>
  <c r="B2847" i="34"/>
  <c r="A2847" i="34" s="1"/>
  <c r="B2846" i="34"/>
  <c r="A2846" i="34" s="1"/>
  <c r="B2845" i="34"/>
  <c r="A2845" i="34" s="1"/>
  <c r="B2844" i="34"/>
  <c r="A2844" i="34" s="1"/>
  <c r="B2843" i="34"/>
  <c r="A2843" i="34" s="1"/>
  <c r="B2842" i="34"/>
  <c r="A2842" i="34" s="1"/>
  <c r="B2841" i="34"/>
  <c r="A2841" i="34" s="1"/>
  <c r="B2840" i="34"/>
  <c r="A2840" i="34" s="1"/>
  <c r="B2839" i="34"/>
  <c r="A2839" i="34" s="1"/>
  <c r="B2838" i="34"/>
  <c r="A2838" i="34" s="1"/>
  <c r="B2837" i="34"/>
  <c r="A2837" i="34" s="1"/>
  <c r="B2836" i="34"/>
  <c r="A2836" i="34" s="1"/>
  <c r="B2835" i="34"/>
  <c r="A2835" i="34" s="1"/>
  <c r="B2834" i="34"/>
  <c r="A2834" i="34" s="1"/>
  <c r="B2833" i="34"/>
  <c r="A2833" i="34" s="1"/>
  <c r="B2832" i="34"/>
  <c r="A2832" i="34" s="1"/>
  <c r="B2831" i="34"/>
  <c r="A2831" i="34" s="1"/>
  <c r="B2830" i="34"/>
  <c r="A2830" i="34" s="1"/>
  <c r="B2829" i="34"/>
  <c r="A2829" i="34" s="1"/>
  <c r="B2828" i="34"/>
  <c r="A2828" i="34" s="1"/>
  <c r="B2827" i="34"/>
  <c r="A2827" i="34" s="1"/>
  <c r="B2595" i="34"/>
  <c r="A2595" i="34" s="1"/>
  <c r="B2594" i="34"/>
  <c r="A2594" i="34" s="1"/>
  <c r="B2825" i="34"/>
  <c r="A2825" i="34" s="1"/>
  <c r="B2819" i="34"/>
  <c r="A2819" i="34" s="1"/>
  <c r="B2818" i="34"/>
  <c r="A2818" i="34" s="1"/>
  <c r="B2817" i="34"/>
  <c r="A2817" i="34" s="1"/>
  <c r="B2816" i="34"/>
  <c r="A2816" i="34" s="1"/>
  <c r="B2815" i="34"/>
  <c r="A2815" i="34" s="1"/>
  <c r="B2814" i="34"/>
  <c r="A2814" i="34" s="1"/>
  <c r="B2593" i="34"/>
  <c r="A2593" i="34" s="1"/>
  <c r="B2592" i="34"/>
  <c r="A2592" i="34" s="1"/>
  <c r="B2813" i="34"/>
  <c r="A2813" i="34" s="1"/>
  <c r="B2811" i="34"/>
  <c r="A2811" i="34" s="1"/>
  <c r="B2810" i="34"/>
  <c r="A2810" i="34" s="1"/>
  <c r="B2809" i="34"/>
  <c r="A2809" i="34" s="1"/>
  <c r="B2807" i="34"/>
  <c r="A2807" i="34" s="1"/>
  <c r="B2806" i="34"/>
  <c r="A2806" i="34" s="1"/>
  <c r="B4021" i="34"/>
  <c r="A4021" i="34" s="1"/>
  <c r="B4020" i="34"/>
  <c r="A4020" i="34" s="1"/>
  <c r="B4019" i="34"/>
  <c r="A4019" i="34" s="1"/>
  <c r="B4018" i="34"/>
  <c r="A4018" i="34" s="1"/>
  <c r="B4017" i="34"/>
  <c r="A4017" i="34" s="1"/>
  <c r="B4016" i="34"/>
  <c r="A4016" i="34" s="1"/>
  <c r="B4015" i="34"/>
  <c r="A4015" i="34" s="1"/>
  <c r="B4014" i="34"/>
  <c r="A4014" i="34" s="1"/>
  <c r="B4013" i="34"/>
  <c r="A4013" i="34" s="1"/>
  <c r="B4012" i="34"/>
  <c r="A4012" i="34" s="1"/>
  <c r="B4011" i="34"/>
  <c r="A4011" i="34" s="1"/>
  <c r="B4010" i="34"/>
  <c r="A4010" i="34" s="1"/>
  <c r="B4009" i="34"/>
  <c r="A4009" i="34" s="1"/>
  <c r="B4008" i="34"/>
  <c r="A4008" i="34" s="1"/>
  <c r="B4007" i="34"/>
  <c r="A4007" i="34" s="1"/>
  <c r="B4006" i="34"/>
  <c r="A4006" i="34" s="1"/>
  <c r="B4005" i="34"/>
  <c r="A4005" i="34" s="1"/>
  <c r="B4004" i="34"/>
  <c r="A4004" i="34" s="1"/>
  <c r="B4003" i="34"/>
  <c r="A4003" i="34" s="1"/>
  <c r="B4002" i="34"/>
  <c r="A4002" i="34" s="1"/>
  <c r="B4001" i="34"/>
  <c r="A4001" i="34" s="1"/>
  <c r="B4000" i="34"/>
  <c r="A4000" i="34" s="1"/>
  <c r="B3999" i="34"/>
  <c r="A3999" i="34" s="1"/>
  <c r="B3998" i="34"/>
  <c r="A3998" i="34" s="1"/>
  <c r="B3993" i="34"/>
  <c r="A3993" i="34" s="1"/>
  <c r="B3992" i="34"/>
  <c r="A3992" i="34" s="1"/>
  <c r="B3991" i="34"/>
  <c r="A3991" i="34" s="1"/>
  <c r="B3987" i="34"/>
  <c r="A3987" i="34" s="1"/>
  <c r="B3986" i="34"/>
  <c r="A3986" i="34" s="1"/>
  <c r="B3985" i="34"/>
  <c r="A3985" i="34" s="1"/>
  <c r="B3984" i="34"/>
  <c r="A3984" i="34" s="1"/>
  <c r="B3971" i="34"/>
  <c r="A3971" i="34" s="1"/>
  <c r="B2824" i="34"/>
  <c r="A2824" i="34" s="1"/>
  <c r="B2823" i="34"/>
  <c r="A2823" i="34" s="1"/>
  <c r="B3970" i="34"/>
  <c r="A3970" i="34" s="1"/>
  <c r="B3969" i="34"/>
  <c r="A3969" i="34" s="1"/>
  <c r="B3966" i="34"/>
  <c r="A3966" i="34" s="1"/>
  <c r="B3965" i="34"/>
  <c r="A3965" i="34" s="1"/>
  <c r="B3964" i="34"/>
  <c r="A3964" i="34" s="1"/>
  <c r="B3958" i="34"/>
  <c r="A3958" i="34" s="1"/>
  <c r="B3957" i="34"/>
  <c r="A3957" i="34" s="1"/>
  <c r="B3956" i="34"/>
  <c r="A3956" i="34" s="1"/>
  <c r="B3955" i="34"/>
  <c r="A3955" i="34" s="1"/>
  <c r="B3954" i="34"/>
  <c r="A3954" i="34" s="1"/>
  <c r="B3953" i="34"/>
  <c r="A3953" i="34" s="1"/>
  <c r="B3952" i="34"/>
  <c r="A3952" i="34" s="1"/>
  <c r="B3951" i="34"/>
  <c r="A3951" i="34" s="1"/>
  <c r="B3950" i="34"/>
  <c r="A3950" i="34" s="1"/>
  <c r="B3949" i="34"/>
  <c r="A3949" i="34" s="1"/>
  <c r="B3948" i="34"/>
  <c r="A3948" i="34" s="1"/>
  <c r="B3947" i="34"/>
  <c r="A3947" i="34" s="1"/>
  <c r="B3946" i="34"/>
  <c r="A3946" i="34" s="1"/>
  <c r="B3940" i="34"/>
  <c r="A3940" i="34" s="1"/>
  <c r="B3939" i="34"/>
  <c r="A3939" i="34" s="1"/>
  <c r="B3938" i="34"/>
  <c r="A3938" i="34" s="1"/>
  <c r="B3937" i="34"/>
  <c r="A3937" i="34" s="1"/>
  <c r="B3932" i="34"/>
  <c r="A3932" i="34" s="1"/>
  <c r="B2812" i="34"/>
  <c r="A2812" i="34" s="1"/>
  <c r="B3904" i="34"/>
  <c r="A3904" i="34" s="1"/>
  <c r="B3902" i="34"/>
  <c r="A3902" i="34" s="1"/>
  <c r="B3901" i="34"/>
  <c r="A3901" i="34" s="1"/>
  <c r="B3900" i="34"/>
  <c r="A3900" i="34" s="1"/>
  <c r="B3899" i="34"/>
  <c r="A3899" i="34" s="1"/>
  <c r="B3898" i="34"/>
  <c r="A3898" i="34" s="1"/>
  <c r="B3897" i="34"/>
  <c r="A3897" i="34" s="1"/>
  <c r="B3896" i="34"/>
  <c r="A3896" i="34" s="1"/>
  <c r="B3895" i="34"/>
  <c r="A3895" i="34" s="1"/>
  <c r="B3894" i="34"/>
  <c r="A3894" i="34" s="1"/>
  <c r="B3893" i="34"/>
  <c r="A3893" i="34" s="1"/>
  <c r="B3892" i="34"/>
  <c r="A3892" i="34" s="1"/>
  <c r="B3891" i="34"/>
  <c r="A3891" i="34" s="1"/>
  <c r="B3890" i="34"/>
  <c r="A3890" i="34" s="1"/>
  <c r="B3889" i="34"/>
  <c r="A3889" i="34" s="1"/>
  <c r="B3888" i="34"/>
  <c r="A3888" i="34" s="1"/>
  <c r="B3887" i="34"/>
  <c r="A3887" i="34" s="1"/>
  <c r="B3886" i="34"/>
  <c r="A3886" i="34" s="1"/>
  <c r="B3885" i="34"/>
  <c r="A3885" i="34" s="1"/>
  <c r="B3884" i="34"/>
  <c r="A3884" i="34" s="1"/>
  <c r="B3883" i="34"/>
  <c r="A3883" i="34" s="1"/>
  <c r="B3882" i="34"/>
  <c r="A3882" i="34" s="1"/>
  <c r="B3881" i="34"/>
  <c r="A3881" i="34" s="1"/>
  <c r="B3880" i="34"/>
  <c r="A3880" i="34" s="1"/>
  <c r="B3875" i="34"/>
  <c r="A3875" i="34" s="1"/>
  <c r="B3874" i="34"/>
  <c r="A3874" i="34" s="1"/>
  <c r="B3873" i="34"/>
  <c r="A3873" i="34" s="1"/>
  <c r="B3872" i="34"/>
  <c r="A3872" i="34" s="1"/>
  <c r="B3871" i="34"/>
  <c r="A3871" i="34" s="1"/>
  <c r="B2805" i="34"/>
  <c r="A2805" i="34" s="1"/>
  <c r="B3870" i="34"/>
  <c r="A3870" i="34" s="1"/>
  <c r="B4028" i="34"/>
  <c r="A4028" i="34" s="1"/>
  <c r="B4027" i="34"/>
  <c r="A4027" i="34" s="1"/>
  <c r="B4026" i="34"/>
  <c r="A4026" i="34" s="1"/>
  <c r="B4025" i="34"/>
  <c r="A4025" i="34" s="1"/>
  <c r="B4024" i="34"/>
  <c r="A4024" i="34" s="1"/>
  <c r="B4023" i="34"/>
  <c r="A4023" i="34" s="1"/>
  <c r="B4022" i="34"/>
  <c r="A4022" i="34" s="1"/>
  <c r="B3997" i="34"/>
  <c r="A3997" i="34" s="1"/>
  <c r="B3996" i="34"/>
  <c r="A3996" i="34" s="1"/>
  <c r="B3990" i="34"/>
  <c r="A3990" i="34" s="1"/>
  <c r="B3989" i="34"/>
  <c r="A3989" i="34" s="1"/>
  <c r="B3988" i="34"/>
  <c r="A3988" i="34" s="1"/>
  <c r="B3983" i="34"/>
  <c r="A3983" i="34" s="1"/>
  <c r="B3981" i="34"/>
  <c r="A3981" i="34" s="1"/>
  <c r="B3980" i="34"/>
  <c r="A3980" i="34" s="1"/>
  <c r="B3979" i="34"/>
  <c r="A3979" i="34" s="1"/>
  <c r="B3978" i="34"/>
  <c r="A3978" i="34" s="1"/>
  <c r="B3977" i="34"/>
  <c r="A3977" i="34" s="1"/>
  <c r="B3976" i="34"/>
  <c r="A3976" i="34" s="1"/>
  <c r="B3975" i="34"/>
  <c r="A3975" i="34" s="1"/>
  <c r="B3974" i="34"/>
  <c r="A3974" i="34" s="1"/>
  <c r="B3973" i="34"/>
  <c r="A3973" i="34" s="1"/>
  <c r="B3967" i="34"/>
  <c r="A3967" i="34" s="1"/>
  <c r="B3963" i="34"/>
  <c r="A3963" i="34" s="1"/>
  <c r="B3962" i="34"/>
  <c r="A3962" i="34" s="1"/>
  <c r="B3961" i="34"/>
  <c r="A3961" i="34" s="1"/>
  <c r="B3960" i="34"/>
  <c r="A3960" i="34" s="1"/>
  <c r="B3959" i="34"/>
  <c r="A3959" i="34" s="1"/>
  <c r="B3944" i="34"/>
  <c r="A3944" i="34" s="1"/>
  <c r="B3943" i="34"/>
  <c r="A3943" i="34" s="1"/>
  <c r="B3945" i="34"/>
  <c r="A3945" i="34" s="1"/>
  <c r="B3936" i="34"/>
  <c r="A3936" i="34" s="1"/>
  <c r="B3935" i="34"/>
  <c r="A3935" i="34" s="1"/>
  <c r="B3934" i="34"/>
  <c r="A3934" i="34" s="1"/>
  <c r="B3933" i="34"/>
  <c r="A3933" i="34" s="1"/>
  <c r="B3930" i="34"/>
  <c r="A3930" i="34" s="1"/>
  <c r="B3929" i="34"/>
  <c r="A3929" i="34" s="1"/>
  <c r="B3928" i="34"/>
  <c r="A3928" i="34" s="1"/>
  <c r="B3927" i="34"/>
  <c r="A3927" i="34" s="1"/>
  <c r="B3926" i="34"/>
  <c r="A3926" i="34" s="1"/>
  <c r="B3925" i="34"/>
  <c r="A3925" i="34" s="1"/>
  <c r="B3924" i="34"/>
  <c r="A3924" i="34" s="1"/>
  <c r="B3923" i="34"/>
  <c r="A3923" i="34" s="1"/>
  <c r="B3921" i="34"/>
  <c r="A3921" i="34" s="1"/>
  <c r="B3920" i="34"/>
  <c r="A3920" i="34" s="1"/>
  <c r="B3919" i="34"/>
  <c r="A3919" i="34" s="1"/>
  <c r="B3918" i="34"/>
  <c r="A3918" i="34" s="1"/>
  <c r="B3917" i="34"/>
  <c r="A3917" i="34" s="1"/>
  <c r="B3916" i="34"/>
  <c r="A3916" i="34" s="1"/>
  <c r="B3915" i="34"/>
  <c r="A3915" i="34" s="1"/>
  <c r="B3914" i="34"/>
  <c r="A3914" i="34" s="1"/>
  <c r="B3913" i="34"/>
  <c r="A3913" i="34" s="1"/>
  <c r="B3912" i="34"/>
  <c r="A3912" i="34" s="1"/>
  <c r="B3910" i="34"/>
  <c r="A3910" i="34" s="1"/>
  <c r="B3909" i="34"/>
  <c r="A3909" i="34" s="1"/>
  <c r="B3908" i="34"/>
  <c r="A3908" i="34" s="1"/>
  <c r="B3907" i="34"/>
  <c r="A3907" i="34" s="1"/>
  <c r="B3906" i="34"/>
  <c r="A3906" i="34" s="1"/>
  <c r="B3905" i="34"/>
  <c r="A3905" i="34" s="1"/>
  <c r="B3903" i="34"/>
  <c r="A3903" i="34" s="1"/>
  <c r="B3877" i="34"/>
  <c r="A3877" i="34" s="1"/>
  <c r="B3879" i="34"/>
  <c r="A3879" i="34" s="1"/>
  <c r="B3866" i="34"/>
  <c r="A3866" i="34" s="1"/>
  <c r="B3865" i="34"/>
  <c r="A3865" i="34" s="1"/>
  <c r="B3864" i="34"/>
  <c r="A3864" i="34" s="1"/>
  <c r="B3863" i="34"/>
  <c r="A3863" i="34" s="1"/>
  <c r="B3862" i="34"/>
  <c r="A3862" i="34" s="1"/>
  <c r="B4836" i="34"/>
  <c r="A4836" i="34" s="1"/>
  <c r="B4835" i="34"/>
  <c r="A4835" i="34" s="1"/>
  <c r="B4834" i="34"/>
  <c r="A4834" i="34" s="1"/>
  <c r="B3869" i="34"/>
  <c r="A3869" i="34" s="1"/>
  <c r="B3868" i="34"/>
  <c r="A3868" i="34" s="1"/>
  <c r="B3867" i="34"/>
  <c r="A3867" i="34" s="1"/>
  <c r="B3860" i="34"/>
  <c r="A3860" i="34" s="1"/>
  <c r="B3859" i="34"/>
  <c r="A3859" i="34" s="1"/>
  <c r="B3995" i="34"/>
  <c r="A3995" i="34" s="1"/>
  <c r="B3994" i="34"/>
  <c r="A3994" i="34" s="1"/>
  <c r="B3982" i="34"/>
  <c r="A3982" i="34" s="1"/>
  <c r="B3972" i="34"/>
  <c r="A3972" i="34" s="1"/>
  <c r="B3968" i="34"/>
  <c r="A3968" i="34" s="1"/>
  <c r="B3942" i="34"/>
  <c r="A3942" i="34" s="1"/>
  <c r="B3941" i="34"/>
  <c r="A3941" i="34" s="1"/>
  <c r="B3931" i="34"/>
  <c r="A3931" i="34" s="1"/>
  <c r="B3876" i="34"/>
  <c r="A3876" i="34" s="1"/>
  <c r="B3861" i="34"/>
  <c r="A3861" i="34" s="1"/>
  <c r="B1201" i="34"/>
  <c r="A1201" i="34" s="1"/>
  <c r="B1200" i="34"/>
  <c r="A1200" i="34" s="1"/>
  <c r="B1215" i="34"/>
  <c r="A1215" i="34" s="1"/>
  <c r="B1214" i="34"/>
  <c r="A1214" i="34" s="1"/>
  <c r="B1213" i="34"/>
  <c r="A1213" i="34" s="1"/>
  <c r="B1212" i="34"/>
  <c r="A1212" i="34" s="1"/>
  <c r="B1211" i="34"/>
  <c r="A1211" i="34" s="1"/>
  <c r="B1210" i="34"/>
  <c r="A1210" i="34" s="1"/>
  <c r="B1209" i="34"/>
  <c r="A1209" i="34" s="1"/>
  <c r="B1208" i="34"/>
  <c r="A1208" i="34" s="1"/>
  <c r="B1207" i="34"/>
  <c r="A1207" i="34" s="1"/>
  <c r="B1206" i="34"/>
  <c r="A1206" i="34" s="1"/>
  <c r="B1205" i="34"/>
  <c r="A1205" i="34" s="1"/>
  <c r="B1204" i="34"/>
  <c r="A1204" i="34" s="1"/>
  <c r="B1203" i="34"/>
  <c r="A1203" i="34" s="1"/>
  <c r="B1202" i="34"/>
  <c r="A1202" i="34" s="1"/>
  <c r="B1199" i="34"/>
  <c r="A1199" i="34" s="1"/>
  <c r="B1198" i="34"/>
  <c r="A1198" i="34" s="1"/>
  <c r="B1197" i="34"/>
  <c r="A1197" i="34" s="1"/>
  <c r="B1196" i="34"/>
  <c r="A1196" i="34" s="1"/>
  <c r="B1195" i="34"/>
  <c r="A1195" i="34" s="1"/>
  <c r="B1194" i="34"/>
  <c r="A1194" i="34" s="1"/>
  <c r="B1193" i="34"/>
  <c r="A1193" i="34" s="1"/>
  <c r="B1192" i="34"/>
  <c r="A1192" i="34" s="1"/>
  <c r="B1191" i="34"/>
  <c r="A1191" i="34" s="1"/>
  <c r="B1190" i="34"/>
  <c r="A1190" i="34" s="1"/>
  <c r="B1189" i="34"/>
  <c r="A1189" i="34" s="1"/>
  <c r="B1188" i="34"/>
  <c r="A1188" i="34" s="1"/>
  <c r="B1187" i="34"/>
  <c r="A1187" i="34" s="1"/>
  <c r="B1186" i="34"/>
  <c r="A1186" i="34" s="1"/>
  <c r="B406" i="34"/>
  <c r="A406" i="34" s="1"/>
  <c r="B405" i="34"/>
  <c r="A405" i="34" s="1"/>
  <c r="B404" i="34"/>
  <c r="A404" i="34" s="1"/>
  <c r="B403" i="34"/>
  <c r="A403" i="34" s="1"/>
  <c r="B402" i="34"/>
  <c r="A402" i="34" s="1"/>
  <c r="B401" i="34"/>
  <c r="A401" i="34" s="1"/>
  <c r="B400" i="34"/>
  <c r="A400" i="34" s="1"/>
  <c r="B399" i="34"/>
  <c r="A399" i="34" s="1"/>
  <c r="B398" i="34"/>
  <c r="A398" i="34" s="1"/>
  <c r="B397" i="34"/>
  <c r="A397" i="34" s="1"/>
  <c r="B396" i="34"/>
  <c r="A396" i="34" s="1"/>
  <c r="B395" i="34"/>
  <c r="A395" i="34" s="1"/>
  <c r="B394" i="34"/>
  <c r="A394" i="34" s="1"/>
  <c r="B393" i="34"/>
  <c r="A393" i="34" s="1"/>
  <c r="B392" i="34"/>
  <c r="A392" i="34" s="1"/>
  <c r="B391" i="34"/>
  <c r="A391" i="34" s="1"/>
  <c r="B390" i="34"/>
  <c r="A390" i="34" s="1"/>
  <c r="B389" i="34"/>
  <c r="A389" i="34" s="1"/>
  <c r="B388" i="34"/>
  <c r="A388" i="34" s="1"/>
  <c r="B387" i="34"/>
  <c r="A387" i="34" s="1"/>
  <c r="B386" i="34"/>
  <c r="A386" i="34" s="1"/>
  <c r="B385" i="34"/>
  <c r="A385" i="34" s="1"/>
  <c r="B384" i="34"/>
  <c r="A384" i="34" s="1"/>
  <c r="B383" i="34"/>
  <c r="A383" i="34" s="1"/>
  <c r="B382" i="34"/>
  <c r="A382" i="34" s="1"/>
  <c r="B381" i="34"/>
  <c r="A381" i="34" s="1"/>
  <c r="B380" i="34"/>
  <c r="A380" i="34" s="1"/>
  <c r="B379" i="34"/>
  <c r="A379" i="34" s="1"/>
  <c r="B378" i="34"/>
  <c r="A378" i="34" s="1"/>
  <c r="B377" i="34"/>
  <c r="A377" i="34" s="1"/>
  <c r="B376" i="34"/>
  <c r="A376" i="34" s="1"/>
  <c r="B1162" i="34"/>
  <c r="A1162" i="34" s="1"/>
  <c r="B1161" i="34"/>
  <c r="A1161" i="34" s="1"/>
  <c r="B1160" i="34"/>
  <c r="A1160" i="34" s="1"/>
  <c r="B1159" i="34"/>
  <c r="A1159" i="34" s="1"/>
  <c r="B1158" i="34"/>
  <c r="A1158" i="34" s="1"/>
  <c r="B1157" i="34"/>
  <c r="A1157" i="34" s="1"/>
  <c r="B1156" i="34"/>
  <c r="A1156" i="34" s="1"/>
  <c r="B1155" i="34"/>
  <c r="A1155" i="34" s="1"/>
  <c r="B1154" i="34"/>
  <c r="A1154" i="34" s="1"/>
  <c r="B1153" i="34"/>
  <c r="A1153" i="34" s="1"/>
  <c r="B1152" i="34"/>
  <c r="A1152" i="34" s="1"/>
  <c r="B1151" i="34"/>
  <c r="A1151" i="34" s="1"/>
  <c r="B1150" i="34"/>
  <c r="A1150" i="34" s="1"/>
  <c r="B1149" i="34"/>
  <c r="A1149" i="34" s="1"/>
  <c r="B1148" i="34"/>
  <c r="A1148" i="34" s="1"/>
  <c r="B1147" i="34"/>
  <c r="A1147" i="34" s="1"/>
  <c r="B1146" i="34"/>
  <c r="A1146" i="34" s="1"/>
  <c r="B1145" i="34"/>
  <c r="A1145" i="34" s="1"/>
  <c r="B1144" i="34"/>
  <c r="A1144" i="34" s="1"/>
  <c r="B138" i="34"/>
  <c r="A138" i="34" s="1"/>
  <c r="B137" i="34"/>
  <c r="A137" i="34" s="1"/>
  <c r="B136" i="34"/>
  <c r="A136" i="34" s="1"/>
  <c r="B135" i="34"/>
  <c r="A135" i="34" s="1"/>
  <c r="B134" i="34"/>
  <c r="A134" i="34" s="1"/>
  <c r="B133" i="34"/>
  <c r="A133" i="34" s="1"/>
  <c r="B132" i="34"/>
  <c r="A132" i="34" s="1"/>
  <c r="B131" i="34"/>
  <c r="A131" i="34" s="1"/>
  <c r="B130" i="34"/>
  <c r="A130" i="34" s="1"/>
  <c r="B129" i="34"/>
  <c r="A129" i="34" s="1"/>
  <c r="B128" i="34"/>
  <c r="A128" i="34" s="1"/>
  <c r="B127" i="34"/>
  <c r="A127" i="34" s="1"/>
  <c r="B126" i="34"/>
  <c r="A126" i="34" s="1"/>
  <c r="B125" i="34"/>
  <c r="A125" i="34" s="1"/>
  <c r="B39" i="34"/>
  <c r="A39" i="34" s="1"/>
  <c r="B38" i="34"/>
  <c r="A38" i="34" s="1"/>
  <c r="B37" i="34"/>
  <c r="A37" i="34" s="1"/>
  <c r="B2591" i="34"/>
  <c r="A2591" i="34" s="1"/>
  <c r="B3843" i="34"/>
  <c r="A3843" i="34" s="1"/>
  <c r="B3840" i="34"/>
  <c r="A3840" i="34" s="1"/>
  <c r="B3832" i="34"/>
  <c r="A3832" i="34" s="1"/>
  <c r="B3831" i="34"/>
  <c r="A3831" i="34" s="1"/>
  <c r="B3830" i="34"/>
  <c r="A3830" i="34" s="1"/>
  <c r="B3829" i="34"/>
  <c r="A3829" i="34" s="1"/>
  <c r="B3845" i="34"/>
  <c r="A3845" i="34" s="1"/>
  <c r="B3844" i="34"/>
  <c r="A3844" i="34" s="1"/>
  <c r="B3834" i="34"/>
  <c r="A3834" i="34" s="1"/>
  <c r="B3833" i="34"/>
  <c r="A3833" i="34" s="1"/>
  <c r="B3824" i="34"/>
  <c r="A3824" i="34" s="1"/>
  <c r="B3815" i="34"/>
  <c r="A3815" i="34" s="1"/>
  <c r="B3803" i="34"/>
  <c r="A3803" i="34" s="1"/>
  <c r="B3802" i="34"/>
  <c r="A3802" i="34" s="1"/>
  <c r="B3801" i="34"/>
  <c r="A3801" i="34" s="1"/>
  <c r="B3800" i="34"/>
  <c r="A3800" i="34" s="1"/>
  <c r="B3791" i="34"/>
  <c r="A3791" i="34" s="1"/>
  <c r="B3790" i="34"/>
  <c r="A3790" i="34" s="1"/>
  <c r="B3789" i="34"/>
  <c r="A3789" i="34" s="1"/>
  <c r="B3778" i="34"/>
  <c r="A3778" i="34" s="1"/>
  <c r="B3777" i="34"/>
  <c r="A3777" i="34" s="1"/>
  <c r="B3776" i="34"/>
  <c r="A3776" i="34" s="1"/>
  <c r="B3775" i="34"/>
  <c r="A3775" i="34" s="1"/>
  <c r="B3774" i="34"/>
  <c r="A3774" i="34" s="1"/>
  <c r="B3773" i="34"/>
  <c r="A3773" i="34" s="1"/>
  <c r="B3772" i="34"/>
  <c r="A3772" i="34" s="1"/>
  <c r="B3771" i="34"/>
  <c r="A3771" i="34" s="1"/>
  <c r="B3770" i="34"/>
  <c r="A3770" i="34" s="1"/>
  <c r="B3769" i="34"/>
  <c r="A3769" i="34" s="1"/>
  <c r="B3768" i="34"/>
  <c r="A3768" i="34" s="1"/>
  <c r="B3767" i="34"/>
  <c r="A3767" i="34" s="1"/>
  <c r="B3766" i="34"/>
  <c r="A3766" i="34" s="1"/>
  <c r="B3765" i="34"/>
  <c r="A3765" i="34" s="1"/>
  <c r="B3764" i="34"/>
  <c r="A3764" i="34" s="1"/>
  <c r="B3763" i="34"/>
  <c r="A3763" i="34" s="1"/>
  <c r="B3762" i="34"/>
  <c r="A3762" i="34" s="1"/>
  <c r="B3761" i="34"/>
  <c r="A3761" i="34" s="1"/>
  <c r="B3760" i="34"/>
  <c r="A3760" i="34" s="1"/>
  <c r="B3759" i="34"/>
  <c r="A3759" i="34" s="1"/>
  <c r="B3758" i="34"/>
  <c r="A3758" i="34" s="1"/>
  <c r="B3718" i="34"/>
  <c r="A3718" i="34" s="1"/>
  <c r="B3717" i="34"/>
  <c r="A3717" i="34" s="1"/>
  <c r="B3858" i="34"/>
  <c r="A3858" i="34" s="1"/>
  <c r="B3857" i="34"/>
  <c r="A3857" i="34" s="1"/>
  <c r="B3825" i="34"/>
  <c r="A3825" i="34" s="1"/>
  <c r="B3820" i="34"/>
  <c r="A3820" i="34" s="1"/>
  <c r="B3819" i="34"/>
  <c r="A3819" i="34" s="1"/>
  <c r="B3818" i="34"/>
  <c r="A3818" i="34" s="1"/>
  <c r="B3817" i="34"/>
  <c r="A3817" i="34" s="1"/>
  <c r="B3816" i="34"/>
  <c r="A3816" i="34" s="1"/>
  <c r="B3807" i="34"/>
  <c r="A3807" i="34" s="1"/>
  <c r="B3798" i="34"/>
  <c r="A3798" i="34" s="1"/>
  <c r="B3797" i="34"/>
  <c r="A3797" i="34" s="1"/>
  <c r="B3796" i="34"/>
  <c r="A3796" i="34" s="1"/>
  <c r="B3795" i="34"/>
  <c r="A3795" i="34" s="1"/>
  <c r="B3794" i="34"/>
  <c r="A3794" i="34" s="1"/>
  <c r="B3793" i="34"/>
  <c r="A3793" i="34" s="1"/>
  <c r="B3792" i="34"/>
  <c r="A3792" i="34" s="1"/>
  <c r="B3780" i="34"/>
  <c r="A3780" i="34" s="1"/>
  <c r="B3757" i="34"/>
  <c r="A3757" i="34" s="1"/>
  <c r="B3756" i="34"/>
  <c r="A3756" i="34" s="1"/>
  <c r="B3755" i="34"/>
  <c r="A3755" i="34" s="1"/>
  <c r="B3754" i="34"/>
  <c r="A3754" i="34" s="1"/>
  <c r="B3753" i="34"/>
  <c r="A3753" i="34" s="1"/>
  <c r="B3752" i="34"/>
  <c r="A3752" i="34" s="1"/>
  <c r="B3751" i="34"/>
  <c r="A3751" i="34" s="1"/>
  <c r="B3747" i="34"/>
  <c r="A3747" i="34" s="1"/>
  <c r="B3742" i="34"/>
  <c r="A3742" i="34" s="1"/>
  <c r="B3724" i="34"/>
  <c r="A3724" i="34" s="1"/>
  <c r="B3720" i="34"/>
  <c r="A3720" i="34" s="1"/>
  <c r="B2803" i="34"/>
  <c r="A2803" i="34" s="1"/>
  <c r="B2802" i="34"/>
  <c r="A2802" i="34" s="1"/>
  <c r="B2801" i="34"/>
  <c r="A2801" i="34" s="1"/>
  <c r="B2800" i="34"/>
  <c r="A2800" i="34" s="1"/>
  <c r="B2799" i="34"/>
  <c r="A2799" i="34" s="1"/>
  <c r="B2798" i="34"/>
  <c r="A2798" i="34" s="1"/>
  <c r="B2797" i="34"/>
  <c r="A2797" i="34" s="1"/>
  <c r="B2796" i="34"/>
  <c r="A2796" i="34" s="1"/>
  <c r="B2795" i="34"/>
  <c r="A2795" i="34" s="1"/>
  <c r="B2794" i="34"/>
  <c r="A2794" i="34" s="1"/>
  <c r="B2793" i="34"/>
  <c r="A2793" i="34" s="1"/>
  <c r="B2792" i="34"/>
  <c r="A2792" i="34" s="1"/>
  <c r="B2804" i="34"/>
  <c r="A2804" i="34" s="1"/>
  <c r="B2791" i="34"/>
  <c r="A2791" i="34" s="1"/>
  <c r="B2790" i="34"/>
  <c r="A2790" i="34" s="1"/>
  <c r="B2789" i="34"/>
  <c r="A2789" i="34" s="1"/>
  <c r="B2788" i="34"/>
  <c r="A2788" i="34" s="1"/>
  <c r="B2787" i="34"/>
  <c r="A2787" i="34" s="1"/>
  <c r="B2786" i="34"/>
  <c r="A2786" i="34" s="1"/>
  <c r="B2785" i="34"/>
  <c r="A2785" i="34" s="1"/>
  <c r="B2784" i="34"/>
  <c r="A2784" i="34" s="1"/>
  <c r="B2783" i="34"/>
  <c r="A2783" i="34" s="1"/>
  <c r="B2782" i="34"/>
  <c r="A2782" i="34" s="1"/>
  <c r="B2781" i="34"/>
  <c r="A2781" i="34" s="1"/>
  <c r="B2780" i="34"/>
  <c r="A2780" i="34" s="1"/>
  <c r="B2779" i="34"/>
  <c r="A2779" i="34" s="1"/>
  <c r="B2778" i="34"/>
  <c r="A2778" i="34" s="1"/>
  <c r="B2776" i="34"/>
  <c r="A2776" i="34" s="1"/>
  <c r="B2775" i="34"/>
  <c r="A2775" i="34" s="1"/>
  <c r="B2774" i="34"/>
  <c r="A2774" i="34" s="1"/>
  <c r="B2773" i="34"/>
  <c r="A2773" i="34" s="1"/>
  <c r="B2772" i="34"/>
  <c r="A2772" i="34" s="1"/>
  <c r="B2770" i="34"/>
  <c r="A2770" i="34" s="1"/>
  <c r="B2769" i="34"/>
  <c r="A2769" i="34" s="1"/>
  <c r="B3822" i="34"/>
  <c r="A3822" i="34" s="1"/>
  <c r="B3821" i="34"/>
  <c r="A3821" i="34" s="1"/>
  <c r="B3855" i="34"/>
  <c r="A3855" i="34" s="1"/>
  <c r="B3854" i="34"/>
  <c r="A3854" i="34" s="1"/>
  <c r="B3853" i="34"/>
  <c r="A3853" i="34" s="1"/>
  <c r="B3852" i="34"/>
  <c r="A3852" i="34" s="1"/>
  <c r="B3851" i="34"/>
  <c r="A3851" i="34" s="1"/>
  <c r="B3856" i="34"/>
  <c r="A3856" i="34" s="1"/>
  <c r="B3850" i="34"/>
  <c r="A3850" i="34" s="1"/>
  <c r="B3849" i="34"/>
  <c r="A3849" i="34" s="1"/>
  <c r="B3848" i="34"/>
  <c r="A3848" i="34" s="1"/>
  <c r="B3847" i="34"/>
  <c r="A3847" i="34" s="1"/>
  <c r="B3846" i="34"/>
  <c r="A3846" i="34" s="1"/>
  <c r="B3842" i="34"/>
  <c r="A3842" i="34" s="1"/>
  <c r="B3841" i="34"/>
  <c r="A3841" i="34" s="1"/>
  <c r="B3839" i="34"/>
  <c r="A3839" i="34" s="1"/>
  <c r="B3838" i="34"/>
  <c r="A3838" i="34" s="1"/>
  <c r="B3837" i="34"/>
  <c r="A3837" i="34" s="1"/>
  <c r="B3836" i="34"/>
  <c r="A3836" i="34" s="1"/>
  <c r="B3828" i="34"/>
  <c r="A3828" i="34" s="1"/>
  <c r="B3827" i="34"/>
  <c r="A3827" i="34" s="1"/>
  <c r="B3826" i="34"/>
  <c r="A3826" i="34" s="1"/>
  <c r="B3823" i="34"/>
  <c r="A3823" i="34" s="1"/>
  <c r="B3737" i="34"/>
  <c r="A3737" i="34" s="1"/>
  <c r="B3814" i="34"/>
  <c r="A3814" i="34" s="1"/>
  <c r="B3813" i="34"/>
  <c r="A3813" i="34" s="1"/>
  <c r="B3812" i="34"/>
  <c r="A3812" i="34" s="1"/>
  <c r="B3809" i="34"/>
  <c r="A3809" i="34" s="1"/>
  <c r="B3808" i="34"/>
  <c r="A3808" i="34" s="1"/>
  <c r="B3811" i="34"/>
  <c r="A3811" i="34" s="1"/>
  <c r="B3806" i="34"/>
  <c r="A3806" i="34" s="1"/>
  <c r="B3805" i="34"/>
  <c r="A3805" i="34" s="1"/>
  <c r="B3804" i="34"/>
  <c r="A3804" i="34" s="1"/>
  <c r="B3799" i="34"/>
  <c r="A3799" i="34" s="1"/>
  <c r="B3788" i="34"/>
  <c r="A3788" i="34" s="1"/>
  <c r="B3787" i="34"/>
  <c r="A3787" i="34" s="1"/>
  <c r="B3785" i="34"/>
  <c r="A3785" i="34" s="1"/>
  <c r="B3784" i="34"/>
  <c r="A3784" i="34" s="1"/>
  <c r="B3783" i="34"/>
  <c r="A3783" i="34" s="1"/>
  <c r="B3782" i="34"/>
  <c r="A3782" i="34" s="1"/>
  <c r="B3781" i="34"/>
  <c r="A3781" i="34" s="1"/>
  <c r="B3750" i="34"/>
  <c r="A3750" i="34" s="1"/>
  <c r="B3749" i="34"/>
  <c r="A3749" i="34" s="1"/>
  <c r="B3748" i="34"/>
  <c r="A3748" i="34" s="1"/>
  <c r="B3746" i="34"/>
  <c r="A3746" i="34" s="1"/>
  <c r="B3745" i="34"/>
  <c r="A3745" i="34" s="1"/>
  <c r="B3744" i="34"/>
  <c r="A3744" i="34" s="1"/>
  <c r="B3743" i="34"/>
  <c r="A3743" i="34" s="1"/>
  <c r="B3741" i="34"/>
  <c r="A3741" i="34" s="1"/>
  <c r="B3730" i="34"/>
  <c r="A3730" i="34" s="1"/>
  <c r="B3729" i="34"/>
  <c r="A3729" i="34" s="1"/>
  <c r="B3728" i="34"/>
  <c r="A3728" i="34" s="1"/>
  <c r="B3727" i="34"/>
  <c r="A3727" i="34" s="1"/>
  <c r="B3713" i="34"/>
  <c r="A3713" i="34" s="1"/>
  <c r="B3712" i="34"/>
  <c r="A3712" i="34" s="1"/>
  <c r="B3701" i="34"/>
  <c r="A3701" i="34" s="1"/>
  <c r="B3700" i="34"/>
  <c r="A3700" i="34" s="1"/>
  <c r="B3699" i="34"/>
  <c r="A3699" i="34" s="1"/>
  <c r="B3716" i="34"/>
  <c r="A3716" i="34" s="1"/>
  <c r="B3835" i="34"/>
  <c r="A3835" i="34" s="1"/>
  <c r="B3810" i="34"/>
  <c r="A3810" i="34" s="1"/>
  <c r="B3786" i="34"/>
  <c r="A3786" i="34" s="1"/>
  <c r="B3779" i="34"/>
  <c r="A3779" i="34" s="1"/>
  <c r="B3725" i="34"/>
  <c r="A3725" i="34" s="1"/>
  <c r="B3726" i="34"/>
  <c r="A3726" i="34" s="1"/>
  <c r="B3723" i="34"/>
  <c r="A3723" i="34" s="1"/>
  <c r="B3719" i="34"/>
  <c r="A3719" i="34" s="1"/>
  <c r="B1093" i="34"/>
  <c r="A1093" i="34" s="1"/>
  <c r="B1092" i="34"/>
  <c r="A1092" i="34" s="1"/>
  <c r="B1091" i="34"/>
  <c r="A1091" i="34" s="1"/>
  <c r="B1090" i="34"/>
  <c r="A1090" i="34" s="1"/>
  <c r="B1089" i="34"/>
  <c r="A1089" i="34" s="1"/>
  <c r="B1088" i="34"/>
  <c r="A1088" i="34" s="1"/>
  <c r="B1087" i="34"/>
  <c r="A1087" i="34" s="1"/>
  <c r="B1086" i="34"/>
  <c r="A1086" i="34" s="1"/>
  <c r="B1085" i="34"/>
  <c r="A1085" i="34" s="1"/>
  <c r="B1084" i="34"/>
  <c r="A1084" i="34" s="1"/>
  <c r="B1083" i="34"/>
  <c r="A1083" i="34" s="1"/>
  <c r="B1082" i="34"/>
  <c r="A1082" i="34" s="1"/>
  <c r="B1081" i="34"/>
  <c r="A1081" i="34" s="1"/>
  <c r="B1080" i="34"/>
  <c r="A1080" i="34" s="1"/>
  <c r="B1079" i="34"/>
  <c r="A1079" i="34" s="1"/>
  <c r="B1078" i="34"/>
  <c r="A1078" i="34" s="1"/>
  <c r="B1077" i="34"/>
  <c r="A1077" i="34" s="1"/>
  <c r="B1076" i="34"/>
  <c r="A1076" i="34" s="1"/>
  <c r="B1075" i="34"/>
  <c r="A1075" i="34" s="1"/>
  <c r="B1074" i="34"/>
  <c r="A1074" i="34" s="1"/>
  <c r="B1073" i="34"/>
  <c r="A1073" i="34" s="1"/>
  <c r="B1072" i="34"/>
  <c r="A1072" i="34" s="1"/>
  <c r="B1071" i="34"/>
  <c r="A1071" i="34" s="1"/>
  <c r="B1070" i="34"/>
  <c r="A1070" i="34" s="1"/>
  <c r="B1069" i="34"/>
  <c r="A1069" i="34" s="1"/>
  <c r="B1068" i="34"/>
  <c r="A1068" i="34" s="1"/>
  <c r="B1067" i="34"/>
  <c r="A1067" i="34" s="1"/>
  <c r="B1066" i="34"/>
  <c r="A1066" i="34" s="1"/>
  <c r="B1065" i="34"/>
  <c r="A1065" i="34" s="1"/>
  <c r="B1064" i="34"/>
  <c r="A1064" i="34" s="1"/>
  <c r="B1063" i="34"/>
  <c r="A1063" i="34" s="1"/>
  <c r="B1062" i="34"/>
  <c r="A1062" i="34" s="1"/>
  <c r="B1061" i="34"/>
  <c r="A1061" i="34" s="1"/>
  <c r="B1060" i="34"/>
  <c r="A1060" i="34" s="1"/>
  <c r="B1059" i="34"/>
  <c r="A1059" i="34" s="1"/>
  <c r="B1058" i="34"/>
  <c r="A1058" i="34" s="1"/>
  <c r="B1057" i="34"/>
  <c r="A1057" i="34" s="1"/>
  <c r="B1056" i="34"/>
  <c r="A1056" i="34" s="1"/>
  <c r="B1055" i="34"/>
  <c r="A1055" i="34" s="1"/>
  <c r="B1054" i="34"/>
  <c r="A1054" i="34" s="1"/>
  <c r="B1053" i="34"/>
  <c r="A1053" i="34" s="1"/>
  <c r="B1052" i="34"/>
  <c r="A1052" i="34" s="1"/>
  <c r="B375" i="34"/>
  <c r="A375" i="34" s="1"/>
  <c r="B374" i="34"/>
  <c r="A374" i="34" s="1"/>
  <c r="B373" i="34"/>
  <c r="A373" i="34" s="1"/>
  <c r="B372" i="34"/>
  <c r="A372" i="34" s="1"/>
  <c r="B371" i="34"/>
  <c r="A371" i="34" s="1"/>
  <c r="B370" i="34"/>
  <c r="A370" i="34" s="1"/>
  <c r="B369" i="34"/>
  <c r="A369" i="34" s="1"/>
  <c r="B368" i="34"/>
  <c r="A368" i="34" s="1"/>
  <c r="B367" i="34"/>
  <c r="A367" i="34" s="1"/>
  <c r="B366" i="34"/>
  <c r="A366" i="34" s="1"/>
  <c r="B365" i="34"/>
  <c r="A365" i="34" s="1"/>
  <c r="B364" i="34"/>
  <c r="A364" i="34" s="1"/>
  <c r="B363" i="34"/>
  <c r="A363" i="34" s="1"/>
  <c r="B362" i="34"/>
  <c r="A362" i="34" s="1"/>
  <c r="B361" i="34"/>
  <c r="A361" i="34" s="1"/>
  <c r="B360" i="34"/>
  <c r="A360" i="34" s="1"/>
  <c r="B359" i="34"/>
  <c r="A359" i="34" s="1"/>
  <c r="B358" i="34"/>
  <c r="A358" i="34" s="1"/>
  <c r="B357" i="34"/>
  <c r="A357" i="34" s="1"/>
  <c r="B356" i="34"/>
  <c r="A356" i="34" s="1"/>
  <c r="B355" i="34"/>
  <c r="A355" i="34" s="1"/>
  <c r="B354" i="34"/>
  <c r="A354" i="34" s="1"/>
  <c r="B353" i="34"/>
  <c r="A353" i="34" s="1"/>
  <c r="B352" i="34"/>
  <c r="A352" i="34" s="1"/>
  <c r="B351" i="34"/>
  <c r="A351" i="34" s="1"/>
  <c r="B350" i="34"/>
  <c r="A350" i="34" s="1"/>
  <c r="B349" i="34"/>
  <c r="A349" i="34" s="1"/>
  <c r="B348" i="34"/>
  <c r="A348" i="34" s="1"/>
  <c r="B347" i="34"/>
  <c r="A347" i="34" s="1"/>
  <c r="B346" i="34"/>
  <c r="A346" i="34" s="1"/>
  <c r="B345" i="34"/>
  <c r="A345" i="34" s="1"/>
  <c r="B344" i="34"/>
  <c r="A344" i="34" s="1"/>
  <c r="B343" i="34"/>
  <c r="A343" i="34" s="1"/>
  <c r="B342" i="34"/>
  <c r="A342" i="34" s="1"/>
  <c r="B341" i="34"/>
  <c r="A341" i="34" s="1"/>
  <c r="B340" i="34"/>
  <c r="A340" i="34" s="1"/>
  <c r="B339" i="34"/>
  <c r="A339" i="34" s="1"/>
  <c r="B1029" i="34"/>
  <c r="A1029" i="34" s="1"/>
  <c r="B1028" i="34"/>
  <c r="A1028" i="34" s="1"/>
  <c r="B1027" i="34"/>
  <c r="A1027" i="34" s="1"/>
  <c r="B1026" i="34"/>
  <c r="A1026" i="34" s="1"/>
  <c r="B1025" i="34"/>
  <c r="A1025" i="34" s="1"/>
  <c r="B1024" i="34"/>
  <c r="A1024" i="34" s="1"/>
  <c r="B1023" i="34"/>
  <c r="A1023" i="34" s="1"/>
  <c r="B1022" i="34"/>
  <c r="A1022" i="34" s="1"/>
  <c r="B1021" i="34"/>
  <c r="A1021" i="34" s="1"/>
  <c r="B1020" i="34"/>
  <c r="A1020" i="34" s="1"/>
  <c r="B1019" i="34"/>
  <c r="A1019" i="34" s="1"/>
  <c r="B1018" i="34"/>
  <c r="A1018" i="34" s="1"/>
  <c r="B1017" i="34"/>
  <c r="A1017" i="34" s="1"/>
  <c r="B1016" i="34"/>
  <c r="A1016" i="34" s="1"/>
  <c r="B1015" i="34"/>
  <c r="A1015" i="34" s="1"/>
  <c r="B1014" i="34"/>
  <c r="A1014" i="34" s="1"/>
  <c r="B1013" i="34"/>
  <c r="A1013" i="34" s="1"/>
  <c r="B1012" i="34"/>
  <c r="A1012" i="34" s="1"/>
  <c r="B1011" i="34"/>
  <c r="A1011" i="34" s="1"/>
  <c r="B1010" i="34"/>
  <c r="A1010" i="34" s="1"/>
  <c r="B121" i="34"/>
  <c r="A121" i="34" s="1"/>
  <c r="B120" i="34"/>
  <c r="A120" i="34" s="1"/>
  <c r="B119" i="34"/>
  <c r="A119" i="34" s="1"/>
  <c r="B118" i="34"/>
  <c r="A118" i="34" s="1"/>
  <c r="B117" i="34"/>
  <c r="A117" i="34" s="1"/>
  <c r="B116" i="34"/>
  <c r="A116" i="34" s="1"/>
  <c r="B115" i="34"/>
  <c r="A115" i="34" s="1"/>
  <c r="B114" i="34"/>
  <c r="A114" i="34" s="1"/>
  <c r="B113" i="34"/>
  <c r="A113" i="34" s="1"/>
  <c r="B112" i="34"/>
  <c r="A112" i="34" s="1"/>
  <c r="B111" i="34"/>
  <c r="A111" i="34" s="1"/>
  <c r="B110" i="34"/>
  <c r="A110" i="34" s="1"/>
  <c r="B109" i="34"/>
  <c r="A109" i="34" s="1"/>
  <c r="B108" i="34"/>
  <c r="A108" i="34" s="1"/>
  <c r="B36" i="34"/>
  <c r="A36" i="34" s="1"/>
  <c r="B35" i="34"/>
  <c r="A35" i="34" s="1"/>
  <c r="B34" i="34"/>
  <c r="A34" i="34" s="1"/>
  <c r="B2590" i="34"/>
  <c r="A2590" i="34" s="1"/>
  <c r="B2768" i="34"/>
  <c r="A2768" i="34" s="1"/>
  <c r="B2767" i="34"/>
  <c r="A2767" i="34" s="1"/>
  <c r="B2766" i="34"/>
  <c r="A2766" i="34" s="1"/>
  <c r="B2765" i="34"/>
  <c r="A2765" i="34" s="1"/>
  <c r="B2764" i="34"/>
  <c r="A2764" i="34" s="1"/>
  <c r="B2763" i="34"/>
  <c r="A2763" i="34" s="1"/>
  <c r="B2762" i="34"/>
  <c r="A2762" i="34" s="1"/>
  <c r="B2761" i="34"/>
  <c r="A2761" i="34" s="1"/>
  <c r="B2760" i="34"/>
  <c r="A2760" i="34" s="1"/>
  <c r="B2759" i="34"/>
  <c r="A2759" i="34" s="1"/>
  <c r="B2758" i="34"/>
  <c r="A2758" i="34" s="1"/>
  <c r="B2757" i="34"/>
  <c r="A2757" i="34" s="1"/>
  <c r="B2756" i="34"/>
  <c r="A2756" i="34" s="1"/>
  <c r="B2755" i="34"/>
  <c r="A2755" i="34" s="1"/>
  <c r="B2754" i="34"/>
  <c r="A2754" i="34" s="1"/>
  <c r="B2753" i="34"/>
  <c r="A2753" i="34" s="1"/>
  <c r="B2752" i="34"/>
  <c r="A2752" i="34" s="1"/>
  <c r="B2751" i="34"/>
  <c r="A2751" i="34" s="1"/>
  <c r="B2750" i="34"/>
  <c r="A2750" i="34" s="1"/>
  <c r="B2749" i="34"/>
  <c r="A2749" i="34" s="1"/>
  <c r="B2748" i="34"/>
  <c r="A2748" i="34" s="1"/>
  <c r="B2747" i="34"/>
  <c r="A2747" i="34" s="1"/>
  <c r="B2746" i="34"/>
  <c r="A2746" i="34" s="1"/>
  <c r="B2745" i="34"/>
  <c r="A2745" i="34" s="1"/>
  <c r="B2744" i="34"/>
  <c r="A2744" i="34" s="1"/>
  <c r="B2743" i="34"/>
  <c r="A2743" i="34" s="1"/>
  <c r="B2742" i="34"/>
  <c r="A2742" i="34" s="1"/>
  <c r="B2741" i="34"/>
  <c r="A2741" i="34" s="1"/>
  <c r="B2740" i="34"/>
  <c r="A2740" i="34" s="1"/>
  <c r="B2739" i="34"/>
  <c r="A2739" i="34" s="1"/>
  <c r="B2738" i="34"/>
  <c r="A2738" i="34" s="1"/>
  <c r="B2737" i="34"/>
  <c r="A2737" i="34" s="1"/>
  <c r="B2735" i="34"/>
  <c r="A2735" i="34" s="1"/>
  <c r="B2734" i="34"/>
  <c r="A2734" i="34" s="1"/>
  <c r="B2733" i="34"/>
  <c r="A2733" i="34" s="1"/>
  <c r="B2732" i="34"/>
  <c r="A2732" i="34" s="1"/>
  <c r="B2731" i="34"/>
  <c r="A2731" i="34" s="1"/>
  <c r="B2730" i="34"/>
  <c r="A2730" i="34" s="1"/>
  <c r="B2729" i="34"/>
  <c r="A2729" i="34" s="1"/>
  <c r="B2728" i="34"/>
  <c r="A2728" i="34" s="1"/>
  <c r="B2727" i="34"/>
  <c r="A2727" i="34" s="1"/>
  <c r="B2726" i="34"/>
  <c r="A2726" i="34" s="1"/>
  <c r="B2725" i="34"/>
  <c r="A2725" i="34" s="1"/>
  <c r="B2722" i="34"/>
  <c r="A2722" i="34" s="1"/>
  <c r="B2721" i="34"/>
  <c r="A2721" i="34" s="1"/>
  <c r="B2720" i="34"/>
  <c r="A2720" i="34" s="1"/>
  <c r="B2719" i="34"/>
  <c r="A2719" i="34" s="1"/>
  <c r="B2718" i="34"/>
  <c r="A2718" i="34" s="1"/>
  <c r="B2717" i="34"/>
  <c r="A2717" i="34" s="1"/>
  <c r="B2716" i="34"/>
  <c r="A2716" i="34" s="1"/>
  <c r="B2715" i="34"/>
  <c r="A2715" i="34" s="1"/>
  <c r="B2714" i="34"/>
  <c r="A2714" i="34" s="1"/>
  <c r="B2713" i="34"/>
  <c r="A2713" i="34" s="1"/>
  <c r="B2712" i="34"/>
  <c r="A2712" i="34" s="1"/>
  <c r="B2711" i="34"/>
  <c r="A2711" i="34" s="1"/>
  <c r="B2710" i="34"/>
  <c r="A2710" i="34" s="1"/>
  <c r="B2709" i="34"/>
  <c r="A2709" i="34" s="1"/>
  <c r="B2708" i="34"/>
  <c r="A2708" i="34" s="1"/>
  <c r="B2707" i="34"/>
  <c r="A2707" i="34" s="1"/>
  <c r="B2705" i="34"/>
  <c r="A2705" i="34" s="1"/>
  <c r="B2704" i="34"/>
  <c r="A2704" i="34" s="1"/>
  <c r="B2703" i="34"/>
  <c r="A2703" i="34" s="1"/>
  <c r="B2702" i="34"/>
  <c r="A2702" i="34" s="1"/>
  <c r="B2701" i="34"/>
  <c r="A2701" i="34" s="1"/>
  <c r="B2700" i="34"/>
  <c r="A2700" i="34" s="1"/>
  <c r="B2699" i="34"/>
  <c r="A2699" i="34" s="1"/>
  <c r="B2698" i="34"/>
  <c r="A2698" i="34" s="1"/>
  <c r="B2697" i="34"/>
  <c r="A2697" i="34" s="1"/>
  <c r="B2696" i="34"/>
  <c r="A2696" i="34" s="1"/>
  <c r="B2695" i="34"/>
  <c r="A2695" i="34" s="1"/>
  <c r="B2694" i="34"/>
  <c r="A2694" i="34" s="1"/>
  <c r="B2693" i="34"/>
  <c r="A2693" i="34" s="1"/>
  <c r="B2692" i="34"/>
  <c r="A2692" i="34" s="1"/>
  <c r="B2691" i="34"/>
  <c r="A2691" i="34" s="1"/>
  <c r="B2690" i="34"/>
  <c r="A2690" i="34" s="1"/>
  <c r="B2689" i="34"/>
  <c r="A2689" i="34" s="1"/>
  <c r="B2688" i="34"/>
  <c r="A2688" i="34" s="1"/>
  <c r="B3692" i="34"/>
  <c r="A3692" i="34" s="1"/>
  <c r="B3691" i="34"/>
  <c r="A3691" i="34" s="1"/>
  <c r="B3690" i="34"/>
  <c r="A3690" i="34" s="1"/>
  <c r="B3668" i="34"/>
  <c r="A3668" i="34" s="1"/>
  <c r="B2736" i="34"/>
  <c r="A2736" i="34" s="1"/>
  <c r="B2724" i="34"/>
  <c r="A2724" i="34" s="1"/>
  <c r="B3653" i="34"/>
  <c r="A3653" i="34" s="1"/>
  <c r="B3622" i="34"/>
  <c r="A3622" i="34" s="1"/>
  <c r="B3621" i="34"/>
  <c r="A3621" i="34" s="1"/>
  <c r="B3620" i="34"/>
  <c r="A3620" i="34" s="1"/>
  <c r="B2723" i="34"/>
  <c r="A2723" i="34" s="1"/>
  <c r="B3619" i="34"/>
  <c r="A3619" i="34" s="1"/>
  <c r="B3602" i="34"/>
  <c r="A3602" i="34" s="1"/>
  <c r="B2706" i="34"/>
  <c r="A2706" i="34" s="1"/>
  <c r="B3601" i="34"/>
  <c r="A3601" i="34" s="1"/>
  <c r="B3600" i="34"/>
  <c r="A3600" i="34" s="1"/>
  <c r="B3599" i="34"/>
  <c r="A3599" i="34" s="1"/>
  <c r="B3598" i="34"/>
  <c r="A3598" i="34" s="1"/>
  <c r="B3597" i="34"/>
  <c r="A3597" i="34" s="1"/>
  <c r="B3596" i="34"/>
  <c r="A3596" i="34" s="1"/>
  <c r="B3595" i="34"/>
  <c r="A3595" i="34" s="1"/>
  <c r="B3594" i="34"/>
  <c r="A3594" i="34" s="1"/>
  <c r="B3593" i="34"/>
  <c r="A3593" i="34" s="1"/>
  <c r="B3592" i="34"/>
  <c r="A3592" i="34" s="1"/>
  <c r="B3591" i="34"/>
  <c r="A3591" i="34" s="1"/>
  <c r="B3590" i="34"/>
  <c r="A3590" i="34" s="1"/>
  <c r="B3589" i="34"/>
  <c r="A3589" i="34" s="1"/>
  <c r="B3588" i="34"/>
  <c r="A3588" i="34" s="1"/>
  <c r="B3587" i="34"/>
  <c r="A3587" i="34" s="1"/>
  <c r="B3580" i="34"/>
  <c r="A3580" i="34" s="1"/>
  <c r="B3579" i="34"/>
  <c r="A3579" i="34" s="1"/>
  <c r="B3578" i="34"/>
  <c r="A3578" i="34" s="1"/>
  <c r="B3577" i="34"/>
  <c r="A3577" i="34" s="1"/>
  <c r="B3576" i="34"/>
  <c r="A3576" i="34" s="1"/>
  <c r="B3575" i="34"/>
  <c r="A3575" i="34" s="1"/>
  <c r="B2588" i="34"/>
  <c r="A2588" i="34" s="1"/>
  <c r="B2587" i="34"/>
  <c r="A2587" i="34" s="1"/>
  <c r="B2586" i="34"/>
  <c r="A2586" i="34" s="1"/>
  <c r="B2584" i="34"/>
  <c r="A2584" i="34" s="1"/>
  <c r="B2585" i="34"/>
  <c r="A2585" i="34" s="1"/>
  <c r="B2583" i="34"/>
  <c r="A2583" i="34" s="1"/>
  <c r="B3709" i="34"/>
  <c r="A3709" i="34" s="1"/>
  <c r="B3708" i="34"/>
  <c r="A3708" i="34" s="1"/>
  <c r="B3698" i="34"/>
  <c r="A3698" i="34" s="1"/>
  <c r="B3697" i="34"/>
  <c r="A3697" i="34" s="1"/>
  <c r="B3696" i="34"/>
  <c r="A3696" i="34" s="1"/>
  <c r="B3695" i="34"/>
  <c r="A3695" i="34" s="1"/>
  <c r="B2589" i="34"/>
  <c r="A2589" i="34" s="1"/>
  <c r="B3689" i="34"/>
  <c r="A3689" i="34" s="1"/>
  <c r="B3667" i="34"/>
  <c r="A3667" i="34" s="1"/>
  <c r="B3666" i="34"/>
  <c r="A3666" i="34" s="1"/>
  <c r="B3662" i="34"/>
  <c r="A3662" i="34" s="1"/>
  <c r="B3652" i="34"/>
  <c r="A3652" i="34" s="1"/>
  <c r="B3651" i="34"/>
  <c r="A3651" i="34" s="1"/>
  <c r="B3650" i="34"/>
  <c r="A3650" i="34" s="1"/>
  <c r="B3649" i="34"/>
  <c r="A3649" i="34" s="1"/>
  <c r="B3647" i="34"/>
  <c r="A3647" i="34" s="1"/>
  <c r="B3646" i="34"/>
  <c r="A3646" i="34" s="1"/>
  <c r="B3645" i="34"/>
  <c r="A3645" i="34" s="1"/>
  <c r="B3644" i="34"/>
  <c r="A3644" i="34" s="1"/>
  <c r="B3643" i="34"/>
  <c r="A3643" i="34" s="1"/>
  <c r="B3642" i="34"/>
  <c r="A3642" i="34" s="1"/>
  <c r="B3641" i="34"/>
  <c r="A3641" i="34" s="1"/>
  <c r="B3640" i="34"/>
  <c r="A3640" i="34" s="1"/>
  <c r="B3635" i="34"/>
  <c r="A3635" i="34" s="1"/>
  <c r="B3617" i="34"/>
  <c r="A3617" i="34" s="1"/>
  <c r="B3616" i="34"/>
  <c r="A3616" i="34" s="1"/>
  <c r="B3615" i="34"/>
  <c r="A3615" i="34" s="1"/>
  <c r="B3612" i="34"/>
  <c r="A3612" i="34" s="1"/>
  <c r="B3707" i="34"/>
  <c r="A3707" i="34" s="1"/>
  <c r="B3706" i="34"/>
  <c r="A3706" i="34" s="1"/>
  <c r="B3705" i="34"/>
  <c r="A3705" i="34" s="1"/>
  <c r="B3711" i="34"/>
  <c r="A3711" i="34" s="1"/>
  <c r="B3710" i="34"/>
  <c r="A3710" i="34" s="1"/>
  <c r="B3704" i="34"/>
  <c r="A3704" i="34" s="1"/>
  <c r="B3703" i="34"/>
  <c r="A3703" i="34" s="1"/>
  <c r="B3694" i="34"/>
  <c r="A3694" i="34" s="1"/>
  <c r="B3693" i="34"/>
  <c r="A3693" i="34" s="1"/>
  <c r="B3688" i="34"/>
  <c r="A3688" i="34" s="1"/>
  <c r="B3687" i="34"/>
  <c r="A3687" i="34" s="1"/>
  <c r="B3686" i="34"/>
  <c r="A3686" i="34" s="1"/>
  <c r="B3685" i="34"/>
  <c r="A3685" i="34" s="1"/>
  <c r="B3684" i="34"/>
  <c r="A3684" i="34" s="1"/>
  <c r="B3683" i="34"/>
  <c r="A3683" i="34" s="1"/>
  <c r="B3682" i="34"/>
  <c r="A3682" i="34" s="1"/>
  <c r="B3681" i="34"/>
  <c r="A3681" i="34" s="1"/>
  <c r="B3680" i="34"/>
  <c r="A3680" i="34" s="1"/>
  <c r="B3679" i="34"/>
  <c r="A3679" i="34" s="1"/>
  <c r="B3675" i="34"/>
  <c r="A3675" i="34" s="1"/>
  <c r="B3674" i="34"/>
  <c r="A3674" i="34" s="1"/>
  <c r="B3673" i="34"/>
  <c r="A3673" i="34" s="1"/>
  <c r="B3678" i="34"/>
  <c r="A3678" i="34" s="1"/>
  <c r="B3677" i="34"/>
  <c r="A3677" i="34" s="1"/>
  <c r="B3676" i="34"/>
  <c r="A3676" i="34" s="1"/>
  <c r="B3672" i="34"/>
  <c r="A3672" i="34" s="1"/>
  <c r="B3671" i="34"/>
  <c r="A3671" i="34" s="1"/>
  <c r="B3670" i="34"/>
  <c r="A3670" i="34" s="1"/>
  <c r="B3665" i="34"/>
  <c r="A3665" i="34" s="1"/>
  <c r="B3664" i="34"/>
  <c r="A3664" i="34" s="1"/>
  <c r="B3663" i="34"/>
  <c r="A3663" i="34" s="1"/>
  <c r="B3661" i="34"/>
  <c r="A3661" i="34" s="1"/>
  <c r="B3660" i="34"/>
  <c r="A3660" i="34" s="1"/>
  <c r="B3659" i="34"/>
  <c r="A3659" i="34" s="1"/>
  <c r="B3639" i="34"/>
  <c r="A3639" i="34" s="1"/>
  <c r="B3638" i="34"/>
  <c r="A3638" i="34" s="1"/>
  <c r="B3637" i="34"/>
  <c r="A3637" i="34" s="1"/>
  <c r="B3636" i="34"/>
  <c r="A3636" i="34" s="1"/>
  <c r="B3634" i="34"/>
  <c r="A3634" i="34" s="1"/>
  <c r="B3633" i="34"/>
  <c r="A3633" i="34" s="1"/>
  <c r="B3632" i="34"/>
  <c r="A3632" i="34" s="1"/>
  <c r="B3631" i="34"/>
  <c r="A3631" i="34" s="1"/>
  <c r="B3630" i="34"/>
  <c r="A3630" i="34" s="1"/>
  <c r="B3629" i="34"/>
  <c r="A3629" i="34" s="1"/>
  <c r="B3628" i="34"/>
  <c r="A3628" i="34" s="1"/>
  <c r="B3627" i="34"/>
  <c r="A3627" i="34" s="1"/>
  <c r="B3626" i="34"/>
  <c r="A3626" i="34" s="1"/>
  <c r="B3625" i="34"/>
  <c r="A3625" i="34" s="1"/>
  <c r="B3624" i="34"/>
  <c r="A3624" i="34" s="1"/>
  <c r="B3623" i="34"/>
  <c r="A3623" i="34" s="1"/>
  <c r="B3618" i="34"/>
  <c r="A3618" i="34" s="1"/>
  <c r="B3614" i="34"/>
  <c r="A3614" i="34" s="1"/>
  <c r="B3613" i="34"/>
  <c r="A3613" i="34" s="1"/>
  <c r="B3611" i="34"/>
  <c r="A3611" i="34" s="1"/>
  <c r="B3610" i="34"/>
  <c r="A3610" i="34" s="1"/>
  <c r="B3609" i="34"/>
  <c r="A3609" i="34" s="1"/>
  <c r="B3608" i="34"/>
  <c r="A3608" i="34" s="1"/>
  <c r="B3607" i="34"/>
  <c r="A3607" i="34" s="1"/>
  <c r="B3606" i="34"/>
  <c r="A3606" i="34" s="1"/>
  <c r="B3586" i="34"/>
  <c r="A3586" i="34" s="1"/>
  <c r="B3585" i="34"/>
  <c r="A3585" i="34" s="1"/>
  <c r="B3584" i="34"/>
  <c r="A3584" i="34" s="1"/>
  <c r="B3583" i="34"/>
  <c r="A3583" i="34" s="1"/>
  <c r="B3582" i="34"/>
  <c r="A3582" i="34" s="1"/>
  <c r="B3581" i="34"/>
  <c r="A3581" i="34" s="1"/>
  <c r="B3574" i="34"/>
  <c r="A3574" i="34" s="1"/>
  <c r="B3573" i="34"/>
  <c r="A3573" i="34" s="1"/>
  <c r="B3560" i="34"/>
  <c r="A3560" i="34" s="1"/>
  <c r="B3559" i="34"/>
  <c r="A3559" i="34" s="1"/>
  <c r="B3572" i="34"/>
  <c r="A3572" i="34" s="1"/>
  <c r="B3571" i="34"/>
  <c r="A3571" i="34" s="1"/>
  <c r="B3570" i="34"/>
  <c r="A3570" i="34" s="1"/>
  <c r="B3569" i="34"/>
  <c r="A3569" i="34" s="1"/>
  <c r="B3568" i="34"/>
  <c r="A3568" i="34" s="1"/>
  <c r="B3567" i="34"/>
  <c r="A3567" i="34" s="1"/>
  <c r="B3445" i="34"/>
  <c r="A3445" i="34" s="1"/>
  <c r="B3444" i="34"/>
  <c r="A3444" i="34" s="1"/>
  <c r="B3494" i="34"/>
  <c r="A3494" i="34" s="1"/>
  <c r="B3493" i="34"/>
  <c r="A3493" i="34" s="1"/>
  <c r="B3566" i="34"/>
  <c r="A3566" i="34" s="1"/>
  <c r="B3702" i="34"/>
  <c r="A3702" i="34" s="1"/>
  <c r="B3669" i="34"/>
  <c r="A3669" i="34" s="1"/>
  <c r="B3654" i="34"/>
  <c r="A3654" i="34" s="1"/>
  <c r="B3648" i="34"/>
  <c r="A3648" i="34" s="1"/>
  <c r="B3605" i="34"/>
  <c r="A3605" i="34" s="1"/>
  <c r="B3604" i="34"/>
  <c r="A3604" i="34" s="1"/>
  <c r="B3603" i="34"/>
  <c r="A3603" i="34" s="1"/>
  <c r="B984" i="34"/>
  <c r="A984" i="34" s="1"/>
  <c r="B983" i="34"/>
  <c r="A983" i="34" s="1"/>
  <c r="B982" i="34"/>
  <c r="A982" i="34" s="1"/>
  <c r="B981" i="34"/>
  <c r="A981" i="34" s="1"/>
  <c r="B980" i="34"/>
  <c r="A980" i="34" s="1"/>
  <c r="B979" i="34"/>
  <c r="A979" i="34" s="1"/>
  <c r="B978" i="34"/>
  <c r="A978" i="34" s="1"/>
  <c r="B977" i="34"/>
  <c r="A977" i="34" s="1"/>
  <c r="B976" i="34"/>
  <c r="A976" i="34" s="1"/>
  <c r="B975" i="34"/>
  <c r="A975" i="34" s="1"/>
  <c r="B974" i="34"/>
  <c r="A974" i="34" s="1"/>
  <c r="B338" i="34"/>
  <c r="A338" i="34" s="1"/>
  <c r="B337" i="34"/>
  <c r="A337" i="34" s="1"/>
  <c r="B336" i="34"/>
  <c r="A336" i="34" s="1"/>
  <c r="B335" i="34"/>
  <c r="A335" i="34" s="1"/>
  <c r="B334" i="34"/>
  <c r="A334" i="34" s="1"/>
  <c r="B333" i="34"/>
  <c r="A333" i="34" s="1"/>
  <c r="B332" i="34"/>
  <c r="A332" i="34" s="1"/>
  <c r="B331" i="34"/>
  <c r="A331" i="34" s="1"/>
  <c r="B330" i="34"/>
  <c r="A330" i="34" s="1"/>
  <c r="B329" i="34"/>
  <c r="A329" i="34" s="1"/>
  <c r="B328" i="34"/>
  <c r="A328" i="34" s="1"/>
  <c r="B327" i="34"/>
  <c r="A327" i="34" s="1"/>
  <c r="B326" i="34"/>
  <c r="A326" i="34" s="1"/>
  <c r="B325" i="34"/>
  <c r="A325" i="34" s="1"/>
  <c r="B324" i="34"/>
  <c r="A324" i="34" s="1"/>
  <c r="B967" i="34"/>
  <c r="A967" i="34" s="1"/>
  <c r="B966" i="34"/>
  <c r="A966" i="34" s="1"/>
  <c r="B965" i="34"/>
  <c r="A965" i="34" s="1"/>
  <c r="B964" i="34"/>
  <c r="A964" i="34" s="1"/>
  <c r="B963" i="34"/>
  <c r="A963" i="34" s="1"/>
  <c r="B962" i="34"/>
  <c r="A962" i="34" s="1"/>
  <c r="B104" i="34"/>
  <c r="A104" i="34" s="1"/>
  <c r="B103" i="34"/>
  <c r="A103" i="34" s="1"/>
  <c r="B102" i="34"/>
  <c r="A102" i="34" s="1"/>
  <c r="B101" i="34"/>
  <c r="A101" i="34" s="1"/>
  <c r="B100" i="34"/>
  <c r="A100" i="34" s="1"/>
  <c r="B99" i="34"/>
  <c r="A99" i="34" s="1"/>
  <c r="B98" i="34"/>
  <c r="A98" i="34" s="1"/>
  <c r="B97" i="34"/>
  <c r="A97" i="34" s="1"/>
  <c r="B96" i="34"/>
  <c r="A96" i="34" s="1"/>
  <c r="B95" i="34"/>
  <c r="A95" i="34" s="1"/>
  <c r="B94" i="34"/>
  <c r="A94" i="34" s="1"/>
  <c r="B93" i="34"/>
  <c r="A93" i="34" s="1"/>
  <c r="B92" i="34"/>
  <c r="A92" i="34" s="1"/>
  <c r="B33" i="34"/>
  <c r="A33" i="34" s="1"/>
  <c r="B32" i="34"/>
  <c r="A32" i="34" s="1"/>
  <c r="B31" i="34"/>
  <c r="A31" i="34" s="1"/>
  <c r="B30" i="34"/>
  <c r="A30" i="34" s="1"/>
  <c r="B29" i="34"/>
  <c r="A29" i="34" s="1"/>
  <c r="B28" i="34"/>
  <c r="A28" i="34" s="1"/>
  <c r="B23" i="34"/>
  <c r="A23" i="34" s="1"/>
  <c r="B22" i="34"/>
  <c r="A22" i="34" s="1"/>
  <c r="B21" i="34"/>
  <c r="A21" i="34" s="1"/>
  <c r="B20" i="34"/>
  <c r="A20" i="34" s="1"/>
  <c r="B19" i="34"/>
  <c r="A19" i="34" s="1"/>
  <c r="B18" i="34"/>
  <c r="A18" i="34" s="1"/>
  <c r="B17" i="34"/>
  <c r="A17" i="34" s="1"/>
  <c r="B16" i="34"/>
  <c r="A16" i="34" s="1"/>
  <c r="B15" i="34"/>
  <c r="A15" i="34" s="1"/>
  <c r="B14" i="34"/>
  <c r="A14" i="34" s="1"/>
  <c r="B13" i="34"/>
  <c r="A13" i="34" s="1"/>
  <c r="B12" i="34"/>
  <c r="A12" i="34" s="1"/>
  <c r="E1830" i="34"/>
  <c r="E1829" i="34"/>
  <c r="E1828" i="34"/>
  <c r="E1827" i="34"/>
  <c r="E1826" i="34"/>
  <c r="E1825" i="34"/>
  <c r="E1824" i="34"/>
  <c r="E1823" i="34"/>
  <c r="K1996" i="34"/>
  <c r="M1996" i="34" s="1"/>
  <c r="E1996" i="34"/>
  <c r="B1996" i="34"/>
  <c r="A1996" i="34" s="1"/>
  <c r="K1995" i="34"/>
  <c r="M1995" i="34" s="1"/>
  <c r="E1995" i="34"/>
  <c r="B1995" i="34"/>
  <c r="A1995" i="34" s="1"/>
  <c r="K1997" i="34"/>
  <c r="M1997" i="34" s="1"/>
  <c r="E1997" i="34"/>
  <c r="B1997" i="34"/>
  <c r="A1997" i="34" s="1"/>
  <c r="K1846" i="34"/>
  <c r="M1846" i="34" s="1"/>
  <c r="E1846" i="34"/>
  <c r="K1845" i="34"/>
  <c r="M1845" i="34" s="1"/>
  <c r="E1845" i="34"/>
  <c r="J1202" i="34"/>
  <c r="M1202" i="34"/>
  <c r="E1203" i="34"/>
  <c r="B5069" i="34"/>
  <c r="A5069" i="34" s="1"/>
  <c r="B5050" i="34"/>
  <c r="A5050" i="34" s="1"/>
  <c r="B5025" i="34"/>
  <c r="A5025" i="34" s="1"/>
  <c r="E2093" i="34"/>
  <c r="B2093" i="34"/>
  <c r="A2093" i="34" s="1"/>
  <c r="M2092" i="34"/>
  <c r="E2092" i="34"/>
  <c r="B2092" i="34"/>
  <c r="A2092" i="34" s="1"/>
  <c r="E2087" i="34"/>
  <c r="B2087" i="34"/>
  <c r="A2087" i="34" s="1"/>
  <c r="M2086" i="34"/>
  <c r="E2086" i="34"/>
  <c r="B2086" i="34"/>
  <c r="A2086" i="34" s="1"/>
  <c r="E2083" i="34"/>
  <c r="B2083" i="34"/>
  <c r="A2083" i="34" s="1"/>
  <c r="M2082" i="34"/>
  <c r="E2082" i="34"/>
  <c r="E1941" i="34"/>
  <c r="M1940" i="34"/>
  <c r="E1940" i="34"/>
  <c r="E1937" i="34"/>
  <c r="M1936" i="34"/>
  <c r="E1936" i="34"/>
  <c r="E1933" i="34"/>
  <c r="M1932" i="34"/>
  <c r="E1932" i="34"/>
  <c r="E1927" i="34"/>
  <c r="M1926" i="34"/>
  <c r="E1926" i="34"/>
  <c r="E1923" i="34"/>
  <c r="M1922" i="34"/>
  <c r="E1922" i="34"/>
  <c r="E1921" i="34"/>
  <c r="M1920" i="34"/>
  <c r="E1920" i="34"/>
  <c r="A16" i="12"/>
  <c r="B559" i="34"/>
  <c r="A559" i="34" s="1"/>
  <c r="B558" i="34"/>
  <c r="A558" i="34" s="1"/>
  <c r="E1902" i="34"/>
  <c r="M1902" i="34"/>
  <c r="E1905" i="34"/>
  <c r="M1904" i="34"/>
  <c r="E1904" i="34"/>
  <c r="M1903" i="34"/>
  <c r="E1903" i="34"/>
  <c r="M1901" i="34"/>
  <c r="E1901" i="34"/>
  <c r="Q559" i="34" l="1"/>
  <c r="R559" i="34"/>
  <c r="S559" i="34"/>
  <c r="Q2086" i="34"/>
  <c r="R2086" i="34"/>
  <c r="S2086" i="34"/>
  <c r="S2093" i="34"/>
  <c r="Q2093" i="34"/>
  <c r="R2093" i="34"/>
  <c r="Q5069" i="34"/>
  <c r="R5069" i="34"/>
  <c r="S5069" i="34"/>
  <c r="S1997" i="34"/>
  <c r="Q1997" i="34"/>
  <c r="R1997" i="34"/>
  <c r="Q15" i="34"/>
  <c r="R15" i="34"/>
  <c r="S15" i="34"/>
  <c r="Q19" i="34"/>
  <c r="R19" i="34"/>
  <c r="S19" i="34"/>
  <c r="Q23" i="34"/>
  <c r="R23" i="34"/>
  <c r="S23" i="34"/>
  <c r="R31" i="34"/>
  <c r="S31" i="34"/>
  <c r="Q31" i="34"/>
  <c r="Q93" i="34"/>
  <c r="R93" i="34"/>
  <c r="S93" i="34"/>
  <c r="Q97" i="34"/>
  <c r="R97" i="34"/>
  <c r="S97" i="34"/>
  <c r="Q101" i="34"/>
  <c r="R101" i="34"/>
  <c r="S101" i="34"/>
  <c r="Q962" i="34"/>
  <c r="R962" i="34"/>
  <c r="S962" i="34"/>
  <c r="Q966" i="34"/>
  <c r="R966" i="34"/>
  <c r="S966" i="34"/>
  <c r="R326" i="34"/>
  <c r="S326" i="34"/>
  <c r="Q326" i="34"/>
  <c r="R330" i="34"/>
  <c r="S330" i="34"/>
  <c r="Q330" i="34"/>
  <c r="R334" i="34"/>
  <c r="S334" i="34"/>
  <c r="Q334" i="34"/>
  <c r="R338" i="34"/>
  <c r="S338" i="34"/>
  <c r="Q338" i="34"/>
  <c r="R977" i="34"/>
  <c r="S977" i="34"/>
  <c r="Q977" i="34"/>
  <c r="R981" i="34"/>
  <c r="S981" i="34"/>
  <c r="Q981" i="34"/>
  <c r="S3603" i="34"/>
  <c r="Q3603" i="34"/>
  <c r="R3603" i="34"/>
  <c r="Q3654" i="34"/>
  <c r="R3654" i="34"/>
  <c r="S3654" i="34"/>
  <c r="R3493" i="34"/>
  <c r="S3493" i="34"/>
  <c r="Q3493" i="34"/>
  <c r="R3567" i="34"/>
  <c r="S3567" i="34"/>
  <c r="Q3567" i="34"/>
  <c r="R3571" i="34"/>
  <c r="S3571" i="34"/>
  <c r="Q3571" i="34"/>
  <c r="R3573" i="34"/>
  <c r="S3573" i="34"/>
  <c r="Q3573" i="34"/>
  <c r="R3583" i="34"/>
  <c r="S3583" i="34"/>
  <c r="Q3583" i="34"/>
  <c r="R3606" i="34"/>
  <c r="S3606" i="34"/>
  <c r="Q3606" i="34"/>
  <c r="R3610" i="34"/>
  <c r="S3610" i="34"/>
  <c r="Q3610" i="34"/>
  <c r="S3618" i="34"/>
  <c r="Q3618" i="34"/>
  <c r="R3618" i="34"/>
  <c r="Q3626" i="34"/>
  <c r="R3626" i="34"/>
  <c r="S3626" i="34"/>
  <c r="Q3630" i="34"/>
  <c r="R3630" i="34"/>
  <c r="S3630" i="34"/>
  <c r="Q3634" i="34"/>
  <c r="R3634" i="34"/>
  <c r="S3634" i="34"/>
  <c r="Q3639" i="34"/>
  <c r="R3639" i="34"/>
  <c r="S3639" i="34"/>
  <c r="Q3665" i="34"/>
  <c r="R3665" i="34"/>
  <c r="S3665" i="34"/>
  <c r="Q3671" i="34"/>
  <c r="R3671" i="34"/>
  <c r="S3671" i="34"/>
  <c r="Q3678" i="34"/>
  <c r="R3678" i="34"/>
  <c r="S3678" i="34"/>
  <c r="Q3679" i="34"/>
  <c r="R3679" i="34"/>
  <c r="S3679" i="34"/>
  <c r="Q3683" i="34"/>
  <c r="R3683" i="34"/>
  <c r="S3683" i="34"/>
  <c r="Q3687" i="34"/>
  <c r="R3687" i="34"/>
  <c r="S3687" i="34"/>
  <c r="Q3694" i="34"/>
  <c r="R3694" i="34"/>
  <c r="S3694" i="34"/>
  <c r="Q3704" i="34"/>
  <c r="R3704" i="34"/>
  <c r="S3704" i="34"/>
  <c r="Q3706" i="34"/>
  <c r="R3706" i="34"/>
  <c r="S3706" i="34"/>
  <c r="S3616" i="34"/>
  <c r="Q3616" i="34"/>
  <c r="R3616" i="34"/>
  <c r="S3641" i="34"/>
  <c r="Q3641" i="34"/>
  <c r="R3641" i="34"/>
  <c r="S3645" i="34"/>
  <c r="Q3645" i="34"/>
  <c r="R3645" i="34"/>
  <c r="S3650" i="34"/>
  <c r="Q3650" i="34"/>
  <c r="R3650" i="34"/>
  <c r="Q3666" i="34"/>
  <c r="R3666" i="34"/>
  <c r="S3666" i="34"/>
  <c r="S3695" i="34"/>
  <c r="Q3695" i="34"/>
  <c r="R3695" i="34"/>
  <c r="S3708" i="34"/>
  <c r="Q3708" i="34"/>
  <c r="R3708" i="34"/>
  <c r="Q2584" i="34"/>
  <c r="R2584" i="34"/>
  <c r="S2584" i="34"/>
  <c r="Q3575" i="34"/>
  <c r="R3575" i="34"/>
  <c r="S3575" i="34"/>
  <c r="Q3579" i="34"/>
  <c r="R3579" i="34"/>
  <c r="S3579" i="34"/>
  <c r="Q3589" i="34"/>
  <c r="R3589" i="34"/>
  <c r="S3589" i="34"/>
  <c r="Q3593" i="34"/>
  <c r="R3593" i="34"/>
  <c r="S3593" i="34"/>
  <c r="Q3597" i="34"/>
  <c r="R3597" i="34"/>
  <c r="S3597" i="34"/>
  <c r="Q3601" i="34"/>
  <c r="R3601" i="34"/>
  <c r="S3601" i="34"/>
  <c r="S2723" i="34"/>
  <c r="Q2723" i="34"/>
  <c r="R2723" i="34"/>
  <c r="R3653" i="34"/>
  <c r="S3653" i="34"/>
  <c r="Q3653" i="34"/>
  <c r="R3690" i="34"/>
  <c r="S3690" i="34"/>
  <c r="Q3690" i="34"/>
  <c r="S2689" i="34"/>
  <c r="Q2689" i="34"/>
  <c r="R2689" i="34"/>
  <c r="S2693" i="34"/>
  <c r="Q2693" i="34"/>
  <c r="R2693" i="34"/>
  <c r="S2697" i="34"/>
  <c r="Q2697" i="34"/>
  <c r="R2697" i="34"/>
  <c r="S2701" i="34"/>
  <c r="Q2701" i="34"/>
  <c r="R2701" i="34"/>
  <c r="S2705" i="34"/>
  <c r="Q2705" i="34"/>
  <c r="R2705" i="34"/>
  <c r="Q2710" i="34"/>
  <c r="R2710" i="34"/>
  <c r="S2710" i="34"/>
  <c r="Q2714" i="34"/>
  <c r="R2714" i="34"/>
  <c r="S2714" i="34"/>
  <c r="Q2718" i="34"/>
  <c r="R2718" i="34"/>
  <c r="S2718" i="34"/>
  <c r="Q2722" i="34"/>
  <c r="R2722" i="34"/>
  <c r="S2722" i="34"/>
  <c r="Q2728" i="34"/>
  <c r="R2728" i="34"/>
  <c r="S2728" i="34"/>
  <c r="Q2732" i="34"/>
  <c r="R2732" i="34"/>
  <c r="S2732" i="34"/>
  <c r="S2737" i="34"/>
  <c r="Q2737" i="34"/>
  <c r="R2737" i="34"/>
  <c r="S2741" i="34"/>
  <c r="Q2741" i="34"/>
  <c r="R2741" i="34"/>
  <c r="S2745" i="34"/>
  <c r="Q2745" i="34"/>
  <c r="R2745" i="34"/>
  <c r="S2749" i="34"/>
  <c r="Q2749" i="34"/>
  <c r="R2749" i="34"/>
  <c r="S2753" i="34"/>
  <c r="Q2753" i="34"/>
  <c r="R2753" i="34"/>
  <c r="S2757" i="34"/>
  <c r="Q2757" i="34"/>
  <c r="R2757" i="34"/>
  <c r="S2761" i="34"/>
  <c r="Q2761" i="34"/>
  <c r="R2761" i="34"/>
  <c r="S2765" i="34"/>
  <c r="Q2765" i="34"/>
  <c r="R2765" i="34"/>
  <c r="Q2590" i="34"/>
  <c r="R2590" i="34"/>
  <c r="S2590" i="34"/>
  <c r="R108" i="34"/>
  <c r="S108" i="34"/>
  <c r="Q108" i="34"/>
  <c r="R112" i="34"/>
  <c r="S112" i="34"/>
  <c r="Q112" i="34"/>
  <c r="R116" i="34"/>
  <c r="S116" i="34"/>
  <c r="Q116" i="34"/>
  <c r="R120" i="34"/>
  <c r="S120" i="34"/>
  <c r="Q120" i="34"/>
  <c r="R1012" i="34"/>
  <c r="S1012" i="34"/>
  <c r="Q1012" i="34"/>
  <c r="R1016" i="34"/>
  <c r="S1016" i="34"/>
  <c r="Q1016" i="34"/>
  <c r="R1020" i="34"/>
  <c r="S1020" i="34"/>
  <c r="Q1020" i="34"/>
  <c r="R1024" i="34"/>
  <c r="S1024" i="34"/>
  <c r="Q1024" i="34"/>
  <c r="R1028" i="34"/>
  <c r="S1028" i="34"/>
  <c r="Q1028" i="34"/>
  <c r="Q341" i="34"/>
  <c r="R341" i="34"/>
  <c r="S341" i="34"/>
  <c r="Q345" i="34"/>
  <c r="R345" i="34"/>
  <c r="S345" i="34"/>
  <c r="Q349" i="34"/>
  <c r="R349" i="34"/>
  <c r="S349" i="34"/>
  <c r="Q353" i="34"/>
  <c r="R353" i="34"/>
  <c r="S353" i="34"/>
  <c r="Q357" i="34"/>
  <c r="R357" i="34"/>
  <c r="S357" i="34"/>
  <c r="Q361" i="34"/>
  <c r="R361" i="34"/>
  <c r="S361" i="34"/>
  <c r="Q365" i="34"/>
  <c r="R365" i="34"/>
  <c r="S365" i="34"/>
  <c r="Q369" i="34"/>
  <c r="R369" i="34"/>
  <c r="S369" i="34"/>
  <c r="S373" i="34"/>
  <c r="Q373" i="34"/>
  <c r="R373" i="34"/>
  <c r="Q1053" i="34"/>
  <c r="R1053" i="34"/>
  <c r="S1053" i="34"/>
  <c r="Q1057" i="34"/>
  <c r="R1057" i="34"/>
  <c r="S1057" i="34"/>
  <c r="Q1061" i="34"/>
  <c r="R1061" i="34"/>
  <c r="S1061" i="34"/>
  <c r="Q1065" i="34"/>
  <c r="R1065" i="34"/>
  <c r="S1065" i="34"/>
  <c r="Q1069" i="34"/>
  <c r="R1069" i="34"/>
  <c r="S1069" i="34"/>
  <c r="Q1073" i="34"/>
  <c r="R1073" i="34"/>
  <c r="S1073" i="34"/>
  <c r="Q1077" i="34"/>
  <c r="R1077" i="34"/>
  <c r="S1077" i="34"/>
  <c r="Q1081" i="34"/>
  <c r="R1081" i="34"/>
  <c r="S1081" i="34"/>
  <c r="Q1085" i="34"/>
  <c r="R1085" i="34"/>
  <c r="S1085" i="34"/>
  <c r="Q1089" i="34"/>
  <c r="R1089" i="34"/>
  <c r="S1089" i="34"/>
  <c r="Q1093" i="34"/>
  <c r="R1093" i="34"/>
  <c r="S1093" i="34"/>
  <c r="Q3725" i="34"/>
  <c r="R3725" i="34"/>
  <c r="S3725" i="34"/>
  <c r="S3835" i="34"/>
  <c r="Q3835" i="34"/>
  <c r="R3835" i="34"/>
  <c r="R3701" i="34"/>
  <c r="S3701" i="34"/>
  <c r="Q3701" i="34"/>
  <c r="R3728" i="34"/>
  <c r="S3728" i="34"/>
  <c r="Q3728" i="34"/>
  <c r="R3745" i="34"/>
  <c r="S3745" i="34"/>
  <c r="Q3745" i="34"/>
  <c r="R3750" i="34"/>
  <c r="S3750" i="34"/>
  <c r="Q3750" i="34"/>
  <c r="R3784" i="34"/>
  <c r="S3784" i="34"/>
  <c r="Q3784" i="34"/>
  <c r="R3799" i="34"/>
  <c r="S3799" i="34"/>
  <c r="Q3799" i="34"/>
  <c r="Q3811" i="34"/>
  <c r="R3811" i="34"/>
  <c r="S3811" i="34"/>
  <c r="Q3813" i="34"/>
  <c r="R3813" i="34"/>
  <c r="S3813" i="34"/>
  <c r="Q3826" i="34"/>
  <c r="R3826" i="34"/>
  <c r="S3826" i="34"/>
  <c r="Q3837" i="34"/>
  <c r="R3837" i="34"/>
  <c r="S3837" i="34"/>
  <c r="Q3842" i="34"/>
  <c r="R3842" i="34"/>
  <c r="S3842" i="34"/>
  <c r="Q3849" i="34"/>
  <c r="R3849" i="34"/>
  <c r="S3849" i="34"/>
  <c r="R3852" i="34"/>
  <c r="S3852" i="34"/>
  <c r="Q3852" i="34"/>
  <c r="S3821" i="34"/>
  <c r="R3821" i="34"/>
  <c r="Q3821" i="34"/>
  <c r="Q2772" i="34"/>
  <c r="R2772" i="34"/>
  <c r="S2772" i="34"/>
  <c r="Q2776" i="34"/>
  <c r="R2776" i="34"/>
  <c r="S2776" i="34"/>
  <c r="S2781" i="34"/>
  <c r="Q2781" i="34"/>
  <c r="R2781" i="34"/>
  <c r="S2785" i="34"/>
  <c r="Q2785" i="34"/>
  <c r="R2785" i="34"/>
  <c r="S2789" i="34"/>
  <c r="Q2789" i="34"/>
  <c r="R2789" i="34"/>
  <c r="Q2792" i="34"/>
  <c r="R2792" i="34"/>
  <c r="S2792" i="34"/>
  <c r="Q2796" i="34"/>
  <c r="R2796" i="34"/>
  <c r="S2796" i="34"/>
  <c r="Q2800" i="34"/>
  <c r="R2800" i="34"/>
  <c r="S2800" i="34"/>
  <c r="Q3720" i="34"/>
  <c r="R3720" i="34"/>
  <c r="S3720" i="34"/>
  <c r="R3751" i="34"/>
  <c r="S3751" i="34"/>
  <c r="Q3751" i="34"/>
  <c r="R3755" i="34"/>
  <c r="S3755" i="34"/>
  <c r="Q3755" i="34"/>
  <c r="R3792" i="34"/>
  <c r="S3792" i="34"/>
  <c r="Q3792" i="34"/>
  <c r="R3796" i="34"/>
  <c r="S3796" i="34"/>
  <c r="Q3796" i="34"/>
  <c r="R3816" i="34"/>
  <c r="S3816" i="34"/>
  <c r="Q3816" i="34"/>
  <c r="R3820" i="34"/>
  <c r="S3820" i="34"/>
  <c r="Q3820" i="34"/>
  <c r="Q3717" i="34"/>
  <c r="R3717" i="34"/>
  <c r="S3717" i="34"/>
  <c r="S3760" i="34"/>
  <c r="Q3760" i="34"/>
  <c r="R3760" i="34"/>
  <c r="S3764" i="34"/>
  <c r="Q3764" i="34"/>
  <c r="R3764" i="34"/>
  <c r="S3768" i="34"/>
  <c r="Q3768" i="34"/>
  <c r="R3768" i="34"/>
  <c r="S3772" i="34"/>
  <c r="Q3772" i="34"/>
  <c r="R3772" i="34"/>
  <c r="S3776" i="34"/>
  <c r="Q3776" i="34"/>
  <c r="R3776" i="34"/>
  <c r="S3790" i="34"/>
  <c r="Q3790" i="34"/>
  <c r="R3790" i="34"/>
  <c r="S3802" i="34"/>
  <c r="Q3802" i="34"/>
  <c r="R3802" i="34"/>
  <c r="S3833" i="34"/>
  <c r="Q3833" i="34"/>
  <c r="R3833" i="34"/>
  <c r="S3829" i="34"/>
  <c r="Q3829" i="34"/>
  <c r="R3829" i="34"/>
  <c r="S3840" i="34"/>
  <c r="Q3840" i="34"/>
  <c r="R3840" i="34"/>
  <c r="Q38" i="34"/>
  <c r="R38" i="34"/>
  <c r="S38" i="34"/>
  <c r="Q127" i="34"/>
  <c r="R127" i="34"/>
  <c r="S127" i="34"/>
  <c r="Q131" i="34"/>
  <c r="R131" i="34"/>
  <c r="S131" i="34"/>
  <c r="Q135" i="34"/>
  <c r="R135" i="34"/>
  <c r="S135" i="34"/>
  <c r="Q1144" i="34"/>
  <c r="R1144" i="34"/>
  <c r="S1144" i="34"/>
  <c r="Q1148" i="34"/>
  <c r="R1148" i="34"/>
  <c r="S1148" i="34"/>
  <c r="Q1152" i="34"/>
  <c r="R1152" i="34"/>
  <c r="S1152" i="34"/>
  <c r="Q1156" i="34"/>
  <c r="R1156" i="34"/>
  <c r="S1156" i="34"/>
  <c r="Q1160" i="34"/>
  <c r="R1160" i="34"/>
  <c r="S1160" i="34"/>
  <c r="S377" i="34"/>
  <c r="Q377" i="34"/>
  <c r="R377" i="34"/>
  <c r="S381" i="34"/>
  <c r="Q381" i="34"/>
  <c r="R381" i="34"/>
  <c r="S385" i="34"/>
  <c r="Q385" i="34"/>
  <c r="R385" i="34"/>
  <c r="S389" i="34"/>
  <c r="Q389" i="34"/>
  <c r="R389" i="34"/>
  <c r="S393" i="34"/>
  <c r="Q393" i="34"/>
  <c r="R393" i="34"/>
  <c r="S397" i="34"/>
  <c r="Q397" i="34"/>
  <c r="R397" i="34"/>
  <c r="S401" i="34"/>
  <c r="Q401" i="34"/>
  <c r="R401" i="34"/>
  <c r="S405" i="34"/>
  <c r="Q405" i="34"/>
  <c r="R405" i="34"/>
  <c r="Q1188" i="34"/>
  <c r="R1188" i="34"/>
  <c r="S1188" i="34"/>
  <c r="Q1192" i="34"/>
  <c r="R1192" i="34"/>
  <c r="S1192" i="34"/>
  <c r="Q1196" i="34"/>
  <c r="R1196" i="34"/>
  <c r="S1196" i="34"/>
  <c r="Q1202" i="34"/>
  <c r="R1202" i="34"/>
  <c r="S1202" i="34"/>
  <c r="Q1206" i="34"/>
  <c r="R1206" i="34"/>
  <c r="S1206" i="34"/>
  <c r="Q1210" i="34"/>
  <c r="R1210" i="34"/>
  <c r="S1210" i="34"/>
  <c r="Q1214" i="34"/>
  <c r="R1214" i="34"/>
  <c r="S1214" i="34"/>
  <c r="Q3861" i="34"/>
  <c r="R3861" i="34"/>
  <c r="S3861" i="34"/>
  <c r="R3942" i="34"/>
  <c r="S3942" i="34"/>
  <c r="Q3942" i="34"/>
  <c r="R3994" i="34"/>
  <c r="S3994" i="34"/>
  <c r="Q3994" i="34"/>
  <c r="S3867" i="34"/>
  <c r="Q3867" i="34"/>
  <c r="R3867" i="34"/>
  <c r="S4835" i="34"/>
  <c r="Q4835" i="34"/>
  <c r="R4835" i="34"/>
  <c r="S3865" i="34"/>
  <c r="Q3865" i="34"/>
  <c r="R3865" i="34"/>
  <c r="R3879" i="34"/>
  <c r="S3879" i="34"/>
  <c r="Q3879" i="34"/>
  <c r="Q3906" i="34"/>
  <c r="R3906" i="34"/>
  <c r="S3906" i="34"/>
  <c r="Q3910" i="34"/>
  <c r="R3910" i="34"/>
  <c r="S3910" i="34"/>
  <c r="Q3915" i="34"/>
  <c r="R3915" i="34"/>
  <c r="S3915" i="34"/>
  <c r="Q3917" i="34"/>
  <c r="R3917" i="34"/>
  <c r="S3917" i="34"/>
  <c r="Q3921" i="34"/>
  <c r="R3921" i="34"/>
  <c r="S3921" i="34"/>
  <c r="Q3926" i="34"/>
  <c r="R3926" i="34"/>
  <c r="S3926" i="34"/>
  <c r="Q3930" i="34"/>
  <c r="R3930" i="34"/>
  <c r="S3930" i="34"/>
  <c r="Q3936" i="34"/>
  <c r="R3936" i="34"/>
  <c r="S3936" i="34"/>
  <c r="S3943" i="34"/>
  <c r="Q3943" i="34"/>
  <c r="R3943" i="34"/>
  <c r="S3961" i="34"/>
  <c r="Q3961" i="34"/>
  <c r="R3961" i="34"/>
  <c r="S3973" i="34"/>
  <c r="Q3973" i="34"/>
  <c r="R3973" i="34"/>
  <c r="S3977" i="34"/>
  <c r="Q3977" i="34"/>
  <c r="R3977" i="34"/>
  <c r="S3981" i="34"/>
  <c r="Q3981" i="34"/>
  <c r="R3981" i="34"/>
  <c r="Q3989" i="34"/>
  <c r="R3989" i="34"/>
  <c r="S3989" i="34"/>
  <c r="S4022" i="34"/>
  <c r="Q4022" i="34"/>
  <c r="R4022" i="34"/>
  <c r="S4026" i="34"/>
  <c r="Q4026" i="34"/>
  <c r="R4026" i="34"/>
  <c r="S2805" i="34"/>
  <c r="Q2805" i="34"/>
  <c r="R2805" i="34"/>
  <c r="R3874" i="34"/>
  <c r="S3874" i="34"/>
  <c r="Q3874" i="34"/>
  <c r="R3882" i="34"/>
  <c r="S3882" i="34"/>
  <c r="Q3882" i="34"/>
  <c r="R3886" i="34"/>
  <c r="S3886" i="34"/>
  <c r="Q3886" i="34"/>
  <c r="R3890" i="34"/>
  <c r="S3890" i="34"/>
  <c r="Q3890" i="34"/>
  <c r="R3894" i="34"/>
  <c r="S3894" i="34"/>
  <c r="Q3894" i="34"/>
  <c r="R3898" i="34"/>
  <c r="S3898" i="34"/>
  <c r="Q3898" i="34"/>
  <c r="R3902" i="34"/>
  <c r="S3902" i="34"/>
  <c r="Q3902" i="34"/>
  <c r="R3937" i="34"/>
  <c r="S3937" i="34"/>
  <c r="Q3937" i="34"/>
  <c r="Q3946" i="34"/>
  <c r="R3946" i="34"/>
  <c r="S3946" i="34"/>
  <c r="Q3950" i="34"/>
  <c r="R3950" i="34"/>
  <c r="S3950" i="34"/>
  <c r="Q3954" i="34"/>
  <c r="R3954" i="34"/>
  <c r="S3954" i="34"/>
  <c r="Q3958" i="34"/>
  <c r="R3958" i="34"/>
  <c r="S3958" i="34"/>
  <c r="R3969" i="34"/>
  <c r="S3969" i="34"/>
  <c r="Q3969" i="34"/>
  <c r="R3971" i="34"/>
  <c r="S3971" i="34"/>
  <c r="Q3971" i="34"/>
  <c r="Q3987" i="34"/>
  <c r="R3987" i="34"/>
  <c r="S3987" i="34"/>
  <c r="R3998" i="34"/>
  <c r="S3998" i="34"/>
  <c r="Q3998" i="34"/>
  <c r="R4002" i="34"/>
  <c r="S4002" i="34"/>
  <c r="Q4002" i="34"/>
  <c r="R4006" i="34"/>
  <c r="S4006" i="34"/>
  <c r="Q4006" i="34"/>
  <c r="R4010" i="34"/>
  <c r="S4010" i="34"/>
  <c r="Q4010" i="34"/>
  <c r="R4014" i="34"/>
  <c r="S4014" i="34"/>
  <c r="Q4014" i="34"/>
  <c r="R4018" i="34"/>
  <c r="S4018" i="34"/>
  <c r="Q4018" i="34"/>
  <c r="Q2806" i="34"/>
  <c r="R2806" i="34"/>
  <c r="S2806" i="34"/>
  <c r="S2811" i="34"/>
  <c r="Q2811" i="34"/>
  <c r="R2811" i="34"/>
  <c r="Q2814" i="34"/>
  <c r="R2814" i="34"/>
  <c r="S2814" i="34"/>
  <c r="Q2818" i="34"/>
  <c r="R2818" i="34"/>
  <c r="S2818" i="34"/>
  <c r="S2595" i="34"/>
  <c r="Q2595" i="34"/>
  <c r="R2595" i="34"/>
  <c r="Q2830" i="34"/>
  <c r="R2830" i="34"/>
  <c r="S2830" i="34"/>
  <c r="Q2834" i="34"/>
  <c r="R2834" i="34"/>
  <c r="S2834" i="34"/>
  <c r="Q2838" i="34"/>
  <c r="R2838" i="34"/>
  <c r="S2838" i="34"/>
  <c r="Q2842" i="34"/>
  <c r="R2842" i="34"/>
  <c r="S2842" i="34"/>
  <c r="Q2846" i="34"/>
  <c r="R2846" i="34"/>
  <c r="S2846" i="34"/>
  <c r="Q3878" i="34"/>
  <c r="R3878" i="34"/>
  <c r="S3878" i="34"/>
  <c r="Q2598" i="34"/>
  <c r="R2598" i="34"/>
  <c r="S2598" i="34"/>
  <c r="Q2602" i="34"/>
  <c r="R2602" i="34"/>
  <c r="S2602" i="34"/>
  <c r="Q2606" i="34"/>
  <c r="R2606" i="34"/>
  <c r="S2606" i="34"/>
  <c r="R41" i="34"/>
  <c r="S41" i="34"/>
  <c r="Q41" i="34"/>
  <c r="R142" i="34"/>
  <c r="S142" i="34"/>
  <c r="Q142" i="34"/>
  <c r="R146" i="34"/>
  <c r="S146" i="34"/>
  <c r="Q146" i="34"/>
  <c r="R150" i="34"/>
  <c r="S150" i="34"/>
  <c r="Q150" i="34"/>
  <c r="S1267" i="34"/>
  <c r="Q1267" i="34"/>
  <c r="R1267" i="34"/>
  <c r="S1271" i="34"/>
  <c r="Q1271" i="34"/>
  <c r="R1271" i="34"/>
  <c r="S1275" i="34"/>
  <c r="Q1275" i="34"/>
  <c r="R1275" i="34"/>
  <c r="S1279" i="34"/>
  <c r="Q1279" i="34"/>
  <c r="R1279" i="34"/>
  <c r="S1283" i="34"/>
  <c r="Q1283" i="34"/>
  <c r="R1283" i="34"/>
  <c r="S1287" i="34"/>
  <c r="Q1287" i="34"/>
  <c r="R1287" i="34"/>
  <c r="Q411" i="34"/>
  <c r="R411" i="34"/>
  <c r="S411" i="34"/>
  <c r="Q415" i="34"/>
  <c r="R415" i="34"/>
  <c r="S415" i="34"/>
  <c r="Q419" i="34"/>
  <c r="R419" i="34"/>
  <c r="S419" i="34"/>
  <c r="Q423" i="34"/>
  <c r="R423" i="34"/>
  <c r="S423" i="34"/>
  <c r="Q427" i="34"/>
  <c r="R427" i="34"/>
  <c r="S427" i="34"/>
  <c r="Q431" i="34"/>
  <c r="R431" i="34"/>
  <c r="S431" i="34"/>
  <c r="Q435" i="34"/>
  <c r="R435" i="34"/>
  <c r="S435" i="34"/>
  <c r="Q439" i="34"/>
  <c r="R439" i="34"/>
  <c r="S439" i="34"/>
  <c r="Q443" i="34"/>
  <c r="R443" i="34"/>
  <c r="S443" i="34"/>
  <c r="Q447" i="34"/>
  <c r="R447" i="34"/>
  <c r="S447" i="34"/>
  <c r="Q451" i="34"/>
  <c r="R451" i="34"/>
  <c r="S451" i="34"/>
  <c r="Q455" i="34"/>
  <c r="R455" i="34"/>
  <c r="S455" i="34"/>
  <c r="Q459" i="34"/>
  <c r="R459" i="34"/>
  <c r="S459" i="34"/>
  <c r="S1313" i="34"/>
  <c r="Q1313" i="34"/>
  <c r="R1313" i="34"/>
  <c r="S1317" i="34"/>
  <c r="Q1317" i="34"/>
  <c r="R1317" i="34"/>
  <c r="S1321" i="34"/>
  <c r="Q1321" i="34"/>
  <c r="R1321" i="34"/>
  <c r="S1323" i="34"/>
  <c r="Q1323" i="34"/>
  <c r="R1323" i="34"/>
  <c r="S1329" i="34"/>
  <c r="Q1329" i="34"/>
  <c r="R1329" i="34"/>
  <c r="S1333" i="34"/>
  <c r="Q1333" i="34"/>
  <c r="R1333" i="34"/>
  <c r="S1337" i="34"/>
  <c r="Q1337" i="34"/>
  <c r="R1337" i="34"/>
  <c r="S1341" i="34"/>
  <c r="Q1341" i="34"/>
  <c r="R1341" i="34"/>
  <c r="S1345" i="34"/>
  <c r="Q1345" i="34"/>
  <c r="R1345" i="34"/>
  <c r="S1349" i="34"/>
  <c r="Q1349" i="34"/>
  <c r="R1349" i="34"/>
  <c r="S1353" i="34"/>
  <c r="Q1353" i="34"/>
  <c r="R1353" i="34"/>
  <c r="S1357" i="34"/>
  <c r="Q1357" i="34"/>
  <c r="R1357" i="34"/>
  <c r="S1361" i="34"/>
  <c r="Q1361" i="34"/>
  <c r="R1361" i="34"/>
  <c r="S1365" i="34"/>
  <c r="Q1365" i="34"/>
  <c r="R1365" i="34"/>
  <c r="S1369" i="34"/>
  <c r="Q1369" i="34"/>
  <c r="R1369" i="34"/>
  <c r="R4131" i="34"/>
  <c r="S4131" i="34"/>
  <c r="Q4131" i="34"/>
  <c r="R4223" i="34"/>
  <c r="S4223" i="34"/>
  <c r="Q4223" i="34"/>
  <c r="S4036" i="34"/>
  <c r="Q4036" i="34"/>
  <c r="R4036" i="34"/>
  <c r="S4046" i="34"/>
  <c r="Q4046" i="34"/>
  <c r="R4046" i="34"/>
  <c r="S4051" i="34"/>
  <c r="Q4051" i="34"/>
  <c r="R4051" i="34"/>
  <c r="S4068" i="34"/>
  <c r="Q4068" i="34"/>
  <c r="R4068" i="34"/>
  <c r="S3739" i="34"/>
  <c r="Q3739" i="34"/>
  <c r="R3739" i="34"/>
  <c r="S4073" i="34"/>
  <c r="Q4073" i="34"/>
  <c r="R4073" i="34"/>
  <c r="S4076" i="34"/>
  <c r="Q4076" i="34"/>
  <c r="R4076" i="34"/>
  <c r="Q4084" i="34"/>
  <c r="R4084" i="34"/>
  <c r="S4084" i="34"/>
  <c r="Q4092" i="34"/>
  <c r="R4092" i="34"/>
  <c r="S4092" i="34"/>
  <c r="Q4096" i="34"/>
  <c r="R4096" i="34"/>
  <c r="S4096" i="34"/>
  <c r="Q4103" i="34"/>
  <c r="R4103" i="34"/>
  <c r="S4103" i="34"/>
  <c r="Q4085" i="34"/>
  <c r="R4085" i="34"/>
  <c r="S4085" i="34"/>
  <c r="Q4114" i="34"/>
  <c r="R4114" i="34"/>
  <c r="S4114" i="34"/>
  <c r="Q4137" i="34"/>
  <c r="R4137" i="34"/>
  <c r="S4137" i="34"/>
  <c r="Q4143" i="34"/>
  <c r="R4143" i="34"/>
  <c r="S4143" i="34"/>
  <c r="Q4154" i="34"/>
  <c r="R4154" i="34"/>
  <c r="S4154" i="34"/>
  <c r="Q4176" i="34"/>
  <c r="R4176" i="34"/>
  <c r="S4176" i="34"/>
  <c r="S4186" i="34"/>
  <c r="Q4186" i="34"/>
  <c r="R4186" i="34"/>
  <c r="S4195" i="34"/>
  <c r="Q4195" i="34"/>
  <c r="R4195" i="34"/>
  <c r="S4200" i="34"/>
  <c r="Q4200" i="34"/>
  <c r="R4200" i="34"/>
  <c r="S4213" i="34"/>
  <c r="Q4213" i="34"/>
  <c r="R4213" i="34"/>
  <c r="Q4216" i="34"/>
  <c r="R4216" i="34"/>
  <c r="S4216" i="34"/>
  <c r="Q4220" i="34"/>
  <c r="R4220" i="34"/>
  <c r="S4220" i="34"/>
  <c r="Q4038" i="34"/>
  <c r="R4038" i="34"/>
  <c r="S4038" i="34"/>
  <c r="Q4059" i="34"/>
  <c r="R4059" i="34"/>
  <c r="S4059" i="34"/>
  <c r="S4115" i="34"/>
  <c r="Q4115" i="34"/>
  <c r="R4115" i="34"/>
  <c r="S4119" i="34"/>
  <c r="Q4119" i="34"/>
  <c r="R4119" i="34"/>
  <c r="S4123" i="34"/>
  <c r="Q4123" i="34"/>
  <c r="R4123" i="34"/>
  <c r="S4127" i="34"/>
  <c r="Q4127" i="34"/>
  <c r="R4127" i="34"/>
  <c r="Q2852" i="34"/>
  <c r="R2852" i="34"/>
  <c r="S2852" i="34"/>
  <c r="R4049" i="34"/>
  <c r="S4049" i="34"/>
  <c r="Q4049" i="34"/>
  <c r="Q4064" i="34"/>
  <c r="R4064" i="34"/>
  <c r="S4064" i="34"/>
  <c r="Q4080" i="34"/>
  <c r="R4080" i="34"/>
  <c r="S4080" i="34"/>
  <c r="Q4129" i="34"/>
  <c r="R4129" i="34"/>
  <c r="S4129" i="34"/>
  <c r="R4139" i="34"/>
  <c r="S4139" i="34"/>
  <c r="Q4139" i="34"/>
  <c r="Q4148" i="34"/>
  <c r="R4148" i="34"/>
  <c r="S4148" i="34"/>
  <c r="R4163" i="34"/>
  <c r="S4163" i="34"/>
  <c r="Q4163" i="34"/>
  <c r="R4167" i="34"/>
  <c r="S4167" i="34"/>
  <c r="Q4167" i="34"/>
  <c r="R4171" i="34"/>
  <c r="S4171" i="34"/>
  <c r="Q4171" i="34"/>
  <c r="Q4178" i="34"/>
  <c r="R4178" i="34"/>
  <c r="S4178" i="34"/>
  <c r="Q4182" i="34"/>
  <c r="R4182" i="34"/>
  <c r="S4182" i="34"/>
  <c r="R4193" i="34"/>
  <c r="S4193" i="34"/>
  <c r="Q4193" i="34"/>
  <c r="R4204" i="34"/>
  <c r="S4204" i="34"/>
  <c r="Q4204" i="34"/>
  <c r="Q4210" i="34"/>
  <c r="R4210" i="34"/>
  <c r="S4210" i="34"/>
  <c r="Q2850" i="34"/>
  <c r="R2850" i="34"/>
  <c r="S2850" i="34"/>
  <c r="Q2858" i="34"/>
  <c r="R2858" i="34"/>
  <c r="S2858" i="34"/>
  <c r="S2863" i="34"/>
  <c r="Q2863" i="34"/>
  <c r="R2863" i="34"/>
  <c r="S2867" i="34"/>
  <c r="Q2867" i="34"/>
  <c r="R2867" i="34"/>
  <c r="S2875" i="34"/>
  <c r="Q2875" i="34"/>
  <c r="R2875" i="34"/>
  <c r="S2881" i="34"/>
  <c r="Q2881" i="34"/>
  <c r="R2881" i="34"/>
  <c r="S2901" i="34"/>
  <c r="Q2901" i="34"/>
  <c r="R2901" i="34"/>
  <c r="Q2904" i="34"/>
  <c r="R2904" i="34"/>
  <c r="S2904" i="34"/>
  <c r="Q2908" i="34"/>
  <c r="R2908" i="34"/>
  <c r="S2908" i="34"/>
  <c r="R45" i="34"/>
  <c r="S45" i="34"/>
  <c r="Q45" i="34"/>
  <c r="R160" i="34"/>
  <c r="S160" i="34"/>
  <c r="Q160" i="34"/>
  <c r="R164" i="34"/>
  <c r="Q164" i="34"/>
  <c r="S164" i="34"/>
  <c r="R168" i="34"/>
  <c r="S168" i="34"/>
  <c r="Q168" i="34"/>
  <c r="S1430" i="34"/>
  <c r="Q1430" i="34"/>
  <c r="R1430" i="34"/>
  <c r="S1434" i="34"/>
  <c r="Q1434" i="34"/>
  <c r="R1434" i="34"/>
  <c r="S1436" i="34"/>
  <c r="Q1436" i="34"/>
  <c r="R1436" i="34"/>
  <c r="Q1445" i="34"/>
  <c r="R1445" i="34"/>
  <c r="S1445" i="34"/>
  <c r="Q1443" i="34"/>
  <c r="R1443" i="34"/>
  <c r="S1443" i="34"/>
  <c r="S1450" i="34"/>
  <c r="Q1450" i="34"/>
  <c r="R1450" i="34"/>
  <c r="S1454" i="34"/>
  <c r="Q1454" i="34"/>
  <c r="R1454" i="34"/>
  <c r="S1458" i="34"/>
  <c r="Q1458" i="34"/>
  <c r="R1458" i="34"/>
  <c r="S1462" i="34"/>
  <c r="Q1462" i="34"/>
  <c r="R1462" i="34"/>
  <c r="S462" i="34"/>
  <c r="Q462" i="34"/>
  <c r="R462" i="34"/>
  <c r="S466" i="34"/>
  <c r="Q466" i="34"/>
  <c r="R466" i="34"/>
  <c r="S470" i="34"/>
  <c r="Q470" i="34"/>
  <c r="R470" i="34"/>
  <c r="S474" i="34"/>
  <c r="Q474" i="34"/>
  <c r="R474" i="34"/>
  <c r="S478" i="34"/>
  <c r="Q478" i="34"/>
  <c r="R478" i="34"/>
  <c r="S482" i="34"/>
  <c r="Q482" i="34"/>
  <c r="R482" i="34"/>
  <c r="S486" i="34"/>
  <c r="Q486" i="34"/>
  <c r="R486" i="34"/>
  <c r="S490" i="34"/>
  <c r="Q490" i="34"/>
  <c r="R490" i="34"/>
  <c r="S494" i="34"/>
  <c r="Q494" i="34"/>
  <c r="R494" i="34"/>
  <c r="S498" i="34"/>
  <c r="Q498" i="34"/>
  <c r="R498" i="34"/>
  <c r="S502" i="34"/>
  <c r="Q502" i="34"/>
  <c r="R502" i="34"/>
  <c r="S506" i="34"/>
  <c r="Q506" i="34"/>
  <c r="R506" i="34"/>
  <c r="S510" i="34"/>
  <c r="Q510" i="34"/>
  <c r="R510" i="34"/>
  <c r="Q1525" i="34"/>
  <c r="R1525" i="34"/>
  <c r="S1525" i="34"/>
  <c r="Q1529" i="34"/>
  <c r="R1529" i="34"/>
  <c r="S1529" i="34"/>
  <c r="Q1533" i="34"/>
  <c r="R1533" i="34"/>
  <c r="S1533" i="34"/>
  <c r="R1537" i="34"/>
  <c r="S1537" i="34"/>
  <c r="Q1537" i="34"/>
  <c r="R1541" i="34"/>
  <c r="S1541" i="34"/>
  <c r="Q1541" i="34"/>
  <c r="Q4267" i="34"/>
  <c r="R4267" i="34"/>
  <c r="S4267" i="34"/>
  <c r="S4319" i="34"/>
  <c r="Q4319" i="34"/>
  <c r="R4319" i="34"/>
  <c r="R4386" i="34"/>
  <c r="S4386" i="34"/>
  <c r="Q4386" i="34"/>
  <c r="S4110" i="34"/>
  <c r="Q4110" i="34"/>
  <c r="R4110" i="34"/>
  <c r="S4237" i="34"/>
  <c r="Q4237" i="34"/>
  <c r="R4237" i="34"/>
  <c r="S4241" i="34"/>
  <c r="Q4241" i="34"/>
  <c r="R4241" i="34"/>
  <c r="S4151" i="34"/>
  <c r="Q4151" i="34"/>
  <c r="R4151" i="34"/>
  <c r="S4246" i="34"/>
  <c r="Q4246" i="34"/>
  <c r="R4246" i="34"/>
  <c r="S4252" i="34"/>
  <c r="Q4252" i="34"/>
  <c r="R4252" i="34"/>
  <c r="S4857" i="34"/>
  <c r="Q4857" i="34"/>
  <c r="R4857" i="34"/>
  <c r="Q4289" i="34"/>
  <c r="R4289" i="34"/>
  <c r="S4289" i="34"/>
  <c r="Q4313" i="34"/>
  <c r="R4313" i="34"/>
  <c r="S4313" i="34"/>
  <c r="S3733" i="34"/>
  <c r="Q3733" i="34"/>
  <c r="R3733" i="34"/>
  <c r="S4326" i="34"/>
  <c r="Q4326" i="34"/>
  <c r="R4326" i="34"/>
  <c r="S4325" i="34"/>
  <c r="Q4325" i="34"/>
  <c r="R4325" i="34"/>
  <c r="S4379" i="34"/>
  <c r="Q4379" i="34"/>
  <c r="R4379" i="34"/>
  <c r="Q4296" i="34"/>
  <c r="R4296" i="34"/>
  <c r="S4296" i="34"/>
  <c r="S4332" i="34"/>
  <c r="Q4332" i="34"/>
  <c r="R4332" i="34"/>
  <c r="S4336" i="34"/>
  <c r="Q4336" i="34"/>
  <c r="R4336" i="34"/>
  <c r="Q4231" i="34"/>
  <c r="R4231" i="34"/>
  <c r="S4231" i="34"/>
  <c r="S4255" i="34"/>
  <c r="Q4255" i="34"/>
  <c r="R4255" i="34"/>
  <c r="Q4266" i="34"/>
  <c r="R4266" i="34"/>
  <c r="S4266" i="34"/>
  <c r="Q4275" i="34"/>
  <c r="R4275" i="34"/>
  <c r="S4275" i="34"/>
  <c r="Q4299" i="34"/>
  <c r="R4299" i="34"/>
  <c r="S4299" i="34"/>
  <c r="S4306" i="34"/>
  <c r="Q4306" i="34"/>
  <c r="R4306" i="34"/>
  <c r="Q4322" i="34"/>
  <c r="R4322" i="34"/>
  <c r="S4322" i="34"/>
  <c r="Q4341" i="34"/>
  <c r="R4341" i="34"/>
  <c r="S4341" i="34"/>
  <c r="Q4345" i="34"/>
  <c r="R4345" i="34"/>
  <c r="S4345" i="34"/>
  <c r="Q4376" i="34"/>
  <c r="R4376" i="34"/>
  <c r="S4376" i="34"/>
  <c r="Q4232" i="34"/>
  <c r="R4232" i="34"/>
  <c r="S4232" i="34"/>
  <c r="S2917" i="34"/>
  <c r="Q2917" i="34"/>
  <c r="R2917" i="34"/>
  <c r="R4262" i="34"/>
  <c r="S4262" i="34"/>
  <c r="Q4262" i="34"/>
  <c r="R4284" i="34"/>
  <c r="S4284" i="34"/>
  <c r="Q4284" i="34"/>
  <c r="R4288" i="34"/>
  <c r="S4288" i="34"/>
  <c r="Q4288" i="34"/>
  <c r="Q2926" i="34"/>
  <c r="R2926" i="34"/>
  <c r="S2926" i="34"/>
  <c r="Q4315" i="34"/>
  <c r="R4315" i="34"/>
  <c r="S4315" i="34"/>
  <c r="R4353" i="34"/>
  <c r="S4353" i="34"/>
  <c r="Q4353" i="34"/>
  <c r="R4357" i="34"/>
  <c r="S4357" i="34"/>
  <c r="Q4357" i="34"/>
  <c r="R4361" i="34"/>
  <c r="S4361" i="34"/>
  <c r="Q4361" i="34"/>
  <c r="R4365" i="34"/>
  <c r="S4365" i="34"/>
  <c r="Q4365" i="34"/>
  <c r="R4369" i="34"/>
  <c r="S4369" i="34"/>
  <c r="Q4369" i="34"/>
  <c r="Q4387" i="34"/>
  <c r="R4387" i="34"/>
  <c r="S4387" i="34"/>
  <c r="Q2918" i="34"/>
  <c r="R2918" i="34"/>
  <c r="S2918" i="34"/>
  <c r="Q2922" i="34"/>
  <c r="R2922" i="34"/>
  <c r="S2922" i="34"/>
  <c r="S2927" i="34"/>
  <c r="Q2927" i="34"/>
  <c r="R2927" i="34"/>
  <c r="Q2932" i="34"/>
  <c r="R2932" i="34"/>
  <c r="S2932" i="34"/>
  <c r="Q2936" i="34"/>
  <c r="R2936" i="34"/>
  <c r="S2936" i="34"/>
  <c r="Q2940" i="34"/>
  <c r="R2940" i="34"/>
  <c r="S2940" i="34"/>
  <c r="Q2944" i="34"/>
  <c r="R2944" i="34"/>
  <c r="S2944" i="34"/>
  <c r="Q2948" i="34"/>
  <c r="R2948" i="34"/>
  <c r="S2948" i="34"/>
  <c r="Q2952" i="34"/>
  <c r="R2952" i="34"/>
  <c r="S2952" i="34"/>
  <c r="Q2956" i="34"/>
  <c r="R2956" i="34"/>
  <c r="S2956" i="34"/>
  <c r="Q2960" i="34"/>
  <c r="R2960" i="34"/>
  <c r="S2960" i="34"/>
  <c r="Q2964" i="34"/>
  <c r="R2964" i="34"/>
  <c r="S2964" i="34"/>
  <c r="Q2610" i="34"/>
  <c r="R2610" i="34"/>
  <c r="S2610" i="34"/>
  <c r="Q4316" i="34"/>
  <c r="R4316" i="34"/>
  <c r="S4316" i="34"/>
  <c r="R51" i="34"/>
  <c r="S51" i="34"/>
  <c r="Q51" i="34"/>
  <c r="Q192" i="34"/>
  <c r="R192" i="34"/>
  <c r="S192" i="34"/>
  <c r="Q196" i="34"/>
  <c r="R196" i="34"/>
  <c r="S196" i="34"/>
  <c r="Q200" i="34"/>
  <c r="R200" i="34"/>
  <c r="S200" i="34"/>
  <c r="Q1751" i="34"/>
  <c r="R1751" i="34"/>
  <c r="S1751" i="34"/>
  <c r="Q1755" i="34"/>
  <c r="R1755" i="34"/>
  <c r="S1755" i="34"/>
  <c r="Q1759" i="34"/>
  <c r="R1759" i="34"/>
  <c r="S1759" i="34"/>
  <c r="R564" i="34"/>
  <c r="S564" i="34"/>
  <c r="Q564" i="34"/>
  <c r="R568" i="34"/>
  <c r="S568" i="34"/>
  <c r="Q568" i="34"/>
  <c r="R572" i="34"/>
  <c r="S572" i="34"/>
  <c r="Q572" i="34"/>
  <c r="R576" i="34"/>
  <c r="S576" i="34"/>
  <c r="Q576" i="34"/>
  <c r="R580" i="34"/>
  <c r="S580" i="34"/>
  <c r="Q580" i="34"/>
  <c r="R584" i="34"/>
  <c r="S584" i="34"/>
  <c r="Q584" i="34"/>
  <c r="R588" i="34"/>
  <c r="S588" i="34"/>
  <c r="Q588" i="34"/>
  <c r="R592" i="34"/>
  <c r="S592" i="34"/>
  <c r="Q592" i="34"/>
  <c r="R596" i="34"/>
  <c r="S596" i="34"/>
  <c r="Q596" i="34"/>
  <c r="R600" i="34"/>
  <c r="S600" i="34"/>
  <c r="Q600" i="34"/>
  <c r="R604" i="34"/>
  <c r="S604" i="34"/>
  <c r="Q604" i="34"/>
  <c r="R1780" i="34"/>
  <c r="S1780" i="34"/>
  <c r="Q1780" i="34"/>
  <c r="R1784" i="34"/>
  <c r="S1784" i="34"/>
  <c r="Q1784" i="34"/>
  <c r="R1788" i="34"/>
  <c r="S1788" i="34"/>
  <c r="Q1788" i="34"/>
  <c r="R1792" i="34"/>
  <c r="S1792" i="34"/>
  <c r="Q1792" i="34"/>
  <c r="R1796" i="34"/>
  <c r="S1796" i="34"/>
  <c r="Q1796" i="34"/>
  <c r="R4645" i="34"/>
  <c r="S4645" i="34"/>
  <c r="Q4645" i="34"/>
  <c r="Q4749" i="34"/>
  <c r="R4749" i="34"/>
  <c r="S4749" i="34"/>
  <c r="S4597" i="34"/>
  <c r="Q4597" i="34"/>
  <c r="R4597" i="34"/>
  <c r="S4611" i="34"/>
  <c r="Q4611" i="34"/>
  <c r="R4611" i="34"/>
  <c r="S4632" i="34"/>
  <c r="Q4632" i="34"/>
  <c r="R4632" i="34"/>
  <c r="S4636" i="34"/>
  <c r="Q4636" i="34"/>
  <c r="R4636" i="34"/>
  <c r="S4643" i="34"/>
  <c r="Q4643" i="34"/>
  <c r="R4643" i="34"/>
  <c r="S4659" i="34"/>
  <c r="Q4659" i="34"/>
  <c r="R4659" i="34"/>
  <c r="S4667" i="34"/>
  <c r="Q4667" i="34"/>
  <c r="R4667" i="34"/>
  <c r="S4678" i="34"/>
  <c r="Q4678" i="34"/>
  <c r="R4678" i="34"/>
  <c r="S4683" i="34"/>
  <c r="Q4683" i="34"/>
  <c r="R4683" i="34"/>
  <c r="S4714" i="34"/>
  <c r="Q4714" i="34"/>
  <c r="R4714" i="34"/>
  <c r="S4712" i="34"/>
  <c r="Q4712" i="34"/>
  <c r="R4712" i="34"/>
  <c r="S4713" i="34"/>
  <c r="Q4713" i="34"/>
  <c r="R4713" i="34"/>
  <c r="S4723" i="34"/>
  <c r="Q4723" i="34"/>
  <c r="R4723" i="34"/>
  <c r="S4727" i="34"/>
  <c r="Q4727" i="34"/>
  <c r="R4727" i="34"/>
  <c r="S4732" i="34"/>
  <c r="Q4732" i="34"/>
  <c r="R4732" i="34"/>
  <c r="S4746" i="34"/>
  <c r="Q4746" i="34"/>
  <c r="R4746" i="34"/>
  <c r="S4771" i="34"/>
  <c r="Q4771" i="34"/>
  <c r="R4771" i="34"/>
  <c r="S4776" i="34"/>
  <c r="Q4776" i="34"/>
  <c r="R4776" i="34"/>
  <c r="S4779" i="34"/>
  <c r="Q4779" i="34"/>
  <c r="R4779" i="34"/>
  <c r="R4603" i="34"/>
  <c r="S4603" i="34"/>
  <c r="Q4603" i="34"/>
  <c r="R4607" i="34"/>
  <c r="S4607" i="34"/>
  <c r="Q4607" i="34"/>
  <c r="R4640" i="34"/>
  <c r="S4640" i="34"/>
  <c r="Q4640" i="34"/>
  <c r="Q4652" i="34"/>
  <c r="R4652" i="34"/>
  <c r="S4652" i="34"/>
  <c r="Q4656" i="34"/>
  <c r="R4656" i="34"/>
  <c r="S4656" i="34"/>
  <c r="Q4664" i="34"/>
  <c r="R4664" i="34"/>
  <c r="S4664" i="34"/>
  <c r="Q4672" i="34"/>
  <c r="R4672" i="34"/>
  <c r="S4672" i="34"/>
  <c r="R4675" i="34"/>
  <c r="S4675" i="34"/>
  <c r="Q4675" i="34"/>
  <c r="Q4698" i="34"/>
  <c r="R4698" i="34"/>
  <c r="S4698" i="34"/>
  <c r="R4701" i="34"/>
  <c r="S4701" i="34"/>
  <c r="Q4701" i="34"/>
  <c r="R4705" i="34"/>
  <c r="S4705" i="34"/>
  <c r="Q4705" i="34"/>
  <c r="R4709" i="34"/>
  <c r="S4709" i="34"/>
  <c r="Q4709" i="34"/>
  <c r="R4747" i="34"/>
  <c r="S4747" i="34"/>
  <c r="Q4747" i="34"/>
  <c r="R4756" i="34"/>
  <c r="S4756" i="34"/>
  <c r="Q4756" i="34"/>
  <c r="R4760" i="34"/>
  <c r="S4760" i="34"/>
  <c r="Q4760" i="34"/>
  <c r="Q3024" i="34"/>
  <c r="R3024" i="34"/>
  <c r="S3024" i="34"/>
  <c r="S3027" i="34"/>
  <c r="Q3027" i="34"/>
  <c r="R3027" i="34"/>
  <c r="Q3032" i="34"/>
  <c r="R3032" i="34"/>
  <c r="S3032" i="34"/>
  <c r="Q3036" i="34"/>
  <c r="R3036" i="34"/>
  <c r="S3036" i="34"/>
  <c r="Q3042" i="34"/>
  <c r="R3042" i="34"/>
  <c r="S3042" i="34"/>
  <c r="S3047" i="34"/>
  <c r="Q3047" i="34"/>
  <c r="R3047" i="34"/>
  <c r="S3051" i="34"/>
  <c r="Q3051" i="34"/>
  <c r="R3051" i="34"/>
  <c r="S3055" i="34"/>
  <c r="Q3055" i="34"/>
  <c r="R3055" i="34"/>
  <c r="S3059" i="34"/>
  <c r="Q3059" i="34"/>
  <c r="R3059" i="34"/>
  <c r="S3063" i="34"/>
  <c r="Q3063" i="34"/>
  <c r="R3063" i="34"/>
  <c r="Q2497" i="34"/>
  <c r="R2497" i="34"/>
  <c r="S2497" i="34"/>
  <c r="Q4612" i="34"/>
  <c r="R4612" i="34"/>
  <c r="S4612" i="34"/>
  <c r="Q4616" i="34"/>
  <c r="R4616" i="34"/>
  <c r="S4616" i="34"/>
  <c r="Q4620" i="34"/>
  <c r="R4620" i="34"/>
  <c r="S4620" i="34"/>
  <c r="S2496" i="34"/>
  <c r="Q2496" i="34"/>
  <c r="R2496" i="34"/>
  <c r="Q4742" i="34"/>
  <c r="R4742" i="34"/>
  <c r="S4742" i="34"/>
  <c r="S4785" i="34"/>
  <c r="Q4785" i="34"/>
  <c r="R4785" i="34"/>
  <c r="Q2499" i="34"/>
  <c r="R2499" i="34"/>
  <c r="S2499" i="34"/>
  <c r="R4650" i="34"/>
  <c r="Q4650" i="34"/>
  <c r="S4650" i="34"/>
  <c r="R4695" i="34"/>
  <c r="Q4695" i="34"/>
  <c r="S4695" i="34"/>
  <c r="S4649" i="34"/>
  <c r="Q4649" i="34"/>
  <c r="R4649" i="34"/>
  <c r="Q52" i="34"/>
  <c r="R52" i="34"/>
  <c r="S52" i="34"/>
  <c r="Q206" i="34"/>
  <c r="R206" i="34"/>
  <c r="S206" i="34"/>
  <c r="Q210" i="34"/>
  <c r="R210" i="34"/>
  <c r="S210" i="34"/>
  <c r="Q214" i="34"/>
  <c r="R214" i="34"/>
  <c r="S214" i="34"/>
  <c r="Q218" i="34"/>
  <c r="R218" i="34"/>
  <c r="S218" i="34"/>
  <c r="Q1826" i="34"/>
  <c r="R1826" i="34"/>
  <c r="S1826" i="34"/>
  <c r="Q1830" i="34"/>
  <c r="R1830" i="34"/>
  <c r="S1830" i="34"/>
  <c r="Q1834" i="34"/>
  <c r="R1834" i="34"/>
  <c r="S1834" i="34"/>
  <c r="Q1838" i="34"/>
  <c r="R1838" i="34"/>
  <c r="S1838" i="34"/>
  <c r="R1845" i="34"/>
  <c r="S1845" i="34"/>
  <c r="Q1845" i="34"/>
  <c r="R608" i="34"/>
  <c r="S608" i="34"/>
  <c r="Q608" i="34"/>
  <c r="R612" i="34"/>
  <c r="S612" i="34"/>
  <c r="Q612" i="34"/>
  <c r="R618" i="34"/>
  <c r="S618" i="34"/>
  <c r="Q618" i="34"/>
  <c r="R624" i="34"/>
  <c r="S624" i="34"/>
  <c r="Q624" i="34"/>
  <c r="R628" i="34"/>
  <c r="S628" i="34"/>
  <c r="Q628" i="34"/>
  <c r="R632" i="34"/>
  <c r="S632" i="34"/>
  <c r="Q632" i="34"/>
  <c r="R636" i="34"/>
  <c r="S636" i="34"/>
  <c r="Q636" i="34"/>
  <c r="R640" i="34"/>
  <c r="S640" i="34"/>
  <c r="Q640" i="34"/>
  <c r="R644" i="34"/>
  <c r="S644" i="34"/>
  <c r="Q644" i="34"/>
  <c r="R648" i="34"/>
  <c r="S648" i="34"/>
  <c r="Q648" i="34"/>
  <c r="R652" i="34"/>
  <c r="S652" i="34"/>
  <c r="Q652" i="34"/>
  <c r="R656" i="34"/>
  <c r="S656" i="34"/>
  <c r="Q656" i="34"/>
  <c r="R660" i="34"/>
  <c r="S660" i="34"/>
  <c r="Q660" i="34"/>
  <c r="R664" i="34"/>
  <c r="S664" i="34"/>
  <c r="Q664" i="34"/>
  <c r="R668" i="34"/>
  <c r="S668" i="34"/>
  <c r="Q668" i="34"/>
  <c r="R1899" i="34"/>
  <c r="S1899" i="34"/>
  <c r="Q1899" i="34"/>
  <c r="R1903" i="34"/>
  <c r="S1903" i="34"/>
  <c r="Q1903" i="34"/>
  <c r="R1907" i="34"/>
  <c r="S1907" i="34"/>
  <c r="Q1907" i="34"/>
  <c r="R1911" i="34"/>
  <c r="S1911" i="34"/>
  <c r="Q1911" i="34"/>
  <c r="R1915" i="34"/>
  <c r="S1915" i="34"/>
  <c r="Q1915" i="34"/>
  <c r="R1919" i="34"/>
  <c r="S1919" i="34"/>
  <c r="Q1919" i="34"/>
  <c r="R1923" i="34"/>
  <c r="S1923" i="34"/>
  <c r="Q1923" i="34"/>
  <c r="Q1933" i="34"/>
  <c r="R1933" i="34"/>
  <c r="S1933" i="34"/>
  <c r="Q1941" i="34"/>
  <c r="R1941" i="34"/>
  <c r="S1941" i="34"/>
  <c r="Q4842" i="34"/>
  <c r="R4842" i="34"/>
  <c r="S4842" i="34"/>
  <c r="R4958" i="34"/>
  <c r="S4958" i="34"/>
  <c r="Q4958" i="34"/>
  <c r="S4839" i="34"/>
  <c r="Q4839" i="34"/>
  <c r="R4839" i="34"/>
  <c r="Q4888" i="34"/>
  <c r="R4888" i="34"/>
  <c r="S4888" i="34"/>
  <c r="Q4943" i="34"/>
  <c r="R4943" i="34"/>
  <c r="S4943" i="34"/>
  <c r="Q4978" i="34"/>
  <c r="R4978" i="34"/>
  <c r="S4978" i="34"/>
  <c r="R4788" i="34"/>
  <c r="S4788" i="34"/>
  <c r="Q4788" i="34"/>
  <c r="R4792" i="34"/>
  <c r="S4792" i="34"/>
  <c r="Q4792" i="34"/>
  <c r="Q4822" i="34"/>
  <c r="R4822" i="34"/>
  <c r="S4822" i="34"/>
  <c r="R4786" i="34"/>
  <c r="Q4786" i="34"/>
  <c r="S4786" i="34"/>
  <c r="R4815" i="34"/>
  <c r="Q4815" i="34"/>
  <c r="S4815" i="34"/>
  <c r="R4819" i="34"/>
  <c r="Q4819" i="34"/>
  <c r="S4819" i="34"/>
  <c r="R4878" i="34"/>
  <c r="Q4878" i="34"/>
  <c r="S4878" i="34"/>
  <c r="R4882" i="34"/>
  <c r="Q4882" i="34"/>
  <c r="S4882" i="34"/>
  <c r="R4894" i="34"/>
  <c r="Q4894" i="34"/>
  <c r="S4894" i="34"/>
  <c r="S3073" i="34"/>
  <c r="Q3073" i="34"/>
  <c r="R3073" i="34"/>
  <c r="S3077" i="34"/>
  <c r="Q3077" i="34"/>
  <c r="R3077" i="34"/>
  <c r="Q3082" i="34"/>
  <c r="R3082" i="34"/>
  <c r="S3082" i="34"/>
  <c r="S3087" i="34"/>
  <c r="Q3087" i="34"/>
  <c r="R3087" i="34"/>
  <c r="Q3092" i="34"/>
  <c r="R3092" i="34"/>
  <c r="S3092" i="34"/>
  <c r="S3095" i="34"/>
  <c r="Q3095" i="34"/>
  <c r="R3095" i="34"/>
  <c r="S3099" i="34"/>
  <c r="Q3099" i="34"/>
  <c r="R3099" i="34"/>
  <c r="S2508" i="34"/>
  <c r="Q2508" i="34"/>
  <c r="R2508" i="34"/>
  <c r="Q76" i="34"/>
  <c r="R76" i="34"/>
  <c r="S76" i="34"/>
  <c r="Q80" i="34"/>
  <c r="R80" i="34"/>
  <c r="S80" i="34"/>
  <c r="Q84" i="34"/>
  <c r="R84" i="34"/>
  <c r="S84" i="34"/>
  <c r="Q88" i="34"/>
  <c r="R88" i="34"/>
  <c r="S88" i="34"/>
  <c r="R850" i="34"/>
  <c r="S850" i="34"/>
  <c r="Q850" i="34"/>
  <c r="R854" i="34"/>
  <c r="S854" i="34"/>
  <c r="Q854" i="34"/>
  <c r="R858" i="34"/>
  <c r="S858" i="34"/>
  <c r="Q858" i="34"/>
  <c r="Q2004" i="34"/>
  <c r="R2004" i="34"/>
  <c r="S2004" i="34"/>
  <c r="R288" i="34"/>
  <c r="S288" i="34"/>
  <c r="Q288" i="34"/>
  <c r="R292" i="34"/>
  <c r="S292" i="34"/>
  <c r="Q292" i="34"/>
  <c r="R296" i="34"/>
  <c r="S296" i="34"/>
  <c r="Q296" i="34"/>
  <c r="R300" i="34"/>
  <c r="S300" i="34"/>
  <c r="Q300" i="34"/>
  <c r="R304" i="34"/>
  <c r="S304" i="34"/>
  <c r="Q304" i="34"/>
  <c r="R308" i="34"/>
  <c r="S308" i="34"/>
  <c r="Q308" i="34"/>
  <c r="R312" i="34"/>
  <c r="S312" i="34"/>
  <c r="Q312" i="34"/>
  <c r="R316" i="34"/>
  <c r="S316" i="34"/>
  <c r="Q316" i="34"/>
  <c r="R320" i="34"/>
  <c r="S320" i="34"/>
  <c r="Q320" i="34"/>
  <c r="Q886" i="34"/>
  <c r="R886" i="34"/>
  <c r="S886" i="34"/>
  <c r="Q890" i="34"/>
  <c r="R890" i="34"/>
  <c r="S890" i="34"/>
  <c r="Q894" i="34"/>
  <c r="R894" i="34"/>
  <c r="S894" i="34"/>
  <c r="Q898" i="34"/>
  <c r="R898" i="34"/>
  <c r="S898" i="34"/>
  <c r="Q902" i="34"/>
  <c r="R902" i="34"/>
  <c r="S902" i="34"/>
  <c r="Q906" i="34"/>
  <c r="R906" i="34"/>
  <c r="S906" i="34"/>
  <c r="Q910" i="34"/>
  <c r="R910" i="34"/>
  <c r="S910" i="34"/>
  <c r="Q3501" i="34"/>
  <c r="R3501" i="34"/>
  <c r="S3501" i="34"/>
  <c r="Q3427" i="34"/>
  <c r="R3427" i="34"/>
  <c r="S3427" i="34"/>
  <c r="Q3431" i="34"/>
  <c r="R3431" i="34"/>
  <c r="S3431" i="34"/>
  <c r="R3435" i="34"/>
  <c r="S3435" i="34"/>
  <c r="Q3435" i="34"/>
  <c r="R3447" i="34"/>
  <c r="S3447" i="34"/>
  <c r="Q3447" i="34"/>
  <c r="R3451" i="34"/>
  <c r="S3451" i="34"/>
  <c r="Q3451" i="34"/>
  <c r="Q3475" i="34"/>
  <c r="R3475" i="34"/>
  <c r="S3475" i="34"/>
  <c r="Q3480" i="34"/>
  <c r="R3480" i="34"/>
  <c r="S3480" i="34"/>
  <c r="Q3484" i="34"/>
  <c r="R3484" i="34"/>
  <c r="S3484" i="34"/>
  <c r="Q3491" i="34"/>
  <c r="R3491" i="34"/>
  <c r="S3491" i="34"/>
  <c r="Q3498" i="34"/>
  <c r="R3498" i="34"/>
  <c r="S3498" i="34"/>
  <c r="Q3506" i="34"/>
  <c r="R3506" i="34"/>
  <c r="S3506" i="34"/>
  <c r="Q3534" i="34"/>
  <c r="R3534" i="34"/>
  <c r="S3534" i="34"/>
  <c r="Q3548" i="34"/>
  <c r="R3548" i="34"/>
  <c r="S3548" i="34"/>
  <c r="Q3563" i="34"/>
  <c r="R3563" i="34"/>
  <c r="S3563" i="34"/>
  <c r="R3439" i="34"/>
  <c r="S3439" i="34"/>
  <c r="Q3439" i="34"/>
  <c r="R3443" i="34"/>
  <c r="S3443" i="34"/>
  <c r="Q3443" i="34"/>
  <c r="Q3454" i="34"/>
  <c r="R3454" i="34"/>
  <c r="S3454" i="34"/>
  <c r="Q3488" i="34"/>
  <c r="R3488" i="34"/>
  <c r="S3488" i="34"/>
  <c r="Q3503" i="34"/>
  <c r="R3503" i="34"/>
  <c r="S3503" i="34"/>
  <c r="R3520" i="34"/>
  <c r="S3520" i="34"/>
  <c r="Q3520" i="34"/>
  <c r="R3524" i="34"/>
  <c r="S3524" i="34"/>
  <c r="Q3524" i="34"/>
  <c r="R3528" i="34"/>
  <c r="S3528" i="34"/>
  <c r="Q3528" i="34"/>
  <c r="R3536" i="34"/>
  <c r="S3536" i="34"/>
  <c r="Q3536" i="34"/>
  <c r="R3540" i="34"/>
  <c r="S3540" i="34"/>
  <c r="Q3540" i="34"/>
  <c r="R3544" i="34"/>
  <c r="S3544" i="34"/>
  <c r="Q3544" i="34"/>
  <c r="R3558" i="34"/>
  <c r="S3558" i="34"/>
  <c r="Q3558" i="34"/>
  <c r="S2655" i="34"/>
  <c r="Q2655" i="34"/>
  <c r="R2655" i="34"/>
  <c r="S2659" i="34"/>
  <c r="Q2659" i="34"/>
  <c r="R2659" i="34"/>
  <c r="S2665" i="34"/>
  <c r="Q2665" i="34"/>
  <c r="R2665" i="34"/>
  <c r="S2669" i="34"/>
  <c r="Q2669" i="34"/>
  <c r="R2669" i="34"/>
  <c r="S2673" i="34"/>
  <c r="Q2673" i="34"/>
  <c r="R2673" i="34"/>
  <c r="S2677" i="34"/>
  <c r="Q2677" i="34"/>
  <c r="R2677" i="34"/>
  <c r="S2681" i="34"/>
  <c r="Q2681" i="34"/>
  <c r="R2681" i="34"/>
  <c r="S2685" i="34"/>
  <c r="Q2685" i="34"/>
  <c r="R2685" i="34"/>
  <c r="Q3462" i="34"/>
  <c r="R3462" i="34"/>
  <c r="S3462" i="34"/>
  <c r="Q3466" i="34"/>
  <c r="R3466" i="34"/>
  <c r="S3466" i="34"/>
  <c r="Q3470" i="34"/>
  <c r="R3470" i="34"/>
  <c r="S3470" i="34"/>
  <c r="Q3512" i="34"/>
  <c r="R3512" i="34"/>
  <c r="S3512" i="34"/>
  <c r="Q3516" i="34"/>
  <c r="R3516" i="34"/>
  <c r="S3516" i="34"/>
  <c r="S2577" i="34"/>
  <c r="Q2577" i="34"/>
  <c r="R2577" i="34"/>
  <c r="S2581" i="34"/>
  <c r="Q2581" i="34"/>
  <c r="R2581" i="34"/>
  <c r="Q91" i="34"/>
  <c r="R91" i="34"/>
  <c r="S91" i="34"/>
  <c r="R672" i="34"/>
  <c r="S672" i="34"/>
  <c r="Q672" i="34"/>
  <c r="R676" i="34"/>
  <c r="S676" i="34"/>
  <c r="Q676" i="34"/>
  <c r="R1859" i="34"/>
  <c r="S1859" i="34"/>
  <c r="Q1859" i="34"/>
  <c r="R1863" i="34"/>
  <c r="S1863" i="34"/>
  <c r="Q1863" i="34"/>
  <c r="R1867" i="34"/>
  <c r="S1867" i="34"/>
  <c r="Q1867" i="34"/>
  <c r="R1865" i="34"/>
  <c r="S1865" i="34"/>
  <c r="Q1865" i="34"/>
  <c r="Q1860" i="34"/>
  <c r="R1860" i="34"/>
  <c r="S1860" i="34"/>
  <c r="Q703" i="34"/>
  <c r="R703" i="34"/>
  <c r="S703" i="34"/>
  <c r="Q5010" i="34"/>
  <c r="R5010" i="34"/>
  <c r="S5010" i="34"/>
  <c r="S4582" i="34"/>
  <c r="Q4582" i="34"/>
  <c r="R4582" i="34"/>
  <c r="Q4382" i="34"/>
  <c r="R4382" i="34"/>
  <c r="S4382" i="34"/>
  <c r="Q4270" i="34"/>
  <c r="R4270" i="34"/>
  <c r="S4270" i="34"/>
  <c r="Q3112" i="34"/>
  <c r="R3112" i="34"/>
  <c r="S3112" i="34"/>
  <c r="S3103" i="34"/>
  <c r="Q3103" i="34"/>
  <c r="R3103" i="34"/>
  <c r="R4922" i="34"/>
  <c r="S4922" i="34"/>
  <c r="Q4922" i="34"/>
  <c r="Q2092" i="34"/>
  <c r="R2092" i="34"/>
  <c r="S2092" i="34"/>
  <c r="R16" i="34"/>
  <c r="S16" i="34"/>
  <c r="Q16" i="34"/>
  <c r="R20" i="34"/>
  <c r="S20" i="34"/>
  <c r="Q20" i="34"/>
  <c r="Q28" i="34"/>
  <c r="R28" i="34"/>
  <c r="S28" i="34"/>
  <c r="Q32" i="34"/>
  <c r="R32" i="34"/>
  <c r="S32" i="34"/>
  <c r="R94" i="34"/>
  <c r="S94" i="34"/>
  <c r="Q94" i="34"/>
  <c r="R98" i="34"/>
  <c r="S98" i="34"/>
  <c r="Q98" i="34"/>
  <c r="R102" i="34"/>
  <c r="S102" i="34"/>
  <c r="Q102" i="34"/>
  <c r="R963" i="34"/>
  <c r="S963" i="34"/>
  <c r="Q963" i="34"/>
  <c r="R967" i="34"/>
  <c r="S967" i="34"/>
  <c r="Q967" i="34"/>
  <c r="Q327" i="34"/>
  <c r="R327" i="34"/>
  <c r="S327" i="34"/>
  <c r="Q331" i="34"/>
  <c r="R331" i="34"/>
  <c r="S331" i="34"/>
  <c r="Q335" i="34"/>
  <c r="R335" i="34"/>
  <c r="S335" i="34"/>
  <c r="Q974" i="34"/>
  <c r="R974" i="34"/>
  <c r="S974" i="34"/>
  <c r="Q978" i="34"/>
  <c r="R978" i="34"/>
  <c r="S978" i="34"/>
  <c r="Q982" i="34"/>
  <c r="R982" i="34"/>
  <c r="S982" i="34"/>
  <c r="Q3604" i="34"/>
  <c r="R3604" i="34"/>
  <c r="S3604" i="34"/>
  <c r="Q3669" i="34"/>
  <c r="R3669" i="34"/>
  <c r="S3669" i="34"/>
  <c r="Q3494" i="34"/>
  <c r="R3494" i="34"/>
  <c r="S3494" i="34"/>
  <c r="Q3568" i="34"/>
  <c r="R3568" i="34"/>
  <c r="S3568" i="34"/>
  <c r="Q3572" i="34"/>
  <c r="R3572" i="34"/>
  <c r="S3572" i="34"/>
  <c r="Q3574" i="34"/>
  <c r="R3574" i="34"/>
  <c r="S3574" i="34"/>
  <c r="Q3584" i="34"/>
  <c r="R3584" i="34"/>
  <c r="S3584" i="34"/>
  <c r="Q3607" i="34"/>
  <c r="R3607" i="34"/>
  <c r="S3607" i="34"/>
  <c r="Q3611" i="34"/>
  <c r="R3611" i="34"/>
  <c r="S3611" i="34"/>
  <c r="R3623" i="34"/>
  <c r="S3623" i="34"/>
  <c r="Q3623" i="34"/>
  <c r="R3627" i="34"/>
  <c r="S3627" i="34"/>
  <c r="Q3627" i="34"/>
  <c r="R3631" i="34"/>
  <c r="S3631" i="34"/>
  <c r="Q3631" i="34"/>
  <c r="R3636" i="34"/>
  <c r="S3636" i="34"/>
  <c r="Q3636" i="34"/>
  <c r="R3659" i="34"/>
  <c r="S3659" i="34"/>
  <c r="Q3659" i="34"/>
  <c r="R3672" i="34"/>
  <c r="S3672" i="34"/>
  <c r="Q3672" i="34"/>
  <c r="R3673" i="34"/>
  <c r="S3673" i="34"/>
  <c r="Q3673" i="34"/>
  <c r="R3680" i="34"/>
  <c r="S3680" i="34"/>
  <c r="Q3680" i="34"/>
  <c r="R3684" i="34"/>
  <c r="S3684" i="34"/>
  <c r="Q3684" i="34"/>
  <c r="Q3710" i="34"/>
  <c r="R3710" i="34"/>
  <c r="S3710" i="34"/>
  <c r="R3707" i="34"/>
  <c r="S3707" i="34"/>
  <c r="Q3707" i="34"/>
  <c r="Q3617" i="34"/>
  <c r="R3617" i="34"/>
  <c r="S3617" i="34"/>
  <c r="Q3642" i="34"/>
  <c r="R3642" i="34"/>
  <c r="S3642" i="34"/>
  <c r="Q3646" i="34"/>
  <c r="R3646" i="34"/>
  <c r="S3646" i="34"/>
  <c r="Q3651" i="34"/>
  <c r="R3651" i="34"/>
  <c r="S3651" i="34"/>
  <c r="S3667" i="34"/>
  <c r="Q3667" i="34"/>
  <c r="R3667" i="34"/>
  <c r="Q3696" i="34"/>
  <c r="R3696" i="34"/>
  <c r="S3696" i="34"/>
  <c r="Q3709" i="34"/>
  <c r="R3709" i="34"/>
  <c r="S3709" i="34"/>
  <c r="Q2586" i="34"/>
  <c r="R2586" i="34"/>
  <c r="S2586" i="34"/>
  <c r="R3576" i="34"/>
  <c r="S3576" i="34"/>
  <c r="Q3576" i="34"/>
  <c r="R3580" i="34"/>
  <c r="S3580" i="34"/>
  <c r="Q3580" i="34"/>
  <c r="R3590" i="34"/>
  <c r="S3590" i="34"/>
  <c r="Q3590" i="34"/>
  <c r="R3594" i="34"/>
  <c r="S3594" i="34"/>
  <c r="Q3594" i="34"/>
  <c r="R3598" i="34"/>
  <c r="S3598" i="34"/>
  <c r="Q3598" i="34"/>
  <c r="Q2706" i="34"/>
  <c r="R2706" i="34"/>
  <c r="S2706" i="34"/>
  <c r="Q3620" i="34"/>
  <c r="R3620" i="34"/>
  <c r="S3620" i="34"/>
  <c r="Q2724" i="34"/>
  <c r="R2724" i="34"/>
  <c r="S2724" i="34"/>
  <c r="Q3691" i="34"/>
  <c r="R3691" i="34"/>
  <c r="S3691" i="34"/>
  <c r="Q2690" i="34"/>
  <c r="R2690" i="34"/>
  <c r="S2690" i="34"/>
  <c r="Q2694" i="34"/>
  <c r="R2694" i="34"/>
  <c r="S2694" i="34"/>
  <c r="Q2698" i="34"/>
  <c r="R2698" i="34"/>
  <c r="S2698" i="34"/>
  <c r="Q2702" i="34"/>
  <c r="R2702" i="34"/>
  <c r="S2702" i="34"/>
  <c r="S2707" i="34"/>
  <c r="Q2707" i="34"/>
  <c r="R2707" i="34"/>
  <c r="S2711" i="34"/>
  <c r="Q2711" i="34"/>
  <c r="R2711" i="34"/>
  <c r="S2715" i="34"/>
  <c r="Q2715" i="34"/>
  <c r="R2715" i="34"/>
  <c r="S2719" i="34"/>
  <c r="Q2719" i="34"/>
  <c r="R2719" i="34"/>
  <c r="S2725" i="34"/>
  <c r="Q2725" i="34"/>
  <c r="R2725" i="34"/>
  <c r="S2729" i="34"/>
  <c r="Q2729" i="34"/>
  <c r="R2729" i="34"/>
  <c r="S2733" i="34"/>
  <c r="Q2733" i="34"/>
  <c r="R2733" i="34"/>
  <c r="Q2738" i="34"/>
  <c r="R2738" i="34"/>
  <c r="S2738" i="34"/>
  <c r="Q2742" i="34"/>
  <c r="R2742" i="34"/>
  <c r="S2742" i="34"/>
  <c r="Q2746" i="34"/>
  <c r="R2746" i="34"/>
  <c r="S2746" i="34"/>
  <c r="Q2750" i="34"/>
  <c r="R2750" i="34"/>
  <c r="S2750" i="34"/>
  <c r="Q2754" i="34"/>
  <c r="R2754" i="34"/>
  <c r="S2754" i="34"/>
  <c r="Q2758" i="34"/>
  <c r="R2758" i="34"/>
  <c r="S2758" i="34"/>
  <c r="Q2762" i="34"/>
  <c r="R2762" i="34"/>
  <c r="S2762" i="34"/>
  <c r="Q2766" i="34"/>
  <c r="R2766" i="34"/>
  <c r="S2766" i="34"/>
  <c r="Q34" i="34"/>
  <c r="R34" i="34"/>
  <c r="S34" i="34"/>
  <c r="Q109" i="34"/>
  <c r="R109" i="34"/>
  <c r="S109" i="34"/>
  <c r="Q113" i="34"/>
  <c r="R113" i="34"/>
  <c r="S113" i="34"/>
  <c r="Q117" i="34"/>
  <c r="R117" i="34"/>
  <c r="S117" i="34"/>
  <c r="Q121" i="34"/>
  <c r="R121" i="34"/>
  <c r="S121" i="34"/>
  <c r="Q1013" i="34"/>
  <c r="R1013" i="34"/>
  <c r="S1013" i="34"/>
  <c r="Q1017" i="34"/>
  <c r="R1017" i="34"/>
  <c r="S1017" i="34"/>
  <c r="Q1021" i="34"/>
  <c r="R1021" i="34"/>
  <c r="S1021" i="34"/>
  <c r="Q1025" i="34"/>
  <c r="R1025" i="34"/>
  <c r="S1025" i="34"/>
  <c r="Q1029" i="34"/>
  <c r="R1029" i="34"/>
  <c r="S1029" i="34"/>
  <c r="R342" i="34"/>
  <c r="S342" i="34"/>
  <c r="Q342" i="34"/>
  <c r="R346" i="34"/>
  <c r="S346" i="34"/>
  <c r="Q346" i="34"/>
  <c r="R350" i="34"/>
  <c r="S350" i="34"/>
  <c r="Q350" i="34"/>
  <c r="R354" i="34"/>
  <c r="S354" i="34"/>
  <c r="Q354" i="34"/>
  <c r="R358" i="34"/>
  <c r="S358" i="34"/>
  <c r="Q358" i="34"/>
  <c r="R362" i="34"/>
  <c r="S362" i="34"/>
  <c r="Q362" i="34"/>
  <c r="S366" i="34"/>
  <c r="Q366" i="34"/>
  <c r="R366" i="34"/>
  <c r="S370" i="34"/>
  <c r="Q370" i="34"/>
  <c r="R370" i="34"/>
  <c r="Q374" i="34"/>
  <c r="R374" i="34"/>
  <c r="S374" i="34"/>
  <c r="R1054" i="34"/>
  <c r="S1054" i="34"/>
  <c r="Q1054" i="34"/>
  <c r="R1058" i="34"/>
  <c r="S1058" i="34"/>
  <c r="Q1058" i="34"/>
  <c r="R1062" i="34"/>
  <c r="S1062" i="34"/>
  <c r="Q1062" i="34"/>
  <c r="R1066" i="34"/>
  <c r="S1066" i="34"/>
  <c r="Q1066" i="34"/>
  <c r="R1070" i="34"/>
  <c r="S1070" i="34"/>
  <c r="Q1070" i="34"/>
  <c r="R1074" i="34"/>
  <c r="S1074" i="34"/>
  <c r="Q1074" i="34"/>
  <c r="R1078" i="34"/>
  <c r="S1078" i="34"/>
  <c r="Q1078" i="34"/>
  <c r="R1082" i="34"/>
  <c r="S1082" i="34"/>
  <c r="Q1082" i="34"/>
  <c r="R1086" i="34"/>
  <c r="S1086" i="34"/>
  <c r="Q1086" i="34"/>
  <c r="R1090" i="34"/>
  <c r="S1090" i="34"/>
  <c r="Q1090" i="34"/>
  <c r="Q3719" i="34"/>
  <c r="R3719" i="34"/>
  <c r="S3719" i="34"/>
  <c r="Q3779" i="34"/>
  <c r="R3779" i="34"/>
  <c r="S3779" i="34"/>
  <c r="Q3716" i="34"/>
  <c r="R3716" i="34"/>
  <c r="S3716" i="34"/>
  <c r="Q3712" i="34"/>
  <c r="R3712" i="34"/>
  <c r="S3712" i="34"/>
  <c r="Q3729" i="34"/>
  <c r="R3729" i="34"/>
  <c r="S3729" i="34"/>
  <c r="Q3741" i="34"/>
  <c r="R3741" i="34"/>
  <c r="S3741" i="34"/>
  <c r="Q3746" i="34"/>
  <c r="R3746" i="34"/>
  <c r="S3746" i="34"/>
  <c r="Q3781" i="34"/>
  <c r="R3781" i="34"/>
  <c r="S3781" i="34"/>
  <c r="Q3785" i="34"/>
  <c r="R3785" i="34"/>
  <c r="S3785" i="34"/>
  <c r="Q3804" i="34"/>
  <c r="R3804" i="34"/>
  <c r="S3804" i="34"/>
  <c r="R3808" i="34"/>
  <c r="S3808" i="34"/>
  <c r="Q3808" i="34"/>
  <c r="R3814" i="34"/>
  <c r="S3814" i="34"/>
  <c r="Q3814" i="34"/>
  <c r="R3827" i="34"/>
  <c r="S3827" i="34"/>
  <c r="Q3827" i="34"/>
  <c r="R3838" i="34"/>
  <c r="S3838" i="34"/>
  <c r="Q3838" i="34"/>
  <c r="R3846" i="34"/>
  <c r="S3846" i="34"/>
  <c r="Q3846" i="34"/>
  <c r="R3850" i="34"/>
  <c r="S3850" i="34"/>
  <c r="Q3850" i="34"/>
  <c r="Q3853" i="34"/>
  <c r="R3853" i="34"/>
  <c r="S3853" i="34"/>
  <c r="Q3822" i="34"/>
  <c r="R3822" i="34"/>
  <c r="S3822" i="34"/>
  <c r="S2773" i="34"/>
  <c r="Q2773" i="34"/>
  <c r="R2773" i="34"/>
  <c r="Q2778" i="34"/>
  <c r="R2778" i="34"/>
  <c r="S2778" i="34"/>
  <c r="Q2782" i="34"/>
  <c r="R2782" i="34"/>
  <c r="S2782" i="34"/>
  <c r="Q2786" i="34"/>
  <c r="R2786" i="34"/>
  <c r="S2786" i="34"/>
  <c r="Q2790" i="34"/>
  <c r="R2790" i="34"/>
  <c r="S2790" i="34"/>
  <c r="S2793" i="34"/>
  <c r="Q2793" i="34"/>
  <c r="R2793" i="34"/>
  <c r="S2797" i="34"/>
  <c r="Q2797" i="34"/>
  <c r="R2797" i="34"/>
  <c r="S2801" i="34"/>
  <c r="Q2801" i="34"/>
  <c r="R2801" i="34"/>
  <c r="R3724" i="34"/>
  <c r="S3724" i="34"/>
  <c r="Q3724" i="34"/>
  <c r="Q3752" i="34"/>
  <c r="R3752" i="34"/>
  <c r="S3752" i="34"/>
  <c r="Q3756" i="34"/>
  <c r="R3756" i="34"/>
  <c r="S3756" i="34"/>
  <c r="Q3793" i="34"/>
  <c r="R3793" i="34"/>
  <c r="S3793" i="34"/>
  <c r="Q3797" i="34"/>
  <c r="R3797" i="34"/>
  <c r="S3797" i="34"/>
  <c r="Q3817" i="34"/>
  <c r="R3817" i="34"/>
  <c r="S3817" i="34"/>
  <c r="Q3825" i="34"/>
  <c r="R3825" i="34"/>
  <c r="S3825" i="34"/>
  <c r="S3718" i="34"/>
  <c r="Q3718" i="34"/>
  <c r="R3718" i="34"/>
  <c r="Q3761" i="34"/>
  <c r="R3761" i="34"/>
  <c r="S3761" i="34"/>
  <c r="Q3765" i="34"/>
  <c r="R3765" i="34"/>
  <c r="S3765" i="34"/>
  <c r="Q3769" i="34"/>
  <c r="R3769" i="34"/>
  <c r="S3769" i="34"/>
  <c r="Q3773" i="34"/>
  <c r="R3773" i="34"/>
  <c r="S3773" i="34"/>
  <c r="Q3777" i="34"/>
  <c r="R3777" i="34"/>
  <c r="S3777" i="34"/>
  <c r="Q3791" i="34"/>
  <c r="R3791" i="34"/>
  <c r="S3791" i="34"/>
  <c r="Q3803" i="34"/>
  <c r="R3803" i="34"/>
  <c r="S3803" i="34"/>
  <c r="Q3834" i="34"/>
  <c r="R3834" i="34"/>
  <c r="S3834" i="34"/>
  <c r="Q3830" i="34"/>
  <c r="R3830" i="34"/>
  <c r="S3830" i="34"/>
  <c r="Q3843" i="34"/>
  <c r="R3843" i="34"/>
  <c r="S3843" i="34"/>
  <c r="R39" i="34"/>
  <c r="S39" i="34"/>
  <c r="Q39" i="34"/>
  <c r="R128" i="34"/>
  <c r="S128" i="34"/>
  <c r="Q128" i="34"/>
  <c r="R132" i="34"/>
  <c r="S132" i="34"/>
  <c r="Q132" i="34"/>
  <c r="R136" i="34"/>
  <c r="S136" i="34"/>
  <c r="Q136" i="34"/>
  <c r="R1145" i="34"/>
  <c r="S1145" i="34"/>
  <c r="Q1145" i="34"/>
  <c r="R1149" i="34"/>
  <c r="S1149" i="34"/>
  <c r="Q1149" i="34"/>
  <c r="R1153" i="34"/>
  <c r="S1153" i="34"/>
  <c r="Q1153" i="34"/>
  <c r="R1157" i="34"/>
  <c r="S1157" i="34"/>
  <c r="Q1157" i="34"/>
  <c r="R1161" i="34"/>
  <c r="S1161" i="34"/>
  <c r="Q1161" i="34"/>
  <c r="Q378" i="34"/>
  <c r="R378" i="34"/>
  <c r="S378" i="34"/>
  <c r="Q382" i="34"/>
  <c r="R382" i="34"/>
  <c r="S382" i="34"/>
  <c r="Q386" i="34"/>
  <c r="R386" i="34"/>
  <c r="S386" i="34"/>
  <c r="Q390" i="34"/>
  <c r="R390" i="34"/>
  <c r="S390" i="34"/>
  <c r="Q394" i="34"/>
  <c r="R394" i="34"/>
  <c r="S394" i="34"/>
  <c r="Q398" i="34"/>
  <c r="R398" i="34"/>
  <c r="S398" i="34"/>
  <c r="Q402" i="34"/>
  <c r="R402" i="34"/>
  <c r="S402" i="34"/>
  <c r="Q406" i="34"/>
  <c r="R406" i="34"/>
  <c r="S406" i="34"/>
  <c r="S1189" i="34"/>
  <c r="Q1189" i="34"/>
  <c r="R1189" i="34"/>
  <c r="S1193" i="34"/>
  <c r="Q1193" i="34"/>
  <c r="R1193" i="34"/>
  <c r="S1197" i="34"/>
  <c r="Q1197" i="34"/>
  <c r="R1197" i="34"/>
  <c r="S1203" i="34"/>
  <c r="Q1203" i="34"/>
  <c r="R1203" i="34"/>
  <c r="S1207" i="34"/>
  <c r="Q1207" i="34"/>
  <c r="R1207" i="34"/>
  <c r="S1211" i="34"/>
  <c r="Q1211" i="34"/>
  <c r="R1211" i="34"/>
  <c r="S1215" i="34"/>
  <c r="Q1215" i="34"/>
  <c r="R1215" i="34"/>
  <c r="Q3876" i="34"/>
  <c r="R3876" i="34"/>
  <c r="S3876" i="34"/>
  <c r="Q3968" i="34"/>
  <c r="R3968" i="34"/>
  <c r="S3968" i="34"/>
  <c r="Q3995" i="34"/>
  <c r="R3995" i="34"/>
  <c r="S3995" i="34"/>
  <c r="Q3868" i="34"/>
  <c r="R3868" i="34"/>
  <c r="S3868" i="34"/>
  <c r="Q4836" i="34"/>
  <c r="R4836" i="34"/>
  <c r="S4836" i="34"/>
  <c r="Q3862" i="34"/>
  <c r="R3862" i="34"/>
  <c r="S3862" i="34"/>
  <c r="Q3866" i="34"/>
  <c r="R3866" i="34"/>
  <c r="S3866" i="34"/>
  <c r="S3877" i="34"/>
  <c r="Q3877" i="34"/>
  <c r="R3877" i="34"/>
  <c r="S3907" i="34"/>
  <c r="Q3907" i="34"/>
  <c r="R3907" i="34"/>
  <c r="S3912" i="34"/>
  <c r="Q3912" i="34"/>
  <c r="R3912" i="34"/>
  <c r="S3918" i="34"/>
  <c r="Q3918" i="34"/>
  <c r="R3918" i="34"/>
  <c r="S3923" i="34"/>
  <c r="Q3923" i="34"/>
  <c r="R3923" i="34"/>
  <c r="S3927" i="34"/>
  <c r="Q3927" i="34"/>
  <c r="R3927" i="34"/>
  <c r="S3933" i="34"/>
  <c r="Q3933" i="34"/>
  <c r="R3933" i="34"/>
  <c r="Q3944" i="34"/>
  <c r="R3944" i="34"/>
  <c r="S3944" i="34"/>
  <c r="Q3962" i="34"/>
  <c r="R3962" i="34"/>
  <c r="S3962" i="34"/>
  <c r="Q3974" i="34"/>
  <c r="R3974" i="34"/>
  <c r="S3974" i="34"/>
  <c r="Q3978" i="34"/>
  <c r="R3978" i="34"/>
  <c r="S3978" i="34"/>
  <c r="R3983" i="34"/>
  <c r="S3983" i="34"/>
  <c r="Q3983" i="34"/>
  <c r="S3990" i="34"/>
  <c r="Q3990" i="34"/>
  <c r="R3990" i="34"/>
  <c r="Q4023" i="34"/>
  <c r="R4023" i="34"/>
  <c r="S4023" i="34"/>
  <c r="Q4027" i="34"/>
  <c r="R4027" i="34"/>
  <c r="S4027" i="34"/>
  <c r="Q3871" i="34"/>
  <c r="R3871" i="34"/>
  <c r="S3871" i="34"/>
  <c r="Q3875" i="34"/>
  <c r="R3875" i="34"/>
  <c r="S3875" i="34"/>
  <c r="Q3883" i="34"/>
  <c r="R3883" i="34"/>
  <c r="S3883" i="34"/>
  <c r="Q3887" i="34"/>
  <c r="R3887" i="34"/>
  <c r="S3887" i="34"/>
  <c r="Q3891" i="34"/>
  <c r="R3891" i="34"/>
  <c r="S3891" i="34"/>
  <c r="Q3895" i="34"/>
  <c r="R3895" i="34"/>
  <c r="S3895" i="34"/>
  <c r="Q3899" i="34"/>
  <c r="R3899" i="34"/>
  <c r="S3899" i="34"/>
  <c r="Q3904" i="34"/>
  <c r="R3904" i="34"/>
  <c r="S3904" i="34"/>
  <c r="Q3938" i="34"/>
  <c r="R3938" i="34"/>
  <c r="S3938" i="34"/>
  <c r="R3947" i="34"/>
  <c r="S3947" i="34"/>
  <c r="Q3947" i="34"/>
  <c r="R3951" i="34"/>
  <c r="S3951" i="34"/>
  <c r="Q3951" i="34"/>
  <c r="R3955" i="34"/>
  <c r="S3955" i="34"/>
  <c r="Q3955" i="34"/>
  <c r="R3964" i="34"/>
  <c r="S3964" i="34"/>
  <c r="Q3964" i="34"/>
  <c r="Q3970" i="34"/>
  <c r="R3970" i="34"/>
  <c r="S3970" i="34"/>
  <c r="R3984" i="34"/>
  <c r="S3984" i="34"/>
  <c r="Q3984" i="34"/>
  <c r="R3991" i="34"/>
  <c r="S3991" i="34"/>
  <c r="Q3991" i="34"/>
  <c r="Q3999" i="34"/>
  <c r="R3999" i="34"/>
  <c r="S3999" i="34"/>
  <c r="Q4003" i="34"/>
  <c r="R4003" i="34"/>
  <c r="S4003" i="34"/>
  <c r="Q4007" i="34"/>
  <c r="R4007" i="34"/>
  <c r="S4007" i="34"/>
  <c r="Q4011" i="34"/>
  <c r="R4011" i="34"/>
  <c r="S4011" i="34"/>
  <c r="Q4015" i="34"/>
  <c r="R4015" i="34"/>
  <c r="S4015" i="34"/>
  <c r="Q4019" i="34"/>
  <c r="R4019" i="34"/>
  <c r="S4019" i="34"/>
  <c r="S2807" i="34"/>
  <c r="Q2807" i="34"/>
  <c r="R2807" i="34"/>
  <c r="S2813" i="34"/>
  <c r="Q2813" i="34"/>
  <c r="R2813" i="34"/>
  <c r="S2815" i="34"/>
  <c r="Q2815" i="34"/>
  <c r="R2815" i="34"/>
  <c r="S2819" i="34"/>
  <c r="Q2819" i="34"/>
  <c r="R2819" i="34"/>
  <c r="S2827" i="34"/>
  <c r="Q2827" i="34"/>
  <c r="R2827" i="34"/>
  <c r="S2831" i="34"/>
  <c r="Q2831" i="34"/>
  <c r="R2831" i="34"/>
  <c r="S2835" i="34"/>
  <c r="Q2835" i="34"/>
  <c r="R2835" i="34"/>
  <c r="S2839" i="34"/>
  <c r="Q2839" i="34"/>
  <c r="R2839" i="34"/>
  <c r="S2843" i="34"/>
  <c r="Q2843" i="34"/>
  <c r="R2843" i="34"/>
  <c r="S2847" i="34"/>
  <c r="Q2847" i="34"/>
  <c r="R2847" i="34"/>
  <c r="S3922" i="34"/>
  <c r="Q3922" i="34"/>
  <c r="R3922" i="34"/>
  <c r="S2599" i="34"/>
  <c r="Q2599" i="34"/>
  <c r="R2599" i="34"/>
  <c r="S2603" i="34"/>
  <c r="Q2603" i="34"/>
  <c r="R2603" i="34"/>
  <c r="S2607" i="34"/>
  <c r="Q2607" i="34"/>
  <c r="R2607" i="34"/>
  <c r="Q42" i="34"/>
  <c r="R42" i="34"/>
  <c r="S42" i="34"/>
  <c r="Q143" i="34"/>
  <c r="R143" i="34"/>
  <c r="S143" i="34"/>
  <c r="Q147" i="34"/>
  <c r="R147" i="34"/>
  <c r="S147" i="34"/>
  <c r="Q151" i="34"/>
  <c r="R151" i="34"/>
  <c r="S151" i="34"/>
  <c r="Q1268" i="34"/>
  <c r="R1268" i="34"/>
  <c r="S1268" i="34"/>
  <c r="Q1272" i="34"/>
  <c r="R1272" i="34"/>
  <c r="S1272" i="34"/>
  <c r="Q1276" i="34"/>
  <c r="R1276" i="34"/>
  <c r="S1276" i="34"/>
  <c r="Q1280" i="34"/>
  <c r="R1280" i="34"/>
  <c r="S1280" i="34"/>
  <c r="Q1284" i="34"/>
  <c r="R1284" i="34"/>
  <c r="S1284" i="34"/>
  <c r="Q1288" i="34"/>
  <c r="R1288" i="34"/>
  <c r="S1288" i="34"/>
  <c r="S412" i="34"/>
  <c r="Q412" i="34"/>
  <c r="R412" i="34"/>
  <c r="S416" i="34"/>
  <c r="Q416" i="34"/>
  <c r="R416" i="34"/>
  <c r="S420" i="34"/>
  <c r="Q420" i="34"/>
  <c r="R420" i="34"/>
  <c r="S424" i="34"/>
  <c r="Q424" i="34"/>
  <c r="R424" i="34"/>
  <c r="S428" i="34"/>
  <c r="Q428" i="34"/>
  <c r="R428" i="34"/>
  <c r="S432" i="34"/>
  <c r="Q432" i="34"/>
  <c r="R432" i="34"/>
  <c r="S436" i="34"/>
  <c r="Q436" i="34"/>
  <c r="R436" i="34"/>
  <c r="S440" i="34"/>
  <c r="Q440" i="34"/>
  <c r="R440" i="34"/>
  <c r="S444" i="34"/>
  <c r="Q444" i="34"/>
  <c r="R444" i="34"/>
  <c r="S448" i="34"/>
  <c r="Q448" i="34"/>
  <c r="R448" i="34"/>
  <c r="S452" i="34"/>
  <c r="Q452" i="34"/>
  <c r="R452" i="34"/>
  <c r="S456" i="34"/>
  <c r="Q456" i="34"/>
  <c r="R456" i="34"/>
  <c r="S460" i="34"/>
  <c r="Q460" i="34"/>
  <c r="R460" i="34"/>
  <c r="Q1314" i="34"/>
  <c r="R1314" i="34"/>
  <c r="S1314" i="34"/>
  <c r="Q1318" i="34"/>
  <c r="R1318" i="34"/>
  <c r="S1318" i="34"/>
  <c r="Q1322" i="34"/>
  <c r="R1322" i="34"/>
  <c r="S1322" i="34"/>
  <c r="Q1324" i="34"/>
  <c r="R1324" i="34"/>
  <c r="S1324" i="34"/>
  <c r="Q1330" i="34"/>
  <c r="R1330" i="34"/>
  <c r="S1330" i="34"/>
  <c r="Q1334" i="34"/>
  <c r="R1334" i="34"/>
  <c r="S1334" i="34"/>
  <c r="Q1338" i="34"/>
  <c r="R1338" i="34"/>
  <c r="S1338" i="34"/>
  <c r="Q1342" i="34"/>
  <c r="R1342" i="34"/>
  <c r="S1342" i="34"/>
  <c r="Q1346" i="34"/>
  <c r="R1346" i="34"/>
  <c r="S1346" i="34"/>
  <c r="Q1350" i="34"/>
  <c r="R1350" i="34"/>
  <c r="S1350" i="34"/>
  <c r="Q1354" i="34"/>
  <c r="R1354" i="34"/>
  <c r="S1354" i="34"/>
  <c r="Q1358" i="34"/>
  <c r="R1358" i="34"/>
  <c r="S1358" i="34"/>
  <c r="Q1362" i="34"/>
  <c r="R1362" i="34"/>
  <c r="S1362" i="34"/>
  <c r="Q1366" i="34"/>
  <c r="R1366" i="34"/>
  <c r="S1366" i="34"/>
  <c r="Q4061" i="34"/>
  <c r="R4061" i="34"/>
  <c r="S4061" i="34"/>
  <c r="Q4162" i="34"/>
  <c r="R4162" i="34"/>
  <c r="S4162" i="34"/>
  <c r="Q4224" i="34"/>
  <c r="R4224" i="34"/>
  <c r="S4224" i="34"/>
  <c r="Q4037" i="34"/>
  <c r="R4037" i="34"/>
  <c r="S4037" i="34"/>
  <c r="Q4047" i="34"/>
  <c r="R4047" i="34"/>
  <c r="S4047" i="34"/>
  <c r="Q4052" i="34"/>
  <c r="R4052" i="34"/>
  <c r="S4052" i="34"/>
  <c r="Q4054" i="34"/>
  <c r="R4054" i="34"/>
  <c r="S4054" i="34"/>
  <c r="Q4069" i="34"/>
  <c r="R4069" i="34"/>
  <c r="S4069" i="34"/>
  <c r="Q3740" i="34"/>
  <c r="R3740" i="34"/>
  <c r="S3740" i="34"/>
  <c r="Q4067" i="34"/>
  <c r="R4067" i="34"/>
  <c r="S4067" i="34"/>
  <c r="Q4077" i="34"/>
  <c r="R4077" i="34"/>
  <c r="S4077" i="34"/>
  <c r="S4089" i="34"/>
  <c r="Q4089" i="34"/>
  <c r="R4089" i="34"/>
  <c r="S4093" i="34"/>
  <c r="Q4093" i="34"/>
  <c r="R4093" i="34"/>
  <c r="S4097" i="34"/>
  <c r="Q4097" i="34"/>
  <c r="R4097" i="34"/>
  <c r="S4098" i="34"/>
  <c r="Q4098" i="34"/>
  <c r="R4098" i="34"/>
  <c r="S4086" i="34"/>
  <c r="Q4086" i="34"/>
  <c r="R4086" i="34"/>
  <c r="S4130" i="34"/>
  <c r="Q4130" i="34"/>
  <c r="R4130" i="34"/>
  <c r="S4140" i="34"/>
  <c r="Q4140" i="34"/>
  <c r="R4140" i="34"/>
  <c r="S4144" i="34"/>
  <c r="Q4144" i="34"/>
  <c r="R4144" i="34"/>
  <c r="S4155" i="34"/>
  <c r="Q4155" i="34"/>
  <c r="R4155" i="34"/>
  <c r="S4157" i="34"/>
  <c r="Q4157" i="34"/>
  <c r="R4157" i="34"/>
  <c r="R4177" i="34"/>
  <c r="S4177" i="34"/>
  <c r="Q4177" i="34"/>
  <c r="Q4187" i="34"/>
  <c r="R4187" i="34"/>
  <c r="S4187" i="34"/>
  <c r="Q4196" i="34"/>
  <c r="R4196" i="34"/>
  <c r="S4196" i="34"/>
  <c r="Q4206" i="34"/>
  <c r="R4206" i="34"/>
  <c r="S4206" i="34"/>
  <c r="Q4214" i="34"/>
  <c r="R4214" i="34"/>
  <c r="S4214" i="34"/>
  <c r="S4217" i="34"/>
  <c r="Q4217" i="34"/>
  <c r="R4217" i="34"/>
  <c r="S4221" i="34"/>
  <c r="Q4221" i="34"/>
  <c r="R4221" i="34"/>
  <c r="S4039" i="34"/>
  <c r="Q4039" i="34"/>
  <c r="R4039" i="34"/>
  <c r="S4060" i="34"/>
  <c r="Q4060" i="34"/>
  <c r="R4060" i="34"/>
  <c r="Q4116" i="34"/>
  <c r="R4116" i="34"/>
  <c r="S4116" i="34"/>
  <c r="Q4120" i="34"/>
  <c r="R4120" i="34"/>
  <c r="S4120" i="34"/>
  <c r="Q4124" i="34"/>
  <c r="R4124" i="34"/>
  <c r="S4124" i="34"/>
  <c r="Q4128" i="34"/>
  <c r="R4128" i="34"/>
  <c r="S4128" i="34"/>
  <c r="Q4041" i="34"/>
  <c r="R4041" i="34"/>
  <c r="S4041" i="34"/>
  <c r="Q4062" i="34"/>
  <c r="R4062" i="34"/>
  <c r="S4062" i="34"/>
  <c r="R4065" i="34"/>
  <c r="S4065" i="34"/>
  <c r="Q4065" i="34"/>
  <c r="R4079" i="34"/>
  <c r="S4079" i="34"/>
  <c r="Q4079" i="34"/>
  <c r="Q4132" i="34"/>
  <c r="R4132" i="34"/>
  <c r="S4132" i="34"/>
  <c r="Q4146" i="34"/>
  <c r="R4146" i="34"/>
  <c r="S4146" i="34"/>
  <c r="R4149" i="34"/>
  <c r="S4149" i="34"/>
  <c r="Q4149" i="34"/>
  <c r="Q4164" i="34"/>
  <c r="R4164" i="34"/>
  <c r="S4164" i="34"/>
  <c r="Q4168" i="34"/>
  <c r="R4168" i="34"/>
  <c r="S4168" i="34"/>
  <c r="Q4172" i="34"/>
  <c r="R4172" i="34"/>
  <c r="S4172" i="34"/>
  <c r="R4179" i="34"/>
  <c r="S4179" i="34"/>
  <c r="Q4179" i="34"/>
  <c r="R4183" i="34"/>
  <c r="S4183" i="34"/>
  <c r="Q4183" i="34"/>
  <c r="Q4201" i="34"/>
  <c r="R4201" i="34"/>
  <c r="S4201" i="34"/>
  <c r="R4207" i="34"/>
  <c r="S4207" i="34"/>
  <c r="Q4207" i="34"/>
  <c r="S2909" i="34"/>
  <c r="Q2909" i="34"/>
  <c r="R2909" i="34"/>
  <c r="Q2854" i="34"/>
  <c r="R2854" i="34"/>
  <c r="S2854" i="34"/>
  <c r="S2859" i="34"/>
  <c r="Q2859" i="34"/>
  <c r="R2859" i="34"/>
  <c r="Q2864" i="34"/>
  <c r="R2864" i="34"/>
  <c r="S2864" i="34"/>
  <c r="S2871" i="34"/>
  <c r="Q2871" i="34"/>
  <c r="R2871" i="34"/>
  <c r="Q2878" i="34"/>
  <c r="R2878" i="34"/>
  <c r="S2878" i="34"/>
  <c r="Q2898" i="34"/>
  <c r="R2898" i="34"/>
  <c r="S2898" i="34"/>
  <c r="Q2902" i="34"/>
  <c r="R2902" i="34"/>
  <c r="S2902" i="34"/>
  <c r="S2905" i="34"/>
  <c r="Q2905" i="34"/>
  <c r="R2905" i="34"/>
  <c r="S2911" i="34"/>
  <c r="Q2911" i="34"/>
  <c r="R2911" i="34"/>
  <c r="Q157" i="34"/>
  <c r="R157" i="34"/>
  <c r="S157" i="34"/>
  <c r="Q161" i="34"/>
  <c r="R161" i="34"/>
  <c r="S161" i="34"/>
  <c r="R165" i="34"/>
  <c r="S165" i="34"/>
  <c r="Q165" i="34"/>
  <c r="R169" i="34"/>
  <c r="S169" i="34"/>
  <c r="Q169" i="34"/>
  <c r="Q1431" i="34"/>
  <c r="R1431" i="34"/>
  <c r="S1431" i="34"/>
  <c r="Q1435" i="34"/>
  <c r="R1435" i="34"/>
  <c r="S1435" i="34"/>
  <c r="Q1441" i="34"/>
  <c r="R1441" i="34"/>
  <c r="S1441" i="34"/>
  <c r="Q1439" i="34"/>
  <c r="R1439" i="34"/>
  <c r="S1439" i="34"/>
  <c r="S1442" i="34"/>
  <c r="Q1442" i="34"/>
  <c r="R1442" i="34"/>
  <c r="Q1451" i="34"/>
  <c r="R1451" i="34"/>
  <c r="S1451" i="34"/>
  <c r="Q1455" i="34"/>
  <c r="R1455" i="34"/>
  <c r="S1455" i="34"/>
  <c r="Q1459" i="34"/>
  <c r="R1459" i="34"/>
  <c r="S1459" i="34"/>
  <c r="Q1463" i="34"/>
  <c r="R1463" i="34"/>
  <c r="S1463" i="34"/>
  <c r="Q463" i="34"/>
  <c r="R463" i="34"/>
  <c r="S463" i="34"/>
  <c r="Q467" i="34"/>
  <c r="R467" i="34"/>
  <c r="S467" i="34"/>
  <c r="Q471" i="34"/>
  <c r="R471" i="34"/>
  <c r="S471" i="34"/>
  <c r="Q475" i="34"/>
  <c r="R475" i="34"/>
  <c r="S475" i="34"/>
  <c r="Q479" i="34"/>
  <c r="R479" i="34"/>
  <c r="S479" i="34"/>
  <c r="Q483" i="34"/>
  <c r="R483" i="34"/>
  <c r="S483" i="34"/>
  <c r="Q487" i="34"/>
  <c r="R487" i="34"/>
  <c r="S487" i="34"/>
  <c r="Q491" i="34"/>
  <c r="R491" i="34"/>
  <c r="S491" i="34"/>
  <c r="Q495" i="34"/>
  <c r="R495" i="34"/>
  <c r="S495" i="34"/>
  <c r="Q499" i="34"/>
  <c r="R499" i="34"/>
  <c r="S499" i="34"/>
  <c r="Q503" i="34"/>
  <c r="R503" i="34"/>
  <c r="S503" i="34"/>
  <c r="Q507" i="34"/>
  <c r="R507" i="34"/>
  <c r="S507" i="34"/>
  <c r="Q511" i="34"/>
  <c r="R511" i="34"/>
  <c r="S511" i="34"/>
  <c r="S1526" i="34"/>
  <c r="R1526" i="34"/>
  <c r="Q1526" i="34"/>
  <c r="S1530" i="34"/>
  <c r="R1530" i="34"/>
  <c r="Q1530" i="34"/>
  <c r="S1534" i="34"/>
  <c r="R1534" i="34"/>
  <c r="Q1534" i="34"/>
  <c r="R1538" i="34"/>
  <c r="S1538" i="34"/>
  <c r="Q1538" i="34"/>
  <c r="R1542" i="34"/>
  <c r="S1542" i="34"/>
  <c r="Q1542" i="34"/>
  <c r="R4282" i="34"/>
  <c r="S4282" i="34"/>
  <c r="Q4282" i="34"/>
  <c r="S4317" i="34"/>
  <c r="Q4317" i="34"/>
  <c r="R4317" i="34"/>
  <c r="Q4228" i="34"/>
  <c r="R4228" i="34"/>
  <c r="S4228" i="34"/>
  <c r="Q4111" i="34"/>
  <c r="R4111" i="34"/>
  <c r="S4111" i="34"/>
  <c r="Q4238" i="34"/>
  <c r="R4238" i="34"/>
  <c r="S4238" i="34"/>
  <c r="Q4242" i="34"/>
  <c r="R4242" i="34"/>
  <c r="S4242" i="34"/>
  <c r="Q4152" i="34"/>
  <c r="R4152" i="34"/>
  <c r="S4152" i="34"/>
  <c r="Q4247" i="34"/>
  <c r="R4247" i="34"/>
  <c r="S4247" i="34"/>
  <c r="Q4197" i="34"/>
  <c r="R4197" i="34"/>
  <c r="S4197" i="34"/>
  <c r="Q4858" i="34"/>
  <c r="R4858" i="34"/>
  <c r="S4858" i="34"/>
  <c r="S4290" i="34"/>
  <c r="Q4290" i="34"/>
  <c r="R4290" i="34"/>
  <c r="Q4311" i="34"/>
  <c r="R4311" i="34"/>
  <c r="S4311" i="34"/>
  <c r="Q3734" i="34"/>
  <c r="R3734" i="34"/>
  <c r="S3734" i="34"/>
  <c r="Q4905" i="34"/>
  <c r="R4905" i="34"/>
  <c r="S4905" i="34"/>
  <c r="Q4327" i="34"/>
  <c r="R4327" i="34"/>
  <c r="S4327" i="34"/>
  <c r="Q4373" i="34"/>
  <c r="R4373" i="34"/>
  <c r="S4373" i="34"/>
  <c r="Q4380" i="34"/>
  <c r="R4380" i="34"/>
  <c r="S4380" i="34"/>
  <c r="Q4329" i="34"/>
  <c r="R4329" i="34"/>
  <c r="S4329" i="34"/>
  <c r="Q4333" i="34"/>
  <c r="R4333" i="34"/>
  <c r="S4333" i="34"/>
  <c r="Q2482" i="34"/>
  <c r="R2482" i="34"/>
  <c r="S2482" i="34"/>
  <c r="S4245" i="34"/>
  <c r="Q4245" i="34"/>
  <c r="R4245" i="34"/>
  <c r="Q4256" i="34"/>
  <c r="R4256" i="34"/>
  <c r="S4256" i="34"/>
  <c r="S4272" i="34"/>
  <c r="Q4272" i="34"/>
  <c r="R4272" i="34"/>
  <c r="S4276" i="34"/>
  <c r="Q4276" i="34"/>
  <c r="R4276" i="34"/>
  <c r="S4300" i="34"/>
  <c r="Q4300" i="34"/>
  <c r="R4300" i="34"/>
  <c r="Q4307" i="34"/>
  <c r="R4307" i="34"/>
  <c r="S4307" i="34"/>
  <c r="S4323" i="34"/>
  <c r="R4323" i="34"/>
  <c r="Q4323" i="34"/>
  <c r="S4342" i="34"/>
  <c r="R4342" i="34"/>
  <c r="Q4342" i="34"/>
  <c r="S4346" i="34"/>
  <c r="R4346" i="34"/>
  <c r="Q4346" i="34"/>
  <c r="S4377" i="34"/>
  <c r="R4377" i="34"/>
  <c r="Q4377" i="34"/>
  <c r="R4249" i="34"/>
  <c r="S4249" i="34"/>
  <c r="Q4249" i="34"/>
  <c r="Q4259" i="34"/>
  <c r="R4259" i="34"/>
  <c r="S4259" i="34"/>
  <c r="R4268" i="34"/>
  <c r="S4268" i="34"/>
  <c r="Q4268" i="34"/>
  <c r="Q4285" i="34"/>
  <c r="R4285" i="34"/>
  <c r="S4285" i="34"/>
  <c r="Q4291" i="34"/>
  <c r="R4291" i="34"/>
  <c r="S4291" i="34"/>
  <c r="R4308" i="34"/>
  <c r="S4308" i="34"/>
  <c r="Q4308" i="34"/>
  <c r="S2965" i="34"/>
  <c r="Q2965" i="34"/>
  <c r="R2965" i="34"/>
  <c r="Q4354" i="34"/>
  <c r="R4354" i="34"/>
  <c r="S4354" i="34"/>
  <c r="Q4358" i="34"/>
  <c r="R4358" i="34"/>
  <c r="S4358" i="34"/>
  <c r="Q4362" i="34"/>
  <c r="R4362" i="34"/>
  <c r="S4362" i="34"/>
  <c r="Q4366" i="34"/>
  <c r="R4366" i="34"/>
  <c r="S4366" i="34"/>
  <c r="Q4370" i="34"/>
  <c r="R4370" i="34"/>
  <c r="S4370" i="34"/>
  <c r="S2913" i="34"/>
  <c r="Q2913" i="34"/>
  <c r="R2913" i="34"/>
  <c r="S2919" i="34"/>
  <c r="Q2919" i="34"/>
  <c r="R2919" i="34"/>
  <c r="Q2924" i="34"/>
  <c r="R2924" i="34"/>
  <c r="S2924" i="34"/>
  <c r="Q2928" i="34"/>
  <c r="R2928" i="34"/>
  <c r="S2928" i="34"/>
  <c r="S2933" i="34"/>
  <c r="Q2933" i="34"/>
  <c r="R2933" i="34"/>
  <c r="S2937" i="34"/>
  <c r="Q2937" i="34"/>
  <c r="R2937" i="34"/>
  <c r="S2941" i="34"/>
  <c r="Q2941" i="34"/>
  <c r="R2941" i="34"/>
  <c r="S2945" i="34"/>
  <c r="Q2945" i="34"/>
  <c r="R2945" i="34"/>
  <c r="S2949" i="34"/>
  <c r="Q2949" i="34"/>
  <c r="R2949" i="34"/>
  <c r="S2953" i="34"/>
  <c r="Q2953" i="34"/>
  <c r="R2953" i="34"/>
  <c r="S2957" i="34"/>
  <c r="Q2957" i="34"/>
  <c r="R2957" i="34"/>
  <c r="S2961" i="34"/>
  <c r="Q2961" i="34"/>
  <c r="R2961" i="34"/>
  <c r="S2484" i="34"/>
  <c r="Q2484" i="34"/>
  <c r="R2484" i="34"/>
  <c r="S2969" i="34"/>
  <c r="Q2969" i="34"/>
  <c r="R2969" i="34"/>
  <c r="Q4318" i="34"/>
  <c r="R4318" i="34"/>
  <c r="S4318" i="34"/>
  <c r="S189" i="34"/>
  <c r="Q189" i="34"/>
  <c r="R189" i="34"/>
  <c r="S193" i="34"/>
  <c r="Q193" i="34"/>
  <c r="R193" i="34"/>
  <c r="S197" i="34"/>
  <c r="Q197" i="34"/>
  <c r="R197" i="34"/>
  <c r="S201" i="34"/>
  <c r="Q201" i="34"/>
  <c r="R201" i="34"/>
  <c r="R1752" i="34"/>
  <c r="S1752" i="34"/>
  <c r="Q1752" i="34"/>
  <c r="R1756" i="34"/>
  <c r="S1756" i="34"/>
  <c r="Q1756" i="34"/>
  <c r="R1760" i="34"/>
  <c r="S1760" i="34"/>
  <c r="Q1760" i="34"/>
  <c r="Q565" i="34"/>
  <c r="R565" i="34"/>
  <c r="S565" i="34"/>
  <c r="Q569" i="34"/>
  <c r="R569" i="34"/>
  <c r="S569" i="34"/>
  <c r="Q573" i="34"/>
  <c r="R573" i="34"/>
  <c r="S573" i="34"/>
  <c r="Q577" i="34"/>
  <c r="R577" i="34"/>
  <c r="S577" i="34"/>
  <c r="Q581" i="34"/>
  <c r="R581" i="34"/>
  <c r="S581" i="34"/>
  <c r="Q585" i="34"/>
  <c r="R585" i="34"/>
  <c r="S585" i="34"/>
  <c r="Q589" i="34"/>
  <c r="R589" i="34"/>
  <c r="S589" i="34"/>
  <c r="Q593" i="34"/>
  <c r="R593" i="34"/>
  <c r="S593" i="34"/>
  <c r="Q597" i="34"/>
  <c r="R597" i="34"/>
  <c r="S597" i="34"/>
  <c r="Q601" i="34"/>
  <c r="R601" i="34"/>
  <c r="S601" i="34"/>
  <c r="Q605" i="34"/>
  <c r="R605" i="34"/>
  <c r="S605" i="34"/>
  <c r="Q1781" i="34"/>
  <c r="R1781" i="34"/>
  <c r="S1781" i="34"/>
  <c r="Q1785" i="34"/>
  <c r="R1785" i="34"/>
  <c r="S1785" i="34"/>
  <c r="Q1789" i="34"/>
  <c r="R1789" i="34"/>
  <c r="S1789" i="34"/>
  <c r="Q1793" i="34"/>
  <c r="R1793" i="34"/>
  <c r="S1793" i="34"/>
  <c r="Q1797" i="34"/>
  <c r="R1797" i="34"/>
  <c r="S1797" i="34"/>
  <c r="R4669" i="34"/>
  <c r="Q4669" i="34"/>
  <c r="S4669" i="34"/>
  <c r="Q4765" i="34"/>
  <c r="R4765" i="34"/>
  <c r="S4765" i="34"/>
  <c r="Q4598" i="34"/>
  <c r="R4598" i="34"/>
  <c r="S4598" i="34"/>
  <c r="Q4627" i="34"/>
  <c r="R4627" i="34"/>
  <c r="S4627" i="34"/>
  <c r="Q4633" i="34"/>
  <c r="R4633" i="34"/>
  <c r="S4633" i="34"/>
  <c r="Q4637" i="34"/>
  <c r="R4637" i="34"/>
  <c r="S4637" i="34"/>
  <c r="Q4647" i="34"/>
  <c r="R4647" i="34"/>
  <c r="S4647" i="34"/>
  <c r="Q4660" i="34"/>
  <c r="R4660" i="34"/>
  <c r="S4660" i="34"/>
  <c r="Q4668" i="34"/>
  <c r="R4668" i="34"/>
  <c r="S4668" i="34"/>
  <c r="Q4679" i="34"/>
  <c r="R4679" i="34"/>
  <c r="S4679" i="34"/>
  <c r="Q4684" i="34"/>
  <c r="R4684" i="34"/>
  <c r="S4684" i="34"/>
  <c r="Q4715" i="34"/>
  <c r="R4715" i="34"/>
  <c r="S4715" i="34"/>
  <c r="Q4859" i="34"/>
  <c r="R4859" i="34"/>
  <c r="S4859" i="34"/>
  <c r="Q4720" i="34"/>
  <c r="R4720" i="34"/>
  <c r="S4720" i="34"/>
  <c r="Q4724" i="34"/>
  <c r="R4724" i="34"/>
  <c r="S4724" i="34"/>
  <c r="Q4729" i="34"/>
  <c r="R4729" i="34"/>
  <c r="S4729" i="34"/>
  <c r="Q4738" i="34"/>
  <c r="R4738" i="34"/>
  <c r="S4738" i="34"/>
  <c r="Q4763" i="34"/>
  <c r="R4763" i="34"/>
  <c r="S4763" i="34"/>
  <c r="Q4773" i="34"/>
  <c r="R4773" i="34"/>
  <c r="S4773" i="34"/>
  <c r="Q4772" i="34"/>
  <c r="R4772" i="34"/>
  <c r="S4772" i="34"/>
  <c r="Q4600" i="34"/>
  <c r="R4600" i="34"/>
  <c r="S4600" i="34"/>
  <c r="Q4604" i="34"/>
  <c r="R4604" i="34"/>
  <c r="S4604" i="34"/>
  <c r="Q4608" i="34"/>
  <c r="R4608" i="34"/>
  <c r="S4608" i="34"/>
  <c r="Q4646" i="34"/>
  <c r="R4646" i="34"/>
  <c r="S4646" i="34"/>
  <c r="R4653" i="34"/>
  <c r="S4653" i="34"/>
  <c r="Q4653" i="34"/>
  <c r="R4657" i="34"/>
  <c r="S4657" i="34"/>
  <c r="Q4657" i="34"/>
  <c r="R4665" i="34"/>
  <c r="S4665" i="34"/>
  <c r="Q4665" i="34"/>
  <c r="R4673" i="34"/>
  <c r="S4673" i="34"/>
  <c r="Q4673" i="34"/>
  <c r="R4685" i="34"/>
  <c r="S4685" i="34"/>
  <c r="Q4685" i="34"/>
  <c r="R4699" i="34"/>
  <c r="S4699" i="34"/>
  <c r="Q4699" i="34"/>
  <c r="Q4702" i="34"/>
  <c r="R4702" i="34"/>
  <c r="S4702" i="34"/>
  <c r="Q4706" i="34"/>
  <c r="R4706" i="34"/>
  <c r="S4706" i="34"/>
  <c r="R4717" i="34"/>
  <c r="S4717" i="34"/>
  <c r="Q4717" i="34"/>
  <c r="Q4748" i="34"/>
  <c r="R4748" i="34"/>
  <c r="S4748" i="34"/>
  <c r="Q4757" i="34"/>
  <c r="R4757" i="34"/>
  <c r="S4757" i="34"/>
  <c r="S3069" i="34"/>
  <c r="Q3069" i="34"/>
  <c r="R3069" i="34"/>
  <c r="Q4644" i="34"/>
  <c r="R4644" i="34"/>
  <c r="S4644" i="34"/>
  <c r="Q3028" i="34"/>
  <c r="R3028" i="34"/>
  <c r="S3028" i="34"/>
  <c r="S3033" i="34"/>
  <c r="Q3033" i="34"/>
  <c r="R3033" i="34"/>
  <c r="S3037" i="34"/>
  <c r="Q3037" i="34"/>
  <c r="R3037" i="34"/>
  <c r="S3043" i="34"/>
  <c r="Q3043" i="34"/>
  <c r="R3043" i="34"/>
  <c r="Q3048" i="34"/>
  <c r="R3048" i="34"/>
  <c r="S3048" i="34"/>
  <c r="Q3052" i="34"/>
  <c r="R3052" i="34"/>
  <c r="S3052" i="34"/>
  <c r="Q3056" i="34"/>
  <c r="R3056" i="34"/>
  <c r="S3056" i="34"/>
  <c r="Q3060" i="34"/>
  <c r="R3060" i="34"/>
  <c r="S3060" i="34"/>
  <c r="Q3064" i="34"/>
  <c r="R3064" i="34"/>
  <c r="S3064" i="34"/>
  <c r="S3067" i="34"/>
  <c r="Q3067" i="34"/>
  <c r="R3067" i="34"/>
  <c r="S4613" i="34"/>
  <c r="Q4613" i="34"/>
  <c r="R4613" i="34"/>
  <c r="S4617" i="34"/>
  <c r="Q4617" i="34"/>
  <c r="R4617" i="34"/>
  <c r="S4621" i="34"/>
  <c r="Q4621" i="34"/>
  <c r="R4621" i="34"/>
  <c r="S4728" i="34"/>
  <c r="Q4728" i="34"/>
  <c r="R4728" i="34"/>
  <c r="S4743" i="34"/>
  <c r="Q4743" i="34"/>
  <c r="R4743" i="34"/>
  <c r="S2492" i="34"/>
  <c r="Q2492" i="34"/>
  <c r="R2492" i="34"/>
  <c r="S2500" i="34"/>
  <c r="Q2500" i="34"/>
  <c r="R2500" i="34"/>
  <c r="R4692" i="34"/>
  <c r="Q4692" i="34"/>
  <c r="S4692" i="34"/>
  <c r="R4733" i="34"/>
  <c r="Q4733" i="34"/>
  <c r="S4733" i="34"/>
  <c r="Q4690" i="34"/>
  <c r="R4690" i="34"/>
  <c r="S4690" i="34"/>
  <c r="R53" i="34"/>
  <c r="S53" i="34"/>
  <c r="Q53" i="34"/>
  <c r="S207" i="34"/>
  <c r="Q207" i="34"/>
  <c r="R207" i="34"/>
  <c r="S211" i="34"/>
  <c r="Q211" i="34"/>
  <c r="R211" i="34"/>
  <c r="S215" i="34"/>
  <c r="Q215" i="34"/>
  <c r="R215" i="34"/>
  <c r="R1823" i="34"/>
  <c r="S1823" i="34"/>
  <c r="Q1823" i="34"/>
  <c r="R1827" i="34"/>
  <c r="S1827" i="34"/>
  <c r="Q1827" i="34"/>
  <c r="R1831" i="34"/>
  <c r="S1831" i="34"/>
  <c r="Q1831" i="34"/>
  <c r="R1835" i="34"/>
  <c r="S1835" i="34"/>
  <c r="Q1835" i="34"/>
  <c r="R1839" i="34"/>
  <c r="S1839" i="34"/>
  <c r="Q1839" i="34"/>
  <c r="Q1846" i="34"/>
  <c r="R1846" i="34"/>
  <c r="S1846" i="34"/>
  <c r="Q609" i="34"/>
  <c r="R609" i="34"/>
  <c r="S609" i="34"/>
  <c r="Q613" i="34"/>
  <c r="R613" i="34"/>
  <c r="S613" i="34"/>
  <c r="Q621" i="34"/>
  <c r="R621" i="34"/>
  <c r="S621" i="34"/>
  <c r="Q625" i="34"/>
  <c r="R625" i="34"/>
  <c r="S625" i="34"/>
  <c r="Q629" i="34"/>
  <c r="R629" i="34"/>
  <c r="S629" i="34"/>
  <c r="Q633" i="34"/>
  <c r="R633" i="34"/>
  <c r="S633" i="34"/>
  <c r="Q637" i="34"/>
  <c r="R637" i="34"/>
  <c r="S637" i="34"/>
  <c r="Q641" i="34"/>
  <c r="R641" i="34"/>
  <c r="S641" i="34"/>
  <c r="Q645" i="34"/>
  <c r="R645" i="34"/>
  <c r="S645" i="34"/>
  <c r="Q649" i="34"/>
  <c r="R649" i="34"/>
  <c r="S649" i="34"/>
  <c r="Q653" i="34"/>
  <c r="R653" i="34"/>
  <c r="S653" i="34"/>
  <c r="Q657" i="34"/>
  <c r="R657" i="34"/>
  <c r="S657" i="34"/>
  <c r="Q661" i="34"/>
  <c r="R661" i="34"/>
  <c r="S661" i="34"/>
  <c r="Q665" i="34"/>
  <c r="R665" i="34"/>
  <c r="S665" i="34"/>
  <c r="Q669" i="34"/>
  <c r="R669" i="34"/>
  <c r="S669" i="34"/>
  <c r="Q1900" i="34"/>
  <c r="R1900" i="34"/>
  <c r="S1900" i="34"/>
  <c r="Q1904" i="34"/>
  <c r="R1904" i="34"/>
  <c r="S1904" i="34"/>
  <c r="Q1908" i="34"/>
  <c r="R1908" i="34"/>
  <c r="S1908" i="34"/>
  <c r="Q1912" i="34"/>
  <c r="R1912" i="34"/>
  <c r="S1912" i="34"/>
  <c r="Q1916" i="34"/>
  <c r="R1916" i="34"/>
  <c r="S1916" i="34"/>
  <c r="Q1920" i="34"/>
  <c r="R1920" i="34"/>
  <c r="S1920" i="34"/>
  <c r="Q1926" i="34"/>
  <c r="R1926" i="34"/>
  <c r="S1926" i="34"/>
  <c r="S1936" i="34"/>
  <c r="Q1936" i="34"/>
  <c r="R1936" i="34"/>
  <c r="Q4787" i="34"/>
  <c r="R4787" i="34"/>
  <c r="S4787" i="34"/>
  <c r="R4897" i="34"/>
  <c r="S4897" i="34"/>
  <c r="Q4897" i="34"/>
  <c r="R4986" i="34"/>
  <c r="S4986" i="34"/>
  <c r="Q4986" i="34"/>
  <c r="Q4850" i="34"/>
  <c r="R4850" i="34"/>
  <c r="S4850" i="34"/>
  <c r="S4900" i="34"/>
  <c r="Q4900" i="34"/>
  <c r="R4900" i="34"/>
  <c r="S4942" i="34"/>
  <c r="Q4942" i="34"/>
  <c r="R4942" i="34"/>
  <c r="Q4991" i="34"/>
  <c r="R4991" i="34"/>
  <c r="S4991" i="34"/>
  <c r="Q4789" i="34"/>
  <c r="R4789" i="34"/>
  <c r="S4789" i="34"/>
  <c r="Q4793" i="34"/>
  <c r="R4793" i="34"/>
  <c r="S4793" i="34"/>
  <c r="R4829" i="34"/>
  <c r="S4829" i="34"/>
  <c r="Q4829" i="34"/>
  <c r="R4810" i="34"/>
  <c r="S4810" i="34"/>
  <c r="Q4810" i="34"/>
  <c r="R4816" i="34"/>
  <c r="Q4816" i="34"/>
  <c r="S4816" i="34"/>
  <c r="R4820" i="34"/>
  <c r="Q4820" i="34"/>
  <c r="S4820" i="34"/>
  <c r="R4879" i="34"/>
  <c r="Q4879" i="34"/>
  <c r="S4879" i="34"/>
  <c r="R4883" i="34"/>
  <c r="Q4883" i="34"/>
  <c r="S4883" i="34"/>
  <c r="R4895" i="34"/>
  <c r="Q4895" i="34"/>
  <c r="S4895" i="34"/>
  <c r="Q3074" i="34"/>
  <c r="R3074" i="34"/>
  <c r="S3074" i="34"/>
  <c r="Q3078" i="34"/>
  <c r="R3078" i="34"/>
  <c r="S3078" i="34"/>
  <c r="Q3084" i="34"/>
  <c r="R3084" i="34"/>
  <c r="S3084" i="34"/>
  <c r="S3089" i="34"/>
  <c r="Q3089" i="34"/>
  <c r="R3089" i="34"/>
  <c r="S3093" i="34"/>
  <c r="Q3093" i="34"/>
  <c r="R3093" i="34"/>
  <c r="Q3096" i="34"/>
  <c r="R3096" i="34"/>
  <c r="S3096" i="34"/>
  <c r="Q3100" i="34"/>
  <c r="R3100" i="34"/>
  <c r="S3100" i="34"/>
  <c r="S3105" i="34"/>
  <c r="Q3105" i="34"/>
  <c r="R3105" i="34"/>
  <c r="R77" i="34"/>
  <c r="S77" i="34"/>
  <c r="Q77" i="34"/>
  <c r="R81" i="34"/>
  <c r="S81" i="34"/>
  <c r="Q81" i="34"/>
  <c r="R85" i="34"/>
  <c r="S85" i="34"/>
  <c r="Q85" i="34"/>
  <c r="R89" i="34"/>
  <c r="S89" i="34"/>
  <c r="Q89" i="34"/>
  <c r="Q851" i="34"/>
  <c r="R851" i="34"/>
  <c r="S851" i="34"/>
  <c r="Q855" i="34"/>
  <c r="R855" i="34"/>
  <c r="S855" i="34"/>
  <c r="Q859" i="34"/>
  <c r="R859" i="34"/>
  <c r="S859" i="34"/>
  <c r="R860" i="34"/>
  <c r="S860" i="34"/>
  <c r="Q860" i="34"/>
  <c r="Q289" i="34"/>
  <c r="R289" i="34"/>
  <c r="S289" i="34"/>
  <c r="Q293" i="34"/>
  <c r="R293" i="34"/>
  <c r="S293" i="34"/>
  <c r="Q297" i="34"/>
  <c r="R297" i="34"/>
  <c r="S297" i="34"/>
  <c r="Q301" i="34"/>
  <c r="R301" i="34"/>
  <c r="S301" i="34"/>
  <c r="Q305" i="34"/>
  <c r="R305" i="34"/>
  <c r="S305" i="34"/>
  <c r="Q309" i="34"/>
  <c r="R309" i="34"/>
  <c r="S309" i="34"/>
  <c r="Q313" i="34"/>
  <c r="R313" i="34"/>
  <c r="S313" i="34"/>
  <c r="Q317" i="34"/>
  <c r="R317" i="34"/>
  <c r="S317" i="34"/>
  <c r="Q321" i="34"/>
  <c r="R321" i="34"/>
  <c r="S321" i="34"/>
  <c r="R887" i="34"/>
  <c r="S887" i="34"/>
  <c r="Q887" i="34"/>
  <c r="R891" i="34"/>
  <c r="S891" i="34"/>
  <c r="Q891" i="34"/>
  <c r="R895" i="34"/>
  <c r="S895" i="34"/>
  <c r="Q895" i="34"/>
  <c r="R899" i="34"/>
  <c r="S899" i="34"/>
  <c r="Q899" i="34"/>
  <c r="R903" i="34"/>
  <c r="S903" i="34"/>
  <c r="Q903" i="34"/>
  <c r="R907" i="34"/>
  <c r="S907" i="34"/>
  <c r="Q907" i="34"/>
  <c r="R3455" i="34"/>
  <c r="S3455" i="34"/>
  <c r="Q3455" i="34"/>
  <c r="R3518" i="34"/>
  <c r="S3518" i="34"/>
  <c r="Q3518" i="34"/>
  <c r="R3428" i="34"/>
  <c r="S3428" i="34"/>
  <c r="Q3428" i="34"/>
  <c r="R3434" i="34"/>
  <c r="S3434" i="34"/>
  <c r="Q3434" i="34"/>
  <c r="Q3436" i="34"/>
  <c r="R3436" i="34"/>
  <c r="S3436" i="34"/>
  <c r="Q3448" i="34"/>
  <c r="R3448" i="34"/>
  <c r="S3448" i="34"/>
  <c r="S3456" i="34"/>
  <c r="Q3456" i="34"/>
  <c r="R3456" i="34"/>
  <c r="R3476" i="34"/>
  <c r="S3476" i="34"/>
  <c r="Q3476" i="34"/>
  <c r="R3481" i="34"/>
  <c r="S3481" i="34"/>
  <c r="Q3481" i="34"/>
  <c r="R3485" i="34"/>
  <c r="S3485" i="34"/>
  <c r="Q3485" i="34"/>
  <c r="R3499" i="34"/>
  <c r="S3499" i="34"/>
  <c r="Q3499" i="34"/>
  <c r="R3507" i="34"/>
  <c r="S3507" i="34"/>
  <c r="Q3507" i="34"/>
  <c r="R3535" i="34"/>
  <c r="S3535" i="34"/>
  <c r="Q3535" i="34"/>
  <c r="R3549" i="34"/>
  <c r="S3549" i="34"/>
  <c r="Q3549" i="34"/>
  <c r="R3564" i="34"/>
  <c r="S3564" i="34"/>
  <c r="Q3564" i="34"/>
  <c r="Q3440" i="34"/>
  <c r="R3440" i="34"/>
  <c r="S3440" i="34"/>
  <c r="Q3452" i="34"/>
  <c r="R3452" i="34"/>
  <c r="S3452" i="34"/>
  <c r="Q3479" i="34"/>
  <c r="R3479" i="34"/>
  <c r="S3479" i="34"/>
  <c r="R3489" i="34"/>
  <c r="S3489" i="34"/>
  <c r="Q3489" i="34"/>
  <c r="R3504" i="34"/>
  <c r="S3504" i="34"/>
  <c r="Q3504" i="34"/>
  <c r="Q3521" i="34"/>
  <c r="R3521" i="34"/>
  <c r="S3521" i="34"/>
  <c r="Q3525" i="34"/>
  <c r="R3525" i="34"/>
  <c r="S3525" i="34"/>
  <c r="Q3529" i="34"/>
  <c r="R3529" i="34"/>
  <c r="S3529" i="34"/>
  <c r="Q3537" i="34"/>
  <c r="R3537" i="34"/>
  <c r="S3537" i="34"/>
  <c r="Q3541" i="34"/>
  <c r="R3541" i="34"/>
  <c r="S3541" i="34"/>
  <c r="Q3555" i="34"/>
  <c r="R3555" i="34"/>
  <c r="S3555" i="34"/>
  <c r="S2651" i="34"/>
  <c r="Q2651" i="34"/>
  <c r="R2651" i="34"/>
  <c r="Q2656" i="34"/>
  <c r="R2656" i="34"/>
  <c r="S2656" i="34"/>
  <c r="S2661" i="34"/>
  <c r="Q2661" i="34"/>
  <c r="R2661" i="34"/>
  <c r="Q2666" i="34"/>
  <c r="R2666" i="34"/>
  <c r="S2666" i="34"/>
  <c r="Q2670" i="34"/>
  <c r="R2670" i="34"/>
  <c r="S2670" i="34"/>
  <c r="Q2674" i="34"/>
  <c r="R2674" i="34"/>
  <c r="S2674" i="34"/>
  <c r="Q2678" i="34"/>
  <c r="R2678" i="34"/>
  <c r="S2678" i="34"/>
  <c r="Q2682" i="34"/>
  <c r="R2682" i="34"/>
  <c r="S2682" i="34"/>
  <c r="Q2686" i="34"/>
  <c r="R2686" i="34"/>
  <c r="S2686" i="34"/>
  <c r="S3463" i="34"/>
  <c r="Q3463" i="34"/>
  <c r="R3463" i="34"/>
  <c r="S3467" i="34"/>
  <c r="Q3467" i="34"/>
  <c r="R3467" i="34"/>
  <c r="S3471" i="34"/>
  <c r="Q3471" i="34"/>
  <c r="R3471" i="34"/>
  <c r="S3513" i="34"/>
  <c r="Q3513" i="34"/>
  <c r="R3513" i="34"/>
  <c r="S3517" i="34"/>
  <c r="Q3517" i="34"/>
  <c r="R3517" i="34"/>
  <c r="S2579" i="34"/>
  <c r="Q2579" i="34"/>
  <c r="R2579" i="34"/>
  <c r="Q2582" i="34"/>
  <c r="R2582" i="34"/>
  <c r="S2582" i="34"/>
  <c r="Q619" i="34"/>
  <c r="R619" i="34"/>
  <c r="S619" i="34"/>
  <c r="Q5047" i="34"/>
  <c r="R5047" i="34"/>
  <c r="S5047" i="34"/>
  <c r="Q681" i="34"/>
  <c r="R681" i="34"/>
  <c r="S681" i="34"/>
  <c r="Q673" i="34"/>
  <c r="R673" i="34"/>
  <c r="S673" i="34"/>
  <c r="R1762" i="34"/>
  <c r="S1762" i="34"/>
  <c r="Q1762" i="34"/>
  <c r="R1764" i="34"/>
  <c r="S1764" i="34"/>
  <c r="Q1764" i="34"/>
  <c r="R1849" i="34"/>
  <c r="S1849" i="34"/>
  <c r="Q1849" i="34"/>
  <c r="Q615" i="34"/>
  <c r="R615" i="34"/>
  <c r="S615" i="34"/>
  <c r="R686" i="34"/>
  <c r="S686" i="34"/>
  <c r="Q686" i="34"/>
  <c r="R688" i="34"/>
  <c r="S688" i="34"/>
  <c r="Q688" i="34"/>
  <c r="R704" i="34"/>
  <c r="S704" i="34"/>
  <c r="Q704" i="34"/>
  <c r="Q4629" i="34"/>
  <c r="R4629" i="34"/>
  <c r="S4629" i="34"/>
  <c r="S4586" i="34"/>
  <c r="Q4586" i="34"/>
  <c r="R4586" i="34"/>
  <c r="S4584" i="34"/>
  <c r="Q4584" i="34"/>
  <c r="R4584" i="34"/>
  <c r="Q4536" i="34"/>
  <c r="R4536" i="34"/>
  <c r="S4536" i="34"/>
  <c r="Q4280" i="34"/>
  <c r="R4280" i="34"/>
  <c r="S4280" i="34"/>
  <c r="Q4294" i="34"/>
  <c r="R4294" i="34"/>
  <c r="S4294" i="34"/>
  <c r="Q3110" i="34"/>
  <c r="R3110" i="34"/>
  <c r="S3110" i="34"/>
  <c r="Q3114" i="34"/>
  <c r="R3114" i="34"/>
  <c r="S3114" i="34"/>
  <c r="Q3116" i="34"/>
  <c r="R3116" i="34"/>
  <c r="S3116" i="34"/>
  <c r="Q3118" i="34"/>
  <c r="R3118" i="34"/>
  <c r="S3118" i="34"/>
  <c r="Q3120" i="34"/>
  <c r="R3120" i="34"/>
  <c r="S3120" i="34"/>
  <c r="Q3122" i="34"/>
  <c r="R3122" i="34"/>
  <c r="S3122" i="34"/>
  <c r="Q3124" i="34"/>
  <c r="R3124" i="34"/>
  <c r="S3124" i="34"/>
  <c r="Q3126" i="34"/>
  <c r="R3126" i="34"/>
  <c r="S3126" i="34"/>
  <c r="Q3128" i="34"/>
  <c r="R3128" i="34"/>
  <c r="S3128" i="34"/>
  <c r="S2518" i="34"/>
  <c r="Q2518" i="34"/>
  <c r="R2518" i="34"/>
  <c r="Q3136" i="34"/>
  <c r="R3136" i="34"/>
  <c r="S3136" i="34"/>
  <c r="Q3138" i="34"/>
  <c r="R3138" i="34"/>
  <c r="S3138" i="34"/>
  <c r="Q4923" i="34"/>
  <c r="R4923" i="34"/>
  <c r="S4923" i="34"/>
  <c r="Q4925" i="34"/>
  <c r="R4925" i="34"/>
  <c r="S4925" i="34"/>
  <c r="Q4927" i="34"/>
  <c r="R4927" i="34"/>
  <c r="S4927" i="34"/>
  <c r="R4946" i="34"/>
  <c r="S4946" i="34"/>
  <c r="Q4946" i="34"/>
  <c r="Q4959" i="34"/>
  <c r="R4959" i="34"/>
  <c r="S4959" i="34"/>
  <c r="S2083" i="34"/>
  <c r="Q2083" i="34"/>
  <c r="R2083" i="34"/>
  <c r="Q5025" i="34"/>
  <c r="R5025" i="34"/>
  <c r="S5025" i="34"/>
  <c r="Q1996" i="34"/>
  <c r="R1996" i="34"/>
  <c r="S1996" i="34"/>
  <c r="Q13" i="34"/>
  <c r="R13" i="34"/>
  <c r="S13" i="34"/>
  <c r="Q17" i="34"/>
  <c r="R17" i="34"/>
  <c r="S17" i="34"/>
  <c r="Q21" i="34"/>
  <c r="R21" i="34"/>
  <c r="S21" i="34"/>
  <c r="R29" i="34"/>
  <c r="S29" i="34"/>
  <c r="Q29" i="34"/>
  <c r="R33" i="34"/>
  <c r="S33" i="34"/>
  <c r="Q33" i="34"/>
  <c r="Q95" i="34"/>
  <c r="R95" i="34"/>
  <c r="S95" i="34"/>
  <c r="Q99" i="34"/>
  <c r="R99" i="34"/>
  <c r="S99" i="34"/>
  <c r="Q103" i="34"/>
  <c r="R103" i="34"/>
  <c r="S103" i="34"/>
  <c r="Q964" i="34"/>
  <c r="R964" i="34"/>
  <c r="S964" i="34"/>
  <c r="R324" i="34"/>
  <c r="S324" i="34"/>
  <c r="Q324" i="34"/>
  <c r="R328" i="34"/>
  <c r="S328" i="34"/>
  <c r="Q328" i="34"/>
  <c r="R332" i="34"/>
  <c r="S332" i="34"/>
  <c r="Q332" i="34"/>
  <c r="R336" i="34"/>
  <c r="S336" i="34"/>
  <c r="Q336" i="34"/>
  <c r="R975" i="34"/>
  <c r="S975" i="34"/>
  <c r="Q975" i="34"/>
  <c r="R979" i="34"/>
  <c r="S979" i="34"/>
  <c r="Q979" i="34"/>
  <c r="R983" i="34"/>
  <c r="S983" i="34"/>
  <c r="Q983" i="34"/>
  <c r="R3605" i="34"/>
  <c r="S3605" i="34"/>
  <c r="Q3605" i="34"/>
  <c r="S3702" i="34"/>
  <c r="Q3702" i="34"/>
  <c r="R3702" i="34"/>
  <c r="R3444" i="34"/>
  <c r="S3444" i="34"/>
  <c r="Q3444" i="34"/>
  <c r="R3569" i="34"/>
  <c r="S3569" i="34"/>
  <c r="Q3569" i="34"/>
  <c r="R3559" i="34"/>
  <c r="S3559" i="34"/>
  <c r="Q3559" i="34"/>
  <c r="R3581" i="34"/>
  <c r="S3581" i="34"/>
  <c r="Q3581" i="34"/>
  <c r="R3585" i="34"/>
  <c r="S3585" i="34"/>
  <c r="Q3585" i="34"/>
  <c r="R3608" i="34"/>
  <c r="S3608" i="34"/>
  <c r="Q3608" i="34"/>
  <c r="R3613" i="34"/>
  <c r="S3613" i="34"/>
  <c r="Q3613" i="34"/>
  <c r="Q3624" i="34"/>
  <c r="R3624" i="34"/>
  <c r="S3624" i="34"/>
  <c r="Q3628" i="34"/>
  <c r="R3628" i="34"/>
  <c r="S3628" i="34"/>
  <c r="Q3632" i="34"/>
  <c r="R3632" i="34"/>
  <c r="S3632" i="34"/>
  <c r="Q3637" i="34"/>
  <c r="R3637" i="34"/>
  <c r="S3637" i="34"/>
  <c r="Q3660" i="34"/>
  <c r="R3660" i="34"/>
  <c r="S3660" i="34"/>
  <c r="Q3663" i="34"/>
  <c r="R3663" i="34"/>
  <c r="S3663" i="34"/>
  <c r="Q3676" i="34"/>
  <c r="R3676" i="34"/>
  <c r="S3676" i="34"/>
  <c r="Q3674" i="34"/>
  <c r="R3674" i="34"/>
  <c r="S3674" i="34"/>
  <c r="Q3681" i="34"/>
  <c r="R3681" i="34"/>
  <c r="S3681" i="34"/>
  <c r="Q3685" i="34"/>
  <c r="R3685" i="34"/>
  <c r="S3685" i="34"/>
  <c r="Q3688" i="34"/>
  <c r="R3688" i="34"/>
  <c r="S3688" i="34"/>
  <c r="S3711" i="34"/>
  <c r="Q3711" i="34"/>
  <c r="R3711" i="34"/>
  <c r="Q3612" i="34"/>
  <c r="R3612" i="34"/>
  <c r="S3612" i="34"/>
  <c r="Q3635" i="34"/>
  <c r="R3635" i="34"/>
  <c r="S3635" i="34"/>
  <c r="S3643" i="34"/>
  <c r="Q3643" i="34"/>
  <c r="R3643" i="34"/>
  <c r="S3647" i="34"/>
  <c r="Q3647" i="34"/>
  <c r="R3647" i="34"/>
  <c r="S3652" i="34"/>
  <c r="Q3652" i="34"/>
  <c r="R3652" i="34"/>
  <c r="Q3689" i="34"/>
  <c r="R3689" i="34"/>
  <c r="S3689" i="34"/>
  <c r="S3697" i="34"/>
  <c r="Q3697" i="34"/>
  <c r="R3697" i="34"/>
  <c r="S2583" i="34"/>
  <c r="Q2583" i="34"/>
  <c r="R2583" i="34"/>
  <c r="S2587" i="34"/>
  <c r="Q2587" i="34"/>
  <c r="R2587" i="34"/>
  <c r="Q3577" i="34"/>
  <c r="R3577" i="34"/>
  <c r="S3577" i="34"/>
  <c r="Q3587" i="34"/>
  <c r="R3587" i="34"/>
  <c r="S3587" i="34"/>
  <c r="Q3591" i="34"/>
  <c r="R3591" i="34"/>
  <c r="S3591" i="34"/>
  <c r="Q3595" i="34"/>
  <c r="R3595" i="34"/>
  <c r="S3595" i="34"/>
  <c r="Q3599" i="34"/>
  <c r="R3599" i="34"/>
  <c r="S3599" i="34"/>
  <c r="R3602" i="34"/>
  <c r="S3602" i="34"/>
  <c r="Q3602" i="34"/>
  <c r="R3621" i="34"/>
  <c r="S3621" i="34"/>
  <c r="Q3621" i="34"/>
  <c r="Q2736" i="34"/>
  <c r="R2736" i="34"/>
  <c r="S2736" i="34"/>
  <c r="R3692" i="34"/>
  <c r="S3692" i="34"/>
  <c r="Q3692" i="34"/>
  <c r="S2691" i="34"/>
  <c r="Q2691" i="34"/>
  <c r="R2691" i="34"/>
  <c r="S2695" i="34"/>
  <c r="Q2695" i="34"/>
  <c r="R2695" i="34"/>
  <c r="S2699" i="34"/>
  <c r="Q2699" i="34"/>
  <c r="R2699" i="34"/>
  <c r="S2703" i="34"/>
  <c r="Q2703" i="34"/>
  <c r="R2703" i="34"/>
  <c r="Q2708" i="34"/>
  <c r="R2708" i="34"/>
  <c r="S2708" i="34"/>
  <c r="Q2712" i="34"/>
  <c r="R2712" i="34"/>
  <c r="S2712" i="34"/>
  <c r="Q2716" i="34"/>
  <c r="R2716" i="34"/>
  <c r="S2716" i="34"/>
  <c r="Q2720" i="34"/>
  <c r="R2720" i="34"/>
  <c r="S2720" i="34"/>
  <c r="Q2726" i="34"/>
  <c r="R2726" i="34"/>
  <c r="S2726" i="34"/>
  <c r="Q2730" i="34"/>
  <c r="R2730" i="34"/>
  <c r="S2730" i="34"/>
  <c r="Q2734" i="34"/>
  <c r="R2734" i="34"/>
  <c r="S2734" i="34"/>
  <c r="S2739" i="34"/>
  <c r="Q2739" i="34"/>
  <c r="R2739" i="34"/>
  <c r="S2743" i="34"/>
  <c r="Q2743" i="34"/>
  <c r="R2743" i="34"/>
  <c r="S2747" i="34"/>
  <c r="Q2747" i="34"/>
  <c r="R2747" i="34"/>
  <c r="S2751" i="34"/>
  <c r="Q2751" i="34"/>
  <c r="R2751" i="34"/>
  <c r="S2755" i="34"/>
  <c r="Q2755" i="34"/>
  <c r="R2755" i="34"/>
  <c r="S2759" i="34"/>
  <c r="Q2759" i="34"/>
  <c r="R2759" i="34"/>
  <c r="S2763" i="34"/>
  <c r="Q2763" i="34"/>
  <c r="R2763" i="34"/>
  <c r="S2767" i="34"/>
  <c r="Q2767" i="34"/>
  <c r="R2767" i="34"/>
  <c r="R35" i="34"/>
  <c r="S35" i="34"/>
  <c r="Q35" i="34"/>
  <c r="R110" i="34"/>
  <c r="S110" i="34"/>
  <c r="Q110" i="34"/>
  <c r="R114" i="34"/>
  <c r="S114" i="34"/>
  <c r="Q114" i="34"/>
  <c r="R118" i="34"/>
  <c r="S118" i="34"/>
  <c r="Q118" i="34"/>
  <c r="R1010" i="34"/>
  <c r="S1010" i="34"/>
  <c r="Q1010" i="34"/>
  <c r="R1014" i="34"/>
  <c r="S1014" i="34"/>
  <c r="Q1014" i="34"/>
  <c r="R1018" i="34"/>
  <c r="S1018" i="34"/>
  <c r="Q1018" i="34"/>
  <c r="R1022" i="34"/>
  <c r="S1022" i="34"/>
  <c r="Q1022" i="34"/>
  <c r="R1026" i="34"/>
  <c r="S1026" i="34"/>
  <c r="Q1026" i="34"/>
  <c r="Q339" i="34"/>
  <c r="R339" i="34"/>
  <c r="S339" i="34"/>
  <c r="Q343" i="34"/>
  <c r="R343" i="34"/>
  <c r="S343" i="34"/>
  <c r="Q347" i="34"/>
  <c r="R347" i="34"/>
  <c r="S347" i="34"/>
  <c r="Q351" i="34"/>
  <c r="R351" i="34"/>
  <c r="S351" i="34"/>
  <c r="Q355" i="34"/>
  <c r="R355" i="34"/>
  <c r="S355" i="34"/>
  <c r="Q359" i="34"/>
  <c r="R359" i="34"/>
  <c r="S359" i="34"/>
  <c r="Q363" i="34"/>
  <c r="R363" i="34"/>
  <c r="S363" i="34"/>
  <c r="Q367" i="34"/>
  <c r="R367" i="34"/>
  <c r="S367" i="34"/>
  <c r="Q371" i="34"/>
  <c r="R371" i="34"/>
  <c r="S371" i="34"/>
  <c r="S375" i="34"/>
  <c r="Q375" i="34"/>
  <c r="R375" i="34"/>
  <c r="Q1055" i="34"/>
  <c r="R1055" i="34"/>
  <c r="S1055" i="34"/>
  <c r="Q1059" i="34"/>
  <c r="R1059" i="34"/>
  <c r="S1059" i="34"/>
  <c r="Q1063" i="34"/>
  <c r="R1063" i="34"/>
  <c r="S1063" i="34"/>
  <c r="Q1067" i="34"/>
  <c r="R1067" i="34"/>
  <c r="S1067" i="34"/>
  <c r="Q1071" i="34"/>
  <c r="R1071" i="34"/>
  <c r="S1071" i="34"/>
  <c r="Q1075" i="34"/>
  <c r="R1075" i="34"/>
  <c r="S1075" i="34"/>
  <c r="Q1079" i="34"/>
  <c r="R1079" i="34"/>
  <c r="S1079" i="34"/>
  <c r="Q1083" i="34"/>
  <c r="R1083" i="34"/>
  <c r="S1083" i="34"/>
  <c r="Q1087" i="34"/>
  <c r="R1087" i="34"/>
  <c r="S1087" i="34"/>
  <c r="Q1091" i="34"/>
  <c r="R1091" i="34"/>
  <c r="S1091" i="34"/>
  <c r="S3723" i="34"/>
  <c r="Q3723" i="34"/>
  <c r="R3723" i="34"/>
  <c r="Q3786" i="34"/>
  <c r="R3786" i="34"/>
  <c r="S3786" i="34"/>
  <c r="R3699" i="34"/>
  <c r="S3699" i="34"/>
  <c r="Q3699" i="34"/>
  <c r="R3713" i="34"/>
  <c r="S3713" i="34"/>
  <c r="Q3713" i="34"/>
  <c r="R3730" i="34"/>
  <c r="S3730" i="34"/>
  <c r="Q3730" i="34"/>
  <c r="R3743" i="34"/>
  <c r="S3743" i="34"/>
  <c r="Q3743" i="34"/>
  <c r="R3748" i="34"/>
  <c r="S3748" i="34"/>
  <c r="Q3748" i="34"/>
  <c r="R3782" i="34"/>
  <c r="S3782" i="34"/>
  <c r="Q3782" i="34"/>
  <c r="R3787" i="34"/>
  <c r="S3787" i="34"/>
  <c r="Q3787" i="34"/>
  <c r="R3805" i="34"/>
  <c r="S3805" i="34"/>
  <c r="Q3805" i="34"/>
  <c r="Q3809" i="34"/>
  <c r="R3809" i="34"/>
  <c r="S3809" i="34"/>
  <c r="Q3737" i="34"/>
  <c r="R3737" i="34"/>
  <c r="S3737" i="34"/>
  <c r="Q3828" i="34"/>
  <c r="R3828" i="34"/>
  <c r="S3828" i="34"/>
  <c r="Q3839" i="34"/>
  <c r="R3839" i="34"/>
  <c r="S3839" i="34"/>
  <c r="Q3847" i="34"/>
  <c r="R3847" i="34"/>
  <c r="S3847" i="34"/>
  <c r="R3856" i="34"/>
  <c r="S3856" i="34"/>
  <c r="Q3856" i="34"/>
  <c r="S3854" i="34"/>
  <c r="Q3854" i="34"/>
  <c r="R3854" i="34"/>
  <c r="S2769" i="34"/>
  <c r="Q2769" i="34"/>
  <c r="R2769" i="34"/>
  <c r="Q2774" i="34"/>
  <c r="R2774" i="34"/>
  <c r="S2774" i="34"/>
  <c r="S2779" i="34"/>
  <c r="Q2779" i="34"/>
  <c r="R2779" i="34"/>
  <c r="S2783" i="34"/>
  <c r="Q2783" i="34"/>
  <c r="R2783" i="34"/>
  <c r="S2787" i="34"/>
  <c r="Q2787" i="34"/>
  <c r="R2787" i="34"/>
  <c r="S2791" i="34"/>
  <c r="Q2791" i="34"/>
  <c r="R2791" i="34"/>
  <c r="Q2794" i="34"/>
  <c r="R2794" i="34"/>
  <c r="S2794" i="34"/>
  <c r="Q2798" i="34"/>
  <c r="R2798" i="34"/>
  <c r="S2798" i="34"/>
  <c r="Q2802" i="34"/>
  <c r="R2802" i="34"/>
  <c r="S2802" i="34"/>
  <c r="R3742" i="34"/>
  <c r="S3742" i="34"/>
  <c r="Q3742" i="34"/>
  <c r="R3753" i="34"/>
  <c r="S3753" i="34"/>
  <c r="Q3753" i="34"/>
  <c r="R3757" i="34"/>
  <c r="S3757" i="34"/>
  <c r="Q3757" i="34"/>
  <c r="R3794" i="34"/>
  <c r="S3794" i="34"/>
  <c r="Q3794" i="34"/>
  <c r="R3798" i="34"/>
  <c r="S3798" i="34"/>
  <c r="Q3798" i="34"/>
  <c r="R3818" i="34"/>
  <c r="S3818" i="34"/>
  <c r="Q3818" i="34"/>
  <c r="Q3857" i="34"/>
  <c r="R3857" i="34"/>
  <c r="S3857" i="34"/>
  <c r="S3758" i="34"/>
  <c r="Q3758" i="34"/>
  <c r="R3758" i="34"/>
  <c r="S3762" i="34"/>
  <c r="Q3762" i="34"/>
  <c r="R3762" i="34"/>
  <c r="S3766" i="34"/>
  <c r="Q3766" i="34"/>
  <c r="R3766" i="34"/>
  <c r="S3770" i="34"/>
  <c r="Q3770" i="34"/>
  <c r="R3770" i="34"/>
  <c r="S3774" i="34"/>
  <c r="Q3774" i="34"/>
  <c r="R3774" i="34"/>
  <c r="S3778" i="34"/>
  <c r="Q3778" i="34"/>
  <c r="R3778" i="34"/>
  <c r="S3800" i="34"/>
  <c r="Q3800" i="34"/>
  <c r="R3800" i="34"/>
  <c r="S3815" i="34"/>
  <c r="Q3815" i="34"/>
  <c r="R3815" i="34"/>
  <c r="Q3844" i="34"/>
  <c r="R3844" i="34"/>
  <c r="S3844" i="34"/>
  <c r="S3831" i="34"/>
  <c r="Q3831" i="34"/>
  <c r="R3831" i="34"/>
  <c r="S2591" i="34"/>
  <c r="Q2591" i="34"/>
  <c r="R2591" i="34"/>
  <c r="Q125" i="34"/>
  <c r="R125" i="34"/>
  <c r="S125" i="34"/>
  <c r="Q129" i="34"/>
  <c r="R129" i="34"/>
  <c r="S129" i="34"/>
  <c r="Q133" i="34"/>
  <c r="R133" i="34"/>
  <c r="S133" i="34"/>
  <c r="Q137" i="34"/>
  <c r="R137" i="34"/>
  <c r="S137" i="34"/>
  <c r="Q1146" i="34"/>
  <c r="R1146" i="34"/>
  <c r="S1146" i="34"/>
  <c r="Q1150" i="34"/>
  <c r="R1150" i="34"/>
  <c r="S1150" i="34"/>
  <c r="Q1154" i="34"/>
  <c r="R1154" i="34"/>
  <c r="S1154" i="34"/>
  <c r="Q1158" i="34"/>
  <c r="R1158" i="34"/>
  <c r="S1158" i="34"/>
  <c r="Q1162" i="34"/>
  <c r="R1162" i="34"/>
  <c r="S1162" i="34"/>
  <c r="S379" i="34"/>
  <c r="Q379" i="34"/>
  <c r="R379" i="34"/>
  <c r="S383" i="34"/>
  <c r="Q383" i="34"/>
  <c r="R383" i="34"/>
  <c r="S387" i="34"/>
  <c r="Q387" i="34"/>
  <c r="R387" i="34"/>
  <c r="S391" i="34"/>
  <c r="Q391" i="34"/>
  <c r="R391" i="34"/>
  <c r="S395" i="34"/>
  <c r="Q395" i="34"/>
  <c r="R395" i="34"/>
  <c r="S399" i="34"/>
  <c r="Q399" i="34"/>
  <c r="R399" i="34"/>
  <c r="S403" i="34"/>
  <c r="Q403" i="34"/>
  <c r="R403" i="34"/>
  <c r="Q1186" i="34"/>
  <c r="R1186" i="34"/>
  <c r="S1186" i="34"/>
  <c r="Q1190" i="34"/>
  <c r="R1190" i="34"/>
  <c r="S1190" i="34"/>
  <c r="Q1194" i="34"/>
  <c r="R1194" i="34"/>
  <c r="S1194" i="34"/>
  <c r="Q1198" i="34"/>
  <c r="R1198" i="34"/>
  <c r="S1198" i="34"/>
  <c r="Q1204" i="34"/>
  <c r="R1204" i="34"/>
  <c r="S1204" i="34"/>
  <c r="Q1208" i="34"/>
  <c r="R1208" i="34"/>
  <c r="S1208" i="34"/>
  <c r="Q1212" i="34"/>
  <c r="R1212" i="34"/>
  <c r="S1212" i="34"/>
  <c r="Q1200" i="34"/>
  <c r="R1200" i="34"/>
  <c r="S1200" i="34"/>
  <c r="R3931" i="34"/>
  <c r="S3931" i="34"/>
  <c r="Q3931" i="34"/>
  <c r="Q3972" i="34"/>
  <c r="R3972" i="34"/>
  <c r="S3972" i="34"/>
  <c r="S3859" i="34"/>
  <c r="Q3859" i="34"/>
  <c r="R3859" i="34"/>
  <c r="S3869" i="34"/>
  <c r="Q3869" i="34"/>
  <c r="R3869" i="34"/>
  <c r="S3863" i="34"/>
  <c r="Q3863" i="34"/>
  <c r="R3863" i="34"/>
  <c r="Q3903" i="34"/>
  <c r="R3903" i="34"/>
  <c r="S3903" i="34"/>
  <c r="Q3908" i="34"/>
  <c r="R3908" i="34"/>
  <c r="S3908" i="34"/>
  <c r="Q3913" i="34"/>
  <c r="R3913" i="34"/>
  <c r="S3913" i="34"/>
  <c r="Q3919" i="34"/>
  <c r="R3919" i="34"/>
  <c r="S3919" i="34"/>
  <c r="Q3924" i="34"/>
  <c r="R3924" i="34"/>
  <c r="S3924" i="34"/>
  <c r="Q3928" i="34"/>
  <c r="R3928" i="34"/>
  <c r="S3928" i="34"/>
  <c r="Q3934" i="34"/>
  <c r="R3934" i="34"/>
  <c r="S3934" i="34"/>
  <c r="S3959" i="34"/>
  <c r="Q3959" i="34"/>
  <c r="R3959" i="34"/>
  <c r="S3963" i="34"/>
  <c r="Q3963" i="34"/>
  <c r="R3963" i="34"/>
  <c r="S3975" i="34"/>
  <c r="Q3975" i="34"/>
  <c r="R3975" i="34"/>
  <c r="S3979" i="34"/>
  <c r="Q3979" i="34"/>
  <c r="R3979" i="34"/>
  <c r="Q3996" i="34"/>
  <c r="R3996" i="34"/>
  <c r="S3996" i="34"/>
  <c r="S4024" i="34"/>
  <c r="Q4024" i="34"/>
  <c r="R4024" i="34"/>
  <c r="S4028" i="34"/>
  <c r="Q4028" i="34"/>
  <c r="R4028" i="34"/>
  <c r="R3872" i="34"/>
  <c r="S3872" i="34"/>
  <c r="Q3872" i="34"/>
  <c r="R3880" i="34"/>
  <c r="S3880" i="34"/>
  <c r="Q3880" i="34"/>
  <c r="R3884" i="34"/>
  <c r="S3884" i="34"/>
  <c r="Q3884" i="34"/>
  <c r="R3888" i="34"/>
  <c r="S3888" i="34"/>
  <c r="Q3888" i="34"/>
  <c r="R3892" i="34"/>
  <c r="S3892" i="34"/>
  <c r="Q3892" i="34"/>
  <c r="R3896" i="34"/>
  <c r="S3896" i="34"/>
  <c r="Q3896" i="34"/>
  <c r="R3900" i="34"/>
  <c r="S3900" i="34"/>
  <c r="Q3900" i="34"/>
  <c r="Q2812" i="34"/>
  <c r="R2812" i="34"/>
  <c r="S2812" i="34"/>
  <c r="R3939" i="34"/>
  <c r="S3939" i="34"/>
  <c r="Q3939" i="34"/>
  <c r="Q3948" i="34"/>
  <c r="R3948" i="34"/>
  <c r="S3948" i="34"/>
  <c r="Q3952" i="34"/>
  <c r="R3952" i="34"/>
  <c r="S3952" i="34"/>
  <c r="Q3956" i="34"/>
  <c r="R3956" i="34"/>
  <c r="S3956" i="34"/>
  <c r="Q3965" i="34"/>
  <c r="R3965" i="34"/>
  <c r="S3965" i="34"/>
  <c r="S2823" i="34"/>
  <c r="Q2823" i="34"/>
  <c r="R2823" i="34"/>
  <c r="Q3985" i="34"/>
  <c r="R3985" i="34"/>
  <c r="S3985" i="34"/>
  <c r="Q3992" i="34"/>
  <c r="R3992" i="34"/>
  <c r="S3992" i="34"/>
  <c r="R4000" i="34"/>
  <c r="S4000" i="34"/>
  <c r="Q4000" i="34"/>
  <c r="R4004" i="34"/>
  <c r="S4004" i="34"/>
  <c r="Q4004" i="34"/>
  <c r="R4008" i="34"/>
  <c r="S4008" i="34"/>
  <c r="Q4008" i="34"/>
  <c r="R4012" i="34"/>
  <c r="S4012" i="34"/>
  <c r="Q4012" i="34"/>
  <c r="R4016" i="34"/>
  <c r="S4016" i="34"/>
  <c r="Q4016" i="34"/>
  <c r="R4020" i="34"/>
  <c r="S4020" i="34"/>
  <c r="Q4020" i="34"/>
  <c r="S2809" i="34"/>
  <c r="Q2809" i="34"/>
  <c r="R2809" i="34"/>
  <c r="Q2592" i="34"/>
  <c r="R2592" i="34"/>
  <c r="S2592" i="34"/>
  <c r="Q2816" i="34"/>
  <c r="R2816" i="34"/>
  <c r="S2816" i="34"/>
  <c r="S2825" i="34"/>
  <c r="Q2825" i="34"/>
  <c r="R2825" i="34"/>
  <c r="Q2828" i="34"/>
  <c r="R2828" i="34"/>
  <c r="S2828" i="34"/>
  <c r="Q2832" i="34"/>
  <c r="R2832" i="34"/>
  <c r="S2832" i="34"/>
  <c r="Q2836" i="34"/>
  <c r="R2836" i="34"/>
  <c r="S2836" i="34"/>
  <c r="Q2840" i="34"/>
  <c r="R2840" i="34"/>
  <c r="S2840" i="34"/>
  <c r="Q2844" i="34"/>
  <c r="R2844" i="34"/>
  <c r="S2844" i="34"/>
  <c r="Q2848" i="34"/>
  <c r="R2848" i="34"/>
  <c r="S2848" i="34"/>
  <c r="Q2596" i="34"/>
  <c r="R2596" i="34"/>
  <c r="S2596" i="34"/>
  <c r="Q2600" i="34"/>
  <c r="R2600" i="34"/>
  <c r="S2600" i="34"/>
  <c r="Q2604" i="34"/>
  <c r="R2604" i="34"/>
  <c r="S2604" i="34"/>
  <c r="S3911" i="34"/>
  <c r="Q3911" i="34"/>
  <c r="R3911" i="34"/>
  <c r="R140" i="34"/>
  <c r="S140" i="34"/>
  <c r="Q140" i="34"/>
  <c r="R144" i="34"/>
  <c r="S144" i="34"/>
  <c r="Q144" i="34"/>
  <c r="R148" i="34"/>
  <c r="S148" i="34"/>
  <c r="Q148" i="34"/>
  <c r="R152" i="34"/>
  <c r="S152" i="34"/>
  <c r="Q152" i="34"/>
  <c r="S1269" i="34"/>
  <c r="Q1269" i="34"/>
  <c r="R1269" i="34"/>
  <c r="S1273" i="34"/>
  <c r="Q1273" i="34"/>
  <c r="R1273" i="34"/>
  <c r="S1277" i="34"/>
  <c r="Q1277" i="34"/>
  <c r="R1277" i="34"/>
  <c r="S1281" i="34"/>
  <c r="Q1281" i="34"/>
  <c r="R1281" i="34"/>
  <c r="S1285" i="34"/>
  <c r="Q1285" i="34"/>
  <c r="R1285" i="34"/>
  <c r="S1289" i="34"/>
  <c r="Q1289" i="34"/>
  <c r="R1289" i="34"/>
  <c r="Q413" i="34"/>
  <c r="R413" i="34"/>
  <c r="S413" i="34"/>
  <c r="Q417" i="34"/>
  <c r="R417" i="34"/>
  <c r="S417" i="34"/>
  <c r="Q421" i="34"/>
  <c r="R421" i="34"/>
  <c r="S421" i="34"/>
  <c r="Q425" i="34"/>
  <c r="R425" i="34"/>
  <c r="S425" i="34"/>
  <c r="Q429" i="34"/>
  <c r="R429" i="34"/>
  <c r="S429" i="34"/>
  <c r="Q433" i="34"/>
  <c r="R433" i="34"/>
  <c r="S433" i="34"/>
  <c r="Q437" i="34"/>
  <c r="R437" i="34"/>
  <c r="S437" i="34"/>
  <c r="Q441" i="34"/>
  <c r="R441" i="34"/>
  <c r="S441" i="34"/>
  <c r="Q445" i="34"/>
  <c r="R445" i="34"/>
  <c r="S445" i="34"/>
  <c r="Q449" i="34"/>
  <c r="R449" i="34"/>
  <c r="S449" i="34"/>
  <c r="Q453" i="34"/>
  <c r="R453" i="34"/>
  <c r="S453" i="34"/>
  <c r="Q457" i="34"/>
  <c r="R457" i="34"/>
  <c r="S457" i="34"/>
  <c r="S1311" i="34"/>
  <c r="Q1311" i="34"/>
  <c r="R1311" i="34"/>
  <c r="S1315" i="34"/>
  <c r="Q1315" i="34"/>
  <c r="R1315" i="34"/>
  <c r="S1319" i="34"/>
  <c r="Q1319" i="34"/>
  <c r="R1319" i="34"/>
  <c r="S1325" i="34"/>
  <c r="Q1325" i="34"/>
  <c r="R1325" i="34"/>
  <c r="S1327" i="34"/>
  <c r="Q1327" i="34"/>
  <c r="R1327" i="34"/>
  <c r="S1331" i="34"/>
  <c r="Q1331" i="34"/>
  <c r="R1331" i="34"/>
  <c r="S1335" i="34"/>
  <c r="Q1335" i="34"/>
  <c r="R1335" i="34"/>
  <c r="S1339" i="34"/>
  <c r="Q1339" i="34"/>
  <c r="R1339" i="34"/>
  <c r="S1343" i="34"/>
  <c r="Q1343" i="34"/>
  <c r="R1343" i="34"/>
  <c r="S1347" i="34"/>
  <c r="Q1347" i="34"/>
  <c r="R1347" i="34"/>
  <c r="S1351" i="34"/>
  <c r="Q1351" i="34"/>
  <c r="R1351" i="34"/>
  <c r="S1355" i="34"/>
  <c r="Q1355" i="34"/>
  <c r="R1355" i="34"/>
  <c r="S1359" i="34"/>
  <c r="Q1359" i="34"/>
  <c r="R1359" i="34"/>
  <c r="S1363" i="34"/>
  <c r="Q1363" i="34"/>
  <c r="R1363" i="34"/>
  <c r="S1367" i="34"/>
  <c r="Q1367" i="34"/>
  <c r="R1367" i="34"/>
  <c r="R4074" i="34"/>
  <c r="S4074" i="34"/>
  <c r="Q4074" i="34"/>
  <c r="Q4188" i="34"/>
  <c r="R4188" i="34"/>
  <c r="S4188" i="34"/>
  <c r="S4030" i="34"/>
  <c r="Q4030" i="34"/>
  <c r="R4030" i="34"/>
  <c r="S4044" i="34"/>
  <c r="Q4044" i="34"/>
  <c r="R4044" i="34"/>
  <c r="S4048" i="34"/>
  <c r="Q4048" i="34"/>
  <c r="R4048" i="34"/>
  <c r="S4053" i="34"/>
  <c r="Q4053" i="34"/>
  <c r="R4053" i="34"/>
  <c r="S4055" i="34"/>
  <c r="Q4055" i="34"/>
  <c r="R4055" i="34"/>
  <c r="S4070" i="34"/>
  <c r="Q4070" i="34"/>
  <c r="R4070" i="34"/>
  <c r="S4071" i="34"/>
  <c r="Q4071" i="34"/>
  <c r="R4071" i="34"/>
  <c r="S4078" i="34"/>
  <c r="Q4078" i="34"/>
  <c r="R4078" i="34"/>
  <c r="Q4090" i="34"/>
  <c r="R4090" i="34"/>
  <c r="S4090" i="34"/>
  <c r="Q4094" i="34"/>
  <c r="R4094" i="34"/>
  <c r="S4094" i="34"/>
  <c r="Q4101" i="34"/>
  <c r="R4101" i="34"/>
  <c r="S4101" i="34"/>
  <c r="Q4099" i="34"/>
  <c r="R4099" i="34"/>
  <c r="S4099" i="34"/>
  <c r="Q4087" i="34"/>
  <c r="R4087" i="34"/>
  <c r="S4087" i="34"/>
  <c r="Q4112" i="34"/>
  <c r="R4112" i="34"/>
  <c r="S4112" i="34"/>
  <c r="Q4135" i="34"/>
  <c r="R4135" i="34"/>
  <c r="S4135" i="34"/>
  <c r="Q4141" i="34"/>
  <c r="R4141" i="34"/>
  <c r="S4141" i="34"/>
  <c r="Q4145" i="34"/>
  <c r="R4145" i="34"/>
  <c r="S4145" i="34"/>
  <c r="Q4156" i="34"/>
  <c r="R4156" i="34"/>
  <c r="S4156" i="34"/>
  <c r="Q4161" i="34"/>
  <c r="R4161" i="34"/>
  <c r="S4161" i="34"/>
  <c r="S4184" i="34"/>
  <c r="Q4184" i="34"/>
  <c r="R4184" i="34"/>
  <c r="S4191" i="34"/>
  <c r="Q4191" i="34"/>
  <c r="R4191" i="34"/>
  <c r="S4199" i="34"/>
  <c r="Q4199" i="34"/>
  <c r="R4199" i="34"/>
  <c r="S4211" i="34"/>
  <c r="Q4211" i="34"/>
  <c r="R4211" i="34"/>
  <c r="S4222" i="34"/>
  <c r="Q4222" i="34"/>
  <c r="R4222" i="34"/>
  <c r="Q4218" i="34"/>
  <c r="R4218" i="34"/>
  <c r="S4218" i="34"/>
  <c r="Q4057" i="34"/>
  <c r="R4057" i="34"/>
  <c r="S4057" i="34"/>
  <c r="Q4040" i="34"/>
  <c r="R4040" i="34"/>
  <c r="S4040" i="34"/>
  <c r="S2609" i="34"/>
  <c r="Q2609" i="34"/>
  <c r="R2609" i="34"/>
  <c r="S4117" i="34"/>
  <c r="Q4117" i="34"/>
  <c r="R4117" i="34"/>
  <c r="S4121" i="34"/>
  <c r="Q4121" i="34"/>
  <c r="R4121" i="34"/>
  <c r="S4125" i="34"/>
  <c r="Q4125" i="34"/>
  <c r="R4125" i="34"/>
  <c r="Q2608" i="34"/>
  <c r="R2608" i="34"/>
  <c r="S2608" i="34"/>
  <c r="R4042" i="34"/>
  <c r="S4042" i="34"/>
  <c r="Q4042" i="34"/>
  <c r="S2853" i="34"/>
  <c r="Q2853" i="34"/>
  <c r="R2853" i="34"/>
  <c r="Q4066" i="34"/>
  <c r="R4066" i="34"/>
  <c r="S4066" i="34"/>
  <c r="R4082" i="34"/>
  <c r="S4082" i="34"/>
  <c r="Q4082" i="34"/>
  <c r="R4133" i="34"/>
  <c r="S4133" i="34"/>
  <c r="Q4133" i="34"/>
  <c r="R4147" i="34"/>
  <c r="S4147" i="34"/>
  <c r="Q4147" i="34"/>
  <c r="Q4150" i="34"/>
  <c r="R4150" i="34"/>
  <c r="S4150" i="34"/>
  <c r="R4165" i="34"/>
  <c r="S4165" i="34"/>
  <c r="Q4165" i="34"/>
  <c r="R4169" i="34"/>
  <c r="S4169" i="34"/>
  <c r="Q4169" i="34"/>
  <c r="R4173" i="34"/>
  <c r="S4173" i="34"/>
  <c r="Q4173" i="34"/>
  <c r="Q4180" i="34"/>
  <c r="R4180" i="34"/>
  <c r="S4180" i="34"/>
  <c r="R4189" i="34"/>
  <c r="S4189" i="34"/>
  <c r="Q4189" i="34"/>
  <c r="R4202" i="34"/>
  <c r="S4202" i="34"/>
  <c r="Q4202" i="34"/>
  <c r="Q4208" i="34"/>
  <c r="R4208" i="34"/>
  <c r="S4208" i="34"/>
  <c r="R4225" i="34"/>
  <c r="S4225" i="34"/>
  <c r="Q4225" i="34"/>
  <c r="S2855" i="34"/>
  <c r="Q2855" i="34"/>
  <c r="R2855" i="34"/>
  <c r="Q2860" i="34"/>
  <c r="R2860" i="34"/>
  <c r="S2860" i="34"/>
  <c r="S2865" i="34"/>
  <c r="Q2865" i="34"/>
  <c r="R2865" i="34"/>
  <c r="Q2872" i="34"/>
  <c r="R2872" i="34"/>
  <c r="S2872" i="34"/>
  <c r="S2879" i="34"/>
  <c r="Q2879" i="34"/>
  <c r="R2879" i="34"/>
  <c r="S2899" i="34"/>
  <c r="Q2899" i="34"/>
  <c r="R2899" i="34"/>
  <c r="Q4205" i="34"/>
  <c r="R4205" i="34"/>
  <c r="S4205" i="34"/>
  <c r="Q2906" i="34"/>
  <c r="R2906" i="34"/>
  <c r="S2906" i="34"/>
  <c r="R43" i="34"/>
  <c r="S43" i="34"/>
  <c r="Q43" i="34"/>
  <c r="R158" i="34"/>
  <c r="S158" i="34"/>
  <c r="Q158" i="34"/>
  <c r="R162" i="34"/>
  <c r="S162" i="34"/>
  <c r="Q162" i="34"/>
  <c r="R166" i="34"/>
  <c r="Q166" i="34"/>
  <c r="S166" i="34"/>
  <c r="R170" i="34"/>
  <c r="S170" i="34"/>
  <c r="Q170" i="34"/>
  <c r="S1432" i="34"/>
  <c r="Q1432" i="34"/>
  <c r="R1432" i="34"/>
  <c r="Q1437" i="34"/>
  <c r="R1437" i="34"/>
  <c r="S1437" i="34"/>
  <c r="S1440" i="34"/>
  <c r="Q1440" i="34"/>
  <c r="R1440" i="34"/>
  <c r="S1444" i="34"/>
  <c r="Q1444" i="34"/>
  <c r="R1444" i="34"/>
  <c r="S1448" i="34"/>
  <c r="Q1448" i="34"/>
  <c r="R1448" i="34"/>
  <c r="S1452" i="34"/>
  <c r="Q1452" i="34"/>
  <c r="R1452" i="34"/>
  <c r="S1456" i="34"/>
  <c r="Q1456" i="34"/>
  <c r="R1456" i="34"/>
  <c r="S1460" i="34"/>
  <c r="Q1460" i="34"/>
  <c r="R1460" i="34"/>
  <c r="S1464" i="34"/>
  <c r="Q1464" i="34"/>
  <c r="R1464" i="34"/>
  <c r="S464" i="34"/>
  <c r="Q464" i="34"/>
  <c r="R464" i="34"/>
  <c r="S468" i="34"/>
  <c r="Q468" i="34"/>
  <c r="R468" i="34"/>
  <c r="S472" i="34"/>
  <c r="Q472" i="34"/>
  <c r="R472" i="34"/>
  <c r="S476" i="34"/>
  <c r="Q476" i="34"/>
  <c r="R476" i="34"/>
  <c r="S480" i="34"/>
  <c r="Q480" i="34"/>
  <c r="R480" i="34"/>
  <c r="S484" i="34"/>
  <c r="Q484" i="34"/>
  <c r="R484" i="34"/>
  <c r="S488" i="34"/>
  <c r="Q488" i="34"/>
  <c r="R488" i="34"/>
  <c r="S492" i="34"/>
  <c r="Q492" i="34"/>
  <c r="R492" i="34"/>
  <c r="S496" i="34"/>
  <c r="Q496" i="34"/>
  <c r="R496" i="34"/>
  <c r="S500" i="34"/>
  <c r="Q500" i="34"/>
  <c r="R500" i="34"/>
  <c r="S504" i="34"/>
  <c r="Q504" i="34"/>
  <c r="R504" i="34"/>
  <c r="S508" i="34"/>
  <c r="Q508" i="34"/>
  <c r="R508" i="34"/>
  <c r="Q1523" i="34"/>
  <c r="R1523" i="34"/>
  <c r="S1523" i="34"/>
  <c r="Q1527" i="34"/>
  <c r="R1527" i="34"/>
  <c r="S1527" i="34"/>
  <c r="Q1531" i="34"/>
  <c r="R1531" i="34"/>
  <c r="S1531" i="34"/>
  <c r="Q1535" i="34"/>
  <c r="R1535" i="34"/>
  <c r="S1535" i="34"/>
  <c r="R1539" i="34"/>
  <c r="S1539" i="34"/>
  <c r="Q1539" i="34"/>
  <c r="R1543" i="34"/>
  <c r="S1543" i="34"/>
  <c r="Q1543" i="34"/>
  <c r="S4297" i="34"/>
  <c r="Q4297" i="34"/>
  <c r="R4297" i="34"/>
  <c r="R4349" i="34"/>
  <c r="S4349" i="34"/>
  <c r="Q4349" i="34"/>
  <c r="S4108" i="34"/>
  <c r="Q4108" i="34"/>
  <c r="R4108" i="34"/>
  <c r="S4235" i="34"/>
  <c r="Q4235" i="34"/>
  <c r="R4235" i="34"/>
  <c r="S4239" i="34"/>
  <c r="Q4239" i="34"/>
  <c r="R4239" i="34"/>
  <c r="S4243" i="34"/>
  <c r="Q4243" i="34"/>
  <c r="R4243" i="34"/>
  <c r="S4159" i="34"/>
  <c r="Q4159" i="34"/>
  <c r="R4159" i="34"/>
  <c r="S4250" i="34"/>
  <c r="Q4250" i="34"/>
  <c r="R4250" i="34"/>
  <c r="S4198" i="34"/>
  <c r="Q4198" i="34"/>
  <c r="R4198" i="34"/>
  <c r="S4263" i="34"/>
  <c r="Q4263" i="34"/>
  <c r="R4263" i="34"/>
  <c r="Q4302" i="34"/>
  <c r="R4302" i="34"/>
  <c r="S4302" i="34"/>
  <c r="S4312" i="34"/>
  <c r="Q4312" i="34"/>
  <c r="R4312" i="34"/>
  <c r="S4906" i="34"/>
  <c r="Q4906" i="34"/>
  <c r="R4906" i="34"/>
  <c r="S4328" i="34"/>
  <c r="Q4328" i="34"/>
  <c r="R4328" i="34"/>
  <c r="S4374" i="34"/>
  <c r="Q4374" i="34"/>
  <c r="R4374" i="34"/>
  <c r="S4383" i="34"/>
  <c r="Q4383" i="34"/>
  <c r="R4383" i="34"/>
  <c r="S4330" i="34"/>
  <c r="Q4330" i="34"/>
  <c r="R4330" i="34"/>
  <c r="S4334" i="34"/>
  <c r="Q4334" i="34"/>
  <c r="R4334" i="34"/>
  <c r="Q4229" i="34"/>
  <c r="R4229" i="34"/>
  <c r="S4229" i="34"/>
  <c r="Q4248" i="34"/>
  <c r="R4248" i="34"/>
  <c r="S4248" i="34"/>
  <c r="Q4264" i="34"/>
  <c r="R4264" i="34"/>
  <c r="S4264" i="34"/>
  <c r="Q4273" i="34"/>
  <c r="R4273" i="34"/>
  <c r="S4273" i="34"/>
  <c r="Q4277" i="34"/>
  <c r="R4277" i="34"/>
  <c r="S4277" i="34"/>
  <c r="Q4301" i="34"/>
  <c r="R4301" i="34"/>
  <c r="S4301" i="34"/>
  <c r="Q4320" i="34"/>
  <c r="R4320" i="34"/>
  <c r="S4320" i="34"/>
  <c r="Q4337" i="34"/>
  <c r="R4337" i="34"/>
  <c r="S4337" i="34"/>
  <c r="Q4343" i="34"/>
  <c r="R4343" i="34"/>
  <c r="S4343" i="34"/>
  <c r="Q4347" i="34"/>
  <c r="R4347" i="34"/>
  <c r="S4347" i="34"/>
  <c r="Q4378" i="34"/>
  <c r="R4378" i="34"/>
  <c r="S4378" i="34"/>
  <c r="Q4257" i="34"/>
  <c r="R4257" i="34"/>
  <c r="S4257" i="34"/>
  <c r="R4260" i="34"/>
  <c r="S4260" i="34"/>
  <c r="Q4260" i="34"/>
  <c r="Q4278" i="34"/>
  <c r="R4278" i="34"/>
  <c r="S4278" i="34"/>
  <c r="R4286" i="34"/>
  <c r="S4286" i="34"/>
  <c r="Q4286" i="34"/>
  <c r="R4292" i="34"/>
  <c r="S4292" i="34"/>
  <c r="Q4292" i="34"/>
  <c r="Q4309" i="34"/>
  <c r="R4309" i="34"/>
  <c r="S4309" i="34"/>
  <c r="Q4350" i="34"/>
  <c r="R4350" i="34"/>
  <c r="S4350" i="34"/>
  <c r="R4355" i="34"/>
  <c r="S4355" i="34"/>
  <c r="Q4355" i="34"/>
  <c r="R4359" i="34"/>
  <c r="S4359" i="34"/>
  <c r="Q4359" i="34"/>
  <c r="R4363" i="34"/>
  <c r="S4363" i="34"/>
  <c r="Q4363" i="34"/>
  <c r="R4367" i="34"/>
  <c r="S4367" i="34"/>
  <c r="Q4367" i="34"/>
  <c r="R4371" i="34"/>
  <c r="S4371" i="34"/>
  <c r="Q4371" i="34"/>
  <c r="Q2914" i="34"/>
  <c r="R2914" i="34"/>
  <c r="S2914" i="34"/>
  <c r="Q2920" i="34"/>
  <c r="R2920" i="34"/>
  <c r="S2920" i="34"/>
  <c r="S2925" i="34"/>
  <c r="Q2925" i="34"/>
  <c r="R2925" i="34"/>
  <c r="Q2930" i="34"/>
  <c r="R2930" i="34"/>
  <c r="S2930" i="34"/>
  <c r="Q2934" i="34"/>
  <c r="R2934" i="34"/>
  <c r="S2934" i="34"/>
  <c r="Q2938" i="34"/>
  <c r="R2938" i="34"/>
  <c r="S2938" i="34"/>
  <c r="Q2942" i="34"/>
  <c r="R2942" i="34"/>
  <c r="S2942" i="34"/>
  <c r="Q2946" i="34"/>
  <c r="R2946" i="34"/>
  <c r="S2946" i="34"/>
  <c r="Q2950" i="34"/>
  <c r="R2950" i="34"/>
  <c r="S2950" i="34"/>
  <c r="Q2954" i="34"/>
  <c r="R2954" i="34"/>
  <c r="S2954" i="34"/>
  <c r="Q2958" i="34"/>
  <c r="R2958" i="34"/>
  <c r="S2958" i="34"/>
  <c r="Q2962" i="34"/>
  <c r="R2962" i="34"/>
  <c r="S2962" i="34"/>
  <c r="Q2966" i="34"/>
  <c r="R2966" i="34"/>
  <c r="S2966" i="34"/>
  <c r="Q2970" i="34"/>
  <c r="R2970" i="34"/>
  <c r="S2970" i="34"/>
  <c r="S4384" i="34"/>
  <c r="Q4384" i="34"/>
  <c r="R4384" i="34"/>
  <c r="Q190" i="34"/>
  <c r="R190" i="34"/>
  <c r="S190" i="34"/>
  <c r="Q194" i="34"/>
  <c r="R194" i="34"/>
  <c r="S194" i="34"/>
  <c r="Q198" i="34"/>
  <c r="R198" i="34"/>
  <c r="S198" i="34"/>
  <c r="Q202" i="34"/>
  <c r="R202" i="34"/>
  <c r="S202" i="34"/>
  <c r="Q1753" i="34"/>
  <c r="R1753" i="34"/>
  <c r="S1753" i="34"/>
  <c r="Q1757" i="34"/>
  <c r="R1757" i="34"/>
  <c r="S1757" i="34"/>
  <c r="R562" i="34"/>
  <c r="S562" i="34"/>
  <c r="Q562" i="34"/>
  <c r="R566" i="34"/>
  <c r="S566" i="34"/>
  <c r="Q566" i="34"/>
  <c r="R570" i="34"/>
  <c r="S570" i="34"/>
  <c r="Q570" i="34"/>
  <c r="R574" i="34"/>
  <c r="S574" i="34"/>
  <c r="Q574" i="34"/>
  <c r="R578" i="34"/>
  <c r="S578" i="34"/>
  <c r="Q578" i="34"/>
  <c r="R582" i="34"/>
  <c r="S582" i="34"/>
  <c r="Q582" i="34"/>
  <c r="R586" i="34"/>
  <c r="S586" i="34"/>
  <c r="Q586" i="34"/>
  <c r="R590" i="34"/>
  <c r="S590" i="34"/>
  <c r="Q590" i="34"/>
  <c r="R594" i="34"/>
  <c r="S594" i="34"/>
  <c r="Q594" i="34"/>
  <c r="R598" i="34"/>
  <c r="S598" i="34"/>
  <c r="Q598" i="34"/>
  <c r="R602" i="34"/>
  <c r="S602" i="34"/>
  <c r="Q602" i="34"/>
  <c r="R1778" i="34"/>
  <c r="S1778" i="34"/>
  <c r="Q1778" i="34"/>
  <c r="R1782" i="34"/>
  <c r="S1782" i="34"/>
  <c r="Q1782" i="34"/>
  <c r="R1786" i="34"/>
  <c r="S1786" i="34"/>
  <c r="Q1786" i="34"/>
  <c r="R1790" i="34"/>
  <c r="S1790" i="34"/>
  <c r="Q1790" i="34"/>
  <c r="R1794" i="34"/>
  <c r="S1794" i="34"/>
  <c r="Q1794" i="34"/>
  <c r="R4595" i="34"/>
  <c r="S4595" i="34"/>
  <c r="Q4595" i="34"/>
  <c r="Q4696" i="34"/>
  <c r="R4696" i="34"/>
  <c r="S4696" i="34"/>
  <c r="R4766" i="34"/>
  <c r="S4766" i="34"/>
  <c r="Q4766" i="34"/>
  <c r="S4599" i="34"/>
  <c r="Q4599" i="34"/>
  <c r="R4599" i="34"/>
  <c r="S4628" i="34"/>
  <c r="Q4628" i="34"/>
  <c r="R4628" i="34"/>
  <c r="S4634" i="34"/>
  <c r="Q4634" i="34"/>
  <c r="R4634" i="34"/>
  <c r="S4638" i="34"/>
  <c r="Q4638" i="34"/>
  <c r="R4638" i="34"/>
  <c r="S4648" i="34"/>
  <c r="Q4648" i="34"/>
  <c r="R4648" i="34"/>
  <c r="S4661" i="34"/>
  <c r="Q4661" i="34"/>
  <c r="R4661" i="34"/>
  <c r="S4676" i="34"/>
  <c r="Q4676" i="34"/>
  <c r="R4676" i="34"/>
  <c r="S4680" i="34"/>
  <c r="Q4680" i="34"/>
  <c r="R4680" i="34"/>
  <c r="S4688" i="34"/>
  <c r="Q4688" i="34"/>
  <c r="R4688" i="34"/>
  <c r="S4716" i="34"/>
  <c r="Q4716" i="34"/>
  <c r="R4716" i="34"/>
  <c r="S4860" i="34"/>
  <c r="Q4860" i="34"/>
  <c r="R4860" i="34"/>
  <c r="S4721" i="34"/>
  <c r="Q4721" i="34"/>
  <c r="R4721" i="34"/>
  <c r="S4725" i="34"/>
  <c r="Q4725" i="34"/>
  <c r="R4725" i="34"/>
  <c r="S4730" i="34"/>
  <c r="Q4730" i="34"/>
  <c r="R4730" i="34"/>
  <c r="S4744" i="34"/>
  <c r="Q4744" i="34"/>
  <c r="R4744" i="34"/>
  <c r="S4764" i="34"/>
  <c r="Q4764" i="34"/>
  <c r="R4764" i="34"/>
  <c r="S4774" i="34"/>
  <c r="Q4774" i="34"/>
  <c r="R4774" i="34"/>
  <c r="S4777" i="34"/>
  <c r="Q4777" i="34"/>
  <c r="R4777" i="34"/>
  <c r="R4601" i="34"/>
  <c r="S4601" i="34"/>
  <c r="Q4601" i="34"/>
  <c r="R4605" i="34"/>
  <c r="S4605" i="34"/>
  <c r="Q4605" i="34"/>
  <c r="Q4624" i="34"/>
  <c r="R4624" i="34"/>
  <c r="S4624" i="34"/>
  <c r="S3031" i="34"/>
  <c r="Q3031" i="34"/>
  <c r="R3031" i="34"/>
  <c r="Q4654" i="34"/>
  <c r="R4654" i="34"/>
  <c r="S4654" i="34"/>
  <c r="Q4662" i="34"/>
  <c r="R4662" i="34"/>
  <c r="S4662" i="34"/>
  <c r="Q4670" i="34"/>
  <c r="R4670" i="34"/>
  <c r="S4670" i="34"/>
  <c r="Q4681" i="34"/>
  <c r="R4681" i="34"/>
  <c r="S4681" i="34"/>
  <c r="Q4691" i="34"/>
  <c r="R4691" i="34"/>
  <c r="S4691" i="34"/>
  <c r="Q3044" i="34"/>
  <c r="R3044" i="34"/>
  <c r="S3044" i="34"/>
  <c r="R4703" i="34"/>
  <c r="S4703" i="34"/>
  <c r="Q4703" i="34"/>
  <c r="R4707" i="34"/>
  <c r="S4707" i="34"/>
  <c r="Q4707" i="34"/>
  <c r="Q4718" i="34"/>
  <c r="R4718" i="34"/>
  <c r="S4718" i="34"/>
  <c r="R4754" i="34"/>
  <c r="S4754" i="34"/>
  <c r="Q4754" i="34"/>
  <c r="R4758" i="34"/>
  <c r="S4758" i="34"/>
  <c r="Q4758" i="34"/>
  <c r="Q3020" i="34"/>
  <c r="R3020" i="34"/>
  <c r="S3020" i="34"/>
  <c r="S3025" i="34"/>
  <c r="Q3025" i="34"/>
  <c r="R3025" i="34"/>
  <c r="S3029" i="34"/>
  <c r="Q3029" i="34"/>
  <c r="R3029" i="34"/>
  <c r="Q3034" i="34"/>
  <c r="R3034" i="34"/>
  <c r="S3034" i="34"/>
  <c r="Q3038" i="34"/>
  <c r="R3038" i="34"/>
  <c r="S3038" i="34"/>
  <c r="S3045" i="34"/>
  <c r="Q3045" i="34"/>
  <c r="R3045" i="34"/>
  <c r="S3049" i="34"/>
  <c r="Q3049" i="34"/>
  <c r="R3049" i="34"/>
  <c r="S3053" i="34"/>
  <c r="Q3053" i="34"/>
  <c r="R3053" i="34"/>
  <c r="S3057" i="34"/>
  <c r="Q3057" i="34"/>
  <c r="R3057" i="34"/>
  <c r="S3061" i="34"/>
  <c r="Q3061" i="34"/>
  <c r="R3061" i="34"/>
  <c r="S3065" i="34"/>
  <c r="Q3065" i="34"/>
  <c r="R3065" i="34"/>
  <c r="Q3068" i="34"/>
  <c r="R3068" i="34"/>
  <c r="S3068" i="34"/>
  <c r="Q4614" i="34"/>
  <c r="R4614" i="34"/>
  <c r="S4614" i="34"/>
  <c r="Q4618" i="34"/>
  <c r="R4618" i="34"/>
  <c r="S4618" i="34"/>
  <c r="Q4622" i="34"/>
  <c r="R4622" i="34"/>
  <c r="S4622" i="34"/>
  <c r="Q4740" i="34"/>
  <c r="R4740" i="34"/>
  <c r="S4740" i="34"/>
  <c r="Q2503" i="34"/>
  <c r="R2503" i="34"/>
  <c r="S2503" i="34"/>
  <c r="Q2495" i="34"/>
  <c r="R2495" i="34"/>
  <c r="S2495" i="34"/>
  <c r="S2502" i="34"/>
  <c r="Q2502" i="34"/>
  <c r="R2502" i="34"/>
  <c r="R4693" i="34"/>
  <c r="Q4693" i="34"/>
  <c r="S4693" i="34"/>
  <c r="R4734" i="34"/>
  <c r="Q4734" i="34"/>
  <c r="S4734" i="34"/>
  <c r="S4739" i="34"/>
  <c r="Q4739" i="34"/>
  <c r="R4739" i="34"/>
  <c r="Q54" i="34"/>
  <c r="R54" i="34"/>
  <c r="S54" i="34"/>
  <c r="Q208" i="34"/>
  <c r="R208" i="34"/>
  <c r="S208" i="34"/>
  <c r="Q212" i="34"/>
  <c r="R212" i="34"/>
  <c r="S212" i="34"/>
  <c r="Q216" i="34"/>
  <c r="R216" i="34"/>
  <c r="S216" i="34"/>
  <c r="Q1824" i="34"/>
  <c r="R1824" i="34"/>
  <c r="S1824" i="34"/>
  <c r="Q1828" i="34"/>
  <c r="R1828" i="34"/>
  <c r="S1828" i="34"/>
  <c r="Q1832" i="34"/>
  <c r="R1832" i="34"/>
  <c r="S1832" i="34"/>
  <c r="Q1836" i="34"/>
  <c r="R1836" i="34"/>
  <c r="S1836" i="34"/>
  <c r="Q1840" i="34"/>
  <c r="R1840" i="34"/>
  <c r="S1840" i="34"/>
  <c r="Q1858" i="34"/>
  <c r="R1858" i="34"/>
  <c r="S1858" i="34"/>
  <c r="R610" i="34"/>
  <c r="S610" i="34"/>
  <c r="Q610" i="34"/>
  <c r="R614" i="34"/>
  <c r="S614" i="34"/>
  <c r="Q614" i="34"/>
  <c r="R622" i="34"/>
  <c r="S622" i="34"/>
  <c r="Q622" i="34"/>
  <c r="R626" i="34"/>
  <c r="S626" i="34"/>
  <c r="Q626" i="34"/>
  <c r="R630" i="34"/>
  <c r="S630" i="34"/>
  <c r="Q630" i="34"/>
  <c r="R634" i="34"/>
  <c r="S634" i="34"/>
  <c r="Q634" i="34"/>
  <c r="R638" i="34"/>
  <c r="S638" i="34"/>
  <c r="Q638" i="34"/>
  <c r="R642" i="34"/>
  <c r="S642" i="34"/>
  <c r="Q642" i="34"/>
  <c r="R646" i="34"/>
  <c r="S646" i="34"/>
  <c r="Q646" i="34"/>
  <c r="R650" i="34"/>
  <c r="S650" i="34"/>
  <c r="Q650" i="34"/>
  <c r="R654" i="34"/>
  <c r="S654" i="34"/>
  <c r="Q654" i="34"/>
  <c r="R658" i="34"/>
  <c r="S658" i="34"/>
  <c r="Q658" i="34"/>
  <c r="R662" i="34"/>
  <c r="S662" i="34"/>
  <c r="Q662" i="34"/>
  <c r="R666" i="34"/>
  <c r="S666" i="34"/>
  <c r="Q666" i="34"/>
  <c r="R670" i="34"/>
  <c r="S670" i="34"/>
  <c r="Q670" i="34"/>
  <c r="R1901" i="34"/>
  <c r="S1901" i="34"/>
  <c r="Q1901" i="34"/>
  <c r="R1905" i="34"/>
  <c r="S1905" i="34"/>
  <c r="Q1905" i="34"/>
  <c r="R1909" i="34"/>
  <c r="S1909" i="34"/>
  <c r="Q1909" i="34"/>
  <c r="R1913" i="34"/>
  <c r="S1913" i="34"/>
  <c r="Q1913" i="34"/>
  <c r="R1917" i="34"/>
  <c r="S1917" i="34"/>
  <c r="Q1917" i="34"/>
  <c r="R1921" i="34"/>
  <c r="S1921" i="34"/>
  <c r="Q1921" i="34"/>
  <c r="S1927" i="34"/>
  <c r="Q1927" i="34"/>
  <c r="R1927" i="34"/>
  <c r="Q1937" i="34"/>
  <c r="R1937" i="34"/>
  <c r="S1937" i="34"/>
  <c r="R4812" i="34"/>
  <c r="Q4812" i="34"/>
  <c r="S4812" i="34"/>
  <c r="Q4921" i="34"/>
  <c r="R4921" i="34"/>
  <c r="S4921" i="34"/>
  <c r="Q4987" i="34"/>
  <c r="R4987" i="34"/>
  <c r="S4987" i="34"/>
  <c r="S4872" i="34"/>
  <c r="Q4872" i="34"/>
  <c r="R4872" i="34"/>
  <c r="Q4933" i="34"/>
  <c r="R4933" i="34"/>
  <c r="S4933" i="34"/>
  <c r="S4950" i="34"/>
  <c r="Q4950" i="34"/>
  <c r="R4950" i="34"/>
  <c r="Q5002" i="34"/>
  <c r="R5002" i="34"/>
  <c r="S5002" i="34"/>
  <c r="R4790" i="34"/>
  <c r="S4790" i="34"/>
  <c r="Q4790" i="34"/>
  <c r="R4811" i="34"/>
  <c r="S4811" i="34"/>
  <c r="Q4811" i="34"/>
  <c r="Q4830" i="34"/>
  <c r="R4830" i="34"/>
  <c r="S4830" i="34"/>
  <c r="R4813" i="34"/>
  <c r="Q4813" i="34"/>
  <c r="S4813" i="34"/>
  <c r="R4817" i="34"/>
  <c r="Q4817" i="34"/>
  <c r="S4817" i="34"/>
  <c r="R4821" i="34"/>
  <c r="Q4821" i="34"/>
  <c r="S4821" i="34"/>
  <c r="R4880" i="34"/>
  <c r="Q4880" i="34"/>
  <c r="S4880" i="34"/>
  <c r="R4884" i="34"/>
  <c r="Q4884" i="34"/>
  <c r="S4884" i="34"/>
  <c r="R4896" i="34"/>
  <c r="Q4896" i="34"/>
  <c r="S4896" i="34"/>
  <c r="S3075" i="34"/>
  <c r="Q3075" i="34"/>
  <c r="R3075" i="34"/>
  <c r="S3079" i="34"/>
  <c r="Q3079" i="34"/>
  <c r="R3079" i="34"/>
  <c r="S3085" i="34"/>
  <c r="Q3085" i="34"/>
  <c r="R3085" i="34"/>
  <c r="Q3090" i="34"/>
  <c r="R3090" i="34"/>
  <c r="S3090" i="34"/>
  <c r="Q3094" i="34"/>
  <c r="R3094" i="34"/>
  <c r="S3094" i="34"/>
  <c r="S3097" i="34"/>
  <c r="Q3097" i="34"/>
  <c r="R3097" i="34"/>
  <c r="S3101" i="34"/>
  <c r="Q3101" i="34"/>
  <c r="R3101" i="34"/>
  <c r="Q3106" i="34"/>
  <c r="R3106" i="34"/>
  <c r="S3106" i="34"/>
  <c r="Q78" i="34"/>
  <c r="R78" i="34"/>
  <c r="S78" i="34"/>
  <c r="Q82" i="34"/>
  <c r="R82" i="34"/>
  <c r="S82" i="34"/>
  <c r="Q86" i="34"/>
  <c r="R86" i="34"/>
  <c r="S86" i="34"/>
  <c r="R848" i="34"/>
  <c r="S848" i="34"/>
  <c r="Q848" i="34"/>
  <c r="R852" i="34"/>
  <c r="S852" i="34"/>
  <c r="Q852" i="34"/>
  <c r="R856" i="34"/>
  <c r="S856" i="34"/>
  <c r="Q856" i="34"/>
  <c r="Q2002" i="34"/>
  <c r="R2002" i="34"/>
  <c r="S2002" i="34"/>
  <c r="Q861" i="34"/>
  <c r="R861" i="34"/>
  <c r="S861" i="34"/>
  <c r="R290" i="34"/>
  <c r="S290" i="34"/>
  <c r="Q290" i="34"/>
  <c r="R294" i="34"/>
  <c r="S294" i="34"/>
  <c r="Q294" i="34"/>
  <c r="R298" i="34"/>
  <c r="S298" i="34"/>
  <c r="Q298" i="34"/>
  <c r="R302" i="34"/>
  <c r="S302" i="34"/>
  <c r="Q302" i="34"/>
  <c r="R306" i="34"/>
  <c r="S306" i="34"/>
  <c r="Q306" i="34"/>
  <c r="R310" i="34"/>
  <c r="S310" i="34"/>
  <c r="Q310" i="34"/>
  <c r="R314" i="34"/>
  <c r="S314" i="34"/>
  <c r="Q314" i="34"/>
  <c r="R318" i="34"/>
  <c r="S318" i="34"/>
  <c r="Q318" i="34"/>
  <c r="R322" i="34"/>
  <c r="S322" i="34"/>
  <c r="Q322" i="34"/>
  <c r="Q888" i="34"/>
  <c r="R888" i="34"/>
  <c r="S888" i="34"/>
  <c r="Q892" i="34"/>
  <c r="R892" i="34"/>
  <c r="S892" i="34"/>
  <c r="Q896" i="34"/>
  <c r="R896" i="34"/>
  <c r="S896" i="34"/>
  <c r="Q900" i="34"/>
  <c r="R900" i="34"/>
  <c r="S900" i="34"/>
  <c r="Q904" i="34"/>
  <c r="R904" i="34"/>
  <c r="S904" i="34"/>
  <c r="Q908" i="34"/>
  <c r="R908" i="34"/>
  <c r="S908" i="34"/>
  <c r="S3461" i="34"/>
  <c r="Q3461" i="34"/>
  <c r="R3461" i="34"/>
  <c r="Q3545" i="34"/>
  <c r="R3545" i="34"/>
  <c r="S3545" i="34"/>
  <c r="Q3429" i="34"/>
  <c r="R3429" i="34"/>
  <c r="S3429" i="34"/>
  <c r="R3432" i="34"/>
  <c r="S3432" i="34"/>
  <c r="Q3432" i="34"/>
  <c r="R3437" i="34"/>
  <c r="S3437" i="34"/>
  <c r="Q3437" i="34"/>
  <c r="R3449" i="34"/>
  <c r="S3449" i="34"/>
  <c r="Q3449" i="34"/>
  <c r="Q3458" i="34"/>
  <c r="R3458" i="34"/>
  <c r="S3458" i="34"/>
  <c r="Q3477" i="34"/>
  <c r="R3477" i="34"/>
  <c r="S3477" i="34"/>
  <c r="Q3482" i="34"/>
  <c r="R3482" i="34"/>
  <c r="S3482" i="34"/>
  <c r="Q3486" i="34"/>
  <c r="R3486" i="34"/>
  <c r="S3486" i="34"/>
  <c r="Q3500" i="34"/>
  <c r="R3500" i="34"/>
  <c r="S3500" i="34"/>
  <c r="Q3509" i="34"/>
  <c r="R3509" i="34"/>
  <c r="S3509" i="34"/>
  <c r="Q3532" i="34"/>
  <c r="R3532" i="34"/>
  <c r="S3532" i="34"/>
  <c r="Q3546" i="34"/>
  <c r="R3546" i="34"/>
  <c r="S3546" i="34"/>
  <c r="Q3552" i="34"/>
  <c r="R3552" i="34"/>
  <c r="S3552" i="34"/>
  <c r="Q3561" i="34"/>
  <c r="R3561" i="34"/>
  <c r="S3561" i="34"/>
  <c r="Q3565" i="34"/>
  <c r="R3565" i="34"/>
  <c r="S3565" i="34"/>
  <c r="R3441" i="34"/>
  <c r="S3441" i="34"/>
  <c r="Q3441" i="34"/>
  <c r="S2653" i="34"/>
  <c r="Q2653" i="34"/>
  <c r="R2653" i="34"/>
  <c r="S2663" i="34"/>
  <c r="Q2663" i="34"/>
  <c r="R2663" i="34"/>
  <c r="Q3492" i="34"/>
  <c r="R3492" i="34"/>
  <c r="S3492" i="34"/>
  <c r="Q3508" i="34"/>
  <c r="R3508" i="34"/>
  <c r="S3508" i="34"/>
  <c r="R3522" i="34"/>
  <c r="S3522" i="34"/>
  <c r="Q3522" i="34"/>
  <c r="R3526" i="34"/>
  <c r="S3526" i="34"/>
  <c r="Q3526" i="34"/>
  <c r="R3530" i="34"/>
  <c r="S3530" i="34"/>
  <c r="Q3530" i="34"/>
  <c r="R3538" i="34"/>
  <c r="S3538" i="34"/>
  <c r="Q3538" i="34"/>
  <c r="R3542" i="34"/>
  <c r="S3542" i="34"/>
  <c r="Q3542" i="34"/>
  <c r="R3556" i="34"/>
  <c r="S3556" i="34"/>
  <c r="Q3556" i="34"/>
  <c r="Q2652" i="34"/>
  <c r="R2652" i="34"/>
  <c r="S2652" i="34"/>
  <c r="S2657" i="34"/>
  <c r="Q2657" i="34"/>
  <c r="R2657" i="34"/>
  <c r="Q2662" i="34"/>
  <c r="R2662" i="34"/>
  <c r="S2662" i="34"/>
  <c r="S2667" i="34"/>
  <c r="Q2667" i="34"/>
  <c r="R2667" i="34"/>
  <c r="S2671" i="34"/>
  <c r="Q2671" i="34"/>
  <c r="R2671" i="34"/>
  <c r="S2675" i="34"/>
  <c r="Q2675" i="34"/>
  <c r="R2675" i="34"/>
  <c r="S2679" i="34"/>
  <c r="Q2679" i="34"/>
  <c r="R2679" i="34"/>
  <c r="S2683" i="34"/>
  <c r="Q2683" i="34"/>
  <c r="R2683" i="34"/>
  <c r="S2687" i="34"/>
  <c r="Q2687" i="34"/>
  <c r="R2687" i="34"/>
  <c r="Q3464" i="34"/>
  <c r="R3464" i="34"/>
  <c r="S3464" i="34"/>
  <c r="Q3468" i="34"/>
  <c r="R3468" i="34"/>
  <c r="S3468" i="34"/>
  <c r="Q3472" i="34"/>
  <c r="R3472" i="34"/>
  <c r="S3472" i="34"/>
  <c r="Q3514" i="34"/>
  <c r="R3514" i="34"/>
  <c r="S3514" i="34"/>
  <c r="Q3550" i="34"/>
  <c r="R3550" i="34"/>
  <c r="S3550" i="34"/>
  <c r="Q2578" i="34"/>
  <c r="R2578" i="34"/>
  <c r="S2578" i="34"/>
  <c r="Q3459" i="34"/>
  <c r="R3459" i="34"/>
  <c r="S3459" i="34"/>
  <c r="R620" i="34"/>
  <c r="S620" i="34"/>
  <c r="Q620" i="34"/>
  <c r="R682" i="34"/>
  <c r="S682" i="34"/>
  <c r="Q682" i="34"/>
  <c r="R674" i="34"/>
  <c r="S674" i="34"/>
  <c r="Q674" i="34"/>
  <c r="R1661" i="34"/>
  <c r="S1661" i="34"/>
  <c r="Q1661" i="34"/>
  <c r="Q1862" i="34"/>
  <c r="R1862" i="34"/>
  <c r="S1862" i="34"/>
  <c r="Q1850" i="34"/>
  <c r="R1850" i="34"/>
  <c r="S1850" i="34"/>
  <c r="Q1866" i="34"/>
  <c r="R1866" i="34"/>
  <c r="S1866" i="34"/>
  <c r="Q1864" i="34"/>
  <c r="R1864" i="34"/>
  <c r="S1864" i="34"/>
  <c r="Q1943" i="34"/>
  <c r="R1943" i="34"/>
  <c r="S1943" i="34"/>
  <c r="S5011" i="34"/>
  <c r="Q5011" i="34"/>
  <c r="R5011" i="34"/>
  <c r="S4630" i="34"/>
  <c r="Q4630" i="34"/>
  <c r="R4630" i="34"/>
  <c r="S4281" i="34"/>
  <c r="Q4281" i="34"/>
  <c r="R4281" i="34"/>
  <c r="S4295" i="34"/>
  <c r="Q4295" i="34"/>
  <c r="R4295" i="34"/>
  <c r="S3113" i="34"/>
  <c r="Q3113" i="34"/>
  <c r="R3113" i="34"/>
  <c r="S3131" i="34"/>
  <c r="Q3131" i="34"/>
  <c r="R3131" i="34"/>
  <c r="Q4940" i="34"/>
  <c r="R4940" i="34"/>
  <c r="S4940" i="34"/>
  <c r="R558" i="34"/>
  <c r="S558" i="34"/>
  <c r="Q558" i="34"/>
  <c r="S2087" i="34"/>
  <c r="Q2087" i="34"/>
  <c r="R2087" i="34"/>
  <c r="S5050" i="34"/>
  <c r="Q5050" i="34"/>
  <c r="R5050" i="34"/>
  <c r="S1995" i="34"/>
  <c r="Q1995" i="34"/>
  <c r="R1995" i="34"/>
  <c r="R14" i="34"/>
  <c r="S14" i="34"/>
  <c r="Q14" i="34"/>
  <c r="R18" i="34"/>
  <c r="S18" i="34"/>
  <c r="Q18" i="34"/>
  <c r="R22" i="34"/>
  <c r="S22" i="34"/>
  <c r="Q22" i="34"/>
  <c r="Q30" i="34"/>
  <c r="R30" i="34"/>
  <c r="S30" i="34"/>
  <c r="R92" i="34"/>
  <c r="S92" i="34"/>
  <c r="Q92" i="34"/>
  <c r="R96" i="34"/>
  <c r="S96" i="34"/>
  <c r="Q96" i="34"/>
  <c r="R100" i="34"/>
  <c r="S100" i="34"/>
  <c r="Q100" i="34"/>
  <c r="R104" i="34"/>
  <c r="S104" i="34"/>
  <c r="Q104" i="34"/>
  <c r="R965" i="34"/>
  <c r="S965" i="34"/>
  <c r="Q965" i="34"/>
  <c r="Q325" i="34"/>
  <c r="R325" i="34"/>
  <c r="S325" i="34"/>
  <c r="Q329" i="34"/>
  <c r="R329" i="34"/>
  <c r="S329" i="34"/>
  <c r="Q333" i="34"/>
  <c r="R333" i="34"/>
  <c r="S333" i="34"/>
  <c r="Q337" i="34"/>
  <c r="R337" i="34"/>
  <c r="S337" i="34"/>
  <c r="Q976" i="34"/>
  <c r="R976" i="34"/>
  <c r="S976" i="34"/>
  <c r="Q980" i="34"/>
  <c r="R980" i="34"/>
  <c r="S980" i="34"/>
  <c r="Q984" i="34"/>
  <c r="R984" i="34"/>
  <c r="S984" i="34"/>
  <c r="Q3648" i="34"/>
  <c r="R3648" i="34"/>
  <c r="S3648" i="34"/>
  <c r="Q3566" i="34"/>
  <c r="R3566" i="34"/>
  <c r="S3566" i="34"/>
  <c r="Q3445" i="34"/>
  <c r="R3445" i="34"/>
  <c r="S3445" i="34"/>
  <c r="Q3570" i="34"/>
  <c r="R3570" i="34"/>
  <c r="S3570" i="34"/>
  <c r="Q3560" i="34"/>
  <c r="R3560" i="34"/>
  <c r="S3560" i="34"/>
  <c r="Q3582" i="34"/>
  <c r="R3582" i="34"/>
  <c r="S3582" i="34"/>
  <c r="Q3586" i="34"/>
  <c r="R3586" i="34"/>
  <c r="S3586" i="34"/>
  <c r="Q3609" i="34"/>
  <c r="R3609" i="34"/>
  <c r="S3609" i="34"/>
  <c r="Q3614" i="34"/>
  <c r="R3614" i="34"/>
  <c r="S3614" i="34"/>
  <c r="R3625" i="34"/>
  <c r="S3625" i="34"/>
  <c r="Q3625" i="34"/>
  <c r="R3629" i="34"/>
  <c r="S3629" i="34"/>
  <c r="Q3629" i="34"/>
  <c r="R3633" i="34"/>
  <c r="S3633" i="34"/>
  <c r="Q3633" i="34"/>
  <c r="R3638" i="34"/>
  <c r="S3638" i="34"/>
  <c r="Q3638" i="34"/>
  <c r="R3661" i="34"/>
  <c r="S3661" i="34"/>
  <c r="Q3661" i="34"/>
  <c r="R3664" i="34"/>
  <c r="S3664" i="34"/>
  <c r="Q3664" i="34"/>
  <c r="R3670" i="34"/>
  <c r="S3670" i="34"/>
  <c r="Q3670" i="34"/>
  <c r="R3677" i="34"/>
  <c r="S3677" i="34"/>
  <c r="Q3677" i="34"/>
  <c r="R3675" i="34"/>
  <c r="S3675" i="34"/>
  <c r="Q3675" i="34"/>
  <c r="R3682" i="34"/>
  <c r="S3682" i="34"/>
  <c r="Q3682" i="34"/>
  <c r="R3686" i="34"/>
  <c r="S3686" i="34"/>
  <c r="Q3686" i="34"/>
  <c r="R3693" i="34"/>
  <c r="S3693" i="34"/>
  <c r="Q3693" i="34"/>
  <c r="R3703" i="34"/>
  <c r="S3703" i="34"/>
  <c r="Q3703" i="34"/>
  <c r="R3705" i="34"/>
  <c r="S3705" i="34"/>
  <c r="Q3705" i="34"/>
  <c r="Q3615" i="34"/>
  <c r="R3615" i="34"/>
  <c r="S3615" i="34"/>
  <c r="Q3640" i="34"/>
  <c r="R3640" i="34"/>
  <c r="S3640" i="34"/>
  <c r="Q3644" i="34"/>
  <c r="R3644" i="34"/>
  <c r="S3644" i="34"/>
  <c r="Q3649" i="34"/>
  <c r="R3649" i="34"/>
  <c r="S3649" i="34"/>
  <c r="S3662" i="34"/>
  <c r="Q3662" i="34"/>
  <c r="R3662" i="34"/>
  <c r="S2589" i="34"/>
  <c r="Q2589" i="34"/>
  <c r="R2589" i="34"/>
  <c r="Q3698" i="34"/>
  <c r="R3698" i="34"/>
  <c r="S3698" i="34"/>
  <c r="S2585" i="34"/>
  <c r="Q2585" i="34"/>
  <c r="R2585" i="34"/>
  <c r="Q2588" i="34"/>
  <c r="R2588" i="34"/>
  <c r="S2588" i="34"/>
  <c r="R3578" i="34"/>
  <c r="S3578" i="34"/>
  <c r="Q3578" i="34"/>
  <c r="R3588" i="34"/>
  <c r="S3588" i="34"/>
  <c r="Q3588" i="34"/>
  <c r="R3592" i="34"/>
  <c r="S3592" i="34"/>
  <c r="Q3592" i="34"/>
  <c r="R3596" i="34"/>
  <c r="S3596" i="34"/>
  <c r="Q3596" i="34"/>
  <c r="R3600" i="34"/>
  <c r="S3600" i="34"/>
  <c r="Q3600" i="34"/>
  <c r="R3619" i="34"/>
  <c r="S3619" i="34"/>
  <c r="Q3619" i="34"/>
  <c r="Q3622" i="34"/>
  <c r="R3622" i="34"/>
  <c r="S3622" i="34"/>
  <c r="R3668" i="34"/>
  <c r="S3668" i="34"/>
  <c r="Q3668" i="34"/>
  <c r="Q2688" i="34"/>
  <c r="R2688" i="34"/>
  <c r="S2688" i="34"/>
  <c r="Q2692" i="34"/>
  <c r="R2692" i="34"/>
  <c r="S2692" i="34"/>
  <c r="Q2696" i="34"/>
  <c r="R2696" i="34"/>
  <c r="S2696" i="34"/>
  <c r="Q2700" i="34"/>
  <c r="R2700" i="34"/>
  <c r="S2700" i="34"/>
  <c r="Q2704" i="34"/>
  <c r="R2704" i="34"/>
  <c r="S2704" i="34"/>
  <c r="S2709" i="34"/>
  <c r="Q2709" i="34"/>
  <c r="R2709" i="34"/>
  <c r="S2713" i="34"/>
  <c r="Q2713" i="34"/>
  <c r="R2713" i="34"/>
  <c r="S2717" i="34"/>
  <c r="Q2717" i="34"/>
  <c r="R2717" i="34"/>
  <c r="S2721" i="34"/>
  <c r="Q2721" i="34"/>
  <c r="R2721" i="34"/>
  <c r="S2727" i="34"/>
  <c r="Q2727" i="34"/>
  <c r="R2727" i="34"/>
  <c r="S2731" i="34"/>
  <c r="Q2731" i="34"/>
  <c r="R2731" i="34"/>
  <c r="S2735" i="34"/>
  <c r="Q2735" i="34"/>
  <c r="R2735" i="34"/>
  <c r="Q2740" i="34"/>
  <c r="R2740" i="34"/>
  <c r="S2740" i="34"/>
  <c r="Q2744" i="34"/>
  <c r="R2744" i="34"/>
  <c r="S2744" i="34"/>
  <c r="Q2748" i="34"/>
  <c r="R2748" i="34"/>
  <c r="S2748" i="34"/>
  <c r="Q2752" i="34"/>
  <c r="R2752" i="34"/>
  <c r="S2752" i="34"/>
  <c r="Q2756" i="34"/>
  <c r="R2756" i="34"/>
  <c r="S2756" i="34"/>
  <c r="Q2760" i="34"/>
  <c r="R2760" i="34"/>
  <c r="S2760" i="34"/>
  <c r="Q2764" i="34"/>
  <c r="R2764" i="34"/>
  <c r="S2764" i="34"/>
  <c r="Q2768" i="34"/>
  <c r="R2768" i="34"/>
  <c r="S2768" i="34"/>
  <c r="Q36" i="34"/>
  <c r="R36" i="34"/>
  <c r="S36" i="34"/>
  <c r="Q111" i="34"/>
  <c r="R111" i="34"/>
  <c r="S111" i="34"/>
  <c r="Q115" i="34"/>
  <c r="R115" i="34"/>
  <c r="S115" i="34"/>
  <c r="Q119" i="34"/>
  <c r="R119" i="34"/>
  <c r="S119" i="34"/>
  <c r="Q1011" i="34"/>
  <c r="R1011" i="34"/>
  <c r="S1011" i="34"/>
  <c r="Q1015" i="34"/>
  <c r="R1015" i="34"/>
  <c r="S1015" i="34"/>
  <c r="Q1019" i="34"/>
  <c r="R1019" i="34"/>
  <c r="S1019" i="34"/>
  <c r="Q1023" i="34"/>
  <c r="R1023" i="34"/>
  <c r="S1023" i="34"/>
  <c r="Q1027" i="34"/>
  <c r="R1027" i="34"/>
  <c r="S1027" i="34"/>
  <c r="R340" i="34"/>
  <c r="S340" i="34"/>
  <c r="Q340" i="34"/>
  <c r="R344" i="34"/>
  <c r="S344" i="34"/>
  <c r="Q344" i="34"/>
  <c r="R348" i="34"/>
  <c r="S348" i="34"/>
  <c r="Q348" i="34"/>
  <c r="R352" i="34"/>
  <c r="S352" i="34"/>
  <c r="Q352" i="34"/>
  <c r="R356" i="34"/>
  <c r="S356" i="34"/>
  <c r="Q356" i="34"/>
  <c r="R360" i="34"/>
  <c r="S360" i="34"/>
  <c r="Q360" i="34"/>
  <c r="R364" i="34"/>
  <c r="S364" i="34"/>
  <c r="Q364" i="34"/>
  <c r="S368" i="34"/>
  <c r="R368" i="34"/>
  <c r="Q368" i="34"/>
  <c r="S372" i="34"/>
  <c r="Q372" i="34"/>
  <c r="R372" i="34"/>
  <c r="R1052" i="34"/>
  <c r="S1052" i="34"/>
  <c r="Q1052" i="34"/>
  <c r="R1056" i="34"/>
  <c r="S1056" i="34"/>
  <c r="Q1056" i="34"/>
  <c r="R1060" i="34"/>
  <c r="S1060" i="34"/>
  <c r="Q1060" i="34"/>
  <c r="R1064" i="34"/>
  <c r="S1064" i="34"/>
  <c r="Q1064" i="34"/>
  <c r="R1068" i="34"/>
  <c r="S1068" i="34"/>
  <c r="Q1068" i="34"/>
  <c r="R1072" i="34"/>
  <c r="S1072" i="34"/>
  <c r="Q1072" i="34"/>
  <c r="R1076" i="34"/>
  <c r="S1076" i="34"/>
  <c r="Q1076" i="34"/>
  <c r="R1080" i="34"/>
  <c r="S1080" i="34"/>
  <c r="Q1080" i="34"/>
  <c r="R1084" i="34"/>
  <c r="S1084" i="34"/>
  <c r="Q1084" i="34"/>
  <c r="R1088" i="34"/>
  <c r="S1088" i="34"/>
  <c r="Q1088" i="34"/>
  <c r="R1092" i="34"/>
  <c r="S1092" i="34"/>
  <c r="Q1092" i="34"/>
  <c r="Q3726" i="34"/>
  <c r="R3726" i="34"/>
  <c r="S3726" i="34"/>
  <c r="R3810" i="34"/>
  <c r="S3810" i="34"/>
  <c r="Q3810" i="34"/>
  <c r="Q3700" i="34"/>
  <c r="R3700" i="34"/>
  <c r="S3700" i="34"/>
  <c r="Q3727" i="34"/>
  <c r="R3727" i="34"/>
  <c r="S3727" i="34"/>
  <c r="Q3744" i="34"/>
  <c r="R3744" i="34"/>
  <c r="S3744" i="34"/>
  <c r="Q3749" i="34"/>
  <c r="R3749" i="34"/>
  <c r="S3749" i="34"/>
  <c r="Q3783" i="34"/>
  <c r="R3783" i="34"/>
  <c r="S3783" i="34"/>
  <c r="Q3788" i="34"/>
  <c r="R3788" i="34"/>
  <c r="S3788" i="34"/>
  <c r="Q3806" i="34"/>
  <c r="R3806" i="34"/>
  <c r="S3806" i="34"/>
  <c r="R3812" i="34"/>
  <c r="S3812" i="34"/>
  <c r="Q3812" i="34"/>
  <c r="R3823" i="34"/>
  <c r="S3823" i="34"/>
  <c r="Q3823" i="34"/>
  <c r="R3836" i="34"/>
  <c r="S3836" i="34"/>
  <c r="Q3836" i="34"/>
  <c r="R3841" i="34"/>
  <c r="S3841" i="34"/>
  <c r="Q3841" i="34"/>
  <c r="R3848" i="34"/>
  <c r="S3848" i="34"/>
  <c r="Q3848" i="34"/>
  <c r="Q3851" i="34"/>
  <c r="S3851" i="34"/>
  <c r="R3851" i="34"/>
  <c r="Q3855" i="34"/>
  <c r="R3855" i="34"/>
  <c r="S3855" i="34"/>
  <c r="Q2770" i="34"/>
  <c r="R2770" i="34"/>
  <c r="S2770" i="34"/>
  <c r="S2775" i="34"/>
  <c r="Q2775" i="34"/>
  <c r="R2775" i="34"/>
  <c r="Q2780" i="34"/>
  <c r="R2780" i="34"/>
  <c r="S2780" i="34"/>
  <c r="Q2784" i="34"/>
  <c r="R2784" i="34"/>
  <c r="S2784" i="34"/>
  <c r="Q2788" i="34"/>
  <c r="R2788" i="34"/>
  <c r="S2788" i="34"/>
  <c r="Q2804" i="34"/>
  <c r="R2804" i="34"/>
  <c r="S2804" i="34"/>
  <c r="S2795" i="34"/>
  <c r="Q2795" i="34"/>
  <c r="R2795" i="34"/>
  <c r="S2799" i="34"/>
  <c r="Q2799" i="34"/>
  <c r="R2799" i="34"/>
  <c r="S2803" i="34"/>
  <c r="Q2803" i="34"/>
  <c r="R2803" i="34"/>
  <c r="Q3747" i="34"/>
  <c r="R3747" i="34"/>
  <c r="S3747" i="34"/>
  <c r="Q3754" i="34"/>
  <c r="R3754" i="34"/>
  <c r="S3754" i="34"/>
  <c r="R3780" i="34"/>
  <c r="S3780" i="34"/>
  <c r="Q3780" i="34"/>
  <c r="Q3795" i="34"/>
  <c r="R3795" i="34"/>
  <c r="S3795" i="34"/>
  <c r="Q3807" i="34"/>
  <c r="R3807" i="34"/>
  <c r="S3807" i="34"/>
  <c r="Q3819" i="34"/>
  <c r="R3819" i="34"/>
  <c r="S3819" i="34"/>
  <c r="R3858" i="34"/>
  <c r="S3858" i="34"/>
  <c r="Q3858" i="34"/>
  <c r="Q3759" i="34"/>
  <c r="R3759" i="34"/>
  <c r="S3759" i="34"/>
  <c r="Q3763" i="34"/>
  <c r="R3763" i="34"/>
  <c r="S3763" i="34"/>
  <c r="Q3767" i="34"/>
  <c r="R3767" i="34"/>
  <c r="S3767" i="34"/>
  <c r="Q3771" i="34"/>
  <c r="R3771" i="34"/>
  <c r="S3771" i="34"/>
  <c r="Q3775" i="34"/>
  <c r="R3775" i="34"/>
  <c r="S3775" i="34"/>
  <c r="Q3789" i="34"/>
  <c r="R3789" i="34"/>
  <c r="S3789" i="34"/>
  <c r="Q3801" i="34"/>
  <c r="R3801" i="34"/>
  <c r="S3801" i="34"/>
  <c r="Q3824" i="34"/>
  <c r="R3824" i="34"/>
  <c r="S3824" i="34"/>
  <c r="S3845" i="34"/>
  <c r="Q3845" i="34"/>
  <c r="R3845" i="34"/>
  <c r="Q3832" i="34"/>
  <c r="R3832" i="34"/>
  <c r="S3832" i="34"/>
  <c r="R37" i="34"/>
  <c r="S37" i="34"/>
  <c r="Q37" i="34"/>
  <c r="R126" i="34"/>
  <c r="S126" i="34"/>
  <c r="Q126" i="34"/>
  <c r="R130" i="34"/>
  <c r="S130" i="34"/>
  <c r="Q130" i="34"/>
  <c r="R134" i="34"/>
  <c r="S134" i="34"/>
  <c r="Q134" i="34"/>
  <c r="R138" i="34"/>
  <c r="S138" i="34"/>
  <c r="Q138" i="34"/>
  <c r="R1147" i="34"/>
  <c r="S1147" i="34"/>
  <c r="Q1147" i="34"/>
  <c r="R1151" i="34"/>
  <c r="S1151" i="34"/>
  <c r="Q1151" i="34"/>
  <c r="R1155" i="34"/>
  <c r="S1155" i="34"/>
  <c r="Q1155" i="34"/>
  <c r="R1159" i="34"/>
  <c r="S1159" i="34"/>
  <c r="Q1159" i="34"/>
  <c r="Q376" i="34"/>
  <c r="R376" i="34"/>
  <c r="S376" i="34"/>
  <c r="Q380" i="34"/>
  <c r="R380" i="34"/>
  <c r="S380" i="34"/>
  <c r="Q384" i="34"/>
  <c r="R384" i="34"/>
  <c r="S384" i="34"/>
  <c r="Q388" i="34"/>
  <c r="R388" i="34"/>
  <c r="S388" i="34"/>
  <c r="Q392" i="34"/>
  <c r="R392" i="34"/>
  <c r="S392" i="34"/>
  <c r="Q396" i="34"/>
  <c r="R396" i="34"/>
  <c r="S396" i="34"/>
  <c r="Q400" i="34"/>
  <c r="R400" i="34"/>
  <c r="S400" i="34"/>
  <c r="Q404" i="34"/>
  <c r="R404" i="34"/>
  <c r="S404" i="34"/>
  <c r="S1187" i="34"/>
  <c r="Q1187" i="34"/>
  <c r="R1187" i="34"/>
  <c r="S1191" i="34"/>
  <c r="Q1191" i="34"/>
  <c r="R1191" i="34"/>
  <c r="S1195" i="34"/>
  <c r="Q1195" i="34"/>
  <c r="R1195" i="34"/>
  <c r="S1199" i="34"/>
  <c r="Q1199" i="34"/>
  <c r="R1199" i="34"/>
  <c r="S1205" i="34"/>
  <c r="Q1205" i="34"/>
  <c r="R1205" i="34"/>
  <c r="S1209" i="34"/>
  <c r="Q1209" i="34"/>
  <c r="R1209" i="34"/>
  <c r="S1213" i="34"/>
  <c r="Q1213" i="34"/>
  <c r="R1213" i="34"/>
  <c r="S1201" i="34"/>
  <c r="Q1201" i="34"/>
  <c r="R1201" i="34"/>
  <c r="Q3941" i="34"/>
  <c r="R3941" i="34"/>
  <c r="S3941" i="34"/>
  <c r="Q3982" i="34"/>
  <c r="R3982" i="34"/>
  <c r="S3982" i="34"/>
  <c r="Q3860" i="34"/>
  <c r="R3860" i="34"/>
  <c r="S3860" i="34"/>
  <c r="Q4834" i="34"/>
  <c r="R4834" i="34"/>
  <c r="S4834" i="34"/>
  <c r="Q3864" i="34"/>
  <c r="R3864" i="34"/>
  <c r="S3864" i="34"/>
  <c r="S3905" i="34"/>
  <c r="Q3905" i="34"/>
  <c r="R3905" i="34"/>
  <c r="S3909" i="34"/>
  <c r="Q3909" i="34"/>
  <c r="R3909" i="34"/>
  <c r="S3914" i="34"/>
  <c r="Q3914" i="34"/>
  <c r="R3914" i="34"/>
  <c r="S3916" i="34"/>
  <c r="Q3916" i="34"/>
  <c r="R3916" i="34"/>
  <c r="S3920" i="34"/>
  <c r="Q3920" i="34"/>
  <c r="R3920" i="34"/>
  <c r="S3925" i="34"/>
  <c r="Q3925" i="34"/>
  <c r="R3925" i="34"/>
  <c r="S3929" i="34"/>
  <c r="Q3929" i="34"/>
  <c r="R3929" i="34"/>
  <c r="S3935" i="34"/>
  <c r="Q3935" i="34"/>
  <c r="R3935" i="34"/>
  <c r="R3945" i="34"/>
  <c r="S3945" i="34"/>
  <c r="Q3945" i="34"/>
  <c r="Q3960" i="34"/>
  <c r="R3960" i="34"/>
  <c r="S3960" i="34"/>
  <c r="Q3967" i="34"/>
  <c r="R3967" i="34"/>
  <c r="S3967" i="34"/>
  <c r="Q3976" i="34"/>
  <c r="R3976" i="34"/>
  <c r="S3976" i="34"/>
  <c r="Q3980" i="34"/>
  <c r="R3980" i="34"/>
  <c r="S3980" i="34"/>
  <c r="S3988" i="34"/>
  <c r="Q3988" i="34"/>
  <c r="R3988" i="34"/>
  <c r="Q3997" i="34"/>
  <c r="R3997" i="34"/>
  <c r="S3997" i="34"/>
  <c r="Q4025" i="34"/>
  <c r="R4025" i="34"/>
  <c r="S4025" i="34"/>
  <c r="R3870" i="34"/>
  <c r="S3870" i="34"/>
  <c r="Q3870" i="34"/>
  <c r="Q3873" i="34"/>
  <c r="R3873" i="34"/>
  <c r="S3873" i="34"/>
  <c r="Q3881" i="34"/>
  <c r="R3881" i="34"/>
  <c r="S3881" i="34"/>
  <c r="Q3885" i="34"/>
  <c r="R3885" i="34"/>
  <c r="S3885" i="34"/>
  <c r="Q3889" i="34"/>
  <c r="R3889" i="34"/>
  <c r="S3889" i="34"/>
  <c r="Q3893" i="34"/>
  <c r="R3893" i="34"/>
  <c r="S3893" i="34"/>
  <c r="Q3897" i="34"/>
  <c r="R3897" i="34"/>
  <c r="S3897" i="34"/>
  <c r="Q3901" i="34"/>
  <c r="R3901" i="34"/>
  <c r="S3901" i="34"/>
  <c r="Q3932" i="34"/>
  <c r="R3932" i="34"/>
  <c r="S3932" i="34"/>
  <c r="Q3940" i="34"/>
  <c r="R3940" i="34"/>
  <c r="S3940" i="34"/>
  <c r="R3949" i="34"/>
  <c r="S3949" i="34"/>
  <c r="Q3949" i="34"/>
  <c r="R3953" i="34"/>
  <c r="S3953" i="34"/>
  <c r="Q3953" i="34"/>
  <c r="R3957" i="34"/>
  <c r="S3957" i="34"/>
  <c r="Q3957" i="34"/>
  <c r="R3966" i="34"/>
  <c r="S3966" i="34"/>
  <c r="Q3966" i="34"/>
  <c r="Q2824" i="34"/>
  <c r="R2824" i="34"/>
  <c r="S2824" i="34"/>
  <c r="R3986" i="34"/>
  <c r="S3986" i="34"/>
  <c r="Q3986" i="34"/>
  <c r="R3993" i="34"/>
  <c r="S3993" i="34"/>
  <c r="Q3993" i="34"/>
  <c r="Q4001" i="34"/>
  <c r="R4001" i="34"/>
  <c r="S4001" i="34"/>
  <c r="Q4005" i="34"/>
  <c r="R4005" i="34"/>
  <c r="S4005" i="34"/>
  <c r="Q4009" i="34"/>
  <c r="R4009" i="34"/>
  <c r="S4009" i="34"/>
  <c r="Q4013" i="34"/>
  <c r="R4013" i="34"/>
  <c r="S4013" i="34"/>
  <c r="Q4017" i="34"/>
  <c r="R4017" i="34"/>
  <c r="S4017" i="34"/>
  <c r="Q4021" i="34"/>
  <c r="R4021" i="34"/>
  <c r="S4021" i="34"/>
  <c r="Q2810" i="34"/>
  <c r="R2810" i="34"/>
  <c r="S2810" i="34"/>
  <c r="S2593" i="34"/>
  <c r="Q2593" i="34"/>
  <c r="R2593" i="34"/>
  <c r="S2817" i="34"/>
  <c r="Q2817" i="34"/>
  <c r="R2817" i="34"/>
  <c r="Q2594" i="34"/>
  <c r="R2594" i="34"/>
  <c r="S2594" i="34"/>
  <c r="S2829" i="34"/>
  <c r="Q2829" i="34"/>
  <c r="R2829" i="34"/>
  <c r="S2833" i="34"/>
  <c r="Q2833" i="34"/>
  <c r="R2833" i="34"/>
  <c r="S2837" i="34"/>
  <c r="Q2837" i="34"/>
  <c r="R2837" i="34"/>
  <c r="S2841" i="34"/>
  <c r="Q2841" i="34"/>
  <c r="R2841" i="34"/>
  <c r="S2845" i="34"/>
  <c r="Q2845" i="34"/>
  <c r="R2845" i="34"/>
  <c r="S2849" i="34"/>
  <c r="Q2849" i="34"/>
  <c r="R2849" i="34"/>
  <c r="S2597" i="34"/>
  <c r="Q2597" i="34"/>
  <c r="R2597" i="34"/>
  <c r="S2601" i="34"/>
  <c r="Q2601" i="34"/>
  <c r="R2601" i="34"/>
  <c r="S2605" i="34"/>
  <c r="Q2605" i="34"/>
  <c r="R2605" i="34"/>
  <c r="Q40" i="34"/>
  <c r="R40" i="34"/>
  <c r="S40" i="34"/>
  <c r="Q141" i="34"/>
  <c r="R141" i="34"/>
  <c r="S141" i="34"/>
  <c r="Q145" i="34"/>
  <c r="R145" i="34"/>
  <c r="S145" i="34"/>
  <c r="Q149" i="34"/>
  <c r="R149" i="34"/>
  <c r="S149" i="34"/>
  <c r="Q153" i="34"/>
  <c r="R153" i="34"/>
  <c r="S153" i="34"/>
  <c r="Q1270" i="34"/>
  <c r="R1270" i="34"/>
  <c r="S1270" i="34"/>
  <c r="Q1274" i="34"/>
  <c r="R1274" i="34"/>
  <c r="S1274" i="34"/>
  <c r="Q1278" i="34"/>
  <c r="R1278" i="34"/>
  <c r="S1278" i="34"/>
  <c r="Q1282" i="34"/>
  <c r="R1282" i="34"/>
  <c r="S1282" i="34"/>
  <c r="Q1286" i="34"/>
  <c r="R1286" i="34"/>
  <c r="S1286" i="34"/>
  <c r="S410" i="34"/>
  <c r="Q410" i="34"/>
  <c r="R410" i="34"/>
  <c r="S414" i="34"/>
  <c r="Q414" i="34"/>
  <c r="R414" i="34"/>
  <c r="S418" i="34"/>
  <c r="Q418" i="34"/>
  <c r="R418" i="34"/>
  <c r="S422" i="34"/>
  <c r="Q422" i="34"/>
  <c r="R422" i="34"/>
  <c r="S426" i="34"/>
  <c r="Q426" i="34"/>
  <c r="R426" i="34"/>
  <c r="S430" i="34"/>
  <c r="Q430" i="34"/>
  <c r="R430" i="34"/>
  <c r="S434" i="34"/>
  <c r="Q434" i="34"/>
  <c r="R434" i="34"/>
  <c r="S438" i="34"/>
  <c r="Q438" i="34"/>
  <c r="R438" i="34"/>
  <c r="S442" i="34"/>
  <c r="Q442" i="34"/>
  <c r="R442" i="34"/>
  <c r="S446" i="34"/>
  <c r="Q446" i="34"/>
  <c r="R446" i="34"/>
  <c r="S450" i="34"/>
  <c r="Q450" i="34"/>
  <c r="R450" i="34"/>
  <c r="S454" i="34"/>
  <c r="Q454" i="34"/>
  <c r="R454" i="34"/>
  <c r="S458" i="34"/>
  <c r="Q458" i="34"/>
  <c r="R458" i="34"/>
  <c r="Q1312" i="34"/>
  <c r="R1312" i="34"/>
  <c r="S1312" i="34"/>
  <c r="Q1316" i="34"/>
  <c r="R1316" i="34"/>
  <c r="S1316" i="34"/>
  <c r="Q1320" i="34"/>
  <c r="R1320" i="34"/>
  <c r="S1320" i="34"/>
  <c r="Q1326" i="34"/>
  <c r="R1326" i="34"/>
  <c r="S1326" i="34"/>
  <c r="Q1328" i="34"/>
  <c r="R1328" i="34"/>
  <c r="S1328" i="34"/>
  <c r="Q1332" i="34"/>
  <c r="R1332" i="34"/>
  <c r="S1332" i="34"/>
  <c r="Q1336" i="34"/>
  <c r="R1336" i="34"/>
  <c r="S1336" i="34"/>
  <c r="Q1340" i="34"/>
  <c r="R1340" i="34"/>
  <c r="S1340" i="34"/>
  <c r="Q1344" i="34"/>
  <c r="R1344" i="34"/>
  <c r="S1344" i="34"/>
  <c r="Q1348" i="34"/>
  <c r="R1348" i="34"/>
  <c r="S1348" i="34"/>
  <c r="Q1352" i="34"/>
  <c r="R1352" i="34"/>
  <c r="S1352" i="34"/>
  <c r="Q1356" i="34"/>
  <c r="R1356" i="34"/>
  <c r="S1356" i="34"/>
  <c r="Q1360" i="34"/>
  <c r="R1360" i="34"/>
  <c r="S1360" i="34"/>
  <c r="Q1364" i="34"/>
  <c r="R1364" i="34"/>
  <c r="S1364" i="34"/>
  <c r="Q1368" i="34"/>
  <c r="R1368" i="34"/>
  <c r="S1368" i="34"/>
  <c r="Q4083" i="34"/>
  <c r="R4083" i="34"/>
  <c r="S4083" i="34"/>
  <c r="Q4190" i="34"/>
  <c r="R4190" i="34"/>
  <c r="S4190" i="34"/>
  <c r="Q4031" i="34"/>
  <c r="R4031" i="34"/>
  <c r="S4031" i="34"/>
  <c r="Q4045" i="34"/>
  <c r="R4045" i="34"/>
  <c r="S4045" i="34"/>
  <c r="Q4050" i="34"/>
  <c r="R4050" i="34"/>
  <c r="S4050" i="34"/>
  <c r="Q4056" i="34"/>
  <c r="R4056" i="34"/>
  <c r="S4056" i="34"/>
  <c r="Q3738" i="34"/>
  <c r="R3738" i="34"/>
  <c r="S3738" i="34"/>
  <c r="Q4072" i="34"/>
  <c r="R4072" i="34"/>
  <c r="S4072" i="34"/>
  <c r="S4081" i="34"/>
  <c r="Q4081" i="34"/>
  <c r="R4081" i="34"/>
  <c r="S4091" i="34"/>
  <c r="Q4091" i="34"/>
  <c r="R4091" i="34"/>
  <c r="S4095" i="34"/>
  <c r="Q4095" i="34"/>
  <c r="R4095" i="34"/>
  <c r="S4102" i="34"/>
  <c r="Q4102" i="34"/>
  <c r="R4102" i="34"/>
  <c r="S4100" i="34"/>
  <c r="Q4100" i="34"/>
  <c r="R4100" i="34"/>
  <c r="S4088" i="34"/>
  <c r="Q4088" i="34"/>
  <c r="R4088" i="34"/>
  <c r="S4113" i="34"/>
  <c r="Q4113" i="34"/>
  <c r="R4113" i="34"/>
  <c r="S4136" i="34"/>
  <c r="Q4136" i="34"/>
  <c r="R4136" i="34"/>
  <c r="S4142" i="34"/>
  <c r="Q4142" i="34"/>
  <c r="R4142" i="34"/>
  <c r="S4153" i="34"/>
  <c r="Q4153" i="34"/>
  <c r="R4153" i="34"/>
  <c r="S4175" i="34"/>
  <c r="Q4175" i="34"/>
  <c r="R4175" i="34"/>
  <c r="Q4185" i="34"/>
  <c r="R4185" i="34"/>
  <c r="S4185" i="34"/>
  <c r="Q4194" i="34"/>
  <c r="R4194" i="34"/>
  <c r="S4194" i="34"/>
  <c r="Q4212" i="34"/>
  <c r="R4212" i="34"/>
  <c r="S4212" i="34"/>
  <c r="S4215" i="34"/>
  <c r="Q4215" i="34"/>
  <c r="R4215" i="34"/>
  <c r="S4219" i="34"/>
  <c r="Q4219" i="34"/>
  <c r="R4219" i="34"/>
  <c r="S2481" i="34"/>
  <c r="Q2481" i="34"/>
  <c r="R2481" i="34"/>
  <c r="S4058" i="34"/>
  <c r="Q4058" i="34"/>
  <c r="R4058" i="34"/>
  <c r="Q4106" i="34"/>
  <c r="R4106" i="34"/>
  <c r="S4106" i="34"/>
  <c r="Q4118" i="34"/>
  <c r="R4118" i="34"/>
  <c r="S4118" i="34"/>
  <c r="Q4122" i="34"/>
  <c r="R4122" i="34"/>
  <c r="S4122" i="34"/>
  <c r="Q4126" i="34"/>
  <c r="R4126" i="34"/>
  <c r="S4126" i="34"/>
  <c r="R4032" i="34"/>
  <c r="S4032" i="34"/>
  <c r="Q4032" i="34"/>
  <c r="Q4043" i="34"/>
  <c r="R4043" i="34"/>
  <c r="S4043" i="34"/>
  <c r="R4063" i="34"/>
  <c r="S4063" i="34"/>
  <c r="Q4063" i="34"/>
  <c r="Q4075" i="34"/>
  <c r="R4075" i="34"/>
  <c r="S4075" i="34"/>
  <c r="R4107" i="34"/>
  <c r="S4107" i="34"/>
  <c r="Q4107" i="34"/>
  <c r="Q4134" i="34"/>
  <c r="R4134" i="34"/>
  <c r="S4134" i="34"/>
  <c r="Q2874" i="34"/>
  <c r="R2874" i="34"/>
  <c r="S2874" i="34"/>
  <c r="R4158" i="34"/>
  <c r="S4158" i="34"/>
  <c r="Q4158" i="34"/>
  <c r="Q4166" i="34"/>
  <c r="R4166" i="34"/>
  <c r="S4166" i="34"/>
  <c r="Q4170" i="34"/>
  <c r="R4170" i="34"/>
  <c r="S4170" i="34"/>
  <c r="Q4174" i="34"/>
  <c r="R4174" i="34"/>
  <c r="S4174" i="34"/>
  <c r="R4181" i="34"/>
  <c r="S4181" i="34"/>
  <c r="Q4181" i="34"/>
  <c r="Q4192" i="34"/>
  <c r="R4192" i="34"/>
  <c r="S4192" i="34"/>
  <c r="Q4203" i="34"/>
  <c r="R4203" i="34"/>
  <c r="S4203" i="34"/>
  <c r="R4209" i="34"/>
  <c r="S4209" i="34"/>
  <c r="Q4209" i="34"/>
  <c r="Q2910" i="34"/>
  <c r="R2910" i="34"/>
  <c r="S2910" i="34"/>
  <c r="S2857" i="34"/>
  <c r="Q2857" i="34"/>
  <c r="R2857" i="34"/>
  <c r="S2861" i="34"/>
  <c r="Q2861" i="34"/>
  <c r="R2861" i="34"/>
  <c r="Q2866" i="34"/>
  <c r="R2866" i="34"/>
  <c r="S2866" i="34"/>
  <c r="S2873" i="34"/>
  <c r="Q2873" i="34"/>
  <c r="R2873" i="34"/>
  <c r="Q2880" i="34"/>
  <c r="R2880" i="34"/>
  <c r="S2880" i="34"/>
  <c r="Q2900" i="34"/>
  <c r="R2900" i="34"/>
  <c r="S2900" i="34"/>
  <c r="S2903" i="34"/>
  <c r="Q2903" i="34"/>
  <c r="R2903" i="34"/>
  <c r="S2907" i="34"/>
  <c r="Q2907" i="34"/>
  <c r="R2907" i="34"/>
  <c r="Q44" i="34"/>
  <c r="R44" i="34"/>
  <c r="S44" i="34"/>
  <c r="Q159" i="34"/>
  <c r="R159" i="34"/>
  <c r="S159" i="34"/>
  <c r="R163" i="34"/>
  <c r="S163" i="34"/>
  <c r="Q163" i="34"/>
  <c r="R167" i="34"/>
  <c r="S167" i="34"/>
  <c r="Q167" i="34"/>
  <c r="Q1429" i="34"/>
  <c r="R1429" i="34"/>
  <c r="S1429" i="34"/>
  <c r="Q1433" i="34"/>
  <c r="R1433" i="34"/>
  <c r="S1433" i="34"/>
  <c r="S1438" i="34"/>
  <c r="Q1438" i="34"/>
  <c r="R1438" i="34"/>
  <c r="S1446" i="34"/>
  <c r="Q1446" i="34"/>
  <c r="R1446" i="34"/>
  <c r="Q1447" i="34"/>
  <c r="R1447" i="34"/>
  <c r="S1447" i="34"/>
  <c r="Q1449" i="34"/>
  <c r="R1449" i="34"/>
  <c r="S1449" i="34"/>
  <c r="Q1453" i="34"/>
  <c r="R1453" i="34"/>
  <c r="S1453" i="34"/>
  <c r="Q1457" i="34"/>
  <c r="R1457" i="34"/>
  <c r="S1457" i="34"/>
  <c r="Q1461" i="34"/>
  <c r="R1461" i="34"/>
  <c r="S1461" i="34"/>
  <c r="Q461" i="34"/>
  <c r="R461" i="34"/>
  <c r="S461" i="34"/>
  <c r="Q465" i="34"/>
  <c r="R465" i="34"/>
  <c r="S465" i="34"/>
  <c r="Q469" i="34"/>
  <c r="R469" i="34"/>
  <c r="S469" i="34"/>
  <c r="Q473" i="34"/>
  <c r="R473" i="34"/>
  <c r="S473" i="34"/>
  <c r="Q477" i="34"/>
  <c r="R477" i="34"/>
  <c r="S477" i="34"/>
  <c r="Q481" i="34"/>
  <c r="R481" i="34"/>
  <c r="S481" i="34"/>
  <c r="Q485" i="34"/>
  <c r="R485" i="34"/>
  <c r="S485" i="34"/>
  <c r="Q489" i="34"/>
  <c r="R489" i="34"/>
  <c r="S489" i="34"/>
  <c r="Q493" i="34"/>
  <c r="R493" i="34"/>
  <c r="S493" i="34"/>
  <c r="Q497" i="34"/>
  <c r="R497" i="34"/>
  <c r="S497" i="34"/>
  <c r="Q501" i="34"/>
  <c r="R501" i="34"/>
  <c r="S501" i="34"/>
  <c r="Q505" i="34"/>
  <c r="R505" i="34"/>
  <c r="S505" i="34"/>
  <c r="Q509" i="34"/>
  <c r="R509" i="34"/>
  <c r="S509" i="34"/>
  <c r="S1524" i="34"/>
  <c r="R1524" i="34"/>
  <c r="Q1524" i="34"/>
  <c r="S1528" i="34"/>
  <c r="R1528" i="34"/>
  <c r="Q1528" i="34"/>
  <c r="S1532" i="34"/>
  <c r="R1532" i="34"/>
  <c r="Q1532" i="34"/>
  <c r="S1536" i="34"/>
  <c r="R1536" i="34"/>
  <c r="Q1536" i="34"/>
  <c r="R1540" i="34"/>
  <c r="S1540" i="34"/>
  <c r="Q1540" i="34"/>
  <c r="S4253" i="34"/>
  <c r="Q4253" i="34"/>
  <c r="R4253" i="34"/>
  <c r="S4304" i="34"/>
  <c r="Q4304" i="34"/>
  <c r="R4304" i="34"/>
  <c r="R4351" i="34"/>
  <c r="S4351" i="34"/>
  <c r="Q4351" i="34"/>
  <c r="Q4109" i="34"/>
  <c r="R4109" i="34"/>
  <c r="S4109" i="34"/>
  <c r="Q4236" i="34"/>
  <c r="R4236" i="34"/>
  <c r="S4236" i="34"/>
  <c r="Q4240" i="34"/>
  <c r="R4240" i="34"/>
  <c r="S4240" i="34"/>
  <c r="Q4244" i="34"/>
  <c r="R4244" i="34"/>
  <c r="S4244" i="34"/>
  <c r="Q4160" i="34"/>
  <c r="R4160" i="34"/>
  <c r="S4160" i="34"/>
  <c r="Q4251" i="34"/>
  <c r="R4251" i="34"/>
  <c r="S4251" i="34"/>
  <c r="Q4856" i="34"/>
  <c r="R4856" i="34"/>
  <c r="S4856" i="34"/>
  <c r="S4279" i="34"/>
  <c r="Q4279" i="34"/>
  <c r="R4279" i="34"/>
  <c r="S4303" i="34"/>
  <c r="Q4303" i="34"/>
  <c r="R4303" i="34"/>
  <c r="Q3732" i="34"/>
  <c r="R3732" i="34"/>
  <c r="S3732" i="34"/>
  <c r="Q4907" i="34"/>
  <c r="R4907" i="34"/>
  <c r="S4907" i="34"/>
  <c r="Q4324" i="34"/>
  <c r="R4324" i="34"/>
  <c r="S4324" i="34"/>
  <c r="Q4375" i="34"/>
  <c r="R4375" i="34"/>
  <c r="S4375" i="34"/>
  <c r="S4271" i="34"/>
  <c r="Q4271" i="34"/>
  <c r="R4271" i="34"/>
  <c r="Q4331" i="34"/>
  <c r="R4331" i="34"/>
  <c r="S4331" i="34"/>
  <c r="Q4335" i="34"/>
  <c r="R4335" i="34"/>
  <c r="S4335" i="34"/>
  <c r="S4230" i="34"/>
  <c r="Q4230" i="34"/>
  <c r="R4230" i="34"/>
  <c r="Q4254" i="34"/>
  <c r="R4254" i="34"/>
  <c r="S4254" i="34"/>
  <c r="S4265" i="34"/>
  <c r="Q4265" i="34"/>
  <c r="R4265" i="34"/>
  <c r="S4274" i="34"/>
  <c r="Q4274" i="34"/>
  <c r="R4274" i="34"/>
  <c r="S4298" i="34"/>
  <c r="Q4298" i="34"/>
  <c r="R4298" i="34"/>
  <c r="Q4305" i="34"/>
  <c r="R4305" i="34"/>
  <c r="S4305" i="34"/>
  <c r="S4321" i="34"/>
  <c r="R4321" i="34"/>
  <c r="Q4321" i="34"/>
  <c r="S4338" i="34"/>
  <c r="R4338" i="34"/>
  <c r="Q4338" i="34"/>
  <c r="S4344" i="34"/>
  <c r="R4344" i="34"/>
  <c r="Q4344" i="34"/>
  <c r="S4348" i="34"/>
  <c r="R4348" i="34"/>
  <c r="Q4348" i="34"/>
  <c r="S4385" i="34"/>
  <c r="R4385" i="34"/>
  <c r="Q4385" i="34"/>
  <c r="R4258" i="34"/>
  <c r="S4258" i="34"/>
  <c r="Q4258" i="34"/>
  <c r="Q4261" i="34"/>
  <c r="R4261" i="34"/>
  <c r="S4261" i="34"/>
  <c r="Q4283" i="34"/>
  <c r="R4283" i="34"/>
  <c r="S4283" i="34"/>
  <c r="Q4287" i="34"/>
  <c r="R4287" i="34"/>
  <c r="S4287" i="34"/>
  <c r="Q4293" i="34"/>
  <c r="R4293" i="34"/>
  <c r="S4293" i="34"/>
  <c r="R4310" i="34"/>
  <c r="S4310" i="34"/>
  <c r="Q4310" i="34"/>
  <c r="Q4352" i="34"/>
  <c r="R4352" i="34"/>
  <c r="S4352" i="34"/>
  <c r="Q4356" i="34"/>
  <c r="R4356" i="34"/>
  <c r="S4356" i="34"/>
  <c r="Q4360" i="34"/>
  <c r="R4360" i="34"/>
  <c r="S4360" i="34"/>
  <c r="Q4364" i="34"/>
  <c r="R4364" i="34"/>
  <c r="S4364" i="34"/>
  <c r="Q4368" i="34"/>
  <c r="R4368" i="34"/>
  <c r="S4368" i="34"/>
  <c r="Q4372" i="34"/>
  <c r="R4372" i="34"/>
  <c r="S4372" i="34"/>
  <c r="Q2916" i="34"/>
  <c r="R2916" i="34"/>
  <c r="S2916" i="34"/>
  <c r="S2921" i="34"/>
  <c r="Q2921" i="34"/>
  <c r="R2921" i="34"/>
  <c r="S2923" i="34"/>
  <c r="Q2923" i="34"/>
  <c r="R2923" i="34"/>
  <c r="S2931" i="34"/>
  <c r="Q2931" i="34"/>
  <c r="R2931" i="34"/>
  <c r="S2935" i="34"/>
  <c r="Q2935" i="34"/>
  <c r="R2935" i="34"/>
  <c r="S2939" i="34"/>
  <c r="Q2939" i="34"/>
  <c r="R2939" i="34"/>
  <c r="S2943" i="34"/>
  <c r="Q2943" i="34"/>
  <c r="R2943" i="34"/>
  <c r="S2947" i="34"/>
  <c r="Q2947" i="34"/>
  <c r="R2947" i="34"/>
  <c r="S2951" i="34"/>
  <c r="Q2951" i="34"/>
  <c r="R2951" i="34"/>
  <c r="S2955" i="34"/>
  <c r="Q2955" i="34"/>
  <c r="R2955" i="34"/>
  <c r="S2959" i="34"/>
  <c r="Q2959" i="34"/>
  <c r="R2959" i="34"/>
  <c r="S2963" i="34"/>
  <c r="Q2963" i="34"/>
  <c r="R2963" i="34"/>
  <c r="S2967" i="34"/>
  <c r="Q2967" i="34"/>
  <c r="R2967" i="34"/>
  <c r="S4314" i="34"/>
  <c r="Q4314" i="34"/>
  <c r="R4314" i="34"/>
  <c r="Q50" i="34"/>
  <c r="R50" i="34"/>
  <c r="S50" i="34"/>
  <c r="S191" i="34"/>
  <c r="Q191" i="34"/>
  <c r="R191" i="34"/>
  <c r="S195" i="34"/>
  <c r="Q195" i="34"/>
  <c r="R195" i="34"/>
  <c r="S199" i="34"/>
  <c r="Q199" i="34"/>
  <c r="R199" i="34"/>
  <c r="R1750" i="34"/>
  <c r="S1750" i="34"/>
  <c r="Q1750" i="34"/>
  <c r="R1754" i="34"/>
  <c r="S1754" i="34"/>
  <c r="Q1754" i="34"/>
  <c r="R1758" i="34"/>
  <c r="S1758" i="34"/>
  <c r="Q1758" i="34"/>
  <c r="Q563" i="34"/>
  <c r="R563" i="34"/>
  <c r="S563" i="34"/>
  <c r="Q567" i="34"/>
  <c r="R567" i="34"/>
  <c r="S567" i="34"/>
  <c r="Q571" i="34"/>
  <c r="R571" i="34"/>
  <c r="S571" i="34"/>
  <c r="Q575" i="34"/>
  <c r="R575" i="34"/>
  <c r="S575" i="34"/>
  <c r="Q579" i="34"/>
  <c r="R579" i="34"/>
  <c r="S579" i="34"/>
  <c r="Q583" i="34"/>
  <c r="R583" i="34"/>
  <c r="S583" i="34"/>
  <c r="Q587" i="34"/>
  <c r="R587" i="34"/>
  <c r="S587" i="34"/>
  <c r="Q591" i="34"/>
  <c r="R591" i="34"/>
  <c r="S591" i="34"/>
  <c r="Q595" i="34"/>
  <c r="R595" i="34"/>
  <c r="S595" i="34"/>
  <c r="Q599" i="34"/>
  <c r="R599" i="34"/>
  <c r="S599" i="34"/>
  <c r="Q603" i="34"/>
  <c r="R603" i="34"/>
  <c r="S603" i="34"/>
  <c r="Q1779" i="34"/>
  <c r="R1779" i="34"/>
  <c r="S1779" i="34"/>
  <c r="Q1783" i="34"/>
  <c r="R1783" i="34"/>
  <c r="S1783" i="34"/>
  <c r="Q1787" i="34"/>
  <c r="R1787" i="34"/>
  <c r="S1787" i="34"/>
  <c r="Q1791" i="34"/>
  <c r="R1791" i="34"/>
  <c r="S1791" i="34"/>
  <c r="Q1795" i="34"/>
  <c r="R1795" i="34"/>
  <c r="S1795" i="34"/>
  <c r="Q4609" i="34"/>
  <c r="R4609" i="34"/>
  <c r="S4609" i="34"/>
  <c r="Q4710" i="34"/>
  <c r="R4710" i="34"/>
  <c r="S4710" i="34"/>
  <c r="S4769" i="34"/>
  <c r="Q4769" i="34"/>
  <c r="R4769" i="34"/>
  <c r="Q4610" i="34"/>
  <c r="R4610" i="34"/>
  <c r="S4610" i="34"/>
  <c r="Q4631" i="34"/>
  <c r="R4631" i="34"/>
  <c r="S4631" i="34"/>
  <c r="Q4635" i="34"/>
  <c r="R4635" i="34"/>
  <c r="S4635" i="34"/>
  <c r="Q4642" i="34"/>
  <c r="R4642" i="34"/>
  <c r="S4642" i="34"/>
  <c r="Q4658" i="34"/>
  <c r="R4658" i="34"/>
  <c r="S4658" i="34"/>
  <c r="Q4666" i="34"/>
  <c r="R4666" i="34"/>
  <c r="S4666" i="34"/>
  <c r="Q4677" i="34"/>
  <c r="R4677" i="34"/>
  <c r="S4677" i="34"/>
  <c r="Q4682" i="34"/>
  <c r="R4682" i="34"/>
  <c r="S4682" i="34"/>
  <c r="Q4689" i="34"/>
  <c r="R4689" i="34"/>
  <c r="S4689" i="34"/>
  <c r="Q4711" i="34"/>
  <c r="R4711" i="34"/>
  <c r="S4711" i="34"/>
  <c r="Q4861" i="34"/>
  <c r="R4861" i="34"/>
  <c r="S4861" i="34"/>
  <c r="Q4722" i="34"/>
  <c r="R4722" i="34"/>
  <c r="S4722" i="34"/>
  <c r="Q4726" i="34"/>
  <c r="R4726" i="34"/>
  <c r="S4726" i="34"/>
  <c r="Q4731" i="34"/>
  <c r="R4731" i="34"/>
  <c r="S4731" i="34"/>
  <c r="Q4745" i="34"/>
  <c r="R4745" i="34"/>
  <c r="S4745" i="34"/>
  <c r="Q4770" i="34"/>
  <c r="R4770" i="34"/>
  <c r="S4770" i="34"/>
  <c r="Q4775" i="34"/>
  <c r="R4775" i="34"/>
  <c r="S4775" i="34"/>
  <c r="Q4778" i="34"/>
  <c r="R4778" i="34"/>
  <c r="S4778" i="34"/>
  <c r="Q4602" i="34"/>
  <c r="R4602" i="34"/>
  <c r="S4602" i="34"/>
  <c r="Q4606" i="34"/>
  <c r="R4606" i="34"/>
  <c r="S4606" i="34"/>
  <c r="R4625" i="34"/>
  <c r="S4625" i="34"/>
  <c r="Q4625" i="34"/>
  <c r="R4651" i="34"/>
  <c r="S4651" i="34"/>
  <c r="Q4651" i="34"/>
  <c r="R4655" i="34"/>
  <c r="S4655" i="34"/>
  <c r="Q4655" i="34"/>
  <c r="R4663" i="34"/>
  <c r="S4663" i="34"/>
  <c r="Q4663" i="34"/>
  <c r="R4671" i="34"/>
  <c r="S4671" i="34"/>
  <c r="Q4671" i="34"/>
  <c r="Q4674" i="34"/>
  <c r="R4674" i="34"/>
  <c r="S4674" i="34"/>
  <c r="R4697" i="34"/>
  <c r="S4697" i="34"/>
  <c r="Q4697" i="34"/>
  <c r="Q4700" i="34"/>
  <c r="R4700" i="34"/>
  <c r="S4700" i="34"/>
  <c r="Q4704" i="34"/>
  <c r="R4704" i="34"/>
  <c r="S4704" i="34"/>
  <c r="Q4708" i="34"/>
  <c r="R4708" i="34"/>
  <c r="S4708" i="34"/>
  <c r="R4719" i="34"/>
  <c r="S4719" i="34"/>
  <c r="Q4719" i="34"/>
  <c r="Q4755" i="34"/>
  <c r="R4755" i="34"/>
  <c r="S4755" i="34"/>
  <c r="Q4759" i="34"/>
  <c r="R4759" i="34"/>
  <c r="S4759" i="34"/>
  <c r="S3023" i="34"/>
  <c r="Q3023" i="34"/>
  <c r="R3023" i="34"/>
  <c r="Q3026" i="34"/>
  <c r="R3026" i="34"/>
  <c r="S3026" i="34"/>
  <c r="Q3030" i="34"/>
  <c r="R3030" i="34"/>
  <c r="S3030" i="34"/>
  <c r="S3035" i="34"/>
  <c r="Q3035" i="34"/>
  <c r="R3035" i="34"/>
  <c r="S3041" i="34"/>
  <c r="Q3041" i="34"/>
  <c r="R3041" i="34"/>
  <c r="Q3046" i="34"/>
  <c r="R3046" i="34"/>
  <c r="S3046" i="34"/>
  <c r="Q3050" i="34"/>
  <c r="R3050" i="34"/>
  <c r="S3050" i="34"/>
  <c r="Q3054" i="34"/>
  <c r="R3054" i="34"/>
  <c r="S3054" i="34"/>
  <c r="Q3058" i="34"/>
  <c r="R3058" i="34"/>
  <c r="S3058" i="34"/>
  <c r="Q3062" i="34"/>
  <c r="R3062" i="34"/>
  <c r="S3062" i="34"/>
  <c r="Q3066" i="34"/>
  <c r="R3066" i="34"/>
  <c r="S3066" i="34"/>
  <c r="Q3070" i="34"/>
  <c r="R3070" i="34"/>
  <c r="S3070" i="34"/>
  <c r="S4615" i="34"/>
  <c r="Q4615" i="34"/>
  <c r="R4615" i="34"/>
  <c r="S4619" i="34"/>
  <c r="Q4619" i="34"/>
  <c r="R4619" i="34"/>
  <c r="S4623" i="34"/>
  <c r="Q4623" i="34"/>
  <c r="R4623" i="34"/>
  <c r="S4741" i="34"/>
  <c r="Q4741" i="34"/>
  <c r="R4741" i="34"/>
  <c r="Q4784" i="34"/>
  <c r="R4784" i="34"/>
  <c r="S4784" i="34"/>
  <c r="S2498" i="34"/>
  <c r="Q2498" i="34"/>
  <c r="R2498" i="34"/>
  <c r="R4641" i="34"/>
  <c r="Q4641" i="34"/>
  <c r="S4641" i="34"/>
  <c r="R4694" i="34"/>
  <c r="Q4694" i="34"/>
  <c r="S4694" i="34"/>
  <c r="R4735" i="34"/>
  <c r="Q4735" i="34"/>
  <c r="S4735" i="34"/>
  <c r="S2483" i="34"/>
  <c r="Q2483" i="34"/>
  <c r="R2483" i="34"/>
  <c r="S205" i="34"/>
  <c r="Q205" i="34"/>
  <c r="R205" i="34"/>
  <c r="S209" i="34"/>
  <c r="Q209" i="34"/>
  <c r="R209" i="34"/>
  <c r="S213" i="34"/>
  <c r="Q213" i="34"/>
  <c r="R213" i="34"/>
  <c r="S217" i="34"/>
  <c r="Q217" i="34"/>
  <c r="R217" i="34"/>
  <c r="R1825" i="34"/>
  <c r="S1825" i="34"/>
  <c r="Q1825" i="34"/>
  <c r="R1829" i="34"/>
  <c r="S1829" i="34"/>
  <c r="Q1829" i="34"/>
  <c r="R1833" i="34"/>
  <c r="S1833" i="34"/>
  <c r="Q1833" i="34"/>
  <c r="R1837" i="34"/>
  <c r="S1837" i="34"/>
  <c r="Q1837" i="34"/>
  <c r="R1841" i="34"/>
  <c r="S1841" i="34"/>
  <c r="Q1841" i="34"/>
  <c r="R1861" i="34"/>
  <c r="S1861" i="34"/>
  <c r="Q1861" i="34"/>
  <c r="Q611" i="34"/>
  <c r="R611" i="34"/>
  <c r="S611" i="34"/>
  <c r="Q617" i="34"/>
  <c r="R617" i="34"/>
  <c r="S617" i="34"/>
  <c r="Q623" i="34"/>
  <c r="R623" i="34"/>
  <c r="S623" i="34"/>
  <c r="Q627" i="34"/>
  <c r="R627" i="34"/>
  <c r="S627" i="34"/>
  <c r="Q631" i="34"/>
  <c r="R631" i="34"/>
  <c r="S631" i="34"/>
  <c r="Q635" i="34"/>
  <c r="R635" i="34"/>
  <c r="S635" i="34"/>
  <c r="Q639" i="34"/>
  <c r="R639" i="34"/>
  <c r="S639" i="34"/>
  <c r="Q643" i="34"/>
  <c r="R643" i="34"/>
  <c r="S643" i="34"/>
  <c r="Q647" i="34"/>
  <c r="R647" i="34"/>
  <c r="S647" i="34"/>
  <c r="Q651" i="34"/>
  <c r="R651" i="34"/>
  <c r="S651" i="34"/>
  <c r="Q655" i="34"/>
  <c r="R655" i="34"/>
  <c r="S655" i="34"/>
  <c r="Q659" i="34"/>
  <c r="R659" i="34"/>
  <c r="S659" i="34"/>
  <c r="Q663" i="34"/>
  <c r="R663" i="34"/>
  <c r="S663" i="34"/>
  <c r="Q667" i="34"/>
  <c r="R667" i="34"/>
  <c r="S667" i="34"/>
  <c r="Q1896" i="34"/>
  <c r="R1896" i="34"/>
  <c r="S1896" i="34"/>
  <c r="Q1902" i="34"/>
  <c r="R1902" i="34"/>
  <c r="S1902" i="34"/>
  <c r="Q1906" i="34"/>
  <c r="R1906" i="34"/>
  <c r="S1906" i="34"/>
  <c r="Q1910" i="34"/>
  <c r="R1910" i="34"/>
  <c r="S1910" i="34"/>
  <c r="Q1914" i="34"/>
  <c r="R1914" i="34"/>
  <c r="S1914" i="34"/>
  <c r="Q1918" i="34"/>
  <c r="R1918" i="34"/>
  <c r="S1918" i="34"/>
  <c r="Q1922" i="34"/>
  <c r="R1922" i="34"/>
  <c r="S1922" i="34"/>
  <c r="S1932" i="34"/>
  <c r="Q1932" i="34"/>
  <c r="R1932" i="34"/>
  <c r="S1940" i="34"/>
  <c r="Q1940" i="34"/>
  <c r="R1940" i="34"/>
  <c r="Q4828" i="34"/>
  <c r="R4828" i="34"/>
  <c r="S4828" i="34"/>
  <c r="R4941" i="34"/>
  <c r="S4941" i="34"/>
  <c r="Q4941" i="34"/>
  <c r="Q4802" i="34"/>
  <c r="R4802" i="34"/>
  <c r="S4802" i="34"/>
  <c r="S4934" i="34"/>
  <c r="Q4934" i="34"/>
  <c r="R4934" i="34"/>
  <c r="Q4939" i="34"/>
  <c r="R4939" i="34"/>
  <c r="S4939" i="34"/>
  <c r="S4960" i="34"/>
  <c r="Q4960" i="34"/>
  <c r="R4960" i="34"/>
  <c r="S3071" i="34"/>
  <c r="Q3071" i="34"/>
  <c r="R3071" i="34"/>
  <c r="Q4791" i="34"/>
  <c r="R4791" i="34"/>
  <c r="S4791" i="34"/>
  <c r="S3083" i="34"/>
  <c r="Q3083" i="34"/>
  <c r="R3083" i="34"/>
  <c r="R4838" i="34"/>
  <c r="S4838" i="34"/>
  <c r="Q4838" i="34"/>
  <c r="R4814" i="34"/>
  <c r="Q4814" i="34"/>
  <c r="S4814" i="34"/>
  <c r="R4818" i="34"/>
  <c r="Q4818" i="34"/>
  <c r="S4818" i="34"/>
  <c r="R4873" i="34"/>
  <c r="Q4873" i="34"/>
  <c r="S4873" i="34"/>
  <c r="R4881" i="34"/>
  <c r="Q4881" i="34"/>
  <c r="S4881" i="34"/>
  <c r="R4893" i="34"/>
  <c r="Q4893" i="34"/>
  <c r="S4893" i="34"/>
  <c r="Q3072" i="34"/>
  <c r="R3072" i="34"/>
  <c r="S3072" i="34"/>
  <c r="Q3076" i="34"/>
  <c r="R3076" i="34"/>
  <c r="S3076" i="34"/>
  <c r="Q3080" i="34"/>
  <c r="R3080" i="34"/>
  <c r="S3080" i="34"/>
  <c r="Q3086" i="34"/>
  <c r="R3086" i="34"/>
  <c r="S3086" i="34"/>
  <c r="S3091" i="34"/>
  <c r="Q3091" i="34"/>
  <c r="R3091" i="34"/>
  <c r="R4831" i="34"/>
  <c r="S4831" i="34"/>
  <c r="Q4831" i="34"/>
  <c r="Q3098" i="34"/>
  <c r="R3098" i="34"/>
  <c r="S3098" i="34"/>
  <c r="Q3102" i="34"/>
  <c r="R3102" i="34"/>
  <c r="S3102" i="34"/>
  <c r="S3107" i="34"/>
  <c r="Q3107" i="34"/>
  <c r="R3107" i="34"/>
  <c r="R79" i="34"/>
  <c r="S79" i="34"/>
  <c r="Q79" i="34"/>
  <c r="R83" i="34"/>
  <c r="S83" i="34"/>
  <c r="Q83" i="34"/>
  <c r="R87" i="34"/>
  <c r="S87" i="34"/>
  <c r="Q87" i="34"/>
  <c r="Q849" i="34"/>
  <c r="R849" i="34"/>
  <c r="S849" i="34"/>
  <c r="Q853" i="34"/>
  <c r="R853" i="34"/>
  <c r="S853" i="34"/>
  <c r="Q857" i="34"/>
  <c r="R857" i="34"/>
  <c r="S857" i="34"/>
  <c r="S2003" i="34"/>
  <c r="Q2003" i="34"/>
  <c r="R2003" i="34"/>
  <c r="Q287" i="34"/>
  <c r="R287" i="34"/>
  <c r="S287" i="34"/>
  <c r="Q291" i="34"/>
  <c r="R291" i="34"/>
  <c r="S291" i="34"/>
  <c r="Q295" i="34"/>
  <c r="R295" i="34"/>
  <c r="S295" i="34"/>
  <c r="Q299" i="34"/>
  <c r="R299" i="34"/>
  <c r="S299" i="34"/>
  <c r="Q303" i="34"/>
  <c r="R303" i="34"/>
  <c r="S303" i="34"/>
  <c r="Q307" i="34"/>
  <c r="R307" i="34"/>
  <c r="S307" i="34"/>
  <c r="Q311" i="34"/>
  <c r="R311" i="34"/>
  <c r="S311" i="34"/>
  <c r="Q315" i="34"/>
  <c r="R315" i="34"/>
  <c r="S315" i="34"/>
  <c r="Q319" i="34"/>
  <c r="R319" i="34"/>
  <c r="S319" i="34"/>
  <c r="Q323" i="34"/>
  <c r="R323" i="34"/>
  <c r="S323" i="34"/>
  <c r="R889" i="34"/>
  <c r="S889" i="34"/>
  <c r="Q889" i="34"/>
  <c r="R893" i="34"/>
  <c r="S893" i="34"/>
  <c r="Q893" i="34"/>
  <c r="R897" i="34"/>
  <c r="S897" i="34"/>
  <c r="Q897" i="34"/>
  <c r="R901" i="34"/>
  <c r="S901" i="34"/>
  <c r="Q901" i="34"/>
  <c r="R905" i="34"/>
  <c r="S905" i="34"/>
  <c r="Q905" i="34"/>
  <c r="R909" i="34"/>
  <c r="S909" i="34"/>
  <c r="Q909" i="34"/>
  <c r="R3496" i="34"/>
  <c r="S3496" i="34"/>
  <c r="Q3496" i="34"/>
  <c r="R3554" i="34"/>
  <c r="S3554" i="34"/>
  <c r="Q3554" i="34"/>
  <c r="R3430" i="34"/>
  <c r="S3430" i="34"/>
  <c r="Q3430" i="34"/>
  <c r="Q3433" i="34"/>
  <c r="R3433" i="34"/>
  <c r="S3433" i="34"/>
  <c r="Q3446" i="34"/>
  <c r="R3446" i="34"/>
  <c r="S3446" i="34"/>
  <c r="Q3450" i="34"/>
  <c r="R3450" i="34"/>
  <c r="S3450" i="34"/>
  <c r="R3478" i="34"/>
  <c r="S3478" i="34"/>
  <c r="Q3478" i="34"/>
  <c r="R3483" i="34"/>
  <c r="S3483" i="34"/>
  <c r="Q3483" i="34"/>
  <c r="R3490" i="34"/>
  <c r="S3490" i="34"/>
  <c r="Q3490" i="34"/>
  <c r="R3495" i="34"/>
  <c r="S3495" i="34"/>
  <c r="Q3495" i="34"/>
  <c r="R3505" i="34"/>
  <c r="S3505" i="34"/>
  <c r="Q3505" i="34"/>
  <c r="R3510" i="34"/>
  <c r="S3510" i="34"/>
  <c r="Q3510" i="34"/>
  <c r="R3533" i="34"/>
  <c r="S3533" i="34"/>
  <c r="Q3533" i="34"/>
  <c r="R3547" i="34"/>
  <c r="S3547" i="34"/>
  <c r="Q3547" i="34"/>
  <c r="R3553" i="34"/>
  <c r="S3553" i="34"/>
  <c r="Q3553" i="34"/>
  <c r="R3562" i="34"/>
  <c r="S3562" i="34"/>
  <c r="Q3562" i="34"/>
  <c r="Q3438" i="34"/>
  <c r="R3438" i="34"/>
  <c r="S3438" i="34"/>
  <c r="Q3442" i="34"/>
  <c r="R3442" i="34"/>
  <c r="S3442" i="34"/>
  <c r="R3453" i="34"/>
  <c r="S3453" i="34"/>
  <c r="Q3453" i="34"/>
  <c r="R3487" i="34"/>
  <c r="S3487" i="34"/>
  <c r="Q3487" i="34"/>
  <c r="R3502" i="34"/>
  <c r="S3502" i="34"/>
  <c r="Q3502" i="34"/>
  <c r="Q3519" i="34"/>
  <c r="R3519" i="34"/>
  <c r="S3519" i="34"/>
  <c r="Q3523" i="34"/>
  <c r="R3523" i="34"/>
  <c r="S3523" i="34"/>
  <c r="Q3527" i="34"/>
  <c r="R3527" i="34"/>
  <c r="S3527" i="34"/>
  <c r="Q3531" i="34"/>
  <c r="R3531" i="34"/>
  <c r="S3531" i="34"/>
  <c r="Q3539" i="34"/>
  <c r="R3539" i="34"/>
  <c r="S3539" i="34"/>
  <c r="Q3543" i="34"/>
  <c r="R3543" i="34"/>
  <c r="S3543" i="34"/>
  <c r="Q3557" i="34"/>
  <c r="R3557" i="34"/>
  <c r="S3557" i="34"/>
  <c r="Q2654" i="34"/>
  <c r="R2654" i="34"/>
  <c r="S2654" i="34"/>
  <c r="Q2658" i="34"/>
  <c r="R2658" i="34"/>
  <c r="S2658" i="34"/>
  <c r="Q2664" i="34"/>
  <c r="R2664" i="34"/>
  <c r="S2664" i="34"/>
  <c r="Q2668" i="34"/>
  <c r="R2668" i="34"/>
  <c r="S2668" i="34"/>
  <c r="Q2672" i="34"/>
  <c r="R2672" i="34"/>
  <c r="S2672" i="34"/>
  <c r="Q2676" i="34"/>
  <c r="R2676" i="34"/>
  <c r="S2676" i="34"/>
  <c r="Q2680" i="34"/>
  <c r="R2680" i="34"/>
  <c r="S2680" i="34"/>
  <c r="Q2684" i="34"/>
  <c r="R2684" i="34"/>
  <c r="S2684" i="34"/>
  <c r="Q3457" i="34"/>
  <c r="R3457" i="34"/>
  <c r="S3457" i="34"/>
  <c r="S3465" i="34"/>
  <c r="Q3465" i="34"/>
  <c r="R3465" i="34"/>
  <c r="S3469" i="34"/>
  <c r="Q3469" i="34"/>
  <c r="R3469" i="34"/>
  <c r="S3511" i="34"/>
  <c r="Q3511" i="34"/>
  <c r="R3511" i="34"/>
  <c r="S3515" i="34"/>
  <c r="Q3515" i="34"/>
  <c r="R3515" i="34"/>
  <c r="S3551" i="34"/>
  <c r="Q3551" i="34"/>
  <c r="R3551" i="34"/>
  <c r="Q2580" i="34"/>
  <c r="R2580" i="34"/>
  <c r="S2580" i="34"/>
  <c r="S3460" i="34"/>
  <c r="Q3460" i="34"/>
  <c r="R3460" i="34"/>
  <c r="R5046" i="34"/>
  <c r="S5046" i="34"/>
  <c r="Q5046" i="34"/>
  <c r="Q5082" i="34"/>
  <c r="R5082" i="34"/>
  <c r="S5082" i="34"/>
  <c r="Q671" i="34"/>
  <c r="R671" i="34"/>
  <c r="S671" i="34"/>
  <c r="Q675" i="34"/>
  <c r="R675" i="34"/>
  <c r="S675" i="34"/>
  <c r="Q1761" i="34"/>
  <c r="R1761" i="34"/>
  <c r="S1761" i="34"/>
  <c r="Q1763" i="34"/>
  <c r="R1763" i="34"/>
  <c r="S1763" i="34"/>
  <c r="Q1765" i="34"/>
  <c r="R1765" i="34"/>
  <c r="S1765" i="34"/>
  <c r="R616" i="34"/>
  <c r="S616" i="34"/>
  <c r="Q616" i="34"/>
  <c r="Q687" i="34"/>
  <c r="R687" i="34"/>
  <c r="S687" i="34"/>
  <c r="S1942" i="34"/>
  <c r="Q1942" i="34"/>
  <c r="R1942" i="34"/>
  <c r="S5009" i="34"/>
  <c r="Q5009" i="34"/>
  <c r="R5009" i="34"/>
  <c r="Q4581" i="34"/>
  <c r="R4581" i="34"/>
  <c r="S4581" i="34"/>
  <c r="Q4585" i="34"/>
  <c r="R4585" i="34"/>
  <c r="S4585" i="34"/>
  <c r="Q4583" i="34"/>
  <c r="R4583" i="34"/>
  <c r="S4583" i="34"/>
  <c r="S4535" i="34"/>
  <c r="Q4535" i="34"/>
  <c r="R4535" i="34"/>
  <c r="S4381" i="34"/>
  <c r="Q4381" i="34"/>
  <c r="R4381" i="34"/>
  <c r="S4269" i="34"/>
  <c r="Q4269" i="34"/>
  <c r="R4269" i="34"/>
  <c r="S3109" i="34"/>
  <c r="Q3109" i="34"/>
  <c r="R3109" i="34"/>
  <c r="S3115" i="34"/>
  <c r="Q3115" i="34"/>
  <c r="R3115" i="34"/>
  <c r="S3117" i="34"/>
  <c r="Q3117" i="34"/>
  <c r="R3117" i="34"/>
  <c r="S3119" i="34"/>
  <c r="Q3119" i="34"/>
  <c r="R3119" i="34"/>
  <c r="S3121" i="34"/>
  <c r="Q3121" i="34"/>
  <c r="R3121" i="34"/>
  <c r="S3123" i="34"/>
  <c r="Q3123" i="34"/>
  <c r="R3123" i="34"/>
  <c r="S3125" i="34"/>
  <c r="Q3125" i="34"/>
  <c r="R3125" i="34"/>
  <c r="S3127" i="34"/>
  <c r="Q3127" i="34"/>
  <c r="R3127" i="34"/>
  <c r="S3129" i="34"/>
  <c r="Q3129" i="34"/>
  <c r="R3129" i="34"/>
  <c r="S3135" i="34"/>
  <c r="Q3135" i="34"/>
  <c r="R3135" i="34"/>
  <c r="S3137" i="34"/>
  <c r="Q3137" i="34"/>
  <c r="R3137" i="34"/>
  <c r="R4924" i="34"/>
  <c r="S4924" i="34"/>
  <c r="Q4924" i="34"/>
  <c r="R4926" i="34"/>
  <c r="S4926" i="34"/>
  <c r="Q4926" i="34"/>
  <c r="R4928" i="34"/>
  <c r="S4928" i="34"/>
  <c r="Q4928" i="34"/>
  <c r="Q4945" i="34"/>
  <c r="R4945" i="34"/>
  <c r="S4945" i="34"/>
  <c r="Q4947" i="34"/>
  <c r="R4947" i="34"/>
  <c r="S4947" i="34"/>
  <c r="Q12" i="34"/>
  <c r="R12" i="34"/>
  <c r="S12" i="34"/>
  <c r="A103" i="55"/>
  <c r="A76" i="55" l="1"/>
  <c r="B4580" i="34"/>
  <c r="A4580" i="34" s="1"/>
  <c r="E1919" i="34"/>
  <c r="M1918" i="34"/>
  <c r="E1918" i="34"/>
  <c r="E1915" i="34"/>
  <c r="M1914" i="34"/>
  <c r="E1914" i="34"/>
  <c r="E1913" i="34"/>
  <c r="M1912" i="34"/>
  <c r="E1912" i="34"/>
  <c r="E1909" i="34"/>
  <c r="M1908" i="34"/>
  <c r="E1908" i="34"/>
  <c r="E1907" i="34"/>
  <c r="M1906" i="34"/>
  <c r="E1906" i="34"/>
  <c r="E1900" i="34"/>
  <c r="M1899" i="34"/>
  <c r="E1899" i="34"/>
  <c r="E1896" i="34"/>
  <c r="M1895" i="34"/>
  <c r="E1895" i="34"/>
  <c r="E1797" i="34"/>
  <c r="M1796" i="34"/>
  <c r="E1796" i="34"/>
  <c r="E1795" i="34"/>
  <c r="M1794" i="34"/>
  <c r="E1794" i="34"/>
  <c r="E1791" i="34"/>
  <c r="M1790" i="34"/>
  <c r="E1790" i="34"/>
  <c r="E1785" i="34"/>
  <c r="M1784" i="34"/>
  <c r="E1784" i="34"/>
  <c r="E1783" i="34"/>
  <c r="M1782" i="34"/>
  <c r="E1782" i="34"/>
  <c r="E1781" i="34"/>
  <c r="M1780" i="34"/>
  <c r="E1780" i="34"/>
  <c r="E1708" i="34"/>
  <c r="B1708" i="34"/>
  <c r="A1708" i="34" s="1"/>
  <c r="M1707" i="34"/>
  <c r="E1707" i="34"/>
  <c r="B1707" i="34"/>
  <c r="A1707" i="34" s="1"/>
  <c r="A8" i="12"/>
  <c r="A6" i="12"/>
  <c r="E1917" i="34"/>
  <c r="M1916" i="34"/>
  <c r="E1916" i="34"/>
  <c r="E1911" i="34"/>
  <c r="M1910" i="34"/>
  <c r="E1910" i="34"/>
  <c r="E1195" i="34"/>
  <c r="M1194" i="34"/>
  <c r="E1194" i="34"/>
  <c r="E1063" i="34"/>
  <c r="M1062" i="34"/>
  <c r="E1062" i="34"/>
  <c r="E1061" i="34"/>
  <c r="M1060" i="34"/>
  <c r="E1060" i="34"/>
  <c r="E1059" i="34"/>
  <c r="M1058" i="34"/>
  <c r="E1058" i="34"/>
  <c r="E621" i="34"/>
  <c r="E622" i="34"/>
  <c r="E623" i="34"/>
  <c r="B11" i="34"/>
  <c r="A11" i="34" s="1"/>
  <c r="A40" i="12"/>
  <c r="M608" i="34"/>
  <c r="M609" i="34" s="1"/>
  <c r="E609" i="34"/>
  <c r="E608" i="34"/>
  <c r="B557" i="34"/>
  <c r="A557" i="34" s="1"/>
  <c r="B556" i="34"/>
  <c r="A556" i="34" s="1"/>
  <c r="Q557" i="34" l="1"/>
  <c r="R557" i="34"/>
  <c r="S557" i="34"/>
  <c r="R1708" i="34"/>
  <c r="S1708" i="34"/>
  <c r="Q1708" i="34"/>
  <c r="Q1707" i="34"/>
  <c r="R1707" i="34"/>
  <c r="S1707" i="34"/>
  <c r="S4580" i="34"/>
  <c r="Q4580" i="34"/>
  <c r="R4580" i="34"/>
  <c r="R556" i="34"/>
  <c r="S556" i="34"/>
  <c r="Q556" i="34"/>
  <c r="Q11" i="34"/>
  <c r="S11" i="34"/>
  <c r="R11" i="34"/>
  <c r="E3107" i="34"/>
  <c r="E3106" i="34"/>
  <c r="E3105" i="34"/>
  <c r="E2508" i="34"/>
  <c r="A69" i="45"/>
  <c r="E3102" i="34"/>
  <c r="E3101" i="34"/>
  <c r="E3100" i="34"/>
  <c r="E3099" i="34"/>
  <c r="E3098" i="34"/>
  <c r="E3097" i="34"/>
  <c r="E3096" i="34"/>
  <c r="E1833" i="34"/>
  <c r="K1833" i="34"/>
  <c r="M1833" i="34" s="1"/>
  <c r="E1834" i="34"/>
  <c r="K1834" i="34"/>
  <c r="M1834" i="34" s="1"/>
  <c r="E3095" i="34"/>
  <c r="E3092" i="34"/>
  <c r="E3093" i="34"/>
  <c r="E3094" i="34"/>
  <c r="E3090" i="34"/>
  <c r="E3089" i="34"/>
  <c r="E3086" i="34"/>
  <c r="E3085" i="34"/>
  <c r="E3084" i="34"/>
  <c r="E614" i="34" l="1"/>
  <c r="E613" i="34"/>
  <c r="E3078" i="34"/>
  <c r="E3077" i="34"/>
  <c r="E3076" i="34"/>
  <c r="E3075" i="34"/>
  <c r="E3073" i="34"/>
  <c r="E3074" i="34"/>
  <c r="E1793" i="34"/>
  <c r="E1711" i="34"/>
  <c r="B1711" i="34"/>
  <c r="A1711" i="34" s="1"/>
  <c r="M1710" i="34"/>
  <c r="E1710" i="34"/>
  <c r="B1710" i="34"/>
  <c r="A1710" i="34" s="1"/>
  <c r="E1831" i="34"/>
  <c r="K1831" i="34"/>
  <c r="M1831" i="34" s="1"/>
  <c r="E1832" i="34"/>
  <c r="K1832" i="34"/>
  <c r="M1832" i="34" s="1"/>
  <c r="E1835" i="34"/>
  <c r="K1835" i="34"/>
  <c r="M1835" i="34" s="1"/>
  <c r="E1836" i="34"/>
  <c r="K1836" i="34"/>
  <c r="M1836" i="34" s="1"/>
  <c r="E1837" i="34"/>
  <c r="K1837" i="34"/>
  <c r="M1837" i="34" s="1"/>
  <c r="E1838" i="34"/>
  <c r="K1838" i="34"/>
  <c r="M1838" i="34" s="1"/>
  <c r="E1839" i="34"/>
  <c r="K1839" i="34"/>
  <c r="M1839" i="34" s="1"/>
  <c r="E1840" i="34"/>
  <c r="K1840" i="34"/>
  <c r="M1840" i="34" s="1"/>
  <c r="E1841" i="34"/>
  <c r="K1841" i="34"/>
  <c r="M1841" i="34" s="1"/>
  <c r="E3079" i="34"/>
  <c r="E3080" i="34"/>
  <c r="E3082" i="34"/>
  <c r="E3087" i="34"/>
  <c r="E3091" i="34"/>
  <c r="E3072" i="34"/>
  <c r="Q1711" i="34" l="1"/>
  <c r="R1711" i="34"/>
  <c r="S1711" i="34"/>
  <c r="R1710" i="34"/>
  <c r="S1710" i="34"/>
  <c r="Q1710" i="34"/>
  <c r="A68" i="45"/>
  <c r="L4830" i="34"/>
  <c r="E2483" i="34"/>
  <c r="A77" i="55" l="1"/>
  <c r="E3083" i="34" l="1"/>
  <c r="A78" i="55" l="1"/>
  <c r="E3071" i="34" l="1"/>
  <c r="M4591" i="34"/>
  <c r="M79" i="34"/>
  <c r="A79" i="55" l="1"/>
  <c r="A80" i="55" l="1"/>
  <c r="M3494" i="34"/>
  <c r="M3493" i="34"/>
  <c r="M4643" i="34"/>
  <c r="M4642" i="34"/>
  <c r="B4448" i="34" l="1"/>
  <c r="A4448" i="34" s="1"/>
  <c r="A38" i="12"/>
  <c r="E1858" i="34"/>
  <c r="E1861" i="34"/>
  <c r="E2502" i="34"/>
  <c r="E2500" i="34"/>
  <c r="E2499" i="34"/>
  <c r="E2498" i="34"/>
  <c r="Q4448" i="34" l="1"/>
  <c r="R4448" i="34"/>
  <c r="S4448" i="34"/>
  <c r="A81" i="55"/>
  <c r="E2495" i="34"/>
  <c r="E2492" i="34"/>
  <c r="E2503" i="34"/>
  <c r="E2496" i="34"/>
  <c r="E3070" i="34"/>
  <c r="E3067" i="34"/>
  <c r="E3068" i="34"/>
  <c r="E2497" i="34"/>
  <c r="E3064" i="34"/>
  <c r="E3063" i="34"/>
  <c r="A67" i="45"/>
  <c r="E3066" i="34"/>
  <c r="E3065" i="34"/>
  <c r="E3061" i="34"/>
  <c r="E3062" i="34"/>
  <c r="E3050" i="34"/>
  <c r="E3051" i="34"/>
  <c r="E3052" i="34"/>
  <c r="E3053" i="34"/>
  <c r="E3054" i="34"/>
  <c r="E3055" i="34"/>
  <c r="E3056" i="34"/>
  <c r="E3057" i="34"/>
  <c r="E3058" i="34"/>
  <c r="E3059" i="34"/>
  <c r="E3060" i="34"/>
  <c r="E3049" i="34"/>
  <c r="E3046" i="34"/>
  <c r="E3047" i="34"/>
  <c r="E3048" i="34"/>
  <c r="E3045" i="34"/>
  <c r="E3069" i="34"/>
  <c r="E3026" i="34" l="1"/>
  <c r="E3027" i="34"/>
  <c r="A82" i="55" l="1"/>
  <c r="E3034" i="34"/>
  <c r="E3033" i="34"/>
  <c r="K4709" i="34"/>
  <c r="E3044" i="34"/>
  <c r="A83" i="55" l="1"/>
  <c r="A66" i="45" l="1"/>
  <c r="L4691" i="34"/>
  <c r="A25" i="12"/>
  <c r="A84" i="55" l="1"/>
  <c r="E1786" i="34"/>
  <c r="E1787" i="34"/>
  <c r="E1788" i="34"/>
  <c r="E1789" i="34"/>
  <c r="M1788" i="34"/>
  <c r="M1787" i="34"/>
  <c r="M1786" i="34"/>
  <c r="B2973" i="34"/>
  <c r="A2973" i="34" s="1"/>
  <c r="E2973" i="34"/>
  <c r="S2973" i="34" l="1"/>
  <c r="Q2973" i="34"/>
  <c r="R2973" i="34"/>
  <c r="A85" i="55"/>
  <c r="J33" i="69"/>
  <c r="A4" i="69"/>
  <c r="A87" i="55" l="1"/>
  <c r="E1202" i="34"/>
  <c r="M3570" i="34"/>
  <c r="M3569" i="34"/>
  <c r="M3568" i="34"/>
  <c r="M3567" i="34"/>
  <c r="B5715" i="34"/>
  <c r="A5715" i="34" s="1"/>
  <c r="B5716" i="34"/>
  <c r="A5716" i="34" s="1"/>
  <c r="B24" i="34"/>
  <c r="A24" i="34" s="1"/>
  <c r="B46" i="34"/>
  <c r="A46" i="34" s="1"/>
  <c r="B47" i="34"/>
  <c r="A47" i="34" s="1"/>
  <c r="B48" i="34"/>
  <c r="A48" i="34" s="1"/>
  <c r="B49" i="34"/>
  <c r="A49" i="34" s="1"/>
  <c r="B55" i="34"/>
  <c r="A55" i="34" s="1"/>
  <c r="B56" i="34"/>
  <c r="A56" i="34" s="1"/>
  <c r="B57" i="34"/>
  <c r="A57" i="34" s="1"/>
  <c r="B58" i="34"/>
  <c r="A58" i="34" s="1"/>
  <c r="B59" i="34"/>
  <c r="A59" i="34" s="1"/>
  <c r="B60" i="34"/>
  <c r="A60" i="34" s="1"/>
  <c r="B61" i="34"/>
  <c r="A61" i="34" s="1"/>
  <c r="B62" i="34"/>
  <c r="A62" i="34" s="1"/>
  <c r="B63" i="34"/>
  <c r="A63" i="34" s="1"/>
  <c r="B64" i="34"/>
  <c r="A64" i="34" s="1"/>
  <c r="B65" i="34"/>
  <c r="A65" i="34" s="1"/>
  <c r="B66" i="34"/>
  <c r="A66" i="34" s="1"/>
  <c r="B67" i="34"/>
  <c r="A67" i="34" s="1"/>
  <c r="B68" i="34"/>
  <c r="A68" i="34" s="1"/>
  <c r="B69" i="34"/>
  <c r="A69" i="34" s="1"/>
  <c r="B70" i="34"/>
  <c r="A70" i="34" s="1"/>
  <c r="B71" i="34"/>
  <c r="A71" i="34" s="1"/>
  <c r="B72" i="34"/>
  <c r="A72" i="34" s="1"/>
  <c r="B73" i="34"/>
  <c r="A73" i="34" s="1"/>
  <c r="B74" i="34"/>
  <c r="A74" i="34" s="1"/>
  <c r="B75" i="34"/>
  <c r="A75" i="34" s="1"/>
  <c r="B174" i="34"/>
  <c r="A174" i="34" s="1"/>
  <c r="B175" i="34"/>
  <c r="A175" i="34" s="1"/>
  <c r="B176" i="34"/>
  <c r="A176" i="34" s="1"/>
  <c r="B177" i="34"/>
  <c r="A177" i="34" s="1"/>
  <c r="B178" i="34"/>
  <c r="A178" i="34" s="1"/>
  <c r="B179" i="34"/>
  <c r="A179" i="34" s="1"/>
  <c r="B180" i="34"/>
  <c r="A180" i="34" s="1"/>
  <c r="B181" i="34"/>
  <c r="A181" i="34" s="1"/>
  <c r="B182" i="34"/>
  <c r="A182" i="34" s="1"/>
  <c r="B183" i="34"/>
  <c r="A183" i="34" s="1"/>
  <c r="B184" i="34"/>
  <c r="A184" i="34" s="1"/>
  <c r="B185" i="34"/>
  <c r="A185" i="34" s="1"/>
  <c r="B186" i="34"/>
  <c r="A186" i="34" s="1"/>
  <c r="B187" i="34"/>
  <c r="A187" i="34" s="1"/>
  <c r="B224" i="34"/>
  <c r="A224" i="34" s="1"/>
  <c r="B225" i="34"/>
  <c r="A225" i="34" s="1"/>
  <c r="B226" i="34"/>
  <c r="A226" i="34" s="1"/>
  <c r="B227" i="34"/>
  <c r="A227" i="34" s="1"/>
  <c r="B228" i="34"/>
  <c r="A228" i="34" s="1"/>
  <c r="B229" i="34"/>
  <c r="A229" i="34" s="1"/>
  <c r="B230" i="34"/>
  <c r="A230" i="34" s="1"/>
  <c r="B231" i="34"/>
  <c r="A231" i="34" s="1"/>
  <c r="B232" i="34"/>
  <c r="A232" i="34" s="1"/>
  <c r="B233" i="34"/>
  <c r="A233" i="34" s="1"/>
  <c r="B234" i="34"/>
  <c r="A234" i="34" s="1"/>
  <c r="B235" i="34"/>
  <c r="A235" i="34" s="1"/>
  <c r="B236" i="34"/>
  <c r="A236" i="34" s="1"/>
  <c r="B237" i="34"/>
  <c r="A237" i="34" s="1"/>
  <c r="B244" i="34"/>
  <c r="A244" i="34" s="1"/>
  <c r="B245" i="34"/>
  <c r="A245" i="34" s="1"/>
  <c r="B246" i="34"/>
  <c r="A246" i="34" s="1"/>
  <c r="B247" i="34"/>
  <c r="A247" i="34" s="1"/>
  <c r="B248" i="34"/>
  <c r="A248" i="34" s="1"/>
  <c r="B249" i="34"/>
  <c r="A249" i="34" s="1"/>
  <c r="B250" i="34"/>
  <c r="A250" i="34" s="1"/>
  <c r="B251" i="34"/>
  <c r="A251" i="34" s="1"/>
  <c r="B252" i="34"/>
  <c r="A252" i="34" s="1"/>
  <c r="B253" i="34"/>
  <c r="A253" i="34" s="1"/>
  <c r="B254" i="34"/>
  <c r="A254" i="34" s="1"/>
  <c r="B255" i="34"/>
  <c r="A255" i="34" s="1"/>
  <c r="B256" i="34"/>
  <c r="A256" i="34" s="1"/>
  <c r="B264" i="34"/>
  <c r="A264" i="34" s="1"/>
  <c r="B265" i="34"/>
  <c r="A265" i="34" s="1"/>
  <c r="B266" i="34"/>
  <c r="A266" i="34" s="1"/>
  <c r="B267" i="34"/>
  <c r="A267" i="34" s="1"/>
  <c r="B268" i="34"/>
  <c r="A268" i="34" s="1"/>
  <c r="B269" i="34"/>
  <c r="A269" i="34" s="1"/>
  <c r="B270" i="34"/>
  <c r="A270" i="34" s="1"/>
  <c r="B271" i="34"/>
  <c r="A271" i="34" s="1"/>
  <c r="B272" i="34"/>
  <c r="A272" i="34" s="1"/>
  <c r="B273" i="34"/>
  <c r="A273" i="34" s="1"/>
  <c r="B274" i="34"/>
  <c r="A274" i="34" s="1"/>
  <c r="B275" i="34"/>
  <c r="A275" i="34" s="1"/>
  <c r="B276" i="34"/>
  <c r="A276" i="34" s="1"/>
  <c r="B277" i="34"/>
  <c r="A277" i="34" s="1"/>
  <c r="B1615" i="34"/>
  <c r="A1615" i="34" s="1"/>
  <c r="B1616" i="34"/>
  <c r="A1616" i="34" s="1"/>
  <c r="B1617" i="34"/>
  <c r="A1617" i="34" s="1"/>
  <c r="B1618" i="34"/>
  <c r="A1618" i="34" s="1"/>
  <c r="B1619" i="34"/>
  <c r="A1619" i="34" s="1"/>
  <c r="B1620" i="34"/>
  <c r="A1620" i="34" s="1"/>
  <c r="B1621" i="34"/>
  <c r="A1621" i="34" s="1"/>
  <c r="B1622" i="34"/>
  <c r="A1622" i="34" s="1"/>
  <c r="B1623" i="34"/>
  <c r="A1623" i="34" s="1"/>
  <c r="B1624" i="34"/>
  <c r="A1624" i="34" s="1"/>
  <c r="B1625" i="34"/>
  <c r="A1625" i="34" s="1"/>
  <c r="B1626" i="34"/>
  <c r="A1626" i="34" s="1"/>
  <c r="B1627" i="34"/>
  <c r="A1627" i="34" s="1"/>
  <c r="B1628" i="34"/>
  <c r="A1628" i="34" s="1"/>
  <c r="B1629" i="34"/>
  <c r="A1629" i="34" s="1"/>
  <c r="B1630" i="34"/>
  <c r="A1630" i="34" s="1"/>
  <c r="B1631" i="34"/>
  <c r="A1631" i="34" s="1"/>
  <c r="B1632" i="34"/>
  <c r="A1632" i="34" s="1"/>
  <c r="B1633" i="34"/>
  <c r="A1633" i="34" s="1"/>
  <c r="B1634" i="34"/>
  <c r="A1634" i="34" s="1"/>
  <c r="B2016" i="34"/>
  <c r="A2016" i="34" s="1"/>
  <c r="B2017" i="34"/>
  <c r="A2017" i="34" s="1"/>
  <c r="B2018" i="34"/>
  <c r="A2018" i="34" s="1"/>
  <c r="B1635" i="34"/>
  <c r="A1635" i="34" s="1"/>
  <c r="B1636" i="34"/>
  <c r="A1636" i="34" s="1"/>
  <c r="B1637" i="34"/>
  <c r="A1637" i="34" s="1"/>
  <c r="B1638" i="34"/>
  <c r="A1638" i="34" s="1"/>
  <c r="B1639" i="34"/>
  <c r="A1639" i="34" s="1"/>
  <c r="B1640" i="34"/>
  <c r="A1640" i="34" s="1"/>
  <c r="B1641" i="34"/>
  <c r="A1641" i="34" s="1"/>
  <c r="B1642" i="34"/>
  <c r="A1642" i="34" s="1"/>
  <c r="B1643" i="34"/>
  <c r="A1643" i="34" s="1"/>
  <c r="B1644" i="34"/>
  <c r="A1644" i="34" s="1"/>
  <c r="B1645" i="34"/>
  <c r="A1645" i="34" s="1"/>
  <c r="B1646" i="34"/>
  <c r="A1646" i="34" s="1"/>
  <c r="B1647" i="34"/>
  <c r="A1647" i="34" s="1"/>
  <c r="B1648" i="34"/>
  <c r="A1648" i="34" s="1"/>
  <c r="B1649" i="34"/>
  <c r="A1649" i="34" s="1"/>
  <c r="B1650" i="34"/>
  <c r="A1650" i="34" s="1"/>
  <c r="B1651" i="34"/>
  <c r="A1651" i="34" s="1"/>
  <c r="B1652" i="34"/>
  <c r="A1652" i="34" s="1"/>
  <c r="B1653" i="34"/>
  <c r="A1653" i="34" s="1"/>
  <c r="B1654" i="34"/>
  <c r="A1654" i="34" s="1"/>
  <c r="B1655" i="34"/>
  <c r="A1655" i="34" s="1"/>
  <c r="B1656" i="34"/>
  <c r="A1656" i="34" s="1"/>
  <c r="B1657" i="34"/>
  <c r="A1657" i="34" s="1"/>
  <c r="B1658" i="34"/>
  <c r="A1658" i="34" s="1"/>
  <c r="B1659" i="34"/>
  <c r="A1659" i="34" s="1"/>
  <c r="B1660" i="34"/>
  <c r="A1660" i="34" s="1"/>
  <c r="B512" i="34"/>
  <c r="A512" i="34" s="1"/>
  <c r="B513" i="34"/>
  <c r="A513" i="34" s="1"/>
  <c r="B514" i="34"/>
  <c r="A514" i="34" s="1"/>
  <c r="B515" i="34"/>
  <c r="A515" i="34" s="1"/>
  <c r="B516" i="34"/>
  <c r="A516" i="34" s="1"/>
  <c r="B517" i="34"/>
  <c r="A517" i="34" s="1"/>
  <c r="B518" i="34"/>
  <c r="A518" i="34" s="1"/>
  <c r="B519" i="34"/>
  <c r="A519" i="34" s="1"/>
  <c r="B520" i="34"/>
  <c r="A520" i="34" s="1"/>
  <c r="B521" i="34"/>
  <c r="A521" i="34" s="1"/>
  <c r="B522" i="34"/>
  <c r="A522" i="34" s="1"/>
  <c r="B523" i="34"/>
  <c r="A523" i="34" s="1"/>
  <c r="B524" i="34"/>
  <c r="A524" i="34" s="1"/>
  <c r="B525" i="34"/>
  <c r="A525" i="34" s="1"/>
  <c r="B526" i="34"/>
  <c r="A526" i="34" s="1"/>
  <c r="B527" i="34"/>
  <c r="A527" i="34" s="1"/>
  <c r="B528" i="34"/>
  <c r="A528" i="34" s="1"/>
  <c r="B529" i="34"/>
  <c r="A529" i="34" s="1"/>
  <c r="B530" i="34"/>
  <c r="A530" i="34" s="1"/>
  <c r="B531" i="34"/>
  <c r="A531" i="34" s="1"/>
  <c r="B532" i="34"/>
  <c r="A532" i="34" s="1"/>
  <c r="B533" i="34"/>
  <c r="A533" i="34" s="1"/>
  <c r="B534" i="34"/>
  <c r="A534" i="34" s="1"/>
  <c r="B535" i="34"/>
  <c r="A535" i="34" s="1"/>
  <c r="B536" i="34"/>
  <c r="A536" i="34" s="1"/>
  <c r="B537" i="34"/>
  <c r="A537" i="34" s="1"/>
  <c r="B538" i="34"/>
  <c r="A538" i="34" s="1"/>
  <c r="B539" i="34"/>
  <c r="A539" i="34" s="1"/>
  <c r="B540" i="34"/>
  <c r="A540" i="34" s="1"/>
  <c r="B541" i="34"/>
  <c r="A541" i="34" s="1"/>
  <c r="B542" i="34"/>
  <c r="A542" i="34" s="1"/>
  <c r="B543" i="34"/>
  <c r="A543" i="34" s="1"/>
  <c r="B544" i="34"/>
  <c r="A544" i="34" s="1"/>
  <c r="B545" i="34"/>
  <c r="A545" i="34" s="1"/>
  <c r="B546" i="34"/>
  <c r="A546" i="34" s="1"/>
  <c r="B547" i="34"/>
  <c r="A547" i="34" s="1"/>
  <c r="B548" i="34"/>
  <c r="A548" i="34" s="1"/>
  <c r="B549" i="34"/>
  <c r="A549" i="34" s="1"/>
  <c r="B550" i="34"/>
  <c r="A550" i="34" s="1"/>
  <c r="B551" i="34"/>
  <c r="A551" i="34" s="1"/>
  <c r="B552" i="34"/>
  <c r="A552" i="34" s="1"/>
  <c r="B553" i="34"/>
  <c r="A553" i="34" s="1"/>
  <c r="B554" i="34"/>
  <c r="A554" i="34" s="1"/>
  <c r="B555" i="34"/>
  <c r="A555" i="34" s="1"/>
  <c r="B1687" i="34"/>
  <c r="A1687" i="34" s="1"/>
  <c r="B1688" i="34"/>
  <c r="A1688" i="34" s="1"/>
  <c r="B1689" i="34"/>
  <c r="A1689" i="34" s="1"/>
  <c r="B1690" i="34"/>
  <c r="A1690" i="34" s="1"/>
  <c r="B1691" i="34"/>
  <c r="A1691" i="34" s="1"/>
  <c r="B1692" i="34"/>
  <c r="A1692" i="34" s="1"/>
  <c r="B1693" i="34"/>
  <c r="A1693" i="34" s="1"/>
  <c r="B1694" i="34"/>
  <c r="A1694" i="34" s="1"/>
  <c r="B1695" i="34"/>
  <c r="A1695" i="34" s="1"/>
  <c r="B1696" i="34"/>
  <c r="A1696" i="34" s="1"/>
  <c r="B1697" i="34"/>
  <c r="A1697" i="34" s="1"/>
  <c r="B1698" i="34"/>
  <c r="A1698" i="34" s="1"/>
  <c r="B1699" i="34"/>
  <c r="A1699" i="34" s="1"/>
  <c r="B1700" i="34"/>
  <c r="A1700" i="34" s="1"/>
  <c r="B1701" i="34"/>
  <c r="A1701" i="34" s="1"/>
  <c r="B1702" i="34"/>
  <c r="A1702" i="34" s="1"/>
  <c r="B1703" i="34"/>
  <c r="A1703" i="34" s="1"/>
  <c r="B1704" i="34"/>
  <c r="A1704" i="34" s="1"/>
  <c r="B1705" i="34"/>
  <c r="A1705" i="34" s="1"/>
  <c r="B1706" i="34"/>
  <c r="A1706" i="34" s="1"/>
  <c r="B1709" i="34"/>
  <c r="A1709" i="34" s="1"/>
  <c r="B4389" i="34"/>
  <c r="A4389" i="34" s="1"/>
  <c r="B4396" i="34"/>
  <c r="A4396" i="34" s="1"/>
  <c r="B4403" i="34"/>
  <c r="A4403" i="34" s="1"/>
  <c r="B4406" i="34"/>
  <c r="A4406" i="34" s="1"/>
  <c r="B4446" i="34"/>
  <c r="A4446" i="34" s="1"/>
  <c r="B4477" i="34"/>
  <c r="A4477" i="34" s="1"/>
  <c r="B4486" i="34"/>
  <c r="A4486" i="34" s="1"/>
  <c r="B4498" i="34"/>
  <c r="A4498" i="34" s="1"/>
  <c r="B4562" i="34"/>
  <c r="A4562" i="34" s="1"/>
  <c r="B4563" i="34"/>
  <c r="A4563" i="34" s="1"/>
  <c r="B4390" i="34"/>
  <c r="A4390" i="34" s="1"/>
  <c r="B4391" i="34"/>
  <c r="A4391" i="34" s="1"/>
  <c r="B4392" i="34"/>
  <c r="A4392" i="34" s="1"/>
  <c r="B3731" i="34"/>
  <c r="A3731" i="34" s="1"/>
  <c r="B4393" i="34"/>
  <c r="A4393" i="34" s="1"/>
  <c r="B4394" i="34"/>
  <c r="A4394" i="34" s="1"/>
  <c r="B4404" i="34"/>
  <c r="A4404" i="34" s="1"/>
  <c r="B4405" i="34"/>
  <c r="A4405" i="34" s="1"/>
  <c r="B4408" i="34"/>
  <c r="A4408" i="34" s="1"/>
  <c r="B4409" i="34"/>
  <c r="A4409" i="34" s="1"/>
  <c r="B4410" i="34"/>
  <c r="A4410" i="34" s="1"/>
  <c r="B4414" i="34"/>
  <c r="A4414" i="34" s="1"/>
  <c r="B4415" i="34"/>
  <c r="A4415" i="34" s="1"/>
  <c r="B4416" i="34"/>
  <c r="A4416" i="34" s="1"/>
  <c r="B4417" i="34"/>
  <c r="A4417" i="34" s="1"/>
  <c r="B4418" i="34"/>
  <c r="A4418" i="34" s="1"/>
  <c r="B4419" i="34"/>
  <c r="A4419" i="34" s="1"/>
  <c r="B4420" i="34"/>
  <c r="A4420" i="34" s="1"/>
  <c r="B4421" i="34"/>
  <c r="A4421" i="34" s="1"/>
  <c r="B4422" i="34"/>
  <c r="A4422" i="34" s="1"/>
  <c r="B4423" i="34"/>
  <c r="A4423" i="34" s="1"/>
  <c r="B4424" i="34"/>
  <c r="A4424" i="34" s="1"/>
  <c r="B4438" i="34"/>
  <c r="A4438" i="34" s="1"/>
  <c r="B4439" i="34"/>
  <c r="A4439" i="34" s="1"/>
  <c r="B4440" i="34"/>
  <c r="A4440" i="34" s="1"/>
  <c r="B4437" i="34"/>
  <c r="A4437" i="34" s="1"/>
  <c r="B4447" i="34"/>
  <c r="A4447" i="34" s="1"/>
  <c r="B4449" i="34"/>
  <c r="A4449" i="34" s="1"/>
  <c r="B4457" i="34"/>
  <c r="A4457" i="34" s="1"/>
  <c r="B4458" i="34"/>
  <c r="A4458" i="34" s="1"/>
  <c r="B4459" i="34"/>
  <c r="A4459" i="34" s="1"/>
  <c r="B4451" i="34"/>
  <c r="A4451" i="34" s="1"/>
  <c r="B4452" i="34"/>
  <c r="A4452" i="34" s="1"/>
  <c r="B4453" i="34"/>
  <c r="A4453" i="34" s="1"/>
  <c r="B4454" i="34"/>
  <c r="A4454" i="34" s="1"/>
  <c r="B4455" i="34"/>
  <c r="A4455" i="34" s="1"/>
  <c r="B4456" i="34"/>
  <c r="A4456" i="34" s="1"/>
  <c r="B4478" i="34"/>
  <c r="A4478" i="34" s="1"/>
  <c r="B4450" i="34"/>
  <c r="A4450" i="34" s="1"/>
  <c r="B4480" i="34"/>
  <c r="A4480" i="34" s="1"/>
  <c r="B4481" i="34"/>
  <c r="A4481" i="34" s="1"/>
  <c r="B4482" i="34"/>
  <c r="A4482" i="34" s="1"/>
  <c r="B4487" i="34"/>
  <c r="A4487" i="34" s="1"/>
  <c r="B4488" i="34"/>
  <c r="A4488" i="34" s="1"/>
  <c r="B4489" i="34"/>
  <c r="A4489" i="34" s="1"/>
  <c r="B4499" i="34"/>
  <c r="A4499" i="34" s="1"/>
  <c r="B4500" i="34"/>
  <c r="A4500" i="34" s="1"/>
  <c r="B4501" i="34"/>
  <c r="A4501" i="34" s="1"/>
  <c r="B4502" i="34"/>
  <c r="A4502" i="34" s="1"/>
  <c r="B4516" i="34"/>
  <c r="A4516" i="34" s="1"/>
  <c r="B4517" i="34"/>
  <c r="A4517" i="34" s="1"/>
  <c r="B4518" i="34"/>
  <c r="A4518" i="34" s="1"/>
  <c r="B4521" i="34"/>
  <c r="A4521" i="34" s="1"/>
  <c r="B4522" i="34"/>
  <c r="A4522" i="34" s="1"/>
  <c r="B4523" i="34"/>
  <c r="A4523" i="34" s="1"/>
  <c r="B4524" i="34"/>
  <c r="A4524" i="34" s="1"/>
  <c r="B4525" i="34"/>
  <c r="A4525" i="34" s="1"/>
  <c r="B4526" i="34"/>
  <c r="A4526" i="34" s="1"/>
  <c r="B4534" i="34"/>
  <c r="A4534" i="34" s="1"/>
  <c r="B4520" i="34"/>
  <c r="A4520" i="34" s="1"/>
  <c r="B4537" i="34"/>
  <c r="A4537" i="34" s="1"/>
  <c r="B4538" i="34"/>
  <c r="A4538" i="34" s="1"/>
  <c r="B4539" i="34"/>
  <c r="A4539" i="34" s="1"/>
  <c r="B4540" i="34"/>
  <c r="A4540" i="34" s="1"/>
  <c r="B4542" i="34"/>
  <c r="A4542" i="34" s="1"/>
  <c r="B4543" i="34"/>
  <c r="A4543" i="34" s="1"/>
  <c r="B4544" i="34"/>
  <c r="A4544" i="34" s="1"/>
  <c r="B4545" i="34"/>
  <c r="A4545" i="34" s="1"/>
  <c r="B4546" i="34"/>
  <c r="A4546" i="34" s="1"/>
  <c r="B4547" i="34"/>
  <c r="A4547" i="34" s="1"/>
  <c r="B4567" i="34"/>
  <c r="A4567" i="34" s="1"/>
  <c r="B4568" i="34"/>
  <c r="A4568" i="34" s="1"/>
  <c r="B4587" i="34"/>
  <c r="A4587" i="34" s="1"/>
  <c r="B4588" i="34"/>
  <c r="A4588" i="34" s="1"/>
  <c r="B4589" i="34"/>
  <c r="A4589" i="34" s="1"/>
  <c r="B4590" i="34"/>
  <c r="A4590" i="34" s="1"/>
  <c r="B4591" i="34"/>
  <c r="A4591" i="34" s="1"/>
  <c r="B2611" i="34"/>
  <c r="A2611" i="34" s="1"/>
  <c r="B4397" i="34"/>
  <c r="A4397" i="34" s="1"/>
  <c r="B4395" i="34"/>
  <c r="A4395" i="34" s="1"/>
  <c r="B4407" i="34"/>
  <c r="A4407" i="34" s="1"/>
  <c r="B2612" i="34"/>
  <c r="A2612" i="34" s="1"/>
  <c r="B2613" i="34"/>
  <c r="A2613" i="34" s="1"/>
  <c r="B2614" i="34"/>
  <c r="A2614" i="34" s="1"/>
  <c r="B2615" i="34"/>
  <c r="A2615" i="34" s="1"/>
  <c r="B2616" i="34"/>
  <c r="A2616" i="34" s="1"/>
  <c r="B2617" i="34"/>
  <c r="A2617" i="34" s="1"/>
  <c r="B2618" i="34"/>
  <c r="A2618" i="34" s="1"/>
  <c r="B2619" i="34"/>
  <c r="A2619" i="34" s="1"/>
  <c r="B2620" i="34"/>
  <c r="A2620" i="34" s="1"/>
  <c r="B2621" i="34"/>
  <c r="A2621" i="34" s="1"/>
  <c r="B2622" i="34"/>
  <c r="A2622" i="34" s="1"/>
  <c r="B2623" i="34"/>
  <c r="A2623" i="34" s="1"/>
  <c r="B2624" i="34"/>
  <c r="A2624" i="34" s="1"/>
  <c r="B2625" i="34"/>
  <c r="A2625" i="34" s="1"/>
  <c r="B2626" i="34"/>
  <c r="A2626" i="34" s="1"/>
  <c r="B2627" i="34"/>
  <c r="A2627" i="34" s="1"/>
  <c r="B2628" i="34"/>
  <c r="A2628" i="34" s="1"/>
  <c r="B2629" i="34"/>
  <c r="A2629" i="34" s="1"/>
  <c r="B2630" i="34"/>
  <c r="A2630" i="34" s="1"/>
  <c r="B2631" i="34"/>
  <c r="A2631" i="34" s="1"/>
  <c r="B2632" i="34"/>
  <c r="A2632" i="34" s="1"/>
  <c r="B2633" i="34"/>
  <c r="A2633" i="34" s="1"/>
  <c r="B2634" i="34"/>
  <c r="A2634" i="34" s="1"/>
  <c r="B2635" i="34"/>
  <c r="A2635" i="34" s="1"/>
  <c r="B2636" i="34"/>
  <c r="A2636" i="34" s="1"/>
  <c r="B2637" i="34"/>
  <c r="A2637" i="34" s="1"/>
  <c r="B2638" i="34"/>
  <c r="A2638" i="34" s="1"/>
  <c r="B2639" i="34"/>
  <c r="A2639" i="34" s="1"/>
  <c r="B2640" i="34"/>
  <c r="A2640" i="34" s="1"/>
  <c r="B2641" i="34"/>
  <c r="A2641" i="34" s="1"/>
  <c r="B2642" i="34"/>
  <c r="A2642" i="34" s="1"/>
  <c r="B2643" i="34"/>
  <c r="A2643" i="34" s="1"/>
  <c r="B2644" i="34"/>
  <c r="A2644" i="34" s="1"/>
  <c r="B2645" i="34"/>
  <c r="A2645" i="34" s="1"/>
  <c r="B4398" i="34"/>
  <c r="A4398" i="34" s="1"/>
  <c r="B4399" i="34"/>
  <c r="A4399" i="34" s="1"/>
  <c r="B4400" i="34"/>
  <c r="A4400" i="34" s="1"/>
  <c r="B4401" i="34"/>
  <c r="A4401" i="34" s="1"/>
  <c r="B4402" i="34"/>
  <c r="A4402" i="34" s="1"/>
  <c r="B2977" i="34"/>
  <c r="A2977" i="34" s="1"/>
  <c r="B4411" i="34"/>
  <c r="A4411" i="34" s="1"/>
  <c r="B4412" i="34"/>
  <c r="A4412" i="34" s="1"/>
  <c r="B4413" i="34"/>
  <c r="A4413" i="34" s="1"/>
  <c r="B4425" i="34"/>
  <c r="A4425" i="34" s="1"/>
  <c r="B4426" i="34"/>
  <c r="A4426" i="34" s="1"/>
  <c r="B4427" i="34"/>
  <c r="A4427" i="34" s="1"/>
  <c r="B4428" i="34"/>
  <c r="A4428" i="34" s="1"/>
  <c r="B4429" i="34"/>
  <c r="A4429" i="34" s="1"/>
  <c r="B4430" i="34"/>
  <c r="A4430" i="34" s="1"/>
  <c r="B4431" i="34"/>
  <c r="A4431" i="34" s="1"/>
  <c r="B4432" i="34"/>
  <c r="A4432" i="34" s="1"/>
  <c r="B4433" i="34"/>
  <c r="A4433" i="34" s="1"/>
  <c r="B4434" i="34"/>
  <c r="A4434" i="34" s="1"/>
  <c r="B4435" i="34"/>
  <c r="A4435" i="34" s="1"/>
  <c r="B4436" i="34"/>
  <c r="A4436" i="34" s="1"/>
  <c r="B4441" i="34"/>
  <c r="A4441" i="34" s="1"/>
  <c r="B2984" i="34"/>
  <c r="A2984" i="34" s="1"/>
  <c r="B4442" i="34"/>
  <c r="A4442" i="34" s="1"/>
  <c r="B4443" i="34"/>
  <c r="A4443" i="34" s="1"/>
  <c r="B4444" i="34"/>
  <c r="A4444" i="34" s="1"/>
  <c r="B4445" i="34"/>
  <c r="A4445" i="34" s="1"/>
  <c r="B4462" i="34"/>
  <c r="A4462" i="34" s="1"/>
  <c r="B4463" i="34"/>
  <c r="A4463" i="34" s="1"/>
  <c r="B4464" i="34"/>
  <c r="A4464" i="34" s="1"/>
  <c r="B4465" i="34"/>
  <c r="A4465" i="34" s="1"/>
  <c r="B4466" i="34"/>
  <c r="A4466" i="34" s="1"/>
  <c r="B4467" i="34"/>
  <c r="A4467" i="34" s="1"/>
  <c r="B4468" i="34"/>
  <c r="A4468" i="34" s="1"/>
  <c r="B4469" i="34"/>
  <c r="A4469" i="34" s="1"/>
  <c r="B4470" i="34"/>
  <c r="A4470" i="34" s="1"/>
  <c r="B4471" i="34"/>
  <c r="A4471" i="34" s="1"/>
  <c r="B4472" i="34"/>
  <c r="A4472" i="34" s="1"/>
  <c r="B4473" i="34"/>
  <c r="A4473" i="34" s="1"/>
  <c r="B4474" i="34"/>
  <c r="A4474" i="34" s="1"/>
  <c r="B4475" i="34"/>
  <c r="A4475" i="34" s="1"/>
  <c r="B4476" i="34"/>
  <c r="A4476" i="34" s="1"/>
  <c r="B4479" i="34"/>
  <c r="A4479" i="34" s="1"/>
  <c r="B4483" i="34"/>
  <c r="A4483" i="34" s="1"/>
  <c r="B4484" i="34"/>
  <c r="A4484" i="34" s="1"/>
  <c r="B4485" i="34"/>
  <c r="A4485" i="34" s="1"/>
  <c r="B4491" i="34"/>
  <c r="A4491" i="34" s="1"/>
  <c r="B2991" i="34"/>
  <c r="A2991" i="34" s="1"/>
  <c r="B4492" i="34"/>
  <c r="A4492" i="34" s="1"/>
  <c r="B4493" i="34"/>
  <c r="A4493" i="34" s="1"/>
  <c r="B4494" i="34"/>
  <c r="A4494" i="34" s="1"/>
  <c r="B4495" i="34"/>
  <c r="A4495" i="34" s="1"/>
  <c r="B4496" i="34"/>
  <c r="A4496" i="34" s="1"/>
  <c r="B4497" i="34"/>
  <c r="A4497" i="34" s="1"/>
  <c r="B4503" i="34"/>
  <c r="A4503" i="34" s="1"/>
  <c r="B2992" i="34"/>
  <c r="A2992" i="34" s="1"/>
  <c r="B4504" i="34"/>
  <c r="A4504" i="34" s="1"/>
  <c r="B4505" i="34"/>
  <c r="A4505" i="34" s="1"/>
  <c r="B4506" i="34"/>
  <c r="A4506" i="34" s="1"/>
  <c r="B4507" i="34"/>
  <c r="A4507" i="34" s="1"/>
  <c r="B4508" i="34"/>
  <c r="A4508" i="34" s="1"/>
  <c r="B4509" i="34"/>
  <c r="A4509" i="34" s="1"/>
  <c r="B4510" i="34"/>
  <c r="A4510" i="34" s="1"/>
  <c r="B4511" i="34"/>
  <c r="A4511" i="34" s="1"/>
  <c r="B4512" i="34"/>
  <c r="A4512" i="34" s="1"/>
  <c r="B4513" i="34"/>
  <c r="A4513" i="34" s="1"/>
  <c r="B4514" i="34"/>
  <c r="A4514" i="34" s="1"/>
  <c r="B4515" i="34"/>
  <c r="A4515" i="34" s="1"/>
  <c r="B4519" i="34"/>
  <c r="A4519" i="34" s="1"/>
  <c r="B4527" i="34"/>
  <c r="A4527" i="34" s="1"/>
  <c r="B2993" i="34"/>
  <c r="A2993" i="34" s="1"/>
  <c r="B4528" i="34"/>
  <c r="A4528" i="34" s="1"/>
  <c r="B4529" i="34"/>
  <c r="A4529" i="34" s="1"/>
  <c r="B4530" i="34"/>
  <c r="A4530" i="34" s="1"/>
  <c r="B4531" i="34"/>
  <c r="A4531" i="34" s="1"/>
  <c r="B4532" i="34"/>
  <c r="A4532" i="34" s="1"/>
  <c r="B4533" i="34"/>
  <c r="A4533" i="34" s="1"/>
  <c r="B4541" i="34"/>
  <c r="A4541" i="34" s="1"/>
  <c r="B4549" i="34"/>
  <c r="A4549" i="34" s="1"/>
  <c r="B4550" i="34"/>
  <c r="A4550" i="34" s="1"/>
  <c r="B4551" i="34"/>
  <c r="A4551" i="34" s="1"/>
  <c r="B4552" i="34"/>
  <c r="A4552" i="34" s="1"/>
  <c r="B3019" i="34"/>
  <c r="A3019" i="34" s="1"/>
  <c r="B4559" i="34"/>
  <c r="A4559" i="34" s="1"/>
  <c r="B4560" i="34"/>
  <c r="A4560" i="34" s="1"/>
  <c r="B4561" i="34"/>
  <c r="A4561" i="34" s="1"/>
  <c r="B4575" i="34"/>
  <c r="A4575" i="34" s="1"/>
  <c r="B4576" i="34"/>
  <c r="A4576" i="34" s="1"/>
  <c r="B4577" i="34"/>
  <c r="A4577" i="34" s="1"/>
  <c r="B4578" i="34"/>
  <c r="A4578" i="34" s="1"/>
  <c r="B4579" i="34"/>
  <c r="A4579" i="34" s="1"/>
  <c r="B2971" i="34"/>
  <c r="A2971" i="34" s="1"/>
  <c r="B2972" i="34"/>
  <c r="A2972" i="34" s="1"/>
  <c r="B2974" i="34"/>
  <c r="A2974" i="34" s="1"/>
  <c r="B2975" i="34"/>
  <c r="A2975" i="34" s="1"/>
  <c r="B2978" i="34"/>
  <c r="A2978" i="34" s="1"/>
  <c r="B2979" i="34"/>
  <c r="A2979" i="34" s="1"/>
  <c r="B2980" i="34"/>
  <c r="A2980" i="34" s="1"/>
  <c r="B2981" i="34"/>
  <c r="A2981" i="34" s="1"/>
  <c r="B2982" i="34"/>
  <c r="A2982" i="34" s="1"/>
  <c r="B2985" i="34"/>
  <c r="A2985" i="34" s="1"/>
  <c r="B2986" i="34"/>
  <c r="A2986" i="34" s="1"/>
  <c r="B2988" i="34"/>
  <c r="A2988" i="34" s="1"/>
  <c r="B2989" i="34"/>
  <c r="A2989" i="34" s="1"/>
  <c r="B2994" i="34"/>
  <c r="A2994" i="34" s="1"/>
  <c r="B2995" i="34"/>
  <c r="A2995" i="34" s="1"/>
  <c r="B2997" i="34"/>
  <c r="A2997" i="34" s="1"/>
  <c r="B2998" i="34"/>
  <c r="A2998" i="34" s="1"/>
  <c r="B2999" i="34"/>
  <c r="A2999" i="34" s="1"/>
  <c r="B3000" i="34"/>
  <c r="A3000" i="34" s="1"/>
  <c r="B3001" i="34"/>
  <c r="A3001" i="34" s="1"/>
  <c r="B3002" i="34"/>
  <c r="A3002" i="34" s="1"/>
  <c r="B3003" i="34"/>
  <c r="A3003" i="34" s="1"/>
  <c r="B3004" i="34"/>
  <c r="A3004" i="34" s="1"/>
  <c r="B3005" i="34"/>
  <c r="A3005" i="34" s="1"/>
  <c r="B3006" i="34"/>
  <c r="A3006" i="34" s="1"/>
  <c r="B3007" i="34"/>
  <c r="A3007" i="34" s="1"/>
  <c r="B3008" i="34"/>
  <c r="A3008" i="34" s="1"/>
  <c r="B3009" i="34"/>
  <c r="A3009" i="34" s="1"/>
  <c r="B3010" i="34"/>
  <c r="A3010" i="34" s="1"/>
  <c r="B3011" i="34"/>
  <c r="A3011" i="34" s="1"/>
  <c r="B3012" i="34"/>
  <c r="A3012" i="34" s="1"/>
  <c r="B3013" i="34"/>
  <c r="A3013" i="34" s="1"/>
  <c r="B3014" i="34"/>
  <c r="A3014" i="34" s="1"/>
  <c r="B3015" i="34"/>
  <c r="A3015" i="34" s="1"/>
  <c r="B3016" i="34"/>
  <c r="A3016" i="34" s="1"/>
  <c r="B3017" i="34"/>
  <c r="A3017" i="34" s="1"/>
  <c r="B3018" i="34"/>
  <c r="A3018" i="34" s="1"/>
  <c r="B2489" i="34"/>
  <c r="A2489" i="34" s="1"/>
  <c r="B4553" i="34"/>
  <c r="A4553" i="34" s="1"/>
  <c r="B4554" i="34"/>
  <c r="A4554" i="34" s="1"/>
  <c r="B4555" i="34"/>
  <c r="A4555" i="34" s="1"/>
  <c r="B4556" i="34"/>
  <c r="A4556" i="34" s="1"/>
  <c r="B4557" i="34"/>
  <c r="A4557" i="34" s="1"/>
  <c r="B4558" i="34"/>
  <c r="A4558" i="34" s="1"/>
  <c r="B4569" i="34"/>
  <c r="A4569" i="34" s="1"/>
  <c r="B4572" i="34"/>
  <c r="A4572" i="34" s="1"/>
  <c r="B4573" i="34"/>
  <c r="A4573" i="34" s="1"/>
  <c r="B2485" i="34"/>
  <c r="A2485" i="34" s="1"/>
  <c r="B2487" i="34"/>
  <c r="A2487" i="34" s="1"/>
  <c r="B2488" i="34"/>
  <c r="A2488" i="34" s="1"/>
  <c r="B2490" i="34"/>
  <c r="A2490" i="34" s="1"/>
  <c r="B2491" i="34"/>
  <c r="A2491" i="34" s="1"/>
  <c r="B4592" i="34"/>
  <c r="A4592" i="34" s="1"/>
  <c r="B4898" i="34"/>
  <c r="A4898" i="34" s="1"/>
  <c r="B4899" i="34"/>
  <c r="A4899" i="34" s="1"/>
  <c r="B4944" i="34"/>
  <c r="A4944" i="34" s="1"/>
  <c r="B4951" i="34"/>
  <c r="A4951" i="34" s="1"/>
  <c r="B3108" i="34"/>
  <c r="A3108" i="34" s="1"/>
  <c r="B3111" i="34"/>
  <c r="A3111" i="34" s="1"/>
  <c r="B3130" i="34"/>
  <c r="A3130" i="34" s="1"/>
  <c r="B3134" i="34"/>
  <c r="A3134" i="34" s="1"/>
  <c r="B5012" i="34"/>
  <c r="A5012" i="34" s="1"/>
  <c r="B2504" i="34"/>
  <c r="A2504" i="34" s="1"/>
  <c r="B3150" i="34"/>
  <c r="A3150" i="34" s="1"/>
  <c r="B5115" i="34"/>
  <c r="A5115" i="34" s="1"/>
  <c r="B5121" i="34"/>
  <c r="A5121" i="34" s="1"/>
  <c r="B5279" i="34"/>
  <c r="A5279" i="34" s="1"/>
  <c r="B3140" i="34"/>
  <c r="A3140" i="34" s="1"/>
  <c r="B3143" i="34"/>
  <c r="A3143" i="34" s="1"/>
  <c r="B3146" i="34"/>
  <c r="A3146" i="34" s="1"/>
  <c r="B3147" i="34"/>
  <c r="A3147" i="34" s="1"/>
  <c r="B3151" i="34"/>
  <c r="A3151" i="34" s="1"/>
  <c r="B3154" i="34"/>
  <c r="A3154" i="34" s="1"/>
  <c r="B5506" i="34"/>
  <c r="A5506" i="34" s="1"/>
  <c r="E583" i="34"/>
  <c r="E582" i="34"/>
  <c r="K1757" i="34"/>
  <c r="M1757" i="34" s="1"/>
  <c r="E1757" i="34"/>
  <c r="Q5506" i="34" l="1"/>
  <c r="R5506" i="34"/>
  <c r="S5506" i="34"/>
  <c r="S3151" i="34"/>
  <c r="Q3151" i="34"/>
  <c r="R3151" i="34"/>
  <c r="Q3140" i="34"/>
  <c r="R3140" i="34"/>
  <c r="S3140" i="34"/>
  <c r="Q3150" i="34"/>
  <c r="R3150" i="34"/>
  <c r="S3150" i="34"/>
  <c r="Q3130" i="34"/>
  <c r="R3130" i="34"/>
  <c r="S3130" i="34"/>
  <c r="R4944" i="34"/>
  <c r="Q4944" i="34"/>
  <c r="S4944" i="34"/>
  <c r="Q2491" i="34"/>
  <c r="R2491" i="34"/>
  <c r="S2491" i="34"/>
  <c r="Q2485" i="34"/>
  <c r="R2485" i="34"/>
  <c r="S2485" i="34"/>
  <c r="S4558" i="34"/>
  <c r="Q4558" i="34"/>
  <c r="R4558" i="34"/>
  <c r="S4554" i="34"/>
  <c r="Q4554" i="34"/>
  <c r="R4554" i="34"/>
  <c r="S3017" i="34"/>
  <c r="Q3017" i="34"/>
  <c r="R3017" i="34"/>
  <c r="S3013" i="34"/>
  <c r="Q3013" i="34"/>
  <c r="R3013" i="34"/>
  <c r="S3009" i="34"/>
  <c r="Q3009" i="34"/>
  <c r="R3009" i="34"/>
  <c r="S3005" i="34"/>
  <c r="Q3005" i="34"/>
  <c r="R3005" i="34"/>
  <c r="S3001" i="34"/>
  <c r="Q3001" i="34"/>
  <c r="R3001" i="34"/>
  <c r="S2997" i="34"/>
  <c r="Q2997" i="34"/>
  <c r="R2997" i="34"/>
  <c r="Q2988" i="34"/>
  <c r="R2988" i="34"/>
  <c r="S2988" i="34"/>
  <c r="S2981" i="34"/>
  <c r="Q2981" i="34"/>
  <c r="R2981" i="34"/>
  <c r="S2975" i="34"/>
  <c r="Q2975" i="34"/>
  <c r="R2975" i="34"/>
  <c r="R4579" i="34"/>
  <c r="S4579" i="34"/>
  <c r="Q4579" i="34"/>
  <c r="R4575" i="34"/>
  <c r="S4575" i="34"/>
  <c r="Q4575" i="34"/>
  <c r="S3019" i="34"/>
  <c r="Q3019" i="34"/>
  <c r="R3019" i="34"/>
  <c r="Q4549" i="34"/>
  <c r="R4549" i="34"/>
  <c r="S4549" i="34"/>
  <c r="R4531" i="34"/>
  <c r="S4531" i="34"/>
  <c r="Q4531" i="34"/>
  <c r="S2993" i="34"/>
  <c r="Q2993" i="34"/>
  <c r="R2993" i="34"/>
  <c r="Q4514" i="34"/>
  <c r="R4514" i="34"/>
  <c r="S4514" i="34"/>
  <c r="Q4510" i="34"/>
  <c r="R4510" i="34"/>
  <c r="S4510" i="34"/>
  <c r="Q4506" i="34"/>
  <c r="R4506" i="34"/>
  <c r="S4506" i="34"/>
  <c r="R4503" i="34"/>
  <c r="S4503" i="34"/>
  <c r="Q4503" i="34"/>
  <c r="Q4494" i="34"/>
  <c r="R4494" i="34"/>
  <c r="S4494" i="34"/>
  <c r="R4491" i="34"/>
  <c r="S4491" i="34"/>
  <c r="Q4491" i="34"/>
  <c r="Q4479" i="34"/>
  <c r="R4479" i="34"/>
  <c r="S4479" i="34"/>
  <c r="Q4473" i="34"/>
  <c r="R4473" i="34"/>
  <c r="S4473" i="34"/>
  <c r="Q4469" i="34"/>
  <c r="R4469" i="34"/>
  <c r="S4469" i="34"/>
  <c r="Q4465" i="34"/>
  <c r="R4465" i="34"/>
  <c r="S4465" i="34"/>
  <c r="R4445" i="34"/>
  <c r="S4445" i="34"/>
  <c r="Q4445" i="34"/>
  <c r="Q2984" i="34"/>
  <c r="R2984" i="34"/>
  <c r="S2984" i="34"/>
  <c r="Q4434" i="34"/>
  <c r="R4434" i="34"/>
  <c r="S4434" i="34"/>
  <c r="Q4430" i="34"/>
  <c r="R4430" i="34"/>
  <c r="S4430" i="34"/>
  <c r="Q4426" i="34"/>
  <c r="R4426" i="34"/>
  <c r="S4426" i="34"/>
  <c r="Q4411" i="34"/>
  <c r="R4411" i="34"/>
  <c r="S4411" i="34"/>
  <c r="Q4400" i="34"/>
  <c r="R4400" i="34"/>
  <c r="S4400" i="34"/>
  <c r="Q2644" i="34"/>
  <c r="R2644" i="34"/>
  <c r="S2644" i="34"/>
  <c r="Q2640" i="34"/>
  <c r="R2640" i="34"/>
  <c r="S2640" i="34"/>
  <c r="Q2636" i="34"/>
  <c r="R2636" i="34"/>
  <c r="S2636" i="34"/>
  <c r="Q2632" i="34"/>
  <c r="R2632" i="34"/>
  <c r="S2632" i="34"/>
  <c r="Q2628" i="34"/>
  <c r="R2628" i="34"/>
  <c r="S2628" i="34"/>
  <c r="Q2624" i="34"/>
  <c r="R2624" i="34"/>
  <c r="S2624" i="34"/>
  <c r="Q2620" i="34"/>
  <c r="R2620" i="34"/>
  <c r="S2620" i="34"/>
  <c r="Q2616" i="34"/>
  <c r="R2616" i="34"/>
  <c r="S2616" i="34"/>
  <c r="Q2612" i="34"/>
  <c r="R2612" i="34"/>
  <c r="S2612" i="34"/>
  <c r="S2611" i="34"/>
  <c r="Q2611" i="34"/>
  <c r="R2611" i="34"/>
  <c r="S4588" i="34"/>
  <c r="Q4588" i="34"/>
  <c r="R4588" i="34"/>
  <c r="Q4547" i="34"/>
  <c r="R4547" i="34"/>
  <c r="S4547" i="34"/>
  <c r="Q4543" i="34"/>
  <c r="R4543" i="34"/>
  <c r="S4543" i="34"/>
  <c r="Q4538" i="34"/>
  <c r="R4538" i="34"/>
  <c r="S4538" i="34"/>
  <c r="S4526" i="34"/>
  <c r="Q4526" i="34"/>
  <c r="R4526" i="34"/>
  <c r="S4522" i="34"/>
  <c r="Q4522" i="34"/>
  <c r="R4522" i="34"/>
  <c r="S4516" i="34"/>
  <c r="Q4516" i="34"/>
  <c r="R4516" i="34"/>
  <c r="S4499" i="34"/>
  <c r="Q4499" i="34"/>
  <c r="R4499" i="34"/>
  <c r="S4482" i="34"/>
  <c r="Q4482" i="34"/>
  <c r="R4482" i="34"/>
  <c r="R4478" i="34"/>
  <c r="S4478" i="34"/>
  <c r="Q4478" i="34"/>
  <c r="Q4453" i="34"/>
  <c r="R4453" i="34"/>
  <c r="S4453" i="34"/>
  <c r="Q4458" i="34"/>
  <c r="R4458" i="34"/>
  <c r="S4458" i="34"/>
  <c r="Q4437" i="34"/>
  <c r="R4437" i="34"/>
  <c r="S4437" i="34"/>
  <c r="Q4424" i="34"/>
  <c r="R4424" i="34"/>
  <c r="S4424" i="34"/>
  <c r="Q4420" i="34"/>
  <c r="R4420" i="34"/>
  <c r="S4420" i="34"/>
  <c r="Q4416" i="34"/>
  <c r="R4416" i="34"/>
  <c r="S4416" i="34"/>
  <c r="Q4409" i="34"/>
  <c r="R4409" i="34"/>
  <c r="S4409" i="34"/>
  <c r="Q4394" i="34"/>
  <c r="R4394" i="34"/>
  <c r="S4394" i="34"/>
  <c r="Q4391" i="34"/>
  <c r="R4391" i="34"/>
  <c r="S4391" i="34"/>
  <c r="Q4486" i="34"/>
  <c r="R4486" i="34"/>
  <c r="S4486" i="34"/>
  <c r="R4403" i="34"/>
  <c r="S4403" i="34"/>
  <c r="Q4403" i="34"/>
  <c r="R1706" i="34"/>
  <c r="S1706" i="34"/>
  <c r="Q1706" i="34"/>
  <c r="R1702" i="34"/>
  <c r="S1702" i="34"/>
  <c r="Q1702" i="34"/>
  <c r="R1698" i="34"/>
  <c r="S1698" i="34"/>
  <c r="Q1698" i="34"/>
  <c r="R1694" i="34"/>
  <c r="S1694" i="34"/>
  <c r="Q1694" i="34"/>
  <c r="R1690" i="34"/>
  <c r="S1690" i="34"/>
  <c r="Q1690" i="34"/>
  <c r="Q555" i="34"/>
  <c r="R555" i="34"/>
  <c r="S555" i="34"/>
  <c r="Q551" i="34"/>
  <c r="R551" i="34"/>
  <c r="S551" i="34"/>
  <c r="Q547" i="34"/>
  <c r="R547" i="34"/>
  <c r="S547" i="34"/>
  <c r="Q543" i="34"/>
  <c r="R543" i="34"/>
  <c r="S543" i="34"/>
  <c r="Q539" i="34"/>
  <c r="R539" i="34"/>
  <c r="S539" i="34"/>
  <c r="Q535" i="34"/>
  <c r="R535" i="34"/>
  <c r="S535" i="34"/>
  <c r="Q531" i="34"/>
  <c r="R531" i="34"/>
  <c r="S531" i="34"/>
  <c r="Q527" i="34"/>
  <c r="R527" i="34"/>
  <c r="S527" i="34"/>
  <c r="Q523" i="34"/>
  <c r="R523" i="34"/>
  <c r="S523" i="34"/>
  <c r="Q519" i="34"/>
  <c r="R519" i="34"/>
  <c r="S519" i="34"/>
  <c r="Q515" i="34"/>
  <c r="R515" i="34"/>
  <c r="S515" i="34"/>
  <c r="Q1660" i="34"/>
  <c r="R1660" i="34"/>
  <c r="S1660" i="34"/>
  <c r="Q1656" i="34"/>
  <c r="R1656" i="34"/>
  <c r="S1656" i="34"/>
  <c r="Q1652" i="34"/>
  <c r="R1652" i="34"/>
  <c r="S1652" i="34"/>
  <c r="Q1648" i="34"/>
  <c r="R1648" i="34"/>
  <c r="S1648" i="34"/>
  <c r="Q1644" i="34"/>
  <c r="R1644" i="34"/>
  <c r="S1644" i="34"/>
  <c r="Q1640" i="34"/>
  <c r="R1640" i="34"/>
  <c r="S1640" i="34"/>
  <c r="Q1636" i="34"/>
  <c r="R1636" i="34"/>
  <c r="S1636" i="34"/>
  <c r="Q2016" i="34"/>
  <c r="R2016" i="34"/>
  <c r="S2016" i="34"/>
  <c r="R1631" i="34"/>
  <c r="S1631" i="34"/>
  <c r="Q1631" i="34"/>
  <c r="R1627" i="34"/>
  <c r="S1627" i="34"/>
  <c r="Q1627" i="34"/>
  <c r="R1623" i="34"/>
  <c r="S1623" i="34"/>
  <c r="Q1623" i="34"/>
  <c r="R1619" i="34"/>
  <c r="S1619" i="34"/>
  <c r="Q1619" i="34"/>
  <c r="R1615" i="34"/>
  <c r="S1615" i="34"/>
  <c r="Q1615" i="34"/>
  <c r="R274" i="34"/>
  <c r="S274" i="34"/>
  <c r="Q274" i="34"/>
  <c r="R270" i="34"/>
  <c r="S270" i="34"/>
  <c r="Q270" i="34"/>
  <c r="R266" i="34"/>
  <c r="S266" i="34"/>
  <c r="Q266" i="34"/>
  <c r="Q255" i="34"/>
  <c r="R255" i="34"/>
  <c r="S255" i="34"/>
  <c r="R251" i="34"/>
  <c r="Q251" i="34"/>
  <c r="S251" i="34"/>
  <c r="R247" i="34"/>
  <c r="Q247" i="34"/>
  <c r="S247" i="34"/>
  <c r="S237" i="34"/>
  <c r="R237" i="34"/>
  <c r="Q237" i="34"/>
  <c r="S233" i="34"/>
  <c r="Q233" i="34"/>
  <c r="R233" i="34"/>
  <c r="S229" i="34"/>
  <c r="Q229" i="34"/>
  <c r="R229" i="34"/>
  <c r="S225" i="34"/>
  <c r="Q225" i="34"/>
  <c r="R225" i="34"/>
  <c r="S185" i="34"/>
  <c r="Q185" i="34"/>
  <c r="R185" i="34"/>
  <c r="S181" i="34"/>
  <c r="Q181" i="34"/>
  <c r="R181" i="34"/>
  <c r="S177" i="34"/>
  <c r="Q177" i="34"/>
  <c r="R177" i="34"/>
  <c r="R75" i="34"/>
  <c r="S75" i="34"/>
  <c r="Q75" i="34"/>
  <c r="R71" i="34"/>
  <c r="S71" i="34"/>
  <c r="Q71" i="34"/>
  <c r="R67" i="34"/>
  <c r="S67" i="34"/>
  <c r="Q67" i="34"/>
  <c r="R63" i="34"/>
  <c r="S63" i="34"/>
  <c r="Q63" i="34"/>
  <c r="R59" i="34"/>
  <c r="S59" i="34"/>
  <c r="Q59" i="34"/>
  <c r="R55" i="34"/>
  <c r="S55" i="34"/>
  <c r="Q55" i="34"/>
  <c r="Q46" i="34"/>
  <c r="R46" i="34"/>
  <c r="S46" i="34"/>
  <c r="S5715" i="34"/>
  <c r="Q5715" i="34"/>
  <c r="R5715" i="34"/>
  <c r="S3147" i="34"/>
  <c r="Q3147" i="34"/>
  <c r="R3147" i="34"/>
  <c r="S5279" i="34"/>
  <c r="Q5279" i="34"/>
  <c r="R5279" i="34"/>
  <c r="S2504" i="34"/>
  <c r="Q2504" i="34"/>
  <c r="R2504" i="34"/>
  <c r="S3111" i="34"/>
  <c r="Q3111" i="34"/>
  <c r="R3111" i="34"/>
  <c r="R4899" i="34"/>
  <c r="S4899" i="34"/>
  <c r="Q4899" i="34"/>
  <c r="S2490" i="34"/>
  <c r="Q2490" i="34"/>
  <c r="R2490" i="34"/>
  <c r="Q4573" i="34"/>
  <c r="R4573" i="34"/>
  <c r="S4573" i="34"/>
  <c r="Q4557" i="34"/>
  <c r="R4557" i="34"/>
  <c r="S4557" i="34"/>
  <c r="Q4553" i="34"/>
  <c r="R4553" i="34"/>
  <c r="S4553" i="34"/>
  <c r="Q3016" i="34"/>
  <c r="R3016" i="34"/>
  <c r="S3016" i="34"/>
  <c r="Q3012" i="34"/>
  <c r="R3012" i="34"/>
  <c r="S3012" i="34"/>
  <c r="Q3008" i="34"/>
  <c r="R3008" i="34"/>
  <c r="S3008" i="34"/>
  <c r="Q3004" i="34"/>
  <c r="R3004" i="34"/>
  <c r="S3004" i="34"/>
  <c r="Q3000" i="34"/>
  <c r="R3000" i="34"/>
  <c r="S3000" i="34"/>
  <c r="S2995" i="34"/>
  <c r="Q2995" i="34"/>
  <c r="R2995" i="34"/>
  <c r="Q2986" i="34"/>
  <c r="R2986" i="34"/>
  <c r="S2986" i="34"/>
  <c r="Q2980" i="34"/>
  <c r="R2980" i="34"/>
  <c r="S2980" i="34"/>
  <c r="Q2974" i="34"/>
  <c r="R2974" i="34"/>
  <c r="S2974" i="34"/>
  <c r="Q4578" i="34"/>
  <c r="R4578" i="34"/>
  <c r="S4578" i="34"/>
  <c r="Q4561" i="34"/>
  <c r="R4561" i="34"/>
  <c r="S4561" i="34"/>
  <c r="R4552" i="34"/>
  <c r="S4552" i="34"/>
  <c r="Q4552" i="34"/>
  <c r="R4541" i="34"/>
  <c r="S4541" i="34"/>
  <c r="Q4541" i="34"/>
  <c r="Q4530" i="34"/>
  <c r="R4530" i="34"/>
  <c r="S4530" i="34"/>
  <c r="R4527" i="34"/>
  <c r="S4527" i="34"/>
  <c r="Q4527" i="34"/>
  <c r="R4513" i="34"/>
  <c r="S4513" i="34"/>
  <c r="Q4513" i="34"/>
  <c r="R4509" i="34"/>
  <c r="S4509" i="34"/>
  <c r="Q4509" i="34"/>
  <c r="R4505" i="34"/>
  <c r="S4505" i="34"/>
  <c r="Q4505" i="34"/>
  <c r="R4497" i="34"/>
  <c r="S4497" i="34"/>
  <c r="Q4497" i="34"/>
  <c r="R4493" i="34"/>
  <c r="S4493" i="34"/>
  <c r="Q4493" i="34"/>
  <c r="R4485" i="34"/>
  <c r="S4485" i="34"/>
  <c r="Q4485" i="34"/>
  <c r="R4476" i="34"/>
  <c r="S4476" i="34"/>
  <c r="Q4476" i="34"/>
  <c r="R4472" i="34"/>
  <c r="S4472" i="34"/>
  <c r="Q4472" i="34"/>
  <c r="R4468" i="34"/>
  <c r="S4468" i="34"/>
  <c r="Q4468" i="34"/>
  <c r="R4464" i="34"/>
  <c r="S4464" i="34"/>
  <c r="Q4464" i="34"/>
  <c r="Q4444" i="34"/>
  <c r="R4444" i="34"/>
  <c r="S4444" i="34"/>
  <c r="R4441" i="34"/>
  <c r="S4441" i="34"/>
  <c r="Q4441" i="34"/>
  <c r="R4433" i="34"/>
  <c r="S4433" i="34"/>
  <c r="Q4433" i="34"/>
  <c r="R4429" i="34"/>
  <c r="S4429" i="34"/>
  <c r="Q4429" i="34"/>
  <c r="R4425" i="34"/>
  <c r="S4425" i="34"/>
  <c r="Q4425" i="34"/>
  <c r="S2977" i="34"/>
  <c r="Q2977" i="34"/>
  <c r="R2977" i="34"/>
  <c r="R4399" i="34"/>
  <c r="S4399" i="34"/>
  <c r="Q4399" i="34"/>
  <c r="S2643" i="34"/>
  <c r="Q2643" i="34"/>
  <c r="R2643" i="34"/>
  <c r="S2639" i="34"/>
  <c r="Q2639" i="34"/>
  <c r="R2639" i="34"/>
  <c r="S2635" i="34"/>
  <c r="Q2635" i="34"/>
  <c r="R2635" i="34"/>
  <c r="S2631" i="34"/>
  <c r="Q2631" i="34"/>
  <c r="R2631" i="34"/>
  <c r="S2627" i="34"/>
  <c r="Q2627" i="34"/>
  <c r="R2627" i="34"/>
  <c r="S2623" i="34"/>
  <c r="Q2623" i="34"/>
  <c r="R2623" i="34"/>
  <c r="S2619" i="34"/>
  <c r="Q2619" i="34"/>
  <c r="R2619" i="34"/>
  <c r="S2615" i="34"/>
  <c r="Q2615" i="34"/>
  <c r="R2615" i="34"/>
  <c r="R4407" i="34"/>
  <c r="Q4407" i="34"/>
  <c r="S4407" i="34"/>
  <c r="Q4591" i="34"/>
  <c r="R4591" i="34"/>
  <c r="S4591" i="34"/>
  <c r="Q4587" i="34"/>
  <c r="R4587" i="34"/>
  <c r="S4587" i="34"/>
  <c r="S4546" i="34"/>
  <c r="Q4546" i="34"/>
  <c r="R4546" i="34"/>
  <c r="S4542" i="34"/>
  <c r="Q4542" i="34"/>
  <c r="R4542" i="34"/>
  <c r="S4537" i="34"/>
  <c r="Q4537" i="34"/>
  <c r="R4537" i="34"/>
  <c r="Q4525" i="34"/>
  <c r="R4525" i="34"/>
  <c r="S4525" i="34"/>
  <c r="Q4521" i="34"/>
  <c r="R4521" i="34"/>
  <c r="S4521" i="34"/>
  <c r="Q4502" i="34"/>
  <c r="R4502" i="34"/>
  <c r="S4502" i="34"/>
  <c r="Q4489" i="34"/>
  <c r="R4489" i="34"/>
  <c r="S4489" i="34"/>
  <c r="Q4481" i="34"/>
  <c r="R4481" i="34"/>
  <c r="S4481" i="34"/>
  <c r="S4456" i="34"/>
  <c r="Q4456" i="34"/>
  <c r="R4456" i="34"/>
  <c r="S4452" i="34"/>
  <c r="Q4452" i="34"/>
  <c r="R4452" i="34"/>
  <c r="S4457" i="34"/>
  <c r="Q4457" i="34"/>
  <c r="R4457" i="34"/>
  <c r="S4440" i="34"/>
  <c r="Q4440" i="34"/>
  <c r="R4440" i="34"/>
  <c r="S4423" i="34"/>
  <c r="Q4423" i="34"/>
  <c r="R4423" i="34"/>
  <c r="S4419" i="34"/>
  <c r="Q4419" i="34"/>
  <c r="R4419" i="34"/>
  <c r="S4415" i="34"/>
  <c r="Q4415" i="34"/>
  <c r="R4415" i="34"/>
  <c r="S4408" i="34"/>
  <c r="Q4408" i="34"/>
  <c r="R4408" i="34"/>
  <c r="S4393" i="34"/>
  <c r="Q4393" i="34"/>
  <c r="R4393" i="34"/>
  <c r="S4390" i="34"/>
  <c r="Q4390" i="34"/>
  <c r="R4390" i="34"/>
  <c r="Q4563" i="34"/>
  <c r="R4563" i="34"/>
  <c r="S4563" i="34"/>
  <c r="Q4477" i="34"/>
  <c r="R4477" i="34"/>
  <c r="S4477" i="34"/>
  <c r="S4396" i="34"/>
  <c r="R4396" i="34"/>
  <c r="Q4396" i="34"/>
  <c r="Q1705" i="34"/>
  <c r="R1705" i="34"/>
  <c r="S1705" i="34"/>
  <c r="Q1701" i="34"/>
  <c r="R1701" i="34"/>
  <c r="S1701" i="34"/>
  <c r="Q1697" i="34"/>
  <c r="R1697" i="34"/>
  <c r="S1697" i="34"/>
  <c r="Q1693" i="34"/>
  <c r="R1693" i="34"/>
  <c r="S1693" i="34"/>
  <c r="Q1689" i="34"/>
  <c r="R1689" i="34"/>
  <c r="S1689" i="34"/>
  <c r="R554" i="34"/>
  <c r="S554" i="34"/>
  <c r="Q554" i="34"/>
  <c r="R550" i="34"/>
  <c r="S550" i="34"/>
  <c r="Q550" i="34"/>
  <c r="R546" i="34"/>
  <c r="S546" i="34"/>
  <c r="Q546" i="34"/>
  <c r="S542" i="34"/>
  <c r="Q542" i="34"/>
  <c r="R542" i="34"/>
  <c r="S538" i="34"/>
  <c r="Q538" i="34"/>
  <c r="R538" i="34"/>
  <c r="S534" i="34"/>
  <c r="Q534" i="34"/>
  <c r="R534" i="34"/>
  <c r="S530" i="34"/>
  <c r="Q530" i="34"/>
  <c r="R530" i="34"/>
  <c r="S526" i="34"/>
  <c r="Q526" i="34"/>
  <c r="R526" i="34"/>
  <c r="S522" i="34"/>
  <c r="Q522" i="34"/>
  <c r="R522" i="34"/>
  <c r="S518" i="34"/>
  <c r="Q518" i="34"/>
  <c r="R518" i="34"/>
  <c r="S514" i="34"/>
  <c r="Q514" i="34"/>
  <c r="R514" i="34"/>
  <c r="R1659" i="34"/>
  <c r="S1659" i="34"/>
  <c r="Q1659" i="34"/>
  <c r="R1655" i="34"/>
  <c r="S1655" i="34"/>
  <c r="Q1655" i="34"/>
  <c r="R1651" i="34"/>
  <c r="S1651" i="34"/>
  <c r="Q1651" i="34"/>
  <c r="R1647" i="34"/>
  <c r="S1647" i="34"/>
  <c r="Q1647" i="34"/>
  <c r="R1643" i="34"/>
  <c r="S1643" i="34"/>
  <c r="Q1643" i="34"/>
  <c r="R1639" i="34"/>
  <c r="S1639" i="34"/>
  <c r="Q1639" i="34"/>
  <c r="R1635" i="34"/>
  <c r="S1635" i="34"/>
  <c r="Q1635" i="34"/>
  <c r="Q1634" i="34"/>
  <c r="R1634" i="34"/>
  <c r="S1634" i="34"/>
  <c r="Q1630" i="34"/>
  <c r="R1630" i="34"/>
  <c r="S1630" i="34"/>
  <c r="Q1626" i="34"/>
  <c r="R1626" i="34"/>
  <c r="S1626" i="34"/>
  <c r="Q1622" i="34"/>
  <c r="R1622" i="34"/>
  <c r="S1622" i="34"/>
  <c r="Q1618" i="34"/>
  <c r="R1618" i="34"/>
  <c r="S1618" i="34"/>
  <c r="Q277" i="34"/>
  <c r="R277" i="34"/>
  <c r="S277" i="34"/>
  <c r="Q273" i="34"/>
  <c r="R273" i="34"/>
  <c r="S273" i="34"/>
  <c r="Q269" i="34"/>
  <c r="R269" i="34"/>
  <c r="S269" i="34"/>
  <c r="Q265" i="34"/>
  <c r="R265" i="34"/>
  <c r="S265" i="34"/>
  <c r="R254" i="34"/>
  <c r="S254" i="34"/>
  <c r="Q254" i="34"/>
  <c r="S250" i="34"/>
  <c r="Q250" i="34"/>
  <c r="R250" i="34"/>
  <c r="S246" i="34"/>
  <c r="Q246" i="34"/>
  <c r="R246" i="34"/>
  <c r="Q236" i="34"/>
  <c r="R236" i="34"/>
  <c r="S236" i="34"/>
  <c r="Q232" i="34"/>
  <c r="R232" i="34"/>
  <c r="S232" i="34"/>
  <c r="Q228" i="34"/>
  <c r="R228" i="34"/>
  <c r="S228" i="34"/>
  <c r="Q224" i="34"/>
  <c r="R224" i="34"/>
  <c r="S224" i="34"/>
  <c r="Q184" i="34"/>
  <c r="R184" i="34"/>
  <c r="S184" i="34"/>
  <c r="Q180" i="34"/>
  <c r="R180" i="34"/>
  <c r="S180" i="34"/>
  <c r="R176" i="34"/>
  <c r="Q176" i="34"/>
  <c r="S176" i="34"/>
  <c r="Q74" i="34"/>
  <c r="R74" i="34"/>
  <c r="S74" i="34"/>
  <c r="Q70" i="34"/>
  <c r="R70" i="34"/>
  <c r="S70" i="34"/>
  <c r="Q66" i="34"/>
  <c r="R66" i="34"/>
  <c r="S66" i="34"/>
  <c r="Q62" i="34"/>
  <c r="R62" i="34"/>
  <c r="S62" i="34"/>
  <c r="Q58" i="34"/>
  <c r="R58" i="34"/>
  <c r="S58" i="34"/>
  <c r="R49" i="34"/>
  <c r="S49" i="34"/>
  <c r="Q49" i="34"/>
  <c r="Q5714" i="34"/>
  <c r="R5714" i="34"/>
  <c r="S5714" i="34"/>
  <c r="Q3146" i="34"/>
  <c r="R3146" i="34"/>
  <c r="S3146" i="34"/>
  <c r="Q5121" i="34"/>
  <c r="R5121" i="34"/>
  <c r="S5121" i="34"/>
  <c r="Q5012" i="34"/>
  <c r="R5012" i="34"/>
  <c r="S5012" i="34"/>
  <c r="Q3108" i="34"/>
  <c r="R3108" i="34"/>
  <c r="S3108" i="34"/>
  <c r="Q4898" i="34"/>
  <c r="R4898" i="34"/>
  <c r="S4898" i="34"/>
  <c r="S2488" i="34"/>
  <c r="Q2488" i="34"/>
  <c r="R2488" i="34"/>
  <c r="S4572" i="34"/>
  <c r="Q4572" i="34"/>
  <c r="R4572" i="34"/>
  <c r="S4556" i="34"/>
  <c r="Q4556" i="34"/>
  <c r="R4556" i="34"/>
  <c r="Q2489" i="34"/>
  <c r="R2489" i="34"/>
  <c r="S2489" i="34"/>
  <c r="S3015" i="34"/>
  <c r="Q3015" i="34"/>
  <c r="R3015" i="34"/>
  <c r="S3011" i="34"/>
  <c r="Q3011" i="34"/>
  <c r="R3011" i="34"/>
  <c r="S3007" i="34"/>
  <c r="Q3007" i="34"/>
  <c r="R3007" i="34"/>
  <c r="S3003" i="34"/>
  <c r="Q3003" i="34"/>
  <c r="R3003" i="34"/>
  <c r="S2999" i="34"/>
  <c r="Q2999" i="34"/>
  <c r="R2999" i="34"/>
  <c r="Q2994" i="34"/>
  <c r="R2994" i="34"/>
  <c r="S2994" i="34"/>
  <c r="S2985" i="34"/>
  <c r="Q2985" i="34"/>
  <c r="R2985" i="34"/>
  <c r="S2979" i="34"/>
  <c r="Q2979" i="34"/>
  <c r="R2979" i="34"/>
  <c r="Q2972" i="34"/>
  <c r="R2972" i="34"/>
  <c r="S2972" i="34"/>
  <c r="R4577" i="34"/>
  <c r="S4577" i="34"/>
  <c r="Q4577" i="34"/>
  <c r="R4560" i="34"/>
  <c r="S4560" i="34"/>
  <c r="Q4560" i="34"/>
  <c r="Q4551" i="34"/>
  <c r="R4551" i="34"/>
  <c r="S4551" i="34"/>
  <c r="R4533" i="34"/>
  <c r="S4533" i="34"/>
  <c r="Q4533" i="34"/>
  <c r="R4529" i="34"/>
  <c r="S4529" i="34"/>
  <c r="Q4529" i="34"/>
  <c r="Q4519" i="34"/>
  <c r="R4519" i="34"/>
  <c r="S4519" i="34"/>
  <c r="Q4512" i="34"/>
  <c r="R4512" i="34"/>
  <c r="S4512" i="34"/>
  <c r="Q4508" i="34"/>
  <c r="R4508" i="34"/>
  <c r="S4508" i="34"/>
  <c r="Q4504" i="34"/>
  <c r="R4504" i="34"/>
  <c r="S4504" i="34"/>
  <c r="Q4496" i="34"/>
  <c r="R4496" i="34"/>
  <c r="S4496" i="34"/>
  <c r="Q4492" i="34"/>
  <c r="R4492" i="34"/>
  <c r="S4492" i="34"/>
  <c r="Q4484" i="34"/>
  <c r="R4484" i="34"/>
  <c r="S4484" i="34"/>
  <c r="Q4475" i="34"/>
  <c r="R4475" i="34"/>
  <c r="S4475" i="34"/>
  <c r="Q4471" i="34"/>
  <c r="R4471" i="34"/>
  <c r="S4471" i="34"/>
  <c r="Q4467" i="34"/>
  <c r="R4467" i="34"/>
  <c r="S4467" i="34"/>
  <c r="Q4463" i="34"/>
  <c r="R4463" i="34"/>
  <c r="S4463" i="34"/>
  <c r="R4443" i="34"/>
  <c r="S4443" i="34"/>
  <c r="Q4443" i="34"/>
  <c r="Q4436" i="34"/>
  <c r="R4436" i="34"/>
  <c r="S4436" i="34"/>
  <c r="Q4432" i="34"/>
  <c r="R4432" i="34"/>
  <c r="S4432" i="34"/>
  <c r="Q4428" i="34"/>
  <c r="R4428" i="34"/>
  <c r="S4428" i="34"/>
  <c r="Q4413" i="34"/>
  <c r="R4413" i="34"/>
  <c r="S4413" i="34"/>
  <c r="Q4402" i="34"/>
  <c r="R4402" i="34"/>
  <c r="S4402" i="34"/>
  <c r="Q4398" i="34"/>
  <c r="R4398" i="34"/>
  <c r="S4398" i="34"/>
  <c r="Q2642" i="34"/>
  <c r="R2642" i="34"/>
  <c r="S2642" i="34"/>
  <c r="Q2638" i="34"/>
  <c r="R2638" i="34"/>
  <c r="S2638" i="34"/>
  <c r="Q2634" i="34"/>
  <c r="R2634" i="34"/>
  <c r="S2634" i="34"/>
  <c r="Q2630" i="34"/>
  <c r="R2630" i="34"/>
  <c r="S2630" i="34"/>
  <c r="Q2626" i="34"/>
  <c r="R2626" i="34"/>
  <c r="S2626" i="34"/>
  <c r="Q2622" i="34"/>
  <c r="R2622" i="34"/>
  <c r="S2622" i="34"/>
  <c r="Q2618" i="34"/>
  <c r="R2618" i="34"/>
  <c r="S2618" i="34"/>
  <c r="Q2614" i="34"/>
  <c r="R2614" i="34"/>
  <c r="S2614" i="34"/>
  <c r="Q4395" i="34"/>
  <c r="R4395" i="34"/>
  <c r="S4395" i="34"/>
  <c r="S4590" i="34"/>
  <c r="Q4590" i="34"/>
  <c r="R4590" i="34"/>
  <c r="Q4568" i="34"/>
  <c r="R4568" i="34"/>
  <c r="S4568" i="34"/>
  <c r="Q4545" i="34"/>
  <c r="R4545" i="34"/>
  <c r="S4545" i="34"/>
  <c r="Q4540" i="34"/>
  <c r="R4540" i="34"/>
  <c r="S4540" i="34"/>
  <c r="Q4520" i="34"/>
  <c r="R4520" i="34"/>
  <c r="S4520" i="34"/>
  <c r="S4524" i="34"/>
  <c r="Q4524" i="34"/>
  <c r="R4524" i="34"/>
  <c r="S4518" i="34"/>
  <c r="Q4518" i="34"/>
  <c r="R4518" i="34"/>
  <c r="S4501" i="34"/>
  <c r="Q4501" i="34"/>
  <c r="R4501" i="34"/>
  <c r="S4488" i="34"/>
  <c r="Q4488" i="34"/>
  <c r="R4488" i="34"/>
  <c r="S4480" i="34"/>
  <c r="Q4480" i="34"/>
  <c r="R4480" i="34"/>
  <c r="Q4455" i="34"/>
  <c r="R4455" i="34"/>
  <c r="S4455" i="34"/>
  <c r="Q4451" i="34"/>
  <c r="R4451" i="34"/>
  <c r="S4451" i="34"/>
  <c r="Q4449" i="34"/>
  <c r="R4449" i="34"/>
  <c r="S4449" i="34"/>
  <c r="Q4439" i="34"/>
  <c r="R4439" i="34"/>
  <c r="S4439" i="34"/>
  <c r="Q4422" i="34"/>
  <c r="R4422" i="34"/>
  <c r="S4422" i="34"/>
  <c r="Q4418" i="34"/>
  <c r="R4418" i="34"/>
  <c r="S4418" i="34"/>
  <c r="Q4414" i="34"/>
  <c r="R4414" i="34"/>
  <c r="S4414" i="34"/>
  <c r="Q4405" i="34"/>
  <c r="R4405" i="34"/>
  <c r="S4405" i="34"/>
  <c r="Q3731" i="34"/>
  <c r="R3731" i="34"/>
  <c r="S3731" i="34"/>
  <c r="R4562" i="34"/>
  <c r="S4562" i="34"/>
  <c r="Q4562" i="34"/>
  <c r="Q4446" i="34"/>
  <c r="R4446" i="34"/>
  <c r="S4446" i="34"/>
  <c r="R4389" i="34"/>
  <c r="S4389" i="34"/>
  <c r="Q4389" i="34"/>
  <c r="R1704" i="34"/>
  <c r="S1704" i="34"/>
  <c r="Q1704" i="34"/>
  <c r="R1700" i="34"/>
  <c r="S1700" i="34"/>
  <c r="Q1700" i="34"/>
  <c r="R1696" i="34"/>
  <c r="S1696" i="34"/>
  <c r="Q1696" i="34"/>
  <c r="R1692" i="34"/>
  <c r="S1692" i="34"/>
  <c r="Q1692" i="34"/>
  <c r="R1688" i="34"/>
  <c r="S1688" i="34"/>
  <c r="Q1688" i="34"/>
  <c r="Q553" i="34"/>
  <c r="R553" i="34"/>
  <c r="S553" i="34"/>
  <c r="Q549" i="34"/>
  <c r="R549" i="34"/>
  <c r="S549" i="34"/>
  <c r="Q545" i="34"/>
  <c r="R545" i="34"/>
  <c r="S545" i="34"/>
  <c r="Q541" i="34"/>
  <c r="R541" i="34"/>
  <c r="S541" i="34"/>
  <c r="Q537" i="34"/>
  <c r="R537" i="34"/>
  <c r="S537" i="34"/>
  <c r="Q533" i="34"/>
  <c r="R533" i="34"/>
  <c r="S533" i="34"/>
  <c r="Q529" i="34"/>
  <c r="R529" i="34"/>
  <c r="S529" i="34"/>
  <c r="Q525" i="34"/>
  <c r="R525" i="34"/>
  <c r="S525" i="34"/>
  <c r="Q521" i="34"/>
  <c r="R521" i="34"/>
  <c r="S521" i="34"/>
  <c r="Q517" i="34"/>
  <c r="R517" i="34"/>
  <c r="S517" i="34"/>
  <c r="Q513" i="34"/>
  <c r="R513" i="34"/>
  <c r="S513" i="34"/>
  <c r="Q1658" i="34"/>
  <c r="R1658" i="34"/>
  <c r="S1658" i="34"/>
  <c r="Q1654" i="34"/>
  <c r="R1654" i="34"/>
  <c r="S1654" i="34"/>
  <c r="Q1650" i="34"/>
  <c r="R1650" i="34"/>
  <c r="S1650" i="34"/>
  <c r="Q1646" i="34"/>
  <c r="R1646" i="34"/>
  <c r="S1646" i="34"/>
  <c r="Q1642" i="34"/>
  <c r="R1642" i="34"/>
  <c r="S1642" i="34"/>
  <c r="Q1638" i="34"/>
  <c r="R1638" i="34"/>
  <c r="S1638" i="34"/>
  <c r="Q2018" i="34"/>
  <c r="R2018" i="34"/>
  <c r="S2018" i="34"/>
  <c r="R1633" i="34"/>
  <c r="S1633" i="34"/>
  <c r="Q1633" i="34"/>
  <c r="R1629" i="34"/>
  <c r="S1629" i="34"/>
  <c r="Q1629" i="34"/>
  <c r="R1625" i="34"/>
  <c r="S1625" i="34"/>
  <c r="Q1625" i="34"/>
  <c r="R1621" i="34"/>
  <c r="S1621" i="34"/>
  <c r="Q1621" i="34"/>
  <c r="R1617" i="34"/>
  <c r="S1617" i="34"/>
  <c r="Q1617" i="34"/>
  <c r="R276" i="34"/>
  <c r="S276" i="34"/>
  <c r="Q276" i="34"/>
  <c r="R272" i="34"/>
  <c r="S272" i="34"/>
  <c r="Q272" i="34"/>
  <c r="R268" i="34"/>
  <c r="S268" i="34"/>
  <c r="Q268" i="34"/>
  <c r="R264" i="34"/>
  <c r="S264" i="34"/>
  <c r="Q264" i="34"/>
  <c r="R253" i="34"/>
  <c r="Q253" i="34"/>
  <c r="S253" i="34"/>
  <c r="R249" i="34"/>
  <c r="Q249" i="34"/>
  <c r="S249" i="34"/>
  <c r="R245" i="34"/>
  <c r="Q245" i="34"/>
  <c r="S245" i="34"/>
  <c r="S235" i="34"/>
  <c r="Q235" i="34"/>
  <c r="R235" i="34"/>
  <c r="S231" i="34"/>
  <c r="Q231" i="34"/>
  <c r="R231" i="34"/>
  <c r="S227" i="34"/>
  <c r="Q227" i="34"/>
  <c r="R227" i="34"/>
  <c r="S187" i="34"/>
  <c r="Q187" i="34"/>
  <c r="R187" i="34"/>
  <c r="S183" i="34"/>
  <c r="Q183" i="34"/>
  <c r="R183" i="34"/>
  <c r="S179" i="34"/>
  <c r="Q179" i="34"/>
  <c r="R179" i="34"/>
  <c r="R175" i="34"/>
  <c r="S175" i="34"/>
  <c r="Q175" i="34"/>
  <c r="R73" i="34"/>
  <c r="S73" i="34"/>
  <c r="Q73" i="34"/>
  <c r="R69" i="34"/>
  <c r="S69" i="34"/>
  <c r="Q69" i="34"/>
  <c r="R65" i="34"/>
  <c r="S65" i="34"/>
  <c r="Q65" i="34"/>
  <c r="R61" i="34"/>
  <c r="S61" i="34"/>
  <c r="Q61" i="34"/>
  <c r="R57" i="34"/>
  <c r="S57" i="34"/>
  <c r="Q57" i="34"/>
  <c r="Q48" i="34"/>
  <c r="R48" i="34"/>
  <c r="S48" i="34"/>
  <c r="R24" i="34"/>
  <c r="S24" i="34"/>
  <c r="Q24" i="34"/>
  <c r="Q3154" i="34"/>
  <c r="R3154" i="34"/>
  <c r="S3154" i="34"/>
  <c r="S3143" i="34"/>
  <c r="Q3143" i="34"/>
  <c r="R3143" i="34"/>
  <c r="R5115" i="34"/>
  <c r="S5115" i="34"/>
  <c r="Q5115" i="34"/>
  <c r="Q3134" i="34"/>
  <c r="R3134" i="34"/>
  <c r="S3134" i="34"/>
  <c r="Q4951" i="34"/>
  <c r="R4951" i="34"/>
  <c r="S4951" i="34"/>
  <c r="S4592" i="34"/>
  <c r="Q4592" i="34"/>
  <c r="R4592" i="34"/>
  <c r="Q2487" i="34"/>
  <c r="R2487" i="34"/>
  <c r="S2487" i="34"/>
  <c r="Q4569" i="34"/>
  <c r="R4569" i="34"/>
  <c r="S4569" i="34"/>
  <c r="Q4555" i="34"/>
  <c r="R4555" i="34"/>
  <c r="S4555" i="34"/>
  <c r="Q3018" i="34"/>
  <c r="R3018" i="34"/>
  <c r="S3018" i="34"/>
  <c r="Q3014" i="34"/>
  <c r="R3014" i="34"/>
  <c r="S3014" i="34"/>
  <c r="Q3010" i="34"/>
  <c r="R3010" i="34"/>
  <c r="S3010" i="34"/>
  <c r="Q3006" i="34"/>
  <c r="R3006" i="34"/>
  <c r="S3006" i="34"/>
  <c r="Q3002" i="34"/>
  <c r="R3002" i="34"/>
  <c r="S3002" i="34"/>
  <c r="Q2998" i="34"/>
  <c r="R2998" i="34"/>
  <c r="S2998" i="34"/>
  <c r="S2989" i="34"/>
  <c r="Q2989" i="34"/>
  <c r="R2989" i="34"/>
  <c r="Q2982" i="34"/>
  <c r="R2982" i="34"/>
  <c r="S2982" i="34"/>
  <c r="Q2978" i="34"/>
  <c r="R2978" i="34"/>
  <c r="S2978" i="34"/>
  <c r="S2971" i="34"/>
  <c r="Q2971" i="34"/>
  <c r="R2971" i="34"/>
  <c r="Q4576" i="34"/>
  <c r="R4576" i="34"/>
  <c r="S4576" i="34"/>
  <c r="Q4559" i="34"/>
  <c r="R4559" i="34"/>
  <c r="S4559" i="34"/>
  <c r="R4550" i="34"/>
  <c r="S4550" i="34"/>
  <c r="Q4550" i="34"/>
  <c r="Q4532" i="34"/>
  <c r="R4532" i="34"/>
  <c r="S4532" i="34"/>
  <c r="Q4528" i="34"/>
  <c r="R4528" i="34"/>
  <c r="S4528" i="34"/>
  <c r="R4515" i="34"/>
  <c r="S4515" i="34"/>
  <c r="Q4515" i="34"/>
  <c r="R4511" i="34"/>
  <c r="S4511" i="34"/>
  <c r="Q4511" i="34"/>
  <c r="R4507" i="34"/>
  <c r="S4507" i="34"/>
  <c r="Q4507" i="34"/>
  <c r="Q2992" i="34"/>
  <c r="R2992" i="34"/>
  <c r="S2992" i="34"/>
  <c r="R4495" i="34"/>
  <c r="S4495" i="34"/>
  <c r="Q4495" i="34"/>
  <c r="S2991" i="34"/>
  <c r="Q2991" i="34"/>
  <c r="R2991" i="34"/>
  <c r="R4483" i="34"/>
  <c r="S4483" i="34"/>
  <c r="Q4483" i="34"/>
  <c r="R4474" i="34"/>
  <c r="S4474" i="34"/>
  <c r="Q4474" i="34"/>
  <c r="R4470" i="34"/>
  <c r="S4470" i="34"/>
  <c r="Q4470" i="34"/>
  <c r="R4466" i="34"/>
  <c r="S4466" i="34"/>
  <c r="Q4466" i="34"/>
  <c r="R4462" i="34"/>
  <c r="S4462" i="34"/>
  <c r="Q4462" i="34"/>
  <c r="Q4442" i="34"/>
  <c r="R4442" i="34"/>
  <c r="S4442" i="34"/>
  <c r="R4435" i="34"/>
  <c r="S4435" i="34"/>
  <c r="Q4435" i="34"/>
  <c r="R4431" i="34"/>
  <c r="S4431" i="34"/>
  <c r="Q4431" i="34"/>
  <c r="R4427" i="34"/>
  <c r="S4427" i="34"/>
  <c r="Q4427" i="34"/>
  <c r="R4412" i="34"/>
  <c r="S4412" i="34"/>
  <c r="Q4412" i="34"/>
  <c r="R4401" i="34"/>
  <c r="S4401" i="34"/>
  <c r="Q4401" i="34"/>
  <c r="S2645" i="34"/>
  <c r="Q2645" i="34"/>
  <c r="R2645" i="34"/>
  <c r="S2641" i="34"/>
  <c r="Q2641" i="34"/>
  <c r="R2641" i="34"/>
  <c r="S2637" i="34"/>
  <c r="Q2637" i="34"/>
  <c r="R2637" i="34"/>
  <c r="S2633" i="34"/>
  <c r="Q2633" i="34"/>
  <c r="R2633" i="34"/>
  <c r="S2629" i="34"/>
  <c r="Q2629" i="34"/>
  <c r="R2629" i="34"/>
  <c r="S2625" i="34"/>
  <c r="Q2625" i="34"/>
  <c r="R2625" i="34"/>
  <c r="S2621" i="34"/>
  <c r="Q2621" i="34"/>
  <c r="R2621" i="34"/>
  <c r="S2617" i="34"/>
  <c r="Q2617" i="34"/>
  <c r="R2617" i="34"/>
  <c r="S2613" i="34"/>
  <c r="Q2613" i="34"/>
  <c r="R2613" i="34"/>
  <c r="R4397" i="34"/>
  <c r="Q4397" i="34"/>
  <c r="S4397" i="34"/>
  <c r="Q4589" i="34"/>
  <c r="R4589" i="34"/>
  <c r="S4589" i="34"/>
  <c r="S4567" i="34"/>
  <c r="Q4567" i="34"/>
  <c r="R4567" i="34"/>
  <c r="S4544" i="34"/>
  <c r="Q4544" i="34"/>
  <c r="R4544" i="34"/>
  <c r="S4539" i="34"/>
  <c r="Q4539" i="34"/>
  <c r="R4539" i="34"/>
  <c r="Q4534" i="34"/>
  <c r="R4534" i="34"/>
  <c r="S4534" i="34"/>
  <c r="Q4523" i="34"/>
  <c r="R4523" i="34"/>
  <c r="S4523" i="34"/>
  <c r="Q4517" i="34"/>
  <c r="R4517" i="34"/>
  <c r="S4517" i="34"/>
  <c r="Q4500" i="34"/>
  <c r="R4500" i="34"/>
  <c r="S4500" i="34"/>
  <c r="Q4487" i="34"/>
  <c r="R4487" i="34"/>
  <c r="S4487" i="34"/>
  <c r="Q4450" i="34"/>
  <c r="R4450" i="34"/>
  <c r="S4450" i="34"/>
  <c r="S4454" i="34"/>
  <c r="Q4454" i="34"/>
  <c r="R4454" i="34"/>
  <c r="S4459" i="34"/>
  <c r="Q4459" i="34"/>
  <c r="R4459" i="34"/>
  <c r="S4447" i="34"/>
  <c r="Q4447" i="34"/>
  <c r="R4447" i="34"/>
  <c r="S4438" i="34"/>
  <c r="Q4438" i="34"/>
  <c r="R4438" i="34"/>
  <c r="S4421" i="34"/>
  <c r="Q4421" i="34"/>
  <c r="R4421" i="34"/>
  <c r="S4417" i="34"/>
  <c r="Q4417" i="34"/>
  <c r="R4417" i="34"/>
  <c r="S4410" i="34"/>
  <c r="Q4410" i="34"/>
  <c r="R4410" i="34"/>
  <c r="S4404" i="34"/>
  <c r="Q4404" i="34"/>
  <c r="R4404" i="34"/>
  <c r="S4392" i="34"/>
  <c r="Q4392" i="34"/>
  <c r="R4392" i="34"/>
  <c r="Q4498" i="34"/>
  <c r="R4498" i="34"/>
  <c r="S4498" i="34"/>
  <c r="R4406" i="34"/>
  <c r="Q4406" i="34"/>
  <c r="S4406" i="34"/>
  <c r="Q1709" i="34"/>
  <c r="R1709" i="34"/>
  <c r="S1709" i="34"/>
  <c r="Q1703" i="34"/>
  <c r="R1703" i="34"/>
  <c r="S1703" i="34"/>
  <c r="Q1699" i="34"/>
  <c r="R1699" i="34"/>
  <c r="S1699" i="34"/>
  <c r="Q1695" i="34"/>
  <c r="R1695" i="34"/>
  <c r="S1695" i="34"/>
  <c r="Q1691" i="34"/>
  <c r="R1691" i="34"/>
  <c r="S1691" i="34"/>
  <c r="Q1687" i="34"/>
  <c r="R1687" i="34"/>
  <c r="S1687" i="34"/>
  <c r="R552" i="34"/>
  <c r="S552" i="34"/>
  <c r="Q552" i="34"/>
  <c r="R548" i="34"/>
  <c r="S548" i="34"/>
  <c r="Q548" i="34"/>
  <c r="R544" i="34"/>
  <c r="S544" i="34"/>
  <c r="Q544" i="34"/>
  <c r="S540" i="34"/>
  <c r="R540" i="34"/>
  <c r="Q540" i="34"/>
  <c r="S536" i="34"/>
  <c r="Q536" i="34"/>
  <c r="R536" i="34"/>
  <c r="S532" i="34"/>
  <c r="Q532" i="34"/>
  <c r="R532" i="34"/>
  <c r="S528" i="34"/>
  <c r="Q528" i="34"/>
  <c r="R528" i="34"/>
  <c r="S524" i="34"/>
  <c r="Q524" i="34"/>
  <c r="R524" i="34"/>
  <c r="S520" i="34"/>
  <c r="Q520" i="34"/>
  <c r="R520" i="34"/>
  <c r="S516" i="34"/>
  <c r="Q516" i="34"/>
  <c r="R516" i="34"/>
  <c r="S512" i="34"/>
  <c r="Q512" i="34"/>
  <c r="R512" i="34"/>
  <c r="R1657" i="34"/>
  <c r="S1657" i="34"/>
  <c r="Q1657" i="34"/>
  <c r="R1653" i="34"/>
  <c r="S1653" i="34"/>
  <c r="Q1653" i="34"/>
  <c r="R1649" i="34"/>
  <c r="S1649" i="34"/>
  <c r="Q1649" i="34"/>
  <c r="R1645" i="34"/>
  <c r="S1645" i="34"/>
  <c r="Q1645" i="34"/>
  <c r="R1641" i="34"/>
  <c r="S1641" i="34"/>
  <c r="Q1641" i="34"/>
  <c r="R1637" i="34"/>
  <c r="S1637" i="34"/>
  <c r="Q1637" i="34"/>
  <c r="S2017" i="34"/>
  <c r="Q2017" i="34"/>
  <c r="R2017" i="34"/>
  <c r="Q1632" i="34"/>
  <c r="R1632" i="34"/>
  <c r="S1632" i="34"/>
  <c r="Q1628" i="34"/>
  <c r="R1628" i="34"/>
  <c r="S1628" i="34"/>
  <c r="Q1624" i="34"/>
  <c r="R1624" i="34"/>
  <c r="S1624" i="34"/>
  <c r="Q1620" i="34"/>
  <c r="R1620" i="34"/>
  <c r="S1620" i="34"/>
  <c r="Q1616" i="34"/>
  <c r="R1616" i="34"/>
  <c r="S1616" i="34"/>
  <c r="Q275" i="34"/>
  <c r="R275" i="34"/>
  <c r="S275" i="34"/>
  <c r="Q271" i="34"/>
  <c r="R271" i="34"/>
  <c r="S271" i="34"/>
  <c r="Q267" i="34"/>
  <c r="R267" i="34"/>
  <c r="S267" i="34"/>
  <c r="R256" i="34"/>
  <c r="S256" i="34"/>
  <c r="Q256" i="34"/>
  <c r="Q252" i="34"/>
  <c r="R252" i="34"/>
  <c r="S252" i="34"/>
  <c r="Q248" i="34"/>
  <c r="R248" i="34"/>
  <c r="S248" i="34"/>
  <c r="Q244" i="34"/>
  <c r="R244" i="34"/>
  <c r="S244" i="34"/>
  <c r="Q234" i="34"/>
  <c r="R234" i="34"/>
  <c r="S234" i="34"/>
  <c r="Q230" i="34"/>
  <c r="R230" i="34"/>
  <c r="S230" i="34"/>
  <c r="Q226" i="34"/>
  <c r="R226" i="34"/>
  <c r="S226" i="34"/>
  <c r="Q186" i="34"/>
  <c r="R186" i="34"/>
  <c r="S186" i="34"/>
  <c r="Q182" i="34"/>
  <c r="R182" i="34"/>
  <c r="S182" i="34"/>
  <c r="Q178" i="34"/>
  <c r="R178" i="34"/>
  <c r="S178" i="34"/>
  <c r="R174" i="34"/>
  <c r="S174" i="34"/>
  <c r="Q174" i="34"/>
  <c r="Q72" i="34"/>
  <c r="R72" i="34"/>
  <c r="S72" i="34"/>
  <c r="Q68" i="34"/>
  <c r="R68" i="34"/>
  <c r="S68" i="34"/>
  <c r="Q64" i="34"/>
  <c r="R64" i="34"/>
  <c r="S64" i="34"/>
  <c r="Q60" i="34"/>
  <c r="R60" i="34"/>
  <c r="S60" i="34"/>
  <c r="Q56" i="34"/>
  <c r="R56" i="34"/>
  <c r="S56" i="34"/>
  <c r="R47" i="34"/>
  <c r="S47" i="34"/>
  <c r="Q47" i="34"/>
  <c r="Q5716" i="34"/>
  <c r="R5716" i="34"/>
  <c r="S5716" i="34"/>
  <c r="V143" i="60"/>
  <c r="B10" i="34"/>
  <c r="E145" i="60" l="1"/>
  <c r="V151" i="60"/>
  <c r="L143" i="60" s="1"/>
  <c r="V149" i="60"/>
  <c r="L140" i="60" s="1"/>
  <c r="A88" i="55" l="1"/>
  <c r="A89" i="55" l="1"/>
  <c r="E581" i="34"/>
  <c r="E580" i="34"/>
  <c r="E1756" i="34"/>
  <c r="K1756" i="34"/>
  <c r="M1756" i="34" s="1"/>
  <c r="A141" i="60"/>
  <c r="A142" i="60" s="1"/>
  <c r="A143" i="60" s="1"/>
  <c r="A90" i="55" l="1"/>
  <c r="M1792" i="34"/>
  <c r="E1792" i="34"/>
  <c r="E1754" i="34"/>
  <c r="K1754" i="34"/>
  <c r="M1754" i="34" s="1"/>
  <c r="E1755" i="34"/>
  <c r="K1755" i="34"/>
  <c r="M1755" i="34" s="1"/>
  <c r="A91" i="55" l="1"/>
  <c r="A92" i="55" l="1"/>
  <c r="E1285" i="34"/>
  <c r="E1286" i="34"/>
  <c r="E1287" i="34"/>
  <c r="E1288" i="34"/>
  <c r="E1289" i="34"/>
  <c r="E1291" i="34"/>
  <c r="V91" i="60"/>
  <c r="L81" i="60" s="1"/>
  <c r="L89" i="60" s="1"/>
  <c r="W88" i="60"/>
  <c r="D81" i="60"/>
  <c r="G81" i="60" s="1"/>
  <c r="G80" i="60"/>
  <c r="V81" i="60"/>
  <c r="V80" i="60"/>
  <c r="L68" i="60"/>
  <c r="W69" i="60"/>
  <c r="V62" i="60"/>
  <c r="V61" i="60"/>
  <c r="A49" i="60"/>
  <c r="W51" i="60"/>
  <c r="V43" i="60"/>
  <c r="V51" i="60" s="1"/>
  <c r="I50" i="60" s="1"/>
  <c r="I44" i="60" s="1"/>
  <c r="N44" i="60" s="1"/>
  <c r="V35" i="60"/>
  <c r="W34" i="60"/>
  <c r="O29" i="60"/>
  <c r="M29" i="60"/>
  <c r="V32" i="60"/>
  <c r="A28" i="60"/>
  <c r="V31" i="60"/>
  <c r="V30" i="60"/>
  <c r="D26" i="60"/>
  <c r="G26" i="60" s="1"/>
  <c r="V29" i="60"/>
  <c r="V28" i="60"/>
  <c r="V27" i="60"/>
  <c r="V26" i="60"/>
  <c r="T22" i="60"/>
  <c r="V15" i="60"/>
  <c r="L7" i="60" s="1"/>
  <c r="L17" i="60" s="1"/>
  <c r="W14" i="60"/>
  <c r="P16" i="60"/>
  <c r="A16" i="60"/>
  <c r="D15" i="60"/>
  <c r="G15" i="60" s="1"/>
  <c r="D14" i="60"/>
  <c r="G14" i="60" s="1"/>
  <c r="D13" i="60"/>
  <c r="G13" i="60" s="1"/>
  <c r="D12" i="60"/>
  <c r="G12" i="60" s="1"/>
  <c r="D11" i="60"/>
  <c r="G11" i="60" s="1"/>
  <c r="V12" i="60"/>
  <c r="V11" i="60"/>
  <c r="D10" i="60"/>
  <c r="G10" i="60" s="1"/>
  <c r="V10" i="60"/>
  <c r="D9" i="60"/>
  <c r="G9" i="60" s="1"/>
  <c r="V9" i="60"/>
  <c r="D8" i="60"/>
  <c r="G8" i="60" s="1"/>
  <c r="V8" i="60"/>
  <c r="D7" i="60"/>
  <c r="V7" i="60"/>
  <c r="G6" i="60"/>
  <c r="V6" i="60"/>
  <c r="V34" i="60" l="1"/>
  <c r="I29" i="60" s="1"/>
  <c r="V14" i="60"/>
  <c r="I17" i="60" s="1"/>
  <c r="V88" i="60"/>
  <c r="I89" i="60" s="1"/>
  <c r="G7" i="60"/>
  <c r="G17" i="60" s="1"/>
  <c r="D17" i="60"/>
  <c r="V69" i="60"/>
  <c r="A81" i="60"/>
  <c r="A82" i="60" s="1"/>
  <c r="A83" i="60" s="1"/>
  <c r="A84" i="60" s="1"/>
  <c r="A85" i="60" s="1"/>
  <c r="A86" i="60" s="1"/>
  <c r="A87" i="60" s="1"/>
  <c r="G89" i="60"/>
  <c r="D89" i="60"/>
  <c r="V38" i="60"/>
  <c r="V75" i="60"/>
  <c r="V99" i="60"/>
  <c r="A93" i="55"/>
  <c r="L50" i="60"/>
  <c r="V22" i="60"/>
  <c r="D29" i="60"/>
  <c r="H26" i="60" s="1"/>
  <c r="N6" i="60"/>
  <c r="P6" i="60" s="1"/>
  <c r="L27" i="60" l="1"/>
  <c r="L26" i="60"/>
  <c r="K9" i="60"/>
  <c r="H11" i="60"/>
  <c r="K13" i="60"/>
  <c r="H7" i="60"/>
  <c r="H10" i="60"/>
  <c r="K11" i="60"/>
  <c r="H14" i="60"/>
  <c r="H8" i="60"/>
  <c r="K10" i="60"/>
  <c r="K12" i="60"/>
  <c r="H15" i="60"/>
  <c r="K8" i="60"/>
  <c r="H13" i="60"/>
  <c r="K15" i="60"/>
  <c r="H9" i="60"/>
  <c r="K14" i="60"/>
  <c r="J7" i="60"/>
  <c r="J12" i="60"/>
  <c r="J9" i="60"/>
  <c r="H12" i="60"/>
  <c r="J15" i="60"/>
  <c r="J11" i="60"/>
  <c r="J14" i="60"/>
  <c r="K7" i="60"/>
  <c r="J8" i="60"/>
  <c r="J13" i="60"/>
  <c r="J10" i="60"/>
  <c r="I12" i="60"/>
  <c r="I8" i="60"/>
  <c r="I14" i="60"/>
  <c r="I7" i="60"/>
  <c r="I11" i="60"/>
  <c r="I9" i="60"/>
  <c r="I15" i="60"/>
  <c r="I10" i="60"/>
  <c r="I13" i="60"/>
  <c r="K26" i="60"/>
  <c r="H27" i="60"/>
  <c r="H82" i="60"/>
  <c r="H86" i="60"/>
  <c r="H83" i="60"/>
  <c r="H87" i="60"/>
  <c r="H80" i="60"/>
  <c r="H84" i="60"/>
  <c r="H81" i="60"/>
  <c r="H85" i="60"/>
  <c r="I82" i="60"/>
  <c r="K83" i="60"/>
  <c r="I84" i="60"/>
  <c r="K85" i="60"/>
  <c r="I86" i="60"/>
  <c r="K87" i="60"/>
  <c r="J82" i="60"/>
  <c r="J84" i="60"/>
  <c r="J86" i="60"/>
  <c r="K82" i="60"/>
  <c r="I83" i="60"/>
  <c r="K84" i="60"/>
  <c r="I85" i="60"/>
  <c r="K86" i="60"/>
  <c r="I87" i="60"/>
  <c r="J83" i="60"/>
  <c r="J85" i="60"/>
  <c r="J87" i="60"/>
  <c r="I47" i="60"/>
  <c r="I46" i="60"/>
  <c r="P44" i="60"/>
  <c r="I45" i="60"/>
  <c r="I48" i="60"/>
  <c r="I68" i="60"/>
  <c r="J26" i="60"/>
  <c r="I26" i="60"/>
  <c r="A94" i="55"/>
  <c r="J81" i="60"/>
  <c r="J80" i="60"/>
  <c r="K81" i="60"/>
  <c r="I81" i="60"/>
  <c r="K80" i="60"/>
  <c r="I80" i="60"/>
  <c r="G29" i="60"/>
  <c r="N48" i="60" l="1"/>
  <c r="P48" i="60" s="1"/>
  <c r="N46" i="60"/>
  <c r="P46" i="60" s="1"/>
  <c r="N45" i="60"/>
  <c r="N47" i="60"/>
  <c r="P47" i="60" s="1"/>
  <c r="N27" i="60"/>
  <c r="P27" i="60" s="1"/>
  <c r="L29" i="60"/>
  <c r="N86" i="60"/>
  <c r="P86" i="60" s="1"/>
  <c r="N82" i="60"/>
  <c r="P82" i="60" s="1"/>
  <c r="N84" i="60"/>
  <c r="P84" i="60" s="1"/>
  <c r="N85" i="60"/>
  <c r="P85" i="60" s="1"/>
  <c r="N83" i="60"/>
  <c r="P83" i="60" s="1"/>
  <c r="N87" i="60"/>
  <c r="P87" i="60" s="1"/>
  <c r="N14" i="60"/>
  <c r="N15" i="60"/>
  <c r="N26" i="60"/>
  <c r="N80" i="60"/>
  <c r="N81" i="60"/>
  <c r="P81" i="60" s="1"/>
  <c r="N50" i="60" l="1"/>
  <c r="P45" i="60"/>
  <c r="P26" i="60"/>
  <c r="N29" i="60"/>
  <c r="P80" i="60"/>
  <c r="N89" i="60"/>
  <c r="A95" i="55"/>
  <c r="A96" i="55" l="1"/>
  <c r="K1753" i="34"/>
  <c r="M1753" i="34" s="1"/>
  <c r="E1753" i="34"/>
  <c r="K1752" i="34"/>
  <c r="M1752" i="34" s="1"/>
  <c r="E1752" i="34"/>
  <c r="V104" i="60"/>
  <c r="V112" i="60" s="1"/>
  <c r="A97" i="55" l="1"/>
  <c r="A98" i="55" l="1"/>
  <c r="E1657" i="34" l="1"/>
  <c r="E1658" i="34"/>
  <c r="E1651" i="34"/>
  <c r="E1650" i="34"/>
  <c r="E1648" i="34"/>
  <c r="E1751" i="34"/>
  <c r="K1751" i="34"/>
  <c r="M1751" i="34" s="1"/>
  <c r="E2899" i="34"/>
  <c r="E2900" i="34"/>
  <c r="E2931" i="34"/>
  <c r="E2932" i="34"/>
  <c r="E3014" i="34"/>
  <c r="O16" i="63"/>
  <c r="N16" i="63"/>
  <c r="M16" i="63"/>
  <c r="L16" i="63"/>
  <c r="E2641" i="34"/>
  <c r="E2640" i="34"/>
  <c r="E2639" i="34"/>
  <c r="E2638" i="34"/>
  <c r="E2637" i="34"/>
  <c r="E2636" i="34"/>
  <c r="E2635" i="34"/>
  <c r="E2634" i="34"/>
  <c r="E2633" i="34"/>
  <c r="E2631" i="34"/>
  <c r="E2630" i="34"/>
  <c r="E2629" i="34"/>
  <c r="E2628" i="34"/>
  <c r="E2627" i="34"/>
  <c r="E2626" i="34"/>
  <c r="E2625" i="34"/>
  <c r="E2624" i="34"/>
  <c r="E2623" i="34"/>
  <c r="E2621" i="34"/>
  <c r="E2620" i="34"/>
  <c r="E2613" i="34"/>
  <c r="E2614" i="34"/>
  <c r="E2615" i="34"/>
  <c r="E2616" i="34"/>
  <c r="E2617" i="34"/>
  <c r="E2618" i="34"/>
  <c r="E2619" i="34"/>
  <c r="A99" i="55" l="1"/>
  <c r="A65" i="45"/>
  <c r="E3043" i="34"/>
  <c r="E3042" i="34"/>
  <c r="E3041" i="34"/>
  <c r="E3038" i="34"/>
  <c r="E3037" i="34"/>
  <c r="E3036" i="34"/>
  <c r="E3035" i="34"/>
  <c r="E3032" i="34"/>
  <c r="E3029" i="34"/>
  <c r="E3028" i="34"/>
  <c r="E3020" i="34"/>
  <c r="E3023" i="34"/>
  <c r="E3024" i="34"/>
  <c r="E3025" i="34"/>
  <c r="E3030" i="34"/>
  <c r="K1750" i="34"/>
  <c r="M1750" i="34" s="1"/>
  <c r="E1750" i="34"/>
  <c r="E1634" i="34"/>
  <c r="A26" i="62"/>
  <c r="M4657" i="34"/>
  <c r="E3031" i="34"/>
  <c r="M4423" i="34"/>
  <c r="A106" i="55" l="1"/>
  <c r="A100" i="55"/>
  <c r="E1779" i="34"/>
  <c r="M1778" i="34"/>
  <c r="E1778" i="34"/>
  <c r="E1660" i="34"/>
  <c r="E1656" i="34"/>
  <c r="E1654" i="34"/>
  <c r="E1646" i="34"/>
  <c r="E1643" i="34"/>
  <c r="E1639" i="34"/>
  <c r="E1637" i="34"/>
  <c r="A101" i="55" l="1"/>
  <c r="M4383" i="34"/>
  <c r="E1758" i="34"/>
  <c r="E1759" i="34"/>
  <c r="E1760" i="34"/>
  <c r="E1653" i="34"/>
  <c r="E1655" i="34"/>
  <c r="E1659" i="34"/>
  <c r="E1652" i="34"/>
  <c r="M1709" i="34"/>
  <c r="E1709" i="34"/>
  <c r="E1448" i="34"/>
  <c r="E1633" i="34"/>
  <c r="E1632" i="34"/>
  <c r="E1631" i="34"/>
  <c r="E1630" i="34"/>
  <c r="E1627" i="34"/>
  <c r="E1628" i="34"/>
  <c r="E1629" i="34"/>
  <c r="E1625" i="34"/>
  <c r="E1626" i="34"/>
  <c r="A102" i="55" l="1"/>
  <c r="E848" i="34" l="1"/>
  <c r="E849" i="34"/>
  <c r="E850" i="34"/>
  <c r="E851" i="34"/>
  <c r="H105" i="60" l="1"/>
  <c r="K107" i="60"/>
  <c r="J108" i="60"/>
  <c r="H107" i="60"/>
  <c r="K108" i="60"/>
  <c r="H108" i="60"/>
  <c r="K105" i="60"/>
  <c r="J107" i="60"/>
  <c r="K106" i="60"/>
  <c r="K109" i="60"/>
  <c r="H106" i="60"/>
  <c r="H109" i="60"/>
  <c r="J106" i="60"/>
  <c r="J109" i="60"/>
  <c r="K128" i="60"/>
  <c r="K126" i="60"/>
  <c r="J124" i="60"/>
  <c r="K123" i="60"/>
  <c r="K121" i="60"/>
  <c r="K119" i="60"/>
  <c r="K117" i="60"/>
  <c r="K116" i="60"/>
  <c r="K113" i="60"/>
  <c r="K111" i="60"/>
  <c r="J113" i="60"/>
  <c r="J128" i="60"/>
  <c r="J126" i="60"/>
  <c r="K125" i="60"/>
  <c r="J123" i="60"/>
  <c r="J121" i="60"/>
  <c r="J119" i="60"/>
  <c r="J117" i="60"/>
  <c r="J116" i="60"/>
  <c r="J111" i="60"/>
  <c r="K129" i="60"/>
  <c r="K127" i="60"/>
  <c r="J125" i="60"/>
  <c r="K122" i="60"/>
  <c r="K120" i="60"/>
  <c r="K118" i="60"/>
  <c r="K115" i="60"/>
  <c r="K114" i="60"/>
  <c r="K112" i="60"/>
  <c r="J112" i="60"/>
  <c r="J129" i="60"/>
  <c r="J127" i="60"/>
  <c r="K124" i="60"/>
  <c r="J122" i="60"/>
  <c r="J120" i="60"/>
  <c r="J118" i="60"/>
  <c r="J115" i="60"/>
  <c r="J114" i="60"/>
  <c r="A104" i="55"/>
  <c r="E531" i="34" l="1"/>
  <c r="E530" i="34"/>
  <c r="E1706" i="34"/>
  <c r="M1705" i="34"/>
  <c r="E1705" i="34"/>
  <c r="E1704" i="34"/>
  <c r="M1703" i="34"/>
  <c r="E1703" i="34"/>
  <c r="M1702" i="34"/>
  <c r="E1702" i="34"/>
  <c r="M1701" i="34"/>
  <c r="E1701" i="34"/>
  <c r="A47" i="45"/>
  <c r="A105" i="55" l="1"/>
  <c r="E3018" i="34"/>
  <c r="A62" i="45"/>
  <c r="E2908" i="34"/>
  <c r="E2980" i="34"/>
  <c r="A54" i="45"/>
  <c r="A60" i="45" l="1"/>
  <c r="A58" i="45"/>
  <c r="A61" i="45"/>
  <c r="A63" i="45"/>
  <c r="A64" i="45"/>
  <c r="E24" i="34" l="1"/>
  <c r="E2642" i="34" l="1"/>
  <c r="E2643" i="34"/>
  <c r="E2644" i="34"/>
  <c r="E2645" i="34"/>
  <c r="E2491" i="34"/>
  <c r="E2490" i="34"/>
  <c r="E2488" i="34"/>
  <c r="E2487" i="34"/>
  <c r="E2485" i="34"/>
  <c r="E2489" i="34"/>
  <c r="E1624" i="34"/>
  <c r="K1624" i="34"/>
  <c r="M1624" i="34" s="1"/>
  <c r="K1623" i="34"/>
  <c r="M1623" i="34" s="1"/>
  <c r="E1623" i="34"/>
  <c r="E3017" i="34"/>
  <c r="E3016" i="34"/>
  <c r="E2995" i="34"/>
  <c r="E2994" i="34"/>
  <c r="E3015" i="34"/>
  <c r="E3013" i="34"/>
  <c r="E3012" i="34"/>
  <c r="E3010" i="34"/>
  <c r="E3011" i="34"/>
  <c r="E3009" i="34"/>
  <c r="E3008" i="34"/>
  <c r="E3007" i="34"/>
  <c r="E3006" i="34"/>
  <c r="E3005" i="34"/>
  <c r="E3004" i="34"/>
  <c r="E3003" i="34"/>
  <c r="E3002" i="34"/>
  <c r="E3001" i="34"/>
  <c r="E3000" i="34"/>
  <c r="E2999" i="34"/>
  <c r="E2998" i="34"/>
  <c r="E2997" i="34"/>
  <c r="E2989" i="34"/>
  <c r="E2988" i="34"/>
  <c r="E2986" i="34"/>
  <c r="E2985" i="34"/>
  <c r="E2982" i="34"/>
  <c r="E2981" i="34"/>
  <c r="E2979" i="34" l="1"/>
  <c r="E2978" i="34"/>
  <c r="E2975" i="34"/>
  <c r="E2974" i="34"/>
  <c r="E2972" i="34"/>
  <c r="E2971" i="34"/>
  <c r="E3019" i="34"/>
  <c r="E2993" i="34" l="1"/>
  <c r="K1622" i="34"/>
  <c r="M1622" i="34" s="1"/>
  <c r="E1622" i="34"/>
  <c r="K1621" i="34"/>
  <c r="M1621" i="34" s="1"/>
  <c r="E1621" i="34"/>
  <c r="E1464" i="34"/>
  <c r="E1462" i="34"/>
  <c r="E1619" i="34"/>
  <c r="K1619" i="34"/>
  <c r="M1619" i="34" s="1"/>
  <c r="E1620" i="34"/>
  <c r="K1620" i="34"/>
  <c r="M1620" i="34" s="1"/>
  <c r="K1618" i="34"/>
  <c r="M1618" i="34" s="1"/>
  <c r="E1618" i="34"/>
  <c r="K1617" i="34"/>
  <c r="M1617" i="34" s="1"/>
  <c r="E1617" i="34"/>
  <c r="K1615" i="34"/>
  <c r="M1615" i="34" s="1"/>
  <c r="E1615" i="34"/>
  <c r="K2018" i="34"/>
  <c r="M2018" i="34" s="1"/>
  <c r="E2018" i="34"/>
  <c r="K2017" i="34"/>
  <c r="M2017" i="34" s="1"/>
  <c r="E2017" i="34"/>
  <c r="E2016" i="34"/>
  <c r="E2992" i="34"/>
  <c r="E2991" i="34"/>
  <c r="E2984" i="34"/>
  <c r="E2977" i="34" l="1"/>
  <c r="E2632" i="34"/>
  <c r="E2622" i="34"/>
  <c r="E2612" i="34"/>
  <c r="E2611" i="34"/>
  <c r="E1649" i="34"/>
  <c r="E1647" i="34"/>
  <c r="E1642" i="34"/>
  <c r="E1636" i="34"/>
  <c r="E1645" i="34"/>
  <c r="E1644" i="34"/>
  <c r="E1641" i="34"/>
  <c r="E1640" i="34"/>
  <c r="E1638" i="34"/>
  <c r="E1635" i="34"/>
  <c r="E1465" i="34"/>
  <c r="E1466" i="34"/>
  <c r="E1467" i="34"/>
  <c r="A5" i="43"/>
  <c r="A15" i="12"/>
  <c r="E1700" i="34"/>
  <c r="M1699" i="34"/>
  <c r="E1699" i="34"/>
  <c r="E1698" i="34"/>
  <c r="M1697" i="34"/>
  <c r="E1697" i="34"/>
  <c r="E1696" i="34"/>
  <c r="M1695" i="34"/>
  <c r="E1695" i="34"/>
  <c r="E1694" i="34"/>
  <c r="M1693" i="34"/>
  <c r="E1693" i="34"/>
  <c r="E1692" i="34"/>
  <c r="M1691" i="34"/>
  <c r="E1691" i="34"/>
  <c r="E1690" i="34"/>
  <c r="M1689" i="34"/>
  <c r="E1689" i="34"/>
  <c r="E1688" i="34"/>
  <c r="M1687" i="34"/>
  <c r="E1687" i="34"/>
  <c r="E1369" i="34"/>
  <c r="M1368" i="34"/>
  <c r="E1368" i="34"/>
  <c r="E1349" i="34"/>
  <c r="M1348" i="34"/>
  <c r="E1348" i="34"/>
  <c r="E1332" i="34"/>
  <c r="M1331" i="34"/>
  <c r="E1331" i="34"/>
  <c r="E1193" i="34"/>
  <c r="M1192" i="34"/>
  <c r="E1192" i="34"/>
  <c r="A25" i="62"/>
  <c r="K1616" i="34"/>
  <c r="M1616" i="34" s="1"/>
  <c r="E1616" i="34"/>
  <c r="E2861" i="34"/>
  <c r="K1461" i="34"/>
  <c r="M1461" i="34" s="1"/>
  <c r="E1461" i="34"/>
  <c r="E2970" i="34"/>
  <c r="E2969" i="34"/>
  <c r="E2610" i="34"/>
  <c r="E1540" i="34"/>
  <c r="M1540" i="34"/>
  <c r="E1541" i="34"/>
  <c r="M1539" i="34"/>
  <c r="E1539" i="34"/>
  <c r="M1538" i="34"/>
  <c r="E1538" i="34"/>
  <c r="M1537" i="34"/>
  <c r="E1537" i="34"/>
  <c r="M1536" i="34"/>
  <c r="E1536" i="34"/>
  <c r="E1526" i="34"/>
  <c r="M1526" i="34"/>
  <c r="E1527" i="34"/>
  <c r="M1527" i="34"/>
  <c r="E1528" i="34"/>
  <c r="M1528" i="34"/>
  <c r="E1529" i="34"/>
  <c r="M1525" i="34"/>
  <c r="E1525" i="34"/>
  <c r="E2967" i="34"/>
  <c r="E2928" i="34"/>
  <c r="E2914" i="34"/>
  <c r="E2873" i="34"/>
  <c r="E2855" i="34"/>
  <c r="E474" i="34"/>
  <c r="E473" i="34"/>
  <c r="E1543" i="34"/>
  <c r="M1542" i="34"/>
  <c r="E1542" i="34"/>
  <c r="E2966" i="34"/>
  <c r="E2905" i="34"/>
  <c r="E2904" i="34"/>
  <c r="E2481" i="34"/>
  <c r="E2482" i="34"/>
  <c r="A24" i="62"/>
  <c r="E1459" i="34"/>
  <c r="K1459" i="34"/>
  <c r="M1459" i="34" s="1"/>
  <c r="E1460" i="34"/>
  <c r="K1460" i="34"/>
  <c r="M1460" i="34" s="1"/>
  <c r="E2849" i="34"/>
  <c r="E2865" i="34"/>
  <c r="E2859" i="34"/>
  <c r="E2484" i="34"/>
  <c r="E2964" i="34"/>
  <c r="E2963" i="34"/>
  <c r="E2951" i="34"/>
  <c r="E2952" i="34"/>
  <c r="E2953" i="34"/>
  <c r="E2954" i="34"/>
  <c r="E2955" i="34"/>
  <c r="E2956" i="34"/>
  <c r="E2957" i="34"/>
  <c r="E2958" i="34"/>
  <c r="E2959" i="34"/>
  <c r="E2960" i="34"/>
  <c r="E2961" i="34"/>
  <c r="E2962" i="34"/>
  <c r="E2950" i="34"/>
  <c r="E2949" i="34"/>
  <c r="E2946" i="34"/>
  <c r="E2943" i="34"/>
  <c r="E2945" i="34"/>
  <c r="E2944" i="34"/>
  <c r="E2940" i="34"/>
  <c r="E2941" i="34"/>
  <c r="E2942" i="34"/>
  <c r="E2947" i="34"/>
  <c r="E2948" i="34"/>
  <c r="E2933" i="34"/>
  <c r="E2934" i="34"/>
  <c r="E2935" i="34"/>
  <c r="E2936" i="34"/>
  <c r="E2937" i="34"/>
  <c r="E2938" i="34"/>
  <c r="E2939" i="34"/>
  <c r="E2930" i="34"/>
  <c r="E1438" i="34"/>
  <c r="E1436" i="34"/>
  <c r="E1441" i="34"/>
  <c r="E1440" i="34"/>
  <c r="E1446" i="34"/>
  <c r="E1445" i="34"/>
  <c r="E1439" i="34"/>
  <c r="E1444" i="34"/>
  <c r="E1447" i="34"/>
  <c r="E1443" i="34"/>
  <c r="E1442" i="34"/>
  <c r="E1437" i="34"/>
  <c r="E2927" i="34"/>
  <c r="E2919" i="34"/>
  <c r="E2918" i="34"/>
  <c r="E2916" i="34"/>
  <c r="E2913" i="34"/>
  <c r="E2965" i="34" l="1"/>
  <c r="E2926" i="34"/>
  <c r="M4284" i="34"/>
  <c r="M4283" i="34"/>
  <c r="M4262" i="34"/>
  <c r="E2917" i="34"/>
  <c r="L4320" i="34"/>
  <c r="A23" i="62"/>
  <c r="E1456" i="34"/>
  <c r="K1456" i="34"/>
  <c r="M1456" i="34" s="1"/>
  <c r="E1457" i="34"/>
  <c r="K1457" i="34"/>
  <c r="M1457" i="34" s="1"/>
  <c r="E1458" i="34"/>
  <c r="K1458" i="34"/>
  <c r="M1458" i="34" s="1"/>
  <c r="E1284" i="34"/>
  <c r="E1283" i="34"/>
  <c r="E1450" i="34" l="1"/>
  <c r="E1451" i="34"/>
  <c r="K1451" i="34"/>
  <c r="M1451" i="34" s="1"/>
  <c r="E1452" i="34"/>
  <c r="K1452" i="34"/>
  <c r="M1452" i="34" s="1"/>
  <c r="E1453" i="34"/>
  <c r="K1453" i="34"/>
  <c r="M1453" i="34" s="1"/>
  <c r="E1454" i="34"/>
  <c r="K1454" i="34"/>
  <c r="M1454" i="34" s="1"/>
  <c r="E1455" i="34"/>
  <c r="K1455" i="34"/>
  <c r="M1455" i="34" s="1"/>
  <c r="E1449" i="34"/>
  <c r="E1463" i="34"/>
  <c r="A44" i="45"/>
  <c r="A48" i="45"/>
  <c r="A57" i="45"/>
  <c r="A59" i="45"/>
  <c r="E2911" i="34" l="1"/>
  <c r="E2907" i="34"/>
  <c r="E2906" i="34"/>
  <c r="E2903" i="34"/>
  <c r="E2902" i="34"/>
  <c r="E2901" i="34"/>
  <c r="E2898" i="34"/>
  <c r="E2875" i="34"/>
  <c r="E2872" i="34"/>
  <c r="E2864" i="34"/>
  <c r="E2863" i="34"/>
  <c r="E2860" i="34"/>
  <c r="A50" i="45"/>
  <c r="A45" i="45" l="1"/>
  <c r="A43" i="45"/>
  <c r="A49" i="45"/>
  <c r="A52" i="45"/>
  <c r="A53" i="45"/>
  <c r="A55" i="45"/>
  <c r="A51" i="45"/>
  <c r="A46" i="45"/>
  <c r="E2909" i="34"/>
  <c r="E2910" i="34"/>
  <c r="E2850" i="34"/>
  <c r="E2854" i="34"/>
  <c r="E2857" i="34"/>
  <c r="E2858" i="34"/>
  <c r="E2866" i="34"/>
  <c r="E2867" i="34"/>
  <c r="E2871" i="34"/>
  <c r="E2878" i="34"/>
  <c r="E2879" i="34"/>
  <c r="E2880" i="34"/>
  <c r="E2881" i="34"/>
  <c r="E2874" i="34"/>
  <c r="E2853" i="34"/>
  <c r="E2852" i="34"/>
  <c r="A11" i="62"/>
  <c r="A13" i="62"/>
  <c r="A14" i="62"/>
  <c r="A15" i="62"/>
  <c r="A5" i="62"/>
  <c r="A16" i="62"/>
  <c r="A17" i="62"/>
  <c r="A6" i="62"/>
  <c r="A8" i="62"/>
  <c r="A7" i="62"/>
  <c r="A18" i="62"/>
  <c r="A9" i="62"/>
  <c r="A19" i="62"/>
  <c r="A20" i="62"/>
  <c r="A21" i="62"/>
  <c r="A22" i="62"/>
  <c r="E1434" i="34"/>
  <c r="K1434" i="34"/>
  <c r="M1434" i="34" s="1"/>
  <c r="E1435" i="34"/>
  <c r="K1435" i="34"/>
  <c r="M1435" i="34" s="1"/>
  <c r="K1433" i="34"/>
  <c r="M1433" i="34" s="1"/>
  <c r="E1433" i="34"/>
  <c r="K1432" i="34" l="1"/>
  <c r="M1432" i="34" s="1"/>
  <c r="E1432" i="34"/>
  <c r="K1431" i="34"/>
  <c r="M1431" i="34" s="1"/>
  <c r="E1431" i="34"/>
  <c r="K1430" i="34"/>
  <c r="M1430" i="34" s="1"/>
  <c r="E1430" i="34"/>
  <c r="E2608" i="34"/>
  <c r="E2609" i="34"/>
  <c r="E417" i="34" l="1"/>
  <c r="E416" i="34"/>
  <c r="E1535" i="34"/>
  <c r="M1534" i="34"/>
  <c r="E1534" i="34"/>
  <c r="E1533" i="34"/>
  <c r="M1532" i="34"/>
  <c r="E1532" i="34"/>
  <c r="E1531" i="34"/>
  <c r="M1530" i="34"/>
  <c r="E1530" i="34"/>
  <c r="E1524" i="34"/>
  <c r="M1523" i="34"/>
  <c r="E1523" i="34"/>
  <c r="E1367" i="34"/>
  <c r="M1366" i="34"/>
  <c r="E1366" i="34"/>
  <c r="E1365" i="34"/>
  <c r="M1364" i="34"/>
  <c r="E1364" i="34"/>
  <c r="E1363" i="34"/>
  <c r="M1362" i="34"/>
  <c r="E1362" i="34"/>
  <c r="E1359" i="34"/>
  <c r="M1358" i="34"/>
  <c r="E1358" i="34"/>
  <c r="E1357" i="34"/>
  <c r="M1356" i="34"/>
  <c r="E1356" i="34"/>
  <c r="E1355" i="34"/>
  <c r="M1354" i="34"/>
  <c r="E1354" i="34"/>
  <c r="E1351" i="34"/>
  <c r="M1350" i="34"/>
  <c r="E1350" i="34"/>
  <c r="E1347" i="34"/>
  <c r="M1346" i="34"/>
  <c r="E1346" i="34"/>
  <c r="E1345" i="34"/>
  <c r="M1344" i="34"/>
  <c r="E1344" i="34"/>
  <c r="E1343" i="34"/>
  <c r="M1342" i="34"/>
  <c r="E1342" i="34"/>
  <c r="E1341" i="34"/>
  <c r="M1340" i="34"/>
  <c r="E1340" i="34"/>
  <c r="E1339" i="34"/>
  <c r="M1338" i="34"/>
  <c r="E1338" i="34"/>
  <c r="E1334" i="34"/>
  <c r="M1333" i="34"/>
  <c r="E1333" i="34"/>
  <c r="E1361" i="34"/>
  <c r="E1360" i="34"/>
  <c r="E1336" i="34"/>
  <c r="M1336" i="34"/>
  <c r="E1429" i="34"/>
  <c r="K1429" i="34"/>
  <c r="M1429" i="34" s="1"/>
  <c r="K1282" i="34"/>
  <c r="M1282" i="34" s="1"/>
  <c r="E1282" i="34"/>
  <c r="K1281" i="34"/>
  <c r="M1281" i="34" s="1"/>
  <c r="E1281" i="34"/>
  <c r="A32" i="12"/>
  <c r="E1353" i="34"/>
  <c r="M1352" i="34"/>
  <c r="E1352" i="34"/>
  <c r="E1280" i="34"/>
  <c r="E1279" i="34"/>
  <c r="E1337" i="34"/>
  <c r="M1335" i="34"/>
  <c r="E1335" i="34"/>
  <c r="K2003" i="34"/>
  <c r="M2003" i="34" s="1"/>
  <c r="E2003" i="34"/>
  <c r="E1163" i="34"/>
  <c r="E1158" i="34"/>
  <c r="K1278" i="34" l="1"/>
  <c r="M1278" i="34" s="1"/>
  <c r="E1278" i="34"/>
  <c r="K1277" i="34"/>
  <c r="M1277" i="34" s="1"/>
  <c r="E1277" i="34"/>
  <c r="K1276" i="34"/>
  <c r="M1276" i="34" s="1"/>
  <c r="E1276" i="34"/>
  <c r="K1275" i="34"/>
  <c r="M1275" i="34" s="1"/>
  <c r="E1275" i="34"/>
  <c r="K1267" i="34"/>
  <c r="M1267" i="34" s="1"/>
  <c r="E1267" i="34"/>
  <c r="M1329" i="34" l="1"/>
  <c r="E1329" i="34"/>
  <c r="E1330" i="34"/>
  <c r="K1269" i="34"/>
  <c r="M1269" i="34" s="1"/>
  <c r="K1270" i="34"/>
  <c r="M1270" i="34" s="1"/>
  <c r="K1271" i="34"/>
  <c r="M1271" i="34" s="1"/>
  <c r="K1272" i="34"/>
  <c r="M1272" i="34" s="1"/>
  <c r="K1273" i="34"/>
  <c r="M1273" i="34" s="1"/>
  <c r="K1274" i="34"/>
  <c r="M1274" i="34" s="1"/>
  <c r="K1268" i="34"/>
  <c r="M1268" i="34" s="1"/>
  <c r="E1268" i="34"/>
  <c r="E1269" i="34"/>
  <c r="E1270" i="34"/>
  <c r="E1271" i="34"/>
  <c r="E1272" i="34"/>
  <c r="E1273" i="34"/>
  <c r="E1274" i="34"/>
  <c r="E415" i="34"/>
  <c r="E414" i="34"/>
  <c r="E1084" i="34"/>
  <c r="M1083" i="34"/>
  <c r="E1083" i="34"/>
  <c r="E1082" i="34"/>
  <c r="M1081" i="34"/>
  <c r="E1081" i="34"/>
  <c r="E1074" i="34"/>
  <c r="M1073" i="34"/>
  <c r="E1073" i="34"/>
  <c r="E1072" i="34"/>
  <c r="M1071" i="34"/>
  <c r="E1071" i="34"/>
  <c r="E1328" i="34"/>
  <c r="M1327" i="34"/>
  <c r="E1327" i="34"/>
  <c r="E1324" i="34"/>
  <c r="M1323" i="34"/>
  <c r="E1323" i="34"/>
  <c r="E1318" i="34"/>
  <c r="M1317" i="34"/>
  <c r="E1317" i="34"/>
  <c r="E1326" i="34"/>
  <c r="M1325" i="34"/>
  <c r="E1325" i="34"/>
  <c r="E1322" i="34"/>
  <c r="M1321" i="34"/>
  <c r="E1321" i="34"/>
  <c r="E1320" i="34"/>
  <c r="M1319" i="34"/>
  <c r="E1319" i="34"/>
  <c r="E893" i="34"/>
  <c r="E894" i="34"/>
  <c r="E895" i="34"/>
  <c r="E896" i="34"/>
  <c r="E899" i="34"/>
  <c r="E900" i="34"/>
  <c r="E905" i="34"/>
  <c r="E906" i="34"/>
  <c r="E909" i="34"/>
  <c r="E910" i="34"/>
  <c r="E886" i="34"/>
  <c r="E887" i="34"/>
  <c r="E888" i="34"/>
  <c r="E889" i="34"/>
  <c r="E890" i="34"/>
  <c r="E891" i="34"/>
  <c r="E897" i="34"/>
  <c r="E898" i="34"/>
  <c r="E901" i="34"/>
  <c r="E902" i="34"/>
  <c r="E903" i="34"/>
  <c r="E904" i="34"/>
  <c r="E907" i="34"/>
  <c r="E908" i="34"/>
  <c r="E982" i="34"/>
  <c r="E983" i="34"/>
  <c r="E984" i="34"/>
  <c r="E974" i="34"/>
  <c r="E975" i="34"/>
  <c r="E976" i="34"/>
  <c r="E977" i="34"/>
  <c r="E978" i="34"/>
  <c r="E979" i="34"/>
  <c r="E980" i="34"/>
  <c r="E981" i="34"/>
  <c r="E1066" i="34"/>
  <c r="E1087" i="34"/>
  <c r="E1088" i="34"/>
  <c r="E1089" i="34"/>
  <c r="E1052" i="34"/>
  <c r="E1053" i="34"/>
  <c r="E1054" i="34"/>
  <c r="E1055" i="34"/>
  <c r="E1056" i="34"/>
  <c r="E1057" i="34"/>
  <c r="E1064" i="34"/>
  <c r="E1065" i="34"/>
  <c r="E1067" i="34"/>
  <c r="E1068" i="34"/>
  <c r="E1069" i="34"/>
  <c r="E1070" i="34"/>
  <c r="E1075" i="34"/>
  <c r="E1076" i="34"/>
  <c r="E1077" i="34"/>
  <c r="E1078" i="34"/>
  <c r="E1079" i="34"/>
  <c r="E1080" i="34"/>
  <c r="E1085" i="34"/>
  <c r="E1086" i="34"/>
  <c r="E1090" i="34"/>
  <c r="E1091" i="34"/>
  <c r="E1092" i="34"/>
  <c r="E1093" i="34"/>
  <c r="E1186" i="34"/>
  <c r="E1187" i="34"/>
  <c r="E1188" i="34"/>
  <c r="E1189" i="34"/>
  <c r="E1190" i="34"/>
  <c r="E1191" i="34"/>
  <c r="E1196" i="34"/>
  <c r="E1197" i="34"/>
  <c r="E1198" i="34"/>
  <c r="E1199" i="34"/>
  <c r="E1204" i="34"/>
  <c r="E1205" i="34"/>
  <c r="E1206" i="34"/>
  <c r="E1207" i="34"/>
  <c r="E1208" i="34"/>
  <c r="E1209" i="34"/>
  <c r="E1210" i="34"/>
  <c r="E1211" i="34"/>
  <c r="E1212" i="34"/>
  <c r="E1213" i="34"/>
  <c r="E1214" i="34"/>
  <c r="E1215" i="34"/>
  <c r="E1200" i="34"/>
  <c r="E1201" i="34"/>
  <c r="E1311" i="34"/>
  <c r="E1312" i="34"/>
  <c r="E1313" i="34"/>
  <c r="E1314" i="34"/>
  <c r="E1315" i="34"/>
  <c r="E1316" i="34"/>
  <c r="E892" i="34"/>
  <c r="E1159" i="34"/>
  <c r="E1160" i="34"/>
  <c r="E1161" i="34"/>
  <c r="E1162" i="34"/>
  <c r="E1165" i="34"/>
  <c r="M1188" i="34" l="1"/>
  <c r="M1315" i="34"/>
  <c r="M1311" i="34"/>
  <c r="M1200" i="34"/>
  <c r="M1214" i="34"/>
  <c r="M1212" i="34"/>
  <c r="M1198" i="34"/>
  <c r="M1190" i="34"/>
  <c r="M1092" i="34"/>
  <c r="M1313" i="34"/>
  <c r="E2598" i="34" l="1"/>
  <c r="E2601" i="34"/>
  <c r="E2604" i="34"/>
  <c r="E2607" i="34"/>
  <c r="E2606" i="34"/>
  <c r="E2603" i="34"/>
  <c r="E2600" i="34"/>
  <c r="E2597" i="34"/>
  <c r="E2599" i="34"/>
  <c r="E2602" i="34"/>
  <c r="E2605" i="34"/>
  <c r="E2596" i="34"/>
  <c r="E2815" i="34"/>
  <c r="E2847" i="34"/>
  <c r="E2848" i="34"/>
  <c r="E2846" i="34" l="1"/>
  <c r="E2845" i="34"/>
  <c r="E2844" i="34"/>
  <c r="E2843" i="34"/>
  <c r="E2842" i="34"/>
  <c r="E2831" i="34"/>
  <c r="E2832" i="34"/>
  <c r="E2833" i="34"/>
  <c r="E2834" i="34"/>
  <c r="E2835" i="34"/>
  <c r="E2836" i="34"/>
  <c r="E2837" i="34"/>
  <c r="E2838" i="34"/>
  <c r="E2839" i="34"/>
  <c r="E2840" i="34"/>
  <c r="E2841" i="34"/>
  <c r="M3807" i="34"/>
  <c r="E2830" i="34"/>
  <c r="E2829" i="34"/>
  <c r="E2828" i="34"/>
  <c r="E2827" i="34"/>
  <c r="E2595" i="34"/>
  <c r="E2594" i="34"/>
  <c r="E2825" i="34"/>
  <c r="E2819" i="34"/>
  <c r="E2818" i="34"/>
  <c r="E2817" i="34"/>
  <c r="E2816" i="34"/>
  <c r="E2592" i="34"/>
  <c r="E2593" i="34"/>
  <c r="E2811" i="34"/>
  <c r="E2807" i="34"/>
  <c r="E2824" i="34" l="1"/>
  <c r="E2823" i="34"/>
  <c r="E2812" i="34"/>
  <c r="M3874" i="34"/>
  <c r="E2805" i="34"/>
  <c r="E2806" i="34"/>
  <c r="E2809" i="34"/>
  <c r="E2810" i="34"/>
  <c r="E2813" i="34"/>
  <c r="E2814" i="34"/>
  <c r="M3906" i="34"/>
  <c r="M3905" i="34"/>
  <c r="M892" i="34"/>
  <c r="B47" i="55"/>
  <c r="A47" i="55" s="1"/>
  <c r="B43" i="55"/>
  <c r="A43" i="55" s="1"/>
  <c r="B46" i="55"/>
  <c r="A46" i="55" s="1"/>
  <c r="M1205" i="34"/>
  <c r="M1206" i="34"/>
  <c r="M1207" i="34"/>
  <c r="M1208" i="34"/>
  <c r="M1209" i="34"/>
  <c r="M1210" i="34"/>
  <c r="M1204" i="34"/>
  <c r="E380" i="34"/>
  <c r="E1157" i="34" l="1"/>
  <c r="E1156" i="34"/>
  <c r="E1149" i="34"/>
  <c r="E1147" i="34"/>
  <c r="E1146" i="34"/>
  <c r="E1148" i="34"/>
  <c r="E1145" i="34"/>
  <c r="E1144" i="34"/>
  <c r="E1150" i="34"/>
  <c r="K1150" i="34"/>
  <c r="M1150" i="34" s="1"/>
  <c r="E1151" i="34"/>
  <c r="K1151" i="34"/>
  <c r="M1151" i="34" s="1"/>
  <c r="E1152" i="34"/>
  <c r="K1152" i="34"/>
  <c r="M1152" i="34" s="1"/>
  <c r="E1153" i="34"/>
  <c r="K1153" i="34"/>
  <c r="M1153" i="34" s="1"/>
  <c r="E1154" i="34"/>
  <c r="K1154" i="34"/>
  <c r="M1154" i="34" s="1"/>
  <c r="E1155" i="34"/>
  <c r="K1155" i="34"/>
  <c r="M1155" i="34" s="1"/>
  <c r="M1196" i="34" l="1"/>
  <c r="E1023" i="34" l="1"/>
  <c r="E1020" i="34"/>
  <c r="E1021" i="34"/>
  <c r="E1022" i="34"/>
  <c r="E1024" i="34"/>
  <c r="E1019" i="34"/>
  <c r="M1088" i="34" l="1"/>
  <c r="M1087" i="34"/>
  <c r="E1028" i="34"/>
  <c r="E1029" i="34"/>
  <c r="E967" i="34"/>
  <c r="E966" i="34"/>
  <c r="M361" i="34"/>
  <c r="M359" i="34"/>
  <c r="M357" i="34"/>
  <c r="M1186" i="34"/>
  <c r="M1090" i="34"/>
  <c r="M1085" i="34"/>
  <c r="M1079" i="34"/>
  <c r="M1077" i="34"/>
  <c r="M1075" i="34"/>
  <c r="M1069" i="34"/>
  <c r="M1067" i="34"/>
  <c r="M1064" i="34"/>
  <c r="M1056" i="34"/>
  <c r="M1054" i="34"/>
  <c r="M1052" i="34"/>
  <c r="M980" i="34"/>
  <c r="M978" i="34"/>
  <c r="M976" i="34"/>
  <c r="M974" i="34"/>
  <c r="M907" i="34"/>
  <c r="M903" i="34"/>
  <c r="M901" i="34"/>
  <c r="M897" i="34"/>
  <c r="M890" i="34"/>
  <c r="M888" i="34"/>
  <c r="E1143" i="34"/>
  <c r="K1143" i="34"/>
  <c r="M1143" i="34" s="1"/>
  <c r="K1014" i="34"/>
  <c r="M1014" i="34" s="1"/>
  <c r="K1015" i="34"/>
  <c r="M1015" i="34" s="1"/>
  <c r="K1013" i="34"/>
  <c r="M1013" i="34" s="1"/>
  <c r="E1014" i="34"/>
  <c r="E1015" i="34"/>
  <c r="E1013" i="34"/>
  <c r="K1018" i="34"/>
  <c r="M1018" i="34" s="1"/>
  <c r="E1018" i="34"/>
  <c r="E276" i="34" l="1"/>
  <c r="E277" i="34"/>
  <c r="K1017" i="34" l="1"/>
  <c r="M1017" i="34" s="1"/>
  <c r="E1017" i="34"/>
  <c r="E1026" i="34"/>
  <c r="E1027" i="34"/>
  <c r="E1025" i="34"/>
  <c r="E1012" i="34"/>
  <c r="E1011" i="34"/>
  <c r="K1016" i="34"/>
  <c r="M1016" i="34" s="1"/>
  <c r="E1016" i="34"/>
  <c r="M1066" i="34"/>
  <c r="E965" i="34" l="1"/>
  <c r="E964" i="34"/>
  <c r="E963" i="34"/>
  <c r="E962" i="34"/>
  <c r="M983" i="34"/>
  <c r="M982" i="34"/>
  <c r="K1010" i="34"/>
  <c r="M1010" i="34" s="1"/>
  <c r="E1010" i="34"/>
  <c r="M3602" i="34" l="1"/>
  <c r="M3457" i="34"/>
  <c r="M3558" i="34"/>
  <c r="M3531" i="34"/>
  <c r="M3521" i="34"/>
  <c r="M3520" i="34"/>
  <c r="M3503" i="34"/>
  <c r="M3492" i="34"/>
  <c r="M3453" i="34"/>
  <c r="V240" i="60"/>
  <c r="V241" i="60"/>
  <c r="V242" i="60"/>
  <c r="V228" i="60"/>
  <c r="L220" i="60" s="1"/>
  <c r="V229" i="60"/>
  <c r="L221" i="60" s="1"/>
  <c r="V230" i="60"/>
  <c r="L222" i="60" s="1"/>
  <c r="V231" i="60"/>
  <c r="L223" i="60" s="1"/>
  <c r="V219" i="60"/>
  <c r="V220" i="60"/>
  <c r="V221" i="60"/>
  <c r="V222" i="60"/>
  <c r="V223" i="60"/>
  <c r="V224" i="60"/>
  <c r="E2004" i="34" l="1"/>
  <c r="K2004" i="34"/>
  <c r="M2004" i="34" s="1"/>
  <c r="E2002" i="34"/>
  <c r="D34" i="62" l="1"/>
  <c r="P17" i="64" l="1"/>
  <c r="L17" i="64"/>
  <c r="E861" i="34" l="1"/>
  <c r="M3499" i="34" l="1"/>
  <c r="M3498" i="34"/>
  <c r="E856" i="34" l="1"/>
  <c r="E857" i="34"/>
  <c r="E858" i="34"/>
  <c r="E859" i="34"/>
  <c r="E855" i="34"/>
  <c r="E860" i="34"/>
  <c r="M909" i="34" l="1"/>
  <c r="E853" i="34"/>
  <c r="K853" i="34"/>
  <c r="M853" i="34" s="1"/>
  <c r="E854" i="34"/>
  <c r="K854" i="34"/>
  <c r="M854" i="34" s="1"/>
  <c r="M905" i="34" l="1"/>
  <c r="M899" i="34"/>
  <c r="E852" i="34"/>
  <c r="K852" i="34"/>
  <c r="M852" i="34" s="1"/>
  <c r="K850" i="34"/>
  <c r="M850" i="34" s="1"/>
  <c r="K851" i="34"/>
  <c r="M851" i="34" s="1"/>
  <c r="M893" i="34"/>
  <c r="M894" i="34"/>
  <c r="M895" i="34"/>
  <c r="K849" i="34"/>
  <c r="M849" i="34" s="1"/>
  <c r="K848" i="34"/>
  <c r="I94" i="45" l="1" a="1"/>
  <c r="I94" i="45" s="1"/>
  <c r="K93" i="45" a="1"/>
  <c r="K93" i="45" s="1"/>
  <c r="K94" i="45" a="1"/>
  <c r="K94" i="45" s="1"/>
  <c r="I93" i="45" a="1"/>
  <c r="I93" i="45" s="1"/>
  <c r="I20" i="45" a="1"/>
  <c r="I20" i="45" s="1"/>
  <c r="K20" i="45" a="1"/>
  <c r="K20" i="45" s="1"/>
  <c r="I22" i="45" a="1"/>
  <c r="I22" i="45" s="1"/>
  <c r="K22" i="45" a="1"/>
  <c r="K22" i="45" s="1"/>
  <c r="I21" i="45" a="1"/>
  <c r="I21" i="45" s="1"/>
  <c r="K21" i="45" a="1"/>
  <c r="K21" i="45" s="1"/>
  <c r="K91" i="45" a="1"/>
  <c r="K91" i="45" s="1"/>
  <c r="I92" i="45" a="1"/>
  <c r="I92" i="45" s="1"/>
  <c r="I91" i="45" a="1"/>
  <c r="I91" i="45" s="1"/>
  <c r="K92" i="45" a="1"/>
  <c r="K92" i="45" s="1"/>
  <c r="K89" i="45" a="1"/>
  <c r="K89" i="45" s="1"/>
  <c r="I90" i="45" a="1"/>
  <c r="I90" i="45" s="1"/>
  <c r="I89" i="45" a="1"/>
  <c r="I89" i="45" s="1"/>
  <c r="K90" i="45" a="1"/>
  <c r="K90" i="45" s="1"/>
  <c r="I16" i="45" a="1"/>
  <c r="I16" i="45" s="1"/>
  <c r="K17" i="45" a="1"/>
  <c r="K17" i="45" s="1"/>
  <c r="I18" i="45" a="1"/>
  <c r="I18" i="45" s="1"/>
  <c r="K19" i="45" a="1"/>
  <c r="K19" i="45" s="1"/>
  <c r="K16" i="45" a="1"/>
  <c r="K16" i="45" s="1"/>
  <c r="I17" i="45" a="1"/>
  <c r="I17" i="45" s="1"/>
  <c r="K18" i="45" a="1"/>
  <c r="K18" i="45" s="1"/>
  <c r="I19" i="45" a="1"/>
  <c r="I19" i="45" s="1"/>
  <c r="I86" i="45" a="1"/>
  <c r="I86" i="45" s="1"/>
  <c r="I87" i="45" a="1"/>
  <c r="I87" i="45" s="1"/>
  <c r="I88" i="45" a="1"/>
  <c r="I88" i="45" s="1"/>
  <c r="K86" i="45" a="1"/>
  <c r="K86" i="45" s="1"/>
  <c r="K87" i="45" a="1"/>
  <c r="K87" i="45" s="1"/>
  <c r="K88" i="45" a="1"/>
  <c r="K88" i="45" s="1"/>
  <c r="K85" i="45" a="1"/>
  <c r="K85" i="45" s="1"/>
  <c r="I85" i="45" a="1"/>
  <c r="I85" i="45" s="1"/>
  <c r="I84" i="45" a="1"/>
  <c r="I84" i="45" s="1"/>
  <c r="K84" i="45" a="1"/>
  <c r="K84" i="45" s="1"/>
  <c r="I78" i="45" a="1"/>
  <c r="I78" i="45" s="1"/>
  <c r="I79" i="45" a="1"/>
  <c r="I79" i="45" s="1"/>
  <c r="I81" i="45" a="1"/>
  <c r="I81" i="45" s="1"/>
  <c r="I83" i="45" a="1"/>
  <c r="I83" i="45" s="1"/>
  <c r="K78" i="45" a="1"/>
  <c r="K78" i="45" s="1"/>
  <c r="O78" i="45" s="1"/>
  <c r="K79" i="45" a="1"/>
  <c r="K79" i="45" s="1"/>
  <c r="O79" i="45" s="1"/>
  <c r="K81" i="45" a="1"/>
  <c r="K81" i="45" s="1"/>
  <c r="I80" i="45" a="1"/>
  <c r="I80" i="45" s="1"/>
  <c r="I82" i="45" a="1"/>
  <c r="I82" i="45" s="1"/>
  <c r="K80" i="45" a="1"/>
  <c r="K80" i="45" s="1"/>
  <c r="K82" i="45" a="1"/>
  <c r="K82" i="45" s="1"/>
  <c r="K83" i="45" a="1"/>
  <c r="K83" i="45" s="1"/>
  <c r="O83" i="45" s="1"/>
  <c r="I11" i="45" a="1"/>
  <c r="I11" i="45" s="1"/>
  <c r="K75" i="45" a="1"/>
  <c r="K75" i="45" s="1"/>
  <c r="K76" i="45" a="1"/>
  <c r="K76" i="45" s="1"/>
  <c r="I12" i="45" a="1"/>
  <c r="I12" i="45" s="1"/>
  <c r="K12" i="45" a="1"/>
  <c r="K12" i="45" s="1"/>
  <c r="I15" i="45" a="1"/>
  <c r="I15" i="45" s="1"/>
  <c r="I13" i="45" a="1"/>
  <c r="I13" i="45" s="1"/>
  <c r="I14" i="45" a="1"/>
  <c r="I14" i="45" s="1"/>
  <c r="I77" i="45" a="1"/>
  <c r="I77" i="45" s="1"/>
  <c r="K11" i="45" a="1"/>
  <c r="K11" i="45" s="1"/>
  <c r="I75" i="45" a="1"/>
  <c r="I75" i="45" s="1"/>
  <c r="I76" i="45" a="1"/>
  <c r="I76" i="45" s="1"/>
  <c r="K15" i="45" a="1"/>
  <c r="K15" i="45" s="1"/>
  <c r="K13" i="45" a="1"/>
  <c r="K13" i="45" s="1"/>
  <c r="K14" i="45" a="1"/>
  <c r="K14" i="45" s="1"/>
  <c r="K77" i="45" a="1"/>
  <c r="K77" i="45" s="1"/>
  <c r="G29" i="62" a="1"/>
  <c r="G29" i="62" s="1"/>
  <c r="I28" i="62" a="1"/>
  <c r="I28" i="62" s="1"/>
  <c r="I29" i="62" a="1"/>
  <c r="I29" i="62" s="1"/>
  <c r="G28" i="62" a="1"/>
  <c r="G28" i="62" s="1"/>
  <c r="I74" i="45" a="1"/>
  <c r="I74" i="45" s="1"/>
  <c r="K74" i="45" a="1"/>
  <c r="K74" i="45" s="1"/>
  <c r="I72" i="45" a="1"/>
  <c r="I72" i="45" s="1"/>
  <c r="K72" i="45" a="1"/>
  <c r="K72" i="45" s="1"/>
  <c r="I73" i="45" a="1"/>
  <c r="I73" i="45" s="1"/>
  <c r="K73" i="45" a="1"/>
  <c r="K73" i="45" s="1"/>
  <c r="I70" i="45" a="1"/>
  <c r="I70" i="45" s="1"/>
  <c r="K70" i="45" a="1"/>
  <c r="K70" i="45" s="1"/>
  <c r="I71" i="45" a="1"/>
  <c r="I71" i="45" s="1"/>
  <c r="K71" i="45" a="1"/>
  <c r="K71" i="45" s="1"/>
  <c r="K69" i="45" a="1"/>
  <c r="K69" i="45" s="1"/>
  <c r="I69" i="45" a="1"/>
  <c r="I69" i="45" s="1"/>
  <c r="I24" i="45" a="1"/>
  <c r="I24" i="45" s="1"/>
  <c r="K24" i="45" a="1"/>
  <c r="K24" i="45" s="1"/>
  <c r="I25" i="45" a="1"/>
  <c r="I25" i="45" s="1"/>
  <c r="K25" i="45" a="1"/>
  <c r="K25" i="45" s="1"/>
  <c r="I26" i="45" a="1"/>
  <c r="I26" i="45" s="1"/>
  <c r="K26" i="45" a="1"/>
  <c r="K26" i="45" s="1"/>
  <c r="I27" i="45" a="1"/>
  <c r="I27" i="45" s="1"/>
  <c r="K27" i="45" a="1"/>
  <c r="K27" i="45" s="1"/>
  <c r="I28" i="45" a="1"/>
  <c r="I28" i="45" s="1"/>
  <c r="K28" i="45" a="1"/>
  <c r="K28" i="45" s="1"/>
  <c r="I29" i="45" a="1"/>
  <c r="I29" i="45" s="1"/>
  <c r="K29" i="45" a="1"/>
  <c r="K29" i="45" s="1"/>
  <c r="I30" i="45" a="1"/>
  <c r="I30" i="45" s="1"/>
  <c r="K30" i="45" a="1"/>
  <c r="K30" i="45" s="1"/>
  <c r="I31" i="45" a="1"/>
  <c r="I31" i="45" s="1"/>
  <c r="K31" i="45" a="1"/>
  <c r="K31" i="45" s="1"/>
  <c r="I32" i="45" a="1"/>
  <c r="I32" i="45" s="1"/>
  <c r="K32" i="45" a="1"/>
  <c r="K32" i="45" s="1"/>
  <c r="I33" i="45" a="1"/>
  <c r="I33" i="45" s="1"/>
  <c r="K33" i="45" a="1"/>
  <c r="K33" i="45" s="1"/>
  <c r="I5" i="45" a="1"/>
  <c r="I5" i="45" s="1"/>
  <c r="K5" i="45" a="1"/>
  <c r="K5" i="45" s="1"/>
  <c r="I6" i="45" a="1"/>
  <c r="I6" i="45" s="1"/>
  <c r="K6" i="45" a="1"/>
  <c r="K6" i="45" s="1"/>
  <c r="I7" i="45" a="1"/>
  <c r="I7" i="45" s="1"/>
  <c r="K7" i="45" a="1"/>
  <c r="K7" i="45" s="1"/>
  <c r="I8" i="45" a="1"/>
  <c r="I8" i="45" s="1"/>
  <c r="K8" i="45" a="1"/>
  <c r="K8" i="45" s="1"/>
  <c r="I9" i="45" a="1"/>
  <c r="I9" i="45" s="1"/>
  <c r="K9" i="45" a="1"/>
  <c r="K9" i="45" s="1"/>
  <c r="I10" i="45" a="1"/>
  <c r="I10" i="45" s="1"/>
  <c r="K10" i="45" a="1"/>
  <c r="K10" i="45" s="1"/>
  <c r="I34" i="45" a="1"/>
  <c r="I34" i="45" s="1"/>
  <c r="K34" i="45" a="1"/>
  <c r="K34" i="45" s="1"/>
  <c r="I35" i="45" a="1"/>
  <c r="I35" i="45" s="1"/>
  <c r="K35" i="45" a="1"/>
  <c r="K35" i="45" s="1"/>
  <c r="I36" i="45" a="1"/>
  <c r="I36" i="45" s="1"/>
  <c r="K36" i="45" a="1"/>
  <c r="K36" i="45" s="1"/>
  <c r="I37" i="45" a="1"/>
  <c r="I37" i="45" s="1"/>
  <c r="K37" i="45" a="1"/>
  <c r="K37" i="45" s="1"/>
  <c r="I38" i="45" a="1"/>
  <c r="I38" i="45" s="1"/>
  <c r="K38" i="45" a="1"/>
  <c r="K38" i="45" s="1"/>
  <c r="I39" i="45" a="1"/>
  <c r="I39" i="45" s="1"/>
  <c r="K39" i="45" a="1"/>
  <c r="K39" i="45" s="1"/>
  <c r="I40" i="45" a="1"/>
  <c r="I40" i="45" s="1"/>
  <c r="K40" i="45" a="1"/>
  <c r="K40" i="45" s="1"/>
  <c r="I41" i="45" a="1"/>
  <c r="I41" i="45" s="1"/>
  <c r="K41" i="45" a="1"/>
  <c r="K41" i="45" s="1"/>
  <c r="I42" i="45" a="1"/>
  <c r="I42" i="45" s="1"/>
  <c r="K42" i="45" a="1"/>
  <c r="K42" i="45" s="1"/>
  <c r="I45" i="45" a="1"/>
  <c r="I45" i="45" s="1"/>
  <c r="K45" i="45" a="1"/>
  <c r="K45" i="45" s="1"/>
  <c r="I50" i="45" a="1"/>
  <c r="I50" i="45" s="1"/>
  <c r="K50" i="45" a="1"/>
  <c r="K50" i="45" s="1"/>
  <c r="I43" i="45" a="1"/>
  <c r="I43" i="45" s="1"/>
  <c r="K43" i="45" a="1"/>
  <c r="K43" i="45" s="1"/>
  <c r="I49" i="45" a="1"/>
  <c r="I49" i="45" s="1"/>
  <c r="K49" i="45" a="1"/>
  <c r="K49" i="45" s="1"/>
  <c r="I52" i="45" a="1"/>
  <c r="I52" i="45" s="1"/>
  <c r="K52" i="45" a="1"/>
  <c r="K52" i="45" s="1"/>
  <c r="I53" i="45" a="1"/>
  <c r="I53" i="45" s="1"/>
  <c r="K53" i="45" a="1"/>
  <c r="K53" i="45" s="1"/>
  <c r="I55" i="45" a="1"/>
  <c r="I55" i="45" s="1"/>
  <c r="K55" i="45" a="1"/>
  <c r="K55" i="45" s="1"/>
  <c r="I51" i="45" a="1"/>
  <c r="I51" i="45" s="1"/>
  <c r="K51" i="45" a="1"/>
  <c r="K51" i="45" s="1"/>
  <c r="I46" i="45" a="1"/>
  <c r="I46" i="45" s="1"/>
  <c r="K46" i="45" a="1"/>
  <c r="K46" i="45" s="1"/>
  <c r="I44" i="45" a="1"/>
  <c r="I44" i="45" s="1"/>
  <c r="K44" i="45" a="1"/>
  <c r="K44" i="45" s="1"/>
  <c r="I48" i="45" a="1"/>
  <c r="I48" i="45" s="1"/>
  <c r="K48" i="45" a="1"/>
  <c r="K48" i="45" s="1"/>
  <c r="I57" i="45" a="1"/>
  <c r="I57" i="45" s="1"/>
  <c r="K57" i="45" a="1"/>
  <c r="K57" i="45" s="1"/>
  <c r="I59" i="45" a="1"/>
  <c r="I59" i="45" s="1"/>
  <c r="K59" i="45" a="1"/>
  <c r="K59" i="45" s="1"/>
  <c r="I60" i="45" a="1"/>
  <c r="I60" i="45" s="1"/>
  <c r="K60" i="45" a="1"/>
  <c r="K60" i="45" s="1"/>
  <c r="I58" i="45" a="1"/>
  <c r="I58" i="45" s="1"/>
  <c r="K58" i="45" a="1"/>
  <c r="K58" i="45" s="1"/>
  <c r="I61" i="45" a="1"/>
  <c r="I61" i="45" s="1"/>
  <c r="K61" i="45" a="1"/>
  <c r="K61" i="45" s="1"/>
  <c r="I63" i="45" a="1"/>
  <c r="I63" i="45" s="1"/>
  <c r="K63" i="45" a="1"/>
  <c r="K63" i="45" s="1"/>
  <c r="I64" i="45" a="1"/>
  <c r="I64" i="45" s="1"/>
  <c r="K64" i="45" a="1"/>
  <c r="K64" i="45" s="1"/>
  <c r="I54" i="45" a="1"/>
  <c r="I54" i="45" s="1"/>
  <c r="K54" i="45" a="1"/>
  <c r="K54" i="45" s="1"/>
  <c r="I62" i="45" a="1"/>
  <c r="I62" i="45" s="1"/>
  <c r="K62" i="45" a="1"/>
  <c r="K62" i="45" s="1"/>
  <c r="I47" i="45" a="1"/>
  <c r="I47" i="45" s="1"/>
  <c r="K47" i="45" a="1"/>
  <c r="K47" i="45" s="1"/>
  <c r="I65" i="45" a="1"/>
  <c r="I65" i="45" s="1"/>
  <c r="K65" i="45" a="1"/>
  <c r="K65" i="45" s="1"/>
  <c r="I56" i="45" a="1"/>
  <c r="I56" i="45" s="1"/>
  <c r="K56" i="45" a="1"/>
  <c r="K56" i="45" s="1"/>
  <c r="I66" i="45" a="1"/>
  <c r="I66" i="45" s="1"/>
  <c r="K66" i="45" a="1"/>
  <c r="K66" i="45" s="1"/>
  <c r="I67" i="45" a="1"/>
  <c r="I67" i="45" s="1"/>
  <c r="K67" i="45" a="1"/>
  <c r="K67" i="45" s="1"/>
  <c r="I68" i="45" a="1"/>
  <c r="I68" i="45" s="1"/>
  <c r="K68" i="45" a="1"/>
  <c r="K68" i="45" s="1"/>
  <c r="I27" i="62" a="1"/>
  <c r="I27" i="62" s="1"/>
  <c r="G27" i="62" a="1"/>
  <c r="G27" i="62" s="1"/>
  <c r="I26" i="62" a="1"/>
  <c r="I26" i="62" s="1"/>
  <c r="G26" i="62" a="1"/>
  <c r="G26" i="62" s="1"/>
  <c r="G25" i="62" a="1"/>
  <c r="G25" i="62" s="1"/>
  <c r="I25" i="62" a="1"/>
  <c r="I25" i="62" s="1"/>
  <c r="I24" i="62" a="1"/>
  <c r="I24" i="62" s="1"/>
  <c r="G24" i="62" a="1"/>
  <c r="G24" i="62" s="1"/>
  <c r="I23" i="62" a="1"/>
  <c r="I23" i="62" s="1"/>
  <c r="G23" i="62" a="1"/>
  <c r="G23" i="62" s="1"/>
  <c r="G22" i="62" a="1"/>
  <c r="G22" i="62" s="1"/>
  <c r="I22" i="62" a="1"/>
  <c r="I22" i="62" s="1"/>
  <c r="G21" i="62" a="1"/>
  <c r="G21" i="62" s="1"/>
  <c r="I21" i="62" a="1"/>
  <c r="I21" i="62" s="1"/>
  <c r="G20" i="62" a="1"/>
  <c r="G20" i="62" s="1"/>
  <c r="I20" i="62" a="1"/>
  <c r="I20" i="62" s="1"/>
  <c r="M848" i="34"/>
  <c r="M18" i="34" s="1"/>
  <c r="G19" i="62" a="1"/>
  <c r="G19" i="62" s="1"/>
  <c r="I19" i="62" a="1"/>
  <c r="I19" i="62" s="1"/>
  <c r="G9" i="62" a="1"/>
  <c r="G9" i="62" s="1"/>
  <c r="I9" i="62" a="1"/>
  <c r="I9" i="62" s="1"/>
  <c r="G18" i="62" a="1"/>
  <c r="G18" i="62" s="1"/>
  <c r="I18" i="62" a="1"/>
  <c r="I18" i="62" s="1"/>
  <c r="F50" i="55"/>
  <c r="B45" i="55"/>
  <c r="A45" i="55" s="1"/>
  <c r="M89" i="45" l="1"/>
  <c r="O94" i="45"/>
  <c r="K28" i="62"/>
  <c r="M91" i="45"/>
  <c r="M93" i="45"/>
  <c r="M94" i="45"/>
  <c r="O93" i="45"/>
  <c r="O90" i="45"/>
  <c r="O92" i="45"/>
  <c r="M21" i="45"/>
  <c r="M20" i="45"/>
  <c r="O21" i="45"/>
  <c r="O20" i="45"/>
  <c r="O22" i="45"/>
  <c r="M22" i="45"/>
  <c r="O91" i="45"/>
  <c r="M92" i="45"/>
  <c r="O89" i="45"/>
  <c r="M90" i="45"/>
  <c r="M29" i="62"/>
  <c r="O18" i="45"/>
  <c r="O16" i="45"/>
  <c r="M19" i="45"/>
  <c r="M17" i="45"/>
  <c r="M18" i="45"/>
  <c r="M16" i="45"/>
  <c r="O19" i="45"/>
  <c r="O17" i="45"/>
  <c r="O86" i="45"/>
  <c r="O88" i="45"/>
  <c r="O87" i="45"/>
  <c r="M88" i="45"/>
  <c r="M87" i="45"/>
  <c r="M86" i="45"/>
  <c r="O81" i="45"/>
  <c r="O15" i="45"/>
  <c r="O85" i="45"/>
  <c r="M85" i="45"/>
  <c r="O84" i="45"/>
  <c r="M84" i="45"/>
  <c r="O80" i="45"/>
  <c r="M82" i="45"/>
  <c r="M83" i="45"/>
  <c r="M81" i="45"/>
  <c r="M79" i="45"/>
  <c r="O82" i="45"/>
  <c r="M80" i="45"/>
  <c r="M78" i="45"/>
  <c r="O77" i="45"/>
  <c r="O11" i="45"/>
  <c r="M75" i="45"/>
  <c r="O14" i="45"/>
  <c r="O13" i="45"/>
  <c r="O12" i="45"/>
  <c r="M76" i="45"/>
  <c r="M14" i="45"/>
  <c r="M12" i="45"/>
  <c r="M13" i="45"/>
  <c r="O76" i="45"/>
  <c r="M15" i="45"/>
  <c r="O75" i="45"/>
  <c r="M77" i="45"/>
  <c r="M11" i="45"/>
  <c r="M28" i="62"/>
  <c r="K29" i="62"/>
  <c r="M74" i="45"/>
  <c r="O74" i="45"/>
  <c r="M73" i="45"/>
  <c r="M72" i="45"/>
  <c r="O73" i="45"/>
  <c r="O72" i="45"/>
  <c r="M70" i="45"/>
  <c r="O71" i="45"/>
  <c r="O70" i="45"/>
  <c r="M71" i="45"/>
  <c r="O69" i="45"/>
  <c r="M69" i="45"/>
  <c r="M34" i="45"/>
  <c r="M67" i="45"/>
  <c r="M66" i="45"/>
  <c r="M63" i="45"/>
  <c r="M61" i="45"/>
  <c r="M58" i="45"/>
  <c r="M51" i="45"/>
  <c r="M10" i="45"/>
  <c r="M9" i="45"/>
  <c r="M68" i="45"/>
  <c r="M60" i="45"/>
  <c r="M50" i="45"/>
  <c r="M57" i="45"/>
  <c r="M48" i="45"/>
  <c r="M37" i="45"/>
  <c r="M36" i="45"/>
  <c r="M54" i="45"/>
  <c r="M46" i="45"/>
  <c r="M56" i="45"/>
  <c r="M65" i="45"/>
  <c r="M43" i="45"/>
  <c r="M62" i="45"/>
  <c r="M42" i="45"/>
  <c r="M41" i="45"/>
  <c r="M40" i="45"/>
  <c r="M35" i="45"/>
  <c r="M33" i="45"/>
  <c r="M32" i="45"/>
  <c r="M31" i="45"/>
  <c r="M29" i="45"/>
  <c r="M28" i="45"/>
  <c r="M25" i="45"/>
  <c r="M47" i="45"/>
  <c r="M38" i="45"/>
  <c r="M7" i="45"/>
  <c r="M6" i="45"/>
  <c r="M5" i="45"/>
  <c r="M59" i="45"/>
  <c r="M39" i="45"/>
  <c r="M44" i="45"/>
  <c r="M8" i="45"/>
  <c r="M24" i="45"/>
  <c r="M30" i="45"/>
  <c r="M55" i="45"/>
  <c r="M53" i="45"/>
  <c r="M52" i="45"/>
  <c r="M49" i="45"/>
  <c r="M27" i="45"/>
  <c r="M26" i="45"/>
  <c r="O64" i="45"/>
  <c r="O45" i="45"/>
  <c r="M64" i="45"/>
  <c r="M45" i="45"/>
  <c r="O68" i="45"/>
  <c r="O67" i="45"/>
  <c r="O66" i="45"/>
  <c r="O56" i="45"/>
  <c r="O65" i="45"/>
  <c r="O47" i="45"/>
  <c r="O62" i="45"/>
  <c r="O54" i="45"/>
  <c r="O63" i="45"/>
  <c r="O61" i="45"/>
  <c r="O58" i="45"/>
  <c r="O60" i="45"/>
  <c r="O59" i="45"/>
  <c r="O57" i="45"/>
  <c r="O48" i="45"/>
  <c r="O44" i="45"/>
  <c r="O46" i="45"/>
  <c r="O51" i="45"/>
  <c r="O55" i="45"/>
  <c r="O53" i="45"/>
  <c r="O52" i="45"/>
  <c r="O49" i="45"/>
  <c r="O43" i="45"/>
  <c r="O50" i="45"/>
  <c r="O42" i="45"/>
  <c r="O41" i="45"/>
  <c r="O40" i="45"/>
  <c r="O39" i="45"/>
  <c r="O38" i="45"/>
  <c r="O37" i="45"/>
  <c r="O36" i="45"/>
  <c r="O35" i="45"/>
  <c r="O34" i="45"/>
  <c r="O10" i="45"/>
  <c r="O9" i="45"/>
  <c r="O8" i="45"/>
  <c r="O7" i="45"/>
  <c r="O6" i="45"/>
  <c r="O5" i="45"/>
  <c r="O33" i="45"/>
  <c r="O32" i="45"/>
  <c r="O31" i="45"/>
  <c r="O30" i="45"/>
  <c r="O29" i="45"/>
  <c r="O28" i="45"/>
  <c r="O27" i="45"/>
  <c r="O26" i="45"/>
  <c r="O25" i="45"/>
  <c r="O24" i="45"/>
  <c r="K27" i="62"/>
  <c r="M27" i="62"/>
  <c r="K26" i="62"/>
  <c r="M26" i="62"/>
  <c r="K25" i="62"/>
  <c r="M25" i="62"/>
  <c r="M24" i="62"/>
  <c r="K24" i="62"/>
  <c r="M23" i="62"/>
  <c r="K23" i="62"/>
  <c r="K22" i="62"/>
  <c r="M22" i="62"/>
  <c r="K21" i="62"/>
  <c r="M21" i="62"/>
  <c r="M20" i="62"/>
  <c r="K20" i="62"/>
  <c r="K19" i="62"/>
  <c r="M19" i="62"/>
  <c r="M9" i="62"/>
  <c r="K9" i="62"/>
  <c r="K18" i="62"/>
  <c r="M18" i="62"/>
  <c r="V245" i="60" l="1"/>
  <c r="V246" i="60"/>
  <c r="A49" i="55" l="1"/>
  <c r="B12" i="55"/>
  <c r="A12" i="55" s="1"/>
  <c r="B13" i="55"/>
  <c r="A13" i="55" s="1"/>
  <c r="B14" i="55"/>
  <c r="A14" i="55" s="1"/>
  <c r="B15" i="55"/>
  <c r="A15" i="55" s="1"/>
  <c r="B16" i="55"/>
  <c r="A16" i="55" s="1"/>
  <c r="B17" i="55"/>
  <c r="A17" i="55" s="1"/>
  <c r="B18" i="55"/>
  <c r="A18" i="55" s="1"/>
  <c r="B19" i="55"/>
  <c r="A19" i="55" s="1"/>
  <c r="B20" i="55"/>
  <c r="A20" i="55" s="1"/>
  <c r="B21" i="55"/>
  <c r="A21" i="55" s="1"/>
  <c r="B22" i="55"/>
  <c r="A22" i="55" s="1"/>
  <c r="B23" i="55"/>
  <c r="A23" i="55" s="1"/>
  <c r="B24" i="55"/>
  <c r="A24" i="55" s="1"/>
  <c r="O226" i="60"/>
  <c r="M226" i="60"/>
  <c r="E204" i="60"/>
  <c r="E226" i="60"/>
  <c r="E275" i="34"/>
  <c r="E274" i="34"/>
  <c r="E273" i="34"/>
  <c r="E272" i="34"/>
  <c r="E271" i="34"/>
  <c r="E270" i="34"/>
  <c r="E269" i="34"/>
  <c r="E268" i="34"/>
  <c r="E267" i="34"/>
  <c r="E266" i="34"/>
  <c r="E265" i="34"/>
  <c r="E264" i="34"/>
  <c r="E63" i="34"/>
  <c r="E62" i="34"/>
  <c r="E61" i="34"/>
  <c r="J240" i="60" l="1"/>
  <c r="J241" i="60"/>
  <c r="J242" i="60"/>
  <c r="J243" i="60"/>
  <c r="J244" i="60"/>
  <c r="J245" i="60"/>
  <c r="J246" i="60"/>
  <c r="J247" i="60"/>
  <c r="J248" i="60"/>
  <c r="J249" i="60"/>
  <c r="J250" i="60"/>
  <c r="J251" i="60"/>
  <c r="J252" i="60"/>
  <c r="J253" i="60"/>
  <c r="J254" i="60"/>
  <c r="K240" i="60"/>
  <c r="K241" i="60"/>
  <c r="K242" i="60"/>
  <c r="K243" i="60"/>
  <c r="K244" i="60"/>
  <c r="K245" i="60"/>
  <c r="K246" i="60"/>
  <c r="K247" i="60"/>
  <c r="K248" i="60"/>
  <c r="K249" i="60"/>
  <c r="K250" i="60"/>
  <c r="K251" i="60"/>
  <c r="K252" i="60"/>
  <c r="K253" i="60"/>
  <c r="K254" i="60"/>
  <c r="H240" i="60"/>
  <c r="H241" i="60"/>
  <c r="H242" i="60"/>
  <c r="H243" i="60"/>
  <c r="H244" i="60"/>
  <c r="H245" i="60"/>
  <c r="H246" i="60"/>
  <c r="H247" i="60"/>
  <c r="H248" i="60"/>
  <c r="H249" i="60"/>
  <c r="H250" i="60"/>
  <c r="H251" i="60"/>
  <c r="H252" i="60"/>
  <c r="H253" i="60"/>
  <c r="H254" i="60"/>
  <c r="V265" i="60"/>
  <c r="L255" i="60" s="1"/>
  <c r="N255" i="60" s="1"/>
  <c r="P255" i="60" s="1"/>
  <c r="V255" i="60"/>
  <c r="L245" i="60" s="1"/>
  <c r="V253" i="60"/>
  <c r="L243" i="60" s="1"/>
  <c r="V252" i="60"/>
  <c r="L242" i="60" s="1"/>
  <c r="V251" i="60"/>
  <c r="V250" i="60"/>
  <c r="V249" i="60"/>
  <c r="L240" i="60" s="1"/>
  <c r="V244" i="60"/>
  <c r="V243" i="60"/>
  <c r="A225" i="60"/>
  <c r="A31" i="12"/>
  <c r="L241" i="60" l="1"/>
  <c r="L257" i="60" s="1"/>
  <c r="D176" i="60"/>
  <c r="D177" i="60"/>
  <c r="D178" i="60"/>
  <c r="D181" i="60"/>
  <c r="D183" i="60"/>
  <c r="A18" i="12"/>
  <c r="G176" i="60" l="1"/>
  <c r="D185" i="60"/>
  <c r="K175" i="60" l="1"/>
  <c r="J175" i="60"/>
  <c r="M87" i="34"/>
  <c r="M86" i="34"/>
  <c r="M85" i="34"/>
  <c r="M84" i="34"/>
  <c r="M83" i="34"/>
  <c r="M80" i="34"/>
  <c r="A13" i="12"/>
  <c r="A14" i="12"/>
  <c r="E60" i="34" l="1"/>
  <c r="E59" i="34"/>
  <c r="E58" i="34"/>
  <c r="V212" i="60"/>
  <c r="V210" i="60"/>
  <c r="L202" i="60" s="1"/>
  <c r="V209" i="60"/>
  <c r="L201" i="60" s="1"/>
  <c r="V208" i="60"/>
  <c r="L200" i="60" s="1"/>
  <c r="V207" i="60"/>
  <c r="V206" i="60"/>
  <c r="W205" i="60"/>
  <c r="V197" i="60"/>
  <c r="V227" i="60"/>
  <c r="V234" i="60" s="1"/>
  <c r="W226" i="60"/>
  <c r="V218" i="60"/>
  <c r="V226" i="60" s="1"/>
  <c r="I226" i="60" s="1"/>
  <c r="E257" i="34"/>
  <c r="E256" i="34"/>
  <c r="E255" i="34"/>
  <c r="E254" i="34"/>
  <c r="E253" i="34"/>
  <c r="E252" i="34"/>
  <c r="E251" i="34"/>
  <c r="E250" i="34"/>
  <c r="E249" i="34"/>
  <c r="E248" i="34"/>
  <c r="E247" i="34"/>
  <c r="E246" i="34"/>
  <c r="E245" i="34"/>
  <c r="E244" i="34"/>
  <c r="L218" i="60" l="1"/>
  <c r="L219" i="60"/>
  <c r="L198" i="60"/>
  <c r="L199" i="60"/>
  <c r="L197" i="60"/>
  <c r="V213" i="60"/>
  <c r="V205" i="60"/>
  <c r="I204" i="60" s="1"/>
  <c r="L226" i="60" l="1"/>
  <c r="L204" i="60"/>
  <c r="A34" i="12"/>
  <c r="A36" i="12" l="1"/>
  <c r="I54" i="12" l="1"/>
  <c r="I52" i="12"/>
  <c r="E57" i="34"/>
  <c r="E56" i="34"/>
  <c r="E55" i="34"/>
  <c r="E54" i="34"/>
  <c r="E53" i="34"/>
  <c r="E52" i="34"/>
  <c r="E237" i="34"/>
  <c r="E236" i="34"/>
  <c r="E235" i="34"/>
  <c r="E234" i="34"/>
  <c r="E233" i="34"/>
  <c r="E232" i="34"/>
  <c r="E231" i="34"/>
  <c r="E230" i="34"/>
  <c r="E229" i="34"/>
  <c r="E228" i="34"/>
  <c r="E227" i="34"/>
  <c r="E226" i="34"/>
  <c r="E225" i="34"/>
  <c r="E224" i="34"/>
  <c r="E218" i="34"/>
  <c r="E217" i="34"/>
  <c r="E216" i="34"/>
  <c r="E215" i="34"/>
  <c r="E214" i="34"/>
  <c r="E213" i="34"/>
  <c r="E212" i="34"/>
  <c r="E211" i="34"/>
  <c r="E210" i="34"/>
  <c r="E209" i="34"/>
  <c r="E208" i="34"/>
  <c r="E207" i="34"/>
  <c r="E206" i="34"/>
  <c r="E205" i="34"/>
  <c r="V186" i="60" l="1"/>
  <c r="A35" i="12"/>
  <c r="I41" i="12" l="1"/>
  <c r="I42" i="12"/>
  <c r="I43" i="12"/>
  <c r="I44" i="12"/>
  <c r="I45" i="12"/>
  <c r="I46" i="12"/>
  <c r="I47" i="12"/>
  <c r="I48" i="12"/>
  <c r="I49" i="12"/>
  <c r="I50" i="12"/>
  <c r="I51" i="12"/>
  <c r="I53" i="12"/>
  <c r="D199" i="60" l="1"/>
  <c r="D198" i="60"/>
  <c r="A176" i="60"/>
  <c r="G178" i="60"/>
  <c r="V178" i="60"/>
  <c r="G177" i="60"/>
  <c r="V177" i="60"/>
  <c r="G199" i="60" l="1"/>
  <c r="D204" i="60"/>
  <c r="A177" i="60"/>
  <c r="G198" i="60"/>
  <c r="A184" i="60" l="1"/>
  <c r="A178" i="60"/>
  <c r="A179" i="60" s="1"/>
  <c r="A180" i="60" s="1"/>
  <c r="A181" i="60" s="1"/>
  <c r="A182" i="60" s="1"/>
  <c r="A183" i="60" s="1"/>
  <c r="B36" i="55"/>
  <c r="A36" i="55" s="1"/>
  <c r="B31" i="55"/>
  <c r="A31" i="55" s="1"/>
  <c r="B30" i="55"/>
  <c r="A30" i="55" s="1"/>
  <c r="D161" i="60" l="1"/>
  <c r="A46" i="12"/>
  <c r="A41" i="12"/>
  <c r="A42" i="12"/>
  <c r="A45" i="12"/>
  <c r="A48" i="12"/>
  <c r="G161" i="60" l="1"/>
  <c r="M145" i="60" l="1"/>
  <c r="D160" i="60"/>
  <c r="G160" i="60" s="1"/>
  <c r="D159" i="60"/>
  <c r="G159" i="60" s="1"/>
  <c r="H125" i="60" l="1"/>
  <c r="H127" i="60"/>
  <c r="H114" i="60"/>
  <c r="H121" i="60"/>
  <c r="H117" i="60"/>
  <c r="H113" i="60"/>
  <c r="H118" i="60"/>
  <c r="H112" i="60"/>
  <c r="H122" i="60"/>
  <c r="H128" i="60"/>
  <c r="H116" i="60"/>
  <c r="H129" i="60"/>
  <c r="H123" i="60"/>
  <c r="H120" i="60"/>
  <c r="H115" i="60"/>
  <c r="H124" i="60"/>
  <c r="H126" i="60"/>
  <c r="H111" i="60"/>
  <c r="H119" i="60"/>
  <c r="D163" i="60"/>
  <c r="H110" i="60"/>
  <c r="J161" i="60" l="1"/>
  <c r="J160" i="60"/>
  <c r="K161" i="60"/>
  <c r="J159" i="60"/>
  <c r="K160" i="60"/>
  <c r="K159" i="60"/>
  <c r="V167" i="60"/>
  <c r="L159" i="60" s="1"/>
  <c r="V163" i="60" l="1"/>
  <c r="AB10" i="34"/>
  <c r="V157" i="60"/>
  <c r="V158" i="60"/>
  <c r="V159" i="60"/>
  <c r="V160" i="60"/>
  <c r="V161" i="60"/>
  <c r="V162" i="60"/>
  <c r="E202" i="34"/>
  <c r="E201" i="34"/>
  <c r="E200" i="34"/>
  <c r="E199" i="34"/>
  <c r="E198" i="34"/>
  <c r="E197" i="34"/>
  <c r="E196" i="34"/>
  <c r="E195" i="34"/>
  <c r="E194" i="34"/>
  <c r="E193" i="34"/>
  <c r="E192" i="34"/>
  <c r="E191" i="34"/>
  <c r="E190" i="34"/>
  <c r="E189" i="34"/>
  <c r="E187" i="34"/>
  <c r="E186" i="34"/>
  <c r="E185" i="34"/>
  <c r="E184" i="34"/>
  <c r="E183" i="34"/>
  <c r="E182" i="34"/>
  <c r="E181" i="34"/>
  <c r="E180" i="34"/>
  <c r="E179" i="34"/>
  <c r="E178" i="34"/>
  <c r="E177" i="34"/>
  <c r="E176" i="34"/>
  <c r="E175" i="34"/>
  <c r="E174" i="34"/>
  <c r="E51" i="34"/>
  <c r="E50" i="34"/>
  <c r="E49" i="34"/>
  <c r="E48" i="34"/>
  <c r="E47" i="34"/>
  <c r="E46" i="34"/>
  <c r="E36" i="34"/>
  <c r="E37" i="34"/>
  <c r="E45" i="34"/>
  <c r="E44" i="34"/>
  <c r="E43" i="34"/>
  <c r="E42" i="34"/>
  <c r="E41" i="34"/>
  <c r="E40" i="34"/>
  <c r="E39" i="34"/>
  <c r="E38" i="34"/>
  <c r="B29" i="57" l="1"/>
  <c r="D30" i="57"/>
  <c r="D29" i="57"/>
  <c r="F29" i="57"/>
  <c r="I30" i="57"/>
  <c r="I29" i="57"/>
  <c r="C30" i="57"/>
  <c r="C29" i="57"/>
  <c r="B30" i="57"/>
  <c r="G30" i="57"/>
  <c r="G29" i="57"/>
  <c r="F30" i="57"/>
  <c r="B16" i="57"/>
  <c r="F16" i="57"/>
  <c r="C17" i="57"/>
  <c r="G17" i="57"/>
  <c r="D18" i="57"/>
  <c r="I18" i="57"/>
  <c r="B20" i="57"/>
  <c r="F20" i="57"/>
  <c r="C21" i="57"/>
  <c r="G21" i="57"/>
  <c r="D22" i="57"/>
  <c r="I22" i="57"/>
  <c r="B24" i="57"/>
  <c r="F24" i="57"/>
  <c r="C25" i="57"/>
  <c r="G25" i="57"/>
  <c r="D26" i="57"/>
  <c r="I26" i="57"/>
  <c r="B28" i="57"/>
  <c r="F28" i="57"/>
  <c r="C16" i="57"/>
  <c r="G16" i="57"/>
  <c r="D17" i="57"/>
  <c r="I17" i="57"/>
  <c r="B19" i="57"/>
  <c r="F19" i="57"/>
  <c r="C20" i="57"/>
  <c r="G20" i="57"/>
  <c r="D21" i="57"/>
  <c r="I21" i="57"/>
  <c r="B23" i="57"/>
  <c r="F23" i="57"/>
  <c r="C24" i="57"/>
  <c r="G24" i="57"/>
  <c r="D25" i="57"/>
  <c r="I25" i="57"/>
  <c r="B27" i="57"/>
  <c r="F27" i="57"/>
  <c r="C28" i="57"/>
  <c r="G28" i="57"/>
  <c r="D16" i="57"/>
  <c r="I16" i="57"/>
  <c r="B18" i="57"/>
  <c r="F18" i="57"/>
  <c r="C19" i="57"/>
  <c r="G19" i="57"/>
  <c r="D20" i="57"/>
  <c r="I20" i="57"/>
  <c r="J20" i="57" s="1"/>
  <c r="B22" i="57"/>
  <c r="F22" i="57"/>
  <c r="C23" i="57"/>
  <c r="G23" i="57"/>
  <c r="D24" i="57"/>
  <c r="I24" i="57"/>
  <c r="B26" i="57"/>
  <c r="F26" i="57"/>
  <c r="C27" i="57"/>
  <c r="G27" i="57"/>
  <c r="D28" i="57"/>
  <c r="I28" i="57"/>
  <c r="B17" i="57"/>
  <c r="F17" i="57"/>
  <c r="C18" i="57"/>
  <c r="G18" i="57"/>
  <c r="D19" i="57"/>
  <c r="I19" i="57"/>
  <c r="B21" i="57"/>
  <c r="F21" i="57"/>
  <c r="C22" i="57"/>
  <c r="G22" i="57"/>
  <c r="D23" i="57"/>
  <c r="I23" i="57"/>
  <c r="B25" i="57"/>
  <c r="F25" i="57"/>
  <c r="C26" i="57"/>
  <c r="G26" i="57"/>
  <c r="D27" i="57"/>
  <c r="I27" i="57"/>
  <c r="I131" i="60"/>
  <c r="I105" i="60" l="1"/>
  <c r="N105" i="60" s="1"/>
  <c r="I107" i="60"/>
  <c r="N107" i="60" s="1"/>
  <c r="P107" i="60" s="1"/>
  <c r="I108" i="60"/>
  <c r="N108" i="60" s="1"/>
  <c r="J29" i="57"/>
  <c r="I106" i="60"/>
  <c r="N106" i="60" s="1"/>
  <c r="I109" i="60"/>
  <c r="N109" i="60" s="1"/>
  <c r="H17" i="57"/>
  <c r="H30" i="57"/>
  <c r="J30" i="57"/>
  <c r="H29" i="57"/>
  <c r="I129" i="60"/>
  <c r="N129" i="60" s="1"/>
  <c r="I120" i="60"/>
  <c r="N120" i="60" s="1"/>
  <c r="I114" i="60"/>
  <c r="N114" i="60" s="1"/>
  <c r="I123" i="60"/>
  <c r="N123" i="60" s="1"/>
  <c r="I124" i="60"/>
  <c r="N124" i="60" s="1"/>
  <c r="I119" i="60"/>
  <c r="N119" i="60" s="1"/>
  <c r="I127" i="60"/>
  <c r="N127" i="60" s="1"/>
  <c r="I122" i="60"/>
  <c r="N122" i="60" s="1"/>
  <c r="I118" i="60"/>
  <c r="N118" i="60" s="1"/>
  <c r="I115" i="60"/>
  <c r="N115" i="60" s="1"/>
  <c r="I112" i="60"/>
  <c r="N112" i="60" s="1"/>
  <c r="I128" i="60"/>
  <c r="N128" i="60" s="1"/>
  <c r="I113" i="60"/>
  <c r="N113" i="60" s="1"/>
  <c r="I126" i="60"/>
  <c r="N126" i="60" s="1"/>
  <c r="I121" i="60"/>
  <c r="N121" i="60" s="1"/>
  <c r="I117" i="60"/>
  <c r="N117" i="60" s="1"/>
  <c r="I111" i="60"/>
  <c r="N111" i="60" s="1"/>
  <c r="I125" i="60"/>
  <c r="N125" i="60" s="1"/>
  <c r="I116" i="60"/>
  <c r="N116" i="60" s="1"/>
  <c r="J24" i="57"/>
  <c r="J23" i="57"/>
  <c r="H25" i="57"/>
  <c r="J16" i="57"/>
  <c r="H21" i="57"/>
  <c r="J28" i="57"/>
  <c r="P104" i="60"/>
  <c r="J19" i="57"/>
  <c r="J27" i="57"/>
  <c r="J17" i="57"/>
  <c r="J26" i="57"/>
  <c r="H24" i="57"/>
  <c r="H18" i="57"/>
  <c r="J21" i="57"/>
  <c r="H19" i="57"/>
  <c r="H28" i="57"/>
  <c r="H22" i="57"/>
  <c r="J25" i="57"/>
  <c r="H23" i="57"/>
  <c r="J18" i="57"/>
  <c r="H16" i="57"/>
  <c r="H26" i="57"/>
  <c r="H27" i="57"/>
  <c r="J22" i="57"/>
  <c r="H20" i="57"/>
  <c r="I110" i="60"/>
  <c r="P128" i="60" l="1"/>
  <c r="P122" i="60"/>
  <c r="P123" i="60"/>
  <c r="P109" i="60"/>
  <c r="P108" i="60"/>
  <c r="P121" i="60"/>
  <c r="P127" i="60"/>
  <c r="P114" i="60"/>
  <c r="P125" i="60"/>
  <c r="P126" i="60"/>
  <c r="P115" i="60"/>
  <c r="P119" i="60"/>
  <c r="P120" i="60"/>
  <c r="P106" i="60"/>
  <c r="P118" i="60"/>
  <c r="P124" i="60"/>
  <c r="P129" i="60"/>
  <c r="A24" i="45"/>
  <c r="P105" i="60" l="1"/>
  <c r="A30" i="12"/>
  <c r="A20" i="12"/>
  <c r="B42" i="55"/>
  <c r="A42" i="55" s="1"/>
  <c r="B44" i="55"/>
  <c r="A44" i="55" s="1"/>
  <c r="B40" i="55"/>
  <c r="A40" i="55" s="1"/>
  <c r="B41" i="55"/>
  <c r="A41" i="55" s="1"/>
  <c r="B38" i="55"/>
  <c r="A38" i="55" s="1"/>
  <c r="B37" i="55"/>
  <c r="A37" i="55" s="1"/>
  <c r="B35" i="55"/>
  <c r="A35" i="55" s="1"/>
  <c r="A37" i="12"/>
  <c r="B28" i="55" l="1"/>
  <c r="A28" i="55" s="1"/>
  <c r="B29" i="55"/>
  <c r="A29" i="55" s="1"/>
  <c r="B32" i="55"/>
  <c r="A32" i="55" s="1"/>
  <c r="B33" i="55"/>
  <c r="A33" i="55" s="1"/>
  <c r="B34" i="55"/>
  <c r="A34" i="55" s="1"/>
  <c r="B39" i="55"/>
  <c r="A39" i="55" s="1"/>
  <c r="A33" i="12" l="1"/>
  <c r="E170" i="34" l="1"/>
  <c r="E169" i="34"/>
  <c r="E168" i="34"/>
  <c r="E167" i="34"/>
  <c r="E166" i="34"/>
  <c r="E165" i="34"/>
  <c r="E164" i="34"/>
  <c r="E163" i="34"/>
  <c r="E162" i="34"/>
  <c r="E161" i="34"/>
  <c r="E160" i="34"/>
  <c r="E159" i="34"/>
  <c r="E158" i="34"/>
  <c r="E157" i="34"/>
  <c r="E153" i="34"/>
  <c r="E152" i="34"/>
  <c r="E151" i="34"/>
  <c r="E150" i="34"/>
  <c r="E149" i="34"/>
  <c r="E148" i="34"/>
  <c r="E147" i="34"/>
  <c r="E146" i="34"/>
  <c r="E145" i="34"/>
  <c r="E144" i="34"/>
  <c r="E143" i="34"/>
  <c r="E142" i="34"/>
  <c r="E141" i="34"/>
  <c r="E140" i="34"/>
  <c r="E138" i="34"/>
  <c r="E137" i="34"/>
  <c r="E136" i="34"/>
  <c r="E135" i="34"/>
  <c r="E134" i="34"/>
  <c r="E133" i="34"/>
  <c r="E132" i="34"/>
  <c r="E131" i="34"/>
  <c r="E130" i="34"/>
  <c r="E129" i="34"/>
  <c r="E128" i="34"/>
  <c r="E127" i="34"/>
  <c r="E126" i="34"/>
  <c r="E125" i="34"/>
  <c r="E121" i="34" l="1"/>
  <c r="E120" i="34"/>
  <c r="E119" i="34"/>
  <c r="E118" i="34"/>
  <c r="E117" i="34"/>
  <c r="E116" i="34"/>
  <c r="E115" i="34"/>
  <c r="E114" i="34"/>
  <c r="E113" i="34"/>
  <c r="E112" i="34"/>
  <c r="E111" i="34"/>
  <c r="E110" i="34"/>
  <c r="E109" i="34"/>
  <c r="E108" i="34"/>
  <c r="E104" i="34"/>
  <c r="E103" i="34"/>
  <c r="E102" i="34"/>
  <c r="E101" i="34"/>
  <c r="E100" i="34"/>
  <c r="E99" i="34"/>
  <c r="E98" i="34"/>
  <c r="E97" i="34"/>
  <c r="E96" i="34"/>
  <c r="E95" i="34"/>
  <c r="E94" i="34"/>
  <c r="E93" i="34"/>
  <c r="E92" i="34"/>
  <c r="E91" i="34"/>
  <c r="E89" i="34"/>
  <c r="E88" i="34"/>
  <c r="M89" i="34"/>
  <c r="E87" i="34"/>
  <c r="M88" i="34"/>
  <c r="E86" i="34"/>
  <c r="E85" i="34"/>
  <c r="E84" i="34"/>
  <c r="E83" i="34"/>
  <c r="E82" i="34"/>
  <c r="E81" i="34"/>
  <c r="E80" i="34"/>
  <c r="E79" i="34"/>
  <c r="E78" i="34"/>
  <c r="E77" i="34"/>
  <c r="E76" i="34"/>
  <c r="P27" i="64" l="1"/>
  <c r="G27" i="64"/>
  <c r="P28" i="64"/>
  <c r="G28" i="64"/>
  <c r="A29" i="68"/>
  <c r="G66" i="64"/>
  <c r="G20" i="64"/>
  <c r="G21" i="64"/>
  <c r="G22" i="64"/>
  <c r="G23" i="64"/>
  <c r="G24" i="64"/>
  <c r="G25" i="64"/>
  <c r="G26" i="64"/>
  <c r="G30" i="64"/>
  <c r="G32" i="64"/>
  <c r="G33" i="64"/>
  <c r="G34" i="64"/>
  <c r="P14" i="64"/>
  <c r="P15" i="64"/>
  <c r="P16" i="64"/>
  <c r="P18" i="64"/>
  <c r="P19" i="64"/>
  <c r="P20" i="64"/>
  <c r="P21" i="64"/>
  <c r="P22" i="64"/>
  <c r="P23" i="64"/>
  <c r="P24" i="64"/>
  <c r="P25" i="64"/>
  <c r="P26" i="64"/>
  <c r="P30" i="64"/>
  <c r="P31" i="64"/>
  <c r="P32" i="64"/>
  <c r="P33" i="64"/>
  <c r="P34" i="64"/>
  <c r="P35" i="64"/>
  <c r="P36" i="64"/>
  <c r="P37" i="64"/>
  <c r="P38" i="64"/>
  <c r="P39" i="64"/>
  <c r="P40" i="64"/>
  <c r="P41" i="64"/>
  <c r="P42" i="64"/>
  <c r="P43" i="64"/>
  <c r="P44" i="64"/>
  <c r="P45" i="64"/>
  <c r="P46" i="64"/>
  <c r="P47" i="64"/>
  <c r="P48" i="64"/>
  <c r="P49" i="64"/>
  <c r="P50" i="64"/>
  <c r="P51" i="64"/>
  <c r="P52" i="64"/>
  <c r="P53" i="64"/>
  <c r="P54" i="64"/>
  <c r="P55" i="64"/>
  <c r="P56" i="64"/>
  <c r="P57" i="64"/>
  <c r="P58" i="64"/>
  <c r="P59" i="64"/>
  <c r="P60" i="64"/>
  <c r="P61" i="64"/>
  <c r="P62" i="64"/>
  <c r="P63" i="64"/>
  <c r="P64" i="64"/>
  <c r="P65" i="64"/>
  <c r="P66" i="64"/>
  <c r="P67" i="64"/>
  <c r="P68" i="64"/>
  <c r="P13" i="64"/>
  <c r="C21" i="68" l="1"/>
  <c r="B28" i="68"/>
  <c r="A28" i="68" s="1"/>
  <c r="B27" i="68"/>
  <c r="A27" i="68" s="1"/>
  <c r="B26" i="68"/>
  <c r="A26" i="68" s="1"/>
  <c r="B25" i="68"/>
  <c r="A25" i="68" s="1"/>
  <c r="B24" i="68"/>
  <c r="A24" i="68" s="1"/>
  <c r="B23" i="68"/>
  <c r="A23" i="68" s="1"/>
  <c r="B22" i="68"/>
  <c r="A22" i="68" s="1"/>
  <c r="B21" i="68"/>
  <c r="A21" i="68" s="1"/>
  <c r="E28" i="68"/>
  <c r="E27" i="68"/>
  <c r="E26" i="68"/>
  <c r="E25" i="68"/>
  <c r="E24" i="68"/>
  <c r="E23" i="68"/>
  <c r="E22" i="68"/>
  <c r="E21" i="68"/>
  <c r="D28" i="68"/>
  <c r="D27" i="68"/>
  <c r="D26" i="68"/>
  <c r="D25" i="68"/>
  <c r="D24" i="68"/>
  <c r="D23" i="68"/>
  <c r="D22" i="68"/>
  <c r="D21" i="68"/>
  <c r="C28" i="68"/>
  <c r="C27" i="68"/>
  <c r="C26" i="68"/>
  <c r="C25" i="68"/>
  <c r="C24" i="68"/>
  <c r="C23" i="68"/>
  <c r="C22" i="68"/>
  <c r="E20" i="68"/>
  <c r="A7" i="68"/>
  <c r="A42" i="68"/>
  <c r="A43" i="68"/>
  <c r="F20" i="68"/>
  <c r="C20" i="68"/>
  <c r="A12" i="68"/>
  <c r="A8" i="68"/>
  <c r="A13" i="68"/>
  <c r="B20" i="68"/>
  <c r="A20" i="68" s="1"/>
  <c r="D20" i="68"/>
  <c r="E13" i="68"/>
  <c r="E11" i="68"/>
  <c r="E30" i="68" l="1"/>
  <c r="G20" i="68" s="1"/>
  <c r="A10" i="68"/>
  <c r="L15" i="64"/>
  <c r="L16" i="64"/>
  <c r="L18" i="64"/>
  <c r="L20" i="64"/>
  <c r="L32" i="64"/>
  <c r="L33" i="64"/>
  <c r="L34" i="64"/>
  <c r="K36" i="64"/>
  <c r="H36" i="64"/>
  <c r="K68" i="64"/>
  <c r="J68" i="64"/>
  <c r="H68" i="64"/>
  <c r="L66" i="64"/>
  <c r="L68" i="64" s="1"/>
  <c r="L14" i="64"/>
  <c r="H20" i="68" l="1"/>
  <c r="F21" i="68" s="1"/>
  <c r="L36" i="64"/>
  <c r="G21" i="68" l="1"/>
  <c r="H21" i="68" s="1"/>
  <c r="F22" i="68" s="1"/>
  <c r="A29" i="45" l="1"/>
  <c r="A30" i="45"/>
  <c r="A23" i="45"/>
  <c r="A10" i="45"/>
  <c r="A56" i="45"/>
  <c r="G22" i="68" l="1"/>
  <c r="H22" i="68" s="1"/>
  <c r="F23" i="68" s="1"/>
  <c r="A26" i="45"/>
  <c r="A27" i="45"/>
  <c r="A28" i="45"/>
  <c r="A31" i="45"/>
  <c r="A32" i="45"/>
  <c r="A33" i="45"/>
  <c r="A5" i="45"/>
  <c r="A6" i="45"/>
  <c r="A7" i="45"/>
  <c r="A9" i="45"/>
  <c r="A34" i="45"/>
  <c r="A38" i="45"/>
  <c r="A39" i="45"/>
  <c r="A40" i="45"/>
  <c r="A41" i="45"/>
  <c r="A42" i="45"/>
  <c r="A8" i="45"/>
  <c r="A35" i="45"/>
  <c r="A36" i="45"/>
  <c r="A37" i="45"/>
  <c r="A25" i="45"/>
  <c r="A10" i="62"/>
  <c r="A12" i="62"/>
  <c r="G23" i="68" l="1"/>
  <c r="H23" i="68" s="1"/>
  <c r="F24" i="68" s="1"/>
  <c r="D50" i="51"/>
  <c r="D49" i="51"/>
  <c r="D48" i="51"/>
  <c r="D47" i="51"/>
  <c r="D46" i="51"/>
  <c r="D45" i="51"/>
  <c r="D44" i="51"/>
  <c r="D43" i="51"/>
  <c r="D42" i="51"/>
  <c r="D41" i="51"/>
  <c r="D40" i="51"/>
  <c r="D50" i="50"/>
  <c r="D49" i="50"/>
  <c r="D48" i="50"/>
  <c r="D47" i="50"/>
  <c r="D46" i="50"/>
  <c r="D45" i="50"/>
  <c r="D44" i="50"/>
  <c r="D43" i="50"/>
  <c r="D42" i="50"/>
  <c r="D41" i="50"/>
  <c r="D40" i="50"/>
  <c r="D50" i="49"/>
  <c r="D49" i="49"/>
  <c r="D48" i="49"/>
  <c r="D47" i="49"/>
  <c r="D46" i="49"/>
  <c r="D45" i="49"/>
  <c r="D44" i="49"/>
  <c r="D43" i="49"/>
  <c r="D42" i="49"/>
  <c r="D41" i="49"/>
  <c r="D40" i="49"/>
  <c r="J12" i="51"/>
  <c r="K12" i="51"/>
  <c r="L12" i="51"/>
  <c r="M12" i="51"/>
  <c r="N12" i="51"/>
  <c r="O12" i="51"/>
  <c r="P12" i="51"/>
  <c r="Q12" i="51"/>
  <c r="R12" i="51"/>
  <c r="S12" i="51"/>
  <c r="T12" i="51"/>
  <c r="U12" i="51"/>
  <c r="V12" i="51"/>
  <c r="W12" i="51"/>
  <c r="X12" i="51"/>
  <c r="Y12" i="51"/>
  <c r="Z12" i="51"/>
  <c r="AA12" i="51"/>
  <c r="AB12" i="51"/>
  <c r="AC12" i="51"/>
  <c r="AD12" i="51"/>
  <c r="AE12" i="51"/>
  <c r="AF12" i="51"/>
  <c r="AG12" i="51"/>
  <c r="AH12" i="51"/>
  <c r="AI12" i="51"/>
  <c r="AJ12" i="51"/>
  <c r="AK12" i="51"/>
  <c r="AL12" i="51"/>
  <c r="AM12" i="51"/>
  <c r="AN12" i="51"/>
  <c r="AO12" i="51"/>
  <c r="AP12" i="51"/>
  <c r="AQ12" i="51"/>
  <c r="AR12" i="51"/>
  <c r="AS12" i="51"/>
  <c r="AT12" i="51"/>
  <c r="AU12" i="51"/>
  <c r="AV12" i="51"/>
  <c r="AW12" i="51"/>
  <c r="AX12" i="51"/>
  <c r="AY12" i="51"/>
  <c r="AZ12" i="51"/>
  <c r="BA12" i="51"/>
  <c r="BB12" i="51"/>
  <c r="BC12" i="51"/>
  <c r="BD12" i="51"/>
  <c r="BE12" i="51"/>
  <c r="BF12" i="51"/>
  <c r="BG12" i="51"/>
  <c r="BH12" i="51"/>
  <c r="BI12" i="51"/>
  <c r="BJ12" i="51"/>
  <c r="BK12" i="51"/>
  <c r="BL12" i="51"/>
  <c r="BM12" i="51"/>
  <c r="BN12" i="51"/>
  <c r="BO12" i="51"/>
  <c r="BP12" i="51"/>
  <c r="BQ12" i="51"/>
  <c r="BR12" i="51"/>
  <c r="BS12" i="51"/>
  <c r="BT12" i="51"/>
  <c r="BU12" i="51"/>
  <c r="BV12" i="51"/>
  <c r="BW12" i="51"/>
  <c r="BX12" i="51"/>
  <c r="BY12" i="51"/>
  <c r="BZ12" i="51"/>
  <c r="CA12" i="51"/>
  <c r="CB12" i="51"/>
  <c r="CC12" i="51"/>
  <c r="CD12" i="51"/>
  <c r="CE12" i="51"/>
  <c r="CF12" i="51"/>
  <c r="CG12" i="51"/>
  <c r="CH12" i="51"/>
  <c r="CI12" i="51"/>
  <c r="CJ12" i="51"/>
  <c r="CK12" i="51"/>
  <c r="CL12" i="51"/>
  <c r="CM12" i="51"/>
  <c r="CN12" i="51"/>
  <c r="CO12" i="51"/>
  <c r="CP12" i="51"/>
  <c r="CQ12" i="51"/>
  <c r="CR12" i="51"/>
  <c r="CS12" i="51"/>
  <c r="CT12" i="51"/>
  <c r="CU12" i="51"/>
  <c r="CV12" i="51"/>
  <c r="CW12" i="51"/>
  <c r="CX12" i="51"/>
  <c r="CY12" i="51"/>
  <c r="CZ12" i="51"/>
  <c r="DA12" i="51"/>
  <c r="J13" i="51"/>
  <c r="K13" i="51"/>
  <c r="L13" i="51"/>
  <c r="M13" i="51"/>
  <c r="N13" i="51"/>
  <c r="O13" i="51"/>
  <c r="P13" i="51"/>
  <c r="Q13" i="51"/>
  <c r="R13" i="51"/>
  <c r="S13" i="51"/>
  <c r="T13" i="51"/>
  <c r="U13" i="51"/>
  <c r="V13" i="51"/>
  <c r="W13" i="51"/>
  <c r="X13" i="51"/>
  <c r="Y13" i="51"/>
  <c r="Z13" i="51"/>
  <c r="AA13" i="51"/>
  <c r="AB13" i="51"/>
  <c r="AC13" i="51"/>
  <c r="AD13" i="51"/>
  <c r="AE13" i="51"/>
  <c r="AF13" i="51"/>
  <c r="AG13" i="51"/>
  <c r="AH13" i="51"/>
  <c r="AI13" i="51"/>
  <c r="AJ13" i="51"/>
  <c r="AK13" i="51"/>
  <c r="AL13" i="51"/>
  <c r="AM13" i="51"/>
  <c r="AN13" i="51"/>
  <c r="AO13" i="51"/>
  <c r="AP13" i="51"/>
  <c r="AQ13" i="51"/>
  <c r="AR13" i="51"/>
  <c r="AS13" i="51"/>
  <c r="AT13" i="51"/>
  <c r="AU13" i="51"/>
  <c r="AV13" i="51"/>
  <c r="AW13" i="51"/>
  <c r="AX13" i="51"/>
  <c r="AY13" i="51"/>
  <c r="AZ13" i="51"/>
  <c r="BA13" i="51"/>
  <c r="BB13" i="51"/>
  <c r="BC13" i="51"/>
  <c r="BD13" i="51"/>
  <c r="BE13" i="51"/>
  <c r="BF13" i="51"/>
  <c r="BG13" i="51"/>
  <c r="BH13" i="51"/>
  <c r="BI13" i="51"/>
  <c r="BJ13" i="51"/>
  <c r="BK13" i="51"/>
  <c r="BL13" i="51"/>
  <c r="BM13" i="51"/>
  <c r="BN13" i="51"/>
  <c r="BO13" i="51"/>
  <c r="BP13" i="51"/>
  <c r="BQ13" i="51"/>
  <c r="BR13" i="51"/>
  <c r="BS13" i="51"/>
  <c r="BT13" i="51"/>
  <c r="BU13" i="51"/>
  <c r="BV13" i="51"/>
  <c r="BW13" i="51"/>
  <c r="BX13" i="51"/>
  <c r="BY13" i="51"/>
  <c r="BZ13" i="51"/>
  <c r="CA13" i="51"/>
  <c r="CB13" i="51"/>
  <c r="CC13" i="51"/>
  <c r="CD13" i="51"/>
  <c r="CE13" i="51"/>
  <c r="CF13" i="51"/>
  <c r="CG13" i="51"/>
  <c r="CH13" i="51"/>
  <c r="CI13" i="51"/>
  <c r="CJ13" i="51"/>
  <c r="CK13" i="51"/>
  <c r="CL13" i="51"/>
  <c r="CM13" i="51"/>
  <c r="CN13" i="51"/>
  <c r="CO13" i="51"/>
  <c r="CP13" i="51"/>
  <c r="CQ13" i="51"/>
  <c r="CR13" i="51"/>
  <c r="CS13" i="51"/>
  <c r="CT13" i="51"/>
  <c r="CU13" i="51"/>
  <c r="CV13" i="51"/>
  <c r="CW13" i="51"/>
  <c r="CX13" i="51"/>
  <c r="CY13" i="51"/>
  <c r="CZ13" i="51"/>
  <c r="DA13" i="51"/>
  <c r="J14" i="51"/>
  <c r="K14" i="51"/>
  <c r="L14" i="51"/>
  <c r="M14" i="51"/>
  <c r="N14" i="51"/>
  <c r="O14" i="51"/>
  <c r="P14" i="51"/>
  <c r="Q14" i="51"/>
  <c r="R14" i="51"/>
  <c r="S14" i="51"/>
  <c r="T14" i="51"/>
  <c r="U14" i="51"/>
  <c r="V14" i="51"/>
  <c r="W14" i="51"/>
  <c r="X14" i="51"/>
  <c r="Y14" i="51"/>
  <c r="Z14" i="51"/>
  <c r="AA14" i="51"/>
  <c r="AB14" i="51"/>
  <c r="AC14" i="51"/>
  <c r="AD14" i="51"/>
  <c r="AE14" i="51"/>
  <c r="AF14" i="51"/>
  <c r="AG14" i="51"/>
  <c r="AH14" i="51"/>
  <c r="AI14" i="51"/>
  <c r="AJ14" i="51"/>
  <c r="AK14" i="51"/>
  <c r="AL14" i="51"/>
  <c r="AM14" i="51"/>
  <c r="AN14" i="51"/>
  <c r="AO14" i="51"/>
  <c r="AP14" i="51"/>
  <c r="AQ14" i="51"/>
  <c r="AR14" i="51"/>
  <c r="AS14" i="51"/>
  <c r="AT14" i="51"/>
  <c r="AU14" i="51"/>
  <c r="AV14" i="51"/>
  <c r="AW14" i="51"/>
  <c r="AX14" i="51"/>
  <c r="AY14" i="51"/>
  <c r="AZ14" i="51"/>
  <c r="BA14" i="51"/>
  <c r="BB14" i="51"/>
  <c r="BC14" i="51"/>
  <c r="BD14" i="51"/>
  <c r="BE14" i="51"/>
  <c r="BF14" i="51"/>
  <c r="BG14" i="51"/>
  <c r="BH14" i="51"/>
  <c r="BI14" i="51"/>
  <c r="BJ14" i="51"/>
  <c r="BK14" i="51"/>
  <c r="BL14" i="51"/>
  <c r="BM14" i="51"/>
  <c r="BN14" i="51"/>
  <c r="BO14" i="51"/>
  <c r="BP14" i="51"/>
  <c r="BQ14" i="51"/>
  <c r="BR14" i="51"/>
  <c r="BS14" i="51"/>
  <c r="BT14" i="51"/>
  <c r="BU14" i="51"/>
  <c r="BV14" i="51"/>
  <c r="BW14" i="51"/>
  <c r="BX14" i="51"/>
  <c r="BY14" i="51"/>
  <c r="BZ14" i="51"/>
  <c r="CA14" i="51"/>
  <c r="CB14" i="51"/>
  <c r="CC14" i="51"/>
  <c r="CD14" i="51"/>
  <c r="CE14" i="51"/>
  <c r="CF14" i="51"/>
  <c r="CG14" i="51"/>
  <c r="CH14" i="51"/>
  <c r="CI14" i="51"/>
  <c r="CJ14" i="51"/>
  <c r="CK14" i="51"/>
  <c r="CL14" i="51"/>
  <c r="CM14" i="51"/>
  <c r="CN14" i="51"/>
  <c r="CO14" i="51"/>
  <c r="CP14" i="51"/>
  <c r="CQ14" i="51"/>
  <c r="CR14" i="51"/>
  <c r="CS14" i="51"/>
  <c r="CT14" i="51"/>
  <c r="CU14" i="51"/>
  <c r="CV14" i="51"/>
  <c r="CW14" i="51"/>
  <c r="CX14" i="51"/>
  <c r="CY14" i="51"/>
  <c r="CZ14" i="51"/>
  <c r="DA14" i="51"/>
  <c r="J15" i="51"/>
  <c r="K15" i="51"/>
  <c r="L15" i="51"/>
  <c r="M15" i="51"/>
  <c r="N15" i="51"/>
  <c r="O15" i="51"/>
  <c r="P15" i="51"/>
  <c r="Q15" i="51"/>
  <c r="R15" i="51"/>
  <c r="S15" i="51"/>
  <c r="T15" i="51"/>
  <c r="U15" i="51"/>
  <c r="V15" i="51"/>
  <c r="W15" i="51"/>
  <c r="X15" i="51"/>
  <c r="Y15" i="51"/>
  <c r="Z15" i="51"/>
  <c r="AA15" i="51"/>
  <c r="AB15" i="51"/>
  <c r="AC15" i="51"/>
  <c r="AD15" i="51"/>
  <c r="AE15" i="51"/>
  <c r="AF15" i="51"/>
  <c r="AG15" i="51"/>
  <c r="AH15" i="51"/>
  <c r="AI15" i="51"/>
  <c r="AJ15" i="51"/>
  <c r="AK15" i="51"/>
  <c r="AL15" i="51"/>
  <c r="AM15" i="51"/>
  <c r="AN15" i="51"/>
  <c r="AO15" i="51"/>
  <c r="AP15" i="51"/>
  <c r="AQ15" i="51"/>
  <c r="AR15" i="51"/>
  <c r="AS15" i="51"/>
  <c r="AT15" i="51"/>
  <c r="AU15" i="51"/>
  <c r="AV15" i="51"/>
  <c r="AW15" i="51"/>
  <c r="AX15" i="51"/>
  <c r="AY15" i="51"/>
  <c r="AZ15" i="51"/>
  <c r="BA15" i="51"/>
  <c r="BB15" i="51"/>
  <c r="BC15" i="51"/>
  <c r="BD15" i="51"/>
  <c r="BE15" i="51"/>
  <c r="BF15" i="51"/>
  <c r="BG15" i="51"/>
  <c r="BH15" i="51"/>
  <c r="BI15" i="51"/>
  <c r="BJ15" i="51"/>
  <c r="BK15" i="51"/>
  <c r="BL15" i="51"/>
  <c r="BM15" i="51"/>
  <c r="BN15" i="51"/>
  <c r="BO15" i="51"/>
  <c r="BP15" i="51"/>
  <c r="BQ15" i="51"/>
  <c r="BR15" i="51"/>
  <c r="BS15" i="51"/>
  <c r="BT15" i="51"/>
  <c r="BU15" i="51"/>
  <c r="BV15" i="51"/>
  <c r="BW15" i="51"/>
  <c r="BX15" i="51"/>
  <c r="BY15" i="51"/>
  <c r="BZ15" i="51"/>
  <c r="CA15" i="51"/>
  <c r="CB15" i="51"/>
  <c r="CC15" i="51"/>
  <c r="CD15" i="51"/>
  <c r="CE15" i="51"/>
  <c r="CF15" i="51"/>
  <c r="CG15" i="51"/>
  <c r="CH15" i="51"/>
  <c r="CI15" i="51"/>
  <c r="CJ15" i="51"/>
  <c r="CK15" i="51"/>
  <c r="CL15" i="51"/>
  <c r="CM15" i="51"/>
  <c r="CN15" i="51"/>
  <c r="CO15" i="51"/>
  <c r="CP15" i="51"/>
  <c r="CQ15" i="51"/>
  <c r="CR15" i="51"/>
  <c r="CS15" i="51"/>
  <c r="CT15" i="51"/>
  <c r="CU15" i="51"/>
  <c r="CV15" i="51"/>
  <c r="CW15" i="51"/>
  <c r="CX15" i="51"/>
  <c r="CY15" i="51"/>
  <c r="CZ15" i="51"/>
  <c r="DA15" i="51"/>
  <c r="J16" i="51"/>
  <c r="K16" i="51"/>
  <c r="L16" i="51"/>
  <c r="M16" i="51"/>
  <c r="N16" i="51"/>
  <c r="O16" i="51"/>
  <c r="P16" i="51"/>
  <c r="Q16" i="51"/>
  <c r="R16" i="51"/>
  <c r="S16" i="51"/>
  <c r="T16" i="51"/>
  <c r="U16" i="51"/>
  <c r="V16" i="51"/>
  <c r="W16" i="51"/>
  <c r="X16" i="51"/>
  <c r="Y16" i="51"/>
  <c r="Z16" i="51"/>
  <c r="AA16" i="51"/>
  <c r="AB16" i="51"/>
  <c r="AC16" i="51"/>
  <c r="AD16" i="51"/>
  <c r="AE16" i="51"/>
  <c r="AF16" i="51"/>
  <c r="AG16" i="51"/>
  <c r="AH16" i="51"/>
  <c r="AI16" i="51"/>
  <c r="AJ16" i="51"/>
  <c r="AK16" i="51"/>
  <c r="AL16" i="51"/>
  <c r="AM16" i="51"/>
  <c r="AN16" i="51"/>
  <c r="AO16" i="51"/>
  <c r="AP16" i="51"/>
  <c r="AQ16" i="51"/>
  <c r="AR16" i="51"/>
  <c r="AS16" i="51"/>
  <c r="AT16" i="51"/>
  <c r="AU16" i="51"/>
  <c r="AV16" i="51"/>
  <c r="AW16" i="51"/>
  <c r="AX16" i="51"/>
  <c r="AY16" i="51"/>
  <c r="AZ16" i="51"/>
  <c r="BA16" i="51"/>
  <c r="BB16" i="51"/>
  <c r="BC16" i="51"/>
  <c r="BD16" i="51"/>
  <c r="BE16" i="51"/>
  <c r="BF16" i="51"/>
  <c r="BG16" i="51"/>
  <c r="BH16" i="51"/>
  <c r="BI16" i="51"/>
  <c r="BJ16" i="51"/>
  <c r="BK16" i="51"/>
  <c r="BL16" i="51"/>
  <c r="BM16" i="51"/>
  <c r="BN16" i="51"/>
  <c r="BO16" i="51"/>
  <c r="BP16" i="51"/>
  <c r="BQ16" i="51"/>
  <c r="BR16" i="51"/>
  <c r="BS16" i="51"/>
  <c r="BT16" i="51"/>
  <c r="BU16" i="51"/>
  <c r="BV16" i="51"/>
  <c r="BW16" i="51"/>
  <c r="BX16" i="51"/>
  <c r="BY16" i="51"/>
  <c r="BZ16" i="51"/>
  <c r="CA16" i="51"/>
  <c r="CB16" i="51"/>
  <c r="CC16" i="51"/>
  <c r="CD16" i="51"/>
  <c r="CE16" i="51"/>
  <c r="CF16" i="51"/>
  <c r="CG16" i="51"/>
  <c r="CH16" i="51"/>
  <c r="CI16" i="51"/>
  <c r="CJ16" i="51"/>
  <c r="CK16" i="51"/>
  <c r="CL16" i="51"/>
  <c r="CM16" i="51"/>
  <c r="CN16" i="51"/>
  <c r="CO16" i="51"/>
  <c r="CP16" i="51"/>
  <c r="CQ16" i="51"/>
  <c r="CR16" i="51"/>
  <c r="CS16" i="51"/>
  <c r="CT16" i="51"/>
  <c r="CU16" i="51"/>
  <c r="CV16" i="51"/>
  <c r="CW16" i="51"/>
  <c r="CX16" i="51"/>
  <c r="CY16" i="51"/>
  <c r="CZ16" i="51"/>
  <c r="DA16" i="51"/>
  <c r="J17" i="51"/>
  <c r="K17" i="51"/>
  <c r="L17" i="51"/>
  <c r="M17" i="51"/>
  <c r="N17" i="51"/>
  <c r="O17" i="51"/>
  <c r="P17" i="51"/>
  <c r="Q17" i="51"/>
  <c r="R17" i="51"/>
  <c r="S17" i="51"/>
  <c r="T17" i="51"/>
  <c r="U17" i="51"/>
  <c r="V17" i="51"/>
  <c r="W17" i="51"/>
  <c r="X17" i="51"/>
  <c r="Y17" i="51"/>
  <c r="Z17" i="51"/>
  <c r="AA17" i="51"/>
  <c r="AB17" i="51"/>
  <c r="AC17" i="51"/>
  <c r="AD17" i="51"/>
  <c r="AE17" i="51"/>
  <c r="AF17" i="51"/>
  <c r="AG17" i="51"/>
  <c r="AH17" i="51"/>
  <c r="AI17" i="51"/>
  <c r="AJ17" i="51"/>
  <c r="AK17" i="51"/>
  <c r="AL17" i="51"/>
  <c r="AM17" i="51"/>
  <c r="AN17" i="51"/>
  <c r="AO17" i="51"/>
  <c r="AP17" i="51"/>
  <c r="AQ17" i="51"/>
  <c r="AR17" i="51"/>
  <c r="AS17" i="51"/>
  <c r="AT17" i="51"/>
  <c r="AU17" i="51"/>
  <c r="AV17" i="51"/>
  <c r="AW17" i="51"/>
  <c r="AX17" i="51"/>
  <c r="AY17" i="51"/>
  <c r="AZ17" i="51"/>
  <c r="BA17" i="51"/>
  <c r="BB17" i="51"/>
  <c r="BC17" i="51"/>
  <c r="BD17" i="51"/>
  <c r="BE17" i="51"/>
  <c r="BF17" i="51"/>
  <c r="BG17" i="51"/>
  <c r="BH17" i="51"/>
  <c r="BI17" i="51"/>
  <c r="BJ17" i="51"/>
  <c r="BK17" i="51"/>
  <c r="BL17" i="51"/>
  <c r="BM17" i="51"/>
  <c r="BN17" i="51"/>
  <c r="BO17" i="51"/>
  <c r="BP17" i="51"/>
  <c r="BQ17" i="51"/>
  <c r="BR17" i="51"/>
  <c r="BS17" i="51"/>
  <c r="BT17" i="51"/>
  <c r="BU17" i="51"/>
  <c r="BV17" i="51"/>
  <c r="BW17" i="51"/>
  <c r="BX17" i="51"/>
  <c r="BY17" i="51"/>
  <c r="BZ17" i="51"/>
  <c r="CA17" i="51"/>
  <c r="CB17" i="51"/>
  <c r="CC17" i="51"/>
  <c r="CD17" i="51"/>
  <c r="CE17" i="51"/>
  <c r="CF17" i="51"/>
  <c r="CG17" i="51"/>
  <c r="CH17" i="51"/>
  <c r="CI17" i="51"/>
  <c r="CJ17" i="51"/>
  <c r="CK17" i="51"/>
  <c r="CL17" i="51"/>
  <c r="CM17" i="51"/>
  <c r="CN17" i="51"/>
  <c r="CO17" i="51"/>
  <c r="CP17" i="51"/>
  <c r="CQ17" i="51"/>
  <c r="CR17" i="51"/>
  <c r="CS17" i="51"/>
  <c r="CT17" i="51"/>
  <c r="CU17" i="51"/>
  <c r="CV17" i="51"/>
  <c r="CW17" i="51"/>
  <c r="CX17" i="51"/>
  <c r="CY17" i="51"/>
  <c r="CZ17" i="51"/>
  <c r="DA17" i="51"/>
  <c r="J18" i="51"/>
  <c r="K18" i="51"/>
  <c r="L18" i="51"/>
  <c r="M18" i="51"/>
  <c r="N18" i="51"/>
  <c r="O18" i="51"/>
  <c r="P18" i="51"/>
  <c r="Q18" i="51"/>
  <c r="R18" i="51"/>
  <c r="S18" i="51"/>
  <c r="T18" i="51"/>
  <c r="U18" i="51"/>
  <c r="V18" i="51"/>
  <c r="W18" i="51"/>
  <c r="X18" i="51"/>
  <c r="Y18" i="51"/>
  <c r="Z18" i="51"/>
  <c r="AA18" i="51"/>
  <c r="AB18" i="51"/>
  <c r="AC18" i="51"/>
  <c r="AD18" i="51"/>
  <c r="AE18" i="51"/>
  <c r="AF18" i="51"/>
  <c r="AG18" i="51"/>
  <c r="AH18" i="51"/>
  <c r="AI18" i="51"/>
  <c r="AJ18" i="51"/>
  <c r="AK18" i="51"/>
  <c r="AL18" i="51"/>
  <c r="AM18" i="51"/>
  <c r="AN18" i="51"/>
  <c r="AO18" i="51"/>
  <c r="AP18" i="51"/>
  <c r="AQ18" i="51"/>
  <c r="AR18" i="51"/>
  <c r="AS18" i="51"/>
  <c r="AT18" i="51"/>
  <c r="AU18" i="51"/>
  <c r="AV18" i="51"/>
  <c r="AW18" i="51"/>
  <c r="AX18" i="51"/>
  <c r="AY18" i="51"/>
  <c r="AZ18" i="51"/>
  <c r="BA18" i="51"/>
  <c r="BB18" i="51"/>
  <c r="BC18" i="51"/>
  <c r="BD18" i="51"/>
  <c r="BE18" i="51"/>
  <c r="BF18" i="51"/>
  <c r="BG18" i="51"/>
  <c r="BH18" i="51"/>
  <c r="BI18" i="51"/>
  <c r="BJ18" i="51"/>
  <c r="BK18" i="51"/>
  <c r="BL18" i="51"/>
  <c r="BM18" i="51"/>
  <c r="BN18" i="51"/>
  <c r="BO18" i="51"/>
  <c r="BP18" i="51"/>
  <c r="BQ18" i="51"/>
  <c r="BR18" i="51"/>
  <c r="BS18" i="51"/>
  <c r="BT18" i="51"/>
  <c r="BU18" i="51"/>
  <c r="BV18" i="51"/>
  <c r="BW18" i="51"/>
  <c r="BX18" i="51"/>
  <c r="BY18" i="51"/>
  <c r="BZ18" i="51"/>
  <c r="CA18" i="51"/>
  <c r="CB18" i="51"/>
  <c r="CC18" i="51"/>
  <c r="CD18" i="51"/>
  <c r="CE18" i="51"/>
  <c r="CF18" i="51"/>
  <c r="CG18" i="51"/>
  <c r="CH18" i="51"/>
  <c r="CI18" i="51"/>
  <c r="CJ18" i="51"/>
  <c r="CK18" i="51"/>
  <c r="CL18" i="51"/>
  <c r="CM18" i="51"/>
  <c r="CN18" i="51"/>
  <c r="CO18" i="51"/>
  <c r="CP18" i="51"/>
  <c r="CQ18" i="51"/>
  <c r="CR18" i="51"/>
  <c r="CS18" i="51"/>
  <c r="CT18" i="51"/>
  <c r="CU18" i="51"/>
  <c r="CV18" i="51"/>
  <c r="CW18" i="51"/>
  <c r="CX18" i="51"/>
  <c r="CY18" i="51"/>
  <c r="CZ18" i="51"/>
  <c r="DA18" i="51"/>
  <c r="J19" i="51"/>
  <c r="K19" i="51"/>
  <c r="L19" i="51"/>
  <c r="M19" i="51"/>
  <c r="N19" i="51"/>
  <c r="O19" i="51"/>
  <c r="P19" i="51"/>
  <c r="Q19" i="51"/>
  <c r="R19" i="51"/>
  <c r="S19" i="51"/>
  <c r="T19" i="51"/>
  <c r="U19" i="51"/>
  <c r="V19" i="51"/>
  <c r="W19" i="51"/>
  <c r="X19" i="51"/>
  <c r="Y19" i="51"/>
  <c r="Z19" i="51"/>
  <c r="AA19" i="51"/>
  <c r="AB19" i="51"/>
  <c r="AC19" i="51"/>
  <c r="AD19" i="51"/>
  <c r="AE19" i="51"/>
  <c r="AF19" i="51"/>
  <c r="AG19" i="51"/>
  <c r="AH19" i="51"/>
  <c r="AI19" i="51"/>
  <c r="AJ19" i="51"/>
  <c r="AK19" i="51"/>
  <c r="AL19" i="51"/>
  <c r="AM19" i="51"/>
  <c r="AN19" i="51"/>
  <c r="AO19" i="51"/>
  <c r="AP19" i="51"/>
  <c r="AQ19" i="51"/>
  <c r="AR19" i="51"/>
  <c r="AS19" i="51"/>
  <c r="AT19" i="51"/>
  <c r="AU19" i="51"/>
  <c r="AV19" i="51"/>
  <c r="AW19" i="51"/>
  <c r="AX19" i="51"/>
  <c r="AY19" i="51"/>
  <c r="AZ19" i="51"/>
  <c r="BA19" i="51"/>
  <c r="BB19" i="51"/>
  <c r="BC19" i="51"/>
  <c r="BD19" i="51"/>
  <c r="BE19" i="51"/>
  <c r="BF19" i="51"/>
  <c r="BG19" i="51"/>
  <c r="BH19" i="51"/>
  <c r="BI19" i="51"/>
  <c r="BJ19" i="51"/>
  <c r="BK19" i="51"/>
  <c r="BL19" i="51"/>
  <c r="BM19" i="51"/>
  <c r="BN19" i="51"/>
  <c r="BO19" i="51"/>
  <c r="BP19" i="51"/>
  <c r="BQ19" i="51"/>
  <c r="BR19" i="51"/>
  <c r="BS19" i="51"/>
  <c r="BT19" i="51"/>
  <c r="BU19" i="51"/>
  <c r="BV19" i="51"/>
  <c r="BW19" i="51"/>
  <c r="BX19" i="51"/>
  <c r="BY19" i="51"/>
  <c r="BZ19" i="51"/>
  <c r="CA19" i="51"/>
  <c r="CB19" i="51"/>
  <c r="CC19" i="51"/>
  <c r="CD19" i="51"/>
  <c r="CE19" i="51"/>
  <c r="CF19" i="51"/>
  <c r="CG19" i="51"/>
  <c r="CH19" i="51"/>
  <c r="CI19" i="51"/>
  <c r="CJ19" i="51"/>
  <c r="CK19" i="51"/>
  <c r="CL19" i="51"/>
  <c r="CM19" i="51"/>
  <c r="CN19" i="51"/>
  <c r="CO19" i="51"/>
  <c r="CP19" i="51"/>
  <c r="CQ19" i="51"/>
  <c r="CR19" i="51"/>
  <c r="CS19" i="51"/>
  <c r="CT19" i="51"/>
  <c r="CU19" i="51"/>
  <c r="CV19" i="51"/>
  <c r="CW19" i="51"/>
  <c r="CX19" i="51"/>
  <c r="CY19" i="51"/>
  <c r="CZ19" i="51"/>
  <c r="DA19" i="51"/>
  <c r="J20" i="51"/>
  <c r="K20" i="51"/>
  <c r="L20" i="51"/>
  <c r="M20" i="51"/>
  <c r="N20" i="51"/>
  <c r="O20" i="51"/>
  <c r="P20" i="51"/>
  <c r="Q20" i="51"/>
  <c r="R20" i="51"/>
  <c r="S20" i="51"/>
  <c r="T20" i="51"/>
  <c r="U20" i="51"/>
  <c r="V20" i="51"/>
  <c r="W20" i="51"/>
  <c r="X20" i="51"/>
  <c r="Y20" i="51"/>
  <c r="Z20" i="51"/>
  <c r="AA20" i="51"/>
  <c r="AB20" i="51"/>
  <c r="AC20" i="51"/>
  <c r="AD20" i="51"/>
  <c r="AE20" i="51"/>
  <c r="AF20" i="51"/>
  <c r="AG20" i="51"/>
  <c r="AH20" i="51"/>
  <c r="AI20" i="51"/>
  <c r="AJ20" i="51"/>
  <c r="AK20" i="51"/>
  <c r="AL20" i="51"/>
  <c r="AM20" i="51"/>
  <c r="AN20" i="51"/>
  <c r="AO20" i="51"/>
  <c r="AP20" i="51"/>
  <c r="AQ20" i="51"/>
  <c r="AR20" i="51"/>
  <c r="AS20" i="51"/>
  <c r="AT20" i="51"/>
  <c r="AU20" i="51"/>
  <c r="AV20" i="51"/>
  <c r="AW20" i="51"/>
  <c r="AX20" i="51"/>
  <c r="AY20" i="51"/>
  <c r="AZ20" i="51"/>
  <c r="BA20" i="51"/>
  <c r="BB20" i="51"/>
  <c r="BC20" i="51"/>
  <c r="BD20" i="51"/>
  <c r="BE20" i="51"/>
  <c r="BF20" i="51"/>
  <c r="BG20" i="51"/>
  <c r="BH20" i="51"/>
  <c r="BI20" i="51"/>
  <c r="BJ20" i="51"/>
  <c r="BK20" i="51"/>
  <c r="BL20" i="51"/>
  <c r="BM20" i="51"/>
  <c r="BN20" i="51"/>
  <c r="BO20" i="51"/>
  <c r="BP20" i="51"/>
  <c r="BQ20" i="51"/>
  <c r="BR20" i="51"/>
  <c r="BS20" i="51"/>
  <c r="BT20" i="51"/>
  <c r="BU20" i="51"/>
  <c r="BV20" i="51"/>
  <c r="BW20" i="51"/>
  <c r="BX20" i="51"/>
  <c r="BY20" i="51"/>
  <c r="BZ20" i="51"/>
  <c r="CA20" i="51"/>
  <c r="CB20" i="51"/>
  <c r="CC20" i="51"/>
  <c r="CD20" i="51"/>
  <c r="CE20" i="51"/>
  <c r="CF20" i="51"/>
  <c r="CG20" i="51"/>
  <c r="CH20" i="51"/>
  <c r="CI20" i="51"/>
  <c r="CJ20" i="51"/>
  <c r="CK20" i="51"/>
  <c r="CL20" i="51"/>
  <c r="CM20" i="51"/>
  <c r="CN20" i="51"/>
  <c r="CO20" i="51"/>
  <c r="CP20" i="51"/>
  <c r="CQ20" i="51"/>
  <c r="CR20" i="51"/>
  <c r="CS20" i="51"/>
  <c r="CT20" i="51"/>
  <c r="CU20" i="51"/>
  <c r="CV20" i="51"/>
  <c r="CW20" i="51"/>
  <c r="CX20" i="51"/>
  <c r="CY20" i="51"/>
  <c r="CZ20" i="51"/>
  <c r="DA20" i="51"/>
  <c r="J21" i="51"/>
  <c r="K21" i="51"/>
  <c r="L21" i="51"/>
  <c r="M21" i="51"/>
  <c r="N21" i="51"/>
  <c r="O21" i="51"/>
  <c r="P21" i="51"/>
  <c r="Q21" i="51"/>
  <c r="R21" i="51"/>
  <c r="S21" i="51"/>
  <c r="T21" i="51"/>
  <c r="U21" i="51"/>
  <c r="V21" i="51"/>
  <c r="W21" i="51"/>
  <c r="X21" i="51"/>
  <c r="Y21" i="51"/>
  <c r="Z21" i="51"/>
  <c r="AA21" i="51"/>
  <c r="AB21" i="51"/>
  <c r="AC21" i="51"/>
  <c r="AD21" i="51"/>
  <c r="AE21" i="51"/>
  <c r="AF21" i="51"/>
  <c r="AG21" i="51"/>
  <c r="AH21" i="51"/>
  <c r="AI21" i="51"/>
  <c r="AJ21" i="51"/>
  <c r="AK21" i="51"/>
  <c r="AL21" i="51"/>
  <c r="AM21" i="51"/>
  <c r="AN21" i="51"/>
  <c r="AO21" i="51"/>
  <c r="AP21" i="51"/>
  <c r="AQ21" i="51"/>
  <c r="AR21" i="51"/>
  <c r="AS21" i="51"/>
  <c r="AT21" i="51"/>
  <c r="AU21" i="51"/>
  <c r="AV21" i="51"/>
  <c r="AW21" i="51"/>
  <c r="AX21" i="51"/>
  <c r="AY21" i="51"/>
  <c r="AZ21" i="51"/>
  <c r="BA21" i="51"/>
  <c r="BB21" i="51"/>
  <c r="BC21" i="51"/>
  <c r="BD21" i="51"/>
  <c r="BE21" i="51"/>
  <c r="BF21" i="51"/>
  <c r="BG21" i="51"/>
  <c r="BH21" i="51"/>
  <c r="BI21" i="51"/>
  <c r="BJ21" i="51"/>
  <c r="BK21" i="51"/>
  <c r="BL21" i="51"/>
  <c r="BM21" i="51"/>
  <c r="BN21" i="51"/>
  <c r="BO21" i="51"/>
  <c r="BP21" i="51"/>
  <c r="BQ21" i="51"/>
  <c r="BR21" i="51"/>
  <c r="BS21" i="51"/>
  <c r="BT21" i="51"/>
  <c r="BU21" i="51"/>
  <c r="BV21" i="51"/>
  <c r="BW21" i="51"/>
  <c r="BX21" i="51"/>
  <c r="BY21" i="51"/>
  <c r="BZ21" i="51"/>
  <c r="CA21" i="51"/>
  <c r="CB21" i="51"/>
  <c r="CC21" i="51"/>
  <c r="CD21" i="51"/>
  <c r="CE21" i="51"/>
  <c r="CF21" i="51"/>
  <c r="CG21" i="51"/>
  <c r="CH21" i="51"/>
  <c r="CI21" i="51"/>
  <c r="CJ21" i="51"/>
  <c r="CK21" i="51"/>
  <c r="CL21" i="51"/>
  <c r="CM21" i="51"/>
  <c r="CN21" i="51"/>
  <c r="CO21" i="51"/>
  <c r="CP21" i="51"/>
  <c r="CQ21" i="51"/>
  <c r="CR21" i="51"/>
  <c r="CS21" i="51"/>
  <c r="CT21" i="51"/>
  <c r="CU21" i="51"/>
  <c r="CV21" i="51"/>
  <c r="CW21" i="51"/>
  <c r="CX21" i="51"/>
  <c r="CY21" i="51"/>
  <c r="CZ21" i="51"/>
  <c r="DA21" i="51"/>
  <c r="J22" i="51"/>
  <c r="K22" i="51"/>
  <c r="L22" i="51"/>
  <c r="M22" i="51"/>
  <c r="N22" i="51"/>
  <c r="O22" i="51"/>
  <c r="P22" i="51"/>
  <c r="Q22" i="51"/>
  <c r="R22" i="51"/>
  <c r="S22" i="51"/>
  <c r="T22" i="51"/>
  <c r="U22" i="51"/>
  <c r="V22" i="51"/>
  <c r="W22" i="51"/>
  <c r="X22" i="51"/>
  <c r="Y22" i="51"/>
  <c r="Z22" i="51"/>
  <c r="AA22" i="51"/>
  <c r="AB22" i="51"/>
  <c r="AC22" i="51"/>
  <c r="AD22" i="51"/>
  <c r="AE22" i="51"/>
  <c r="AF22" i="51"/>
  <c r="AG22" i="51"/>
  <c r="AH22" i="51"/>
  <c r="AI22" i="51"/>
  <c r="AJ22" i="51"/>
  <c r="AK22" i="51"/>
  <c r="AL22" i="51"/>
  <c r="AM22" i="51"/>
  <c r="AN22" i="51"/>
  <c r="AO22" i="51"/>
  <c r="AP22" i="51"/>
  <c r="AQ22" i="51"/>
  <c r="AR22" i="51"/>
  <c r="AS22" i="51"/>
  <c r="AT22" i="51"/>
  <c r="AU22" i="51"/>
  <c r="AV22" i="51"/>
  <c r="AW22" i="51"/>
  <c r="AX22" i="51"/>
  <c r="AY22" i="51"/>
  <c r="AZ22" i="51"/>
  <c r="BA22" i="51"/>
  <c r="BB22" i="51"/>
  <c r="BC22" i="51"/>
  <c r="BD22" i="51"/>
  <c r="BE22" i="51"/>
  <c r="BF22" i="51"/>
  <c r="BG22" i="51"/>
  <c r="BH22" i="51"/>
  <c r="BI22" i="51"/>
  <c r="BJ22" i="51"/>
  <c r="BK22" i="51"/>
  <c r="BL22" i="51"/>
  <c r="BM22" i="51"/>
  <c r="BN22" i="51"/>
  <c r="BO22" i="51"/>
  <c r="BP22" i="51"/>
  <c r="BQ22" i="51"/>
  <c r="BR22" i="51"/>
  <c r="BS22" i="51"/>
  <c r="BT22" i="51"/>
  <c r="BU22" i="51"/>
  <c r="BV22" i="51"/>
  <c r="BW22" i="51"/>
  <c r="BX22" i="51"/>
  <c r="BY22" i="51"/>
  <c r="BZ22" i="51"/>
  <c r="CA22" i="51"/>
  <c r="CB22" i="51"/>
  <c r="CC22" i="51"/>
  <c r="CD22" i="51"/>
  <c r="CE22" i="51"/>
  <c r="CF22" i="51"/>
  <c r="CG22" i="51"/>
  <c r="CH22" i="51"/>
  <c r="CI22" i="51"/>
  <c r="CJ22" i="51"/>
  <c r="CK22" i="51"/>
  <c r="CL22" i="51"/>
  <c r="CM22" i="51"/>
  <c r="CN22" i="51"/>
  <c r="CO22" i="51"/>
  <c r="CP22" i="51"/>
  <c r="CQ22" i="51"/>
  <c r="CR22" i="51"/>
  <c r="CS22" i="51"/>
  <c r="CT22" i="51"/>
  <c r="CU22" i="51"/>
  <c r="CV22" i="51"/>
  <c r="CW22" i="51"/>
  <c r="CX22" i="51"/>
  <c r="CY22" i="51"/>
  <c r="CZ22" i="51"/>
  <c r="DA22"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AK23" i="51"/>
  <c r="AL23" i="51"/>
  <c r="AM23" i="51"/>
  <c r="AN23" i="51"/>
  <c r="AO23" i="51"/>
  <c r="AP23" i="51"/>
  <c r="AQ23" i="51"/>
  <c r="AR23" i="51"/>
  <c r="AS23" i="51"/>
  <c r="AT23" i="51"/>
  <c r="AU23" i="51"/>
  <c r="AV23" i="51"/>
  <c r="AW23" i="51"/>
  <c r="AX23" i="51"/>
  <c r="AY23" i="51"/>
  <c r="AZ23" i="51"/>
  <c r="BA23" i="51"/>
  <c r="BB23" i="51"/>
  <c r="BC23" i="51"/>
  <c r="BD23" i="51"/>
  <c r="BE23" i="51"/>
  <c r="BF23" i="51"/>
  <c r="BG23" i="51"/>
  <c r="BH23" i="51"/>
  <c r="BI23" i="51"/>
  <c r="BJ23" i="51"/>
  <c r="BK23" i="51"/>
  <c r="BL23" i="51"/>
  <c r="BM23" i="51"/>
  <c r="BN23" i="51"/>
  <c r="BO23" i="51"/>
  <c r="BP23" i="51"/>
  <c r="BQ23" i="51"/>
  <c r="BR23" i="51"/>
  <c r="BS23" i="51"/>
  <c r="BT23" i="51"/>
  <c r="BU23" i="51"/>
  <c r="BV23" i="51"/>
  <c r="BW23" i="51"/>
  <c r="BX23" i="51"/>
  <c r="BY23" i="51"/>
  <c r="BZ23" i="51"/>
  <c r="CA23" i="51"/>
  <c r="CB23" i="51"/>
  <c r="CC23" i="51"/>
  <c r="CD23" i="51"/>
  <c r="CE23" i="51"/>
  <c r="CF23" i="51"/>
  <c r="CG23" i="51"/>
  <c r="CH23" i="51"/>
  <c r="CI23" i="51"/>
  <c r="CJ23" i="51"/>
  <c r="CK23" i="51"/>
  <c r="CL23" i="51"/>
  <c r="CM23" i="51"/>
  <c r="CN23" i="51"/>
  <c r="CO23" i="51"/>
  <c r="CP23" i="51"/>
  <c r="CQ23" i="51"/>
  <c r="CR23" i="51"/>
  <c r="CS23" i="51"/>
  <c r="CT23" i="51"/>
  <c r="CU23" i="51"/>
  <c r="CV23" i="51"/>
  <c r="CW23" i="51"/>
  <c r="CX23" i="51"/>
  <c r="CY23" i="51"/>
  <c r="CZ23" i="51"/>
  <c r="DA23" i="51"/>
  <c r="J24" i="51"/>
  <c r="K24" i="51"/>
  <c r="L24" i="51"/>
  <c r="M24" i="51"/>
  <c r="N24" i="51"/>
  <c r="O24" i="51"/>
  <c r="P24" i="51"/>
  <c r="Q24" i="51"/>
  <c r="R24" i="51"/>
  <c r="S24" i="51"/>
  <c r="T24" i="51"/>
  <c r="U24" i="51"/>
  <c r="V24" i="51"/>
  <c r="W24" i="51"/>
  <c r="X24" i="51"/>
  <c r="Y24" i="51"/>
  <c r="Z24" i="51"/>
  <c r="AA24" i="51"/>
  <c r="AB24" i="51"/>
  <c r="AC24" i="51"/>
  <c r="AD24" i="51"/>
  <c r="AE24" i="51"/>
  <c r="AF24" i="51"/>
  <c r="AG24" i="51"/>
  <c r="AH24" i="51"/>
  <c r="AI24" i="51"/>
  <c r="AJ24" i="51"/>
  <c r="AK24" i="51"/>
  <c r="AL24" i="51"/>
  <c r="AM24" i="51"/>
  <c r="AN24" i="51"/>
  <c r="AO24" i="51"/>
  <c r="AP24" i="51"/>
  <c r="AQ24" i="51"/>
  <c r="AR24" i="51"/>
  <c r="AS24" i="51"/>
  <c r="AT24" i="51"/>
  <c r="AU24" i="51"/>
  <c r="AV24" i="51"/>
  <c r="AW24" i="51"/>
  <c r="AX24" i="51"/>
  <c r="AY24" i="51"/>
  <c r="AZ24" i="51"/>
  <c r="BA24" i="51"/>
  <c r="BB24" i="51"/>
  <c r="BC24" i="51"/>
  <c r="BD24" i="51"/>
  <c r="BE24" i="51"/>
  <c r="BF24" i="51"/>
  <c r="BG24" i="51"/>
  <c r="BH24" i="51"/>
  <c r="BI24" i="51"/>
  <c r="BJ24" i="51"/>
  <c r="BK24" i="51"/>
  <c r="BL24" i="51"/>
  <c r="BM24" i="51"/>
  <c r="BN24" i="51"/>
  <c r="BO24" i="51"/>
  <c r="BP24" i="51"/>
  <c r="BQ24" i="51"/>
  <c r="BR24" i="51"/>
  <c r="BS24" i="51"/>
  <c r="BT24" i="51"/>
  <c r="BU24" i="51"/>
  <c r="BV24" i="51"/>
  <c r="BW24" i="51"/>
  <c r="BX24" i="51"/>
  <c r="BY24" i="51"/>
  <c r="BZ24" i="51"/>
  <c r="CA24" i="51"/>
  <c r="CB24" i="51"/>
  <c r="CC24" i="51"/>
  <c r="CD24" i="51"/>
  <c r="CE24" i="51"/>
  <c r="CF24" i="51"/>
  <c r="CG24" i="51"/>
  <c r="CH24" i="51"/>
  <c r="CI24" i="51"/>
  <c r="CJ24" i="51"/>
  <c r="CK24" i="51"/>
  <c r="CL24" i="51"/>
  <c r="CM24" i="51"/>
  <c r="CN24" i="51"/>
  <c r="CO24" i="51"/>
  <c r="CP24" i="51"/>
  <c r="CQ24" i="51"/>
  <c r="CR24" i="51"/>
  <c r="CS24" i="51"/>
  <c r="CT24" i="51"/>
  <c r="CU24" i="51"/>
  <c r="CV24" i="51"/>
  <c r="CW24" i="51"/>
  <c r="CX24" i="51"/>
  <c r="CY24" i="51"/>
  <c r="CZ24" i="51"/>
  <c r="DA24" i="51"/>
  <c r="J25" i="51"/>
  <c r="K25" i="51"/>
  <c r="L25" i="51"/>
  <c r="M25" i="51"/>
  <c r="N25" i="51"/>
  <c r="O25" i="51"/>
  <c r="P25" i="51"/>
  <c r="Q25" i="51"/>
  <c r="R25" i="51"/>
  <c r="S25" i="51"/>
  <c r="T25" i="51"/>
  <c r="U25" i="51"/>
  <c r="V25" i="51"/>
  <c r="W25" i="51"/>
  <c r="X25" i="51"/>
  <c r="Y25" i="51"/>
  <c r="Z25" i="51"/>
  <c r="AA25" i="51"/>
  <c r="AB25" i="51"/>
  <c r="AC25" i="51"/>
  <c r="AD25" i="51"/>
  <c r="AE25" i="51"/>
  <c r="AF25" i="51"/>
  <c r="AG25" i="51"/>
  <c r="AH25" i="51"/>
  <c r="AI25" i="51"/>
  <c r="AJ25" i="51"/>
  <c r="AK25" i="51"/>
  <c r="AL25" i="51"/>
  <c r="AM25" i="51"/>
  <c r="AN25" i="51"/>
  <c r="AO25" i="51"/>
  <c r="AP25" i="51"/>
  <c r="AQ25" i="51"/>
  <c r="AR25" i="51"/>
  <c r="AS25" i="51"/>
  <c r="AT25" i="51"/>
  <c r="AU25" i="51"/>
  <c r="AV25" i="51"/>
  <c r="AW25" i="51"/>
  <c r="AX25" i="51"/>
  <c r="AY25" i="51"/>
  <c r="AZ25" i="51"/>
  <c r="BA25" i="51"/>
  <c r="BB25" i="51"/>
  <c r="BC25" i="51"/>
  <c r="BD25" i="51"/>
  <c r="BE25" i="51"/>
  <c r="BF25" i="51"/>
  <c r="BG25" i="51"/>
  <c r="BH25" i="51"/>
  <c r="BI25" i="51"/>
  <c r="BJ25" i="51"/>
  <c r="BK25" i="51"/>
  <c r="BL25" i="51"/>
  <c r="BM25" i="51"/>
  <c r="BN25" i="51"/>
  <c r="BO25" i="51"/>
  <c r="BP25" i="51"/>
  <c r="BQ25" i="51"/>
  <c r="BR25" i="51"/>
  <c r="BS25" i="51"/>
  <c r="BT25" i="51"/>
  <c r="BU25" i="51"/>
  <c r="BV25" i="51"/>
  <c r="BW25" i="51"/>
  <c r="BX25" i="51"/>
  <c r="BY25" i="51"/>
  <c r="BZ25" i="51"/>
  <c r="CA25" i="51"/>
  <c r="CB25" i="51"/>
  <c r="CC25" i="51"/>
  <c r="CD25" i="51"/>
  <c r="CE25" i="51"/>
  <c r="CF25" i="51"/>
  <c r="CG25" i="51"/>
  <c r="CH25" i="51"/>
  <c r="CI25" i="51"/>
  <c r="CJ25" i="51"/>
  <c r="CK25" i="51"/>
  <c r="CL25" i="51"/>
  <c r="CM25" i="51"/>
  <c r="CN25" i="51"/>
  <c r="CO25" i="51"/>
  <c r="CP25" i="51"/>
  <c r="CQ25" i="51"/>
  <c r="CR25" i="51"/>
  <c r="CS25" i="51"/>
  <c r="CT25" i="51"/>
  <c r="CU25" i="51"/>
  <c r="CV25" i="51"/>
  <c r="CW25" i="51"/>
  <c r="CX25" i="51"/>
  <c r="CY25" i="51"/>
  <c r="CZ25" i="51"/>
  <c r="DA25" i="51"/>
  <c r="J26" i="51"/>
  <c r="K26" i="51"/>
  <c r="L26" i="51"/>
  <c r="M26" i="51"/>
  <c r="N26" i="51"/>
  <c r="O26" i="51"/>
  <c r="P26" i="51"/>
  <c r="Q26" i="51"/>
  <c r="R26" i="51"/>
  <c r="S26" i="51"/>
  <c r="T26" i="51"/>
  <c r="U26" i="51"/>
  <c r="V26" i="51"/>
  <c r="W26" i="51"/>
  <c r="X26" i="51"/>
  <c r="Y26" i="51"/>
  <c r="Z26" i="51"/>
  <c r="AA26" i="51"/>
  <c r="AB26" i="51"/>
  <c r="AC26" i="51"/>
  <c r="AD26" i="51"/>
  <c r="AE26" i="51"/>
  <c r="AF26" i="51"/>
  <c r="AG26" i="51"/>
  <c r="AH26" i="51"/>
  <c r="AI26" i="51"/>
  <c r="AJ26" i="51"/>
  <c r="AK26" i="51"/>
  <c r="AL26" i="51"/>
  <c r="AM26" i="51"/>
  <c r="AN26" i="51"/>
  <c r="AO26" i="51"/>
  <c r="AP26" i="51"/>
  <c r="AQ26" i="51"/>
  <c r="AR26" i="51"/>
  <c r="AS26" i="51"/>
  <c r="AT26" i="51"/>
  <c r="AU26" i="51"/>
  <c r="AV26" i="51"/>
  <c r="AW26" i="51"/>
  <c r="AX26" i="51"/>
  <c r="AY26" i="51"/>
  <c r="AZ26" i="51"/>
  <c r="BA26" i="51"/>
  <c r="BB26" i="51"/>
  <c r="BC26" i="51"/>
  <c r="BD26" i="51"/>
  <c r="BE26" i="51"/>
  <c r="BF26" i="51"/>
  <c r="BG26" i="51"/>
  <c r="BH26" i="51"/>
  <c r="BI26" i="51"/>
  <c r="BJ26" i="51"/>
  <c r="BK26" i="51"/>
  <c r="BL26" i="51"/>
  <c r="BM26" i="51"/>
  <c r="BN26" i="51"/>
  <c r="BO26" i="51"/>
  <c r="BP26" i="51"/>
  <c r="BQ26" i="51"/>
  <c r="BR26" i="51"/>
  <c r="BS26" i="51"/>
  <c r="BT26" i="51"/>
  <c r="BU26" i="51"/>
  <c r="BV26" i="51"/>
  <c r="BW26" i="51"/>
  <c r="BX26" i="51"/>
  <c r="BY26" i="51"/>
  <c r="BZ26" i="51"/>
  <c r="CA26" i="51"/>
  <c r="CB26" i="51"/>
  <c r="CC26" i="51"/>
  <c r="CD26" i="51"/>
  <c r="CE26" i="51"/>
  <c r="CF26" i="51"/>
  <c r="CG26" i="51"/>
  <c r="CH26" i="51"/>
  <c r="CI26" i="51"/>
  <c r="CJ26" i="51"/>
  <c r="CK26" i="51"/>
  <c r="CL26" i="51"/>
  <c r="CM26" i="51"/>
  <c r="CN26" i="51"/>
  <c r="CO26" i="51"/>
  <c r="CP26" i="51"/>
  <c r="CQ26" i="51"/>
  <c r="CR26" i="51"/>
  <c r="CS26" i="51"/>
  <c r="CT26" i="51"/>
  <c r="CU26" i="51"/>
  <c r="CV26" i="51"/>
  <c r="CW26" i="51"/>
  <c r="CX26" i="51"/>
  <c r="CY26" i="51"/>
  <c r="CZ26" i="51"/>
  <c r="DA26" i="51"/>
  <c r="J27" i="51"/>
  <c r="K27" i="51"/>
  <c r="L27" i="51"/>
  <c r="M27" i="51"/>
  <c r="N27" i="51"/>
  <c r="O27" i="51"/>
  <c r="P27" i="51"/>
  <c r="Q27" i="51"/>
  <c r="R27" i="51"/>
  <c r="S27" i="51"/>
  <c r="T27" i="51"/>
  <c r="U27" i="51"/>
  <c r="V27" i="51"/>
  <c r="W27" i="51"/>
  <c r="X27" i="51"/>
  <c r="Y27" i="51"/>
  <c r="Z27" i="51"/>
  <c r="AA27" i="51"/>
  <c r="AB27" i="51"/>
  <c r="AC27" i="51"/>
  <c r="AD27" i="51"/>
  <c r="AE27" i="51"/>
  <c r="AF27" i="51"/>
  <c r="AG27" i="51"/>
  <c r="AH27" i="51"/>
  <c r="AI27" i="51"/>
  <c r="AJ27" i="51"/>
  <c r="AK27" i="51"/>
  <c r="AL27" i="51"/>
  <c r="AM27" i="51"/>
  <c r="AN27" i="51"/>
  <c r="AO27" i="51"/>
  <c r="AP27" i="51"/>
  <c r="AQ27" i="51"/>
  <c r="AR27" i="51"/>
  <c r="AS27" i="51"/>
  <c r="AT27" i="51"/>
  <c r="AU27" i="51"/>
  <c r="AV27" i="51"/>
  <c r="AW27" i="51"/>
  <c r="AX27" i="51"/>
  <c r="AY27" i="51"/>
  <c r="AZ27" i="51"/>
  <c r="BA27" i="51"/>
  <c r="BB27" i="51"/>
  <c r="BC27" i="51"/>
  <c r="BD27" i="51"/>
  <c r="BE27" i="51"/>
  <c r="BF27" i="51"/>
  <c r="BG27" i="51"/>
  <c r="BH27" i="51"/>
  <c r="BI27" i="51"/>
  <c r="BJ27" i="51"/>
  <c r="BK27" i="51"/>
  <c r="BL27" i="51"/>
  <c r="BM27" i="51"/>
  <c r="BN27" i="51"/>
  <c r="BO27" i="51"/>
  <c r="BP27" i="51"/>
  <c r="BQ27" i="51"/>
  <c r="BR27" i="51"/>
  <c r="BS27" i="51"/>
  <c r="BT27" i="51"/>
  <c r="BU27" i="51"/>
  <c r="BV27" i="51"/>
  <c r="BW27" i="51"/>
  <c r="BX27" i="51"/>
  <c r="BY27" i="51"/>
  <c r="BZ27" i="51"/>
  <c r="CA27" i="51"/>
  <c r="CB27" i="51"/>
  <c r="CC27" i="51"/>
  <c r="CD27" i="51"/>
  <c r="CE27" i="51"/>
  <c r="CF27" i="51"/>
  <c r="CG27" i="51"/>
  <c r="CH27" i="51"/>
  <c r="CI27" i="51"/>
  <c r="CJ27" i="51"/>
  <c r="CK27" i="51"/>
  <c r="CL27" i="51"/>
  <c r="CM27" i="51"/>
  <c r="CN27" i="51"/>
  <c r="CO27" i="51"/>
  <c r="CP27" i="51"/>
  <c r="CQ27" i="51"/>
  <c r="CR27" i="51"/>
  <c r="CS27" i="51"/>
  <c r="CT27" i="51"/>
  <c r="CU27" i="51"/>
  <c r="CV27" i="51"/>
  <c r="CW27" i="51"/>
  <c r="CX27" i="51"/>
  <c r="CY27" i="51"/>
  <c r="CZ27" i="51"/>
  <c r="DA27" i="51"/>
  <c r="J28" i="51"/>
  <c r="K28" i="51"/>
  <c r="L28" i="51"/>
  <c r="M28" i="51"/>
  <c r="N28" i="51"/>
  <c r="O28" i="51"/>
  <c r="P28" i="51"/>
  <c r="Q28" i="51"/>
  <c r="R28" i="51"/>
  <c r="S28" i="51"/>
  <c r="T28" i="51"/>
  <c r="U28" i="51"/>
  <c r="V28" i="51"/>
  <c r="W28" i="51"/>
  <c r="X28" i="51"/>
  <c r="Y28" i="51"/>
  <c r="Z28" i="51"/>
  <c r="AA28" i="51"/>
  <c r="AB28" i="51"/>
  <c r="AC28" i="51"/>
  <c r="AD28" i="51"/>
  <c r="AE28" i="51"/>
  <c r="AF28" i="51"/>
  <c r="AG28" i="51"/>
  <c r="AH28" i="51"/>
  <c r="AI28" i="51"/>
  <c r="AJ28" i="51"/>
  <c r="AK28" i="51"/>
  <c r="AL28" i="51"/>
  <c r="AM28" i="51"/>
  <c r="AN28" i="51"/>
  <c r="AO28" i="51"/>
  <c r="AP28" i="51"/>
  <c r="AQ28" i="51"/>
  <c r="AR28" i="51"/>
  <c r="AS28" i="51"/>
  <c r="AT28" i="51"/>
  <c r="AU28" i="51"/>
  <c r="AV28" i="51"/>
  <c r="AW28" i="51"/>
  <c r="AX28" i="51"/>
  <c r="AY28" i="51"/>
  <c r="AZ28" i="51"/>
  <c r="BA28" i="51"/>
  <c r="BB28" i="51"/>
  <c r="BC28" i="51"/>
  <c r="BD28" i="51"/>
  <c r="BE28" i="51"/>
  <c r="BF28" i="51"/>
  <c r="BG28" i="51"/>
  <c r="BH28" i="51"/>
  <c r="BI28" i="51"/>
  <c r="BJ28" i="51"/>
  <c r="BK28" i="51"/>
  <c r="BL28" i="51"/>
  <c r="BM28" i="51"/>
  <c r="BN28" i="51"/>
  <c r="BO28" i="51"/>
  <c r="BP28" i="51"/>
  <c r="BQ28" i="51"/>
  <c r="BR28" i="51"/>
  <c r="BS28" i="51"/>
  <c r="BT28" i="51"/>
  <c r="BU28" i="51"/>
  <c r="BV28" i="51"/>
  <c r="BW28" i="51"/>
  <c r="BX28" i="51"/>
  <c r="BY28" i="51"/>
  <c r="BZ28" i="51"/>
  <c r="CA28" i="51"/>
  <c r="CB28" i="51"/>
  <c r="CC28" i="51"/>
  <c r="CD28" i="51"/>
  <c r="CE28" i="51"/>
  <c r="CF28" i="51"/>
  <c r="CG28" i="51"/>
  <c r="CH28" i="51"/>
  <c r="CI28" i="51"/>
  <c r="CJ28" i="51"/>
  <c r="CK28" i="51"/>
  <c r="CL28" i="51"/>
  <c r="CM28" i="51"/>
  <c r="CN28" i="51"/>
  <c r="CO28" i="51"/>
  <c r="CP28" i="51"/>
  <c r="CQ28" i="51"/>
  <c r="CR28" i="51"/>
  <c r="CS28" i="51"/>
  <c r="CT28" i="51"/>
  <c r="CU28" i="51"/>
  <c r="CV28" i="51"/>
  <c r="CW28" i="51"/>
  <c r="CX28" i="51"/>
  <c r="CY28" i="51"/>
  <c r="CZ28" i="51"/>
  <c r="DA28" i="51"/>
  <c r="J29" i="51"/>
  <c r="K29" i="51"/>
  <c r="L29" i="51"/>
  <c r="M29" i="51"/>
  <c r="N29" i="51"/>
  <c r="O29" i="51"/>
  <c r="P29" i="51"/>
  <c r="Q29" i="51"/>
  <c r="R29" i="51"/>
  <c r="S29" i="51"/>
  <c r="T29" i="51"/>
  <c r="U29" i="51"/>
  <c r="V29" i="51"/>
  <c r="W29" i="51"/>
  <c r="X29" i="51"/>
  <c r="Y29" i="51"/>
  <c r="Z29" i="51"/>
  <c r="AA29" i="51"/>
  <c r="AB29" i="51"/>
  <c r="AC29" i="51"/>
  <c r="AD29" i="51"/>
  <c r="AE29" i="51"/>
  <c r="AF29" i="51"/>
  <c r="AG29" i="51"/>
  <c r="AH29" i="51"/>
  <c r="AI29" i="51"/>
  <c r="AJ29" i="51"/>
  <c r="AK29" i="51"/>
  <c r="AL29" i="51"/>
  <c r="AM29" i="51"/>
  <c r="AN29" i="51"/>
  <c r="AO29" i="51"/>
  <c r="AP29" i="51"/>
  <c r="AQ29" i="51"/>
  <c r="AR29" i="51"/>
  <c r="AS29" i="51"/>
  <c r="AT29" i="51"/>
  <c r="AU29" i="51"/>
  <c r="AV29" i="51"/>
  <c r="AW29" i="51"/>
  <c r="AX29" i="51"/>
  <c r="AY29" i="51"/>
  <c r="AZ29" i="51"/>
  <c r="BA29" i="51"/>
  <c r="BB29" i="51"/>
  <c r="BC29" i="51"/>
  <c r="BD29" i="51"/>
  <c r="BE29" i="51"/>
  <c r="BF29" i="51"/>
  <c r="BG29" i="51"/>
  <c r="BH29" i="51"/>
  <c r="BI29" i="51"/>
  <c r="BJ29" i="51"/>
  <c r="BK29" i="51"/>
  <c r="BL29" i="51"/>
  <c r="BM29" i="51"/>
  <c r="BN29" i="51"/>
  <c r="BO29" i="51"/>
  <c r="BP29" i="51"/>
  <c r="BQ29" i="51"/>
  <c r="BR29" i="51"/>
  <c r="BS29" i="51"/>
  <c r="BT29" i="51"/>
  <c r="BU29" i="51"/>
  <c r="BV29" i="51"/>
  <c r="BW29" i="51"/>
  <c r="BX29" i="51"/>
  <c r="BY29" i="51"/>
  <c r="BZ29" i="51"/>
  <c r="CA29" i="51"/>
  <c r="CB29" i="51"/>
  <c r="CC29" i="51"/>
  <c r="CD29" i="51"/>
  <c r="CE29" i="51"/>
  <c r="CF29" i="51"/>
  <c r="CG29" i="51"/>
  <c r="CH29" i="51"/>
  <c r="CI29" i="51"/>
  <c r="CJ29" i="51"/>
  <c r="CK29" i="51"/>
  <c r="CL29" i="51"/>
  <c r="CM29" i="51"/>
  <c r="CN29" i="51"/>
  <c r="CO29" i="51"/>
  <c r="CP29" i="51"/>
  <c r="CQ29" i="51"/>
  <c r="CR29" i="51"/>
  <c r="CS29" i="51"/>
  <c r="CT29" i="51"/>
  <c r="CU29" i="51"/>
  <c r="CV29" i="51"/>
  <c r="CW29" i="51"/>
  <c r="CX29" i="51"/>
  <c r="CY29" i="51"/>
  <c r="CZ29" i="51"/>
  <c r="DA29" i="51"/>
  <c r="J30" i="51"/>
  <c r="K30" i="51"/>
  <c r="L30" i="51"/>
  <c r="M30" i="51"/>
  <c r="N30" i="51"/>
  <c r="O30" i="51"/>
  <c r="P30" i="51"/>
  <c r="Q30" i="51"/>
  <c r="R30" i="51"/>
  <c r="S30" i="51"/>
  <c r="T30" i="51"/>
  <c r="U30" i="51"/>
  <c r="V30" i="51"/>
  <c r="W30" i="51"/>
  <c r="X30" i="51"/>
  <c r="Y30" i="51"/>
  <c r="Z30" i="51"/>
  <c r="AA30" i="51"/>
  <c r="AB30" i="51"/>
  <c r="AC30" i="51"/>
  <c r="AD30" i="51"/>
  <c r="AE30" i="51"/>
  <c r="AF30" i="51"/>
  <c r="AG30" i="51"/>
  <c r="AH30" i="51"/>
  <c r="AI30" i="51"/>
  <c r="AJ30" i="51"/>
  <c r="AK30" i="51"/>
  <c r="AL30" i="51"/>
  <c r="AM30" i="51"/>
  <c r="AN30" i="51"/>
  <c r="AO30" i="51"/>
  <c r="AP30" i="51"/>
  <c r="AQ30" i="51"/>
  <c r="AR30" i="51"/>
  <c r="AS30" i="51"/>
  <c r="AT30" i="51"/>
  <c r="AU30" i="51"/>
  <c r="AV30" i="51"/>
  <c r="AW30" i="51"/>
  <c r="AX30" i="51"/>
  <c r="AY30" i="51"/>
  <c r="AZ30" i="51"/>
  <c r="BA30" i="51"/>
  <c r="BB30" i="51"/>
  <c r="BC30" i="51"/>
  <c r="BD30" i="51"/>
  <c r="BE30" i="51"/>
  <c r="BF30" i="51"/>
  <c r="BG30" i="51"/>
  <c r="BH30" i="51"/>
  <c r="BI30" i="51"/>
  <c r="BJ30" i="51"/>
  <c r="BK30" i="51"/>
  <c r="BL30" i="51"/>
  <c r="BM30" i="51"/>
  <c r="BN30" i="51"/>
  <c r="BO30" i="51"/>
  <c r="BP30" i="51"/>
  <c r="BQ30" i="51"/>
  <c r="BR30" i="51"/>
  <c r="BS30" i="51"/>
  <c r="BT30" i="51"/>
  <c r="BU30" i="51"/>
  <c r="BV30" i="51"/>
  <c r="BW30" i="51"/>
  <c r="BX30" i="51"/>
  <c r="BY30" i="51"/>
  <c r="BZ30" i="51"/>
  <c r="CA30" i="51"/>
  <c r="CB30" i="51"/>
  <c r="CC30" i="51"/>
  <c r="CD30" i="51"/>
  <c r="CE30" i="51"/>
  <c r="CF30" i="51"/>
  <c r="CG30" i="51"/>
  <c r="CH30" i="51"/>
  <c r="CI30" i="51"/>
  <c r="CJ30" i="51"/>
  <c r="CK30" i="51"/>
  <c r="CL30" i="51"/>
  <c r="CM30" i="51"/>
  <c r="CN30" i="51"/>
  <c r="CO30" i="51"/>
  <c r="CP30" i="51"/>
  <c r="CQ30" i="51"/>
  <c r="CR30" i="51"/>
  <c r="CS30" i="51"/>
  <c r="CT30" i="51"/>
  <c r="CU30" i="51"/>
  <c r="CV30" i="51"/>
  <c r="CW30" i="51"/>
  <c r="CX30" i="51"/>
  <c r="CY30" i="51"/>
  <c r="CZ30" i="51"/>
  <c r="DA30" i="51"/>
  <c r="J31" i="51"/>
  <c r="K31" i="51"/>
  <c r="L31" i="51"/>
  <c r="M31" i="51"/>
  <c r="N31" i="51"/>
  <c r="O31" i="51"/>
  <c r="P31" i="51"/>
  <c r="Q31" i="51"/>
  <c r="R31" i="51"/>
  <c r="S31" i="51"/>
  <c r="T31" i="51"/>
  <c r="U31" i="51"/>
  <c r="V31" i="51"/>
  <c r="W31" i="51"/>
  <c r="X31" i="51"/>
  <c r="Y31" i="51"/>
  <c r="Z31" i="51"/>
  <c r="AA31" i="51"/>
  <c r="AB31" i="51"/>
  <c r="AC31" i="51"/>
  <c r="AD31" i="51"/>
  <c r="AE31" i="51"/>
  <c r="AF31" i="51"/>
  <c r="AG31" i="51"/>
  <c r="AH31" i="51"/>
  <c r="AI31" i="51"/>
  <c r="AJ31" i="51"/>
  <c r="AK31" i="51"/>
  <c r="AL31" i="51"/>
  <c r="AM31" i="51"/>
  <c r="AN31" i="51"/>
  <c r="AO31" i="51"/>
  <c r="AP31" i="51"/>
  <c r="AQ31" i="51"/>
  <c r="AR31" i="51"/>
  <c r="AS31" i="51"/>
  <c r="AT31" i="51"/>
  <c r="AU31" i="51"/>
  <c r="AV31" i="51"/>
  <c r="AW31" i="51"/>
  <c r="AX31" i="51"/>
  <c r="AY31" i="51"/>
  <c r="AZ31" i="51"/>
  <c r="BA31" i="51"/>
  <c r="BB31" i="51"/>
  <c r="BC31" i="51"/>
  <c r="BD31" i="51"/>
  <c r="BE31" i="51"/>
  <c r="BF31" i="51"/>
  <c r="BG31" i="51"/>
  <c r="BH31" i="51"/>
  <c r="BI31" i="51"/>
  <c r="BJ31" i="51"/>
  <c r="BK31" i="51"/>
  <c r="BL31" i="51"/>
  <c r="BM31" i="51"/>
  <c r="BN31" i="51"/>
  <c r="BO31" i="51"/>
  <c r="BP31" i="51"/>
  <c r="BQ31" i="51"/>
  <c r="BR31" i="51"/>
  <c r="BS31" i="51"/>
  <c r="BT31" i="51"/>
  <c r="BU31" i="51"/>
  <c r="BV31" i="51"/>
  <c r="BW31" i="51"/>
  <c r="BX31" i="51"/>
  <c r="BY31" i="51"/>
  <c r="BZ31" i="51"/>
  <c r="CA31" i="51"/>
  <c r="CB31" i="51"/>
  <c r="CC31" i="51"/>
  <c r="CD31" i="51"/>
  <c r="CE31" i="51"/>
  <c r="CF31" i="51"/>
  <c r="CG31" i="51"/>
  <c r="CH31" i="51"/>
  <c r="CI31" i="51"/>
  <c r="CJ31" i="51"/>
  <c r="CK31" i="51"/>
  <c r="CL31" i="51"/>
  <c r="CM31" i="51"/>
  <c r="CN31" i="51"/>
  <c r="CO31" i="51"/>
  <c r="CP31" i="51"/>
  <c r="CQ31" i="51"/>
  <c r="CR31" i="51"/>
  <c r="CS31" i="51"/>
  <c r="CT31" i="51"/>
  <c r="CU31" i="51"/>
  <c r="CV31" i="51"/>
  <c r="CW31" i="51"/>
  <c r="CX31" i="51"/>
  <c r="CY31" i="51"/>
  <c r="CZ31" i="51"/>
  <c r="DA31" i="51"/>
  <c r="J32" i="51"/>
  <c r="K32" i="51"/>
  <c r="L32" i="51"/>
  <c r="M32" i="51"/>
  <c r="N32" i="51"/>
  <c r="O32" i="51"/>
  <c r="P32" i="51"/>
  <c r="Q32" i="51"/>
  <c r="R32" i="51"/>
  <c r="S32" i="51"/>
  <c r="T32" i="51"/>
  <c r="U32" i="51"/>
  <c r="V32" i="51"/>
  <c r="W32" i="51"/>
  <c r="X32" i="51"/>
  <c r="Y32" i="51"/>
  <c r="Z32" i="51"/>
  <c r="AA32" i="51"/>
  <c r="AB32" i="51"/>
  <c r="AC32" i="51"/>
  <c r="AD32" i="51"/>
  <c r="AE32" i="51"/>
  <c r="AF32" i="51"/>
  <c r="AG32" i="51"/>
  <c r="AH32" i="51"/>
  <c r="AI32" i="51"/>
  <c r="AJ32" i="51"/>
  <c r="AK32" i="51"/>
  <c r="AL32" i="51"/>
  <c r="AM32" i="51"/>
  <c r="AN32" i="51"/>
  <c r="AO32" i="51"/>
  <c r="AP32" i="51"/>
  <c r="AQ32" i="51"/>
  <c r="AR32" i="51"/>
  <c r="AS32" i="51"/>
  <c r="AT32" i="51"/>
  <c r="AU32" i="51"/>
  <c r="AV32" i="51"/>
  <c r="AW32" i="51"/>
  <c r="AX32" i="51"/>
  <c r="AY32" i="51"/>
  <c r="AZ32" i="51"/>
  <c r="BA32" i="51"/>
  <c r="BB32" i="51"/>
  <c r="BC32" i="51"/>
  <c r="BD32" i="51"/>
  <c r="BE32" i="51"/>
  <c r="BF32" i="51"/>
  <c r="BG32" i="51"/>
  <c r="BH32" i="51"/>
  <c r="BI32" i="51"/>
  <c r="BJ32" i="51"/>
  <c r="BK32" i="51"/>
  <c r="BL32" i="51"/>
  <c r="BM32" i="51"/>
  <c r="BN32" i="51"/>
  <c r="BO32" i="51"/>
  <c r="BP32" i="51"/>
  <c r="BQ32" i="51"/>
  <c r="BR32" i="51"/>
  <c r="BS32" i="51"/>
  <c r="BT32" i="51"/>
  <c r="BU32" i="51"/>
  <c r="BV32" i="51"/>
  <c r="BW32" i="51"/>
  <c r="BX32" i="51"/>
  <c r="BY32" i="51"/>
  <c r="BZ32" i="51"/>
  <c r="CA32" i="51"/>
  <c r="CB32" i="51"/>
  <c r="CC32" i="51"/>
  <c r="CD32" i="51"/>
  <c r="CE32" i="51"/>
  <c r="CF32" i="51"/>
  <c r="CG32" i="51"/>
  <c r="CH32" i="51"/>
  <c r="CI32" i="51"/>
  <c r="CJ32" i="51"/>
  <c r="CK32" i="51"/>
  <c r="CL32" i="51"/>
  <c r="CM32" i="51"/>
  <c r="CN32" i="51"/>
  <c r="CO32" i="51"/>
  <c r="CP32" i="51"/>
  <c r="CQ32" i="51"/>
  <c r="CR32" i="51"/>
  <c r="CS32" i="51"/>
  <c r="CT32" i="51"/>
  <c r="CU32" i="51"/>
  <c r="CV32" i="51"/>
  <c r="CW32" i="51"/>
  <c r="CX32" i="51"/>
  <c r="CY32" i="51"/>
  <c r="CZ32" i="51"/>
  <c r="DA32" i="51"/>
  <c r="J33" i="51"/>
  <c r="K33" i="51"/>
  <c r="L33" i="51"/>
  <c r="M33" i="51"/>
  <c r="N33" i="51"/>
  <c r="O33" i="51"/>
  <c r="P33" i="51"/>
  <c r="Q33" i="51"/>
  <c r="R33" i="51"/>
  <c r="S33" i="51"/>
  <c r="T33" i="51"/>
  <c r="U33" i="51"/>
  <c r="V33" i="51"/>
  <c r="W33" i="51"/>
  <c r="X33" i="51"/>
  <c r="Y33" i="51"/>
  <c r="Z33" i="51"/>
  <c r="AA33" i="51"/>
  <c r="AB33" i="51"/>
  <c r="AC33" i="51"/>
  <c r="AD33" i="51"/>
  <c r="AE33" i="51"/>
  <c r="AF33" i="51"/>
  <c r="AG33" i="51"/>
  <c r="AH33" i="51"/>
  <c r="AI33" i="51"/>
  <c r="AJ33" i="51"/>
  <c r="AK33" i="51"/>
  <c r="AL33" i="51"/>
  <c r="AM33" i="51"/>
  <c r="AN33" i="51"/>
  <c r="AO33" i="51"/>
  <c r="AP33" i="51"/>
  <c r="AQ33" i="51"/>
  <c r="AR33" i="51"/>
  <c r="AS33" i="51"/>
  <c r="AT33" i="51"/>
  <c r="AU33" i="51"/>
  <c r="AV33" i="51"/>
  <c r="AW33" i="51"/>
  <c r="AX33" i="51"/>
  <c r="AY33" i="51"/>
  <c r="AZ33" i="51"/>
  <c r="BA33" i="51"/>
  <c r="BB33" i="51"/>
  <c r="BC33" i="51"/>
  <c r="BD33" i="51"/>
  <c r="BE33" i="51"/>
  <c r="BF33" i="51"/>
  <c r="BG33" i="51"/>
  <c r="BH33" i="51"/>
  <c r="BI33" i="51"/>
  <c r="BJ33" i="51"/>
  <c r="BK33" i="51"/>
  <c r="BL33" i="51"/>
  <c r="BM33" i="51"/>
  <c r="BN33" i="51"/>
  <c r="BO33" i="51"/>
  <c r="BP33" i="51"/>
  <c r="BQ33" i="51"/>
  <c r="BR33" i="51"/>
  <c r="BS33" i="51"/>
  <c r="BT33" i="51"/>
  <c r="BU33" i="51"/>
  <c r="BV33" i="51"/>
  <c r="BW33" i="51"/>
  <c r="BX33" i="51"/>
  <c r="BY33" i="51"/>
  <c r="BZ33" i="51"/>
  <c r="CA33" i="51"/>
  <c r="CB33" i="51"/>
  <c r="CC33" i="51"/>
  <c r="CD33" i="51"/>
  <c r="CE33" i="51"/>
  <c r="CF33" i="51"/>
  <c r="CG33" i="51"/>
  <c r="CH33" i="51"/>
  <c r="CI33" i="51"/>
  <c r="CJ33" i="51"/>
  <c r="CK33" i="51"/>
  <c r="CL33" i="51"/>
  <c r="CM33" i="51"/>
  <c r="CN33" i="51"/>
  <c r="CO33" i="51"/>
  <c r="CP33" i="51"/>
  <c r="CQ33" i="51"/>
  <c r="CR33" i="51"/>
  <c r="CS33" i="51"/>
  <c r="CT33" i="51"/>
  <c r="CU33" i="51"/>
  <c r="CV33" i="51"/>
  <c r="CW33" i="51"/>
  <c r="CX33" i="51"/>
  <c r="CY33" i="51"/>
  <c r="CZ33" i="51"/>
  <c r="DA33" i="51"/>
  <c r="J34" i="51"/>
  <c r="K34" i="51"/>
  <c r="L34" i="51"/>
  <c r="M34" i="51"/>
  <c r="N34" i="51"/>
  <c r="O34" i="51"/>
  <c r="P34" i="51"/>
  <c r="Q34" i="51"/>
  <c r="R34" i="51"/>
  <c r="S34" i="51"/>
  <c r="T34" i="51"/>
  <c r="U34" i="51"/>
  <c r="V34" i="51"/>
  <c r="W34" i="51"/>
  <c r="X34" i="51"/>
  <c r="Y34" i="51"/>
  <c r="Z34" i="51"/>
  <c r="AA34" i="51"/>
  <c r="AB34" i="51"/>
  <c r="AC34" i="51"/>
  <c r="AD34" i="51"/>
  <c r="AE34" i="51"/>
  <c r="AF34" i="51"/>
  <c r="AG34" i="51"/>
  <c r="AH34" i="51"/>
  <c r="AI34" i="51"/>
  <c r="AJ34" i="51"/>
  <c r="AK34" i="51"/>
  <c r="AL34" i="51"/>
  <c r="AM34" i="51"/>
  <c r="AN34" i="51"/>
  <c r="AO34" i="51"/>
  <c r="AP34" i="51"/>
  <c r="AQ34" i="51"/>
  <c r="AR34" i="51"/>
  <c r="AS34" i="51"/>
  <c r="AT34" i="51"/>
  <c r="AU34" i="51"/>
  <c r="AV34" i="51"/>
  <c r="AW34" i="51"/>
  <c r="AX34" i="51"/>
  <c r="AY34" i="51"/>
  <c r="AZ34" i="51"/>
  <c r="BA34" i="51"/>
  <c r="BB34" i="51"/>
  <c r="BC34" i="51"/>
  <c r="BD34" i="51"/>
  <c r="BE34" i="51"/>
  <c r="BF34" i="51"/>
  <c r="BG34" i="51"/>
  <c r="BH34" i="51"/>
  <c r="BI34" i="51"/>
  <c r="BJ34" i="51"/>
  <c r="BK34" i="51"/>
  <c r="BL34" i="51"/>
  <c r="BM34" i="51"/>
  <c r="BN34" i="51"/>
  <c r="BO34" i="51"/>
  <c r="BP34" i="51"/>
  <c r="BQ34" i="51"/>
  <c r="BR34" i="51"/>
  <c r="BS34" i="51"/>
  <c r="BT34" i="51"/>
  <c r="BU34" i="51"/>
  <c r="BV34" i="51"/>
  <c r="BW34" i="51"/>
  <c r="BX34" i="51"/>
  <c r="BY34" i="51"/>
  <c r="BZ34" i="51"/>
  <c r="CA34" i="51"/>
  <c r="CB34" i="51"/>
  <c r="CC34" i="51"/>
  <c r="CD34" i="51"/>
  <c r="CE34" i="51"/>
  <c r="CF34" i="51"/>
  <c r="CG34" i="51"/>
  <c r="CH34" i="51"/>
  <c r="CI34" i="51"/>
  <c r="CJ34" i="51"/>
  <c r="CK34" i="51"/>
  <c r="CL34" i="51"/>
  <c r="CM34" i="51"/>
  <c r="CN34" i="51"/>
  <c r="CO34" i="51"/>
  <c r="CP34" i="51"/>
  <c r="CQ34" i="51"/>
  <c r="CR34" i="51"/>
  <c r="CS34" i="51"/>
  <c r="CT34" i="51"/>
  <c r="CU34" i="51"/>
  <c r="CV34" i="51"/>
  <c r="CW34" i="51"/>
  <c r="CX34" i="51"/>
  <c r="CY34" i="51"/>
  <c r="CZ34" i="51"/>
  <c r="DA34" i="51"/>
  <c r="J35" i="51"/>
  <c r="K35" i="51"/>
  <c r="L35" i="51"/>
  <c r="M35" i="51"/>
  <c r="N35" i="51"/>
  <c r="O35" i="51"/>
  <c r="P35" i="51"/>
  <c r="Q35" i="51"/>
  <c r="R35" i="51"/>
  <c r="S35" i="51"/>
  <c r="T35" i="51"/>
  <c r="U35" i="51"/>
  <c r="V35" i="51"/>
  <c r="W35" i="51"/>
  <c r="X35" i="51"/>
  <c r="Y35" i="51"/>
  <c r="Z35" i="51"/>
  <c r="AA35" i="51"/>
  <c r="AB35" i="51"/>
  <c r="AC35" i="51"/>
  <c r="AD35" i="51"/>
  <c r="AE35" i="51"/>
  <c r="AF35" i="51"/>
  <c r="AG35" i="51"/>
  <c r="AH35" i="51"/>
  <c r="AI35" i="51"/>
  <c r="AJ35" i="51"/>
  <c r="AK35" i="51"/>
  <c r="AL35" i="51"/>
  <c r="AM35" i="51"/>
  <c r="AN35" i="51"/>
  <c r="AO35" i="51"/>
  <c r="AP35" i="51"/>
  <c r="AQ35" i="51"/>
  <c r="AR35" i="51"/>
  <c r="AS35" i="51"/>
  <c r="AT35" i="51"/>
  <c r="AU35" i="51"/>
  <c r="AV35" i="51"/>
  <c r="AW35" i="51"/>
  <c r="AX35" i="51"/>
  <c r="AY35" i="51"/>
  <c r="AZ35" i="51"/>
  <c r="BA35" i="51"/>
  <c r="BB35" i="51"/>
  <c r="BC35" i="51"/>
  <c r="BD35" i="51"/>
  <c r="BE35" i="51"/>
  <c r="BF35" i="51"/>
  <c r="BG35" i="51"/>
  <c r="BH35" i="51"/>
  <c r="BI35" i="51"/>
  <c r="BJ35" i="51"/>
  <c r="BK35" i="51"/>
  <c r="BL35" i="51"/>
  <c r="BM35" i="51"/>
  <c r="BN35" i="51"/>
  <c r="BO35" i="51"/>
  <c r="BP35" i="51"/>
  <c r="BQ35" i="51"/>
  <c r="BR35" i="51"/>
  <c r="BS35" i="51"/>
  <c r="BT35" i="51"/>
  <c r="BU35" i="51"/>
  <c r="BV35" i="51"/>
  <c r="BW35" i="51"/>
  <c r="BX35" i="51"/>
  <c r="BY35" i="51"/>
  <c r="BZ35" i="51"/>
  <c r="CA35" i="51"/>
  <c r="CB35" i="51"/>
  <c r="CC35" i="51"/>
  <c r="CD35" i="51"/>
  <c r="CE35" i="51"/>
  <c r="CF35" i="51"/>
  <c r="CG35" i="51"/>
  <c r="CH35" i="51"/>
  <c r="CI35" i="51"/>
  <c r="CJ35" i="51"/>
  <c r="CK35" i="51"/>
  <c r="CL35" i="51"/>
  <c r="CM35" i="51"/>
  <c r="CN35" i="51"/>
  <c r="CO35" i="51"/>
  <c r="CP35" i="51"/>
  <c r="CQ35" i="51"/>
  <c r="CR35" i="51"/>
  <c r="CS35" i="51"/>
  <c r="CT35" i="51"/>
  <c r="CU35" i="51"/>
  <c r="CV35" i="51"/>
  <c r="CW35" i="51"/>
  <c r="CX35" i="51"/>
  <c r="CY35" i="51"/>
  <c r="CZ35" i="51"/>
  <c r="DA35" i="51"/>
  <c r="J36" i="51"/>
  <c r="K36" i="51"/>
  <c r="L36" i="51"/>
  <c r="M36" i="51"/>
  <c r="N36" i="51"/>
  <c r="O36" i="51"/>
  <c r="P36" i="51"/>
  <c r="Q36" i="51"/>
  <c r="R36" i="51"/>
  <c r="S36" i="51"/>
  <c r="T36" i="51"/>
  <c r="U36" i="51"/>
  <c r="V36" i="51"/>
  <c r="W36" i="51"/>
  <c r="X36" i="51"/>
  <c r="Y36" i="51"/>
  <c r="Z36" i="51"/>
  <c r="AA36" i="51"/>
  <c r="AB36" i="51"/>
  <c r="AC36" i="51"/>
  <c r="AD36" i="51"/>
  <c r="AE36" i="51"/>
  <c r="AF36" i="51"/>
  <c r="AG36" i="51"/>
  <c r="AH36" i="51"/>
  <c r="AI36" i="51"/>
  <c r="AJ36" i="51"/>
  <c r="AK36" i="51"/>
  <c r="AL36" i="51"/>
  <c r="AM36" i="51"/>
  <c r="AN36" i="51"/>
  <c r="AO36" i="51"/>
  <c r="AP36" i="51"/>
  <c r="AQ36" i="51"/>
  <c r="AR36" i="51"/>
  <c r="AS36" i="51"/>
  <c r="AT36" i="51"/>
  <c r="AU36" i="51"/>
  <c r="AV36" i="51"/>
  <c r="AW36" i="51"/>
  <c r="AX36" i="51"/>
  <c r="AY36" i="51"/>
  <c r="AZ36" i="51"/>
  <c r="BA36" i="51"/>
  <c r="BB36" i="51"/>
  <c r="BC36" i="51"/>
  <c r="BD36" i="51"/>
  <c r="BE36" i="51"/>
  <c r="BF36" i="51"/>
  <c r="BG36" i="51"/>
  <c r="BH36" i="51"/>
  <c r="BI36" i="51"/>
  <c r="BJ36" i="51"/>
  <c r="BK36" i="51"/>
  <c r="BL36" i="51"/>
  <c r="BM36" i="51"/>
  <c r="BN36" i="51"/>
  <c r="BO36" i="51"/>
  <c r="BP36" i="51"/>
  <c r="BQ36" i="51"/>
  <c r="BR36" i="51"/>
  <c r="BS36" i="51"/>
  <c r="BT36" i="51"/>
  <c r="BU36" i="51"/>
  <c r="BV36" i="51"/>
  <c r="BW36" i="51"/>
  <c r="BX36" i="51"/>
  <c r="BY36" i="51"/>
  <c r="BZ36" i="51"/>
  <c r="CA36" i="51"/>
  <c r="CB36" i="51"/>
  <c r="CC36" i="51"/>
  <c r="CD36" i="51"/>
  <c r="CE36" i="51"/>
  <c r="CF36" i="51"/>
  <c r="CG36" i="51"/>
  <c r="CH36" i="51"/>
  <c r="CI36" i="51"/>
  <c r="CJ36" i="51"/>
  <c r="CK36" i="51"/>
  <c r="CL36" i="51"/>
  <c r="CM36" i="51"/>
  <c r="CN36" i="51"/>
  <c r="CO36" i="51"/>
  <c r="CP36" i="51"/>
  <c r="CQ36" i="51"/>
  <c r="CR36" i="51"/>
  <c r="CS36" i="51"/>
  <c r="CT36" i="51"/>
  <c r="CU36" i="51"/>
  <c r="CV36" i="51"/>
  <c r="CW36" i="51"/>
  <c r="CX36" i="51"/>
  <c r="CY36" i="51"/>
  <c r="CZ36" i="51"/>
  <c r="DA36" i="51"/>
  <c r="J37" i="51"/>
  <c r="K37" i="51"/>
  <c r="L37" i="51"/>
  <c r="M37" i="51"/>
  <c r="N37" i="51"/>
  <c r="O37" i="51"/>
  <c r="P37" i="51"/>
  <c r="Q37" i="51"/>
  <c r="R37" i="51"/>
  <c r="S37" i="51"/>
  <c r="T37" i="51"/>
  <c r="U37" i="51"/>
  <c r="V37" i="51"/>
  <c r="W37" i="51"/>
  <c r="X37" i="51"/>
  <c r="Y37" i="51"/>
  <c r="Z37" i="51"/>
  <c r="AA37" i="51"/>
  <c r="AB37" i="51"/>
  <c r="AC37" i="51"/>
  <c r="AD37" i="51"/>
  <c r="AE37" i="51"/>
  <c r="AF37" i="51"/>
  <c r="AG37" i="51"/>
  <c r="AH37" i="51"/>
  <c r="AI37" i="51"/>
  <c r="AJ37" i="51"/>
  <c r="AK37" i="51"/>
  <c r="AL37" i="51"/>
  <c r="AM37" i="51"/>
  <c r="AN37" i="51"/>
  <c r="AO37" i="51"/>
  <c r="AP37" i="51"/>
  <c r="AQ37" i="51"/>
  <c r="AR37" i="51"/>
  <c r="AS37" i="51"/>
  <c r="AT37" i="51"/>
  <c r="AU37" i="51"/>
  <c r="AV37" i="51"/>
  <c r="AW37" i="51"/>
  <c r="AX37" i="51"/>
  <c r="AY37" i="51"/>
  <c r="AZ37" i="51"/>
  <c r="BA37" i="51"/>
  <c r="BB37" i="51"/>
  <c r="BC37" i="51"/>
  <c r="BD37" i="51"/>
  <c r="BE37" i="51"/>
  <c r="BF37" i="51"/>
  <c r="BG37" i="51"/>
  <c r="BH37" i="51"/>
  <c r="BI37" i="51"/>
  <c r="BJ37" i="51"/>
  <c r="BK37" i="51"/>
  <c r="BL37" i="51"/>
  <c r="BM37" i="51"/>
  <c r="BN37" i="51"/>
  <c r="BO37" i="51"/>
  <c r="BP37" i="51"/>
  <c r="BQ37" i="51"/>
  <c r="BR37" i="51"/>
  <c r="BS37" i="51"/>
  <c r="BT37" i="51"/>
  <c r="BU37" i="51"/>
  <c r="BV37" i="51"/>
  <c r="BW37" i="51"/>
  <c r="BX37" i="51"/>
  <c r="BY37" i="51"/>
  <c r="BZ37" i="51"/>
  <c r="CA37" i="51"/>
  <c r="CB37" i="51"/>
  <c r="CC37" i="51"/>
  <c r="CD37" i="51"/>
  <c r="CE37" i="51"/>
  <c r="CF37" i="51"/>
  <c r="CG37" i="51"/>
  <c r="CH37" i="51"/>
  <c r="CI37" i="51"/>
  <c r="CJ37" i="51"/>
  <c r="CK37" i="51"/>
  <c r="CL37" i="51"/>
  <c r="CM37" i="51"/>
  <c r="CN37" i="51"/>
  <c r="CO37" i="51"/>
  <c r="CP37" i="51"/>
  <c r="CQ37" i="51"/>
  <c r="CR37" i="51"/>
  <c r="CS37" i="51"/>
  <c r="CT37" i="51"/>
  <c r="CU37" i="51"/>
  <c r="CV37" i="51"/>
  <c r="CW37" i="51"/>
  <c r="CX37" i="51"/>
  <c r="CY37" i="51"/>
  <c r="CZ37" i="51"/>
  <c r="DA37" i="51"/>
  <c r="J38" i="51"/>
  <c r="K38" i="51"/>
  <c r="L38" i="51"/>
  <c r="M38" i="51"/>
  <c r="N38" i="51"/>
  <c r="O38" i="51"/>
  <c r="P38" i="51"/>
  <c r="Q38" i="51"/>
  <c r="R38" i="51"/>
  <c r="S38" i="51"/>
  <c r="T38" i="51"/>
  <c r="U38" i="51"/>
  <c r="V38" i="51"/>
  <c r="W38" i="51"/>
  <c r="X38" i="51"/>
  <c r="Y38" i="51"/>
  <c r="Z38" i="51"/>
  <c r="AA38" i="51"/>
  <c r="AB38" i="51"/>
  <c r="AC38" i="51"/>
  <c r="AD38" i="51"/>
  <c r="AE38" i="51"/>
  <c r="AF38" i="51"/>
  <c r="AG38" i="51"/>
  <c r="AH38" i="51"/>
  <c r="AI38" i="51"/>
  <c r="AJ38" i="51"/>
  <c r="AK38" i="51"/>
  <c r="AL38" i="51"/>
  <c r="AM38" i="51"/>
  <c r="AN38" i="51"/>
  <c r="AO38" i="51"/>
  <c r="AP38" i="51"/>
  <c r="AQ38" i="51"/>
  <c r="AR38" i="51"/>
  <c r="AS38" i="51"/>
  <c r="AT38" i="51"/>
  <c r="AU38" i="51"/>
  <c r="AV38" i="51"/>
  <c r="AW38" i="51"/>
  <c r="AX38" i="51"/>
  <c r="AY38" i="51"/>
  <c r="AZ38" i="51"/>
  <c r="BA38" i="51"/>
  <c r="BB38" i="51"/>
  <c r="BC38" i="51"/>
  <c r="BD38" i="51"/>
  <c r="BE38" i="51"/>
  <c r="BF38" i="51"/>
  <c r="BG38" i="51"/>
  <c r="BH38" i="51"/>
  <c r="BI38" i="51"/>
  <c r="BJ38" i="51"/>
  <c r="BK38" i="51"/>
  <c r="BL38" i="51"/>
  <c r="BM38" i="51"/>
  <c r="BN38" i="51"/>
  <c r="BO38" i="51"/>
  <c r="BP38" i="51"/>
  <c r="BQ38" i="51"/>
  <c r="BR38" i="51"/>
  <c r="BS38" i="51"/>
  <c r="BT38" i="51"/>
  <c r="BU38" i="51"/>
  <c r="BV38" i="51"/>
  <c r="BW38" i="51"/>
  <c r="BX38" i="51"/>
  <c r="BY38" i="51"/>
  <c r="BZ38" i="51"/>
  <c r="CA38" i="51"/>
  <c r="CB38" i="51"/>
  <c r="CC38" i="51"/>
  <c r="CD38" i="51"/>
  <c r="CE38" i="51"/>
  <c r="CF38" i="51"/>
  <c r="CG38" i="51"/>
  <c r="CH38" i="51"/>
  <c r="CI38" i="51"/>
  <c r="CJ38" i="51"/>
  <c r="CK38" i="51"/>
  <c r="CL38" i="51"/>
  <c r="CM38" i="51"/>
  <c r="CN38" i="51"/>
  <c r="CO38" i="51"/>
  <c r="CP38" i="51"/>
  <c r="CQ38" i="51"/>
  <c r="CR38" i="51"/>
  <c r="CS38" i="51"/>
  <c r="CT38" i="51"/>
  <c r="CU38" i="51"/>
  <c r="CV38" i="51"/>
  <c r="CW38" i="51"/>
  <c r="CX38" i="51"/>
  <c r="CY38" i="51"/>
  <c r="CZ38" i="51"/>
  <c r="DA38" i="51"/>
  <c r="J39" i="51"/>
  <c r="K39" i="51"/>
  <c r="L39" i="51"/>
  <c r="M39" i="51"/>
  <c r="N39" i="51"/>
  <c r="O39" i="51"/>
  <c r="P39" i="51"/>
  <c r="Q39" i="51"/>
  <c r="R39" i="51"/>
  <c r="S39" i="51"/>
  <c r="T39" i="51"/>
  <c r="U39" i="51"/>
  <c r="V39" i="51"/>
  <c r="W39" i="51"/>
  <c r="X39" i="51"/>
  <c r="Y39" i="51"/>
  <c r="Z39" i="51"/>
  <c r="AA39" i="51"/>
  <c r="AB39" i="51"/>
  <c r="AC39" i="51"/>
  <c r="AD39" i="51"/>
  <c r="AE39" i="51"/>
  <c r="AF39" i="51"/>
  <c r="AG39" i="51"/>
  <c r="AH39" i="51"/>
  <c r="AI39" i="51"/>
  <c r="AJ39" i="51"/>
  <c r="AK39" i="51"/>
  <c r="AL39" i="51"/>
  <c r="AM39" i="51"/>
  <c r="AN39" i="51"/>
  <c r="AO39" i="51"/>
  <c r="AP39" i="51"/>
  <c r="AQ39" i="51"/>
  <c r="AR39" i="51"/>
  <c r="AS39" i="51"/>
  <c r="AT39" i="51"/>
  <c r="AU39" i="51"/>
  <c r="AV39" i="51"/>
  <c r="AW39" i="51"/>
  <c r="AX39" i="51"/>
  <c r="AY39" i="51"/>
  <c r="AZ39" i="51"/>
  <c r="BA39" i="51"/>
  <c r="BB39" i="51"/>
  <c r="BC39" i="51"/>
  <c r="BD39" i="51"/>
  <c r="BE39" i="51"/>
  <c r="BF39" i="51"/>
  <c r="BG39" i="51"/>
  <c r="BH39" i="51"/>
  <c r="BI39" i="51"/>
  <c r="BJ39" i="51"/>
  <c r="BK39" i="51"/>
  <c r="BL39" i="51"/>
  <c r="BM39" i="51"/>
  <c r="BN39" i="51"/>
  <c r="BO39" i="51"/>
  <c r="BP39" i="51"/>
  <c r="BQ39" i="51"/>
  <c r="BR39" i="51"/>
  <c r="BS39" i="51"/>
  <c r="BT39" i="51"/>
  <c r="BU39" i="51"/>
  <c r="BV39" i="51"/>
  <c r="BW39" i="51"/>
  <c r="BX39" i="51"/>
  <c r="BY39" i="51"/>
  <c r="BZ39" i="51"/>
  <c r="CA39" i="51"/>
  <c r="CB39" i="51"/>
  <c r="CC39" i="51"/>
  <c r="CD39" i="51"/>
  <c r="CE39" i="51"/>
  <c r="CF39" i="51"/>
  <c r="CG39" i="51"/>
  <c r="CH39" i="51"/>
  <c r="CI39" i="51"/>
  <c r="CJ39" i="51"/>
  <c r="CK39" i="51"/>
  <c r="CL39" i="51"/>
  <c r="CM39" i="51"/>
  <c r="CN39" i="51"/>
  <c r="CO39" i="51"/>
  <c r="CP39" i="51"/>
  <c r="CQ39" i="51"/>
  <c r="CR39" i="51"/>
  <c r="CS39" i="51"/>
  <c r="CT39" i="51"/>
  <c r="CU39" i="51"/>
  <c r="CV39" i="51"/>
  <c r="CW39" i="51"/>
  <c r="CX39" i="51"/>
  <c r="CY39" i="51"/>
  <c r="CZ39" i="51"/>
  <c r="DA39" i="51"/>
  <c r="J40" i="51"/>
  <c r="K40" i="51"/>
  <c r="L40" i="51"/>
  <c r="M40" i="51"/>
  <c r="N40" i="51"/>
  <c r="O40" i="51"/>
  <c r="P40" i="51"/>
  <c r="Q40" i="51"/>
  <c r="R40" i="51"/>
  <c r="T40" i="51"/>
  <c r="U40" i="51"/>
  <c r="V40" i="51"/>
  <c r="W40" i="51"/>
  <c r="X40" i="51"/>
  <c r="Y40" i="51"/>
  <c r="Z40" i="51"/>
  <c r="AA40" i="51"/>
  <c r="AB40" i="51"/>
  <c r="AC40" i="51"/>
  <c r="AD40" i="51"/>
  <c r="AE40" i="51"/>
  <c r="AF40" i="51"/>
  <c r="AG40" i="51"/>
  <c r="AH40" i="51"/>
  <c r="AI40" i="51"/>
  <c r="AJ40" i="51"/>
  <c r="AK40" i="51"/>
  <c r="AL40" i="51"/>
  <c r="AM40" i="51"/>
  <c r="AN40" i="51"/>
  <c r="AO40" i="51"/>
  <c r="AP40" i="51"/>
  <c r="AQ40" i="51"/>
  <c r="AR40" i="51"/>
  <c r="AS40" i="51"/>
  <c r="AT40" i="51"/>
  <c r="AU40" i="51"/>
  <c r="AV40" i="51"/>
  <c r="AW40" i="51"/>
  <c r="AY40" i="51"/>
  <c r="AZ40" i="51"/>
  <c r="BA40" i="51"/>
  <c r="BB40" i="51"/>
  <c r="BC40" i="51"/>
  <c r="BD40" i="51"/>
  <c r="BE40" i="51"/>
  <c r="BF40" i="51"/>
  <c r="BG40" i="51"/>
  <c r="BH40" i="51"/>
  <c r="BI40" i="51"/>
  <c r="BJ40" i="51"/>
  <c r="BK40" i="51"/>
  <c r="BL40" i="51"/>
  <c r="BM40" i="51"/>
  <c r="BN40" i="51"/>
  <c r="BO40" i="51"/>
  <c r="BP40" i="51"/>
  <c r="BQ40" i="51"/>
  <c r="BR40" i="51"/>
  <c r="BS40" i="51"/>
  <c r="BT40" i="51"/>
  <c r="BU40" i="51"/>
  <c r="BV40" i="51"/>
  <c r="BW40" i="51"/>
  <c r="BX40" i="51"/>
  <c r="BY40" i="51"/>
  <c r="BZ40" i="51"/>
  <c r="CA40" i="51"/>
  <c r="CB40" i="51"/>
  <c r="CC40" i="51"/>
  <c r="CD40" i="51"/>
  <c r="CE40" i="51"/>
  <c r="CF40" i="51"/>
  <c r="CG40" i="51"/>
  <c r="CH40" i="51"/>
  <c r="CI40" i="51"/>
  <c r="CJ40" i="51"/>
  <c r="CK40" i="51"/>
  <c r="CL40" i="51"/>
  <c r="CM40" i="51"/>
  <c r="CN40" i="51"/>
  <c r="CO40" i="51"/>
  <c r="CP40" i="51"/>
  <c r="CQ40" i="51"/>
  <c r="CR40" i="51"/>
  <c r="CS40" i="51"/>
  <c r="CT40" i="51"/>
  <c r="CU40" i="51"/>
  <c r="CV40" i="51"/>
  <c r="CW40" i="51"/>
  <c r="CX40" i="51"/>
  <c r="CY40" i="51"/>
  <c r="CZ40" i="51"/>
  <c r="DA40" i="51"/>
  <c r="J41" i="51"/>
  <c r="K41" i="51"/>
  <c r="L41" i="51"/>
  <c r="M41" i="51"/>
  <c r="N41" i="51"/>
  <c r="O41" i="51"/>
  <c r="P41" i="51"/>
  <c r="Q41" i="51"/>
  <c r="R41" i="51"/>
  <c r="S41" i="51"/>
  <c r="T41" i="51"/>
  <c r="U41" i="51"/>
  <c r="V41" i="51"/>
  <c r="W41" i="51"/>
  <c r="X41" i="51"/>
  <c r="Y41" i="51"/>
  <c r="Z41" i="51"/>
  <c r="AA41" i="51"/>
  <c r="AB41" i="51"/>
  <c r="AC41" i="51"/>
  <c r="AD41" i="51"/>
  <c r="AE41" i="51"/>
  <c r="AF41" i="51"/>
  <c r="AG41" i="51"/>
  <c r="AH41" i="51"/>
  <c r="AI41" i="51"/>
  <c r="AJ41" i="51"/>
  <c r="AK41" i="51"/>
  <c r="AL41" i="51"/>
  <c r="AM41" i="51"/>
  <c r="AN41" i="51"/>
  <c r="AO41" i="51"/>
  <c r="AP41" i="51"/>
  <c r="AQ41" i="51"/>
  <c r="AR41" i="51"/>
  <c r="AS41" i="51"/>
  <c r="AT41" i="51"/>
  <c r="AU41" i="51"/>
  <c r="AV41" i="51"/>
  <c r="AW41" i="51"/>
  <c r="AX41" i="51"/>
  <c r="AY41" i="51"/>
  <c r="AZ41" i="51"/>
  <c r="BA41" i="51"/>
  <c r="BB41" i="51"/>
  <c r="BC41" i="51"/>
  <c r="BD41" i="51"/>
  <c r="BE41" i="51"/>
  <c r="BF41" i="51"/>
  <c r="BG41" i="51"/>
  <c r="BH41" i="51"/>
  <c r="BI41" i="51"/>
  <c r="BJ41" i="51"/>
  <c r="BK41" i="51"/>
  <c r="BL41" i="51"/>
  <c r="BM41" i="51"/>
  <c r="BN41" i="51"/>
  <c r="BO41" i="51"/>
  <c r="BP41" i="51"/>
  <c r="BQ41" i="51"/>
  <c r="BR41" i="51"/>
  <c r="BS41" i="51"/>
  <c r="BT41" i="51"/>
  <c r="BU41" i="51"/>
  <c r="BV41" i="51"/>
  <c r="BW41" i="51"/>
  <c r="BX41" i="51"/>
  <c r="BY41" i="51"/>
  <c r="BZ41" i="51"/>
  <c r="CA41" i="51"/>
  <c r="CB41" i="51"/>
  <c r="CC41" i="51"/>
  <c r="CD41" i="51"/>
  <c r="CE41" i="51"/>
  <c r="CF41" i="51"/>
  <c r="CG41" i="51"/>
  <c r="CH41" i="51"/>
  <c r="CI41" i="51"/>
  <c r="CJ41" i="51"/>
  <c r="CK41" i="51"/>
  <c r="CL41" i="51"/>
  <c r="CN41" i="51"/>
  <c r="CO41" i="51"/>
  <c r="CP41" i="51"/>
  <c r="CQ41" i="51"/>
  <c r="CR41" i="51"/>
  <c r="CS41" i="51"/>
  <c r="CT41" i="51"/>
  <c r="CU41" i="51"/>
  <c r="CV41" i="51"/>
  <c r="CW41" i="51"/>
  <c r="CX41" i="51"/>
  <c r="CY41" i="51"/>
  <c r="DA41" i="51"/>
  <c r="J42" i="51"/>
  <c r="K42" i="51"/>
  <c r="L42" i="51"/>
  <c r="M42" i="51"/>
  <c r="N42" i="51"/>
  <c r="O42" i="51"/>
  <c r="P42" i="51"/>
  <c r="Q42" i="51"/>
  <c r="R42" i="51"/>
  <c r="S42" i="51"/>
  <c r="T42" i="51"/>
  <c r="U42" i="51"/>
  <c r="V42" i="51"/>
  <c r="W42" i="51"/>
  <c r="X42" i="51"/>
  <c r="Y42" i="51"/>
  <c r="Z42" i="51"/>
  <c r="AA42" i="51"/>
  <c r="AB42" i="51"/>
  <c r="AC42" i="51"/>
  <c r="AD42" i="51"/>
  <c r="AE42" i="51"/>
  <c r="AF42" i="51"/>
  <c r="AG42" i="51"/>
  <c r="AH42" i="51"/>
  <c r="AI42" i="51"/>
  <c r="AJ42" i="51"/>
  <c r="AK42" i="51"/>
  <c r="AL42" i="51"/>
  <c r="AM42" i="51"/>
  <c r="AN42" i="51"/>
  <c r="AO42" i="51"/>
  <c r="AP42" i="51"/>
  <c r="AQ42" i="51"/>
  <c r="AR42" i="51"/>
  <c r="AS42" i="51"/>
  <c r="AT42" i="51"/>
  <c r="AU42" i="51"/>
  <c r="AV42" i="51"/>
  <c r="AW42" i="51"/>
  <c r="AX42" i="51"/>
  <c r="AY42" i="51"/>
  <c r="AZ42" i="51"/>
  <c r="BA42" i="51"/>
  <c r="BB42" i="51"/>
  <c r="BC42" i="51"/>
  <c r="BD42" i="51"/>
  <c r="BE42" i="51"/>
  <c r="BF42" i="51"/>
  <c r="BG42" i="51"/>
  <c r="BH42" i="51"/>
  <c r="BI42" i="51"/>
  <c r="BJ42" i="51"/>
  <c r="BK42" i="51"/>
  <c r="BL42" i="51"/>
  <c r="BM42" i="51"/>
  <c r="BN42" i="51"/>
  <c r="BO42" i="51"/>
  <c r="BP42" i="51"/>
  <c r="BQ42" i="51"/>
  <c r="BR42" i="51"/>
  <c r="BS42" i="51"/>
  <c r="BT42" i="51"/>
  <c r="BU42" i="51"/>
  <c r="BV42" i="51"/>
  <c r="BW42" i="51"/>
  <c r="BX42" i="51"/>
  <c r="BY42" i="51"/>
  <c r="BZ42" i="51"/>
  <c r="CA42" i="51"/>
  <c r="CB42" i="51"/>
  <c r="CC42" i="51"/>
  <c r="CD42" i="51"/>
  <c r="CE42" i="51"/>
  <c r="CF42" i="51"/>
  <c r="CG42" i="51"/>
  <c r="CH42" i="51"/>
  <c r="CI42" i="51"/>
  <c r="CJ42" i="51"/>
  <c r="CK42" i="51"/>
  <c r="CL42" i="51"/>
  <c r="CM42" i="51"/>
  <c r="CN42" i="51"/>
  <c r="CP42" i="51"/>
  <c r="CQ42" i="51"/>
  <c r="CR42" i="51"/>
  <c r="CS42" i="51"/>
  <c r="CT42" i="51"/>
  <c r="CU42" i="51"/>
  <c r="CV42" i="51"/>
  <c r="CW42" i="51"/>
  <c r="CX42" i="51"/>
  <c r="CY42" i="51"/>
  <c r="DA42" i="51"/>
  <c r="J43" i="51"/>
  <c r="K43" i="51"/>
  <c r="L43" i="51"/>
  <c r="M43" i="51"/>
  <c r="N43" i="51"/>
  <c r="O43" i="51"/>
  <c r="P43" i="51"/>
  <c r="Q43" i="51"/>
  <c r="R43" i="51"/>
  <c r="S43" i="51"/>
  <c r="T43" i="51"/>
  <c r="U43" i="51"/>
  <c r="V43" i="51"/>
  <c r="W43" i="51"/>
  <c r="X43" i="51"/>
  <c r="Y43" i="51"/>
  <c r="Z43" i="51"/>
  <c r="AA43" i="51"/>
  <c r="AB43" i="51"/>
  <c r="AC43" i="51"/>
  <c r="AD43" i="51"/>
  <c r="AE43" i="51"/>
  <c r="AF43" i="51"/>
  <c r="AG43" i="51"/>
  <c r="AH43" i="51"/>
  <c r="AI43" i="51"/>
  <c r="AJ43" i="51"/>
  <c r="AK43" i="51"/>
  <c r="AL43" i="51"/>
  <c r="AM43" i="51"/>
  <c r="AN43" i="51"/>
  <c r="AO43" i="51"/>
  <c r="AP43" i="51"/>
  <c r="AQ43" i="51"/>
  <c r="AR43" i="51"/>
  <c r="AS43" i="51"/>
  <c r="AT43" i="51"/>
  <c r="AU43" i="51"/>
  <c r="AV43" i="51"/>
  <c r="AW43" i="51"/>
  <c r="AX43" i="51"/>
  <c r="AY43" i="51"/>
  <c r="AZ43" i="51"/>
  <c r="BA43" i="51"/>
  <c r="BB43" i="51"/>
  <c r="BC43" i="51"/>
  <c r="BD43" i="51"/>
  <c r="BE43" i="51"/>
  <c r="BF43" i="51"/>
  <c r="BG43" i="51"/>
  <c r="BH43" i="51"/>
  <c r="BI43" i="51"/>
  <c r="BJ43" i="51"/>
  <c r="BK43" i="51"/>
  <c r="BL43" i="51"/>
  <c r="BM43" i="51"/>
  <c r="BN43" i="51"/>
  <c r="BO43" i="51"/>
  <c r="BP43" i="51"/>
  <c r="BQ43" i="51"/>
  <c r="BR43" i="51"/>
  <c r="BS43" i="51"/>
  <c r="BT43" i="51"/>
  <c r="BU43" i="51"/>
  <c r="BV43" i="51"/>
  <c r="BW43" i="51"/>
  <c r="BX43" i="51"/>
  <c r="BY43" i="51"/>
  <c r="BZ43" i="51"/>
  <c r="CA43" i="51"/>
  <c r="CB43" i="51"/>
  <c r="CC43" i="51"/>
  <c r="CD43" i="51"/>
  <c r="CE43" i="51"/>
  <c r="CF43" i="51"/>
  <c r="CG43" i="51"/>
  <c r="CH43" i="51"/>
  <c r="CI43" i="51"/>
  <c r="CJ43" i="51"/>
  <c r="CK43" i="51"/>
  <c r="CL43" i="51"/>
  <c r="CM43" i="51"/>
  <c r="CN43" i="51"/>
  <c r="CO43" i="51"/>
  <c r="CP43" i="51"/>
  <c r="CR43" i="51"/>
  <c r="CS43" i="51"/>
  <c r="CT43" i="51"/>
  <c r="CU43" i="51"/>
  <c r="CV43" i="51"/>
  <c r="CW43" i="51"/>
  <c r="CX43" i="51"/>
  <c r="CY43" i="51"/>
  <c r="DA43" i="51"/>
  <c r="J44" i="51"/>
  <c r="K44" i="51"/>
  <c r="L44" i="51"/>
  <c r="M44" i="51"/>
  <c r="N44" i="51"/>
  <c r="O44" i="51"/>
  <c r="P44" i="51"/>
  <c r="Q44" i="51"/>
  <c r="R44" i="51"/>
  <c r="S44" i="51"/>
  <c r="T44" i="51"/>
  <c r="U44" i="51"/>
  <c r="V44" i="51"/>
  <c r="W44" i="51"/>
  <c r="X44" i="51"/>
  <c r="Y44" i="51"/>
  <c r="Z44" i="51"/>
  <c r="AA44" i="51"/>
  <c r="AB44" i="51"/>
  <c r="AC44" i="51"/>
  <c r="AD44" i="51"/>
  <c r="AE44" i="51"/>
  <c r="AF44" i="51"/>
  <c r="AG44" i="51"/>
  <c r="AH44" i="51"/>
  <c r="AI44" i="51"/>
  <c r="AJ44" i="51"/>
  <c r="AK44" i="51"/>
  <c r="AL44" i="51"/>
  <c r="AM44" i="51"/>
  <c r="AN44" i="51"/>
  <c r="AO44" i="51"/>
  <c r="AP44" i="51"/>
  <c r="AQ44" i="51"/>
  <c r="AR44" i="51"/>
  <c r="AS44" i="51"/>
  <c r="AT44" i="51"/>
  <c r="AU44" i="51"/>
  <c r="AV44" i="51"/>
  <c r="AW44" i="51"/>
  <c r="AX44" i="51"/>
  <c r="AY44" i="51"/>
  <c r="AZ44" i="51"/>
  <c r="BA44" i="51"/>
  <c r="BB44" i="51"/>
  <c r="BC44" i="51"/>
  <c r="BD44" i="51"/>
  <c r="BE44" i="51"/>
  <c r="BF44" i="51"/>
  <c r="BG44" i="51"/>
  <c r="BH44" i="51"/>
  <c r="BI44" i="51"/>
  <c r="BJ44" i="51"/>
  <c r="BK44" i="51"/>
  <c r="BL44" i="51"/>
  <c r="BM44" i="51"/>
  <c r="BN44" i="51"/>
  <c r="BO44" i="51"/>
  <c r="BP44" i="51"/>
  <c r="BQ44" i="51"/>
  <c r="BR44" i="51"/>
  <c r="BS44" i="51"/>
  <c r="BT44" i="51"/>
  <c r="BU44" i="51"/>
  <c r="BV44" i="51"/>
  <c r="BW44" i="51"/>
  <c r="BX44" i="51"/>
  <c r="BY44" i="51"/>
  <c r="BZ44" i="51"/>
  <c r="CA44" i="51"/>
  <c r="CB44" i="51"/>
  <c r="CC44" i="51"/>
  <c r="CD44" i="51"/>
  <c r="CE44" i="51"/>
  <c r="CF44" i="51"/>
  <c r="CG44" i="51"/>
  <c r="CH44" i="51"/>
  <c r="CI44" i="51"/>
  <c r="CJ44" i="51"/>
  <c r="CK44" i="51"/>
  <c r="CL44" i="51"/>
  <c r="CM44" i="51"/>
  <c r="CN44" i="51"/>
  <c r="CO44" i="51"/>
  <c r="CP44" i="51"/>
  <c r="CQ44" i="51"/>
  <c r="CR44" i="51"/>
  <c r="CT44" i="51"/>
  <c r="CU44" i="51"/>
  <c r="CV44" i="51"/>
  <c r="CW44" i="51"/>
  <c r="CX44" i="51"/>
  <c r="CY44" i="51"/>
  <c r="DA44" i="51"/>
  <c r="J45" i="51"/>
  <c r="K45" i="51"/>
  <c r="L45" i="51"/>
  <c r="M45" i="51"/>
  <c r="N45" i="51"/>
  <c r="O45" i="51"/>
  <c r="P45" i="51"/>
  <c r="Q45" i="51"/>
  <c r="R45" i="51"/>
  <c r="S45" i="51"/>
  <c r="T45" i="51"/>
  <c r="U45" i="51"/>
  <c r="V45" i="51"/>
  <c r="W45" i="51"/>
  <c r="X45" i="51"/>
  <c r="Y45" i="51"/>
  <c r="Z45" i="51"/>
  <c r="AA45" i="51"/>
  <c r="AB45" i="51"/>
  <c r="AC45" i="51"/>
  <c r="AD45" i="51"/>
  <c r="AE45" i="51"/>
  <c r="AF45" i="51"/>
  <c r="AG45" i="51"/>
  <c r="AH45" i="51"/>
  <c r="AI45" i="51"/>
  <c r="AJ45" i="51"/>
  <c r="AK45" i="51"/>
  <c r="AL45" i="51"/>
  <c r="AM45" i="51"/>
  <c r="AN45" i="51"/>
  <c r="AO45" i="51"/>
  <c r="AP45" i="51"/>
  <c r="AQ45" i="51"/>
  <c r="AR45" i="51"/>
  <c r="AS45" i="51"/>
  <c r="AT45" i="51"/>
  <c r="AU45" i="51"/>
  <c r="AV45" i="51"/>
  <c r="AW45" i="51"/>
  <c r="AX45" i="51"/>
  <c r="AY45" i="51"/>
  <c r="AZ45" i="51"/>
  <c r="BA45" i="51"/>
  <c r="BB45" i="51"/>
  <c r="BC45" i="51"/>
  <c r="BD45" i="51"/>
  <c r="BE45" i="51"/>
  <c r="BF45" i="51"/>
  <c r="BG45" i="51"/>
  <c r="BH45" i="51"/>
  <c r="BI45" i="51"/>
  <c r="BJ45" i="51"/>
  <c r="BK45" i="51"/>
  <c r="BL45" i="51"/>
  <c r="BM45" i="51"/>
  <c r="BN45" i="51"/>
  <c r="BO45" i="51"/>
  <c r="BP45" i="51"/>
  <c r="BQ45" i="51"/>
  <c r="BR45" i="51"/>
  <c r="BS45" i="51"/>
  <c r="BT45" i="51"/>
  <c r="BU45" i="51"/>
  <c r="BV45" i="51"/>
  <c r="BW45" i="51"/>
  <c r="BX45" i="51"/>
  <c r="BY45" i="51"/>
  <c r="BZ45" i="51"/>
  <c r="CA45" i="51"/>
  <c r="CB45" i="51"/>
  <c r="CC45" i="51"/>
  <c r="CD45" i="51"/>
  <c r="CE45" i="51"/>
  <c r="CF45" i="51"/>
  <c r="CG45" i="51"/>
  <c r="CH45" i="51"/>
  <c r="CI45" i="51"/>
  <c r="CJ45" i="51"/>
  <c r="CK45" i="51"/>
  <c r="CL45" i="51"/>
  <c r="CM45" i="51"/>
  <c r="CN45" i="51"/>
  <c r="CO45" i="51"/>
  <c r="CP45" i="51"/>
  <c r="CQ45" i="51"/>
  <c r="CR45" i="51"/>
  <c r="CS45" i="51"/>
  <c r="CT45" i="51"/>
  <c r="CU45" i="51"/>
  <c r="CV45" i="51"/>
  <c r="CW45" i="51"/>
  <c r="CX45" i="51"/>
  <c r="CY45" i="51"/>
  <c r="CZ45" i="51"/>
  <c r="DA45" i="51"/>
  <c r="J46" i="51"/>
  <c r="K46" i="51"/>
  <c r="L46" i="51"/>
  <c r="M46" i="51"/>
  <c r="N46" i="51"/>
  <c r="O46" i="51"/>
  <c r="P46" i="51"/>
  <c r="Q46" i="51"/>
  <c r="R46" i="51"/>
  <c r="S46" i="51"/>
  <c r="T46" i="51"/>
  <c r="U46" i="51"/>
  <c r="V46" i="51"/>
  <c r="W46" i="51"/>
  <c r="X46" i="51"/>
  <c r="Y46" i="51"/>
  <c r="Z46" i="51"/>
  <c r="AA46" i="51"/>
  <c r="AB46" i="51"/>
  <c r="AC46" i="51"/>
  <c r="AD46" i="51"/>
  <c r="AE46" i="51"/>
  <c r="AF46" i="51"/>
  <c r="AG46" i="51"/>
  <c r="AH46" i="51"/>
  <c r="AI46" i="51"/>
  <c r="AJ46" i="51"/>
  <c r="AK46" i="51"/>
  <c r="AL46" i="51"/>
  <c r="AM46" i="51"/>
  <c r="AN46" i="51"/>
  <c r="AO46" i="51"/>
  <c r="AP46" i="51"/>
  <c r="AQ46" i="51"/>
  <c r="AR46" i="51"/>
  <c r="AS46" i="51"/>
  <c r="AT46" i="51"/>
  <c r="AU46" i="51"/>
  <c r="AV46" i="51"/>
  <c r="AW46" i="51"/>
  <c r="AX46" i="51"/>
  <c r="AY46" i="51"/>
  <c r="AZ46" i="51"/>
  <c r="BA46" i="51"/>
  <c r="BB46" i="51"/>
  <c r="BC46" i="51"/>
  <c r="BD46" i="51"/>
  <c r="BE46" i="51"/>
  <c r="BF46" i="51"/>
  <c r="BG46" i="51"/>
  <c r="BH46" i="51"/>
  <c r="BI46" i="51"/>
  <c r="BJ46" i="51"/>
  <c r="BK46" i="51"/>
  <c r="BL46" i="51"/>
  <c r="BM46" i="51"/>
  <c r="BN46" i="51"/>
  <c r="BO46" i="51"/>
  <c r="BP46" i="51"/>
  <c r="BQ46" i="51"/>
  <c r="BR46" i="51"/>
  <c r="BS46" i="51"/>
  <c r="BT46" i="51"/>
  <c r="BU46" i="51"/>
  <c r="BV46" i="51"/>
  <c r="BW46" i="51"/>
  <c r="BX46" i="51"/>
  <c r="BY46" i="51"/>
  <c r="BZ46" i="51"/>
  <c r="CA46" i="51"/>
  <c r="CB46" i="51"/>
  <c r="CC46" i="51"/>
  <c r="CD46" i="51"/>
  <c r="CE46" i="51"/>
  <c r="CF46" i="51"/>
  <c r="CG46" i="51"/>
  <c r="CI46" i="51"/>
  <c r="CJ46" i="51"/>
  <c r="CK46" i="51"/>
  <c r="CL46" i="51"/>
  <c r="CM46" i="51"/>
  <c r="CN46" i="51"/>
  <c r="CO46" i="51"/>
  <c r="CP46" i="51"/>
  <c r="CQ46" i="51"/>
  <c r="CR46" i="51"/>
  <c r="CS46" i="51"/>
  <c r="CT46" i="51"/>
  <c r="CU46" i="51"/>
  <c r="CV46" i="51"/>
  <c r="CW46" i="51"/>
  <c r="CX46" i="51"/>
  <c r="CY46" i="51"/>
  <c r="CZ46" i="51"/>
  <c r="J47" i="51"/>
  <c r="K47" i="51"/>
  <c r="L47" i="51"/>
  <c r="M47" i="51"/>
  <c r="N47" i="51"/>
  <c r="O47" i="51"/>
  <c r="P47" i="51"/>
  <c r="Q47" i="51"/>
  <c r="R47" i="51"/>
  <c r="S47" i="51"/>
  <c r="T47" i="51"/>
  <c r="U47" i="51"/>
  <c r="V47" i="51"/>
  <c r="W47" i="51"/>
  <c r="X47" i="51"/>
  <c r="Y47" i="51"/>
  <c r="Z47" i="51"/>
  <c r="AA47" i="51"/>
  <c r="AB47" i="51"/>
  <c r="AC47" i="51"/>
  <c r="AD47" i="51"/>
  <c r="AE47" i="51"/>
  <c r="AF47" i="51"/>
  <c r="AG47" i="51"/>
  <c r="AH47" i="51"/>
  <c r="AI47" i="51"/>
  <c r="AJ47" i="51"/>
  <c r="AK47" i="51"/>
  <c r="AL47" i="51"/>
  <c r="AM47" i="51"/>
  <c r="AN47" i="51"/>
  <c r="AO47" i="51"/>
  <c r="AP47" i="51"/>
  <c r="AQ47" i="51"/>
  <c r="AR47" i="51"/>
  <c r="AS47" i="51"/>
  <c r="AT47" i="51"/>
  <c r="AU47" i="51"/>
  <c r="AV47" i="51"/>
  <c r="AW47" i="51"/>
  <c r="AX47" i="51"/>
  <c r="AY47" i="51"/>
  <c r="AZ47" i="51"/>
  <c r="BA47" i="51"/>
  <c r="BB47" i="51"/>
  <c r="BC47" i="51"/>
  <c r="BD47" i="51"/>
  <c r="BE47" i="51"/>
  <c r="BF47" i="51"/>
  <c r="BG47" i="51"/>
  <c r="BH47" i="51"/>
  <c r="BI47" i="51"/>
  <c r="BJ47" i="51"/>
  <c r="BK47" i="51"/>
  <c r="BL47" i="51"/>
  <c r="BM47" i="51"/>
  <c r="BN47" i="51"/>
  <c r="BO47" i="51"/>
  <c r="BP47" i="51"/>
  <c r="BQ47" i="51"/>
  <c r="BR47" i="51"/>
  <c r="BS47" i="51"/>
  <c r="BT47" i="51"/>
  <c r="BU47" i="51"/>
  <c r="BV47" i="51"/>
  <c r="BW47" i="51"/>
  <c r="BX47" i="51"/>
  <c r="BY47" i="51"/>
  <c r="BZ47" i="51"/>
  <c r="CA47" i="51"/>
  <c r="CB47" i="51"/>
  <c r="CC47" i="51"/>
  <c r="CE47" i="51"/>
  <c r="CF47" i="51"/>
  <c r="CG47" i="51"/>
  <c r="CH47" i="51"/>
  <c r="CI47" i="51"/>
  <c r="CJ47" i="51"/>
  <c r="CK47" i="51"/>
  <c r="CL47" i="51"/>
  <c r="CM47" i="51"/>
  <c r="CN47" i="51"/>
  <c r="CO47" i="51"/>
  <c r="CP47" i="51"/>
  <c r="CQ47" i="51"/>
  <c r="CR47" i="51"/>
  <c r="CS47" i="51"/>
  <c r="CT47" i="51"/>
  <c r="CU47" i="51"/>
  <c r="CV47" i="51"/>
  <c r="CW47" i="51"/>
  <c r="CX47" i="51"/>
  <c r="CY47" i="51"/>
  <c r="CZ47" i="51"/>
  <c r="J48" i="51"/>
  <c r="K48" i="51"/>
  <c r="L48" i="51"/>
  <c r="M48" i="51"/>
  <c r="N48" i="51"/>
  <c r="O48" i="51"/>
  <c r="P48" i="51"/>
  <c r="Q48" i="51"/>
  <c r="R48" i="51"/>
  <c r="S48" i="51"/>
  <c r="T48" i="51"/>
  <c r="U48" i="51"/>
  <c r="V48" i="51"/>
  <c r="W48" i="51"/>
  <c r="X48" i="51"/>
  <c r="Y48" i="51"/>
  <c r="Z48" i="51"/>
  <c r="AA48" i="51"/>
  <c r="AB48" i="51"/>
  <c r="AC48" i="51"/>
  <c r="AD48" i="51"/>
  <c r="AE48" i="51"/>
  <c r="AF48" i="51"/>
  <c r="AG48" i="51"/>
  <c r="AH48" i="51"/>
  <c r="AI48" i="51"/>
  <c r="AJ48" i="51"/>
  <c r="AK48" i="51"/>
  <c r="AL48" i="51"/>
  <c r="AM48" i="51"/>
  <c r="AN48" i="51"/>
  <c r="AO48" i="51"/>
  <c r="AP48" i="51"/>
  <c r="AQ48" i="51"/>
  <c r="AR48" i="51"/>
  <c r="AS48" i="51"/>
  <c r="AT48" i="51"/>
  <c r="AU48" i="51"/>
  <c r="AV48" i="51"/>
  <c r="AW48" i="51"/>
  <c r="AX48" i="51"/>
  <c r="AY48" i="51"/>
  <c r="AZ48" i="51"/>
  <c r="BA48" i="51"/>
  <c r="BB48" i="51"/>
  <c r="BC48" i="51"/>
  <c r="BD48" i="51"/>
  <c r="BE48" i="51"/>
  <c r="BF48" i="51"/>
  <c r="BG48" i="51"/>
  <c r="BH48" i="51"/>
  <c r="BI48" i="51"/>
  <c r="BJ48" i="51"/>
  <c r="BK48" i="51"/>
  <c r="BL48" i="51"/>
  <c r="BM48" i="51"/>
  <c r="BN48" i="51"/>
  <c r="BO48" i="51"/>
  <c r="BP48" i="51"/>
  <c r="BQ48" i="51"/>
  <c r="BR48" i="51"/>
  <c r="BS48" i="51"/>
  <c r="BT48" i="51"/>
  <c r="BU48" i="51"/>
  <c r="BV48" i="51"/>
  <c r="BW48" i="51"/>
  <c r="BX48" i="51"/>
  <c r="BY48" i="51"/>
  <c r="BZ48" i="51"/>
  <c r="CA48" i="51"/>
  <c r="CB48" i="51"/>
  <c r="CC48" i="51"/>
  <c r="CD48" i="51"/>
  <c r="CE48" i="51"/>
  <c r="CG48" i="51"/>
  <c r="CH48" i="51"/>
  <c r="CI48" i="51"/>
  <c r="CJ48" i="51"/>
  <c r="CK48" i="51"/>
  <c r="CL48" i="51"/>
  <c r="CM48" i="51"/>
  <c r="CN48" i="51"/>
  <c r="CO48" i="51"/>
  <c r="CP48" i="51"/>
  <c r="CQ48" i="51"/>
  <c r="CR48" i="51"/>
  <c r="CS48" i="51"/>
  <c r="CT48" i="51"/>
  <c r="CU48" i="51"/>
  <c r="CV48" i="51"/>
  <c r="CW48" i="51"/>
  <c r="CX48" i="51"/>
  <c r="CY48" i="51"/>
  <c r="CZ48" i="51"/>
  <c r="J49" i="51"/>
  <c r="K49" i="51"/>
  <c r="L49" i="51"/>
  <c r="M49" i="51"/>
  <c r="N49" i="51"/>
  <c r="O49" i="51"/>
  <c r="P49" i="51"/>
  <c r="Q49" i="51"/>
  <c r="R49" i="51"/>
  <c r="S49" i="51"/>
  <c r="T49" i="51"/>
  <c r="U49" i="51"/>
  <c r="V49" i="51"/>
  <c r="W49" i="51"/>
  <c r="X49" i="51"/>
  <c r="Y49" i="51"/>
  <c r="Z49" i="51"/>
  <c r="AA49" i="51"/>
  <c r="AB49" i="51"/>
  <c r="AC49" i="51"/>
  <c r="AD49" i="51"/>
  <c r="AE49" i="51"/>
  <c r="AF49" i="51"/>
  <c r="AG49" i="51"/>
  <c r="AH49" i="51"/>
  <c r="AI49" i="51"/>
  <c r="AJ49" i="51"/>
  <c r="AK49" i="51"/>
  <c r="AL49" i="51"/>
  <c r="AM49" i="51"/>
  <c r="AN49" i="51"/>
  <c r="AO49" i="51"/>
  <c r="AP49" i="51"/>
  <c r="AQ49" i="51"/>
  <c r="AR49" i="51"/>
  <c r="AS49" i="51"/>
  <c r="AT49" i="51"/>
  <c r="AU49" i="51"/>
  <c r="AV49" i="51"/>
  <c r="AW49" i="51"/>
  <c r="AX49" i="51"/>
  <c r="AY49" i="51"/>
  <c r="AZ49" i="51"/>
  <c r="BA49" i="51"/>
  <c r="BB49" i="51"/>
  <c r="BC49" i="51"/>
  <c r="BD49" i="51"/>
  <c r="BE49" i="51"/>
  <c r="BF49" i="51"/>
  <c r="BG49" i="51"/>
  <c r="BH49" i="51"/>
  <c r="BI49" i="51"/>
  <c r="BJ49" i="51"/>
  <c r="BK49" i="51"/>
  <c r="BL49" i="51"/>
  <c r="BM49" i="51"/>
  <c r="BN49" i="51"/>
  <c r="BO49" i="51"/>
  <c r="BP49" i="51"/>
  <c r="BQ49" i="51"/>
  <c r="BR49" i="51"/>
  <c r="BS49" i="51"/>
  <c r="BT49" i="51"/>
  <c r="BU49" i="51"/>
  <c r="BV49" i="51"/>
  <c r="BW49" i="51"/>
  <c r="BX49" i="51"/>
  <c r="BY49" i="51"/>
  <c r="BZ49" i="51"/>
  <c r="CA49" i="51"/>
  <c r="CB49" i="51"/>
  <c r="CC49" i="51"/>
  <c r="CD49" i="51"/>
  <c r="CE49" i="51"/>
  <c r="CF49" i="51"/>
  <c r="CG49" i="51"/>
  <c r="CH49" i="51"/>
  <c r="CI49" i="51"/>
  <c r="CJ49" i="51"/>
  <c r="CK49" i="51"/>
  <c r="CL49" i="51"/>
  <c r="CM49" i="51"/>
  <c r="CN49" i="51"/>
  <c r="CO49" i="51"/>
  <c r="CP49" i="51"/>
  <c r="CQ49" i="51"/>
  <c r="CR49" i="51"/>
  <c r="CS49" i="51"/>
  <c r="CU49" i="51"/>
  <c r="CV49" i="51"/>
  <c r="CW49" i="51"/>
  <c r="CX49" i="51"/>
  <c r="CY49" i="51"/>
  <c r="CZ49" i="51"/>
  <c r="J50" i="51"/>
  <c r="K50" i="51"/>
  <c r="L50" i="51"/>
  <c r="M50" i="51"/>
  <c r="N50" i="51"/>
  <c r="O50" i="51"/>
  <c r="P50" i="51"/>
  <c r="Q50" i="51"/>
  <c r="R50" i="51"/>
  <c r="S50" i="51"/>
  <c r="T50" i="51"/>
  <c r="U50" i="51"/>
  <c r="V50" i="51"/>
  <c r="W50" i="51"/>
  <c r="X50" i="51"/>
  <c r="Y50" i="51"/>
  <c r="Z50" i="51"/>
  <c r="AA50" i="51"/>
  <c r="AB50" i="51"/>
  <c r="AC50" i="51"/>
  <c r="AD50" i="51"/>
  <c r="AE50" i="51"/>
  <c r="AF50" i="51"/>
  <c r="AG50" i="51"/>
  <c r="AH50" i="51"/>
  <c r="AI50" i="51"/>
  <c r="AJ50" i="51"/>
  <c r="AK50" i="51"/>
  <c r="AL50" i="51"/>
  <c r="AM50" i="51"/>
  <c r="AN50" i="51"/>
  <c r="AO50" i="51"/>
  <c r="AP50" i="51"/>
  <c r="AQ50" i="51"/>
  <c r="AR50" i="51"/>
  <c r="AS50" i="51"/>
  <c r="AT50" i="51"/>
  <c r="AU50" i="51"/>
  <c r="AV50" i="51"/>
  <c r="AW50" i="51"/>
  <c r="AX50" i="51"/>
  <c r="AY50" i="51"/>
  <c r="AZ50" i="51"/>
  <c r="BA50" i="51"/>
  <c r="BB50" i="51"/>
  <c r="BC50" i="51"/>
  <c r="BD50" i="51"/>
  <c r="BE50" i="51"/>
  <c r="BF50" i="51"/>
  <c r="BG50" i="51"/>
  <c r="BH50" i="51"/>
  <c r="BI50" i="51"/>
  <c r="BJ50" i="51"/>
  <c r="BK50" i="51"/>
  <c r="BL50" i="51"/>
  <c r="BM50" i="51"/>
  <c r="BN50" i="51"/>
  <c r="BO50" i="51"/>
  <c r="BP50" i="51"/>
  <c r="BQ50" i="51"/>
  <c r="BR50" i="51"/>
  <c r="BS50" i="51"/>
  <c r="BT50" i="51"/>
  <c r="BU50" i="51"/>
  <c r="BV50" i="51"/>
  <c r="BW50" i="51"/>
  <c r="BX50" i="51"/>
  <c r="BY50" i="51"/>
  <c r="BZ50" i="51"/>
  <c r="CA50" i="51"/>
  <c r="CB50" i="51"/>
  <c r="CC50" i="51"/>
  <c r="CD50" i="51"/>
  <c r="CE50" i="51"/>
  <c r="CF50" i="51"/>
  <c r="CG50" i="51"/>
  <c r="CH50" i="51"/>
  <c r="CI50" i="51"/>
  <c r="CJ50" i="51"/>
  <c r="CK50" i="51"/>
  <c r="CL50" i="51"/>
  <c r="CM50" i="51"/>
  <c r="CN50" i="51"/>
  <c r="CO50" i="51"/>
  <c r="CP50" i="51"/>
  <c r="CQ50" i="51"/>
  <c r="CR50" i="51"/>
  <c r="CS50" i="51"/>
  <c r="CT50" i="51"/>
  <c r="CU50" i="51"/>
  <c r="CV50" i="51"/>
  <c r="CX50" i="51"/>
  <c r="CY50" i="51"/>
  <c r="DA50" i="51"/>
  <c r="J51" i="51"/>
  <c r="K51" i="51"/>
  <c r="L51" i="51"/>
  <c r="M51" i="51"/>
  <c r="N51" i="51"/>
  <c r="O51" i="51"/>
  <c r="P51" i="51"/>
  <c r="Q51" i="51"/>
  <c r="R51" i="51"/>
  <c r="S51" i="51"/>
  <c r="T51" i="51"/>
  <c r="U51" i="51"/>
  <c r="V51" i="51"/>
  <c r="W51" i="51"/>
  <c r="X51" i="51"/>
  <c r="Y51" i="51"/>
  <c r="Z51" i="51"/>
  <c r="AA51" i="51"/>
  <c r="AB51" i="51"/>
  <c r="AC51" i="51"/>
  <c r="AD51" i="51"/>
  <c r="AE51" i="51"/>
  <c r="AF51" i="51"/>
  <c r="AG51" i="51"/>
  <c r="AH51" i="51"/>
  <c r="AI51" i="51"/>
  <c r="AJ51" i="51"/>
  <c r="AK51" i="51"/>
  <c r="AL51" i="51"/>
  <c r="AM51" i="51"/>
  <c r="AN51" i="51"/>
  <c r="AO51" i="51"/>
  <c r="AP51" i="51"/>
  <c r="AQ51" i="51"/>
  <c r="AR51" i="51"/>
  <c r="AS51" i="51"/>
  <c r="AT51" i="51"/>
  <c r="AU51" i="51"/>
  <c r="AV51" i="51"/>
  <c r="AW51" i="51"/>
  <c r="AX51" i="51"/>
  <c r="AY51" i="51"/>
  <c r="AZ51" i="51"/>
  <c r="BA51" i="51"/>
  <c r="BB51" i="51"/>
  <c r="BC51" i="51"/>
  <c r="BD51" i="51"/>
  <c r="BE51" i="51"/>
  <c r="BF51" i="51"/>
  <c r="BG51" i="51"/>
  <c r="BH51" i="51"/>
  <c r="BI51" i="51"/>
  <c r="BJ51" i="51"/>
  <c r="BK51" i="51"/>
  <c r="BL51" i="51"/>
  <c r="BM51" i="51"/>
  <c r="BN51" i="51"/>
  <c r="BO51" i="51"/>
  <c r="BP51" i="51"/>
  <c r="BQ51" i="51"/>
  <c r="BR51" i="51"/>
  <c r="BS51" i="51"/>
  <c r="BT51" i="51"/>
  <c r="BU51" i="51"/>
  <c r="BV51" i="51"/>
  <c r="BW51" i="51"/>
  <c r="BX51" i="51"/>
  <c r="BY51" i="51"/>
  <c r="BZ51" i="51"/>
  <c r="CA51" i="51"/>
  <c r="CB51" i="51"/>
  <c r="CC51" i="51"/>
  <c r="CD51" i="51"/>
  <c r="CE51" i="51"/>
  <c r="CF51" i="51"/>
  <c r="CG51" i="51"/>
  <c r="CH51" i="51"/>
  <c r="CI51" i="51"/>
  <c r="CJ51" i="51"/>
  <c r="CK51" i="51"/>
  <c r="CL51" i="51"/>
  <c r="CM51" i="51"/>
  <c r="CN51" i="51"/>
  <c r="CO51" i="51"/>
  <c r="CP51" i="51"/>
  <c r="CQ51" i="51"/>
  <c r="CR51" i="51"/>
  <c r="CS51" i="51"/>
  <c r="CT51" i="51"/>
  <c r="CU51" i="51"/>
  <c r="CV51" i="51"/>
  <c r="CW51" i="51"/>
  <c r="CX51" i="51"/>
  <c r="CY51" i="51"/>
  <c r="CZ51" i="51"/>
  <c r="DA51" i="51"/>
  <c r="A10" i="51" a="1"/>
  <c r="A10" i="51" s="1"/>
  <c r="J12" i="50"/>
  <c r="K12" i="50"/>
  <c r="L12" i="50"/>
  <c r="M12" i="50"/>
  <c r="N12" i="50"/>
  <c r="O12" i="50"/>
  <c r="P12" i="50"/>
  <c r="Q12" i="50"/>
  <c r="R12" i="50"/>
  <c r="S12" i="50"/>
  <c r="T12" i="50"/>
  <c r="U12" i="50"/>
  <c r="V12" i="50"/>
  <c r="W12" i="50"/>
  <c r="X12" i="50"/>
  <c r="Y12" i="50"/>
  <c r="Z12" i="50"/>
  <c r="AA12" i="50"/>
  <c r="AB12" i="50"/>
  <c r="AC12" i="50"/>
  <c r="AD12" i="50"/>
  <c r="AE12" i="50"/>
  <c r="AF12" i="50"/>
  <c r="AG12" i="50"/>
  <c r="AH12" i="50"/>
  <c r="AI12" i="50"/>
  <c r="AJ12" i="50"/>
  <c r="AK12" i="50"/>
  <c r="AL12" i="50"/>
  <c r="AM12" i="50"/>
  <c r="AN12" i="50"/>
  <c r="AO12" i="50"/>
  <c r="AP12" i="50"/>
  <c r="AQ12" i="50"/>
  <c r="AR12" i="50"/>
  <c r="AS12" i="50"/>
  <c r="AT12" i="50"/>
  <c r="AU12" i="50"/>
  <c r="AV12" i="50"/>
  <c r="AW12" i="50"/>
  <c r="AX12" i="50"/>
  <c r="AY12" i="50"/>
  <c r="AZ12" i="50"/>
  <c r="BA12" i="50"/>
  <c r="BB12" i="50"/>
  <c r="BC12" i="50"/>
  <c r="BD12" i="50"/>
  <c r="BE12" i="50"/>
  <c r="BF12" i="50"/>
  <c r="BG12" i="50"/>
  <c r="BH12" i="50"/>
  <c r="BI12" i="50"/>
  <c r="BJ12" i="50"/>
  <c r="BK12" i="50"/>
  <c r="BL12" i="50"/>
  <c r="BM12" i="50"/>
  <c r="BN12" i="50"/>
  <c r="BO12" i="50"/>
  <c r="BP12" i="50"/>
  <c r="BQ12" i="50"/>
  <c r="BR12" i="50"/>
  <c r="BS12" i="50"/>
  <c r="BT12" i="50"/>
  <c r="BU12" i="50"/>
  <c r="BV12" i="50"/>
  <c r="BW12" i="50"/>
  <c r="BX12" i="50"/>
  <c r="BY12" i="50"/>
  <c r="BZ12" i="50"/>
  <c r="CA12" i="50"/>
  <c r="CB12" i="50"/>
  <c r="CC12" i="50"/>
  <c r="CD12" i="50"/>
  <c r="CE12" i="50"/>
  <c r="CF12" i="50"/>
  <c r="CG12" i="50"/>
  <c r="CH12" i="50"/>
  <c r="CI12" i="50"/>
  <c r="CJ12" i="50"/>
  <c r="CK12" i="50"/>
  <c r="CL12" i="50"/>
  <c r="CM12" i="50"/>
  <c r="CN12" i="50"/>
  <c r="CO12" i="50"/>
  <c r="CP12" i="50"/>
  <c r="CQ12" i="50"/>
  <c r="CR12" i="50"/>
  <c r="CS12" i="50"/>
  <c r="CT12" i="50"/>
  <c r="CU12" i="50"/>
  <c r="CV12" i="50"/>
  <c r="CW12" i="50"/>
  <c r="CX12" i="50"/>
  <c r="CY12" i="50"/>
  <c r="CZ12" i="50"/>
  <c r="DA12" i="50"/>
  <c r="J13" i="50"/>
  <c r="K13" i="50"/>
  <c r="L13" i="50"/>
  <c r="M13" i="50"/>
  <c r="N13" i="50"/>
  <c r="O13" i="50"/>
  <c r="P13" i="50"/>
  <c r="Q13" i="50"/>
  <c r="R13" i="50"/>
  <c r="S13" i="50"/>
  <c r="T13" i="50"/>
  <c r="U13" i="50"/>
  <c r="V13" i="50"/>
  <c r="W13" i="50"/>
  <c r="X13" i="50"/>
  <c r="Y13" i="50"/>
  <c r="Z13" i="50"/>
  <c r="AA13" i="50"/>
  <c r="AB13" i="50"/>
  <c r="AC13" i="50"/>
  <c r="AD13" i="50"/>
  <c r="AE13" i="50"/>
  <c r="AF13" i="50"/>
  <c r="AG13" i="50"/>
  <c r="AH13" i="50"/>
  <c r="AI13" i="50"/>
  <c r="AJ13" i="50"/>
  <c r="AK13" i="50"/>
  <c r="AL13" i="50"/>
  <c r="AM13" i="50"/>
  <c r="AN13" i="50"/>
  <c r="AO13" i="50"/>
  <c r="AP13" i="50"/>
  <c r="AQ13" i="50"/>
  <c r="AR13" i="50"/>
  <c r="AS13" i="50"/>
  <c r="AT13" i="50"/>
  <c r="AU13" i="50"/>
  <c r="AV13" i="50"/>
  <c r="AW13" i="50"/>
  <c r="AX13" i="50"/>
  <c r="AY13" i="50"/>
  <c r="AZ13" i="50"/>
  <c r="BA13" i="50"/>
  <c r="BB13" i="50"/>
  <c r="BC13" i="50"/>
  <c r="BD13" i="50"/>
  <c r="BE13" i="50"/>
  <c r="BF13" i="50"/>
  <c r="BG13" i="50"/>
  <c r="BH13" i="50"/>
  <c r="BI13" i="50"/>
  <c r="BJ13" i="50"/>
  <c r="BK13" i="50"/>
  <c r="BL13" i="50"/>
  <c r="BM13" i="50"/>
  <c r="BN13" i="50"/>
  <c r="BO13" i="50"/>
  <c r="BP13" i="50"/>
  <c r="BQ13" i="50"/>
  <c r="BR13" i="50"/>
  <c r="BS13" i="50"/>
  <c r="BT13" i="50"/>
  <c r="BU13" i="50"/>
  <c r="BV13" i="50"/>
  <c r="BW13" i="50"/>
  <c r="BX13" i="50"/>
  <c r="BY13" i="50"/>
  <c r="BZ13" i="50"/>
  <c r="CA13" i="50"/>
  <c r="CB13" i="50"/>
  <c r="CC13" i="50"/>
  <c r="CD13" i="50"/>
  <c r="CE13" i="50"/>
  <c r="CF13" i="50"/>
  <c r="CG13" i="50"/>
  <c r="CH13" i="50"/>
  <c r="CI13" i="50"/>
  <c r="CJ13" i="50"/>
  <c r="CK13" i="50"/>
  <c r="CL13" i="50"/>
  <c r="CM13" i="50"/>
  <c r="CN13" i="50"/>
  <c r="CO13" i="50"/>
  <c r="CP13" i="50"/>
  <c r="CQ13" i="50"/>
  <c r="CR13" i="50"/>
  <c r="CS13" i="50"/>
  <c r="CT13" i="50"/>
  <c r="CU13" i="50"/>
  <c r="CV13" i="50"/>
  <c r="CW13" i="50"/>
  <c r="CX13" i="50"/>
  <c r="CY13" i="50"/>
  <c r="CZ13" i="50"/>
  <c r="DA13" i="50"/>
  <c r="J14" i="50"/>
  <c r="K14" i="50"/>
  <c r="L14" i="50"/>
  <c r="M14" i="50"/>
  <c r="N14" i="50"/>
  <c r="O14" i="50"/>
  <c r="P14" i="50"/>
  <c r="Q14" i="50"/>
  <c r="R14" i="50"/>
  <c r="S14" i="50"/>
  <c r="T14" i="50"/>
  <c r="U14" i="50"/>
  <c r="V14" i="50"/>
  <c r="W14" i="50"/>
  <c r="X14" i="50"/>
  <c r="Y14" i="50"/>
  <c r="Z14" i="50"/>
  <c r="AA14" i="50"/>
  <c r="AB14" i="50"/>
  <c r="AC14" i="50"/>
  <c r="AD14" i="50"/>
  <c r="AE14" i="50"/>
  <c r="AF14" i="50"/>
  <c r="AG14" i="50"/>
  <c r="AH14" i="50"/>
  <c r="AI14" i="50"/>
  <c r="AJ14" i="50"/>
  <c r="AK14" i="50"/>
  <c r="AL14" i="50"/>
  <c r="AM14" i="50"/>
  <c r="AN14" i="50"/>
  <c r="AO14" i="50"/>
  <c r="AP14" i="50"/>
  <c r="AQ14" i="50"/>
  <c r="AR14" i="50"/>
  <c r="AS14" i="50"/>
  <c r="AT14" i="50"/>
  <c r="AU14" i="50"/>
  <c r="AV14" i="50"/>
  <c r="AW14" i="50"/>
  <c r="AX14" i="50"/>
  <c r="AY14" i="50"/>
  <c r="AZ14" i="50"/>
  <c r="BA14" i="50"/>
  <c r="BB14" i="50"/>
  <c r="BC14" i="50"/>
  <c r="BD14" i="50"/>
  <c r="BE14" i="50"/>
  <c r="BF14" i="50"/>
  <c r="BG14" i="50"/>
  <c r="BH14" i="50"/>
  <c r="BI14" i="50"/>
  <c r="BJ14" i="50"/>
  <c r="BK14" i="50"/>
  <c r="BL14" i="50"/>
  <c r="BM14" i="50"/>
  <c r="BN14" i="50"/>
  <c r="BO14" i="50"/>
  <c r="BP14" i="50"/>
  <c r="BQ14" i="50"/>
  <c r="BR14" i="50"/>
  <c r="BS14" i="50"/>
  <c r="BT14" i="50"/>
  <c r="BU14" i="50"/>
  <c r="BV14" i="50"/>
  <c r="BW14" i="50"/>
  <c r="BX14" i="50"/>
  <c r="BY14" i="50"/>
  <c r="BZ14" i="50"/>
  <c r="CA14" i="50"/>
  <c r="CB14" i="50"/>
  <c r="CC14" i="50"/>
  <c r="CD14" i="50"/>
  <c r="CE14" i="50"/>
  <c r="CF14" i="50"/>
  <c r="CG14" i="50"/>
  <c r="CH14" i="50"/>
  <c r="CI14" i="50"/>
  <c r="CJ14" i="50"/>
  <c r="CK14" i="50"/>
  <c r="CL14" i="50"/>
  <c r="CM14" i="50"/>
  <c r="CN14" i="50"/>
  <c r="CO14" i="50"/>
  <c r="CP14" i="50"/>
  <c r="CQ14" i="50"/>
  <c r="CR14" i="50"/>
  <c r="CS14" i="50"/>
  <c r="CT14" i="50"/>
  <c r="CU14" i="50"/>
  <c r="CV14" i="50"/>
  <c r="CW14" i="50"/>
  <c r="CX14" i="50"/>
  <c r="CY14" i="50"/>
  <c r="CZ14" i="50"/>
  <c r="DA14" i="50"/>
  <c r="J15" i="50"/>
  <c r="K15" i="50"/>
  <c r="L15" i="50"/>
  <c r="M15" i="50"/>
  <c r="N15" i="50"/>
  <c r="O15" i="50"/>
  <c r="P15" i="50"/>
  <c r="Q15" i="50"/>
  <c r="R15" i="50"/>
  <c r="S15" i="50"/>
  <c r="T15" i="50"/>
  <c r="U15" i="50"/>
  <c r="V15" i="50"/>
  <c r="W15" i="50"/>
  <c r="X15" i="50"/>
  <c r="Y15" i="50"/>
  <c r="Z15" i="50"/>
  <c r="AA15" i="50"/>
  <c r="AB15" i="50"/>
  <c r="AC15" i="50"/>
  <c r="AD15" i="50"/>
  <c r="AE15" i="50"/>
  <c r="AF15" i="50"/>
  <c r="AG15" i="50"/>
  <c r="AH15" i="50"/>
  <c r="AI15" i="50"/>
  <c r="AJ15" i="50"/>
  <c r="AK15" i="50"/>
  <c r="AL15" i="50"/>
  <c r="AM15" i="50"/>
  <c r="AN15" i="50"/>
  <c r="AO15" i="50"/>
  <c r="AP15" i="50"/>
  <c r="AQ15" i="50"/>
  <c r="AR15" i="50"/>
  <c r="AS15" i="50"/>
  <c r="AT15" i="50"/>
  <c r="AU15" i="50"/>
  <c r="AV15" i="50"/>
  <c r="AW15" i="50"/>
  <c r="AX15" i="50"/>
  <c r="AY15" i="50"/>
  <c r="AZ15" i="50"/>
  <c r="BA15" i="50"/>
  <c r="BB15" i="50"/>
  <c r="BC15" i="50"/>
  <c r="BD15" i="50"/>
  <c r="BE15" i="50"/>
  <c r="BF15" i="50"/>
  <c r="BG15" i="50"/>
  <c r="BH15" i="50"/>
  <c r="BI15" i="50"/>
  <c r="BJ15" i="50"/>
  <c r="BK15" i="50"/>
  <c r="BL15" i="50"/>
  <c r="BM15" i="50"/>
  <c r="BN15" i="50"/>
  <c r="BO15" i="50"/>
  <c r="BP15" i="50"/>
  <c r="BQ15" i="50"/>
  <c r="BR15" i="50"/>
  <c r="BS15" i="50"/>
  <c r="BT15" i="50"/>
  <c r="BU15" i="50"/>
  <c r="BV15" i="50"/>
  <c r="BW15" i="50"/>
  <c r="BX15" i="50"/>
  <c r="BY15" i="50"/>
  <c r="BZ15" i="50"/>
  <c r="CA15" i="50"/>
  <c r="CB15" i="50"/>
  <c r="CC15" i="50"/>
  <c r="CD15" i="50"/>
  <c r="CE15" i="50"/>
  <c r="CF15" i="50"/>
  <c r="CG15" i="50"/>
  <c r="CH15" i="50"/>
  <c r="CI15" i="50"/>
  <c r="CJ15" i="50"/>
  <c r="CK15" i="50"/>
  <c r="CL15" i="50"/>
  <c r="CM15" i="50"/>
  <c r="CN15" i="50"/>
  <c r="CO15" i="50"/>
  <c r="CP15" i="50"/>
  <c r="CQ15" i="50"/>
  <c r="CR15" i="50"/>
  <c r="CS15" i="50"/>
  <c r="CT15" i="50"/>
  <c r="CU15" i="50"/>
  <c r="CV15" i="50"/>
  <c r="CW15" i="50"/>
  <c r="CX15" i="50"/>
  <c r="CY15" i="50"/>
  <c r="CZ15" i="50"/>
  <c r="DA15" i="50"/>
  <c r="J16" i="50"/>
  <c r="K16" i="50"/>
  <c r="L16" i="50"/>
  <c r="M16" i="50"/>
  <c r="N16" i="50"/>
  <c r="O16" i="50"/>
  <c r="P16" i="50"/>
  <c r="Q16" i="50"/>
  <c r="R16" i="50"/>
  <c r="S16" i="50"/>
  <c r="T16" i="50"/>
  <c r="U16" i="50"/>
  <c r="V16" i="50"/>
  <c r="W16" i="50"/>
  <c r="X16" i="50"/>
  <c r="Y16" i="50"/>
  <c r="Z16" i="50"/>
  <c r="AA16" i="50"/>
  <c r="AB16" i="50"/>
  <c r="AC16" i="50"/>
  <c r="AD16" i="50"/>
  <c r="AE16" i="50"/>
  <c r="AF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L16" i="50"/>
  <c r="BM16" i="50"/>
  <c r="BN16" i="50"/>
  <c r="BO16" i="50"/>
  <c r="BP16" i="50"/>
  <c r="BQ16" i="50"/>
  <c r="BR16" i="50"/>
  <c r="BS16" i="50"/>
  <c r="BT16" i="50"/>
  <c r="BU16" i="50"/>
  <c r="BV16" i="50"/>
  <c r="BW16" i="50"/>
  <c r="BX16" i="50"/>
  <c r="BY16" i="50"/>
  <c r="BZ16" i="50"/>
  <c r="CA16" i="50"/>
  <c r="CB16" i="50"/>
  <c r="CC16" i="50"/>
  <c r="CD16" i="50"/>
  <c r="CE16" i="50"/>
  <c r="CF16" i="50"/>
  <c r="CG16" i="50"/>
  <c r="CH16" i="50"/>
  <c r="CI16" i="50"/>
  <c r="CJ16" i="50"/>
  <c r="CK16" i="50"/>
  <c r="CL16" i="50"/>
  <c r="CM16" i="50"/>
  <c r="CN16" i="50"/>
  <c r="CO16" i="50"/>
  <c r="CP16" i="50"/>
  <c r="CQ16" i="50"/>
  <c r="CR16" i="50"/>
  <c r="CS16" i="50"/>
  <c r="CT16" i="50"/>
  <c r="CU16" i="50"/>
  <c r="CV16" i="50"/>
  <c r="CW16" i="50"/>
  <c r="CX16" i="50"/>
  <c r="CY16" i="50"/>
  <c r="CZ16" i="50"/>
  <c r="DA16" i="50"/>
  <c r="J17" i="50"/>
  <c r="K17" i="50"/>
  <c r="L17" i="50"/>
  <c r="M17" i="50"/>
  <c r="N17" i="50"/>
  <c r="O17" i="50"/>
  <c r="P17" i="50"/>
  <c r="Q17" i="50"/>
  <c r="R17" i="50"/>
  <c r="S17" i="50"/>
  <c r="T17" i="50"/>
  <c r="U17" i="50"/>
  <c r="V17" i="50"/>
  <c r="W17" i="50"/>
  <c r="X17" i="50"/>
  <c r="Y17" i="50"/>
  <c r="Z17" i="50"/>
  <c r="AA17" i="50"/>
  <c r="AB17" i="50"/>
  <c r="AC17" i="50"/>
  <c r="AD17" i="50"/>
  <c r="AE17" i="50"/>
  <c r="AF17" i="50"/>
  <c r="AG17" i="50"/>
  <c r="AH17" i="50"/>
  <c r="AI17" i="50"/>
  <c r="AJ17" i="50"/>
  <c r="AK17" i="50"/>
  <c r="AL17" i="50"/>
  <c r="AM17" i="50"/>
  <c r="AN17" i="50"/>
  <c r="AO17" i="50"/>
  <c r="AP17" i="50"/>
  <c r="AQ17" i="50"/>
  <c r="AR17" i="50"/>
  <c r="AS17" i="50"/>
  <c r="AT17" i="50"/>
  <c r="AU17" i="50"/>
  <c r="AV17" i="50"/>
  <c r="AW17" i="50"/>
  <c r="AX17" i="50"/>
  <c r="AY17" i="50"/>
  <c r="AZ17" i="50"/>
  <c r="BA17" i="50"/>
  <c r="BB17" i="50"/>
  <c r="BC17" i="50"/>
  <c r="BD17" i="50"/>
  <c r="BE17" i="50"/>
  <c r="BF17" i="50"/>
  <c r="BG17" i="50"/>
  <c r="BH17" i="50"/>
  <c r="BI17" i="50"/>
  <c r="BJ17" i="50"/>
  <c r="BK17" i="50"/>
  <c r="BL17" i="50"/>
  <c r="BM17" i="50"/>
  <c r="BN17" i="50"/>
  <c r="BO17" i="50"/>
  <c r="BP17" i="50"/>
  <c r="BQ17" i="50"/>
  <c r="BR17" i="50"/>
  <c r="BS17" i="50"/>
  <c r="BT17" i="50"/>
  <c r="BU17" i="50"/>
  <c r="BV17" i="50"/>
  <c r="BW17" i="50"/>
  <c r="BX17" i="50"/>
  <c r="BY17" i="50"/>
  <c r="BZ17" i="50"/>
  <c r="CA17" i="50"/>
  <c r="CB17" i="50"/>
  <c r="CC17" i="50"/>
  <c r="CD17" i="50"/>
  <c r="CE17" i="50"/>
  <c r="CF17" i="50"/>
  <c r="CG17" i="50"/>
  <c r="CH17" i="50"/>
  <c r="CI17" i="50"/>
  <c r="CJ17" i="50"/>
  <c r="CK17" i="50"/>
  <c r="CL17" i="50"/>
  <c r="CM17" i="50"/>
  <c r="CN17" i="50"/>
  <c r="CO17" i="50"/>
  <c r="CP17" i="50"/>
  <c r="CQ17" i="50"/>
  <c r="CR17" i="50"/>
  <c r="CS17" i="50"/>
  <c r="CT17" i="50"/>
  <c r="CU17" i="50"/>
  <c r="CV17" i="50"/>
  <c r="CW17" i="50"/>
  <c r="CX17" i="50"/>
  <c r="CY17" i="50"/>
  <c r="CZ17" i="50"/>
  <c r="DA17" i="50"/>
  <c r="J18" i="50"/>
  <c r="K18" i="50"/>
  <c r="L18" i="50"/>
  <c r="M18" i="50"/>
  <c r="N18" i="50"/>
  <c r="O18" i="50"/>
  <c r="P18" i="50"/>
  <c r="Q18" i="50"/>
  <c r="R18" i="50"/>
  <c r="S18" i="50"/>
  <c r="T18" i="50"/>
  <c r="U18" i="50"/>
  <c r="V18" i="50"/>
  <c r="W18" i="50"/>
  <c r="X18" i="50"/>
  <c r="Y18" i="50"/>
  <c r="Z18" i="50"/>
  <c r="AA18" i="50"/>
  <c r="AB18" i="50"/>
  <c r="AC18" i="50"/>
  <c r="AD18" i="50"/>
  <c r="AE18" i="50"/>
  <c r="AF18" i="50"/>
  <c r="AG18" i="50"/>
  <c r="AH18" i="50"/>
  <c r="AI18" i="50"/>
  <c r="AJ18" i="50"/>
  <c r="AK18" i="50"/>
  <c r="AL18" i="50"/>
  <c r="AM18" i="50"/>
  <c r="AN18" i="50"/>
  <c r="AO18" i="50"/>
  <c r="AP18" i="50"/>
  <c r="AQ18" i="50"/>
  <c r="AR18" i="50"/>
  <c r="AS18" i="50"/>
  <c r="AT18" i="50"/>
  <c r="AU18" i="50"/>
  <c r="AV18" i="50"/>
  <c r="AW18" i="50"/>
  <c r="AX18" i="50"/>
  <c r="AY18" i="50"/>
  <c r="AZ18" i="50"/>
  <c r="BA18" i="50"/>
  <c r="BB18" i="50"/>
  <c r="BC18" i="50"/>
  <c r="BD18" i="50"/>
  <c r="BE18" i="50"/>
  <c r="BF18" i="50"/>
  <c r="BG18" i="50"/>
  <c r="BH18" i="50"/>
  <c r="BI18" i="50"/>
  <c r="BJ18" i="50"/>
  <c r="BK18" i="50"/>
  <c r="BL18" i="50"/>
  <c r="BM18" i="50"/>
  <c r="BN18" i="50"/>
  <c r="BO18" i="50"/>
  <c r="BP18" i="50"/>
  <c r="BQ18" i="50"/>
  <c r="BR18" i="50"/>
  <c r="BS18" i="50"/>
  <c r="BT18" i="50"/>
  <c r="BU18" i="50"/>
  <c r="BV18" i="50"/>
  <c r="BW18" i="50"/>
  <c r="BX18" i="50"/>
  <c r="BY18" i="50"/>
  <c r="BZ18" i="50"/>
  <c r="CA18" i="50"/>
  <c r="CB18" i="50"/>
  <c r="CC18" i="50"/>
  <c r="CD18" i="50"/>
  <c r="CE18" i="50"/>
  <c r="CF18" i="50"/>
  <c r="CG18" i="50"/>
  <c r="CH18" i="50"/>
  <c r="CI18" i="50"/>
  <c r="CJ18" i="50"/>
  <c r="CK18" i="50"/>
  <c r="CL18" i="50"/>
  <c r="CM18" i="50"/>
  <c r="CN18" i="50"/>
  <c r="CO18" i="50"/>
  <c r="CP18" i="50"/>
  <c r="CQ18" i="50"/>
  <c r="CR18" i="50"/>
  <c r="CS18" i="50"/>
  <c r="CT18" i="50"/>
  <c r="CU18" i="50"/>
  <c r="CV18" i="50"/>
  <c r="CW18" i="50"/>
  <c r="CX18" i="50"/>
  <c r="CY18" i="50"/>
  <c r="CZ18" i="50"/>
  <c r="DA18" i="50"/>
  <c r="J19" i="50"/>
  <c r="K19" i="50"/>
  <c r="L19" i="50"/>
  <c r="M19" i="50"/>
  <c r="N19" i="50"/>
  <c r="O19" i="50"/>
  <c r="P19" i="50"/>
  <c r="Q19" i="50"/>
  <c r="R19" i="50"/>
  <c r="S19" i="50"/>
  <c r="T19" i="50"/>
  <c r="U19" i="50"/>
  <c r="V19" i="50"/>
  <c r="W19" i="50"/>
  <c r="X19" i="50"/>
  <c r="Y19" i="50"/>
  <c r="Z19" i="50"/>
  <c r="AA19" i="50"/>
  <c r="AB19" i="50"/>
  <c r="AC19" i="50"/>
  <c r="AD19" i="50"/>
  <c r="AE19" i="50"/>
  <c r="AF19" i="50"/>
  <c r="AG19" i="50"/>
  <c r="AH19" i="50"/>
  <c r="AI19" i="50"/>
  <c r="AJ19" i="50"/>
  <c r="AK19" i="50"/>
  <c r="AL19" i="50"/>
  <c r="AM19" i="50"/>
  <c r="AN19" i="50"/>
  <c r="AO19" i="50"/>
  <c r="AP19" i="50"/>
  <c r="AQ19" i="50"/>
  <c r="AR19" i="50"/>
  <c r="AS19" i="50"/>
  <c r="AT19" i="50"/>
  <c r="AU19" i="50"/>
  <c r="AV19" i="50"/>
  <c r="AW19" i="50"/>
  <c r="AX19" i="50"/>
  <c r="AY19" i="50"/>
  <c r="AZ19" i="50"/>
  <c r="BA19" i="50"/>
  <c r="BB19" i="50"/>
  <c r="BC19" i="50"/>
  <c r="BD19" i="50"/>
  <c r="BE19" i="50"/>
  <c r="BF19" i="50"/>
  <c r="BG19" i="50"/>
  <c r="BH19" i="50"/>
  <c r="BI19" i="50"/>
  <c r="BJ19" i="50"/>
  <c r="BK19" i="50"/>
  <c r="BL19" i="50"/>
  <c r="BM19" i="50"/>
  <c r="BN19" i="50"/>
  <c r="BO19" i="50"/>
  <c r="BP19" i="50"/>
  <c r="BQ19" i="50"/>
  <c r="BR19" i="50"/>
  <c r="BS19" i="50"/>
  <c r="BT19" i="50"/>
  <c r="BU19" i="50"/>
  <c r="BV19" i="50"/>
  <c r="BW19" i="50"/>
  <c r="BX19" i="50"/>
  <c r="BY19" i="50"/>
  <c r="BZ19" i="50"/>
  <c r="CA19" i="50"/>
  <c r="CB19" i="50"/>
  <c r="CC19" i="50"/>
  <c r="CD19" i="50"/>
  <c r="CE19" i="50"/>
  <c r="CF19" i="50"/>
  <c r="CG19" i="50"/>
  <c r="CH19" i="50"/>
  <c r="CI19" i="50"/>
  <c r="CJ19" i="50"/>
  <c r="CK19" i="50"/>
  <c r="CL19" i="50"/>
  <c r="CM19" i="50"/>
  <c r="CN19" i="50"/>
  <c r="CO19" i="50"/>
  <c r="CP19" i="50"/>
  <c r="CQ19" i="50"/>
  <c r="CR19" i="50"/>
  <c r="CS19" i="50"/>
  <c r="CT19" i="50"/>
  <c r="CU19" i="50"/>
  <c r="CV19" i="50"/>
  <c r="CW19" i="50"/>
  <c r="CX19" i="50"/>
  <c r="CY19" i="50"/>
  <c r="CZ19" i="50"/>
  <c r="DA19" i="50"/>
  <c r="J20" i="50"/>
  <c r="K20" i="50"/>
  <c r="L20" i="50"/>
  <c r="M20" i="50"/>
  <c r="N20" i="50"/>
  <c r="O20" i="50"/>
  <c r="P20" i="50"/>
  <c r="Q20" i="50"/>
  <c r="R20" i="50"/>
  <c r="S20" i="50"/>
  <c r="T20" i="50"/>
  <c r="U20" i="50"/>
  <c r="V20" i="50"/>
  <c r="W20" i="50"/>
  <c r="X20" i="50"/>
  <c r="Y20" i="50"/>
  <c r="Z20" i="50"/>
  <c r="AA20" i="50"/>
  <c r="AB20" i="50"/>
  <c r="AC20" i="50"/>
  <c r="AD20" i="50"/>
  <c r="AE20" i="50"/>
  <c r="AF20" i="50"/>
  <c r="AG20" i="50"/>
  <c r="AH20" i="50"/>
  <c r="AI20" i="50"/>
  <c r="AJ20" i="50"/>
  <c r="AK20" i="50"/>
  <c r="AL20" i="50"/>
  <c r="AM20" i="50"/>
  <c r="AN20" i="50"/>
  <c r="AO20" i="50"/>
  <c r="AP20" i="50"/>
  <c r="AQ20" i="50"/>
  <c r="AR20" i="50"/>
  <c r="AS20" i="50"/>
  <c r="AT20" i="50"/>
  <c r="AU20" i="50"/>
  <c r="AV20" i="50"/>
  <c r="AW20" i="50"/>
  <c r="AX20" i="50"/>
  <c r="AY20" i="50"/>
  <c r="AZ20" i="50"/>
  <c r="BA20" i="50"/>
  <c r="BB20" i="50"/>
  <c r="BC20" i="50"/>
  <c r="BD20" i="50"/>
  <c r="BE20" i="50"/>
  <c r="BF20" i="50"/>
  <c r="BG20" i="50"/>
  <c r="BH20" i="50"/>
  <c r="BI20" i="50"/>
  <c r="BJ20" i="50"/>
  <c r="BK20" i="50"/>
  <c r="BL20" i="50"/>
  <c r="BM20" i="50"/>
  <c r="BN20" i="50"/>
  <c r="BO20" i="50"/>
  <c r="BP20" i="50"/>
  <c r="BQ20" i="50"/>
  <c r="BR20" i="50"/>
  <c r="BS20" i="50"/>
  <c r="BT20" i="50"/>
  <c r="BU20" i="50"/>
  <c r="BV20" i="50"/>
  <c r="BW20" i="50"/>
  <c r="BX20" i="50"/>
  <c r="BY20" i="50"/>
  <c r="BZ20" i="50"/>
  <c r="CA20" i="50"/>
  <c r="CB20" i="50"/>
  <c r="CC20" i="50"/>
  <c r="CD20" i="50"/>
  <c r="CE20" i="50"/>
  <c r="CF20" i="50"/>
  <c r="CG20" i="50"/>
  <c r="CH20" i="50"/>
  <c r="CI20" i="50"/>
  <c r="CJ20" i="50"/>
  <c r="CK20" i="50"/>
  <c r="CL20" i="50"/>
  <c r="CM20" i="50"/>
  <c r="CN20" i="50"/>
  <c r="CO20" i="50"/>
  <c r="CP20" i="50"/>
  <c r="CQ20" i="50"/>
  <c r="CR20" i="50"/>
  <c r="CS20" i="50"/>
  <c r="CT20" i="50"/>
  <c r="CU20" i="50"/>
  <c r="CV20" i="50"/>
  <c r="CW20" i="50"/>
  <c r="CX20" i="50"/>
  <c r="CY20" i="50"/>
  <c r="CZ20" i="50"/>
  <c r="DA20" i="50"/>
  <c r="J21" i="50"/>
  <c r="K21" i="50"/>
  <c r="L21" i="50"/>
  <c r="M21" i="50"/>
  <c r="N21" i="50"/>
  <c r="O21" i="50"/>
  <c r="P21" i="50"/>
  <c r="Q21" i="50"/>
  <c r="R21" i="50"/>
  <c r="S21" i="50"/>
  <c r="T21" i="50"/>
  <c r="U21" i="50"/>
  <c r="V21" i="50"/>
  <c r="W21" i="50"/>
  <c r="X21" i="50"/>
  <c r="Y21" i="50"/>
  <c r="Z21" i="50"/>
  <c r="AA21" i="50"/>
  <c r="AB21" i="50"/>
  <c r="AC21" i="50"/>
  <c r="AD21" i="50"/>
  <c r="AE21" i="50"/>
  <c r="AF21" i="50"/>
  <c r="AG21" i="50"/>
  <c r="AH21" i="50"/>
  <c r="AI21" i="50"/>
  <c r="AJ21" i="50"/>
  <c r="AK21" i="50"/>
  <c r="AL21" i="50"/>
  <c r="AM21" i="50"/>
  <c r="AN21" i="50"/>
  <c r="AO21" i="50"/>
  <c r="AP21" i="50"/>
  <c r="AQ21" i="50"/>
  <c r="AR21" i="50"/>
  <c r="AS21" i="50"/>
  <c r="AT21" i="50"/>
  <c r="AU21" i="50"/>
  <c r="AV21" i="50"/>
  <c r="AW21" i="50"/>
  <c r="AX21" i="50"/>
  <c r="AY21" i="50"/>
  <c r="AZ21" i="50"/>
  <c r="BA21" i="50"/>
  <c r="BB21" i="50"/>
  <c r="BC21" i="50"/>
  <c r="BD21" i="50"/>
  <c r="BE21" i="50"/>
  <c r="BF21" i="50"/>
  <c r="BG21" i="50"/>
  <c r="BH21" i="50"/>
  <c r="BI21" i="50"/>
  <c r="BJ21" i="50"/>
  <c r="BK21" i="50"/>
  <c r="BL21" i="50"/>
  <c r="BM21" i="50"/>
  <c r="BN21" i="50"/>
  <c r="BO21" i="50"/>
  <c r="BP21" i="50"/>
  <c r="BQ21" i="50"/>
  <c r="BR21" i="50"/>
  <c r="BS21" i="50"/>
  <c r="BT21" i="50"/>
  <c r="BU21" i="50"/>
  <c r="BV21" i="50"/>
  <c r="BW21" i="50"/>
  <c r="BX21" i="50"/>
  <c r="BY21" i="50"/>
  <c r="BZ21" i="50"/>
  <c r="CA21" i="50"/>
  <c r="CB21" i="50"/>
  <c r="CC21" i="50"/>
  <c r="CD21" i="50"/>
  <c r="CE21" i="50"/>
  <c r="CF21" i="50"/>
  <c r="CG21" i="50"/>
  <c r="CH21" i="50"/>
  <c r="CI21" i="50"/>
  <c r="CJ21" i="50"/>
  <c r="CK21" i="50"/>
  <c r="CL21" i="50"/>
  <c r="CM21" i="50"/>
  <c r="CN21" i="50"/>
  <c r="CO21" i="50"/>
  <c r="CP21" i="50"/>
  <c r="CQ21" i="50"/>
  <c r="CR21" i="50"/>
  <c r="CS21" i="50"/>
  <c r="CT21" i="50"/>
  <c r="CU21" i="50"/>
  <c r="CV21" i="50"/>
  <c r="CW21" i="50"/>
  <c r="CX21" i="50"/>
  <c r="CY21" i="50"/>
  <c r="CZ21" i="50"/>
  <c r="DA21" i="50"/>
  <c r="J22" i="50"/>
  <c r="K22" i="50"/>
  <c r="L22" i="50"/>
  <c r="M22" i="50"/>
  <c r="N22" i="50"/>
  <c r="O22" i="50"/>
  <c r="P22" i="50"/>
  <c r="Q22" i="50"/>
  <c r="R22" i="50"/>
  <c r="S22" i="50"/>
  <c r="T22" i="50"/>
  <c r="U22" i="50"/>
  <c r="V22" i="50"/>
  <c r="W22" i="50"/>
  <c r="X22" i="50"/>
  <c r="Y22" i="50"/>
  <c r="Z22" i="50"/>
  <c r="AA22" i="50"/>
  <c r="AB22" i="50"/>
  <c r="AC22" i="50"/>
  <c r="AD22" i="50"/>
  <c r="AE22" i="50"/>
  <c r="AF22" i="50"/>
  <c r="AG22" i="50"/>
  <c r="AH22" i="50"/>
  <c r="AI22" i="50"/>
  <c r="AJ22" i="50"/>
  <c r="AK22" i="50"/>
  <c r="AL22" i="50"/>
  <c r="AM22" i="50"/>
  <c r="AN22" i="50"/>
  <c r="AO22" i="50"/>
  <c r="AP22" i="50"/>
  <c r="AQ22" i="50"/>
  <c r="AR22" i="50"/>
  <c r="AS22" i="50"/>
  <c r="AT22" i="50"/>
  <c r="AU22" i="50"/>
  <c r="AV22" i="50"/>
  <c r="AW22" i="50"/>
  <c r="AX22" i="50"/>
  <c r="AY22" i="50"/>
  <c r="AZ22" i="50"/>
  <c r="BA22" i="50"/>
  <c r="BB22" i="50"/>
  <c r="BC22" i="50"/>
  <c r="BD22" i="50"/>
  <c r="BE22" i="50"/>
  <c r="BF22" i="50"/>
  <c r="BG22" i="50"/>
  <c r="BH22" i="50"/>
  <c r="BI22" i="50"/>
  <c r="BJ22" i="50"/>
  <c r="BK22" i="50"/>
  <c r="BL22" i="50"/>
  <c r="BM22" i="50"/>
  <c r="BN22" i="50"/>
  <c r="BO22" i="50"/>
  <c r="BP22" i="50"/>
  <c r="BQ22" i="50"/>
  <c r="BR22" i="50"/>
  <c r="BS22" i="50"/>
  <c r="BT22" i="50"/>
  <c r="BU22" i="50"/>
  <c r="BV22" i="50"/>
  <c r="BW22" i="50"/>
  <c r="BX22" i="50"/>
  <c r="BY22" i="50"/>
  <c r="BZ22" i="50"/>
  <c r="CA22" i="50"/>
  <c r="CB22" i="50"/>
  <c r="CC22" i="50"/>
  <c r="CD22" i="50"/>
  <c r="CE22" i="50"/>
  <c r="CF22" i="50"/>
  <c r="CG22" i="50"/>
  <c r="CH22" i="50"/>
  <c r="CI22" i="50"/>
  <c r="CJ22" i="50"/>
  <c r="CK22" i="50"/>
  <c r="CL22" i="50"/>
  <c r="CM22" i="50"/>
  <c r="CN22" i="50"/>
  <c r="CO22" i="50"/>
  <c r="CP22" i="50"/>
  <c r="CQ22" i="50"/>
  <c r="CR22" i="50"/>
  <c r="CS22" i="50"/>
  <c r="CT22" i="50"/>
  <c r="CU22" i="50"/>
  <c r="CV22" i="50"/>
  <c r="CW22" i="50"/>
  <c r="CX22" i="50"/>
  <c r="CY22" i="50"/>
  <c r="CZ22" i="50"/>
  <c r="DA22" i="50"/>
  <c r="J23" i="50"/>
  <c r="K23" i="50"/>
  <c r="L23" i="50"/>
  <c r="M23" i="50"/>
  <c r="N23" i="50"/>
  <c r="O23" i="50"/>
  <c r="P23" i="50"/>
  <c r="Q23" i="50"/>
  <c r="R23" i="50"/>
  <c r="S23" i="50"/>
  <c r="T23" i="50"/>
  <c r="U23" i="50"/>
  <c r="V23" i="50"/>
  <c r="W23" i="50"/>
  <c r="X23" i="50"/>
  <c r="Y23" i="50"/>
  <c r="Z23" i="50"/>
  <c r="AA23" i="50"/>
  <c r="AB23" i="50"/>
  <c r="AC23" i="50"/>
  <c r="AD23" i="50"/>
  <c r="AE23" i="50"/>
  <c r="AF23" i="50"/>
  <c r="AG23" i="50"/>
  <c r="AH23" i="50"/>
  <c r="AI23" i="50"/>
  <c r="AJ23" i="50"/>
  <c r="AK23" i="50"/>
  <c r="AL23" i="50"/>
  <c r="AM23" i="50"/>
  <c r="AN23" i="50"/>
  <c r="AO23" i="50"/>
  <c r="AP23" i="50"/>
  <c r="AQ23" i="50"/>
  <c r="AR23" i="50"/>
  <c r="AS23" i="50"/>
  <c r="AT23" i="50"/>
  <c r="AU23" i="50"/>
  <c r="AV23" i="50"/>
  <c r="AW23" i="50"/>
  <c r="AX23" i="50"/>
  <c r="AY23" i="50"/>
  <c r="AZ23" i="50"/>
  <c r="BA23" i="50"/>
  <c r="BB23" i="50"/>
  <c r="BC23" i="50"/>
  <c r="BD23" i="50"/>
  <c r="BE23" i="50"/>
  <c r="BF23" i="50"/>
  <c r="BG23" i="50"/>
  <c r="BH23" i="50"/>
  <c r="BI23" i="50"/>
  <c r="BJ23" i="50"/>
  <c r="BK23" i="50"/>
  <c r="BL23" i="50"/>
  <c r="BM23" i="50"/>
  <c r="BN23" i="50"/>
  <c r="BO23" i="50"/>
  <c r="BP23" i="50"/>
  <c r="BQ23" i="50"/>
  <c r="BR23" i="50"/>
  <c r="BS23" i="50"/>
  <c r="BT23" i="50"/>
  <c r="BU23" i="50"/>
  <c r="BV23" i="50"/>
  <c r="BW23" i="50"/>
  <c r="BX23" i="50"/>
  <c r="BY23" i="50"/>
  <c r="BZ23" i="50"/>
  <c r="CA23" i="50"/>
  <c r="CB23" i="50"/>
  <c r="CC23" i="50"/>
  <c r="CD23" i="50"/>
  <c r="CE23" i="50"/>
  <c r="CF23" i="50"/>
  <c r="CG23" i="50"/>
  <c r="CH23" i="50"/>
  <c r="CI23" i="50"/>
  <c r="CJ23" i="50"/>
  <c r="CK23" i="50"/>
  <c r="CL23" i="50"/>
  <c r="CM23" i="50"/>
  <c r="CN23" i="50"/>
  <c r="CO23" i="50"/>
  <c r="CP23" i="50"/>
  <c r="CQ23" i="50"/>
  <c r="CR23" i="50"/>
  <c r="CS23" i="50"/>
  <c r="CT23" i="50"/>
  <c r="CU23" i="50"/>
  <c r="CV23" i="50"/>
  <c r="CW23" i="50"/>
  <c r="CX23" i="50"/>
  <c r="CY23" i="50"/>
  <c r="CZ23" i="50"/>
  <c r="DA23" i="50"/>
  <c r="J24" i="50"/>
  <c r="K24" i="50"/>
  <c r="L24" i="50"/>
  <c r="M24" i="50"/>
  <c r="N24" i="50"/>
  <c r="O24" i="50"/>
  <c r="P24" i="50"/>
  <c r="Q24" i="50"/>
  <c r="R24" i="50"/>
  <c r="S24" i="50"/>
  <c r="T24" i="50"/>
  <c r="U24" i="50"/>
  <c r="V24" i="50"/>
  <c r="W24" i="50"/>
  <c r="X24" i="50"/>
  <c r="Y24" i="50"/>
  <c r="Z24" i="50"/>
  <c r="AA24" i="50"/>
  <c r="AB24" i="50"/>
  <c r="AC24" i="50"/>
  <c r="AD24" i="50"/>
  <c r="AE24" i="50"/>
  <c r="AF24" i="50"/>
  <c r="AG24" i="50"/>
  <c r="AH24" i="50"/>
  <c r="AI24" i="50"/>
  <c r="AJ24" i="50"/>
  <c r="AK24" i="50"/>
  <c r="AL24" i="50"/>
  <c r="AM24" i="50"/>
  <c r="AN24" i="50"/>
  <c r="AO24" i="50"/>
  <c r="AP24" i="50"/>
  <c r="AQ24" i="50"/>
  <c r="AR24" i="50"/>
  <c r="AS24" i="50"/>
  <c r="AT24" i="50"/>
  <c r="AU24" i="50"/>
  <c r="AV24" i="50"/>
  <c r="AW24" i="50"/>
  <c r="AX24" i="50"/>
  <c r="AY24" i="50"/>
  <c r="AZ24" i="50"/>
  <c r="BA24" i="50"/>
  <c r="BB24" i="50"/>
  <c r="BC24" i="50"/>
  <c r="BD24" i="50"/>
  <c r="BE24" i="50"/>
  <c r="BF24" i="50"/>
  <c r="BG24" i="50"/>
  <c r="BH24" i="50"/>
  <c r="BI24" i="50"/>
  <c r="BJ24" i="50"/>
  <c r="BK24" i="50"/>
  <c r="BL24" i="50"/>
  <c r="BM24" i="50"/>
  <c r="BN24" i="50"/>
  <c r="BO24" i="50"/>
  <c r="BP24" i="50"/>
  <c r="BQ24" i="50"/>
  <c r="BR24" i="50"/>
  <c r="BS24" i="50"/>
  <c r="BT24" i="50"/>
  <c r="BU24" i="50"/>
  <c r="BV24" i="50"/>
  <c r="BW24" i="50"/>
  <c r="BX24" i="50"/>
  <c r="BY24" i="50"/>
  <c r="BZ24" i="50"/>
  <c r="CA24" i="50"/>
  <c r="CB24" i="50"/>
  <c r="CC24" i="50"/>
  <c r="CD24" i="50"/>
  <c r="CE24" i="50"/>
  <c r="CF24" i="50"/>
  <c r="CG24" i="50"/>
  <c r="CH24" i="50"/>
  <c r="CI24" i="50"/>
  <c r="CJ24" i="50"/>
  <c r="CK24" i="50"/>
  <c r="CL24" i="50"/>
  <c r="CM24" i="50"/>
  <c r="CN24" i="50"/>
  <c r="CO24" i="50"/>
  <c r="CP24" i="50"/>
  <c r="CQ24" i="50"/>
  <c r="CR24" i="50"/>
  <c r="CS24" i="50"/>
  <c r="CT24" i="50"/>
  <c r="CU24" i="50"/>
  <c r="CV24" i="50"/>
  <c r="CW24" i="50"/>
  <c r="CX24" i="50"/>
  <c r="CY24" i="50"/>
  <c r="CZ24" i="50"/>
  <c r="DA24" i="50"/>
  <c r="J25" i="50"/>
  <c r="K25" i="50"/>
  <c r="L25" i="50"/>
  <c r="M25" i="50"/>
  <c r="N25" i="50"/>
  <c r="O25" i="50"/>
  <c r="P25" i="50"/>
  <c r="Q25" i="50"/>
  <c r="R25" i="50"/>
  <c r="S25" i="50"/>
  <c r="T25" i="50"/>
  <c r="U25" i="50"/>
  <c r="V25" i="50"/>
  <c r="W25" i="50"/>
  <c r="X25" i="50"/>
  <c r="Y25" i="50"/>
  <c r="Z25" i="50"/>
  <c r="AA25" i="50"/>
  <c r="AB25" i="50"/>
  <c r="AC25" i="50"/>
  <c r="AD25" i="50"/>
  <c r="AE25" i="50"/>
  <c r="AF25" i="50"/>
  <c r="AG25" i="50"/>
  <c r="AH25" i="50"/>
  <c r="AI25" i="50"/>
  <c r="AJ25" i="50"/>
  <c r="AK25" i="50"/>
  <c r="AL25" i="50"/>
  <c r="AM25" i="50"/>
  <c r="AN25" i="50"/>
  <c r="AO25" i="50"/>
  <c r="AP25" i="50"/>
  <c r="AQ25" i="50"/>
  <c r="AR25" i="50"/>
  <c r="AS25" i="50"/>
  <c r="AT25" i="50"/>
  <c r="AU25" i="50"/>
  <c r="AV25" i="50"/>
  <c r="AW25" i="50"/>
  <c r="AX25" i="50"/>
  <c r="AY25" i="50"/>
  <c r="AZ25" i="50"/>
  <c r="BA25" i="50"/>
  <c r="BB25" i="50"/>
  <c r="BC25" i="50"/>
  <c r="BD25" i="50"/>
  <c r="BE25" i="50"/>
  <c r="BF25" i="50"/>
  <c r="BG25" i="50"/>
  <c r="BH25" i="50"/>
  <c r="BI25" i="50"/>
  <c r="BJ25" i="50"/>
  <c r="BK25" i="50"/>
  <c r="BL25" i="50"/>
  <c r="BM25" i="50"/>
  <c r="BN25" i="50"/>
  <c r="BO25" i="50"/>
  <c r="BP25" i="50"/>
  <c r="BQ25" i="50"/>
  <c r="BR25" i="50"/>
  <c r="BS25" i="50"/>
  <c r="BT25" i="50"/>
  <c r="BU25" i="50"/>
  <c r="BV25" i="50"/>
  <c r="BW25" i="50"/>
  <c r="BX25" i="50"/>
  <c r="BY25" i="50"/>
  <c r="BZ25" i="50"/>
  <c r="CA25" i="50"/>
  <c r="CB25" i="50"/>
  <c r="CC25" i="50"/>
  <c r="CD25" i="50"/>
  <c r="CE25" i="50"/>
  <c r="CF25" i="50"/>
  <c r="CG25" i="50"/>
  <c r="CH25" i="50"/>
  <c r="CI25" i="50"/>
  <c r="CJ25" i="50"/>
  <c r="CK25" i="50"/>
  <c r="CL25" i="50"/>
  <c r="CM25" i="50"/>
  <c r="CN25" i="50"/>
  <c r="CO25" i="50"/>
  <c r="CP25" i="50"/>
  <c r="CQ25" i="50"/>
  <c r="CR25" i="50"/>
  <c r="CS25" i="50"/>
  <c r="CT25" i="50"/>
  <c r="CU25" i="50"/>
  <c r="CV25" i="50"/>
  <c r="CW25" i="50"/>
  <c r="CX25" i="50"/>
  <c r="CY25" i="50"/>
  <c r="CZ25" i="50"/>
  <c r="DA25" i="50"/>
  <c r="J26" i="50"/>
  <c r="K26" i="50"/>
  <c r="L26" i="50"/>
  <c r="M26" i="50"/>
  <c r="N26" i="50"/>
  <c r="O26" i="50"/>
  <c r="P26" i="50"/>
  <c r="Q26" i="50"/>
  <c r="R26" i="50"/>
  <c r="S26" i="50"/>
  <c r="T26" i="50"/>
  <c r="U26" i="50"/>
  <c r="V26" i="50"/>
  <c r="W26" i="50"/>
  <c r="X26" i="50"/>
  <c r="Y26" i="50"/>
  <c r="Z26" i="50"/>
  <c r="AA26" i="50"/>
  <c r="AB26" i="50"/>
  <c r="AC26" i="50"/>
  <c r="AD26" i="50"/>
  <c r="AE26" i="50"/>
  <c r="AF26" i="50"/>
  <c r="AG26" i="50"/>
  <c r="AH26" i="50"/>
  <c r="AI26" i="50"/>
  <c r="AJ26" i="50"/>
  <c r="AK26" i="50"/>
  <c r="AL26" i="50"/>
  <c r="AM26" i="50"/>
  <c r="AN26" i="50"/>
  <c r="AO26" i="50"/>
  <c r="AP26" i="50"/>
  <c r="AQ26" i="50"/>
  <c r="AR26" i="50"/>
  <c r="AS26" i="50"/>
  <c r="AT26" i="50"/>
  <c r="AU26" i="50"/>
  <c r="AV26" i="50"/>
  <c r="AW26" i="50"/>
  <c r="AX26" i="50"/>
  <c r="AY26" i="50"/>
  <c r="AZ26" i="50"/>
  <c r="BA26" i="50"/>
  <c r="BB26" i="50"/>
  <c r="BC26" i="50"/>
  <c r="BD26" i="50"/>
  <c r="BE26" i="50"/>
  <c r="BF26" i="50"/>
  <c r="BG26" i="50"/>
  <c r="BH26" i="50"/>
  <c r="BI26" i="50"/>
  <c r="BJ26" i="50"/>
  <c r="BK26" i="50"/>
  <c r="BL26" i="50"/>
  <c r="BM26" i="50"/>
  <c r="BN26" i="50"/>
  <c r="BO26" i="50"/>
  <c r="BP26" i="50"/>
  <c r="BQ26" i="50"/>
  <c r="BR26" i="50"/>
  <c r="BS26" i="50"/>
  <c r="BT26" i="50"/>
  <c r="BU26" i="50"/>
  <c r="BV26" i="50"/>
  <c r="BW26" i="50"/>
  <c r="BX26" i="50"/>
  <c r="BY26" i="50"/>
  <c r="BZ26" i="50"/>
  <c r="CA26" i="50"/>
  <c r="CB26" i="50"/>
  <c r="CC26" i="50"/>
  <c r="CD26" i="50"/>
  <c r="CE26" i="50"/>
  <c r="CF26" i="50"/>
  <c r="CG26" i="50"/>
  <c r="CH26" i="50"/>
  <c r="CI26" i="50"/>
  <c r="CJ26" i="50"/>
  <c r="CK26" i="50"/>
  <c r="CL26" i="50"/>
  <c r="CM26" i="50"/>
  <c r="CN26" i="50"/>
  <c r="CO26" i="50"/>
  <c r="CP26" i="50"/>
  <c r="CQ26" i="50"/>
  <c r="CR26" i="50"/>
  <c r="CS26" i="50"/>
  <c r="CT26" i="50"/>
  <c r="CU26" i="50"/>
  <c r="CV26" i="50"/>
  <c r="CW26" i="50"/>
  <c r="CX26" i="50"/>
  <c r="CY26" i="50"/>
  <c r="CZ26" i="50"/>
  <c r="DA26" i="50"/>
  <c r="J27" i="50"/>
  <c r="K27" i="50"/>
  <c r="L27" i="50"/>
  <c r="M27" i="50"/>
  <c r="N27" i="50"/>
  <c r="O27" i="50"/>
  <c r="P27" i="50"/>
  <c r="Q27" i="50"/>
  <c r="R27" i="50"/>
  <c r="S27" i="50"/>
  <c r="T27" i="50"/>
  <c r="U27" i="50"/>
  <c r="V27" i="50"/>
  <c r="W27" i="50"/>
  <c r="X27" i="50"/>
  <c r="Y27" i="50"/>
  <c r="Z27" i="50"/>
  <c r="AA27" i="50"/>
  <c r="AB27" i="50"/>
  <c r="AC27" i="50"/>
  <c r="AD27" i="50"/>
  <c r="AE27" i="50"/>
  <c r="AF27" i="50"/>
  <c r="AG27" i="50"/>
  <c r="AH27" i="50"/>
  <c r="AI27" i="50"/>
  <c r="AJ27" i="50"/>
  <c r="AK27" i="50"/>
  <c r="AL27" i="50"/>
  <c r="AM27" i="50"/>
  <c r="AN27" i="50"/>
  <c r="AO27" i="50"/>
  <c r="AP27" i="50"/>
  <c r="AQ27" i="50"/>
  <c r="AR27" i="50"/>
  <c r="AS27" i="50"/>
  <c r="AT27" i="50"/>
  <c r="AU27" i="50"/>
  <c r="AV27" i="50"/>
  <c r="AW27" i="50"/>
  <c r="AX27" i="50"/>
  <c r="AY27" i="50"/>
  <c r="AZ27" i="50"/>
  <c r="BA27" i="50"/>
  <c r="BB27" i="50"/>
  <c r="BC27" i="50"/>
  <c r="BD27" i="50"/>
  <c r="BE27" i="50"/>
  <c r="BF27" i="50"/>
  <c r="BG27" i="50"/>
  <c r="BH27" i="50"/>
  <c r="BI27" i="50"/>
  <c r="BJ27" i="50"/>
  <c r="BK27" i="50"/>
  <c r="BL27" i="50"/>
  <c r="BM27" i="50"/>
  <c r="BN27" i="50"/>
  <c r="BO27" i="50"/>
  <c r="BP27" i="50"/>
  <c r="BQ27" i="50"/>
  <c r="BR27" i="50"/>
  <c r="BS27" i="50"/>
  <c r="BT27" i="50"/>
  <c r="BU27" i="50"/>
  <c r="BV27" i="50"/>
  <c r="BW27" i="50"/>
  <c r="BX27" i="50"/>
  <c r="BY27" i="50"/>
  <c r="BZ27" i="50"/>
  <c r="CA27" i="50"/>
  <c r="CB27" i="50"/>
  <c r="CC27" i="50"/>
  <c r="CD27" i="50"/>
  <c r="CE27" i="50"/>
  <c r="CF27" i="50"/>
  <c r="CG27" i="50"/>
  <c r="CH27" i="50"/>
  <c r="CI27" i="50"/>
  <c r="CJ27" i="50"/>
  <c r="CK27" i="50"/>
  <c r="CL27" i="50"/>
  <c r="CM27" i="50"/>
  <c r="CN27" i="50"/>
  <c r="CO27" i="50"/>
  <c r="CP27" i="50"/>
  <c r="CQ27" i="50"/>
  <c r="CR27" i="50"/>
  <c r="CS27" i="50"/>
  <c r="CT27" i="50"/>
  <c r="CU27" i="50"/>
  <c r="CV27" i="50"/>
  <c r="CW27" i="50"/>
  <c r="CX27" i="50"/>
  <c r="CY27" i="50"/>
  <c r="CZ27" i="50"/>
  <c r="DA27" i="50"/>
  <c r="J28" i="50"/>
  <c r="K28" i="50"/>
  <c r="L28" i="50"/>
  <c r="M28" i="50"/>
  <c r="N28" i="50"/>
  <c r="O28" i="50"/>
  <c r="P28" i="50"/>
  <c r="Q28" i="50"/>
  <c r="R28" i="50"/>
  <c r="S28" i="50"/>
  <c r="T28" i="50"/>
  <c r="U28" i="50"/>
  <c r="V28" i="50"/>
  <c r="W28" i="50"/>
  <c r="X28" i="50"/>
  <c r="Y28" i="50"/>
  <c r="Z28" i="50"/>
  <c r="AA28" i="50"/>
  <c r="AB28" i="50"/>
  <c r="AC28" i="50"/>
  <c r="AD28" i="50"/>
  <c r="AE28" i="50"/>
  <c r="AF28" i="50"/>
  <c r="AG28" i="50"/>
  <c r="AH28" i="50"/>
  <c r="AI28" i="50"/>
  <c r="AJ28" i="50"/>
  <c r="AK28" i="50"/>
  <c r="AL28" i="50"/>
  <c r="AM28" i="50"/>
  <c r="AN28" i="50"/>
  <c r="AO28" i="50"/>
  <c r="AP28" i="50"/>
  <c r="AQ28" i="50"/>
  <c r="AR28" i="50"/>
  <c r="AS28" i="50"/>
  <c r="AT28" i="50"/>
  <c r="AU28" i="50"/>
  <c r="AV28" i="50"/>
  <c r="AW28" i="50"/>
  <c r="AX28" i="50"/>
  <c r="AY28" i="50"/>
  <c r="AZ28" i="50"/>
  <c r="BA28" i="50"/>
  <c r="BB28" i="50"/>
  <c r="BC28" i="50"/>
  <c r="BD28" i="50"/>
  <c r="BE28" i="50"/>
  <c r="BF28" i="50"/>
  <c r="BG28" i="50"/>
  <c r="BH28" i="50"/>
  <c r="BI28" i="50"/>
  <c r="BJ28" i="50"/>
  <c r="BK28" i="50"/>
  <c r="BL28" i="50"/>
  <c r="BM28" i="50"/>
  <c r="BN28" i="50"/>
  <c r="BO28" i="50"/>
  <c r="BP28" i="50"/>
  <c r="BQ28" i="50"/>
  <c r="BR28" i="50"/>
  <c r="BS28" i="50"/>
  <c r="BT28" i="50"/>
  <c r="BU28" i="50"/>
  <c r="BV28" i="50"/>
  <c r="BW28" i="50"/>
  <c r="BX28" i="50"/>
  <c r="BY28" i="50"/>
  <c r="BZ28" i="50"/>
  <c r="CA28" i="50"/>
  <c r="CB28" i="50"/>
  <c r="CC28" i="50"/>
  <c r="CD28" i="50"/>
  <c r="CE28" i="50"/>
  <c r="CF28" i="50"/>
  <c r="CG28" i="50"/>
  <c r="CH28" i="50"/>
  <c r="CI28" i="50"/>
  <c r="CJ28" i="50"/>
  <c r="CK28" i="50"/>
  <c r="CL28" i="50"/>
  <c r="CM28" i="50"/>
  <c r="CN28" i="50"/>
  <c r="CO28" i="50"/>
  <c r="CP28" i="50"/>
  <c r="CQ28" i="50"/>
  <c r="CR28" i="50"/>
  <c r="CS28" i="50"/>
  <c r="CT28" i="50"/>
  <c r="CU28" i="50"/>
  <c r="CV28" i="50"/>
  <c r="CW28" i="50"/>
  <c r="CX28" i="50"/>
  <c r="CY28" i="50"/>
  <c r="CZ28" i="50"/>
  <c r="DA28" i="50"/>
  <c r="J29" i="50"/>
  <c r="K29" i="50"/>
  <c r="L29" i="50"/>
  <c r="M29" i="50"/>
  <c r="N29" i="50"/>
  <c r="O29" i="50"/>
  <c r="P29" i="50"/>
  <c r="Q29" i="50"/>
  <c r="R29" i="50"/>
  <c r="S29" i="50"/>
  <c r="T29" i="50"/>
  <c r="U29" i="50"/>
  <c r="V29" i="50"/>
  <c r="W29" i="50"/>
  <c r="X29" i="50"/>
  <c r="Y29" i="50"/>
  <c r="Z29" i="50"/>
  <c r="AA29" i="50"/>
  <c r="AB29" i="50"/>
  <c r="AC29" i="50"/>
  <c r="AD29" i="50"/>
  <c r="AE29" i="50"/>
  <c r="AF29" i="50"/>
  <c r="AG29" i="50"/>
  <c r="AH29" i="50"/>
  <c r="AI29" i="50"/>
  <c r="AJ29" i="50"/>
  <c r="AK29" i="50"/>
  <c r="AL29" i="50"/>
  <c r="AM29" i="50"/>
  <c r="AN29" i="50"/>
  <c r="AO29" i="50"/>
  <c r="AP29" i="50"/>
  <c r="AQ29" i="50"/>
  <c r="AR29" i="50"/>
  <c r="AS29" i="50"/>
  <c r="AT29" i="50"/>
  <c r="AU29" i="50"/>
  <c r="AV29" i="50"/>
  <c r="AW29" i="50"/>
  <c r="AX29" i="50"/>
  <c r="AY29" i="50"/>
  <c r="AZ29" i="50"/>
  <c r="BA29" i="50"/>
  <c r="BB29" i="50"/>
  <c r="BC29" i="50"/>
  <c r="BD29" i="50"/>
  <c r="BE29" i="50"/>
  <c r="BF29" i="50"/>
  <c r="BG29" i="50"/>
  <c r="BH29" i="50"/>
  <c r="BI29" i="50"/>
  <c r="BJ29" i="50"/>
  <c r="BK29" i="50"/>
  <c r="BL29" i="50"/>
  <c r="BM29" i="50"/>
  <c r="BN29" i="50"/>
  <c r="BO29" i="50"/>
  <c r="BP29" i="50"/>
  <c r="BQ29" i="50"/>
  <c r="BR29" i="50"/>
  <c r="BS29" i="50"/>
  <c r="BT29" i="50"/>
  <c r="BU29" i="50"/>
  <c r="BV29" i="50"/>
  <c r="BW29" i="50"/>
  <c r="BX29" i="50"/>
  <c r="BY29" i="50"/>
  <c r="BZ29" i="50"/>
  <c r="CA29" i="50"/>
  <c r="CB29" i="50"/>
  <c r="CC29" i="50"/>
  <c r="CD29" i="50"/>
  <c r="CE29" i="50"/>
  <c r="CF29" i="50"/>
  <c r="CG29" i="50"/>
  <c r="CH29" i="50"/>
  <c r="CI29" i="50"/>
  <c r="CJ29" i="50"/>
  <c r="CK29" i="50"/>
  <c r="CL29" i="50"/>
  <c r="CM29" i="50"/>
  <c r="CN29" i="50"/>
  <c r="CO29" i="50"/>
  <c r="CP29" i="50"/>
  <c r="CQ29" i="50"/>
  <c r="CR29" i="50"/>
  <c r="CS29" i="50"/>
  <c r="CT29" i="50"/>
  <c r="CU29" i="50"/>
  <c r="CV29" i="50"/>
  <c r="CW29" i="50"/>
  <c r="CX29" i="50"/>
  <c r="CY29" i="50"/>
  <c r="CZ29" i="50"/>
  <c r="DA29" i="50"/>
  <c r="J30" i="50"/>
  <c r="K30" i="50"/>
  <c r="L30" i="50"/>
  <c r="M30" i="50"/>
  <c r="N30" i="50"/>
  <c r="O30" i="50"/>
  <c r="P30" i="50"/>
  <c r="Q30" i="50"/>
  <c r="R30" i="50"/>
  <c r="S30" i="50"/>
  <c r="T30" i="50"/>
  <c r="U30" i="50"/>
  <c r="V30" i="50"/>
  <c r="W30" i="50"/>
  <c r="X30" i="50"/>
  <c r="Y30" i="50"/>
  <c r="Z30" i="50"/>
  <c r="AA30" i="50"/>
  <c r="AB30" i="50"/>
  <c r="AC30" i="50"/>
  <c r="AD30" i="50"/>
  <c r="AE30" i="50"/>
  <c r="AF30" i="50"/>
  <c r="AG30" i="50"/>
  <c r="AH30" i="50"/>
  <c r="AI30" i="50"/>
  <c r="AJ30" i="50"/>
  <c r="AK30" i="50"/>
  <c r="AL30" i="50"/>
  <c r="AM30" i="50"/>
  <c r="AN30" i="50"/>
  <c r="AO30" i="50"/>
  <c r="AP30" i="50"/>
  <c r="AQ30" i="50"/>
  <c r="AR30" i="50"/>
  <c r="AS30" i="50"/>
  <c r="AT30" i="50"/>
  <c r="AU30" i="50"/>
  <c r="AV30" i="50"/>
  <c r="AW30" i="50"/>
  <c r="AX30" i="50"/>
  <c r="AY30" i="50"/>
  <c r="AZ30" i="50"/>
  <c r="BA30" i="50"/>
  <c r="BB30" i="50"/>
  <c r="BC30" i="50"/>
  <c r="BD30" i="50"/>
  <c r="BE30" i="50"/>
  <c r="BF30" i="50"/>
  <c r="BG30" i="50"/>
  <c r="BH30" i="50"/>
  <c r="BI30" i="50"/>
  <c r="BJ30" i="50"/>
  <c r="BK30" i="50"/>
  <c r="BL30" i="50"/>
  <c r="BM30" i="50"/>
  <c r="BN30" i="50"/>
  <c r="BO30" i="50"/>
  <c r="BP30" i="50"/>
  <c r="BQ30" i="50"/>
  <c r="BR30" i="50"/>
  <c r="BS30" i="50"/>
  <c r="BT30" i="50"/>
  <c r="BU30" i="50"/>
  <c r="BV30" i="50"/>
  <c r="BW30" i="50"/>
  <c r="BX30" i="50"/>
  <c r="BY30" i="50"/>
  <c r="BZ30" i="50"/>
  <c r="CA30" i="50"/>
  <c r="CB30" i="50"/>
  <c r="CC30" i="50"/>
  <c r="CD30" i="50"/>
  <c r="CE30" i="50"/>
  <c r="CF30" i="50"/>
  <c r="CG30" i="50"/>
  <c r="CH30" i="50"/>
  <c r="CI30" i="50"/>
  <c r="CJ30" i="50"/>
  <c r="CK30" i="50"/>
  <c r="CL30" i="50"/>
  <c r="CM30" i="50"/>
  <c r="CN30" i="50"/>
  <c r="CO30" i="50"/>
  <c r="CP30" i="50"/>
  <c r="CQ30" i="50"/>
  <c r="CR30" i="50"/>
  <c r="CS30" i="50"/>
  <c r="CT30" i="50"/>
  <c r="CU30" i="50"/>
  <c r="CV30" i="50"/>
  <c r="CW30" i="50"/>
  <c r="CX30" i="50"/>
  <c r="CY30" i="50"/>
  <c r="CZ30" i="50"/>
  <c r="DA30" i="50"/>
  <c r="J31" i="50"/>
  <c r="K31" i="50"/>
  <c r="L31" i="50"/>
  <c r="M31" i="50"/>
  <c r="N31" i="50"/>
  <c r="O31" i="50"/>
  <c r="P31" i="50"/>
  <c r="Q31" i="50"/>
  <c r="R31" i="50"/>
  <c r="S31" i="50"/>
  <c r="T31" i="50"/>
  <c r="U31" i="50"/>
  <c r="V31" i="50"/>
  <c r="W31" i="50"/>
  <c r="X31" i="50"/>
  <c r="Y31" i="50"/>
  <c r="Z31" i="50"/>
  <c r="AA31" i="50"/>
  <c r="AB31" i="50"/>
  <c r="AC31" i="50"/>
  <c r="AD31" i="50"/>
  <c r="AE31" i="50"/>
  <c r="AF31" i="50"/>
  <c r="AG31" i="50"/>
  <c r="AH31" i="50"/>
  <c r="AI31" i="50"/>
  <c r="AJ31" i="50"/>
  <c r="AK31" i="50"/>
  <c r="AL31" i="50"/>
  <c r="AM31" i="50"/>
  <c r="AN31" i="50"/>
  <c r="AO31" i="50"/>
  <c r="AP31" i="50"/>
  <c r="AQ31" i="50"/>
  <c r="AR31" i="50"/>
  <c r="AS31" i="50"/>
  <c r="AT31" i="50"/>
  <c r="AU31" i="50"/>
  <c r="AV31" i="50"/>
  <c r="AW31" i="50"/>
  <c r="AX31" i="50"/>
  <c r="AY31" i="50"/>
  <c r="AZ31" i="50"/>
  <c r="BA31" i="50"/>
  <c r="BB31" i="50"/>
  <c r="BC31" i="50"/>
  <c r="BD31" i="50"/>
  <c r="BE31" i="50"/>
  <c r="BF31" i="50"/>
  <c r="BG31" i="50"/>
  <c r="BH31" i="50"/>
  <c r="BI31" i="50"/>
  <c r="BJ31" i="50"/>
  <c r="BK31" i="50"/>
  <c r="BL31" i="50"/>
  <c r="BM31" i="50"/>
  <c r="BN31" i="50"/>
  <c r="BO31" i="50"/>
  <c r="BP31" i="50"/>
  <c r="BQ31" i="50"/>
  <c r="BR31" i="50"/>
  <c r="BS31" i="50"/>
  <c r="BT31" i="50"/>
  <c r="BU31" i="50"/>
  <c r="BV31" i="50"/>
  <c r="BW31" i="50"/>
  <c r="BX31" i="50"/>
  <c r="BY31" i="50"/>
  <c r="BZ31" i="50"/>
  <c r="CA31" i="50"/>
  <c r="CB31" i="50"/>
  <c r="CC31" i="50"/>
  <c r="CD31" i="50"/>
  <c r="CE31" i="50"/>
  <c r="CF31" i="50"/>
  <c r="CG31" i="50"/>
  <c r="CH31" i="50"/>
  <c r="CI31" i="50"/>
  <c r="CJ31" i="50"/>
  <c r="CK31" i="50"/>
  <c r="CL31" i="50"/>
  <c r="CM31" i="50"/>
  <c r="CN31" i="50"/>
  <c r="CO31" i="50"/>
  <c r="CP31" i="50"/>
  <c r="CQ31" i="50"/>
  <c r="CR31" i="50"/>
  <c r="CS31" i="50"/>
  <c r="CT31" i="50"/>
  <c r="CU31" i="50"/>
  <c r="CV31" i="50"/>
  <c r="CW31" i="50"/>
  <c r="CX31" i="50"/>
  <c r="CY31" i="50"/>
  <c r="CZ31" i="50"/>
  <c r="DA31" i="50"/>
  <c r="J32" i="50"/>
  <c r="K32" i="50"/>
  <c r="L32" i="50"/>
  <c r="M32" i="50"/>
  <c r="N32" i="50"/>
  <c r="O32" i="50"/>
  <c r="P32" i="50"/>
  <c r="Q32" i="50"/>
  <c r="R32" i="50"/>
  <c r="S32" i="50"/>
  <c r="T32" i="50"/>
  <c r="U32" i="50"/>
  <c r="V32" i="50"/>
  <c r="W32" i="50"/>
  <c r="X32" i="50"/>
  <c r="Y32" i="50"/>
  <c r="Z32" i="50"/>
  <c r="AA32" i="50"/>
  <c r="AB32" i="50"/>
  <c r="AC32" i="50"/>
  <c r="AD32" i="50"/>
  <c r="AE32" i="50"/>
  <c r="AF32" i="50"/>
  <c r="AG32" i="50"/>
  <c r="AH32" i="50"/>
  <c r="AI32" i="50"/>
  <c r="AJ32" i="50"/>
  <c r="AK32" i="50"/>
  <c r="AL32" i="50"/>
  <c r="AM32" i="50"/>
  <c r="AN32" i="50"/>
  <c r="AO32" i="50"/>
  <c r="AP32" i="50"/>
  <c r="AQ32" i="50"/>
  <c r="AR32" i="50"/>
  <c r="AS32" i="50"/>
  <c r="AT32" i="50"/>
  <c r="AU32" i="50"/>
  <c r="AV32" i="50"/>
  <c r="AW32" i="50"/>
  <c r="AX32" i="50"/>
  <c r="AY32" i="50"/>
  <c r="AZ32" i="50"/>
  <c r="BA32" i="50"/>
  <c r="BB32" i="50"/>
  <c r="BC32" i="50"/>
  <c r="BD32" i="50"/>
  <c r="BE32" i="50"/>
  <c r="BF32" i="50"/>
  <c r="BG32" i="50"/>
  <c r="BH32" i="50"/>
  <c r="BI32" i="50"/>
  <c r="BJ32" i="50"/>
  <c r="BK32" i="50"/>
  <c r="BL32" i="50"/>
  <c r="BM32" i="50"/>
  <c r="BN32" i="50"/>
  <c r="BO32" i="50"/>
  <c r="BP32" i="50"/>
  <c r="BQ32" i="50"/>
  <c r="BR32" i="50"/>
  <c r="BS32" i="50"/>
  <c r="BT32" i="50"/>
  <c r="BU32" i="50"/>
  <c r="BV32" i="50"/>
  <c r="BW32" i="50"/>
  <c r="BX32" i="50"/>
  <c r="BY32" i="50"/>
  <c r="BZ32" i="50"/>
  <c r="CA32" i="50"/>
  <c r="CB32" i="50"/>
  <c r="CC32" i="50"/>
  <c r="CD32" i="50"/>
  <c r="CE32" i="50"/>
  <c r="CF32" i="50"/>
  <c r="CG32" i="50"/>
  <c r="CH32" i="50"/>
  <c r="CI32" i="50"/>
  <c r="CJ32" i="50"/>
  <c r="CK32" i="50"/>
  <c r="CL32" i="50"/>
  <c r="CM32" i="50"/>
  <c r="CN32" i="50"/>
  <c r="CO32" i="50"/>
  <c r="CP32" i="50"/>
  <c r="CQ32" i="50"/>
  <c r="CR32" i="50"/>
  <c r="CS32" i="50"/>
  <c r="CT32" i="50"/>
  <c r="CU32" i="50"/>
  <c r="CV32" i="50"/>
  <c r="CW32" i="50"/>
  <c r="CX32" i="50"/>
  <c r="CY32" i="50"/>
  <c r="CZ32" i="50"/>
  <c r="DA32" i="50"/>
  <c r="J33" i="50"/>
  <c r="K33" i="50"/>
  <c r="L33" i="50"/>
  <c r="M33" i="50"/>
  <c r="N33" i="50"/>
  <c r="O33" i="50"/>
  <c r="P33" i="50"/>
  <c r="Q33" i="50"/>
  <c r="R33" i="50"/>
  <c r="S33" i="50"/>
  <c r="T33" i="50"/>
  <c r="U33" i="50"/>
  <c r="V33" i="50"/>
  <c r="W33" i="50"/>
  <c r="X33" i="50"/>
  <c r="Y33" i="50"/>
  <c r="Z33" i="50"/>
  <c r="AA33" i="50"/>
  <c r="AB33" i="50"/>
  <c r="AC33" i="50"/>
  <c r="AD33" i="50"/>
  <c r="AE33" i="50"/>
  <c r="AF33" i="50"/>
  <c r="AG33" i="50"/>
  <c r="AH33" i="50"/>
  <c r="AI33" i="50"/>
  <c r="AJ33" i="50"/>
  <c r="AK33" i="50"/>
  <c r="AL33" i="50"/>
  <c r="AM33" i="50"/>
  <c r="AN33" i="50"/>
  <c r="AO33" i="50"/>
  <c r="AP33" i="50"/>
  <c r="AQ33" i="50"/>
  <c r="AR33" i="50"/>
  <c r="AS33" i="50"/>
  <c r="AT33" i="50"/>
  <c r="AU33" i="50"/>
  <c r="AV33" i="50"/>
  <c r="AW33" i="50"/>
  <c r="AX33" i="50"/>
  <c r="AY33" i="50"/>
  <c r="AZ33" i="50"/>
  <c r="BA33" i="50"/>
  <c r="BB33" i="50"/>
  <c r="BC33" i="50"/>
  <c r="BD33" i="50"/>
  <c r="BE33" i="50"/>
  <c r="BF33" i="50"/>
  <c r="BG33" i="50"/>
  <c r="BH33" i="50"/>
  <c r="BI33" i="50"/>
  <c r="BJ33" i="50"/>
  <c r="BK33" i="50"/>
  <c r="BL33" i="50"/>
  <c r="BM33" i="50"/>
  <c r="BN33" i="50"/>
  <c r="BO33" i="50"/>
  <c r="BP33" i="50"/>
  <c r="BQ33" i="50"/>
  <c r="BR33" i="50"/>
  <c r="BS33" i="50"/>
  <c r="BT33" i="50"/>
  <c r="BU33" i="50"/>
  <c r="BV33" i="50"/>
  <c r="BW33" i="50"/>
  <c r="BX33" i="50"/>
  <c r="BY33" i="50"/>
  <c r="BZ33" i="50"/>
  <c r="CA33" i="50"/>
  <c r="CB33" i="50"/>
  <c r="CC33" i="50"/>
  <c r="CD33" i="50"/>
  <c r="CE33" i="50"/>
  <c r="CF33" i="50"/>
  <c r="CG33" i="50"/>
  <c r="CH33" i="50"/>
  <c r="CI33" i="50"/>
  <c r="CJ33" i="50"/>
  <c r="CK33" i="50"/>
  <c r="CL33" i="50"/>
  <c r="CM33" i="50"/>
  <c r="CN33" i="50"/>
  <c r="CO33" i="50"/>
  <c r="CP33" i="50"/>
  <c r="CQ33" i="50"/>
  <c r="CR33" i="50"/>
  <c r="CS33" i="50"/>
  <c r="CT33" i="50"/>
  <c r="CU33" i="50"/>
  <c r="CV33" i="50"/>
  <c r="CW33" i="50"/>
  <c r="CX33" i="50"/>
  <c r="CY33" i="50"/>
  <c r="CZ33" i="50"/>
  <c r="DA33" i="50"/>
  <c r="J34" i="50"/>
  <c r="K34" i="50"/>
  <c r="L34" i="50"/>
  <c r="M34" i="50"/>
  <c r="N34" i="50"/>
  <c r="O34" i="50"/>
  <c r="P34" i="50"/>
  <c r="Q34" i="50"/>
  <c r="R34" i="50"/>
  <c r="S34" i="50"/>
  <c r="T34" i="50"/>
  <c r="U34" i="50"/>
  <c r="V34" i="50"/>
  <c r="W34" i="50"/>
  <c r="X34" i="50"/>
  <c r="Y34" i="50"/>
  <c r="Z34" i="50"/>
  <c r="AA34" i="50"/>
  <c r="AB34" i="50"/>
  <c r="AC34" i="50"/>
  <c r="AD34" i="50"/>
  <c r="AE34" i="50"/>
  <c r="AF34" i="50"/>
  <c r="AG34" i="50"/>
  <c r="AH34" i="50"/>
  <c r="AI34" i="50"/>
  <c r="AJ34" i="50"/>
  <c r="AK34" i="50"/>
  <c r="AL34" i="50"/>
  <c r="AM34" i="50"/>
  <c r="AN34" i="50"/>
  <c r="AO34" i="50"/>
  <c r="AP34" i="50"/>
  <c r="AQ34" i="50"/>
  <c r="AR34" i="50"/>
  <c r="AS34" i="50"/>
  <c r="AT34" i="50"/>
  <c r="AU34" i="50"/>
  <c r="AV34" i="50"/>
  <c r="AW34" i="50"/>
  <c r="AX34" i="50"/>
  <c r="AY34" i="50"/>
  <c r="AZ34" i="50"/>
  <c r="BA34" i="50"/>
  <c r="BB34" i="50"/>
  <c r="BC34" i="50"/>
  <c r="BD34" i="50"/>
  <c r="BE34" i="50"/>
  <c r="BF34" i="50"/>
  <c r="BG34" i="50"/>
  <c r="BH34" i="50"/>
  <c r="BI34" i="50"/>
  <c r="BJ34" i="50"/>
  <c r="BK34" i="50"/>
  <c r="BL34" i="50"/>
  <c r="BM34" i="50"/>
  <c r="BN34" i="50"/>
  <c r="BO34" i="50"/>
  <c r="BP34" i="50"/>
  <c r="BQ34" i="50"/>
  <c r="BR34" i="50"/>
  <c r="BS34" i="50"/>
  <c r="BT34" i="50"/>
  <c r="BU34" i="50"/>
  <c r="BV34" i="50"/>
  <c r="BW34" i="50"/>
  <c r="BX34" i="50"/>
  <c r="BY34" i="50"/>
  <c r="BZ34" i="50"/>
  <c r="CA34" i="50"/>
  <c r="CB34" i="50"/>
  <c r="CC34" i="50"/>
  <c r="CD34" i="50"/>
  <c r="CE34" i="50"/>
  <c r="CF34" i="50"/>
  <c r="CG34" i="50"/>
  <c r="CH34" i="50"/>
  <c r="CI34" i="50"/>
  <c r="CJ34" i="50"/>
  <c r="CK34" i="50"/>
  <c r="CL34" i="50"/>
  <c r="CM34" i="50"/>
  <c r="CN34" i="50"/>
  <c r="CO34" i="50"/>
  <c r="CP34" i="50"/>
  <c r="CQ34" i="50"/>
  <c r="CR34" i="50"/>
  <c r="CS34" i="50"/>
  <c r="CT34" i="50"/>
  <c r="CU34" i="50"/>
  <c r="CV34" i="50"/>
  <c r="CW34" i="50"/>
  <c r="CX34" i="50"/>
  <c r="CY34" i="50"/>
  <c r="CZ34" i="50"/>
  <c r="DA34" i="50"/>
  <c r="J35" i="50"/>
  <c r="K35" i="50"/>
  <c r="L35" i="50"/>
  <c r="M35" i="50"/>
  <c r="N35" i="50"/>
  <c r="O35" i="50"/>
  <c r="P35" i="50"/>
  <c r="Q35" i="50"/>
  <c r="R35" i="50"/>
  <c r="S35" i="50"/>
  <c r="T35" i="50"/>
  <c r="U35" i="50"/>
  <c r="V35" i="50"/>
  <c r="W35" i="50"/>
  <c r="X35" i="50"/>
  <c r="Y35" i="50"/>
  <c r="Z35" i="50"/>
  <c r="AA35" i="50"/>
  <c r="AB35" i="50"/>
  <c r="AC35" i="50"/>
  <c r="AD35" i="50"/>
  <c r="AE35" i="50"/>
  <c r="AF35" i="50"/>
  <c r="AG35" i="50"/>
  <c r="AH35" i="50"/>
  <c r="AI35" i="50"/>
  <c r="AJ35" i="50"/>
  <c r="AK35" i="50"/>
  <c r="AL35" i="50"/>
  <c r="AM35" i="50"/>
  <c r="AN35" i="50"/>
  <c r="AO35" i="50"/>
  <c r="AP35" i="50"/>
  <c r="AQ35" i="50"/>
  <c r="AR35" i="50"/>
  <c r="AS35" i="50"/>
  <c r="AT35" i="50"/>
  <c r="AU35" i="50"/>
  <c r="AV35" i="50"/>
  <c r="AW35" i="50"/>
  <c r="AX35" i="50"/>
  <c r="AY35" i="50"/>
  <c r="AZ35" i="50"/>
  <c r="BA35" i="50"/>
  <c r="BB35" i="50"/>
  <c r="BC35" i="50"/>
  <c r="BD35" i="50"/>
  <c r="BE35" i="50"/>
  <c r="BF35" i="50"/>
  <c r="BG35" i="50"/>
  <c r="BH35" i="50"/>
  <c r="BI35" i="50"/>
  <c r="BJ35" i="50"/>
  <c r="BK35" i="50"/>
  <c r="BL35" i="50"/>
  <c r="BM35" i="50"/>
  <c r="BN35" i="50"/>
  <c r="BO35" i="50"/>
  <c r="BP35" i="50"/>
  <c r="BQ35" i="50"/>
  <c r="BR35" i="50"/>
  <c r="BS35" i="50"/>
  <c r="BT35" i="50"/>
  <c r="BU35" i="50"/>
  <c r="BV35" i="50"/>
  <c r="BW35" i="50"/>
  <c r="BX35" i="50"/>
  <c r="BY35" i="50"/>
  <c r="BZ35" i="50"/>
  <c r="CA35" i="50"/>
  <c r="CB35" i="50"/>
  <c r="CC35" i="50"/>
  <c r="CD35" i="50"/>
  <c r="CE35" i="50"/>
  <c r="CF35" i="50"/>
  <c r="CG35" i="50"/>
  <c r="CH35" i="50"/>
  <c r="CI35" i="50"/>
  <c r="CJ35" i="50"/>
  <c r="CK35" i="50"/>
  <c r="CL35" i="50"/>
  <c r="CM35" i="50"/>
  <c r="CN35" i="50"/>
  <c r="CO35" i="50"/>
  <c r="CP35" i="50"/>
  <c r="CQ35" i="50"/>
  <c r="CR35" i="50"/>
  <c r="CS35" i="50"/>
  <c r="CT35" i="50"/>
  <c r="CU35" i="50"/>
  <c r="CV35" i="50"/>
  <c r="CW35" i="50"/>
  <c r="CX35" i="50"/>
  <c r="CY35" i="50"/>
  <c r="CZ35" i="50"/>
  <c r="DA35" i="50"/>
  <c r="J36" i="50"/>
  <c r="K36" i="50"/>
  <c r="L36" i="50"/>
  <c r="M36" i="50"/>
  <c r="N36" i="50"/>
  <c r="O36" i="50"/>
  <c r="P36" i="50"/>
  <c r="Q36" i="50"/>
  <c r="R36" i="50"/>
  <c r="S36" i="50"/>
  <c r="T36" i="50"/>
  <c r="U36" i="50"/>
  <c r="V36" i="50"/>
  <c r="W36" i="50"/>
  <c r="X36" i="50"/>
  <c r="Y36" i="50"/>
  <c r="Z36" i="50"/>
  <c r="AA36" i="50"/>
  <c r="AB36" i="50"/>
  <c r="AC36" i="50"/>
  <c r="AD36" i="50"/>
  <c r="AE36" i="50"/>
  <c r="AF36" i="50"/>
  <c r="AG36" i="50"/>
  <c r="AH36" i="50"/>
  <c r="AI36" i="50"/>
  <c r="AJ36" i="50"/>
  <c r="AK36" i="50"/>
  <c r="AL36" i="50"/>
  <c r="AM36" i="50"/>
  <c r="AN36" i="50"/>
  <c r="AO36" i="50"/>
  <c r="AP36" i="50"/>
  <c r="AQ36" i="50"/>
  <c r="AR36" i="50"/>
  <c r="AS36" i="50"/>
  <c r="AT36" i="50"/>
  <c r="AU36" i="50"/>
  <c r="AV36" i="50"/>
  <c r="AW36" i="50"/>
  <c r="AX36" i="50"/>
  <c r="AY36" i="50"/>
  <c r="AZ36" i="50"/>
  <c r="BA36" i="50"/>
  <c r="BB36" i="50"/>
  <c r="BC36" i="50"/>
  <c r="BD36" i="50"/>
  <c r="BE36" i="50"/>
  <c r="BF36" i="50"/>
  <c r="BG36" i="50"/>
  <c r="BH36" i="50"/>
  <c r="BI36" i="50"/>
  <c r="BJ36" i="50"/>
  <c r="BK36" i="50"/>
  <c r="BL36" i="50"/>
  <c r="BM36" i="50"/>
  <c r="BN36" i="50"/>
  <c r="BO36" i="50"/>
  <c r="BP36" i="50"/>
  <c r="BQ36" i="50"/>
  <c r="BR36" i="50"/>
  <c r="BS36" i="50"/>
  <c r="BT36" i="50"/>
  <c r="BU36" i="50"/>
  <c r="BV36" i="50"/>
  <c r="BW36" i="50"/>
  <c r="BX36" i="50"/>
  <c r="BY36" i="50"/>
  <c r="BZ36" i="50"/>
  <c r="CA36" i="50"/>
  <c r="CB36" i="50"/>
  <c r="CC36" i="50"/>
  <c r="CD36" i="50"/>
  <c r="CE36" i="50"/>
  <c r="CF36" i="50"/>
  <c r="CG36" i="50"/>
  <c r="CH36" i="50"/>
  <c r="CI36" i="50"/>
  <c r="CJ36" i="50"/>
  <c r="CK36" i="50"/>
  <c r="CL36" i="50"/>
  <c r="CM36" i="50"/>
  <c r="CN36" i="50"/>
  <c r="CO36" i="50"/>
  <c r="CP36" i="50"/>
  <c r="CQ36" i="50"/>
  <c r="CR36" i="50"/>
  <c r="CS36" i="50"/>
  <c r="CT36" i="50"/>
  <c r="CU36" i="50"/>
  <c r="CV36" i="50"/>
  <c r="CW36" i="50"/>
  <c r="CX36" i="50"/>
  <c r="CY36" i="50"/>
  <c r="CZ36" i="50"/>
  <c r="DA36" i="50"/>
  <c r="J37" i="50"/>
  <c r="K37" i="50"/>
  <c r="L37" i="50"/>
  <c r="M37" i="50"/>
  <c r="N37" i="50"/>
  <c r="O37" i="50"/>
  <c r="P37" i="50"/>
  <c r="Q37" i="50"/>
  <c r="R37" i="50"/>
  <c r="S37" i="50"/>
  <c r="T37" i="50"/>
  <c r="U37" i="50"/>
  <c r="V37" i="50"/>
  <c r="W37" i="50"/>
  <c r="X37" i="50"/>
  <c r="Y37" i="50"/>
  <c r="Z37" i="50"/>
  <c r="AA37" i="50"/>
  <c r="AB37" i="50"/>
  <c r="AC37" i="50"/>
  <c r="AD37" i="50"/>
  <c r="AE37" i="50"/>
  <c r="AF37" i="50"/>
  <c r="AG37" i="50"/>
  <c r="AH37" i="50"/>
  <c r="AI37" i="50"/>
  <c r="AJ37" i="50"/>
  <c r="AK37" i="50"/>
  <c r="AL37" i="50"/>
  <c r="AM37" i="50"/>
  <c r="AN37" i="50"/>
  <c r="AO37" i="50"/>
  <c r="AP37" i="50"/>
  <c r="AQ37" i="50"/>
  <c r="AR37" i="50"/>
  <c r="AS37" i="50"/>
  <c r="AT37" i="50"/>
  <c r="AU37" i="50"/>
  <c r="AV37" i="50"/>
  <c r="AW37" i="50"/>
  <c r="AX37" i="50"/>
  <c r="AY37" i="50"/>
  <c r="AZ37" i="50"/>
  <c r="BA37" i="50"/>
  <c r="BB37" i="50"/>
  <c r="BC37" i="50"/>
  <c r="BD37" i="50"/>
  <c r="BE37" i="50"/>
  <c r="BF37" i="50"/>
  <c r="BG37" i="50"/>
  <c r="BH37" i="50"/>
  <c r="BI37" i="50"/>
  <c r="BJ37" i="50"/>
  <c r="BK37" i="50"/>
  <c r="BL37" i="50"/>
  <c r="BM37" i="50"/>
  <c r="BN37" i="50"/>
  <c r="BO37" i="50"/>
  <c r="BP37" i="50"/>
  <c r="BQ37" i="50"/>
  <c r="BR37" i="50"/>
  <c r="BS37" i="50"/>
  <c r="BT37" i="50"/>
  <c r="BU37" i="50"/>
  <c r="BV37" i="50"/>
  <c r="BW37" i="50"/>
  <c r="BX37" i="50"/>
  <c r="BY37" i="50"/>
  <c r="BZ37" i="50"/>
  <c r="CA37" i="50"/>
  <c r="CB37" i="50"/>
  <c r="CC37" i="50"/>
  <c r="CD37" i="50"/>
  <c r="CE37" i="50"/>
  <c r="CF37" i="50"/>
  <c r="CG37" i="50"/>
  <c r="CH37" i="50"/>
  <c r="CI37" i="50"/>
  <c r="CJ37" i="50"/>
  <c r="CK37" i="50"/>
  <c r="CL37" i="50"/>
  <c r="CM37" i="50"/>
  <c r="CN37" i="50"/>
  <c r="CO37" i="50"/>
  <c r="CP37" i="50"/>
  <c r="CQ37" i="50"/>
  <c r="CR37" i="50"/>
  <c r="CS37" i="50"/>
  <c r="CT37" i="50"/>
  <c r="CU37" i="50"/>
  <c r="CV37" i="50"/>
  <c r="CW37" i="50"/>
  <c r="CX37" i="50"/>
  <c r="CY37" i="50"/>
  <c r="CZ37" i="50"/>
  <c r="DA37" i="50"/>
  <c r="J38" i="50"/>
  <c r="K38" i="50"/>
  <c r="L38" i="50"/>
  <c r="M38" i="50"/>
  <c r="N38" i="50"/>
  <c r="O38" i="50"/>
  <c r="P38" i="50"/>
  <c r="Q38" i="50"/>
  <c r="R38" i="50"/>
  <c r="S38" i="50"/>
  <c r="T38" i="50"/>
  <c r="U38" i="50"/>
  <c r="V38" i="50"/>
  <c r="W38" i="50"/>
  <c r="X38" i="50"/>
  <c r="Y38" i="50"/>
  <c r="Z38" i="50"/>
  <c r="AA38" i="50"/>
  <c r="AB38" i="50"/>
  <c r="AC38" i="50"/>
  <c r="AD38" i="50"/>
  <c r="AE38" i="50"/>
  <c r="AF38" i="50"/>
  <c r="AG38" i="50"/>
  <c r="AH38" i="50"/>
  <c r="AI38" i="50"/>
  <c r="AJ38" i="50"/>
  <c r="AK38" i="50"/>
  <c r="AL38" i="50"/>
  <c r="AM38" i="50"/>
  <c r="AN38" i="50"/>
  <c r="AO38" i="50"/>
  <c r="AP38" i="50"/>
  <c r="AQ38" i="50"/>
  <c r="AR38" i="50"/>
  <c r="AS38" i="50"/>
  <c r="AT38" i="50"/>
  <c r="AU38" i="50"/>
  <c r="AV38" i="50"/>
  <c r="AW38" i="50"/>
  <c r="AX38" i="50"/>
  <c r="AY38" i="50"/>
  <c r="AZ38" i="50"/>
  <c r="BA38" i="50"/>
  <c r="BB38" i="50"/>
  <c r="BC38" i="50"/>
  <c r="BD38" i="50"/>
  <c r="BE38" i="50"/>
  <c r="BF38" i="50"/>
  <c r="BG38" i="50"/>
  <c r="BH38" i="50"/>
  <c r="BI38" i="50"/>
  <c r="BJ38" i="50"/>
  <c r="BK38" i="50"/>
  <c r="BL38" i="50"/>
  <c r="BM38" i="50"/>
  <c r="BN38" i="50"/>
  <c r="BO38" i="50"/>
  <c r="BP38" i="50"/>
  <c r="BQ38" i="50"/>
  <c r="BR38" i="50"/>
  <c r="BS38" i="50"/>
  <c r="BT38" i="50"/>
  <c r="BU38" i="50"/>
  <c r="BV38" i="50"/>
  <c r="BW38" i="50"/>
  <c r="BX38" i="50"/>
  <c r="BY38" i="50"/>
  <c r="BZ38" i="50"/>
  <c r="CA38" i="50"/>
  <c r="CB38" i="50"/>
  <c r="CC38" i="50"/>
  <c r="CD38" i="50"/>
  <c r="CE38" i="50"/>
  <c r="CF38" i="50"/>
  <c r="CG38" i="50"/>
  <c r="CH38" i="50"/>
  <c r="CI38" i="50"/>
  <c r="CJ38" i="50"/>
  <c r="CK38" i="50"/>
  <c r="CL38" i="50"/>
  <c r="CM38" i="50"/>
  <c r="CN38" i="50"/>
  <c r="CO38" i="50"/>
  <c r="CP38" i="50"/>
  <c r="CQ38" i="50"/>
  <c r="CR38" i="50"/>
  <c r="CS38" i="50"/>
  <c r="CT38" i="50"/>
  <c r="CU38" i="50"/>
  <c r="CV38" i="50"/>
  <c r="CW38" i="50"/>
  <c r="CX38" i="50"/>
  <c r="CY38" i="50"/>
  <c r="CZ38" i="50"/>
  <c r="DA38" i="50"/>
  <c r="J39" i="50"/>
  <c r="K39" i="50"/>
  <c r="L39" i="50"/>
  <c r="M39" i="50"/>
  <c r="N39" i="50"/>
  <c r="O39" i="50"/>
  <c r="P39" i="50"/>
  <c r="Q39" i="50"/>
  <c r="R39" i="50"/>
  <c r="S39" i="50"/>
  <c r="T39" i="50"/>
  <c r="U39" i="50"/>
  <c r="V39" i="50"/>
  <c r="W39" i="50"/>
  <c r="X39" i="50"/>
  <c r="Y39" i="50"/>
  <c r="Z39" i="50"/>
  <c r="AA39" i="50"/>
  <c r="AB39" i="50"/>
  <c r="AC39" i="50"/>
  <c r="AD39" i="50"/>
  <c r="AE39" i="50"/>
  <c r="AF39" i="50"/>
  <c r="AG39" i="50"/>
  <c r="AH39" i="50"/>
  <c r="AI39" i="50"/>
  <c r="AJ39" i="50"/>
  <c r="AK39" i="50"/>
  <c r="AL39" i="50"/>
  <c r="AM39" i="50"/>
  <c r="AN39" i="50"/>
  <c r="AO39" i="50"/>
  <c r="AP39" i="50"/>
  <c r="AQ39" i="50"/>
  <c r="AR39" i="50"/>
  <c r="AS39" i="50"/>
  <c r="AT39" i="50"/>
  <c r="AU39" i="50"/>
  <c r="AV39" i="50"/>
  <c r="AW39" i="50"/>
  <c r="AX39" i="50"/>
  <c r="AY39" i="50"/>
  <c r="AZ39" i="50"/>
  <c r="BA39" i="50"/>
  <c r="BB39" i="50"/>
  <c r="BC39" i="50"/>
  <c r="BD39" i="50"/>
  <c r="BE39" i="50"/>
  <c r="BF39" i="50"/>
  <c r="BG39" i="50"/>
  <c r="BH39" i="50"/>
  <c r="BI39" i="50"/>
  <c r="BJ39" i="50"/>
  <c r="BK39" i="50"/>
  <c r="BL39" i="50"/>
  <c r="BM39" i="50"/>
  <c r="BN39" i="50"/>
  <c r="BO39" i="50"/>
  <c r="BP39" i="50"/>
  <c r="BQ39" i="50"/>
  <c r="BR39" i="50"/>
  <c r="BS39" i="50"/>
  <c r="BT39" i="50"/>
  <c r="BU39" i="50"/>
  <c r="BV39" i="50"/>
  <c r="BW39" i="50"/>
  <c r="BX39" i="50"/>
  <c r="BY39" i="50"/>
  <c r="BZ39" i="50"/>
  <c r="CA39" i="50"/>
  <c r="CB39" i="50"/>
  <c r="CC39" i="50"/>
  <c r="CD39" i="50"/>
  <c r="CE39" i="50"/>
  <c r="CF39" i="50"/>
  <c r="CG39" i="50"/>
  <c r="CH39" i="50"/>
  <c r="CI39" i="50"/>
  <c r="CJ39" i="50"/>
  <c r="CK39" i="50"/>
  <c r="CL39" i="50"/>
  <c r="CM39" i="50"/>
  <c r="CN39" i="50"/>
  <c r="CO39" i="50"/>
  <c r="CP39" i="50"/>
  <c r="CQ39" i="50"/>
  <c r="CR39" i="50"/>
  <c r="CS39" i="50"/>
  <c r="CT39" i="50"/>
  <c r="CU39" i="50"/>
  <c r="CV39" i="50"/>
  <c r="CW39" i="50"/>
  <c r="CX39" i="50"/>
  <c r="CY39" i="50"/>
  <c r="CZ39" i="50"/>
  <c r="DA39" i="50"/>
  <c r="J40" i="50"/>
  <c r="K40" i="50"/>
  <c r="L40" i="50"/>
  <c r="M40" i="50"/>
  <c r="N40" i="50"/>
  <c r="O40" i="50"/>
  <c r="P40" i="50"/>
  <c r="Q40" i="50"/>
  <c r="R40" i="50"/>
  <c r="T40" i="50"/>
  <c r="U40" i="50"/>
  <c r="V40" i="50"/>
  <c r="W40" i="50"/>
  <c r="X40" i="50"/>
  <c r="Y40" i="50"/>
  <c r="Z40" i="50"/>
  <c r="AA40" i="50"/>
  <c r="AB40" i="50"/>
  <c r="AC40" i="50"/>
  <c r="AD40" i="50"/>
  <c r="AE40" i="50"/>
  <c r="AF40" i="50"/>
  <c r="AG40" i="50"/>
  <c r="AH40" i="50"/>
  <c r="AI40" i="50"/>
  <c r="AJ40" i="50"/>
  <c r="AK40" i="50"/>
  <c r="AL40" i="50"/>
  <c r="AM40" i="50"/>
  <c r="AN40" i="50"/>
  <c r="AO40" i="50"/>
  <c r="AP40" i="50"/>
  <c r="AQ40" i="50"/>
  <c r="AR40" i="50"/>
  <c r="AS40" i="50"/>
  <c r="AT40" i="50"/>
  <c r="AU40" i="50"/>
  <c r="AV40" i="50"/>
  <c r="AW40" i="50"/>
  <c r="AY40" i="50"/>
  <c r="AZ40" i="50"/>
  <c r="BA40" i="50"/>
  <c r="BB40" i="50"/>
  <c r="BC40" i="50"/>
  <c r="BD40" i="50"/>
  <c r="BE40" i="50"/>
  <c r="BF40" i="50"/>
  <c r="BG40" i="50"/>
  <c r="BH40" i="50"/>
  <c r="BI40" i="50"/>
  <c r="BJ40" i="50"/>
  <c r="BK40" i="50"/>
  <c r="BL40" i="50"/>
  <c r="BM40" i="50"/>
  <c r="BN40" i="50"/>
  <c r="BO40" i="50"/>
  <c r="BP40" i="50"/>
  <c r="BQ40" i="50"/>
  <c r="BR40" i="50"/>
  <c r="BS40" i="50"/>
  <c r="BT40" i="50"/>
  <c r="BU40" i="50"/>
  <c r="BV40" i="50"/>
  <c r="BW40" i="50"/>
  <c r="BX40" i="50"/>
  <c r="BY40" i="50"/>
  <c r="BZ40" i="50"/>
  <c r="CA40" i="50"/>
  <c r="CB40" i="50"/>
  <c r="CC40" i="50"/>
  <c r="CD40" i="50"/>
  <c r="CE40" i="50"/>
  <c r="CF40" i="50"/>
  <c r="CG40" i="50"/>
  <c r="CH40" i="50"/>
  <c r="CI40" i="50"/>
  <c r="CJ40" i="50"/>
  <c r="CK40" i="50"/>
  <c r="CL40" i="50"/>
  <c r="CM40" i="50"/>
  <c r="CN40" i="50"/>
  <c r="CO40" i="50"/>
  <c r="CP40" i="50"/>
  <c r="CQ40" i="50"/>
  <c r="CR40" i="50"/>
  <c r="CS40" i="50"/>
  <c r="CT40" i="50"/>
  <c r="CU40" i="50"/>
  <c r="CV40" i="50"/>
  <c r="CW40" i="50"/>
  <c r="CX40" i="50"/>
  <c r="CY40" i="50"/>
  <c r="CZ40" i="50"/>
  <c r="DA40" i="50"/>
  <c r="J41" i="50"/>
  <c r="K41" i="50"/>
  <c r="L41" i="50"/>
  <c r="M41" i="50"/>
  <c r="N41" i="50"/>
  <c r="O41" i="50"/>
  <c r="P41" i="50"/>
  <c r="Q41" i="50"/>
  <c r="R41" i="50"/>
  <c r="S41" i="50"/>
  <c r="T41" i="50"/>
  <c r="U41" i="50"/>
  <c r="V41" i="50"/>
  <c r="W41" i="50"/>
  <c r="X41" i="50"/>
  <c r="Y41" i="50"/>
  <c r="Z41" i="50"/>
  <c r="AA41" i="50"/>
  <c r="AB41" i="50"/>
  <c r="AC41" i="50"/>
  <c r="AD41" i="50"/>
  <c r="AE41" i="50"/>
  <c r="AF41" i="50"/>
  <c r="AG41" i="50"/>
  <c r="AH41" i="50"/>
  <c r="AI41" i="50"/>
  <c r="AJ41" i="50"/>
  <c r="AK41" i="50"/>
  <c r="AL41" i="50"/>
  <c r="AM41" i="50"/>
  <c r="AN41" i="50"/>
  <c r="AO41" i="50"/>
  <c r="AP41" i="50"/>
  <c r="AQ41" i="50"/>
  <c r="AR41" i="50"/>
  <c r="AS41" i="50"/>
  <c r="AT41" i="50"/>
  <c r="AU41" i="50"/>
  <c r="AV41" i="50"/>
  <c r="AW41" i="50"/>
  <c r="AX41" i="50"/>
  <c r="AY41" i="50"/>
  <c r="AZ41" i="50"/>
  <c r="BA41" i="50"/>
  <c r="BB41" i="50"/>
  <c r="BC41" i="50"/>
  <c r="BD41" i="50"/>
  <c r="BE41" i="50"/>
  <c r="BF41" i="50"/>
  <c r="BG41" i="50"/>
  <c r="BH41" i="50"/>
  <c r="BI41" i="50"/>
  <c r="BJ41" i="50"/>
  <c r="BK41" i="50"/>
  <c r="BL41" i="50"/>
  <c r="BM41" i="50"/>
  <c r="BN41" i="50"/>
  <c r="BO41" i="50"/>
  <c r="BP41" i="50"/>
  <c r="BQ41" i="50"/>
  <c r="BR41" i="50"/>
  <c r="BS41" i="50"/>
  <c r="BT41" i="50"/>
  <c r="BU41" i="50"/>
  <c r="BV41" i="50"/>
  <c r="BW41" i="50"/>
  <c r="BX41" i="50"/>
  <c r="BY41" i="50"/>
  <c r="BZ41" i="50"/>
  <c r="CA41" i="50"/>
  <c r="CB41" i="50"/>
  <c r="CC41" i="50"/>
  <c r="CD41" i="50"/>
  <c r="CE41" i="50"/>
  <c r="CF41" i="50"/>
  <c r="CG41" i="50"/>
  <c r="CH41" i="50"/>
  <c r="CI41" i="50"/>
  <c r="CJ41" i="50"/>
  <c r="CK41" i="50"/>
  <c r="CL41" i="50"/>
  <c r="CN41" i="50"/>
  <c r="CO41" i="50"/>
  <c r="CP41" i="50"/>
  <c r="CQ41" i="50"/>
  <c r="CR41" i="50"/>
  <c r="CS41" i="50"/>
  <c r="CT41" i="50"/>
  <c r="CU41" i="50"/>
  <c r="CV41" i="50"/>
  <c r="CW41" i="50"/>
  <c r="CX41" i="50"/>
  <c r="CY41" i="50"/>
  <c r="DA41" i="50"/>
  <c r="J42" i="50"/>
  <c r="K42" i="50"/>
  <c r="L42" i="50"/>
  <c r="M42" i="50"/>
  <c r="N42" i="50"/>
  <c r="O42" i="50"/>
  <c r="P42" i="50"/>
  <c r="Q42" i="50"/>
  <c r="R42" i="50"/>
  <c r="S42" i="50"/>
  <c r="T42" i="50"/>
  <c r="U42" i="50"/>
  <c r="V42" i="50"/>
  <c r="W42" i="50"/>
  <c r="X42" i="50"/>
  <c r="Y42" i="50"/>
  <c r="Z42" i="50"/>
  <c r="AA42" i="50"/>
  <c r="AB42" i="50"/>
  <c r="AC42" i="50"/>
  <c r="AD42" i="50"/>
  <c r="AE42" i="50"/>
  <c r="AF42" i="50"/>
  <c r="AG42" i="50"/>
  <c r="AH42" i="50"/>
  <c r="AI42" i="50"/>
  <c r="AJ42" i="50"/>
  <c r="AK42" i="50"/>
  <c r="AL42" i="50"/>
  <c r="AM42" i="50"/>
  <c r="AN42" i="50"/>
  <c r="AO42" i="50"/>
  <c r="AP42" i="50"/>
  <c r="AQ42" i="50"/>
  <c r="AR42" i="50"/>
  <c r="AS42" i="50"/>
  <c r="AT42" i="50"/>
  <c r="AU42" i="50"/>
  <c r="AV42" i="50"/>
  <c r="AW42" i="50"/>
  <c r="AX42" i="50"/>
  <c r="AY42" i="50"/>
  <c r="AZ42" i="50"/>
  <c r="BA42" i="50"/>
  <c r="BB42" i="50"/>
  <c r="BC42" i="50"/>
  <c r="BD42" i="50"/>
  <c r="BE42" i="50"/>
  <c r="BF42" i="50"/>
  <c r="BG42" i="50"/>
  <c r="BH42" i="50"/>
  <c r="BI42" i="50"/>
  <c r="BJ42" i="50"/>
  <c r="BK42" i="50"/>
  <c r="BL42" i="50"/>
  <c r="BM42" i="50"/>
  <c r="BN42" i="50"/>
  <c r="BO42" i="50"/>
  <c r="BP42" i="50"/>
  <c r="BQ42" i="50"/>
  <c r="BR42" i="50"/>
  <c r="BS42" i="50"/>
  <c r="BT42" i="50"/>
  <c r="BU42" i="50"/>
  <c r="BV42" i="50"/>
  <c r="BW42" i="50"/>
  <c r="BX42" i="50"/>
  <c r="BY42" i="50"/>
  <c r="BZ42" i="50"/>
  <c r="CA42" i="50"/>
  <c r="CB42" i="50"/>
  <c r="CC42" i="50"/>
  <c r="CD42" i="50"/>
  <c r="CE42" i="50"/>
  <c r="CF42" i="50"/>
  <c r="CG42" i="50"/>
  <c r="CH42" i="50"/>
  <c r="CI42" i="50"/>
  <c r="CJ42" i="50"/>
  <c r="CK42" i="50"/>
  <c r="CL42" i="50"/>
  <c r="CM42" i="50"/>
  <c r="CN42" i="50"/>
  <c r="CP42" i="50"/>
  <c r="CQ42" i="50"/>
  <c r="CR42" i="50"/>
  <c r="CS42" i="50"/>
  <c r="CT42" i="50"/>
  <c r="CU42" i="50"/>
  <c r="CV42" i="50"/>
  <c r="CW42" i="50"/>
  <c r="CX42" i="50"/>
  <c r="CY42" i="50"/>
  <c r="DA42" i="50"/>
  <c r="J43" i="50"/>
  <c r="K43" i="50"/>
  <c r="L43" i="50"/>
  <c r="M43" i="50"/>
  <c r="N43" i="50"/>
  <c r="O43" i="50"/>
  <c r="P43" i="50"/>
  <c r="Q43" i="50"/>
  <c r="R43" i="50"/>
  <c r="S43" i="50"/>
  <c r="T43" i="50"/>
  <c r="U43" i="50"/>
  <c r="V43" i="50"/>
  <c r="W43" i="50"/>
  <c r="X43" i="50"/>
  <c r="Y43" i="50"/>
  <c r="Z43" i="50"/>
  <c r="AA43" i="50"/>
  <c r="AB43" i="50"/>
  <c r="AC43" i="50"/>
  <c r="AD43" i="50"/>
  <c r="AE43" i="50"/>
  <c r="AF43" i="50"/>
  <c r="AG43" i="50"/>
  <c r="AH43" i="50"/>
  <c r="AI43" i="50"/>
  <c r="AJ43" i="50"/>
  <c r="AK43" i="50"/>
  <c r="AL43" i="50"/>
  <c r="AM43" i="50"/>
  <c r="AN43" i="50"/>
  <c r="AO43" i="50"/>
  <c r="AP43" i="50"/>
  <c r="AQ43" i="50"/>
  <c r="AR43" i="50"/>
  <c r="AS43" i="50"/>
  <c r="AT43" i="50"/>
  <c r="AU43" i="50"/>
  <c r="AV43" i="50"/>
  <c r="AW43" i="50"/>
  <c r="AX43" i="50"/>
  <c r="AY43" i="50"/>
  <c r="AZ43" i="50"/>
  <c r="BA43" i="50"/>
  <c r="BB43" i="50"/>
  <c r="BC43" i="50"/>
  <c r="BD43" i="50"/>
  <c r="BE43" i="50"/>
  <c r="BF43" i="50"/>
  <c r="BG43" i="50"/>
  <c r="BH43" i="50"/>
  <c r="BI43" i="50"/>
  <c r="BJ43" i="50"/>
  <c r="BK43" i="50"/>
  <c r="BL43" i="50"/>
  <c r="BM43" i="50"/>
  <c r="BN43" i="50"/>
  <c r="BO43" i="50"/>
  <c r="BP43" i="50"/>
  <c r="BQ43" i="50"/>
  <c r="BR43" i="50"/>
  <c r="BS43" i="50"/>
  <c r="BT43" i="50"/>
  <c r="BU43" i="50"/>
  <c r="BV43" i="50"/>
  <c r="BW43" i="50"/>
  <c r="BX43" i="50"/>
  <c r="BY43" i="50"/>
  <c r="BZ43" i="50"/>
  <c r="CA43" i="50"/>
  <c r="CB43" i="50"/>
  <c r="CC43" i="50"/>
  <c r="CD43" i="50"/>
  <c r="CE43" i="50"/>
  <c r="CF43" i="50"/>
  <c r="CG43" i="50"/>
  <c r="CH43" i="50"/>
  <c r="CI43" i="50"/>
  <c r="CJ43" i="50"/>
  <c r="CK43" i="50"/>
  <c r="CL43" i="50"/>
  <c r="CM43" i="50"/>
  <c r="CN43" i="50"/>
  <c r="CO43" i="50"/>
  <c r="CP43" i="50"/>
  <c r="CR43" i="50"/>
  <c r="CS43" i="50"/>
  <c r="CT43" i="50"/>
  <c r="CU43" i="50"/>
  <c r="CV43" i="50"/>
  <c r="CW43" i="50"/>
  <c r="CX43" i="50"/>
  <c r="CY43" i="50"/>
  <c r="DA43" i="50"/>
  <c r="J44" i="50"/>
  <c r="K44" i="50"/>
  <c r="L44" i="50"/>
  <c r="M44" i="50"/>
  <c r="N44" i="50"/>
  <c r="O44" i="50"/>
  <c r="P44" i="50"/>
  <c r="Q44" i="50"/>
  <c r="R44" i="50"/>
  <c r="S44" i="50"/>
  <c r="T44" i="50"/>
  <c r="U44" i="50"/>
  <c r="V44" i="50"/>
  <c r="W44" i="50"/>
  <c r="X44" i="50"/>
  <c r="Y44" i="50"/>
  <c r="Z44" i="50"/>
  <c r="AA44" i="50"/>
  <c r="AB44" i="50"/>
  <c r="AC44" i="50"/>
  <c r="AD44" i="50"/>
  <c r="AE44" i="50"/>
  <c r="AF44" i="50"/>
  <c r="AG44" i="50"/>
  <c r="AH44" i="50"/>
  <c r="AI44" i="50"/>
  <c r="AJ44" i="50"/>
  <c r="AK44" i="50"/>
  <c r="AL44" i="50"/>
  <c r="AM44" i="50"/>
  <c r="AN44" i="50"/>
  <c r="AO44" i="50"/>
  <c r="AP44" i="50"/>
  <c r="AQ44" i="50"/>
  <c r="AR44" i="50"/>
  <c r="AS44" i="50"/>
  <c r="AT44" i="50"/>
  <c r="AU44" i="50"/>
  <c r="AV44" i="50"/>
  <c r="AW44" i="50"/>
  <c r="AX44" i="50"/>
  <c r="AY44" i="50"/>
  <c r="AZ44" i="50"/>
  <c r="BA44" i="50"/>
  <c r="BB44" i="50"/>
  <c r="BC44" i="50"/>
  <c r="BD44" i="50"/>
  <c r="BE44" i="50"/>
  <c r="BF44" i="50"/>
  <c r="BG44" i="50"/>
  <c r="BH44" i="50"/>
  <c r="BI44" i="50"/>
  <c r="BJ44" i="50"/>
  <c r="BK44" i="50"/>
  <c r="BL44" i="50"/>
  <c r="BM44" i="50"/>
  <c r="BN44" i="50"/>
  <c r="BO44" i="50"/>
  <c r="BP44" i="50"/>
  <c r="BQ44" i="50"/>
  <c r="BR44" i="50"/>
  <c r="BS44" i="50"/>
  <c r="BT44" i="50"/>
  <c r="BU44" i="50"/>
  <c r="BV44" i="50"/>
  <c r="BW44" i="50"/>
  <c r="BX44" i="50"/>
  <c r="BY44" i="50"/>
  <c r="BZ44" i="50"/>
  <c r="CA44" i="50"/>
  <c r="CB44" i="50"/>
  <c r="CC44" i="50"/>
  <c r="CD44" i="50"/>
  <c r="CE44" i="50"/>
  <c r="CF44" i="50"/>
  <c r="CG44" i="50"/>
  <c r="CH44" i="50"/>
  <c r="CI44" i="50"/>
  <c r="CJ44" i="50"/>
  <c r="CK44" i="50"/>
  <c r="CL44" i="50"/>
  <c r="CM44" i="50"/>
  <c r="CN44" i="50"/>
  <c r="CO44" i="50"/>
  <c r="CP44" i="50"/>
  <c r="CQ44" i="50"/>
  <c r="CR44" i="50"/>
  <c r="CT44" i="50"/>
  <c r="CU44" i="50"/>
  <c r="CV44" i="50"/>
  <c r="CW44" i="50"/>
  <c r="CX44" i="50"/>
  <c r="CY44" i="50"/>
  <c r="DA44" i="50"/>
  <c r="J45" i="50"/>
  <c r="K45" i="50"/>
  <c r="L45" i="50"/>
  <c r="M45" i="50"/>
  <c r="N45" i="50"/>
  <c r="O45" i="50"/>
  <c r="P45" i="50"/>
  <c r="Q45" i="50"/>
  <c r="R45" i="50"/>
  <c r="S45" i="50"/>
  <c r="T45" i="50"/>
  <c r="U45" i="50"/>
  <c r="V45" i="50"/>
  <c r="W45" i="50"/>
  <c r="X45" i="50"/>
  <c r="Y45" i="50"/>
  <c r="Z45" i="50"/>
  <c r="AA45" i="50"/>
  <c r="AB45" i="50"/>
  <c r="AC45" i="50"/>
  <c r="AD45" i="50"/>
  <c r="AE45" i="50"/>
  <c r="AF45" i="50"/>
  <c r="AG45" i="50"/>
  <c r="AH45" i="50"/>
  <c r="AI45" i="50"/>
  <c r="AJ45" i="50"/>
  <c r="AK45" i="50"/>
  <c r="AL45" i="50"/>
  <c r="AM45" i="50"/>
  <c r="AN45" i="50"/>
  <c r="AO45" i="50"/>
  <c r="AP45" i="50"/>
  <c r="AQ45" i="50"/>
  <c r="AR45" i="50"/>
  <c r="AS45" i="50"/>
  <c r="AT45" i="50"/>
  <c r="AU45" i="50"/>
  <c r="AV45" i="50"/>
  <c r="AW45" i="50"/>
  <c r="AX45" i="50"/>
  <c r="AY45" i="50"/>
  <c r="AZ45" i="50"/>
  <c r="BA45" i="50"/>
  <c r="BB45" i="50"/>
  <c r="BC45" i="50"/>
  <c r="BD45" i="50"/>
  <c r="BE45" i="50"/>
  <c r="BF45" i="50"/>
  <c r="BG45" i="50"/>
  <c r="BH45" i="50"/>
  <c r="BI45" i="50"/>
  <c r="BJ45" i="50"/>
  <c r="BK45" i="50"/>
  <c r="BL45" i="50"/>
  <c r="BM45" i="50"/>
  <c r="BN45" i="50"/>
  <c r="BO45" i="50"/>
  <c r="BP45" i="50"/>
  <c r="BQ45" i="50"/>
  <c r="BR45" i="50"/>
  <c r="BS45" i="50"/>
  <c r="BT45" i="50"/>
  <c r="BU45" i="50"/>
  <c r="BV45" i="50"/>
  <c r="BW45" i="50"/>
  <c r="BX45" i="50"/>
  <c r="BY45" i="50"/>
  <c r="BZ45" i="50"/>
  <c r="CA45" i="50"/>
  <c r="CB45" i="50"/>
  <c r="CC45" i="50"/>
  <c r="CD45" i="50"/>
  <c r="CE45" i="50"/>
  <c r="CF45" i="50"/>
  <c r="CG45" i="50"/>
  <c r="CH45" i="50"/>
  <c r="CI45" i="50"/>
  <c r="CJ45" i="50"/>
  <c r="CK45" i="50"/>
  <c r="CL45" i="50"/>
  <c r="CM45" i="50"/>
  <c r="CN45" i="50"/>
  <c r="CO45" i="50"/>
  <c r="CP45" i="50"/>
  <c r="CQ45" i="50"/>
  <c r="CR45" i="50"/>
  <c r="CS45" i="50"/>
  <c r="CT45" i="50"/>
  <c r="CU45" i="50"/>
  <c r="CV45" i="50"/>
  <c r="CW45" i="50"/>
  <c r="CX45" i="50"/>
  <c r="CY45" i="50"/>
  <c r="CZ45" i="50"/>
  <c r="DA45" i="50"/>
  <c r="J46" i="50"/>
  <c r="K46" i="50"/>
  <c r="L46" i="50"/>
  <c r="M46" i="50"/>
  <c r="N46" i="50"/>
  <c r="O46" i="50"/>
  <c r="P46" i="50"/>
  <c r="Q46" i="50"/>
  <c r="R46" i="50"/>
  <c r="S46" i="50"/>
  <c r="T46" i="50"/>
  <c r="U46" i="50"/>
  <c r="V46" i="50"/>
  <c r="W46" i="50"/>
  <c r="X46" i="50"/>
  <c r="Y46" i="50"/>
  <c r="Z46" i="50"/>
  <c r="AA46" i="50"/>
  <c r="AB46" i="50"/>
  <c r="AC46" i="50"/>
  <c r="AD46" i="50"/>
  <c r="AE46" i="50"/>
  <c r="AF46" i="50"/>
  <c r="AG46" i="50"/>
  <c r="AH46" i="50"/>
  <c r="AI46" i="50"/>
  <c r="AJ46" i="50"/>
  <c r="AK46" i="50"/>
  <c r="AL46" i="50"/>
  <c r="AM46" i="50"/>
  <c r="AN46" i="50"/>
  <c r="AO46" i="50"/>
  <c r="AP46" i="50"/>
  <c r="AQ46" i="50"/>
  <c r="AR46" i="50"/>
  <c r="AS46" i="50"/>
  <c r="AT46" i="50"/>
  <c r="AU46" i="50"/>
  <c r="AV46" i="50"/>
  <c r="AW46" i="50"/>
  <c r="AX46" i="50"/>
  <c r="AY46" i="50"/>
  <c r="AZ46" i="50"/>
  <c r="BA46" i="50"/>
  <c r="BB46" i="50"/>
  <c r="BC46" i="50"/>
  <c r="BD46" i="50"/>
  <c r="BE46" i="50"/>
  <c r="BF46" i="50"/>
  <c r="BG46" i="50"/>
  <c r="BH46" i="50"/>
  <c r="BI46" i="50"/>
  <c r="BJ46" i="50"/>
  <c r="BK46" i="50"/>
  <c r="BL46" i="50"/>
  <c r="BM46" i="50"/>
  <c r="BN46" i="50"/>
  <c r="BO46" i="50"/>
  <c r="BP46" i="50"/>
  <c r="BQ46" i="50"/>
  <c r="BR46" i="50"/>
  <c r="BS46" i="50"/>
  <c r="BT46" i="50"/>
  <c r="BU46" i="50"/>
  <c r="BV46" i="50"/>
  <c r="BW46" i="50"/>
  <c r="BX46" i="50"/>
  <c r="BY46" i="50"/>
  <c r="BZ46" i="50"/>
  <c r="CA46" i="50"/>
  <c r="CB46" i="50"/>
  <c r="CC46" i="50"/>
  <c r="CD46" i="50"/>
  <c r="CE46" i="50"/>
  <c r="CF46" i="50"/>
  <c r="CG46" i="50"/>
  <c r="CI46" i="50"/>
  <c r="CJ46" i="50"/>
  <c r="CK46" i="50"/>
  <c r="CL46" i="50"/>
  <c r="CM46" i="50"/>
  <c r="CN46" i="50"/>
  <c r="CO46" i="50"/>
  <c r="CP46" i="50"/>
  <c r="CQ46" i="50"/>
  <c r="CR46" i="50"/>
  <c r="CS46" i="50"/>
  <c r="CT46" i="50"/>
  <c r="CU46" i="50"/>
  <c r="CV46" i="50"/>
  <c r="CW46" i="50"/>
  <c r="CX46" i="50"/>
  <c r="CY46" i="50"/>
  <c r="CZ46" i="50"/>
  <c r="J47" i="50"/>
  <c r="K47" i="50"/>
  <c r="L47" i="50"/>
  <c r="M47" i="50"/>
  <c r="N47" i="50"/>
  <c r="O47" i="50"/>
  <c r="P47" i="50"/>
  <c r="Q47" i="50"/>
  <c r="R47" i="50"/>
  <c r="S47" i="50"/>
  <c r="T47" i="50"/>
  <c r="U47" i="50"/>
  <c r="V47" i="50"/>
  <c r="W47" i="50"/>
  <c r="X47" i="50"/>
  <c r="Y47" i="50"/>
  <c r="Z47" i="50"/>
  <c r="AA47" i="50"/>
  <c r="AB47" i="50"/>
  <c r="AC47" i="50"/>
  <c r="AD47" i="50"/>
  <c r="AE47" i="50"/>
  <c r="AF47" i="50"/>
  <c r="AG47" i="50"/>
  <c r="AH47" i="50"/>
  <c r="AI47" i="50"/>
  <c r="AJ47" i="50"/>
  <c r="AK47" i="50"/>
  <c r="AL47" i="50"/>
  <c r="AM47" i="50"/>
  <c r="AN47" i="50"/>
  <c r="AO47" i="50"/>
  <c r="AP47" i="50"/>
  <c r="AQ47" i="50"/>
  <c r="AR47" i="50"/>
  <c r="AS47" i="50"/>
  <c r="AT47" i="50"/>
  <c r="AU47" i="50"/>
  <c r="AV47" i="50"/>
  <c r="AW47" i="50"/>
  <c r="AX47" i="50"/>
  <c r="AY47" i="50"/>
  <c r="AZ47" i="50"/>
  <c r="BA47" i="50"/>
  <c r="BB47" i="50"/>
  <c r="BC47" i="50"/>
  <c r="BD47" i="50"/>
  <c r="BE47" i="50"/>
  <c r="BF47" i="50"/>
  <c r="BG47" i="50"/>
  <c r="BH47" i="50"/>
  <c r="BI47" i="50"/>
  <c r="BJ47" i="50"/>
  <c r="BK47" i="50"/>
  <c r="BL47" i="50"/>
  <c r="BM47" i="50"/>
  <c r="BN47" i="50"/>
  <c r="BO47" i="50"/>
  <c r="BP47" i="50"/>
  <c r="BQ47" i="50"/>
  <c r="BR47" i="50"/>
  <c r="BS47" i="50"/>
  <c r="BT47" i="50"/>
  <c r="BU47" i="50"/>
  <c r="BV47" i="50"/>
  <c r="BW47" i="50"/>
  <c r="BX47" i="50"/>
  <c r="BY47" i="50"/>
  <c r="BZ47" i="50"/>
  <c r="CA47" i="50"/>
  <c r="CB47" i="50"/>
  <c r="CC47" i="50"/>
  <c r="CE47" i="50"/>
  <c r="CF47" i="50"/>
  <c r="CG47" i="50"/>
  <c r="CH47" i="50"/>
  <c r="CI47" i="50"/>
  <c r="CJ47" i="50"/>
  <c r="CK47" i="50"/>
  <c r="CL47" i="50"/>
  <c r="CM47" i="50"/>
  <c r="CN47" i="50"/>
  <c r="CO47" i="50"/>
  <c r="CP47" i="50"/>
  <c r="CQ47" i="50"/>
  <c r="CR47" i="50"/>
  <c r="CS47" i="50"/>
  <c r="CT47" i="50"/>
  <c r="CU47" i="50"/>
  <c r="CV47" i="50"/>
  <c r="CW47" i="50"/>
  <c r="CX47" i="50"/>
  <c r="CY47" i="50"/>
  <c r="CZ47" i="50"/>
  <c r="J48" i="50"/>
  <c r="K48" i="50"/>
  <c r="L48" i="50"/>
  <c r="M48" i="50"/>
  <c r="N48" i="50"/>
  <c r="O48" i="50"/>
  <c r="P48" i="50"/>
  <c r="Q48" i="50"/>
  <c r="R48" i="50"/>
  <c r="S48" i="50"/>
  <c r="T48" i="50"/>
  <c r="U48" i="50"/>
  <c r="V48" i="50"/>
  <c r="W48" i="50"/>
  <c r="X48" i="50"/>
  <c r="Y48" i="50"/>
  <c r="Z48" i="50"/>
  <c r="AA48" i="50"/>
  <c r="AB48" i="50"/>
  <c r="AC48" i="50"/>
  <c r="AD48" i="50"/>
  <c r="AE48" i="50"/>
  <c r="AF48" i="50"/>
  <c r="AG48" i="50"/>
  <c r="AH48" i="50"/>
  <c r="AI48" i="50"/>
  <c r="AJ48" i="50"/>
  <c r="AK48" i="50"/>
  <c r="AL48" i="50"/>
  <c r="AM48" i="50"/>
  <c r="AN48" i="50"/>
  <c r="AO48" i="50"/>
  <c r="AP48" i="50"/>
  <c r="AQ48" i="50"/>
  <c r="AR48" i="50"/>
  <c r="AS48" i="50"/>
  <c r="AT48" i="50"/>
  <c r="AU48" i="50"/>
  <c r="AV48" i="50"/>
  <c r="AW48" i="50"/>
  <c r="AX48" i="50"/>
  <c r="AY48" i="50"/>
  <c r="AZ48" i="50"/>
  <c r="BA48" i="50"/>
  <c r="BB48" i="50"/>
  <c r="BC48" i="50"/>
  <c r="BD48" i="50"/>
  <c r="BE48" i="50"/>
  <c r="BF48" i="50"/>
  <c r="BG48" i="50"/>
  <c r="BH48" i="50"/>
  <c r="BI48" i="50"/>
  <c r="BJ48" i="50"/>
  <c r="BK48" i="50"/>
  <c r="BL48" i="50"/>
  <c r="BM48" i="50"/>
  <c r="BN48" i="50"/>
  <c r="BO48" i="50"/>
  <c r="BP48" i="50"/>
  <c r="BQ48" i="50"/>
  <c r="BR48" i="50"/>
  <c r="BS48" i="50"/>
  <c r="BT48" i="50"/>
  <c r="BU48" i="50"/>
  <c r="BV48" i="50"/>
  <c r="BW48" i="50"/>
  <c r="BX48" i="50"/>
  <c r="BY48" i="50"/>
  <c r="BZ48" i="50"/>
  <c r="CA48" i="50"/>
  <c r="CB48" i="50"/>
  <c r="CC48" i="50"/>
  <c r="CD48" i="50"/>
  <c r="CE48" i="50"/>
  <c r="CG48" i="50"/>
  <c r="CH48" i="50"/>
  <c r="CI48" i="50"/>
  <c r="CJ48" i="50"/>
  <c r="CK48" i="50"/>
  <c r="CL48" i="50"/>
  <c r="CM48" i="50"/>
  <c r="CN48" i="50"/>
  <c r="CO48" i="50"/>
  <c r="CP48" i="50"/>
  <c r="CQ48" i="50"/>
  <c r="CR48" i="50"/>
  <c r="CS48" i="50"/>
  <c r="CT48" i="50"/>
  <c r="CU48" i="50"/>
  <c r="CV48" i="50"/>
  <c r="CW48" i="50"/>
  <c r="CX48" i="50"/>
  <c r="CY48" i="50"/>
  <c r="CZ48" i="50"/>
  <c r="J49" i="50"/>
  <c r="K49" i="50"/>
  <c r="L49" i="50"/>
  <c r="M49" i="50"/>
  <c r="N49" i="50"/>
  <c r="O49" i="50"/>
  <c r="P49" i="50"/>
  <c r="Q49" i="50"/>
  <c r="R49" i="50"/>
  <c r="S49" i="50"/>
  <c r="T49" i="50"/>
  <c r="U49" i="50"/>
  <c r="V49" i="50"/>
  <c r="W49" i="50"/>
  <c r="X49" i="50"/>
  <c r="Y49" i="50"/>
  <c r="Z49" i="50"/>
  <c r="AA49" i="50"/>
  <c r="AB49" i="50"/>
  <c r="AC49" i="50"/>
  <c r="AD49" i="50"/>
  <c r="AE49" i="50"/>
  <c r="AF49" i="50"/>
  <c r="AG49" i="50"/>
  <c r="AH49" i="50"/>
  <c r="AI49" i="50"/>
  <c r="AJ49" i="50"/>
  <c r="AK49" i="50"/>
  <c r="AL49" i="50"/>
  <c r="AM49" i="50"/>
  <c r="AN49" i="50"/>
  <c r="AO49" i="50"/>
  <c r="AP49" i="50"/>
  <c r="AQ49" i="50"/>
  <c r="AR49" i="50"/>
  <c r="AS49" i="50"/>
  <c r="AT49" i="50"/>
  <c r="AU49" i="50"/>
  <c r="AV49" i="50"/>
  <c r="AW49" i="50"/>
  <c r="AX49" i="50"/>
  <c r="AY49" i="50"/>
  <c r="AZ49" i="50"/>
  <c r="BA49" i="50"/>
  <c r="BB49" i="50"/>
  <c r="BC49" i="50"/>
  <c r="BD49" i="50"/>
  <c r="BE49" i="50"/>
  <c r="BF49" i="50"/>
  <c r="BG49" i="50"/>
  <c r="BH49" i="50"/>
  <c r="BI49" i="50"/>
  <c r="BJ49" i="50"/>
  <c r="BK49" i="50"/>
  <c r="BL49" i="50"/>
  <c r="BM49" i="50"/>
  <c r="BN49" i="50"/>
  <c r="BO49" i="50"/>
  <c r="BP49" i="50"/>
  <c r="BQ49" i="50"/>
  <c r="BR49" i="50"/>
  <c r="BS49" i="50"/>
  <c r="BT49" i="50"/>
  <c r="BU49" i="50"/>
  <c r="BV49" i="50"/>
  <c r="BW49" i="50"/>
  <c r="BX49" i="50"/>
  <c r="BY49" i="50"/>
  <c r="BZ49" i="50"/>
  <c r="CA49" i="50"/>
  <c r="CB49" i="50"/>
  <c r="CC49" i="50"/>
  <c r="CD49" i="50"/>
  <c r="CE49" i="50"/>
  <c r="CF49" i="50"/>
  <c r="CG49" i="50"/>
  <c r="CH49" i="50"/>
  <c r="CI49" i="50"/>
  <c r="CJ49" i="50"/>
  <c r="CK49" i="50"/>
  <c r="CL49" i="50"/>
  <c r="CM49" i="50"/>
  <c r="CN49" i="50"/>
  <c r="CO49" i="50"/>
  <c r="CP49" i="50"/>
  <c r="CQ49" i="50"/>
  <c r="CR49" i="50"/>
  <c r="CS49" i="50"/>
  <c r="CU49" i="50"/>
  <c r="CV49" i="50"/>
  <c r="CW49" i="50"/>
  <c r="CX49" i="50"/>
  <c r="CY49" i="50"/>
  <c r="CZ49" i="50"/>
  <c r="J50" i="50"/>
  <c r="K50" i="50"/>
  <c r="L50" i="50"/>
  <c r="M50" i="50"/>
  <c r="N50" i="50"/>
  <c r="O50" i="50"/>
  <c r="P50" i="50"/>
  <c r="Q50" i="50"/>
  <c r="R50" i="50"/>
  <c r="S50" i="50"/>
  <c r="T50" i="50"/>
  <c r="U50" i="50"/>
  <c r="V50" i="50"/>
  <c r="W50" i="50"/>
  <c r="X50" i="50"/>
  <c r="Y50" i="50"/>
  <c r="Z50" i="50"/>
  <c r="AA50" i="50"/>
  <c r="AB50" i="50"/>
  <c r="AC50" i="50"/>
  <c r="AD50" i="50"/>
  <c r="AE50" i="50"/>
  <c r="AF50" i="50"/>
  <c r="AG50" i="50"/>
  <c r="AH50" i="50"/>
  <c r="AI50" i="50"/>
  <c r="AJ50" i="50"/>
  <c r="AK50" i="50"/>
  <c r="AL50" i="50"/>
  <c r="AM50" i="50"/>
  <c r="AN50" i="50"/>
  <c r="AO50" i="50"/>
  <c r="AP50" i="50"/>
  <c r="AQ50" i="50"/>
  <c r="AR50" i="50"/>
  <c r="AS50" i="50"/>
  <c r="AT50" i="50"/>
  <c r="AU50" i="50"/>
  <c r="AV50" i="50"/>
  <c r="AW50" i="50"/>
  <c r="AX50" i="50"/>
  <c r="AY50" i="50"/>
  <c r="AZ50" i="50"/>
  <c r="BA50" i="50"/>
  <c r="BB50" i="50"/>
  <c r="BC50" i="50"/>
  <c r="BD50" i="50"/>
  <c r="BE50" i="50"/>
  <c r="BF50" i="50"/>
  <c r="BG50" i="50"/>
  <c r="BH50" i="50"/>
  <c r="BI50" i="50"/>
  <c r="BJ50" i="50"/>
  <c r="BK50" i="50"/>
  <c r="BL50" i="50"/>
  <c r="BM50" i="50"/>
  <c r="BN50" i="50"/>
  <c r="BO50" i="50"/>
  <c r="BP50" i="50"/>
  <c r="BQ50" i="50"/>
  <c r="BR50" i="50"/>
  <c r="BS50" i="50"/>
  <c r="BT50" i="50"/>
  <c r="BU50" i="50"/>
  <c r="BV50" i="50"/>
  <c r="BW50" i="50"/>
  <c r="BX50" i="50"/>
  <c r="BY50" i="50"/>
  <c r="BZ50" i="50"/>
  <c r="CA50" i="50"/>
  <c r="CB50" i="50"/>
  <c r="CC50" i="50"/>
  <c r="CD50" i="50"/>
  <c r="CE50" i="50"/>
  <c r="CF50" i="50"/>
  <c r="CG50" i="50"/>
  <c r="CH50" i="50"/>
  <c r="CI50" i="50"/>
  <c r="CJ50" i="50"/>
  <c r="CK50" i="50"/>
  <c r="CL50" i="50"/>
  <c r="CM50" i="50"/>
  <c r="CN50" i="50"/>
  <c r="CO50" i="50"/>
  <c r="CP50" i="50"/>
  <c r="CQ50" i="50"/>
  <c r="CR50" i="50"/>
  <c r="CS50" i="50"/>
  <c r="CT50" i="50"/>
  <c r="CU50" i="50"/>
  <c r="CV50" i="50"/>
  <c r="CX50" i="50"/>
  <c r="CY50" i="50"/>
  <c r="DA50" i="50"/>
  <c r="J51" i="50"/>
  <c r="K51" i="50"/>
  <c r="L51" i="50"/>
  <c r="M51" i="50"/>
  <c r="N51" i="50"/>
  <c r="O51" i="50"/>
  <c r="P51" i="50"/>
  <c r="Q51" i="50"/>
  <c r="R51" i="50"/>
  <c r="S51" i="50"/>
  <c r="T51" i="50"/>
  <c r="U51" i="50"/>
  <c r="V51" i="50"/>
  <c r="W51" i="50"/>
  <c r="X51" i="50"/>
  <c r="Y51" i="50"/>
  <c r="Z51" i="50"/>
  <c r="AA51" i="50"/>
  <c r="AB51" i="50"/>
  <c r="AC51" i="50"/>
  <c r="AD51" i="50"/>
  <c r="AE51" i="50"/>
  <c r="AF51" i="50"/>
  <c r="AG51" i="50"/>
  <c r="AH51" i="50"/>
  <c r="AI51" i="50"/>
  <c r="AJ51" i="50"/>
  <c r="AK51" i="50"/>
  <c r="AL51" i="50"/>
  <c r="AM51" i="50"/>
  <c r="AN51" i="50"/>
  <c r="AO51" i="50"/>
  <c r="AP51" i="50"/>
  <c r="AQ51" i="50"/>
  <c r="AR51" i="50"/>
  <c r="AS51" i="50"/>
  <c r="AT51" i="50"/>
  <c r="AU51" i="50"/>
  <c r="AV51" i="50"/>
  <c r="AW51" i="50"/>
  <c r="AX51" i="50"/>
  <c r="AY51" i="50"/>
  <c r="AZ51" i="50"/>
  <c r="BA51" i="50"/>
  <c r="BB51" i="50"/>
  <c r="BC51" i="50"/>
  <c r="BD51" i="50"/>
  <c r="BE51" i="50"/>
  <c r="BF51" i="50"/>
  <c r="BG51" i="50"/>
  <c r="BH51" i="50"/>
  <c r="BI51" i="50"/>
  <c r="BJ51" i="50"/>
  <c r="BK51" i="50"/>
  <c r="BL51" i="50"/>
  <c r="BM51" i="50"/>
  <c r="BN51" i="50"/>
  <c r="BO51" i="50"/>
  <c r="BP51" i="50"/>
  <c r="BQ51" i="50"/>
  <c r="BR51" i="50"/>
  <c r="BS51" i="50"/>
  <c r="BT51" i="50"/>
  <c r="BU51" i="50"/>
  <c r="BV51" i="50"/>
  <c r="BW51" i="50"/>
  <c r="BX51" i="50"/>
  <c r="BY51" i="50"/>
  <c r="BZ51" i="50"/>
  <c r="CA51" i="50"/>
  <c r="CB51" i="50"/>
  <c r="CC51" i="50"/>
  <c r="CD51" i="50"/>
  <c r="CE51" i="50"/>
  <c r="CF51" i="50"/>
  <c r="CG51" i="50"/>
  <c r="CH51" i="50"/>
  <c r="CI51" i="50"/>
  <c r="CJ51" i="50"/>
  <c r="CK51" i="50"/>
  <c r="CL51" i="50"/>
  <c r="CM51" i="50"/>
  <c r="CN51" i="50"/>
  <c r="CO51" i="50"/>
  <c r="CP51" i="50"/>
  <c r="CQ51" i="50"/>
  <c r="CR51" i="50"/>
  <c r="CS51" i="50"/>
  <c r="CT51" i="50"/>
  <c r="CU51" i="50"/>
  <c r="CV51" i="50"/>
  <c r="CW51" i="50"/>
  <c r="CX51" i="50"/>
  <c r="CY51" i="50"/>
  <c r="CZ51" i="50"/>
  <c r="DA51" i="50"/>
  <c r="A10" i="50" a="1"/>
  <c r="A10" i="50" s="1"/>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AX12" i="49"/>
  <c r="AY12" i="49"/>
  <c r="AZ12" i="49"/>
  <c r="BA12" i="49"/>
  <c r="BB12" i="49"/>
  <c r="BC12" i="49"/>
  <c r="BD12" i="49"/>
  <c r="BE12" i="49"/>
  <c r="BF12" i="49"/>
  <c r="BG12" i="49"/>
  <c r="BH12" i="49"/>
  <c r="BI12" i="49"/>
  <c r="BJ12" i="49"/>
  <c r="BK12" i="49"/>
  <c r="BL12" i="49"/>
  <c r="BM12" i="49"/>
  <c r="BN12" i="49"/>
  <c r="BO12" i="49"/>
  <c r="BP12" i="49"/>
  <c r="BQ12" i="49"/>
  <c r="BR12" i="49"/>
  <c r="BS12" i="49"/>
  <c r="BT12" i="49"/>
  <c r="BU12" i="49"/>
  <c r="BV12" i="49"/>
  <c r="BW12" i="49"/>
  <c r="BX12" i="49"/>
  <c r="BY12" i="49"/>
  <c r="BZ12" i="49"/>
  <c r="CA12" i="49"/>
  <c r="CB12" i="49"/>
  <c r="CC12" i="49"/>
  <c r="CD12" i="49"/>
  <c r="CE12" i="49"/>
  <c r="CF12" i="49"/>
  <c r="CG12" i="49"/>
  <c r="CH12" i="49"/>
  <c r="CI12" i="49"/>
  <c r="CJ12" i="49"/>
  <c r="CK12" i="49"/>
  <c r="CL12" i="49"/>
  <c r="CM12" i="49"/>
  <c r="CN12" i="49"/>
  <c r="CO12" i="49"/>
  <c r="CP12" i="49"/>
  <c r="CQ12" i="49"/>
  <c r="CR12" i="49"/>
  <c r="CS12" i="49"/>
  <c r="CT12" i="49"/>
  <c r="CU12" i="49"/>
  <c r="CV12" i="49"/>
  <c r="CW12" i="49"/>
  <c r="CX12" i="49"/>
  <c r="CY12" i="49"/>
  <c r="CZ12" i="49"/>
  <c r="DA12"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AX13" i="49"/>
  <c r="AY13" i="49"/>
  <c r="AZ13" i="49"/>
  <c r="BA13" i="49"/>
  <c r="BB13" i="49"/>
  <c r="BC13" i="49"/>
  <c r="BD13" i="49"/>
  <c r="BE13" i="49"/>
  <c r="BF13" i="49"/>
  <c r="BG13" i="49"/>
  <c r="BH13" i="49"/>
  <c r="BI13" i="49"/>
  <c r="BJ13" i="49"/>
  <c r="BK13" i="49"/>
  <c r="BL13" i="49"/>
  <c r="BM13" i="49"/>
  <c r="BN13" i="49"/>
  <c r="BO13" i="49"/>
  <c r="BP13" i="49"/>
  <c r="BQ13" i="49"/>
  <c r="BR13" i="49"/>
  <c r="BS13" i="49"/>
  <c r="BT13" i="49"/>
  <c r="BU13" i="49"/>
  <c r="BV13" i="49"/>
  <c r="BW13" i="49"/>
  <c r="BX13" i="49"/>
  <c r="BY13" i="49"/>
  <c r="BZ13" i="49"/>
  <c r="CA13" i="49"/>
  <c r="CB13" i="49"/>
  <c r="CC13" i="49"/>
  <c r="CD13" i="49"/>
  <c r="CE13" i="49"/>
  <c r="CF13" i="49"/>
  <c r="CG13" i="49"/>
  <c r="CH13" i="49"/>
  <c r="CI13" i="49"/>
  <c r="CJ13" i="49"/>
  <c r="CK13" i="49"/>
  <c r="CL13" i="49"/>
  <c r="CM13" i="49"/>
  <c r="CN13" i="49"/>
  <c r="CO13" i="49"/>
  <c r="CP13" i="49"/>
  <c r="CQ13" i="49"/>
  <c r="CR13" i="49"/>
  <c r="CS13" i="49"/>
  <c r="CT13" i="49"/>
  <c r="CU13" i="49"/>
  <c r="CV13" i="49"/>
  <c r="CW13" i="49"/>
  <c r="CX13" i="49"/>
  <c r="CY13" i="49"/>
  <c r="CZ13" i="49"/>
  <c r="DA13"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AX14" i="49"/>
  <c r="AY14" i="49"/>
  <c r="AZ14" i="49"/>
  <c r="BA14" i="49"/>
  <c r="BB14" i="49"/>
  <c r="BC14" i="49"/>
  <c r="BD14" i="49"/>
  <c r="BE14" i="49"/>
  <c r="BF14" i="49"/>
  <c r="BG14" i="49"/>
  <c r="BH14" i="49"/>
  <c r="BI14" i="49"/>
  <c r="BJ14" i="49"/>
  <c r="BK14" i="49"/>
  <c r="BL14" i="49"/>
  <c r="BM14" i="49"/>
  <c r="BN14" i="49"/>
  <c r="BO14" i="49"/>
  <c r="BP14" i="49"/>
  <c r="BQ14" i="49"/>
  <c r="BR14" i="49"/>
  <c r="BS14" i="49"/>
  <c r="BT14" i="49"/>
  <c r="BU14" i="49"/>
  <c r="BV14" i="49"/>
  <c r="BW14" i="49"/>
  <c r="BX14" i="49"/>
  <c r="BY14" i="49"/>
  <c r="BZ14" i="49"/>
  <c r="CA14" i="49"/>
  <c r="CB14" i="49"/>
  <c r="CC14" i="49"/>
  <c r="CD14" i="49"/>
  <c r="CE14" i="49"/>
  <c r="CF14" i="49"/>
  <c r="CG14" i="49"/>
  <c r="CH14" i="49"/>
  <c r="CI14" i="49"/>
  <c r="CJ14" i="49"/>
  <c r="CK14" i="49"/>
  <c r="CL14" i="49"/>
  <c r="CM14" i="49"/>
  <c r="CN14" i="49"/>
  <c r="CO14" i="49"/>
  <c r="CP14" i="49"/>
  <c r="CQ14" i="49"/>
  <c r="CR14" i="49"/>
  <c r="CS14" i="49"/>
  <c r="CT14" i="49"/>
  <c r="CU14" i="49"/>
  <c r="CV14" i="49"/>
  <c r="CW14" i="49"/>
  <c r="CX14" i="49"/>
  <c r="CY14" i="49"/>
  <c r="CZ14" i="49"/>
  <c r="DA14"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AX15" i="49"/>
  <c r="AY15" i="49"/>
  <c r="AZ15" i="49"/>
  <c r="BA15" i="49"/>
  <c r="BB15" i="49"/>
  <c r="BC15" i="49"/>
  <c r="BD15" i="49"/>
  <c r="BE15" i="49"/>
  <c r="BF15" i="49"/>
  <c r="BG15" i="49"/>
  <c r="BH15" i="49"/>
  <c r="BI15" i="49"/>
  <c r="BJ15" i="49"/>
  <c r="BK15" i="49"/>
  <c r="BL15" i="49"/>
  <c r="BM15" i="49"/>
  <c r="BN15" i="49"/>
  <c r="BO15" i="49"/>
  <c r="BP15" i="49"/>
  <c r="BQ15" i="49"/>
  <c r="BR15" i="49"/>
  <c r="BS15" i="49"/>
  <c r="BT15" i="49"/>
  <c r="BU15" i="49"/>
  <c r="BV15" i="49"/>
  <c r="BW15" i="49"/>
  <c r="BX15" i="49"/>
  <c r="BY15" i="49"/>
  <c r="BZ15" i="49"/>
  <c r="CA15" i="49"/>
  <c r="CB15" i="49"/>
  <c r="CC15" i="49"/>
  <c r="CD15" i="49"/>
  <c r="CE15" i="49"/>
  <c r="CF15" i="49"/>
  <c r="CG15" i="49"/>
  <c r="CH15" i="49"/>
  <c r="CI15" i="49"/>
  <c r="CJ15" i="49"/>
  <c r="CK15" i="49"/>
  <c r="CL15" i="49"/>
  <c r="CM15" i="49"/>
  <c r="CN15" i="49"/>
  <c r="CO15" i="49"/>
  <c r="CP15" i="49"/>
  <c r="CQ15" i="49"/>
  <c r="CR15" i="49"/>
  <c r="CS15" i="49"/>
  <c r="CT15" i="49"/>
  <c r="CU15" i="49"/>
  <c r="CV15" i="49"/>
  <c r="CW15" i="49"/>
  <c r="CX15" i="49"/>
  <c r="CY15" i="49"/>
  <c r="CZ15" i="49"/>
  <c r="DA15"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AX16" i="49"/>
  <c r="AY16" i="49"/>
  <c r="AZ16" i="49"/>
  <c r="BA16" i="49"/>
  <c r="BB16" i="49"/>
  <c r="BC16" i="49"/>
  <c r="BD16" i="49"/>
  <c r="BE16" i="49"/>
  <c r="BF16" i="49"/>
  <c r="BG16" i="49"/>
  <c r="BH16" i="49"/>
  <c r="BI16" i="49"/>
  <c r="BJ16" i="49"/>
  <c r="BK16" i="49"/>
  <c r="BL16" i="49"/>
  <c r="BM16" i="49"/>
  <c r="BN16" i="49"/>
  <c r="BO16" i="49"/>
  <c r="BP16" i="49"/>
  <c r="BQ16" i="49"/>
  <c r="BR16" i="49"/>
  <c r="BS16" i="49"/>
  <c r="BT16" i="49"/>
  <c r="BU16" i="49"/>
  <c r="BV16" i="49"/>
  <c r="BW16" i="49"/>
  <c r="BX16" i="49"/>
  <c r="BY16" i="49"/>
  <c r="BZ16" i="49"/>
  <c r="CA16" i="49"/>
  <c r="CB16" i="49"/>
  <c r="CC16" i="49"/>
  <c r="CD16" i="49"/>
  <c r="CE16" i="49"/>
  <c r="CF16" i="49"/>
  <c r="CG16" i="49"/>
  <c r="CH16" i="49"/>
  <c r="CI16" i="49"/>
  <c r="CJ16" i="49"/>
  <c r="CK16" i="49"/>
  <c r="CL16" i="49"/>
  <c r="CM16" i="49"/>
  <c r="CN16" i="49"/>
  <c r="CO16" i="49"/>
  <c r="CP16" i="49"/>
  <c r="CQ16" i="49"/>
  <c r="CR16" i="49"/>
  <c r="CS16" i="49"/>
  <c r="CT16" i="49"/>
  <c r="CU16" i="49"/>
  <c r="CV16" i="49"/>
  <c r="CW16" i="49"/>
  <c r="CX16" i="49"/>
  <c r="CY16" i="49"/>
  <c r="CZ16" i="49"/>
  <c r="DA16"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AX17" i="49"/>
  <c r="AY17" i="49"/>
  <c r="AZ17" i="49"/>
  <c r="BA17" i="49"/>
  <c r="BB17" i="49"/>
  <c r="BC17" i="49"/>
  <c r="BD17" i="49"/>
  <c r="BE17" i="49"/>
  <c r="BF17" i="49"/>
  <c r="BG17" i="49"/>
  <c r="BH17" i="49"/>
  <c r="BI17" i="49"/>
  <c r="BJ17" i="49"/>
  <c r="BK17" i="49"/>
  <c r="BL17" i="49"/>
  <c r="BM17" i="49"/>
  <c r="BN17" i="49"/>
  <c r="BO17" i="49"/>
  <c r="BP17" i="49"/>
  <c r="BQ17" i="49"/>
  <c r="BR17" i="49"/>
  <c r="BS17" i="49"/>
  <c r="BT17" i="49"/>
  <c r="BU17" i="49"/>
  <c r="BV17" i="49"/>
  <c r="BW17" i="49"/>
  <c r="BX17" i="49"/>
  <c r="BY17" i="49"/>
  <c r="BZ17" i="49"/>
  <c r="CA17" i="49"/>
  <c r="CB17" i="49"/>
  <c r="CC17" i="49"/>
  <c r="CD17" i="49"/>
  <c r="CE17" i="49"/>
  <c r="CF17" i="49"/>
  <c r="CG17" i="49"/>
  <c r="CH17" i="49"/>
  <c r="CI17" i="49"/>
  <c r="CJ17" i="49"/>
  <c r="CK17" i="49"/>
  <c r="CL17" i="49"/>
  <c r="CM17" i="49"/>
  <c r="CN17" i="49"/>
  <c r="CO17" i="49"/>
  <c r="CP17" i="49"/>
  <c r="CQ17" i="49"/>
  <c r="CR17" i="49"/>
  <c r="CS17" i="49"/>
  <c r="CT17" i="49"/>
  <c r="CU17" i="49"/>
  <c r="CV17" i="49"/>
  <c r="CW17" i="49"/>
  <c r="CX17" i="49"/>
  <c r="CY17" i="49"/>
  <c r="CZ17" i="49"/>
  <c r="DA17"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AX18" i="49"/>
  <c r="AY18" i="49"/>
  <c r="AZ18" i="49"/>
  <c r="BA18" i="49"/>
  <c r="BB18" i="49"/>
  <c r="BC18" i="49"/>
  <c r="BD18" i="49"/>
  <c r="BE18" i="49"/>
  <c r="BF18" i="49"/>
  <c r="BG18" i="49"/>
  <c r="BH18" i="49"/>
  <c r="BI18" i="49"/>
  <c r="BJ18" i="49"/>
  <c r="BK18" i="49"/>
  <c r="BL18" i="49"/>
  <c r="BM18" i="49"/>
  <c r="BN18" i="49"/>
  <c r="BO18" i="49"/>
  <c r="BP18" i="49"/>
  <c r="BQ18" i="49"/>
  <c r="BR18" i="49"/>
  <c r="BS18" i="49"/>
  <c r="BT18" i="49"/>
  <c r="BU18" i="49"/>
  <c r="BV18" i="49"/>
  <c r="BW18" i="49"/>
  <c r="BX18" i="49"/>
  <c r="BY18" i="49"/>
  <c r="BZ18" i="49"/>
  <c r="CA18" i="49"/>
  <c r="CB18" i="49"/>
  <c r="CC18" i="49"/>
  <c r="CD18" i="49"/>
  <c r="CE18" i="49"/>
  <c r="CF18" i="49"/>
  <c r="CG18" i="49"/>
  <c r="CH18" i="49"/>
  <c r="CI18" i="49"/>
  <c r="CJ18" i="49"/>
  <c r="CK18" i="49"/>
  <c r="CL18" i="49"/>
  <c r="CM18" i="49"/>
  <c r="CN18" i="49"/>
  <c r="CO18" i="49"/>
  <c r="CP18" i="49"/>
  <c r="CQ18" i="49"/>
  <c r="CR18" i="49"/>
  <c r="CS18" i="49"/>
  <c r="CT18" i="49"/>
  <c r="CU18" i="49"/>
  <c r="CV18" i="49"/>
  <c r="CW18" i="49"/>
  <c r="CX18" i="49"/>
  <c r="CY18" i="49"/>
  <c r="CZ18" i="49"/>
  <c r="DA18"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AX19" i="49"/>
  <c r="AY19" i="49"/>
  <c r="AZ19" i="49"/>
  <c r="BA19" i="49"/>
  <c r="BB19" i="49"/>
  <c r="BC19" i="49"/>
  <c r="BD19" i="49"/>
  <c r="BE19" i="49"/>
  <c r="BF19" i="49"/>
  <c r="BG19" i="49"/>
  <c r="BH19" i="49"/>
  <c r="BI19" i="49"/>
  <c r="BJ19" i="49"/>
  <c r="BK19" i="49"/>
  <c r="BL19" i="49"/>
  <c r="BM19" i="49"/>
  <c r="BN19" i="49"/>
  <c r="BO19" i="49"/>
  <c r="BP19" i="49"/>
  <c r="BQ19" i="49"/>
  <c r="BR19" i="49"/>
  <c r="BS19" i="49"/>
  <c r="BT19" i="49"/>
  <c r="BU19" i="49"/>
  <c r="BV19" i="49"/>
  <c r="BW19" i="49"/>
  <c r="BX19" i="49"/>
  <c r="BY19" i="49"/>
  <c r="BZ19" i="49"/>
  <c r="CA19" i="49"/>
  <c r="CB19" i="49"/>
  <c r="CC19" i="49"/>
  <c r="CD19" i="49"/>
  <c r="CE19" i="49"/>
  <c r="CF19" i="49"/>
  <c r="CG19" i="49"/>
  <c r="CH19" i="49"/>
  <c r="CI19" i="49"/>
  <c r="CJ19" i="49"/>
  <c r="CK19" i="49"/>
  <c r="CL19" i="49"/>
  <c r="CM19" i="49"/>
  <c r="CN19" i="49"/>
  <c r="CO19" i="49"/>
  <c r="CP19" i="49"/>
  <c r="CQ19" i="49"/>
  <c r="CR19" i="49"/>
  <c r="CS19" i="49"/>
  <c r="CT19" i="49"/>
  <c r="CU19" i="49"/>
  <c r="CV19" i="49"/>
  <c r="CW19" i="49"/>
  <c r="CX19" i="49"/>
  <c r="CY19" i="49"/>
  <c r="CZ19" i="49"/>
  <c r="DA19"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AX20" i="49"/>
  <c r="AY20" i="49"/>
  <c r="AZ20" i="49"/>
  <c r="BA20" i="49"/>
  <c r="BB20" i="49"/>
  <c r="BC20" i="49"/>
  <c r="BD20" i="49"/>
  <c r="BE20" i="49"/>
  <c r="BF20" i="49"/>
  <c r="BG20" i="49"/>
  <c r="BH20" i="49"/>
  <c r="BI20" i="49"/>
  <c r="BJ20" i="49"/>
  <c r="BK20" i="49"/>
  <c r="BL20" i="49"/>
  <c r="BM20" i="49"/>
  <c r="BN20" i="49"/>
  <c r="BO20" i="49"/>
  <c r="BP20" i="49"/>
  <c r="BQ20" i="49"/>
  <c r="BR20" i="49"/>
  <c r="BS20" i="49"/>
  <c r="BT20" i="49"/>
  <c r="BU20" i="49"/>
  <c r="BV20" i="49"/>
  <c r="BW20" i="49"/>
  <c r="BX20" i="49"/>
  <c r="BY20" i="49"/>
  <c r="BZ20" i="49"/>
  <c r="CA20" i="49"/>
  <c r="CB20" i="49"/>
  <c r="CC20" i="49"/>
  <c r="CD20" i="49"/>
  <c r="CE20" i="49"/>
  <c r="CF20" i="49"/>
  <c r="CG20" i="49"/>
  <c r="CH20" i="49"/>
  <c r="CI20" i="49"/>
  <c r="CJ20" i="49"/>
  <c r="CK20" i="49"/>
  <c r="CL20" i="49"/>
  <c r="CM20" i="49"/>
  <c r="CN20" i="49"/>
  <c r="CO20" i="49"/>
  <c r="CP20" i="49"/>
  <c r="CQ20" i="49"/>
  <c r="CR20" i="49"/>
  <c r="CS20" i="49"/>
  <c r="CT20" i="49"/>
  <c r="CU20" i="49"/>
  <c r="CV20" i="49"/>
  <c r="CW20" i="49"/>
  <c r="CX20" i="49"/>
  <c r="CY20" i="49"/>
  <c r="CZ20" i="49"/>
  <c r="DA20"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AX21" i="49"/>
  <c r="AY21" i="49"/>
  <c r="AZ21" i="49"/>
  <c r="BA21" i="49"/>
  <c r="BB21" i="49"/>
  <c r="BC21" i="49"/>
  <c r="BD21" i="49"/>
  <c r="BE21" i="49"/>
  <c r="BF21" i="49"/>
  <c r="BG21" i="49"/>
  <c r="BH21" i="49"/>
  <c r="BI21" i="49"/>
  <c r="BJ21" i="49"/>
  <c r="BK21" i="49"/>
  <c r="BL21" i="49"/>
  <c r="BM21" i="49"/>
  <c r="BN21" i="49"/>
  <c r="BO21" i="49"/>
  <c r="BP21" i="49"/>
  <c r="BQ21" i="49"/>
  <c r="BR21" i="49"/>
  <c r="BS21" i="49"/>
  <c r="BT21" i="49"/>
  <c r="BU21" i="49"/>
  <c r="BV21" i="49"/>
  <c r="BW21" i="49"/>
  <c r="BX21" i="49"/>
  <c r="BY21" i="49"/>
  <c r="BZ21" i="49"/>
  <c r="CA21" i="49"/>
  <c r="CB21" i="49"/>
  <c r="CC21" i="49"/>
  <c r="CD21" i="49"/>
  <c r="CE21" i="49"/>
  <c r="CF21" i="49"/>
  <c r="CG21" i="49"/>
  <c r="CH21" i="49"/>
  <c r="CI21" i="49"/>
  <c r="CJ21" i="49"/>
  <c r="CK21" i="49"/>
  <c r="CL21" i="49"/>
  <c r="CM21" i="49"/>
  <c r="CN21" i="49"/>
  <c r="CO21" i="49"/>
  <c r="CP21" i="49"/>
  <c r="CQ21" i="49"/>
  <c r="CR21" i="49"/>
  <c r="CS21" i="49"/>
  <c r="CT21" i="49"/>
  <c r="CU21" i="49"/>
  <c r="CV21" i="49"/>
  <c r="CW21" i="49"/>
  <c r="CX21" i="49"/>
  <c r="CY21" i="49"/>
  <c r="CZ21" i="49"/>
  <c r="DA21"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AX22" i="49"/>
  <c r="AY22" i="49"/>
  <c r="AZ22" i="49"/>
  <c r="BA22" i="49"/>
  <c r="BB22" i="49"/>
  <c r="BC22" i="49"/>
  <c r="BD22" i="49"/>
  <c r="BE22" i="49"/>
  <c r="BF22" i="49"/>
  <c r="BG22" i="49"/>
  <c r="BH22" i="49"/>
  <c r="BI22" i="49"/>
  <c r="BJ22" i="49"/>
  <c r="BK22" i="49"/>
  <c r="BL22" i="49"/>
  <c r="BM22" i="49"/>
  <c r="BN22" i="49"/>
  <c r="BO22" i="49"/>
  <c r="BP22" i="49"/>
  <c r="BQ22" i="49"/>
  <c r="BR22" i="49"/>
  <c r="BS22" i="49"/>
  <c r="BT22" i="49"/>
  <c r="BU22" i="49"/>
  <c r="BV22" i="49"/>
  <c r="BW22" i="49"/>
  <c r="BX22" i="49"/>
  <c r="BY22" i="49"/>
  <c r="BZ22" i="49"/>
  <c r="CA22" i="49"/>
  <c r="CB22" i="49"/>
  <c r="CC22" i="49"/>
  <c r="CD22" i="49"/>
  <c r="CE22" i="49"/>
  <c r="CF22" i="49"/>
  <c r="CG22" i="49"/>
  <c r="CH22" i="49"/>
  <c r="CI22" i="49"/>
  <c r="CJ22" i="49"/>
  <c r="CK22" i="49"/>
  <c r="CL22" i="49"/>
  <c r="CM22" i="49"/>
  <c r="CN22" i="49"/>
  <c r="CO22" i="49"/>
  <c r="CP22" i="49"/>
  <c r="CQ22" i="49"/>
  <c r="CR22" i="49"/>
  <c r="CS22" i="49"/>
  <c r="CT22" i="49"/>
  <c r="CU22" i="49"/>
  <c r="CV22" i="49"/>
  <c r="CW22" i="49"/>
  <c r="CX22" i="49"/>
  <c r="CY22" i="49"/>
  <c r="CZ22" i="49"/>
  <c r="DA22"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AX23" i="49"/>
  <c r="AY23" i="49"/>
  <c r="AZ23" i="49"/>
  <c r="BA23" i="49"/>
  <c r="BB23" i="49"/>
  <c r="BC23" i="49"/>
  <c r="BD23" i="49"/>
  <c r="BE23" i="49"/>
  <c r="BF23" i="49"/>
  <c r="BG23" i="49"/>
  <c r="BH23" i="49"/>
  <c r="BI23" i="49"/>
  <c r="BJ23" i="49"/>
  <c r="BK23" i="49"/>
  <c r="BL23" i="49"/>
  <c r="BM23" i="49"/>
  <c r="BN23" i="49"/>
  <c r="BO23" i="49"/>
  <c r="BP23" i="49"/>
  <c r="BQ23" i="49"/>
  <c r="BR23" i="49"/>
  <c r="BS23" i="49"/>
  <c r="BT23" i="49"/>
  <c r="BU23" i="49"/>
  <c r="BV23" i="49"/>
  <c r="BW23" i="49"/>
  <c r="BX23" i="49"/>
  <c r="BY23" i="49"/>
  <c r="BZ23" i="49"/>
  <c r="CA23" i="49"/>
  <c r="CB23" i="49"/>
  <c r="CC23" i="49"/>
  <c r="CD23" i="49"/>
  <c r="CE23" i="49"/>
  <c r="CF23" i="49"/>
  <c r="CG23" i="49"/>
  <c r="CH23" i="49"/>
  <c r="CI23" i="49"/>
  <c r="CJ23" i="49"/>
  <c r="CK23" i="49"/>
  <c r="CL23" i="49"/>
  <c r="CM23" i="49"/>
  <c r="CN23" i="49"/>
  <c r="CO23" i="49"/>
  <c r="CP23" i="49"/>
  <c r="CQ23" i="49"/>
  <c r="CR23" i="49"/>
  <c r="CS23" i="49"/>
  <c r="CT23" i="49"/>
  <c r="CU23" i="49"/>
  <c r="CV23" i="49"/>
  <c r="CW23" i="49"/>
  <c r="CX23" i="49"/>
  <c r="CY23" i="49"/>
  <c r="CZ23" i="49"/>
  <c r="DA23"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AX24" i="49"/>
  <c r="AY24" i="49"/>
  <c r="AZ24" i="49"/>
  <c r="BA24" i="49"/>
  <c r="BB24" i="49"/>
  <c r="BC24" i="49"/>
  <c r="BD24" i="49"/>
  <c r="BE24" i="49"/>
  <c r="BF24" i="49"/>
  <c r="BG24" i="49"/>
  <c r="BH24" i="49"/>
  <c r="BI24" i="49"/>
  <c r="BJ24" i="49"/>
  <c r="BK24" i="49"/>
  <c r="BL24" i="49"/>
  <c r="BM24" i="49"/>
  <c r="BN24" i="49"/>
  <c r="BO24" i="49"/>
  <c r="BP24" i="49"/>
  <c r="BQ24" i="49"/>
  <c r="BR24" i="49"/>
  <c r="BS24" i="49"/>
  <c r="BT24" i="49"/>
  <c r="BU24" i="49"/>
  <c r="BV24" i="49"/>
  <c r="BW24" i="49"/>
  <c r="BX24" i="49"/>
  <c r="BY24" i="49"/>
  <c r="BZ24" i="49"/>
  <c r="CA24" i="49"/>
  <c r="CB24" i="49"/>
  <c r="CC24" i="49"/>
  <c r="CD24" i="49"/>
  <c r="CE24" i="49"/>
  <c r="CF24" i="49"/>
  <c r="CG24" i="49"/>
  <c r="CH24" i="49"/>
  <c r="CI24" i="49"/>
  <c r="CJ24" i="49"/>
  <c r="CK24" i="49"/>
  <c r="CL24" i="49"/>
  <c r="CM24" i="49"/>
  <c r="CN24" i="49"/>
  <c r="CO24" i="49"/>
  <c r="CP24" i="49"/>
  <c r="CQ24" i="49"/>
  <c r="CR24" i="49"/>
  <c r="CS24" i="49"/>
  <c r="CT24" i="49"/>
  <c r="CU24" i="49"/>
  <c r="CV24" i="49"/>
  <c r="CW24" i="49"/>
  <c r="CX24" i="49"/>
  <c r="CY24" i="49"/>
  <c r="CZ24" i="49"/>
  <c r="DA24"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AX25" i="49"/>
  <c r="AY25" i="49"/>
  <c r="AZ25" i="49"/>
  <c r="BA25" i="49"/>
  <c r="BB25" i="49"/>
  <c r="BC25" i="49"/>
  <c r="BD25" i="49"/>
  <c r="BE25" i="49"/>
  <c r="BF25" i="49"/>
  <c r="BG25" i="49"/>
  <c r="BH25" i="49"/>
  <c r="BI25" i="49"/>
  <c r="BJ25" i="49"/>
  <c r="BK25" i="49"/>
  <c r="BL25" i="49"/>
  <c r="BM25" i="49"/>
  <c r="BN25" i="49"/>
  <c r="BO25" i="49"/>
  <c r="BP25" i="49"/>
  <c r="BQ25" i="49"/>
  <c r="BR25" i="49"/>
  <c r="BS25" i="49"/>
  <c r="BT25" i="49"/>
  <c r="BU25" i="49"/>
  <c r="BV25" i="49"/>
  <c r="BW25" i="49"/>
  <c r="BX25" i="49"/>
  <c r="BY25" i="49"/>
  <c r="BZ25" i="49"/>
  <c r="CA25" i="49"/>
  <c r="CB25" i="49"/>
  <c r="CC25" i="49"/>
  <c r="CD25" i="49"/>
  <c r="CE25" i="49"/>
  <c r="CF25" i="49"/>
  <c r="CG25" i="49"/>
  <c r="CH25" i="49"/>
  <c r="CI25" i="49"/>
  <c r="CJ25" i="49"/>
  <c r="CK25" i="49"/>
  <c r="CL25" i="49"/>
  <c r="CM25" i="49"/>
  <c r="CN25" i="49"/>
  <c r="CO25" i="49"/>
  <c r="CP25" i="49"/>
  <c r="CQ25" i="49"/>
  <c r="CR25" i="49"/>
  <c r="CS25" i="49"/>
  <c r="CT25" i="49"/>
  <c r="CU25" i="49"/>
  <c r="CV25" i="49"/>
  <c r="CW25" i="49"/>
  <c r="CX25" i="49"/>
  <c r="CY25" i="49"/>
  <c r="CZ25" i="49"/>
  <c r="DA25"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AX26" i="49"/>
  <c r="AY26" i="49"/>
  <c r="AZ26" i="49"/>
  <c r="BA26" i="49"/>
  <c r="BB26" i="49"/>
  <c r="BC26" i="49"/>
  <c r="BD26" i="49"/>
  <c r="BE26" i="49"/>
  <c r="BF26" i="49"/>
  <c r="BG26" i="49"/>
  <c r="BH26" i="49"/>
  <c r="BI26" i="49"/>
  <c r="BJ26" i="49"/>
  <c r="BK26" i="49"/>
  <c r="BL26" i="49"/>
  <c r="BM26" i="49"/>
  <c r="BN26" i="49"/>
  <c r="BO26" i="49"/>
  <c r="BP26" i="49"/>
  <c r="BQ26" i="49"/>
  <c r="BR26" i="49"/>
  <c r="BS26" i="49"/>
  <c r="BT26" i="49"/>
  <c r="BU26" i="49"/>
  <c r="BV26" i="49"/>
  <c r="BW26" i="49"/>
  <c r="BX26" i="49"/>
  <c r="BY26" i="49"/>
  <c r="BZ26" i="49"/>
  <c r="CA26" i="49"/>
  <c r="CB26" i="49"/>
  <c r="CC26" i="49"/>
  <c r="CD26" i="49"/>
  <c r="CE26" i="49"/>
  <c r="CF26" i="49"/>
  <c r="CG26" i="49"/>
  <c r="CH26" i="49"/>
  <c r="CI26" i="49"/>
  <c r="CJ26" i="49"/>
  <c r="CK26" i="49"/>
  <c r="CL26" i="49"/>
  <c r="CM26" i="49"/>
  <c r="CN26" i="49"/>
  <c r="CO26" i="49"/>
  <c r="CP26" i="49"/>
  <c r="CQ26" i="49"/>
  <c r="CR26" i="49"/>
  <c r="CS26" i="49"/>
  <c r="CT26" i="49"/>
  <c r="CU26" i="49"/>
  <c r="CV26" i="49"/>
  <c r="CW26" i="49"/>
  <c r="CX26" i="49"/>
  <c r="CY26" i="49"/>
  <c r="CZ26" i="49"/>
  <c r="DA26"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AX27" i="49"/>
  <c r="AY27" i="49"/>
  <c r="AZ27" i="49"/>
  <c r="BA27" i="49"/>
  <c r="BB27" i="49"/>
  <c r="BC27" i="49"/>
  <c r="BD27" i="49"/>
  <c r="BE27" i="49"/>
  <c r="BF27" i="49"/>
  <c r="BG27" i="49"/>
  <c r="BH27" i="49"/>
  <c r="BI27" i="49"/>
  <c r="BJ27" i="49"/>
  <c r="BK27" i="49"/>
  <c r="BL27" i="49"/>
  <c r="BM27" i="49"/>
  <c r="BN27" i="49"/>
  <c r="BO27" i="49"/>
  <c r="BP27" i="49"/>
  <c r="BQ27" i="49"/>
  <c r="BR27" i="49"/>
  <c r="BS27" i="49"/>
  <c r="BT27" i="49"/>
  <c r="BU27" i="49"/>
  <c r="BV27" i="49"/>
  <c r="BW27" i="49"/>
  <c r="BX27" i="49"/>
  <c r="BY27" i="49"/>
  <c r="BZ27" i="49"/>
  <c r="CA27" i="49"/>
  <c r="CB27" i="49"/>
  <c r="CC27" i="49"/>
  <c r="CD27" i="49"/>
  <c r="CE27" i="49"/>
  <c r="CF27" i="49"/>
  <c r="CG27" i="49"/>
  <c r="CH27" i="49"/>
  <c r="CI27" i="49"/>
  <c r="CJ27" i="49"/>
  <c r="CK27" i="49"/>
  <c r="CL27" i="49"/>
  <c r="CM27" i="49"/>
  <c r="CN27" i="49"/>
  <c r="CO27" i="49"/>
  <c r="CP27" i="49"/>
  <c r="CQ27" i="49"/>
  <c r="CR27" i="49"/>
  <c r="CS27" i="49"/>
  <c r="CT27" i="49"/>
  <c r="CU27" i="49"/>
  <c r="CV27" i="49"/>
  <c r="CW27" i="49"/>
  <c r="CX27" i="49"/>
  <c r="CY27" i="49"/>
  <c r="CZ27" i="49"/>
  <c r="DA27"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AX28" i="49"/>
  <c r="AY28" i="49"/>
  <c r="AZ28" i="49"/>
  <c r="BA28" i="49"/>
  <c r="BB28" i="49"/>
  <c r="BC28" i="49"/>
  <c r="BD28" i="49"/>
  <c r="BE28" i="49"/>
  <c r="BF28" i="49"/>
  <c r="BG28" i="49"/>
  <c r="BH28" i="49"/>
  <c r="BI28" i="49"/>
  <c r="BJ28" i="49"/>
  <c r="BK28" i="49"/>
  <c r="BL28" i="49"/>
  <c r="BM28" i="49"/>
  <c r="BN28" i="49"/>
  <c r="BO28" i="49"/>
  <c r="BP28" i="49"/>
  <c r="BQ28" i="49"/>
  <c r="BR28" i="49"/>
  <c r="BS28" i="49"/>
  <c r="BT28" i="49"/>
  <c r="BU28" i="49"/>
  <c r="BV28" i="49"/>
  <c r="BW28" i="49"/>
  <c r="BX28" i="49"/>
  <c r="BY28" i="49"/>
  <c r="BZ28" i="49"/>
  <c r="CA28" i="49"/>
  <c r="CB28" i="49"/>
  <c r="CC28" i="49"/>
  <c r="CD28" i="49"/>
  <c r="CE28" i="49"/>
  <c r="CF28" i="49"/>
  <c r="CG28" i="49"/>
  <c r="CH28" i="49"/>
  <c r="CI28" i="49"/>
  <c r="CJ28" i="49"/>
  <c r="CK28" i="49"/>
  <c r="CL28" i="49"/>
  <c r="CM28" i="49"/>
  <c r="CN28" i="49"/>
  <c r="CO28" i="49"/>
  <c r="CP28" i="49"/>
  <c r="CQ28" i="49"/>
  <c r="CR28" i="49"/>
  <c r="CS28" i="49"/>
  <c r="CT28" i="49"/>
  <c r="CU28" i="49"/>
  <c r="CV28" i="49"/>
  <c r="CW28" i="49"/>
  <c r="CX28" i="49"/>
  <c r="CY28" i="49"/>
  <c r="CZ28" i="49"/>
  <c r="DA28"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AX29" i="49"/>
  <c r="AY29" i="49"/>
  <c r="AZ29" i="49"/>
  <c r="BA29" i="49"/>
  <c r="BB29" i="49"/>
  <c r="BC29" i="49"/>
  <c r="BD29" i="49"/>
  <c r="BE29" i="49"/>
  <c r="BF29" i="49"/>
  <c r="BG29" i="49"/>
  <c r="BH29" i="49"/>
  <c r="BI29" i="49"/>
  <c r="BJ29" i="49"/>
  <c r="BK29" i="49"/>
  <c r="BL29" i="49"/>
  <c r="BM29" i="49"/>
  <c r="BN29" i="49"/>
  <c r="BO29" i="49"/>
  <c r="BP29" i="49"/>
  <c r="BQ29" i="49"/>
  <c r="BR29" i="49"/>
  <c r="BS29" i="49"/>
  <c r="BT29" i="49"/>
  <c r="BU29" i="49"/>
  <c r="BV29" i="49"/>
  <c r="BW29" i="49"/>
  <c r="BX29" i="49"/>
  <c r="BY29" i="49"/>
  <c r="BZ29" i="49"/>
  <c r="CA29" i="49"/>
  <c r="CB29" i="49"/>
  <c r="CC29" i="49"/>
  <c r="CD29" i="49"/>
  <c r="CE29" i="49"/>
  <c r="CF29" i="49"/>
  <c r="CG29" i="49"/>
  <c r="CH29" i="49"/>
  <c r="CI29" i="49"/>
  <c r="CJ29" i="49"/>
  <c r="CK29" i="49"/>
  <c r="CL29" i="49"/>
  <c r="CM29" i="49"/>
  <c r="CN29" i="49"/>
  <c r="CO29" i="49"/>
  <c r="CP29" i="49"/>
  <c r="CQ29" i="49"/>
  <c r="CR29" i="49"/>
  <c r="CS29" i="49"/>
  <c r="CT29" i="49"/>
  <c r="CU29" i="49"/>
  <c r="CV29" i="49"/>
  <c r="CW29" i="49"/>
  <c r="CX29" i="49"/>
  <c r="CY29" i="49"/>
  <c r="CZ29" i="49"/>
  <c r="DA29"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AX30" i="49"/>
  <c r="AY30" i="49"/>
  <c r="AZ30" i="49"/>
  <c r="BA30" i="49"/>
  <c r="BB30" i="49"/>
  <c r="BC30" i="49"/>
  <c r="BD30" i="49"/>
  <c r="BE30" i="49"/>
  <c r="BF30" i="49"/>
  <c r="BG30" i="49"/>
  <c r="BH30" i="49"/>
  <c r="BI30" i="49"/>
  <c r="BJ30" i="49"/>
  <c r="BK30" i="49"/>
  <c r="BL30" i="49"/>
  <c r="BM30" i="49"/>
  <c r="BN30" i="49"/>
  <c r="BO30" i="49"/>
  <c r="BP30" i="49"/>
  <c r="BQ30" i="49"/>
  <c r="BR30" i="49"/>
  <c r="BS30" i="49"/>
  <c r="BT30" i="49"/>
  <c r="BU30" i="49"/>
  <c r="BV30" i="49"/>
  <c r="BW30" i="49"/>
  <c r="BX30" i="49"/>
  <c r="BY30" i="49"/>
  <c r="BZ30" i="49"/>
  <c r="CA30" i="49"/>
  <c r="CB30" i="49"/>
  <c r="CC30" i="49"/>
  <c r="CD30" i="49"/>
  <c r="CE30" i="49"/>
  <c r="CF30" i="49"/>
  <c r="CG30" i="49"/>
  <c r="CH30" i="49"/>
  <c r="CI30" i="49"/>
  <c r="CJ30" i="49"/>
  <c r="CK30" i="49"/>
  <c r="CL30" i="49"/>
  <c r="CM30" i="49"/>
  <c r="CN30" i="49"/>
  <c r="CO30" i="49"/>
  <c r="CP30" i="49"/>
  <c r="CQ30" i="49"/>
  <c r="CR30" i="49"/>
  <c r="CS30" i="49"/>
  <c r="CT30" i="49"/>
  <c r="CU30" i="49"/>
  <c r="CV30" i="49"/>
  <c r="CW30" i="49"/>
  <c r="CX30" i="49"/>
  <c r="CY30" i="49"/>
  <c r="CZ30" i="49"/>
  <c r="DA30"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AX31" i="49"/>
  <c r="AY31" i="49"/>
  <c r="AZ31" i="49"/>
  <c r="BA31" i="49"/>
  <c r="BB31" i="49"/>
  <c r="BC31" i="49"/>
  <c r="BD31" i="49"/>
  <c r="BE31" i="49"/>
  <c r="BF31" i="49"/>
  <c r="BG31" i="49"/>
  <c r="BH31" i="49"/>
  <c r="BI31" i="49"/>
  <c r="BJ31" i="49"/>
  <c r="BK31" i="49"/>
  <c r="BL31" i="49"/>
  <c r="BM31" i="49"/>
  <c r="BN31" i="49"/>
  <c r="BO31" i="49"/>
  <c r="BP31" i="49"/>
  <c r="BQ31" i="49"/>
  <c r="BR31" i="49"/>
  <c r="BS31" i="49"/>
  <c r="BT31" i="49"/>
  <c r="BU31" i="49"/>
  <c r="BV31" i="49"/>
  <c r="BW31" i="49"/>
  <c r="BX31" i="49"/>
  <c r="BY31" i="49"/>
  <c r="BZ31" i="49"/>
  <c r="CA31" i="49"/>
  <c r="CB31" i="49"/>
  <c r="CC31" i="49"/>
  <c r="CD31" i="49"/>
  <c r="CE31" i="49"/>
  <c r="CF31" i="49"/>
  <c r="CG31" i="49"/>
  <c r="CH31" i="49"/>
  <c r="CI31" i="49"/>
  <c r="CJ31" i="49"/>
  <c r="CK31" i="49"/>
  <c r="CL31" i="49"/>
  <c r="CM31" i="49"/>
  <c r="CN31" i="49"/>
  <c r="CO31" i="49"/>
  <c r="CP31" i="49"/>
  <c r="CQ31" i="49"/>
  <c r="CR31" i="49"/>
  <c r="CS31" i="49"/>
  <c r="CT31" i="49"/>
  <c r="CU31" i="49"/>
  <c r="CV31" i="49"/>
  <c r="CW31" i="49"/>
  <c r="CX31" i="49"/>
  <c r="CY31" i="49"/>
  <c r="CZ31" i="49"/>
  <c r="DA31"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AX32" i="49"/>
  <c r="AY32" i="49"/>
  <c r="AZ32" i="49"/>
  <c r="BA32" i="49"/>
  <c r="BB32" i="49"/>
  <c r="BC32" i="49"/>
  <c r="BD32" i="49"/>
  <c r="BE32" i="49"/>
  <c r="BF32" i="49"/>
  <c r="BG32" i="49"/>
  <c r="BH32" i="49"/>
  <c r="BI32" i="49"/>
  <c r="BJ32" i="49"/>
  <c r="BK32" i="49"/>
  <c r="BL32" i="49"/>
  <c r="BM32" i="49"/>
  <c r="BN32" i="49"/>
  <c r="BO32" i="49"/>
  <c r="BP32" i="49"/>
  <c r="BQ32" i="49"/>
  <c r="BR32" i="49"/>
  <c r="BS32" i="49"/>
  <c r="BT32" i="49"/>
  <c r="BU32" i="49"/>
  <c r="BV32" i="49"/>
  <c r="BW32" i="49"/>
  <c r="BX32" i="49"/>
  <c r="BY32" i="49"/>
  <c r="BZ32" i="49"/>
  <c r="CA32" i="49"/>
  <c r="CB32" i="49"/>
  <c r="CC32" i="49"/>
  <c r="CD32" i="49"/>
  <c r="CE32" i="49"/>
  <c r="CF32" i="49"/>
  <c r="CG32" i="49"/>
  <c r="CH32" i="49"/>
  <c r="CI32" i="49"/>
  <c r="CJ32" i="49"/>
  <c r="CK32" i="49"/>
  <c r="CL32" i="49"/>
  <c r="CM32" i="49"/>
  <c r="CN32" i="49"/>
  <c r="CO32" i="49"/>
  <c r="CP32" i="49"/>
  <c r="CQ32" i="49"/>
  <c r="CR32" i="49"/>
  <c r="CS32" i="49"/>
  <c r="CT32" i="49"/>
  <c r="CU32" i="49"/>
  <c r="CV32" i="49"/>
  <c r="CW32" i="49"/>
  <c r="CX32" i="49"/>
  <c r="CY32" i="49"/>
  <c r="CZ32" i="49"/>
  <c r="DA32"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AX33" i="49"/>
  <c r="AY33" i="49"/>
  <c r="AZ33" i="49"/>
  <c r="BA33" i="49"/>
  <c r="BB33" i="49"/>
  <c r="BC33" i="49"/>
  <c r="BD33" i="49"/>
  <c r="BE33" i="49"/>
  <c r="BF33" i="49"/>
  <c r="BG33" i="49"/>
  <c r="BH33" i="49"/>
  <c r="BI33" i="49"/>
  <c r="BJ33" i="49"/>
  <c r="BK33" i="49"/>
  <c r="BL33" i="49"/>
  <c r="BM33" i="49"/>
  <c r="BN33" i="49"/>
  <c r="BO33" i="49"/>
  <c r="BP33" i="49"/>
  <c r="BQ33" i="49"/>
  <c r="BR33" i="49"/>
  <c r="BS33" i="49"/>
  <c r="BT33" i="49"/>
  <c r="BU33" i="49"/>
  <c r="BV33" i="49"/>
  <c r="BW33" i="49"/>
  <c r="BX33" i="49"/>
  <c r="BY33" i="49"/>
  <c r="BZ33" i="49"/>
  <c r="CA33" i="49"/>
  <c r="CB33" i="49"/>
  <c r="CC33" i="49"/>
  <c r="CD33" i="49"/>
  <c r="CE33" i="49"/>
  <c r="CF33" i="49"/>
  <c r="CG33" i="49"/>
  <c r="CH33" i="49"/>
  <c r="CI33" i="49"/>
  <c r="CJ33" i="49"/>
  <c r="CK33" i="49"/>
  <c r="CL33" i="49"/>
  <c r="CM33" i="49"/>
  <c r="CN33" i="49"/>
  <c r="CO33" i="49"/>
  <c r="CP33" i="49"/>
  <c r="CQ33" i="49"/>
  <c r="CR33" i="49"/>
  <c r="CS33" i="49"/>
  <c r="CT33" i="49"/>
  <c r="CU33" i="49"/>
  <c r="CV33" i="49"/>
  <c r="CW33" i="49"/>
  <c r="CX33" i="49"/>
  <c r="CY33" i="49"/>
  <c r="CZ33" i="49"/>
  <c r="DA33"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AX34" i="49"/>
  <c r="AY34" i="49"/>
  <c r="AZ34" i="49"/>
  <c r="BA34" i="49"/>
  <c r="BB34" i="49"/>
  <c r="BC34" i="49"/>
  <c r="BD34" i="49"/>
  <c r="BE34" i="49"/>
  <c r="BF34" i="49"/>
  <c r="BG34" i="49"/>
  <c r="BH34" i="49"/>
  <c r="BI34" i="49"/>
  <c r="BJ34" i="49"/>
  <c r="BK34" i="49"/>
  <c r="BL34" i="49"/>
  <c r="BM34" i="49"/>
  <c r="BN34" i="49"/>
  <c r="BO34" i="49"/>
  <c r="BP34" i="49"/>
  <c r="BQ34" i="49"/>
  <c r="BR34" i="49"/>
  <c r="BS34" i="49"/>
  <c r="BT34" i="49"/>
  <c r="BU34" i="49"/>
  <c r="BV34" i="49"/>
  <c r="BW34" i="49"/>
  <c r="BX34" i="49"/>
  <c r="BY34" i="49"/>
  <c r="BZ34" i="49"/>
  <c r="CA34" i="49"/>
  <c r="CB34" i="49"/>
  <c r="CC34" i="49"/>
  <c r="CD34" i="49"/>
  <c r="CE34" i="49"/>
  <c r="CF34" i="49"/>
  <c r="CG34" i="49"/>
  <c r="CH34" i="49"/>
  <c r="CI34" i="49"/>
  <c r="CJ34" i="49"/>
  <c r="CK34" i="49"/>
  <c r="CL34" i="49"/>
  <c r="CM34" i="49"/>
  <c r="CN34" i="49"/>
  <c r="CO34" i="49"/>
  <c r="CP34" i="49"/>
  <c r="CQ34" i="49"/>
  <c r="CR34" i="49"/>
  <c r="CS34" i="49"/>
  <c r="CT34" i="49"/>
  <c r="CU34" i="49"/>
  <c r="CV34" i="49"/>
  <c r="CW34" i="49"/>
  <c r="CX34" i="49"/>
  <c r="CY34" i="49"/>
  <c r="CZ34" i="49"/>
  <c r="DA34"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AX35" i="49"/>
  <c r="AY35" i="49"/>
  <c r="AZ35" i="49"/>
  <c r="BA35" i="49"/>
  <c r="BB35" i="49"/>
  <c r="BC35" i="49"/>
  <c r="BD35" i="49"/>
  <c r="BE35" i="49"/>
  <c r="BF35" i="49"/>
  <c r="BG35" i="49"/>
  <c r="BH35" i="49"/>
  <c r="BI35" i="49"/>
  <c r="BJ35" i="49"/>
  <c r="BK35" i="49"/>
  <c r="BL35" i="49"/>
  <c r="BM35" i="49"/>
  <c r="BN35" i="49"/>
  <c r="BO35" i="49"/>
  <c r="BP35" i="49"/>
  <c r="BQ35" i="49"/>
  <c r="BR35" i="49"/>
  <c r="BS35" i="49"/>
  <c r="BT35" i="49"/>
  <c r="BU35" i="49"/>
  <c r="BV35" i="49"/>
  <c r="BW35" i="49"/>
  <c r="BX35" i="49"/>
  <c r="BY35" i="49"/>
  <c r="BZ35" i="49"/>
  <c r="CA35" i="49"/>
  <c r="CB35" i="49"/>
  <c r="CC35" i="49"/>
  <c r="CD35" i="49"/>
  <c r="CE35" i="49"/>
  <c r="CF35" i="49"/>
  <c r="CG35" i="49"/>
  <c r="CH35" i="49"/>
  <c r="CI35" i="49"/>
  <c r="CJ35" i="49"/>
  <c r="CK35" i="49"/>
  <c r="CL35" i="49"/>
  <c r="CM35" i="49"/>
  <c r="CN35" i="49"/>
  <c r="CO35" i="49"/>
  <c r="CP35" i="49"/>
  <c r="CQ35" i="49"/>
  <c r="CR35" i="49"/>
  <c r="CS35" i="49"/>
  <c r="CT35" i="49"/>
  <c r="CU35" i="49"/>
  <c r="CV35" i="49"/>
  <c r="CW35" i="49"/>
  <c r="CX35" i="49"/>
  <c r="CY35" i="49"/>
  <c r="CZ35" i="49"/>
  <c r="DA35"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AX36" i="49"/>
  <c r="AY36" i="49"/>
  <c r="AZ36" i="49"/>
  <c r="BA36" i="49"/>
  <c r="BB36" i="49"/>
  <c r="BC36" i="49"/>
  <c r="BD36" i="49"/>
  <c r="BE36" i="49"/>
  <c r="BF36" i="49"/>
  <c r="BG36" i="49"/>
  <c r="BH36" i="49"/>
  <c r="BI36" i="49"/>
  <c r="BJ36" i="49"/>
  <c r="BK36" i="49"/>
  <c r="BL36" i="49"/>
  <c r="BM36" i="49"/>
  <c r="BN36" i="49"/>
  <c r="BO36" i="49"/>
  <c r="BP36" i="49"/>
  <c r="BQ36" i="49"/>
  <c r="BR36" i="49"/>
  <c r="BS36" i="49"/>
  <c r="BT36" i="49"/>
  <c r="BU36" i="49"/>
  <c r="BV36" i="49"/>
  <c r="BW36" i="49"/>
  <c r="BX36" i="49"/>
  <c r="BY36" i="49"/>
  <c r="BZ36" i="49"/>
  <c r="CA36" i="49"/>
  <c r="CB36" i="49"/>
  <c r="CC36" i="49"/>
  <c r="CD36" i="49"/>
  <c r="CE36" i="49"/>
  <c r="CF36" i="49"/>
  <c r="CG36" i="49"/>
  <c r="CH36" i="49"/>
  <c r="CI36" i="49"/>
  <c r="CJ36" i="49"/>
  <c r="CK36" i="49"/>
  <c r="CL36" i="49"/>
  <c r="CM36" i="49"/>
  <c r="CN36" i="49"/>
  <c r="CO36" i="49"/>
  <c r="CP36" i="49"/>
  <c r="CQ36" i="49"/>
  <c r="CR36" i="49"/>
  <c r="CS36" i="49"/>
  <c r="CT36" i="49"/>
  <c r="CU36" i="49"/>
  <c r="CV36" i="49"/>
  <c r="CW36" i="49"/>
  <c r="CX36" i="49"/>
  <c r="CY36" i="49"/>
  <c r="CZ36" i="49"/>
  <c r="DA36"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AX37" i="49"/>
  <c r="AY37" i="49"/>
  <c r="AZ37" i="49"/>
  <c r="BA37" i="49"/>
  <c r="BB37" i="49"/>
  <c r="BC37" i="49"/>
  <c r="BD37" i="49"/>
  <c r="BE37" i="49"/>
  <c r="BF37" i="49"/>
  <c r="BG37" i="49"/>
  <c r="BH37" i="49"/>
  <c r="BI37" i="49"/>
  <c r="BJ37" i="49"/>
  <c r="BK37" i="49"/>
  <c r="BL37" i="49"/>
  <c r="BM37" i="49"/>
  <c r="BN37" i="49"/>
  <c r="BO37" i="49"/>
  <c r="BP37" i="49"/>
  <c r="BQ37" i="49"/>
  <c r="BR37" i="49"/>
  <c r="BS37" i="49"/>
  <c r="BT37" i="49"/>
  <c r="BU37" i="49"/>
  <c r="BV37" i="49"/>
  <c r="BW37" i="49"/>
  <c r="BX37" i="49"/>
  <c r="BY37" i="49"/>
  <c r="BZ37" i="49"/>
  <c r="CA37" i="49"/>
  <c r="CB37" i="49"/>
  <c r="CC37" i="49"/>
  <c r="CD37" i="49"/>
  <c r="CE37" i="49"/>
  <c r="CF37" i="49"/>
  <c r="CG37" i="49"/>
  <c r="CH37" i="49"/>
  <c r="CI37" i="49"/>
  <c r="CJ37" i="49"/>
  <c r="CK37" i="49"/>
  <c r="CL37" i="49"/>
  <c r="CM37" i="49"/>
  <c r="CN37" i="49"/>
  <c r="CO37" i="49"/>
  <c r="CP37" i="49"/>
  <c r="CQ37" i="49"/>
  <c r="CR37" i="49"/>
  <c r="CS37" i="49"/>
  <c r="CT37" i="49"/>
  <c r="CU37" i="49"/>
  <c r="CV37" i="49"/>
  <c r="CW37" i="49"/>
  <c r="CX37" i="49"/>
  <c r="CY37" i="49"/>
  <c r="CZ37" i="49"/>
  <c r="DA37"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AX38" i="49"/>
  <c r="AY38" i="49"/>
  <c r="AZ38" i="49"/>
  <c r="BA38" i="49"/>
  <c r="BB38" i="49"/>
  <c r="BC38" i="49"/>
  <c r="BD38" i="49"/>
  <c r="BE38" i="49"/>
  <c r="BF38" i="49"/>
  <c r="BG38" i="49"/>
  <c r="BH38" i="49"/>
  <c r="BI38" i="49"/>
  <c r="BJ38" i="49"/>
  <c r="BK38" i="49"/>
  <c r="BL38" i="49"/>
  <c r="BM38" i="49"/>
  <c r="BN38" i="49"/>
  <c r="BO38" i="49"/>
  <c r="BP38" i="49"/>
  <c r="BQ38" i="49"/>
  <c r="BR38" i="49"/>
  <c r="BS38" i="49"/>
  <c r="BT38" i="49"/>
  <c r="BU38" i="49"/>
  <c r="BV38" i="49"/>
  <c r="BW38" i="49"/>
  <c r="BX38" i="49"/>
  <c r="BY38" i="49"/>
  <c r="BZ38" i="49"/>
  <c r="CA38" i="49"/>
  <c r="CB38" i="49"/>
  <c r="CC38" i="49"/>
  <c r="CD38" i="49"/>
  <c r="CE38" i="49"/>
  <c r="CF38" i="49"/>
  <c r="CG38" i="49"/>
  <c r="CH38" i="49"/>
  <c r="CI38" i="49"/>
  <c r="CJ38" i="49"/>
  <c r="CK38" i="49"/>
  <c r="CL38" i="49"/>
  <c r="CM38" i="49"/>
  <c r="CN38" i="49"/>
  <c r="CO38" i="49"/>
  <c r="CP38" i="49"/>
  <c r="CQ38" i="49"/>
  <c r="CR38" i="49"/>
  <c r="CS38" i="49"/>
  <c r="CT38" i="49"/>
  <c r="CU38" i="49"/>
  <c r="CV38" i="49"/>
  <c r="CW38" i="49"/>
  <c r="CX38" i="49"/>
  <c r="CY38" i="49"/>
  <c r="CZ38" i="49"/>
  <c r="DA38"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AX39" i="49"/>
  <c r="AY39" i="49"/>
  <c r="AZ39" i="49"/>
  <c r="BA39" i="49"/>
  <c r="BB39" i="49"/>
  <c r="BC39" i="49"/>
  <c r="BD39" i="49"/>
  <c r="BE39" i="49"/>
  <c r="BF39" i="49"/>
  <c r="BG39" i="49"/>
  <c r="BH39" i="49"/>
  <c r="BI39" i="49"/>
  <c r="BJ39" i="49"/>
  <c r="BK39" i="49"/>
  <c r="BL39" i="49"/>
  <c r="BM39" i="49"/>
  <c r="BN39" i="49"/>
  <c r="BO39" i="49"/>
  <c r="BP39" i="49"/>
  <c r="BQ39" i="49"/>
  <c r="BR39" i="49"/>
  <c r="BS39" i="49"/>
  <c r="BT39" i="49"/>
  <c r="BU39" i="49"/>
  <c r="BV39" i="49"/>
  <c r="BW39" i="49"/>
  <c r="BX39" i="49"/>
  <c r="BY39" i="49"/>
  <c r="BZ39" i="49"/>
  <c r="CA39" i="49"/>
  <c r="CB39" i="49"/>
  <c r="CC39" i="49"/>
  <c r="CD39" i="49"/>
  <c r="CE39" i="49"/>
  <c r="CF39" i="49"/>
  <c r="CG39" i="49"/>
  <c r="CH39" i="49"/>
  <c r="CI39" i="49"/>
  <c r="CJ39" i="49"/>
  <c r="CK39" i="49"/>
  <c r="CL39" i="49"/>
  <c r="CM39" i="49"/>
  <c r="CN39" i="49"/>
  <c r="CO39" i="49"/>
  <c r="CP39" i="49"/>
  <c r="CQ39" i="49"/>
  <c r="CR39" i="49"/>
  <c r="CS39" i="49"/>
  <c r="CT39" i="49"/>
  <c r="CU39" i="49"/>
  <c r="CV39" i="49"/>
  <c r="CW39" i="49"/>
  <c r="CX39" i="49"/>
  <c r="CY39" i="49"/>
  <c r="CZ39" i="49"/>
  <c r="DA39" i="49"/>
  <c r="J40" i="49"/>
  <c r="K40" i="49"/>
  <c r="L40" i="49"/>
  <c r="M40" i="49"/>
  <c r="N40" i="49"/>
  <c r="O40" i="49"/>
  <c r="P40" i="49"/>
  <c r="Q40" i="49"/>
  <c r="R40" i="49"/>
  <c r="T40" i="49"/>
  <c r="U40" i="49"/>
  <c r="V40" i="49"/>
  <c r="W40" i="49"/>
  <c r="X40" i="49"/>
  <c r="Y40" i="49"/>
  <c r="Z40" i="49"/>
  <c r="AA40" i="49"/>
  <c r="AB40" i="49"/>
  <c r="AC40" i="49"/>
  <c r="AD40" i="49"/>
  <c r="AE40" i="49"/>
  <c r="AF40" i="49"/>
  <c r="AG40" i="49"/>
  <c r="AH40" i="49"/>
  <c r="AI40" i="49"/>
  <c r="AJ40" i="49"/>
  <c r="AK40" i="49"/>
  <c r="AL40" i="49"/>
  <c r="AM40" i="49"/>
  <c r="AN40" i="49"/>
  <c r="AO40" i="49"/>
  <c r="AP40" i="49"/>
  <c r="AQ40" i="49"/>
  <c r="AR40" i="49"/>
  <c r="AS40" i="49"/>
  <c r="AT40" i="49"/>
  <c r="AU40" i="49"/>
  <c r="AV40" i="49"/>
  <c r="AW40" i="49"/>
  <c r="AY40" i="49"/>
  <c r="AZ40" i="49"/>
  <c r="BA40" i="49"/>
  <c r="BB40" i="49"/>
  <c r="BC40" i="49"/>
  <c r="BD40" i="49"/>
  <c r="BE40" i="49"/>
  <c r="BF40" i="49"/>
  <c r="BG40" i="49"/>
  <c r="BH40" i="49"/>
  <c r="BI40" i="49"/>
  <c r="BJ40" i="49"/>
  <c r="BK40" i="49"/>
  <c r="BL40" i="49"/>
  <c r="BM40" i="49"/>
  <c r="BN40" i="49"/>
  <c r="BO40" i="49"/>
  <c r="BP40" i="49"/>
  <c r="BQ40" i="49"/>
  <c r="BR40" i="49"/>
  <c r="BS40" i="49"/>
  <c r="BT40" i="49"/>
  <c r="BU40" i="49"/>
  <c r="BV40" i="49"/>
  <c r="BW40" i="49"/>
  <c r="BX40" i="49"/>
  <c r="BY40" i="49"/>
  <c r="BZ40" i="49"/>
  <c r="CA40" i="49"/>
  <c r="CB40" i="49"/>
  <c r="CC40" i="49"/>
  <c r="CD40" i="49"/>
  <c r="CE40" i="49"/>
  <c r="CF40" i="49"/>
  <c r="CG40" i="49"/>
  <c r="CH40" i="49"/>
  <c r="CI40" i="49"/>
  <c r="CJ40" i="49"/>
  <c r="CK40" i="49"/>
  <c r="CL40" i="49"/>
  <c r="CM40" i="49"/>
  <c r="CN40" i="49"/>
  <c r="CO40" i="49"/>
  <c r="CP40" i="49"/>
  <c r="CQ40" i="49"/>
  <c r="CR40" i="49"/>
  <c r="CS40" i="49"/>
  <c r="CT40" i="49"/>
  <c r="CU40" i="49"/>
  <c r="CV40" i="49"/>
  <c r="CW40" i="49"/>
  <c r="CX40" i="49"/>
  <c r="CY40" i="49"/>
  <c r="CZ40" i="49"/>
  <c r="DA40" i="49"/>
  <c r="J41" i="49"/>
  <c r="K41" i="49"/>
  <c r="L41" i="49"/>
  <c r="M41" i="49"/>
  <c r="N41" i="49"/>
  <c r="O41" i="49"/>
  <c r="P41" i="49"/>
  <c r="Q41" i="49"/>
  <c r="R41" i="49"/>
  <c r="S41" i="49"/>
  <c r="T41" i="49"/>
  <c r="U41" i="49"/>
  <c r="V41" i="49"/>
  <c r="W41" i="49"/>
  <c r="X41" i="49"/>
  <c r="Y41" i="49"/>
  <c r="Z41" i="49"/>
  <c r="AA41" i="49"/>
  <c r="AB41" i="49"/>
  <c r="AC41" i="49"/>
  <c r="AD41" i="49"/>
  <c r="AE41" i="49"/>
  <c r="AF41" i="49"/>
  <c r="AG41" i="49"/>
  <c r="AH41" i="49"/>
  <c r="AI41" i="49"/>
  <c r="AJ41" i="49"/>
  <c r="AK41" i="49"/>
  <c r="AL41" i="49"/>
  <c r="AM41" i="49"/>
  <c r="AN41" i="49"/>
  <c r="AO41" i="49"/>
  <c r="AP41" i="49"/>
  <c r="AQ41" i="49"/>
  <c r="AR41" i="49"/>
  <c r="AS41" i="49"/>
  <c r="AT41" i="49"/>
  <c r="AU41" i="49"/>
  <c r="AV41" i="49"/>
  <c r="AW41" i="49"/>
  <c r="AX41" i="49"/>
  <c r="AY41" i="49"/>
  <c r="AZ41" i="49"/>
  <c r="BA41" i="49"/>
  <c r="BB41" i="49"/>
  <c r="BC41" i="49"/>
  <c r="BD41" i="49"/>
  <c r="BE41" i="49"/>
  <c r="BF41" i="49"/>
  <c r="BG41" i="49"/>
  <c r="BH41" i="49"/>
  <c r="BI41" i="49"/>
  <c r="BJ41" i="49"/>
  <c r="BK41" i="49"/>
  <c r="BL41" i="49"/>
  <c r="BM41" i="49"/>
  <c r="BN41" i="49"/>
  <c r="BO41" i="49"/>
  <c r="BP41" i="49"/>
  <c r="BQ41" i="49"/>
  <c r="BR41" i="49"/>
  <c r="BS41" i="49"/>
  <c r="BT41" i="49"/>
  <c r="BU41" i="49"/>
  <c r="BV41" i="49"/>
  <c r="BW41" i="49"/>
  <c r="BX41" i="49"/>
  <c r="BY41" i="49"/>
  <c r="BZ41" i="49"/>
  <c r="CA41" i="49"/>
  <c r="CB41" i="49"/>
  <c r="CC41" i="49"/>
  <c r="CD41" i="49"/>
  <c r="CE41" i="49"/>
  <c r="CF41" i="49"/>
  <c r="CG41" i="49"/>
  <c r="CH41" i="49"/>
  <c r="CI41" i="49"/>
  <c r="CJ41" i="49"/>
  <c r="CK41" i="49"/>
  <c r="CL41" i="49"/>
  <c r="CN41" i="49"/>
  <c r="CO41" i="49"/>
  <c r="CP41" i="49"/>
  <c r="CQ41" i="49"/>
  <c r="CR41" i="49"/>
  <c r="CS41" i="49"/>
  <c r="CT41" i="49"/>
  <c r="CU41" i="49"/>
  <c r="CV41" i="49"/>
  <c r="CW41" i="49"/>
  <c r="CX41" i="49"/>
  <c r="CY41" i="49"/>
  <c r="DA41" i="49"/>
  <c r="J42" i="49"/>
  <c r="K42" i="49"/>
  <c r="L42" i="49"/>
  <c r="M42" i="49"/>
  <c r="N42" i="49"/>
  <c r="O42" i="49"/>
  <c r="P42" i="49"/>
  <c r="Q42" i="49"/>
  <c r="R42" i="49"/>
  <c r="S42" i="49"/>
  <c r="T42" i="49"/>
  <c r="U42" i="49"/>
  <c r="V42" i="49"/>
  <c r="W42" i="49"/>
  <c r="X42" i="49"/>
  <c r="Y42" i="49"/>
  <c r="Z42" i="49"/>
  <c r="AA42" i="49"/>
  <c r="AB42" i="49"/>
  <c r="AC42" i="49"/>
  <c r="AD42" i="49"/>
  <c r="AE42" i="49"/>
  <c r="AF42" i="49"/>
  <c r="AG42" i="49"/>
  <c r="AH42" i="49"/>
  <c r="AI42" i="49"/>
  <c r="AJ42" i="49"/>
  <c r="AK42" i="49"/>
  <c r="AL42" i="49"/>
  <c r="AM42" i="49"/>
  <c r="AN42" i="49"/>
  <c r="AO42" i="49"/>
  <c r="AP42" i="49"/>
  <c r="AQ42" i="49"/>
  <c r="AR42" i="49"/>
  <c r="AS42" i="49"/>
  <c r="AT42" i="49"/>
  <c r="AU42" i="49"/>
  <c r="AV42" i="49"/>
  <c r="AW42" i="49"/>
  <c r="AX42" i="49"/>
  <c r="AY42" i="49"/>
  <c r="AZ42" i="49"/>
  <c r="BA42" i="49"/>
  <c r="BB42" i="49"/>
  <c r="BC42" i="49"/>
  <c r="BD42" i="49"/>
  <c r="BE42" i="49"/>
  <c r="BF42" i="49"/>
  <c r="BG42" i="49"/>
  <c r="BH42" i="49"/>
  <c r="BI42" i="49"/>
  <c r="BJ42" i="49"/>
  <c r="BK42" i="49"/>
  <c r="BL42" i="49"/>
  <c r="BM42" i="49"/>
  <c r="BN42" i="49"/>
  <c r="BO42" i="49"/>
  <c r="BP42" i="49"/>
  <c r="BQ42" i="49"/>
  <c r="BR42" i="49"/>
  <c r="BS42" i="49"/>
  <c r="BT42" i="49"/>
  <c r="BU42" i="49"/>
  <c r="BV42" i="49"/>
  <c r="BW42" i="49"/>
  <c r="BX42" i="49"/>
  <c r="BY42" i="49"/>
  <c r="BZ42" i="49"/>
  <c r="CA42" i="49"/>
  <c r="CB42" i="49"/>
  <c r="CC42" i="49"/>
  <c r="CD42" i="49"/>
  <c r="CE42" i="49"/>
  <c r="CF42" i="49"/>
  <c r="CG42" i="49"/>
  <c r="CH42" i="49"/>
  <c r="CI42" i="49"/>
  <c r="CJ42" i="49"/>
  <c r="CK42" i="49"/>
  <c r="CL42" i="49"/>
  <c r="CM42" i="49"/>
  <c r="CN42" i="49"/>
  <c r="CP42" i="49"/>
  <c r="CQ42" i="49"/>
  <c r="CR42" i="49"/>
  <c r="CS42" i="49"/>
  <c r="CT42" i="49"/>
  <c r="CU42" i="49"/>
  <c r="CV42" i="49"/>
  <c r="CW42" i="49"/>
  <c r="CX42" i="49"/>
  <c r="CY42" i="49"/>
  <c r="DA42" i="49"/>
  <c r="J43" i="49"/>
  <c r="K43" i="49"/>
  <c r="L43" i="49"/>
  <c r="M43" i="49"/>
  <c r="N43" i="49"/>
  <c r="O43" i="49"/>
  <c r="P43" i="49"/>
  <c r="Q43" i="49"/>
  <c r="R43" i="49"/>
  <c r="S43" i="49"/>
  <c r="T43" i="49"/>
  <c r="U43" i="49"/>
  <c r="V43" i="49"/>
  <c r="W43" i="49"/>
  <c r="X43" i="49"/>
  <c r="Y43" i="49"/>
  <c r="Z43" i="49"/>
  <c r="AA43" i="49"/>
  <c r="AB43" i="49"/>
  <c r="AC43" i="49"/>
  <c r="AD43" i="49"/>
  <c r="AE43" i="49"/>
  <c r="AF43" i="49"/>
  <c r="AG43" i="49"/>
  <c r="AH43" i="49"/>
  <c r="AI43" i="49"/>
  <c r="AJ43" i="49"/>
  <c r="AK43" i="49"/>
  <c r="AL43" i="49"/>
  <c r="AM43" i="49"/>
  <c r="AN43" i="49"/>
  <c r="AO43" i="49"/>
  <c r="AP43" i="49"/>
  <c r="AQ43" i="49"/>
  <c r="AR43" i="49"/>
  <c r="AS43" i="49"/>
  <c r="AT43" i="49"/>
  <c r="AU43" i="49"/>
  <c r="AV43" i="49"/>
  <c r="AW43" i="49"/>
  <c r="AX43" i="49"/>
  <c r="AY43" i="49"/>
  <c r="AZ43" i="49"/>
  <c r="BA43" i="49"/>
  <c r="BB43" i="49"/>
  <c r="BC43" i="49"/>
  <c r="BD43" i="49"/>
  <c r="BE43" i="49"/>
  <c r="BF43" i="49"/>
  <c r="BG43" i="49"/>
  <c r="BH43" i="49"/>
  <c r="BI43" i="49"/>
  <c r="BJ43" i="49"/>
  <c r="BK43" i="49"/>
  <c r="BL43" i="49"/>
  <c r="BM43" i="49"/>
  <c r="BN43" i="49"/>
  <c r="BO43" i="49"/>
  <c r="BP43" i="49"/>
  <c r="BQ43" i="49"/>
  <c r="BR43" i="49"/>
  <c r="BS43" i="49"/>
  <c r="BT43" i="49"/>
  <c r="BU43" i="49"/>
  <c r="BV43" i="49"/>
  <c r="BW43" i="49"/>
  <c r="BX43" i="49"/>
  <c r="BY43" i="49"/>
  <c r="BZ43" i="49"/>
  <c r="CA43" i="49"/>
  <c r="CB43" i="49"/>
  <c r="CC43" i="49"/>
  <c r="CD43" i="49"/>
  <c r="CE43" i="49"/>
  <c r="CF43" i="49"/>
  <c r="CG43" i="49"/>
  <c r="CH43" i="49"/>
  <c r="CI43" i="49"/>
  <c r="CJ43" i="49"/>
  <c r="CK43" i="49"/>
  <c r="CL43" i="49"/>
  <c r="CM43" i="49"/>
  <c r="CN43" i="49"/>
  <c r="CO43" i="49"/>
  <c r="CP43" i="49"/>
  <c r="CR43" i="49"/>
  <c r="CS43" i="49"/>
  <c r="CT43" i="49"/>
  <c r="CU43" i="49"/>
  <c r="CV43" i="49"/>
  <c r="CW43" i="49"/>
  <c r="CX43" i="49"/>
  <c r="CY43" i="49"/>
  <c r="DA43" i="49"/>
  <c r="J44" i="49"/>
  <c r="K44" i="49"/>
  <c r="L44" i="49"/>
  <c r="M44" i="49"/>
  <c r="N44" i="49"/>
  <c r="O44" i="49"/>
  <c r="P44" i="49"/>
  <c r="Q44" i="49"/>
  <c r="R44" i="49"/>
  <c r="S44" i="49"/>
  <c r="T44" i="49"/>
  <c r="U44" i="49"/>
  <c r="V44" i="49"/>
  <c r="W44" i="49"/>
  <c r="X44" i="49"/>
  <c r="Y44" i="49"/>
  <c r="Z44" i="49"/>
  <c r="AA44" i="49"/>
  <c r="AB44" i="49"/>
  <c r="AC44" i="49"/>
  <c r="AD44" i="49"/>
  <c r="AE44" i="49"/>
  <c r="AF44" i="49"/>
  <c r="AG44" i="49"/>
  <c r="AH44" i="49"/>
  <c r="AI44" i="49"/>
  <c r="AJ44" i="49"/>
  <c r="AK44" i="49"/>
  <c r="AL44" i="49"/>
  <c r="AM44" i="49"/>
  <c r="AN44" i="49"/>
  <c r="AO44" i="49"/>
  <c r="AP44" i="49"/>
  <c r="AQ44" i="49"/>
  <c r="AR44" i="49"/>
  <c r="AS44" i="49"/>
  <c r="AT44" i="49"/>
  <c r="AU44" i="49"/>
  <c r="AV44" i="49"/>
  <c r="AW44" i="49"/>
  <c r="AX44" i="49"/>
  <c r="AY44" i="49"/>
  <c r="AZ44" i="49"/>
  <c r="BA44" i="49"/>
  <c r="BB44" i="49"/>
  <c r="BC44" i="49"/>
  <c r="BD44" i="49"/>
  <c r="BE44" i="49"/>
  <c r="BF44" i="49"/>
  <c r="BG44" i="49"/>
  <c r="BH44" i="49"/>
  <c r="BI44" i="49"/>
  <c r="BJ44" i="49"/>
  <c r="BK44" i="49"/>
  <c r="BL44" i="49"/>
  <c r="BM44" i="49"/>
  <c r="BN44" i="49"/>
  <c r="BO44" i="49"/>
  <c r="BP44" i="49"/>
  <c r="BQ44" i="49"/>
  <c r="BR44" i="49"/>
  <c r="BS44" i="49"/>
  <c r="BT44" i="49"/>
  <c r="BU44" i="49"/>
  <c r="BV44" i="49"/>
  <c r="BW44" i="49"/>
  <c r="BX44" i="49"/>
  <c r="BY44" i="49"/>
  <c r="BZ44" i="49"/>
  <c r="CA44" i="49"/>
  <c r="CB44" i="49"/>
  <c r="CC44" i="49"/>
  <c r="CD44" i="49"/>
  <c r="CE44" i="49"/>
  <c r="CF44" i="49"/>
  <c r="CG44" i="49"/>
  <c r="CH44" i="49"/>
  <c r="CI44" i="49"/>
  <c r="CJ44" i="49"/>
  <c r="CK44" i="49"/>
  <c r="CL44" i="49"/>
  <c r="CM44" i="49"/>
  <c r="CN44" i="49"/>
  <c r="CO44" i="49"/>
  <c r="CP44" i="49"/>
  <c r="CQ44" i="49"/>
  <c r="CR44" i="49"/>
  <c r="CT44" i="49"/>
  <c r="CU44" i="49"/>
  <c r="CV44" i="49"/>
  <c r="CW44" i="49"/>
  <c r="CX44" i="49"/>
  <c r="CY44" i="49"/>
  <c r="DA44" i="49"/>
  <c r="J45" i="49"/>
  <c r="K45" i="49"/>
  <c r="L45" i="49"/>
  <c r="M45" i="49"/>
  <c r="N45" i="49"/>
  <c r="O45" i="49"/>
  <c r="P45" i="49"/>
  <c r="Q45" i="49"/>
  <c r="R45" i="49"/>
  <c r="S45" i="49"/>
  <c r="T45" i="49"/>
  <c r="U45" i="49"/>
  <c r="V45" i="49"/>
  <c r="W45" i="49"/>
  <c r="X45" i="49"/>
  <c r="Y45" i="49"/>
  <c r="Z45" i="49"/>
  <c r="AA45" i="49"/>
  <c r="AB45" i="49"/>
  <c r="AC45" i="49"/>
  <c r="AD45" i="49"/>
  <c r="AE45" i="49"/>
  <c r="AF45" i="49"/>
  <c r="AG45" i="49"/>
  <c r="AH45" i="49"/>
  <c r="AI45" i="49"/>
  <c r="AJ45" i="49"/>
  <c r="AK45" i="49"/>
  <c r="AL45" i="49"/>
  <c r="AM45" i="49"/>
  <c r="AN45" i="49"/>
  <c r="AO45" i="49"/>
  <c r="AP45" i="49"/>
  <c r="AQ45" i="49"/>
  <c r="AR45" i="49"/>
  <c r="AS45" i="49"/>
  <c r="AT45" i="49"/>
  <c r="AU45" i="49"/>
  <c r="AV45" i="49"/>
  <c r="AW45" i="49"/>
  <c r="AX45" i="49"/>
  <c r="AY45" i="49"/>
  <c r="AZ45" i="49"/>
  <c r="BA45" i="49"/>
  <c r="BB45" i="49"/>
  <c r="BC45" i="49"/>
  <c r="BD45" i="49"/>
  <c r="BE45" i="49"/>
  <c r="BF45" i="49"/>
  <c r="BG45" i="49"/>
  <c r="BH45" i="49"/>
  <c r="BI45" i="49"/>
  <c r="BJ45" i="49"/>
  <c r="BK45" i="49"/>
  <c r="BL45" i="49"/>
  <c r="BM45" i="49"/>
  <c r="BN45" i="49"/>
  <c r="BO45" i="49"/>
  <c r="BP45" i="49"/>
  <c r="BQ45" i="49"/>
  <c r="BR45" i="49"/>
  <c r="BS45" i="49"/>
  <c r="BT45" i="49"/>
  <c r="BU45" i="49"/>
  <c r="BV45" i="49"/>
  <c r="BW45" i="49"/>
  <c r="BX45" i="49"/>
  <c r="BY45" i="49"/>
  <c r="BZ45" i="49"/>
  <c r="CA45" i="49"/>
  <c r="CB45" i="49"/>
  <c r="CC45" i="49"/>
  <c r="CD45" i="49"/>
  <c r="CE45" i="49"/>
  <c r="CF45" i="49"/>
  <c r="CG45" i="49"/>
  <c r="CH45" i="49"/>
  <c r="CI45" i="49"/>
  <c r="CJ45" i="49"/>
  <c r="CK45" i="49"/>
  <c r="CL45" i="49"/>
  <c r="CM45" i="49"/>
  <c r="CN45" i="49"/>
  <c r="CO45" i="49"/>
  <c r="CP45" i="49"/>
  <c r="CQ45" i="49"/>
  <c r="CR45" i="49"/>
  <c r="CS45" i="49"/>
  <c r="CT45" i="49"/>
  <c r="CU45" i="49"/>
  <c r="CV45" i="49"/>
  <c r="CW45" i="49"/>
  <c r="CX45" i="49"/>
  <c r="CY45" i="49"/>
  <c r="CZ45" i="49"/>
  <c r="DA45" i="49"/>
  <c r="J46" i="49"/>
  <c r="K46" i="49"/>
  <c r="L46" i="49"/>
  <c r="M46" i="49"/>
  <c r="N46" i="49"/>
  <c r="O46" i="49"/>
  <c r="P46" i="49"/>
  <c r="Q46" i="49"/>
  <c r="R46" i="49"/>
  <c r="S46" i="49"/>
  <c r="T46" i="49"/>
  <c r="U46" i="49"/>
  <c r="V46" i="49"/>
  <c r="W46" i="49"/>
  <c r="X46" i="49"/>
  <c r="Y46" i="49"/>
  <c r="Z46" i="49"/>
  <c r="AA46" i="49"/>
  <c r="AB46" i="49"/>
  <c r="AC46" i="49"/>
  <c r="AD46" i="49"/>
  <c r="AE46" i="49"/>
  <c r="AF46" i="49"/>
  <c r="AG46" i="49"/>
  <c r="AH46" i="49"/>
  <c r="AI46" i="49"/>
  <c r="AJ46" i="49"/>
  <c r="AK46" i="49"/>
  <c r="AL46" i="49"/>
  <c r="AM46" i="49"/>
  <c r="AN46" i="49"/>
  <c r="AO46" i="49"/>
  <c r="AP46" i="49"/>
  <c r="AQ46" i="49"/>
  <c r="AR46" i="49"/>
  <c r="AS46" i="49"/>
  <c r="AT46" i="49"/>
  <c r="AU46" i="49"/>
  <c r="AV46" i="49"/>
  <c r="AW46" i="49"/>
  <c r="AX46" i="49"/>
  <c r="AY46" i="49"/>
  <c r="AZ46" i="49"/>
  <c r="BA46" i="49"/>
  <c r="BB46" i="49"/>
  <c r="BC46" i="49"/>
  <c r="BD46" i="49"/>
  <c r="BE46" i="49"/>
  <c r="BF46" i="49"/>
  <c r="BG46" i="49"/>
  <c r="BH46" i="49"/>
  <c r="BI46" i="49"/>
  <c r="BJ46" i="49"/>
  <c r="BK46" i="49"/>
  <c r="BL46" i="49"/>
  <c r="BM46" i="49"/>
  <c r="BN46" i="49"/>
  <c r="BO46" i="49"/>
  <c r="BP46" i="49"/>
  <c r="BQ46" i="49"/>
  <c r="BR46" i="49"/>
  <c r="BS46" i="49"/>
  <c r="BT46" i="49"/>
  <c r="BU46" i="49"/>
  <c r="BV46" i="49"/>
  <c r="BW46" i="49"/>
  <c r="BX46" i="49"/>
  <c r="BY46" i="49"/>
  <c r="BZ46" i="49"/>
  <c r="CA46" i="49"/>
  <c r="CB46" i="49"/>
  <c r="CC46" i="49"/>
  <c r="CD46" i="49"/>
  <c r="CE46" i="49"/>
  <c r="CF46" i="49"/>
  <c r="CG46" i="49"/>
  <c r="CI46" i="49"/>
  <c r="CJ46" i="49"/>
  <c r="CK46" i="49"/>
  <c r="CL46" i="49"/>
  <c r="CM46" i="49"/>
  <c r="CN46" i="49"/>
  <c r="CO46" i="49"/>
  <c r="CP46" i="49"/>
  <c r="CQ46" i="49"/>
  <c r="CR46" i="49"/>
  <c r="CS46" i="49"/>
  <c r="CT46" i="49"/>
  <c r="CU46" i="49"/>
  <c r="CV46" i="49"/>
  <c r="CW46" i="49"/>
  <c r="CX46" i="49"/>
  <c r="CY46" i="49"/>
  <c r="CZ46" i="49"/>
  <c r="J47" i="49"/>
  <c r="K47" i="49"/>
  <c r="L47" i="49"/>
  <c r="M47" i="49"/>
  <c r="N47" i="49"/>
  <c r="O47" i="49"/>
  <c r="P47" i="49"/>
  <c r="Q47" i="49"/>
  <c r="R47" i="49"/>
  <c r="S47" i="49"/>
  <c r="T47" i="49"/>
  <c r="U47" i="49"/>
  <c r="V47" i="49"/>
  <c r="W47" i="49"/>
  <c r="X47" i="49"/>
  <c r="Y47" i="49"/>
  <c r="Z47" i="49"/>
  <c r="AA47" i="49"/>
  <c r="AB47" i="49"/>
  <c r="AC47" i="49"/>
  <c r="AD47" i="49"/>
  <c r="AE47" i="49"/>
  <c r="AF47" i="49"/>
  <c r="AG47" i="49"/>
  <c r="AH47" i="49"/>
  <c r="AI47" i="49"/>
  <c r="AJ47" i="49"/>
  <c r="AK47" i="49"/>
  <c r="AL47" i="49"/>
  <c r="AM47" i="49"/>
  <c r="AN47" i="49"/>
  <c r="AO47" i="49"/>
  <c r="AP47" i="49"/>
  <c r="AQ47" i="49"/>
  <c r="AR47" i="49"/>
  <c r="AS47" i="49"/>
  <c r="AT47" i="49"/>
  <c r="AU47" i="49"/>
  <c r="AV47" i="49"/>
  <c r="AW47" i="49"/>
  <c r="AX47" i="49"/>
  <c r="AY47" i="49"/>
  <c r="AZ47" i="49"/>
  <c r="BA47" i="49"/>
  <c r="BB47" i="49"/>
  <c r="BC47" i="49"/>
  <c r="BD47" i="49"/>
  <c r="BE47" i="49"/>
  <c r="BF47" i="49"/>
  <c r="BG47" i="49"/>
  <c r="BH47" i="49"/>
  <c r="BI47" i="49"/>
  <c r="BJ47" i="49"/>
  <c r="BK47" i="49"/>
  <c r="BL47" i="49"/>
  <c r="BM47" i="49"/>
  <c r="BN47" i="49"/>
  <c r="BO47" i="49"/>
  <c r="BP47" i="49"/>
  <c r="BQ47" i="49"/>
  <c r="BR47" i="49"/>
  <c r="BS47" i="49"/>
  <c r="BT47" i="49"/>
  <c r="BU47" i="49"/>
  <c r="BV47" i="49"/>
  <c r="BW47" i="49"/>
  <c r="BX47" i="49"/>
  <c r="BY47" i="49"/>
  <c r="BZ47" i="49"/>
  <c r="CA47" i="49"/>
  <c r="CB47" i="49"/>
  <c r="CC47" i="49"/>
  <c r="CE47" i="49"/>
  <c r="CF47" i="49"/>
  <c r="CG47" i="49"/>
  <c r="CH47" i="49"/>
  <c r="CI47" i="49"/>
  <c r="CJ47" i="49"/>
  <c r="CK47" i="49"/>
  <c r="CL47" i="49"/>
  <c r="CM47" i="49"/>
  <c r="CN47" i="49"/>
  <c r="CO47" i="49"/>
  <c r="CP47" i="49"/>
  <c r="CQ47" i="49"/>
  <c r="CR47" i="49"/>
  <c r="CS47" i="49"/>
  <c r="CT47" i="49"/>
  <c r="CU47" i="49"/>
  <c r="CV47" i="49"/>
  <c r="CW47" i="49"/>
  <c r="CX47" i="49"/>
  <c r="CY47" i="49"/>
  <c r="CZ47" i="49"/>
  <c r="J48" i="49"/>
  <c r="K48" i="49"/>
  <c r="L48" i="49"/>
  <c r="M48" i="49"/>
  <c r="N48" i="49"/>
  <c r="O48" i="49"/>
  <c r="P48" i="49"/>
  <c r="Q48" i="49"/>
  <c r="R48" i="49"/>
  <c r="S48" i="49"/>
  <c r="T48" i="49"/>
  <c r="U48" i="49"/>
  <c r="V48" i="49"/>
  <c r="W48" i="49"/>
  <c r="X48" i="49"/>
  <c r="Y48" i="49"/>
  <c r="Z48" i="49"/>
  <c r="AA48" i="49"/>
  <c r="AB48" i="49"/>
  <c r="AC48" i="49"/>
  <c r="AD48" i="49"/>
  <c r="AE48" i="49"/>
  <c r="AF48" i="49"/>
  <c r="AG48" i="49"/>
  <c r="AH48" i="49"/>
  <c r="AI48" i="49"/>
  <c r="AJ48" i="49"/>
  <c r="AK48" i="49"/>
  <c r="AL48" i="49"/>
  <c r="AM48" i="49"/>
  <c r="AN48" i="49"/>
  <c r="AO48" i="49"/>
  <c r="AP48" i="49"/>
  <c r="AQ48" i="49"/>
  <c r="AR48" i="49"/>
  <c r="AS48" i="49"/>
  <c r="AT48" i="49"/>
  <c r="AU48" i="49"/>
  <c r="AV48" i="49"/>
  <c r="AW48" i="49"/>
  <c r="AX48" i="49"/>
  <c r="AY48" i="49"/>
  <c r="AZ48" i="49"/>
  <c r="BA48" i="49"/>
  <c r="BB48" i="49"/>
  <c r="BC48" i="49"/>
  <c r="BD48" i="49"/>
  <c r="BE48" i="49"/>
  <c r="BF48" i="49"/>
  <c r="BG48" i="49"/>
  <c r="BH48" i="49"/>
  <c r="BI48" i="49"/>
  <c r="BJ48" i="49"/>
  <c r="BK48" i="49"/>
  <c r="BL48" i="49"/>
  <c r="BM48" i="49"/>
  <c r="BN48" i="49"/>
  <c r="BO48" i="49"/>
  <c r="BP48" i="49"/>
  <c r="BQ48" i="49"/>
  <c r="BR48" i="49"/>
  <c r="BS48" i="49"/>
  <c r="BT48" i="49"/>
  <c r="BU48" i="49"/>
  <c r="BV48" i="49"/>
  <c r="BW48" i="49"/>
  <c r="BX48" i="49"/>
  <c r="BY48" i="49"/>
  <c r="BZ48" i="49"/>
  <c r="CA48" i="49"/>
  <c r="CB48" i="49"/>
  <c r="CC48" i="49"/>
  <c r="CD48" i="49"/>
  <c r="CE48" i="49"/>
  <c r="CG48" i="49"/>
  <c r="CH48" i="49"/>
  <c r="CI48" i="49"/>
  <c r="CJ48" i="49"/>
  <c r="CK48" i="49"/>
  <c r="CL48" i="49"/>
  <c r="CM48" i="49"/>
  <c r="CN48" i="49"/>
  <c r="CO48" i="49"/>
  <c r="CP48" i="49"/>
  <c r="CQ48" i="49"/>
  <c r="CR48" i="49"/>
  <c r="CS48" i="49"/>
  <c r="CT48" i="49"/>
  <c r="CU48" i="49"/>
  <c r="CV48" i="49"/>
  <c r="CW48" i="49"/>
  <c r="CX48" i="49"/>
  <c r="CY48" i="49"/>
  <c r="CZ48" i="49"/>
  <c r="J49" i="49"/>
  <c r="K49" i="49"/>
  <c r="L49" i="49"/>
  <c r="M49" i="49"/>
  <c r="N49" i="49"/>
  <c r="O49" i="49"/>
  <c r="P49" i="49"/>
  <c r="Q49" i="49"/>
  <c r="R49" i="49"/>
  <c r="S49" i="49"/>
  <c r="T49" i="49"/>
  <c r="U49" i="49"/>
  <c r="V49" i="49"/>
  <c r="W49" i="49"/>
  <c r="X49" i="49"/>
  <c r="Y49" i="49"/>
  <c r="Z49" i="49"/>
  <c r="AA49" i="49"/>
  <c r="AB49" i="49"/>
  <c r="AC49" i="49"/>
  <c r="AD49" i="49"/>
  <c r="AE49" i="49"/>
  <c r="AF49" i="49"/>
  <c r="AG49" i="49"/>
  <c r="AH49" i="49"/>
  <c r="AI49" i="49"/>
  <c r="AJ49" i="49"/>
  <c r="AK49" i="49"/>
  <c r="AL49" i="49"/>
  <c r="AM49" i="49"/>
  <c r="AN49" i="49"/>
  <c r="AO49" i="49"/>
  <c r="AP49" i="49"/>
  <c r="AQ49" i="49"/>
  <c r="AR49" i="49"/>
  <c r="AS49" i="49"/>
  <c r="AT49" i="49"/>
  <c r="AU49" i="49"/>
  <c r="AV49" i="49"/>
  <c r="AW49" i="49"/>
  <c r="AX49" i="49"/>
  <c r="AY49" i="49"/>
  <c r="AZ49" i="49"/>
  <c r="BA49" i="49"/>
  <c r="BB49" i="49"/>
  <c r="BC49" i="49"/>
  <c r="BD49" i="49"/>
  <c r="BE49" i="49"/>
  <c r="BF49" i="49"/>
  <c r="BG49" i="49"/>
  <c r="BH49" i="49"/>
  <c r="BI49" i="49"/>
  <c r="BJ49" i="49"/>
  <c r="BK49" i="49"/>
  <c r="BL49" i="49"/>
  <c r="BM49" i="49"/>
  <c r="BN49" i="49"/>
  <c r="BO49" i="49"/>
  <c r="BP49" i="49"/>
  <c r="BQ49" i="49"/>
  <c r="BR49" i="49"/>
  <c r="BS49" i="49"/>
  <c r="BT49" i="49"/>
  <c r="BU49" i="49"/>
  <c r="BV49" i="49"/>
  <c r="BW49" i="49"/>
  <c r="BX49" i="49"/>
  <c r="BY49" i="49"/>
  <c r="BZ49" i="49"/>
  <c r="CA49" i="49"/>
  <c r="CB49" i="49"/>
  <c r="CC49" i="49"/>
  <c r="CD49" i="49"/>
  <c r="CE49" i="49"/>
  <c r="CF49" i="49"/>
  <c r="CG49" i="49"/>
  <c r="CH49" i="49"/>
  <c r="CI49" i="49"/>
  <c r="CJ49" i="49"/>
  <c r="CK49" i="49"/>
  <c r="CL49" i="49"/>
  <c r="CM49" i="49"/>
  <c r="CN49" i="49"/>
  <c r="CO49" i="49"/>
  <c r="CP49" i="49"/>
  <c r="CQ49" i="49"/>
  <c r="CR49" i="49"/>
  <c r="CS49" i="49"/>
  <c r="CU49" i="49"/>
  <c r="CV49" i="49"/>
  <c r="CW49" i="49"/>
  <c r="CX49" i="49"/>
  <c r="CY49" i="49"/>
  <c r="CZ49" i="49"/>
  <c r="J50" i="49"/>
  <c r="K50" i="49"/>
  <c r="L50" i="49"/>
  <c r="M50" i="49"/>
  <c r="N50" i="49"/>
  <c r="O50" i="49"/>
  <c r="P50" i="49"/>
  <c r="Q50" i="49"/>
  <c r="R50" i="49"/>
  <c r="S50" i="49"/>
  <c r="T50" i="49"/>
  <c r="U50" i="49"/>
  <c r="V50" i="49"/>
  <c r="W50" i="49"/>
  <c r="X50" i="49"/>
  <c r="Y50" i="49"/>
  <c r="Z50" i="49"/>
  <c r="AA50" i="49"/>
  <c r="AB50" i="49"/>
  <c r="AC50" i="49"/>
  <c r="AD50" i="49"/>
  <c r="AE50" i="49"/>
  <c r="AF50" i="49"/>
  <c r="AG50" i="49"/>
  <c r="AH50" i="49"/>
  <c r="AI50" i="49"/>
  <c r="AJ50" i="49"/>
  <c r="AK50" i="49"/>
  <c r="AL50" i="49"/>
  <c r="AM50" i="49"/>
  <c r="AN50" i="49"/>
  <c r="AO50" i="49"/>
  <c r="AP50" i="49"/>
  <c r="AQ50" i="49"/>
  <c r="AR50" i="49"/>
  <c r="AS50" i="49"/>
  <c r="AT50" i="49"/>
  <c r="AU50" i="49"/>
  <c r="AV50" i="49"/>
  <c r="AW50" i="49"/>
  <c r="AX50" i="49"/>
  <c r="AY50" i="49"/>
  <c r="AZ50" i="49"/>
  <c r="BA50" i="49"/>
  <c r="BB50" i="49"/>
  <c r="BC50" i="49"/>
  <c r="BD50" i="49"/>
  <c r="BE50" i="49"/>
  <c r="BF50" i="49"/>
  <c r="BG50" i="49"/>
  <c r="BH50" i="49"/>
  <c r="BI50" i="49"/>
  <c r="BJ50" i="49"/>
  <c r="BK50" i="49"/>
  <c r="BL50" i="49"/>
  <c r="BM50" i="49"/>
  <c r="BN50" i="49"/>
  <c r="BO50" i="49"/>
  <c r="BP50" i="49"/>
  <c r="BQ50" i="49"/>
  <c r="BR50" i="49"/>
  <c r="BS50" i="49"/>
  <c r="BT50" i="49"/>
  <c r="BU50" i="49"/>
  <c r="BV50" i="49"/>
  <c r="BW50" i="49"/>
  <c r="BX50" i="49"/>
  <c r="BY50" i="49"/>
  <c r="BZ50" i="49"/>
  <c r="CA50" i="49"/>
  <c r="CB50" i="49"/>
  <c r="CC50" i="49"/>
  <c r="CD50" i="49"/>
  <c r="CE50" i="49"/>
  <c r="CF50" i="49"/>
  <c r="CG50" i="49"/>
  <c r="CH50" i="49"/>
  <c r="CI50" i="49"/>
  <c r="CJ50" i="49"/>
  <c r="CK50" i="49"/>
  <c r="CL50" i="49"/>
  <c r="CM50" i="49"/>
  <c r="CN50" i="49"/>
  <c r="CO50" i="49"/>
  <c r="CP50" i="49"/>
  <c r="CQ50" i="49"/>
  <c r="CR50" i="49"/>
  <c r="CS50" i="49"/>
  <c r="CT50" i="49"/>
  <c r="CU50" i="49"/>
  <c r="CV50" i="49"/>
  <c r="CX50" i="49"/>
  <c r="CY50" i="49"/>
  <c r="DA50" i="49"/>
  <c r="J51" i="49"/>
  <c r="K51" i="49"/>
  <c r="L51" i="49"/>
  <c r="M51" i="49"/>
  <c r="N51" i="49"/>
  <c r="O51" i="49"/>
  <c r="P51" i="49"/>
  <c r="Q51" i="49"/>
  <c r="R51" i="49"/>
  <c r="S51" i="49"/>
  <c r="T51" i="49"/>
  <c r="U51" i="49"/>
  <c r="V51" i="49"/>
  <c r="W51" i="49"/>
  <c r="X51" i="49"/>
  <c r="Y51" i="49"/>
  <c r="Z51" i="49"/>
  <c r="AA51" i="49"/>
  <c r="AB51" i="49"/>
  <c r="AC51" i="49"/>
  <c r="AD51" i="49"/>
  <c r="AE51" i="49"/>
  <c r="AF51" i="49"/>
  <c r="AG51" i="49"/>
  <c r="AH51" i="49"/>
  <c r="AI51" i="49"/>
  <c r="AJ51" i="49"/>
  <c r="AK51" i="49"/>
  <c r="AL51" i="49"/>
  <c r="AM51" i="49"/>
  <c r="AN51" i="49"/>
  <c r="AO51" i="49"/>
  <c r="AP51" i="49"/>
  <c r="AQ51" i="49"/>
  <c r="AR51" i="49"/>
  <c r="AS51" i="49"/>
  <c r="AT51" i="49"/>
  <c r="AU51" i="49"/>
  <c r="AV51" i="49"/>
  <c r="AW51" i="49"/>
  <c r="AX51" i="49"/>
  <c r="AY51" i="49"/>
  <c r="AZ51" i="49"/>
  <c r="BA51" i="49"/>
  <c r="BB51" i="49"/>
  <c r="BC51" i="49"/>
  <c r="BD51" i="49"/>
  <c r="BE51" i="49"/>
  <c r="BF51" i="49"/>
  <c r="BG51" i="49"/>
  <c r="BH51" i="49"/>
  <c r="BI51" i="49"/>
  <c r="BJ51" i="49"/>
  <c r="BK51" i="49"/>
  <c r="BL51" i="49"/>
  <c r="BM51" i="49"/>
  <c r="BN51" i="49"/>
  <c r="BO51" i="49"/>
  <c r="BP51" i="49"/>
  <c r="BQ51" i="49"/>
  <c r="BR51" i="49"/>
  <c r="BS51" i="49"/>
  <c r="BT51" i="49"/>
  <c r="BU51" i="49"/>
  <c r="BV51" i="49"/>
  <c r="BW51" i="49"/>
  <c r="BX51" i="49"/>
  <c r="BY51" i="49"/>
  <c r="BZ51" i="49"/>
  <c r="CA51" i="49"/>
  <c r="CB51" i="49"/>
  <c r="CC51" i="49"/>
  <c r="CD51" i="49"/>
  <c r="CE51" i="49"/>
  <c r="CF51" i="49"/>
  <c r="CG51" i="49"/>
  <c r="CH51" i="49"/>
  <c r="CI51" i="49"/>
  <c r="CJ51" i="49"/>
  <c r="CK51" i="49"/>
  <c r="CL51" i="49"/>
  <c r="CM51" i="49"/>
  <c r="CN51" i="49"/>
  <c r="CO51" i="49"/>
  <c r="CP51" i="49"/>
  <c r="CQ51" i="49"/>
  <c r="CR51" i="49"/>
  <c r="CS51" i="49"/>
  <c r="CT51" i="49"/>
  <c r="CU51" i="49"/>
  <c r="CV51" i="49"/>
  <c r="CW51" i="49"/>
  <c r="CX51" i="49"/>
  <c r="CY51" i="49"/>
  <c r="CZ51" i="49"/>
  <c r="DA51" i="49"/>
  <c r="A10" i="49" a="1"/>
  <c r="A10" i="49" s="1"/>
  <c r="G24" i="68" l="1"/>
  <c r="H24" i="68" s="1"/>
  <c r="F25" i="68" s="1"/>
  <c r="G25" i="68" l="1"/>
  <c r="H25" i="68" s="1"/>
  <c r="F26" i="68" s="1"/>
  <c r="G26" i="68" l="1"/>
  <c r="H26" i="68" s="1"/>
  <c r="F27" i="68" s="1"/>
  <c r="G27" i="68" l="1"/>
  <c r="H27" i="68" s="1"/>
  <c r="F28" i="68" l="1"/>
  <c r="G28" i="68" l="1"/>
  <c r="U10" i="34"/>
  <c r="V10" i="34"/>
  <c r="T10" i="34"/>
  <c r="I6" i="43"/>
  <c r="U5667" i="34" l="1"/>
  <c r="T5667" i="34"/>
  <c r="V5665" i="34"/>
  <c r="U5663" i="34"/>
  <c r="T5663" i="34"/>
  <c r="V5661" i="34"/>
  <c r="T5666" i="34"/>
  <c r="V5666" i="34"/>
  <c r="U5662" i="34"/>
  <c r="U5664" i="34"/>
  <c r="T5660" i="34"/>
  <c r="V5660" i="34"/>
  <c r="V5667" i="34"/>
  <c r="U5665" i="34"/>
  <c r="T5665" i="34"/>
  <c r="V5663" i="34"/>
  <c r="U5661" i="34"/>
  <c r="T5661" i="34"/>
  <c r="U5666" i="34"/>
  <c r="T5662" i="34"/>
  <c r="V5662" i="34"/>
  <c r="T5664" i="34"/>
  <c r="V5664" i="34"/>
  <c r="U5660" i="34"/>
  <c r="U5424" i="34"/>
  <c r="T5424" i="34"/>
  <c r="V5422" i="34"/>
  <c r="U5320" i="34"/>
  <c r="U5425" i="34"/>
  <c r="T5423" i="34"/>
  <c r="V5423" i="34"/>
  <c r="V5424" i="34"/>
  <c r="U5422" i="34"/>
  <c r="T5422" i="34"/>
  <c r="T5320" i="34"/>
  <c r="V5320" i="34"/>
  <c r="T5425" i="34"/>
  <c r="V5425" i="34"/>
  <c r="U5423" i="34"/>
  <c r="V5373" i="34"/>
  <c r="U5383" i="34"/>
  <c r="U5373" i="34"/>
  <c r="T5373" i="34"/>
  <c r="T5383" i="34"/>
  <c r="V5383" i="34"/>
  <c r="V5561" i="34"/>
  <c r="U5094" i="34"/>
  <c r="T5094" i="34"/>
  <c r="U5111" i="34"/>
  <c r="T4971" i="34"/>
  <c r="V4971" i="34"/>
  <c r="U4967" i="34"/>
  <c r="T4954" i="34"/>
  <c r="V4954" i="34"/>
  <c r="V4970" i="34"/>
  <c r="U4966" i="34"/>
  <c r="T4966" i="34"/>
  <c r="V4953" i="34"/>
  <c r="T5111" i="34"/>
  <c r="T4969" i="34"/>
  <c r="V4969" i="34"/>
  <c r="U4965" i="34"/>
  <c r="T4952" i="34"/>
  <c r="V4952" i="34"/>
  <c r="U4968" i="34"/>
  <c r="T4968" i="34"/>
  <c r="V4964" i="34"/>
  <c r="T4837" i="34"/>
  <c r="V4837" i="34"/>
  <c r="U5561" i="34"/>
  <c r="T5561" i="34"/>
  <c r="V5094" i="34"/>
  <c r="V5111" i="34"/>
  <c r="U4971" i="34"/>
  <c r="T4967" i="34"/>
  <c r="V4967" i="34"/>
  <c r="U4954" i="34"/>
  <c r="U4970" i="34"/>
  <c r="T4970" i="34"/>
  <c r="V4966" i="34"/>
  <c r="U4953" i="34"/>
  <c r="T4953" i="34"/>
  <c r="U4969" i="34"/>
  <c r="T4965" i="34"/>
  <c r="V4965" i="34"/>
  <c r="U4952" i="34"/>
  <c r="V4968" i="34"/>
  <c r="U4964" i="34"/>
  <c r="T4964" i="34"/>
  <c r="U4837" i="34"/>
  <c r="U3666" i="34"/>
  <c r="T3666" i="34"/>
  <c r="T3829" i="34"/>
  <c r="V3829" i="34"/>
  <c r="U3840" i="34"/>
  <c r="U4296" i="34"/>
  <c r="T4296" i="34"/>
  <c r="U4332" i="34"/>
  <c r="T4336" i="34"/>
  <c r="V4336" i="34"/>
  <c r="U4649" i="34"/>
  <c r="V3830" i="34"/>
  <c r="U3843" i="34"/>
  <c r="T3843" i="34"/>
  <c r="V4329" i="34"/>
  <c r="U4333" i="34"/>
  <c r="T4333" i="34"/>
  <c r="V2482" i="34"/>
  <c r="U3831" i="34"/>
  <c r="T3911" i="34"/>
  <c r="V3911" i="34"/>
  <c r="U4297" i="34"/>
  <c r="T4330" i="34"/>
  <c r="V4330" i="34"/>
  <c r="U4334" i="34"/>
  <c r="U4271" i="34"/>
  <c r="U4331" i="34"/>
  <c r="T4331" i="34"/>
  <c r="V4335" i="34"/>
  <c r="V4765" i="34"/>
  <c r="V4690" i="34"/>
  <c r="U4057" i="34"/>
  <c r="T4057" i="34"/>
  <c r="U4739" i="34"/>
  <c r="U3459" i="34"/>
  <c r="T3459" i="34"/>
  <c r="U3640" i="34"/>
  <c r="T3640" i="34"/>
  <c r="U3832" i="34"/>
  <c r="T3832" i="34"/>
  <c r="T2481" i="34"/>
  <c r="V2481" i="34"/>
  <c r="U2483" i="34"/>
  <c r="T3460" i="34"/>
  <c r="V3460" i="34"/>
  <c r="V3666" i="34"/>
  <c r="U3829" i="34"/>
  <c r="T3840" i="34"/>
  <c r="V3840" i="34"/>
  <c r="V4296" i="34"/>
  <c r="T4332" i="34"/>
  <c r="V4332" i="34"/>
  <c r="U4336" i="34"/>
  <c r="T4649" i="34"/>
  <c r="V4649" i="34"/>
  <c r="U3830" i="34"/>
  <c r="T3830" i="34"/>
  <c r="V3843" i="34"/>
  <c r="U4329" i="34"/>
  <c r="T4329" i="34"/>
  <c r="V4333" i="34"/>
  <c r="U2482" i="34"/>
  <c r="T2482" i="34"/>
  <c r="T3831" i="34"/>
  <c r="V3831" i="34"/>
  <c r="U3911" i="34"/>
  <c r="T4297" i="34"/>
  <c r="V4297" i="34"/>
  <c r="U4330" i="34"/>
  <c r="T4334" i="34"/>
  <c r="V4334" i="34"/>
  <c r="T4271" i="34"/>
  <c r="V4271" i="34"/>
  <c r="V4331" i="34"/>
  <c r="U4335" i="34"/>
  <c r="T4335" i="34"/>
  <c r="U4765" i="34"/>
  <c r="T4765" i="34"/>
  <c r="U4690" i="34"/>
  <c r="T4690" i="34"/>
  <c r="V4057" i="34"/>
  <c r="T4739" i="34"/>
  <c r="V4739" i="34"/>
  <c r="V3459" i="34"/>
  <c r="V3640" i="34"/>
  <c r="V3832" i="34"/>
  <c r="U2481" i="34"/>
  <c r="T2483" i="34"/>
  <c r="V2483" i="34"/>
  <c r="U3460" i="34"/>
  <c r="U4448" i="34"/>
  <c r="T4448" i="34"/>
  <c r="V4448" i="34"/>
  <c r="V4951" i="34"/>
  <c r="U4951" i="34"/>
  <c r="T4951" i="34"/>
  <c r="H28" i="68"/>
  <c r="F29" i="68" s="1"/>
  <c r="G30" i="68"/>
  <c r="E35" i="34"/>
  <c r="E34" i="34"/>
  <c r="E33" i="34"/>
  <c r="E32" i="34"/>
  <c r="E31" i="34"/>
  <c r="D44" i="43" l="1"/>
  <c r="G75" i="43"/>
  <c r="D75" i="43"/>
  <c r="G74" i="43"/>
  <c r="C74" i="43"/>
  <c r="F73" i="43"/>
  <c r="B73" i="43"/>
  <c r="E72" i="43"/>
  <c r="A72" i="43"/>
  <c r="H72" i="43" s="1"/>
  <c r="D71" i="43"/>
  <c r="G70" i="43"/>
  <c r="C70" i="43"/>
  <c r="F69" i="43"/>
  <c r="B69" i="43"/>
  <c r="E68" i="43"/>
  <c r="A68" i="43"/>
  <c r="C75" i="43"/>
  <c r="F74" i="43"/>
  <c r="B74" i="43"/>
  <c r="E73" i="43"/>
  <c r="A73" i="43"/>
  <c r="H73" i="43" s="1"/>
  <c r="D72" i="43"/>
  <c r="G71" i="43"/>
  <c r="C71" i="43"/>
  <c r="F70" i="43"/>
  <c r="B70" i="43"/>
  <c r="E69" i="43"/>
  <c r="A69" i="43"/>
  <c r="D68" i="43"/>
  <c r="F75" i="43"/>
  <c r="B75" i="43"/>
  <c r="E74" i="43"/>
  <c r="A74" i="43"/>
  <c r="H74" i="43" s="1"/>
  <c r="D73" i="43"/>
  <c r="G72" i="43"/>
  <c r="C72" i="43"/>
  <c r="F71" i="43"/>
  <c r="B71" i="43"/>
  <c r="E70" i="43"/>
  <c r="A70" i="43"/>
  <c r="D69" i="43"/>
  <c r="G68" i="43"/>
  <c r="C68" i="43"/>
  <c r="E75" i="43"/>
  <c r="A75" i="43"/>
  <c r="H75" i="43" s="1"/>
  <c r="D74" i="43"/>
  <c r="G73" i="43"/>
  <c r="C73" i="43"/>
  <c r="F72" i="43"/>
  <c r="B72" i="43"/>
  <c r="E71" i="43"/>
  <c r="A71" i="43"/>
  <c r="D70" i="43"/>
  <c r="G69" i="43"/>
  <c r="C69" i="43"/>
  <c r="F68" i="43"/>
  <c r="B68" i="43"/>
  <c r="E67" i="43"/>
  <c r="A67" i="43"/>
  <c r="D66" i="43"/>
  <c r="G65" i="43"/>
  <c r="C65" i="43"/>
  <c r="F64" i="43"/>
  <c r="B64" i="43"/>
  <c r="E63" i="43"/>
  <c r="A63" i="43"/>
  <c r="D62" i="43"/>
  <c r="G61" i="43"/>
  <c r="C61" i="43"/>
  <c r="F60" i="43"/>
  <c r="B60" i="43"/>
  <c r="E59" i="43"/>
  <c r="A59" i="43"/>
  <c r="F67" i="43"/>
  <c r="B67" i="43"/>
  <c r="E66" i="43"/>
  <c r="A66" i="43"/>
  <c r="D65" i="43"/>
  <c r="G64" i="43"/>
  <c r="C64" i="43"/>
  <c r="F63" i="43"/>
  <c r="B63" i="43"/>
  <c r="E62" i="43"/>
  <c r="A62" i="43"/>
  <c r="D61" i="43"/>
  <c r="G60" i="43"/>
  <c r="C60" i="43"/>
  <c r="F59" i="43"/>
  <c r="B59" i="43"/>
  <c r="G67" i="43"/>
  <c r="C67" i="43"/>
  <c r="F66" i="43"/>
  <c r="B66" i="43"/>
  <c r="E65" i="43"/>
  <c r="A65" i="43"/>
  <c r="D64" i="43"/>
  <c r="G63" i="43"/>
  <c r="C63" i="43"/>
  <c r="F62" i="43"/>
  <c r="B62" i="43"/>
  <c r="E61" i="43"/>
  <c r="A61" i="43"/>
  <c r="D60" i="43"/>
  <c r="G59" i="43"/>
  <c r="C59" i="43"/>
  <c r="D67" i="43"/>
  <c r="G66" i="43"/>
  <c r="C66" i="43"/>
  <c r="F65" i="43"/>
  <c r="B65" i="43"/>
  <c r="E64" i="43"/>
  <c r="A64" i="43"/>
  <c r="D63" i="43"/>
  <c r="G62" i="43"/>
  <c r="C62" i="43"/>
  <c r="F61" i="43"/>
  <c r="B61" i="43"/>
  <c r="E60" i="43"/>
  <c r="A60" i="43"/>
  <c r="D59" i="43"/>
  <c r="E58" i="43"/>
  <c r="A58" i="43"/>
  <c r="D57" i="43"/>
  <c r="G56" i="43"/>
  <c r="C56" i="43"/>
  <c r="F55" i="43"/>
  <c r="B55" i="43"/>
  <c r="E54" i="43"/>
  <c r="A54" i="43"/>
  <c r="D53" i="43"/>
  <c r="G52" i="43"/>
  <c r="C52" i="43"/>
  <c r="F51" i="43"/>
  <c r="B51" i="43"/>
  <c r="E50" i="43"/>
  <c r="A50" i="43"/>
  <c r="D49" i="43"/>
  <c r="G48" i="43"/>
  <c r="C48" i="43"/>
  <c r="F47" i="43"/>
  <c r="B47" i="43"/>
  <c r="E46" i="43"/>
  <c r="A46" i="43"/>
  <c r="D45" i="43"/>
  <c r="G44" i="43"/>
  <c r="C44" i="43"/>
  <c r="D58" i="43"/>
  <c r="G57" i="43"/>
  <c r="C57" i="43"/>
  <c r="F56" i="43"/>
  <c r="B56" i="43"/>
  <c r="E55" i="43"/>
  <c r="A55" i="43"/>
  <c r="D54" i="43"/>
  <c r="G53" i="43"/>
  <c r="C53" i="43"/>
  <c r="F52" i="43"/>
  <c r="B52" i="43"/>
  <c r="E51" i="43"/>
  <c r="A51" i="43"/>
  <c r="D50" i="43"/>
  <c r="G49" i="43"/>
  <c r="C49" i="43"/>
  <c r="F48" i="43"/>
  <c r="B48" i="43"/>
  <c r="E47" i="43"/>
  <c r="A47" i="43"/>
  <c r="D46" i="43"/>
  <c r="G45" i="43"/>
  <c r="C45" i="43"/>
  <c r="F44" i="43"/>
  <c r="B44" i="43"/>
  <c r="G58" i="43"/>
  <c r="C58" i="43"/>
  <c r="F57" i="43"/>
  <c r="B57" i="43"/>
  <c r="E56" i="43"/>
  <c r="A56" i="43"/>
  <c r="D55" i="43"/>
  <c r="G54" i="43"/>
  <c r="C54" i="43"/>
  <c r="F53" i="43"/>
  <c r="B53" i="43"/>
  <c r="E52" i="43"/>
  <c r="A52" i="43"/>
  <c r="D51" i="43"/>
  <c r="G50" i="43"/>
  <c r="C50" i="43"/>
  <c r="F49" i="43"/>
  <c r="B49" i="43"/>
  <c r="E48" i="43"/>
  <c r="A48" i="43"/>
  <c r="D47" i="43"/>
  <c r="G46" i="43"/>
  <c r="C46" i="43"/>
  <c r="F45" i="43"/>
  <c r="B45" i="43"/>
  <c r="E44" i="43"/>
  <c r="A44" i="43"/>
  <c r="F58" i="43"/>
  <c r="B58" i="43"/>
  <c r="E57" i="43"/>
  <c r="A57" i="43"/>
  <c r="D56" i="43"/>
  <c r="G55" i="43"/>
  <c r="C55" i="43"/>
  <c r="F54" i="43"/>
  <c r="B54" i="43"/>
  <c r="E53" i="43"/>
  <c r="A53" i="43"/>
  <c r="D52" i="43"/>
  <c r="G51" i="43"/>
  <c r="C51" i="43"/>
  <c r="F50" i="43"/>
  <c r="B50" i="43"/>
  <c r="E49" i="43"/>
  <c r="A49" i="43"/>
  <c r="D48" i="43"/>
  <c r="G47" i="43"/>
  <c r="C47" i="43"/>
  <c r="F46" i="43"/>
  <c r="B46" i="43"/>
  <c r="E45" i="43"/>
  <c r="A45" i="43"/>
  <c r="F28" i="43"/>
  <c r="B39" i="43"/>
  <c r="A38" i="43"/>
  <c r="G36" i="43"/>
  <c r="F35" i="43"/>
  <c r="E34" i="43"/>
  <c r="D33" i="43"/>
  <c r="C32" i="43"/>
  <c r="B31" i="43"/>
  <c r="A30" i="43"/>
  <c r="G28" i="43"/>
  <c r="G39" i="43"/>
  <c r="F38" i="43"/>
  <c r="E37" i="43"/>
  <c r="D36" i="43"/>
  <c r="C35" i="43"/>
  <c r="B34" i="43"/>
  <c r="A33" i="43"/>
  <c r="G31" i="43"/>
  <c r="F30" i="43"/>
  <c r="E29" i="43"/>
  <c r="D28" i="43"/>
  <c r="G38" i="43"/>
  <c r="F37" i="43"/>
  <c r="E36" i="43"/>
  <c r="D35" i="43"/>
  <c r="C34" i="43"/>
  <c r="B33" i="43"/>
  <c r="A32" i="43"/>
  <c r="G30" i="43"/>
  <c r="F29" i="43"/>
  <c r="E28" i="43"/>
  <c r="E39" i="43"/>
  <c r="D38" i="43"/>
  <c r="C37" i="43"/>
  <c r="B36" i="43"/>
  <c r="A35" i="43"/>
  <c r="G33" i="43"/>
  <c r="F32" i="43"/>
  <c r="E31" i="43"/>
  <c r="D30" i="43"/>
  <c r="C29" i="43"/>
  <c r="B28" i="43"/>
  <c r="F39" i="43"/>
  <c r="E38" i="43"/>
  <c r="D37" i="43"/>
  <c r="C36" i="43"/>
  <c r="B35" i="43"/>
  <c r="A34" i="43"/>
  <c r="G32" i="43"/>
  <c r="F31" i="43"/>
  <c r="E30" i="43"/>
  <c r="D29" i="43"/>
  <c r="C28" i="43"/>
  <c r="C39" i="43"/>
  <c r="B38" i="43"/>
  <c r="A37" i="43"/>
  <c r="G35" i="43"/>
  <c r="F34" i="43"/>
  <c r="E33" i="43"/>
  <c r="D32" i="43"/>
  <c r="C31" i="43"/>
  <c r="B30" i="43"/>
  <c r="A29" i="43"/>
  <c r="D39" i="43"/>
  <c r="C38" i="43"/>
  <c r="B37" i="43"/>
  <c r="A36" i="43"/>
  <c r="G34" i="43"/>
  <c r="F33" i="43"/>
  <c r="E32" i="43"/>
  <c r="D31" i="43"/>
  <c r="C30" i="43"/>
  <c r="B29" i="43"/>
  <c r="A28" i="43"/>
  <c r="A39" i="43"/>
  <c r="G37" i="43"/>
  <c r="F36" i="43"/>
  <c r="E35" i="43"/>
  <c r="D34" i="43"/>
  <c r="C33" i="43"/>
  <c r="B32" i="43"/>
  <c r="A31" i="43"/>
  <c r="G29" i="43"/>
  <c r="G7" i="62" a="1"/>
  <c r="G7" i="62" s="1"/>
  <c r="I7" i="62" a="1"/>
  <c r="I7" i="62" s="1"/>
  <c r="G8" i="62" a="1"/>
  <c r="G8" i="62" s="1"/>
  <c r="I8" i="62" a="1"/>
  <c r="I8" i="62" s="1"/>
  <c r="K5718" i="34"/>
  <c r="I6" i="62" a="1"/>
  <c r="I6" i="62" s="1"/>
  <c r="G6" i="62" a="1"/>
  <c r="G6" i="62" s="1"/>
  <c r="I17" i="62" a="1"/>
  <c r="I17" i="62" s="1"/>
  <c r="G17" i="62" a="1"/>
  <c r="G17" i="62" s="1"/>
  <c r="I5" i="62" a="1"/>
  <c r="I5" i="62" s="1"/>
  <c r="G16" i="62" a="1"/>
  <c r="G16" i="62" s="1"/>
  <c r="I16" i="62" a="1"/>
  <c r="I16" i="62" s="1"/>
  <c r="G5" i="62" a="1"/>
  <c r="G5" i="62" s="1"/>
  <c r="I23" i="45" a="1"/>
  <c r="I23" i="45" s="1"/>
  <c r="I96" i="45" s="1"/>
  <c r="K23" i="45" a="1"/>
  <c r="K23" i="45" s="1"/>
  <c r="K96" i="45" s="1"/>
  <c r="G14" i="62" a="1"/>
  <c r="G14" i="62" s="1"/>
  <c r="G15" i="62" a="1"/>
  <c r="G15" i="62" s="1"/>
  <c r="I14" i="62" a="1"/>
  <c r="I14" i="62" s="1"/>
  <c r="I15" i="62" a="1"/>
  <c r="I15" i="62" s="1"/>
  <c r="AG10" i="48"/>
  <c r="AE10" i="48"/>
  <c r="AC10" i="48"/>
  <c r="AA10" i="48"/>
  <c r="Y10" i="48"/>
  <c r="W10" i="48"/>
  <c r="U10" i="48"/>
  <c r="S10" i="48"/>
  <c r="Q10" i="48"/>
  <c r="O10" i="48"/>
  <c r="M10" i="48"/>
  <c r="K10" i="48"/>
  <c r="CC10" i="48"/>
  <c r="CB10" i="48"/>
  <c r="CA10" i="48"/>
  <c r="BV39" i="48"/>
  <c r="BW39" i="48"/>
  <c r="BV40" i="48"/>
  <c r="BW40" i="48"/>
  <c r="BV41" i="48"/>
  <c r="BW41" i="48"/>
  <c r="BV42" i="48"/>
  <c r="BW42" i="48"/>
  <c r="BV43" i="48"/>
  <c r="BW43" i="48"/>
  <c r="BV44" i="48"/>
  <c r="BW44" i="48"/>
  <c r="BV45" i="48"/>
  <c r="BW45" i="48"/>
  <c r="BV46" i="48"/>
  <c r="BW46" i="48"/>
  <c r="BV47" i="48"/>
  <c r="BW47" i="48"/>
  <c r="BV48" i="48"/>
  <c r="BW48" i="48"/>
  <c r="BV49" i="48"/>
  <c r="BW49" i="48"/>
  <c r="BV50" i="48"/>
  <c r="BW50" i="48"/>
  <c r="BV51" i="48"/>
  <c r="BW51" i="48"/>
  <c r="BW10" i="48"/>
  <c r="BV10" i="48"/>
  <c r="BZ10" i="48"/>
  <c r="BY10" i="48"/>
  <c r="BX10" i="48"/>
  <c r="BU10" i="48"/>
  <c r="BT10" i="48"/>
  <c r="BS10" i="48"/>
  <c r="BR10" i="48"/>
  <c r="BQ10" i="48"/>
  <c r="BP10" i="48"/>
  <c r="BO10" i="48"/>
  <c r="BN10" i="48"/>
  <c r="BM10" i="48"/>
  <c r="BL10" i="48"/>
  <c r="BK10" i="48"/>
  <c r="BJ10" i="48"/>
  <c r="BI10" i="48"/>
  <c r="BH10" i="48"/>
  <c r="BG10" i="48"/>
  <c r="BF10" i="48"/>
  <c r="BE10" i="48"/>
  <c r="BD10" i="48"/>
  <c r="AW10" i="48"/>
  <c r="AV10" i="48"/>
  <c r="AU10" i="48"/>
  <c r="AT10" i="48"/>
  <c r="AT39" i="48"/>
  <c r="AU39" i="48"/>
  <c r="AT40" i="48"/>
  <c r="AU40" i="48"/>
  <c r="AT41" i="48"/>
  <c r="AU41" i="48"/>
  <c r="AT42" i="48"/>
  <c r="AU42" i="48"/>
  <c r="AT43" i="48"/>
  <c r="AU43" i="48"/>
  <c r="AT44" i="48"/>
  <c r="AU44" i="48"/>
  <c r="AT45" i="48"/>
  <c r="AU45" i="48"/>
  <c r="AT46" i="48"/>
  <c r="AU46" i="48"/>
  <c r="AT47" i="48"/>
  <c r="AU47" i="48"/>
  <c r="AT48" i="48"/>
  <c r="AU48" i="48"/>
  <c r="AT49" i="48"/>
  <c r="AU49" i="48"/>
  <c r="AT50" i="48"/>
  <c r="AU50" i="48"/>
  <c r="AT51" i="48"/>
  <c r="AU51" i="48"/>
  <c r="AS10" i="48"/>
  <c r="AR10" i="48"/>
  <c r="AQ10" i="48"/>
  <c r="AP10" i="48"/>
  <c r="AM10" i="48"/>
  <c r="AO10" i="48"/>
  <c r="AN10" i="48"/>
  <c r="AL10" i="48"/>
  <c r="AK10" i="48"/>
  <c r="AJ10" i="48"/>
  <c r="AI10" i="48"/>
  <c r="AH10" i="48"/>
  <c r="AF10" i="48"/>
  <c r="AD10" i="48"/>
  <c r="AB10" i="48"/>
  <c r="Z10" i="48"/>
  <c r="X10" i="48"/>
  <c r="V10" i="48"/>
  <c r="T10" i="48"/>
  <c r="R10" i="48"/>
  <c r="P10" i="48"/>
  <c r="N10" i="48"/>
  <c r="L10" i="48"/>
  <c r="J10" i="48"/>
  <c r="J39" i="48"/>
  <c r="K39" i="48"/>
  <c r="L39" i="48"/>
  <c r="M39" i="48"/>
  <c r="N39" i="48"/>
  <c r="O39" i="48"/>
  <c r="P39" i="48"/>
  <c r="Q39" i="48"/>
  <c r="R39" i="48"/>
  <c r="S39" i="48"/>
  <c r="T39" i="48"/>
  <c r="U39" i="48"/>
  <c r="V39" i="48"/>
  <c r="W39" i="48"/>
  <c r="X39" i="48"/>
  <c r="Y39" i="48"/>
  <c r="Z39" i="48"/>
  <c r="AA39" i="48"/>
  <c r="AB39" i="48"/>
  <c r="AC39" i="48"/>
  <c r="AD39" i="48"/>
  <c r="AE39" i="48"/>
  <c r="AF39" i="48"/>
  <c r="AG39" i="48"/>
  <c r="AH39" i="48"/>
  <c r="AI39" i="48"/>
  <c r="AJ39" i="48"/>
  <c r="AK39" i="48"/>
  <c r="AL39" i="48"/>
  <c r="AM39" i="48"/>
  <c r="AN39" i="48"/>
  <c r="AO39" i="48"/>
  <c r="AP39" i="48"/>
  <c r="AQ39" i="48"/>
  <c r="AR39" i="48"/>
  <c r="AS39" i="48"/>
  <c r="AV39" i="48"/>
  <c r="AW39" i="48"/>
  <c r="AX39" i="48"/>
  <c r="AY39" i="48"/>
  <c r="AZ39" i="48"/>
  <c r="BA39" i="48"/>
  <c r="BB39" i="48"/>
  <c r="BC39" i="48"/>
  <c r="BD39" i="48"/>
  <c r="BE39" i="48"/>
  <c r="BF39" i="48"/>
  <c r="BG39" i="48"/>
  <c r="BH39" i="48"/>
  <c r="BI39" i="48"/>
  <c r="BJ39" i="48"/>
  <c r="BK39" i="48"/>
  <c r="BL39" i="48"/>
  <c r="BM39" i="48"/>
  <c r="BN39" i="48"/>
  <c r="BO39" i="48"/>
  <c r="BP39" i="48"/>
  <c r="BQ39" i="48"/>
  <c r="BR39" i="48"/>
  <c r="BS39" i="48"/>
  <c r="BT39" i="48"/>
  <c r="BU39" i="48"/>
  <c r="BX39" i="48"/>
  <c r="BY39" i="48"/>
  <c r="BZ39" i="48"/>
  <c r="CC39" i="48"/>
  <c r="CD39" i="48"/>
  <c r="CE39" i="48"/>
  <c r="CF39" i="48"/>
  <c r="CG39" i="48"/>
  <c r="CH39" i="48"/>
  <c r="CI39" i="48"/>
  <c r="CJ39" i="48"/>
  <c r="CK39" i="48"/>
  <c r="CL39" i="48"/>
  <c r="CM39" i="48"/>
  <c r="CN39" i="48"/>
  <c r="CO39" i="48"/>
  <c r="CP39" i="48"/>
  <c r="CQ39" i="48"/>
  <c r="CR39" i="48"/>
  <c r="CS39" i="48"/>
  <c r="CT39" i="48"/>
  <c r="CU39" i="48"/>
  <c r="CV39" i="48"/>
  <c r="CW39" i="48"/>
  <c r="CX39" i="48"/>
  <c r="CY39" i="48"/>
  <c r="CZ39" i="48"/>
  <c r="DA39" i="48"/>
  <c r="J40" i="48"/>
  <c r="K40" i="48"/>
  <c r="L40" i="48"/>
  <c r="M40" i="48"/>
  <c r="N40" i="48"/>
  <c r="O40" i="48"/>
  <c r="P40" i="48"/>
  <c r="Q40" i="48"/>
  <c r="R40" i="48"/>
  <c r="T40" i="48"/>
  <c r="U40" i="48"/>
  <c r="V40" i="48"/>
  <c r="W40" i="48"/>
  <c r="X40" i="48"/>
  <c r="Y40" i="48"/>
  <c r="Z40" i="48"/>
  <c r="AA40" i="48"/>
  <c r="AB40" i="48"/>
  <c r="AC40" i="48"/>
  <c r="AD40" i="48"/>
  <c r="AE40" i="48"/>
  <c r="AF40" i="48"/>
  <c r="AG40" i="48"/>
  <c r="AH40" i="48"/>
  <c r="AI40" i="48"/>
  <c r="AJ40" i="48"/>
  <c r="AK40" i="48"/>
  <c r="AL40" i="48"/>
  <c r="AM40" i="48"/>
  <c r="AN40" i="48"/>
  <c r="AO40" i="48"/>
  <c r="AP40" i="48"/>
  <c r="AQ40" i="48"/>
  <c r="AR40" i="48"/>
  <c r="AS40" i="48"/>
  <c r="AV40" i="48"/>
  <c r="AW40" i="48"/>
  <c r="AY40" i="48"/>
  <c r="AZ40" i="48"/>
  <c r="BA40" i="48"/>
  <c r="BB40" i="48"/>
  <c r="BC40" i="48"/>
  <c r="BD40" i="48"/>
  <c r="BE40" i="48"/>
  <c r="BF40" i="48"/>
  <c r="BG40" i="48"/>
  <c r="BH40" i="48"/>
  <c r="BI40" i="48"/>
  <c r="BJ40" i="48"/>
  <c r="BK40" i="48"/>
  <c r="BL40" i="48"/>
  <c r="BM40" i="48"/>
  <c r="BN40" i="48"/>
  <c r="BO40" i="48"/>
  <c r="BP40" i="48"/>
  <c r="BQ40" i="48"/>
  <c r="BR40" i="48"/>
  <c r="BS40" i="48"/>
  <c r="BT40" i="48"/>
  <c r="BU40" i="48"/>
  <c r="BX40" i="48"/>
  <c r="BY40" i="48"/>
  <c r="BZ40" i="48"/>
  <c r="CA40" i="48"/>
  <c r="CB40" i="48"/>
  <c r="CC40" i="48"/>
  <c r="CD40" i="48"/>
  <c r="CE40" i="48"/>
  <c r="CF40" i="48"/>
  <c r="CG40" i="48"/>
  <c r="CH40" i="48"/>
  <c r="CI40" i="48"/>
  <c r="CJ40" i="48"/>
  <c r="CK40" i="48"/>
  <c r="CL40" i="48"/>
  <c r="CM40" i="48"/>
  <c r="CN40" i="48"/>
  <c r="CO40" i="48"/>
  <c r="CP40" i="48"/>
  <c r="CQ40" i="48"/>
  <c r="CR40" i="48"/>
  <c r="CS40" i="48"/>
  <c r="CT40" i="48"/>
  <c r="CU40" i="48"/>
  <c r="CV40" i="48"/>
  <c r="CW40" i="48"/>
  <c r="CX40" i="48"/>
  <c r="CY40" i="48"/>
  <c r="CZ40" i="48"/>
  <c r="DA40" i="48"/>
  <c r="J41" i="48"/>
  <c r="K41" i="48"/>
  <c r="L41" i="48"/>
  <c r="M41" i="48"/>
  <c r="N41" i="48"/>
  <c r="O41" i="48"/>
  <c r="P41" i="48"/>
  <c r="Q41" i="48"/>
  <c r="R41" i="48"/>
  <c r="S41" i="48"/>
  <c r="T41" i="48"/>
  <c r="U41" i="48"/>
  <c r="V41" i="48"/>
  <c r="W41" i="48"/>
  <c r="X41" i="48"/>
  <c r="Y41" i="48"/>
  <c r="Z41" i="48"/>
  <c r="AA41" i="48"/>
  <c r="AB41" i="48"/>
  <c r="AC41" i="48"/>
  <c r="AD41" i="48"/>
  <c r="AE41" i="48"/>
  <c r="AF41" i="48"/>
  <c r="AG41" i="48"/>
  <c r="AH41" i="48"/>
  <c r="AI41" i="48"/>
  <c r="AJ41" i="48"/>
  <c r="AK41" i="48"/>
  <c r="AL41" i="48"/>
  <c r="AM41" i="48"/>
  <c r="AN41" i="48"/>
  <c r="AO41" i="48"/>
  <c r="AP41" i="48"/>
  <c r="AQ41" i="48"/>
  <c r="AR41" i="48"/>
  <c r="AS41" i="48"/>
  <c r="AV41" i="48"/>
  <c r="AW41" i="48"/>
  <c r="AX41" i="48"/>
  <c r="AY41" i="48"/>
  <c r="AZ41" i="48"/>
  <c r="BA41" i="48"/>
  <c r="BB41" i="48"/>
  <c r="BC41" i="48"/>
  <c r="BD41" i="48"/>
  <c r="BE41" i="48"/>
  <c r="BF41" i="48"/>
  <c r="BG41" i="48"/>
  <c r="BH41" i="48"/>
  <c r="BI41" i="48"/>
  <c r="BJ41" i="48"/>
  <c r="BK41" i="48"/>
  <c r="BL41" i="48"/>
  <c r="BM41" i="48"/>
  <c r="BN41" i="48"/>
  <c r="BO41" i="48"/>
  <c r="BP41" i="48"/>
  <c r="BQ41" i="48"/>
  <c r="BR41" i="48"/>
  <c r="BS41" i="48"/>
  <c r="BT41" i="48"/>
  <c r="BU41" i="48"/>
  <c r="BX41" i="48"/>
  <c r="BY41" i="48"/>
  <c r="BZ41" i="48"/>
  <c r="CA41" i="48"/>
  <c r="CB41" i="48"/>
  <c r="CC41" i="48"/>
  <c r="CD41" i="48"/>
  <c r="CE41" i="48"/>
  <c r="CF41" i="48"/>
  <c r="CG41" i="48"/>
  <c r="CH41" i="48"/>
  <c r="CI41" i="48"/>
  <c r="CJ41" i="48"/>
  <c r="CK41" i="48"/>
  <c r="CL41" i="48"/>
  <c r="CN41" i="48"/>
  <c r="CO41" i="48"/>
  <c r="CP41" i="48"/>
  <c r="CQ41" i="48"/>
  <c r="CR41" i="48"/>
  <c r="CS41" i="48"/>
  <c r="CT41" i="48"/>
  <c r="CU41" i="48"/>
  <c r="CV41" i="48"/>
  <c r="CW41" i="48"/>
  <c r="CX41" i="48"/>
  <c r="CY41" i="48"/>
  <c r="DA41" i="48"/>
  <c r="J42" i="48"/>
  <c r="K42" i="48"/>
  <c r="L42" i="48"/>
  <c r="M42" i="48"/>
  <c r="N42" i="48"/>
  <c r="O42" i="48"/>
  <c r="P42" i="48"/>
  <c r="Q42" i="48"/>
  <c r="R42" i="48"/>
  <c r="S42" i="48"/>
  <c r="T42" i="48"/>
  <c r="U42" i="48"/>
  <c r="V42" i="48"/>
  <c r="W42" i="48"/>
  <c r="X42" i="48"/>
  <c r="Y42" i="48"/>
  <c r="Z42" i="48"/>
  <c r="AA42" i="48"/>
  <c r="AB42" i="48"/>
  <c r="AC42" i="48"/>
  <c r="AD42" i="48"/>
  <c r="AE42" i="48"/>
  <c r="AF42" i="48"/>
  <c r="AG42" i="48"/>
  <c r="AH42" i="48"/>
  <c r="AI42" i="48"/>
  <c r="AJ42" i="48"/>
  <c r="AK42" i="48"/>
  <c r="AL42" i="48"/>
  <c r="AM42" i="48"/>
  <c r="AN42" i="48"/>
  <c r="AO42" i="48"/>
  <c r="AP42" i="48"/>
  <c r="AQ42" i="48"/>
  <c r="AR42" i="48"/>
  <c r="AS42" i="48"/>
  <c r="AV42" i="48"/>
  <c r="AW42" i="48"/>
  <c r="AX42" i="48"/>
  <c r="AY42" i="48"/>
  <c r="AZ42" i="48"/>
  <c r="BA42" i="48"/>
  <c r="BB42" i="48"/>
  <c r="BC42" i="48"/>
  <c r="BD42" i="48"/>
  <c r="BE42" i="48"/>
  <c r="BF42" i="48"/>
  <c r="BG42" i="48"/>
  <c r="BH42" i="48"/>
  <c r="BI42" i="48"/>
  <c r="BJ42" i="48"/>
  <c r="BK42" i="48"/>
  <c r="BL42" i="48"/>
  <c r="BM42" i="48"/>
  <c r="BN42" i="48"/>
  <c r="BO42" i="48"/>
  <c r="BP42" i="48"/>
  <c r="BQ42" i="48"/>
  <c r="BR42" i="48"/>
  <c r="BS42" i="48"/>
  <c r="BT42" i="48"/>
  <c r="BU42" i="48"/>
  <c r="BX42" i="48"/>
  <c r="BY42" i="48"/>
  <c r="BZ42" i="48"/>
  <c r="CA42" i="48"/>
  <c r="CB42" i="48"/>
  <c r="CC42" i="48"/>
  <c r="CD42" i="48"/>
  <c r="CE42" i="48"/>
  <c r="CF42" i="48"/>
  <c r="CG42" i="48"/>
  <c r="CH42" i="48"/>
  <c r="CI42" i="48"/>
  <c r="CJ42" i="48"/>
  <c r="CK42" i="48"/>
  <c r="CL42" i="48"/>
  <c r="CM42" i="48"/>
  <c r="CN42" i="48"/>
  <c r="CP42" i="48"/>
  <c r="CQ42" i="48"/>
  <c r="CR42" i="48"/>
  <c r="CS42" i="48"/>
  <c r="CT42" i="48"/>
  <c r="CU42" i="48"/>
  <c r="CV42" i="48"/>
  <c r="CW42" i="48"/>
  <c r="CX42" i="48"/>
  <c r="CY42" i="48"/>
  <c r="DA42" i="48"/>
  <c r="J43" i="48"/>
  <c r="K43" i="48"/>
  <c r="L43" i="48"/>
  <c r="M43" i="48"/>
  <c r="N43" i="48"/>
  <c r="O43" i="48"/>
  <c r="P43" i="48"/>
  <c r="Q43" i="48"/>
  <c r="R43" i="48"/>
  <c r="S43" i="48"/>
  <c r="T43" i="48"/>
  <c r="U43" i="48"/>
  <c r="V43" i="48"/>
  <c r="W43" i="48"/>
  <c r="X43" i="48"/>
  <c r="Y43" i="48"/>
  <c r="Z43" i="48"/>
  <c r="AA43" i="48"/>
  <c r="AB43" i="48"/>
  <c r="AC43" i="48"/>
  <c r="AD43" i="48"/>
  <c r="AE43" i="48"/>
  <c r="AF43" i="48"/>
  <c r="AG43" i="48"/>
  <c r="AH43" i="48"/>
  <c r="AI43" i="48"/>
  <c r="AJ43" i="48"/>
  <c r="AK43" i="48"/>
  <c r="AL43" i="48"/>
  <c r="AM43" i="48"/>
  <c r="AN43" i="48"/>
  <c r="AO43" i="48"/>
  <c r="AP43" i="48"/>
  <c r="AQ43" i="48"/>
  <c r="AR43" i="48"/>
  <c r="AS43" i="48"/>
  <c r="AV43" i="48"/>
  <c r="AW43" i="48"/>
  <c r="AX43" i="48"/>
  <c r="AY43" i="48"/>
  <c r="AZ43" i="48"/>
  <c r="BA43" i="48"/>
  <c r="BB43" i="48"/>
  <c r="BC43" i="48"/>
  <c r="BD43" i="48"/>
  <c r="BE43" i="48"/>
  <c r="BF43" i="48"/>
  <c r="BG43" i="48"/>
  <c r="BH43" i="48"/>
  <c r="BI43" i="48"/>
  <c r="BJ43" i="48"/>
  <c r="BK43" i="48"/>
  <c r="BL43" i="48"/>
  <c r="BM43" i="48"/>
  <c r="BN43" i="48"/>
  <c r="BO43" i="48"/>
  <c r="BP43" i="48"/>
  <c r="BQ43" i="48"/>
  <c r="BR43" i="48"/>
  <c r="BS43" i="48"/>
  <c r="BT43" i="48"/>
  <c r="BU43" i="48"/>
  <c r="BX43" i="48"/>
  <c r="BY43" i="48"/>
  <c r="BZ43" i="48"/>
  <c r="CA43" i="48"/>
  <c r="CB43" i="48"/>
  <c r="CC43" i="48"/>
  <c r="CD43" i="48"/>
  <c r="CE43" i="48"/>
  <c r="CF43" i="48"/>
  <c r="CG43" i="48"/>
  <c r="CH43" i="48"/>
  <c r="CI43" i="48"/>
  <c r="CJ43" i="48"/>
  <c r="CK43" i="48"/>
  <c r="CL43" i="48"/>
  <c r="CM43" i="48"/>
  <c r="CN43" i="48"/>
  <c r="CO43" i="48"/>
  <c r="CP43" i="48"/>
  <c r="CR43" i="48"/>
  <c r="CS43" i="48"/>
  <c r="CT43" i="48"/>
  <c r="CU43" i="48"/>
  <c r="CV43" i="48"/>
  <c r="CW43" i="48"/>
  <c r="CX43" i="48"/>
  <c r="CY43" i="48"/>
  <c r="DA43" i="48"/>
  <c r="J44" i="48"/>
  <c r="K44" i="48"/>
  <c r="L44" i="48"/>
  <c r="M44" i="48"/>
  <c r="N44" i="48"/>
  <c r="O44" i="48"/>
  <c r="P44" i="48"/>
  <c r="Q44" i="48"/>
  <c r="R44" i="48"/>
  <c r="S44" i="48"/>
  <c r="T44" i="48"/>
  <c r="U44" i="48"/>
  <c r="V44" i="48"/>
  <c r="W44" i="48"/>
  <c r="X44" i="48"/>
  <c r="Y44" i="48"/>
  <c r="Z44" i="48"/>
  <c r="AA44" i="48"/>
  <c r="AB44" i="48"/>
  <c r="AC44" i="48"/>
  <c r="AD44" i="48"/>
  <c r="AE44" i="48"/>
  <c r="AF44" i="48"/>
  <c r="AG44" i="48"/>
  <c r="AH44" i="48"/>
  <c r="AI44" i="48"/>
  <c r="AJ44" i="48"/>
  <c r="AK44" i="48"/>
  <c r="AL44" i="48"/>
  <c r="AM44" i="48"/>
  <c r="AN44" i="48"/>
  <c r="AO44" i="48"/>
  <c r="AP44" i="48"/>
  <c r="AQ44" i="48"/>
  <c r="AR44" i="48"/>
  <c r="AS44" i="48"/>
  <c r="AV44" i="48"/>
  <c r="AW44" i="48"/>
  <c r="AX44" i="48"/>
  <c r="AY44" i="48"/>
  <c r="AZ44" i="48"/>
  <c r="BA44" i="48"/>
  <c r="BB44" i="48"/>
  <c r="BC44" i="48"/>
  <c r="BD44" i="48"/>
  <c r="BE44" i="48"/>
  <c r="BF44" i="48"/>
  <c r="BG44" i="48"/>
  <c r="BH44" i="48"/>
  <c r="BI44" i="48"/>
  <c r="BJ44" i="48"/>
  <c r="BK44" i="48"/>
  <c r="BL44" i="48"/>
  <c r="BM44" i="48"/>
  <c r="BN44" i="48"/>
  <c r="BO44" i="48"/>
  <c r="BP44" i="48"/>
  <c r="BQ44" i="48"/>
  <c r="BR44" i="48"/>
  <c r="BS44" i="48"/>
  <c r="BT44" i="48"/>
  <c r="BU44" i="48"/>
  <c r="BX44" i="48"/>
  <c r="BY44" i="48"/>
  <c r="BZ44" i="48"/>
  <c r="CA44" i="48"/>
  <c r="CB44" i="48"/>
  <c r="CC44" i="48"/>
  <c r="CD44" i="48"/>
  <c r="CE44" i="48"/>
  <c r="CF44" i="48"/>
  <c r="CG44" i="48"/>
  <c r="CH44" i="48"/>
  <c r="CI44" i="48"/>
  <c r="CJ44" i="48"/>
  <c r="CK44" i="48"/>
  <c r="CL44" i="48"/>
  <c r="CM44" i="48"/>
  <c r="CN44" i="48"/>
  <c r="CO44" i="48"/>
  <c r="CP44" i="48"/>
  <c r="CQ44" i="48"/>
  <c r="CR44" i="48"/>
  <c r="CT44" i="48"/>
  <c r="CU44" i="48"/>
  <c r="CV44" i="48"/>
  <c r="CW44" i="48"/>
  <c r="CX44" i="48"/>
  <c r="CY44" i="48"/>
  <c r="DA44" i="48"/>
  <c r="J45" i="48"/>
  <c r="K45" i="48"/>
  <c r="L45" i="48"/>
  <c r="M45" i="48"/>
  <c r="N45" i="48"/>
  <c r="O45" i="48"/>
  <c r="P45" i="48"/>
  <c r="Q45" i="48"/>
  <c r="R45" i="48"/>
  <c r="S45" i="48"/>
  <c r="T45" i="48"/>
  <c r="U45" i="48"/>
  <c r="V45" i="48"/>
  <c r="W45" i="48"/>
  <c r="X45" i="48"/>
  <c r="Y45" i="48"/>
  <c r="Z45" i="48"/>
  <c r="AA45" i="48"/>
  <c r="AB45" i="48"/>
  <c r="AC45" i="48"/>
  <c r="AD45" i="48"/>
  <c r="AE45" i="48"/>
  <c r="AF45" i="48"/>
  <c r="AG45" i="48"/>
  <c r="AH45" i="48"/>
  <c r="AI45" i="48"/>
  <c r="AJ45" i="48"/>
  <c r="AK45" i="48"/>
  <c r="AL45" i="48"/>
  <c r="AM45" i="48"/>
  <c r="AN45" i="48"/>
  <c r="AO45" i="48"/>
  <c r="AP45" i="48"/>
  <c r="AQ45" i="48"/>
  <c r="AR45" i="48"/>
  <c r="AS45" i="48"/>
  <c r="AV45" i="48"/>
  <c r="AW45" i="48"/>
  <c r="AX45" i="48"/>
  <c r="AY45" i="48"/>
  <c r="AZ45" i="48"/>
  <c r="BA45" i="48"/>
  <c r="BB45" i="48"/>
  <c r="BC45" i="48"/>
  <c r="BD45" i="48"/>
  <c r="BE45" i="48"/>
  <c r="BF45" i="48"/>
  <c r="BG45" i="48"/>
  <c r="BH45" i="48"/>
  <c r="BI45" i="48"/>
  <c r="BJ45" i="48"/>
  <c r="BK45" i="48"/>
  <c r="BL45" i="48"/>
  <c r="BM45" i="48"/>
  <c r="BN45" i="48"/>
  <c r="BO45" i="48"/>
  <c r="BP45" i="48"/>
  <c r="BQ45" i="48"/>
  <c r="BR45" i="48"/>
  <c r="BS45" i="48"/>
  <c r="BT45" i="48"/>
  <c r="BU45" i="48"/>
  <c r="BX45" i="48"/>
  <c r="BY45" i="48"/>
  <c r="BZ45" i="48"/>
  <c r="CA45" i="48"/>
  <c r="CB45" i="48"/>
  <c r="CC45" i="48"/>
  <c r="CD45" i="48"/>
  <c r="CE45" i="48"/>
  <c r="CF45" i="48"/>
  <c r="CG45" i="48"/>
  <c r="CH45" i="48"/>
  <c r="CI45" i="48"/>
  <c r="CJ45" i="48"/>
  <c r="CK45" i="48"/>
  <c r="CL45" i="48"/>
  <c r="CM45" i="48"/>
  <c r="CN45" i="48"/>
  <c r="CO45" i="48"/>
  <c r="CP45" i="48"/>
  <c r="CQ45" i="48"/>
  <c r="CR45" i="48"/>
  <c r="CS45" i="48"/>
  <c r="CT45" i="48"/>
  <c r="CU45" i="48"/>
  <c r="CV45" i="48"/>
  <c r="CW45" i="48"/>
  <c r="CX45" i="48"/>
  <c r="CY45" i="48"/>
  <c r="CZ45" i="48"/>
  <c r="DA45" i="48"/>
  <c r="J46" i="48"/>
  <c r="K46" i="48"/>
  <c r="L46" i="48"/>
  <c r="M46" i="48"/>
  <c r="N46" i="48"/>
  <c r="O46" i="48"/>
  <c r="P46" i="48"/>
  <c r="Q46" i="48"/>
  <c r="R46" i="48"/>
  <c r="S46" i="48"/>
  <c r="T46" i="48"/>
  <c r="U46" i="48"/>
  <c r="V46" i="48"/>
  <c r="W46" i="48"/>
  <c r="X46" i="48"/>
  <c r="Y46" i="48"/>
  <c r="Z46" i="48"/>
  <c r="AA46" i="48"/>
  <c r="AB46" i="48"/>
  <c r="AC46" i="48"/>
  <c r="AD46" i="48"/>
  <c r="AE46" i="48"/>
  <c r="AF46" i="48"/>
  <c r="AG46" i="48"/>
  <c r="AH46" i="48"/>
  <c r="AI46" i="48"/>
  <c r="AJ46" i="48"/>
  <c r="AK46" i="48"/>
  <c r="AL46" i="48"/>
  <c r="AM46" i="48"/>
  <c r="AN46" i="48"/>
  <c r="AO46" i="48"/>
  <c r="AP46" i="48"/>
  <c r="AQ46" i="48"/>
  <c r="AR46" i="48"/>
  <c r="AS46" i="48"/>
  <c r="AV46" i="48"/>
  <c r="AW46" i="48"/>
  <c r="AX46" i="48"/>
  <c r="AY46" i="48"/>
  <c r="AZ46" i="48"/>
  <c r="BA46" i="48"/>
  <c r="BB46" i="48"/>
  <c r="BC46" i="48"/>
  <c r="BD46" i="48"/>
  <c r="BE46" i="48"/>
  <c r="BF46" i="48"/>
  <c r="BG46" i="48"/>
  <c r="BH46" i="48"/>
  <c r="BI46" i="48"/>
  <c r="BJ46" i="48"/>
  <c r="BK46" i="48"/>
  <c r="BL46" i="48"/>
  <c r="BM46" i="48"/>
  <c r="BN46" i="48"/>
  <c r="BO46" i="48"/>
  <c r="BP46" i="48"/>
  <c r="BQ46" i="48"/>
  <c r="BR46" i="48"/>
  <c r="BS46" i="48"/>
  <c r="BT46" i="48"/>
  <c r="BU46" i="48"/>
  <c r="BX46" i="48"/>
  <c r="BY46" i="48"/>
  <c r="BZ46" i="48"/>
  <c r="CA46" i="48"/>
  <c r="CB46" i="48"/>
  <c r="CC46" i="48"/>
  <c r="CD46" i="48"/>
  <c r="CE46" i="48"/>
  <c r="CF46" i="48"/>
  <c r="CG46" i="48"/>
  <c r="CI46" i="48"/>
  <c r="CJ46" i="48"/>
  <c r="CK46" i="48"/>
  <c r="CL46" i="48"/>
  <c r="CM46" i="48"/>
  <c r="CN46" i="48"/>
  <c r="CO46" i="48"/>
  <c r="CP46" i="48"/>
  <c r="CQ46" i="48"/>
  <c r="CR46" i="48"/>
  <c r="CS46" i="48"/>
  <c r="CT46" i="48"/>
  <c r="CU46" i="48"/>
  <c r="CV46" i="48"/>
  <c r="CW46" i="48"/>
  <c r="CX46" i="48"/>
  <c r="CY46" i="48"/>
  <c r="CZ46" i="48"/>
  <c r="J47" i="48"/>
  <c r="K47" i="48"/>
  <c r="L47" i="48"/>
  <c r="M47" i="48"/>
  <c r="N47" i="48"/>
  <c r="O47" i="48"/>
  <c r="P47" i="48"/>
  <c r="Q47" i="48"/>
  <c r="R47" i="48"/>
  <c r="S47" i="48"/>
  <c r="T47" i="48"/>
  <c r="U47" i="48"/>
  <c r="V47" i="48"/>
  <c r="W47" i="48"/>
  <c r="X47" i="48"/>
  <c r="Y47" i="48"/>
  <c r="Z47" i="48"/>
  <c r="AA47" i="48"/>
  <c r="AB47" i="48"/>
  <c r="AC47" i="48"/>
  <c r="AD47" i="48"/>
  <c r="AE47" i="48"/>
  <c r="AF47" i="48"/>
  <c r="AG47" i="48"/>
  <c r="AH47" i="48"/>
  <c r="AI47" i="48"/>
  <c r="AJ47" i="48"/>
  <c r="AK47" i="48"/>
  <c r="AL47" i="48"/>
  <c r="AM47" i="48"/>
  <c r="AN47" i="48"/>
  <c r="AO47" i="48"/>
  <c r="AP47" i="48"/>
  <c r="AQ47" i="48"/>
  <c r="AR47" i="48"/>
  <c r="AS47" i="48"/>
  <c r="AV47" i="48"/>
  <c r="AW47" i="48"/>
  <c r="AX47" i="48"/>
  <c r="AY47" i="48"/>
  <c r="AZ47" i="48"/>
  <c r="BA47" i="48"/>
  <c r="BB47" i="48"/>
  <c r="BC47" i="48"/>
  <c r="BD47" i="48"/>
  <c r="BE47" i="48"/>
  <c r="BF47" i="48"/>
  <c r="BG47" i="48"/>
  <c r="BH47" i="48"/>
  <c r="BI47" i="48"/>
  <c r="BJ47" i="48"/>
  <c r="BK47" i="48"/>
  <c r="BL47" i="48"/>
  <c r="BM47" i="48"/>
  <c r="BN47" i="48"/>
  <c r="BO47" i="48"/>
  <c r="BP47" i="48"/>
  <c r="BQ47" i="48"/>
  <c r="BR47" i="48"/>
  <c r="BS47" i="48"/>
  <c r="BT47" i="48"/>
  <c r="BU47" i="48"/>
  <c r="BX47" i="48"/>
  <c r="BY47" i="48"/>
  <c r="BZ47" i="48"/>
  <c r="CA47" i="48"/>
  <c r="CB47" i="48"/>
  <c r="CC47" i="48"/>
  <c r="CE47" i="48"/>
  <c r="CF47" i="48"/>
  <c r="CG47" i="48"/>
  <c r="CH47" i="48"/>
  <c r="CI47" i="48"/>
  <c r="CJ47" i="48"/>
  <c r="CK47" i="48"/>
  <c r="CL47" i="48"/>
  <c r="CM47" i="48"/>
  <c r="CN47" i="48"/>
  <c r="CO47" i="48"/>
  <c r="CP47" i="48"/>
  <c r="CQ47" i="48"/>
  <c r="CR47" i="48"/>
  <c r="CS47" i="48"/>
  <c r="CT47" i="48"/>
  <c r="CU47" i="48"/>
  <c r="CV47" i="48"/>
  <c r="CW47" i="48"/>
  <c r="CX47" i="48"/>
  <c r="CY47" i="48"/>
  <c r="CZ47" i="48"/>
  <c r="J48" i="48"/>
  <c r="K48" i="48"/>
  <c r="L48" i="48"/>
  <c r="M48" i="48"/>
  <c r="N48" i="48"/>
  <c r="O48" i="48"/>
  <c r="P48" i="48"/>
  <c r="Q48" i="48"/>
  <c r="R48" i="48"/>
  <c r="S48" i="48"/>
  <c r="T48" i="48"/>
  <c r="U48" i="48"/>
  <c r="V48" i="48"/>
  <c r="W48" i="48"/>
  <c r="X48" i="48"/>
  <c r="Y48" i="48"/>
  <c r="Z48" i="48"/>
  <c r="AA48" i="48"/>
  <c r="AB48" i="48"/>
  <c r="AC48" i="48"/>
  <c r="AD48" i="48"/>
  <c r="AE48" i="48"/>
  <c r="AF48" i="48"/>
  <c r="AG48" i="48"/>
  <c r="AH48" i="48"/>
  <c r="AI48" i="48"/>
  <c r="AJ48" i="48"/>
  <c r="AK48" i="48"/>
  <c r="AL48" i="48"/>
  <c r="AM48" i="48"/>
  <c r="AN48" i="48"/>
  <c r="AO48" i="48"/>
  <c r="AP48" i="48"/>
  <c r="AQ48" i="48"/>
  <c r="AR48" i="48"/>
  <c r="AS48" i="48"/>
  <c r="AV48" i="48"/>
  <c r="AW48" i="48"/>
  <c r="AX48" i="48"/>
  <c r="AY48" i="48"/>
  <c r="AZ48" i="48"/>
  <c r="BA48" i="48"/>
  <c r="BB48" i="48"/>
  <c r="BC48" i="48"/>
  <c r="BD48" i="48"/>
  <c r="BE48" i="48"/>
  <c r="BF48" i="48"/>
  <c r="BG48" i="48"/>
  <c r="BH48" i="48"/>
  <c r="BI48" i="48"/>
  <c r="BJ48" i="48"/>
  <c r="BK48" i="48"/>
  <c r="BL48" i="48"/>
  <c r="BM48" i="48"/>
  <c r="BN48" i="48"/>
  <c r="BO48" i="48"/>
  <c r="BP48" i="48"/>
  <c r="BQ48" i="48"/>
  <c r="BR48" i="48"/>
  <c r="BS48" i="48"/>
  <c r="BT48" i="48"/>
  <c r="BU48" i="48"/>
  <c r="BX48" i="48"/>
  <c r="BY48" i="48"/>
  <c r="BZ48" i="48"/>
  <c r="CA48" i="48"/>
  <c r="CB48" i="48"/>
  <c r="CC48" i="48"/>
  <c r="CD48" i="48"/>
  <c r="CE48" i="48"/>
  <c r="CG48" i="48"/>
  <c r="CH48" i="48"/>
  <c r="CI48" i="48"/>
  <c r="CJ48" i="48"/>
  <c r="CK48" i="48"/>
  <c r="CL48" i="48"/>
  <c r="CM48" i="48"/>
  <c r="CN48" i="48"/>
  <c r="CO48" i="48"/>
  <c r="CP48" i="48"/>
  <c r="CQ48" i="48"/>
  <c r="CR48" i="48"/>
  <c r="CS48" i="48"/>
  <c r="CT48" i="48"/>
  <c r="CU48" i="48"/>
  <c r="CV48" i="48"/>
  <c r="CW48" i="48"/>
  <c r="CX48" i="48"/>
  <c r="CY48" i="48"/>
  <c r="CZ48" i="48"/>
  <c r="J49" i="48"/>
  <c r="K49" i="48"/>
  <c r="L49" i="48"/>
  <c r="M49" i="48"/>
  <c r="N49" i="48"/>
  <c r="O49" i="48"/>
  <c r="P49" i="48"/>
  <c r="Q49" i="48"/>
  <c r="R49" i="48"/>
  <c r="S49" i="48"/>
  <c r="T49" i="48"/>
  <c r="U49" i="48"/>
  <c r="V49" i="48"/>
  <c r="W49" i="48"/>
  <c r="X49" i="48"/>
  <c r="Y49" i="48"/>
  <c r="Z49" i="48"/>
  <c r="AA49" i="48"/>
  <c r="AB49" i="48"/>
  <c r="AC49" i="48"/>
  <c r="AD49" i="48"/>
  <c r="AE49" i="48"/>
  <c r="AF49" i="48"/>
  <c r="AG49" i="48"/>
  <c r="AH49" i="48"/>
  <c r="AI49" i="48"/>
  <c r="AJ49" i="48"/>
  <c r="AK49" i="48"/>
  <c r="AL49" i="48"/>
  <c r="AM49" i="48"/>
  <c r="AN49" i="48"/>
  <c r="AO49" i="48"/>
  <c r="AP49" i="48"/>
  <c r="AQ49" i="48"/>
  <c r="AR49" i="48"/>
  <c r="AS49" i="48"/>
  <c r="AV49" i="48"/>
  <c r="AW49" i="48"/>
  <c r="AX49" i="48"/>
  <c r="AY49" i="48"/>
  <c r="AZ49" i="48"/>
  <c r="BA49" i="48"/>
  <c r="BB49" i="48"/>
  <c r="BC49" i="48"/>
  <c r="BD49" i="48"/>
  <c r="BE49" i="48"/>
  <c r="BF49" i="48"/>
  <c r="BG49" i="48"/>
  <c r="BH49" i="48"/>
  <c r="BI49" i="48"/>
  <c r="BJ49" i="48"/>
  <c r="BK49" i="48"/>
  <c r="BL49" i="48"/>
  <c r="BM49" i="48"/>
  <c r="BN49" i="48"/>
  <c r="BO49" i="48"/>
  <c r="BP49" i="48"/>
  <c r="BQ49" i="48"/>
  <c r="BR49" i="48"/>
  <c r="BS49" i="48"/>
  <c r="BT49" i="48"/>
  <c r="BU49" i="48"/>
  <c r="BX49" i="48"/>
  <c r="BY49" i="48"/>
  <c r="BZ49" i="48"/>
  <c r="CA49" i="48"/>
  <c r="CB49" i="48"/>
  <c r="CC49" i="48"/>
  <c r="CD49" i="48"/>
  <c r="CE49" i="48"/>
  <c r="CF49" i="48"/>
  <c r="CG49" i="48"/>
  <c r="CH49" i="48"/>
  <c r="CI49" i="48"/>
  <c r="CJ49" i="48"/>
  <c r="CK49" i="48"/>
  <c r="CL49" i="48"/>
  <c r="CM49" i="48"/>
  <c r="CN49" i="48"/>
  <c r="CO49" i="48"/>
  <c r="CP49" i="48"/>
  <c r="CQ49" i="48"/>
  <c r="CR49" i="48"/>
  <c r="CS49" i="48"/>
  <c r="CU49" i="48"/>
  <c r="CV49" i="48"/>
  <c r="CW49" i="48"/>
  <c r="CX49" i="48"/>
  <c r="CY49" i="48"/>
  <c r="CZ49" i="48"/>
  <c r="J50" i="48"/>
  <c r="K50" i="48"/>
  <c r="L50" i="48"/>
  <c r="M50" i="48"/>
  <c r="N50" i="48"/>
  <c r="O50" i="48"/>
  <c r="P50" i="48"/>
  <c r="Q50" i="48"/>
  <c r="R50" i="48"/>
  <c r="S50" i="48"/>
  <c r="T50" i="48"/>
  <c r="U50" i="48"/>
  <c r="V50" i="48"/>
  <c r="W50" i="48"/>
  <c r="X50" i="48"/>
  <c r="Y50" i="48"/>
  <c r="Z50" i="48"/>
  <c r="AA50" i="48"/>
  <c r="AB50" i="48"/>
  <c r="AC50" i="48"/>
  <c r="AD50" i="48"/>
  <c r="AE50" i="48"/>
  <c r="AF50" i="48"/>
  <c r="AG50" i="48"/>
  <c r="AH50" i="48"/>
  <c r="AI50" i="48"/>
  <c r="AJ50" i="48"/>
  <c r="AK50" i="48"/>
  <c r="AL50" i="48"/>
  <c r="AM50" i="48"/>
  <c r="AN50" i="48"/>
  <c r="AO50" i="48"/>
  <c r="AP50" i="48"/>
  <c r="AQ50" i="48"/>
  <c r="AR50" i="48"/>
  <c r="AS50" i="48"/>
  <c r="AV50" i="48"/>
  <c r="AW50" i="48"/>
  <c r="AX50" i="48"/>
  <c r="AY50" i="48"/>
  <c r="AZ50" i="48"/>
  <c r="BA50" i="48"/>
  <c r="BB50" i="48"/>
  <c r="BC50" i="48"/>
  <c r="BD50" i="48"/>
  <c r="BE50" i="48"/>
  <c r="BF50" i="48"/>
  <c r="BG50" i="48"/>
  <c r="BH50" i="48"/>
  <c r="BI50" i="48"/>
  <c r="BJ50" i="48"/>
  <c r="BK50" i="48"/>
  <c r="BL50" i="48"/>
  <c r="BM50" i="48"/>
  <c r="BN50" i="48"/>
  <c r="BO50" i="48"/>
  <c r="BP50" i="48"/>
  <c r="BQ50" i="48"/>
  <c r="BR50" i="48"/>
  <c r="BS50" i="48"/>
  <c r="BT50" i="48"/>
  <c r="BU50" i="48"/>
  <c r="BX50" i="48"/>
  <c r="BY50" i="48"/>
  <c r="BZ50" i="48"/>
  <c r="CA50" i="48"/>
  <c r="CB50" i="48"/>
  <c r="CC50" i="48"/>
  <c r="CD50" i="48"/>
  <c r="CE50" i="48"/>
  <c r="CF50" i="48"/>
  <c r="CG50" i="48"/>
  <c r="CH50" i="48"/>
  <c r="CI50" i="48"/>
  <c r="CJ50" i="48"/>
  <c r="CK50" i="48"/>
  <c r="CL50" i="48"/>
  <c r="CM50" i="48"/>
  <c r="CN50" i="48"/>
  <c r="CO50" i="48"/>
  <c r="CP50" i="48"/>
  <c r="CQ50" i="48"/>
  <c r="CR50" i="48"/>
  <c r="CS50" i="48"/>
  <c r="CT50" i="48"/>
  <c r="CU50" i="48"/>
  <c r="CV50" i="48"/>
  <c r="CX50" i="48"/>
  <c r="CY50" i="48"/>
  <c r="DA50" i="48"/>
  <c r="D39" i="48"/>
  <c r="D40" i="48"/>
  <c r="D41" i="48"/>
  <c r="D42" i="48"/>
  <c r="D43" i="48"/>
  <c r="D44" i="48"/>
  <c r="F39" i="48"/>
  <c r="CA39" i="48" s="1"/>
  <c r="J51" i="48"/>
  <c r="K51" i="48"/>
  <c r="L51" i="48"/>
  <c r="M51" i="48"/>
  <c r="N51" i="48"/>
  <c r="O51" i="48"/>
  <c r="P51" i="48"/>
  <c r="Q51" i="48"/>
  <c r="R51" i="48"/>
  <c r="S51" i="48"/>
  <c r="T51" i="48"/>
  <c r="U51" i="48"/>
  <c r="V51" i="48"/>
  <c r="W51" i="48"/>
  <c r="X51" i="48"/>
  <c r="Y51" i="48"/>
  <c r="Z51" i="48"/>
  <c r="AA51" i="48"/>
  <c r="AB51" i="48"/>
  <c r="AC51" i="48"/>
  <c r="AD51" i="48"/>
  <c r="AE51" i="48"/>
  <c r="AF51" i="48"/>
  <c r="AG51" i="48"/>
  <c r="AH51" i="48"/>
  <c r="AI51" i="48"/>
  <c r="AJ51" i="48"/>
  <c r="AK51" i="48"/>
  <c r="AL51" i="48"/>
  <c r="AM51" i="48"/>
  <c r="AN51" i="48"/>
  <c r="AO51" i="48"/>
  <c r="AP51" i="48"/>
  <c r="AQ51" i="48"/>
  <c r="AR51" i="48"/>
  <c r="AS51" i="48"/>
  <c r="AV51" i="48"/>
  <c r="AW51" i="48"/>
  <c r="AX51" i="48"/>
  <c r="AY51" i="48"/>
  <c r="AZ51" i="48"/>
  <c r="BA51" i="48"/>
  <c r="BB51" i="48"/>
  <c r="BC51" i="48"/>
  <c r="BD51" i="48"/>
  <c r="BE51" i="48"/>
  <c r="BF51" i="48"/>
  <c r="BG51" i="48"/>
  <c r="BH51" i="48"/>
  <c r="BI51" i="48"/>
  <c r="BJ51" i="48"/>
  <c r="BK51" i="48"/>
  <c r="BL51" i="48"/>
  <c r="BM51" i="48"/>
  <c r="BN51" i="48"/>
  <c r="BO51" i="48"/>
  <c r="BP51" i="48"/>
  <c r="BQ51" i="48"/>
  <c r="BR51" i="48"/>
  <c r="BS51" i="48"/>
  <c r="BT51" i="48"/>
  <c r="BU51" i="48"/>
  <c r="BX51" i="48"/>
  <c r="BY51" i="48"/>
  <c r="BZ51" i="48"/>
  <c r="CA51" i="48"/>
  <c r="CB51" i="48"/>
  <c r="CC51" i="48"/>
  <c r="CD51" i="48"/>
  <c r="CE51" i="48"/>
  <c r="CF51" i="48"/>
  <c r="CG51" i="48"/>
  <c r="CH51" i="48"/>
  <c r="CI51" i="48"/>
  <c r="CJ51" i="48"/>
  <c r="CK51" i="48"/>
  <c r="CL51" i="48"/>
  <c r="CM51" i="48"/>
  <c r="CN51" i="48"/>
  <c r="CO51" i="48"/>
  <c r="CP51" i="48"/>
  <c r="CQ51" i="48"/>
  <c r="CR51" i="48"/>
  <c r="CS51" i="48"/>
  <c r="CT51" i="48"/>
  <c r="CU51" i="48"/>
  <c r="CV51" i="48"/>
  <c r="CW51" i="48"/>
  <c r="CX51" i="48"/>
  <c r="CY51" i="48"/>
  <c r="CZ51" i="48"/>
  <c r="DA51" i="48"/>
  <c r="A10" i="48" a="1"/>
  <c r="A10" i="48" s="1"/>
  <c r="K7" i="62" l="1"/>
  <c r="M7" i="62"/>
  <c r="K8" i="62"/>
  <c r="M8" i="62"/>
  <c r="K6" i="62"/>
  <c r="M6" i="62"/>
  <c r="K17" i="62"/>
  <c r="M17" i="62"/>
  <c r="K5" i="62"/>
  <c r="M16" i="62"/>
  <c r="K16" i="62"/>
  <c r="M5" i="62"/>
  <c r="O23" i="45"/>
  <c r="O96" i="45" s="1"/>
  <c r="M23" i="45"/>
  <c r="M96" i="45" s="1"/>
  <c r="M15" i="62"/>
  <c r="M14" i="62"/>
  <c r="K15" i="62"/>
  <c r="K14" i="62"/>
  <c r="CB39" i="48"/>
  <c r="A5" i="12" l="1"/>
  <c r="A10" i="12"/>
  <c r="A11" i="12"/>
  <c r="A12" i="12"/>
  <c r="A19" i="12"/>
  <c r="A24" i="12"/>
  <c r="A26" i="12"/>
  <c r="A27" i="12"/>
  <c r="A28" i="12"/>
  <c r="A21" i="12"/>
  <c r="A4" i="12"/>
  <c r="A22" i="12"/>
  <c r="A29" i="12"/>
  <c r="A44" i="12"/>
  <c r="A43" i="12"/>
  <c r="A47" i="12"/>
  <c r="A9" i="12"/>
  <c r="B25" i="55" l="1"/>
  <c r="A25" i="55" s="1"/>
  <c r="B26" i="55"/>
  <c r="A26" i="55" s="1"/>
  <c r="B27" i="55"/>
  <c r="A27" i="55" s="1"/>
  <c r="B11" i="55"/>
  <c r="A11" i="55" s="1"/>
  <c r="M20" i="34" l="1"/>
  <c r="M19" i="34"/>
  <c r="M16" i="34"/>
  <c r="M17" i="34"/>
  <c r="M10" i="34" l="1"/>
  <c r="AD10" i="34"/>
  <c r="G7" i="57" l="1"/>
  <c r="D81" i="12"/>
  <c r="E30" i="57" l="1"/>
  <c r="E29" i="57"/>
  <c r="E22" i="57"/>
  <c r="E21" i="57"/>
  <c r="E16" i="57"/>
  <c r="E27" i="57"/>
  <c r="E18" i="57"/>
  <c r="E17" i="57"/>
  <c r="E28" i="57"/>
  <c r="E23" i="57"/>
  <c r="E24" i="57"/>
  <c r="E19" i="57"/>
  <c r="E26" i="57"/>
  <c r="E25" i="57"/>
  <c r="E20" i="57"/>
  <c r="I184" i="42"/>
  <c r="G81" i="43"/>
  <c r="E16" i="61" l="1"/>
  <c r="B11" i="61"/>
  <c r="D5" i="61"/>
  <c r="W248" i="60"/>
  <c r="O204" i="60"/>
  <c r="M204" i="60"/>
  <c r="D197" i="60"/>
  <c r="A197" i="60"/>
  <c r="A198" i="60" s="1"/>
  <c r="A199" i="60" s="1"/>
  <c r="A200" i="60" s="1"/>
  <c r="A201" i="60" s="1"/>
  <c r="A202" i="60" s="1"/>
  <c r="V185" i="60"/>
  <c r="V184" i="60"/>
  <c r="W183" i="60"/>
  <c r="O185" i="60"/>
  <c r="E185" i="60"/>
  <c r="H175" i="60" s="1"/>
  <c r="G183" i="60"/>
  <c r="V181" i="60"/>
  <c r="G181" i="60"/>
  <c r="V176" i="60"/>
  <c r="V175" i="60"/>
  <c r="M185" i="60"/>
  <c r="V166" i="60"/>
  <c r="W165" i="60"/>
  <c r="O163" i="60"/>
  <c r="C162" i="60"/>
  <c r="A162" i="60"/>
  <c r="A157" i="60"/>
  <c r="A158" i="60" s="1"/>
  <c r="A159" i="60" s="1"/>
  <c r="A160" i="60" s="1"/>
  <c r="A161" i="60" s="1"/>
  <c r="W148" i="60"/>
  <c r="O145" i="60"/>
  <c r="V142" i="60"/>
  <c r="V141" i="60"/>
  <c r="V140" i="60"/>
  <c r="L131" i="60"/>
  <c r="W112" i="60"/>
  <c r="O131" i="60"/>
  <c r="A130" i="60"/>
  <c r="A31" i="58"/>
  <c r="I13" i="58"/>
  <c r="C8" i="58"/>
  <c r="I7" i="57"/>
  <c r="A27" i="56"/>
  <c r="A12" i="56"/>
  <c r="D7" i="56"/>
  <c r="C7" i="56"/>
  <c r="D5" i="56"/>
  <c r="F75" i="55"/>
  <c r="B51" i="55"/>
  <c r="A51" i="55" s="1"/>
  <c r="L13" i="54"/>
  <c r="L18" i="54" s="1"/>
  <c r="A27" i="52"/>
  <c r="A8" i="52"/>
  <c r="I13" i="62" a="1"/>
  <c r="I13" i="62" s="1"/>
  <c r="G13" i="62" a="1"/>
  <c r="G13" i="62" s="1"/>
  <c r="I11" i="62" a="1"/>
  <c r="I11" i="62" s="1"/>
  <c r="G11" i="62" a="1"/>
  <c r="G11" i="62" s="1"/>
  <c r="I12" i="62" a="1"/>
  <c r="I12" i="62" s="1"/>
  <c r="G12" i="62" a="1"/>
  <c r="G12" i="62" s="1"/>
  <c r="I10" i="62" a="1"/>
  <c r="I10" i="62" s="1"/>
  <c r="G10" i="62" a="1"/>
  <c r="G10" i="62" s="1"/>
  <c r="A6" i="42"/>
  <c r="M24" i="39"/>
  <c r="H24" i="39"/>
  <c r="M17" i="39"/>
  <c r="H17" i="39"/>
  <c r="C11" i="39"/>
  <c r="M7" i="39"/>
  <c r="L7" i="39"/>
  <c r="L6" i="39"/>
  <c r="H4" i="39"/>
  <c r="L3" i="39"/>
  <c r="L2" i="39"/>
  <c r="L1" i="39"/>
  <c r="I14" i="47"/>
  <c r="H14" i="47"/>
  <c r="E8" i="47"/>
  <c r="AZ59" i="51"/>
  <c r="A51" i="51" a="1"/>
  <c r="A51" i="51" s="1"/>
  <c r="I51" i="51" s="1"/>
  <c r="A39" i="51" a="1"/>
  <c r="A39" i="51" s="1"/>
  <c r="I39" i="51" s="1"/>
  <c r="A38" i="51" a="1"/>
  <c r="A38" i="51" s="1"/>
  <c r="I38" i="51" s="1"/>
  <c r="A37" i="51" a="1"/>
  <c r="A37" i="51" s="1"/>
  <c r="I37" i="51" s="1"/>
  <c r="A36" i="51" a="1"/>
  <c r="A36" i="51" s="1"/>
  <c r="I36" i="51" s="1"/>
  <c r="A35" i="51" a="1"/>
  <c r="A35" i="51" s="1"/>
  <c r="I35" i="51" s="1"/>
  <c r="A34" i="51" a="1"/>
  <c r="A34" i="51" s="1"/>
  <c r="I34" i="51" s="1"/>
  <c r="A33" i="51" a="1"/>
  <c r="A33" i="51" s="1"/>
  <c r="I33" i="51" s="1"/>
  <c r="A32" i="51" a="1"/>
  <c r="A32" i="51" s="1"/>
  <c r="I32" i="51" s="1"/>
  <c r="A31" i="51" a="1"/>
  <c r="A31" i="51" s="1"/>
  <c r="I31" i="51" s="1"/>
  <c r="A30" i="51" a="1"/>
  <c r="A30" i="51" s="1"/>
  <c r="I30" i="51" s="1"/>
  <c r="A29" i="51" a="1"/>
  <c r="A29" i="51" s="1"/>
  <c r="I29" i="51" s="1"/>
  <c r="A28" i="51" a="1"/>
  <c r="A28" i="51" s="1"/>
  <c r="I28" i="51" s="1"/>
  <c r="A27" i="51" a="1"/>
  <c r="A27" i="51" s="1"/>
  <c r="I27" i="51" s="1"/>
  <c r="A26" i="51" a="1"/>
  <c r="A26" i="51" s="1"/>
  <c r="I26" i="51" s="1"/>
  <c r="A25" i="51" a="1"/>
  <c r="A25" i="51" s="1"/>
  <c r="I25" i="51" s="1"/>
  <c r="A24" i="51" a="1"/>
  <c r="A24" i="51" s="1"/>
  <c r="I24" i="51" s="1"/>
  <c r="A23" i="51" a="1"/>
  <c r="A23" i="51" s="1"/>
  <c r="I23" i="51" s="1"/>
  <c r="A22" i="51" a="1"/>
  <c r="A22" i="51" s="1"/>
  <c r="I22" i="51" s="1"/>
  <c r="A21" i="51" a="1"/>
  <c r="A21" i="51" s="1"/>
  <c r="I21" i="51" s="1"/>
  <c r="A20" i="51" a="1"/>
  <c r="A20" i="51" s="1"/>
  <c r="I20" i="51" s="1"/>
  <c r="A19" i="51" a="1"/>
  <c r="A19" i="51" s="1"/>
  <c r="I19" i="51" s="1"/>
  <c r="A18" i="51" a="1"/>
  <c r="A18" i="51" s="1"/>
  <c r="I18" i="51" s="1"/>
  <c r="A17" i="51" a="1"/>
  <c r="A17" i="51" s="1"/>
  <c r="I17" i="51" s="1"/>
  <c r="A16" i="51" a="1"/>
  <c r="A16" i="51" s="1"/>
  <c r="I16" i="51" s="1"/>
  <c r="A15" i="51" a="1"/>
  <c r="A15" i="51" s="1"/>
  <c r="I15" i="51" s="1"/>
  <c r="A14" i="51" a="1"/>
  <c r="A14" i="51" s="1"/>
  <c r="I14" i="51" s="1"/>
  <c r="A13" i="51" a="1"/>
  <c r="A13" i="51" s="1"/>
  <c r="I13" i="51" s="1"/>
  <c r="A12" i="51" a="1"/>
  <c r="A12" i="51" s="1"/>
  <c r="I12" i="51" s="1"/>
  <c r="AZ59" i="50"/>
  <c r="A51" i="50" a="1"/>
  <c r="A51" i="50" s="1"/>
  <c r="I51" i="50" s="1"/>
  <c r="A39" i="50" a="1"/>
  <c r="A39" i="50" s="1"/>
  <c r="I39" i="50" s="1"/>
  <c r="A38" i="50" a="1"/>
  <c r="A38" i="50" s="1"/>
  <c r="I38" i="50" s="1"/>
  <c r="A37" i="50" a="1"/>
  <c r="A37" i="50" s="1"/>
  <c r="I37" i="50" s="1"/>
  <c r="A36" i="50" a="1"/>
  <c r="A36" i="50" s="1"/>
  <c r="I36" i="50" s="1"/>
  <c r="A35" i="50" a="1"/>
  <c r="A35" i="50" s="1"/>
  <c r="I35" i="50" s="1"/>
  <c r="A34" i="50" a="1"/>
  <c r="A34" i="50" s="1"/>
  <c r="I34" i="50" s="1"/>
  <c r="A33" i="50" a="1"/>
  <c r="A33" i="50" s="1"/>
  <c r="I33" i="50" s="1"/>
  <c r="A32" i="50" a="1"/>
  <c r="A32" i="50" s="1"/>
  <c r="I32" i="50" s="1"/>
  <c r="A31" i="50" a="1"/>
  <c r="A31" i="50" s="1"/>
  <c r="I31" i="50" s="1"/>
  <c r="A30" i="50" a="1"/>
  <c r="A30" i="50" s="1"/>
  <c r="I30" i="50" s="1"/>
  <c r="A29" i="50" a="1"/>
  <c r="A29" i="50" s="1"/>
  <c r="I29" i="50" s="1"/>
  <c r="A28" i="50" a="1"/>
  <c r="A28" i="50" s="1"/>
  <c r="I28" i="50" s="1"/>
  <c r="A27" i="50" a="1"/>
  <c r="A27" i="50" s="1"/>
  <c r="I27" i="50" s="1"/>
  <c r="A26" i="50" a="1"/>
  <c r="A26" i="50" s="1"/>
  <c r="I26" i="50" s="1"/>
  <c r="A25" i="50" a="1"/>
  <c r="A25" i="50" s="1"/>
  <c r="I25" i="50" s="1"/>
  <c r="A24" i="50" a="1"/>
  <c r="A24" i="50" s="1"/>
  <c r="I24" i="50" s="1"/>
  <c r="A23" i="50" a="1"/>
  <c r="A23" i="50" s="1"/>
  <c r="I23" i="50" s="1"/>
  <c r="A22" i="50" a="1"/>
  <c r="A22" i="50" s="1"/>
  <c r="I22" i="50" s="1"/>
  <c r="A21" i="50" a="1"/>
  <c r="A21" i="50" s="1"/>
  <c r="I21" i="50" s="1"/>
  <c r="A20" i="50" a="1"/>
  <c r="A20" i="50" s="1"/>
  <c r="I20" i="50" s="1"/>
  <c r="A19" i="50" a="1"/>
  <c r="A19" i="50" s="1"/>
  <c r="I19" i="50" s="1"/>
  <c r="A18" i="50" a="1"/>
  <c r="A18" i="50" s="1"/>
  <c r="I18" i="50" s="1"/>
  <c r="A17" i="50" a="1"/>
  <c r="A17" i="50" s="1"/>
  <c r="I17" i="50" s="1"/>
  <c r="A16" i="50" a="1"/>
  <c r="A16" i="50" s="1"/>
  <c r="I16" i="50" s="1"/>
  <c r="A15" i="50" a="1"/>
  <c r="A15" i="50" s="1"/>
  <c r="I15" i="50" s="1"/>
  <c r="A14" i="50" a="1"/>
  <c r="A14" i="50" s="1"/>
  <c r="I14" i="50" s="1"/>
  <c r="A13" i="50" a="1"/>
  <c r="A13" i="50" s="1"/>
  <c r="I13" i="50" s="1"/>
  <c r="A12" i="50" a="1"/>
  <c r="A12" i="50" s="1"/>
  <c r="I12" i="50" s="1"/>
  <c r="AZ59" i="49"/>
  <c r="A51" i="49" a="1"/>
  <c r="A51" i="49" s="1"/>
  <c r="I51" i="49" s="1"/>
  <c r="A39" i="49" a="1"/>
  <c r="A39" i="49" s="1"/>
  <c r="I39" i="49" s="1"/>
  <c r="A38" i="49" a="1"/>
  <c r="A38" i="49" s="1"/>
  <c r="I38" i="49" s="1"/>
  <c r="A37" i="49" a="1"/>
  <c r="A37" i="49" s="1"/>
  <c r="I37" i="49" s="1"/>
  <c r="A36" i="49" a="1"/>
  <c r="A36" i="49" s="1"/>
  <c r="I36" i="49" s="1"/>
  <c r="A35" i="49" a="1"/>
  <c r="A35" i="49" s="1"/>
  <c r="I35" i="49" s="1"/>
  <c r="A34" i="49" a="1"/>
  <c r="A34" i="49" s="1"/>
  <c r="I34" i="49" s="1"/>
  <c r="A33" i="49" a="1"/>
  <c r="A33" i="49" s="1"/>
  <c r="I33" i="49" s="1"/>
  <c r="A32" i="49" a="1"/>
  <c r="A32" i="49" s="1"/>
  <c r="I32" i="49" s="1"/>
  <c r="A31" i="49" a="1"/>
  <c r="A31" i="49" s="1"/>
  <c r="I31" i="49" s="1"/>
  <c r="A30" i="49" a="1"/>
  <c r="A30" i="49" s="1"/>
  <c r="I30" i="49" s="1"/>
  <c r="A29" i="49" a="1"/>
  <c r="A29" i="49" s="1"/>
  <c r="I29" i="49" s="1"/>
  <c r="A28" i="49" a="1"/>
  <c r="A28" i="49" s="1"/>
  <c r="I28" i="49" s="1"/>
  <c r="A27" i="49" a="1"/>
  <c r="A27" i="49" s="1"/>
  <c r="I27" i="49" s="1"/>
  <c r="A26" i="49" a="1"/>
  <c r="A26" i="49" s="1"/>
  <c r="I26" i="49" s="1"/>
  <c r="A25" i="49" a="1"/>
  <c r="A25" i="49" s="1"/>
  <c r="I25" i="49" s="1"/>
  <c r="A24" i="49" a="1"/>
  <c r="A24" i="49" s="1"/>
  <c r="I24" i="49" s="1"/>
  <c r="A23" i="49" a="1"/>
  <c r="A23" i="49" s="1"/>
  <c r="I23" i="49" s="1"/>
  <c r="A22" i="49" a="1"/>
  <c r="A22" i="49" s="1"/>
  <c r="I22" i="49" s="1"/>
  <c r="A21" i="49" a="1"/>
  <c r="A21" i="49" s="1"/>
  <c r="I21" i="49" s="1"/>
  <c r="A20" i="49" a="1"/>
  <c r="A20" i="49" s="1"/>
  <c r="I20" i="49" s="1"/>
  <c r="A19" i="49" a="1"/>
  <c r="A19" i="49" s="1"/>
  <c r="I19" i="49" s="1"/>
  <c r="A18" i="49" a="1"/>
  <c r="A18" i="49" s="1"/>
  <c r="I18" i="49" s="1"/>
  <c r="A17" i="49" a="1"/>
  <c r="A17" i="49" s="1"/>
  <c r="I17" i="49" s="1"/>
  <c r="A16" i="49" a="1"/>
  <c r="A16" i="49" s="1"/>
  <c r="I16" i="49" s="1"/>
  <c r="A15" i="49" a="1"/>
  <c r="A15" i="49" s="1"/>
  <c r="I15" i="49" s="1"/>
  <c r="A14" i="49" a="1"/>
  <c r="A14" i="49" s="1"/>
  <c r="I14" i="49" s="1"/>
  <c r="A13" i="49" a="1"/>
  <c r="A13" i="49" s="1"/>
  <c r="I13" i="49" s="1"/>
  <c r="A12" i="49" a="1"/>
  <c r="A12" i="49" s="1"/>
  <c r="I12" i="49" s="1"/>
  <c r="M2" i="49"/>
  <c r="M1" i="49"/>
  <c r="AZ59" i="48"/>
  <c r="A52" i="48" a="1"/>
  <c r="A52" i="48" s="1"/>
  <c r="A51" i="48" a="1"/>
  <c r="A51" i="48" s="1"/>
  <c r="I51" i="48" s="1"/>
  <c r="D50" i="48"/>
  <c r="D49" i="48"/>
  <c r="D48" i="48"/>
  <c r="D47" i="48"/>
  <c r="D46" i="48"/>
  <c r="D45" i="48"/>
  <c r="E30" i="34"/>
  <c r="AA30" i="34" s="1"/>
  <c r="E28" i="34"/>
  <c r="AA28" i="34" s="1"/>
  <c r="AC10" i="34"/>
  <c r="AA10" i="34"/>
  <c r="Y10" i="34"/>
  <c r="W10" i="34"/>
  <c r="P10" i="34"/>
  <c r="A10" i="34"/>
  <c r="X7" i="34"/>
  <c r="X2475" i="34" s="1"/>
  <c r="C12" i="61"/>
  <c r="H12" i="61"/>
  <c r="X2343" i="34" l="1"/>
  <c r="X2463" i="34"/>
  <c r="X2466" i="34"/>
  <c r="X2464" i="34"/>
  <c r="X2465" i="34"/>
  <c r="X3715" i="34"/>
  <c r="X2423" i="34"/>
  <c r="AA4574" i="34"/>
  <c r="AA3714" i="34"/>
  <c r="AA5505" i="34"/>
  <c r="AA4594" i="34"/>
  <c r="AA4227" i="34"/>
  <c r="AA5282" i="34"/>
  <c r="AA5396" i="34"/>
  <c r="AA4998" i="34"/>
  <c r="AA4226" i="34"/>
  <c r="AA4593" i="34"/>
  <c r="AA4029" i="34"/>
  <c r="AA5713" i="34"/>
  <c r="AA5395" i="34"/>
  <c r="AA3715" i="34"/>
  <c r="AA4388" i="34"/>
  <c r="AA4035" i="34"/>
  <c r="AA4999" i="34"/>
  <c r="AA5507" i="34"/>
  <c r="AA5381" i="34"/>
  <c r="AA5393" i="34"/>
  <c r="AA5048" i="34"/>
  <c r="AA4996" i="34"/>
  <c r="AA5508" i="34"/>
  <c r="AA5382" i="34"/>
  <c r="AA5394" i="34"/>
  <c r="AA5049" i="34"/>
  <c r="AA4997" i="34"/>
  <c r="AA4990" i="34"/>
  <c r="AA4949" i="34"/>
  <c r="AA4768" i="34"/>
  <c r="AA4566" i="34"/>
  <c r="AA4564" i="34"/>
  <c r="AA4233" i="34"/>
  <c r="AA3721" i="34"/>
  <c r="AA3497" i="34"/>
  <c r="AA3722" i="34"/>
  <c r="AA4989" i="34"/>
  <c r="AA4948" i="34"/>
  <c r="AA4767" i="34"/>
  <c r="AA4565" i="34"/>
  <c r="AA4234" i="34"/>
  <c r="AA4033" i="34"/>
  <c r="AA3657" i="34"/>
  <c r="AA3655" i="34"/>
  <c r="AA3473" i="34"/>
  <c r="AA3656" i="34"/>
  <c r="AA4034" i="34"/>
  <c r="AA3658" i="34"/>
  <c r="AA3474" i="34"/>
  <c r="AA3415" i="34"/>
  <c r="AA3422" i="34"/>
  <c r="AA3414" i="34"/>
  <c r="AA4138" i="34"/>
  <c r="AA3386" i="34"/>
  <c r="AA3423" i="34"/>
  <c r="AA4460" i="34"/>
  <c r="AA4639" i="34"/>
  <c r="AA4105" i="34"/>
  <c r="AA5675" i="34"/>
  <c r="AA4461" i="34"/>
  <c r="AA3394" i="34"/>
  <c r="AA3398" i="34"/>
  <c r="AA3359" i="34"/>
  <c r="AA3391" i="34"/>
  <c r="AA3417" i="34"/>
  <c r="AA3411" i="34"/>
  <c r="AA3400" i="34"/>
  <c r="AA3370" i="34"/>
  <c r="AA3384" i="34"/>
  <c r="AA3378" i="34"/>
  <c r="AA3367" i="34"/>
  <c r="AA3396" i="34"/>
  <c r="AA3375" i="34"/>
  <c r="AA3404" i="34"/>
  <c r="AA3405" i="34"/>
  <c r="AA3351" i="34"/>
  <c r="AA3353" i="34"/>
  <c r="AA3357" i="34"/>
  <c r="AA3380" i="34"/>
  <c r="AA3371" i="34"/>
  <c r="AA3362" i="34"/>
  <c r="AA3354" i="34"/>
  <c r="AA3416" i="34"/>
  <c r="AA3408" i="34"/>
  <c r="AA3390" i="34"/>
  <c r="AA2459" i="34"/>
  <c r="AA2455" i="34"/>
  <c r="AA2445" i="34"/>
  <c r="AA3348" i="34"/>
  <c r="AA3425" i="34"/>
  <c r="AA2458" i="34"/>
  <c r="AA2462" i="34"/>
  <c r="AA2452" i="34"/>
  <c r="AA3364" i="34"/>
  <c r="AA3379" i="34"/>
  <c r="AA3368" i="34"/>
  <c r="AA3356" i="34"/>
  <c r="AA3349" i="34"/>
  <c r="AA3389" i="34"/>
  <c r="AA3410" i="34"/>
  <c r="AA2460" i="34"/>
  <c r="AA2456" i="34"/>
  <c r="AA2450" i="34"/>
  <c r="AA3409" i="34"/>
  <c r="AA3420" i="34"/>
  <c r="AA3407" i="34"/>
  <c r="AA3387" i="34"/>
  <c r="AA3419" i="34"/>
  <c r="AA3421" i="34"/>
  <c r="AA4548" i="34"/>
  <c r="AA5337" i="34"/>
  <c r="AA4104" i="34"/>
  <c r="AA4490" i="34"/>
  <c r="AA3397" i="34"/>
  <c r="AA3418" i="34"/>
  <c r="AA3392" i="34"/>
  <c r="AA3352" i="34"/>
  <c r="AA3424" i="34"/>
  <c r="AA3412" i="34"/>
  <c r="AA3399" i="34"/>
  <c r="AA3373" i="34"/>
  <c r="AA3369" i="34"/>
  <c r="AA3382" i="34"/>
  <c r="AA3374" i="34"/>
  <c r="AA3393" i="34"/>
  <c r="AA3395" i="34"/>
  <c r="AA3406" i="34"/>
  <c r="AA3401" i="34"/>
  <c r="AA3403" i="34"/>
  <c r="AA3363" i="34"/>
  <c r="AA3350" i="34"/>
  <c r="AA3388" i="34"/>
  <c r="AA3376" i="34"/>
  <c r="AA3366" i="34"/>
  <c r="AA3360" i="34"/>
  <c r="AA3426" i="34"/>
  <c r="AA3413" i="34"/>
  <c r="AA3402" i="34"/>
  <c r="AA3358" i="34"/>
  <c r="AA2457" i="34"/>
  <c r="AA2461" i="34"/>
  <c r="AA2451" i="34"/>
  <c r="AA2448" i="34"/>
  <c r="AA2443" i="34"/>
  <c r="AA3383" i="34"/>
  <c r="AA3372" i="34"/>
  <c r="AA3361" i="34"/>
  <c r="AA3347" i="34"/>
  <c r="AA2449" i="34"/>
  <c r="AA2444" i="34"/>
  <c r="AA5538" i="34"/>
  <c r="AA2427" i="34"/>
  <c r="AA2478" i="34"/>
  <c r="AA2480" i="34"/>
  <c r="AA2446" i="34"/>
  <c r="AA2436" i="34"/>
  <c r="AA2432" i="34"/>
  <c r="AA2287" i="34"/>
  <c r="AA2278" i="34"/>
  <c r="AA2271" i="34"/>
  <c r="AA2268" i="34"/>
  <c r="AA2264" i="34"/>
  <c r="AA2165" i="34"/>
  <c r="AA2160" i="34"/>
  <c r="AA2150" i="34"/>
  <c r="AA1979" i="34"/>
  <c r="AA1983" i="34"/>
  <c r="AA1970" i="34"/>
  <c r="AA1966" i="34"/>
  <c r="AA1962" i="34"/>
  <c r="AA2172" i="34"/>
  <c r="AA2168" i="34"/>
  <c r="AA2164" i="34"/>
  <c r="AA2158" i="34"/>
  <c r="AA2154" i="34"/>
  <c r="AA1990" i="34"/>
  <c r="AA2453" i="34"/>
  <c r="AA2438" i="34"/>
  <c r="AA2280" i="34"/>
  <c r="AA2273" i="34"/>
  <c r="AA1960" i="34"/>
  <c r="AA2163" i="34"/>
  <c r="AA2156" i="34"/>
  <c r="AA1988" i="34"/>
  <c r="AA1961" i="34"/>
  <c r="AA2171" i="34"/>
  <c r="AA2153" i="34"/>
  <c r="AA2428" i="34"/>
  <c r="AA2424" i="34"/>
  <c r="AA2473" i="34"/>
  <c r="AA2467" i="34"/>
  <c r="AA2471" i="34"/>
  <c r="AA2479" i="34"/>
  <c r="AA2447" i="34"/>
  <c r="AA2440" i="34"/>
  <c r="AA2437" i="34"/>
  <c r="AA2433" i="34"/>
  <c r="AA2288" i="34"/>
  <c r="AA2285" i="34"/>
  <c r="AA2282" i="34"/>
  <c r="AA2279" i="34"/>
  <c r="AA2275" i="34"/>
  <c r="AA2272" i="34"/>
  <c r="AA2269" i="34"/>
  <c r="AA2265" i="34"/>
  <c r="AA5522" i="34"/>
  <c r="AA5457" i="34"/>
  <c r="AA5392" i="34"/>
  <c r="AA5560" i="34"/>
  <c r="AA5558" i="34"/>
  <c r="AA5643" i="34"/>
  <c r="AA5674" i="34"/>
  <c r="AA2161" i="34"/>
  <c r="AA2147" i="34"/>
  <c r="AA1968" i="34"/>
  <c r="AA1971" i="34"/>
  <c r="AA1967" i="34"/>
  <c r="AA1963" i="34"/>
  <c r="AA1959" i="34"/>
  <c r="AA2169" i="34"/>
  <c r="AA2159" i="34"/>
  <c r="AA2155" i="34"/>
  <c r="AA2151" i="34"/>
  <c r="AA1987" i="34"/>
  <c r="AA2425" i="34"/>
  <c r="AA2470" i="34"/>
  <c r="AA2441" i="34"/>
  <c r="AA2434" i="34"/>
  <c r="AA2430" i="34"/>
  <c r="AA1964" i="34"/>
  <c r="AA2170" i="34"/>
  <c r="AA2166" i="34"/>
  <c r="AA2152" i="34"/>
  <c r="AA5521" i="34"/>
  <c r="AA5456" i="34"/>
  <c r="AA5557" i="34"/>
  <c r="AA5673" i="34"/>
  <c r="AA2149" i="34"/>
  <c r="AA2167" i="34"/>
  <c r="AA2429" i="34"/>
  <c r="AA2474" i="34"/>
  <c r="AA2476" i="34"/>
  <c r="AA2468" i="34"/>
  <c r="AA2289" i="34"/>
  <c r="AA2276" i="34"/>
  <c r="AA2270" i="34"/>
  <c r="AA2266" i="34"/>
  <c r="AA2148" i="34"/>
  <c r="AA1969" i="34"/>
  <c r="AA5391" i="34"/>
  <c r="AA5559" i="34"/>
  <c r="AA5642" i="34"/>
  <c r="AA2162" i="34"/>
  <c r="AA2157" i="34"/>
  <c r="AA2426" i="34"/>
  <c r="AA2472" i="34"/>
  <c r="AA2477" i="34"/>
  <c r="AA2469" i="34"/>
  <c r="AA2454" i="34"/>
  <c r="AA2442" i="34"/>
  <c r="AA2439" i="34"/>
  <c r="AA2435" i="34"/>
  <c r="AA2431" i="34"/>
  <c r="AA2283" i="34"/>
  <c r="AA2286" i="34"/>
  <c r="AA2284" i="34"/>
  <c r="AA2281" i="34"/>
  <c r="AA2277" i="34"/>
  <c r="AA2274" i="34"/>
  <c r="AA2267" i="34"/>
  <c r="AA5537" i="34"/>
  <c r="AA1982" i="34"/>
  <c r="AA1965" i="34"/>
  <c r="AA1989" i="34"/>
  <c r="AA1994" i="34"/>
  <c r="AA1984" i="34"/>
  <c r="AA1977" i="34"/>
  <c r="AA1973" i="34"/>
  <c r="AA1822" i="34"/>
  <c r="AA1816" i="34"/>
  <c r="AA1813" i="34"/>
  <c r="AA1809" i="34"/>
  <c r="AA1744" i="34"/>
  <c r="AA3381" i="34"/>
  <c r="AA3365" i="34"/>
  <c r="AA3385" i="34"/>
  <c r="AA5217" i="34"/>
  <c r="AA5055" i="34"/>
  <c r="AA3736" i="34"/>
  <c r="AA4985" i="34"/>
  <c r="AA4844" i="34"/>
  <c r="AA4827" i="34"/>
  <c r="AA4753" i="34"/>
  <c r="AA4751" i="34"/>
  <c r="AA5302" i="34"/>
  <c r="AA5300" i="34"/>
  <c r="AA5281" i="34"/>
  <c r="AA5219" i="34"/>
  <c r="AA5334" i="34"/>
  <c r="AA5332" i="34"/>
  <c r="AA5336" i="34"/>
  <c r="AA5331" i="34"/>
  <c r="AA5335" i="34"/>
  <c r="AA1991" i="34"/>
  <c r="AA1985" i="34"/>
  <c r="AA1978" i="34"/>
  <c r="AA1974" i="34"/>
  <c r="AA1820" i="34"/>
  <c r="AA1817" i="34"/>
  <c r="AA1814" i="34"/>
  <c r="AA1810" i="34"/>
  <c r="AA1992" i="34"/>
  <c r="AA1986" i="34"/>
  <c r="AA1980" i="34"/>
  <c r="AA1975" i="34"/>
  <c r="AA1958" i="34"/>
  <c r="AA1818" i="34"/>
  <c r="AA1811" i="34"/>
  <c r="AA3377" i="34"/>
  <c r="AA3355" i="34"/>
  <c r="AA5216" i="34"/>
  <c r="AA5054" i="34"/>
  <c r="AA3735" i="34"/>
  <c r="AA4984" i="34"/>
  <c r="AA4843" i="34"/>
  <c r="AA4826" i="34"/>
  <c r="AA4752" i="34"/>
  <c r="AA4750" i="34"/>
  <c r="AA5301" i="34"/>
  <c r="AA5299" i="34"/>
  <c r="AA5280" i="34"/>
  <c r="AA5218" i="34"/>
  <c r="AA5333" i="34"/>
  <c r="AA1993" i="34"/>
  <c r="AA1981" i="34"/>
  <c r="AA1976" i="34"/>
  <c r="AA1972" i="34"/>
  <c r="AA1821" i="34"/>
  <c r="AA1819" i="34"/>
  <c r="AA1815" i="34"/>
  <c r="AA1812" i="34"/>
  <c r="AA1808" i="34"/>
  <c r="AA1729" i="34"/>
  <c r="AA1725" i="34"/>
  <c r="AA1730" i="34"/>
  <c r="AA1726" i="34"/>
  <c r="AA1722" i="34"/>
  <c r="AA1731" i="34"/>
  <c r="AA1727" i="34"/>
  <c r="AA1723" i="34"/>
  <c r="AA1735" i="34"/>
  <c r="AA1728" i="34"/>
  <c r="AA1724" i="34"/>
  <c r="AA1748" i="34"/>
  <c r="AA1743" i="34"/>
  <c r="AA1739" i="34"/>
  <c r="AA1734" i="34"/>
  <c r="AA1581" i="34"/>
  <c r="AA1586" i="34"/>
  <c r="AA1576" i="34"/>
  <c r="AA1577" i="34"/>
  <c r="AA1569" i="34"/>
  <c r="AA1566" i="34"/>
  <c r="AA1562" i="34"/>
  <c r="AA1559" i="34"/>
  <c r="AA1601" i="34"/>
  <c r="AA1597" i="34"/>
  <c r="AA1593" i="34"/>
  <c r="AA1607" i="34"/>
  <c r="AA1749" i="34"/>
  <c r="AA1745" i="34"/>
  <c r="AA1740" i="34"/>
  <c r="AA1736" i="34"/>
  <c r="AA1582" i="34"/>
  <c r="AA1587" i="34"/>
  <c r="AA1574" i="34"/>
  <c r="AA1578" i="34"/>
  <c r="AA1570" i="34"/>
  <c r="AA1563" i="34"/>
  <c r="AA1602" i="34"/>
  <c r="AA1598" i="34"/>
  <c r="AA1594" i="34"/>
  <c r="AA1608" i="34"/>
  <c r="AA1746" i="34"/>
  <c r="AA1741" i="34"/>
  <c r="AA1737" i="34"/>
  <c r="AA1732" i="34"/>
  <c r="AA1575" i="34"/>
  <c r="AA1579" i="34"/>
  <c r="AA1584" i="34"/>
  <c r="AA1571" i="34"/>
  <c r="AA1567" i="34"/>
  <c r="AA1564" i="34"/>
  <c r="AA1560" i="34"/>
  <c r="AA1603" i="34"/>
  <c r="AA1599" i="34"/>
  <c r="AA1595" i="34"/>
  <c r="AA1609" i="34"/>
  <c r="AA1605" i="34"/>
  <c r="AA1747" i="34"/>
  <c r="AA1742" i="34"/>
  <c r="AA1738" i="34"/>
  <c r="AA1733" i="34"/>
  <c r="AA1580" i="34"/>
  <c r="AA1585" i="34"/>
  <c r="AA1583" i="34"/>
  <c r="AA1568" i="34"/>
  <c r="AA1565" i="34"/>
  <c r="AA1561" i="34"/>
  <c r="AA1604" i="34"/>
  <c r="AA1600" i="34"/>
  <c r="AA1596" i="34"/>
  <c r="AA1610" i="34"/>
  <c r="AA1606" i="34"/>
  <c r="AA1613" i="34"/>
  <c r="AA1591" i="34"/>
  <c r="AA1573" i="34"/>
  <c r="AA1406" i="34"/>
  <c r="AA1421" i="34"/>
  <c r="AA1411" i="34"/>
  <c r="AA1404" i="34"/>
  <c r="AA1400" i="34"/>
  <c r="AA1396" i="34"/>
  <c r="AA1428" i="34"/>
  <c r="AA1423" i="34"/>
  <c r="AA1389" i="34"/>
  <c r="AA1254" i="34"/>
  <c r="AA1251" i="34"/>
  <c r="AA1259" i="34"/>
  <c r="AA1247" i="34"/>
  <c r="AA1244" i="34"/>
  <c r="AA1240" i="34"/>
  <c r="AA1239" i="34"/>
  <c r="AA1236" i="34"/>
  <c r="AA1265" i="34"/>
  <c r="AA1249" i="34"/>
  <c r="AA1245" i="34"/>
  <c r="AA1230" i="34"/>
  <c r="AA1128" i="34"/>
  <c r="AA1121" i="34"/>
  <c r="AA1117" i="34"/>
  <c r="AA1138" i="34"/>
  <c r="AA1136" i="34"/>
  <c r="AA1112" i="34"/>
  <c r="AA1108" i="34"/>
  <c r="AA1104" i="34"/>
  <c r="AA1008" i="34"/>
  <c r="AA1005" i="34"/>
  <c r="AA1001" i="34"/>
  <c r="AA1614" i="34"/>
  <c r="AA1592" i="34"/>
  <c r="AA1588" i="34"/>
  <c r="AA1416" i="34"/>
  <c r="AA1413" i="34"/>
  <c r="AA1407" i="34"/>
  <c r="AA1422" i="34"/>
  <c r="AA1412" i="34"/>
  <c r="AA1409" i="34"/>
  <c r="AA1401" i="34"/>
  <c r="AA1397" i="34"/>
  <c r="AA1393" i="34"/>
  <c r="AA1424" i="34"/>
  <c r="AA1390" i="34"/>
  <c r="AA1386" i="34"/>
  <c r="AA1255" i="34"/>
  <c r="AA1252" i="34"/>
  <c r="AA1261" i="34"/>
  <c r="AA1241" i="34"/>
  <c r="AA1237" i="34"/>
  <c r="AA1266" i="34"/>
  <c r="AA1262" i="34"/>
  <c r="AA1246" i="34"/>
  <c r="AA1231" i="34"/>
  <c r="AA1227" i="34"/>
  <c r="AA1124" i="34"/>
  <c r="AA1122" i="34"/>
  <c r="AA1118" i="34"/>
  <c r="AA1139" i="34"/>
  <c r="AA1141" i="34"/>
  <c r="AA1133" i="34"/>
  <c r="AA1130" i="34"/>
  <c r="AA1113" i="34"/>
  <c r="AA1109" i="34"/>
  <c r="AA1105" i="34"/>
  <c r="AA1006" i="34"/>
  <c r="AA1002" i="34"/>
  <c r="AA1611" i="34"/>
  <c r="AA1589" i="34"/>
  <c r="AA1427" i="34"/>
  <c r="AA1417" i="34"/>
  <c r="AA1414" i="34"/>
  <c r="AA1408" i="34"/>
  <c r="AA1418" i="34"/>
  <c r="AA1410" i="34"/>
  <c r="AA1402" i="34"/>
  <c r="AA1398" i="34"/>
  <c r="AA1394" i="34"/>
  <c r="AA1425" i="34"/>
  <c r="AA1391" i="34"/>
  <c r="AA1387" i="34"/>
  <c r="AA1256" i="34"/>
  <c r="AA1253" i="34"/>
  <c r="AA1260" i="34"/>
  <c r="AA1257" i="34"/>
  <c r="AA1242" i="34"/>
  <c r="AA1238" i="34"/>
  <c r="AA1234" i="34"/>
  <c r="AA1263" i="34"/>
  <c r="AA1248" i="34"/>
  <c r="AA1232" i="34"/>
  <c r="AA1228" i="34"/>
  <c r="AA1125" i="34"/>
  <c r="AA1126" i="34"/>
  <c r="AA1119" i="34"/>
  <c r="AA1115" i="34"/>
  <c r="AA1140" i="34"/>
  <c r="AA1142" i="34"/>
  <c r="AA1134" i="34"/>
  <c r="AA1131" i="34"/>
  <c r="AA1114" i="34"/>
  <c r="AA1110" i="34"/>
  <c r="AA1106" i="34"/>
  <c r="AA1007" i="34"/>
  <c r="AA1003" i="34"/>
  <c r="AA1612" i="34"/>
  <c r="AA1590" i="34"/>
  <c r="AA1572" i="34"/>
  <c r="AA1419" i="34"/>
  <c r="AA1415" i="34"/>
  <c r="AA1405" i="34"/>
  <c r="AA1420" i="34"/>
  <c r="AA1403" i="34"/>
  <c r="AA1399" i="34"/>
  <c r="AA1395" i="34"/>
  <c r="AA1426" i="34"/>
  <c r="AA1392" i="34"/>
  <c r="AA1388" i="34"/>
  <c r="AA1250" i="34"/>
  <c r="AA1258" i="34"/>
  <c r="AA1243" i="34"/>
  <c r="AA1235" i="34"/>
  <c r="AA1264" i="34"/>
  <c r="AA1233" i="34"/>
  <c r="AA1229" i="34"/>
  <c r="AA1123" i="34"/>
  <c r="AA1127" i="34"/>
  <c r="AA1120" i="34"/>
  <c r="AA1116" i="34"/>
  <c r="AA1137" i="34"/>
  <c r="AA1135" i="34"/>
  <c r="AA1132" i="34"/>
  <c r="AA1129" i="34"/>
  <c r="AA1111" i="34"/>
  <c r="AA1107" i="34"/>
  <c r="AA1004" i="34"/>
  <c r="AA1000" i="34"/>
  <c r="AA999" i="34"/>
  <c r="AA995" i="34"/>
  <c r="AA991" i="34"/>
  <c r="AA959" i="34"/>
  <c r="AA946" i="34"/>
  <c r="AA936" i="34"/>
  <c r="AA942" i="34"/>
  <c r="AA1009" i="34"/>
  <c r="AA996" i="34"/>
  <c r="AA992" i="34"/>
  <c r="AA956" i="34"/>
  <c r="AA943" i="34"/>
  <c r="AA937" i="34"/>
  <c r="AA949" i="34"/>
  <c r="AA997" i="34"/>
  <c r="AA993" i="34"/>
  <c r="AA989" i="34"/>
  <c r="AA957" i="34"/>
  <c r="AA944" i="34"/>
  <c r="AA947" i="34"/>
  <c r="AA938" i="34"/>
  <c r="AA934" i="34"/>
  <c r="AA998" i="34"/>
  <c r="AA994" i="34"/>
  <c r="AA990" i="34"/>
  <c r="AA958" i="34"/>
  <c r="AA945" i="34"/>
  <c r="AA935" i="34"/>
  <c r="AA941" i="34"/>
  <c r="AA939" i="34"/>
  <c r="AA940" i="34"/>
  <c r="AA928" i="34"/>
  <c r="AA924" i="34"/>
  <c r="AA954" i="34"/>
  <c r="AA950" i="34"/>
  <c r="AA931" i="34"/>
  <c r="AA929" i="34"/>
  <c r="AA925" i="34"/>
  <c r="AA955" i="34"/>
  <c r="AA948" i="34"/>
  <c r="AA930" i="34"/>
  <c r="AA926" i="34"/>
  <c r="AA960" i="34"/>
  <c r="AA952" i="34"/>
  <c r="AA933" i="34"/>
  <c r="AA927" i="34"/>
  <c r="AA961" i="34"/>
  <c r="AA953" i="34"/>
  <c r="AA951" i="34"/>
  <c r="AA932" i="34"/>
  <c r="X4035" i="34"/>
  <c r="X4594" i="34"/>
  <c r="X4388" i="34"/>
  <c r="X4227" i="34"/>
  <c r="X5396" i="34"/>
  <c r="X5282" i="34"/>
  <c r="X4999" i="34"/>
  <c r="X3714" i="34"/>
  <c r="X4998" i="34"/>
  <c r="X4593" i="34"/>
  <c r="X4574" i="34"/>
  <c r="X4226" i="34"/>
  <c r="X4029" i="34"/>
  <c r="X5713" i="34"/>
  <c r="X5505" i="34"/>
  <c r="X5395" i="34"/>
  <c r="X5508" i="34"/>
  <c r="X5507" i="34"/>
  <c r="X5382" i="34"/>
  <c r="X5381" i="34"/>
  <c r="X5394" i="34"/>
  <c r="X5393" i="34"/>
  <c r="X5049" i="34"/>
  <c r="X5048" i="34"/>
  <c r="X4997" i="34"/>
  <c r="X4996" i="34"/>
  <c r="X4990" i="34"/>
  <c r="X4989" i="34"/>
  <c r="X4949" i="34"/>
  <c r="X4948" i="34"/>
  <c r="X4768" i="34"/>
  <c r="X4767" i="34"/>
  <c r="X4564" i="34"/>
  <c r="X4566" i="34"/>
  <c r="X4565" i="34"/>
  <c r="X4234" i="34"/>
  <c r="X4233" i="34"/>
  <c r="X4033" i="34"/>
  <c r="X3721" i="34"/>
  <c r="X3657" i="34"/>
  <c r="X3655" i="34"/>
  <c r="X3497" i="34"/>
  <c r="X3473" i="34"/>
  <c r="X3722" i="34"/>
  <c r="X3658" i="34"/>
  <c r="X3656" i="34"/>
  <c r="X3474" i="34"/>
  <c r="X4034" i="34"/>
  <c r="X3420" i="34"/>
  <c r="X3415" i="34"/>
  <c r="X3414" i="34"/>
  <c r="X3409" i="34"/>
  <c r="X3407" i="34"/>
  <c r="X3422" i="34"/>
  <c r="X3419" i="34"/>
  <c r="X4138" i="34"/>
  <c r="X3423" i="34"/>
  <c r="X3387" i="34"/>
  <c r="X3421" i="34"/>
  <c r="X3386" i="34"/>
  <c r="X5337" i="34"/>
  <c r="X4460" i="34"/>
  <c r="X4105" i="34"/>
  <c r="X4548" i="34"/>
  <c r="X4104" i="34"/>
  <c r="X4639" i="34"/>
  <c r="X5675" i="34"/>
  <c r="X4490" i="34"/>
  <c r="X4461" i="34"/>
  <c r="X3398" i="34"/>
  <c r="X3391" i="34"/>
  <c r="X3411" i="34"/>
  <c r="X3397" i="34"/>
  <c r="X3392" i="34"/>
  <c r="X3424" i="34"/>
  <c r="X3399" i="34"/>
  <c r="X3394" i="34"/>
  <c r="X3359" i="34"/>
  <c r="X3417" i="34"/>
  <c r="X3418" i="34"/>
  <c r="X3352" i="34"/>
  <c r="X3412" i="34"/>
  <c r="X3369" i="34"/>
  <c r="X3374" i="34"/>
  <c r="X3395" i="34"/>
  <c r="X3400" i="34"/>
  <c r="X3384" i="34"/>
  <c r="X3367" i="34"/>
  <c r="X3373" i="34"/>
  <c r="X3382" i="34"/>
  <c r="X3393" i="34"/>
  <c r="X3370" i="34"/>
  <c r="X3378" i="34"/>
  <c r="X3396" i="34"/>
  <c r="X3401" i="34"/>
  <c r="X3375" i="34"/>
  <c r="X3405" i="34"/>
  <c r="X3406" i="34"/>
  <c r="X3403" i="34"/>
  <c r="X3404" i="34"/>
  <c r="X3350" i="34"/>
  <c r="X3362" i="34"/>
  <c r="X3351" i="34"/>
  <c r="X3357" i="34"/>
  <c r="X3376" i="34"/>
  <c r="X3360" i="34"/>
  <c r="X3363" i="34"/>
  <c r="X3371" i="34"/>
  <c r="X3353" i="34"/>
  <c r="X3388" i="34"/>
  <c r="X3380" i="34"/>
  <c r="X3366" i="34"/>
  <c r="X3413" i="34"/>
  <c r="X3358" i="34"/>
  <c r="X3354" i="34"/>
  <c r="X3408" i="34"/>
  <c r="X3426" i="34"/>
  <c r="X3402" i="34"/>
  <c r="X3416" i="34"/>
  <c r="X3390" i="34"/>
  <c r="X3361" i="34"/>
  <c r="X3364" i="34"/>
  <c r="X3372" i="34"/>
  <c r="X3383" i="34"/>
  <c r="X3379" i="34"/>
  <c r="X3368" i="34"/>
  <c r="X3348" i="34"/>
  <c r="X3410" i="34"/>
  <c r="X3356" i="34"/>
  <c r="X3389" i="34"/>
  <c r="X3347" i="34"/>
  <c r="X3425" i="34"/>
  <c r="X3349" i="34"/>
  <c r="X2460" i="34"/>
  <c r="X2458" i="34"/>
  <c r="X2456" i="34"/>
  <c r="X2459" i="34"/>
  <c r="X2457" i="34"/>
  <c r="X2455" i="34"/>
  <c r="X2461" i="34"/>
  <c r="X2462" i="34"/>
  <c r="X2445" i="34"/>
  <c r="X2452" i="34"/>
  <c r="X2450" i="34"/>
  <c r="X2448" i="34"/>
  <c r="X2451" i="34"/>
  <c r="X2449" i="34"/>
  <c r="X5538" i="34"/>
  <c r="X2444" i="34"/>
  <c r="X2443" i="34"/>
  <c r="X2429" i="34"/>
  <c r="X2427" i="34"/>
  <c r="X2425" i="34"/>
  <c r="X2428" i="34"/>
  <c r="X2426" i="34"/>
  <c r="X2424" i="34"/>
  <c r="X2474" i="34"/>
  <c r="X2472" i="34"/>
  <c r="X2467" i="34"/>
  <c r="X2473" i="34"/>
  <c r="X2470" i="34"/>
  <c r="X2477" i="34"/>
  <c r="X2471" i="34"/>
  <c r="X2478" i="34"/>
  <c r="X2476" i="34"/>
  <c r="X2283" i="34"/>
  <c r="X2480" i="34"/>
  <c r="X2468" i="34"/>
  <c r="X2454" i="34"/>
  <c r="X2447" i="34"/>
  <c r="X2442" i="34"/>
  <c r="X2440" i="34"/>
  <c r="X2436" i="34"/>
  <c r="X2434" i="34"/>
  <c r="X2432" i="34"/>
  <c r="X2430" i="34"/>
  <c r="X2439" i="34"/>
  <c r="X2437" i="34"/>
  <c r="X2469" i="34"/>
  <c r="X2479" i="34"/>
  <c r="X2453" i="34"/>
  <c r="X2446" i="34"/>
  <c r="X2441" i="34"/>
  <c r="X2435" i="34"/>
  <c r="X2433" i="34"/>
  <c r="X2431" i="34"/>
  <c r="X2438" i="34"/>
  <c r="X2282" i="34"/>
  <c r="X2277" i="34"/>
  <c r="X2289" i="34"/>
  <c r="X2288" i="34"/>
  <c r="X2286" i="34"/>
  <c r="X2284" i="34"/>
  <c r="X2280" i="34"/>
  <c r="X2275" i="34"/>
  <c r="X2273" i="34"/>
  <c r="X2271" i="34"/>
  <c r="X2269" i="34"/>
  <c r="X2267" i="34"/>
  <c r="X2265" i="34"/>
  <c r="X2281" i="34"/>
  <c r="X2278" i="34"/>
  <c r="X2276" i="34"/>
  <c r="X2287" i="34"/>
  <c r="X2285" i="34"/>
  <c r="X2279" i="34"/>
  <c r="X2274" i="34"/>
  <c r="X2272" i="34"/>
  <c r="X2270" i="34"/>
  <c r="X2268" i="34"/>
  <c r="X2266" i="34"/>
  <c r="X2264" i="34"/>
  <c r="X5521" i="34"/>
  <c r="X5391" i="34"/>
  <c r="X5457" i="34"/>
  <c r="X5537" i="34"/>
  <c r="X5456" i="34"/>
  <c r="X5522" i="34"/>
  <c r="X5392" i="34"/>
  <c r="X5557" i="34"/>
  <c r="X5560" i="34"/>
  <c r="X5559" i="34"/>
  <c r="X5558" i="34"/>
  <c r="X5643" i="34"/>
  <c r="X5642" i="34"/>
  <c r="X2165" i="34"/>
  <c r="X5674" i="34"/>
  <c r="X5673" i="34"/>
  <c r="X2162" i="34"/>
  <c r="X2160" i="34"/>
  <c r="X2161" i="34"/>
  <c r="X1979" i="34"/>
  <c r="X2150" i="34"/>
  <c r="X2148" i="34"/>
  <c r="X2149" i="34"/>
  <c r="X2147" i="34"/>
  <c r="X1968" i="34"/>
  <c r="X1983" i="34"/>
  <c r="X1982" i="34"/>
  <c r="X1971" i="34"/>
  <c r="X1969" i="34"/>
  <c r="X1966" i="34"/>
  <c r="X1964" i="34"/>
  <c r="X1962" i="34"/>
  <c r="X1960" i="34"/>
  <c r="X1970" i="34"/>
  <c r="X1967" i="34"/>
  <c r="X1965" i="34"/>
  <c r="X1963" i="34"/>
  <c r="X1961" i="34"/>
  <c r="X1959" i="34"/>
  <c r="X2172" i="34"/>
  <c r="X2170" i="34"/>
  <c r="X2168" i="34"/>
  <c r="X2166" i="34"/>
  <c r="X2163" i="34"/>
  <c r="X2157" i="34"/>
  <c r="X2155" i="34"/>
  <c r="X2153" i="34"/>
  <c r="X2151" i="34"/>
  <c r="X2171" i="34"/>
  <c r="X2169" i="34"/>
  <c r="X2167" i="34"/>
  <c r="X2164" i="34"/>
  <c r="X2159" i="34"/>
  <c r="X2158" i="34"/>
  <c r="X2156" i="34"/>
  <c r="X2154" i="34"/>
  <c r="X2152" i="34"/>
  <c r="X1987" i="34"/>
  <c r="X1990" i="34"/>
  <c r="X1988" i="34"/>
  <c r="X1989" i="34"/>
  <c r="X1992" i="34"/>
  <c r="X1991" i="34"/>
  <c r="X1977" i="34"/>
  <c r="X1975" i="34"/>
  <c r="X1973" i="34"/>
  <c r="X1958" i="34"/>
  <c r="X1994" i="34"/>
  <c r="X1985" i="34"/>
  <c r="X1981" i="34"/>
  <c r="X1978" i="34"/>
  <c r="X1986" i="34"/>
  <c r="X1976" i="34"/>
  <c r="X1974" i="34"/>
  <c r="X1972" i="34"/>
  <c r="X1993" i="34"/>
  <c r="X1984" i="34"/>
  <c r="X1980" i="34"/>
  <c r="X1744" i="34"/>
  <c r="X1816" i="34"/>
  <c r="X1822" i="34"/>
  <c r="X1819" i="34"/>
  <c r="X1817" i="34"/>
  <c r="X1814" i="34"/>
  <c r="X1812" i="34"/>
  <c r="X1810" i="34"/>
  <c r="X1808" i="34"/>
  <c r="X1820" i="34"/>
  <c r="X1815" i="34"/>
  <c r="X1821" i="34"/>
  <c r="X1818" i="34"/>
  <c r="X1813" i="34"/>
  <c r="X1811" i="34"/>
  <c r="X1809" i="34"/>
  <c r="X3355" i="34"/>
  <c r="X3381" i="34"/>
  <c r="X3377" i="34"/>
  <c r="X3365" i="34"/>
  <c r="X3385" i="34"/>
  <c r="X5054" i="34"/>
  <c r="X4984" i="34"/>
  <c r="X4826" i="34"/>
  <c r="X4750" i="34"/>
  <c r="X5217" i="34"/>
  <c r="X3736" i="34"/>
  <c r="X4844" i="34"/>
  <c r="X4753" i="34"/>
  <c r="X5216" i="34"/>
  <c r="X3735" i="34"/>
  <c r="X4843" i="34"/>
  <c r="X4752" i="34"/>
  <c r="X5055" i="34"/>
  <c r="X4985" i="34"/>
  <c r="X4827" i="34"/>
  <c r="X4751" i="34"/>
  <c r="X5299" i="34"/>
  <c r="X5218" i="34"/>
  <c r="X5302" i="34"/>
  <c r="X5281" i="34"/>
  <c r="X5301" i="34"/>
  <c r="X5280" i="34"/>
  <c r="X5300" i="34"/>
  <c r="X5219" i="34"/>
  <c r="X5333" i="34"/>
  <c r="X5332" i="34"/>
  <c r="X5331" i="34"/>
  <c r="X5334" i="34"/>
  <c r="X5336" i="34"/>
  <c r="X5335" i="34"/>
  <c r="X1731" i="34"/>
  <c r="X1729" i="34"/>
  <c r="X1727" i="34"/>
  <c r="X1725" i="34"/>
  <c r="X1723" i="34"/>
  <c r="X1730" i="34"/>
  <c r="X1728" i="34"/>
  <c r="X1726" i="34"/>
  <c r="X1724" i="34"/>
  <c r="X1722" i="34"/>
  <c r="X1735" i="34"/>
  <c r="X1734" i="34"/>
  <c r="X1732" i="34"/>
  <c r="X1748" i="34"/>
  <c r="X1746" i="34"/>
  <c r="X1743" i="34"/>
  <c r="X1741" i="34"/>
  <c r="X1739" i="34"/>
  <c r="X1737" i="34"/>
  <c r="X1733" i="34"/>
  <c r="X1749" i="34"/>
  <c r="X1747" i="34"/>
  <c r="X1745" i="34"/>
  <c r="X1742" i="34"/>
  <c r="X1740" i="34"/>
  <c r="X1738" i="34"/>
  <c r="X1736" i="34"/>
  <c r="X1575" i="34"/>
  <c r="X1581" i="34"/>
  <c r="X1582" i="34"/>
  <c r="X1580" i="34"/>
  <c r="X1579" i="34"/>
  <c r="X1586" i="34"/>
  <c r="X1585" i="34"/>
  <c r="X1574" i="34"/>
  <c r="X1583" i="34"/>
  <c r="X1577" i="34"/>
  <c r="X1587" i="34"/>
  <c r="X1584" i="34"/>
  <c r="X1576" i="34"/>
  <c r="X1578" i="34"/>
  <c r="X1571" i="34"/>
  <c r="X1569" i="34"/>
  <c r="X1567" i="34"/>
  <c r="X1565" i="34"/>
  <c r="X1563" i="34"/>
  <c r="X1561" i="34"/>
  <c r="X1559" i="34"/>
  <c r="X1570" i="34"/>
  <c r="X1568" i="34"/>
  <c r="X1566" i="34"/>
  <c r="X1564" i="34"/>
  <c r="X1562" i="34"/>
  <c r="X1560" i="34"/>
  <c r="X1604" i="34"/>
  <c r="X1602" i="34"/>
  <c r="X1600" i="34"/>
  <c r="X1598" i="34"/>
  <c r="X1596" i="34"/>
  <c r="X1594" i="34"/>
  <c r="X1603" i="34"/>
  <c r="X1601" i="34"/>
  <c r="X1599" i="34"/>
  <c r="X1597" i="34"/>
  <c r="X1595" i="34"/>
  <c r="X1593" i="34"/>
  <c r="X1606" i="34"/>
  <c r="X1610" i="34"/>
  <c r="X1608" i="34"/>
  <c r="X1609" i="34"/>
  <c r="X1607" i="34"/>
  <c r="X1605" i="34"/>
  <c r="X1590" i="34"/>
  <c r="X1588" i="34"/>
  <c r="X1614" i="34"/>
  <c r="X1612" i="34"/>
  <c r="X1592" i="34"/>
  <c r="X1572" i="34"/>
  <c r="X1589" i="34"/>
  <c r="X1573" i="34"/>
  <c r="X1613" i="34"/>
  <c r="X1611" i="34"/>
  <c r="X1591" i="34"/>
  <c r="X1427" i="34"/>
  <c r="X1419" i="34"/>
  <c r="X1417" i="34"/>
  <c r="X1415" i="34"/>
  <c r="X1413" i="34"/>
  <c r="X1416" i="34"/>
  <c r="X1414" i="34"/>
  <c r="X1406" i="34"/>
  <c r="X1405" i="34"/>
  <c r="X1408" i="34"/>
  <c r="X1407" i="34"/>
  <c r="X1421" i="34"/>
  <c r="X1418" i="34"/>
  <c r="X1411" i="34"/>
  <c r="X1409" i="34"/>
  <c r="X1403" i="34"/>
  <c r="X1401" i="34"/>
  <c r="X1422" i="34"/>
  <c r="X1420" i="34"/>
  <c r="X1412" i="34"/>
  <c r="X1410" i="34"/>
  <c r="X1404" i="34"/>
  <c r="X1402" i="34"/>
  <c r="X1400" i="34"/>
  <c r="X1399" i="34"/>
  <c r="X1397" i="34"/>
  <c r="X1395" i="34"/>
  <c r="X1393" i="34"/>
  <c r="X1398" i="34"/>
  <c r="X1396" i="34"/>
  <c r="X1394" i="34"/>
  <c r="X1390" i="34"/>
  <c r="X1388" i="34"/>
  <c r="X1386" i="34"/>
  <c r="X1428" i="34"/>
  <c r="X1425" i="34"/>
  <c r="X1423" i="34"/>
  <c r="X1391" i="34"/>
  <c r="X1389" i="34"/>
  <c r="X1387" i="34"/>
  <c r="X1426" i="34"/>
  <c r="X1424" i="34"/>
  <c r="X1392" i="34"/>
  <c r="X1256" i="34"/>
  <c r="X1254" i="34"/>
  <c r="X1253" i="34"/>
  <c r="X1251" i="34"/>
  <c r="X1255" i="34"/>
  <c r="X1252" i="34"/>
  <c r="X1250" i="34"/>
  <c r="X1260" i="34"/>
  <c r="X1258" i="34"/>
  <c r="X1259" i="34"/>
  <c r="X1257" i="34"/>
  <c r="X1247" i="34"/>
  <c r="X1261" i="34"/>
  <c r="X1244" i="34"/>
  <c r="X1242" i="34"/>
  <c r="X1240" i="34"/>
  <c r="X1243" i="34"/>
  <c r="X1241" i="34"/>
  <c r="X1239" i="34"/>
  <c r="X1238" i="34"/>
  <c r="X1236" i="34"/>
  <c r="X1234" i="34"/>
  <c r="X1237" i="34"/>
  <c r="X1235" i="34"/>
  <c r="X1123" i="34"/>
  <c r="X1245" i="34"/>
  <c r="X1265" i="34"/>
  <c r="X1263" i="34"/>
  <c r="X1249" i="34"/>
  <c r="X1232" i="34"/>
  <c r="X1230" i="34"/>
  <c r="X1228" i="34"/>
  <c r="X1246" i="34"/>
  <c r="X1233" i="34"/>
  <c r="X1266" i="34"/>
  <c r="X1264" i="34"/>
  <c r="X1262" i="34"/>
  <c r="X1248" i="34"/>
  <c r="X1231" i="34"/>
  <c r="X1229" i="34"/>
  <c r="X1227" i="34"/>
  <c r="X1125" i="34"/>
  <c r="X1124" i="34"/>
  <c r="X1128" i="34"/>
  <c r="X1126" i="34"/>
  <c r="X1121" i="34"/>
  <c r="X1119" i="34"/>
  <c r="X1117" i="34"/>
  <c r="X1115" i="34"/>
  <c r="X1127" i="34"/>
  <c r="X1122" i="34"/>
  <c r="X1120" i="34"/>
  <c r="X1118" i="34"/>
  <c r="X1116" i="34"/>
  <c r="X1140" i="34"/>
  <c r="X1138" i="34"/>
  <c r="X1139" i="34"/>
  <c r="X1137" i="34"/>
  <c r="X1142" i="34"/>
  <c r="X1141" i="34"/>
  <c r="X1135" i="34"/>
  <c r="X1133" i="34"/>
  <c r="X1131" i="34"/>
  <c r="X1129" i="34"/>
  <c r="X1113" i="34"/>
  <c r="X1111" i="34"/>
  <c r="X1109" i="34"/>
  <c r="X1107" i="34"/>
  <c r="X1105" i="34"/>
  <c r="X1104" i="34"/>
  <c r="X1136" i="34"/>
  <c r="X1134" i="34"/>
  <c r="X1132" i="34"/>
  <c r="X1130" i="34"/>
  <c r="X1114" i="34"/>
  <c r="X1112" i="34"/>
  <c r="X1110" i="34"/>
  <c r="X1108" i="34"/>
  <c r="X1106" i="34"/>
  <c r="X1002" i="34"/>
  <c r="X1008" i="34"/>
  <c r="X1006" i="34"/>
  <c r="X1004" i="34"/>
  <c r="X1000" i="34"/>
  <c r="X1003" i="34"/>
  <c r="X1001" i="34"/>
  <c r="X1007" i="34"/>
  <c r="X1005" i="34"/>
  <c r="X998" i="34"/>
  <c r="X996" i="34"/>
  <c r="X994" i="34"/>
  <c r="X992" i="34"/>
  <c r="X990" i="34"/>
  <c r="X999" i="34"/>
  <c r="X997" i="34"/>
  <c r="X995" i="34"/>
  <c r="X1009" i="34"/>
  <c r="X993" i="34"/>
  <c r="X991" i="34"/>
  <c r="X989" i="34"/>
  <c r="X957" i="34"/>
  <c r="X956" i="34"/>
  <c r="X959" i="34"/>
  <c r="X958" i="34"/>
  <c r="X944" i="34"/>
  <c r="X943" i="34"/>
  <c r="X947" i="34"/>
  <c r="X946" i="34"/>
  <c r="X945" i="34"/>
  <c r="X938" i="34"/>
  <c r="X936" i="34"/>
  <c r="X934" i="34"/>
  <c r="X937" i="34"/>
  <c r="X935" i="34"/>
  <c r="X939" i="34"/>
  <c r="X949" i="34"/>
  <c r="X941" i="34"/>
  <c r="X942" i="34"/>
  <c r="X940" i="34"/>
  <c r="X930" i="34"/>
  <c r="X928" i="34"/>
  <c r="X926" i="34"/>
  <c r="X924" i="34"/>
  <c r="X929" i="34"/>
  <c r="X927" i="34"/>
  <c r="X925" i="34"/>
  <c r="X952" i="34"/>
  <c r="X932" i="34"/>
  <c r="X961" i="34"/>
  <c r="X955" i="34"/>
  <c r="X948" i="34"/>
  <c r="X931" i="34"/>
  <c r="X951" i="34"/>
  <c r="X933" i="34"/>
  <c r="X960" i="34"/>
  <c r="X954" i="34"/>
  <c r="X953" i="34"/>
  <c r="X950" i="34"/>
  <c r="AA409" i="34"/>
  <c r="AA408" i="34"/>
  <c r="AA407" i="34"/>
  <c r="AA13" i="34"/>
  <c r="AA17" i="34"/>
  <c r="AA21" i="34"/>
  <c r="AA288" i="34"/>
  <c r="AA290" i="34"/>
  <c r="AA292" i="34"/>
  <c r="AA294" i="34"/>
  <c r="AA296" i="34"/>
  <c r="AA298" i="34"/>
  <c r="AA300" i="34"/>
  <c r="AA302" i="34"/>
  <c r="AA304" i="34"/>
  <c r="AA306" i="34"/>
  <c r="AA308" i="34"/>
  <c r="AA310" i="34"/>
  <c r="AA312" i="34"/>
  <c r="AA314" i="34"/>
  <c r="AA316" i="34"/>
  <c r="AA318" i="34"/>
  <c r="AA320" i="34"/>
  <c r="AA322" i="34"/>
  <c r="AA324" i="34"/>
  <c r="AA326" i="34"/>
  <c r="AA328" i="34"/>
  <c r="AA330" i="34"/>
  <c r="AA332" i="34"/>
  <c r="AA334" i="34"/>
  <c r="AA336" i="34"/>
  <c r="AA338" i="34"/>
  <c r="AA340" i="34"/>
  <c r="AA342" i="34"/>
  <c r="AA344" i="34"/>
  <c r="AA346" i="34"/>
  <c r="AA348" i="34"/>
  <c r="AA350" i="34"/>
  <c r="AA352" i="34"/>
  <c r="AA354" i="34"/>
  <c r="AA356" i="34"/>
  <c r="AA358" i="34"/>
  <c r="AA360" i="34"/>
  <c r="AA362" i="34"/>
  <c r="AA364" i="34"/>
  <c r="AA366" i="34"/>
  <c r="AA368" i="34"/>
  <c r="AA370" i="34"/>
  <c r="AA372" i="34"/>
  <c r="AA374" i="34"/>
  <c r="AA376" i="34"/>
  <c r="AA378" i="34"/>
  <c r="AA1662" i="34"/>
  <c r="AA14" i="34"/>
  <c r="AA18" i="34"/>
  <c r="AA22" i="34"/>
  <c r="AA64" i="34"/>
  <c r="AA66" i="34"/>
  <c r="AA68" i="34"/>
  <c r="AA70" i="34"/>
  <c r="AA72" i="34"/>
  <c r="AA74" i="34"/>
  <c r="AA381" i="34"/>
  <c r="AA383" i="34"/>
  <c r="AA385" i="34"/>
  <c r="AA387" i="34"/>
  <c r="AA389" i="34"/>
  <c r="AA391" i="34"/>
  <c r="AA393" i="34"/>
  <c r="AA395" i="34"/>
  <c r="AA397" i="34"/>
  <c r="AA399" i="34"/>
  <c r="AA401" i="34"/>
  <c r="AA403" i="34"/>
  <c r="AA405" i="34"/>
  <c r="AA410" i="34"/>
  <c r="AA412" i="34"/>
  <c r="AA418" i="34"/>
  <c r="AA420" i="34"/>
  <c r="AA422" i="34"/>
  <c r="AA424" i="34"/>
  <c r="AA426" i="34"/>
  <c r="AA428" i="34"/>
  <c r="AA430" i="34"/>
  <c r="AA432" i="34"/>
  <c r="AA434" i="34"/>
  <c r="AA436" i="34"/>
  <c r="AA438" i="34"/>
  <c r="AA440" i="34"/>
  <c r="AA442" i="34"/>
  <c r="AA444" i="34"/>
  <c r="AA446" i="34"/>
  <c r="AA448" i="34"/>
  <c r="AA450" i="34"/>
  <c r="AA452" i="34"/>
  <c r="AA454" i="34"/>
  <c r="AA456" i="34"/>
  <c r="AA458" i="34"/>
  <c r="AA460" i="34"/>
  <c r="AA462" i="34"/>
  <c r="AA464" i="34"/>
  <c r="AA466" i="34"/>
  <c r="AA468" i="34"/>
  <c r="AA470" i="34"/>
  <c r="AA472" i="34"/>
  <c r="AA475" i="34"/>
  <c r="AA477" i="34"/>
  <c r="AA479" i="34"/>
  <c r="AA481" i="34"/>
  <c r="AA15" i="34"/>
  <c r="AA19" i="34"/>
  <c r="AA23" i="34"/>
  <c r="AA287" i="34"/>
  <c r="AA289" i="34"/>
  <c r="AA291" i="34"/>
  <c r="AA293" i="34"/>
  <c r="AA295" i="34"/>
  <c r="AA297" i="34"/>
  <c r="AA299" i="34"/>
  <c r="AA301" i="34"/>
  <c r="AA303" i="34"/>
  <c r="AA305" i="34"/>
  <c r="AA307" i="34"/>
  <c r="AA309" i="34"/>
  <c r="AA311" i="34"/>
  <c r="AA313" i="34"/>
  <c r="AA315" i="34"/>
  <c r="AA317" i="34"/>
  <c r="AA319" i="34"/>
  <c r="AA321" i="34"/>
  <c r="AA323" i="34"/>
  <c r="AA325" i="34"/>
  <c r="AA327" i="34"/>
  <c r="AA329" i="34"/>
  <c r="AA331" i="34"/>
  <c r="AA333" i="34"/>
  <c r="AA335" i="34"/>
  <c r="AA337" i="34"/>
  <c r="AA339" i="34"/>
  <c r="AA341" i="34"/>
  <c r="AA343" i="34"/>
  <c r="AA345" i="34"/>
  <c r="AA347" i="34"/>
  <c r="AA349" i="34"/>
  <c r="AA351" i="34"/>
  <c r="AA353" i="34"/>
  <c r="AA355" i="34"/>
  <c r="AA357" i="34"/>
  <c r="AA359" i="34"/>
  <c r="AA361" i="34"/>
  <c r="AA363" i="34"/>
  <c r="AA365" i="34"/>
  <c r="AA367" i="34"/>
  <c r="AA369" i="34"/>
  <c r="AA371" i="34"/>
  <c r="AA373" i="34"/>
  <c r="AA375" i="34"/>
  <c r="AA377" i="34"/>
  <c r="AA379" i="34"/>
  <c r="AA16" i="34"/>
  <c r="AA20" i="34"/>
  <c r="AA27" i="34"/>
  <c r="AA65" i="34"/>
  <c r="AA67" i="34"/>
  <c r="AA69" i="34"/>
  <c r="AA71" i="34"/>
  <c r="AA73" i="34"/>
  <c r="AA75" i="34"/>
  <c r="AA382" i="34"/>
  <c r="AA384" i="34"/>
  <c r="AA386" i="34"/>
  <c r="AA388" i="34"/>
  <c r="AA390" i="34"/>
  <c r="AA392" i="34"/>
  <c r="AA394" i="34"/>
  <c r="AA396" i="34"/>
  <c r="AA398" i="34"/>
  <c r="AA400" i="34"/>
  <c r="AA402" i="34"/>
  <c r="AA404" i="34"/>
  <c r="AA406" i="34"/>
  <c r="AA411" i="34"/>
  <c r="AA413" i="34"/>
  <c r="AA419" i="34"/>
  <c r="AA421" i="34"/>
  <c r="AA423" i="34"/>
  <c r="AA425" i="34"/>
  <c r="AA427" i="34"/>
  <c r="AA429" i="34"/>
  <c r="AA431" i="34"/>
  <c r="AA433" i="34"/>
  <c r="AA435" i="34"/>
  <c r="AA437" i="34"/>
  <c r="AA439" i="34"/>
  <c r="AA441" i="34"/>
  <c r="AA443" i="34"/>
  <c r="AA445" i="34"/>
  <c r="AA447" i="34"/>
  <c r="AA449" i="34"/>
  <c r="AA451" i="34"/>
  <c r="AA453" i="34"/>
  <c r="AA455" i="34"/>
  <c r="AA457" i="34"/>
  <c r="AA459" i="34"/>
  <c r="AA461" i="34"/>
  <c r="AA463" i="34"/>
  <c r="AA465" i="34"/>
  <c r="AA467" i="34"/>
  <c r="AA469" i="34"/>
  <c r="AA471" i="34"/>
  <c r="AA476" i="34"/>
  <c r="AA478" i="34"/>
  <c r="AA480" i="34"/>
  <c r="AA482" i="34"/>
  <c r="AA484" i="34"/>
  <c r="AA486" i="34"/>
  <c r="AA488" i="34"/>
  <c r="AA490" i="34"/>
  <c r="AA492" i="34"/>
  <c r="AA494" i="34"/>
  <c r="AA496" i="34"/>
  <c r="AA498" i="34"/>
  <c r="AA500" i="34"/>
  <c r="AA502" i="34"/>
  <c r="AA504" i="34"/>
  <c r="AA506" i="34"/>
  <c r="AA508" i="34"/>
  <c r="AA489" i="34"/>
  <c r="AA497" i="34"/>
  <c r="AA505" i="34"/>
  <c r="AA510" i="34"/>
  <c r="AA512" i="34"/>
  <c r="AA514" i="34"/>
  <c r="AA516" i="34"/>
  <c r="AA518" i="34"/>
  <c r="AA520" i="34"/>
  <c r="AA522" i="34"/>
  <c r="AA524" i="34"/>
  <c r="AA526" i="34"/>
  <c r="AA528" i="34"/>
  <c r="AA533" i="34"/>
  <c r="AA535" i="34"/>
  <c r="AA537" i="34"/>
  <c r="AA539" i="34"/>
  <c r="AA541" i="34"/>
  <c r="AA543" i="34"/>
  <c r="AA545" i="34"/>
  <c r="AA547" i="34"/>
  <c r="AA549" i="34"/>
  <c r="AA551" i="34"/>
  <c r="AA553" i="34"/>
  <c r="AA555" i="34"/>
  <c r="AA557" i="34"/>
  <c r="AA559" i="34"/>
  <c r="AA561" i="34"/>
  <c r="AA563" i="34"/>
  <c r="AA565" i="34"/>
  <c r="AA567" i="34"/>
  <c r="AA569" i="34"/>
  <c r="AA571" i="34"/>
  <c r="AA573" i="34"/>
  <c r="AA575" i="34"/>
  <c r="AA577" i="34"/>
  <c r="AA579" i="34"/>
  <c r="AA585" i="34"/>
  <c r="AA587" i="34"/>
  <c r="AA589" i="34"/>
  <c r="AA591" i="34"/>
  <c r="AA593" i="34"/>
  <c r="AA595" i="34"/>
  <c r="AA597" i="34"/>
  <c r="AA599" i="34"/>
  <c r="AA601" i="34"/>
  <c r="AA603" i="34"/>
  <c r="AA605" i="34"/>
  <c r="AA607" i="34"/>
  <c r="AA610" i="34"/>
  <c r="AA612" i="34"/>
  <c r="AA618" i="34"/>
  <c r="AA620" i="34"/>
  <c r="AA704" i="34"/>
  <c r="AA706" i="34"/>
  <c r="AA708" i="34"/>
  <c r="AA710" i="34"/>
  <c r="AA712" i="34"/>
  <c r="AA714" i="34"/>
  <c r="AA716" i="34"/>
  <c r="AA718" i="34"/>
  <c r="AA720" i="34"/>
  <c r="AA722" i="34"/>
  <c r="AA724" i="34"/>
  <c r="AA726" i="34"/>
  <c r="AA728" i="34"/>
  <c r="AA730" i="34"/>
  <c r="AA732" i="34"/>
  <c r="AA734" i="34"/>
  <c r="AA736" i="34"/>
  <c r="AA738" i="34"/>
  <c r="AA740" i="34"/>
  <c r="AA742" i="34"/>
  <c r="AA744" i="34"/>
  <c r="AA746" i="34"/>
  <c r="AA748" i="34"/>
  <c r="AA750" i="34"/>
  <c r="AA800" i="34"/>
  <c r="AA802" i="34"/>
  <c r="AA804" i="34"/>
  <c r="AA807" i="34"/>
  <c r="AA809" i="34"/>
  <c r="AA811" i="34"/>
  <c r="AA813" i="34"/>
  <c r="AA815" i="34"/>
  <c r="AA487" i="34"/>
  <c r="AA495" i="34"/>
  <c r="AA503" i="34"/>
  <c r="AA624" i="34"/>
  <c r="AA626" i="34"/>
  <c r="AA628" i="34"/>
  <c r="AA630" i="34"/>
  <c r="AA632" i="34"/>
  <c r="AA634" i="34"/>
  <c r="AA636" i="34"/>
  <c r="AA638" i="34"/>
  <c r="AA640" i="34"/>
  <c r="AA642" i="34"/>
  <c r="AA644" i="34"/>
  <c r="AA646" i="34"/>
  <c r="AA648" i="34"/>
  <c r="AA650" i="34"/>
  <c r="AA652" i="34"/>
  <c r="AA654" i="34"/>
  <c r="AA656" i="34"/>
  <c r="AA658" i="34"/>
  <c r="AA660" i="34"/>
  <c r="AA662" i="34"/>
  <c r="AA664" i="34"/>
  <c r="AA666" i="34"/>
  <c r="AA668" i="34"/>
  <c r="AA670" i="34"/>
  <c r="AA672" i="34"/>
  <c r="AA674" i="34"/>
  <c r="AA676" i="34"/>
  <c r="AA678" i="34"/>
  <c r="AA680" i="34"/>
  <c r="AA682" i="34"/>
  <c r="AA684" i="34"/>
  <c r="AA761" i="34"/>
  <c r="AA767" i="34"/>
  <c r="AA769" i="34"/>
  <c r="AA771" i="34"/>
  <c r="AA773" i="34"/>
  <c r="AA775" i="34"/>
  <c r="AA777" i="34"/>
  <c r="AA779" i="34"/>
  <c r="AA781" i="34"/>
  <c r="AA783" i="34"/>
  <c r="AA785" i="34"/>
  <c r="AA787" i="34"/>
  <c r="AA789" i="34"/>
  <c r="AA791" i="34"/>
  <c r="AA793" i="34"/>
  <c r="AA795" i="34"/>
  <c r="AA485" i="34"/>
  <c r="AA493" i="34"/>
  <c r="AA501" i="34"/>
  <c r="AA509" i="34"/>
  <c r="AA511" i="34"/>
  <c r="AA513" i="34"/>
  <c r="AA515" i="34"/>
  <c r="AA517" i="34"/>
  <c r="AA519" i="34"/>
  <c r="AA521" i="34"/>
  <c r="AA523" i="34"/>
  <c r="AA525" i="34"/>
  <c r="AA527" i="34"/>
  <c r="AA529" i="34"/>
  <c r="AA532" i="34"/>
  <c r="AA534" i="34"/>
  <c r="AA536" i="34"/>
  <c r="AA538" i="34"/>
  <c r="AA540" i="34"/>
  <c r="AA542" i="34"/>
  <c r="AA544" i="34"/>
  <c r="AA546" i="34"/>
  <c r="AA548" i="34"/>
  <c r="AA550" i="34"/>
  <c r="AA552" i="34"/>
  <c r="AA554" i="34"/>
  <c r="AA556" i="34"/>
  <c r="AA558" i="34"/>
  <c r="AA560" i="34"/>
  <c r="AA562" i="34"/>
  <c r="AA564" i="34"/>
  <c r="AA566" i="34"/>
  <c r="AA568" i="34"/>
  <c r="AA570" i="34"/>
  <c r="AA572" i="34"/>
  <c r="AA574" i="34"/>
  <c r="AA576" i="34"/>
  <c r="AA578" i="34"/>
  <c r="AA584" i="34"/>
  <c r="AA586" i="34"/>
  <c r="AA588" i="34"/>
  <c r="AA590" i="34"/>
  <c r="AA592" i="34"/>
  <c r="AA594" i="34"/>
  <c r="AA596" i="34"/>
  <c r="AA598" i="34"/>
  <c r="AA600" i="34"/>
  <c r="AA602" i="34"/>
  <c r="AA604" i="34"/>
  <c r="AA606" i="34"/>
  <c r="AA611" i="34"/>
  <c r="AA617" i="34"/>
  <c r="AA619" i="34"/>
  <c r="AA703" i="34"/>
  <c r="AA705" i="34"/>
  <c r="AA707" i="34"/>
  <c r="AA709" i="34"/>
  <c r="AA711" i="34"/>
  <c r="AA713" i="34"/>
  <c r="AA715" i="34"/>
  <c r="AA717" i="34"/>
  <c r="AA719" i="34"/>
  <c r="AA721" i="34"/>
  <c r="AA723" i="34"/>
  <c r="AA725" i="34"/>
  <c r="AA727" i="34"/>
  <c r="AA729" i="34"/>
  <c r="AA731" i="34"/>
  <c r="AA733" i="34"/>
  <c r="AA735" i="34"/>
  <c r="AA737" i="34"/>
  <c r="AA739" i="34"/>
  <c r="AA741" i="34"/>
  <c r="AA743" i="34"/>
  <c r="AA745" i="34"/>
  <c r="AA747" i="34"/>
  <c r="AA749" i="34"/>
  <c r="AA751" i="34"/>
  <c r="AA799" i="34"/>
  <c r="AA801" i="34"/>
  <c r="AA803" i="34"/>
  <c r="AA808" i="34"/>
  <c r="AA810" i="34"/>
  <c r="AA812" i="34"/>
  <c r="AA483" i="34"/>
  <c r="AA491" i="34"/>
  <c r="AA499" i="34"/>
  <c r="AA507" i="34"/>
  <c r="AA625" i="34"/>
  <c r="AA627" i="34"/>
  <c r="AA629" i="34"/>
  <c r="AA631" i="34"/>
  <c r="AA633" i="34"/>
  <c r="AA635" i="34"/>
  <c r="AA637" i="34"/>
  <c r="AA639" i="34"/>
  <c r="AA641" i="34"/>
  <c r="AA643" i="34"/>
  <c r="AA645" i="34"/>
  <c r="AA647" i="34"/>
  <c r="AA649" i="34"/>
  <c r="AA651" i="34"/>
  <c r="AA653" i="34"/>
  <c r="AA655" i="34"/>
  <c r="AA657" i="34"/>
  <c r="AA659" i="34"/>
  <c r="AA661" i="34"/>
  <c r="AA663" i="34"/>
  <c r="AA665" i="34"/>
  <c r="AA667" i="34"/>
  <c r="AA669" i="34"/>
  <c r="AA671" i="34"/>
  <c r="AA673" i="34"/>
  <c r="AA675" i="34"/>
  <c r="AA677" i="34"/>
  <c r="AA679" i="34"/>
  <c r="AA681" i="34"/>
  <c r="AA683" i="34"/>
  <c r="AA685" i="34"/>
  <c r="AA762" i="34"/>
  <c r="AA768" i="34"/>
  <c r="AA770" i="34"/>
  <c r="AA772" i="34"/>
  <c r="AA774" i="34"/>
  <c r="AA776" i="34"/>
  <c r="AA778" i="34"/>
  <c r="AA780" i="34"/>
  <c r="AA782" i="34"/>
  <c r="AA784" i="34"/>
  <c r="AA786" i="34"/>
  <c r="AA788" i="34"/>
  <c r="AA790" i="34"/>
  <c r="AA792" i="34"/>
  <c r="AA794" i="34"/>
  <c r="AA843" i="34"/>
  <c r="AA866" i="34"/>
  <c r="AA870" i="34"/>
  <c r="AA874" i="34"/>
  <c r="AA878" i="34"/>
  <c r="AA882" i="34"/>
  <c r="AA914" i="34"/>
  <c r="AA918" i="34"/>
  <c r="AA922" i="34"/>
  <c r="AA972" i="34"/>
  <c r="AA988" i="34"/>
  <c r="AA1033" i="34"/>
  <c r="AA1037" i="34"/>
  <c r="AA1041" i="34"/>
  <c r="AA1047" i="34"/>
  <c r="AA1050" i="34"/>
  <c r="AA1097" i="34"/>
  <c r="AA1101" i="34"/>
  <c r="AA1168" i="34"/>
  <c r="AA1172" i="34"/>
  <c r="AA1176" i="34"/>
  <c r="AA1180" i="34"/>
  <c r="AA1184" i="34"/>
  <c r="AA1216" i="34"/>
  <c r="AA1220" i="34"/>
  <c r="AA1224" i="34"/>
  <c r="AA1292" i="34"/>
  <c r="AA1296" i="34"/>
  <c r="AA1300" i="34"/>
  <c r="AA1304" i="34"/>
  <c r="AA1308" i="34"/>
  <c r="AA1372" i="34"/>
  <c r="AA1376" i="34"/>
  <c r="AA1380" i="34"/>
  <c r="AA1384" i="34"/>
  <c r="AA1471" i="34"/>
  <c r="AA1475" i="34"/>
  <c r="AA1479" i="34"/>
  <c r="AA1483" i="34"/>
  <c r="AA1487" i="34"/>
  <c r="AA1491" i="34"/>
  <c r="AA1495" i="34"/>
  <c r="AA1499" i="34"/>
  <c r="AA1503" i="34"/>
  <c r="AA1507" i="34"/>
  <c r="AA1511" i="34"/>
  <c r="AA1515" i="34"/>
  <c r="AA1519" i="34"/>
  <c r="AA1547" i="34"/>
  <c r="AA1551" i="34"/>
  <c r="AA1555" i="34"/>
  <c r="AA1668" i="34"/>
  <c r="AA1672" i="34"/>
  <c r="AA1676" i="34"/>
  <c r="AA1680" i="34"/>
  <c r="AA1684" i="34"/>
  <c r="AA1712" i="34"/>
  <c r="AA1716" i="34"/>
  <c r="AA1720" i="34"/>
  <c r="AA1773" i="34"/>
  <c r="AA1777" i="34"/>
  <c r="AA1801" i="34"/>
  <c r="AA1805" i="34"/>
  <c r="AA1872" i="34"/>
  <c r="AA1876" i="34"/>
  <c r="AA1880" i="34"/>
  <c r="AA1884" i="34"/>
  <c r="AA1888" i="34"/>
  <c r="AA1892" i="34"/>
  <c r="AA816" i="34"/>
  <c r="AA818" i="34"/>
  <c r="AA820" i="34"/>
  <c r="AA822" i="34"/>
  <c r="AA824" i="34"/>
  <c r="AA826" i="34"/>
  <c r="AA867" i="34"/>
  <c r="AA871" i="34"/>
  <c r="AA875" i="34"/>
  <c r="AA879" i="34"/>
  <c r="AA883" i="34"/>
  <c r="AA911" i="34"/>
  <c r="AA915" i="34"/>
  <c r="AA919" i="34"/>
  <c r="AA923" i="34"/>
  <c r="AA973" i="34"/>
  <c r="AA985" i="34"/>
  <c r="AA1030" i="34"/>
  <c r="AA1034" i="34"/>
  <c r="AA1038" i="34"/>
  <c r="AA1042" i="34"/>
  <c r="AA1045" i="34"/>
  <c r="AA1051" i="34"/>
  <c r="AA1094" i="34"/>
  <c r="AA1098" i="34"/>
  <c r="AA1102" i="34"/>
  <c r="AA1169" i="34"/>
  <c r="AA1173" i="34"/>
  <c r="AA1177" i="34"/>
  <c r="AA1181" i="34"/>
  <c r="AA1185" i="34"/>
  <c r="AA1217" i="34"/>
  <c r="AA1221" i="34"/>
  <c r="AA1225" i="34"/>
  <c r="AA1293" i="34"/>
  <c r="AA1297" i="34"/>
  <c r="AA1301" i="34"/>
  <c r="AA1305" i="34"/>
  <c r="AA1309" i="34"/>
  <c r="AA1373" i="34"/>
  <c r="AA1377" i="34"/>
  <c r="AA1381" i="34"/>
  <c r="AA1385" i="34"/>
  <c r="AA1468" i="34"/>
  <c r="AA1472" i="34"/>
  <c r="AA1476" i="34"/>
  <c r="AA1480" i="34"/>
  <c r="AA1484" i="34"/>
  <c r="AA1488" i="34"/>
  <c r="AA1492" i="34"/>
  <c r="AA1496" i="34"/>
  <c r="AA1500" i="34"/>
  <c r="AA1504" i="34"/>
  <c r="AA1508" i="34"/>
  <c r="AA1512" i="34"/>
  <c r="AA1516" i="34"/>
  <c r="AA1520" i="34"/>
  <c r="AA1544" i="34"/>
  <c r="AA1548" i="34"/>
  <c r="AA1552" i="34"/>
  <c r="AA1556" i="34"/>
  <c r="AA1669" i="34"/>
  <c r="AA1673" i="34"/>
  <c r="AA1677" i="34"/>
  <c r="AA1681" i="34"/>
  <c r="AA1685" i="34"/>
  <c r="AA1713" i="34"/>
  <c r="AA1717" i="34"/>
  <c r="AA1721" i="34"/>
  <c r="AA1774" i="34"/>
  <c r="AA1798" i="34"/>
  <c r="AA1802" i="34"/>
  <c r="AA1806" i="34"/>
  <c r="AA1869" i="34"/>
  <c r="AA1873" i="34"/>
  <c r="AA1877" i="34"/>
  <c r="AA1881" i="34"/>
  <c r="AA1885" i="34"/>
  <c r="AA1889" i="34"/>
  <c r="AA1893" i="34"/>
  <c r="AA1945" i="34"/>
  <c r="AA1949" i="34"/>
  <c r="AA1953" i="34"/>
  <c r="AA1957" i="34"/>
  <c r="AA2058" i="34"/>
  <c r="AA814" i="34"/>
  <c r="AA842" i="34"/>
  <c r="AA864" i="34"/>
  <c r="AA868" i="34"/>
  <c r="AA872" i="34"/>
  <c r="AA876" i="34"/>
  <c r="AA880" i="34"/>
  <c r="AA884" i="34"/>
  <c r="AA912" i="34"/>
  <c r="AA916" i="34"/>
  <c r="AA920" i="34"/>
  <c r="AA986" i="34"/>
  <c r="AA1031" i="34"/>
  <c r="AA1035" i="34"/>
  <c r="AA1039" i="34"/>
  <c r="AA1043" i="34"/>
  <c r="AA1048" i="34"/>
  <c r="AA1046" i="34"/>
  <c r="AA1095" i="34"/>
  <c r="AA1099" i="34"/>
  <c r="AA1103" i="34"/>
  <c r="AA1170" i="34"/>
  <c r="AA1174" i="34"/>
  <c r="AA1178" i="34"/>
  <c r="AA1182" i="34"/>
  <c r="AA1218" i="34"/>
  <c r="AA1222" i="34"/>
  <c r="AA1226" i="34"/>
  <c r="AA1294" i="34"/>
  <c r="AA1298" i="34"/>
  <c r="AA1302" i="34"/>
  <c r="AA1306" i="34"/>
  <c r="AA1310" i="34"/>
  <c r="AA1370" i="34"/>
  <c r="AA1374" i="34"/>
  <c r="AA1378" i="34"/>
  <c r="AA1382" i="34"/>
  <c r="AA1469" i="34"/>
  <c r="AA1473" i="34"/>
  <c r="AA1477" i="34"/>
  <c r="AA1481" i="34"/>
  <c r="AA1485" i="34"/>
  <c r="AA1489" i="34"/>
  <c r="AA1493" i="34"/>
  <c r="AA1497" i="34"/>
  <c r="AA1501" i="34"/>
  <c r="AA1505" i="34"/>
  <c r="AA1509" i="34"/>
  <c r="AA1513" i="34"/>
  <c r="AA1517" i="34"/>
  <c r="AA1521" i="34"/>
  <c r="AA1545" i="34"/>
  <c r="AA1549" i="34"/>
  <c r="AA1553" i="34"/>
  <c r="AA1557" i="34"/>
  <c r="AA1670" i="34"/>
  <c r="AA1674" i="34"/>
  <c r="AA1678" i="34"/>
  <c r="AA1682" i="34"/>
  <c r="AA1686" i="34"/>
  <c r="AA1714" i="34"/>
  <c r="AA1718" i="34"/>
  <c r="AA1775" i="34"/>
  <c r="AA1799" i="34"/>
  <c r="AA1803" i="34"/>
  <c r="AA1807" i="34"/>
  <c r="AA1870" i="34"/>
  <c r="AA1874" i="34"/>
  <c r="AA1878" i="34"/>
  <c r="AA1882" i="34"/>
  <c r="AA1886" i="34"/>
  <c r="AA1890" i="34"/>
  <c r="AA1894" i="34"/>
  <c r="AA1946" i="34"/>
  <c r="AA1950" i="34"/>
  <c r="AA1954" i="34"/>
  <c r="AA2055" i="34"/>
  <c r="AA2059" i="34"/>
  <c r="AA2063" i="34"/>
  <c r="AA2067" i="34"/>
  <c r="AA2071" i="34"/>
  <c r="AA817" i="34"/>
  <c r="AA819" i="34"/>
  <c r="AA821" i="34"/>
  <c r="AA823" i="34"/>
  <c r="AA825" i="34"/>
  <c r="AA865" i="34"/>
  <c r="AA869" i="34"/>
  <c r="AA873" i="34"/>
  <c r="AA877" i="34"/>
  <c r="AA881" i="34"/>
  <c r="AA885" i="34"/>
  <c r="AA913" i="34"/>
  <c r="AA917" i="34"/>
  <c r="AA921" i="34"/>
  <c r="AA971" i="34"/>
  <c r="AA987" i="34"/>
  <c r="AA1032" i="34"/>
  <c r="AA1036" i="34"/>
  <c r="AA1040" i="34"/>
  <c r="AA1044" i="34"/>
  <c r="AA1049" i="34"/>
  <c r="AA1096" i="34"/>
  <c r="AA1100" i="34"/>
  <c r="AA1167" i="34"/>
  <c r="AA1171" i="34"/>
  <c r="AA1175" i="34"/>
  <c r="AA1179" i="34"/>
  <c r="AA1183" i="34"/>
  <c r="AA1219" i="34"/>
  <c r="AA1223" i="34"/>
  <c r="AA1295" i="34"/>
  <c r="AA1299" i="34"/>
  <c r="AA1303" i="34"/>
  <c r="AA1307" i="34"/>
  <c r="AA1371" i="34"/>
  <c r="AA1375" i="34"/>
  <c r="AA1379" i="34"/>
  <c r="AA1383" i="34"/>
  <c r="AA1470" i="34"/>
  <c r="AA1474" i="34"/>
  <c r="AA1478" i="34"/>
  <c r="AA1482" i="34"/>
  <c r="AA1486" i="34"/>
  <c r="AA1490" i="34"/>
  <c r="AA1494" i="34"/>
  <c r="AA1498" i="34"/>
  <c r="AA1502" i="34"/>
  <c r="AA1506" i="34"/>
  <c r="AA1510" i="34"/>
  <c r="AA1514" i="34"/>
  <c r="AA1518" i="34"/>
  <c r="AA1522" i="34"/>
  <c r="AA1546" i="34"/>
  <c r="AA1550" i="34"/>
  <c r="AA1554" i="34"/>
  <c r="AA1558" i="34"/>
  <c r="AA1667" i="34"/>
  <c r="AA1671" i="34"/>
  <c r="AA1675" i="34"/>
  <c r="AA1679" i="34"/>
  <c r="AA1683" i="34"/>
  <c r="AA1715" i="34"/>
  <c r="AA1719" i="34"/>
  <c r="AA1776" i="34"/>
  <c r="AA1800" i="34"/>
  <c r="AA1804" i="34"/>
  <c r="AA1871" i="34"/>
  <c r="AA1875" i="34"/>
  <c r="AA1879" i="34"/>
  <c r="AA1883" i="34"/>
  <c r="AA1887" i="34"/>
  <c r="AA1891" i="34"/>
  <c r="AA1947" i="34"/>
  <c r="AA1951" i="34"/>
  <c r="AA1955" i="34"/>
  <c r="AA2056" i="34"/>
  <c r="AA2060" i="34"/>
  <c r="AA2064" i="34"/>
  <c r="AA2068" i="34"/>
  <c r="AA2072" i="34"/>
  <c r="AA2074" i="34"/>
  <c r="AA2076" i="34"/>
  <c r="AA2078" i="34"/>
  <c r="AA1952" i="34"/>
  <c r="AA2062" i="34"/>
  <c r="AA2070" i="34"/>
  <c r="AA2077" i="34"/>
  <c r="AA2135" i="34"/>
  <c r="AA2139" i="34"/>
  <c r="AA2143" i="34"/>
  <c r="AA2251" i="34"/>
  <c r="AA2255" i="34"/>
  <c r="AA2259" i="34"/>
  <c r="AA2263" i="34"/>
  <c r="AA2401" i="34"/>
  <c r="AA2405" i="34"/>
  <c r="AA2409" i="34"/>
  <c r="AA2413" i="34"/>
  <c r="AA2417" i="34"/>
  <c r="AA2421" i="34"/>
  <c r="AA3428" i="34"/>
  <c r="AA3430" i="34"/>
  <c r="AA3432" i="34"/>
  <c r="AA3435" i="34"/>
  <c r="AA3437" i="34"/>
  <c r="AA3447" i="34"/>
  <c r="AA3449" i="34"/>
  <c r="AA3451" i="34"/>
  <c r="AA3476" i="34"/>
  <c r="AA3478" i="34"/>
  <c r="AA3481" i="34"/>
  <c r="AA3483" i="34"/>
  <c r="AA3485" i="34"/>
  <c r="AA3490" i="34"/>
  <c r="AA3495" i="34"/>
  <c r="AA3499" i="34"/>
  <c r="AA3505" i="34"/>
  <c r="AA3507" i="34"/>
  <c r="AA3510" i="34"/>
  <c r="AA3533" i="34"/>
  <c r="AA3535" i="34"/>
  <c r="AA3547" i="34"/>
  <c r="AA3549" i="34"/>
  <c r="AA3553" i="34"/>
  <c r="AA3562" i="34"/>
  <c r="AA3564" i="34"/>
  <c r="AA3605" i="34"/>
  <c r="AA3493" i="34"/>
  <c r="AA3444" i="34"/>
  <c r="AA3567" i="34"/>
  <c r="AA3569" i="34"/>
  <c r="AA3571" i="34"/>
  <c r="AA3559" i="34"/>
  <c r="AA3573" i="34"/>
  <c r="AA3581" i="34"/>
  <c r="AA3583" i="34"/>
  <c r="AA3585" i="34"/>
  <c r="AA3606" i="34"/>
  <c r="AA3608" i="34"/>
  <c r="AA3610" i="34"/>
  <c r="AA3613" i="34"/>
  <c r="AA3623" i="34"/>
  <c r="AA3625" i="34"/>
  <c r="AA3627" i="34"/>
  <c r="AA3629" i="34"/>
  <c r="AA3631" i="34"/>
  <c r="AA1956" i="34"/>
  <c r="AA2065" i="34"/>
  <c r="AA2075" i="34"/>
  <c r="AA2136" i="34"/>
  <c r="AA2140" i="34"/>
  <c r="AA2144" i="34"/>
  <c r="AA2252" i="34"/>
  <c r="AA2256" i="34"/>
  <c r="AA2260" i="34"/>
  <c r="AA2402" i="34"/>
  <c r="AA2406" i="34"/>
  <c r="AA2410" i="34"/>
  <c r="AA2414" i="34"/>
  <c r="AA2418" i="34"/>
  <c r="AA2422" i="34"/>
  <c r="AA1944" i="34"/>
  <c r="AA2057" i="34"/>
  <c r="AA2066" i="34"/>
  <c r="AA2073" i="34"/>
  <c r="AA2137" i="34"/>
  <c r="AA2141" i="34"/>
  <c r="AA2145" i="34"/>
  <c r="AA2253" i="34"/>
  <c r="AA2257" i="34"/>
  <c r="AA2261" i="34"/>
  <c r="AA2403" i="34"/>
  <c r="AA2407" i="34"/>
  <c r="AA2411" i="34"/>
  <c r="AA2415" i="34"/>
  <c r="AA2419" i="34"/>
  <c r="AA3427" i="34"/>
  <c r="AA3429" i="34"/>
  <c r="AA3431" i="34"/>
  <c r="AA3433" i="34"/>
  <c r="AA3436" i="34"/>
  <c r="AA3446" i="34"/>
  <c r="AA3448" i="34"/>
  <c r="AA3450" i="34"/>
  <c r="AA3458" i="34"/>
  <c r="AA3475" i="34"/>
  <c r="AA3477" i="34"/>
  <c r="AA3480" i="34"/>
  <c r="AA3482" i="34"/>
  <c r="AA3484" i="34"/>
  <c r="AA3486" i="34"/>
  <c r="AA3491" i="34"/>
  <c r="AA3498" i="34"/>
  <c r="AA3500" i="34"/>
  <c r="AA3506" i="34"/>
  <c r="AA3509" i="34"/>
  <c r="AA3532" i="34"/>
  <c r="AA3534" i="34"/>
  <c r="AA3546" i="34"/>
  <c r="AA3548" i="34"/>
  <c r="AA3552" i="34"/>
  <c r="AA3561" i="34"/>
  <c r="AA3563" i="34"/>
  <c r="AA3565" i="34"/>
  <c r="AA3566" i="34"/>
  <c r="AA3494" i="34"/>
  <c r="AA3445" i="34"/>
  <c r="AA3568" i="34"/>
  <c r="AA3570" i="34"/>
  <c r="AA3572" i="34"/>
  <c r="AA3560" i="34"/>
  <c r="AA3574" i="34"/>
  <c r="AA3582" i="34"/>
  <c r="AA3584" i="34"/>
  <c r="AA3586" i="34"/>
  <c r="AA3607" i="34"/>
  <c r="AA3609" i="34"/>
  <c r="AA3611" i="34"/>
  <c r="AA3614" i="34"/>
  <c r="AA3624" i="34"/>
  <c r="AA3626" i="34"/>
  <c r="AA3628" i="34"/>
  <c r="AA3630" i="34"/>
  <c r="AA3632" i="34"/>
  <c r="AA3634" i="34"/>
  <c r="AA3637" i="34"/>
  <c r="AA3639" i="34"/>
  <c r="AA3660" i="34"/>
  <c r="AA3663" i="34"/>
  <c r="AA3665" i="34"/>
  <c r="AA3671" i="34"/>
  <c r="AA3676" i="34"/>
  <c r="AA3678" i="34"/>
  <c r="AA1948" i="34"/>
  <c r="AA2061" i="34"/>
  <c r="AA2069" i="34"/>
  <c r="AA2079" i="34"/>
  <c r="AA2134" i="34"/>
  <c r="AA2138" i="34"/>
  <c r="AA2142" i="34"/>
  <c r="AA2146" i="34"/>
  <c r="AA2188" i="34"/>
  <c r="AA2250" i="34"/>
  <c r="AA2254" i="34"/>
  <c r="AA2258" i="34"/>
  <c r="AA2262" i="34"/>
  <c r="AA2400" i="34"/>
  <c r="AA2404" i="34"/>
  <c r="AA2408" i="34"/>
  <c r="AA2412" i="34"/>
  <c r="AA2416" i="34"/>
  <c r="AA2420" i="34"/>
  <c r="AA3636" i="34"/>
  <c r="AA3659" i="34"/>
  <c r="AA3673" i="34"/>
  <c r="AA3675" i="34"/>
  <c r="AA3680" i="34"/>
  <c r="AA3682" i="34"/>
  <c r="AA3684" i="34"/>
  <c r="AA3686" i="34"/>
  <c r="AA3693" i="34"/>
  <c r="AA3703" i="34"/>
  <c r="AA3705" i="34"/>
  <c r="AA3707" i="34"/>
  <c r="AA3699" i="34"/>
  <c r="AA3701" i="34"/>
  <c r="AA3713" i="34"/>
  <c r="AA3728" i="34"/>
  <c r="AA3730" i="34"/>
  <c r="AA3741" i="34"/>
  <c r="AA3744" i="34"/>
  <c r="AA3746" i="34"/>
  <c r="AA3749" i="34"/>
  <c r="AA3781" i="34"/>
  <c r="AA3783" i="34"/>
  <c r="AA3785" i="34"/>
  <c r="AA3788" i="34"/>
  <c r="AA3804" i="34"/>
  <c r="AA3806" i="34"/>
  <c r="AA3809" i="34"/>
  <c r="AA3813" i="34"/>
  <c r="AA3737" i="34"/>
  <c r="AA3826" i="34"/>
  <c r="AA3828" i="34"/>
  <c r="AA3837" i="34"/>
  <c r="AA3839" i="34"/>
  <c r="AA3842" i="34"/>
  <c r="AA3847" i="34"/>
  <c r="AA3849" i="34"/>
  <c r="AA3851" i="34"/>
  <c r="AA3853" i="34"/>
  <c r="AA3855" i="34"/>
  <c r="AA3822" i="34"/>
  <c r="AA3867" i="34"/>
  <c r="AA3869" i="34"/>
  <c r="AA4835" i="34"/>
  <c r="AA4190" i="34"/>
  <c r="AA4069" i="34"/>
  <c r="AA3738" i="34"/>
  <c r="AA3740" i="34"/>
  <c r="AA4072" i="34"/>
  <c r="AA4108" i="34"/>
  <c r="AA4110" i="34"/>
  <c r="AA4152" i="34"/>
  <c r="AA4160" i="34"/>
  <c r="AA4247" i="34"/>
  <c r="AA4251" i="34"/>
  <c r="AA4409" i="34"/>
  <c r="AA4457" i="34"/>
  <c r="AA4459" i="34"/>
  <c r="AA4452" i="34"/>
  <c r="AA4454" i="34"/>
  <c r="AA4456" i="34"/>
  <c r="AA4488" i="34"/>
  <c r="AA4499" i="34"/>
  <c r="AA4501" i="34"/>
  <c r="AA4516" i="34"/>
  <c r="AA4537" i="34"/>
  <c r="AA4539" i="34"/>
  <c r="AA4542" i="34"/>
  <c r="AA4544" i="34"/>
  <c r="AA4546" i="34"/>
  <c r="AA4567" i="34"/>
  <c r="AA4676" i="34"/>
  <c r="AA4678" i="34"/>
  <c r="AA4684" i="34"/>
  <c r="AA4687" i="34"/>
  <c r="AA4689" i="34"/>
  <c r="AA4715" i="34"/>
  <c r="AA4711" i="34"/>
  <c r="AA4859" i="34"/>
  <c r="AA4861" i="34"/>
  <c r="AA4762" i="34"/>
  <c r="AA4764" i="34"/>
  <c r="AA4771" i="34"/>
  <c r="AA4774" i="34"/>
  <c r="AA4776" i="34"/>
  <c r="AA4777" i="34"/>
  <c r="AA4779" i="34"/>
  <c r="AA4781" i="34"/>
  <c r="AA4783" i="34"/>
  <c r="AA4794" i="34"/>
  <c r="AA4803" i="34"/>
  <c r="AA4805" i="34"/>
  <c r="AA4807" i="34"/>
  <c r="AA4809" i="34"/>
  <c r="AA4824" i="34"/>
  <c r="AA4850" i="34"/>
  <c r="AA4852" i="34"/>
  <c r="AA4854" i="34"/>
  <c r="AA4874" i="34"/>
  <c r="AA4876" i="34"/>
  <c r="AA5284" i="34"/>
  <c r="AA5292" i="34"/>
  <c r="AA5295" i="34"/>
  <c r="AA5297" i="34"/>
  <c r="AA5309" i="34"/>
  <c r="AA5311" i="34"/>
  <c r="AA5322" i="34"/>
  <c r="AA5343" i="34"/>
  <c r="AA5346" i="34"/>
  <c r="AA5366" i="34"/>
  <c r="AA5368" i="34"/>
  <c r="AA5370" i="34"/>
  <c r="AA5372" i="34"/>
  <c r="AA5398" i="34"/>
  <c r="AA5419" i="34"/>
  <c r="AA5421" i="34"/>
  <c r="AA5430" i="34"/>
  <c r="AA5435" i="34"/>
  <c r="AA5447" i="34"/>
  <c r="AA5449" i="34"/>
  <c r="AA5466" i="34"/>
  <c r="AA5477" i="34"/>
  <c r="AA5479" i="34"/>
  <c r="AA5481" i="34"/>
  <c r="AA5483" i="34"/>
  <c r="AA5485" i="34"/>
  <c r="AA5487" i="34"/>
  <c r="AA5489" i="34"/>
  <c r="AA5518" i="34"/>
  <c r="AA5520" i="34"/>
  <c r="AA5534" i="34"/>
  <c r="AA5536" i="34"/>
  <c r="AA5540" i="34"/>
  <c r="AA5542" i="34"/>
  <c r="AA5544" i="34"/>
  <c r="AA5546" i="34"/>
  <c r="AA5552" i="34"/>
  <c r="AA5554" i="34"/>
  <c r="AA5556" i="34"/>
  <c r="AA5579" i="34"/>
  <c r="AA5584" i="34"/>
  <c r="AA5586" i="34"/>
  <c r="AA5588" i="34"/>
  <c r="AA5600" i="34"/>
  <c r="AA5640" i="34"/>
  <c r="AA5650" i="34"/>
  <c r="AA5652" i="34"/>
  <c r="AA5658" i="34"/>
  <c r="AA5669" i="34"/>
  <c r="AA5671" i="34"/>
  <c r="AA5685" i="34"/>
  <c r="AA5687" i="34"/>
  <c r="AA5701" i="34"/>
  <c r="AA5703" i="34"/>
  <c r="AA5707" i="34"/>
  <c r="AA5709" i="34"/>
  <c r="AA5711" i="34"/>
  <c r="AA3460" i="34"/>
  <c r="AA3831" i="34"/>
  <c r="AA4862" i="34"/>
  <c r="AA4995" i="34"/>
  <c r="AA3456" i="34"/>
  <c r="AA3633" i="34"/>
  <c r="AA3664" i="34"/>
  <c r="AA3677" i="34"/>
  <c r="AA4089" i="34"/>
  <c r="AA4091" i="34"/>
  <c r="AA4093" i="34"/>
  <c r="AA4095" i="34"/>
  <c r="AA4097" i="34"/>
  <c r="AA4102" i="34"/>
  <c r="AA4098" i="34"/>
  <c r="AA4100" i="34"/>
  <c r="AA4219" i="34"/>
  <c r="AA4221" i="34"/>
  <c r="AA4198" i="34"/>
  <c r="AA4857" i="34"/>
  <c r="AA4269" i="34"/>
  <c r="AA4279" i="34"/>
  <c r="AA4281" i="34"/>
  <c r="AA4290" i="34"/>
  <c r="AA4295" i="34"/>
  <c r="AA4303" i="34"/>
  <c r="AA4312" i="34"/>
  <c r="AA3733" i="34"/>
  <c r="AA4906" i="34"/>
  <c r="AA4326" i="34"/>
  <c r="AA4328" i="34"/>
  <c r="AA4325" i="34"/>
  <c r="AA4374" i="34"/>
  <c r="AA4379" i="34"/>
  <c r="AA4381" i="34"/>
  <c r="AA4383" i="34"/>
  <c r="AA4390" i="34"/>
  <c r="AA4392" i="34"/>
  <c r="AA4393" i="34"/>
  <c r="AA4439" i="34"/>
  <c r="AA4521" i="34"/>
  <c r="AA4523" i="34"/>
  <c r="AA4525" i="34"/>
  <c r="AA4588" i="34"/>
  <c r="AA4590" i="34"/>
  <c r="AA4769" i="34"/>
  <c r="AA4597" i="34"/>
  <c r="AA4599" i="34"/>
  <c r="AA4611" i="34"/>
  <c r="AA4628" i="34"/>
  <c r="AA4630" i="34"/>
  <c r="AA4632" i="34"/>
  <c r="AA4634" i="34"/>
  <c r="AA4636" i="34"/>
  <c r="AA4638" i="34"/>
  <c r="AA4643" i="34"/>
  <c r="AA4648" i="34"/>
  <c r="AA4659" i="34"/>
  <c r="AA4661" i="34"/>
  <c r="AA4667" i="34"/>
  <c r="AA4721" i="34"/>
  <c r="AA4723" i="34"/>
  <c r="AA4725" i="34"/>
  <c r="AA4727" i="34"/>
  <c r="AA4730" i="34"/>
  <c r="AA4732" i="34"/>
  <c r="AA4737" i="34"/>
  <c r="AA4744" i="34"/>
  <c r="AA4900" i="34"/>
  <c r="AA4943" i="34"/>
  <c r="AA4795" i="34"/>
  <c r="AA4796" i="34"/>
  <c r="AA4962" i="34"/>
  <c r="AA4978" i="34"/>
  <c r="AA4980" i="34"/>
  <c r="AA4982" i="34"/>
  <c r="AA4991" i="34"/>
  <c r="AA5003" i="34"/>
  <c r="AA5005" i="34"/>
  <c r="AA5007" i="34"/>
  <c r="AA5009" i="34"/>
  <c r="AA5011" i="34"/>
  <c r="AA5014" i="34"/>
  <c r="AA5016" i="34"/>
  <c r="AA5018" i="34"/>
  <c r="AA5022" i="34"/>
  <c r="AA5024" i="34"/>
  <c r="AA5026" i="34"/>
  <c r="AA5028" i="34"/>
  <c r="AA5050" i="34"/>
  <c r="AA5052" i="34"/>
  <c r="AA5068" i="34"/>
  <c r="AA5080" i="34"/>
  <c r="AA5083" i="34"/>
  <c r="AA5085" i="34"/>
  <c r="AA5087" i="34"/>
  <c r="AA5089" i="34"/>
  <c r="AA5091" i="34"/>
  <c r="AA5093" i="34"/>
  <c r="AA5097" i="34"/>
  <c r="AA5099" i="34"/>
  <c r="AA5102" i="34"/>
  <c r="AA5104" i="34"/>
  <c r="AA5110" i="34"/>
  <c r="AA5117" i="34"/>
  <c r="AA5119" i="34"/>
  <c r="AA5126" i="34"/>
  <c r="AA5128" i="34"/>
  <c r="AA5130" i="34"/>
  <c r="AA5132" i="34"/>
  <c r="AA5134" i="34"/>
  <c r="AA5136" i="34"/>
  <c r="AA5140" i="34"/>
  <c r="AA5142" i="34"/>
  <c r="AA5144" i="34"/>
  <c r="AA5146" i="34"/>
  <c r="AA5148" i="34"/>
  <c r="AA5151" i="34"/>
  <c r="AA5153" i="34"/>
  <c r="AA5155" i="34"/>
  <c r="AA5157" i="34"/>
  <c r="AA5159" i="34"/>
  <c r="AA5166" i="34"/>
  <c r="AA5170" i="34"/>
  <c r="AA5172" i="34"/>
  <c r="AA5174" i="34"/>
  <c r="AA5176" i="34"/>
  <c r="AA5178" i="34"/>
  <c r="AA5193" i="34"/>
  <c r="AA5195" i="34"/>
  <c r="AA5197" i="34"/>
  <c r="AA5199" i="34"/>
  <c r="AA5201" i="34"/>
  <c r="AA5209" i="34"/>
  <c r="AA5211" i="34"/>
  <c r="AA5213" i="34"/>
  <c r="AA5215" i="34"/>
  <c r="AA5229" i="34"/>
  <c r="AA5231" i="34"/>
  <c r="AA5248" i="34"/>
  <c r="AA5250" i="34"/>
  <c r="AA5252" i="34"/>
  <c r="AA5254" i="34"/>
  <c r="AA5256" i="34"/>
  <c r="AA5273" i="34"/>
  <c r="AA5275" i="34"/>
  <c r="AA5277" i="34"/>
  <c r="AA5279" i="34"/>
  <c r="AA3459" i="34"/>
  <c r="AA3830" i="34"/>
  <c r="AA3843" i="34"/>
  <c r="AA4313" i="34"/>
  <c r="AA4800" i="34"/>
  <c r="AA4799" i="34"/>
  <c r="AA2578" i="34"/>
  <c r="AA2580" i="34"/>
  <c r="AA2582" i="34"/>
  <c r="AA2584" i="34"/>
  <c r="AA2586" i="34"/>
  <c r="AA2588" i="34"/>
  <c r="AA2590" i="34"/>
  <c r="AA3672" i="34"/>
  <c r="AA3674" i="34"/>
  <c r="AA3679" i="34"/>
  <c r="AA3681" i="34"/>
  <c r="AA3683" i="34"/>
  <c r="AA3685" i="34"/>
  <c r="AA3687" i="34"/>
  <c r="AA3688" i="34"/>
  <c r="AA3694" i="34"/>
  <c r="AA3704" i="34"/>
  <c r="AA3706" i="34"/>
  <c r="AA3716" i="34"/>
  <c r="AA3700" i="34"/>
  <c r="AA3712" i="34"/>
  <c r="AA3727" i="34"/>
  <c r="AA3729" i="34"/>
  <c r="AA3743" i="34"/>
  <c r="AA3745" i="34"/>
  <c r="AA3748" i="34"/>
  <c r="AA3750" i="34"/>
  <c r="AA3782" i="34"/>
  <c r="AA3784" i="34"/>
  <c r="AA3787" i="34"/>
  <c r="AA3799" i="34"/>
  <c r="AA3805" i="34"/>
  <c r="AA3808" i="34"/>
  <c r="AA3812" i="34"/>
  <c r="AA3814" i="34"/>
  <c r="AA3823" i="34"/>
  <c r="AA3827" i="34"/>
  <c r="AA3836" i="34"/>
  <c r="AA3838" i="34"/>
  <c r="AA3841" i="34"/>
  <c r="AA3846" i="34"/>
  <c r="AA3848" i="34"/>
  <c r="AA3850" i="34"/>
  <c r="AA3852" i="34"/>
  <c r="AA3854" i="34"/>
  <c r="AA3821" i="34"/>
  <c r="AA3868" i="34"/>
  <c r="AA4834" i="34"/>
  <c r="AA4836" i="34"/>
  <c r="AA4068" i="34"/>
  <c r="AA4070" i="34"/>
  <c r="AA3739" i="34"/>
  <c r="AA4071" i="34"/>
  <c r="AA4073" i="34"/>
  <c r="AA4109" i="34"/>
  <c r="AA4111" i="34"/>
  <c r="AA4151" i="34"/>
  <c r="AA4159" i="34"/>
  <c r="AA4246" i="34"/>
  <c r="AA4250" i="34"/>
  <c r="AA4410" i="34"/>
  <c r="AA4458" i="34"/>
  <c r="AA4451" i="34"/>
  <c r="AA4453" i="34"/>
  <c r="AA4455" i="34"/>
  <c r="AA4487" i="34"/>
  <c r="AA4489" i="34"/>
  <c r="AA4500" i="34"/>
  <c r="AA4502" i="34"/>
  <c r="AA4517" i="34"/>
  <c r="AA4538" i="34"/>
  <c r="AA4540" i="34"/>
  <c r="AA4543" i="34"/>
  <c r="AA4545" i="34"/>
  <c r="AA4547" i="34"/>
  <c r="AA4568" i="34"/>
  <c r="AA4677" i="34"/>
  <c r="AA4679" i="34"/>
  <c r="AA4683" i="34"/>
  <c r="AA4686" i="34"/>
  <c r="AA4688" i="34"/>
  <c r="AA4714" i="34"/>
  <c r="AA4716" i="34"/>
  <c r="AA4712" i="34"/>
  <c r="AA4860" i="34"/>
  <c r="AA4761" i="34"/>
  <c r="AA4763" i="34"/>
  <c r="AA4770" i="34"/>
  <c r="AA4773" i="34"/>
  <c r="AA4775" i="34"/>
  <c r="AA4772" i="34"/>
  <c r="AA4778" i="34"/>
  <c r="AA4780" i="34"/>
  <c r="AA4782" i="34"/>
  <c r="AA4801" i="34"/>
  <c r="AA4802" i="34"/>
  <c r="AA4804" i="34"/>
  <c r="AA4806" i="34"/>
  <c r="AA4808" i="34"/>
  <c r="AA4823" i="34"/>
  <c r="AA4825" i="34"/>
  <c r="AA4839" i="34"/>
  <c r="AA4851" i="34"/>
  <c r="AA4853" i="34"/>
  <c r="AA4872" i="34"/>
  <c r="AA4875" i="34"/>
  <c r="AA4877" i="34"/>
  <c r="AA5285" i="34"/>
  <c r="AA5293" i="34"/>
  <c r="AA5296" i="34"/>
  <c r="AA5298" i="34"/>
  <c r="AA5310" i="34"/>
  <c r="AA5312" i="34"/>
  <c r="AA5323" i="34"/>
  <c r="AA5344" i="34"/>
  <c r="AA5365" i="34"/>
  <c r="AA5367" i="34"/>
  <c r="AA5369" i="34"/>
  <c r="AA5371" i="34"/>
  <c r="AA5397" i="34"/>
  <c r="AA5418" i="34"/>
  <c r="AA5420" i="34"/>
  <c r="AA5429" i="34"/>
  <c r="AA5434" i="34"/>
  <c r="AA5446" i="34"/>
  <c r="AA5448" i="34"/>
  <c r="AA5465" i="34"/>
  <c r="AA5476" i="34"/>
  <c r="AA5478" i="34"/>
  <c r="AA5480" i="34"/>
  <c r="AA5482" i="34"/>
  <c r="AA5484" i="34"/>
  <c r="AA5486" i="34"/>
  <c r="AA5488" i="34"/>
  <c r="AA5490" i="34"/>
  <c r="AA5519" i="34"/>
  <c r="AA5533" i="34"/>
  <c r="AA5535" i="34"/>
  <c r="AA5539" i="34"/>
  <c r="AA5541" i="34"/>
  <c r="AA5543" i="34"/>
  <c r="AA5545" i="34"/>
  <c r="AA5551" i="34"/>
  <c r="AA5553" i="34"/>
  <c r="AA5555" i="34"/>
  <c r="AA5578" i="34"/>
  <c r="AA5583" i="34"/>
  <c r="AA5585" i="34"/>
  <c r="AA5587" i="34"/>
  <c r="AA5599" i="34"/>
  <c r="AA5603" i="34"/>
  <c r="AA5641" i="34"/>
  <c r="AA5651" i="34"/>
  <c r="AA5653" i="34"/>
  <c r="AA5659" i="34"/>
  <c r="AA5670" i="34"/>
  <c r="AA5672" i="34"/>
  <c r="AA5686" i="34"/>
  <c r="AA5688" i="34"/>
  <c r="AA5702" i="34"/>
  <c r="AA5704" i="34"/>
  <c r="AA5708" i="34"/>
  <c r="AA5710" i="34"/>
  <c r="AA3829" i="34"/>
  <c r="AA3840" i="34"/>
  <c r="AA4765" i="34"/>
  <c r="AA3638" i="34"/>
  <c r="AA3661" i="34"/>
  <c r="AA3670" i="34"/>
  <c r="AA4090" i="34"/>
  <c r="AA4092" i="34"/>
  <c r="AA4094" i="34"/>
  <c r="AA4096" i="34"/>
  <c r="AA4101" i="34"/>
  <c r="AA4103" i="34"/>
  <c r="AA4099" i="34"/>
  <c r="AA4220" i="34"/>
  <c r="AA4197" i="34"/>
  <c r="AA4856" i="34"/>
  <c r="AA4858" i="34"/>
  <c r="AA4270" i="34"/>
  <c r="AA4280" i="34"/>
  <c r="AA4289" i="34"/>
  <c r="AA4294" i="34"/>
  <c r="AA4302" i="34"/>
  <c r="AA4311" i="34"/>
  <c r="AA3732" i="34"/>
  <c r="AA3734" i="34"/>
  <c r="AA4905" i="34"/>
  <c r="AA4907" i="34"/>
  <c r="AA4327" i="34"/>
  <c r="AA4324" i="34"/>
  <c r="AA4373" i="34"/>
  <c r="AA4375" i="34"/>
  <c r="AA4380" i="34"/>
  <c r="AA4382" i="34"/>
  <c r="AA4391" i="34"/>
  <c r="AA3731" i="34"/>
  <c r="AA4394" i="34"/>
  <c r="AA4438" i="34"/>
  <c r="AA4440" i="34"/>
  <c r="AA4522" i="34"/>
  <c r="AA4524" i="34"/>
  <c r="AA4526" i="34"/>
  <c r="AA4587" i="34"/>
  <c r="AA4589" i="34"/>
  <c r="AA4591" i="34"/>
  <c r="AA4596" i="34"/>
  <c r="AA4598" i="34"/>
  <c r="AA4610" i="34"/>
  <c r="AA4627" i="34"/>
  <c r="AA4629" i="34"/>
  <c r="AA4631" i="34"/>
  <c r="AA4633" i="34"/>
  <c r="AA4635" i="34"/>
  <c r="AA4637" i="34"/>
  <c r="AA4642" i="34"/>
  <c r="AA4647" i="34"/>
  <c r="AA4658" i="34"/>
  <c r="AA4660" i="34"/>
  <c r="AA4666" i="34"/>
  <c r="AA4720" i="34"/>
  <c r="AA4722" i="34"/>
  <c r="AA4724" i="34"/>
  <c r="AA4726" i="34"/>
  <c r="AA4729" i="34"/>
  <c r="AA4731" i="34"/>
  <c r="AA4736" i="34"/>
  <c r="AA4738" i="34"/>
  <c r="AA4745" i="34"/>
  <c r="AA4933" i="34"/>
  <c r="AA4942" i="34"/>
  <c r="AA4950" i="34"/>
  <c r="AA4960" i="34"/>
  <c r="AA4961" i="34"/>
  <c r="AA4963" i="34"/>
  <c r="AA4979" i="34"/>
  <c r="AA4981" i="34"/>
  <c r="AA4983" i="34"/>
  <c r="AA4992" i="34"/>
  <c r="AA5002" i="34"/>
  <c r="AA5004" i="34"/>
  <c r="AA5006" i="34"/>
  <c r="AA5008" i="34"/>
  <c r="AA5010" i="34"/>
  <c r="AA5013" i="34"/>
  <c r="AA5015" i="34"/>
  <c r="AA5017" i="34"/>
  <c r="AA5019" i="34"/>
  <c r="AA5023" i="34"/>
  <c r="AA5025" i="34"/>
  <c r="AA5027" i="34"/>
  <c r="AA5029" i="34"/>
  <c r="AA5051" i="34"/>
  <c r="AA5053" i="34"/>
  <c r="AA5069" i="34"/>
  <c r="AA5081" i="34"/>
  <c r="AA5084" i="34"/>
  <c r="AA5086" i="34"/>
  <c r="AA5088" i="34"/>
  <c r="AA5090" i="34"/>
  <c r="AA5092" i="34"/>
  <c r="AA5096" i="34"/>
  <c r="AA5098" i="34"/>
  <c r="AA5101" i="34"/>
  <c r="AA5103" i="34"/>
  <c r="AA5109" i="34"/>
  <c r="AA5116" i="34"/>
  <c r="AA5118" i="34"/>
  <c r="AA5120" i="34"/>
  <c r="AA5127" i="34"/>
  <c r="AA5129" i="34"/>
  <c r="AA5131" i="34"/>
  <c r="AA5133" i="34"/>
  <c r="AA5135" i="34"/>
  <c r="AA5137" i="34"/>
  <c r="AA5141" i="34"/>
  <c r="AA5143" i="34"/>
  <c r="AA5145" i="34"/>
  <c r="AA5147" i="34"/>
  <c r="AA5149" i="34"/>
  <c r="AA5152" i="34"/>
  <c r="AA5154" i="34"/>
  <c r="AA5156" i="34"/>
  <c r="AA5158" i="34"/>
  <c r="AA5165" i="34"/>
  <c r="AA5169" i="34"/>
  <c r="AA5171" i="34"/>
  <c r="AA5173" i="34"/>
  <c r="AA5175" i="34"/>
  <c r="AA5177" i="34"/>
  <c r="AA5179" i="34"/>
  <c r="AA5194" i="34"/>
  <c r="AA5196" i="34"/>
  <c r="AA5198" i="34"/>
  <c r="AA5200" i="34"/>
  <c r="AA5202" i="34"/>
  <c r="AA5210" i="34"/>
  <c r="AA5212" i="34"/>
  <c r="AA5214" i="34"/>
  <c r="AA5228" i="34"/>
  <c r="AA5230" i="34"/>
  <c r="AA5247" i="34"/>
  <c r="AA5249" i="34"/>
  <c r="AA5251" i="34"/>
  <c r="AA5253" i="34"/>
  <c r="AA5255" i="34"/>
  <c r="AA5257" i="34"/>
  <c r="AA5274" i="34"/>
  <c r="AA5276" i="34"/>
  <c r="AA5278" i="34"/>
  <c r="AA3640" i="34"/>
  <c r="AA3832" i="34"/>
  <c r="AA4798" i="34"/>
  <c r="AA4847" i="34"/>
  <c r="AA2577" i="34"/>
  <c r="AA2579" i="34"/>
  <c r="AA2581" i="34"/>
  <c r="AA2583" i="34"/>
  <c r="AA2585" i="34"/>
  <c r="AA2587" i="34"/>
  <c r="AA2589" i="34"/>
  <c r="AA2591" i="34"/>
  <c r="AA3666" i="34"/>
  <c r="AA3689" i="34"/>
  <c r="AA3696" i="34"/>
  <c r="AA3698" i="34"/>
  <c r="AA3709" i="34"/>
  <c r="AA3710" i="34"/>
  <c r="AA3717" i="34"/>
  <c r="AA3719" i="34"/>
  <c r="AA3725" i="34"/>
  <c r="AA3759" i="34"/>
  <c r="AA3761" i="34"/>
  <c r="AA3763" i="34"/>
  <c r="AA3765" i="34"/>
  <c r="AA3767" i="34"/>
  <c r="AA3769" i="34"/>
  <c r="AA3771" i="34"/>
  <c r="AA3773" i="34"/>
  <c r="AA3775" i="34"/>
  <c r="AA3777" i="34"/>
  <c r="AA3789" i="34"/>
  <c r="AA3791" i="34"/>
  <c r="AA3801" i="34"/>
  <c r="AA3803" i="34"/>
  <c r="AA3824" i="34"/>
  <c r="AA3834" i="34"/>
  <c r="AA3844" i="34"/>
  <c r="AA4061" i="34"/>
  <c r="AA4253" i="34"/>
  <c r="AA2920" i="34"/>
  <c r="AA2922" i="34"/>
  <c r="AA2924" i="34"/>
  <c r="AA3876" i="34"/>
  <c r="AA3942" i="34"/>
  <c r="AA3994" i="34"/>
  <c r="AA4083" i="34"/>
  <c r="AA4131" i="34"/>
  <c r="AA4162" i="34"/>
  <c r="AA4267" i="34"/>
  <c r="AA4389" i="34"/>
  <c r="AA4563" i="34"/>
  <c r="AA4595" i="34"/>
  <c r="AA4609" i="34"/>
  <c r="AA4645" i="34"/>
  <c r="AA4749" i="34"/>
  <c r="AA4696" i="34"/>
  <c r="AA3461" i="34"/>
  <c r="AA3463" i="34"/>
  <c r="AA3465" i="34"/>
  <c r="AA3467" i="34"/>
  <c r="AA3469" i="34"/>
  <c r="AA3471" i="34"/>
  <c r="AA3511" i="34"/>
  <c r="AA3513" i="34"/>
  <c r="AA3515" i="34"/>
  <c r="AA3517" i="34"/>
  <c r="AA3551" i="34"/>
  <c r="AA3603" i="34"/>
  <c r="AA3616" i="34"/>
  <c r="AA3618" i="34"/>
  <c r="AA3641" i="34"/>
  <c r="AA3643" i="34"/>
  <c r="AA3645" i="34"/>
  <c r="AA3647" i="34"/>
  <c r="AA3650" i="34"/>
  <c r="AA3652" i="34"/>
  <c r="AA3662" i="34"/>
  <c r="AA4263" i="34"/>
  <c r="AA4406" i="34"/>
  <c r="AA4810" i="34"/>
  <c r="AA4908" i="34"/>
  <c r="AA2651" i="34"/>
  <c r="AA2653" i="34"/>
  <c r="AA2655" i="34"/>
  <c r="AA2657" i="34"/>
  <c r="AA2659" i="34"/>
  <c r="AA2661" i="34"/>
  <c r="AA2663" i="34"/>
  <c r="AA2665" i="34"/>
  <c r="AA2667" i="34"/>
  <c r="AA2669" i="34"/>
  <c r="AA2671" i="34"/>
  <c r="AA2673" i="34"/>
  <c r="AA2675" i="34"/>
  <c r="AA2677" i="34"/>
  <c r="AA2679" i="34"/>
  <c r="AA2681" i="34"/>
  <c r="AA2683" i="34"/>
  <c r="AA2685" i="34"/>
  <c r="AA2687" i="34"/>
  <c r="AA2689" i="34"/>
  <c r="AA2691" i="34"/>
  <c r="AA2693" i="34"/>
  <c r="AA2695" i="34"/>
  <c r="AA2697" i="34"/>
  <c r="AA2699" i="34"/>
  <c r="AA2701" i="34"/>
  <c r="AA2703" i="34"/>
  <c r="AA2705" i="34"/>
  <c r="AA2707" i="34"/>
  <c r="AA2709" i="34"/>
  <c r="AA2711" i="34"/>
  <c r="AA2713" i="34"/>
  <c r="AA2715" i="34"/>
  <c r="AA2717" i="34"/>
  <c r="AA2719" i="34"/>
  <c r="AA2721" i="34"/>
  <c r="AA2723" i="34"/>
  <c r="AA2725" i="34"/>
  <c r="AA2727" i="34"/>
  <c r="AA2729" i="34"/>
  <c r="AA2731" i="34"/>
  <c r="AA2733" i="34"/>
  <c r="AA2735" i="34"/>
  <c r="AA2737" i="34"/>
  <c r="AA2739" i="34"/>
  <c r="AA2741" i="34"/>
  <c r="AA2743" i="34"/>
  <c r="AA2745" i="34"/>
  <c r="AA2747" i="34"/>
  <c r="AA2749" i="34"/>
  <c r="AA2751" i="34"/>
  <c r="AA2753" i="34"/>
  <c r="AA2755" i="34"/>
  <c r="AA2757" i="34"/>
  <c r="AA2759" i="34"/>
  <c r="AA2761" i="34"/>
  <c r="AA2763" i="34"/>
  <c r="AA2765" i="34"/>
  <c r="AA2767" i="34"/>
  <c r="AA2769" i="34"/>
  <c r="AA2771" i="34"/>
  <c r="AA2773" i="34"/>
  <c r="AA2775" i="34"/>
  <c r="AA2777" i="34"/>
  <c r="AA2779" i="34"/>
  <c r="AA2781" i="34"/>
  <c r="AA2783" i="34"/>
  <c r="AA2785" i="34"/>
  <c r="AA2787" i="34"/>
  <c r="AA2789" i="34"/>
  <c r="AA2791" i="34"/>
  <c r="AA2793" i="34"/>
  <c r="AA2795" i="34"/>
  <c r="AA2797" i="34"/>
  <c r="AA2799" i="34"/>
  <c r="AA2801" i="34"/>
  <c r="AA2803" i="34"/>
  <c r="AA3434" i="34"/>
  <c r="AA3439" i="34"/>
  <c r="AA3441" i="34"/>
  <c r="AA3443" i="34"/>
  <c r="AA3453" i="34"/>
  <c r="AA3455" i="34"/>
  <c r="AA3487" i="34"/>
  <c r="AA3489" i="34"/>
  <c r="AA3496" i="34"/>
  <c r="AA3502" i="34"/>
  <c r="AA3504" i="34"/>
  <c r="AA3518" i="34"/>
  <c r="AA3520" i="34"/>
  <c r="AA3522" i="34"/>
  <c r="AA3524" i="34"/>
  <c r="AA3526" i="34"/>
  <c r="AA3528" i="34"/>
  <c r="AA3530" i="34"/>
  <c r="AA3536" i="34"/>
  <c r="AA3538" i="34"/>
  <c r="AA3540" i="34"/>
  <c r="AA3542" i="34"/>
  <c r="AA3544" i="34"/>
  <c r="AA3554" i="34"/>
  <c r="AA3556" i="34"/>
  <c r="AA3558" i="34"/>
  <c r="AA3576" i="34"/>
  <c r="AA3578" i="34"/>
  <c r="AA3580" i="34"/>
  <c r="AA3588" i="34"/>
  <c r="AA3590" i="34"/>
  <c r="AA3592" i="34"/>
  <c r="AA3594" i="34"/>
  <c r="AA3596" i="34"/>
  <c r="AA3598" i="34"/>
  <c r="AA3600" i="34"/>
  <c r="AA3602" i="34"/>
  <c r="AA3619" i="34"/>
  <c r="AA3621" i="34"/>
  <c r="AA3653" i="34"/>
  <c r="AA3668" i="34"/>
  <c r="AA3690" i="34"/>
  <c r="AA3692" i="34"/>
  <c r="AA3724" i="34"/>
  <c r="AA3742" i="34"/>
  <c r="AA3751" i="34"/>
  <c r="AA3753" i="34"/>
  <c r="AA3755" i="34"/>
  <c r="AA3757" i="34"/>
  <c r="AA3780" i="34"/>
  <c r="AA3792" i="34"/>
  <c r="AA3794" i="34"/>
  <c r="AA3796" i="34"/>
  <c r="AA3798" i="34"/>
  <c r="AA3810" i="34"/>
  <c r="AA3816" i="34"/>
  <c r="AA3818" i="34"/>
  <c r="AA3820" i="34"/>
  <c r="AA3856" i="34"/>
  <c r="AA3858" i="34"/>
  <c r="AA4188" i="34"/>
  <c r="AA4224" i="34"/>
  <c r="AA4446" i="34"/>
  <c r="AA4486" i="34"/>
  <c r="AA4710" i="34"/>
  <c r="AA5506" i="34"/>
  <c r="AA3667" i="34"/>
  <c r="AA3695" i="34"/>
  <c r="AA3697" i="34"/>
  <c r="AA3708" i="34"/>
  <c r="AA3702" i="34"/>
  <c r="AA3711" i="34"/>
  <c r="AA3718" i="34"/>
  <c r="AA3723" i="34"/>
  <c r="AA3758" i="34"/>
  <c r="AA3760" i="34"/>
  <c r="AA3762" i="34"/>
  <c r="AA3764" i="34"/>
  <c r="AA3766" i="34"/>
  <c r="AA3768" i="34"/>
  <c r="AA3770" i="34"/>
  <c r="AA3772" i="34"/>
  <c r="AA3774" i="34"/>
  <c r="AA3776" i="34"/>
  <c r="AA3778" i="34"/>
  <c r="AA3790" i="34"/>
  <c r="AA3800" i="34"/>
  <c r="AA3802" i="34"/>
  <c r="AA3815" i="34"/>
  <c r="AA3833" i="34"/>
  <c r="AA3835" i="34"/>
  <c r="AA3845" i="34"/>
  <c r="AA4396" i="34"/>
  <c r="AA4669" i="34"/>
  <c r="AA2921" i="34"/>
  <c r="AA2923" i="34"/>
  <c r="AA2925" i="34"/>
  <c r="AA3931" i="34"/>
  <c r="AA3941" i="34"/>
  <c r="AA3968" i="34"/>
  <c r="AA3982" i="34"/>
  <c r="AA3995" i="34"/>
  <c r="AA4074" i="34"/>
  <c r="AA4477" i="34"/>
  <c r="AA4498" i="34"/>
  <c r="AA4562" i="34"/>
  <c r="AA4766" i="34"/>
  <c r="AA3457" i="34"/>
  <c r="AA3462" i="34"/>
  <c r="AA3464" i="34"/>
  <c r="AA3466" i="34"/>
  <c r="AA3468" i="34"/>
  <c r="AA3470" i="34"/>
  <c r="AA3472" i="34"/>
  <c r="AA3512" i="34"/>
  <c r="AA3514" i="34"/>
  <c r="AA3516" i="34"/>
  <c r="AA3550" i="34"/>
  <c r="AA3612" i="34"/>
  <c r="AA3615" i="34"/>
  <c r="AA3617" i="34"/>
  <c r="AA3635" i="34"/>
  <c r="AA3642" i="34"/>
  <c r="AA3644" i="34"/>
  <c r="AA3646" i="34"/>
  <c r="AA3649" i="34"/>
  <c r="AA3651" i="34"/>
  <c r="AA3648" i="34"/>
  <c r="AA4786" i="34"/>
  <c r="AA2652" i="34"/>
  <c r="AA2654" i="34"/>
  <c r="AA2656" i="34"/>
  <c r="AA2658" i="34"/>
  <c r="AA2660" i="34"/>
  <c r="AA2662" i="34"/>
  <c r="AA2664" i="34"/>
  <c r="AA2666" i="34"/>
  <c r="AA2668" i="34"/>
  <c r="AA2670" i="34"/>
  <c r="AA2672" i="34"/>
  <c r="AA2674" i="34"/>
  <c r="AA2676" i="34"/>
  <c r="AA2678" i="34"/>
  <c r="AA2680" i="34"/>
  <c r="AA2682" i="34"/>
  <c r="AA2684" i="34"/>
  <c r="AA2686" i="34"/>
  <c r="AA2688" i="34"/>
  <c r="AA2690" i="34"/>
  <c r="AA2692" i="34"/>
  <c r="AA2694" i="34"/>
  <c r="AA2696" i="34"/>
  <c r="AA2698" i="34"/>
  <c r="AA2700" i="34"/>
  <c r="AA2702" i="34"/>
  <c r="AA2704" i="34"/>
  <c r="AA2706" i="34"/>
  <c r="AA2708" i="34"/>
  <c r="AA2710" i="34"/>
  <c r="AA2712" i="34"/>
  <c r="AA2714" i="34"/>
  <c r="AA2716" i="34"/>
  <c r="AA2718" i="34"/>
  <c r="AA2720" i="34"/>
  <c r="AA2722" i="34"/>
  <c r="AA2724" i="34"/>
  <c r="AA2726" i="34"/>
  <c r="AA2728" i="34"/>
  <c r="AA2730" i="34"/>
  <c r="AA2732" i="34"/>
  <c r="AA2734" i="34"/>
  <c r="AA2736" i="34"/>
  <c r="AA2738" i="34"/>
  <c r="AA2740" i="34"/>
  <c r="AA2742" i="34"/>
  <c r="AA2744" i="34"/>
  <c r="AA2746" i="34"/>
  <c r="AA2748" i="34"/>
  <c r="AA2750" i="34"/>
  <c r="AA2752" i="34"/>
  <c r="AA2754" i="34"/>
  <c r="AA2756" i="34"/>
  <c r="AA2758" i="34"/>
  <c r="AA2760" i="34"/>
  <c r="AA2762" i="34"/>
  <c r="AA2764" i="34"/>
  <c r="AA2766" i="34"/>
  <c r="AA2768" i="34"/>
  <c r="AA2770" i="34"/>
  <c r="AA2772" i="34"/>
  <c r="AA2774" i="34"/>
  <c r="AA2776" i="34"/>
  <c r="AA2778" i="34"/>
  <c r="AA2780" i="34"/>
  <c r="AA2782" i="34"/>
  <c r="AA2784" i="34"/>
  <c r="AA2786" i="34"/>
  <c r="AA2788" i="34"/>
  <c r="AA2790" i="34"/>
  <c r="AA2792" i="34"/>
  <c r="AA2794" i="34"/>
  <c r="AA2796" i="34"/>
  <c r="AA2798" i="34"/>
  <c r="AA2800" i="34"/>
  <c r="AA2802" i="34"/>
  <c r="AA2804" i="34"/>
  <c r="AA3438" i="34"/>
  <c r="AA3440" i="34"/>
  <c r="AA3442" i="34"/>
  <c r="AA3452" i="34"/>
  <c r="AA3454" i="34"/>
  <c r="AA3479" i="34"/>
  <c r="AA3488" i="34"/>
  <c r="AA3492" i="34"/>
  <c r="AA3501" i="34"/>
  <c r="AA3503" i="34"/>
  <c r="AA3508" i="34"/>
  <c r="AA3519" i="34"/>
  <c r="AA3521" i="34"/>
  <c r="AA3523" i="34"/>
  <c r="AA3525" i="34"/>
  <c r="AA3527" i="34"/>
  <c r="AA3529" i="34"/>
  <c r="AA3531" i="34"/>
  <c r="AA3537" i="34"/>
  <c r="AA3539" i="34"/>
  <c r="AA3541" i="34"/>
  <c r="AA3543" i="34"/>
  <c r="AA3545" i="34"/>
  <c r="AA3555" i="34"/>
  <c r="AA3557" i="34"/>
  <c r="AA3575" i="34"/>
  <c r="AA3577" i="34"/>
  <c r="AA3579" i="34"/>
  <c r="AA3587" i="34"/>
  <c r="AA3589" i="34"/>
  <c r="AA3591" i="34"/>
  <c r="AA3593" i="34"/>
  <c r="AA3595" i="34"/>
  <c r="AA3597" i="34"/>
  <c r="AA3599" i="34"/>
  <c r="AA3601" i="34"/>
  <c r="AA3604" i="34"/>
  <c r="AA3620" i="34"/>
  <c r="AA3622" i="34"/>
  <c r="AA3654" i="34"/>
  <c r="AA3669" i="34"/>
  <c r="AA3691" i="34"/>
  <c r="AA3720" i="34"/>
  <c r="AA3726" i="34"/>
  <c r="AA3747" i="34"/>
  <c r="AA3752" i="34"/>
  <c r="AA3754" i="34"/>
  <c r="AA3756" i="34"/>
  <c r="AA3779" i="34"/>
  <c r="AA3786" i="34"/>
  <c r="AA3793" i="34"/>
  <c r="AA3795" i="34"/>
  <c r="AA3797" i="34"/>
  <c r="AA3807" i="34"/>
  <c r="AA3811" i="34"/>
  <c r="AA3817" i="34"/>
  <c r="AA3819" i="34"/>
  <c r="AA3825" i="34"/>
  <c r="AA3857" i="34"/>
  <c r="AA3861" i="34"/>
  <c r="AA3972" i="34"/>
  <c r="AA4223" i="34"/>
  <c r="AA4403" i="34"/>
  <c r="AA5714" i="34"/>
  <c r="AA5716" i="34"/>
  <c r="AA5715" i="34"/>
  <c r="AA1857" i="34"/>
  <c r="AA2213" i="34"/>
  <c r="AA1868" i="34"/>
  <c r="AA2370" i="34"/>
  <c r="AA1856" i="34"/>
  <c r="AA2372" i="34"/>
  <c r="AA1853" i="34"/>
  <c r="AA2371" i="34"/>
  <c r="AA1851" i="34"/>
  <c r="AA2345" i="34"/>
  <c r="AA1852" i="34"/>
  <c r="AA2214" i="34"/>
  <c r="AA2346" i="34"/>
  <c r="AA1767" i="34"/>
  <c r="AA2361" i="34"/>
  <c r="AA1766" i="34"/>
  <c r="AA2212" i="34"/>
  <c r="AA1854" i="34"/>
  <c r="AA2218" i="34"/>
  <c r="AA1855" i="34"/>
  <c r="AA2217" i="34"/>
  <c r="AA862" i="34"/>
  <c r="AA863" i="34"/>
  <c r="AA969" i="34"/>
  <c r="AA970" i="34"/>
  <c r="AA1164" i="34"/>
  <c r="AA968" i="34"/>
  <c r="AA2230" i="34"/>
  <c r="AA2344" i="34"/>
  <c r="AA2354" i="34"/>
  <c r="AA2366" i="34"/>
  <c r="AA2225" i="34"/>
  <c r="AA2220" i="34"/>
  <c r="AA2351" i="34"/>
  <c r="AA2363" i="34"/>
  <c r="AA2358" i="34"/>
  <c r="AA2228" i="34"/>
  <c r="AA2348" i="34"/>
  <c r="AA2356" i="34"/>
  <c r="AA2368" i="34"/>
  <c r="AA2215" i="34"/>
  <c r="AA2221" i="34"/>
  <c r="AA2223" i="34"/>
  <c r="AA2353" i="34"/>
  <c r="AA2365" i="34"/>
  <c r="AA2360" i="34"/>
  <c r="AA2226" i="34"/>
  <c r="AA2350" i="34"/>
  <c r="AA2362" i="34"/>
  <c r="AA2373" i="34"/>
  <c r="AA2229" i="34"/>
  <c r="AA2222" i="34"/>
  <c r="AA2347" i="34"/>
  <c r="AA2355" i="34"/>
  <c r="AA2367" i="34"/>
  <c r="AA2224" i="34"/>
  <c r="AA2219" i="34"/>
  <c r="AA2352" i="34"/>
  <c r="AA2364" i="34"/>
  <c r="AA2359" i="34"/>
  <c r="AA2227" i="34"/>
  <c r="AA2216" i="34"/>
  <c r="AA2349" i="34"/>
  <c r="AA2357" i="34"/>
  <c r="AA2369" i="34"/>
  <c r="AA847" i="34"/>
  <c r="AA844" i="34"/>
  <c r="AA845" i="34"/>
  <c r="AA846" i="34"/>
  <c r="AA5475" i="34"/>
  <c r="AA5676" i="34"/>
  <c r="AA2396" i="34"/>
  <c r="AA26" i="34"/>
  <c r="AA5677" i="34"/>
  <c r="AA2395" i="34"/>
  <c r="AA5679" i="34"/>
  <c r="AA5678" i="34"/>
  <c r="AA832" i="34"/>
  <c r="AA840" i="34"/>
  <c r="AA833" i="34"/>
  <c r="AA827" i="34"/>
  <c r="AA837" i="34"/>
  <c r="AA2399" i="34"/>
  <c r="AA830" i="34"/>
  <c r="AA2398" i="34"/>
  <c r="AA829" i="34"/>
  <c r="AA839" i="34"/>
  <c r="AA2324" i="34"/>
  <c r="AA836" i="34"/>
  <c r="AA828" i="34"/>
  <c r="AA831" i="34"/>
  <c r="AA841" i="34"/>
  <c r="AA834" i="34"/>
  <c r="AA2397" i="34"/>
  <c r="AA838" i="34"/>
  <c r="AA835" i="34"/>
  <c r="AA2322" i="34"/>
  <c r="AA285" i="34"/>
  <c r="AA284" i="34"/>
  <c r="AA2323" i="34"/>
  <c r="AA286" i="34"/>
  <c r="AA2321" i="34"/>
  <c r="AA2390" i="34"/>
  <c r="AA2327" i="34"/>
  <c r="AA2394" i="34"/>
  <c r="AA2393" i="34"/>
  <c r="AA2392" i="34"/>
  <c r="AA25" i="34"/>
  <c r="AA2391" i="34"/>
  <c r="AA2325" i="34"/>
  <c r="AA5630" i="34"/>
  <c r="AA2326" i="34"/>
  <c r="AA2573" i="34"/>
  <c r="AA2574" i="34"/>
  <c r="AA2575" i="34"/>
  <c r="AA2572" i="34"/>
  <c r="AA2576" i="34"/>
  <c r="AA5695" i="34"/>
  <c r="AA3346" i="34"/>
  <c r="AA2318" i="34"/>
  <c r="AA5667" i="34"/>
  <c r="AA2310" i="34"/>
  <c r="AA5664" i="34"/>
  <c r="AA5698" i="34"/>
  <c r="AA5684" i="34"/>
  <c r="AA2311" i="34"/>
  <c r="AA5666" i="34"/>
  <c r="AA5692" i="34"/>
  <c r="AA2319" i="34"/>
  <c r="AA5665" i="34"/>
  <c r="AA2314" i="34"/>
  <c r="AA5660" i="34"/>
  <c r="AA5706" i="34"/>
  <c r="AA5697" i="34"/>
  <c r="AA2317" i="34"/>
  <c r="AA5662" i="34"/>
  <c r="AA5700" i="34"/>
  <c r="AA3342" i="34"/>
  <c r="AA5663" i="34"/>
  <c r="AA2313" i="34"/>
  <c r="AA2315" i="34"/>
  <c r="AA5694" i="34"/>
  <c r="AA5699" i="34"/>
  <c r="AA2320" i="34"/>
  <c r="AA2312" i="34"/>
  <c r="AA2316" i="34"/>
  <c r="AA5696" i="34"/>
  <c r="AA5661" i="34"/>
  <c r="AA5693" i="34"/>
  <c r="AA5691" i="34"/>
  <c r="AA3317" i="34"/>
  <c r="AA5705" i="34"/>
  <c r="AA2305" i="34"/>
  <c r="AA2303" i="34"/>
  <c r="AA3338" i="34"/>
  <c r="AA2302" i="34"/>
  <c r="AA5681" i="34"/>
  <c r="AA5668" i="34"/>
  <c r="AA5657" i="34"/>
  <c r="AA3339" i="34"/>
  <c r="AA2309" i="34"/>
  <c r="AA2308" i="34"/>
  <c r="AA2304" i="34"/>
  <c r="AA5682" i="34"/>
  <c r="AA3340" i="34"/>
  <c r="AA2301" i="34"/>
  <c r="AA2307" i="34"/>
  <c r="AA2306" i="34"/>
  <c r="AA5683" i="34"/>
  <c r="AA2648" i="34"/>
  <c r="AA2647" i="34"/>
  <c r="AA2649" i="34"/>
  <c r="AA2646" i="34"/>
  <c r="AA2650" i="34"/>
  <c r="AA2862" i="34"/>
  <c r="AA2996" i="34"/>
  <c r="AA2547" i="34"/>
  <c r="AA3200" i="34"/>
  <c r="AA2566" i="34"/>
  <c r="AA2300" i="34"/>
  <c r="AA262" i="34"/>
  <c r="AA243" i="34"/>
  <c r="AA2983" i="34"/>
  <c r="AA2510" i="34"/>
  <c r="AA3040" i="34"/>
  <c r="AA3258" i="34"/>
  <c r="AA278" i="34"/>
  <c r="AA242" i="34"/>
  <c r="AA282" i="34"/>
  <c r="AA2929" i="34"/>
  <c r="AA2493" i="34"/>
  <c r="AA2562" i="34"/>
  <c r="AA3222" i="34"/>
  <c r="AA5647" i="34"/>
  <c r="AA258" i="34"/>
  <c r="AA260" i="34"/>
  <c r="AA2808" i="34"/>
  <c r="AA2990" i="34"/>
  <c r="AA2544" i="34"/>
  <c r="AA3166" i="34"/>
  <c r="AA2558" i="34"/>
  <c r="AA5648" i="34"/>
  <c r="AA240" i="34"/>
  <c r="AA280" i="34"/>
  <c r="AA2915" i="34"/>
  <c r="AA2505" i="34"/>
  <c r="AA3022" i="34"/>
  <c r="AA3245" i="34"/>
  <c r="AA5654" i="34"/>
  <c r="AA279" i="34"/>
  <c r="AA283" i="34"/>
  <c r="AA2856" i="34"/>
  <c r="AA2486" i="34"/>
  <c r="AA2555" i="34"/>
  <c r="AA3223" i="34"/>
  <c r="AA2551" i="34"/>
  <c r="AA5655" i="34"/>
  <c r="AA261" i="34"/>
  <c r="AA2987" i="34"/>
  <c r="AA2534" i="34"/>
  <c r="AA3142" i="34"/>
  <c r="AA3257" i="34"/>
  <c r="AA5656" i="34"/>
  <c r="AA241" i="34"/>
  <c r="AA281" i="34"/>
  <c r="AA2968" i="34"/>
  <c r="AA2501" i="34"/>
  <c r="AA2976" i="34"/>
  <c r="AA3246" i="34"/>
  <c r="AA3337" i="34"/>
  <c r="AA259" i="34"/>
  <c r="AA263" i="34"/>
  <c r="AA2380" i="34"/>
  <c r="AA5627" i="34"/>
  <c r="AA3327" i="34"/>
  <c r="AA3345" i="34"/>
  <c r="AA5602" i="34"/>
  <c r="AA5613" i="34"/>
  <c r="AA5620" i="34"/>
  <c r="AA2560" i="34"/>
  <c r="AA5638" i="34"/>
  <c r="AA5512" i="34"/>
  <c r="AA5572" i="34"/>
  <c r="AA5635" i="34"/>
  <c r="AA2554" i="34"/>
  <c r="AA2388" i="34"/>
  <c r="AA3332" i="34"/>
  <c r="AA3324" i="34"/>
  <c r="AA3344" i="34"/>
  <c r="AA5513" i="34"/>
  <c r="AA5612" i="34"/>
  <c r="AA5621" i="34"/>
  <c r="AA2549" i="34"/>
  <c r="AA2384" i="34"/>
  <c r="AA2387" i="34"/>
  <c r="AA5564" i="34"/>
  <c r="AA5632" i="34"/>
  <c r="AA2570" i="34"/>
  <c r="AA2385" i="34"/>
  <c r="AA3333" i="34"/>
  <c r="AA3325" i="34"/>
  <c r="AA3343" i="34"/>
  <c r="AA5604" i="34"/>
  <c r="AA5614" i="34"/>
  <c r="AA5622" i="34"/>
  <c r="AA2564" i="34"/>
  <c r="AA3319" i="34"/>
  <c r="AA5562" i="34"/>
  <c r="AA5611" i="34"/>
  <c r="AA5644" i="34"/>
  <c r="AA2569" i="34"/>
  <c r="AA5624" i="34"/>
  <c r="AA3330" i="34"/>
  <c r="AA3322" i="34"/>
  <c r="AA3341" i="34"/>
  <c r="AA5590" i="34"/>
  <c r="AA5615" i="34"/>
  <c r="AA5628" i="34"/>
  <c r="AA2559" i="34"/>
  <c r="AA2389" i="34"/>
  <c r="AA5626" i="34"/>
  <c r="AA5571" i="34"/>
  <c r="AA5645" i="34"/>
  <c r="AA2568" i="34"/>
  <c r="AA2379" i="34"/>
  <c r="AA3331" i="34"/>
  <c r="AA3323" i="34"/>
  <c r="AA3336" i="34"/>
  <c r="AA5606" i="34"/>
  <c r="AA5616" i="34"/>
  <c r="AA2550" i="34"/>
  <c r="AA2382" i="34"/>
  <c r="AA5690" i="34"/>
  <c r="AA5563" i="34"/>
  <c r="AA5609" i="34"/>
  <c r="AA5646" i="34"/>
  <c r="AA2567" i="34"/>
  <c r="AA5634" i="34"/>
  <c r="AA3328" i="34"/>
  <c r="AA3314" i="34"/>
  <c r="AA3335" i="34"/>
  <c r="AA5605" i="34"/>
  <c r="AA5617" i="34"/>
  <c r="AA5636" i="34"/>
  <c r="AA2561" i="34"/>
  <c r="AA2381" i="34"/>
  <c r="AA3320" i="34"/>
  <c r="AA5589" i="34"/>
  <c r="AA2553" i="34"/>
  <c r="AA2563" i="34"/>
  <c r="AA2386" i="34"/>
  <c r="AA3329" i="34"/>
  <c r="AA3313" i="34"/>
  <c r="AA5712" i="34"/>
  <c r="AA5608" i="34"/>
  <c r="AA5618" i="34"/>
  <c r="AA2557" i="34"/>
  <c r="AA5625" i="34"/>
  <c r="AA5601" i="34"/>
  <c r="AA5570" i="34"/>
  <c r="AA5631" i="34"/>
  <c r="AA2552" i="34"/>
  <c r="AA5633" i="34"/>
  <c r="AA3334" i="34"/>
  <c r="AA3326" i="34"/>
  <c r="AA3321" i="34"/>
  <c r="AA5689" i="34"/>
  <c r="AA5607" i="34"/>
  <c r="AA5619" i="34"/>
  <c r="AA2546" i="34"/>
  <c r="AA2565" i="34"/>
  <c r="AA2383" i="34"/>
  <c r="AA5629" i="34"/>
  <c r="AA5610" i="34"/>
  <c r="AA2556" i="34"/>
  <c r="AA3318" i="34"/>
  <c r="AA239" i="34"/>
  <c r="AA5639" i="34"/>
  <c r="AA238" i="34"/>
  <c r="AA5591" i="34"/>
  <c r="AA5597" i="34"/>
  <c r="AA2298" i="34"/>
  <c r="AA5592" i="34"/>
  <c r="AA5680" i="34"/>
  <c r="AA5595" i="34"/>
  <c r="AA5649" i="34"/>
  <c r="AA5594" i="34"/>
  <c r="AA2297" i="34"/>
  <c r="AA2296" i="34"/>
  <c r="AA5623" i="34"/>
  <c r="AA5593" i="34"/>
  <c r="AA2295" i="34"/>
  <c r="AA5598" i="34"/>
  <c r="AA3316" i="34"/>
  <c r="AA5596" i="34"/>
  <c r="AA2299" i="34"/>
  <c r="AA5637" i="34"/>
  <c r="AA5582" i="34"/>
  <c r="AA2196" i="34"/>
  <c r="AA2199" i="34"/>
  <c r="AA2198" i="34"/>
  <c r="AA5581" i="34"/>
  <c r="AA2193" i="34"/>
  <c r="AA5580" i="34"/>
  <c r="AA806" i="34"/>
  <c r="AA2197" i="34"/>
  <c r="AA805" i="34"/>
  <c r="AA2200" i="34"/>
  <c r="AA2195" i="34"/>
  <c r="AA2194" i="34"/>
  <c r="AA2292" i="34"/>
  <c r="AA2291" i="34"/>
  <c r="AA5576" i="34"/>
  <c r="AA3302" i="34"/>
  <c r="AA3296" i="34"/>
  <c r="AA3301" i="34"/>
  <c r="AA5575" i="34"/>
  <c r="AA2232" i="34"/>
  <c r="AA2233" i="34"/>
  <c r="AA5568" i="34"/>
  <c r="AA2294" i="34"/>
  <c r="AA2248" i="34"/>
  <c r="AA2293" i="34"/>
  <c r="AA3309" i="34"/>
  <c r="AA5577" i="34"/>
  <c r="AA2245" i="34"/>
  <c r="AA3228" i="34"/>
  <c r="AA2234" i="34"/>
  <c r="AA798" i="34"/>
  <c r="AA5573" i="34"/>
  <c r="AA5565" i="34"/>
  <c r="AA2231" i="34"/>
  <c r="AA3305" i="34"/>
  <c r="AA5574" i="34"/>
  <c r="AA5567" i="34"/>
  <c r="AA2249" i="34"/>
  <c r="AA2290" i="34"/>
  <c r="AA797" i="34"/>
  <c r="AA5569" i="34"/>
  <c r="AA2244" i="34"/>
  <c r="AA5566" i="34"/>
  <c r="AA796" i="34"/>
  <c r="AA123" i="34"/>
  <c r="AA4570" i="34"/>
  <c r="AA2242" i="34"/>
  <c r="AA139" i="34"/>
  <c r="AA5037" i="34"/>
  <c r="AA4340" i="34"/>
  <c r="AA2241" i="34"/>
  <c r="AA5549" i="34"/>
  <c r="AA106" i="34"/>
  <c r="AA154" i="34"/>
  <c r="AA2240" i="34"/>
  <c r="AA5550" i="34"/>
  <c r="AA223" i="34"/>
  <c r="AA2378" i="34"/>
  <c r="AA203" i="34"/>
  <c r="AA173" i="34"/>
  <c r="AA5548" i="34"/>
  <c r="AA4571" i="34"/>
  <c r="AA2243" i="34"/>
  <c r="AA107" i="34"/>
  <c r="AA124" i="34"/>
  <c r="AA172" i="34"/>
  <c r="AA5038" i="34"/>
  <c r="AA221" i="34"/>
  <c r="AA2239" i="34"/>
  <c r="AA219" i="34"/>
  <c r="AA171" i="34"/>
  <c r="AA105" i="34"/>
  <c r="AA2376" i="34"/>
  <c r="AA204" i="34"/>
  <c r="AA155" i="34"/>
  <c r="AA122" i="34"/>
  <c r="AA188" i="34"/>
  <c r="AA5039" i="34"/>
  <c r="AA4339" i="34"/>
  <c r="AA2238" i="34"/>
  <c r="AA5547" i="34"/>
  <c r="AA2377" i="34"/>
  <c r="AA222" i="34"/>
  <c r="AA2237" i="34"/>
  <c r="AA220" i="34"/>
  <c r="AA90" i="34"/>
  <c r="AA156" i="34"/>
  <c r="AA2375" i="34"/>
  <c r="AA5532" i="34"/>
  <c r="AA3310" i="34"/>
  <c r="AA3298" i="34"/>
  <c r="AA3303" i="34"/>
  <c r="AA3308" i="34"/>
  <c r="AA2246" i="34"/>
  <c r="AA5514" i="34"/>
  <c r="AA3299" i="34"/>
  <c r="AA3312" i="34"/>
  <c r="AA3307" i="34"/>
  <c r="AA758" i="34"/>
  <c r="AA759" i="34"/>
  <c r="AA3304" i="34"/>
  <c r="AA5523" i="34"/>
  <c r="AA3300" i="34"/>
  <c r="AA760" i="34"/>
  <c r="AA3306" i="34"/>
  <c r="AA2247" i="34"/>
  <c r="AA3315" i="34"/>
  <c r="AA3311" i="34"/>
  <c r="AA5459" i="34"/>
  <c r="AA2190" i="34"/>
  <c r="AA5359" i="34"/>
  <c r="AA2535" i="34"/>
  <c r="AA2543" i="34"/>
  <c r="AA5455" i="34"/>
  <c r="AA3269" i="34"/>
  <c r="AA2236" i="34"/>
  <c r="AA5500" i="34"/>
  <c r="AA5360" i="34"/>
  <c r="AA5404" i="34"/>
  <c r="AA5412" i="34"/>
  <c r="AA5439" i="34"/>
  <c r="AA5495" i="34"/>
  <c r="AA2538" i="34"/>
  <c r="AA5530" i="34"/>
  <c r="AA5499" i="34"/>
  <c r="AA5340" i="34"/>
  <c r="AA2541" i="34"/>
  <c r="AA5524" i="34"/>
  <c r="AA5441" i="34"/>
  <c r="AA2191" i="34"/>
  <c r="AA5463" i="34"/>
  <c r="AA5496" i="34"/>
  <c r="AA5324" i="34"/>
  <c r="AA5403" i="34"/>
  <c r="AA5411" i="34"/>
  <c r="AA5438" i="34"/>
  <c r="AA5491" i="34"/>
  <c r="AA2539" i="34"/>
  <c r="AA5442" i="34"/>
  <c r="AA5472" i="34"/>
  <c r="AA5399" i="34"/>
  <c r="AA2542" i="34"/>
  <c r="AA5516" i="34"/>
  <c r="AA3293" i="34"/>
  <c r="AA3294" i="34"/>
  <c r="AA5473" i="34"/>
  <c r="AA5502" i="34"/>
  <c r="AA5384" i="34"/>
  <c r="AA5406" i="34"/>
  <c r="AA5426" i="34"/>
  <c r="AA5467" i="34"/>
  <c r="AA2532" i="34"/>
  <c r="AA2540" i="34"/>
  <c r="AA5453" i="34"/>
  <c r="AA5474" i="34"/>
  <c r="AA5494" i="34"/>
  <c r="AA2533" i="34"/>
  <c r="AA5531" i="34"/>
  <c r="AA3290" i="34"/>
  <c r="AA3270" i="34"/>
  <c r="AA2189" i="34"/>
  <c r="AA5498" i="34"/>
  <c r="AA5374" i="34"/>
  <c r="AA5405" i="34"/>
  <c r="AA5413" i="34"/>
  <c r="AA5440" i="34"/>
  <c r="AA5492" i="34"/>
  <c r="AA5525" i="34"/>
  <c r="AA5454" i="34"/>
  <c r="AA5511" i="34"/>
  <c r="AA5450" i="34"/>
  <c r="AA2530" i="34"/>
  <c r="AA5526" i="34"/>
  <c r="AA2184" i="34"/>
  <c r="AA5464" i="34"/>
  <c r="AA5471" i="34"/>
  <c r="AA5509" i="34"/>
  <c r="AA5400" i="34"/>
  <c r="AA5408" i="34"/>
  <c r="AA5433" i="34"/>
  <c r="AA5469" i="34"/>
  <c r="AA2571" i="34"/>
  <c r="AA5517" i="34"/>
  <c r="AA5444" i="34"/>
  <c r="AA2192" i="34"/>
  <c r="AA5510" i="34"/>
  <c r="AA2531" i="34"/>
  <c r="AA5445" i="34"/>
  <c r="AA2187" i="34"/>
  <c r="AA5460" i="34"/>
  <c r="AA2235" i="34"/>
  <c r="AA5501" i="34"/>
  <c r="AA5386" i="34"/>
  <c r="AA5407" i="34"/>
  <c r="AA5432" i="34"/>
  <c r="AA5451" i="34"/>
  <c r="AA2545" i="34"/>
  <c r="AA5528" i="34"/>
  <c r="AA5458" i="34"/>
  <c r="AA5338" i="34"/>
  <c r="AA5493" i="34"/>
  <c r="AA2374" i="34"/>
  <c r="AA5529" i="34"/>
  <c r="AA2186" i="34"/>
  <c r="AA5462" i="34"/>
  <c r="AA5497" i="34"/>
  <c r="AA5339" i="34"/>
  <c r="AA5402" i="34"/>
  <c r="AA5410" i="34"/>
  <c r="AA5437" i="34"/>
  <c r="AA5470" i="34"/>
  <c r="AA2537" i="34"/>
  <c r="AA5527" i="34"/>
  <c r="AA5452" i="34"/>
  <c r="AA5385" i="34"/>
  <c r="AA2548" i="34"/>
  <c r="AA5515" i="34"/>
  <c r="AA5443" i="34"/>
  <c r="AA2185" i="34"/>
  <c r="AA5461" i="34"/>
  <c r="AA5504" i="34"/>
  <c r="AA5503" i="34"/>
  <c r="AA5401" i="34"/>
  <c r="AA5409" i="34"/>
  <c r="AA5436" i="34"/>
  <c r="AA5468" i="34"/>
  <c r="AA2536" i="34"/>
  <c r="AA2037" i="34"/>
  <c r="AA2133" i="34"/>
  <c r="AA2049" i="34"/>
  <c r="AA2041" i="34"/>
  <c r="AA3286" i="34"/>
  <c r="AA3272" i="34"/>
  <c r="AA3289" i="34"/>
  <c r="AA3275" i="34"/>
  <c r="AA2182" i="34"/>
  <c r="AA2039" i="34"/>
  <c r="AA2044" i="34"/>
  <c r="AA757" i="34"/>
  <c r="AA3282" i="34"/>
  <c r="AA2103" i="34"/>
  <c r="AA2129" i="34"/>
  <c r="AA3292" i="34"/>
  <c r="AA3277" i="34"/>
  <c r="AA2094" i="34"/>
  <c r="AA5427" i="34"/>
  <c r="AA2047" i="34"/>
  <c r="AA766" i="34"/>
  <c r="AA3284" i="34"/>
  <c r="AA5422" i="34"/>
  <c r="AA3285" i="34"/>
  <c r="AA5431" i="34"/>
  <c r="AA2102" i="34"/>
  <c r="AA2050" i="34"/>
  <c r="AA2042" i="34"/>
  <c r="AA3295" i="34"/>
  <c r="AA3278" i="34"/>
  <c r="AA5424" i="34"/>
  <c r="AA5425" i="34"/>
  <c r="AA3287" i="34"/>
  <c r="AA3273" i="34"/>
  <c r="AA2101" i="34"/>
  <c r="AA2038" i="34"/>
  <c r="AA2045" i="34"/>
  <c r="AA756" i="34"/>
  <c r="AA3280" i="34"/>
  <c r="AA763" i="34"/>
  <c r="AA3283" i="34"/>
  <c r="AA2100" i="34"/>
  <c r="AA2117" i="34"/>
  <c r="AA2048" i="34"/>
  <c r="AA764" i="34"/>
  <c r="AA3288" i="34"/>
  <c r="AA3274" i="34"/>
  <c r="AA2095" i="34"/>
  <c r="AA5423" i="34"/>
  <c r="AA3268" i="34"/>
  <c r="AA2128" i="34"/>
  <c r="AA2040" i="34"/>
  <c r="AA2043" i="34"/>
  <c r="AA3291" i="34"/>
  <c r="AA3276" i="34"/>
  <c r="AA3297" i="34"/>
  <c r="AA3279" i="34"/>
  <c r="AA2132" i="34"/>
  <c r="AA5428" i="34"/>
  <c r="AA2046" i="34"/>
  <c r="AA755" i="34"/>
  <c r="AA3271" i="34"/>
  <c r="AA2183" i="34"/>
  <c r="AA2116" i="34"/>
  <c r="AA765" i="34"/>
  <c r="AA3281" i="34"/>
  <c r="AA3234" i="34"/>
  <c r="AA5320" i="34"/>
  <c r="AA5357" i="34"/>
  <c r="AA5379" i="34"/>
  <c r="AA5294" i="34"/>
  <c r="AA5389" i="34"/>
  <c r="AA5380" i="34"/>
  <c r="AA1930" i="34"/>
  <c r="AA5303" i="34"/>
  <c r="AA5375" i="34"/>
  <c r="AA3262" i="34"/>
  <c r="AA2015" i="34"/>
  <c r="AA4903" i="34"/>
  <c r="AA5348" i="34"/>
  <c r="AA3263" i="34"/>
  <c r="AA5415" i="34"/>
  <c r="AA2097" i="34"/>
  <c r="AA5342" i="34"/>
  <c r="AA5388" i="34"/>
  <c r="AA5416" i="34"/>
  <c r="AA5345" i="34"/>
  <c r="AA3264" i="34"/>
  <c r="AA2034" i="34"/>
  <c r="AA2114" i="34"/>
  <c r="AA5347" i="34"/>
  <c r="AA5390" i="34"/>
  <c r="AA5377" i="34"/>
  <c r="AA4938" i="34"/>
  <c r="AA4937" i="34"/>
  <c r="AA5352" i="34"/>
  <c r="AA3265" i="34"/>
  <c r="AA2033" i="34"/>
  <c r="AA2013" i="34"/>
  <c r="AA5349" i="34"/>
  <c r="AA3259" i="34"/>
  <c r="AA2032" i="34"/>
  <c r="AA5350" i="34"/>
  <c r="AA3266" i="34"/>
  <c r="AA4904" i="34"/>
  <c r="AA4936" i="34"/>
  <c r="AA5351" i="34"/>
  <c r="AA3256" i="34"/>
  <c r="AA5414" i="34"/>
  <c r="AA2096" i="34"/>
  <c r="AA5373" i="34"/>
  <c r="AA5356" i="34"/>
  <c r="AA3267" i="34"/>
  <c r="AA2115" i="34"/>
  <c r="AA5353" i="34"/>
  <c r="AA3261" i="34"/>
  <c r="AA1931" i="34"/>
  <c r="AA5358" i="34"/>
  <c r="AA5376" i="34"/>
  <c r="AA5354" i="34"/>
  <c r="AA5383" i="34"/>
  <c r="AA5355" i="34"/>
  <c r="AA3260" i="34"/>
  <c r="AA5417" i="34"/>
  <c r="AA4935" i="34"/>
  <c r="AA5304" i="34"/>
  <c r="AA5387" i="34"/>
  <c r="AA5378" i="34"/>
  <c r="AA753" i="34"/>
  <c r="AA2181" i="34"/>
  <c r="AA2180" i="34"/>
  <c r="AA754" i="34"/>
  <c r="AA752" i="34"/>
  <c r="AA2201" i="34"/>
  <c r="AA2202" i="34"/>
  <c r="AA3173" i="34"/>
  <c r="AA5314" i="34"/>
  <c r="AA5271" i="34"/>
  <c r="AA3241" i="34"/>
  <c r="AA2173" i="34"/>
  <c r="AA3229" i="34"/>
  <c r="AA3250" i="34"/>
  <c r="AA5327" i="34"/>
  <c r="AA3172" i="34"/>
  <c r="AA5308" i="34"/>
  <c r="AA5341" i="34"/>
  <c r="AA3239" i="34"/>
  <c r="AA3249" i="34"/>
  <c r="AA3149" i="34"/>
  <c r="AA5313" i="34"/>
  <c r="AA5361" i="34"/>
  <c r="AA3236" i="34"/>
  <c r="AA3226" i="34"/>
  <c r="AA3104" i="34"/>
  <c r="AA2174" i="34"/>
  <c r="AA5287" i="34"/>
  <c r="AA5318" i="34"/>
  <c r="AA3224" i="34"/>
  <c r="AA3247" i="34"/>
  <c r="AA3159" i="34"/>
  <c r="AA3233" i="34"/>
  <c r="AA3254" i="34"/>
  <c r="AA2179" i="34"/>
  <c r="AA5283" i="34"/>
  <c r="AA5316" i="34"/>
  <c r="AA5363" i="34"/>
  <c r="AA3243" i="34"/>
  <c r="AA5319" i="34"/>
  <c r="AA3081" i="34"/>
  <c r="AA5317" i="34"/>
  <c r="AA5364" i="34"/>
  <c r="AA3240" i="34"/>
  <c r="AA3227" i="34"/>
  <c r="AA5307" i="34"/>
  <c r="AA2178" i="34"/>
  <c r="AA5290" i="34"/>
  <c r="AA5326" i="34"/>
  <c r="AA3232" i="34"/>
  <c r="AA3253" i="34"/>
  <c r="AA5315" i="34"/>
  <c r="AA3238" i="34"/>
  <c r="AA3248" i="34"/>
  <c r="AA2177" i="34"/>
  <c r="AA5288" i="34"/>
  <c r="AA5321" i="34"/>
  <c r="AA3230" i="34"/>
  <c r="AA3251" i="34"/>
  <c r="AA2203" i="34"/>
  <c r="AA5286" i="34"/>
  <c r="AA5325" i="34"/>
  <c r="AA3221" i="34"/>
  <c r="AA3244" i="34"/>
  <c r="AA2204" i="34"/>
  <c r="AA2176" i="34"/>
  <c r="AA5306" i="34"/>
  <c r="AA5330" i="34"/>
  <c r="AA3237" i="34"/>
  <c r="AA3225" i="34"/>
  <c r="AA5362" i="34"/>
  <c r="AA3242" i="34"/>
  <c r="AA5291" i="34"/>
  <c r="AA2175" i="34"/>
  <c r="AA5305" i="34"/>
  <c r="AA5328" i="34"/>
  <c r="AA3235" i="34"/>
  <c r="AA3255" i="34"/>
  <c r="AA3163" i="34"/>
  <c r="AA5289" i="34"/>
  <c r="AA5329" i="34"/>
  <c r="AA3231" i="34"/>
  <c r="AA3252" i="34"/>
  <c r="AA2035" i="34"/>
  <c r="AA2036" i="34"/>
  <c r="AA2031" i="34"/>
  <c r="AA2529" i="34"/>
  <c r="AA2527" i="34"/>
  <c r="AA3170" i="34"/>
  <c r="AA3180" i="34"/>
  <c r="AA3188" i="34"/>
  <c r="AA3196" i="34"/>
  <c r="AA3205" i="34"/>
  <c r="AA3213" i="34"/>
  <c r="AA5181" i="34"/>
  <c r="AA5189" i="34"/>
  <c r="AA5260" i="34"/>
  <c r="AA5239" i="34"/>
  <c r="AA5227" i="34"/>
  <c r="AA5267" i="34"/>
  <c r="AA5233" i="34"/>
  <c r="AA5180" i="34"/>
  <c r="AA2524" i="34"/>
  <c r="AA3167" i="34"/>
  <c r="AA3177" i="34"/>
  <c r="AA3185" i="34"/>
  <c r="AA3193" i="34"/>
  <c r="AA3202" i="34"/>
  <c r="AA3210" i="34"/>
  <c r="AA3218" i="34"/>
  <c r="AA5186" i="34"/>
  <c r="AA5206" i="34"/>
  <c r="AA5203" i="34"/>
  <c r="AA2030" i="34"/>
  <c r="AA5222" i="34"/>
  <c r="AA5236" i="34"/>
  <c r="AA5268" i="34"/>
  <c r="AA5238" i="34"/>
  <c r="AA2025" i="34"/>
  <c r="AA2521" i="34"/>
  <c r="AA3162" i="34"/>
  <c r="AA3174" i="34"/>
  <c r="AA3182" i="34"/>
  <c r="AA3190" i="34"/>
  <c r="AA3198" i="34"/>
  <c r="AA3207" i="34"/>
  <c r="AA3215" i="34"/>
  <c r="AA5183" i="34"/>
  <c r="AA5191" i="34"/>
  <c r="AA5262" i="34"/>
  <c r="AA5221" i="34"/>
  <c r="AA5235" i="34"/>
  <c r="AA5269" i="34"/>
  <c r="AA5240" i="34"/>
  <c r="AA5264" i="34"/>
  <c r="AA2526" i="34"/>
  <c r="AA3169" i="34"/>
  <c r="AA3179" i="34"/>
  <c r="AA3187" i="34"/>
  <c r="AA3195" i="34"/>
  <c r="AA3204" i="34"/>
  <c r="AA3212" i="34"/>
  <c r="AA3220" i="34"/>
  <c r="AA5188" i="34"/>
  <c r="AA5259" i="34"/>
  <c r="AA5241" i="34"/>
  <c r="AA2028" i="34"/>
  <c r="AA5224" i="34"/>
  <c r="AA5243" i="34"/>
  <c r="AA5270" i="34"/>
  <c r="AA5242" i="34"/>
  <c r="AA2130" i="34"/>
  <c r="AA2523" i="34"/>
  <c r="AA3165" i="34"/>
  <c r="AA3176" i="34"/>
  <c r="AA3184" i="34"/>
  <c r="AA3192" i="34"/>
  <c r="AA3201" i="34"/>
  <c r="AA3209" i="34"/>
  <c r="AA3217" i="34"/>
  <c r="AA5185" i="34"/>
  <c r="AA5205" i="34"/>
  <c r="AA5208" i="34"/>
  <c r="AA5223" i="34"/>
  <c r="AA5237" i="34"/>
  <c r="AA2051" i="34"/>
  <c r="AA2027" i="34"/>
  <c r="AA5265" i="34"/>
  <c r="AA2528" i="34"/>
  <c r="AA3171" i="34"/>
  <c r="AA3181" i="34"/>
  <c r="AA3189" i="34"/>
  <c r="AA3197" i="34"/>
  <c r="AA3206" i="34"/>
  <c r="AA3214" i="34"/>
  <c r="AA5182" i="34"/>
  <c r="AA5190" i="34"/>
  <c r="AA5261" i="34"/>
  <c r="AA2029" i="34"/>
  <c r="AA2026" i="34"/>
  <c r="AA5226" i="34"/>
  <c r="AA5258" i="34"/>
  <c r="AA2053" i="34"/>
  <c r="AA5263" i="34"/>
  <c r="AA2525" i="34"/>
  <c r="AA3168" i="34"/>
  <c r="AA3178" i="34"/>
  <c r="AA3186" i="34"/>
  <c r="AA3194" i="34"/>
  <c r="AA3203" i="34"/>
  <c r="AA3211" i="34"/>
  <c r="AA3219" i="34"/>
  <c r="AA5187" i="34"/>
  <c r="AA5207" i="34"/>
  <c r="AA2054" i="34"/>
  <c r="AA5225" i="34"/>
  <c r="AA5244" i="34"/>
  <c r="AA5204" i="34"/>
  <c r="AA2131" i="34"/>
  <c r="AA2522" i="34"/>
  <c r="AA3164" i="34"/>
  <c r="AA3175" i="34"/>
  <c r="AA3183" i="34"/>
  <c r="AA3191" i="34"/>
  <c r="AA3199" i="34"/>
  <c r="AA3208" i="34"/>
  <c r="AA3216" i="34"/>
  <c r="AA5184" i="34"/>
  <c r="AA5192" i="34"/>
  <c r="AA2052" i="34"/>
  <c r="AA2022" i="34"/>
  <c r="AA5220" i="34"/>
  <c r="AA5234" i="34"/>
  <c r="AA5266" i="34"/>
  <c r="AA5232" i="34"/>
  <c r="AA2821" i="34"/>
  <c r="AA2820" i="34"/>
  <c r="AA2822" i="34"/>
  <c r="AA3156" i="34"/>
  <c r="AA3155" i="34"/>
  <c r="AA2888" i="34"/>
  <c r="AA2887" i="34"/>
  <c r="AA2870" i="34"/>
  <c r="AA2869" i="34"/>
  <c r="AA2868" i="34"/>
  <c r="AA2494" i="34"/>
  <c r="AA2912" i="34"/>
  <c r="AA2876" i="34"/>
  <c r="AA2851" i="34"/>
  <c r="AA2877" i="34"/>
  <c r="AA2826" i="34"/>
  <c r="AA3039" i="34"/>
  <c r="AA3021" i="34"/>
  <c r="AA2883" i="34"/>
  <c r="AA2893" i="34"/>
  <c r="AA2884" i="34"/>
  <c r="AA2894" i="34"/>
  <c r="AA2885" i="34"/>
  <c r="AA2895" i="34"/>
  <c r="AA2886" i="34"/>
  <c r="AA2896" i="34"/>
  <c r="AA2889" i="34"/>
  <c r="AA2897" i="34"/>
  <c r="AA2890" i="34"/>
  <c r="AA2891" i="34"/>
  <c r="AA2882" i="34"/>
  <c r="AA2892" i="34"/>
  <c r="AA4728" i="34"/>
  <c r="AA4626" i="34"/>
  <c r="AA4740" i="34"/>
  <c r="AA2020" i="34"/>
  <c r="AA2021" i="34"/>
  <c r="AA2010" i="34"/>
  <c r="AA2005" i="34"/>
  <c r="AA1290" i="34"/>
  <c r="AA29" i="34"/>
  <c r="AA2507" i="34"/>
  <c r="AA3133" i="34"/>
  <c r="AA4892" i="34"/>
  <c r="AA1848" i="34"/>
  <c r="AA1897" i="34"/>
  <c r="AA1938" i="34"/>
  <c r="AA5100" i="34"/>
  <c r="AA5076" i="34"/>
  <c r="AA5138" i="34"/>
  <c r="AA5072" i="34"/>
  <c r="AA3158" i="34"/>
  <c r="AA5020" i="34"/>
  <c r="AA1842" i="34"/>
  <c r="AA698" i="34"/>
  <c r="AA2105" i="34"/>
  <c r="AA2012" i="34"/>
  <c r="AA4976" i="34"/>
  <c r="AA4914" i="34"/>
  <c r="AA4955" i="34"/>
  <c r="AA4849" i="34"/>
  <c r="AA4867" i="34"/>
  <c r="AA4887" i="34"/>
  <c r="AA4837" i="34"/>
  <c r="AA2084" i="34"/>
  <c r="AA5062" i="34"/>
  <c r="AA5078" i="34"/>
  <c r="AA3148" i="34"/>
  <c r="AA5033" i="34"/>
  <c r="AA1844" i="34"/>
  <c r="AA2120" i="34"/>
  <c r="AA2023" i="34"/>
  <c r="AA4951" i="34"/>
  <c r="AA3132" i="34"/>
  <c r="AA5000" i="34"/>
  <c r="AA4967" i="34"/>
  <c r="AA5105" i="34"/>
  <c r="AA5077" i="34"/>
  <c r="AA5161" i="34"/>
  <c r="AA5073" i="34"/>
  <c r="AA3157" i="34"/>
  <c r="AA5113" i="34"/>
  <c r="AA5043" i="34"/>
  <c r="AA2126" i="34"/>
  <c r="AA2111" i="34"/>
  <c r="AA1998" i="34"/>
  <c r="AA4972" i="34"/>
  <c r="AA4909" i="34"/>
  <c r="AA4917" i="34"/>
  <c r="AA4845" i="34"/>
  <c r="AA4868" i="34"/>
  <c r="AA4993" i="34"/>
  <c r="AA4833" i="34"/>
  <c r="AA4966" i="34"/>
  <c r="AA1929" i="34"/>
  <c r="AA2090" i="34"/>
  <c r="AA5060" i="34"/>
  <c r="AA5167" i="34"/>
  <c r="AA3144" i="34"/>
  <c r="AA5030" i="34"/>
  <c r="AA691" i="34"/>
  <c r="AA5246" i="34"/>
  <c r="AA2122" i="34"/>
  <c r="AA4994" i="34"/>
  <c r="AA2520" i="34"/>
  <c r="AA4930" i="34"/>
  <c r="AA4953" i="34"/>
  <c r="AA1924" i="34"/>
  <c r="AA2080" i="34"/>
  <c r="AA5045" i="34"/>
  <c r="AA5079" i="34"/>
  <c r="AA5160" i="34"/>
  <c r="AA5074" i="34"/>
  <c r="AA5111" i="34"/>
  <c r="AA5040" i="34"/>
  <c r="AA3145" i="34"/>
  <c r="AA701" i="34"/>
  <c r="AA2121" i="34"/>
  <c r="AA2024" i="34"/>
  <c r="AA4988" i="34"/>
  <c r="AA4916" i="34"/>
  <c r="AA4957" i="34"/>
  <c r="AA4855" i="34"/>
  <c r="AA4869" i="34"/>
  <c r="AA2509" i="34"/>
  <c r="AA4954" i="34"/>
  <c r="AA2089" i="34"/>
  <c r="AA5061" i="34"/>
  <c r="AA3140" i="34"/>
  <c r="AA5095" i="34"/>
  <c r="AA5035" i="34"/>
  <c r="AA2127" i="34"/>
  <c r="AA2124" i="34"/>
  <c r="AA2007" i="34"/>
  <c r="AA4840" i="34"/>
  <c r="AA2516" i="34"/>
  <c r="AA1847" i="34"/>
  <c r="AA2099" i="34"/>
  <c r="AA3139" i="34"/>
  <c r="AA5123" i="34"/>
  <c r="AA5163" i="34"/>
  <c r="AA5075" i="34"/>
  <c r="AA3160" i="34"/>
  <c r="AA5021" i="34"/>
  <c r="AA695" i="34"/>
  <c r="AA700" i="34"/>
  <c r="AA2107" i="34"/>
  <c r="AA2009" i="34"/>
  <c r="AA4973" i="34"/>
  <c r="AA4911" i="34"/>
  <c r="AA4919" i="34"/>
  <c r="AA4848" i="34"/>
  <c r="AA4870" i="34"/>
  <c r="AA5012" i="34"/>
  <c r="AA4890" i="34"/>
  <c r="AA2098" i="34"/>
  <c r="AA1935" i="34"/>
  <c r="AA4902" i="34"/>
  <c r="AA5065" i="34"/>
  <c r="AA5168" i="34"/>
  <c r="AA3152" i="34"/>
  <c r="AA5032" i="34"/>
  <c r="AA693" i="34"/>
  <c r="AA2110" i="34"/>
  <c r="AA2001" i="34"/>
  <c r="AA2504" i="34"/>
  <c r="AA2517" i="34"/>
  <c r="AA4931" i="34"/>
  <c r="AA4969" i="34"/>
  <c r="AA1928" i="34"/>
  <c r="AA2085" i="34"/>
  <c r="AA5058" i="34"/>
  <c r="AA5122" i="34"/>
  <c r="AA5162" i="34"/>
  <c r="AA3154" i="34"/>
  <c r="AA5108" i="34"/>
  <c r="AA5042" i="34"/>
  <c r="AA694" i="34"/>
  <c r="AA2113" i="34"/>
  <c r="AA2125" i="34"/>
  <c r="AA2008" i="34"/>
  <c r="AA4910" i="34"/>
  <c r="AA4918" i="34"/>
  <c r="AA4841" i="34"/>
  <c r="AA4863" i="34"/>
  <c r="AA4871" i="34"/>
  <c r="AA2519" i="34"/>
  <c r="AA4968" i="34"/>
  <c r="AA4901" i="34"/>
  <c r="AA5066" i="34"/>
  <c r="AA3151" i="34"/>
  <c r="AA5094" i="34"/>
  <c r="AA690" i="34"/>
  <c r="AA2112" i="34"/>
  <c r="AA1999" i="34"/>
  <c r="AA3088" i="34"/>
  <c r="AA2506" i="34"/>
  <c r="AA4891" i="34"/>
  <c r="AA4952" i="34"/>
  <c r="AA2088" i="34"/>
  <c r="AA5057" i="34"/>
  <c r="AA5125" i="34"/>
  <c r="AA3153" i="34"/>
  <c r="AA5070" i="34"/>
  <c r="AA5106" i="34"/>
  <c r="AA5036" i="34"/>
  <c r="AA697" i="34"/>
  <c r="AA702" i="34"/>
  <c r="AA2119" i="34"/>
  <c r="AA2019" i="34"/>
  <c r="AA4975" i="34"/>
  <c r="AA4913" i="34"/>
  <c r="AA4956" i="34"/>
  <c r="AA4864" i="34"/>
  <c r="AA2514" i="34"/>
  <c r="AA2511" i="34"/>
  <c r="AA4932" i="34"/>
  <c r="AA1898" i="34"/>
  <c r="AA1939" i="34"/>
  <c r="AA5059" i="34"/>
  <c r="AA5067" i="34"/>
  <c r="AA5561" i="34"/>
  <c r="AA3161" i="34"/>
  <c r="AA5034" i="34"/>
  <c r="AA1843" i="34"/>
  <c r="AA2106" i="34"/>
  <c r="AA2014" i="34"/>
  <c r="AA2513" i="34"/>
  <c r="AA4889" i="34"/>
  <c r="AA5001" i="34"/>
  <c r="AA4965" i="34"/>
  <c r="AA1934" i="34"/>
  <c r="AA5150" i="34"/>
  <c r="AA5056" i="34"/>
  <c r="AA5124" i="34"/>
  <c r="AA5164" i="34"/>
  <c r="AA3143" i="34"/>
  <c r="AA5114" i="34"/>
  <c r="AA5044" i="34"/>
  <c r="AA696" i="34"/>
  <c r="AA2109" i="34"/>
  <c r="AA2000" i="34"/>
  <c r="AA4974" i="34"/>
  <c r="AA4912" i="34"/>
  <c r="AA4920" i="34"/>
  <c r="AA4846" i="34"/>
  <c r="AA4865" i="34"/>
  <c r="AA4885" i="34"/>
  <c r="AA4832" i="34"/>
  <c r="AA4964" i="34"/>
  <c r="AA5063" i="34"/>
  <c r="AA5121" i="34"/>
  <c r="AA3141" i="34"/>
  <c r="AA5031" i="34"/>
  <c r="AA692" i="34"/>
  <c r="AA2108" i="34"/>
  <c r="AA2011" i="34"/>
  <c r="AA4944" i="34"/>
  <c r="AA2512" i="34"/>
  <c r="AA4929" i="34"/>
  <c r="AA4971" i="34"/>
  <c r="AA2091" i="34"/>
  <c r="AA5115" i="34"/>
  <c r="AA5139" i="34"/>
  <c r="AA5071" i="34"/>
  <c r="AA3147" i="34"/>
  <c r="AA5107" i="34"/>
  <c r="AA5041" i="34"/>
  <c r="AA699" i="34"/>
  <c r="AA2104" i="34"/>
  <c r="AA2123" i="34"/>
  <c r="AA5272" i="34"/>
  <c r="AA4977" i="34"/>
  <c r="AA4915" i="34"/>
  <c r="AA4797" i="34"/>
  <c r="AA4866" i="34"/>
  <c r="AA4886" i="34"/>
  <c r="AA2515" i="34"/>
  <c r="AA4970" i="34"/>
  <c r="AA1925" i="34"/>
  <c r="AA2081" i="34"/>
  <c r="AA5064" i="34"/>
  <c r="AA3150" i="34"/>
  <c r="AA3146" i="34"/>
  <c r="AA5112" i="34"/>
  <c r="AA689" i="34"/>
  <c r="AA5245" i="34"/>
  <c r="AA2118" i="34"/>
  <c r="AA2006" i="34"/>
  <c r="AA1901" i="34"/>
  <c r="AA1926" i="34"/>
  <c r="AA1845" i="34"/>
  <c r="AA5046" i="34"/>
  <c r="AA1765" i="34"/>
  <c r="AA4585" i="34"/>
  <c r="AA3111" i="34"/>
  <c r="AA3121" i="34"/>
  <c r="AA3129" i="34"/>
  <c r="AA4924" i="34"/>
  <c r="AA4947" i="34"/>
  <c r="AA1940" i="34"/>
  <c r="AA1997" i="34"/>
  <c r="AA1862" i="34"/>
  <c r="AA4582" i="34"/>
  <c r="AA4940" i="34"/>
  <c r="AA1936" i="34"/>
  <c r="AA1828" i="34"/>
  <c r="AA1849" i="34"/>
  <c r="AA4581" i="34"/>
  <c r="AA3109" i="34"/>
  <c r="AA3120" i="34"/>
  <c r="AA3128" i="34"/>
  <c r="AA4899" i="34"/>
  <c r="AA4946" i="34"/>
  <c r="AA1932" i="34"/>
  <c r="AA1825" i="34"/>
  <c r="AA1867" i="34"/>
  <c r="AA3108" i="34"/>
  <c r="AA4922" i="34"/>
  <c r="AA1904" i="34"/>
  <c r="AA1937" i="34"/>
  <c r="AA1995" i="34"/>
  <c r="AA5082" i="34"/>
  <c r="AA616" i="34"/>
  <c r="AA4583" i="34"/>
  <c r="AA3115" i="34"/>
  <c r="AA3123" i="34"/>
  <c r="AA2518" i="34"/>
  <c r="AA4926" i="34"/>
  <c r="AA4958" i="34"/>
  <c r="AA2086" i="34"/>
  <c r="AA1823" i="34"/>
  <c r="AA1850" i="34"/>
  <c r="AA3113" i="34"/>
  <c r="AA1903" i="34"/>
  <c r="AA2092" i="34"/>
  <c r="AA5047" i="34"/>
  <c r="AA615" i="34"/>
  <c r="AA4586" i="34"/>
  <c r="AA3114" i="34"/>
  <c r="AA3122" i="34"/>
  <c r="AA3134" i="34"/>
  <c r="AA4923" i="34"/>
  <c r="AA4959" i="34"/>
  <c r="AA1941" i="34"/>
  <c r="AA1829" i="34"/>
  <c r="AA1865" i="34"/>
  <c r="AA3112" i="34"/>
  <c r="AA1902" i="34"/>
  <c r="AA2082" i="34"/>
  <c r="AA1826" i="34"/>
  <c r="AA1761" i="34"/>
  <c r="AA687" i="34"/>
  <c r="AA4535" i="34"/>
  <c r="AA3117" i="34"/>
  <c r="AA3125" i="34"/>
  <c r="AA3135" i="34"/>
  <c r="AA4928" i="34"/>
  <c r="AA1922" i="34"/>
  <c r="AA2093" i="34"/>
  <c r="AA1827" i="34"/>
  <c r="AA1866" i="34"/>
  <c r="AA3130" i="34"/>
  <c r="AA1920" i="34"/>
  <c r="AA1846" i="34"/>
  <c r="AA1762" i="34"/>
  <c r="AA686" i="34"/>
  <c r="AA4584" i="34"/>
  <c r="AA3116" i="34"/>
  <c r="AA3124" i="34"/>
  <c r="AA3136" i="34"/>
  <c r="AA4925" i="34"/>
  <c r="AA1905" i="34"/>
  <c r="AA2083" i="34"/>
  <c r="AA1859" i="34"/>
  <c r="AA1860" i="34"/>
  <c r="AA3131" i="34"/>
  <c r="AA1921" i="34"/>
  <c r="AA2087" i="34"/>
  <c r="AA1830" i="34"/>
  <c r="AA1763" i="34"/>
  <c r="AA1942" i="34"/>
  <c r="AA3110" i="34"/>
  <c r="AA3119" i="34"/>
  <c r="AA3127" i="34"/>
  <c r="AA3137" i="34"/>
  <c r="AA4945" i="34"/>
  <c r="AA1933" i="34"/>
  <c r="AA1203" i="34"/>
  <c r="AA1661" i="34"/>
  <c r="AA1864" i="34"/>
  <c r="AA4898" i="34"/>
  <c r="AA1927" i="34"/>
  <c r="AA1824" i="34"/>
  <c r="AA1764" i="34"/>
  <c r="AA688" i="34"/>
  <c r="AA4536" i="34"/>
  <c r="AA3118" i="34"/>
  <c r="AA3126" i="34"/>
  <c r="AA3138" i="34"/>
  <c r="AA4927" i="34"/>
  <c r="AA1923" i="34"/>
  <c r="AA1996" i="34"/>
  <c r="AA1863" i="34"/>
  <c r="AA1943" i="34"/>
  <c r="AA3103" i="34"/>
  <c r="AA4897" i="34"/>
  <c r="AA4986" i="34"/>
  <c r="AA4941" i="34"/>
  <c r="AA4987" i="34"/>
  <c r="AA4921" i="34"/>
  <c r="AA1194" i="34"/>
  <c r="AA1063" i="34"/>
  <c r="AA1780" i="34"/>
  <c r="AA1906" i="34"/>
  <c r="AA4713" i="34"/>
  <c r="AA1909" i="34"/>
  <c r="AA4939" i="34"/>
  <c r="AA1059" i="34"/>
  <c r="AA1781" i="34"/>
  <c r="AA1907" i="34"/>
  <c r="AA623" i="34"/>
  <c r="AA1060" i="34"/>
  <c r="AA1782" i="34"/>
  <c r="AA1908" i="34"/>
  <c r="AA1783" i="34"/>
  <c r="AA1910" i="34"/>
  <c r="AA1785" i="34"/>
  <c r="AA1913" i="34"/>
  <c r="AA1917" i="34"/>
  <c r="AA1914" i="34"/>
  <c r="AA1797" i="34"/>
  <c r="AA1062" i="34"/>
  <c r="AA1784" i="34"/>
  <c r="AA1912" i="34"/>
  <c r="AA1061" i="34"/>
  <c r="AA1195" i="34"/>
  <c r="AA1791" i="34"/>
  <c r="AA1915" i="34"/>
  <c r="AA609" i="34"/>
  <c r="AA3903" i="34"/>
  <c r="AA1794" i="34"/>
  <c r="AA1918" i="34"/>
  <c r="AA1790" i="34"/>
  <c r="AA4668" i="34"/>
  <c r="AA4934" i="34"/>
  <c r="AA1911" i="34"/>
  <c r="AA1795" i="34"/>
  <c r="AA1919" i="34"/>
  <c r="AA608" i="34"/>
  <c r="AA1916" i="34"/>
  <c r="AA1796" i="34"/>
  <c r="AA4682" i="34"/>
  <c r="AA1058" i="34"/>
  <c r="AA1707" i="34"/>
  <c r="AA1896" i="34"/>
  <c r="AA4580" i="34"/>
  <c r="AA1899" i="34"/>
  <c r="AA4746" i="34"/>
  <c r="AA622" i="34"/>
  <c r="AA4888" i="34"/>
  <c r="AA1895" i="34"/>
  <c r="AA4680" i="34"/>
  <c r="AA621" i="34"/>
  <c r="AA1708" i="34"/>
  <c r="AA1900" i="34"/>
  <c r="AA3100" i="34"/>
  <c r="AA3095" i="34"/>
  <c r="AA3093" i="34"/>
  <c r="AA3097" i="34"/>
  <c r="AA3096" i="34"/>
  <c r="AA3098" i="34"/>
  <c r="AA3105" i="34"/>
  <c r="AA3084" i="34"/>
  <c r="AA1833" i="34"/>
  <c r="AA3089" i="34"/>
  <c r="AA3101" i="34"/>
  <c r="AA2508" i="34"/>
  <c r="AA3102" i="34"/>
  <c r="AA3085" i="34"/>
  <c r="AA3090" i="34"/>
  <c r="AA3099" i="34"/>
  <c r="AA3094" i="34"/>
  <c r="AA3107" i="34"/>
  <c r="AA1834" i="34"/>
  <c r="AA3086" i="34"/>
  <c r="AA4831" i="34"/>
  <c r="AA3092" i="34"/>
  <c r="AA3106" i="34"/>
  <c r="AA3074" i="34"/>
  <c r="AA1838" i="34"/>
  <c r="AA1793" i="34"/>
  <c r="AA3077" i="34"/>
  <c r="AA1837" i="34"/>
  <c r="AA3078" i="34"/>
  <c r="AA3075" i="34"/>
  <c r="AA1832" i="34"/>
  <c r="AA3080" i="34"/>
  <c r="AA3091" i="34"/>
  <c r="AA1836" i="34"/>
  <c r="AA3076" i="34"/>
  <c r="AA3082" i="34"/>
  <c r="AA1835" i="34"/>
  <c r="AA3072" i="34"/>
  <c r="AA613" i="34"/>
  <c r="AA3079" i="34"/>
  <c r="AA1841" i="34"/>
  <c r="AA1840" i="34"/>
  <c r="AA1710" i="34"/>
  <c r="AA3087" i="34"/>
  <c r="AA1839" i="34"/>
  <c r="AA3073" i="34"/>
  <c r="AA1711" i="34"/>
  <c r="AA614" i="34"/>
  <c r="AA1831" i="34"/>
  <c r="AA4880" i="34"/>
  <c r="AA4882" i="34"/>
  <c r="AA4896" i="34"/>
  <c r="AA4893" i="34"/>
  <c r="AA4883" i="34"/>
  <c r="AA4873" i="34"/>
  <c r="AA4878" i="34"/>
  <c r="AA4812" i="34"/>
  <c r="AA4895" i="34"/>
  <c r="AA2483" i="34"/>
  <c r="AA4879" i="34"/>
  <c r="AA4894" i="34"/>
  <c r="AA4881" i="34"/>
  <c r="AA4884" i="34"/>
  <c r="AA4817" i="34"/>
  <c r="AA4816" i="34"/>
  <c r="AA4819" i="34"/>
  <c r="AA4821" i="34"/>
  <c r="AA4820" i="34"/>
  <c r="AA4818" i="34"/>
  <c r="AA3083" i="34"/>
  <c r="AA4829" i="34"/>
  <c r="AA4811" i="34"/>
  <c r="AA4830" i="34"/>
  <c r="AA4814" i="34"/>
  <c r="AA4813" i="34"/>
  <c r="AA4838" i="34"/>
  <c r="AA4842" i="34"/>
  <c r="AA4822" i="34"/>
  <c r="AA4828" i="34"/>
  <c r="AA4815" i="34"/>
  <c r="AA3071" i="34"/>
  <c r="AA4788" i="34"/>
  <c r="AA4789" i="34"/>
  <c r="AA4792" i="34"/>
  <c r="AA4787" i="34"/>
  <c r="AA4791" i="34"/>
  <c r="AA4793" i="34"/>
  <c r="AA4790" i="34"/>
  <c r="AA2500" i="34"/>
  <c r="AA4693" i="34"/>
  <c r="AA4739" i="34"/>
  <c r="AA1858" i="34"/>
  <c r="AA4641" i="34"/>
  <c r="AA4733" i="34"/>
  <c r="AA4649" i="34"/>
  <c r="AA2502" i="34"/>
  <c r="AA4448" i="34"/>
  <c r="AA4694" i="34"/>
  <c r="AA2499" i="34"/>
  <c r="AA4690" i="34"/>
  <c r="AA4695" i="34"/>
  <c r="AA1861" i="34"/>
  <c r="AA4734" i="34"/>
  <c r="AA4650" i="34"/>
  <c r="AA4692" i="34"/>
  <c r="AA4735" i="34"/>
  <c r="AA2498" i="34"/>
  <c r="AA3057" i="34"/>
  <c r="AA3046" i="34"/>
  <c r="AA3066" i="34"/>
  <c r="AA4620" i="34"/>
  <c r="AA3049" i="34"/>
  <c r="AA3060" i="34"/>
  <c r="AA3063" i="34"/>
  <c r="AA4622" i="34"/>
  <c r="AA3053" i="34"/>
  <c r="AA3047" i="34"/>
  <c r="AA3065" i="34"/>
  <c r="AA4619" i="34"/>
  <c r="AA3054" i="34"/>
  <c r="AA4613" i="34"/>
  <c r="AA4785" i="34"/>
  <c r="AA3070" i="34"/>
  <c r="AA4617" i="34"/>
  <c r="AA3058" i="34"/>
  <c r="AA2497" i="34"/>
  <c r="AA2496" i="34"/>
  <c r="AA3062" i="34"/>
  <c r="AA3056" i="34"/>
  <c r="AA3067" i="34"/>
  <c r="AA4742" i="34"/>
  <c r="AA3068" i="34"/>
  <c r="AA3059" i="34"/>
  <c r="AA3064" i="34"/>
  <c r="AA4623" i="34"/>
  <c r="AA4784" i="34"/>
  <c r="AA2503" i="34"/>
  <c r="AA4614" i="34"/>
  <c r="AA4621" i="34"/>
  <c r="AA4741" i="34"/>
  <c r="AA3069" i="34"/>
  <c r="AA3050" i="34"/>
  <c r="AA4616" i="34"/>
  <c r="AA2495" i="34"/>
  <c r="AA3048" i="34"/>
  <c r="AA3061" i="34"/>
  <c r="AA4618" i="34"/>
  <c r="AA3045" i="34"/>
  <c r="AA4743" i="34"/>
  <c r="AA3051" i="34"/>
  <c r="AA4615" i="34"/>
  <c r="AA2492" i="34"/>
  <c r="AA4612" i="34"/>
  <c r="AA3052" i="34"/>
  <c r="AA3055" i="34"/>
  <c r="AA3027" i="34"/>
  <c r="AA4748" i="34"/>
  <c r="AA4755" i="34"/>
  <c r="AA4747" i="34"/>
  <c r="AA4718" i="34"/>
  <c r="AA4760" i="34"/>
  <c r="AA4758" i="34"/>
  <c r="AA4757" i="34"/>
  <c r="AA4759" i="34"/>
  <c r="AA4756" i="34"/>
  <c r="AA3026" i="34"/>
  <c r="AA4754" i="34"/>
  <c r="AA4717" i="34"/>
  <c r="AA4719" i="34"/>
  <c r="AA4709" i="34"/>
  <c r="AA4697" i="34"/>
  <c r="AA4701" i="34"/>
  <c r="AA4698" i="34"/>
  <c r="AA4703" i="34"/>
  <c r="AA4707" i="34"/>
  <c r="AA4704" i="34"/>
  <c r="AA4699" i="34"/>
  <c r="AA4700" i="34"/>
  <c r="AA4702" i="34"/>
  <c r="AA4705" i="34"/>
  <c r="AA4706" i="34"/>
  <c r="AA3034" i="34"/>
  <c r="AA4708" i="34"/>
  <c r="AA3033" i="34"/>
  <c r="AA3044" i="34"/>
  <c r="AA4691" i="34"/>
  <c r="AA1787" i="34"/>
  <c r="AA1788" i="34"/>
  <c r="AA1789" i="34"/>
  <c r="AA2973" i="34"/>
  <c r="AA1786" i="34"/>
  <c r="AA1757" i="34"/>
  <c r="AA3989" i="34"/>
  <c r="AA3962" i="34"/>
  <c r="AA3927" i="34"/>
  <c r="AA3912" i="34"/>
  <c r="AA3862" i="34"/>
  <c r="AA3980" i="34"/>
  <c r="AA3943" i="34"/>
  <c r="AA3921" i="34"/>
  <c r="AA3906" i="34"/>
  <c r="AA4028" i="34"/>
  <c r="AA3979" i="34"/>
  <c r="AA3945" i="34"/>
  <c r="AA3920" i="34"/>
  <c r="AA3905" i="34"/>
  <c r="AA3983" i="34"/>
  <c r="AA3959" i="34"/>
  <c r="AA3924" i="34"/>
  <c r="AA3908" i="34"/>
  <c r="AA3981" i="34"/>
  <c r="AA3944" i="34"/>
  <c r="AA3923" i="34"/>
  <c r="AA3907" i="34"/>
  <c r="AA4025" i="34"/>
  <c r="AA3976" i="34"/>
  <c r="AA3936" i="34"/>
  <c r="AA3917" i="34"/>
  <c r="AA4024" i="34"/>
  <c r="AA3975" i="34"/>
  <c r="AA3935" i="34"/>
  <c r="AA3916" i="34"/>
  <c r="AA4027" i="34"/>
  <c r="AA3978" i="34"/>
  <c r="AA3919" i="34"/>
  <c r="AA3877" i="34"/>
  <c r="AA4026" i="34"/>
  <c r="AA3977" i="34"/>
  <c r="AA3918" i="34"/>
  <c r="AA3879" i="34"/>
  <c r="AA3997" i="34"/>
  <c r="AA1202" i="34"/>
  <c r="AA3930" i="34"/>
  <c r="AA3915" i="34"/>
  <c r="AA3864" i="34"/>
  <c r="AA3996" i="34"/>
  <c r="AA3967" i="34"/>
  <c r="AA3929" i="34"/>
  <c r="AA3914" i="34"/>
  <c r="AA3863" i="34"/>
  <c r="AA4023" i="34"/>
  <c r="AA3974" i="34"/>
  <c r="AA3934" i="34"/>
  <c r="AA3866" i="34"/>
  <c r="AA4022" i="34"/>
  <c r="AA3973" i="34"/>
  <c r="AA3933" i="34"/>
  <c r="AA3865" i="34"/>
  <c r="AA3988" i="34"/>
  <c r="AA3961" i="34"/>
  <c r="AA3926" i="34"/>
  <c r="AA3910" i="34"/>
  <c r="AA582" i="34"/>
  <c r="AA3960" i="34"/>
  <c r="AA3925" i="34"/>
  <c r="AA3909" i="34"/>
  <c r="AA583" i="34"/>
  <c r="AA3990" i="34"/>
  <c r="AA3963" i="34"/>
  <c r="AA3928" i="34"/>
  <c r="AA3913" i="34"/>
  <c r="AA580" i="34"/>
  <c r="AA581" i="34"/>
  <c r="AA1756" i="34"/>
  <c r="AA1792" i="34"/>
  <c r="AA1755" i="34"/>
  <c r="AA1754" i="34"/>
  <c r="AA1289" i="34"/>
  <c r="AA1291" i="34"/>
  <c r="AA1287" i="34"/>
  <c r="AA1285" i="34"/>
  <c r="AA1288" i="34"/>
  <c r="AA1286" i="34"/>
  <c r="AA1753" i="34"/>
  <c r="AA1752" i="34"/>
  <c r="AA2614" i="34"/>
  <c r="AA2615" i="34"/>
  <c r="AA2635" i="34"/>
  <c r="AA1650" i="34"/>
  <c r="AA2627" i="34"/>
  <c r="AA2628" i="34"/>
  <c r="AA2900" i="34"/>
  <c r="AA2631" i="34"/>
  <c r="AA2629" i="34"/>
  <c r="AA2899" i="34"/>
  <c r="AA2636" i="34"/>
  <c r="AA2621" i="34"/>
  <c r="AA2639" i="34"/>
  <c r="AA2623" i="34"/>
  <c r="AA2617" i="34"/>
  <c r="AA2633" i="34"/>
  <c r="AA1751" i="34"/>
  <c r="AA2616" i="34"/>
  <c r="AA2634" i="34"/>
  <c r="AA1648" i="34"/>
  <c r="AA2931" i="34"/>
  <c r="AA2626" i="34"/>
  <c r="AA2932" i="34"/>
  <c r="AA2640" i="34"/>
  <c r="AA2613" i="34"/>
  <c r="AA2637" i="34"/>
  <c r="AA1658" i="34"/>
  <c r="AA2620" i="34"/>
  <c r="AA2638" i="34"/>
  <c r="AA1657" i="34"/>
  <c r="AA2619" i="34"/>
  <c r="AA2630" i="34"/>
  <c r="AA4592" i="34"/>
  <c r="AA1651" i="34"/>
  <c r="AA2624" i="34"/>
  <c r="AA2641" i="34"/>
  <c r="AA2618" i="34"/>
  <c r="AA2625" i="34"/>
  <c r="AA3014" i="34"/>
  <c r="AA4653" i="34"/>
  <c r="AA4656" i="34"/>
  <c r="AA1750" i="34"/>
  <c r="AA3041" i="34"/>
  <c r="AA4657" i="34"/>
  <c r="AA3031" i="34"/>
  <c r="AA3030" i="34"/>
  <c r="AA3043" i="34"/>
  <c r="AA4423" i="34"/>
  <c r="AA4662" i="34"/>
  <c r="AA3025" i="34"/>
  <c r="AA4640" i="34"/>
  <c r="AA3029" i="34"/>
  <c r="AA4644" i="34"/>
  <c r="AA4674" i="34"/>
  <c r="AA4424" i="34"/>
  <c r="AA4663" i="34"/>
  <c r="AA3024" i="34"/>
  <c r="AA4673" i="34"/>
  <c r="AA4671" i="34"/>
  <c r="AA4654" i="34"/>
  <c r="AA3020" i="34"/>
  <c r="AA4646" i="34"/>
  <c r="AA4625" i="34"/>
  <c r="AA4670" i="34"/>
  <c r="AA4685" i="34"/>
  <c r="AA4672" i="34"/>
  <c r="AA3036" i="34"/>
  <c r="AA4651" i="34"/>
  <c r="AA3032" i="34"/>
  <c r="AA4652" i="34"/>
  <c r="AA4675" i="34"/>
  <c r="AA3035" i="34"/>
  <c r="AA3042" i="34"/>
  <c r="AA4624" i="34"/>
  <c r="AA4681" i="34"/>
  <c r="AA3037" i="34"/>
  <c r="AA3023" i="34"/>
  <c r="AA4655" i="34"/>
  <c r="AA1634" i="34"/>
  <c r="AA3038" i="34"/>
  <c r="AA3028" i="34"/>
  <c r="AA4665" i="34"/>
  <c r="AA4664" i="34"/>
  <c r="AA1660" i="34"/>
  <c r="AA1656" i="34"/>
  <c r="AA4600" i="34"/>
  <c r="AA4605" i="34"/>
  <c r="AA4601" i="34"/>
  <c r="AA4603" i="34"/>
  <c r="AA4608" i="34"/>
  <c r="AA1779" i="34"/>
  <c r="AA1646" i="34"/>
  <c r="AA1643" i="34"/>
  <c r="AA4606" i="34"/>
  <c r="AA1637" i="34"/>
  <c r="AA4604" i="34"/>
  <c r="AA1639" i="34"/>
  <c r="AA4607" i="34"/>
  <c r="AA4602" i="34"/>
  <c r="AA1654" i="34"/>
  <c r="AA1778" i="34"/>
  <c r="AA1631" i="34"/>
  <c r="AA1630" i="34"/>
  <c r="AA4416" i="34"/>
  <c r="AA1655" i="34"/>
  <c r="AA4414" i="34"/>
  <c r="AA1629" i="34"/>
  <c r="AA1627" i="34"/>
  <c r="AA4415" i="34"/>
  <c r="AA1652" i="34"/>
  <c r="AA4417" i="34"/>
  <c r="AA1448" i="34"/>
  <c r="AA4420" i="34"/>
  <c r="AA1628" i="34"/>
  <c r="AA4418" i="34"/>
  <c r="AA1758" i="34"/>
  <c r="AA1633" i="34"/>
  <c r="AA4419" i="34"/>
  <c r="AA4481" i="34"/>
  <c r="AA1632" i="34"/>
  <c r="AA4421" i="34"/>
  <c r="AA1625" i="34"/>
  <c r="AA1759" i="34"/>
  <c r="AA1709" i="34"/>
  <c r="AA1653" i="34"/>
  <c r="AA4482" i="34"/>
  <c r="AA1626" i="34"/>
  <c r="AA1760" i="34"/>
  <c r="AA4520" i="34"/>
  <c r="AA1659" i="34"/>
  <c r="AA4480" i="34"/>
  <c r="AA4404" i="34"/>
  <c r="AA4405" i="34"/>
  <c r="AA851" i="34"/>
  <c r="AA849" i="34"/>
  <c r="AA850" i="34"/>
  <c r="AA848" i="34"/>
  <c r="AA1704" i="34"/>
  <c r="AA531" i="34"/>
  <c r="AA1701" i="34"/>
  <c r="AA1706" i="34"/>
  <c r="AA530" i="34"/>
  <c r="AA1702" i="34"/>
  <c r="AA1705" i="34"/>
  <c r="AA1703" i="34"/>
  <c r="AA2908" i="34"/>
  <c r="AA3018" i="34"/>
  <c r="AA2980" i="34"/>
  <c r="AA4205" i="34"/>
  <c r="AA24" i="34"/>
  <c r="AA2988" i="34"/>
  <c r="AA2982" i="34"/>
  <c r="AA3006" i="34"/>
  <c r="AA1624" i="34"/>
  <c r="AA2485" i="34"/>
  <c r="AA3007" i="34"/>
  <c r="AA3003" i="34"/>
  <c r="AA2989" i="34"/>
  <c r="AA3012" i="34"/>
  <c r="AA4573" i="34"/>
  <c r="AA4576" i="34"/>
  <c r="AA4575" i="34"/>
  <c r="AA3005" i="34"/>
  <c r="AA4554" i="34"/>
  <c r="AA2490" i="34"/>
  <c r="AA2642" i="34"/>
  <c r="AA4553" i="34"/>
  <c r="AA2997" i="34"/>
  <c r="AA4577" i="34"/>
  <c r="AA3010" i="34"/>
  <c r="AA2986" i="34"/>
  <c r="AA3011" i="34"/>
  <c r="AA4555" i="34"/>
  <c r="AA2491" i="34"/>
  <c r="AA4556" i="34"/>
  <c r="AA1623" i="34"/>
  <c r="AA3000" i="34"/>
  <c r="AA2995" i="34"/>
  <c r="AA4317" i="34"/>
  <c r="AA2999" i="34"/>
  <c r="AA2985" i="34"/>
  <c r="AA3009" i="34"/>
  <c r="AA4558" i="34"/>
  <c r="AA2643" i="34"/>
  <c r="AA2998" i="34"/>
  <c r="AA4569" i="34"/>
  <c r="AA4318" i="34"/>
  <c r="AA2994" i="34"/>
  <c r="AA4314" i="34"/>
  <c r="AA2487" i="34"/>
  <c r="AA3002" i="34"/>
  <c r="AA3017" i="34"/>
  <c r="AA4316" i="34"/>
  <c r="AA4578" i="34"/>
  <c r="AA2981" i="34"/>
  <c r="AA2645" i="34"/>
  <c r="AA3008" i="34"/>
  <c r="AA4557" i="34"/>
  <c r="AA2644" i="34"/>
  <c r="AA4572" i="34"/>
  <c r="AA3001" i="34"/>
  <c r="AA3016" i="34"/>
  <c r="AA4384" i="34"/>
  <c r="AA2489" i="34"/>
  <c r="AA3015" i="34"/>
  <c r="AA4579" i="34"/>
  <c r="AA3004" i="34"/>
  <c r="AA2488" i="34"/>
  <c r="AA3013" i="34"/>
  <c r="AA4560" i="34"/>
  <c r="AA2979" i="34"/>
  <c r="AA4561" i="34"/>
  <c r="AA2971" i="34"/>
  <c r="AA4530" i="34"/>
  <c r="AA2974" i="34"/>
  <c r="AA2975" i="34"/>
  <c r="AA2978" i="34"/>
  <c r="AA4559" i="34"/>
  <c r="AA4532" i="34"/>
  <c r="AA4529" i="34"/>
  <c r="AA2972" i="34"/>
  <c r="AA4533" i="34"/>
  <c r="AA3019" i="34"/>
  <c r="AA4433" i="34"/>
  <c r="AA4413" i="34"/>
  <c r="AA4443" i="34"/>
  <c r="AA4475" i="34"/>
  <c r="AA4504" i="34"/>
  <c r="AA1619" i="34"/>
  <c r="AA4464" i="34"/>
  <c r="AA1462" i="34"/>
  <c r="AA4552" i="34"/>
  <c r="AA4505" i="34"/>
  <c r="AA2984" i="34"/>
  <c r="AA4473" i="34"/>
  <c r="AA4503" i="34"/>
  <c r="AA2016" i="34"/>
  <c r="AA4549" i="34"/>
  <c r="AA4497" i="34"/>
  <c r="AA4427" i="34"/>
  <c r="AA4462" i="34"/>
  <c r="AA4483" i="34"/>
  <c r="AA4507" i="34"/>
  <c r="AA1615" i="34"/>
  <c r="AA4528" i="34"/>
  <c r="AA4468" i="34"/>
  <c r="AA4428" i="34"/>
  <c r="AA4463" i="34"/>
  <c r="AA4484" i="34"/>
  <c r="AA4508" i="34"/>
  <c r="AA4527" i="34"/>
  <c r="AA4485" i="34"/>
  <c r="AA1622" i="34"/>
  <c r="AA4429" i="34"/>
  <c r="AA2018" i="34"/>
  <c r="AA4445" i="34"/>
  <c r="AA4479" i="34"/>
  <c r="AA4506" i="34"/>
  <c r="AA1620" i="34"/>
  <c r="AA4425" i="34"/>
  <c r="AA1617" i="34"/>
  <c r="AA4431" i="34"/>
  <c r="AA4466" i="34"/>
  <c r="AA2991" i="34"/>
  <c r="AA4511" i="34"/>
  <c r="AA1618" i="34"/>
  <c r="AA4550" i="34"/>
  <c r="AA4493" i="34"/>
  <c r="AA4432" i="34"/>
  <c r="AA4467" i="34"/>
  <c r="AA4492" i="34"/>
  <c r="AA4512" i="34"/>
  <c r="AA4531" i="34"/>
  <c r="AA4478" i="34"/>
  <c r="AA2993" i="34"/>
  <c r="AA4444" i="34"/>
  <c r="AA4426" i="34"/>
  <c r="AA4465" i="34"/>
  <c r="AA4491" i="34"/>
  <c r="AA4510" i="34"/>
  <c r="AA1464" i="34"/>
  <c r="AA4441" i="34"/>
  <c r="AA4430" i="34"/>
  <c r="AA4435" i="34"/>
  <c r="AA4470" i="34"/>
  <c r="AA4495" i="34"/>
  <c r="AA4514" i="34"/>
  <c r="AA1621" i="34"/>
  <c r="AA4509" i="34"/>
  <c r="AA4436" i="34"/>
  <c r="AA4471" i="34"/>
  <c r="AA4496" i="34"/>
  <c r="AA4515" i="34"/>
  <c r="AA4551" i="34"/>
  <c r="AA4518" i="34"/>
  <c r="AA4541" i="34"/>
  <c r="AA4476" i="34"/>
  <c r="AA4434" i="34"/>
  <c r="AA4469" i="34"/>
  <c r="AA4494" i="34"/>
  <c r="AA4513" i="34"/>
  <c r="AA4534" i="34"/>
  <c r="AA4472" i="34"/>
  <c r="AA4412" i="34"/>
  <c r="AA4442" i="34"/>
  <c r="AA4474" i="34"/>
  <c r="AA2992" i="34"/>
  <c r="AA2017" i="34"/>
  <c r="AA4519" i="34"/>
  <c r="AA2919" i="34"/>
  <c r="AA2859" i="34"/>
  <c r="AA1439" i="34"/>
  <c r="AA2947" i="34"/>
  <c r="AA2956" i="34"/>
  <c r="AA4331" i="34"/>
  <c r="AA2928" i="34"/>
  <c r="AA4355" i="34"/>
  <c r="AA4372" i="34"/>
  <c r="AA1694" i="34"/>
  <c r="AA4241" i="34"/>
  <c r="AA1647" i="34"/>
  <c r="AA2611" i="34"/>
  <c r="AA2934" i="34"/>
  <c r="AA2905" i="34"/>
  <c r="AA1539" i="34"/>
  <c r="AA4360" i="34"/>
  <c r="AA2861" i="34"/>
  <c r="AA1692" i="34"/>
  <c r="AA4447" i="34"/>
  <c r="AA1638" i="34"/>
  <c r="AA4346" i="34"/>
  <c r="AA4400" i="34"/>
  <c r="AA2945" i="34"/>
  <c r="AA2927" i="34"/>
  <c r="AA2937" i="34"/>
  <c r="AA2962" i="34"/>
  <c r="AA2865" i="34"/>
  <c r="AA2966" i="34"/>
  <c r="AA1528" i="34"/>
  <c r="AA4357" i="34"/>
  <c r="AA4387" i="34"/>
  <c r="AA1690" i="34"/>
  <c r="AA4437" i="34"/>
  <c r="AA1640" i="34"/>
  <c r="AA4347" i="34"/>
  <c r="AA4401" i="34"/>
  <c r="AA4334" i="34"/>
  <c r="AA1444" i="34"/>
  <c r="AA2948" i="34"/>
  <c r="AA2957" i="34"/>
  <c r="AA1459" i="34"/>
  <c r="AA4386" i="34"/>
  <c r="AA1538" i="34"/>
  <c r="AA4358" i="34"/>
  <c r="AA1461" i="34"/>
  <c r="AA1691" i="34"/>
  <c r="AA4450" i="34"/>
  <c r="AA1465" i="34"/>
  <c r="AA4344" i="34"/>
  <c r="AA4398" i="34"/>
  <c r="AA1445" i="34"/>
  <c r="AA4351" i="34"/>
  <c r="AA1441" i="34"/>
  <c r="AA2944" i="34"/>
  <c r="AA2952" i="34"/>
  <c r="AA2904" i="34"/>
  <c r="AA1529" i="34"/>
  <c r="AA4359" i="34"/>
  <c r="AA1331" i="34"/>
  <c r="AA1697" i="34"/>
  <c r="AA4236" i="34"/>
  <c r="AA4341" i="34"/>
  <c r="AA2612" i="34"/>
  <c r="AA2951" i="34"/>
  <c r="AA2855" i="34"/>
  <c r="AA1540" i="34"/>
  <c r="AA4364" i="34"/>
  <c r="AA1192" i="34"/>
  <c r="AA1695" i="34"/>
  <c r="AA4242" i="34"/>
  <c r="AA1645" i="34"/>
  <c r="AA4377" i="34"/>
  <c r="AA4411" i="34"/>
  <c r="AA2959" i="34"/>
  <c r="AA1447" i="34"/>
  <c r="AA2933" i="34"/>
  <c r="AA2958" i="34"/>
  <c r="AA4296" i="34"/>
  <c r="AA1543" i="34"/>
  <c r="AA1526" i="34"/>
  <c r="AA4361" i="34"/>
  <c r="AA1616" i="34"/>
  <c r="AA1693" i="34"/>
  <c r="AA4243" i="34"/>
  <c r="AA1636" i="34"/>
  <c r="AA4378" i="34"/>
  <c r="AA1443" i="34"/>
  <c r="AA4304" i="34"/>
  <c r="AA1440" i="34"/>
  <c r="AA2940" i="34"/>
  <c r="AA2953" i="34"/>
  <c r="AA4336" i="34"/>
  <c r="AA473" i="34"/>
  <c r="AA1541" i="34"/>
  <c r="AA4362" i="34"/>
  <c r="AA1193" i="34"/>
  <c r="AA1696" i="34"/>
  <c r="AA4422" i="34"/>
  <c r="AA1641" i="34"/>
  <c r="AA4348" i="34"/>
  <c r="AA4402" i="34"/>
  <c r="AA1642" i="34"/>
  <c r="AA2942" i="34"/>
  <c r="AA2918" i="34"/>
  <c r="AA2939" i="34"/>
  <c r="AA2949" i="34"/>
  <c r="AA2484" i="34"/>
  <c r="AA1542" i="34"/>
  <c r="AA1527" i="34"/>
  <c r="AA4363" i="34"/>
  <c r="AA1369" i="34"/>
  <c r="AA4175" i="34"/>
  <c r="AA1635" i="34"/>
  <c r="AA4345" i="34"/>
  <c r="AA4399" i="34"/>
  <c r="AA1460" i="34"/>
  <c r="AA2967" i="34"/>
  <c r="AA4352" i="34"/>
  <c r="AA4368" i="34"/>
  <c r="AA1349" i="34"/>
  <c r="AA1700" i="34"/>
  <c r="AA4237" i="34"/>
  <c r="AA1649" i="34"/>
  <c r="AA4397" i="34"/>
  <c r="AA4349" i="34"/>
  <c r="AA4329" i="34"/>
  <c r="AA1446" i="34"/>
  <c r="AA2941" i="34"/>
  <c r="AA2954" i="34"/>
  <c r="AA4333" i="34"/>
  <c r="AA2873" i="34"/>
  <c r="AA2610" i="34"/>
  <c r="AA4365" i="34"/>
  <c r="AA1332" i="34"/>
  <c r="AA1698" i="34"/>
  <c r="AA4239" i="34"/>
  <c r="AA4337" i="34"/>
  <c r="AA4395" i="34"/>
  <c r="AA2938" i="34"/>
  <c r="AA2916" i="34"/>
  <c r="AA2930" i="34"/>
  <c r="AA2946" i="34"/>
  <c r="AA2964" i="34"/>
  <c r="AA4332" i="34"/>
  <c r="AA2914" i="34"/>
  <c r="AA2969" i="34"/>
  <c r="AA4366" i="34"/>
  <c r="AA1348" i="34"/>
  <c r="AA1699" i="34"/>
  <c r="AA4235" i="34"/>
  <c r="AA4385" i="34"/>
  <c r="AA2955" i="34"/>
  <c r="AA1442" i="34"/>
  <c r="AA2935" i="34"/>
  <c r="AA2960" i="34"/>
  <c r="AA4335" i="34"/>
  <c r="AA474" i="34"/>
  <c r="AA2970" i="34"/>
  <c r="AA4367" i="34"/>
  <c r="AA1689" i="34"/>
  <c r="AA4449" i="34"/>
  <c r="AA1644" i="34"/>
  <c r="AA4376" i="34"/>
  <c r="AA2977" i="34"/>
  <c r="AA4330" i="34"/>
  <c r="AA1537" i="34"/>
  <c r="AA4356" i="34"/>
  <c r="AA4371" i="34"/>
  <c r="AA1687" i="34"/>
  <c r="AA4218" i="34"/>
  <c r="AA1467" i="34"/>
  <c r="AA4342" i="34"/>
  <c r="AA2622" i="34"/>
  <c r="AA1436" i="34"/>
  <c r="AA2913" i="34"/>
  <c r="AA1438" i="34"/>
  <c r="AA2943" i="34"/>
  <c r="AA2963" i="34"/>
  <c r="AA2482" i="34"/>
  <c r="AA1525" i="34"/>
  <c r="AA4353" i="34"/>
  <c r="AA4369" i="34"/>
  <c r="AA1368" i="34"/>
  <c r="AA4408" i="34"/>
  <c r="AA1466" i="34"/>
  <c r="AA4343" i="34"/>
  <c r="AA2632" i="34"/>
  <c r="AA2950" i="34"/>
  <c r="AA1437" i="34"/>
  <c r="AA2936" i="34"/>
  <c r="AA2961" i="34"/>
  <c r="AA2849" i="34"/>
  <c r="AA2481" i="34"/>
  <c r="AA1536" i="34"/>
  <c r="AA4354" i="34"/>
  <c r="AA4370" i="34"/>
  <c r="AA1688" i="34"/>
  <c r="AA4130" i="34"/>
  <c r="AA4238" i="34"/>
  <c r="AA4338" i="34"/>
  <c r="AA4407" i="34"/>
  <c r="AA4231" i="34"/>
  <c r="AA1284" i="34"/>
  <c r="AA4264" i="34"/>
  <c r="AA4306" i="34"/>
  <c r="AA4284" i="34"/>
  <c r="AA2965" i="34"/>
  <c r="AA4265" i="34"/>
  <c r="AA1456" i="34"/>
  <c r="AA4274" i="34"/>
  <c r="AA4258" i="34"/>
  <c r="AA4293" i="34"/>
  <c r="AA4322" i="34"/>
  <c r="AA4245" i="34"/>
  <c r="AA4299" i="34"/>
  <c r="AA2917" i="34"/>
  <c r="AA4288" i="34"/>
  <c r="AA4229" i="34"/>
  <c r="AA4291" i="34"/>
  <c r="AA4297" i="34"/>
  <c r="AA4277" i="34"/>
  <c r="AA4283" i="34"/>
  <c r="AA4301" i="34"/>
  <c r="AA1457" i="34"/>
  <c r="AA4276" i="34"/>
  <c r="AA4321" i="34"/>
  <c r="AA4285" i="34"/>
  <c r="AA4320" i="34"/>
  <c r="AA4305" i="34"/>
  <c r="AA4230" i="34"/>
  <c r="AA4300" i="34"/>
  <c r="AA4261" i="34"/>
  <c r="AA4310" i="34"/>
  <c r="AA4268" i="34"/>
  <c r="AA4256" i="34"/>
  <c r="AA4307" i="34"/>
  <c r="AA4262" i="34"/>
  <c r="AA2926" i="34"/>
  <c r="AA4272" i="34"/>
  <c r="AA4255" i="34"/>
  <c r="AA4309" i="34"/>
  <c r="AA4315" i="34"/>
  <c r="AA4286" i="34"/>
  <c r="AA4292" i="34"/>
  <c r="AA4248" i="34"/>
  <c r="AA4298" i="34"/>
  <c r="AA4259" i="34"/>
  <c r="AA4308" i="34"/>
  <c r="AA4350" i="34"/>
  <c r="AA1458" i="34"/>
  <c r="AA4266" i="34"/>
  <c r="AA4323" i="34"/>
  <c r="AA4287" i="34"/>
  <c r="AA4275" i="34"/>
  <c r="AA1283" i="34"/>
  <c r="AA4273" i="34"/>
  <c r="AA4232" i="34"/>
  <c r="AA4282" i="34"/>
  <c r="AA4257" i="34"/>
  <c r="AA4249" i="34"/>
  <c r="AA4260" i="34"/>
  <c r="AA4278" i="34"/>
  <c r="AA4254" i="34"/>
  <c r="AA4319" i="34"/>
  <c r="AA4037" i="34"/>
  <c r="AA1449" i="34"/>
  <c r="AA1455" i="34"/>
  <c r="AA1463" i="34"/>
  <c r="AA1451" i="34"/>
  <c r="AA1452" i="34"/>
  <c r="AA4053" i="34"/>
  <c r="AA1453" i="34"/>
  <c r="AA1454" i="34"/>
  <c r="AA1450" i="34"/>
  <c r="AA4052" i="34"/>
  <c r="AA2860" i="34"/>
  <c r="AA2903" i="34"/>
  <c r="AA2875" i="34"/>
  <c r="AA2872" i="34"/>
  <c r="AA2863" i="34"/>
  <c r="AA2864" i="34"/>
  <c r="AA2902" i="34"/>
  <c r="AA2898" i="34"/>
  <c r="AA2901" i="34"/>
  <c r="AA2911" i="34"/>
  <c r="AA2906" i="34"/>
  <c r="AA2907" i="34"/>
  <c r="AA4049" i="34"/>
  <c r="AA4042" i="34"/>
  <c r="AA4139" i="34"/>
  <c r="AA4171" i="34"/>
  <c r="AA4204" i="34"/>
  <c r="AA2910" i="34"/>
  <c r="AA4183" i="34"/>
  <c r="AA2871" i="34"/>
  <c r="AA4079" i="34"/>
  <c r="AA2853" i="34"/>
  <c r="AA4147" i="34"/>
  <c r="AA4173" i="34"/>
  <c r="AA4208" i="34"/>
  <c r="AA2909" i="34"/>
  <c r="AA1434" i="34"/>
  <c r="AA4107" i="34"/>
  <c r="AA4166" i="34"/>
  <c r="AA4192" i="34"/>
  <c r="AA2866" i="34"/>
  <c r="AA2878" i="34"/>
  <c r="AA1433" i="34"/>
  <c r="AA2867" i="34"/>
  <c r="AA2874" i="34"/>
  <c r="AA4210" i="34"/>
  <c r="AA4146" i="34"/>
  <c r="AA4064" i="34"/>
  <c r="AA4148" i="34"/>
  <c r="AA4178" i="34"/>
  <c r="AA4062" i="34"/>
  <c r="AA4065" i="34"/>
  <c r="AA4201" i="34"/>
  <c r="AA2857" i="34"/>
  <c r="AA4164" i="34"/>
  <c r="AA4066" i="34"/>
  <c r="AA4150" i="34"/>
  <c r="AA4180" i="34"/>
  <c r="AA2880" i="34"/>
  <c r="AA2852" i="34"/>
  <c r="AA4043" i="34"/>
  <c r="AA4134" i="34"/>
  <c r="AA4170" i="34"/>
  <c r="AA4203" i="34"/>
  <c r="AA2850" i="34"/>
  <c r="AA4149" i="34"/>
  <c r="AA4165" i="34"/>
  <c r="AA4063" i="34"/>
  <c r="AA4174" i="34"/>
  <c r="AA4179" i="34"/>
  <c r="AA4080" i="34"/>
  <c r="AA4163" i="34"/>
  <c r="AA4182" i="34"/>
  <c r="AA4207" i="34"/>
  <c r="AA4189" i="34"/>
  <c r="AA4032" i="34"/>
  <c r="AA4129" i="34"/>
  <c r="AA4167" i="34"/>
  <c r="AA4193" i="34"/>
  <c r="AA2858" i="34"/>
  <c r="AA4168" i="34"/>
  <c r="AA2881" i="34"/>
  <c r="AA1435" i="34"/>
  <c r="AA4041" i="34"/>
  <c r="AA4133" i="34"/>
  <c r="AA4169" i="34"/>
  <c r="AA4202" i="34"/>
  <c r="AA2854" i="34"/>
  <c r="AA4172" i="34"/>
  <c r="AA4075" i="34"/>
  <c r="AA4158" i="34"/>
  <c r="AA4181" i="34"/>
  <c r="AA2879" i="34"/>
  <c r="AA4225" i="34"/>
  <c r="AA4082" i="34"/>
  <c r="AA4132" i="34"/>
  <c r="AA4209" i="34"/>
  <c r="AA4081" i="34"/>
  <c r="AA4115" i="34"/>
  <c r="AA1431" i="34"/>
  <c r="AA4060" i="34"/>
  <c r="AA4125" i="34"/>
  <c r="AA4039" i="34"/>
  <c r="AA4122" i="34"/>
  <c r="AA4124" i="34"/>
  <c r="AA4119" i="34"/>
  <c r="AA4117" i="34"/>
  <c r="AA4106" i="34"/>
  <c r="AA2608" i="34"/>
  <c r="AA4059" i="34"/>
  <c r="AA4126" i="34"/>
  <c r="AA4040" i="34"/>
  <c r="AA4123" i="34"/>
  <c r="AA4128" i="34"/>
  <c r="AA4116" i="34"/>
  <c r="AA4058" i="34"/>
  <c r="AA4271" i="34"/>
  <c r="AA1430" i="34"/>
  <c r="AA2609" i="34"/>
  <c r="AA4127" i="34"/>
  <c r="AA4038" i="34"/>
  <c r="AA4121" i="34"/>
  <c r="AA4120" i="34"/>
  <c r="AA4118" i="34"/>
  <c r="AA1432" i="34"/>
  <c r="AA1343" i="34"/>
  <c r="AA1281" i="34"/>
  <c r="AA1345" i="34"/>
  <c r="AA1367" i="34"/>
  <c r="AA4206" i="34"/>
  <c r="AA4048" i="34"/>
  <c r="AA4143" i="34"/>
  <c r="AA4215" i="34"/>
  <c r="AA1533" i="34"/>
  <c r="AA4184" i="34"/>
  <c r="AA4112" i="34"/>
  <c r="AA4177" i="34"/>
  <c r="AA1158" i="34"/>
  <c r="AA1163" i="34"/>
  <c r="AA1333" i="34"/>
  <c r="AA1356" i="34"/>
  <c r="AA1534" i="34"/>
  <c r="AA4176" i="34"/>
  <c r="AA4113" i="34"/>
  <c r="AA4185" i="34"/>
  <c r="AA4057" i="34"/>
  <c r="AA1337" i="34"/>
  <c r="AA1342" i="34"/>
  <c r="AA1364" i="34"/>
  <c r="AA4217" i="34"/>
  <c r="AA4047" i="34"/>
  <c r="AA4142" i="34"/>
  <c r="AA4222" i="34"/>
  <c r="AA1357" i="34"/>
  <c r="AA4187" i="34"/>
  <c r="AA4213" i="34"/>
  <c r="AA1353" i="34"/>
  <c r="AA4045" i="34"/>
  <c r="AA1336" i="34"/>
  <c r="AA4161" i="34"/>
  <c r="AA4186" i="34"/>
  <c r="AA1358" i="34"/>
  <c r="AA1360" i="34"/>
  <c r="AA1350" i="34"/>
  <c r="AA1530" i="34"/>
  <c r="AA4191" i="34"/>
  <c r="AA4086" i="34"/>
  <c r="AA4155" i="34"/>
  <c r="AA1335" i="34"/>
  <c r="AA4114" i="34"/>
  <c r="AA4156" i="34"/>
  <c r="AA4076" i="34"/>
  <c r="AA4194" i="34"/>
  <c r="AA1361" i="34"/>
  <c r="AA1279" i="34"/>
  <c r="AA1341" i="34"/>
  <c r="AA1363" i="34"/>
  <c r="AA4137" i="34"/>
  <c r="AA4153" i="34"/>
  <c r="AA4077" i="34"/>
  <c r="AA4195" i="34"/>
  <c r="AA1429" i="34"/>
  <c r="AA1280" i="34"/>
  <c r="AA1347" i="34"/>
  <c r="AA1524" i="34"/>
  <c r="AA4196" i="34"/>
  <c r="AA4085" i="34"/>
  <c r="AA4154" i="34"/>
  <c r="AA417" i="34"/>
  <c r="AA1334" i="34"/>
  <c r="AA4157" i="34"/>
  <c r="AA4056" i="34"/>
  <c r="AA4044" i="34"/>
  <c r="AA1346" i="34"/>
  <c r="AA1344" i="34"/>
  <c r="AA4228" i="34"/>
  <c r="AA4214" i="34"/>
  <c r="AA1354" i="34"/>
  <c r="AA4055" i="34"/>
  <c r="AA3911" i="34"/>
  <c r="AA4240" i="34"/>
  <c r="AA1365" i="34"/>
  <c r="AA1352" i="34"/>
  <c r="AA1340" i="34"/>
  <c r="AA1362" i="34"/>
  <c r="AA4244" i="34"/>
  <c r="AA4031" i="34"/>
  <c r="AA4136" i="34"/>
  <c r="AA4212" i="34"/>
  <c r="AA1355" i="34"/>
  <c r="AA4200" i="34"/>
  <c r="AA4050" i="34"/>
  <c r="AA4144" i="34"/>
  <c r="AA4216" i="34"/>
  <c r="AA1523" i="34"/>
  <c r="AA1282" i="34"/>
  <c r="AA1351" i="34"/>
  <c r="AA1531" i="34"/>
  <c r="AA4199" i="34"/>
  <c r="AA4051" i="34"/>
  <c r="AA4145" i="34"/>
  <c r="AA416" i="34"/>
  <c r="AA2003" i="34"/>
  <c r="AA1339" i="34"/>
  <c r="AA1359" i="34"/>
  <c r="AA4252" i="34"/>
  <c r="AA4036" i="34"/>
  <c r="AA4135" i="34"/>
  <c r="AA4211" i="34"/>
  <c r="AA1535" i="34"/>
  <c r="AA1338" i="34"/>
  <c r="AA4140" i="34"/>
  <c r="AA1366" i="34"/>
  <c r="AA4141" i="34"/>
  <c r="AA1532" i="34"/>
  <c r="AA1267" i="34"/>
  <c r="AA1277" i="34"/>
  <c r="AA1276" i="34"/>
  <c r="AA1278" i="34"/>
  <c r="AA1275" i="34"/>
  <c r="AA4030" i="34"/>
  <c r="AA1055" i="34"/>
  <c r="AA1311" i="34"/>
  <c r="AA1198" i="34"/>
  <c r="AA1079" i="34"/>
  <c r="AA1052" i="34"/>
  <c r="AA908" i="34"/>
  <c r="AA906" i="34"/>
  <c r="AA1323" i="34"/>
  <c r="AA414" i="34"/>
  <c r="AA1201" i="34"/>
  <c r="AA984" i="34"/>
  <c r="AA886" i="34"/>
  <c r="AA1317" i="34"/>
  <c r="AA4088" i="34"/>
  <c r="AA1314" i="34"/>
  <c r="AA1165" i="34"/>
  <c r="AA1200" i="34"/>
  <c r="AA1196" i="34"/>
  <c r="AA1077" i="34"/>
  <c r="AA1088" i="34"/>
  <c r="AA904" i="34"/>
  <c r="AA900" i="34"/>
  <c r="AA1324" i="34"/>
  <c r="AA4078" i="34"/>
  <c r="AA1213" i="34"/>
  <c r="AA1162" i="34"/>
  <c r="AA1215" i="34"/>
  <c r="AA1191" i="34"/>
  <c r="AA1076" i="34"/>
  <c r="AA1087" i="34"/>
  <c r="AA903" i="34"/>
  <c r="AA899" i="34"/>
  <c r="AA4046" i="34"/>
  <c r="AA891" i="34"/>
  <c r="AA1268" i="34"/>
  <c r="AA1073" i="34"/>
  <c r="AA892" i="34"/>
  <c r="AA1064" i="34"/>
  <c r="AA1270" i="34"/>
  <c r="AA1207" i="34"/>
  <c r="AA975" i="34"/>
  <c r="AA1321" i="34"/>
  <c r="AA1209" i="34"/>
  <c r="AA1161" i="34"/>
  <c r="AA1214" i="34"/>
  <c r="AA1190" i="34"/>
  <c r="AA1075" i="34"/>
  <c r="AA1066" i="34"/>
  <c r="AA902" i="34"/>
  <c r="AA896" i="34"/>
  <c r="AA1072" i="34"/>
  <c r="AA1272" i="34"/>
  <c r="AA1189" i="34"/>
  <c r="AA907" i="34"/>
  <c r="AA905" i="34"/>
  <c r="AA1328" i="34"/>
  <c r="AA415" i="34"/>
  <c r="AA1205" i="34"/>
  <c r="AA1159" i="34"/>
  <c r="AA1212" i="34"/>
  <c r="AA1188" i="34"/>
  <c r="AA1069" i="34"/>
  <c r="AA980" i="34"/>
  <c r="AA898" i="34"/>
  <c r="AA894" i="34"/>
  <c r="AA1071" i="34"/>
  <c r="AA1274" i="34"/>
  <c r="AA1197" i="34"/>
  <c r="AA3860" i="34"/>
  <c r="AA1211" i="34"/>
  <c r="AA1187" i="34"/>
  <c r="AA1068" i="34"/>
  <c r="AA979" i="34"/>
  <c r="AA897" i="34"/>
  <c r="AA893" i="34"/>
  <c r="AA1074" i="34"/>
  <c r="AA1273" i="34"/>
  <c r="AA1067" i="34"/>
  <c r="AA1081" i="34"/>
  <c r="AA901" i="34"/>
  <c r="AA1086" i="34"/>
  <c r="AA1092" i="34"/>
  <c r="AA976" i="34"/>
  <c r="AA1082" i="34"/>
  <c r="AA1316" i="34"/>
  <c r="AA1057" i="34"/>
  <c r="AA1083" i="34"/>
  <c r="AA1093" i="34"/>
  <c r="AA1210" i="34"/>
  <c r="AA978" i="34"/>
  <c r="AA895" i="34"/>
  <c r="AA1320" i="34"/>
  <c r="AA1070" i="34"/>
  <c r="AA1315" i="34"/>
  <c r="AA1206" i="34"/>
  <c r="AA1090" i="34"/>
  <c r="AA1056" i="34"/>
  <c r="AA974" i="34"/>
  <c r="AA887" i="34"/>
  <c r="AA1326" i="34"/>
  <c r="AA4054" i="34"/>
  <c r="AA1330" i="34"/>
  <c r="AA977" i="34"/>
  <c r="AA890" i="34"/>
  <c r="AA1322" i="34"/>
  <c r="AA1084" i="34"/>
  <c r="AA1329" i="34"/>
  <c r="AA1089" i="34"/>
  <c r="AA1313" i="34"/>
  <c r="AA1204" i="34"/>
  <c r="AA1085" i="34"/>
  <c r="AA1054" i="34"/>
  <c r="AA983" i="34"/>
  <c r="AA910" i="34"/>
  <c r="AA1325" i="34"/>
  <c r="AA4087" i="34"/>
  <c r="AA1160" i="34"/>
  <c r="AA981" i="34"/>
  <c r="AA1312" i="34"/>
  <c r="AA1199" i="34"/>
  <c r="AA1080" i="34"/>
  <c r="AA1053" i="34"/>
  <c r="AA982" i="34"/>
  <c r="AA909" i="34"/>
  <c r="AA1318" i="34"/>
  <c r="AA4084" i="34"/>
  <c r="AA1327" i="34"/>
  <c r="AA4067" i="34"/>
  <c r="AA1186" i="34"/>
  <c r="AA1319" i="34"/>
  <c r="AA1065" i="34"/>
  <c r="AA1271" i="34"/>
  <c r="AA1208" i="34"/>
  <c r="AA889" i="34"/>
  <c r="AA1078" i="34"/>
  <c r="AA1091" i="34"/>
  <c r="AA888" i="34"/>
  <c r="AA1269" i="34"/>
  <c r="AA2605" i="34"/>
  <c r="AA2607" i="34"/>
  <c r="AA2602" i="34"/>
  <c r="AA2848" i="34"/>
  <c r="AA2598" i="34"/>
  <c r="AA2599" i="34"/>
  <c r="AA2847" i="34"/>
  <c r="AA2815" i="34"/>
  <c r="AA2603" i="34"/>
  <c r="AA3922" i="34"/>
  <c r="AA2596" i="34"/>
  <c r="AA2604" i="34"/>
  <c r="AA2601" i="34"/>
  <c r="AA2597" i="34"/>
  <c r="AA3878" i="34"/>
  <c r="AA2600" i="34"/>
  <c r="AA2606" i="34"/>
  <c r="AA4002" i="34"/>
  <c r="AA4001" i="34"/>
  <c r="AA4017" i="34"/>
  <c r="AA2594" i="34"/>
  <c r="AA2832" i="34"/>
  <c r="AA2831" i="34"/>
  <c r="AA2845" i="34"/>
  <c r="AA4015" i="34"/>
  <c r="AA2819" i="34"/>
  <c r="AA2842" i="34"/>
  <c r="AA2839" i="34"/>
  <c r="AA4016" i="34"/>
  <c r="AA2825" i="34"/>
  <c r="AA2833" i="34"/>
  <c r="AA4018" i="34"/>
  <c r="AA4005" i="34"/>
  <c r="AA4021" i="34"/>
  <c r="AA2829" i="34"/>
  <c r="AA2844" i="34"/>
  <c r="AA4014" i="34"/>
  <c r="AA4003" i="34"/>
  <c r="AA4019" i="34"/>
  <c r="AA2827" i="34"/>
  <c r="AA2846" i="34"/>
  <c r="AA4004" i="34"/>
  <c r="AA4020" i="34"/>
  <c r="AA2828" i="34"/>
  <c r="AA2843" i="34"/>
  <c r="AA2595" i="34"/>
  <c r="AA4009" i="34"/>
  <c r="AA2811" i="34"/>
  <c r="AA2840" i="34"/>
  <c r="AA4010" i="34"/>
  <c r="AA2593" i="34"/>
  <c r="AA4007" i="34"/>
  <c r="AA3885" i="34"/>
  <c r="AA2838" i="34"/>
  <c r="AA4006" i="34"/>
  <c r="AA4008" i="34"/>
  <c r="AA2807" i="34"/>
  <c r="AA2841" i="34"/>
  <c r="AA2835" i="34"/>
  <c r="AA4013" i="34"/>
  <c r="AA2817" i="34"/>
  <c r="AA2836" i="34"/>
  <c r="AA2818" i="34"/>
  <c r="AA2830" i="34"/>
  <c r="AA4011" i="34"/>
  <c r="AA2592" i="34"/>
  <c r="AA2834" i="34"/>
  <c r="AA3884" i="34"/>
  <c r="AA4012" i="34"/>
  <c r="AA2816" i="34"/>
  <c r="AA2837" i="34"/>
  <c r="AA3937" i="34"/>
  <c r="AA3938" i="34"/>
  <c r="AA3888" i="34"/>
  <c r="AA3932" i="34"/>
  <c r="AA3969" i="34"/>
  <c r="AA3880" i="34"/>
  <c r="AA3955" i="34"/>
  <c r="AA3992" i="34"/>
  <c r="AA3897" i="34"/>
  <c r="AA3904" i="34"/>
  <c r="AA3890" i="34"/>
  <c r="AA3949" i="34"/>
  <c r="AA2823" i="34"/>
  <c r="AA3883" i="34"/>
  <c r="AA2806" i="34"/>
  <c r="AA3887" i="34"/>
  <c r="AA2812" i="34"/>
  <c r="AA3966" i="34"/>
  <c r="AA3872" i="34"/>
  <c r="AA3970" i="34"/>
  <c r="AA3952" i="34"/>
  <c r="AA3899" i="34"/>
  <c r="AA3882" i="34"/>
  <c r="AA3953" i="34"/>
  <c r="AA380" i="34"/>
  <c r="AA3881" i="34"/>
  <c r="AA3892" i="34"/>
  <c r="AA3947" i="34"/>
  <c r="AA3984" i="34"/>
  <c r="AA3889" i="34"/>
  <c r="AA3964" i="34"/>
  <c r="AA4000" i="34"/>
  <c r="AA3870" i="34"/>
  <c r="AA3874" i="34"/>
  <c r="AA3894" i="34"/>
  <c r="AA3950" i="34"/>
  <c r="AA3986" i="34"/>
  <c r="AA3893" i="34"/>
  <c r="AA3939" i="34"/>
  <c r="AA3891" i="34"/>
  <c r="AA3948" i="34"/>
  <c r="AA2824" i="34"/>
  <c r="AA2813" i="34"/>
  <c r="AA3896" i="34"/>
  <c r="AA3901" i="34"/>
  <c r="AA2809" i="34"/>
  <c r="AA3956" i="34"/>
  <c r="AA3940" i="34"/>
  <c r="AA3987" i="34"/>
  <c r="AA3991" i="34"/>
  <c r="AA3971" i="34"/>
  <c r="AA3875" i="34"/>
  <c r="AA3900" i="34"/>
  <c r="AA3958" i="34"/>
  <c r="AA3999" i="34"/>
  <c r="AA3946" i="34"/>
  <c r="AA3985" i="34"/>
  <c r="AA3871" i="34"/>
  <c r="AA3951" i="34"/>
  <c r="AA3886" i="34"/>
  <c r="AA3902" i="34"/>
  <c r="AA3965" i="34"/>
  <c r="AA2810" i="34"/>
  <c r="AA2814" i="34"/>
  <c r="AA3873" i="34"/>
  <c r="AA3898" i="34"/>
  <c r="AA3957" i="34"/>
  <c r="AA3998" i="34"/>
  <c r="AA3954" i="34"/>
  <c r="AA2805" i="34"/>
  <c r="AA3993" i="34"/>
  <c r="AA3895" i="34"/>
  <c r="AA1153" i="34"/>
  <c r="AA1151" i="34"/>
  <c r="AA1145" i="34"/>
  <c r="AA1146" i="34"/>
  <c r="AA1157" i="34"/>
  <c r="AA1156" i="34"/>
  <c r="AA1149" i="34"/>
  <c r="AA1148" i="34"/>
  <c r="AA1154" i="34"/>
  <c r="AA1144" i="34"/>
  <c r="AA1147" i="34"/>
  <c r="AA1155" i="34"/>
  <c r="AA1150" i="34"/>
  <c r="AA1152" i="34"/>
  <c r="AA1022" i="34"/>
  <c r="AA1024" i="34"/>
  <c r="AA1020" i="34"/>
  <c r="AA1021" i="34"/>
  <c r="AA1023" i="34"/>
  <c r="AA1019" i="34"/>
  <c r="AA967" i="34"/>
  <c r="AA966" i="34"/>
  <c r="AA1015" i="34"/>
  <c r="AA1028" i="34"/>
  <c r="AA1014" i="34"/>
  <c r="AA1018" i="34"/>
  <c r="AA1143" i="34"/>
  <c r="AA1013" i="34"/>
  <c r="AA3859" i="34"/>
  <c r="AA1029" i="34"/>
  <c r="AA277" i="34"/>
  <c r="AA276" i="34"/>
  <c r="AA1016" i="34"/>
  <c r="AA1025" i="34"/>
  <c r="AA1012" i="34"/>
  <c r="AA1011" i="34"/>
  <c r="AA1017" i="34"/>
  <c r="AA1027" i="34"/>
  <c r="AA1026" i="34"/>
  <c r="AA1010" i="34"/>
  <c r="AA964" i="34"/>
  <c r="AA962" i="34"/>
  <c r="AA965" i="34"/>
  <c r="AA963" i="34"/>
  <c r="AA2002" i="34"/>
  <c r="AA2004" i="34"/>
  <c r="AA861" i="34"/>
  <c r="AA859" i="34"/>
  <c r="AA855" i="34"/>
  <c r="AA857" i="34"/>
  <c r="AA858" i="34"/>
  <c r="AA856" i="34"/>
  <c r="AA860" i="34"/>
  <c r="AA853" i="34"/>
  <c r="AA854" i="34"/>
  <c r="AA852" i="34"/>
  <c r="AA62" i="34"/>
  <c r="AA63" i="34"/>
  <c r="AA264" i="34"/>
  <c r="AA265" i="34"/>
  <c r="AA266" i="34"/>
  <c r="AA267" i="34"/>
  <c r="AA268" i="34"/>
  <c r="AA269" i="34"/>
  <c r="AA270" i="34"/>
  <c r="AA271" i="34"/>
  <c r="AA272" i="34"/>
  <c r="AA273" i="34"/>
  <c r="AA274" i="34"/>
  <c r="AA275" i="34"/>
  <c r="AA61" i="34"/>
  <c r="AA246" i="34"/>
  <c r="AA251" i="34"/>
  <c r="AA244" i="34"/>
  <c r="AA59" i="34"/>
  <c r="AA60" i="34"/>
  <c r="AA249" i="34"/>
  <c r="AA255" i="34"/>
  <c r="AA248" i="34"/>
  <c r="AA245" i="34"/>
  <c r="AA254" i="34"/>
  <c r="AA58" i="34"/>
  <c r="AA252" i="34"/>
  <c r="AA253" i="34"/>
  <c r="AA247" i="34"/>
  <c r="AA250" i="34"/>
  <c r="AA256" i="34"/>
  <c r="AA257" i="34"/>
  <c r="AA208" i="34"/>
  <c r="AA237" i="34"/>
  <c r="AA213" i="34"/>
  <c r="AA234" i="34"/>
  <c r="AA231" i="34"/>
  <c r="AA227" i="34"/>
  <c r="AA207" i="34"/>
  <c r="AA228" i="34"/>
  <c r="AA212" i="34"/>
  <c r="AA236" i="34"/>
  <c r="AA216" i="34"/>
  <c r="AA55" i="34"/>
  <c r="AA217" i="34"/>
  <c r="AA52" i="34"/>
  <c r="AA206" i="34"/>
  <c r="AA235" i="34"/>
  <c r="AA211" i="34"/>
  <c r="AA232" i="34"/>
  <c r="AA225" i="34"/>
  <c r="AA229" i="34"/>
  <c r="AA205" i="34"/>
  <c r="AA226" i="34"/>
  <c r="AA56" i="34"/>
  <c r="AA214" i="34"/>
  <c r="AA53" i="34"/>
  <c r="AA215" i="34"/>
  <c r="AA233" i="34"/>
  <c r="AA209" i="34"/>
  <c r="AA230" i="34"/>
  <c r="AA210" i="34"/>
  <c r="AA218" i="34"/>
  <c r="AA57" i="34"/>
  <c r="AA224" i="34"/>
  <c r="AA54" i="34"/>
  <c r="AA50" i="34"/>
  <c r="AA48" i="34"/>
  <c r="AA186" i="34"/>
  <c r="AA40" i="34"/>
  <c r="AA36" i="34"/>
  <c r="AA183" i="34"/>
  <c r="AA200" i="34"/>
  <c r="AA193" i="34"/>
  <c r="AA180" i="34"/>
  <c r="AA51" i="34"/>
  <c r="AA190" i="34"/>
  <c r="AA38" i="34"/>
  <c r="AA174" i="34"/>
  <c r="AA191" i="34"/>
  <c r="AA176" i="34"/>
  <c r="AA49" i="34"/>
  <c r="AA187" i="34"/>
  <c r="AA46" i="34"/>
  <c r="AA197" i="34"/>
  <c r="AA41" i="34"/>
  <c r="AA177" i="34"/>
  <c r="AA194" i="34"/>
  <c r="AA42" i="34"/>
  <c r="AA178" i="34"/>
  <c r="AA195" i="34"/>
  <c r="AA39" i="34"/>
  <c r="AA175" i="34"/>
  <c r="AA192" i="34"/>
  <c r="AA184" i="34"/>
  <c r="AA201" i="34"/>
  <c r="AA45" i="34"/>
  <c r="AA181" i="34"/>
  <c r="AA198" i="34"/>
  <c r="AA37" i="34"/>
  <c r="AA182" i="34"/>
  <c r="AA199" i="34"/>
  <c r="AA43" i="34"/>
  <c r="AA179" i="34"/>
  <c r="AA196" i="34"/>
  <c r="AA189" i="34"/>
  <c r="AA44" i="34"/>
  <c r="AA47" i="34"/>
  <c r="AA185" i="34"/>
  <c r="AA202" i="34"/>
  <c r="AA133" i="34"/>
  <c r="AA131" i="34"/>
  <c r="AA148" i="34"/>
  <c r="AA167" i="34"/>
  <c r="AA161" i="34"/>
  <c r="AA141" i="34"/>
  <c r="AA160" i="34"/>
  <c r="AA137" i="34"/>
  <c r="AA130" i="34"/>
  <c r="AA147" i="34"/>
  <c r="AA166" i="34"/>
  <c r="AA146" i="34"/>
  <c r="AA164" i="34"/>
  <c r="AA151" i="34"/>
  <c r="AA165" i="34"/>
  <c r="AA140" i="34"/>
  <c r="AA159" i="34"/>
  <c r="AA142" i="34"/>
  <c r="AA132" i="34"/>
  <c r="AA149" i="34"/>
  <c r="AA168" i="34"/>
  <c r="AA169" i="34"/>
  <c r="AA138" i="34"/>
  <c r="AA158" i="34"/>
  <c r="AA152" i="34"/>
  <c r="AA145" i="34"/>
  <c r="AA134" i="34"/>
  <c r="AA127" i="34"/>
  <c r="AA144" i="34"/>
  <c r="AA163" i="34"/>
  <c r="AA157" i="34"/>
  <c r="AA136" i="34"/>
  <c r="AA153" i="34"/>
  <c r="AA125" i="34"/>
  <c r="AA126" i="34"/>
  <c r="AA143" i="34"/>
  <c r="AA162" i="34"/>
  <c r="AA135" i="34"/>
  <c r="AA129" i="34"/>
  <c r="AA128" i="34"/>
  <c r="AA150" i="34"/>
  <c r="AA170" i="34"/>
  <c r="AA80" i="34"/>
  <c r="AA78" i="34"/>
  <c r="AA93" i="34"/>
  <c r="AA112" i="34"/>
  <c r="AA87" i="34"/>
  <c r="AA83" i="34"/>
  <c r="AA102" i="34"/>
  <c r="AA121" i="34"/>
  <c r="AA77" i="34"/>
  <c r="AA96" i="34"/>
  <c r="AA115" i="34"/>
  <c r="AA91" i="34"/>
  <c r="AA116" i="34"/>
  <c r="AA109" i="34"/>
  <c r="AA100" i="34"/>
  <c r="AA103" i="34"/>
  <c r="AA86" i="34"/>
  <c r="AA101" i="34"/>
  <c r="AA120" i="34"/>
  <c r="AA118" i="34"/>
  <c r="AA94" i="34"/>
  <c r="AA113" i="34"/>
  <c r="AA95" i="34"/>
  <c r="AA85" i="34"/>
  <c r="AA104" i="34"/>
  <c r="AA82" i="34"/>
  <c r="AA89" i="34"/>
  <c r="AA81" i="34"/>
  <c r="AA114" i="34"/>
  <c r="AA88" i="34"/>
  <c r="AA108" i="34"/>
  <c r="AA76" i="34"/>
  <c r="AA79" i="34"/>
  <c r="AA98" i="34"/>
  <c r="AA117" i="34"/>
  <c r="AA110" i="34"/>
  <c r="AA92" i="34"/>
  <c r="AA111" i="34"/>
  <c r="AA97" i="34"/>
  <c r="AA99" i="34"/>
  <c r="AA84" i="34"/>
  <c r="AA119" i="34"/>
  <c r="AA32" i="34"/>
  <c r="AA35" i="34"/>
  <c r="AA33" i="34"/>
  <c r="AA34" i="34"/>
  <c r="AA31" i="34"/>
  <c r="X1662" i="34"/>
  <c r="X409" i="34"/>
  <c r="X408" i="34"/>
  <c r="X407" i="34"/>
  <c r="B30" i="14"/>
  <c r="D30" i="14"/>
  <c r="G30" i="14"/>
  <c r="A31" i="14"/>
  <c r="C31" i="14"/>
  <c r="E31" i="14"/>
  <c r="H31" i="14"/>
  <c r="B32" i="14"/>
  <c r="D32" i="14"/>
  <c r="G32" i="14"/>
  <c r="A33" i="14"/>
  <c r="C33" i="14"/>
  <c r="E33" i="14"/>
  <c r="H33" i="14"/>
  <c r="B34" i="14"/>
  <c r="D34" i="14"/>
  <c r="G34" i="14"/>
  <c r="A35" i="14"/>
  <c r="C35" i="14"/>
  <c r="E35" i="14"/>
  <c r="H35" i="14"/>
  <c r="B36" i="14"/>
  <c r="D36" i="14"/>
  <c r="G36" i="14"/>
  <c r="A37" i="14"/>
  <c r="C37" i="14"/>
  <c r="E37" i="14"/>
  <c r="H37" i="14"/>
  <c r="B38" i="14"/>
  <c r="D38" i="14"/>
  <c r="G38" i="14"/>
  <c r="A39" i="14"/>
  <c r="C39" i="14"/>
  <c r="E39" i="14"/>
  <c r="H39" i="14"/>
  <c r="B40" i="14"/>
  <c r="D40" i="14"/>
  <c r="G40" i="14"/>
  <c r="A41" i="14"/>
  <c r="C41" i="14"/>
  <c r="E41" i="14"/>
  <c r="H41" i="14"/>
  <c r="B42" i="14"/>
  <c r="D42" i="14"/>
  <c r="G42" i="14"/>
  <c r="A43" i="14"/>
  <c r="C43" i="14"/>
  <c r="E43" i="14"/>
  <c r="H43" i="14"/>
  <c r="B44" i="14"/>
  <c r="D44" i="14"/>
  <c r="G44" i="14"/>
  <c r="A45" i="14"/>
  <c r="C45" i="14"/>
  <c r="E45" i="14"/>
  <c r="H45" i="14"/>
  <c r="B46" i="14"/>
  <c r="D46" i="14"/>
  <c r="G46" i="14"/>
  <c r="A47" i="14"/>
  <c r="C47" i="14"/>
  <c r="E47" i="14"/>
  <c r="B48" i="14"/>
  <c r="G48" i="14"/>
  <c r="C49" i="14"/>
  <c r="H49" i="14"/>
  <c r="A30" i="14"/>
  <c r="C30" i="14"/>
  <c r="E30" i="14"/>
  <c r="H30" i="14"/>
  <c r="B31" i="14"/>
  <c r="D31" i="14"/>
  <c r="G31" i="14"/>
  <c r="A32" i="14"/>
  <c r="C32" i="14"/>
  <c r="E32" i="14"/>
  <c r="H32" i="14"/>
  <c r="B33" i="14"/>
  <c r="D33" i="14"/>
  <c r="G33" i="14"/>
  <c r="A34" i="14"/>
  <c r="C34" i="14"/>
  <c r="E34" i="14"/>
  <c r="H34" i="14"/>
  <c r="B35" i="14"/>
  <c r="D35" i="14"/>
  <c r="G35" i="14"/>
  <c r="A36" i="14"/>
  <c r="C36" i="14"/>
  <c r="E36" i="14"/>
  <c r="H36" i="14"/>
  <c r="B37" i="14"/>
  <c r="D37" i="14"/>
  <c r="G37" i="14"/>
  <c r="A38" i="14"/>
  <c r="C38" i="14"/>
  <c r="E38" i="14"/>
  <c r="H38" i="14"/>
  <c r="B39" i="14"/>
  <c r="D39" i="14"/>
  <c r="G39" i="14"/>
  <c r="A40" i="14"/>
  <c r="C40" i="14"/>
  <c r="E40" i="14"/>
  <c r="H40" i="14"/>
  <c r="B41" i="14"/>
  <c r="D41" i="14"/>
  <c r="G41" i="14"/>
  <c r="A42" i="14"/>
  <c r="C42" i="14"/>
  <c r="E42" i="14"/>
  <c r="H42" i="14"/>
  <c r="B43" i="14"/>
  <c r="D43" i="14"/>
  <c r="G43" i="14"/>
  <c r="A44" i="14"/>
  <c r="C44" i="14"/>
  <c r="E44" i="14"/>
  <c r="H44" i="14"/>
  <c r="B45" i="14"/>
  <c r="D45" i="14"/>
  <c r="G45" i="14"/>
  <c r="A46" i="14"/>
  <c r="C46" i="14"/>
  <c r="E46" i="14"/>
  <c r="H46" i="14"/>
  <c r="B47" i="14"/>
  <c r="D47" i="14"/>
  <c r="G47" i="14"/>
  <c r="A48" i="14"/>
  <c r="C48" i="14"/>
  <c r="E48" i="14"/>
  <c r="H48" i="14"/>
  <c r="B49" i="14"/>
  <c r="D49" i="14"/>
  <c r="G49" i="14"/>
  <c r="H47" i="14"/>
  <c r="D48" i="14"/>
  <c r="A49" i="14"/>
  <c r="E49" i="14"/>
  <c r="X13" i="34"/>
  <c r="X15" i="34"/>
  <c r="X17" i="34"/>
  <c r="X19" i="34"/>
  <c r="X21" i="34"/>
  <c r="X23" i="34"/>
  <c r="X26" i="34"/>
  <c r="X65" i="34"/>
  <c r="X69" i="34"/>
  <c r="X73" i="34"/>
  <c r="X28" i="34"/>
  <c r="X30" i="34"/>
  <c r="X32" i="34"/>
  <c r="X34" i="34"/>
  <c r="X36" i="34"/>
  <c r="X38" i="34"/>
  <c r="X40" i="34"/>
  <c r="X42" i="34"/>
  <c r="X44" i="34"/>
  <c r="X46" i="34"/>
  <c r="X48" i="34"/>
  <c r="X50" i="34"/>
  <c r="X52" i="34"/>
  <c r="X54" i="34"/>
  <c r="X56" i="34"/>
  <c r="X58" i="34"/>
  <c r="X60" i="34"/>
  <c r="X62" i="34"/>
  <c r="X64" i="34"/>
  <c r="X68" i="34"/>
  <c r="X72" i="34"/>
  <c r="X76" i="34"/>
  <c r="X78" i="34"/>
  <c r="X80" i="34"/>
  <c r="X82" i="34"/>
  <c r="X84" i="34"/>
  <c r="X86" i="34"/>
  <c r="X88" i="34"/>
  <c r="X90" i="34"/>
  <c r="X92" i="34"/>
  <c r="X94" i="34"/>
  <c r="X96" i="34"/>
  <c r="X98" i="34"/>
  <c r="X100" i="34"/>
  <c r="X102" i="34"/>
  <c r="X104" i="34"/>
  <c r="X106" i="34"/>
  <c r="X108" i="34"/>
  <c r="X110" i="34"/>
  <c r="X112" i="34"/>
  <c r="X114" i="34"/>
  <c r="X116" i="34"/>
  <c r="X118" i="34"/>
  <c r="X120" i="34"/>
  <c r="X122" i="34"/>
  <c r="X124" i="34"/>
  <c r="X126" i="34"/>
  <c r="X128" i="34"/>
  <c r="X130" i="34"/>
  <c r="X132" i="34"/>
  <c r="X134" i="34"/>
  <c r="X136" i="34"/>
  <c r="X138" i="34"/>
  <c r="X140" i="34"/>
  <c r="X142" i="34"/>
  <c r="X144" i="34"/>
  <c r="X146" i="34"/>
  <c r="X148" i="34"/>
  <c r="X150" i="34"/>
  <c r="X152" i="34"/>
  <c r="X154" i="34"/>
  <c r="X156" i="34"/>
  <c r="X158" i="34"/>
  <c r="X160" i="34"/>
  <c r="X162" i="34"/>
  <c r="X164" i="34"/>
  <c r="X166" i="34"/>
  <c r="X168" i="34"/>
  <c r="X170" i="34"/>
  <c r="X172" i="34"/>
  <c r="X174" i="34"/>
  <c r="X176" i="34"/>
  <c r="X178" i="34"/>
  <c r="X180" i="34"/>
  <c r="X182" i="34"/>
  <c r="X184" i="34"/>
  <c r="X186" i="34"/>
  <c r="X188" i="34"/>
  <c r="X190" i="34"/>
  <c r="X192" i="34"/>
  <c r="X194" i="34"/>
  <c r="X14" i="34"/>
  <c r="X16" i="34"/>
  <c r="X18" i="34"/>
  <c r="X20" i="34"/>
  <c r="X22" i="34"/>
  <c r="X24" i="34"/>
  <c r="X25" i="34"/>
  <c r="X27" i="34"/>
  <c r="X67" i="34"/>
  <c r="X71" i="34"/>
  <c r="X75" i="34"/>
  <c r="X29" i="34"/>
  <c r="X31" i="34"/>
  <c r="X33" i="34"/>
  <c r="X35" i="34"/>
  <c r="X37" i="34"/>
  <c r="X39" i="34"/>
  <c r="X41" i="34"/>
  <c r="X43" i="34"/>
  <c r="X45" i="34"/>
  <c r="X47" i="34"/>
  <c r="X49" i="34"/>
  <c r="X51" i="34"/>
  <c r="X53" i="34"/>
  <c r="X55" i="34"/>
  <c r="X57" i="34"/>
  <c r="X59" i="34"/>
  <c r="X61" i="34"/>
  <c r="X63" i="34"/>
  <c r="X66" i="34"/>
  <c r="X70" i="34"/>
  <c r="X74" i="34"/>
  <c r="X77" i="34"/>
  <c r="X79" i="34"/>
  <c r="X81" i="34"/>
  <c r="X83" i="34"/>
  <c r="X85" i="34"/>
  <c r="X87" i="34"/>
  <c r="X89" i="34"/>
  <c r="X91" i="34"/>
  <c r="X93" i="34"/>
  <c r="X95" i="34"/>
  <c r="X97" i="34"/>
  <c r="X99" i="34"/>
  <c r="X101" i="34"/>
  <c r="X103" i="34"/>
  <c r="X105" i="34"/>
  <c r="X107" i="34"/>
  <c r="X109" i="34"/>
  <c r="X111" i="34"/>
  <c r="X113" i="34"/>
  <c r="X115" i="34"/>
  <c r="X117" i="34"/>
  <c r="X119" i="34"/>
  <c r="X121" i="34"/>
  <c r="X123" i="34"/>
  <c r="X125" i="34"/>
  <c r="X127" i="34"/>
  <c r="X129" i="34"/>
  <c r="X131" i="34"/>
  <c r="X133" i="34"/>
  <c r="X135" i="34"/>
  <c r="X137" i="34"/>
  <c r="X139" i="34"/>
  <c r="X141" i="34"/>
  <c r="X143" i="34"/>
  <c r="X145" i="34"/>
  <c r="X147" i="34"/>
  <c r="X149" i="34"/>
  <c r="X151" i="34"/>
  <c r="X153" i="34"/>
  <c r="X155" i="34"/>
  <c r="X157" i="34"/>
  <c r="X159" i="34"/>
  <c r="X161" i="34"/>
  <c r="X163" i="34"/>
  <c r="X165" i="34"/>
  <c r="X167" i="34"/>
  <c r="X169" i="34"/>
  <c r="X171" i="34"/>
  <c r="X173" i="34"/>
  <c r="X175" i="34"/>
  <c r="X177" i="34"/>
  <c r="X179" i="34"/>
  <c r="X181" i="34"/>
  <c r="X183" i="34"/>
  <c r="X185" i="34"/>
  <c r="X187" i="34"/>
  <c r="X189" i="34"/>
  <c r="X191" i="34"/>
  <c r="X193" i="34"/>
  <c r="X195" i="34"/>
  <c r="X197" i="34"/>
  <c r="X199" i="34"/>
  <c r="X290" i="34"/>
  <c r="X294" i="34"/>
  <c r="X298" i="34"/>
  <c r="X302" i="34"/>
  <c r="X306" i="34"/>
  <c r="X310" i="34"/>
  <c r="X314" i="34"/>
  <c r="X318" i="34"/>
  <c r="X322" i="34"/>
  <c r="X326" i="34"/>
  <c r="X330" i="34"/>
  <c r="X334" i="34"/>
  <c r="X338" i="34"/>
  <c r="X342" i="34"/>
  <c r="X346" i="34"/>
  <c r="X350" i="34"/>
  <c r="X354" i="34"/>
  <c r="X358" i="34"/>
  <c r="X362" i="34"/>
  <c r="X366" i="34"/>
  <c r="X370" i="34"/>
  <c r="X374" i="34"/>
  <c r="X378" i="34"/>
  <c r="X381" i="34"/>
  <c r="X385" i="34"/>
  <c r="X389" i="34"/>
  <c r="X393" i="34"/>
  <c r="X397" i="34"/>
  <c r="X401" i="34"/>
  <c r="X405" i="34"/>
  <c r="X412" i="34"/>
  <c r="X415" i="34"/>
  <c r="X417" i="34"/>
  <c r="X420" i="34"/>
  <c r="X424" i="34"/>
  <c r="X428" i="34"/>
  <c r="X432" i="34"/>
  <c r="X436" i="34"/>
  <c r="X440" i="34"/>
  <c r="X444" i="34"/>
  <c r="X448" i="34"/>
  <c r="X452" i="34"/>
  <c r="X456" i="34"/>
  <c r="X460" i="34"/>
  <c r="X464" i="34"/>
  <c r="X468" i="34"/>
  <c r="X472" i="34"/>
  <c r="X478" i="34"/>
  <c r="X482" i="34"/>
  <c r="X486" i="34"/>
  <c r="X490" i="34"/>
  <c r="X494" i="34"/>
  <c r="X200" i="34"/>
  <c r="X202" i="34"/>
  <c r="X204" i="34"/>
  <c r="X206" i="34"/>
  <c r="X208" i="34"/>
  <c r="X210" i="34"/>
  <c r="X212" i="34"/>
  <c r="X214" i="34"/>
  <c r="X216" i="34"/>
  <c r="X218" i="34"/>
  <c r="X220" i="34"/>
  <c r="X222" i="34"/>
  <c r="X224" i="34"/>
  <c r="X226" i="34"/>
  <c r="X228" i="34"/>
  <c r="X230" i="34"/>
  <c r="X232" i="34"/>
  <c r="X234" i="34"/>
  <c r="X236" i="34"/>
  <c r="X238" i="34"/>
  <c r="X240" i="34"/>
  <c r="X242" i="34"/>
  <c r="X244" i="34"/>
  <c r="X246" i="34"/>
  <c r="X248" i="34"/>
  <c r="X250" i="34"/>
  <c r="X252" i="34"/>
  <c r="X254" i="34"/>
  <c r="X256" i="34"/>
  <c r="X258" i="34"/>
  <c r="X260" i="34"/>
  <c r="X262" i="34"/>
  <c r="X264" i="34"/>
  <c r="X266" i="34"/>
  <c r="X268" i="34"/>
  <c r="X270" i="34"/>
  <c r="X272" i="34"/>
  <c r="X274" i="34"/>
  <c r="X276" i="34"/>
  <c r="X278" i="34"/>
  <c r="X280" i="34"/>
  <c r="X282" i="34"/>
  <c r="X284" i="34"/>
  <c r="X286" i="34"/>
  <c r="X289" i="34"/>
  <c r="X293" i="34"/>
  <c r="X297" i="34"/>
  <c r="X301" i="34"/>
  <c r="X305" i="34"/>
  <c r="X309" i="34"/>
  <c r="X313" i="34"/>
  <c r="X317" i="34"/>
  <c r="X321" i="34"/>
  <c r="X325" i="34"/>
  <c r="X329" i="34"/>
  <c r="X333" i="34"/>
  <c r="X337" i="34"/>
  <c r="X341" i="34"/>
  <c r="X345" i="34"/>
  <c r="X349" i="34"/>
  <c r="X353" i="34"/>
  <c r="X357" i="34"/>
  <c r="X361" i="34"/>
  <c r="X365" i="34"/>
  <c r="X369" i="34"/>
  <c r="X373" i="34"/>
  <c r="X377" i="34"/>
  <c r="X384" i="34"/>
  <c r="X388" i="34"/>
  <c r="X392" i="34"/>
  <c r="X396" i="34"/>
  <c r="X400" i="34"/>
  <c r="X404" i="34"/>
  <c r="X411" i="34"/>
  <c r="X419" i="34"/>
  <c r="X423" i="34"/>
  <c r="X427" i="34"/>
  <c r="X431" i="34"/>
  <c r="X435" i="34"/>
  <c r="X439" i="34"/>
  <c r="X443" i="34"/>
  <c r="X447" i="34"/>
  <c r="X451" i="34"/>
  <c r="X455" i="34"/>
  <c r="X459" i="34"/>
  <c r="X198" i="34"/>
  <c r="X288" i="34"/>
  <c r="X292" i="34"/>
  <c r="X296" i="34"/>
  <c r="X300" i="34"/>
  <c r="X304" i="34"/>
  <c r="X308" i="34"/>
  <c r="X312" i="34"/>
  <c r="X316" i="34"/>
  <c r="X320" i="34"/>
  <c r="X324" i="34"/>
  <c r="X328" i="34"/>
  <c r="X332" i="34"/>
  <c r="X336" i="34"/>
  <c r="X340" i="34"/>
  <c r="X344" i="34"/>
  <c r="X348" i="34"/>
  <c r="X352" i="34"/>
  <c r="X356" i="34"/>
  <c r="X360" i="34"/>
  <c r="X364" i="34"/>
  <c r="X368" i="34"/>
  <c r="X372" i="34"/>
  <c r="X376" i="34"/>
  <c r="X380" i="34"/>
  <c r="X383" i="34"/>
  <c r="X387" i="34"/>
  <c r="X391" i="34"/>
  <c r="X395" i="34"/>
  <c r="X399" i="34"/>
  <c r="X403" i="34"/>
  <c r="X410" i="34"/>
  <c r="X414" i="34"/>
  <c r="X416" i="34"/>
  <c r="X418" i="34"/>
  <c r="X422" i="34"/>
  <c r="X426" i="34"/>
  <c r="X430" i="34"/>
  <c r="X434" i="34"/>
  <c r="X438" i="34"/>
  <c r="X442" i="34"/>
  <c r="X196" i="34"/>
  <c r="X201" i="34"/>
  <c r="X203" i="34"/>
  <c r="X205" i="34"/>
  <c r="X207" i="34"/>
  <c r="X209" i="34"/>
  <c r="X211" i="34"/>
  <c r="X213" i="34"/>
  <c r="X215" i="34"/>
  <c r="X217" i="34"/>
  <c r="X219" i="34"/>
  <c r="X221" i="34"/>
  <c r="X223" i="34"/>
  <c r="X225" i="34"/>
  <c r="X227" i="34"/>
  <c r="X229" i="34"/>
  <c r="X231" i="34"/>
  <c r="X233" i="34"/>
  <c r="X235" i="34"/>
  <c r="X237" i="34"/>
  <c r="X239" i="34"/>
  <c r="X241" i="34"/>
  <c r="X243" i="34"/>
  <c r="X245" i="34"/>
  <c r="X247" i="34"/>
  <c r="X249" i="34"/>
  <c r="X251" i="34"/>
  <c r="X253" i="34"/>
  <c r="X255" i="34"/>
  <c r="X257" i="34"/>
  <c r="X259" i="34"/>
  <c r="X261" i="34"/>
  <c r="X263" i="34"/>
  <c r="X265" i="34"/>
  <c r="X267" i="34"/>
  <c r="X269" i="34"/>
  <c r="X271" i="34"/>
  <c r="X273" i="34"/>
  <c r="X275" i="34"/>
  <c r="X277" i="34"/>
  <c r="X279" i="34"/>
  <c r="X281" i="34"/>
  <c r="X283" i="34"/>
  <c r="X285" i="34"/>
  <c r="X287" i="34"/>
  <c r="X291" i="34"/>
  <c r="X295" i="34"/>
  <c r="X299" i="34"/>
  <c r="X303" i="34"/>
  <c r="X307" i="34"/>
  <c r="X311" i="34"/>
  <c r="X315" i="34"/>
  <c r="X319" i="34"/>
  <c r="X323" i="34"/>
  <c r="X327" i="34"/>
  <c r="X331" i="34"/>
  <c r="X335" i="34"/>
  <c r="X339" i="34"/>
  <c r="X343" i="34"/>
  <c r="X347" i="34"/>
  <c r="X351" i="34"/>
  <c r="X355" i="34"/>
  <c r="X359" i="34"/>
  <c r="X363" i="34"/>
  <c r="X367" i="34"/>
  <c r="X371" i="34"/>
  <c r="X375" i="34"/>
  <c r="X379" i="34"/>
  <c r="X382" i="34"/>
  <c r="X386" i="34"/>
  <c r="X390" i="34"/>
  <c r="X394" i="34"/>
  <c r="X398" i="34"/>
  <c r="X402" i="34"/>
  <c r="X406" i="34"/>
  <c r="X413" i="34"/>
  <c r="X421" i="34"/>
  <c r="X425" i="34"/>
  <c r="X429" i="34"/>
  <c r="X433" i="34"/>
  <c r="X437" i="34"/>
  <c r="X441" i="34"/>
  <c r="X445" i="34"/>
  <c r="X449" i="34"/>
  <c r="X453" i="34"/>
  <c r="X457" i="34"/>
  <c r="X461" i="34"/>
  <c r="X465" i="34"/>
  <c r="X469" i="34"/>
  <c r="X473" i="34"/>
  <c r="X475" i="34"/>
  <c r="X458" i="34"/>
  <c r="X463" i="34"/>
  <c r="X471" i="34"/>
  <c r="X481" i="34"/>
  <c r="X484" i="34"/>
  <c r="X487" i="34"/>
  <c r="X497" i="34"/>
  <c r="X501" i="34"/>
  <c r="X505" i="34"/>
  <c r="X509" i="34"/>
  <c r="X513" i="34"/>
  <c r="X517" i="34"/>
  <c r="X521" i="34"/>
  <c r="X525" i="34"/>
  <c r="X529" i="34"/>
  <c r="X535" i="34"/>
  <c r="X539" i="34"/>
  <c r="X543" i="34"/>
  <c r="X547" i="34"/>
  <c r="X551" i="34"/>
  <c r="X555" i="34"/>
  <c r="X559" i="34"/>
  <c r="X563" i="34"/>
  <c r="X567" i="34"/>
  <c r="X571" i="34"/>
  <c r="X575" i="34"/>
  <c r="X579" i="34"/>
  <c r="X587" i="34"/>
  <c r="X591" i="34"/>
  <c r="X595" i="34"/>
  <c r="X599" i="34"/>
  <c r="X603" i="34"/>
  <c r="X607" i="34"/>
  <c r="X613" i="34"/>
  <c r="X615" i="34"/>
  <c r="X617" i="34"/>
  <c r="X621" i="34"/>
  <c r="X623" i="34"/>
  <c r="X626" i="34"/>
  <c r="X630" i="34"/>
  <c r="X634" i="34"/>
  <c r="X638" i="34"/>
  <c r="X642" i="34"/>
  <c r="X646" i="34"/>
  <c r="X650" i="34"/>
  <c r="X654" i="34"/>
  <c r="X658" i="34"/>
  <c r="X662" i="34"/>
  <c r="X666" i="34"/>
  <c r="X670" i="34"/>
  <c r="X674" i="34"/>
  <c r="X678" i="34"/>
  <c r="X682" i="34"/>
  <c r="X686" i="34"/>
  <c r="X688" i="34"/>
  <c r="X690" i="34"/>
  <c r="X692" i="34"/>
  <c r="X694" i="34"/>
  <c r="X696" i="34"/>
  <c r="X698" i="34"/>
  <c r="X700" i="34"/>
  <c r="X702" i="34"/>
  <c r="X705" i="34"/>
  <c r="X709" i="34"/>
  <c r="X713" i="34"/>
  <c r="X717" i="34"/>
  <c r="X721" i="34"/>
  <c r="X725" i="34"/>
  <c r="X729" i="34"/>
  <c r="X733" i="34"/>
  <c r="X737" i="34"/>
  <c r="X741" i="34"/>
  <c r="X745" i="34"/>
  <c r="X749" i="34"/>
  <c r="X768" i="34"/>
  <c r="X772" i="34"/>
  <c r="X776" i="34"/>
  <c r="X780" i="34"/>
  <c r="X784" i="34"/>
  <c r="X788" i="34"/>
  <c r="X792" i="34"/>
  <c r="X796" i="34"/>
  <c r="X798" i="34"/>
  <c r="X801" i="34"/>
  <c r="X805" i="34"/>
  <c r="X446" i="34"/>
  <c r="X462" i="34"/>
  <c r="X470" i="34"/>
  <c r="X477" i="34"/>
  <c r="X480" i="34"/>
  <c r="X483" i="34"/>
  <c r="X493" i="34"/>
  <c r="X496" i="34"/>
  <c r="X500" i="34"/>
  <c r="X504" i="34"/>
  <c r="X508" i="34"/>
  <c r="X512" i="34"/>
  <c r="X516" i="34"/>
  <c r="X520" i="34"/>
  <c r="X524" i="34"/>
  <c r="X528" i="34"/>
  <c r="X531" i="34"/>
  <c r="X534" i="34"/>
  <c r="X538" i="34"/>
  <c r="X542" i="34"/>
  <c r="X546" i="34"/>
  <c r="X550" i="34"/>
  <c r="X554" i="34"/>
  <c r="X558" i="34"/>
  <c r="X562" i="34"/>
  <c r="X566" i="34"/>
  <c r="X570" i="34"/>
  <c r="X574" i="34"/>
  <c r="X578" i="34"/>
  <c r="X581" i="34"/>
  <c r="X583" i="34"/>
  <c r="X586" i="34"/>
  <c r="X590" i="34"/>
  <c r="X594" i="34"/>
  <c r="X598" i="34"/>
  <c r="X602" i="34"/>
  <c r="X606" i="34"/>
  <c r="X609" i="34"/>
  <c r="X612" i="34"/>
  <c r="X620" i="34"/>
  <c r="X625" i="34"/>
  <c r="X629" i="34"/>
  <c r="X633" i="34"/>
  <c r="X637" i="34"/>
  <c r="X641" i="34"/>
  <c r="X645" i="34"/>
  <c r="X649" i="34"/>
  <c r="X653" i="34"/>
  <c r="X657" i="34"/>
  <c r="X661" i="34"/>
  <c r="X665" i="34"/>
  <c r="X669" i="34"/>
  <c r="X673" i="34"/>
  <c r="X677" i="34"/>
  <c r="X681" i="34"/>
  <c r="X685" i="34"/>
  <c r="X704" i="34"/>
  <c r="X708" i="34"/>
  <c r="X712" i="34"/>
  <c r="X716" i="34"/>
  <c r="X720" i="34"/>
  <c r="X724" i="34"/>
  <c r="X728" i="34"/>
  <c r="X732" i="34"/>
  <c r="X736" i="34"/>
  <c r="X740" i="34"/>
  <c r="X744" i="34"/>
  <c r="X748" i="34"/>
  <c r="X752" i="34"/>
  <c r="X754" i="34"/>
  <c r="X756" i="34"/>
  <c r="X758" i="34"/>
  <c r="X760" i="34"/>
  <c r="X763" i="34"/>
  <c r="X765" i="34"/>
  <c r="X767" i="34"/>
  <c r="X450" i="34"/>
  <c r="X467" i="34"/>
  <c r="X474" i="34"/>
  <c r="X476" i="34"/>
  <c r="X479" i="34"/>
  <c r="X489" i="34"/>
  <c r="X492" i="34"/>
  <c r="X495" i="34"/>
  <c r="X499" i="34"/>
  <c r="X503" i="34"/>
  <c r="X507" i="34"/>
  <c r="X511" i="34"/>
  <c r="X515" i="34"/>
  <c r="X519" i="34"/>
  <c r="X523" i="34"/>
  <c r="X527" i="34"/>
  <c r="X533" i="34"/>
  <c r="X537" i="34"/>
  <c r="X541" i="34"/>
  <c r="X545" i="34"/>
  <c r="X549" i="34"/>
  <c r="X553" i="34"/>
  <c r="X557" i="34"/>
  <c r="X561" i="34"/>
  <c r="X565" i="34"/>
  <c r="X569" i="34"/>
  <c r="X573" i="34"/>
  <c r="X577" i="34"/>
  <c r="X585" i="34"/>
  <c r="X589" i="34"/>
  <c r="X593" i="34"/>
  <c r="X597" i="34"/>
  <c r="X601" i="34"/>
  <c r="X605" i="34"/>
  <c r="X611" i="34"/>
  <c r="X614" i="34"/>
  <c r="X616" i="34"/>
  <c r="X619" i="34"/>
  <c r="X622" i="34"/>
  <c r="X624" i="34"/>
  <c r="X628" i="34"/>
  <c r="X632" i="34"/>
  <c r="X636" i="34"/>
  <c r="X640" i="34"/>
  <c r="X644" i="34"/>
  <c r="X648" i="34"/>
  <c r="X652" i="34"/>
  <c r="X656" i="34"/>
  <c r="X660" i="34"/>
  <c r="X664" i="34"/>
  <c r="X668" i="34"/>
  <c r="X672" i="34"/>
  <c r="X676" i="34"/>
  <c r="X680" i="34"/>
  <c r="X684" i="34"/>
  <c r="X687" i="34"/>
  <c r="X689" i="34"/>
  <c r="X691" i="34"/>
  <c r="X693" i="34"/>
  <c r="X695" i="34"/>
  <c r="X697" i="34"/>
  <c r="X699" i="34"/>
  <c r="X701" i="34"/>
  <c r="X703" i="34"/>
  <c r="X707" i="34"/>
  <c r="X711" i="34"/>
  <c r="X715" i="34"/>
  <c r="X719" i="34"/>
  <c r="X723" i="34"/>
  <c r="X727" i="34"/>
  <c r="X731" i="34"/>
  <c r="X735" i="34"/>
  <c r="X739" i="34"/>
  <c r="X743" i="34"/>
  <c r="X747" i="34"/>
  <c r="X751" i="34"/>
  <c r="X454" i="34"/>
  <c r="X466" i="34"/>
  <c r="X485" i="34"/>
  <c r="X488" i="34"/>
  <c r="X491" i="34"/>
  <c r="X498" i="34"/>
  <c r="X502" i="34"/>
  <c r="X506" i="34"/>
  <c r="X510" i="34"/>
  <c r="X514" i="34"/>
  <c r="X518" i="34"/>
  <c r="X522" i="34"/>
  <c r="X526" i="34"/>
  <c r="X530" i="34"/>
  <c r="X532" i="34"/>
  <c r="X536" i="34"/>
  <c r="X540" i="34"/>
  <c r="X544" i="34"/>
  <c r="X548" i="34"/>
  <c r="X552" i="34"/>
  <c r="X556" i="34"/>
  <c r="X560" i="34"/>
  <c r="X564" i="34"/>
  <c r="X568" i="34"/>
  <c r="X572" i="34"/>
  <c r="X576" i="34"/>
  <c r="X580" i="34"/>
  <c r="X582" i="34"/>
  <c r="X584" i="34"/>
  <c r="X588" i="34"/>
  <c r="X592" i="34"/>
  <c r="X596" i="34"/>
  <c r="X600" i="34"/>
  <c r="X604" i="34"/>
  <c r="X608" i="34"/>
  <c r="X610" i="34"/>
  <c r="X618" i="34"/>
  <c r="X627" i="34"/>
  <c r="X631" i="34"/>
  <c r="X635" i="34"/>
  <c r="X639" i="34"/>
  <c r="X643" i="34"/>
  <c r="X647" i="34"/>
  <c r="X651" i="34"/>
  <c r="X655" i="34"/>
  <c r="X659" i="34"/>
  <c r="X663" i="34"/>
  <c r="X667" i="34"/>
  <c r="X671" i="34"/>
  <c r="X675" i="34"/>
  <c r="X679" i="34"/>
  <c r="X683" i="34"/>
  <c r="X706" i="34"/>
  <c r="X710" i="34"/>
  <c r="X714" i="34"/>
  <c r="X718" i="34"/>
  <c r="X722" i="34"/>
  <c r="X726" i="34"/>
  <c r="X730" i="34"/>
  <c r="X734" i="34"/>
  <c r="X738" i="34"/>
  <c r="X742" i="34"/>
  <c r="X746" i="34"/>
  <c r="X750" i="34"/>
  <c r="X753" i="34"/>
  <c r="X755" i="34"/>
  <c r="X757" i="34"/>
  <c r="X759" i="34"/>
  <c r="X761" i="34"/>
  <c r="X764" i="34"/>
  <c r="X766" i="34"/>
  <c r="X769" i="34"/>
  <c r="X773" i="34"/>
  <c r="X775" i="34"/>
  <c r="X778" i="34"/>
  <c r="X781" i="34"/>
  <c r="X791" i="34"/>
  <c r="X794" i="34"/>
  <c r="X804" i="34"/>
  <c r="X806" i="34"/>
  <c r="X809" i="34"/>
  <c r="X813" i="34"/>
  <c r="X817" i="34"/>
  <c r="X821" i="34"/>
  <c r="X825" i="34"/>
  <c r="X828" i="34"/>
  <c r="X830" i="34"/>
  <c r="X832" i="34"/>
  <c r="X834" i="34"/>
  <c r="X836" i="34"/>
  <c r="X838" i="34"/>
  <c r="X840" i="34"/>
  <c r="X842" i="34"/>
  <c r="X845" i="34"/>
  <c r="X847" i="34"/>
  <c r="X848" i="34"/>
  <c r="X850" i="34"/>
  <c r="X852" i="34"/>
  <c r="X854" i="34"/>
  <c r="X856" i="34"/>
  <c r="X858" i="34"/>
  <c r="X860" i="34"/>
  <c r="X862" i="34"/>
  <c r="X864" i="34"/>
  <c r="X866" i="34"/>
  <c r="X868" i="34"/>
  <c r="X870" i="34"/>
  <c r="X872" i="34"/>
  <c r="X874" i="34"/>
  <c r="X876" i="34"/>
  <c r="X878" i="34"/>
  <c r="X880" i="34"/>
  <c r="X882" i="34"/>
  <c r="X884" i="34"/>
  <c r="X886" i="34"/>
  <c r="X888" i="34"/>
  <c r="X890" i="34"/>
  <c r="X892" i="34"/>
  <c r="X894" i="34"/>
  <c r="X896" i="34"/>
  <c r="X898" i="34"/>
  <c r="X900" i="34"/>
  <c r="X902" i="34"/>
  <c r="X904" i="34"/>
  <c r="X906" i="34"/>
  <c r="X908" i="34"/>
  <c r="X910" i="34"/>
  <c r="X912" i="34"/>
  <c r="X914" i="34"/>
  <c r="X916" i="34"/>
  <c r="X918" i="34"/>
  <c r="X920" i="34"/>
  <c r="X922" i="34"/>
  <c r="X962" i="34"/>
  <c r="X964" i="34"/>
  <c r="X966" i="34"/>
  <c r="X968" i="34"/>
  <c r="X970" i="34"/>
  <c r="X972" i="34"/>
  <c r="X974" i="34"/>
  <c r="X976" i="34"/>
  <c r="X978" i="34"/>
  <c r="X980" i="34"/>
  <c r="X982" i="34"/>
  <c r="X984" i="34"/>
  <c r="X986" i="34"/>
  <c r="X988" i="34"/>
  <c r="X1011" i="34"/>
  <c r="X1013" i="34"/>
  <c r="X1015" i="34"/>
  <c r="X1017" i="34"/>
  <c r="X1019" i="34"/>
  <c r="X1021" i="34"/>
  <c r="X1023" i="34"/>
  <c r="X1025" i="34"/>
  <c r="X1027" i="34"/>
  <c r="X1029" i="34"/>
  <c r="X1031" i="34"/>
  <c r="X1033" i="34"/>
  <c r="X1035" i="34"/>
  <c r="X1037" i="34"/>
  <c r="X1039" i="34"/>
  <c r="X1041" i="34"/>
  <c r="X1043" i="34"/>
  <c r="X1047" i="34"/>
  <c r="X1048" i="34"/>
  <c r="X1050" i="34"/>
  <c r="X1046" i="34"/>
  <c r="X1053" i="34"/>
  <c r="X774" i="34"/>
  <c r="X777" i="34"/>
  <c r="X787" i="34"/>
  <c r="X790" i="34"/>
  <c r="X793" i="34"/>
  <c r="X800" i="34"/>
  <c r="X803" i="34"/>
  <c r="X808" i="34"/>
  <c r="X812" i="34"/>
  <c r="X816" i="34"/>
  <c r="X820" i="34"/>
  <c r="X824" i="34"/>
  <c r="X762" i="34"/>
  <c r="X771" i="34"/>
  <c r="X783" i="34"/>
  <c r="X786" i="34"/>
  <c r="X789" i="34"/>
  <c r="X799" i="34"/>
  <c r="X802" i="34"/>
  <c r="X807" i="34"/>
  <c r="X811" i="34"/>
  <c r="X815" i="34"/>
  <c r="X819" i="34"/>
  <c r="X823" i="34"/>
  <c r="X827" i="34"/>
  <c r="X829" i="34"/>
  <c r="X831" i="34"/>
  <c r="X833" i="34"/>
  <c r="X835" i="34"/>
  <c r="X837" i="34"/>
  <c r="X839" i="34"/>
  <c r="X841" i="34"/>
  <c r="X844" i="34"/>
  <c r="X846" i="34"/>
  <c r="X849" i="34"/>
  <c r="X851" i="34"/>
  <c r="X853" i="34"/>
  <c r="X855" i="34"/>
  <c r="X857" i="34"/>
  <c r="X859" i="34"/>
  <c r="X861" i="34"/>
  <c r="X863" i="34"/>
  <c r="X865" i="34"/>
  <c r="X867" i="34"/>
  <c r="X869" i="34"/>
  <c r="X871" i="34"/>
  <c r="X873" i="34"/>
  <c r="X875" i="34"/>
  <c r="X877" i="34"/>
  <c r="X879" i="34"/>
  <c r="X881" i="34"/>
  <c r="X883" i="34"/>
  <c r="X885" i="34"/>
  <c r="X887" i="34"/>
  <c r="X889" i="34"/>
  <c r="X891" i="34"/>
  <c r="X893" i="34"/>
  <c r="X895" i="34"/>
  <c r="X897" i="34"/>
  <c r="X899" i="34"/>
  <c r="X901" i="34"/>
  <c r="X903" i="34"/>
  <c r="X905" i="34"/>
  <c r="X907" i="34"/>
  <c r="X909" i="34"/>
  <c r="X911" i="34"/>
  <c r="X913" i="34"/>
  <c r="X915" i="34"/>
  <c r="X917" i="34"/>
  <c r="X919" i="34"/>
  <c r="X921" i="34"/>
  <c r="X923" i="34"/>
  <c r="X963" i="34"/>
  <c r="X965" i="34"/>
  <c r="X967" i="34"/>
  <c r="X969" i="34"/>
  <c r="X971" i="34"/>
  <c r="X973" i="34"/>
  <c r="X975" i="34"/>
  <c r="X977" i="34"/>
  <c r="X979" i="34"/>
  <c r="X981" i="34"/>
  <c r="X983" i="34"/>
  <c r="X985" i="34"/>
  <c r="X987" i="34"/>
  <c r="X1010" i="34"/>
  <c r="X1012" i="34"/>
  <c r="X1014" i="34"/>
  <c r="X1016" i="34"/>
  <c r="X1018" i="34"/>
  <c r="X1020" i="34"/>
  <c r="X1022" i="34"/>
  <c r="X1024" i="34"/>
  <c r="X1026" i="34"/>
  <c r="X1028" i="34"/>
  <c r="X1030" i="34"/>
  <c r="X770" i="34"/>
  <c r="X779" i="34"/>
  <c r="X782" i="34"/>
  <c r="X785" i="34"/>
  <c r="X795" i="34"/>
  <c r="X797" i="34"/>
  <c r="X810" i="34"/>
  <c r="X814" i="34"/>
  <c r="X818" i="34"/>
  <c r="X822" i="34"/>
  <c r="X826" i="34"/>
  <c r="X843" i="34"/>
  <c r="X1038" i="34"/>
  <c r="X1045" i="34"/>
  <c r="X1054" i="34"/>
  <c r="X1056" i="34"/>
  <c r="X1058" i="34"/>
  <c r="X1060" i="34"/>
  <c r="X1062" i="34"/>
  <c r="X1064" i="34"/>
  <c r="X1066" i="34"/>
  <c r="X1068" i="34"/>
  <c r="X1070" i="34"/>
  <c r="X1072" i="34"/>
  <c r="X1074" i="34"/>
  <c r="X1076" i="34"/>
  <c r="X1078" i="34"/>
  <c r="X1080" i="34"/>
  <c r="X1082" i="34"/>
  <c r="X1084" i="34"/>
  <c r="X1086" i="34"/>
  <c r="X1088" i="34"/>
  <c r="X1090" i="34"/>
  <c r="X1092" i="34"/>
  <c r="X1094" i="34"/>
  <c r="X1096" i="34"/>
  <c r="X1098" i="34"/>
  <c r="X1100" i="34"/>
  <c r="X1102" i="34"/>
  <c r="X1143" i="34"/>
  <c r="X1145" i="34"/>
  <c r="X1147" i="34"/>
  <c r="X1149" i="34"/>
  <c r="X1151" i="34"/>
  <c r="X1153" i="34"/>
  <c r="X1155" i="34"/>
  <c r="X1157" i="34"/>
  <c r="X1159" i="34"/>
  <c r="X1161" i="34"/>
  <c r="X1163" i="34"/>
  <c r="X1165" i="34"/>
  <c r="X1167" i="34"/>
  <c r="X1169" i="34"/>
  <c r="X1171" i="34"/>
  <c r="X1173" i="34"/>
  <c r="X1175" i="34"/>
  <c r="X1177" i="34"/>
  <c r="X1179" i="34"/>
  <c r="X1181" i="34"/>
  <c r="X1183" i="34"/>
  <c r="X1185" i="34"/>
  <c r="X1187" i="34"/>
  <c r="X1189" i="34"/>
  <c r="X1191" i="34"/>
  <c r="X1193" i="34"/>
  <c r="X1195" i="34"/>
  <c r="X1197" i="34"/>
  <c r="X1199" i="34"/>
  <c r="X1201" i="34"/>
  <c r="X1203" i="34"/>
  <c r="X1205" i="34"/>
  <c r="X1207" i="34"/>
  <c r="X1209" i="34"/>
  <c r="X1211" i="34"/>
  <c r="X1213" i="34"/>
  <c r="X1215" i="34"/>
  <c r="X1217" i="34"/>
  <c r="X1219" i="34"/>
  <c r="X1221" i="34"/>
  <c r="X1223" i="34"/>
  <c r="X1225" i="34"/>
  <c r="X1267" i="34"/>
  <c r="X1269" i="34"/>
  <c r="X1271" i="34"/>
  <c r="X1273" i="34"/>
  <c r="X1275" i="34"/>
  <c r="X1277" i="34"/>
  <c r="X1279" i="34"/>
  <c r="X1281" i="34"/>
  <c r="X1283" i="34"/>
  <c r="X1285" i="34"/>
  <c r="X1287" i="34"/>
  <c r="X1289" i="34"/>
  <c r="X1291" i="34"/>
  <c r="X1293" i="34"/>
  <c r="X1295" i="34"/>
  <c r="X1297" i="34"/>
  <c r="X1299" i="34"/>
  <c r="X1301" i="34"/>
  <c r="X1303" i="34"/>
  <c r="X1305" i="34"/>
  <c r="X1307" i="34"/>
  <c r="X1309" i="34"/>
  <c r="X1311" i="34"/>
  <c r="X1313" i="34"/>
  <c r="X1315" i="34"/>
  <c r="X1317" i="34"/>
  <c r="X1319" i="34"/>
  <c r="X1321" i="34"/>
  <c r="X1323" i="34"/>
  <c r="X1325" i="34"/>
  <c r="X1327" i="34"/>
  <c r="X1329" i="34"/>
  <c r="X1331" i="34"/>
  <c r="X1333" i="34"/>
  <c r="X1335" i="34"/>
  <c r="X1337" i="34"/>
  <c r="X1339" i="34"/>
  <c r="X1341" i="34"/>
  <c r="X1343" i="34"/>
  <c r="X1345" i="34"/>
  <c r="X1347" i="34"/>
  <c r="X1349" i="34"/>
  <c r="X1351" i="34"/>
  <c r="X1353" i="34"/>
  <c r="X1355" i="34"/>
  <c r="X1357" i="34"/>
  <c r="X1359" i="34"/>
  <c r="X1361" i="34"/>
  <c r="X1363" i="34"/>
  <c r="X1365" i="34"/>
  <c r="X1367" i="34"/>
  <c r="X1369" i="34"/>
  <c r="X1371" i="34"/>
  <c r="X1373" i="34"/>
  <c r="X1375" i="34"/>
  <c r="X1377" i="34"/>
  <c r="X1379" i="34"/>
  <c r="X1381" i="34"/>
  <c r="X1383" i="34"/>
  <c r="X1385" i="34"/>
  <c r="X1430" i="34"/>
  <c r="X1432" i="34"/>
  <c r="X1434" i="34"/>
  <c r="X1436" i="34"/>
  <c r="X1438" i="34"/>
  <c r="X1440" i="34"/>
  <c r="X1442" i="34"/>
  <c r="X1444" i="34"/>
  <c r="X1446" i="34"/>
  <c r="X1448" i="34"/>
  <c r="X1450" i="34"/>
  <c r="X1452" i="34"/>
  <c r="X1454" i="34"/>
  <c r="X1456" i="34"/>
  <c r="X1458" i="34"/>
  <c r="X1460" i="34"/>
  <c r="X1462" i="34"/>
  <c r="X1464" i="34"/>
  <c r="X1466" i="34"/>
  <c r="X1468" i="34"/>
  <c r="X1470" i="34"/>
  <c r="X1472" i="34"/>
  <c r="X1474" i="34"/>
  <c r="X1476" i="34"/>
  <c r="X1478" i="34"/>
  <c r="X1480" i="34"/>
  <c r="X1482" i="34"/>
  <c r="X1484" i="34"/>
  <c r="X1486" i="34"/>
  <c r="X1488" i="34"/>
  <c r="X1490" i="34"/>
  <c r="X1492" i="34"/>
  <c r="X1494" i="34"/>
  <c r="X1496" i="34"/>
  <c r="X1498" i="34"/>
  <c r="X1500" i="34"/>
  <c r="X1502" i="34"/>
  <c r="X1504" i="34"/>
  <c r="X1506" i="34"/>
  <c r="X1508" i="34"/>
  <c r="X1510" i="34"/>
  <c r="X1036" i="34"/>
  <c r="X1044" i="34"/>
  <c r="X1052" i="34"/>
  <c r="X1034" i="34"/>
  <c r="X1042" i="34"/>
  <c r="X1051" i="34"/>
  <c r="X1055" i="34"/>
  <c r="X1057" i="34"/>
  <c r="X1059" i="34"/>
  <c r="X1061" i="34"/>
  <c r="X1063" i="34"/>
  <c r="X1065" i="34"/>
  <c r="X1067" i="34"/>
  <c r="X1069" i="34"/>
  <c r="X1071" i="34"/>
  <c r="X1073" i="34"/>
  <c r="X1075" i="34"/>
  <c r="X1077" i="34"/>
  <c r="X1079" i="34"/>
  <c r="X1081" i="34"/>
  <c r="X1083" i="34"/>
  <c r="X1085" i="34"/>
  <c r="X1087" i="34"/>
  <c r="X1089" i="34"/>
  <c r="X1091" i="34"/>
  <c r="X1093" i="34"/>
  <c r="X1095" i="34"/>
  <c r="X1097" i="34"/>
  <c r="X1099" i="34"/>
  <c r="X1101" i="34"/>
  <c r="X1103" i="34"/>
  <c r="X1144" i="34"/>
  <c r="X1146" i="34"/>
  <c r="X1148" i="34"/>
  <c r="X1150" i="34"/>
  <c r="X1152" i="34"/>
  <c r="X1154" i="34"/>
  <c r="X1156" i="34"/>
  <c r="X1158" i="34"/>
  <c r="X1160" i="34"/>
  <c r="X1162" i="34"/>
  <c r="X1164" i="34"/>
  <c r="X1166" i="34"/>
  <c r="X1168" i="34"/>
  <c r="X1170" i="34"/>
  <c r="X1172" i="34"/>
  <c r="X1174" i="34"/>
  <c r="X1176" i="34"/>
  <c r="X1178" i="34"/>
  <c r="X1180" i="34"/>
  <c r="X1182" i="34"/>
  <c r="X1184" i="34"/>
  <c r="X1186" i="34"/>
  <c r="X1188" i="34"/>
  <c r="X1190" i="34"/>
  <c r="X1192" i="34"/>
  <c r="X1194" i="34"/>
  <c r="X1196" i="34"/>
  <c r="X1198" i="34"/>
  <c r="X1200" i="34"/>
  <c r="X1202" i="34"/>
  <c r="X1204" i="34"/>
  <c r="X1206" i="34"/>
  <c r="X1208" i="34"/>
  <c r="X1210" i="34"/>
  <c r="X1212" i="34"/>
  <c r="X1214" i="34"/>
  <c r="X1216" i="34"/>
  <c r="X1218" i="34"/>
  <c r="X1220" i="34"/>
  <c r="X1222" i="34"/>
  <c r="X1224" i="34"/>
  <c r="X1226" i="34"/>
  <c r="X1268" i="34"/>
  <c r="X1270" i="34"/>
  <c r="X1272" i="34"/>
  <c r="X1274" i="34"/>
  <c r="X1276" i="34"/>
  <c r="X1278" i="34"/>
  <c r="X1280" i="34"/>
  <c r="X1282" i="34"/>
  <c r="X1284" i="34"/>
  <c r="X1286" i="34"/>
  <c r="X1288" i="34"/>
  <c r="X1290" i="34"/>
  <c r="X1292" i="34"/>
  <c r="X1294" i="34"/>
  <c r="X1296" i="34"/>
  <c r="X1298" i="34"/>
  <c r="X1300" i="34"/>
  <c r="X1302" i="34"/>
  <c r="X1304" i="34"/>
  <c r="X1306" i="34"/>
  <c r="X1308" i="34"/>
  <c r="X1310" i="34"/>
  <c r="X1312" i="34"/>
  <c r="X1314" i="34"/>
  <c r="X1316" i="34"/>
  <c r="X1318" i="34"/>
  <c r="X1320" i="34"/>
  <c r="X1322" i="34"/>
  <c r="X1324" i="34"/>
  <c r="X1326" i="34"/>
  <c r="X1328" i="34"/>
  <c r="X1330" i="34"/>
  <c r="X1332" i="34"/>
  <c r="X1334" i="34"/>
  <c r="X1336" i="34"/>
  <c r="X1338" i="34"/>
  <c r="X1340" i="34"/>
  <c r="X1342" i="34"/>
  <c r="X1344" i="34"/>
  <c r="X1346" i="34"/>
  <c r="X1348" i="34"/>
  <c r="X1350" i="34"/>
  <c r="X1352" i="34"/>
  <c r="X1354" i="34"/>
  <c r="X1356" i="34"/>
  <c r="X1358" i="34"/>
  <c r="X1360" i="34"/>
  <c r="X1362" i="34"/>
  <c r="X1364" i="34"/>
  <c r="X1366" i="34"/>
  <c r="X1368" i="34"/>
  <c r="X1370" i="34"/>
  <c r="X1372" i="34"/>
  <c r="X1374" i="34"/>
  <c r="X1376" i="34"/>
  <c r="X1378" i="34"/>
  <c r="X1380" i="34"/>
  <c r="X1382" i="34"/>
  <c r="X1384" i="34"/>
  <c r="X1429" i="34"/>
  <c r="X1431" i="34"/>
  <c r="X1433" i="34"/>
  <c r="X1435" i="34"/>
  <c r="X1437" i="34"/>
  <c r="X1439" i="34"/>
  <c r="X1441" i="34"/>
  <c r="X1443" i="34"/>
  <c r="X1445" i="34"/>
  <c r="X1447" i="34"/>
  <c r="X1449" i="34"/>
  <c r="X1451" i="34"/>
  <c r="X1453" i="34"/>
  <c r="X1455" i="34"/>
  <c r="X1457" i="34"/>
  <c r="X1459" i="34"/>
  <c r="X1461" i="34"/>
  <c r="X1463" i="34"/>
  <c r="X1465" i="34"/>
  <c r="X1032" i="34"/>
  <c r="X1040" i="34"/>
  <c r="X1049" i="34"/>
  <c r="X1467" i="34"/>
  <c r="X1475" i="34"/>
  <c r="X1483" i="34"/>
  <c r="X1491" i="34"/>
  <c r="X1499" i="34"/>
  <c r="X1507" i="34"/>
  <c r="X1512" i="34"/>
  <c r="X1514" i="34"/>
  <c r="X1516" i="34"/>
  <c r="X1518" i="34"/>
  <c r="X1520" i="34"/>
  <c r="X1522" i="34"/>
  <c r="X1524" i="34"/>
  <c r="X1526" i="34"/>
  <c r="X1528" i="34"/>
  <c r="X1530" i="34"/>
  <c r="X1532" i="34"/>
  <c r="X1534" i="34"/>
  <c r="X1536" i="34"/>
  <c r="X1538" i="34"/>
  <c r="X1540" i="34"/>
  <c r="X1542" i="34"/>
  <c r="X1544" i="34"/>
  <c r="X1546" i="34"/>
  <c r="X1548" i="34"/>
  <c r="X1550" i="34"/>
  <c r="X1552" i="34"/>
  <c r="X1554" i="34"/>
  <c r="X1556" i="34"/>
  <c r="X1558" i="34"/>
  <c r="X1616" i="34"/>
  <c r="X1618" i="34"/>
  <c r="X1620" i="34"/>
  <c r="X1622" i="34"/>
  <c r="X1624" i="34"/>
  <c r="X1626" i="34"/>
  <c r="X1628" i="34"/>
  <c r="X1630" i="34"/>
  <c r="X1632" i="34"/>
  <c r="X1634" i="34"/>
  <c r="X1636" i="34"/>
  <c r="X1638" i="34"/>
  <c r="X1640" i="34"/>
  <c r="X1642" i="34"/>
  <c r="X1644" i="34"/>
  <c r="X1646" i="34"/>
  <c r="X1648" i="34"/>
  <c r="X1650" i="34"/>
  <c r="X1652" i="34"/>
  <c r="X1654" i="34"/>
  <c r="X1656" i="34"/>
  <c r="X1658" i="34"/>
  <c r="X1660" i="34"/>
  <c r="X1663" i="34"/>
  <c r="X1665" i="34"/>
  <c r="X1667" i="34"/>
  <c r="X1669" i="34"/>
  <c r="X1671" i="34"/>
  <c r="X1673" i="34"/>
  <c r="X1675" i="34"/>
  <c r="X1677" i="34"/>
  <c r="X1679" i="34"/>
  <c r="X1681" i="34"/>
  <c r="X1683" i="34"/>
  <c r="X1685" i="34"/>
  <c r="X1687" i="34"/>
  <c r="X1689" i="34"/>
  <c r="X1691" i="34"/>
  <c r="X1693" i="34"/>
  <c r="X1695" i="34"/>
  <c r="X1697" i="34"/>
  <c r="X1699" i="34"/>
  <c r="X1701" i="34"/>
  <c r="X1703" i="34"/>
  <c r="X1705" i="34"/>
  <c r="X1707" i="34"/>
  <c r="X1709" i="34"/>
  <c r="X1711" i="34"/>
  <c r="X1713" i="34"/>
  <c r="X1715" i="34"/>
  <c r="X1717" i="34"/>
  <c r="X1719" i="34"/>
  <c r="X1721" i="34"/>
  <c r="X1751" i="34"/>
  <c r="X1753" i="34"/>
  <c r="X1755" i="34"/>
  <c r="X1757" i="34"/>
  <c r="X1759" i="34"/>
  <c r="X1761" i="34"/>
  <c r="X1763" i="34"/>
  <c r="X1765" i="34"/>
  <c r="X1767" i="34"/>
  <c r="X1769" i="34"/>
  <c r="X1771" i="34"/>
  <c r="X1773" i="34"/>
  <c r="X1775" i="34"/>
  <c r="X1777" i="34"/>
  <c r="X1779" i="34"/>
  <c r="X1781" i="34"/>
  <c r="X1783" i="34"/>
  <c r="X1785" i="34"/>
  <c r="X1787" i="34"/>
  <c r="X1789" i="34"/>
  <c r="X1791" i="34"/>
  <c r="X1793" i="34"/>
  <c r="X1795" i="34"/>
  <c r="X1797" i="34"/>
  <c r="X1799" i="34"/>
  <c r="X1801" i="34"/>
  <c r="X1803" i="34"/>
  <c r="X1805" i="34"/>
  <c r="X1807" i="34"/>
  <c r="X1824" i="34"/>
  <c r="X1826" i="34"/>
  <c r="X1828" i="34"/>
  <c r="X1830" i="34"/>
  <c r="X1832" i="34"/>
  <c r="X1834" i="34"/>
  <c r="X1836" i="34"/>
  <c r="X1838" i="34"/>
  <c r="X1840" i="34"/>
  <c r="X1842" i="34"/>
  <c r="X1844" i="34"/>
  <c r="X1846" i="34"/>
  <c r="X1848" i="34"/>
  <c r="X1850" i="34"/>
  <c r="X1852" i="34"/>
  <c r="X1854" i="34"/>
  <c r="X1856" i="34"/>
  <c r="X1858" i="34"/>
  <c r="X1860" i="34"/>
  <c r="X1862" i="34"/>
  <c r="X1864" i="34"/>
  <c r="X1866" i="34"/>
  <c r="X1868" i="34"/>
  <c r="X1870" i="34"/>
  <c r="X1872" i="34"/>
  <c r="X1874" i="34"/>
  <c r="X1876" i="34"/>
  <c r="X1878" i="34"/>
  <c r="X1880" i="34"/>
  <c r="X1882" i="34"/>
  <c r="X1884" i="34"/>
  <c r="X1886" i="34"/>
  <c r="X1888" i="34"/>
  <c r="X1890" i="34"/>
  <c r="X1892" i="34"/>
  <c r="X1894" i="34"/>
  <c r="X1896" i="34"/>
  <c r="X1898" i="34"/>
  <c r="X1900" i="34"/>
  <c r="X1902" i="34"/>
  <c r="X1904" i="34"/>
  <c r="X1906" i="34"/>
  <c r="X1908" i="34"/>
  <c r="X1910" i="34"/>
  <c r="X1912" i="34"/>
  <c r="X1914" i="34"/>
  <c r="X1916" i="34"/>
  <c r="X1918" i="34"/>
  <c r="X1920" i="34"/>
  <c r="X1922" i="34"/>
  <c r="X1924" i="34"/>
  <c r="X1926" i="34"/>
  <c r="X1928" i="34"/>
  <c r="X1930" i="34"/>
  <c r="X1932" i="34"/>
  <c r="X1934" i="34"/>
  <c r="X1936" i="34"/>
  <c r="X1938" i="34"/>
  <c r="X1940" i="34"/>
  <c r="X1942" i="34"/>
  <c r="X1944" i="34"/>
  <c r="X1946" i="34"/>
  <c r="X1948" i="34"/>
  <c r="X1950" i="34"/>
  <c r="X1952" i="34"/>
  <c r="X1954" i="34"/>
  <c r="X1956" i="34"/>
  <c r="X1995" i="34"/>
  <c r="X1997" i="34"/>
  <c r="X1999" i="34"/>
  <c r="X2001" i="34"/>
  <c r="X2003" i="34"/>
  <c r="X2005" i="34"/>
  <c r="X2007" i="34"/>
  <c r="X2009" i="34"/>
  <c r="X2011" i="34"/>
  <c r="X2013" i="34"/>
  <c r="X2015" i="34"/>
  <c r="X2017" i="34"/>
  <c r="X2019" i="34"/>
  <c r="X2021" i="34"/>
  <c r="X2023" i="34"/>
  <c r="X2025" i="34"/>
  <c r="X2027" i="34"/>
  <c r="X2029" i="34"/>
  <c r="X1473" i="34"/>
  <c r="X1481" i="34"/>
  <c r="X1489" i="34"/>
  <c r="X1497" i="34"/>
  <c r="X1505" i="34"/>
  <c r="X1471" i="34"/>
  <c r="X1479" i="34"/>
  <c r="X1487" i="34"/>
  <c r="X1495" i="34"/>
  <c r="X1503" i="34"/>
  <c r="X1511" i="34"/>
  <c r="X1513" i="34"/>
  <c r="X1515" i="34"/>
  <c r="X1517" i="34"/>
  <c r="X1519" i="34"/>
  <c r="X1521" i="34"/>
  <c r="X1523" i="34"/>
  <c r="X1525" i="34"/>
  <c r="X1527" i="34"/>
  <c r="X1529" i="34"/>
  <c r="X1531" i="34"/>
  <c r="X1533" i="34"/>
  <c r="X1535" i="34"/>
  <c r="X1537" i="34"/>
  <c r="X1539" i="34"/>
  <c r="X1541" i="34"/>
  <c r="X1543" i="34"/>
  <c r="X1545" i="34"/>
  <c r="X1547" i="34"/>
  <c r="X1549" i="34"/>
  <c r="X1551" i="34"/>
  <c r="X1553" i="34"/>
  <c r="X1555" i="34"/>
  <c r="X1557" i="34"/>
  <c r="X1615" i="34"/>
  <c r="X1617" i="34"/>
  <c r="X1619" i="34"/>
  <c r="X1621" i="34"/>
  <c r="X1623" i="34"/>
  <c r="X1625" i="34"/>
  <c r="X1627" i="34"/>
  <c r="X1629" i="34"/>
  <c r="X1631" i="34"/>
  <c r="X1633" i="34"/>
  <c r="X1635" i="34"/>
  <c r="X1637" i="34"/>
  <c r="X1639" i="34"/>
  <c r="X1641" i="34"/>
  <c r="X1643" i="34"/>
  <c r="X1645" i="34"/>
  <c r="X1647" i="34"/>
  <c r="X1649" i="34"/>
  <c r="X1651" i="34"/>
  <c r="X1653" i="34"/>
  <c r="X1655" i="34"/>
  <c r="X1657" i="34"/>
  <c r="X1659" i="34"/>
  <c r="X1661" i="34"/>
  <c r="X1664" i="34"/>
  <c r="X1666" i="34"/>
  <c r="X1668" i="34"/>
  <c r="X1670" i="34"/>
  <c r="X1672" i="34"/>
  <c r="X1674" i="34"/>
  <c r="X1676" i="34"/>
  <c r="X1678" i="34"/>
  <c r="X1680" i="34"/>
  <c r="X1682" i="34"/>
  <c r="X1684" i="34"/>
  <c r="X1686" i="34"/>
  <c r="X1688" i="34"/>
  <c r="X1690" i="34"/>
  <c r="X1692" i="34"/>
  <c r="X1694" i="34"/>
  <c r="X1696" i="34"/>
  <c r="X1698" i="34"/>
  <c r="X1700" i="34"/>
  <c r="X1702" i="34"/>
  <c r="X1704" i="34"/>
  <c r="X1706" i="34"/>
  <c r="X1708" i="34"/>
  <c r="X1710" i="34"/>
  <c r="X1712" i="34"/>
  <c r="X1714" i="34"/>
  <c r="X1716" i="34"/>
  <c r="X1718" i="34"/>
  <c r="X1720" i="34"/>
  <c r="X1750" i="34"/>
  <c r="X1752" i="34"/>
  <c r="X1754" i="34"/>
  <c r="X1756" i="34"/>
  <c r="X1758" i="34"/>
  <c r="X1760" i="34"/>
  <c r="X1762" i="34"/>
  <c r="X1764" i="34"/>
  <c r="X1766" i="34"/>
  <c r="X1768" i="34"/>
  <c r="X1770" i="34"/>
  <c r="X1772" i="34"/>
  <c r="X1774" i="34"/>
  <c r="X1776" i="34"/>
  <c r="X1778" i="34"/>
  <c r="X1780" i="34"/>
  <c r="X1782" i="34"/>
  <c r="X1784" i="34"/>
  <c r="X1786" i="34"/>
  <c r="X1788" i="34"/>
  <c r="X1790" i="34"/>
  <c r="X1792" i="34"/>
  <c r="X1794" i="34"/>
  <c r="X1796" i="34"/>
  <c r="X1798" i="34"/>
  <c r="X1800" i="34"/>
  <c r="X1802" i="34"/>
  <c r="X1804" i="34"/>
  <c r="X1806" i="34"/>
  <c r="X1823" i="34"/>
  <c r="X1825" i="34"/>
  <c r="X1827" i="34"/>
  <c r="X1829" i="34"/>
  <c r="X1831" i="34"/>
  <c r="X1833" i="34"/>
  <c r="X1835" i="34"/>
  <c r="X1837" i="34"/>
  <c r="X1839" i="34"/>
  <c r="X1841" i="34"/>
  <c r="X1843" i="34"/>
  <c r="X1845" i="34"/>
  <c r="X1847" i="34"/>
  <c r="X1849" i="34"/>
  <c r="X1851" i="34"/>
  <c r="X1853" i="34"/>
  <c r="X1855" i="34"/>
  <c r="X1857" i="34"/>
  <c r="X1859" i="34"/>
  <c r="X1861" i="34"/>
  <c r="X1863" i="34"/>
  <c r="X1865" i="34"/>
  <c r="X1867" i="34"/>
  <c r="X1869" i="34"/>
  <c r="X1871" i="34"/>
  <c r="X1873" i="34"/>
  <c r="X1875" i="34"/>
  <c r="X1877" i="34"/>
  <c r="X1879" i="34"/>
  <c r="X1881" i="34"/>
  <c r="X1883" i="34"/>
  <c r="X1885" i="34"/>
  <c r="X1887" i="34"/>
  <c r="X1889" i="34"/>
  <c r="X1891" i="34"/>
  <c r="X1893" i="34"/>
  <c r="X1895" i="34"/>
  <c r="X1897" i="34"/>
  <c r="X1899" i="34"/>
  <c r="X1901" i="34"/>
  <c r="X1903" i="34"/>
  <c r="X1905" i="34"/>
  <c r="X1907" i="34"/>
  <c r="X1909" i="34"/>
  <c r="X1911" i="34"/>
  <c r="X1913" i="34"/>
  <c r="X1915" i="34"/>
  <c r="X1917" i="34"/>
  <c r="X1919" i="34"/>
  <c r="X1921" i="34"/>
  <c r="X1923" i="34"/>
  <c r="X1925" i="34"/>
  <c r="X1927" i="34"/>
  <c r="X1929" i="34"/>
  <c r="X1931" i="34"/>
  <c r="X1933" i="34"/>
  <c r="X1935" i="34"/>
  <c r="X1937" i="34"/>
  <c r="X1939" i="34"/>
  <c r="X1469" i="34"/>
  <c r="X1477" i="34"/>
  <c r="X1485" i="34"/>
  <c r="X1493" i="34"/>
  <c r="X1501" i="34"/>
  <c r="X1509" i="34"/>
  <c r="X1945" i="34"/>
  <c r="X1953" i="34"/>
  <c r="X1998" i="34"/>
  <c r="X2006" i="34"/>
  <c r="X2014" i="34"/>
  <c r="X2022" i="34"/>
  <c r="X2030" i="34"/>
  <c r="X2032" i="34"/>
  <c r="X2034" i="34"/>
  <c r="X2036" i="34"/>
  <c r="X2038" i="34"/>
  <c r="X2040" i="34"/>
  <c r="X2042" i="34"/>
  <c r="X2044" i="34"/>
  <c r="X2046" i="34"/>
  <c r="X2048" i="34"/>
  <c r="X2050" i="34"/>
  <c r="X2052" i="34"/>
  <c r="X2054" i="34"/>
  <c r="X2056" i="34"/>
  <c r="X2058" i="34"/>
  <c r="X2060" i="34"/>
  <c r="X2062" i="34"/>
  <c r="X2064" i="34"/>
  <c r="X2066" i="34"/>
  <c r="X2068" i="34"/>
  <c r="X2070" i="34"/>
  <c r="X2072" i="34"/>
  <c r="X2076" i="34"/>
  <c r="X2080" i="34"/>
  <c r="X2082" i="34"/>
  <c r="X2084" i="34"/>
  <c r="X2086" i="34"/>
  <c r="X2088" i="34"/>
  <c r="X2090" i="34"/>
  <c r="X2092" i="34"/>
  <c r="X2094" i="34"/>
  <c r="X2096" i="34"/>
  <c r="X2098" i="34"/>
  <c r="X2100" i="34"/>
  <c r="X2102" i="34"/>
  <c r="X2104" i="34"/>
  <c r="X2106" i="34"/>
  <c r="X2108" i="34"/>
  <c r="X2110" i="34"/>
  <c r="X2112" i="34"/>
  <c r="X2114" i="34"/>
  <c r="X2116" i="34"/>
  <c r="X2118" i="34"/>
  <c r="X2120" i="34"/>
  <c r="X2122" i="34"/>
  <c r="X2124" i="34"/>
  <c r="X2126" i="34"/>
  <c r="X2128" i="34"/>
  <c r="X2130" i="34"/>
  <c r="X2132" i="34"/>
  <c r="X2134" i="34"/>
  <c r="X2136" i="34"/>
  <c r="X2138" i="34"/>
  <c r="X2140" i="34"/>
  <c r="X2142" i="34"/>
  <c r="X2144" i="34"/>
  <c r="X2146" i="34"/>
  <c r="X2174" i="34"/>
  <c r="X2176" i="34"/>
  <c r="X2178" i="34"/>
  <c r="X2180" i="34"/>
  <c r="X2182" i="34"/>
  <c r="X2184" i="34"/>
  <c r="X2186" i="34"/>
  <c r="X2188" i="34"/>
  <c r="X3428" i="34"/>
  <c r="X3432" i="34"/>
  <c r="X3437" i="34"/>
  <c r="X3449" i="34"/>
  <c r="X3478" i="34"/>
  <c r="X3483" i="34"/>
  <c r="X3490" i="34"/>
  <c r="X3495" i="34"/>
  <c r="X3505" i="34"/>
  <c r="X3510" i="34"/>
  <c r="X3533" i="34"/>
  <c r="X3547" i="34"/>
  <c r="X3553" i="34"/>
  <c r="X3562" i="34"/>
  <c r="X3605" i="34"/>
  <c r="X3444" i="34"/>
  <c r="X3569" i="34"/>
  <c r="X3559" i="34"/>
  <c r="X3581" i="34"/>
  <c r="X3585" i="34"/>
  <c r="X3608" i="34"/>
  <c r="X3613" i="34"/>
  <c r="X3625" i="34"/>
  <c r="X3629" i="34"/>
  <c r="X3633" i="34"/>
  <c r="X3638" i="34"/>
  <c r="X3661" i="34"/>
  <c r="X3664" i="34"/>
  <c r="X3670" i="34"/>
  <c r="X3677" i="34"/>
  <c r="X3675" i="34"/>
  <c r="X3682" i="34"/>
  <c r="X3686" i="34"/>
  <c r="X3693" i="34"/>
  <c r="X3703" i="34"/>
  <c r="X3707" i="34"/>
  <c r="X3701" i="34"/>
  <c r="X3728" i="34"/>
  <c r="X3743" i="34"/>
  <c r="X3748" i="34"/>
  <c r="X3782" i="34"/>
  <c r="X3787" i="34"/>
  <c r="X3805" i="34"/>
  <c r="X3812" i="34"/>
  <c r="X3823" i="34"/>
  <c r="X3836" i="34"/>
  <c r="X3841" i="34"/>
  <c r="X3848" i="34"/>
  <c r="X1943" i="34"/>
  <c r="X1951" i="34"/>
  <c r="X1996" i="34"/>
  <c r="X2004" i="34"/>
  <c r="X2012" i="34"/>
  <c r="X2020" i="34"/>
  <c r="X2028" i="34"/>
  <c r="X2075" i="34"/>
  <c r="X2079" i="34"/>
  <c r="X2190" i="34"/>
  <c r="X2192" i="34"/>
  <c r="X2194" i="34"/>
  <c r="X2196" i="34"/>
  <c r="X2198" i="34"/>
  <c r="X2200" i="34"/>
  <c r="X2202" i="34"/>
  <c r="X2204" i="34"/>
  <c r="X2206" i="34"/>
  <c r="X2208" i="34"/>
  <c r="X2210" i="34"/>
  <c r="X2212" i="34"/>
  <c r="X2218" i="34"/>
  <c r="X2214" i="34"/>
  <c r="X2216" i="34"/>
  <c r="X2220" i="34"/>
  <c r="X2222" i="34"/>
  <c r="X2224" i="34"/>
  <c r="X2226" i="34"/>
  <c r="X2228" i="34"/>
  <c r="X2230" i="34"/>
  <c r="X2232" i="34"/>
  <c r="X2234" i="34"/>
  <c r="X2236" i="34"/>
  <c r="X2238" i="34"/>
  <c r="X2240" i="34"/>
  <c r="X2242" i="34"/>
  <c r="X2244" i="34"/>
  <c r="X2246" i="34"/>
  <c r="X2248" i="34"/>
  <c r="X2250" i="34"/>
  <c r="X2252" i="34"/>
  <c r="X2254" i="34"/>
  <c r="X2256" i="34"/>
  <c r="X2258" i="34"/>
  <c r="X2260" i="34"/>
  <c r="X2262" i="34"/>
  <c r="X2290" i="34"/>
  <c r="X2292" i="34"/>
  <c r="X2294" i="34"/>
  <c r="X2296" i="34"/>
  <c r="X2298" i="34"/>
  <c r="X2300" i="34"/>
  <c r="X2302" i="34"/>
  <c r="X2304" i="34"/>
  <c r="X2306" i="34"/>
  <c r="X2308" i="34"/>
  <c r="X2310" i="34"/>
  <c r="X2312" i="34"/>
  <c r="X2314" i="34"/>
  <c r="X2316" i="34"/>
  <c r="X2318" i="34"/>
  <c r="X2320" i="34"/>
  <c r="X2322" i="34"/>
  <c r="X2324" i="34"/>
  <c r="X2326" i="34"/>
  <c r="X2328" i="34"/>
  <c r="X2330" i="34"/>
  <c r="X2332" i="34"/>
  <c r="X2334" i="34"/>
  <c r="X2336" i="34"/>
  <c r="X2338" i="34"/>
  <c r="X2340" i="34"/>
  <c r="X2342" i="34"/>
  <c r="X2345" i="34"/>
  <c r="X2347" i="34"/>
  <c r="X2349" i="34"/>
  <c r="X2351" i="34"/>
  <c r="X2353" i="34"/>
  <c r="X2355" i="34"/>
  <c r="X2357" i="34"/>
  <c r="X2359" i="34"/>
  <c r="X2361" i="34"/>
  <c r="X2363" i="34"/>
  <c r="X2365" i="34"/>
  <c r="X2367" i="34"/>
  <c r="X2369" i="34"/>
  <c r="X2371" i="34"/>
  <c r="X2373" i="34"/>
  <c r="X2375" i="34"/>
  <c r="X2377" i="34"/>
  <c r="X2379" i="34"/>
  <c r="X2381" i="34"/>
  <c r="X2383" i="34"/>
  <c r="X2385" i="34"/>
  <c r="X2387" i="34"/>
  <c r="X2389" i="34"/>
  <c r="X2391" i="34"/>
  <c r="X2393" i="34"/>
  <c r="X2395" i="34"/>
  <c r="X2397" i="34"/>
  <c r="X2399" i="34"/>
  <c r="X2401" i="34"/>
  <c r="X2403" i="34"/>
  <c r="X2405" i="34"/>
  <c r="X2407" i="34"/>
  <c r="X2409" i="34"/>
  <c r="X2411" i="34"/>
  <c r="X2413" i="34"/>
  <c r="X2415" i="34"/>
  <c r="X2417" i="34"/>
  <c r="X2419" i="34"/>
  <c r="X2421" i="34"/>
  <c r="X3427" i="34"/>
  <c r="X3431" i="34"/>
  <c r="X3436" i="34"/>
  <c r="X3448" i="34"/>
  <c r="X3458" i="34"/>
  <c r="X3477" i="34"/>
  <c r="X3482" i="34"/>
  <c r="X3486" i="34"/>
  <c r="X3500" i="34"/>
  <c r="X3509" i="34"/>
  <c r="X3532" i="34"/>
  <c r="X3546" i="34"/>
  <c r="X3552" i="34"/>
  <c r="X3561" i="34"/>
  <c r="X3565" i="34"/>
  <c r="X3494" i="34"/>
  <c r="X3568" i="34"/>
  <c r="X3572" i="34"/>
  <c r="X3574" i="34"/>
  <c r="X3584" i="34"/>
  <c r="X3607" i="34"/>
  <c r="X3611" i="34"/>
  <c r="X3624" i="34"/>
  <c r="X3628" i="34"/>
  <c r="X3632" i="34"/>
  <c r="X3637" i="34"/>
  <c r="X3660" i="34"/>
  <c r="X3663" i="34"/>
  <c r="X3676" i="34"/>
  <c r="X3674" i="34"/>
  <c r="X3681" i="34"/>
  <c r="X3685" i="34"/>
  <c r="X3688" i="34"/>
  <c r="X3706" i="34"/>
  <c r="X3700" i="34"/>
  <c r="X3727" i="34"/>
  <c r="X3741" i="34"/>
  <c r="X3746" i="34"/>
  <c r="X3781" i="34"/>
  <c r="X3785" i="34"/>
  <c r="X1941" i="34"/>
  <c r="X1949" i="34"/>
  <c r="X1957" i="34"/>
  <c r="X2002" i="34"/>
  <c r="X2010" i="34"/>
  <c r="X2018" i="34"/>
  <c r="X2026" i="34"/>
  <c r="X2031" i="34"/>
  <c r="X2033" i="34"/>
  <c r="X2035" i="34"/>
  <c r="X2037" i="34"/>
  <c r="X2039" i="34"/>
  <c r="X2041" i="34"/>
  <c r="X2043" i="34"/>
  <c r="X2045" i="34"/>
  <c r="X2047" i="34"/>
  <c r="X2049" i="34"/>
  <c r="X2051" i="34"/>
  <c r="X2053" i="34"/>
  <c r="X2055" i="34"/>
  <c r="X2057" i="34"/>
  <c r="X2059" i="34"/>
  <c r="X2061" i="34"/>
  <c r="X2063" i="34"/>
  <c r="X2065" i="34"/>
  <c r="X2067" i="34"/>
  <c r="X2069" i="34"/>
  <c r="X2071" i="34"/>
  <c r="X2074" i="34"/>
  <c r="X2078" i="34"/>
  <c r="X2081" i="34"/>
  <c r="X2083" i="34"/>
  <c r="X2085" i="34"/>
  <c r="X2087" i="34"/>
  <c r="X2089" i="34"/>
  <c r="X2091" i="34"/>
  <c r="X2093" i="34"/>
  <c r="X2095" i="34"/>
  <c r="X2097" i="34"/>
  <c r="X2099" i="34"/>
  <c r="X2101" i="34"/>
  <c r="X2103" i="34"/>
  <c r="X2105" i="34"/>
  <c r="X2107" i="34"/>
  <c r="X2109" i="34"/>
  <c r="X2111" i="34"/>
  <c r="X2113" i="34"/>
  <c r="X2115" i="34"/>
  <c r="X2117" i="34"/>
  <c r="X2119" i="34"/>
  <c r="X2121" i="34"/>
  <c r="X2123" i="34"/>
  <c r="X2125" i="34"/>
  <c r="X2127" i="34"/>
  <c r="X2129" i="34"/>
  <c r="X2131" i="34"/>
  <c r="X2133" i="34"/>
  <c r="X2135" i="34"/>
  <c r="X2137" i="34"/>
  <c r="X2139" i="34"/>
  <c r="X2141" i="34"/>
  <c r="X2143" i="34"/>
  <c r="X2145" i="34"/>
  <c r="X2173" i="34"/>
  <c r="X2175" i="34"/>
  <c r="X2177" i="34"/>
  <c r="X2179" i="34"/>
  <c r="X2181" i="34"/>
  <c r="X2183" i="34"/>
  <c r="X2185" i="34"/>
  <c r="X2187" i="34"/>
  <c r="X3430" i="34"/>
  <c r="X3435" i="34"/>
  <c r="X3447" i="34"/>
  <c r="X3451" i="34"/>
  <c r="X3476" i="34"/>
  <c r="X3481" i="34"/>
  <c r="X3485" i="34"/>
  <c r="X3499" i="34"/>
  <c r="X3507" i="34"/>
  <c r="X3535" i="34"/>
  <c r="X3549" i="34"/>
  <c r="X3564" i="34"/>
  <c r="X3493" i="34"/>
  <c r="X3567" i="34"/>
  <c r="X3571" i="34"/>
  <c r="X3573" i="34"/>
  <c r="X3583" i="34"/>
  <c r="X1947" i="34"/>
  <c r="X1955" i="34"/>
  <c r="X2000" i="34"/>
  <c r="X2008" i="34"/>
  <c r="X2016" i="34"/>
  <c r="X2024" i="34"/>
  <c r="X2073" i="34"/>
  <c r="X2077" i="34"/>
  <c r="X2189" i="34"/>
  <c r="X2191" i="34"/>
  <c r="X2193" i="34"/>
  <c r="X2195" i="34"/>
  <c r="X2197" i="34"/>
  <c r="X2199" i="34"/>
  <c r="X2201" i="34"/>
  <c r="X2203" i="34"/>
  <c r="X2205" i="34"/>
  <c r="X2207" i="34"/>
  <c r="X2209" i="34"/>
  <c r="X2211" i="34"/>
  <c r="X2217" i="34"/>
  <c r="X2213" i="34"/>
  <c r="X2215" i="34"/>
  <c r="X2219" i="34"/>
  <c r="X2221" i="34"/>
  <c r="X2223" i="34"/>
  <c r="X2225" i="34"/>
  <c r="X2227" i="34"/>
  <c r="X2229" i="34"/>
  <c r="X2231" i="34"/>
  <c r="X2233" i="34"/>
  <c r="X2235" i="34"/>
  <c r="X2237" i="34"/>
  <c r="X2239" i="34"/>
  <c r="X2241" i="34"/>
  <c r="X2243" i="34"/>
  <c r="X2245" i="34"/>
  <c r="X2247" i="34"/>
  <c r="X2249" i="34"/>
  <c r="X2251" i="34"/>
  <c r="X2253" i="34"/>
  <c r="X2255" i="34"/>
  <c r="X2257" i="34"/>
  <c r="X2259" i="34"/>
  <c r="X2261" i="34"/>
  <c r="X2263" i="34"/>
  <c r="X2291" i="34"/>
  <c r="X2293" i="34"/>
  <c r="X2295" i="34"/>
  <c r="X2297" i="34"/>
  <c r="X2299" i="34"/>
  <c r="X2301" i="34"/>
  <c r="X2303" i="34"/>
  <c r="X2305" i="34"/>
  <c r="X2307" i="34"/>
  <c r="X2309" i="34"/>
  <c r="X2311" i="34"/>
  <c r="X2313" i="34"/>
  <c r="X2315" i="34"/>
  <c r="X2317" i="34"/>
  <c r="X2319" i="34"/>
  <c r="X2321" i="34"/>
  <c r="X2323" i="34"/>
  <c r="X2325" i="34"/>
  <c r="X2327" i="34"/>
  <c r="X2329" i="34"/>
  <c r="X2331" i="34"/>
  <c r="X2333" i="34"/>
  <c r="X2335" i="34"/>
  <c r="X2337" i="34"/>
  <c r="X2339" i="34"/>
  <c r="X2341" i="34"/>
  <c r="X2344" i="34"/>
  <c r="X2346" i="34"/>
  <c r="X2348" i="34"/>
  <c r="X2350" i="34"/>
  <c r="X2352" i="34"/>
  <c r="X2354" i="34"/>
  <c r="X2356" i="34"/>
  <c r="X2358" i="34"/>
  <c r="X2360" i="34"/>
  <c r="X2362" i="34"/>
  <c r="X2364" i="34"/>
  <c r="X2366" i="34"/>
  <c r="X2368" i="34"/>
  <c r="X2370" i="34"/>
  <c r="X2372" i="34"/>
  <c r="X2374" i="34"/>
  <c r="X2376" i="34"/>
  <c r="X2378" i="34"/>
  <c r="X2380" i="34"/>
  <c r="X2382" i="34"/>
  <c r="X2384" i="34"/>
  <c r="X2386" i="34"/>
  <c r="X2388" i="34"/>
  <c r="X2390" i="34"/>
  <c r="X2392" i="34"/>
  <c r="X2394" i="34"/>
  <c r="X2396" i="34"/>
  <c r="X2398" i="34"/>
  <c r="X2400" i="34"/>
  <c r="X2402" i="34"/>
  <c r="X2404" i="34"/>
  <c r="X2406" i="34"/>
  <c r="X2408" i="34"/>
  <c r="X2410" i="34"/>
  <c r="X2412" i="34"/>
  <c r="X2414" i="34"/>
  <c r="X2416" i="34"/>
  <c r="X2418" i="34"/>
  <c r="X2420" i="34"/>
  <c r="X2422" i="34"/>
  <c r="X3429" i="34"/>
  <c r="X3433" i="34"/>
  <c r="X3446" i="34"/>
  <c r="X3450" i="34"/>
  <c r="X3475" i="34"/>
  <c r="X3480" i="34"/>
  <c r="X3484" i="34"/>
  <c r="X3491" i="34"/>
  <c r="X3498" i="34"/>
  <c r="X3506" i="34"/>
  <c r="X3534" i="34"/>
  <c r="X3548" i="34"/>
  <c r="X3563" i="34"/>
  <c r="X3566" i="34"/>
  <c r="X3445" i="34"/>
  <c r="X3570" i="34"/>
  <c r="X3560" i="34"/>
  <c r="X3582" i="34"/>
  <c r="X3586" i="34"/>
  <c r="X3609" i="34"/>
  <c r="X3614" i="34"/>
  <c r="X3630" i="34"/>
  <c r="X3639" i="34"/>
  <c r="X3671" i="34"/>
  <c r="X3679" i="34"/>
  <c r="X3687" i="34"/>
  <c r="X3694" i="34"/>
  <c r="X3716" i="34"/>
  <c r="X3729" i="34"/>
  <c r="X3745" i="34"/>
  <c r="X3784" i="34"/>
  <c r="X3809" i="34"/>
  <c r="X3814" i="34"/>
  <c r="X3826" i="34"/>
  <c r="X3847" i="34"/>
  <c r="X3850" i="34"/>
  <c r="X3854" i="34"/>
  <c r="X3859" i="34"/>
  <c r="X3867" i="34"/>
  <c r="X4835" i="34"/>
  <c r="X4031" i="34"/>
  <c r="X4037" i="34"/>
  <c r="X4045" i="34"/>
  <c r="X4047" i="34"/>
  <c r="X4050" i="34"/>
  <c r="X4052" i="34"/>
  <c r="X4055" i="34"/>
  <c r="X4068" i="34"/>
  <c r="X3739" i="34"/>
  <c r="X4073" i="34"/>
  <c r="X4092" i="34"/>
  <c r="X4096" i="34"/>
  <c r="X4103" i="34"/>
  <c r="X4085" i="34"/>
  <c r="X4087" i="34"/>
  <c r="X4113" i="34"/>
  <c r="X4130" i="34"/>
  <c r="X4136" i="34"/>
  <c r="X4140" i="34"/>
  <c r="X4142" i="34"/>
  <c r="X4144" i="34"/>
  <c r="X4153" i="34"/>
  <c r="X4155" i="34"/>
  <c r="X4161" i="34"/>
  <c r="X4176" i="34"/>
  <c r="X4185" i="34"/>
  <c r="X4187" i="34"/>
  <c r="X4194" i="34"/>
  <c r="X4196" i="34"/>
  <c r="X4228" i="34"/>
  <c r="X4110" i="34"/>
  <c r="X4236" i="34"/>
  <c r="X4238" i="34"/>
  <c r="X4240" i="34"/>
  <c r="X4242" i="34"/>
  <c r="X4244" i="34"/>
  <c r="X4159" i="34"/>
  <c r="X4250" i="34"/>
  <c r="X4197" i="34"/>
  <c r="X4858" i="34"/>
  <c r="X4280" i="34"/>
  <c r="X4294" i="34"/>
  <c r="X4311" i="34"/>
  <c r="X3734" i="34"/>
  <c r="X4905" i="34"/>
  <c r="X4327" i="34"/>
  <c r="X4373" i="34"/>
  <c r="X4380" i="34"/>
  <c r="X4391" i="34"/>
  <c r="X4394" i="34"/>
  <c r="X4410" i="34"/>
  <c r="X4439" i="34"/>
  <c r="X4447" i="34"/>
  <c r="X4457" i="34"/>
  <c r="X4452" i="34"/>
  <c r="X4456" i="34"/>
  <c r="X4499" i="34"/>
  <c r="X4516" i="34"/>
  <c r="X4521" i="34"/>
  <c r="X4525" i="34"/>
  <c r="X4535" i="34"/>
  <c r="X4537" i="34"/>
  <c r="X4542" i="34"/>
  <c r="X4546" i="34"/>
  <c r="X4580" i="34"/>
  <c r="X4582" i="34"/>
  <c r="X4584" i="34"/>
  <c r="X4586" i="34"/>
  <c r="X4589" i="34"/>
  <c r="X4596" i="34"/>
  <c r="X4610" i="34"/>
  <c r="X4629" i="34"/>
  <c r="X4633" i="34"/>
  <c r="X4637" i="34"/>
  <c r="X4647" i="34"/>
  <c r="X4660" i="34"/>
  <c r="X4668" i="34"/>
  <c r="X4678" i="34"/>
  <c r="X4682" i="34"/>
  <c r="X4686" i="34"/>
  <c r="X4714" i="34"/>
  <c r="X4712" i="34"/>
  <c r="X4713" i="34"/>
  <c r="X4722" i="34"/>
  <c r="X4726" i="34"/>
  <c r="X4731" i="34"/>
  <c r="X4738" i="34"/>
  <c r="X4764" i="34"/>
  <c r="X4774" i="34"/>
  <c r="X4777" i="34"/>
  <c r="X4781" i="34"/>
  <c r="X4794" i="34"/>
  <c r="X4805" i="34"/>
  <c r="X4809" i="34"/>
  <c r="X4832" i="34"/>
  <c r="X4839" i="34"/>
  <c r="X4853" i="34"/>
  <c r="X4875" i="34"/>
  <c r="X4902" i="34"/>
  <c r="X4904" i="34"/>
  <c r="X4930" i="34"/>
  <c r="X4932" i="34"/>
  <c r="X4943" i="34"/>
  <c r="X4796" i="34"/>
  <c r="X4978" i="34"/>
  <c r="X4982" i="34"/>
  <c r="X5000" i="34"/>
  <c r="X5002" i="34"/>
  <c r="X5006" i="34"/>
  <c r="X5010" i="34"/>
  <c r="X5015" i="34"/>
  <c r="X5019" i="34"/>
  <c r="X5025" i="34"/>
  <c r="X5029" i="34"/>
  <c r="X5053" i="34"/>
  <c r="X5081" i="34"/>
  <c r="X5086" i="34"/>
  <c r="X5090" i="34"/>
  <c r="X5096" i="34"/>
  <c r="X5101" i="34"/>
  <c r="X5109" i="34"/>
  <c r="X5118" i="34"/>
  <c r="X5127" i="34"/>
  <c r="X5131" i="34"/>
  <c r="X5135" i="34"/>
  <c r="X5141" i="34"/>
  <c r="X5145" i="34"/>
  <c r="X5149" i="34"/>
  <c r="X5154" i="34"/>
  <c r="X5158" i="34"/>
  <c r="X5169" i="34"/>
  <c r="X5173" i="34"/>
  <c r="X5177" i="34"/>
  <c r="X5194" i="34"/>
  <c r="X5198" i="34"/>
  <c r="X3606" i="34"/>
  <c r="X3627" i="34"/>
  <c r="X3636" i="34"/>
  <c r="X3659" i="34"/>
  <c r="X3673" i="34"/>
  <c r="X3684" i="34"/>
  <c r="X3705" i="34"/>
  <c r="X3713" i="34"/>
  <c r="X3744" i="34"/>
  <c r="X3783" i="34"/>
  <c r="X3804" i="34"/>
  <c r="X3808" i="34"/>
  <c r="X3813" i="34"/>
  <c r="X3839" i="34"/>
  <c r="X3846" i="34"/>
  <c r="X3849" i="34"/>
  <c r="X3853" i="34"/>
  <c r="X3822" i="34"/>
  <c r="X4834" i="34"/>
  <c r="X3863" i="34"/>
  <c r="X3865" i="34"/>
  <c r="X3877" i="34"/>
  <c r="X3905" i="34"/>
  <c r="X3907" i="34"/>
  <c r="X3909" i="34"/>
  <c r="X3912" i="34"/>
  <c r="X3914" i="34"/>
  <c r="X3916" i="34"/>
  <c r="X3918" i="34"/>
  <c r="X3920" i="34"/>
  <c r="X3923" i="34"/>
  <c r="X3925" i="34"/>
  <c r="X3927" i="34"/>
  <c r="X3929" i="34"/>
  <c r="X3933" i="34"/>
  <c r="X3935" i="34"/>
  <c r="X3943" i="34"/>
  <c r="X3959" i="34"/>
  <c r="X3961" i="34"/>
  <c r="X3963" i="34"/>
  <c r="X3973" i="34"/>
  <c r="X3975" i="34"/>
  <c r="X3977" i="34"/>
  <c r="X3979" i="34"/>
  <c r="X3981" i="34"/>
  <c r="X3988" i="34"/>
  <c r="X3990" i="34"/>
  <c r="X4022" i="34"/>
  <c r="X4024" i="34"/>
  <c r="X4026" i="34"/>
  <c r="X4028" i="34"/>
  <c r="X3738" i="34"/>
  <c r="X4072" i="34"/>
  <c r="X4077" i="34"/>
  <c r="X4084" i="34"/>
  <c r="X4091" i="34"/>
  <c r="X4095" i="34"/>
  <c r="X4102" i="34"/>
  <c r="X4100" i="34"/>
  <c r="X4206" i="34"/>
  <c r="X4212" i="34"/>
  <c r="X4214" i="34"/>
  <c r="X4216" i="34"/>
  <c r="X4218" i="34"/>
  <c r="X4221" i="34"/>
  <c r="X4109" i="34"/>
  <c r="X4152" i="34"/>
  <c r="X4247" i="34"/>
  <c r="X4857" i="34"/>
  <c r="X4279" i="34"/>
  <c r="X4290" i="34"/>
  <c r="X4303" i="34"/>
  <c r="X3733" i="34"/>
  <c r="X4326" i="34"/>
  <c r="X4325" i="34"/>
  <c r="X4379" i="34"/>
  <c r="X4383" i="34"/>
  <c r="X4390" i="34"/>
  <c r="X4393" i="34"/>
  <c r="X4405" i="34"/>
  <c r="X4409" i="34"/>
  <c r="X4415" i="34"/>
  <c r="X4417" i="34"/>
  <c r="X4419" i="34"/>
  <c r="X4421" i="34"/>
  <c r="X4423" i="34"/>
  <c r="X4438" i="34"/>
  <c r="X4451" i="34"/>
  <c r="X4455" i="34"/>
  <c r="X4480" i="34"/>
  <c r="X4482" i="34"/>
  <c r="X4489" i="34"/>
  <c r="X4502" i="34"/>
  <c r="X4524" i="34"/>
  <c r="X4540" i="34"/>
  <c r="X4545" i="34"/>
  <c r="X4568" i="34"/>
  <c r="X4588" i="34"/>
  <c r="X4769" i="34"/>
  <c r="X4599" i="34"/>
  <c r="X4628" i="34"/>
  <c r="X4632" i="34"/>
  <c r="X4636" i="34"/>
  <c r="X4643" i="34"/>
  <c r="X4659" i="34"/>
  <c r="X4667" i="34"/>
  <c r="X4677" i="34"/>
  <c r="X4684" i="34"/>
  <c r="X4689" i="34"/>
  <c r="X4711" i="34"/>
  <c r="X4861" i="34"/>
  <c r="X4721" i="34"/>
  <c r="X4725" i="34"/>
  <c r="X4730" i="34"/>
  <c r="X4737" i="34"/>
  <c r="X4746" i="34"/>
  <c r="X4763" i="34"/>
  <c r="X4773" i="34"/>
  <c r="X4772" i="34"/>
  <c r="X4780" i="34"/>
  <c r="X4801" i="34"/>
  <c r="X4804" i="34"/>
  <c r="X4808" i="34"/>
  <c r="X4825" i="34"/>
  <c r="X4852" i="34"/>
  <c r="X4874" i="34"/>
  <c r="X4888" i="34"/>
  <c r="X4890" i="34"/>
  <c r="X4892" i="34"/>
  <c r="X4934" i="34"/>
  <c r="X4936" i="34"/>
  <c r="X4938" i="34"/>
  <c r="X4942" i="34"/>
  <c r="X4960" i="34"/>
  <c r="X4963" i="34"/>
  <c r="X4981" i="34"/>
  <c r="X4992" i="34"/>
  <c r="X5005" i="34"/>
  <c r="X5009" i="34"/>
  <c r="X5014" i="34"/>
  <c r="X5018" i="34"/>
  <c r="X5024" i="34"/>
  <c r="X5028" i="34"/>
  <c r="X5052" i="34"/>
  <c r="X5080" i="34"/>
  <c r="X5085" i="34"/>
  <c r="X5089" i="34"/>
  <c r="X5093" i="34"/>
  <c r="X3610" i="34"/>
  <c r="X3626" i="34"/>
  <c r="X3634" i="34"/>
  <c r="X3665" i="34"/>
  <c r="X3678" i="34"/>
  <c r="X3683" i="34"/>
  <c r="X3704" i="34"/>
  <c r="X3712" i="34"/>
  <c r="X3750" i="34"/>
  <c r="X3799" i="34"/>
  <c r="X3806" i="34"/>
  <c r="X3828" i="34"/>
  <c r="X3838" i="34"/>
  <c r="X3842" i="34"/>
  <c r="X3852" i="34"/>
  <c r="X3821" i="34"/>
  <c r="X3860" i="34"/>
  <c r="X3869" i="34"/>
  <c r="X4030" i="34"/>
  <c r="X4036" i="34"/>
  <c r="X4044" i="34"/>
  <c r="X4046" i="34"/>
  <c r="X4048" i="34"/>
  <c r="X4051" i="34"/>
  <c r="X4053" i="34"/>
  <c r="X4054" i="34"/>
  <c r="X4056" i="34"/>
  <c r="X4070" i="34"/>
  <c r="X4071" i="34"/>
  <c r="X4090" i="34"/>
  <c r="X4094" i="34"/>
  <c r="X4101" i="34"/>
  <c r="X4099" i="34"/>
  <c r="X4086" i="34"/>
  <c r="X4088" i="34"/>
  <c r="X4112" i="34"/>
  <c r="X4114" i="34"/>
  <c r="X4135" i="34"/>
  <c r="X4137" i="34"/>
  <c r="X4141" i="34"/>
  <c r="X4143" i="34"/>
  <c r="X4145" i="34"/>
  <c r="X4154" i="34"/>
  <c r="X4156" i="34"/>
  <c r="X4157" i="34"/>
  <c r="X4175" i="34"/>
  <c r="X4184" i="34"/>
  <c r="X4186" i="34"/>
  <c r="X4191" i="34"/>
  <c r="X4195" i="34"/>
  <c r="X4199" i="34"/>
  <c r="X4220" i="34"/>
  <c r="X4108" i="34"/>
  <c r="X4235" i="34"/>
  <c r="X4237" i="34"/>
  <c r="X4239" i="34"/>
  <c r="X4241" i="34"/>
  <c r="X4243" i="34"/>
  <c r="X4151" i="34"/>
  <c r="X4246" i="34"/>
  <c r="X4252" i="34"/>
  <c r="X4856" i="34"/>
  <c r="X4270" i="34"/>
  <c r="X4289" i="34"/>
  <c r="X4302" i="34"/>
  <c r="X3732" i="34"/>
  <c r="X4907" i="34"/>
  <c r="X4324" i="34"/>
  <c r="X4375" i="34"/>
  <c r="X4382" i="34"/>
  <c r="X3731" i="34"/>
  <c r="X4437" i="34"/>
  <c r="X4449" i="34"/>
  <c r="X4459" i="34"/>
  <c r="X4454" i="34"/>
  <c r="X4488" i="34"/>
  <c r="X4501" i="34"/>
  <c r="X4518" i="34"/>
  <c r="X4523" i="34"/>
  <c r="X4520" i="34"/>
  <c r="X4536" i="34"/>
  <c r="X4539" i="34"/>
  <c r="X4544" i="34"/>
  <c r="X4567" i="34"/>
  <c r="X4581" i="34"/>
  <c r="X4583" i="34"/>
  <c r="X4585" i="34"/>
  <c r="X4587" i="34"/>
  <c r="X4591" i="34"/>
  <c r="X4598" i="34"/>
  <c r="X4627" i="34"/>
  <c r="X4631" i="34"/>
  <c r="X4635" i="34"/>
  <c r="X4642" i="34"/>
  <c r="X4658" i="34"/>
  <c r="X4666" i="34"/>
  <c r="X4676" i="34"/>
  <c r="X4680" i="34"/>
  <c r="X4683" i="34"/>
  <c r="X4688" i="34"/>
  <c r="X4716" i="34"/>
  <c r="X4860" i="34"/>
  <c r="X4720" i="34"/>
  <c r="X4724" i="34"/>
  <c r="X4729" i="34"/>
  <c r="X4736" i="34"/>
  <c r="X4745" i="34"/>
  <c r="X4762" i="34"/>
  <c r="X4771" i="34"/>
  <c r="X4776" i="34"/>
  <c r="X4779" i="34"/>
  <c r="X4783" i="34"/>
  <c r="X4803" i="34"/>
  <c r="X4807" i="34"/>
  <c r="X4824" i="34"/>
  <c r="X4833" i="34"/>
  <c r="X4851" i="34"/>
  <c r="X4872" i="34"/>
  <c r="X4877" i="34"/>
  <c r="X4901" i="34"/>
  <c r="X4903" i="34"/>
  <c r="X4929" i="34"/>
  <c r="X4931" i="34"/>
  <c r="X4933" i="34"/>
  <c r="X4795" i="34"/>
  <c r="X4962" i="34"/>
  <c r="X4980" i="34"/>
  <c r="X4991" i="34"/>
  <c r="X5001" i="34"/>
  <c r="X5004" i="34"/>
  <c r="X5008" i="34"/>
  <c r="X5013" i="34"/>
  <c r="X5017" i="34"/>
  <c r="X5023" i="34"/>
  <c r="X5027" i="34"/>
  <c r="X5051" i="34"/>
  <c r="X5069" i="34"/>
  <c r="X3623" i="34"/>
  <c r="X3631" i="34"/>
  <c r="X3672" i="34"/>
  <c r="X3680" i="34"/>
  <c r="X3699" i="34"/>
  <c r="X3730" i="34"/>
  <c r="X3749" i="34"/>
  <c r="X3788" i="34"/>
  <c r="X3737" i="34"/>
  <c r="X3827" i="34"/>
  <c r="X3837" i="34"/>
  <c r="X3851" i="34"/>
  <c r="X3855" i="34"/>
  <c r="X3868" i="34"/>
  <c r="X4836" i="34"/>
  <c r="X3862" i="34"/>
  <c r="X3864" i="34"/>
  <c r="X3866" i="34"/>
  <c r="X3903" i="34"/>
  <c r="X3906" i="34"/>
  <c r="X3908" i="34"/>
  <c r="X3910" i="34"/>
  <c r="X3913" i="34"/>
  <c r="X3915" i="34"/>
  <c r="X3917" i="34"/>
  <c r="X3919" i="34"/>
  <c r="X3921" i="34"/>
  <c r="X3924" i="34"/>
  <c r="X3926" i="34"/>
  <c r="X3928" i="34"/>
  <c r="X3930" i="34"/>
  <c r="X3934" i="34"/>
  <c r="X3936" i="34"/>
  <c r="X3944" i="34"/>
  <c r="X3960" i="34"/>
  <c r="X3962" i="34"/>
  <c r="X3967" i="34"/>
  <c r="X3974" i="34"/>
  <c r="X3976" i="34"/>
  <c r="X3978" i="34"/>
  <c r="X3980" i="34"/>
  <c r="X3989" i="34"/>
  <c r="X3996" i="34"/>
  <c r="X4023" i="34"/>
  <c r="X4025" i="34"/>
  <c r="X4027" i="34"/>
  <c r="X4190" i="34"/>
  <c r="X4069" i="34"/>
  <c r="X3740" i="34"/>
  <c r="X4067" i="34"/>
  <c r="X4076" i="34"/>
  <c r="X4078" i="34"/>
  <c r="X4089" i="34"/>
  <c r="X4093" i="34"/>
  <c r="X4097" i="34"/>
  <c r="X4098" i="34"/>
  <c r="X4200" i="34"/>
  <c r="X4211" i="34"/>
  <c r="X4213" i="34"/>
  <c r="X4215" i="34"/>
  <c r="X4217" i="34"/>
  <c r="X4219" i="34"/>
  <c r="X4111" i="34"/>
  <c r="X4160" i="34"/>
  <c r="X4251" i="34"/>
  <c r="X4198" i="34"/>
  <c r="X4269" i="34"/>
  <c r="X4281" i="34"/>
  <c r="X4295" i="34"/>
  <c r="X4312" i="34"/>
  <c r="X4906" i="34"/>
  <c r="X4328" i="34"/>
  <c r="X4374" i="34"/>
  <c r="X4381" i="34"/>
  <c r="X4392" i="34"/>
  <c r="X4404" i="34"/>
  <c r="X4408" i="34"/>
  <c r="X4414" i="34"/>
  <c r="X4416" i="34"/>
  <c r="X4418" i="34"/>
  <c r="X4420" i="34"/>
  <c r="X4422" i="34"/>
  <c r="X4424" i="34"/>
  <c r="X4440" i="34"/>
  <c r="X4458" i="34"/>
  <c r="X4453" i="34"/>
  <c r="X4450" i="34"/>
  <c r="X4481" i="34"/>
  <c r="X4487" i="34"/>
  <c r="X4500" i="34"/>
  <c r="X4517" i="34"/>
  <c r="X4522" i="34"/>
  <c r="X4526" i="34"/>
  <c r="X4538" i="34"/>
  <c r="X4543" i="34"/>
  <c r="X4547" i="34"/>
  <c r="X4590" i="34"/>
  <c r="X4597" i="34"/>
  <c r="X4611" i="34"/>
  <c r="X4630" i="34"/>
  <c r="X4634" i="34"/>
  <c r="X4638" i="34"/>
  <c r="X4648" i="34"/>
  <c r="X4661" i="34"/>
  <c r="X4679" i="34"/>
  <c r="X4687" i="34"/>
  <c r="X4715" i="34"/>
  <c r="X4859" i="34"/>
  <c r="X4723" i="34"/>
  <c r="X4727" i="34"/>
  <c r="X4732" i="34"/>
  <c r="X4744" i="34"/>
  <c r="X4761" i="34"/>
  <c r="X4770" i="34"/>
  <c r="X4775" i="34"/>
  <c r="X4778" i="34"/>
  <c r="X4782" i="34"/>
  <c r="X4802" i="34"/>
  <c r="X4806" i="34"/>
  <c r="X4823" i="34"/>
  <c r="X4850" i="34"/>
  <c r="X4854" i="34"/>
  <c r="X4876" i="34"/>
  <c r="X4889" i="34"/>
  <c r="X4891" i="34"/>
  <c r="X4900" i="34"/>
  <c r="X4935" i="34"/>
  <c r="X4937" i="34"/>
  <c r="X4939" i="34"/>
  <c r="X4950" i="34"/>
  <c r="X4961" i="34"/>
  <c r="X4979" i="34"/>
  <c r="X4983" i="34"/>
  <c r="X5003" i="34"/>
  <c r="X5007" i="34"/>
  <c r="X5011" i="34"/>
  <c r="X5016" i="34"/>
  <c r="X5022" i="34"/>
  <c r="X5026" i="34"/>
  <c r="X5050" i="34"/>
  <c r="X5068" i="34"/>
  <c r="X5083" i="34"/>
  <c r="X5087" i="34"/>
  <c r="X5091" i="34"/>
  <c r="X5097" i="34"/>
  <c r="X5102" i="34"/>
  <c r="X5110" i="34"/>
  <c r="X5119" i="34"/>
  <c r="X5128" i="34"/>
  <c r="X5132" i="34"/>
  <c r="X5136" i="34"/>
  <c r="X5142" i="34"/>
  <c r="X5146" i="34"/>
  <c r="X5151" i="34"/>
  <c r="X5155" i="34"/>
  <c r="X5159" i="34"/>
  <c r="X5084" i="34"/>
  <c r="X5104" i="34"/>
  <c r="X5126" i="34"/>
  <c r="X5134" i="34"/>
  <c r="X5144" i="34"/>
  <c r="X5153" i="34"/>
  <c r="X5166" i="34"/>
  <c r="X5171" i="34"/>
  <c r="X5174" i="34"/>
  <c r="X5197" i="34"/>
  <c r="X5200" i="34"/>
  <c r="X5210" i="34"/>
  <c r="X5214" i="34"/>
  <c r="X5230" i="34"/>
  <c r="X5249" i="34"/>
  <c r="X5253" i="34"/>
  <c r="X5257" i="34"/>
  <c r="X5276" i="34"/>
  <c r="X5475" i="34"/>
  <c r="X5292" i="34"/>
  <c r="X5297" i="34"/>
  <c r="X5311" i="34"/>
  <c r="X5343" i="34"/>
  <c r="X5366" i="34"/>
  <c r="X5370" i="34"/>
  <c r="X5398" i="34"/>
  <c r="X5421" i="34"/>
  <c r="X5435" i="34"/>
  <c r="X5449" i="34"/>
  <c r="X5477" i="34"/>
  <c r="X5481" i="34"/>
  <c r="X5485" i="34"/>
  <c r="X5489" i="34"/>
  <c r="X5520" i="34"/>
  <c r="X5536" i="34"/>
  <c r="X5542" i="34"/>
  <c r="X5546" i="34"/>
  <c r="X5554" i="34"/>
  <c r="X5579" i="34"/>
  <c r="X5586" i="34"/>
  <c r="X5600" i="34"/>
  <c r="X5650" i="34"/>
  <c r="X5658" i="34"/>
  <c r="X5671" i="34"/>
  <c r="X5687" i="34"/>
  <c r="X5703" i="34"/>
  <c r="X5709" i="34"/>
  <c r="X2483" i="34"/>
  <c r="X4296" i="34"/>
  <c r="X4331" i="34"/>
  <c r="X4335" i="34"/>
  <c r="X4690" i="34"/>
  <c r="X4952" i="34"/>
  <c r="X4965" i="34"/>
  <c r="X4969" i="34"/>
  <c r="X5320" i="34"/>
  <c r="X5423" i="34"/>
  <c r="X5660" i="34"/>
  <c r="X5664" i="34"/>
  <c r="X4314" i="34"/>
  <c r="X4317" i="34"/>
  <c r="X4384" i="34"/>
  <c r="X4554" i="34"/>
  <c r="X4556" i="34"/>
  <c r="X4558" i="34"/>
  <c r="X4570" i="34"/>
  <c r="X4572" i="34"/>
  <c r="X4592" i="34"/>
  <c r="X4613" i="34"/>
  <c r="X4615" i="34"/>
  <c r="X4617" i="34"/>
  <c r="X4619" i="34"/>
  <c r="X4621" i="34"/>
  <c r="X4623" i="34"/>
  <c r="X4728" i="34"/>
  <c r="X4741" i="34"/>
  <c r="X4743" i="34"/>
  <c r="X4785" i="34"/>
  <c r="X4800" i="34"/>
  <c r="X4848" i="34"/>
  <c r="X4855" i="34"/>
  <c r="X5012" i="34"/>
  <c r="X5021" i="34"/>
  <c r="X5031" i="34"/>
  <c r="X5033" i="34"/>
  <c r="X5035" i="34"/>
  <c r="X5037" i="34"/>
  <c r="X5039" i="34"/>
  <c r="X5041" i="34"/>
  <c r="X5043" i="34"/>
  <c r="X5180" i="34"/>
  <c r="X5264" i="34"/>
  <c r="X5324" i="34"/>
  <c r="X5339" i="34"/>
  <c r="X5359" i="34"/>
  <c r="X5374" i="34"/>
  <c r="X5385" i="34"/>
  <c r="X5399" i="34"/>
  <c r="X5401" i="34"/>
  <c r="X5403" i="34"/>
  <c r="X5405" i="34"/>
  <c r="X5407" i="34"/>
  <c r="X5409" i="34"/>
  <c r="X5411" i="34"/>
  <c r="X5413" i="34"/>
  <c r="X5432" i="34"/>
  <c r="X5436" i="34"/>
  <c r="X5438" i="34"/>
  <c r="X5440" i="34"/>
  <c r="X5451" i="34"/>
  <c r="X5468" i="34"/>
  <c r="X5470" i="34"/>
  <c r="X5492" i="34"/>
  <c r="X5494" i="34"/>
  <c r="X5509" i="34"/>
  <c r="X5511" i="34"/>
  <c r="X5513" i="34"/>
  <c r="X5563" i="34"/>
  <c r="X5570" i="34"/>
  <c r="X5572" i="34"/>
  <c r="X5590" i="34"/>
  <c r="X5602" i="34"/>
  <c r="X5605" i="34"/>
  <c r="X5607" i="34"/>
  <c r="X5609" i="34"/>
  <c r="X5611" i="34"/>
  <c r="X5613" i="34"/>
  <c r="X5615" i="34"/>
  <c r="X5617" i="34"/>
  <c r="X5619" i="34"/>
  <c r="X5621" i="34"/>
  <c r="X5628" i="34"/>
  <c r="X5630" i="34"/>
  <c r="X5632" i="34"/>
  <c r="X5636" i="34"/>
  <c r="X5645" i="34"/>
  <c r="X5689" i="34"/>
  <c r="X5712" i="34"/>
  <c r="X2579" i="34"/>
  <c r="X2583" i="34"/>
  <c r="X2587" i="34"/>
  <c r="X2591" i="34"/>
  <c r="X3457" i="34"/>
  <c r="X3464" i="34"/>
  <c r="X3468" i="34"/>
  <c r="X3472" i="34"/>
  <c r="X3514" i="34"/>
  <c r="X3550" i="34"/>
  <c r="X3615" i="34"/>
  <c r="X3635" i="34"/>
  <c r="X3644" i="34"/>
  <c r="X3649" i="34"/>
  <c r="X3648" i="34"/>
  <c r="X3695" i="34"/>
  <c r="X3708" i="34"/>
  <c r="X3711" i="34"/>
  <c r="X3723" i="34"/>
  <c r="X3760" i="34"/>
  <c r="X3764" i="34"/>
  <c r="X3768" i="34"/>
  <c r="X3772" i="34"/>
  <c r="X3776" i="34"/>
  <c r="X3790" i="34"/>
  <c r="X3802" i="34"/>
  <c r="X3833" i="34"/>
  <c r="X3845" i="34"/>
  <c r="X4106" i="34"/>
  <c r="X4116" i="34"/>
  <c r="X4118" i="34"/>
  <c r="X4120" i="34"/>
  <c r="X4122" i="34"/>
  <c r="X4124" i="34"/>
  <c r="X4126" i="34"/>
  <c r="X4128" i="34"/>
  <c r="X4229" i="34"/>
  <c r="X4231" i="34"/>
  <c r="X4248" i="34"/>
  <c r="X4265" i="34"/>
  <c r="X4272" i="34"/>
  <c r="X4274" i="34"/>
  <c r="X4276" i="34"/>
  <c r="X4298" i="34"/>
  <c r="X4300" i="34"/>
  <c r="X4304" i="34"/>
  <c r="X4306" i="34"/>
  <c r="X4319" i="34"/>
  <c r="X4321" i="34"/>
  <c r="X4323" i="34"/>
  <c r="X4338" i="34"/>
  <c r="X4340" i="34"/>
  <c r="X4342" i="34"/>
  <c r="X4344" i="34"/>
  <c r="X4346" i="34"/>
  <c r="X4348" i="34"/>
  <c r="X4377" i="34"/>
  <c r="X4385" i="34"/>
  <c r="X4396" i="34"/>
  <c r="X4407" i="34"/>
  <c r="X4650" i="34"/>
  <c r="X4909" i="34"/>
  <c r="X4911" i="34"/>
  <c r="X4913" i="34"/>
  <c r="X4915" i="34"/>
  <c r="X4917" i="34"/>
  <c r="X4919" i="34"/>
  <c r="X4944" i="34"/>
  <c r="X4956" i="34"/>
  <c r="X5070" i="34"/>
  <c r="X5100" i="34"/>
  <c r="X5106" i="34"/>
  <c r="X5108" i="34"/>
  <c r="X2654" i="34"/>
  <c r="X2658" i="34"/>
  <c r="X2662" i="34"/>
  <c r="X2666" i="34"/>
  <c r="X2670" i="34"/>
  <c r="X2674" i="34"/>
  <c r="X2678" i="34"/>
  <c r="X2682" i="34"/>
  <c r="X2686" i="34"/>
  <c r="X2690" i="34"/>
  <c r="X2694" i="34"/>
  <c r="X2698" i="34"/>
  <c r="X2702" i="34"/>
  <c r="X2706" i="34"/>
  <c r="X2710" i="34"/>
  <c r="X2714" i="34"/>
  <c r="X2718" i="34"/>
  <c r="X2722" i="34"/>
  <c r="X2726" i="34"/>
  <c r="X2730" i="34"/>
  <c r="X2734" i="34"/>
  <c r="X2738" i="34"/>
  <c r="X2742" i="34"/>
  <c r="X2746" i="34"/>
  <c r="X2750" i="34"/>
  <c r="X2754" i="34"/>
  <c r="X2758" i="34"/>
  <c r="X2762" i="34"/>
  <c r="X2766" i="34"/>
  <c r="X2770" i="34"/>
  <c r="X2774" i="34"/>
  <c r="X2778" i="34"/>
  <c r="X2782" i="34"/>
  <c r="X2786" i="34"/>
  <c r="X2790" i="34"/>
  <c r="X2794" i="34"/>
  <c r="X2798" i="34"/>
  <c r="X2802" i="34"/>
  <c r="X2923" i="34"/>
  <c r="X5088" i="34"/>
  <c r="X5103" i="34"/>
  <c r="X5120" i="34"/>
  <c r="X5133" i="34"/>
  <c r="X5143" i="34"/>
  <c r="X5152" i="34"/>
  <c r="X5165" i="34"/>
  <c r="X5170" i="34"/>
  <c r="X5193" i="34"/>
  <c r="X5196" i="34"/>
  <c r="X5199" i="34"/>
  <c r="X5209" i="34"/>
  <c r="X5213" i="34"/>
  <c r="X5229" i="34"/>
  <c r="X5248" i="34"/>
  <c r="X5252" i="34"/>
  <c r="X5256" i="34"/>
  <c r="X5275" i="34"/>
  <c r="X5279" i="34"/>
  <c r="X5285" i="34"/>
  <c r="X5296" i="34"/>
  <c r="X5310" i="34"/>
  <c r="X5323" i="34"/>
  <c r="X5365" i="34"/>
  <c r="X5369" i="34"/>
  <c r="X5397" i="34"/>
  <c r="X5420" i="34"/>
  <c r="X5434" i="34"/>
  <c r="X5448" i="34"/>
  <c r="X5476" i="34"/>
  <c r="X5480" i="34"/>
  <c r="X5484" i="34"/>
  <c r="X5488" i="34"/>
  <c r="X5519" i="34"/>
  <c r="X5535" i="34"/>
  <c r="X5541" i="34"/>
  <c r="X5545" i="34"/>
  <c r="X5553" i="34"/>
  <c r="X5578" i="34"/>
  <c r="X5585" i="34"/>
  <c r="X5599" i="34"/>
  <c r="X5641" i="34"/>
  <c r="X5653" i="34"/>
  <c r="X5670" i="34"/>
  <c r="X5686" i="34"/>
  <c r="X5702" i="34"/>
  <c r="X5708" i="34"/>
  <c r="X2482" i="34"/>
  <c r="X4271" i="34"/>
  <c r="X4330" i="34"/>
  <c r="X4334" i="34"/>
  <c r="X4649" i="34"/>
  <c r="X4951" i="34"/>
  <c r="X4964" i="34"/>
  <c r="X4968" i="34"/>
  <c r="X5094" i="34"/>
  <c r="X5422" i="34"/>
  <c r="X5561" i="34"/>
  <c r="X5663" i="34"/>
  <c r="X5667" i="34"/>
  <c r="X2485" i="34"/>
  <c r="X2487" i="34"/>
  <c r="X2489" i="34"/>
  <c r="X2491" i="34"/>
  <c r="X2493" i="34"/>
  <c r="X2495" i="34"/>
  <c r="X2497" i="34"/>
  <c r="X2499" i="34"/>
  <c r="X2501" i="34"/>
  <c r="X2503" i="34"/>
  <c r="X2505" i="34"/>
  <c r="X2507" i="34"/>
  <c r="X2509" i="34"/>
  <c r="X2511" i="34"/>
  <c r="X2513" i="34"/>
  <c r="X2515" i="34"/>
  <c r="X2517" i="34"/>
  <c r="X2519" i="34"/>
  <c r="X2521" i="34"/>
  <c r="X2523" i="34"/>
  <c r="X2525" i="34"/>
  <c r="X2527" i="34"/>
  <c r="X2529" i="34"/>
  <c r="X2531" i="34"/>
  <c r="X2533" i="34"/>
  <c r="X2535" i="34"/>
  <c r="X2537" i="34"/>
  <c r="X2539" i="34"/>
  <c r="X2541" i="34"/>
  <c r="X2543" i="34"/>
  <c r="X2545" i="34"/>
  <c r="X2547" i="34"/>
  <c r="X2549" i="34"/>
  <c r="X2551" i="34"/>
  <c r="X2553" i="34"/>
  <c r="X2555" i="34"/>
  <c r="X2557" i="34"/>
  <c r="X2559" i="34"/>
  <c r="X2561" i="34"/>
  <c r="X2563" i="34"/>
  <c r="X2565" i="34"/>
  <c r="X2567" i="34"/>
  <c r="X2569" i="34"/>
  <c r="X2571" i="34"/>
  <c r="X2573" i="34"/>
  <c r="X2575" i="34"/>
  <c r="X4313" i="34"/>
  <c r="X4840" i="34"/>
  <c r="X4845" i="34"/>
  <c r="X4847" i="34"/>
  <c r="X4863" i="34"/>
  <c r="X4865" i="34"/>
  <c r="X4867" i="34"/>
  <c r="X4869" i="34"/>
  <c r="X4871" i="34"/>
  <c r="X4886" i="34"/>
  <c r="X4993" i="34"/>
  <c r="X4995" i="34"/>
  <c r="X2578" i="34"/>
  <c r="X2582" i="34"/>
  <c r="X2586" i="34"/>
  <c r="X2590" i="34"/>
  <c r="X2593" i="34"/>
  <c r="X2595" i="34"/>
  <c r="X2597" i="34"/>
  <c r="X2599" i="34"/>
  <c r="X2601" i="34"/>
  <c r="X2603" i="34"/>
  <c r="X2605" i="34"/>
  <c r="X2607" i="34"/>
  <c r="X2609" i="34"/>
  <c r="X2611" i="34"/>
  <c r="X2613" i="34"/>
  <c r="X2615" i="34"/>
  <c r="X2617" i="34"/>
  <c r="X2619" i="34"/>
  <c r="X2621" i="34"/>
  <c r="X2623" i="34"/>
  <c r="X2625" i="34"/>
  <c r="X2627" i="34"/>
  <c r="X2629" i="34"/>
  <c r="X2631" i="34"/>
  <c r="X2633" i="34"/>
  <c r="X2635" i="34"/>
  <c r="X2637" i="34"/>
  <c r="X2639" i="34"/>
  <c r="X2641" i="34"/>
  <c r="X2643" i="34"/>
  <c r="X2645" i="34"/>
  <c r="X2647" i="34"/>
  <c r="X2649" i="34"/>
  <c r="X3456" i="34"/>
  <c r="X3463" i="34"/>
  <c r="X3467" i="34"/>
  <c r="X3471" i="34"/>
  <c r="X3513" i="34"/>
  <c r="X3517" i="34"/>
  <c r="X3603" i="34"/>
  <c r="X3618" i="34"/>
  <c r="X3643" i="34"/>
  <c r="X3647" i="34"/>
  <c r="X3652" i="34"/>
  <c r="X3689" i="34"/>
  <c r="X3698" i="34"/>
  <c r="X3710" i="34"/>
  <c r="X3719" i="34"/>
  <c r="X3759" i="34"/>
  <c r="X3763" i="34"/>
  <c r="X3767" i="34"/>
  <c r="X3771" i="34"/>
  <c r="X3775" i="34"/>
  <c r="X3789" i="34"/>
  <c r="X3801" i="34"/>
  <c r="X3824" i="34"/>
  <c r="X3844" i="34"/>
  <c r="X3922" i="34"/>
  <c r="X4039" i="34"/>
  <c r="X4058" i="34"/>
  <c r="X4060" i="34"/>
  <c r="X4254" i="34"/>
  <c r="X4256" i="34"/>
  <c r="X4406" i="34"/>
  <c r="X4692" i="34"/>
  <c r="X4694" i="34"/>
  <c r="X4733" i="34"/>
  <c r="X4735" i="34"/>
  <c r="X4812" i="34"/>
  <c r="X4814" i="34"/>
  <c r="X4816" i="34"/>
  <c r="X4818" i="34"/>
  <c r="X4820" i="34"/>
  <c r="X4873" i="34"/>
  <c r="X4879" i="34"/>
  <c r="X4881" i="34"/>
  <c r="X4883" i="34"/>
  <c r="X4893" i="34"/>
  <c r="X4895" i="34"/>
  <c r="X4908" i="34"/>
  <c r="X5112" i="34"/>
  <c r="X5114" i="34"/>
  <c r="X5204" i="34"/>
  <c r="X5232" i="34"/>
  <c r="X5238" i="34"/>
  <c r="X5240" i="34"/>
  <c r="X5242" i="34"/>
  <c r="X5303" i="34"/>
  <c r="X5342" i="34"/>
  <c r="X5347" i="34"/>
  <c r="X5349" i="34"/>
  <c r="X5351" i="34"/>
  <c r="X5353" i="34"/>
  <c r="X5355" i="34"/>
  <c r="X5357" i="34"/>
  <c r="X5375" i="34"/>
  <c r="X5388" i="34"/>
  <c r="X5390" i="34"/>
  <c r="X5452" i="34"/>
  <c r="X5454" i="34"/>
  <c r="X5496" i="34"/>
  <c r="X5498" i="34"/>
  <c r="X5500" i="34"/>
  <c r="X5502" i="34"/>
  <c r="X5514" i="34"/>
  <c r="X5547" i="34"/>
  <c r="X5549" i="34"/>
  <c r="X5580" i="34"/>
  <c r="X5591" i="34"/>
  <c r="X5593" i="34"/>
  <c r="X5676" i="34"/>
  <c r="X5678" i="34"/>
  <c r="X5680" i="34"/>
  <c r="X5682" i="34"/>
  <c r="X5691" i="34"/>
  <c r="X2653" i="34"/>
  <c r="X2657" i="34"/>
  <c r="X2661" i="34"/>
  <c r="X2665" i="34"/>
  <c r="X2669" i="34"/>
  <c r="X2673" i="34"/>
  <c r="X2677" i="34"/>
  <c r="X2681" i="34"/>
  <c r="X2685" i="34"/>
  <c r="X2689" i="34"/>
  <c r="X2693" i="34"/>
  <c r="X2697" i="34"/>
  <c r="X2701" i="34"/>
  <c r="X2705" i="34"/>
  <c r="X2709" i="34"/>
  <c r="X2713" i="34"/>
  <c r="X2717" i="34"/>
  <c r="X2721" i="34"/>
  <c r="X2725" i="34"/>
  <c r="X2729" i="34"/>
  <c r="X2733" i="34"/>
  <c r="X2737" i="34"/>
  <c r="X2741" i="34"/>
  <c r="X2745" i="34"/>
  <c r="X2749" i="34"/>
  <c r="X2753" i="34"/>
  <c r="X2757" i="34"/>
  <c r="X2761" i="34"/>
  <c r="X2765" i="34"/>
  <c r="X2769" i="34"/>
  <c r="X2773" i="34"/>
  <c r="X2777" i="34"/>
  <c r="X2781" i="34"/>
  <c r="X2785" i="34"/>
  <c r="X2789" i="34"/>
  <c r="X2793" i="34"/>
  <c r="X2797" i="34"/>
  <c r="X2801" i="34"/>
  <c r="X2805" i="34"/>
  <c r="X2807" i="34"/>
  <c r="X2809" i="34"/>
  <c r="X2811" i="34"/>
  <c r="X2813" i="34"/>
  <c r="X2815" i="34"/>
  <c r="X2817" i="34"/>
  <c r="X2819" i="34"/>
  <c r="X2821" i="34"/>
  <c r="X2823" i="34"/>
  <c r="X2825" i="34"/>
  <c r="X2827" i="34"/>
  <c r="X2829" i="34"/>
  <c r="X2831" i="34"/>
  <c r="X2833" i="34"/>
  <c r="X2835" i="34"/>
  <c r="X2837" i="34"/>
  <c r="X2839" i="34"/>
  <c r="X2841" i="34"/>
  <c r="X2843" i="34"/>
  <c r="X2845" i="34"/>
  <c r="X2847" i="34"/>
  <c r="X2849" i="34"/>
  <c r="X2851" i="34"/>
  <c r="X2853" i="34"/>
  <c r="X2855" i="34"/>
  <c r="X2857" i="34"/>
  <c r="X2859" i="34"/>
  <c r="X2861" i="34"/>
  <c r="X2863" i="34"/>
  <c r="X2865" i="34"/>
  <c r="X5092" i="34"/>
  <c r="X5099" i="34"/>
  <c r="X5117" i="34"/>
  <c r="X5130" i="34"/>
  <c r="X5140" i="34"/>
  <c r="X5148" i="34"/>
  <c r="X5157" i="34"/>
  <c r="X5176" i="34"/>
  <c r="X5179" i="34"/>
  <c r="X5195" i="34"/>
  <c r="X5202" i="34"/>
  <c r="X5212" i="34"/>
  <c r="X5228" i="34"/>
  <c r="X5247" i="34"/>
  <c r="X5251" i="34"/>
  <c r="X5255" i="34"/>
  <c r="X5274" i="34"/>
  <c r="X5278" i="34"/>
  <c r="X5284" i="34"/>
  <c r="X5295" i="34"/>
  <c r="X5309" i="34"/>
  <c r="X5322" i="34"/>
  <c r="X5346" i="34"/>
  <c r="X5368" i="34"/>
  <c r="X5372" i="34"/>
  <c r="X5419" i="34"/>
  <c r="X5430" i="34"/>
  <c r="X5447" i="34"/>
  <c r="X5466" i="34"/>
  <c r="X5479" i="34"/>
  <c r="X5483" i="34"/>
  <c r="X5487" i="34"/>
  <c r="X5518" i="34"/>
  <c r="X5534" i="34"/>
  <c r="X5540" i="34"/>
  <c r="X5544" i="34"/>
  <c r="X5552" i="34"/>
  <c r="X5556" i="34"/>
  <c r="X5584" i="34"/>
  <c r="X5588" i="34"/>
  <c r="X5640" i="34"/>
  <c r="X5652" i="34"/>
  <c r="X5669" i="34"/>
  <c r="X5685" i="34"/>
  <c r="X5701" i="34"/>
  <c r="X5707" i="34"/>
  <c r="X5711" i="34"/>
  <c r="X2481" i="34"/>
  <c r="X4057" i="34"/>
  <c r="X4329" i="34"/>
  <c r="X4333" i="34"/>
  <c r="X4448" i="34"/>
  <c r="X4765" i="34"/>
  <c r="X4837" i="34"/>
  <c r="X4954" i="34"/>
  <c r="X4967" i="34"/>
  <c r="X4971" i="34"/>
  <c r="X5383" i="34"/>
  <c r="X5425" i="34"/>
  <c r="X5662" i="34"/>
  <c r="X5666" i="34"/>
  <c r="X4316" i="34"/>
  <c r="X4318" i="34"/>
  <c r="X4553" i="34"/>
  <c r="X4555" i="34"/>
  <c r="X4557" i="34"/>
  <c r="X4569" i="34"/>
  <c r="X4571" i="34"/>
  <c r="X4573" i="34"/>
  <c r="X4612" i="34"/>
  <c r="X4614" i="34"/>
  <c r="X4616" i="34"/>
  <c r="X4618" i="34"/>
  <c r="X4620" i="34"/>
  <c r="X4622" i="34"/>
  <c r="X4626" i="34"/>
  <c r="X4740" i="34"/>
  <c r="X4742" i="34"/>
  <c r="X4784" i="34"/>
  <c r="X4797" i="34"/>
  <c r="X4799" i="34"/>
  <c r="X4849" i="34"/>
  <c r="X4862" i="34"/>
  <c r="X5020" i="34"/>
  <c r="X5030" i="34"/>
  <c r="X5032" i="34"/>
  <c r="X5034" i="34"/>
  <c r="X5036" i="34"/>
  <c r="X5038" i="34"/>
  <c r="X5040" i="34"/>
  <c r="X5042" i="34"/>
  <c r="X5044" i="34"/>
  <c r="X5263" i="34"/>
  <c r="X5265" i="34"/>
  <c r="X5338" i="34"/>
  <c r="X5340" i="34"/>
  <c r="X5360" i="34"/>
  <c r="X5384" i="34"/>
  <c r="X5386" i="34"/>
  <c r="X5400" i="34"/>
  <c r="X5402" i="34"/>
  <c r="X5404" i="34"/>
  <c r="X5406" i="34"/>
  <c r="X5408" i="34"/>
  <c r="X5410" i="34"/>
  <c r="X5412" i="34"/>
  <c r="X5426" i="34"/>
  <c r="X5433" i="34"/>
  <c r="X5437" i="34"/>
  <c r="X5439" i="34"/>
  <c r="X5450" i="34"/>
  <c r="X5467" i="34"/>
  <c r="X5469" i="34"/>
  <c r="X5491" i="34"/>
  <c r="X5493" i="34"/>
  <c r="X5495" i="34"/>
  <c r="X5510" i="34"/>
  <c r="X5512" i="34"/>
  <c r="X5562" i="34"/>
  <c r="X5564" i="34"/>
  <c r="X5571" i="34"/>
  <c r="X5589" i="34"/>
  <c r="X5601" i="34"/>
  <c r="X5604" i="34"/>
  <c r="X5606" i="34"/>
  <c r="X5608" i="34"/>
  <c r="X5610" i="34"/>
  <c r="X5612" i="34"/>
  <c r="X5614" i="34"/>
  <c r="X5616" i="34"/>
  <c r="X5618" i="34"/>
  <c r="X5620" i="34"/>
  <c r="X5622" i="34"/>
  <c r="X5629" i="34"/>
  <c r="X5631" i="34"/>
  <c r="X5635" i="34"/>
  <c r="X5644" i="34"/>
  <c r="X5646" i="34"/>
  <c r="X5690" i="34"/>
  <c r="X2577" i="34"/>
  <c r="X2581" i="34"/>
  <c r="X2585" i="34"/>
  <c r="X2589" i="34"/>
  <c r="X3462" i="34"/>
  <c r="X3466" i="34"/>
  <c r="X3470" i="34"/>
  <c r="X3512" i="34"/>
  <c r="X3516" i="34"/>
  <c r="X3612" i="34"/>
  <c r="X3617" i="34"/>
  <c r="X3642" i="34"/>
  <c r="X3646" i="34"/>
  <c r="X3651" i="34"/>
  <c r="X3667" i="34"/>
  <c r="X3697" i="34"/>
  <c r="X3702" i="34"/>
  <c r="X3718" i="34"/>
  <c r="X3758" i="34"/>
  <c r="X3762" i="34"/>
  <c r="X3766" i="34"/>
  <c r="X3770" i="34"/>
  <c r="X3774" i="34"/>
  <c r="X3778" i="34"/>
  <c r="X3800" i="34"/>
  <c r="X3815" i="34"/>
  <c r="X3835" i="34"/>
  <c r="X4081" i="34"/>
  <c r="X4115" i="34"/>
  <c r="X4117" i="34"/>
  <c r="X4119" i="34"/>
  <c r="X4121" i="34"/>
  <c r="X4123" i="34"/>
  <c r="X4125" i="34"/>
  <c r="X4127" i="34"/>
  <c r="X4222" i="34"/>
  <c r="X4230" i="34"/>
  <c r="X4245" i="34"/>
  <c r="X4253" i="34"/>
  <c r="X4264" i="34"/>
  <c r="X4266" i="34"/>
  <c r="X4273" i="34"/>
  <c r="X4275" i="34"/>
  <c r="X4277" i="34"/>
  <c r="X4299" i="34"/>
  <c r="X4301" i="34"/>
  <c r="X4305" i="34"/>
  <c r="X4307" i="34"/>
  <c r="X4320" i="34"/>
  <c r="X4322" i="34"/>
  <c r="X4337" i="34"/>
  <c r="X4339" i="34"/>
  <c r="X4341" i="34"/>
  <c r="X4343" i="34"/>
  <c r="X4345" i="34"/>
  <c r="X4347" i="34"/>
  <c r="X4376" i="34"/>
  <c r="X4378" i="34"/>
  <c r="X4395" i="34"/>
  <c r="X4641" i="34"/>
  <c r="X4669" i="34"/>
  <c r="X4810" i="34"/>
  <c r="X4910" i="34"/>
  <c r="X4912" i="34"/>
  <c r="X4914" i="34"/>
  <c r="X4916" i="34"/>
  <c r="X4918" i="34"/>
  <c r="X4920" i="34"/>
  <c r="X4955" i="34"/>
  <c r="X4957" i="34"/>
  <c r="X5095" i="34"/>
  <c r="X5105" i="34"/>
  <c r="X5107" i="34"/>
  <c r="X2652" i="34"/>
  <c r="X2656" i="34"/>
  <c r="X2660" i="34"/>
  <c r="X2664" i="34"/>
  <c r="X2668" i="34"/>
  <c r="X2672" i="34"/>
  <c r="X2676" i="34"/>
  <c r="X2680" i="34"/>
  <c r="X2684" i="34"/>
  <c r="X2688" i="34"/>
  <c r="X2692" i="34"/>
  <c r="X2696" i="34"/>
  <c r="X2700" i="34"/>
  <c r="X2704" i="34"/>
  <c r="X2708" i="34"/>
  <c r="X2712" i="34"/>
  <c r="X2716" i="34"/>
  <c r="X2720" i="34"/>
  <c r="X2724" i="34"/>
  <c r="X2728" i="34"/>
  <c r="X2732" i="34"/>
  <c r="X2736" i="34"/>
  <c r="X2740" i="34"/>
  <c r="X2744" i="34"/>
  <c r="X2748" i="34"/>
  <c r="X2752" i="34"/>
  <c r="X2756" i="34"/>
  <c r="X2760" i="34"/>
  <c r="X2764" i="34"/>
  <c r="X2768" i="34"/>
  <c r="X2772" i="34"/>
  <c r="X2776" i="34"/>
  <c r="X2780" i="34"/>
  <c r="X2784" i="34"/>
  <c r="X2788" i="34"/>
  <c r="X2792" i="34"/>
  <c r="X2796" i="34"/>
  <c r="X2800" i="34"/>
  <c r="X2804" i="34"/>
  <c r="X5098" i="34"/>
  <c r="X5116" i="34"/>
  <c r="X5129" i="34"/>
  <c r="X5137" i="34"/>
  <c r="X5147" i="34"/>
  <c r="X5156" i="34"/>
  <c r="X5172" i="34"/>
  <c r="X5175" i="34"/>
  <c r="X5178" i="34"/>
  <c r="X5201" i="34"/>
  <c r="X5211" i="34"/>
  <c r="X5215" i="34"/>
  <c r="X5231" i="34"/>
  <c r="X5250" i="34"/>
  <c r="X5254" i="34"/>
  <c r="X5273" i="34"/>
  <c r="X5277" i="34"/>
  <c r="X5293" i="34"/>
  <c r="X5298" i="34"/>
  <c r="X5312" i="34"/>
  <c r="X5344" i="34"/>
  <c r="X5367" i="34"/>
  <c r="X5371" i="34"/>
  <c r="X5418" i="34"/>
  <c r="X5429" i="34"/>
  <c r="X5446" i="34"/>
  <c r="X5465" i="34"/>
  <c r="X5478" i="34"/>
  <c r="X5482" i="34"/>
  <c r="X5486" i="34"/>
  <c r="X5490" i="34"/>
  <c r="X5533" i="34"/>
  <c r="X5539" i="34"/>
  <c r="X5543" i="34"/>
  <c r="X5551" i="34"/>
  <c r="X5555" i="34"/>
  <c r="X5583" i="34"/>
  <c r="X5587" i="34"/>
  <c r="X5603" i="34"/>
  <c r="X5651" i="34"/>
  <c r="X5659" i="34"/>
  <c r="X5672" i="34"/>
  <c r="X5688" i="34"/>
  <c r="X5704" i="34"/>
  <c r="X5710" i="34"/>
  <c r="X3459" i="34"/>
  <c r="X3460" i="34"/>
  <c r="X3640" i="34"/>
  <c r="X3829" i="34"/>
  <c r="X3830" i="34"/>
  <c r="X3831" i="34"/>
  <c r="X3832" i="34"/>
  <c r="X3840" i="34"/>
  <c r="X3843" i="34"/>
  <c r="X3911" i="34"/>
  <c r="X4297" i="34"/>
  <c r="X4332" i="34"/>
  <c r="X4336" i="34"/>
  <c r="X4739" i="34"/>
  <c r="X4953" i="34"/>
  <c r="X4966" i="34"/>
  <c r="X4970" i="34"/>
  <c r="X5373" i="34"/>
  <c r="X5424" i="34"/>
  <c r="X5661" i="34"/>
  <c r="X5665" i="34"/>
  <c r="X2484" i="34"/>
  <c r="X2486" i="34"/>
  <c r="X2488" i="34"/>
  <c r="X2490" i="34"/>
  <c r="X2492" i="34"/>
  <c r="X2494" i="34"/>
  <c r="X2496" i="34"/>
  <c r="X2498" i="34"/>
  <c r="X2500" i="34"/>
  <c r="X2502" i="34"/>
  <c r="X2504" i="34"/>
  <c r="X2506" i="34"/>
  <c r="X2508" i="34"/>
  <c r="X2510" i="34"/>
  <c r="X2512" i="34"/>
  <c r="X2514" i="34"/>
  <c r="X2516" i="34"/>
  <c r="X2518" i="34"/>
  <c r="X2520" i="34"/>
  <c r="X2522" i="34"/>
  <c r="X2524" i="34"/>
  <c r="X2526" i="34"/>
  <c r="X2528" i="34"/>
  <c r="X2530" i="34"/>
  <c r="X2532" i="34"/>
  <c r="X2534" i="34"/>
  <c r="X2536" i="34"/>
  <c r="X2538" i="34"/>
  <c r="X2540" i="34"/>
  <c r="X2542" i="34"/>
  <c r="X2544" i="34"/>
  <c r="X2546" i="34"/>
  <c r="X2548" i="34"/>
  <c r="X2550" i="34"/>
  <c r="X2552" i="34"/>
  <c r="X2554" i="34"/>
  <c r="X2556" i="34"/>
  <c r="X2558" i="34"/>
  <c r="X2560" i="34"/>
  <c r="X2562" i="34"/>
  <c r="X2564" i="34"/>
  <c r="X2566" i="34"/>
  <c r="X2568" i="34"/>
  <c r="X2570" i="34"/>
  <c r="X2572" i="34"/>
  <c r="X2574" i="34"/>
  <c r="X2576" i="34"/>
  <c r="X4798" i="34"/>
  <c r="X4841" i="34"/>
  <c r="X4846" i="34"/>
  <c r="X4864" i="34"/>
  <c r="X4866" i="34"/>
  <c r="X4868" i="34"/>
  <c r="X4870" i="34"/>
  <c r="X4885" i="34"/>
  <c r="X4887" i="34"/>
  <c r="X4994" i="34"/>
  <c r="X2580" i="34"/>
  <c r="X2584" i="34"/>
  <c r="X2588" i="34"/>
  <c r="X2592" i="34"/>
  <c r="X2594" i="34"/>
  <c r="X2596" i="34"/>
  <c r="X2598" i="34"/>
  <c r="X2600" i="34"/>
  <c r="X2602" i="34"/>
  <c r="X2604" i="34"/>
  <c r="X2606" i="34"/>
  <c r="X2608" i="34"/>
  <c r="X2610" i="34"/>
  <c r="X2612" i="34"/>
  <c r="X2614" i="34"/>
  <c r="X2616" i="34"/>
  <c r="X2618" i="34"/>
  <c r="X2620" i="34"/>
  <c r="X2622" i="34"/>
  <c r="X2624" i="34"/>
  <c r="X2626" i="34"/>
  <c r="X2628" i="34"/>
  <c r="X2630" i="34"/>
  <c r="X2632" i="34"/>
  <c r="X2634" i="34"/>
  <c r="X2636" i="34"/>
  <c r="X2638" i="34"/>
  <c r="X2640" i="34"/>
  <c r="X2642" i="34"/>
  <c r="X2644" i="34"/>
  <c r="X2646" i="34"/>
  <c r="X2648" i="34"/>
  <c r="X2650" i="34"/>
  <c r="X3461" i="34"/>
  <c r="X3465" i="34"/>
  <c r="X3469" i="34"/>
  <c r="X3511" i="34"/>
  <c r="X3515" i="34"/>
  <c r="X3551" i="34"/>
  <c r="X3616" i="34"/>
  <c r="X3641" i="34"/>
  <c r="X3645" i="34"/>
  <c r="X3650" i="34"/>
  <c r="X3662" i="34"/>
  <c r="X3666" i="34"/>
  <c r="X3696" i="34"/>
  <c r="X3709" i="34"/>
  <c r="X3717" i="34"/>
  <c r="X3725" i="34"/>
  <c r="X3761" i="34"/>
  <c r="X3765" i="34"/>
  <c r="X3769" i="34"/>
  <c r="X3773" i="34"/>
  <c r="X3777" i="34"/>
  <c r="X3791" i="34"/>
  <c r="X3803" i="34"/>
  <c r="X3834" i="34"/>
  <c r="X3878" i="34"/>
  <c r="X4038" i="34"/>
  <c r="X4040" i="34"/>
  <c r="X4059" i="34"/>
  <c r="X4061" i="34"/>
  <c r="X4255" i="34"/>
  <c r="X4263" i="34"/>
  <c r="X4397" i="34"/>
  <c r="X4693" i="34"/>
  <c r="X4695" i="34"/>
  <c r="X4734" i="34"/>
  <c r="X4786" i="34"/>
  <c r="X4813" i="34"/>
  <c r="X4815" i="34"/>
  <c r="X4817" i="34"/>
  <c r="X4819" i="34"/>
  <c r="X4821" i="34"/>
  <c r="X4878" i="34"/>
  <c r="X4880" i="34"/>
  <c r="X4882" i="34"/>
  <c r="X4884" i="34"/>
  <c r="X4894" i="34"/>
  <c r="X4896" i="34"/>
  <c r="X5111" i="34"/>
  <c r="X5113" i="34"/>
  <c r="X5203" i="34"/>
  <c r="X5246" i="34"/>
  <c r="X5233" i="34"/>
  <c r="X5239" i="34"/>
  <c r="X5241" i="34"/>
  <c r="X5294" i="34"/>
  <c r="X5304" i="34"/>
  <c r="X5345" i="34"/>
  <c r="X5348" i="34"/>
  <c r="X5350" i="34"/>
  <c r="X5352" i="34"/>
  <c r="X5354" i="34"/>
  <c r="X5356" i="34"/>
  <c r="X5358" i="34"/>
  <c r="X5387" i="34"/>
  <c r="X5389" i="34"/>
  <c r="X5441" i="34"/>
  <c r="X5453" i="34"/>
  <c r="X5471" i="34"/>
  <c r="X5497" i="34"/>
  <c r="X5499" i="34"/>
  <c r="X5501" i="34"/>
  <c r="X5503" i="34"/>
  <c r="X5523" i="34"/>
  <c r="X5548" i="34"/>
  <c r="X5550" i="34"/>
  <c r="X5581" i="34"/>
  <c r="X5592" i="34"/>
  <c r="X5594" i="34"/>
  <c r="X5677" i="34"/>
  <c r="X5679" i="34"/>
  <c r="X5681" i="34"/>
  <c r="X5683" i="34"/>
  <c r="X2651" i="34"/>
  <c r="X2655" i="34"/>
  <c r="X2659" i="34"/>
  <c r="X2663" i="34"/>
  <c r="X2667" i="34"/>
  <c r="X2671" i="34"/>
  <c r="X2675" i="34"/>
  <c r="X2679" i="34"/>
  <c r="X2683" i="34"/>
  <c r="X2687" i="34"/>
  <c r="X2691" i="34"/>
  <c r="X2695" i="34"/>
  <c r="X2699" i="34"/>
  <c r="X2703" i="34"/>
  <c r="X2707" i="34"/>
  <c r="X2711" i="34"/>
  <c r="X2715" i="34"/>
  <c r="X2719" i="34"/>
  <c r="X2723" i="34"/>
  <c r="X2727" i="34"/>
  <c r="X2731" i="34"/>
  <c r="X2735" i="34"/>
  <c r="X2739" i="34"/>
  <c r="X2743" i="34"/>
  <c r="X2747" i="34"/>
  <c r="X2751" i="34"/>
  <c r="X2755" i="34"/>
  <c r="X2759" i="34"/>
  <c r="X2763" i="34"/>
  <c r="X2767" i="34"/>
  <c r="X2771" i="34"/>
  <c r="X2775" i="34"/>
  <c r="X2779" i="34"/>
  <c r="X2783" i="34"/>
  <c r="X2787" i="34"/>
  <c r="X2791" i="34"/>
  <c r="X2795" i="34"/>
  <c r="X2799" i="34"/>
  <c r="X2803" i="34"/>
  <c r="X2806" i="34"/>
  <c r="X2808" i="34"/>
  <c r="X2810" i="34"/>
  <c r="X2812" i="34"/>
  <c r="X2814" i="34"/>
  <c r="X2816" i="34"/>
  <c r="X2818" i="34"/>
  <c r="X2820" i="34"/>
  <c r="X2822" i="34"/>
  <c r="X2824" i="34"/>
  <c r="X2826" i="34"/>
  <c r="X2828" i="34"/>
  <c r="X2830" i="34"/>
  <c r="X2832" i="34"/>
  <c r="X2834" i="34"/>
  <c r="X2836" i="34"/>
  <c r="X2838" i="34"/>
  <c r="X2840" i="34"/>
  <c r="X2842" i="34"/>
  <c r="X2844" i="34"/>
  <c r="X2846" i="34"/>
  <c r="X2848" i="34"/>
  <c r="X2850" i="34"/>
  <c r="X2852" i="34"/>
  <c r="X2854" i="34"/>
  <c r="X2856" i="34"/>
  <c r="X2858" i="34"/>
  <c r="X2860" i="34"/>
  <c r="X2862" i="34"/>
  <c r="X2864" i="34"/>
  <c r="X2866" i="34"/>
  <c r="X2868" i="34"/>
  <c r="X2870" i="34"/>
  <c r="X2872" i="34"/>
  <c r="X2874" i="34"/>
  <c r="X2876" i="34"/>
  <c r="X2878" i="34"/>
  <c r="X2880" i="34"/>
  <c r="X2882" i="34"/>
  <c r="X2884" i="34"/>
  <c r="X2886" i="34"/>
  <c r="X2888" i="34"/>
  <c r="X2890" i="34"/>
  <c r="X2892" i="34"/>
  <c r="X2894" i="34"/>
  <c r="X2896" i="34"/>
  <c r="X2898" i="34"/>
  <c r="X2900" i="34"/>
  <c r="X2902" i="34"/>
  <c r="X2904" i="34"/>
  <c r="X2906" i="34"/>
  <c r="X2908" i="34"/>
  <c r="X2910" i="34"/>
  <c r="X2912" i="34"/>
  <c r="X2914" i="34"/>
  <c r="X2916" i="34"/>
  <c r="X2918" i="34"/>
  <c r="X2920" i="34"/>
  <c r="X2924" i="34"/>
  <c r="X2927" i="34"/>
  <c r="X2929" i="34"/>
  <c r="X2931" i="34"/>
  <c r="X2933" i="34"/>
  <c r="X2935" i="34"/>
  <c r="X2873" i="34"/>
  <c r="X2881" i="34"/>
  <c r="X2889" i="34"/>
  <c r="X2897" i="34"/>
  <c r="X2905" i="34"/>
  <c r="X2913" i="34"/>
  <c r="X2922" i="34"/>
  <c r="X2930" i="34"/>
  <c r="X3440" i="34"/>
  <c r="X3452" i="34"/>
  <c r="X3479" i="34"/>
  <c r="X3492" i="34"/>
  <c r="X3503" i="34"/>
  <c r="X3519" i="34"/>
  <c r="X3523" i="34"/>
  <c r="X3527" i="34"/>
  <c r="X3531" i="34"/>
  <c r="X3539" i="34"/>
  <c r="X3543" i="34"/>
  <c r="X3555" i="34"/>
  <c r="X3575" i="34"/>
  <c r="X3579" i="34"/>
  <c r="X3589" i="34"/>
  <c r="X3593" i="34"/>
  <c r="X3597" i="34"/>
  <c r="X3601" i="34"/>
  <c r="X3620" i="34"/>
  <c r="X3654" i="34"/>
  <c r="X3691" i="34"/>
  <c r="X3726" i="34"/>
  <c r="X3752" i="34"/>
  <c r="X3756" i="34"/>
  <c r="X3786" i="34"/>
  <c r="X3795" i="34"/>
  <c r="X3807" i="34"/>
  <c r="X3817" i="34"/>
  <c r="X3825" i="34"/>
  <c r="X3861" i="34"/>
  <c r="X3880" i="34"/>
  <c r="X3882" i="34"/>
  <c r="X3884" i="34"/>
  <c r="X3886" i="34"/>
  <c r="X3888" i="34"/>
  <c r="X3890" i="34"/>
  <c r="X3892" i="34"/>
  <c r="X3894" i="34"/>
  <c r="X3896" i="34"/>
  <c r="X3898" i="34"/>
  <c r="X3900" i="34"/>
  <c r="X3902" i="34"/>
  <c r="X3931" i="34"/>
  <c r="X3969" i="34"/>
  <c r="X3971" i="34"/>
  <c r="X3985" i="34"/>
  <c r="X3987" i="34"/>
  <c r="X3992" i="34"/>
  <c r="X3997" i="34"/>
  <c r="X3998" i="34"/>
  <c r="X4000" i="34"/>
  <c r="X4002" i="34"/>
  <c r="X4004" i="34"/>
  <c r="X4006" i="34"/>
  <c r="X4008" i="34"/>
  <c r="X4010" i="34"/>
  <c r="X4012" i="34"/>
  <c r="X4014" i="34"/>
  <c r="X4016" i="34"/>
  <c r="X4018" i="34"/>
  <c r="X4020" i="34"/>
  <c r="X4032" i="34"/>
  <c r="X4042" i="34"/>
  <c r="X4049" i="34"/>
  <c r="X4063" i="34"/>
  <c r="X4065" i="34"/>
  <c r="X4074" i="34"/>
  <c r="X4129" i="34"/>
  <c r="X4163" i="34"/>
  <c r="X4165" i="34"/>
  <c r="X4167" i="34"/>
  <c r="X4169" i="34"/>
  <c r="X4171" i="34"/>
  <c r="X4173" i="34"/>
  <c r="X4177" i="34"/>
  <c r="X4179" i="34"/>
  <c r="X4181" i="34"/>
  <c r="X4183" i="34"/>
  <c r="X4224" i="34"/>
  <c r="X4268" i="34"/>
  <c r="X4282" i="34"/>
  <c r="X4284" i="34"/>
  <c r="X4286" i="34"/>
  <c r="X4288" i="34"/>
  <c r="X4292" i="34"/>
  <c r="X4308" i="34"/>
  <c r="X4310" i="34"/>
  <c r="X4349" i="34"/>
  <c r="X4351" i="34"/>
  <c r="X4353" i="34"/>
  <c r="X4355" i="34"/>
  <c r="X4357" i="34"/>
  <c r="X4359" i="34"/>
  <c r="X4361" i="34"/>
  <c r="X4363" i="34"/>
  <c r="X4365" i="34"/>
  <c r="X4367" i="34"/>
  <c r="X4369" i="34"/>
  <c r="X4371" i="34"/>
  <c r="X4386" i="34"/>
  <c r="X4389" i="34"/>
  <c r="X4411" i="34"/>
  <c r="X4413" i="34"/>
  <c r="X4426" i="34"/>
  <c r="X4428" i="34"/>
  <c r="X4430" i="34"/>
  <c r="X4432" i="34"/>
  <c r="X4434" i="34"/>
  <c r="X4436" i="34"/>
  <c r="X4442" i="34"/>
  <c r="X4444" i="34"/>
  <c r="X4446" i="34"/>
  <c r="X4478" i="34"/>
  <c r="X4483" i="34"/>
  <c r="X4485" i="34"/>
  <c r="X4504" i="34"/>
  <c r="X4506" i="34"/>
  <c r="X4508" i="34"/>
  <c r="X4510" i="34"/>
  <c r="X4512" i="34"/>
  <c r="X4514" i="34"/>
  <c r="X4519" i="34"/>
  <c r="X4528" i="34"/>
  <c r="X4530" i="34"/>
  <c r="X4532" i="34"/>
  <c r="X4534" i="34"/>
  <c r="X4549" i="34"/>
  <c r="X4551" i="34"/>
  <c r="X4559" i="34"/>
  <c r="X4561" i="34"/>
  <c r="X4575" i="34"/>
  <c r="X4577" i="34"/>
  <c r="X4579" i="34"/>
  <c r="X4601" i="34"/>
  <c r="X4603" i="34"/>
  <c r="X4605" i="34"/>
  <c r="X4607" i="34"/>
  <c r="X4595" i="34"/>
  <c r="X4644" i="34"/>
  <c r="X4766" i="34"/>
  <c r="X4718" i="34"/>
  <c r="X4710" i="34"/>
  <c r="X2871" i="34"/>
  <c r="X2879" i="34"/>
  <c r="X2887" i="34"/>
  <c r="X2895" i="34"/>
  <c r="X2903" i="34"/>
  <c r="X2911" i="34"/>
  <c r="X2919" i="34"/>
  <c r="X2921" i="34"/>
  <c r="X2928" i="34"/>
  <c r="X2936" i="34"/>
  <c r="X2938" i="34"/>
  <c r="X2940" i="34"/>
  <c r="X2942" i="34"/>
  <c r="X2944" i="34"/>
  <c r="X2946" i="34"/>
  <c r="X2948" i="34"/>
  <c r="X2950" i="34"/>
  <c r="X2952" i="34"/>
  <c r="X2954" i="34"/>
  <c r="X2956" i="34"/>
  <c r="X2958" i="34"/>
  <c r="X2960" i="34"/>
  <c r="X2962" i="34"/>
  <c r="X2964" i="34"/>
  <c r="X2966" i="34"/>
  <c r="X2968" i="34"/>
  <c r="X2970" i="34"/>
  <c r="X2972" i="34"/>
  <c r="X2974" i="34"/>
  <c r="X2976" i="34"/>
  <c r="X2978" i="34"/>
  <c r="X2980" i="34"/>
  <c r="X2982" i="34"/>
  <c r="X2984" i="34"/>
  <c r="X2986" i="34"/>
  <c r="X2988" i="34"/>
  <c r="X2990" i="34"/>
  <c r="X2992" i="34"/>
  <c r="X2994" i="34"/>
  <c r="X2996" i="34"/>
  <c r="X2998" i="34"/>
  <c r="X3000" i="34"/>
  <c r="X3002" i="34"/>
  <c r="X3004" i="34"/>
  <c r="X3006" i="34"/>
  <c r="X3008" i="34"/>
  <c r="X3010" i="34"/>
  <c r="X3012" i="34"/>
  <c r="X3014" i="34"/>
  <c r="X3016" i="34"/>
  <c r="X3018" i="34"/>
  <c r="X3020" i="34"/>
  <c r="X3022" i="34"/>
  <c r="X3024" i="34"/>
  <c r="X3026" i="34"/>
  <c r="X3028" i="34"/>
  <c r="X3030" i="34"/>
  <c r="X3032" i="34"/>
  <c r="X3034" i="34"/>
  <c r="X3036" i="34"/>
  <c r="X3038" i="34"/>
  <c r="X3040" i="34"/>
  <c r="X3042" i="34"/>
  <c r="X3044" i="34"/>
  <c r="X3046" i="34"/>
  <c r="X3048" i="34"/>
  <c r="X3050" i="34"/>
  <c r="X3052" i="34"/>
  <c r="X3054" i="34"/>
  <c r="X3056" i="34"/>
  <c r="X3058" i="34"/>
  <c r="X3060" i="34"/>
  <c r="X3062" i="34"/>
  <c r="X3064" i="34"/>
  <c r="X3066" i="34"/>
  <c r="X3068" i="34"/>
  <c r="X3070" i="34"/>
  <c r="X3072" i="34"/>
  <c r="X3074" i="34"/>
  <c r="X3076" i="34"/>
  <c r="X3078" i="34"/>
  <c r="X3080" i="34"/>
  <c r="X3082" i="34"/>
  <c r="X3084" i="34"/>
  <c r="X3086" i="34"/>
  <c r="X3088" i="34"/>
  <c r="X3090" i="34"/>
  <c r="X3092" i="34"/>
  <c r="X3094" i="34"/>
  <c r="X3096" i="34"/>
  <c r="X3098" i="34"/>
  <c r="X3100" i="34"/>
  <c r="X3102" i="34"/>
  <c r="X3104" i="34"/>
  <c r="X3106" i="34"/>
  <c r="X3108" i="34"/>
  <c r="X3110" i="34"/>
  <c r="X3112" i="34"/>
  <c r="X3114" i="34"/>
  <c r="X3116" i="34"/>
  <c r="X3118" i="34"/>
  <c r="X3120" i="34"/>
  <c r="X3122" i="34"/>
  <c r="X3124" i="34"/>
  <c r="X3126" i="34"/>
  <c r="X3128" i="34"/>
  <c r="X3130" i="34"/>
  <c r="X3132" i="34"/>
  <c r="X3134" i="34"/>
  <c r="X3136" i="34"/>
  <c r="X3138" i="34"/>
  <c r="X3140" i="34"/>
  <c r="X3142" i="34"/>
  <c r="X3144" i="34"/>
  <c r="X3146" i="34"/>
  <c r="X3148" i="34"/>
  <c r="X3150" i="34"/>
  <c r="X3152" i="34"/>
  <c r="X3154" i="34"/>
  <c r="X3156" i="34"/>
  <c r="X3158" i="34"/>
  <c r="X3160" i="34"/>
  <c r="X3162" i="34"/>
  <c r="X3164" i="34"/>
  <c r="X3166" i="34"/>
  <c r="X3168" i="34"/>
  <c r="X3170" i="34"/>
  <c r="X3172" i="34"/>
  <c r="X3174" i="34"/>
  <c r="X3176" i="34"/>
  <c r="X3178" i="34"/>
  <c r="X3180" i="34"/>
  <c r="X3182" i="34"/>
  <c r="X3184" i="34"/>
  <c r="X3186" i="34"/>
  <c r="X3188" i="34"/>
  <c r="X3190" i="34"/>
  <c r="X3192" i="34"/>
  <c r="X3194" i="34"/>
  <c r="X3196" i="34"/>
  <c r="X3198" i="34"/>
  <c r="X3200" i="34"/>
  <c r="X3202" i="34"/>
  <c r="X3204" i="34"/>
  <c r="X3206" i="34"/>
  <c r="X3208" i="34"/>
  <c r="X3210" i="34"/>
  <c r="X3212" i="34"/>
  <c r="X3214" i="34"/>
  <c r="X3216" i="34"/>
  <c r="X3218" i="34"/>
  <c r="X3220" i="34"/>
  <c r="X3222" i="34"/>
  <c r="X3224" i="34"/>
  <c r="X3226" i="34"/>
  <c r="X3228" i="34"/>
  <c r="X3230" i="34"/>
  <c r="X3232" i="34"/>
  <c r="X3234" i="34"/>
  <c r="X3236" i="34"/>
  <c r="X3238" i="34"/>
  <c r="X3240" i="34"/>
  <c r="X3242" i="34"/>
  <c r="X3244" i="34"/>
  <c r="X3246" i="34"/>
  <c r="X3248" i="34"/>
  <c r="X3250" i="34"/>
  <c r="X3252" i="34"/>
  <c r="X3254" i="34"/>
  <c r="X3256" i="34"/>
  <c r="X3258" i="34"/>
  <c r="X3260" i="34"/>
  <c r="X3262" i="34"/>
  <c r="X3264" i="34"/>
  <c r="X3266" i="34"/>
  <c r="X3268" i="34"/>
  <c r="X3270" i="34"/>
  <c r="X3272" i="34"/>
  <c r="X3274" i="34"/>
  <c r="X3276" i="34"/>
  <c r="X3278" i="34"/>
  <c r="X3280" i="34"/>
  <c r="X3282" i="34"/>
  <c r="X3284" i="34"/>
  <c r="X3286" i="34"/>
  <c r="X3288" i="34"/>
  <c r="X3290" i="34"/>
  <c r="X3292" i="34"/>
  <c r="X3294" i="34"/>
  <c r="X3296" i="34"/>
  <c r="X3298" i="34"/>
  <c r="X3300" i="34"/>
  <c r="X3302" i="34"/>
  <c r="X3304" i="34"/>
  <c r="X3306" i="34"/>
  <c r="X3308" i="34"/>
  <c r="X3310" i="34"/>
  <c r="X3312" i="34"/>
  <c r="X3314" i="34"/>
  <c r="X3316" i="34"/>
  <c r="X3318" i="34"/>
  <c r="X3320" i="34"/>
  <c r="X3322" i="34"/>
  <c r="X3324" i="34"/>
  <c r="X3326" i="34"/>
  <c r="X3328" i="34"/>
  <c r="X3330" i="34"/>
  <c r="X3332" i="34"/>
  <c r="X3334" i="34"/>
  <c r="X3336" i="34"/>
  <c r="X3338" i="34"/>
  <c r="X3340" i="34"/>
  <c r="X3342" i="34"/>
  <c r="X3344" i="34"/>
  <c r="X3346" i="34"/>
  <c r="X3439" i="34"/>
  <c r="X3443" i="34"/>
  <c r="X3455" i="34"/>
  <c r="X3489" i="34"/>
  <c r="X3502" i="34"/>
  <c r="X3518" i="34"/>
  <c r="X3522" i="34"/>
  <c r="X3526" i="34"/>
  <c r="X3530" i="34"/>
  <c r="X3538" i="34"/>
  <c r="X3542" i="34"/>
  <c r="X3554" i="34"/>
  <c r="X3558" i="34"/>
  <c r="X3578" i="34"/>
  <c r="X3588" i="34"/>
  <c r="X3592" i="34"/>
  <c r="X3596" i="34"/>
  <c r="X3600" i="34"/>
  <c r="X3619" i="34"/>
  <c r="X3653" i="34"/>
  <c r="X3690" i="34"/>
  <c r="X3724" i="34"/>
  <c r="X3751" i="34"/>
  <c r="X3755" i="34"/>
  <c r="X3780" i="34"/>
  <c r="X3794" i="34"/>
  <c r="X3798" i="34"/>
  <c r="X3816" i="34"/>
  <c r="X3820" i="34"/>
  <c r="X3858" i="34"/>
  <c r="X3871" i="34"/>
  <c r="X3873" i="34"/>
  <c r="X3875" i="34"/>
  <c r="X3876" i="34"/>
  <c r="X3937" i="34"/>
  <c r="X3939" i="34"/>
  <c r="X3945" i="34"/>
  <c r="X3946" i="34"/>
  <c r="X3948" i="34"/>
  <c r="X3950" i="34"/>
  <c r="X3952" i="34"/>
  <c r="X3954" i="34"/>
  <c r="X3956" i="34"/>
  <c r="X3958" i="34"/>
  <c r="X3965" i="34"/>
  <c r="X3968" i="34"/>
  <c r="X3983" i="34"/>
  <c r="X3995" i="34"/>
  <c r="X4079" i="34"/>
  <c r="X4082" i="34"/>
  <c r="X4132" i="34"/>
  <c r="X4134" i="34"/>
  <c r="X4146" i="34"/>
  <c r="X4148" i="34"/>
  <c r="X4150" i="34"/>
  <c r="X4162" i="34"/>
  <c r="X4189" i="34"/>
  <c r="X4193" i="34"/>
  <c r="X4202" i="34"/>
  <c r="X4204" i="34"/>
  <c r="X4207" i="34"/>
  <c r="X4209" i="34"/>
  <c r="X4223" i="34"/>
  <c r="X4232" i="34"/>
  <c r="X4257" i="34"/>
  <c r="X4259" i="34"/>
  <c r="X4261" i="34"/>
  <c r="X4267" i="34"/>
  <c r="X4399" i="34"/>
  <c r="X4401" i="34"/>
  <c r="X4403" i="34"/>
  <c r="X4463" i="34"/>
  <c r="X4465" i="34"/>
  <c r="X4467" i="34"/>
  <c r="X4469" i="34"/>
  <c r="X4471" i="34"/>
  <c r="X4473" i="34"/>
  <c r="X4475" i="34"/>
  <c r="X4477" i="34"/>
  <c r="X4491" i="34"/>
  <c r="X4493" i="34"/>
  <c r="X4495" i="34"/>
  <c r="X4497" i="34"/>
  <c r="X4563" i="34"/>
  <c r="X4625" i="34"/>
  <c r="X4646" i="34"/>
  <c r="X4652" i="34"/>
  <c r="X4654" i="34"/>
  <c r="X4656" i="34"/>
  <c r="X4662" i="34"/>
  <c r="X4664" i="34"/>
  <c r="X4670" i="34"/>
  <c r="X4672" i="34"/>
  <c r="X4674" i="34"/>
  <c r="X4749" i="34"/>
  <c r="X4685" i="34"/>
  <c r="X4697" i="34"/>
  <c r="X4699" i="34"/>
  <c r="X4701" i="34"/>
  <c r="X4703" i="34"/>
  <c r="X4705" i="34"/>
  <c r="X4707" i="34"/>
  <c r="X4709" i="34"/>
  <c r="X4748" i="34"/>
  <c r="X4755" i="34"/>
  <c r="X4757" i="34"/>
  <c r="X4759" i="34"/>
  <c r="X4787" i="34"/>
  <c r="X4789" i="34"/>
  <c r="X4791" i="34"/>
  <c r="X4793" i="34"/>
  <c r="X4822" i="34"/>
  <c r="X4828" i="34"/>
  <c r="X4830" i="34"/>
  <c r="X4842" i="34"/>
  <c r="X4898" i="34"/>
  <c r="X4921" i="34"/>
  <c r="X4923" i="34"/>
  <c r="X4925" i="34"/>
  <c r="X4927" i="34"/>
  <c r="X4940" i="34"/>
  <c r="X4945" i="34"/>
  <c r="X4947" i="34"/>
  <c r="X4959" i="34"/>
  <c r="X4973" i="34"/>
  <c r="X4975" i="34"/>
  <c r="X2869" i="34"/>
  <c r="X2877" i="34"/>
  <c r="X2885" i="34"/>
  <c r="X2893" i="34"/>
  <c r="X2901" i="34"/>
  <c r="X2909" i="34"/>
  <c r="X2917" i="34"/>
  <c r="X2926" i="34"/>
  <c r="X2934" i="34"/>
  <c r="X3438" i="34"/>
  <c r="X3442" i="34"/>
  <c r="X3454" i="34"/>
  <c r="X3488" i="34"/>
  <c r="X3501" i="34"/>
  <c r="X3508" i="34"/>
  <c r="X3521" i="34"/>
  <c r="X3525" i="34"/>
  <c r="X3529" i="34"/>
  <c r="X3537" i="34"/>
  <c r="X3541" i="34"/>
  <c r="X3545" i="34"/>
  <c r="X3557" i="34"/>
  <c r="X3577" i="34"/>
  <c r="X3587" i="34"/>
  <c r="X3591" i="34"/>
  <c r="X3595" i="34"/>
  <c r="X3599" i="34"/>
  <c r="X3604" i="34"/>
  <c r="X3622" i="34"/>
  <c r="X3669" i="34"/>
  <c r="X3720" i="34"/>
  <c r="X3747" i="34"/>
  <c r="X3754" i="34"/>
  <c r="X3779" i="34"/>
  <c r="X3793" i="34"/>
  <c r="X3797" i="34"/>
  <c r="X3811" i="34"/>
  <c r="X3819" i="34"/>
  <c r="X3857" i="34"/>
  <c r="X3881" i="34"/>
  <c r="X3883" i="34"/>
  <c r="X3885" i="34"/>
  <c r="X3887" i="34"/>
  <c r="X3889" i="34"/>
  <c r="X3891" i="34"/>
  <c r="X3893" i="34"/>
  <c r="X3895" i="34"/>
  <c r="X3897" i="34"/>
  <c r="X3899" i="34"/>
  <c r="X3901" i="34"/>
  <c r="X3904" i="34"/>
  <c r="X3942" i="34"/>
  <c r="X3970" i="34"/>
  <c r="X3972" i="34"/>
  <c r="X3984" i="34"/>
  <c r="X3986" i="34"/>
  <c r="X3991" i="34"/>
  <c r="X3993" i="34"/>
  <c r="X3994" i="34"/>
  <c r="X3999" i="34"/>
  <c r="X4001" i="34"/>
  <c r="X4003" i="34"/>
  <c r="X4005" i="34"/>
  <c r="X4007" i="34"/>
  <c r="X4009" i="34"/>
  <c r="X4011" i="34"/>
  <c r="X4013" i="34"/>
  <c r="X4015" i="34"/>
  <c r="X4017" i="34"/>
  <c r="X4019" i="34"/>
  <c r="X4021" i="34"/>
  <c r="X4041" i="34"/>
  <c r="X4043" i="34"/>
  <c r="X4062" i="34"/>
  <c r="X4064" i="34"/>
  <c r="X4066" i="34"/>
  <c r="X4107" i="34"/>
  <c r="X4131" i="34"/>
  <c r="X4164" i="34"/>
  <c r="X4166" i="34"/>
  <c r="X4168" i="34"/>
  <c r="X4170" i="34"/>
  <c r="X4172" i="34"/>
  <c r="X4174" i="34"/>
  <c r="X4178" i="34"/>
  <c r="X4180" i="34"/>
  <c r="X4182" i="34"/>
  <c r="X4188" i="34"/>
  <c r="X4278" i="34"/>
  <c r="X4283" i="34"/>
  <c r="X4285" i="34"/>
  <c r="X4287" i="34"/>
  <c r="X4291" i="34"/>
  <c r="X4293" i="34"/>
  <c r="X4309" i="34"/>
  <c r="X4315" i="34"/>
  <c r="X4350" i="34"/>
  <c r="X4352" i="34"/>
  <c r="X4354" i="34"/>
  <c r="X4356" i="34"/>
  <c r="X4358" i="34"/>
  <c r="X4360" i="34"/>
  <c r="X4362" i="34"/>
  <c r="X4364" i="34"/>
  <c r="X4366" i="34"/>
  <c r="X4368" i="34"/>
  <c r="X4370" i="34"/>
  <c r="X4372" i="34"/>
  <c r="X4387" i="34"/>
  <c r="X4412" i="34"/>
  <c r="X4425" i="34"/>
  <c r="X4427" i="34"/>
  <c r="X4429" i="34"/>
  <c r="X4431" i="34"/>
  <c r="X4433" i="34"/>
  <c r="X4435" i="34"/>
  <c r="X4441" i="34"/>
  <c r="X4443" i="34"/>
  <c r="X4445" i="34"/>
  <c r="X4479" i="34"/>
  <c r="X4484" i="34"/>
  <c r="X4486" i="34"/>
  <c r="X4503" i="34"/>
  <c r="X4505" i="34"/>
  <c r="X4507" i="34"/>
  <c r="X4509" i="34"/>
  <c r="X4511" i="34"/>
  <c r="X4513" i="34"/>
  <c r="X4515" i="34"/>
  <c r="X4527" i="34"/>
  <c r="X4529" i="34"/>
  <c r="X4531" i="34"/>
  <c r="X4533" i="34"/>
  <c r="X4541" i="34"/>
  <c r="X4550" i="34"/>
  <c r="X4552" i="34"/>
  <c r="X4560" i="34"/>
  <c r="X4562" i="34"/>
  <c r="X4576" i="34"/>
  <c r="X4578" i="34"/>
  <c r="X4600" i="34"/>
  <c r="X4602" i="34"/>
  <c r="X4604" i="34"/>
  <c r="X4606" i="34"/>
  <c r="X4608" i="34"/>
  <c r="X2867" i="34"/>
  <c r="X2875" i="34"/>
  <c r="X2883" i="34"/>
  <c r="X2891" i="34"/>
  <c r="X2899" i="34"/>
  <c r="X2907" i="34"/>
  <c r="X2915" i="34"/>
  <c r="X2925" i="34"/>
  <c r="X2932" i="34"/>
  <c r="X2937" i="34"/>
  <c r="X2939" i="34"/>
  <c r="X2941" i="34"/>
  <c r="X2943" i="34"/>
  <c r="X2945" i="34"/>
  <c r="X2947" i="34"/>
  <c r="X2949" i="34"/>
  <c r="X2951" i="34"/>
  <c r="X2953" i="34"/>
  <c r="X2955" i="34"/>
  <c r="X2957" i="34"/>
  <c r="X2959" i="34"/>
  <c r="X2961" i="34"/>
  <c r="X2963" i="34"/>
  <c r="X2965" i="34"/>
  <c r="X2967" i="34"/>
  <c r="X2969" i="34"/>
  <c r="X2971" i="34"/>
  <c r="X2973" i="34"/>
  <c r="X2975" i="34"/>
  <c r="X2977" i="34"/>
  <c r="X2979" i="34"/>
  <c r="X2981" i="34"/>
  <c r="X2983" i="34"/>
  <c r="X2985" i="34"/>
  <c r="X2987" i="34"/>
  <c r="X2989" i="34"/>
  <c r="X2991" i="34"/>
  <c r="X2993" i="34"/>
  <c r="X2995" i="34"/>
  <c r="X2997" i="34"/>
  <c r="X2999" i="34"/>
  <c r="X3001" i="34"/>
  <c r="X3003" i="34"/>
  <c r="X3005" i="34"/>
  <c r="X3007" i="34"/>
  <c r="X3009" i="34"/>
  <c r="X3011" i="34"/>
  <c r="X3013" i="34"/>
  <c r="X3015" i="34"/>
  <c r="X3017" i="34"/>
  <c r="X3019" i="34"/>
  <c r="X3021" i="34"/>
  <c r="X3023" i="34"/>
  <c r="X3025" i="34"/>
  <c r="X3027" i="34"/>
  <c r="X3029" i="34"/>
  <c r="X3031" i="34"/>
  <c r="X3033" i="34"/>
  <c r="X3035" i="34"/>
  <c r="X3037" i="34"/>
  <c r="X3039" i="34"/>
  <c r="X3041" i="34"/>
  <c r="X3043" i="34"/>
  <c r="X3045" i="34"/>
  <c r="X3047" i="34"/>
  <c r="X3049" i="34"/>
  <c r="X3051" i="34"/>
  <c r="X3053" i="34"/>
  <c r="X3055" i="34"/>
  <c r="X3057" i="34"/>
  <c r="X3059" i="34"/>
  <c r="X3061" i="34"/>
  <c r="X3063" i="34"/>
  <c r="X3065" i="34"/>
  <c r="X3067" i="34"/>
  <c r="X3069" i="34"/>
  <c r="X3071" i="34"/>
  <c r="X3073" i="34"/>
  <c r="X3075" i="34"/>
  <c r="X3077" i="34"/>
  <c r="X3079" i="34"/>
  <c r="X3081" i="34"/>
  <c r="X3083" i="34"/>
  <c r="X3085" i="34"/>
  <c r="X3087" i="34"/>
  <c r="X3089" i="34"/>
  <c r="X3091" i="34"/>
  <c r="X3093" i="34"/>
  <c r="X3095" i="34"/>
  <c r="X3097" i="34"/>
  <c r="X3099" i="34"/>
  <c r="X3101" i="34"/>
  <c r="X3103" i="34"/>
  <c r="X3105" i="34"/>
  <c r="X3107" i="34"/>
  <c r="X3109" i="34"/>
  <c r="X3111" i="34"/>
  <c r="X3113" i="34"/>
  <c r="X3115" i="34"/>
  <c r="X3117" i="34"/>
  <c r="X3119" i="34"/>
  <c r="X3121" i="34"/>
  <c r="X3123" i="34"/>
  <c r="X3125" i="34"/>
  <c r="X3127" i="34"/>
  <c r="X3129" i="34"/>
  <c r="X3131" i="34"/>
  <c r="X3133" i="34"/>
  <c r="X3135" i="34"/>
  <c r="X3137" i="34"/>
  <c r="X3139" i="34"/>
  <c r="X3141" i="34"/>
  <c r="X3143" i="34"/>
  <c r="X3145" i="34"/>
  <c r="X3147" i="34"/>
  <c r="X3149" i="34"/>
  <c r="X3151" i="34"/>
  <c r="X3153" i="34"/>
  <c r="X3155" i="34"/>
  <c r="X3157" i="34"/>
  <c r="X3159" i="34"/>
  <c r="X3161" i="34"/>
  <c r="X3163" i="34"/>
  <c r="X3165" i="34"/>
  <c r="X3167" i="34"/>
  <c r="X3169" i="34"/>
  <c r="X3171" i="34"/>
  <c r="X3173" i="34"/>
  <c r="X3175" i="34"/>
  <c r="X3177" i="34"/>
  <c r="X3179" i="34"/>
  <c r="X3181" i="34"/>
  <c r="X3183" i="34"/>
  <c r="X3185" i="34"/>
  <c r="X3187" i="34"/>
  <c r="X3189" i="34"/>
  <c r="X3191" i="34"/>
  <c r="X3193" i="34"/>
  <c r="X3195" i="34"/>
  <c r="X3197" i="34"/>
  <c r="X3199" i="34"/>
  <c r="X3201" i="34"/>
  <c r="X3203" i="34"/>
  <c r="X3205" i="34"/>
  <c r="X3207" i="34"/>
  <c r="X3209" i="34"/>
  <c r="X3211" i="34"/>
  <c r="X3213" i="34"/>
  <c r="X3215" i="34"/>
  <c r="X3217" i="34"/>
  <c r="X3219" i="34"/>
  <c r="X3221" i="34"/>
  <c r="X3223" i="34"/>
  <c r="X3225" i="34"/>
  <c r="X3227" i="34"/>
  <c r="X3229" i="34"/>
  <c r="X3231" i="34"/>
  <c r="X3233" i="34"/>
  <c r="X3235" i="34"/>
  <c r="X3237" i="34"/>
  <c r="X3239" i="34"/>
  <c r="X3241" i="34"/>
  <c r="X3243" i="34"/>
  <c r="X3245" i="34"/>
  <c r="X3247" i="34"/>
  <c r="X3249" i="34"/>
  <c r="X3251" i="34"/>
  <c r="X3253" i="34"/>
  <c r="X3255" i="34"/>
  <c r="X3257" i="34"/>
  <c r="X3259" i="34"/>
  <c r="X3261" i="34"/>
  <c r="X3263" i="34"/>
  <c r="X3265" i="34"/>
  <c r="X3267" i="34"/>
  <c r="X3269" i="34"/>
  <c r="X3271" i="34"/>
  <c r="X3273" i="34"/>
  <c r="X3275" i="34"/>
  <c r="X3277" i="34"/>
  <c r="X3279" i="34"/>
  <c r="X3281" i="34"/>
  <c r="X3283" i="34"/>
  <c r="X3285" i="34"/>
  <c r="X3287" i="34"/>
  <c r="X3289" i="34"/>
  <c r="X3291" i="34"/>
  <c r="X3293" i="34"/>
  <c r="X3295" i="34"/>
  <c r="X3297" i="34"/>
  <c r="X3299" i="34"/>
  <c r="X3301" i="34"/>
  <c r="X3303" i="34"/>
  <c r="X3305" i="34"/>
  <c r="X3307" i="34"/>
  <c r="X3309" i="34"/>
  <c r="X3311" i="34"/>
  <c r="X3313" i="34"/>
  <c r="X3315" i="34"/>
  <c r="X3317" i="34"/>
  <c r="X3319" i="34"/>
  <c r="X3321" i="34"/>
  <c r="X3323" i="34"/>
  <c r="X3325" i="34"/>
  <c r="X3327" i="34"/>
  <c r="X3329" i="34"/>
  <c r="X3331" i="34"/>
  <c r="X3333" i="34"/>
  <c r="X3335" i="34"/>
  <c r="X3337" i="34"/>
  <c r="X3339" i="34"/>
  <c r="X3341" i="34"/>
  <c r="X3343" i="34"/>
  <c r="X3345" i="34"/>
  <c r="X3434" i="34"/>
  <c r="X3441" i="34"/>
  <c r="X3453" i="34"/>
  <c r="X3487" i="34"/>
  <c r="X3496" i="34"/>
  <c r="X3504" i="34"/>
  <c r="X3520" i="34"/>
  <c r="X3524" i="34"/>
  <c r="X3528" i="34"/>
  <c r="X3536" i="34"/>
  <c r="X3540" i="34"/>
  <c r="X3544" i="34"/>
  <c r="X3556" i="34"/>
  <c r="X3576" i="34"/>
  <c r="X3580" i="34"/>
  <c r="X3590" i="34"/>
  <c r="X3594" i="34"/>
  <c r="X3598" i="34"/>
  <c r="X3602" i="34"/>
  <c r="X3621" i="34"/>
  <c r="X3668" i="34"/>
  <c r="X3692" i="34"/>
  <c r="X3742" i="34"/>
  <c r="X3753" i="34"/>
  <c r="X3757" i="34"/>
  <c r="X3792" i="34"/>
  <c r="X3796" i="34"/>
  <c r="X3810" i="34"/>
  <c r="X3818" i="34"/>
  <c r="X3856" i="34"/>
  <c r="X3870" i="34"/>
  <c r="X3872" i="34"/>
  <c r="X3874" i="34"/>
  <c r="X3879" i="34"/>
  <c r="X3932" i="34"/>
  <c r="X3938" i="34"/>
  <c r="X3940" i="34"/>
  <c r="X3941" i="34"/>
  <c r="X3947" i="34"/>
  <c r="X3949" i="34"/>
  <c r="X3951" i="34"/>
  <c r="X3953" i="34"/>
  <c r="X3955" i="34"/>
  <c r="X3957" i="34"/>
  <c r="X3964" i="34"/>
  <c r="X3966" i="34"/>
  <c r="X3982" i="34"/>
  <c r="X4075" i="34"/>
  <c r="X4080" i="34"/>
  <c r="X4083" i="34"/>
  <c r="X4133" i="34"/>
  <c r="X4139" i="34"/>
  <c r="X4147" i="34"/>
  <c r="X4149" i="34"/>
  <c r="X4158" i="34"/>
  <c r="X4192" i="34"/>
  <c r="X4201" i="34"/>
  <c r="X4203" i="34"/>
  <c r="X4205" i="34"/>
  <c r="X4208" i="34"/>
  <c r="X4210" i="34"/>
  <c r="X4225" i="34"/>
  <c r="X4249" i="34"/>
  <c r="X4258" i="34"/>
  <c r="X4260" i="34"/>
  <c r="X4262" i="34"/>
  <c r="X4398" i="34"/>
  <c r="X4400" i="34"/>
  <c r="X4402" i="34"/>
  <c r="X4462" i="34"/>
  <c r="X4464" i="34"/>
  <c r="X4466" i="34"/>
  <c r="X4468" i="34"/>
  <c r="X4470" i="34"/>
  <c r="X4472" i="34"/>
  <c r="X4474" i="34"/>
  <c r="X4476" i="34"/>
  <c r="X4492" i="34"/>
  <c r="X4494" i="34"/>
  <c r="X4496" i="34"/>
  <c r="X4498" i="34"/>
  <c r="X4624" i="34"/>
  <c r="X4609" i="34"/>
  <c r="X4651" i="34"/>
  <c r="X4653" i="34"/>
  <c r="X4655" i="34"/>
  <c r="X4657" i="34"/>
  <c r="X4663" i="34"/>
  <c r="X4665" i="34"/>
  <c r="X4671" i="34"/>
  <c r="X4673" i="34"/>
  <c r="X4675" i="34"/>
  <c r="X4681" i="34"/>
  <c r="X4691" i="34"/>
  <c r="X4698" i="34"/>
  <c r="X4700" i="34"/>
  <c r="X4702" i="34"/>
  <c r="X4704" i="34"/>
  <c r="X4706" i="34"/>
  <c r="X4708" i="34"/>
  <c r="X4696" i="34"/>
  <c r="X4747" i="34"/>
  <c r="X4754" i="34"/>
  <c r="X4717" i="34"/>
  <c r="X4788" i="34"/>
  <c r="X4838" i="34"/>
  <c r="X4899" i="34"/>
  <c r="X4928" i="34"/>
  <c r="X4972" i="34"/>
  <c r="X4977" i="34"/>
  <c r="X4987" i="34"/>
  <c r="X5045" i="34"/>
  <c r="X5047" i="34"/>
  <c r="X5057" i="34"/>
  <c r="X5059" i="34"/>
  <c r="X5061" i="34"/>
  <c r="X5063" i="34"/>
  <c r="X5065" i="34"/>
  <c r="X5067" i="34"/>
  <c r="X5072" i="34"/>
  <c r="X5074" i="34"/>
  <c r="X5076" i="34"/>
  <c r="X5078" i="34"/>
  <c r="X5082" i="34"/>
  <c r="X5121" i="34"/>
  <c r="X5123" i="34"/>
  <c r="X5125" i="34"/>
  <c r="X5139" i="34"/>
  <c r="X5160" i="34"/>
  <c r="X5162" i="34"/>
  <c r="X5164" i="34"/>
  <c r="X5181" i="34"/>
  <c r="X5183" i="34"/>
  <c r="X5185" i="34"/>
  <c r="X5187" i="34"/>
  <c r="X5189" i="34"/>
  <c r="X5191" i="34"/>
  <c r="X5205" i="34"/>
  <c r="X5207" i="34"/>
  <c r="X5221" i="34"/>
  <c r="X5223" i="34"/>
  <c r="X5225" i="34"/>
  <c r="X5227" i="34"/>
  <c r="X5235" i="34"/>
  <c r="X5237" i="34"/>
  <c r="X5244" i="34"/>
  <c r="X5259" i="34"/>
  <c r="X5261" i="34"/>
  <c r="X5266" i="34"/>
  <c r="X5268" i="34"/>
  <c r="X5270" i="34"/>
  <c r="X5168" i="34"/>
  <c r="X5245" i="34"/>
  <c r="X5283" i="34"/>
  <c r="X5287" i="34"/>
  <c r="X5289" i="34"/>
  <c r="X5291" i="34"/>
  <c r="X5306" i="34"/>
  <c r="X5308" i="34"/>
  <c r="X5314" i="34"/>
  <c r="X5316" i="34"/>
  <c r="X5318" i="34"/>
  <c r="X5321" i="34"/>
  <c r="X5326" i="34"/>
  <c r="X5328" i="34"/>
  <c r="X5330" i="34"/>
  <c r="X5361" i="34"/>
  <c r="X5363" i="34"/>
  <c r="X5376" i="34"/>
  <c r="X5378" i="34"/>
  <c r="X5380" i="34"/>
  <c r="X5415" i="34"/>
  <c r="X5417" i="34"/>
  <c r="X5428" i="34"/>
  <c r="X5442" i="34"/>
  <c r="X5444" i="34"/>
  <c r="X5455" i="34"/>
  <c r="X5459" i="34"/>
  <c r="X5461" i="34"/>
  <c r="X5463" i="34"/>
  <c r="X5472" i="34"/>
  <c r="X5474" i="34"/>
  <c r="X5515" i="34"/>
  <c r="X5517" i="34"/>
  <c r="X5525" i="34"/>
  <c r="X5527" i="34"/>
  <c r="X5529" i="34"/>
  <c r="X5531" i="34"/>
  <c r="X5565" i="34"/>
  <c r="X5567" i="34"/>
  <c r="X5569" i="34"/>
  <c r="X5574" i="34"/>
  <c r="X5576" i="34"/>
  <c r="X5582" i="34"/>
  <c r="X5596" i="34"/>
  <c r="X5598" i="34"/>
  <c r="X5624" i="34"/>
  <c r="X5626" i="34"/>
  <c r="X5633" i="34"/>
  <c r="X5637" i="34"/>
  <c r="X5639" i="34"/>
  <c r="X5648" i="34"/>
  <c r="X5654" i="34"/>
  <c r="X5656" i="34"/>
  <c r="X5668" i="34"/>
  <c r="X5692" i="34"/>
  <c r="X5694" i="34"/>
  <c r="X5696" i="34"/>
  <c r="X5698" i="34"/>
  <c r="X5700" i="34"/>
  <c r="X5706" i="34"/>
  <c r="X5506" i="34"/>
  <c r="X4645" i="34"/>
  <c r="X4760" i="34"/>
  <c r="X4811" i="34"/>
  <c r="X4897" i="34"/>
  <c r="X4926" i="34"/>
  <c r="X4958" i="34"/>
  <c r="X4640" i="34"/>
  <c r="X4758" i="34"/>
  <c r="X4792" i="34"/>
  <c r="X4831" i="34"/>
  <c r="X4924" i="34"/>
  <c r="X4946" i="34"/>
  <c r="X4976" i="34"/>
  <c r="X4986" i="34"/>
  <c r="X4988" i="34"/>
  <c r="X5046" i="34"/>
  <c r="X5056" i="34"/>
  <c r="X5058" i="34"/>
  <c r="X5060" i="34"/>
  <c r="X5062" i="34"/>
  <c r="X5064" i="34"/>
  <c r="X5066" i="34"/>
  <c r="X5071" i="34"/>
  <c r="X5073" i="34"/>
  <c r="X5075" i="34"/>
  <c r="X5077" i="34"/>
  <c r="X5079" i="34"/>
  <c r="X5115" i="34"/>
  <c r="X5122" i="34"/>
  <c r="X5124" i="34"/>
  <c r="X5138" i="34"/>
  <c r="X5150" i="34"/>
  <c r="X5161" i="34"/>
  <c r="X5163" i="34"/>
  <c r="X5167" i="34"/>
  <c r="X5182" i="34"/>
  <c r="X5184" i="34"/>
  <c r="X5186" i="34"/>
  <c r="X5188" i="34"/>
  <c r="X5190" i="34"/>
  <c r="X5192" i="34"/>
  <c r="X5206" i="34"/>
  <c r="X5220" i="34"/>
  <c r="X5222" i="34"/>
  <c r="X5224" i="34"/>
  <c r="X5226" i="34"/>
  <c r="X5234" i="34"/>
  <c r="X5236" i="34"/>
  <c r="X5243" i="34"/>
  <c r="X5258" i="34"/>
  <c r="X5260" i="34"/>
  <c r="X5262" i="34"/>
  <c r="X5267" i="34"/>
  <c r="X5269" i="34"/>
  <c r="X5271" i="34"/>
  <c r="X5208" i="34"/>
  <c r="X5272" i="34"/>
  <c r="X5286" i="34"/>
  <c r="X5288" i="34"/>
  <c r="X5290" i="34"/>
  <c r="X5305" i="34"/>
  <c r="X5307" i="34"/>
  <c r="X5313" i="34"/>
  <c r="X5315" i="34"/>
  <c r="X5317" i="34"/>
  <c r="X5319" i="34"/>
  <c r="X5325" i="34"/>
  <c r="X5327" i="34"/>
  <c r="X5329" i="34"/>
  <c r="X5341" i="34"/>
  <c r="X5362" i="34"/>
  <c r="X5364" i="34"/>
  <c r="X5377" i="34"/>
  <c r="X5379" i="34"/>
  <c r="X5414" i="34"/>
  <c r="X5416" i="34"/>
  <c r="X5427" i="34"/>
  <c r="X5431" i="34"/>
  <c r="X5443" i="34"/>
  <c r="X5445" i="34"/>
  <c r="X5458" i="34"/>
  <c r="X5460" i="34"/>
  <c r="X5462" i="34"/>
  <c r="X5464" i="34"/>
  <c r="X5473" i="34"/>
  <c r="X5504" i="34"/>
  <c r="X5516" i="34"/>
  <c r="X5524" i="34"/>
  <c r="X5526" i="34"/>
  <c r="X5528" i="34"/>
  <c r="X5530" i="34"/>
  <c r="X5532" i="34"/>
  <c r="X5566" i="34"/>
  <c r="X5568" i="34"/>
  <c r="X5573" i="34"/>
  <c r="X5575" i="34"/>
  <c r="X5577" i="34"/>
  <c r="X5595" i="34"/>
  <c r="X5597" i="34"/>
  <c r="X5623" i="34"/>
  <c r="X5625" i="34"/>
  <c r="X5627" i="34"/>
  <c r="X5634" i="34"/>
  <c r="X5638" i="34"/>
  <c r="X5647" i="34"/>
  <c r="X5649" i="34"/>
  <c r="X5655" i="34"/>
  <c r="X5657" i="34"/>
  <c r="X5684" i="34"/>
  <c r="X5693" i="34"/>
  <c r="X5695" i="34"/>
  <c r="X5697" i="34"/>
  <c r="X5699" i="34"/>
  <c r="X5705" i="34"/>
  <c r="X4719" i="34"/>
  <c r="X4756" i="34"/>
  <c r="X4790" i="34"/>
  <c r="X4829" i="34"/>
  <c r="X4922" i="34"/>
  <c r="X4941" i="34"/>
  <c r="X4974" i="34"/>
  <c r="X5715" i="34"/>
  <c r="X5714" i="34"/>
  <c r="X5716" i="34"/>
  <c r="L177" i="60"/>
  <c r="L175" i="60"/>
  <c r="L176" i="60"/>
  <c r="L158" i="60"/>
  <c r="L157" i="60"/>
  <c r="H202" i="60"/>
  <c r="I202" i="60"/>
  <c r="J202" i="60"/>
  <c r="K202" i="60"/>
  <c r="H219" i="60"/>
  <c r="J220" i="60"/>
  <c r="H221" i="60"/>
  <c r="J222" i="60"/>
  <c r="H223" i="60"/>
  <c r="J224" i="60"/>
  <c r="I219" i="60"/>
  <c r="K220" i="60"/>
  <c r="I221" i="60"/>
  <c r="K222" i="60"/>
  <c r="I223" i="60"/>
  <c r="K224" i="60"/>
  <c r="J219" i="60"/>
  <c r="H220" i="60"/>
  <c r="J221" i="60"/>
  <c r="H222" i="60"/>
  <c r="J223" i="60"/>
  <c r="H224" i="60"/>
  <c r="K219" i="60"/>
  <c r="I220" i="60"/>
  <c r="K221" i="60"/>
  <c r="I222" i="60"/>
  <c r="K223" i="60"/>
  <c r="I224" i="60"/>
  <c r="J218" i="60"/>
  <c r="K218" i="60"/>
  <c r="H218" i="60"/>
  <c r="I218" i="60"/>
  <c r="H178" i="60"/>
  <c r="H176" i="60"/>
  <c r="H182" i="60"/>
  <c r="H177" i="60"/>
  <c r="H181" i="60"/>
  <c r="H179" i="60"/>
  <c r="H180" i="60"/>
  <c r="AA12" i="34"/>
  <c r="X12" i="34"/>
  <c r="AA11" i="34"/>
  <c r="X11" i="34"/>
  <c r="V183" i="60"/>
  <c r="I185" i="60" s="1"/>
  <c r="V192" i="60"/>
  <c r="V170" i="60"/>
  <c r="I32" i="62"/>
  <c r="G32" i="62"/>
  <c r="D30" i="63"/>
  <c r="D25" i="63"/>
  <c r="B27" i="63"/>
  <c r="D27" i="63"/>
  <c r="F27" i="63"/>
  <c r="I27" i="63"/>
  <c r="K27" i="63"/>
  <c r="B28" i="63"/>
  <c r="D28" i="63"/>
  <c r="F28" i="63"/>
  <c r="I28" i="63"/>
  <c r="K28" i="63"/>
  <c r="B30" i="63"/>
  <c r="F30" i="63"/>
  <c r="I30" i="63"/>
  <c r="K30" i="63"/>
  <c r="C27" i="63"/>
  <c r="A27" i="63" s="1"/>
  <c r="E27" i="63"/>
  <c r="H27" i="63"/>
  <c r="J27" i="63"/>
  <c r="C28" i="63"/>
  <c r="A28" i="63" s="1"/>
  <c r="E28" i="63"/>
  <c r="H28" i="63"/>
  <c r="J28" i="63"/>
  <c r="C30" i="63"/>
  <c r="A30" i="63" s="1"/>
  <c r="E30" i="63"/>
  <c r="H30" i="63"/>
  <c r="J30" i="63"/>
  <c r="A16" i="14"/>
  <c r="E16" i="14"/>
  <c r="B17" i="14"/>
  <c r="G17" i="14"/>
  <c r="C18" i="14"/>
  <c r="H18" i="14"/>
  <c r="D19" i="14"/>
  <c r="A20" i="14"/>
  <c r="E20" i="14"/>
  <c r="B21" i="14"/>
  <c r="G21" i="14"/>
  <c r="C22" i="14"/>
  <c r="H22" i="14"/>
  <c r="D23" i="14"/>
  <c r="A24" i="14"/>
  <c r="E24" i="14"/>
  <c r="B25" i="14"/>
  <c r="G25" i="14"/>
  <c r="C26" i="14"/>
  <c r="H26" i="14"/>
  <c r="D27" i="14"/>
  <c r="A28" i="14"/>
  <c r="E28" i="14"/>
  <c r="B29" i="14"/>
  <c r="G29" i="14"/>
  <c r="B16" i="14"/>
  <c r="G16" i="14"/>
  <c r="C17" i="14"/>
  <c r="H17" i="14"/>
  <c r="D18" i="14"/>
  <c r="A19" i="14"/>
  <c r="E19" i="14"/>
  <c r="B20" i="14"/>
  <c r="G20" i="14"/>
  <c r="C21" i="14"/>
  <c r="H21" i="14"/>
  <c r="D22" i="14"/>
  <c r="A23" i="14"/>
  <c r="E23" i="14"/>
  <c r="B24" i="14"/>
  <c r="G24" i="14"/>
  <c r="C25" i="14"/>
  <c r="H25" i="14"/>
  <c r="D26" i="14"/>
  <c r="A27" i="14"/>
  <c r="E27" i="14"/>
  <c r="B28" i="14"/>
  <c r="G28" i="14"/>
  <c r="C29" i="14"/>
  <c r="H29" i="14"/>
  <c r="C16" i="14"/>
  <c r="H16" i="14"/>
  <c r="D17" i="14"/>
  <c r="A18" i="14"/>
  <c r="E18" i="14"/>
  <c r="B19" i="14"/>
  <c r="G19" i="14"/>
  <c r="C20" i="14"/>
  <c r="H20" i="14"/>
  <c r="D21" i="14"/>
  <c r="A22" i="14"/>
  <c r="E22" i="14"/>
  <c r="B23" i="14"/>
  <c r="G23" i="14"/>
  <c r="C24" i="14"/>
  <c r="H24" i="14"/>
  <c r="D25" i="14"/>
  <c r="A26" i="14"/>
  <c r="E26" i="14"/>
  <c r="B27" i="14"/>
  <c r="G27" i="14"/>
  <c r="C28" i="14"/>
  <c r="H28" i="14"/>
  <c r="D29" i="14"/>
  <c r="D16" i="14"/>
  <c r="A17" i="14"/>
  <c r="E17" i="14"/>
  <c r="B18" i="14"/>
  <c r="G18" i="14"/>
  <c r="C19" i="14"/>
  <c r="H19" i="14"/>
  <c r="D20" i="14"/>
  <c r="A21" i="14"/>
  <c r="E21" i="14"/>
  <c r="B22" i="14"/>
  <c r="G22" i="14"/>
  <c r="C23" i="14"/>
  <c r="H23" i="14"/>
  <c r="D24" i="14"/>
  <c r="A25" i="14"/>
  <c r="E25" i="14"/>
  <c r="B26" i="14"/>
  <c r="G26" i="14"/>
  <c r="C27" i="14"/>
  <c r="H27" i="14"/>
  <c r="D28" i="14"/>
  <c r="A29" i="14"/>
  <c r="E29" i="14"/>
  <c r="M12" i="62"/>
  <c r="K12" i="62"/>
  <c r="M13" i="62"/>
  <c r="K13" i="62"/>
  <c r="M11" i="62"/>
  <c r="K11" i="62"/>
  <c r="M9" i="39"/>
  <c r="V248" i="60"/>
  <c r="F29" i="56"/>
  <c r="A11" i="56"/>
  <c r="F30" i="56"/>
  <c r="G2" i="56"/>
  <c r="A10" i="56"/>
  <c r="F15" i="56"/>
  <c r="H30" i="56"/>
  <c r="V165" i="60"/>
  <c r="I163" i="60" s="1"/>
  <c r="V148" i="60"/>
  <c r="I145" i="60" s="1"/>
  <c r="M14" i="34"/>
  <c r="M15" i="34"/>
  <c r="M13" i="34"/>
  <c r="B52" i="55"/>
  <c r="A52" i="55" s="1"/>
  <c r="G197" i="60"/>
  <c r="S10" i="34"/>
  <c r="R10" i="34"/>
  <c r="Q10" i="34"/>
  <c r="X10" i="34"/>
  <c r="M10" i="62"/>
  <c r="K10" i="62"/>
  <c r="H13" i="61"/>
  <c r="H14" i="61" s="1"/>
  <c r="C13" i="61"/>
  <c r="C14" i="61" s="1"/>
  <c r="E12" i="61"/>
  <c r="F12" i="61"/>
  <c r="D12" i="61"/>
  <c r="L163" i="60" l="1"/>
  <c r="N202" i="60"/>
  <c r="N197" i="60"/>
  <c r="G204" i="60"/>
  <c r="I176" i="60"/>
  <c r="I175" i="60"/>
  <c r="N175" i="60" s="1"/>
  <c r="P175" i="60" s="1"/>
  <c r="P202" i="60"/>
  <c r="N222" i="60"/>
  <c r="P222" i="60" s="1"/>
  <c r="N221" i="60"/>
  <c r="P221" i="60" s="1"/>
  <c r="N224" i="60"/>
  <c r="P224" i="60" s="1"/>
  <c r="N220" i="60"/>
  <c r="P220" i="60" s="1"/>
  <c r="N223" i="60"/>
  <c r="P223" i="60" s="1"/>
  <c r="N219" i="60"/>
  <c r="P219" i="60" s="1"/>
  <c r="N218" i="60"/>
  <c r="P218" i="60" s="1"/>
  <c r="I199" i="60"/>
  <c r="I200" i="60"/>
  <c r="H201" i="60"/>
  <c r="J200" i="60"/>
  <c r="I201" i="60"/>
  <c r="K200" i="60"/>
  <c r="J201" i="60"/>
  <c r="H200" i="60"/>
  <c r="N200" i="60" s="1"/>
  <c r="K201" i="60"/>
  <c r="I161" i="60"/>
  <c r="I159" i="60"/>
  <c r="I160" i="60"/>
  <c r="I257" i="60"/>
  <c r="J182" i="60"/>
  <c r="I182" i="60"/>
  <c r="K182" i="60"/>
  <c r="J180" i="60"/>
  <c r="I180" i="60"/>
  <c r="K179" i="60"/>
  <c r="J179" i="60"/>
  <c r="K180" i="60"/>
  <c r="I179" i="60"/>
  <c r="K32" i="62"/>
  <c r="M32" i="62"/>
  <c r="D30" i="47"/>
  <c r="G27" i="47"/>
  <c r="C27" i="47"/>
  <c r="G23" i="47"/>
  <c r="C23" i="47"/>
  <c r="F22" i="47"/>
  <c r="B22" i="47"/>
  <c r="E30" i="47"/>
  <c r="A30" i="47"/>
  <c r="D27" i="47"/>
  <c r="D23" i="47"/>
  <c r="C22" i="47"/>
  <c r="C16" i="47"/>
  <c r="G16" i="47"/>
  <c r="D20" i="47"/>
  <c r="A24" i="47"/>
  <c r="E24" i="47"/>
  <c r="B28" i="47"/>
  <c r="F28" i="47"/>
  <c r="C29" i="47"/>
  <c r="G29" i="47"/>
  <c r="B17" i="47"/>
  <c r="F17" i="47"/>
  <c r="C18" i="47"/>
  <c r="G18" i="47"/>
  <c r="D19" i="47"/>
  <c r="A21" i="47"/>
  <c r="E21" i="47"/>
  <c r="B25" i="47"/>
  <c r="F25" i="47"/>
  <c r="C26" i="47"/>
  <c r="G26" i="47"/>
  <c r="B16" i="47"/>
  <c r="F16" i="47"/>
  <c r="C20" i="47"/>
  <c r="G20" i="47"/>
  <c r="D24" i="47"/>
  <c r="A28" i="47"/>
  <c r="E28" i="47"/>
  <c r="B29" i="47"/>
  <c r="F29" i="47"/>
  <c r="A17" i="47"/>
  <c r="E17" i="47"/>
  <c r="B18" i="47"/>
  <c r="F18" i="47"/>
  <c r="C19" i="47"/>
  <c r="G19" i="47"/>
  <c r="D21" i="47"/>
  <c r="A25" i="47"/>
  <c r="E25" i="47"/>
  <c r="B26" i="47"/>
  <c r="F26" i="47"/>
  <c r="A16" i="47"/>
  <c r="E16" i="47"/>
  <c r="B20" i="47"/>
  <c r="F20" i="47"/>
  <c r="C24" i="47"/>
  <c r="G24" i="47"/>
  <c r="D28" i="47"/>
  <c r="A29" i="47"/>
  <c r="E29" i="47"/>
  <c r="D17" i="47"/>
  <c r="A18" i="47"/>
  <c r="E18" i="47"/>
  <c r="B19" i="47"/>
  <c r="F19" i="47"/>
  <c r="C21" i="47"/>
  <c r="G21" i="47"/>
  <c r="D25" i="47"/>
  <c r="A26" i="47"/>
  <c r="E26" i="47"/>
  <c r="D16" i="47"/>
  <c r="A20" i="47"/>
  <c r="E20" i="47"/>
  <c r="B24" i="47"/>
  <c r="F24" i="47"/>
  <c r="C28" i="47"/>
  <c r="G28" i="47"/>
  <c r="D29" i="47"/>
  <c r="C17" i="47"/>
  <c r="G17" i="47"/>
  <c r="D18" i="47"/>
  <c r="A19" i="47"/>
  <c r="E19" i="47"/>
  <c r="B21" i="47"/>
  <c r="F21" i="47"/>
  <c r="C25" i="47"/>
  <c r="G25" i="47"/>
  <c r="D26" i="47"/>
  <c r="F30" i="47"/>
  <c r="B30" i="47"/>
  <c r="E27" i="47"/>
  <c r="A27" i="47"/>
  <c r="E23" i="47"/>
  <c r="A23" i="47"/>
  <c r="D22" i="47"/>
  <c r="G30" i="47"/>
  <c r="C30" i="47"/>
  <c r="F27" i="47"/>
  <c r="B27" i="47"/>
  <c r="F23" i="47"/>
  <c r="B23" i="47"/>
  <c r="E22" i="47"/>
  <c r="A22" i="47"/>
  <c r="L145" i="60"/>
  <c r="B53" i="55"/>
  <c r="A53" i="55" s="1"/>
  <c r="L185" i="60"/>
  <c r="H183" i="60"/>
  <c r="H199" i="60"/>
  <c r="K198" i="60"/>
  <c r="K199" i="60"/>
  <c r="J198" i="60"/>
  <c r="J199" i="60"/>
  <c r="I198" i="60"/>
  <c r="H198" i="60"/>
  <c r="J178" i="60"/>
  <c r="I177" i="60"/>
  <c r="I178" i="60"/>
  <c r="K176" i="60"/>
  <c r="K177" i="60"/>
  <c r="J176" i="60"/>
  <c r="K178" i="60"/>
  <c r="J177" i="60"/>
  <c r="J183" i="60"/>
  <c r="I183" i="60"/>
  <c r="K181" i="60"/>
  <c r="J181" i="60"/>
  <c r="K183" i="60"/>
  <c r="I181" i="60"/>
  <c r="G185" i="60"/>
  <c r="D13" i="61"/>
  <c r="D14" i="61" s="1"/>
  <c r="F13" i="61"/>
  <c r="F14" i="61" s="1"/>
  <c r="E13" i="61"/>
  <c r="E14" i="61" s="1"/>
  <c r="N198" i="60" l="1"/>
  <c r="N201" i="60"/>
  <c r="N199" i="60"/>
  <c r="N204" i="60" s="1"/>
  <c r="I243" i="60"/>
  <c r="N243" i="60" s="1"/>
  <c r="P243" i="60" s="1"/>
  <c r="I247" i="60"/>
  <c r="N247" i="60" s="1"/>
  <c r="P247" i="60" s="1"/>
  <c r="I251" i="60"/>
  <c r="N251" i="60" s="1"/>
  <c r="P251" i="60" s="1"/>
  <c r="I240" i="60"/>
  <c r="N240" i="60" s="1"/>
  <c r="I244" i="60"/>
  <c r="N244" i="60" s="1"/>
  <c r="P244" i="60" s="1"/>
  <c r="I248" i="60"/>
  <c r="N248" i="60" s="1"/>
  <c r="P248" i="60" s="1"/>
  <c r="I252" i="60"/>
  <c r="N252" i="60" s="1"/>
  <c r="P252" i="60" s="1"/>
  <c r="I241" i="60"/>
  <c r="N241" i="60" s="1"/>
  <c r="P241" i="60" s="1"/>
  <c r="I245" i="60"/>
  <c r="N245" i="60" s="1"/>
  <c r="P245" i="60" s="1"/>
  <c r="I249" i="60"/>
  <c r="N249" i="60" s="1"/>
  <c r="P249" i="60" s="1"/>
  <c r="I253" i="60"/>
  <c r="N253" i="60" s="1"/>
  <c r="P253" i="60" s="1"/>
  <c r="I242" i="60"/>
  <c r="N242" i="60" s="1"/>
  <c r="P242" i="60" s="1"/>
  <c r="I246" i="60"/>
  <c r="N246" i="60" s="1"/>
  <c r="P246" i="60" s="1"/>
  <c r="I250" i="60"/>
  <c r="N250" i="60" s="1"/>
  <c r="P250" i="60" s="1"/>
  <c r="I254" i="60"/>
  <c r="N254" i="60" s="1"/>
  <c r="P254" i="60" s="1"/>
  <c r="P201" i="60"/>
  <c r="P200" i="60"/>
  <c r="N182" i="60"/>
  <c r="P182" i="60" s="1"/>
  <c r="N180" i="60"/>
  <c r="P180" i="60" s="1"/>
  <c r="N179" i="60"/>
  <c r="P179" i="60" s="1"/>
  <c r="B54" i="55"/>
  <c r="A54" i="55" s="1"/>
  <c r="P198" i="60"/>
  <c r="P199" i="60"/>
  <c r="N177" i="60"/>
  <c r="P177" i="60" s="1"/>
  <c r="N176" i="60"/>
  <c r="P176" i="60" s="1"/>
  <c r="N178" i="60"/>
  <c r="P178" i="60" s="1"/>
  <c r="N181" i="60"/>
  <c r="P181" i="60" s="1"/>
  <c r="N183" i="60"/>
  <c r="P183" i="60" s="1"/>
  <c r="P240" i="60" l="1"/>
  <c r="N257" i="60"/>
  <c r="B55" i="55"/>
  <c r="N226" i="60"/>
  <c r="P197" i="60"/>
  <c r="N185" i="60"/>
  <c r="B56" i="55" l="1"/>
  <c r="A55" i="55"/>
  <c r="B57" i="55" l="1"/>
  <c r="A56" i="55"/>
  <c r="B58" i="55" l="1"/>
  <c r="A57" i="55"/>
  <c r="B59" i="55" l="1"/>
  <c r="A58" i="55"/>
  <c r="B60" i="55" l="1"/>
  <c r="A59" i="55"/>
  <c r="K110" i="60"/>
  <c r="B61" i="55" l="1"/>
  <c r="A60" i="55"/>
  <c r="P117" i="60"/>
  <c r="P113" i="60"/>
  <c r="J110" i="60"/>
  <c r="N110" i="60" l="1"/>
  <c r="N131" i="60" s="1"/>
  <c r="A61" i="55"/>
  <c r="B62" i="55"/>
  <c r="P116" i="60"/>
  <c r="P111" i="60"/>
  <c r="P112" i="60"/>
  <c r="P110" i="60" l="1"/>
  <c r="A62" i="55"/>
  <c r="B63" i="55"/>
  <c r="A63" i="55" l="1"/>
  <c r="B64" i="55"/>
  <c r="A64" i="55" l="1"/>
  <c r="B65" i="55"/>
  <c r="B66" i="55" l="1"/>
  <c r="A65" i="55"/>
  <c r="B19" i="58"/>
  <c r="I17" i="52"/>
  <c r="G19" i="48"/>
  <c r="C14" i="39"/>
  <c r="B67" i="55" l="1"/>
  <c r="A66" i="55"/>
  <c r="H18" i="63"/>
  <c r="E26" i="63"/>
  <c r="J25" i="63"/>
  <c r="H26" i="63"/>
  <c r="C25" i="63"/>
  <c r="A25" i="63" s="1"/>
  <c r="J26" i="63"/>
  <c r="E25" i="63"/>
  <c r="B26" i="63"/>
  <c r="K26" i="63"/>
  <c r="K25" i="63"/>
  <c r="F25" i="63"/>
  <c r="F26" i="63"/>
  <c r="C26" i="63"/>
  <c r="A26" i="63" s="1"/>
  <c r="H25" i="63"/>
  <c r="I25" i="63"/>
  <c r="B25" i="63"/>
  <c r="D26" i="63"/>
  <c r="I26" i="63"/>
  <c r="D21" i="63"/>
  <c r="G14" i="14"/>
  <c r="B24" i="58"/>
  <c r="A13" i="43"/>
  <c r="B15" i="58"/>
  <c r="F15" i="58" s="1"/>
  <c r="B30" i="58"/>
  <c r="F30" i="58" s="1"/>
  <c r="B14" i="58"/>
  <c r="A14" i="58" s="1"/>
  <c r="F19" i="58"/>
  <c r="H17" i="48"/>
  <c r="AW17" i="48" s="1"/>
  <c r="C15" i="48"/>
  <c r="C18" i="48"/>
  <c r="D20" i="63"/>
  <c r="C29" i="48"/>
  <c r="G13" i="48"/>
  <c r="AB13" i="48" s="1"/>
  <c r="A22" i="43"/>
  <c r="B22" i="58"/>
  <c r="J17" i="63"/>
  <c r="G11" i="48"/>
  <c r="BX11" i="48" s="1"/>
  <c r="H11" i="48"/>
  <c r="CE11" i="48" s="1"/>
  <c r="D29" i="63"/>
  <c r="B25" i="58"/>
  <c r="CJ19" i="48"/>
  <c r="Z19" i="48"/>
  <c r="CV19" i="48"/>
  <c r="CZ19" i="48"/>
  <c r="AN19" i="48"/>
  <c r="BV19" i="48"/>
  <c r="AZ19" i="48"/>
  <c r="AV19" i="48"/>
  <c r="AR19" i="48"/>
  <c r="L19" i="48"/>
  <c r="CT19" i="48"/>
  <c r="J19" i="48"/>
  <c r="X19" i="48"/>
  <c r="P19" i="48"/>
  <c r="BT19" i="48"/>
  <c r="BD19" i="48"/>
  <c r="V19" i="48"/>
  <c r="CD19" i="48"/>
  <c r="AF19" i="48"/>
  <c r="AB19" i="48"/>
  <c r="BJ19" i="48"/>
  <c r="AD19" i="48"/>
  <c r="AH19" i="48"/>
  <c r="CR19" i="48"/>
  <c r="BH19" i="48"/>
  <c r="CH19" i="48"/>
  <c r="BB19" i="48"/>
  <c r="N19" i="48"/>
  <c r="BF19" i="48"/>
  <c r="AX19" i="48"/>
  <c r="AP19" i="48"/>
  <c r="AJ19" i="48"/>
  <c r="CF19" i="48"/>
  <c r="T19" i="48"/>
  <c r="BL19" i="48"/>
  <c r="AL19" i="48"/>
  <c r="BP19" i="48"/>
  <c r="BR19" i="48"/>
  <c r="CB19" i="48"/>
  <c r="CN19" i="48"/>
  <c r="R19" i="48"/>
  <c r="BX19" i="48"/>
  <c r="CX19" i="48"/>
  <c r="CL19" i="48"/>
  <c r="AT19" i="48"/>
  <c r="CP19" i="48"/>
  <c r="BZ19" i="48"/>
  <c r="BN19" i="48"/>
  <c r="B15" i="47"/>
  <c r="A15" i="47"/>
  <c r="G15" i="47"/>
  <c r="E15" i="47"/>
  <c r="C15" i="47"/>
  <c r="F15" i="47"/>
  <c r="F32" i="47" s="1"/>
  <c r="D15" i="47"/>
  <c r="G33" i="48"/>
  <c r="C35" i="48"/>
  <c r="G29" i="48"/>
  <c r="C18" i="52"/>
  <c r="F30" i="48"/>
  <c r="D37" i="48"/>
  <c r="F24" i="48"/>
  <c r="B33" i="48"/>
  <c r="E15" i="48"/>
  <c r="D11" i="51"/>
  <c r="E23" i="48"/>
  <c r="E14" i="48"/>
  <c r="F12" i="48"/>
  <c r="E38" i="48"/>
  <c r="E36" i="48"/>
  <c r="B34" i="48"/>
  <c r="D31" i="48"/>
  <c r="E11" i="48"/>
  <c r="B24" i="48"/>
  <c r="E18" i="48"/>
  <c r="D34" i="48"/>
  <c r="B23" i="48"/>
  <c r="D18" i="48"/>
  <c r="E11" i="49"/>
  <c r="F21" i="48"/>
  <c r="F16" i="48"/>
  <c r="B13" i="48"/>
  <c r="E34" i="48"/>
  <c r="F17" i="48"/>
  <c r="B11" i="51"/>
  <c r="B16" i="48"/>
  <c r="F11" i="49"/>
  <c r="F25" i="48"/>
  <c r="E21" i="48"/>
  <c r="F18" i="48"/>
  <c r="F13" i="48"/>
  <c r="B27" i="48"/>
  <c r="B20" i="48"/>
  <c r="D11" i="49"/>
  <c r="D12" i="48"/>
  <c r="E17" i="48"/>
  <c r="B29" i="48"/>
  <c r="B21" i="48"/>
  <c r="D30" i="48"/>
  <c r="B22" i="48"/>
  <c r="D33" i="48"/>
  <c r="D29" i="48"/>
  <c r="B36" i="48"/>
  <c r="B11" i="49"/>
  <c r="F36" i="48"/>
  <c r="D17" i="48"/>
  <c r="F22" i="48"/>
  <c r="D22" i="48"/>
  <c r="B18" i="48"/>
  <c r="F27" i="48"/>
  <c r="E20" i="48"/>
  <c r="E11" i="50"/>
  <c r="F15" i="48"/>
  <c r="F29" i="48"/>
  <c r="B37" i="48"/>
  <c r="D32" i="48"/>
  <c r="D16" i="48"/>
  <c r="F11" i="51"/>
  <c r="E16" i="48"/>
  <c r="F32" i="48"/>
  <c r="F26" i="48"/>
  <c r="F37" i="48"/>
  <c r="B32" i="48"/>
  <c r="E35" i="48"/>
  <c r="D15" i="48"/>
  <c r="D13" i="48"/>
  <c r="D24" i="48"/>
  <c r="B28" i="48"/>
  <c r="D11" i="50"/>
  <c r="B12" i="48"/>
  <c r="D23" i="48"/>
  <c r="B31" i="48"/>
  <c r="F20" i="48"/>
  <c r="E24" i="48"/>
  <c r="E32" i="48"/>
  <c r="F23" i="48"/>
  <c r="E31" i="48"/>
  <c r="F38" i="48"/>
  <c r="E26" i="48"/>
  <c r="F35" i="48"/>
  <c r="B14" i="48"/>
  <c r="F19" i="48"/>
  <c r="F28" i="48"/>
  <c r="E19" i="48"/>
  <c r="D38" i="48"/>
  <c r="E11" i="51"/>
  <c r="F31" i="48"/>
  <c r="D36" i="48"/>
  <c r="D14" i="48"/>
  <c r="B38" i="48"/>
  <c r="F33" i="48"/>
  <c r="E29" i="48"/>
  <c r="E25" i="48"/>
  <c r="B15" i="48"/>
  <c r="D20" i="48"/>
  <c r="F14" i="48"/>
  <c r="D35" i="48"/>
  <c r="B30" i="48"/>
  <c r="B26" i="48"/>
  <c r="B25" i="48"/>
  <c r="B35" i="48"/>
  <c r="E22" i="48"/>
  <c r="D27" i="48"/>
  <c r="E13" i="48"/>
  <c r="D11" i="48"/>
  <c r="E28" i="48"/>
  <c r="E27" i="48"/>
  <c r="F11" i="48"/>
  <c r="B17" i="48"/>
  <c r="D19" i="48"/>
  <c r="D21" i="48"/>
  <c r="B11" i="50"/>
  <c r="E33" i="48"/>
  <c r="D28" i="48"/>
  <c r="D25" i="48"/>
  <c r="B11" i="48"/>
  <c r="E30" i="48"/>
  <c r="E37" i="48"/>
  <c r="E12" i="48"/>
  <c r="D26" i="48"/>
  <c r="F11" i="50"/>
  <c r="F34" i="48"/>
  <c r="B19" i="48"/>
  <c r="C12" i="48"/>
  <c r="H13" i="48"/>
  <c r="G24" i="48"/>
  <c r="H27" i="48"/>
  <c r="G23" i="48"/>
  <c r="H15" i="48"/>
  <c r="G20" i="48"/>
  <c r="H21" i="48"/>
  <c r="C11" i="48"/>
  <c r="H16" i="48"/>
  <c r="G31" i="48"/>
  <c r="H31" i="48"/>
  <c r="G38" i="48"/>
  <c r="G15" i="48"/>
  <c r="H35" i="48"/>
  <c r="C28" i="48"/>
  <c r="G37" i="48"/>
  <c r="H30" i="48"/>
  <c r="C23" i="48"/>
  <c r="C21" i="48"/>
  <c r="C37" i="48"/>
  <c r="C14" i="48"/>
  <c r="C36" i="48"/>
  <c r="C17" i="48"/>
  <c r="G16" i="48"/>
  <c r="H33" i="48"/>
  <c r="G36" i="48"/>
  <c r="G28" i="48"/>
  <c r="H37" i="48"/>
  <c r="H34" i="48"/>
  <c r="H19" i="48"/>
  <c r="H26" i="48"/>
  <c r="H25" i="48"/>
  <c r="H28" i="48"/>
  <c r="G34" i="48"/>
  <c r="H36" i="48"/>
  <c r="G35" i="48"/>
  <c r="H24" i="48"/>
  <c r="H38" i="48"/>
  <c r="H18" i="48"/>
  <c r="C33" i="48"/>
  <c r="H29" i="48"/>
  <c r="C20" i="48"/>
  <c r="C27" i="48"/>
  <c r="C11" i="51"/>
  <c r="C25" i="48"/>
  <c r="G32" i="48"/>
  <c r="G30" i="48"/>
  <c r="C34" i="48"/>
  <c r="G27" i="48"/>
  <c r="G17" i="48"/>
  <c r="G18" i="48"/>
  <c r="C31" i="48"/>
  <c r="H12" i="48"/>
  <c r="G22" i="48"/>
  <c r="C32" i="48"/>
  <c r="G11" i="50"/>
  <c r="G11" i="51"/>
  <c r="G12" i="48"/>
  <c r="C11" i="49"/>
  <c r="G26" i="48"/>
  <c r="C16" i="48"/>
  <c r="C38" i="48"/>
  <c r="C11" i="50"/>
  <c r="C13" i="48"/>
  <c r="A13" i="48" s="1" a="1"/>
  <c r="A13" i="48" s="1"/>
  <c r="I13" i="48" s="1"/>
  <c r="C22" i="48"/>
  <c r="H11" i="50"/>
  <c r="H23" i="48"/>
  <c r="C26" i="48"/>
  <c r="H22" i="48"/>
  <c r="H11" i="51"/>
  <c r="H11" i="49"/>
  <c r="C15" i="14"/>
  <c r="B14" i="14"/>
  <c r="B15" i="14"/>
  <c r="E15" i="14"/>
  <c r="E14" i="14"/>
  <c r="G15" i="14"/>
  <c r="H15" i="14"/>
  <c r="A14" i="14"/>
  <c r="A15" i="14"/>
  <c r="C14" i="14"/>
  <c r="D15" i="14"/>
  <c r="D14" i="14"/>
  <c r="H14" i="14"/>
  <c r="C24" i="48"/>
  <c r="H20" i="48"/>
  <c r="H14" i="48"/>
  <c r="A42" i="43"/>
  <c r="C19" i="48"/>
  <c r="A21" i="43"/>
  <c r="A41" i="43"/>
  <c r="G25" i="48"/>
  <c r="G14" i="48"/>
  <c r="H32" i="48"/>
  <c r="G21" i="48"/>
  <c r="B18" i="52"/>
  <c r="B22" i="52"/>
  <c r="H18" i="52"/>
  <c r="J21" i="52"/>
  <c r="A22" i="52"/>
  <c r="I20" i="52"/>
  <c r="G19" i="52"/>
  <c r="G18" i="52"/>
  <c r="D20" i="52"/>
  <c r="G20" i="52"/>
  <c r="D18" i="52"/>
  <c r="G21" i="52"/>
  <c r="I18" i="52"/>
  <c r="A20" i="52"/>
  <c r="D21" i="52"/>
  <c r="E21" i="52"/>
  <c r="B21" i="52"/>
  <c r="H21" i="52"/>
  <c r="I19" i="52"/>
  <c r="E18" i="52"/>
  <c r="D17" i="52"/>
  <c r="E22" i="52"/>
  <c r="A18" i="52"/>
  <c r="B17" i="52"/>
  <c r="A21" i="52"/>
  <c r="J18" i="52"/>
  <c r="D19" i="52"/>
  <c r="E20" i="52"/>
  <c r="H19" i="52"/>
  <c r="A17" i="52"/>
  <c r="H20" i="52"/>
  <c r="B20" i="52"/>
  <c r="D22" i="52"/>
  <c r="H22" i="52"/>
  <c r="J19" i="52"/>
  <c r="G22" i="52"/>
  <c r="E19" i="52"/>
  <c r="B19" i="52"/>
  <c r="E17" i="52"/>
  <c r="A19" i="52"/>
  <c r="I22" i="52"/>
  <c r="J20" i="52"/>
  <c r="J22" i="52"/>
  <c r="I21" i="52"/>
  <c r="C20" i="52"/>
  <c r="C22" i="52"/>
  <c r="C17" i="52"/>
  <c r="C21" i="52"/>
  <c r="H17" i="52"/>
  <c r="C19" i="52"/>
  <c r="G17" i="52"/>
  <c r="Y17" i="48"/>
  <c r="I20" i="63"/>
  <c r="F18" i="63"/>
  <c r="J24" i="63"/>
  <c r="H23" i="63"/>
  <c r="H24" i="63"/>
  <c r="B19" i="63"/>
  <c r="I19" i="63"/>
  <c r="F29" i="63"/>
  <c r="H21" i="63"/>
  <c r="E29" i="63"/>
  <c r="K20" i="63"/>
  <c r="B29" i="63"/>
  <c r="J29" i="63"/>
  <c r="I22" i="63"/>
  <c r="B18" i="63"/>
  <c r="B23" i="63"/>
  <c r="B20" i="63"/>
  <c r="K23" i="63"/>
  <c r="C21" i="63"/>
  <c r="A21" i="63" s="1"/>
  <c r="C18" i="63"/>
  <c r="A18" i="63" s="1"/>
  <c r="F22" i="63"/>
  <c r="K18" i="63"/>
  <c r="F19" i="63"/>
  <c r="K19" i="63"/>
  <c r="H20" i="63"/>
  <c r="J23" i="63"/>
  <c r="F24" i="63"/>
  <c r="I18" i="63"/>
  <c r="K21" i="63"/>
  <c r="I23" i="63"/>
  <c r="E18" i="63"/>
  <c r="H22" i="63"/>
  <c r="J19" i="63"/>
  <c r="F20" i="63"/>
  <c r="C23" i="63"/>
  <c r="A23" i="63" s="1"/>
  <c r="C20" i="63"/>
  <c r="A20" i="63" s="1"/>
  <c r="C17" i="63"/>
  <c r="A17" i="63" s="1"/>
  <c r="E23" i="63"/>
  <c r="E20" i="63"/>
  <c r="J21" i="63"/>
  <c r="B17" i="63"/>
  <c r="B21" i="63"/>
  <c r="K22" i="63"/>
  <c r="K24" i="63"/>
  <c r="E21" i="63"/>
  <c r="B24" i="63"/>
  <c r="E22" i="63"/>
  <c r="F17" i="63"/>
  <c r="J22" i="63"/>
  <c r="C22" i="63"/>
  <c r="A22" i="63" s="1"/>
  <c r="I21" i="63"/>
  <c r="B22" i="63"/>
  <c r="H19" i="63"/>
  <c r="E19" i="63"/>
  <c r="J18" i="63"/>
  <c r="E17" i="63"/>
  <c r="K29" i="63"/>
  <c r="F23" i="63"/>
  <c r="J20" i="63"/>
  <c r="F21" i="63"/>
  <c r="I29" i="63"/>
  <c r="E24" i="63"/>
  <c r="H29" i="63"/>
  <c r="I24" i="63"/>
  <c r="C19" i="63"/>
  <c r="A19" i="63" s="1"/>
  <c r="C29" i="63"/>
  <c r="A29" i="63" s="1"/>
  <c r="C24" i="63"/>
  <c r="A24" i="63" s="1"/>
  <c r="K17" i="63"/>
  <c r="I17" i="63"/>
  <c r="D22" i="63"/>
  <c r="D19" i="63"/>
  <c r="D23" i="63"/>
  <c r="D17" i="63"/>
  <c r="H17" i="63"/>
  <c r="D24" i="63"/>
  <c r="G11" i="49"/>
  <c r="J17" i="52"/>
  <c r="E14" i="57"/>
  <c r="I15" i="57"/>
  <c r="G15" i="57"/>
  <c r="C15" i="57"/>
  <c r="E15" i="57"/>
  <c r="I14" i="57"/>
  <c r="B14" i="57"/>
  <c r="A14" i="57" s="1"/>
  <c r="B15" i="57"/>
  <c r="G14" i="57"/>
  <c r="C14" i="57"/>
  <c r="B34" i="57" s="1"/>
  <c r="F15" i="57"/>
  <c r="F14" i="57"/>
  <c r="D41" i="43"/>
  <c r="B23" i="43"/>
  <c r="B12" i="43"/>
  <c r="B22" i="43"/>
  <c r="C20" i="43"/>
  <c r="B40" i="43"/>
  <c r="D13" i="43"/>
  <c r="B20" i="43"/>
  <c r="E26" i="43"/>
  <c r="E42" i="43"/>
  <c r="E24" i="43"/>
  <c r="B24" i="43"/>
  <c r="B15" i="43"/>
  <c r="C14" i="43"/>
  <c r="G18" i="43"/>
  <c r="G22" i="43"/>
  <c r="F20" i="43"/>
  <c r="C15" i="43"/>
  <c r="E16" i="43"/>
  <c r="G27" i="43"/>
  <c r="C22" i="43"/>
  <c r="D26" i="43"/>
  <c r="E43" i="43"/>
  <c r="F18" i="43"/>
  <c r="G19" i="43"/>
  <c r="D25" i="43"/>
  <c r="F22" i="43"/>
  <c r="B17" i="43"/>
  <c r="B18" i="43"/>
  <c r="D22" i="43"/>
  <c r="F25" i="43"/>
  <c r="G23" i="43"/>
  <c r="B43" i="43"/>
  <c r="G24" i="43"/>
  <c r="C27" i="43"/>
  <c r="F19" i="43"/>
  <c r="G26" i="43"/>
  <c r="G41" i="43"/>
  <c r="D42" i="43"/>
  <c r="E41" i="43"/>
  <c r="D27" i="43"/>
  <c r="B41" i="43"/>
  <c r="G20" i="43"/>
  <c r="F26" i="43"/>
  <c r="G14" i="43"/>
  <c r="E19" i="43"/>
  <c r="D21" i="43"/>
  <c r="B26" i="43"/>
  <c r="C41" i="43"/>
  <c r="C23" i="43"/>
  <c r="E15" i="43"/>
  <c r="C13" i="43"/>
  <c r="C17" i="43"/>
  <c r="G42" i="43"/>
  <c r="G16" i="43"/>
  <c r="E40" i="43"/>
  <c r="D17" i="43"/>
  <c r="E12" i="43"/>
  <c r="G43" i="43"/>
  <c r="D24" i="43"/>
  <c r="F27" i="43"/>
  <c r="D19" i="43"/>
  <c r="B21" i="43"/>
  <c r="B42" i="43"/>
  <c r="G40" i="43"/>
  <c r="E14" i="43"/>
  <c r="B13" i="43"/>
  <c r="D43" i="43"/>
  <c r="C40" i="43"/>
  <c r="B14" i="43"/>
  <c r="E20" i="43"/>
  <c r="C43" i="43"/>
  <c r="F23" i="43"/>
  <c r="D12" i="43"/>
  <c r="C26" i="43"/>
  <c r="D16" i="43"/>
  <c r="D14" i="43"/>
  <c r="E27" i="43"/>
  <c r="C19" i="43"/>
  <c r="C42" i="43"/>
  <c r="C25" i="43"/>
  <c r="F43" i="43"/>
  <c r="C24" i="43"/>
  <c r="D18" i="43"/>
  <c r="E18" i="43"/>
  <c r="F24" i="43"/>
  <c r="E17" i="43"/>
  <c r="D23" i="43"/>
  <c r="G17" i="43"/>
  <c r="C21" i="43"/>
  <c r="F16" i="43"/>
  <c r="E23" i="43"/>
  <c r="E25" i="43"/>
  <c r="G25" i="43"/>
  <c r="B25" i="43"/>
  <c r="E22" i="43"/>
  <c r="E13" i="43"/>
  <c r="G13" i="43"/>
  <c r="C12" i="43"/>
  <c r="D20" i="43"/>
  <c r="F42" i="43"/>
  <c r="B19" i="43"/>
  <c r="G15" i="43"/>
  <c r="B27" i="43"/>
  <c r="F41" i="43"/>
  <c r="G21" i="43"/>
  <c r="E21" i="43"/>
  <c r="C16" i="43"/>
  <c r="B16" i="43"/>
  <c r="F40" i="43"/>
  <c r="D40" i="43"/>
  <c r="C18" i="43"/>
  <c r="D15" i="43"/>
  <c r="F21" i="43"/>
  <c r="G12" i="43"/>
  <c r="A43" i="43"/>
  <c r="A27" i="43"/>
  <c r="A23" i="43"/>
  <c r="A19" i="43"/>
  <c r="A15" i="43"/>
  <c r="A17" i="43"/>
  <c r="A20" i="43"/>
  <c r="A14" i="43"/>
  <c r="A12" i="43"/>
  <c r="A40" i="43"/>
  <c r="A26" i="43"/>
  <c r="A18" i="43"/>
  <c r="A24" i="43"/>
  <c r="D18" i="63"/>
  <c r="D14" i="57"/>
  <c r="AN13" i="48"/>
  <c r="AG17" i="48"/>
  <c r="C30" i="48"/>
  <c r="A16" i="43"/>
  <c r="A25" i="43"/>
  <c r="D15" i="57"/>
  <c r="C17" i="58"/>
  <c r="D14" i="58"/>
  <c r="G29" i="58"/>
  <c r="C28" i="58"/>
  <c r="G19" i="58"/>
  <c r="H26" i="58"/>
  <c r="G22" i="58"/>
  <c r="D24" i="58"/>
  <c r="D23" i="58"/>
  <c r="D26" i="58"/>
  <c r="D18" i="58"/>
  <c r="D20" i="58"/>
  <c r="H23" i="58"/>
  <c r="H28" i="58"/>
  <c r="C18" i="58"/>
  <c r="G15" i="58"/>
  <c r="D22" i="58"/>
  <c r="E17" i="58"/>
  <c r="E23" i="58"/>
  <c r="E24" i="58"/>
  <c r="H20" i="58"/>
  <c r="G27" i="58"/>
  <c r="C30" i="58"/>
  <c r="C23" i="58"/>
  <c r="C26" i="58"/>
  <c r="G25" i="58"/>
  <c r="C21" i="58"/>
  <c r="G26" i="58"/>
  <c r="G17" i="58"/>
  <c r="D17" i="58"/>
  <c r="C25" i="58"/>
  <c r="D28" i="58"/>
  <c r="H22" i="58"/>
  <c r="H29" i="58"/>
  <c r="D21" i="58"/>
  <c r="D29" i="58"/>
  <c r="D27" i="58"/>
  <c r="C19" i="58"/>
  <c r="H16" i="58"/>
  <c r="G30" i="58"/>
  <c r="H17" i="58"/>
  <c r="G18" i="58"/>
  <c r="H15" i="58"/>
  <c r="H24" i="58"/>
  <c r="C24" i="58"/>
  <c r="H21" i="58"/>
  <c r="C15" i="58"/>
  <c r="C16" i="58"/>
  <c r="C20" i="58"/>
  <c r="E18" i="58"/>
  <c r="E28" i="58"/>
  <c r="C14" i="58"/>
  <c r="D19" i="58"/>
  <c r="G28" i="58"/>
  <c r="C29" i="58"/>
  <c r="C27" i="58"/>
  <c r="D25" i="58"/>
  <c r="H25" i="58"/>
  <c r="G16" i="58"/>
  <c r="C22" i="58"/>
  <c r="G24" i="58"/>
  <c r="H19" i="58"/>
  <c r="G21" i="58"/>
  <c r="D30" i="58"/>
  <c r="E26" i="58"/>
  <c r="D16" i="58"/>
  <c r="H18" i="58"/>
  <c r="H30" i="58"/>
  <c r="D15" i="58"/>
  <c r="H27" i="58"/>
  <c r="G23" i="58"/>
  <c r="G20" i="58"/>
  <c r="E20" i="58"/>
  <c r="E29" i="58"/>
  <c r="E14" i="58"/>
  <c r="E30" i="58"/>
  <c r="E16" i="58"/>
  <c r="E21" i="58"/>
  <c r="E25" i="58"/>
  <c r="E15" i="58"/>
  <c r="E22" i="58"/>
  <c r="E19" i="58"/>
  <c r="E27" i="58"/>
  <c r="B18" i="58"/>
  <c r="B27" i="58"/>
  <c r="B26" i="58"/>
  <c r="B28" i="58"/>
  <c r="G14" i="58"/>
  <c r="H14" i="58"/>
  <c r="B29" i="58"/>
  <c r="B20" i="58"/>
  <c r="B16" i="58"/>
  <c r="B23" i="58"/>
  <c r="B17" i="58"/>
  <c r="B21" i="58"/>
  <c r="H50" i="14" l="1"/>
  <c r="G50" i="14"/>
  <c r="H32" i="63"/>
  <c r="I32" i="63"/>
  <c r="K32" i="63"/>
  <c r="J32" i="63"/>
  <c r="A15" i="58"/>
  <c r="A16" i="58" s="1"/>
  <c r="A17" i="58" s="1"/>
  <c r="A18" i="58" s="1"/>
  <c r="A19" i="58" s="1"/>
  <c r="A20" i="58" s="1"/>
  <c r="A21" i="58" s="1"/>
  <c r="A22" i="58" s="1"/>
  <c r="A23" i="58" s="1"/>
  <c r="A24" i="58" s="1"/>
  <c r="A25" i="58" s="1"/>
  <c r="A26" i="58" s="1"/>
  <c r="A27" i="58" s="1"/>
  <c r="A28" i="58" s="1"/>
  <c r="A29" i="58" s="1"/>
  <c r="A30" i="58" s="1"/>
  <c r="CQ11" i="48"/>
  <c r="G32" i="57"/>
  <c r="B68" i="55"/>
  <c r="A67" i="55"/>
  <c r="CH11" i="48"/>
  <c r="F14" i="58"/>
  <c r="BT13" i="48"/>
  <c r="L17" i="63"/>
  <c r="M17" i="63"/>
  <c r="CD11" i="48"/>
  <c r="N17" i="63"/>
  <c r="O17" i="63"/>
  <c r="BJ13" i="48"/>
  <c r="CM17" i="48"/>
  <c r="BO11" i="48"/>
  <c r="AO17" i="48"/>
  <c r="BY17" i="48"/>
  <c r="CA17" i="48"/>
  <c r="S17" i="48"/>
  <c r="U17" i="48"/>
  <c r="CK17" i="48"/>
  <c r="BU17" i="48"/>
  <c r="AN11" i="48"/>
  <c r="L11" i="48"/>
  <c r="AB11" i="48"/>
  <c r="AV11" i="48"/>
  <c r="BR11" i="48"/>
  <c r="BZ11" i="48"/>
  <c r="AZ11" i="48"/>
  <c r="AT11" i="48"/>
  <c r="BD11" i="48"/>
  <c r="P11" i="48"/>
  <c r="BH11" i="48"/>
  <c r="BK17" i="48"/>
  <c r="AA17" i="48"/>
  <c r="AK17" i="48"/>
  <c r="AQ17" i="48"/>
  <c r="BO17" i="48"/>
  <c r="CC17" i="48"/>
  <c r="K17" i="48"/>
  <c r="CS17" i="48"/>
  <c r="BC17" i="48"/>
  <c r="AY17" i="48"/>
  <c r="W17" i="48"/>
  <c r="AZ13" i="48"/>
  <c r="M11" i="48"/>
  <c r="CD13" i="48"/>
  <c r="AK11" i="48"/>
  <c r="CT13" i="48"/>
  <c r="CK11" i="48"/>
  <c r="CO11" i="48"/>
  <c r="CB13" i="48"/>
  <c r="AV13" i="48"/>
  <c r="BP11" i="48"/>
  <c r="AR11" i="48"/>
  <c r="AX11" i="48"/>
  <c r="A35" i="58"/>
  <c r="AA11" i="48"/>
  <c r="BY11" i="48"/>
  <c r="BE11" i="48"/>
  <c r="BK11" i="48"/>
  <c r="AE17" i="48"/>
  <c r="AF13" i="48"/>
  <c r="AP13" i="48"/>
  <c r="CX13" i="48"/>
  <c r="X13" i="48"/>
  <c r="BV11" i="48"/>
  <c r="CJ11" i="48"/>
  <c r="CN11" i="48"/>
  <c r="E5" i="58"/>
  <c r="BQ11" i="48"/>
  <c r="AE11" i="48"/>
  <c r="AU11" i="48"/>
  <c r="CS11" i="48"/>
  <c r="BW11" i="48"/>
  <c r="BA11" i="48"/>
  <c r="AO11" i="48"/>
  <c r="CY11" i="48"/>
  <c r="M17" i="48"/>
  <c r="BD13" i="48"/>
  <c r="AX13" i="48"/>
  <c r="N13" i="48"/>
  <c r="R13" i="48"/>
  <c r="Z13" i="48"/>
  <c r="CR13" i="48"/>
  <c r="T13" i="48"/>
  <c r="V13" i="48"/>
  <c r="CJ13" i="48"/>
  <c r="A30" i="48" a="1"/>
  <c r="A30" i="48" s="1"/>
  <c r="I30" i="48" s="1"/>
  <c r="AS17" i="48"/>
  <c r="CE17" i="48"/>
  <c r="AR13" i="48"/>
  <c r="AJ13" i="48"/>
  <c r="CA11" i="48"/>
  <c r="AI11" i="48"/>
  <c r="CC11" i="48"/>
  <c r="CI11" i="48"/>
  <c r="AY11" i="48"/>
  <c r="BM17" i="48"/>
  <c r="CO17" i="48"/>
  <c r="DA17" i="48"/>
  <c r="AC17" i="48"/>
  <c r="BS17" i="48"/>
  <c r="BE17" i="48"/>
  <c r="BG17" i="48"/>
  <c r="BI17" i="48"/>
  <c r="CW17" i="48"/>
  <c r="AI17" i="48"/>
  <c r="CQ17" i="48"/>
  <c r="AM17" i="48"/>
  <c r="CU17" i="48"/>
  <c r="CG17" i="48"/>
  <c r="BW17" i="48"/>
  <c r="Q17" i="48"/>
  <c r="BA17" i="48"/>
  <c r="CY17" i="48"/>
  <c r="AU17" i="48"/>
  <c r="A19" i="48" a="1"/>
  <c r="A19" i="48" s="1"/>
  <c r="I19" i="48" s="1"/>
  <c r="CI17" i="48"/>
  <c r="BH13" i="48"/>
  <c r="AD13" i="48"/>
  <c r="BF13" i="48"/>
  <c r="AM11" i="48"/>
  <c r="S11" i="48"/>
  <c r="Y11" i="48"/>
  <c r="CM11" i="48"/>
  <c r="CU11" i="48"/>
  <c r="AW11" i="48"/>
  <c r="BS11" i="48"/>
  <c r="BM11" i="48"/>
  <c r="BC11" i="48"/>
  <c r="O11" i="48"/>
  <c r="BU11" i="48"/>
  <c r="K11" i="48"/>
  <c r="BI11" i="48"/>
  <c r="U11" i="48"/>
  <c r="Q11" i="48"/>
  <c r="BQ17" i="48"/>
  <c r="O17" i="48"/>
  <c r="BL13" i="48"/>
  <c r="BV13" i="48"/>
  <c r="CF13" i="48"/>
  <c r="AL13" i="48"/>
  <c r="AH13" i="48"/>
  <c r="CP13" i="48"/>
  <c r="CH13" i="48"/>
  <c r="BP13" i="48"/>
  <c r="BR13" i="48"/>
  <c r="BX13" i="48"/>
  <c r="BN13" i="48"/>
  <c r="CN13" i="48"/>
  <c r="AT13" i="48"/>
  <c r="CZ13" i="48"/>
  <c r="P13" i="48"/>
  <c r="L13" i="48"/>
  <c r="BZ13" i="48"/>
  <c r="J13" i="48"/>
  <c r="F22" i="58"/>
  <c r="F24" i="58"/>
  <c r="J23" i="52"/>
  <c r="A15" i="57"/>
  <c r="A16" i="57" s="1"/>
  <c r="A17" i="57" s="1"/>
  <c r="A18" i="57" s="1"/>
  <c r="A19" i="57" s="1"/>
  <c r="A20" i="57" s="1"/>
  <c r="A21" i="57" s="1"/>
  <c r="A22" i="57" s="1"/>
  <c r="A23" i="57" s="1"/>
  <c r="A24" i="57" s="1"/>
  <c r="A25" i="57" s="1"/>
  <c r="A26" i="57" s="1"/>
  <c r="A27" i="57" s="1"/>
  <c r="A28" i="57" s="1"/>
  <c r="A29" i="57" s="1"/>
  <c r="A30" i="57" s="1"/>
  <c r="CV13" i="48"/>
  <c r="W11" i="48"/>
  <c r="AG11" i="48"/>
  <c r="AQ11" i="48"/>
  <c r="CG11" i="48"/>
  <c r="AS11" i="48"/>
  <c r="AC11" i="48"/>
  <c r="I14" i="58"/>
  <c r="I15" i="58" s="1"/>
  <c r="I16" i="58" s="1"/>
  <c r="I17" i="58" s="1"/>
  <c r="I18" i="58" s="1"/>
  <c r="I19" i="58" s="1"/>
  <c r="I20" i="58" s="1"/>
  <c r="I21" i="58" s="1"/>
  <c r="I22" i="58" s="1"/>
  <c r="I23" i="58" s="1"/>
  <c r="I24" i="58" s="1"/>
  <c r="I25" i="58" s="1"/>
  <c r="I26" i="58" s="1"/>
  <c r="I27" i="58" s="1"/>
  <c r="I28" i="58" s="1"/>
  <c r="I29" i="58" s="1"/>
  <c r="I30" i="58" s="1"/>
  <c r="AD11" i="48"/>
  <c r="CZ11" i="48"/>
  <c r="CR11" i="48"/>
  <c r="CT11" i="48"/>
  <c r="CF11" i="48"/>
  <c r="AJ11" i="48"/>
  <c r="BL11" i="48"/>
  <c r="CB11" i="48"/>
  <c r="AH11" i="48"/>
  <c r="CL11" i="48"/>
  <c r="BT11" i="48"/>
  <c r="T11" i="48"/>
  <c r="CX11" i="48"/>
  <c r="AF11" i="48"/>
  <c r="J11" i="48"/>
  <c r="BF11" i="48"/>
  <c r="CP11" i="48"/>
  <c r="BB11" i="48"/>
  <c r="BN11" i="48"/>
  <c r="BJ11" i="48"/>
  <c r="G23" i="52"/>
  <c r="A24" i="48" a="1"/>
  <c r="A24" i="48" s="1"/>
  <c r="I24" i="48" s="1"/>
  <c r="X11" i="48"/>
  <c r="AL11" i="48"/>
  <c r="R11" i="48"/>
  <c r="AP11" i="48"/>
  <c r="Z11" i="48"/>
  <c r="F25" i="58"/>
  <c r="DA11" i="48"/>
  <c r="CW11" i="48"/>
  <c r="BG11" i="48"/>
  <c r="BB13" i="48"/>
  <c r="CL13" i="48"/>
  <c r="N11" i="48"/>
  <c r="CV11" i="48"/>
  <c r="V11" i="48"/>
  <c r="A29" i="48" a="1"/>
  <c r="A29" i="48" s="1"/>
  <c r="I29" i="48" s="1"/>
  <c r="A17" i="48" a="1"/>
  <c r="A17" i="48" s="1"/>
  <c r="I17" i="48" s="1"/>
  <c r="H23" i="52"/>
  <c r="I23" i="52"/>
  <c r="A16" i="48" a="1"/>
  <c r="A16" i="48" s="1"/>
  <c r="I16" i="48" s="1"/>
  <c r="A14" i="48" a="1"/>
  <c r="A14" i="48" s="1"/>
  <c r="I14" i="48" s="1"/>
  <c r="F29" i="58"/>
  <c r="H15" i="57"/>
  <c r="J15" i="57"/>
  <c r="O32" i="48"/>
  <c r="AW32" i="48"/>
  <c r="AE32" i="48"/>
  <c r="CC32" i="48"/>
  <c r="AS32" i="48"/>
  <c r="BS32" i="48"/>
  <c r="S32" i="48"/>
  <c r="BE32" i="48"/>
  <c r="CS32" i="48"/>
  <c r="AG32" i="48"/>
  <c r="AU32" i="48"/>
  <c r="U32" i="48"/>
  <c r="K32" i="48"/>
  <c r="AM32" i="48"/>
  <c r="BO32" i="48"/>
  <c r="AQ32" i="48"/>
  <c r="CU32" i="48"/>
  <c r="AI32" i="48"/>
  <c r="CQ32" i="48"/>
  <c r="CG32" i="48"/>
  <c r="BK32" i="48"/>
  <c r="CA32" i="48"/>
  <c r="CY32" i="48"/>
  <c r="AO32" i="48"/>
  <c r="BG32" i="48"/>
  <c r="CI32" i="48"/>
  <c r="BM32" i="48"/>
  <c r="W32" i="48"/>
  <c r="CW32" i="48"/>
  <c r="BY32" i="48"/>
  <c r="AC32" i="48"/>
  <c r="AK32" i="48"/>
  <c r="BW32" i="48"/>
  <c r="M32" i="48"/>
  <c r="BQ32" i="48"/>
  <c r="AY32" i="48"/>
  <c r="CM32" i="48"/>
  <c r="CE32" i="48"/>
  <c r="Q32" i="48"/>
  <c r="Y32" i="48"/>
  <c r="CO32" i="48"/>
  <c r="CK32" i="48"/>
  <c r="BC32" i="48"/>
  <c r="BI32" i="48"/>
  <c r="BU32" i="48"/>
  <c r="AA32" i="48"/>
  <c r="BA32" i="48"/>
  <c r="DA32" i="48"/>
  <c r="AS14" i="48"/>
  <c r="S14" i="48"/>
  <c r="AG14" i="48"/>
  <c r="AU14" i="48"/>
  <c r="U14" i="48"/>
  <c r="BI14" i="48"/>
  <c r="BW14" i="48"/>
  <c r="BU14" i="48"/>
  <c r="CI14" i="48"/>
  <c r="BG14" i="48"/>
  <c r="BM14" i="48"/>
  <c r="W14" i="48"/>
  <c r="BK14" i="48"/>
  <c r="AW14" i="48"/>
  <c r="AM14" i="48"/>
  <c r="Y14" i="48"/>
  <c r="CS14" i="48"/>
  <c r="AE14" i="48"/>
  <c r="CW14" i="48"/>
  <c r="BY14" i="48"/>
  <c r="CM14" i="48"/>
  <c r="Q14" i="48"/>
  <c r="CY14" i="48"/>
  <c r="CA14" i="48"/>
  <c r="BO14" i="48"/>
  <c r="BC14" i="48"/>
  <c r="BA14" i="48"/>
  <c r="AA14" i="48"/>
  <c r="CG14" i="48"/>
  <c r="AI14" i="48"/>
  <c r="M14" i="48"/>
  <c r="BQ14" i="48"/>
  <c r="AQ14" i="48"/>
  <c r="K14" i="48"/>
  <c r="AC14" i="48"/>
  <c r="AO14" i="48"/>
  <c r="BE14" i="48"/>
  <c r="AK14" i="48"/>
  <c r="CC14" i="48"/>
  <c r="DA14" i="48"/>
  <c r="CQ14" i="48"/>
  <c r="AY14" i="48"/>
  <c r="CE14" i="48"/>
  <c r="CU14" i="48"/>
  <c r="CK14" i="48"/>
  <c r="O14" i="48"/>
  <c r="CO14" i="48"/>
  <c r="BS14" i="48"/>
  <c r="CG11" i="49"/>
  <c r="CG52" i="49" s="1"/>
  <c r="CA11" i="49"/>
  <c r="CA52" i="49" s="1"/>
  <c r="S11" i="49"/>
  <c r="W11" i="49"/>
  <c r="W52" i="49" s="1"/>
  <c r="AO11" i="49"/>
  <c r="AO52" i="49" s="1"/>
  <c r="CY11" i="49"/>
  <c r="CY52" i="49" s="1"/>
  <c r="BM11" i="49"/>
  <c r="BM52" i="49" s="1"/>
  <c r="CO11" i="49"/>
  <c r="CE11" i="49"/>
  <c r="CE52" i="49" s="1"/>
  <c r="BW11" i="49"/>
  <c r="BW52" i="49" s="1"/>
  <c r="AG11" i="49"/>
  <c r="AG52" i="49" s="1"/>
  <c r="BA11" i="49"/>
  <c r="BA52" i="49" s="1"/>
  <c r="U11" i="49"/>
  <c r="U52" i="49" s="1"/>
  <c r="AQ11" i="49"/>
  <c r="AQ52" i="49" s="1"/>
  <c r="AS11" i="49"/>
  <c r="AS52" i="49" s="1"/>
  <c r="CI11" i="49"/>
  <c r="CI52" i="49" s="1"/>
  <c r="AA11" i="49"/>
  <c r="AA52" i="49" s="1"/>
  <c r="BK11" i="49"/>
  <c r="BK52" i="49" s="1"/>
  <c r="BO11" i="49"/>
  <c r="BO52" i="49" s="1"/>
  <c r="AM11" i="49"/>
  <c r="AM52" i="49" s="1"/>
  <c r="AE11" i="49"/>
  <c r="AE52" i="49" s="1"/>
  <c r="AC11" i="49"/>
  <c r="AC52" i="49" s="1"/>
  <c r="BU11" i="49"/>
  <c r="BU52" i="49" s="1"/>
  <c r="Y11" i="49"/>
  <c r="Y52" i="49" s="1"/>
  <c r="BS11" i="49"/>
  <c r="BS52" i="49" s="1"/>
  <c r="CW11" i="49"/>
  <c r="M11" i="49"/>
  <c r="M52" i="49" s="1"/>
  <c r="Q11" i="49"/>
  <c r="Q52" i="49" s="1"/>
  <c r="BI11" i="49"/>
  <c r="BI52" i="49" s="1"/>
  <c r="AU11" i="49"/>
  <c r="AU52" i="49" s="1"/>
  <c r="O11" i="49"/>
  <c r="O52" i="49" s="1"/>
  <c r="AI11" i="49"/>
  <c r="AI52" i="49" s="1"/>
  <c r="AK11" i="49"/>
  <c r="AK52" i="49" s="1"/>
  <c r="BG11" i="49"/>
  <c r="BG52" i="49" s="1"/>
  <c r="CC11" i="49"/>
  <c r="CC52" i="49" s="1"/>
  <c r="AW11" i="49"/>
  <c r="AW52" i="49" s="1"/>
  <c r="K11" i="49"/>
  <c r="K52" i="49" s="1"/>
  <c r="CQ11" i="49"/>
  <c r="BQ11" i="49"/>
  <c r="BQ52" i="49" s="1"/>
  <c r="CS11" i="49"/>
  <c r="AY11" i="49"/>
  <c r="AY52" i="49" s="1"/>
  <c r="CU11" i="49"/>
  <c r="CU52" i="49" s="1"/>
  <c r="CM11" i="49"/>
  <c r="BE11" i="49"/>
  <c r="BE52" i="49" s="1"/>
  <c r="BY11" i="49"/>
  <c r="BY52" i="49" s="1"/>
  <c r="CK11" i="49"/>
  <c r="CK52" i="49" s="1"/>
  <c r="BC11" i="49"/>
  <c r="BC52" i="49" s="1"/>
  <c r="DA11" i="49"/>
  <c r="BO23" i="48"/>
  <c r="AG23" i="48"/>
  <c r="O23" i="48"/>
  <c r="Q23" i="48"/>
  <c r="CW23" i="48"/>
  <c r="AS23" i="48"/>
  <c r="CS23" i="48"/>
  <c r="AC23" i="48"/>
  <c r="AE23" i="48"/>
  <c r="AQ23" i="48"/>
  <c r="CG23" i="48"/>
  <c r="DA23" i="48"/>
  <c r="K23" i="48"/>
  <c r="CI23" i="48"/>
  <c r="W23" i="48"/>
  <c r="AW23" i="48"/>
  <c r="BY23" i="48"/>
  <c r="CA23" i="48"/>
  <c r="AK23" i="48"/>
  <c r="CM23" i="48"/>
  <c r="BQ23" i="48"/>
  <c r="CO23" i="48"/>
  <c r="CK23" i="48"/>
  <c r="AO23" i="48"/>
  <c r="BM23" i="48"/>
  <c r="CQ23" i="48"/>
  <c r="M23" i="48"/>
  <c r="BC23" i="48"/>
  <c r="BW23" i="48"/>
  <c r="BG23" i="48"/>
  <c r="BK23" i="48"/>
  <c r="CC23" i="48"/>
  <c r="AU23" i="48"/>
  <c r="CU23" i="48"/>
  <c r="BI23" i="48"/>
  <c r="BU23" i="48"/>
  <c r="S23" i="48"/>
  <c r="U23" i="48"/>
  <c r="AA23" i="48"/>
  <c r="BA23" i="48"/>
  <c r="AM23" i="48"/>
  <c r="BS23" i="48"/>
  <c r="CY23" i="48"/>
  <c r="AY23" i="48"/>
  <c r="CE23" i="48"/>
  <c r="AI23" i="48"/>
  <c r="BE23" i="48"/>
  <c r="Y23" i="48"/>
  <c r="A41" i="50" a="1"/>
  <c r="A41" i="50" s="1"/>
  <c r="I41" i="50" s="1"/>
  <c r="A47" i="50" a="1"/>
  <c r="A47" i="50" s="1"/>
  <c r="I47" i="50" s="1"/>
  <c r="A46" i="50" a="1"/>
  <c r="A46" i="50" s="1"/>
  <c r="I46" i="50" s="1"/>
  <c r="A40" i="50" a="1"/>
  <c r="A40" i="50" s="1"/>
  <c r="I40" i="50" s="1"/>
  <c r="A50" i="50" a="1"/>
  <c r="A50" i="50" s="1"/>
  <c r="I50" i="50" s="1"/>
  <c r="A42" i="50" a="1"/>
  <c r="A42" i="50" s="1"/>
  <c r="I42" i="50" s="1"/>
  <c r="A11" i="50" a="1"/>
  <c r="A11" i="50" s="1"/>
  <c r="I11" i="50" s="1"/>
  <c r="A48" i="50" a="1"/>
  <c r="A48" i="50" s="1"/>
  <c r="I48" i="50" s="1"/>
  <c r="A49" i="50" a="1"/>
  <c r="A49" i="50" s="1"/>
  <c r="I49" i="50" s="1"/>
  <c r="A45" i="50" a="1"/>
  <c r="A45" i="50" s="1"/>
  <c r="I45" i="50" s="1"/>
  <c r="A43" i="50" a="1"/>
  <c r="A43" i="50" s="1"/>
  <c r="I43" i="50" s="1"/>
  <c r="A44" i="50" a="1"/>
  <c r="A44" i="50" s="1"/>
  <c r="I44" i="50" s="1"/>
  <c r="A45" i="49" a="1"/>
  <c r="A45" i="49" s="1"/>
  <c r="I45" i="49" s="1"/>
  <c r="A40" i="49" a="1"/>
  <c r="A40" i="49" s="1"/>
  <c r="I40" i="49" s="1"/>
  <c r="A49" i="49" a="1"/>
  <c r="A49" i="49" s="1"/>
  <c r="I49" i="49" s="1"/>
  <c r="A11" i="49" a="1"/>
  <c r="A11" i="49" s="1"/>
  <c r="I11" i="49" s="1"/>
  <c r="A44" i="49" a="1"/>
  <c r="A44" i="49" s="1"/>
  <c r="I44" i="49" s="1"/>
  <c r="A48" i="49" a="1"/>
  <c r="A48" i="49" s="1"/>
  <c r="I48" i="49" s="1"/>
  <c r="A42" i="49" a="1"/>
  <c r="A42" i="49" s="1"/>
  <c r="I42" i="49" s="1"/>
  <c r="A46" i="49" a="1"/>
  <c r="A46" i="49" s="1"/>
  <c r="I46" i="49" s="1"/>
  <c r="A47" i="49" a="1"/>
  <c r="A47" i="49" s="1"/>
  <c r="I47" i="49" s="1"/>
  <c r="A43" i="49" a="1"/>
  <c r="A43" i="49" s="1"/>
  <c r="I43" i="49" s="1"/>
  <c r="A41" i="49" a="1"/>
  <c r="A41" i="49" s="1"/>
  <c r="I41" i="49" s="1"/>
  <c r="A50" i="49" a="1"/>
  <c r="A50" i="49" s="1"/>
  <c r="I50" i="49" s="1"/>
  <c r="A32" i="48" a="1"/>
  <c r="A32" i="48" s="1"/>
  <c r="I32" i="48" s="1"/>
  <c r="AV18" i="48"/>
  <c r="AF18" i="48"/>
  <c r="CF18" i="48"/>
  <c r="AZ18" i="48"/>
  <c r="J18" i="48"/>
  <c r="BP18" i="48"/>
  <c r="AH18" i="48"/>
  <c r="AN18" i="48"/>
  <c r="AB18" i="48"/>
  <c r="Z18" i="48"/>
  <c r="CR18" i="48"/>
  <c r="P18" i="48"/>
  <c r="AR18" i="48"/>
  <c r="T18" i="48"/>
  <c r="BD18" i="48"/>
  <c r="V18" i="48"/>
  <c r="BL18" i="48"/>
  <c r="BV18" i="48"/>
  <c r="BF18" i="48"/>
  <c r="CT18" i="48"/>
  <c r="CV18" i="48"/>
  <c r="CJ18" i="48"/>
  <c r="BN18" i="48"/>
  <c r="AX18" i="48"/>
  <c r="CZ18" i="48"/>
  <c r="CL18" i="48"/>
  <c r="R18" i="48"/>
  <c r="AL18" i="48"/>
  <c r="CB18" i="48"/>
  <c r="CH18" i="48"/>
  <c r="CX18" i="48"/>
  <c r="AP18" i="48"/>
  <c r="BJ18" i="48"/>
  <c r="BZ18" i="48"/>
  <c r="CN18" i="48"/>
  <c r="CP18" i="48"/>
  <c r="N18" i="48"/>
  <c r="BX18" i="48"/>
  <c r="BT18" i="48"/>
  <c r="AT18" i="48"/>
  <c r="BB18" i="48"/>
  <c r="X18" i="48"/>
  <c r="AD18" i="48"/>
  <c r="BH18" i="48"/>
  <c r="CD18" i="48"/>
  <c r="AJ18" i="48"/>
  <c r="BR18" i="48"/>
  <c r="L18" i="48"/>
  <c r="CR30" i="48"/>
  <c r="CF30" i="48"/>
  <c r="AF30" i="48"/>
  <c r="BP30" i="48"/>
  <c r="BB30" i="48"/>
  <c r="BH30" i="48"/>
  <c r="R30" i="48"/>
  <c r="CB30" i="48"/>
  <c r="BX30" i="48"/>
  <c r="CN30" i="48"/>
  <c r="T30" i="48"/>
  <c r="J30" i="48"/>
  <c r="BD30" i="48"/>
  <c r="X30" i="48"/>
  <c r="CT30" i="48"/>
  <c r="CZ30" i="48"/>
  <c r="AD30" i="48"/>
  <c r="BR30" i="48"/>
  <c r="V30" i="48"/>
  <c r="CV30" i="48"/>
  <c r="AR30" i="48"/>
  <c r="CX30" i="48"/>
  <c r="BN30" i="48"/>
  <c r="CL30" i="48"/>
  <c r="AX30" i="48"/>
  <c r="AV30" i="48"/>
  <c r="P30" i="48"/>
  <c r="AB30" i="48"/>
  <c r="CJ30" i="48"/>
  <c r="AZ30" i="48"/>
  <c r="AN30" i="48"/>
  <c r="N30" i="48"/>
  <c r="BZ30" i="48"/>
  <c r="BL30" i="48"/>
  <c r="CH30" i="48"/>
  <c r="AJ30" i="48"/>
  <c r="AP30" i="48"/>
  <c r="CD30" i="48"/>
  <c r="Z30" i="48"/>
  <c r="AH30" i="48"/>
  <c r="BV30" i="48"/>
  <c r="L30" i="48"/>
  <c r="AT30" i="48"/>
  <c r="BJ30" i="48"/>
  <c r="CP30" i="48"/>
  <c r="AL30" i="48"/>
  <c r="BT30" i="48"/>
  <c r="BF30" i="48"/>
  <c r="A27" i="48" a="1"/>
  <c r="A27" i="48" s="1"/>
  <c r="I27" i="48" s="1"/>
  <c r="CQ18" i="48"/>
  <c r="AW18" i="48"/>
  <c r="BG18" i="48"/>
  <c r="AA18" i="48"/>
  <c r="AI18" i="48"/>
  <c r="AK18" i="48"/>
  <c r="AO18" i="48"/>
  <c r="CW18" i="48"/>
  <c r="AS18" i="48"/>
  <c r="BO18" i="48"/>
  <c r="AQ18" i="48"/>
  <c r="CA18" i="48"/>
  <c r="CO18" i="48"/>
  <c r="O18" i="48"/>
  <c r="CU18" i="48"/>
  <c r="CS18" i="48"/>
  <c r="BA18" i="48"/>
  <c r="AG18" i="48"/>
  <c r="K18" i="48"/>
  <c r="BC18" i="48"/>
  <c r="CM18" i="48"/>
  <c r="U18" i="48"/>
  <c r="BE18" i="48"/>
  <c r="BW18" i="48"/>
  <c r="CY18" i="48"/>
  <c r="AM18" i="48"/>
  <c r="BU18" i="48"/>
  <c r="CG18" i="48"/>
  <c r="BM18" i="48"/>
  <c r="DA18" i="48"/>
  <c r="AE18" i="48"/>
  <c r="BI18" i="48"/>
  <c r="Q18" i="48"/>
  <c r="Y18" i="48"/>
  <c r="BK18" i="48"/>
  <c r="W18" i="48"/>
  <c r="CK18" i="48"/>
  <c r="CI18" i="48"/>
  <c r="M18" i="48"/>
  <c r="AU18" i="48"/>
  <c r="AC18" i="48"/>
  <c r="BS18" i="48"/>
  <c r="CE18" i="48"/>
  <c r="AY18" i="48"/>
  <c r="BY18" i="48"/>
  <c r="CC18" i="48"/>
  <c r="S18" i="48"/>
  <c r="BQ18" i="48"/>
  <c r="K36" i="48"/>
  <c r="CO36" i="48"/>
  <c r="AE36" i="48"/>
  <c r="DA36" i="48"/>
  <c r="AC36" i="48"/>
  <c r="M36" i="48"/>
  <c r="BQ36" i="48"/>
  <c r="AY36" i="48"/>
  <c r="AW36" i="48"/>
  <c r="BY36" i="48"/>
  <c r="CC36" i="48"/>
  <c r="AS36" i="48"/>
  <c r="W36" i="48"/>
  <c r="BA36" i="48"/>
  <c r="BC36" i="48"/>
  <c r="BU36" i="48"/>
  <c r="AI36" i="48"/>
  <c r="CI36" i="48"/>
  <c r="CA36" i="48"/>
  <c r="BM36" i="48"/>
  <c r="CM36" i="48"/>
  <c r="CK36" i="48"/>
  <c r="BW36" i="48"/>
  <c r="O36" i="48"/>
  <c r="AA36" i="48"/>
  <c r="Y36" i="48"/>
  <c r="AU36" i="48"/>
  <c r="BI36" i="48"/>
  <c r="S36" i="48"/>
  <c r="CW36" i="48"/>
  <c r="BK36" i="48"/>
  <c r="Q36" i="48"/>
  <c r="CY36" i="48"/>
  <c r="CU36" i="48"/>
  <c r="BG36" i="48"/>
  <c r="CS36" i="48"/>
  <c r="AG36" i="48"/>
  <c r="AK36" i="48"/>
  <c r="AM36" i="48"/>
  <c r="CG36" i="48"/>
  <c r="BO36" i="48"/>
  <c r="CE36" i="48"/>
  <c r="CQ36" i="48"/>
  <c r="BS36" i="48"/>
  <c r="AQ36" i="48"/>
  <c r="U36" i="48"/>
  <c r="AO36" i="48"/>
  <c r="BE36" i="48"/>
  <c r="W26" i="48"/>
  <c r="BO26" i="48"/>
  <c r="CW26" i="48"/>
  <c r="CM26" i="48"/>
  <c r="AA26" i="48"/>
  <c r="BG26" i="48"/>
  <c r="BU26" i="48"/>
  <c r="BK26" i="48"/>
  <c r="CA26" i="48"/>
  <c r="DA26" i="48"/>
  <c r="BI26" i="48"/>
  <c r="Q26" i="48"/>
  <c r="AK26" i="48"/>
  <c r="Y26" i="48"/>
  <c r="BW26" i="48"/>
  <c r="U26" i="48"/>
  <c r="CU26" i="48"/>
  <c r="AW26" i="48"/>
  <c r="S26" i="48"/>
  <c r="CC26" i="48"/>
  <c r="CQ26" i="48"/>
  <c r="AU26" i="48"/>
  <c r="AY26" i="48"/>
  <c r="BY26" i="48"/>
  <c r="BQ26" i="48"/>
  <c r="CO26" i="48"/>
  <c r="K26" i="48"/>
  <c r="BS26" i="48"/>
  <c r="CS26" i="48"/>
  <c r="BM26" i="48"/>
  <c r="CE26" i="48"/>
  <c r="O26" i="48"/>
  <c r="BC26" i="48"/>
  <c r="M26" i="48"/>
  <c r="AQ26" i="48"/>
  <c r="CK26" i="48"/>
  <c r="AS26" i="48"/>
  <c r="CG26" i="48"/>
  <c r="BA26" i="48"/>
  <c r="CY26" i="48"/>
  <c r="AE26" i="48"/>
  <c r="AG26" i="48"/>
  <c r="AC26" i="48"/>
  <c r="AI26" i="48"/>
  <c r="BE26" i="48"/>
  <c r="AM26" i="48"/>
  <c r="AO26" i="48"/>
  <c r="CI26" i="48"/>
  <c r="CL28" i="48"/>
  <c r="AJ28" i="48"/>
  <c r="BN28" i="48"/>
  <c r="CR28" i="48"/>
  <c r="AX28" i="48"/>
  <c r="AF28" i="48"/>
  <c r="BJ28" i="48"/>
  <c r="BR28" i="48"/>
  <c r="CX28" i="48"/>
  <c r="X28" i="48"/>
  <c r="BF28" i="48"/>
  <c r="AD28" i="48"/>
  <c r="AV28" i="48"/>
  <c r="BP28" i="48"/>
  <c r="V28" i="48"/>
  <c r="CP28" i="48"/>
  <c r="BB28" i="48"/>
  <c r="AZ28" i="48"/>
  <c r="AN28" i="48"/>
  <c r="CT28" i="48"/>
  <c r="CH28" i="48"/>
  <c r="AP28" i="48"/>
  <c r="BX28" i="48"/>
  <c r="BH28" i="48"/>
  <c r="BZ28" i="48"/>
  <c r="CF28" i="48"/>
  <c r="N28" i="48"/>
  <c r="CJ28" i="48"/>
  <c r="CB28" i="48"/>
  <c r="Z28" i="48"/>
  <c r="CV28" i="48"/>
  <c r="BL28" i="48"/>
  <c r="AT28" i="48"/>
  <c r="BT28" i="48"/>
  <c r="L28" i="48"/>
  <c r="AR28" i="48"/>
  <c r="BD28" i="48"/>
  <c r="AL28" i="48"/>
  <c r="R28" i="48"/>
  <c r="CZ28" i="48"/>
  <c r="CN28" i="48"/>
  <c r="AH28" i="48"/>
  <c r="J28" i="48"/>
  <c r="BV28" i="48"/>
  <c r="CD28" i="48"/>
  <c r="T28" i="48"/>
  <c r="P28" i="48"/>
  <c r="AB28" i="48"/>
  <c r="A21" i="48" a="1"/>
  <c r="A21" i="48" s="1"/>
  <c r="I21" i="48" s="1"/>
  <c r="A28" i="48" a="1"/>
  <c r="A28" i="48" s="1"/>
  <c r="I28" i="48" s="1"/>
  <c r="AO31" i="48"/>
  <c r="AA31" i="48"/>
  <c r="CK31" i="48"/>
  <c r="BM31" i="48"/>
  <c r="AE31" i="48"/>
  <c r="W31" i="48"/>
  <c r="AQ31" i="48"/>
  <c r="S31" i="48"/>
  <c r="BW31" i="48"/>
  <c r="CQ31" i="48"/>
  <c r="DA31" i="48"/>
  <c r="Y31" i="48"/>
  <c r="CY31" i="48"/>
  <c r="BE31" i="48"/>
  <c r="AS31" i="48"/>
  <c r="CM31" i="48"/>
  <c r="BQ31" i="48"/>
  <c r="CS31" i="48"/>
  <c r="CE31" i="48"/>
  <c r="CG31" i="48"/>
  <c r="AY31" i="48"/>
  <c r="CC31" i="48"/>
  <c r="BK31" i="48"/>
  <c r="BC31" i="48"/>
  <c r="CW31" i="48"/>
  <c r="CO31" i="48"/>
  <c r="BA31" i="48"/>
  <c r="CI31" i="48"/>
  <c r="CA31" i="48"/>
  <c r="AW31" i="48"/>
  <c r="AI31" i="48"/>
  <c r="Q31" i="48"/>
  <c r="AK31" i="48"/>
  <c r="BS31" i="48"/>
  <c r="O31" i="48"/>
  <c r="BG31" i="48"/>
  <c r="U31" i="48"/>
  <c r="BO31" i="48"/>
  <c r="BI31" i="48"/>
  <c r="BU31" i="48"/>
  <c r="AC31" i="48"/>
  <c r="CU31" i="48"/>
  <c r="M31" i="48"/>
  <c r="BY31" i="48"/>
  <c r="AG31" i="48"/>
  <c r="AM31" i="48"/>
  <c r="AU31" i="48"/>
  <c r="K31" i="48"/>
  <c r="CQ21" i="48"/>
  <c r="AA21" i="48"/>
  <c r="CU21" i="48"/>
  <c r="BE21" i="48"/>
  <c r="BS21" i="48"/>
  <c r="BA21" i="48"/>
  <c r="BQ21" i="48"/>
  <c r="AQ21" i="48"/>
  <c r="BO21" i="48"/>
  <c r="AU21" i="48"/>
  <c r="AI21" i="48"/>
  <c r="O21" i="48"/>
  <c r="Y21" i="48"/>
  <c r="BI21" i="48"/>
  <c r="U21" i="48"/>
  <c r="AM21" i="48"/>
  <c r="CC21" i="48"/>
  <c r="BU21" i="48"/>
  <c r="AS21" i="48"/>
  <c r="CE21" i="48"/>
  <c r="AE21" i="48"/>
  <c r="BM21" i="48"/>
  <c r="BW21" i="48"/>
  <c r="AC21" i="48"/>
  <c r="CS21" i="48"/>
  <c r="CY21" i="48"/>
  <c r="Q21" i="48"/>
  <c r="CM21" i="48"/>
  <c r="K21" i="48"/>
  <c r="AO21" i="48"/>
  <c r="CA21" i="48"/>
  <c r="CG21" i="48"/>
  <c r="W21" i="48"/>
  <c r="BK21" i="48"/>
  <c r="DA21" i="48"/>
  <c r="M21" i="48"/>
  <c r="CK21" i="48"/>
  <c r="AG21" i="48"/>
  <c r="AY21" i="48"/>
  <c r="BG21" i="48"/>
  <c r="CW21" i="48"/>
  <c r="CI21" i="48"/>
  <c r="CO21" i="48"/>
  <c r="S21" i="48"/>
  <c r="BY21" i="48"/>
  <c r="AK21" i="48"/>
  <c r="AW21" i="48"/>
  <c r="BC21" i="48"/>
  <c r="O27" i="48"/>
  <c r="AS27" i="48"/>
  <c r="U27" i="48"/>
  <c r="AO27" i="48"/>
  <c r="AA27" i="48"/>
  <c r="S27" i="48"/>
  <c r="BA27" i="48"/>
  <c r="AE27" i="48"/>
  <c r="CS27" i="48"/>
  <c r="AG27" i="48"/>
  <c r="Q27" i="48"/>
  <c r="M27" i="48"/>
  <c r="DA27" i="48"/>
  <c r="BS27" i="48"/>
  <c r="BQ27" i="48"/>
  <c r="CO27" i="48"/>
  <c r="CW27" i="48"/>
  <c r="CQ27" i="48"/>
  <c r="AU27" i="48"/>
  <c r="CM27" i="48"/>
  <c r="AM27" i="48"/>
  <c r="W27" i="48"/>
  <c r="BG27" i="48"/>
  <c r="AK27" i="48"/>
  <c r="CK27" i="48"/>
  <c r="BM27" i="48"/>
  <c r="BK27" i="48"/>
  <c r="BC27" i="48"/>
  <c r="CE27" i="48"/>
  <c r="AC27" i="48"/>
  <c r="BO27" i="48"/>
  <c r="Y27" i="48"/>
  <c r="K27" i="48"/>
  <c r="BW27" i="48"/>
  <c r="BY27" i="48"/>
  <c r="CI27" i="48"/>
  <c r="AQ27" i="48"/>
  <c r="CC27" i="48"/>
  <c r="AI27" i="48"/>
  <c r="CU27" i="48"/>
  <c r="AW27" i="48"/>
  <c r="BE27" i="48"/>
  <c r="CY27" i="48"/>
  <c r="CA27" i="48"/>
  <c r="BI27" i="48"/>
  <c r="BU27" i="48"/>
  <c r="CG27" i="48"/>
  <c r="AY27" i="48"/>
  <c r="F21" i="58"/>
  <c r="F27" i="58"/>
  <c r="H14" i="57"/>
  <c r="J14" i="57"/>
  <c r="R11" i="49"/>
  <c r="R52" i="49" s="1"/>
  <c r="BT11" i="49"/>
  <c r="BT52" i="49" s="1"/>
  <c r="AZ11" i="49"/>
  <c r="AZ52" i="49" s="1"/>
  <c r="N11" i="49"/>
  <c r="N52" i="49" s="1"/>
  <c r="AB11" i="49"/>
  <c r="AB52" i="49" s="1"/>
  <c r="CJ11" i="49"/>
  <c r="CJ52" i="49" s="1"/>
  <c r="BX11" i="49"/>
  <c r="BX52" i="49" s="1"/>
  <c r="BL11" i="49"/>
  <c r="BL52" i="49" s="1"/>
  <c r="AF11" i="49"/>
  <c r="AF52" i="49" s="1"/>
  <c r="AR11" i="49"/>
  <c r="AR52" i="49" s="1"/>
  <c r="AD11" i="49"/>
  <c r="AD52" i="49" s="1"/>
  <c r="BR11" i="49"/>
  <c r="BR52" i="49" s="1"/>
  <c r="AT11" i="49"/>
  <c r="AT52" i="49" s="1"/>
  <c r="CL11" i="49"/>
  <c r="CL52" i="49" s="1"/>
  <c r="BB11" i="49"/>
  <c r="BB52" i="49" s="1"/>
  <c r="BN11" i="49"/>
  <c r="BN52" i="49" s="1"/>
  <c r="AL11" i="49"/>
  <c r="AL52" i="49" s="1"/>
  <c r="T11" i="49"/>
  <c r="T52" i="49" s="1"/>
  <c r="J11" i="49"/>
  <c r="J52" i="49" s="1"/>
  <c r="Z11" i="49"/>
  <c r="Z52" i="49" s="1"/>
  <c r="P11" i="49"/>
  <c r="P52" i="49" s="1"/>
  <c r="BH11" i="49"/>
  <c r="BH52" i="49" s="1"/>
  <c r="CZ11" i="49"/>
  <c r="V11" i="49"/>
  <c r="V52" i="49" s="1"/>
  <c r="L11" i="49"/>
  <c r="L52" i="49" s="1"/>
  <c r="CN11" i="49"/>
  <c r="CN52" i="49" s="1"/>
  <c r="X11" i="49"/>
  <c r="X52" i="49" s="1"/>
  <c r="AJ11" i="49"/>
  <c r="AJ52" i="49" s="1"/>
  <c r="BZ11" i="49"/>
  <c r="BZ52" i="49" s="1"/>
  <c r="CD11" i="49"/>
  <c r="CH11" i="49"/>
  <c r="CV11" i="49"/>
  <c r="CV52" i="49" s="1"/>
  <c r="AN11" i="49"/>
  <c r="AN52" i="49" s="1"/>
  <c r="CT11" i="49"/>
  <c r="BJ11" i="49"/>
  <c r="BJ52" i="49" s="1"/>
  <c r="AH11" i="49"/>
  <c r="AH52" i="49" s="1"/>
  <c r="BV11" i="49"/>
  <c r="BV52" i="49" s="1"/>
  <c r="BF11" i="49"/>
  <c r="BF52" i="49" s="1"/>
  <c r="CR11" i="49"/>
  <c r="CR52" i="49" s="1"/>
  <c r="CX11" i="49"/>
  <c r="CX52" i="49" s="1"/>
  <c r="CP11" i="49"/>
  <c r="CP52" i="49" s="1"/>
  <c r="CB11" i="49"/>
  <c r="CB52" i="49" s="1"/>
  <c r="CF11" i="49"/>
  <c r="AX11" i="49"/>
  <c r="BD11" i="49"/>
  <c r="BD52" i="49" s="1"/>
  <c r="AV11" i="49"/>
  <c r="AV52" i="49" s="1"/>
  <c r="BP11" i="49"/>
  <c r="BP52" i="49" s="1"/>
  <c r="AP11" i="49"/>
  <c r="AP52" i="49" s="1"/>
  <c r="BN14" i="48"/>
  <c r="V14" i="48"/>
  <c r="P14" i="48"/>
  <c r="AN14" i="48"/>
  <c r="X14" i="48"/>
  <c r="BP14" i="48"/>
  <c r="AH14" i="48"/>
  <c r="CH14" i="48"/>
  <c r="J14" i="48"/>
  <c r="AT14" i="48"/>
  <c r="BZ14" i="48"/>
  <c r="BR14" i="48"/>
  <c r="AP14" i="48"/>
  <c r="AJ14" i="48"/>
  <c r="L14" i="48"/>
  <c r="AX14" i="48"/>
  <c r="CV14" i="48"/>
  <c r="BV14" i="48"/>
  <c r="R14" i="48"/>
  <c r="AR14" i="48"/>
  <c r="Z14" i="48"/>
  <c r="CN14" i="48"/>
  <c r="N14" i="48"/>
  <c r="AV14" i="48"/>
  <c r="AF14" i="48"/>
  <c r="BL14" i="48"/>
  <c r="CB14" i="48"/>
  <c r="BJ14" i="48"/>
  <c r="AZ14" i="48"/>
  <c r="BT14" i="48"/>
  <c r="BX14" i="48"/>
  <c r="T14" i="48"/>
  <c r="CD14" i="48"/>
  <c r="CZ14" i="48"/>
  <c r="CX14" i="48"/>
  <c r="AB14" i="48"/>
  <c r="BH14" i="48"/>
  <c r="AD14" i="48"/>
  <c r="CL14" i="48"/>
  <c r="BB14" i="48"/>
  <c r="CT14" i="48"/>
  <c r="AL14" i="48"/>
  <c r="CP14" i="48"/>
  <c r="BF14" i="48"/>
  <c r="CR14" i="48"/>
  <c r="CJ14" i="48"/>
  <c r="BD14" i="48"/>
  <c r="CF14" i="48"/>
  <c r="I14" i="14"/>
  <c r="J14" i="14"/>
  <c r="BQ11" i="51"/>
  <c r="BQ52" i="51" s="1"/>
  <c r="AK11" i="51"/>
  <c r="AK52" i="51" s="1"/>
  <c r="BG11" i="51"/>
  <c r="BG52" i="51" s="1"/>
  <c r="BI11" i="51"/>
  <c r="BI52" i="51" s="1"/>
  <c r="AC11" i="51"/>
  <c r="AC52" i="51" s="1"/>
  <c r="AW11" i="51"/>
  <c r="AW52" i="51" s="1"/>
  <c r="CA11" i="51"/>
  <c r="CA52" i="51" s="1"/>
  <c r="BW11" i="51"/>
  <c r="BW52" i="51" s="1"/>
  <c r="BE11" i="51"/>
  <c r="BE52" i="51" s="1"/>
  <c r="W11" i="51"/>
  <c r="W52" i="51" s="1"/>
  <c r="CU11" i="51"/>
  <c r="CU52" i="51" s="1"/>
  <c r="AI11" i="51"/>
  <c r="AI52" i="51" s="1"/>
  <c r="AG11" i="51"/>
  <c r="AG52" i="51" s="1"/>
  <c r="BA11" i="51"/>
  <c r="BA52" i="51" s="1"/>
  <c r="CC11" i="51"/>
  <c r="CC52" i="51" s="1"/>
  <c r="BY11" i="51"/>
  <c r="BY52" i="51" s="1"/>
  <c r="M11" i="51"/>
  <c r="M52" i="51" s="1"/>
  <c r="BM11" i="51"/>
  <c r="BM52" i="51" s="1"/>
  <c r="S11" i="51"/>
  <c r="CW11" i="51"/>
  <c r="CO11" i="51"/>
  <c r="AA11" i="51"/>
  <c r="AA52" i="51" s="1"/>
  <c r="AQ11" i="51"/>
  <c r="AQ52" i="51" s="1"/>
  <c r="AU11" i="51"/>
  <c r="AU52" i="51" s="1"/>
  <c r="CS11" i="51"/>
  <c r="O11" i="51"/>
  <c r="O52" i="51" s="1"/>
  <c r="BU11" i="51"/>
  <c r="BU52" i="51" s="1"/>
  <c r="CY11" i="51"/>
  <c r="CY52" i="51" s="1"/>
  <c r="BO11" i="51"/>
  <c r="BO52" i="51" s="1"/>
  <c r="BS11" i="51"/>
  <c r="BS52" i="51" s="1"/>
  <c r="AY11" i="51"/>
  <c r="AY52" i="51" s="1"/>
  <c r="AS11" i="51"/>
  <c r="AS52" i="51" s="1"/>
  <c r="CG11" i="51"/>
  <c r="CG52" i="51" s="1"/>
  <c r="AE11" i="51"/>
  <c r="AE52" i="51" s="1"/>
  <c r="BK11" i="51"/>
  <c r="BK52" i="51" s="1"/>
  <c r="CE11" i="51"/>
  <c r="CE52" i="51" s="1"/>
  <c r="AO11" i="51"/>
  <c r="AO52" i="51" s="1"/>
  <c r="Q11" i="51"/>
  <c r="Q52" i="51" s="1"/>
  <c r="BC11" i="51"/>
  <c r="BC52" i="51" s="1"/>
  <c r="U11" i="51"/>
  <c r="U52" i="51" s="1"/>
  <c r="CI11" i="51"/>
  <c r="CI52" i="51" s="1"/>
  <c r="K11" i="51"/>
  <c r="K52" i="51" s="1"/>
  <c r="Y11" i="51"/>
  <c r="Y52" i="51" s="1"/>
  <c r="AM11" i="51"/>
  <c r="AM52" i="51" s="1"/>
  <c r="CK11" i="51"/>
  <c r="CK52" i="51" s="1"/>
  <c r="CM11" i="51"/>
  <c r="CQ11" i="51"/>
  <c r="DA11" i="51"/>
  <c r="Q11" i="50"/>
  <c r="Q52" i="50" s="1"/>
  <c r="M11" i="50"/>
  <c r="M52" i="50" s="1"/>
  <c r="AE11" i="50"/>
  <c r="AE52" i="50" s="1"/>
  <c r="CS11" i="50"/>
  <c r="BY11" i="50"/>
  <c r="BY52" i="50" s="1"/>
  <c r="CE11" i="50"/>
  <c r="CE52" i="50" s="1"/>
  <c r="O11" i="50"/>
  <c r="O52" i="50" s="1"/>
  <c r="AA11" i="50"/>
  <c r="AA52" i="50" s="1"/>
  <c r="BO11" i="50"/>
  <c r="BO52" i="50" s="1"/>
  <c r="CM11" i="50"/>
  <c r="AW11" i="50"/>
  <c r="AW52" i="50" s="1"/>
  <c r="CK11" i="50"/>
  <c r="CK52" i="50" s="1"/>
  <c r="K11" i="50"/>
  <c r="K52" i="50" s="1"/>
  <c r="Y11" i="50"/>
  <c r="Y52" i="50" s="1"/>
  <c r="AM11" i="50"/>
  <c r="AM52" i="50" s="1"/>
  <c r="BQ11" i="50"/>
  <c r="BQ52" i="50" s="1"/>
  <c r="CQ11" i="50"/>
  <c r="BI11" i="50"/>
  <c r="BI52" i="50" s="1"/>
  <c r="AG11" i="50"/>
  <c r="AG52" i="50" s="1"/>
  <c r="AO11" i="50"/>
  <c r="AO52" i="50" s="1"/>
  <c r="CU11" i="50"/>
  <c r="CU52" i="50" s="1"/>
  <c r="AI11" i="50"/>
  <c r="AI52" i="50" s="1"/>
  <c r="BG11" i="50"/>
  <c r="BG52" i="50" s="1"/>
  <c r="S11" i="50"/>
  <c r="CA11" i="50"/>
  <c r="CA52" i="50" s="1"/>
  <c r="BU11" i="50"/>
  <c r="BU52" i="50" s="1"/>
  <c r="BS11" i="50"/>
  <c r="BS52" i="50" s="1"/>
  <c r="AC11" i="50"/>
  <c r="AC52" i="50" s="1"/>
  <c r="BA11" i="50"/>
  <c r="BA52" i="50" s="1"/>
  <c r="CC11" i="50"/>
  <c r="CC52" i="50" s="1"/>
  <c r="CI11" i="50"/>
  <c r="CI52" i="50" s="1"/>
  <c r="CY11" i="50"/>
  <c r="CY52" i="50" s="1"/>
  <c r="U11" i="50"/>
  <c r="U52" i="50" s="1"/>
  <c r="BK11" i="50"/>
  <c r="BK52" i="50" s="1"/>
  <c r="AQ11" i="50"/>
  <c r="AQ52" i="50" s="1"/>
  <c r="AS11" i="50"/>
  <c r="AS52" i="50" s="1"/>
  <c r="AK11" i="50"/>
  <c r="AK52" i="50" s="1"/>
  <c r="BC11" i="50"/>
  <c r="BC52" i="50" s="1"/>
  <c r="AY11" i="50"/>
  <c r="AY52" i="50" s="1"/>
  <c r="W11" i="50"/>
  <c r="W52" i="50" s="1"/>
  <c r="BW11" i="50"/>
  <c r="BW52" i="50" s="1"/>
  <c r="BM11" i="50"/>
  <c r="BM52" i="50" s="1"/>
  <c r="CW11" i="50"/>
  <c r="CO11" i="50"/>
  <c r="CG11" i="50"/>
  <c r="CG52" i="50" s="1"/>
  <c r="AU11" i="50"/>
  <c r="AU52" i="50" s="1"/>
  <c r="BE11" i="50"/>
  <c r="BE52" i="50" s="1"/>
  <c r="DA11" i="50"/>
  <c r="A38" i="48" a="1"/>
  <c r="A38" i="48" s="1"/>
  <c r="I38" i="48" s="1"/>
  <c r="BB12" i="48"/>
  <c r="AB12" i="48"/>
  <c r="V12" i="48"/>
  <c r="BX12" i="48"/>
  <c r="CH12" i="48"/>
  <c r="CZ12" i="48"/>
  <c r="AT12" i="48"/>
  <c r="BR12" i="48"/>
  <c r="BH12" i="48"/>
  <c r="BD12" i="48"/>
  <c r="BN12" i="48"/>
  <c r="AZ12" i="48"/>
  <c r="CF12" i="48"/>
  <c r="AJ12" i="48"/>
  <c r="BZ12" i="48"/>
  <c r="P12" i="48"/>
  <c r="CX12" i="48"/>
  <c r="N12" i="48"/>
  <c r="T12" i="48"/>
  <c r="AL12" i="48"/>
  <c r="X12" i="48"/>
  <c r="CP12" i="48"/>
  <c r="AN12" i="48"/>
  <c r="R12" i="48"/>
  <c r="CD12" i="48"/>
  <c r="BJ12" i="48"/>
  <c r="BL12" i="48"/>
  <c r="AX12" i="48"/>
  <c r="CV12" i="48"/>
  <c r="Z12" i="48"/>
  <c r="CR12" i="48"/>
  <c r="AF12" i="48"/>
  <c r="AP12" i="48"/>
  <c r="CB12" i="48"/>
  <c r="CL12" i="48"/>
  <c r="AR12" i="48"/>
  <c r="CN12" i="48"/>
  <c r="BP12" i="48"/>
  <c r="BV12" i="48"/>
  <c r="CT12" i="48"/>
  <c r="BT12" i="48"/>
  <c r="AD12" i="48"/>
  <c r="AH12" i="48"/>
  <c r="AV12" i="48"/>
  <c r="BF12" i="48"/>
  <c r="L12" i="48"/>
  <c r="CJ12" i="48"/>
  <c r="J12" i="48"/>
  <c r="CN22" i="48"/>
  <c r="AH22" i="48"/>
  <c r="BV22" i="48"/>
  <c r="BL22" i="48"/>
  <c r="BR22" i="48"/>
  <c r="CL22" i="48"/>
  <c r="AF22" i="48"/>
  <c r="BD22" i="48"/>
  <c r="CT22" i="48"/>
  <c r="L22" i="48"/>
  <c r="J22" i="48"/>
  <c r="CB22" i="48"/>
  <c r="BT22" i="48"/>
  <c r="AX22" i="48"/>
  <c r="R22" i="48"/>
  <c r="BB22" i="48"/>
  <c r="AV22" i="48"/>
  <c r="CX22" i="48"/>
  <c r="AZ22" i="48"/>
  <c r="BF22" i="48"/>
  <c r="CJ22" i="48"/>
  <c r="BN22" i="48"/>
  <c r="CV22" i="48"/>
  <c r="BH22" i="48"/>
  <c r="BX22" i="48"/>
  <c r="AD22" i="48"/>
  <c r="AL22" i="48"/>
  <c r="BP22" i="48"/>
  <c r="V22" i="48"/>
  <c r="AB22" i="48"/>
  <c r="P22" i="48"/>
  <c r="AN22" i="48"/>
  <c r="CZ22" i="48"/>
  <c r="N22" i="48"/>
  <c r="CP22" i="48"/>
  <c r="AP22" i="48"/>
  <c r="BJ22" i="48"/>
  <c r="CF22" i="48"/>
  <c r="CD22" i="48"/>
  <c r="AT22" i="48"/>
  <c r="X22" i="48"/>
  <c r="BZ22" i="48"/>
  <c r="AJ22" i="48"/>
  <c r="T22" i="48"/>
  <c r="AR22" i="48"/>
  <c r="CH22" i="48"/>
  <c r="CR22" i="48"/>
  <c r="Z22" i="48"/>
  <c r="R17" i="48"/>
  <c r="BN17" i="48"/>
  <c r="CF17" i="48"/>
  <c r="AP17" i="48"/>
  <c r="AH17" i="48"/>
  <c r="BV17" i="48"/>
  <c r="X17" i="48"/>
  <c r="V17" i="48"/>
  <c r="CT17" i="48"/>
  <c r="BF17" i="48"/>
  <c r="CZ17" i="48"/>
  <c r="CP17" i="48"/>
  <c r="N17" i="48"/>
  <c r="CN17" i="48"/>
  <c r="BT17" i="48"/>
  <c r="Z17" i="48"/>
  <c r="BH17" i="48"/>
  <c r="AB17" i="48"/>
  <c r="T17" i="48"/>
  <c r="BL17" i="48"/>
  <c r="AF17" i="48"/>
  <c r="BB17" i="48"/>
  <c r="BP17" i="48"/>
  <c r="BJ17" i="48"/>
  <c r="AN17" i="48"/>
  <c r="CV17" i="48"/>
  <c r="BZ17" i="48"/>
  <c r="BD17" i="48"/>
  <c r="CB17" i="48"/>
  <c r="CX17" i="48"/>
  <c r="AR17" i="48"/>
  <c r="BX17" i="48"/>
  <c r="BR17" i="48"/>
  <c r="CL17" i="48"/>
  <c r="L17" i="48"/>
  <c r="P17" i="48"/>
  <c r="J17" i="48"/>
  <c r="AZ17" i="48"/>
  <c r="CH17" i="48"/>
  <c r="CJ17" i="48"/>
  <c r="AT17" i="48"/>
  <c r="CR17" i="48"/>
  <c r="AD17" i="48"/>
  <c r="AJ17" i="48"/>
  <c r="AX17" i="48"/>
  <c r="AL17" i="48"/>
  <c r="AV17" i="48"/>
  <c r="CD17" i="48"/>
  <c r="BF32" i="48"/>
  <c r="CL32" i="48"/>
  <c r="BB32" i="48"/>
  <c r="AH32" i="48"/>
  <c r="CH32" i="48"/>
  <c r="CB32" i="48"/>
  <c r="CT32" i="48"/>
  <c r="BJ32" i="48"/>
  <c r="AN32" i="48"/>
  <c r="BD32" i="48"/>
  <c r="AF32" i="48"/>
  <c r="AR32" i="48"/>
  <c r="CN32" i="48"/>
  <c r="T32" i="48"/>
  <c r="AL32" i="48"/>
  <c r="J32" i="48"/>
  <c r="X32" i="48"/>
  <c r="P32" i="48"/>
  <c r="CD32" i="48"/>
  <c r="CR32" i="48"/>
  <c r="CP32" i="48"/>
  <c r="BZ32" i="48"/>
  <c r="AT32" i="48"/>
  <c r="CF32" i="48"/>
  <c r="AB32" i="48"/>
  <c r="V32" i="48"/>
  <c r="CX32" i="48"/>
  <c r="AP32" i="48"/>
  <c r="R32" i="48"/>
  <c r="AV32" i="48"/>
  <c r="BP32" i="48"/>
  <c r="CJ32" i="48"/>
  <c r="L32" i="48"/>
  <c r="CV32" i="48"/>
  <c r="N32" i="48"/>
  <c r="BT32" i="48"/>
  <c r="BX32" i="48"/>
  <c r="AJ32" i="48"/>
  <c r="CZ32" i="48"/>
  <c r="BR32" i="48"/>
  <c r="AZ32" i="48"/>
  <c r="BL32" i="48"/>
  <c r="Z32" i="48"/>
  <c r="AD32" i="48"/>
  <c r="BH32" i="48"/>
  <c r="AX32" i="48"/>
  <c r="BV32" i="48"/>
  <c r="BN32" i="48"/>
  <c r="A20" i="48" a="1"/>
  <c r="A20" i="48" s="1"/>
  <c r="I20" i="48" s="1"/>
  <c r="U38" i="48"/>
  <c r="BM38" i="48"/>
  <c r="AA38" i="48"/>
  <c r="AO38" i="48"/>
  <c r="BK38" i="48"/>
  <c r="O38" i="48"/>
  <c r="AI38" i="48"/>
  <c r="CW38" i="48"/>
  <c r="CI38" i="48"/>
  <c r="BW38" i="48"/>
  <c r="AW38" i="48"/>
  <c r="W38" i="48"/>
  <c r="BY38" i="48"/>
  <c r="BQ38" i="48"/>
  <c r="AK38" i="48"/>
  <c r="AQ38" i="48"/>
  <c r="AU38" i="48"/>
  <c r="CS38" i="48"/>
  <c r="CC38" i="48"/>
  <c r="CK38" i="48"/>
  <c r="CE38" i="48"/>
  <c r="AE38" i="48"/>
  <c r="AM38" i="48"/>
  <c r="K38" i="48"/>
  <c r="CU38" i="48"/>
  <c r="CY38" i="48"/>
  <c r="M38" i="48"/>
  <c r="BO38" i="48"/>
  <c r="AG38" i="48"/>
  <c r="CM38" i="48"/>
  <c r="CA38" i="48"/>
  <c r="Y38" i="48"/>
  <c r="CO38" i="48"/>
  <c r="BI38" i="48"/>
  <c r="CG38" i="48"/>
  <c r="BE38" i="48"/>
  <c r="AC38" i="48"/>
  <c r="BG38" i="48"/>
  <c r="BS38" i="48"/>
  <c r="BA38" i="48"/>
  <c r="CQ38" i="48"/>
  <c r="BC38" i="48"/>
  <c r="AY38" i="48"/>
  <c r="BU38" i="48"/>
  <c r="AS38" i="48"/>
  <c r="S38" i="48"/>
  <c r="Q38" i="48"/>
  <c r="DA38" i="48"/>
  <c r="BL34" i="48"/>
  <c r="BP34" i="48"/>
  <c r="CF34" i="48"/>
  <c r="AD34" i="48"/>
  <c r="X34" i="48"/>
  <c r="CX34" i="48"/>
  <c r="BB34" i="48"/>
  <c r="CH34" i="48"/>
  <c r="AL34" i="48"/>
  <c r="CV34" i="48"/>
  <c r="J34" i="48"/>
  <c r="CD34" i="48"/>
  <c r="AB34" i="48"/>
  <c r="AX34" i="48"/>
  <c r="L34" i="48"/>
  <c r="BN34" i="48"/>
  <c r="AH34" i="48"/>
  <c r="AP34" i="48"/>
  <c r="CB34" i="48"/>
  <c r="BR34" i="48"/>
  <c r="R34" i="48"/>
  <c r="AV34" i="48"/>
  <c r="BT34" i="48"/>
  <c r="CR34" i="48"/>
  <c r="AZ34" i="48"/>
  <c r="BV34" i="48"/>
  <c r="BZ34" i="48"/>
  <c r="BH34" i="48"/>
  <c r="V34" i="48"/>
  <c r="CN34" i="48"/>
  <c r="AT34" i="48"/>
  <c r="P34" i="48"/>
  <c r="CZ34" i="48"/>
  <c r="AJ34" i="48"/>
  <c r="CL34" i="48"/>
  <c r="T34" i="48"/>
  <c r="BX34" i="48"/>
  <c r="BJ34" i="48"/>
  <c r="N34" i="48"/>
  <c r="CT34" i="48"/>
  <c r="BF34" i="48"/>
  <c r="Z34" i="48"/>
  <c r="CP34" i="48"/>
  <c r="CJ34" i="48"/>
  <c r="BD34" i="48"/>
  <c r="AF34" i="48"/>
  <c r="AN34" i="48"/>
  <c r="AR34" i="48"/>
  <c r="BK19" i="48"/>
  <c r="AW19" i="48"/>
  <c r="BS19" i="48"/>
  <c r="CA19" i="48"/>
  <c r="BC19" i="48"/>
  <c r="BE19" i="48"/>
  <c r="AU19" i="48"/>
  <c r="K19" i="48"/>
  <c r="BO19" i="48"/>
  <c r="BI19" i="48"/>
  <c r="CW19" i="48"/>
  <c r="AA19" i="48"/>
  <c r="CQ19" i="48"/>
  <c r="AK19" i="48"/>
  <c r="BQ19" i="48"/>
  <c r="CG19" i="48"/>
  <c r="BU19" i="48"/>
  <c r="O19" i="48"/>
  <c r="BM19" i="48"/>
  <c r="M19" i="48"/>
  <c r="AE19" i="48"/>
  <c r="AI19" i="48"/>
  <c r="AM19" i="48"/>
  <c r="CY19" i="48"/>
  <c r="DA19" i="48"/>
  <c r="AO19" i="48"/>
  <c r="AG19" i="48"/>
  <c r="Y19" i="48"/>
  <c r="CS19" i="48"/>
  <c r="CU19" i="48"/>
  <c r="CK19" i="48"/>
  <c r="AS19" i="48"/>
  <c r="BW19" i="48"/>
  <c r="CM19" i="48"/>
  <c r="CC19" i="48"/>
  <c r="S19" i="48"/>
  <c r="BY19" i="48"/>
  <c r="BG19" i="48"/>
  <c r="BA19" i="48"/>
  <c r="AQ19" i="48"/>
  <c r="CO19" i="48"/>
  <c r="CI19" i="48"/>
  <c r="U19" i="48"/>
  <c r="W19" i="48"/>
  <c r="Q19" i="48"/>
  <c r="AC19" i="48"/>
  <c r="AY19" i="48"/>
  <c r="CE19" i="48"/>
  <c r="BJ36" i="48"/>
  <c r="CT36" i="48"/>
  <c r="CL36" i="48"/>
  <c r="AJ36" i="48"/>
  <c r="BP36" i="48"/>
  <c r="AP36" i="48"/>
  <c r="AB36" i="48"/>
  <c r="R36" i="48"/>
  <c r="CZ36" i="48"/>
  <c r="BB36" i="48"/>
  <c r="CV36" i="48"/>
  <c r="AN36" i="48"/>
  <c r="BF36" i="48"/>
  <c r="AZ36" i="48"/>
  <c r="CF36" i="48"/>
  <c r="CJ36" i="48"/>
  <c r="BZ36" i="48"/>
  <c r="CX36" i="48"/>
  <c r="BT36" i="48"/>
  <c r="BD36" i="48"/>
  <c r="T36" i="48"/>
  <c r="AR36" i="48"/>
  <c r="X36" i="48"/>
  <c r="Z36" i="48"/>
  <c r="CD36" i="48"/>
  <c r="BR36" i="48"/>
  <c r="BX36" i="48"/>
  <c r="AH36" i="48"/>
  <c r="BN36" i="48"/>
  <c r="BH36" i="48"/>
  <c r="P36" i="48"/>
  <c r="N36" i="48"/>
  <c r="AT36" i="48"/>
  <c r="L36" i="48"/>
  <c r="BV36" i="48"/>
  <c r="BL36" i="48"/>
  <c r="AX36" i="48"/>
  <c r="V36" i="48"/>
  <c r="AD36" i="48"/>
  <c r="CH36" i="48"/>
  <c r="J36" i="48"/>
  <c r="AL36" i="48"/>
  <c r="CP36" i="48"/>
  <c r="CN36" i="48"/>
  <c r="AV36" i="48"/>
  <c r="AF36" i="48"/>
  <c r="CB36" i="48"/>
  <c r="CR36" i="48"/>
  <c r="A36" i="48" a="1"/>
  <c r="A36" i="48" s="1"/>
  <c r="I36" i="48" s="1"/>
  <c r="A23" i="48" a="1"/>
  <c r="A23" i="48" s="1"/>
  <c r="I23" i="48" s="1"/>
  <c r="BE35" i="48"/>
  <c r="CW35" i="48"/>
  <c r="K35" i="48"/>
  <c r="CY35" i="48"/>
  <c r="CM35" i="48"/>
  <c r="DA35" i="48"/>
  <c r="BM35" i="48"/>
  <c r="AU35" i="48"/>
  <c r="AS35" i="48"/>
  <c r="AA35" i="48"/>
  <c r="CC35" i="48"/>
  <c r="CG35" i="48"/>
  <c r="CA35" i="48"/>
  <c r="CI35" i="48"/>
  <c r="AK35" i="48"/>
  <c r="M35" i="48"/>
  <c r="CU35" i="48"/>
  <c r="BU35" i="48"/>
  <c r="CK35" i="48"/>
  <c r="Y35" i="48"/>
  <c r="W35" i="48"/>
  <c r="U35" i="48"/>
  <c r="BA35" i="48"/>
  <c r="AW35" i="48"/>
  <c r="AQ35" i="48"/>
  <c r="AM35" i="48"/>
  <c r="CS35" i="48"/>
  <c r="BC35" i="48"/>
  <c r="AG35" i="48"/>
  <c r="CQ35" i="48"/>
  <c r="Q35" i="48"/>
  <c r="AC35" i="48"/>
  <c r="S35" i="48"/>
  <c r="BO35" i="48"/>
  <c r="AE35" i="48"/>
  <c r="BW35" i="48"/>
  <c r="BY35" i="48"/>
  <c r="AI35" i="48"/>
  <c r="O35" i="48"/>
  <c r="AY35" i="48"/>
  <c r="BK35" i="48"/>
  <c r="BQ35" i="48"/>
  <c r="CO35" i="48"/>
  <c r="BI35" i="48"/>
  <c r="AO35" i="48"/>
  <c r="BG35" i="48"/>
  <c r="BS35" i="48"/>
  <c r="CE35" i="48"/>
  <c r="CP31" i="48"/>
  <c r="BD31" i="48"/>
  <c r="CJ31" i="48"/>
  <c r="BT31" i="48"/>
  <c r="BL31" i="48"/>
  <c r="BJ31" i="48"/>
  <c r="AX31" i="48"/>
  <c r="BZ31" i="48"/>
  <c r="CF31" i="48"/>
  <c r="AJ31" i="48"/>
  <c r="AZ31" i="48"/>
  <c r="CN31" i="48"/>
  <c r="AN31" i="48"/>
  <c r="AD31" i="48"/>
  <c r="CH31" i="48"/>
  <c r="J31" i="48"/>
  <c r="BH31" i="48"/>
  <c r="CX31" i="48"/>
  <c r="BV31" i="48"/>
  <c r="AF31" i="48"/>
  <c r="BP31" i="48"/>
  <c r="P31" i="48"/>
  <c r="T31" i="48"/>
  <c r="CB31" i="48"/>
  <c r="BF31" i="48"/>
  <c r="CZ31" i="48"/>
  <c r="CL31" i="48"/>
  <c r="L31" i="48"/>
  <c r="BR31" i="48"/>
  <c r="BN31" i="48"/>
  <c r="AH31" i="48"/>
  <c r="AR31" i="48"/>
  <c r="BX31" i="48"/>
  <c r="AB31" i="48"/>
  <c r="AP31" i="48"/>
  <c r="CD31" i="48"/>
  <c r="AV31" i="48"/>
  <c r="R31" i="48"/>
  <c r="V31" i="48"/>
  <c r="BB31" i="48"/>
  <c r="N31" i="48"/>
  <c r="CR31" i="48"/>
  <c r="CV31" i="48"/>
  <c r="AL31" i="48"/>
  <c r="CT31" i="48"/>
  <c r="AT31" i="48"/>
  <c r="X31" i="48"/>
  <c r="Z31" i="48"/>
  <c r="AF20" i="48"/>
  <c r="BL20" i="48"/>
  <c r="Z20" i="48"/>
  <c r="L20" i="48"/>
  <c r="BP20" i="48"/>
  <c r="AB20" i="48"/>
  <c r="AR20" i="48"/>
  <c r="AT20" i="48"/>
  <c r="BD20" i="48"/>
  <c r="X20" i="48"/>
  <c r="AJ20" i="48"/>
  <c r="CP20" i="48"/>
  <c r="AD20" i="48"/>
  <c r="V20" i="48"/>
  <c r="BH20" i="48"/>
  <c r="BX20" i="48"/>
  <c r="T20" i="48"/>
  <c r="BF20" i="48"/>
  <c r="BT20" i="48"/>
  <c r="CJ20" i="48"/>
  <c r="CZ20" i="48"/>
  <c r="AP20" i="48"/>
  <c r="CX20" i="48"/>
  <c r="AN20" i="48"/>
  <c r="CV20" i="48"/>
  <c r="CT20" i="48"/>
  <c r="CB20" i="48"/>
  <c r="CN20" i="48"/>
  <c r="CF20" i="48"/>
  <c r="CH20" i="48"/>
  <c r="BV20" i="48"/>
  <c r="P20" i="48"/>
  <c r="BJ20" i="48"/>
  <c r="CD20" i="48"/>
  <c r="J20" i="48"/>
  <c r="N20" i="48"/>
  <c r="AL20" i="48"/>
  <c r="CR20" i="48"/>
  <c r="BZ20" i="48"/>
  <c r="BB20" i="48"/>
  <c r="BR20" i="48"/>
  <c r="AZ20" i="48"/>
  <c r="AH20" i="48"/>
  <c r="AX20" i="48"/>
  <c r="R20" i="48"/>
  <c r="AV20" i="48"/>
  <c r="BN20" i="48"/>
  <c r="CL20" i="48"/>
  <c r="AZ24" i="48"/>
  <c r="AJ24" i="48"/>
  <c r="BD24" i="48"/>
  <c r="CX24" i="48"/>
  <c r="AB24" i="48"/>
  <c r="AN24" i="48"/>
  <c r="AL24" i="48"/>
  <c r="L24" i="48"/>
  <c r="BN24" i="48"/>
  <c r="CH24" i="48"/>
  <c r="P24" i="48"/>
  <c r="BT24" i="48"/>
  <c r="CF24" i="48"/>
  <c r="AP24" i="48"/>
  <c r="J24" i="48"/>
  <c r="AV24" i="48"/>
  <c r="CN24" i="48"/>
  <c r="CJ24" i="48"/>
  <c r="AX24" i="48"/>
  <c r="CT24" i="48"/>
  <c r="BV24" i="48"/>
  <c r="BP24" i="48"/>
  <c r="CP24" i="48"/>
  <c r="N24" i="48"/>
  <c r="BL24" i="48"/>
  <c r="BF24" i="48"/>
  <c r="CR24" i="48"/>
  <c r="CV24" i="48"/>
  <c r="BX24" i="48"/>
  <c r="CD24" i="48"/>
  <c r="AR24" i="48"/>
  <c r="X24" i="48"/>
  <c r="CL24" i="48"/>
  <c r="AH24" i="48"/>
  <c r="BR24" i="48"/>
  <c r="AT24" i="48"/>
  <c r="Z24" i="48"/>
  <c r="CZ24" i="48"/>
  <c r="T24" i="48"/>
  <c r="BZ24" i="48"/>
  <c r="AF24" i="48"/>
  <c r="R24" i="48"/>
  <c r="CB24" i="48"/>
  <c r="BB24" i="48"/>
  <c r="AD24" i="48"/>
  <c r="V24" i="48"/>
  <c r="BJ24" i="48"/>
  <c r="BH24" i="48"/>
  <c r="A35" i="48" a="1"/>
  <c r="A35" i="48" s="1"/>
  <c r="I35" i="48" s="1"/>
  <c r="F17" i="58"/>
  <c r="F23" i="58"/>
  <c r="G32" i="58"/>
  <c r="G77" i="43"/>
  <c r="L17" i="52"/>
  <c r="K17" i="52"/>
  <c r="N17" i="52"/>
  <c r="M17" i="52"/>
  <c r="CD25" i="48"/>
  <c r="AP25" i="48"/>
  <c r="L25" i="48"/>
  <c r="T25" i="48"/>
  <c r="BL25" i="48"/>
  <c r="CV25" i="48"/>
  <c r="CJ25" i="48"/>
  <c r="AD25" i="48"/>
  <c r="AJ25" i="48"/>
  <c r="BF25" i="48"/>
  <c r="R25" i="48"/>
  <c r="CP25" i="48"/>
  <c r="AN25" i="48"/>
  <c r="AF25" i="48"/>
  <c r="CZ25" i="48"/>
  <c r="BP25" i="48"/>
  <c r="BR25" i="48"/>
  <c r="AT25" i="48"/>
  <c r="CR25" i="48"/>
  <c r="CX25" i="48"/>
  <c r="P25" i="48"/>
  <c r="CL25" i="48"/>
  <c r="BX25" i="48"/>
  <c r="AR25" i="48"/>
  <c r="AZ25" i="48"/>
  <c r="BH25" i="48"/>
  <c r="CF25" i="48"/>
  <c r="X25" i="48"/>
  <c r="AB25" i="48"/>
  <c r="BV25" i="48"/>
  <c r="AH25" i="48"/>
  <c r="BT25" i="48"/>
  <c r="CH25" i="48"/>
  <c r="N25" i="48"/>
  <c r="AX25" i="48"/>
  <c r="AV25" i="48"/>
  <c r="BJ25" i="48"/>
  <c r="CN25" i="48"/>
  <c r="Z25" i="48"/>
  <c r="BD25" i="48"/>
  <c r="BB25" i="48"/>
  <c r="BZ25" i="48"/>
  <c r="CB25" i="48"/>
  <c r="J25" i="48"/>
  <c r="CT25" i="48"/>
  <c r="BN25" i="48"/>
  <c r="V25" i="48"/>
  <c r="AL25" i="48"/>
  <c r="Q22" i="48"/>
  <c r="AC22" i="48"/>
  <c r="AK22" i="48"/>
  <c r="S22" i="48"/>
  <c r="BI22" i="48"/>
  <c r="BW22" i="48"/>
  <c r="BA22" i="48"/>
  <c r="BQ22" i="48"/>
  <c r="CI22" i="48"/>
  <c r="AE22" i="48"/>
  <c r="BE22" i="48"/>
  <c r="CC22" i="48"/>
  <c r="CQ22" i="48"/>
  <c r="AY22" i="48"/>
  <c r="BM22" i="48"/>
  <c r="CM22" i="48"/>
  <c r="DA22" i="48"/>
  <c r="Y22" i="48"/>
  <c r="CK22" i="48"/>
  <c r="K22" i="48"/>
  <c r="CS22" i="48"/>
  <c r="AS22" i="48"/>
  <c r="AG22" i="48"/>
  <c r="BC22" i="48"/>
  <c r="AA22" i="48"/>
  <c r="CU22" i="48"/>
  <c r="CA22" i="48"/>
  <c r="CG22" i="48"/>
  <c r="BK22" i="48"/>
  <c r="CW22" i="48"/>
  <c r="CO22" i="48"/>
  <c r="BS22" i="48"/>
  <c r="AM22" i="48"/>
  <c r="U22" i="48"/>
  <c r="BO22" i="48"/>
  <c r="AO22" i="48"/>
  <c r="M22" i="48"/>
  <c r="BY22" i="48"/>
  <c r="CE22" i="48"/>
  <c r="O22" i="48"/>
  <c r="BG22" i="48"/>
  <c r="AI22" i="48"/>
  <c r="CY22" i="48"/>
  <c r="BU22" i="48"/>
  <c r="AW22" i="48"/>
  <c r="AQ22" i="48"/>
  <c r="W22" i="48"/>
  <c r="AU22" i="48"/>
  <c r="A22" i="48" a="1"/>
  <c r="A22" i="48" s="1"/>
  <c r="I22" i="48" s="1"/>
  <c r="AF11" i="51"/>
  <c r="AF52" i="51" s="1"/>
  <c r="CJ11" i="51"/>
  <c r="CJ52" i="51" s="1"/>
  <c r="BD11" i="51"/>
  <c r="BD52" i="51" s="1"/>
  <c r="BN11" i="51"/>
  <c r="BN52" i="51" s="1"/>
  <c r="CP11" i="51"/>
  <c r="CP52" i="51" s="1"/>
  <c r="CT11" i="51"/>
  <c r="AL11" i="51"/>
  <c r="AL52" i="51" s="1"/>
  <c r="CF11" i="51"/>
  <c r="AT11" i="51"/>
  <c r="AT52" i="51" s="1"/>
  <c r="AR11" i="51"/>
  <c r="AR52" i="51" s="1"/>
  <c r="Z11" i="51"/>
  <c r="Z52" i="51" s="1"/>
  <c r="CD11" i="51"/>
  <c r="CH11" i="51"/>
  <c r="BF11" i="51"/>
  <c r="BF52" i="51" s="1"/>
  <c r="BB11" i="51"/>
  <c r="BB52" i="51" s="1"/>
  <c r="AD11" i="51"/>
  <c r="AD52" i="51" s="1"/>
  <c r="CN11" i="51"/>
  <c r="CN52" i="51" s="1"/>
  <c r="CX11" i="51"/>
  <c r="CX52" i="51" s="1"/>
  <c r="AH11" i="51"/>
  <c r="AH52" i="51" s="1"/>
  <c r="BR11" i="51"/>
  <c r="BR52" i="51" s="1"/>
  <c r="BJ11" i="51"/>
  <c r="BJ52" i="51" s="1"/>
  <c r="CZ11" i="51"/>
  <c r="CR11" i="51"/>
  <c r="CR52" i="51" s="1"/>
  <c r="BX11" i="51"/>
  <c r="BX52" i="51" s="1"/>
  <c r="X11" i="51"/>
  <c r="X52" i="51" s="1"/>
  <c r="AZ11" i="51"/>
  <c r="AZ52" i="51" s="1"/>
  <c r="AJ11" i="51"/>
  <c r="AJ52" i="51" s="1"/>
  <c r="T11" i="51"/>
  <c r="T52" i="51" s="1"/>
  <c r="AN11" i="51"/>
  <c r="AN52" i="51" s="1"/>
  <c r="N11" i="51"/>
  <c r="N52" i="51" s="1"/>
  <c r="AB11" i="51"/>
  <c r="AB52" i="51" s="1"/>
  <c r="V11" i="51"/>
  <c r="V52" i="51" s="1"/>
  <c r="L11" i="51"/>
  <c r="L52" i="51" s="1"/>
  <c r="CL11" i="51"/>
  <c r="CL52" i="51" s="1"/>
  <c r="P11" i="51"/>
  <c r="P52" i="51" s="1"/>
  <c r="BP11" i="51"/>
  <c r="BP52" i="51" s="1"/>
  <c r="R11" i="51"/>
  <c r="R52" i="51" s="1"/>
  <c r="AV11" i="51"/>
  <c r="AV52" i="51" s="1"/>
  <c r="BV11" i="51"/>
  <c r="BV52" i="51" s="1"/>
  <c r="BZ11" i="51"/>
  <c r="BZ52" i="51" s="1"/>
  <c r="CV11" i="51"/>
  <c r="CV52" i="51" s="1"/>
  <c r="BH11" i="51"/>
  <c r="BH52" i="51" s="1"/>
  <c r="CB11" i="51"/>
  <c r="CB52" i="51" s="1"/>
  <c r="J11" i="51"/>
  <c r="J52" i="51" s="1"/>
  <c r="AP11" i="51"/>
  <c r="AP52" i="51" s="1"/>
  <c r="AX11" i="51"/>
  <c r="BT11" i="51"/>
  <c r="BT52" i="51" s="1"/>
  <c r="BL11" i="51"/>
  <c r="BL52" i="51" s="1"/>
  <c r="BS12" i="48"/>
  <c r="BG12" i="48"/>
  <c r="BQ12" i="48"/>
  <c r="BW12" i="48"/>
  <c r="BA12" i="48"/>
  <c r="CK12" i="48"/>
  <c r="AU12" i="48"/>
  <c r="AM12" i="48"/>
  <c r="CO12" i="48"/>
  <c r="BC12" i="48"/>
  <c r="CI12" i="48"/>
  <c r="BO12" i="48"/>
  <c r="BU12" i="48"/>
  <c r="K12" i="48"/>
  <c r="AG12" i="48"/>
  <c r="DA12" i="48"/>
  <c r="BM12" i="48"/>
  <c r="BE12" i="48"/>
  <c r="AC12" i="48"/>
  <c r="U12" i="48"/>
  <c r="CY12" i="48"/>
  <c r="CQ12" i="48"/>
  <c r="O12" i="48"/>
  <c r="AW12" i="48"/>
  <c r="AQ12" i="48"/>
  <c r="CA12" i="48"/>
  <c r="AE12" i="48"/>
  <c r="BK12" i="48"/>
  <c r="AA12" i="48"/>
  <c r="M12" i="48"/>
  <c r="Q12" i="48"/>
  <c r="AY12" i="48"/>
  <c r="CC12" i="48"/>
  <c r="AK12" i="48"/>
  <c r="CS12" i="48"/>
  <c r="CG12" i="48"/>
  <c r="BY12" i="48"/>
  <c r="S12" i="48"/>
  <c r="CU12" i="48"/>
  <c r="BI12" i="48"/>
  <c r="CW12" i="48"/>
  <c r="W12" i="48"/>
  <c r="AO12" i="48"/>
  <c r="CM12" i="48"/>
  <c r="Y12" i="48"/>
  <c r="AI12" i="48"/>
  <c r="AS12" i="48"/>
  <c r="CE12" i="48"/>
  <c r="CV27" i="48"/>
  <c r="CD27" i="48"/>
  <c r="AL27" i="48"/>
  <c r="P27" i="48"/>
  <c r="CX27" i="48"/>
  <c r="BH27" i="48"/>
  <c r="AT27" i="48"/>
  <c r="BT27" i="48"/>
  <c r="CF27" i="48"/>
  <c r="BJ27" i="48"/>
  <c r="CJ27" i="48"/>
  <c r="BP27" i="48"/>
  <c r="CZ27" i="48"/>
  <c r="AJ27" i="48"/>
  <c r="AV27" i="48"/>
  <c r="AF27" i="48"/>
  <c r="BD27" i="48"/>
  <c r="CB27" i="48"/>
  <c r="AH27" i="48"/>
  <c r="BN27" i="48"/>
  <c r="N27" i="48"/>
  <c r="AX27" i="48"/>
  <c r="AB27" i="48"/>
  <c r="X27" i="48"/>
  <c r="CP27" i="48"/>
  <c r="CL27" i="48"/>
  <c r="AP27" i="48"/>
  <c r="CH27" i="48"/>
  <c r="BF27" i="48"/>
  <c r="AD27" i="48"/>
  <c r="R27" i="48"/>
  <c r="BZ27" i="48"/>
  <c r="Z27" i="48"/>
  <c r="J27" i="48"/>
  <c r="L27" i="48"/>
  <c r="CT27" i="48"/>
  <c r="AN27" i="48"/>
  <c r="AR27" i="48"/>
  <c r="BV27" i="48"/>
  <c r="BR27" i="48"/>
  <c r="BL27" i="48"/>
  <c r="T27" i="48"/>
  <c r="CN27" i="48"/>
  <c r="BB27" i="48"/>
  <c r="BX27" i="48"/>
  <c r="AZ27" i="48"/>
  <c r="CR27" i="48"/>
  <c r="V27" i="48"/>
  <c r="A25" i="48" a="1"/>
  <c r="A25" i="48" s="1"/>
  <c r="I25" i="48" s="1"/>
  <c r="CI29" i="48"/>
  <c r="CW29" i="48"/>
  <c r="CA29" i="48"/>
  <c r="M29" i="48"/>
  <c r="AE29" i="48"/>
  <c r="O29" i="48"/>
  <c r="S29" i="48"/>
  <c r="CK29" i="48"/>
  <c r="Q29" i="48"/>
  <c r="BE29" i="48"/>
  <c r="BK29" i="48"/>
  <c r="AC29" i="48"/>
  <c r="Y29" i="48"/>
  <c r="CE29" i="48"/>
  <c r="AY29" i="48"/>
  <c r="U29" i="48"/>
  <c r="AO29" i="48"/>
  <c r="AG29" i="48"/>
  <c r="BQ29" i="48"/>
  <c r="BG29" i="48"/>
  <c r="CO29" i="48"/>
  <c r="BW29" i="48"/>
  <c r="AQ29" i="48"/>
  <c r="CY29" i="48"/>
  <c r="CU29" i="48"/>
  <c r="W29" i="48"/>
  <c r="BS29" i="48"/>
  <c r="BO29" i="48"/>
  <c r="AS29" i="48"/>
  <c r="AU29" i="48"/>
  <c r="AW29" i="48"/>
  <c r="AK29" i="48"/>
  <c r="AM29" i="48"/>
  <c r="CM29" i="48"/>
  <c r="BC29" i="48"/>
  <c r="BU29" i="48"/>
  <c r="CG29" i="48"/>
  <c r="BM29" i="48"/>
  <c r="BY29" i="48"/>
  <c r="CQ29" i="48"/>
  <c r="BA29" i="48"/>
  <c r="K29" i="48"/>
  <c r="CS29" i="48"/>
  <c r="DA29" i="48"/>
  <c r="CC29" i="48"/>
  <c r="BI29" i="48"/>
  <c r="AI29" i="48"/>
  <c r="AA29" i="48"/>
  <c r="CG24" i="48"/>
  <c r="K24" i="48"/>
  <c r="AE24" i="48"/>
  <c r="AU24" i="48"/>
  <c r="CQ24" i="48"/>
  <c r="DA24" i="48"/>
  <c r="AY24" i="48"/>
  <c r="O24" i="48"/>
  <c r="BI24" i="48"/>
  <c r="CA24" i="48"/>
  <c r="CI24" i="48"/>
  <c r="M24" i="48"/>
  <c r="S24" i="48"/>
  <c r="CE24" i="48"/>
  <c r="CS24" i="48"/>
  <c r="AA24" i="48"/>
  <c r="AC24" i="48"/>
  <c r="BM24" i="48"/>
  <c r="CC24" i="48"/>
  <c r="BA24" i="48"/>
  <c r="W24" i="48"/>
  <c r="CK24" i="48"/>
  <c r="CW24" i="48"/>
  <c r="AQ24" i="48"/>
  <c r="BY24" i="48"/>
  <c r="BW24" i="48"/>
  <c r="AG24" i="48"/>
  <c r="CM24" i="48"/>
  <c r="Q24" i="48"/>
  <c r="AK24" i="48"/>
  <c r="U24" i="48"/>
  <c r="BK24" i="48"/>
  <c r="BG24" i="48"/>
  <c r="BU24" i="48"/>
  <c r="BO24" i="48"/>
  <c r="CU24" i="48"/>
  <c r="BQ24" i="48"/>
  <c r="CY24" i="48"/>
  <c r="AI24" i="48"/>
  <c r="AO24" i="48"/>
  <c r="Y24" i="48"/>
  <c r="AS24" i="48"/>
  <c r="CO24" i="48"/>
  <c r="AM24" i="48"/>
  <c r="AW24" i="48"/>
  <c r="BS24" i="48"/>
  <c r="BE24" i="48"/>
  <c r="BC24" i="48"/>
  <c r="BM28" i="48"/>
  <c r="BW28" i="48"/>
  <c r="AU28" i="48"/>
  <c r="S28" i="48"/>
  <c r="BO28" i="48"/>
  <c r="AQ28" i="48"/>
  <c r="BS28" i="48"/>
  <c r="CS28" i="48"/>
  <c r="AS28" i="48"/>
  <c r="BI28" i="48"/>
  <c r="CY28" i="48"/>
  <c r="BG28" i="48"/>
  <c r="CC28" i="48"/>
  <c r="O28" i="48"/>
  <c r="BK28" i="48"/>
  <c r="AK28" i="48"/>
  <c r="AO28" i="48"/>
  <c r="CW28" i="48"/>
  <c r="CU28" i="48"/>
  <c r="CM28" i="48"/>
  <c r="CE28" i="48"/>
  <c r="AA28" i="48"/>
  <c r="AG28" i="48"/>
  <c r="CO28" i="48"/>
  <c r="BU28" i="48"/>
  <c r="AM28" i="48"/>
  <c r="BC28" i="48"/>
  <c r="Y28" i="48"/>
  <c r="Q28" i="48"/>
  <c r="W28" i="48"/>
  <c r="U28" i="48"/>
  <c r="M28" i="48"/>
  <c r="CQ28" i="48"/>
  <c r="AW28" i="48"/>
  <c r="CG28" i="48"/>
  <c r="CI28" i="48"/>
  <c r="BQ28" i="48"/>
  <c r="AC28" i="48"/>
  <c r="CA28" i="48"/>
  <c r="BE28" i="48"/>
  <c r="AY28" i="48"/>
  <c r="DA28" i="48"/>
  <c r="BY28" i="48"/>
  <c r="AE28" i="48"/>
  <c r="AI28" i="48"/>
  <c r="CK28" i="48"/>
  <c r="K28" i="48"/>
  <c r="BA28" i="48"/>
  <c r="AS34" i="48"/>
  <c r="BY34" i="48"/>
  <c r="BM34" i="48"/>
  <c r="CE34" i="48"/>
  <c r="Q34" i="48"/>
  <c r="BE34" i="48"/>
  <c r="CQ34" i="48"/>
  <c r="Y34" i="48"/>
  <c r="BW34" i="48"/>
  <c r="BS34" i="48"/>
  <c r="CO34" i="48"/>
  <c r="BC34" i="48"/>
  <c r="M34" i="48"/>
  <c r="AM34" i="48"/>
  <c r="CW34" i="48"/>
  <c r="CM34" i="48"/>
  <c r="AI34" i="48"/>
  <c r="CG34" i="48"/>
  <c r="AC34" i="48"/>
  <c r="O34" i="48"/>
  <c r="CK34" i="48"/>
  <c r="AO34" i="48"/>
  <c r="S34" i="48"/>
  <c r="BO34" i="48"/>
  <c r="CC34" i="48"/>
  <c r="CA34" i="48"/>
  <c r="AY34" i="48"/>
  <c r="BQ34" i="48"/>
  <c r="AG34" i="48"/>
  <c r="AA34" i="48"/>
  <c r="W34" i="48"/>
  <c r="BK34" i="48"/>
  <c r="AK34" i="48"/>
  <c r="CY34" i="48"/>
  <c r="DA34" i="48"/>
  <c r="K34" i="48"/>
  <c r="BG34" i="48"/>
  <c r="CI34" i="48"/>
  <c r="U34" i="48"/>
  <c r="BU34" i="48"/>
  <c r="AQ34" i="48"/>
  <c r="BA34" i="48"/>
  <c r="CS34" i="48"/>
  <c r="AU34" i="48"/>
  <c r="AW34" i="48"/>
  <c r="BI34" i="48"/>
  <c r="AE34" i="48"/>
  <c r="CU34" i="48"/>
  <c r="Y33" i="48"/>
  <c r="CY33" i="48"/>
  <c r="S33" i="48"/>
  <c r="CM33" i="48"/>
  <c r="BQ33" i="48"/>
  <c r="CG33" i="48"/>
  <c r="AU33" i="48"/>
  <c r="CE33" i="48"/>
  <c r="BS33" i="48"/>
  <c r="BC33" i="48"/>
  <c r="BM33" i="48"/>
  <c r="BW33" i="48"/>
  <c r="AI33" i="48"/>
  <c r="K33" i="48"/>
  <c r="CC33" i="48"/>
  <c r="DA33" i="48"/>
  <c r="AC33" i="48"/>
  <c r="AW33" i="48"/>
  <c r="AQ33" i="48"/>
  <c r="W33" i="48"/>
  <c r="BK33" i="48"/>
  <c r="CW33" i="48"/>
  <c r="CA33" i="48"/>
  <c r="Q33" i="48"/>
  <c r="BU33" i="48"/>
  <c r="CQ33" i="48"/>
  <c r="CO33" i="48"/>
  <c r="AA33" i="48"/>
  <c r="BI33" i="48"/>
  <c r="CS33" i="48"/>
  <c r="BO33" i="48"/>
  <c r="AY33" i="48"/>
  <c r="O33" i="48"/>
  <c r="BG33" i="48"/>
  <c r="AG33" i="48"/>
  <c r="BA33" i="48"/>
  <c r="AM33" i="48"/>
  <c r="BE33" i="48"/>
  <c r="M33" i="48"/>
  <c r="AS33" i="48"/>
  <c r="AE33" i="48"/>
  <c r="U33" i="48"/>
  <c r="CU33" i="48"/>
  <c r="AK33" i="48"/>
  <c r="CK33" i="48"/>
  <c r="AO33" i="48"/>
  <c r="CI33" i="48"/>
  <c r="BY33" i="48"/>
  <c r="Y30" i="48"/>
  <c r="AY30" i="48"/>
  <c r="O30" i="48"/>
  <c r="AW30" i="48"/>
  <c r="AO30" i="48"/>
  <c r="K30" i="48"/>
  <c r="AG30" i="48"/>
  <c r="Q30" i="48"/>
  <c r="BK30" i="48"/>
  <c r="CQ30" i="48"/>
  <c r="W30" i="48"/>
  <c r="AS30" i="48"/>
  <c r="CE30" i="48"/>
  <c r="AI30" i="48"/>
  <c r="BY30" i="48"/>
  <c r="AM30" i="48"/>
  <c r="BM30" i="48"/>
  <c r="BS30" i="48"/>
  <c r="CU30" i="48"/>
  <c r="AE30" i="48"/>
  <c r="BI30" i="48"/>
  <c r="S30" i="48"/>
  <c r="U30" i="48"/>
  <c r="CA30" i="48"/>
  <c r="AK30" i="48"/>
  <c r="M30" i="48"/>
  <c r="CW30" i="48"/>
  <c r="AA30" i="48"/>
  <c r="BG30" i="48"/>
  <c r="AQ30" i="48"/>
  <c r="CC30" i="48"/>
  <c r="CY30" i="48"/>
  <c r="BQ30" i="48"/>
  <c r="AU30" i="48"/>
  <c r="CS30" i="48"/>
  <c r="AC30" i="48"/>
  <c r="BA30" i="48"/>
  <c r="CK30" i="48"/>
  <c r="DA30" i="48"/>
  <c r="CM30" i="48"/>
  <c r="BE30" i="48"/>
  <c r="BO30" i="48"/>
  <c r="BW30" i="48"/>
  <c r="CO30" i="48"/>
  <c r="CI30" i="48"/>
  <c r="BC30" i="48"/>
  <c r="CG30" i="48"/>
  <c r="BU30" i="48"/>
  <c r="AX15" i="48"/>
  <c r="V15" i="48"/>
  <c r="AD15" i="48"/>
  <c r="CF15" i="48"/>
  <c r="J15" i="48"/>
  <c r="BV15" i="48"/>
  <c r="BF15" i="48"/>
  <c r="CJ15" i="48"/>
  <c r="X15" i="48"/>
  <c r="P15" i="48"/>
  <c r="Z15" i="48"/>
  <c r="CD15" i="48"/>
  <c r="BL15" i="48"/>
  <c r="AJ15" i="48"/>
  <c r="BX15" i="48"/>
  <c r="BD15" i="48"/>
  <c r="CP15" i="48"/>
  <c r="BZ15" i="48"/>
  <c r="CV15" i="48"/>
  <c r="CR15" i="48"/>
  <c r="AB15" i="48"/>
  <c r="AV15" i="48"/>
  <c r="AR15" i="48"/>
  <c r="L15" i="48"/>
  <c r="R15" i="48"/>
  <c r="BR15" i="48"/>
  <c r="AP15" i="48"/>
  <c r="N15" i="48"/>
  <c r="AN15" i="48"/>
  <c r="AT15" i="48"/>
  <c r="BJ15" i="48"/>
  <c r="BP15" i="48"/>
  <c r="BN15" i="48"/>
  <c r="BB15" i="48"/>
  <c r="CX15" i="48"/>
  <c r="CT15" i="48"/>
  <c r="CH15" i="48"/>
  <c r="CZ15" i="48"/>
  <c r="BH15" i="48"/>
  <c r="AH15" i="48"/>
  <c r="AL15" i="48"/>
  <c r="CN15" i="48"/>
  <c r="AF15" i="48"/>
  <c r="CL15" i="48"/>
  <c r="T15" i="48"/>
  <c r="AZ15" i="48"/>
  <c r="CB15" i="48"/>
  <c r="BT15" i="48"/>
  <c r="BS16" i="48"/>
  <c r="AQ16" i="48"/>
  <c r="O16" i="48"/>
  <c r="AE16" i="48"/>
  <c r="Q16" i="48"/>
  <c r="S16" i="48"/>
  <c r="BQ16" i="48"/>
  <c r="AO16" i="48"/>
  <c r="CG16" i="48"/>
  <c r="BO16" i="48"/>
  <c r="BK16" i="48"/>
  <c r="BA16" i="48"/>
  <c r="AY16" i="48"/>
  <c r="BW16" i="48"/>
  <c r="AW16" i="48"/>
  <c r="CA16" i="48"/>
  <c r="CW16" i="48"/>
  <c r="CO16" i="48"/>
  <c r="BI16" i="48"/>
  <c r="CY16" i="48"/>
  <c r="CI16" i="48"/>
  <c r="BG16" i="48"/>
  <c r="Y16" i="48"/>
  <c r="AC16" i="48"/>
  <c r="AU16" i="48"/>
  <c r="AK16" i="48"/>
  <c r="M16" i="48"/>
  <c r="BC16" i="48"/>
  <c r="DA16" i="48"/>
  <c r="AI16" i="48"/>
  <c r="CE16" i="48"/>
  <c r="CU16" i="48"/>
  <c r="CC16" i="48"/>
  <c r="AA16" i="48"/>
  <c r="CM16" i="48"/>
  <c r="BY16" i="48"/>
  <c r="BE16" i="48"/>
  <c r="AG16" i="48"/>
  <c r="CS16" i="48"/>
  <c r="AS16" i="48"/>
  <c r="W16" i="48"/>
  <c r="AM16" i="48"/>
  <c r="CK16" i="48"/>
  <c r="BM16" i="48"/>
  <c r="BU16" i="48"/>
  <c r="CQ16" i="48"/>
  <c r="K16" i="48"/>
  <c r="U16" i="48"/>
  <c r="CC15" i="48"/>
  <c r="U15" i="48"/>
  <c r="DA15" i="48"/>
  <c r="BW15" i="48"/>
  <c r="BO15" i="48"/>
  <c r="BS15" i="48"/>
  <c r="AI15" i="48"/>
  <c r="CK15" i="48"/>
  <c r="BM15" i="48"/>
  <c r="O15" i="48"/>
  <c r="AG15" i="48"/>
  <c r="AC15" i="48"/>
  <c r="AO15" i="48"/>
  <c r="CM15" i="48"/>
  <c r="BG15" i="48"/>
  <c r="Q15" i="48"/>
  <c r="BQ15" i="48"/>
  <c r="BK15" i="48"/>
  <c r="AY15" i="48"/>
  <c r="BC15" i="48"/>
  <c r="CA15" i="48"/>
  <c r="CY15" i="48"/>
  <c r="CU15" i="48"/>
  <c r="AW15" i="48"/>
  <c r="CQ15" i="48"/>
  <c r="BA15" i="48"/>
  <c r="CS15" i="48"/>
  <c r="CO15" i="48"/>
  <c r="AM15" i="48"/>
  <c r="CI15" i="48"/>
  <c r="AA15" i="48"/>
  <c r="K15" i="48"/>
  <c r="BI15" i="48"/>
  <c r="CW15" i="48"/>
  <c r="BE15" i="48"/>
  <c r="W15" i="48"/>
  <c r="AK15" i="48"/>
  <c r="AQ15" i="48"/>
  <c r="CE15" i="48"/>
  <c r="S15" i="48"/>
  <c r="AU15" i="48"/>
  <c r="CG15" i="48"/>
  <c r="M15" i="48"/>
  <c r="AS15" i="48"/>
  <c r="BY15" i="48"/>
  <c r="BU15" i="48"/>
  <c r="Y15" i="48"/>
  <c r="AE15" i="48"/>
  <c r="AI13" i="48"/>
  <c r="BA13" i="48"/>
  <c r="AA13" i="48"/>
  <c r="BO13" i="48"/>
  <c r="AQ13" i="48"/>
  <c r="CI13" i="48"/>
  <c r="AK13" i="48"/>
  <c r="DA13" i="48"/>
  <c r="CK13" i="48"/>
  <c r="AC13" i="48"/>
  <c r="BE13" i="48"/>
  <c r="W13" i="48"/>
  <c r="CY13" i="48"/>
  <c r="BK13" i="48"/>
  <c r="BI13" i="48"/>
  <c r="K13" i="48"/>
  <c r="BY13" i="48"/>
  <c r="BC13" i="48"/>
  <c r="BG13" i="48"/>
  <c r="Y13" i="48"/>
  <c r="CO13" i="48"/>
  <c r="BQ13" i="48"/>
  <c r="CQ13" i="48"/>
  <c r="CE13" i="48"/>
  <c r="BW13" i="48"/>
  <c r="M13" i="48"/>
  <c r="CU13" i="48"/>
  <c r="CS13" i="48"/>
  <c r="CG13" i="48"/>
  <c r="CW13" i="48"/>
  <c r="AM13" i="48"/>
  <c r="Q13" i="48"/>
  <c r="CM13" i="48"/>
  <c r="AS13" i="48"/>
  <c r="AO13" i="48"/>
  <c r="BM13" i="48"/>
  <c r="BS13" i="48"/>
  <c r="CC13" i="48"/>
  <c r="AY13" i="48"/>
  <c r="BU13" i="48"/>
  <c r="CA13" i="48"/>
  <c r="O13" i="48"/>
  <c r="AE13" i="48"/>
  <c r="AG13" i="48"/>
  <c r="AW13" i="48"/>
  <c r="U13" i="48"/>
  <c r="S13" i="48"/>
  <c r="AU13" i="48"/>
  <c r="F26" i="58"/>
  <c r="H32" i="58"/>
  <c r="F16" i="58"/>
  <c r="F18" i="58"/>
  <c r="A80" i="43"/>
  <c r="F20" i="58"/>
  <c r="F28" i="58"/>
  <c r="K14" i="57"/>
  <c r="BV21" i="48"/>
  <c r="BF21" i="48"/>
  <c r="BX21" i="48"/>
  <c r="CN21" i="48"/>
  <c r="CP21" i="48"/>
  <c r="BJ21" i="48"/>
  <c r="AF21" i="48"/>
  <c r="AP21" i="48"/>
  <c r="N21" i="48"/>
  <c r="BT21" i="48"/>
  <c r="BD21" i="48"/>
  <c r="CL21" i="48"/>
  <c r="BR21" i="48"/>
  <c r="L21" i="48"/>
  <c r="AB21" i="48"/>
  <c r="CF21" i="48"/>
  <c r="BN21" i="48"/>
  <c r="AT21" i="48"/>
  <c r="CX21" i="48"/>
  <c r="BL21" i="48"/>
  <c r="P21" i="48"/>
  <c r="AL21" i="48"/>
  <c r="X21" i="48"/>
  <c r="CR21" i="48"/>
  <c r="CZ21" i="48"/>
  <c r="CJ21" i="48"/>
  <c r="AJ21" i="48"/>
  <c r="CV21" i="48"/>
  <c r="CB21" i="48"/>
  <c r="CH21" i="48"/>
  <c r="AX21" i="48"/>
  <c r="AV21" i="48"/>
  <c r="AH21" i="48"/>
  <c r="BH21" i="48"/>
  <c r="BB21" i="48"/>
  <c r="AZ21" i="48"/>
  <c r="AR21" i="48"/>
  <c r="CT21" i="48"/>
  <c r="T21" i="48"/>
  <c r="BP21" i="48"/>
  <c r="CD21" i="48"/>
  <c r="Z21" i="48"/>
  <c r="BZ21" i="48"/>
  <c r="R21" i="48"/>
  <c r="V21" i="48"/>
  <c r="AN21" i="48"/>
  <c r="AD21" i="48"/>
  <c r="J21" i="48"/>
  <c r="CS20" i="48"/>
  <c r="BI20" i="48"/>
  <c r="CG20" i="48"/>
  <c r="U20" i="48"/>
  <c r="AE20" i="48"/>
  <c r="CA20" i="48"/>
  <c r="AW20" i="48"/>
  <c r="W20" i="48"/>
  <c r="CK20" i="48"/>
  <c r="CO20" i="48"/>
  <c r="BE20" i="48"/>
  <c r="AK20" i="48"/>
  <c r="CE20" i="48"/>
  <c r="K20" i="48"/>
  <c r="BQ20" i="48"/>
  <c r="BY20" i="48"/>
  <c r="AA20" i="48"/>
  <c r="CI20" i="48"/>
  <c r="Q20" i="48"/>
  <c r="AS20" i="48"/>
  <c r="DA20" i="48"/>
  <c r="AG20" i="48"/>
  <c r="O20" i="48"/>
  <c r="AO20" i="48"/>
  <c r="AM20" i="48"/>
  <c r="CC20" i="48"/>
  <c r="S20" i="48"/>
  <c r="AQ20" i="48"/>
  <c r="BO20" i="48"/>
  <c r="BW20" i="48"/>
  <c r="CM20" i="48"/>
  <c r="BK20" i="48"/>
  <c r="Y20" i="48"/>
  <c r="CY20" i="48"/>
  <c r="BM20" i="48"/>
  <c r="AY20" i="48"/>
  <c r="BG20" i="48"/>
  <c r="BA20" i="48"/>
  <c r="AC20" i="48"/>
  <c r="AU20" i="48"/>
  <c r="M20" i="48"/>
  <c r="CW20" i="48"/>
  <c r="BC20" i="48"/>
  <c r="BU20" i="48"/>
  <c r="CU20" i="48"/>
  <c r="AI20" i="48"/>
  <c r="BS20" i="48"/>
  <c r="CQ20" i="48"/>
  <c r="A26" i="48" a="1"/>
  <c r="A26" i="48" s="1"/>
  <c r="I26" i="48" s="1"/>
  <c r="BT26" i="48"/>
  <c r="AH26" i="48"/>
  <c r="AX26" i="48"/>
  <c r="CD26" i="48"/>
  <c r="CX26" i="48"/>
  <c r="BX26" i="48"/>
  <c r="AT26" i="48"/>
  <c r="CH26" i="48"/>
  <c r="AR26" i="48"/>
  <c r="AB26" i="48"/>
  <c r="CR26" i="48"/>
  <c r="CF26" i="48"/>
  <c r="Z26" i="48"/>
  <c r="T26" i="48"/>
  <c r="BP26" i="48"/>
  <c r="BJ26" i="48"/>
  <c r="BH26" i="48"/>
  <c r="BZ26" i="48"/>
  <c r="BN26" i="48"/>
  <c r="CV26" i="48"/>
  <c r="L26" i="48"/>
  <c r="AN26" i="48"/>
  <c r="J26" i="48"/>
  <c r="BB26" i="48"/>
  <c r="V26" i="48"/>
  <c r="R26" i="48"/>
  <c r="CJ26" i="48"/>
  <c r="AL26" i="48"/>
  <c r="BR26" i="48"/>
  <c r="X26" i="48"/>
  <c r="AF26" i="48"/>
  <c r="CP26" i="48"/>
  <c r="CL26" i="48"/>
  <c r="BF26" i="48"/>
  <c r="AJ26" i="48"/>
  <c r="AV26" i="48"/>
  <c r="P26" i="48"/>
  <c r="CZ26" i="48"/>
  <c r="CB26" i="48"/>
  <c r="BL26" i="48"/>
  <c r="N26" i="48"/>
  <c r="AD26" i="48"/>
  <c r="AP26" i="48"/>
  <c r="BD26" i="48"/>
  <c r="CN26" i="48"/>
  <c r="AZ26" i="48"/>
  <c r="CT26" i="48"/>
  <c r="BV26" i="48"/>
  <c r="CP11" i="50"/>
  <c r="CP52" i="50" s="1"/>
  <c r="CR11" i="50"/>
  <c r="CR52" i="50" s="1"/>
  <c r="CF11" i="50"/>
  <c r="AX11" i="50"/>
  <c r="AD11" i="50"/>
  <c r="AD52" i="50" s="1"/>
  <c r="AZ11" i="50"/>
  <c r="AZ52" i="50" s="1"/>
  <c r="BP11" i="50"/>
  <c r="BP52" i="50" s="1"/>
  <c r="CB11" i="50"/>
  <c r="CB52" i="50" s="1"/>
  <c r="J11" i="50"/>
  <c r="J52" i="50" s="1"/>
  <c r="BT11" i="50"/>
  <c r="BT52" i="50" s="1"/>
  <c r="AB11" i="50"/>
  <c r="AB52" i="50" s="1"/>
  <c r="V11" i="50"/>
  <c r="V52" i="50" s="1"/>
  <c r="AR11" i="50"/>
  <c r="AR52" i="50" s="1"/>
  <c r="AV11" i="50"/>
  <c r="AV52" i="50" s="1"/>
  <c r="BV11" i="50"/>
  <c r="BV52" i="50" s="1"/>
  <c r="BZ11" i="50"/>
  <c r="BZ52" i="50" s="1"/>
  <c r="CL11" i="50"/>
  <c r="CL52" i="50" s="1"/>
  <c r="BF11" i="50"/>
  <c r="BF52" i="50" s="1"/>
  <c r="N11" i="50"/>
  <c r="N52" i="50" s="1"/>
  <c r="CJ11" i="50"/>
  <c r="CJ52" i="50" s="1"/>
  <c r="AF11" i="50"/>
  <c r="AF52" i="50" s="1"/>
  <c r="L11" i="50"/>
  <c r="L52" i="50" s="1"/>
  <c r="BX11" i="50"/>
  <c r="BX52" i="50" s="1"/>
  <c r="X11" i="50"/>
  <c r="X52" i="50" s="1"/>
  <c r="AJ11" i="50"/>
  <c r="AJ52" i="50" s="1"/>
  <c r="CT11" i="50"/>
  <c r="CZ11" i="50"/>
  <c r="R11" i="50"/>
  <c r="R52" i="50" s="1"/>
  <c r="CX11" i="50"/>
  <c r="CX52" i="50" s="1"/>
  <c r="AH11" i="50"/>
  <c r="AH52" i="50" s="1"/>
  <c r="BR11" i="50"/>
  <c r="BR52" i="50" s="1"/>
  <c r="CD11" i="50"/>
  <c r="BN11" i="50"/>
  <c r="BN52" i="50" s="1"/>
  <c r="CV11" i="50"/>
  <c r="CV52" i="50" s="1"/>
  <c r="BL11" i="50"/>
  <c r="BL52" i="50" s="1"/>
  <c r="CH11" i="50"/>
  <c r="BB11" i="50"/>
  <c r="BB52" i="50" s="1"/>
  <c r="AL11" i="50"/>
  <c r="AL52" i="50" s="1"/>
  <c r="AP11" i="50"/>
  <c r="AP52" i="50" s="1"/>
  <c r="BD11" i="50"/>
  <c r="BD52" i="50" s="1"/>
  <c r="T11" i="50"/>
  <c r="T52" i="50" s="1"/>
  <c r="AT11" i="50"/>
  <c r="AT52" i="50" s="1"/>
  <c r="Z11" i="50"/>
  <c r="Z52" i="50" s="1"/>
  <c r="P11" i="50"/>
  <c r="P52" i="50" s="1"/>
  <c r="BH11" i="50"/>
  <c r="BH52" i="50" s="1"/>
  <c r="AN11" i="50"/>
  <c r="AN52" i="50" s="1"/>
  <c r="BJ11" i="50"/>
  <c r="BJ52" i="50" s="1"/>
  <c r="CN11" i="50"/>
  <c r="CN52" i="50" s="1"/>
  <c r="A31" i="48" a="1"/>
  <c r="A31" i="48" s="1"/>
  <c r="I31" i="48" s="1"/>
  <c r="A34" i="48" a="1"/>
  <c r="A34" i="48" s="1"/>
  <c r="I34" i="48" s="1"/>
  <c r="A40" i="51" a="1"/>
  <c r="A40" i="51" s="1"/>
  <c r="I40" i="51" s="1"/>
  <c r="A49" i="51" a="1"/>
  <c r="A49" i="51" s="1"/>
  <c r="I49" i="51" s="1"/>
  <c r="A44" i="51" a="1"/>
  <c r="A44" i="51" s="1"/>
  <c r="I44" i="51" s="1"/>
  <c r="A50" i="51" a="1"/>
  <c r="A50" i="51" s="1"/>
  <c r="I50" i="51" s="1"/>
  <c r="A47" i="51" a="1"/>
  <c r="A47" i="51" s="1"/>
  <c r="I47" i="51" s="1"/>
  <c r="A46" i="51" a="1"/>
  <c r="A46" i="51" s="1"/>
  <c r="I46" i="51" s="1"/>
  <c r="A48" i="51" a="1"/>
  <c r="A48" i="51" s="1"/>
  <c r="I48" i="51" s="1"/>
  <c r="A11" i="51" a="1"/>
  <c r="A11" i="51" s="1"/>
  <c r="I11" i="51" s="1"/>
  <c r="A45" i="51" a="1"/>
  <c r="A45" i="51" s="1"/>
  <c r="I45" i="51" s="1"/>
  <c r="A41" i="51" a="1"/>
  <c r="A41" i="51" s="1"/>
  <c r="I41" i="51" s="1"/>
  <c r="A42" i="51" a="1"/>
  <c r="A42" i="51" s="1"/>
  <c r="I42" i="51" s="1"/>
  <c r="A43" i="51" a="1"/>
  <c r="A43" i="51" s="1"/>
  <c r="I43" i="51" s="1"/>
  <c r="A33" i="48" a="1"/>
  <c r="A33" i="48" s="1"/>
  <c r="I33" i="48" s="1"/>
  <c r="AD35" i="48"/>
  <c r="CD35" i="48"/>
  <c r="BD35" i="48"/>
  <c r="BH35" i="48"/>
  <c r="AJ35" i="48"/>
  <c r="CP35" i="48"/>
  <c r="BZ35" i="48"/>
  <c r="BT35" i="48"/>
  <c r="BB35" i="48"/>
  <c r="AX35" i="48"/>
  <c r="CF35" i="48"/>
  <c r="P35" i="48"/>
  <c r="CV35" i="48"/>
  <c r="BX35" i="48"/>
  <c r="X35" i="48"/>
  <c r="BJ35" i="48"/>
  <c r="CT35" i="48"/>
  <c r="AR35" i="48"/>
  <c r="AF35" i="48"/>
  <c r="AP35" i="48"/>
  <c r="CX35" i="48"/>
  <c r="BL35" i="48"/>
  <c r="AH35" i="48"/>
  <c r="BV35" i="48"/>
  <c r="T35" i="48"/>
  <c r="J35" i="48"/>
  <c r="CN35" i="48"/>
  <c r="AZ35" i="48"/>
  <c r="CZ35" i="48"/>
  <c r="CR35" i="48"/>
  <c r="R35" i="48"/>
  <c r="BF35" i="48"/>
  <c r="AV35" i="48"/>
  <c r="CB35" i="48"/>
  <c r="AN35" i="48"/>
  <c r="AT35" i="48"/>
  <c r="AB35" i="48"/>
  <c r="CJ35" i="48"/>
  <c r="CL35" i="48"/>
  <c r="BN35" i="48"/>
  <c r="CH35" i="48"/>
  <c r="Z35" i="48"/>
  <c r="V35" i="48"/>
  <c r="BP35" i="48"/>
  <c r="L35" i="48"/>
  <c r="N35" i="48"/>
  <c r="BR35" i="48"/>
  <c r="AL35" i="48"/>
  <c r="CK25" i="48"/>
  <c r="M25" i="48"/>
  <c r="CC25" i="48"/>
  <c r="AK25" i="48"/>
  <c r="BW25" i="48"/>
  <c r="AC25" i="48"/>
  <c r="CS25" i="48"/>
  <c r="BO25" i="48"/>
  <c r="CA25" i="48"/>
  <c r="BG25" i="48"/>
  <c r="AO25" i="48"/>
  <c r="BI25" i="48"/>
  <c r="BK25" i="48"/>
  <c r="BM25" i="48"/>
  <c r="CI25" i="48"/>
  <c r="CM25" i="48"/>
  <c r="AU25" i="48"/>
  <c r="CO25" i="48"/>
  <c r="AM25" i="48"/>
  <c r="BS25" i="48"/>
  <c r="BU25" i="48"/>
  <c r="CE25" i="48"/>
  <c r="CU25" i="48"/>
  <c r="S25" i="48"/>
  <c r="W25" i="48"/>
  <c r="AA25" i="48"/>
  <c r="AS25" i="48"/>
  <c r="BY25" i="48"/>
  <c r="AY25" i="48"/>
  <c r="CW25" i="48"/>
  <c r="Q25" i="48"/>
  <c r="BE25" i="48"/>
  <c r="Y25" i="48"/>
  <c r="U25" i="48"/>
  <c r="AW25" i="48"/>
  <c r="BQ25" i="48"/>
  <c r="BC25" i="48"/>
  <c r="CG25" i="48"/>
  <c r="AE25" i="48"/>
  <c r="CQ25" i="48"/>
  <c r="AI25" i="48"/>
  <c r="K25" i="48"/>
  <c r="AQ25" i="48"/>
  <c r="BA25" i="48"/>
  <c r="AG25" i="48"/>
  <c r="O25" i="48"/>
  <c r="DA25" i="48"/>
  <c r="CY25" i="48"/>
  <c r="AK37" i="48"/>
  <c r="CY37" i="48"/>
  <c r="AG37" i="48"/>
  <c r="CS37" i="48"/>
  <c r="O37" i="48"/>
  <c r="AY37" i="48"/>
  <c r="BC37" i="48"/>
  <c r="CU37" i="48"/>
  <c r="AQ37" i="48"/>
  <c r="AI37" i="48"/>
  <c r="AC37" i="48"/>
  <c r="CO37" i="48"/>
  <c r="AU37" i="48"/>
  <c r="BS37" i="48"/>
  <c r="AM37" i="48"/>
  <c r="CK37" i="48"/>
  <c r="BW37" i="48"/>
  <c r="AA37" i="48"/>
  <c r="BU37" i="48"/>
  <c r="CA37" i="48"/>
  <c r="CC37" i="48"/>
  <c r="CG37" i="48"/>
  <c r="BM37" i="48"/>
  <c r="BA37" i="48"/>
  <c r="W37" i="48"/>
  <c r="BQ37" i="48"/>
  <c r="AW37" i="48"/>
  <c r="M37" i="48"/>
  <c r="CM37" i="48"/>
  <c r="AO37" i="48"/>
  <c r="CE37" i="48"/>
  <c r="CQ37" i="48"/>
  <c r="BK37" i="48"/>
  <c r="CW37" i="48"/>
  <c r="AE37" i="48"/>
  <c r="BG37" i="48"/>
  <c r="AS37" i="48"/>
  <c r="Y37" i="48"/>
  <c r="S37" i="48"/>
  <c r="Q37" i="48"/>
  <c r="CI37" i="48"/>
  <c r="BY37" i="48"/>
  <c r="BE37" i="48"/>
  <c r="U37" i="48"/>
  <c r="BO37" i="48"/>
  <c r="K37" i="48"/>
  <c r="DA37" i="48"/>
  <c r="BI37" i="48"/>
  <c r="AN16" i="48"/>
  <c r="V16" i="48"/>
  <c r="AP16" i="48"/>
  <c r="X16" i="48"/>
  <c r="BJ16" i="48"/>
  <c r="T16" i="48"/>
  <c r="CF16" i="48"/>
  <c r="CN16" i="48"/>
  <c r="CZ16" i="48"/>
  <c r="AT16" i="48"/>
  <c r="BX16" i="48"/>
  <c r="Z16" i="48"/>
  <c r="AX16" i="48"/>
  <c r="BP16" i="48"/>
  <c r="N16" i="48"/>
  <c r="R16" i="48"/>
  <c r="AB16" i="48"/>
  <c r="AR16" i="48"/>
  <c r="BZ16" i="48"/>
  <c r="CV16" i="48"/>
  <c r="CL16" i="48"/>
  <c r="BF16" i="48"/>
  <c r="CD16" i="48"/>
  <c r="AJ16" i="48"/>
  <c r="AD16" i="48"/>
  <c r="CX16" i="48"/>
  <c r="J16" i="48"/>
  <c r="BN16" i="48"/>
  <c r="CJ16" i="48"/>
  <c r="AF16" i="48"/>
  <c r="CT16" i="48"/>
  <c r="AH16" i="48"/>
  <c r="L16" i="48"/>
  <c r="BD16" i="48"/>
  <c r="P16" i="48"/>
  <c r="CP16" i="48"/>
  <c r="BH16" i="48"/>
  <c r="CR16" i="48"/>
  <c r="BB16" i="48"/>
  <c r="BV16" i="48"/>
  <c r="CH16" i="48"/>
  <c r="AV16" i="48"/>
  <c r="CB16" i="48"/>
  <c r="BT16" i="48"/>
  <c r="BR16" i="48"/>
  <c r="AZ16" i="48"/>
  <c r="AL16" i="48"/>
  <c r="BL16" i="48"/>
  <c r="A37" i="48" a="1"/>
  <c r="A37" i="48" s="1"/>
  <c r="I37" i="48" s="1"/>
  <c r="CL37" i="48"/>
  <c r="CN37" i="48"/>
  <c r="BL37" i="48"/>
  <c r="BN37" i="48"/>
  <c r="AZ37" i="48"/>
  <c r="AL37" i="48"/>
  <c r="X37" i="48"/>
  <c r="AH37" i="48"/>
  <c r="BR37" i="48"/>
  <c r="BD37" i="48"/>
  <c r="CT37" i="48"/>
  <c r="BF37" i="48"/>
  <c r="CR37" i="48"/>
  <c r="CB37" i="48"/>
  <c r="AP37" i="48"/>
  <c r="AV37" i="48"/>
  <c r="CP37" i="48"/>
  <c r="BX37" i="48"/>
  <c r="BV37" i="48"/>
  <c r="AT37" i="48"/>
  <c r="Z37" i="48"/>
  <c r="CZ37" i="48"/>
  <c r="R37" i="48"/>
  <c r="BJ37" i="48"/>
  <c r="AB37" i="48"/>
  <c r="AR37" i="48"/>
  <c r="T37" i="48"/>
  <c r="CH37" i="48"/>
  <c r="AD37" i="48"/>
  <c r="CV37" i="48"/>
  <c r="BT37" i="48"/>
  <c r="BP37" i="48"/>
  <c r="J37" i="48"/>
  <c r="AN37" i="48"/>
  <c r="N37" i="48"/>
  <c r="AF37" i="48"/>
  <c r="CJ37" i="48"/>
  <c r="CX37" i="48"/>
  <c r="BB37" i="48"/>
  <c r="V37" i="48"/>
  <c r="BZ37" i="48"/>
  <c r="BH37" i="48"/>
  <c r="CD37" i="48"/>
  <c r="AJ37" i="48"/>
  <c r="L37" i="48"/>
  <c r="CF37" i="48"/>
  <c r="AX37" i="48"/>
  <c r="P37" i="48"/>
  <c r="AX38" i="48"/>
  <c r="CB38" i="48"/>
  <c r="AR38" i="48"/>
  <c r="P38" i="48"/>
  <c r="CP38" i="48"/>
  <c r="BP38" i="48"/>
  <c r="T38" i="48"/>
  <c r="AP38" i="48"/>
  <c r="AN38" i="48"/>
  <c r="BJ38" i="48"/>
  <c r="BR38" i="48"/>
  <c r="BT38" i="48"/>
  <c r="CJ38" i="48"/>
  <c r="BL38" i="48"/>
  <c r="CV38" i="48"/>
  <c r="AZ38" i="48"/>
  <c r="AF38" i="48"/>
  <c r="X38" i="48"/>
  <c r="CX38" i="48"/>
  <c r="J38" i="48"/>
  <c r="CN38" i="48"/>
  <c r="BD38" i="48"/>
  <c r="N38" i="48"/>
  <c r="CL38" i="48"/>
  <c r="R38" i="48"/>
  <c r="CZ38" i="48"/>
  <c r="BV38" i="48"/>
  <c r="CH38" i="48"/>
  <c r="CR38" i="48"/>
  <c r="CF38" i="48"/>
  <c r="BH38" i="48"/>
  <c r="AL38" i="48"/>
  <c r="AD38" i="48"/>
  <c r="AT38" i="48"/>
  <c r="Z38" i="48"/>
  <c r="BB38" i="48"/>
  <c r="CD38" i="48"/>
  <c r="BZ38" i="48"/>
  <c r="AH38" i="48"/>
  <c r="BN38" i="48"/>
  <c r="CT38" i="48"/>
  <c r="AJ38" i="48"/>
  <c r="AV38" i="48"/>
  <c r="L38" i="48"/>
  <c r="AB38" i="48"/>
  <c r="BX38" i="48"/>
  <c r="V38" i="48"/>
  <c r="BF38" i="48"/>
  <c r="A41" i="48" a="1"/>
  <c r="A41" i="48" s="1"/>
  <c r="I41" i="48" s="1"/>
  <c r="A48" i="48" a="1"/>
  <c r="A48" i="48" s="1"/>
  <c r="I48" i="48" s="1"/>
  <c r="A42" i="48" a="1"/>
  <c r="A42" i="48" s="1"/>
  <c r="I42" i="48" s="1"/>
  <c r="A46" i="48" a="1"/>
  <c r="A46" i="48" s="1"/>
  <c r="I46" i="48" s="1"/>
  <c r="A39" i="48" a="1"/>
  <c r="A39" i="48" s="1"/>
  <c r="I39" i="48" s="1"/>
  <c r="A43" i="48" a="1"/>
  <c r="A43" i="48" s="1"/>
  <c r="I43" i="48" s="1"/>
  <c r="A50" i="48" a="1"/>
  <c r="A50" i="48" s="1"/>
  <c r="I50" i="48" s="1"/>
  <c r="A44" i="48" a="1"/>
  <c r="A44" i="48" s="1"/>
  <c r="I44" i="48" s="1"/>
  <c r="A49" i="48" a="1"/>
  <c r="A49" i="48" s="1"/>
  <c r="I49" i="48" s="1"/>
  <c r="A45" i="48" a="1"/>
  <c r="A45" i="48" s="1"/>
  <c r="I45" i="48" s="1"/>
  <c r="A11" i="48" a="1"/>
  <c r="A11" i="48" s="1"/>
  <c r="I11" i="48" s="1"/>
  <c r="A47" i="48" a="1"/>
  <c r="A47" i="48" s="1"/>
  <c r="I47" i="48" s="1"/>
  <c r="A40" i="48" a="1"/>
  <c r="A40" i="48" s="1"/>
  <c r="I40" i="48" s="1"/>
  <c r="AN23" i="48"/>
  <c r="BT23" i="48"/>
  <c r="AJ23" i="48"/>
  <c r="CF23" i="48"/>
  <c r="BR23" i="48"/>
  <c r="BN23" i="48"/>
  <c r="Z23" i="48"/>
  <c r="AF23" i="48"/>
  <c r="P23" i="48"/>
  <c r="CH23" i="48"/>
  <c r="AX23" i="48"/>
  <c r="BB23" i="48"/>
  <c r="CZ23" i="48"/>
  <c r="BL23" i="48"/>
  <c r="L23" i="48"/>
  <c r="CR23" i="48"/>
  <c r="AZ23" i="48"/>
  <c r="AH23" i="48"/>
  <c r="J23" i="48"/>
  <c r="CN23" i="48"/>
  <c r="CP23" i="48"/>
  <c r="CX23" i="48"/>
  <c r="CL23" i="48"/>
  <c r="BP23" i="48"/>
  <c r="AV23" i="48"/>
  <c r="AD23" i="48"/>
  <c r="T23" i="48"/>
  <c r="AP23" i="48"/>
  <c r="AR23" i="48"/>
  <c r="CV23" i="48"/>
  <c r="BZ23" i="48"/>
  <c r="CB23" i="48"/>
  <c r="BF23" i="48"/>
  <c r="N23" i="48"/>
  <c r="BJ23" i="48"/>
  <c r="CJ23" i="48"/>
  <c r="X23" i="48"/>
  <c r="AL23" i="48"/>
  <c r="BX23" i="48"/>
  <c r="AT23" i="48"/>
  <c r="CD23" i="48"/>
  <c r="BD23" i="48"/>
  <c r="BV23" i="48"/>
  <c r="BH23" i="48"/>
  <c r="CT23" i="48"/>
  <c r="AB23" i="48"/>
  <c r="V23" i="48"/>
  <c r="R23" i="48"/>
  <c r="A12" i="48" a="1"/>
  <c r="A12" i="48" s="1"/>
  <c r="I12" i="48" s="1"/>
  <c r="BB29" i="48"/>
  <c r="BV29" i="48"/>
  <c r="AF29" i="48"/>
  <c r="AV29" i="48"/>
  <c r="CJ29" i="48"/>
  <c r="AL29" i="48"/>
  <c r="CL29" i="48"/>
  <c r="BZ29" i="48"/>
  <c r="CP29" i="48"/>
  <c r="AJ29" i="48"/>
  <c r="J29" i="48"/>
  <c r="R29" i="48"/>
  <c r="CZ29" i="48"/>
  <c r="AH29" i="48"/>
  <c r="AZ29" i="48"/>
  <c r="BD29" i="48"/>
  <c r="CT29" i="48"/>
  <c r="V29" i="48"/>
  <c r="CR29" i="48"/>
  <c r="BX29" i="48"/>
  <c r="BP29" i="48"/>
  <c r="AD29" i="48"/>
  <c r="N29" i="48"/>
  <c r="BJ29" i="48"/>
  <c r="AP29" i="48"/>
  <c r="CD29" i="48"/>
  <c r="BL29" i="48"/>
  <c r="BT29" i="48"/>
  <c r="CF29" i="48"/>
  <c r="CX29" i="48"/>
  <c r="CN29" i="48"/>
  <c r="BF29" i="48"/>
  <c r="AB29" i="48"/>
  <c r="X29" i="48"/>
  <c r="CV29" i="48"/>
  <c r="Z29" i="48"/>
  <c r="P29" i="48"/>
  <c r="AN29" i="48"/>
  <c r="CB29" i="48"/>
  <c r="AX29" i="48"/>
  <c r="AR29" i="48"/>
  <c r="BN29" i="48"/>
  <c r="BH29" i="48"/>
  <c r="CH29" i="48"/>
  <c r="T29" i="48"/>
  <c r="AT29" i="48"/>
  <c r="L29" i="48"/>
  <c r="BR29" i="48"/>
  <c r="L33" i="48"/>
  <c r="BP33" i="48"/>
  <c r="CT33" i="48"/>
  <c r="BN33" i="48"/>
  <c r="AB33" i="48"/>
  <c r="CJ33" i="48"/>
  <c r="CX33" i="48"/>
  <c r="BZ33" i="48"/>
  <c r="R33" i="48"/>
  <c r="BV33" i="48"/>
  <c r="BD33" i="48"/>
  <c r="BJ33" i="48"/>
  <c r="X33" i="48"/>
  <c r="CZ33" i="48"/>
  <c r="CL33" i="48"/>
  <c r="CH33" i="48"/>
  <c r="BX33" i="48"/>
  <c r="BF33" i="48"/>
  <c r="BT33" i="48"/>
  <c r="AX33" i="48"/>
  <c r="CF33" i="48"/>
  <c r="BR33" i="48"/>
  <c r="AH33" i="48"/>
  <c r="V33" i="48"/>
  <c r="AJ33" i="48"/>
  <c r="P33" i="48"/>
  <c r="N33" i="48"/>
  <c r="CV33" i="48"/>
  <c r="BL33" i="48"/>
  <c r="BH33" i="48"/>
  <c r="AV33" i="48"/>
  <c r="AP33" i="48"/>
  <c r="AZ33" i="48"/>
  <c r="CN33" i="48"/>
  <c r="CR33" i="48"/>
  <c r="CP33" i="48"/>
  <c r="CB33" i="48"/>
  <c r="AD33" i="48"/>
  <c r="AN33" i="48"/>
  <c r="AF33" i="48"/>
  <c r="AR33" i="48"/>
  <c r="BB33" i="48"/>
  <c r="AL33" i="48"/>
  <c r="Z33" i="48"/>
  <c r="T33" i="48"/>
  <c r="J33" i="48"/>
  <c r="AT33" i="48"/>
  <c r="CD33" i="48"/>
  <c r="A18" i="48" a="1"/>
  <c r="A18" i="48" s="1"/>
  <c r="I18" i="48" s="1"/>
  <c r="A15" i="48" a="1"/>
  <c r="A15" i="48" s="1"/>
  <c r="I15" i="48" s="1"/>
  <c r="A68" i="55" l="1"/>
  <c r="B69" i="55"/>
  <c r="H32" i="57"/>
  <c r="K15" i="57"/>
  <c r="K16" i="57" s="1"/>
  <c r="K17" i="57" s="1"/>
  <c r="K18" i="57" s="1"/>
  <c r="K19" i="57" s="1"/>
  <c r="K20" i="57" s="1"/>
  <c r="K21" i="57" s="1"/>
  <c r="K22" i="57" s="1"/>
  <c r="K23" i="57" s="1"/>
  <c r="K24" i="57" s="1"/>
  <c r="K25" i="57" s="1"/>
  <c r="K26" i="57" s="1"/>
  <c r="K27" i="57" s="1"/>
  <c r="K28" i="57" s="1"/>
  <c r="K29" i="57" s="1"/>
  <c r="K30" i="57" s="1"/>
  <c r="N18" i="63"/>
  <c r="M18" i="63"/>
  <c r="O18" i="63"/>
  <c r="L18" i="63"/>
  <c r="N24" i="52"/>
  <c r="J51" i="14"/>
  <c r="I15" i="14"/>
  <c r="J15" i="14"/>
  <c r="L14" i="57"/>
  <c r="M33" i="63"/>
  <c r="M24" i="52"/>
  <c r="BS52" i="48"/>
  <c r="BS54" i="48" s="1"/>
  <c r="BS54" i="49" s="1"/>
  <c r="BS54" i="50" s="1"/>
  <c r="BS54" i="51" s="1"/>
  <c r="Q52" i="48"/>
  <c r="Q54" i="48" s="1"/>
  <c r="Q54" i="49" s="1"/>
  <c r="Q54" i="50" s="1"/>
  <c r="Q54" i="51" s="1"/>
  <c r="K24" i="52"/>
  <c r="N33" i="63"/>
  <c r="L18" i="52"/>
  <c r="BI52" i="48"/>
  <c r="BC52" i="48"/>
  <c r="BC54" i="48" s="1"/>
  <c r="BC54" i="49" s="1"/>
  <c r="BC54" i="50" s="1"/>
  <c r="BC54" i="51" s="1"/>
  <c r="CU52" i="48"/>
  <c r="CU54" i="48" s="1"/>
  <c r="CU54" i="49" s="1"/>
  <c r="CU54" i="50" s="1"/>
  <c r="CU54" i="51" s="1"/>
  <c r="BL52" i="48"/>
  <c r="BL54" i="48" s="1"/>
  <c r="BL54" i="49" s="1"/>
  <c r="BL54" i="50" s="1"/>
  <c r="BL54" i="51" s="1"/>
  <c r="Y52" i="48"/>
  <c r="BU52" i="48"/>
  <c r="BU54" i="48" s="1"/>
  <c r="BU54" i="49" s="1"/>
  <c r="BU54" i="50" s="1"/>
  <c r="BU54" i="51" s="1"/>
  <c r="L33" i="63"/>
  <c r="L24" i="52"/>
  <c r="K18" i="52"/>
  <c r="CR52" i="48"/>
  <c r="CR54" i="48" s="1"/>
  <c r="CR54" i="49" s="1"/>
  <c r="CR54" i="50" s="1"/>
  <c r="CR54" i="51" s="1"/>
  <c r="L52" i="48"/>
  <c r="L54" i="48" s="1"/>
  <c r="L54" i="49" s="1"/>
  <c r="L54" i="50" s="1"/>
  <c r="L54" i="51" s="1"/>
  <c r="CJ52" i="48"/>
  <c r="CJ54" i="48" s="1"/>
  <c r="CJ54" i="49" s="1"/>
  <c r="CJ54" i="50" s="1"/>
  <c r="CJ54" i="51" s="1"/>
  <c r="AU52" i="48"/>
  <c r="AU54" i="48" s="1"/>
  <c r="AU54" i="49" s="1"/>
  <c r="AU54" i="50" s="1"/>
  <c r="AU54" i="51" s="1"/>
  <c r="AO52" i="48"/>
  <c r="BP52" i="48"/>
  <c r="BP54" i="48" s="1"/>
  <c r="BP54" i="49" s="1"/>
  <c r="BP54" i="50" s="1"/>
  <c r="BP54" i="51" s="1"/>
  <c r="BY52" i="48"/>
  <c r="CC52" i="48"/>
  <c r="CC54" i="48" s="1"/>
  <c r="CC54" i="49" s="1"/>
  <c r="CC54" i="50" s="1"/>
  <c r="CC54" i="51" s="1"/>
  <c r="AA52" i="48"/>
  <c r="AA54" i="48" s="1"/>
  <c r="AA54" i="49" s="1"/>
  <c r="AA54" i="50" s="1"/>
  <c r="AA54" i="51" s="1"/>
  <c r="BM52" i="48"/>
  <c r="BM54" i="48" s="1"/>
  <c r="BM54" i="49" s="1"/>
  <c r="BM54" i="50" s="1"/>
  <c r="BM54" i="51" s="1"/>
  <c r="M18" i="52"/>
  <c r="CP52" i="48"/>
  <c r="F43" i="48" s="1"/>
  <c r="AB52" i="48"/>
  <c r="AB54" i="48" s="1"/>
  <c r="AB54" i="49" s="1"/>
  <c r="AB54" i="50" s="1"/>
  <c r="AB54" i="51" s="1"/>
  <c r="BN52" i="48"/>
  <c r="BN54" i="48" s="1"/>
  <c r="BN54" i="49" s="1"/>
  <c r="BN54" i="50" s="1"/>
  <c r="BN54" i="51" s="1"/>
  <c r="AH52" i="48"/>
  <c r="AH54" i="48" s="1"/>
  <c r="AH54" i="49" s="1"/>
  <c r="AH54" i="50" s="1"/>
  <c r="AH54" i="51" s="1"/>
  <c r="AJ52" i="48"/>
  <c r="AJ54" i="48" s="1"/>
  <c r="AJ54" i="49" s="1"/>
  <c r="AJ54" i="50" s="1"/>
  <c r="AJ54" i="51" s="1"/>
  <c r="CN52" i="48"/>
  <c r="CN54" i="48" s="1"/>
  <c r="CN54" i="49" s="1"/>
  <c r="CN54" i="50" s="1"/>
  <c r="CN54" i="51" s="1"/>
  <c r="AP52" i="48"/>
  <c r="AP54" i="48" s="1"/>
  <c r="AP54" i="49" s="1"/>
  <c r="AP54" i="50" s="1"/>
  <c r="AP54" i="51" s="1"/>
  <c r="BX52" i="48"/>
  <c r="BX54" i="48" s="1"/>
  <c r="BX54" i="49" s="1"/>
  <c r="BX54" i="50" s="1"/>
  <c r="BX54" i="51" s="1"/>
  <c r="Z52" i="48"/>
  <c r="Z54" i="48" s="1"/>
  <c r="Z54" i="49" s="1"/>
  <c r="Z54" i="50" s="1"/>
  <c r="Z54" i="51" s="1"/>
  <c r="AY52" i="48"/>
  <c r="F40" i="48" s="1"/>
  <c r="BK52" i="48"/>
  <c r="BK54" i="48" s="1"/>
  <c r="BK54" i="49" s="1"/>
  <c r="BK54" i="50" s="1"/>
  <c r="BK54" i="51" s="1"/>
  <c r="AW52" i="48"/>
  <c r="AW54" i="48" s="1"/>
  <c r="AW54" i="49" s="1"/>
  <c r="AW54" i="50" s="1"/>
  <c r="AW54" i="51" s="1"/>
  <c r="U52" i="48"/>
  <c r="U54" i="48" s="1"/>
  <c r="U54" i="49" s="1"/>
  <c r="U54" i="50" s="1"/>
  <c r="U54" i="51" s="1"/>
  <c r="AM52" i="48"/>
  <c r="AM54" i="48" s="1"/>
  <c r="AM54" i="49" s="1"/>
  <c r="AM54" i="50" s="1"/>
  <c r="AM54" i="51" s="1"/>
  <c r="N18" i="52"/>
  <c r="CX52" i="48"/>
  <c r="CX54" i="48" s="1"/>
  <c r="CX54" i="49" s="1"/>
  <c r="CX54" i="50" s="1"/>
  <c r="CX54" i="51" s="1"/>
  <c r="BH52" i="48"/>
  <c r="BH54" i="48" s="1"/>
  <c r="BH54" i="49" s="1"/>
  <c r="BH54" i="50" s="1"/>
  <c r="BH54" i="51" s="1"/>
  <c r="CB52" i="48"/>
  <c r="BB52" i="48"/>
  <c r="BA52" i="48"/>
  <c r="BA54" i="48" s="1"/>
  <c r="BA54" i="49" s="1"/>
  <c r="BA54" i="50" s="1"/>
  <c r="BA54" i="51" s="1"/>
  <c r="AV52" i="48"/>
  <c r="AV54" i="48" s="1"/>
  <c r="AV54" i="49" s="1"/>
  <c r="AV54" i="50" s="1"/>
  <c r="AV54" i="51" s="1"/>
  <c r="BZ52" i="48"/>
  <c r="AE52" i="48"/>
  <c r="AE54" i="48" s="1"/>
  <c r="AE54" i="49" s="1"/>
  <c r="AE54" i="50" s="1"/>
  <c r="AE54" i="51" s="1"/>
  <c r="O52" i="48"/>
  <c r="O54" i="48" s="1"/>
  <c r="O54" i="49" s="1"/>
  <c r="O54" i="50" s="1"/>
  <c r="O54" i="51" s="1"/>
  <c r="CI52" i="48"/>
  <c r="F46" i="48" s="1"/>
  <c r="BQ52" i="48"/>
  <c r="BQ54" i="48" s="1"/>
  <c r="BQ54" i="49" s="1"/>
  <c r="BQ54" i="50" s="1"/>
  <c r="BQ54" i="51" s="1"/>
  <c r="AR52" i="48"/>
  <c r="AR54" i="48" s="1"/>
  <c r="AR54" i="49" s="1"/>
  <c r="AR54" i="50" s="1"/>
  <c r="AR54" i="51" s="1"/>
  <c r="AF52" i="48"/>
  <c r="AF54" i="48" s="1"/>
  <c r="AF54" i="49" s="1"/>
  <c r="AF54" i="50" s="1"/>
  <c r="AF54" i="51" s="1"/>
  <c r="P52" i="48"/>
  <c r="P54" i="48" s="1"/>
  <c r="P54" i="49" s="1"/>
  <c r="P54" i="50" s="1"/>
  <c r="P54" i="51" s="1"/>
  <c r="AZ52" i="48"/>
  <c r="AZ54" i="48" s="1"/>
  <c r="AZ54" i="49" s="1"/>
  <c r="AZ54" i="50" s="1"/>
  <c r="AZ54" i="51" s="1"/>
  <c r="BR52" i="48"/>
  <c r="BR54" i="48" s="1"/>
  <c r="BR54" i="49" s="1"/>
  <c r="BR54" i="50" s="1"/>
  <c r="BR54" i="51" s="1"/>
  <c r="BF52" i="48"/>
  <c r="BF54" i="48" s="1"/>
  <c r="BF54" i="49" s="1"/>
  <c r="BF54" i="50" s="1"/>
  <c r="BF54" i="51" s="1"/>
  <c r="BD52" i="48"/>
  <c r="BD54" i="48" s="1"/>
  <c r="BD54" i="49" s="1"/>
  <c r="BD54" i="50" s="1"/>
  <c r="BD54" i="51" s="1"/>
  <c r="T52" i="48"/>
  <c r="T54" i="48" s="1"/>
  <c r="T54" i="49" s="1"/>
  <c r="T54" i="50" s="1"/>
  <c r="T54" i="51" s="1"/>
  <c r="BO52" i="48"/>
  <c r="BW52" i="48"/>
  <c r="BW54" i="48" s="1"/>
  <c r="BW54" i="49" s="1"/>
  <c r="BW54" i="50" s="1"/>
  <c r="BW54" i="51" s="1"/>
  <c r="CY52" i="48"/>
  <c r="AL52" i="48"/>
  <c r="AL54" i="48" s="1"/>
  <c r="AL54" i="49" s="1"/>
  <c r="AL54" i="50" s="1"/>
  <c r="AL54" i="51" s="1"/>
  <c r="R52" i="48"/>
  <c r="R54" i="48" s="1"/>
  <c r="R54" i="49" s="1"/>
  <c r="R54" i="50" s="1"/>
  <c r="R54" i="51" s="1"/>
  <c r="X52" i="48"/>
  <c r="X54" i="48" s="1"/>
  <c r="X54" i="49" s="1"/>
  <c r="X54" i="50" s="1"/>
  <c r="X54" i="51" s="1"/>
  <c r="AI52" i="48"/>
  <c r="AI54" i="48" s="1"/>
  <c r="AI54" i="49" s="1"/>
  <c r="AI54" i="50" s="1"/>
  <c r="AI54" i="51" s="1"/>
  <c r="AK52" i="48"/>
  <c r="AK54" i="48" s="1"/>
  <c r="AK54" i="49" s="1"/>
  <c r="AK54" i="50" s="1"/>
  <c r="AK54" i="51" s="1"/>
  <c r="M52" i="48"/>
  <c r="CA52" i="48"/>
  <c r="BE52" i="48"/>
  <c r="K52" i="48"/>
  <c r="K54" i="48" s="1"/>
  <c r="K54" i="49" s="1"/>
  <c r="K54" i="50" s="1"/>
  <c r="K54" i="51" s="1"/>
  <c r="CK52" i="48"/>
  <c r="CK54" i="48" s="1"/>
  <c r="CK54" i="49" s="1"/>
  <c r="CK54" i="50" s="1"/>
  <c r="CK54" i="51" s="1"/>
  <c r="BV52" i="48"/>
  <c r="BV54" i="48" s="1"/>
  <c r="BV54" i="49" s="1"/>
  <c r="BV54" i="50" s="1"/>
  <c r="BV54" i="51" s="1"/>
  <c r="CL52" i="48"/>
  <c r="F41" i="48" s="1"/>
  <c r="AN52" i="48"/>
  <c r="AN54" i="48" s="1"/>
  <c r="AN54" i="49" s="1"/>
  <c r="AN54" i="50" s="1"/>
  <c r="AN54" i="51" s="1"/>
  <c r="AT52" i="48"/>
  <c r="F41" i="50"/>
  <c r="F43" i="50"/>
  <c r="CE52" i="48"/>
  <c r="CG52" i="48"/>
  <c r="AD52" i="48"/>
  <c r="BJ52" i="48"/>
  <c r="N52" i="48"/>
  <c r="F40" i="50"/>
  <c r="F46" i="50"/>
  <c r="F40" i="51"/>
  <c r="F49" i="51"/>
  <c r="F50" i="49"/>
  <c r="F42" i="50"/>
  <c r="AS52" i="48"/>
  <c r="AC52" i="48"/>
  <c r="AG52" i="48"/>
  <c r="F44" i="51"/>
  <c r="BT52" i="48"/>
  <c r="CV52" i="48"/>
  <c r="F47" i="50"/>
  <c r="F44" i="49"/>
  <c r="F49" i="49"/>
  <c r="W52" i="48"/>
  <c r="BG52" i="48"/>
  <c r="F41" i="51"/>
  <c r="J52" i="48"/>
  <c r="F48" i="50"/>
  <c r="F49" i="50"/>
  <c r="F46" i="51"/>
  <c r="F48" i="51"/>
  <c r="F42" i="49"/>
  <c r="F41" i="49"/>
  <c r="F40" i="49"/>
  <c r="F47" i="49"/>
  <c r="F48" i="49"/>
  <c r="F50" i="50"/>
  <c r="F44" i="50"/>
  <c r="AQ52" i="48"/>
  <c r="F50" i="51"/>
  <c r="F42" i="51"/>
  <c r="F43" i="51"/>
  <c r="I32" i="58"/>
  <c r="V52" i="48"/>
  <c r="F47" i="51"/>
  <c r="O33" i="63"/>
  <c r="F43" i="49"/>
  <c r="F46" i="49"/>
  <c r="I51" i="14"/>
  <c r="M53" i="48" l="1"/>
  <c r="M10" i="49" s="1"/>
  <c r="A69" i="55"/>
  <c r="B70" i="55"/>
  <c r="BN53" i="48"/>
  <c r="BN10" i="49" s="1"/>
  <c r="L15" i="57"/>
  <c r="L16" i="57" s="1"/>
  <c r="L17" i="57" s="1"/>
  <c r="L18" i="57" s="1"/>
  <c r="L19" i="57" s="1"/>
  <c r="L20" i="57" s="1"/>
  <c r="L19" i="63"/>
  <c r="O19" i="63"/>
  <c r="M19" i="63"/>
  <c r="N19" i="63"/>
  <c r="I16" i="14"/>
  <c r="J16" i="14"/>
  <c r="L19" i="52"/>
  <c r="BL53" i="48"/>
  <c r="BL10" i="49" s="1"/>
  <c r="BM53" i="48"/>
  <c r="BM10" i="49" s="1"/>
  <c r="K53" i="48"/>
  <c r="K10" i="49" s="1"/>
  <c r="BP53" i="48"/>
  <c r="BP10" i="49" s="1"/>
  <c r="CA53" i="48"/>
  <c r="CA10" i="49" s="1"/>
  <c r="BS53" i="48"/>
  <c r="BS10" i="49" s="1"/>
  <c r="AJ53" i="48"/>
  <c r="AJ10" i="49" s="1"/>
  <c r="AT53" i="48"/>
  <c r="AT10" i="49" s="1"/>
  <c r="BU53" i="48"/>
  <c r="BU10" i="49" s="1"/>
  <c r="CP54" i="48"/>
  <c r="CP54" i="49" s="1"/>
  <c r="CP54" i="50" s="1"/>
  <c r="CP54" i="51" s="1"/>
  <c r="P53" i="48"/>
  <c r="P10" i="49" s="1"/>
  <c r="M19" i="52"/>
  <c r="AU53" i="48"/>
  <c r="AU10" i="49" s="1"/>
  <c r="BB53" i="48"/>
  <c r="BB10" i="49" s="1"/>
  <c r="CB53" i="48"/>
  <c r="CB10" i="49" s="1"/>
  <c r="AW53" i="48"/>
  <c r="AW10" i="49" s="1"/>
  <c r="O53" i="48"/>
  <c r="O10" i="49" s="1"/>
  <c r="BO54" i="48"/>
  <c r="BO54" i="49" s="1"/>
  <c r="BO54" i="50" s="1"/>
  <c r="BO54" i="51" s="1"/>
  <c r="CX53" i="48"/>
  <c r="CX10" i="49" s="1"/>
  <c r="K19" i="52"/>
  <c r="AK53" i="48"/>
  <c r="AK10" i="49" s="1"/>
  <c r="BR53" i="48"/>
  <c r="BR10" i="49" s="1"/>
  <c r="AH53" i="48"/>
  <c r="AH10" i="49" s="1"/>
  <c r="BO53" i="48"/>
  <c r="BO10" i="49" s="1"/>
  <c r="AV53" i="48"/>
  <c r="AV10" i="49" s="1"/>
  <c r="BZ53" i="48"/>
  <c r="BZ10" i="49" s="1"/>
  <c r="AO53" i="48"/>
  <c r="AO10" i="49" s="1"/>
  <c r="F49" i="48"/>
  <c r="CT49" i="48" s="1"/>
  <c r="CT52" i="48" s="1"/>
  <c r="CA54" i="48"/>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i="49" s="1"/>
  <c r="M10" i="50" s="1"/>
  <c r="AT54" i="48"/>
  <c r="AT54" i="49" s="1"/>
  <c r="AT54" i="50" s="1"/>
  <c r="AT54" i="51" s="1"/>
  <c r="M54" i="48"/>
  <c r="M54" i="49" s="1"/>
  <c r="M54" i="50" s="1"/>
  <c r="M54" i="51" s="1"/>
  <c r="F44" i="48"/>
  <c r="CZ44" i="48" s="1"/>
  <c r="CI54" i="48"/>
  <c r="CI54" i="49" s="1"/>
  <c r="CI54" i="50" s="1"/>
  <c r="CI54" i="51" s="1"/>
  <c r="F42" i="48"/>
  <c r="CZ42" i="48" s="1"/>
  <c r="BY53" i="48"/>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i="52" s="1"/>
  <c r="BX53" i="48"/>
  <c r="BX10" i="49" s="1"/>
  <c r="Y54" i="48"/>
  <c r="Y54" i="49" s="1"/>
  <c r="Y54" i="50" s="1"/>
  <c r="Y54" i="51" s="1"/>
  <c r="BY54" i="48"/>
  <c r="BY54" i="49" s="1"/>
  <c r="BY54" i="50" s="1"/>
  <c r="BY54" i="51" s="1"/>
  <c r="X53" i="48"/>
  <c r="X10" i="49" s="1"/>
  <c r="T53" i="48"/>
  <c r="T10" i="49" s="1"/>
  <c r="BC53" i="48"/>
  <c r="BC10" i="49" s="1"/>
  <c r="AE53" i="48"/>
  <c r="AE10" i="49" s="1"/>
  <c r="CY53" i="48"/>
  <c r="CY10" i="49" s="1"/>
  <c r="DA47" i="49"/>
  <c r="CD47" i="49"/>
  <c r="CD52" i="49" s="1"/>
  <c r="BG54" i="48"/>
  <c r="BG54" i="49" s="1"/>
  <c r="BG54" i="50" s="1"/>
  <c r="BG54" i="51" s="1"/>
  <c r="BG53" i="48"/>
  <c r="BG10" i="49" s="1"/>
  <c r="CT49" i="49"/>
  <c r="CT52" i="49" s="1"/>
  <c r="DA49" i="49"/>
  <c r="CW50" i="49"/>
  <c r="CW52" i="49" s="1"/>
  <c r="CZ50" i="49"/>
  <c r="CT49" i="51"/>
  <c r="CT52" i="51" s="1"/>
  <c r="DA49" i="51"/>
  <c r="CH46" i="50"/>
  <c r="CH52" i="50" s="1"/>
  <c r="DA46" i="50"/>
  <c r="BJ53" i="48"/>
  <c r="BJ10" i="49" s="1"/>
  <c r="BJ54" i="48"/>
  <c r="BJ54" i="49" s="1"/>
  <c r="BJ54" i="50" s="1"/>
  <c r="BJ54" i="51" s="1"/>
  <c r="CE54" i="48"/>
  <c r="CE54" i="49" s="1"/>
  <c r="CE54" i="50" s="1"/>
  <c r="CE54" i="51" s="1"/>
  <c r="F47" i="48"/>
  <c r="CM41" i="48"/>
  <c r="CM52" i="48" s="1"/>
  <c r="CZ41" i="48"/>
  <c r="BK53" i="48"/>
  <c r="BK10" i="49" s="1"/>
  <c r="S40" i="48"/>
  <c r="S52" i="48" s="1"/>
  <c r="AX40" i="48"/>
  <c r="AX52" i="48" s="1"/>
  <c r="AQ54" i="48"/>
  <c r="AQ54" i="49" s="1"/>
  <c r="AQ54" i="50" s="1"/>
  <c r="AQ54" i="51" s="1"/>
  <c r="AQ53" i="48"/>
  <c r="AQ10" i="49" s="1"/>
  <c r="CZ50" i="51"/>
  <c r="CW50" i="51"/>
  <c r="CW52" i="51" s="1"/>
  <c r="CZ44" i="50"/>
  <c r="CS44" i="50"/>
  <c r="CS52" i="50" s="1"/>
  <c r="DA48" i="49"/>
  <c r="CF48" i="49"/>
  <c r="CF52" i="49" s="1"/>
  <c r="S40" i="49"/>
  <c r="S52" i="49" s="1"/>
  <c r="AX40" i="49"/>
  <c r="AX52" i="49" s="1"/>
  <c r="CH46" i="51"/>
  <c r="CH52" i="51" s="1"/>
  <c r="DA46" i="51"/>
  <c r="CT49" i="50"/>
  <c r="CT52" i="50" s="1"/>
  <c r="DA49" i="50"/>
  <c r="DA48" i="50"/>
  <c r="CF48" i="50"/>
  <c r="CF52" i="50" s="1"/>
  <c r="W54" i="48"/>
  <c r="W54" i="49" s="1"/>
  <c r="W54" i="50" s="1"/>
  <c r="W54" i="51" s="1"/>
  <c r="W53" i="48"/>
  <c r="W10" i="49" s="1"/>
  <c r="CS44" i="51"/>
  <c r="CS52" i="51" s="1"/>
  <c r="CZ44" i="51"/>
  <c r="AG53" i="48"/>
  <c r="AG10" i="49" s="1"/>
  <c r="AG54" i="48"/>
  <c r="AG54" i="49" s="1"/>
  <c r="AG54" i="50" s="1"/>
  <c r="AG54" i="51" s="1"/>
  <c r="AD53" i="48"/>
  <c r="AD10" i="49" s="1"/>
  <c r="AD54" i="48"/>
  <c r="AD54" i="49" s="1"/>
  <c r="AD54" i="50" s="1"/>
  <c r="AD54" i="51" s="1"/>
  <c r="DA46" i="48"/>
  <c r="CH46" i="48"/>
  <c r="CH52" i="48" s="1"/>
  <c r="CW50" i="50"/>
  <c r="CW52" i="50" s="1"/>
  <c r="CZ50" i="50"/>
  <c r="J54" i="48"/>
  <c r="J54" i="49" s="1"/>
  <c r="J54" i="50" s="1"/>
  <c r="J54" i="51" s="1"/>
  <c r="J53" i="48"/>
  <c r="J10" i="49" s="1"/>
  <c r="CZ44" i="49"/>
  <c r="CS44" i="49"/>
  <c r="CS52" i="49" s="1"/>
  <c r="CD47" i="50"/>
  <c r="CD52" i="50" s="1"/>
  <c r="DA47" i="50"/>
  <c r="F50" i="48"/>
  <c r="CV54" i="48"/>
  <c r="CV54" i="49" s="1"/>
  <c r="CV54" i="50" s="1"/>
  <c r="CV54" i="51" s="1"/>
  <c r="AC54" i="48"/>
  <c r="AC54" i="49" s="1"/>
  <c r="AC54" i="50" s="1"/>
  <c r="AC54" i="51" s="1"/>
  <c r="AC53" i="48"/>
  <c r="AC10" i="49" s="1"/>
  <c r="CQ43" i="50"/>
  <c r="CQ52" i="50" s="1"/>
  <c r="CZ43" i="50"/>
  <c r="AF53" i="48"/>
  <c r="AF10" i="49" s="1"/>
  <c r="AP53" i="48"/>
  <c r="AP10" i="49" s="1"/>
  <c r="BF53" i="48"/>
  <c r="BF10" i="49" s="1"/>
  <c r="CH46" i="49"/>
  <c r="CH52" i="49" s="1"/>
  <c r="DA46" i="49"/>
  <c r="CZ43" i="49"/>
  <c r="CQ43" i="49"/>
  <c r="CQ52" i="49" s="1"/>
  <c r="CD47" i="51"/>
  <c r="CD52" i="51" s="1"/>
  <c r="DA47" i="51"/>
  <c r="V53" i="48"/>
  <c r="V10" i="49" s="1"/>
  <c r="V54" i="48"/>
  <c r="V54" i="49" s="1"/>
  <c r="V54" i="50" s="1"/>
  <c r="V54" i="51" s="1"/>
  <c r="CQ43" i="51"/>
  <c r="CQ52" i="51" s="1"/>
  <c r="CZ43" i="51"/>
  <c r="CO42" i="51"/>
  <c r="CO52" i="51" s="1"/>
  <c r="CZ42" i="51"/>
  <c r="CZ41" i="49"/>
  <c r="CM41" i="49"/>
  <c r="CM52" i="49" s="1"/>
  <c r="CZ42" i="49"/>
  <c r="CO42" i="49"/>
  <c r="CO52" i="49" s="1"/>
  <c r="DA48" i="51"/>
  <c r="CF48" i="51"/>
  <c r="CF52" i="51" s="1"/>
  <c r="CM41" i="51"/>
  <c r="CM52" i="51" s="1"/>
  <c r="CZ41" i="51"/>
  <c r="BT53" i="48"/>
  <c r="BT10" i="49" s="1"/>
  <c r="BT54" i="48"/>
  <c r="BT54" i="49" s="1"/>
  <c r="BT54" i="50" s="1"/>
  <c r="BT54" i="51" s="1"/>
  <c r="AS53" i="48"/>
  <c r="AS10" i="49" s="1"/>
  <c r="AS54" i="48"/>
  <c r="AS54" i="49" s="1"/>
  <c r="AS54" i="50" s="1"/>
  <c r="AS54" i="51" s="1"/>
  <c r="CO42" i="50"/>
  <c r="CO52" i="50" s="1"/>
  <c r="CZ42" i="50"/>
  <c r="AX40" i="51"/>
  <c r="AX52" i="51" s="1"/>
  <c r="S40" i="51"/>
  <c r="S52" i="51" s="1"/>
  <c r="S40" i="50"/>
  <c r="S52" i="50" s="1"/>
  <c r="AX40" i="50"/>
  <c r="AX52" i="50" s="1"/>
  <c r="N54" i="48"/>
  <c r="N54" i="49" s="1"/>
  <c r="N54" i="50" s="1"/>
  <c r="N54" i="51" s="1"/>
  <c r="N53" i="48"/>
  <c r="N10" i="49" s="1"/>
  <c r="F48" i="48"/>
  <c r="CG54" i="48"/>
  <c r="CG54" i="49" s="1"/>
  <c r="CG54" i="50" s="1"/>
  <c r="CG54" i="51" s="1"/>
  <c r="CZ41" i="50"/>
  <c r="CM41" i="50"/>
  <c r="CM52" i="50" s="1"/>
  <c r="CZ43" i="48"/>
  <c r="CQ43" i="48"/>
  <c r="CQ52" i="48" s="1"/>
  <c r="AR53" i="48"/>
  <c r="AR10" i="49" s="1"/>
  <c r="K20" i="52" l="1"/>
  <c r="A70" i="55"/>
  <c r="B71" i="55"/>
  <c r="BN53" i="49"/>
  <c r="BN10" i="50" s="1"/>
  <c r="L21" i="57"/>
  <c r="L22" i="57" s="1"/>
  <c r="L23" i="57" s="1"/>
  <c r="L24" i="57" s="1"/>
  <c r="L25" i="57" s="1"/>
  <c r="L26" i="57" s="1"/>
  <c r="L27" i="57" s="1"/>
  <c r="L28" i="57" s="1"/>
  <c r="L29" i="57" s="1"/>
  <c r="L30" i="57" s="1"/>
  <c r="AM53" i="49"/>
  <c r="AM10" i="50" s="1"/>
  <c r="L20" i="63"/>
  <c r="O20" i="63"/>
  <c r="M20" i="63"/>
  <c r="N20" i="63"/>
  <c r="J17" i="14"/>
  <c r="I17" i="14"/>
  <c r="AK53" i="49"/>
  <c r="AK10" i="50" s="1"/>
  <c r="CA53" i="49"/>
  <c r="CA10" i="50" s="1"/>
  <c r="L20" i="52"/>
  <c r="L21" i="52" s="1"/>
  <c r="M20" i="52"/>
  <c r="M21" i="52" s="1"/>
  <c r="J53" i="49"/>
  <c r="J10" i="50" s="1"/>
  <c r="BL53" i="49"/>
  <c r="BL10" i="50" s="1"/>
  <c r="BM53" i="49"/>
  <c r="BM10" i="50" s="1"/>
  <c r="BP53" i="49"/>
  <c r="BP10" i="50" s="1"/>
  <c r="BS53" i="49"/>
  <c r="BS10" i="50" s="1"/>
  <c r="AL53" i="49"/>
  <c r="AL10" i="50" s="1"/>
  <c r="AL53" i="50" s="1"/>
  <c r="AL10" i="51" s="1"/>
  <c r="AJ53" i="49"/>
  <c r="AJ10" i="50" s="1"/>
  <c r="BE53" i="49"/>
  <c r="BE10" i="50" s="1"/>
  <c r="CB53" i="49"/>
  <c r="CB10" i="50" s="1"/>
  <c r="CJ53" i="49"/>
  <c r="CJ10" i="50" s="1"/>
  <c r="Q53" i="49"/>
  <c r="Q10" i="50" s="1"/>
  <c r="CO42" i="48"/>
  <c r="CO52" i="48" s="1"/>
  <c r="CO54" i="48" s="1"/>
  <c r="CO54" i="49" s="1"/>
  <c r="CO54" i="50" s="1"/>
  <c r="CO54" i="51" s="1"/>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i="48" s="1"/>
  <c r="CS53" i="48" s="1"/>
  <c r="CS10" i="49" s="1"/>
  <c r="N53" i="49"/>
  <c r="N10" i="50" s="1"/>
  <c r="AP53" i="49"/>
  <c r="AP10" i="50" s="1"/>
  <c r="BO53" i="49"/>
  <c r="BO10" i="50" s="1"/>
  <c r="BY53" i="49"/>
  <c r="BY10" i="50" s="1"/>
  <c r="BV53" i="49"/>
  <c r="BV10" i="50" s="1"/>
  <c r="AC53" i="49"/>
  <c r="AC10" i="50" s="1"/>
  <c r="CY53" i="49"/>
  <c r="CY10" i="50" s="1"/>
  <c r="BR53" i="49"/>
  <c r="BR10" i="50" s="1"/>
  <c r="BR53" i="50" s="1"/>
  <c r="BR10" i="51" s="1"/>
  <c r="BF53" i="49"/>
  <c r="BF10" i="50" s="1"/>
  <c r="CX53" i="49"/>
  <c r="CX10" i="50" s="1"/>
  <c r="BI53" i="49"/>
  <c r="BI10" i="50" s="1"/>
  <c r="U53" i="49"/>
  <c r="U10" i="50" s="1"/>
  <c r="BW53" i="49"/>
  <c r="BW10" i="50" s="1"/>
  <c r="BZ53" i="49"/>
  <c r="BZ10" i="50" s="1"/>
  <c r="BQ53" i="49"/>
  <c r="BQ10" i="50" s="1"/>
  <c r="Y53" i="49"/>
  <c r="Y10" i="50" s="1"/>
  <c r="L53" i="49"/>
  <c r="L10" i="50" s="1"/>
  <c r="M53" i="50" s="1"/>
  <c r="M10" i="51" s="1"/>
  <c r="AA53" i="49"/>
  <c r="AA10" i="50" s="1"/>
  <c r="AN53" i="49"/>
  <c r="AN10" i="50" s="1"/>
  <c r="AH53" i="49"/>
  <c r="AH10" i="50" s="1"/>
  <c r="BH53" i="49"/>
  <c r="BH10" i="50" s="1"/>
  <c r="Z53" i="49"/>
  <c r="Z10" i="50" s="1"/>
  <c r="AO53" i="49"/>
  <c r="AO10" i="50" s="1"/>
  <c r="AI53" i="49"/>
  <c r="AI10" i="50" s="1"/>
  <c r="P53" i="49"/>
  <c r="P10" i="50" s="1"/>
  <c r="CK53" i="49"/>
  <c r="CK10" i="50" s="1"/>
  <c r="AF53" i="49"/>
  <c r="AF10" i="50" s="1"/>
  <c r="BD53" i="49"/>
  <c r="BD10" i="50" s="1"/>
  <c r="BB53" i="49"/>
  <c r="BB10" i="50" s="1"/>
  <c r="X53" i="49"/>
  <c r="X10" i="50" s="1"/>
  <c r="AZ53" i="49"/>
  <c r="AZ10" i="50" s="1"/>
  <c r="BA53" i="49"/>
  <c r="BA10" i="50" s="1"/>
  <c r="DA52" i="49"/>
  <c r="CZ52" i="50"/>
  <c r="AR53" i="49"/>
  <c r="AR10" i="50" s="1"/>
  <c r="BJ53" i="49"/>
  <c r="BJ10" i="50" s="1"/>
  <c r="DA48" i="48"/>
  <c r="CF48" i="48"/>
  <c r="CF52" i="48" s="1"/>
  <c r="CT54" i="48"/>
  <c r="CT54" i="49" s="1"/>
  <c r="CT54" i="50" s="1"/>
  <c r="CT54" i="51" s="1"/>
  <c r="CT53" i="48"/>
  <c r="CT10" i="49" s="1"/>
  <c r="CU53" i="48"/>
  <c r="CU10" i="49" s="1"/>
  <c r="AS53" i="49"/>
  <c r="AS10" i="50" s="1"/>
  <c r="CZ52" i="51"/>
  <c r="DA52" i="51"/>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i="49"/>
  <c r="AB10" i="50" s="1"/>
  <c r="W53" i="49"/>
  <c r="W10" i="50" s="1"/>
  <c r="AQ53" i="49"/>
  <c r="AQ10" i="50" s="1"/>
  <c r="S53" i="48"/>
  <c r="S10" i="49" s="1"/>
  <c r="S54" i="48"/>
  <c r="S54" i="49" s="1"/>
  <c r="S54" i="50" s="1"/>
  <c r="S54" i="51" s="1"/>
  <c r="R53" i="48"/>
  <c r="R10" i="49" s="1"/>
  <c r="DA47" i="48"/>
  <c r="CD47" i="48"/>
  <c r="CD52" i="48" s="1"/>
  <c r="DA52" i="50"/>
  <c r="AE53" i="49"/>
  <c r="AE10" i="50" s="1"/>
  <c r="CQ54" i="48"/>
  <c r="CQ54" i="49" s="1"/>
  <c r="CQ54" i="50" s="1"/>
  <c r="CQ54" i="51" s="1"/>
  <c r="CQ53" i="48"/>
  <c r="CQ10" i="49" s="1"/>
  <c r="CP53" i="48"/>
  <c r="CP10" i="49" s="1"/>
  <c r="CZ52" i="49"/>
  <c r="CW50" i="48"/>
  <c r="CW52" i="48" s="1"/>
  <c r="CZ50" i="48"/>
  <c r="CZ52" i="48" s="1"/>
  <c r="AG53" i="49"/>
  <c r="AG10" i="50" s="1"/>
  <c r="BK53" i="49"/>
  <c r="BK10" i="50" s="1"/>
  <c r="BG53" i="49"/>
  <c r="BG10" i="50" s="1"/>
  <c r="BU53" i="49"/>
  <c r="BU10" i="50" s="1"/>
  <c r="K53" i="49"/>
  <c r="K10" i="50" s="1"/>
  <c r="BO53" i="50" l="1"/>
  <c r="BO10" i="51" s="1"/>
  <c r="A71" i="55"/>
  <c r="B72" i="55"/>
  <c r="A72" i="55" s="1"/>
  <c r="BX53" i="50"/>
  <c r="BX10" i="51" s="1"/>
  <c r="AK53" i="50"/>
  <c r="AK10" i="51" s="1"/>
  <c r="L21" i="63"/>
  <c r="M21" i="63"/>
  <c r="N21" i="63"/>
  <c r="O21" i="63"/>
  <c r="I18" i="14"/>
  <c r="J18" i="14"/>
  <c r="AO53" i="50"/>
  <c r="AO10" i="51" s="1"/>
  <c r="AJ53" i="50"/>
  <c r="AJ10" i="51" s="1"/>
  <c r="P53" i="50"/>
  <c r="P10" i="51" s="1"/>
  <c r="AM53" i="50"/>
  <c r="AM10" i="51" s="1"/>
  <c r="AL53" i="51" s="1"/>
  <c r="BE53" i="50"/>
  <c r="BE10" i="51" s="1"/>
  <c r="CK53" i="50"/>
  <c r="CK10" i="51" s="1"/>
  <c r="BZ53" i="50"/>
  <c r="BZ10" i="51" s="1"/>
  <c r="K21" i="52"/>
  <c r="K22" i="52" s="1"/>
  <c r="N21" i="52"/>
  <c r="N22" i="52" s="1"/>
  <c r="Z53" i="50"/>
  <c r="Z10" i="51" s="1"/>
  <c r="CO53" i="48"/>
  <c r="CO10" i="49" s="1"/>
  <c r="K53" i="50"/>
  <c r="K10" i="51" s="1"/>
  <c r="BM53" i="50"/>
  <c r="BM10" i="51" s="1"/>
  <c r="BL53" i="50"/>
  <c r="BL10" i="51" s="1"/>
  <c r="BD53" i="50"/>
  <c r="BD10" i="51" s="1"/>
  <c r="AV53" i="50"/>
  <c r="AV10" i="51" s="1"/>
  <c r="BP53" i="50"/>
  <c r="BP10" i="51" s="1"/>
  <c r="CN53" i="48"/>
  <c r="CN10" i="49" s="1"/>
  <c r="AQ53" i="50"/>
  <c r="AQ10" i="51" s="1"/>
  <c r="BB53" i="50"/>
  <c r="BB10" i="51" s="1"/>
  <c r="BQ53" i="50"/>
  <c r="BQ10" i="51" s="1"/>
  <c r="CC53" i="50"/>
  <c r="CC10" i="51" s="1"/>
  <c r="T53" i="50"/>
  <c r="T10" i="51" s="1"/>
  <c r="AT53" i="50"/>
  <c r="AT10" i="51" s="1"/>
  <c r="O53" i="50"/>
  <c r="O10" i="51" s="1"/>
  <c r="AE53" i="50"/>
  <c r="AE10" i="51" s="1"/>
  <c r="W53" i="50"/>
  <c r="W10" i="51" s="1"/>
  <c r="CY53" i="50"/>
  <c r="CY10" i="51" s="1"/>
  <c r="AU53" i="50"/>
  <c r="AU10" i="51" s="1"/>
  <c r="BU53" i="50"/>
  <c r="BU10" i="51" s="1"/>
  <c r="AB53" i="50"/>
  <c r="AB10" i="51" s="1"/>
  <c r="CS54" i="48"/>
  <c r="CS54" i="49" s="1"/>
  <c r="CS54" i="50" s="1"/>
  <c r="CS54" i="51" s="1"/>
  <c r="BV53" i="50"/>
  <c r="BV10" i="51" s="1"/>
  <c r="BW53" i="50"/>
  <c r="BW10" i="51" s="1"/>
  <c r="CX53" i="50"/>
  <c r="CX10" i="51" s="1"/>
  <c r="AW53" i="50"/>
  <c r="AW10" i="51" s="1"/>
  <c r="CB53" i="50"/>
  <c r="CB10" i="51" s="1"/>
  <c r="BG53" i="50"/>
  <c r="BG10" i="51" s="1"/>
  <c r="AC53" i="50"/>
  <c r="AC10" i="51" s="1"/>
  <c r="L53" i="50"/>
  <c r="L10" i="51" s="1"/>
  <c r="L53" i="51" s="1"/>
  <c r="BN53" i="50"/>
  <c r="BN10" i="51" s="1"/>
  <c r="AA53" i="50"/>
  <c r="AA10" i="51" s="1"/>
  <c r="CA53" i="50"/>
  <c r="CA10" i="51" s="1"/>
  <c r="BY53" i="50"/>
  <c r="BY10" i="51" s="1"/>
  <c r="CR53" i="48"/>
  <c r="CR10" i="49" s="1"/>
  <c r="CS53" i="49" s="1"/>
  <c r="CS10" i="50" s="1"/>
  <c r="BS53" i="50"/>
  <c r="BS10" i="51" s="1"/>
  <c r="BS53" i="51" s="1"/>
  <c r="CJ53" i="50"/>
  <c r="CJ10" i="51" s="1"/>
  <c r="U53" i="50"/>
  <c r="U10" i="51" s="1"/>
  <c r="X53" i="50"/>
  <c r="X10" i="51" s="1"/>
  <c r="BI53" i="50"/>
  <c r="BI10" i="51" s="1"/>
  <c r="AN53" i="50"/>
  <c r="AN10" i="51" s="1"/>
  <c r="Y53" i="50"/>
  <c r="Y10" i="51" s="1"/>
  <c r="BH53" i="50"/>
  <c r="BH10" i="51" s="1"/>
  <c r="AZ53" i="50"/>
  <c r="AZ10" i="51" s="1"/>
  <c r="BA53" i="50"/>
  <c r="BA10" i="51" s="1"/>
  <c r="AH53" i="50"/>
  <c r="AH10" i="51" s="1"/>
  <c r="AI53" i="50"/>
  <c r="AI10" i="51" s="1"/>
  <c r="Q53" i="50"/>
  <c r="Q10" i="51" s="1"/>
  <c r="AG53" i="50"/>
  <c r="AG10" i="51" s="1"/>
  <c r="BK53" i="50"/>
  <c r="BK10" i="51" s="1"/>
  <c r="BC53" i="50"/>
  <c r="BC10" i="51" s="1"/>
  <c r="DA52" i="48"/>
  <c r="CZ53" i="48" s="1"/>
  <c r="CZ10" i="49" s="1"/>
  <c r="CT53" i="49"/>
  <c r="CT10" i="50" s="1"/>
  <c r="AS53" i="50"/>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i="49"/>
  <c r="AY10" i="50" s="1"/>
  <c r="CI53" i="49"/>
  <c r="CI10" i="50" s="1"/>
  <c r="AP53" i="50"/>
  <c r="AP10" i="51" s="1"/>
  <c r="CW53" i="48"/>
  <c r="CW10" i="49" s="1"/>
  <c r="CW54" i="48"/>
  <c r="CW54" i="49" s="1"/>
  <c r="CW54" i="50" s="1"/>
  <c r="CW54" i="51" s="1"/>
  <c r="CV53" i="48"/>
  <c r="CV10" i="49" s="1"/>
  <c r="CQ53" i="49"/>
  <c r="CQ10" i="50" s="1"/>
  <c r="CM53" i="49"/>
  <c r="CM10" i="50" s="1"/>
  <c r="V53" i="50"/>
  <c r="V10" i="51" s="1"/>
  <c r="N53" i="50"/>
  <c r="N10" i="51" s="1"/>
  <c r="J53" i="50"/>
  <c r="J10" i="51" s="1"/>
  <c r="BF53" i="50"/>
  <c r="BF10" i="51" s="1"/>
  <c r="S53" i="49"/>
  <c r="S10" i="50" s="1"/>
  <c r="BT53" i="50"/>
  <c r="BT10" i="51" s="1"/>
  <c r="AD53" i="50"/>
  <c r="AD10" i="51" s="1"/>
  <c r="AF53" i="50"/>
  <c r="AF10" i="51" s="1"/>
  <c r="CU53" i="49"/>
  <c r="CU10" i="50" s="1"/>
  <c r="CF54" i="48"/>
  <c r="CF54" i="49" s="1"/>
  <c r="CF54" i="50" s="1"/>
  <c r="CF54" i="51" s="1"/>
  <c r="CF53" i="48"/>
  <c r="CF10" i="49" s="1"/>
  <c r="CG53" i="48"/>
  <c r="CG10" i="49" s="1"/>
  <c r="AR53" i="50"/>
  <c r="AR10" i="51" s="1"/>
  <c r="BN53" i="51" l="1"/>
  <c r="AJ53" i="51"/>
  <c r="L22" i="52"/>
  <c r="M22" i="52"/>
  <c r="BX53" i="51"/>
  <c r="BE53" i="51"/>
  <c r="O22" i="63"/>
  <c r="L22" i="63"/>
  <c r="M22" i="63"/>
  <c r="N22" i="63"/>
  <c r="AK53" i="51"/>
  <c r="CJ53" i="51"/>
  <c r="CC53" i="51"/>
  <c r="J19" i="14"/>
  <c r="I19" i="14"/>
  <c r="AO53" i="51"/>
  <c r="BD53" i="51"/>
  <c r="BI53" i="51"/>
  <c r="BZ53" i="51"/>
  <c r="CY53" i="51"/>
  <c r="AM53" i="51"/>
  <c r="BQ53" i="51"/>
  <c r="AB53" i="51"/>
  <c r="AA53" i="51"/>
  <c r="AU53" i="51"/>
  <c r="CO53" i="49"/>
  <c r="CO10" i="50" s="1"/>
  <c r="BL53" i="51"/>
  <c r="AF53" i="51"/>
  <c r="J53" i="51"/>
  <c r="CN53" i="49"/>
  <c r="CN10" i="50" s="1"/>
  <c r="BM53" i="51"/>
  <c r="AV53" i="51"/>
  <c r="BP53" i="51"/>
  <c r="AP53" i="51"/>
  <c r="AD53" i="51"/>
  <c r="N53" i="51"/>
  <c r="AW53" i="51"/>
  <c r="V53" i="51"/>
  <c r="AT53" i="51"/>
  <c r="T53" i="51"/>
  <c r="BR53" i="51"/>
  <c r="BV53" i="51"/>
  <c r="CB53" i="51"/>
  <c r="BW53" i="51"/>
  <c r="BT53" i="51"/>
  <c r="CX53" i="51"/>
  <c r="BF53" i="51"/>
  <c r="BO53" i="51"/>
  <c r="BY53" i="51"/>
  <c r="AC53" i="51"/>
  <c r="AZ53" i="51"/>
  <c r="CR53" i="49"/>
  <c r="CR10" i="50" s="1"/>
  <c r="CS53" i="50" s="1"/>
  <c r="CS10" i="51" s="1"/>
  <c r="Z53" i="51"/>
  <c r="M53" i="51"/>
  <c r="CA53" i="51"/>
  <c r="AN53" i="51"/>
  <c r="CK53" i="51"/>
  <c r="Y53" i="51"/>
  <c r="AI53" i="51"/>
  <c r="U53" i="51"/>
  <c r="BH53" i="51"/>
  <c r="X53" i="51"/>
  <c r="CI53" i="50"/>
  <c r="CI10" i="51" s="1"/>
  <c r="S53" i="50"/>
  <c r="S10" i="51" s="1"/>
  <c r="BJ53" i="51"/>
  <c r="AH53" i="51"/>
  <c r="BA53" i="51"/>
  <c r="CM53" i="50"/>
  <c r="CM10" i="51" s="1"/>
  <c r="Q53" i="51"/>
  <c r="P53" i="51"/>
  <c r="AX53" i="50"/>
  <c r="AX10" i="51" s="1"/>
  <c r="DA54" i="48"/>
  <c r="DA54" i="49" s="1"/>
  <c r="DA54" i="50" s="1"/>
  <c r="DA54" i="51" s="1"/>
  <c r="DA53" i="48"/>
  <c r="DA10" i="49" s="1"/>
  <c r="CZ53" i="49" s="1"/>
  <c r="CZ10" i="50" s="1"/>
  <c r="BC53" i="51"/>
  <c r="BB53" i="51"/>
  <c r="AY53" i="50"/>
  <c r="AY10" i="51" s="1"/>
  <c r="CH53" i="50"/>
  <c r="CH10" i="51" s="1"/>
  <c r="CU53" i="50"/>
  <c r="CU10" i="51" s="1"/>
  <c r="CF53" i="49"/>
  <c r="CF10" i="50" s="1"/>
  <c r="CQ53" i="50"/>
  <c r="CQ10" i="51" s="1"/>
  <c r="AR53" i="51"/>
  <c r="CV53" i="49"/>
  <c r="CV10" i="50" s="1"/>
  <c r="CE53" i="49"/>
  <c r="CE10" i="50" s="1"/>
  <c r="CG53" i="49"/>
  <c r="CG10" i="50" s="1"/>
  <c r="AS53" i="51"/>
  <c r="BG53" i="51"/>
  <c r="O53" i="51"/>
  <c r="AQ53" i="51"/>
  <c r="CD53" i="49"/>
  <c r="CD10" i="50" s="1"/>
  <c r="CT53" i="50"/>
  <c r="CT10" i="51" s="1"/>
  <c r="AG53" i="51"/>
  <c r="AE53" i="51"/>
  <c r="R53" i="50"/>
  <c r="R10" i="51" s="1"/>
  <c r="CP53" i="50"/>
  <c r="CP10" i="51" s="1"/>
  <c r="W53" i="51"/>
  <c r="BU53" i="51"/>
  <c r="K53" i="51"/>
  <c r="CW53" i="49"/>
  <c r="CW10" i="50" s="1"/>
  <c r="CL53" i="50"/>
  <c r="CL10" i="51" s="1"/>
  <c r="BK53" i="51"/>
  <c r="O23" i="63" l="1"/>
  <c r="N23" i="63"/>
  <c r="M23" i="63"/>
  <c r="L23" i="63"/>
  <c r="J20" i="14"/>
  <c r="I20" i="14"/>
  <c r="CN53" i="50"/>
  <c r="CN10" i="51" s="1"/>
  <c r="CO53" i="50"/>
  <c r="CO10" i="51" s="1"/>
  <c r="CR53" i="50"/>
  <c r="CR10" i="51" s="1"/>
  <c r="CS53" i="51" s="1"/>
  <c r="DA53" i="49"/>
  <c r="DA10" i="50" s="1"/>
  <c r="DA53" i="50" s="1"/>
  <c r="DA10" i="51" s="1"/>
  <c r="CH53" i="51"/>
  <c r="R53" i="51"/>
  <c r="CI53" i="51"/>
  <c r="CL53" i="51"/>
  <c r="CP53" i="51"/>
  <c r="CD53" i="50"/>
  <c r="CD10" i="51" s="1"/>
  <c r="AY53" i="51"/>
  <c r="CT53" i="51"/>
  <c r="AX53" i="51"/>
  <c r="CF53" i="50"/>
  <c r="CF10" i="51" s="1"/>
  <c r="CG53" i="50"/>
  <c r="CG10" i="51" s="1"/>
  <c r="CU53" i="51"/>
  <c r="S53" i="51"/>
  <c r="CW53" i="50"/>
  <c r="CW10" i="51" s="1"/>
  <c r="CE53" i="50"/>
  <c r="CE10" i="51" s="1"/>
  <c r="CQ53" i="51"/>
  <c r="CM53" i="51"/>
  <c r="CV53" i="50"/>
  <c r="CV10" i="51" s="1"/>
  <c r="M24" i="63" l="1"/>
  <c r="N24" i="63"/>
  <c r="O24" i="63"/>
  <c r="L24" i="63"/>
  <c r="I21" i="14"/>
  <c r="J21" i="14"/>
  <c r="CN53" i="51"/>
  <c r="CO53" i="51"/>
  <c r="CR53" i="51"/>
  <c r="CZ53" i="50"/>
  <c r="CZ10" i="51" s="1"/>
  <c r="CZ53" i="51" s="1"/>
  <c r="CV53" i="51"/>
  <c r="CE53" i="51"/>
  <c r="CF53" i="51"/>
  <c r="CG53" i="51"/>
  <c r="CW53" i="51"/>
  <c r="CD53" i="51"/>
  <c r="O25" i="63" l="1"/>
  <c r="N25" i="63"/>
  <c r="M25" i="63"/>
  <c r="L25" i="63"/>
  <c r="I15" i="47"/>
  <c r="J22" i="14"/>
  <c r="I22" i="14"/>
  <c r="DA53" i="51"/>
  <c r="M26" i="63" l="1"/>
  <c r="L26" i="63"/>
  <c r="O26" i="63"/>
  <c r="N26" i="63"/>
  <c r="I23" i="14"/>
  <c r="J23" i="14"/>
  <c r="M27" i="63" l="1"/>
  <c r="N27" i="63"/>
  <c r="O27" i="63"/>
  <c r="L27" i="63"/>
  <c r="J24" i="14"/>
  <c r="I24" i="14"/>
  <c r="M28" i="63" l="1"/>
  <c r="O28" i="63"/>
  <c r="N28" i="63"/>
  <c r="L28" i="63"/>
  <c r="I25" i="14"/>
  <c r="J25" i="14"/>
  <c r="L29" i="63" l="1"/>
  <c r="N29" i="63"/>
  <c r="O29" i="63"/>
  <c r="M29" i="63"/>
  <c r="J26" i="14"/>
  <c r="I26" i="14"/>
  <c r="L30" i="63" l="1"/>
  <c r="N30" i="63"/>
  <c r="M30" i="63"/>
  <c r="O30" i="63"/>
  <c r="I27" i="14"/>
  <c r="J27" i="14"/>
  <c r="J28" i="14" l="1"/>
  <c r="I28" i="14"/>
  <c r="I29" i="14" l="1"/>
  <c r="J29" i="14"/>
  <c r="J30" i="14" l="1"/>
  <c r="I30" i="14"/>
  <c r="H15" i="47"/>
  <c r="H16" i="47" s="1"/>
  <c r="I31" i="14" l="1"/>
  <c r="J31" i="14"/>
  <c r="I16" i="47"/>
  <c r="I17" i="47" s="1"/>
  <c r="J32" i="14" l="1"/>
  <c r="I32" i="14"/>
  <c r="H17" i="47"/>
  <c r="I18" i="47" s="1"/>
  <c r="I33" i="14" l="1"/>
  <c r="J33" i="14"/>
  <c r="H18" i="47"/>
  <c r="H19" i="47" s="1"/>
  <c r="J34" i="14" l="1"/>
  <c r="I34" i="14"/>
  <c r="I19" i="47"/>
  <c r="I20" i="47" s="1"/>
  <c r="I35" i="14" l="1"/>
  <c r="J35" i="14"/>
  <c r="H20" i="47"/>
  <c r="H21" i="47" s="1"/>
  <c r="J36" i="14" l="1"/>
  <c r="I36" i="14"/>
  <c r="I21" i="47"/>
  <c r="I37" i="14" l="1"/>
  <c r="J37" i="14"/>
  <c r="G22" i="47"/>
  <c r="J38" i="14" l="1"/>
  <c r="I38" i="14"/>
  <c r="H22" i="47"/>
  <c r="G32" i="47"/>
  <c r="H33" i="47" s="1"/>
  <c r="I22" i="47"/>
  <c r="I39" i="14" l="1"/>
  <c r="J39" i="14"/>
  <c r="I23" i="47"/>
  <c r="H23" i="47"/>
  <c r="I33" i="47"/>
  <c r="J40" i="14" l="1"/>
  <c r="I40" i="14"/>
  <c r="H24" i="47"/>
  <c r="I24" i="47"/>
  <c r="I41" i="14" l="1"/>
  <c r="J41" i="14"/>
  <c r="I25" i="47"/>
  <c r="H25" i="47"/>
  <c r="J42" i="14" l="1"/>
  <c r="I42" i="14"/>
  <c r="I26" i="47"/>
  <c r="H26" i="47"/>
  <c r="I43" i="14" l="1"/>
  <c r="J43" i="14"/>
  <c r="I27" i="47"/>
  <c r="H27" i="47"/>
  <c r="J44" i="14" l="1"/>
  <c r="I44" i="14"/>
  <c r="H28" i="47"/>
  <c r="I28" i="47"/>
  <c r="I45" i="14" l="1"/>
  <c r="J45" i="14"/>
  <c r="I29" i="47"/>
  <c r="H29" i="47"/>
  <c r="J46" i="14" l="1"/>
  <c r="I46" i="14"/>
  <c r="H30" i="47"/>
  <c r="I30" i="47"/>
  <c r="P14" i="60"/>
  <c r="P15" i="60"/>
  <c r="N8" i="60"/>
  <c r="P8" i="60" s="1"/>
  <c r="G12" i="61"/>
  <c r="B13" i="61"/>
  <c r="I47" i="14" l="1"/>
  <c r="J47" i="14"/>
  <c r="N10" i="60"/>
  <c r="P10" i="60" s="1"/>
  <c r="N11" i="60"/>
  <c r="P11" i="60" s="1"/>
  <c r="N12" i="60"/>
  <c r="P12" i="60" s="1"/>
  <c r="N13" i="60"/>
  <c r="P13" i="60" s="1"/>
  <c r="N9" i="60"/>
  <c r="P9" i="60" s="1"/>
  <c r="N7" i="60"/>
  <c r="N17" i="60" s="1"/>
  <c r="G13" i="61"/>
  <c r="G14" i="61" s="1"/>
  <c r="B12" i="61"/>
  <c r="B14" i="61" s="1"/>
  <c r="B876" i="34"/>
  <c r="A876" i="34" s="1"/>
  <c r="J48" i="14" l="1"/>
  <c r="I48" i="14"/>
  <c r="R876" i="34"/>
  <c r="Q876" i="34"/>
  <c r="S876" i="34"/>
  <c r="P7" i="60"/>
  <c r="I49" i="14" l="1"/>
  <c r="J49" i="14"/>
  <c r="B1036" i="34"/>
  <c r="A1036" i="34" s="1"/>
  <c r="R1036" i="34" l="1"/>
  <c r="S1036" i="34"/>
  <c r="Q1036" i="34"/>
  <c r="C143" i="60" l="1"/>
  <c r="D143" i="60" s="1"/>
  <c r="G143" i="60" l="1"/>
  <c r="G145" i="60" s="1"/>
  <c r="D145" i="60"/>
  <c r="H141" i="60" l="1"/>
  <c r="H143" i="60"/>
  <c r="I140" i="60"/>
  <c r="K140" i="60"/>
  <c r="K141" i="60"/>
  <c r="H142" i="60"/>
  <c r="I142" i="60"/>
  <c r="I143" i="60"/>
  <c r="J143" i="60"/>
  <c r="J140" i="60"/>
  <c r="J142" i="60"/>
  <c r="J141" i="60"/>
  <c r="K143" i="60"/>
  <c r="I141" i="60"/>
  <c r="K142" i="60"/>
  <c r="H140" i="60"/>
  <c r="N140" i="60" l="1"/>
  <c r="P140" i="60" s="1"/>
  <c r="N143" i="60"/>
  <c r="P143" i="60" s="1"/>
  <c r="N142" i="60"/>
  <c r="P142" i="60" s="1"/>
  <c r="N141" i="60"/>
  <c r="P141" i="60" s="1"/>
  <c r="N145" i="60" l="1"/>
  <c r="C158" i="60"/>
  <c r="G163" i="60" l="1"/>
  <c r="H161" i="60" l="1"/>
  <c r="H160" i="60"/>
  <c r="H157" i="60"/>
  <c r="N157" i="60" s="1"/>
  <c r="H158" i="60"/>
  <c r="N158" i="60" s="1"/>
  <c r="P158" i="60" s="1"/>
  <c r="H159" i="60"/>
  <c r="N161" i="60"/>
  <c r="P161" i="60" s="1"/>
  <c r="N159" i="60"/>
  <c r="P159" i="60" s="1"/>
  <c r="P157" i="60" l="1"/>
  <c r="N160" i="60"/>
  <c r="P160" i="60" s="1"/>
  <c r="N163" i="60" l="1"/>
  <c r="C63" i="60"/>
  <c r="D63" i="60" s="1"/>
  <c r="D68" i="60" l="1"/>
  <c r="G63" i="60"/>
  <c r="H62" i="60"/>
  <c r="H65" i="60"/>
  <c r="K64" i="60"/>
  <c r="I65" i="60"/>
  <c r="J62" i="60"/>
  <c r="H64" i="60"/>
  <c r="K63" i="60"/>
  <c r="J65" i="60"/>
  <c r="K62" i="60"/>
  <c r="I64" i="60"/>
  <c r="H63" i="60"/>
  <c r="K65" i="60"/>
  <c r="J64" i="60"/>
  <c r="N64" i="60" s="1"/>
  <c r="I63" i="60"/>
  <c r="I62" i="60"/>
  <c r="J63" i="60"/>
  <c r="N63" i="60" l="1"/>
  <c r="N65" i="60"/>
  <c r="P63" i="60"/>
  <c r="I66" i="60"/>
  <c r="J66" i="60"/>
  <c r="H66" i="60"/>
  <c r="K66" i="60"/>
  <c r="N66" i="60" l="1"/>
  <c r="P61" i="60"/>
  <c r="P66" i="60"/>
  <c r="P64" i="60"/>
  <c r="P65" i="60"/>
  <c r="F15" i="43" l="1"/>
  <c r="F17" i="43"/>
  <c r="M3932" i="34" l="1"/>
  <c r="F12" i="43"/>
  <c r="F13" i="43" l="1"/>
  <c r="F14" i="43" l="1"/>
  <c r="F77" i="43" l="1"/>
  <c r="M5203" i="34" l="1"/>
  <c r="M5238" i="34"/>
  <c r="H11" i="43" l="1"/>
  <c r="H77" i="43" s="1"/>
  <c r="H78" i="43" s="1"/>
  <c r="H12" i="43" l="1"/>
  <c r="H13" i="43" s="1"/>
  <c r="H14" i="43" s="1"/>
  <c r="H15" i="43" s="1"/>
  <c r="H16" i="43" s="1"/>
  <c r="H17" i="43" s="1"/>
  <c r="H18" i="43" s="1"/>
  <c r="H19" i="43" s="1"/>
  <c r="H20" i="43" s="1"/>
  <c r="H21" i="43" s="1"/>
  <c r="H22" i="43" s="1"/>
  <c r="H23" i="43" s="1"/>
  <c r="H24" i="43" s="1"/>
  <c r="H25" i="43" s="1"/>
  <c r="H26" i="43" s="1"/>
  <c r="H27" i="43" s="1"/>
  <c r="H28" i="43" s="1"/>
  <c r="H29" i="43" s="1"/>
  <c r="H30" i="43" s="1"/>
  <c r="H31" i="43" s="1"/>
  <c r="H32" i="43" s="1"/>
  <c r="H33" i="43" s="1"/>
  <c r="H34" i="43" s="1"/>
  <c r="H35" i="43" s="1"/>
  <c r="H36" i="43" s="1"/>
  <c r="H37" i="43" s="1"/>
  <c r="H38" i="43" s="1"/>
  <c r="H39" i="43" s="1"/>
  <c r="H40" i="43" s="1"/>
  <c r="H41" i="43" s="1"/>
  <c r="H42" i="43" s="1"/>
  <c r="H43" i="43" s="1"/>
  <c r="H44" i="43" s="1"/>
  <c r="H45" i="43" s="1"/>
  <c r="H46" i="43" s="1"/>
  <c r="H47" i="43" s="1"/>
  <c r="H48" i="43" s="1"/>
  <c r="H49" i="43" s="1"/>
  <c r="H50" i="43" s="1"/>
  <c r="H51" i="43" s="1"/>
  <c r="H52" i="43" s="1"/>
  <c r="H53" i="43" s="1"/>
  <c r="H54" i="43" s="1"/>
  <c r="H55" i="43" s="1"/>
  <c r="H56" i="43" s="1"/>
  <c r="H57" i="43" s="1"/>
  <c r="H58" i="43" s="1"/>
  <c r="H59" i="43" s="1"/>
  <c r="H60" i="43" s="1"/>
  <c r="H61" i="43" s="1"/>
  <c r="H62" i="43" s="1"/>
  <c r="H63" i="43" s="1"/>
  <c r="H64" i="43" s="1"/>
  <c r="H65" i="43" s="1"/>
  <c r="H66" i="43" s="1"/>
  <c r="H67" i="43" s="1"/>
  <c r="H68" i="43" s="1"/>
  <c r="H69" i="43" s="1"/>
  <c r="H70" i="43" s="1"/>
  <c r="H71" i="43" s="1"/>
  <c r="M1037" i="34"/>
  <c r="E1166" i="34" l="1"/>
  <c r="AA1166" i="34" s="1"/>
  <c r="B1166" i="34"/>
  <c r="A1166" i="34" s="1"/>
  <c r="Q1166" i="34" l="1"/>
  <c r="R1166" i="34"/>
  <c r="S1166" i="34"/>
  <c r="I21" i="55" l="1" a="1"/>
  <c r="I21" i="55" s="1"/>
  <c r="I43" i="55" a="1"/>
  <c r="I43" i="55" s="1"/>
  <c r="I17" i="55" a="1"/>
  <c r="I17" i="55" s="1"/>
  <c r="G90" i="55" a="1"/>
  <c r="G90" i="55" s="1"/>
  <c r="G77" i="55" a="1"/>
  <c r="G77" i="55" s="1"/>
  <c r="I100" i="55" a="1"/>
  <c r="I100" i="55" s="1"/>
  <c r="I46" i="55" a="1"/>
  <c r="I46" i="55" s="1"/>
  <c r="I26" i="55" a="1"/>
  <c r="I26" i="55" s="1"/>
  <c r="G63" i="55" a="1"/>
  <c r="G63" i="55" s="1"/>
  <c r="G81" i="55" a="1"/>
  <c r="G81" i="55" s="1"/>
  <c r="G11" i="55" a="1"/>
  <c r="G11" i="55" s="1"/>
  <c r="I22" i="55" a="1"/>
  <c r="I22" i="55" s="1"/>
  <c r="I55" i="55" a="1"/>
  <c r="I55" i="55" s="1"/>
  <c r="I11" i="55" a="1"/>
  <c r="I11" i="55" s="1"/>
  <c r="G107" i="55" a="1"/>
  <c r="G107" i="55" s="1"/>
  <c r="I59" i="55" a="1"/>
  <c r="I59" i="55" s="1"/>
  <c r="G28" i="55" a="1"/>
  <c r="G28" i="55" s="1"/>
  <c r="G108" i="55" a="1"/>
  <c r="G108" i="55" s="1"/>
  <c r="I25" i="55" a="1"/>
  <c r="I25" i="55" s="1"/>
  <c r="I35" i="55" a="1"/>
  <c r="I35" i="55" s="1"/>
  <c r="G104" i="55" a="1"/>
  <c r="G104" i="55" s="1"/>
  <c r="G33" i="55" a="1"/>
  <c r="G33" i="55" s="1"/>
  <c r="I67" i="55" a="1"/>
  <c r="I67" i="55" s="1"/>
  <c r="I96" i="55" a="1"/>
  <c r="I96" i="55" s="1"/>
  <c r="I24" i="55" a="1"/>
  <c r="I24" i="55" s="1"/>
  <c r="I51" i="55" a="1"/>
  <c r="I51" i="55" s="1"/>
  <c r="I20" i="55" a="1"/>
  <c r="I20" i="55" s="1"/>
  <c r="I60" i="55" a="1"/>
  <c r="I60" i="55" s="1"/>
  <c r="G83" i="55" a="1"/>
  <c r="G83" i="55" s="1"/>
  <c r="G23" i="55" a="1"/>
  <c r="G23" i="55" s="1"/>
  <c r="I101" i="55" a="1"/>
  <c r="I101" i="55" s="1"/>
  <c r="G32" i="55" a="1"/>
  <c r="G32" i="55" s="1"/>
  <c r="I31" i="55" a="1"/>
  <c r="I31" i="55" s="1"/>
  <c r="G39" i="55" a="1"/>
  <c r="G39" i="55" s="1"/>
  <c r="I34" i="55" a="1"/>
  <c r="I34" i="55" s="1"/>
  <c r="I93" i="55" a="1"/>
  <c r="I93" i="55" s="1"/>
  <c r="G99" i="55" a="1"/>
  <c r="G99" i="55" s="1"/>
  <c r="I95" i="55" a="1"/>
  <c r="I95" i="55" s="1"/>
  <c r="I84" i="55" a="1"/>
  <c r="I84" i="55" s="1"/>
  <c r="G42" i="55" a="1"/>
  <c r="G42" i="55" s="1"/>
  <c r="I30" i="55" a="1"/>
  <c r="I30" i="55" s="1"/>
  <c r="I36" i="55" a="1"/>
  <c r="I36" i="55" s="1"/>
  <c r="G46" i="55" a="1"/>
  <c r="G46" i="55" s="1"/>
  <c r="G96" i="55" a="1"/>
  <c r="G96" i="55" s="1"/>
  <c r="K96" i="55" s="1"/>
  <c r="I44" i="55" a="1"/>
  <c r="I44" i="55" s="1"/>
  <c r="I78" i="55" a="1"/>
  <c r="I78" i="55" s="1"/>
  <c r="G94" i="55" a="1"/>
  <c r="G94" i="55" s="1"/>
  <c r="G36" i="55" a="1"/>
  <c r="G36" i="55" s="1"/>
  <c r="I76" i="55" a="1"/>
  <c r="I76" i="55" s="1"/>
  <c r="I28" i="55" a="1"/>
  <c r="I28" i="55" s="1"/>
  <c r="I12" i="55" a="1"/>
  <c r="I12" i="55" s="1"/>
  <c r="I106" i="55" a="1"/>
  <c r="I106" i="55" s="1"/>
  <c r="I102" i="55" a="1"/>
  <c r="I102" i="55" s="1"/>
  <c r="I109" i="55" a="1"/>
  <c r="I109" i="55" s="1"/>
  <c r="I33" i="55" a="1"/>
  <c r="I33" i="55" s="1"/>
  <c r="G60" i="55" a="1"/>
  <c r="G60" i="55" s="1"/>
  <c r="K60" i="55" s="1"/>
  <c r="G97" i="55" a="1"/>
  <c r="G97" i="55" s="1"/>
  <c r="I53" i="55" a="1"/>
  <c r="I53" i="55" s="1"/>
  <c r="I79" i="55" a="1"/>
  <c r="I79" i="55" s="1"/>
  <c r="G66" i="55" a="1"/>
  <c r="G66" i="55" s="1"/>
  <c r="I104" i="55" a="1"/>
  <c r="I104" i="55" s="1"/>
  <c r="I103" i="55" a="1"/>
  <c r="I103" i="55" s="1"/>
  <c r="G100" i="55" a="1"/>
  <c r="G100" i="55" s="1"/>
  <c r="I94" i="55" a="1"/>
  <c r="I94" i="55" s="1"/>
  <c r="G21" i="55" a="1"/>
  <c r="G21" i="55" s="1"/>
  <c r="K21" i="55" s="1"/>
  <c r="I82" i="55" a="1"/>
  <c r="I82" i="55" s="1"/>
  <c r="I54" i="55" a="1"/>
  <c r="I54" i="55" s="1"/>
  <c r="G109" i="55" a="1"/>
  <c r="G109" i="55" s="1"/>
  <c r="I18" i="55" a="1"/>
  <c r="I18" i="55" s="1"/>
  <c r="I65" i="55" a="1"/>
  <c r="I65" i="55" s="1"/>
  <c r="I80" i="55" a="1"/>
  <c r="I80" i="55" s="1"/>
  <c r="I86" i="55" a="1"/>
  <c r="I86" i="55" s="1"/>
  <c r="I16" i="55" a="1"/>
  <c r="I16" i="55" s="1"/>
  <c r="I61" i="55" a="1"/>
  <c r="I61" i="55" s="1"/>
  <c r="I23" i="55" a="1"/>
  <c r="I23" i="55" s="1"/>
  <c r="G16" i="55" a="1"/>
  <c r="G16" i="55" s="1"/>
  <c r="I58" i="55" a="1"/>
  <c r="I58" i="55" s="1"/>
  <c r="I57" i="55" a="1"/>
  <c r="I57" i="55" s="1"/>
  <c r="I19" i="55" a="1"/>
  <c r="I19" i="55" s="1"/>
  <c r="I15" i="55" a="1"/>
  <c r="I15" i="55" s="1"/>
  <c r="I99" i="55" a="1"/>
  <c r="I99" i="55" s="1"/>
  <c r="I83" i="55" a="1"/>
  <c r="I83" i="55" s="1"/>
  <c r="G24" i="55" a="1"/>
  <c r="G24" i="55" s="1"/>
  <c r="I42" i="55" a="1"/>
  <c r="I42" i="55" s="1"/>
  <c r="I62" i="55" a="1"/>
  <c r="I62" i="55" s="1"/>
  <c r="I38" i="55" a="1"/>
  <c r="I38" i="55" s="1"/>
  <c r="G67" i="55" a="1"/>
  <c r="G67" i="55" s="1"/>
  <c r="G13" i="55" a="1"/>
  <c r="G13" i="55" s="1"/>
  <c r="I77" i="55" a="1"/>
  <c r="I77" i="55" s="1"/>
  <c r="I27" i="55" a="1"/>
  <c r="I27" i="55" s="1"/>
  <c r="I29" i="55" a="1"/>
  <c r="I29" i="55" s="1"/>
  <c r="G59" i="55" a="1"/>
  <c r="G59" i="55" s="1"/>
  <c r="I107" i="55" a="1"/>
  <c r="I107" i="55" s="1"/>
  <c r="I64" i="55" a="1"/>
  <c r="I64" i="55" s="1"/>
  <c r="I87" i="55" a="1"/>
  <c r="I87" i="55" s="1"/>
  <c r="I37" i="55" a="1"/>
  <c r="I37" i="55" s="1"/>
  <c r="I32" i="55" a="1"/>
  <c r="I32" i="55" s="1"/>
  <c r="G44" i="55" a="1"/>
  <c r="G44" i="55" s="1"/>
  <c r="I85" i="55" a="1"/>
  <c r="I85" i="55" s="1"/>
  <c r="I89" i="55" a="1"/>
  <c r="I89" i="55" s="1"/>
  <c r="G45" i="55" a="1"/>
  <c r="G45" i="55" s="1"/>
  <c r="I108" i="55" a="1"/>
  <c r="I108" i="55" s="1"/>
  <c r="I39" i="55" a="1"/>
  <c r="I39" i="55" s="1"/>
  <c r="I66" i="55" a="1"/>
  <c r="I66" i="55" s="1"/>
  <c r="I14" i="55" a="1"/>
  <c r="I14" i="55" s="1"/>
  <c r="G65" i="55" a="1"/>
  <c r="G65" i="55" s="1"/>
  <c r="G52" i="55" a="1"/>
  <c r="G52" i="55" s="1"/>
  <c r="I81" i="55" a="1"/>
  <c r="I81" i="55" s="1"/>
  <c r="I105" i="55" a="1"/>
  <c r="I105" i="55" s="1"/>
  <c r="G98" i="55" a="1"/>
  <c r="G98" i="55" s="1"/>
  <c r="I13" i="55" a="1"/>
  <c r="I13" i="55" s="1"/>
  <c r="I98" i="55" a="1"/>
  <c r="I98" i="55" s="1"/>
  <c r="I68" i="55" a="1"/>
  <c r="I68" i="55" s="1"/>
  <c r="I40" i="55" a="1"/>
  <c r="I40" i="55" s="1"/>
  <c r="G105" i="55" a="1"/>
  <c r="G105" i="55" s="1"/>
  <c r="G68" i="55" a="1"/>
  <c r="G68" i="55" s="1"/>
  <c r="I97" i="55" a="1"/>
  <c r="I97" i="55" s="1"/>
  <c r="I88" i="55" a="1"/>
  <c r="I88" i="55" s="1"/>
  <c r="I90" i="55" a="1"/>
  <c r="I90" i="55" s="1"/>
  <c r="I47" i="55" a="1"/>
  <c r="I47" i="55" s="1"/>
  <c r="G51" i="55" a="1"/>
  <c r="G51" i="55" s="1"/>
  <c r="G22" i="55" a="1"/>
  <c r="G22" i="55" s="1"/>
  <c r="I52" i="55" a="1"/>
  <c r="I52" i="55" s="1"/>
  <c r="I41" i="55" a="1"/>
  <c r="I41" i="55" s="1"/>
  <c r="G64" i="55" a="1"/>
  <c r="G64" i="55" s="1"/>
  <c r="I91" i="55" a="1"/>
  <c r="I91" i="55" s="1"/>
  <c r="I110" i="55" a="1"/>
  <c r="I110" i="55" s="1"/>
  <c r="G85" i="55" a="1"/>
  <c r="G85" i="55" s="1"/>
  <c r="G27" i="55" a="1"/>
  <c r="G27" i="55" s="1"/>
  <c r="I63" i="55" a="1"/>
  <c r="I63" i="55" s="1"/>
  <c r="I69" i="55" a="1"/>
  <c r="I69" i="55" s="1"/>
  <c r="I92" i="55" a="1"/>
  <c r="I92" i="55" s="1"/>
  <c r="G34" i="55" a="1"/>
  <c r="G34" i="55" s="1"/>
  <c r="K34" i="55" s="1"/>
  <c r="G15" i="55" a="1"/>
  <c r="G15" i="55" s="1"/>
  <c r="G58" i="55" a="1"/>
  <c r="G58" i="55" s="1"/>
  <c r="I45" i="55" a="1"/>
  <c r="I45" i="55" s="1"/>
  <c r="I56" i="55" a="1"/>
  <c r="I56" i="55" s="1"/>
  <c r="G76" i="55" a="1"/>
  <c r="G76" i="55" s="1"/>
  <c r="G87" i="55" a="1"/>
  <c r="G87" i="55" s="1"/>
  <c r="G35" i="55" a="1"/>
  <c r="G35" i="55" s="1"/>
  <c r="K35" i="55" s="1"/>
  <c r="G41" i="55" a="1"/>
  <c r="G41" i="55" s="1"/>
  <c r="G102" i="55" a="1"/>
  <c r="G102" i="55" s="1"/>
  <c r="K102" i="55" s="1"/>
  <c r="G30" i="55" a="1"/>
  <c r="G30" i="55" s="1"/>
  <c r="K30" i="55" s="1"/>
  <c r="G37" i="55" a="1"/>
  <c r="G37" i="55" s="1"/>
  <c r="K37" i="55" s="1"/>
  <c r="G54" i="55" a="1"/>
  <c r="G54" i="55" s="1"/>
  <c r="G101" i="55" a="1"/>
  <c r="G101" i="55" s="1"/>
  <c r="G19" i="55" a="1"/>
  <c r="G19" i="55" s="1"/>
  <c r="G56" i="55" a="1"/>
  <c r="G56" i="55" s="1"/>
  <c r="G88" i="55" a="1"/>
  <c r="G88" i="55" s="1"/>
  <c r="G29" i="55" a="1"/>
  <c r="G29" i="55" s="1"/>
  <c r="G69" i="55" a="1"/>
  <c r="G69" i="55" s="1"/>
  <c r="G55" i="55" a="1"/>
  <c r="G55" i="55" s="1"/>
  <c r="G93" i="55" a="1"/>
  <c r="G93" i="55" s="1"/>
  <c r="G14" i="55" a="1"/>
  <c r="G14" i="55" s="1"/>
  <c r="G40" i="55" a="1"/>
  <c r="G40" i="55" s="1"/>
  <c r="G61" i="55" a="1"/>
  <c r="G61" i="55" s="1"/>
  <c r="G103" i="55" a="1"/>
  <c r="G103" i="55" s="1"/>
  <c r="K103" i="55" s="1"/>
  <c r="G53" i="55" a="1"/>
  <c r="G53" i="55" s="1"/>
  <c r="K53" i="55" s="1"/>
  <c r="G106" i="55" a="1"/>
  <c r="G106" i="55" s="1"/>
  <c r="G78" i="55" a="1"/>
  <c r="G78" i="55" s="1"/>
  <c r="K78" i="55" s="1"/>
  <c r="G91" i="55" a="1"/>
  <c r="G91" i="55" s="1"/>
  <c r="G79" i="55" a="1"/>
  <c r="G79" i="55" s="1"/>
  <c r="G82" i="55" a="1"/>
  <c r="G82" i="55" s="1"/>
  <c r="K82" i="55" s="1"/>
  <c r="G25" i="55" a="1"/>
  <c r="G25" i="55" s="1"/>
  <c r="K25" i="55" s="1"/>
  <c r="G18" i="55" a="1"/>
  <c r="G18" i="55" s="1"/>
  <c r="K18" i="55" s="1"/>
  <c r="G47" i="55" a="1"/>
  <c r="G47" i="55" s="1"/>
  <c r="G89" i="55" a="1"/>
  <c r="G89" i="55" s="1"/>
  <c r="G31" i="55" a="1"/>
  <c r="G31" i="55" s="1"/>
  <c r="K31" i="55" s="1"/>
  <c r="G80" i="55" a="1"/>
  <c r="G80" i="55" s="1"/>
  <c r="K80" i="55" s="1"/>
  <c r="G43" i="55" a="1"/>
  <c r="G43" i="55" s="1"/>
  <c r="K43" i="55" s="1"/>
  <c r="G84" i="55" a="1"/>
  <c r="G84" i="55" s="1"/>
  <c r="G12" i="55" a="1"/>
  <c r="G12" i="55" s="1"/>
  <c r="G57" i="55" a="1"/>
  <c r="G57" i="55" s="1"/>
  <c r="G20" i="55" a="1"/>
  <c r="G20" i="55" s="1"/>
  <c r="K20" i="55" s="1"/>
  <c r="M12" i="34"/>
  <c r="G95" i="55" a="1"/>
  <c r="G95" i="55" s="1"/>
  <c r="K95" i="55" s="1"/>
  <c r="G38" i="55" a="1"/>
  <c r="G38" i="55" s="1"/>
  <c r="G17" i="55" a="1"/>
  <c r="G17" i="55" s="1"/>
  <c r="K17" i="55" s="1"/>
  <c r="G26" i="55" a="1"/>
  <c r="G26" i="55" s="1"/>
  <c r="G110" i="55" a="1"/>
  <c r="G110" i="55" s="1"/>
  <c r="G86" i="55" a="1"/>
  <c r="G86" i="55" s="1"/>
  <c r="G62" i="55" a="1"/>
  <c r="G62" i="55" s="1"/>
  <c r="I32" i="57"/>
  <c r="K32" i="57" s="1"/>
  <c r="G92" i="55" a="1"/>
  <c r="G92" i="55" s="1"/>
  <c r="K92" i="55" s="1"/>
  <c r="E61" i="12" l="1" a="1"/>
  <c r="E61" i="12" s="1"/>
  <c r="E66" i="12" a="1"/>
  <c r="E66" i="12" s="1"/>
  <c r="F64" i="12" a="1"/>
  <c r="F64" i="12" s="1"/>
  <c r="E63" i="12" a="1"/>
  <c r="E63" i="12" s="1"/>
  <c r="F61" i="12" a="1"/>
  <c r="F61" i="12" s="1"/>
  <c r="H61" i="12" s="1"/>
  <c r="F66" i="12" a="1"/>
  <c r="F66" i="12" s="1"/>
  <c r="H66" i="12" s="1"/>
  <c r="E65" i="12" a="1"/>
  <c r="E65" i="12" s="1"/>
  <c r="F63" i="12" a="1"/>
  <c r="F63" i="12" s="1"/>
  <c r="H63" i="12" s="1"/>
  <c r="E62" i="12" a="1"/>
  <c r="E62" i="12" s="1"/>
  <c r="F65" i="12" a="1"/>
  <c r="F65" i="12" s="1"/>
  <c r="H65" i="12" s="1"/>
  <c r="E64" i="12" a="1"/>
  <c r="E64" i="12" s="1"/>
  <c r="G64" i="12" s="1"/>
  <c r="F62" i="12" a="1"/>
  <c r="F62" i="12" s="1"/>
  <c r="H62" i="12" s="1"/>
  <c r="E55" i="12" a="1"/>
  <c r="E55" i="12" s="1"/>
  <c r="F57" i="12" a="1"/>
  <c r="F57" i="12" s="1"/>
  <c r="E60" i="12" a="1"/>
  <c r="E60" i="12" s="1"/>
  <c r="E57" i="12" a="1"/>
  <c r="E57" i="12" s="1"/>
  <c r="F59" i="12" a="1"/>
  <c r="F59" i="12" s="1"/>
  <c r="F56" i="12" a="1"/>
  <c r="F56" i="12" s="1"/>
  <c r="E59" i="12" a="1"/>
  <c r="E59" i="12" s="1"/>
  <c r="E56" i="12" a="1"/>
  <c r="E56" i="12" s="1"/>
  <c r="F58" i="12" a="1"/>
  <c r="F58" i="12" s="1"/>
  <c r="F55" i="12" a="1"/>
  <c r="F55" i="12" s="1"/>
  <c r="H55" i="12" s="1"/>
  <c r="E58" i="12" a="1"/>
  <c r="E58" i="12" s="1"/>
  <c r="F60" i="12" a="1"/>
  <c r="F60" i="12" s="1"/>
  <c r="H60" i="12" s="1"/>
  <c r="J70" i="55" a="1"/>
  <c r="J70" i="55" s="1"/>
  <c r="H70" i="55" a="1"/>
  <c r="H70" i="55" s="1"/>
  <c r="H72" i="55" a="1"/>
  <c r="H72" i="55" s="1"/>
  <c r="J72" i="55" a="1"/>
  <c r="J72" i="55" s="1"/>
  <c r="J71" i="55" a="1"/>
  <c r="J71" i="55" s="1"/>
  <c r="H71" i="55" a="1"/>
  <c r="H71" i="55" s="1"/>
  <c r="K27" i="55"/>
  <c r="K26" i="55"/>
  <c r="K106" i="55"/>
  <c r="K89" i="55"/>
  <c r="K54" i="55"/>
  <c r="K14" i="55"/>
  <c r="K64" i="55"/>
  <c r="K88" i="55"/>
  <c r="K47" i="55"/>
  <c r="H111" i="55" a="1"/>
  <c r="H111" i="55" s="1"/>
  <c r="J111" i="55" a="1"/>
  <c r="J111" i="55" s="1"/>
  <c r="K110" i="55"/>
  <c r="K59" i="55"/>
  <c r="K93" i="55"/>
  <c r="K22" i="55"/>
  <c r="K65" i="55"/>
  <c r="K105" i="55"/>
  <c r="K41" i="55"/>
  <c r="K56" i="55"/>
  <c r="K40" i="55"/>
  <c r="K67" i="55"/>
  <c r="K55" i="55"/>
  <c r="K98" i="55"/>
  <c r="K44" i="55"/>
  <c r="K84" i="55"/>
  <c r="K85" i="55"/>
  <c r="K109" i="55"/>
  <c r="K36" i="55"/>
  <c r="K29" i="55"/>
  <c r="K19" i="55"/>
  <c r="K87" i="55"/>
  <c r="K15" i="55"/>
  <c r="K91" i="55"/>
  <c r="K79" i="55"/>
  <c r="K101" i="55"/>
  <c r="K86" i="55"/>
  <c r="K33" i="55"/>
  <c r="K57" i="55"/>
  <c r="K12" i="55"/>
  <c r="K61" i="55"/>
  <c r="K94" i="55"/>
  <c r="K62" i="55"/>
  <c r="K38" i="55"/>
  <c r="K58" i="55"/>
  <c r="K69" i="55"/>
  <c r="K68" i="55"/>
  <c r="K46" i="55"/>
  <c r="K28" i="55"/>
  <c r="G113" i="55"/>
  <c r="K76" i="55"/>
  <c r="K52" i="55"/>
  <c r="K97" i="55"/>
  <c r="I113" i="55"/>
  <c r="K63" i="55"/>
  <c r="G74" i="55"/>
  <c r="K51" i="55"/>
  <c r="K45" i="55"/>
  <c r="J46" i="55" a="1"/>
  <c r="J46" i="55" s="1"/>
  <c r="J100" i="55" a="1"/>
  <c r="J100" i="55" s="1"/>
  <c r="J83" i="55" a="1"/>
  <c r="J83" i="55" s="1"/>
  <c r="J59" i="55" a="1"/>
  <c r="J59" i="55" s="1"/>
  <c r="F71" i="15" a="1"/>
  <c r="F71" i="15" s="1"/>
  <c r="J26" i="55" a="1"/>
  <c r="J26" i="55" s="1"/>
  <c r="J108" i="55" a="1"/>
  <c r="J108" i="55" s="1"/>
  <c r="J42" i="55" a="1"/>
  <c r="J42" i="55" s="1"/>
  <c r="J96" i="55" a="1"/>
  <c r="J96" i="55" s="1"/>
  <c r="J66" i="55" a="1"/>
  <c r="J66" i="55" s="1"/>
  <c r="J40" i="55" a="1"/>
  <c r="J40" i="55" s="1"/>
  <c r="J16" i="55" a="1"/>
  <c r="J16" i="55" s="1"/>
  <c r="J69" i="55" a="1"/>
  <c r="J69" i="55" s="1"/>
  <c r="J64" i="55" a="1"/>
  <c r="J64" i="55" s="1"/>
  <c r="J19" i="55" a="1"/>
  <c r="J19" i="55" s="1"/>
  <c r="J13" i="55" a="1"/>
  <c r="J13" i="55" s="1"/>
  <c r="J23" i="55" a="1"/>
  <c r="J23" i="55" s="1"/>
  <c r="J53" i="55" a="1"/>
  <c r="J53" i="55" s="1"/>
  <c r="J103" i="55" a="1"/>
  <c r="J103" i="55" s="1"/>
  <c r="J39" i="55" a="1"/>
  <c r="J39" i="55" s="1"/>
  <c r="J15" i="55" a="1"/>
  <c r="J15" i="55" s="1"/>
  <c r="J22" i="55" a="1"/>
  <c r="J22" i="55" s="1"/>
  <c r="J109" i="55" a="1"/>
  <c r="J109" i="55" s="1"/>
  <c r="F72" i="15" a="1"/>
  <c r="F72" i="15" s="1"/>
  <c r="J78" i="55" a="1"/>
  <c r="J78" i="55" s="1"/>
  <c r="J86" i="55" a="1"/>
  <c r="J86" i="55" s="1"/>
  <c r="J28" i="55" a="1"/>
  <c r="J28" i="55" s="1"/>
  <c r="F76" i="15" a="1"/>
  <c r="F76" i="15" s="1"/>
  <c r="J81" i="45" a="1"/>
  <c r="J81" i="45" s="1"/>
  <c r="J82" i="55" a="1"/>
  <c r="J82" i="55" s="1"/>
  <c r="F68" i="15" a="1"/>
  <c r="F68" i="15" s="1"/>
  <c r="J36" i="55" a="1"/>
  <c r="J36" i="55" s="1"/>
  <c r="J95" i="55" a="1"/>
  <c r="J95" i="55" s="1"/>
  <c r="J90" i="55" a="1"/>
  <c r="J90" i="55" s="1"/>
  <c r="J21" i="55" a="1"/>
  <c r="J21" i="55" s="1"/>
  <c r="J33" i="55" a="1"/>
  <c r="J33" i="55" s="1"/>
  <c r="F73" i="15" a="1"/>
  <c r="F73" i="15" s="1"/>
  <c r="J104" i="55" a="1"/>
  <c r="J104" i="55" s="1"/>
  <c r="J79" i="55" a="1"/>
  <c r="J79" i="55" s="1"/>
  <c r="J97" i="55" a="1"/>
  <c r="J97" i="55" s="1"/>
  <c r="F77" i="15" a="1"/>
  <c r="F77" i="15" s="1"/>
  <c r="J32" i="55" a="1"/>
  <c r="J32" i="55" s="1"/>
  <c r="J80" i="55" a="1"/>
  <c r="J80" i="55" s="1"/>
  <c r="J107" i="55" a="1"/>
  <c r="J107" i="55" s="1"/>
  <c r="J24" i="55" a="1"/>
  <c r="J24" i="55" s="1"/>
  <c r="F78" i="15" a="1"/>
  <c r="F78" i="15" s="1"/>
  <c r="J58" i="55" a="1"/>
  <c r="J58" i="55" s="1"/>
  <c r="J12" i="55" a="1"/>
  <c r="J12" i="55" s="1"/>
  <c r="J88" i="55" a="1"/>
  <c r="J88" i="55" s="1"/>
  <c r="J57" i="55" a="1"/>
  <c r="J57" i="55" s="1"/>
  <c r="J84" i="55" a="1"/>
  <c r="J84" i="55" s="1"/>
  <c r="J47" i="55" a="1"/>
  <c r="J47" i="55" s="1"/>
  <c r="J67" i="55" a="1"/>
  <c r="J67" i="55" s="1"/>
  <c r="J81" i="55" a="1"/>
  <c r="J81" i="55" s="1"/>
  <c r="J105" i="55" a="1"/>
  <c r="J105" i="55" s="1"/>
  <c r="J56" i="55" a="1"/>
  <c r="J56" i="55" s="1"/>
  <c r="J20" i="55" a="1"/>
  <c r="J20" i="55" s="1"/>
  <c r="J52" i="55" a="1"/>
  <c r="J52" i="55" s="1"/>
  <c r="J45" i="55" a="1"/>
  <c r="J45" i="55" s="1"/>
  <c r="J102" i="55" a="1"/>
  <c r="J102" i="55" s="1"/>
  <c r="J89" i="55" a="1"/>
  <c r="J89" i="55" s="1"/>
  <c r="J65" i="55" a="1"/>
  <c r="J65" i="55" s="1"/>
  <c r="J106" i="55" a="1"/>
  <c r="J106" i="55" s="1"/>
  <c r="J14" i="55" a="1"/>
  <c r="J14" i="55" s="1"/>
  <c r="J44" i="55" a="1"/>
  <c r="J44" i="55" s="1"/>
  <c r="J101" i="55" a="1"/>
  <c r="J101" i="55" s="1"/>
  <c r="J30" i="55" a="1"/>
  <c r="J30" i="55" s="1"/>
  <c r="J85" i="55" a="1"/>
  <c r="J85" i="55" s="1"/>
  <c r="J68" i="55" a="1"/>
  <c r="J68" i="55" s="1"/>
  <c r="F65" i="15" a="1"/>
  <c r="F65" i="15" s="1"/>
  <c r="J63" i="55" a="1"/>
  <c r="J63" i="55" s="1"/>
  <c r="J9" i="45" a="1"/>
  <c r="J9" i="45" s="1"/>
  <c r="J43" i="55" a="1"/>
  <c r="J43" i="55" s="1"/>
  <c r="J92" i="55" a="1"/>
  <c r="J92" i="55" s="1"/>
  <c r="J17" i="55" a="1"/>
  <c r="J17" i="55" s="1"/>
  <c r="J77" i="55" a="1"/>
  <c r="J77" i="55" s="1"/>
  <c r="J18" i="55" a="1"/>
  <c r="J18" i="55" s="1"/>
  <c r="J91" i="55" a="1"/>
  <c r="J91" i="55" s="1"/>
  <c r="F75" i="15" a="1"/>
  <c r="F75" i="15" s="1"/>
  <c r="J60" i="55" a="1"/>
  <c r="J60" i="55" s="1"/>
  <c r="J55" i="55" a="1"/>
  <c r="J55" i="55" s="1"/>
  <c r="J37" i="55" a="1"/>
  <c r="J37" i="55" s="1"/>
  <c r="J94" i="55" a="1"/>
  <c r="J94" i="55" s="1"/>
  <c r="J27" i="55" a="1"/>
  <c r="J27" i="55" s="1"/>
  <c r="J93" i="55" a="1"/>
  <c r="J93" i="55" s="1"/>
  <c r="J35" i="55" a="1"/>
  <c r="J35" i="55" s="1"/>
  <c r="J29" i="55" a="1"/>
  <c r="J29" i="55" s="1"/>
  <c r="J99" i="55" a="1"/>
  <c r="J99" i="55" s="1"/>
  <c r="J62" i="55" a="1"/>
  <c r="J62" i="55" s="1"/>
  <c r="J38" i="55" a="1"/>
  <c r="J38" i="55" s="1"/>
  <c r="J41" i="55" a="1"/>
  <c r="J41" i="55" s="1"/>
  <c r="M5718" i="34"/>
  <c r="J25" i="55" a="1"/>
  <c r="J25" i="55" s="1"/>
  <c r="J98" i="55" a="1"/>
  <c r="J98" i="55" s="1"/>
  <c r="J54" i="55" a="1"/>
  <c r="J54" i="55" s="1"/>
  <c r="J87" i="55" a="1"/>
  <c r="J87" i="55" s="1"/>
  <c r="E37" i="12" a="1"/>
  <c r="E37" i="12" s="1"/>
  <c r="J65" i="45" a="1"/>
  <c r="J65" i="45" s="1"/>
  <c r="L30" i="45" a="1"/>
  <c r="L30" i="45" s="1"/>
  <c r="H6" i="62" a="1"/>
  <c r="H6" i="62" s="1"/>
  <c r="F20" i="12" a="1"/>
  <c r="F20" i="12" s="1"/>
  <c r="F34" i="12" a="1"/>
  <c r="F34" i="12" s="1"/>
  <c r="L72" i="45" a="1"/>
  <c r="L72" i="45" s="1"/>
  <c r="J61" i="55" a="1"/>
  <c r="J61" i="55" s="1"/>
  <c r="L26" i="45" a="1"/>
  <c r="L26" i="45" s="1"/>
  <c r="L60" i="45" a="1"/>
  <c r="L60" i="45" s="1"/>
  <c r="L42" i="45" a="1"/>
  <c r="L42" i="45" s="1"/>
  <c r="E32" i="12" a="1"/>
  <c r="E32" i="12" s="1"/>
  <c r="J80" i="45" a="1"/>
  <c r="J80" i="45" s="1"/>
  <c r="E11" i="12" a="1"/>
  <c r="E11" i="12" s="1"/>
  <c r="H62" i="55" a="1"/>
  <c r="H62" i="55" s="1"/>
  <c r="F74" i="15" a="1"/>
  <c r="F74" i="15" s="1"/>
  <c r="J110" i="55" a="1"/>
  <c r="J110" i="55" s="1"/>
  <c r="J31" i="55" a="1"/>
  <c r="J31" i="55" s="1"/>
  <c r="E22" i="12" a="1"/>
  <c r="E22" i="12" s="1"/>
  <c r="E73" i="12" a="1"/>
  <c r="E73" i="12" s="1"/>
  <c r="F49" i="12" a="1"/>
  <c r="F49" i="12" s="1"/>
  <c r="E22" i="15" a="1"/>
  <c r="E22" i="15" s="1"/>
  <c r="E54" i="15" a="1"/>
  <c r="E54" i="15" s="1"/>
  <c r="J44" i="45" a="1"/>
  <c r="J44" i="45" s="1"/>
  <c r="E57" i="15" a="1"/>
  <c r="E57" i="15" s="1"/>
  <c r="H52" i="55" a="1"/>
  <c r="H52" i="55" s="1"/>
  <c r="L52" i="55" s="1"/>
  <c r="J34" i="55" a="1"/>
  <c r="J34" i="55" s="1"/>
  <c r="L88" i="45" a="1"/>
  <c r="L88" i="45" s="1"/>
  <c r="H19" i="62" a="1"/>
  <c r="H19" i="62" s="1"/>
  <c r="J71" i="45" a="1"/>
  <c r="J71" i="45" s="1"/>
  <c r="E6" i="12" a="1"/>
  <c r="E6" i="12" s="1"/>
  <c r="H25" i="62" a="1"/>
  <c r="H25" i="62" s="1"/>
  <c r="H99" i="55" a="1"/>
  <c r="H99" i="55" s="1"/>
  <c r="J78" i="45" a="1"/>
  <c r="J78" i="45" s="1"/>
  <c r="E52" i="15" a="1"/>
  <c r="E52" i="15" s="1"/>
  <c r="J66" i="45" a="1"/>
  <c r="J66" i="45" s="1"/>
  <c r="H11" i="62" a="1"/>
  <c r="H11" i="62" s="1"/>
  <c r="L21" i="45" a="1"/>
  <c r="L21" i="45" s="1"/>
  <c r="E53" i="15" a="1"/>
  <c r="E53" i="15" s="1"/>
  <c r="H28" i="62" a="1"/>
  <c r="H28" i="62" s="1"/>
  <c r="E35" i="12" a="1"/>
  <c r="E35" i="12" s="1"/>
  <c r="J35" i="45" a="1"/>
  <c r="J35" i="45" s="1"/>
  <c r="L33" i="45" a="1"/>
  <c r="L33" i="45" s="1"/>
  <c r="L56" i="45" a="1"/>
  <c r="L56" i="45" s="1"/>
  <c r="L91" i="45" a="1"/>
  <c r="L91" i="45" s="1"/>
  <c r="J84" i="45" a="1"/>
  <c r="J84" i="45" s="1"/>
  <c r="L76" i="45" a="1"/>
  <c r="L76" i="45" s="1"/>
  <c r="F77" i="12" a="1"/>
  <c r="F77" i="12" s="1"/>
  <c r="L54" i="45" a="1"/>
  <c r="L54" i="45" s="1"/>
  <c r="E10" i="12" a="1"/>
  <c r="E10" i="12" s="1"/>
  <c r="H103" i="55" a="1"/>
  <c r="H103" i="55" s="1"/>
  <c r="L103" i="55" s="1"/>
  <c r="J15" i="45" a="1"/>
  <c r="J15" i="45" s="1"/>
  <c r="H64" i="55" a="1"/>
  <c r="H64" i="55" s="1"/>
  <c r="L34" i="45" a="1"/>
  <c r="L34" i="45" s="1"/>
  <c r="L63" i="45" a="1"/>
  <c r="L63" i="45" s="1"/>
  <c r="J17" i="45" a="1"/>
  <c r="J17" i="45" s="1"/>
  <c r="F15" i="12" a="1"/>
  <c r="F15" i="12" s="1"/>
  <c r="F72" i="12" a="1"/>
  <c r="F72" i="12" s="1"/>
  <c r="J37" i="45" a="1"/>
  <c r="J37" i="45" s="1"/>
  <c r="J61" i="45" a="1"/>
  <c r="J61" i="45" s="1"/>
  <c r="F26" i="15" a="1"/>
  <c r="F26" i="15" s="1"/>
  <c r="H94" i="55" a="1"/>
  <c r="H94" i="55" s="1"/>
  <c r="E21" i="12" a="1"/>
  <c r="E21" i="12" s="1"/>
  <c r="J27" i="62" a="1"/>
  <c r="J27" i="62" s="1"/>
  <c r="H65" i="55" a="1"/>
  <c r="H65" i="55" s="1"/>
  <c r="L65" i="55" s="1"/>
  <c r="H53" i="55" a="1"/>
  <c r="H53" i="55" s="1"/>
  <c r="L53" i="55" s="1"/>
  <c r="H39" i="55" a="1"/>
  <c r="H39" i="55" s="1"/>
  <c r="L39" i="55" s="1"/>
  <c r="F19" i="12" a="1"/>
  <c r="F19" i="12" s="1"/>
  <c r="E26" i="12" a="1"/>
  <c r="E26" i="12" s="1"/>
  <c r="E38" i="12" a="1"/>
  <c r="E38" i="12" s="1"/>
  <c r="J18" i="45" a="1"/>
  <c r="J18" i="45" s="1"/>
  <c r="L25" i="45" a="1"/>
  <c r="L25" i="45" s="1"/>
  <c r="L92" i="45" a="1"/>
  <c r="L92" i="45" s="1"/>
  <c r="J16" i="45" a="1"/>
  <c r="J16" i="45" s="1"/>
  <c r="J57" i="45" a="1"/>
  <c r="J57" i="45" s="1"/>
  <c r="F43" i="12" a="1"/>
  <c r="F43" i="12" s="1"/>
  <c r="J67" i="45" a="1"/>
  <c r="J67" i="45" s="1"/>
  <c r="E33" i="12" a="1"/>
  <c r="E33" i="12" s="1"/>
  <c r="J82" i="45" a="1"/>
  <c r="J82" i="45" s="1"/>
  <c r="J18" i="62" a="1"/>
  <c r="J18" i="62" s="1"/>
  <c r="L73" i="45" a="1"/>
  <c r="L73" i="45" s="1"/>
  <c r="F23" i="12" a="1"/>
  <c r="F23" i="12" s="1"/>
  <c r="E36" i="12" a="1"/>
  <c r="E36" i="12" s="1"/>
  <c r="L85" i="45" a="1"/>
  <c r="L85" i="45" s="1"/>
  <c r="E17" i="15" a="1"/>
  <c r="E17" i="15" s="1"/>
  <c r="F28" i="15" a="1"/>
  <c r="F28" i="15" s="1"/>
  <c r="J62" i="45" a="1"/>
  <c r="J62" i="45" s="1"/>
  <c r="L83" i="45" a="1"/>
  <c r="L83" i="45" s="1"/>
  <c r="F28" i="12" a="1"/>
  <c r="F28" i="12" s="1"/>
  <c r="F16" i="12" a="1"/>
  <c r="F16" i="12" s="1"/>
  <c r="L50" i="45" a="1"/>
  <c r="L50" i="45" s="1"/>
  <c r="J69" i="45" a="1"/>
  <c r="J69" i="45" s="1"/>
  <c r="J47" i="45" a="1"/>
  <c r="J47" i="45" s="1"/>
  <c r="H8" i="62" a="1"/>
  <c r="H8" i="62" s="1"/>
  <c r="H24" i="55" a="1"/>
  <c r="H24" i="55" s="1"/>
  <c r="L24" i="55" s="1"/>
  <c r="F67" i="12" a="1"/>
  <c r="F67" i="12" s="1"/>
  <c r="L68" i="45" a="1"/>
  <c r="L68" i="45" s="1"/>
  <c r="J87" i="45" a="1"/>
  <c r="J87" i="45" s="1"/>
  <c r="J22" i="45" a="1"/>
  <c r="J22" i="45" s="1"/>
  <c r="H15" i="62" a="1"/>
  <c r="H15" i="62" s="1"/>
  <c r="J16" i="62" a="1"/>
  <c r="J16" i="62" s="1"/>
  <c r="J7" i="62" a="1"/>
  <c r="J7" i="62" s="1"/>
  <c r="F47" i="12" a="1"/>
  <c r="F47" i="12" s="1"/>
  <c r="L38" i="45" a="1"/>
  <c r="L38" i="45" s="1"/>
  <c r="F74" i="12" a="1"/>
  <c r="F74" i="12" s="1"/>
  <c r="E29" i="12" a="1"/>
  <c r="E29" i="12" s="1"/>
  <c r="H47" i="55" a="1"/>
  <c r="H47" i="55" s="1"/>
  <c r="L47" i="55" s="1"/>
  <c r="J24" i="62" a="1"/>
  <c r="J24" i="62" s="1"/>
  <c r="F70" i="12" a="1"/>
  <c r="F70" i="12" s="1"/>
  <c r="L64" i="45" a="1"/>
  <c r="L64" i="45" s="1"/>
  <c r="F48" i="12" a="1"/>
  <c r="F48" i="12" s="1"/>
  <c r="H38" i="55" a="1"/>
  <c r="H38" i="55" s="1"/>
  <c r="E8" i="12" a="1"/>
  <c r="E8" i="12" s="1"/>
  <c r="E13" i="12" a="1"/>
  <c r="E13" i="12" s="1"/>
  <c r="E77" i="15" a="1"/>
  <c r="E77" i="15" s="1"/>
  <c r="I77" i="15" s="1"/>
  <c r="H29" i="55" a="1"/>
  <c r="H29" i="55" s="1"/>
  <c r="H58" i="55" a="1"/>
  <c r="H58" i="55" s="1"/>
  <c r="F40" i="15" a="1"/>
  <c r="F40" i="15" s="1"/>
  <c r="J59" i="45" a="1"/>
  <c r="J59" i="45" s="1"/>
  <c r="F13" i="15" a="1"/>
  <c r="F13" i="15" s="1"/>
  <c r="L36" i="45" a="1"/>
  <c r="L36" i="45" s="1"/>
  <c r="L86" i="45" a="1"/>
  <c r="L86" i="45" s="1"/>
  <c r="J49" i="45" a="1"/>
  <c r="J49" i="45" s="1"/>
  <c r="L58" i="45" a="1"/>
  <c r="L58" i="45" s="1"/>
  <c r="J12" i="45" a="1"/>
  <c r="J12" i="45" s="1"/>
  <c r="H10" i="62" a="1"/>
  <c r="H10" i="62" s="1"/>
  <c r="J13" i="45" a="1"/>
  <c r="J13" i="45" s="1"/>
  <c r="L74" i="45" a="1"/>
  <c r="L74" i="45" s="1"/>
  <c r="J13" i="62" a="1"/>
  <c r="J13" i="62" s="1"/>
  <c r="H109" i="55" a="1"/>
  <c r="H109" i="55" s="1"/>
  <c r="H86" i="55" a="1"/>
  <c r="H86" i="55" s="1"/>
  <c r="L86" i="55" s="1"/>
  <c r="H36" i="55" a="1"/>
  <c r="H36" i="55" s="1"/>
  <c r="L36" i="55" s="1"/>
  <c r="H37" i="55" a="1"/>
  <c r="H37" i="55" s="1"/>
  <c r="L37" i="55" s="1"/>
  <c r="E45" i="12" a="1"/>
  <c r="E45" i="12" s="1"/>
  <c r="H42" i="55" a="1"/>
  <c r="H42" i="55" s="1"/>
  <c r="L42" i="55" s="1"/>
  <c r="F30" i="12" a="1"/>
  <c r="F30" i="12" s="1"/>
  <c r="H84" i="55" a="1"/>
  <c r="H84" i="55" s="1"/>
  <c r="F24" i="15" a="1"/>
  <c r="F24" i="15" s="1"/>
  <c r="H16" i="62" a="1"/>
  <c r="H16" i="62" s="1"/>
  <c r="H105" i="55" a="1"/>
  <c r="H105" i="55" s="1"/>
  <c r="L7" i="45" a="1"/>
  <c r="L7" i="45" s="1"/>
  <c r="J75" i="45" a="1"/>
  <c r="J75" i="45" s="1"/>
  <c r="H67" i="55" a="1"/>
  <c r="H67" i="55" s="1"/>
  <c r="J76" i="45" a="1"/>
  <c r="J76" i="45" s="1"/>
  <c r="J14" i="62" a="1"/>
  <c r="J14" i="62" s="1"/>
  <c r="J17" i="62" a="1"/>
  <c r="J17" i="62" s="1"/>
  <c r="F9" i="12" a="1"/>
  <c r="F9" i="12" s="1"/>
  <c r="J91" i="45" a="1"/>
  <c r="J91" i="45" s="1"/>
  <c r="E75" i="12" a="1"/>
  <c r="E75" i="12" s="1"/>
  <c r="L10" i="45" a="1"/>
  <c r="L10" i="45" s="1"/>
  <c r="J72" i="45" a="1"/>
  <c r="J72" i="45" s="1"/>
  <c r="N72" i="45" s="1"/>
  <c r="J88" i="45" a="1"/>
  <c r="J88" i="45" s="1"/>
  <c r="H96" i="55" a="1"/>
  <c r="H96" i="55" s="1"/>
  <c r="L96" i="55" s="1"/>
  <c r="H34" i="55" a="1"/>
  <c r="H34" i="55" s="1"/>
  <c r="E7" i="12" a="1"/>
  <c r="E7" i="12" s="1"/>
  <c r="J30" i="45" a="1"/>
  <c r="J30" i="45" s="1"/>
  <c r="J94" i="45" a="1"/>
  <c r="J94" i="45" s="1"/>
  <c r="E56" i="15" a="1"/>
  <c r="E56" i="15" s="1"/>
  <c r="F35" i="15" a="1"/>
  <c r="F35" i="15" s="1"/>
  <c r="J8" i="45" a="1"/>
  <c r="J8" i="45" s="1"/>
  <c r="E51" i="12" a="1"/>
  <c r="E51" i="12" s="1"/>
  <c r="J20" i="62" a="1"/>
  <c r="J20" i="62" s="1"/>
  <c r="J7" i="45" a="1"/>
  <c r="J7" i="45" s="1"/>
  <c r="H66" i="55" a="1"/>
  <c r="H66" i="55" s="1"/>
  <c r="L51" i="45" a="1"/>
  <c r="L51" i="45" s="1"/>
  <c r="J93" i="45" a="1"/>
  <c r="J93" i="45" s="1"/>
  <c r="J45" i="45" a="1"/>
  <c r="J45" i="45" s="1"/>
  <c r="E71" i="12" a="1"/>
  <c r="E71" i="12" s="1"/>
  <c r="F40" i="12" a="1"/>
  <c r="F40" i="12" s="1"/>
  <c r="F45" i="15" a="1"/>
  <c r="F45" i="15" s="1"/>
  <c r="H20" i="62" a="1"/>
  <c r="H20" i="62" s="1"/>
  <c r="J12" i="62" a="1"/>
  <c r="J12" i="62" s="1"/>
  <c r="J21" i="62" a="1"/>
  <c r="J21" i="62" s="1"/>
  <c r="L65" i="45" a="1"/>
  <c r="L65" i="45" s="1"/>
  <c r="P65" i="45" s="1"/>
  <c r="J19" i="45" a="1"/>
  <c r="J19" i="45" s="1"/>
  <c r="F14" i="12" a="1"/>
  <c r="F14" i="12" s="1"/>
  <c r="F31" i="12" a="1"/>
  <c r="F31" i="12" s="1"/>
  <c r="E72" i="15" a="1"/>
  <c r="E72" i="15" s="1"/>
  <c r="I72" i="15" s="1"/>
  <c r="J14" i="45" a="1"/>
  <c r="J14" i="45" s="1"/>
  <c r="F24" i="12" a="1"/>
  <c r="F24" i="12" s="1"/>
  <c r="H110" i="55" a="1"/>
  <c r="H110" i="55" s="1"/>
  <c r="H83" i="55" a="1"/>
  <c r="H83" i="55" s="1"/>
  <c r="H60" i="55" a="1"/>
  <c r="H60" i="55" s="1"/>
  <c r="H13" i="62" a="1"/>
  <c r="H13" i="62" s="1"/>
  <c r="L78" i="45" a="1"/>
  <c r="L78" i="45" s="1"/>
  <c r="P78" i="45" s="1"/>
  <c r="H46" i="55" a="1"/>
  <c r="H46" i="55" s="1"/>
  <c r="L46" i="55" s="1"/>
  <c r="H27" i="55" a="1"/>
  <c r="H27" i="55" s="1"/>
  <c r="L27" i="55" s="1"/>
  <c r="L84" i="45" a="1"/>
  <c r="L84" i="45" s="1"/>
  <c r="F56" i="15" a="1"/>
  <c r="F56" i="15" s="1"/>
  <c r="F57" i="15" a="1"/>
  <c r="F57" i="15" s="1"/>
  <c r="H57" i="15" s="1"/>
  <c r="H7" i="62" a="1"/>
  <c r="H7" i="62" s="1"/>
  <c r="L7" i="62" s="1"/>
  <c r="F10" i="12" a="1"/>
  <c r="F10" i="12" s="1"/>
  <c r="H10" i="12" s="1"/>
  <c r="F35" i="12" a="1"/>
  <c r="F35" i="12" s="1"/>
  <c r="H57" i="55" a="1"/>
  <c r="H57" i="55" s="1"/>
  <c r="L57" i="55" s="1"/>
  <c r="H21" i="62" a="1"/>
  <c r="H21" i="62" s="1"/>
  <c r="H28" i="55" a="1"/>
  <c r="H28" i="55" s="1"/>
  <c r="F75" i="12" a="1"/>
  <c r="F75" i="12" s="1"/>
  <c r="E50" i="12" a="1"/>
  <c r="E50" i="12" s="1"/>
  <c r="F5" i="12" a="1"/>
  <c r="F5" i="12" s="1"/>
  <c r="H29" i="62" a="1"/>
  <c r="H29" i="62" s="1"/>
  <c r="F68" i="12" a="1"/>
  <c r="F68" i="12" s="1"/>
  <c r="F7" i="12" a="1"/>
  <c r="F7" i="12" s="1"/>
  <c r="H79" i="55" a="1"/>
  <c r="H79" i="55" s="1"/>
  <c r="L79" i="55" s="1"/>
  <c r="J48" i="45" a="1"/>
  <c r="J48" i="45" s="1"/>
  <c r="J43" i="45" a="1"/>
  <c r="J43" i="45" s="1"/>
  <c r="E53" i="12" a="1"/>
  <c r="E53" i="12" s="1"/>
  <c r="H18" i="55" a="1"/>
  <c r="H18" i="55" s="1"/>
  <c r="L18" i="55" s="1"/>
  <c r="H20" i="55" a="1"/>
  <c r="H20" i="55" s="1"/>
  <c r="L20" i="55" s="1"/>
  <c r="J77" i="45" a="1"/>
  <c r="J77" i="45" s="1"/>
  <c r="F44" i="15" a="1"/>
  <c r="F44" i="15" s="1"/>
  <c r="J10" i="45" a="1"/>
  <c r="J10" i="45" s="1"/>
  <c r="N10" i="45" s="1"/>
  <c r="E24" i="12" a="1"/>
  <c r="E24" i="12" s="1"/>
  <c r="E76" i="15" a="1"/>
  <c r="E76" i="15" s="1"/>
  <c r="I76" i="15" s="1"/>
  <c r="H33" i="55" a="1"/>
  <c r="H33" i="55" s="1"/>
  <c r="L33" i="55" s="1"/>
  <c r="H54" i="55" a="1"/>
  <c r="H54" i="55" s="1"/>
  <c r="H82" i="55" a="1"/>
  <c r="H82" i="55" s="1"/>
  <c r="L82" i="55" s="1"/>
  <c r="L22" i="45" a="1"/>
  <c r="L22" i="45" s="1"/>
  <c r="F31" i="15" a="1"/>
  <c r="F31" i="15" s="1"/>
  <c r="F13" i="12" a="1"/>
  <c r="F13" i="12" s="1"/>
  <c r="E74" i="12" a="1"/>
  <c r="E74" i="12" s="1"/>
  <c r="L28" i="45" a="1"/>
  <c r="L28" i="45" s="1"/>
  <c r="L62" i="45" a="1"/>
  <c r="L62" i="45" s="1"/>
  <c r="J83" i="45" a="1"/>
  <c r="J83" i="45" s="1"/>
  <c r="E31" i="12" a="1"/>
  <c r="E31" i="12" s="1"/>
  <c r="F53" i="12" a="1"/>
  <c r="F53" i="12" s="1"/>
  <c r="F36" i="12" a="1"/>
  <c r="F36" i="12" s="1"/>
  <c r="E26" i="15" a="1"/>
  <c r="E26" i="15" s="1"/>
  <c r="G26" i="15" s="1"/>
  <c r="H41" i="55" a="1"/>
  <c r="H41" i="55" s="1"/>
  <c r="L55" i="45" a="1"/>
  <c r="L55" i="45" s="1"/>
  <c r="E65" i="15" a="1"/>
  <c r="E65" i="15" s="1"/>
  <c r="I65" i="15" s="1"/>
  <c r="E31" i="15" a="1"/>
  <c r="E31" i="15" s="1"/>
  <c r="H9" i="62" a="1"/>
  <c r="H9" i="62" s="1"/>
  <c r="F42" i="15" a="1"/>
  <c r="F42" i="15" s="1"/>
  <c r="E18" i="12" a="1"/>
  <c r="E18" i="12" s="1"/>
  <c r="H23" i="62" a="1"/>
  <c r="H23" i="62" s="1"/>
  <c r="J31" i="45" a="1"/>
  <c r="J31" i="45" s="1"/>
  <c r="E74" i="15" a="1"/>
  <c r="E74" i="15" s="1"/>
  <c r="I74" i="15" s="1"/>
  <c r="L41" i="45" a="1"/>
  <c r="L41" i="45" s="1"/>
  <c r="E5" i="12" a="1"/>
  <c r="E5" i="12" s="1"/>
  <c r="E14" i="12" a="1"/>
  <c r="E14" i="12" s="1"/>
  <c r="J92" i="45" a="1"/>
  <c r="J92" i="45" s="1"/>
  <c r="N92" i="45" s="1"/>
  <c r="L46" i="45" a="1"/>
  <c r="L46" i="45" s="1"/>
  <c r="E73" i="15" a="1"/>
  <c r="E73" i="15" s="1"/>
  <c r="I73" i="15" s="1"/>
  <c r="E75" i="15" a="1"/>
  <c r="E75" i="15" s="1"/>
  <c r="J52" i="45" a="1"/>
  <c r="J52" i="45" s="1"/>
  <c r="L15" i="45" a="1"/>
  <c r="L15" i="45" s="1"/>
  <c r="P15" i="45" s="1"/>
  <c r="L71" i="45" a="1"/>
  <c r="L71" i="45" s="1"/>
  <c r="P71" i="45" s="1"/>
  <c r="H31" i="55" a="1"/>
  <c r="H31" i="55" s="1"/>
  <c r="L66" i="45" a="1"/>
  <c r="L66" i="45" s="1"/>
  <c r="P66" i="45" s="1"/>
  <c r="H89" i="55" a="1"/>
  <c r="H89" i="55" s="1"/>
  <c r="L89" i="55" s="1"/>
  <c r="L31" i="45" a="1"/>
  <c r="L31" i="45" s="1"/>
  <c r="H22" i="55" a="1"/>
  <c r="H22" i="55" s="1"/>
  <c r="L22" i="55" s="1"/>
  <c r="F36" i="15" a="1"/>
  <c r="F36" i="15" s="1"/>
  <c r="J41" i="45" a="1"/>
  <c r="J41" i="45" s="1"/>
  <c r="J55" i="45" a="1"/>
  <c r="J55" i="45" s="1"/>
  <c r="F15" i="15" a="1"/>
  <c r="F15" i="15" s="1"/>
  <c r="H43" i="55" a="1"/>
  <c r="H43" i="55" s="1"/>
  <c r="L43" i="55" s="1"/>
  <c r="F41" i="12" a="1"/>
  <c r="F41" i="12" s="1"/>
  <c r="J11" i="62" a="1"/>
  <c r="J11" i="62" s="1"/>
  <c r="N11" i="62" s="1"/>
  <c r="F54" i="12" a="1"/>
  <c r="F54" i="12" s="1"/>
  <c r="L87" i="45" a="1"/>
  <c r="L87" i="45" s="1"/>
  <c r="P87" i="45" s="1"/>
  <c r="H16" i="55" a="1"/>
  <c r="H16" i="55" s="1"/>
  <c r="L16" i="55" s="1"/>
  <c r="E15" i="12" a="1"/>
  <c r="E15" i="12" s="1"/>
  <c r="G15" i="12" s="1"/>
  <c r="E39" i="12" a="1"/>
  <c r="E39" i="12" s="1"/>
  <c r="H19" i="55" a="1"/>
  <c r="H19" i="55" s="1"/>
  <c r="L19" i="55" s="1"/>
  <c r="E33" i="15" a="1"/>
  <c r="E33" i="15" s="1"/>
  <c r="F17" i="15" a="1"/>
  <c r="F17" i="15" s="1"/>
  <c r="E41" i="12" a="1"/>
  <c r="E41" i="12" s="1"/>
  <c r="H21" i="55" a="1"/>
  <c r="H21" i="55" s="1"/>
  <c r="L21" i="55" s="1"/>
  <c r="F11" i="12" a="1"/>
  <c r="F11" i="12" s="1"/>
  <c r="H11" i="12" s="1"/>
  <c r="L24" i="45" a="1"/>
  <c r="L24" i="45" s="1"/>
  <c r="H63" i="55" a="1"/>
  <c r="H63" i="55" s="1"/>
  <c r="L63" i="55" s="1"/>
  <c r="E44" i="12" a="1"/>
  <c r="E44" i="12" s="1"/>
  <c r="L94" i="45" a="1"/>
  <c r="L94" i="45" s="1"/>
  <c r="L93" i="45" a="1"/>
  <c r="L93" i="45" s="1"/>
  <c r="P93" i="45" s="1"/>
  <c r="J33" i="45" a="1"/>
  <c r="J33" i="45" s="1"/>
  <c r="J70" i="45" a="1"/>
  <c r="J70" i="45" s="1"/>
  <c r="F27" i="15" a="1"/>
  <c r="F27" i="15" s="1"/>
  <c r="L20" i="45" a="1"/>
  <c r="L20" i="45" s="1"/>
  <c r="H104" i="55" a="1"/>
  <c r="H104" i="55" s="1"/>
  <c r="L104" i="55" s="1"/>
  <c r="J58" i="45" a="1"/>
  <c r="J58" i="45" s="1"/>
  <c r="N58" i="45" s="1"/>
  <c r="H12" i="55" a="1"/>
  <c r="H12" i="55" s="1"/>
  <c r="L12" i="55" s="1"/>
  <c r="L77" i="45" a="1"/>
  <c r="L77" i="45" s="1"/>
  <c r="F42" i="12" a="1"/>
  <c r="F42" i="12" s="1"/>
  <c r="L53" i="45" a="1"/>
  <c r="L53" i="45" s="1"/>
  <c r="L89" i="45" a="1"/>
  <c r="L89" i="45" s="1"/>
  <c r="F45" i="12" a="1"/>
  <c r="F45" i="12" s="1"/>
  <c r="L81" i="45" a="1"/>
  <c r="L81" i="45" s="1"/>
  <c r="P81" i="45" s="1"/>
  <c r="E18" i="15" a="1"/>
  <c r="E18" i="15" s="1"/>
  <c r="E51" i="15" a="1"/>
  <c r="E51" i="15" s="1"/>
  <c r="F39" i="12" a="1"/>
  <c r="F39" i="12" s="1"/>
  <c r="J24" i="45" a="1"/>
  <c r="J24" i="45" s="1"/>
  <c r="E76" i="12" a="1"/>
  <c r="E76" i="12" s="1"/>
  <c r="H22" i="62" a="1"/>
  <c r="H22" i="62" s="1"/>
  <c r="E78" i="15" a="1"/>
  <c r="E78" i="15" s="1"/>
  <c r="I78" i="15" s="1"/>
  <c r="L27" i="45" a="1"/>
  <c r="L27" i="45" s="1"/>
  <c r="J21" i="45" a="1"/>
  <c r="J21" i="45" s="1"/>
  <c r="N21" i="45" s="1"/>
  <c r="J46" i="45" a="1"/>
  <c r="J46" i="45" s="1"/>
  <c r="E36" i="15" a="1"/>
  <c r="E36" i="15" s="1"/>
  <c r="H30" i="55" a="1"/>
  <c r="H30" i="55" s="1"/>
  <c r="L30" i="55" s="1"/>
  <c r="H98" i="55" a="1"/>
  <c r="H98" i="55" s="1"/>
  <c r="L98" i="55" s="1"/>
  <c r="H35" i="55" a="1"/>
  <c r="H35" i="55" s="1"/>
  <c r="L35" i="55" s="1"/>
  <c r="E46" i="12" a="1"/>
  <c r="E46" i="12" s="1"/>
  <c r="J15" i="62" a="1"/>
  <c r="J15" i="62" s="1"/>
  <c r="N15" i="62" s="1"/>
  <c r="F25" i="12" a="1"/>
  <c r="F25" i="12" s="1"/>
  <c r="J27" i="45" a="1"/>
  <c r="J27" i="45" s="1"/>
  <c r="H61" i="55" a="1"/>
  <c r="H61" i="55" s="1"/>
  <c r="L67" i="45" a="1"/>
  <c r="L67" i="45" s="1"/>
  <c r="P67" i="45" s="1"/>
  <c r="F62" i="15" a="1"/>
  <c r="F62" i="15" s="1"/>
  <c r="E46" i="15" a="1"/>
  <c r="E46" i="15" s="1"/>
  <c r="F21" i="12" a="1"/>
  <c r="F21" i="12" s="1"/>
  <c r="J56" i="45" a="1"/>
  <c r="J56" i="45" s="1"/>
  <c r="N56" i="45" s="1"/>
  <c r="H101" i="55" a="1"/>
  <c r="H101" i="55" s="1"/>
  <c r="L101" i="55" s="1"/>
  <c r="E42" i="12" a="1"/>
  <c r="E42" i="12" s="1"/>
  <c r="J79" i="45" a="1"/>
  <c r="J79" i="45" s="1"/>
  <c r="F38" i="12" a="1"/>
  <c r="F38" i="12" s="1"/>
  <c r="H38" i="12" s="1"/>
  <c r="L40" i="45" a="1"/>
  <c r="L40" i="45" s="1"/>
  <c r="L57" i="45" a="1"/>
  <c r="L57" i="45" s="1"/>
  <c r="L44" i="45" a="1"/>
  <c r="L44" i="45" s="1"/>
  <c r="P44" i="45" s="1"/>
  <c r="J53" i="45" a="1"/>
  <c r="J53" i="45" s="1"/>
  <c r="L6" i="45" a="1"/>
  <c r="L6" i="45" s="1"/>
  <c r="H59" i="55" a="1"/>
  <c r="H59" i="55" s="1"/>
  <c r="L59" i="55" s="1"/>
  <c r="E16" i="12" a="1"/>
  <c r="E16" i="12" s="1"/>
  <c r="G16" i="12" s="1"/>
  <c r="F29" i="12" a="1"/>
  <c r="F29" i="12" s="1"/>
  <c r="H29" i="12" s="1"/>
  <c r="E43" i="12" a="1"/>
  <c r="E43" i="12" s="1"/>
  <c r="G43" i="12" s="1"/>
  <c r="H15" i="55" a="1"/>
  <c r="H15" i="55" s="1"/>
  <c r="L15" i="55" s="1"/>
  <c r="E24" i="15" a="1"/>
  <c r="E24" i="15" s="1"/>
  <c r="L61" i="45" a="1"/>
  <c r="L61" i="45" s="1"/>
  <c r="P61" i="45" s="1"/>
  <c r="F22" i="15" a="1"/>
  <c r="F22" i="15" s="1"/>
  <c r="H22" i="15" s="1"/>
  <c r="J40" i="45" a="1"/>
  <c r="J40" i="45" s="1"/>
  <c r="F17" i="12" a="1"/>
  <c r="F17" i="12" s="1"/>
  <c r="L70" i="45" a="1"/>
  <c r="L70" i="45" s="1"/>
  <c r="H44" i="55" a="1"/>
  <c r="H44" i="55" s="1"/>
  <c r="L44" i="55" s="1"/>
  <c r="J6" i="62" a="1"/>
  <c r="J6" i="62" s="1"/>
  <c r="N6" i="62" s="1"/>
  <c r="E15" i="15" a="1"/>
  <c r="E15" i="15" s="1"/>
  <c r="E12" i="12" a="1"/>
  <c r="E12" i="12" s="1"/>
  <c r="F26" i="12" a="1"/>
  <c r="F26" i="12" s="1"/>
  <c r="H26" i="12" s="1"/>
  <c r="E19" i="12" a="1"/>
  <c r="E19" i="12" s="1"/>
  <c r="G19" i="12" s="1"/>
  <c r="J90" i="45" a="1"/>
  <c r="J90" i="45" s="1"/>
  <c r="L52" i="45" a="1"/>
  <c r="L52" i="45" s="1"/>
  <c r="E9" i="12" a="1"/>
  <c r="E9" i="12" s="1"/>
  <c r="L37" i="45" a="1"/>
  <c r="L37" i="45" s="1"/>
  <c r="J50" i="45" a="1"/>
  <c r="J50" i="45" s="1"/>
  <c r="N50" i="45" s="1"/>
  <c r="J74" i="45" a="1"/>
  <c r="J74" i="45" s="1"/>
  <c r="N74" i="45" s="1"/>
  <c r="H80" i="55" a="1"/>
  <c r="H80" i="55" s="1"/>
  <c r="L80" i="55" s="1"/>
  <c r="F46" i="15" a="1"/>
  <c r="F46" i="15" s="1"/>
  <c r="J42" i="45" a="1"/>
  <c r="J42" i="45" s="1"/>
  <c r="N42" i="45" s="1"/>
  <c r="F12" i="15" a="1"/>
  <c r="F12" i="15" s="1"/>
  <c r="F8" i="12" a="1"/>
  <c r="F8" i="12" s="1"/>
  <c r="H8" i="12" s="1"/>
  <c r="J23" i="62" a="1"/>
  <c r="J23" i="62" s="1"/>
  <c r="E13" i="15" a="1"/>
  <c r="E13" i="15" s="1"/>
  <c r="G13" i="15" s="1"/>
  <c r="J28" i="62" a="1"/>
  <c r="J28" i="62" s="1"/>
  <c r="N28" i="62" s="1"/>
  <c r="E28" i="15" a="1"/>
  <c r="E28" i="15" s="1"/>
  <c r="G28" i="15" s="1"/>
  <c r="J32" i="45" a="1"/>
  <c r="J32" i="45" s="1"/>
  <c r="H55" i="55" a="1"/>
  <c r="H55" i="55" s="1"/>
  <c r="L55" i="55" s="1"/>
  <c r="F18" i="12" a="1"/>
  <c r="F18" i="12" s="1"/>
  <c r="L23" i="45" a="1"/>
  <c r="L23" i="45" s="1"/>
  <c r="H68" i="55" a="1"/>
  <c r="H68" i="55" s="1"/>
  <c r="J36" i="45" a="1"/>
  <c r="J36" i="45" s="1"/>
  <c r="N36" i="45" s="1"/>
  <c r="E77" i="12" a="1"/>
  <c r="E77" i="12" s="1"/>
  <c r="G77" i="12" s="1"/>
  <c r="L11" i="45" a="1"/>
  <c r="L11" i="45" s="1"/>
  <c r="J23" i="45" a="1"/>
  <c r="J23" i="45" s="1"/>
  <c r="H77" i="55" a="1"/>
  <c r="H77" i="55" s="1"/>
  <c r="L77" i="55" s="1"/>
  <c r="F50" i="12" a="1"/>
  <c r="F50" i="12" s="1"/>
  <c r="H50" i="12" s="1"/>
  <c r="F12" i="12" a="1"/>
  <c r="F12" i="12" s="1"/>
  <c r="J89" i="45" a="1"/>
  <c r="J89" i="45" s="1"/>
  <c r="J51" i="55" a="1"/>
  <c r="J51" i="55" s="1"/>
  <c r="F32" i="12" a="1"/>
  <c r="F32" i="12" s="1"/>
  <c r="H32" i="12" s="1"/>
  <c r="F33" i="15" a="1"/>
  <c r="F33" i="15" s="1"/>
  <c r="J10" i="62" a="1"/>
  <c r="J10" i="62" s="1"/>
  <c r="N10" i="62" s="1"/>
  <c r="E20" i="15" a="1"/>
  <c r="E20" i="15" s="1"/>
  <c r="F53" i="15" a="1"/>
  <c r="F53" i="15" s="1"/>
  <c r="E71" i="15" a="1"/>
  <c r="E71" i="15" s="1"/>
  <c r="I71" i="15" s="1"/>
  <c r="L32" i="45" a="1"/>
  <c r="L32" i="45" s="1"/>
  <c r="P32" i="45" s="1"/>
  <c r="E17" i="12" a="1"/>
  <c r="E17" i="12" s="1"/>
  <c r="L14" i="45" a="1"/>
  <c r="L14" i="45" s="1"/>
  <c r="L8" i="45" a="1"/>
  <c r="L8" i="45" s="1"/>
  <c r="P8" i="45" s="1"/>
  <c r="F64" i="15" a="1"/>
  <c r="F64" i="15" s="1"/>
  <c r="F66" i="15" s="1"/>
  <c r="F67" i="15" s="1"/>
  <c r="L16" i="45" a="1"/>
  <c r="L16" i="45" s="1"/>
  <c r="P16" i="45" s="1"/>
  <c r="F37" i="12" a="1"/>
  <c r="F37" i="12" s="1"/>
  <c r="H37" i="12" s="1"/>
  <c r="E23" i="12" a="1"/>
  <c r="E23" i="12" s="1"/>
  <c r="G23" i="12" s="1"/>
  <c r="H87" i="55" a="1"/>
  <c r="H87" i="55" s="1"/>
  <c r="L87" i="55" s="1"/>
  <c r="H14" i="55" a="1"/>
  <c r="H14" i="55" s="1"/>
  <c r="L14" i="55" s="1"/>
  <c r="J29" i="45" a="1"/>
  <c r="J29" i="45" s="1"/>
  <c r="H17" i="62" a="1"/>
  <c r="H17" i="62" s="1"/>
  <c r="L17" i="62" s="1"/>
  <c r="E30" i="12" a="1"/>
  <c r="E30" i="12" s="1"/>
  <c r="H17" i="55" a="1"/>
  <c r="H17" i="55" s="1"/>
  <c r="L17" i="55" s="1"/>
  <c r="H12" i="62" a="1"/>
  <c r="H12" i="62" s="1"/>
  <c r="L12" i="62" s="1"/>
  <c r="E45" i="15" a="1"/>
  <c r="E45" i="15" s="1"/>
  <c r="J28" i="45" a="1"/>
  <c r="J28" i="45" s="1"/>
  <c r="E40" i="12" a="1"/>
  <c r="E40" i="12" s="1"/>
  <c r="E28" i="12" a="1"/>
  <c r="E28" i="12" s="1"/>
  <c r="G28" i="12" s="1"/>
  <c r="L80" i="45" a="1"/>
  <c r="L80" i="45" s="1"/>
  <c r="P80" i="45" s="1"/>
  <c r="H13" i="55" a="1"/>
  <c r="H13" i="55" s="1"/>
  <c r="L13" i="55" s="1"/>
  <c r="J25" i="45" a="1"/>
  <c r="J25" i="45" s="1"/>
  <c r="N25" i="45" s="1"/>
  <c r="H106" i="55" a="1"/>
  <c r="H106" i="55" s="1"/>
  <c r="F33" i="12" a="1"/>
  <c r="F33" i="12" s="1"/>
  <c r="H33" i="12" s="1"/>
  <c r="H78" i="55" a="1"/>
  <c r="H78" i="55" s="1"/>
  <c r="L78" i="55" s="1"/>
  <c r="H18" i="62" a="1"/>
  <c r="H18" i="62" s="1"/>
  <c r="L18" i="62" s="1"/>
  <c r="E59" i="15" a="1"/>
  <c r="E59" i="15" s="1"/>
  <c r="E30" i="15" a="1"/>
  <c r="E30" i="15" s="1"/>
  <c r="H14" i="62" a="1"/>
  <c r="H14" i="62" s="1"/>
  <c r="L14" i="62" s="1"/>
  <c r="J26" i="62" a="1"/>
  <c r="J26" i="62" s="1"/>
  <c r="J20" i="45" a="1"/>
  <c r="J20" i="45" s="1"/>
  <c r="E12" i="15" a="1"/>
  <c r="E12" i="15" s="1"/>
  <c r="E27" i="12" a="1"/>
  <c r="E27" i="12" s="1"/>
  <c r="H23" i="55" a="1"/>
  <c r="H23" i="55" s="1"/>
  <c r="L23" i="55" s="1"/>
  <c r="J6" i="45" a="1"/>
  <c r="J6" i="45" s="1"/>
  <c r="J11" i="55" a="1"/>
  <c r="J11" i="55" s="1"/>
  <c r="J49" i="55" s="1"/>
  <c r="J50" i="55" s="1"/>
  <c r="L29" i="45" a="1"/>
  <c r="L29" i="45" s="1"/>
  <c r="J76" i="55" a="1"/>
  <c r="J76" i="55" s="1"/>
  <c r="J54" i="45" a="1"/>
  <c r="J54" i="45" s="1"/>
  <c r="N54" i="45" s="1"/>
  <c r="F44" i="12" a="1"/>
  <c r="F44" i="12" s="1"/>
  <c r="H44" i="12" s="1"/>
  <c r="H45" i="55" a="1"/>
  <c r="H45" i="55" s="1"/>
  <c r="L45" i="55" s="1"/>
  <c r="F52" i="15" a="1"/>
  <c r="F52" i="15" s="1"/>
  <c r="H52" i="15" s="1"/>
  <c r="L75" i="45" a="1"/>
  <c r="L75" i="45" s="1"/>
  <c r="P75" i="45" s="1"/>
  <c r="E54" i="12" a="1"/>
  <c r="E54" i="12" s="1"/>
  <c r="F52" i="12" a="1"/>
  <c r="F52" i="12" s="1"/>
  <c r="L49" i="45" a="1"/>
  <c r="L49" i="45" s="1"/>
  <c r="P49" i="45" s="1"/>
  <c r="F61" i="15" a="1"/>
  <c r="F61" i="15" s="1"/>
  <c r="H85" i="55" a="1"/>
  <c r="H85" i="55" s="1"/>
  <c r="L85" i="55" s="1"/>
  <c r="L82" i="45" a="1"/>
  <c r="L82" i="45" s="1"/>
  <c r="H26" i="62" a="1"/>
  <c r="H26" i="62" s="1"/>
  <c r="L13" i="45" a="1"/>
  <c r="L13" i="45" s="1"/>
  <c r="F6" i="12" a="1"/>
  <c r="F6" i="12" s="1"/>
  <c r="H6" i="12" s="1"/>
  <c r="J8" i="62" a="1"/>
  <c r="J8" i="62" s="1"/>
  <c r="N8" i="62" s="1"/>
  <c r="H93" i="55" a="1"/>
  <c r="H93" i="55" s="1"/>
  <c r="L93" i="55" s="1"/>
  <c r="E62" i="15" a="1"/>
  <c r="E62" i="15" s="1"/>
  <c r="F38" i="15" a="1"/>
  <c r="F38" i="15" s="1"/>
  <c r="L69" i="45" a="1"/>
  <c r="L69" i="45" s="1"/>
  <c r="P69" i="45" s="1"/>
  <c r="F22" i="12" a="1"/>
  <c r="F22" i="12" s="1"/>
  <c r="H22" i="12" s="1"/>
  <c r="E41" i="15" a="1"/>
  <c r="E41" i="15" s="1"/>
  <c r="H102" i="55" a="1"/>
  <c r="H102" i="55" s="1"/>
  <c r="L102" i="55" s="1"/>
  <c r="J86" i="45" a="1"/>
  <c r="J86" i="45" s="1"/>
  <c r="N86" i="45" s="1"/>
  <c r="J38" i="45" a="1"/>
  <c r="J38" i="45" s="1"/>
  <c r="N38" i="45" s="1"/>
  <c r="E25" i="12" a="1"/>
  <c r="E25" i="12" s="1"/>
  <c r="H95" i="55" a="1"/>
  <c r="H95" i="55" s="1"/>
  <c r="L95" i="55" s="1"/>
  <c r="H92" i="55" a="1"/>
  <c r="H92" i="55" s="1"/>
  <c r="L92" i="55" s="1"/>
  <c r="E70" i="12" a="1"/>
  <c r="E70" i="12" s="1"/>
  <c r="G70" i="12" s="1"/>
  <c r="J11" i="45" a="1"/>
  <c r="J11" i="45" s="1"/>
  <c r="J73" i="45" a="1"/>
  <c r="J73" i="45" s="1"/>
  <c r="N73" i="45" s="1"/>
  <c r="J22" i="62" a="1"/>
  <c r="J22" i="62" s="1"/>
  <c r="N22" i="62" s="1"/>
  <c r="E20" i="12" a="1"/>
  <c r="E20" i="12" s="1"/>
  <c r="G20" i="12" s="1"/>
  <c r="L47" i="45" a="1"/>
  <c r="L47" i="45" s="1"/>
  <c r="P47" i="45" s="1"/>
  <c r="H26" i="55" a="1"/>
  <c r="H26" i="55" s="1"/>
  <c r="L26" i="55" s="1"/>
  <c r="J60" i="45" a="1"/>
  <c r="J60" i="45" s="1"/>
  <c r="N60" i="45" s="1"/>
  <c r="J64" i="45" a="1"/>
  <c r="J64" i="45" s="1"/>
  <c r="N64" i="45" s="1"/>
  <c r="F71" i="12" a="1"/>
  <c r="F71" i="12" s="1"/>
  <c r="H71" i="12" s="1"/>
  <c r="E52" i="12" a="1"/>
  <c r="E52" i="12" s="1"/>
  <c r="E67" i="12" a="1"/>
  <c r="E67" i="12" s="1"/>
  <c r="G67" i="12" s="1"/>
  <c r="L59" i="45" a="1"/>
  <c r="L59" i="45" s="1"/>
  <c r="P59" i="45" s="1"/>
  <c r="E23" i="15" a="1"/>
  <c r="E23" i="15" s="1"/>
  <c r="F29" i="15" a="1"/>
  <c r="F29" i="15" s="1"/>
  <c r="E69" i="15" a="1"/>
  <c r="E69" i="15" s="1"/>
  <c r="J34" i="45" a="1"/>
  <c r="J34" i="45" s="1"/>
  <c r="N34" i="45" s="1"/>
  <c r="L35" i="45" a="1"/>
  <c r="L35" i="45" s="1"/>
  <c r="P35" i="45" s="1"/>
  <c r="L43" i="45" a="1"/>
  <c r="L43" i="45" s="1"/>
  <c r="P43" i="45" s="1"/>
  <c r="E49" i="15" a="1"/>
  <c r="E49" i="15" s="1"/>
  <c r="F76" i="12" a="1"/>
  <c r="F76" i="12" s="1"/>
  <c r="H76" i="12" s="1"/>
  <c r="F49" i="15" a="1"/>
  <c r="F49" i="15" s="1"/>
  <c r="F10" i="15" a="1"/>
  <c r="F10" i="15" s="1"/>
  <c r="L5" i="45" a="1"/>
  <c r="L5" i="45" s="1"/>
  <c r="J68" i="45" a="1"/>
  <c r="J68" i="45" s="1"/>
  <c r="N68" i="45" s="1"/>
  <c r="L18" i="45" a="1"/>
  <c r="L18" i="45" s="1"/>
  <c r="H88" i="55" a="1"/>
  <c r="H88" i="55" s="1"/>
  <c r="L88" i="55" s="1"/>
  <c r="E38" i="15" a="1"/>
  <c r="E38" i="15" s="1"/>
  <c r="E10" i="15" a="1"/>
  <c r="E10" i="15" s="1"/>
  <c r="E47" i="12" a="1"/>
  <c r="E47" i="12" s="1"/>
  <c r="G47" i="12" s="1"/>
  <c r="L48" i="45" a="1"/>
  <c r="L48" i="45" s="1"/>
  <c r="P48" i="45" s="1"/>
  <c r="E72" i="12" a="1"/>
  <c r="E72" i="12" s="1"/>
  <c r="G72" i="12" s="1"/>
  <c r="J51" i="45" a="1"/>
  <c r="J51" i="45" s="1"/>
  <c r="N51" i="45" s="1"/>
  <c r="E27" i="15" a="1"/>
  <c r="E27" i="15" s="1"/>
  <c r="G27" i="15" s="1"/>
  <c r="J39" i="45" a="1"/>
  <c r="J39" i="45" s="1"/>
  <c r="F46" i="12" a="1"/>
  <c r="F46" i="12" s="1"/>
  <c r="J29" i="62" a="1"/>
  <c r="J29" i="62" s="1"/>
  <c r="N29" i="62" s="1"/>
  <c r="H69" i="55" a="1"/>
  <c r="H69" i="55" s="1"/>
  <c r="L69" i="55" s="1"/>
  <c r="H97" i="55" a="1"/>
  <c r="H97" i="55" s="1"/>
  <c r="L97" i="55" s="1"/>
  <c r="E61" i="15" a="1"/>
  <c r="E61" i="15" s="1"/>
  <c r="F30" i="15" a="1"/>
  <c r="F30" i="15" s="1"/>
  <c r="H30" i="15" s="1"/>
  <c r="J63" i="45" a="1"/>
  <c r="J63" i="45" s="1"/>
  <c r="N63" i="45" s="1"/>
  <c r="H56" i="55" a="1"/>
  <c r="H56" i="55" s="1"/>
  <c r="J85" i="45" a="1"/>
  <c r="J85" i="45" s="1"/>
  <c r="N85" i="45" s="1"/>
  <c r="E40" i="15" a="1"/>
  <c r="E40" i="15" s="1"/>
  <c r="G40" i="15" s="1"/>
  <c r="F23" i="15" a="1"/>
  <c r="F23" i="15" s="1"/>
  <c r="L90" i="45" a="1"/>
  <c r="L90" i="45" s="1"/>
  <c r="F73" i="12" a="1"/>
  <c r="F73" i="12" s="1"/>
  <c r="H73" i="12" s="1"/>
  <c r="L79" i="45" a="1"/>
  <c r="L79" i="45" s="1"/>
  <c r="P79" i="45" s="1"/>
  <c r="J19" i="62" a="1"/>
  <c r="J19" i="62" s="1"/>
  <c r="N19" i="62" s="1"/>
  <c r="F59" i="15" a="1"/>
  <c r="F59" i="15" s="1"/>
  <c r="F51" i="15" a="1"/>
  <c r="F51" i="15" s="1"/>
  <c r="E4" i="12" a="1"/>
  <c r="E4" i="12" s="1"/>
  <c r="E49" i="12" a="1"/>
  <c r="E49" i="12" s="1"/>
  <c r="G49" i="12" s="1"/>
  <c r="F27" i="12" a="1"/>
  <c r="F27" i="12" s="1"/>
  <c r="E68" i="15" a="1"/>
  <c r="E68" i="15" s="1"/>
  <c r="I68" i="15" s="1"/>
  <c r="E69" i="12" a="1"/>
  <c r="E69" i="12" s="1"/>
  <c r="L19" i="45" a="1"/>
  <c r="L19" i="45" s="1"/>
  <c r="F18" i="15" a="1"/>
  <c r="F18" i="15" s="1"/>
  <c r="L17" i="45" a="1"/>
  <c r="L17" i="45" s="1"/>
  <c r="P17" i="45" s="1"/>
  <c r="F69" i="15" a="1"/>
  <c r="F69" i="15" s="1"/>
  <c r="F4" i="12" a="1"/>
  <c r="F4" i="12" s="1"/>
  <c r="H90" i="55" a="1"/>
  <c r="H90" i="55" s="1"/>
  <c r="L90" i="55" s="1"/>
  <c r="E68" i="12" a="1"/>
  <c r="E68" i="12" s="1"/>
  <c r="L39" i="45" a="1"/>
  <c r="L39" i="45" s="1"/>
  <c r="H108" i="55" a="1"/>
  <c r="H108" i="55" s="1"/>
  <c r="L108" i="55" s="1"/>
  <c r="H24" i="62" a="1"/>
  <c r="H24" i="62" s="1"/>
  <c r="L24" i="62" s="1"/>
  <c r="J25" i="62" a="1"/>
  <c r="J25" i="62" s="1"/>
  <c r="N25" i="62" s="1"/>
  <c r="L9" i="45" a="1"/>
  <c r="L9" i="45" s="1"/>
  <c r="P9" i="45" s="1"/>
  <c r="H27" i="62" a="1"/>
  <c r="H27" i="62" s="1"/>
  <c r="L27" i="62" s="1"/>
  <c r="J5" i="62" a="1"/>
  <c r="J5" i="62" s="1"/>
  <c r="E42" i="15" a="1"/>
  <c r="E42" i="15" s="1"/>
  <c r="J9" i="62" a="1"/>
  <c r="J9" i="62" s="1"/>
  <c r="N9" i="62" s="1"/>
  <c r="H32" i="55" a="1"/>
  <c r="H32" i="55" s="1"/>
  <c r="L32" i="55" s="1"/>
  <c r="L12" i="45" a="1"/>
  <c r="L12" i="45" s="1"/>
  <c r="P12" i="45" s="1"/>
  <c r="E44" i="15" a="1"/>
  <c r="E44" i="15" s="1"/>
  <c r="F51" i="12" a="1"/>
  <c r="F51" i="12" s="1"/>
  <c r="H51" i="12" s="1"/>
  <c r="E48" i="12" a="1"/>
  <c r="E48" i="12" s="1"/>
  <c r="G48" i="12" s="1"/>
  <c r="H81" i="55" a="1"/>
  <c r="H81" i="55" s="1"/>
  <c r="L81" i="55" s="1"/>
  <c r="L45" i="45" a="1"/>
  <c r="L45" i="45" s="1"/>
  <c r="F54" i="15" a="1"/>
  <c r="F54" i="15" s="1"/>
  <c r="H54" i="15" s="1"/>
  <c r="F69" i="12" a="1"/>
  <c r="F69" i="12" s="1"/>
  <c r="F20" i="15" a="1"/>
  <c r="F20" i="15" s="1"/>
  <c r="H11" i="55" a="1"/>
  <c r="H11" i="55" s="1"/>
  <c r="H51" i="55" a="1"/>
  <c r="H51" i="55" s="1"/>
  <c r="E35" i="15" a="1"/>
  <c r="E35" i="15" s="1"/>
  <c r="H91" i="55" a="1"/>
  <c r="H91" i="55" s="1"/>
  <c r="L91" i="55" s="1"/>
  <c r="J5" i="45" a="1"/>
  <c r="J5" i="45" s="1"/>
  <c r="H5" i="62" a="1"/>
  <c r="H5" i="62" s="1"/>
  <c r="H107" i="55" a="1"/>
  <c r="H107" i="55" s="1"/>
  <c r="L107" i="55" s="1"/>
  <c r="H76" i="55" a="1"/>
  <c r="H76" i="55" s="1"/>
  <c r="E29" i="15" a="1"/>
  <c r="E29" i="15" s="1"/>
  <c r="H100" i="55" a="1"/>
  <c r="H100" i="55" s="1"/>
  <c r="L100" i="55" s="1"/>
  <c r="H40" i="55" a="1"/>
  <c r="H40" i="55" s="1"/>
  <c r="L40" i="55" s="1"/>
  <c r="E34" i="12" a="1"/>
  <c r="E34" i="12" s="1"/>
  <c r="G34" i="12" s="1"/>
  <c r="H25" i="55" a="1"/>
  <c r="H25" i="55" s="1"/>
  <c r="L25" i="55" s="1"/>
  <c r="J26" i="45" a="1"/>
  <c r="J26" i="45" s="1"/>
  <c r="N26" i="45" s="1"/>
  <c r="E64" i="15" a="1"/>
  <c r="E64" i="15" s="1"/>
  <c r="F41" i="15" a="1"/>
  <c r="F41" i="15" s="1"/>
  <c r="K13" i="55"/>
  <c r="G49" i="55"/>
  <c r="K11" i="55"/>
  <c r="K24" i="55"/>
  <c r="K66" i="55"/>
  <c r="K99" i="55"/>
  <c r="K39" i="55"/>
  <c r="K83" i="55"/>
  <c r="I74" i="55"/>
  <c r="K104" i="55"/>
  <c r="K108" i="55"/>
  <c r="K81" i="55"/>
  <c r="K77" i="55"/>
  <c r="K107" i="55"/>
  <c r="K90" i="55"/>
  <c r="K16" i="55"/>
  <c r="K23" i="55"/>
  <c r="I49" i="55"/>
  <c r="K42" i="55"/>
  <c r="K32" i="55"/>
  <c r="K100" i="55"/>
  <c r="G58" i="12" l="1"/>
  <c r="G59" i="12"/>
  <c r="P82" i="45"/>
  <c r="P37" i="45"/>
  <c r="G9" i="12"/>
  <c r="P18" i="45"/>
  <c r="H53" i="15"/>
  <c r="P45" i="45"/>
  <c r="G42" i="15"/>
  <c r="N28" i="45"/>
  <c r="P57" i="45"/>
  <c r="P62" i="45"/>
  <c r="L83" i="55"/>
  <c r="L109" i="55"/>
  <c r="L84" i="55"/>
  <c r="L58" i="55"/>
  <c r="H57" i="12"/>
  <c r="G25" i="12"/>
  <c r="P13" i="45"/>
  <c r="N20" i="45"/>
  <c r="N33" i="45"/>
  <c r="I75" i="15"/>
  <c r="L41" i="55"/>
  <c r="L28" i="55"/>
  <c r="N30" i="45"/>
  <c r="N76" i="45"/>
  <c r="G66" i="12"/>
  <c r="G65" i="12"/>
  <c r="G63" i="12"/>
  <c r="G62" i="12"/>
  <c r="H64" i="12"/>
  <c r="G61" i="12"/>
  <c r="G56" i="12"/>
  <c r="G57" i="12"/>
  <c r="G60" i="12"/>
  <c r="H56" i="12"/>
  <c r="H58" i="12"/>
  <c r="H59" i="12"/>
  <c r="G55" i="12"/>
  <c r="L71" i="55"/>
  <c r="L70" i="55"/>
  <c r="L72" i="55"/>
  <c r="N6" i="45"/>
  <c r="P52" i="45"/>
  <c r="P70" i="45"/>
  <c r="N7" i="45"/>
  <c r="H46" i="12"/>
  <c r="H13" i="12"/>
  <c r="N24" i="45"/>
  <c r="G31" i="15"/>
  <c r="E79" i="12"/>
  <c r="E81" i="12" s="1"/>
  <c r="F79" i="12"/>
  <c r="F81" i="12" s="1"/>
  <c r="G42" i="12"/>
  <c r="H18" i="12"/>
  <c r="H69" i="12"/>
  <c r="L67" i="55"/>
  <c r="L54" i="55"/>
  <c r="L68" i="55"/>
  <c r="L64" i="55"/>
  <c r="L66" i="55"/>
  <c r="L60" i="55"/>
  <c r="L56" i="55"/>
  <c r="J74" i="55"/>
  <c r="J75" i="55" s="1"/>
  <c r="G44" i="15"/>
  <c r="G68" i="12"/>
  <c r="P19" i="45"/>
  <c r="G54" i="12"/>
  <c r="G40" i="12"/>
  <c r="G45" i="15"/>
  <c r="G30" i="12"/>
  <c r="P14" i="45"/>
  <c r="N23" i="62"/>
  <c r="G24" i="15"/>
  <c r="H21" i="12"/>
  <c r="H45" i="12"/>
  <c r="P94" i="45"/>
  <c r="H17" i="15"/>
  <c r="H36" i="12"/>
  <c r="N83" i="45"/>
  <c r="G74" i="12"/>
  <c r="P22" i="45"/>
  <c r="H35" i="12"/>
  <c r="P84" i="45"/>
  <c r="N88" i="45"/>
  <c r="N91" i="45"/>
  <c r="L13" i="62"/>
  <c r="N11" i="45"/>
  <c r="L26" i="62"/>
  <c r="L16" i="62"/>
  <c r="L34" i="55"/>
  <c r="L29" i="55"/>
  <c r="L38" i="55"/>
  <c r="P90" i="45"/>
  <c r="L111" i="55"/>
  <c r="P77" i="45"/>
  <c r="L62" i="55"/>
  <c r="L61" i="55"/>
  <c r="H27" i="12"/>
  <c r="L105" i="55"/>
  <c r="J113" i="55"/>
  <c r="J114" i="55" s="1"/>
  <c r="L106" i="55"/>
  <c r="L99" i="55"/>
  <c r="G14" i="12"/>
  <c r="P29" i="45"/>
  <c r="N89" i="45"/>
  <c r="G36" i="15"/>
  <c r="N55" i="45"/>
  <c r="P31" i="45"/>
  <c r="L21" i="62"/>
  <c r="L31" i="55"/>
  <c r="L110" i="55"/>
  <c r="L94" i="55"/>
  <c r="H7" i="12"/>
  <c r="N23" i="45"/>
  <c r="H24" i="12"/>
  <c r="H52" i="12"/>
  <c r="G12" i="12"/>
  <c r="N40" i="45"/>
  <c r="P46" i="45"/>
  <c r="P41" i="45"/>
  <c r="P39" i="45"/>
  <c r="G61" i="15"/>
  <c r="G17" i="12"/>
  <c r="P27" i="45"/>
  <c r="G41" i="12"/>
  <c r="G31" i="12"/>
  <c r="G53" i="12"/>
  <c r="H5" i="12"/>
  <c r="L20" i="62"/>
  <c r="G75" i="12"/>
  <c r="P53" i="45"/>
  <c r="G39" i="12"/>
  <c r="I64" i="15"/>
  <c r="E66" i="15"/>
  <c r="H69" i="15"/>
  <c r="F70" i="15"/>
  <c r="G69" i="12"/>
  <c r="G4" i="12"/>
  <c r="G10" i="15"/>
  <c r="G11" i="15" s="1"/>
  <c r="E11" i="15"/>
  <c r="E25" i="15"/>
  <c r="G23" i="15"/>
  <c r="E43" i="15"/>
  <c r="G41" i="15"/>
  <c r="H38" i="15"/>
  <c r="F39" i="15"/>
  <c r="E14" i="15"/>
  <c r="G12" i="15"/>
  <c r="G14" i="15" s="1"/>
  <c r="G30" i="15"/>
  <c r="N29" i="45"/>
  <c r="H12" i="15"/>
  <c r="F14" i="15"/>
  <c r="P6" i="45"/>
  <c r="H62" i="15"/>
  <c r="F63" i="15"/>
  <c r="H25" i="12"/>
  <c r="G76" i="12"/>
  <c r="E19" i="15"/>
  <c r="G18" i="15"/>
  <c r="G19" i="15" s="1"/>
  <c r="P89" i="45"/>
  <c r="H27" i="15"/>
  <c r="H36" i="15"/>
  <c r="N52" i="45"/>
  <c r="N31" i="45"/>
  <c r="L9" i="62"/>
  <c r="L29" i="62"/>
  <c r="H14" i="12"/>
  <c r="N12" i="62"/>
  <c r="G56" i="15"/>
  <c r="E58" i="15"/>
  <c r="P10" i="45"/>
  <c r="N17" i="62"/>
  <c r="P74" i="45"/>
  <c r="P58" i="45"/>
  <c r="H13" i="15"/>
  <c r="N24" i="62"/>
  <c r="P38" i="45"/>
  <c r="L15" i="62"/>
  <c r="P68" i="45"/>
  <c r="N47" i="45"/>
  <c r="H28" i="12"/>
  <c r="H23" i="12"/>
  <c r="G33" i="12"/>
  <c r="N16" i="45"/>
  <c r="G38" i="12"/>
  <c r="N37" i="45"/>
  <c r="P63" i="45"/>
  <c r="N15" i="45"/>
  <c r="H77" i="12"/>
  <c r="N35" i="45"/>
  <c r="P21" i="45"/>
  <c r="G6" i="12"/>
  <c r="G57" i="15"/>
  <c r="H49" i="12"/>
  <c r="G11" i="12"/>
  <c r="P60" i="45"/>
  <c r="P72" i="45"/>
  <c r="L6" i="62"/>
  <c r="G37" i="12"/>
  <c r="E37" i="15"/>
  <c r="G35" i="15"/>
  <c r="E63" i="15"/>
  <c r="G62" i="15"/>
  <c r="E60" i="15"/>
  <c r="G59" i="15"/>
  <c r="G20" i="15"/>
  <c r="G21" i="15" s="1"/>
  <c r="E21" i="15"/>
  <c r="N90" i="45"/>
  <c r="G15" i="15"/>
  <c r="G16" i="15" s="1"/>
  <c r="E16" i="15"/>
  <c r="N79" i="45"/>
  <c r="N70" i="45"/>
  <c r="P24" i="45"/>
  <c r="H54" i="12"/>
  <c r="H15" i="15"/>
  <c r="H16" i="15" s="1"/>
  <c r="F16" i="15"/>
  <c r="L23" i="62"/>
  <c r="P28" i="45"/>
  <c r="H31" i="15"/>
  <c r="H44" i="15"/>
  <c r="F58" i="15"/>
  <c r="H56" i="15"/>
  <c r="H58" i="15" s="1"/>
  <c r="N19" i="45"/>
  <c r="H40" i="12"/>
  <c r="G51" i="12"/>
  <c r="N94" i="45"/>
  <c r="N75" i="45"/>
  <c r="H24" i="15"/>
  <c r="G45" i="12"/>
  <c r="N13" i="45"/>
  <c r="N49" i="45"/>
  <c r="N59" i="45"/>
  <c r="H48" i="12"/>
  <c r="H47" i="12"/>
  <c r="N22" i="45"/>
  <c r="H67" i="12"/>
  <c r="N69" i="45"/>
  <c r="P83" i="45"/>
  <c r="G17" i="15"/>
  <c r="P73" i="45"/>
  <c r="N67" i="45"/>
  <c r="P92" i="45"/>
  <c r="G26" i="12"/>
  <c r="H72" i="12"/>
  <c r="P34" i="45"/>
  <c r="P91" i="45"/>
  <c r="G35" i="12"/>
  <c r="L11" i="62"/>
  <c r="N78" i="45"/>
  <c r="N71" i="45"/>
  <c r="P88" i="45"/>
  <c r="N44" i="45"/>
  <c r="G73" i="12"/>
  <c r="N80" i="45"/>
  <c r="H34" i="12"/>
  <c r="P30" i="45"/>
  <c r="N81" i="45"/>
  <c r="J32" i="57"/>
  <c r="L32" i="57" s="1"/>
  <c r="H32" i="62"/>
  <c r="H34" i="62" s="1"/>
  <c r="L5" i="62"/>
  <c r="F55" i="15"/>
  <c r="H51" i="15"/>
  <c r="G38" i="15"/>
  <c r="E39" i="15"/>
  <c r="E32" i="15"/>
  <c r="G29" i="15"/>
  <c r="H49" i="55"/>
  <c r="H50" i="55" s="1"/>
  <c r="L11" i="55"/>
  <c r="H59" i="15"/>
  <c r="F60" i="15"/>
  <c r="N39" i="45"/>
  <c r="H10" i="15"/>
  <c r="H11" i="15" s="1"/>
  <c r="F11" i="15"/>
  <c r="H61" i="15"/>
  <c r="N26" i="62"/>
  <c r="N32" i="45"/>
  <c r="H46" i="15"/>
  <c r="H47" i="15" s="1"/>
  <c r="F47" i="15"/>
  <c r="N53" i="45"/>
  <c r="P40" i="45"/>
  <c r="G46" i="12"/>
  <c r="H39" i="12"/>
  <c r="H42" i="12"/>
  <c r="G18" i="12"/>
  <c r="N77" i="45"/>
  <c r="N43" i="45"/>
  <c r="G50" i="12"/>
  <c r="G71" i="12"/>
  <c r="N93" i="45"/>
  <c r="N8" i="45"/>
  <c r="N14" i="62"/>
  <c r="P7" i="45"/>
  <c r="L10" i="62"/>
  <c r="P86" i="45"/>
  <c r="H40" i="15"/>
  <c r="G13" i="12"/>
  <c r="P64" i="45"/>
  <c r="G29" i="12"/>
  <c r="N7" i="62"/>
  <c r="N87" i="45"/>
  <c r="P50" i="45"/>
  <c r="N62" i="45"/>
  <c r="P85" i="45"/>
  <c r="N18" i="62"/>
  <c r="H43" i="12"/>
  <c r="P25" i="45"/>
  <c r="H19" i="12"/>
  <c r="N27" i="62"/>
  <c r="H26" i="15"/>
  <c r="H15" i="12"/>
  <c r="G10" i="12"/>
  <c r="P76" i="45"/>
  <c r="P56" i="45"/>
  <c r="L28" i="62"/>
  <c r="N66" i="45"/>
  <c r="G54" i="15"/>
  <c r="G22" i="12"/>
  <c r="G32" i="12"/>
  <c r="P26" i="45"/>
  <c r="N9" i="45"/>
  <c r="K113" i="55"/>
  <c r="H74" i="55"/>
  <c r="H75" i="55" s="1"/>
  <c r="L51" i="55"/>
  <c r="J32" i="62"/>
  <c r="J34" i="62" s="1"/>
  <c r="N5" i="62"/>
  <c r="L96" i="45"/>
  <c r="P5" i="45"/>
  <c r="G49" i="15"/>
  <c r="E50" i="15"/>
  <c r="J96" i="45"/>
  <c r="N5" i="45"/>
  <c r="F19" i="15"/>
  <c r="H18" i="15"/>
  <c r="H19" i="15" s="1"/>
  <c r="I69" i="15"/>
  <c r="G69" i="15"/>
  <c r="E70" i="15"/>
  <c r="K49" i="55"/>
  <c r="F43" i="15"/>
  <c r="H41" i="15"/>
  <c r="H113" i="55"/>
  <c r="H114" i="55" s="1"/>
  <c r="L76" i="55"/>
  <c r="H20" i="15"/>
  <c r="H21" i="15" s="1"/>
  <c r="F21" i="15"/>
  <c r="H4" i="12"/>
  <c r="H23" i="15"/>
  <c r="F25" i="15"/>
  <c r="H49" i="15"/>
  <c r="F50" i="15"/>
  <c r="H29" i="15"/>
  <c r="F32" i="15"/>
  <c r="G52" i="12"/>
  <c r="G27" i="12"/>
  <c r="H33" i="15"/>
  <c r="H34" i="15" s="1"/>
  <c r="F34" i="15"/>
  <c r="H12" i="12"/>
  <c r="P11" i="45"/>
  <c r="P23" i="45"/>
  <c r="H17" i="12"/>
  <c r="E47" i="15"/>
  <c r="G46" i="15"/>
  <c r="G47" i="15" s="1"/>
  <c r="N27" i="45"/>
  <c r="N46" i="45"/>
  <c r="L22" i="62"/>
  <c r="E55" i="15"/>
  <c r="G51" i="15"/>
  <c r="P20" i="45"/>
  <c r="G44" i="12"/>
  <c r="E34" i="15"/>
  <c r="G33" i="15"/>
  <c r="G34" i="15" s="1"/>
  <c r="H41" i="12"/>
  <c r="N41" i="45"/>
  <c r="G5" i="12"/>
  <c r="H42" i="15"/>
  <c r="P55" i="45"/>
  <c r="H53" i="12"/>
  <c r="G24" i="12"/>
  <c r="N48" i="45"/>
  <c r="H68" i="12"/>
  <c r="H75" i="12"/>
  <c r="N14" i="45"/>
  <c r="H31" i="12"/>
  <c r="N21" i="62"/>
  <c r="H45" i="15"/>
  <c r="N45" i="45"/>
  <c r="P51" i="45"/>
  <c r="N20" i="62"/>
  <c r="F37" i="15"/>
  <c r="H35" i="15"/>
  <c r="G7" i="12"/>
  <c r="H9" i="12"/>
  <c r="H30" i="12"/>
  <c r="N13" i="62"/>
  <c r="N12" i="45"/>
  <c r="P36" i="45"/>
  <c r="G8" i="12"/>
  <c r="H70" i="12"/>
  <c r="H74" i="12"/>
  <c r="N16" i="62"/>
  <c r="L8" i="62"/>
  <c r="H16" i="12"/>
  <c r="H28" i="15"/>
  <c r="G36" i="12"/>
  <c r="N82" i="45"/>
  <c r="N57" i="45"/>
  <c r="N18" i="45"/>
  <c r="G21" i="12"/>
  <c r="N61" i="45"/>
  <c r="N17" i="45"/>
  <c r="P54" i="45"/>
  <c r="N84" i="45"/>
  <c r="P33" i="45"/>
  <c r="G53" i="15"/>
  <c r="G52" i="15"/>
  <c r="L25" i="62"/>
  <c r="L19" i="62"/>
  <c r="G22" i="15"/>
  <c r="P42" i="45"/>
  <c r="H20" i="12"/>
  <c r="N65" i="45"/>
  <c r="K74" i="55"/>
  <c r="G43" i="15" l="1"/>
  <c r="G48" i="15" s="1"/>
  <c r="H50" i="15"/>
  <c r="G63" i="15"/>
  <c r="H79" i="12"/>
  <c r="G79" i="12"/>
  <c r="G25" i="15"/>
  <c r="I7" i="12"/>
  <c r="L74" i="55"/>
  <c r="L75" i="55" s="1"/>
  <c r="I15" i="12"/>
  <c r="I32" i="12"/>
  <c r="I25" i="12"/>
  <c r="I38" i="12"/>
  <c r="I39" i="12"/>
  <c r="I18" i="12"/>
  <c r="H32" i="15"/>
  <c r="H25" i="15"/>
  <c r="G39" i="15"/>
  <c r="H60" i="15"/>
  <c r="G37" i="15"/>
  <c r="L113" i="55"/>
  <c r="L114" i="55" s="1"/>
  <c r="F48" i="15"/>
  <c r="F79" i="15" s="1"/>
  <c r="L97" i="45"/>
  <c r="L49" i="55"/>
  <c r="L50" i="55" s="1"/>
  <c r="J97" i="45"/>
  <c r="H37" i="15"/>
  <c r="G32" i="15"/>
  <c r="G55" i="15"/>
  <c r="H43" i="15"/>
  <c r="H48" i="15" s="1"/>
  <c r="N96" i="45"/>
  <c r="P96" i="45"/>
  <c r="P97" i="45" s="1"/>
  <c r="H63" i="15"/>
  <c r="E48" i="15"/>
  <c r="H70" i="15"/>
  <c r="L32" i="62"/>
  <c r="G60" i="15"/>
  <c r="G58" i="15"/>
  <c r="H39" i="15"/>
  <c r="G50" i="15"/>
  <c r="N32" i="62"/>
  <c r="I66" i="15"/>
  <c r="E67" i="15"/>
  <c r="G70" i="15"/>
  <c r="I70" i="15"/>
  <c r="H55" i="15"/>
  <c r="H14" i="15"/>
  <c r="I17" i="12" l="1"/>
  <c r="I40" i="12"/>
  <c r="I29" i="12"/>
  <c r="I4" i="12"/>
  <c r="I16" i="12"/>
  <c r="I34" i="12"/>
  <c r="I23" i="12"/>
  <c r="I35" i="12"/>
  <c r="I14" i="12"/>
  <c r="I8" i="12"/>
  <c r="I22" i="12"/>
  <c r="I31" i="12"/>
  <c r="I33" i="12"/>
  <c r="I36" i="12"/>
  <c r="I6" i="12"/>
  <c r="I13" i="12"/>
  <c r="I28" i="12"/>
  <c r="I21" i="12"/>
  <c r="H79" i="15"/>
  <c r="H81" i="12"/>
  <c r="G79" i="15"/>
  <c r="N34" i="62"/>
  <c r="I67" i="15"/>
  <c r="E79" i="15"/>
  <c r="F81" i="15" s="1"/>
  <c r="H81" i="15" l="1"/>
  <c r="B2217" i="34"/>
  <c r="A2217" i="34" s="1"/>
  <c r="B2212" i="34"/>
  <c r="A2212" i="34" s="1"/>
  <c r="S2217" i="34" l="1"/>
  <c r="Q2217" i="34"/>
  <c r="R2217" i="34"/>
  <c r="Q2212" i="34"/>
  <c r="R2212" i="34"/>
  <c r="S2212" i="34"/>
  <c r="E1665" i="34"/>
  <c r="AA1665" i="34" s="1"/>
  <c r="B1665" i="34"/>
  <c r="A1665" i="34" s="1"/>
  <c r="B1666" i="34"/>
  <c r="A1666" i="34" s="1"/>
  <c r="B1664" i="34"/>
  <c r="A1664" i="34" s="1"/>
  <c r="E1664" i="34"/>
  <c r="AA1664" i="34" s="1"/>
  <c r="E1666" i="34"/>
  <c r="AA1666" i="34" s="1"/>
  <c r="E1663" i="34"/>
  <c r="AA1663" i="34" s="1"/>
  <c r="B1663" i="34"/>
  <c r="A1663" i="34" s="1"/>
  <c r="Q1663" i="34" l="1"/>
  <c r="R1663" i="34"/>
  <c r="S1663" i="34"/>
  <c r="R1664" i="34"/>
  <c r="S1664" i="34"/>
  <c r="Q1664" i="34"/>
  <c r="R1666" i="34"/>
  <c r="S1666" i="34"/>
  <c r="Q1666" i="34"/>
  <c r="Q1665" i="34"/>
  <c r="R1665" i="34"/>
  <c r="S1665" i="34"/>
  <c r="C2059" i="34"/>
  <c r="C2056" i="34"/>
  <c r="C2058" i="34"/>
  <c r="C2060" i="34"/>
  <c r="C2057" i="34"/>
  <c r="B2057" i="34" s="1"/>
  <c r="A2057" i="34" s="1"/>
  <c r="C2055" i="34"/>
  <c r="AD2056" i="34" l="1"/>
  <c r="B2056" i="34"/>
  <c r="A2056" i="34" s="1"/>
  <c r="AD2060" i="34"/>
  <c r="B2060" i="34"/>
  <c r="A2060" i="34" s="1"/>
  <c r="AD2058" i="34"/>
  <c r="B2058" i="34"/>
  <c r="A2058" i="34" s="1"/>
  <c r="AD2055" i="34"/>
  <c r="B2055" i="34"/>
  <c r="A2055" i="34" s="1"/>
  <c r="AD2059" i="34"/>
  <c r="B2059" i="34"/>
  <c r="A2059" i="34" s="1"/>
  <c r="AD2057" i="34"/>
  <c r="S2055" i="34" l="1"/>
  <c r="Q2055" i="34"/>
  <c r="R2055" i="34"/>
  <c r="Q2056" i="34"/>
  <c r="R2056" i="34"/>
  <c r="S2056" i="34"/>
  <c r="S2059" i="34"/>
  <c r="Q2059" i="34"/>
  <c r="R2059" i="34"/>
  <c r="Q2060" i="34"/>
  <c r="R2060" i="34"/>
  <c r="S2060" i="34"/>
  <c r="Q2058" i="34"/>
  <c r="R2058" i="34"/>
  <c r="S2058" i="34"/>
  <c r="S2057" i="34"/>
  <c r="Q2057" i="34"/>
  <c r="R2057" i="34"/>
  <c r="AA1769" i="34"/>
  <c r="AA1770" i="34"/>
  <c r="C1770" i="34"/>
  <c r="AD1770" i="34" s="1"/>
  <c r="AA1771" i="34"/>
  <c r="C1771" i="34"/>
  <c r="B1771" i="34" s="1"/>
  <c r="A1771" i="34" s="1"/>
  <c r="C1769" i="34"/>
  <c r="B1769" i="34" s="1"/>
  <c r="A1769" i="34" s="1"/>
  <c r="C1772" i="34"/>
  <c r="AD1772" i="34" s="1"/>
  <c r="AA1772" i="34"/>
  <c r="AA1768" i="34"/>
  <c r="C1768" i="34"/>
  <c r="AD1768" i="34" s="1"/>
  <c r="B1768" i="34" l="1"/>
  <c r="B1770" i="34"/>
  <c r="A1770" i="34" s="1"/>
  <c r="B1772" i="34"/>
  <c r="R1769" i="34"/>
  <c r="S1769" i="34"/>
  <c r="Q1769" i="34"/>
  <c r="R1771" i="34"/>
  <c r="Q1771" i="34"/>
  <c r="S1771" i="34"/>
  <c r="Q1768" i="34"/>
  <c r="AD1769" i="34"/>
  <c r="AD1771" i="34"/>
  <c r="C2209" i="34"/>
  <c r="B2209" i="34" s="1"/>
  <c r="A2209" i="34" s="1"/>
  <c r="AA2209" i="34"/>
  <c r="C2211" i="34"/>
  <c r="AD2211" i="34" s="1"/>
  <c r="AA2211" i="34"/>
  <c r="AA2206" i="34"/>
  <c r="AA2207" i="34"/>
  <c r="C2207" i="34"/>
  <c r="B2207" i="34" s="1"/>
  <c r="A2207" i="34" s="1"/>
  <c r="AA2208" i="34"/>
  <c r="C2206" i="34"/>
  <c r="B2206" i="34" s="1"/>
  <c r="A2206" i="34" s="1"/>
  <c r="C2208" i="34"/>
  <c r="AD2208" i="34" s="1"/>
  <c r="AA2210" i="34"/>
  <c r="C2210" i="34"/>
  <c r="AD2210" i="34" s="1"/>
  <c r="AA2205" i="34"/>
  <c r="C2205" i="34"/>
  <c r="B2205" i="34" s="1"/>
  <c r="A2205" i="34" s="1"/>
  <c r="R1772" i="34" l="1"/>
  <c r="A1772" i="34"/>
  <c r="S1768" i="34"/>
  <c r="A1768" i="34"/>
  <c r="R1770" i="34"/>
  <c r="Q1772" i="34"/>
  <c r="Q1770" i="34"/>
  <c r="S1772" i="34"/>
  <c r="R1768" i="34"/>
  <c r="S1770" i="34"/>
  <c r="B2208" i="34"/>
  <c r="AD2206" i="34"/>
  <c r="AD2205" i="34"/>
  <c r="S2205" i="34"/>
  <c r="Q2205" i="34"/>
  <c r="R2205" i="34"/>
  <c r="Q2209" i="34"/>
  <c r="S2209" i="34"/>
  <c r="R2209" i="34"/>
  <c r="S2207" i="34"/>
  <c r="Q2207" i="34"/>
  <c r="R2207" i="34"/>
  <c r="R2206" i="34"/>
  <c r="S2206" i="34"/>
  <c r="Q2206" i="34"/>
  <c r="B2210" i="34"/>
  <c r="A2210" i="34" s="1"/>
  <c r="AD2207" i="34"/>
  <c r="AD2209" i="34"/>
  <c r="B2211" i="34"/>
  <c r="A2211" i="34" s="1"/>
  <c r="R2208" i="34" l="1"/>
  <c r="A2208" i="34"/>
  <c r="Q2208" i="34"/>
  <c r="S2208" i="34"/>
  <c r="S2211" i="34"/>
  <c r="R2211" i="34"/>
  <c r="Q2211" i="34"/>
  <c r="S2210" i="34"/>
  <c r="R2210" i="34"/>
  <c r="Q2210" i="34"/>
  <c r="AA2335" i="34"/>
  <c r="AA2340" i="34"/>
  <c r="AA2341" i="34"/>
  <c r="AA2330" i="34"/>
  <c r="AA2334" i="34"/>
  <c r="C2342" i="34"/>
  <c r="AD2342" i="34" s="1"/>
  <c r="AA2342" i="34"/>
  <c r="C2340" i="34"/>
  <c r="B2340" i="34" s="1"/>
  <c r="A2340" i="34" s="1"/>
  <c r="AA2339" i="34"/>
  <c r="AA2338" i="34"/>
  <c r="C2341" i="34"/>
  <c r="B2341" i="34" s="1"/>
  <c r="A2341" i="34" s="1"/>
  <c r="C2330" i="34"/>
  <c r="AA2329" i="34"/>
  <c r="F21" i="56" s="1"/>
  <c r="H21" i="56" s="1"/>
  <c r="C2329" i="34"/>
  <c r="B2329" i="34" s="1"/>
  <c r="A2329" i="34" s="1"/>
  <c r="C2334" i="34"/>
  <c r="AD2334" i="34" s="1"/>
  <c r="C2335" i="34"/>
  <c r="C2332" i="34"/>
  <c r="AD2332" i="34" s="1"/>
  <c r="AA2332" i="34"/>
  <c r="C2333" i="34"/>
  <c r="AD2333" i="34" s="1"/>
  <c r="AA2333" i="34"/>
  <c r="C2339" i="34"/>
  <c r="AD2339" i="34" s="1"/>
  <c r="C2337" i="34"/>
  <c r="AD2337" i="34" s="1"/>
  <c r="AA2337" i="34"/>
  <c r="C2338" i="34"/>
  <c r="B2338" i="34" s="1"/>
  <c r="A2338" i="34" s="1"/>
  <c r="C2336" i="34"/>
  <c r="AA2336" i="34"/>
  <c r="AA2331" i="34"/>
  <c r="C2331" i="34"/>
  <c r="AA2328" i="34"/>
  <c r="C2328" i="34"/>
  <c r="B2328" i="34" s="1"/>
  <c r="A2328" i="34" s="1"/>
  <c r="B19" i="56" l="1"/>
  <c r="F20" i="56"/>
  <c r="H20" i="56" s="1"/>
  <c r="B20" i="56"/>
  <c r="A20" i="56" s="1"/>
  <c r="F17" i="56"/>
  <c r="B2334" i="34"/>
  <c r="B2339" i="34"/>
  <c r="AD2341" i="34"/>
  <c r="AD2338" i="34"/>
  <c r="B2333" i="34"/>
  <c r="A2333" i="34" s="1"/>
  <c r="B2332" i="34"/>
  <c r="A2332" i="34" s="1"/>
  <c r="S2328" i="34"/>
  <c r="Q2328" i="34"/>
  <c r="R2328" i="34"/>
  <c r="B2330" i="34"/>
  <c r="A2330" i="34" s="1"/>
  <c r="AD2330" i="34"/>
  <c r="S2340" i="34"/>
  <c r="Q2340" i="34"/>
  <c r="R2340" i="34"/>
  <c r="AD2328" i="34"/>
  <c r="F22" i="56"/>
  <c r="H22" i="56" s="1"/>
  <c r="G20" i="56"/>
  <c r="G7" i="56"/>
  <c r="G18" i="56"/>
  <c r="G19" i="56"/>
  <c r="F19" i="56"/>
  <c r="H19" i="56" s="1"/>
  <c r="B18" i="56"/>
  <c r="B17" i="56"/>
  <c r="G21" i="56"/>
  <c r="G22" i="56"/>
  <c r="G8" i="56"/>
  <c r="B23" i="56"/>
  <c r="D6" i="56"/>
  <c r="F28" i="56" s="1"/>
  <c r="F23" i="56"/>
  <c r="H23" i="56" s="1"/>
  <c r="B21" i="56"/>
  <c r="A9" i="56"/>
  <c r="G17" i="56"/>
  <c r="G23" i="56"/>
  <c r="F18" i="56"/>
  <c r="B22" i="56"/>
  <c r="S2338" i="34"/>
  <c r="Q2338" i="34"/>
  <c r="R2338" i="34"/>
  <c r="R2334" i="34"/>
  <c r="Q2334" i="34"/>
  <c r="R2341" i="34"/>
  <c r="Q2341" i="34"/>
  <c r="S2341" i="34"/>
  <c r="B2331" i="34"/>
  <c r="A2331" i="34" s="1"/>
  <c r="AD2331" i="34"/>
  <c r="D19" i="56"/>
  <c r="A19" i="56"/>
  <c r="AD2336" i="34"/>
  <c r="B2336" i="34"/>
  <c r="A2336" i="34" s="1"/>
  <c r="B2335" i="34"/>
  <c r="A2335" i="34" s="1"/>
  <c r="AD2335" i="34"/>
  <c r="S2329" i="34"/>
  <c r="R2329" i="34"/>
  <c r="Q2329" i="34"/>
  <c r="B2337" i="34"/>
  <c r="A2337" i="34" s="1"/>
  <c r="R2332" i="34"/>
  <c r="AD2329" i="34"/>
  <c r="R2339" i="34"/>
  <c r="S2332" i="34"/>
  <c r="S2339" i="34"/>
  <c r="AD2340" i="34"/>
  <c r="B2342" i="34"/>
  <c r="A2342" i="34" s="1"/>
  <c r="Q2339" i="34" l="1"/>
  <c r="A2339" i="34"/>
  <c r="S2334" i="34"/>
  <c r="A2334" i="34"/>
  <c r="D20" i="56"/>
  <c r="H17" i="56"/>
  <c r="Q2333" i="34"/>
  <c r="H18" i="56"/>
  <c r="S2333" i="34"/>
  <c r="R2333" i="34"/>
  <c r="Q2332" i="34"/>
  <c r="D23" i="56"/>
  <c r="A23" i="56"/>
  <c r="A17" i="56"/>
  <c r="A18" i="56" s="1"/>
  <c r="D17" i="56"/>
  <c r="G29" i="69"/>
  <c r="H16" i="69"/>
  <c r="I24" i="69"/>
  <c r="D30" i="69"/>
  <c r="D15" i="69"/>
  <c r="D17" i="69"/>
  <c r="I18" i="69"/>
  <c r="D22" i="69"/>
  <c r="H26" i="69"/>
  <c r="A21" i="69"/>
  <c r="I25" i="69"/>
  <c r="H25" i="69"/>
  <c r="D25" i="69"/>
  <c r="D27" i="69"/>
  <c r="D26" i="69"/>
  <c r="H22" i="69"/>
  <c r="I29" i="69"/>
  <c r="D23" i="69"/>
  <c r="G17" i="69"/>
  <c r="A15" i="69"/>
  <c r="G23" i="69"/>
  <c r="A26" i="69"/>
  <c r="H21" i="69"/>
  <c r="I27" i="69"/>
  <c r="A24" i="69"/>
  <c r="G19" i="69"/>
  <c r="H20" i="69"/>
  <c r="I15" i="69"/>
  <c r="G28" i="69"/>
  <c r="D20" i="69"/>
  <c r="I22" i="69"/>
  <c r="I17" i="69"/>
  <c r="H24" i="69"/>
  <c r="D19" i="69"/>
  <c r="A22" i="69"/>
  <c r="I20" i="69"/>
  <c r="H29" i="69"/>
  <c r="I30" i="69"/>
  <c r="D24" i="69"/>
  <c r="H19" i="69"/>
  <c r="H15" i="69"/>
  <c r="G20" i="69"/>
  <c r="H23" i="69"/>
  <c r="D18" i="69"/>
  <c r="I19" i="69"/>
  <c r="I23" i="69"/>
  <c r="G21" i="69"/>
  <c r="I14" i="69"/>
  <c r="I26" i="69"/>
  <c r="G16" i="69"/>
  <c r="H14" i="69"/>
  <c r="G18" i="69"/>
  <c r="A19" i="69"/>
  <c r="G25" i="69"/>
  <c r="H27" i="69"/>
  <c r="H28" i="69"/>
  <c r="A29" i="69"/>
  <c r="A20" i="69"/>
  <c r="G24" i="69"/>
  <c r="D29" i="69"/>
  <c r="A14" i="69"/>
  <c r="D21" i="69"/>
  <c r="A25" i="69"/>
  <c r="G26" i="69"/>
  <c r="B16" i="69"/>
  <c r="H30" i="69"/>
  <c r="A23" i="69"/>
  <c r="A30" i="69"/>
  <c r="G30" i="69"/>
  <c r="A28" i="69"/>
  <c r="G14" i="69"/>
  <c r="H18" i="69"/>
  <c r="D14" i="69"/>
  <c r="A18" i="69"/>
  <c r="D16" i="69"/>
  <c r="G27" i="69"/>
  <c r="I28" i="69"/>
  <c r="G22" i="69"/>
  <c r="A17" i="69"/>
  <c r="I16" i="69"/>
  <c r="D28" i="69"/>
  <c r="A16" i="69"/>
  <c r="A27" i="69"/>
  <c r="H17" i="69"/>
  <c r="I21" i="69"/>
  <c r="G15" i="69"/>
  <c r="B22" i="69"/>
  <c r="B25" i="69"/>
  <c r="B21" i="69"/>
  <c r="B26" i="69"/>
  <c r="B30" i="69"/>
  <c r="B15" i="69"/>
  <c r="B27" i="69"/>
  <c r="B18" i="69"/>
  <c r="B28" i="69"/>
  <c r="B14" i="69"/>
  <c r="B29" i="69"/>
  <c r="B20" i="69"/>
  <c r="B19" i="69"/>
  <c r="B23" i="69"/>
  <c r="B24" i="69"/>
  <c r="B17" i="69"/>
  <c r="R2342" i="34"/>
  <c r="S2342" i="34"/>
  <c r="Q2342" i="34"/>
  <c r="Q2331" i="34"/>
  <c r="S2331" i="34"/>
  <c r="R2331" i="34"/>
  <c r="D22" i="56"/>
  <c r="A22" i="56"/>
  <c r="S2337" i="34"/>
  <c r="R2337" i="34"/>
  <c r="Q2337" i="34"/>
  <c r="Q2335" i="34"/>
  <c r="S2335" i="34"/>
  <c r="R2335" i="34"/>
  <c r="D18" i="56"/>
  <c r="A21" i="56"/>
  <c r="D21" i="56"/>
  <c r="S2336" i="34"/>
  <c r="Q2336" i="34"/>
  <c r="R2336" i="34"/>
  <c r="R2330" i="34"/>
  <c r="S2330" i="34"/>
  <c r="Q2330" i="34"/>
  <c r="A30" i="42" l="1"/>
  <c r="E37" i="42"/>
  <c r="G80" i="42"/>
  <c r="H65" i="42"/>
  <c r="G72" i="42"/>
  <c r="E119" i="42"/>
  <c r="A51" i="42"/>
  <c r="C141" i="42"/>
  <c r="A52" i="42"/>
  <c r="E59" i="42"/>
  <c r="H102" i="42"/>
  <c r="G49" i="42"/>
  <c r="C57" i="42"/>
  <c r="E103" i="42"/>
  <c r="C42" i="42"/>
  <c r="A93" i="42"/>
  <c r="C147" i="42"/>
  <c r="G70" i="42"/>
  <c r="H131" i="42"/>
  <c r="G71" i="42"/>
  <c r="D37" i="42"/>
  <c r="B85" i="42"/>
  <c r="A63" i="42"/>
  <c r="G114" i="42"/>
  <c r="A48" i="42"/>
  <c r="E55" i="42"/>
  <c r="G98" i="42"/>
  <c r="B30" i="42"/>
  <c r="D79" i="42"/>
  <c r="B131" i="42"/>
  <c r="F42" i="42"/>
  <c r="E136" i="42"/>
  <c r="A54" i="42"/>
  <c r="E61" i="42"/>
  <c r="F104" i="42"/>
  <c r="E46" i="42"/>
  <c r="C94" i="42"/>
  <c r="E143" i="42"/>
  <c r="F32" i="42"/>
  <c r="G126" i="42"/>
  <c r="F33" i="42"/>
  <c r="B41" i="42"/>
  <c r="H85" i="42"/>
  <c r="H129" i="42"/>
  <c r="C64" i="42"/>
  <c r="F74" i="42"/>
  <c r="C132" i="42"/>
  <c r="G60" i="42"/>
  <c r="F121" i="42"/>
  <c r="H35" i="42"/>
  <c r="D43" i="42"/>
  <c r="B91" i="42"/>
  <c r="D44" i="42"/>
  <c r="F96" i="42"/>
  <c r="B151" i="42"/>
  <c r="F44" i="42"/>
  <c r="G138" i="42"/>
  <c r="A72" i="42"/>
  <c r="B37" i="42"/>
  <c r="H81" i="42"/>
  <c r="B54" i="42"/>
  <c r="D103" i="42"/>
  <c r="A117" i="42"/>
  <c r="F66" i="42"/>
  <c r="H122" i="42"/>
  <c r="H47" i="42"/>
  <c r="D55" i="42"/>
  <c r="B103" i="42"/>
  <c r="D40" i="42"/>
  <c r="F92" i="42"/>
  <c r="A150" i="42"/>
  <c r="H68" i="42"/>
  <c r="A169" i="42"/>
  <c r="H69" i="42"/>
  <c r="C74" i="42"/>
  <c r="E123" i="42"/>
  <c r="D46" i="42"/>
  <c r="F98" i="42"/>
  <c r="F153" i="42"/>
  <c r="H42" i="42"/>
  <c r="F145" i="42"/>
  <c r="H59" i="42"/>
  <c r="D67" i="42"/>
  <c r="E113" i="42"/>
  <c r="D68" i="42"/>
  <c r="A119" i="42"/>
  <c r="F51" i="42"/>
  <c r="B59" i="42"/>
  <c r="H103" i="42"/>
  <c r="B44" i="42"/>
  <c r="D93" i="42"/>
  <c r="D145" i="42"/>
  <c r="G30" i="42"/>
  <c r="F128" i="42"/>
  <c r="G31" i="42"/>
  <c r="C39" i="42"/>
  <c r="E85" i="42"/>
  <c r="H71" i="42"/>
  <c r="C76" i="42"/>
  <c r="G125" i="42"/>
  <c r="D64" i="42"/>
  <c r="A115" i="42"/>
  <c r="A42" i="42"/>
  <c r="E49" i="42"/>
  <c r="G92" i="42"/>
  <c r="E50" i="42"/>
  <c r="C98" i="42"/>
  <c r="E147" i="42"/>
  <c r="G42" i="42"/>
  <c r="F140" i="42"/>
  <c r="F69" i="42"/>
  <c r="C35" i="42"/>
  <c r="E81" i="42"/>
  <c r="C52" i="42"/>
  <c r="A103" i="42"/>
  <c r="C120" i="42"/>
  <c r="G64" i="42"/>
  <c r="F125" i="42"/>
  <c r="G33" i="42"/>
  <c r="C41" i="42"/>
  <c r="E87" i="42"/>
  <c r="B68" i="42"/>
  <c r="A77" i="42"/>
  <c r="C131" i="42"/>
  <c r="G54" i="42"/>
  <c r="H115" i="42"/>
  <c r="G55" i="42"/>
  <c r="C63" i="42"/>
  <c r="G109" i="42"/>
  <c r="B42" i="42"/>
  <c r="D91" i="42"/>
  <c r="B143" i="42"/>
  <c r="F38" i="42"/>
  <c r="E132" i="42"/>
  <c r="F55" i="42"/>
  <c r="B63" i="42"/>
  <c r="H107" i="42"/>
  <c r="B64" i="42"/>
  <c r="A73" i="42"/>
  <c r="C127" i="42"/>
  <c r="D62" i="42"/>
  <c r="G112" i="42"/>
  <c r="C75" i="42"/>
  <c r="H58" i="42"/>
  <c r="A159" i="42"/>
  <c r="E32" i="42"/>
  <c r="C80" i="42"/>
  <c r="G129" i="42"/>
  <c r="A45" i="42"/>
  <c r="A135" i="42"/>
  <c r="F67" i="42"/>
  <c r="C33" i="42"/>
  <c r="E79" i="42"/>
  <c r="B60" i="42"/>
  <c r="B109" i="42"/>
  <c r="C123" i="42"/>
  <c r="G46" i="42"/>
  <c r="F144" i="42"/>
  <c r="G47" i="42"/>
  <c r="C55" i="42"/>
  <c r="G101" i="42"/>
  <c r="B66" i="42"/>
  <c r="A75" i="42"/>
  <c r="A129" i="42"/>
  <c r="F62" i="42"/>
  <c r="H118" i="42"/>
  <c r="G37" i="42"/>
  <c r="C45" i="42"/>
  <c r="E91" i="42"/>
  <c r="C46" i="42"/>
  <c r="A97" i="42"/>
  <c r="C113" i="42"/>
  <c r="E118" i="42"/>
  <c r="H178" i="42"/>
  <c r="G136" i="42"/>
  <c r="E164" i="42"/>
  <c r="E146" i="42"/>
  <c r="E174" i="42"/>
  <c r="I174" i="42" s="1"/>
  <c r="B154" i="42"/>
  <c r="A158" i="42"/>
  <c r="E126" i="42"/>
  <c r="H154" i="42"/>
  <c r="E149" i="42"/>
  <c r="B167" i="42"/>
  <c r="E122" i="42"/>
  <c r="C177" i="42"/>
  <c r="G132" i="42"/>
  <c r="G160" i="42"/>
  <c r="G97" i="42"/>
  <c r="H163" i="42"/>
  <c r="G83" i="42"/>
  <c r="B177" i="42"/>
  <c r="G93" i="42"/>
  <c r="F159" i="42"/>
  <c r="G103" i="42"/>
  <c r="F169" i="42"/>
  <c r="E105" i="42"/>
  <c r="H171" i="42"/>
  <c r="G91" i="42"/>
  <c r="H157" i="42"/>
  <c r="E101" i="42"/>
  <c r="F167" i="42"/>
  <c r="G111" i="42"/>
  <c r="G177" i="42"/>
  <c r="E150" i="42"/>
  <c r="B175" i="42"/>
  <c r="B166" i="42"/>
  <c r="C170" i="42"/>
  <c r="G77" i="42"/>
  <c r="H170" i="42"/>
  <c r="G87" i="42"/>
  <c r="H153" i="42"/>
  <c r="D156" i="42"/>
  <c r="D160" i="42"/>
  <c r="G144" i="42"/>
  <c r="E172" i="42"/>
  <c r="I172" i="42" s="1"/>
  <c r="G151" i="42"/>
  <c r="C156" i="42"/>
  <c r="D162" i="42"/>
  <c r="A166" i="42"/>
  <c r="H88" i="42"/>
  <c r="C169" i="42"/>
  <c r="H74" i="42"/>
  <c r="C155" i="42"/>
  <c r="H84" i="42"/>
  <c r="A165" i="42"/>
  <c r="H94" i="42"/>
  <c r="D175" i="42"/>
  <c r="H96" i="42"/>
  <c r="D177" i="42"/>
  <c r="H82" i="42"/>
  <c r="A163" i="42"/>
  <c r="H92" i="42"/>
  <c r="A173" i="42"/>
  <c r="E102" i="42"/>
  <c r="G156" i="42"/>
  <c r="B133" i="42"/>
  <c r="D100" i="42"/>
  <c r="D119" i="42"/>
  <c r="B110" i="42"/>
  <c r="B129" i="42"/>
  <c r="F79" i="42"/>
  <c r="D139" i="42"/>
  <c r="A90" i="42"/>
  <c r="D146" i="42"/>
  <c r="A76" i="42"/>
  <c r="B132" i="42"/>
  <c r="A86" i="42"/>
  <c r="D142" i="42"/>
  <c r="A96" i="42"/>
  <c r="D115" i="42"/>
  <c r="D120" i="42"/>
  <c r="F178" i="42"/>
  <c r="F107" i="42"/>
  <c r="G164" i="42"/>
  <c r="D116" i="42"/>
  <c r="C174" i="42"/>
  <c r="B126" i="42"/>
  <c r="E156" i="42"/>
  <c r="D128" i="42"/>
  <c r="G158" i="42"/>
  <c r="A114" i="42"/>
  <c r="C172" i="42"/>
  <c r="D124" i="42"/>
  <c r="G154" i="42"/>
  <c r="B134" i="42"/>
  <c r="H164" i="42"/>
  <c r="F150" i="42"/>
  <c r="C77" i="42"/>
  <c r="H136" i="42"/>
  <c r="C95" i="42"/>
  <c r="F146" i="42"/>
  <c r="A105" i="42"/>
  <c r="C118" i="42"/>
  <c r="B168" i="42"/>
  <c r="F126" i="42"/>
  <c r="B173" i="42"/>
  <c r="C114" i="42"/>
  <c r="D159" i="42"/>
  <c r="F122" i="42"/>
  <c r="D169" i="42"/>
  <c r="H132" i="42"/>
  <c r="D98" i="42"/>
  <c r="D122" i="42"/>
  <c r="D92" i="42"/>
  <c r="C146" i="42"/>
  <c r="A102" i="42"/>
  <c r="D118" i="42"/>
  <c r="C112" i="42"/>
  <c r="B128" i="42"/>
  <c r="A74" i="42"/>
  <c r="D130" i="42"/>
  <c r="C100" i="42"/>
  <c r="B116" i="42"/>
  <c r="A110" i="42"/>
  <c r="D126" i="42"/>
  <c r="A80" i="42"/>
  <c r="B136" i="42"/>
  <c r="F127" i="42"/>
  <c r="C173" i="42"/>
  <c r="H31" i="42"/>
  <c r="D39" i="42"/>
  <c r="B87" i="42"/>
  <c r="C66" i="42"/>
  <c r="F76" i="42"/>
  <c r="A134" i="42"/>
  <c r="H52" i="42"/>
  <c r="A153" i="42"/>
  <c r="H53" i="42"/>
  <c r="D61" i="42"/>
  <c r="D109" i="42"/>
  <c r="B50" i="42"/>
  <c r="D99" i="42"/>
  <c r="B113" i="42"/>
  <c r="F46" i="42"/>
  <c r="E140" i="42"/>
  <c r="F63" i="42"/>
  <c r="B71" i="42"/>
  <c r="E75" i="42"/>
  <c r="C30" i="42"/>
  <c r="A81" i="42"/>
  <c r="C135" i="42"/>
  <c r="H64" i="42"/>
  <c r="C165" i="42"/>
  <c r="H49" i="42"/>
  <c r="D57" i="42"/>
  <c r="D105" i="42"/>
  <c r="A35" i="42"/>
  <c r="C125" i="42"/>
  <c r="A36" i="42"/>
  <c r="E43" i="42"/>
  <c r="G86" i="42"/>
  <c r="H55" i="42"/>
  <c r="D63" i="42"/>
  <c r="B111" i="42"/>
  <c r="D48" i="42"/>
  <c r="E100" i="42"/>
  <c r="E155" i="42"/>
  <c r="E33" i="42"/>
  <c r="G76" i="42"/>
  <c r="E34" i="42"/>
  <c r="C82" i="42"/>
  <c r="E131" i="42"/>
  <c r="G81" i="42"/>
  <c r="F68" i="42"/>
  <c r="F124" i="42"/>
  <c r="F53" i="42"/>
  <c r="B61" i="42"/>
  <c r="F105" i="42"/>
  <c r="C36" i="42"/>
  <c r="A87" i="42"/>
  <c r="A141" i="42"/>
  <c r="G48" i="42"/>
  <c r="H146" i="42"/>
  <c r="A38" i="42"/>
  <c r="E45" i="42"/>
  <c r="G88" i="42"/>
  <c r="E30" i="42"/>
  <c r="C78" i="42"/>
  <c r="E127" i="42"/>
  <c r="A59" i="42"/>
  <c r="C149" i="42"/>
  <c r="A60" i="42"/>
  <c r="E67" i="42"/>
  <c r="H110" i="42"/>
  <c r="C48" i="42"/>
  <c r="A99" i="42"/>
  <c r="C116" i="42"/>
  <c r="G44" i="42"/>
  <c r="H142" i="42"/>
  <c r="G61" i="42"/>
  <c r="C69" i="42"/>
  <c r="B75" i="42"/>
  <c r="C70" i="42"/>
  <c r="F80" i="42"/>
  <c r="A138" i="42"/>
  <c r="G50" i="42"/>
  <c r="F148" i="42"/>
  <c r="G35" i="42"/>
  <c r="C43" i="42"/>
  <c r="E89" i="42"/>
  <c r="C60" i="42"/>
  <c r="A111" i="42"/>
  <c r="C128" i="42"/>
  <c r="H30" i="42"/>
  <c r="F133" i="42"/>
  <c r="E52" i="42"/>
  <c r="B100" i="42"/>
  <c r="G149" i="42"/>
  <c r="A49" i="42"/>
  <c r="A139" i="42"/>
  <c r="A66" i="42"/>
  <c r="B31" i="42"/>
  <c r="H75" i="42"/>
  <c r="B32" i="42"/>
  <c r="D81" i="42"/>
  <c r="D133" i="42"/>
  <c r="D30" i="42"/>
  <c r="F82" i="42"/>
  <c r="C140" i="42"/>
  <c r="G68" i="42"/>
  <c r="F129" i="42"/>
  <c r="H43" i="42"/>
  <c r="D51" i="42"/>
  <c r="B99" i="42"/>
  <c r="D52" i="42"/>
  <c r="E104" i="42"/>
  <c r="F35" i="42"/>
  <c r="B43" i="42"/>
  <c r="H87" i="42"/>
  <c r="E70" i="42"/>
  <c r="D77" i="42"/>
  <c r="D129" i="42"/>
  <c r="F56" i="42"/>
  <c r="G150" i="42"/>
  <c r="F57" i="42"/>
  <c r="B65" i="42"/>
  <c r="F109" i="42"/>
  <c r="B34" i="42"/>
  <c r="D83" i="42"/>
  <c r="B135" i="42"/>
  <c r="F30" i="42"/>
  <c r="E124" i="42"/>
  <c r="F47" i="42"/>
  <c r="B55" i="42"/>
  <c r="H99" i="42"/>
  <c r="B56" i="42"/>
  <c r="B105" i="42"/>
  <c r="C119" i="42"/>
  <c r="A47" i="42"/>
  <c r="C137" i="42"/>
  <c r="A32" i="42"/>
  <c r="E39" i="42"/>
  <c r="G82" i="42"/>
  <c r="E56" i="42"/>
  <c r="B104" i="42"/>
  <c r="B115" i="42"/>
  <c r="A69" i="42"/>
  <c r="E120" i="42"/>
  <c r="D74" i="42"/>
  <c r="G66" i="42"/>
  <c r="H127" i="42"/>
  <c r="G51" i="42"/>
  <c r="C59" i="42"/>
  <c r="G105" i="42"/>
  <c r="D34" i="42"/>
  <c r="F86" i="42"/>
  <c r="C144" i="42"/>
  <c r="H46" i="42"/>
  <c r="F149" i="42"/>
  <c r="E68" i="42"/>
  <c r="D75" i="42"/>
  <c r="B127" i="42"/>
  <c r="A65" i="42"/>
  <c r="E116" i="42"/>
  <c r="F39" i="42"/>
  <c r="B47" i="42"/>
  <c r="H91" i="42"/>
  <c r="B48" i="42"/>
  <c r="D97" i="42"/>
  <c r="D149" i="42"/>
  <c r="A71" i="42"/>
  <c r="G122" i="42"/>
  <c r="A56" i="42"/>
  <c r="E63" i="42"/>
  <c r="H106" i="42"/>
  <c r="B38" i="42"/>
  <c r="D87" i="42"/>
  <c r="B139" i="42"/>
  <c r="F50" i="42"/>
  <c r="E144" i="42"/>
  <c r="D82" i="42"/>
  <c r="E96" i="42"/>
  <c r="C154" i="42"/>
  <c r="E82" i="42"/>
  <c r="E176" i="42"/>
  <c r="I176" i="42" s="1"/>
  <c r="E92" i="42"/>
  <c r="F177" i="42"/>
  <c r="F102" i="42"/>
  <c r="B160" i="42"/>
  <c r="E72" i="42"/>
  <c r="E166" i="42"/>
  <c r="H98" i="42"/>
  <c r="F151" i="42"/>
  <c r="G108" i="42"/>
  <c r="G162" i="42"/>
  <c r="E78" i="42"/>
  <c r="F172" i="42"/>
  <c r="A104" i="42"/>
  <c r="H175" i="42"/>
  <c r="B90" i="42"/>
  <c r="G161" i="42"/>
  <c r="A100" i="42"/>
  <c r="E171" i="42"/>
  <c r="I171" i="42" s="1"/>
  <c r="C110" i="42"/>
  <c r="D155" i="42"/>
  <c r="A112" i="42"/>
  <c r="B157" i="42"/>
  <c r="B98" i="42"/>
  <c r="G169" i="42"/>
  <c r="A108" i="42"/>
  <c r="C152" i="42"/>
  <c r="H116" i="42"/>
  <c r="B163" i="42"/>
  <c r="B88" i="42"/>
  <c r="G159" i="42"/>
  <c r="B74" i="42"/>
  <c r="D172" i="42"/>
  <c r="B84" i="42"/>
  <c r="G155" i="42"/>
  <c r="B94" i="42"/>
  <c r="E165" i="42"/>
  <c r="H104" i="42"/>
  <c r="A162" i="42"/>
  <c r="E90" i="42"/>
  <c r="F175" i="42"/>
  <c r="H100" i="42"/>
  <c r="C158" i="42"/>
  <c r="F110" i="42"/>
  <c r="E173" i="42"/>
  <c r="I173" i="42" s="1"/>
  <c r="F134" i="42"/>
  <c r="D167" i="42"/>
  <c r="H120" i="42"/>
  <c r="A175" i="42"/>
  <c r="F130" i="42"/>
  <c r="C87" i="42"/>
  <c r="H140" i="42"/>
  <c r="B178" i="42"/>
  <c r="F142" i="42"/>
  <c r="A177" i="42"/>
  <c r="H128" i="42"/>
  <c r="C85" i="42"/>
  <c r="F138" i="42"/>
  <c r="C97" i="42"/>
  <c r="H148" i="42"/>
  <c r="H105" i="42"/>
  <c r="E177" i="42"/>
  <c r="I177" i="42" s="1"/>
  <c r="F147" i="42"/>
  <c r="F163" i="42"/>
  <c r="G119" i="42"/>
  <c r="F173" i="42"/>
  <c r="E129" i="42"/>
  <c r="G174" i="42"/>
  <c r="H137" i="42"/>
  <c r="E153" i="42"/>
  <c r="F123" i="42"/>
  <c r="D166" i="42"/>
  <c r="H133" i="42"/>
  <c r="D176" i="42"/>
  <c r="F143" i="42"/>
  <c r="H159" i="42"/>
  <c r="E134" i="42"/>
  <c r="F162" i="42"/>
  <c r="G120" i="42"/>
  <c r="C175" i="42"/>
  <c r="E130" i="42"/>
  <c r="H158" i="42"/>
  <c r="G140" i="42"/>
  <c r="G168" i="42"/>
  <c r="E142" i="42"/>
  <c r="F170" i="42"/>
  <c r="G128" i="42"/>
  <c r="F156" i="42"/>
  <c r="E138" i="42"/>
  <c r="H166" i="42"/>
  <c r="G148" i="42"/>
  <c r="A152" i="42"/>
  <c r="H162" i="42"/>
  <c r="F91" i="42"/>
  <c r="D151" i="42"/>
  <c r="H101" i="42"/>
  <c r="F158" i="42"/>
  <c r="F111" i="42"/>
  <c r="E168" i="42"/>
  <c r="F81" i="42"/>
  <c r="B141" i="42"/>
  <c r="D108" i="42"/>
  <c r="D127" i="42"/>
  <c r="F77" i="42"/>
  <c r="B137" i="42"/>
  <c r="F87" i="42"/>
  <c r="D147" i="42"/>
  <c r="F113" i="42"/>
  <c r="B156" i="42"/>
  <c r="B138" i="42"/>
  <c r="F168" i="42"/>
  <c r="D148" i="42"/>
  <c r="E151" i="42"/>
  <c r="F119" i="42"/>
  <c r="B162" i="42"/>
  <c r="H121" i="42"/>
  <c r="A164" i="42"/>
  <c r="B146" i="42"/>
  <c r="G176" i="42"/>
  <c r="H117" i="42"/>
  <c r="C160" i="42"/>
  <c r="B170" i="42"/>
  <c r="B86" i="42"/>
  <c r="C32" i="42"/>
  <c r="A83" i="42"/>
  <c r="A137" i="42"/>
  <c r="F70" i="42"/>
  <c r="H126" i="42"/>
  <c r="G45" i="42"/>
  <c r="C53" i="42"/>
  <c r="E99" i="42"/>
  <c r="C54" i="42"/>
  <c r="C105" i="42"/>
  <c r="A122" i="42"/>
  <c r="A55" i="42"/>
  <c r="C145" i="42"/>
  <c r="A40" i="42"/>
  <c r="E47" i="42"/>
  <c r="G90" i="42"/>
  <c r="E64" i="42"/>
  <c r="B112" i="42"/>
  <c r="B123" i="42"/>
  <c r="F34" i="42"/>
  <c r="E128" i="42"/>
  <c r="G57" i="42"/>
  <c r="C65" i="42"/>
  <c r="E111" i="42"/>
  <c r="C50" i="42"/>
  <c r="C101" i="42"/>
  <c r="A118" i="42"/>
  <c r="H36" i="42"/>
  <c r="H139" i="42"/>
  <c r="H37" i="42"/>
  <c r="D45" i="42"/>
  <c r="B93" i="42"/>
  <c r="C56" i="42"/>
  <c r="A107" i="42"/>
  <c r="C124" i="42"/>
  <c r="G52" i="42"/>
  <c r="H150" i="42"/>
  <c r="G69" i="42"/>
  <c r="D35" i="42"/>
  <c r="B83" i="42"/>
  <c r="D36" i="42"/>
  <c r="F88" i="42"/>
  <c r="A146" i="42"/>
  <c r="A62" i="42"/>
  <c r="E69" i="42"/>
  <c r="F112" i="42"/>
  <c r="E54" i="42"/>
  <c r="D102" i="42"/>
  <c r="A113" i="42"/>
  <c r="F40" i="42"/>
  <c r="G134" i="42"/>
  <c r="F41" i="42"/>
  <c r="B49" i="42"/>
  <c r="H93" i="42"/>
  <c r="H39" i="42"/>
  <c r="D47" i="42"/>
  <c r="B95" i="42"/>
  <c r="D32" i="42"/>
  <c r="F84" i="42"/>
  <c r="A142" i="42"/>
  <c r="H60" i="42"/>
  <c r="A161" i="42"/>
  <c r="H61" i="42"/>
  <c r="D69" i="42"/>
  <c r="E115" i="42"/>
  <c r="F52" i="42"/>
  <c r="G146" i="42"/>
  <c r="F37" i="42"/>
  <c r="B45" i="42"/>
  <c r="H89" i="42"/>
  <c r="B62" i="42"/>
  <c r="D111" i="42"/>
  <c r="A125" i="42"/>
  <c r="G32" i="42"/>
  <c r="H130" i="42"/>
  <c r="F43" i="42"/>
  <c r="B51" i="42"/>
  <c r="H95" i="42"/>
  <c r="B36" i="42"/>
  <c r="D85" i="42"/>
  <c r="D137" i="42"/>
  <c r="F64" i="42"/>
  <c r="F120" i="42"/>
  <c r="F65" i="42"/>
  <c r="C31" i="42"/>
  <c r="E77" i="42"/>
  <c r="D54" i="42"/>
  <c r="G106" i="42"/>
  <c r="E161" i="42"/>
  <c r="H50" i="42"/>
  <c r="G153" i="42"/>
  <c r="H67" i="42"/>
  <c r="D70" i="42"/>
  <c r="G121" i="42"/>
  <c r="A37" i="42"/>
  <c r="A127" i="42"/>
  <c r="G163" i="42"/>
  <c r="G34" i="42"/>
  <c r="F132" i="42"/>
  <c r="F61" i="42"/>
  <c r="B69" i="42"/>
  <c r="E73" i="42"/>
  <c r="C44" i="42"/>
  <c r="A95" i="42"/>
  <c r="A149" i="42"/>
  <c r="G56" i="42"/>
  <c r="F117" i="42"/>
  <c r="E36" i="42"/>
  <c r="C84" i="42"/>
  <c r="G133" i="42"/>
  <c r="A33" i="42"/>
  <c r="A123" i="42"/>
  <c r="A50" i="42"/>
  <c r="E57" i="42"/>
  <c r="F100" i="42"/>
  <c r="E58" i="42"/>
  <c r="D106" i="42"/>
  <c r="D117" i="42"/>
  <c r="A39" i="42"/>
  <c r="C129" i="42"/>
  <c r="C91" i="42"/>
  <c r="E31" i="42"/>
  <c r="G74" i="42"/>
  <c r="E48" i="42"/>
  <c r="C96" i="42"/>
  <c r="G145" i="42"/>
  <c r="A61" i="42"/>
  <c r="A151" i="42"/>
  <c r="A130" i="42"/>
  <c r="H48" i="42"/>
  <c r="H151" i="42"/>
  <c r="H33" i="42"/>
  <c r="D41" i="42"/>
  <c r="B89" i="42"/>
  <c r="D58" i="42"/>
  <c r="G110" i="42"/>
  <c r="G165" i="42"/>
  <c r="H70" i="42"/>
  <c r="C171" i="42"/>
  <c r="F59" i="42"/>
  <c r="B67" i="42"/>
  <c r="H111" i="42"/>
  <c r="B52" i="42"/>
  <c r="B101" i="42"/>
  <c r="C115" i="42"/>
  <c r="G38" i="42"/>
  <c r="F136" i="42"/>
  <c r="G39" i="42"/>
  <c r="C47" i="42"/>
  <c r="E93" i="42"/>
  <c r="A31" i="42"/>
  <c r="C121" i="42"/>
  <c r="C83" i="42"/>
  <c r="H66" i="42"/>
  <c r="A167" i="42"/>
  <c r="E40" i="42"/>
  <c r="C88" i="42"/>
  <c r="G137" i="42"/>
  <c r="A53" i="42"/>
  <c r="A143" i="42"/>
  <c r="C99" i="42"/>
  <c r="B72" i="42"/>
  <c r="D72" i="42"/>
  <c r="H57" i="42"/>
  <c r="D65" i="42"/>
  <c r="D113" i="42"/>
  <c r="A43" i="42"/>
  <c r="C133" i="42"/>
  <c r="A44" i="42"/>
  <c r="E51" i="42"/>
  <c r="G94" i="42"/>
  <c r="D136" i="42"/>
  <c r="A144" i="42"/>
  <c r="D76" i="42"/>
  <c r="C130" i="42"/>
  <c r="D86" i="42"/>
  <c r="A140" i="42"/>
  <c r="D96" i="42"/>
  <c r="C150" i="42"/>
  <c r="E159" i="42"/>
  <c r="A120" i="42"/>
  <c r="C93" i="42"/>
  <c r="H144" i="42"/>
  <c r="C103" i="42"/>
  <c r="A116" i="42"/>
  <c r="C72" i="42"/>
  <c r="C126" i="42"/>
  <c r="A98" i="42"/>
  <c r="B117" i="42"/>
  <c r="A84" i="42"/>
  <c r="B140" i="42"/>
  <c r="A94" i="42"/>
  <c r="D150" i="42"/>
  <c r="D104" i="42"/>
  <c r="D123" i="42"/>
  <c r="B106" i="42"/>
  <c r="B125" i="42"/>
  <c r="A92" i="42"/>
  <c r="B148" i="42"/>
  <c r="B102" i="42"/>
  <c r="B121" i="42"/>
  <c r="D112" i="42"/>
  <c r="D131" i="42"/>
  <c r="H176" i="42"/>
  <c r="D138" i="42"/>
  <c r="C108" i="42"/>
  <c r="B124" i="42"/>
  <c r="A78" i="42"/>
  <c r="D134" i="42"/>
  <c r="A88" i="42"/>
  <c r="B144" i="42"/>
  <c r="D90" i="42"/>
  <c r="D114" i="42"/>
  <c r="D84" i="42"/>
  <c r="C138" i="42"/>
  <c r="D94" i="42"/>
  <c r="A148" i="42"/>
  <c r="C104" i="42"/>
  <c r="B120" i="42"/>
  <c r="F89" i="42"/>
  <c r="B149" i="42"/>
  <c r="F75" i="42"/>
  <c r="D135" i="42"/>
  <c r="F85" i="42"/>
  <c r="B145" i="42"/>
  <c r="F95" i="42"/>
  <c r="E152" i="42"/>
  <c r="F97" i="42"/>
  <c r="F154" i="42"/>
  <c r="F83" i="42"/>
  <c r="D143" i="42"/>
  <c r="F93" i="42"/>
  <c r="C153" i="42"/>
  <c r="F103" i="42"/>
  <c r="E160" i="42"/>
  <c r="H72" i="42"/>
  <c r="G152" i="42"/>
  <c r="G99" i="42"/>
  <c r="H165" i="42"/>
  <c r="E109" i="42"/>
  <c r="G175" i="42"/>
  <c r="H78" i="42"/>
  <c r="C159" i="42"/>
  <c r="G89" i="42"/>
  <c r="F155" i="42"/>
  <c r="G75" i="42"/>
  <c r="A178" i="42"/>
  <c r="G85" i="42"/>
  <c r="C151" i="42"/>
  <c r="G95" i="42"/>
  <c r="F161" i="42"/>
  <c r="E80" i="42"/>
  <c r="F174" i="42"/>
  <c r="E106" i="42"/>
  <c r="H160" i="42"/>
  <c r="E76" i="42"/>
  <c r="G170" i="42"/>
  <c r="E86" i="42"/>
  <c r="G171" i="42"/>
  <c r="E88" i="42"/>
  <c r="G173" i="42"/>
  <c r="E74" i="42"/>
  <c r="H168" i="42"/>
  <c r="E84" i="42"/>
  <c r="E178" i="42"/>
  <c r="I178" i="42" s="1"/>
  <c r="E94" i="42"/>
  <c r="G123" i="42"/>
  <c r="D173" i="42"/>
  <c r="E141" i="42"/>
  <c r="B159" i="42"/>
  <c r="E114" i="42"/>
  <c r="B169" i="42"/>
  <c r="G124" i="42"/>
  <c r="B152" i="42"/>
  <c r="G131" i="42"/>
  <c r="F176" i="42"/>
  <c r="E117" i="42"/>
  <c r="F171" i="42"/>
  <c r="G127" i="42"/>
  <c r="G172" i="42"/>
  <c r="E137" i="42"/>
  <c r="B155" i="42"/>
  <c r="C164" i="42"/>
  <c r="D168" i="42"/>
  <c r="H152" i="42"/>
  <c r="A154" i="42"/>
  <c r="A160" i="42"/>
  <c r="B164" i="42"/>
  <c r="D170" i="42"/>
  <c r="B174" i="42"/>
  <c r="G73" i="42"/>
  <c r="A176" i="42"/>
  <c r="B158" i="42"/>
  <c r="C162" i="42"/>
  <c r="A168" i="42"/>
  <c r="B172" i="42"/>
  <c r="G79" i="42"/>
  <c r="F36" i="42"/>
  <c r="G130" i="42"/>
  <c r="A64" i="42"/>
  <c r="E71" i="42"/>
  <c r="H73" i="42"/>
  <c r="B46" i="42"/>
  <c r="D95" i="42"/>
  <c r="B147" i="42"/>
  <c r="F58" i="42"/>
  <c r="H114" i="42"/>
  <c r="A106" i="42"/>
  <c r="H56" i="42"/>
  <c r="C157" i="42"/>
  <c r="H41" i="42"/>
  <c r="D49" i="42"/>
  <c r="B97" i="42"/>
  <c r="D66" i="42"/>
  <c r="C117" i="42"/>
  <c r="C79" i="42"/>
  <c r="E35" i="42"/>
  <c r="G78" i="42"/>
  <c r="B58" i="42"/>
  <c r="D107" i="42"/>
  <c r="A121" i="42"/>
  <c r="F54" i="42"/>
  <c r="E148" i="42"/>
  <c r="F71" i="42"/>
  <c r="C37" i="42"/>
  <c r="E83" i="42"/>
  <c r="C38" i="42"/>
  <c r="A89" i="42"/>
  <c r="C143" i="42"/>
  <c r="F60" i="42"/>
  <c r="F116" i="42"/>
  <c r="F45" i="42"/>
  <c r="B53" i="42"/>
  <c r="H97" i="42"/>
  <c r="B70" i="42"/>
  <c r="A79" i="42"/>
  <c r="A133" i="42"/>
  <c r="G40" i="42"/>
  <c r="H138" i="42"/>
  <c r="A82" i="42"/>
  <c r="H63" i="42"/>
  <c r="D71" i="42"/>
  <c r="G117" i="42"/>
  <c r="D56" i="42"/>
  <c r="E108" i="42"/>
  <c r="A34" i="42"/>
  <c r="E41" i="42"/>
  <c r="G84" i="42"/>
  <c r="E42" i="42"/>
  <c r="C90" i="42"/>
  <c r="E139" i="42"/>
  <c r="C40" i="42"/>
  <c r="A91" i="42"/>
  <c r="A145" i="42"/>
  <c r="G36" i="42"/>
  <c r="H134" i="42"/>
  <c r="G53" i="42"/>
  <c r="C61" i="42"/>
  <c r="E107" i="42"/>
  <c r="C62" i="42"/>
  <c r="F72" i="42"/>
  <c r="A46" i="42"/>
  <c r="E53" i="42"/>
  <c r="G96" i="42"/>
  <c r="E38" i="42"/>
  <c r="C86" i="42"/>
  <c r="E135" i="42"/>
  <c r="A67" i="42"/>
  <c r="G118" i="42"/>
  <c r="A68" i="42"/>
  <c r="B33" i="42"/>
  <c r="H77" i="42"/>
  <c r="E44" i="42"/>
  <c r="C92" i="42"/>
  <c r="G141" i="42"/>
  <c r="A41" i="42"/>
  <c r="A131" i="42"/>
  <c r="A58" i="42"/>
  <c r="E65" i="42"/>
  <c r="F108" i="42"/>
  <c r="E66" i="42"/>
  <c r="D73" i="42"/>
  <c r="D125" i="42"/>
  <c r="G58" i="42"/>
  <c r="H119" i="42"/>
  <c r="G43" i="42"/>
  <c r="C51" i="42"/>
  <c r="E97" i="42"/>
  <c r="C68" i="42"/>
  <c r="F78" i="42"/>
  <c r="C136" i="42"/>
  <c r="H38" i="42"/>
  <c r="F141" i="42"/>
  <c r="A70" i="42"/>
  <c r="B35" i="42"/>
  <c r="H79" i="42"/>
  <c r="E62" i="42"/>
  <c r="D110" i="42"/>
  <c r="D121" i="42"/>
  <c r="F48" i="42"/>
  <c r="G142" i="42"/>
  <c r="F49" i="42"/>
  <c r="B57" i="42"/>
  <c r="F101" i="42"/>
  <c r="D38" i="42"/>
  <c r="F90" i="42"/>
  <c r="C148" i="42"/>
  <c r="H34" i="42"/>
  <c r="F137" i="42"/>
  <c r="H51" i="42"/>
  <c r="D59" i="42"/>
  <c r="B107" i="42"/>
  <c r="D60" i="42"/>
  <c r="E112" i="42"/>
  <c r="C73" i="42"/>
  <c r="H40" i="42"/>
  <c r="H143" i="42"/>
  <c r="G67" i="42"/>
  <c r="D33" i="42"/>
  <c r="B81" i="42"/>
  <c r="D50" i="42"/>
  <c r="G102" i="42"/>
  <c r="G157" i="42"/>
  <c r="H62" i="42"/>
  <c r="C163" i="42"/>
  <c r="G41" i="42"/>
  <c r="C49" i="42"/>
  <c r="E95" i="42"/>
  <c r="C34" i="42"/>
  <c r="A85" i="42"/>
  <c r="C139" i="42"/>
  <c r="G62" i="42"/>
  <c r="H123" i="42"/>
  <c r="G63" i="42"/>
  <c r="C71" i="42"/>
  <c r="B77" i="42"/>
  <c r="E60" i="42"/>
  <c r="B108" i="42"/>
  <c r="B119" i="42"/>
  <c r="A57" i="42"/>
  <c r="A147" i="42"/>
  <c r="F31" i="42"/>
  <c r="B39" i="42"/>
  <c r="H83" i="42"/>
  <c r="B40" i="42"/>
  <c r="D89" i="42"/>
  <c r="D141" i="42"/>
  <c r="H32" i="42"/>
  <c r="H135" i="42"/>
  <c r="G59" i="42"/>
  <c r="C67" i="42"/>
  <c r="B73" i="42"/>
  <c r="D42" i="42"/>
  <c r="F94" i="42"/>
  <c r="D152" i="42"/>
  <c r="H54" i="42"/>
  <c r="A155" i="42"/>
  <c r="G65" i="42"/>
  <c r="D31" i="42"/>
  <c r="B79" i="42"/>
  <c r="C58" i="42"/>
  <c r="C109" i="42"/>
  <c r="A126" i="42"/>
  <c r="H44" i="42"/>
  <c r="H147" i="42"/>
  <c r="H45" i="42"/>
  <c r="D53" i="42"/>
  <c r="D101" i="42"/>
  <c r="C81" i="42"/>
  <c r="G166" i="42"/>
  <c r="B122" i="42"/>
  <c r="F152" i="42"/>
  <c r="D132" i="42"/>
  <c r="E162" i="42"/>
  <c r="B142" i="42"/>
  <c r="H172" i="42"/>
  <c r="H113" i="42"/>
  <c r="E167" i="42"/>
  <c r="F99" i="42"/>
  <c r="H156" i="42"/>
  <c r="H109" i="42"/>
  <c r="F166" i="42"/>
  <c r="B118" i="42"/>
  <c r="B176" i="42"/>
  <c r="H145" i="42"/>
  <c r="H161" i="42"/>
  <c r="F131" i="42"/>
  <c r="A174" i="42"/>
  <c r="H141" i="42"/>
  <c r="F157" i="42"/>
  <c r="G113" i="42"/>
  <c r="H167" i="42"/>
  <c r="G115" i="42"/>
  <c r="H169" i="42"/>
  <c r="F139" i="42"/>
  <c r="H155" i="42"/>
  <c r="H149" i="42"/>
  <c r="F165" i="42"/>
  <c r="E121" i="42"/>
  <c r="E175" i="42"/>
  <c r="I175" i="42" s="1"/>
  <c r="F73" i="42"/>
  <c r="A172" i="42"/>
  <c r="F115" i="42"/>
  <c r="D158" i="42"/>
  <c r="H125" i="42"/>
  <c r="C168" i="42"/>
  <c r="F135" i="42"/>
  <c r="D178" i="42"/>
  <c r="D144" i="42"/>
  <c r="H174" i="42"/>
  <c r="B130" i="42"/>
  <c r="F160" i="42"/>
  <c r="D140" i="42"/>
  <c r="E170" i="42"/>
  <c r="I170" i="42" s="1"/>
  <c r="B150" i="42"/>
  <c r="D154" i="42"/>
  <c r="G139" i="42"/>
  <c r="D157" i="42"/>
  <c r="E125" i="42"/>
  <c r="E169" i="42"/>
  <c r="I169" i="42" s="1"/>
  <c r="G135" i="42"/>
  <c r="B153" i="42"/>
  <c r="E145" i="42"/>
  <c r="D163" i="42"/>
  <c r="G147" i="42"/>
  <c r="D165" i="42"/>
  <c r="E133" i="42"/>
  <c r="G178" i="42"/>
  <c r="G143" i="42"/>
  <c r="B161" i="42"/>
  <c r="G116" i="42"/>
  <c r="D171" i="42"/>
  <c r="F118" i="42"/>
  <c r="B165" i="42"/>
  <c r="C106" i="42"/>
  <c r="H177" i="42"/>
  <c r="F114" i="42"/>
  <c r="D161" i="42"/>
  <c r="H124" i="42"/>
  <c r="B171" i="42"/>
  <c r="B96" i="42"/>
  <c r="G167" i="42"/>
  <c r="B82" i="42"/>
  <c r="D153" i="42"/>
  <c r="B92" i="42"/>
  <c r="E163" i="42"/>
  <c r="C102" i="42"/>
  <c r="C89" i="42"/>
  <c r="A128" i="42"/>
  <c r="A101" i="42"/>
  <c r="B114" i="42"/>
  <c r="C111" i="42"/>
  <c r="A124" i="42"/>
  <c r="D80" i="42"/>
  <c r="C134" i="42"/>
  <c r="C107" i="42"/>
  <c r="A136" i="42"/>
  <c r="A109" i="42"/>
  <c r="C122" i="42"/>
  <c r="D78" i="42"/>
  <c r="A132" i="42"/>
  <c r="D88" i="42"/>
  <c r="C142" i="42"/>
  <c r="G104" i="42"/>
  <c r="E158" i="42"/>
  <c r="H90" i="42"/>
  <c r="A171" i="42"/>
  <c r="G100" i="42"/>
  <c r="E154" i="42"/>
  <c r="E110" i="42"/>
  <c r="F164" i="42"/>
  <c r="H80" i="42"/>
  <c r="C161" i="42"/>
  <c r="G107" i="42"/>
  <c r="H173" i="42"/>
  <c r="H76" i="42"/>
  <c r="A157" i="42"/>
  <c r="H86" i="42"/>
  <c r="C167" i="42"/>
  <c r="H112" i="42"/>
  <c r="A170" i="42"/>
  <c r="E98" i="42"/>
  <c r="A156" i="42"/>
  <c r="H108" i="42"/>
  <c r="C166" i="42"/>
  <c r="B78" i="42"/>
  <c r="C176" i="42"/>
  <c r="B80" i="42"/>
  <c r="C178" i="42"/>
  <c r="F106" i="42"/>
  <c r="D164" i="42"/>
  <c r="B76" i="42"/>
  <c r="D174" i="42"/>
  <c r="E157" i="42"/>
  <c r="H24" i="56"/>
  <c r="D13" i="39"/>
  <c r="C25" i="42"/>
  <c r="I13" i="42"/>
  <c r="F15" i="42"/>
  <c r="A24" i="42"/>
  <c r="F25" i="42"/>
  <c r="H29" i="42"/>
  <c r="C18" i="42"/>
  <c r="D23" i="42"/>
  <c r="H18" i="42"/>
  <c r="H5" i="39"/>
  <c r="M16" i="39" s="1"/>
  <c r="C17" i="42"/>
  <c r="F26" i="42"/>
  <c r="C15" i="39"/>
  <c r="C20" i="42"/>
  <c r="D28" i="42"/>
  <c r="E22" i="42"/>
  <c r="H24" i="42"/>
  <c r="D24" i="42"/>
  <c r="F17" i="42"/>
  <c r="C21" i="42"/>
  <c r="H26" i="42"/>
  <c r="F18" i="42"/>
  <c r="H22" i="42"/>
  <c r="E18" i="42"/>
  <c r="E19" i="42"/>
  <c r="D21" i="42"/>
  <c r="B24" i="42"/>
  <c r="B22" i="42"/>
  <c r="H23" i="42"/>
  <c r="G23" i="42"/>
  <c r="E17" i="42"/>
  <c r="E28" i="42"/>
  <c r="G27" i="42"/>
  <c r="A15" i="42"/>
  <c r="C24" i="42"/>
  <c r="D18" i="42"/>
  <c r="B16" i="42"/>
  <c r="H28" i="42"/>
  <c r="J23" i="69"/>
  <c r="C23" i="69"/>
  <c r="F23" i="69"/>
  <c r="E23" i="69"/>
  <c r="E14" i="69"/>
  <c r="J14" i="69"/>
  <c r="C14" i="69"/>
  <c r="F14" i="69"/>
  <c r="E15" i="69"/>
  <c r="F15" i="69"/>
  <c r="C15" i="69"/>
  <c r="J15" i="69"/>
  <c r="C25" i="69"/>
  <c r="E25" i="69"/>
  <c r="F25" i="69"/>
  <c r="J25" i="69"/>
  <c r="G19" i="42"/>
  <c r="G15" i="42"/>
  <c r="C19" i="69"/>
  <c r="E19" i="69"/>
  <c r="F19" i="69"/>
  <c r="J19" i="69"/>
  <c r="F28" i="69"/>
  <c r="C28" i="69"/>
  <c r="E28" i="69"/>
  <c r="J28" i="69"/>
  <c r="C30" i="69"/>
  <c r="F30" i="69"/>
  <c r="J30" i="69"/>
  <c r="E30" i="69"/>
  <c r="J22" i="69"/>
  <c r="C22" i="69"/>
  <c r="E22" i="69"/>
  <c r="F22" i="69"/>
  <c r="E21" i="42"/>
  <c r="E26" i="42"/>
  <c r="H14" i="42"/>
  <c r="A21" i="42"/>
  <c r="F20" i="42"/>
  <c r="A20" i="42"/>
  <c r="F24" i="42"/>
  <c r="C14" i="42"/>
  <c r="A16" i="42"/>
  <c r="D25" i="42"/>
  <c r="C26" i="42"/>
  <c r="D29" i="42"/>
  <c r="A29" i="42"/>
  <c r="F21" i="42"/>
  <c r="B21" i="42"/>
  <c r="D20" i="42"/>
  <c r="F16" i="42"/>
  <c r="C19" i="42"/>
  <c r="C12" i="39"/>
  <c r="M8" i="39"/>
  <c r="G24" i="42"/>
  <c r="B17" i="42"/>
  <c r="E25" i="42"/>
  <c r="F22" i="42"/>
  <c r="C27" i="42"/>
  <c r="E15" i="42"/>
  <c r="G21" i="42"/>
  <c r="F28" i="42"/>
  <c r="E16" i="42"/>
  <c r="E27" i="42"/>
  <c r="H16" i="42"/>
  <c r="C22" i="42"/>
  <c r="A22" i="42"/>
  <c r="B27" i="42"/>
  <c r="A19" i="42"/>
  <c r="G17" i="42"/>
  <c r="B20" i="42"/>
  <c r="D26" i="42"/>
  <c r="F19" i="42"/>
  <c r="B26" i="42"/>
  <c r="G26" i="42"/>
  <c r="H15" i="42"/>
  <c r="D22" i="42"/>
  <c r="H21" i="42"/>
  <c r="G20" i="42"/>
  <c r="A18" i="42"/>
  <c r="H20" i="42"/>
  <c r="B25" i="42"/>
  <c r="B19" i="42"/>
  <c r="A25" i="42"/>
  <c r="G18" i="42"/>
  <c r="C29" i="42"/>
  <c r="C10" i="39"/>
  <c r="E18" i="69"/>
  <c r="F18" i="69"/>
  <c r="J18" i="69"/>
  <c r="C18" i="69"/>
  <c r="C26" i="69"/>
  <c r="E26" i="69"/>
  <c r="J26" i="69"/>
  <c r="F26" i="69"/>
  <c r="G25" i="42"/>
  <c r="H27" i="42"/>
  <c r="D16" i="42"/>
  <c r="E23" i="42"/>
  <c r="C15" i="42"/>
  <c r="D14" i="42"/>
  <c r="B29" i="42"/>
  <c r="F29" i="42"/>
  <c r="H25" i="42"/>
  <c r="F23" i="42"/>
  <c r="F17" i="69"/>
  <c r="E17" i="69"/>
  <c r="C17" i="69"/>
  <c r="J17" i="69"/>
  <c r="E20" i="69"/>
  <c r="F20" i="69"/>
  <c r="J20" i="69"/>
  <c r="C20" i="69"/>
  <c r="H17" i="42"/>
  <c r="D27" i="42"/>
  <c r="E29" i="42"/>
  <c r="G29" i="42"/>
  <c r="G14" i="42"/>
  <c r="E20" i="42"/>
  <c r="A27" i="42"/>
  <c r="E14" i="42"/>
  <c r="E24" i="42"/>
  <c r="A14" i="42"/>
  <c r="A183" i="42" s="1"/>
  <c r="B28" i="42"/>
  <c r="D17" i="42"/>
  <c r="D19" i="42"/>
  <c r="A17" i="42"/>
  <c r="B23" i="42"/>
  <c r="B18" i="42"/>
  <c r="C16" i="42"/>
  <c r="A28" i="42"/>
  <c r="G16" i="42"/>
  <c r="G22" i="42"/>
  <c r="F27" i="42"/>
  <c r="G28" i="42"/>
  <c r="B14" i="42"/>
  <c r="C28" i="42"/>
  <c r="A23" i="42"/>
  <c r="D15" i="42"/>
  <c r="C23" i="42"/>
  <c r="B15" i="42"/>
  <c r="H19" i="42"/>
  <c r="F14" i="42"/>
  <c r="A26" i="42"/>
  <c r="C24" i="69"/>
  <c r="E24" i="69"/>
  <c r="F24" i="69"/>
  <c r="J24" i="69"/>
  <c r="F29" i="69"/>
  <c r="J29" i="69"/>
  <c r="C29" i="69"/>
  <c r="E29" i="69"/>
  <c r="C27" i="69"/>
  <c r="F27" i="69"/>
  <c r="J27" i="69"/>
  <c r="E27" i="69"/>
  <c r="F21" i="69"/>
  <c r="J21" i="69"/>
  <c r="E21" i="69"/>
  <c r="C21" i="69"/>
  <c r="C16" i="69"/>
  <c r="E16" i="69"/>
  <c r="J16" i="69"/>
  <c r="F16" i="69"/>
  <c r="G179" i="42" l="1"/>
  <c r="E32" i="69"/>
  <c r="N32" i="69"/>
  <c r="I14" i="42"/>
  <c r="I15" i="42" s="1"/>
  <c r="I16" i="42" s="1"/>
  <c r="I17" i="42" s="1"/>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I52" i="42" s="1"/>
  <c r="I53" i="42" s="1"/>
  <c r="I54" i="42" s="1"/>
  <c r="I55" i="42" s="1"/>
  <c r="I56" i="42" s="1"/>
  <c r="I57" i="42" s="1"/>
  <c r="I58" i="42" s="1"/>
  <c r="I59" i="42" s="1"/>
  <c r="I60" i="42" s="1"/>
  <c r="I61" i="42" s="1"/>
  <c r="I62" i="42" s="1"/>
  <c r="I63" i="42" s="1"/>
  <c r="I64" i="42" s="1"/>
  <c r="I65" i="42" s="1"/>
  <c r="I66" i="42" s="1"/>
  <c r="I67" i="42" s="1"/>
  <c r="I68" i="42" s="1"/>
  <c r="I69" i="42" s="1"/>
  <c r="I70" i="42" s="1"/>
  <c r="I71" i="42" s="1"/>
  <c r="I72" i="42" s="1"/>
  <c r="I73" i="42" s="1"/>
  <c r="I74" i="42" s="1"/>
  <c r="I75" i="42" s="1"/>
  <c r="I76" i="42" s="1"/>
  <c r="I77" i="42" s="1"/>
  <c r="I78" i="42" s="1"/>
  <c r="I79" i="42" s="1"/>
  <c r="I80" i="42" s="1"/>
  <c r="I81" i="42" s="1"/>
  <c r="I82" i="42" s="1"/>
  <c r="I83" i="42" s="1"/>
  <c r="I84" i="42" s="1"/>
  <c r="I85" i="42" s="1"/>
  <c r="I86" i="42" s="1"/>
  <c r="I87" i="42" s="1"/>
  <c r="I88" i="42" s="1"/>
  <c r="I89" i="42" s="1"/>
  <c r="I90" i="42" s="1"/>
  <c r="I91" i="42" s="1"/>
  <c r="I92" i="42" s="1"/>
  <c r="I93" i="42" s="1"/>
  <c r="I94" i="42" s="1"/>
  <c r="I95" i="42" s="1"/>
  <c r="I96" i="42" s="1"/>
  <c r="I97" i="42" s="1"/>
  <c r="I98" i="42" s="1"/>
  <c r="I99" i="42" s="1"/>
  <c r="I100" i="42" s="1"/>
  <c r="I101" i="42" s="1"/>
  <c r="I102" i="42" s="1"/>
  <c r="I103" i="42" s="1"/>
  <c r="I104" i="42" s="1"/>
  <c r="I105" i="42" s="1"/>
  <c r="I106" i="42" s="1"/>
  <c r="I107" i="42" s="1"/>
  <c r="I108" i="42" s="1"/>
  <c r="I109" i="42" s="1"/>
  <c r="I110" i="42" s="1"/>
  <c r="I111" i="42" s="1"/>
  <c r="I112" i="42" s="1"/>
  <c r="I113" i="42" s="1"/>
  <c r="I114" i="42" s="1"/>
  <c r="I115" i="42" s="1"/>
  <c r="I116" i="42" s="1"/>
  <c r="I117" i="42" s="1"/>
  <c r="I118" i="42" s="1"/>
  <c r="I119" i="42" s="1"/>
  <c r="I120" i="42" s="1"/>
  <c r="I121" i="42" s="1"/>
  <c r="I122" i="42" s="1"/>
  <c r="I123" i="42" s="1"/>
  <c r="I124" i="42" s="1"/>
  <c r="I125" i="42" s="1"/>
  <c r="I126" i="42" s="1"/>
  <c r="I127" i="42" s="1"/>
  <c r="I128" i="42" s="1"/>
  <c r="I129" i="42" s="1"/>
  <c r="I130" i="42" s="1"/>
  <c r="I131" i="42" s="1"/>
  <c r="I132" i="42" s="1"/>
  <c r="I133" i="42" s="1"/>
  <c r="I134" i="42" s="1"/>
  <c r="I135" i="42" s="1"/>
  <c r="I136" i="42" s="1"/>
  <c r="I137" i="42" s="1"/>
  <c r="I138" i="42" s="1"/>
  <c r="I139" i="42" s="1"/>
  <c r="I140" i="42" s="1"/>
  <c r="I141" i="42" s="1"/>
  <c r="I142" i="42" s="1"/>
  <c r="I143" i="42" s="1"/>
  <c r="I144" i="42" s="1"/>
  <c r="I145" i="42" s="1"/>
  <c r="I146" i="42" s="1"/>
  <c r="I147" i="42" s="1"/>
  <c r="I148" i="42" s="1"/>
  <c r="I149" i="42" s="1"/>
  <c r="I150" i="42" s="1"/>
  <c r="I151" i="42" s="1"/>
  <c r="I152" i="42" s="1"/>
  <c r="I153" i="42" s="1"/>
  <c r="I154" i="42" s="1"/>
  <c r="I155" i="42" s="1"/>
  <c r="I156" i="42" s="1"/>
  <c r="I157" i="42" s="1"/>
  <c r="I158" i="42" s="1"/>
  <c r="I159" i="42" s="1"/>
  <c r="I160" i="42" s="1"/>
  <c r="I161" i="42" s="1"/>
  <c r="I162" i="42" s="1"/>
  <c r="I163" i="42" s="1"/>
  <c r="I164" i="42" s="1"/>
  <c r="I165" i="42" s="1"/>
  <c r="I166" i="42" s="1"/>
  <c r="I167" i="42" s="1"/>
  <c r="I168" i="42" s="1"/>
  <c r="H179" i="42"/>
  <c r="I180" i="42" l="1"/>
  <c r="G68" i="60"/>
  <c r="N62" i="60"/>
  <c r="N68" i="60" s="1"/>
  <c r="F62" i="60"/>
  <c r="P62" i="60" l="1"/>
</calcChain>
</file>

<file path=xl/comments1.xml><?xml version="1.0" encoding="utf-8"?>
<comments xmlns="http://schemas.openxmlformats.org/spreadsheetml/2006/main">
  <authors>
    <author>User</author>
  </authors>
  <commentList>
    <comment ref="G91" authorId="0">
      <text>
        <r>
          <rPr>
            <b/>
            <sz val="9"/>
            <color indexed="81"/>
            <rFont val="Tahoma"/>
            <family val="2"/>
          </rPr>
          <t>User:</t>
        </r>
        <r>
          <rPr>
            <sz val="9"/>
            <color indexed="81"/>
            <rFont val="Tahoma"/>
            <family val="2"/>
          </rPr>
          <t xml:space="preserve">
Đình Thái</t>
        </r>
      </text>
    </comment>
    <comment ref="G92" authorId="0">
      <text>
        <r>
          <rPr>
            <b/>
            <sz val="9"/>
            <color indexed="81"/>
            <rFont val="Tahoma"/>
            <family val="2"/>
          </rPr>
          <t>User:</t>
        </r>
        <r>
          <rPr>
            <sz val="9"/>
            <color indexed="81"/>
            <rFont val="Tahoma"/>
            <family val="2"/>
          </rPr>
          <t xml:space="preserve">
Muỗi Tron</t>
        </r>
      </text>
    </comment>
  </commentList>
</comments>
</file>

<file path=xl/sharedStrings.xml><?xml version="1.0" encoding="utf-8"?>
<sst xmlns="http://schemas.openxmlformats.org/spreadsheetml/2006/main" count="35177" uniqueCount="3033">
  <si>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</si>
  <si>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</si>
  <si>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</si>
  <si>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</si>
  <si>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</si>
  <si>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</si>
  <si>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</si>
  <si>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</si>
  <si>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</si>
  <si>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</si>
  <si>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</si>
  <si>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</si>
  <si>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</si>
  <si>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</si>
  <si>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</si>
  <si>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</si>
  <si>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</si>
  <si>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</si>
  <si>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</si>
  <si>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</si>
  <si>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</si>
  <si>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</si>
  <si>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</si>
  <si>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</si>
  <si>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</si>
  <si>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</si>
  <si>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</si>
  <si>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</si>
  <si>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</si>
  <si>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</si>
  <si>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</si>
  <si>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</si>
  <si>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</si>
  <si>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</si>
  <si>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</si>
  <si>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</si>
  <si>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</si>
  <si>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</si>
  <si>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</si>
  <si>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</si>
  <si>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</si>
  <si>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</si>
  <si>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</si>
  <si>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</si>
  <si>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</si>
  <si>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</si>
  <si>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</si>
  <si>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</si>
  <si>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</si>
  <si>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</si>
  <si>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</si>
  <si>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</si>
  <si>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</si>
  <si>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</si>
  <si>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</si>
  <si>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</si>
  <si>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</si>
  <si>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</si>
  <si>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</si>
  <si>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</si>
  <si>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</si>
  <si>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</si>
  <si>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</si>
  <si>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</si>
  <si>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</si>
  <si>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</si>
  <si>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</si>
  <si>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</si>
  <si>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</si>
  <si>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</si>
  <si>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</si>
  <si>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</si>
  <si>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</si>
  <si>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</si>
  <si>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</si>
  <si>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</si>
  <si>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</si>
  <si>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</si>
  <si>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</si>
  <si>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</si>
  <si>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</si>
  <si>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</si>
  <si>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</si>
  <si>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</si>
  <si>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</si>
  <si>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</si>
  <si>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</si>
  <si>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</si>
  <si>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</si>
  <si>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</si>
  <si>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</si>
  <si>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</si>
  <si>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</si>
  <si>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</si>
  <si>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</si>
  <si>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</si>
  <si>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</si>
  <si>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</si>
  <si>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</si>
  <si>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</si>
  <si>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</si>
  <si>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</si>
  <si>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</si>
  <si>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</si>
  <si>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</si>
  <si>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</si>
  <si>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</si>
  <si>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</si>
  <si>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</si>
  <si>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</si>
  <si>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</si>
  <si>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</si>
  <si>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</si>
  <si>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</si>
  <si>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</si>
  <si>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</si>
  <si>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</si>
  <si>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</si>
  <si>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</si>
  <si>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</si>
  <si>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</si>
  <si>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</si>
  <si>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</si>
  <si>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</si>
  <si>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</si>
  <si>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</si>
  <si>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</si>
  <si>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</si>
  <si>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</si>
  <si>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</si>
  <si>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</si>
  <si>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</si>
  <si>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</si>
  <si>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</si>
  <si>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</si>
  <si>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</si>
  <si>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</si>
  <si>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</si>
  <si>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</si>
  <si>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</si>
  <si>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</si>
  <si>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</si>
  <si>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</si>
  <si>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</si>
  <si>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</si>
  <si>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</si>
  <si>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</si>
  <si>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</si>
  <si>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</si>
  <si>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</si>
  <si>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</si>
  <si>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</si>
  <si>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</si>
  <si>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</si>
  <si>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</si>
  <si>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</si>
  <si>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</si>
  <si>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</si>
  <si>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</si>
  <si>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</si>
  <si>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</si>
  <si>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</si>
  <si>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</si>
  <si>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</si>
  <si>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</si>
  <si>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</si>
  <si>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</si>
  <si>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</si>
  <si>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</si>
  <si>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</si>
  <si>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</si>
  <si>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</si>
  <si>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</si>
  <si>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</si>
  <si>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</si>
  <si>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</si>
  <si>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</si>
  <si>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</si>
  <si>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</si>
  <si>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</si>
  <si>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</si>
  <si>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</si>
  <si>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</si>
  <si>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</si>
  <si>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</si>
  <si>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</si>
  <si>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</si>
  <si>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</si>
  <si>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</si>
  <si>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</si>
  <si>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</si>
  <si>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</si>
  <si>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</si>
  <si>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</si>
  <si>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</si>
  <si>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</si>
  <si>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</si>
  <si>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</si>
  <si>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</si>
  <si>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</si>
  <si>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</si>
  <si>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</si>
  <si>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</si>
  <si>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</si>
  <si>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</si>
  <si>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</si>
  <si>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</si>
  <si>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</si>
  <si>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</si>
  <si>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</si>
  <si>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</si>
  <si>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</si>
  <si>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</si>
  <si>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</si>
  <si>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</si>
  <si>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</si>
  <si>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</si>
  <si>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</si>
  <si>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</si>
  <si>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</si>
  <si>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</si>
  <si>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</si>
  <si>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</si>
  <si>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</si>
  <si>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</si>
  <si>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</si>
  <si>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</si>
  <si>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</si>
  <si>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</si>
  <si>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</si>
  <si>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</si>
  <si>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</si>
  <si>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</si>
  <si>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</si>
  <si>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</si>
  <si>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</si>
  <si>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</si>
  <si>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</si>
  <si>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</si>
  <si>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</si>
  <si>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</si>
  <si>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</si>
  <si>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</si>
  <si>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</si>
  <si>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</si>
  <si>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</si>
  <si>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Sổ này có 27 trang, đánh số từ trang 01 đến trang 27</t>
  </si>
  <si>
    <t>- Sổ này có 01 trang, đánh từ trang 01 đến trang 01</t>
  </si>
  <si>
    <t>- Sổ này có 02 trang, đánh từ trang 01 đến trang 02</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</si>
  <si>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</si>
  <si>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</si>
  <si>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</si>
  <si>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</si>
  <si>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</si>
  <si>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</si>
  <si>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</si>
  <si>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</si>
  <si>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</si>
  <si>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</si>
  <si>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</si>
  <si>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</si>
  <si>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</si>
  <si>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</si>
  <si>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</si>
  <si>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</si>
  <si>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</si>
  <si>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</si>
  <si>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</si>
  <si>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</si>
  <si>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</si>
  <si>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</si>
  <si>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</si>
  <si>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</si>
  <si>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</si>
  <si>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</si>
  <si>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</si>
  <si>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</si>
  <si>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</si>
  <si>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</si>
  <si>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</si>
  <si>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</si>
  <si>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</si>
  <si>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</si>
  <si>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</si>
  <si>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</si>
  <si>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</si>
  <si>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</si>
  <si>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</si>
  <si>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</si>
  <si>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</si>
  <si>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</si>
  <si>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</si>
  <si>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</si>
  <si>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</si>
  <si>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</si>
  <si>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</si>
  <si>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</si>
  <si>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</si>
  <si>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</si>
  <si>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</si>
  <si>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</si>
  <si>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</si>
  <si>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</si>
  <si>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</si>
  <si>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</si>
  <si>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</si>
  <si>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</si>
  <si>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</si>
  <si>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</si>
  <si>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</si>
  <si>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</si>
  <si>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</si>
  <si>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</si>
  <si>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</si>
  <si>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</si>
  <si>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</si>
  <si>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</si>
  <si>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</si>
  <si>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</si>
  <si>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</si>
  <si>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</si>
  <si>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</si>
  <si>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</si>
  <si>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</si>
  <si>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</si>
  <si>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</si>
  <si>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</si>
  <si>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</si>
  <si>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</si>
  <si>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</si>
  <si>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</si>
  <si>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</si>
  <si>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</si>
  <si>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</si>
  <si>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</si>
  <si>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</si>
  <si>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</si>
  <si>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</si>
  <si>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</si>
  <si>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</si>
  <si>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</si>
  <si>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</si>
  <si>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</si>
  <si>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</si>
  <si>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</si>
  <si>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</si>
  <si>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</si>
  <si>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</si>
  <si>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</si>
  <si>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</si>
  <si>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Nguyễn Thị Hồng Hoa</t>
  </si>
  <si>
    <t>Túi cá chỉ 40g</t>
  </si>
  <si>
    <t>túi</t>
  </si>
  <si>
    <t>Nguyễn Văn Tha</t>
  </si>
  <si>
    <t>xã An Thủy, Ba Tri, Bến Tre</t>
  </si>
  <si>
    <t xml:space="preserve">Túi cá chỉ 90g </t>
  </si>
  <si>
    <t>Vỏ Văn Thắng</t>
  </si>
  <si>
    <t>188/AT, xã An Thủy, Ba Tri, Bến Tre</t>
  </si>
  <si>
    <t>Lý Thị Thảo</t>
  </si>
  <si>
    <t>Đặng Thanh Phong</t>
  </si>
  <si>
    <t>Bình Thành, Giồng Trôm, Bến Tre</t>
  </si>
  <si>
    <t>Lê Thị Diệu</t>
  </si>
  <si>
    <t>Bình Thuận</t>
  </si>
  <si>
    <t>Đức Linh - Bình Thuận</t>
  </si>
  <si>
    <t>cái</t>
  </si>
  <si>
    <t>Lê Thị Thiện Em</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</si>
  <si>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</si>
  <si>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</si>
  <si>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</si>
  <si>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</si>
  <si>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</si>
  <si>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</si>
  <si>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</si>
  <si>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</si>
  <si>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</si>
  <si>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</si>
  <si>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</si>
  <si>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</si>
  <si>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</si>
  <si>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</si>
  <si>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</si>
  <si>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</si>
  <si>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</si>
  <si>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</si>
  <si>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</si>
  <si>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</si>
  <si>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</si>
  <si>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</si>
  <si>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</si>
  <si>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</si>
  <si>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</si>
  <si>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</si>
  <si>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</si>
  <si>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</si>
  <si>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</si>
  <si>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</si>
  <si>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</si>
  <si>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</si>
  <si>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</si>
  <si>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</si>
  <si>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</si>
  <si>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</si>
  <si>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</si>
  <si>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</si>
  <si>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</si>
  <si>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</si>
  <si>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</si>
  <si>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</si>
  <si>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</si>
  <si>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</si>
  <si>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</si>
  <si>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</si>
  <si>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</si>
  <si>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</si>
  <si>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</si>
  <si>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</si>
  <si>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</si>
  <si>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</si>
  <si>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</si>
  <si>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</si>
  <si>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Đỗ Văn Tâm</t>
  </si>
  <si>
    <t>Khô cá chỉ vàng TP</t>
  </si>
  <si>
    <t>Trương Văn Minh</t>
  </si>
  <si>
    <t>Tân Phước - Long Điền</t>
  </si>
  <si>
    <t>Xuất SX</t>
  </si>
  <si>
    <t>Mực TP</t>
  </si>
  <si>
    <t>Ghẹ khô tẩm TP</t>
  </si>
  <si>
    <t>Tổng cộng TP</t>
  </si>
  <si>
    <t>Ngày  31  tháng   12  năm   2016</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</si>
  <si>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</si>
  <si>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</si>
  <si>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</si>
  <si>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</si>
  <si>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</si>
  <si>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</si>
  <si>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</si>
  <si>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</si>
  <si>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</si>
  <si>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</si>
  <si>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</si>
  <si>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</si>
  <si>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</si>
  <si>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</si>
  <si>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</si>
  <si>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</si>
  <si>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</si>
  <si>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</si>
  <si>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</si>
  <si>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</si>
  <si>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</si>
  <si>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</si>
  <si>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</si>
  <si>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</si>
  <si>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</si>
  <si>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</si>
  <si>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</si>
  <si>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</si>
  <si>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</si>
  <si>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</si>
  <si>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</si>
  <si>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</si>
  <si>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</si>
  <si>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</si>
  <si>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</si>
  <si>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</si>
  <si>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</si>
  <si>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</si>
  <si>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</si>
  <si>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</si>
  <si>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</si>
  <si>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</si>
  <si>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</si>
  <si>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</si>
  <si>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</si>
  <si>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</si>
  <si>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</si>
  <si>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</si>
  <si>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</si>
  <si>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</si>
  <si>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</si>
  <si>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</si>
  <si>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</si>
  <si>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</si>
  <si>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</si>
  <si>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</si>
  <si>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</si>
  <si>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</si>
  <si>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</si>
  <si>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</si>
  <si>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</si>
  <si>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</si>
  <si>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</si>
  <si>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</si>
  <si>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</si>
  <si>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MẶT HÀNG</t>
  </si>
  <si>
    <t>ĐM</t>
  </si>
  <si>
    <t>SL NL</t>
  </si>
  <si>
    <t>SL TP</t>
  </si>
  <si>
    <t>ĐG</t>
  </si>
  <si>
    <t>CP NVL C</t>
  </si>
  <si>
    <t>CP CÔNG NHÂN</t>
  </si>
  <si>
    <t>CP NVL P</t>
  </si>
  <si>
    <t>CP NHIÊN LIỆU</t>
  </si>
  <si>
    <t>CP KHTS</t>
  </si>
  <si>
    <t>CP BAO BÌ</t>
  </si>
  <si>
    <t>CP GC</t>
  </si>
  <si>
    <t>TỔNG CPSXC</t>
  </si>
  <si>
    <t>ĐƠN GIÁ</t>
  </si>
  <si>
    <t>TT</t>
  </si>
  <si>
    <t>CỘNG</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</si>
  <si>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</si>
  <si>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</si>
  <si>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</si>
  <si>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</si>
  <si>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</si>
  <si>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</si>
  <si>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</si>
  <si>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</si>
  <si>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</si>
  <si>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</si>
  <si>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</si>
  <si>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</si>
  <si>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</si>
  <si>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</si>
  <si>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</si>
  <si>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</si>
  <si>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</si>
  <si>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</si>
  <si>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</si>
  <si>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</si>
  <si>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</si>
  <si>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</si>
  <si>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</si>
  <si>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</si>
  <si>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</si>
  <si>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</si>
  <si>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</si>
  <si>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</si>
  <si>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</si>
  <si>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</si>
  <si>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</si>
  <si>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</si>
  <si>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</si>
  <si>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</si>
  <si>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</si>
  <si>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BIOVITAL COMPANY</t>
  </si>
  <si>
    <t>TOKAI DENPUN</t>
  </si>
  <si>
    <t>MARKOV K.A.</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</si>
  <si>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</si>
  <si>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</si>
  <si>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</si>
  <si>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</si>
  <si>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</si>
  <si>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</si>
  <si>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</si>
  <si>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</si>
  <si>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</si>
  <si>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</si>
  <si>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</si>
  <si>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Bao Bì Nhựa Thành Phú</t>
  </si>
  <si>
    <t>Cty TNHH Hóa Chất Thành Phương</t>
  </si>
  <si>
    <t>Trung Tâm Chất Lượng Nông Lâm Thủy Sản Vùng 4</t>
  </si>
  <si>
    <t>Cty CP chiếu xạ An Phú</t>
  </si>
  <si>
    <t>Cty Điện Lực Long An</t>
  </si>
  <si>
    <t>Hộp ghẹ</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</si>
  <si>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</si>
  <si>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</si>
  <si>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</si>
  <si>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</si>
  <si>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</si>
  <si>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</si>
  <si>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</si>
  <si>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</si>
  <si>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</si>
  <si>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</si>
  <si>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</si>
  <si>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</si>
  <si>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</si>
  <si>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</si>
  <si>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</si>
  <si>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</si>
  <si>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</si>
  <si>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</si>
  <si>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</si>
  <si>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</si>
  <si>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</si>
  <si>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</si>
  <si>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</si>
  <si>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</si>
  <si>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</si>
  <si>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</si>
  <si>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</si>
  <si>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</si>
  <si>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</si>
  <si>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</si>
  <si>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</si>
  <si>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</si>
  <si>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</si>
  <si>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</si>
  <si>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</si>
  <si>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</si>
  <si>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</si>
  <si>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</si>
  <si>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</si>
  <si>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</si>
  <si>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</si>
  <si>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</si>
  <si>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</si>
  <si>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</si>
  <si>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</si>
  <si>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</si>
  <si>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</si>
  <si>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</si>
  <si>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</si>
  <si>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</si>
  <si>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</si>
  <si>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</si>
  <si>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</si>
  <si>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</si>
  <si>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</si>
  <si>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</si>
  <si>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</si>
  <si>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Cty TNHH Giao Nhận Vận Chuyển Ánh Dương</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</si>
  <si>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</si>
  <si>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</si>
  <si>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</si>
  <si>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</si>
  <si>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</si>
  <si>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</si>
  <si>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</si>
  <si>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</si>
  <si>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</si>
  <si>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</si>
  <si>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</si>
  <si>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</si>
  <si>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</si>
  <si>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</si>
  <si>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</si>
  <si>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</si>
  <si>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</si>
  <si>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</si>
  <si>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</si>
  <si>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</si>
  <si>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</si>
  <si>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</si>
  <si>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</si>
  <si>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</si>
  <si>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</si>
  <si>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</si>
  <si>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</si>
  <si>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</si>
  <si>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</si>
  <si>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</si>
  <si>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</si>
  <si>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</si>
  <si>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</si>
  <si>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</si>
  <si>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</si>
  <si>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</si>
  <si>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</si>
  <si>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</si>
  <si>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</si>
  <si>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</si>
  <si>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</si>
  <si>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</si>
  <si>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</si>
  <si>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</si>
  <si>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</si>
  <si>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</si>
  <si>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</si>
  <si>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</si>
  <si>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</si>
  <si>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</si>
  <si>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</si>
  <si>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</si>
  <si>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</si>
  <si>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</si>
  <si>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</si>
  <si>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</si>
  <si>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</si>
  <si>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</si>
  <si>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</si>
  <si>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</si>
  <si>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</si>
  <si>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</si>
  <si>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</si>
  <si>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</si>
  <si>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</si>
  <si>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</si>
  <si>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</si>
  <si>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</si>
  <si>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</si>
  <si>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</si>
  <si>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</si>
  <si>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</si>
  <si>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</si>
  <si>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</si>
  <si>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</si>
  <si>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</si>
  <si>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</si>
  <si>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</si>
  <si>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</si>
  <si>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</si>
  <si>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</si>
  <si>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</si>
  <si>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</si>
  <si>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</si>
  <si>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</si>
  <si>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</si>
  <si>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</si>
  <si>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</si>
  <si>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</si>
  <si>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</si>
  <si>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</si>
  <si>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</si>
  <si>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</si>
  <si>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</si>
  <si>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</si>
  <si>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</si>
  <si>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</si>
  <si>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</si>
  <si>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</si>
  <si>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</si>
  <si>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</si>
  <si>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</si>
  <si>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</si>
  <si>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</si>
  <si>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</si>
  <si>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</si>
  <si>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</si>
  <si>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</si>
  <si>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</si>
  <si>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</si>
  <si>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</si>
  <si>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</si>
  <si>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</si>
  <si>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</si>
  <si>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</si>
  <si>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</si>
  <si>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</si>
  <si>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Cty TNHH TM DV SX Bao Bì Giấy Tân Minh Thư</t>
  </si>
  <si>
    <t>TT Kỹ Thuật Tiêu Chuẩn Đo Lường Chất Lượng 3</t>
  </si>
  <si>
    <t>Cty TNHH Asia Shiping Logistics And Warehousse Vietnam</t>
  </si>
  <si>
    <t>Thùng carton 50x30x14</t>
  </si>
  <si>
    <t>Thùng carton 50x30x16</t>
  </si>
  <si>
    <t>Thùng carton 49x37x11</t>
  </si>
  <si>
    <t>CHUNG HAE WON CO., LTD</t>
  </si>
  <si>
    <t>PV</t>
  </si>
  <si>
    <t>33312</t>
  </si>
  <si>
    <t>Cty CP Bảo Hiểm Viễn Đông (VASS)</t>
  </si>
  <si>
    <t>Cty TNHH TM Dịch Vụ Hải Trung Anh</t>
  </si>
  <si>
    <t>XN Chế Biến Thuỷ Sản Xuất Khẩu III - Chi Nhánh</t>
  </si>
  <si>
    <t>Thùng carton 48x32.5x15</t>
  </si>
  <si>
    <t>Túi PP 40x60</t>
  </si>
  <si>
    <t>Cty TNHH TM Thuỷ Giang Sơn</t>
  </si>
  <si>
    <t>Cty TNHH DV Giao Nhận AAAS</t>
  </si>
  <si>
    <t>1025 037000 1485</t>
  </si>
  <si>
    <t>KU 1402LDS201601331</t>
  </si>
  <si>
    <t>KU 1402LDS201601563</t>
  </si>
  <si>
    <t>ZHOUSHAN FAR EAST NANYANG AQUATIC PRODUCT</t>
  </si>
  <si>
    <t>1025 037000 1526</t>
  </si>
  <si>
    <t>1025 037000 1629</t>
  </si>
  <si>
    <t>Cá đuối NL</t>
  </si>
  <si>
    <t>Cá đục NL</t>
  </si>
  <si>
    <t>Cá chai NL</t>
  </si>
  <si>
    <t>Mực NL</t>
  </si>
  <si>
    <t>Nguyễn Ngọc Anh</t>
  </si>
  <si>
    <t>Ngô Văn Vàng</t>
  </si>
  <si>
    <t>Nguyễn Văn Tư</t>
  </si>
  <si>
    <t>Nguyễn Văn Đức</t>
  </si>
  <si>
    <t>Cá mai NL</t>
  </si>
  <si>
    <t>Cá cơm NL</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</si>
  <si>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</si>
  <si>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</si>
  <si>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</si>
  <si>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</si>
  <si>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</si>
  <si>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</si>
  <si>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</si>
  <si>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</si>
  <si>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</si>
  <si>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</si>
  <si>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1025 037000 1791</t>
  </si>
  <si>
    <t>1025 037000 1863</t>
  </si>
  <si>
    <t>1025 037000 1643</t>
  </si>
  <si>
    <t>HAECHEONG FOOD CO., LTD</t>
  </si>
  <si>
    <t>Long Điền - Vũng Tàu</t>
  </si>
  <si>
    <t>Cá chỉ vàng</t>
  </si>
  <si>
    <t>Mực</t>
  </si>
  <si>
    <t>DNTN Hải Sản Kim Châu</t>
  </si>
  <si>
    <t>Cá chỉ vàng NL</t>
  </si>
  <si>
    <t>DNTN Thuỷ Đồng</t>
  </si>
  <si>
    <t>Cty CP XNK Thực Phẩm Sài Gòn</t>
  </si>
  <si>
    <t>Khô cá chai tẩm TP</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</si>
  <si>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</si>
  <si>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</si>
  <si>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</si>
  <si>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</si>
  <si>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</si>
  <si>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</si>
  <si>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sặc TP</t>
  </si>
  <si>
    <t>Bánh cá surimi</t>
  </si>
  <si>
    <t>Cty TNHH Thuỷ Sản Việt Kim</t>
  </si>
  <si>
    <t>Cty TNHH TM Thành Long</t>
  </si>
  <si>
    <t>Mè trắng</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</si>
  <si>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</si>
  <si>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</si>
  <si>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</si>
  <si>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</si>
  <si>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</si>
  <si>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</si>
  <si>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</si>
  <si>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</si>
  <si>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</si>
  <si>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</si>
  <si>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</si>
  <si>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</si>
  <si>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</si>
  <si>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</si>
  <si>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</si>
  <si>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</si>
  <si>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</si>
  <si>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</si>
  <si>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</si>
  <si>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</si>
  <si>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</si>
  <si>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</si>
  <si>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</si>
  <si>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</si>
  <si>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</si>
  <si>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</si>
  <si>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</si>
  <si>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</si>
  <si>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</si>
  <si>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</si>
  <si>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</si>
  <si>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</si>
  <si>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</si>
  <si>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</si>
  <si>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</si>
  <si>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</si>
  <si>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</si>
  <si>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</si>
  <si>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</si>
  <si>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</si>
  <si>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</si>
  <si>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</si>
  <si>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</si>
  <si>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</si>
  <si>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</si>
  <si>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</si>
  <si>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</si>
  <si>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</si>
  <si>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</si>
  <si>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</si>
  <si>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</si>
  <si>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</si>
  <si>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</si>
  <si>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</si>
  <si>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</si>
  <si>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</si>
  <si>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</si>
  <si>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</si>
  <si>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</si>
  <si>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</si>
  <si>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</si>
  <si>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</si>
  <si>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</si>
  <si>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</si>
  <si>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</si>
  <si>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</si>
  <si>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</si>
  <si>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</si>
  <si>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</si>
  <si>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</si>
  <si>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</si>
  <si>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</si>
  <si>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</si>
  <si>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</si>
  <si>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</si>
  <si>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</si>
  <si>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</si>
  <si>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</si>
  <si>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</si>
  <si>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</si>
  <si>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</si>
  <si>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</si>
  <si>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</si>
  <si>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</si>
  <si>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</si>
  <si>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</si>
  <si>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</si>
  <si>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</si>
  <si>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</si>
  <si>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</si>
  <si>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</si>
  <si>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</si>
  <si>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</si>
  <si>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</si>
  <si>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</si>
  <si>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</si>
  <si>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</si>
  <si>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</si>
  <si>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</si>
  <si>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</si>
  <si>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</si>
  <si>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</si>
  <si>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</si>
  <si>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</si>
  <si>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</si>
  <si>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</si>
  <si>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</si>
  <si>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</si>
  <si>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</si>
  <si>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</si>
  <si>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</si>
  <si>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</si>
  <si>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</si>
  <si>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</si>
  <si>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</si>
  <si>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</si>
  <si>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</si>
  <si>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</si>
  <si>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</si>
  <si>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</si>
  <si>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</si>
  <si>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</si>
  <si>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</si>
  <si>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</si>
  <si>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</si>
  <si>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</si>
  <si>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</si>
  <si>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</si>
  <si>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</si>
  <si>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</si>
  <si>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</si>
  <si>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</si>
  <si>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</si>
  <si>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</si>
  <si>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</si>
  <si>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</si>
  <si>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</si>
  <si>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</si>
  <si>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</si>
  <si>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</si>
  <si>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</si>
  <si>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</si>
  <si>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</si>
  <si>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</si>
  <si>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</si>
  <si>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</si>
  <si>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</si>
  <si>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</si>
  <si>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</si>
  <si>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</si>
  <si>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</si>
  <si>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</si>
  <si>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</si>
  <si>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</si>
  <si>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</si>
  <si>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</si>
  <si>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</si>
  <si>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</si>
  <si>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</si>
  <si>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</si>
  <si>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</si>
  <si>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</si>
  <si>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</si>
  <si>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</si>
  <si>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</si>
  <si>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</si>
  <si>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</si>
  <si>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</si>
  <si>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</si>
  <si>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</si>
  <si>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</si>
  <si>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</si>
  <si>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</si>
  <si>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</si>
  <si>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</si>
  <si>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</si>
  <si>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</si>
  <si>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</si>
  <si>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</si>
  <si>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</si>
  <si>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</si>
  <si>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</si>
  <si>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</si>
  <si>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</si>
  <si>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</si>
  <si>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</si>
  <si>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</si>
  <si>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</si>
  <si>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</si>
  <si>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</si>
  <si>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</si>
  <si>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</si>
  <si>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</si>
  <si>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</si>
  <si>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</si>
  <si>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</si>
  <si>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</si>
  <si>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</si>
  <si>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</si>
  <si>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</si>
  <si>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</si>
  <si>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</si>
  <si>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</si>
  <si>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</si>
  <si>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</si>
  <si>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</si>
  <si>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Clorine</t>
  </si>
  <si>
    <t>VAT Clorine</t>
  </si>
  <si>
    <t>0000592</t>
  </si>
  <si>
    <t>0000078</t>
  </si>
  <si>
    <t>101218089821</t>
  </si>
  <si>
    <t>5212</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</si>
  <si>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</si>
  <si>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</si>
  <si>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</si>
  <si>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</si>
  <si>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</si>
  <si>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</si>
  <si>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</si>
  <si>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</si>
  <si>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</si>
  <si>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</si>
  <si>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</si>
  <si>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</si>
  <si>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</si>
  <si>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</si>
  <si>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</si>
  <si>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</si>
  <si>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</si>
  <si>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</si>
  <si>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</si>
  <si>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</si>
  <si>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</si>
  <si>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</si>
  <si>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</si>
  <si>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</si>
  <si>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</si>
  <si>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</si>
  <si>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</si>
  <si>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</si>
  <si>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</si>
  <si>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</si>
  <si>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</si>
  <si>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</si>
  <si>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</si>
  <si>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</si>
  <si>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</si>
  <si>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</si>
  <si>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</si>
  <si>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</si>
  <si>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</si>
  <si>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</si>
  <si>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</si>
  <si>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</si>
  <si>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</si>
  <si>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</si>
  <si>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</si>
  <si>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</si>
  <si>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</si>
  <si>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</si>
  <si>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</si>
  <si>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</si>
  <si>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</si>
  <si>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</si>
  <si>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</si>
  <si>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</si>
  <si>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</si>
  <si>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</si>
  <si>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</si>
  <si>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</si>
  <si>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</si>
  <si>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</si>
  <si>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Phân bổ chi phí công cụ, dụng cụ</t>
  </si>
  <si>
    <t>NVL</t>
  </si>
  <si>
    <t>Thu tiền hàng LC</t>
  </si>
  <si>
    <t>Phí ngân hàng giảm trừ</t>
  </si>
  <si>
    <t>LD 1704 848 845</t>
  </si>
  <si>
    <t>LD 1705 333 863</t>
  </si>
  <si>
    <t>LD 1704 746 915</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</si>
  <si>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</si>
  <si>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</si>
  <si>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</si>
  <si>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</si>
  <si>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</si>
  <si>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</si>
  <si>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</si>
  <si>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</si>
  <si>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</si>
  <si>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</si>
  <si>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</si>
  <si>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</si>
  <si>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lãi vay</t>
  </si>
  <si>
    <t>301227868930</t>
  </si>
  <si>
    <t>0001184</t>
  </si>
  <si>
    <t>VAT Bánh cá surimi</t>
  </si>
  <si>
    <t>0000173</t>
  </si>
  <si>
    <t>Công Ty TNHH Bosgaurus Coffee</t>
  </si>
  <si>
    <t>0000175</t>
  </si>
  <si>
    <t>0000176</t>
  </si>
  <si>
    <t>Thanh toán DV khai Hải Quan</t>
  </si>
  <si>
    <t>0001336; 0001337</t>
  </si>
  <si>
    <t>Cty TNHH Hệ Thống Thông Tin FPT</t>
  </si>
  <si>
    <t>Khô cá đục tẩm TP</t>
  </si>
  <si>
    <t>Phí xử lý cá khô</t>
  </si>
  <si>
    <t>VAT Phí xử lý cá khô</t>
  </si>
  <si>
    <t>0000767</t>
  </si>
  <si>
    <t>0012935</t>
  </si>
  <si>
    <t>301243012250</t>
  </si>
  <si>
    <t>0000178</t>
  </si>
  <si>
    <t>0013410</t>
  </si>
  <si>
    <t>0004525</t>
  </si>
  <si>
    <t>0000319</t>
  </si>
  <si>
    <t>0000320</t>
  </si>
  <si>
    <t>0000321</t>
  </si>
  <si>
    <t>301251452960</t>
  </si>
  <si>
    <t>Cá sặc NL</t>
  </si>
  <si>
    <t>Cá lóc NL</t>
  </si>
  <si>
    <t>TP/N06</t>
  </si>
  <si>
    <t>TP/N07</t>
  </si>
  <si>
    <t>TP/N08</t>
  </si>
  <si>
    <t>TP/N09</t>
  </si>
  <si>
    <t>TP/N10</t>
  </si>
  <si>
    <t>TP/N11</t>
  </si>
  <si>
    <t>TP/N12</t>
  </si>
  <si>
    <t>301256693160</t>
  </si>
  <si>
    <t>0000103</t>
  </si>
  <si>
    <t>0000104</t>
  </si>
  <si>
    <t>0000105</t>
  </si>
  <si>
    <t>0000106</t>
  </si>
  <si>
    <t>0000107</t>
  </si>
  <si>
    <t>0000108</t>
  </si>
  <si>
    <t>0000818</t>
  </si>
  <si>
    <t>Khô cá cơm tẩm cay</t>
  </si>
  <si>
    <t>301233821140</t>
  </si>
  <si>
    <t>SNACK DEPOT, INC.</t>
  </si>
  <si>
    <t>Khô cá cơm tẩm nướng</t>
  </si>
  <si>
    <t>Khô cá cơm tẩm mè</t>
  </si>
  <si>
    <t>301267606310</t>
  </si>
  <si>
    <t>VAT Thùng carton 50x29.5x19</t>
  </si>
  <si>
    <t>0000171</t>
  </si>
  <si>
    <t>0000183</t>
  </si>
  <si>
    <t>0000189</t>
  </si>
  <si>
    <t>0000190</t>
  </si>
  <si>
    <t>0000194</t>
  </si>
  <si>
    <t>0000211</t>
  </si>
  <si>
    <t>0000225</t>
  </si>
  <si>
    <t>0000226</t>
  </si>
  <si>
    <t>0000229</t>
  </si>
  <si>
    <t>0000245</t>
  </si>
  <si>
    <t>0000246</t>
  </si>
  <si>
    <t>0000261</t>
  </si>
  <si>
    <t>0000263</t>
  </si>
  <si>
    <t>0000264</t>
  </si>
  <si>
    <t>0000267</t>
  </si>
  <si>
    <t>0000271</t>
  </si>
  <si>
    <t>0000272</t>
  </si>
  <si>
    <t>0000277</t>
  </si>
  <si>
    <t>0000278</t>
  </si>
  <si>
    <t>0000286</t>
  </si>
  <si>
    <t>0000287</t>
  </si>
  <si>
    <t>Thanh toán tiền thùng</t>
  </si>
  <si>
    <t>0002050</t>
  </si>
  <si>
    <t>0002049</t>
  </si>
  <si>
    <t>0000031</t>
  </si>
  <si>
    <t>0000032</t>
  </si>
  <si>
    <t>0000033</t>
  </si>
  <si>
    <t>0000036</t>
  </si>
  <si>
    <t>0000029</t>
  </si>
  <si>
    <t>0000030</t>
  </si>
  <si>
    <t>0000034</t>
  </si>
  <si>
    <t>0000035</t>
  </si>
  <si>
    <t>0001228</t>
  </si>
  <si>
    <t>Phí DHL</t>
  </si>
  <si>
    <t>VAT Phí DHL</t>
  </si>
  <si>
    <t>0179652</t>
  </si>
  <si>
    <t>0114616</t>
  </si>
  <si>
    <t>Tiền điện kỳ 1 T3/2017</t>
  </si>
  <si>
    <t>Tiền điện kỳ 2 T3/2017</t>
  </si>
  <si>
    <t>VAT Tiền điện kỳ 1 T3/2017</t>
  </si>
  <si>
    <t>VAT Tiền điện kỳ 2 T3/2017</t>
  </si>
  <si>
    <t>Tiền điện kỳ 3 T3/2017</t>
  </si>
  <si>
    <t>VAT Tiền điện kỳ 3 T3/2017</t>
  </si>
  <si>
    <t>0115386</t>
  </si>
  <si>
    <t>0171296</t>
  </si>
  <si>
    <t>0172832</t>
  </si>
  <si>
    <t>Phí chứng từ</t>
  </si>
  <si>
    <t>VAT Phí chứng từ</t>
  </si>
  <si>
    <t>Cước vận tải quốc tế</t>
  </si>
  <si>
    <t>Phí xếp dỡ, bốc xếp</t>
  </si>
  <si>
    <t>VAT Phí xếp dỡ, bốc xếp</t>
  </si>
  <si>
    <t>0003547</t>
  </si>
  <si>
    <t>0003543</t>
  </si>
  <si>
    <t>0003544</t>
  </si>
  <si>
    <t>T08</t>
  </si>
  <si>
    <t>Thu LC</t>
  </si>
  <si>
    <t>Mua NT</t>
  </si>
  <si>
    <t>Thanh toán tiền hàng trả lại</t>
  </si>
  <si>
    <t>Phí NH</t>
  </si>
  <si>
    <t>Phí mở LC</t>
  </si>
  <si>
    <t>Thanh toán phí kiểm nghiệm T01/2017</t>
  </si>
  <si>
    <t>VAT Phí mở LC</t>
  </si>
  <si>
    <t>Phí thanh toán tiền hàng trả lại</t>
  </si>
  <si>
    <t>Phí rút tiền mặt trong ngày</t>
  </si>
  <si>
    <t>Hoàn thuế GTGT theo QĐ 445/CT</t>
  </si>
  <si>
    <t>Thanh toán tiền máy photocopy</t>
  </si>
  <si>
    <t>Nộp BHXH</t>
  </si>
  <si>
    <t>Bảo Hiểm Xã Hội Long An</t>
  </si>
  <si>
    <t>Phí thông báo số dư tự động</t>
  </si>
  <si>
    <t>VAT Phí thông báo số dư tự động</t>
  </si>
  <si>
    <t xml:space="preserve">Ứng vốn </t>
  </si>
  <si>
    <t>Phí dịch vụ internet banking</t>
  </si>
  <si>
    <t>VAT Phí dịch vụ internet banking</t>
  </si>
  <si>
    <t>Nộp BHYT</t>
  </si>
  <si>
    <t>Nộp BHTN</t>
  </si>
  <si>
    <t>Phí sửa chữa, bảo dưỡng xe 51F-080.56</t>
  </si>
  <si>
    <t>0021684</t>
  </si>
  <si>
    <t>VAT phí sửa chữa, bảo dưỡng xe 51F-080.56</t>
  </si>
  <si>
    <t>Cước CPN T2/17</t>
  </si>
  <si>
    <t>0209517</t>
  </si>
  <si>
    <t>VAT Cước CPN T2/17</t>
  </si>
  <si>
    <t>0193840</t>
  </si>
  <si>
    <t>1900168, 1829273</t>
  </si>
  <si>
    <t>00141114</t>
  </si>
  <si>
    <t>Phí CPN</t>
  </si>
  <si>
    <t>VAT Phí CPN</t>
  </si>
  <si>
    <t>0000391</t>
  </si>
  <si>
    <t>0322174</t>
  </si>
  <si>
    <t>0000920</t>
  </si>
  <si>
    <t>0322376</t>
  </si>
  <si>
    <t>Bồn Inox</t>
  </si>
  <si>
    <t>VAT Bồn Inox</t>
  </si>
  <si>
    <t>0044966</t>
  </si>
  <si>
    <t>Cty TNHH SX TM Nam Đại Thành</t>
  </si>
  <si>
    <t>Bảo dưỡng xe ôtô 51A - 141.74</t>
  </si>
  <si>
    <t>VAT Bảo dưỡng xe ôtô 51A - 141.74</t>
  </si>
  <si>
    <t>0001040</t>
  </si>
  <si>
    <t>Cty TNHH TM - DV Ngọc An</t>
  </si>
  <si>
    <t>Phí dịch vụ bảo vệ</t>
  </si>
  <si>
    <t>VAT Phí dịch vụ bảo vệ</t>
  </si>
  <si>
    <t>0001319</t>
  </si>
  <si>
    <t>0005584</t>
  </si>
  <si>
    <t>VAT Phí xét nghiệm nước</t>
  </si>
  <si>
    <t>0006285</t>
  </si>
  <si>
    <t>0322788</t>
  </si>
  <si>
    <t>Cước CPN T3/17</t>
  </si>
  <si>
    <t>VAT Cước CPN T3/17</t>
  </si>
  <si>
    <t>Thanh toán lương T3/2017</t>
  </si>
  <si>
    <t>0000752</t>
  </si>
  <si>
    <t>0000164</t>
  </si>
  <si>
    <t>0002979</t>
  </si>
  <si>
    <t>0002980</t>
  </si>
  <si>
    <t>Khô cá chỉ vàng tẩm ngọt TP</t>
  </si>
  <si>
    <t xml:space="preserve">Sorbitol </t>
  </si>
  <si>
    <t>0004905</t>
  </si>
  <si>
    <t>301283817720</t>
  </si>
  <si>
    <t>301285464820</t>
  </si>
  <si>
    <t>301296013340</t>
  </si>
  <si>
    <t>0000185</t>
  </si>
  <si>
    <t>301273709460</t>
  </si>
  <si>
    <t>0000218</t>
  </si>
  <si>
    <t>0000217</t>
  </si>
  <si>
    <t>0000216</t>
  </si>
  <si>
    <t>0000215</t>
  </si>
  <si>
    <t>0000214</t>
  </si>
  <si>
    <t>0000213</t>
  </si>
  <si>
    <t>0000212</t>
  </si>
  <si>
    <t>T09</t>
  </si>
  <si>
    <t>T10</t>
  </si>
  <si>
    <t>Thùng carton 50x35x12.5</t>
  </si>
  <si>
    <t>0001262</t>
  </si>
  <si>
    <t>Thùng carton 50x30x13</t>
  </si>
  <si>
    <t>Thùng carton 50x35x11</t>
  </si>
  <si>
    <t>Tiền điện kỳ 1 T4/2017</t>
  </si>
  <si>
    <t>VAT Tiền điện kỳ 1 T4/2017</t>
  </si>
  <si>
    <t>Tiền điện kỳ 2 T4/2017</t>
  </si>
  <si>
    <t>VAT Tiền điện kỳ 2 T4/2017</t>
  </si>
  <si>
    <t>Tiền điện kỳ 3 T4/2017</t>
  </si>
  <si>
    <t>VAT Tiền điện kỳ 3 T4/2017</t>
  </si>
  <si>
    <t>Xăng</t>
  </si>
  <si>
    <t>VAT Xăng</t>
  </si>
  <si>
    <t>0322911</t>
  </si>
  <si>
    <t>1990998, 2058296</t>
  </si>
  <si>
    <t>0014792</t>
  </si>
  <si>
    <t>Sửa chữa xe 51F - 08056</t>
  </si>
  <si>
    <t>VAT Sửa chữa xe 51F - 08056</t>
  </si>
  <si>
    <t>0024473</t>
  </si>
  <si>
    <t>Xăng, dầu</t>
  </si>
  <si>
    <t>VAT Xăng, dầu</t>
  </si>
  <si>
    <t>0323401</t>
  </si>
  <si>
    <t>0019157</t>
  </si>
  <si>
    <t>0323536</t>
  </si>
  <si>
    <t>Biến tần</t>
  </si>
  <si>
    <t>VAT Biến tần</t>
  </si>
  <si>
    <t>0000689</t>
  </si>
  <si>
    <t>Cty TNHH Kỹ Thuật Tự Động Đại Phát</t>
  </si>
  <si>
    <t>Phí dịch vụ bảo vệ T4</t>
  </si>
  <si>
    <t>VAT Phí dịch vụ bảo vệ T4</t>
  </si>
  <si>
    <t>0001385</t>
  </si>
  <si>
    <t>0323953</t>
  </si>
  <si>
    <t>Phí giao thông T4/2017</t>
  </si>
  <si>
    <t>VAT Phí giao thông T4/2017</t>
  </si>
  <si>
    <t>Thanh toán lương T4/2017</t>
  </si>
  <si>
    <t>Phí ngân hàng</t>
  </si>
  <si>
    <t>Thanh toán tiền xử lý cá khô</t>
  </si>
  <si>
    <t>Thanh toán tiền điện kỳ 2 &amp; 3 T3/2017</t>
  </si>
  <si>
    <t>Thanh toán tiền nước + phí CSHT T12/16 + T1/17</t>
  </si>
  <si>
    <t>Thanh toán tiền clorine</t>
  </si>
  <si>
    <t>Thanh toán tiền sorbitol</t>
  </si>
  <si>
    <t>Thanh toán phí kiểm nghiệm T3/17</t>
  </si>
  <si>
    <t>VAT Phí ngân hàng</t>
  </si>
  <si>
    <t>VAT Phí rút tiền mặt trong ngày</t>
  </si>
  <si>
    <t>Thanh toán tiền điện kỳ 1 &amp; 2 T4/2017</t>
  </si>
  <si>
    <t>Thanh toán phí duy trì MSMV 893 52265</t>
  </si>
  <si>
    <t>Thu gốc</t>
  </si>
  <si>
    <t>Thu lãi</t>
  </si>
  <si>
    <t>PV, Q4</t>
  </si>
  <si>
    <t>Trả gốc vay</t>
  </si>
  <si>
    <t>Tiền nước sinh hoạt, phí CSHT</t>
  </si>
  <si>
    <t>VAT Tiền nước sinh hoạt, phí CSHT</t>
  </si>
  <si>
    <t>0002010</t>
  </si>
  <si>
    <t>0002322</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</si>
  <si>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</si>
  <si>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</si>
  <si>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</si>
  <si>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</si>
  <si>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</si>
  <si>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</si>
  <si>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</si>
  <si>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Cty TNHH TM &amp; DV Giang Nam</t>
  </si>
  <si>
    <t>Phí nâng rỗng lạnh</t>
  </si>
  <si>
    <t>VAT Phí nâng rỗng lạnh</t>
  </si>
  <si>
    <t>Cty TNHH Cảng Phước Long</t>
  </si>
  <si>
    <t>Cước nâng cont tại bãi</t>
  </si>
  <si>
    <t>VAT Cước nâng cont tại bãi</t>
  </si>
  <si>
    <t>Cty CP Vận Tải &amp; TM Quốc Tế</t>
  </si>
  <si>
    <t>VAT Cước CPN T4/17</t>
  </si>
  <si>
    <t>Cước CPN T4/17</t>
  </si>
  <si>
    <t>0210666</t>
  </si>
  <si>
    <t>0000662</t>
  </si>
  <si>
    <t>0000663</t>
  </si>
  <si>
    <t>0000665</t>
  </si>
  <si>
    <t>0000314</t>
  </si>
  <si>
    <t>0000315</t>
  </si>
  <si>
    <t>0000671</t>
  </si>
  <si>
    <t>0000339</t>
  </si>
  <si>
    <t>0000343</t>
  </si>
  <si>
    <t>0000344</t>
  </si>
  <si>
    <t>VL/N05</t>
  </si>
  <si>
    <t>VL/N06</t>
  </si>
  <si>
    <t>VL/N07</t>
  </si>
  <si>
    <t>VL/N08</t>
  </si>
  <si>
    <t>VL/N09</t>
  </si>
  <si>
    <t>VL/N10</t>
  </si>
  <si>
    <t>VL/N11</t>
  </si>
  <si>
    <t>VL/N12</t>
  </si>
  <si>
    <t>VL/N13</t>
  </si>
  <si>
    <t>VL/N14</t>
  </si>
  <si>
    <t>0001116</t>
  </si>
  <si>
    <t>0000038</t>
  </si>
  <si>
    <t>0000039</t>
  </si>
  <si>
    <t>0000040</t>
  </si>
  <si>
    <t>0000041</t>
  </si>
  <si>
    <t>0000042</t>
  </si>
  <si>
    <t>0000045</t>
  </si>
  <si>
    <t>0000046</t>
  </si>
  <si>
    <t>0000043</t>
  </si>
  <si>
    <t>0000044</t>
  </si>
  <si>
    <t>0000351</t>
  </si>
  <si>
    <t>0000358</t>
  </si>
  <si>
    <t>0000361</t>
  </si>
  <si>
    <t>0000678</t>
  </si>
  <si>
    <t>0000656</t>
  </si>
  <si>
    <t>0000657</t>
  </si>
  <si>
    <t>0000659</t>
  </si>
  <si>
    <t>0000660</t>
  </si>
  <si>
    <t>0013553</t>
  </si>
  <si>
    <t>0000266</t>
  </si>
  <si>
    <t>301323167150</t>
  </si>
  <si>
    <t>301328879960</t>
  </si>
  <si>
    <t>301329512760</t>
  </si>
  <si>
    <t>301328735540</t>
  </si>
  <si>
    <t>301329774930</t>
  </si>
  <si>
    <t>BAYON TRADING PTE. LTD</t>
  </si>
  <si>
    <t>0000680</t>
  </si>
  <si>
    <t>VL/N15</t>
  </si>
  <si>
    <t>VL/N16</t>
  </si>
  <si>
    <t>VL/N17</t>
  </si>
  <si>
    <t>VL/N18</t>
  </si>
  <si>
    <t>0004340</t>
  </si>
  <si>
    <t>0004341</t>
  </si>
  <si>
    <t>0004343</t>
  </si>
  <si>
    <t>0004342</t>
  </si>
  <si>
    <t>0000681</t>
  </si>
  <si>
    <t>301314765640</t>
  </si>
  <si>
    <t>301338738800</t>
  </si>
  <si>
    <t>301340385530</t>
  </si>
  <si>
    <t>Khô cá mai tẩm TP</t>
  </si>
  <si>
    <t>301341533640</t>
  </si>
  <si>
    <t>WORLD FOODS CORPORATION LTD.</t>
  </si>
  <si>
    <t>TP/X08</t>
  </si>
  <si>
    <t>TP/X09</t>
  </si>
  <si>
    <t>Khô cá đù TP</t>
  </si>
  <si>
    <t>0004510</t>
  </si>
  <si>
    <t>0004511</t>
  </si>
  <si>
    <t>0001193</t>
  </si>
  <si>
    <t xml:space="preserve">Chi trợ cấp thai sản </t>
  </si>
  <si>
    <t>Chi tiền dưỡng sức thai sản</t>
  </si>
  <si>
    <t>GĐN 01</t>
  </si>
  <si>
    <t>BHXH chi trợ cấp thai sản</t>
  </si>
  <si>
    <t>Huỳnh Thị Bé Tha</t>
  </si>
  <si>
    <t>Lý Thị Được</t>
  </si>
  <si>
    <t>Sơn Thị Chành Đa</t>
  </si>
  <si>
    <t>TP/X10</t>
  </si>
  <si>
    <t>0000200</t>
  </si>
  <si>
    <t>0000881</t>
  </si>
  <si>
    <t>Nộp thuế GTGT hàng nhập khẩu</t>
  </si>
  <si>
    <t>2613062</t>
  </si>
  <si>
    <t>Ngân Sách Nhà Nước</t>
  </si>
  <si>
    <t>0192643</t>
  </si>
  <si>
    <t>0229978</t>
  </si>
  <si>
    <t>0231606</t>
  </si>
  <si>
    <t>Tiền điện kỳ 1 T5/2017</t>
  </si>
  <si>
    <t>VAT Tiền điện kỳ 1 T5/2017</t>
  </si>
  <si>
    <t>Tiền điện kỳ 2 T5/2017</t>
  </si>
  <si>
    <t>VAT Tiền điện kỳ 2 T5/2017</t>
  </si>
  <si>
    <t>Tiền điện kỳ 3 T5/2017</t>
  </si>
  <si>
    <t>VAT Tiền điện kỳ 3 T5/2017</t>
  </si>
  <si>
    <t>0000304</t>
  </si>
  <si>
    <t>0000305</t>
  </si>
  <si>
    <t>0000306</t>
  </si>
  <si>
    <t>0000307</t>
  </si>
  <si>
    <t>0000308</t>
  </si>
  <si>
    <t>0000309</t>
  </si>
  <si>
    <t>0000313</t>
  </si>
  <si>
    <t>0000360</t>
  </si>
  <si>
    <t>0000362</t>
  </si>
  <si>
    <t>0000363</t>
  </si>
  <si>
    <t>0000364</t>
  </si>
  <si>
    <t>0000365</t>
  </si>
  <si>
    <t xml:space="preserve">VAT Sorbitol </t>
  </si>
  <si>
    <t>0000642</t>
  </si>
  <si>
    <t>Đề nghị hoàn Thuế GTGT 01/2017 - AL ngày 22/05/2017</t>
  </si>
  <si>
    <t>Phí dịch vụ kho lạnh</t>
  </si>
  <si>
    <t>VAT Phí dịch vụ kho lạnh</t>
  </si>
  <si>
    <t>0044021</t>
  </si>
  <si>
    <t>Cty TNHH Khoa Kỹ Sinh Vật Thăng Long</t>
  </si>
  <si>
    <t>TP/X11</t>
  </si>
  <si>
    <t>TP/X12</t>
  </si>
  <si>
    <t>301348146910</t>
  </si>
  <si>
    <t>301349742210</t>
  </si>
  <si>
    <t>301351361860</t>
  </si>
  <si>
    <t>Phí tư vấn dịch vụ ATTP</t>
  </si>
  <si>
    <t>VAT Phí tư vấn dịch vụ ATTP</t>
  </si>
  <si>
    <t>0000355</t>
  </si>
  <si>
    <t>Cty TNHH Tư Vấn An Toàn Thực Phẩm FSA</t>
  </si>
  <si>
    <t xml:space="preserve">Phí CPN </t>
  </si>
  <si>
    <t xml:space="preserve">VAT Phí CPN </t>
  </si>
  <si>
    <t>0011270</t>
  </si>
  <si>
    <t>Phí kiểm tra vệ sinh an toàn TP - Bột mì</t>
  </si>
  <si>
    <t>0023375</t>
  </si>
  <si>
    <t>Phí chứng từ, bốc xếp, phụ trội, giao nhận</t>
  </si>
  <si>
    <t>0004698</t>
  </si>
  <si>
    <t>Cty TNHH Liên Kết Năng Động</t>
  </si>
  <si>
    <t>VAT Phí chứng từ, bốc xếp, phụ trội, giao nhận</t>
  </si>
  <si>
    <t>0001298</t>
  </si>
  <si>
    <t>Thùng carton 54x30x30</t>
  </si>
  <si>
    <t>0001311</t>
  </si>
  <si>
    <t>0000370</t>
  </si>
  <si>
    <t>0000372</t>
  </si>
  <si>
    <t>0000373</t>
  </si>
  <si>
    <t>0000377</t>
  </si>
  <si>
    <t>0000378</t>
  </si>
  <si>
    <t>0000388</t>
  </si>
  <si>
    <t>0000389</t>
  </si>
  <si>
    <t>0000393</t>
  </si>
  <si>
    <t>0000396</t>
  </si>
  <si>
    <t>0000398</t>
  </si>
  <si>
    <t>0000402</t>
  </si>
  <si>
    <t>0000404</t>
  </si>
  <si>
    <t>0000407</t>
  </si>
  <si>
    <t>0000412</t>
  </si>
  <si>
    <t>0000416</t>
  </si>
  <si>
    <t>0000421</t>
  </si>
  <si>
    <t>Phí thẩm định HĐ: CT094/17/TĐ</t>
  </si>
  <si>
    <t>VAT Phí thẩm định</t>
  </si>
  <si>
    <t xml:space="preserve">Cty CP Thẩm Định Giám Đinh Cửu Long </t>
  </si>
  <si>
    <t>Dầu DO</t>
  </si>
  <si>
    <t>VAT Dầu DO</t>
  </si>
  <si>
    <t>0428145</t>
  </si>
  <si>
    <t>Phí bốc xếp, lưu kho</t>
  </si>
  <si>
    <t>VAT Phí bốc xếp, lưu kho</t>
  </si>
  <si>
    <t>0070470</t>
  </si>
  <si>
    <t>Cty CP Kho Vận Tải Tân Cảng</t>
  </si>
  <si>
    <t>0015365</t>
  </si>
  <si>
    <t>Xăng, Dầu DO</t>
  </si>
  <si>
    <t>VAT Xăng, Dầu DO</t>
  </si>
  <si>
    <t>0428537</t>
  </si>
  <si>
    <t>Phí đổi thông tin tàu xuất</t>
  </si>
  <si>
    <t>VAT Phí đổi thông tin tàu xuất</t>
  </si>
  <si>
    <t>0456996</t>
  </si>
  <si>
    <t>VAT Cước vận chuyển hàng</t>
  </si>
  <si>
    <t>Cước vận chuyển hàng</t>
  </si>
  <si>
    <t>0000209</t>
  </si>
  <si>
    <t>0015467</t>
  </si>
  <si>
    <t>Phí vận đơn, khai báo, xếp dỡ, kẹp chì, nhân công, chạy điện</t>
  </si>
  <si>
    <t>VAT Phí vận đơn, khai báo, xếp dỡ, kẹp chì, nhân công, chạy điện</t>
  </si>
  <si>
    <t>Cty TNHH Giao Nhận Đại Đông</t>
  </si>
  <si>
    <t>0011394</t>
  </si>
  <si>
    <t>0011393</t>
  </si>
  <si>
    <t>0395008</t>
  </si>
  <si>
    <t>Bưu Điện Trung Tâm Sài Gòn</t>
  </si>
  <si>
    <t>0428751</t>
  </si>
  <si>
    <t>Lê Thị Hoa</t>
  </si>
  <si>
    <t>Phí bảo dưỡng xe 51F - 080.56</t>
  </si>
  <si>
    <t>VAT Phí bảo dưỡng xe 51F - 080.56</t>
  </si>
  <si>
    <t>0015048</t>
  </si>
  <si>
    <t xml:space="preserve">Phí đào tạo hải quan </t>
  </si>
  <si>
    <t>0000523</t>
  </si>
  <si>
    <t>Phí dịch vụ bảo vệ T5/2017</t>
  </si>
  <si>
    <t>VAT Phí dịch vụ bảo vệ T5/2017</t>
  </si>
  <si>
    <t>0001445</t>
  </si>
  <si>
    <t>0008148</t>
  </si>
  <si>
    <t>0429213</t>
  </si>
  <si>
    <t>Cước CPN T5</t>
  </si>
  <si>
    <t>VAT Cước CPN T5</t>
  </si>
  <si>
    <t>0210913</t>
  </si>
  <si>
    <t>0013582</t>
  </si>
  <si>
    <t>0000583</t>
  </si>
  <si>
    <t>VL/N19</t>
  </si>
  <si>
    <t>VL/N20</t>
  </si>
  <si>
    <t>VL/N21</t>
  </si>
  <si>
    <t>VL/N22</t>
  </si>
  <si>
    <t>VL/N23</t>
  </si>
  <si>
    <t>VL/N24</t>
  </si>
  <si>
    <t>VL/N25</t>
  </si>
  <si>
    <t>VL/N26</t>
  </si>
  <si>
    <t xml:space="preserve">Thanh toán tiền muối </t>
  </si>
  <si>
    <t>Q4,PV</t>
  </si>
  <si>
    <t>301360282550</t>
  </si>
  <si>
    <t>Khô cá mao ếch tẩm nướng TP</t>
  </si>
  <si>
    <t>Khô cá mối tẩm nướng TP</t>
  </si>
  <si>
    <t>301370605450</t>
  </si>
  <si>
    <t>Khô cá mao ếch TP</t>
  </si>
  <si>
    <t>JIN WON CO., LTD</t>
  </si>
  <si>
    <t>Phí tài trợ thương mại</t>
  </si>
  <si>
    <t>Thanh toán phí kiểm nghiệm</t>
  </si>
  <si>
    <t>Thanh toán tiền điện kỳ 3 T4/2017</t>
  </si>
  <si>
    <t>VAT Phí tài trợ thương mại</t>
  </si>
  <si>
    <t>0004820</t>
  </si>
  <si>
    <t>0004821</t>
  </si>
  <si>
    <t>LD 1711600272</t>
  </si>
  <si>
    <t>LD 1706237120</t>
  </si>
  <si>
    <t>LD 1711703018</t>
  </si>
  <si>
    <t>LD 1709377557</t>
  </si>
  <si>
    <t>LD 1712863382</t>
  </si>
  <si>
    <t>LD 1713228461</t>
  </si>
  <si>
    <t>LD 1711890070</t>
  </si>
  <si>
    <t>Thanh toán băng keo</t>
  </si>
  <si>
    <t>0242666</t>
  </si>
  <si>
    <t>0289083</t>
  </si>
  <si>
    <t>TỔNG HỢP TÀI KHOẢN 131 - 2017</t>
  </si>
  <si>
    <t>0001384</t>
  </si>
  <si>
    <t>Cước VT - CNTT tháng T02/2017</t>
  </si>
  <si>
    <t>Cước VT - CNTT tháng T03/2017</t>
  </si>
  <si>
    <t>VAT Cước VT - CNTT tháng T03/2017</t>
  </si>
  <si>
    <t>VAT Cước VT - CNTT tháng T02/2017</t>
  </si>
  <si>
    <t>Cước VT - CNTT tháng T04/2017</t>
  </si>
  <si>
    <t>VAT Cước VT - CNTT tháng T04/2017</t>
  </si>
  <si>
    <t>2149690; 2217718</t>
  </si>
  <si>
    <t>0000177</t>
  </si>
  <si>
    <t>0000179</t>
  </si>
  <si>
    <t>Phí giao thông T5/2017</t>
  </si>
  <si>
    <t>VAT Phí giao thông T5/2017</t>
  </si>
  <si>
    <t>301382089430</t>
  </si>
  <si>
    <t>Thanh toán lương T5/2017</t>
  </si>
  <si>
    <t>17.5%</t>
  </si>
  <si>
    <t>301383574720</t>
  </si>
  <si>
    <t>Khô cá đổng tẩm TP</t>
  </si>
  <si>
    <t>Khô cá đuối tẩm TP</t>
  </si>
  <si>
    <t>Ghẹ khô lạt TP</t>
  </si>
  <si>
    <t>Phí gia công  khô cá mai</t>
  </si>
  <si>
    <t>0000208</t>
  </si>
  <si>
    <t>VAT Phí gia công  khô cá mai</t>
  </si>
  <si>
    <t>Khô cá bò tẩm TP</t>
  </si>
  <si>
    <t>Phí bảo hiểm nhà xưởng</t>
  </si>
  <si>
    <t>VAT Phí bảo hiểm nhà xưởng</t>
  </si>
  <si>
    <t>0030897</t>
  </si>
  <si>
    <t>0000048</t>
  </si>
  <si>
    <t>0000051</t>
  </si>
  <si>
    <t>0000056</t>
  </si>
  <si>
    <t>0000057</t>
  </si>
  <si>
    <t>0000062</t>
  </si>
  <si>
    <t>0000064</t>
  </si>
  <si>
    <t>0000065</t>
  </si>
  <si>
    <t>0005025</t>
  </si>
  <si>
    <t>0005026</t>
  </si>
  <si>
    <t>DAE YEONG FOOD CO., LTD</t>
  </si>
  <si>
    <t>301390415820</t>
  </si>
  <si>
    <t>Thanh toán tiền điện kỳ 1 T5/2017</t>
  </si>
  <si>
    <t>Hoàn thuế GTGT theo QĐ 1327/CT</t>
  </si>
  <si>
    <t>Thanh toán tiền điện kỳ 2 T5/2017</t>
  </si>
  <si>
    <t>Phí nhận chuyển khoản và rút tiền mặt trong ngày</t>
  </si>
  <si>
    <t>VAT Phí nhận chuyển khoản và rút tiền mặt trong ngày</t>
  </si>
  <si>
    <t>Thanh toán tiền điện kỳ 1 T6/2017</t>
  </si>
  <si>
    <t>LD1715715201</t>
  </si>
  <si>
    <t>Thanh toán tiền điện kỳ 3 T5/2017</t>
  </si>
  <si>
    <t>Tiền điện kỳ 1 T6/2017</t>
  </si>
  <si>
    <t>VAT Tiền điện kỳ 1 T6/2017</t>
  </si>
  <si>
    <t>Tiền điện kỳ 2 T6/2017</t>
  </si>
  <si>
    <t>VAT Tiền điện kỳ 2 T6/2017</t>
  </si>
  <si>
    <t>Tiền điện kỳ 3 T6/2017</t>
  </si>
  <si>
    <t>VAT Tiền điện kỳ 3 T6/2017</t>
  </si>
  <si>
    <t>Tôm khô</t>
  </si>
  <si>
    <t>Mực Daruma</t>
  </si>
  <si>
    <t>Tôm mẫu</t>
  </si>
  <si>
    <t>Khô cá chạch TP</t>
  </si>
  <si>
    <t>Khô cá chỉ ngọt TP</t>
  </si>
  <si>
    <t>0000207</t>
  </si>
  <si>
    <t>Trả lãi phạt gốc quá hạn</t>
  </si>
  <si>
    <t>Trả lãi quá hạn</t>
  </si>
  <si>
    <t>Trả lãi phạt quá hạn</t>
  </si>
  <si>
    <t>LD 171 2863 382</t>
  </si>
  <si>
    <t>LD 171 6460 104</t>
  </si>
  <si>
    <t>LD 171 1703 018</t>
  </si>
  <si>
    <t>LD 171 1890 070</t>
  </si>
  <si>
    <t>LD 170 4746 915</t>
  </si>
  <si>
    <t>LD 171 3228 461</t>
  </si>
  <si>
    <t>LD 170 9377 557</t>
  </si>
  <si>
    <t>LD 170 4739 145</t>
  </si>
  <si>
    <t>LD 171 5715 201</t>
  </si>
  <si>
    <t>LD 170 6237 120</t>
  </si>
  <si>
    <t>LD 171 1600 272</t>
  </si>
  <si>
    <t>LD 1704 726 488</t>
  </si>
  <si>
    <t>LD 1706 9855 349</t>
  </si>
  <si>
    <t>Xương cá bò TP</t>
  </si>
  <si>
    <t>301397301830</t>
  </si>
  <si>
    <t>301397413940</t>
  </si>
  <si>
    <t>SEJIN DISTRIBUTION COMPANY</t>
  </si>
  <si>
    <t>LD 170 5333 863</t>
  </si>
  <si>
    <t>0005107</t>
  </si>
  <si>
    <t>0005108</t>
  </si>
  <si>
    <t>0005109</t>
  </si>
  <si>
    <t>0005110</t>
  </si>
  <si>
    <t>0005111</t>
  </si>
  <si>
    <t>0005112</t>
  </si>
  <si>
    <t>Phí xếp dỡ, bốc  xếp, chứng từ</t>
  </si>
  <si>
    <t>VAT Phí xếp dỡ, bốc  xếp, chứng từ</t>
  </si>
  <si>
    <t>Phí AMS</t>
  </si>
  <si>
    <t>0000466</t>
  </si>
  <si>
    <t>0000467</t>
  </si>
  <si>
    <t>0000468</t>
  </si>
  <si>
    <t>0000470</t>
  </si>
  <si>
    <t>0000471</t>
  </si>
  <si>
    <t>0000472</t>
  </si>
  <si>
    <t>0000473</t>
  </si>
  <si>
    <t>0000474</t>
  </si>
  <si>
    <t>0000879</t>
  </si>
  <si>
    <t>0001494</t>
  </si>
  <si>
    <t>Nước sinh hoạt, phí CSHT</t>
  </si>
  <si>
    <t>VAT Nước sinh hoạt, phí CSHT</t>
  </si>
  <si>
    <t>0002387</t>
  </si>
  <si>
    <t>0002577</t>
  </si>
  <si>
    <t>0002771</t>
  </si>
  <si>
    <t>0013672</t>
  </si>
  <si>
    <t>0001159</t>
  </si>
  <si>
    <t>0290698</t>
  </si>
  <si>
    <t>Thùng carton 45x31x11</t>
  </si>
  <si>
    <t>0001323</t>
  </si>
  <si>
    <t>0001353</t>
  </si>
  <si>
    <t>Thanh toán tiền bảo hiểm</t>
  </si>
  <si>
    <t>301403305510</t>
  </si>
  <si>
    <t>301415623300</t>
  </si>
  <si>
    <t>GOODSEA .CORP</t>
  </si>
  <si>
    <t>0300249</t>
  </si>
  <si>
    <t>0349298</t>
  </si>
  <si>
    <t>0350538</t>
  </si>
  <si>
    <t>0005331</t>
  </si>
  <si>
    <t>0005332</t>
  </si>
  <si>
    <t>0000813</t>
  </si>
  <si>
    <t>Cty TNHH MTV Khởi Nguyên An</t>
  </si>
  <si>
    <t>VL/N27</t>
  </si>
  <si>
    <t>0000843</t>
  </si>
  <si>
    <t>VL/N28</t>
  </si>
  <si>
    <t>0000850</t>
  </si>
  <si>
    <t>VL/N29</t>
  </si>
  <si>
    <t>0000858</t>
  </si>
  <si>
    <t>0000870</t>
  </si>
  <si>
    <t>0000872</t>
  </si>
  <si>
    <t>0000873</t>
  </si>
  <si>
    <t>0000875</t>
  </si>
  <si>
    <t>0000877</t>
  </si>
  <si>
    <t>0000882</t>
  </si>
  <si>
    <t>Hạ bãi chờ xuất</t>
  </si>
  <si>
    <t>VAT Hạ bãi chờ xuất</t>
  </si>
  <si>
    <t>0016273</t>
  </si>
  <si>
    <t>Cấp cont rỗng lạnh</t>
  </si>
  <si>
    <t>VAT Cấp cont rỗng lạnh</t>
  </si>
  <si>
    <t>Phí sửa chữa, bảo dưỡng xe 51A - 141.74</t>
  </si>
  <si>
    <t>VAT Phí sửa chữa, bảo dưỡng xe 51A - 141.74</t>
  </si>
  <si>
    <t>0429402</t>
  </si>
  <si>
    <t>Cước VT - CNTT T5/2017</t>
  </si>
  <si>
    <t>VAT Cước VT - CNTT T5/2017</t>
  </si>
  <si>
    <t>2309641, 2378453</t>
  </si>
  <si>
    <t>0000744</t>
  </si>
  <si>
    <t>Cty TNHH Trung Tâm Y Khoa Hoàng Khang</t>
  </si>
  <si>
    <t>Khám sức khoẻ CN</t>
  </si>
  <si>
    <t>0429843</t>
  </si>
  <si>
    <t>0532024</t>
  </si>
  <si>
    <t>VP</t>
  </si>
  <si>
    <t>0008361</t>
  </si>
  <si>
    <t>Phí dịch vụ bảo vệ T6/2017</t>
  </si>
  <si>
    <t>VAT Phí dịch vụ bảo vệ T6/2017</t>
  </si>
  <si>
    <t>0001503</t>
  </si>
  <si>
    <t>Phim lọc, Gas</t>
  </si>
  <si>
    <t>0040834</t>
  </si>
  <si>
    <t>Cơ Sở Điện Lạnh Công</t>
  </si>
  <si>
    <t>0532398</t>
  </si>
  <si>
    <t>Phí CPN T6/2017</t>
  </si>
  <si>
    <t>VAT Phí CPN T6/2017</t>
  </si>
  <si>
    <t>0211550</t>
  </si>
  <si>
    <t>LD1718001976</t>
  </si>
  <si>
    <t>0000181</t>
  </si>
  <si>
    <t>0000182</t>
  </si>
  <si>
    <t>0000184</t>
  </si>
  <si>
    <t>0000186</t>
  </si>
  <si>
    <t>0000188</t>
  </si>
  <si>
    <t>0001409</t>
  </si>
  <si>
    <t>0000382</t>
  </si>
  <si>
    <t>0000383</t>
  </si>
  <si>
    <t>Thanh toán tiền nước + phí CSHT T2 + T3 + T4 /2017</t>
  </si>
  <si>
    <t>Nộp tiền BHXH</t>
  </si>
  <si>
    <t>Thanh toán phí kiểm nghiệm T5/2017</t>
  </si>
  <si>
    <t>Thanh toán tiền điện kỳ 2 T6/2017</t>
  </si>
  <si>
    <t>VP, PV</t>
  </si>
  <si>
    <t>Thanh toán tiền kho lạnh</t>
  </si>
  <si>
    <t>Thanh toán tiền điện kỳ 3 T6/2017</t>
  </si>
  <si>
    <t>Thanh toán phí kiểm nghiệm T6/2017</t>
  </si>
  <si>
    <t>0001608</t>
  </si>
  <si>
    <t>0001672</t>
  </si>
  <si>
    <t>0000070</t>
  </si>
  <si>
    <t>Thanh toán tiền lưu kho</t>
  </si>
  <si>
    <t>Thanh toán lương T6/2017</t>
  </si>
  <si>
    <t>101503656441</t>
  </si>
  <si>
    <t>301413602510</t>
  </si>
  <si>
    <t>301425015750</t>
  </si>
  <si>
    <t>301425734760</t>
  </si>
  <si>
    <t>301435606900</t>
  </si>
  <si>
    <t>301436506360</t>
  </si>
  <si>
    <t>0000067</t>
  </si>
  <si>
    <t>0000068</t>
  </si>
  <si>
    <t>Khô cá bò tẩm xé bướm TP</t>
  </si>
  <si>
    <t>301442485760</t>
  </si>
  <si>
    <t>301442504920</t>
  </si>
  <si>
    <t>Nộp tiền vào TK ngân hàng</t>
  </si>
  <si>
    <t>LD 171 8001 976</t>
  </si>
  <si>
    <t>LD 171 8609 148</t>
  </si>
  <si>
    <t>0005628</t>
  </si>
  <si>
    <t>0005629</t>
  </si>
  <si>
    <t>Tiền điện kỳ 1 T7/2017</t>
  </si>
  <si>
    <t>VAT Tiền điện kỳ 1 T7/2017</t>
  </si>
  <si>
    <t>Tiền điện kỳ 2 T7/2017</t>
  </si>
  <si>
    <t>VAT Tiền điện kỳ 2 T7/2017</t>
  </si>
  <si>
    <t>Tiền điện kỳ 3 T7/2017</t>
  </si>
  <si>
    <t>VAT Tiền điện kỳ 3 T7/2017</t>
  </si>
  <si>
    <t>301447124000</t>
  </si>
  <si>
    <t>301448204430</t>
  </si>
  <si>
    <t>NH VP Bank</t>
  </si>
  <si>
    <t>Phí phát hành sec</t>
  </si>
  <si>
    <t>VP, Q4</t>
  </si>
  <si>
    <t>Thanh toán tiền điện kỳ 1 &amp; 2 T7/2017</t>
  </si>
  <si>
    <t>0365175</t>
  </si>
  <si>
    <t>0409358</t>
  </si>
  <si>
    <t>Thanh toán tiền điện kỳ 2 T2/2017</t>
  </si>
  <si>
    <t>Thanh toán tiền điện kỳ 1 T3/2017</t>
  </si>
  <si>
    <t>K/C dứt công nợ T7/2017</t>
  </si>
  <si>
    <t>LD 1716460104</t>
  </si>
  <si>
    <t>LD 1718609148</t>
  </si>
  <si>
    <t>Thùng carton 47x35.5x20</t>
  </si>
  <si>
    <t>0001373</t>
  </si>
  <si>
    <t>0001392</t>
  </si>
  <si>
    <t>0013717</t>
  </si>
  <si>
    <t>0001447</t>
  </si>
  <si>
    <t>0000552</t>
  </si>
  <si>
    <t>0000553</t>
  </si>
  <si>
    <t>0000554</t>
  </si>
  <si>
    <t>0000555</t>
  </si>
  <si>
    <t>0000556</t>
  </si>
  <si>
    <t>0000557</t>
  </si>
  <si>
    <t>0000558</t>
  </si>
  <si>
    <t>0000559</t>
  </si>
  <si>
    <t>0000560</t>
  </si>
  <si>
    <t>0000561</t>
  </si>
  <si>
    <t>0000562</t>
  </si>
  <si>
    <t>0000563</t>
  </si>
  <si>
    <t>0000580</t>
  </si>
  <si>
    <t>0000581</t>
  </si>
  <si>
    <t>0000582</t>
  </si>
  <si>
    <t>0002176</t>
  </si>
  <si>
    <t>0002213</t>
  </si>
  <si>
    <t>0014963</t>
  </si>
  <si>
    <t>TP/N13</t>
  </si>
  <si>
    <t>TP/N14</t>
  </si>
  <si>
    <t>0000192</t>
  </si>
  <si>
    <t>0000193</t>
  </si>
  <si>
    <t>0000195</t>
  </si>
  <si>
    <t>0000198</t>
  </si>
  <si>
    <t>0000199</t>
  </si>
  <si>
    <t>0013218</t>
  </si>
  <si>
    <t>0013233</t>
  </si>
  <si>
    <t>0059971</t>
  </si>
  <si>
    <t>0059592</t>
  </si>
  <si>
    <t>0003389</t>
  </si>
  <si>
    <t>Trung Tâm DV Phân Tích TN TPHCM</t>
  </si>
  <si>
    <t>0532637</t>
  </si>
  <si>
    <t>0044880</t>
  </si>
  <si>
    <t>Phí BH theo HĐBH S-MPB-00048787-05-17</t>
  </si>
  <si>
    <t>VAT Phí BH theo HĐBH S-MPB-00048787-05-17</t>
  </si>
  <si>
    <t>Cty TNHH  Bảo Hiểm Liberty</t>
  </si>
  <si>
    <t>0044881</t>
  </si>
  <si>
    <t>0533074</t>
  </si>
  <si>
    <t>0005408</t>
  </si>
  <si>
    <t xml:space="preserve">Bình Ắc quy </t>
  </si>
  <si>
    <t xml:space="preserve">VAT Bình Ắc quy </t>
  </si>
  <si>
    <t>0001081</t>
  </si>
  <si>
    <t>Cty TNHH TM &amp; DV Ắc Quy Vạn Phước Thịnh</t>
  </si>
  <si>
    <t>Gas R22</t>
  </si>
  <si>
    <t>0040846</t>
  </si>
  <si>
    <t>0533372</t>
  </si>
  <si>
    <t>0533423</t>
  </si>
  <si>
    <t>Phí dịch vụ bảo vệ T7/2017</t>
  </si>
  <si>
    <t>VAT Phí dịch vụ bảo vệ T7/2017</t>
  </si>
  <si>
    <t>0001568</t>
  </si>
  <si>
    <t>0533689</t>
  </si>
  <si>
    <t>Cước CPN T7/2017</t>
  </si>
  <si>
    <t>VAT Cước CPN T7/2017</t>
  </si>
  <si>
    <t>0220311</t>
  </si>
  <si>
    <t>Thanh toán lương T7/2017</t>
  </si>
  <si>
    <t>0000071</t>
  </si>
  <si>
    <t>0000072</t>
  </si>
  <si>
    <t>0000073</t>
  </si>
  <si>
    <t>0000074</t>
  </si>
  <si>
    <t>0000075</t>
  </si>
  <si>
    <t>0000076</t>
  </si>
  <si>
    <t>TP/N15</t>
  </si>
  <si>
    <t>TP/N16</t>
  </si>
  <si>
    <t>TP/N17</t>
  </si>
  <si>
    <t>TP/N18</t>
  </si>
  <si>
    <t>TP/N19</t>
  </si>
  <si>
    <t>TP/N20</t>
  </si>
  <si>
    <t>TP/N21</t>
  </si>
  <si>
    <t>0001042</t>
  </si>
  <si>
    <t>Cước VT - CNTT tháng T06/2017</t>
  </si>
  <si>
    <t>VAT Cước VT - CNTT tháng T06/2017</t>
  </si>
  <si>
    <t>LD1722005872</t>
  </si>
  <si>
    <t>HUNAN TIANHONG BIOENERGY TECHNOLOGY DEVELOPMENT CO., LTD</t>
  </si>
  <si>
    <t>301471697830</t>
  </si>
  <si>
    <t>Phí thanh toán bộ chứng từ</t>
  </si>
  <si>
    <t>VAT Phí thanh toán bộ chứng từ</t>
  </si>
  <si>
    <t>Bưu phí</t>
  </si>
  <si>
    <t>VAT Bưu phí</t>
  </si>
  <si>
    <t>Phí xử lý bộ chứng từ XK</t>
  </si>
  <si>
    <t>VAT Phí xử lý bộ chứng từ XK</t>
  </si>
  <si>
    <t>Lãi suất chiết khấu</t>
  </si>
  <si>
    <t>301473280530</t>
  </si>
  <si>
    <t>0006000</t>
  </si>
  <si>
    <t>0006001</t>
  </si>
  <si>
    <t>0000077</t>
  </si>
  <si>
    <t>0000384</t>
  </si>
  <si>
    <t>0000385</t>
  </si>
  <si>
    <t>0000387</t>
  </si>
  <si>
    <t>0000390</t>
  </si>
  <si>
    <t>0033299</t>
  </si>
  <si>
    <t>Phí bảo hiểm hàng xuất</t>
  </si>
  <si>
    <t>VAT Phí bảo hiểm hàng xuất</t>
  </si>
  <si>
    <t>Trần Nhiên</t>
  </si>
  <si>
    <t>Nguyễn Văn Bé Hai</t>
  </si>
  <si>
    <t>Thanh toán tiền cá cơm NL</t>
  </si>
  <si>
    <t>Nguyễn Thị Ngọc Thanh</t>
  </si>
  <si>
    <t>Phí chuyển tiền</t>
  </si>
  <si>
    <t>Hoàng Thăng Thành</t>
  </si>
  <si>
    <t>Nguyễn Đình Nguyên</t>
  </si>
  <si>
    <t>Trần Thị Bích Vân</t>
  </si>
  <si>
    <t>Trần Thanh Hợi</t>
  </si>
  <si>
    <t>Nguyễn Văn Quốc</t>
  </si>
  <si>
    <t>Nguyễn Thị Thanh Thuỷ</t>
  </si>
  <si>
    <t>Hồ Thiên Trang</t>
  </si>
  <si>
    <t>Nguyễn Thị Cúc</t>
  </si>
  <si>
    <t>Long Đức Tâm</t>
  </si>
  <si>
    <t>Nguyễn Minh Tâm</t>
  </si>
  <si>
    <t>Phương Tâm Đan</t>
  </si>
  <si>
    <t xml:space="preserve">VAT phí chuyển tiền </t>
  </si>
  <si>
    <t>Thanh toán phí bảo hiểm HĐ: 0003626</t>
  </si>
  <si>
    <t>301475345200</t>
  </si>
  <si>
    <t>301477292010</t>
  </si>
  <si>
    <t>Nhiên</t>
  </si>
  <si>
    <t>0033333</t>
  </si>
  <si>
    <t>0033335</t>
  </si>
  <si>
    <t>301484549130</t>
  </si>
  <si>
    <t>NAMKYUNG FOOD CO., LTD</t>
  </si>
  <si>
    <t>0000538</t>
  </si>
  <si>
    <t>0006109</t>
  </si>
  <si>
    <t>0006110</t>
  </si>
  <si>
    <t>301485953920</t>
  </si>
  <si>
    <t>VAT Túi PP 40x60</t>
  </si>
  <si>
    <t>0000623</t>
  </si>
  <si>
    <t>Cá mối NL</t>
  </si>
  <si>
    <t>Cá mao ếch NL</t>
  </si>
  <si>
    <t>Tôm NL</t>
  </si>
  <si>
    <t>301491302400</t>
  </si>
  <si>
    <t>0000134</t>
  </si>
  <si>
    <t>C01</t>
  </si>
  <si>
    <t>C02</t>
  </si>
  <si>
    <t>C03</t>
  </si>
  <si>
    <t>C04</t>
  </si>
  <si>
    <t>C05</t>
  </si>
  <si>
    <t>C06</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</si>
  <si>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</si>
  <si>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</si>
  <si>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</si>
  <si>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</si>
  <si>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</si>
  <si>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</si>
  <si>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</si>
  <si>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</si>
  <si>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</si>
  <si>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</si>
  <si>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</si>
  <si>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</si>
  <si>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</si>
  <si>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</si>
  <si>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</si>
  <si>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</si>
  <si>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</si>
  <si>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</si>
  <si>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</si>
  <si>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</si>
  <si>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</si>
  <si>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</si>
  <si>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</si>
  <si>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</si>
  <si>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</si>
  <si>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</si>
  <si>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</si>
  <si>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</si>
  <si>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</si>
  <si>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</si>
  <si>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</si>
  <si>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</si>
  <si>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</si>
  <si>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</si>
  <si>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</si>
  <si>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</si>
  <si>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</si>
  <si>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</si>
  <si>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</si>
  <si>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</si>
  <si>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</si>
  <si>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</si>
  <si>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</si>
  <si>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</si>
  <si>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</si>
  <si>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</si>
  <si>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</si>
  <si>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</si>
  <si>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</si>
  <si>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</si>
  <si>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</si>
  <si>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</si>
  <si>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</si>
  <si>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Nộp tiền mặt vào TK NH</t>
  </si>
  <si>
    <t>C60</t>
  </si>
  <si>
    <t>C61</t>
  </si>
  <si>
    <t>C62</t>
  </si>
  <si>
    <t>C63</t>
  </si>
  <si>
    <t>C64</t>
  </si>
  <si>
    <t>C66</t>
  </si>
  <si>
    <t>C67</t>
  </si>
  <si>
    <t>C68</t>
  </si>
  <si>
    <t>C69</t>
  </si>
  <si>
    <t>C70</t>
  </si>
  <si>
    <t>C71</t>
  </si>
  <si>
    <t>C72</t>
  </si>
  <si>
    <t>C73</t>
  </si>
  <si>
    <t>C74</t>
  </si>
  <si>
    <t>C75</t>
  </si>
  <si>
    <t>0251611</t>
  </si>
  <si>
    <t>Cty TNHH Thương Mại Dịch Vụ Giang Nam</t>
  </si>
  <si>
    <t>0169514</t>
  </si>
  <si>
    <t>Phí nâng hạ</t>
  </si>
  <si>
    <t>VAT Phí nâng hạ</t>
  </si>
  <si>
    <t>0004836;0025421;0025558;0025534;0025538;0055676;0055743</t>
  </si>
  <si>
    <t>0004836;0025421;0025558;0025534;0025538;0055676;0055744</t>
  </si>
  <si>
    <t>0082189;0082342;0082613;0083553;0082474;0083178</t>
  </si>
  <si>
    <t>0082189;0082342;0082613;0083553;0082474;0083179</t>
  </si>
  <si>
    <t>0011730;0011729;0011750</t>
  </si>
  <si>
    <t>0011730;0011729;0011751</t>
  </si>
  <si>
    <t>0008037;0256654</t>
  </si>
  <si>
    <t>0008037;0256655</t>
  </si>
  <si>
    <t>0144918</t>
  </si>
  <si>
    <t>0033374</t>
  </si>
  <si>
    <t>0000638</t>
  </si>
  <si>
    <t>0000639</t>
  </si>
  <si>
    <t>0000640</t>
  </si>
  <si>
    <t>0000641</t>
  </si>
  <si>
    <t>0000643</t>
  </si>
  <si>
    <t>0000675</t>
  </si>
  <si>
    <t>0000676</t>
  </si>
  <si>
    <t>0000679</t>
  </si>
  <si>
    <t>Thùng carton 49x30x10 5 lớp</t>
  </si>
  <si>
    <t>0001428</t>
  </si>
  <si>
    <t>Tiền điện kỳ 1 T8/2017</t>
  </si>
  <si>
    <t>VAT Tiền điện kỳ 1 T8/2017</t>
  </si>
  <si>
    <t>Tiền điện kỳ 2 T8/2017</t>
  </si>
  <si>
    <t>VAT Tiền điện kỳ 2 T8/2017</t>
  </si>
  <si>
    <t>Tiền điện kỳ 3 T8/2017</t>
  </si>
  <si>
    <t>VAT Tiền điện kỳ 3 T8/2017</t>
  </si>
  <si>
    <t>0410790</t>
  </si>
  <si>
    <t>0416805</t>
  </si>
  <si>
    <t>0470202</t>
  </si>
  <si>
    <t>Ngày 31 tháng  12  năm  2017</t>
  </si>
  <si>
    <t>- Ngày mở sổ: 02/01/2017</t>
  </si>
  <si>
    <t>Phí thẩm định cấp giấy Chứng nhận ATTP</t>
  </si>
  <si>
    <t>CQ Quản Lý Chất Lượng Nông Lâm Sản &amp; Thuỷ Sản Nam Bộ</t>
  </si>
  <si>
    <t>LD 1722 725 170</t>
  </si>
  <si>
    <t>Thanh toán cước vận chuyển</t>
  </si>
  <si>
    <t>Thanh toán tiền điện kỳ 3 T7/2017</t>
  </si>
  <si>
    <t>Thanh toán tiền nước, phí CSHT T5,T6,T7/17</t>
  </si>
  <si>
    <t>LD 1715715201</t>
  </si>
  <si>
    <t>LD 1722005872</t>
  </si>
  <si>
    <t>LD 1711070103</t>
  </si>
  <si>
    <t>LD 1718001976</t>
  </si>
  <si>
    <t>LD 1722901746</t>
  </si>
  <si>
    <t>0006368</t>
  </si>
  <si>
    <t>0006369</t>
  </si>
  <si>
    <t>Chuyển mua CCTG</t>
  </si>
  <si>
    <t>0000009</t>
  </si>
  <si>
    <t>0000010</t>
  </si>
  <si>
    <t>Cty TNHH Thanh Phú - La Gi</t>
  </si>
  <si>
    <t>0004959</t>
  </si>
  <si>
    <t>0009995</t>
  </si>
  <si>
    <t>0000628</t>
  </si>
  <si>
    <t>0019438</t>
  </si>
  <si>
    <t>0533832</t>
  </si>
  <si>
    <t>0628100</t>
  </si>
  <si>
    <t>0005338</t>
  </si>
  <si>
    <t>Phí phân tích độ phóng xạ mẫu cá</t>
  </si>
  <si>
    <t>VAT Phí phân tích độ phóng xạ mẫu cá</t>
  </si>
  <si>
    <t>0001314</t>
  </si>
  <si>
    <t>Trung Tâm Hạt Nhân TPHCM</t>
  </si>
  <si>
    <t>Gas R22, Biểu đồ kho lạnh</t>
  </si>
  <si>
    <t>0083261</t>
  </si>
  <si>
    <t>Bóng đèn UV</t>
  </si>
  <si>
    <t>0071342</t>
  </si>
  <si>
    <t>Cửa Hàng Dụng Cụ Y Khoa Thẩm Mỹ</t>
  </si>
  <si>
    <t>0017502</t>
  </si>
  <si>
    <t>Phí hiệu chuẩn</t>
  </si>
  <si>
    <t>VAT Phí hiệu chuẩn</t>
  </si>
  <si>
    <t>0040894</t>
  </si>
  <si>
    <t>0628306</t>
  </si>
  <si>
    <t>0628359</t>
  </si>
  <si>
    <t>Phí chứng từ, dịch vụ, xếp dỡ, niêm chì</t>
  </si>
  <si>
    <t>VAT Phí chứng từ, dịch vụ, xếp dỡ, niêm chì</t>
  </si>
  <si>
    <t>0006019</t>
  </si>
  <si>
    <t>0628550</t>
  </si>
  <si>
    <t>0001822</t>
  </si>
  <si>
    <t>Phí hạ kiểm hoá, điện lạnh</t>
  </si>
  <si>
    <t>VAT Phí hạ kiểm hoá, điện lạnh</t>
  </si>
  <si>
    <t>0939747; 0941899</t>
  </si>
  <si>
    <t>Phí lưu bãi</t>
  </si>
  <si>
    <t>VAT Phí lưu bãi</t>
  </si>
  <si>
    <t>0004199</t>
  </si>
  <si>
    <t>Cty TNHH Hyundai Merchant Marine Việt Nam</t>
  </si>
  <si>
    <t>Quạt tản nhiệt</t>
  </si>
  <si>
    <t>VAT Quạt tản nhiệt</t>
  </si>
  <si>
    <t>0000860</t>
  </si>
  <si>
    <t>Cty CP Kỹ Thuật Lạnh Rồng Việt</t>
  </si>
  <si>
    <t>0006159</t>
  </si>
  <si>
    <t>0628802</t>
  </si>
  <si>
    <t>Phí dịch vụ bảo vệ T8/2017</t>
  </si>
  <si>
    <t>VAT Phí dịch vụ bảo vệ T8/2017</t>
  </si>
  <si>
    <t>0001629</t>
  </si>
  <si>
    <t>0006601</t>
  </si>
  <si>
    <t>0629129</t>
  </si>
  <si>
    <t>Thanh toán lương T8/2017</t>
  </si>
  <si>
    <t>Phí giao thông T8/2017</t>
  </si>
  <si>
    <t>VAT Phí giao thông T8/2017</t>
  </si>
  <si>
    <t>Cước CPN T8/2017</t>
  </si>
  <si>
    <t>VAT Cước CPN T8/2017</t>
  </si>
  <si>
    <t>0220941</t>
  </si>
  <si>
    <t>2631848; 2703493</t>
  </si>
  <si>
    <t>2470407; 2539626</t>
  </si>
  <si>
    <t>Ngày   31   tháng    12    năm   2017</t>
  </si>
  <si>
    <t>Cước VT - CNTT T7/17</t>
  </si>
  <si>
    <t>VAT Cước VT - CNTT T7/17</t>
  </si>
  <si>
    <t>0044897</t>
  </si>
  <si>
    <t>Thanh toán tiền điện kỳ  1, 2 T8/17</t>
  </si>
  <si>
    <t>VAT phí ngân hàng</t>
  </si>
  <si>
    <t>Nộp tiền vào TK Ngân hàng</t>
  </si>
  <si>
    <t>Nộp TM vào tài khoản NH</t>
  </si>
  <si>
    <t>301501516060</t>
  </si>
  <si>
    <t>301504424930</t>
  </si>
  <si>
    <t>301507662800</t>
  </si>
  <si>
    <t>301512666030</t>
  </si>
  <si>
    <t>301513476040</t>
  </si>
  <si>
    <t>301516509730</t>
  </si>
  <si>
    <t>301522389510</t>
  </si>
  <si>
    <t>301522510240</t>
  </si>
  <si>
    <t>0001400</t>
  </si>
  <si>
    <t>0002180</t>
  </si>
  <si>
    <t>0004803</t>
  </si>
  <si>
    <t>Thanh toán HD</t>
  </si>
  <si>
    <t>Lãi phạt quá hạn</t>
  </si>
  <si>
    <t>Lãi phạt gốc quá hạn</t>
  </si>
  <si>
    <t>Lãi quá hạn</t>
  </si>
  <si>
    <t>301505452530</t>
  </si>
  <si>
    <t>0003092</t>
  </si>
  <si>
    <t>0003169</t>
  </si>
  <si>
    <t>0003391</t>
  </si>
  <si>
    <t>101626358210</t>
  </si>
  <si>
    <t>HWA LIM INDUSTRIAL CO</t>
  </si>
  <si>
    <t>Máy fillet</t>
  </si>
  <si>
    <t>VAT nhập khẩu máy fillet</t>
  </si>
  <si>
    <t>TSCĐ/N01</t>
  </si>
  <si>
    <t>5803318</t>
  </si>
  <si>
    <t>0006637</t>
  </si>
  <si>
    <t>0006638</t>
  </si>
  <si>
    <t>VAT Đường</t>
  </si>
  <si>
    <t>0001543</t>
  </si>
  <si>
    <t>Cty TNHH DL Và TM Thành Thành Phát</t>
  </si>
  <si>
    <t>0001561</t>
  </si>
  <si>
    <t>0008275</t>
  </si>
  <si>
    <t>VAT Bột ngọt</t>
  </si>
  <si>
    <t>0008690</t>
  </si>
  <si>
    <t>0011348</t>
  </si>
  <si>
    <t>Thanh toán tiền đường</t>
  </si>
  <si>
    <t>Thanh toán tiền bột ngọt</t>
  </si>
  <si>
    <t>0000904</t>
  </si>
  <si>
    <t>0000923</t>
  </si>
  <si>
    <t>0000924</t>
  </si>
  <si>
    <t>0000928</t>
  </si>
  <si>
    <t>0000935</t>
  </si>
  <si>
    <t>0000937</t>
  </si>
  <si>
    <t>0000946</t>
  </si>
  <si>
    <t>0000947</t>
  </si>
  <si>
    <t>0000950</t>
  </si>
  <si>
    <t>0000951</t>
  </si>
  <si>
    <t>0000751</t>
  </si>
  <si>
    <t>0000753</t>
  </si>
  <si>
    <t>0000754</t>
  </si>
  <si>
    <t>0000755</t>
  </si>
  <si>
    <t>0000756</t>
  </si>
  <si>
    <t>0000757</t>
  </si>
  <si>
    <t>0000758</t>
  </si>
  <si>
    <t>0000759</t>
  </si>
  <si>
    <t>0000760</t>
  </si>
  <si>
    <t>0000761</t>
  </si>
  <si>
    <t>0000762</t>
  </si>
  <si>
    <t>0000763</t>
  </si>
  <si>
    <t>0000764</t>
  </si>
  <si>
    <t>0000765</t>
  </si>
  <si>
    <t>0000766</t>
  </si>
  <si>
    <t>0000768</t>
  </si>
  <si>
    <t>0000769</t>
  </si>
  <si>
    <t>0000772</t>
  </si>
  <si>
    <t>0000775</t>
  </si>
  <si>
    <t>0000773</t>
  </si>
  <si>
    <t>0002179</t>
  </si>
  <si>
    <t>0001456</t>
  </si>
  <si>
    <t>Nhãn 13x10</t>
  </si>
  <si>
    <t>0000960</t>
  </si>
  <si>
    <t>0000956</t>
  </si>
  <si>
    <t>0000952</t>
  </si>
  <si>
    <t>Ngày  31  tháng   12  năm   2017</t>
  </si>
  <si>
    <t>0008973</t>
  </si>
  <si>
    <t>0034427</t>
  </si>
  <si>
    <t>0034448</t>
  </si>
  <si>
    <t>0034479</t>
  </si>
  <si>
    <t>0034513</t>
  </si>
  <si>
    <t>0015620</t>
  </si>
  <si>
    <t>0015622</t>
  </si>
  <si>
    <t>0000432</t>
  </si>
  <si>
    <t>Cty TNHH SX - TM Bao Bì Thiên Thành</t>
  </si>
  <si>
    <t>0000022</t>
  </si>
  <si>
    <t>0000037</t>
  </si>
  <si>
    <t>Nộp thuế GTGT hàng nhập khẩu - bột</t>
  </si>
  <si>
    <t>Thuế GTGT hàng nhập khẩu - bột</t>
  </si>
  <si>
    <t>TK 101368981450</t>
  </si>
  <si>
    <t>301529346810</t>
  </si>
  <si>
    <t>301529414450</t>
  </si>
  <si>
    <t>301545298150</t>
  </si>
  <si>
    <t>301544735020</t>
  </si>
  <si>
    <t>301544905710</t>
  </si>
  <si>
    <t>0000234</t>
  </si>
  <si>
    <t>Ruốc TP</t>
  </si>
  <si>
    <t>VAT Ruốc TP</t>
  </si>
  <si>
    <t>TP/X13</t>
  </si>
  <si>
    <t>TP/X14</t>
  </si>
  <si>
    <t>0002258</t>
  </si>
  <si>
    <t>0009218</t>
  </si>
  <si>
    <t>Tiền điện kỳ 1 T9/2017</t>
  </si>
  <si>
    <t>VAT Tiền điện kỳ 1 T9/2017</t>
  </si>
  <si>
    <t>Tiền điện kỳ 2 T9/2017</t>
  </si>
  <si>
    <t>VAT Tiền điện kỳ 2 T9/2017</t>
  </si>
  <si>
    <t>Tiền điện kỳ 3 T9/2017</t>
  </si>
  <si>
    <t>VAT Tiền điện kỳ 3 T9/2017</t>
  </si>
  <si>
    <t>TP/N22</t>
  </si>
  <si>
    <t>0000079</t>
  </si>
  <si>
    <t>0000080</t>
  </si>
  <si>
    <t>0000081</t>
  </si>
  <si>
    <t>0000082</t>
  </si>
  <si>
    <t>0000083</t>
  </si>
  <si>
    <t>0000084</t>
  </si>
  <si>
    <t>0000085</t>
  </si>
  <si>
    <t>0000086</t>
  </si>
  <si>
    <t>0000087</t>
  </si>
  <si>
    <t>0000088</t>
  </si>
  <si>
    <t>0000089</t>
  </si>
  <si>
    <t>0000090</t>
  </si>
  <si>
    <t>0000091</t>
  </si>
  <si>
    <t>0000201</t>
  </si>
  <si>
    <t>0000202</t>
  </si>
  <si>
    <t>0000206</t>
  </si>
  <si>
    <t>0004856</t>
  </si>
  <si>
    <t>0002574</t>
  </si>
  <si>
    <t>0006884</t>
  </si>
  <si>
    <t>0006885</t>
  </si>
  <si>
    <t>VAT Nhãn</t>
  </si>
  <si>
    <t>0001477</t>
  </si>
  <si>
    <t>0002382</t>
  </si>
  <si>
    <t>0472105</t>
  </si>
  <si>
    <t>0532428</t>
  </si>
  <si>
    <t>0531172</t>
  </si>
  <si>
    <t>Phí giao thông T9/2017</t>
  </si>
  <si>
    <t>VAT Phí giao thông T9/2017</t>
  </si>
  <si>
    <t>Thanh toán tiền lương T9/2017</t>
  </si>
  <si>
    <t>0856220</t>
  </si>
  <si>
    <t>0836084</t>
  </si>
  <si>
    <t>Phí cấp cont rỗng</t>
  </si>
  <si>
    <t>VAT Phí cấp cont rỗng</t>
  </si>
  <si>
    <t>0834760</t>
  </si>
  <si>
    <t>0088129</t>
  </si>
  <si>
    <t>0051609</t>
  </si>
  <si>
    <t>0691056</t>
  </si>
  <si>
    <t>0586009</t>
  </si>
  <si>
    <t>0055509</t>
  </si>
  <si>
    <t>0031533</t>
  </si>
  <si>
    <t>LD 1725100091</t>
  </si>
  <si>
    <t>Thanh toán tiền điện kỳ  1 T9/17</t>
  </si>
  <si>
    <t>Phí Bảo hiểm xe và TNDS</t>
  </si>
  <si>
    <t>VAT Phí Bảo hiểm xe và TNDS</t>
  </si>
  <si>
    <t>0009356</t>
  </si>
  <si>
    <t>Cty Bảo Hiểm Bưu Điện Phú Mỹ Hưng</t>
  </si>
  <si>
    <t>Phí Bảo hiểm</t>
  </si>
  <si>
    <t>T11</t>
  </si>
  <si>
    <t>Thanh toán phí chiếu xạ</t>
  </si>
  <si>
    <t>T12</t>
  </si>
  <si>
    <t>Phí phát hành séc</t>
  </si>
  <si>
    <t>VAT Phí phát hành séc</t>
  </si>
  <si>
    <t>T13</t>
  </si>
  <si>
    <t>T14</t>
  </si>
  <si>
    <t>PV, VP</t>
  </si>
  <si>
    <t>Phí Chuyển NT</t>
  </si>
  <si>
    <t>VAT Phí Chuyển NT</t>
  </si>
  <si>
    <t>0629297</t>
  </si>
  <si>
    <t>Thay vỏ xe</t>
  </si>
  <si>
    <t>VAT Thay vỏ xe</t>
  </si>
  <si>
    <t>0001296</t>
  </si>
  <si>
    <t>Cty TNHH Vỏ Xe Vạn Lợi</t>
  </si>
  <si>
    <t>Phí nộp tiền mặt vào TK</t>
  </si>
  <si>
    <t>VAT Phí nộp tiền mặt vào TK</t>
  </si>
  <si>
    <t>Cước VT - CNTT T8/2017</t>
  </si>
  <si>
    <t>VAT Cước VT - CNTT T8/2017</t>
  </si>
  <si>
    <t>2796202; 2866432</t>
  </si>
  <si>
    <t>0006370</t>
  </si>
  <si>
    <t>Phí điện lạnh</t>
  </si>
  <si>
    <t>VAT Phí điện lạnh</t>
  </si>
  <si>
    <t>1026378</t>
  </si>
  <si>
    <t>0629709</t>
  </si>
  <si>
    <t>0629972</t>
  </si>
  <si>
    <t>0629973</t>
  </si>
  <si>
    <t>0018381</t>
  </si>
  <si>
    <t>0001510</t>
  </si>
  <si>
    <t>0001694</t>
  </si>
  <si>
    <t>0002408</t>
  </si>
  <si>
    <t>Cty TNHH SG Sagawa VN</t>
  </si>
  <si>
    <t>0692445</t>
  </si>
  <si>
    <t>TP/X15</t>
  </si>
  <si>
    <t>VAT Cá bò khô tẩm TP</t>
  </si>
  <si>
    <t>0000249</t>
  </si>
  <si>
    <t>Quyết định xử phạt 25132/QĐ-CT</t>
  </si>
  <si>
    <t>Nộp phạt theo QĐ 2513/QĐ-CT</t>
  </si>
  <si>
    <t>Q11, Q4</t>
  </si>
  <si>
    <t>0001450</t>
  </si>
  <si>
    <t>0000939</t>
  </si>
  <si>
    <t>0000961</t>
  </si>
  <si>
    <t>0000962</t>
  </si>
  <si>
    <t>0000963</t>
  </si>
  <si>
    <t>0000964</t>
  </si>
  <si>
    <t>0000971</t>
  </si>
  <si>
    <t>0000972</t>
  </si>
  <si>
    <t>0000974</t>
  </si>
  <si>
    <t>0000975</t>
  </si>
  <si>
    <t>0002400</t>
  </si>
  <si>
    <t>Cty TNHH CPN DHL - VNPT</t>
  </si>
  <si>
    <t>Phí cấp lệnh giao hàng, xếp dỡ, phụ trội</t>
  </si>
  <si>
    <t>VAT Phí cấp lệnh giao hàng, xếp dỡ, phụ trội</t>
  </si>
  <si>
    <t>0003721</t>
  </si>
  <si>
    <t>Hoàn trả phí ngân hàng do thu sai</t>
  </si>
  <si>
    <t>Điện phí chuyển tiếp từ nước ngoài</t>
  </si>
  <si>
    <t>Thanh toán phí bảo hiểm xe</t>
  </si>
  <si>
    <t>Phí SMS</t>
  </si>
  <si>
    <t>VAT Phí SMS</t>
  </si>
  <si>
    <t>Thanh toán tiền điện Kỳ 2 &amp; Kỳ 3 T9/17</t>
  </si>
  <si>
    <t>Thanh toán phí bảo hiểm TNDS</t>
  </si>
  <si>
    <t>0006998</t>
  </si>
  <si>
    <t>0006999</t>
  </si>
  <si>
    <t>0007000</t>
  </si>
  <si>
    <t>LD 172 510 0091</t>
  </si>
  <si>
    <t>LD 1726338999</t>
  </si>
  <si>
    <t>LD 1726941340</t>
  </si>
  <si>
    <t>TP/X16</t>
  </si>
  <si>
    <t>301526439820</t>
  </si>
  <si>
    <t>LD 1729162029</t>
  </si>
  <si>
    <t>LD 1716427002</t>
  </si>
  <si>
    <t>0007107</t>
  </si>
  <si>
    <t>0007108</t>
  </si>
  <si>
    <t>0007109</t>
  </si>
  <si>
    <t>0007110</t>
  </si>
  <si>
    <t>0000017</t>
  </si>
  <si>
    <t>Cty TNHH MTV TM DV Điện Lạnh Hoàng Phúc</t>
  </si>
  <si>
    <t>0000735</t>
  </si>
  <si>
    <t>0000297</t>
  </si>
  <si>
    <t>Cty TNHH DV - TM - Vận Tải Thanh Phú</t>
  </si>
  <si>
    <t>0007146</t>
  </si>
  <si>
    <t>0007147</t>
  </si>
  <si>
    <t>Thùng carton 48x35.5x20</t>
  </si>
  <si>
    <t>Thùng carton 50x35x13</t>
  </si>
  <si>
    <t>Thùng carton 50x35x22</t>
  </si>
  <si>
    <t>VAT thùng carton các loại</t>
  </si>
  <si>
    <t>0001495</t>
  </si>
  <si>
    <t>301545454950</t>
  </si>
  <si>
    <t>301550671240</t>
  </si>
  <si>
    <t>301555272710</t>
  </si>
  <si>
    <t>301555895120</t>
  </si>
  <si>
    <t>301556778850</t>
  </si>
  <si>
    <t>KHEE TRADING INC</t>
  </si>
  <si>
    <t>301568330400</t>
  </si>
  <si>
    <t>301568428840</t>
  </si>
  <si>
    <t>301570275110</t>
  </si>
  <si>
    <t>301572152140</t>
  </si>
  <si>
    <t>301574060230</t>
  </si>
  <si>
    <t>301579007460</t>
  </si>
  <si>
    <t>301582111630</t>
  </si>
  <si>
    <t>0000368</t>
  </si>
  <si>
    <t>0000883</t>
  </si>
  <si>
    <t>0000884</t>
  </si>
  <si>
    <t>0000885</t>
  </si>
  <si>
    <t>0000886</t>
  </si>
  <si>
    <t>0000887</t>
  </si>
  <si>
    <t>0000888</t>
  </si>
  <si>
    <t>0000889</t>
  </si>
  <si>
    <t>0000890</t>
  </si>
  <si>
    <t>0000891</t>
  </si>
  <si>
    <t>0000892</t>
  </si>
  <si>
    <t>0000893</t>
  </si>
  <si>
    <t>0000894</t>
  </si>
  <si>
    <t>0000895</t>
  </si>
  <si>
    <t>0000912</t>
  </si>
  <si>
    <t>0000913</t>
  </si>
  <si>
    <t>0003612</t>
  </si>
  <si>
    <t>0003838</t>
  </si>
  <si>
    <t>Tiền điện kỳ 1 T10/2017</t>
  </si>
  <si>
    <t>VAT Tiền điện kỳ 1 T10/2017</t>
  </si>
  <si>
    <t>Tiền điện kỳ 2 T10/2017</t>
  </si>
  <si>
    <t>VAT Tiền điện kỳ 2 T10/2017</t>
  </si>
  <si>
    <t>Tiền điện kỳ 3 T10/2017</t>
  </si>
  <si>
    <t>VAT Tiền điện kỳ 3 T10/2017</t>
  </si>
  <si>
    <t>0533371</t>
  </si>
  <si>
    <t>Phí CPN T9/2017</t>
  </si>
  <si>
    <t>VAT Phí CPN T9/2017</t>
  </si>
  <si>
    <t>0221690</t>
  </si>
  <si>
    <t>BẢNG TÍNH GIÁ THÀNH SP T01/2017</t>
  </si>
  <si>
    <t>Khô cá cơm tẩm TP</t>
  </si>
  <si>
    <t>BẢNG TÍNH GIÁ THÀNH SP T02/2017</t>
  </si>
  <si>
    <t>BẢNG TÍNH GIÁ THÀNH SP T03/2017</t>
  </si>
  <si>
    <t>BẢNG TÍNH GIÁ THÀNH SP T04/2017</t>
  </si>
  <si>
    <t>BẢNG TÍNH GIÁ THÀNH SP T05/2017</t>
  </si>
  <si>
    <t>BẢNG TÍNH GIÁ THÀNH SP T06/2017</t>
  </si>
  <si>
    <t>BẢNG TÍNH GIÁ THÀNH SP T07/2017</t>
  </si>
  <si>
    <t>BẢNG TÍNH GIÁ THÀNH SP T08/2017</t>
  </si>
  <si>
    <t>BẢNG TÍNH GIÁ THÀNH SP T09/2017</t>
  </si>
  <si>
    <t>BẢNG TÍNH GIÁ THÀNH SP T10/2017</t>
  </si>
  <si>
    <t>BẢNG TÍNH GIÁ THÀNH SP T11/2017</t>
  </si>
  <si>
    <t>BẢNG TÍNH GIÁ THÀNH SP T12/2017</t>
  </si>
  <si>
    <t>Khô cá cơm C TP</t>
  </si>
  <si>
    <t>Khô cá bò tẩm B TP</t>
  </si>
  <si>
    <t>Khô cá bò tẩm C TP</t>
  </si>
  <si>
    <t>Ghẹ khô lạt B TP</t>
  </si>
  <si>
    <t>Giảm trừ doanh thu</t>
  </si>
  <si>
    <t>521</t>
  </si>
  <si>
    <t>Các khoản giảm trừ doanh thu</t>
  </si>
  <si>
    <t>VPbank - LD1717700461</t>
  </si>
  <si>
    <t>VPbank - LD 1725601020</t>
  </si>
  <si>
    <t>VPbank - LD 1723500395</t>
  </si>
  <si>
    <t>VPbank - LD 1724800499</t>
  </si>
  <si>
    <t>Vay - tín chấp (1 tỷ)</t>
  </si>
  <si>
    <t>Vay - thế chấp CCTG</t>
  </si>
  <si>
    <t>Vay - tín chấp (2 tỷ)</t>
  </si>
  <si>
    <t>VPbank - LD 1727101276</t>
  </si>
  <si>
    <t>128</t>
  </si>
  <si>
    <t>1281</t>
  </si>
  <si>
    <t xml:space="preserve"> Tiền gửi có kỳ hạn</t>
  </si>
  <si>
    <t>Đầu tư nắm giữ đến ngày đáo hạn</t>
  </si>
  <si>
    <t>125 660 843</t>
  </si>
  <si>
    <t>125 759 122</t>
  </si>
  <si>
    <t>1010 0026 8614</t>
  </si>
  <si>
    <t>1070 0026 8615</t>
  </si>
  <si>
    <t>1015 148 5100 9193</t>
  </si>
  <si>
    <t>1015 148 5100 9180</t>
  </si>
  <si>
    <t>1402 148 5100 9479</t>
  </si>
  <si>
    <t>1403 148 5100 9465</t>
  </si>
  <si>
    <t>2100 148 5100 0949</t>
  </si>
  <si>
    <t>2100 148 5100 0935</t>
  </si>
  <si>
    <t>TK-VNĐ</t>
  </si>
  <si>
    <t>TK-USD</t>
  </si>
  <si>
    <t>Chiết khấu LC</t>
  </si>
  <si>
    <t>Vay chiết khấu - Kojubu 01</t>
  </si>
  <si>
    <t>Vay chiết khấu - Kojubu 02</t>
  </si>
  <si>
    <t>Vay chiết khấu - Tokai 01</t>
  </si>
  <si>
    <t>Vay chiết khấu - Michang 01</t>
  </si>
  <si>
    <t>Vay LC - Chung hae won 02</t>
  </si>
  <si>
    <t>Vay chiết khấu - Chung hae won 01</t>
  </si>
  <si>
    <t>Vay chiết khấu - Tokai 02</t>
  </si>
  <si>
    <t>Vay chiết khấu - Chung hae won 02</t>
  </si>
  <si>
    <t>Vay chiết khấu - Say D.S 01</t>
  </si>
  <si>
    <t>Vay chiết khấu - Worldfood 01</t>
  </si>
  <si>
    <t>Vay chiết khấu - Jinwon 01</t>
  </si>
  <si>
    <t>LD1717910548</t>
  </si>
  <si>
    <t>CK 1025 037000 2130</t>
  </si>
  <si>
    <t>CK 1025 037000 2147</t>
  </si>
  <si>
    <t>CK 1025 037000 2219</t>
  </si>
  <si>
    <t>CK 1025 037000 2226</t>
  </si>
  <si>
    <t>LC 1025 037000 2233</t>
  </si>
  <si>
    <t>CK 1025 037000 2245</t>
  </si>
  <si>
    <t>CK 1707970159</t>
  </si>
  <si>
    <t>LC 1707970206</t>
  </si>
  <si>
    <t>CK 1025 037000 2247</t>
  </si>
  <si>
    <t>CK 1713780509</t>
  </si>
  <si>
    <t>LC 1714283137</t>
  </si>
  <si>
    <t>CK 1714544527</t>
  </si>
  <si>
    <t>CK 1717910547</t>
  </si>
  <si>
    <t>Vay chiết khấu - Sejin 02</t>
  </si>
  <si>
    <t>CK 1720900670</t>
  </si>
  <si>
    <t>CK 1720980270</t>
  </si>
  <si>
    <t>Vay chiết khấu - Kojubu 05</t>
  </si>
  <si>
    <t>CK 1719310308</t>
  </si>
  <si>
    <t>Vay chiết khấu - Goodsea 01</t>
  </si>
  <si>
    <t>CK 1704736168</t>
  </si>
  <si>
    <t>Vay chiết khấu - Kojubu 03</t>
  </si>
  <si>
    <t>Vay chiết khấu - Namkyung 01</t>
  </si>
  <si>
    <t>CK 1723633237</t>
  </si>
  <si>
    <t>Vay chiết khấu - Haecheong 01</t>
  </si>
  <si>
    <t>CK 1725 132 113</t>
  </si>
  <si>
    <t>CK 1727013707</t>
  </si>
  <si>
    <t>Vay chiết khấu - Tokai 04</t>
  </si>
  <si>
    <t>Vay chiết khấu - Tokai 05</t>
  </si>
  <si>
    <t>CK 1728574440</t>
  </si>
  <si>
    <t>Vay LC - Tokai</t>
  </si>
  <si>
    <t>LC 1716427002</t>
  </si>
  <si>
    <t>Thanh toán tiền bột</t>
  </si>
  <si>
    <t xml:space="preserve">Hoàn vốn </t>
  </si>
  <si>
    <t>301577179650</t>
  </si>
  <si>
    <t>Khô cá chỉ mặn TP</t>
  </si>
  <si>
    <t>0001217</t>
  </si>
  <si>
    <t>0011790</t>
  </si>
  <si>
    <t>Chuyển USD</t>
  </si>
  <si>
    <t>Phí chuyển USD</t>
  </si>
  <si>
    <t>VAT Phí chuyển USD</t>
  </si>
  <si>
    <t>LD 1717910547</t>
  </si>
  <si>
    <t>Thanh toán phí lưu kho</t>
  </si>
  <si>
    <t>LD 1729602661</t>
  </si>
  <si>
    <t>Thanh toán tiền nước, phí CSHT T8,T9/17</t>
  </si>
  <si>
    <t>LD 1730320093</t>
  </si>
  <si>
    <t>0000230</t>
  </si>
  <si>
    <t>0000231</t>
  </si>
  <si>
    <t>0000232</t>
  </si>
  <si>
    <t>0000233</t>
  </si>
  <si>
    <t>Thanh toán tiền điện kỳ 1 T10/2017</t>
  </si>
  <si>
    <t>CHI</t>
  </si>
  <si>
    <t>0018760</t>
  </si>
  <si>
    <t>0020164</t>
  </si>
  <si>
    <t>0018849</t>
  </si>
  <si>
    <t>0020461</t>
  </si>
  <si>
    <t>0003296</t>
  </si>
  <si>
    <t>0008997</t>
  </si>
  <si>
    <t>TT DV Phân Tích Thí Nghiệm TP.HCM</t>
  </si>
  <si>
    <t>0020620</t>
  </si>
  <si>
    <t>0019016</t>
  </si>
  <si>
    <t>0009093</t>
  </si>
  <si>
    <t>0009094</t>
  </si>
  <si>
    <t>0009095</t>
  </si>
  <si>
    <t>Bảo trì máy lạnh</t>
  </si>
  <si>
    <t>VAT Bảo trì máy lạnh</t>
  </si>
  <si>
    <t>0020832</t>
  </si>
  <si>
    <t>0002139</t>
  </si>
  <si>
    <t>0002101</t>
  </si>
  <si>
    <t>0020924</t>
  </si>
  <si>
    <t>0009277</t>
  </si>
  <si>
    <t>0002141</t>
  </si>
  <si>
    <t>0019165</t>
  </si>
  <si>
    <t>Phí bảo dưỡng, sửa chữa xe 51F - 080.56</t>
  </si>
  <si>
    <t>VAT Phí bảo dưỡng, sửa chữa xe 51F - 080.56</t>
  </si>
  <si>
    <t>0024085</t>
  </si>
  <si>
    <t>0021183</t>
  </si>
  <si>
    <t>Phí tuyển dụng (vieclam24h.vn)</t>
  </si>
  <si>
    <t>VAT Phí tuyển dụng</t>
  </si>
  <si>
    <t>0002491</t>
  </si>
  <si>
    <t>Cty CP Nguồn Nhân Lực Siêu Việt</t>
  </si>
  <si>
    <t>Phí dịch vụ bảo vệ T10/2017</t>
  </si>
  <si>
    <t>0001760</t>
  </si>
  <si>
    <t>0004258</t>
  </si>
  <si>
    <t>Thanh toán lương T10/2017</t>
  </si>
  <si>
    <t>0000092</t>
  </si>
  <si>
    <t>Cty TNHH XK Thuỷ Sản Hải Việt</t>
  </si>
  <si>
    <t>301597193130</t>
  </si>
  <si>
    <t>301608979400</t>
  </si>
  <si>
    <t>Mực khô (L20) TP</t>
  </si>
  <si>
    <t>Mực khô (M30) TP</t>
  </si>
  <si>
    <t>Mực khô (S40) TP</t>
  </si>
  <si>
    <t>Mực khô (2S50) TP</t>
  </si>
  <si>
    <t>Khô cá bò tẩm (2S) TP</t>
  </si>
  <si>
    <t>LD 1731061035</t>
  </si>
  <si>
    <t>Thanh toán tiền hoá chất</t>
  </si>
  <si>
    <t>Thanh toán tiền điện kỳ 2 T10/17</t>
  </si>
  <si>
    <t>Thanh toán tiền mực</t>
  </si>
  <si>
    <t>LD 1731813552</t>
  </si>
  <si>
    <t>LD 1729800256</t>
  </si>
  <si>
    <t>0007472</t>
  </si>
  <si>
    <t>0007471</t>
  </si>
  <si>
    <t>0015663</t>
  </si>
  <si>
    <t>0015664</t>
  </si>
  <si>
    <t>0016376</t>
  </si>
  <si>
    <t>VAT Khô cá mai tẩm nướng TP</t>
  </si>
  <si>
    <t>Vay chiết khấu - Kojubu 07</t>
  </si>
  <si>
    <t>CK 1729162029</t>
  </si>
  <si>
    <t>Vay chiết khấu - Tokai 06</t>
  </si>
  <si>
    <t>CK 1728574441</t>
  </si>
  <si>
    <t>LC 1730609418</t>
  </si>
  <si>
    <t>Vay chiết khấu - Michang 02</t>
  </si>
  <si>
    <t>CK 1730320370</t>
  </si>
  <si>
    <t>Vay chiết khấu - DaeYeong 02</t>
  </si>
  <si>
    <t>CK 1730320371</t>
  </si>
  <si>
    <t>Phí giao thông</t>
  </si>
  <si>
    <t>VAT Phí giao thông</t>
  </si>
  <si>
    <t>0011465</t>
  </si>
  <si>
    <t>0011804</t>
  </si>
  <si>
    <t>0001069</t>
  </si>
  <si>
    <t>Cty TNHH SX TM Và DV An Xuân Phát</t>
  </si>
  <si>
    <t>Phi cấp container rỗng lạnh</t>
  </si>
  <si>
    <t>VAT Phi cấp container rỗng lạnh</t>
  </si>
  <si>
    <t>Phi cấp container rỗng</t>
  </si>
  <si>
    <t>VAT Phi cấp container rỗng</t>
  </si>
  <si>
    <t>Phi cấp container lạnh</t>
  </si>
  <si>
    <t>VAT Phi cấp container lạnh</t>
  </si>
  <si>
    <t>1140439</t>
  </si>
  <si>
    <t>Phi hạ bãi chờ xuất</t>
  </si>
  <si>
    <t>VAT Phi hạ bãi chờ xuất</t>
  </si>
  <si>
    <t>0021499</t>
  </si>
  <si>
    <t>0002040</t>
  </si>
  <si>
    <t>Phí lưu kho</t>
  </si>
  <si>
    <t>VAT Phí lưu kho</t>
  </si>
  <si>
    <t>0097941</t>
  </si>
  <si>
    <t>Thanh toán tiền điện kỳ 3 T10/17</t>
  </si>
  <si>
    <t>Thanh toán tiền nước + phí CSHT T10/17</t>
  </si>
  <si>
    <t>VP,PV</t>
  </si>
  <si>
    <t>TP/X17</t>
  </si>
  <si>
    <t>0000273</t>
  </si>
  <si>
    <t>Phí thanh toán thẻ tín dụng</t>
  </si>
  <si>
    <t>0004059</t>
  </si>
  <si>
    <t>Tiền nước sinh hoạt, phí CSHT T10/17</t>
  </si>
  <si>
    <t>0592619</t>
  </si>
  <si>
    <t>0593893</t>
  </si>
  <si>
    <t>Tiền điện kỳ 1 T11/2017</t>
  </si>
  <si>
    <t>VAT Tiền điện kỳ 1 T11/2017</t>
  </si>
  <si>
    <t>Tiền điện kỳ 2 T11/2017</t>
  </si>
  <si>
    <t>VAT Tiền điện kỳ 2 T11/2017</t>
  </si>
  <si>
    <t>Tiền điện kỳ 3 T11/2017</t>
  </si>
  <si>
    <t>VAT Tiền điện kỳ 3 T11/2017</t>
  </si>
  <si>
    <t>0222286</t>
  </si>
  <si>
    <t>301617742110</t>
  </si>
  <si>
    <t>301622076950</t>
  </si>
  <si>
    <t>0000984</t>
  </si>
  <si>
    <t>0000995</t>
  </si>
  <si>
    <t>0001000</t>
  </si>
  <si>
    <t>0001009</t>
  </si>
  <si>
    <t>0001012</t>
  </si>
  <si>
    <t>0001016</t>
  </si>
  <si>
    <t>0002774</t>
  </si>
  <si>
    <t>Cước VT - CNTT T9/2017</t>
  </si>
  <si>
    <t>VAT Cước VT - CNTT T9/2017</t>
  </si>
  <si>
    <t>2959407; 3029910</t>
  </si>
  <si>
    <t>0000093</t>
  </si>
  <si>
    <t>0000094</t>
  </si>
  <si>
    <t>0000095</t>
  </si>
  <si>
    <t>0000096</t>
  </si>
  <si>
    <t>0000097</t>
  </si>
  <si>
    <t>0000098</t>
  </si>
  <si>
    <t>0000099</t>
  </si>
  <si>
    <t>0000100</t>
  </si>
  <si>
    <t>0000101</t>
  </si>
  <si>
    <t>0000102</t>
  </si>
  <si>
    <t>0004952</t>
  </si>
  <si>
    <t>0003297</t>
  </si>
  <si>
    <t>0004953</t>
  </si>
  <si>
    <t>0003298</t>
  </si>
  <si>
    <t>Phí phân tích các chỉ tiêu T10/17</t>
  </si>
  <si>
    <t>Phí phân tích các chỉ tiêu T11/17</t>
  </si>
  <si>
    <t>0007646</t>
  </si>
  <si>
    <t>0007645</t>
  </si>
  <si>
    <t>0019566</t>
  </si>
  <si>
    <t>0021719</t>
  </si>
  <si>
    <t>0002230</t>
  </si>
  <si>
    <t>0010281</t>
  </si>
  <si>
    <t>0019667</t>
  </si>
  <si>
    <t>Chi phí công tác, tiếp khách</t>
  </si>
  <si>
    <t>VAT Chi phí công tác, tiếp khách</t>
  </si>
  <si>
    <t>0002078</t>
  </si>
  <si>
    <t>Cty TNHH Du Lịch Xin Chào</t>
  </si>
  <si>
    <t>Thiết bị xưởng</t>
  </si>
  <si>
    <t>0057029</t>
  </si>
  <si>
    <t>0098348</t>
  </si>
  <si>
    <t>0010679</t>
  </si>
  <si>
    <t>0010680</t>
  </si>
  <si>
    <t>0019771</t>
  </si>
  <si>
    <t>0005987</t>
  </si>
  <si>
    <t>Cước VT - CNTT T10/17</t>
  </si>
  <si>
    <t>VAT Cước VT - CNTT T10/17</t>
  </si>
  <si>
    <t>3194079</t>
  </si>
  <si>
    <t>3122994</t>
  </si>
  <si>
    <t>0019930</t>
  </si>
  <si>
    <t>LD 1722725170</t>
  </si>
  <si>
    <t>LD 1732871202</t>
  </si>
  <si>
    <t>Thanh toán tiền điện Kỳ 1 T11/17</t>
  </si>
  <si>
    <t>301624170541</t>
  </si>
  <si>
    <t>301631921530</t>
  </si>
  <si>
    <t>LD 1733206701</t>
  </si>
  <si>
    <t>0000281</t>
  </si>
  <si>
    <t>0000844</t>
  </si>
  <si>
    <t>Thanh toán lương T11/2017</t>
  </si>
  <si>
    <t>0002839</t>
  </si>
  <si>
    <t>Thu vốn</t>
  </si>
  <si>
    <t>Thanh toán tiền điện Kỳ 2 &amp; Kỳ 3 T11/17</t>
  </si>
  <si>
    <t>Cty TNHH MTV BTFood</t>
  </si>
  <si>
    <t>Lãi CCTG</t>
  </si>
  <si>
    <t>0000529</t>
  </si>
  <si>
    <t>0000565</t>
  </si>
  <si>
    <t>0001830</t>
  </si>
  <si>
    <t>Túi PP 86x60</t>
  </si>
  <si>
    <t>VAT Túi PP 86x60</t>
  </si>
  <si>
    <t>0016800</t>
  </si>
  <si>
    <t>0594850</t>
  </si>
  <si>
    <t>0655043</t>
  </si>
  <si>
    <t>0655856</t>
  </si>
  <si>
    <t>LD 1733800695</t>
  </si>
  <si>
    <t>0001302</t>
  </si>
  <si>
    <t>0007798</t>
  </si>
  <si>
    <t>0007799</t>
  </si>
  <si>
    <t>Lãi phạt trả chậm</t>
  </si>
  <si>
    <t>Nộp tiền BHYT</t>
  </si>
  <si>
    <t>Nộp tiền BHTN</t>
  </si>
  <si>
    <t>0098575</t>
  </si>
  <si>
    <t>0098899</t>
  </si>
  <si>
    <t>0099115</t>
  </si>
  <si>
    <t>Điều chỉnh BHXH</t>
  </si>
  <si>
    <t>Điều chỉnh BHYT</t>
  </si>
  <si>
    <t>Điều chỉnh BHTN</t>
  </si>
  <si>
    <t>Chi tiền thai sản</t>
  </si>
  <si>
    <t>Trần Thị Bích Phượng</t>
  </si>
  <si>
    <t>Lâm Thị Mộng Thường</t>
  </si>
  <si>
    <t>0000228</t>
  </si>
  <si>
    <t>0001557</t>
  </si>
  <si>
    <t>BHTNLĐ phải trả cho Văn Phòng</t>
  </si>
  <si>
    <t>BHTNLĐ phải trả cho BP Phân Xưởng &amp; CN</t>
  </si>
  <si>
    <t>0.5%</t>
  </si>
  <si>
    <t>17%</t>
  </si>
  <si>
    <t>Nộp tiền BHTNLĐ</t>
  </si>
  <si>
    <t>0017724</t>
  </si>
  <si>
    <t>Tiền điện kỳ 1 T12/2017</t>
  </si>
  <si>
    <t>VAT Tiền điện kỳ 1 T12/2017</t>
  </si>
  <si>
    <t>Tiền điện kỳ 2 T12/2017</t>
  </si>
  <si>
    <t>VAT Tiền điện kỳ 2 T12/2017</t>
  </si>
  <si>
    <t>Tiền điện kỳ 3 T12/2017</t>
  </si>
  <si>
    <t>VAT Tiền điện kỳ 3 T12/2017</t>
  </si>
  <si>
    <t>Phí cấp cont rồng lạnh</t>
  </si>
  <si>
    <t>VAT Phí cấp cont rồng lạnh</t>
  </si>
  <si>
    <t>0100896</t>
  </si>
  <si>
    <t>0106479</t>
  </si>
  <si>
    <t>Phí hạ rỗng lạnh</t>
  </si>
  <si>
    <t>VAT Phí hạ rỗng lạnh</t>
  </si>
  <si>
    <t>0257284</t>
  </si>
  <si>
    <t>0424868</t>
  </si>
  <si>
    <t>0129563</t>
  </si>
  <si>
    <t>CK 1733521320</t>
  </si>
  <si>
    <t>Vay chiết khấu - Jinwon 02</t>
  </si>
  <si>
    <t xml:space="preserve">Trả lãi vay </t>
  </si>
  <si>
    <t>0001001</t>
  </si>
  <si>
    <t>0001002</t>
  </si>
  <si>
    <t>0001003</t>
  </si>
  <si>
    <t>0001004</t>
  </si>
  <si>
    <t>0001005</t>
  </si>
  <si>
    <t>0001006</t>
  </si>
  <si>
    <t>301640554040</t>
  </si>
  <si>
    <t xml:space="preserve">Thu tiền </t>
  </si>
  <si>
    <t>1140865</t>
  </si>
  <si>
    <t>1141609</t>
  </si>
  <si>
    <t>1165190</t>
  </si>
  <si>
    <t>1171441</t>
  </si>
  <si>
    <t>1174711</t>
  </si>
  <si>
    <t>1213451</t>
  </si>
  <si>
    <t>1214877</t>
  </si>
  <si>
    <t>1220690</t>
  </si>
  <si>
    <t>1241518</t>
  </si>
  <si>
    <t>1255522</t>
  </si>
  <si>
    <t>0001058</t>
  </si>
  <si>
    <t>1142872</t>
  </si>
  <si>
    <t>1170973</t>
  </si>
  <si>
    <t>1174404</t>
  </si>
  <si>
    <t>1175016</t>
  </si>
  <si>
    <t>1177474</t>
  </si>
  <si>
    <t>1221034</t>
  </si>
  <si>
    <t>1230433</t>
  </si>
  <si>
    <t>1237176</t>
  </si>
  <si>
    <t>1241984</t>
  </si>
  <si>
    <t>1250580</t>
  </si>
  <si>
    <t>1265828</t>
  </si>
  <si>
    <t>301652856100</t>
  </si>
  <si>
    <t>301653975510</t>
  </si>
  <si>
    <t>0000154</t>
  </si>
  <si>
    <t>0000167</t>
  </si>
  <si>
    <t>0000197</t>
  </si>
  <si>
    <t>Vay chiết khấu - Michang 03</t>
  </si>
  <si>
    <t>LD 1734778206</t>
  </si>
  <si>
    <t>CK 1734791457</t>
  </si>
  <si>
    <t>301657939720</t>
  </si>
  <si>
    <t>0008020</t>
  </si>
  <si>
    <t>0008021</t>
  </si>
  <si>
    <t>0000284</t>
  </si>
  <si>
    <t>Cước CPN T11/2017</t>
  </si>
  <si>
    <t>VAT Cước CPN T11/2017</t>
  </si>
  <si>
    <t>0223091</t>
  </si>
  <si>
    <t>0002960</t>
  </si>
  <si>
    <t>0003022</t>
  </si>
  <si>
    <t>0000419</t>
  </si>
  <si>
    <t>Thanh toán tiền nước, phí CSHT T11/17</t>
  </si>
  <si>
    <t>301664220560</t>
  </si>
  <si>
    <t>301667501940</t>
  </si>
  <si>
    <t>301667113550</t>
  </si>
  <si>
    <t>SEOREA FOOD CO., LTD</t>
  </si>
  <si>
    <t>Tiền nước sinh hoạt, phí CSHT T11/17</t>
  </si>
  <si>
    <t>0004282</t>
  </si>
  <si>
    <t>Thanh toán tiền cước vận chuyển</t>
  </si>
  <si>
    <t>0001571</t>
  </si>
  <si>
    <t>0001580</t>
  </si>
  <si>
    <t>Thùng carton 48x33x15</t>
  </si>
  <si>
    <t>LD 1735654094</t>
  </si>
  <si>
    <t>Vay chiết khấu - Tokai 07</t>
  </si>
  <si>
    <t>CK 1735647632</t>
  </si>
  <si>
    <t>LD 1730310093</t>
  </si>
  <si>
    <t>THU</t>
  </si>
  <si>
    <t>Nguyễn Ngọc Thuận</t>
  </si>
  <si>
    <t>Thanh toán nợ thẻ tín dụng</t>
  </si>
  <si>
    <t>Nộp BHTNLĐ</t>
  </si>
  <si>
    <t>Thanh toán tiền điện Kỳ 1 T12/17</t>
  </si>
  <si>
    <t>Hoàn trả do sai TK</t>
  </si>
  <si>
    <t>VPbank - LD 1733401682</t>
  </si>
  <si>
    <t>VPbank - LD 1734101453</t>
  </si>
  <si>
    <t>VPbank - LD 1732801235</t>
  </si>
  <si>
    <t>VPbank - LD 1731901860</t>
  </si>
  <si>
    <t>301678889760</t>
  </si>
  <si>
    <t>Điện phí</t>
  </si>
  <si>
    <t>VAT Điện phí</t>
  </si>
  <si>
    <t>Phí gia hạn FBI</t>
  </si>
  <si>
    <t>Khô cá cơm nướng tẩm mè TP</t>
  </si>
  <si>
    <t>Khô cá cơm nướng tẩm TP</t>
  </si>
  <si>
    <t>Khô cá chỉ tẩm nướng TP</t>
  </si>
  <si>
    <t>Khô cá chai tẩm nướng TP</t>
  </si>
  <si>
    <t>Khô cá cơm nướng tẩm hành TP</t>
  </si>
  <si>
    <t>301672512320</t>
  </si>
  <si>
    <t>301681125820</t>
  </si>
  <si>
    <t>301683111350</t>
  </si>
  <si>
    <t>CK 1736200174</t>
  </si>
  <si>
    <t>CK 1736305502</t>
  </si>
  <si>
    <t>Vay chiết khấu - Haecheong 02</t>
  </si>
  <si>
    <t>Vay chiết khấu - Sejin 03</t>
  </si>
  <si>
    <t>Thanh toán tiền chiếu xa</t>
  </si>
  <si>
    <t>Thanh toán tiền diện Kỳ 2 &amp; kỳ 3 T12/17</t>
  </si>
  <si>
    <t>0000298</t>
  </si>
  <si>
    <t>0000299</t>
  </si>
  <si>
    <t>VAT Mực khô</t>
  </si>
  <si>
    <t>Chuyển tiền</t>
  </si>
  <si>
    <t>Thu tiền</t>
  </si>
  <si>
    <t>VPbank - LD 1733401726</t>
  </si>
  <si>
    <t>0057044</t>
  </si>
  <si>
    <t>Phí xuất khẩu</t>
  </si>
  <si>
    <t>VAT Phí xuất khẩu</t>
  </si>
  <si>
    <t>0005940</t>
  </si>
  <si>
    <t>0000325</t>
  </si>
  <si>
    <t>0099374</t>
  </si>
  <si>
    <t>0002386</t>
  </si>
  <si>
    <t>0011831</t>
  </si>
  <si>
    <t>0011832</t>
  </si>
  <si>
    <t>0001374</t>
  </si>
  <si>
    <t>0001463</t>
  </si>
  <si>
    <t>0000525</t>
  </si>
  <si>
    <t>0099922</t>
  </si>
  <si>
    <t>Gas R22, nhớt</t>
  </si>
  <si>
    <t>0050201</t>
  </si>
  <si>
    <t>Phí CPN T12</t>
  </si>
  <si>
    <t>VAT Phí CPN T12</t>
  </si>
  <si>
    <t>0007820</t>
  </si>
  <si>
    <t>0002496</t>
  </si>
  <si>
    <t>0034502</t>
  </si>
  <si>
    <t>0001895</t>
  </si>
  <si>
    <t>Thanh toán lương T12/2017</t>
  </si>
  <si>
    <t>Phí dịch vụ bảo vệ T12/17</t>
  </si>
  <si>
    <t>VAT Phí dịch vụ bảo vệ T12/17</t>
  </si>
  <si>
    <t>Phí dịch vụ bảo vệ T11/17</t>
  </si>
  <si>
    <t>VAT Phí dịch vụ bảo vệ T11/17</t>
  </si>
  <si>
    <t>0172138</t>
  </si>
  <si>
    <t>0172649</t>
  </si>
  <si>
    <t>0000322</t>
  </si>
  <si>
    <t>0000324</t>
  </si>
  <si>
    <t>0000326</t>
  </si>
  <si>
    <t>0000242</t>
  </si>
  <si>
    <t>K/C dứt công nợ T12/2017</t>
  </si>
  <si>
    <t>0000109</t>
  </si>
  <si>
    <t>301685854910</t>
  </si>
  <si>
    <t>LLC SNACK PRODUTION</t>
  </si>
  <si>
    <t>0656872</t>
  </si>
  <si>
    <t>0716496</t>
  </si>
  <si>
    <t>0718417</t>
  </si>
  <si>
    <t>0001613</t>
  </si>
  <si>
    <t>0001087</t>
  </si>
  <si>
    <t>0001089</t>
  </si>
  <si>
    <t>0001090</t>
  </si>
  <si>
    <t>0001091</t>
  </si>
  <si>
    <t>0001092</t>
  </si>
  <si>
    <t>0001093</t>
  </si>
  <si>
    <t>0001094</t>
  </si>
  <si>
    <t>0001095</t>
  </si>
  <si>
    <t>0001096</t>
  </si>
  <si>
    <t>0001097</t>
  </si>
  <si>
    <t>0001098</t>
  </si>
  <si>
    <t>0001099</t>
  </si>
  <si>
    <t>301688638440</t>
  </si>
  <si>
    <t>0008278</t>
  </si>
  <si>
    <t>0008279</t>
  </si>
  <si>
    <t>0008280</t>
  </si>
  <si>
    <t>0008281</t>
  </si>
  <si>
    <t>0008282</t>
  </si>
  <si>
    <t>0008283</t>
  </si>
  <si>
    <t>0008284</t>
  </si>
  <si>
    <t>Cước vận tải quốc tế, phí DDC, AMS</t>
  </si>
  <si>
    <t>0008285</t>
  </si>
  <si>
    <t>0008286</t>
  </si>
  <si>
    <t>0008287</t>
  </si>
  <si>
    <t>Phí thuế môn bài 2017</t>
  </si>
  <si>
    <t>Cước VT - CNTT T11/17</t>
  </si>
  <si>
    <t>VAT Cước VT - CNTT T11/17</t>
  </si>
  <si>
    <t>3287746</t>
  </si>
  <si>
    <t>3359391</t>
  </si>
  <si>
    <t>0471569</t>
  </si>
  <si>
    <t>0003210</t>
  </si>
  <si>
    <t>0001984</t>
  </si>
  <si>
    <t>Vay chiết khấu - Haecheong 03</t>
  </si>
  <si>
    <t>Tiền nước sinh hoạt, phí CSHT T12/17</t>
  </si>
  <si>
    <t>0004523</t>
  </si>
  <si>
    <t>Phí chỉnh sửa Bill</t>
  </si>
  <si>
    <t>VAT Phí chỉnh sửa Bill</t>
  </si>
  <si>
    <t>0001131</t>
  </si>
  <si>
    <t>301638276130</t>
  </si>
  <si>
    <t>Phí phân tích các chỉ tiêu T12/17</t>
  </si>
  <si>
    <t>0001686</t>
  </si>
  <si>
    <t>0004163</t>
  </si>
  <si>
    <t>0001687</t>
  </si>
  <si>
    <t>0004164</t>
  </si>
  <si>
    <t>1140468; 1215155</t>
  </si>
  <si>
    <t>0115703; 0122212</t>
  </si>
  <si>
    <t>1384003</t>
  </si>
  <si>
    <t>0434552</t>
  </si>
  <si>
    <t>0152899</t>
  </si>
  <si>
    <t>1439994</t>
  </si>
  <si>
    <t>1468773</t>
  </si>
  <si>
    <t>0442089</t>
  </si>
  <si>
    <t>1583344</t>
  </si>
  <si>
    <t>0004272</t>
  </si>
  <si>
    <t>0164122</t>
  </si>
  <si>
    <t>1578863</t>
  </si>
  <si>
    <t>1462289</t>
  </si>
  <si>
    <t>1605683</t>
  </si>
  <si>
    <t>SX 01/17</t>
  </si>
  <si>
    <t>10/2017</t>
  </si>
  <si>
    <t>Korea</t>
  </si>
  <si>
    <t>Hữu Hình</t>
  </si>
  <si>
    <t>Vay - tín chấp</t>
  </si>
  <si>
    <t>VPbank - HDHM - 07</t>
  </si>
  <si>
    <t>VPbank - HDHM - 08</t>
  </si>
  <si>
    <t>VPbank - HDHM - 09</t>
  </si>
  <si>
    <t>VPbank - HDHM - 01</t>
  </si>
  <si>
    <t>VPbank - HDHM - 02</t>
  </si>
  <si>
    <t>VPbank - HDHM - 03</t>
  </si>
  <si>
    <t>VPbank - HDHM - 04</t>
  </si>
  <si>
    <t>VPbank - HDHM - 05</t>
  </si>
  <si>
    <t>VPbank - HDHM - 06</t>
  </si>
  <si>
    <t>Nhập SX</t>
  </si>
  <si>
    <t>TP/XSX</t>
  </si>
  <si>
    <t>TP/XGV</t>
  </si>
  <si>
    <t>301267606310,301273709460,301296013340</t>
  </si>
  <si>
    <t>0000048,51,56,57,62,64,65</t>
  </si>
  <si>
    <t>301329774930,301338738800,301340385530,301348146910,301349742210</t>
  </si>
  <si>
    <t>0000177,178,181,182,183</t>
  </si>
  <si>
    <t>0000067,68</t>
  </si>
  <si>
    <t>301351361860,301370605450,301382089430,301403305510</t>
  </si>
  <si>
    <t>0000025,27,28</t>
  </si>
  <si>
    <t>0000319,320,321</t>
  </si>
  <si>
    <t>0000034,35</t>
  </si>
  <si>
    <t>301243012250,301251452960,301256693160</t>
  </si>
  <si>
    <t>'301296013340</t>
  </si>
  <si>
    <t>0000045,46</t>
  </si>
  <si>
    <t>0000184,186,188,189,190</t>
  </si>
  <si>
    <t>0000185,192</t>
  </si>
  <si>
    <t>0000193,194</t>
  </si>
  <si>
    <t>0000072,73,74,75</t>
  </si>
  <si>
    <t>0000071,76,77</t>
  </si>
  <si>
    <t>0000374,379,380,382,383,384,385,387,390</t>
  </si>
  <si>
    <t>0000079,80</t>
  </si>
  <si>
    <t>0000083,85</t>
  </si>
  <si>
    <t>0000009,10</t>
  </si>
  <si>
    <t>0000088,89,90,91</t>
  </si>
  <si>
    <t>0000213,214,215,216,217</t>
  </si>
  <si>
    <t>0000093,94,95,96,97,98,99,100</t>
  </si>
  <si>
    <t>301550671240,301577179650</t>
  </si>
  <si>
    <t>0000231,232,233</t>
  </si>
  <si>
    <t>0000108,109</t>
  </si>
  <si>
    <t>Khô cá cơm trắng TP</t>
  </si>
  <si>
    <t>TP/NSX</t>
  </si>
  <si>
    <t>VL/XSX</t>
  </si>
  <si>
    <t>301157451840,301167886410</t>
  </si>
  <si>
    <t>KOJUBU , MICHANG COMMERCIAL</t>
  </si>
  <si>
    <t>301370605450,301397301830</t>
  </si>
  <si>
    <t>JIN WON CO., LTD , KOJUBU</t>
  </si>
  <si>
    <t>NL/XSX</t>
  </si>
  <si>
    <t>NL/N01</t>
  </si>
  <si>
    <t>NL/N02</t>
  </si>
  <si>
    <t>NL/N03</t>
  </si>
  <si>
    <t>NL/N04</t>
  </si>
  <si>
    <t>NL/N05</t>
  </si>
  <si>
    <t>NL/N06</t>
  </si>
  <si>
    <t>NL/N07</t>
  </si>
  <si>
    <t>NL/N08</t>
  </si>
  <si>
    <t>NL/N09</t>
  </si>
  <si>
    <t>NL/N10</t>
  </si>
  <si>
    <t>NL/N11</t>
  </si>
  <si>
    <t>NL/N12</t>
  </si>
  <si>
    <t>2018-1</t>
  </si>
  <si>
    <t>0003792</t>
  </si>
  <si>
    <t>0003790</t>
  </si>
  <si>
    <t>11-2018</t>
  </si>
  <si>
    <t>NL/N13</t>
  </si>
  <si>
    <t>NL/N14</t>
  </si>
  <si>
    <t>NL/N15</t>
  </si>
  <si>
    <t>NL/N16</t>
  </si>
  <si>
    <t>NL/N17</t>
  </si>
  <si>
    <t>NL/N18</t>
  </si>
  <si>
    <t>NL/N19</t>
  </si>
  <si>
    <t>NL/N20</t>
  </si>
  <si>
    <t>NL/N21</t>
  </si>
  <si>
    <t>Cá tạp NL</t>
  </si>
  <si>
    <t>NL/N22</t>
  </si>
  <si>
    <t>NL/N23</t>
  </si>
  <si>
    <t>NL/N24</t>
  </si>
  <si>
    <t>NL/N25</t>
  </si>
  <si>
    <t>NL/N26</t>
  </si>
  <si>
    <t>Thanh Hóa</t>
  </si>
  <si>
    <t>Xuất GC</t>
  </si>
  <si>
    <t>NL/N27</t>
  </si>
  <si>
    <t>NL/N28</t>
  </si>
  <si>
    <t>NL/N29</t>
  </si>
  <si>
    <t>NL/N30</t>
  </si>
  <si>
    <t>NL/N31</t>
  </si>
  <si>
    <t>NL/N32</t>
  </si>
  <si>
    <t>NL/N33</t>
  </si>
  <si>
    <t>NL/N34</t>
  </si>
  <si>
    <t>Cá đù NL</t>
  </si>
  <si>
    <t>Cá cơm sông NL</t>
  </si>
  <si>
    <t>Cá cơm trắng NL</t>
  </si>
  <si>
    <t>NL/N35</t>
  </si>
  <si>
    <t>Cá đổng NL</t>
  </si>
  <si>
    <t>Cá chạch NL</t>
  </si>
  <si>
    <t>Mực Daruma NL</t>
  </si>
  <si>
    <t>Ruốc NL</t>
  </si>
  <si>
    <t>142350805</t>
  </si>
  <si>
    <t>TỔNG HỢP TÀI KHOẢN 331 - 2017</t>
  </si>
  <si>
    <t>Xuất Nhập Tồn Năm 2017</t>
  </si>
  <si>
    <t>TU01</t>
  </si>
  <si>
    <t>Quyết toán tạm ứng mua NL</t>
  </si>
  <si>
    <t>TU02</t>
  </si>
  <si>
    <t>TU03</t>
  </si>
  <si>
    <t>TU04</t>
  </si>
  <si>
    <t>TU05</t>
  </si>
  <si>
    <t>TU06</t>
  </si>
  <si>
    <t>TU07</t>
  </si>
  <si>
    <t>TU08</t>
  </si>
  <si>
    <t>TU09</t>
  </si>
  <si>
    <t>TU10</t>
  </si>
  <si>
    <t>TU11</t>
  </si>
  <si>
    <t>TU12</t>
  </si>
  <si>
    <t>TU13</t>
  </si>
  <si>
    <t>TU14</t>
  </si>
  <si>
    <t>TU15</t>
  </si>
  <si>
    <t>TU16</t>
  </si>
  <si>
    <t>TU17</t>
  </si>
  <si>
    <t>TU18</t>
  </si>
  <si>
    <t>TU19</t>
  </si>
  <si>
    <t>TU20</t>
  </si>
  <si>
    <t>TU21</t>
  </si>
  <si>
    <t>TU22</t>
  </si>
  <si>
    <t>Tạm ứng mua NL</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</si>
</sst>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dd/mm/yyyy"/>
    <numFmt numFmtId="177" formatCode="_(* #,##0.00000_);_(* \(#,##0.00000\);_(* &quot;-&quot;??_);_(@_)"/>
  </numFmts>
  <fonts count="105">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0000FF"/>
      <name val="Times New Roman"/>
      <family val="1"/>
    </font>
    <font>
      <sz val="10"/>
      <color rgb="FF0000FF"/>
      <name val="Arial"/>
      <family val="2"/>
    </font>
    <font>
      <sz val="10"/>
      <color rgb="FFC00000"/>
      <name val="Times New Roman"/>
      <family val="1"/>
    </font>
    <font>
      <sz val="10"/>
      <color rgb="FFC00000"/>
      <name val="Arial"/>
      <family val="2"/>
    </font>
  </fonts>
  <fills count="4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C000"/>
        <bgColor indexed="64"/>
      </patternFill>
    </fill>
    <fill>
      <patternFill patternType="solid">
        <fgColor rgb="FFFF0000"/>
        <bgColor indexed="64"/>
      </patternFill>
    </fill>
    <fill>
      <patternFill patternType="solid">
        <fgColor rgb="FF7030A0"/>
        <bgColor indexed="64"/>
      </patternFill>
    </fill>
    <fill>
      <patternFill patternType="solid">
        <fgColor theme="4" tint="-0.249977111117893"/>
        <bgColor indexed="64"/>
      </patternFill>
    </fill>
    <fill>
      <patternFill patternType="solid">
        <fgColor theme="6" tint="-0.249977111117893"/>
        <bgColor indexed="64"/>
      </patternFill>
    </fill>
    <fill>
      <patternFill patternType="solid">
        <fgColor theme="7"/>
        <bgColor indexed="64"/>
      </patternFill>
    </fill>
    <fill>
      <patternFill patternType="solid">
        <fgColor theme="8" tint="0.39997558519241921"/>
        <bgColor indexed="64"/>
      </patternFill>
    </fill>
    <fill>
      <patternFill patternType="solid">
        <fgColor theme="2" tint="-0.499984740745262"/>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88" fillId="0" borderId="0"/>
    <xf numFmtId="43" fontId="3" fillId="0" borderId="0" applyFont="0" applyFill="0" applyBorder="0" applyAlignment="0" applyProtection="0"/>
    <xf numFmtId="0" fontId="3" fillId="0" borderId="0"/>
  </cellStyleXfs>
  <cellXfs count="1610">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0" fontId="28" fillId="0" borderId="0" xfId="58" applyFont="1">
      <alignment horizontal="centerContinuous"/>
    </xf>
    <xf numFmtId="0" fontId="23" fillId="21" borderId="17" xfId="75" applyBorder="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3" fontId="34"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0" fontId="33" fillId="0" borderId="0" xfId="87" applyFont="1" applyAlignment="1">
      <alignment horizontal="right" vertical="center"/>
    </xf>
    <xf numFmtId="0" fontId="79" fillId="0" borderId="0" xfId="87" applyFont="1" applyAlignment="1">
      <alignment vertical="center"/>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0"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33" fillId="0" borderId="0" xfId="97" applyFont="1" applyAlignment="1">
      <alignment vertical="center"/>
    </xf>
    <xf numFmtId="164" fontId="34" fillId="0" borderId="0" xfId="54" applyNumberFormat="1" applyFont="1" applyAlignment="1">
      <alignment horizontal="left" vertical="center" wrapText="1"/>
    </xf>
    <xf numFmtId="0" fontId="33" fillId="0" borderId="0" xfId="98" applyFont="1" applyAlignment="1">
      <alignment vertical="center"/>
    </xf>
    <xf numFmtId="0" fontId="78"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86" fillId="0" borderId="0" xfId="100" applyFont="1" applyAlignment="1">
      <alignment vertical="center"/>
    </xf>
    <xf numFmtId="164" fontId="73" fillId="0" borderId="0" xfId="29" applyNumberFormat="1" applyFont="1" applyAlignment="1">
      <alignment vertical="center"/>
    </xf>
    <xf numFmtId="0" fontId="87"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0" fontId="34" fillId="0" borderId="21" xfId="95" applyFont="1" applyBorder="1" applyAlignment="1">
      <alignment vertical="center"/>
    </xf>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9"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89" fillId="0" borderId="16" xfId="54" applyNumberFormat="1" applyFont="1" applyFill="1" applyBorder="1" applyAlignment="1">
      <alignment horizontal="center" vertical="center"/>
    </xf>
    <xf numFmtId="164" fontId="89" fillId="0" borderId="16" xfId="54" applyNumberFormat="1" applyFont="1" applyFill="1" applyBorder="1" applyAlignment="1">
      <alignment horizontal="left" vertical="center"/>
    </xf>
    <xf numFmtId="164" fontId="89" fillId="0" borderId="16" xfId="0" applyNumberFormat="1" applyFont="1" applyFill="1" applyBorder="1" applyAlignment="1">
      <alignment vertical="center"/>
    </xf>
    <xf numFmtId="14" fontId="91" fillId="0" borderId="16" xfId="54" applyNumberFormat="1" applyFont="1" applyFill="1" applyBorder="1" applyAlignment="1">
      <alignment horizontal="center" vertical="center"/>
    </xf>
    <xf numFmtId="1" fontId="89" fillId="0" borderId="16" xfId="54" quotePrefix="1" applyNumberFormat="1" applyFont="1" applyFill="1" applyBorder="1" applyAlignment="1">
      <alignment horizontal="center" vertical="center"/>
    </xf>
    <xf numFmtId="1" fontId="89" fillId="0" borderId="16" xfId="54" applyNumberFormat="1" applyFont="1" applyFill="1" applyBorder="1" applyAlignment="1">
      <alignment horizontal="center" vertical="center"/>
    </xf>
    <xf numFmtId="0" fontId="89" fillId="0" borderId="16" xfId="54" quotePrefix="1" applyNumberFormat="1" applyFont="1" applyFill="1" applyBorder="1" applyAlignment="1">
      <alignment horizontal="center" vertical="center"/>
    </xf>
    <xf numFmtId="164" fontId="91" fillId="0" borderId="16" xfId="0" applyNumberFormat="1" applyFont="1" applyFill="1" applyBorder="1" applyAlignment="1">
      <alignment vertical="center"/>
    </xf>
    <xf numFmtId="0" fontId="91" fillId="0" borderId="16" xfId="54" quotePrefix="1" applyNumberFormat="1" applyFont="1" applyFill="1" applyBorder="1" applyAlignment="1">
      <alignment horizontal="center" vertical="center"/>
    </xf>
    <xf numFmtId="1" fontId="91" fillId="0" borderId="16" xfId="54" quotePrefix="1" applyNumberFormat="1" applyFont="1" applyFill="1" applyBorder="1" applyAlignment="1">
      <alignment horizontal="center" vertical="center"/>
    </xf>
    <xf numFmtId="1" fontId="91" fillId="0" borderId="16" xfId="54" applyNumberFormat="1" applyFont="1" applyFill="1" applyBorder="1" applyAlignment="1">
      <alignment horizontal="center"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164" fontId="48" fillId="0" borderId="16" xfId="29"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89"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5"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2" fillId="0" borderId="2" xfId="95" applyFont="1" applyBorder="1" applyAlignment="1">
      <alignment horizontal="center" vertical="center"/>
    </xf>
    <xf numFmtId="164" fontId="92" fillId="0" borderId="2" xfId="96" applyNumberFormat="1" applyFont="1" applyBorder="1" applyAlignment="1">
      <alignment horizontal="center" vertical="center"/>
    </xf>
    <xf numFmtId="0" fontId="92"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3"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2" fillId="0" borderId="16" xfId="95" applyFont="1" applyBorder="1" applyAlignment="1">
      <alignment horizontal="center" vertical="center"/>
    </xf>
    <xf numFmtId="0" fontId="34" fillId="0" borderId="16" xfId="95" applyFont="1" applyBorder="1" applyAlignment="1">
      <alignment horizontal="center" vertical="center"/>
    </xf>
    <xf numFmtId="0" fontId="92" fillId="0" borderId="21" xfId="95" applyFont="1" applyBorder="1" applyAlignment="1">
      <alignment horizontal="center" vertical="center"/>
    </xf>
    <xf numFmtId="0" fontId="92" fillId="0" borderId="21" xfId="95" applyFont="1" applyBorder="1" applyAlignment="1">
      <alignment horizontal="left" vertical="center"/>
    </xf>
    <xf numFmtId="0" fontId="92"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2"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2"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2" fillId="0" borderId="0" xfId="95" applyFont="1" applyAlignment="1">
      <alignment vertical="center"/>
    </xf>
    <xf numFmtId="0" fontId="94" fillId="0" borderId="0" xfId="95" applyFont="1" applyAlignment="1">
      <alignment vertical="center"/>
    </xf>
    <xf numFmtId="0" fontId="81" fillId="0" borderId="0" xfId="95" applyFont="1" applyAlignment="1">
      <alignment vertical="center" wrapText="1"/>
    </xf>
    <xf numFmtId="0" fontId="95" fillId="0" borderId="0" xfId="95" applyFont="1" applyAlignment="1">
      <alignment vertical="center"/>
    </xf>
    <xf numFmtId="0" fontId="96"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97" fillId="0" borderId="0" xfId="95" applyFont="1" applyAlignment="1">
      <alignment vertical="center"/>
    </xf>
    <xf numFmtId="0" fontId="86"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3" fillId="0" borderId="0" xfId="29" applyNumberFormat="1" applyFont="1" applyAlignment="1">
      <alignment vertical="center"/>
    </xf>
    <xf numFmtId="41" fontId="83"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5"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86" fillId="0" borderId="0" xfId="100" applyFont="1" applyAlignment="1">
      <alignment vertical="center" wrapText="1"/>
    </xf>
    <xf numFmtId="0" fontId="73"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43" fontId="39" fillId="21" borderId="2" xfId="29" applyFont="1" applyFill="1" applyBorder="1" applyAlignment="1">
      <alignment horizontal="center" vertical="center" wrapText="1"/>
    </xf>
    <xf numFmtId="43" fontId="26" fillId="0" borderId="0" xfId="29" applyFont="1" applyAlignment="1">
      <alignment vertical="center"/>
    </xf>
    <xf numFmtId="43" fontId="34" fillId="0" borderId="16" xfId="29" applyFont="1" applyFill="1" applyBorder="1" applyAlignment="1">
      <alignment horizontal="right" vertical="center" wrapText="1"/>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4" fillId="0" borderId="16" xfId="103" applyFont="1" applyBorder="1" applyAlignment="1">
      <alignment vertical="center"/>
    </xf>
    <xf numFmtId="0" fontId="34" fillId="0" borderId="21" xfId="77" applyFont="1" applyBorder="1" applyAlignment="1">
      <alignment vertical="center"/>
    </xf>
    <xf numFmtId="14" fontId="89" fillId="0" borderId="16" xfId="54" applyNumberFormat="1" applyFont="1" applyFill="1" applyBorder="1" applyAlignment="1">
      <alignment horizontal="left" vertical="center"/>
    </xf>
    <xf numFmtId="14" fontId="91" fillId="0" borderId="16" xfId="54" applyNumberFormat="1" applyFont="1" applyFill="1" applyBorder="1" applyAlignment="1">
      <alignment horizontal="left" vertical="center"/>
    </xf>
    <xf numFmtId="0" fontId="34" fillId="0" borderId="20" xfId="76" applyFont="1" applyFill="1" applyBorder="1" applyAlignment="1">
      <alignment horizontal="center" vertical="center" wrapText="1"/>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0" fontId="34" fillId="0" borderId="23" xfId="101" applyFont="1" applyBorder="1" applyAlignment="1">
      <alignment horizontal="center" vertical="center" wrapText="1"/>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64" fontId="98" fillId="0" borderId="16" xfId="29" applyNumberFormat="1" applyFont="1" applyFill="1" applyBorder="1" applyAlignment="1">
      <alignment horizontal="left" vertical="center"/>
    </xf>
    <xf numFmtId="43" fontId="98" fillId="0" borderId="16" xfId="29" applyNumberFormat="1" applyFont="1" applyFill="1" applyBorder="1" applyAlignment="1">
      <alignment horizontal="left"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4" borderId="16" xfId="82"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34" fillId="0" borderId="21" xfId="0" applyFont="1" applyFill="1" applyBorder="1" applyAlignment="1">
      <alignment vertical="center"/>
    </xf>
    <xf numFmtId="3" fontId="98"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0" fontId="34" fillId="0" borderId="21" xfId="99" applyFont="1" applyBorder="1" applyAlignment="1">
      <alignment vertical="center"/>
    </xf>
    <xf numFmtId="43" fontId="89"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90" fillId="0" borderId="23" xfId="101" applyFont="1" applyFill="1" applyBorder="1" applyAlignment="1">
      <alignment vertical="center"/>
    </xf>
    <xf numFmtId="175" fontId="90" fillId="0" borderId="23" xfId="29" applyNumberFormat="1" applyFont="1" applyBorder="1" applyAlignment="1">
      <alignment vertical="center"/>
    </xf>
    <xf numFmtId="164" fontId="90" fillId="0" borderId="23" xfId="29" applyNumberFormat="1" applyFont="1" applyFill="1" applyBorder="1" applyAlignment="1">
      <alignment vertical="center"/>
    </xf>
    <xf numFmtId="164" fontId="90" fillId="29" borderId="23" xfId="29" applyNumberFormat="1" applyFont="1" applyFill="1" applyBorder="1" applyAlignment="1">
      <alignment horizontal="right" vertical="center"/>
    </xf>
    <xf numFmtId="164" fontId="90" fillId="0" borderId="23" xfId="29" applyNumberFormat="1" applyFont="1" applyBorder="1" applyAlignment="1">
      <alignment vertical="center"/>
    </xf>
    <xf numFmtId="43" fontId="90" fillId="0" borderId="23" xfId="29" applyFont="1" applyFill="1" applyBorder="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1" xfId="29" applyNumberFormat="1" applyFont="1" applyBorder="1" applyAlignment="1">
      <alignment horizontal="left" vertical="center"/>
    </xf>
    <xf numFmtId="14" fontId="34" fillId="0" borderId="51" xfId="29" applyNumberFormat="1" applyFont="1" applyBorder="1" applyAlignment="1">
      <alignment horizontal="center" vertical="center"/>
    </xf>
    <xf numFmtId="164" fontId="34" fillId="0" borderId="51" xfId="29" applyNumberFormat="1" applyFont="1" applyBorder="1" applyAlignment="1">
      <alignment horizontal="center" vertical="center"/>
    </xf>
    <xf numFmtId="0" fontId="34" fillId="0" borderId="51"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90" fillId="0" borderId="19" xfId="101" applyFont="1" applyFill="1" applyBorder="1" applyAlignment="1">
      <alignment vertical="center"/>
    </xf>
    <xf numFmtId="175" fontId="90" fillId="0" borderId="19" xfId="29" applyNumberFormat="1" applyFont="1" applyBorder="1" applyAlignment="1">
      <alignment vertical="center"/>
    </xf>
    <xf numFmtId="164" fontId="90" fillId="0" borderId="19" xfId="29" applyNumberFormat="1" applyFont="1" applyFill="1" applyBorder="1" applyAlignment="1">
      <alignment vertical="center"/>
    </xf>
    <xf numFmtId="164" fontId="90" fillId="29" borderId="19" xfId="29" applyNumberFormat="1" applyFont="1" applyFill="1" applyBorder="1" applyAlignment="1">
      <alignment horizontal="right" vertical="center"/>
    </xf>
    <xf numFmtId="164" fontId="90" fillId="0" borderId="19" xfId="29" applyNumberFormat="1" applyFont="1" applyBorder="1" applyAlignment="1">
      <alignment vertical="center"/>
    </xf>
    <xf numFmtId="43" fontId="90" fillId="0" borderId="19" xfId="29" applyFont="1" applyFill="1" applyBorder="1" applyAlignment="1">
      <alignment vertical="center"/>
    </xf>
    <xf numFmtId="0" fontId="34" fillId="0" borderId="52"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14" fontId="34" fillId="0" borderId="21" xfId="29" applyNumberFormat="1" applyFont="1" applyBorder="1" applyAlignment="1">
      <alignment horizontal="center"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175" fontId="34" fillId="0" borderId="0" xfId="29" applyNumberFormat="1" applyFont="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89"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89" fillId="0" borderId="19" xfId="29" applyNumberFormat="1" applyFont="1" applyBorder="1" applyAlignment="1">
      <alignment vertical="center"/>
    </xf>
    <xf numFmtId="0" fontId="3" fillId="0" borderId="0" xfId="0" applyFont="1"/>
    <xf numFmtId="0" fontId="50" fillId="0" borderId="0" xfId="0" applyFont="1"/>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49" fontId="98" fillId="0" borderId="16" xfId="90" applyNumberFormat="1" applyFont="1" applyFill="1" applyBorder="1" applyAlignment="1">
      <alignment horizontal="left" vertical="center"/>
    </xf>
    <xf numFmtId="0" fontId="34" fillId="35" borderId="16" xfId="77" applyNumberFormat="1" applyFont="1" applyFill="1" applyBorder="1" applyAlignment="1">
      <alignment horizontal="center" vertical="center"/>
    </xf>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2" xfId="96" applyNumberFormat="1" applyFont="1" applyBorder="1" applyAlignment="1">
      <alignment horizontal="left" vertical="center"/>
    </xf>
    <xf numFmtId="164" fontId="34" fillId="0" borderId="42" xfId="96" applyNumberFormat="1" applyFont="1" applyBorder="1" applyAlignment="1">
      <alignment horizontal="center" vertical="center"/>
    </xf>
    <xf numFmtId="0" fontId="48" fillId="0" borderId="16" xfId="0" applyFont="1" applyFill="1" applyBorder="1" applyAlignment="1">
      <alignment vertical="center"/>
    </xf>
    <xf numFmtId="0" fontId="48" fillId="0" borderId="16" xfId="101" applyFont="1" applyFill="1" applyBorder="1" applyAlignment="1">
      <alignment vertical="center"/>
    </xf>
    <xf numFmtId="3" fontId="34" fillId="25" borderId="16" xfId="46" applyFont="1" applyFill="1" applyBorder="1" applyAlignment="1">
      <alignment vertical="center"/>
    </xf>
    <xf numFmtId="3" fontId="49" fillId="0" borderId="16" xfId="46" applyFont="1" applyBorder="1" applyAlignment="1">
      <alignment vertical="center"/>
    </xf>
    <xf numFmtId="0" fontId="33" fillId="0" borderId="0" xfId="87" applyFont="1" applyFill="1" applyAlignment="1">
      <alignment vertical="center"/>
    </xf>
    <xf numFmtId="164" fontId="34" fillId="0" borderId="0" xfId="0" applyNumberFormat="1" applyFont="1" applyBorder="1" applyAlignment="1">
      <alignment vertical="center"/>
    </xf>
    <xf numFmtId="43" fontId="33" fillId="0" borderId="16" xfId="74" quotePrefix="1" applyNumberFormat="1" applyFont="1" applyFill="1" applyBorder="1" applyAlignment="1">
      <alignment horizontal="center" vertical="center"/>
    </xf>
    <xf numFmtId="176" fontId="34" fillId="0" borderId="0" xfId="101" applyNumberFormat="1" applyFont="1" applyAlignment="1">
      <alignment vertical="center"/>
    </xf>
    <xf numFmtId="164" fontId="49" fillId="37" borderId="16" xfId="76" quotePrefix="1" applyNumberFormat="1" applyFont="1" applyFill="1" applyBorder="1" applyAlignment="1">
      <alignment horizontal="left" vertical="center"/>
    </xf>
    <xf numFmtId="3" fontId="49" fillId="37" borderId="16" xfId="46" applyFont="1" applyFill="1" applyBorder="1" applyAlignment="1">
      <alignment vertical="center"/>
    </xf>
    <xf numFmtId="164" fontId="49" fillId="37" borderId="16" xfId="29" applyNumberFormat="1" applyFont="1" applyFill="1" applyBorder="1" applyAlignment="1">
      <alignment horizontal="left" vertical="center"/>
    </xf>
    <xf numFmtId="43" fontId="49" fillId="37" borderId="16" xfId="29" applyFont="1" applyFill="1" applyBorder="1" applyAlignment="1">
      <alignment horizontal="left" vertical="center"/>
    </xf>
    <xf numFmtId="164" fontId="49" fillId="37" borderId="16" xfId="77" applyNumberFormat="1" applyFont="1" applyFill="1" applyBorder="1" applyAlignment="1">
      <alignment vertical="center"/>
    </xf>
    <xf numFmtId="0" fontId="49" fillId="37" borderId="16" xfId="76" quotePrefix="1" applyNumberFormat="1" applyFont="1" applyFill="1" applyBorder="1" applyAlignment="1">
      <alignment horizontal="center" vertical="center"/>
    </xf>
    <xf numFmtId="0" fontId="49" fillId="37" borderId="16" xfId="90" quotePrefix="1" applyNumberFormat="1" applyFont="1" applyFill="1" applyBorder="1" applyAlignment="1">
      <alignment horizontal="center" vertical="center"/>
    </xf>
    <xf numFmtId="164" fontId="49" fillId="0" borderId="16" xfId="29" applyNumberFormat="1" applyFont="1" applyBorder="1" applyAlignment="1">
      <alignment vertical="center"/>
    </xf>
    <xf numFmtId="43" fontId="49" fillId="0" borderId="21" xfId="29" applyFont="1" applyBorder="1" applyAlignment="1">
      <alignment horizontal="center"/>
    </xf>
    <xf numFmtId="0" fontId="49" fillId="0" borderId="0" xfId="53" applyFont="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3" fontId="49" fillId="0" borderId="16" xfId="46" applyFont="1" applyBorder="1" applyAlignment="1">
      <alignment horizontal="center" vertical="center"/>
    </xf>
    <xf numFmtId="164" fontId="49" fillId="0" borderId="21" xfId="29" applyNumberFormat="1" applyFont="1" applyBorder="1" applyAlignment="1">
      <alignment horizontal="center" vertical="center"/>
    </xf>
    <xf numFmtId="14" fontId="34" fillId="35" borderId="16" xfId="54" applyNumberFormat="1" applyFont="1" applyFill="1" applyBorder="1" applyAlignment="1">
      <alignment horizontal="center" vertical="center"/>
    </xf>
    <xf numFmtId="0" fontId="34" fillId="35" borderId="16" xfId="0" applyFont="1" applyFill="1" applyBorder="1" applyAlignment="1">
      <alignment vertical="center"/>
    </xf>
    <xf numFmtId="164" fontId="34" fillId="35" borderId="16" xfId="54" quotePrefix="1" applyNumberFormat="1" applyFont="1" applyFill="1" applyBorder="1" applyAlignment="1">
      <alignment horizontal="left" vertical="center"/>
    </xf>
    <xf numFmtId="3" fontId="34" fillId="35" borderId="16" xfId="46" applyFont="1" applyFill="1" applyBorder="1" applyAlignment="1">
      <alignment vertical="center"/>
    </xf>
    <xf numFmtId="164" fontId="34" fillId="35" borderId="16" xfId="29" applyNumberFormat="1" applyFont="1" applyFill="1" applyBorder="1" applyAlignment="1">
      <alignment horizontal="left" vertical="center"/>
    </xf>
    <xf numFmtId="43" fontId="34" fillId="35" borderId="16" xfId="29" applyFont="1" applyFill="1" applyBorder="1" applyAlignment="1">
      <alignment horizontal="left" vertical="center"/>
    </xf>
    <xf numFmtId="164" fontId="34" fillId="35" borderId="16" xfId="0" applyNumberFormat="1" applyFont="1" applyFill="1" applyBorder="1" applyAlignment="1">
      <alignment vertical="center"/>
    </xf>
    <xf numFmtId="0" fontId="34" fillId="35" borderId="16" xfId="54" quotePrefix="1" applyNumberFormat="1" applyFont="1" applyFill="1" applyBorder="1" applyAlignment="1">
      <alignment horizontal="center" vertical="center"/>
    </xf>
    <xf numFmtId="14" fontId="34" fillId="25" borderId="16" xfId="54" applyNumberFormat="1" applyFont="1" applyFill="1" applyBorder="1" applyAlignment="1">
      <alignment horizontal="center" vertical="center"/>
    </xf>
    <xf numFmtId="0" fontId="34" fillId="25" borderId="16" xfId="0" applyFont="1" applyFill="1" applyBorder="1" applyAlignment="1">
      <alignment vertical="center"/>
    </xf>
    <xf numFmtId="164" fontId="34" fillId="25" borderId="16" xfId="54" quotePrefix="1" applyNumberFormat="1" applyFont="1" applyFill="1" applyBorder="1" applyAlignment="1">
      <alignment horizontal="left" vertical="center"/>
    </xf>
    <xf numFmtId="0" fontId="34" fillId="25" borderId="16" xfId="54" quotePrefix="1" applyNumberFormat="1" applyFont="1" applyFill="1" applyBorder="1" applyAlignment="1">
      <alignment horizontal="center" vertical="center"/>
    </xf>
    <xf numFmtId="173" fontId="34" fillId="0" borderId="0" xfId="29" applyNumberFormat="1" applyFont="1" applyAlignment="1">
      <alignment vertical="center"/>
    </xf>
    <xf numFmtId="173" fontId="39" fillId="0" borderId="0" xfId="29" applyNumberFormat="1" applyFont="1" applyBorder="1" applyAlignment="1">
      <alignment vertical="center"/>
    </xf>
    <xf numFmtId="3" fontId="34" fillId="0" borderId="21" xfId="46" applyFont="1" applyFill="1" applyBorder="1" applyAlignment="1">
      <alignment horizontal="center" vertical="center"/>
    </xf>
    <xf numFmtId="43" fontId="34" fillId="0" borderId="21" xfId="29" applyFont="1" applyFill="1" applyBorder="1" applyAlignment="1">
      <alignment vertical="center"/>
    </xf>
    <xf numFmtId="0" fontId="34" fillId="0" borderId="0" xfId="53" applyFont="1" applyFill="1" applyAlignment="1">
      <alignment vertical="center"/>
    </xf>
    <xf numFmtId="164" fontId="34" fillId="0" borderId="17" xfId="29" applyNumberFormat="1" applyFont="1" applyBorder="1" applyAlignment="1">
      <alignment vertical="center"/>
    </xf>
    <xf numFmtId="164" fontId="34" fillId="0" borderId="21" xfId="90" applyNumberFormat="1" applyFont="1" applyFill="1" applyBorder="1" applyAlignment="1">
      <alignment horizontal="left" vertical="center"/>
    </xf>
    <xf numFmtId="49" fontId="48" fillId="0" borderId="21" xfId="76"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0" fontId="34" fillId="34" borderId="16" xfId="77" applyNumberFormat="1" applyFont="1" applyFill="1" applyBorder="1" applyAlignment="1">
      <alignment horizontal="center" vertical="center"/>
    </xf>
    <xf numFmtId="0" fontId="34" fillId="38" borderId="16" xfId="77" applyNumberFormat="1" applyFont="1" applyFill="1" applyBorder="1" applyAlignment="1">
      <alignment horizontal="center" vertical="center"/>
    </xf>
    <xf numFmtId="0" fontId="34" fillId="39" borderId="16" xfId="77" applyNumberFormat="1" applyFont="1" applyFill="1" applyBorder="1" applyAlignment="1">
      <alignment horizontal="center" vertical="center"/>
    </xf>
    <xf numFmtId="0" fontId="34" fillId="31" borderId="16" xfId="77" applyNumberFormat="1" applyFont="1" applyFill="1" applyBorder="1" applyAlignment="1">
      <alignment horizontal="center" vertical="center"/>
    </xf>
    <xf numFmtId="43" fontId="33" fillId="34" borderId="16" xfId="74" quotePrefix="1" applyNumberFormat="1" applyFont="1" applyFill="1" applyBorder="1" applyAlignment="1">
      <alignment horizontal="center" vertical="center"/>
    </xf>
    <xf numFmtId="0" fontId="48" fillId="25" borderId="16" xfId="76" quotePrefix="1" applyNumberFormat="1" applyFont="1" applyFill="1" applyBorder="1" applyAlignment="1">
      <alignment horizontal="center" vertical="center"/>
    </xf>
    <xf numFmtId="0" fontId="34" fillId="0" borderId="0" xfId="52" applyFont="1" applyAlignment="1">
      <alignment horizontal="center" vertical="center"/>
    </xf>
    <xf numFmtId="3" fontId="49" fillId="0" borderId="21" xfId="46" applyFont="1" applyBorder="1" applyAlignment="1">
      <alignment horizontal="center" vertical="center"/>
    </xf>
    <xf numFmtId="14" fontId="49" fillId="0" borderId="16" xfId="46" applyNumberFormat="1" applyFont="1" applyBorder="1" applyAlignment="1">
      <alignment horizontal="center" vertical="center"/>
    </xf>
    <xf numFmtId="43" fontId="49" fillId="0" borderId="16" xfId="29" applyFont="1" applyBorder="1" applyAlignment="1">
      <alignment vertical="center"/>
    </xf>
    <xf numFmtId="43" fontId="49" fillId="0" borderId="21" xfId="29" applyFont="1" applyBorder="1" applyAlignment="1">
      <alignment vertical="center"/>
    </xf>
    <xf numFmtId="164" fontId="49" fillId="0" borderId="21" xfId="29" applyNumberFormat="1" applyFont="1" applyBorder="1" applyAlignment="1">
      <alignment horizontal="center"/>
    </xf>
    <xf numFmtId="49" fontId="48" fillId="25" borderId="16" xfId="76" applyNumberFormat="1" applyFont="1" applyFill="1" applyBorder="1" applyAlignment="1">
      <alignment horizontal="left" vertical="center" wrapText="1"/>
    </xf>
    <xf numFmtId="164" fontId="48" fillId="25" borderId="16" xfId="29" applyNumberFormat="1" applyFont="1" applyFill="1" applyBorder="1" applyAlignment="1">
      <alignment horizontal="left" vertical="center"/>
    </xf>
    <xf numFmtId="43" fontId="48" fillId="25" borderId="16" xfId="29" applyFont="1" applyFill="1" applyBorder="1" applyAlignment="1">
      <alignment horizontal="left" vertical="center"/>
    </xf>
    <xf numFmtId="49" fontId="49" fillId="0" borderId="21" xfId="76" applyNumberFormat="1" applyFont="1" applyFill="1" applyBorder="1" applyAlignment="1">
      <alignment horizontal="lef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9" fillId="0" borderId="0" xfId="54" applyNumberFormat="1" applyFont="1" applyAlignment="1">
      <alignment horizontal="center" vertical="center" wrapText="1"/>
    </xf>
    <xf numFmtId="0" fontId="36" fillId="29" borderId="0" xfId="97" applyFont="1" applyFill="1" applyAlignment="1">
      <alignment horizontal="left" vertical="center" wrapText="1"/>
    </xf>
    <xf numFmtId="164" fontId="34" fillId="0" borderId="0" xfId="54" applyNumberFormat="1"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3" fillId="0" borderId="0" xfId="99" applyFont="1" applyAlignment="1" applyProtection="1">
      <alignment horizontal="center"/>
      <protection hidden="1"/>
    </xf>
    <xf numFmtId="0" fontId="39" fillId="29" borderId="0" xfId="97" applyFont="1" applyFill="1" applyAlignment="1">
      <alignment vertical="center"/>
    </xf>
    <xf numFmtId="0" fontId="36" fillId="29" borderId="0" xfId="97" applyFont="1" applyFill="1" applyAlignment="1">
      <alignment horizontal="center" vertical="center" wrapText="1"/>
    </xf>
    <xf numFmtId="0" fontId="39" fillId="29" borderId="0" xfId="97" applyFont="1" applyFill="1" applyAlignment="1">
      <alignment horizontal="left" vertical="center"/>
    </xf>
    <xf numFmtId="0" fontId="34" fillId="0" borderId="16" xfId="0" quotePrefix="1" applyFont="1" applyFill="1" applyBorder="1" applyAlignment="1">
      <alignment horizontal="center" vertical="center"/>
    </xf>
    <xf numFmtId="0" fontId="34" fillId="0" borderId="2" xfId="0" applyFont="1" applyBorder="1" applyAlignment="1">
      <alignment vertical="center"/>
    </xf>
    <xf numFmtId="0" fontId="34" fillId="36" borderId="16" xfId="77" applyNumberFormat="1" applyFont="1" applyFill="1" applyBorder="1" applyAlignment="1">
      <alignment horizontal="center" vertical="center"/>
    </xf>
    <xf numFmtId="43" fontId="39" fillId="0" borderId="0" xfId="29" applyFont="1" applyFill="1" applyAlignment="1">
      <alignment vertical="center"/>
    </xf>
    <xf numFmtId="43" fontId="39" fillId="0" borderId="0" xfId="29" applyFont="1" applyFill="1" applyAlignment="1">
      <alignment horizontal="center" vertical="center"/>
    </xf>
    <xf numFmtId="43" fontId="34" fillId="0" borderId="0" xfId="29" applyFont="1" applyFill="1" applyAlignment="1">
      <alignment horizontal="center" vertical="center"/>
    </xf>
    <xf numFmtId="43" fontId="34" fillId="0" borderId="2" xfId="29" applyFont="1" applyFill="1" applyBorder="1" applyAlignment="1">
      <alignment horizontal="center" vertical="center"/>
    </xf>
    <xf numFmtId="43" fontId="34" fillId="0" borderId="2" xfId="29" applyFont="1" applyFill="1" applyBorder="1" applyAlignment="1">
      <alignment horizontal="center" wrapText="1"/>
    </xf>
    <xf numFmtId="43" fontId="34" fillId="0" borderId="16" xfId="29" applyFont="1" applyFill="1" applyBorder="1" applyAlignment="1">
      <alignment horizontal="center"/>
    </xf>
    <xf numFmtId="43" fontId="34" fillId="0" borderId="21" xfId="29" applyFont="1" applyFill="1" applyBorder="1" applyAlignment="1">
      <alignment horizontal="center"/>
    </xf>
    <xf numFmtId="43" fontId="0" fillId="0" borderId="0" xfId="29" applyFont="1" applyFill="1" applyAlignment="1"/>
    <xf numFmtId="43" fontId="0" fillId="0" borderId="0" xfId="29" applyFont="1"/>
    <xf numFmtId="0" fontId="34" fillId="40" borderId="16" xfId="77" applyNumberFormat="1" applyFont="1" applyFill="1" applyBorder="1" applyAlignment="1">
      <alignment horizontal="center" vertical="center"/>
    </xf>
    <xf numFmtId="14" fontId="48" fillId="25" borderId="16" xfId="76" applyNumberFormat="1" applyFont="1" applyFill="1" applyBorder="1" applyAlignment="1">
      <alignment horizontal="center" vertical="center"/>
    </xf>
    <xf numFmtId="164" fontId="48" fillId="25" borderId="16" xfId="76" applyNumberFormat="1" applyFont="1" applyFill="1" applyBorder="1" applyAlignment="1">
      <alignment horizontal="left" vertical="center"/>
    </xf>
    <xf numFmtId="49" fontId="48" fillId="25" borderId="16" xfId="76" applyNumberFormat="1" applyFont="1" applyFill="1" applyBorder="1" applyAlignment="1">
      <alignment horizontal="left" vertical="center"/>
    </xf>
    <xf numFmtId="164" fontId="48" fillId="25" borderId="16" xfId="77" applyNumberFormat="1" applyFont="1" applyFill="1" applyBorder="1" applyAlignment="1">
      <alignment vertical="center"/>
    </xf>
    <xf numFmtId="49" fontId="49" fillId="0" borderId="16" xfId="76" applyNumberFormat="1" applyFont="1" applyFill="1" applyBorder="1" applyAlignment="1">
      <alignment horizontal="left" vertical="center" wrapText="1"/>
    </xf>
    <xf numFmtId="3" fontId="48" fillId="0" borderId="16" xfId="46" applyFont="1" applyBorder="1" applyAlignment="1">
      <alignment horizontal="center" vertical="center"/>
    </xf>
    <xf numFmtId="3" fontId="98" fillId="0" borderId="16" xfId="46" applyFont="1" applyBorder="1" applyAlignment="1">
      <alignment horizontal="center" vertical="center"/>
    </xf>
    <xf numFmtId="164" fontId="98" fillId="0" borderId="16" xfId="29" applyNumberFormat="1" applyFont="1" applyBorder="1" applyAlignment="1">
      <alignment vertical="center"/>
    </xf>
    <xf numFmtId="164" fontId="98" fillId="0" borderId="21" xfId="29" applyNumberFormat="1" applyFont="1" applyBorder="1" applyAlignment="1">
      <alignment horizontal="center" vertical="center"/>
    </xf>
    <xf numFmtId="0" fontId="98" fillId="0" borderId="0" xfId="53" applyFont="1" applyAlignment="1">
      <alignment vertical="center"/>
    </xf>
    <xf numFmtId="0" fontId="33" fillId="0" borderId="0" xfId="99" applyFont="1" applyAlignment="1" applyProtection="1">
      <alignment horizontal="center"/>
      <protection hidden="1"/>
    </xf>
    <xf numFmtId="0" fontId="33" fillId="0" borderId="2" xfId="99" applyFont="1" applyBorder="1" applyAlignment="1">
      <alignment horizontal="center"/>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0" fontId="101" fillId="0" borderId="16" xfId="53" applyFont="1" applyFill="1" applyBorder="1" applyAlignment="1">
      <alignment vertical="center"/>
    </xf>
    <xf numFmtId="0" fontId="101" fillId="0" borderId="16" xfId="53" applyFont="1" applyBorder="1" applyAlignment="1">
      <alignment vertical="center"/>
    </xf>
    <xf numFmtId="49" fontId="48" fillId="0" borderId="16" xfId="76" applyNumberFormat="1" applyFont="1" applyFill="1" applyBorder="1" applyAlignment="1">
      <alignment horizontal="left" vertical="center" wrapText="1"/>
    </xf>
    <xf numFmtId="164" fontId="34" fillId="0" borderId="21" xfId="29" applyNumberFormat="1" applyFont="1" applyFill="1" applyBorder="1" applyAlignment="1">
      <alignment horizontal="center"/>
    </xf>
    <xf numFmtId="0" fontId="34" fillId="0" borderId="2" xfId="53" applyFont="1" applyFill="1" applyBorder="1" applyAlignment="1">
      <alignment vertical="center"/>
    </xf>
    <xf numFmtId="3" fontId="34" fillId="0" borderId="2" xfId="27" applyFont="1" applyFill="1" applyBorder="1" applyAlignment="1">
      <alignment vertical="center"/>
    </xf>
    <xf numFmtId="164" fontId="34" fillId="0" borderId="2" xfId="29" applyNumberFormat="1" applyFont="1" applyFill="1" applyBorder="1" applyAlignment="1">
      <alignment vertical="center"/>
    </xf>
    <xf numFmtId="0" fontId="26" fillId="0" borderId="0" xfId="53" applyFont="1" applyFill="1" applyAlignment="1">
      <alignment vertical="center"/>
    </xf>
    <xf numFmtId="43" fontId="26" fillId="0" borderId="0" xfId="29" applyFont="1" applyFill="1" applyAlignment="1">
      <alignment vertical="center"/>
    </xf>
    <xf numFmtId="164" fontId="26" fillId="0" borderId="0" xfId="53" applyNumberFormat="1" applyFont="1" applyFill="1" applyAlignment="1">
      <alignment vertical="center"/>
    </xf>
    <xf numFmtId="164" fontId="26" fillId="0" borderId="0" xfId="29" applyNumberFormat="1" applyFont="1" applyFill="1" applyAlignment="1">
      <alignment vertical="center"/>
    </xf>
    <xf numFmtId="43" fontId="34" fillId="0" borderId="2" xfId="29" applyFont="1" applyFill="1" applyBorder="1" applyAlignment="1">
      <alignment vertical="center"/>
    </xf>
    <xf numFmtId="0" fontId="34" fillId="0" borderId="0" xfId="101" applyFont="1" applyBorder="1" applyAlignment="1">
      <alignment horizontal="center" vertical="center"/>
    </xf>
    <xf numFmtId="43" fontId="34" fillId="0" borderId="0" xfId="29" applyFont="1" applyBorder="1" applyAlignment="1">
      <alignment vertical="center"/>
    </xf>
    <xf numFmtId="164" fontId="34" fillId="0" borderId="16" xfId="96" applyNumberFormat="1" applyFont="1" applyBorder="1" applyAlignment="1">
      <alignment horizontal="center" vertical="center" wrapText="1"/>
    </xf>
    <xf numFmtId="164" fontId="34" fillId="0" borderId="16" xfId="96" applyNumberFormat="1" applyFont="1" applyFill="1" applyBorder="1" applyAlignment="1">
      <alignment horizontal="center" vertical="center" wrapText="1"/>
    </xf>
    <xf numFmtId="0" fontId="0" fillId="0" borderId="0" xfId="0" applyAlignment="1">
      <alignment vertical="center"/>
    </xf>
    <xf numFmtId="0" fontId="3" fillId="0" borderId="0" xfId="0" applyFont="1" applyAlignment="1">
      <alignment vertical="center"/>
    </xf>
    <xf numFmtId="0" fontId="34" fillId="0" borderId="19" xfId="99" applyFont="1" applyBorder="1" applyAlignment="1">
      <alignment horizontal="center" vertical="center"/>
    </xf>
    <xf numFmtId="43" fontId="34" fillId="0" borderId="16" xfId="96" applyNumberFormat="1" applyFont="1" applyBorder="1" applyAlignment="1">
      <alignment horizontal="center" vertical="center"/>
    </xf>
    <xf numFmtId="173" fontId="34" fillId="0" borderId="0" xfId="29" applyNumberFormat="1" applyFont="1" applyFill="1" applyBorder="1" applyAlignment="1">
      <alignment horizontal="left" vertical="center"/>
    </xf>
    <xf numFmtId="173" fontId="34" fillId="0" borderId="0" xfId="29" applyNumberFormat="1" applyFont="1" applyBorder="1" applyAlignment="1">
      <alignment horizontal="left" vertical="center"/>
    </xf>
    <xf numFmtId="173" fontId="34" fillId="0" borderId="0" xfId="29" applyNumberFormat="1" applyFont="1" applyBorder="1" applyAlignment="1">
      <alignment horizontal="left" vertical="center" wrapText="1"/>
    </xf>
    <xf numFmtId="173" fontId="0" fillId="0" borderId="0" xfId="29" applyNumberFormat="1" applyFont="1" applyAlignment="1">
      <alignment vertical="center"/>
    </xf>
    <xf numFmtId="43" fontId="34" fillId="0" borderId="21" xfId="29" applyNumberFormat="1" applyFont="1" applyBorder="1" applyAlignment="1">
      <alignment horizontal="center" vertical="center"/>
    </xf>
    <xf numFmtId="3" fontId="42" fillId="0" borderId="23" xfId="46" quotePrefix="1" applyFont="1" applyBorder="1" applyAlignment="1">
      <alignment horizontal="center"/>
    </xf>
    <xf numFmtId="3" fontId="43" fillId="0" borderId="23" xfId="46" applyFont="1" applyBorder="1" applyAlignment="1">
      <alignment horizontal="center"/>
    </xf>
    <xf numFmtId="3" fontId="23" fillId="0" borderId="10" xfId="46" quotePrefix="1" applyFont="1" applyAlignment="1">
      <alignment horizontal="left"/>
    </xf>
    <xf numFmtId="3" fontId="41" fillId="0" borderId="10" xfId="46" applyFont="1" applyAlignment="1">
      <alignment horizontal="left"/>
    </xf>
    <xf numFmtId="43" fontId="48" fillId="0" borderId="16" xfId="29" applyFont="1" applyFill="1" applyBorder="1" applyAlignment="1">
      <alignment vertical="center"/>
    </xf>
    <xf numFmtId="164" fontId="48" fillId="0" borderId="16" xfId="29" applyNumberFormat="1" applyFont="1" applyFill="1" applyBorder="1" applyAlignment="1">
      <alignment vertical="center"/>
    </xf>
    <xf numFmtId="0" fontId="48" fillId="0" borderId="21" xfId="103" applyFont="1" applyFill="1" applyBorder="1" applyAlignment="1">
      <alignment vertical="center"/>
    </xf>
    <xf numFmtId="164" fontId="48" fillId="0" borderId="21" xfId="76" applyNumberFormat="1" applyFont="1" applyFill="1" applyBorder="1" applyAlignment="1">
      <alignment horizontal="left" vertical="center"/>
    </xf>
    <xf numFmtId="43" fontId="48" fillId="0" borderId="16" xfId="29" applyFont="1" applyFill="1" applyBorder="1" applyAlignment="1">
      <alignment horizontal="center"/>
    </xf>
    <xf numFmtId="164" fontId="48" fillId="0" borderId="16" xfId="29" applyNumberFormat="1" applyFont="1" applyFill="1" applyBorder="1" applyAlignment="1">
      <alignment horizontal="center"/>
    </xf>
    <xf numFmtId="43" fontId="34" fillId="0" borderId="21" xfId="29" applyFont="1" applyFill="1" applyBorder="1" applyAlignment="1">
      <alignment horizontal="left" vertical="center"/>
    </xf>
    <xf numFmtId="43" fontId="34" fillId="0" borderId="21" xfId="29" applyNumberFormat="1" applyFont="1" applyFill="1" applyBorder="1" applyAlignment="1">
      <alignment horizontal="left" vertical="center"/>
    </xf>
    <xf numFmtId="0" fontId="34" fillId="0" borderId="21" xfId="87" applyFont="1" applyFill="1" applyBorder="1" applyAlignment="1">
      <alignment vertical="center"/>
    </xf>
    <xf numFmtId="43" fontId="34" fillId="0" borderId="0" xfId="87" applyNumberFormat="1" applyFont="1" applyFill="1" applyAlignment="1">
      <alignment vertical="center"/>
    </xf>
    <xf numFmtId="164" fontId="34" fillId="0" borderId="21" xfId="29" applyNumberFormat="1" applyFont="1" applyFill="1" applyBorder="1" applyAlignment="1">
      <alignment horizontal="left" vertical="center"/>
    </xf>
    <xf numFmtId="1" fontId="48" fillId="0" borderId="16" xfId="76" quotePrefix="1" applyNumberFormat="1" applyFont="1" applyFill="1" applyBorder="1" applyAlignment="1">
      <alignment horizontal="center" vertical="center"/>
    </xf>
    <xf numFmtId="14" fontId="48" fillId="0" borderId="16" xfId="96" applyNumberFormat="1" applyFont="1" applyFill="1" applyBorder="1" applyAlignment="1">
      <alignment horizontal="center"/>
    </xf>
    <xf numFmtId="14" fontId="48" fillId="0" borderId="16" xfId="46" applyNumberFormat="1" applyFont="1" applyFill="1" applyBorder="1" applyAlignment="1">
      <alignment horizontal="center" vertical="center"/>
    </xf>
    <xf numFmtId="43" fontId="48" fillId="0" borderId="21" xfId="29" applyFont="1" applyFill="1" applyBorder="1" applyAlignment="1">
      <alignment vertical="center"/>
    </xf>
    <xf numFmtId="164" fontId="48" fillId="0" borderId="21" xfId="29" applyNumberFormat="1" applyFont="1" applyFill="1" applyBorder="1" applyAlignment="1">
      <alignment horizontal="center"/>
    </xf>
    <xf numFmtId="43" fontId="48" fillId="0" borderId="21" xfId="29" applyFont="1" applyFill="1" applyBorder="1" applyAlignment="1">
      <alignment horizontal="center"/>
    </xf>
    <xf numFmtId="164" fontId="26" fillId="0" borderId="0" xfId="29" applyNumberFormat="1" applyFont="1"/>
    <xf numFmtId="164" fontId="28" fillId="0" borderId="0" xfId="29" applyNumberFormat="1" applyFont="1" applyAlignment="1">
      <alignment horizontal="centerContinuous"/>
    </xf>
    <xf numFmtId="164" fontId="23" fillId="21" borderId="2" xfId="29" applyNumberFormat="1" applyFont="1" applyFill="1" applyBorder="1" applyAlignment="1">
      <alignment horizontal="centerContinuous" vertical="center" wrapText="1"/>
    </xf>
    <xf numFmtId="14" fontId="48" fillId="0" borderId="21" xfId="76" applyNumberFormat="1" applyFont="1" applyFill="1" applyBorder="1" applyAlignment="1">
      <alignment horizontal="center" vertical="center"/>
    </xf>
    <xf numFmtId="43" fontId="48" fillId="0" borderId="21" xfId="29" applyFont="1" applyFill="1" applyBorder="1" applyAlignment="1">
      <alignment horizontal="left" vertical="center"/>
    </xf>
    <xf numFmtId="43" fontId="48" fillId="0" borderId="21" xfId="29" applyNumberFormat="1" applyFont="1" applyFill="1" applyBorder="1" applyAlignment="1">
      <alignment horizontal="left" vertical="center"/>
    </xf>
    <xf numFmtId="49" fontId="48" fillId="0" borderId="16" xfId="82" applyNumberFormat="1" applyFont="1" applyFill="1" applyBorder="1" applyAlignment="1">
      <alignment vertical="center"/>
    </xf>
    <xf numFmtId="164" fontId="48" fillId="0" borderId="21" xfId="29" applyNumberFormat="1" applyFont="1" applyFill="1" applyBorder="1" applyAlignment="1">
      <alignment horizontal="left" vertical="center"/>
    </xf>
    <xf numFmtId="0" fontId="48" fillId="0" borderId="16" xfId="95" applyFont="1" applyFill="1" applyBorder="1" applyAlignment="1">
      <alignment vertical="center"/>
    </xf>
    <xf numFmtId="164" fontId="48" fillId="0" borderId="16" xfId="96" applyNumberFormat="1" applyFont="1" applyFill="1" applyBorder="1" applyAlignment="1">
      <alignment horizontal="center"/>
    </xf>
    <xf numFmtId="0" fontId="48" fillId="0" borderId="16" xfId="103" applyFont="1" applyFill="1" applyBorder="1" applyAlignment="1">
      <alignment vertical="center"/>
    </xf>
    <xf numFmtId="0" fontId="34" fillId="41" borderId="16" xfId="77" applyNumberFormat="1" applyFont="1" applyFill="1" applyBorder="1" applyAlignment="1">
      <alignment horizontal="center" vertical="center"/>
    </xf>
    <xf numFmtId="0" fontId="34" fillId="42" borderId="16" xfId="77" applyNumberFormat="1" applyFont="1" applyFill="1" applyBorder="1" applyAlignment="1">
      <alignment horizontal="center" vertical="center"/>
    </xf>
    <xf numFmtId="0" fontId="34" fillId="43" borderId="16" xfId="77" applyNumberFormat="1" applyFont="1" applyFill="1" applyBorder="1" applyAlignment="1">
      <alignment horizontal="center" vertical="center"/>
    </xf>
    <xf numFmtId="0" fontId="34" fillId="44" borderId="16" xfId="77" applyNumberFormat="1" applyFont="1" applyFill="1" applyBorder="1" applyAlignment="1">
      <alignment horizontal="center" vertical="center"/>
    </xf>
    <xf numFmtId="0" fontId="34" fillId="45" borderId="16" xfId="77" applyNumberFormat="1" applyFont="1" applyFill="1" applyBorder="1" applyAlignment="1">
      <alignment horizontal="center" vertical="center"/>
    </xf>
    <xf numFmtId="3" fontId="34" fillId="0" borderId="23" xfId="46" applyFont="1" applyBorder="1" applyAlignment="1">
      <alignment horizontal="center" vertical="center"/>
    </xf>
    <xf numFmtId="49" fontId="34" fillId="0" borderId="23" xfId="76" applyNumberFormat="1" applyFont="1" applyFill="1" applyBorder="1" applyAlignment="1">
      <alignment horizontal="left" vertical="center"/>
    </xf>
    <xf numFmtId="14" fontId="34" fillId="0" borderId="23" xfId="46" applyNumberFormat="1" applyFont="1" applyFill="1" applyBorder="1" applyAlignment="1">
      <alignment horizontal="center" vertical="center"/>
    </xf>
    <xf numFmtId="164" fontId="49" fillId="0" borderId="23" xfId="29" applyNumberFormat="1" applyFont="1" applyBorder="1" applyAlignment="1">
      <alignment vertical="center"/>
    </xf>
    <xf numFmtId="164" fontId="34" fillId="0" borderId="23" xfId="29" applyNumberFormat="1" applyFont="1" applyFill="1" applyBorder="1" applyAlignment="1">
      <alignment vertical="center"/>
    </xf>
    <xf numFmtId="43" fontId="34" fillId="0" borderId="23" xfId="29" applyFont="1" applyFill="1" applyBorder="1" applyAlignment="1">
      <alignment vertical="center"/>
    </xf>
    <xf numFmtId="164" fontId="34" fillId="0" borderId="23" xfId="29" applyNumberFormat="1" applyFont="1" applyFill="1" applyBorder="1" applyAlignment="1">
      <alignment horizontal="center"/>
    </xf>
    <xf numFmtId="43" fontId="34" fillId="0" borderId="23" xfId="29" applyFont="1" applyFill="1" applyBorder="1" applyAlignment="1">
      <alignment horizontal="center"/>
    </xf>
    <xf numFmtId="14" fontId="33" fillId="0" borderId="23" xfId="52" applyNumberFormat="1" applyFont="1" applyBorder="1" applyAlignment="1">
      <alignment horizontal="center" vertical="center"/>
    </xf>
    <xf numFmtId="0" fontId="33" fillId="0" borderId="23" xfId="52" applyFont="1" applyBorder="1" applyAlignment="1">
      <alignment horizontal="center" vertical="center"/>
    </xf>
    <xf numFmtId="0" fontId="33" fillId="0" borderId="23" xfId="52" applyFont="1" applyBorder="1" applyAlignment="1">
      <alignment horizontal="left" vertical="center"/>
    </xf>
    <xf numFmtId="164" fontId="33" fillId="0" borderId="23" xfId="74" quotePrefix="1" applyNumberFormat="1" applyFont="1" applyBorder="1" applyAlignment="1">
      <alignment horizontal="center" vertical="center"/>
    </xf>
    <xf numFmtId="43" fontId="33" fillId="0" borderId="23" xfId="74" quotePrefix="1" applyNumberFormat="1" applyFont="1" applyFill="1" applyBorder="1" applyAlignment="1">
      <alignment horizontal="center" vertical="center"/>
    </xf>
    <xf numFmtId="43" fontId="33" fillId="0" borderId="23" xfId="74" quotePrefix="1" applyNumberFormat="1" applyFont="1" applyBorder="1" applyAlignment="1">
      <alignment horizontal="center" vertical="center"/>
    </xf>
    <xf numFmtId="43" fontId="33" fillId="0" borderId="23" xfId="74" applyFont="1" applyBorder="1" applyAlignment="1">
      <alignment vertical="center"/>
    </xf>
    <xf numFmtId="164" fontId="33" fillId="0" borderId="23" xfId="74" applyNumberFormat="1" applyFont="1" applyBorder="1" applyAlignment="1">
      <alignment vertical="center"/>
    </xf>
    <xf numFmtId="49" fontId="48" fillId="34" borderId="16" xfId="82" applyNumberFormat="1" applyFont="1" applyFill="1" applyBorder="1" applyAlignment="1">
      <alignment vertical="center"/>
    </xf>
    <xf numFmtId="0" fontId="48" fillId="44" borderId="16" xfId="77" applyNumberFormat="1" applyFont="1" applyFill="1" applyBorder="1" applyAlignment="1">
      <alignment horizontal="center" vertical="center"/>
    </xf>
    <xf numFmtId="0" fontId="102" fillId="0" borderId="0" xfId="0" applyFont="1"/>
    <xf numFmtId="49" fontId="34" fillId="25" borderId="16" xfId="90" applyNumberFormat="1" applyFont="1" applyFill="1" applyBorder="1" applyAlignment="1">
      <alignment horizontal="left" vertical="center"/>
    </xf>
    <xf numFmtId="3" fontId="48" fillId="25" borderId="16" xfId="46" applyFont="1" applyFill="1" applyBorder="1" applyAlignment="1">
      <alignment vertical="center"/>
    </xf>
    <xf numFmtId="0" fontId="0" fillId="25" borderId="0" xfId="0" applyFill="1"/>
    <xf numFmtId="164" fontId="34" fillId="25" borderId="16" xfId="54" applyNumberFormat="1" applyFont="1" applyFill="1" applyBorder="1" applyAlignment="1">
      <alignment horizontal="left" vertical="center"/>
    </xf>
    <xf numFmtId="164" fontId="34" fillId="0" borderId="2" xfId="29" applyNumberFormat="1" applyFont="1" applyBorder="1" applyAlignment="1">
      <alignment horizontal="center" vertical="center"/>
    </xf>
    <xf numFmtId="49" fontId="34" fillId="0" borderId="16" xfId="90" quotePrefix="1" applyNumberFormat="1" applyFont="1" applyFill="1" applyBorder="1" applyAlignment="1">
      <alignment horizontal="left" vertical="center"/>
    </xf>
    <xf numFmtId="3" fontId="48" fillId="0" borderId="16" xfId="46" quotePrefix="1" applyFont="1" applyFill="1" applyBorder="1" applyAlignment="1">
      <alignment vertical="center"/>
    </xf>
    <xf numFmtId="164" fontId="0" fillId="0" borderId="0" xfId="29" applyNumberFormat="1" applyFont="1"/>
    <xf numFmtId="177" fontId="34" fillId="0" borderId="16" xfId="29" applyNumberFormat="1" applyFont="1" applyFill="1" applyBorder="1" applyAlignment="1">
      <alignment horizontal="left" vertical="center"/>
    </xf>
    <xf numFmtId="14" fontId="49" fillId="0" borderId="16" xfId="90" quotePrefix="1" applyNumberFormat="1" applyFont="1" applyFill="1" applyBorder="1" applyAlignment="1">
      <alignment horizontal="center" vertical="center"/>
    </xf>
    <xf numFmtId="0" fontId="48" fillId="42" borderId="16" xfId="77" applyNumberFormat="1" applyFont="1" applyFill="1" applyBorder="1" applyAlignment="1">
      <alignment horizontal="center" vertical="center"/>
    </xf>
    <xf numFmtId="0" fontId="49" fillId="40" borderId="16" xfId="77" applyNumberFormat="1" applyFont="1" applyFill="1" applyBorder="1" applyAlignment="1">
      <alignment horizontal="center" vertical="center"/>
    </xf>
    <xf numFmtId="0" fontId="48" fillId="43" borderId="16" xfId="77" applyNumberFormat="1" applyFont="1" applyFill="1" applyBorder="1" applyAlignment="1">
      <alignment horizontal="center" vertical="center"/>
    </xf>
    <xf numFmtId="173" fontId="34" fillId="0" borderId="16" xfId="29" applyNumberFormat="1" applyFont="1" applyFill="1" applyBorder="1" applyAlignment="1">
      <alignment vertical="center"/>
    </xf>
    <xf numFmtId="0" fontId="48" fillId="38" borderId="16" xfId="77" applyNumberFormat="1" applyFont="1" applyFill="1" applyBorder="1" applyAlignment="1">
      <alignment horizontal="center" vertical="center"/>
    </xf>
    <xf numFmtId="0" fontId="49" fillId="45" borderId="16" xfId="77" applyNumberFormat="1" applyFont="1" applyFill="1" applyBorder="1" applyAlignment="1">
      <alignment horizontal="center" vertical="center"/>
    </xf>
    <xf numFmtId="0" fontId="49" fillId="36" borderId="16" xfId="77" applyNumberFormat="1" applyFont="1" applyFill="1" applyBorder="1" applyAlignment="1">
      <alignment horizontal="center" vertical="center"/>
    </xf>
    <xf numFmtId="0" fontId="48" fillId="45" borderId="16" xfId="77" applyNumberFormat="1" applyFont="1" applyFill="1" applyBorder="1" applyAlignment="1">
      <alignment horizontal="center" vertical="center"/>
    </xf>
    <xf numFmtId="0" fontId="48" fillId="36" borderId="16" xfId="77" applyNumberFormat="1" applyFont="1" applyFill="1" applyBorder="1" applyAlignment="1">
      <alignment horizontal="center" vertical="center"/>
    </xf>
    <xf numFmtId="0" fontId="34" fillId="0" borderId="21" xfId="101" applyFont="1" applyFill="1" applyBorder="1" applyAlignment="1">
      <alignment vertical="center"/>
    </xf>
    <xf numFmtId="0" fontId="34" fillId="0" borderId="16" xfId="99" applyFont="1" applyFill="1" applyBorder="1" applyAlignment="1">
      <alignment horizontal="center" vertical="center"/>
    </xf>
    <xf numFmtId="0" fontId="34" fillId="0" borderId="43" xfId="0" applyFont="1" applyFill="1" applyBorder="1" applyAlignment="1">
      <alignment vertical="center"/>
    </xf>
    <xf numFmtId="0" fontId="34" fillId="0" borderId="0" xfId="0" applyFont="1" applyFill="1" applyAlignment="1">
      <alignment vertical="center"/>
    </xf>
    <xf numFmtId="43" fontId="34" fillId="0" borderId="21" xfId="29" applyNumberFormat="1" applyFont="1" applyFill="1" applyBorder="1" applyAlignment="1">
      <alignment vertical="center"/>
    </xf>
    <xf numFmtId="164" fontId="50" fillId="0" borderId="0" xfId="0" applyNumberFormat="1" applyFont="1"/>
    <xf numFmtId="164" fontId="0" fillId="0" borderId="0" xfId="0" applyNumberFormat="1"/>
    <xf numFmtId="164" fontId="34" fillId="0" borderId="2" xfId="29" applyNumberFormat="1" applyFont="1" applyBorder="1" applyAlignment="1">
      <alignment horizontal="center" vertical="center"/>
    </xf>
    <xf numFmtId="164" fontId="48" fillId="25" borderId="16" xfId="0" applyNumberFormat="1" applyFont="1" applyFill="1" applyBorder="1" applyAlignment="1">
      <alignment vertical="center"/>
    </xf>
    <xf numFmtId="17" fontId="0" fillId="0" borderId="0" xfId="0" quotePrefix="1" applyNumberFormat="1"/>
    <xf numFmtId="0" fontId="49" fillId="31" borderId="16" xfId="77" applyNumberFormat="1" applyFont="1" applyFill="1" applyBorder="1" applyAlignment="1">
      <alignment horizontal="center" vertical="center"/>
    </xf>
    <xf numFmtId="0" fontId="49" fillId="0" borderId="16" xfId="76" quotePrefix="1" applyNumberFormat="1" applyFont="1" applyFill="1" applyBorder="1" applyAlignment="1">
      <alignment horizontal="center" vertical="center"/>
    </xf>
    <xf numFmtId="0" fontId="49" fillId="43" borderId="16" xfId="77" applyNumberFormat="1" applyFont="1" applyFill="1" applyBorder="1" applyAlignment="1">
      <alignment horizontal="center" vertical="center"/>
    </xf>
    <xf numFmtId="164" fontId="34" fillId="0" borderId="16" xfId="29" quotePrefix="1" applyNumberFormat="1" applyFont="1" applyFill="1" applyBorder="1" applyAlignment="1">
      <alignment vertical="center"/>
    </xf>
    <xf numFmtId="0" fontId="35" fillId="0" borderId="0" xfId="53" applyFont="1" applyFill="1" applyAlignment="1">
      <alignment vertical="center"/>
    </xf>
    <xf numFmtId="0" fontId="39" fillId="0" borderId="2" xfId="34" applyFont="1" applyFill="1" applyBorder="1" applyAlignment="1">
      <alignment horizontal="centerContinuous" vertical="center" wrapText="1"/>
    </xf>
    <xf numFmtId="164" fontId="39" fillId="0" borderId="2" xfId="29" applyNumberFormat="1" applyFont="1" applyFill="1" applyBorder="1" applyAlignment="1">
      <alignment horizontal="centerContinuous" vertical="center" wrapText="1"/>
    </xf>
    <xf numFmtId="164" fontId="39" fillId="0" borderId="2" xfId="74" applyNumberFormat="1" applyFont="1" applyFill="1" applyBorder="1" applyAlignment="1">
      <alignment horizontal="centerContinuous" vertical="center" wrapText="1"/>
    </xf>
    <xf numFmtId="0" fontId="39" fillId="0" borderId="2" xfId="34" applyFont="1" applyFill="1" applyBorder="1" applyAlignment="1">
      <alignment horizontal="center" vertical="center" wrapText="1"/>
    </xf>
    <xf numFmtId="164" fontId="39" fillId="0" borderId="2" xfId="74" applyNumberFormat="1" applyFont="1" applyFill="1" applyBorder="1" applyAlignment="1">
      <alignment horizontal="center" vertical="center" wrapText="1"/>
    </xf>
    <xf numFmtId="43" fontId="34" fillId="0" borderId="16" xfId="74" applyFont="1" applyFill="1" applyBorder="1" applyAlignment="1">
      <alignment vertical="center"/>
    </xf>
    <xf numFmtId="164" fontId="34" fillId="0" borderId="16" xfId="74" applyNumberFormat="1" applyFont="1" applyFill="1" applyBorder="1" applyAlignment="1">
      <alignment vertical="center"/>
    </xf>
    <xf numFmtId="43" fontId="34" fillId="0" borderId="16" xfId="74" applyFont="1" applyFill="1" applyBorder="1" applyAlignment="1">
      <alignment horizontal="center" vertical="center"/>
    </xf>
    <xf numFmtId="0" fontId="35" fillId="0" borderId="16" xfId="53" applyFont="1" applyFill="1" applyBorder="1" applyAlignment="1">
      <alignment vertical="center"/>
    </xf>
    <xf numFmtId="43" fontId="34" fillId="0" borderId="2" xfId="74" applyNumberFormat="1" applyFont="1" applyFill="1" applyBorder="1" applyAlignment="1">
      <alignment vertical="center"/>
    </xf>
    <xf numFmtId="164" fontId="34" fillId="0" borderId="2" xfId="74" applyNumberFormat="1" applyFont="1" applyFill="1" applyBorder="1" applyAlignment="1">
      <alignment vertical="center"/>
    </xf>
    <xf numFmtId="164" fontId="26" fillId="0" borderId="0" xfId="74" applyNumberFormat="1" applyFont="1" applyFill="1" applyAlignment="1">
      <alignment vertical="center"/>
    </xf>
    <xf numFmtId="0" fontId="48" fillId="35" borderId="16" xfId="77" applyNumberFormat="1" applyFont="1" applyFill="1" applyBorder="1" applyAlignment="1">
      <alignment horizontal="center" vertical="center"/>
    </xf>
    <xf numFmtId="0" fontId="48" fillId="31" borderId="16" xfId="77" applyNumberFormat="1" applyFont="1" applyFill="1" applyBorder="1" applyAlignment="1">
      <alignment horizontal="center" vertical="center"/>
    </xf>
    <xf numFmtId="0" fontId="48" fillId="40" borderId="16" xfId="77" applyNumberFormat="1" applyFont="1" applyFill="1" applyBorder="1" applyAlignment="1">
      <alignment horizontal="center" vertical="center"/>
    </xf>
    <xf numFmtId="0" fontId="48" fillId="41" borderId="16" xfId="77" applyNumberFormat="1" applyFont="1" applyFill="1" applyBorder="1" applyAlignment="1">
      <alignment horizontal="center" vertical="center"/>
    </xf>
    <xf numFmtId="0" fontId="48" fillId="39" borderId="16" xfId="77" applyNumberFormat="1" applyFont="1" applyFill="1" applyBorder="1" applyAlignment="1">
      <alignment horizontal="center" vertical="center"/>
    </xf>
    <xf numFmtId="0" fontId="102" fillId="0" borderId="0" xfId="0" applyFont="1" applyFill="1"/>
    <xf numFmtId="0" fontId="49" fillId="42" borderId="16" xfId="77"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3" fontId="49" fillId="0" borderId="16" xfId="29" applyFont="1" applyFill="1" applyBorder="1" applyAlignment="1">
      <alignment vertical="center"/>
    </xf>
    <xf numFmtId="164" fontId="49" fillId="0" borderId="16" xfId="29" applyNumberFormat="1" applyFont="1" applyFill="1" applyBorder="1" applyAlignment="1">
      <alignment vertical="center"/>
    </xf>
    <xf numFmtId="164" fontId="49" fillId="0" borderId="16" xfId="77" applyNumberFormat="1" applyFont="1" applyFill="1" applyBorder="1" applyAlignment="1">
      <alignment vertical="center"/>
    </xf>
    <xf numFmtId="0" fontId="103" fillId="43" borderId="16" xfId="77" applyNumberFormat="1" applyFont="1" applyFill="1" applyBorder="1" applyAlignment="1">
      <alignment horizontal="center" vertical="center"/>
    </xf>
    <xf numFmtId="14" fontId="103" fillId="0" borderId="16" xfId="90" applyNumberFormat="1" applyFont="1" applyFill="1" applyBorder="1" applyAlignment="1">
      <alignment horizontal="center" vertical="center"/>
    </xf>
    <xf numFmtId="164" fontId="103" fillId="0" borderId="21" xfId="29" applyNumberFormat="1" applyFont="1" applyBorder="1" applyAlignment="1">
      <alignment horizontal="left" vertical="center"/>
    </xf>
    <xf numFmtId="164" fontId="103" fillId="0" borderId="16" xfId="0" quotePrefix="1" applyNumberFormat="1" applyFont="1" applyFill="1" applyBorder="1" applyAlignment="1">
      <alignment horizontal="left" vertical="center"/>
    </xf>
    <xf numFmtId="3" fontId="103" fillId="0" borderId="16" xfId="46" applyFont="1" applyFill="1" applyBorder="1" applyAlignment="1">
      <alignment vertical="center"/>
    </xf>
    <xf numFmtId="43" fontId="103" fillId="0" borderId="16" xfId="29" applyFont="1" applyFill="1" applyBorder="1" applyAlignment="1">
      <alignment horizontal="left" vertical="center"/>
    </xf>
    <xf numFmtId="43" fontId="103" fillId="0" borderId="16" xfId="29" applyNumberFormat="1" applyFont="1" applyFill="1" applyBorder="1" applyAlignment="1">
      <alignment horizontal="left" vertical="center"/>
    </xf>
    <xf numFmtId="164" fontId="103" fillId="0" borderId="16" xfId="29" applyNumberFormat="1" applyFont="1" applyFill="1" applyBorder="1" applyAlignment="1">
      <alignment horizontal="left" vertical="center"/>
    </xf>
    <xf numFmtId="164" fontId="103" fillId="0" borderId="16" xfId="0" applyNumberFormat="1" applyFont="1" applyFill="1" applyBorder="1" applyAlignment="1">
      <alignment vertical="center"/>
    </xf>
    <xf numFmtId="0" fontId="103" fillId="0" borderId="16" xfId="90" quotePrefix="1" applyNumberFormat="1" applyFont="1" applyFill="1" applyBorder="1" applyAlignment="1">
      <alignment horizontal="center" vertical="center"/>
    </xf>
    <xf numFmtId="0" fontId="103" fillId="0" borderId="16" xfId="76" quotePrefix="1" applyNumberFormat="1" applyFont="1" applyFill="1" applyBorder="1" applyAlignment="1">
      <alignment horizontal="center" vertical="center"/>
    </xf>
    <xf numFmtId="0" fontId="104" fillId="0" borderId="0" xfId="0" applyFont="1"/>
    <xf numFmtId="0" fontId="34" fillId="0" borderId="21" xfId="103" applyFont="1" applyFill="1" applyBorder="1" applyAlignment="1">
      <alignment vertical="center"/>
    </xf>
    <xf numFmtId="164" fontId="48" fillId="0" borderId="16" xfId="29" applyNumberFormat="1" applyFont="1" applyBorder="1" applyAlignment="1">
      <alignment horizontal="left" vertical="center"/>
    </xf>
    <xf numFmtId="164" fontId="49" fillId="0" borderId="16" xfId="29" applyNumberFormat="1" applyFont="1" applyBorder="1" applyAlignment="1">
      <alignment horizontal="left" vertical="center"/>
    </xf>
    <xf numFmtId="49" fontId="34" fillId="0" borderId="21" xfId="90" applyNumberFormat="1" applyFont="1" applyFill="1" applyBorder="1" applyAlignment="1">
      <alignment horizontal="left" vertical="center"/>
    </xf>
    <xf numFmtId="164" fontId="49" fillId="37" borderId="21" xfId="76" applyNumberFormat="1" applyFont="1" applyFill="1" applyBorder="1" applyAlignment="1">
      <alignment horizontal="left" vertical="center"/>
    </xf>
    <xf numFmtId="0" fontId="48" fillId="34" borderId="16" xfId="77" applyNumberFormat="1" applyFont="1" applyFill="1" applyBorder="1" applyAlignment="1">
      <alignment horizontal="center" vertical="center"/>
    </xf>
    <xf numFmtId="164" fontId="48" fillId="0" borderId="16" xfId="76" quotePrefix="1" applyNumberFormat="1" applyFont="1" applyFill="1" applyBorder="1" applyAlignment="1">
      <alignment horizontal="left" vertical="center"/>
    </xf>
    <xf numFmtId="0" fontId="34" fillId="0" borderId="21" xfId="95" applyFont="1" applyFill="1" applyBorder="1" applyAlignment="1">
      <alignment vertical="center"/>
    </xf>
    <xf numFmtId="0" fontId="26" fillId="0" borderId="0" xfId="73" applyAlignment="1">
      <alignment horizontal="left"/>
    </xf>
    <xf numFmtId="0" fontId="28" fillId="0" borderId="0" xfId="58" applyAlignment="1">
      <alignment horizontal="left"/>
    </xf>
    <xf numFmtId="0" fontId="23" fillId="21" borderId="2" xfId="75" applyAlignment="1">
      <alignment horizontal="left" vertical="center" wrapText="1"/>
    </xf>
    <xf numFmtId="164" fontId="42" fillId="0" borderId="23" xfId="29" applyNumberFormat="1" applyFont="1" applyBorder="1" applyAlignment="1">
      <alignment horizontal="left"/>
    </xf>
    <xf numFmtId="164" fontId="23" fillId="0" borderId="10" xfId="29" applyNumberFormat="1" applyFont="1" applyBorder="1" applyAlignment="1">
      <alignment horizontal="left"/>
    </xf>
    <xf numFmtId="164" fontId="23" fillId="0" borderId="26" xfId="29" applyNumberFormat="1" applyFont="1" applyBorder="1" applyAlignment="1">
      <alignment horizontal="left"/>
    </xf>
    <xf numFmtId="164" fontId="42" fillId="0" borderId="26" xfId="29" applyNumberFormat="1" applyFont="1" applyBorder="1" applyAlignment="1">
      <alignment horizontal="left"/>
    </xf>
    <xf numFmtId="164" fontId="26" fillId="0" borderId="26" xfId="29" applyNumberFormat="1" applyFont="1" applyBorder="1" applyAlignment="1">
      <alignment horizontal="left"/>
    </xf>
    <xf numFmtId="164" fontId="23" fillId="0" borderId="27" xfId="29" applyNumberFormat="1" applyFont="1" applyBorder="1" applyAlignment="1">
      <alignment horizontal="left"/>
    </xf>
    <xf numFmtId="3" fontId="26" fillId="0" borderId="0" xfId="73" applyNumberFormat="1" applyAlignment="1">
      <alignment horizontal="left"/>
    </xf>
    <xf numFmtId="164" fontId="26" fillId="0" borderId="0" xfId="73" applyNumberFormat="1" applyAlignment="1">
      <alignment horizontal="left"/>
    </xf>
    <xf numFmtId="0" fontId="26" fillId="0" borderId="0" xfId="73" applyBorder="1" applyAlignment="1">
      <alignment horizontal="left"/>
    </xf>
    <xf numFmtId="164" fontId="23" fillId="0" borderId="2" xfId="29" applyNumberFormat="1" applyFont="1" applyBorder="1" applyAlignment="1">
      <alignment horizontal="left"/>
    </xf>
    <xf numFmtId="164" fontId="23" fillId="0" borderId="2" xfId="29" applyNumberFormat="1" applyFont="1" applyBorder="1"/>
    <xf numFmtId="0" fontId="34" fillId="25" borderId="16" xfId="0" applyFont="1" applyFill="1" applyBorder="1" applyAlignment="1">
      <alignment horizontal="center"/>
    </xf>
    <xf numFmtId="0" fontId="34" fillId="25" borderId="16" xfId="77" applyNumberFormat="1" applyFont="1" applyFill="1" applyBorder="1" applyAlignment="1">
      <alignment horizontal="center" vertical="center"/>
    </xf>
    <xf numFmtId="14" fontId="34" fillId="25" borderId="16" xfId="76" applyNumberFormat="1" applyFont="1" applyFill="1" applyBorder="1" applyAlignment="1">
      <alignment horizontal="center" vertical="center"/>
    </xf>
    <xf numFmtId="49" fontId="34" fillId="25" borderId="16" xfId="76" applyNumberFormat="1" applyFont="1" applyFill="1" applyBorder="1" applyAlignment="1">
      <alignment horizontal="left" vertical="center"/>
    </xf>
    <xf numFmtId="164" fontId="34" fillId="25" borderId="16" xfId="76" applyNumberFormat="1" applyFont="1" applyFill="1" applyBorder="1" applyAlignment="1">
      <alignment horizontal="left" vertical="center"/>
    </xf>
    <xf numFmtId="43" fontId="34" fillId="25" borderId="16" xfId="29" applyFont="1" applyFill="1" applyBorder="1" applyAlignment="1">
      <alignment vertical="center"/>
    </xf>
    <xf numFmtId="164" fontId="34" fillId="25" borderId="16" xfId="29" applyNumberFormat="1" applyFont="1" applyFill="1" applyBorder="1" applyAlignment="1">
      <alignmen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0" fontId="3" fillId="25" borderId="0" xfId="0" applyFont="1" applyFill="1"/>
    <xf numFmtId="164" fontId="34" fillId="25" borderId="16" xfId="29" quotePrefix="1" applyNumberFormat="1" applyFont="1" applyFill="1" applyBorder="1" applyAlignment="1">
      <alignment horizontal="left"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34" fillId="0" borderId="0" xfId="52"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2"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left"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0" borderId="2" xfId="34" applyFont="1" applyFill="1" applyBorder="1" applyAlignment="1">
      <alignment horizontal="center" vertical="center" wrapText="1"/>
    </xf>
    <xf numFmtId="0" fontId="38" fillId="0" borderId="22" xfId="58" applyFont="1" applyFill="1" applyBorder="1" applyAlignment="1">
      <alignment horizontal="center" vertical="center"/>
    </xf>
    <xf numFmtId="0" fontId="39" fillId="0"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78"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3" fillId="0" borderId="0" xfId="98" applyFont="1" applyAlignment="1">
      <alignment horizontal="center" vertic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3"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2" xfId="34" applyFont="1" applyBorder="1" applyAlignment="1">
      <alignment horizontal="center" vertical="center" wrapText="1"/>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3"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5"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22" fillId="0" borderId="0" xfId="78" applyFont="1" applyAlignment="1">
      <alignment horizontal="center" vertical="center"/>
    </xf>
    <xf numFmtId="0" fontId="83" fillId="0" borderId="0" xfId="78" applyFont="1" applyAlignment="1">
      <alignment horizontal="center" vertical="center"/>
    </xf>
    <xf numFmtId="0" fontId="83"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 val="Ufunctions"/>
    </sheetNames>
    <definedNames>
      <definedName name="VND"/>
    </defined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I83"/>
  <sheetViews>
    <sheetView tabSelected="1" topLeftCell="A7" workbookViewId="0">
      <pane ySplit="3" topLeftCell="A49" activePane="bottomLeft" state="frozen"/>
      <selection activeCell="P41" sqref="P41"/>
      <selection pane="bottomLeft" activeCell="C72" sqref="C72"/>
    </sheetView>
  </sheetViews>
  <sheetFormatPr defaultColWidth="8" defaultRowHeight="13.5"/>
  <cols>
    <col min="1" max="1" width="7.42578125" style="32" customWidth="1"/>
    <col min="2" max="2" width="35" style="32" customWidth="1"/>
    <col min="3" max="3" width="14.7109375" style="1230" customWidth="1"/>
    <col min="4" max="4" width="15.42578125" style="1230" customWidth="1"/>
    <col min="5" max="5" width="15.5703125" style="1342" customWidth="1"/>
    <col min="6" max="6" width="16.28515625" style="32" customWidth="1"/>
    <col min="7" max="7" width="14.7109375" style="32" customWidth="1"/>
    <col min="8" max="8" width="14.85546875" style="32" customWidth="1"/>
    <col min="9" max="9" width="15.5703125" style="32" customWidth="1"/>
    <col min="10" max="16384" width="8" style="32"/>
  </cols>
  <sheetData>
    <row r="1" spans="1:8">
      <c r="A1" s="30" t="s">
        <v>51</v>
      </c>
      <c r="B1" s="30"/>
    </row>
    <row r="2" spans="1:8">
      <c r="A2" s="30" t="s">
        <v>52</v>
      </c>
      <c r="B2" s="30"/>
    </row>
    <row r="3" spans="1:8">
      <c r="A3" s="30" t="s">
        <v>53</v>
      </c>
      <c r="B3" s="30"/>
    </row>
    <row r="4" spans="1:8" ht="1.5" customHeight="1"/>
    <row r="5" spans="1:8" ht="15.75">
      <c r="A5" s="33" t="s">
        <v>54</v>
      </c>
      <c r="B5" s="33"/>
      <c r="C5" s="1231"/>
      <c r="D5" s="1231"/>
      <c r="E5" s="1343"/>
      <c r="F5" s="33"/>
      <c r="G5" s="33"/>
      <c r="H5" s="33"/>
    </row>
    <row r="6" spans="1:8" ht="15.75">
      <c r="A6" s="34" t="s">
        <v>55</v>
      </c>
      <c r="B6" s="33"/>
      <c r="C6" s="1231"/>
      <c r="D6" s="1231"/>
      <c r="E6" s="1343"/>
      <c r="F6" s="33"/>
      <c r="G6" s="33"/>
      <c r="H6" s="33"/>
    </row>
    <row r="7" spans="1:8" ht="6" customHeight="1"/>
    <row r="8" spans="1:8">
      <c r="A8" s="35"/>
      <c r="B8" s="35" t="s">
        <v>56</v>
      </c>
      <c r="C8" s="1232" t="s">
        <v>57</v>
      </c>
      <c r="D8" s="1232"/>
      <c r="E8" s="1344" t="s">
        <v>58</v>
      </c>
      <c r="F8" s="36"/>
      <c r="G8" s="36" t="s">
        <v>59</v>
      </c>
      <c r="H8" s="36"/>
    </row>
    <row r="9" spans="1:8">
      <c r="A9" s="37" t="s">
        <v>60</v>
      </c>
      <c r="B9" s="37"/>
      <c r="C9" s="1232" t="s">
        <v>61</v>
      </c>
      <c r="D9" s="1232" t="s">
        <v>62</v>
      </c>
      <c r="E9" s="1344" t="s">
        <v>61</v>
      </c>
      <c r="F9" s="36" t="s">
        <v>62</v>
      </c>
      <c r="G9" s="36" t="s">
        <v>61</v>
      </c>
      <c r="H9" s="36" t="s">
        <v>62</v>
      </c>
    </row>
    <row r="10" spans="1:8" s="31" customFormat="1">
      <c r="A10" s="38" t="s">
        <v>63</v>
      </c>
      <c r="B10" s="39" t="s">
        <v>64</v>
      </c>
      <c r="C10" s="910">
        <v>667384522</v>
      </c>
      <c r="D10" s="910">
        <v>0</v>
      </c>
      <c r="E10" s="1345">
        <f t="array" ref="E10">SUM(IF(A10=KHN,TH))</f>
        <v>298119185800</v>
      </c>
      <c r="F10" s="910">
        <f t="array" ref="F10">SUM(IF(A10=KHC,TH))</f>
        <v>284368128230</v>
      </c>
      <c r="G10" s="41">
        <f>MAX(C10+E10-D10-F10,0)</f>
        <v>14418442092</v>
      </c>
      <c r="H10" s="41">
        <f>MAX(D10+F10-E10-C10,0)</f>
        <v>0</v>
      </c>
    </row>
    <row r="11" spans="1:8" s="31" customFormat="1">
      <c r="A11" s="42" t="s">
        <v>18</v>
      </c>
      <c r="B11" s="43" t="s">
        <v>65</v>
      </c>
      <c r="C11" s="911">
        <f>C10</f>
        <v>667384522</v>
      </c>
      <c r="D11" s="911">
        <f t="shared" ref="D11:H11" si="0">D10</f>
        <v>0</v>
      </c>
      <c r="E11" s="1346">
        <f t="shared" si="0"/>
        <v>298119185800</v>
      </c>
      <c r="F11" s="911">
        <f t="shared" si="0"/>
        <v>284368128230</v>
      </c>
      <c r="G11" s="911">
        <f t="shared" si="0"/>
        <v>14418442092</v>
      </c>
      <c r="H11" s="911">
        <f t="shared" si="0"/>
        <v>0</v>
      </c>
    </row>
    <row r="12" spans="1:8" s="31" customFormat="1">
      <c r="A12" s="45" t="s">
        <v>26</v>
      </c>
      <c r="B12" s="39" t="s">
        <v>66</v>
      </c>
      <c r="C12" s="910">
        <v>9382419</v>
      </c>
      <c r="D12" s="910">
        <v>0</v>
      </c>
      <c r="E12" s="1345">
        <f t="array" ref="E12">SUM(IF(A12=KHN,TH))</f>
        <v>609064877456</v>
      </c>
      <c r="F12" s="910">
        <f t="array" ref="F12">SUM(IF(A12=KHC,TH))</f>
        <v>605234570143</v>
      </c>
      <c r="G12" s="41">
        <f>MAX(C12+E12-D12-F12,0)</f>
        <v>3839689732</v>
      </c>
      <c r="H12" s="41">
        <f>MAX(D12+F12-E12-C12,0)</f>
        <v>0</v>
      </c>
    </row>
    <row r="13" spans="1:8" s="31" customFormat="1">
      <c r="A13" s="45" t="s">
        <v>256</v>
      </c>
      <c r="B13" s="39" t="s">
        <v>257</v>
      </c>
      <c r="C13" s="910">
        <v>5679984</v>
      </c>
      <c r="D13" s="910">
        <v>0</v>
      </c>
      <c r="E13" s="1345">
        <f t="array" ref="E13">SUM(IF(A13=KHN,TH))</f>
        <v>540461814349</v>
      </c>
      <c r="F13" s="910">
        <f t="array" ref="F13">SUM(IF(A13=KHC,TH))</f>
        <v>540057586314</v>
      </c>
      <c r="G13" s="41">
        <f>MAX(C13+E13-D13-F13,0)</f>
        <v>409908019</v>
      </c>
      <c r="H13" s="41">
        <f>MAX(D13+F13-E13-C13,0)</f>
        <v>0</v>
      </c>
    </row>
    <row r="14" spans="1:8" s="31" customFormat="1">
      <c r="A14" s="42" t="s">
        <v>67</v>
      </c>
      <c r="B14" s="43" t="s">
        <v>68</v>
      </c>
      <c r="C14" s="911">
        <f>C12+C13</f>
        <v>15062403</v>
      </c>
      <c r="D14" s="911">
        <f t="shared" ref="D14:H14" si="1">D12+D13</f>
        <v>0</v>
      </c>
      <c r="E14" s="1346">
        <f t="shared" si="1"/>
        <v>1149526691805</v>
      </c>
      <c r="F14" s="911">
        <f t="shared" si="1"/>
        <v>1145292156457</v>
      </c>
      <c r="G14" s="911">
        <f t="shared" si="1"/>
        <v>4249597751</v>
      </c>
      <c r="H14" s="911">
        <f t="shared" si="1"/>
        <v>0</v>
      </c>
    </row>
    <row r="15" spans="1:8" s="31" customFormat="1">
      <c r="A15" s="38" t="s">
        <v>2415</v>
      </c>
      <c r="B15" s="39" t="s">
        <v>2416</v>
      </c>
      <c r="C15" s="910"/>
      <c r="D15" s="910">
        <v>0</v>
      </c>
      <c r="E15" s="1345">
        <f t="array" ref="E15">SUM(IF(A15=KHN,TH))</f>
        <v>60070000000</v>
      </c>
      <c r="F15" s="910">
        <f t="array" ref="F15">SUM(IF(A15=KHC,TH))</f>
        <v>0</v>
      </c>
      <c r="G15" s="41">
        <f>MAX(C15+E15-D15-F15,0)</f>
        <v>60070000000</v>
      </c>
      <c r="H15" s="41">
        <f>MAX(D15+F15-E15-C15,0)</f>
        <v>0</v>
      </c>
    </row>
    <row r="16" spans="1:8" s="31" customFormat="1">
      <c r="A16" s="46" t="s">
        <v>2414</v>
      </c>
      <c r="B16" s="43" t="s">
        <v>2417</v>
      </c>
      <c r="C16" s="911">
        <v>0</v>
      </c>
      <c r="D16" s="911">
        <f t="shared" ref="D16:H16" si="2">D15</f>
        <v>0</v>
      </c>
      <c r="E16" s="1346">
        <f t="shared" si="2"/>
        <v>60070000000</v>
      </c>
      <c r="F16" s="911">
        <f t="shared" si="2"/>
        <v>0</v>
      </c>
      <c r="G16" s="911">
        <f t="shared" si="2"/>
        <v>60070000000</v>
      </c>
      <c r="H16" s="911">
        <f t="shared" si="2"/>
        <v>0</v>
      </c>
    </row>
    <row r="17" spans="1:8" s="31" customFormat="1">
      <c r="A17" s="42" t="s">
        <v>536</v>
      </c>
      <c r="B17" s="43" t="s">
        <v>584</v>
      </c>
      <c r="C17" s="912">
        <v>57038792896</v>
      </c>
      <c r="D17" s="912">
        <v>0</v>
      </c>
      <c r="E17" s="1347">
        <f t="array" ref="E17">SUM(IF(A17=KHN,TH))</f>
        <v>431176057916</v>
      </c>
      <c r="F17" s="912">
        <f t="array" ref="F17">SUM(IF(A17=KHC,TH))</f>
        <v>462223487473</v>
      </c>
      <c r="G17" s="44">
        <f>MAX(C17+E17-D17-F17,0)</f>
        <v>25991363339</v>
      </c>
      <c r="H17" s="44">
        <f>MAX(D17+F17-E17-C17,0)</f>
        <v>0</v>
      </c>
    </row>
    <row r="18" spans="1:8" s="31" customFormat="1">
      <c r="A18" s="45" t="s">
        <v>9</v>
      </c>
      <c r="B18" s="39" t="s">
        <v>69</v>
      </c>
      <c r="C18" s="910">
        <v>518470991</v>
      </c>
      <c r="D18" s="910">
        <v>0</v>
      </c>
      <c r="E18" s="1345">
        <f t="array" ref="E18">SUM(IF(A18=KHN,TH))</f>
        <v>1226000049</v>
      </c>
      <c r="F18" s="910">
        <f t="array" ref="F18">SUM(IF(A18=KHC,TH))</f>
        <v>1609107995</v>
      </c>
      <c r="G18" s="41">
        <f>MAX(C18+E18-D18-F18,0)</f>
        <v>135363045</v>
      </c>
      <c r="H18" s="41">
        <f>MAX(D18+F18-E18-C18,0)</f>
        <v>0</v>
      </c>
    </row>
    <row r="19" spans="1:8" s="31" customFormat="1">
      <c r="A19" s="42" t="s">
        <v>70</v>
      </c>
      <c r="B19" s="43" t="s">
        <v>71</v>
      </c>
      <c r="C19" s="911">
        <f>C18</f>
        <v>518470991</v>
      </c>
      <c r="D19" s="911">
        <f t="shared" ref="D19:H19" si="3">D18</f>
        <v>0</v>
      </c>
      <c r="E19" s="1346">
        <f t="shared" si="3"/>
        <v>1226000049</v>
      </c>
      <c r="F19" s="911">
        <f t="shared" si="3"/>
        <v>1609107995</v>
      </c>
      <c r="G19" s="911">
        <f t="shared" si="3"/>
        <v>135363045</v>
      </c>
      <c r="H19" s="911">
        <f t="shared" si="3"/>
        <v>0</v>
      </c>
    </row>
    <row r="20" spans="1:8" s="31" customFormat="1">
      <c r="A20" s="45" t="s">
        <v>72</v>
      </c>
      <c r="B20" s="39" t="s">
        <v>73</v>
      </c>
      <c r="C20" s="910">
        <v>0</v>
      </c>
      <c r="D20" s="910">
        <v>0</v>
      </c>
      <c r="E20" s="1345">
        <f t="array" ref="E20">SUM(IF(A20=KHN,TH))</f>
        <v>1693224175</v>
      </c>
      <c r="F20" s="910">
        <f t="array" ref="F20">SUM(IF(A20=KHC,TH))</f>
        <v>1679224175</v>
      </c>
      <c r="G20" s="41">
        <f t="shared" ref="G20:G46" si="4">MAX(C20+E20-D20-F20,0)</f>
        <v>14000000</v>
      </c>
      <c r="H20" s="41">
        <f t="shared" ref="H20:H46" si="5">MAX(D20+F20-E20-C20,0)</f>
        <v>0</v>
      </c>
    </row>
    <row r="21" spans="1:8" s="31" customFormat="1">
      <c r="A21" s="42" t="s">
        <v>74</v>
      </c>
      <c r="B21" s="43" t="s">
        <v>75</v>
      </c>
      <c r="C21" s="911">
        <f>C20</f>
        <v>0</v>
      </c>
      <c r="D21" s="911">
        <f t="shared" ref="D21:H21" si="6">D20</f>
        <v>0</v>
      </c>
      <c r="E21" s="1346">
        <f t="shared" si="6"/>
        <v>1693224175</v>
      </c>
      <c r="F21" s="911">
        <f t="shared" si="6"/>
        <v>1679224175</v>
      </c>
      <c r="G21" s="911">
        <f t="shared" si="6"/>
        <v>14000000</v>
      </c>
      <c r="H21" s="911">
        <f t="shared" si="6"/>
        <v>0</v>
      </c>
    </row>
    <row r="22" spans="1:8" s="31" customFormat="1">
      <c r="A22" s="42" t="s">
        <v>262</v>
      </c>
      <c r="B22" s="43" t="s">
        <v>263</v>
      </c>
      <c r="C22" s="912">
        <v>0</v>
      </c>
      <c r="D22" s="912">
        <v>0</v>
      </c>
      <c r="E22" s="1347">
        <f t="array" ref="E22">SUM(IF(A22=KHN,TH))</f>
        <v>56400904600</v>
      </c>
      <c r="F22" s="912">
        <f t="array" ref="F22">SUM(IF(A22=KHC,TH))</f>
        <v>56400904600</v>
      </c>
      <c r="G22" s="44">
        <f t="shared" si="4"/>
        <v>0</v>
      </c>
      <c r="H22" s="44">
        <f t="shared" si="5"/>
        <v>0</v>
      </c>
    </row>
    <row r="23" spans="1:8" s="31" customFormat="1">
      <c r="A23" s="45" t="s">
        <v>264</v>
      </c>
      <c r="B23" s="39" t="s">
        <v>265</v>
      </c>
      <c r="C23" s="910">
        <v>0</v>
      </c>
      <c r="D23" s="910">
        <v>0</v>
      </c>
      <c r="E23" s="1345">
        <f t="array" ref="E23">SUM(IF(A23=KHN,TH))</f>
        <v>184811926800</v>
      </c>
      <c r="F23" s="910">
        <f t="array" ref="F23">SUM(IF(A23=KHC,TH))</f>
        <v>184811926800</v>
      </c>
      <c r="G23" s="41">
        <f t="shared" si="4"/>
        <v>0</v>
      </c>
      <c r="H23" s="41">
        <f t="shared" si="5"/>
        <v>0</v>
      </c>
    </row>
    <row r="24" spans="1:8" s="31" customFormat="1">
      <c r="A24" s="45" t="s">
        <v>266</v>
      </c>
      <c r="B24" s="39" t="s">
        <v>267</v>
      </c>
      <c r="C24" s="910">
        <v>351991443</v>
      </c>
      <c r="D24" s="910">
        <v>0</v>
      </c>
      <c r="E24" s="1345">
        <f t="array" ref="E24">SUM(IF(A24=KHN,TH))</f>
        <v>3546837365</v>
      </c>
      <c r="F24" s="910">
        <f t="array" ref="F24">SUM(IF(A24=KHC,TH))</f>
        <v>3275247941</v>
      </c>
      <c r="G24" s="40">
        <f t="shared" si="4"/>
        <v>623580867</v>
      </c>
      <c r="H24" s="40">
        <f t="shared" si="5"/>
        <v>0</v>
      </c>
    </row>
    <row r="25" spans="1:8" s="31" customFormat="1">
      <c r="A25" s="42" t="s">
        <v>268</v>
      </c>
      <c r="B25" s="43" t="s">
        <v>269</v>
      </c>
      <c r="C25" s="911">
        <f>C23+C24</f>
        <v>351991443</v>
      </c>
      <c r="D25" s="911">
        <f t="shared" ref="D25:H25" si="7">D23+D24</f>
        <v>0</v>
      </c>
      <c r="E25" s="1346">
        <f t="shared" si="7"/>
        <v>188358764165</v>
      </c>
      <c r="F25" s="911">
        <f t="shared" si="7"/>
        <v>188087174741</v>
      </c>
      <c r="G25" s="911">
        <f t="shared" si="7"/>
        <v>623580867</v>
      </c>
      <c r="H25" s="911">
        <f t="shared" si="7"/>
        <v>0</v>
      </c>
    </row>
    <row r="26" spans="1:8" s="31" customFormat="1">
      <c r="A26" s="42" t="s">
        <v>270</v>
      </c>
      <c r="B26" s="43" t="s">
        <v>271</v>
      </c>
      <c r="C26" s="912">
        <v>49990909</v>
      </c>
      <c r="D26" s="912">
        <v>0</v>
      </c>
      <c r="E26" s="1347">
        <f t="array" ref="E26">SUM(IF(A26=KHN,TH))</f>
        <v>0</v>
      </c>
      <c r="F26" s="912">
        <f t="array" ref="F26">SUM(IF(A26=KHC,TH))</f>
        <v>49990909</v>
      </c>
      <c r="G26" s="44">
        <f t="shared" si="4"/>
        <v>0</v>
      </c>
      <c r="H26" s="44">
        <f t="shared" si="5"/>
        <v>0</v>
      </c>
    </row>
    <row r="27" spans="1:8" s="31" customFormat="1">
      <c r="A27" s="42" t="s">
        <v>272</v>
      </c>
      <c r="B27" s="43" t="s">
        <v>273</v>
      </c>
      <c r="C27" s="912">
        <v>1450841000</v>
      </c>
      <c r="D27" s="912">
        <v>0</v>
      </c>
      <c r="E27" s="1347">
        <f t="array" ref="E27">SUM(IF(A27=KHN,TH))</f>
        <v>241542084746</v>
      </c>
      <c r="F27" s="912">
        <f t="array" ref="F27">SUM(IF(A27=KHC,TH))</f>
        <v>242992925746</v>
      </c>
      <c r="G27" s="44">
        <f>MAX(C27+E27-D27-F27,0)</f>
        <v>0</v>
      </c>
      <c r="H27" s="44">
        <f t="shared" si="5"/>
        <v>0</v>
      </c>
    </row>
    <row r="28" spans="1:8" s="31" customFormat="1">
      <c r="A28" s="42" t="s">
        <v>274</v>
      </c>
      <c r="B28" s="43" t="s">
        <v>275</v>
      </c>
      <c r="C28" s="912">
        <v>3468509299</v>
      </c>
      <c r="D28" s="912">
        <v>0</v>
      </c>
      <c r="E28" s="1347">
        <f t="array" ref="E28">SUM(IF(A28=KHN,TH))</f>
        <v>464724105856</v>
      </c>
      <c r="F28" s="912">
        <f t="array" ref="F28">SUM(IF(A28=KHC,TH))</f>
        <v>466805995006</v>
      </c>
      <c r="G28" s="44">
        <f t="shared" si="4"/>
        <v>1386620149</v>
      </c>
      <c r="H28" s="44">
        <f t="shared" si="5"/>
        <v>0</v>
      </c>
    </row>
    <row r="29" spans="1:8" s="31" customFormat="1">
      <c r="A29" s="386" t="s">
        <v>276</v>
      </c>
      <c r="B29" s="387" t="s">
        <v>277</v>
      </c>
      <c r="C29" s="910">
        <v>7770361541</v>
      </c>
      <c r="D29" s="910">
        <v>0</v>
      </c>
      <c r="E29" s="1345">
        <f t="array" ref="E29">SUM(IF(A29=KHN,TH))</f>
        <v>0</v>
      </c>
      <c r="F29" s="910">
        <f t="array" ref="F29">SUM(IF(A29=KHC,TH))</f>
        <v>0</v>
      </c>
      <c r="G29" s="388">
        <f t="shared" si="4"/>
        <v>7770361541</v>
      </c>
      <c r="H29" s="388">
        <f t="shared" si="5"/>
        <v>0</v>
      </c>
    </row>
    <row r="30" spans="1:8" s="31" customFormat="1">
      <c r="A30" s="389" t="s">
        <v>278</v>
      </c>
      <c r="B30" s="390" t="s">
        <v>279</v>
      </c>
      <c r="C30" s="910">
        <v>3807898863</v>
      </c>
      <c r="D30" s="910">
        <v>0</v>
      </c>
      <c r="E30" s="1345">
        <f t="array" ref="E30">SUM(IF(A30=KHN,TH))</f>
        <v>340350000</v>
      </c>
      <c r="F30" s="910">
        <f t="array" ref="F30">SUM(IF(A30=KHC,TH))</f>
        <v>0</v>
      </c>
      <c r="G30" s="391">
        <f t="shared" si="4"/>
        <v>4148248863</v>
      </c>
      <c r="H30" s="391">
        <f t="shared" si="5"/>
        <v>0</v>
      </c>
    </row>
    <row r="31" spans="1:8" s="31" customFormat="1">
      <c r="A31" s="389" t="s">
        <v>280</v>
      </c>
      <c r="B31" s="390" t="s">
        <v>281</v>
      </c>
      <c r="C31" s="910">
        <v>3790918485</v>
      </c>
      <c r="D31" s="910">
        <v>0</v>
      </c>
      <c r="E31" s="1345">
        <f t="array" ref="E31">SUM(IF(A31=KHN,TH))</f>
        <v>0</v>
      </c>
      <c r="F31" s="910">
        <f t="array" ref="F31">SUM(IF(A31=KHC,TH))</f>
        <v>0</v>
      </c>
      <c r="G31" s="391">
        <f t="shared" si="4"/>
        <v>3790918485</v>
      </c>
      <c r="H31" s="391">
        <f t="shared" si="5"/>
        <v>0</v>
      </c>
    </row>
    <row r="32" spans="1:8" s="31" customFormat="1">
      <c r="A32" s="42" t="s">
        <v>282</v>
      </c>
      <c r="B32" s="43" t="s">
        <v>283</v>
      </c>
      <c r="C32" s="911">
        <f>SUM(C29:C31)</f>
        <v>15369178889</v>
      </c>
      <c r="D32" s="911">
        <f t="shared" ref="D32:H32" si="8">SUM(D29:D31)</f>
        <v>0</v>
      </c>
      <c r="E32" s="1346">
        <f t="shared" si="8"/>
        <v>340350000</v>
      </c>
      <c r="F32" s="911">
        <f t="shared" si="8"/>
        <v>0</v>
      </c>
      <c r="G32" s="911">
        <f t="shared" si="8"/>
        <v>15709528889</v>
      </c>
      <c r="H32" s="911">
        <f t="shared" si="8"/>
        <v>0</v>
      </c>
    </row>
    <row r="33" spans="1:8" s="31" customFormat="1">
      <c r="A33" s="389" t="s">
        <v>576</v>
      </c>
      <c r="B33" s="390" t="s">
        <v>577</v>
      </c>
      <c r="C33" s="910">
        <v>5405781300</v>
      </c>
      <c r="D33" s="910">
        <v>0</v>
      </c>
      <c r="E33" s="1345">
        <f t="array" ref="E33">SUM(IF(A33=KHN,TH))</f>
        <v>0</v>
      </c>
      <c r="F33" s="910">
        <f t="array" ref="F33">SUM(IF(A33=KHC,TH))</f>
        <v>0</v>
      </c>
      <c r="G33" s="391">
        <f>MAX(C33+E33-D33-F33,0)</f>
        <v>5405781300</v>
      </c>
      <c r="H33" s="391">
        <f>MAX(D33+F33-E33-C33,0)</f>
        <v>0</v>
      </c>
    </row>
    <row r="34" spans="1:8" s="31" customFormat="1">
      <c r="A34" s="46" t="s">
        <v>578</v>
      </c>
      <c r="B34" s="43" t="s">
        <v>579</v>
      </c>
      <c r="C34" s="911">
        <f>C33</f>
        <v>5405781300</v>
      </c>
      <c r="D34" s="911">
        <f t="shared" ref="D34:H34" si="9">D33</f>
        <v>0</v>
      </c>
      <c r="E34" s="1346">
        <f t="shared" si="9"/>
        <v>0</v>
      </c>
      <c r="F34" s="911">
        <f t="shared" si="9"/>
        <v>0</v>
      </c>
      <c r="G34" s="911">
        <f t="shared" si="9"/>
        <v>5405781300</v>
      </c>
      <c r="H34" s="911">
        <f t="shared" si="9"/>
        <v>0</v>
      </c>
    </row>
    <row r="35" spans="1:8" s="31" customFormat="1">
      <c r="A35" s="45" t="s">
        <v>538</v>
      </c>
      <c r="B35" s="39" t="s">
        <v>580</v>
      </c>
      <c r="C35" s="910">
        <v>0</v>
      </c>
      <c r="D35" s="910">
        <v>9758261933</v>
      </c>
      <c r="E35" s="1345">
        <f t="array" ref="E35">SUM(IF(A35=KHN,TH))</f>
        <v>0</v>
      </c>
      <c r="F35" s="910">
        <f t="array" ref="F35">SUM(IF(A35=KHC,TH))</f>
        <v>622728838</v>
      </c>
      <c r="G35" s="40">
        <f>MAX(C35+E35-D35-F35,0)</f>
        <v>0</v>
      </c>
      <c r="H35" s="40">
        <f>MAX(D35+F35-E35-C35,0)</f>
        <v>10380990771</v>
      </c>
    </row>
    <row r="36" spans="1:8" s="31" customFormat="1">
      <c r="A36" s="38" t="s">
        <v>537</v>
      </c>
      <c r="B36" s="39" t="s">
        <v>581</v>
      </c>
      <c r="C36" s="910">
        <v>0</v>
      </c>
      <c r="D36" s="910">
        <v>720770838</v>
      </c>
      <c r="E36" s="1345">
        <f t="array" ref="E36">SUM(IF(A36=KHN,TH))</f>
        <v>0</v>
      </c>
      <c r="F36" s="910">
        <f t="array" ref="F36">SUM(IF(A36=KHC,TH))</f>
        <v>120128473</v>
      </c>
      <c r="G36" s="40">
        <f>MAX(C36+E36-D36-F36,0)</f>
        <v>0</v>
      </c>
      <c r="H36" s="40">
        <f>MAX(D36+F36-E36-C36,0)</f>
        <v>840899311</v>
      </c>
    </row>
    <row r="37" spans="1:8" s="31" customFormat="1" ht="12.75" customHeight="1">
      <c r="A37" s="42" t="s">
        <v>582</v>
      </c>
      <c r="B37" s="43" t="s">
        <v>583</v>
      </c>
      <c r="C37" s="911">
        <f t="shared" ref="C37:E37" si="10">C35+C36</f>
        <v>0</v>
      </c>
      <c r="D37" s="911">
        <f t="shared" si="10"/>
        <v>10479032771</v>
      </c>
      <c r="E37" s="1346">
        <f t="shared" si="10"/>
        <v>0</v>
      </c>
      <c r="F37" s="911">
        <f>F35+F36</f>
        <v>742857311</v>
      </c>
      <c r="G37" s="44">
        <f t="shared" ref="G37:H37" si="11">G35+G36</f>
        <v>0</v>
      </c>
      <c r="H37" s="44">
        <f t="shared" si="11"/>
        <v>11221890082</v>
      </c>
    </row>
    <row r="38" spans="1:8" s="31" customFormat="1">
      <c r="A38" s="38" t="s">
        <v>161</v>
      </c>
      <c r="B38" s="39" t="s">
        <v>162</v>
      </c>
      <c r="C38" s="910">
        <v>0</v>
      </c>
      <c r="D38" s="910">
        <v>0</v>
      </c>
      <c r="E38" s="1345">
        <f t="array" ref="E38">SUM(IF(A38=KHN,TH))</f>
        <v>0</v>
      </c>
      <c r="F38" s="910">
        <f t="array" ref="F38">SUM(IF(A38=KHC,TH))</f>
        <v>0</v>
      </c>
      <c r="G38" s="41">
        <f t="shared" si="4"/>
        <v>0</v>
      </c>
      <c r="H38" s="41">
        <f t="shared" si="5"/>
        <v>0</v>
      </c>
    </row>
    <row r="39" spans="1:8" s="31" customFormat="1">
      <c r="A39" s="46" t="s">
        <v>223</v>
      </c>
      <c r="B39" s="43" t="s">
        <v>163</v>
      </c>
      <c r="C39" s="911">
        <f t="shared" ref="C39:D39" si="12">C38</f>
        <v>0</v>
      </c>
      <c r="D39" s="911">
        <f t="shared" si="12"/>
        <v>0</v>
      </c>
      <c r="E39" s="1346">
        <f>E38</f>
        <v>0</v>
      </c>
      <c r="F39" s="911">
        <f>F38</f>
        <v>0</v>
      </c>
      <c r="G39" s="44">
        <f t="shared" si="4"/>
        <v>0</v>
      </c>
      <c r="H39" s="44">
        <f t="shared" si="5"/>
        <v>0</v>
      </c>
    </row>
    <row r="40" spans="1:8" s="31" customFormat="1">
      <c r="A40" s="42" t="s">
        <v>8</v>
      </c>
      <c r="B40" s="43" t="s">
        <v>76</v>
      </c>
      <c r="C40" s="912">
        <v>0</v>
      </c>
      <c r="D40" s="912">
        <v>35725221599</v>
      </c>
      <c r="E40" s="1347">
        <f t="array" ref="E40">SUM(IF(A40=KHN,TH))</f>
        <v>445819055962</v>
      </c>
      <c r="F40" s="912">
        <f t="array" ref="F40">SUM(IF(A40=KHC,TH))</f>
        <v>421367562605</v>
      </c>
      <c r="G40" s="44">
        <f t="shared" si="4"/>
        <v>0</v>
      </c>
      <c r="H40" s="44">
        <f t="shared" si="5"/>
        <v>11273728242</v>
      </c>
    </row>
    <row r="41" spans="1:8" s="31" customFormat="1">
      <c r="A41" s="392" t="s">
        <v>595</v>
      </c>
      <c r="B41" s="393" t="s">
        <v>772</v>
      </c>
      <c r="C41" s="913">
        <v>0</v>
      </c>
      <c r="D41" s="913">
        <v>0</v>
      </c>
      <c r="E41" s="1348">
        <f t="array" ref="E41">SUM(IF(A41=KHN,TH))</f>
        <v>685250850</v>
      </c>
      <c r="F41" s="913">
        <f t="array" ref="F41">SUM(IF(A41=KHC,TH))</f>
        <v>685250850</v>
      </c>
      <c r="G41" s="388">
        <f t="shared" si="4"/>
        <v>0</v>
      </c>
      <c r="H41" s="388">
        <f t="shared" si="5"/>
        <v>0</v>
      </c>
    </row>
    <row r="42" spans="1:8" s="31" customFormat="1">
      <c r="A42" s="392" t="s">
        <v>748</v>
      </c>
      <c r="B42" s="393" t="s">
        <v>773</v>
      </c>
      <c r="C42" s="913">
        <v>0</v>
      </c>
      <c r="D42" s="913">
        <v>0</v>
      </c>
      <c r="E42" s="1348">
        <f t="array" ref="E42">SUM(IF(A42=KHN,TH))</f>
        <v>48977400</v>
      </c>
      <c r="F42" s="913">
        <f t="array" ref="F42">SUM(IF(A42=KHC,TH))</f>
        <v>48977400</v>
      </c>
      <c r="G42" s="47">
        <f t="shared" si="4"/>
        <v>0</v>
      </c>
      <c r="H42" s="47">
        <f t="shared" si="5"/>
        <v>0</v>
      </c>
    </row>
    <row r="43" spans="1:8" s="31" customFormat="1">
      <c r="A43" s="45" t="s">
        <v>774</v>
      </c>
      <c r="B43" s="39" t="s">
        <v>775</v>
      </c>
      <c r="C43" s="910">
        <f t="shared" ref="C43:H43" si="13">C41+C42</f>
        <v>0</v>
      </c>
      <c r="D43" s="910">
        <f t="shared" si="13"/>
        <v>0</v>
      </c>
      <c r="E43" s="1345">
        <f t="shared" si="13"/>
        <v>734228250</v>
      </c>
      <c r="F43" s="910">
        <f t="shared" si="13"/>
        <v>734228250</v>
      </c>
      <c r="G43" s="40">
        <f t="shared" si="13"/>
        <v>0</v>
      </c>
      <c r="H43" s="40">
        <f t="shared" si="13"/>
        <v>0</v>
      </c>
    </row>
    <row r="44" spans="1:8" s="31" customFormat="1">
      <c r="A44" s="45" t="s">
        <v>77</v>
      </c>
      <c r="B44" s="39" t="s">
        <v>78</v>
      </c>
      <c r="C44" s="910">
        <v>6386869</v>
      </c>
      <c r="D44" s="910">
        <v>0</v>
      </c>
      <c r="E44" s="1345">
        <f t="array" ref="E44">SUM(IF(A44=KHN,TH))</f>
        <v>0</v>
      </c>
      <c r="F44" s="910">
        <f t="array" ref="F44">SUM(IF(A44=KHC,TH))</f>
        <v>0</v>
      </c>
      <c r="G44" s="40">
        <f t="shared" si="4"/>
        <v>6386869</v>
      </c>
      <c r="H44" s="40">
        <f t="shared" si="5"/>
        <v>0</v>
      </c>
    </row>
    <row r="45" spans="1:8" s="31" customFormat="1">
      <c r="A45" s="45" t="s">
        <v>574</v>
      </c>
      <c r="B45" s="39" t="s">
        <v>575</v>
      </c>
      <c r="C45" s="910">
        <v>3389804</v>
      </c>
      <c r="D45" s="910">
        <v>0</v>
      </c>
      <c r="E45" s="1345">
        <f t="array" ref="E45">SUM(IF(A45=KHN,TH))</f>
        <v>0</v>
      </c>
      <c r="F45" s="910">
        <f t="array" ref="F45">SUM(IF(A45=KHC,TH))</f>
        <v>0</v>
      </c>
      <c r="G45" s="40">
        <f t="shared" si="4"/>
        <v>3389804</v>
      </c>
      <c r="H45" s="40">
        <f t="shared" si="5"/>
        <v>0</v>
      </c>
    </row>
    <row r="46" spans="1:8" s="31" customFormat="1">
      <c r="A46" s="48" t="s">
        <v>79</v>
      </c>
      <c r="B46" s="49" t="s">
        <v>80</v>
      </c>
      <c r="C46" s="914">
        <v>0</v>
      </c>
      <c r="D46" s="914">
        <v>0</v>
      </c>
      <c r="E46" s="1349">
        <f t="array" ref="E46">SUM(IF(A46=KHN,TH))</f>
        <v>2000000</v>
      </c>
      <c r="F46" s="914">
        <f t="array" ref="F46">SUM(IF(A46=KHC,TH))</f>
        <v>2000000</v>
      </c>
      <c r="G46" s="47">
        <f t="shared" si="4"/>
        <v>0</v>
      </c>
      <c r="H46" s="47">
        <f t="shared" si="5"/>
        <v>0</v>
      </c>
    </row>
    <row r="47" spans="1:8" s="31" customFormat="1">
      <c r="A47" s="45" t="s">
        <v>20</v>
      </c>
      <c r="B47" s="39" t="s">
        <v>81</v>
      </c>
      <c r="C47" s="910">
        <v>0</v>
      </c>
      <c r="D47" s="910">
        <v>0</v>
      </c>
      <c r="E47" s="1345">
        <f>E46</f>
        <v>2000000</v>
      </c>
      <c r="F47" s="910">
        <f>F46</f>
        <v>2000000</v>
      </c>
      <c r="G47" s="40">
        <f>G46</f>
        <v>0</v>
      </c>
      <c r="H47" s="40">
        <f>H46</f>
        <v>0</v>
      </c>
    </row>
    <row r="48" spans="1:8" s="31" customFormat="1">
      <c r="A48" s="42" t="s">
        <v>82</v>
      </c>
      <c r="B48" s="43" t="s">
        <v>83</v>
      </c>
      <c r="C48" s="911">
        <v>9776673</v>
      </c>
      <c r="D48" s="911">
        <v>0</v>
      </c>
      <c r="E48" s="1346">
        <f>E43+E44+E45+E47</f>
        <v>736228250</v>
      </c>
      <c r="F48" s="911">
        <f t="shared" ref="F48:H48" si="14">F43+F44+F45+F47</f>
        <v>736228250</v>
      </c>
      <c r="G48" s="44">
        <f t="shared" si="14"/>
        <v>9776673</v>
      </c>
      <c r="H48" s="44">
        <f t="shared" si="14"/>
        <v>0</v>
      </c>
    </row>
    <row r="49" spans="1:9" s="31" customFormat="1">
      <c r="A49" s="45" t="s">
        <v>540</v>
      </c>
      <c r="B49" s="39" t="s">
        <v>571</v>
      </c>
      <c r="C49" s="910">
        <v>0</v>
      </c>
      <c r="D49" s="910">
        <v>0</v>
      </c>
      <c r="E49" s="1345">
        <f t="array" ref="E49">SUM(IF(A49=KHN,TH))</f>
        <v>1341597229</v>
      </c>
      <c r="F49" s="910">
        <f t="array" ref="F49">SUM(IF(A49=KHC,TH))</f>
        <v>1341597229</v>
      </c>
      <c r="G49" s="40">
        <f t="shared" ref="G49:G54" si="15">MAX(C49+E49-D49-F49,0)</f>
        <v>0</v>
      </c>
      <c r="H49" s="40">
        <f t="shared" ref="H49:H54" si="16">MAX(D49+F49-E49-C49,0)</f>
        <v>0</v>
      </c>
    </row>
    <row r="50" spans="1:9" s="31" customFormat="1">
      <c r="A50" s="42" t="s">
        <v>572</v>
      </c>
      <c r="B50" s="43" t="s">
        <v>573</v>
      </c>
      <c r="C50" s="911">
        <v>0</v>
      </c>
      <c r="D50" s="911">
        <v>0</v>
      </c>
      <c r="E50" s="1346">
        <f>E49</f>
        <v>1341597229</v>
      </c>
      <c r="F50" s="911">
        <f>F49</f>
        <v>1341597229</v>
      </c>
      <c r="G50" s="44">
        <f t="shared" si="15"/>
        <v>0</v>
      </c>
      <c r="H50" s="44">
        <f t="shared" si="16"/>
        <v>0</v>
      </c>
    </row>
    <row r="51" spans="1:9" s="31" customFormat="1" ht="12.75" customHeight="1">
      <c r="A51" s="38" t="s">
        <v>541</v>
      </c>
      <c r="B51" s="39" t="s">
        <v>568</v>
      </c>
      <c r="C51" s="910">
        <v>0</v>
      </c>
      <c r="D51" s="910">
        <v>106628549</v>
      </c>
      <c r="E51" s="1345">
        <f t="array" ref="E51">SUM(IF(A51=KHN,TH))</f>
        <v>531474112</v>
      </c>
      <c r="F51" s="910">
        <f t="array" ref="F51">SUM(IF(A51=KHC,TH))</f>
        <v>444108372</v>
      </c>
      <c r="G51" s="40">
        <f t="shared" si="15"/>
        <v>0</v>
      </c>
      <c r="H51" s="40">
        <f t="shared" si="16"/>
        <v>19262809</v>
      </c>
      <c r="I51" s="31">
        <v>19262809</v>
      </c>
    </row>
    <row r="52" spans="1:9" s="31" customFormat="1">
      <c r="A52" s="45" t="s">
        <v>542</v>
      </c>
      <c r="B52" s="39" t="s">
        <v>569</v>
      </c>
      <c r="C52" s="910">
        <v>0</v>
      </c>
      <c r="D52" s="910">
        <v>4469220</v>
      </c>
      <c r="E52" s="1345">
        <f t="array" ref="E52">SUM(IF(A52=KHN,TH))</f>
        <v>59830037</v>
      </c>
      <c r="F52" s="910">
        <f t="array" ref="F52">SUM(IF(A52=KHC,TH))</f>
        <v>58332859</v>
      </c>
      <c r="G52" s="40">
        <f t="shared" si="15"/>
        <v>0</v>
      </c>
      <c r="H52" s="40">
        <f t="shared" si="16"/>
        <v>2972042</v>
      </c>
      <c r="I52" s="31">
        <v>2972042</v>
      </c>
    </row>
    <row r="53" spans="1:9" s="31" customFormat="1">
      <c r="A53" s="38" t="s">
        <v>543</v>
      </c>
      <c r="B53" s="39" t="s">
        <v>570</v>
      </c>
      <c r="C53" s="910">
        <v>0</v>
      </c>
      <c r="D53" s="910">
        <v>1986320</v>
      </c>
      <c r="E53" s="1345">
        <f t="array" ref="E53">SUM(IF(A53=KHN,TH))</f>
        <v>25867311</v>
      </c>
      <c r="F53" s="910">
        <f t="array" ref="F53">SUM(IF(A53=KHC,TH))</f>
        <v>25208580</v>
      </c>
      <c r="G53" s="40">
        <f t="shared" si="15"/>
        <v>0</v>
      </c>
      <c r="H53" s="40">
        <f t="shared" si="16"/>
        <v>1327589</v>
      </c>
      <c r="I53" s="31">
        <v>1327589</v>
      </c>
    </row>
    <row r="54" spans="1:9" s="31" customFormat="1">
      <c r="A54" s="45" t="s">
        <v>19</v>
      </c>
      <c r="B54" s="39" t="s">
        <v>84</v>
      </c>
      <c r="C54" s="910">
        <v>0</v>
      </c>
      <c r="D54" s="910">
        <v>0</v>
      </c>
      <c r="E54" s="1345">
        <f t="array" ref="E54">SUM(IF(A54=KHN,TH))</f>
        <v>18524822</v>
      </c>
      <c r="F54" s="910">
        <f t="array" ref="F54">SUM(IF(A54=KHC,TH))</f>
        <v>18804141</v>
      </c>
      <c r="G54" s="40">
        <f t="shared" si="15"/>
        <v>0</v>
      </c>
      <c r="H54" s="40">
        <f t="shared" si="16"/>
        <v>279319</v>
      </c>
      <c r="I54" s="31">
        <v>279319</v>
      </c>
    </row>
    <row r="55" spans="1:9" s="31" customFormat="1">
      <c r="A55" s="42" t="s">
        <v>85</v>
      </c>
      <c r="B55" s="43" t="s">
        <v>86</v>
      </c>
      <c r="C55" s="911">
        <f t="shared" ref="C55:I55" si="17">SUM(C51:C54)</f>
        <v>0</v>
      </c>
      <c r="D55" s="911">
        <f t="shared" si="17"/>
        <v>113084089</v>
      </c>
      <c r="E55" s="1346">
        <f t="shared" si="17"/>
        <v>635696282</v>
      </c>
      <c r="F55" s="911">
        <f t="shared" si="17"/>
        <v>546453952</v>
      </c>
      <c r="G55" s="44">
        <f t="shared" si="17"/>
        <v>0</v>
      </c>
      <c r="H55" s="44">
        <f t="shared" si="17"/>
        <v>23841759</v>
      </c>
      <c r="I55" s="31">
        <f t="shared" si="17"/>
        <v>23841759</v>
      </c>
    </row>
    <row r="56" spans="1:9" s="31" customFormat="1">
      <c r="A56" s="38" t="s">
        <v>87</v>
      </c>
      <c r="B56" s="39" t="s">
        <v>251</v>
      </c>
      <c r="C56" s="910">
        <v>0</v>
      </c>
      <c r="D56" s="910">
        <v>0</v>
      </c>
      <c r="E56" s="1345">
        <f t="array" ref="E56">SUM(IF(A56=KHN,TH))</f>
        <v>0</v>
      </c>
      <c r="F56" s="910">
        <f t="array" ref="F56">SUM(IF(A56=KHC,TH))</f>
        <v>0</v>
      </c>
      <c r="G56" s="41">
        <f>MAX(C56+E56-D56-F56,0)</f>
        <v>0</v>
      </c>
      <c r="H56" s="41">
        <f>MAX(D56+F56-E56-C56,0)</f>
        <v>0</v>
      </c>
    </row>
    <row r="57" spans="1:9" s="31" customFormat="1">
      <c r="A57" s="38" t="s">
        <v>250</v>
      </c>
      <c r="B57" s="39" t="s">
        <v>252</v>
      </c>
      <c r="C57" s="910">
        <v>0</v>
      </c>
      <c r="D57" s="910">
        <v>27471593800</v>
      </c>
      <c r="E57" s="1345">
        <f t="array" ref="E57">SUM(IF(A57=KHN,TH))</f>
        <v>132340444757</v>
      </c>
      <c r="F57" s="910">
        <f t="array" ref="F57">SUM(IF(A57=KHC,TH))</f>
        <v>199626654607</v>
      </c>
      <c r="G57" s="40">
        <f>MAX(C57+E57-D57-F57,0)</f>
        <v>0</v>
      </c>
      <c r="H57" s="40">
        <f>MAX(D57+F57-E57-C57,0)</f>
        <v>94757803650</v>
      </c>
    </row>
    <row r="58" spans="1:9" s="31" customFormat="1">
      <c r="A58" s="46" t="s">
        <v>42</v>
      </c>
      <c r="B58" s="43" t="s">
        <v>88</v>
      </c>
      <c r="C58" s="911">
        <f t="shared" ref="C58:H58" si="18">SUM(C56:C57)</f>
        <v>0</v>
      </c>
      <c r="D58" s="911">
        <f t="shared" si="18"/>
        <v>27471593800</v>
      </c>
      <c r="E58" s="1346">
        <f t="shared" si="18"/>
        <v>132340444757</v>
      </c>
      <c r="F58" s="911">
        <f t="shared" si="18"/>
        <v>199626654607</v>
      </c>
      <c r="G58" s="44">
        <f t="shared" si="18"/>
        <v>0</v>
      </c>
      <c r="H58" s="44">
        <f t="shared" si="18"/>
        <v>94757803650</v>
      </c>
    </row>
    <row r="59" spans="1:9" s="31" customFormat="1">
      <c r="A59" s="45" t="s">
        <v>27</v>
      </c>
      <c r="B59" s="39" t="s">
        <v>89</v>
      </c>
      <c r="C59" s="910">
        <v>0</v>
      </c>
      <c r="D59" s="910">
        <v>10000000000</v>
      </c>
      <c r="E59" s="1345">
        <f t="array" ref="E59">SUM(IF(A59=KHN,TH))</f>
        <v>0</v>
      </c>
      <c r="F59" s="910">
        <f t="array" ref="F59">SUM(IF(A59=KHC,TH))</f>
        <v>0</v>
      </c>
      <c r="G59" s="41">
        <f>MAX(C59+E59-D59-F59,0)</f>
        <v>0</v>
      </c>
      <c r="H59" s="41">
        <f>MAX(D59+F59-E59-C59,0)</f>
        <v>10000000000</v>
      </c>
    </row>
    <row r="60" spans="1:9" s="31" customFormat="1">
      <c r="A60" s="42" t="s">
        <v>90</v>
      </c>
      <c r="B60" s="43" t="s">
        <v>91</v>
      </c>
      <c r="C60" s="911">
        <v>0</v>
      </c>
      <c r="D60" s="911">
        <v>10000000000</v>
      </c>
      <c r="E60" s="1346">
        <f>E59</f>
        <v>0</v>
      </c>
      <c r="F60" s="911">
        <f>F59</f>
        <v>0</v>
      </c>
      <c r="G60" s="44">
        <f>MAX(C60+E60-D60-F60,0)</f>
        <v>0</v>
      </c>
      <c r="H60" s="44">
        <f>MAX(D60+F60-E60-C60,0)</f>
        <v>10000000000</v>
      </c>
    </row>
    <row r="61" spans="1:9" s="31" customFormat="1">
      <c r="A61" s="38" t="s">
        <v>92</v>
      </c>
      <c r="B61" s="39" t="s">
        <v>93</v>
      </c>
      <c r="C61" s="910">
        <v>0</v>
      </c>
      <c r="D61" s="910">
        <v>527246020.00000048</v>
      </c>
      <c r="E61" s="1345">
        <f t="array" ref="E61">SUM(IF(A61=KHN,TH))</f>
        <v>0</v>
      </c>
      <c r="F61" s="910">
        <f t="array" ref="F61">SUM(IF(A61=KHC,TH))</f>
        <v>29602046</v>
      </c>
      <c r="G61" s="41">
        <f>MAX(C61+E61-D61-F61,0)</f>
        <v>0</v>
      </c>
      <c r="H61" s="41">
        <f>MAX(D61+F61-E61-C61,0)</f>
        <v>556848066.00000048</v>
      </c>
    </row>
    <row r="62" spans="1:9" s="31" customFormat="1">
      <c r="A62" s="45" t="s">
        <v>94</v>
      </c>
      <c r="B62" s="39" t="s">
        <v>95</v>
      </c>
      <c r="C62" s="910">
        <v>0</v>
      </c>
      <c r="D62" s="910">
        <v>29602046</v>
      </c>
      <c r="E62" s="1345">
        <f t="array" ref="E62">SUM(IF(A62=TH!$N$10:$N$5713,TH!$M$10:$M$5713))</f>
        <v>29602046</v>
      </c>
      <c r="F62" s="910">
        <f t="array" ref="F62">SUM(IF(A62=TH!$O$10:$O$5713,TH!$M$10:$M$5713))</f>
        <v>0</v>
      </c>
      <c r="G62" s="40">
        <f>MAX(C62+E62-D62-F62,0)</f>
        <v>0</v>
      </c>
      <c r="H62" s="40">
        <f>MAX(D62+F62-E62-C62,0)</f>
        <v>0</v>
      </c>
    </row>
    <row r="63" spans="1:9" s="31" customFormat="1">
      <c r="A63" s="42" t="s">
        <v>96</v>
      </c>
      <c r="B63" s="43" t="s">
        <v>97</v>
      </c>
      <c r="C63" s="911">
        <v>0</v>
      </c>
      <c r="D63" s="911">
        <v>556848066.00000048</v>
      </c>
      <c r="E63" s="1346">
        <f>E62+E61</f>
        <v>29602046</v>
      </c>
      <c r="F63" s="911">
        <f>F62+F61</f>
        <v>29602046</v>
      </c>
      <c r="G63" s="44">
        <f>G62+G61</f>
        <v>0</v>
      </c>
      <c r="H63" s="44">
        <f>H62+H61</f>
        <v>556848066.00000048</v>
      </c>
    </row>
    <row r="64" spans="1:9" s="31" customFormat="1" ht="12.75" customHeight="1">
      <c r="A64" s="392" t="s">
        <v>286</v>
      </c>
      <c r="B64" s="393" t="s">
        <v>287</v>
      </c>
      <c r="C64" s="913">
        <v>0</v>
      </c>
      <c r="D64" s="913">
        <v>0</v>
      </c>
      <c r="E64" s="1348">
        <f t="array" ref="E64">SUM(IF(A64=KHN,TH))</f>
        <v>9485358724</v>
      </c>
      <c r="F64" s="913">
        <f t="array" ref="F64">SUM(IF(A64=KHC,TH))</f>
        <v>9485358724</v>
      </c>
      <c r="G64" s="394"/>
      <c r="H64" s="394"/>
      <c r="I64" s="31">
        <f t="shared" ref="I64:I78" si="19">E64-F64</f>
        <v>0</v>
      </c>
    </row>
    <row r="65" spans="1:9" s="31" customFormat="1">
      <c r="A65" s="392" t="s">
        <v>288</v>
      </c>
      <c r="B65" s="393" t="s">
        <v>289</v>
      </c>
      <c r="C65" s="913">
        <v>0</v>
      </c>
      <c r="D65" s="913">
        <v>0</v>
      </c>
      <c r="E65" s="1348">
        <f t="array" ref="E65">SUM(IF(A65=KHN,TH))</f>
        <v>420328116715</v>
      </c>
      <c r="F65" s="913">
        <f t="array" ref="F65">SUM(IF(A65=KHC,TH))</f>
        <v>420328116715</v>
      </c>
      <c r="G65" s="394"/>
      <c r="H65" s="394"/>
      <c r="I65" s="31">
        <f>E65-F65</f>
        <v>0</v>
      </c>
    </row>
    <row r="66" spans="1:9" s="31" customFormat="1">
      <c r="A66" s="38" t="s">
        <v>290</v>
      </c>
      <c r="B66" s="39" t="s">
        <v>291</v>
      </c>
      <c r="C66" s="910">
        <v>0</v>
      </c>
      <c r="D66" s="910">
        <v>0</v>
      </c>
      <c r="E66" s="1345">
        <f>E64+E65</f>
        <v>429813475439</v>
      </c>
      <c r="F66" s="910">
        <f>F64+F65</f>
        <v>429813475439</v>
      </c>
      <c r="G66" s="40"/>
      <c r="H66" s="40"/>
      <c r="I66" s="31">
        <f t="shared" si="19"/>
        <v>0</v>
      </c>
    </row>
    <row r="67" spans="1:9" s="31" customFormat="1">
      <c r="A67" s="42" t="s">
        <v>292</v>
      </c>
      <c r="B67" s="43" t="s">
        <v>293</v>
      </c>
      <c r="C67" s="911">
        <v>0</v>
      </c>
      <c r="D67" s="911">
        <v>0</v>
      </c>
      <c r="E67" s="1346">
        <f>E66</f>
        <v>429813475439</v>
      </c>
      <c r="F67" s="911">
        <f>F66</f>
        <v>429813475439</v>
      </c>
      <c r="G67" s="44"/>
      <c r="H67" s="44"/>
      <c r="I67" s="31">
        <f t="shared" si="19"/>
        <v>0</v>
      </c>
    </row>
    <row r="68" spans="1:9" s="31" customFormat="1">
      <c r="A68" s="42" t="s">
        <v>43</v>
      </c>
      <c r="B68" s="43" t="s">
        <v>98</v>
      </c>
      <c r="C68" s="912">
        <v>0</v>
      </c>
      <c r="D68" s="912">
        <v>0</v>
      </c>
      <c r="E68" s="1347">
        <f t="array" ref="E68">SUM(IF(A68=KHN,TH))</f>
        <v>1789674560</v>
      </c>
      <c r="F68" s="912">
        <f t="array" ref="F68">SUM(IF(A68=KHC,TH))</f>
        <v>1789674560</v>
      </c>
      <c r="G68" s="44"/>
      <c r="H68" s="44"/>
      <c r="I68" s="31">
        <f t="shared" si="19"/>
        <v>0</v>
      </c>
    </row>
    <row r="69" spans="1:9" s="31" customFormat="1">
      <c r="A69" s="1209" t="s">
        <v>1016</v>
      </c>
      <c r="B69" s="1210" t="s">
        <v>2403</v>
      </c>
      <c r="C69" s="910">
        <v>0</v>
      </c>
      <c r="D69" s="910">
        <v>0</v>
      </c>
      <c r="E69" s="1345">
        <f t="array" ref="E69">SUM(IF(A69=KHN,TH))</f>
        <v>2174500460</v>
      </c>
      <c r="F69" s="910">
        <f t="array" ref="F69">SUM(IF(A69=KHC,TH))</f>
        <v>2174500460</v>
      </c>
      <c r="G69" s="41">
        <f>MAX(C69+E69-D69-F69,0)</f>
        <v>0</v>
      </c>
      <c r="H69" s="41">
        <f>MAX(D69+F69-E69-C69,0)</f>
        <v>0</v>
      </c>
      <c r="I69" s="31">
        <f t="shared" si="19"/>
        <v>0</v>
      </c>
    </row>
    <row r="70" spans="1:9" s="31" customFormat="1" ht="14.25" customHeight="1">
      <c r="A70" s="1211" t="s">
        <v>2404</v>
      </c>
      <c r="B70" s="1212" t="s">
        <v>2405</v>
      </c>
      <c r="C70" s="911">
        <v>0</v>
      </c>
      <c r="D70" s="911">
        <v>0</v>
      </c>
      <c r="E70" s="1346">
        <f>E69</f>
        <v>2174500460</v>
      </c>
      <c r="F70" s="911">
        <f>F69</f>
        <v>2174500460</v>
      </c>
      <c r="G70" s="44">
        <f>MAX(C70+E70-D70-F70,0)</f>
        <v>0</v>
      </c>
      <c r="H70" s="44">
        <f>MAX(D70+F70-E70-C70,0)</f>
        <v>0</v>
      </c>
      <c r="I70" s="31">
        <f t="shared" si="19"/>
        <v>0</v>
      </c>
    </row>
    <row r="71" spans="1:9" s="31" customFormat="1" ht="12.75" customHeight="1">
      <c r="A71" s="42" t="s">
        <v>284</v>
      </c>
      <c r="B71" s="43" t="s">
        <v>285</v>
      </c>
      <c r="C71" s="912">
        <v>0</v>
      </c>
      <c r="D71" s="912">
        <v>0</v>
      </c>
      <c r="E71" s="1347">
        <f t="array" ref="E71">SUM(IF(A71=KHN,TH))</f>
        <v>419138413056</v>
      </c>
      <c r="F71" s="912">
        <f t="array" ref="F71">SUM(IF(A71=KHC,TH))</f>
        <v>419138413056</v>
      </c>
      <c r="G71" s="44"/>
      <c r="H71" s="44"/>
      <c r="I71" s="31">
        <f t="shared" si="19"/>
        <v>0</v>
      </c>
    </row>
    <row r="72" spans="1:9" s="31" customFormat="1" ht="12.75" customHeight="1">
      <c r="A72" s="42" t="s">
        <v>99</v>
      </c>
      <c r="B72" s="43" t="s">
        <v>100</v>
      </c>
      <c r="C72" s="912">
        <v>0</v>
      </c>
      <c r="D72" s="912">
        <v>0</v>
      </c>
      <c r="E72" s="1347">
        <f t="array" ref="E72">SUM(IF(A72=KHN,TH))</f>
        <v>1998706118</v>
      </c>
      <c r="F72" s="912">
        <f t="array" ref="F72">SUM(IF(A72=KHC,TH))</f>
        <v>1998706118</v>
      </c>
      <c r="G72" s="44"/>
      <c r="H72" s="44"/>
      <c r="I72" s="31">
        <f t="shared" si="19"/>
        <v>0</v>
      </c>
    </row>
    <row r="73" spans="1:9" s="31" customFormat="1" ht="12.75" customHeight="1">
      <c r="A73" s="46" t="s">
        <v>539</v>
      </c>
      <c r="B73" s="43" t="s">
        <v>736</v>
      </c>
      <c r="C73" s="912">
        <v>0</v>
      </c>
      <c r="D73" s="912">
        <v>0</v>
      </c>
      <c r="E73" s="1347">
        <f t="array" ref="E73">SUM(IF(A73=KHN,TH))</f>
        <v>8997030420</v>
      </c>
      <c r="F73" s="912">
        <f t="array" ref="F73">SUM(IF(A73=KHC,TH))</f>
        <v>8997030420</v>
      </c>
      <c r="G73" s="44"/>
      <c r="H73" s="44"/>
      <c r="I73" s="31">
        <f t="shared" si="19"/>
        <v>0</v>
      </c>
    </row>
    <row r="74" spans="1:9" s="31" customFormat="1" ht="12.75" customHeight="1">
      <c r="A74" s="42" t="s">
        <v>101</v>
      </c>
      <c r="B74" s="43" t="s">
        <v>102</v>
      </c>
      <c r="C74" s="912">
        <v>0</v>
      </c>
      <c r="D74" s="912">
        <v>0</v>
      </c>
      <c r="E74" s="1347">
        <f t="array" ref="E74">SUM(IF(A74=KHN,TH))</f>
        <v>1264269806</v>
      </c>
      <c r="F74" s="912">
        <f t="array" ref="F74">SUM(IF(A74=KHC,TH))</f>
        <v>1264269806</v>
      </c>
      <c r="G74" s="44"/>
      <c r="H74" s="44"/>
      <c r="I74" s="31">
        <f t="shared" si="19"/>
        <v>0</v>
      </c>
    </row>
    <row r="75" spans="1:9" s="31" customFormat="1" ht="12.75" customHeight="1">
      <c r="A75" s="46" t="s">
        <v>103</v>
      </c>
      <c r="B75" s="43" t="s">
        <v>104</v>
      </c>
      <c r="C75" s="912">
        <v>0</v>
      </c>
      <c r="D75" s="912">
        <v>0</v>
      </c>
      <c r="E75" s="1347">
        <f t="array" ref="E75">SUM(IF(A75=KHN,TH))</f>
        <v>859463</v>
      </c>
      <c r="F75" s="912">
        <f t="array" ref="F75">SUM(IF(A75=KHC,TH))</f>
        <v>859463</v>
      </c>
      <c r="G75" s="44"/>
      <c r="H75" s="44"/>
      <c r="I75" s="31">
        <f t="shared" si="19"/>
        <v>0</v>
      </c>
    </row>
    <row r="76" spans="1:9" s="31" customFormat="1" ht="12.75" customHeight="1">
      <c r="A76" s="42" t="s">
        <v>105</v>
      </c>
      <c r="B76" s="43" t="s">
        <v>106</v>
      </c>
      <c r="C76" s="912">
        <v>0</v>
      </c>
      <c r="D76" s="912">
        <v>0</v>
      </c>
      <c r="E76" s="1347">
        <f t="array" ref="E76">SUM(IF(A76=KHN,TH))</f>
        <v>25647756</v>
      </c>
      <c r="F76" s="912">
        <f t="array" ref="F76">SUM(IF(A76=KHC,TH))</f>
        <v>25647756</v>
      </c>
      <c r="G76" s="44"/>
      <c r="H76" s="44"/>
      <c r="I76" s="31">
        <f t="shared" si="19"/>
        <v>0</v>
      </c>
    </row>
    <row r="77" spans="1:9" s="31" customFormat="1" ht="12.75" customHeight="1">
      <c r="A77" s="46" t="s">
        <v>107</v>
      </c>
      <c r="B77" s="43" t="s">
        <v>108</v>
      </c>
      <c r="C77" s="912">
        <v>0</v>
      </c>
      <c r="D77" s="912">
        <v>0</v>
      </c>
      <c r="E77" s="1347">
        <f t="array" ref="E77">SUM(IF(A77=KHN,TH))</f>
        <v>0</v>
      </c>
      <c r="F77" s="912">
        <f t="array" ref="F77">SUM(IF(A77=KHC,TH))</f>
        <v>0</v>
      </c>
      <c r="G77" s="44"/>
      <c r="H77" s="44"/>
      <c r="I77" s="31">
        <f t="shared" si="19"/>
        <v>0</v>
      </c>
    </row>
    <row r="78" spans="1:9" s="31" customFormat="1">
      <c r="A78" s="42" t="s">
        <v>109</v>
      </c>
      <c r="B78" s="43" t="s">
        <v>110</v>
      </c>
      <c r="C78" s="915">
        <v>0</v>
      </c>
      <c r="D78" s="915">
        <v>0</v>
      </c>
      <c r="E78" s="1350">
        <f t="array" ref="E78">SUM(IF(A78=KHN,TH))</f>
        <v>429249566696</v>
      </c>
      <c r="F78" s="915">
        <f t="array" ref="F78">SUM(IF(A78=TH!$O$10:$O$5713,TH!$M$10:$M$5713))</f>
        <v>429429509002</v>
      </c>
      <c r="G78" s="44"/>
      <c r="H78" s="44"/>
      <c r="I78" s="31">
        <f t="shared" si="19"/>
        <v>-179942306</v>
      </c>
    </row>
    <row r="79" spans="1:9" s="31" customFormat="1">
      <c r="A79" s="50" t="s">
        <v>111</v>
      </c>
      <c r="B79" s="50"/>
      <c r="C79" s="1355">
        <f>C11+C14+C17+C19+C21+C22+C25+C26+C27+C28+C32+C34+C37+C39+C40+C48+C50+C55+C58+C60+C63+C67+C68+C71+C72+C73+C74+C75+C76+C77+C78+C70+C16</f>
        <v>84345780325</v>
      </c>
      <c r="D79" s="1355">
        <f t="shared" ref="D79:H79" si="20">D11+D14+D17+D19+D21+D22+D25+D26+D27+D28+D32+D34+D37+D39+D40+D48+D50+D55+D58+D60+D63+D67+D68+D71+D72+D73+D74+D75+D76+D77+D78+D70+D16</f>
        <v>84345780325</v>
      </c>
      <c r="E79" s="1354">
        <f t="shared" si="20"/>
        <v>4768532137412</v>
      </c>
      <c r="F79" s="1355">
        <f t="shared" si="20"/>
        <v>4768532137412</v>
      </c>
      <c r="G79" s="1355">
        <f t="shared" si="20"/>
        <v>128014054105</v>
      </c>
      <c r="H79" s="1355">
        <f t="shared" si="20"/>
        <v>127834111799</v>
      </c>
    </row>
    <row r="80" spans="1:9">
      <c r="E80" s="1351"/>
      <c r="F80" s="51"/>
    </row>
    <row r="81" spans="5:8">
      <c r="E81" s="1352"/>
      <c r="F81" s="51">
        <f>E79-F79</f>
        <v>0</v>
      </c>
      <c r="H81" s="51">
        <f>H79-G79</f>
        <v>-179942306</v>
      </c>
    </row>
    <row r="82" spans="5:8">
      <c r="E82" s="1353"/>
      <c r="F82" s="52"/>
    </row>
    <row r="83" spans="5:8">
      <c r="E83" s="1353"/>
      <c r="F83" s="52"/>
    </row>
  </sheetData>
  <pageMargins left="0.16" right="0.16"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sheetPr>
  <dimension ref="A1:AG5719"/>
  <sheetViews>
    <sheetView topLeftCell="A7" workbookViewId="0">
      <pane ySplit="3" topLeftCell="A10" activePane="bottomLeft" state="frozen"/>
      <selection activeCell="P41" sqref="P41"/>
      <selection pane="bottomLeft" activeCell="M22" sqref="M22:M23"/>
    </sheetView>
  </sheetViews>
  <sheetFormatPr defaultColWidth="8.140625" defaultRowHeight="12.75"/>
  <cols>
    <col min="1" max="1" width="4.7109375" style="1053" customWidth="1"/>
    <col min="2" max="2" width="4.28515625" customWidth="1"/>
    <col min="3" max="3" width="9.140625" customWidth="1"/>
    <col min="4" max="4" width="7.42578125" customWidth="1"/>
    <col min="5" max="5" width="9.140625" customWidth="1"/>
    <col min="6" max="6" width="33.28515625" customWidth="1"/>
    <col min="7" max="7" width="16" customWidth="1"/>
    <col min="8" max="8" width="37" customWidth="1"/>
    <col min="9" max="9" width="13.85546875" customWidth="1"/>
    <col min="10" max="10" width="11.42578125" customWidth="1"/>
    <col min="11" max="11" width="10.5703125" customWidth="1"/>
    <col min="12" max="12" width="9.7109375" customWidth="1"/>
    <col min="13" max="13" width="15.5703125" customWidth="1"/>
    <col min="14" max="15" width="6.5703125" customWidth="1"/>
    <col min="16" max="23" width="3.85546875" hidden="1" customWidth="1"/>
    <col min="24" max="24" width="4.85546875" hidden="1" customWidth="1"/>
    <col min="25" max="30" width="3.85546875" hidden="1" customWidth="1"/>
    <col min="31" max="31" width="5.28515625" customWidth="1"/>
    <col min="32" max="32" width="15" bestFit="1" customWidth="1"/>
    <col min="33" max="33" width="12" bestFit="1" customWidth="1"/>
  </cols>
  <sheetData>
    <row r="1" spans="1:30">
      <c r="A1" s="310"/>
      <c r="B1" s="53"/>
      <c r="C1" s="921" t="s">
        <v>121</v>
      </c>
      <c r="D1" s="54"/>
      <c r="E1" s="918"/>
      <c r="F1" s="55"/>
      <c r="G1" s="740"/>
      <c r="H1" s="78"/>
      <c r="I1" s="1160"/>
      <c r="J1" s="78"/>
      <c r="K1" s="78"/>
      <c r="L1" s="78"/>
      <c r="M1" s="64"/>
      <c r="N1" s="56"/>
      <c r="O1" s="56"/>
      <c r="P1" s="56"/>
      <c r="Q1" s="56"/>
      <c r="R1" s="56"/>
      <c r="S1" s="56"/>
      <c r="T1" s="56"/>
      <c r="U1" s="56"/>
      <c r="V1" s="56"/>
      <c r="W1" s="56"/>
      <c r="X1" s="56"/>
      <c r="Y1" s="56"/>
      <c r="Z1" s="304"/>
      <c r="AA1" s="56"/>
      <c r="AB1" s="56"/>
      <c r="AC1" s="56"/>
      <c r="AD1" s="56"/>
    </row>
    <row r="2" spans="1:30">
      <c r="A2" s="310"/>
      <c r="B2" s="53"/>
      <c r="C2" s="921" t="s">
        <v>122</v>
      </c>
      <c r="D2" s="54"/>
      <c r="E2" s="918"/>
      <c r="F2" s="54"/>
      <c r="G2" s="740"/>
      <c r="H2" s="79"/>
      <c r="I2" s="1161"/>
      <c r="J2" s="79"/>
      <c r="K2" s="79"/>
      <c r="L2" s="79"/>
      <c r="M2" s="64"/>
      <c r="N2" s="56"/>
      <c r="O2" s="56"/>
      <c r="P2" s="56"/>
      <c r="Q2" s="56"/>
      <c r="R2" s="56"/>
      <c r="S2" s="56"/>
      <c r="T2" s="56"/>
      <c r="U2" s="56"/>
      <c r="V2" s="56"/>
      <c r="W2" s="56"/>
      <c r="X2" s="56"/>
      <c r="Y2" s="56"/>
      <c r="Z2" s="304"/>
      <c r="AA2" s="56"/>
      <c r="AB2" s="56"/>
      <c r="AC2" s="56"/>
      <c r="AD2" s="56"/>
    </row>
    <row r="3" spans="1:30">
      <c r="A3" s="310"/>
      <c r="B3" s="54"/>
      <c r="C3" s="918"/>
      <c r="D3" s="54"/>
      <c r="E3" s="918"/>
      <c r="F3" s="54"/>
      <c r="G3" s="740"/>
      <c r="H3" s="79"/>
      <c r="I3" s="1161"/>
      <c r="J3" s="79"/>
      <c r="K3" s="79"/>
      <c r="L3" s="79"/>
      <c r="M3" s="63"/>
      <c r="N3" s="57"/>
      <c r="O3" s="57"/>
      <c r="P3" s="57"/>
      <c r="Q3" s="57"/>
      <c r="R3" s="57"/>
      <c r="S3" s="57"/>
      <c r="T3" s="57"/>
      <c r="U3" s="57"/>
      <c r="V3" s="57"/>
      <c r="W3" s="57"/>
      <c r="X3" s="57"/>
      <c r="Y3" s="57"/>
      <c r="Z3" s="304"/>
      <c r="AA3" s="57"/>
      <c r="AB3" s="57"/>
      <c r="AC3" s="57"/>
      <c r="AD3" s="57"/>
    </row>
    <row r="4" spans="1:30" ht="22.5">
      <c r="A4" s="310"/>
      <c r="B4" s="64"/>
      <c r="C4" s="1387" t="s">
        <v>112</v>
      </c>
      <c r="D4" s="1388"/>
      <c r="E4" s="1387"/>
      <c r="F4" s="1388"/>
      <c r="G4" s="1388"/>
      <c r="H4" s="1388"/>
      <c r="I4" s="1388"/>
      <c r="J4" s="1388"/>
      <c r="K4" s="1388"/>
      <c r="L4" s="1388"/>
      <c r="M4" s="1388"/>
      <c r="N4" s="1388"/>
      <c r="O4" s="1388"/>
      <c r="P4" s="304"/>
      <c r="Q4" s="304"/>
      <c r="R4" s="304"/>
      <c r="S4" s="304"/>
      <c r="T4" s="304"/>
      <c r="U4" s="304"/>
      <c r="V4" s="304"/>
      <c r="W4" s="304"/>
      <c r="X4" s="304"/>
      <c r="Y4" s="304"/>
      <c r="Z4" s="304"/>
      <c r="AA4" s="304"/>
      <c r="AB4" s="304"/>
      <c r="AC4" s="304"/>
      <c r="AD4" s="304"/>
    </row>
    <row r="5" spans="1:30" ht="14.25">
      <c r="A5" s="310"/>
      <c r="B5" s="64"/>
      <c r="C5" s="1389"/>
      <c r="D5" s="1390"/>
      <c r="E5" s="1389"/>
      <c r="F5" s="1390"/>
      <c r="G5" s="1390"/>
      <c r="H5" s="1390"/>
      <c r="I5" s="1390"/>
      <c r="J5" s="1390"/>
      <c r="K5" s="1390"/>
      <c r="L5" s="1390"/>
      <c r="M5" s="1390"/>
      <c r="N5" s="1390"/>
      <c r="O5" s="1390"/>
      <c r="P5" s="304"/>
      <c r="Q5" s="304"/>
      <c r="R5" s="304"/>
      <c r="S5" s="304"/>
      <c r="T5" s="304"/>
      <c r="U5" s="304"/>
      <c r="V5" s="304"/>
      <c r="W5" s="304"/>
      <c r="X5" s="304"/>
      <c r="Y5" s="304"/>
      <c r="Z5" s="304"/>
      <c r="AA5" s="304"/>
      <c r="AB5" s="304"/>
      <c r="AC5" s="304"/>
      <c r="AD5" s="304"/>
    </row>
    <row r="6" spans="1:30">
      <c r="A6" s="310"/>
      <c r="B6" s="64"/>
      <c r="C6" s="919"/>
      <c r="D6" s="64"/>
      <c r="E6" s="919"/>
      <c r="F6" s="64"/>
      <c r="G6" s="53"/>
      <c r="H6" s="65"/>
      <c r="I6" s="1162"/>
      <c r="J6" s="65"/>
      <c r="K6" s="65"/>
      <c r="L6" s="65"/>
      <c r="M6" s="64"/>
      <c r="N6" s="56"/>
      <c r="O6" s="56"/>
      <c r="P6" s="56"/>
      <c r="Q6" s="56"/>
      <c r="R6" s="56"/>
      <c r="S6" s="56"/>
      <c r="T6" s="56"/>
      <c r="U6" s="56"/>
      <c r="V6" s="56"/>
      <c r="W6" s="56"/>
      <c r="X6" s="56"/>
      <c r="Y6" s="56"/>
      <c r="Z6" s="304"/>
      <c r="AA6" s="56"/>
      <c r="AB6" s="56"/>
      <c r="AC6" s="56"/>
      <c r="AD6" s="56"/>
    </row>
    <row r="7" spans="1:30" ht="24.75" customHeight="1">
      <c r="A7" s="1367" t="s">
        <v>140</v>
      </c>
      <c r="B7" s="1369" t="s">
        <v>123</v>
      </c>
      <c r="C7" s="1391" t="s">
        <v>22</v>
      </c>
      <c r="D7" s="1392" t="s">
        <v>1</v>
      </c>
      <c r="E7" s="1393"/>
      <c r="F7" s="1372" t="s">
        <v>1096</v>
      </c>
      <c r="G7" s="1395" t="s">
        <v>139</v>
      </c>
      <c r="H7" s="1371" t="s">
        <v>47</v>
      </c>
      <c r="I7" s="1385" t="s">
        <v>528</v>
      </c>
      <c r="J7" s="1386"/>
      <c r="K7" s="1372" t="s">
        <v>255</v>
      </c>
      <c r="L7" s="1372"/>
      <c r="M7" s="1372" t="s">
        <v>254</v>
      </c>
      <c r="N7" s="1394" t="s">
        <v>114</v>
      </c>
      <c r="O7" s="1394"/>
      <c r="P7" s="1377" t="s">
        <v>8</v>
      </c>
      <c r="Q7" s="1379" t="s">
        <v>63</v>
      </c>
      <c r="R7" s="1380"/>
      <c r="S7" s="1381"/>
      <c r="T7" s="1379" t="s">
        <v>67</v>
      </c>
      <c r="U7" s="1380"/>
      <c r="V7" s="1381"/>
      <c r="W7" s="1377" t="s">
        <v>42</v>
      </c>
      <c r="X7" s="1375" t="str">
        <f>CTTK!$E$7</f>
        <v>141</v>
      </c>
      <c r="Y7" s="1375" t="s">
        <v>536</v>
      </c>
      <c r="Z7" s="1373" t="s">
        <v>222</v>
      </c>
      <c r="AA7" s="1379" t="s">
        <v>268</v>
      </c>
      <c r="AB7" s="1380"/>
      <c r="AC7" s="1380"/>
      <c r="AD7" s="1381"/>
    </row>
    <row r="8" spans="1:30" ht="24.75" customHeight="1">
      <c r="A8" s="1368"/>
      <c r="B8" s="1370"/>
      <c r="C8" s="1391"/>
      <c r="D8" s="906" t="s">
        <v>17</v>
      </c>
      <c r="E8" s="953" t="s">
        <v>34</v>
      </c>
      <c r="F8" s="1372"/>
      <c r="G8" s="1396"/>
      <c r="H8" s="1371"/>
      <c r="I8" s="1163" t="s">
        <v>433</v>
      </c>
      <c r="J8" s="956" t="s">
        <v>434</v>
      </c>
      <c r="K8" s="954" t="s">
        <v>261</v>
      </c>
      <c r="L8" s="954" t="s">
        <v>259</v>
      </c>
      <c r="M8" s="1372"/>
      <c r="N8" s="955" t="s">
        <v>24</v>
      </c>
      <c r="O8" s="955" t="s">
        <v>25</v>
      </c>
      <c r="P8" s="1378"/>
      <c r="Q8" s="1382"/>
      <c r="R8" s="1383"/>
      <c r="S8" s="1384"/>
      <c r="T8" s="1382"/>
      <c r="U8" s="1383"/>
      <c r="V8" s="1384"/>
      <c r="W8" s="1378"/>
      <c r="X8" s="1376"/>
      <c r="Y8" s="1376"/>
      <c r="Z8" s="1374"/>
      <c r="AA8" s="1382"/>
      <c r="AB8" s="1383"/>
      <c r="AC8" s="1383"/>
      <c r="AD8" s="1384"/>
    </row>
    <row r="9" spans="1:30">
      <c r="A9" s="963">
        <v>1</v>
      </c>
      <c r="B9" s="964">
        <v>2</v>
      </c>
      <c r="C9" s="964">
        <v>3</v>
      </c>
      <c r="D9" s="964">
        <v>4</v>
      </c>
      <c r="E9" s="964">
        <v>5</v>
      </c>
      <c r="F9" s="964">
        <v>6</v>
      </c>
      <c r="G9" s="965" t="s">
        <v>484</v>
      </c>
      <c r="H9" s="964">
        <v>8</v>
      </c>
      <c r="I9" s="1164">
        <v>9</v>
      </c>
      <c r="J9" s="964">
        <v>10</v>
      </c>
      <c r="K9" s="966">
        <v>11</v>
      </c>
      <c r="L9" s="964">
        <v>12</v>
      </c>
      <c r="M9" s="966">
        <v>13</v>
      </c>
      <c r="N9" s="964">
        <v>14</v>
      </c>
      <c r="O9" s="966">
        <v>15</v>
      </c>
      <c r="P9" s="964">
        <v>16</v>
      </c>
      <c r="Q9" s="966">
        <v>17</v>
      </c>
      <c r="R9" s="964">
        <v>18</v>
      </c>
      <c r="S9" s="966">
        <v>19</v>
      </c>
      <c r="T9" s="964">
        <v>20</v>
      </c>
      <c r="U9" s="964"/>
      <c r="V9" s="964"/>
      <c r="W9" s="964">
        <v>26</v>
      </c>
      <c r="X9" s="966">
        <v>27</v>
      </c>
      <c r="Y9" s="966"/>
      <c r="Z9" s="964">
        <v>24</v>
      </c>
      <c r="AA9" s="964">
        <v>19</v>
      </c>
      <c r="AB9" s="964">
        <v>20</v>
      </c>
      <c r="AC9" s="964"/>
      <c r="AD9" s="964">
        <v>21</v>
      </c>
    </row>
    <row r="10" spans="1:30" ht="16.5" customHeight="1">
      <c r="A10" s="309" t="str">
        <f>IF(B10&lt;&gt;"",IF(AND(B10='IN-TC'!$S$4,OR(TH!N10="1111",TH!O10="1111")),TH!D10,""),"")</f>
        <v/>
      </c>
      <c r="B10" s="1159">
        <f t="shared" ref="B10:B101" si="0">IF(C10&lt;&gt;"",MONTH(C10),"")</f>
        <v>12</v>
      </c>
      <c r="C10" s="71">
        <f>E10</f>
        <v>43100</v>
      </c>
      <c r="D10" s="71" t="s">
        <v>115</v>
      </c>
      <c r="E10" s="71">
        <v>43100</v>
      </c>
      <c r="F10" s="72" t="s">
        <v>210</v>
      </c>
      <c r="G10" s="72"/>
      <c r="H10" s="73"/>
      <c r="I10" s="371"/>
      <c r="J10" s="377"/>
      <c r="K10" s="371"/>
      <c r="L10" s="377"/>
      <c r="M10" s="74">
        <f>CDPS!D62</f>
        <v>29602046</v>
      </c>
      <c r="N10" s="75" t="s">
        <v>94</v>
      </c>
      <c r="O10" s="75" t="s">
        <v>92</v>
      </c>
      <c r="P10" s="75" t="str">
        <f>IF(AND('331-CT'!$E$7=TH!H10,OR(N10="331",O10="331")),"x","")</f>
        <v/>
      </c>
      <c r="Q10" s="75" t="str">
        <f>IF(AND(B10='111'!$L$11,OR($N10=$Q$7,$O10=$Q$7)),"x","")</f>
        <v/>
      </c>
      <c r="R10" s="75" t="str">
        <f>IF(AND($N10=$Q$7,$B10&lt;'111'!$L$11),"x","")</f>
        <v/>
      </c>
      <c r="S10" s="75" t="str">
        <f>IF(AND($O10=$Q$7,$B10&lt;'111'!$L$11),"x","")</f>
        <v/>
      </c>
      <c r="T10" s="75" t="str">
        <f>IF(ISERROR(FIND('112'!$M$9,G10,1)),"",IF((AND(FIND('112'!$M$9,G10,1)&gt;=1,B10='112'!$K$9,OR($N10='112'!$I$6,$O10='112'!$I$6))),"x",""))</f>
        <v/>
      </c>
      <c r="U10" s="75" t="str">
        <f>IF(ISERROR(FIND('112'!$M$9,G10,1)),"",IF((AND(LEFT(G10,2)=LEFT('112'!$M$9,2),B10&lt;'112'!$K$9,$N10='112'!$I$6)),"x",""))</f>
        <v/>
      </c>
      <c r="V10" s="75" t="str">
        <f>IF(ISERROR(FIND('112'!$M$9,G10,1)),"",IF((AND(RIGHT(G10,2)=RIGHT('112'!$M$9,2),B10&lt;'112'!$K$9,$O10='112'!$I$6)),"x",""))</f>
        <v/>
      </c>
      <c r="W10" s="75" t="str">
        <f>IF(AND('341-CT'!$H$9=H10,OR(LEFT(N10,3)=$W$7,LEFT(O10,3)=$W$7)),"x","")</f>
        <v/>
      </c>
      <c r="X10" s="75" t="str">
        <f>IF(OR(TH!N10=TH!$X$7,O10=TH!$X$7),"x","")</f>
        <v/>
      </c>
      <c r="Y10" s="75" t="str">
        <f>IF(AND(OR(N10="131",O10="131"),H10='131-CT'!$H$9),"x","")</f>
        <v/>
      </c>
      <c r="Z10" s="75"/>
      <c r="AA10" s="75" t="str">
        <f>IF(AND(MONTH(E10)='IN-NX'!$J$5,'IN-NX'!$D$7=D10),"x","")</f>
        <v/>
      </c>
      <c r="AB10" s="75" t="str">
        <f>IF(AND(OR(LEFT(TH!N10,2)="15",LEFT(TH!O10,2)="15"),LEFT(TH!O10,3)&lt;&gt;"111",'152-CT'!$J$8=TH!F10),"x","")</f>
        <v/>
      </c>
      <c r="AC10" s="75" t="str">
        <f>IF(AND(OR(LEFT(TH!N10,2)="15",LEFT(TH!O10,2)="15"),TK!$E$7=TH!F10),"x","")</f>
        <v/>
      </c>
      <c r="AD10" s="75" t="str">
        <f>IF(AND(N10="1521",MONTH(C10)='BK-NL'!$M$11),"x","")</f>
        <v/>
      </c>
    </row>
    <row r="11" spans="1:30" ht="16.5" customHeight="1">
      <c r="A11" s="309" t="str">
        <f>IF(B11&lt;&gt;"",IF(AND(B11='IN-TC'!$S$4,OR(TH!N11="1111",TH!O11="1111")),TH!D11,""),"")</f>
        <v/>
      </c>
      <c r="B11" s="1159">
        <f t="shared" ref="B11" si="1">IF(C11&lt;&gt;"",MONTH(C11),"")</f>
        <v>12</v>
      </c>
      <c r="C11" s="71">
        <f t="shared" ref="C11:C23" si="2">E11</f>
        <v>43100</v>
      </c>
      <c r="D11" s="71" t="s">
        <v>115</v>
      </c>
      <c r="E11" s="71">
        <v>43100</v>
      </c>
      <c r="F11" s="72" t="s">
        <v>590</v>
      </c>
      <c r="G11" s="72"/>
      <c r="H11" s="73"/>
      <c r="I11" s="371"/>
      <c r="J11" s="377"/>
      <c r="K11" s="371"/>
      <c r="L11" s="377"/>
      <c r="M11" s="74">
        <f>SUMIF(KHC,N11,TH)</f>
        <v>685250850</v>
      </c>
      <c r="N11" s="75" t="s">
        <v>595</v>
      </c>
      <c r="O11" s="75" t="s">
        <v>9</v>
      </c>
      <c r="P11" s="75" t="str">
        <f>IF(AND('331-CT'!$E$7=TH!H11,OR(N11="331",O11="331")),"x","")</f>
        <v/>
      </c>
      <c r="Q11" s="75" t="str">
        <f>IF(AND(B11='111'!$L$11,OR($N11=$Q$7,$O11=$Q$7)),"x","")</f>
        <v/>
      </c>
      <c r="R11" s="75" t="str">
        <f>IF(AND($N11=$Q$7,$B11&lt;'111'!$L$11),"x","")</f>
        <v/>
      </c>
      <c r="S11" s="75" t="str">
        <f>IF(AND($O11=$Q$7,$B11&lt;'111'!$L$11),"x","")</f>
        <v/>
      </c>
      <c r="T11" s="75" t="str">
        <f>IF(ISERROR(FIND('112'!$M$9,G11,1)),"",IF((AND(FIND('112'!$M$9,G11,1)&gt;=1,B11='112'!$K$9,OR($N11='112'!$I$6,$O11='112'!$I$6))),"x",""))</f>
        <v/>
      </c>
      <c r="U11" s="75" t="str">
        <f>IF(ISERROR(FIND('112'!$M$9,G11,1)),"",IF((AND(LEFT(G11,2)=LEFT('112'!$M$9,2),B11&lt;'112'!$K$9,$N11='112'!$I$6)),"x",""))</f>
        <v/>
      </c>
      <c r="V11" s="75" t="str">
        <f>IF(ISERROR(FIND('112'!$M$9,G11,1)),"",IF((AND(RIGHT(G11,2)=RIGHT('112'!$M$9,2),B11&lt;'112'!$K$9,$O11='112'!$I$6)),"x",""))</f>
        <v/>
      </c>
      <c r="W11" s="75" t="str">
        <f>IF(AND('341-CT'!$H$9=H11,OR(LEFT(N11,3)=$W$7,LEFT(O11,3)=$W$7)),"x","")</f>
        <v/>
      </c>
      <c r="X11" s="75" t="str">
        <f>IF(OR(TH!N11=TH!$X$7,O11=TH!$X$7),"x","")</f>
        <v/>
      </c>
      <c r="Y11" s="75" t="str">
        <f>IF(AND(OR(N11="131",O11="131"),H11='131-CT'!$H$9),"x","")</f>
        <v/>
      </c>
      <c r="Z11" s="75"/>
      <c r="AA11" s="75" t="str">
        <f>IF(AND(MONTH(E11)='IN-NX'!$J$5,'IN-NX'!$D$7=D11),"x","")</f>
        <v/>
      </c>
      <c r="AB11" s="75" t="str">
        <f>IF(AND(OR(LEFT(TH!N11,2)="15",LEFT(TH!O11,2)="15"),LEFT(TH!O11,3)&lt;&gt;"111",'152-CT'!$J$8=TH!F11),"x","")</f>
        <v/>
      </c>
      <c r="AC11" s="75" t="str">
        <f>IF(AND(OR(LEFT(TH!N11,2)="15",LEFT(TH!O11,2)="15"),TK!$E$7=TH!F11),"x","")</f>
        <v/>
      </c>
      <c r="AD11" s="75" t="str">
        <f>IF(AND(N11="1521",MONTH(C11)='BK-NL'!$M$11),"x","")</f>
        <v/>
      </c>
    </row>
    <row r="12" spans="1:30" ht="16.5" customHeight="1">
      <c r="A12" s="309" t="str">
        <f>IF(B12&lt;&gt;"",IF(AND(B12='IN-TC'!$S$4,OR(TH!N12="1111",TH!O12="1111")),TH!D12,""),"")</f>
        <v/>
      </c>
      <c r="B12" s="1159">
        <f t="shared" si="0"/>
        <v>12</v>
      </c>
      <c r="C12" s="71">
        <f t="shared" si="2"/>
        <v>43100</v>
      </c>
      <c r="D12" s="71" t="s">
        <v>115</v>
      </c>
      <c r="E12" s="71">
        <v>43100</v>
      </c>
      <c r="F12" s="72" t="s">
        <v>591</v>
      </c>
      <c r="G12" s="72"/>
      <c r="H12" s="73"/>
      <c r="I12" s="371"/>
      <c r="J12" s="377"/>
      <c r="K12" s="371"/>
      <c r="L12" s="377"/>
      <c r="M12" s="74">
        <f>SUMIF(KHN,O12,TH)-2174500460</f>
        <v>416963912596</v>
      </c>
      <c r="N12" s="75" t="s">
        <v>109</v>
      </c>
      <c r="O12" s="75" t="s">
        <v>284</v>
      </c>
      <c r="P12" s="75" t="str">
        <f>IF(AND('331-CT'!$E$7=TH!H12,OR(N12="331",O12="331")),"x","")</f>
        <v/>
      </c>
      <c r="Q12" s="75" t="str">
        <f>IF(AND(B12='111'!$L$11,OR($N12=$Q$7,$O12=$Q$7)),"x","")</f>
        <v/>
      </c>
      <c r="R12" s="75" t="str">
        <f>IF(AND($N12=$Q$7,$B12&lt;'111'!$L$11),"x","")</f>
        <v/>
      </c>
      <c r="S12" s="75" t="str">
        <f>IF(AND($O12=$Q$7,$B12&lt;'111'!$L$11),"x","")</f>
        <v/>
      </c>
      <c r="T12" s="75" t="str">
        <f>IF(ISERROR(FIND('112'!$M$9,G12,1)),"",IF((AND(FIND('112'!$M$9,G12,1)&gt;=1,B12='112'!$K$9,OR($N12='112'!$I$6,$O12='112'!$I$6))),"x",""))</f>
        <v/>
      </c>
      <c r="U12" s="75" t="str">
        <f>IF(ISERROR(FIND('112'!$M$9,G12,1)),"",IF((AND(LEFT(G12,2)=LEFT('112'!$M$9,2),B12&lt;'112'!$K$9,$N12='112'!$I$6)),"x",""))</f>
        <v/>
      </c>
      <c r="V12" s="75" t="str">
        <f>IF(ISERROR(FIND('112'!$M$9,G12,1)),"",IF((AND(RIGHT(G12,2)=RIGHT('112'!$M$9,2),B12&lt;'112'!$K$9,$O12='112'!$I$6)),"x",""))</f>
        <v/>
      </c>
      <c r="W12" s="75" t="str">
        <f>IF(AND('341-CT'!$H$9=H12,OR(LEFT(N12,3)=$W$7,LEFT(O12,3)=$W$7)),"x","")</f>
        <v/>
      </c>
      <c r="X12" s="75" t="str">
        <f>IF(OR(TH!N12=TH!$X$7,O12=TH!$X$7),"x","")</f>
        <v/>
      </c>
      <c r="Y12" s="75" t="str">
        <f>IF(AND(OR(N12="131",O12="131"),H12='131-CT'!$H$9),"x","")</f>
        <v/>
      </c>
      <c r="Z12" s="75"/>
      <c r="AA12" s="75" t="str">
        <f>IF(AND(MONTH(E12)='IN-NX'!$J$5,'IN-NX'!$D$7=D12),"x","")</f>
        <v/>
      </c>
      <c r="AB12" s="75" t="str">
        <f>IF(AND(OR(LEFT(TH!N12,2)="15",LEFT(TH!O12,2)="15"),LEFT(TH!O12,3)&lt;&gt;"111",'152-CT'!$J$8=TH!F12),"x","")</f>
        <v/>
      </c>
      <c r="AC12" s="75" t="str">
        <f>IF(AND(OR(LEFT(TH!N12,2)="15",LEFT(TH!O12,2)="15"),TK!$E$7=TH!F12),"x","")</f>
        <v/>
      </c>
      <c r="AD12" s="75" t="str">
        <f>IF(AND(N12="1521",MONTH(C12)='BK-NL'!$M$11),"x","")</f>
        <v/>
      </c>
    </row>
    <row r="13" spans="1:30" ht="16.5" customHeight="1">
      <c r="A13" s="309" t="str">
        <f>IF(B13&lt;&gt;"",IF(AND(B13='IN-TC'!$S$4,OR(TH!N13="1111",TH!O13="1111")),TH!D13,""),"")</f>
        <v/>
      </c>
      <c r="B13" s="1159">
        <f t="shared" si="0"/>
        <v>12</v>
      </c>
      <c r="C13" s="71">
        <f t="shared" si="2"/>
        <v>43100</v>
      </c>
      <c r="D13" s="71" t="s">
        <v>115</v>
      </c>
      <c r="E13" s="71">
        <v>43100</v>
      </c>
      <c r="F13" s="72" t="s">
        <v>116</v>
      </c>
      <c r="G13" s="72"/>
      <c r="H13" s="76"/>
      <c r="I13" s="372"/>
      <c r="J13" s="378"/>
      <c r="K13" s="372"/>
      <c r="L13" s="378"/>
      <c r="M13" s="74">
        <f>SUMIF(KHN,O13,TH)</f>
        <v>1998706118</v>
      </c>
      <c r="N13" s="75" t="s">
        <v>109</v>
      </c>
      <c r="O13" s="75" t="s">
        <v>99</v>
      </c>
      <c r="P13" s="75" t="str">
        <f>IF(AND('331-CT'!$E$7=TH!H13,OR(N13="331",O13="331")),"x","")</f>
        <v/>
      </c>
      <c r="Q13" s="75" t="str">
        <f>IF(AND(B13='111'!$L$11,OR($N13=$Q$7,$O13=$Q$7)),"x","")</f>
        <v/>
      </c>
      <c r="R13" s="75" t="str">
        <f>IF(AND($N13=$Q$7,$B13&lt;'111'!$L$11),"x","")</f>
        <v/>
      </c>
      <c r="S13" s="75" t="str">
        <f>IF(AND($O13=$Q$7,$B13&lt;'111'!$L$11),"x","")</f>
        <v/>
      </c>
      <c r="T13" s="75" t="str">
        <f>IF(ISERROR(FIND('112'!$M$9,G13,1)),"",IF((AND(FIND('112'!$M$9,G13,1)&gt;=1,B13='112'!$K$9,OR($N13='112'!$I$6,$O13='112'!$I$6))),"x",""))</f>
        <v/>
      </c>
      <c r="U13" s="75" t="str">
        <f>IF(ISERROR(FIND('112'!$M$9,G13,1)),"",IF((AND(LEFT(G13,2)=LEFT('112'!$M$9,2),B13&lt;'112'!$K$9,$N13='112'!$I$6)),"x",""))</f>
        <v/>
      </c>
      <c r="V13" s="75" t="str">
        <f>IF(ISERROR(FIND('112'!$M$9,G13,1)),"",IF((AND(RIGHT(G13,2)=RIGHT('112'!$M$9,2),B13&lt;'112'!$K$9,$O13='112'!$I$6)),"x",""))</f>
        <v/>
      </c>
      <c r="W13" s="75" t="str">
        <f>IF(AND('341-CT'!$H$9=H13,OR(LEFT(N13,3)=$W$7,LEFT(O13,3)=$W$7)),"x","")</f>
        <v/>
      </c>
      <c r="X13" s="75" t="str">
        <f>IF(OR(TH!N13=TH!$X$7,O13=TH!$X$7),"x","")</f>
        <v/>
      </c>
      <c r="Y13" s="75" t="str">
        <f>IF(AND(OR(N13="131",O13="131"),H13='131-CT'!$H$9),"x","")</f>
        <v/>
      </c>
      <c r="Z13" s="75"/>
      <c r="AA13" s="75" t="str">
        <f>IF(AND(MONTH(E13)='IN-NX'!$J$5,'IN-NX'!$D$7=D13),"x","")</f>
        <v/>
      </c>
      <c r="AB13" s="75" t="str">
        <f>IF(AND(OR(LEFT(TH!N13,2)="15",LEFT(TH!O13,2)="15"),LEFT(TH!O13,3)&lt;&gt;"111",'152-CT'!$J$8=TH!F13),"x","")</f>
        <v/>
      </c>
      <c r="AC13" s="75" t="str">
        <f>IF(AND(OR(LEFT(TH!N13,2)="15",LEFT(TH!O13,2)="15"),TK!$E$7=TH!F13),"x","")</f>
        <v/>
      </c>
      <c r="AD13" s="75" t="str">
        <f>IF(AND(N13="1521",MONTH(C13)='BK-NL'!$M$11),"x","")</f>
        <v/>
      </c>
    </row>
    <row r="14" spans="1:30" ht="16.5" customHeight="1">
      <c r="A14" s="309" t="str">
        <f>IF(B14&lt;&gt;"",IF(AND(B14='IN-TC'!$S$4,OR(TH!N14="1111",TH!O14="1111")),TH!D14,""),"")</f>
        <v/>
      </c>
      <c r="B14" s="1159">
        <f t="shared" si="0"/>
        <v>12</v>
      </c>
      <c r="C14" s="71">
        <f t="shared" si="2"/>
        <v>43100</v>
      </c>
      <c r="D14" s="71" t="s">
        <v>115</v>
      </c>
      <c r="E14" s="71">
        <v>43100</v>
      </c>
      <c r="F14" s="72" t="s">
        <v>592</v>
      </c>
      <c r="G14" s="72"/>
      <c r="H14" s="73"/>
      <c r="I14" s="371"/>
      <c r="J14" s="377"/>
      <c r="K14" s="371"/>
      <c r="L14" s="377"/>
      <c r="M14" s="74">
        <f>SUMIF(KHN,O14,TH)</f>
        <v>8997030420</v>
      </c>
      <c r="N14" s="75" t="s">
        <v>109</v>
      </c>
      <c r="O14" s="75" t="s">
        <v>539</v>
      </c>
      <c r="P14" s="75" t="str">
        <f>IF(AND('331-CT'!$E$7=TH!H14,OR(N14="331",O14="331")),"x","")</f>
        <v/>
      </c>
      <c r="Q14" s="75" t="str">
        <f>IF(AND(B14='111'!$L$11,OR($N14=$Q$7,$O14=$Q$7)),"x","")</f>
        <v/>
      </c>
      <c r="R14" s="75" t="str">
        <f>IF(AND($N14=$Q$7,$B14&lt;'111'!$L$11),"x","")</f>
        <v/>
      </c>
      <c r="S14" s="75" t="str">
        <f>IF(AND($O14=$Q$7,$B14&lt;'111'!$L$11),"x","")</f>
        <v/>
      </c>
      <c r="T14" s="75" t="str">
        <f>IF(ISERROR(FIND('112'!$M$9,G14,1)),"",IF((AND(FIND('112'!$M$9,G14,1)&gt;=1,B14='112'!$K$9,OR($N14='112'!$I$6,$O14='112'!$I$6))),"x",""))</f>
        <v/>
      </c>
      <c r="U14" s="75" t="str">
        <f>IF(ISERROR(FIND('112'!$M$9,G14,1)),"",IF((AND(LEFT(G14,2)=LEFT('112'!$M$9,2),B14&lt;'112'!$K$9,$N14='112'!$I$6)),"x",""))</f>
        <v/>
      </c>
      <c r="V14" s="75" t="str">
        <f>IF(ISERROR(FIND('112'!$M$9,G14,1)),"",IF((AND(RIGHT(G14,2)=RIGHT('112'!$M$9,2),B14&lt;'112'!$K$9,$O14='112'!$I$6)),"x",""))</f>
        <v/>
      </c>
      <c r="W14" s="75" t="str">
        <f>IF(AND('341-CT'!$H$9=H14,OR(LEFT(N14,3)=$W$7,LEFT(O14,3)=$W$7)),"x","")</f>
        <v/>
      </c>
      <c r="X14" s="75" t="str">
        <f>IF(OR(TH!N14=TH!$X$7,O14=TH!$X$7),"x","")</f>
        <v/>
      </c>
      <c r="Y14" s="75" t="str">
        <f>IF(AND(OR(N14="131",O14="131"),H14='131-CT'!$H$9),"x","")</f>
        <v/>
      </c>
      <c r="Z14" s="75"/>
      <c r="AA14" s="75" t="str">
        <f>IF(AND(MONTH(E14)='IN-NX'!$J$5,'IN-NX'!$D$7=D14),"x","")</f>
        <v/>
      </c>
      <c r="AB14" s="75" t="str">
        <f>IF(AND(OR(LEFT(TH!N14,2)="15",LEFT(TH!O14,2)="15"),LEFT(TH!O14,3)&lt;&gt;"111",'152-CT'!$J$8=TH!F14),"x","")</f>
        <v/>
      </c>
      <c r="AC14" s="75" t="str">
        <f>IF(AND(OR(LEFT(TH!N14,2)="15",LEFT(TH!O14,2)="15"),TK!$E$7=TH!F14),"x","")</f>
        <v/>
      </c>
      <c r="AD14" s="75" t="str">
        <f>IF(AND(N14="1521",MONTH(C14)='BK-NL'!$M$11),"x","")</f>
        <v/>
      </c>
    </row>
    <row r="15" spans="1:30" ht="16.5" customHeight="1">
      <c r="A15" s="309" t="str">
        <f>IF(B15&lt;&gt;"",IF(AND(B15='IN-TC'!$S$4,OR(TH!N15="1111",TH!O15="1111")),TH!D15,""),"")</f>
        <v/>
      </c>
      <c r="B15" s="1159">
        <f t="shared" si="0"/>
        <v>12</v>
      </c>
      <c r="C15" s="71">
        <f t="shared" si="2"/>
        <v>43100</v>
      </c>
      <c r="D15" s="71" t="s">
        <v>115</v>
      </c>
      <c r="E15" s="71">
        <v>43100</v>
      </c>
      <c r="F15" s="72" t="s">
        <v>117</v>
      </c>
      <c r="G15" s="72"/>
      <c r="H15" s="73"/>
      <c r="I15" s="371"/>
      <c r="J15" s="377"/>
      <c r="K15" s="371"/>
      <c r="L15" s="377"/>
      <c r="M15" s="74">
        <f>SUMIF(KHN,O15,TH)</f>
        <v>1264269806</v>
      </c>
      <c r="N15" s="75" t="s">
        <v>109</v>
      </c>
      <c r="O15" s="75" t="s">
        <v>101</v>
      </c>
      <c r="P15" s="75" t="str">
        <f>IF(AND('331-CT'!$E$7=TH!H15,OR(N15="331",O15="331")),"x","")</f>
        <v/>
      </c>
      <c r="Q15" s="75" t="str">
        <f>IF(AND(B15='111'!$L$11,OR($N15=$Q$7,$O15=$Q$7)),"x","")</f>
        <v/>
      </c>
      <c r="R15" s="75" t="str">
        <f>IF(AND($N15=$Q$7,$B15&lt;'111'!$L$11),"x","")</f>
        <v/>
      </c>
      <c r="S15" s="75" t="str">
        <f>IF(AND($O15=$Q$7,$B15&lt;'111'!$L$11),"x","")</f>
        <v/>
      </c>
      <c r="T15" s="75" t="str">
        <f>IF(ISERROR(FIND('112'!$M$9,G15,1)),"",IF((AND(FIND('112'!$M$9,G15,1)&gt;=1,B15='112'!$K$9,OR($N15='112'!$I$6,$O15='112'!$I$6))),"x",""))</f>
        <v/>
      </c>
      <c r="U15" s="75" t="str">
        <f>IF(ISERROR(FIND('112'!$M$9,G15,1)),"",IF((AND(LEFT(G15,2)=LEFT('112'!$M$9,2),B15&lt;'112'!$K$9,$N15='112'!$I$6)),"x",""))</f>
        <v/>
      </c>
      <c r="V15" s="75" t="str">
        <f>IF(ISERROR(FIND('112'!$M$9,G15,1)),"",IF((AND(RIGHT(G15,2)=RIGHT('112'!$M$9,2),B15&lt;'112'!$K$9,$O15='112'!$I$6)),"x",""))</f>
        <v/>
      </c>
      <c r="W15" s="75" t="str">
        <f>IF(AND('341-CT'!$H$9=H15,OR(LEFT(N15,3)=$W$7,LEFT(O15,3)=$W$7)),"x","")</f>
        <v/>
      </c>
      <c r="X15" s="75" t="str">
        <f>IF(OR(TH!N15=TH!$X$7,O15=TH!$X$7),"x","")</f>
        <v/>
      </c>
      <c r="Y15" s="75" t="str">
        <f>IF(AND(OR(N15="131",O15="131"),H15='131-CT'!$H$9),"x","")</f>
        <v/>
      </c>
      <c r="Z15" s="75"/>
      <c r="AA15" s="75" t="str">
        <f>IF(AND(MONTH(E15)='IN-NX'!$J$5,'IN-NX'!$D$7=D15),"x","")</f>
        <v/>
      </c>
      <c r="AB15" s="75" t="str">
        <f>IF(AND(OR(LEFT(TH!N15,2)="15",LEFT(TH!O15,2)="15"),LEFT(TH!O15,3)&lt;&gt;"111",'152-CT'!$J$8=TH!F15),"x","")</f>
        <v/>
      </c>
      <c r="AC15" s="75" t="str">
        <f>IF(AND(OR(LEFT(TH!N15,2)="15",LEFT(TH!O15,2)="15"),TK!$E$7=TH!F15),"x","")</f>
        <v/>
      </c>
      <c r="AD15" s="75" t="str">
        <f>IF(AND(N15="1521",MONTH(C15)='BK-NL'!$M$11),"x","")</f>
        <v/>
      </c>
    </row>
    <row r="16" spans="1:30" ht="16.5" customHeight="1">
      <c r="A16" s="309" t="str">
        <f>IF(B16&lt;&gt;"",IF(AND(B16='IN-TC'!$S$4,OR(TH!N16="1111",TH!O16="1111")),TH!D16,""),"")</f>
        <v/>
      </c>
      <c r="B16" s="1159">
        <f t="shared" si="0"/>
        <v>12</v>
      </c>
      <c r="C16" s="71">
        <f t="shared" si="2"/>
        <v>43100</v>
      </c>
      <c r="D16" s="71" t="s">
        <v>115</v>
      </c>
      <c r="E16" s="71">
        <v>43100</v>
      </c>
      <c r="F16" s="72" t="s">
        <v>118</v>
      </c>
      <c r="G16" s="72"/>
      <c r="H16" s="73"/>
      <c r="I16" s="371"/>
      <c r="J16" s="377"/>
      <c r="K16" s="371"/>
      <c r="L16" s="377"/>
      <c r="M16" s="74">
        <f>SUMIF(KHC,N16,TH)</f>
        <v>1789674560</v>
      </c>
      <c r="N16" s="75" t="s">
        <v>43</v>
      </c>
      <c r="O16" s="75" t="s">
        <v>109</v>
      </c>
      <c r="P16" s="75" t="str">
        <f>IF(AND('331-CT'!$E$7=TH!H16,OR(N16="331",O16="331")),"x","")</f>
        <v/>
      </c>
      <c r="Q16" s="75" t="str">
        <f>IF(AND(B16='111'!$L$11,OR($N16=$Q$7,$O16=$Q$7)),"x","")</f>
        <v/>
      </c>
      <c r="R16" s="75" t="str">
        <f>IF(AND($N16=$Q$7,$B16&lt;'111'!$L$11),"x","")</f>
        <v/>
      </c>
      <c r="S16" s="75" t="str">
        <f>IF(AND($O16=$Q$7,$B16&lt;'111'!$L$11),"x","")</f>
        <v/>
      </c>
      <c r="T16" s="75" t="str">
        <f>IF(ISERROR(FIND('112'!$M$9,G16,1)),"",IF((AND(FIND('112'!$M$9,G16,1)&gt;=1,B16='112'!$K$9,OR($N16='112'!$I$6,$O16='112'!$I$6))),"x",""))</f>
        <v/>
      </c>
      <c r="U16" s="75" t="str">
        <f>IF(ISERROR(FIND('112'!$M$9,G16,1)),"",IF((AND(LEFT(G16,2)=LEFT('112'!$M$9,2),B16&lt;'112'!$K$9,$N16='112'!$I$6)),"x",""))</f>
        <v/>
      </c>
      <c r="V16" s="75" t="str">
        <f>IF(ISERROR(FIND('112'!$M$9,G16,1)),"",IF((AND(RIGHT(G16,2)=RIGHT('112'!$M$9,2),B16&lt;'112'!$K$9,$O16='112'!$I$6)),"x",""))</f>
        <v/>
      </c>
      <c r="W16" s="75" t="str">
        <f>IF(AND('341-CT'!$H$9=H16,OR(LEFT(N16,3)=$W$7,LEFT(O16,3)=$W$7)),"x","")</f>
        <v/>
      </c>
      <c r="X16" s="75" t="str">
        <f>IF(OR(TH!N16=TH!$X$7,O16=TH!$X$7),"x","")</f>
        <v/>
      </c>
      <c r="Y16" s="75" t="str">
        <f>IF(AND(OR(N16="131",O16="131"),H16='131-CT'!$H$9),"x","")</f>
        <v/>
      </c>
      <c r="Z16" s="75"/>
      <c r="AA16" s="75" t="str">
        <f>IF(AND(MONTH(E16)='IN-NX'!$J$5,'IN-NX'!$D$7=D16),"x","")</f>
        <v/>
      </c>
      <c r="AB16" s="75" t="str">
        <f>IF(AND(OR(LEFT(TH!N16,2)="15",LEFT(TH!O16,2)="15"),LEFT(TH!O16,3)&lt;&gt;"111",'152-CT'!$J$8=TH!F16),"x","")</f>
        <v/>
      </c>
      <c r="AC16" s="75" t="str">
        <f>IF(AND(OR(LEFT(TH!N16,2)="15",LEFT(TH!O16,2)="15"),TK!$E$7=TH!F16),"x","")</f>
        <v/>
      </c>
      <c r="AD16" s="75" t="str">
        <f>IF(AND(N16="1521",MONTH(C16)='BK-NL'!$M$11),"x","")</f>
        <v/>
      </c>
    </row>
    <row r="17" spans="1:30" ht="16.5" customHeight="1">
      <c r="A17" s="309" t="str">
        <f>IF(B17&lt;&gt;"",IF(AND(B17='IN-TC'!$S$4,OR(TH!N17="1111",TH!O17="1111")),TH!D17,""),"")</f>
        <v/>
      </c>
      <c r="B17" s="1159">
        <f t="shared" si="0"/>
        <v>12</v>
      </c>
      <c r="C17" s="71">
        <f t="shared" si="2"/>
        <v>43100</v>
      </c>
      <c r="D17" s="71" t="s">
        <v>115</v>
      </c>
      <c r="E17" s="71">
        <v>43100</v>
      </c>
      <c r="F17" s="72" t="s">
        <v>593</v>
      </c>
      <c r="G17" s="72"/>
      <c r="H17" s="76"/>
      <c r="I17" s="372"/>
      <c r="J17" s="378"/>
      <c r="K17" s="372"/>
      <c r="L17" s="378"/>
      <c r="M17" s="74">
        <f>SUMIF(KHC,N17,TH)</f>
        <v>9485358724</v>
      </c>
      <c r="N17" s="75" t="s">
        <v>286</v>
      </c>
      <c r="O17" s="75" t="s">
        <v>109</v>
      </c>
      <c r="P17" s="75" t="str">
        <f>IF(AND('331-CT'!$E$7=TH!H17,OR(N17="331",O17="331")),"x","")</f>
        <v/>
      </c>
      <c r="Q17" s="75" t="str">
        <f>IF(AND(B17='111'!$L$11,OR($N17=$Q$7,$O17=$Q$7)),"x","")</f>
        <v/>
      </c>
      <c r="R17" s="75" t="str">
        <f>IF(AND($N17=$Q$7,$B17&lt;'111'!$L$11),"x","")</f>
        <v/>
      </c>
      <c r="S17" s="75" t="str">
        <f>IF(AND($O17=$Q$7,$B17&lt;'111'!$L$11),"x","")</f>
        <v/>
      </c>
      <c r="T17" s="75" t="str">
        <f>IF(ISERROR(FIND('112'!$M$9,G17,1)),"",IF((AND(FIND('112'!$M$9,G17,1)&gt;=1,B17='112'!$K$9,OR($N17='112'!$I$6,$O17='112'!$I$6))),"x",""))</f>
        <v/>
      </c>
      <c r="U17" s="75" t="str">
        <f>IF(ISERROR(FIND('112'!$M$9,G17,1)),"",IF((AND(LEFT(G17,2)=LEFT('112'!$M$9,2),B17&lt;'112'!$K$9,$N17='112'!$I$6)),"x",""))</f>
        <v/>
      </c>
      <c r="V17" s="75" t="str">
        <f>IF(ISERROR(FIND('112'!$M$9,G17,1)),"",IF((AND(RIGHT(G17,2)=RIGHT('112'!$M$9,2),B17&lt;'112'!$K$9,$O17='112'!$I$6)),"x",""))</f>
        <v/>
      </c>
      <c r="W17" s="75" t="str">
        <f>IF(AND('341-CT'!$H$9=H17,OR(LEFT(N17,3)=$W$7,LEFT(O17,3)=$W$7)),"x","")</f>
        <v/>
      </c>
      <c r="X17" s="75" t="str">
        <f>IF(OR(TH!N17=TH!$X$7,O17=TH!$X$7),"x","")</f>
        <v/>
      </c>
      <c r="Y17" s="75" t="str">
        <f>IF(AND(OR(N17="131",O17="131"),H17='131-CT'!$H$9),"x","")</f>
        <v/>
      </c>
      <c r="Z17" s="75"/>
      <c r="AA17" s="75" t="str">
        <f>IF(AND(MONTH(E17)='IN-NX'!$J$5,'IN-NX'!$D$7=D17),"x","")</f>
        <v/>
      </c>
      <c r="AB17" s="75" t="str">
        <f>IF(AND(OR(LEFT(TH!N17,2)="15",LEFT(TH!O17,2)="15"),LEFT(TH!O17,3)&lt;&gt;"111",'152-CT'!$J$8=TH!F17),"x","")</f>
        <v/>
      </c>
      <c r="AC17" s="75" t="str">
        <f>IF(AND(OR(LEFT(TH!N17,2)="15",LEFT(TH!O17,2)="15"),TK!$E$7=TH!F17),"x","")</f>
        <v/>
      </c>
      <c r="AD17" s="75" t="str">
        <f>IF(AND(N17="1521",MONTH(C17)='BK-NL'!$M$11),"x","")</f>
        <v/>
      </c>
    </row>
    <row r="18" spans="1:30" ht="16.5" customHeight="1">
      <c r="A18" s="309" t="str">
        <f>IF(B18&lt;&gt;"",IF(AND(B18='IN-TC'!$S$4,OR(TH!N18="1111",TH!O18="1111")),TH!D18,""),"")</f>
        <v/>
      </c>
      <c r="B18" s="1159">
        <f t="shared" si="0"/>
        <v>12</v>
      </c>
      <c r="C18" s="71">
        <f t="shared" si="2"/>
        <v>43100</v>
      </c>
      <c r="D18" s="71" t="s">
        <v>115</v>
      </c>
      <c r="E18" s="71">
        <v>43100</v>
      </c>
      <c r="F18" s="72" t="s">
        <v>594</v>
      </c>
      <c r="G18" s="72"/>
      <c r="H18" s="73"/>
      <c r="I18" s="371"/>
      <c r="J18" s="377"/>
      <c r="K18" s="371"/>
      <c r="L18" s="377"/>
      <c r="M18" s="74">
        <f>SUMIF(KHC,N18,TH)-2174500460</f>
        <v>418153616255</v>
      </c>
      <c r="N18" s="75" t="s">
        <v>288</v>
      </c>
      <c r="O18" s="75" t="s">
        <v>109</v>
      </c>
      <c r="P18" s="75" t="str">
        <f>IF(AND('331-CT'!$E$7=TH!H18,OR(N18="331",O18="331")),"x","")</f>
        <v/>
      </c>
      <c r="Q18" s="75" t="str">
        <f>IF(AND(B18='111'!$L$11,OR($N18=$Q$7,$O18=$Q$7)),"x","")</f>
        <v/>
      </c>
      <c r="R18" s="75" t="str">
        <f>IF(AND($N18=$Q$7,$B18&lt;'111'!$L$11),"x","")</f>
        <v/>
      </c>
      <c r="S18" s="75" t="str">
        <f>IF(AND($O18=$Q$7,$B18&lt;'111'!$L$11),"x","")</f>
        <v/>
      </c>
      <c r="T18" s="75" t="str">
        <f>IF(ISERROR(FIND('112'!$M$9,G18,1)),"",IF((AND(FIND('112'!$M$9,G18,1)&gt;=1,B18='112'!$K$9,OR($N18='112'!$I$6,$O18='112'!$I$6))),"x",""))</f>
        <v/>
      </c>
      <c r="U18" s="75" t="str">
        <f>IF(ISERROR(FIND('112'!$M$9,G18,1)),"",IF((AND(LEFT(G18,2)=LEFT('112'!$M$9,2),B18&lt;'112'!$K$9,$N18='112'!$I$6)),"x",""))</f>
        <v/>
      </c>
      <c r="V18" s="75" t="str">
        <f>IF(ISERROR(FIND('112'!$M$9,G18,1)),"",IF((AND(RIGHT(G18,2)=RIGHT('112'!$M$9,2),B18&lt;'112'!$K$9,$O18='112'!$I$6)),"x",""))</f>
        <v/>
      </c>
      <c r="W18" s="75" t="str">
        <f>IF(AND('341-CT'!$H$9=H18,OR(LEFT(N18,3)=$W$7,LEFT(O18,3)=$W$7)),"x","")</f>
        <v/>
      </c>
      <c r="X18" s="75" t="str">
        <f>IF(OR(TH!N18=TH!$X$7,O18=TH!$X$7),"x","")</f>
        <v/>
      </c>
      <c r="Y18" s="75" t="str">
        <f>IF(AND(OR(N18="131",O18="131"),H18='131-CT'!$H$9),"x","")</f>
        <v/>
      </c>
      <c r="Z18" s="75"/>
      <c r="AA18" s="75" t="str">
        <f>IF(AND(MONTH(E18)='IN-NX'!$J$5,'IN-NX'!$D$7=D18),"x","")</f>
        <v/>
      </c>
      <c r="AB18" s="75" t="str">
        <f>IF(AND(OR(LEFT(TH!N18,2)="15",LEFT(TH!O18,2)="15"),LEFT(TH!O18,3)&lt;&gt;"111",'152-CT'!$J$8=TH!F18),"x","")</f>
        <v/>
      </c>
      <c r="AC18" s="75" t="str">
        <f>IF(AND(OR(LEFT(TH!N18,2)="15",LEFT(TH!O18,2)="15"),TK!$E$7=TH!F18),"x","")</f>
        <v/>
      </c>
      <c r="AD18" s="75" t="str">
        <f>IF(AND(N18="1521",MONTH(C18)='BK-NL'!$M$11),"x","")</f>
        <v/>
      </c>
    </row>
    <row r="19" spans="1:30" ht="16.5" customHeight="1">
      <c r="A19" s="309" t="str">
        <f>IF(B19&lt;&gt;"",IF(AND(B19='IN-TC'!$S$4,OR(TH!N19="1111",TH!O19="1111")),TH!D19,""),"")</f>
        <v/>
      </c>
      <c r="B19" s="1159">
        <f t="shared" si="0"/>
        <v>12</v>
      </c>
      <c r="C19" s="71">
        <f t="shared" si="2"/>
        <v>43100</v>
      </c>
      <c r="D19" s="71" t="s">
        <v>115</v>
      </c>
      <c r="E19" s="71">
        <v>43100</v>
      </c>
      <c r="F19" s="72" t="s">
        <v>119</v>
      </c>
      <c r="G19" s="72"/>
      <c r="H19" s="73"/>
      <c r="I19" s="371"/>
      <c r="J19" s="377"/>
      <c r="K19" s="371"/>
      <c r="L19" s="377"/>
      <c r="M19" s="74">
        <f>SUMIF(KHC,N19,TH)</f>
        <v>859463</v>
      </c>
      <c r="N19" s="75" t="s">
        <v>103</v>
      </c>
      <c r="O19" s="75" t="s">
        <v>109</v>
      </c>
      <c r="P19" s="75" t="str">
        <f>IF(AND('331-CT'!$E$7=TH!H19,OR(N19="331",O19="331")),"x","")</f>
        <v/>
      </c>
      <c r="Q19" s="75" t="str">
        <f>IF(AND(B19='111'!$L$11,OR($N19=$Q$7,$O19=$Q$7)),"x","")</f>
        <v/>
      </c>
      <c r="R19" s="75" t="str">
        <f>IF(AND($N19=$Q$7,$B19&lt;'111'!$L$11),"x","")</f>
        <v/>
      </c>
      <c r="S19" s="75" t="str">
        <f>IF(AND($O19=$Q$7,$B19&lt;'111'!$L$11),"x","")</f>
        <v/>
      </c>
      <c r="T19" s="75" t="str">
        <f>IF(ISERROR(FIND('112'!$M$9,G19,1)),"",IF((AND(FIND('112'!$M$9,G19,1)&gt;=1,B19='112'!$K$9,OR($N19='112'!$I$6,$O19='112'!$I$6))),"x",""))</f>
        <v/>
      </c>
      <c r="U19" s="75" t="str">
        <f>IF(ISERROR(FIND('112'!$M$9,G19,1)),"",IF((AND(LEFT(G19,2)=LEFT('112'!$M$9,2),B19&lt;'112'!$K$9,$N19='112'!$I$6)),"x",""))</f>
        <v/>
      </c>
      <c r="V19" s="75" t="str">
        <f>IF(ISERROR(FIND('112'!$M$9,G19,1)),"",IF((AND(RIGHT(G19,2)=RIGHT('112'!$M$9,2),B19&lt;'112'!$K$9,$O19='112'!$I$6)),"x",""))</f>
        <v/>
      </c>
      <c r="W19" s="75" t="str">
        <f>IF(AND('341-CT'!$H$9=H19,OR(LEFT(N19,3)=$W$7,LEFT(O19,3)=$W$7)),"x","")</f>
        <v/>
      </c>
      <c r="X19" s="75" t="str">
        <f>IF(OR(TH!N19=TH!$X$7,O19=TH!$X$7),"x","")</f>
        <v/>
      </c>
      <c r="Y19" s="75" t="str">
        <f>IF(AND(OR(N19="131",O19="131"),H19='131-CT'!$H$9),"x","")</f>
        <v/>
      </c>
      <c r="Z19" s="75"/>
      <c r="AA19" s="75" t="str">
        <f>IF(AND(MONTH(E19)='IN-NX'!$J$5,'IN-NX'!$D$7=D19),"x","")</f>
        <v/>
      </c>
      <c r="AB19" s="75" t="str">
        <f>IF(AND(OR(LEFT(TH!N19,2)="15",LEFT(TH!O19,2)="15"),LEFT(TH!O19,3)&lt;&gt;"111",'152-CT'!$J$8=TH!F19),"x","")</f>
        <v/>
      </c>
      <c r="AC19" s="75" t="str">
        <f>IF(AND(OR(LEFT(TH!N19,2)="15",LEFT(TH!O19,2)="15"),TK!$E$7=TH!F19),"x","")</f>
        <v/>
      </c>
      <c r="AD19" s="75" t="str">
        <f>IF(AND(N19="1521",MONTH(C19)='BK-NL'!$M$11),"x","")</f>
        <v/>
      </c>
    </row>
    <row r="20" spans="1:30" ht="16.5" customHeight="1">
      <c r="A20" s="309" t="str">
        <f>IF(B20&lt;&gt;"",IF(AND(B20='IN-TC'!$S$4,OR(TH!N20="1111",TH!O20="1111")),TH!D20,""),"")</f>
        <v/>
      </c>
      <c r="B20" s="1159">
        <f t="shared" si="0"/>
        <v>12</v>
      </c>
      <c r="C20" s="71">
        <f t="shared" si="2"/>
        <v>43100</v>
      </c>
      <c r="D20" s="71" t="s">
        <v>115</v>
      </c>
      <c r="E20" s="71">
        <v>43100</v>
      </c>
      <c r="F20" s="72" t="s">
        <v>120</v>
      </c>
      <c r="G20" s="72"/>
      <c r="H20" s="73"/>
      <c r="I20" s="371"/>
      <c r="J20" s="377"/>
      <c r="K20" s="371"/>
      <c r="L20" s="377"/>
      <c r="M20" s="74">
        <f>SUMIF(KHN,O20,TH)</f>
        <v>25647756</v>
      </c>
      <c r="N20" s="75" t="s">
        <v>109</v>
      </c>
      <c r="O20" s="75" t="s">
        <v>105</v>
      </c>
      <c r="P20" s="75" t="str">
        <f>IF(AND('331-CT'!$E$7=TH!H20,OR(N20="331",O20="331")),"x","")</f>
        <v/>
      </c>
      <c r="Q20" s="75" t="str">
        <f>IF(AND(B20='111'!$L$11,OR($N20=$Q$7,$O20=$Q$7)),"x","")</f>
        <v/>
      </c>
      <c r="R20" s="75" t="str">
        <f>IF(AND($N20=$Q$7,$B20&lt;'111'!$L$11),"x","")</f>
        <v/>
      </c>
      <c r="S20" s="75" t="str">
        <f>IF(AND($O20=$Q$7,$B20&lt;'111'!$L$11),"x","")</f>
        <v/>
      </c>
      <c r="T20" s="75" t="str">
        <f>IF(ISERROR(FIND('112'!$M$9,G20,1)),"",IF((AND(FIND('112'!$M$9,G20,1)&gt;=1,B20='112'!$K$9,OR($N20='112'!$I$6,$O20='112'!$I$6))),"x",""))</f>
        <v/>
      </c>
      <c r="U20" s="75" t="str">
        <f>IF(ISERROR(FIND('112'!$M$9,G20,1)),"",IF((AND(LEFT(G20,2)=LEFT('112'!$M$9,2),B20&lt;'112'!$K$9,$N20='112'!$I$6)),"x",""))</f>
        <v/>
      </c>
      <c r="V20" s="75" t="str">
        <f>IF(ISERROR(FIND('112'!$M$9,G20,1)),"",IF((AND(RIGHT(G20,2)=RIGHT('112'!$M$9,2),B20&lt;'112'!$K$9,$O20='112'!$I$6)),"x",""))</f>
        <v/>
      </c>
      <c r="W20" s="75" t="str">
        <f>IF(AND('341-CT'!$H$9=H20,OR(LEFT(N20,3)=$W$7,LEFT(O20,3)=$W$7)),"x","")</f>
        <v/>
      </c>
      <c r="X20" s="75" t="str">
        <f>IF(OR(TH!N20=TH!$X$7,O20=TH!$X$7),"x","")</f>
        <v/>
      </c>
      <c r="Y20" s="75" t="str">
        <f>IF(AND(OR(N20="131",O20="131"),H20='131-CT'!$H$9),"x","")</f>
        <v/>
      </c>
      <c r="Z20" s="75"/>
      <c r="AA20" s="75" t="str">
        <f>IF(AND(MONTH(E20)='IN-NX'!$J$5,'IN-NX'!$D$7=D20),"x","")</f>
        <v/>
      </c>
      <c r="AB20" s="75" t="str">
        <f>IF(AND(OR(LEFT(TH!N20,2)="15",LEFT(TH!O20,2)="15"),LEFT(TH!O20,3)&lt;&gt;"111",'152-CT'!$J$8=TH!F20),"x","")</f>
        <v/>
      </c>
      <c r="AC20" s="75" t="str">
        <f>IF(AND(OR(LEFT(TH!N20,2)="15",LEFT(TH!O20,2)="15"),TK!$E$7=TH!F20),"x","")</f>
        <v/>
      </c>
      <c r="AD20" s="75" t="str">
        <f>IF(AND(N20="1521",MONTH(C20)='BK-NL'!$M$11),"x","")</f>
        <v/>
      </c>
    </row>
    <row r="21" spans="1:30" ht="16.5" customHeight="1">
      <c r="A21" s="309" t="str">
        <f>IF(B21&lt;&gt;"",IF(AND(B21='IN-TC'!$S$4,OR(TH!N21="1111",TH!O21="1111")),TH!D21,""),"")</f>
        <v/>
      </c>
      <c r="B21" s="1159">
        <f t="shared" si="0"/>
        <v>12</v>
      </c>
      <c r="C21" s="71">
        <f t="shared" si="2"/>
        <v>43100</v>
      </c>
      <c r="D21" s="71" t="s">
        <v>115</v>
      </c>
      <c r="E21" s="71">
        <v>43100</v>
      </c>
      <c r="F21" s="72" t="s">
        <v>737</v>
      </c>
      <c r="G21" s="72"/>
      <c r="H21" s="73"/>
      <c r="I21" s="371"/>
      <c r="J21" s="377"/>
      <c r="K21" s="371"/>
      <c r="L21" s="377"/>
      <c r="M21" s="74"/>
      <c r="N21" s="75" t="s">
        <v>109</v>
      </c>
      <c r="O21" s="75" t="s">
        <v>94</v>
      </c>
      <c r="P21" s="75" t="str">
        <f>IF(AND('331-CT'!$E$7=TH!H21,OR(N21="331",O21="331")),"x","")</f>
        <v/>
      </c>
      <c r="Q21" s="75" t="str">
        <f>IF(AND(B21='111'!$L$11,OR($N21=$Q$7,$O21=$Q$7)),"x","")</f>
        <v/>
      </c>
      <c r="R21" s="75" t="str">
        <f>IF(AND($N21=$Q$7,$B21&lt;'111'!$L$11),"x","")</f>
        <v/>
      </c>
      <c r="S21" s="75" t="str">
        <f>IF(AND($O21=$Q$7,$B21&lt;'111'!$L$11),"x","")</f>
        <v/>
      </c>
      <c r="T21" s="75" t="str">
        <f>IF(ISERROR(FIND('112'!$M$9,G21,1)),"",IF((AND(FIND('112'!$M$9,G21,1)&gt;=1,B21='112'!$K$9,OR($N21='112'!$I$6,$O21='112'!$I$6))),"x",""))</f>
        <v/>
      </c>
      <c r="U21" s="75" t="str">
        <f>IF(ISERROR(FIND('112'!$M$9,G21,1)),"",IF((AND(LEFT(G21,2)=LEFT('112'!$M$9,2),B21&lt;'112'!$K$9,$N21='112'!$I$6)),"x",""))</f>
        <v/>
      </c>
      <c r="V21" s="75" t="str">
        <f>IF(ISERROR(FIND('112'!$M$9,G21,1)),"",IF((AND(RIGHT(G21,2)=RIGHT('112'!$M$9,2),B21&lt;'112'!$K$9,$O21='112'!$I$6)),"x",""))</f>
        <v/>
      </c>
      <c r="W21" s="75" t="str">
        <f>IF(AND('341-CT'!$H$9=H21,OR(LEFT(N21,3)=$W$7,LEFT(O21,3)=$W$7)),"x","")</f>
        <v/>
      </c>
      <c r="X21" s="75" t="str">
        <f>IF(OR(TH!N21=TH!$X$7,O21=TH!$X$7),"x","")</f>
        <v/>
      </c>
      <c r="Y21" s="75" t="str">
        <f>IF(AND(OR(N21="131",O21="131"),H21='131-CT'!$H$9),"x","")</f>
        <v/>
      </c>
      <c r="Z21" s="75"/>
      <c r="AA21" s="75" t="str">
        <f>IF(AND(MONTH(E21)='IN-NX'!$J$5,'IN-NX'!$D$7=D21),"x","")</f>
        <v/>
      </c>
      <c r="AB21" s="75" t="str">
        <f>IF(AND(OR(LEFT(TH!N21,2)="15",LEFT(TH!O21,2)="15"),LEFT(TH!O21,3)&lt;&gt;"111",'152-CT'!$J$8=TH!F21),"x","")</f>
        <v/>
      </c>
      <c r="AC21" s="75" t="str">
        <f>IF(AND(OR(LEFT(TH!N21,2)="15",LEFT(TH!O21,2)="15"),TK!$E$7=TH!F21),"x","")</f>
        <v/>
      </c>
      <c r="AD21" s="75" t="str">
        <f>IF(AND(N21="1521",MONTH(C21)='BK-NL'!$M$11),"x","")</f>
        <v/>
      </c>
    </row>
    <row r="22" spans="1:30" ht="16.5" customHeight="1">
      <c r="A22" s="309" t="str">
        <f>IF(B22&lt;&gt;"",IF(AND(B22='IN-TC'!$S$4,OR(TH!N22="1111",TH!O22="1111")),TH!D22,""),"")</f>
        <v/>
      </c>
      <c r="B22" s="1159">
        <f t="shared" si="0"/>
        <v>12</v>
      </c>
      <c r="C22" s="71">
        <f t="shared" si="2"/>
        <v>43100</v>
      </c>
      <c r="D22" s="71" t="s">
        <v>115</v>
      </c>
      <c r="E22" s="71">
        <v>43100</v>
      </c>
      <c r="F22" s="72" t="s">
        <v>777</v>
      </c>
      <c r="G22" s="72"/>
      <c r="H22" s="73"/>
      <c r="I22" s="371"/>
      <c r="J22" s="377"/>
      <c r="K22" s="371"/>
      <c r="L22" s="377"/>
      <c r="M22" s="74"/>
      <c r="N22" s="75" t="s">
        <v>107</v>
      </c>
      <c r="O22" s="75" t="s">
        <v>77</v>
      </c>
      <c r="P22" s="75" t="str">
        <f>IF(AND('331-CT'!$E$7=TH!H22,OR(N22="331",O22="331")),"x","")</f>
        <v/>
      </c>
      <c r="Q22" s="75" t="str">
        <f>IF(AND(B22='111'!$L$11,OR($N22=$Q$7,$O22=$Q$7)),"x","")</f>
        <v/>
      </c>
      <c r="R22" s="75" t="str">
        <f>IF(AND($N22=$Q$7,$B22&lt;'111'!$L$11),"x","")</f>
        <v/>
      </c>
      <c r="S22" s="75" t="str">
        <f>IF(AND($O22=$Q$7,$B22&lt;'111'!$L$11),"x","")</f>
        <v/>
      </c>
      <c r="T22" s="75" t="str">
        <f>IF(ISERROR(FIND('112'!$M$9,G22,1)),"",IF((AND(FIND('112'!$M$9,G22,1)&gt;=1,B22='112'!$K$9,OR($N22='112'!$I$6,$O22='112'!$I$6))),"x",""))</f>
        <v/>
      </c>
      <c r="U22" s="75" t="str">
        <f>IF(ISERROR(FIND('112'!$M$9,G22,1)),"",IF((AND(LEFT(G22,2)=LEFT('112'!$M$9,2),B22&lt;'112'!$K$9,$N22='112'!$I$6)),"x",""))</f>
        <v/>
      </c>
      <c r="V22" s="75" t="str">
        <f>IF(ISERROR(FIND('112'!$M$9,G22,1)),"",IF((AND(RIGHT(G22,2)=RIGHT('112'!$M$9,2),B22&lt;'112'!$K$9,$O22='112'!$I$6)),"x",""))</f>
        <v/>
      </c>
      <c r="W22" s="75" t="str">
        <f>IF(AND('341-CT'!$H$9=H22,OR(LEFT(N22,3)=$W$7,LEFT(O22,3)=$W$7)),"x","")</f>
        <v/>
      </c>
      <c r="X22" s="75" t="str">
        <f>IF(OR(TH!N22=TH!$X$7,O22=TH!$X$7),"x","")</f>
        <v/>
      </c>
      <c r="Y22" s="75" t="str">
        <f>IF(AND(OR(N22="131",O22="131"),H22='131-CT'!$H$9),"x","")</f>
        <v/>
      </c>
      <c r="Z22" s="75"/>
      <c r="AA22" s="75" t="str">
        <f>IF(AND(MONTH(E22)='IN-NX'!$J$5,'IN-NX'!$D$7=D22),"x","")</f>
        <v/>
      </c>
      <c r="AB22" s="75" t="str">
        <f>IF(AND(OR(LEFT(TH!N22,2)="15",LEFT(TH!O22,2)="15"),LEFT(TH!O22,3)&lt;&gt;"111",'152-CT'!$J$8=TH!F22),"x","")</f>
        <v/>
      </c>
      <c r="AC22" s="75" t="str">
        <f>IF(AND(OR(LEFT(TH!N22,2)="15",LEFT(TH!O22,2)="15"),TK!$E$7=TH!F22),"x","")</f>
        <v/>
      </c>
      <c r="AD22" s="75" t="str">
        <f>IF(AND(N22="1521",MONTH(C22)='BK-NL'!$M$11),"x","")</f>
        <v/>
      </c>
    </row>
    <row r="23" spans="1:30" ht="16.5" customHeight="1">
      <c r="A23" s="309" t="str">
        <f>IF(B23&lt;&gt;"",IF(AND(B23='IN-TC'!$S$4,OR(TH!N23="1111",TH!O23="1111")),TH!D23,""),"")</f>
        <v/>
      </c>
      <c r="B23" s="1159">
        <f t="shared" si="0"/>
        <v>12</v>
      </c>
      <c r="C23" s="71">
        <f t="shared" si="2"/>
        <v>43100</v>
      </c>
      <c r="D23" s="71" t="s">
        <v>115</v>
      </c>
      <c r="E23" s="71">
        <v>43100</v>
      </c>
      <c r="F23" s="72" t="s">
        <v>778</v>
      </c>
      <c r="G23" s="72"/>
      <c r="H23" s="73"/>
      <c r="I23" s="371"/>
      <c r="J23" s="377"/>
      <c r="K23" s="371"/>
      <c r="L23" s="377"/>
      <c r="M23" s="74"/>
      <c r="N23" s="75" t="s">
        <v>109</v>
      </c>
      <c r="O23" s="75" t="s">
        <v>107</v>
      </c>
      <c r="P23" s="75" t="str">
        <f>IF(AND('331-CT'!$E$7=TH!H23,OR(N23="331",O23="331")),"x","")</f>
        <v/>
      </c>
      <c r="Q23" s="75" t="str">
        <f>IF(AND(B23='111'!$L$11,OR($N23=$Q$7,$O23=$Q$7)),"x","")</f>
        <v/>
      </c>
      <c r="R23" s="75" t="str">
        <f>IF(AND($N23=$Q$7,$B23&lt;'111'!$L$11),"x","")</f>
        <v/>
      </c>
      <c r="S23" s="75" t="str">
        <f>IF(AND($O23=$Q$7,$B23&lt;'111'!$L$11),"x","")</f>
        <v/>
      </c>
      <c r="T23" s="75" t="str">
        <f>IF(ISERROR(FIND('112'!$M$9,G23,1)),"",IF((AND(FIND('112'!$M$9,G23,1)&gt;=1,B23='112'!$K$9,OR($N23='112'!$I$6,$O23='112'!$I$6))),"x",""))</f>
        <v/>
      </c>
      <c r="U23" s="75" t="str">
        <f>IF(ISERROR(FIND('112'!$M$9,G23,1)),"",IF((AND(LEFT(G23,2)=LEFT('112'!$M$9,2),B23&lt;'112'!$K$9,$N23='112'!$I$6)),"x",""))</f>
        <v/>
      </c>
      <c r="V23" s="75" t="str">
        <f>IF(ISERROR(FIND('112'!$M$9,G23,1)),"",IF((AND(RIGHT(G23,2)=RIGHT('112'!$M$9,2),B23&lt;'112'!$K$9,$O23='112'!$I$6)),"x",""))</f>
        <v/>
      </c>
      <c r="W23" s="75" t="str">
        <f>IF(AND('341-CT'!$H$9=H23,OR(LEFT(N23,3)=$W$7,LEFT(O23,3)=$W$7)),"x","")</f>
        <v/>
      </c>
      <c r="X23" s="75" t="str">
        <f>IF(OR(TH!N23=TH!$X$7,O23=TH!$X$7),"x","")</f>
        <v/>
      </c>
      <c r="Y23" s="75" t="str">
        <f>IF(AND(OR(N23="131",O23="131"),H23='131-CT'!$H$9),"x","")</f>
        <v/>
      </c>
      <c r="Z23" s="75"/>
      <c r="AA23" s="75" t="str">
        <f>IF(AND(MONTH(E23)='IN-NX'!$J$5,'IN-NX'!$D$7=D23),"x","")</f>
        <v/>
      </c>
      <c r="AB23" s="75" t="str">
        <f>IF(AND(OR(LEFT(TH!N23,2)="15",LEFT(TH!O23,2)="15"),LEFT(TH!O23,3)&lt;&gt;"111",'152-CT'!$J$8=TH!F23),"x","")</f>
        <v/>
      </c>
      <c r="AC23" s="75" t="str">
        <f>IF(AND(OR(LEFT(TH!N23,2)="15",LEFT(TH!O23,2)="15"),TK!$E$7=TH!F23),"x","")</f>
        <v/>
      </c>
      <c r="AD23" s="75" t="str">
        <f>IF(AND(N23="1521",MONTH(C23)='BK-NL'!$M$11),"x","")</f>
        <v/>
      </c>
    </row>
    <row r="24" spans="1:30" ht="16.5" customHeight="1">
      <c r="A24" s="309" t="str">
        <f>IF(B24&lt;&gt;"",IF(AND(B24='IN-TC'!$S$4,OR(TH!N24="1111",TH!O24="1111")),TH!D24,""),"")</f>
        <v/>
      </c>
      <c r="B24" s="1243">
        <f>IF(C24&lt;&gt;"",MONTH(C24),"")</f>
        <v>7</v>
      </c>
      <c r="C24" s="71">
        <v>42946</v>
      </c>
      <c r="D24" s="71" t="s">
        <v>115</v>
      </c>
      <c r="E24" s="71">
        <f t="shared" ref="E24" si="3">C24</f>
        <v>42946</v>
      </c>
      <c r="F24" s="72" t="s">
        <v>1779</v>
      </c>
      <c r="G24" s="72"/>
      <c r="H24" s="67" t="s">
        <v>750</v>
      </c>
      <c r="I24" s="371"/>
      <c r="J24" s="377"/>
      <c r="K24" s="371"/>
      <c r="L24" s="377"/>
      <c r="M24" s="74">
        <v>4</v>
      </c>
      <c r="N24" s="75" t="s">
        <v>8</v>
      </c>
      <c r="O24" s="75" t="s">
        <v>103</v>
      </c>
      <c r="P24" s="75" t="str">
        <f>IF(AND('331-CT'!$E$7=TH!H24,OR(N24="331",O24="331")),"x","")</f>
        <v/>
      </c>
      <c r="Q24" s="75" t="str">
        <f>IF(AND(B24='111'!$L$11,OR($N24=$Q$7,$O24=$Q$7)),"x","")</f>
        <v/>
      </c>
      <c r="R24" s="75" t="str">
        <f>IF(AND($N24=$Q$7,$B24&lt;'111'!$L$11),"x","")</f>
        <v/>
      </c>
      <c r="S24" s="75" t="str">
        <f>IF(AND($O24=$Q$7,$B24&lt;'111'!$L$11),"x","")</f>
        <v/>
      </c>
      <c r="T24" s="75" t="str">
        <f>IF(ISERROR(FIND('112'!$M$9,G24,1)),"",IF((AND(FIND('112'!$M$9,G24,1)&gt;=1,B24='112'!$K$9,OR($N24='112'!$I$6,$O24='112'!$I$6))),"x",""))</f>
        <v/>
      </c>
      <c r="U24" s="75" t="str">
        <f>IF(ISERROR(FIND('112'!$M$9,G24,1)),"",IF((AND(LEFT(G24,2)=LEFT('112'!$M$9,2),B24&lt;'112'!$K$9,$N24='112'!$I$6)),"x",""))</f>
        <v/>
      </c>
      <c r="V24" s="75" t="str">
        <f>IF(ISERROR(FIND('112'!$M$9,G24,1)),"",IF((AND(RIGHT(G24,2)=RIGHT('112'!$M$9,2),B24&lt;'112'!$K$9,$O24='112'!$I$6)),"x",""))</f>
        <v/>
      </c>
      <c r="W24" s="75" t="str">
        <f>IF(AND('341-CT'!$H$9=H24,OR(LEFT(N24,3)=$W$7,LEFT(O24,3)=$W$7)),"x","")</f>
        <v/>
      </c>
      <c r="X24" s="75" t="str">
        <f>IF(OR(TH!N24=TH!$X$7,O24=TH!$X$7),"x","")</f>
        <v/>
      </c>
      <c r="Y24" s="75" t="str">
        <f>IF(AND(OR(N24="131",O24="131"),H24='131-CT'!$H$9),"x","")</f>
        <v/>
      </c>
      <c r="Z24" s="75"/>
      <c r="AA24" s="75" t="str">
        <f>IF(AND(MONTH(E24)='IN-NX'!$J$5,'IN-NX'!$D$7=D24),"x","")</f>
        <v/>
      </c>
      <c r="AB24" s="75" t="str">
        <f>IF(AND(OR(LEFT(TH!N24,2)="15",LEFT(TH!O24,2)="15"),LEFT(TH!O24,3)&lt;&gt;"111",'152-CT'!$J$8=TH!F24),"x","")</f>
        <v/>
      </c>
      <c r="AC24" s="75" t="str">
        <f>IF(AND(OR(LEFT(TH!N24,2)="15",LEFT(TH!O24,2)="15"),TK!$E$7=TH!F24),"x","")</f>
        <v/>
      </c>
      <c r="AD24" s="75" t="str">
        <f>IF(AND(N24="1521",MONTH(C24)='BK-NL'!$M$11),"x","")</f>
        <v/>
      </c>
    </row>
    <row r="25" spans="1:30" ht="16.5" customHeight="1">
      <c r="A25" s="309" t="str">
        <f>IF(B25&lt;&gt;"",IF(AND(B25='IN-TC'!$S$4,OR(TH!N25="1111",TH!O25="1111")),TH!D25,""),"")</f>
        <v/>
      </c>
      <c r="B25" s="1159">
        <f>IF(C25&lt;&gt;"",MONTH(C25),"")</f>
        <v>12</v>
      </c>
      <c r="C25" s="71">
        <v>43100</v>
      </c>
      <c r="D25" s="71" t="s">
        <v>115</v>
      </c>
      <c r="E25" s="71">
        <f t="shared" ref="E25" si="4">C25</f>
        <v>43100</v>
      </c>
      <c r="F25" s="72" t="s">
        <v>2839</v>
      </c>
      <c r="G25" s="72"/>
      <c r="H25" s="294" t="s">
        <v>623</v>
      </c>
      <c r="I25" s="371"/>
      <c r="J25" s="377"/>
      <c r="K25" s="371"/>
      <c r="L25" s="377"/>
      <c r="M25" s="74">
        <v>50</v>
      </c>
      <c r="N25" s="75" t="s">
        <v>8</v>
      </c>
      <c r="O25" s="75" t="s">
        <v>103</v>
      </c>
      <c r="P25" s="75" t="str">
        <f>IF(AND('331-CT'!$E$7=TH!H25,OR(N25="331",O25="331")),"x","")</f>
        <v/>
      </c>
      <c r="Q25" s="75" t="str">
        <f>IF(AND(B25='111'!$L$11,OR($N25=$Q$7,$O25=$Q$7)),"x","")</f>
        <v/>
      </c>
      <c r="R25" s="75" t="str">
        <f>IF(AND($N25=$Q$7,$B25&lt;'111'!$L$11),"x","")</f>
        <v/>
      </c>
      <c r="S25" s="75" t="str">
        <f>IF(AND($O25=$Q$7,$B25&lt;'111'!$L$11),"x","")</f>
        <v/>
      </c>
      <c r="T25" s="75" t="str">
        <f>IF(ISERROR(FIND('112'!$M$9,G25,1)),"",IF((AND(FIND('112'!$M$9,G25,1)&gt;=1,B25='112'!$K$9,OR($N25='112'!$I$6,$O25='112'!$I$6))),"x",""))</f>
        <v/>
      </c>
      <c r="U25" s="75" t="str">
        <f>IF(ISERROR(FIND('112'!$M$9,G25,1)),"",IF((AND(LEFT(G25,2)=LEFT('112'!$M$9,2),B25&lt;'112'!$K$9,$N25='112'!$I$6)),"x",""))</f>
        <v/>
      </c>
      <c r="V25" s="75" t="str">
        <f>IF(ISERROR(FIND('112'!$M$9,G25,1)),"",IF((AND(RIGHT(G25,2)=RIGHT('112'!$M$9,2),B25&lt;'112'!$K$9,$O25='112'!$I$6)),"x",""))</f>
        <v/>
      </c>
      <c r="W25" s="75" t="str">
        <f>IF(AND('341-CT'!$H$9=H25,OR(LEFT(N25,3)=$W$7,LEFT(O25,3)=$W$7)),"x","")</f>
        <v/>
      </c>
      <c r="X25" s="75" t="str">
        <f>IF(OR(TH!N25=TH!$X$7,O25=TH!$X$7),"x","")</f>
        <v/>
      </c>
      <c r="Y25" s="75" t="str">
        <f>IF(AND(OR(N25="131",O25="131"),H25='131-CT'!$H$9),"x","")</f>
        <v/>
      </c>
      <c r="Z25" s="75"/>
      <c r="AA25" s="75" t="str">
        <f>IF(AND(MONTH(E25)='IN-NX'!$J$5,'IN-NX'!$D$7=D25),"x","")</f>
        <v/>
      </c>
      <c r="AB25" s="75" t="str">
        <f>IF(AND(OR(LEFT(TH!N25,2)="15",LEFT(TH!O25,2)="15"),LEFT(TH!O25,3)&lt;&gt;"111",'152-CT'!$J$8=TH!F25),"x","")</f>
        <v/>
      </c>
      <c r="AC25" s="75" t="str">
        <f>IF(AND(OR(LEFT(TH!N25,2)="15",LEFT(TH!O25,2)="15"),TK!$E$7=TH!F25),"x","")</f>
        <v/>
      </c>
      <c r="AD25" s="75" t="str">
        <f>IF(AND(N25="1521",MONTH(C25)='BK-NL'!$M$11),"x","")</f>
        <v/>
      </c>
    </row>
    <row r="26" spans="1:30" ht="16.5" customHeight="1">
      <c r="A26" s="309" t="str">
        <f>IF(B26&lt;&gt;"",IF(AND(B26='IN-TC'!$S$4,OR(TH!N26="1111",TH!O26="1111")),TH!D26,""),"")</f>
        <v/>
      </c>
      <c r="B26" s="1243">
        <f>IF(C26&lt;&gt;"",MONTH(C26),"")</f>
        <v>1</v>
      </c>
      <c r="C26" s="71">
        <v>42744</v>
      </c>
      <c r="D26" s="71" t="s">
        <v>530</v>
      </c>
      <c r="E26" s="71">
        <f t="shared" ref="E26" si="5">C26</f>
        <v>42744</v>
      </c>
      <c r="F26" s="72" t="s">
        <v>2871</v>
      </c>
      <c r="G26" s="72"/>
      <c r="H26" s="294"/>
      <c r="I26" s="371"/>
      <c r="J26" s="377"/>
      <c r="K26" s="371"/>
      <c r="L26" s="377"/>
      <c r="M26" s="74">
        <v>2000000</v>
      </c>
      <c r="N26" s="75" t="s">
        <v>101</v>
      </c>
      <c r="O26" s="75" t="s">
        <v>79</v>
      </c>
      <c r="P26" s="75" t="str">
        <f>IF(AND('331-CT'!$E$7=TH!H26,OR(N26="331",O26="331")),"x","")</f>
        <v/>
      </c>
      <c r="Q26" s="75" t="str">
        <f>IF(AND(B26='111'!$L$11,OR($N26=$Q$7,$O26=$Q$7)),"x","")</f>
        <v/>
      </c>
      <c r="R26" s="75" t="str">
        <f>IF(AND($N26=$Q$7,$B26&lt;'111'!$L$11),"x","")</f>
        <v/>
      </c>
      <c r="S26" s="75" t="str">
        <f>IF(AND($O26=$Q$7,$B26&lt;'111'!$L$11),"x","")</f>
        <v/>
      </c>
      <c r="T26" s="75" t="str">
        <f>IF(ISERROR(FIND('112'!$M$9,G26,1)),"",IF((AND(FIND('112'!$M$9,G26,1)&gt;=1,B26='112'!$K$9,OR($N26='112'!$I$6,$O26='112'!$I$6))),"x",""))</f>
        <v/>
      </c>
      <c r="U26" s="75" t="str">
        <f>IF(ISERROR(FIND('112'!$M$9,G26,1)),"",IF((AND(LEFT(G26,2)=LEFT('112'!$M$9,2),B26&lt;'112'!$K$9,$N26='112'!$I$6)),"x",""))</f>
        <v/>
      </c>
      <c r="V26" s="75" t="str">
        <f>IF(ISERROR(FIND('112'!$M$9,G26,1)),"",IF((AND(RIGHT(G26,2)=RIGHT('112'!$M$9,2),B26&lt;'112'!$K$9,$O26='112'!$I$6)),"x",""))</f>
        <v/>
      </c>
      <c r="W26" s="75" t="str">
        <f>IF(AND('341-CT'!$H$9=H26,OR(LEFT(N26,3)=$W$7,LEFT(O26,3)=$W$7)),"x","")</f>
        <v/>
      </c>
      <c r="X26" s="75" t="str">
        <f>IF(OR(TH!N26=TH!$X$7,O26=TH!$X$7),"x","")</f>
        <v/>
      </c>
      <c r="Y26" s="75" t="str">
        <f>IF(AND(OR(N26="131",O26="131"),H26='131-CT'!$H$9),"x","")</f>
        <v/>
      </c>
      <c r="Z26" s="75"/>
      <c r="AA26" s="75" t="str">
        <f>IF(AND(MONTH(E26)='IN-NX'!$J$5,'IN-NX'!$D$7=D26),"x","")</f>
        <v/>
      </c>
      <c r="AB26" s="75" t="str">
        <f>IF(AND(OR(LEFT(TH!N26,2)="15",LEFT(TH!O26,2)="15"),LEFT(TH!O26,3)&lt;&gt;"111",'152-CT'!$J$8=TH!F26),"x","")</f>
        <v/>
      </c>
      <c r="AC26" s="75" t="str">
        <f>IF(AND(OR(LEFT(TH!N26,2)="15",LEFT(TH!O26,2)="15"),TK!$E$7=TH!F26),"x","")</f>
        <v/>
      </c>
      <c r="AD26" s="75" t="str">
        <f>IF(AND(N26="1521",MONTH(C26)='BK-NL'!$M$11),"x","")</f>
        <v/>
      </c>
    </row>
    <row r="27" spans="1:30" ht="16.5" customHeight="1">
      <c r="A27" s="309" t="str">
        <f>IF(B27&lt;&gt;"",IF(AND(B27='IN-TC'!$S$4,OR(TH!N27="1111",TH!O27="1111")),TH!D27,""),"")</f>
        <v/>
      </c>
      <c r="B27" s="1242">
        <f t="shared" ref="B27" si="6">IF(C27&lt;&gt;"",MONTH(C27),"")</f>
        <v>9</v>
      </c>
      <c r="C27" s="1170">
        <v>43008</v>
      </c>
      <c r="D27" s="1170" t="s">
        <v>530</v>
      </c>
      <c r="E27" s="1170">
        <v>42998</v>
      </c>
      <c r="F27" s="1171" t="s">
        <v>2294</v>
      </c>
      <c r="G27" s="1171"/>
      <c r="H27" s="1172"/>
      <c r="I27" s="1142"/>
      <c r="J27" s="1141"/>
      <c r="K27" s="1142"/>
      <c r="L27" s="1141"/>
      <c r="M27" s="1173">
        <v>16318422</v>
      </c>
      <c r="N27" s="1133" t="s">
        <v>105</v>
      </c>
      <c r="O27" s="1133" t="s">
        <v>19</v>
      </c>
      <c r="P27" s="75" t="str">
        <f>IF(AND('331-CT'!$E$7=TH!H27,OR(N27="331",O27="331")),"x","")</f>
        <v/>
      </c>
      <c r="Q27" s="75" t="str">
        <f>IF(AND(B27='111'!$L$11,OR($N27=$Q$7,$O27=$Q$7)),"x","")</f>
        <v/>
      </c>
      <c r="R27" s="75" t="str">
        <f>IF(AND($N27=$Q$7,$B27&lt;'111'!$L$11),"x","")</f>
        <v/>
      </c>
      <c r="S27" s="75" t="str">
        <f>IF(AND($O27=$Q$7,$B27&lt;'111'!$L$11),"x","")</f>
        <v/>
      </c>
      <c r="T27" s="75" t="str">
        <f>IF(ISERROR(FIND('112'!$M$9,G27,1)),"",IF((AND(FIND('112'!$M$9,G27,1)&gt;=1,B27='112'!$K$9,OR($N27='112'!$I$6,$O27='112'!$I$6))),"x",""))</f>
        <v/>
      </c>
      <c r="U27" s="75" t="str">
        <f>IF(ISERROR(FIND('112'!$M$9,G27,1)),"",IF((AND(LEFT(G27,2)=LEFT('112'!$M$9,2),B27&lt;'112'!$K$9,$N27='112'!$I$6)),"x",""))</f>
        <v/>
      </c>
      <c r="V27" s="75" t="str">
        <f>IF(ISERROR(FIND('112'!$M$9,G27,1)),"",IF((AND(RIGHT(G27,2)=RIGHT('112'!$M$9,2),B27&lt;'112'!$K$9,$O27='112'!$I$6)),"x",""))</f>
        <v/>
      </c>
      <c r="W27" s="75" t="str">
        <f>IF(AND('341-CT'!$H$9=H27,OR(LEFT(N27,3)=$W$7,LEFT(O27,3)=$W$7)),"x","")</f>
        <v/>
      </c>
      <c r="X27" s="75" t="str">
        <f>IF(OR(TH!N27=TH!$X$7,O27=TH!$X$7),"x","")</f>
        <v/>
      </c>
      <c r="Y27" s="75" t="str">
        <f>IF(AND(OR(N27="131",O27="131"),H27='131-CT'!$H$9),"x","")</f>
        <v/>
      </c>
      <c r="Z27" s="75"/>
      <c r="AA27" s="75" t="str">
        <f>IF(AND(MONTH(E27)='IN-NX'!$J$5,'IN-NX'!$D$7=D27),"x","")</f>
        <v/>
      </c>
      <c r="AB27" s="75" t="str">
        <f>IF(AND(OR(LEFT(TH!N27,2)="15",LEFT(TH!O27,2)="15"),LEFT(TH!O27,3)&lt;&gt;"111",'152-CT'!$J$8=TH!F27),"x","")</f>
        <v/>
      </c>
      <c r="AC27" s="75" t="str">
        <f>IF(AND(OR(LEFT(TH!N27,2)="15",LEFT(TH!O27,2)="15"),TK!$E$7=TH!F27),"x","")</f>
        <v/>
      </c>
      <c r="AD27" s="75" t="str">
        <f>IF(AND(N27="1521",MONTH(C27)='BK-NL'!$M$11),"x","")</f>
        <v/>
      </c>
    </row>
    <row r="28" spans="1:30" ht="16.5" customHeight="1">
      <c r="A28" s="309" t="str">
        <f>IF(B28&lt;&gt;"",IF(AND(B28='IN-TC'!$S$4,OR(TH!N28="1111",TH!O28="1111")),TH!D28,""),"")</f>
        <v/>
      </c>
      <c r="B28" s="1058">
        <f t="shared" si="0"/>
        <v>1</v>
      </c>
      <c r="C28" s="663">
        <v>42766</v>
      </c>
      <c r="D28" s="663" t="s">
        <v>530</v>
      </c>
      <c r="E28" s="663">
        <f t="shared" ref="E28:E83" si="7">C28</f>
        <v>42766</v>
      </c>
      <c r="F28" s="904" t="s">
        <v>714</v>
      </c>
      <c r="G28" s="664"/>
      <c r="H28" s="67"/>
      <c r="I28" s="373"/>
      <c r="J28" s="379"/>
      <c r="K28" s="373"/>
      <c r="L28" s="379"/>
      <c r="M28" s="665">
        <v>10010706</v>
      </c>
      <c r="N28" s="669" t="s">
        <v>272</v>
      </c>
      <c r="O28" s="669" t="s">
        <v>537</v>
      </c>
      <c r="P28" s="75" t="str">
        <f>IF(AND('331-CT'!$E$7=TH!H28,OR(N28="331",O28="331")),"x","")</f>
        <v/>
      </c>
      <c r="Q28" s="75" t="str">
        <f>IF(AND(B28='111'!$L$11,OR($N28=$Q$7,$O28=$Q$7)),"x","")</f>
        <v/>
      </c>
      <c r="R28" s="75" t="str">
        <f>IF(AND($N28=$Q$7,$B28&lt;'111'!$L$11),"x","")</f>
        <v/>
      </c>
      <c r="S28" s="75" t="str">
        <f>IF(AND($O28=$Q$7,$B28&lt;'111'!$L$11),"x","")</f>
        <v/>
      </c>
      <c r="T28" s="75" t="str">
        <f>IF(ISERROR(FIND('112'!$M$9,G28,1)),"",IF((AND(FIND('112'!$M$9,G28,1)&gt;=1,B28='112'!$K$9,OR($N28='112'!$I$6,$O28='112'!$I$6))),"x",""))</f>
        <v/>
      </c>
      <c r="U28" s="75" t="str">
        <f>IF(ISERROR(FIND('112'!$M$9,G28,1)),"",IF((AND(LEFT(G28,2)=LEFT('112'!$M$9,2),B28&lt;'112'!$K$9,$N28='112'!$I$6)),"x",""))</f>
        <v/>
      </c>
      <c r="V28" s="75" t="str">
        <f>IF(ISERROR(FIND('112'!$M$9,G28,1)),"",IF((AND(RIGHT(G28,2)=RIGHT('112'!$M$9,2),B28&lt;'112'!$K$9,$O28='112'!$I$6)),"x",""))</f>
        <v/>
      </c>
      <c r="W28" s="75" t="str">
        <f>IF(AND('341-CT'!$H$9=H28,OR(LEFT(N28,3)=$W$7,LEFT(O28,3)=$W$7)),"x","")</f>
        <v/>
      </c>
      <c r="X28" s="75" t="str">
        <f>IF(OR(TH!N28=TH!$X$7,O28=TH!$X$7),"x","")</f>
        <v/>
      </c>
      <c r="Y28" s="75" t="str">
        <f>IF(AND(OR(N28="131",O28="131"),H28='131-CT'!$H$9),"x","")</f>
        <v/>
      </c>
      <c r="Z28" s="75"/>
      <c r="AA28" s="75" t="str">
        <f>IF(AND(MONTH(E28)='IN-NX'!$J$5,'IN-NX'!$D$7=D28),"x","")</f>
        <v/>
      </c>
      <c r="AB28" s="75" t="str">
        <f>IF(AND(OR(LEFT(TH!N28,2)="15",LEFT(TH!O28,2)="15"),LEFT(TH!O28,3)&lt;&gt;"111",'152-CT'!$J$8=TH!F28),"x","")</f>
        <v/>
      </c>
      <c r="AC28" s="75" t="str">
        <f>IF(AND(OR(LEFT(TH!N28,2)="15",LEFT(TH!O28,2)="15"),TK!$E$7=TH!F28),"x","")</f>
        <v/>
      </c>
      <c r="AD28" s="75" t="str">
        <f>IF(AND(N28="1521",MONTH(C28)='BK-NL'!$M$11),"x","")</f>
        <v/>
      </c>
    </row>
    <row r="29" spans="1:30" ht="16.5" customHeight="1">
      <c r="A29" s="309" t="str">
        <f>IF(B29&lt;&gt;"",IF(AND(B29='IN-TC'!$S$4,OR(TH!N29="1111",TH!O29="1111")),TH!D29,""),"")</f>
        <v/>
      </c>
      <c r="B29" s="1058">
        <f t="shared" si="0"/>
        <v>1</v>
      </c>
      <c r="C29" s="663">
        <v>42766</v>
      </c>
      <c r="D29" s="663" t="s">
        <v>530</v>
      </c>
      <c r="E29" s="663">
        <f>C29</f>
        <v>42766</v>
      </c>
      <c r="F29" s="904" t="s">
        <v>715</v>
      </c>
      <c r="G29" s="741"/>
      <c r="H29" s="66"/>
      <c r="I29" s="374"/>
      <c r="J29" s="380"/>
      <c r="K29" s="374"/>
      <c r="L29" s="380"/>
      <c r="M29" s="665">
        <v>3671166</v>
      </c>
      <c r="N29" s="669" t="s">
        <v>101</v>
      </c>
      <c r="O29" s="669" t="s">
        <v>538</v>
      </c>
      <c r="P29" s="75" t="str">
        <f>IF(AND('331-CT'!$E$7=TH!H29,OR(N29="331",O29="331")),"x","")</f>
        <v/>
      </c>
      <c r="Q29" s="75" t="str">
        <f>IF(AND(B29='111'!$L$11,OR($N29=$Q$7,$O29=$Q$7)),"x","")</f>
        <v/>
      </c>
      <c r="R29" s="75" t="str">
        <f>IF(AND($N29=$Q$7,$B29&lt;'111'!$L$11),"x","")</f>
        <v/>
      </c>
      <c r="S29" s="75" t="str">
        <f>IF(AND($O29=$Q$7,$B29&lt;'111'!$L$11),"x","")</f>
        <v/>
      </c>
      <c r="T29" s="75" t="str">
        <f>IF(ISERROR(FIND('112'!$M$9,G29,1)),"",IF((AND(FIND('112'!$M$9,G29,1)&gt;=1,B29='112'!$K$9,OR($N29='112'!$I$6,$O29='112'!$I$6))),"x",""))</f>
        <v/>
      </c>
      <c r="U29" s="75" t="str">
        <f>IF(ISERROR(FIND('112'!$M$9,G29,1)),"",IF((AND(LEFT(G29,2)=LEFT('112'!$M$9,2),B29&lt;'112'!$K$9,$N29='112'!$I$6)),"x",""))</f>
        <v/>
      </c>
      <c r="V29" s="75" t="str">
        <f>IF(ISERROR(FIND('112'!$M$9,G29,1)),"",IF((AND(RIGHT(G29,2)=RIGHT('112'!$M$9,2),B29&lt;'112'!$K$9,$O29='112'!$I$6)),"x",""))</f>
        <v/>
      </c>
      <c r="W29" s="75" t="str">
        <f>IF(AND('341-CT'!$H$9=H29,OR(LEFT(N29,3)=$W$7,LEFT(O29,3)=$W$7)),"x","")</f>
        <v/>
      </c>
      <c r="X29" s="75" t="str">
        <f>IF(OR(TH!N29=TH!$X$7,O29=TH!$X$7),"x","")</f>
        <v/>
      </c>
      <c r="Y29" s="75" t="str">
        <f>IF(AND(OR(N29="131",O29="131"),H29='131-CT'!$H$9),"x","")</f>
        <v/>
      </c>
      <c r="Z29" s="75"/>
      <c r="AA29" s="75" t="str">
        <f>IF(AND(MONTH(E29)='IN-NX'!$J$5,'IN-NX'!$D$7=D29),"x","")</f>
        <v/>
      </c>
      <c r="AB29" s="75" t="str">
        <f>IF(AND(OR(LEFT(TH!N29,2)="15",LEFT(TH!O29,2)="15"),LEFT(TH!O29,3)&lt;&gt;"111",'152-CT'!$J$8=TH!F29),"x","")</f>
        <v/>
      </c>
      <c r="AC29" s="75" t="str">
        <f>IF(AND(OR(LEFT(TH!N29,2)="15",LEFT(TH!O29,2)="15"),TK!$E$7=TH!F29),"x","")</f>
        <v/>
      </c>
      <c r="AD29" s="75" t="str">
        <f>IF(AND(N29="1521",MONTH(C29)='BK-NL'!$M$11),"x","")</f>
        <v/>
      </c>
    </row>
    <row r="30" spans="1:30" ht="16.5" customHeight="1">
      <c r="A30" s="309" t="str">
        <f>IF(B30&lt;&gt;"",IF(AND(B30='IN-TC'!$S$4,OR(TH!N30="1111",TH!O30="1111")),TH!D30,""),"")</f>
        <v/>
      </c>
      <c r="B30" s="1058">
        <f t="shared" si="0"/>
        <v>1</v>
      </c>
      <c r="C30" s="663">
        <v>42766</v>
      </c>
      <c r="D30" s="663" t="s">
        <v>530</v>
      </c>
      <c r="E30" s="663">
        <f t="shared" si="7"/>
        <v>42766</v>
      </c>
      <c r="F30" s="904" t="s">
        <v>715</v>
      </c>
      <c r="G30" s="664"/>
      <c r="H30" s="66"/>
      <c r="I30" s="374"/>
      <c r="J30" s="380"/>
      <c r="K30" s="374"/>
      <c r="L30" s="380"/>
      <c r="M30" s="665">
        <v>49458285</v>
      </c>
      <c r="N30" s="669" t="s">
        <v>272</v>
      </c>
      <c r="O30" s="669" t="s">
        <v>538</v>
      </c>
      <c r="P30" s="75" t="str">
        <f>IF(AND('331-CT'!$E$7=TH!H30,OR(N30="331",O30="331")),"x","")</f>
        <v/>
      </c>
      <c r="Q30" s="75" t="str">
        <f>IF(AND(B30='111'!$L$11,OR($N30=$Q$7,$O30=$Q$7)),"x","")</f>
        <v/>
      </c>
      <c r="R30" s="75" t="str">
        <f>IF(AND($N30=$Q$7,$B30&lt;'111'!$L$11),"x","")</f>
        <v/>
      </c>
      <c r="S30" s="75" t="str">
        <f>IF(AND($O30=$Q$7,$B30&lt;'111'!$L$11),"x","")</f>
        <v/>
      </c>
      <c r="T30" s="75" t="str">
        <f>IF(ISERROR(FIND('112'!$M$9,G30,1)),"",IF((AND(FIND('112'!$M$9,G30,1)&gt;=1,B30='112'!$K$9,OR($N30='112'!$I$6,$O30='112'!$I$6))),"x",""))</f>
        <v/>
      </c>
      <c r="U30" s="75" t="str">
        <f>IF(ISERROR(FIND('112'!$M$9,G30,1)),"",IF((AND(LEFT(G30,2)=LEFT('112'!$M$9,2),B30&lt;'112'!$K$9,$N30='112'!$I$6)),"x",""))</f>
        <v/>
      </c>
      <c r="V30" s="75" t="str">
        <f>IF(ISERROR(FIND('112'!$M$9,G30,1)),"",IF((AND(RIGHT(G30,2)=RIGHT('112'!$M$9,2),B30&lt;'112'!$K$9,$O30='112'!$I$6)),"x",""))</f>
        <v/>
      </c>
      <c r="W30" s="75" t="str">
        <f>IF(AND('341-CT'!$H$9=H30,OR(LEFT(N30,3)=$W$7,LEFT(O30,3)=$W$7)),"x","")</f>
        <v/>
      </c>
      <c r="X30" s="75" t="str">
        <f>IF(OR(TH!N30=TH!$X$7,O30=TH!$X$7),"x","")</f>
        <v/>
      </c>
      <c r="Y30" s="75" t="str">
        <f>IF(AND(OR(N30="131",O30="131"),H30='131-CT'!$H$9),"x","")</f>
        <v/>
      </c>
      <c r="Z30" s="75"/>
      <c r="AA30" s="75" t="str">
        <f>IF(AND(MONTH(E30)='IN-NX'!$J$5,'IN-NX'!$D$7=D30),"x","")</f>
        <v/>
      </c>
      <c r="AB30" s="75" t="str">
        <f>IF(AND(OR(LEFT(TH!N30,2)="15",LEFT(TH!O30,2)="15"),LEFT(TH!O30,3)&lt;&gt;"111",'152-CT'!$J$8=TH!F30),"x","")</f>
        <v/>
      </c>
      <c r="AC30" s="75" t="str">
        <f>IF(AND(OR(LEFT(TH!N30,2)="15",LEFT(TH!O30,2)="15"),TK!$E$7=TH!F30),"x","")</f>
        <v/>
      </c>
      <c r="AD30" s="75" t="str">
        <f>IF(AND(N30="1521",MONTH(C30)='BK-NL'!$M$11),"x","")</f>
        <v/>
      </c>
    </row>
    <row r="31" spans="1:30" ht="16.5" customHeight="1">
      <c r="A31" s="309" t="str">
        <f>IF(B31&lt;&gt;"",IF(AND(B31='IN-TC'!$S$4,OR(TH!N31="1111",TH!O31="1111")),TH!D31,""),"")</f>
        <v/>
      </c>
      <c r="B31" s="1131">
        <f t="shared" si="0"/>
        <v>2</v>
      </c>
      <c r="C31" s="663">
        <v>42794</v>
      </c>
      <c r="D31" s="663" t="s">
        <v>530</v>
      </c>
      <c r="E31" s="663">
        <f t="shared" si="7"/>
        <v>42794</v>
      </c>
      <c r="F31" s="904" t="s">
        <v>714</v>
      </c>
      <c r="G31" s="664"/>
      <c r="H31" s="67"/>
      <c r="I31" s="373"/>
      <c r="J31" s="379"/>
      <c r="K31" s="373"/>
      <c r="L31" s="379"/>
      <c r="M31" s="665">
        <v>10010706</v>
      </c>
      <c r="N31" s="669" t="s">
        <v>272</v>
      </c>
      <c r="O31" s="669" t="s">
        <v>537</v>
      </c>
      <c r="P31" s="75" t="str">
        <f>IF(AND('331-CT'!$E$7=TH!H31,OR(N31="331",O31="331")),"x","")</f>
        <v/>
      </c>
      <c r="Q31" s="75" t="str">
        <f>IF(AND(B31='111'!$L$11,OR($N31=$Q$7,$O31=$Q$7)),"x","")</f>
        <v/>
      </c>
      <c r="R31" s="75" t="str">
        <f>IF(AND($N31=$Q$7,$B31&lt;'111'!$L$11),"x","")</f>
        <v/>
      </c>
      <c r="S31" s="75" t="str">
        <f>IF(AND($O31=$Q$7,$B31&lt;'111'!$L$11),"x","")</f>
        <v/>
      </c>
      <c r="T31" s="75" t="str">
        <f>IF(ISERROR(FIND('112'!$M$9,G31,1)),"",IF((AND(FIND('112'!$M$9,G31,1)&gt;=1,B31='112'!$K$9,OR($N31='112'!$I$6,$O31='112'!$I$6))),"x",""))</f>
        <v/>
      </c>
      <c r="U31" s="75" t="str">
        <f>IF(ISERROR(FIND('112'!$M$9,G31,1)),"",IF((AND(LEFT(G31,2)=LEFT('112'!$M$9,2),B31&lt;'112'!$K$9,$N31='112'!$I$6)),"x",""))</f>
        <v/>
      </c>
      <c r="V31" s="75" t="str">
        <f>IF(ISERROR(FIND('112'!$M$9,G31,1)),"",IF((AND(RIGHT(G31,2)=RIGHT('112'!$M$9,2),B31&lt;'112'!$K$9,$O31='112'!$I$6)),"x",""))</f>
        <v/>
      </c>
      <c r="W31" s="75" t="str">
        <f>IF(AND('341-CT'!$H$9=H31,OR(LEFT(N31,3)=$W$7,LEFT(O31,3)=$W$7)),"x","")</f>
        <v/>
      </c>
      <c r="X31" s="75" t="str">
        <f>IF(OR(TH!N31=TH!$X$7,O31=TH!$X$7),"x","")</f>
        <v/>
      </c>
      <c r="Y31" s="75" t="str">
        <f>IF(AND(OR(N31="131",O31="131"),H31='131-CT'!$H$9),"x","")</f>
        <v/>
      </c>
      <c r="Z31" s="75"/>
      <c r="AA31" s="75" t="str">
        <f>IF(AND(MONTH(E31)='IN-NX'!$J$5,'IN-NX'!$D$7=D31),"x","")</f>
        <v/>
      </c>
      <c r="AB31" s="75" t="str">
        <f>IF(AND(OR(LEFT(TH!N31,2)="15",LEFT(TH!O31,2)="15"),LEFT(TH!O31,3)&lt;&gt;"111",'152-CT'!$J$8=TH!F31),"x","")</f>
        <v/>
      </c>
      <c r="AC31" s="75" t="str">
        <f>IF(AND(OR(LEFT(TH!N31,2)="15",LEFT(TH!O31,2)="15"),TK!$E$7=TH!F31),"x","")</f>
        <v/>
      </c>
      <c r="AD31" s="75" t="str">
        <f>IF(AND(N31="1521",MONTH(C31)='BK-NL'!$M$11),"x","")</f>
        <v/>
      </c>
    </row>
    <row r="32" spans="1:30" ht="16.5" customHeight="1">
      <c r="A32" s="309" t="str">
        <f>IF(B32&lt;&gt;"",IF(AND(B32='IN-TC'!$S$4,OR(TH!N32="1111",TH!O32="1111")),TH!D32,""),"")</f>
        <v/>
      </c>
      <c r="B32" s="1131">
        <f t="shared" si="0"/>
        <v>2</v>
      </c>
      <c r="C32" s="663">
        <v>42794</v>
      </c>
      <c r="D32" s="663" t="s">
        <v>530</v>
      </c>
      <c r="E32" s="663">
        <f t="shared" si="7"/>
        <v>42794</v>
      </c>
      <c r="F32" s="904" t="s">
        <v>715</v>
      </c>
      <c r="G32" s="741"/>
      <c r="H32" s="66"/>
      <c r="I32" s="374"/>
      <c r="J32" s="380"/>
      <c r="K32" s="374"/>
      <c r="L32" s="380"/>
      <c r="M32" s="665">
        <v>3671166</v>
      </c>
      <c r="N32" s="669" t="s">
        <v>101</v>
      </c>
      <c r="O32" s="669" t="s">
        <v>538</v>
      </c>
      <c r="P32" s="75" t="str">
        <f>IF(AND('331-CT'!$E$7=TH!H32,OR(N32="331",O32="331")),"x","")</f>
        <v/>
      </c>
      <c r="Q32" s="75" t="str">
        <f>IF(AND(B32='111'!$L$11,OR($N32=$Q$7,$O32=$Q$7)),"x","")</f>
        <v/>
      </c>
      <c r="R32" s="75" t="str">
        <f>IF(AND($N32=$Q$7,$B32&lt;'111'!$L$11),"x","")</f>
        <v/>
      </c>
      <c r="S32" s="75" t="str">
        <f>IF(AND($O32=$Q$7,$B32&lt;'111'!$L$11),"x","")</f>
        <v/>
      </c>
      <c r="T32" s="75" t="str">
        <f>IF(ISERROR(FIND('112'!$M$9,G32,1)),"",IF((AND(FIND('112'!$M$9,G32,1)&gt;=1,B32='112'!$K$9,OR($N32='112'!$I$6,$O32='112'!$I$6))),"x",""))</f>
        <v/>
      </c>
      <c r="U32" s="75" t="str">
        <f>IF(ISERROR(FIND('112'!$M$9,G32,1)),"",IF((AND(LEFT(G32,2)=LEFT('112'!$M$9,2),B32&lt;'112'!$K$9,$N32='112'!$I$6)),"x",""))</f>
        <v/>
      </c>
      <c r="V32" s="75" t="str">
        <f>IF(ISERROR(FIND('112'!$M$9,G32,1)),"",IF((AND(RIGHT(G32,2)=RIGHT('112'!$M$9,2),B32&lt;'112'!$K$9,$O32='112'!$I$6)),"x",""))</f>
        <v/>
      </c>
      <c r="W32" s="75" t="str">
        <f>IF(AND('341-CT'!$H$9=H32,OR(LEFT(N32,3)=$W$7,LEFT(O32,3)=$W$7)),"x","")</f>
        <v/>
      </c>
      <c r="X32" s="75" t="str">
        <f>IF(OR(TH!N32=TH!$X$7,O32=TH!$X$7),"x","")</f>
        <v/>
      </c>
      <c r="Y32" s="75" t="str">
        <f>IF(AND(OR(N32="131",O32="131"),H32='131-CT'!$H$9),"x","")</f>
        <v/>
      </c>
      <c r="Z32" s="75"/>
      <c r="AA32" s="75" t="str">
        <f>IF(AND(MONTH(E32)='IN-NX'!$J$5,'IN-NX'!$D$7=D32),"x","")</f>
        <v/>
      </c>
      <c r="AB32" s="75" t="str">
        <f>IF(AND(OR(LEFT(TH!N32,2)="15",LEFT(TH!O32,2)="15"),LEFT(TH!O32,3)&lt;&gt;"111",'152-CT'!$J$8=TH!F32),"x","")</f>
        <v/>
      </c>
      <c r="AC32" s="75" t="str">
        <f>IF(AND(OR(LEFT(TH!N32,2)="15",LEFT(TH!O32,2)="15"),TK!$E$7=TH!F32),"x","")</f>
        <v/>
      </c>
      <c r="AD32" s="75" t="str">
        <f>IF(AND(N32="1521",MONTH(C32)='BK-NL'!$M$11),"x","")</f>
        <v/>
      </c>
    </row>
    <row r="33" spans="1:30" ht="16.5" customHeight="1">
      <c r="A33" s="309" t="str">
        <f>IF(B33&lt;&gt;"",IF(AND(B33='IN-TC'!$S$4,OR(TH!N33="1111",TH!O33="1111")),TH!D33,""),"")</f>
        <v/>
      </c>
      <c r="B33" s="1131">
        <f t="shared" si="0"/>
        <v>2</v>
      </c>
      <c r="C33" s="663">
        <v>42794</v>
      </c>
      <c r="D33" s="663" t="s">
        <v>530</v>
      </c>
      <c r="E33" s="663">
        <f t="shared" si="7"/>
        <v>42794</v>
      </c>
      <c r="F33" s="904" t="s">
        <v>715</v>
      </c>
      <c r="G33" s="664"/>
      <c r="H33" s="66"/>
      <c r="I33" s="374"/>
      <c r="J33" s="380"/>
      <c r="K33" s="374"/>
      <c r="L33" s="380"/>
      <c r="M33" s="665">
        <v>49458285</v>
      </c>
      <c r="N33" s="669" t="s">
        <v>272</v>
      </c>
      <c r="O33" s="669" t="s">
        <v>538</v>
      </c>
      <c r="P33" s="75" t="str">
        <f>IF(AND('331-CT'!$E$7=TH!H33,OR(N33="331",O33="331")),"x","")</f>
        <v/>
      </c>
      <c r="Q33" s="75" t="str">
        <f>IF(AND(B33='111'!$L$11,OR($N33=$Q$7,$O33=$Q$7)),"x","")</f>
        <v/>
      </c>
      <c r="R33" s="75" t="str">
        <f>IF(AND($N33=$Q$7,$B33&lt;'111'!$L$11),"x","")</f>
        <v/>
      </c>
      <c r="S33" s="75" t="str">
        <f>IF(AND($O33=$Q$7,$B33&lt;'111'!$L$11),"x","")</f>
        <v/>
      </c>
      <c r="T33" s="75" t="str">
        <f>IF(ISERROR(FIND('112'!$M$9,G33,1)),"",IF((AND(FIND('112'!$M$9,G33,1)&gt;=1,B33='112'!$K$9,OR($N33='112'!$I$6,$O33='112'!$I$6))),"x",""))</f>
        <v/>
      </c>
      <c r="U33" s="75" t="str">
        <f>IF(ISERROR(FIND('112'!$M$9,G33,1)),"",IF((AND(LEFT(G33,2)=LEFT('112'!$M$9,2),B33&lt;'112'!$K$9,$N33='112'!$I$6)),"x",""))</f>
        <v/>
      </c>
      <c r="V33" s="75" t="str">
        <f>IF(ISERROR(FIND('112'!$M$9,G33,1)),"",IF((AND(RIGHT(G33,2)=RIGHT('112'!$M$9,2),B33&lt;'112'!$K$9,$O33='112'!$I$6)),"x",""))</f>
        <v/>
      </c>
      <c r="W33" s="75" t="str">
        <f>IF(AND('341-CT'!$H$9=H33,OR(LEFT(N33,3)=$W$7,LEFT(O33,3)=$W$7)),"x","")</f>
        <v/>
      </c>
      <c r="X33" s="75" t="str">
        <f>IF(OR(TH!N33=TH!$X$7,O33=TH!$X$7),"x","")</f>
        <v/>
      </c>
      <c r="Y33" s="75" t="str">
        <f>IF(AND(OR(N33="131",O33="131"),H33='131-CT'!$H$9),"x","")</f>
        <v/>
      </c>
      <c r="Z33" s="75"/>
      <c r="AA33" s="75" t="str">
        <f>IF(AND(MONTH(E33)='IN-NX'!$J$5,'IN-NX'!$D$7=D33),"x","")</f>
        <v/>
      </c>
      <c r="AB33" s="75" t="str">
        <f>IF(AND(OR(LEFT(TH!N33,2)="15",LEFT(TH!O33,2)="15"),LEFT(TH!O33,3)&lt;&gt;"111",'152-CT'!$J$8=TH!F33),"x","")</f>
        <v/>
      </c>
      <c r="AC33" s="75" t="str">
        <f>IF(AND(OR(LEFT(TH!N33,2)="15",LEFT(TH!O33,2)="15"),TK!$E$7=TH!F33),"x","")</f>
        <v/>
      </c>
      <c r="AD33" s="75" t="str">
        <f>IF(AND(N33="1521",MONTH(C33)='BK-NL'!$M$11),"x","")</f>
        <v/>
      </c>
    </row>
    <row r="34" spans="1:30" ht="16.5" customHeight="1">
      <c r="A34" s="309" t="str">
        <f>IF(B34&lt;&gt;"",IF(AND(B34='IN-TC'!$S$4,OR(TH!N34="1111",TH!O34="1111")),TH!D34,""),"")</f>
        <v/>
      </c>
      <c r="B34" s="1169">
        <f t="shared" si="0"/>
        <v>3</v>
      </c>
      <c r="C34" s="663">
        <v>42825</v>
      </c>
      <c r="D34" s="663" t="s">
        <v>530</v>
      </c>
      <c r="E34" s="663">
        <f t="shared" si="7"/>
        <v>42825</v>
      </c>
      <c r="F34" s="904" t="s">
        <v>714</v>
      </c>
      <c r="G34" s="664"/>
      <c r="H34" s="67"/>
      <c r="I34" s="373"/>
      <c r="J34" s="379"/>
      <c r="K34" s="373"/>
      <c r="L34" s="379"/>
      <c r="M34" s="665">
        <v>10010706</v>
      </c>
      <c r="N34" s="669" t="s">
        <v>272</v>
      </c>
      <c r="O34" s="669" t="s">
        <v>537</v>
      </c>
      <c r="P34" s="75" t="str">
        <f>IF(AND('331-CT'!$E$7=TH!H34,OR(N34="331",O34="331")),"x","")</f>
        <v/>
      </c>
      <c r="Q34" s="75" t="str">
        <f>IF(AND(B34='111'!$L$11,OR($N34=$Q$7,$O34=$Q$7)),"x","")</f>
        <v/>
      </c>
      <c r="R34" s="75" t="str">
        <f>IF(AND($N34=$Q$7,$B34&lt;'111'!$L$11),"x","")</f>
        <v/>
      </c>
      <c r="S34" s="75" t="str">
        <f>IF(AND($O34=$Q$7,$B34&lt;'111'!$L$11),"x","")</f>
        <v/>
      </c>
      <c r="T34" s="75" t="str">
        <f>IF(ISERROR(FIND('112'!$M$9,G34,1)),"",IF((AND(FIND('112'!$M$9,G34,1)&gt;=1,B34='112'!$K$9,OR($N34='112'!$I$6,$O34='112'!$I$6))),"x",""))</f>
        <v/>
      </c>
      <c r="U34" s="75" t="str">
        <f>IF(ISERROR(FIND('112'!$M$9,G34,1)),"",IF((AND(LEFT(G34,2)=LEFT('112'!$M$9,2),B34&lt;'112'!$K$9,$N34='112'!$I$6)),"x",""))</f>
        <v/>
      </c>
      <c r="V34" s="75" t="str">
        <f>IF(ISERROR(FIND('112'!$M$9,G34,1)),"",IF((AND(RIGHT(G34,2)=RIGHT('112'!$M$9,2),B34&lt;'112'!$K$9,$O34='112'!$I$6)),"x",""))</f>
        <v/>
      </c>
      <c r="W34" s="75" t="str">
        <f>IF(AND('341-CT'!$H$9=H34,OR(LEFT(N34,3)=$W$7,LEFT(O34,3)=$W$7)),"x","")</f>
        <v/>
      </c>
      <c r="X34" s="75" t="str">
        <f>IF(OR(TH!N34=TH!$X$7,O34=TH!$X$7),"x","")</f>
        <v/>
      </c>
      <c r="Y34" s="75" t="str">
        <f>IF(AND(OR(N34="131",O34="131"),H34='131-CT'!$H$9),"x","")</f>
        <v/>
      </c>
      <c r="Z34" s="75"/>
      <c r="AA34" s="75" t="str">
        <f>IF(AND(MONTH(E34)='IN-NX'!$J$5,'IN-NX'!$D$7=D34),"x","")</f>
        <v/>
      </c>
      <c r="AB34" s="75" t="str">
        <f>IF(AND(OR(LEFT(TH!N34,2)="15",LEFT(TH!O34,2)="15"),LEFT(TH!O34,3)&lt;&gt;"111",'152-CT'!$J$8=TH!F34),"x","")</f>
        <v/>
      </c>
      <c r="AC34" s="75" t="str">
        <f>IF(AND(OR(LEFT(TH!N34,2)="15",LEFT(TH!O34,2)="15"),TK!$E$7=TH!F34),"x","")</f>
        <v/>
      </c>
      <c r="AD34" s="75" t="str">
        <f>IF(AND(N34="1521",MONTH(C34)='BK-NL'!$M$11),"x","")</f>
        <v/>
      </c>
    </row>
    <row r="35" spans="1:30" ht="16.5" customHeight="1">
      <c r="A35" s="309" t="str">
        <f>IF(B35&lt;&gt;"",IF(AND(B35='IN-TC'!$S$4,OR(TH!N35="1111",TH!O35="1111")),TH!D35,""),"")</f>
        <v/>
      </c>
      <c r="B35" s="1169">
        <f t="shared" si="0"/>
        <v>3</v>
      </c>
      <c r="C35" s="663">
        <v>42825</v>
      </c>
      <c r="D35" s="663" t="s">
        <v>530</v>
      </c>
      <c r="E35" s="663">
        <f t="shared" si="7"/>
        <v>42825</v>
      </c>
      <c r="F35" s="904" t="s">
        <v>715</v>
      </c>
      <c r="G35" s="741"/>
      <c r="H35" s="66"/>
      <c r="I35" s="374"/>
      <c r="J35" s="380"/>
      <c r="K35" s="374"/>
      <c r="L35" s="380"/>
      <c r="M35" s="665">
        <v>3671166</v>
      </c>
      <c r="N35" s="669" t="s">
        <v>101</v>
      </c>
      <c r="O35" s="669" t="s">
        <v>538</v>
      </c>
      <c r="P35" s="75" t="str">
        <f>IF(AND('331-CT'!$E$7=TH!H35,OR(N35="331",O35="331")),"x","")</f>
        <v/>
      </c>
      <c r="Q35" s="75" t="str">
        <f>IF(AND(B35='111'!$L$11,OR($N35=$Q$7,$O35=$Q$7)),"x","")</f>
        <v/>
      </c>
      <c r="R35" s="75" t="str">
        <f>IF(AND($N35=$Q$7,$B35&lt;'111'!$L$11),"x","")</f>
        <v/>
      </c>
      <c r="S35" s="75" t="str">
        <f>IF(AND($O35=$Q$7,$B35&lt;'111'!$L$11),"x","")</f>
        <v/>
      </c>
      <c r="T35" s="75" t="str">
        <f>IF(ISERROR(FIND('112'!$M$9,G35,1)),"",IF((AND(FIND('112'!$M$9,G35,1)&gt;=1,B35='112'!$K$9,OR($N35='112'!$I$6,$O35='112'!$I$6))),"x",""))</f>
        <v/>
      </c>
      <c r="U35" s="75" t="str">
        <f>IF(ISERROR(FIND('112'!$M$9,G35,1)),"",IF((AND(LEFT(G35,2)=LEFT('112'!$M$9,2),B35&lt;'112'!$K$9,$N35='112'!$I$6)),"x",""))</f>
        <v/>
      </c>
      <c r="V35" s="75" t="str">
        <f>IF(ISERROR(FIND('112'!$M$9,G35,1)),"",IF((AND(RIGHT(G35,2)=RIGHT('112'!$M$9,2),B35&lt;'112'!$K$9,$O35='112'!$I$6)),"x",""))</f>
        <v/>
      </c>
      <c r="W35" s="75" t="str">
        <f>IF(AND('341-CT'!$H$9=H35,OR(LEFT(N35,3)=$W$7,LEFT(O35,3)=$W$7)),"x","")</f>
        <v/>
      </c>
      <c r="X35" s="75" t="str">
        <f>IF(OR(TH!N35=TH!$X$7,O35=TH!$X$7),"x","")</f>
        <v/>
      </c>
      <c r="Y35" s="75" t="str">
        <f>IF(AND(OR(N35="131",O35="131"),H35='131-CT'!$H$9),"x","")</f>
        <v/>
      </c>
      <c r="Z35" s="75"/>
      <c r="AA35" s="75" t="str">
        <f>IF(AND(MONTH(E35)='IN-NX'!$J$5,'IN-NX'!$D$7=D35),"x","")</f>
        <v/>
      </c>
      <c r="AB35" s="75" t="str">
        <f>IF(AND(OR(LEFT(TH!N35,2)="15",LEFT(TH!O35,2)="15"),LEFT(TH!O35,3)&lt;&gt;"111",'152-CT'!$J$8=TH!F35),"x","")</f>
        <v/>
      </c>
      <c r="AC35" s="75" t="str">
        <f>IF(AND(OR(LEFT(TH!N35,2)="15",LEFT(TH!O35,2)="15"),TK!$E$7=TH!F35),"x","")</f>
        <v/>
      </c>
      <c r="AD35" s="75" t="str">
        <f>IF(AND(N35="1521",MONTH(C35)='BK-NL'!$M$11),"x","")</f>
        <v/>
      </c>
    </row>
    <row r="36" spans="1:30" ht="16.5" customHeight="1">
      <c r="A36" s="309" t="str">
        <f>IF(B36&lt;&gt;"",IF(AND(B36='IN-TC'!$S$4,OR(TH!N36="1111",TH!O36="1111")),TH!D36,""),"")</f>
        <v/>
      </c>
      <c r="B36" s="1169">
        <f t="shared" si="0"/>
        <v>3</v>
      </c>
      <c r="C36" s="663">
        <v>42825</v>
      </c>
      <c r="D36" s="663" t="s">
        <v>530</v>
      </c>
      <c r="E36" s="663">
        <f t="shared" si="7"/>
        <v>42825</v>
      </c>
      <c r="F36" s="904" t="s">
        <v>715</v>
      </c>
      <c r="G36" s="664"/>
      <c r="H36" s="66"/>
      <c r="I36" s="374"/>
      <c r="J36" s="380"/>
      <c r="K36" s="374"/>
      <c r="L36" s="380"/>
      <c r="M36" s="665">
        <v>49458285</v>
      </c>
      <c r="N36" s="669" t="s">
        <v>272</v>
      </c>
      <c r="O36" s="669" t="s">
        <v>538</v>
      </c>
      <c r="P36" s="75" t="str">
        <f>IF(AND('331-CT'!$E$7=TH!H36,OR(N36="331",O36="331")),"x","")</f>
        <v/>
      </c>
      <c r="Q36" s="75" t="str">
        <f>IF(AND(B36='111'!$L$11,OR($N36=$Q$7,$O36=$Q$7)),"x","")</f>
        <v/>
      </c>
      <c r="R36" s="75" t="str">
        <f>IF(AND($N36=$Q$7,$B36&lt;'111'!$L$11),"x","")</f>
        <v/>
      </c>
      <c r="S36" s="75" t="str">
        <f>IF(AND($O36=$Q$7,$B36&lt;'111'!$L$11),"x","")</f>
        <v/>
      </c>
      <c r="T36" s="75" t="str">
        <f>IF(ISERROR(FIND('112'!$M$9,G36,1)),"",IF((AND(FIND('112'!$M$9,G36,1)&gt;=1,B36='112'!$K$9,OR($N36='112'!$I$6,$O36='112'!$I$6))),"x",""))</f>
        <v/>
      </c>
      <c r="U36" s="75" t="str">
        <f>IF(ISERROR(FIND('112'!$M$9,G36,1)),"",IF((AND(LEFT(G36,2)=LEFT('112'!$M$9,2),B36&lt;'112'!$K$9,$N36='112'!$I$6)),"x",""))</f>
        <v/>
      </c>
      <c r="V36" s="75" t="str">
        <f>IF(ISERROR(FIND('112'!$M$9,G36,1)),"",IF((AND(RIGHT(G36,2)=RIGHT('112'!$M$9,2),B36&lt;'112'!$K$9,$O36='112'!$I$6)),"x",""))</f>
        <v/>
      </c>
      <c r="W36" s="75" t="str">
        <f>IF(AND('341-CT'!$H$9=H36,OR(LEFT(N36,3)=$W$7,LEFT(O36,3)=$W$7)),"x","")</f>
        <v/>
      </c>
      <c r="X36" s="75" t="str">
        <f>IF(OR(TH!N36=TH!$X$7,O36=TH!$X$7),"x","")</f>
        <v/>
      </c>
      <c r="Y36" s="75" t="str">
        <f>IF(AND(OR(N36="131",O36="131"),H36='131-CT'!$H$9),"x","")</f>
        <v/>
      </c>
      <c r="Z36" s="75"/>
      <c r="AA36" s="75" t="str">
        <f>IF(AND(MONTH(E36)='IN-NX'!$J$5,'IN-NX'!$D$7=D36),"x","")</f>
        <v/>
      </c>
      <c r="AB36" s="75" t="str">
        <f>IF(AND(OR(LEFT(TH!N36,2)="15",LEFT(TH!O36,2)="15"),LEFT(TH!O36,3)&lt;&gt;"111",'152-CT'!$J$8=TH!F36),"x","")</f>
        <v/>
      </c>
      <c r="AC36" s="75" t="str">
        <f>IF(AND(OR(LEFT(TH!N36,2)="15",LEFT(TH!O36,2)="15"),TK!$E$7=TH!F36),"x","")</f>
        <v/>
      </c>
      <c r="AD36" s="75" t="str">
        <f>IF(AND(N36="1521",MONTH(C36)='BK-NL'!$M$11),"x","")</f>
        <v/>
      </c>
    </row>
    <row r="37" spans="1:30" ht="16.5" customHeight="1">
      <c r="A37" s="309" t="str">
        <f>IF(B37&lt;&gt;"",IF(AND(B37='IN-TC'!$S$4,OR(TH!N37="1111",TH!O37="1111")),TH!D37,""),"")</f>
        <v/>
      </c>
      <c r="B37" s="1241">
        <f t="shared" si="0"/>
        <v>4</v>
      </c>
      <c r="C37" s="663">
        <v>42855</v>
      </c>
      <c r="D37" s="663" t="s">
        <v>530</v>
      </c>
      <c r="E37" s="663">
        <f t="shared" si="7"/>
        <v>42855</v>
      </c>
      <c r="F37" s="904" t="s">
        <v>714</v>
      </c>
      <c r="G37" s="664"/>
      <c r="H37" s="67"/>
      <c r="I37" s="373"/>
      <c r="J37" s="379"/>
      <c r="K37" s="373"/>
      <c r="L37" s="379"/>
      <c r="M37" s="665">
        <v>10010706</v>
      </c>
      <c r="N37" s="669" t="s">
        <v>272</v>
      </c>
      <c r="O37" s="667" t="s">
        <v>537</v>
      </c>
      <c r="P37" s="75" t="str">
        <f>IF(AND('331-CT'!$E$7=TH!H37,OR(N37="331",O37="331")),"x","")</f>
        <v/>
      </c>
      <c r="Q37" s="75" t="str">
        <f>IF(AND(B37='111'!$L$11,OR($N37=$Q$7,$O37=$Q$7)),"x","")</f>
        <v/>
      </c>
      <c r="R37" s="75" t="str">
        <f>IF(AND($N37=$Q$7,$B37&lt;'111'!$L$11),"x","")</f>
        <v/>
      </c>
      <c r="S37" s="75" t="str">
        <f>IF(AND($O37=$Q$7,$B37&lt;'111'!$L$11),"x","")</f>
        <v/>
      </c>
      <c r="T37" s="75" t="str">
        <f>IF(ISERROR(FIND('112'!$M$9,G37,1)),"",IF((AND(FIND('112'!$M$9,G37,1)&gt;=1,B37='112'!$K$9,OR($N37='112'!$I$6,$O37='112'!$I$6))),"x",""))</f>
        <v/>
      </c>
      <c r="U37" s="75" t="str">
        <f>IF(ISERROR(FIND('112'!$M$9,G37,1)),"",IF((AND(LEFT(G37,2)=LEFT('112'!$M$9,2),B37&lt;'112'!$K$9,$N37='112'!$I$6)),"x",""))</f>
        <v/>
      </c>
      <c r="V37" s="75" t="str">
        <f>IF(ISERROR(FIND('112'!$M$9,G37,1)),"",IF((AND(RIGHT(G37,2)=RIGHT('112'!$M$9,2),B37&lt;'112'!$K$9,$O37='112'!$I$6)),"x",""))</f>
        <v/>
      </c>
      <c r="W37" s="75" t="str">
        <f>IF(AND('341-CT'!$H$9=H37,OR(LEFT(N37,3)=$W$7,LEFT(O37,3)=$W$7)),"x","")</f>
        <v/>
      </c>
      <c r="X37" s="75" t="str">
        <f>IF(OR(TH!N37=TH!$X$7,O37=TH!$X$7),"x","")</f>
        <v/>
      </c>
      <c r="Y37" s="75" t="str">
        <f>IF(AND(OR(N37="131",O37="131"),H37='131-CT'!$H$9),"x","")</f>
        <v/>
      </c>
      <c r="Z37" s="75"/>
      <c r="AA37" s="75" t="str">
        <f>IF(AND(MONTH(E37)='IN-NX'!$J$5,'IN-NX'!$D$7=D37),"x","")</f>
        <v/>
      </c>
      <c r="AB37" s="75" t="str">
        <f>IF(AND(OR(LEFT(TH!N37,2)="15",LEFT(TH!O37,2)="15"),LEFT(TH!O37,3)&lt;&gt;"111",'152-CT'!$J$8=TH!F37),"x","")</f>
        <v/>
      </c>
      <c r="AC37" s="75" t="str">
        <f>IF(AND(OR(LEFT(TH!N37,2)="15",LEFT(TH!O37,2)="15"),TK!$E$7=TH!F37),"x","")</f>
        <v/>
      </c>
      <c r="AD37" s="75" t="str">
        <f>IF(AND(N37="1521",MONTH(C37)='BK-NL'!$M$11),"x","")</f>
        <v/>
      </c>
    </row>
    <row r="38" spans="1:30" ht="16.5" customHeight="1">
      <c r="A38" s="309" t="str">
        <f>IF(B38&lt;&gt;"",IF(AND(B38='IN-TC'!$S$4,OR(TH!N38="1111",TH!O38="1111")),TH!D38,""),"")</f>
        <v/>
      </c>
      <c r="B38" s="1241">
        <f t="shared" si="0"/>
        <v>4</v>
      </c>
      <c r="C38" s="663">
        <v>42855</v>
      </c>
      <c r="D38" s="663" t="s">
        <v>530</v>
      </c>
      <c r="E38" s="663">
        <f t="shared" si="7"/>
        <v>42855</v>
      </c>
      <c r="F38" s="904" t="s">
        <v>715</v>
      </c>
      <c r="G38" s="741"/>
      <c r="H38" s="66"/>
      <c r="I38" s="374"/>
      <c r="J38" s="380"/>
      <c r="K38" s="374"/>
      <c r="L38" s="380"/>
      <c r="M38" s="665">
        <v>3671166</v>
      </c>
      <c r="N38" s="669" t="s">
        <v>101</v>
      </c>
      <c r="O38" s="669" t="s">
        <v>538</v>
      </c>
      <c r="P38" s="75" t="str">
        <f>IF(AND('331-CT'!$E$7=TH!H38,OR(N38="331",O38="331")),"x","")</f>
        <v/>
      </c>
      <c r="Q38" s="75" t="str">
        <f>IF(AND(B38='111'!$L$11,OR($N38=$Q$7,$O38=$Q$7)),"x","")</f>
        <v/>
      </c>
      <c r="R38" s="75" t="str">
        <f>IF(AND($N38=$Q$7,$B38&lt;'111'!$L$11),"x","")</f>
        <v/>
      </c>
      <c r="S38" s="75" t="str">
        <f>IF(AND($O38=$Q$7,$B38&lt;'111'!$L$11),"x","")</f>
        <v/>
      </c>
      <c r="T38" s="75" t="str">
        <f>IF(ISERROR(FIND('112'!$M$9,G38,1)),"",IF((AND(FIND('112'!$M$9,G38,1)&gt;=1,B38='112'!$K$9,OR($N38='112'!$I$6,$O38='112'!$I$6))),"x",""))</f>
        <v/>
      </c>
      <c r="U38" s="75" t="str">
        <f>IF(ISERROR(FIND('112'!$M$9,G38,1)),"",IF((AND(LEFT(G38,2)=LEFT('112'!$M$9,2),B38&lt;'112'!$K$9,$N38='112'!$I$6)),"x",""))</f>
        <v/>
      </c>
      <c r="V38" s="75" t="str">
        <f>IF(ISERROR(FIND('112'!$M$9,G38,1)),"",IF((AND(RIGHT(G38,2)=RIGHT('112'!$M$9,2),B38&lt;'112'!$K$9,$O38='112'!$I$6)),"x",""))</f>
        <v/>
      </c>
      <c r="W38" s="75" t="str">
        <f>IF(AND('341-CT'!$H$9=H38,OR(LEFT(N38,3)=$W$7,LEFT(O38,3)=$W$7)),"x","")</f>
        <v/>
      </c>
      <c r="X38" s="75" t="str">
        <f>IF(OR(TH!N38=TH!$X$7,O38=TH!$X$7),"x","")</f>
        <v/>
      </c>
      <c r="Y38" s="75" t="str">
        <f>IF(AND(OR(N38="131",O38="131"),H38='131-CT'!$H$9),"x","")</f>
        <v/>
      </c>
      <c r="Z38" s="75"/>
      <c r="AA38" s="75" t="str">
        <f>IF(AND(MONTH(E38)='IN-NX'!$J$5,'IN-NX'!$D$7=D38),"x","")</f>
        <v/>
      </c>
      <c r="AB38" s="75" t="str">
        <f>IF(AND(OR(LEFT(TH!N38,2)="15",LEFT(TH!O38,2)="15"),LEFT(TH!O38,3)&lt;&gt;"111",'152-CT'!$J$8=TH!F38),"x","")</f>
        <v/>
      </c>
      <c r="AC38" s="75" t="str">
        <f>IF(AND(OR(LEFT(TH!N38,2)="15",LEFT(TH!O38,2)="15"),TK!$E$7=TH!F38),"x","")</f>
        <v/>
      </c>
      <c r="AD38" s="75" t="str">
        <f>IF(AND(N38="1521",MONTH(C38)='BK-NL'!$M$11),"x","")</f>
        <v/>
      </c>
    </row>
    <row r="39" spans="1:30" ht="16.5" customHeight="1">
      <c r="A39" s="309" t="str">
        <f>IF(B39&lt;&gt;"",IF(AND(B39='IN-TC'!$S$4,OR(TH!N39="1111",TH!O39="1111")),TH!D39,""),"")</f>
        <v/>
      </c>
      <c r="B39" s="1241">
        <f t="shared" si="0"/>
        <v>4</v>
      </c>
      <c r="C39" s="663">
        <v>42855</v>
      </c>
      <c r="D39" s="663" t="s">
        <v>530</v>
      </c>
      <c r="E39" s="663">
        <f t="shared" si="7"/>
        <v>42855</v>
      </c>
      <c r="F39" s="904" t="s">
        <v>715</v>
      </c>
      <c r="G39" s="664"/>
      <c r="H39" s="66"/>
      <c r="I39" s="374"/>
      <c r="J39" s="380"/>
      <c r="K39" s="374"/>
      <c r="L39" s="380"/>
      <c r="M39" s="665">
        <v>49458285</v>
      </c>
      <c r="N39" s="669" t="s">
        <v>272</v>
      </c>
      <c r="O39" s="669" t="s">
        <v>538</v>
      </c>
      <c r="P39" s="75" t="str">
        <f>IF(AND('331-CT'!$E$7=TH!H39,OR(N39="331",O39="331")),"x","")</f>
        <v/>
      </c>
      <c r="Q39" s="75" t="str">
        <f>IF(AND(B39='111'!$L$11,OR($N39=$Q$7,$O39=$Q$7)),"x","")</f>
        <v/>
      </c>
      <c r="R39" s="75" t="str">
        <f>IF(AND($N39=$Q$7,$B39&lt;'111'!$L$11),"x","")</f>
        <v/>
      </c>
      <c r="S39" s="75" t="str">
        <f>IF(AND($O39=$Q$7,$B39&lt;'111'!$L$11),"x","")</f>
        <v/>
      </c>
      <c r="T39" s="75" t="str">
        <f>IF(ISERROR(FIND('112'!$M$9,G39,1)),"",IF((AND(FIND('112'!$M$9,G39,1)&gt;=1,B39='112'!$K$9,OR($N39='112'!$I$6,$O39='112'!$I$6))),"x",""))</f>
        <v/>
      </c>
      <c r="U39" s="75" t="str">
        <f>IF(ISERROR(FIND('112'!$M$9,G39,1)),"",IF((AND(LEFT(G39,2)=LEFT('112'!$M$9,2),B39&lt;'112'!$K$9,$N39='112'!$I$6)),"x",""))</f>
        <v/>
      </c>
      <c r="V39" s="75" t="str">
        <f>IF(ISERROR(FIND('112'!$M$9,G39,1)),"",IF((AND(RIGHT(G39,2)=RIGHT('112'!$M$9,2),B39&lt;'112'!$K$9,$O39='112'!$I$6)),"x",""))</f>
        <v/>
      </c>
      <c r="W39" s="75" t="str">
        <f>IF(AND('341-CT'!$H$9=H39,OR(LEFT(N39,3)=$W$7,LEFT(O39,3)=$W$7)),"x","")</f>
        <v/>
      </c>
      <c r="X39" s="75" t="str">
        <f>IF(OR(TH!N39=TH!$X$7,O39=TH!$X$7),"x","")</f>
        <v/>
      </c>
      <c r="Y39" s="75" t="str">
        <f>IF(AND(OR(N39="131",O39="131"),H39='131-CT'!$H$9),"x","")</f>
        <v/>
      </c>
      <c r="Z39" s="75"/>
      <c r="AA39" s="75" t="str">
        <f>IF(AND(MONTH(E39)='IN-NX'!$J$5,'IN-NX'!$D$7=D39),"x","")</f>
        <v/>
      </c>
      <c r="AB39" s="75" t="str">
        <f>IF(AND(OR(LEFT(TH!N39,2)="15",LEFT(TH!O39,2)="15"),LEFT(TH!O39,3)&lt;&gt;"111",'152-CT'!$J$8=TH!F39),"x","")</f>
        <v/>
      </c>
      <c r="AC39" s="75" t="str">
        <f>IF(AND(OR(LEFT(TH!N39,2)="15",LEFT(TH!O39,2)="15"),TK!$E$7=TH!F39),"x","")</f>
        <v/>
      </c>
      <c r="AD39" s="75" t="str">
        <f>IF(AND(N39="1521",MONTH(C39)='BK-NL'!$M$11),"x","")</f>
        <v/>
      </c>
    </row>
    <row r="40" spans="1:30" ht="16.5" customHeight="1">
      <c r="A40" s="309" t="str">
        <f>IF(B40&lt;&gt;"",IF(AND(B40='IN-TC'!$S$4,OR(TH!N40="1111",TH!O40="1111")),TH!D40,""),"")</f>
        <v/>
      </c>
      <c r="B40" s="1242">
        <f t="shared" si="0"/>
        <v>5</v>
      </c>
      <c r="C40" s="663">
        <v>42886</v>
      </c>
      <c r="D40" s="663" t="s">
        <v>530</v>
      </c>
      <c r="E40" s="663">
        <f t="shared" si="7"/>
        <v>42886</v>
      </c>
      <c r="F40" s="904" t="s">
        <v>714</v>
      </c>
      <c r="G40" s="664"/>
      <c r="H40" s="67"/>
      <c r="I40" s="373"/>
      <c r="J40" s="379"/>
      <c r="K40" s="373"/>
      <c r="L40" s="379"/>
      <c r="M40" s="665">
        <v>10010706</v>
      </c>
      <c r="N40" s="667" t="s">
        <v>272</v>
      </c>
      <c r="O40" s="668" t="s">
        <v>537</v>
      </c>
      <c r="P40" s="75" t="str">
        <f>IF(AND('331-CT'!$E$7=TH!H40,OR(N40="331",O40="331")),"x","")</f>
        <v/>
      </c>
      <c r="Q40" s="75" t="str">
        <f>IF(AND(B40='111'!$L$11,OR($N40=$Q$7,$O40=$Q$7)),"x","")</f>
        <v/>
      </c>
      <c r="R40" s="75" t="str">
        <f>IF(AND($N40=$Q$7,$B40&lt;'111'!$L$11),"x","")</f>
        <v/>
      </c>
      <c r="S40" s="75" t="str">
        <f>IF(AND($O40=$Q$7,$B40&lt;'111'!$L$11),"x","")</f>
        <v/>
      </c>
      <c r="T40" s="75" t="str">
        <f>IF(ISERROR(FIND('112'!$M$9,G40,1)),"",IF((AND(FIND('112'!$M$9,G40,1)&gt;=1,B40='112'!$K$9,OR($N40='112'!$I$6,$O40='112'!$I$6))),"x",""))</f>
        <v/>
      </c>
      <c r="U40" s="75" t="str">
        <f>IF(ISERROR(FIND('112'!$M$9,G40,1)),"",IF((AND(LEFT(G40,2)=LEFT('112'!$M$9,2),B40&lt;'112'!$K$9,$N40='112'!$I$6)),"x",""))</f>
        <v/>
      </c>
      <c r="V40" s="75" t="str">
        <f>IF(ISERROR(FIND('112'!$M$9,G40,1)),"",IF((AND(RIGHT(G40,2)=RIGHT('112'!$M$9,2),B40&lt;'112'!$K$9,$O40='112'!$I$6)),"x",""))</f>
        <v/>
      </c>
      <c r="W40" s="75" t="str">
        <f>IF(AND('341-CT'!$H$9=H40,OR(LEFT(N40,3)=$W$7,LEFT(O40,3)=$W$7)),"x","")</f>
        <v/>
      </c>
      <c r="X40" s="75" t="str">
        <f>IF(OR(TH!N40=TH!$X$7,O40=TH!$X$7),"x","")</f>
        <v/>
      </c>
      <c r="Y40" s="75" t="str">
        <f>IF(AND(OR(N40="131",O40="131"),H40='131-CT'!$H$9),"x","")</f>
        <v/>
      </c>
      <c r="Z40" s="75"/>
      <c r="AA40" s="75" t="str">
        <f>IF(AND(MONTH(E40)='IN-NX'!$J$5,'IN-NX'!$D$7=D40),"x","")</f>
        <v/>
      </c>
      <c r="AB40" s="75" t="str">
        <f>IF(AND(OR(LEFT(TH!N40,2)="15",LEFT(TH!O40,2)="15"),LEFT(TH!O40,3)&lt;&gt;"111",'152-CT'!$J$8=TH!F40),"x","")</f>
        <v/>
      </c>
      <c r="AC40" s="75" t="str">
        <f>IF(AND(OR(LEFT(TH!N40,2)="15",LEFT(TH!O40,2)="15"),TK!$E$7=TH!F40),"x","")</f>
        <v/>
      </c>
      <c r="AD40" s="75" t="str">
        <f>IF(AND(N40="1521",MONTH(C40)='BK-NL'!$M$11),"x","")</f>
        <v/>
      </c>
    </row>
    <row r="41" spans="1:30" ht="16.5" customHeight="1">
      <c r="A41" s="309" t="str">
        <f>IF(B41&lt;&gt;"",IF(AND(B41='IN-TC'!$S$4,OR(TH!N41="1111",TH!O41="1111")),TH!D41,""),"")</f>
        <v/>
      </c>
      <c r="B41" s="1242">
        <f t="shared" si="0"/>
        <v>5</v>
      </c>
      <c r="C41" s="663">
        <v>42886</v>
      </c>
      <c r="D41" s="663" t="s">
        <v>530</v>
      </c>
      <c r="E41" s="663">
        <f t="shared" si="7"/>
        <v>42886</v>
      </c>
      <c r="F41" s="904" t="s">
        <v>715</v>
      </c>
      <c r="G41" s="741"/>
      <c r="H41" s="66"/>
      <c r="I41" s="374"/>
      <c r="J41" s="380"/>
      <c r="K41" s="374"/>
      <c r="L41" s="380"/>
      <c r="M41" s="665">
        <v>3671166</v>
      </c>
      <c r="N41" s="669" t="s">
        <v>101</v>
      </c>
      <c r="O41" s="669" t="s">
        <v>538</v>
      </c>
      <c r="P41" s="75" t="str">
        <f>IF(AND('331-CT'!$E$7=TH!H41,OR(N41="331",O41="331")),"x","")</f>
        <v/>
      </c>
      <c r="Q41" s="75" t="str">
        <f>IF(AND(B41='111'!$L$11,OR($N41=$Q$7,$O41=$Q$7)),"x","")</f>
        <v/>
      </c>
      <c r="R41" s="75" t="str">
        <f>IF(AND($N41=$Q$7,$B41&lt;'111'!$L$11),"x","")</f>
        <v/>
      </c>
      <c r="S41" s="75" t="str">
        <f>IF(AND($O41=$Q$7,$B41&lt;'111'!$L$11),"x","")</f>
        <v/>
      </c>
      <c r="T41" s="75" t="str">
        <f>IF(ISERROR(FIND('112'!$M$9,G41,1)),"",IF((AND(FIND('112'!$M$9,G41,1)&gt;=1,B41='112'!$K$9,OR($N41='112'!$I$6,$O41='112'!$I$6))),"x",""))</f>
        <v/>
      </c>
      <c r="U41" s="75" t="str">
        <f>IF(ISERROR(FIND('112'!$M$9,G41,1)),"",IF((AND(LEFT(G41,2)=LEFT('112'!$M$9,2),B41&lt;'112'!$K$9,$N41='112'!$I$6)),"x",""))</f>
        <v/>
      </c>
      <c r="V41" s="75" t="str">
        <f>IF(ISERROR(FIND('112'!$M$9,G41,1)),"",IF((AND(RIGHT(G41,2)=RIGHT('112'!$M$9,2),B41&lt;'112'!$K$9,$O41='112'!$I$6)),"x",""))</f>
        <v/>
      </c>
      <c r="W41" s="75" t="str">
        <f>IF(AND('341-CT'!$H$9=H41,OR(LEFT(N41,3)=$W$7,LEFT(O41,3)=$W$7)),"x","")</f>
        <v/>
      </c>
      <c r="X41" s="75" t="str">
        <f>IF(OR(TH!N41=TH!$X$7,O41=TH!$X$7),"x","")</f>
        <v/>
      </c>
      <c r="Y41" s="75" t="str">
        <f>IF(AND(OR(N41="131",O41="131"),H41='131-CT'!$H$9),"x","")</f>
        <v/>
      </c>
      <c r="Z41" s="75"/>
      <c r="AA41" s="75" t="str">
        <f>IF(AND(MONTH(E41)='IN-NX'!$J$5,'IN-NX'!$D$7=D41),"x","")</f>
        <v/>
      </c>
      <c r="AB41" s="75" t="str">
        <f>IF(AND(OR(LEFT(TH!N41,2)="15",LEFT(TH!O41,2)="15"),LEFT(TH!O41,3)&lt;&gt;"111",'152-CT'!$J$8=TH!F41),"x","")</f>
        <v/>
      </c>
      <c r="AC41" s="75" t="str">
        <f>IF(AND(OR(LEFT(TH!N41,2)="15",LEFT(TH!O41,2)="15"),TK!$E$7=TH!F41),"x","")</f>
        <v/>
      </c>
      <c r="AD41" s="75" t="str">
        <f>IF(AND(N41="1521",MONTH(C41)='BK-NL'!$M$11),"x","")</f>
        <v/>
      </c>
    </row>
    <row r="42" spans="1:30" ht="16.5" customHeight="1">
      <c r="A42" s="309" t="str">
        <f>IF(B42&lt;&gt;"",IF(AND(B42='IN-TC'!$S$4,OR(TH!N42="1111",TH!O42="1111")),TH!D42,""),"")</f>
        <v/>
      </c>
      <c r="B42" s="1242">
        <f t="shared" si="0"/>
        <v>5</v>
      </c>
      <c r="C42" s="663">
        <v>42886</v>
      </c>
      <c r="D42" s="663" t="s">
        <v>530</v>
      </c>
      <c r="E42" s="663">
        <f t="shared" si="7"/>
        <v>42886</v>
      </c>
      <c r="F42" s="904" t="s">
        <v>715</v>
      </c>
      <c r="G42" s="664"/>
      <c r="H42" s="66"/>
      <c r="I42" s="374"/>
      <c r="J42" s="380"/>
      <c r="K42" s="374"/>
      <c r="L42" s="380"/>
      <c r="M42" s="665">
        <v>49458285</v>
      </c>
      <c r="N42" s="669" t="s">
        <v>272</v>
      </c>
      <c r="O42" s="669" t="s">
        <v>538</v>
      </c>
      <c r="P42" s="75" t="str">
        <f>IF(AND('331-CT'!$E$7=TH!H42,OR(N42="331",O42="331")),"x","")</f>
        <v/>
      </c>
      <c r="Q42" s="75" t="str">
        <f>IF(AND(B42='111'!$L$11,OR($N42=$Q$7,$O42=$Q$7)),"x","")</f>
        <v/>
      </c>
      <c r="R42" s="75" t="str">
        <f>IF(AND($N42=$Q$7,$B42&lt;'111'!$L$11),"x","")</f>
        <v/>
      </c>
      <c r="S42" s="75" t="str">
        <f>IF(AND($O42=$Q$7,$B42&lt;'111'!$L$11),"x","")</f>
        <v/>
      </c>
      <c r="T42" s="75" t="str">
        <f>IF(ISERROR(FIND('112'!$M$9,G42,1)),"",IF((AND(FIND('112'!$M$9,G42,1)&gt;=1,B42='112'!$K$9,OR($N42='112'!$I$6,$O42='112'!$I$6))),"x",""))</f>
        <v/>
      </c>
      <c r="U42" s="75" t="str">
        <f>IF(ISERROR(FIND('112'!$M$9,G42,1)),"",IF((AND(LEFT(G42,2)=LEFT('112'!$M$9,2),B42&lt;'112'!$K$9,$N42='112'!$I$6)),"x",""))</f>
        <v/>
      </c>
      <c r="V42" s="75" t="str">
        <f>IF(ISERROR(FIND('112'!$M$9,G42,1)),"",IF((AND(RIGHT(G42,2)=RIGHT('112'!$M$9,2),B42&lt;'112'!$K$9,$O42='112'!$I$6)),"x",""))</f>
        <v/>
      </c>
      <c r="W42" s="75" t="str">
        <f>IF(AND('341-CT'!$H$9=H42,OR(LEFT(N42,3)=$W$7,LEFT(O42,3)=$W$7)),"x","")</f>
        <v/>
      </c>
      <c r="X42" s="75" t="str">
        <f>IF(OR(TH!N42=TH!$X$7,O42=TH!$X$7),"x","")</f>
        <v/>
      </c>
      <c r="Y42" s="75" t="str">
        <f>IF(AND(OR(N42="131",O42="131"),H42='131-CT'!$H$9),"x","")</f>
        <v/>
      </c>
      <c r="Z42" s="75"/>
      <c r="AA42" s="75" t="str">
        <f>IF(AND(MONTH(E42)='IN-NX'!$J$5,'IN-NX'!$D$7=D42),"x","")</f>
        <v/>
      </c>
      <c r="AB42" s="75" t="str">
        <f>IF(AND(OR(LEFT(TH!N42,2)="15",LEFT(TH!O42,2)="15"),LEFT(TH!O42,3)&lt;&gt;"111",'152-CT'!$J$8=TH!F42),"x","")</f>
        <v/>
      </c>
      <c r="AC42" s="75" t="str">
        <f>IF(AND(OR(LEFT(TH!N42,2)="15",LEFT(TH!O42,2)="15"),TK!$E$7=TH!F42),"x","")</f>
        <v/>
      </c>
      <c r="AD42" s="75" t="str">
        <f>IF(AND(N42="1521",MONTH(C42)='BK-NL'!$M$11),"x","")</f>
        <v/>
      </c>
    </row>
    <row r="43" spans="1:30" ht="16.5" customHeight="1">
      <c r="A43" s="309" t="str">
        <f>IF(B43&lt;&gt;"",IF(AND(B43='IN-TC'!$S$4,OR(TH!N43="1111",TH!O43="1111")),TH!D43,""),"")</f>
        <v/>
      </c>
      <c r="B43" s="1130">
        <f t="shared" si="0"/>
        <v>6</v>
      </c>
      <c r="C43" s="663">
        <v>42916</v>
      </c>
      <c r="D43" s="663" t="s">
        <v>530</v>
      </c>
      <c r="E43" s="663">
        <f t="shared" si="7"/>
        <v>42916</v>
      </c>
      <c r="F43" s="904" t="s">
        <v>714</v>
      </c>
      <c r="G43" s="664"/>
      <c r="H43" s="67"/>
      <c r="I43" s="373"/>
      <c r="J43" s="379"/>
      <c r="K43" s="373"/>
      <c r="L43" s="379"/>
      <c r="M43" s="665">
        <v>10010706</v>
      </c>
      <c r="N43" s="667" t="s">
        <v>272</v>
      </c>
      <c r="O43" s="668" t="s">
        <v>537</v>
      </c>
      <c r="P43" s="75" t="str">
        <f>IF(AND('331-CT'!$E$7=TH!H43,OR(N43="331",O43="331")),"x","")</f>
        <v/>
      </c>
      <c r="Q43" s="75" t="str">
        <f>IF(AND(B43='111'!$L$11,OR($N43=$Q$7,$O43=$Q$7)),"x","")</f>
        <v/>
      </c>
      <c r="R43" s="75" t="str">
        <f>IF(AND($N43=$Q$7,$B43&lt;'111'!$L$11),"x","")</f>
        <v/>
      </c>
      <c r="S43" s="75" t="str">
        <f>IF(AND($O43=$Q$7,$B43&lt;'111'!$L$11),"x","")</f>
        <v/>
      </c>
      <c r="T43" s="75" t="str">
        <f>IF(ISERROR(FIND('112'!$M$9,G43,1)),"",IF((AND(FIND('112'!$M$9,G43,1)&gt;=1,B43='112'!$K$9,OR($N43='112'!$I$6,$O43='112'!$I$6))),"x",""))</f>
        <v/>
      </c>
      <c r="U43" s="75" t="str">
        <f>IF(ISERROR(FIND('112'!$M$9,G43,1)),"",IF((AND(LEFT(G43,2)=LEFT('112'!$M$9,2),B43&lt;'112'!$K$9,$N43='112'!$I$6)),"x",""))</f>
        <v/>
      </c>
      <c r="V43" s="75" t="str">
        <f>IF(ISERROR(FIND('112'!$M$9,G43,1)),"",IF((AND(RIGHT(G43,2)=RIGHT('112'!$M$9,2),B43&lt;'112'!$K$9,$O43='112'!$I$6)),"x",""))</f>
        <v/>
      </c>
      <c r="W43" s="75" t="str">
        <f>IF(AND('341-CT'!$H$9=H43,OR(LEFT(N43,3)=$W$7,LEFT(O43,3)=$W$7)),"x","")</f>
        <v/>
      </c>
      <c r="X43" s="75" t="str">
        <f>IF(OR(TH!N43=TH!$X$7,O43=TH!$X$7),"x","")</f>
        <v/>
      </c>
      <c r="Y43" s="75" t="str">
        <f>IF(AND(OR(N43="131",O43="131"),H43='131-CT'!$H$9),"x","")</f>
        <v/>
      </c>
      <c r="Z43" s="75"/>
      <c r="AA43" s="75" t="str">
        <f>IF(AND(MONTH(E43)='IN-NX'!$J$5,'IN-NX'!$D$7=D43),"x","")</f>
        <v/>
      </c>
      <c r="AB43" s="75" t="str">
        <f>IF(AND(OR(LEFT(TH!N43,2)="15",LEFT(TH!O43,2)="15"),LEFT(TH!O43,3)&lt;&gt;"111",'152-CT'!$J$8=TH!F43),"x","")</f>
        <v/>
      </c>
      <c r="AC43" s="75" t="str">
        <f>IF(AND(OR(LEFT(TH!N43,2)="15",LEFT(TH!O43,2)="15"),TK!$E$7=TH!F43),"x","")</f>
        <v/>
      </c>
      <c r="AD43" s="75" t="str">
        <f>IF(AND(N43="1521",MONTH(C43)='BK-NL'!$M$11),"x","")</f>
        <v/>
      </c>
    </row>
    <row r="44" spans="1:30" ht="16.5" customHeight="1">
      <c r="A44" s="309" t="str">
        <f>IF(B44&lt;&gt;"",IF(AND(B44='IN-TC'!$S$4,OR(TH!N44="1111",TH!O44="1111")),TH!D44,""),"")</f>
        <v/>
      </c>
      <c r="B44" s="1130">
        <f t="shared" si="0"/>
        <v>6</v>
      </c>
      <c r="C44" s="663">
        <v>42916</v>
      </c>
      <c r="D44" s="663" t="s">
        <v>530</v>
      </c>
      <c r="E44" s="663">
        <f t="shared" si="7"/>
        <v>42916</v>
      </c>
      <c r="F44" s="904" t="s">
        <v>715</v>
      </c>
      <c r="G44" s="741"/>
      <c r="H44" s="66"/>
      <c r="I44" s="374"/>
      <c r="J44" s="380"/>
      <c r="K44" s="374"/>
      <c r="L44" s="380"/>
      <c r="M44" s="665">
        <v>3671166</v>
      </c>
      <c r="N44" s="669" t="s">
        <v>101</v>
      </c>
      <c r="O44" s="669" t="s">
        <v>538</v>
      </c>
      <c r="P44" s="75" t="str">
        <f>IF(AND('331-CT'!$E$7=TH!H44,OR(N44="331",O44="331")),"x","")</f>
        <v/>
      </c>
      <c r="Q44" s="75" t="str">
        <f>IF(AND(B44='111'!$L$11,OR($N44=$Q$7,$O44=$Q$7)),"x","")</f>
        <v/>
      </c>
      <c r="R44" s="75" t="str">
        <f>IF(AND($N44=$Q$7,$B44&lt;'111'!$L$11),"x","")</f>
        <v/>
      </c>
      <c r="S44" s="75" t="str">
        <f>IF(AND($O44=$Q$7,$B44&lt;'111'!$L$11),"x","")</f>
        <v/>
      </c>
      <c r="T44" s="75" t="str">
        <f>IF(ISERROR(FIND('112'!$M$9,G44,1)),"",IF((AND(FIND('112'!$M$9,G44,1)&gt;=1,B44='112'!$K$9,OR($N44='112'!$I$6,$O44='112'!$I$6))),"x",""))</f>
        <v/>
      </c>
      <c r="U44" s="75" t="str">
        <f>IF(ISERROR(FIND('112'!$M$9,G44,1)),"",IF((AND(LEFT(G44,2)=LEFT('112'!$M$9,2),B44&lt;'112'!$K$9,$N44='112'!$I$6)),"x",""))</f>
        <v/>
      </c>
      <c r="V44" s="75" t="str">
        <f>IF(ISERROR(FIND('112'!$M$9,G44,1)),"",IF((AND(RIGHT(G44,2)=RIGHT('112'!$M$9,2),B44&lt;'112'!$K$9,$O44='112'!$I$6)),"x",""))</f>
        <v/>
      </c>
      <c r="W44" s="75" t="str">
        <f>IF(AND('341-CT'!$H$9=H44,OR(LEFT(N44,3)=$W$7,LEFT(O44,3)=$W$7)),"x","")</f>
        <v/>
      </c>
      <c r="X44" s="75" t="str">
        <f>IF(OR(TH!N44=TH!$X$7,O44=TH!$X$7),"x","")</f>
        <v/>
      </c>
      <c r="Y44" s="75" t="str">
        <f>IF(AND(OR(N44="131",O44="131"),H44='131-CT'!$H$9),"x","")</f>
        <v/>
      </c>
      <c r="Z44" s="75"/>
      <c r="AA44" s="75" t="str">
        <f>IF(AND(MONTH(E44)='IN-NX'!$J$5,'IN-NX'!$D$7=D44),"x","")</f>
        <v/>
      </c>
      <c r="AB44" s="75" t="str">
        <f>IF(AND(OR(LEFT(TH!N44,2)="15",LEFT(TH!O44,2)="15"),LEFT(TH!O44,3)&lt;&gt;"111",'152-CT'!$J$8=TH!F44),"x","")</f>
        <v/>
      </c>
      <c r="AC44" s="75" t="str">
        <f>IF(AND(OR(LEFT(TH!N44,2)="15",LEFT(TH!O44,2)="15"),TK!$E$7=TH!F44),"x","")</f>
        <v/>
      </c>
      <c r="AD44" s="75" t="str">
        <f>IF(AND(N44="1521",MONTH(C44)='BK-NL'!$M$11),"x","")</f>
        <v/>
      </c>
    </row>
    <row r="45" spans="1:30" ht="16.5" customHeight="1">
      <c r="A45" s="309" t="str">
        <f>IF(B45&lt;&gt;"",IF(AND(B45='IN-TC'!$S$4,OR(TH!N45="1111",TH!O45="1111")),TH!D45,""),"")</f>
        <v/>
      </c>
      <c r="B45" s="1130">
        <f t="shared" si="0"/>
        <v>6</v>
      </c>
      <c r="C45" s="663">
        <v>42916</v>
      </c>
      <c r="D45" s="663" t="s">
        <v>530</v>
      </c>
      <c r="E45" s="663">
        <f t="shared" si="7"/>
        <v>42916</v>
      </c>
      <c r="F45" s="904" t="s">
        <v>715</v>
      </c>
      <c r="G45" s="664"/>
      <c r="H45" s="66"/>
      <c r="I45" s="374"/>
      <c r="J45" s="380"/>
      <c r="K45" s="374"/>
      <c r="L45" s="380"/>
      <c r="M45" s="665">
        <v>49458285</v>
      </c>
      <c r="N45" s="669" t="s">
        <v>272</v>
      </c>
      <c r="O45" s="669" t="s">
        <v>538</v>
      </c>
      <c r="P45" s="75" t="str">
        <f>IF(AND('331-CT'!$E$7=TH!H45,OR(N45="331",O45="331")),"x","")</f>
        <v/>
      </c>
      <c r="Q45" s="75" t="str">
        <f>IF(AND(B45='111'!$L$11,OR($N45=$Q$7,$O45=$Q$7)),"x","")</f>
        <v/>
      </c>
      <c r="R45" s="75" t="str">
        <f>IF(AND($N45=$Q$7,$B45&lt;'111'!$L$11),"x","")</f>
        <v/>
      </c>
      <c r="S45" s="75" t="str">
        <f>IF(AND($O45=$Q$7,$B45&lt;'111'!$L$11),"x","")</f>
        <v/>
      </c>
      <c r="T45" s="75" t="str">
        <f>IF(ISERROR(FIND('112'!$M$9,G45,1)),"",IF((AND(FIND('112'!$M$9,G45,1)&gt;=1,B45='112'!$K$9,OR($N45='112'!$I$6,$O45='112'!$I$6))),"x",""))</f>
        <v/>
      </c>
      <c r="U45" s="75" t="str">
        <f>IF(ISERROR(FIND('112'!$M$9,G45,1)),"",IF((AND(LEFT(G45,2)=LEFT('112'!$M$9,2),B45&lt;'112'!$K$9,$N45='112'!$I$6)),"x",""))</f>
        <v/>
      </c>
      <c r="V45" s="75" t="str">
        <f>IF(ISERROR(FIND('112'!$M$9,G45,1)),"",IF((AND(RIGHT(G45,2)=RIGHT('112'!$M$9,2),B45&lt;'112'!$K$9,$O45='112'!$I$6)),"x",""))</f>
        <v/>
      </c>
      <c r="W45" s="75" t="str">
        <f>IF(AND('341-CT'!$H$9=H45,OR(LEFT(N45,3)=$W$7,LEFT(O45,3)=$W$7)),"x","")</f>
        <v/>
      </c>
      <c r="X45" s="75" t="str">
        <f>IF(OR(TH!N45=TH!$X$7,O45=TH!$X$7),"x","")</f>
        <v/>
      </c>
      <c r="Y45" s="75" t="str">
        <f>IF(AND(OR(N45="131",O45="131"),H45='131-CT'!$H$9),"x","")</f>
        <v/>
      </c>
      <c r="Z45" s="75"/>
      <c r="AA45" s="75" t="str">
        <f>IF(AND(MONTH(E45)='IN-NX'!$J$5,'IN-NX'!$D$7=D45),"x","")</f>
        <v/>
      </c>
      <c r="AB45" s="75" t="str">
        <f>IF(AND(OR(LEFT(TH!N45,2)="15",LEFT(TH!O45,2)="15"),LEFT(TH!O45,3)&lt;&gt;"111",'152-CT'!$J$8=TH!F45),"x","")</f>
        <v/>
      </c>
      <c r="AC45" s="75" t="str">
        <f>IF(AND(OR(LEFT(TH!N45,2)="15",LEFT(TH!O45,2)="15"),TK!$E$7=TH!F45),"x","")</f>
        <v/>
      </c>
      <c r="AD45" s="75" t="str">
        <f>IF(AND(N45="1521",MONTH(C45)='BK-NL'!$M$11),"x","")</f>
        <v/>
      </c>
    </row>
    <row r="46" spans="1:30" ht="16.5" customHeight="1">
      <c r="A46" s="309" t="str">
        <f>IF(B46&lt;&gt;"",IF(AND(B46='IN-TC'!$S$4,OR(TH!N46="1111",TH!O46="1111")),TH!D46,""),"")</f>
        <v/>
      </c>
      <c r="B46" s="1243">
        <f t="shared" si="0"/>
        <v>7</v>
      </c>
      <c r="C46" s="663">
        <v>42947</v>
      </c>
      <c r="D46" s="663" t="s">
        <v>530</v>
      </c>
      <c r="E46" s="663">
        <f t="shared" si="7"/>
        <v>42947</v>
      </c>
      <c r="F46" s="904" t="s">
        <v>714</v>
      </c>
      <c r="G46" s="664"/>
      <c r="H46" s="67"/>
      <c r="I46" s="373"/>
      <c r="J46" s="379"/>
      <c r="K46" s="373"/>
      <c r="L46" s="379"/>
      <c r="M46" s="665">
        <v>10010706</v>
      </c>
      <c r="N46" s="667" t="s">
        <v>272</v>
      </c>
      <c r="O46" s="668" t="s">
        <v>537</v>
      </c>
      <c r="P46" s="75" t="str">
        <f>IF(AND('331-CT'!$E$7=TH!H46,OR(N46="331",O46="331")),"x","")</f>
        <v/>
      </c>
      <c r="Q46" s="75" t="str">
        <f>IF(AND(B46='111'!$L$11,OR($N46=$Q$7,$O46=$Q$7)),"x","")</f>
        <v/>
      </c>
      <c r="R46" s="75" t="str">
        <f>IF(AND($N46=$Q$7,$B46&lt;'111'!$L$11),"x","")</f>
        <v/>
      </c>
      <c r="S46" s="75" t="str">
        <f>IF(AND($O46=$Q$7,$B46&lt;'111'!$L$11),"x","")</f>
        <v/>
      </c>
      <c r="T46" s="75" t="str">
        <f>IF(ISERROR(FIND('112'!$M$9,G46,1)),"",IF((AND(FIND('112'!$M$9,G46,1)&gt;=1,B46='112'!$K$9,OR($N46='112'!$I$6,$O46='112'!$I$6))),"x",""))</f>
        <v/>
      </c>
      <c r="U46" s="75" t="str">
        <f>IF(ISERROR(FIND('112'!$M$9,G46,1)),"",IF((AND(LEFT(G46,2)=LEFT('112'!$M$9,2),B46&lt;'112'!$K$9,$N46='112'!$I$6)),"x",""))</f>
        <v/>
      </c>
      <c r="V46" s="75" t="str">
        <f>IF(ISERROR(FIND('112'!$M$9,G46,1)),"",IF((AND(RIGHT(G46,2)=RIGHT('112'!$M$9,2),B46&lt;'112'!$K$9,$O46='112'!$I$6)),"x",""))</f>
        <v/>
      </c>
      <c r="W46" s="75" t="str">
        <f>IF(AND('341-CT'!$H$9=H46,OR(LEFT(N46,3)=$W$7,LEFT(O46,3)=$W$7)),"x","")</f>
        <v/>
      </c>
      <c r="X46" s="75" t="str">
        <f>IF(OR(TH!N46=TH!$X$7,O46=TH!$X$7),"x","")</f>
        <v/>
      </c>
      <c r="Y46" s="75" t="str">
        <f>IF(AND(OR(N46="131",O46="131"),H46='131-CT'!$H$9),"x","")</f>
        <v/>
      </c>
      <c r="Z46" s="75"/>
      <c r="AA46" s="75" t="str">
        <f>IF(AND(MONTH(E46)='IN-NX'!$J$5,'IN-NX'!$D$7=D46),"x","")</f>
        <v/>
      </c>
      <c r="AB46" s="75" t="str">
        <f>IF(AND(OR(LEFT(TH!N46,2)="15",LEFT(TH!O46,2)="15"),LEFT(TH!O46,3)&lt;&gt;"111",'152-CT'!$J$8=TH!F46),"x","")</f>
        <v/>
      </c>
      <c r="AC46" s="75" t="str">
        <f>IF(AND(OR(LEFT(TH!N46,2)="15",LEFT(TH!O46,2)="15"),TK!$E$7=TH!F46),"x","")</f>
        <v/>
      </c>
      <c r="AD46" s="75" t="str">
        <f>IF(AND(N46="1521",MONTH(C46)='BK-NL'!$M$11),"x","")</f>
        <v/>
      </c>
    </row>
    <row r="47" spans="1:30" ht="16.5" customHeight="1">
      <c r="A47" s="309" t="str">
        <f>IF(B47&lt;&gt;"",IF(AND(B47='IN-TC'!$S$4,OR(TH!N47="1111",TH!O47="1111")),TH!D47,""),"")</f>
        <v/>
      </c>
      <c r="B47" s="1243">
        <f t="shared" si="0"/>
        <v>7</v>
      </c>
      <c r="C47" s="663">
        <v>42947</v>
      </c>
      <c r="D47" s="663" t="s">
        <v>530</v>
      </c>
      <c r="E47" s="663">
        <f t="shared" si="7"/>
        <v>42947</v>
      </c>
      <c r="F47" s="904" t="s">
        <v>715</v>
      </c>
      <c r="G47" s="741"/>
      <c r="H47" s="66"/>
      <c r="I47" s="374"/>
      <c r="J47" s="380"/>
      <c r="K47" s="374"/>
      <c r="L47" s="380"/>
      <c r="M47" s="665">
        <v>3671166</v>
      </c>
      <c r="N47" s="669" t="s">
        <v>101</v>
      </c>
      <c r="O47" s="669" t="s">
        <v>538</v>
      </c>
      <c r="P47" s="75" t="str">
        <f>IF(AND('331-CT'!$E$7=TH!H47,OR(N47="331",O47="331")),"x","")</f>
        <v/>
      </c>
      <c r="Q47" s="75" t="str">
        <f>IF(AND(B47='111'!$L$11,OR($N47=$Q$7,$O47=$Q$7)),"x","")</f>
        <v/>
      </c>
      <c r="R47" s="75" t="str">
        <f>IF(AND($N47=$Q$7,$B47&lt;'111'!$L$11),"x","")</f>
        <v/>
      </c>
      <c r="S47" s="75" t="str">
        <f>IF(AND($O47=$Q$7,$B47&lt;'111'!$L$11),"x","")</f>
        <v/>
      </c>
      <c r="T47" s="75" t="str">
        <f>IF(ISERROR(FIND('112'!$M$9,G47,1)),"",IF((AND(FIND('112'!$M$9,G47,1)&gt;=1,B47='112'!$K$9,OR($N47='112'!$I$6,$O47='112'!$I$6))),"x",""))</f>
        <v/>
      </c>
      <c r="U47" s="75" t="str">
        <f>IF(ISERROR(FIND('112'!$M$9,G47,1)),"",IF((AND(LEFT(G47,2)=LEFT('112'!$M$9,2),B47&lt;'112'!$K$9,$N47='112'!$I$6)),"x",""))</f>
        <v/>
      </c>
      <c r="V47" s="75" t="str">
        <f>IF(ISERROR(FIND('112'!$M$9,G47,1)),"",IF((AND(RIGHT(G47,2)=RIGHT('112'!$M$9,2),B47&lt;'112'!$K$9,$O47='112'!$I$6)),"x",""))</f>
        <v/>
      </c>
      <c r="W47" s="75" t="str">
        <f>IF(AND('341-CT'!$H$9=H47,OR(LEFT(N47,3)=$W$7,LEFT(O47,3)=$W$7)),"x","")</f>
        <v/>
      </c>
      <c r="X47" s="75" t="str">
        <f>IF(OR(TH!N47=TH!$X$7,O47=TH!$X$7),"x","")</f>
        <v/>
      </c>
      <c r="Y47" s="75" t="str">
        <f>IF(AND(OR(N47="131",O47="131"),H47='131-CT'!$H$9),"x","")</f>
        <v/>
      </c>
      <c r="Z47" s="75"/>
      <c r="AA47" s="75" t="str">
        <f>IF(AND(MONTH(E47)='IN-NX'!$J$5,'IN-NX'!$D$7=D47),"x","")</f>
        <v/>
      </c>
      <c r="AB47" s="75" t="str">
        <f>IF(AND(OR(LEFT(TH!N47,2)="15",LEFT(TH!O47,2)="15"),LEFT(TH!O47,3)&lt;&gt;"111",'152-CT'!$J$8=TH!F47),"x","")</f>
        <v/>
      </c>
      <c r="AC47" s="75" t="str">
        <f>IF(AND(OR(LEFT(TH!N47,2)="15",LEFT(TH!O47,2)="15"),TK!$E$7=TH!F47),"x","")</f>
        <v/>
      </c>
      <c r="AD47" s="75" t="str">
        <f>IF(AND(N47="1521",MONTH(C47)='BK-NL'!$M$11),"x","")</f>
        <v/>
      </c>
    </row>
    <row r="48" spans="1:30" ht="16.5" customHeight="1">
      <c r="A48" s="309" t="str">
        <f>IF(B48&lt;&gt;"",IF(AND(B48='IN-TC'!$S$4,OR(TH!N48="1111",TH!O48="1111")),TH!D48,""),"")</f>
        <v/>
      </c>
      <c r="B48" s="1243">
        <f t="shared" si="0"/>
        <v>7</v>
      </c>
      <c r="C48" s="663">
        <v>42947</v>
      </c>
      <c r="D48" s="663" t="s">
        <v>530</v>
      </c>
      <c r="E48" s="663">
        <f t="shared" si="7"/>
        <v>42947</v>
      </c>
      <c r="F48" s="904" t="s">
        <v>715</v>
      </c>
      <c r="G48" s="664"/>
      <c r="H48" s="66"/>
      <c r="I48" s="374"/>
      <c r="J48" s="380"/>
      <c r="K48" s="374"/>
      <c r="L48" s="380"/>
      <c r="M48" s="665">
        <v>49458285</v>
      </c>
      <c r="N48" s="669" t="s">
        <v>272</v>
      </c>
      <c r="O48" s="669" t="s">
        <v>538</v>
      </c>
      <c r="P48" s="75" t="str">
        <f>IF(AND('331-CT'!$E$7=TH!H48,OR(N48="331",O48="331")),"x","")</f>
        <v/>
      </c>
      <c r="Q48" s="75" t="str">
        <f>IF(AND(B48='111'!$L$11,OR($N48=$Q$7,$O48=$Q$7)),"x","")</f>
        <v/>
      </c>
      <c r="R48" s="75" t="str">
        <f>IF(AND($N48=$Q$7,$B48&lt;'111'!$L$11),"x","")</f>
        <v/>
      </c>
      <c r="S48" s="75" t="str">
        <f>IF(AND($O48=$Q$7,$B48&lt;'111'!$L$11),"x","")</f>
        <v/>
      </c>
      <c r="T48" s="75" t="str">
        <f>IF(ISERROR(FIND('112'!$M$9,G48,1)),"",IF((AND(FIND('112'!$M$9,G48,1)&gt;=1,B48='112'!$K$9,OR($N48='112'!$I$6,$O48='112'!$I$6))),"x",""))</f>
        <v/>
      </c>
      <c r="U48" s="75" t="str">
        <f>IF(ISERROR(FIND('112'!$M$9,G48,1)),"",IF((AND(LEFT(G48,2)=LEFT('112'!$M$9,2),B48&lt;'112'!$K$9,$N48='112'!$I$6)),"x",""))</f>
        <v/>
      </c>
      <c r="V48" s="75" t="str">
        <f>IF(ISERROR(FIND('112'!$M$9,G48,1)),"",IF((AND(RIGHT(G48,2)=RIGHT('112'!$M$9,2),B48&lt;'112'!$K$9,$O48='112'!$I$6)),"x",""))</f>
        <v/>
      </c>
      <c r="W48" s="75" t="str">
        <f>IF(AND('341-CT'!$H$9=H48,OR(LEFT(N48,3)=$W$7,LEFT(O48,3)=$W$7)),"x","")</f>
        <v/>
      </c>
      <c r="X48" s="75" t="str">
        <f>IF(OR(TH!N48=TH!$X$7,O48=TH!$X$7),"x","")</f>
        <v/>
      </c>
      <c r="Y48" s="75" t="str">
        <f>IF(AND(OR(N48="131",O48="131"),H48='131-CT'!$H$9),"x","")</f>
        <v/>
      </c>
      <c r="Z48" s="75"/>
      <c r="AA48" s="75" t="str">
        <f>IF(AND(MONTH(E48)='IN-NX'!$J$5,'IN-NX'!$D$7=D48),"x","")</f>
        <v/>
      </c>
      <c r="AB48" s="75" t="str">
        <f>IF(AND(OR(LEFT(TH!N48,2)="15",LEFT(TH!O48,2)="15"),LEFT(TH!O48,3)&lt;&gt;"111",'152-CT'!$J$8=TH!F48),"x","")</f>
        <v/>
      </c>
      <c r="AC48" s="75" t="str">
        <f>IF(AND(OR(LEFT(TH!N48,2)="15",LEFT(TH!O48,2)="15"),TK!$E$7=TH!F48),"x","")</f>
        <v/>
      </c>
      <c r="AD48" s="75" t="str">
        <f>IF(AND(N48="1521",MONTH(C48)='BK-NL'!$M$11),"x","")</f>
        <v/>
      </c>
    </row>
    <row r="49" spans="1:30" ht="16.5" customHeight="1">
      <c r="A49" s="309" t="str">
        <f>IF(B49&lt;&gt;"",IF(AND(B49='IN-TC'!$S$4,OR(TH!N49="1111",TH!O49="1111")),TH!D49,""),"")</f>
        <v/>
      </c>
      <c r="B49" s="1129">
        <f t="shared" si="0"/>
        <v>8</v>
      </c>
      <c r="C49" s="663">
        <v>42978</v>
      </c>
      <c r="D49" s="663" t="s">
        <v>530</v>
      </c>
      <c r="E49" s="663">
        <f t="shared" si="7"/>
        <v>42978</v>
      </c>
      <c r="F49" s="904" t="s">
        <v>714</v>
      </c>
      <c r="G49" s="664"/>
      <c r="H49" s="67"/>
      <c r="I49" s="373"/>
      <c r="J49" s="379"/>
      <c r="K49" s="373"/>
      <c r="L49" s="379"/>
      <c r="M49" s="665">
        <v>10010706</v>
      </c>
      <c r="N49" s="667" t="s">
        <v>272</v>
      </c>
      <c r="O49" s="668" t="s">
        <v>537</v>
      </c>
      <c r="P49" s="75" t="str">
        <f>IF(AND('331-CT'!$E$7=TH!H49,OR(N49="331",O49="331")),"x","")</f>
        <v/>
      </c>
      <c r="Q49" s="75" t="str">
        <f>IF(AND(B49='111'!$L$11,OR($N49=$Q$7,$O49=$Q$7)),"x","")</f>
        <v/>
      </c>
      <c r="R49" s="75" t="str">
        <f>IF(AND($N49=$Q$7,$B49&lt;'111'!$L$11),"x","")</f>
        <v/>
      </c>
      <c r="S49" s="75" t="str">
        <f>IF(AND($O49=$Q$7,$B49&lt;'111'!$L$11),"x","")</f>
        <v/>
      </c>
      <c r="T49" s="75" t="str">
        <f>IF(ISERROR(FIND('112'!$M$9,G49,1)),"",IF((AND(FIND('112'!$M$9,G49,1)&gt;=1,B49='112'!$K$9,OR($N49='112'!$I$6,$O49='112'!$I$6))),"x",""))</f>
        <v/>
      </c>
      <c r="U49" s="75" t="str">
        <f>IF(ISERROR(FIND('112'!$M$9,G49,1)),"",IF((AND(LEFT(G49,2)=LEFT('112'!$M$9,2),B49&lt;'112'!$K$9,$N49='112'!$I$6)),"x",""))</f>
        <v/>
      </c>
      <c r="V49" s="75" t="str">
        <f>IF(ISERROR(FIND('112'!$M$9,G49,1)),"",IF((AND(RIGHT(G49,2)=RIGHT('112'!$M$9,2),B49&lt;'112'!$K$9,$O49='112'!$I$6)),"x",""))</f>
        <v/>
      </c>
      <c r="W49" s="75" t="str">
        <f>IF(AND('341-CT'!$H$9=H49,OR(LEFT(N49,3)=$W$7,LEFT(O49,3)=$W$7)),"x","")</f>
        <v/>
      </c>
      <c r="X49" s="75" t="str">
        <f>IF(OR(TH!N49=TH!$X$7,O49=TH!$X$7),"x","")</f>
        <v/>
      </c>
      <c r="Y49" s="75" t="str">
        <f>IF(AND(OR(N49="131",O49="131"),H49='131-CT'!$H$9),"x","")</f>
        <v/>
      </c>
      <c r="Z49" s="75"/>
      <c r="AA49" s="75" t="str">
        <f>IF(AND(MONTH(E49)='IN-NX'!$J$5,'IN-NX'!$D$7=D49),"x","")</f>
        <v/>
      </c>
      <c r="AB49" s="75" t="str">
        <f>IF(AND(OR(LEFT(TH!N49,2)="15",LEFT(TH!O49,2)="15"),LEFT(TH!O49,3)&lt;&gt;"111",'152-CT'!$J$8=TH!F49),"x","")</f>
        <v/>
      </c>
      <c r="AC49" s="75" t="str">
        <f>IF(AND(OR(LEFT(TH!N49,2)="15",LEFT(TH!O49,2)="15"),TK!$E$7=TH!F49),"x","")</f>
        <v/>
      </c>
      <c r="AD49" s="75" t="str">
        <f>IF(AND(N49="1521",MONTH(C49)='BK-NL'!$M$11),"x","")</f>
        <v/>
      </c>
    </row>
    <row r="50" spans="1:30" ht="16.5" customHeight="1">
      <c r="A50" s="309" t="str">
        <f>IF(B50&lt;&gt;"",IF(AND(B50='IN-TC'!$S$4,OR(TH!N50="1111",TH!O50="1111")),TH!D50,""),"")</f>
        <v/>
      </c>
      <c r="B50" s="1129">
        <f t="shared" si="0"/>
        <v>8</v>
      </c>
      <c r="C50" s="663">
        <v>42978</v>
      </c>
      <c r="D50" s="663" t="s">
        <v>530</v>
      </c>
      <c r="E50" s="663">
        <f t="shared" si="7"/>
        <v>42978</v>
      </c>
      <c r="F50" s="904" t="s">
        <v>715</v>
      </c>
      <c r="G50" s="741"/>
      <c r="H50" s="66"/>
      <c r="I50" s="374"/>
      <c r="J50" s="380"/>
      <c r="K50" s="374"/>
      <c r="L50" s="380"/>
      <c r="M50" s="665">
        <v>3671166</v>
      </c>
      <c r="N50" s="669" t="s">
        <v>101</v>
      </c>
      <c r="O50" s="669" t="s">
        <v>538</v>
      </c>
      <c r="P50" s="75" t="str">
        <f>IF(AND('331-CT'!$E$7=TH!H50,OR(N50="331",O50="331")),"x","")</f>
        <v/>
      </c>
      <c r="Q50" s="75" t="str">
        <f>IF(AND(B50='111'!$L$11,OR($N50=$Q$7,$O50=$Q$7)),"x","")</f>
        <v/>
      </c>
      <c r="R50" s="75" t="str">
        <f>IF(AND($N50=$Q$7,$B50&lt;'111'!$L$11),"x","")</f>
        <v/>
      </c>
      <c r="S50" s="75" t="str">
        <f>IF(AND($O50=$Q$7,$B50&lt;'111'!$L$11),"x","")</f>
        <v/>
      </c>
      <c r="T50" s="75" t="str">
        <f>IF(ISERROR(FIND('112'!$M$9,G50,1)),"",IF((AND(FIND('112'!$M$9,G50,1)&gt;=1,B50='112'!$K$9,OR($N50='112'!$I$6,$O50='112'!$I$6))),"x",""))</f>
        <v/>
      </c>
      <c r="U50" s="75" t="str">
        <f>IF(ISERROR(FIND('112'!$M$9,G50,1)),"",IF((AND(LEFT(G50,2)=LEFT('112'!$M$9,2),B50&lt;'112'!$K$9,$N50='112'!$I$6)),"x",""))</f>
        <v/>
      </c>
      <c r="V50" s="75" t="str">
        <f>IF(ISERROR(FIND('112'!$M$9,G50,1)),"",IF((AND(RIGHT(G50,2)=RIGHT('112'!$M$9,2),B50&lt;'112'!$K$9,$O50='112'!$I$6)),"x",""))</f>
        <v/>
      </c>
      <c r="W50" s="75" t="str">
        <f>IF(AND('341-CT'!$H$9=H50,OR(LEFT(N50,3)=$W$7,LEFT(O50,3)=$W$7)),"x","")</f>
        <v/>
      </c>
      <c r="X50" s="75" t="str">
        <f>IF(OR(TH!N50=TH!$X$7,O50=TH!$X$7),"x","")</f>
        <v/>
      </c>
      <c r="Y50" s="75" t="str">
        <f>IF(AND(OR(N50="131",O50="131"),H50='131-CT'!$H$9),"x","")</f>
        <v/>
      </c>
      <c r="Z50" s="75"/>
      <c r="AA50" s="75" t="str">
        <f>IF(AND(MONTH(E50)='IN-NX'!$J$5,'IN-NX'!$D$7=D50),"x","")</f>
        <v/>
      </c>
      <c r="AB50" s="75" t="str">
        <f>IF(AND(OR(LEFT(TH!N50,2)="15",LEFT(TH!O50,2)="15"),LEFT(TH!O50,3)&lt;&gt;"111",'152-CT'!$J$8=TH!F50),"x","")</f>
        <v/>
      </c>
      <c r="AC50" s="75" t="str">
        <f>IF(AND(OR(LEFT(TH!N50,2)="15",LEFT(TH!O50,2)="15"),TK!$E$7=TH!F50),"x","")</f>
        <v/>
      </c>
      <c r="AD50" s="75" t="str">
        <f>IF(AND(N50="1521",MONTH(C50)='BK-NL'!$M$11),"x","")</f>
        <v/>
      </c>
    </row>
    <row r="51" spans="1:30" ht="16.5" customHeight="1">
      <c r="A51" s="309" t="str">
        <f>IF(B51&lt;&gt;"",IF(AND(B51='IN-TC'!$S$4,OR(TH!N51="1111",TH!O51="1111")),TH!D51,""),"")</f>
        <v/>
      </c>
      <c r="B51" s="1129">
        <f t="shared" si="0"/>
        <v>8</v>
      </c>
      <c r="C51" s="663">
        <v>42978</v>
      </c>
      <c r="D51" s="663" t="s">
        <v>530</v>
      </c>
      <c r="E51" s="663">
        <f t="shared" si="7"/>
        <v>42978</v>
      </c>
      <c r="F51" s="904" t="s">
        <v>715</v>
      </c>
      <c r="G51" s="664"/>
      <c r="H51" s="66"/>
      <c r="I51" s="374"/>
      <c r="J51" s="380"/>
      <c r="K51" s="374"/>
      <c r="L51" s="380"/>
      <c r="M51" s="665">
        <v>49458285</v>
      </c>
      <c r="N51" s="669" t="s">
        <v>272</v>
      </c>
      <c r="O51" s="669" t="s">
        <v>538</v>
      </c>
      <c r="P51" s="75" t="str">
        <f>IF(AND('331-CT'!$E$7=TH!H51,OR(N51="331",O51="331")),"x","")</f>
        <v/>
      </c>
      <c r="Q51" s="75" t="str">
        <f>IF(AND(B51='111'!$L$11,OR($N51=$Q$7,$O51=$Q$7)),"x","")</f>
        <v/>
      </c>
      <c r="R51" s="75" t="str">
        <f>IF(AND($N51=$Q$7,$B51&lt;'111'!$L$11),"x","")</f>
        <v/>
      </c>
      <c r="S51" s="75" t="str">
        <f>IF(AND($O51=$Q$7,$B51&lt;'111'!$L$11),"x","")</f>
        <v/>
      </c>
      <c r="T51" s="75" t="str">
        <f>IF(ISERROR(FIND('112'!$M$9,G51,1)),"",IF((AND(FIND('112'!$M$9,G51,1)&gt;=1,B51='112'!$K$9,OR($N51='112'!$I$6,$O51='112'!$I$6))),"x",""))</f>
        <v/>
      </c>
      <c r="U51" s="75" t="str">
        <f>IF(ISERROR(FIND('112'!$M$9,G51,1)),"",IF((AND(LEFT(G51,2)=LEFT('112'!$M$9,2),B51&lt;'112'!$K$9,$N51='112'!$I$6)),"x",""))</f>
        <v/>
      </c>
      <c r="V51" s="75" t="str">
        <f>IF(ISERROR(FIND('112'!$M$9,G51,1)),"",IF((AND(RIGHT(G51,2)=RIGHT('112'!$M$9,2),B51&lt;'112'!$K$9,$O51='112'!$I$6)),"x",""))</f>
        <v/>
      </c>
      <c r="W51" s="75" t="str">
        <f>IF(AND('341-CT'!$H$9=H51,OR(LEFT(N51,3)=$W$7,LEFT(O51,3)=$W$7)),"x","")</f>
        <v/>
      </c>
      <c r="X51" s="75" t="str">
        <f>IF(OR(TH!N51=TH!$X$7,O51=TH!$X$7),"x","")</f>
        <v/>
      </c>
      <c r="Y51" s="75" t="str">
        <f>IF(AND(OR(N51="131",O51="131"),H51='131-CT'!$H$9),"x","")</f>
        <v/>
      </c>
      <c r="Z51" s="75"/>
      <c r="AA51" s="75" t="str">
        <f>IF(AND(MONTH(E51)='IN-NX'!$J$5,'IN-NX'!$D$7=D51),"x","")</f>
        <v/>
      </c>
      <c r="AB51" s="75" t="str">
        <f>IF(AND(OR(LEFT(TH!N51,2)="15",LEFT(TH!O51,2)="15"),LEFT(TH!O51,3)&lt;&gt;"111",'152-CT'!$J$8=TH!F51),"x","")</f>
        <v/>
      </c>
      <c r="AC51" s="75" t="str">
        <f>IF(AND(OR(LEFT(TH!N51,2)="15",LEFT(TH!O51,2)="15"),TK!$E$7=TH!F51),"x","")</f>
        <v/>
      </c>
      <c r="AD51" s="75" t="str">
        <f>IF(AND(N51="1521",MONTH(C51)='BK-NL'!$M$11),"x","")</f>
        <v/>
      </c>
    </row>
    <row r="52" spans="1:30" ht="16.5" customHeight="1">
      <c r="A52" s="309" t="str">
        <f>IF(B52&lt;&gt;"",IF(AND(B52='IN-TC'!$S$4,OR(TH!N52="1111",TH!O52="1111")),TH!D52,""),"")</f>
        <v/>
      </c>
      <c r="B52" s="1242">
        <f t="shared" si="0"/>
        <v>9</v>
      </c>
      <c r="C52" s="663">
        <v>43008</v>
      </c>
      <c r="D52" s="663" t="s">
        <v>530</v>
      </c>
      <c r="E52" s="663">
        <f t="shared" ref="E52:E54" si="8">C52</f>
        <v>43008</v>
      </c>
      <c r="F52" s="904" t="s">
        <v>714</v>
      </c>
      <c r="G52" s="664"/>
      <c r="H52" s="67"/>
      <c r="I52" s="373"/>
      <c r="J52" s="379"/>
      <c r="K52" s="373"/>
      <c r="L52" s="379"/>
      <c r="M52" s="665">
        <v>10010706</v>
      </c>
      <c r="N52" s="667" t="s">
        <v>272</v>
      </c>
      <c r="O52" s="668" t="s">
        <v>537</v>
      </c>
      <c r="P52" s="75" t="str">
        <f>IF(AND('331-CT'!$E$7=TH!H52,OR(N52="331",O52="331")),"x","")</f>
        <v/>
      </c>
      <c r="Q52" s="75" t="str">
        <f>IF(AND(B52='111'!$L$11,OR($N52=$Q$7,$O52=$Q$7)),"x","")</f>
        <v/>
      </c>
      <c r="R52" s="75" t="str">
        <f>IF(AND($N52=$Q$7,$B52&lt;'111'!$L$11),"x","")</f>
        <v/>
      </c>
      <c r="S52" s="75" t="str">
        <f>IF(AND($O52=$Q$7,$B52&lt;'111'!$L$11),"x","")</f>
        <v/>
      </c>
      <c r="T52" s="75" t="str">
        <f>IF(ISERROR(FIND('112'!$M$9,G52,1)),"",IF((AND(FIND('112'!$M$9,G52,1)&gt;=1,B52='112'!$K$9,OR($N52='112'!$I$6,$O52='112'!$I$6))),"x",""))</f>
        <v/>
      </c>
      <c r="U52" s="75" t="str">
        <f>IF(ISERROR(FIND('112'!$M$9,G52,1)),"",IF((AND(LEFT(G52,2)=LEFT('112'!$M$9,2),B52&lt;'112'!$K$9,$N52='112'!$I$6)),"x",""))</f>
        <v/>
      </c>
      <c r="V52" s="75" t="str">
        <f>IF(ISERROR(FIND('112'!$M$9,G52,1)),"",IF((AND(RIGHT(G52,2)=RIGHT('112'!$M$9,2),B52&lt;'112'!$K$9,$O52='112'!$I$6)),"x",""))</f>
        <v/>
      </c>
      <c r="W52" s="75" t="str">
        <f>IF(AND('341-CT'!$H$9=H52,OR(LEFT(N52,3)=$W$7,LEFT(O52,3)=$W$7)),"x","")</f>
        <v/>
      </c>
      <c r="X52" s="75" t="str">
        <f>IF(OR(TH!N52=TH!$X$7,O52=TH!$X$7),"x","")</f>
        <v/>
      </c>
      <c r="Y52" s="75" t="str">
        <f>IF(AND(OR(N52="131",O52="131"),H52='131-CT'!$H$9),"x","")</f>
        <v/>
      </c>
      <c r="Z52" s="75"/>
      <c r="AA52" s="75" t="str">
        <f>IF(AND(MONTH(E52)='IN-NX'!$J$5,'IN-NX'!$D$7=D52),"x","")</f>
        <v/>
      </c>
      <c r="AB52" s="75" t="str">
        <f>IF(AND(OR(LEFT(TH!N52,2)="15",LEFT(TH!O52,2)="15"),LEFT(TH!O52,3)&lt;&gt;"111",'152-CT'!$J$8=TH!F52),"x","")</f>
        <v/>
      </c>
      <c r="AC52" s="75" t="str">
        <f>IF(AND(OR(LEFT(TH!N52,2)="15",LEFT(TH!O52,2)="15"),TK!$E$7=TH!F52),"x","")</f>
        <v/>
      </c>
      <c r="AD52" s="75" t="str">
        <f>IF(AND(N52="1521",MONTH(C52)='BK-NL'!$M$11),"x","")</f>
        <v/>
      </c>
    </row>
    <row r="53" spans="1:30" ht="16.5" customHeight="1">
      <c r="A53" s="309" t="str">
        <f>IF(B53&lt;&gt;"",IF(AND(B53='IN-TC'!$S$4,OR(TH!N53="1111",TH!O53="1111")),TH!D53,""),"")</f>
        <v/>
      </c>
      <c r="B53" s="1242">
        <f t="shared" si="0"/>
        <v>9</v>
      </c>
      <c r="C53" s="663">
        <v>43008</v>
      </c>
      <c r="D53" s="663" t="s">
        <v>530</v>
      </c>
      <c r="E53" s="663">
        <f t="shared" si="8"/>
        <v>43008</v>
      </c>
      <c r="F53" s="904" t="s">
        <v>715</v>
      </c>
      <c r="G53" s="741"/>
      <c r="H53" s="66"/>
      <c r="I53" s="374"/>
      <c r="J53" s="380"/>
      <c r="K53" s="374"/>
      <c r="L53" s="380"/>
      <c r="M53" s="665">
        <v>3671166</v>
      </c>
      <c r="N53" s="669" t="s">
        <v>101</v>
      </c>
      <c r="O53" s="669" t="s">
        <v>538</v>
      </c>
      <c r="P53" s="75" t="str">
        <f>IF(AND('331-CT'!$E$7=TH!H53,OR(N53="331",O53="331")),"x","")</f>
        <v/>
      </c>
      <c r="Q53" s="75" t="str">
        <f>IF(AND(B53='111'!$L$11,OR($N53=$Q$7,$O53=$Q$7)),"x","")</f>
        <v/>
      </c>
      <c r="R53" s="75" t="str">
        <f>IF(AND($N53=$Q$7,$B53&lt;'111'!$L$11),"x","")</f>
        <v/>
      </c>
      <c r="S53" s="75" t="str">
        <f>IF(AND($O53=$Q$7,$B53&lt;'111'!$L$11),"x","")</f>
        <v/>
      </c>
      <c r="T53" s="75" t="str">
        <f>IF(ISERROR(FIND('112'!$M$9,G53,1)),"",IF((AND(FIND('112'!$M$9,G53,1)&gt;=1,B53='112'!$K$9,OR($N53='112'!$I$6,$O53='112'!$I$6))),"x",""))</f>
        <v/>
      </c>
      <c r="U53" s="75" t="str">
        <f>IF(ISERROR(FIND('112'!$M$9,G53,1)),"",IF((AND(LEFT(G53,2)=LEFT('112'!$M$9,2),B53&lt;'112'!$K$9,$N53='112'!$I$6)),"x",""))</f>
        <v/>
      </c>
      <c r="V53" s="75" t="str">
        <f>IF(ISERROR(FIND('112'!$M$9,G53,1)),"",IF((AND(RIGHT(G53,2)=RIGHT('112'!$M$9,2),B53&lt;'112'!$K$9,$O53='112'!$I$6)),"x",""))</f>
        <v/>
      </c>
      <c r="W53" s="75" t="str">
        <f>IF(AND('341-CT'!$H$9=H53,OR(LEFT(N53,3)=$W$7,LEFT(O53,3)=$W$7)),"x","")</f>
        <v/>
      </c>
      <c r="X53" s="75" t="str">
        <f>IF(OR(TH!N53=TH!$X$7,O53=TH!$X$7),"x","")</f>
        <v/>
      </c>
      <c r="Y53" s="75" t="str">
        <f>IF(AND(OR(N53="131",O53="131"),H53='131-CT'!$H$9),"x","")</f>
        <v/>
      </c>
      <c r="Z53" s="75"/>
      <c r="AA53" s="75" t="str">
        <f>IF(AND(MONTH(E53)='IN-NX'!$J$5,'IN-NX'!$D$7=D53),"x","")</f>
        <v/>
      </c>
      <c r="AB53" s="75" t="str">
        <f>IF(AND(OR(LEFT(TH!N53,2)="15",LEFT(TH!O53,2)="15"),LEFT(TH!O53,3)&lt;&gt;"111",'152-CT'!$J$8=TH!F53),"x","")</f>
        <v/>
      </c>
      <c r="AC53" s="75" t="str">
        <f>IF(AND(OR(LEFT(TH!N53,2)="15",LEFT(TH!O53,2)="15"),TK!$E$7=TH!F53),"x","")</f>
        <v/>
      </c>
      <c r="AD53" s="75" t="str">
        <f>IF(AND(N53="1521",MONTH(C53)='BK-NL'!$M$11),"x","")</f>
        <v/>
      </c>
    </row>
    <row r="54" spans="1:30" ht="16.5" customHeight="1">
      <c r="A54" s="309" t="str">
        <f>IF(B54&lt;&gt;"",IF(AND(B54='IN-TC'!$S$4,OR(TH!N54="1111",TH!O54="1111")),TH!D54,""),"")</f>
        <v/>
      </c>
      <c r="B54" s="1242">
        <f t="shared" si="0"/>
        <v>9</v>
      </c>
      <c r="C54" s="663">
        <v>43008</v>
      </c>
      <c r="D54" s="663" t="s">
        <v>530</v>
      </c>
      <c r="E54" s="663">
        <f t="shared" si="8"/>
        <v>43008</v>
      </c>
      <c r="F54" s="904" t="s">
        <v>715</v>
      </c>
      <c r="G54" s="664"/>
      <c r="H54" s="66"/>
      <c r="I54" s="374"/>
      <c r="J54" s="380"/>
      <c r="K54" s="374"/>
      <c r="L54" s="380"/>
      <c r="M54" s="665">
        <v>49458290</v>
      </c>
      <c r="N54" s="669" t="s">
        <v>272</v>
      </c>
      <c r="O54" s="669" t="s">
        <v>538</v>
      </c>
      <c r="P54" s="75" t="str">
        <f>IF(AND('331-CT'!$E$7=TH!H54,OR(N54="331",O54="331")),"x","")</f>
        <v/>
      </c>
      <c r="Q54" s="75" t="str">
        <f>IF(AND(B54='111'!$L$11,OR($N54=$Q$7,$O54=$Q$7)),"x","")</f>
        <v/>
      </c>
      <c r="R54" s="75" t="str">
        <f>IF(AND($N54=$Q$7,$B54&lt;'111'!$L$11),"x","")</f>
        <v/>
      </c>
      <c r="S54" s="75" t="str">
        <f>IF(AND($O54=$Q$7,$B54&lt;'111'!$L$11),"x","")</f>
        <v/>
      </c>
      <c r="T54" s="75" t="str">
        <f>IF(ISERROR(FIND('112'!$M$9,G54,1)),"",IF((AND(FIND('112'!$M$9,G54,1)&gt;=1,B54='112'!$K$9,OR($N54='112'!$I$6,$O54='112'!$I$6))),"x",""))</f>
        <v/>
      </c>
      <c r="U54" s="75" t="str">
        <f>IF(ISERROR(FIND('112'!$M$9,G54,1)),"",IF((AND(LEFT(G54,2)=LEFT('112'!$M$9,2),B54&lt;'112'!$K$9,$N54='112'!$I$6)),"x",""))</f>
        <v/>
      </c>
      <c r="V54" s="75" t="str">
        <f>IF(ISERROR(FIND('112'!$M$9,G54,1)),"",IF((AND(RIGHT(G54,2)=RIGHT('112'!$M$9,2),B54&lt;'112'!$K$9,$O54='112'!$I$6)),"x",""))</f>
        <v/>
      </c>
      <c r="W54" s="75" t="str">
        <f>IF(AND('341-CT'!$H$9=H54,OR(LEFT(N54,3)=$W$7,LEFT(O54,3)=$W$7)),"x","")</f>
        <v/>
      </c>
      <c r="X54" s="75" t="str">
        <f>IF(OR(TH!N54=TH!$X$7,O54=TH!$X$7),"x","")</f>
        <v/>
      </c>
      <c r="Y54" s="75" t="str">
        <f>IF(AND(OR(N54="131",O54="131"),H54='131-CT'!$H$9),"x","")</f>
        <v/>
      </c>
      <c r="Z54" s="75"/>
      <c r="AA54" s="75" t="str">
        <f>IF(AND(MONTH(E54)='IN-NX'!$J$5,'IN-NX'!$D$7=D54),"x","")</f>
        <v/>
      </c>
      <c r="AB54" s="75" t="str">
        <f>IF(AND(OR(LEFT(TH!N54,2)="15",LEFT(TH!O54,2)="15"),LEFT(TH!O54,3)&lt;&gt;"111",'152-CT'!$J$8=TH!F54),"x","")</f>
        <v/>
      </c>
      <c r="AC54" s="75" t="str">
        <f>IF(AND(OR(LEFT(TH!N54,2)="15",LEFT(TH!O54,2)="15"),TK!$E$7=TH!F54),"x","")</f>
        <v/>
      </c>
      <c r="AD54" s="75" t="str">
        <f>IF(AND(N54="1521",MONTH(C54)='BK-NL'!$M$11),"x","")</f>
        <v/>
      </c>
    </row>
    <row r="55" spans="1:30" ht="16.5" customHeight="1">
      <c r="A55" s="309" t="str">
        <f>IF(B55&lt;&gt;"",IF(AND(B55='IN-TC'!$S$4,OR(TH!N55="1111",TH!O55="1111")),TH!D55,""),"")</f>
        <v/>
      </c>
      <c r="B55" s="1244">
        <f t="shared" si="0"/>
        <v>10</v>
      </c>
      <c r="C55" s="663">
        <v>43039</v>
      </c>
      <c r="D55" s="663" t="s">
        <v>530</v>
      </c>
      <c r="E55" s="663">
        <f t="shared" ref="E55:E57" si="9">C55</f>
        <v>43039</v>
      </c>
      <c r="F55" s="904" t="s">
        <v>714</v>
      </c>
      <c r="G55" s="664"/>
      <c r="H55" s="67"/>
      <c r="I55" s="373"/>
      <c r="J55" s="379"/>
      <c r="K55" s="373"/>
      <c r="L55" s="379"/>
      <c r="M55" s="665">
        <v>10010706</v>
      </c>
      <c r="N55" s="667" t="s">
        <v>272</v>
      </c>
      <c r="O55" s="668" t="s">
        <v>537</v>
      </c>
      <c r="P55" s="75" t="str">
        <f>IF(AND('331-CT'!$E$7=TH!H55,OR(N55="331",O55="331")),"x","")</f>
        <v/>
      </c>
      <c r="Q55" s="75" t="str">
        <f>IF(AND(B55='111'!$L$11,OR($N55=$Q$7,$O55=$Q$7)),"x","")</f>
        <v/>
      </c>
      <c r="R55" s="75" t="str">
        <f>IF(AND($N55=$Q$7,$B55&lt;'111'!$L$11),"x","")</f>
        <v/>
      </c>
      <c r="S55" s="75" t="str">
        <f>IF(AND($O55=$Q$7,$B55&lt;'111'!$L$11),"x","")</f>
        <v/>
      </c>
      <c r="T55" s="75" t="str">
        <f>IF(ISERROR(FIND('112'!$M$9,G55,1)),"",IF((AND(FIND('112'!$M$9,G55,1)&gt;=1,B55='112'!$K$9,OR($N55='112'!$I$6,$O55='112'!$I$6))),"x",""))</f>
        <v/>
      </c>
      <c r="U55" s="75" t="str">
        <f>IF(ISERROR(FIND('112'!$M$9,G55,1)),"",IF((AND(LEFT(G55,2)=LEFT('112'!$M$9,2),B55&lt;'112'!$K$9,$N55='112'!$I$6)),"x",""))</f>
        <v/>
      </c>
      <c r="V55" s="75" t="str">
        <f>IF(ISERROR(FIND('112'!$M$9,G55,1)),"",IF((AND(RIGHT(G55,2)=RIGHT('112'!$M$9,2),B55&lt;'112'!$K$9,$O55='112'!$I$6)),"x",""))</f>
        <v/>
      </c>
      <c r="W55" s="75" t="str">
        <f>IF(AND('341-CT'!$H$9=H55,OR(LEFT(N55,3)=$W$7,LEFT(O55,3)=$W$7)),"x","")</f>
        <v/>
      </c>
      <c r="X55" s="75" t="str">
        <f>IF(OR(TH!N55=TH!$X$7,O55=TH!$X$7),"x","")</f>
        <v/>
      </c>
      <c r="Y55" s="75" t="str">
        <f>IF(AND(OR(N55="131",O55="131"),H55='131-CT'!$H$9),"x","")</f>
        <v/>
      </c>
      <c r="Z55" s="75"/>
      <c r="AA55" s="75" t="str">
        <f>IF(AND(MONTH(E55)='IN-NX'!$J$5,'IN-NX'!$D$7=D55),"x","")</f>
        <v/>
      </c>
      <c r="AB55" s="75" t="str">
        <f>IF(AND(OR(LEFT(TH!N55,2)="15",LEFT(TH!O55,2)="15"),LEFT(TH!O55,3)&lt;&gt;"111",'152-CT'!$J$8=TH!F55),"x","")</f>
        <v/>
      </c>
      <c r="AC55" s="75" t="str">
        <f>IF(AND(OR(LEFT(TH!N55,2)="15",LEFT(TH!O55,2)="15"),TK!$E$7=TH!F55),"x","")</f>
        <v/>
      </c>
      <c r="AD55" s="75" t="str">
        <f>IF(AND(N55="1521",MONTH(C55)='BK-NL'!$M$11),"x","")</f>
        <v/>
      </c>
    </row>
    <row r="56" spans="1:30" ht="16.5" customHeight="1">
      <c r="A56" s="309" t="str">
        <f>IF(B56&lt;&gt;"",IF(AND(B56='IN-TC'!$S$4,OR(TH!N56="1111",TH!O56="1111")),TH!D56,""),"")</f>
        <v/>
      </c>
      <c r="B56" s="1244">
        <f t="shared" si="0"/>
        <v>10</v>
      </c>
      <c r="C56" s="663">
        <v>43039</v>
      </c>
      <c r="D56" s="663" t="s">
        <v>530</v>
      </c>
      <c r="E56" s="663">
        <f t="shared" si="9"/>
        <v>43039</v>
      </c>
      <c r="F56" s="904" t="s">
        <v>715</v>
      </c>
      <c r="G56" s="741"/>
      <c r="H56" s="66"/>
      <c r="I56" s="374"/>
      <c r="J56" s="380"/>
      <c r="K56" s="374"/>
      <c r="L56" s="380"/>
      <c r="M56" s="665">
        <v>3671166</v>
      </c>
      <c r="N56" s="669" t="s">
        <v>101</v>
      </c>
      <c r="O56" s="669" t="s">
        <v>538</v>
      </c>
      <c r="P56" s="75" t="str">
        <f>IF(AND('331-CT'!$E$7=TH!H56,OR(N56="331",O56="331")),"x","")</f>
        <v/>
      </c>
      <c r="Q56" s="75" t="str">
        <f>IF(AND(B56='111'!$L$11,OR($N56=$Q$7,$O56=$Q$7)),"x","")</f>
        <v/>
      </c>
      <c r="R56" s="75" t="str">
        <f>IF(AND($N56=$Q$7,$B56&lt;'111'!$L$11),"x","")</f>
        <v/>
      </c>
      <c r="S56" s="75" t="str">
        <f>IF(AND($O56=$Q$7,$B56&lt;'111'!$L$11),"x","")</f>
        <v/>
      </c>
      <c r="T56" s="75" t="str">
        <f>IF(ISERROR(FIND('112'!$M$9,G56,1)),"",IF((AND(FIND('112'!$M$9,G56,1)&gt;=1,B56='112'!$K$9,OR($N56='112'!$I$6,$O56='112'!$I$6))),"x",""))</f>
        <v/>
      </c>
      <c r="U56" s="75" t="str">
        <f>IF(ISERROR(FIND('112'!$M$9,G56,1)),"",IF((AND(LEFT(G56,2)=LEFT('112'!$M$9,2),B56&lt;'112'!$K$9,$N56='112'!$I$6)),"x",""))</f>
        <v/>
      </c>
      <c r="V56" s="75" t="str">
        <f>IF(ISERROR(FIND('112'!$M$9,G56,1)),"",IF((AND(RIGHT(G56,2)=RIGHT('112'!$M$9,2),B56&lt;'112'!$K$9,$O56='112'!$I$6)),"x",""))</f>
        <v/>
      </c>
      <c r="W56" s="75" t="str">
        <f>IF(AND('341-CT'!$H$9=H56,OR(LEFT(N56,3)=$W$7,LEFT(O56,3)=$W$7)),"x","")</f>
        <v/>
      </c>
      <c r="X56" s="75" t="str">
        <f>IF(OR(TH!N56=TH!$X$7,O56=TH!$X$7),"x","")</f>
        <v/>
      </c>
      <c r="Y56" s="75" t="str">
        <f>IF(AND(OR(N56="131",O56="131"),H56='131-CT'!$H$9),"x","")</f>
        <v/>
      </c>
      <c r="Z56" s="75"/>
      <c r="AA56" s="75" t="str">
        <f>IF(AND(MONTH(E56)='IN-NX'!$J$5,'IN-NX'!$D$7=D56),"x","")</f>
        <v/>
      </c>
      <c r="AB56" s="75" t="str">
        <f>IF(AND(OR(LEFT(TH!N56,2)="15",LEFT(TH!O56,2)="15"),LEFT(TH!O56,3)&lt;&gt;"111",'152-CT'!$J$8=TH!F56),"x","")</f>
        <v/>
      </c>
      <c r="AC56" s="75" t="str">
        <f>IF(AND(OR(LEFT(TH!N56,2)="15",LEFT(TH!O56,2)="15"),TK!$E$7=TH!F56),"x","")</f>
        <v/>
      </c>
      <c r="AD56" s="75" t="str">
        <f>IF(AND(N56="1521",MONTH(C56)='BK-NL'!$M$11),"x","")</f>
        <v/>
      </c>
    </row>
    <row r="57" spans="1:30" ht="16.5" customHeight="1">
      <c r="A57" s="309" t="str">
        <f>IF(B57&lt;&gt;"",IF(AND(B57='IN-TC'!$S$4,OR(TH!N57="1111",TH!O57="1111")),TH!D57,""),"")</f>
        <v/>
      </c>
      <c r="B57" s="1244">
        <f t="shared" si="0"/>
        <v>10</v>
      </c>
      <c r="C57" s="663">
        <v>43039</v>
      </c>
      <c r="D57" s="663" t="s">
        <v>530</v>
      </c>
      <c r="E57" s="663">
        <f t="shared" si="9"/>
        <v>43039</v>
      </c>
      <c r="F57" s="904" t="s">
        <v>715</v>
      </c>
      <c r="G57" s="664"/>
      <c r="H57" s="66"/>
      <c r="I57" s="374"/>
      <c r="J57" s="380"/>
      <c r="K57" s="374"/>
      <c r="L57" s="380"/>
      <c r="M57" s="665">
        <v>44516758</v>
      </c>
      <c r="N57" s="669" t="s">
        <v>272</v>
      </c>
      <c r="O57" s="669" t="s">
        <v>538</v>
      </c>
      <c r="P57" s="75" t="str">
        <f>IF(AND('331-CT'!$E$7=TH!H57,OR(N57="331",O57="331")),"x","")</f>
        <v/>
      </c>
      <c r="Q57" s="75" t="str">
        <f>IF(AND(B57='111'!$L$11,OR($N57=$Q$7,$O57=$Q$7)),"x","")</f>
        <v/>
      </c>
      <c r="R57" s="75" t="str">
        <f>IF(AND($N57=$Q$7,$B57&lt;'111'!$L$11),"x","")</f>
        <v/>
      </c>
      <c r="S57" s="75" t="str">
        <f>IF(AND($O57=$Q$7,$B57&lt;'111'!$L$11),"x","")</f>
        <v/>
      </c>
      <c r="T57" s="75" t="str">
        <f>IF(ISERROR(FIND('112'!$M$9,G57,1)),"",IF((AND(FIND('112'!$M$9,G57,1)&gt;=1,B57='112'!$K$9,OR($N57='112'!$I$6,$O57='112'!$I$6))),"x",""))</f>
        <v/>
      </c>
      <c r="U57" s="75" t="str">
        <f>IF(ISERROR(FIND('112'!$M$9,G57,1)),"",IF((AND(LEFT(G57,2)=LEFT('112'!$M$9,2),B57&lt;'112'!$K$9,$N57='112'!$I$6)),"x",""))</f>
        <v/>
      </c>
      <c r="V57" s="75" t="str">
        <f>IF(ISERROR(FIND('112'!$M$9,G57,1)),"",IF((AND(RIGHT(G57,2)=RIGHT('112'!$M$9,2),B57&lt;'112'!$K$9,$O57='112'!$I$6)),"x",""))</f>
        <v/>
      </c>
      <c r="W57" s="75" t="str">
        <f>IF(AND('341-CT'!$H$9=H57,OR(LEFT(N57,3)=$W$7,LEFT(O57,3)=$W$7)),"x","")</f>
        <v/>
      </c>
      <c r="X57" s="75" t="str">
        <f>IF(OR(TH!N57=TH!$X$7,O57=TH!$X$7),"x","")</f>
        <v/>
      </c>
      <c r="Y57" s="75" t="str">
        <f>IF(AND(OR(N57="131",O57="131"),H57='131-CT'!$H$9),"x","")</f>
        <v/>
      </c>
      <c r="Z57" s="75"/>
      <c r="AA57" s="75" t="str">
        <f>IF(AND(MONTH(E57)='IN-NX'!$J$5,'IN-NX'!$D$7=D57),"x","")</f>
        <v/>
      </c>
      <c r="AB57" s="75" t="str">
        <f>IF(AND(OR(LEFT(TH!N57,2)="15",LEFT(TH!O57,2)="15"),LEFT(TH!O57,3)&lt;&gt;"111",'152-CT'!$J$8=TH!F57),"x","")</f>
        <v/>
      </c>
      <c r="AC57" s="75" t="str">
        <f>IF(AND(OR(LEFT(TH!N57,2)="15",LEFT(TH!O57,2)="15"),TK!$E$7=TH!F57),"x","")</f>
        <v/>
      </c>
      <c r="AD57" s="75" t="str">
        <f>IF(AND(N57="1521",MONTH(C57)='BK-NL'!$M$11),"x","")</f>
        <v/>
      </c>
    </row>
    <row r="58" spans="1:30" ht="16.5" customHeight="1">
      <c r="A58" s="309" t="str">
        <f>IF(B58&lt;&gt;"",IF(AND(B58='IN-TC'!$S$4,OR(TH!N58="1111",TH!O58="1111")),TH!D58,""),"")</f>
        <v/>
      </c>
      <c r="B58" s="1245">
        <f t="shared" si="0"/>
        <v>11</v>
      </c>
      <c r="C58" s="663">
        <v>43069</v>
      </c>
      <c r="D58" s="663" t="s">
        <v>530</v>
      </c>
      <c r="E58" s="663">
        <f t="shared" ref="E58:E60" si="10">C58</f>
        <v>43069</v>
      </c>
      <c r="F58" s="904" t="s">
        <v>714</v>
      </c>
      <c r="G58" s="664"/>
      <c r="H58" s="67"/>
      <c r="I58" s="373"/>
      <c r="J58" s="379"/>
      <c r="K58" s="373"/>
      <c r="L58" s="379"/>
      <c r="M58" s="665">
        <v>10010706</v>
      </c>
      <c r="N58" s="667" t="s">
        <v>272</v>
      </c>
      <c r="O58" s="668" t="s">
        <v>537</v>
      </c>
      <c r="P58" s="75" t="str">
        <f>IF(AND('331-CT'!$E$7=TH!H58,OR(N58="331",O58="331")),"x","")</f>
        <v/>
      </c>
      <c r="Q58" s="75" t="str">
        <f>IF(AND(B58='111'!$L$11,OR($N58=$Q$7,$O58=$Q$7)),"x","")</f>
        <v/>
      </c>
      <c r="R58" s="75" t="str">
        <f>IF(AND($N58=$Q$7,$B58&lt;'111'!$L$11),"x","")</f>
        <v/>
      </c>
      <c r="S58" s="75" t="str">
        <f>IF(AND($O58=$Q$7,$B58&lt;'111'!$L$11),"x","")</f>
        <v/>
      </c>
      <c r="T58" s="75" t="str">
        <f>IF(ISERROR(FIND('112'!$M$9,G58,1)),"",IF((AND(FIND('112'!$M$9,G58,1)&gt;=1,B58='112'!$K$9,OR($N58='112'!$I$6,$O58='112'!$I$6))),"x",""))</f>
        <v/>
      </c>
      <c r="U58" s="75" t="str">
        <f>IF(ISERROR(FIND('112'!$M$9,G58,1)),"",IF((AND(LEFT(G58,2)=LEFT('112'!$M$9,2),B58&lt;'112'!$K$9,$N58='112'!$I$6)),"x",""))</f>
        <v/>
      </c>
      <c r="V58" s="75" t="str">
        <f>IF(ISERROR(FIND('112'!$M$9,G58,1)),"",IF((AND(RIGHT(G58,2)=RIGHT('112'!$M$9,2),B58&lt;'112'!$K$9,$O58='112'!$I$6)),"x",""))</f>
        <v/>
      </c>
      <c r="W58" s="75" t="str">
        <f>IF(AND('341-CT'!$H$9=H58,OR(LEFT(N58,3)=$W$7,LEFT(O58,3)=$W$7)),"x","")</f>
        <v/>
      </c>
      <c r="X58" s="75" t="str">
        <f>IF(OR(TH!N58=TH!$X$7,O58=TH!$X$7),"x","")</f>
        <v/>
      </c>
      <c r="Y58" s="75" t="str">
        <f>IF(AND(OR(N58="131",O58="131"),H58='131-CT'!$H$9),"x","")</f>
        <v/>
      </c>
      <c r="Z58" s="75"/>
      <c r="AA58" s="75" t="str">
        <f>IF(AND(MONTH(E58)='IN-NX'!$J$5,'IN-NX'!$D$7=D58),"x","")</f>
        <v/>
      </c>
      <c r="AB58" s="75" t="str">
        <f>IF(AND(OR(LEFT(TH!N58,2)="15",LEFT(TH!O58,2)="15"),LEFT(TH!O58,3)&lt;&gt;"111",'152-CT'!$J$8=TH!F58),"x","")</f>
        <v/>
      </c>
      <c r="AC58" s="75" t="str">
        <f>IF(AND(OR(LEFT(TH!N58,2)="15",LEFT(TH!O58,2)="15"),TK!$E$7=TH!F58),"x","")</f>
        <v/>
      </c>
      <c r="AD58" s="75" t="str">
        <f>IF(AND(N58="1521",MONTH(C58)='BK-NL'!$M$11),"x","")</f>
        <v/>
      </c>
    </row>
    <row r="59" spans="1:30" ht="16.5" customHeight="1">
      <c r="A59" s="309" t="str">
        <f>IF(B59&lt;&gt;"",IF(AND(B59='IN-TC'!$S$4,OR(TH!N59="1111",TH!O59="1111")),TH!D59,""),"")</f>
        <v/>
      </c>
      <c r="B59" s="1245">
        <f t="shared" si="0"/>
        <v>11</v>
      </c>
      <c r="C59" s="663">
        <v>43069</v>
      </c>
      <c r="D59" s="663" t="s">
        <v>530</v>
      </c>
      <c r="E59" s="663">
        <f t="shared" si="10"/>
        <v>43069</v>
      </c>
      <c r="F59" s="904" t="s">
        <v>715</v>
      </c>
      <c r="G59" s="741"/>
      <c r="H59" s="66"/>
      <c r="I59" s="374"/>
      <c r="J59" s="380"/>
      <c r="K59" s="374"/>
      <c r="L59" s="380"/>
      <c r="M59" s="665">
        <v>3671167</v>
      </c>
      <c r="N59" s="669" t="s">
        <v>101</v>
      </c>
      <c r="O59" s="669" t="s">
        <v>538</v>
      </c>
      <c r="P59" s="75" t="str">
        <f>IF(AND('331-CT'!$E$7=TH!H59,OR(N59="331",O59="331")),"x","")</f>
        <v/>
      </c>
      <c r="Q59" s="75" t="str">
        <f>IF(AND(B59='111'!$L$11,OR($N59=$Q$7,$O59=$Q$7)),"x","")</f>
        <v/>
      </c>
      <c r="R59" s="75" t="str">
        <f>IF(AND($N59=$Q$7,$B59&lt;'111'!$L$11),"x","")</f>
        <v/>
      </c>
      <c r="S59" s="75" t="str">
        <f>IF(AND($O59=$Q$7,$B59&lt;'111'!$L$11),"x","")</f>
        <v/>
      </c>
      <c r="T59" s="75" t="str">
        <f>IF(ISERROR(FIND('112'!$M$9,G59,1)),"",IF((AND(FIND('112'!$M$9,G59,1)&gt;=1,B59='112'!$K$9,OR($N59='112'!$I$6,$O59='112'!$I$6))),"x",""))</f>
        <v/>
      </c>
      <c r="U59" s="75" t="str">
        <f>IF(ISERROR(FIND('112'!$M$9,G59,1)),"",IF((AND(LEFT(G59,2)=LEFT('112'!$M$9,2),B59&lt;'112'!$K$9,$N59='112'!$I$6)),"x",""))</f>
        <v/>
      </c>
      <c r="V59" s="75" t="str">
        <f>IF(ISERROR(FIND('112'!$M$9,G59,1)),"",IF((AND(RIGHT(G59,2)=RIGHT('112'!$M$9,2),B59&lt;'112'!$K$9,$O59='112'!$I$6)),"x",""))</f>
        <v/>
      </c>
      <c r="W59" s="75" t="str">
        <f>IF(AND('341-CT'!$H$9=H59,OR(LEFT(N59,3)=$W$7,LEFT(O59,3)=$W$7)),"x","")</f>
        <v/>
      </c>
      <c r="X59" s="75" t="str">
        <f>IF(OR(TH!N59=TH!$X$7,O59=TH!$X$7),"x","")</f>
        <v/>
      </c>
      <c r="Y59" s="75" t="str">
        <f>IF(AND(OR(N59="131",O59="131"),H59='131-CT'!$H$9),"x","")</f>
        <v/>
      </c>
      <c r="Z59" s="75"/>
      <c r="AA59" s="75" t="str">
        <f>IF(AND(MONTH(E59)='IN-NX'!$J$5,'IN-NX'!$D$7=D59),"x","")</f>
        <v/>
      </c>
      <c r="AB59" s="75" t="str">
        <f>IF(AND(OR(LEFT(TH!N59,2)="15",LEFT(TH!O59,2)="15"),LEFT(TH!O59,3)&lt;&gt;"111",'152-CT'!$J$8=TH!F59),"x","")</f>
        <v/>
      </c>
      <c r="AC59" s="75" t="str">
        <f>IF(AND(OR(LEFT(TH!N59,2)="15",LEFT(TH!O59,2)="15"),TK!$E$7=TH!F59),"x","")</f>
        <v/>
      </c>
      <c r="AD59" s="75" t="str">
        <f>IF(AND(N59="1521",MONTH(C59)='BK-NL'!$M$11),"x","")</f>
        <v/>
      </c>
    </row>
    <row r="60" spans="1:30" ht="16.5" customHeight="1">
      <c r="A60" s="309" t="str">
        <f>IF(B60&lt;&gt;"",IF(AND(B60='IN-TC'!$S$4,OR(TH!N60="1111",TH!O60="1111")),TH!D60,""),"")</f>
        <v/>
      </c>
      <c r="B60" s="1245">
        <f t="shared" si="0"/>
        <v>11</v>
      </c>
      <c r="C60" s="663">
        <v>43069</v>
      </c>
      <c r="D60" s="663" t="s">
        <v>530</v>
      </c>
      <c r="E60" s="663">
        <f t="shared" si="10"/>
        <v>43069</v>
      </c>
      <c r="F60" s="904" t="s">
        <v>715</v>
      </c>
      <c r="G60" s="664"/>
      <c r="H60" s="66"/>
      <c r="I60" s="374"/>
      <c r="J60" s="380"/>
      <c r="K60" s="374"/>
      <c r="L60" s="380"/>
      <c r="M60" s="665">
        <v>44516758</v>
      </c>
      <c r="N60" s="669" t="s">
        <v>272</v>
      </c>
      <c r="O60" s="669" t="s">
        <v>538</v>
      </c>
      <c r="P60" s="75" t="str">
        <f>IF(AND('331-CT'!$E$7=TH!H60,OR(N60="331",O60="331")),"x","")</f>
        <v/>
      </c>
      <c r="Q60" s="75" t="str">
        <f>IF(AND(B60='111'!$L$11,OR($N60=$Q$7,$O60=$Q$7)),"x","")</f>
        <v/>
      </c>
      <c r="R60" s="75" t="str">
        <f>IF(AND($N60=$Q$7,$B60&lt;'111'!$L$11),"x","")</f>
        <v/>
      </c>
      <c r="S60" s="75" t="str">
        <f>IF(AND($O60=$Q$7,$B60&lt;'111'!$L$11),"x","")</f>
        <v/>
      </c>
      <c r="T60" s="75" t="str">
        <f>IF(ISERROR(FIND('112'!$M$9,G60,1)),"",IF((AND(FIND('112'!$M$9,G60,1)&gt;=1,B60='112'!$K$9,OR($N60='112'!$I$6,$O60='112'!$I$6))),"x",""))</f>
        <v/>
      </c>
      <c r="U60" s="75" t="str">
        <f>IF(ISERROR(FIND('112'!$M$9,G60,1)),"",IF((AND(LEFT(G60,2)=LEFT('112'!$M$9,2),B60&lt;'112'!$K$9,$N60='112'!$I$6)),"x",""))</f>
        <v/>
      </c>
      <c r="V60" s="75" t="str">
        <f>IF(ISERROR(FIND('112'!$M$9,G60,1)),"",IF((AND(RIGHT(G60,2)=RIGHT('112'!$M$9,2),B60&lt;'112'!$K$9,$O60='112'!$I$6)),"x",""))</f>
        <v/>
      </c>
      <c r="W60" s="75" t="str">
        <f>IF(AND('341-CT'!$H$9=H60,OR(LEFT(N60,3)=$W$7,LEFT(O60,3)=$W$7)),"x","")</f>
        <v/>
      </c>
      <c r="X60" s="75" t="str">
        <f>IF(OR(TH!N60=TH!$X$7,O60=TH!$X$7),"x","")</f>
        <v/>
      </c>
      <c r="Y60" s="75" t="str">
        <f>IF(AND(OR(N60="131",O60="131"),H60='131-CT'!$H$9),"x","")</f>
        <v/>
      </c>
      <c r="Z60" s="75"/>
      <c r="AA60" s="75" t="str">
        <f>IF(AND(MONTH(E60)='IN-NX'!$J$5,'IN-NX'!$D$7=D60),"x","")</f>
        <v/>
      </c>
      <c r="AB60" s="75" t="str">
        <f>IF(AND(OR(LEFT(TH!N60,2)="15",LEFT(TH!O60,2)="15"),LEFT(TH!O60,3)&lt;&gt;"111",'152-CT'!$J$8=TH!F60),"x","")</f>
        <v/>
      </c>
      <c r="AC60" s="75" t="str">
        <f>IF(AND(OR(LEFT(TH!N60,2)="15",LEFT(TH!O60,2)="15"),TK!$E$7=TH!F60),"x","")</f>
        <v/>
      </c>
      <c r="AD60" s="75" t="str">
        <f>IF(AND(N60="1521",MONTH(C60)='BK-NL'!$M$11),"x","")</f>
        <v/>
      </c>
    </row>
    <row r="61" spans="1:30" ht="16.5" customHeight="1">
      <c r="A61" s="309" t="str">
        <f>IF(B61&lt;&gt;"",IF(AND(B61='IN-TC'!$S$4,OR(TH!N61="1111",TH!O61="1111")),TH!D61,""),"")</f>
        <v/>
      </c>
      <c r="B61" s="1159">
        <f t="shared" si="0"/>
        <v>12</v>
      </c>
      <c r="C61" s="663">
        <v>43100</v>
      </c>
      <c r="D61" s="663" t="s">
        <v>530</v>
      </c>
      <c r="E61" s="663">
        <f t="shared" ref="E61:E63" si="11">C61</f>
        <v>43100</v>
      </c>
      <c r="F61" s="904" t="s">
        <v>714</v>
      </c>
      <c r="G61" s="664"/>
      <c r="H61" s="67"/>
      <c r="I61" s="373"/>
      <c r="J61" s="379"/>
      <c r="K61" s="373"/>
      <c r="L61" s="379"/>
      <c r="M61" s="665">
        <v>10010707</v>
      </c>
      <c r="N61" s="667" t="s">
        <v>272</v>
      </c>
      <c r="O61" s="668" t="s">
        <v>537</v>
      </c>
      <c r="P61" s="75" t="str">
        <f>IF(AND('331-CT'!$E$7=TH!H61,OR(N61="331",O61="331")),"x","")</f>
        <v/>
      </c>
      <c r="Q61" s="75" t="str">
        <f>IF(AND(B61='111'!$L$11,OR($N61=$Q$7,$O61=$Q$7)),"x","")</f>
        <v/>
      </c>
      <c r="R61" s="75" t="str">
        <f>IF(AND($N61=$Q$7,$B61&lt;'111'!$L$11),"x","")</f>
        <v/>
      </c>
      <c r="S61" s="75" t="str">
        <f>IF(AND($O61=$Q$7,$B61&lt;'111'!$L$11),"x","")</f>
        <v/>
      </c>
      <c r="T61" s="75" t="str">
        <f>IF(ISERROR(FIND('112'!$M$9,G61,1)),"",IF((AND(FIND('112'!$M$9,G61,1)&gt;=1,B61='112'!$K$9,OR($N61='112'!$I$6,$O61='112'!$I$6))),"x",""))</f>
        <v/>
      </c>
      <c r="U61" s="75" t="str">
        <f>IF(ISERROR(FIND('112'!$M$9,G61,1)),"",IF((AND(LEFT(G61,2)=LEFT('112'!$M$9,2),B61&lt;'112'!$K$9,$N61='112'!$I$6)),"x",""))</f>
        <v/>
      </c>
      <c r="V61" s="75" t="str">
        <f>IF(ISERROR(FIND('112'!$M$9,G61,1)),"",IF((AND(RIGHT(G61,2)=RIGHT('112'!$M$9,2),B61&lt;'112'!$K$9,$O61='112'!$I$6)),"x",""))</f>
        <v/>
      </c>
      <c r="W61" s="75" t="str">
        <f>IF(AND('341-CT'!$H$9=H61,OR(LEFT(N61,3)=$W$7,LEFT(O61,3)=$W$7)),"x","")</f>
        <v/>
      </c>
      <c r="X61" s="75" t="str">
        <f>IF(OR(TH!N61=TH!$X$7,O61=TH!$X$7),"x","")</f>
        <v/>
      </c>
      <c r="Y61" s="75" t="str">
        <f>IF(AND(OR(N61="131",O61="131"),H61='131-CT'!$H$9),"x","")</f>
        <v/>
      </c>
      <c r="Z61" s="75"/>
      <c r="AA61" s="75" t="str">
        <f>IF(AND(MONTH(E61)='IN-NX'!$J$5,'IN-NX'!$D$7=D61),"x","")</f>
        <v/>
      </c>
      <c r="AB61" s="75" t="str">
        <f>IF(AND(OR(LEFT(TH!N61,2)="15",LEFT(TH!O61,2)="15"),LEFT(TH!O61,3)&lt;&gt;"111",'152-CT'!$J$8=TH!F61),"x","")</f>
        <v/>
      </c>
      <c r="AC61" s="75" t="str">
        <f>IF(AND(OR(LEFT(TH!N61,2)="15",LEFT(TH!O61,2)="15"),TK!$E$7=TH!F61),"x","")</f>
        <v/>
      </c>
      <c r="AD61" s="75" t="str">
        <f>IF(AND(N61="1521",MONTH(C61)='BK-NL'!$M$11),"x","")</f>
        <v/>
      </c>
    </row>
    <row r="62" spans="1:30" ht="16.5" customHeight="1">
      <c r="A62" s="309" t="str">
        <f>IF(B62&lt;&gt;"",IF(AND(B62='IN-TC'!$S$4,OR(TH!N62="1111",TH!O62="1111")),TH!D62,""),"")</f>
        <v/>
      </c>
      <c r="B62" s="1159">
        <f t="shared" si="0"/>
        <v>12</v>
      </c>
      <c r="C62" s="663">
        <v>43100</v>
      </c>
      <c r="D62" s="663" t="s">
        <v>530</v>
      </c>
      <c r="E62" s="663">
        <f t="shared" si="11"/>
        <v>43100</v>
      </c>
      <c r="F62" s="904" t="s">
        <v>715</v>
      </c>
      <c r="G62" s="741"/>
      <c r="H62" s="66"/>
      <c r="I62" s="374"/>
      <c r="J62" s="380"/>
      <c r="K62" s="374"/>
      <c r="L62" s="380"/>
      <c r="M62" s="665">
        <v>3671167</v>
      </c>
      <c r="N62" s="669" t="s">
        <v>101</v>
      </c>
      <c r="O62" s="669" t="s">
        <v>538</v>
      </c>
      <c r="P62" s="75" t="str">
        <f>IF(AND('331-CT'!$E$7=TH!H62,OR(N62="331",O62="331")),"x","")</f>
        <v/>
      </c>
      <c r="Q62" s="75" t="str">
        <f>IF(AND(B62='111'!$L$11,OR($N62=$Q$7,$O62=$Q$7)),"x","")</f>
        <v/>
      </c>
      <c r="R62" s="75" t="str">
        <f>IF(AND($N62=$Q$7,$B62&lt;'111'!$L$11),"x","")</f>
        <v/>
      </c>
      <c r="S62" s="75" t="str">
        <f>IF(AND($O62=$Q$7,$B62&lt;'111'!$L$11),"x","")</f>
        <v/>
      </c>
      <c r="T62" s="75" t="str">
        <f>IF(ISERROR(FIND('112'!$M$9,G62,1)),"",IF((AND(FIND('112'!$M$9,G62,1)&gt;=1,B62='112'!$K$9,OR($N62='112'!$I$6,$O62='112'!$I$6))),"x",""))</f>
        <v/>
      </c>
      <c r="U62" s="75" t="str">
        <f>IF(ISERROR(FIND('112'!$M$9,G62,1)),"",IF((AND(LEFT(G62,2)=LEFT('112'!$M$9,2),B62&lt;'112'!$K$9,$N62='112'!$I$6)),"x",""))</f>
        <v/>
      </c>
      <c r="V62" s="75" t="str">
        <f>IF(ISERROR(FIND('112'!$M$9,G62,1)),"",IF((AND(RIGHT(G62,2)=RIGHT('112'!$M$9,2),B62&lt;'112'!$K$9,$O62='112'!$I$6)),"x",""))</f>
        <v/>
      </c>
      <c r="W62" s="75" t="str">
        <f>IF(AND('341-CT'!$H$9=H62,OR(LEFT(N62,3)=$W$7,LEFT(O62,3)=$W$7)),"x","")</f>
        <v/>
      </c>
      <c r="X62" s="75" t="str">
        <f>IF(OR(TH!N62=TH!$X$7,O62=TH!$X$7),"x","")</f>
        <v/>
      </c>
      <c r="Y62" s="75" t="str">
        <f>IF(AND(OR(N62="131",O62="131"),H62='131-CT'!$H$9),"x","")</f>
        <v/>
      </c>
      <c r="Z62" s="75"/>
      <c r="AA62" s="75" t="str">
        <f>IF(AND(MONTH(E62)='IN-NX'!$J$5,'IN-NX'!$D$7=D62),"x","")</f>
        <v/>
      </c>
      <c r="AB62" s="75" t="str">
        <f>IF(AND(OR(LEFT(TH!N62,2)="15",LEFT(TH!O62,2)="15"),LEFT(TH!O62,3)&lt;&gt;"111",'152-CT'!$J$8=TH!F62),"x","")</f>
        <v/>
      </c>
      <c r="AC62" s="75" t="str">
        <f>IF(AND(OR(LEFT(TH!N62,2)="15",LEFT(TH!O62,2)="15"),TK!$E$7=TH!F62),"x","")</f>
        <v/>
      </c>
      <c r="AD62" s="75" t="str">
        <f>IF(AND(N62="1521",MONTH(C62)='BK-NL'!$M$11),"x","")</f>
        <v/>
      </c>
    </row>
    <row r="63" spans="1:30" ht="16.5" customHeight="1">
      <c r="A63" s="309" t="str">
        <f>IF(B63&lt;&gt;"",IF(AND(B63='IN-TC'!$S$4,OR(TH!N63="1111",TH!O63="1111")),TH!D63,""),"")</f>
        <v/>
      </c>
      <c r="B63" s="1159">
        <f t="shared" si="0"/>
        <v>12</v>
      </c>
      <c r="C63" s="663">
        <v>43100</v>
      </c>
      <c r="D63" s="663" t="s">
        <v>530</v>
      </c>
      <c r="E63" s="663">
        <f t="shared" si="11"/>
        <v>43100</v>
      </c>
      <c r="F63" s="904" t="s">
        <v>715</v>
      </c>
      <c r="G63" s="664"/>
      <c r="H63" s="66"/>
      <c r="I63" s="374"/>
      <c r="J63" s="380"/>
      <c r="K63" s="374"/>
      <c r="L63" s="380"/>
      <c r="M63" s="665">
        <v>44516758</v>
      </c>
      <c r="N63" s="669" t="s">
        <v>272</v>
      </c>
      <c r="O63" s="669" t="s">
        <v>538</v>
      </c>
      <c r="P63" s="75" t="str">
        <f>IF(AND('331-CT'!$E$7=TH!H63,OR(N63="331",O63="331")),"x","")</f>
        <v/>
      </c>
      <c r="Q63" s="75" t="str">
        <f>IF(AND(B63='111'!$L$11,OR($N63=$Q$7,$O63=$Q$7)),"x","")</f>
        <v/>
      </c>
      <c r="R63" s="75" t="str">
        <f>IF(AND($N63=$Q$7,$B63&lt;'111'!$L$11),"x","")</f>
        <v/>
      </c>
      <c r="S63" s="75" t="str">
        <f>IF(AND($O63=$Q$7,$B63&lt;'111'!$L$11),"x","")</f>
        <v/>
      </c>
      <c r="T63" s="75" t="str">
        <f>IF(ISERROR(FIND('112'!$M$9,G63,1)),"",IF((AND(FIND('112'!$M$9,G63,1)&gt;=1,B63='112'!$K$9,OR($N63='112'!$I$6,$O63='112'!$I$6))),"x",""))</f>
        <v/>
      </c>
      <c r="U63" s="75" t="str">
        <f>IF(ISERROR(FIND('112'!$M$9,G63,1)),"",IF((AND(LEFT(G63,2)=LEFT('112'!$M$9,2),B63&lt;'112'!$K$9,$N63='112'!$I$6)),"x",""))</f>
        <v/>
      </c>
      <c r="V63" s="75" t="str">
        <f>IF(ISERROR(FIND('112'!$M$9,G63,1)),"",IF((AND(RIGHT(G63,2)=RIGHT('112'!$M$9,2),B63&lt;'112'!$K$9,$O63='112'!$I$6)),"x",""))</f>
        <v/>
      </c>
      <c r="W63" s="75" t="str">
        <f>IF(AND('341-CT'!$H$9=H63,OR(LEFT(N63,3)=$W$7,LEFT(O63,3)=$W$7)),"x","")</f>
        <v/>
      </c>
      <c r="X63" s="75" t="str">
        <f>IF(OR(TH!N63=TH!$X$7,O63=TH!$X$7),"x","")</f>
        <v/>
      </c>
      <c r="Y63" s="75" t="str">
        <f>IF(AND(OR(N63="131",O63="131"),H63='131-CT'!$H$9),"x","")</f>
        <v/>
      </c>
      <c r="Z63" s="75"/>
      <c r="AA63" s="75" t="str">
        <f>IF(AND(MONTH(E63)='IN-NX'!$J$5,'IN-NX'!$D$7=D63),"x","")</f>
        <v/>
      </c>
      <c r="AB63" s="75" t="str">
        <f>IF(AND(OR(LEFT(TH!N63,2)="15",LEFT(TH!O63,2)="15"),LEFT(TH!O63,3)&lt;&gt;"111",'152-CT'!$J$8=TH!F63),"x","")</f>
        <v/>
      </c>
      <c r="AC63" s="75" t="str">
        <f>IF(AND(OR(LEFT(TH!N63,2)="15",LEFT(TH!O63,2)="15"),TK!$E$7=TH!F63),"x","")</f>
        <v/>
      </c>
      <c r="AD63" s="75" t="str">
        <f>IF(AND(N63="1521",MONTH(C63)='BK-NL'!$M$11),"x","")</f>
        <v/>
      </c>
    </row>
    <row r="64" spans="1:30" ht="16.5" customHeight="1">
      <c r="A64" s="309" t="str">
        <f>IF(B64&lt;&gt;"",IF(AND(B64='IN-TC'!$S$4,OR(TH!N64="1111",TH!O64="1111")),TH!D64,""),"")</f>
        <v/>
      </c>
      <c r="B64" s="1159">
        <f t="shared" si="0"/>
        <v>12</v>
      </c>
      <c r="C64" s="252">
        <v>43100</v>
      </c>
      <c r="D64" s="252" t="s">
        <v>530</v>
      </c>
      <c r="E64" s="252">
        <v>42766</v>
      </c>
      <c r="F64" s="975" t="s">
        <v>1077</v>
      </c>
      <c r="G64" s="976"/>
      <c r="H64" s="73"/>
      <c r="I64" s="371"/>
      <c r="J64" s="377"/>
      <c r="K64" s="371"/>
      <c r="L64" s="377"/>
      <c r="M64" s="933">
        <v>4165909</v>
      </c>
      <c r="N64" s="977" t="s">
        <v>101</v>
      </c>
      <c r="O64" s="977" t="s">
        <v>270</v>
      </c>
      <c r="P64" s="75" t="str">
        <f>IF(AND('331-CT'!$E$7=TH!H64,OR(N64="331",O64="331")),"x","")</f>
        <v/>
      </c>
      <c r="Q64" s="75" t="str">
        <f>IF(AND(B64='111'!$L$11,OR($N64=$Q$7,$O64=$Q$7)),"x","")</f>
        <v/>
      </c>
      <c r="R64" s="75" t="str">
        <f>IF(AND($N64=$Q$7,$B64&lt;'111'!$L$11),"x","")</f>
        <v/>
      </c>
      <c r="S64" s="75" t="str">
        <f>IF(AND($O64=$Q$7,$B64&lt;'111'!$L$11),"x","")</f>
        <v/>
      </c>
      <c r="T64" s="75" t="str">
        <f>IF(ISERROR(FIND('112'!$M$9,G64,1)),"",IF((AND(FIND('112'!$M$9,G64,1)&gt;=1,B64='112'!$K$9,OR($N64='112'!$I$6,$O64='112'!$I$6))),"x",""))</f>
        <v/>
      </c>
      <c r="U64" s="75" t="str">
        <f>IF(ISERROR(FIND('112'!$M$9,G64,1)),"",IF((AND(LEFT(G64,2)=LEFT('112'!$M$9,2),B64&lt;'112'!$K$9,$N64='112'!$I$6)),"x",""))</f>
        <v/>
      </c>
      <c r="V64" s="75" t="str">
        <f>IF(ISERROR(FIND('112'!$M$9,G64,1)),"",IF((AND(RIGHT(G64,2)=RIGHT('112'!$M$9,2),B64&lt;'112'!$K$9,$O64='112'!$I$6)),"x",""))</f>
        <v/>
      </c>
      <c r="W64" s="75" t="str">
        <f>IF(AND('341-CT'!$H$9=H64,OR(LEFT(N64,3)=$W$7,LEFT(O64,3)=$W$7)),"x","")</f>
        <v/>
      </c>
      <c r="X64" s="75" t="str">
        <f>IF(OR(TH!N64=TH!$X$7,O64=TH!$X$7),"x","")</f>
        <v/>
      </c>
      <c r="Y64" s="75" t="str">
        <f>IF(AND(OR(N64="131",O64="131"),H64='131-CT'!$H$9),"x","")</f>
        <v/>
      </c>
      <c r="Z64" s="75"/>
      <c r="AA64" s="75" t="str">
        <f>IF(AND(MONTH(E64)='IN-NX'!$J$5,'IN-NX'!$D$7=D64),"x","")</f>
        <v/>
      </c>
      <c r="AB64" s="75" t="str">
        <f>IF(AND(OR(LEFT(TH!N64,2)="15",LEFT(TH!O64,2)="15"),LEFT(TH!O64,3)&lt;&gt;"111",'152-CT'!$J$8=TH!F64),"x","")</f>
        <v/>
      </c>
      <c r="AC64" s="75" t="str">
        <f>IF(AND(OR(LEFT(TH!N64,2)="15",LEFT(TH!O64,2)="15"),TK!$E$7=TH!F64),"x","")</f>
        <v/>
      </c>
      <c r="AD64" s="75" t="str">
        <f>IF(AND(N64="1521",MONTH(C64)='BK-NL'!$M$11),"x","")</f>
        <v/>
      </c>
    </row>
    <row r="65" spans="1:30" ht="16.5" customHeight="1">
      <c r="A65" s="309" t="str">
        <f>IF(B65&lt;&gt;"",IF(AND(B65='IN-TC'!$S$4,OR(TH!N65="1111",TH!O65="1111")),TH!D65,""),"")</f>
        <v/>
      </c>
      <c r="B65" s="1159">
        <f t="shared" si="0"/>
        <v>12</v>
      </c>
      <c r="C65" s="252">
        <v>43100</v>
      </c>
      <c r="D65" s="252" t="s">
        <v>530</v>
      </c>
      <c r="E65" s="252">
        <v>42794</v>
      </c>
      <c r="F65" s="975" t="s">
        <v>1077</v>
      </c>
      <c r="G65" s="976"/>
      <c r="H65" s="73"/>
      <c r="I65" s="371"/>
      <c r="J65" s="377"/>
      <c r="K65" s="371"/>
      <c r="L65" s="377"/>
      <c r="M65" s="933">
        <v>4165909</v>
      </c>
      <c r="N65" s="977" t="s">
        <v>101</v>
      </c>
      <c r="O65" s="977" t="s">
        <v>270</v>
      </c>
      <c r="P65" s="75" t="str">
        <f>IF(AND('331-CT'!$E$7=TH!H65,OR(N65="331",O65="331")),"x","")</f>
        <v/>
      </c>
      <c r="Q65" s="75" t="str">
        <f>IF(AND(B65='111'!$L$11,OR($N65=$Q$7,$O65=$Q$7)),"x","")</f>
        <v/>
      </c>
      <c r="R65" s="75" t="str">
        <f>IF(AND($N65=$Q$7,$B65&lt;'111'!$L$11),"x","")</f>
        <v/>
      </c>
      <c r="S65" s="75" t="str">
        <f>IF(AND($O65=$Q$7,$B65&lt;'111'!$L$11),"x","")</f>
        <v/>
      </c>
      <c r="T65" s="75" t="str">
        <f>IF(ISERROR(FIND('112'!$M$9,G65,1)),"",IF((AND(FIND('112'!$M$9,G65,1)&gt;=1,B65='112'!$K$9,OR($N65='112'!$I$6,$O65='112'!$I$6))),"x",""))</f>
        <v/>
      </c>
      <c r="U65" s="75" t="str">
        <f>IF(ISERROR(FIND('112'!$M$9,G65,1)),"",IF((AND(LEFT(G65,2)=LEFT('112'!$M$9,2),B65&lt;'112'!$K$9,$N65='112'!$I$6)),"x",""))</f>
        <v/>
      </c>
      <c r="V65" s="75" t="str">
        <f>IF(ISERROR(FIND('112'!$M$9,G65,1)),"",IF((AND(RIGHT(G65,2)=RIGHT('112'!$M$9,2),B65&lt;'112'!$K$9,$O65='112'!$I$6)),"x",""))</f>
        <v/>
      </c>
      <c r="W65" s="75" t="str">
        <f>IF(AND('341-CT'!$H$9=H65,OR(LEFT(N65,3)=$W$7,LEFT(O65,3)=$W$7)),"x","")</f>
        <v/>
      </c>
      <c r="X65" s="75" t="str">
        <f>IF(OR(TH!N65=TH!$X$7,O65=TH!$X$7),"x","")</f>
        <v/>
      </c>
      <c r="Y65" s="75" t="str">
        <f>IF(AND(OR(N65="131",O65="131"),H65='131-CT'!$H$9),"x","")</f>
        <v/>
      </c>
      <c r="Z65" s="75"/>
      <c r="AA65" s="75" t="str">
        <f>IF(AND(MONTH(E65)='IN-NX'!$J$5,'IN-NX'!$D$7=D65),"x","")</f>
        <v/>
      </c>
      <c r="AB65" s="75" t="str">
        <f>IF(AND(OR(LEFT(TH!N65,2)="15",LEFT(TH!O65,2)="15"),LEFT(TH!O65,3)&lt;&gt;"111",'152-CT'!$J$8=TH!F65),"x","")</f>
        <v/>
      </c>
      <c r="AC65" s="75" t="str">
        <f>IF(AND(OR(LEFT(TH!N65,2)="15",LEFT(TH!O65,2)="15"),TK!$E$7=TH!F65),"x","")</f>
        <v/>
      </c>
      <c r="AD65" s="75" t="str">
        <f>IF(AND(N65="1521",MONTH(C65)='BK-NL'!$M$11),"x","")</f>
        <v/>
      </c>
    </row>
    <row r="66" spans="1:30" ht="16.5" customHeight="1">
      <c r="A66" s="309" t="str">
        <f>IF(B66&lt;&gt;"",IF(AND(B66='IN-TC'!$S$4,OR(TH!N66="1111",TH!O66="1111")),TH!D66,""),"")</f>
        <v/>
      </c>
      <c r="B66" s="1159">
        <f t="shared" si="0"/>
        <v>12</v>
      </c>
      <c r="C66" s="252">
        <v>43100</v>
      </c>
      <c r="D66" s="252" t="s">
        <v>530</v>
      </c>
      <c r="E66" s="252">
        <v>42825</v>
      </c>
      <c r="F66" s="975" t="s">
        <v>1077</v>
      </c>
      <c r="G66" s="976"/>
      <c r="H66" s="73"/>
      <c r="I66" s="371"/>
      <c r="J66" s="377"/>
      <c r="K66" s="371"/>
      <c r="L66" s="377"/>
      <c r="M66" s="933">
        <v>4165909</v>
      </c>
      <c r="N66" s="977" t="s">
        <v>101</v>
      </c>
      <c r="O66" s="977" t="s">
        <v>270</v>
      </c>
      <c r="P66" s="75" t="str">
        <f>IF(AND('331-CT'!$E$7=TH!H66,OR(N66="331",O66="331")),"x","")</f>
        <v/>
      </c>
      <c r="Q66" s="75" t="str">
        <f>IF(AND(B66='111'!$L$11,OR($N66=$Q$7,$O66=$Q$7)),"x","")</f>
        <v/>
      </c>
      <c r="R66" s="75" t="str">
        <f>IF(AND($N66=$Q$7,$B66&lt;'111'!$L$11),"x","")</f>
        <v/>
      </c>
      <c r="S66" s="75" t="str">
        <f>IF(AND($O66=$Q$7,$B66&lt;'111'!$L$11),"x","")</f>
        <v/>
      </c>
      <c r="T66" s="75" t="str">
        <f>IF(ISERROR(FIND('112'!$M$9,G66,1)),"",IF((AND(FIND('112'!$M$9,G66,1)&gt;=1,B66='112'!$K$9,OR($N66='112'!$I$6,$O66='112'!$I$6))),"x",""))</f>
        <v/>
      </c>
      <c r="U66" s="75" t="str">
        <f>IF(ISERROR(FIND('112'!$M$9,G66,1)),"",IF((AND(LEFT(G66,2)=LEFT('112'!$M$9,2),B66&lt;'112'!$K$9,$N66='112'!$I$6)),"x",""))</f>
        <v/>
      </c>
      <c r="V66" s="75" t="str">
        <f>IF(ISERROR(FIND('112'!$M$9,G66,1)),"",IF((AND(RIGHT(G66,2)=RIGHT('112'!$M$9,2),B66&lt;'112'!$K$9,$O66='112'!$I$6)),"x",""))</f>
        <v/>
      </c>
      <c r="W66" s="75" t="str">
        <f>IF(AND('341-CT'!$H$9=H66,OR(LEFT(N66,3)=$W$7,LEFT(O66,3)=$W$7)),"x","")</f>
        <v/>
      </c>
      <c r="X66" s="75" t="str">
        <f>IF(OR(TH!N66=TH!$X$7,O66=TH!$X$7),"x","")</f>
        <v/>
      </c>
      <c r="Y66" s="75" t="str">
        <f>IF(AND(OR(N66="131",O66="131"),H66='131-CT'!$H$9),"x","")</f>
        <v/>
      </c>
      <c r="Z66" s="75"/>
      <c r="AA66" s="75" t="str">
        <f>IF(AND(MONTH(E66)='IN-NX'!$J$5,'IN-NX'!$D$7=D66),"x","")</f>
        <v/>
      </c>
      <c r="AB66" s="75" t="str">
        <f>IF(AND(OR(LEFT(TH!N66,2)="15",LEFT(TH!O66,2)="15"),LEFT(TH!O66,3)&lt;&gt;"111",'152-CT'!$J$8=TH!F66),"x","")</f>
        <v/>
      </c>
      <c r="AC66" s="75" t="str">
        <f>IF(AND(OR(LEFT(TH!N66,2)="15",LEFT(TH!O66,2)="15"),TK!$E$7=TH!F66),"x","")</f>
        <v/>
      </c>
      <c r="AD66" s="75" t="str">
        <f>IF(AND(N66="1521",MONTH(C66)='BK-NL'!$M$11),"x","")</f>
        <v/>
      </c>
    </row>
    <row r="67" spans="1:30" ht="16.5" customHeight="1">
      <c r="A67" s="309" t="str">
        <f>IF(B67&lt;&gt;"",IF(AND(B67='IN-TC'!$S$4,OR(TH!N67="1111",TH!O67="1111")),TH!D67,""),"")</f>
        <v/>
      </c>
      <c r="B67" s="1159">
        <f t="shared" si="0"/>
        <v>12</v>
      </c>
      <c r="C67" s="252">
        <v>43100</v>
      </c>
      <c r="D67" s="252" t="s">
        <v>530</v>
      </c>
      <c r="E67" s="252">
        <v>42855</v>
      </c>
      <c r="F67" s="975" t="s">
        <v>1077</v>
      </c>
      <c r="G67" s="976"/>
      <c r="H67" s="73"/>
      <c r="I67" s="371"/>
      <c r="J67" s="377"/>
      <c r="K67" s="371"/>
      <c r="L67" s="377"/>
      <c r="M67" s="933">
        <v>4165909</v>
      </c>
      <c r="N67" s="977" t="s">
        <v>101</v>
      </c>
      <c r="O67" s="977" t="s">
        <v>270</v>
      </c>
      <c r="P67" s="75" t="str">
        <f>IF(AND('331-CT'!$E$7=TH!H67,OR(N67="331",O67="331")),"x","")</f>
        <v/>
      </c>
      <c r="Q67" s="75" t="str">
        <f>IF(AND(B67='111'!$L$11,OR($N67=$Q$7,$O67=$Q$7)),"x","")</f>
        <v/>
      </c>
      <c r="R67" s="75" t="str">
        <f>IF(AND($N67=$Q$7,$B67&lt;'111'!$L$11),"x","")</f>
        <v/>
      </c>
      <c r="S67" s="75" t="str">
        <f>IF(AND($O67=$Q$7,$B67&lt;'111'!$L$11),"x","")</f>
        <v/>
      </c>
      <c r="T67" s="75" t="str">
        <f>IF(ISERROR(FIND('112'!$M$9,G67,1)),"",IF((AND(FIND('112'!$M$9,G67,1)&gt;=1,B67='112'!$K$9,OR($N67='112'!$I$6,$O67='112'!$I$6))),"x",""))</f>
        <v/>
      </c>
      <c r="U67" s="75" t="str">
        <f>IF(ISERROR(FIND('112'!$M$9,G67,1)),"",IF((AND(LEFT(G67,2)=LEFT('112'!$M$9,2),B67&lt;'112'!$K$9,$N67='112'!$I$6)),"x",""))</f>
        <v/>
      </c>
      <c r="V67" s="75" t="str">
        <f>IF(ISERROR(FIND('112'!$M$9,G67,1)),"",IF((AND(RIGHT(G67,2)=RIGHT('112'!$M$9,2),B67&lt;'112'!$K$9,$O67='112'!$I$6)),"x",""))</f>
        <v/>
      </c>
      <c r="W67" s="75" t="str">
        <f>IF(AND('341-CT'!$H$9=H67,OR(LEFT(N67,3)=$W$7,LEFT(O67,3)=$W$7)),"x","")</f>
        <v/>
      </c>
      <c r="X67" s="75" t="str">
        <f>IF(OR(TH!N67=TH!$X$7,O67=TH!$X$7),"x","")</f>
        <v/>
      </c>
      <c r="Y67" s="75" t="str">
        <f>IF(AND(OR(N67="131",O67="131"),H67='131-CT'!$H$9),"x","")</f>
        <v/>
      </c>
      <c r="Z67" s="75"/>
      <c r="AA67" s="75" t="str">
        <f>IF(AND(MONTH(E67)='IN-NX'!$J$5,'IN-NX'!$D$7=D67),"x","")</f>
        <v/>
      </c>
      <c r="AB67" s="75" t="str">
        <f>IF(AND(OR(LEFT(TH!N67,2)="15",LEFT(TH!O67,2)="15"),LEFT(TH!O67,3)&lt;&gt;"111",'152-CT'!$J$8=TH!F67),"x","")</f>
        <v/>
      </c>
      <c r="AC67" s="75" t="str">
        <f>IF(AND(OR(LEFT(TH!N67,2)="15",LEFT(TH!O67,2)="15"),TK!$E$7=TH!F67),"x","")</f>
        <v/>
      </c>
      <c r="AD67" s="75" t="str">
        <f>IF(AND(N67="1521",MONTH(C67)='BK-NL'!$M$11),"x","")</f>
        <v/>
      </c>
    </row>
    <row r="68" spans="1:30" ht="16.5" customHeight="1">
      <c r="A68" s="309" t="str">
        <f>IF(B68&lt;&gt;"",IF(AND(B68='IN-TC'!$S$4,OR(TH!N68="1111",TH!O68="1111")),TH!D68,""),"")</f>
        <v/>
      </c>
      <c r="B68" s="1159">
        <f t="shared" si="0"/>
        <v>12</v>
      </c>
      <c r="C68" s="252">
        <v>43100</v>
      </c>
      <c r="D68" s="252" t="s">
        <v>530</v>
      </c>
      <c r="E68" s="252">
        <v>42886</v>
      </c>
      <c r="F68" s="975" t="s">
        <v>1077</v>
      </c>
      <c r="G68" s="976"/>
      <c r="H68" s="73"/>
      <c r="I68" s="371"/>
      <c r="J68" s="377"/>
      <c r="K68" s="371"/>
      <c r="L68" s="377"/>
      <c r="M68" s="933">
        <v>4165909</v>
      </c>
      <c r="N68" s="977" t="s">
        <v>101</v>
      </c>
      <c r="O68" s="977" t="s">
        <v>270</v>
      </c>
      <c r="P68" s="75" t="str">
        <f>IF(AND('331-CT'!$E$7=TH!H68,OR(N68="331",O68="331")),"x","")</f>
        <v/>
      </c>
      <c r="Q68" s="75" t="str">
        <f>IF(AND(B68='111'!$L$11,OR($N68=$Q$7,$O68=$Q$7)),"x","")</f>
        <v/>
      </c>
      <c r="R68" s="75" t="str">
        <f>IF(AND($N68=$Q$7,$B68&lt;'111'!$L$11),"x","")</f>
        <v/>
      </c>
      <c r="S68" s="75" t="str">
        <f>IF(AND($O68=$Q$7,$B68&lt;'111'!$L$11),"x","")</f>
        <v/>
      </c>
      <c r="T68" s="75" t="str">
        <f>IF(ISERROR(FIND('112'!$M$9,G68,1)),"",IF((AND(FIND('112'!$M$9,G68,1)&gt;=1,B68='112'!$K$9,OR($N68='112'!$I$6,$O68='112'!$I$6))),"x",""))</f>
        <v/>
      </c>
      <c r="U68" s="75" t="str">
        <f>IF(ISERROR(FIND('112'!$M$9,G68,1)),"",IF((AND(LEFT(G68,2)=LEFT('112'!$M$9,2),B68&lt;'112'!$K$9,$N68='112'!$I$6)),"x",""))</f>
        <v/>
      </c>
      <c r="V68" s="75" t="str">
        <f>IF(ISERROR(FIND('112'!$M$9,G68,1)),"",IF((AND(RIGHT(G68,2)=RIGHT('112'!$M$9,2),B68&lt;'112'!$K$9,$O68='112'!$I$6)),"x",""))</f>
        <v/>
      </c>
      <c r="W68" s="75" t="str">
        <f>IF(AND('341-CT'!$H$9=H68,OR(LEFT(N68,3)=$W$7,LEFT(O68,3)=$W$7)),"x","")</f>
        <v/>
      </c>
      <c r="X68" s="75" t="str">
        <f>IF(OR(TH!N68=TH!$X$7,O68=TH!$X$7),"x","")</f>
        <v/>
      </c>
      <c r="Y68" s="75" t="str">
        <f>IF(AND(OR(N68="131",O68="131"),H68='131-CT'!$H$9),"x","")</f>
        <v/>
      </c>
      <c r="Z68" s="75"/>
      <c r="AA68" s="75" t="str">
        <f>IF(AND(MONTH(E68)='IN-NX'!$J$5,'IN-NX'!$D$7=D68),"x","")</f>
        <v/>
      </c>
      <c r="AB68" s="75" t="str">
        <f>IF(AND(OR(LEFT(TH!N68,2)="15",LEFT(TH!O68,2)="15"),LEFT(TH!O68,3)&lt;&gt;"111",'152-CT'!$J$8=TH!F68),"x","")</f>
        <v/>
      </c>
      <c r="AC68" s="75" t="str">
        <f>IF(AND(OR(LEFT(TH!N68,2)="15",LEFT(TH!O68,2)="15"),TK!$E$7=TH!F68),"x","")</f>
        <v/>
      </c>
      <c r="AD68" s="75" t="str">
        <f>IF(AND(N68="1521",MONTH(C68)='BK-NL'!$M$11),"x","")</f>
        <v/>
      </c>
    </row>
    <row r="69" spans="1:30" ht="16.5" customHeight="1">
      <c r="A69" s="309" t="str">
        <f>IF(B69&lt;&gt;"",IF(AND(B69='IN-TC'!$S$4,OR(TH!N69="1111",TH!O69="1111")),TH!D69,""),"")</f>
        <v/>
      </c>
      <c r="B69" s="1159">
        <f t="shared" si="0"/>
        <v>12</v>
      </c>
      <c r="C69" s="252">
        <v>43100</v>
      </c>
      <c r="D69" s="252" t="s">
        <v>530</v>
      </c>
      <c r="E69" s="252">
        <v>42916</v>
      </c>
      <c r="F69" s="975" t="s">
        <v>1077</v>
      </c>
      <c r="G69" s="976"/>
      <c r="H69" s="73"/>
      <c r="I69" s="371"/>
      <c r="J69" s="377"/>
      <c r="K69" s="371"/>
      <c r="L69" s="377"/>
      <c r="M69" s="933">
        <v>4165909</v>
      </c>
      <c r="N69" s="977" t="s">
        <v>101</v>
      </c>
      <c r="O69" s="977" t="s">
        <v>270</v>
      </c>
      <c r="P69" s="75" t="str">
        <f>IF(AND('331-CT'!$E$7=TH!H69,OR(N69="331",O69="331")),"x","")</f>
        <v/>
      </c>
      <c r="Q69" s="75" t="str">
        <f>IF(AND(B69='111'!$L$11,OR($N69=$Q$7,$O69=$Q$7)),"x","")</f>
        <v/>
      </c>
      <c r="R69" s="75" t="str">
        <f>IF(AND($N69=$Q$7,$B69&lt;'111'!$L$11),"x","")</f>
        <v/>
      </c>
      <c r="S69" s="75" t="str">
        <f>IF(AND($O69=$Q$7,$B69&lt;'111'!$L$11),"x","")</f>
        <v/>
      </c>
      <c r="T69" s="75" t="str">
        <f>IF(ISERROR(FIND('112'!$M$9,G69,1)),"",IF((AND(FIND('112'!$M$9,G69,1)&gt;=1,B69='112'!$K$9,OR($N69='112'!$I$6,$O69='112'!$I$6))),"x",""))</f>
        <v/>
      </c>
      <c r="U69" s="75" t="str">
        <f>IF(ISERROR(FIND('112'!$M$9,G69,1)),"",IF((AND(LEFT(G69,2)=LEFT('112'!$M$9,2),B69&lt;'112'!$K$9,$N69='112'!$I$6)),"x",""))</f>
        <v/>
      </c>
      <c r="V69" s="75" t="str">
        <f>IF(ISERROR(FIND('112'!$M$9,G69,1)),"",IF((AND(RIGHT(G69,2)=RIGHT('112'!$M$9,2),B69&lt;'112'!$K$9,$O69='112'!$I$6)),"x",""))</f>
        <v/>
      </c>
      <c r="W69" s="75" t="str">
        <f>IF(AND('341-CT'!$H$9=H69,OR(LEFT(N69,3)=$W$7,LEFT(O69,3)=$W$7)),"x","")</f>
        <v/>
      </c>
      <c r="X69" s="75" t="str">
        <f>IF(OR(TH!N69=TH!$X$7,O69=TH!$X$7),"x","")</f>
        <v/>
      </c>
      <c r="Y69" s="75" t="str">
        <f>IF(AND(OR(N69="131",O69="131"),H69='131-CT'!$H$9),"x","")</f>
        <v/>
      </c>
      <c r="Z69" s="75"/>
      <c r="AA69" s="75" t="str">
        <f>IF(AND(MONTH(E69)='IN-NX'!$J$5,'IN-NX'!$D$7=D69),"x","")</f>
        <v/>
      </c>
      <c r="AB69" s="75" t="str">
        <f>IF(AND(OR(LEFT(TH!N69,2)="15",LEFT(TH!O69,2)="15"),LEFT(TH!O69,3)&lt;&gt;"111",'152-CT'!$J$8=TH!F69),"x","")</f>
        <v/>
      </c>
      <c r="AC69" s="75" t="str">
        <f>IF(AND(OR(LEFT(TH!N69,2)="15",LEFT(TH!O69,2)="15"),TK!$E$7=TH!F69),"x","")</f>
        <v/>
      </c>
      <c r="AD69" s="75" t="str">
        <f>IF(AND(N69="1521",MONTH(C69)='BK-NL'!$M$11),"x","")</f>
        <v/>
      </c>
    </row>
    <row r="70" spans="1:30" ht="16.5" customHeight="1">
      <c r="A70" s="309" t="str">
        <f>IF(B70&lt;&gt;"",IF(AND(B70='IN-TC'!$S$4,OR(TH!N70="1111",TH!O70="1111")),TH!D70,""),"")</f>
        <v/>
      </c>
      <c r="B70" s="1159">
        <f t="shared" si="0"/>
        <v>12</v>
      </c>
      <c r="C70" s="252">
        <v>43100</v>
      </c>
      <c r="D70" s="252" t="s">
        <v>530</v>
      </c>
      <c r="E70" s="252">
        <v>42947</v>
      </c>
      <c r="F70" s="975" t="s">
        <v>1077</v>
      </c>
      <c r="G70" s="976"/>
      <c r="H70" s="73"/>
      <c r="I70" s="371"/>
      <c r="J70" s="377"/>
      <c r="K70" s="371"/>
      <c r="L70" s="377"/>
      <c r="M70" s="933">
        <v>4165909</v>
      </c>
      <c r="N70" s="977" t="s">
        <v>101</v>
      </c>
      <c r="O70" s="977" t="s">
        <v>270</v>
      </c>
      <c r="P70" s="75" t="str">
        <f>IF(AND('331-CT'!$E$7=TH!H70,OR(N70="331",O70="331")),"x","")</f>
        <v/>
      </c>
      <c r="Q70" s="75" t="str">
        <f>IF(AND(B70='111'!$L$11,OR($N70=$Q$7,$O70=$Q$7)),"x","")</f>
        <v/>
      </c>
      <c r="R70" s="75" t="str">
        <f>IF(AND($N70=$Q$7,$B70&lt;'111'!$L$11),"x","")</f>
        <v/>
      </c>
      <c r="S70" s="75" t="str">
        <f>IF(AND($O70=$Q$7,$B70&lt;'111'!$L$11),"x","")</f>
        <v/>
      </c>
      <c r="T70" s="75" t="str">
        <f>IF(ISERROR(FIND('112'!$M$9,G70,1)),"",IF((AND(FIND('112'!$M$9,G70,1)&gt;=1,B70='112'!$K$9,OR($N70='112'!$I$6,$O70='112'!$I$6))),"x",""))</f>
        <v/>
      </c>
      <c r="U70" s="75" t="str">
        <f>IF(ISERROR(FIND('112'!$M$9,G70,1)),"",IF((AND(LEFT(G70,2)=LEFT('112'!$M$9,2),B70&lt;'112'!$K$9,$N70='112'!$I$6)),"x",""))</f>
        <v/>
      </c>
      <c r="V70" s="75" t="str">
        <f>IF(ISERROR(FIND('112'!$M$9,G70,1)),"",IF((AND(RIGHT(G70,2)=RIGHT('112'!$M$9,2),B70&lt;'112'!$K$9,$O70='112'!$I$6)),"x",""))</f>
        <v/>
      </c>
      <c r="W70" s="75" t="str">
        <f>IF(AND('341-CT'!$H$9=H70,OR(LEFT(N70,3)=$W$7,LEFT(O70,3)=$W$7)),"x","")</f>
        <v/>
      </c>
      <c r="X70" s="75" t="str">
        <f>IF(OR(TH!N70=TH!$X$7,O70=TH!$X$7),"x","")</f>
        <v/>
      </c>
      <c r="Y70" s="75" t="str">
        <f>IF(AND(OR(N70="131",O70="131"),H70='131-CT'!$H$9),"x","")</f>
        <v/>
      </c>
      <c r="Z70" s="75"/>
      <c r="AA70" s="75" t="str">
        <f>IF(AND(MONTH(E70)='IN-NX'!$J$5,'IN-NX'!$D$7=D70),"x","")</f>
        <v/>
      </c>
      <c r="AB70" s="75" t="str">
        <f>IF(AND(OR(LEFT(TH!N70,2)="15",LEFT(TH!O70,2)="15"),LEFT(TH!O70,3)&lt;&gt;"111",'152-CT'!$J$8=TH!F70),"x","")</f>
        <v/>
      </c>
      <c r="AC70" s="75" t="str">
        <f>IF(AND(OR(LEFT(TH!N70,2)="15",LEFT(TH!O70,2)="15"),TK!$E$7=TH!F70),"x","")</f>
        <v/>
      </c>
      <c r="AD70" s="75" t="str">
        <f>IF(AND(N70="1521",MONTH(C70)='BK-NL'!$M$11),"x","")</f>
        <v/>
      </c>
    </row>
    <row r="71" spans="1:30" ht="16.5" customHeight="1">
      <c r="A71" s="309" t="str">
        <f>IF(B71&lt;&gt;"",IF(AND(B71='IN-TC'!$S$4,OR(TH!N71="1111",TH!O71="1111")),TH!D71,""),"")</f>
        <v/>
      </c>
      <c r="B71" s="1159">
        <f t="shared" si="0"/>
        <v>12</v>
      </c>
      <c r="C71" s="252">
        <v>43100</v>
      </c>
      <c r="D71" s="252" t="s">
        <v>530</v>
      </c>
      <c r="E71" s="252">
        <v>42978</v>
      </c>
      <c r="F71" s="975" t="s">
        <v>1077</v>
      </c>
      <c r="G71" s="976"/>
      <c r="H71" s="73"/>
      <c r="I71" s="371"/>
      <c r="J71" s="377"/>
      <c r="K71" s="371"/>
      <c r="L71" s="377"/>
      <c r="M71" s="933">
        <v>4165909</v>
      </c>
      <c r="N71" s="977" t="s">
        <v>101</v>
      </c>
      <c r="O71" s="977" t="s">
        <v>270</v>
      </c>
      <c r="P71" s="75" t="str">
        <f>IF(AND('331-CT'!$E$7=TH!H71,OR(N71="331",O71="331")),"x","")</f>
        <v/>
      </c>
      <c r="Q71" s="75" t="str">
        <f>IF(AND(B71='111'!$L$11,OR($N71=$Q$7,$O71=$Q$7)),"x","")</f>
        <v/>
      </c>
      <c r="R71" s="75" t="str">
        <f>IF(AND($N71=$Q$7,$B71&lt;'111'!$L$11),"x","")</f>
        <v/>
      </c>
      <c r="S71" s="75" t="str">
        <f>IF(AND($O71=$Q$7,$B71&lt;'111'!$L$11),"x","")</f>
        <v/>
      </c>
      <c r="T71" s="75" t="str">
        <f>IF(ISERROR(FIND('112'!$M$9,G71,1)),"",IF((AND(FIND('112'!$M$9,G71,1)&gt;=1,B71='112'!$K$9,OR($N71='112'!$I$6,$O71='112'!$I$6))),"x",""))</f>
        <v/>
      </c>
      <c r="U71" s="75" t="str">
        <f>IF(ISERROR(FIND('112'!$M$9,G71,1)),"",IF((AND(LEFT(G71,2)=LEFT('112'!$M$9,2),B71&lt;'112'!$K$9,$N71='112'!$I$6)),"x",""))</f>
        <v/>
      </c>
      <c r="V71" s="75" t="str">
        <f>IF(ISERROR(FIND('112'!$M$9,G71,1)),"",IF((AND(RIGHT(G71,2)=RIGHT('112'!$M$9,2),B71&lt;'112'!$K$9,$O71='112'!$I$6)),"x",""))</f>
        <v/>
      </c>
      <c r="W71" s="75" t="str">
        <f>IF(AND('341-CT'!$H$9=H71,OR(LEFT(N71,3)=$W$7,LEFT(O71,3)=$W$7)),"x","")</f>
        <v/>
      </c>
      <c r="X71" s="75" t="str">
        <f>IF(OR(TH!N71=TH!$X$7,O71=TH!$X$7),"x","")</f>
        <v/>
      </c>
      <c r="Y71" s="75" t="str">
        <f>IF(AND(OR(N71="131",O71="131"),H71='131-CT'!$H$9),"x","")</f>
        <v/>
      </c>
      <c r="Z71" s="75"/>
      <c r="AA71" s="75" t="str">
        <f>IF(AND(MONTH(E71)='IN-NX'!$J$5,'IN-NX'!$D$7=D71),"x","")</f>
        <v/>
      </c>
      <c r="AB71" s="75" t="str">
        <f>IF(AND(OR(LEFT(TH!N71,2)="15",LEFT(TH!O71,2)="15"),LEFT(TH!O71,3)&lt;&gt;"111",'152-CT'!$J$8=TH!F71),"x","")</f>
        <v/>
      </c>
      <c r="AC71" s="75" t="str">
        <f>IF(AND(OR(LEFT(TH!N71,2)="15",LEFT(TH!O71,2)="15"),TK!$E$7=TH!F71),"x","")</f>
        <v/>
      </c>
      <c r="AD71" s="75" t="str">
        <f>IF(AND(N71="1521",MONTH(C71)='BK-NL'!$M$11),"x","")</f>
        <v/>
      </c>
    </row>
    <row r="72" spans="1:30" ht="16.5" customHeight="1">
      <c r="A72" s="309" t="str">
        <f>IF(B72&lt;&gt;"",IF(AND(B72='IN-TC'!$S$4,OR(TH!N72="1111",TH!O72="1111")),TH!D72,""),"")</f>
        <v/>
      </c>
      <c r="B72" s="1159">
        <f t="shared" si="0"/>
        <v>12</v>
      </c>
      <c r="C72" s="252">
        <v>43100</v>
      </c>
      <c r="D72" s="252" t="s">
        <v>530</v>
      </c>
      <c r="E72" s="252">
        <v>43008</v>
      </c>
      <c r="F72" s="975" t="s">
        <v>1077</v>
      </c>
      <c r="G72" s="976"/>
      <c r="H72" s="73"/>
      <c r="I72" s="371"/>
      <c r="J72" s="377"/>
      <c r="K72" s="371"/>
      <c r="L72" s="377"/>
      <c r="M72" s="933">
        <v>4165909</v>
      </c>
      <c r="N72" s="977" t="s">
        <v>101</v>
      </c>
      <c r="O72" s="977" t="s">
        <v>270</v>
      </c>
      <c r="P72" s="75" t="str">
        <f>IF(AND('331-CT'!$E$7=TH!H72,OR(N72="331",O72="331")),"x","")</f>
        <v/>
      </c>
      <c r="Q72" s="75" t="str">
        <f>IF(AND(B72='111'!$L$11,OR($N72=$Q$7,$O72=$Q$7)),"x","")</f>
        <v/>
      </c>
      <c r="R72" s="75" t="str">
        <f>IF(AND($N72=$Q$7,$B72&lt;'111'!$L$11),"x","")</f>
        <v/>
      </c>
      <c r="S72" s="75" t="str">
        <f>IF(AND($O72=$Q$7,$B72&lt;'111'!$L$11),"x","")</f>
        <v/>
      </c>
      <c r="T72" s="75" t="str">
        <f>IF(ISERROR(FIND('112'!$M$9,G72,1)),"",IF((AND(FIND('112'!$M$9,G72,1)&gt;=1,B72='112'!$K$9,OR($N72='112'!$I$6,$O72='112'!$I$6))),"x",""))</f>
        <v/>
      </c>
      <c r="U72" s="75" t="str">
        <f>IF(ISERROR(FIND('112'!$M$9,G72,1)),"",IF((AND(LEFT(G72,2)=LEFT('112'!$M$9,2),B72&lt;'112'!$K$9,$N72='112'!$I$6)),"x",""))</f>
        <v/>
      </c>
      <c r="V72" s="75" t="str">
        <f>IF(ISERROR(FIND('112'!$M$9,G72,1)),"",IF((AND(RIGHT(G72,2)=RIGHT('112'!$M$9,2),B72&lt;'112'!$K$9,$O72='112'!$I$6)),"x",""))</f>
        <v/>
      </c>
      <c r="W72" s="75" t="str">
        <f>IF(AND('341-CT'!$H$9=H72,OR(LEFT(N72,3)=$W$7,LEFT(O72,3)=$W$7)),"x","")</f>
        <v/>
      </c>
      <c r="X72" s="75" t="str">
        <f>IF(OR(TH!N72=TH!$X$7,O72=TH!$X$7),"x","")</f>
        <v/>
      </c>
      <c r="Y72" s="75" t="str">
        <f>IF(AND(OR(N72="131",O72="131"),H72='131-CT'!$H$9),"x","")</f>
        <v/>
      </c>
      <c r="Z72" s="75"/>
      <c r="AA72" s="75" t="str">
        <f>IF(AND(MONTH(E72)='IN-NX'!$J$5,'IN-NX'!$D$7=D72),"x","")</f>
        <v/>
      </c>
      <c r="AB72" s="75" t="str">
        <f>IF(AND(OR(LEFT(TH!N72,2)="15",LEFT(TH!O72,2)="15"),LEFT(TH!O72,3)&lt;&gt;"111",'152-CT'!$J$8=TH!F72),"x","")</f>
        <v/>
      </c>
      <c r="AC72" s="75" t="str">
        <f>IF(AND(OR(LEFT(TH!N72,2)="15",LEFT(TH!O72,2)="15"),TK!$E$7=TH!F72),"x","")</f>
        <v/>
      </c>
      <c r="AD72" s="75" t="str">
        <f>IF(AND(N72="1521",MONTH(C72)='BK-NL'!$M$11),"x","")</f>
        <v/>
      </c>
    </row>
    <row r="73" spans="1:30" ht="16.5" customHeight="1">
      <c r="A73" s="309" t="str">
        <f>IF(B73&lt;&gt;"",IF(AND(B73='IN-TC'!$S$4,OR(TH!N73="1111",TH!O73="1111")),TH!D73,""),"")</f>
        <v/>
      </c>
      <c r="B73" s="1159">
        <f t="shared" si="0"/>
        <v>12</v>
      </c>
      <c r="C73" s="252">
        <v>43100</v>
      </c>
      <c r="D73" s="252" t="s">
        <v>530</v>
      </c>
      <c r="E73" s="252">
        <v>43039</v>
      </c>
      <c r="F73" s="975" t="s">
        <v>1077</v>
      </c>
      <c r="G73" s="976"/>
      <c r="H73" s="73"/>
      <c r="I73" s="371"/>
      <c r="J73" s="377"/>
      <c r="K73" s="371"/>
      <c r="L73" s="377"/>
      <c r="M73" s="933">
        <v>4165909</v>
      </c>
      <c r="N73" s="977" t="s">
        <v>101</v>
      </c>
      <c r="O73" s="977" t="s">
        <v>270</v>
      </c>
      <c r="P73" s="75" t="str">
        <f>IF(AND('331-CT'!$E$7=TH!H73,OR(N73="331",O73="331")),"x","")</f>
        <v/>
      </c>
      <c r="Q73" s="75" t="str">
        <f>IF(AND(B73='111'!$L$11,OR($N73=$Q$7,$O73=$Q$7)),"x","")</f>
        <v/>
      </c>
      <c r="R73" s="75" t="str">
        <f>IF(AND($N73=$Q$7,$B73&lt;'111'!$L$11),"x","")</f>
        <v/>
      </c>
      <c r="S73" s="75" t="str">
        <f>IF(AND($O73=$Q$7,$B73&lt;'111'!$L$11),"x","")</f>
        <v/>
      </c>
      <c r="T73" s="75" t="str">
        <f>IF(ISERROR(FIND('112'!$M$9,G73,1)),"",IF((AND(FIND('112'!$M$9,G73,1)&gt;=1,B73='112'!$K$9,OR($N73='112'!$I$6,$O73='112'!$I$6))),"x",""))</f>
        <v/>
      </c>
      <c r="U73" s="75" t="str">
        <f>IF(ISERROR(FIND('112'!$M$9,G73,1)),"",IF((AND(LEFT(G73,2)=LEFT('112'!$M$9,2),B73&lt;'112'!$K$9,$N73='112'!$I$6)),"x",""))</f>
        <v/>
      </c>
      <c r="V73" s="75" t="str">
        <f>IF(ISERROR(FIND('112'!$M$9,G73,1)),"",IF((AND(RIGHT(G73,2)=RIGHT('112'!$M$9,2),B73&lt;'112'!$K$9,$O73='112'!$I$6)),"x",""))</f>
        <v/>
      </c>
      <c r="W73" s="75" t="str">
        <f>IF(AND('341-CT'!$H$9=H73,OR(LEFT(N73,3)=$W$7,LEFT(O73,3)=$W$7)),"x","")</f>
        <v/>
      </c>
      <c r="X73" s="75" t="str">
        <f>IF(OR(TH!N73=TH!$X$7,O73=TH!$X$7),"x","")</f>
        <v/>
      </c>
      <c r="Y73" s="75" t="str">
        <f>IF(AND(OR(N73="131",O73="131"),H73='131-CT'!$H$9),"x","")</f>
        <v/>
      </c>
      <c r="Z73" s="75"/>
      <c r="AA73" s="75" t="str">
        <f>IF(AND(MONTH(E73)='IN-NX'!$J$5,'IN-NX'!$D$7=D73),"x","")</f>
        <v/>
      </c>
      <c r="AB73" s="75" t="str">
        <f>IF(AND(OR(LEFT(TH!N73,2)="15",LEFT(TH!O73,2)="15"),LEFT(TH!O73,3)&lt;&gt;"111",'152-CT'!$J$8=TH!F73),"x","")</f>
        <v/>
      </c>
      <c r="AC73" s="75" t="str">
        <f>IF(AND(OR(LEFT(TH!N73,2)="15",LEFT(TH!O73,2)="15"),TK!$E$7=TH!F73),"x","")</f>
        <v/>
      </c>
      <c r="AD73" s="75" t="str">
        <f>IF(AND(N73="1521",MONTH(C73)='BK-NL'!$M$11),"x","")</f>
        <v/>
      </c>
    </row>
    <row r="74" spans="1:30" ht="16.5" customHeight="1">
      <c r="A74" s="309" t="str">
        <f>IF(B74&lt;&gt;"",IF(AND(B74='IN-TC'!$S$4,OR(TH!N74="1111",TH!O74="1111")),TH!D74,""),"")</f>
        <v/>
      </c>
      <c r="B74" s="1159">
        <f t="shared" si="0"/>
        <v>12</v>
      </c>
      <c r="C74" s="252">
        <v>43100</v>
      </c>
      <c r="D74" s="252" t="s">
        <v>530</v>
      </c>
      <c r="E74" s="252">
        <v>43069</v>
      </c>
      <c r="F74" s="975" t="s">
        <v>1077</v>
      </c>
      <c r="G74" s="976"/>
      <c r="H74" s="73"/>
      <c r="I74" s="371"/>
      <c r="J74" s="377"/>
      <c r="K74" s="371"/>
      <c r="L74" s="377"/>
      <c r="M74" s="933">
        <v>4165909</v>
      </c>
      <c r="N74" s="977" t="s">
        <v>101</v>
      </c>
      <c r="O74" s="977" t="s">
        <v>270</v>
      </c>
      <c r="P74" s="75" t="str">
        <f>IF(AND('331-CT'!$E$7=TH!H74,OR(N74="331",O74="331")),"x","")</f>
        <v/>
      </c>
      <c r="Q74" s="75" t="str">
        <f>IF(AND(B74='111'!$L$11,OR($N74=$Q$7,$O74=$Q$7)),"x","")</f>
        <v/>
      </c>
      <c r="R74" s="75" t="str">
        <f>IF(AND($N74=$Q$7,$B74&lt;'111'!$L$11),"x","")</f>
        <v/>
      </c>
      <c r="S74" s="75" t="str">
        <f>IF(AND($O74=$Q$7,$B74&lt;'111'!$L$11),"x","")</f>
        <v/>
      </c>
      <c r="T74" s="75" t="str">
        <f>IF(ISERROR(FIND('112'!$M$9,G74,1)),"",IF((AND(FIND('112'!$M$9,G74,1)&gt;=1,B74='112'!$K$9,OR($N74='112'!$I$6,$O74='112'!$I$6))),"x",""))</f>
        <v/>
      </c>
      <c r="U74" s="75" t="str">
        <f>IF(ISERROR(FIND('112'!$M$9,G74,1)),"",IF((AND(LEFT(G74,2)=LEFT('112'!$M$9,2),B74&lt;'112'!$K$9,$N74='112'!$I$6)),"x",""))</f>
        <v/>
      </c>
      <c r="V74" s="75" t="str">
        <f>IF(ISERROR(FIND('112'!$M$9,G74,1)),"",IF((AND(RIGHT(G74,2)=RIGHT('112'!$M$9,2),B74&lt;'112'!$K$9,$O74='112'!$I$6)),"x",""))</f>
        <v/>
      </c>
      <c r="W74" s="75" t="str">
        <f>IF(AND('341-CT'!$H$9=H74,OR(LEFT(N74,3)=$W$7,LEFT(O74,3)=$W$7)),"x","")</f>
        <v/>
      </c>
      <c r="X74" s="75" t="str">
        <f>IF(OR(TH!N74=TH!$X$7,O74=TH!$X$7),"x","")</f>
        <v/>
      </c>
      <c r="Y74" s="75" t="str">
        <f>IF(AND(OR(N74="131",O74="131"),H74='131-CT'!$H$9),"x","")</f>
        <v/>
      </c>
      <c r="Z74" s="75"/>
      <c r="AA74" s="75" t="str">
        <f>IF(AND(MONTH(E74)='IN-NX'!$J$5,'IN-NX'!$D$7=D74),"x","")</f>
        <v/>
      </c>
      <c r="AB74" s="75" t="str">
        <f>IF(AND(OR(LEFT(TH!N74,2)="15",LEFT(TH!O74,2)="15"),LEFT(TH!O74,3)&lt;&gt;"111",'152-CT'!$J$8=TH!F74),"x","")</f>
        <v/>
      </c>
      <c r="AC74" s="75" t="str">
        <f>IF(AND(OR(LEFT(TH!N74,2)="15",LEFT(TH!O74,2)="15"),TK!$E$7=TH!F74),"x","")</f>
        <v/>
      </c>
      <c r="AD74" s="75" t="str">
        <f>IF(AND(N74="1521",MONTH(C74)='BK-NL'!$M$11),"x","")</f>
        <v/>
      </c>
    </row>
    <row r="75" spans="1:30" ht="16.5" customHeight="1">
      <c r="A75" s="309" t="str">
        <f>IF(B75&lt;&gt;"",IF(AND(B75='IN-TC'!$S$4,OR(TH!N75="1111",TH!O75="1111")),TH!D75,""),"")</f>
        <v/>
      </c>
      <c r="B75" s="1159">
        <f t="shared" si="0"/>
        <v>12</v>
      </c>
      <c r="C75" s="252">
        <v>43100</v>
      </c>
      <c r="D75" s="252" t="s">
        <v>530</v>
      </c>
      <c r="E75" s="252">
        <v>43100</v>
      </c>
      <c r="F75" s="975" t="s">
        <v>1077</v>
      </c>
      <c r="G75" s="976"/>
      <c r="H75" s="73"/>
      <c r="I75" s="371"/>
      <c r="J75" s="377"/>
      <c r="K75" s="371"/>
      <c r="L75" s="377"/>
      <c r="M75" s="933">
        <v>4165910</v>
      </c>
      <c r="N75" s="977" t="s">
        <v>101</v>
      </c>
      <c r="O75" s="977" t="s">
        <v>270</v>
      </c>
      <c r="P75" s="75" t="str">
        <f>IF(AND('331-CT'!$E$7=TH!H75,OR(N75="331",O75="331")),"x","")</f>
        <v/>
      </c>
      <c r="Q75" s="75" t="str">
        <f>IF(AND(B75='111'!$L$11,OR($N75=$Q$7,$O75=$Q$7)),"x","")</f>
        <v/>
      </c>
      <c r="R75" s="75" t="str">
        <f>IF(AND($N75=$Q$7,$B75&lt;'111'!$L$11),"x","")</f>
        <v/>
      </c>
      <c r="S75" s="75" t="str">
        <f>IF(AND($O75=$Q$7,$B75&lt;'111'!$L$11),"x","")</f>
        <v/>
      </c>
      <c r="T75" s="75" t="str">
        <f>IF(ISERROR(FIND('112'!$M$9,G75,1)),"",IF((AND(FIND('112'!$M$9,G75,1)&gt;=1,B75='112'!$K$9,OR($N75='112'!$I$6,$O75='112'!$I$6))),"x",""))</f>
        <v/>
      </c>
      <c r="U75" s="75" t="str">
        <f>IF(ISERROR(FIND('112'!$M$9,G75,1)),"",IF((AND(LEFT(G75,2)=LEFT('112'!$M$9,2),B75&lt;'112'!$K$9,$N75='112'!$I$6)),"x",""))</f>
        <v/>
      </c>
      <c r="V75" s="75" t="str">
        <f>IF(ISERROR(FIND('112'!$M$9,G75,1)),"",IF((AND(RIGHT(G75,2)=RIGHT('112'!$M$9,2),B75&lt;'112'!$K$9,$O75='112'!$I$6)),"x",""))</f>
        <v/>
      </c>
      <c r="W75" s="75" t="str">
        <f>IF(AND('341-CT'!$H$9=H75,OR(LEFT(N75,3)=$W$7,LEFT(O75,3)=$W$7)),"x","")</f>
        <v/>
      </c>
      <c r="X75" s="75" t="str">
        <f>IF(OR(TH!N75=TH!$X$7,O75=TH!$X$7),"x","")</f>
        <v/>
      </c>
      <c r="Y75" s="75" t="str">
        <f>IF(AND(OR(N75="131",O75="131"),H75='131-CT'!$H$9),"x","")</f>
        <v/>
      </c>
      <c r="Z75" s="75"/>
      <c r="AA75" s="75" t="str">
        <f>IF(AND(MONTH(E75)='IN-NX'!$J$5,'IN-NX'!$D$7=D75),"x","")</f>
        <v/>
      </c>
      <c r="AB75" s="75" t="str">
        <f>IF(AND(OR(LEFT(TH!N75,2)="15",LEFT(TH!O75,2)="15"),LEFT(TH!O75,3)&lt;&gt;"111",'152-CT'!$J$8=TH!F75),"x","")</f>
        <v/>
      </c>
      <c r="AC75" s="75" t="str">
        <f>IF(AND(OR(LEFT(TH!N75,2)="15",LEFT(TH!O75,2)="15"),TK!$E$7=TH!F75),"x","")</f>
        <v/>
      </c>
      <c r="AD75" s="75" t="str">
        <f>IF(AND(N75="1521",MONTH(C75)='BK-NL'!$M$11),"x","")</f>
        <v/>
      </c>
    </row>
    <row r="76" spans="1:30" ht="16.5" customHeight="1">
      <c r="A76" s="309" t="str">
        <f>IF(B76&lt;&gt;"",IF(AND(B76='IN-TC'!$S$4,OR(TH!N76="1111",TH!O76="1111")),TH!D76,""),"")</f>
        <v/>
      </c>
      <c r="B76" s="1058">
        <f t="shared" si="0"/>
        <v>1</v>
      </c>
      <c r="C76" s="666">
        <v>42766</v>
      </c>
      <c r="D76" s="666" t="s">
        <v>530</v>
      </c>
      <c r="E76" s="666">
        <f t="shared" si="7"/>
        <v>42766</v>
      </c>
      <c r="F76" s="905" t="s">
        <v>722</v>
      </c>
      <c r="G76" s="250">
        <v>41217000</v>
      </c>
      <c r="H76" s="294"/>
      <c r="I76" s="373"/>
      <c r="J76" s="379"/>
      <c r="K76" s="373"/>
      <c r="L76" s="379"/>
      <c r="M76" s="670">
        <v>41726550</v>
      </c>
      <c r="N76" s="671" t="s">
        <v>539</v>
      </c>
      <c r="O76" s="671" t="s">
        <v>540</v>
      </c>
      <c r="P76" s="75" t="str">
        <f>IF(AND('331-CT'!$E$7=TH!H76,OR(N76="331",O76="331")),"x","")</f>
        <v/>
      </c>
      <c r="Q76" s="75" t="str">
        <f>IF(AND(B76='111'!$L$11,OR($N76=$Q$7,$O76=$Q$7)),"x","")</f>
        <v/>
      </c>
      <c r="R76" s="75" t="str">
        <f>IF(AND($N76=$Q$7,$B76&lt;'111'!$L$11),"x","")</f>
        <v/>
      </c>
      <c r="S76" s="75" t="str">
        <f>IF(AND($O76=$Q$7,$B76&lt;'111'!$L$11),"x","")</f>
        <v/>
      </c>
      <c r="T76" s="75" t="str">
        <f>IF(ISERROR(FIND('112'!$M$9,G76,1)),"",IF((AND(FIND('112'!$M$9,G76,1)&gt;=1,B76='112'!$K$9,OR($N76='112'!$I$6,$O76='112'!$I$6))),"x",""))</f>
        <v/>
      </c>
      <c r="U76" s="75" t="str">
        <f>IF(ISERROR(FIND('112'!$M$9,G76,1)),"",IF((AND(LEFT(G76,2)=LEFT('112'!$M$9,2),B76&lt;'112'!$K$9,$N76='112'!$I$6)),"x",""))</f>
        <v/>
      </c>
      <c r="V76" s="75" t="str">
        <f>IF(ISERROR(FIND('112'!$M$9,G76,1)),"",IF((AND(RIGHT(G76,2)=RIGHT('112'!$M$9,2),B76&lt;'112'!$K$9,$O76='112'!$I$6)),"x",""))</f>
        <v/>
      </c>
      <c r="W76" s="75" t="str">
        <f>IF(AND('341-CT'!$H$9=H76,OR(LEFT(N76,3)=$W$7,LEFT(O76,3)=$W$7)),"x","")</f>
        <v/>
      </c>
      <c r="X76" s="75" t="str">
        <f>IF(OR(TH!N76=TH!$X$7,O76=TH!$X$7),"x","")</f>
        <v/>
      </c>
      <c r="Y76" s="75" t="str">
        <f>IF(AND(OR(N76="131",O76="131"),H76='131-CT'!$H$9),"x","")</f>
        <v/>
      </c>
      <c r="Z76" s="75"/>
      <c r="AA76" s="75" t="str">
        <f>IF(AND(MONTH(E76)='IN-NX'!$J$5,'IN-NX'!$D$7=D76),"x","")</f>
        <v/>
      </c>
      <c r="AB76" s="75" t="str">
        <f>IF(AND(OR(LEFT(TH!N76,2)="15",LEFT(TH!O76,2)="15"),LEFT(TH!O76,3)&lt;&gt;"111",'152-CT'!$J$8=TH!F76),"x","")</f>
        <v/>
      </c>
      <c r="AC76" s="75" t="str">
        <f>IF(AND(OR(LEFT(TH!N76,2)="15",LEFT(TH!O76,2)="15"),TK!$E$7=TH!F76),"x","")</f>
        <v/>
      </c>
      <c r="AD76" s="75" t="str">
        <f>IF(AND(N76="1521",MONTH(C76)='BK-NL'!$M$11),"x","")</f>
        <v/>
      </c>
    </row>
    <row r="77" spans="1:30" ht="16.5" customHeight="1">
      <c r="A77" s="309" t="str">
        <f>IF(B77&lt;&gt;"",IF(AND(B77='IN-TC'!$S$4,OR(TH!N77="1111",TH!O77="1111")),TH!D77,""),"")</f>
        <v/>
      </c>
      <c r="B77" s="1058">
        <f t="shared" si="0"/>
        <v>1</v>
      </c>
      <c r="C77" s="666">
        <v>42766</v>
      </c>
      <c r="D77" s="666" t="s">
        <v>530</v>
      </c>
      <c r="E77" s="666">
        <f t="shared" si="7"/>
        <v>42766</v>
      </c>
      <c r="F77" s="905" t="s">
        <v>723</v>
      </c>
      <c r="G77" s="250">
        <v>58344000</v>
      </c>
      <c r="H77" s="294"/>
      <c r="I77" s="373"/>
      <c r="J77" s="379"/>
      <c r="K77" s="373"/>
      <c r="L77" s="379"/>
      <c r="M77" s="670">
        <v>62181000</v>
      </c>
      <c r="N77" s="671" t="s">
        <v>272</v>
      </c>
      <c r="O77" s="671" t="s">
        <v>540</v>
      </c>
      <c r="P77" s="75" t="str">
        <f>IF(AND('331-CT'!$E$7=TH!H77,OR(N77="331",O77="331")),"x","")</f>
        <v/>
      </c>
      <c r="Q77" s="75" t="str">
        <f>IF(AND(B77='111'!$L$11,OR($N77=$Q$7,$O77=$Q$7)),"x","")</f>
        <v/>
      </c>
      <c r="R77" s="75" t="str">
        <f>IF(AND($N77=$Q$7,$B77&lt;'111'!$L$11),"x","")</f>
        <v/>
      </c>
      <c r="S77" s="75" t="str">
        <f>IF(AND($O77=$Q$7,$B77&lt;'111'!$L$11),"x","")</f>
        <v/>
      </c>
      <c r="T77" s="75" t="str">
        <f>IF(ISERROR(FIND('112'!$M$9,G77,1)),"",IF((AND(FIND('112'!$M$9,G77,1)&gt;=1,B77='112'!$K$9,OR($N77='112'!$I$6,$O77='112'!$I$6))),"x",""))</f>
        <v/>
      </c>
      <c r="U77" s="75" t="str">
        <f>IF(ISERROR(FIND('112'!$M$9,G77,1)),"",IF((AND(LEFT(G77,2)=LEFT('112'!$M$9,2),B77&lt;'112'!$K$9,$N77='112'!$I$6)),"x",""))</f>
        <v/>
      </c>
      <c r="V77" s="75" t="str">
        <f>IF(ISERROR(FIND('112'!$M$9,G77,1)),"",IF((AND(RIGHT(G77,2)=RIGHT('112'!$M$9,2),B77&lt;'112'!$K$9,$O77='112'!$I$6)),"x",""))</f>
        <v/>
      </c>
      <c r="W77" s="75" t="str">
        <f>IF(AND('341-CT'!$H$9=H77,OR(LEFT(N77,3)=$W$7,LEFT(O77,3)=$W$7)),"x","")</f>
        <v/>
      </c>
      <c r="X77" s="75" t="str">
        <f>IF(OR(TH!N77=TH!$X$7,O77=TH!$X$7),"x","")</f>
        <v/>
      </c>
      <c r="Y77" s="75" t="str">
        <f>IF(AND(OR(N77="131",O77="131"),H77='131-CT'!$H$9),"x","")</f>
        <v/>
      </c>
      <c r="Z77" s="75"/>
      <c r="AA77" s="75" t="str">
        <f>IF(AND(MONTH(E77)='IN-NX'!$J$5,'IN-NX'!$D$7=D77),"x","")</f>
        <v/>
      </c>
      <c r="AB77" s="75" t="str">
        <f>IF(AND(OR(LEFT(TH!N77,2)="15",LEFT(TH!O77,2)="15"),LEFT(TH!O77,3)&lt;&gt;"111",'152-CT'!$J$8=TH!F77),"x","")</f>
        <v/>
      </c>
      <c r="AC77" s="75" t="str">
        <f>IF(AND(OR(LEFT(TH!N77,2)="15",LEFT(TH!O77,2)="15"),TK!$E$7=TH!F77),"x","")</f>
        <v/>
      </c>
      <c r="AD77" s="75" t="str">
        <f>IF(AND(N77="1521",MONTH(C77)='BK-NL'!$M$11),"x","")</f>
        <v/>
      </c>
    </row>
    <row r="78" spans="1:30" ht="16.5" customHeight="1">
      <c r="A78" s="309" t="str">
        <f>IF(B78&lt;&gt;"",IF(AND(B78='IN-TC'!$S$4,OR(TH!N78="1111",TH!O78="1111")),TH!D78,""),"")</f>
        <v/>
      </c>
      <c r="B78" s="1058">
        <f t="shared" si="0"/>
        <v>1</v>
      </c>
      <c r="C78" s="666">
        <v>42766</v>
      </c>
      <c r="D78" s="666" t="s">
        <v>530</v>
      </c>
      <c r="E78" s="666">
        <f t="shared" si="7"/>
        <v>42766</v>
      </c>
      <c r="F78" s="905" t="s">
        <v>724</v>
      </c>
      <c r="G78" s="739" t="s">
        <v>531</v>
      </c>
      <c r="H78" s="294"/>
      <c r="I78" s="373"/>
      <c r="J78" s="379"/>
      <c r="K78" s="373"/>
      <c r="L78" s="379"/>
      <c r="M78" s="670">
        <f>ROUND(G76*$G78,0)</f>
        <v>3297360</v>
      </c>
      <c r="N78" s="671" t="s">
        <v>540</v>
      </c>
      <c r="O78" s="671" t="s">
        <v>541</v>
      </c>
      <c r="P78" s="75" t="str">
        <f>IF(AND('331-CT'!$E$7=TH!H78,OR(N78="331",O78="331")),"x","")</f>
        <v/>
      </c>
      <c r="Q78" s="75" t="str">
        <f>IF(AND(B78='111'!$L$11,OR($N78=$Q$7,$O78=$Q$7)),"x","")</f>
        <v/>
      </c>
      <c r="R78" s="75" t="str">
        <f>IF(AND($N78=$Q$7,$B78&lt;'111'!$L$11),"x","")</f>
        <v/>
      </c>
      <c r="S78" s="75" t="str">
        <f>IF(AND($O78=$Q$7,$B78&lt;'111'!$L$11),"x","")</f>
        <v/>
      </c>
      <c r="T78" s="75" t="str">
        <f>IF(ISERROR(FIND('112'!$M$9,G78,1)),"",IF((AND(FIND('112'!$M$9,G78,1)&gt;=1,B78='112'!$K$9,OR($N78='112'!$I$6,$O78='112'!$I$6))),"x",""))</f>
        <v/>
      </c>
      <c r="U78" s="75" t="str">
        <f>IF(ISERROR(FIND('112'!$M$9,G78,1)),"",IF((AND(LEFT(G78,2)=LEFT('112'!$M$9,2),B78&lt;'112'!$K$9,$N78='112'!$I$6)),"x",""))</f>
        <v/>
      </c>
      <c r="V78" s="75" t="str">
        <f>IF(ISERROR(FIND('112'!$M$9,G78,1)),"",IF((AND(RIGHT(G78,2)=RIGHT('112'!$M$9,2),B78&lt;'112'!$K$9,$O78='112'!$I$6)),"x",""))</f>
        <v/>
      </c>
      <c r="W78" s="75" t="str">
        <f>IF(AND('341-CT'!$H$9=H78,OR(LEFT(N78,3)=$W$7,LEFT(O78,3)=$W$7)),"x","")</f>
        <v/>
      </c>
      <c r="X78" s="75" t="str">
        <f>IF(OR(TH!N78=TH!$X$7,O78=TH!$X$7),"x","")</f>
        <v/>
      </c>
      <c r="Y78" s="75" t="str">
        <f>IF(AND(OR(N78="131",O78="131"),H78='131-CT'!$H$9),"x","")</f>
        <v/>
      </c>
      <c r="Z78" s="75"/>
      <c r="AA78" s="75" t="str">
        <f>IF(AND(MONTH(E78)='IN-NX'!$J$5,'IN-NX'!$D$7=D78),"x","")</f>
        <v/>
      </c>
      <c r="AB78" s="75" t="str">
        <f>IF(AND(OR(LEFT(TH!N78,2)="15",LEFT(TH!O78,2)="15"),LEFT(TH!O78,3)&lt;&gt;"111",'152-CT'!$J$8=TH!F78),"x","")</f>
        <v/>
      </c>
      <c r="AC78" s="75" t="str">
        <f>IF(AND(OR(LEFT(TH!N78,2)="15",LEFT(TH!O78,2)="15"),TK!$E$7=TH!F78),"x","")</f>
        <v/>
      </c>
      <c r="AD78" s="75" t="str">
        <f>IF(AND(N78="1521",MONTH(C78)='BK-NL'!$M$11),"x","")</f>
        <v/>
      </c>
    </row>
    <row r="79" spans="1:30" ht="16.5" customHeight="1">
      <c r="A79" s="309" t="str">
        <f>IF(B79&lt;&gt;"",IF(AND(B79='IN-TC'!$S$4,OR(TH!N79="1111",TH!O79="1111")),TH!D79,""),"")</f>
        <v/>
      </c>
      <c r="B79" s="1058">
        <f t="shared" si="0"/>
        <v>1</v>
      </c>
      <c r="C79" s="666">
        <v>42766</v>
      </c>
      <c r="D79" s="666" t="s">
        <v>530</v>
      </c>
      <c r="E79" s="666">
        <f t="shared" si="7"/>
        <v>42766</v>
      </c>
      <c r="F79" s="905" t="s">
        <v>725</v>
      </c>
      <c r="G79" s="250"/>
      <c r="H79" s="294"/>
      <c r="I79" s="373"/>
      <c r="J79" s="379"/>
      <c r="K79" s="373"/>
      <c r="L79" s="379"/>
      <c r="M79" s="670">
        <f>ROUND(G77*$G78,0)</f>
        <v>4667520</v>
      </c>
      <c r="N79" s="672" t="s">
        <v>540</v>
      </c>
      <c r="O79" s="673" t="s">
        <v>541</v>
      </c>
      <c r="P79" s="75" t="str">
        <f>IF(AND('331-CT'!$E$7=TH!H79,OR(N79="331",O79="331")),"x","")</f>
        <v/>
      </c>
      <c r="Q79" s="75" t="str">
        <f>IF(AND(B79='111'!$L$11,OR($N79=$Q$7,$O79=$Q$7)),"x","")</f>
        <v/>
      </c>
      <c r="R79" s="75" t="str">
        <f>IF(AND($N79=$Q$7,$B79&lt;'111'!$L$11),"x","")</f>
        <v/>
      </c>
      <c r="S79" s="75" t="str">
        <f>IF(AND($O79=$Q$7,$B79&lt;'111'!$L$11),"x","")</f>
        <v/>
      </c>
      <c r="T79" s="75" t="str">
        <f>IF(ISERROR(FIND('112'!$M$9,G79,1)),"",IF((AND(FIND('112'!$M$9,G79,1)&gt;=1,B79='112'!$K$9,OR($N79='112'!$I$6,$O79='112'!$I$6))),"x",""))</f>
        <v/>
      </c>
      <c r="U79" s="75" t="str">
        <f>IF(ISERROR(FIND('112'!$M$9,G79,1)),"",IF((AND(LEFT(G79,2)=LEFT('112'!$M$9,2),B79&lt;'112'!$K$9,$N79='112'!$I$6)),"x",""))</f>
        <v/>
      </c>
      <c r="V79" s="75" t="str">
        <f>IF(ISERROR(FIND('112'!$M$9,G79,1)),"",IF((AND(RIGHT(G79,2)=RIGHT('112'!$M$9,2),B79&lt;'112'!$K$9,$O79='112'!$I$6)),"x",""))</f>
        <v/>
      </c>
      <c r="W79" s="75" t="str">
        <f>IF(AND('341-CT'!$H$9=H79,OR(LEFT(N79,3)=$W$7,LEFT(O79,3)=$W$7)),"x","")</f>
        <v/>
      </c>
      <c r="X79" s="75" t="str">
        <f>IF(OR(TH!N79=TH!$X$7,O79=TH!$X$7),"x","")</f>
        <v/>
      </c>
      <c r="Y79" s="75" t="str">
        <f>IF(AND(OR(N79="131",O79="131"),H79='131-CT'!$H$9),"x","")</f>
        <v/>
      </c>
      <c r="Z79" s="75"/>
      <c r="AA79" s="75" t="str">
        <f>IF(AND(MONTH(E79)='IN-NX'!$J$5,'IN-NX'!$D$7=D79),"x","")</f>
        <v/>
      </c>
      <c r="AB79" s="75" t="str">
        <f>IF(AND(OR(LEFT(TH!N79,2)="15",LEFT(TH!O79,2)="15"),LEFT(TH!O79,3)&lt;&gt;"111",'152-CT'!$J$8=TH!F79),"x","")</f>
        <v/>
      </c>
      <c r="AC79" s="75" t="str">
        <f>IF(AND(OR(LEFT(TH!N79,2)="15",LEFT(TH!O79,2)="15"),TK!$E$7=TH!F79),"x","")</f>
        <v/>
      </c>
      <c r="AD79" s="75" t="str">
        <f>IF(AND(N79="1521",MONTH(C79)='BK-NL'!$M$11),"x","")</f>
        <v/>
      </c>
    </row>
    <row r="80" spans="1:30" ht="16.5" customHeight="1">
      <c r="A80" s="309" t="str">
        <f>IF(B80&lt;&gt;"",IF(AND(B80='IN-TC'!$S$4,OR(TH!N80="1111",TH!O80="1111")),TH!D80,""),"")</f>
        <v/>
      </c>
      <c r="B80" s="1058">
        <f t="shared" si="0"/>
        <v>1</v>
      </c>
      <c r="C80" s="666">
        <v>42766</v>
      </c>
      <c r="D80" s="666" t="s">
        <v>530</v>
      </c>
      <c r="E80" s="666">
        <f t="shared" si="7"/>
        <v>42766</v>
      </c>
      <c r="F80" s="905" t="s">
        <v>726</v>
      </c>
      <c r="G80" s="739" t="s">
        <v>532</v>
      </c>
      <c r="H80" s="294"/>
      <c r="I80" s="373"/>
      <c r="J80" s="379"/>
      <c r="K80" s="373"/>
      <c r="L80" s="379"/>
      <c r="M80" s="670">
        <f>ROUND(G76*$G80,0)</f>
        <v>7419060</v>
      </c>
      <c r="N80" s="671" t="s">
        <v>539</v>
      </c>
      <c r="O80" s="671" t="s">
        <v>541</v>
      </c>
      <c r="P80" s="75" t="str">
        <f>IF(AND('331-CT'!$E$7=TH!H80,OR(N80="331",O80="331")),"x","")</f>
        <v/>
      </c>
      <c r="Q80" s="75" t="str">
        <f>IF(AND(B80='111'!$L$11,OR($N80=$Q$7,$O80=$Q$7)),"x","")</f>
        <v/>
      </c>
      <c r="R80" s="75" t="str">
        <f>IF(AND($N80=$Q$7,$B80&lt;'111'!$L$11),"x","")</f>
        <v/>
      </c>
      <c r="S80" s="75" t="str">
        <f>IF(AND($O80=$Q$7,$B80&lt;'111'!$L$11),"x","")</f>
        <v/>
      </c>
      <c r="T80" s="75" t="str">
        <f>IF(ISERROR(FIND('112'!$M$9,G80,1)),"",IF((AND(FIND('112'!$M$9,G80,1)&gt;=1,B80='112'!$K$9,OR($N80='112'!$I$6,$O80='112'!$I$6))),"x",""))</f>
        <v/>
      </c>
      <c r="U80" s="75" t="str">
        <f>IF(ISERROR(FIND('112'!$M$9,G80,1)),"",IF((AND(LEFT(G80,2)=LEFT('112'!$M$9,2),B80&lt;'112'!$K$9,$N80='112'!$I$6)),"x",""))</f>
        <v/>
      </c>
      <c r="V80" s="75" t="str">
        <f>IF(ISERROR(FIND('112'!$M$9,G80,1)),"",IF((AND(RIGHT(G80,2)=RIGHT('112'!$M$9,2),B80&lt;'112'!$K$9,$O80='112'!$I$6)),"x",""))</f>
        <v/>
      </c>
      <c r="W80" s="75" t="str">
        <f>IF(AND('341-CT'!$H$9=H80,OR(LEFT(N80,3)=$W$7,LEFT(O80,3)=$W$7)),"x","")</f>
        <v/>
      </c>
      <c r="X80" s="75" t="str">
        <f>IF(OR(TH!N80=TH!$X$7,O80=TH!$X$7),"x","")</f>
        <v/>
      </c>
      <c r="Y80" s="75" t="str">
        <f>IF(AND(OR(N80="131",O80="131"),H80='131-CT'!$H$9),"x","")</f>
        <v/>
      </c>
      <c r="Z80" s="75"/>
      <c r="AA80" s="75" t="str">
        <f>IF(AND(MONTH(E80)='IN-NX'!$J$5,'IN-NX'!$D$7=D80),"x","")</f>
        <v/>
      </c>
      <c r="AB80" s="75" t="str">
        <f>IF(AND(OR(LEFT(TH!N80,2)="15",LEFT(TH!O80,2)="15"),LEFT(TH!O80,3)&lt;&gt;"111",'152-CT'!$J$8=TH!F80),"x","")</f>
        <v/>
      </c>
      <c r="AC80" s="75" t="str">
        <f>IF(AND(OR(LEFT(TH!N80,2)="15",LEFT(TH!O80,2)="15"),TK!$E$7=TH!F80),"x","")</f>
        <v/>
      </c>
      <c r="AD80" s="75" t="str">
        <f>IF(AND(N80="1521",MONTH(C80)='BK-NL'!$M$11),"x","")</f>
        <v/>
      </c>
    </row>
    <row r="81" spans="1:31" ht="16.5" customHeight="1">
      <c r="A81" s="309" t="str">
        <f>IF(B81&lt;&gt;"",IF(AND(B81='IN-TC'!$S$4,OR(TH!N81="1111",TH!O81="1111")),TH!D81,""),"")</f>
        <v/>
      </c>
      <c r="B81" s="1058">
        <f t="shared" si="0"/>
        <v>1</v>
      </c>
      <c r="C81" s="666">
        <v>42766</v>
      </c>
      <c r="D81" s="666" t="s">
        <v>530</v>
      </c>
      <c r="E81" s="666">
        <f t="shared" si="7"/>
        <v>42766</v>
      </c>
      <c r="F81" s="905" t="s">
        <v>727</v>
      </c>
      <c r="G81" s="250"/>
      <c r="H81" s="294"/>
      <c r="I81" s="373"/>
      <c r="J81" s="379"/>
      <c r="K81" s="373"/>
      <c r="L81" s="379"/>
      <c r="M81" s="670">
        <f>ROUND(G77*$G80,0)</f>
        <v>10501920</v>
      </c>
      <c r="N81" s="671" t="s">
        <v>272</v>
      </c>
      <c r="O81" s="671" t="s">
        <v>541</v>
      </c>
      <c r="P81" s="75" t="str">
        <f>IF(AND('331-CT'!$E$7=TH!H81,OR(N81="331",O81="331")),"x","")</f>
        <v/>
      </c>
      <c r="Q81" s="75" t="str">
        <f>IF(AND(B81='111'!$L$11,OR($N81=$Q$7,$O81=$Q$7)),"x","")</f>
        <v/>
      </c>
      <c r="R81" s="75" t="str">
        <f>IF(AND($N81=$Q$7,$B81&lt;'111'!$L$11),"x","")</f>
        <v/>
      </c>
      <c r="S81" s="75" t="str">
        <f>IF(AND($O81=$Q$7,$B81&lt;'111'!$L$11),"x","")</f>
        <v/>
      </c>
      <c r="T81" s="75" t="str">
        <f>IF(ISERROR(FIND('112'!$M$9,G81,1)),"",IF((AND(FIND('112'!$M$9,G81,1)&gt;=1,B81='112'!$K$9,OR($N81='112'!$I$6,$O81='112'!$I$6))),"x",""))</f>
        <v/>
      </c>
      <c r="U81" s="75" t="str">
        <f>IF(ISERROR(FIND('112'!$M$9,G81,1)),"",IF((AND(LEFT(G81,2)=LEFT('112'!$M$9,2),B81&lt;'112'!$K$9,$N81='112'!$I$6)),"x",""))</f>
        <v/>
      </c>
      <c r="V81" s="75" t="str">
        <f>IF(ISERROR(FIND('112'!$M$9,G81,1)),"",IF((AND(RIGHT(G81,2)=RIGHT('112'!$M$9,2),B81&lt;'112'!$K$9,$O81='112'!$I$6)),"x",""))</f>
        <v/>
      </c>
      <c r="W81" s="75" t="str">
        <f>IF(AND('341-CT'!$H$9=H81,OR(LEFT(N81,3)=$W$7,LEFT(O81,3)=$W$7)),"x","")</f>
        <v/>
      </c>
      <c r="X81" s="75" t="str">
        <f>IF(OR(TH!N81=TH!$X$7,O81=TH!$X$7),"x","")</f>
        <v/>
      </c>
      <c r="Y81" s="75" t="str">
        <f>IF(AND(OR(N81="131",O81="131"),H81='131-CT'!$H$9),"x","")</f>
        <v/>
      </c>
      <c r="Z81" s="75"/>
      <c r="AA81" s="75" t="str">
        <f>IF(AND(MONTH(E81)='IN-NX'!$J$5,'IN-NX'!$D$7=D81),"x","")</f>
        <v/>
      </c>
      <c r="AB81" s="75" t="str">
        <f>IF(AND(OR(LEFT(TH!N81,2)="15",LEFT(TH!O81,2)="15"),LEFT(TH!O81,3)&lt;&gt;"111",'152-CT'!$J$8=TH!F81),"x","")</f>
        <v/>
      </c>
      <c r="AC81" s="75" t="str">
        <f>IF(AND(OR(LEFT(TH!N81,2)="15",LEFT(TH!O81,2)="15"),TK!$E$7=TH!F81),"x","")</f>
        <v/>
      </c>
      <c r="AD81" s="75" t="str">
        <f>IF(AND(N81="1521",MONTH(C81)='BK-NL'!$M$11),"x","")</f>
        <v/>
      </c>
    </row>
    <row r="82" spans="1:31" ht="16.5" customHeight="1">
      <c r="A82" s="309" t="str">
        <f>IF(B82&lt;&gt;"",IF(AND(B82='IN-TC'!$S$4,OR(TH!N82="1111",TH!O82="1111")),TH!D82,""),"")</f>
        <v/>
      </c>
      <c r="B82" s="1058">
        <f t="shared" si="0"/>
        <v>1</v>
      </c>
      <c r="C82" s="666">
        <v>42766</v>
      </c>
      <c r="D82" s="666" t="s">
        <v>530</v>
      </c>
      <c r="E82" s="666">
        <f t="shared" si="7"/>
        <v>42766</v>
      </c>
      <c r="F82" s="905" t="s">
        <v>728</v>
      </c>
      <c r="G82" s="739" t="s">
        <v>533</v>
      </c>
      <c r="H82" s="296"/>
      <c r="I82" s="371"/>
      <c r="J82" s="377"/>
      <c r="K82" s="371"/>
      <c r="L82" s="377"/>
      <c r="M82" s="670">
        <f>ROUND(G76*$G82,0)</f>
        <v>618255</v>
      </c>
      <c r="N82" s="671" t="s">
        <v>540</v>
      </c>
      <c r="O82" s="671" t="s">
        <v>542</v>
      </c>
      <c r="P82" s="75" t="str">
        <f>IF(AND('331-CT'!$E$7=TH!H82,OR(N82="331",O82="331")),"x","")</f>
        <v/>
      </c>
      <c r="Q82" s="75" t="str">
        <f>IF(AND(B82='111'!$L$11,OR($N82=$Q$7,$O82=$Q$7)),"x","")</f>
        <v/>
      </c>
      <c r="R82" s="75" t="str">
        <f>IF(AND($N82=$Q$7,$B82&lt;'111'!$L$11),"x","")</f>
        <v/>
      </c>
      <c r="S82" s="75" t="str">
        <f>IF(AND($O82=$Q$7,$B82&lt;'111'!$L$11),"x","")</f>
        <v/>
      </c>
      <c r="T82" s="75" t="str">
        <f>IF(ISERROR(FIND('112'!$M$9,G82,1)),"",IF((AND(FIND('112'!$M$9,G82,1)&gt;=1,B82='112'!$K$9,OR($N82='112'!$I$6,$O82='112'!$I$6))),"x",""))</f>
        <v/>
      </c>
      <c r="U82" s="75" t="str">
        <f>IF(ISERROR(FIND('112'!$M$9,G82,1)),"",IF((AND(LEFT(G82,2)=LEFT('112'!$M$9,2),B82&lt;'112'!$K$9,$N82='112'!$I$6)),"x",""))</f>
        <v/>
      </c>
      <c r="V82" s="75" t="str">
        <f>IF(ISERROR(FIND('112'!$M$9,G82,1)),"",IF((AND(RIGHT(G82,2)=RIGHT('112'!$M$9,2),B82&lt;'112'!$K$9,$O82='112'!$I$6)),"x",""))</f>
        <v/>
      </c>
      <c r="W82" s="75" t="str">
        <f>IF(AND('341-CT'!$H$9=H82,OR(LEFT(N82,3)=$W$7,LEFT(O82,3)=$W$7)),"x","")</f>
        <v/>
      </c>
      <c r="X82" s="75" t="str">
        <f>IF(OR(TH!N82=TH!$X$7,O82=TH!$X$7),"x","")</f>
        <v/>
      </c>
      <c r="Y82" s="75" t="str">
        <f>IF(AND(OR(N82="131",O82="131"),H82='131-CT'!$H$9),"x","")</f>
        <v/>
      </c>
      <c r="Z82" s="75"/>
      <c r="AA82" s="75" t="str">
        <f>IF(AND(MONTH(E82)='IN-NX'!$J$5,'IN-NX'!$D$7=D82),"x","")</f>
        <v/>
      </c>
      <c r="AB82" s="75" t="str">
        <f>IF(AND(OR(LEFT(TH!N82,2)="15",LEFT(TH!O82,2)="15"),LEFT(TH!O82,3)&lt;&gt;"111",'152-CT'!$J$8=TH!F82),"x","")</f>
        <v/>
      </c>
      <c r="AC82" s="75" t="str">
        <f>IF(AND(OR(LEFT(TH!N82,2)="15",LEFT(TH!O82,2)="15"),TK!$E$7=TH!F82),"x","")</f>
        <v/>
      </c>
      <c r="AD82" s="75" t="str">
        <f>IF(AND(N82="1521",MONTH(C82)='BK-NL'!$M$11),"x","")</f>
        <v/>
      </c>
    </row>
    <row r="83" spans="1:31" ht="16.5" customHeight="1">
      <c r="A83" s="309" t="str">
        <f>IF(B83&lt;&gt;"",IF(AND(B83='IN-TC'!$S$4,OR(TH!N83="1111",TH!O83="1111")),TH!D83,""),"")</f>
        <v/>
      </c>
      <c r="B83" s="1058">
        <f t="shared" si="0"/>
        <v>1</v>
      </c>
      <c r="C83" s="666">
        <v>42766</v>
      </c>
      <c r="D83" s="666" t="s">
        <v>530</v>
      </c>
      <c r="E83" s="666">
        <f t="shared" si="7"/>
        <v>42766</v>
      </c>
      <c r="F83" s="905" t="s">
        <v>729</v>
      </c>
      <c r="G83" s="250"/>
      <c r="H83" s="296"/>
      <c r="I83" s="371"/>
      <c r="J83" s="377"/>
      <c r="K83" s="371"/>
      <c r="L83" s="377"/>
      <c r="M83" s="670">
        <f>ROUND(G77*$G82,0)</f>
        <v>875160</v>
      </c>
      <c r="N83" s="671" t="s">
        <v>540</v>
      </c>
      <c r="O83" s="671" t="s">
        <v>542</v>
      </c>
      <c r="P83" s="75" t="str">
        <f>IF(AND('331-CT'!$E$7=TH!H83,OR(N83="331",O83="331")),"x","")</f>
        <v/>
      </c>
      <c r="Q83" s="75" t="str">
        <f>IF(AND(B83='111'!$L$11,OR($N83=$Q$7,$O83=$Q$7)),"x","")</f>
        <v/>
      </c>
      <c r="R83" s="75" t="str">
        <f>IF(AND($N83=$Q$7,$B83&lt;'111'!$L$11),"x","")</f>
        <v/>
      </c>
      <c r="S83" s="75" t="str">
        <f>IF(AND($O83=$Q$7,$B83&lt;'111'!$L$11),"x","")</f>
        <v/>
      </c>
      <c r="T83" s="75" t="str">
        <f>IF(ISERROR(FIND('112'!$M$9,G83,1)),"",IF((AND(FIND('112'!$M$9,G83,1)&gt;=1,B83='112'!$K$9,OR($N83='112'!$I$6,$O83='112'!$I$6))),"x",""))</f>
        <v/>
      </c>
      <c r="U83" s="75" t="str">
        <f>IF(ISERROR(FIND('112'!$M$9,G83,1)),"",IF((AND(LEFT(G83,2)=LEFT('112'!$M$9,2),B83&lt;'112'!$K$9,$N83='112'!$I$6)),"x",""))</f>
        <v/>
      </c>
      <c r="V83" s="75" t="str">
        <f>IF(ISERROR(FIND('112'!$M$9,G83,1)),"",IF((AND(RIGHT(G83,2)=RIGHT('112'!$M$9,2),B83&lt;'112'!$K$9,$O83='112'!$I$6)),"x",""))</f>
        <v/>
      </c>
      <c r="W83" s="75" t="str">
        <f>IF(AND('341-CT'!$H$9=H83,OR(LEFT(N83,3)=$W$7,LEFT(O83,3)=$W$7)),"x","")</f>
        <v/>
      </c>
      <c r="X83" s="75" t="str">
        <f>IF(OR(TH!N83=TH!$X$7,O83=TH!$X$7),"x","")</f>
        <v/>
      </c>
      <c r="Y83" s="75" t="str">
        <f>IF(AND(OR(N83="131",O83="131"),H83='131-CT'!$H$9),"x","")</f>
        <v/>
      </c>
      <c r="Z83" s="75"/>
      <c r="AA83" s="75" t="str">
        <f>IF(AND(MONTH(E83)='IN-NX'!$J$5,'IN-NX'!$D$7=D83),"x","")</f>
        <v/>
      </c>
      <c r="AB83" s="75" t="str">
        <f>IF(AND(OR(LEFT(TH!N83,2)="15",LEFT(TH!O83,2)="15"),LEFT(TH!O83,3)&lt;&gt;"111",'152-CT'!$J$8=TH!F83),"x","")</f>
        <v/>
      </c>
      <c r="AC83" s="75" t="str">
        <f>IF(AND(OR(LEFT(TH!N83,2)="15",LEFT(TH!O83,2)="15"),TK!$E$7=TH!F83),"x","")</f>
        <v/>
      </c>
      <c r="AD83" s="75" t="str">
        <f>IF(AND(N83="1521",MONTH(C83)='BK-NL'!$M$11),"x","")</f>
        <v/>
      </c>
    </row>
    <row r="84" spans="1:31" ht="16.5" customHeight="1">
      <c r="A84" s="309" t="str">
        <f>IF(B84&lt;&gt;"",IF(AND(B84='IN-TC'!$S$4,OR(TH!N84="1111",TH!O84="1111")),TH!D84,""),"")</f>
        <v/>
      </c>
      <c r="B84" s="1058">
        <f t="shared" si="0"/>
        <v>1</v>
      </c>
      <c r="C84" s="666">
        <v>42766</v>
      </c>
      <c r="D84" s="666" t="s">
        <v>530</v>
      </c>
      <c r="E84" s="666">
        <f t="shared" ref="E84:E119" si="12">C84</f>
        <v>42766</v>
      </c>
      <c r="F84" s="905" t="s">
        <v>730</v>
      </c>
      <c r="G84" s="739" t="s">
        <v>534</v>
      </c>
      <c r="H84" s="294"/>
      <c r="I84" s="373"/>
      <c r="J84" s="379"/>
      <c r="K84" s="373"/>
      <c r="L84" s="379"/>
      <c r="M84" s="670">
        <f>ROUND(G76*$G84,0)</f>
        <v>1236510</v>
      </c>
      <c r="N84" s="671" t="s">
        <v>539</v>
      </c>
      <c r="O84" s="671" t="s">
        <v>542</v>
      </c>
      <c r="P84" s="75" t="str">
        <f>IF(AND('331-CT'!$E$7=TH!H84,OR(N84="331",O84="331")),"x","")</f>
        <v/>
      </c>
      <c r="Q84" s="75" t="str">
        <f>IF(AND(B84='111'!$L$11,OR($N84=$Q$7,$O84=$Q$7)),"x","")</f>
        <v/>
      </c>
      <c r="R84" s="75" t="str">
        <f>IF(AND($N84=$Q$7,$B84&lt;'111'!$L$11),"x","")</f>
        <v/>
      </c>
      <c r="S84" s="75" t="str">
        <f>IF(AND($O84=$Q$7,$B84&lt;'111'!$L$11),"x","")</f>
        <v/>
      </c>
      <c r="T84" s="75" t="str">
        <f>IF(ISERROR(FIND('112'!$M$9,G84,1)),"",IF((AND(FIND('112'!$M$9,G84,1)&gt;=1,B84='112'!$K$9,OR($N84='112'!$I$6,$O84='112'!$I$6))),"x",""))</f>
        <v/>
      </c>
      <c r="U84" s="75" t="str">
        <f>IF(ISERROR(FIND('112'!$M$9,G84,1)),"",IF((AND(LEFT(G84,2)=LEFT('112'!$M$9,2),B84&lt;'112'!$K$9,$N84='112'!$I$6)),"x",""))</f>
        <v/>
      </c>
      <c r="V84" s="75" t="str">
        <f>IF(ISERROR(FIND('112'!$M$9,G84,1)),"",IF((AND(RIGHT(G84,2)=RIGHT('112'!$M$9,2),B84&lt;'112'!$K$9,$O84='112'!$I$6)),"x",""))</f>
        <v/>
      </c>
      <c r="W84" s="75" t="str">
        <f>IF(AND('341-CT'!$H$9=H84,OR(LEFT(N84,3)=$W$7,LEFT(O84,3)=$W$7)),"x","")</f>
        <v/>
      </c>
      <c r="X84" s="75" t="str">
        <f>IF(OR(TH!N84=TH!$X$7,O84=TH!$X$7),"x","")</f>
        <v/>
      </c>
      <c r="Y84" s="75" t="str">
        <f>IF(AND(OR(N84="131",O84="131"),H84='131-CT'!$H$9),"x","")</f>
        <v/>
      </c>
      <c r="Z84" s="75"/>
      <c r="AA84" s="75" t="str">
        <f>IF(AND(MONTH(E84)='IN-NX'!$J$5,'IN-NX'!$D$7=D84),"x","")</f>
        <v/>
      </c>
      <c r="AB84" s="75" t="str">
        <f>IF(AND(OR(LEFT(TH!N84,2)="15",LEFT(TH!O84,2)="15"),LEFT(TH!O84,3)&lt;&gt;"111",'152-CT'!$J$8=TH!F84),"x","")</f>
        <v/>
      </c>
      <c r="AC84" s="75" t="str">
        <f>IF(AND(OR(LEFT(TH!N84,2)="15",LEFT(TH!O84,2)="15"),TK!$E$7=TH!F84),"x","")</f>
        <v/>
      </c>
      <c r="AD84" s="75" t="str">
        <f>IF(AND(N84="1521",MONTH(C84)='BK-NL'!$M$11),"x","")</f>
        <v/>
      </c>
    </row>
    <row r="85" spans="1:31" ht="16.5" customHeight="1">
      <c r="A85" s="309" t="str">
        <f>IF(B85&lt;&gt;"",IF(AND(B85='IN-TC'!$S$4,OR(TH!N85="1111",TH!O85="1111")),TH!D85,""),"")</f>
        <v/>
      </c>
      <c r="B85" s="1058">
        <f t="shared" si="0"/>
        <v>1</v>
      </c>
      <c r="C85" s="666">
        <v>42766</v>
      </c>
      <c r="D85" s="666" t="s">
        <v>530</v>
      </c>
      <c r="E85" s="666">
        <f t="shared" si="12"/>
        <v>42766</v>
      </c>
      <c r="F85" s="905" t="s">
        <v>731</v>
      </c>
      <c r="G85" s="250"/>
      <c r="H85" s="294"/>
      <c r="I85" s="373"/>
      <c r="J85" s="379"/>
      <c r="K85" s="373"/>
      <c r="L85" s="379"/>
      <c r="M85" s="670">
        <f>ROUND(G77*$G84,0)</f>
        <v>1750320</v>
      </c>
      <c r="N85" s="671" t="s">
        <v>272</v>
      </c>
      <c r="O85" s="671" t="s">
        <v>542</v>
      </c>
      <c r="P85" s="75" t="str">
        <f>IF(AND('331-CT'!$E$7=TH!H85,OR(N85="331",O85="331")),"x","")</f>
        <v/>
      </c>
      <c r="Q85" s="75" t="str">
        <f>IF(AND(B85='111'!$L$11,OR($N85=$Q$7,$O85=$Q$7)),"x","")</f>
        <v/>
      </c>
      <c r="R85" s="75" t="str">
        <f>IF(AND($N85=$Q$7,$B85&lt;'111'!$L$11),"x","")</f>
        <v/>
      </c>
      <c r="S85" s="75" t="str">
        <f>IF(AND($O85=$Q$7,$B85&lt;'111'!$L$11),"x","")</f>
        <v/>
      </c>
      <c r="T85" s="75" t="str">
        <f>IF(ISERROR(FIND('112'!$M$9,G85,1)),"",IF((AND(FIND('112'!$M$9,G85,1)&gt;=1,B85='112'!$K$9,OR($N85='112'!$I$6,$O85='112'!$I$6))),"x",""))</f>
        <v/>
      </c>
      <c r="U85" s="75" t="str">
        <f>IF(ISERROR(FIND('112'!$M$9,G85,1)),"",IF((AND(LEFT(G85,2)=LEFT('112'!$M$9,2),B85&lt;'112'!$K$9,$N85='112'!$I$6)),"x",""))</f>
        <v/>
      </c>
      <c r="V85" s="75" t="str">
        <f>IF(ISERROR(FIND('112'!$M$9,G85,1)),"",IF((AND(RIGHT(G85,2)=RIGHT('112'!$M$9,2),B85&lt;'112'!$K$9,$O85='112'!$I$6)),"x",""))</f>
        <v/>
      </c>
      <c r="W85" s="75" t="str">
        <f>IF(AND('341-CT'!$H$9=H85,OR(LEFT(N85,3)=$W$7,LEFT(O85,3)=$W$7)),"x","")</f>
        <v/>
      </c>
      <c r="X85" s="75" t="str">
        <f>IF(OR(TH!N85=TH!$X$7,O85=TH!$X$7),"x","")</f>
        <v/>
      </c>
      <c r="Y85" s="75" t="str">
        <f>IF(AND(OR(N85="131",O85="131"),H85='131-CT'!$H$9),"x","")</f>
        <v/>
      </c>
      <c r="Z85" s="75"/>
      <c r="AA85" s="75" t="str">
        <f>IF(AND(MONTH(E85)='IN-NX'!$J$5,'IN-NX'!$D$7=D85),"x","")</f>
        <v/>
      </c>
      <c r="AB85" s="75" t="str">
        <f>IF(AND(OR(LEFT(TH!N85,2)="15",LEFT(TH!O85,2)="15"),LEFT(TH!O85,3)&lt;&gt;"111",'152-CT'!$J$8=TH!F85),"x","")</f>
        <v/>
      </c>
      <c r="AC85" s="75" t="str">
        <f>IF(AND(OR(LEFT(TH!N85,2)="15",LEFT(TH!O85,2)="15"),TK!$E$7=TH!F85),"x","")</f>
        <v/>
      </c>
      <c r="AD85" s="75" t="str">
        <f>IF(AND(N85="1521",MONTH(C85)='BK-NL'!$M$11),"x","")</f>
        <v/>
      </c>
    </row>
    <row r="86" spans="1:31" ht="16.5" customHeight="1">
      <c r="A86" s="309" t="str">
        <f>IF(B86&lt;&gt;"",IF(AND(B86='IN-TC'!$S$4,OR(TH!N86="1111",TH!O86="1111")),TH!D86,""),"")</f>
        <v/>
      </c>
      <c r="B86" s="1058">
        <f t="shared" si="0"/>
        <v>1</v>
      </c>
      <c r="C86" s="666">
        <v>42766</v>
      </c>
      <c r="D86" s="666" t="s">
        <v>530</v>
      </c>
      <c r="E86" s="666">
        <f t="shared" si="12"/>
        <v>42766</v>
      </c>
      <c r="F86" s="905" t="s">
        <v>732</v>
      </c>
      <c r="G86" s="739" t="s">
        <v>535</v>
      </c>
      <c r="H86" s="294"/>
      <c r="I86" s="373"/>
      <c r="J86" s="379"/>
      <c r="K86" s="373"/>
      <c r="L86" s="379"/>
      <c r="M86" s="670">
        <f>ROUND(G76*$G86,0)</f>
        <v>412170</v>
      </c>
      <c r="N86" s="671" t="s">
        <v>540</v>
      </c>
      <c r="O86" s="671" t="s">
        <v>543</v>
      </c>
      <c r="P86" s="75" t="str">
        <f>IF(AND('331-CT'!$E$7=TH!H86,OR(N86="331",O86="331")),"x","")</f>
        <v/>
      </c>
      <c r="Q86" s="75" t="str">
        <f>IF(AND(B86='111'!$L$11,OR($N86=$Q$7,$O86=$Q$7)),"x","")</f>
        <v/>
      </c>
      <c r="R86" s="75" t="str">
        <f>IF(AND($N86=$Q$7,$B86&lt;'111'!$L$11),"x","")</f>
        <v/>
      </c>
      <c r="S86" s="75" t="str">
        <f>IF(AND($O86=$Q$7,$B86&lt;'111'!$L$11),"x","")</f>
        <v/>
      </c>
      <c r="T86" s="75" t="str">
        <f>IF(ISERROR(FIND('112'!$M$9,G86,1)),"",IF((AND(FIND('112'!$M$9,G86,1)&gt;=1,B86='112'!$K$9,OR($N86='112'!$I$6,$O86='112'!$I$6))),"x",""))</f>
        <v/>
      </c>
      <c r="U86" s="75" t="str">
        <f>IF(ISERROR(FIND('112'!$M$9,G86,1)),"",IF((AND(LEFT(G86,2)=LEFT('112'!$M$9,2),B86&lt;'112'!$K$9,$N86='112'!$I$6)),"x",""))</f>
        <v/>
      </c>
      <c r="V86" s="75" t="str">
        <f>IF(ISERROR(FIND('112'!$M$9,G86,1)),"",IF((AND(RIGHT(G86,2)=RIGHT('112'!$M$9,2),B86&lt;'112'!$K$9,$O86='112'!$I$6)),"x",""))</f>
        <v/>
      </c>
      <c r="W86" s="75" t="str">
        <f>IF(AND('341-CT'!$H$9=H86,OR(LEFT(N86,3)=$W$7,LEFT(O86,3)=$W$7)),"x","")</f>
        <v/>
      </c>
      <c r="X86" s="75" t="str">
        <f>IF(OR(TH!N86=TH!$X$7,O86=TH!$X$7),"x","")</f>
        <v/>
      </c>
      <c r="Y86" s="75" t="str">
        <f>IF(AND(OR(N86="131",O86="131"),H86='131-CT'!$H$9),"x","")</f>
        <v/>
      </c>
      <c r="Z86" s="75"/>
      <c r="AA86" s="75" t="str">
        <f>IF(AND(MONTH(E86)='IN-NX'!$J$5,'IN-NX'!$D$7=D86),"x","")</f>
        <v/>
      </c>
      <c r="AB86" s="75" t="str">
        <f>IF(AND(OR(LEFT(TH!N86,2)="15",LEFT(TH!O86,2)="15"),LEFT(TH!O86,3)&lt;&gt;"111",'152-CT'!$J$8=TH!F86),"x","")</f>
        <v/>
      </c>
      <c r="AC86" s="75" t="str">
        <f>IF(AND(OR(LEFT(TH!N86,2)="15",LEFT(TH!O86,2)="15"),TK!$E$7=TH!F86),"x","")</f>
        <v/>
      </c>
      <c r="AD86" s="75" t="str">
        <f>IF(AND(N86="1521",MONTH(C86)='BK-NL'!$M$11),"x","")</f>
        <v/>
      </c>
    </row>
    <row r="87" spans="1:31" ht="16.5" customHeight="1">
      <c r="A87" s="309" t="str">
        <f>IF(B87&lt;&gt;"",IF(AND(B87='IN-TC'!$S$4,OR(TH!N87="1111",TH!O87="1111")),TH!D87,""),"")</f>
        <v/>
      </c>
      <c r="B87" s="1058">
        <f t="shared" si="0"/>
        <v>1</v>
      </c>
      <c r="C87" s="666">
        <v>42766</v>
      </c>
      <c r="D87" s="666" t="s">
        <v>530</v>
      </c>
      <c r="E87" s="666">
        <f t="shared" si="12"/>
        <v>42766</v>
      </c>
      <c r="F87" s="905" t="s">
        <v>733</v>
      </c>
      <c r="G87" s="250"/>
      <c r="H87" s="294"/>
      <c r="I87" s="373"/>
      <c r="J87" s="379"/>
      <c r="K87" s="373"/>
      <c r="L87" s="379"/>
      <c r="M87" s="670">
        <f>ROUND(G77*$G86,0)</f>
        <v>583440</v>
      </c>
      <c r="N87" s="671" t="s">
        <v>540</v>
      </c>
      <c r="O87" s="671" t="s">
        <v>543</v>
      </c>
      <c r="P87" s="75" t="str">
        <f>IF(AND('331-CT'!$E$7=TH!H87,OR(N87="331",O87="331")),"x","")</f>
        <v/>
      </c>
      <c r="Q87" s="75" t="str">
        <f>IF(AND(B87='111'!$L$11,OR($N87=$Q$7,$O87=$Q$7)),"x","")</f>
        <v/>
      </c>
      <c r="R87" s="75" t="str">
        <f>IF(AND($N87=$Q$7,$B87&lt;'111'!$L$11),"x","")</f>
        <v/>
      </c>
      <c r="S87" s="75" t="str">
        <f>IF(AND($O87=$Q$7,$B87&lt;'111'!$L$11),"x","")</f>
        <v/>
      </c>
      <c r="T87" s="75" t="str">
        <f>IF(ISERROR(FIND('112'!$M$9,G87,1)),"",IF((AND(FIND('112'!$M$9,G87,1)&gt;=1,B87='112'!$K$9,OR($N87='112'!$I$6,$O87='112'!$I$6))),"x",""))</f>
        <v/>
      </c>
      <c r="U87" s="75" t="str">
        <f>IF(ISERROR(FIND('112'!$M$9,G87,1)),"",IF((AND(LEFT(G87,2)=LEFT('112'!$M$9,2),B87&lt;'112'!$K$9,$N87='112'!$I$6)),"x",""))</f>
        <v/>
      </c>
      <c r="V87" s="75" t="str">
        <f>IF(ISERROR(FIND('112'!$M$9,G87,1)),"",IF((AND(RIGHT(G87,2)=RIGHT('112'!$M$9,2),B87&lt;'112'!$K$9,$O87='112'!$I$6)),"x",""))</f>
        <v/>
      </c>
      <c r="W87" s="75" t="str">
        <f>IF(AND('341-CT'!$H$9=H87,OR(LEFT(N87,3)=$W$7,LEFT(O87,3)=$W$7)),"x","")</f>
        <v/>
      </c>
      <c r="X87" s="75" t="str">
        <f>IF(OR(TH!N87=TH!$X$7,O87=TH!$X$7),"x","")</f>
        <v/>
      </c>
      <c r="Y87" s="75" t="str">
        <f>IF(AND(OR(N87="131",O87="131"),H87='131-CT'!$H$9),"x","")</f>
        <v/>
      </c>
      <c r="Z87" s="75"/>
      <c r="AA87" s="75" t="str">
        <f>IF(AND(MONTH(E87)='IN-NX'!$J$5,'IN-NX'!$D$7=D87),"x","")</f>
        <v/>
      </c>
      <c r="AB87" s="75" t="str">
        <f>IF(AND(OR(LEFT(TH!N87,2)="15",LEFT(TH!O87,2)="15"),LEFT(TH!O87,3)&lt;&gt;"111",'152-CT'!$J$8=TH!F87),"x","")</f>
        <v/>
      </c>
      <c r="AC87" s="75" t="str">
        <f>IF(AND(OR(LEFT(TH!N87,2)="15",LEFT(TH!O87,2)="15"),TK!$E$7=TH!F87),"x","")</f>
        <v/>
      </c>
      <c r="AD87" s="75" t="str">
        <f>IF(AND(N87="1521",MONTH(C87)='BK-NL'!$M$11),"x","")</f>
        <v/>
      </c>
    </row>
    <row r="88" spans="1:31" ht="16.5" customHeight="1">
      <c r="A88" s="309" t="str">
        <f>IF(B88&lt;&gt;"",IF(AND(B88='IN-TC'!$S$4,OR(TH!N88="1111",TH!O88="1111")),TH!D88,""),"")</f>
        <v/>
      </c>
      <c r="B88" s="1058">
        <f t="shared" si="0"/>
        <v>1</v>
      </c>
      <c r="C88" s="666">
        <v>42766</v>
      </c>
      <c r="D88" s="666" t="s">
        <v>530</v>
      </c>
      <c r="E88" s="666">
        <f t="shared" si="12"/>
        <v>42766</v>
      </c>
      <c r="F88" s="905" t="s">
        <v>734</v>
      </c>
      <c r="G88" s="739" t="s">
        <v>535</v>
      </c>
      <c r="H88" s="871"/>
      <c r="I88" s="374"/>
      <c r="J88" s="380"/>
      <c r="K88" s="374"/>
      <c r="L88" s="380"/>
      <c r="M88" s="670">
        <f>M86</f>
        <v>412170</v>
      </c>
      <c r="N88" s="671" t="s">
        <v>539</v>
      </c>
      <c r="O88" s="671" t="s">
        <v>543</v>
      </c>
      <c r="P88" s="75" t="str">
        <f>IF(AND('331-CT'!$E$7=TH!H88,OR(N88="331",O88="331")),"x","")</f>
        <v/>
      </c>
      <c r="Q88" s="75" t="str">
        <f>IF(AND(B88='111'!$L$11,OR($N88=$Q$7,$O88=$Q$7)),"x","")</f>
        <v/>
      </c>
      <c r="R88" s="75" t="str">
        <f>IF(AND($N88=$Q$7,$B88&lt;'111'!$L$11),"x","")</f>
        <v/>
      </c>
      <c r="S88" s="75" t="str">
        <f>IF(AND($O88=$Q$7,$B88&lt;'111'!$L$11),"x","")</f>
        <v/>
      </c>
      <c r="T88" s="75" t="str">
        <f>IF(ISERROR(FIND('112'!$M$9,G88,1)),"",IF((AND(FIND('112'!$M$9,G88,1)&gt;=1,B88='112'!$K$9,OR($N88='112'!$I$6,$O88='112'!$I$6))),"x",""))</f>
        <v/>
      </c>
      <c r="U88" s="75" t="str">
        <f>IF(ISERROR(FIND('112'!$M$9,G88,1)),"",IF((AND(LEFT(G88,2)=LEFT('112'!$M$9,2),B88&lt;'112'!$K$9,$N88='112'!$I$6)),"x",""))</f>
        <v/>
      </c>
      <c r="V88" s="75" t="str">
        <f>IF(ISERROR(FIND('112'!$M$9,G88,1)),"",IF((AND(RIGHT(G88,2)=RIGHT('112'!$M$9,2),B88&lt;'112'!$K$9,$O88='112'!$I$6)),"x",""))</f>
        <v/>
      </c>
      <c r="W88" s="75" t="str">
        <f>IF(AND('341-CT'!$H$9=H88,OR(LEFT(N88,3)=$W$7,LEFT(O88,3)=$W$7)),"x","")</f>
        <v/>
      </c>
      <c r="X88" s="75" t="str">
        <f>IF(OR(TH!N88=TH!$X$7,O88=TH!$X$7),"x","")</f>
        <v/>
      </c>
      <c r="Y88" s="75" t="str">
        <f>IF(AND(OR(N88="131",O88="131"),H88='131-CT'!$H$9),"x","")</f>
        <v/>
      </c>
      <c r="Z88" s="75"/>
      <c r="AA88" s="75" t="str">
        <f>IF(AND(MONTH(E88)='IN-NX'!$J$5,'IN-NX'!$D$7=D88),"x","")</f>
        <v/>
      </c>
      <c r="AB88" s="75" t="str">
        <f>IF(AND(OR(LEFT(TH!N88,2)="15",LEFT(TH!O88,2)="15"),LEFT(TH!O88,3)&lt;&gt;"111",'152-CT'!$J$8=TH!F88),"x","")</f>
        <v/>
      </c>
      <c r="AC88" s="75" t="str">
        <f>IF(AND(OR(LEFT(TH!N88,2)="15",LEFT(TH!O88,2)="15"),TK!$E$7=TH!F88),"x","")</f>
        <v/>
      </c>
      <c r="AD88" s="75" t="str">
        <f>IF(AND(N88="1521",MONTH(C88)='BK-NL'!$M$11),"x","")</f>
        <v/>
      </c>
    </row>
    <row r="89" spans="1:31" ht="16.5" customHeight="1">
      <c r="A89" s="309" t="str">
        <f>IF(B89&lt;&gt;"",IF(AND(B89='IN-TC'!$S$4,OR(TH!N89="1111",TH!O89="1111")),TH!D89,""),"")</f>
        <v/>
      </c>
      <c r="B89" s="1058">
        <f t="shared" si="0"/>
        <v>1</v>
      </c>
      <c r="C89" s="666">
        <v>42766</v>
      </c>
      <c r="D89" s="666" t="s">
        <v>530</v>
      </c>
      <c r="E89" s="666">
        <f t="shared" si="12"/>
        <v>42766</v>
      </c>
      <c r="F89" s="905" t="s">
        <v>735</v>
      </c>
      <c r="G89" s="250"/>
      <c r="H89" s="294"/>
      <c r="I89" s="373"/>
      <c r="J89" s="379"/>
      <c r="K89" s="373"/>
      <c r="L89" s="379"/>
      <c r="M89" s="670">
        <f>M87</f>
        <v>583440</v>
      </c>
      <c r="N89" s="671" t="s">
        <v>272</v>
      </c>
      <c r="O89" s="671" t="s">
        <v>543</v>
      </c>
      <c r="P89" s="75" t="str">
        <f>IF(AND('331-CT'!$E$7=TH!H89,OR(N89="331",O89="331")),"x","")</f>
        <v/>
      </c>
      <c r="Q89" s="75" t="str">
        <f>IF(AND(B89='111'!$L$11,OR($N89=$Q$7,$O89=$Q$7)),"x","")</f>
        <v/>
      </c>
      <c r="R89" s="75" t="str">
        <f>IF(AND($N89=$Q$7,$B89&lt;'111'!$L$11),"x","")</f>
        <v/>
      </c>
      <c r="S89" s="75" t="str">
        <f>IF(AND($O89=$Q$7,$B89&lt;'111'!$L$11),"x","")</f>
        <v/>
      </c>
      <c r="T89" s="75" t="str">
        <f>IF(ISERROR(FIND('112'!$M$9,G89,1)),"",IF((AND(FIND('112'!$M$9,G89,1)&gt;=1,B89='112'!$K$9,OR($N89='112'!$I$6,$O89='112'!$I$6))),"x",""))</f>
        <v/>
      </c>
      <c r="U89" s="75" t="str">
        <f>IF(ISERROR(FIND('112'!$M$9,G89,1)),"",IF((AND(LEFT(G89,2)=LEFT('112'!$M$9,2),B89&lt;'112'!$K$9,$N89='112'!$I$6)),"x",""))</f>
        <v/>
      </c>
      <c r="V89" s="75" t="str">
        <f>IF(ISERROR(FIND('112'!$M$9,G89,1)),"",IF((AND(RIGHT(G89,2)=RIGHT('112'!$M$9,2),B89&lt;'112'!$K$9,$O89='112'!$I$6)),"x",""))</f>
        <v/>
      </c>
      <c r="W89" s="75" t="str">
        <f>IF(AND('341-CT'!$H$9=H89,OR(LEFT(N89,3)=$W$7,LEFT(O89,3)=$W$7)),"x","")</f>
        <v/>
      </c>
      <c r="X89" s="75" t="str">
        <f>IF(OR(TH!N89=TH!$X$7,O89=TH!$X$7),"x","")</f>
        <v/>
      </c>
      <c r="Y89" s="75" t="str">
        <f>IF(AND(OR(N89="131",O89="131"),H89='131-CT'!$H$9),"x","")</f>
        <v/>
      </c>
      <c r="Z89" s="75"/>
      <c r="AA89" s="75" t="str">
        <f>IF(AND(MONTH(E89)='IN-NX'!$J$5,'IN-NX'!$D$7=D89),"x","")</f>
        <v/>
      </c>
      <c r="AB89" s="75" t="str">
        <f>IF(AND(OR(LEFT(TH!N89,2)="15",LEFT(TH!O89,2)="15"),LEFT(TH!O89,3)&lt;&gt;"111",'152-CT'!$J$8=TH!F89),"x","")</f>
        <v/>
      </c>
      <c r="AC89" s="75" t="str">
        <f>IF(AND(OR(LEFT(TH!N89,2)="15",LEFT(TH!O89,2)="15"),TK!$E$7=TH!F89),"x","")</f>
        <v/>
      </c>
      <c r="AD89" s="75" t="str">
        <f>IF(AND(N89="1521",MONTH(C89)='BK-NL'!$M$11),"x","")</f>
        <v/>
      </c>
    </row>
    <row r="90" spans="1:31" ht="16.5" customHeight="1">
      <c r="A90" s="309" t="str">
        <f>IF(B90&lt;&gt;"",IF(AND(B90='IN-TC'!$S$4,OR(TH!N90="1111",TH!O90="1111")),TH!D90,""),"")</f>
        <v/>
      </c>
      <c r="B90" s="1058">
        <f t="shared" ref="B90" si="13">IF(C90&lt;&gt;"",MONTH(C90),"")</f>
        <v>1</v>
      </c>
      <c r="C90" s="666">
        <v>42766</v>
      </c>
      <c r="D90" s="666" t="s">
        <v>530</v>
      </c>
      <c r="E90" s="666">
        <f t="shared" ref="E90" si="14">C90</f>
        <v>42766</v>
      </c>
      <c r="F90" s="905" t="s">
        <v>2672</v>
      </c>
      <c r="G90" s="250"/>
      <c r="H90" s="294"/>
      <c r="I90" s="373"/>
      <c r="J90" s="379"/>
      <c r="K90" s="373"/>
      <c r="L90" s="379"/>
      <c r="M90" s="670">
        <v>745362</v>
      </c>
      <c r="N90" s="671" t="s">
        <v>105</v>
      </c>
      <c r="O90" s="671" t="s">
        <v>541</v>
      </c>
      <c r="P90" s="75" t="str">
        <f>IF(AND('331-CT'!$E$7=TH!H90,OR(N90="331",O90="331")),"x","")</f>
        <v/>
      </c>
      <c r="Q90" s="75" t="str">
        <f>IF(AND(B90='111'!$L$11,OR($N90=$Q$7,$O90=$Q$7)),"x","")</f>
        <v/>
      </c>
      <c r="R90" s="75" t="str">
        <f>IF(AND($N90=$Q$7,$B90&lt;'111'!$L$11),"x","")</f>
        <v/>
      </c>
      <c r="S90" s="75" t="str">
        <f>IF(AND($O90=$Q$7,$B90&lt;'111'!$L$11),"x","")</f>
        <v/>
      </c>
      <c r="T90" s="75" t="str">
        <f>IF(ISERROR(FIND('112'!$M$9,G90,1)),"",IF((AND(FIND('112'!$M$9,G90,1)&gt;=1,B90='112'!$K$9,OR($N90='112'!$I$6,$O90='112'!$I$6))),"x",""))</f>
        <v/>
      </c>
      <c r="U90" s="75" t="str">
        <f>IF(ISERROR(FIND('112'!$M$9,G90,1)),"",IF((AND(LEFT(G90,2)=LEFT('112'!$M$9,2),B90&lt;'112'!$K$9,$N90='112'!$I$6)),"x",""))</f>
        <v/>
      </c>
      <c r="V90" s="75" t="str">
        <f>IF(ISERROR(FIND('112'!$M$9,G90,1)),"",IF((AND(RIGHT(G90,2)=RIGHT('112'!$M$9,2),B90&lt;'112'!$K$9,$O90='112'!$I$6)),"x",""))</f>
        <v/>
      </c>
      <c r="W90" s="75" t="str">
        <f>IF(AND('341-CT'!$H$9=H90,OR(LEFT(N90,3)=$W$7,LEFT(O90,3)=$W$7)),"x","")</f>
        <v/>
      </c>
      <c r="X90" s="75" t="str">
        <f>IF(OR(TH!N90=TH!$X$7,O90=TH!$X$7),"x","")</f>
        <v/>
      </c>
      <c r="Y90" s="75" t="str">
        <f>IF(AND(OR(N90="131",O90="131"),H90='131-CT'!$H$9),"x","")</f>
        <v/>
      </c>
      <c r="Z90" s="75"/>
      <c r="AA90" s="75" t="str">
        <f>IF(AND(MONTH(E90)='IN-NX'!$J$5,'IN-NX'!$D$7=D90),"x","")</f>
        <v/>
      </c>
      <c r="AB90" s="75" t="str">
        <f>IF(AND(OR(LEFT(TH!N90,2)="15",LEFT(TH!O90,2)="15"),LEFT(TH!O90,3)&lt;&gt;"111",'152-CT'!$J$8=TH!F90),"x","")</f>
        <v/>
      </c>
      <c r="AC90" s="75" t="str">
        <f>IF(AND(OR(LEFT(TH!N90,2)="15",LEFT(TH!O90,2)="15"),TK!$E$7=TH!F90),"x","")</f>
        <v/>
      </c>
      <c r="AD90" s="75" t="str">
        <f>IF(AND(N90="1521",MONTH(C90)='BK-NL'!$M$11),"x","")</f>
        <v/>
      </c>
      <c r="AE90" s="1272"/>
    </row>
    <row r="91" spans="1:31" ht="16.5" customHeight="1">
      <c r="A91" s="309" t="str">
        <f>IF(B91&lt;&gt;"",IF(AND(B91='IN-TC'!$S$4,OR(TH!N91="1111",TH!O91="1111")),TH!D91,""),"")</f>
        <v/>
      </c>
      <c r="B91" s="1131">
        <f t="shared" si="0"/>
        <v>2</v>
      </c>
      <c r="C91" s="666">
        <v>42794</v>
      </c>
      <c r="D91" s="666" t="s">
        <v>530</v>
      </c>
      <c r="E91" s="666">
        <f t="shared" si="12"/>
        <v>42794</v>
      </c>
      <c r="F91" s="905" t="s">
        <v>722</v>
      </c>
      <c r="G91" s="250">
        <f>41217000-3568000</f>
        <v>37649000</v>
      </c>
      <c r="H91" s="294"/>
      <c r="I91" s="373"/>
      <c r="J91" s="379"/>
      <c r="K91" s="373"/>
      <c r="L91" s="379"/>
      <c r="M91" s="670">
        <v>39214100</v>
      </c>
      <c r="N91" s="671" t="s">
        <v>539</v>
      </c>
      <c r="O91" s="671" t="s">
        <v>540</v>
      </c>
      <c r="P91" s="75" t="str">
        <f>IF(AND('331-CT'!$E$7=TH!H91,OR(N91="331",O91="331")),"x","")</f>
        <v/>
      </c>
      <c r="Q91" s="75" t="str">
        <f>IF(AND(B91='111'!$L$11,OR($N91=$Q$7,$O91=$Q$7)),"x","")</f>
        <v/>
      </c>
      <c r="R91" s="75" t="str">
        <f>IF(AND($N91=$Q$7,$B91&lt;'111'!$L$11),"x","")</f>
        <v/>
      </c>
      <c r="S91" s="75" t="str">
        <f>IF(AND($O91=$Q$7,$B91&lt;'111'!$L$11),"x","")</f>
        <v/>
      </c>
      <c r="T91" s="75" t="str">
        <f>IF(ISERROR(FIND('112'!$M$9,G91,1)),"",IF((AND(FIND('112'!$M$9,G91,1)&gt;=1,B91='112'!$K$9,OR($N91='112'!$I$6,$O91='112'!$I$6))),"x",""))</f>
        <v/>
      </c>
      <c r="U91" s="75" t="str">
        <f>IF(ISERROR(FIND('112'!$M$9,G91,1)),"",IF((AND(LEFT(G91,2)=LEFT('112'!$M$9,2),B91&lt;'112'!$K$9,$N91='112'!$I$6)),"x",""))</f>
        <v/>
      </c>
      <c r="V91" s="75" t="str">
        <f>IF(ISERROR(FIND('112'!$M$9,G91,1)),"",IF((AND(RIGHT(G91,2)=RIGHT('112'!$M$9,2),B91&lt;'112'!$K$9,$O91='112'!$I$6)),"x",""))</f>
        <v/>
      </c>
      <c r="W91" s="75" t="str">
        <f>IF(AND('341-CT'!$H$9=H91,OR(LEFT(N91,3)=$W$7,LEFT(O91,3)=$W$7)),"x","")</f>
        <v/>
      </c>
      <c r="X91" s="75" t="str">
        <f>IF(OR(TH!N91=TH!$X$7,O91=TH!$X$7),"x","")</f>
        <v/>
      </c>
      <c r="Y91" s="75" t="str">
        <f>IF(AND(OR(N91="131",O91="131"),H91='131-CT'!$H$9),"x","")</f>
        <v/>
      </c>
      <c r="Z91" s="75"/>
      <c r="AA91" s="75" t="str">
        <f>IF(AND(MONTH(E91)='IN-NX'!$J$5,'IN-NX'!$D$7=D91),"x","")</f>
        <v/>
      </c>
      <c r="AB91" s="75" t="str">
        <f>IF(AND(OR(LEFT(TH!N91,2)="15",LEFT(TH!O91,2)="15"),LEFT(TH!O91,3)&lt;&gt;"111",'152-CT'!$J$8=TH!F91),"x","")</f>
        <v/>
      </c>
      <c r="AC91" s="75" t="str">
        <f>IF(AND(OR(LEFT(TH!N91,2)="15",LEFT(TH!O91,2)="15"),TK!$E$7=TH!F91),"x","")</f>
        <v/>
      </c>
      <c r="AD91" s="75" t="str">
        <f>IF(AND(N91="1521",MONTH(C91)='BK-NL'!$M$11),"x","")</f>
        <v/>
      </c>
    </row>
    <row r="92" spans="1:31" ht="16.5" customHeight="1">
      <c r="A92" s="309" t="str">
        <f>IF(B92&lt;&gt;"",IF(AND(B92='IN-TC'!$S$4,OR(TH!N92="1111",TH!O92="1111")),TH!D92,""),"")</f>
        <v/>
      </c>
      <c r="B92" s="1131">
        <f t="shared" si="0"/>
        <v>2</v>
      </c>
      <c r="C92" s="666">
        <v>42794</v>
      </c>
      <c r="D92" s="666" t="s">
        <v>530</v>
      </c>
      <c r="E92" s="666">
        <f t="shared" si="12"/>
        <v>42794</v>
      </c>
      <c r="F92" s="905" t="s">
        <v>723</v>
      </c>
      <c r="G92" s="250">
        <f>61661000-3317000</f>
        <v>58344000</v>
      </c>
      <c r="H92" s="294"/>
      <c r="I92" s="373"/>
      <c r="J92" s="379"/>
      <c r="K92" s="373"/>
      <c r="L92" s="379"/>
      <c r="M92" s="670">
        <v>64036500</v>
      </c>
      <c r="N92" s="671" t="s">
        <v>272</v>
      </c>
      <c r="O92" s="671" t="s">
        <v>540</v>
      </c>
      <c r="P92" s="75" t="str">
        <f>IF(AND('331-CT'!$E$7=TH!H92,OR(N92="331",O92="331")),"x","")</f>
        <v/>
      </c>
      <c r="Q92" s="75" t="str">
        <f>IF(AND(B92='111'!$L$11,OR($N92=$Q$7,$O92=$Q$7)),"x","")</f>
        <v/>
      </c>
      <c r="R92" s="75" t="str">
        <f>IF(AND($N92=$Q$7,$B92&lt;'111'!$L$11),"x","")</f>
        <v/>
      </c>
      <c r="S92" s="75" t="str">
        <f>IF(AND($O92=$Q$7,$B92&lt;'111'!$L$11),"x","")</f>
        <v/>
      </c>
      <c r="T92" s="75" t="str">
        <f>IF(ISERROR(FIND('112'!$M$9,G92,1)),"",IF((AND(FIND('112'!$M$9,G92,1)&gt;=1,B92='112'!$K$9,OR($N92='112'!$I$6,$O92='112'!$I$6))),"x",""))</f>
        <v/>
      </c>
      <c r="U92" s="75" t="str">
        <f>IF(ISERROR(FIND('112'!$M$9,G92,1)),"",IF((AND(LEFT(G92,2)=LEFT('112'!$M$9,2),B92&lt;'112'!$K$9,$N92='112'!$I$6)),"x",""))</f>
        <v/>
      </c>
      <c r="V92" s="75" t="str">
        <f>IF(ISERROR(FIND('112'!$M$9,G92,1)),"",IF((AND(RIGHT(G92,2)=RIGHT('112'!$M$9,2),B92&lt;'112'!$K$9,$O92='112'!$I$6)),"x",""))</f>
        <v/>
      </c>
      <c r="W92" s="75" t="str">
        <f>IF(AND('341-CT'!$H$9=H92,OR(LEFT(N92,3)=$W$7,LEFT(O92,3)=$W$7)),"x","")</f>
        <v/>
      </c>
      <c r="X92" s="75" t="str">
        <f>IF(OR(TH!N92=TH!$X$7,O92=TH!$X$7),"x","")</f>
        <v/>
      </c>
      <c r="Y92" s="75" t="str">
        <f>IF(AND(OR(N92="131",O92="131"),H92='131-CT'!$H$9),"x","")</f>
        <v/>
      </c>
      <c r="Z92" s="75"/>
      <c r="AA92" s="75" t="str">
        <f>IF(AND(MONTH(E92)='IN-NX'!$J$5,'IN-NX'!$D$7=D92),"x","")</f>
        <v/>
      </c>
      <c r="AB92" s="75" t="str">
        <f>IF(AND(OR(LEFT(TH!N92,2)="15",LEFT(TH!O92,2)="15"),LEFT(TH!O92,3)&lt;&gt;"111",'152-CT'!$J$8=TH!F92),"x","")</f>
        <v/>
      </c>
      <c r="AC92" s="75" t="str">
        <f>IF(AND(OR(LEFT(TH!N92,2)="15",LEFT(TH!O92,2)="15"),TK!$E$7=TH!F92),"x","")</f>
        <v/>
      </c>
      <c r="AD92" s="75" t="str">
        <f>IF(AND(N92="1521",MONTH(C92)='BK-NL'!$M$11),"x","")</f>
        <v/>
      </c>
    </row>
    <row r="93" spans="1:31" ht="16.5" customHeight="1">
      <c r="A93" s="309" t="str">
        <f>IF(B93&lt;&gt;"",IF(AND(B93='IN-TC'!$S$4,OR(TH!N93="1111",TH!O93="1111")),TH!D93,""),"")</f>
        <v/>
      </c>
      <c r="B93" s="1131">
        <f t="shared" si="0"/>
        <v>2</v>
      </c>
      <c r="C93" s="666">
        <v>42794</v>
      </c>
      <c r="D93" s="666" t="s">
        <v>530</v>
      </c>
      <c r="E93" s="666">
        <f t="shared" si="12"/>
        <v>42794</v>
      </c>
      <c r="F93" s="905" t="s">
        <v>724</v>
      </c>
      <c r="G93" s="739" t="s">
        <v>531</v>
      </c>
      <c r="H93" s="294"/>
      <c r="I93" s="373"/>
      <c r="J93" s="379"/>
      <c r="K93" s="373"/>
      <c r="L93" s="379"/>
      <c r="M93" s="670">
        <f>ROUND(G91*$G93,0)</f>
        <v>3011920</v>
      </c>
      <c r="N93" s="671" t="s">
        <v>540</v>
      </c>
      <c r="O93" s="671" t="s">
        <v>541</v>
      </c>
      <c r="P93" s="75" t="str">
        <f>IF(AND('331-CT'!$E$7=TH!H93,OR(N93="331",O93="331")),"x","")</f>
        <v/>
      </c>
      <c r="Q93" s="75" t="str">
        <f>IF(AND(B93='111'!$L$11,OR($N93=$Q$7,$O93=$Q$7)),"x","")</f>
        <v/>
      </c>
      <c r="R93" s="75" t="str">
        <f>IF(AND($N93=$Q$7,$B93&lt;'111'!$L$11),"x","")</f>
        <v/>
      </c>
      <c r="S93" s="75" t="str">
        <f>IF(AND($O93=$Q$7,$B93&lt;'111'!$L$11),"x","")</f>
        <v/>
      </c>
      <c r="T93" s="75" t="str">
        <f>IF(ISERROR(FIND('112'!$M$9,G93,1)),"",IF((AND(FIND('112'!$M$9,G93,1)&gt;=1,B93='112'!$K$9,OR($N93='112'!$I$6,$O93='112'!$I$6))),"x",""))</f>
        <v/>
      </c>
      <c r="U93" s="75" t="str">
        <f>IF(ISERROR(FIND('112'!$M$9,G93,1)),"",IF((AND(LEFT(G93,2)=LEFT('112'!$M$9,2),B93&lt;'112'!$K$9,$N93='112'!$I$6)),"x",""))</f>
        <v/>
      </c>
      <c r="V93" s="75" t="str">
        <f>IF(ISERROR(FIND('112'!$M$9,G93,1)),"",IF((AND(RIGHT(G93,2)=RIGHT('112'!$M$9,2),B93&lt;'112'!$K$9,$O93='112'!$I$6)),"x",""))</f>
        <v/>
      </c>
      <c r="W93" s="75" t="str">
        <f>IF(AND('341-CT'!$H$9=H93,OR(LEFT(N93,3)=$W$7,LEFT(O93,3)=$W$7)),"x","")</f>
        <v/>
      </c>
      <c r="X93" s="75" t="str">
        <f>IF(OR(TH!N93=TH!$X$7,O93=TH!$X$7),"x","")</f>
        <v/>
      </c>
      <c r="Y93" s="75" t="str">
        <f>IF(AND(OR(N93="131",O93="131"),H93='131-CT'!$H$9),"x","")</f>
        <v/>
      </c>
      <c r="Z93" s="75"/>
      <c r="AA93" s="75" t="str">
        <f>IF(AND(MONTH(E93)='IN-NX'!$J$5,'IN-NX'!$D$7=D93),"x","")</f>
        <v/>
      </c>
      <c r="AB93" s="75" t="str">
        <f>IF(AND(OR(LEFT(TH!N93,2)="15",LEFT(TH!O93,2)="15"),LEFT(TH!O93,3)&lt;&gt;"111",'152-CT'!$J$8=TH!F93),"x","")</f>
        <v/>
      </c>
      <c r="AC93" s="75" t="str">
        <f>IF(AND(OR(LEFT(TH!N93,2)="15",LEFT(TH!O93,2)="15"),TK!$E$7=TH!F93),"x","")</f>
        <v/>
      </c>
      <c r="AD93" s="75" t="str">
        <f>IF(AND(N93="1521",MONTH(C93)='BK-NL'!$M$11),"x","")</f>
        <v/>
      </c>
    </row>
    <row r="94" spans="1:31" ht="16.5" customHeight="1">
      <c r="A94" s="309" t="str">
        <f>IF(B94&lt;&gt;"",IF(AND(B94='IN-TC'!$S$4,OR(TH!N94="1111",TH!O94="1111")),TH!D94,""),"")</f>
        <v/>
      </c>
      <c r="B94" s="1131">
        <f t="shared" si="0"/>
        <v>2</v>
      </c>
      <c r="C94" s="666">
        <v>42794</v>
      </c>
      <c r="D94" s="666" t="s">
        <v>530</v>
      </c>
      <c r="E94" s="666">
        <f t="shared" si="12"/>
        <v>42794</v>
      </c>
      <c r="F94" s="905" t="s">
        <v>725</v>
      </c>
      <c r="G94" s="250"/>
      <c r="H94" s="294"/>
      <c r="I94" s="373"/>
      <c r="J94" s="379"/>
      <c r="K94" s="373"/>
      <c r="L94" s="379"/>
      <c r="M94" s="670">
        <f>ROUND(G92*$G93,0)</f>
        <v>4667520</v>
      </c>
      <c r="N94" s="672" t="s">
        <v>540</v>
      </c>
      <c r="O94" s="673" t="s">
        <v>541</v>
      </c>
      <c r="P94" s="75" t="str">
        <f>IF(AND('331-CT'!$E$7=TH!H94,OR(N94="331",O94="331")),"x","")</f>
        <v/>
      </c>
      <c r="Q94" s="75" t="str">
        <f>IF(AND(B94='111'!$L$11,OR($N94=$Q$7,$O94=$Q$7)),"x","")</f>
        <v/>
      </c>
      <c r="R94" s="75" t="str">
        <f>IF(AND($N94=$Q$7,$B94&lt;'111'!$L$11),"x","")</f>
        <v/>
      </c>
      <c r="S94" s="75" t="str">
        <f>IF(AND($O94=$Q$7,$B94&lt;'111'!$L$11),"x","")</f>
        <v/>
      </c>
      <c r="T94" s="75" t="str">
        <f>IF(ISERROR(FIND('112'!$M$9,G94,1)),"",IF((AND(FIND('112'!$M$9,G94,1)&gt;=1,B94='112'!$K$9,OR($N94='112'!$I$6,$O94='112'!$I$6))),"x",""))</f>
        <v/>
      </c>
      <c r="U94" s="75" t="str">
        <f>IF(ISERROR(FIND('112'!$M$9,G94,1)),"",IF((AND(LEFT(G94,2)=LEFT('112'!$M$9,2),B94&lt;'112'!$K$9,$N94='112'!$I$6)),"x",""))</f>
        <v/>
      </c>
      <c r="V94" s="75" t="str">
        <f>IF(ISERROR(FIND('112'!$M$9,G94,1)),"",IF((AND(RIGHT(G94,2)=RIGHT('112'!$M$9,2),B94&lt;'112'!$K$9,$O94='112'!$I$6)),"x",""))</f>
        <v/>
      </c>
      <c r="W94" s="75" t="str">
        <f>IF(AND('341-CT'!$H$9=H94,OR(LEFT(N94,3)=$W$7,LEFT(O94,3)=$W$7)),"x","")</f>
        <v/>
      </c>
      <c r="X94" s="75" t="str">
        <f>IF(OR(TH!N94=TH!$X$7,O94=TH!$X$7),"x","")</f>
        <v/>
      </c>
      <c r="Y94" s="75" t="str">
        <f>IF(AND(OR(N94="131",O94="131"),H94='131-CT'!$H$9),"x","")</f>
        <v/>
      </c>
      <c r="Z94" s="75"/>
      <c r="AA94" s="75" t="str">
        <f>IF(AND(MONTH(E94)='IN-NX'!$J$5,'IN-NX'!$D$7=D94),"x","")</f>
        <v/>
      </c>
      <c r="AB94" s="75" t="str">
        <f>IF(AND(OR(LEFT(TH!N94,2)="15",LEFT(TH!O94,2)="15"),LEFT(TH!O94,3)&lt;&gt;"111",'152-CT'!$J$8=TH!F94),"x","")</f>
        <v/>
      </c>
      <c r="AC94" s="75" t="str">
        <f>IF(AND(OR(LEFT(TH!N94,2)="15",LEFT(TH!O94,2)="15"),TK!$E$7=TH!F94),"x","")</f>
        <v/>
      </c>
      <c r="AD94" s="75" t="str">
        <f>IF(AND(N94="1521",MONTH(C94)='BK-NL'!$M$11),"x","")</f>
        <v/>
      </c>
    </row>
    <row r="95" spans="1:31" ht="16.5" customHeight="1">
      <c r="A95" s="309" t="str">
        <f>IF(B95&lt;&gt;"",IF(AND(B95='IN-TC'!$S$4,OR(TH!N95="1111",TH!O95="1111")),TH!D95,""),"")</f>
        <v/>
      </c>
      <c r="B95" s="1131">
        <f t="shared" si="0"/>
        <v>2</v>
      </c>
      <c r="C95" s="666">
        <v>42794</v>
      </c>
      <c r="D95" s="666" t="s">
        <v>530</v>
      </c>
      <c r="E95" s="666">
        <f t="shared" si="12"/>
        <v>42794</v>
      </c>
      <c r="F95" s="905" t="s">
        <v>726</v>
      </c>
      <c r="G95" s="739" t="s">
        <v>532</v>
      </c>
      <c r="H95" s="294"/>
      <c r="I95" s="373"/>
      <c r="J95" s="379"/>
      <c r="K95" s="373"/>
      <c r="L95" s="379"/>
      <c r="M95" s="670">
        <f>ROUND(G91*$G95,0)</f>
        <v>6776820</v>
      </c>
      <c r="N95" s="671" t="s">
        <v>539</v>
      </c>
      <c r="O95" s="671" t="s">
        <v>541</v>
      </c>
      <c r="P95" s="75" t="str">
        <f>IF(AND('331-CT'!$E$7=TH!H95,OR(N95="331",O95="331")),"x","")</f>
        <v/>
      </c>
      <c r="Q95" s="75" t="str">
        <f>IF(AND(B95='111'!$L$11,OR($N95=$Q$7,$O95=$Q$7)),"x","")</f>
        <v/>
      </c>
      <c r="R95" s="75" t="str">
        <f>IF(AND($N95=$Q$7,$B95&lt;'111'!$L$11),"x","")</f>
        <v/>
      </c>
      <c r="S95" s="75" t="str">
        <f>IF(AND($O95=$Q$7,$B95&lt;'111'!$L$11),"x","")</f>
        <v/>
      </c>
      <c r="T95" s="75" t="str">
        <f>IF(ISERROR(FIND('112'!$M$9,G95,1)),"",IF((AND(FIND('112'!$M$9,G95,1)&gt;=1,B95='112'!$K$9,OR($N95='112'!$I$6,$O95='112'!$I$6))),"x",""))</f>
        <v/>
      </c>
      <c r="U95" s="75" t="str">
        <f>IF(ISERROR(FIND('112'!$M$9,G95,1)),"",IF((AND(LEFT(G95,2)=LEFT('112'!$M$9,2),B95&lt;'112'!$K$9,$N95='112'!$I$6)),"x",""))</f>
        <v/>
      </c>
      <c r="V95" s="75" t="str">
        <f>IF(ISERROR(FIND('112'!$M$9,G95,1)),"",IF((AND(RIGHT(G95,2)=RIGHT('112'!$M$9,2),B95&lt;'112'!$K$9,$O95='112'!$I$6)),"x",""))</f>
        <v/>
      </c>
      <c r="W95" s="75" t="str">
        <f>IF(AND('341-CT'!$H$9=H95,OR(LEFT(N95,3)=$W$7,LEFT(O95,3)=$W$7)),"x","")</f>
        <v/>
      </c>
      <c r="X95" s="75" t="str">
        <f>IF(OR(TH!N95=TH!$X$7,O95=TH!$X$7),"x","")</f>
        <v/>
      </c>
      <c r="Y95" s="75" t="str">
        <f>IF(AND(OR(N95="131",O95="131"),H95='131-CT'!$H$9),"x","")</f>
        <v/>
      </c>
      <c r="Z95" s="75"/>
      <c r="AA95" s="75" t="str">
        <f>IF(AND(MONTH(E95)='IN-NX'!$J$5,'IN-NX'!$D$7=D95),"x","")</f>
        <v/>
      </c>
      <c r="AB95" s="75" t="str">
        <f>IF(AND(OR(LEFT(TH!N95,2)="15",LEFT(TH!O95,2)="15"),LEFT(TH!O95,3)&lt;&gt;"111",'152-CT'!$J$8=TH!F95),"x","")</f>
        <v/>
      </c>
      <c r="AC95" s="75" t="str">
        <f>IF(AND(OR(LEFT(TH!N95,2)="15",LEFT(TH!O95,2)="15"),TK!$E$7=TH!F95),"x","")</f>
        <v/>
      </c>
      <c r="AD95" s="75" t="str">
        <f>IF(AND(N95="1521",MONTH(C95)='BK-NL'!$M$11),"x","")</f>
        <v/>
      </c>
    </row>
    <row r="96" spans="1:31" ht="16.5" customHeight="1">
      <c r="A96" s="309" t="str">
        <f>IF(B96&lt;&gt;"",IF(AND(B96='IN-TC'!$S$4,OR(TH!N96="1111",TH!O96="1111")),TH!D96,""),"")</f>
        <v/>
      </c>
      <c r="B96" s="1131">
        <f t="shared" si="0"/>
        <v>2</v>
      </c>
      <c r="C96" s="666">
        <v>42794</v>
      </c>
      <c r="D96" s="666" t="s">
        <v>530</v>
      </c>
      <c r="E96" s="666">
        <f t="shared" si="12"/>
        <v>42794</v>
      </c>
      <c r="F96" s="905" t="s">
        <v>727</v>
      </c>
      <c r="G96" s="250"/>
      <c r="H96" s="294"/>
      <c r="I96" s="373"/>
      <c r="J96" s="379"/>
      <c r="K96" s="373"/>
      <c r="L96" s="379"/>
      <c r="M96" s="670">
        <f>ROUND(G92*$G95,0)</f>
        <v>10501920</v>
      </c>
      <c r="N96" s="671" t="s">
        <v>272</v>
      </c>
      <c r="O96" s="671" t="s">
        <v>541</v>
      </c>
      <c r="P96" s="75" t="str">
        <f>IF(AND('331-CT'!$E$7=TH!H96,OR(N96="331",O96="331")),"x","")</f>
        <v/>
      </c>
      <c r="Q96" s="75" t="str">
        <f>IF(AND(B96='111'!$L$11,OR($N96=$Q$7,$O96=$Q$7)),"x","")</f>
        <v/>
      </c>
      <c r="R96" s="75" t="str">
        <f>IF(AND($N96=$Q$7,$B96&lt;'111'!$L$11),"x","")</f>
        <v/>
      </c>
      <c r="S96" s="75" t="str">
        <f>IF(AND($O96=$Q$7,$B96&lt;'111'!$L$11),"x","")</f>
        <v/>
      </c>
      <c r="T96" s="75" t="str">
        <f>IF(ISERROR(FIND('112'!$M$9,G96,1)),"",IF((AND(FIND('112'!$M$9,G96,1)&gt;=1,B96='112'!$K$9,OR($N96='112'!$I$6,$O96='112'!$I$6))),"x",""))</f>
        <v/>
      </c>
      <c r="U96" s="75" t="str">
        <f>IF(ISERROR(FIND('112'!$M$9,G96,1)),"",IF((AND(LEFT(G96,2)=LEFT('112'!$M$9,2),B96&lt;'112'!$K$9,$N96='112'!$I$6)),"x",""))</f>
        <v/>
      </c>
      <c r="V96" s="75" t="str">
        <f>IF(ISERROR(FIND('112'!$M$9,G96,1)),"",IF((AND(RIGHT(G96,2)=RIGHT('112'!$M$9,2),B96&lt;'112'!$K$9,$O96='112'!$I$6)),"x",""))</f>
        <v/>
      </c>
      <c r="W96" s="75" t="str">
        <f>IF(AND('341-CT'!$H$9=H96,OR(LEFT(N96,3)=$W$7,LEFT(O96,3)=$W$7)),"x","")</f>
        <v/>
      </c>
      <c r="X96" s="75" t="str">
        <f>IF(OR(TH!N96=TH!$X$7,O96=TH!$X$7),"x","")</f>
        <v/>
      </c>
      <c r="Y96" s="75" t="str">
        <f>IF(AND(OR(N96="131",O96="131"),H96='131-CT'!$H$9),"x","")</f>
        <v/>
      </c>
      <c r="Z96" s="75"/>
      <c r="AA96" s="75" t="str">
        <f>IF(AND(MONTH(E96)='IN-NX'!$J$5,'IN-NX'!$D$7=D96),"x","")</f>
        <v/>
      </c>
      <c r="AB96" s="75" t="str">
        <f>IF(AND(OR(LEFT(TH!N96,2)="15",LEFT(TH!O96,2)="15"),LEFT(TH!O96,3)&lt;&gt;"111",'152-CT'!$J$8=TH!F96),"x","")</f>
        <v/>
      </c>
      <c r="AC96" s="75" t="str">
        <f>IF(AND(OR(LEFT(TH!N96,2)="15",LEFT(TH!O96,2)="15"),TK!$E$7=TH!F96),"x","")</f>
        <v/>
      </c>
      <c r="AD96" s="75" t="str">
        <f>IF(AND(N96="1521",MONTH(C96)='BK-NL'!$M$11),"x","")</f>
        <v/>
      </c>
    </row>
    <row r="97" spans="1:30" ht="16.5" customHeight="1">
      <c r="A97" s="309" t="str">
        <f>IF(B97&lt;&gt;"",IF(AND(B97='IN-TC'!$S$4,OR(TH!N97="1111",TH!O97="1111")),TH!D97,""),"")</f>
        <v/>
      </c>
      <c r="B97" s="1131">
        <f t="shared" si="0"/>
        <v>2</v>
      </c>
      <c r="C97" s="666">
        <v>42794</v>
      </c>
      <c r="D97" s="666" t="s">
        <v>530</v>
      </c>
      <c r="E97" s="666">
        <f t="shared" si="12"/>
        <v>42794</v>
      </c>
      <c r="F97" s="905" t="s">
        <v>728</v>
      </c>
      <c r="G97" s="739" t="s">
        <v>533</v>
      </c>
      <c r="H97" s="296"/>
      <c r="I97" s="371"/>
      <c r="J97" s="377"/>
      <c r="K97" s="371"/>
      <c r="L97" s="377"/>
      <c r="M97" s="670">
        <f>ROUND(G91*$G97,0)</f>
        <v>564735</v>
      </c>
      <c r="N97" s="671" t="s">
        <v>540</v>
      </c>
      <c r="O97" s="671" t="s">
        <v>542</v>
      </c>
      <c r="P97" s="75" t="str">
        <f>IF(AND('331-CT'!$E$7=TH!H97,OR(N97="331",O97="331")),"x","")</f>
        <v/>
      </c>
      <c r="Q97" s="75" t="str">
        <f>IF(AND(B97='111'!$L$11,OR($N97=$Q$7,$O97=$Q$7)),"x","")</f>
        <v/>
      </c>
      <c r="R97" s="75" t="str">
        <f>IF(AND($N97=$Q$7,$B97&lt;'111'!$L$11),"x","")</f>
        <v/>
      </c>
      <c r="S97" s="75" t="str">
        <f>IF(AND($O97=$Q$7,$B97&lt;'111'!$L$11),"x","")</f>
        <v/>
      </c>
      <c r="T97" s="75" t="str">
        <f>IF(ISERROR(FIND('112'!$M$9,G97,1)),"",IF((AND(FIND('112'!$M$9,G97,1)&gt;=1,B97='112'!$K$9,OR($N97='112'!$I$6,$O97='112'!$I$6))),"x",""))</f>
        <v/>
      </c>
      <c r="U97" s="75" t="str">
        <f>IF(ISERROR(FIND('112'!$M$9,G97,1)),"",IF((AND(LEFT(G97,2)=LEFT('112'!$M$9,2),B97&lt;'112'!$K$9,$N97='112'!$I$6)),"x",""))</f>
        <v/>
      </c>
      <c r="V97" s="75" t="str">
        <f>IF(ISERROR(FIND('112'!$M$9,G97,1)),"",IF((AND(RIGHT(G97,2)=RIGHT('112'!$M$9,2),B97&lt;'112'!$K$9,$O97='112'!$I$6)),"x",""))</f>
        <v/>
      </c>
      <c r="W97" s="75" t="str">
        <f>IF(AND('341-CT'!$H$9=H97,OR(LEFT(N97,3)=$W$7,LEFT(O97,3)=$W$7)),"x","")</f>
        <v/>
      </c>
      <c r="X97" s="75" t="str">
        <f>IF(OR(TH!N97=TH!$X$7,O97=TH!$X$7),"x","")</f>
        <v/>
      </c>
      <c r="Y97" s="75" t="str">
        <f>IF(AND(OR(N97="131",O97="131"),H97='131-CT'!$H$9),"x","")</f>
        <v/>
      </c>
      <c r="Z97" s="75"/>
      <c r="AA97" s="75" t="str">
        <f>IF(AND(MONTH(E97)='IN-NX'!$J$5,'IN-NX'!$D$7=D97),"x","")</f>
        <v/>
      </c>
      <c r="AB97" s="75" t="str">
        <f>IF(AND(OR(LEFT(TH!N97,2)="15",LEFT(TH!O97,2)="15"),LEFT(TH!O97,3)&lt;&gt;"111",'152-CT'!$J$8=TH!F97),"x","")</f>
        <v/>
      </c>
      <c r="AC97" s="75" t="str">
        <f>IF(AND(OR(LEFT(TH!N97,2)="15",LEFT(TH!O97,2)="15"),TK!$E$7=TH!F97),"x","")</f>
        <v/>
      </c>
      <c r="AD97" s="75" t="str">
        <f>IF(AND(N97="1521",MONTH(C97)='BK-NL'!$M$11),"x","")</f>
        <v/>
      </c>
    </row>
    <row r="98" spans="1:30" ht="16.5" customHeight="1">
      <c r="A98" s="309" t="str">
        <f>IF(B98&lt;&gt;"",IF(AND(B98='IN-TC'!$S$4,OR(TH!N98="1111",TH!O98="1111")),TH!D98,""),"")</f>
        <v/>
      </c>
      <c r="B98" s="1131">
        <f t="shared" si="0"/>
        <v>2</v>
      </c>
      <c r="C98" s="666">
        <v>42794</v>
      </c>
      <c r="D98" s="666" t="s">
        <v>530</v>
      </c>
      <c r="E98" s="666">
        <f t="shared" si="12"/>
        <v>42794</v>
      </c>
      <c r="F98" s="905" t="s">
        <v>729</v>
      </c>
      <c r="G98" s="250"/>
      <c r="H98" s="296"/>
      <c r="I98" s="371"/>
      <c r="J98" s="377"/>
      <c r="K98" s="371"/>
      <c r="L98" s="377"/>
      <c r="M98" s="670">
        <f>ROUND(G92*$G97,0)</f>
        <v>875160</v>
      </c>
      <c r="N98" s="671" t="s">
        <v>540</v>
      </c>
      <c r="O98" s="671" t="s">
        <v>542</v>
      </c>
      <c r="P98" s="75" t="str">
        <f>IF(AND('331-CT'!$E$7=TH!H98,OR(N98="331",O98="331")),"x","")</f>
        <v/>
      </c>
      <c r="Q98" s="75" t="str">
        <f>IF(AND(B98='111'!$L$11,OR($N98=$Q$7,$O98=$Q$7)),"x","")</f>
        <v/>
      </c>
      <c r="R98" s="75" t="str">
        <f>IF(AND($N98=$Q$7,$B98&lt;'111'!$L$11),"x","")</f>
        <v/>
      </c>
      <c r="S98" s="75" t="str">
        <f>IF(AND($O98=$Q$7,$B98&lt;'111'!$L$11),"x","")</f>
        <v/>
      </c>
      <c r="T98" s="75" t="str">
        <f>IF(ISERROR(FIND('112'!$M$9,G98,1)),"",IF((AND(FIND('112'!$M$9,G98,1)&gt;=1,B98='112'!$K$9,OR($N98='112'!$I$6,$O98='112'!$I$6))),"x",""))</f>
        <v/>
      </c>
      <c r="U98" s="75" t="str">
        <f>IF(ISERROR(FIND('112'!$M$9,G98,1)),"",IF((AND(LEFT(G98,2)=LEFT('112'!$M$9,2),B98&lt;'112'!$K$9,$N98='112'!$I$6)),"x",""))</f>
        <v/>
      </c>
      <c r="V98" s="75" t="str">
        <f>IF(ISERROR(FIND('112'!$M$9,G98,1)),"",IF((AND(RIGHT(G98,2)=RIGHT('112'!$M$9,2),B98&lt;'112'!$K$9,$O98='112'!$I$6)),"x",""))</f>
        <v/>
      </c>
      <c r="W98" s="75" t="str">
        <f>IF(AND('341-CT'!$H$9=H98,OR(LEFT(N98,3)=$W$7,LEFT(O98,3)=$W$7)),"x","")</f>
        <v/>
      </c>
      <c r="X98" s="75" t="str">
        <f>IF(OR(TH!N98=TH!$X$7,O98=TH!$X$7),"x","")</f>
        <v/>
      </c>
      <c r="Y98" s="75" t="str">
        <f>IF(AND(OR(N98="131",O98="131"),H98='131-CT'!$H$9),"x","")</f>
        <v/>
      </c>
      <c r="Z98" s="75"/>
      <c r="AA98" s="75" t="str">
        <f>IF(AND(MONTH(E98)='IN-NX'!$J$5,'IN-NX'!$D$7=D98),"x","")</f>
        <v/>
      </c>
      <c r="AB98" s="75" t="str">
        <f>IF(AND(OR(LEFT(TH!N98,2)="15",LEFT(TH!O98,2)="15"),LEFT(TH!O98,3)&lt;&gt;"111",'152-CT'!$J$8=TH!F98),"x","")</f>
        <v/>
      </c>
      <c r="AC98" s="75" t="str">
        <f>IF(AND(OR(LEFT(TH!N98,2)="15",LEFT(TH!O98,2)="15"),TK!$E$7=TH!F98),"x","")</f>
        <v/>
      </c>
      <c r="AD98" s="75" t="str">
        <f>IF(AND(N98="1521",MONTH(C98)='BK-NL'!$M$11),"x","")</f>
        <v/>
      </c>
    </row>
    <row r="99" spans="1:30" ht="16.5" customHeight="1">
      <c r="A99" s="309" t="str">
        <f>IF(B99&lt;&gt;"",IF(AND(B99='IN-TC'!$S$4,OR(TH!N99="1111",TH!O99="1111")),TH!D99,""),"")</f>
        <v/>
      </c>
      <c r="B99" s="1131">
        <f t="shared" si="0"/>
        <v>2</v>
      </c>
      <c r="C99" s="666">
        <v>42794</v>
      </c>
      <c r="D99" s="666" t="s">
        <v>530</v>
      </c>
      <c r="E99" s="666">
        <f t="shared" si="12"/>
        <v>42794</v>
      </c>
      <c r="F99" s="905" t="s">
        <v>730</v>
      </c>
      <c r="G99" s="739" t="s">
        <v>534</v>
      </c>
      <c r="H99" s="294"/>
      <c r="I99" s="373"/>
      <c r="J99" s="379"/>
      <c r="K99" s="373"/>
      <c r="L99" s="379"/>
      <c r="M99" s="670">
        <f>ROUND(G91*$G99,0)</f>
        <v>1129470</v>
      </c>
      <c r="N99" s="671" t="s">
        <v>539</v>
      </c>
      <c r="O99" s="671" t="s">
        <v>542</v>
      </c>
      <c r="P99" s="75" t="str">
        <f>IF(AND('331-CT'!$E$7=TH!H99,OR(N99="331",O99="331")),"x","")</f>
        <v/>
      </c>
      <c r="Q99" s="75" t="str">
        <f>IF(AND(B99='111'!$L$11,OR($N99=$Q$7,$O99=$Q$7)),"x","")</f>
        <v/>
      </c>
      <c r="R99" s="75" t="str">
        <f>IF(AND($N99=$Q$7,$B99&lt;'111'!$L$11),"x","")</f>
        <v/>
      </c>
      <c r="S99" s="75" t="str">
        <f>IF(AND($O99=$Q$7,$B99&lt;'111'!$L$11),"x","")</f>
        <v/>
      </c>
      <c r="T99" s="75" t="str">
        <f>IF(ISERROR(FIND('112'!$M$9,G99,1)),"",IF((AND(FIND('112'!$M$9,G99,1)&gt;=1,B99='112'!$K$9,OR($N99='112'!$I$6,$O99='112'!$I$6))),"x",""))</f>
        <v/>
      </c>
      <c r="U99" s="75" t="str">
        <f>IF(ISERROR(FIND('112'!$M$9,G99,1)),"",IF((AND(LEFT(G99,2)=LEFT('112'!$M$9,2),B99&lt;'112'!$K$9,$N99='112'!$I$6)),"x",""))</f>
        <v/>
      </c>
      <c r="V99" s="75" t="str">
        <f>IF(ISERROR(FIND('112'!$M$9,G99,1)),"",IF((AND(RIGHT(G99,2)=RIGHT('112'!$M$9,2),B99&lt;'112'!$K$9,$O99='112'!$I$6)),"x",""))</f>
        <v/>
      </c>
      <c r="W99" s="75" t="str">
        <f>IF(AND('341-CT'!$H$9=H99,OR(LEFT(N99,3)=$W$7,LEFT(O99,3)=$W$7)),"x","")</f>
        <v/>
      </c>
      <c r="X99" s="75" t="str">
        <f>IF(OR(TH!N99=TH!$X$7,O99=TH!$X$7),"x","")</f>
        <v/>
      </c>
      <c r="Y99" s="75" t="str">
        <f>IF(AND(OR(N99="131",O99="131"),H99='131-CT'!$H$9),"x","")</f>
        <v/>
      </c>
      <c r="Z99" s="75"/>
      <c r="AA99" s="75" t="str">
        <f>IF(AND(MONTH(E99)='IN-NX'!$J$5,'IN-NX'!$D$7=D99),"x","")</f>
        <v/>
      </c>
      <c r="AB99" s="75" t="str">
        <f>IF(AND(OR(LEFT(TH!N99,2)="15",LEFT(TH!O99,2)="15"),LEFT(TH!O99,3)&lt;&gt;"111",'152-CT'!$J$8=TH!F99),"x","")</f>
        <v/>
      </c>
      <c r="AC99" s="75" t="str">
        <f>IF(AND(OR(LEFT(TH!N99,2)="15",LEFT(TH!O99,2)="15"),TK!$E$7=TH!F99),"x","")</f>
        <v/>
      </c>
      <c r="AD99" s="75" t="str">
        <f>IF(AND(N99="1521",MONTH(C99)='BK-NL'!$M$11),"x","")</f>
        <v/>
      </c>
    </row>
    <row r="100" spans="1:30" ht="16.5" customHeight="1">
      <c r="A100" s="309" t="str">
        <f>IF(B100&lt;&gt;"",IF(AND(B100='IN-TC'!$S$4,OR(TH!N100="1111",TH!O100="1111")),TH!D100,""),"")</f>
        <v/>
      </c>
      <c r="B100" s="1131">
        <f t="shared" si="0"/>
        <v>2</v>
      </c>
      <c r="C100" s="666">
        <v>42794</v>
      </c>
      <c r="D100" s="666" t="s">
        <v>530</v>
      </c>
      <c r="E100" s="666">
        <f t="shared" si="12"/>
        <v>42794</v>
      </c>
      <c r="F100" s="905" t="s">
        <v>731</v>
      </c>
      <c r="G100" s="250"/>
      <c r="H100" s="294"/>
      <c r="I100" s="373"/>
      <c r="J100" s="379"/>
      <c r="K100" s="373"/>
      <c r="L100" s="379"/>
      <c r="M100" s="670">
        <f>ROUND(G92*$G99,0)</f>
        <v>1750320</v>
      </c>
      <c r="N100" s="671" t="s">
        <v>272</v>
      </c>
      <c r="O100" s="671" t="s">
        <v>542</v>
      </c>
      <c r="P100" s="75" t="str">
        <f>IF(AND('331-CT'!$E$7=TH!H100,OR(N100="331",O100="331")),"x","")</f>
        <v/>
      </c>
      <c r="Q100" s="75" t="str">
        <f>IF(AND(B100='111'!$L$11,OR($N100=$Q$7,$O100=$Q$7)),"x","")</f>
        <v/>
      </c>
      <c r="R100" s="75" t="str">
        <f>IF(AND($N100=$Q$7,$B100&lt;'111'!$L$11),"x","")</f>
        <v/>
      </c>
      <c r="S100" s="75" t="str">
        <f>IF(AND($O100=$Q$7,$B100&lt;'111'!$L$11),"x","")</f>
        <v/>
      </c>
      <c r="T100" s="75" t="str">
        <f>IF(ISERROR(FIND('112'!$M$9,G100,1)),"",IF((AND(FIND('112'!$M$9,G100,1)&gt;=1,B100='112'!$K$9,OR($N100='112'!$I$6,$O100='112'!$I$6))),"x",""))</f>
        <v/>
      </c>
      <c r="U100" s="75" t="str">
        <f>IF(ISERROR(FIND('112'!$M$9,G100,1)),"",IF((AND(LEFT(G100,2)=LEFT('112'!$M$9,2),B100&lt;'112'!$K$9,$N100='112'!$I$6)),"x",""))</f>
        <v/>
      </c>
      <c r="V100" s="75" t="str">
        <f>IF(ISERROR(FIND('112'!$M$9,G100,1)),"",IF((AND(RIGHT(G100,2)=RIGHT('112'!$M$9,2),B100&lt;'112'!$K$9,$O100='112'!$I$6)),"x",""))</f>
        <v/>
      </c>
      <c r="W100" s="75" t="str">
        <f>IF(AND('341-CT'!$H$9=H100,OR(LEFT(N100,3)=$W$7,LEFT(O100,3)=$W$7)),"x","")</f>
        <v/>
      </c>
      <c r="X100" s="75" t="str">
        <f>IF(OR(TH!N100=TH!$X$7,O100=TH!$X$7),"x","")</f>
        <v/>
      </c>
      <c r="Y100" s="75" t="str">
        <f>IF(AND(OR(N100="131",O100="131"),H100='131-CT'!$H$9),"x","")</f>
        <v/>
      </c>
      <c r="Z100" s="75"/>
      <c r="AA100" s="75" t="str">
        <f>IF(AND(MONTH(E100)='IN-NX'!$J$5,'IN-NX'!$D$7=D100),"x","")</f>
        <v/>
      </c>
      <c r="AB100" s="75" t="str">
        <f>IF(AND(OR(LEFT(TH!N100,2)="15",LEFT(TH!O100,2)="15"),LEFT(TH!O100,3)&lt;&gt;"111",'152-CT'!$J$8=TH!F100),"x","")</f>
        <v/>
      </c>
      <c r="AC100" s="75" t="str">
        <f>IF(AND(OR(LEFT(TH!N100,2)="15",LEFT(TH!O100,2)="15"),TK!$E$7=TH!F100),"x","")</f>
        <v/>
      </c>
      <c r="AD100" s="75" t="str">
        <f>IF(AND(N100="1521",MONTH(C100)='BK-NL'!$M$11),"x","")</f>
        <v/>
      </c>
    </row>
    <row r="101" spans="1:30" ht="16.5" customHeight="1">
      <c r="A101" s="309" t="str">
        <f>IF(B101&lt;&gt;"",IF(AND(B101='IN-TC'!$S$4,OR(TH!N101="1111",TH!O101="1111")),TH!D101,""),"")</f>
        <v/>
      </c>
      <c r="B101" s="1131">
        <f t="shared" si="0"/>
        <v>2</v>
      </c>
      <c r="C101" s="666">
        <v>42794</v>
      </c>
      <c r="D101" s="666" t="s">
        <v>530</v>
      </c>
      <c r="E101" s="666">
        <f t="shared" si="12"/>
        <v>42794</v>
      </c>
      <c r="F101" s="905" t="s">
        <v>732</v>
      </c>
      <c r="G101" s="739" t="s">
        <v>535</v>
      </c>
      <c r="H101" s="294"/>
      <c r="I101" s="373"/>
      <c r="J101" s="379"/>
      <c r="K101" s="373"/>
      <c r="L101" s="379"/>
      <c r="M101" s="670">
        <f>ROUND(G91*$G101,0)</f>
        <v>376490</v>
      </c>
      <c r="N101" s="671" t="s">
        <v>540</v>
      </c>
      <c r="O101" s="671" t="s">
        <v>543</v>
      </c>
      <c r="P101" s="75" t="str">
        <f>IF(AND('331-CT'!$E$7=TH!H101,OR(N101="331",O101="331")),"x","")</f>
        <v/>
      </c>
      <c r="Q101" s="75" t="str">
        <f>IF(AND(B101='111'!$L$11,OR($N101=$Q$7,$O101=$Q$7)),"x","")</f>
        <v/>
      </c>
      <c r="R101" s="75" t="str">
        <f>IF(AND($N101=$Q$7,$B101&lt;'111'!$L$11),"x","")</f>
        <v/>
      </c>
      <c r="S101" s="75" t="str">
        <f>IF(AND($O101=$Q$7,$B101&lt;'111'!$L$11),"x","")</f>
        <v/>
      </c>
      <c r="T101" s="75" t="str">
        <f>IF(ISERROR(FIND('112'!$M$9,G101,1)),"",IF((AND(FIND('112'!$M$9,G101,1)&gt;=1,B101='112'!$K$9,OR($N101='112'!$I$6,$O101='112'!$I$6))),"x",""))</f>
        <v/>
      </c>
      <c r="U101" s="75" t="str">
        <f>IF(ISERROR(FIND('112'!$M$9,G101,1)),"",IF((AND(LEFT(G101,2)=LEFT('112'!$M$9,2),B101&lt;'112'!$K$9,$N101='112'!$I$6)),"x",""))</f>
        <v/>
      </c>
      <c r="V101" s="75" t="str">
        <f>IF(ISERROR(FIND('112'!$M$9,G101,1)),"",IF((AND(RIGHT(G101,2)=RIGHT('112'!$M$9,2),B101&lt;'112'!$K$9,$O101='112'!$I$6)),"x",""))</f>
        <v/>
      </c>
      <c r="W101" s="75" t="str">
        <f>IF(AND('341-CT'!$H$9=H101,OR(LEFT(N101,3)=$W$7,LEFT(O101,3)=$W$7)),"x","")</f>
        <v/>
      </c>
      <c r="X101" s="75" t="str">
        <f>IF(OR(TH!N101=TH!$X$7,O101=TH!$X$7),"x","")</f>
        <v/>
      </c>
      <c r="Y101" s="75" t="str">
        <f>IF(AND(OR(N101="131",O101="131"),H101='131-CT'!$H$9),"x","")</f>
        <v/>
      </c>
      <c r="Z101" s="75"/>
      <c r="AA101" s="75" t="str">
        <f>IF(AND(MONTH(E101)='IN-NX'!$J$5,'IN-NX'!$D$7=D101),"x","")</f>
        <v/>
      </c>
      <c r="AB101" s="75" t="str">
        <f>IF(AND(OR(LEFT(TH!N101,2)="15",LEFT(TH!O101,2)="15"),LEFT(TH!O101,3)&lt;&gt;"111",'152-CT'!$J$8=TH!F101),"x","")</f>
        <v/>
      </c>
      <c r="AC101" s="75" t="str">
        <f>IF(AND(OR(LEFT(TH!N101,2)="15",LEFT(TH!O101,2)="15"),TK!$E$7=TH!F101),"x","")</f>
        <v/>
      </c>
      <c r="AD101" s="75" t="str">
        <f>IF(AND(N101="1521",MONTH(C101)='BK-NL'!$M$11),"x","")</f>
        <v/>
      </c>
    </row>
    <row r="102" spans="1:30" ht="16.5" customHeight="1">
      <c r="A102" s="309" t="str">
        <f>IF(B102&lt;&gt;"",IF(AND(B102='IN-TC'!$S$4,OR(TH!N102="1111",TH!O102="1111")),TH!D102,""),"")</f>
        <v/>
      </c>
      <c r="B102" s="1131">
        <f t="shared" ref="B102:B170" si="15">IF(C102&lt;&gt;"",MONTH(C102),"")</f>
        <v>2</v>
      </c>
      <c r="C102" s="666">
        <v>42794</v>
      </c>
      <c r="D102" s="666" t="s">
        <v>530</v>
      </c>
      <c r="E102" s="666">
        <f t="shared" si="12"/>
        <v>42794</v>
      </c>
      <c r="F102" s="905" t="s">
        <v>733</v>
      </c>
      <c r="G102" s="250"/>
      <c r="H102" s="294"/>
      <c r="I102" s="373"/>
      <c r="J102" s="379"/>
      <c r="K102" s="373"/>
      <c r="L102" s="379"/>
      <c r="M102" s="670">
        <f>ROUND(G92*$G101,0)</f>
        <v>583440</v>
      </c>
      <c r="N102" s="671" t="s">
        <v>540</v>
      </c>
      <c r="O102" s="671" t="s">
        <v>543</v>
      </c>
      <c r="P102" s="75" t="str">
        <f>IF(AND('331-CT'!$E$7=TH!H102,OR(N102="331",O102="331")),"x","")</f>
        <v/>
      </c>
      <c r="Q102" s="75" t="str">
        <f>IF(AND(B102='111'!$L$11,OR($N102=$Q$7,$O102=$Q$7)),"x","")</f>
        <v/>
      </c>
      <c r="R102" s="75" t="str">
        <f>IF(AND($N102=$Q$7,$B102&lt;'111'!$L$11),"x","")</f>
        <v/>
      </c>
      <c r="S102" s="75" t="str">
        <f>IF(AND($O102=$Q$7,$B102&lt;'111'!$L$11),"x","")</f>
        <v/>
      </c>
      <c r="T102" s="75" t="str">
        <f>IF(ISERROR(FIND('112'!$M$9,G102,1)),"",IF((AND(FIND('112'!$M$9,G102,1)&gt;=1,B102='112'!$K$9,OR($N102='112'!$I$6,$O102='112'!$I$6))),"x",""))</f>
        <v/>
      </c>
      <c r="U102" s="75" t="str">
        <f>IF(ISERROR(FIND('112'!$M$9,G102,1)),"",IF((AND(LEFT(G102,2)=LEFT('112'!$M$9,2),B102&lt;'112'!$K$9,$N102='112'!$I$6)),"x",""))</f>
        <v/>
      </c>
      <c r="V102" s="75" t="str">
        <f>IF(ISERROR(FIND('112'!$M$9,G102,1)),"",IF((AND(RIGHT(G102,2)=RIGHT('112'!$M$9,2),B102&lt;'112'!$K$9,$O102='112'!$I$6)),"x",""))</f>
        <v/>
      </c>
      <c r="W102" s="75" t="str">
        <f>IF(AND('341-CT'!$H$9=H102,OR(LEFT(N102,3)=$W$7,LEFT(O102,3)=$W$7)),"x","")</f>
        <v/>
      </c>
      <c r="X102" s="75" t="str">
        <f>IF(OR(TH!N102=TH!$X$7,O102=TH!$X$7),"x","")</f>
        <v/>
      </c>
      <c r="Y102" s="75" t="str">
        <f>IF(AND(OR(N102="131",O102="131"),H102='131-CT'!$H$9),"x","")</f>
        <v/>
      </c>
      <c r="Z102" s="75"/>
      <c r="AA102" s="75" t="str">
        <f>IF(AND(MONTH(E102)='IN-NX'!$J$5,'IN-NX'!$D$7=D102),"x","")</f>
        <v/>
      </c>
      <c r="AB102" s="75" t="str">
        <f>IF(AND(OR(LEFT(TH!N102,2)="15",LEFT(TH!O102,2)="15"),LEFT(TH!O102,3)&lt;&gt;"111",'152-CT'!$J$8=TH!F102),"x","")</f>
        <v/>
      </c>
      <c r="AC102" s="75" t="str">
        <f>IF(AND(OR(LEFT(TH!N102,2)="15",LEFT(TH!O102,2)="15"),TK!$E$7=TH!F102),"x","")</f>
        <v/>
      </c>
      <c r="AD102" s="75" t="str">
        <f>IF(AND(N102="1521",MONTH(C102)='BK-NL'!$M$11),"x","")</f>
        <v/>
      </c>
    </row>
    <row r="103" spans="1:30" ht="16.5" customHeight="1">
      <c r="A103" s="309" t="str">
        <f>IF(B103&lt;&gt;"",IF(AND(B103='IN-TC'!$S$4,OR(TH!N103="1111",TH!O103="1111")),TH!D103,""),"")</f>
        <v/>
      </c>
      <c r="B103" s="1131">
        <f t="shared" si="15"/>
        <v>2</v>
      </c>
      <c r="C103" s="666">
        <v>42794</v>
      </c>
      <c r="D103" s="666" t="s">
        <v>530</v>
      </c>
      <c r="E103" s="666">
        <f t="shared" si="12"/>
        <v>42794</v>
      </c>
      <c r="F103" s="905" t="s">
        <v>734</v>
      </c>
      <c r="G103" s="739" t="s">
        <v>535</v>
      </c>
      <c r="H103" s="871"/>
      <c r="I103" s="374"/>
      <c r="J103" s="380"/>
      <c r="K103" s="374"/>
      <c r="L103" s="380"/>
      <c r="M103" s="670">
        <f>M101</f>
        <v>376490</v>
      </c>
      <c r="N103" s="671" t="s">
        <v>539</v>
      </c>
      <c r="O103" s="671" t="s">
        <v>543</v>
      </c>
      <c r="P103" s="75" t="str">
        <f>IF(AND('331-CT'!$E$7=TH!H103,OR(N103="331",O103="331")),"x","")</f>
        <v/>
      </c>
      <c r="Q103" s="75" t="str">
        <f>IF(AND(B103='111'!$L$11,OR($N103=$Q$7,$O103=$Q$7)),"x","")</f>
        <v/>
      </c>
      <c r="R103" s="75" t="str">
        <f>IF(AND($N103=$Q$7,$B103&lt;'111'!$L$11),"x","")</f>
        <v/>
      </c>
      <c r="S103" s="75" t="str">
        <f>IF(AND($O103=$Q$7,$B103&lt;'111'!$L$11),"x","")</f>
        <v/>
      </c>
      <c r="T103" s="75" t="str">
        <f>IF(ISERROR(FIND('112'!$M$9,G103,1)),"",IF((AND(FIND('112'!$M$9,G103,1)&gt;=1,B103='112'!$K$9,OR($N103='112'!$I$6,$O103='112'!$I$6))),"x",""))</f>
        <v/>
      </c>
      <c r="U103" s="75" t="str">
        <f>IF(ISERROR(FIND('112'!$M$9,G103,1)),"",IF((AND(LEFT(G103,2)=LEFT('112'!$M$9,2),B103&lt;'112'!$K$9,$N103='112'!$I$6)),"x",""))</f>
        <v/>
      </c>
      <c r="V103" s="75" t="str">
        <f>IF(ISERROR(FIND('112'!$M$9,G103,1)),"",IF((AND(RIGHT(G103,2)=RIGHT('112'!$M$9,2),B103&lt;'112'!$K$9,$O103='112'!$I$6)),"x",""))</f>
        <v/>
      </c>
      <c r="W103" s="75" t="str">
        <f>IF(AND('341-CT'!$H$9=H103,OR(LEFT(N103,3)=$W$7,LEFT(O103,3)=$W$7)),"x","")</f>
        <v/>
      </c>
      <c r="X103" s="75" t="str">
        <f>IF(OR(TH!N103=TH!$X$7,O103=TH!$X$7),"x","")</f>
        <v/>
      </c>
      <c r="Y103" s="75" t="str">
        <f>IF(AND(OR(N103="131",O103="131"),H103='131-CT'!$H$9),"x","")</f>
        <v/>
      </c>
      <c r="Z103" s="75"/>
      <c r="AA103" s="75" t="str">
        <f>IF(AND(MONTH(E103)='IN-NX'!$J$5,'IN-NX'!$D$7=D103),"x","")</f>
        <v/>
      </c>
      <c r="AB103" s="75" t="str">
        <f>IF(AND(OR(LEFT(TH!N103,2)="15",LEFT(TH!O103,2)="15"),LEFT(TH!O103,3)&lt;&gt;"111",'152-CT'!$J$8=TH!F103),"x","")</f>
        <v/>
      </c>
      <c r="AC103" s="75" t="str">
        <f>IF(AND(OR(LEFT(TH!N103,2)="15",LEFT(TH!O103,2)="15"),TK!$E$7=TH!F103),"x","")</f>
        <v/>
      </c>
      <c r="AD103" s="75" t="str">
        <f>IF(AND(N103="1521",MONTH(C103)='BK-NL'!$M$11),"x","")</f>
        <v/>
      </c>
    </row>
    <row r="104" spans="1:30" ht="16.5" customHeight="1">
      <c r="A104" s="309" t="str">
        <f>IF(B104&lt;&gt;"",IF(AND(B104='IN-TC'!$S$4,OR(TH!N104="1111",TH!O104="1111")),TH!D104,""),"")</f>
        <v/>
      </c>
      <c r="B104" s="1131">
        <f t="shared" si="15"/>
        <v>2</v>
      </c>
      <c r="C104" s="666">
        <v>42794</v>
      </c>
      <c r="D104" s="666" t="s">
        <v>530</v>
      </c>
      <c r="E104" s="666">
        <f t="shared" si="12"/>
        <v>42794</v>
      </c>
      <c r="F104" s="905" t="s">
        <v>735</v>
      </c>
      <c r="G104" s="250"/>
      <c r="H104" s="294"/>
      <c r="I104" s="373"/>
      <c r="J104" s="379"/>
      <c r="K104" s="373"/>
      <c r="L104" s="379"/>
      <c r="M104" s="670">
        <f>M102</f>
        <v>583440</v>
      </c>
      <c r="N104" s="671" t="s">
        <v>272</v>
      </c>
      <c r="O104" s="671" t="s">
        <v>543</v>
      </c>
      <c r="P104" s="75" t="str">
        <f>IF(AND('331-CT'!$E$7=TH!H104,OR(N104="331",O104="331")),"x","")</f>
        <v/>
      </c>
      <c r="Q104" s="75" t="str">
        <f>IF(AND(B104='111'!$L$11,OR($N104=$Q$7,$O104=$Q$7)),"x","")</f>
        <v/>
      </c>
      <c r="R104" s="75" t="str">
        <f>IF(AND($N104=$Q$7,$B104&lt;'111'!$L$11),"x","")</f>
        <v/>
      </c>
      <c r="S104" s="75" t="str">
        <f>IF(AND($O104=$Q$7,$B104&lt;'111'!$L$11),"x","")</f>
        <v/>
      </c>
      <c r="T104" s="75" t="str">
        <f>IF(ISERROR(FIND('112'!$M$9,G104,1)),"",IF((AND(FIND('112'!$M$9,G104,1)&gt;=1,B104='112'!$K$9,OR($N104='112'!$I$6,$O104='112'!$I$6))),"x",""))</f>
        <v/>
      </c>
      <c r="U104" s="75" t="str">
        <f>IF(ISERROR(FIND('112'!$M$9,G104,1)),"",IF((AND(LEFT(G104,2)=LEFT('112'!$M$9,2),B104&lt;'112'!$K$9,$N104='112'!$I$6)),"x",""))</f>
        <v/>
      </c>
      <c r="V104" s="75" t="str">
        <f>IF(ISERROR(FIND('112'!$M$9,G104,1)),"",IF((AND(RIGHT(G104,2)=RIGHT('112'!$M$9,2),B104&lt;'112'!$K$9,$O104='112'!$I$6)),"x",""))</f>
        <v/>
      </c>
      <c r="W104" s="75" t="str">
        <f>IF(AND('341-CT'!$H$9=H104,OR(LEFT(N104,3)=$W$7,LEFT(O104,3)=$W$7)),"x","")</f>
        <v/>
      </c>
      <c r="X104" s="75" t="str">
        <f>IF(OR(TH!N104=TH!$X$7,O104=TH!$X$7),"x","")</f>
        <v/>
      </c>
      <c r="Y104" s="75" t="str">
        <f>IF(AND(OR(N104="131",O104="131"),H104='131-CT'!$H$9),"x","")</f>
        <v/>
      </c>
      <c r="Z104" s="75"/>
      <c r="AA104" s="75" t="str">
        <f>IF(AND(MONTH(E104)='IN-NX'!$J$5,'IN-NX'!$D$7=D104),"x","")</f>
        <v/>
      </c>
      <c r="AB104" s="75" t="str">
        <f>IF(AND(OR(LEFT(TH!N104,2)="15",LEFT(TH!O104,2)="15"),LEFT(TH!O104,3)&lt;&gt;"111",'152-CT'!$J$8=TH!F104),"x","")</f>
        <v/>
      </c>
      <c r="AC104" s="75" t="str">
        <f>IF(AND(OR(LEFT(TH!N104,2)="15",LEFT(TH!O104,2)="15"),TK!$E$7=TH!F104),"x","")</f>
        <v/>
      </c>
      <c r="AD104" s="75" t="str">
        <f>IF(AND(N104="1521",MONTH(C104)='BK-NL'!$M$11),"x","")</f>
        <v/>
      </c>
    </row>
    <row r="105" spans="1:30" ht="16.5" customHeight="1">
      <c r="A105" s="309" t="str">
        <f>IF(B105&lt;&gt;"",IF(AND(B105='IN-TC'!$S$4,OR(TH!N105="1111",TH!O105="1111")),TH!D105,""),"")</f>
        <v/>
      </c>
      <c r="B105" s="1131">
        <f t="shared" ref="B105:B107" si="16">IF(C105&lt;&gt;"",MONTH(C105),"")</f>
        <v>2</v>
      </c>
      <c r="C105" s="666">
        <v>42794</v>
      </c>
      <c r="D105" s="666" t="s">
        <v>530</v>
      </c>
      <c r="E105" s="666">
        <f t="shared" ref="E105:E107" si="17">C105</f>
        <v>42794</v>
      </c>
      <c r="F105" s="905" t="s">
        <v>2672</v>
      </c>
      <c r="G105" s="250"/>
      <c r="H105" s="294"/>
      <c r="I105" s="373"/>
      <c r="J105" s="379"/>
      <c r="K105" s="373"/>
      <c r="L105" s="379"/>
      <c r="M105" s="670">
        <v>1261424</v>
      </c>
      <c r="N105" s="671" t="s">
        <v>105</v>
      </c>
      <c r="O105" s="671" t="s">
        <v>541</v>
      </c>
      <c r="P105" s="75" t="str">
        <f>IF(AND('331-CT'!$E$7=TH!H105,OR(N105="331",O105="331")),"x","")</f>
        <v/>
      </c>
      <c r="Q105" s="75" t="str">
        <f>IF(AND(B105='111'!$L$11,OR($N105=$Q$7,$O105=$Q$7)),"x","")</f>
        <v/>
      </c>
      <c r="R105" s="75" t="str">
        <f>IF(AND($N105=$Q$7,$B105&lt;'111'!$L$11),"x","")</f>
        <v/>
      </c>
      <c r="S105" s="75" t="str">
        <f>IF(AND($O105=$Q$7,$B105&lt;'111'!$L$11),"x","")</f>
        <v/>
      </c>
      <c r="T105" s="75" t="str">
        <f>IF(ISERROR(FIND('112'!$M$9,G105,1)),"",IF((AND(FIND('112'!$M$9,G105,1)&gt;=1,B105='112'!$K$9,OR($N105='112'!$I$6,$O105='112'!$I$6))),"x",""))</f>
        <v/>
      </c>
      <c r="U105" s="75" t="str">
        <f>IF(ISERROR(FIND('112'!$M$9,G105,1)),"",IF((AND(LEFT(G105,2)=LEFT('112'!$M$9,2),B105&lt;'112'!$K$9,$N105='112'!$I$6)),"x",""))</f>
        <v/>
      </c>
      <c r="V105" s="75" t="str">
        <f>IF(ISERROR(FIND('112'!$M$9,G105,1)),"",IF((AND(RIGHT(G105,2)=RIGHT('112'!$M$9,2),B105&lt;'112'!$K$9,$O105='112'!$I$6)),"x",""))</f>
        <v/>
      </c>
      <c r="W105" s="75" t="str">
        <f>IF(AND('341-CT'!$H$9=H105,OR(LEFT(N105,3)=$W$7,LEFT(O105,3)=$W$7)),"x","")</f>
        <v/>
      </c>
      <c r="X105" s="75" t="str">
        <f>IF(OR(TH!N105=TH!$X$7,O105=TH!$X$7),"x","")</f>
        <v/>
      </c>
      <c r="Y105" s="75" t="str">
        <f>IF(AND(OR(N105="131",O105="131"),H105='131-CT'!$H$9),"x","")</f>
        <v/>
      </c>
      <c r="Z105" s="75"/>
      <c r="AA105" s="75" t="str">
        <f>IF(AND(MONTH(E105)='IN-NX'!$J$5,'IN-NX'!$D$7=D105),"x","")</f>
        <v/>
      </c>
      <c r="AB105" s="75" t="str">
        <f>IF(AND(OR(LEFT(TH!N105,2)="15",LEFT(TH!O105,2)="15"),LEFT(TH!O105,3)&lt;&gt;"111",'152-CT'!$J$8=TH!F105),"x","")</f>
        <v/>
      </c>
      <c r="AC105" s="75" t="str">
        <f>IF(AND(OR(LEFT(TH!N105,2)="15",LEFT(TH!O105,2)="15"),TK!$E$7=TH!F105),"x","")</f>
        <v/>
      </c>
      <c r="AD105" s="75" t="str">
        <f>IF(AND(N105="1521",MONTH(C105)='BK-NL'!$M$11),"x","")</f>
        <v/>
      </c>
    </row>
    <row r="106" spans="1:30" ht="16.5" customHeight="1">
      <c r="A106" s="309" t="str">
        <f>IF(B106&lt;&gt;"",IF(AND(B106='IN-TC'!$S$4,OR(TH!N106="1111",TH!O106="1111")),TH!D106,""),"")</f>
        <v/>
      </c>
      <c r="B106" s="1131">
        <f t="shared" si="16"/>
        <v>2</v>
      </c>
      <c r="C106" s="666">
        <v>42794</v>
      </c>
      <c r="D106" s="666" t="s">
        <v>530</v>
      </c>
      <c r="E106" s="666">
        <f t="shared" si="17"/>
        <v>42794</v>
      </c>
      <c r="F106" s="905" t="s">
        <v>2672</v>
      </c>
      <c r="G106" s="250"/>
      <c r="H106" s="294"/>
      <c r="I106" s="373"/>
      <c r="J106" s="379"/>
      <c r="K106" s="373"/>
      <c r="L106" s="379"/>
      <c r="M106" s="670">
        <v>43199</v>
      </c>
      <c r="N106" s="671" t="s">
        <v>105</v>
      </c>
      <c r="O106" s="671" t="s">
        <v>542</v>
      </c>
      <c r="P106" s="75" t="str">
        <f>IF(AND('331-CT'!$E$7=TH!H106,OR(N106="331",O106="331")),"x","")</f>
        <v/>
      </c>
      <c r="Q106" s="75" t="str">
        <f>IF(AND(B106='111'!$L$11,OR($N106=$Q$7,$O106=$Q$7)),"x","")</f>
        <v/>
      </c>
      <c r="R106" s="75" t="str">
        <f>IF(AND($N106=$Q$7,$B106&lt;'111'!$L$11),"x","")</f>
        <v/>
      </c>
      <c r="S106" s="75" t="str">
        <f>IF(AND($O106=$Q$7,$B106&lt;'111'!$L$11),"x","")</f>
        <v/>
      </c>
      <c r="T106" s="75" t="str">
        <f>IF(ISERROR(FIND('112'!$M$9,G106,1)),"",IF((AND(FIND('112'!$M$9,G106,1)&gt;=1,B106='112'!$K$9,OR($N106='112'!$I$6,$O106='112'!$I$6))),"x",""))</f>
        <v/>
      </c>
      <c r="U106" s="75" t="str">
        <f>IF(ISERROR(FIND('112'!$M$9,G106,1)),"",IF((AND(LEFT(G106,2)=LEFT('112'!$M$9,2),B106&lt;'112'!$K$9,$N106='112'!$I$6)),"x",""))</f>
        <v/>
      </c>
      <c r="V106" s="75" t="str">
        <f>IF(ISERROR(FIND('112'!$M$9,G106,1)),"",IF((AND(RIGHT(G106,2)=RIGHT('112'!$M$9,2),B106&lt;'112'!$K$9,$O106='112'!$I$6)),"x",""))</f>
        <v/>
      </c>
      <c r="W106" s="75" t="str">
        <f>IF(AND('341-CT'!$H$9=H106,OR(LEFT(N106,3)=$W$7,LEFT(O106,3)=$W$7)),"x","")</f>
        <v/>
      </c>
      <c r="X106" s="75" t="str">
        <f>IF(OR(TH!N106=TH!$X$7,O106=TH!$X$7),"x","")</f>
        <v/>
      </c>
      <c r="Y106" s="75" t="str">
        <f>IF(AND(OR(N106="131",O106="131"),H106='131-CT'!$H$9),"x","")</f>
        <v/>
      </c>
      <c r="Z106" s="75"/>
      <c r="AA106" s="75" t="str">
        <f>IF(AND(MONTH(E106)='IN-NX'!$J$5,'IN-NX'!$D$7=D106),"x","")</f>
        <v/>
      </c>
      <c r="AB106" s="75" t="str">
        <f>IF(AND(OR(LEFT(TH!N106,2)="15",LEFT(TH!O106,2)="15"),LEFT(TH!O106,3)&lt;&gt;"111",'152-CT'!$J$8=TH!F106),"x","")</f>
        <v/>
      </c>
      <c r="AC106" s="75" t="str">
        <f>IF(AND(OR(LEFT(TH!N106,2)="15",LEFT(TH!O106,2)="15"),TK!$E$7=TH!F106),"x","")</f>
        <v/>
      </c>
      <c r="AD106" s="75" t="str">
        <f>IF(AND(N106="1521",MONTH(C106)='BK-NL'!$M$11),"x","")</f>
        <v/>
      </c>
    </row>
    <row r="107" spans="1:30" ht="16.5" customHeight="1">
      <c r="A107" s="309" t="str">
        <f>IF(B107&lt;&gt;"",IF(AND(B107='IN-TC'!$S$4,OR(TH!N107="1111",TH!O107="1111")),TH!D107,""),"")</f>
        <v/>
      </c>
      <c r="B107" s="1131">
        <f t="shared" si="16"/>
        <v>2</v>
      </c>
      <c r="C107" s="666">
        <v>42794</v>
      </c>
      <c r="D107" s="666" t="s">
        <v>530</v>
      </c>
      <c r="E107" s="666">
        <f t="shared" si="17"/>
        <v>42794</v>
      </c>
      <c r="F107" s="905" t="s">
        <v>2672</v>
      </c>
      <c r="G107" s="250"/>
      <c r="H107" s="294"/>
      <c r="I107" s="373"/>
      <c r="J107" s="379"/>
      <c r="K107" s="373"/>
      <c r="L107" s="379"/>
      <c r="M107" s="670">
        <v>26152</v>
      </c>
      <c r="N107" s="671" t="s">
        <v>105</v>
      </c>
      <c r="O107" s="671" t="s">
        <v>543</v>
      </c>
      <c r="P107" s="75" t="str">
        <f>IF(AND('331-CT'!$E$7=TH!H107,OR(N107="331",O107="331")),"x","")</f>
        <v/>
      </c>
      <c r="Q107" s="75" t="str">
        <f>IF(AND(B107='111'!$L$11,OR($N107=$Q$7,$O107=$Q$7)),"x","")</f>
        <v/>
      </c>
      <c r="R107" s="75" t="str">
        <f>IF(AND($N107=$Q$7,$B107&lt;'111'!$L$11),"x","")</f>
        <v/>
      </c>
      <c r="S107" s="75" t="str">
        <f>IF(AND($O107=$Q$7,$B107&lt;'111'!$L$11),"x","")</f>
        <v/>
      </c>
      <c r="T107" s="75" t="str">
        <f>IF(ISERROR(FIND('112'!$M$9,G107,1)),"",IF((AND(FIND('112'!$M$9,G107,1)&gt;=1,B107='112'!$K$9,OR($N107='112'!$I$6,$O107='112'!$I$6))),"x",""))</f>
        <v/>
      </c>
      <c r="U107" s="75" t="str">
        <f>IF(ISERROR(FIND('112'!$M$9,G107,1)),"",IF((AND(LEFT(G107,2)=LEFT('112'!$M$9,2),B107&lt;'112'!$K$9,$N107='112'!$I$6)),"x",""))</f>
        <v/>
      </c>
      <c r="V107" s="75" t="str">
        <f>IF(ISERROR(FIND('112'!$M$9,G107,1)),"",IF((AND(RIGHT(G107,2)=RIGHT('112'!$M$9,2),B107&lt;'112'!$K$9,$O107='112'!$I$6)),"x",""))</f>
        <v/>
      </c>
      <c r="W107" s="75" t="str">
        <f>IF(AND('341-CT'!$H$9=H107,OR(LEFT(N107,3)=$W$7,LEFT(O107,3)=$W$7)),"x","")</f>
        <v/>
      </c>
      <c r="X107" s="75" t="str">
        <f>IF(OR(TH!N107=TH!$X$7,O107=TH!$X$7),"x","")</f>
        <v/>
      </c>
      <c r="Y107" s="75" t="str">
        <f>IF(AND(OR(N107="131",O107="131"),H107='131-CT'!$H$9),"x","")</f>
        <v/>
      </c>
      <c r="Z107" s="75"/>
      <c r="AA107" s="75" t="str">
        <f>IF(AND(MONTH(E107)='IN-NX'!$J$5,'IN-NX'!$D$7=D107),"x","")</f>
        <v/>
      </c>
      <c r="AB107" s="75" t="str">
        <f>IF(AND(OR(LEFT(TH!N107,2)="15",LEFT(TH!O107,2)="15"),LEFT(TH!O107,3)&lt;&gt;"111",'152-CT'!$J$8=TH!F107),"x","")</f>
        <v/>
      </c>
      <c r="AC107" s="75" t="str">
        <f>IF(AND(OR(LEFT(TH!N107,2)="15",LEFT(TH!O107,2)="15"),TK!$E$7=TH!F107),"x","")</f>
        <v/>
      </c>
      <c r="AD107" s="75" t="str">
        <f>IF(AND(N107="1521",MONTH(C107)='BK-NL'!$M$11),"x","")</f>
        <v/>
      </c>
    </row>
    <row r="108" spans="1:30" ht="16.5" customHeight="1">
      <c r="A108" s="309" t="str">
        <f>IF(B108&lt;&gt;"",IF(AND(B108='IN-TC'!$S$4,OR(TH!N108="1111",TH!O108="1111")),TH!D108,""),"")</f>
        <v/>
      </c>
      <c r="B108" s="1169">
        <f t="shared" si="15"/>
        <v>3</v>
      </c>
      <c r="C108" s="666">
        <v>42825</v>
      </c>
      <c r="D108" s="666" t="s">
        <v>530</v>
      </c>
      <c r="E108" s="666">
        <f t="shared" si="12"/>
        <v>42825</v>
      </c>
      <c r="F108" s="905" t="s">
        <v>722</v>
      </c>
      <c r="G108" s="250">
        <v>46373000</v>
      </c>
      <c r="H108" s="250"/>
      <c r="I108" s="373"/>
      <c r="J108" s="379"/>
      <c r="K108" s="373"/>
      <c r="L108" s="379"/>
      <c r="M108" s="670">
        <v>48350444</v>
      </c>
      <c r="N108" s="671" t="s">
        <v>539</v>
      </c>
      <c r="O108" s="671" t="s">
        <v>540</v>
      </c>
      <c r="P108" s="75" t="str">
        <f>IF(AND('331-CT'!$E$7=TH!H108,OR(N108="331",O108="331")),"x","")</f>
        <v/>
      </c>
      <c r="Q108" s="75" t="str">
        <f>IF(AND(B108='111'!$L$11,OR($N108=$Q$7,$O108=$Q$7)),"x","")</f>
        <v/>
      </c>
      <c r="R108" s="75" t="str">
        <f>IF(AND($N108=$Q$7,$B108&lt;'111'!$L$11),"x","")</f>
        <v/>
      </c>
      <c r="S108" s="75" t="str">
        <f>IF(AND($O108=$Q$7,$B108&lt;'111'!$L$11),"x","")</f>
        <v/>
      </c>
      <c r="T108" s="75" t="str">
        <f>IF(ISERROR(FIND('112'!$M$9,G108,1)),"",IF((AND(FIND('112'!$M$9,G108,1)&gt;=1,B108='112'!$K$9,OR($N108='112'!$I$6,$O108='112'!$I$6))),"x",""))</f>
        <v/>
      </c>
      <c r="U108" s="75" t="str">
        <f>IF(ISERROR(FIND('112'!$M$9,G108,1)),"",IF((AND(LEFT(G108,2)=LEFT('112'!$M$9,2),B108&lt;'112'!$K$9,$N108='112'!$I$6)),"x",""))</f>
        <v/>
      </c>
      <c r="V108" s="75" t="str">
        <f>IF(ISERROR(FIND('112'!$M$9,G108,1)),"",IF((AND(RIGHT(G108,2)=RIGHT('112'!$M$9,2),B108&lt;'112'!$K$9,$O108='112'!$I$6)),"x",""))</f>
        <v/>
      </c>
      <c r="W108" s="75" t="str">
        <f>IF(AND('341-CT'!$H$9=H108,OR(LEFT(N108,3)=$W$7,LEFT(O108,3)=$W$7)),"x","")</f>
        <v/>
      </c>
      <c r="X108" s="75" t="str">
        <f>IF(OR(TH!N108=TH!$X$7,O108=TH!$X$7),"x","")</f>
        <v/>
      </c>
      <c r="Y108" s="75" t="str">
        <f>IF(AND(OR(N108="131",O108="131"),H108='131-CT'!$H$9),"x","")</f>
        <v/>
      </c>
      <c r="Z108" s="75"/>
      <c r="AA108" s="75" t="str">
        <f>IF(AND(MONTH(E108)='IN-NX'!$J$5,'IN-NX'!$D$7=D108),"x","")</f>
        <v/>
      </c>
      <c r="AB108" s="75" t="str">
        <f>IF(AND(OR(LEFT(TH!N108,2)="15",LEFT(TH!O108,2)="15"),LEFT(TH!O108,3)&lt;&gt;"111",'152-CT'!$J$8=TH!F108),"x","")</f>
        <v/>
      </c>
      <c r="AC108" s="75" t="str">
        <f>IF(AND(OR(LEFT(TH!N108,2)="15",LEFT(TH!O108,2)="15"),TK!$E$7=TH!F108),"x","")</f>
        <v/>
      </c>
      <c r="AD108" s="75" t="str">
        <f>IF(AND(N108="1521",MONTH(C108)='BK-NL'!$M$11),"x","")</f>
        <v/>
      </c>
    </row>
    <row r="109" spans="1:30" ht="16.5" customHeight="1">
      <c r="A109" s="309" t="str">
        <f>IF(B109&lt;&gt;"",IF(AND(B109='IN-TC'!$S$4,OR(TH!N109="1111",TH!O109="1111")),TH!D109,""),"")</f>
        <v/>
      </c>
      <c r="B109" s="1169">
        <f t="shared" si="15"/>
        <v>3</v>
      </c>
      <c r="C109" s="666">
        <v>42825</v>
      </c>
      <c r="D109" s="666" t="s">
        <v>530</v>
      </c>
      <c r="E109" s="666">
        <f t="shared" si="12"/>
        <v>42825</v>
      </c>
      <c r="F109" s="905" t="s">
        <v>723</v>
      </c>
      <c r="G109" s="250">
        <v>65448000</v>
      </c>
      <c r="H109" s="250"/>
      <c r="I109" s="373"/>
      <c r="J109" s="379"/>
      <c r="K109" s="373"/>
      <c r="L109" s="379"/>
      <c r="M109" s="670">
        <v>72738000</v>
      </c>
      <c r="N109" s="671" t="s">
        <v>272</v>
      </c>
      <c r="O109" s="671" t="s">
        <v>540</v>
      </c>
      <c r="P109" s="75" t="str">
        <f>IF(AND('331-CT'!$E$7=TH!H109,OR(N109="331",O109="331")),"x","")</f>
        <v/>
      </c>
      <c r="Q109" s="75" t="str">
        <f>IF(AND(B109='111'!$L$11,OR($N109=$Q$7,$O109=$Q$7)),"x","")</f>
        <v/>
      </c>
      <c r="R109" s="75" t="str">
        <f>IF(AND($N109=$Q$7,$B109&lt;'111'!$L$11),"x","")</f>
        <v/>
      </c>
      <c r="S109" s="75" t="str">
        <f>IF(AND($O109=$Q$7,$B109&lt;'111'!$L$11),"x","")</f>
        <v/>
      </c>
      <c r="T109" s="75" t="str">
        <f>IF(ISERROR(FIND('112'!$M$9,G109,1)),"",IF((AND(FIND('112'!$M$9,G109,1)&gt;=1,B109='112'!$K$9,OR($N109='112'!$I$6,$O109='112'!$I$6))),"x",""))</f>
        <v/>
      </c>
      <c r="U109" s="75" t="str">
        <f>IF(ISERROR(FIND('112'!$M$9,G109,1)),"",IF((AND(LEFT(G109,2)=LEFT('112'!$M$9,2),B109&lt;'112'!$K$9,$N109='112'!$I$6)),"x",""))</f>
        <v/>
      </c>
      <c r="V109" s="75" t="str">
        <f>IF(ISERROR(FIND('112'!$M$9,G109,1)),"",IF((AND(RIGHT(G109,2)=RIGHT('112'!$M$9,2),B109&lt;'112'!$K$9,$O109='112'!$I$6)),"x",""))</f>
        <v/>
      </c>
      <c r="W109" s="75" t="str">
        <f>IF(AND('341-CT'!$H$9=H109,OR(LEFT(N109,3)=$W$7,LEFT(O109,3)=$W$7)),"x","")</f>
        <v/>
      </c>
      <c r="X109" s="75" t="str">
        <f>IF(OR(TH!N109=TH!$X$7,O109=TH!$X$7),"x","")</f>
        <v/>
      </c>
      <c r="Y109" s="75" t="str">
        <f>IF(AND(OR(N109="131",O109="131"),H109='131-CT'!$H$9),"x","")</f>
        <v/>
      </c>
      <c r="Z109" s="75"/>
      <c r="AA109" s="75" t="str">
        <f>IF(AND(MONTH(E109)='IN-NX'!$J$5,'IN-NX'!$D$7=D109),"x","")</f>
        <v/>
      </c>
      <c r="AB109" s="75" t="str">
        <f>IF(AND(OR(LEFT(TH!N109,2)="15",LEFT(TH!O109,2)="15"),LEFT(TH!O109,3)&lt;&gt;"111",'152-CT'!$J$8=TH!F109),"x","")</f>
        <v/>
      </c>
      <c r="AC109" s="75" t="str">
        <f>IF(AND(OR(LEFT(TH!N109,2)="15",LEFT(TH!O109,2)="15"),TK!$E$7=TH!F109),"x","")</f>
        <v/>
      </c>
      <c r="AD109" s="75" t="str">
        <f>IF(AND(N109="1521",MONTH(C109)='BK-NL'!$M$11),"x","")</f>
        <v/>
      </c>
    </row>
    <row r="110" spans="1:30" ht="16.5" customHeight="1">
      <c r="A110" s="309" t="str">
        <f>IF(B110&lt;&gt;"",IF(AND(B110='IN-TC'!$S$4,OR(TH!N110="1111",TH!O110="1111")),TH!D110,""),"")</f>
        <v/>
      </c>
      <c r="B110" s="1169">
        <f t="shared" si="15"/>
        <v>3</v>
      </c>
      <c r="C110" s="666">
        <v>42825</v>
      </c>
      <c r="D110" s="666" t="s">
        <v>530</v>
      </c>
      <c r="E110" s="666">
        <f t="shared" si="12"/>
        <v>42825</v>
      </c>
      <c r="F110" s="905" t="s">
        <v>724</v>
      </c>
      <c r="G110" s="739" t="s">
        <v>531</v>
      </c>
      <c r="H110" s="294"/>
      <c r="I110" s="373"/>
      <c r="J110" s="379"/>
      <c r="K110" s="373"/>
      <c r="L110" s="379"/>
      <c r="M110" s="670">
        <f>ROUND(G108*$G110,0)</f>
        <v>3709840</v>
      </c>
      <c r="N110" s="671" t="s">
        <v>540</v>
      </c>
      <c r="O110" s="671" t="s">
        <v>541</v>
      </c>
      <c r="P110" s="75" t="str">
        <f>IF(AND('331-CT'!$E$7=TH!H110,OR(N110="331",O110="331")),"x","")</f>
        <v/>
      </c>
      <c r="Q110" s="75" t="str">
        <f>IF(AND(B110='111'!$L$11,OR($N110=$Q$7,$O110=$Q$7)),"x","")</f>
        <v/>
      </c>
      <c r="R110" s="75" t="str">
        <f>IF(AND($N110=$Q$7,$B110&lt;'111'!$L$11),"x","")</f>
        <v/>
      </c>
      <c r="S110" s="75" t="str">
        <f>IF(AND($O110=$Q$7,$B110&lt;'111'!$L$11),"x","")</f>
        <v/>
      </c>
      <c r="T110" s="75" t="str">
        <f>IF(ISERROR(FIND('112'!$M$9,G110,1)),"",IF((AND(FIND('112'!$M$9,G110,1)&gt;=1,B110='112'!$K$9,OR($N110='112'!$I$6,$O110='112'!$I$6))),"x",""))</f>
        <v/>
      </c>
      <c r="U110" s="75" t="str">
        <f>IF(ISERROR(FIND('112'!$M$9,G110,1)),"",IF((AND(LEFT(G110,2)=LEFT('112'!$M$9,2),B110&lt;'112'!$K$9,$N110='112'!$I$6)),"x",""))</f>
        <v/>
      </c>
      <c r="V110" s="75" t="str">
        <f>IF(ISERROR(FIND('112'!$M$9,G110,1)),"",IF((AND(RIGHT(G110,2)=RIGHT('112'!$M$9,2),B110&lt;'112'!$K$9,$O110='112'!$I$6)),"x",""))</f>
        <v/>
      </c>
      <c r="W110" s="75" t="str">
        <f>IF(AND('341-CT'!$H$9=H110,OR(LEFT(N110,3)=$W$7,LEFT(O110,3)=$W$7)),"x","")</f>
        <v/>
      </c>
      <c r="X110" s="75" t="str">
        <f>IF(OR(TH!N110=TH!$X$7,O110=TH!$X$7),"x","")</f>
        <v/>
      </c>
      <c r="Y110" s="75" t="str">
        <f>IF(AND(OR(N110="131",O110="131"),H110='131-CT'!$H$9),"x","")</f>
        <v/>
      </c>
      <c r="Z110" s="75"/>
      <c r="AA110" s="75" t="str">
        <f>IF(AND(MONTH(E110)='IN-NX'!$J$5,'IN-NX'!$D$7=D110),"x","")</f>
        <v/>
      </c>
      <c r="AB110" s="75" t="str">
        <f>IF(AND(OR(LEFT(TH!N110,2)="15",LEFT(TH!O110,2)="15"),LEFT(TH!O110,3)&lt;&gt;"111",'152-CT'!$J$8=TH!F110),"x","")</f>
        <v/>
      </c>
      <c r="AC110" s="75" t="str">
        <f>IF(AND(OR(LEFT(TH!N110,2)="15",LEFT(TH!O110,2)="15"),TK!$E$7=TH!F110),"x","")</f>
        <v/>
      </c>
      <c r="AD110" s="75" t="str">
        <f>IF(AND(N110="1521",MONTH(C110)='BK-NL'!$M$11),"x","")</f>
        <v/>
      </c>
    </row>
    <row r="111" spans="1:30" ht="16.5" customHeight="1">
      <c r="A111" s="309" t="str">
        <f>IF(B111&lt;&gt;"",IF(AND(B111='IN-TC'!$S$4,OR(TH!N111="1111",TH!O111="1111")),TH!D111,""),"")</f>
        <v/>
      </c>
      <c r="B111" s="1169">
        <f t="shared" si="15"/>
        <v>3</v>
      </c>
      <c r="C111" s="666">
        <v>42825</v>
      </c>
      <c r="D111" s="666" t="s">
        <v>530</v>
      </c>
      <c r="E111" s="666">
        <f t="shared" si="12"/>
        <v>42825</v>
      </c>
      <c r="F111" s="905" t="s">
        <v>725</v>
      </c>
      <c r="G111" s="250"/>
      <c r="H111" s="294"/>
      <c r="I111" s="373"/>
      <c r="J111" s="379"/>
      <c r="K111" s="373"/>
      <c r="L111" s="379"/>
      <c r="M111" s="670">
        <f>ROUND(G109*$G110,0)</f>
        <v>5235840</v>
      </c>
      <c r="N111" s="672" t="s">
        <v>540</v>
      </c>
      <c r="O111" s="673" t="s">
        <v>541</v>
      </c>
      <c r="P111" s="75" t="str">
        <f>IF(AND('331-CT'!$E$7=TH!H111,OR(N111="331",O111="331")),"x","")</f>
        <v/>
      </c>
      <c r="Q111" s="75" t="str">
        <f>IF(AND(B111='111'!$L$11,OR($N111=$Q$7,$O111=$Q$7)),"x","")</f>
        <v/>
      </c>
      <c r="R111" s="75" t="str">
        <f>IF(AND($N111=$Q$7,$B111&lt;'111'!$L$11),"x","")</f>
        <v/>
      </c>
      <c r="S111" s="75" t="str">
        <f>IF(AND($O111=$Q$7,$B111&lt;'111'!$L$11),"x","")</f>
        <v/>
      </c>
      <c r="T111" s="75" t="str">
        <f>IF(ISERROR(FIND('112'!$M$9,G111,1)),"",IF((AND(FIND('112'!$M$9,G111,1)&gt;=1,B111='112'!$K$9,OR($N111='112'!$I$6,$O111='112'!$I$6))),"x",""))</f>
        <v/>
      </c>
      <c r="U111" s="75" t="str">
        <f>IF(ISERROR(FIND('112'!$M$9,G111,1)),"",IF((AND(LEFT(G111,2)=LEFT('112'!$M$9,2),B111&lt;'112'!$K$9,$N111='112'!$I$6)),"x",""))</f>
        <v/>
      </c>
      <c r="V111" s="75" t="str">
        <f>IF(ISERROR(FIND('112'!$M$9,G111,1)),"",IF((AND(RIGHT(G111,2)=RIGHT('112'!$M$9,2),B111&lt;'112'!$K$9,$O111='112'!$I$6)),"x",""))</f>
        <v/>
      </c>
      <c r="W111" s="75" t="str">
        <f>IF(AND('341-CT'!$H$9=H111,OR(LEFT(N111,3)=$W$7,LEFT(O111,3)=$W$7)),"x","")</f>
        <v/>
      </c>
      <c r="X111" s="75" t="str">
        <f>IF(OR(TH!N111=TH!$X$7,O111=TH!$X$7),"x","")</f>
        <v/>
      </c>
      <c r="Y111" s="75" t="str">
        <f>IF(AND(OR(N111="131",O111="131"),H111='131-CT'!$H$9),"x","")</f>
        <v/>
      </c>
      <c r="Z111" s="75"/>
      <c r="AA111" s="75" t="str">
        <f>IF(AND(MONTH(E111)='IN-NX'!$J$5,'IN-NX'!$D$7=D111),"x","")</f>
        <v/>
      </c>
      <c r="AB111" s="75" t="str">
        <f>IF(AND(OR(LEFT(TH!N111,2)="15",LEFT(TH!O111,2)="15"),LEFT(TH!O111,3)&lt;&gt;"111",'152-CT'!$J$8=TH!F111),"x","")</f>
        <v/>
      </c>
      <c r="AC111" s="75" t="str">
        <f>IF(AND(OR(LEFT(TH!N111,2)="15",LEFT(TH!O111,2)="15"),TK!$E$7=TH!F111),"x","")</f>
        <v/>
      </c>
      <c r="AD111" s="75" t="str">
        <f>IF(AND(N111="1521",MONTH(C111)='BK-NL'!$M$11),"x","")</f>
        <v/>
      </c>
    </row>
    <row r="112" spans="1:30" ht="16.5" customHeight="1">
      <c r="A112" s="309" t="str">
        <f>IF(B112&lt;&gt;"",IF(AND(B112='IN-TC'!$S$4,OR(TH!N112="1111",TH!O112="1111")),TH!D112,""),"")</f>
        <v/>
      </c>
      <c r="B112" s="1169">
        <f t="shared" si="15"/>
        <v>3</v>
      </c>
      <c r="C112" s="666">
        <v>42825</v>
      </c>
      <c r="D112" s="666" t="s">
        <v>530</v>
      </c>
      <c r="E112" s="666">
        <f t="shared" si="12"/>
        <v>42825</v>
      </c>
      <c r="F112" s="905" t="s">
        <v>726</v>
      </c>
      <c r="G112" s="739" t="s">
        <v>532</v>
      </c>
      <c r="H112" s="294"/>
      <c r="I112" s="373"/>
      <c r="J112" s="379"/>
      <c r="K112" s="373"/>
      <c r="L112" s="379"/>
      <c r="M112" s="670">
        <f>ROUND(G108*$G112,0)</f>
        <v>8347140</v>
      </c>
      <c r="N112" s="671" t="s">
        <v>539</v>
      </c>
      <c r="O112" s="671" t="s">
        <v>541</v>
      </c>
      <c r="P112" s="75" t="str">
        <f>IF(AND('331-CT'!$E$7=TH!H112,OR(N112="331",O112="331")),"x","")</f>
        <v/>
      </c>
      <c r="Q112" s="75" t="str">
        <f>IF(AND(B112='111'!$L$11,OR($N112=$Q$7,$O112=$Q$7)),"x","")</f>
        <v/>
      </c>
      <c r="R112" s="75" t="str">
        <f>IF(AND($N112=$Q$7,$B112&lt;'111'!$L$11),"x","")</f>
        <v/>
      </c>
      <c r="S112" s="75" t="str">
        <f>IF(AND($O112=$Q$7,$B112&lt;'111'!$L$11),"x","")</f>
        <v/>
      </c>
      <c r="T112" s="75" t="str">
        <f>IF(ISERROR(FIND('112'!$M$9,G112,1)),"",IF((AND(FIND('112'!$M$9,G112,1)&gt;=1,B112='112'!$K$9,OR($N112='112'!$I$6,$O112='112'!$I$6))),"x",""))</f>
        <v/>
      </c>
      <c r="U112" s="75" t="str">
        <f>IF(ISERROR(FIND('112'!$M$9,G112,1)),"",IF((AND(LEFT(G112,2)=LEFT('112'!$M$9,2),B112&lt;'112'!$K$9,$N112='112'!$I$6)),"x",""))</f>
        <v/>
      </c>
      <c r="V112" s="75" t="str">
        <f>IF(ISERROR(FIND('112'!$M$9,G112,1)),"",IF((AND(RIGHT(G112,2)=RIGHT('112'!$M$9,2),B112&lt;'112'!$K$9,$O112='112'!$I$6)),"x",""))</f>
        <v/>
      </c>
      <c r="W112" s="75" t="str">
        <f>IF(AND('341-CT'!$H$9=H112,OR(LEFT(N112,3)=$W$7,LEFT(O112,3)=$W$7)),"x","")</f>
        <v/>
      </c>
      <c r="X112" s="75" t="str">
        <f>IF(OR(TH!N112=TH!$X$7,O112=TH!$X$7),"x","")</f>
        <v/>
      </c>
      <c r="Y112" s="75" t="str">
        <f>IF(AND(OR(N112="131",O112="131"),H112='131-CT'!$H$9),"x","")</f>
        <v/>
      </c>
      <c r="Z112" s="75"/>
      <c r="AA112" s="75" t="str">
        <f>IF(AND(MONTH(E112)='IN-NX'!$J$5,'IN-NX'!$D$7=D112),"x","")</f>
        <v/>
      </c>
      <c r="AB112" s="75" t="str">
        <f>IF(AND(OR(LEFT(TH!N112,2)="15",LEFT(TH!O112,2)="15"),LEFT(TH!O112,3)&lt;&gt;"111",'152-CT'!$J$8=TH!F112),"x","")</f>
        <v/>
      </c>
      <c r="AC112" s="75" t="str">
        <f>IF(AND(OR(LEFT(TH!N112,2)="15",LEFT(TH!O112,2)="15"),TK!$E$7=TH!F112),"x","")</f>
        <v/>
      </c>
      <c r="AD112" s="75" t="str">
        <f>IF(AND(N112="1521",MONTH(C112)='BK-NL'!$M$11),"x","")</f>
        <v/>
      </c>
    </row>
    <row r="113" spans="1:30" ht="16.5" customHeight="1">
      <c r="A113" s="309" t="str">
        <f>IF(B113&lt;&gt;"",IF(AND(B113='IN-TC'!$S$4,OR(TH!N113="1111",TH!O113="1111")),TH!D113,""),"")</f>
        <v/>
      </c>
      <c r="B113" s="1169">
        <f t="shared" si="15"/>
        <v>3</v>
      </c>
      <c r="C113" s="666">
        <v>42825</v>
      </c>
      <c r="D113" s="666" t="s">
        <v>530</v>
      </c>
      <c r="E113" s="666">
        <f t="shared" si="12"/>
        <v>42825</v>
      </c>
      <c r="F113" s="905" t="s">
        <v>727</v>
      </c>
      <c r="G113" s="250"/>
      <c r="H113" s="294"/>
      <c r="I113" s="373"/>
      <c r="J113" s="379"/>
      <c r="K113" s="373"/>
      <c r="L113" s="379"/>
      <c r="M113" s="670">
        <f>ROUND(G109*$G112,0)</f>
        <v>11780640</v>
      </c>
      <c r="N113" s="671" t="s">
        <v>272</v>
      </c>
      <c r="O113" s="671" t="s">
        <v>541</v>
      </c>
      <c r="P113" s="75" t="str">
        <f>IF(AND('331-CT'!$E$7=TH!H113,OR(N113="331",O113="331")),"x","")</f>
        <v/>
      </c>
      <c r="Q113" s="75" t="str">
        <f>IF(AND(B113='111'!$L$11,OR($N113=$Q$7,$O113=$Q$7)),"x","")</f>
        <v/>
      </c>
      <c r="R113" s="75" t="str">
        <f>IF(AND($N113=$Q$7,$B113&lt;'111'!$L$11),"x","")</f>
        <v/>
      </c>
      <c r="S113" s="75" t="str">
        <f>IF(AND($O113=$Q$7,$B113&lt;'111'!$L$11),"x","")</f>
        <v/>
      </c>
      <c r="T113" s="75" t="str">
        <f>IF(ISERROR(FIND('112'!$M$9,G113,1)),"",IF((AND(FIND('112'!$M$9,G113,1)&gt;=1,B113='112'!$K$9,OR($N113='112'!$I$6,$O113='112'!$I$6))),"x",""))</f>
        <v/>
      </c>
      <c r="U113" s="75" t="str">
        <f>IF(ISERROR(FIND('112'!$M$9,G113,1)),"",IF((AND(LEFT(G113,2)=LEFT('112'!$M$9,2),B113&lt;'112'!$K$9,$N113='112'!$I$6)),"x",""))</f>
        <v/>
      </c>
      <c r="V113" s="75" t="str">
        <f>IF(ISERROR(FIND('112'!$M$9,G113,1)),"",IF((AND(RIGHT(G113,2)=RIGHT('112'!$M$9,2),B113&lt;'112'!$K$9,$O113='112'!$I$6)),"x",""))</f>
        <v/>
      </c>
      <c r="W113" s="75" t="str">
        <f>IF(AND('341-CT'!$H$9=H113,OR(LEFT(N113,3)=$W$7,LEFT(O113,3)=$W$7)),"x","")</f>
        <v/>
      </c>
      <c r="X113" s="75" t="str">
        <f>IF(OR(TH!N113=TH!$X$7,O113=TH!$X$7),"x","")</f>
        <v/>
      </c>
      <c r="Y113" s="75" t="str">
        <f>IF(AND(OR(N113="131",O113="131"),H113='131-CT'!$H$9),"x","")</f>
        <v/>
      </c>
      <c r="Z113" s="75"/>
      <c r="AA113" s="75" t="str">
        <f>IF(AND(MONTH(E113)='IN-NX'!$J$5,'IN-NX'!$D$7=D113),"x","")</f>
        <v/>
      </c>
      <c r="AB113" s="75" t="str">
        <f>IF(AND(OR(LEFT(TH!N113,2)="15",LEFT(TH!O113,2)="15"),LEFT(TH!O113,3)&lt;&gt;"111",'152-CT'!$J$8=TH!F113),"x","")</f>
        <v/>
      </c>
      <c r="AC113" s="75" t="str">
        <f>IF(AND(OR(LEFT(TH!N113,2)="15",LEFT(TH!O113,2)="15"),TK!$E$7=TH!F113),"x","")</f>
        <v/>
      </c>
      <c r="AD113" s="75" t="str">
        <f>IF(AND(N113="1521",MONTH(C113)='BK-NL'!$M$11),"x","")</f>
        <v/>
      </c>
    </row>
    <row r="114" spans="1:30" ht="16.5" customHeight="1">
      <c r="A114" s="309" t="str">
        <f>IF(B114&lt;&gt;"",IF(AND(B114='IN-TC'!$S$4,OR(TH!N114="1111",TH!O114="1111")),TH!D114,""),"")</f>
        <v/>
      </c>
      <c r="B114" s="1169">
        <f t="shared" si="15"/>
        <v>3</v>
      </c>
      <c r="C114" s="666">
        <v>42825</v>
      </c>
      <c r="D114" s="666" t="s">
        <v>530</v>
      </c>
      <c r="E114" s="666">
        <f t="shared" si="12"/>
        <v>42825</v>
      </c>
      <c r="F114" s="905" t="s">
        <v>728</v>
      </c>
      <c r="G114" s="739" t="s">
        <v>533</v>
      </c>
      <c r="H114" s="296"/>
      <c r="I114" s="371"/>
      <c r="J114" s="377"/>
      <c r="K114" s="371"/>
      <c r="L114" s="377"/>
      <c r="M114" s="670">
        <f>ROUND(G108*$G114,0)</f>
        <v>695595</v>
      </c>
      <c r="N114" s="671" t="s">
        <v>540</v>
      </c>
      <c r="O114" s="671" t="s">
        <v>542</v>
      </c>
      <c r="P114" s="75" t="str">
        <f>IF(AND('331-CT'!$E$7=TH!H114,OR(N114="331",O114="331")),"x","")</f>
        <v/>
      </c>
      <c r="Q114" s="75" t="str">
        <f>IF(AND(B114='111'!$L$11,OR($N114=$Q$7,$O114=$Q$7)),"x","")</f>
        <v/>
      </c>
      <c r="R114" s="75" t="str">
        <f>IF(AND($N114=$Q$7,$B114&lt;'111'!$L$11),"x","")</f>
        <v/>
      </c>
      <c r="S114" s="75" t="str">
        <f>IF(AND($O114=$Q$7,$B114&lt;'111'!$L$11),"x","")</f>
        <v/>
      </c>
      <c r="T114" s="75" t="str">
        <f>IF(ISERROR(FIND('112'!$M$9,G114,1)),"",IF((AND(FIND('112'!$M$9,G114,1)&gt;=1,B114='112'!$K$9,OR($N114='112'!$I$6,$O114='112'!$I$6))),"x",""))</f>
        <v/>
      </c>
      <c r="U114" s="75" t="str">
        <f>IF(ISERROR(FIND('112'!$M$9,G114,1)),"",IF((AND(LEFT(G114,2)=LEFT('112'!$M$9,2),B114&lt;'112'!$K$9,$N114='112'!$I$6)),"x",""))</f>
        <v/>
      </c>
      <c r="V114" s="75" t="str">
        <f>IF(ISERROR(FIND('112'!$M$9,G114,1)),"",IF((AND(RIGHT(G114,2)=RIGHT('112'!$M$9,2),B114&lt;'112'!$K$9,$O114='112'!$I$6)),"x",""))</f>
        <v/>
      </c>
      <c r="W114" s="75" t="str">
        <f>IF(AND('341-CT'!$H$9=H114,OR(LEFT(N114,3)=$W$7,LEFT(O114,3)=$W$7)),"x","")</f>
        <v/>
      </c>
      <c r="X114" s="75" t="str">
        <f>IF(OR(TH!N114=TH!$X$7,O114=TH!$X$7),"x","")</f>
        <v/>
      </c>
      <c r="Y114" s="75" t="str">
        <f>IF(AND(OR(N114="131",O114="131"),H114='131-CT'!$H$9),"x","")</f>
        <v/>
      </c>
      <c r="Z114" s="75"/>
      <c r="AA114" s="75" t="str">
        <f>IF(AND(MONTH(E114)='IN-NX'!$J$5,'IN-NX'!$D$7=D114),"x","")</f>
        <v/>
      </c>
      <c r="AB114" s="75" t="str">
        <f>IF(AND(OR(LEFT(TH!N114,2)="15",LEFT(TH!O114,2)="15"),LEFT(TH!O114,3)&lt;&gt;"111",'152-CT'!$J$8=TH!F114),"x","")</f>
        <v/>
      </c>
      <c r="AC114" s="75" t="str">
        <f>IF(AND(OR(LEFT(TH!N114,2)="15",LEFT(TH!O114,2)="15"),TK!$E$7=TH!F114),"x","")</f>
        <v/>
      </c>
      <c r="AD114" s="75" t="str">
        <f>IF(AND(N114="1521",MONTH(C114)='BK-NL'!$M$11),"x","")</f>
        <v/>
      </c>
    </row>
    <row r="115" spans="1:30" ht="16.5" customHeight="1">
      <c r="A115" s="309" t="str">
        <f>IF(B115&lt;&gt;"",IF(AND(B115='IN-TC'!$S$4,OR(TH!N115="1111",TH!O115="1111")),TH!D115,""),"")</f>
        <v/>
      </c>
      <c r="B115" s="1169">
        <f t="shared" si="15"/>
        <v>3</v>
      </c>
      <c r="C115" s="666">
        <v>42825</v>
      </c>
      <c r="D115" s="666" t="s">
        <v>530</v>
      </c>
      <c r="E115" s="666">
        <f t="shared" si="12"/>
        <v>42825</v>
      </c>
      <c r="F115" s="905" t="s">
        <v>729</v>
      </c>
      <c r="G115" s="250"/>
      <c r="H115" s="296"/>
      <c r="I115" s="371"/>
      <c r="J115" s="377"/>
      <c r="K115" s="371"/>
      <c r="L115" s="377"/>
      <c r="M115" s="670">
        <f>ROUND(G109*$G114,0)</f>
        <v>981720</v>
      </c>
      <c r="N115" s="671" t="s">
        <v>540</v>
      </c>
      <c r="O115" s="671" t="s">
        <v>542</v>
      </c>
      <c r="P115" s="75" t="str">
        <f>IF(AND('331-CT'!$E$7=TH!H115,OR(N115="331",O115="331")),"x","")</f>
        <v/>
      </c>
      <c r="Q115" s="75" t="str">
        <f>IF(AND(B115='111'!$L$11,OR($N115=$Q$7,$O115=$Q$7)),"x","")</f>
        <v/>
      </c>
      <c r="R115" s="75" t="str">
        <f>IF(AND($N115=$Q$7,$B115&lt;'111'!$L$11),"x","")</f>
        <v/>
      </c>
      <c r="S115" s="75" t="str">
        <f>IF(AND($O115=$Q$7,$B115&lt;'111'!$L$11),"x","")</f>
        <v/>
      </c>
      <c r="T115" s="75" t="str">
        <f>IF(ISERROR(FIND('112'!$M$9,G115,1)),"",IF((AND(FIND('112'!$M$9,G115,1)&gt;=1,B115='112'!$K$9,OR($N115='112'!$I$6,$O115='112'!$I$6))),"x",""))</f>
        <v/>
      </c>
      <c r="U115" s="75" t="str">
        <f>IF(ISERROR(FIND('112'!$M$9,G115,1)),"",IF((AND(LEFT(G115,2)=LEFT('112'!$M$9,2),B115&lt;'112'!$K$9,$N115='112'!$I$6)),"x",""))</f>
        <v/>
      </c>
      <c r="V115" s="75" t="str">
        <f>IF(ISERROR(FIND('112'!$M$9,G115,1)),"",IF((AND(RIGHT(G115,2)=RIGHT('112'!$M$9,2),B115&lt;'112'!$K$9,$O115='112'!$I$6)),"x",""))</f>
        <v/>
      </c>
      <c r="W115" s="75" t="str">
        <f>IF(AND('341-CT'!$H$9=H115,OR(LEFT(N115,3)=$W$7,LEFT(O115,3)=$W$7)),"x","")</f>
        <v/>
      </c>
      <c r="X115" s="75" t="str">
        <f>IF(OR(TH!N115=TH!$X$7,O115=TH!$X$7),"x","")</f>
        <v/>
      </c>
      <c r="Y115" s="75" t="str">
        <f>IF(AND(OR(N115="131",O115="131"),H115='131-CT'!$H$9),"x","")</f>
        <v/>
      </c>
      <c r="Z115" s="75"/>
      <c r="AA115" s="75" t="str">
        <f>IF(AND(MONTH(E115)='IN-NX'!$J$5,'IN-NX'!$D$7=D115),"x","")</f>
        <v/>
      </c>
      <c r="AB115" s="75" t="str">
        <f>IF(AND(OR(LEFT(TH!N115,2)="15",LEFT(TH!O115,2)="15"),LEFT(TH!O115,3)&lt;&gt;"111",'152-CT'!$J$8=TH!F115),"x","")</f>
        <v/>
      </c>
      <c r="AC115" s="75" t="str">
        <f>IF(AND(OR(LEFT(TH!N115,2)="15",LEFT(TH!O115,2)="15"),TK!$E$7=TH!F115),"x","")</f>
        <v/>
      </c>
      <c r="AD115" s="75" t="str">
        <f>IF(AND(N115="1521",MONTH(C115)='BK-NL'!$M$11),"x","")</f>
        <v/>
      </c>
    </row>
    <row r="116" spans="1:30" ht="16.5" customHeight="1">
      <c r="A116" s="309" t="str">
        <f>IF(B116&lt;&gt;"",IF(AND(B116='IN-TC'!$S$4,OR(TH!N116="1111",TH!O116="1111")),TH!D116,""),"")</f>
        <v/>
      </c>
      <c r="B116" s="1169">
        <f t="shared" si="15"/>
        <v>3</v>
      </c>
      <c r="C116" s="666">
        <v>42825</v>
      </c>
      <c r="D116" s="666" t="s">
        <v>530</v>
      </c>
      <c r="E116" s="666">
        <f t="shared" si="12"/>
        <v>42825</v>
      </c>
      <c r="F116" s="905" t="s">
        <v>730</v>
      </c>
      <c r="G116" s="739" t="s">
        <v>534</v>
      </c>
      <c r="H116" s="294"/>
      <c r="I116" s="373"/>
      <c r="J116" s="379"/>
      <c r="K116" s="373"/>
      <c r="L116" s="379"/>
      <c r="M116" s="670">
        <f>ROUND(G108*$G116,0)</f>
        <v>1391190</v>
      </c>
      <c r="N116" s="671" t="s">
        <v>539</v>
      </c>
      <c r="O116" s="671" t="s">
        <v>542</v>
      </c>
      <c r="P116" s="75" t="str">
        <f>IF(AND('331-CT'!$E$7=TH!H116,OR(N116="331",O116="331")),"x","")</f>
        <v/>
      </c>
      <c r="Q116" s="75" t="str">
        <f>IF(AND(B116='111'!$L$11,OR($N116=$Q$7,$O116=$Q$7)),"x","")</f>
        <v/>
      </c>
      <c r="R116" s="75" t="str">
        <f>IF(AND($N116=$Q$7,$B116&lt;'111'!$L$11),"x","")</f>
        <v/>
      </c>
      <c r="S116" s="75" t="str">
        <f>IF(AND($O116=$Q$7,$B116&lt;'111'!$L$11),"x","")</f>
        <v/>
      </c>
      <c r="T116" s="75" t="str">
        <f>IF(ISERROR(FIND('112'!$M$9,G116,1)),"",IF((AND(FIND('112'!$M$9,G116,1)&gt;=1,B116='112'!$K$9,OR($N116='112'!$I$6,$O116='112'!$I$6))),"x",""))</f>
        <v/>
      </c>
      <c r="U116" s="75" t="str">
        <f>IF(ISERROR(FIND('112'!$M$9,G116,1)),"",IF((AND(LEFT(G116,2)=LEFT('112'!$M$9,2),B116&lt;'112'!$K$9,$N116='112'!$I$6)),"x",""))</f>
        <v/>
      </c>
      <c r="V116" s="75" t="str">
        <f>IF(ISERROR(FIND('112'!$M$9,G116,1)),"",IF((AND(RIGHT(G116,2)=RIGHT('112'!$M$9,2),B116&lt;'112'!$K$9,$O116='112'!$I$6)),"x",""))</f>
        <v/>
      </c>
      <c r="W116" s="75" t="str">
        <f>IF(AND('341-CT'!$H$9=H116,OR(LEFT(N116,3)=$W$7,LEFT(O116,3)=$W$7)),"x","")</f>
        <v/>
      </c>
      <c r="X116" s="75" t="str">
        <f>IF(OR(TH!N116=TH!$X$7,O116=TH!$X$7),"x","")</f>
        <v/>
      </c>
      <c r="Y116" s="75" t="str">
        <f>IF(AND(OR(N116="131",O116="131"),H116='131-CT'!$H$9),"x","")</f>
        <v/>
      </c>
      <c r="Z116" s="75"/>
      <c r="AA116" s="75" t="str">
        <f>IF(AND(MONTH(E116)='IN-NX'!$J$5,'IN-NX'!$D$7=D116),"x","")</f>
        <v/>
      </c>
      <c r="AB116" s="75" t="str">
        <f>IF(AND(OR(LEFT(TH!N116,2)="15",LEFT(TH!O116,2)="15"),LEFT(TH!O116,3)&lt;&gt;"111",'152-CT'!$J$8=TH!F116),"x","")</f>
        <v/>
      </c>
      <c r="AC116" s="75" t="str">
        <f>IF(AND(OR(LEFT(TH!N116,2)="15",LEFT(TH!O116,2)="15"),TK!$E$7=TH!F116),"x","")</f>
        <v/>
      </c>
      <c r="AD116" s="75" t="str">
        <f>IF(AND(N116="1521",MONTH(C116)='BK-NL'!$M$11),"x","")</f>
        <v/>
      </c>
    </row>
    <row r="117" spans="1:30" ht="16.5" customHeight="1">
      <c r="A117" s="309" t="str">
        <f>IF(B117&lt;&gt;"",IF(AND(B117='IN-TC'!$S$4,OR(TH!N117="1111",TH!O117="1111")),TH!D117,""),"")</f>
        <v/>
      </c>
      <c r="B117" s="1169">
        <f t="shared" si="15"/>
        <v>3</v>
      </c>
      <c r="C117" s="666">
        <v>42825</v>
      </c>
      <c r="D117" s="666" t="s">
        <v>530</v>
      </c>
      <c r="E117" s="666">
        <f t="shared" si="12"/>
        <v>42825</v>
      </c>
      <c r="F117" s="905" t="s">
        <v>731</v>
      </c>
      <c r="G117" s="250"/>
      <c r="H117" s="294"/>
      <c r="I117" s="373"/>
      <c r="J117" s="379"/>
      <c r="K117" s="373"/>
      <c r="L117" s="379"/>
      <c r="M117" s="670">
        <f>ROUND(G109*$G116,0)</f>
        <v>1963440</v>
      </c>
      <c r="N117" s="671" t="s">
        <v>272</v>
      </c>
      <c r="O117" s="671" t="s">
        <v>542</v>
      </c>
      <c r="P117" s="75" t="str">
        <f>IF(AND('331-CT'!$E$7=TH!H117,OR(N117="331",O117="331")),"x","")</f>
        <v/>
      </c>
      <c r="Q117" s="75" t="str">
        <f>IF(AND(B117='111'!$L$11,OR($N117=$Q$7,$O117=$Q$7)),"x","")</f>
        <v/>
      </c>
      <c r="R117" s="75" t="str">
        <f>IF(AND($N117=$Q$7,$B117&lt;'111'!$L$11),"x","")</f>
        <v/>
      </c>
      <c r="S117" s="75" t="str">
        <f>IF(AND($O117=$Q$7,$B117&lt;'111'!$L$11),"x","")</f>
        <v/>
      </c>
      <c r="T117" s="75" t="str">
        <f>IF(ISERROR(FIND('112'!$M$9,G117,1)),"",IF((AND(FIND('112'!$M$9,G117,1)&gt;=1,B117='112'!$K$9,OR($N117='112'!$I$6,$O117='112'!$I$6))),"x",""))</f>
        <v/>
      </c>
      <c r="U117" s="75" t="str">
        <f>IF(ISERROR(FIND('112'!$M$9,G117,1)),"",IF((AND(LEFT(G117,2)=LEFT('112'!$M$9,2),B117&lt;'112'!$K$9,$N117='112'!$I$6)),"x",""))</f>
        <v/>
      </c>
      <c r="V117" s="75" t="str">
        <f>IF(ISERROR(FIND('112'!$M$9,G117,1)),"",IF((AND(RIGHT(G117,2)=RIGHT('112'!$M$9,2),B117&lt;'112'!$K$9,$O117='112'!$I$6)),"x",""))</f>
        <v/>
      </c>
      <c r="W117" s="75" t="str">
        <f>IF(AND('341-CT'!$H$9=H117,OR(LEFT(N117,3)=$W$7,LEFT(O117,3)=$W$7)),"x","")</f>
        <v/>
      </c>
      <c r="X117" s="75" t="str">
        <f>IF(OR(TH!N117=TH!$X$7,O117=TH!$X$7),"x","")</f>
        <v/>
      </c>
      <c r="Y117" s="75" t="str">
        <f>IF(AND(OR(N117="131",O117="131"),H117='131-CT'!$H$9),"x","")</f>
        <v/>
      </c>
      <c r="Z117" s="75"/>
      <c r="AA117" s="75" t="str">
        <f>IF(AND(MONTH(E117)='IN-NX'!$J$5,'IN-NX'!$D$7=D117),"x","")</f>
        <v/>
      </c>
      <c r="AB117" s="75" t="str">
        <f>IF(AND(OR(LEFT(TH!N117,2)="15",LEFT(TH!O117,2)="15"),LEFT(TH!O117,3)&lt;&gt;"111",'152-CT'!$J$8=TH!F117),"x","")</f>
        <v/>
      </c>
      <c r="AC117" s="75" t="str">
        <f>IF(AND(OR(LEFT(TH!N117,2)="15",LEFT(TH!O117,2)="15"),TK!$E$7=TH!F117),"x","")</f>
        <v/>
      </c>
      <c r="AD117" s="75" t="str">
        <f>IF(AND(N117="1521",MONTH(C117)='BK-NL'!$M$11),"x","")</f>
        <v/>
      </c>
    </row>
    <row r="118" spans="1:30" ht="16.5" customHeight="1">
      <c r="A118" s="309" t="str">
        <f>IF(B118&lt;&gt;"",IF(AND(B118='IN-TC'!$S$4,OR(TH!N118="1111",TH!O118="1111")),TH!D118,""),"")</f>
        <v/>
      </c>
      <c r="B118" s="1169">
        <f t="shared" si="15"/>
        <v>3</v>
      </c>
      <c r="C118" s="666">
        <v>42825</v>
      </c>
      <c r="D118" s="666" t="s">
        <v>530</v>
      </c>
      <c r="E118" s="666">
        <f t="shared" si="12"/>
        <v>42825</v>
      </c>
      <c r="F118" s="905" t="s">
        <v>732</v>
      </c>
      <c r="G118" s="739" t="s">
        <v>535</v>
      </c>
      <c r="H118" s="294"/>
      <c r="I118" s="373"/>
      <c r="J118" s="379"/>
      <c r="K118" s="373"/>
      <c r="L118" s="379"/>
      <c r="M118" s="670">
        <f>ROUND(G108*$G118,0)</f>
        <v>463730</v>
      </c>
      <c r="N118" s="671" t="s">
        <v>540</v>
      </c>
      <c r="O118" s="671" t="s">
        <v>543</v>
      </c>
      <c r="P118" s="75" t="str">
        <f>IF(AND('331-CT'!$E$7=TH!H118,OR(N118="331",O118="331")),"x","")</f>
        <v/>
      </c>
      <c r="Q118" s="75" t="str">
        <f>IF(AND(B118='111'!$L$11,OR($N118=$Q$7,$O118=$Q$7)),"x","")</f>
        <v/>
      </c>
      <c r="R118" s="75" t="str">
        <f>IF(AND($N118=$Q$7,$B118&lt;'111'!$L$11),"x","")</f>
        <v/>
      </c>
      <c r="S118" s="75" t="str">
        <f>IF(AND($O118=$Q$7,$B118&lt;'111'!$L$11),"x","")</f>
        <v/>
      </c>
      <c r="T118" s="75" t="str">
        <f>IF(ISERROR(FIND('112'!$M$9,G118,1)),"",IF((AND(FIND('112'!$M$9,G118,1)&gt;=1,B118='112'!$K$9,OR($N118='112'!$I$6,$O118='112'!$I$6))),"x",""))</f>
        <v/>
      </c>
      <c r="U118" s="75" t="str">
        <f>IF(ISERROR(FIND('112'!$M$9,G118,1)),"",IF((AND(LEFT(G118,2)=LEFT('112'!$M$9,2),B118&lt;'112'!$K$9,$N118='112'!$I$6)),"x",""))</f>
        <v/>
      </c>
      <c r="V118" s="75" t="str">
        <f>IF(ISERROR(FIND('112'!$M$9,G118,1)),"",IF((AND(RIGHT(G118,2)=RIGHT('112'!$M$9,2),B118&lt;'112'!$K$9,$O118='112'!$I$6)),"x",""))</f>
        <v/>
      </c>
      <c r="W118" s="75" t="str">
        <f>IF(AND('341-CT'!$H$9=H118,OR(LEFT(N118,3)=$W$7,LEFT(O118,3)=$W$7)),"x","")</f>
        <v/>
      </c>
      <c r="X118" s="75" t="str">
        <f>IF(OR(TH!N118=TH!$X$7,O118=TH!$X$7),"x","")</f>
        <v/>
      </c>
      <c r="Y118" s="75" t="str">
        <f>IF(AND(OR(N118="131",O118="131"),H118='131-CT'!$H$9),"x","")</f>
        <v/>
      </c>
      <c r="Z118" s="75"/>
      <c r="AA118" s="75" t="str">
        <f>IF(AND(MONTH(E118)='IN-NX'!$J$5,'IN-NX'!$D$7=D118),"x","")</f>
        <v/>
      </c>
      <c r="AB118" s="75" t="str">
        <f>IF(AND(OR(LEFT(TH!N118,2)="15",LEFT(TH!O118,2)="15"),LEFT(TH!O118,3)&lt;&gt;"111",'152-CT'!$J$8=TH!F118),"x","")</f>
        <v/>
      </c>
      <c r="AC118" s="75" t="str">
        <f>IF(AND(OR(LEFT(TH!N118,2)="15",LEFT(TH!O118,2)="15"),TK!$E$7=TH!F118),"x","")</f>
        <v/>
      </c>
      <c r="AD118" s="75" t="str">
        <f>IF(AND(N118="1521",MONTH(C118)='BK-NL'!$M$11),"x","")</f>
        <v/>
      </c>
    </row>
    <row r="119" spans="1:30" ht="16.5" customHeight="1">
      <c r="A119" s="309" t="str">
        <f>IF(B119&lt;&gt;"",IF(AND(B119='IN-TC'!$S$4,OR(TH!N119="1111",TH!O119="1111")),TH!D119,""),"")</f>
        <v/>
      </c>
      <c r="B119" s="1169">
        <f t="shared" si="15"/>
        <v>3</v>
      </c>
      <c r="C119" s="666">
        <v>42825</v>
      </c>
      <c r="D119" s="666" t="s">
        <v>530</v>
      </c>
      <c r="E119" s="666">
        <f t="shared" si="12"/>
        <v>42825</v>
      </c>
      <c r="F119" s="905" t="s">
        <v>733</v>
      </c>
      <c r="G119" s="250"/>
      <c r="H119" s="294"/>
      <c r="I119" s="373"/>
      <c r="J119" s="379"/>
      <c r="K119" s="373"/>
      <c r="L119" s="379"/>
      <c r="M119" s="670">
        <f>ROUND(G109*$G118,0)</f>
        <v>654480</v>
      </c>
      <c r="N119" s="671" t="s">
        <v>540</v>
      </c>
      <c r="O119" s="671" t="s">
        <v>543</v>
      </c>
      <c r="P119" s="75" t="str">
        <f>IF(AND('331-CT'!$E$7=TH!H119,OR(N119="331",O119="331")),"x","")</f>
        <v/>
      </c>
      <c r="Q119" s="75" t="str">
        <f>IF(AND(B119='111'!$L$11,OR($N119=$Q$7,$O119=$Q$7)),"x","")</f>
        <v/>
      </c>
      <c r="R119" s="75" t="str">
        <f>IF(AND($N119=$Q$7,$B119&lt;'111'!$L$11),"x","")</f>
        <v/>
      </c>
      <c r="S119" s="75" t="str">
        <f>IF(AND($O119=$Q$7,$B119&lt;'111'!$L$11),"x","")</f>
        <v/>
      </c>
      <c r="T119" s="75" t="str">
        <f>IF(ISERROR(FIND('112'!$M$9,G119,1)),"",IF((AND(FIND('112'!$M$9,G119,1)&gt;=1,B119='112'!$K$9,OR($N119='112'!$I$6,$O119='112'!$I$6))),"x",""))</f>
        <v/>
      </c>
      <c r="U119" s="75" t="str">
        <f>IF(ISERROR(FIND('112'!$M$9,G119,1)),"",IF((AND(LEFT(G119,2)=LEFT('112'!$M$9,2),B119&lt;'112'!$K$9,$N119='112'!$I$6)),"x",""))</f>
        <v/>
      </c>
      <c r="V119" s="75" t="str">
        <f>IF(ISERROR(FIND('112'!$M$9,G119,1)),"",IF((AND(RIGHT(G119,2)=RIGHT('112'!$M$9,2),B119&lt;'112'!$K$9,$O119='112'!$I$6)),"x",""))</f>
        <v/>
      </c>
      <c r="W119" s="75" t="str">
        <f>IF(AND('341-CT'!$H$9=H119,OR(LEFT(N119,3)=$W$7,LEFT(O119,3)=$W$7)),"x","")</f>
        <v/>
      </c>
      <c r="X119" s="75" t="str">
        <f>IF(OR(TH!N119=TH!$X$7,O119=TH!$X$7),"x","")</f>
        <v/>
      </c>
      <c r="Y119" s="75" t="str">
        <f>IF(AND(OR(N119="131",O119="131"),H119='131-CT'!$H$9),"x","")</f>
        <v/>
      </c>
      <c r="Z119" s="75"/>
      <c r="AA119" s="75" t="str">
        <f>IF(AND(MONTH(E119)='IN-NX'!$J$5,'IN-NX'!$D$7=D119),"x","")</f>
        <v/>
      </c>
      <c r="AB119" s="75" t="str">
        <f>IF(AND(OR(LEFT(TH!N119,2)="15",LEFT(TH!O119,2)="15"),LEFT(TH!O119,3)&lt;&gt;"111",'152-CT'!$J$8=TH!F119),"x","")</f>
        <v/>
      </c>
      <c r="AC119" s="75" t="str">
        <f>IF(AND(OR(LEFT(TH!N119,2)="15",LEFT(TH!O119,2)="15"),TK!$E$7=TH!F119),"x","")</f>
        <v/>
      </c>
      <c r="AD119" s="75" t="str">
        <f>IF(AND(N119="1521",MONTH(C119)='BK-NL'!$M$11),"x","")</f>
        <v/>
      </c>
    </row>
    <row r="120" spans="1:30" ht="16.5" customHeight="1">
      <c r="A120" s="309" t="str">
        <f>IF(B120&lt;&gt;"",IF(AND(B120='IN-TC'!$S$4,OR(TH!N120="1111",TH!O120="1111")),TH!D120,""),"")</f>
        <v/>
      </c>
      <c r="B120" s="1169">
        <f t="shared" si="15"/>
        <v>3</v>
      </c>
      <c r="C120" s="666">
        <v>42825</v>
      </c>
      <c r="D120" s="666" t="s">
        <v>530</v>
      </c>
      <c r="E120" s="666">
        <f t="shared" ref="E120:E158" si="18">C120</f>
        <v>42825</v>
      </c>
      <c r="F120" s="905" t="s">
        <v>734</v>
      </c>
      <c r="G120" s="739" t="s">
        <v>535</v>
      </c>
      <c r="H120" s="871"/>
      <c r="I120" s="374"/>
      <c r="J120" s="380"/>
      <c r="K120" s="374"/>
      <c r="L120" s="380"/>
      <c r="M120" s="670">
        <f>M118</f>
        <v>463730</v>
      </c>
      <c r="N120" s="671" t="s">
        <v>539</v>
      </c>
      <c r="O120" s="671" t="s">
        <v>543</v>
      </c>
      <c r="P120" s="75" t="str">
        <f>IF(AND('331-CT'!$E$7=TH!H120,OR(N120="331",O120="331")),"x","")</f>
        <v/>
      </c>
      <c r="Q120" s="75" t="str">
        <f>IF(AND(B120='111'!$L$11,OR($N120=$Q$7,$O120=$Q$7)),"x","")</f>
        <v/>
      </c>
      <c r="R120" s="75" t="str">
        <f>IF(AND($N120=$Q$7,$B120&lt;'111'!$L$11),"x","")</f>
        <v/>
      </c>
      <c r="S120" s="75" t="str">
        <f>IF(AND($O120=$Q$7,$B120&lt;'111'!$L$11),"x","")</f>
        <v/>
      </c>
      <c r="T120" s="75" t="str">
        <f>IF(ISERROR(FIND('112'!$M$9,G120,1)),"",IF((AND(FIND('112'!$M$9,G120,1)&gt;=1,B120='112'!$K$9,OR($N120='112'!$I$6,$O120='112'!$I$6))),"x",""))</f>
        <v/>
      </c>
      <c r="U120" s="75" t="str">
        <f>IF(ISERROR(FIND('112'!$M$9,G120,1)),"",IF((AND(LEFT(G120,2)=LEFT('112'!$M$9,2),B120&lt;'112'!$K$9,$N120='112'!$I$6)),"x",""))</f>
        <v/>
      </c>
      <c r="V120" s="75" t="str">
        <f>IF(ISERROR(FIND('112'!$M$9,G120,1)),"",IF((AND(RIGHT(G120,2)=RIGHT('112'!$M$9,2),B120&lt;'112'!$K$9,$O120='112'!$I$6)),"x",""))</f>
        <v/>
      </c>
      <c r="W120" s="75" t="str">
        <f>IF(AND('341-CT'!$H$9=H120,OR(LEFT(N120,3)=$W$7,LEFT(O120,3)=$W$7)),"x","")</f>
        <v/>
      </c>
      <c r="X120" s="75" t="str">
        <f>IF(OR(TH!N120=TH!$X$7,O120=TH!$X$7),"x","")</f>
        <v/>
      </c>
      <c r="Y120" s="75" t="str">
        <f>IF(AND(OR(N120="131",O120="131"),H120='131-CT'!$H$9),"x","")</f>
        <v/>
      </c>
      <c r="Z120" s="75"/>
      <c r="AA120" s="75" t="str">
        <f>IF(AND(MONTH(E120)='IN-NX'!$J$5,'IN-NX'!$D$7=D120),"x","")</f>
        <v/>
      </c>
      <c r="AB120" s="75" t="str">
        <f>IF(AND(OR(LEFT(TH!N120,2)="15",LEFT(TH!O120,2)="15"),LEFT(TH!O120,3)&lt;&gt;"111",'152-CT'!$J$8=TH!F120),"x","")</f>
        <v/>
      </c>
      <c r="AC120" s="75" t="str">
        <f>IF(AND(OR(LEFT(TH!N120,2)="15",LEFT(TH!O120,2)="15"),TK!$E$7=TH!F120),"x","")</f>
        <v/>
      </c>
      <c r="AD120" s="75" t="str">
        <f>IF(AND(N120="1521",MONTH(C120)='BK-NL'!$M$11),"x","")</f>
        <v/>
      </c>
    </row>
    <row r="121" spans="1:30" ht="16.5" customHeight="1">
      <c r="A121" s="309" t="str">
        <f>IF(B121&lt;&gt;"",IF(AND(B121='IN-TC'!$S$4,OR(TH!N121="1111",TH!O121="1111")),TH!D121,""),"")</f>
        <v/>
      </c>
      <c r="B121" s="1169">
        <f t="shared" si="15"/>
        <v>3</v>
      </c>
      <c r="C121" s="666">
        <v>42825</v>
      </c>
      <c r="D121" s="666" t="s">
        <v>530</v>
      </c>
      <c r="E121" s="666">
        <f t="shared" si="18"/>
        <v>42825</v>
      </c>
      <c r="F121" s="905" t="s">
        <v>735</v>
      </c>
      <c r="G121" s="250"/>
      <c r="H121" s="294"/>
      <c r="I121" s="373"/>
      <c r="J121" s="379"/>
      <c r="K121" s="373"/>
      <c r="L121" s="379"/>
      <c r="M121" s="670">
        <f>M119</f>
        <v>654480</v>
      </c>
      <c r="N121" s="671" t="s">
        <v>272</v>
      </c>
      <c r="O121" s="671" t="s">
        <v>543</v>
      </c>
      <c r="P121" s="75" t="str">
        <f>IF(AND('331-CT'!$E$7=TH!H121,OR(N121="331",O121="331")),"x","")</f>
        <v/>
      </c>
      <c r="Q121" s="75" t="str">
        <f>IF(AND(B121='111'!$L$11,OR($N121=$Q$7,$O121=$Q$7)),"x","")</f>
        <v/>
      </c>
      <c r="R121" s="75" t="str">
        <f>IF(AND($N121=$Q$7,$B121&lt;'111'!$L$11),"x","")</f>
        <v/>
      </c>
      <c r="S121" s="75" t="str">
        <f>IF(AND($O121=$Q$7,$B121&lt;'111'!$L$11),"x","")</f>
        <v/>
      </c>
      <c r="T121" s="75" t="str">
        <f>IF(ISERROR(FIND('112'!$M$9,G121,1)),"",IF((AND(FIND('112'!$M$9,G121,1)&gt;=1,B121='112'!$K$9,OR($N121='112'!$I$6,$O121='112'!$I$6))),"x",""))</f>
        <v/>
      </c>
      <c r="U121" s="75" t="str">
        <f>IF(ISERROR(FIND('112'!$M$9,G121,1)),"",IF((AND(LEFT(G121,2)=LEFT('112'!$M$9,2),B121&lt;'112'!$K$9,$N121='112'!$I$6)),"x",""))</f>
        <v/>
      </c>
      <c r="V121" s="75" t="str">
        <f>IF(ISERROR(FIND('112'!$M$9,G121,1)),"",IF((AND(RIGHT(G121,2)=RIGHT('112'!$M$9,2),B121&lt;'112'!$K$9,$O121='112'!$I$6)),"x",""))</f>
        <v/>
      </c>
      <c r="W121" s="75" t="str">
        <f>IF(AND('341-CT'!$H$9=H121,OR(LEFT(N121,3)=$W$7,LEFT(O121,3)=$W$7)),"x","")</f>
        <v/>
      </c>
      <c r="X121" s="75" t="str">
        <f>IF(OR(TH!N121=TH!$X$7,O121=TH!$X$7),"x","")</f>
        <v/>
      </c>
      <c r="Y121" s="75" t="str">
        <f>IF(AND(OR(N121="131",O121="131"),H121='131-CT'!$H$9),"x","")</f>
        <v/>
      </c>
      <c r="Z121" s="75"/>
      <c r="AA121" s="75" t="str">
        <f>IF(AND(MONTH(E121)='IN-NX'!$J$5,'IN-NX'!$D$7=D121),"x","")</f>
        <v/>
      </c>
      <c r="AB121" s="75" t="str">
        <f>IF(AND(OR(LEFT(TH!N121,2)="15",LEFT(TH!O121,2)="15"),LEFT(TH!O121,3)&lt;&gt;"111",'152-CT'!$J$8=TH!F121),"x","")</f>
        <v/>
      </c>
      <c r="AC121" s="75" t="str">
        <f>IF(AND(OR(LEFT(TH!N121,2)="15",LEFT(TH!O121,2)="15"),TK!$E$7=TH!F121),"x","")</f>
        <v/>
      </c>
      <c r="AD121" s="75" t="str">
        <f>IF(AND(N121="1521",MONTH(C121)='BK-NL'!$M$11),"x","")</f>
        <v/>
      </c>
    </row>
    <row r="122" spans="1:30" ht="16.5" customHeight="1">
      <c r="A122" s="309" t="str">
        <f>IF(B122&lt;&gt;"",IF(AND(B122='IN-TC'!$S$4,OR(TH!N122="1111",TH!O122="1111")),TH!D122,""),"")</f>
        <v/>
      </c>
      <c r="B122" s="1169">
        <f t="shared" ref="B122:B124" si="19">IF(C122&lt;&gt;"",MONTH(C122),"")</f>
        <v>3</v>
      </c>
      <c r="C122" s="666">
        <v>42825</v>
      </c>
      <c r="D122" s="666" t="s">
        <v>530</v>
      </c>
      <c r="E122" s="666">
        <f t="shared" ref="E122:E124" si="20">C122</f>
        <v>42825</v>
      </c>
      <c r="F122" s="905" t="s">
        <v>2672</v>
      </c>
      <c r="G122" s="250"/>
      <c r="H122" s="294"/>
      <c r="I122" s="373"/>
      <c r="J122" s="379"/>
      <c r="K122" s="373"/>
      <c r="L122" s="379"/>
      <c r="M122" s="670">
        <v>1601398</v>
      </c>
      <c r="N122" s="671" t="s">
        <v>105</v>
      </c>
      <c r="O122" s="671" t="s">
        <v>541</v>
      </c>
      <c r="P122" s="75" t="str">
        <f>IF(AND('331-CT'!$E$7=TH!H122,OR(N122="331",O122="331")),"x","")</f>
        <v/>
      </c>
      <c r="Q122" s="75" t="str">
        <f>IF(AND(B122='111'!$L$11,OR($N122=$Q$7,$O122=$Q$7)),"x","")</f>
        <v/>
      </c>
      <c r="R122" s="75" t="str">
        <f>IF(AND($N122=$Q$7,$B122&lt;'111'!$L$11),"x","")</f>
        <v/>
      </c>
      <c r="S122" s="75" t="str">
        <f>IF(AND($O122=$Q$7,$B122&lt;'111'!$L$11),"x","")</f>
        <v/>
      </c>
      <c r="T122" s="75" t="str">
        <f>IF(ISERROR(FIND('112'!$M$9,G122,1)),"",IF((AND(FIND('112'!$M$9,G122,1)&gt;=1,B122='112'!$K$9,OR($N122='112'!$I$6,$O122='112'!$I$6))),"x",""))</f>
        <v/>
      </c>
      <c r="U122" s="75" t="str">
        <f>IF(ISERROR(FIND('112'!$M$9,G122,1)),"",IF((AND(LEFT(G122,2)=LEFT('112'!$M$9,2),B122&lt;'112'!$K$9,$N122='112'!$I$6)),"x",""))</f>
        <v/>
      </c>
      <c r="V122" s="75" t="str">
        <f>IF(ISERROR(FIND('112'!$M$9,G122,1)),"",IF((AND(RIGHT(G122,2)=RIGHT('112'!$M$9,2),B122&lt;'112'!$K$9,$O122='112'!$I$6)),"x",""))</f>
        <v/>
      </c>
      <c r="W122" s="75" t="str">
        <f>IF(AND('341-CT'!$H$9=H122,OR(LEFT(N122,3)=$W$7,LEFT(O122,3)=$W$7)),"x","")</f>
        <v/>
      </c>
      <c r="X122" s="75" t="str">
        <f>IF(OR(TH!N122=TH!$X$7,O122=TH!$X$7),"x","")</f>
        <v/>
      </c>
      <c r="Y122" s="75" t="str">
        <f>IF(AND(OR(N122="131",O122="131"),H122='131-CT'!$H$9),"x","")</f>
        <v/>
      </c>
      <c r="Z122" s="75"/>
      <c r="AA122" s="75" t="str">
        <f>IF(AND(MONTH(E122)='IN-NX'!$J$5,'IN-NX'!$D$7=D122),"x","")</f>
        <v/>
      </c>
      <c r="AB122" s="75" t="str">
        <f>IF(AND(OR(LEFT(TH!N122,2)="15",LEFT(TH!O122,2)="15"),LEFT(TH!O122,3)&lt;&gt;"111",'152-CT'!$J$8=TH!F122),"x","")</f>
        <v/>
      </c>
      <c r="AC122" s="75" t="str">
        <f>IF(AND(OR(LEFT(TH!N122,2)="15",LEFT(TH!O122,2)="15"),TK!$E$7=TH!F122),"x","")</f>
        <v/>
      </c>
      <c r="AD122" s="75" t="str">
        <f>IF(AND(N122="1521",MONTH(C122)='BK-NL'!$M$11),"x","")</f>
        <v/>
      </c>
    </row>
    <row r="123" spans="1:30" ht="16.5" customHeight="1">
      <c r="A123" s="309" t="str">
        <f>IF(B123&lt;&gt;"",IF(AND(B123='IN-TC'!$S$4,OR(TH!N123="1111",TH!O123="1111")),TH!D123,""),"")</f>
        <v/>
      </c>
      <c r="B123" s="1169">
        <f t="shared" si="19"/>
        <v>3</v>
      </c>
      <c r="C123" s="666">
        <v>42825</v>
      </c>
      <c r="D123" s="666" t="s">
        <v>530</v>
      </c>
      <c r="E123" s="666">
        <f t="shared" si="20"/>
        <v>42825</v>
      </c>
      <c r="F123" s="905" t="s">
        <v>2672</v>
      </c>
      <c r="G123" s="250"/>
      <c r="H123" s="294"/>
      <c r="I123" s="373"/>
      <c r="J123" s="379"/>
      <c r="K123" s="373"/>
      <c r="L123" s="379"/>
      <c r="M123" s="670">
        <v>43199</v>
      </c>
      <c r="N123" s="671" t="s">
        <v>105</v>
      </c>
      <c r="O123" s="671" t="s">
        <v>542</v>
      </c>
      <c r="P123" s="75" t="str">
        <f>IF(AND('331-CT'!$E$7=TH!H123,OR(N123="331",O123="331")),"x","")</f>
        <v/>
      </c>
      <c r="Q123" s="75" t="str">
        <f>IF(AND(B123='111'!$L$11,OR($N123=$Q$7,$O123=$Q$7)),"x","")</f>
        <v/>
      </c>
      <c r="R123" s="75" t="str">
        <f>IF(AND($N123=$Q$7,$B123&lt;'111'!$L$11),"x","")</f>
        <v/>
      </c>
      <c r="S123" s="75" t="str">
        <f>IF(AND($O123=$Q$7,$B123&lt;'111'!$L$11),"x","")</f>
        <v/>
      </c>
      <c r="T123" s="75" t="str">
        <f>IF(ISERROR(FIND('112'!$M$9,G123,1)),"",IF((AND(FIND('112'!$M$9,G123,1)&gt;=1,B123='112'!$K$9,OR($N123='112'!$I$6,$O123='112'!$I$6))),"x",""))</f>
        <v/>
      </c>
      <c r="U123" s="75" t="str">
        <f>IF(ISERROR(FIND('112'!$M$9,G123,1)),"",IF((AND(LEFT(G123,2)=LEFT('112'!$M$9,2),B123&lt;'112'!$K$9,$N123='112'!$I$6)),"x",""))</f>
        <v/>
      </c>
      <c r="V123" s="75" t="str">
        <f>IF(ISERROR(FIND('112'!$M$9,G123,1)),"",IF((AND(RIGHT(G123,2)=RIGHT('112'!$M$9,2),B123&lt;'112'!$K$9,$O123='112'!$I$6)),"x",""))</f>
        <v/>
      </c>
      <c r="W123" s="75" t="str">
        <f>IF(AND('341-CT'!$H$9=H123,OR(LEFT(N123,3)=$W$7,LEFT(O123,3)=$W$7)),"x","")</f>
        <v/>
      </c>
      <c r="X123" s="75" t="str">
        <f>IF(OR(TH!N123=TH!$X$7,O123=TH!$X$7),"x","")</f>
        <v/>
      </c>
      <c r="Y123" s="75" t="str">
        <f>IF(AND(OR(N123="131",O123="131"),H123='131-CT'!$H$9),"x","")</f>
        <v/>
      </c>
      <c r="Z123" s="75"/>
      <c r="AA123" s="75" t="str">
        <f>IF(AND(MONTH(E123)='IN-NX'!$J$5,'IN-NX'!$D$7=D123),"x","")</f>
        <v/>
      </c>
      <c r="AB123" s="75" t="str">
        <f>IF(AND(OR(LEFT(TH!N123,2)="15",LEFT(TH!O123,2)="15"),LEFT(TH!O123,3)&lt;&gt;"111",'152-CT'!$J$8=TH!F123),"x","")</f>
        <v/>
      </c>
      <c r="AC123" s="75" t="str">
        <f>IF(AND(OR(LEFT(TH!N123,2)="15",LEFT(TH!O123,2)="15"),TK!$E$7=TH!F123),"x","")</f>
        <v/>
      </c>
      <c r="AD123" s="75" t="str">
        <f>IF(AND(N123="1521",MONTH(C123)='BK-NL'!$M$11),"x","")</f>
        <v/>
      </c>
    </row>
    <row r="124" spans="1:30" ht="16.5" customHeight="1">
      <c r="A124" s="309" t="str">
        <f>IF(B124&lt;&gt;"",IF(AND(B124='IN-TC'!$S$4,OR(TH!N124="1111",TH!O124="1111")),TH!D124,""),"")</f>
        <v/>
      </c>
      <c r="B124" s="1169">
        <f t="shared" si="19"/>
        <v>3</v>
      </c>
      <c r="C124" s="666">
        <v>42825</v>
      </c>
      <c r="D124" s="666" t="s">
        <v>530</v>
      </c>
      <c r="E124" s="666">
        <f t="shared" si="20"/>
        <v>42825</v>
      </c>
      <c r="F124" s="905" t="s">
        <v>2672</v>
      </c>
      <c r="G124" s="250"/>
      <c r="H124" s="294"/>
      <c r="I124" s="373"/>
      <c r="J124" s="379"/>
      <c r="K124" s="373"/>
      <c r="L124" s="379"/>
      <c r="M124" s="670">
        <v>26152</v>
      </c>
      <c r="N124" s="671" t="s">
        <v>105</v>
      </c>
      <c r="O124" s="671" t="s">
        <v>543</v>
      </c>
      <c r="P124" s="75" t="str">
        <f>IF(AND('331-CT'!$E$7=TH!H124,OR(N124="331",O124="331")),"x","")</f>
        <v/>
      </c>
      <c r="Q124" s="75" t="str">
        <f>IF(AND(B124='111'!$L$11,OR($N124=$Q$7,$O124=$Q$7)),"x","")</f>
        <v/>
      </c>
      <c r="R124" s="75" t="str">
        <f>IF(AND($N124=$Q$7,$B124&lt;'111'!$L$11),"x","")</f>
        <v/>
      </c>
      <c r="S124" s="75" t="str">
        <f>IF(AND($O124=$Q$7,$B124&lt;'111'!$L$11),"x","")</f>
        <v/>
      </c>
      <c r="T124" s="75" t="str">
        <f>IF(ISERROR(FIND('112'!$M$9,G124,1)),"",IF((AND(FIND('112'!$M$9,G124,1)&gt;=1,B124='112'!$K$9,OR($N124='112'!$I$6,$O124='112'!$I$6))),"x",""))</f>
        <v/>
      </c>
      <c r="U124" s="75" t="str">
        <f>IF(ISERROR(FIND('112'!$M$9,G124,1)),"",IF((AND(LEFT(G124,2)=LEFT('112'!$M$9,2),B124&lt;'112'!$K$9,$N124='112'!$I$6)),"x",""))</f>
        <v/>
      </c>
      <c r="V124" s="75" t="str">
        <f>IF(ISERROR(FIND('112'!$M$9,G124,1)),"",IF((AND(RIGHT(G124,2)=RIGHT('112'!$M$9,2),B124&lt;'112'!$K$9,$O124='112'!$I$6)),"x",""))</f>
        <v/>
      </c>
      <c r="W124" s="75" t="str">
        <f>IF(AND('341-CT'!$H$9=H124,OR(LEFT(N124,3)=$W$7,LEFT(O124,3)=$W$7)),"x","")</f>
        <v/>
      </c>
      <c r="X124" s="75" t="str">
        <f>IF(OR(TH!N124=TH!$X$7,O124=TH!$X$7),"x","")</f>
        <v/>
      </c>
      <c r="Y124" s="75" t="str">
        <f>IF(AND(OR(N124="131",O124="131"),H124='131-CT'!$H$9),"x","")</f>
        <v/>
      </c>
      <c r="Z124" s="75"/>
      <c r="AA124" s="75" t="str">
        <f>IF(AND(MONTH(E124)='IN-NX'!$J$5,'IN-NX'!$D$7=D124),"x","")</f>
        <v/>
      </c>
      <c r="AB124" s="75" t="str">
        <f>IF(AND(OR(LEFT(TH!N124,2)="15",LEFT(TH!O124,2)="15"),LEFT(TH!O124,3)&lt;&gt;"111",'152-CT'!$J$8=TH!F124),"x","")</f>
        <v/>
      </c>
      <c r="AC124" s="75" t="str">
        <f>IF(AND(OR(LEFT(TH!N124,2)="15",LEFT(TH!O124,2)="15"),TK!$E$7=TH!F124),"x","")</f>
        <v/>
      </c>
      <c r="AD124" s="75" t="str">
        <f>IF(AND(N124="1521",MONTH(C124)='BK-NL'!$M$11),"x","")</f>
        <v/>
      </c>
    </row>
    <row r="125" spans="1:30" ht="16.5" customHeight="1">
      <c r="A125" s="309" t="str">
        <f>IF(B125&lt;&gt;"",IF(AND(B125='IN-TC'!$S$4,OR(TH!N125="1111",TH!O125="1111")),TH!D125,""),"")</f>
        <v/>
      </c>
      <c r="B125" s="1241">
        <f t="shared" si="15"/>
        <v>4</v>
      </c>
      <c r="C125" s="666">
        <v>42854</v>
      </c>
      <c r="D125" s="666" t="s">
        <v>530</v>
      </c>
      <c r="E125" s="666">
        <f t="shared" si="18"/>
        <v>42854</v>
      </c>
      <c r="F125" s="905" t="s">
        <v>722</v>
      </c>
      <c r="G125" s="250">
        <v>46373000</v>
      </c>
      <c r="H125" s="294"/>
      <c r="I125" s="373"/>
      <c r="J125" s="379"/>
      <c r="K125" s="373"/>
      <c r="L125" s="379"/>
      <c r="M125" s="670">
        <v>47530870</v>
      </c>
      <c r="N125" s="671" t="s">
        <v>539</v>
      </c>
      <c r="O125" s="671" t="s">
        <v>540</v>
      </c>
      <c r="P125" s="75" t="str">
        <f>IF(AND('331-CT'!$E$7=TH!H125,OR(N125="331",O125="331")),"x","")</f>
        <v/>
      </c>
      <c r="Q125" s="75" t="str">
        <f>IF(AND(B125='111'!$L$11,OR($N125=$Q$7,$O125=$Q$7)),"x","")</f>
        <v/>
      </c>
      <c r="R125" s="75" t="str">
        <f>IF(AND($N125=$Q$7,$B125&lt;'111'!$L$11),"x","")</f>
        <v/>
      </c>
      <c r="S125" s="75" t="str">
        <f>IF(AND($O125=$Q$7,$B125&lt;'111'!$L$11),"x","")</f>
        <v/>
      </c>
      <c r="T125" s="75" t="str">
        <f>IF(ISERROR(FIND('112'!$M$9,G125,1)),"",IF((AND(FIND('112'!$M$9,G125,1)&gt;=1,B125='112'!$K$9,OR($N125='112'!$I$6,$O125='112'!$I$6))),"x",""))</f>
        <v/>
      </c>
      <c r="U125" s="75" t="str">
        <f>IF(ISERROR(FIND('112'!$M$9,G125,1)),"",IF((AND(LEFT(G125,2)=LEFT('112'!$M$9,2),B125&lt;'112'!$K$9,$N125='112'!$I$6)),"x",""))</f>
        <v/>
      </c>
      <c r="V125" s="75" t="str">
        <f>IF(ISERROR(FIND('112'!$M$9,G125,1)),"",IF((AND(RIGHT(G125,2)=RIGHT('112'!$M$9,2),B125&lt;'112'!$K$9,$O125='112'!$I$6)),"x",""))</f>
        <v/>
      </c>
      <c r="W125" s="75" t="str">
        <f>IF(AND('341-CT'!$H$9=H125,OR(LEFT(N125,3)=$W$7,LEFT(O125,3)=$W$7)),"x","")</f>
        <v/>
      </c>
      <c r="X125" s="75" t="str">
        <f>IF(OR(TH!N125=TH!$X$7,O125=TH!$X$7),"x","")</f>
        <v/>
      </c>
      <c r="Y125" s="75" t="str">
        <f>IF(AND(OR(N125="131",O125="131"),H125='131-CT'!$H$9),"x","")</f>
        <v/>
      </c>
      <c r="Z125" s="75"/>
      <c r="AA125" s="75" t="str">
        <f>IF(AND(MONTH(E125)='IN-NX'!$J$5,'IN-NX'!$D$7=D125),"x","")</f>
        <v/>
      </c>
      <c r="AB125" s="75" t="str">
        <f>IF(AND(OR(LEFT(TH!N125,2)="15",LEFT(TH!O125,2)="15"),LEFT(TH!O125,3)&lt;&gt;"111",'152-CT'!$J$8=TH!F125),"x","")</f>
        <v/>
      </c>
      <c r="AC125" s="75" t="str">
        <f>IF(AND(OR(LEFT(TH!N125,2)="15",LEFT(TH!O125,2)="15"),TK!$E$7=TH!F125),"x","")</f>
        <v/>
      </c>
      <c r="AD125" s="75" t="str">
        <f>IF(AND(N125="1521",MONTH(C125)='BK-NL'!$M$11),"x","")</f>
        <v/>
      </c>
    </row>
    <row r="126" spans="1:30" ht="16.5" customHeight="1">
      <c r="A126" s="309" t="str">
        <f>IF(B126&lt;&gt;"",IF(AND(B126='IN-TC'!$S$4,OR(TH!N126="1111",TH!O126="1111")),TH!D126,""),"")</f>
        <v/>
      </c>
      <c r="B126" s="1241">
        <f t="shared" si="15"/>
        <v>4</v>
      </c>
      <c r="C126" s="666">
        <v>42854</v>
      </c>
      <c r="D126" s="666" t="s">
        <v>530</v>
      </c>
      <c r="E126" s="666">
        <f t="shared" si="18"/>
        <v>42854</v>
      </c>
      <c r="F126" s="905" t="s">
        <v>723</v>
      </c>
      <c r="G126" s="250">
        <v>69000000</v>
      </c>
      <c r="H126" s="294"/>
      <c r="I126" s="373"/>
      <c r="J126" s="379"/>
      <c r="K126" s="373"/>
      <c r="L126" s="379"/>
      <c r="M126" s="670">
        <v>72127348</v>
      </c>
      <c r="N126" s="671" t="s">
        <v>272</v>
      </c>
      <c r="O126" s="671" t="s">
        <v>540</v>
      </c>
      <c r="P126" s="75" t="str">
        <f>IF(AND('331-CT'!$E$7=TH!H126,OR(N126="331",O126="331")),"x","")</f>
        <v/>
      </c>
      <c r="Q126" s="75" t="str">
        <f>IF(AND(B126='111'!$L$11,OR($N126=$Q$7,$O126=$Q$7)),"x","")</f>
        <v/>
      </c>
      <c r="R126" s="75" t="str">
        <f>IF(AND($N126=$Q$7,$B126&lt;'111'!$L$11),"x","")</f>
        <v/>
      </c>
      <c r="S126" s="75" t="str">
        <f>IF(AND($O126=$Q$7,$B126&lt;'111'!$L$11),"x","")</f>
        <v/>
      </c>
      <c r="T126" s="75" t="str">
        <f>IF(ISERROR(FIND('112'!$M$9,G126,1)),"",IF((AND(FIND('112'!$M$9,G126,1)&gt;=1,B126='112'!$K$9,OR($N126='112'!$I$6,$O126='112'!$I$6))),"x",""))</f>
        <v/>
      </c>
      <c r="U126" s="75" t="str">
        <f>IF(ISERROR(FIND('112'!$M$9,G126,1)),"",IF((AND(LEFT(G126,2)=LEFT('112'!$M$9,2),B126&lt;'112'!$K$9,$N126='112'!$I$6)),"x",""))</f>
        <v/>
      </c>
      <c r="V126" s="75" t="str">
        <f>IF(ISERROR(FIND('112'!$M$9,G126,1)),"",IF((AND(RIGHT(G126,2)=RIGHT('112'!$M$9,2),B126&lt;'112'!$K$9,$O126='112'!$I$6)),"x",""))</f>
        <v/>
      </c>
      <c r="W126" s="75" t="str">
        <f>IF(AND('341-CT'!$H$9=H126,OR(LEFT(N126,3)=$W$7,LEFT(O126,3)=$W$7)),"x","")</f>
        <v/>
      </c>
      <c r="X126" s="75" t="str">
        <f>IF(OR(TH!N126=TH!$X$7,O126=TH!$X$7),"x","")</f>
        <v/>
      </c>
      <c r="Y126" s="75" t="str">
        <f>IF(AND(OR(N126="131",O126="131"),H126='131-CT'!$H$9),"x","")</f>
        <v/>
      </c>
      <c r="Z126" s="75"/>
      <c r="AA126" s="75" t="str">
        <f>IF(AND(MONTH(E126)='IN-NX'!$J$5,'IN-NX'!$D$7=D126),"x","")</f>
        <v/>
      </c>
      <c r="AB126" s="75" t="str">
        <f>IF(AND(OR(LEFT(TH!N126,2)="15",LEFT(TH!O126,2)="15"),LEFT(TH!O126,3)&lt;&gt;"111",'152-CT'!$J$8=TH!F126),"x","")</f>
        <v/>
      </c>
      <c r="AC126" s="75" t="str">
        <f>IF(AND(OR(LEFT(TH!N126,2)="15",LEFT(TH!O126,2)="15"),TK!$E$7=TH!F126),"x","")</f>
        <v/>
      </c>
      <c r="AD126" s="75" t="str">
        <f>IF(AND(N126="1521",MONTH(C126)='BK-NL'!$M$11),"x","")</f>
        <v/>
      </c>
    </row>
    <row r="127" spans="1:30" ht="16.5" customHeight="1">
      <c r="A127" s="309" t="str">
        <f>IF(B127&lt;&gt;"",IF(AND(B127='IN-TC'!$S$4,OR(TH!N127="1111",TH!O127="1111")),TH!D127,""),"")</f>
        <v/>
      </c>
      <c r="B127" s="1241">
        <f t="shared" si="15"/>
        <v>4</v>
      </c>
      <c r="C127" s="666">
        <v>42854</v>
      </c>
      <c r="D127" s="666" t="s">
        <v>530</v>
      </c>
      <c r="E127" s="666">
        <f t="shared" si="18"/>
        <v>42854</v>
      </c>
      <c r="F127" s="905" t="s">
        <v>724</v>
      </c>
      <c r="G127" s="739" t="s">
        <v>531</v>
      </c>
      <c r="H127" s="294"/>
      <c r="I127" s="373"/>
      <c r="J127" s="379"/>
      <c r="K127" s="373"/>
      <c r="L127" s="379"/>
      <c r="M127" s="670">
        <f>ROUND(G125*$G127,0)</f>
        <v>3709840</v>
      </c>
      <c r="N127" s="671" t="s">
        <v>540</v>
      </c>
      <c r="O127" s="671" t="s">
        <v>541</v>
      </c>
      <c r="P127" s="75" t="str">
        <f>IF(AND('331-CT'!$E$7=TH!H127,OR(N127="331",O127="331")),"x","")</f>
        <v/>
      </c>
      <c r="Q127" s="75" t="str">
        <f>IF(AND(B127='111'!$L$11,OR($N127=$Q$7,$O127=$Q$7)),"x","")</f>
        <v/>
      </c>
      <c r="R127" s="75" t="str">
        <f>IF(AND($N127=$Q$7,$B127&lt;'111'!$L$11),"x","")</f>
        <v/>
      </c>
      <c r="S127" s="75" t="str">
        <f>IF(AND($O127=$Q$7,$B127&lt;'111'!$L$11),"x","")</f>
        <v/>
      </c>
      <c r="T127" s="75" t="str">
        <f>IF(ISERROR(FIND('112'!$M$9,G127,1)),"",IF((AND(FIND('112'!$M$9,G127,1)&gt;=1,B127='112'!$K$9,OR($N127='112'!$I$6,$O127='112'!$I$6))),"x",""))</f>
        <v/>
      </c>
      <c r="U127" s="75" t="str">
        <f>IF(ISERROR(FIND('112'!$M$9,G127,1)),"",IF((AND(LEFT(G127,2)=LEFT('112'!$M$9,2),B127&lt;'112'!$K$9,$N127='112'!$I$6)),"x",""))</f>
        <v/>
      </c>
      <c r="V127" s="75" t="str">
        <f>IF(ISERROR(FIND('112'!$M$9,G127,1)),"",IF((AND(RIGHT(G127,2)=RIGHT('112'!$M$9,2),B127&lt;'112'!$K$9,$O127='112'!$I$6)),"x",""))</f>
        <v/>
      </c>
      <c r="W127" s="75" t="str">
        <f>IF(AND('341-CT'!$H$9=H127,OR(LEFT(N127,3)=$W$7,LEFT(O127,3)=$W$7)),"x","")</f>
        <v/>
      </c>
      <c r="X127" s="75" t="str">
        <f>IF(OR(TH!N127=TH!$X$7,O127=TH!$X$7),"x","")</f>
        <v/>
      </c>
      <c r="Y127" s="75" t="str">
        <f>IF(AND(OR(N127="131",O127="131"),H127='131-CT'!$H$9),"x","")</f>
        <v/>
      </c>
      <c r="Z127" s="75"/>
      <c r="AA127" s="75" t="str">
        <f>IF(AND(MONTH(E127)='IN-NX'!$J$5,'IN-NX'!$D$7=D127),"x","")</f>
        <v/>
      </c>
      <c r="AB127" s="75" t="str">
        <f>IF(AND(OR(LEFT(TH!N127,2)="15",LEFT(TH!O127,2)="15"),LEFT(TH!O127,3)&lt;&gt;"111",'152-CT'!$J$8=TH!F127),"x","")</f>
        <v/>
      </c>
      <c r="AC127" s="75" t="str">
        <f>IF(AND(OR(LEFT(TH!N127,2)="15",LEFT(TH!O127,2)="15"),TK!$E$7=TH!F127),"x","")</f>
        <v/>
      </c>
      <c r="AD127" s="75" t="str">
        <f>IF(AND(N127="1521",MONTH(C127)='BK-NL'!$M$11),"x","")</f>
        <v/>
      </c>
    </row>
    <row r="128" spans="1:30" ht="16.5" customHeight="1">
      <c r="A128" s="309" t="str">
        <f>IF(B128&lt;&gt;"",IF(AND(B128='IN-TC'!$S$4,OR(TH!N128="1111",TH!O128="1111")),TH!D128,""),"")</f>
        <v/>
      </c>
      <c r="B128" s="1241">
        <f t="shared" si="15"/>
        <v>4</v>
      </c>
      <c r="C128" s="666">
        <v>42854</v>
      </c>
      <c r="D128" s="666" t="s">
        <v>530</v>
      </c>
      <c r="E128" s="666">
        <f t="shared" si="18"/>
        <v>42854</v>
      </c>
      <c r="F128" s="905" t="s">
        <v>725</v>
      </c>
      <c r="G128" s="250"/>
      <c r="H128" s="294"/>
      <c r="I128" s="373"/>
      <c r="J128" s="379"/>
      <c r="K128" s="373"/>
      <c r="L128" s="379"/>
      <c r="M128" s="670">
        <f>ROUND(G126*$G127,0)</f>
        <v>5520000</v>
      </c>
      <c r="N128" s="672" t="s">
        <v>540</v>
      </c>
      <c r="O128" s="673" t="s">
        <v>541</v>
      </c>
      <c r="P128" s="75" t="str">
        <f>IF(AND('331-CT'!$E$7=TH!H128,OR(N128="331",O128="331")),"x","")</f>
        <v/>
      </c>
      <c r="Q128" s="75" t="str">
        <f>IF(AND(B128='111'!$L$11,OR($N128=$Q$7,$O128=$Q$7)),"x","")</f>
        <v/>
      </c>
      <c r="R128" s="75" t="str">
        <f>IF(AND($N128=$Q$7,$B128&lt;'111'!$L$11),"x","")</f>
        <v/>
      </c>
      <c r="S128" s="75" t="str">
        <f>IF(AND($O128=$Q$7,$B128&lt;'111'!$L$11),"x","")</f>
        <v/>
      </c>
      <c r="T128" s="75" t="str">
        <f>IF(ISERROR(FIND('112'!$M$9,G128,1)),"",IF((AND(FIND('112'!$M$9,G128,1)&gt;=1,B128='112'!$K$9,OR($N128='112'!$I$6,$O128='112'!$I$6))),"x",""))</f>
        <v/>
      </c>
      <c r="U128" s="75" t="str">
        <f>IF(ISERROR(FIND('112'!$M$9,G128,1)),"",IF((AND(LEFT(G128,2)=LEFT('112'!$M$9,2),B128&lt;'112'!$K$9,$N128='112'!$I$6)),"x",""))</f>
        <v/>
      </c>
      <c r="V128" s="75" t="str">
        <f>IF(ISERROR(FIND('112'!$M$9,G128,1)),"",IF((AND(RIGHT(G128,2)=RIGHT('112'!$M$9,2),B128&lt;'112'!$K$9,$O128='112'!$I$6)),"x",""))</f>
        <v/>
      </c>
      <c r="W128" s="75" t="str">
        <f>IF(AND('341-CT'!$H$9=H128,OR(LEFT(N128,3)=$W$7,LEFT(O128,3)=$W$7)),"x","")</f>
        <v/>
      </c>
      <c r="X128" s="75" t="str">
        <f>IF(OR(TH!N128=TH!$X$7,O128=TH!$X$7),"x","")</f>
        <v/>
      </c>
      <c r="Y128" s="75" t="str">
        <f>IF(AND(OR(N128="131",O128="131"),H128='131-CT'!$H$9),"x","")</f>
        <v/>
      </c>
      <c r="Z128" s="75"/>
      <c r="AA128" s="75" t="str">
        <f>IF(AND(MONTH(E128)='IN-NX'!$J$5,'IN-NX'!$D$7=D128),"x","")</f>
        <v/>
      </c>
      <c r="AB128" s="75" t="str">
        <f>IF(AND(OR(LEFT(TH!N128,2)="15",LEFT(TH!O128,2)="15"),LEFT(TH!O128,3)&lt;&gt;"111",'152-CT'!$J$8=TH!F128),"x","")</f>
        <v/>
      </c>
      <c r="AC128" s="75" t="str">
        <f>IF(AND(OR(LEFT(TH!N128,2)="15",LEFT(TH!O128,2)="15"),TK!$E$7=TH!F128),"x","")</f>
        <v/>
      </c>
      <c r="AD128" s="75" t="str">
        <f>IF(AND(N128="1521",MONTH(C128)='BK-NL'!$M$11),"x","")</f>
        <v/>
      </c>
    </row>
    <row r="129" spans="1:30" ht="16.5" customHeight="1">
      <c r="A129" s="309" t="str">
        <f>IF(B129&lt;&gt;"",IF(AND(B129='IN-TC'!$S$4,OR(TH!N129="1111",TH!O129="1111")),TH!D129,""),"")</f>
        <v/>
      </c>
      <c r="B129" s="1241">
        <f t="shared" si="15"/>
        <v>4</v>
      </c>
      <c r="C129" s="666">
        <v>42854</v>
      </c>
      <c r="D129" s="666" t="s">
        <v>530</v>
      </c>
      <c r="E129" s="666">
        <f t="shared" si="18"/>
        <v>42854</v>
      </c>
      <c r="F129" s="905" t="s">
        <v>726</v>
      </c>
      <c r="G129" s="739" t="s">
        <v>532</v>
      </c>
      <c r="H129" s="294"/>
      <c r="I129" s="373"/>
      <c r="J129" s="379"/>
      <c r="K129" s="373"/>
      <c r="L129" s="379"/>
      <c r="M129" s="670">
        <f>ROUND(G125*$G129,0)</f>
        <v>8347140</v>
      </c>
      <c r="N129" s="671" t="s">
        <v>539</v>
      </c>
      <c r="O129" s="671" t="s">
        <v>541</v>
      </c>
      <c r="P129" s="75" t="str">
        <f>IF(AND('331-CT'!$E$7=TH!H129,OR(N129="331",O129="331")),"x","")</f>
        <v/>
      </c>
      <c r="Q129" s="75" t="str">
        <f>IF(AND(B129='111'!$L$11,OR($N129=$Q$7,$O129=$Q$7)),"x","")</f>
        <v/>
      </c>
      <c r="R129" s="75" t="str">
        <f>IF(AND($N129=$Q$7,$B129&lt;'111'!$L$11),"x","")</f>
        <v/>
      </c>
      <c r="S129" s="75" t="str">
        <f>IF(AND($O129=$Q$7,$B129&lt;'111'!$L$11),"x","")</f>
        <v/>
      </c>
      <c r="T129" s="75" t="str">
        <f>IF(ISERROR(FIND('112'!$M$9,G129,1)),"",IF((AND(FIND('112'!$M$9,G129,1)&gt;=1,B129='112'!$K$9,OR($N129='112'!$I$6,$O129='112'!$I$6))),"x",""))</f>
        <v/>
      </c>
      <c r="U129" s="75" t="str">
        <f>IF(ISERROR(FIND('112'!$M$9,G129,1)),"",IF((AND(LEFT(G129,2)=LEFT('112'!$M$9,2),B129&lt;'112'!$K$9,$N129='112'!$I$6)),"x",""))</f>
        <v/>
      </c>
      <c r="V129" s="75" t="str">
        <f>IF(ISERROR(FIND('112'!$M$9,G129,1)),"",IF((AND(RIGHT(G129,2)=RIGHT('112'!$M$9,2),B129&lt;'112'!$K$9,$O129='112'!$I$6)),"x",""))</f>
        <v/>
      </c>
      <c r="W129" s="75" t="str">
        <f>IF(AND('341-CT'!$H$9=H129,OR(LEFT(N129,3)=$W$7,LEFT(O129,3)=$W$7)),"x","")</f>
        <v/>
      </c>
      <c r="X129" s="75" t="str">
        <f>IF(OR(TH!N129=TH!$X$7,O129=TH!$X$7),"x","")</f>
        <v/>
      </c>
      <c r="Y129" s="75" t="str">
        <f>IF(AND(OR(N129="131",O129="131"),H129='131-CT'!$H$9),"x","")</f>
        <v/>
      </c>
      <c r="Z129" s="75"/>
      <c r="AA129" s="75" t="str">
        <f>IF(AND(MONTH(E129)='IN-NX'!$J$5,'IN-NX'!$D$7=D129),"x","")</f>
        <v/>
      </c>
      <c r="AB129" s="75" t="str">
        <f>IF(AND(OR(LEFT(TH!N129,2)="15",LEFT(TH!O129,2)="15"),LEFT(TH!O129,3)&lt;&gt;"111",'152-CT'!$J$8=TH!F129),"x","")</f>
        <v/>
      </c>
      <c r="AC129" s="75" t="str">
        <f>IF(AND(OR(LEFT(TH!N129,2)="15",LEFT(TH!O129,2)="15"),TK!$E$7=TH!F129),"x","")</f>
        <v/>
      </c>
      <c r="AD129" s="75" t="str">
        <f>IF(AND(N129="1521",MONTH(C129)='BK-NL'!$M$11),"x","")</f>
        <v/>
      </c>
    </row>
    <row r="130" spans="1:30" ht="16.5" customHeight="1">
      <c r="A130" s="309" t="str">
        <f>IF(B130&lt;&gt;"",IF(AND(B130='IN-TC'!$S$4,OR(TH!N130="1111",TH!O130="1111")),TH!D130,""),"")</f>
        <v/>
      </c>
      <c r="B130" s="1241">
        <f t="shared" si="15"/>
        <v>4</v>
      </c>
      <c r="C130" s="666">
        <v>42854</v>
      </c>
      <c r="D130" s="666" t="s">
        <v>530</v>
      </c>
      <c r="E130" s="666">
        <f t="shared" si="18"/>
        <v>42854</v>
      </c>
      <c r="F130" s="905" t="s">
        <v>727</v>
      </c>
      <c r="G130" s="250"/>
      <c r="H130" s="294"/>
      <c r="I130" s="373"/>
      <c r="J130" s="379"/>
      <c r="K130" s="373"/>
      <c r="L130" s="379"/>
      <c r="M130" s="670">
        <f>ROUND(G126*$G129,0)</f>
        <v>12420000</v>
      </c>
      <c r="N130" s="671" t="s">
        <v>272</v>
      </c>
      <c r="O130" s="671" t="s">
        <v>541</v>
      </c>
      <c r="P130" s="75" t="str">
        <f>IF(AND('331-CT'!$E$7=TH!H130,OR(N130="331",O130="331")),"x","")</f>
        <v/>
      </c>
      <c r="Q130" s="75" t="str">
        <f>IF(AND(B130='111'!$L$11,OR($N130=$Q$7,$O130=$Q$7)),"x","")</f>
        <v/>
      </c>
      <c r="R130" s="75" t="str">
        <f>IF(AND($N130=$Q$7,$B130&lt;'111'!$L$11),"x","")</f>
        <v/>
      </c>
      <c r="S130" s="75" t="str">
        <f>IF(AND($O130=$Q$7,$B130&lt;'111'!$L$11),"x","")</f>
        <v/>
      </c>
      <c r="T130" s="75" t="str">
        <f>IF(ISERROR(FIND('112'!$M$9,G130,1)),"",IF((AND(FIND('112'!$M$9,G130,1)&gt;=1,B130='112'!$K$9,OR($N130='112'!$I$6,$O130='112'!$I$6))),"x",""))</f>
        <v/>
      </c>
      <c r="U130" s="75" t="str">
        <f>IF(ISERROR(FIND('112'!$M$9,G130,1)),"",IF((AND(LEFT(G130,2)=LEFT('112'!$M$9,2),B130&lt;'112'!$K$9,$N130='112'!$I$6)),"x",""))</f>
        <v/>
      </c>
      <c r="V130" s="75" t="str">
        <f>IF(ISERROR(FIND('112'!$M$9,G130,1)),"",IF((AND(RIGHT(G130,2)=RIGHT('112'!$M$9,2),B130&lt;'112'!$K$9,$O130='112'!$I$6)),"x",""))</f>
        <v/>
      </c>
      <c r="W130" s="75" t="str">
        <f>IF(AND('341-CT'!$H$9=H130,OR(LEFT(N130,3)=$W$7,LEFT(O130,3)=$W$7)),"x","")</f>
        <v/>
      </c>
      <c r="X130" s="75" t="str">
        <f>IF(OR(TH!N130=TH!$X$7,O130=TH!$X$7),"x","")</f>
        <v/>
      </c>
      <c r="Y130" s="75" t="str">
        <f>IF(AND(OR(N130="131",O130="131"),H130='131-CT'!$H$9),"x","")</f>
        <v/>
      </c>
      <c r="Z130" s="75"/>
      <c r="AA130" s="75" t="str">
        <f>IF(AND(MONTH(E130)='IN-NX'!$J$5,'IN-NX'!$D$7=D130),"x","")</f>
        <v/>
      </c>
      <c r="AB130" s="75" t="str">
        <f>IF(AND(OR(LEFT(TH!N130,2)="15",LEFT(TH!O130,2)="15"),LEFT(TH!O130,3)&lt;&gt;"111",'152-CT'!$J$8=TH!F130),"x","")</f>
        <v/>
      </c>
      <c r="AC130" s="75" t="str">
        <f>IF(AND(OR(LEFT(TH!N130,2)="15",LEFT(TH!O130,2)="15"),TK!$E$7=TH!F130),"x","")</f>
        <v/>
      </c>
      <c r="AD130" s="75" t="str">
        <f>IF(AND(N130="1521",MONTH(C130)='BK-NL'!$M$11),"x","")</f>
        <v/>
      </c>
    </row>
    <row r="131" spans="1:30" ht="16.5" customHeight="1">
      <c r="A131" s="309" t="str">
        <f>IF(B131&lt;&gt;"",IF(AND(B131='IN-TC'!$S$4,OR(TH!N131="1111",TH!O131="1111")),TH!D131,""),"")</f>
        <v/>
      </c>
      <c r="B131" s="1241">
        <f t="shared" si="15"/>
        <v>4</v>
      </c>
      <c r="C131" s="666">
        <v>42854</v>
      </c>
      <c r="D131" s="666" t="s">
        <v>530</v>
      </c>
      <c r="E131" s="666">
        <f t="shared" si="18"/>
        <v>42854</v>
      </c>
      <c r="F131" s="905" t="s">
        <v>728</v>
      </c>
      <c r="G131" s="739" t="s">
        <v>533</v>
      </c>
      <c r="H131" s="296"/>
      <c r="I131" s="371"/>
      <c r="J131" s="377"/>
      <c r="K131" s="371"/>
      <c r="L131" s="377"/>
      <c r="M131" s="670">
        <f>ROUND(G125*$G131,0)</f>
        <v>695595</v>
      </c>
      <c r="N131" s="671" t="s">
        <v>540</v>
      </c>
      <c r="O131" s="671" t="s">
        <v>542</v>
      </c>
      <c r="P131" s="75" t="str">
        <f>IF(AND('331-CT'!$E$7=TH!H131,OR(N131="331",O131="331")),"x","")</f>
        <v/>
      </c>
      <c r="Q131" s="75" t="str">
        <f>IF(AND(B131='111'!$L$11,OR($N131=$Q$7,$O131=$Q$7)),"x","")</f>
        <v/>
      </c>
      <c r="R131" s="75" t="str">
        <f>IF(AND($N131=$Q$7,$B131&lt;'111'!$L$11),"x","")</f>
        <v/>
      </c>
      <c r="S131" s="75" t="str">
        <f>IF(AND($O131=$Q$7,$B131&lt;'111'!$L$11),"x","")</f>
        <v/>
      </c>
      <c r="T131" s="75" t="str">
        <f>IF(ISERROR(FIND('112'!$M$9,G131,1)),"",IF((AND(FIND('112'!$M$9,G131,1)&gt;=1,B131='112'!$K$9,OR($N131='112'!$I$6,$O131='112'!$I$6))),"x",""))</f>
        <v/>
      </c>
      <c r="U131" s="75" t="str">
        <f>IF(ISERROR(FIND('112'!$M$9,G131,1)),"",IF((AND(LEFT(G131,2)=LEFT('112'!$M$9,2),B131&lt;'112'!$K$9,$N131='112'!$I$6)),"x",""))</f>
        <v/>
      </c>
      <c r="V131" s="75" t="str">
        <f>IF(ISERROR(FIND('112'!$M$9,G131,1)),"",IF((AND(RIGHT(G131,2)=RIGHT('112'!$M$9,2),B131&lt;'112'!$K$9,$O131='112'!$I$6)),"x",""))</f>
        <v/>
      </c>
      <c r="W131" s="75" t="str">
        <f>IF(AND('341-CT'!$H$9=H131,OR(LEFT(N131,3)=$W$7,LEFT(O131,3)=$W$7)),"x","")</f>
        <v/>
      </c>
      <c r="X131" s="75" t="str">
        <f>IF(OR(TH!N131=TH!$X$7,O131=TH!$X$7),"x","")</f>
        <v/>
      </c>
      <c r="Y131" s="75" t="str">
        <f>IF(AND(OR(N131="131",O131="131"),H131='131-CT'!$H$9),"x","")</f>
        <v/>
      </c>
      <c r="Z131" s="75"/>
      <c r="AA131" s="75" t="str">
        <f>IF(AND(MONTH(E131)='IN-NX'!$J$5,'IN-NX'!$D$7=D131),"x","")</f>
        <v/>
      </c>
      <c r="AB131" s="75" t="str">
        <f>IF(AND(OR(LEFT(TH!N131,2)="15",LEFT(TH!O131,2)="15"),LEFT(TH!O131,3)&lt;&gt;"111",'152-CT'!$J$8=TH!F131),"x","")</f>
        <v/>
      </c>
      <c r="AC131" s="75" t="str">
        <f>IF(AND(OR(LEFT(TH!N131,2)="15",LEFT(TH!O131,2)="15"),TK!$E$7=TH!F131),"x","")</f>
        <v/>
      </c>
      <c r="AD131" s="75" t="str">
        <f>IF(AND(N131="1521",MONTH(C131)='BK-NL'!$M$11),"x","")</f>
        <v/>
      </c>
    </row>
    <row r="132" spans="1:30" ht="16.5" customHeight="1">
      <c r="A132" s="309" t="str">
        <f>IF(B132&lt;&gt;"",IF(AND(B132='IN-TC'!$S$4,OR(TH!N132="1111",TH!O132="1111")),TH!D132,""),"")</f>
        <v/>
      </c>
      <c r="B132" s="1241">
        <f t="shared" si="15"/>
        <v>4</v>
      </c>
      <c r="C132" s="666">
        <v>42854</v>
      </c>
      <c r="D132" s="666" t="s">
        <v>530</v>
      </c>
      <c r="E132" s="666">
        <f t="shared" si="18"/>
        <v>42854</v>
      </c>
      <c r="F132" s="905" t="s">
        <v>729</v>
      </c>
      <c r="G132" s="250"/>
      <c r="H132" s="296"/>
      <c r="I132" s="371"/>
      <c r="J132" s="377"/>
      <c r="K132" s="371"/>
      <c r="L132" s="377"/>
      <c r="M132" s="670">
        <f>ROUND(G126*$G131,0)</f>
        <v>1035000</v>
      </c>
      <c r="N132" s="671" t="s">
        <v>540</v>
      </c>
      <c r="O132" s="671" t="s">
        <v>542</v>
      </c>
      <c r="P132" s="75" t="str">
        <f>IF(AND('331-CT'!$E$7=TH!H132,OR(N132="331",O132="331")),"x","")</f>
        <v/>
      </c>
      <c r="Q132" s="75" t="str">
        <f>IF(AND(B132='111'!$L$11,OR($N132=$Q$7,$O132=$Q$7)),"x","")</f>
        <v/>
      </c>
      <c r="R132" s="75" t="str">
        <f>IF(AND($N132=$Q$7,$B132&lt;'111'!$L$11),"x","")</f>
        <v/>
      </c>
      <c r="S132" s="75" t="str">
        <f>IF(AND($O132=$Q$7,$B132&lt;'111'!$L$11),"x","")</f>
        <v/>
      </c>
      <c r="T132" s="75" t="str">
        <f>IF(ISERROR(FIND('112'!$M$9,G132,1)),"",IF((AND(FIND('112'!$M$9,G132,1)&gt;=1,B132='112'!$K$9,OR($N132='112'!$I$6,$O132='112'!$I$6))),"x",""))</f>
        <v/>
      </c>
      <c r="U132" s="75" t="str">
        <f>IF(ISERROR(FIND('112'!$M$9,G132,1)),"",IF((AND(LEFT(G132,2)=LEFT('112'!$M$9,2),B132&lt;'112'!$K$9,$N132='112'!$I$6)),"x",""))</f>
        <v/>
      </c>
      <c r="V132" s="75" t="str">
        <f>IF(ISERROR(FIND('112'!$M$9,G132,1)),"",IF((AND(RIGHT(G132,2)=RIGHT('112'!$M$9,2),B132&lt;'112'!$K$9,$O132='112'!$I$6)),"x",""))</f>
        <v/>
      </c>
      <c r="W132" s="75" t="str">
        <f>IF(AND('341-CT'!$H$9=H132,OR(LEFT(N132,3)=$W$7,LEFT(O132,3)=$W$7)),"x","")</f>
        <v/>
      </c>
      <c r="X132" s="75" t="str">
        <f>IF(OR(TH!N132=TH!$X$7,O132=TH!$X$7),"x","")</f>
        <v/>
      </c>
      <c r="Y132" s="75" t="str">
        <f>IF(AND(OR(N132="131",O132="131"),H132='131-CT'!$H$9),"x","")</f>
        <v/>
      </c>
      <c r="Z132" s="75"/>
      <c r="AA132" s="75" t="str">
        <f>IF(AND(MONTH(E132)='IN-NX'!$J$5,'IN-NX'!$D$7=D132),"x","")</f>
        <v/>
      </c>
      <c r="AB132" s="75" t="str">
        <f>IF(AND(OR(LEFT(TH!N132,2)="15",LEFT(TH!O132,2)="15"),LEFT(TH!O132,3)&lt;&gt;"111",'152-CT'!$J$8=TH!F132),"x","")</f>
        <v/>
      </c>
      <c r="AC132" s="75" t="str">
        <f>IF(AND(OR(LEFT(TH!N132,2)="15",LEFT(TH!O132,2)="15"),TK!$E$7=TH!F132),"x","")</f>
        <v/>
      </c>
      <c r="AD132" s="75" t="str">
        <f>IF(AND(N132="1521",MONTH(C132)='BK-NL'!$M$11),"x","")</f>
        <v/>
      </c>
    </row>
    <row r="133" spans="1:30" ht="16.5" customHeight="1">
      <c r="A133" s="309" t="str">
        <f>IF(B133&lt;&gt;"",IF(AND(B133='IN-TC'!$S$4,OR(TH!N133="1111",TH!O133="1111")),TH!D133,""),"")</f>
        <v/>
      </c>
      <c r="B133" s="1241">
        <f t="shared" si="15"/>
        <v>4</v>
      </c>
      <c r="C133" s="666">
        <v>42854</v>
      </c>
      <c r="D133" s="666" t="s">
        <v>530</v>
      </c>
      <c r="E133" s="666">
        <f t="shared" si="18"/>
        <v>42854</v>
      </c>
      <c r="F133" s="905" t="s">
        <v>730</v>
      </c>
      <c r="G133" s="739" t="s">
        <v>534</v>
      </c>
      <c r="H133" s="294"/>
      <c r="I133" s="373"/>
      <c r="J133" s="379"/>
      <c r="K133" s="373"/>
      <c r="L133" s="379"/>
      <c r="M133" s="670">
        <f>ROUND(G125*$G133,0)</f>
        <v>1391190</v>
      </c>
      <c r="N133" s="671" t="s">
        <v>539</v>
      </c>
      <c r="O133" s="671" t="s">
        <v>542</v>
      </c>
      <c r="P133" s="75" t="str">
        <f>IF(AND('331-CT'!$E$7=TH!H133,OR(N133="331",O133="331")),"x","")</f>
        <v/>
      </c>
      <c r="Q133" s="75" t="str">
        <f>IF(AND(B133='111'!$L$11,OR($N133=$Q$7,$O133=$Q$7)),"x","")</f>
        <v/>
      </c>
      <c r="R133" s="75" t="str">
        <f>IF(AND($N133=$Q$7,$B133&lt;'111'!$L$11),"x","")</f>
        <v/>
      </c>
      <c r="S133" s="75" t="str">
        <f>IF(AND($O133=$Q$7,$B133&lt;'111'!$L$11),"x","")</f>
        <v/>
      </c>
      <c r="T133" s="75" t="str">
        <f>IF(ISERROR(FIND('112'!$M$9,G133,1)),"",IF((AND(FIND('112'!$M$9,G133,1)&gt;=1,B133='112'!$K$9,OR($N133='112'!$I$6,$O133='112'!$I$6))),"x",""))</f>
        <v/>
      </c>
      <c r="U133" s="75" t="str">
        <f>IF(ISERROR(FIND('112'!$M$9,G133,1)),"",IF((AND(LEFT(G133,2)=LEFT('112'!$M$9,2),B133&lt;'112'!$K$9,$N133='112'!$I$6)),"x",""))</f>
        <v/>
      </c>
      <c r="V133" s="75" t="str">
        <f>IF(ISERROR(FIND('112'!$M$9,G133,1)),"",IF((AND(RIGHT(G133,2)=RIGHT('112'!$M$9,2),B133&lt;'112'!$K$9,$O133='112'!$I$6)),"x",""))</f>
        <v/>
      </c>
      <c r="W133" s="75" t="str">
        <f>IF(AND('341-CT'!$H$9=H133,OR(LEFT(N133,3)=$W$7,LEFT(O133,3)=$W$7)),"x","")</f>
        <v/>
      </c>
      <c r="X133" s="75" t="str">
        <f>IF(OR(TH!N133=TH!$X$7,O133=TH!$X$7),"x","")</f>
        <v/>
      </c>
      <c r="Y133" s="75" t="str">
        <f>IF(AND(OR(N133="131",O133="131"),H133='131-CT'!$H$9),"x","")</f>
        <v/>
      </c>
      <c r="Z133" s="75"/>
      <c r="AA133" s="75" t="str">
        <f>IF(AND(MONTH(E133)='IN-NX'!$J$5,'IN-NX'!$D$7=D133),"x","")</f>
        <v/>
      </c>
      <c r="AB133" s="75" t="str">
        <f>IF(AND(OR(LEFT(TH!N133,2)="15",LEFT(TH!O133,2)="15"),LEFT(TH!O133,3)&lt;&gt;"111",'152-CT'!$J$8=TH!F133),"x","")</f>
        <v/>
      </c>
      <c r="AC133" s="75" t="str">
        <f>IF(AND(OR(LEFT(TH!N133,2)="15",LEFT(TH!O133,2)="15"),TK!$E$7=TH!F133),"x","")</f>
        <v/>
      </c>
      <c r="AD133" s="75" t="str">
        <f>IF(AND(N133="1521",MONTH(C133)='BK-NL'!$M$11),"x","")</f>
        <v/>
      </c>
    </row>
    <row r="134" spans="1:30" ht="16.5" customHeight="1">
      <c r="A134" s="309" t="str">
        <f>IF(B134&lt;&gt;"",IF(AND(B134='IN-TC'!$S$4,OR(TH!N134="1111",TH!O134="1111")),TH!D134,""),"")</f>
        <v/>
      </c>
      <c r="B134" s="1241">
        <f t="shared" si="15"/>
        <v>4</v>
      </c>
      <c r="C134" s="666">
        <v>42854</v>
      </c>
      <c r="D134" s="666" t="s">
        <v>530</v>
      </c>
      <c r="E134" s="666">
        <f t="shared" si="18"/>
        <v>42854</v>
      </c>
      <c r="F134" s="905" t="s">
        <v>731</v>
      </c>
      <c r="G134" s="250"/>
      <c r="H134" s="294"/>
      <c r="I134" s="373"/>
      <c r="J134" s="379"/>
      <c r="K134" s="373"/>
      <c r="L134" s="379"/>
      <c r="M134" s="670">
        <f>ROUND(G126*$G133,0)</f>
        <v>2070000</v>
      </c>
      <c r="N134" s="671" t="s">
        <v>272</v>
      </c>
      <c r="O134" s="671" t="s">
        <v>542</v>
      </c>
      <c r="P134" s="75" t="str">
        <f>IF(AND('331-CT'!$E$7=TH!H134,OR(N134="331",O134="331")),"x","")</f>
        <v/>
      </c>
      <c r="Q134" s="75" t="str">
        <f>IF(AND(B134='111'!$L$11,OR($N134=$Q$7,$O134=$Q$7)),"x","")</f>
        <v/>
      </c>
      <c r="R134" s="75" t="str">
        <f>IF(AND($N134=$Q$7,$B134&lt;'111'!$L$11),"x","")</f>
        <v/>
      </c>
      <c r="S134" s="75" t="str">
        <f>IF(AND($O134=$Q$7,$B134&lt;'111'!$L$11),"x","")</f>
        <v/>
      </c>
      <c r="T134" s="75" t="str">
        <f>IF(ISERROR(FIND('112'!$M$9,G134,1)),"",IF((AND(FIND('112'!$M$9,G134,1)&gt;=1,B134='112'!$K$9,OR($N134='112'!$I$6,$O134='112'!$I$6))),"x",""))</f>
        <v/>
      </c>
      <c r="U134" s="75" t="str">
        <f>IF(ISERROR(FIND('112'!$M$9,G134,1)),"",IF((AND(LEFT(G134,2)=LEFT('112'!$M$9,2),B134&lt;'112'!$K$9,$N134='112'!$I$6)),"x",""))</f>
        <v/>
      </c>
      <c r="V134" s="75" t="str">
        <f>IF(ISERROR(FIND('112'!$M$9,G134,1)),"",IF((AND(RIGHT(G134,2)=RIGHT('112'!$M$9,2),B134&lt;'112'!$K$9,$O134='112'!$I$6)),"x",""))</f>
        <v/>
      </c>
      <c r="W134" s="75" t="str">
        <f>IF(AND('341-CT'!$H$9=H134,OR(LEFT(N134,3)=$W$7,LEFT(O134,3)=$W$7)),"x","")</f>
        <v/>
      </c>
      <c r="X134" s="75" t="str">
        <f>IF(OR(TH!N134=TH!$X$7,O134=TH!$X$7),"x","")</f>
        <v/>
      </c>
      <c r="Y134" s="75" t="str">
        <f>IF(AND(OR(N134="131",O134="131"),H134='131-CT'!$H$9),"x","")</f>
        <v/>
      </c>
      <c r="Z134" s="75"/>
      <c r="AA134" s="75" t="str">
        <f>IF(AND(MONTH(E134)='IN-NX'!$J$5,'IN-NX'!$D$7=D134),"x","")</f>
        <v/>
      </c>
      <c r="AB134" s="75" t="str">
        <f>IF(AND(OR(LEFT(TH!N134,2)="15",LEFT(TH!O134,2)="15"),LEFT(TH!O134,3)&lt;&gt;"111",'152-CT'!$J$8=TH!F134),"x","")</f>
        <v/>
      </c>
      <c r="AC134" s="75" t="str">
        <f>IF(AND(OR(LEFT(TH!N134,2)="15",LEFT(TH!O134,2)="15"),TK!$E$7=TH!F134),"x","")</f>
        <v/>
      </c>
      <c r="AD134" s="75" t="str">
        <f>IF(AND(N134="1521",MONTH(C134)='BK-NL'!$M$11),"x","")</f>
        <v/>
      </c>
    </row>
    <row r="135" spans="1:30" ht="16.5" customHeight="1">
      <c r="A135" s="309" t="str">
        <f>IF(B135&lt;&gt;"",IF(AND(B135='IN-TC'!$S$4,OR(TH!N135="1111",TH!O135="1111")),TH!D135,""),"")</f>
        <v/>
      </c>
      <c r="B135" s="1241">
        <f t="shared" si="15"/>
        <v>4</v>
      </c>
      <c r="C135" s="666">
        <v>42854</v>
      </c>
      <c r="D135" s="666" t="s">
        <v>530</v>
      </c>
      <c r="E135" s="666">
        <f t="shared" si="18"/>
        <v>42854</v>
      </c>
      <c r="F135" s="905" t="s">
        <v>732</v>
      </c>
      <c r="G135" s="739" t="s">
        <v>535</v>
      </c>
      <c r="H135" s="294"/>
      <c r="I135" s="373"/>
      <c r="J135" s="379"/>
      <c r="K135" s="373"/>
      <c r="L135" s="379"/>
      <c r="M135" s="670">
        <f>ROUND(G125*$G135,0)</f>
        <v>463730</v>
      </c>
      <c r="N135" s="671" t="s">
        <v>540</v>
      </c>
      <c r="O135" s="671" t="s">
        <v>543</v>
      </c>
      <c r="P135" s="75" t="str">
        <f>IF(AND('331-CT'!$E$7=TH!H135,OR(N135="331",O135="331")),"x","")</f>
        <v/>
      </c>
      <c r="Q135" s="75" t="str">
        <f>IF(AND(B135='111'!$L$11,OR($N135=$Q$7,$O135=$Q$7)),"x","")</f>
        <v/>
      </c>
      <c r="R135" s="75" t="str">
        <f>IF(AND($N135=$Q$7,$B135&lt;'111'!$L$11),"x","")</f>
        <v/>
      </c>
      <c r="S135" s="75" t="str">
        <f>IF(AND($O135=$Q$7,$B135&lt;'111'!$L$11),"x","")</f>
        <v/>
      </c>
      <c r="T135" s="75" t="str">
        <f>IF(ISERROR(FIND('112'!$M$9,G135,1)),"",IF((AND(FIND('112'!$M$9,G135,1)&gt;=1,B135='112'!$K$9,OR($N135='112'!$I$6,$O135='112'!$I$6))),"x",""))</f>
        <v/>
      </c>
      <c r="U135" s="75" t="str">
        <f>IF(ISERROR(FIND('112'!$M$9,G135,1)),"",IF((AND(LEFT(G135,2)=LEFT('112'!$M$9,2),B135&lt;'112'!$K$9,$N135='112'!$I$6)),"x",""))</f>
        <v/>
      </c>
      <c r="V135" s="75" t="str">
        <f>IF(ISERROR(FIND('112'!$M$9,G135,1)),"",IF((AND(RIGHT(G135,2)=RIGHT('112'!$M$9,2),B135&lt;'112'!$K$9,$O135='112'!$I$6)),"x",""))</f>
        <v/>
      </c>
      <c r="W135" s="75" t="str">
        <f>IF(AND('341-CT'!$H$9=H135,OR(LEFT(N135,3)=$W$7,LEFT(O135,3)=$W$7)),"x","")</f>
        <v/>
      </c>
      <c r="X135" s="75" t="str">
        <f>IF(OR(TH!N135=TH!$X$7,O135=TH!$X$7),"x","")</f>
        <v/>
      </c>
      <c r="Y135" s="75" t="str">
        <f>IF(AND(OR(N135="131",O135="131"),H135='131-CT'!$H$9),"x","")</f>
        <v/>
      </c>
      <c r="Z135" s="75"/>
      <c r="AA135" s="75" t="str">
        <f>IF(AND(MONTH(E135)='IN-NX'!$J$5,'IN-NX'!$D$7=D135),"x","")</f>
        <v/>
      </c>
      <c r="AB135" s="75" t="str">
        <f>IF(AND(OR(LEFT(TH!N135,2)="15",LEFT(TH!O135,2)="15"),LEFT(TH!O135,3)&lt;&gt;"111",'152-CT'!$J$8=TH!F135),"x","")</f>
        <v/>
      </c>
      <c r="AC135" s="75" t="str">
        <f>IF(AND(OR(LEFT(TH!N135,2)="15",LEFT(TH!O135,2)="15"),TK!$E$7=TH!F135),"x","")</f>
        <v/>
      </c>
      <c r="AD135" s="75" t="str">
        <f>IF(AND(N135="1521",MONTH(C135)='BK-NL'!$M$11),"x","")</f>
        <v/>
      </c>
    </row>
    <row r="136" spans="1:30" ht="16.5" customHeight="1">
      <c r="A136" s="309" t="str">
        <f>IF(B136&lt;&gt;"",IF(AND(B136='IN-TC'!$S$4,OR(TH!N136="1111",TH!O136="1111")),TH!D136,""),"")</f>
        <v/>
      </c>
      <c r="B136" s="1241">
        <f t="shared" si="15"/>
        <v>4</v>
      </c>
      <c r="C136" s="666">
        <v>42854</v>
      </c>
      <c r="D136" s="666" t="s">
        <v>530</v>
      </c>
      <c r="E136" s="666">
        <f t="shared" si="18"/>
        <v>42854</v>
      </c>
      <c r="F136" s="905" t="s">
        <v>733</v>
      </c>
      <c r="G136" s="250"/>
      <c r="H136" s="294"/>
      <c r="I136" s="373"/>
      <c r="J136" s="379"/>
      <c r="K136" s="373"/>
      <c r="L136" s="379"/>
      <c r="M136" s="670">
        <f>ROUND(G126*$G135,0)</f>
        <v>690000</v>
      </c>
      <c r="N136" s="671" t="s">
        <v>540</v>
      </c>
      <c r="O136" s="671" t="s">
        <v>543</v>
      </c>
      <c r="P136" s="75" t="str">
        <f>IF(AND('331-CT'!$E$7=TH!H136,OR(N136="331",O136="331")),"x","")</f>
        <v/>
      </c>
      <c r="Q136" s="75" t="str">
        <f>IF(AND(B136='111'!$L$11,OR($N136=$Q$7,$O136=$Q$7)),"x","")</f>
        <v/>
      </c>
      <c r="R136" s="75" t="str">
        <f>IF(AND($N136=$Q$7,$B136&lt;'111'!$L$11),"x","")</f>
        <v/>
      </c>
      <c r="S136" s="75" t="str">
        <f>IF(AND($O136=$Q$7,$B136&lt;'111'!$L$11),"x","")</f>
        <v/>
      </c>
      <c r="T136" s="75" t="str">
        <f>IF(ISERROR(FIND('112'!$M$9,G136,1)),"",IF((AND(FIND('112'!$M$9,G136,1)&gt;=1,B136='112'!$K$9,OR($N136='112'!$I$6,$O136='112'!$I$6))),"x",""))</f>
        <v/>
      </c>
      <c r="U136" s="75" t="str">
        <f>IF(ISERROR(FIND('112'!$M$9,G136,1)),"",IF((AND(LEFT(G136,2)=LEFT('112'!$M$9,2),B136&lt;'112'!$K$9,$N136='112'!$I$6)),"x",""))</f>
        <v/>
      </c>
      <c r="V136" s="75" t="str">
        <f>IF(ISERROR(FIND('112'!$M$9,G136,1)),"",IF((AND(RIGHT(G136,2)=RIGHT('112'!$M$9,2),B136&lt;'112'!$K$9,$O136='112'!$I$6)),"x",""))</f>
        <v/>
      </c>
      <c r="W136" s="75" t="str">
        <f>IF(AND('341-CT'!$H$9=H136,OR(LEFT(N136,3)=$W$7,LEFT(O136,3)=$W$7)),"x","")</f>
        <v/>
      </c>
      <c r="X136" s="75" t="str">
        <f>IF(OR(TH!N136=TH!$X$7,O136=TH!$X$7),"x","")</f>
        <v/>
      </c>
      <c r="Y136" s="75" t="str">
        <f>IF(AND(OR(N136="131",O136="131"),H136='131-CT'!$H$9),"x","")</f>
        <v/>
      </c>
      <c r="Z136" s="75"/>
      <c r="AA136" s="75" t="str">
        <f>IF(AND(MONTH(E136)='IN-NX'!$J$5,'IN-NX'!$D$7=D136),"x","")</f>
        <v/>
      </c>
      <c r="AB136" s="75" t="str">
        <f>IF(AND(OR(LEFT(TH!N136,2)="15",LEFT(TH!O136,2)="15"),LEFT(TH!O136,3)&lt;&gt;"111",'152-CT'!$J$8=TH!F136),"x","")</f>
        <v/>
      </c>
      <c r="AC136" s="75" t="str">
        <f>IF(AND(OR(LEFT(TH!N136,2)="15",LEFT(TH!O136,2)="15"),TK!$E$7=TH!F136),"x","")</f>
        <v/>
      </c>
      <c r="AD136" s="75" t="str">
        <f>IF(AND(N136="1521",MONTH(C136)='BK-NL'!$M$11),"x","")</f>
        <v/>
      </c>
    </row>
    <row r="137" spans="1:30" ht="16.5" customHeight="1">
      <c r="A137" s="309" t="str">
        <f>IF(B137&lt;&gt;"",IF(AND(B137='IN-TC'!$S$4,OR(TH!N137="1111",TH!O137="1111")),TH!D137,""),"")</f>
        <v/>
      </c>
      <c r="B137" s="1241">
        <f t="shared" si="15"/>
        <v>4</v>
      </c>
      <c r="C137" s="666">
        <v>42854</v>
      </c>
      <c r="D137" s="666" t="s">
        <v>530</v>
      </c>
      <c r="E137" s="666">
        <f t="shared" si="18"/>
        <v>42854</v>
      </c>
      <c r="F137" s="905" t="s">
        <v>734</v>
      </c>
      <c r="G137" s="739" t="s">
        <v>535</v>
      </c>
      <c r="H137" s="871"/>
      <c r="I137" s="374"/>
      <c r="J137" s="380"/>
      <c r="K137" s="374"/>
      <c r="L137" s="380"/>
      <c r="M137" s="670">
        <f>M135</f>
        <v>463730</v>
      </c>
      <c r="N137" s="671" t="s">
        <v>539</v>
      </c>
      <c r="O137" s="671" t="s">
        <v>543</v>
      </c>
      <c r="P137" s="75" t="str">
        <f>IF(AND('331-CT'!$E$7=TH!H137,OR(N137="331",O137="331")),"x","")</f>
        <v/>
      </c>
      <c r="Q137" s="75" t="str">
        <f>IF(AND(B137='111'!$L$11,OR($N137=$Q$7,$O137=$Q$7)),"x","")</f>
        <v/>
      </c>
      <c r="R137" s="75" t="str">
        <f>IF(AND($N137=$Q$7,$B137&lt;'111'!$L$11),"x","")</f>
        <v/>
      </c>
      <c r="S137" s="75" t="str">
        <f>IF(AND($O137=$Q$7,$B137&lt;'111'!$L$11),"x","")</f>
        <v/>
      </c>
      <c r="T137" s="75" t="str">
        <f>IF(ISERROR(FIND('112'!$M$9,G137,1)),"",IF((AND(FIND('112'!$M$9,G137,1)&gt;=1,B137='112'!$K$9,OR($N137='112'!$I$6,$O137='112'!$I$6))),"x",""))</f>
        <v/>
      </c>
      <c r="U137" s="75" t="str">
        <f>IF(ISERROR(FIND('112'!$M$9,G137,1)),"",IF((AND(LEFT(G137,2)=LEFT('112'!$M$9,2),B137&lt;'112'!$K$9,$N137='112'!$I$6)),"x",""))</f>
        <v/>
      </c>
      <c r="V137" s="75" t="str">
        <f>IF(ISERROR(FIND('112'!$M$9,G137,1)),"",IF((AND(RIGHT(G137,2)=RIGHT('112'!$M$9,2),B137&lt;'112'!$K$9,$O137='112'!$I$6)),"x",""))</f>
        <v/>
      </c>
      <c r="W137" s="75" t="str">
        <f>IF(AND('341-CT'!$H$9=H137,OR(LEFT(N137,3)=$W$7,LEFT(O137,3)=$W$7)),"x","")</f>
        <v/>
      </c>
      <c r="X137" s="75" t="str">
        <f>IF(OR(TH!N137=TH!$X$7,O137=TH!$X$7),"x","")</f>
        <v/>
      </c>
      <c r="Y137" s="75" t="str">
        <f>IF(AND(OR(N137="131",O137="131"),H137='131-CT'!$H$9),"x","")</f>
        <v/>
      </c>
      <c r="Z137" s="75"/>
      <c r="AA137" s="75" t="str">
        <f>IF(AND(MONTH(E137)='IN-NX'!$J$5,'IN-NX'!$D$7=D137),"x","")</f>
        <v/>
      </c>
      <c r="AB137" s="75" t="str">
        <f>IF(AND(OR(LEFT(TH!N137,2)="15",LEFT(TH!O137,2)="15"),LEFT(TH!O137,3)&lt;&gt;"111",'152-CT'!$J$8=TH!F137),"x","")</f>
        <v/>
      </c>
      <c r="AC137" s="75" t="str">
        <f>IF(AND(OR(LEFT(TH!N137,2)="15",LEFT(TH!O137,2)="15"),TK!$E$7=TH!F137),"x","")</f>
        <v/>
      </c>
      <c r="AD137" s="75" t="str">
        <f>IF(AND(N137="1521",MONTH(C137)='BK-NL'!$M$11),"x","")</f>
        <v/>
      </c>
    </row>
    <row r="138" spans="1:30" ht="16.5" customHeight="1">
      <c r="A138" s="309" t="str">
        <f>IF(B138&lt;&gt;"",IF(AND(B138='IN-TC'!$S$4,OR(TH!N138="1111",TH!O138="1111")),TH!D138,""),"")</f>
        <v/>
      </c>
      <c r="B138" s="1241">
        <f t="shared" si="15"/>
        <v>4</v>
      </c>
      <c r="C138" s="666">
        <v>42854</v>
      </c>
      <c r="D138" s="666" t="s">
        <v>530</v>
      </c>
      <c r="E138" s="666">
        <f t="shared" si="18"/>
        <v>42854</v>
      </c>
      <c r="F138" s="905" t="s">
        <v>735</v>
      </c>
      <c r="G138" s="250"/>
      <c r="H138" s="294"/>
      <c r="I138" s="373"/>
      <c r="J138" s="379"/>
      <c r="K138" s="373"/>
      <c r="L138" s="379"/>
      <c r="M138" s="670">
        <f>M136</f>
        <v>690000</v>
      </c>
      <c r="N138" s="671" t="s">
        <v>272</v>
      </c>
      <c r="O138" s="671" t="s">
        <v>543</v>
      </c>
      <c r="P138" s="75" t="str">
        <f>IF(AND('331-CT'!$E$7=TH!H138,OR(N138="331",O138="331")),"x","")</f>
        <v/>
      </c>
      <c r="Q138" s="75" t="str">
        <f>IF(AND(B138='111'!$L$11,OR($N138=$Q$7,$O138=$Q$7)),"x","")</f>
        <v/>
      </c>
      <c r="R138" s="75" t="str">
        <f>IF(AND($N138=$Q$7,$B138&lt;'111'!$L$11),"x","")</f>
        <v/>
      </c>
      <c r="S138" s="75" t="str">
        <f>IF(AND($O138=$Q$7,$B138&lt;'111'!$L$11),"x","")</f>
        <v/>
      </c>
      <c r="T138" s="75" t="str">
        <f>IF(ISERROR(FIND('112'!$M$9,G138,1)),"",IF((AND(FIND('112'!$M$9,G138,1)&gt;=1,B138='112'!$K$9,OR($N138='112'!$I$6,$O138='112'!$I$6))),"x",""))</f>
        <v/>
      </c>
      <c r="U138" s="75" t="str">
        <f>IF(ISERROR(FIND('112'!$M$9,G138,1)),"",IF((AND(LEFT(G138,2)=LEFT('112'!$M$9,2),B138&lt;'112'!$K$9,$N138='112'!$I$6)),"x",""))</f>
        <v/>
      </c>
      <c r="V138" s="75" t="str">
        <f>IF(ISERROR(FIND('112'!$M$9,G138,1)),"",IF((AND(RIGHT(G138,2)=RIGHT('112'!$M$9,2),B138&lt;'112'!$K$9,$O138='112'!$I$6)),"x",""))</f>
        <v/>
      </c>
      <c r="W138" s="75" t="str">
        <f>IF(AND('341-CT'!$H$9=H138,OR(LEFT(N138,3)=$W$7,LEFT(O138,3)=$W$7)),"x","")</f>
        <v/>
      </c>
      <c r="X138" s="75" t="str">
        <f>IF(OR(TH!N138=TH!$X$7,O138=TH!$X$7),"x","")</f>
        <v/>
      </c>
      <c r="Y138" s="75" t="str">
        <f>IF(AND(OR(N138="131",O138="131"),H138='131-CT'!$H$9),"x","")</f>
        <v/>
      </c>
      <c r="Z138" s="75"/>
      <c r="AA138" s="75" t="str">
        <f>IF(AND(MONTH(E138)='IN-NX'!$J$5,'IN-NX'!$D$7=D138),"x","")</f>
        <v/>
      </c>
      <c r="AB138" s="75" t="str">
        <f>IF(AND(OR(LEFT(TH!N138,2)="15",LEFT(TH!O138,2)="15"),LEFT(TH!O138,3)&lt;&gt;"111",'152-CT'!$J$8=TH!F138),"x","")</f>
        <v/>
      </c>
      <c r="AC138" s="75" t="str">
        <f>IF(AND(OR(LEFT(TH!N138,2)="15",LEFT(TH!O138,2)="15"),TK!$E$7=TH!F138),"x","")</f>
        <v/>
      </c>
      <c r="AD138" s="75" t="str">
        <f>IF(AND(N138="1521",MONTH(C138)='BK-NL'!$M$11),"x","")</f>
        <v/>
      </c>
    </row>
    <row r="139" spans="1:30" ht="16.5" customHeight="1">
      <c r="A139" s="309" t="str">
        <f>IF(B139&lt;&gt;"",IF(AND(B139='IN-TC'!$S$4,OR(TH!N139="1111",TH!O139="1111")),TH!D139,""),"")</f>
        <v/>
      </c>
      <c r="B139" s="1241">
        <f t="shared" ref="B139" si="21">IF(C139&lt;&gt;"",MONTH(C139),"")</f>
        <v>4</v>
      </c>
      <c r="C139" s="666">
        <v>42854</v>
      </c>
      <c r="D139" s="666" t="s">
        <v>530</v>
      </c>
      <c r="E139" s="666">
        <f t="shared" ref="E139" si="22">C139</f>
        <v>42854</v>
      </c>
      <c r="F139" s="905" t="s">
        <v>2672</v>
      </c>
      <c r="G139" s="250"/>
      <c r="H139" s="294"/>
      <c r="I139" s="373"/>
      <c r="J139" s="379"/>
      <c r="K139" s="373"/>
      <c r="L139" s="379"/>
      <c r="M139" s="670">
        <v>306115</v>
      </c>
      <c r="N139" s="671" t="s">
        <v>105</v>
      </c>
      <c r="O139" s="671" t="s">
        <v>541</v>
      </c>
      <c r="P139" s="75" t="str">
        <f>IF(AND('331-CT'!$E$7=TH!H139,OR(N139="331",O139="331")),"x","")</f>
        <v/>
      </c>
      <c r="Q139" s="75" t="str">
        <f>IF(AND(B139='111'!$L$11,OR($N139=$Q$7,$O139=$Q$7)),"x","")</f>
        <v/>
      </c>
      <c r="R139" s="75" t="str">
        <f>IF(AND($N139=$Q$7,$B139&lt;'111'!$L$11),"x","")</f>
        <v/>
      </c>
      <c r="S139" s="75" t="str">
        <f>IF(AND($O139=$Q$7,$B139&lt;'111'!$L$11),"x","")</f>
        <v/>
      </c>
      <c r="T139" s="75" t="str">
        <f>IF(ISERROR(FIND('112'!$M$9,G139,1)),"",IF((AND(FIND('112'!$M$9,G139,1)&gt;=1,B139='112'!$K$9,OR($N139='112'!$I$6,$O139='112'!$I$6))),"x",""))</f>
        <v/>
      </c>
      <c r="U139" s="75" t="str">
        <f>IF(ISERROR(FIND('112'!$M$9,G139,1)),"",IF((AND(LEFT(G139,2)=LEFT('112'!$M$9,2),B139&lt;'112'!$K$9,$N139='112'!$I$6)),"x",""))</f>
        <v/>
      </c>
      <c r="V139" s="75" t="str">
        <f>IF(ISERROR(FIND('112'!$M$9,G139,1)),"",IF((AND(RIGHT(G139,2)=RIGHT('112'!$M$9,2),B139&lt;'112'!$K$9,$O139='112'!$I$6)),"x",""))</f>
        <v/>
      </c>
      <c r="W139" s="75" t="str">
        <f>IF(AND('341-CT'!$H$9=H139,OR(LEFT(N139,3)=$W$7,LEFT(O139,3)=$W$7)),"x","")</f>
        <v/>
      </c>
      <c r="X139" s="75" t="str">
        <f>IF(OR(TH!N139=TH!$X$7,O139=TH!$X$7),"x","")</f>
        <v/>
      </c>
      <c r="Y139" s="75" t="str">
        <f>IF(AND(OR(N139="131",O139="131"),H139='131-CT'!$H$9),"x","")</f>
        <v/>
      </c>
      <c r="Z139" s="75"/>
      <c r="AA139" s="75" t="str">
        <f>IF(AND(MONTH(E139)='IN-NX'!$J$5,'IN-NX'!$D$7=D139),"x","")</f>
        <v/>
      </c>
      <c r="AB139" s="75" t="str">
        <f>IF(AND(OR(LEFT(TH!N139,2)="15",LEFT(TH!O139,2)="15"),LEFT(TH!O139,3)&lt;&gt;"111",'152-CT'!$J$8=TH!F139),"x","")</f>
        <v/>
      </c>
      <c r="AC139" s="75" t="str">
        <f>IF(AND(OR(LEFT(TH!N139,2)="15",LEFT(TH!O139,2)="15"),TK!$E$7=TH!F139),"x","")</f>
        <v/>
      </c>
      <c r="AD139" s="75" t="str">
        <f>IF(AND(N139="1521",MONTH(C139)='BK-NL'!$M$11),"x","")</f>
        <v/>
      </c>
    </row>
    <row r="140" spans="1:30" ht="16.5" customHeight="1">
      <c r="A140" s="309" t="str">
        <f>IF(B140&lt;&gt;"",IF(AND(B140='IN-TC'!$S$4,OR(TH!N140="1111",TH!O140="1111")),TH!D140,""),"")</f>
        <v/>
      </c>
      <c r="B140" s="1242">
        <f t="shared" si="15"/>
        <v>5</v>
      </c>
      <c r="C140" s="666">
        <v>42886</v>
      </c>
      <c r="D140" s="666" t="s">
        <v>530</v>
      </c>
      <c r="E140" s="666">
        <f t="shared" si="18"/>
        <v>42886</v>
      </c>
      <c r="F140" s="905" t="s">
        <v>722</v>
      </c>
      <c r="G140" s="250">
        <v>46373000</v>
      </c>
      <c r="H140" s="294"/>
      <c r="I140" s="373"/>
      <c r="J140" s="379"/>
      <c r="K140" s="373"/>
      <c r="L140" s="379"/>
      <c r="M140" s="670">
        <v>47516667</v>
      </c>
      <c r="N140" s="671" t="s">
        <v>539</v>
      </c>
      <c r="O140" s="671" t="s">
        <v>540</v>
      </c>
      <c r="P140" s="75" t="str">
        <f>IF(AND('331-CT'!$E$7=TH!H140,OR(N140="331",O140="331")),"x","")</f>
        <v/>
      </c>
      <c r="Q140" s="75" t="str">
        <f>IF(AND(B140='111'!$L$11,OR($N140=$Q$7,$O140=$Q$7)),"x","")</f>
        <v/>
      </c>
      <c r="R140" s="75" t="str">
        <f>IF(AND($N140=$Q$7,$B140&lt;'111'!$L$11),"x","")</f>
        <v/>
      </c>
      <c r="S140" s="75" t="str">
        <f>IF(AND($O140=$Q$7,$B140&lt;'111'!$L$11),"x","")</f>
        <v/>
      </c>
      <c r="T140" s="75" t="str">
        <f>IF(ISERROR(FIND('112'!$M$9,G140,1)),"",IF((AND(FIND('112'!$M$9,G140,1)&gt;=1,B140='112'!$K$9,OR($N140='112'!$I$6,$O140='112'!$I$6))),"x",""))</f>
        <v/>
      </c>
      <c r="U140" s="75" t="str">
        <f>IF(ISERROR(FIND('112'!$M$9,G140,1)),"",IF((AND(LEFT(G140,2)=LEFT('112'!$M$9,2),B140&lt;'112'!$K$9,$N140='112'!$I$6)),"x",""))</f>
        <v/>
      </c>
      <c r="V140" s="75" t="str">
        <f>IF(ISERROR(FIND('112'!$M$9,G140,1)),"",IF((AND(RIGHT(G140,2)=RIGHT('112'!$M$9,2),B140&lt;'112'!$K$9,$O140='112'!$I$6)),"x",""))</f>
        <v/>
      </c>
      <c r="W140" s="75" t="str">
        <f>IF(AND('341-CT'!$H$9=H140,OR(LEFT(N140,3)=$W$7,LEFT(O140,3)=$W$7)),"x","")</f>
        <v/>
      </c>
      <c r="X140" s="75" t="str">
        <f>IF(OR(TH!N140=TH!$X$7,O140=TH!$X$7),"x","")</f>
        <v/>
      </c>
      <c r="Y140" s="75" t="str">
        <f>IF(AND(OR(N140="131",O140="131"),H140='131-CT'!$H$9),"x","")</f>
        <v/>
      </c>
      <c r="Z140" s="75"/>
      <c r="AA140" s="75" t="str">
        <f>IF(AND(MONTH(E140)='IN-NX'!$J$5,'IN-NX'!$D$7=D140),"x","")</f>
        <v/>
      </c>
      <c r="AB140" s="75" t="str">
        <f>IF(AND(OR(LEFT(TH!N140,2)="15",LEFT(TH!O140,2)="15"),LEFT(TH!O140,3)&lt;&gt;"111",'152-CT'!$J$8=TH!F140),"x","")</f>
        <v/>
      </c>
      <c r="AC140" s="75" t="str">
        <f>IF(AND(OR(LEFT(TH!N140,2)="15",LEFT(TH!O140,2)="15"),TK!$E$7=TH!F140),"x","")</f>
        <v/>
      </c>
      <c r="AD140" s="75" t="str">
        <f>IF(AND(N140="1521",MONTH(C140)='BK-NL'!$M$11),"x","")</f>
        <v/>
      </c>
    </row>
    <row r="141" spans="1:30" ht="16.5" customHeight="1">
      <c r="A141" s="309" t="str">
        <f>IF(B141&lt;&gt;"",IF(AND(B141='IN-TC'!$S$4,OR(TH!N141="1111",TH!O141="1111")),TH!D141,""),"")</f>
        <v/>
      </c>
      <c r="B141" s="1242">
        <f t="shared" si="15"/>
        <v>5</v>
      </c>
      <c r="C141" s="666">
        <v>42886</v>
      </c>
      <c r="D141" s="666" t="s">
        <v>530</v>
      </c>
      <c r="E141" s="666">
        <f t="shared" si="18"/>
        <v>42886</v>
      </c>
      <c r="F141" s="905" t="s">
        <v>723</v>
      </c>
      <c r="G141" s="250">
        <v>69000000</v>
      </c>
      <c r="H141" s="294"/>
      <c r="I141" s="373"/>
      <c r="J141" s="379"/>
      <c r="K141" s="373"/>
      <c r="L141" s="379"/>
      <c r="M141" s="670">
        <v>76695000</v>
      </c>
      <c r="N141" s="671" t="s">
        <v>272</v>
      </c>
      <c r="O141" s="671" t="s">
        <v>540</v>
      </c>
      <c r="P141" s="75" t="str">
        <f>IF(AND('331-CT'!$E$7=TH!H141,OR(N141="331",O141="331")),"x","")</f>
        <v/>
      </c>
      <c r="Q141" s="75" t="str">
        <f>IF(AND(B141='111'!$L$11,OR($N141=$Q$7,$O141=$Q$7)),"x","")</f>
        <v/>
      </c>
      <c r="R141" s="75" t="str">
        <f>IF(AND($N141=$Q$7,$B141&lt;'111'!$L$11),"x","")</f>
        <v/>
      </c>
      <c r="S141" s="75" t="str">
        <f>IF(AND($O141=$Q$7,$B141&lt;'111'!$L$11),"x","")</f>
        <v/>
      </c>
      <c r="T141" s="75" t="str">
        <f>IF(ISERROR(FIND('112'!$M$9,G141,1)),"",IF((AND(FIND('112'!$M$9,G141,1)&gt;=1,B141='112'!$K$9,OR($N141='112'!$I$6,$O141='112'!$I$6))),"x",""))</f>
        <v/>
      </c>
      <c r="U141" s="75" t="str">
        <f>IF(ISERROR(FIND('112'!$M$9,G141,1)),"",IF((AND(LEFT(G141,2)=LEFT('112'!$M$9,2),B141&lt;'112'!$K$9,$N141='112'!$I$6)),"x",""))</f>
        <v/>
      </c>
      <c r="V141" s="75" t="str">
        <f>IF(ISERROR(FIND('112'!$M$9,G141,1)),"",IF((AND(RIGHT(G141,2)=RIGHT('112'!$M$9,2),B141&lt;'112'!$K$9,$O141='112'!$I$6)),"x",""))</f>
        <v/>
      </c>
      <c r="W141" s="75" t="str">
        <f>IF(AND('341-CT'!$H$9=H141,OR(LEFT(N141,3)=$W$7,LEFT(O141,3)=$W$7)),"x","")</f>
        <v/>
      </c>
      <c r="X141" s="75" t="str">
        <f>IF(OR(TH!N141=TH!$X$7,O141=TH!$X$7),"x","")</f>
        <v/>
      </c>
      <c r="Y141" s="75" t="str">
        <f>IF(AND(OR(N141="131",O141="131"),H141='131-CT'!$H$9),"x","")</f>
        <v/>
      </c>
      <c r="Z141" s="75"/>
      <c r="AA141" s="75" t="str">
        <f>IF(AND(MONTH(E141)='IN-NX'!$J$5,'IN-NX'!$D$7=D141),"x","")</f>
        <v/>
      </c>
      <c r="AB141" s="75" t="str">
        <f>IF(AND(OR(LEFT(TH!N141,2)="15",LEFT(TH!O141,2)="15"),LEFT(TH!O141,3)&lt;&gt;"111",'152-CT'!$J$8=TH!F141),"x","")</f>
        <v/>
      </c>
      <c r="AC141" s="75" t="str">
        <f>IF(AND(OR(LEFT(TH!N141,2)="15",LEFT(TH!O141,2)="15"),TK!$E$7=TH!F141),"x","")</f>
        <v/>
      </c>
      <c r="AD141" s="75" t="str">
        <f>IF(AND(N141="1521",MONTH(C141)='BK-NL'!$M$11),"x","")</f>
        <v/>
      </c>
    </row>
    <row r="142" spans="1:30" ht="16.5" customHeight="1">
      <c r="A142" s="309" t="str">
        <f>IF(B142&lt;&gt;"",IF(AND(B142='IN-TC'!$S$4,OR(TH!N142="1111",TH!O142="1111")),TH!D142,""),"")</f>
        <v/>
      </c>
      <c r="B142" s="1242">
        <f t="shared" si="15"/>
        <v>5</v>
      </c>
      <c r="C142" s="666">
        <v>42886</v>
      </c>
      <c r="D142" s="666" t="s">
        <v>530</v>
      </c>
      <c r="E142" s="666">
        <f t="shared" si="18"/>
        <v>42886</v>
      </c>
      <c r="F142" s="905" t="s">
        <v>724</v>
      </c>
      <c r="G142" s="739" t="s">
        <v>531</v>
      </c>
      <c r="H142" s="294"/>
      <c r="I142" s="373"/>
      <c r="J142" s="379"/>
      <c r="K142" s="373"/>
      <c r="L142" s="379"/>
      <c r="M142" s="670">
        <f>ROUND(G140*$G142,0)</f>
        <v>3709840</v>
      </c>
      <c r="N142" s="671" t="s">
        <v>540</v>
      </c>
      <c r="O142" s="671" t="s">
        <v>541</v>
      </c>
      <c r="P142" s="75" t="str">
        <f>IF(AND('331-CT'!$E$7=TH!H142,OR(N142="331",O142="331")),"x","")</f>
        <v/>
      </c>
      <c r="Q142" s="75" t="str">
        <f>IF(AND(B142='111'!$L$11,OR($N142=$Q$7,$O142=$Q$7)),"x","")</f>
        <v/>
      </c>
      <c r="R142" s="75" t="str">
        <f>IF(AND($N142=$Q$7,$B142&lt;'111'!$L$11),"x","")</f>
        <v/>
      </c>
      <c r="S142" s="75" t="str">
        <f>IF(AND($O142=$Q$7,$B142&lt;'111'!$L$11),"x","")</f>
        <v/>
      </c>
      <c r="T142" s="75" t="str">
        <f>IF(ISERROR(FIND('112'!$M$9,G142,1)),"",IF((AND(FIND('112'!$M$9,G142,1)&gt;=1,B142='112'!$K$9,OR($N142='112'!$I$6,$O142='112'!$I$6))),"x",""))</f>
        <v/>
      </c>
      <c r="U142" s="75" t="str">
        <f>IF(ISERROR(FIND('112'!$M$9,G142,1)),"",IF((AND(LEFT(G142,2)=LEFT('112'!$M$9,2),B142&lt;'112'!$K$9,$N142='112'!$I$6)),"x",""))</f>
        <v/>
      </c>
      <c r="V142" s="75" t="str">
        <f>IF(ISERROR(FIND('112'!$M$9,G142,1)),"",IF((AND(RIGHT(G142,2)=RIGHT('112'!$M$9,2),B142&lt;'112'!$K$9,$O142='112'!$I$6)),"x",""))</f>
        <v/>
      </c>
      <c r="W142" s="75" t="str">
        <f>IF(AND('341-CT'!$H$9=H142,OR(LEFT(N142,3)=$W$7,LEFT(O142,3)=$W$7)),"x","")</f>
        <v/>
      </c>
      <c r="X142" s="75" t="str">
        <f>IF(OR(TH!N142=TH!$X$7,O142=TH!$X$7),"x","")</f>
        <v/>
      </c>
      <c r="Y142" s="75" t="str">
        <f>IF(AND(OR(N142="131",O142="131"),H142='131-CT'!$H$9),"x","")</f>
        <v/>
      </c>
      <c r="Z142" s="75"/>
      <c r="AA142" s="75" t="str">
        <f>IF(AND(MONTH(E142)='IN-NX'!$J$5,'IN-NX'!$D$7=D142),"x","")</f>
        <v/>
      </c>
      <c r="AB142" s="75" t="str">
        <f>IF(AND(OR(LEFT(TH!N142,2)="15",LEFT(TH!O142,2)="15"),LEFT(TH!O142,3)&lt;&gt;"111",'152-CT'!$J$8=TH!F142),"x","")</f>
        <v/>
      </c>
      <c r="AC142" s="75" t="str">
        <f>IF(AND(OR(LEFT(TH!N142,2)="15",LEFT(TH!O142,2)="15"),TK!$E$7=TH!F142),"x","")</f>
        <v/>
      </c>
      <c r="AD142" s="75" t="str">
        <f>IF(AND(N142="1521",MONTH(C142)='BK-NL'!$M$11),"x","")</f>
        <v/>
      </c>
    </row>
    <row r="143" spans="1:30" ht="16.5" customHeight="1">
      <c r="A143" s="309" t="str">
        <f>IF(B143&lt;&gt;"",IF(AND(B143='IN-TC'!$S$4,OR(TH!N143="1111",TH!O143="1111")),TH!D143,""),"")</f>
        <v/>
      </c>
      <c r="B143" s="1242">
        <f t="shared" si="15"/>
        <v>5</v>
      </c>
      <c r="C143" s="666">
        <v>42886</v>
      </c>
      <c r="D143" s="666" t="s">
        <v>530</v>
      </c>
      <c r="E143" s="666">
        <f t="shared" si="18"/>
        <v>42886</v>
      </c>
      <c r="F143" s="905" t="s">
        <v>725</v>
      </c>
      <c r="G143" s="250"/>
      <c r="H143" s="294"/>
      <c r="I143" s="373"/>
      <c r="J143" s="379"/>
      <c r="K143" s="373"/>
      <c r="L143" s="379"/>
      <c r="M143" s="670">
        <f>ROUND(G141*$G142,0)</f>
        <v>5520000</v>
      </c>
      <c r="N143" s="672" t="s">
        <v>540</v>
      </c>
      <c r="O143" s="673" t="s">
        <v>541</v>
      </c>
      <c r="P143" s="75" t="str">
        <f>IF(AND('331-CT'!$E$7=TH!H143,OR(N143="331",O143="331")),"x","")</f>
        <v/>
      </c>
      <c r="Q143" s="75" t="str">
        <f>IF(AND(B143='111'!$L$11,OR($N143=$Q$7,$O143=$Q$7)),"x","")</f>
        <v/>
      </c>
      <c r="R143" s="75" t="str">
        <f>IF(AND($N143=$Q$7,$B143&lt;'111'!$L$11),"x","")</f>
        <v/>
      </c>
      <c r="S143" s="75" t="str">
        <f>IF(AND($O143=$Q$7,$B143&lt;'111'!$L$11),"x","")</f>
        <v/>
      </c>
      <c r="T143" s="75" t="str">
        <f>IF(ISERROR(FIND('112'!$M$9,G143,1)),"",IF((AND(FIND('112'!$M$9,G143,1)&gt;=1,B143='112'!$K$9,OR($N143='112'!$I$6,$O143='112'!$I$6))),"x",""))</f>
        <v/>
      </c>
      <c r="U143" s="75" t="str">
        <f>IF(ISERROR(FIND('112'!$M$9,G143,1)),"",IF((AND(LEFT(G143,2)=LEFT('112'!$M$9,2),B143&lt;'112'!$K$9,$N143='112'!$I$6)),"x",""))</f>
        <v/>
      </c>
      <c r="V143" s="75" t="str">
        <f>IF(ISERROR(FIND('112'!$M$9,G143,1)),"",IF((AND(RIGHT(G143,2)=RIGHT('112'!$M$9,2),B143&lt;'112'!$K$9,$O143='112'!$I$6)),"x",""))</f>
        <v/>
      </c>
      <c r="W143" s="75" t="str">
        <f>IF(AND('341-CT'!$H$9=H143,OR(LEFT(N143,3)=$W$7,LEFT(O143,3)=$W$7)),"x","")</f>
        <v/>
      </c>
      <c r="X143" s="75" t="str">
        <f>IF(OR(TH!N143=TH!$X$7,O143=TH!$X$7),"x","")</f>
        <v/>
      </c>
      <c r="Y143" s="75" t="str">
        <f>IF(AND(OR(N143="131",O143="131"),H143='131-CT'!$H$9),"x","")</f>
        <v/>
      </c>
      <c r="Z143" s="75"/>
      <c r="AA143" s="75" t="str">
        <f>IF(AND(MONTH(E143)='IN-NX'!$J$5,'IN-NX'!$D$7=D143),"x","")</f>
        <v/>
      </c>
      <c r="AB143" s="75" t="str">
        <f>IF(AND(OR(LEFT(TH!N143,2)="15",LEFT(TH!O143,2)="15"),LEFT(TH!O143,3)&lt;&gt;"111",'152-CT'!$J$8=TH!F143),"x","")</f>
        <v/>
      </c>
      <c r="AC143" s="75" t="str">
        <f>IF(AND(OR(LEFT(TH!N143,2)="15",LEFT(TH!O143,2)="15"),TK!$E$7=TH!F143),"x","")</f>
        <v/>
      </c>
      <c r="AD143" s="75" t="str">
        <f>IF(AND(N143="1521",MONTH(C143)='BK-NL'!$M$11),"x","")</f>
        <v/>
      </c>
    </row>
    <row r="144" spans="1:30" ht="16.5" customHeight="1">
      <c r="A144" s="309" t="str">
        <f>IF(B144&lt;&gt;"",IF(AND(B144='IN-TC'!$S$4,OR(TH!N144="1111",TH!O144="1111")),TH!D144,""),"")</f>
        <v/>
      </c>
      <c r="B144" s="1242">
        <f t="shared" si="15"/>
        <v>5</v>
      </c>
      <c r="C144" s="666">
        <v>42886</v>
      </c>
      <c r="D144" s="666" t="s">
        <v>530</v>
      </c>
      <c r="E144" s="666">
        <f t="shared" si="18"/>
        <v>42886</v>
      </c>
      <c r="F144" s="905" t="s">
        <v>726</v>
      </c>
      <c r="G144" s="739" t="s">
        <v>532</v>
      </c>
      <c r="H144" s="294"/>
      <c r="I144" s="373"/>
      <c r="J144" s="379"/>
      <c r="K144" s="373"/>
      <c r="L144" s="379"/>
      <c r="M144" s="670">
        <f>ROUND(G140*$G144,0)</f>
        <v>8347140</v>
      </c>
      <c r="N144" s="671" t="s">
        <v>539</v>
      </c>
      <c r="O144" s="671" t="s">
        <v>541</v>
      </c>
      <c r="P144" s="75" t="str">
        <f>IF(AND('331-CT'!$E$7=TH!H144,OR(N144="331",O144="331")),"x","")</f>
        <v/>
      </c>
      <c r="Q144" s="75" t="str">
        <f>IF(AND(B144='111'!$L$11,OR($N144=$Q$7,$O144=$Q$7)),"x","")</f>
        <v/>
      </c>
      <c r="R144" s="75" t="str">
        <f>IF(AND($N144=$Q$7,$B144&lt;'111'!$L$11),"x","")</f>
        <v/>
      </c>
      <c r="S144" s="75" t="str">
        <f>IF(AND($O144=$Q$7,$B144&lt;'111'!$L$11),"x","")</f>
        <v/>
      </c>
      <c r="T144" s="75" t="str">
        <f>IF(ISERROR(FIND('112'!$M$9,G144,1)),"",IF((AND(FIND('112'!$M$9,G144,1)&gt;=1,B144='112'!$K$9,OR($N144='112'!$I$6,$O144='112'!$I$6))),"x",""))</f>
        <v/>
      </c>
      <c r="U144" s="75" t="str">
        <f>IF(ISERROR(FIND('112'!$M$9,G144,1)),"",IF((AND(LEFT(G144,2)=LEFT('112'!$M$9,2),B144&lt;'112'!$K$9,$N144='112'!$I$6)),"x",""))</f>
        <v/>
      </c>
      <c r="V144" s="75" t="str">
        <f>IF(ISERROR(FIND('112'!$M$9,G144,1)),"",IF((AND(RIGHT(G144,2)=RIGHT('112'!$M$9,2),B144&lt;'112'!$K$9,$O144='112'!$I$6)),"x",""))</f>
        <v/>
      </c>
      <c r="W144" s="75" t="str">
        <f>IF(AND('341-CT'!$H$9=H144,OR(LEFT(N144,3)=$W$7,LEFT(O144,3)=$W$7)),"x","")</f>
        <v/>
      </c>
      <c r="X144" s="75" t="str">
        <f>IF(OR(TH!N144=TH!$X$7,O144=TH!$X$7),"x","")</f>
        <v/>
      </c>
      <c r="Y144" s="75" t="str">
        <f>IF(AND(OR(N144="131",O144="131"),H144='131-CT'!$H$9),"x","")</f>
        <v/>
      </c>
      <c r="Z144" s="75"/>
      <c r="AA144" s="75" t="str">
        <f>IF(AND(MONTH(E144)='IN-NX'!$J$5,'IN-NX'!$D$7=D144),"x","")</f>
        <v/>
      </c>
      <c r="AB144" s="75" t="str">
        <f>IF(AND(OR(LEFT(TH!N144,2)="15",LEFT(TH!O144,2)="15"),LEFT(TH!O144,3)&lt;&gt;"111",'152-CT'!$J$8=TH!F144),"x","")</f>
        <v/>
      </c>
      <c r="AC144" s="75" t="str">
        <f>IF(AND(OR(LEFT(TH!N144,2)="15",LEFT(TH!O144,2)="15"),TK!$E$7=TH!F144),"x","")</f>
        <v/>
      </c>
      <c r="AD144" s="75" t="str">
        <f>IF(AND(N144="1521",MONTH(C144)='BK-NL'!$M$11),"x","")</f>
        <v/>
      </c>
    </row>
    <row r="145" spans="1:30" ht="16.5" customHeight="1">
      <c r="A145" s="309" t="str">
        <f>IF(B145&lt;&gt;"",IF(AND(B145='IN-TC'!$S$4,OR(TH!N145="1111",TH!O145="1111")),TH!D145,""),"")</f>
        <v/>
      </c>
      <c r="B145" s="1242">
        <f t="shared" si="15"/>
        <v>5</v>
      </c>
      <c r="C145" s="666">
        <v>42886</v>
      </c>
      <c r="D145" s="666" t="s">
        <v>530</v>
      </c>
      <c r="E145" s="666">
        <f t="shared" si="18"/>
        <v>42886</v>
      </c>
      <c r="F145" s="905" t="s">
        <v>727</v>
      </c>
      <c r="G145" s="250"/>
      <c r="H145" s="294"/>
      <c r="I145" s="373"/>
      <c r="J145" s="379"/>
      <c r="K145" s="373"/>
      <c r="L145" s="379"/>
      <c r="M145" s="670">
        <f>ROUND(G141*$G144,0)</f>
        <v>12420000</v>
      </c>
      <c r="N145" s="671" t="s">
        <v>272</v>
      </c>
      <c r="O145" s="671" t="s">
        <v>541</v>
      </c>
      <c r="P145" s="75" t="str">
        <f>IF(AND('331-CT'!$E$7=TH!H145,OR(N145="331",O145="331")),"x","")</f>
        <v/>
      </c>
      <c r="Q145" s="75" t="str">
        <f>IF(AND(B145='111'!$L$11,OR($N145=$Q$7,$O145=$Q$7)),"x","")</f>
        <v/>
      </c>
      <c r="R145" s="75" t="str">
        <f>IF(AND($N145=$Q$7,$B145&lt;'111'!$L$11),"x","")</f>
        <v/>
      </c>
      <c r="S145" s="75" t="str">
        <f>IF(AND($O145=$Q$7,$B145&lt;'111'!$L$11),"x","")</f>
        <v/>
      </c>
      <c r="T145" s="75" t="str">
        <f>IF(ISERROR(FIND('112'!$M$9,G145,1)),"",IF((AND(FIND('112'!$M$9,G145,1)&gt;=1,B145='112'!$K$9,OR($N145='112'!$I$6,$O145='112'!$I$6))),"x",""))</f>
        <v/>
      </c>
      <c r="U145" s="75" t="str">
        <f>IF(ISERROR(FIND('112'!$M$9,G145,1)),"",IF((AND(LEFT(G145,2)=LEFT('112'!$M$9,2),B145&lt;'112'!$K$9,$N145='112'!$I$6)),"x",""))</f>
        <v/>
      </c>
      <c r="V145" s="75" t="str">
        <f>IF(ISERROR(FIND('112'!$M$9,G145,1)),"",IF((AND(RIGHT(G145,2)=RIGHT('112'!$M$9,2),B145&lt;'112'!$K$9,$O145='112'!$I$6)),"x",""))</f>
        <v/>
      </c>
      <c r="W145" s="75" t="str">
        <f>IF(AND('341-CT'!$H$9=H145,OR(LEFT(N145,3)=$W$7,LEFT(O145,3)=$W$7)),"x","")</f>
        <v/>
      </c>
      <c r="X145" s="75" t="str">
        <f>IF(OR(TH!N145=TH!$X$7,O145=TH!$X$7),"x","")</f>
        <v/>
      </c>
      <c r="Y145" s="75" t="str">
        <f>IF(AND(OR(N145="131",O145="131"),H145='131-CT'!$H$9),"x","")</f>
        <v/>
      </c>
      <c r="Z145" s="75"/>
      <c r="AA145" s="75" t="str">
        <f>IF(AND(MONTH(E145)='IN-NX'!$J$5,'IN-NX'!$D$7=D145),"x","")</f>
        <v/>
      </c>
      <c r="AB145" s="75" t="str">
        <f>IF(AND(OR(LEFT(TH!N145,2)="15",LEFT(TH!O145,2)="15"),LEFT(TH!O145,3)&lt;&gt;"111",'152-CT'!$J$8=TH!F145),"x","")</f>
        <v/>
      </c>
      <c r="AC145" s="75" t="str">
        <f>IF(AND(OR(LEFT(TH!N145,2)="15",LEFT(TH!O145,2)="15"),TK!$E$7=TH!F145),"x","")</f>
        <v/>
      </c>
      <c r="AD145" s="75" t="str">
        <f>IF(AND(N145="1521",MONTH(C145)='BK-NL'!$M$11),"x","")</f>
        <v/>
      </c>
    </row>
    <row r="146" spans="1:30" ht="16.5" customHeight="1">
      <c r="A146" s="309" t="str">
        <f>IF(B146&lt;&gt;"",IF(AND(B146='IN-TC'!$S$4,OR(TH!N146="1111",TH!O146="1111")),TH!D146,""),"")</f>
        <v/>
      </c>
      <c r="B146" s="1242">
        <f t="shared" si="15"/>
        <v>5</v>
      </c>
      <c r="C146" s="666">
        <v>42886</v>
      </c>
      <c r="D146" s="666" t="s">
        <v>530</v>
      </c>
      <c r="E146" s="666">
        <f t="shared" si="18"/>
        <v>42886</v>
      </c>
      <c r="F146" s="905" t="s">
        <v>728</v>
      </c>
      <c r="G146" s="739" t="s">
        <v>533</v>
      </c>
      <c r="H146" s="296"/>
      <c r="I146" s="371"/>
      <c r="J146" s="377"/>
      <c r="K146" s="371"/>
      <c r="L146" s="377"/>
      <c r="M146" s="670">
        <f>ROUND(G140*$G146,0)</f>
        <v>695595</v>
      </c>
      <c r="N146" s="671" t="s">
        <v>540</v>
      </c>
      <c r="O146" s="671" t="s">
        <v>542</v>
      </c>
      <c r="P146" s="75" t="str">
        <f>IF(AND('331-CT'!$E$7=TH!H146,OR(N146="331",O146="331")),"x","")</f>
        <v/>
      </c>
      <c r="Q146" s="75" t="str">
        <f>IF(AND(B146='111'!$L$11,OR($N146=$Q$7,$O146=$Q$7)),"x","")</f>
        <v/>
      </c>
      <c r="R146" s="75" t="str">
        <f>IF(AND($N146=$Q$7,$B146&lt;'111'!$L$11),"x","")</f>
        <v/>
      </c>
      <c r="S146" s="75" t="str">
        <f>IF(AND($O146=$Q$7,$B146&lt;'111'!$L$11),"x","")</f>
        <v/>
      </c>
      <c r="T146" s="75" t="str">
        <f>IF(ISERROR(FIND('112'!$M$9,G146,1)),"",IF((AND(FIND('112'!$M$9,G146,1)&gt;=1,B146='112'!$K$9,OR($N146='112'!$I$6,$O146='112'!$I$6))),"x",""))</f>
        <v/>
      </c>
      <c r="U146" s="75" t="str">
        <f>IF(ISERROR(FIND('112'!$M$9,G146,1)),"",IF((AND(LEFT(G146,2)=LEFT('112'!$M$9,2),B146&lt;'112'!$K$9,$N146='112'!$I$6)),"x",""))</f>
        <v/>
      </c>
      <c r="V146" s="75" t="str">
        <f>IF(ISERROR(FIND('112'!$M$9,G146,1)),"",IF((AND(RIGHT(G146,2)=RIGHT('112'!$M$9,2),B146&lt;'112'!$K$9,$O146='112'!$I$6)),"x",""))</f>
        <v/>
      </c>
      <c r="W146" s="75" t="str">
        <f>IF(AND('341-CT'!$H$9=H146,OR(LEFT(N146,3)=$W$7,LEFT(O146,3)=$W$7)),"x","")</f>
        <v/>
      </c>
      <c r="X146" s="75" t="str">
        <f>IF(OR(TH!N146=TH!$X$7,O146=TH!$X$7),"x","")</f>
        <v/>
      </c>
      <c r="Y146" s="75" t="str">
        <f>IF(AND(OR(N146="131",O146="131"),H146='131-CT'!$H$9),"x","")</f>
        <v/>
      </c>
      <c r="Z146" s="75"/>
      <c r="AA146" s="75" t="str">
        <f>IF(AND(MONTH(E146)='IN-NX'!$J$5,'IN-NX'!$D$7=D146),"x","")</f>
        <v/>
      </c>
      <c r="AB146" s="75" t="str">
        <f>IF(AND(OR(LEFT(TH!N146,2)="15",LEFT(TH!O146,2)="15"),LEFT(TH!O146,3)&lt;&gt;"111",'152-CT'!$J$8=TH!F146),"x","")</f>
        <v/>
      </c>
      <c r="AC146" s="75" t="str">
        <f>IF(AND(OR(LEFT(TH!N146,2)="15",LEFT(TH!O146,2)="15"),TK!$E$7=TH!F146),"x","")</f>
        <v/>
      </c>
      <c r="AD146" s="75" t="str">
        <f>IF(AND(N146="1521",MONTH(C146)='BK-NL'!$M$11),"x","")</f>
        <v/>
      </c>
    </row>
    <row r="147" spans="1:30" ht="16.5" customHeight="1">
      <c r="A147" s="309" t="str">
        <f>IF(B147&lt;&gt;"",IF(AND(B147='IN-TC'!$S$4,OR(TH!N147="1111",TH!O147="1111")),TH!D147,""),"")</f>
        <v/>
      </c>
      <c r="B147" s="1242">
        <f t="shared" si="15"/>
        <v>5</v>
      </c>
      <c r="C147" s="666">
        <v>42886</v>
      </c>
      <c r="D147" s="666" t="s">
        <v>530</v>
      </c>
      <c r="E147" s="666">
        <f t="shared" si="18"/>
        <v>42886</v>
      </c>
      <c r="F147" s="905" t="s">
        <v>729</v>
      </c>
      <c r="G147" s="250"/>
      <c r="H147" s="296"/>
      <c r="I147" s="371"/>
      <c r="J147" s="377"/>
      <c r="K147" s="371"/>
      <c r="L147" s="377"/>
      <c r="M147" s="670">
        <f>ROUND(G141*$G146,0)</f>
        <v>1035000</v>
      </c>
      <c r="N147" s="671" t="s">
        <v>540</v>
      </c>
      <c r="O147" s="671" t="s">
        <v>542</v>
      </c>
      <c r="P147" s="75" t="str">
        <f>IF(AND('331-CT'!$E$7=TH!H147,OR(N147="331",O147="331")),"x","")</f>
        <v/>
      </c>
      <c r="Q147" s="75" t="str">
        <f>IF(AND(B147='111'!$L$11,OR($N147=$Q$7,$O147=$Q$7)),"x","")</f>
        <v/>
      </c>
      <c r="R147" s="75" t="str">
        <f>IF(AND($N147=$Q$7,$B147&lt;'111'!$L$11),"x","")</f>
        <v/>
      </c>
      <c r="S147" s="75" t="str">
        <f>IF(AND($O147=$Q$7,$B147&lt;'111'!$L$11),"x","")</f>
        <v/>
      </c>
      <c r="T147" s="75" t="str">
        <f>IF(ISERROR(FIND('112'!$M$9,G147,1)),"",IF((AND(FIND('112'!$M$9,G147,1)&gt;=1,B147='112'!$K$9,OR($N147='112'!$I$6,$O147='112'!$I$6))),"x",""))</f>
        <v/>
      </c>
      <c r="U147" s="75" t="str">
        <f>IF(ISERROR(FIND('112'!$M$9,G147,1)),"",IF((AND(LEFT(G147,2)=LEFT('112'!$M$9,2),B147&lt;'112'!$K$9,$N147='112'!$I$6)),"x",""))</f>
        <v/>
      </c>
      <c r="V147" s="75" t="str">
        <f>IF(ISERROR(FIND('112'!$M$9,G147,1)),"",IF((AND(RIGHT(G147,2)=RIGHT('112'!$M$9,2),B147&lt;'112'!$K$9,$O147='112'!$I$6)),"x",""))</f>
        <v/>
      </c>
      <c r="W147" s="75" t="str">
        <f>IF(AND('341-CT'!$H$9=H147,OR(LEFT(N147,3)=$W$7,LEFT(O147,3)=$W$7)),"x","")</f>
        <v/>
      </c>
      <c r="X147" s="75" t="str">
        <f>IF(OR(TH!N147=TH!$X$7,O147=TH!$X$7),"x","")</f>
        <v/>
      </c>
      <c r="Y147" s="75" t="str">
        <f>IF(AND(OR(N147="131",O147="131"),H147='131-CT'!$H$9),"x","")</f>
        <v/>
      </c>
      <c r="Z147" s="75"/>
      <c r="AA147" s="75" t="str">
        <f>IF(AND(MONTH(E147)='IN-NX'!$J$5,'IN-NX'!$D$7=D147),"x","")</f>
        <v/>
      </c>
      <c r="AB147" s="75" t="str">
        <f>IF(AND(OR(LEFT(TH!N147,2)="15",LEFT(TH!O147,2)="15"),LEFT(TH!O147,3)&lt;&gt;"111",'152-CT'!$J$8=TH!F147),"x","")</f>
        <v/>
      </c>
      <c r="AC147" s="75" t="str">
        <f>IF(AND(OR(LEFT(TH!N147,2)="15",LEFT(TH!O147,2)="15"),TK!$E$7=TH!F147),"x","")</f>
        <v/>
      </c>
      <c r="AD147" s="75" t="str">
        <f>IF(AND(N147="1521",MONTH(C147)='BK-NL'!$M$11),"x","")</f>
        <v/>
      </c>
    </row>
    <row r="148" spans="1:30" ht="16.5" customHeight="1">
      <c r="A148" s="309" t="str">
        <f>IF(B148&lt;&gt;"",IF(AND(B148='IN-TC'!$S$4,OR(TH!N148="1111",TH!O148="1111")),TH!D148,""),"")</f>
        <v/>
      </c>
      <c r="B148" s="1242">
        <f t="shared" si="15"/>
        <v>5</v>
      </c>
      <c r="C148" s="666">
        <v>42886</v>
      </c>
      <c r="D148" s="666" t="s">
        <v>530</v>
      </c>
      <c r="E148" s="666">
        <f t="shared" si="18"/>
        <v>42886</v>
      </c>
      <c r="F148" s="905" t="s">
        <v>730</v>
      </c>
      <c r="G148" s="739" t="s">
        <v>534</v>
      </c>
      <c r="H148" s="294"/>
      <c r="I148" s="373"/>
      <c r="J148" s="379"/>
      <c r="K148" s="373"/>
      <c r="L148" s="379"/>
      <c r="M148" s="670">
        <f>ROUND(G140*$G148,0)</f>
        <v>1391190</v>
      </c>
      <c r="N148" s="671" t="s">
        <v>539</v>
      </c>
      <c r="O148" s="671" t="s">
        <v>542</v>
      </c>
      <c r="P148" s="75" t="str">
        <f>IF(AND('331-CT'!$E$7=TH!H148,OR(N148="331",O148="331")),"x","")</f>
        <v/>
      </c>
      <c r="Q148" s="75" t="str">
        <f>IF(AND(B148='111'!$L$11,OR($N148=$Q$7,$O148=$Q$7)),"x","")</f>
        <v/>
      </c>
      <c r="R148" s="75" t="str">
        <f>IF(AND($N148=$Q$7,$B148&lt;'111'!$L$11),"x","")</f>
        <v/>
      </c>
      <c r="S148" s="75" t="str">
        <f>IF(AND($O148=$Q$7,$B148&lt;'111'!$L$11),"x","")</f>
        <v/>
      </c>
      <c r="T148" s="75" t="str">
        <f>IF(ISERROR(FIND('112'!$M$9,G148,1)),"",IF((AND(FIND('112'!$M$9,G148,1)&gt;=1,B148='112'!$K$9,OR($N148='112'!$I$6,$O148='112'!$I$6))),"x",""))</f>
        <v/>
      </c>
      <c r="U148" s="75" t="str">
        <f>IF(ISERROR(FIND('112'!$M$9,G148,1)),"",IF((AND(LEFT(G148,2)=LEFT('112'!$M$9,2),B148&lt;'112'!$K$9,$N148='112'!$I$6)),"x",""))</f>
        <v/>
      </c>
      <c r="V148" s="75" t="str">
        <f>IF(ISERROR(FIND('112'!$M$9,G148,1)),"",IF((AND(RIGHT(G148,2)=RIGHT('112'!$M$9,2),B148&lt;'112'!$K$9,$O148='112'!$I$6)),"x",""))</f>
        <v/>
      </c>
      <c r="W148" s="75" t="str">
        <f>IF(AND('341-CT'!$H$9=H148,OR(LEFT(N148,3)=$W$7,LEFT(O148,3)=$W$7)),"x","")</f>
        <v/>
      </c>
      <c r="X148" s="75" t="str">
        <f>IF(OR(TH!N148=TH!$X$7,O148=TH!$X$7),"x","")</f>
        <v/>
      </c>
      <c r="Y148" s="75" t="str">
        <f>IF(AND(OR(N148="131",O148="131"),H148='131-CT'!$H$9),"x","")</f>
        <v/>
      </c>
      <c r="Z148" s="75"/>
      <c r="AA148" s="75" t="str">
        <f>IF(AND(MONTH(E148)='IN-NX'!$J$5,'IN-NX'!$D$7=D148),"x","")</f>
        <v/>
      </c>
      <c r="AB148" s="75" t="str">
        <f>IF(AND(OR(LEFT(TH!N148,2)="15",LEFT(TH!O148,2)="15"),LEFT(TH!O148,3)&lt;&gt;"111",'152-CT'!$J$8=TH!F148),"x","")</f>
        <v/>
      </c>
      <c r="AC148" s="75" t="str">
        <f>IF(AND(OR(LEFT(TH!N148,2)="15",LEFT(TH!O148,2)="15"),TK!$E$7=TH!F148),"x","")</f>
        <v/>
      </c>
      <c r="AD148" s="75" t="str">
        <f>IF(AND(N148="1521",MONTH(C148)='BK-NL'!$M$11),"x","")</f>
        <v/>
      </c>
    </row>
    <row r="149" spans="1:30" ht="16.5" customHeight="1">
      <c r="A149" s="309" t="str">
        <f>IF(B149&lt;&gt;"",IF(AND(B149='IN-TC'!$S$4,OR(TH!N149="1111",TH!O149="1111")),TH!D149,""),"")</f>
        <v/>
      </c>
      <c r="B149" s="1242">
        <f t="shared" si="15"/>
        <v>5</v>
      </c>
      <c r="C149" s="666">
        <v>42886</v>
      </c>
      <c r="D149" s="666" t="s">
        <v>530</v>
      </c>
      <c r="E149" s="666">
        <f t="shared" si="18"/>
        <v>42886</v>
      </c>
      <c r="F149" s="905" t="s">
        <v>731</v>
      </c>
      <c r="G149" s="250"/>
      <c r="H149" s="294"/>
      <c r="I149" s="373"/>
      <c r="J149" s="379"/>
      <c r="K149" s="373"/>
      <c r="L149" s="379"/>
      <c r="M149" s="670">
        <f>ROUND(G141*$G148,0)</f>
        <v>2070000</v>
      </c>
      <c r="N149" s="671" t="s">
        <v>272</v>
      </c>
      <c r="O149" s="671" t="s">
        <v>542</v>
      </c>
      <c r="P149" s="75" t="str">
        <f>IF(AND('331-CT'!$E$7=TH!H149,OR(N149="331",O149="331")),"x","")</f>
        <v/>
      </c>
      <c r="Q149" s="75" t="str">
        <f>IF(AND(B149='111'!$L$11,OR($N149=$Q$7,$O149=$Q$7)),"x","")</f>
        <v/>
      </c>
      <c r="R149" s="75" t="str">
        <f>IF(AND($N149=$Q$7,$B149&lt;'111'!$L$11),"x","")</f>
        <v/>
      </c>
      <c r="S149" s="75" t="str">
        <f>IF(AND($O149=$Q$7,$B149&lt;'111'!$L$11),"x","")</f>
        <v/>
      </c>
      <c r="T149" s="75" t="str">
        <f>IF(ISERROR(FIND('112'!$M$9,G149,1)),"",IF((AND(FIND('112'!$M$9,G149,1)&gt;=1,B149='112'!$K$9,OR($N149='112'!$I$6,$O149='112'!$I$6))),"x",""))</f>
        <v/>
      </c>
      <c r="U149" s="75" t="str">
        <f>IF(ISERROR(FIND('112'!$M$9,G149,1)),"",IF((AND(LEFT(G149,2)=LEFT('112'!$M$9,2),B149&lt;'112'!$K$9,$N149='112'!$I$6)),"x",""))</f>
        <v/>
      </c>
      <c r="V149" s="75" t="str">
        <f>IF(ISERROR(FIND('112'!$M$9,G149,1)),"",IF((AND(RIGHT(G149,2)=RIGHT('112'!$M$9,2),B149&lt;'112'!$K$9,$O149='112'!$I$6)),"x",""))</f>
        <v/>
      </c>
      <c r="W149" s="75" t="str">
        <f>IF(AND('341-CT'!$H$9=H149,OR(LEFT(N149,3)=$W$7,LEFT(O149,3)=$W$7)),"x","")</f>
        <v/>
      </c>
      <c r="X149" s="75" t="str">
        <f>IF(OR(TH!N149=TH!$X$7,O149=TH!$X$7),"x","")</f>
        <v/>
      </c>
      <c r="Y149" s="75" t="str">
        <f>IF(AND(OR(N149="131",O149="131"),H149='131-CT'!$H$9),"x","")</f>
        <v/>
      </c>
      <c r="Z149" s="75"/>
      <c r="AA149" s="75" t="str">
        <f>IF(AND(MONTH(E149)='IN-NX'!$J$5,'IN-NX'!$D$7=D149),"x","")</f>
        <v/>
      </c>
      <c r="AB149" s="75" t="str">
        <f>IF(AND(OR(LEFT(TH!N149,2)="15",LEFT(TH!O149,2)="15"),LEFT(TH!O149,3)&lt;&gt;"111",'152-CT'!$J$8=TH!F149),"x","")</f>
        <v/>
      </c>
      <c r="AC149" s="75" t="str">
        <f>IF(AND(OR(LEFT(TH!N149,2)="15",LEFT(TH!O149,2)="15"),TK!$E$7=TH!F149),"x","")</f>
        <v/>
      </c>
      <c r="AD149" s="75" t="str">
        <f>IF(AND(N149="1521",MONTH(C149)='BK-NL'!$M$11),"x","")</f>
        <v/>
      </c>
    </row>
    <row r="150" spans="1:30" ht="16.5" customHeight="1">
      <c r="A150" s="309" t="str">
        <f>IF(B150&lt;&gt;"",IF(AND(B150='IN-TC'!$S$4,OR(TH!N150="1111",TH!O150="1111")),TH!D150,""),"")</f>
        <v/>
      </c>
      <c r="B150" s="1242">
        <f t="shared" si="15"/>
        <v>5</v>
      </c>
      <c r="C150" s="666">
        <v>42886</v>
      </c>
      <c r="D150" s="666" t="s">
        <v>530</v>
      </c>
      <c r="E150" s="666">
        <f t="shared" si="18"/>
        <v>42886</v>
      </c>
      <c r="F150" s="905" t="s">
        <v>732</v>
      </c>
      <c r="G150" s="739" t="s">
        <v>535</v>
      </c>
      <c r="H150" s="294"/>
      <c r="I150" s="373"/>
      <c r="J150" s="379"/>
      <c r="K150" s="373"/>
      <c r="L150" s="379"/>
      <c r="M150" s="670">
        <f>ROUND(G140*$G150,0)</f>
        <v>463730</v>
      </c>
      <c r="N150" s="671" t="s">
        <v>540</v>
      </c>
      <c r="O150" s="671" t="s">
        <v>543</v>
      </c>
      <c r="P150" s="75" t="str">
        <f>IF(AND('331-CT'!$E$7=TH!H150,OR(N150="331",O150="331")),"x","")</f>
        <v/>
      </c>
      <c r="Q150" s="75" t="str">
        <f>IF(AND(B150='111'!$L$11,OR($N150=$Q$7,$O150=$Q$7)),"x","")</f>
        <v/>
      </c>
      <c r="R150" s="75" t="str">
        <f>IF(AND($N150=$Q$7,$B150&lt;'111'!$L$11),"x","")</f>
        <v/>
      </c>
      <c r="S150" s="75" t="str">
        <f>IF(AND($O150=$Q$7,$B150&lt;'111'!$L$11),"x","")</f>
        <v/>
      </c>
      <c r="T150" s="75" t="str">
        <f>IF(ISERROR(FIND('112'!$M$9,G150,1)),"",IF((AND(FIND('112'!$M$9,G150,1)&gt;=1,B150='112'!$K$9,OR($N150='112'!$I$6,$O150='112'!$I$6))),"x",""))</f>
        <v/>
      </c>
      <c r="U150" s="75" t="str">
        <f>IF(ISERROR(FIND('112'!$M$9,G150,1)),"",IF((AND(LEFT(G150,2)=LEFT('112'!$M$9,2),B150&lt;'112'!$K$9,$N150='112'!$I$6)),"x",""))</f>
        <v/>
      </c>
      <c r="V150" s="75" t="str">
        <f>IF(ISERROR(FIND('112'!$M$9,G150,1)),"",IF((AND(RIGHT(G150,2)=RIGHT('112'!$M$9,2),B150&lt;'112'!$K$9,$O150='112'!$I$6)),"x",""))</f>
        <v/>
      </c>
      <c r="W150" s="75" t="str">
        <f>IF(AND('341-CT'!$H$9=H150,OR(LEFT(N150,3)=$W$7,LEFT(O150,3)=$W$7)),"x","")</f>
        <v/>
      </c>
      <c r="X150" s="75" t="str">
        <f>IF(OR(TH!N150=TH!$X$7,O150=TH!$X$7),"x","")</f>
        <v/>
      </c>
      <c r="Y150" s="75" t="str">
        <f>IF(AND(OR(N150="131",O150="131"),H150='131-CT'!$H$9),"x","")</f>
        <v/>
      </c>
      <c r="Z150" s="75"/>
      <c r="AA150" s="75" t="str">
        <f>IF(AND(MONTH(E150)='IN-NX'!$J$5,'IN-NX'!$D$7=D150),"x","")</f>
        <v/>
      </c>
      <c r="AB150" s="75" t="str">
        <f>IF(AND(OR(LEFT(TH!N150,2)="15",LEFT(TH!O150,2)="15"),LEFT(TH!O150,3)&lt;&gt;"111",'152-CT'!$J$8=TH!F150),"x","")</f>
        <v/>
      </c>
      <c r="AC150" s="75" t="str">
        <f>IF(AND(OR(LEFT(TH!N150,2)="15",LEFT(TH!O150,2)="15"),TK!$E$7=TH!F150),"x","")</f>
        <v/>
      </c>
      <c r="AD150" s="75" t="str">
        <f>IF(AND(N150="1521",MONTH(C150)='BK-NL'!$M$11),"x","")</f>
        <v/>
      </c>
    </row>
    <row r="151" spans="1:30" ht="16.5" customHeight="1">
      <c r="A151" s="309" t="str">
        <f>IF(B151&lt;&gt;"",IF(AND(B151='IN-TC'!$S$4,OR(TH!N151="1111",TH!O151="1111")),TH!D151,""),"")</f>
        <v/>
      </c>
      <c r="B151" s="1242">
        <f t="shared" si="15"/>
        <v>5</v>
      </c>
      <c r="C151" s="666">
        <v>42886</v>
      </c>
      <c r="D151" s="666" t="s">
        <v>530</v>
      </c>
      <c r="E151" s="666">
        <f t="shared" si="18"/>
        <v>42886</v>
      </c>
      <c r="F151" s="905" t="s">
        <v>733</v>
      </c>
      <c r="G151" s="250"/>
      <c r="H151" s="294"/>
      <c r="I151" s="373"/>
      <c r="J151" s="379"/>
      <c r="K151" s="373"/>
      <c r="L151" s="379"/>
      <c r="M151" s="670">
        <f>ROUND(G141*$G150,0)</f>
        <v>690000</v>
      </c>
      <c r="N151" s="671" t="s">
        <v>540</v>
      </c>
      <c r="O151" s="671" t="s">
        <v>543</v>
      </c>
      <c r="P151" s="75" t="str">
        <f>IF(AND('331-CT'!$E$7=TH!H151,OR(N151="331",O151="331")),"x","")</f>
        <v/>
      </c>
      <c r="Q151" s="75" t="str">
        <f>IF(AND(B151='111'!$L$11,OR($N151=$Q$7,$O151=$Q$7)),"x","")</f>
        <v/>
      </c>
      <c r="R151" s="75" t="str">
        <f>IF(AND($N151=$Q$7,$B151&lt;'111'!$L$11),"x","")</f>
        <v/>
      </c>
      <c r="S151" s="75" t="str">
        <f>IF(AND($O151=$Q$7,$B151&lt;'111'!$L$11),"x","")</f>
        <v/>
      </c>
      <c r="T151" s="75" t="str">
        <f>IF(ISERROR(FIND('112'!$M$9,G151,1)),"",IF((AND(FIND('112'!$M$9,G151,1)&gt;=1,B151='112'!$K$9,OR($N151='112'!$I$6,$O151='112'!$I$6))),"x",""))</f>
        <v/>
      </c>
      <c r="U151" s="75" t="str">
        <f>IF(ISERROR(FIND('112'!$M$9,G151,1)),"",IF((AND(LEFT(G151,2)=LEFT('112'!$M$9,2),B151&lt;'112'!$K$9,$N151='112'!$I$6)),"x",""))</f>
        <v/>
      </c>
      <c r="V151" s="75" t="str">
        <f>IF(ISERROR(FIND('112'!$M$9,G151,1)),"",IF((AND(RIGHT(G151,2)=RIGHT('112'!$M$9,2),B151&lt;'112'!$K$9,$O151='112'!$I$6)),"x",""))</f>
        <v/>
      </c>
      <c r="W151" s="75" t="str">
        <f>IF(AND('341-CT'!$H$9=H151,OR(LEFT(N151,3)=$W$7,LEFT(O151,3)=$W$7)),"x","")</f>
        <v/>
      </c>
      <c r="X151" s="75" t="str">
        <f>IF(OR(TH!N151=TH!$X$7,O151=TH!$X$7),"x","")</f>
        <v/>
      </c>
      <c r="Y151" s="75" t="str">
        <f>IF(AND(OR(N151="131",O151="131"),H151='131-CT'!$H$9),"x","")</f>
        <v/>
      </c>
      <c r="Z151" s="75"/>
      <c r="AA151" s="75" t="str">
        <f>IF(AND(MONTH(E151)='IN-NX'!$J$5,'IN-NX'!$D$7=D151),"x","")</f>
        <v/>
      </c>
      <c r="AB151" s="75" t="str">
        <f>IF(AND(OR(LEFT(TH!N151,2)="15",LEFT(TH!O151,2)="15"),LEFT(TH!O151,3)&lt;&gt;"111",'152-CT'!$J$8=TH!F151),"x","")</f>
        <v/>
      </c>
      <c r="AC151" s="75" t="str">
        <f>IF(AND(OR(LEFT(TH!N151,2)="15",LEFT(TH!O151,2)="15"),TK!$E$7=TH!F151),"x","")</f>
        <v/>
      </c>
      <c r="AD151" s="75" t="str">
        <f>IF(AND(N151="1521",MONTH(C151)='BK-NL'!$M$11),"x","")</f>
        <v/>
      </c>
    </row>
    <row r="152" spans="1:30" ht="16.5" customHeight="1">
      <c r="A152" s="309" t="str">
        <f>IF(B152&lt;&gt;"",IF(AND(B152='IN-TC'!$S$4,OR(TH!N152="1111",TH!O152="1111")),TH!D152,""),"")</f>
        <v/>
      </c>
      <c r="B152" s="1242">
        <f t="shared" si="15"/>
        <v>5</v>
      </c>
      <c r="C152" s="666">
        <v>42886</v>
      </c>
      <c r="D152" s="666" t="s">
        <v>530</v>
      </c>
      <c r="E152" s="666">
        <f t="shared" si="18"/>
        <v>42886</v>
      </c>
      <c r="F152" s="905" t="s">
        <v>734</v>
      </c>
      <c r="G152" s="739" t="s">
        <v>535</v>
      </c>
      <c r="H152" s="871"/>
      <c r="I152" s="374"/>
      <c r="J152" s="380"/>
      <c r="K152" s="374"/>
      <c r="L152" s="380"/>
      <c r="M152" s="670">
        <f>M150</f>
        <v>463730</v>
      </c>
      <c r="N152" s="671" t="s">
        <v>539</v>
      </c>
      <c r="O152" s="671" t="s">
        <v>543</v>
      </c>
      <c r="P152" s="75" t="str">
        <f>IF(AND('331-CT'!$E$7=TH!H152,OR(N152="331",O152="331")),"x","")</f>
        <v/>
      </c>
      <c r="Q152" s="75" t="str">
        <f>IF(AND(B152='111'!$L$11,OR($N152=$Q$7,$O152=$Q$7)),"x","")</f>
        <v/>
      </c>
      <c r="R152" s="75" t="str">
        <f>IF(AND($N152=$Q$7,$B152&lt;'111'!$L$11),"x","")</f>
        <v/>
      </c>
      <c r="S152" s="75" t="str">
        <f>IF(AND($O152=$Q$7,$B152&lt;'111'!$L$11),"x","")</f>
        <v/>
      </c>
      <c r="T152" s="75" t="str">
        <f>IF(ISERROR(FIND('112'!$M$9,G152,1)),"",IF((AND(FIND('112'!$M$9,G152,1)&gt;=1,B152='112'!$K$9,OR($N152='112'!$I$6,$O152='112'!$I$6))),"x",""))</f>
        <v/>
      </c>
      <c r="U152" s="75" t="str">
        <f>IF(ISERROR(FIND('112'!$M$9,G152,1)),"",IF((AND(LEFT(G152,2)=LEFT('112'!$M$9,2),B152&lt;'112'!$K$9,$N152='112'!$I$6)),"x",""))</f>
        <v/>
      </c>
      <c r="V152" s="75" t="str">
        <f>IF(ISERROR(FIND('112'!$M$9,G152,1)),"",IF((AND(RIGHT(G152,2)=RIGHT('112'!$M$9,2),B152&lt;'112'!$K$9,$O152='112'!$I$6)),"x",""))</f>
        <v/>
      </c>
      <c r="W152" s="75" t="str">
        <f>IF(AND('341-CT'!$H$9=H152,OR(LEFT(N152,3)=$W$7,LEFT(O152,3)=$W$7)),"x","")</f>
        <v/>
      </c>
      <c r="X152" s="75" t="str">
        <f>IF(OR(TH!N152=TH!$X$7,O152=TH!$X$7),"x","")</f>
        <v/>
      </c>
      <c r="Y152" s="75" t="str">
        <f>IF(AND(OR(N152="131",O152="131"),H152='131-CT'!$H$9),"x","")</f>
        <v/>
      </c>
      <c r="Z152" s="75"/>
      <c r="AA152" s="75" t="str">
        <f>IF(AND(MONTH(E152)='IN-NX'!$J$5,'IN-NX'!$D$7=D152),"x","")</f>
        <v/>
      </c>
      <c r="AB152" s="75" t="str">
        <f>IF(AND(OR(LEFT(TH!N152,2)="15",LEFT(TH!O152,2)="15"),LEFT(TH!O152,3)&lt;&gt;"111",'152-CT'!$J$8=TH!F152),"x","")</f>
        <v/>
      </c>
      <c r="AC152" s="75" t="str">
        <f>IF(AND(OR(LEFT(TH!N152,2)="15",LEFT(TH!O152,2)="15"),TK!$E$7=TH!F152),"x","")</f>
        <v/>
      </c>
      <c r="AD152" s="75" t="str">
        <f>IF(AND(N152="1521",MONTH(C152)='BK-NL'!$M$11),"x","")</f>
        <v/>
      </c>
    </row>
    <row r="153" spans="1:30" ht="16.5" customHeight="1">
      <c r="A153" s="309" t="str">
        <f>IF(B153&lt;&gt;"",IF(AND(B153='IN-TC'!$S$4,OR(TH!N153="1111",TH!O153="1111")),TH!D153,""),"")</f>
        <v/>
      </c>
      <c r="B153" s="1242">
        <f t="shared" si="15"/>
        <v>5</v>
      </c>
      <c r="C153" s="666">
        <v>42886</v>
      </c>
      <c r="D153" s="666" t="s">
        <v>530</v>
      </c>
      <c r="E153" s="666">
        <f t="shared" si="18"/>
        <v>42886</v>
      </c>
      <c r="F153" s="905" t="s">
        <v>735</v>
      </c>
      <c r="G153" s="250"/>
      <c r="H153" s="294"/>
      <c r="I153" s="373"/>
      <c r="J153" s="379"/>
      <c r="K153" s="373"/>
      <c r="L153" s="379"/>
      <c r="M153" s="670">
        <f>M151</f>
        <v>690000</v>
      </c>
      <c r="N153" s="671" t="s">
        <v>272</v>
      </c>
      <c r="O153" s="671" t="s">
        <v>543</v>
      </c>
      <c r="P153" s="75" t="str">
        <f>IF(AND('331-CT'!$E$7=TH!H153,OR(N153="331",O153="331")),"x","")</f>
        <v/>
      </c>
      <c r="Q153" s="75" t="str">
        <f>IF(AND(B153='111'!$L$11,OR($N153=$Q$7,$O153=$Q$7)),"x","")</f>
        <v/>
      </c>
      <c r="R153" s="75" t="str">
        <f>IF(AND($N153=$Q$7,$B153&lt;'111'!$L$11),"x","")</f>
        <v/>
      </c>
      <c r="S153" s="75" t="str">
        <f>IF(AND($O153=$Q$7,$B153&lt;'111'!$L$11),"x","")</f>
        <v/>
      </c>
      <c r="T153" s="75" t="str">
        <f>IF(ISERROR(FIND('112'!$M$9,G153,1)),"",IF((AND(FIND('112'!$M$9,G153,1)&gt;=1,B153='112'!$K$9,OR($N153='112'!$I$6,$O153='112'!$I$6))),"x",""))</f>
        <v/>
      </c>
      <c r="U153" s="75" t="str">
        <f>IF(ISERROR(FIND('112'!$M$9,G153,1)),"",IF((AND(LEFT(G153,2)=LEFT('112'!$M$9,2),B153&lt;'112'!$K$9,$N153='112'!$I$6)),"x",""))</f>
        <v/>
      </c>
      <c r="V153" s="75" t="str">
        <f>IF(ISERROR(FIND('112'!$M$9,G153,1)),"",IF((AND(RIGHT(G153,2)=RIGHT('112'!$M$9,2),B153&lt;'112'!$K$9,$O153='112'!$I$6)),"x",""))</f>
        <v/>
      </c>
      <c r="W153" s="75" t="str">
        <f>IF(AND('341-CT'!$H$9=H153,OR(LEFT(N153,3)=$W$7,LEFT(O153,3)=$W$7)),"x","")</f>
        <v/>
      </c>
      <c r="X153" s="75" t="str">
        <f>IF(OR(TH!N153=TH!$X$7,O153=TH!$X$7),"x","")</f>
        <v/>
      </c>
      <c r="Y153" s="75" t="str">
        <f>IF(AND(OR(N153="131",O153="131"),H153='131-CT'!$H$9),"x","")</f>
        <v/>
      </c>
      <c r="Z153" s="75"/>
      <c r="AA153" s="75" t="str">
        <f>IF(AND(MONTH(E153)='IN-NX'!$J$5,'IN-NX'!$D$7=D153),"x","")</f>
        <v/>
      </c>
      <c r="AB153" s="75" t="str">
        <f>IF(AND(OR(LEFT(TH!N153,2)="15",LEFT(TH!O153,2)="15"),LEFT(TH!O153,3)&lt;&gt;"111",'152-CT'!$J$8=TH!F153),"x","")</f>
        <v/>
      </c>
      <c r="AC153" s="75" t="str">
        <f>IF(AND(OR(LEFT(TH!N153,2)="15",LEFT(TH!O153,2)="15"),TK!$E$7=TH!F153),"x","")</f>
        <v/>
      </c>
      <c r="AD153" s="75" t="str">
        <f>IF(AND(N153="1521",MONTH(C153)='BK-NL'!$M$11),"x","")</f>
        <v/>
      </c>
    </row>
    <row r="154" spans="1:30" ht="16.5" customHeight="1">
      <c r="A154" s="309" t="str">
        <f>IF(B154&lt;&gt;"",IF(AND(B154='IN-TC'!$S$4,OR(TH!N154="1111",TH!O154="1111")),TH!D154,""),"")</f>
        <v/>
      </c>
      <c r="B154" s="1242">
        <f t="shared" ref="B154:B156" si="23">IF(C154&lt;&gt;"",MONTH(C154),"")</f>
        <v>5</v>
      </c>
      <c r="C154" s="666">
        <v>42886</v>
      </c>
      <c r="D154" s="666" t="s">
        <v>530</v>
      </c>
      <c r="E154" s="666">
        <f t="shared" ref="E154:E156" si="24">C154</f>
        <v>42886</v>
      </c>
      <c r="F154" s="905" t="s">
        <v>2672</v>
      </c>
      <c r="G154" s="250"/>
      <c r="H154" s="294"/>
      <c r="I154" s="373"/>
      <c r="J154" s="379"/>
      <c r="K154" s="373"/>
      <c r="L154" s="379"/>
      <c r="M154" s="670">
        <v>665437</v>
      </c>
      <c r="N154" s="671" t="s">
        <v>105</v>
      </c>
      <c r="O154" s="671" t="s">
        <v>541</v>
      </c>
      <c r="P154" s="75" t="str">
        <f>IF(AND('331-CT'!$E$7=TH!H154,OR(N154="331",O154="331")),"x","")</f>
        <v/>
      </c>
      <c r="Q154" s="75" t="str">
        <f>IF(AND(B154='111'!$L$11,OR($N154=$Q$7,$O154=$Q$7)),"x","")</f>
        <v/>
      </c>
      <c r="R154" s="75" t="str">
        <f>IF(AND($N154=$Q$7,$B154&lt;'111'!$L$11),"x","")</f>
        <v/>
      </c>
      <c r="S154" s="75" t="str">
        <f>IF(AND($O154=$Q$7,$B154&lt;'111'!$L$11),"x","")</f>
        <v/>
      </c>
      <c r="T154" s="75" t="str">
        <f>IF(ISERROR(FIND('112'!$M$9,G154,1)),"",IF((AND(FIND('112'!$M$9,G154,1)&gt;=1,B154='112'!$K$9,OR($N154='112'!$I$6,$O154='112'!$I$6))),"x",""))</f>
        <v/>
      </c>
      <c r="U154" s="75" t="str">
        <f>IF(ISERROR(FIND('112'!$M$9,G154,1)),"",IF((AND(LEFT(G154,2)=LEFT('112'!$M$9,2),B154&lt;'112'!$K$9,$N154='112'!$I$6)),"x",""))</f>
        <v/>
      </c>
      <c r="V154" s="75" t="str">
        <f>IF(ISERROR(FIND('112'!$M$9,G154,1)),"",IF((AND(RIGHT(G154,2)=RIGHT('112'!$M$9,2),B154&lt;'112'!$K$9,$O154='112'!$I$6)),"x",""))</f>
        <v/>
      </c>
      <c r="W154" s="75" t="str">
        <f>IF(AND('341-CT'!$H$9=H154,OR(LEFT(N154,3)=$W$7,LEFT(O154,3)=$W$7)),"x","")</f>
        <v/>
      </c>
      <c r="X154" s="75" t="str">
        <f>IF(OR(TH!N154=TH!$X$7,O154=TH!$X$7),"x","")</f>
        <v/>
      </c>
      <c r="Y154" s="75" t="str">
        <f>IF(AND(OR(N154="131",O154="131"),H154='131-CT'!$H$9),"x","")</f>
        <v/>
      </c>
      <c r="Z154" s="75"/>
      <c r="AA154" s="75" t="str">
        <f>IF(AND(MONTH(E154)='IN-NX'!$J$5,'IN-NX'!$D$7=D154),"x","")</f>
        <v/>
      </c>
      <c r="AB154" s="75" t="str">
        <f>IF(AND(OR(LEFT(TH!N154,2)="15",LEFT(TH!O154,2)="15"),LEFT(TH!O154,3)&lt;&gt;"111",'152-CT'!$J$8=TH!F154),"x","")</f>
        <v/>
      </c>
      <c r="AC154" s="75" t="str">
        <f>IF(AND(OR(LEFT(TH!N154,2)="15",LEFT(TH!O154,2)="15"),TK!$E$7=TH!F154),"x","")</f>
        <v/>
      </c>
      <c r="AD154" s="75" t="str">
        <f>IF(AND(N154="1521",MONTH(C154)='BK-NL'!$M$11),"x","")</f>
        <v/>
      </c>
    </row>
    <row r="155" spans="1:30" ht="16.5" customHeight="1">
      <c r="A155" s="309" t="str">
        <f>IF(B155&lt;&gt;"",IF(AND(B155='IN-TC'!$S$4,OR(TH!N155="1111",TH!O155="1111")),TH!D155,""),"")</f>
        <v/>
      </c>
      <c r="B155" s="1242">
        <f t="shared" si="23"/>
        <v>5</v>
      </c>
      <c r="C155" s="666">
        <v>42886</v>
      </c>
      <c r="D155" s="666" t="s">
        <v>530</v>
      </c>
      <c r="E155" s="666">
        <f t="shared" si="24"/>
        <v>42886</v>
      </c>
      <c r="F155" s="905" t="s">
        <v>2672</v>
      </c>
      <c r="G155" s="250"/>
      <c r="H155" s="294"/>
      <c r="I155" s="373"/>
      <c r="J155" s="379"/>
      <c r="K155" s="373"/>
      <c r="L155" s="379"/>
      <c r="M155" s="670">
        <v>53281</v>
      </c>
      <c r="N155" s="671" t="s">
        <v>105</v>
      </c>
      <c r="O155" s="671" t="s">
        <v>542</v>
      </c>
      <c r="P155" s="75" t="str">
        <f>IF(AND('331-CT'!$E$7=TH!H155,OR(N155="331",O155="331")),"x","")</f>
        <v/>
      </c>
      <c r="Q155" s="75" t="str">
        <f>IF(AND(B155='111'!$L$11,OR($N155=$Q$7,$O155=$Q$7)),"x","")</f>
        <v/>
      </c>
      <c r="R155" s="75" t="str">
        <f>IF(AND($N155=$Q$7,$B155&lt;'111'!$L$11),"x","")</f>
        <v/>
      </c>
      <c r="S155" s="75" t="str">
        <f>IF(AND($O155=$Q$7,$B155&lt;'111'!$L$11),"x","")</f>
        <v/>
      </c>
      <c r="T155" s="75" t="str">
        <f>IF(ISERROR(FIND('112'!$M$9,G155,1)),"",IF((AND(FIND('112'!$M$9,G155,1)&gt;=1,B155='112'!$K$9,OR($N155='112'!$I$6,$O155='112'!$I$6))),"x",""))</f>
        <v/>
      </c>
      <c r="U155" s="75" t="str">
        <f>IF(ISERROR(FIND('112'!$M$9,G155,1)),"",IF((AND(LEFT(G155,2)=LEFT('112'!$M$9,2),B155&lt;'112'!$K$9,$N155='112'!$I$6)),"x",""))</f>
        <v/>
      </c>
      <c r="V155" s="75" t="str">
        <f>IF(ISERROR(FIND('112'!$M$9,G155,1)),"",IF((AND(RIGHT(G155,2)=RIGHT('112'!$M$9,2),B155&lt;'112'!$K$9,$O155='112'!$I$6)),"x",""))</f>
        <v/>
      </c>
      <c r="W155" s="75" t="str">
        <f>IF(AND('341-CT'!$H$9=H155,OR(LEFT(N155,3)=$W$7,LEFT(O155,3)=$W$7)),"x","")</f>
        <v/>
      </c>
      <c r="X155" s="75" t="str">
        <f>IF(OR(TH!N155=TH!$X$7,O155=TH!$X$7),"x","")</f>
        <v/>
      </c>
      <c r="Y155" s="75" t="str">
        <f>IF(AND(OR(N155="131",O155="131"),H155='131-CT'!$H$9),"x","")</f>
        <v/>
      </c>
      <c r="Z155" s="75"/>
      <c r="AA155" s="75" t="str">
        <f>IF(AND(MONTH(E155)='IN-NX'!$J$5,'IN-NX'!$D$7=D155),"x","")</f>
        <v/>
      </c>
      <c r="AB155" s="75" t="str">
        <f>IF(AND(OR(LEFT(TH!N155,2)="15",LEFT(TH!O155,2)="15"),LEFT(TH!O155,3)&lt;&gt;"111",'152-CT'!$J$8=TH!F155),"x","")</f>
        <v/>
      </c>
      <c r="AC155" s="75" t="str">
        <f>IF(AND(OR(LEFT(TH!N155,2)="15",LEFT(TH!O155,2)="15"),TK!$E$7=TH!F155),"x","")</f>
        <v/>
      </c>
      <c r="AD155" s="75" t="str">
        <f>IF(AND(N155="1521",MONTH(C155)='BK-NL'!$M$11),"x","")</f>
        <v/>
      </c>
    </row>
    <row r="156" spans="1:30" ht="16.5" customHeight="1">
      <c r="A156" s="309" t="str">
        <f>IF(B156&lt;&gt;"",IF(AND(B156='IN-TC'!$S$4,OR(TH!N156="1111",TH!O156="1111")),TH!D156,""),"")</f>
        <v/>
      </c>
      <c r="B156" s="1242">
        <f t="shared" si="23"/>
        <v>5</v>
      </c>
      <c r="C156" s="666">
        <v>42886</v>
      </c>
      <c r="D156" s="666" t="s">
        <v>530</v>
      </c>
      <c r="E156" s="666">
        <f t="shared" si="24"/>
        <v>42886</v>
      </c>
      <c r="F156" s="905" t="s">
        <v>2672</v>
      </c>
      <c r="G156" s="250"/>
      <c r="H156" s="294"/>
      <c r="I156" s="373"/>
      <c r="J156" s="379"/>
      <c r="K156" s="373"/>
      <c r="L156" s="379"/>
      <c r="M156" s="670">
        <v>27640</v>
      </c>
      <c r="N156" s="671" t="s">
        <v>105</v>
      </c>
      <c r="O156" s="671" t="s">
        <v>543</v>
      </c>
      <c r="P156" s="75" t="str">
        <f>IF(AND('331-CT'!$E$7=TH!H156,OR(N156="331",O156="331")),"x","")</f>
        <v/>
      </c>
      <c r="Q156" s="75" t="str">
        <f>IF(AND(B156='111'!$L$11,OR($N156=$Q$7,$O156=$Q$7)),"x","")</f>
        <v/>
      </c>
      <c r="R156" s="75" t="str">
        <f>IF(AND($N156=$Q$7,$B156&lt;'111'!$L$11),"x","")</f>
        <v/>
      </c>
      <c r="S156" s="75" t="str">
        <f>IF(AND($O156=$Q$7,$B156&lt;'111'!$L$11),"x","")</f>
        <v/>
      </c>
      <c r="T156" s="75" t="str">
        <f>IF(ISERROR(FIND('112'!$M$9,G156,1)),"",IF((AND(FIND('112'!$M$9,G156,1)&gt;=1,B156='112'!$K$9,OR($N156='112'!$I$6,$O156='112'!$I$6))),"x",""))</f>
        <v/>
      </c>
      <c r="U156" s="75" t="str">
        <f>IF(ISERROR(FIND('112'!$M$9,G156,1)),"",IF((AND(LEFT(G156,2)=LEFT('112'!$M$9,2),B156&lt;'112'!$K$9,$N156='112'!$I$6)),"x",""))</f>
        <v/>
      </c>
      <c r="V156" s="75" t="str">
        <f>IF(ISERROR(FIND('112'!$M$9,G156,1)),"",IF((AND(RIGHT(G156,2)=RIGHT('112'!$M$9,2),B156&lt;'112'!$K$9,$O156='112'!$I$6)),"x",""))</f>
        <v/>
      </c>
      <c r="W156" s="75" t="str">
        <f>IF(AND('341-CT'!$H$9=H156,OR(LEFT(N156,3)=$W$7,LEFT(O156,3)=$W$7)),"x","")</f>
        <v/>
      </c>
      <c r="X156" s="75" t="str">
        <f>IF(OR(TH!N156=TH!$X$7,O156=TH!$X$7),"x","")</f>
        <v/>
      </c>
      <c r="Y156" s="75" t="str">
        <f>IF(AND(OR(N156="131",O156="131"),H156='131-CT'!$H$9),"x","")</f>
        <v/>
      </c>
      <c r="Z156" s="75"/>
      <c r="AA156" s="75" t="str">
        <f>IF(AND(MONTH(E156)='IN-NX'!$J$5,'IN-NX'!$D$7=D156),"x","")</f>
        <v/>
      </c>
      <c r="AB156" s="75" t="str">
        <f>IF(AND(OR(LEFT(TH!N156,2)="15",LEFT(TH!O156,2)="15"),LEFT(TH!O156,3)&lt;&gt;"111",'152-CT'!$J$8=TH!F156),"x","")</f>
        <v/>
      </c>
      <c r="AC156" s="75" t="str">
        <f>IF(AND(OR(LEFT(TH!N156,2)="15",LEFT(TH!O156,2)="15"),TK!$E$7=TH!F156),"x","")</f>
        <v/>
      </c>
      <c r="AD156" s="75" t="str">
        <f>IF(AND(N156="1521",MONTH(C156)='BK-NL'!$M$11),"x","")</f>
        <v/>
      </c>
    </row>
    <row r="157" spans="1:30" ht="16.5" customHeight="1">
      <c r="A157" s="309" t="str">
        <f>IF(B157&lt;&gt;"",IF(AND(B157='IN-TC'!$S$4,OR(TH!N157="1111",TH!O157="1111")),TH!D157,""),"")</f>
        <v/>
      </c>
      <c r="B157" s="1130">
        <f t="shared" si="15"/>
        <v>6</v>
      </c>
      <c r="C157" s="666">
        <v>42916</v>
      </c>
      <c r="D157" s="666" t="s">
        <v>530</v>
      </c>
      <c r="E157" s="666">
        <f t="shared" si="18"/>
        <v>42916</v>
      </c>
      <c r="F157" s="905" t="s">
        <v>722</v>
      </c>
      <c r="G157" s="250">
        <v>46373000</v>
      </c>
      <c r="H157" s="294"/>
      <c r="I157" s="373"/>
      <c r="J157" s="379"/>
      <c r="K157" s="373"/>
      <c r="L157" s="379"/>
      <c r="M157" s="670">
        <v>48153615</v>
      </c>
      <c r="N157" s="671" t="s">
        <v>539</v>
      </c>
      <c r="O157" s="671" t="s">
        <v>540</v>
      </c>
      <c r="P157" s="75" t="str">
        <f>IF(AND('331-CT'!$E$7=TH!H157,OR(N157="331",O157="331")),"x","")</f>
        <v/>
      </c>
      <c r="Q157" s="75" t="str">
        <f>IF(AND(B157='111'!$L$11,OR($N157=$Q$7,$O157=$Q$7)),"x","")</f>
        <v/>
      </c>
      <c r="R157" s="75" t="str">
        <f>IF(AND($N157=$Q$7,$B157&lt;'111'!$L$11),"x","")</f>
        <v/>
      </c>
      <c r="S157" s="75" t="str">
        <f>IF(AND($O157=$Q$7,$B157&lt;'111'!$L$11),"x","")</f>
        <v/>
      </c>
      <c r="T157" s="75" t="str">
        <f>IF(ISERROR(FIND('112'!$M$9,G157,1)),"",IF((AND(FIND('112'!$M$9,G157,1)&gt;=1,B157='112'!$K$9,OR($N157='112'!$I$6,$O157='112'!$I$6))),"x",""))</f>
        <v/>
      </c>
      <c r="U157" s="75" t="str">
        <f>IF(ISERROR(FIND('112'!$M$9,G157,1)),"",IF((AND(LEFT(G157,2)=LEFT('112'!$M$9,2),B157&lt;'112'!$K$9,$N157='112'!$I$6)),"x",""))</f>
        <v/>
      </c>
      <c r="V157" s="75" t="str">
        <f>IF(ISERROR(FIND('112'!$M$9,G157,1)),"",IF((AND(RIGHT(G157,2)=RIGHT('112'!$M$9,2),B157&lt;'112'!$K$9,$O157='112'!$I$6)),"x",""))</f>
        <v/>
      </c>
      <c r="W157" s="75" t="str">
        <f>IF(AND('341-CT'!$H$9=H157,OR(LEFT(N157,3)=$W$7,LEFT(O157,3)=$W$7)),"x","")</f>
        <v/>
      </c>
      <c r="X157" s="75" t="str">
        <f>IF(OR(TH!N157=TH!$X$7,O157=TH!$X$7),"x","")</f>
        <v/>
      </c>
      <c r="Y157" s="75" t="str">
        <f>IF(AND(OR(N157="131",O157="131"),H157='131-CT'!$H$9),"x","")</f>
        <v/>
      </c>
      <c r="Z157" s="75"/>
      <c r="AA157" s="75" t="str">
        <f>IF(AND(MONTH(E157)='IN-NX'!$J$5,'IN-NX'!$D$7=D157),"x","")</f>
        <v/>
      </c>
      <c r="AB157" s="75" t="str">
        <f>IF(AND(OR(LEFT(TH!N157,2)="15",LEFT(TH!O157,2)="15"),LEFT(TH!O157,3)&lt;&gt;"111",'152-CT'!$J$8=TH!F157),"x","")</f>
        <v/>
      </c>
      <c r="AC157" s="75" t="str">
        <f>IF(AND(OR(LEFT(TH!N157,2)="15",LEFT(TH!O157,2)="15"),TK!$E$7=TH!F157),"x","")</f>
        <v/>
      </c>
      <c r="AD157" s="75" t="str">
        <f>IF(AND(N157="1521",MONTH(C157)='BK-NL'!$M$11),"x","")</f>
        <v/>
      </c>
    </row>
    <row r="158" spans="1:30" ht="16.5" customHeight="1">
      <c r="A158" s="309" t="str">
        <f>IF(B158&lt;&gt;"",IF(AND(B158='IN-TC'!$S$4,OR(TH!N158="1111",TH!O158="1111")),TH!D158,""),"")</f>
        <v/>
      </c>
      <c r="B158" s="1130">
        <f t="shared" si="15"/>
        <v>6</v>
      </c>
      <c r="C158" s="666">
        <v>42916</v>
      </c>
      <c r="D158" s="666" t="s">
        <v>530</v>
      </c>
      <c r="E158" s="666">
        <f t="shared" si="18"/>
        <v>42916</v>
      </c>
      <c r="F158" s="905" t="s">
        <v>723</v>
      </c>
      <c r="G158" s="250">
        <v>61896000</v>
      </c>
      <c r="H158" s="294"/>
      <c r="I158" s="373"/>
      <c r="J158" s="379"/>
      <c r="K158" s="373"/>
      <c r="L158" s="379"/>
      <c r="M158" s="670">
        <v>67564615</v>
      </c>
      <c r="N158" s="671" t="s">
        <v>272</v>
      </c>
      <c r="O158" s="671" t="s">
        <v>540</v>
      </c>
      <c r="P158" s="75" t="str">
        <f>IF(AND('331-CT'!$E$7=TH!H158,OR(N158="331",O158="331")),"x","")</f>
        <v/>
      </c>
      <c r="Q158" s="75" t="str">
        <f>IF(AND(B158='111'!$L$11,OR($N158=$Q$7,$O158=$Q$7)),"x","")</f>
        <v/>
      </c>
      <c r="R158" s="75" t="str">
        <f>IF(AND($N158=$Q$7,$B158&lt;'111'!$L$11),"x","")</f>
        <v/>
      </c>
      <c r="S158" s="75" t="str">
        <f>IF(AND($O158=$Q$7,$B158&lt;'111'!$L$11),"x","")</f>
        <v/>
      </c>
      <c r="T158" s="75" t="str">
        <f>IF(ISERROR(FIND('112'!$M$9,G158,1)),"",IF((AND(FIND('112'!$M$9,G158,1)&gt;=1,B158='112'!$K$9,OR($N158='112'!$I$6,$O158='112'!$I$6))),"x",""))</f>
        <v/>
      </c>
      <c r="U158" s="75" t="str">
        <f>IF(ISERROR(FIND('112'!$M$9,G158,1)),"",IF((AND(LEFT(G158,2)=LEFT('112'!$M$9,2),B158&lt;'112'!$K$9,$N158='112'!$I$6)),"x",""))</f>
        <v/>
      </c>
      <c r="V158" s="75" t="str">
        <f>IF(ISERROR(FIND('112'!$M$9,G158,1)),"",IF((AND(RIGHT(G158,2)=RIGHT('112'!$M$9,2),B158&lt;'112'!$K$9,$O158='112'!$I$6)),"x",""))</f>
        <v/>
      </c>
      <c r="W158" s="75" t="str">
        <f>IF(AND('341-CT'!$H$9=H158,OR(LEFT(N158,3)=$W$7,LEFT(O158,3)=$W$7)),"x","")</f>
        <v/>
      </c>
      <c r="X158" s="75" t="str">
        <f>IF(OR(TH!N158=TH!$X$7,O158=TH!$X$7),"x","")</f>
        <v/>
      </c>
      <c r="Y158" s="75" t="str">
        <f>IF(AND(OR(N158="131",O158="131"),H158='131-CT'!$H$9),"x","")</f>
        <v/>
      </c>
      <c r="Z158" s="75"/>
      <c r="AA158" s="75" t="str">
        <f>IF(AND(MONTH(E158)='IN-NX'!$J$5,'IN-NX'!$D$7=D158),"x","")</f>
        <v/>
      </c>
      <c r="AB158" s="75" t="str">
        <f>IF(AND(OR(LEFT(TH!N158,2)="15",LEFT(TH!O158,2)="15"),LEFT(TH!O158,3)&lt;&gt;"111",'152-CT'!$J$8=TH!F158),"x","")</f>
        <v/>
      </c>
      <c r="AC158" s="75" t="str">
        <f>IF(AND(OR(LEFT(TH!N158,2)="15",LEFT(TH!O158,2)="15"),TK!$E$7=TH!F158),"x","")</f>
        <v/>
      </c>
      <c r="AD158" s="75" t="str">
        <f>IF(AND(N158="1521",MONTH(C158)='BK-NL'!$M$11),"x","")</f>
        <v/>
      </c>
    </row>
    <row r="159" spans="1:30" ht="16.5" customHeight="1">
      <c r="A159" s="309" t="str">
        <f>IF(B159&lt;&gt;"",IF(AND(B159='IN-TC'!$S$4,OR(TH!N159="1111",TH!O159="1111")),TH!D159,""),"")</f>
        <v/>
      </c>
      <c r="B159" s="1130">
        <f t="shared" si="15"/>
        <v>6</v>
      </c>
      <c r="C159" s="666">
        <v>42916</v>
      </c>
      <c r="D159" s="666" t="s">
        <v>530</v>
      </c>
      <c r="E159" s="666">
        <f t="shared" ref="E159:E194" si="25">C159</f>
        <v>42916</v>
      </c>
      <c r="F159" s="905" t="s">
        <v>724</v>
      </c>
      <c r="G159" s="739" t="s">
        <v>531</v>
      </c>
      <c r="H159" s="294"/>
      <c r="I159" s="373"/>
      <c r="J159" s="379"/>
      <c r="K159" s="373"/>
      <c r="L159" s="379"/>
      <c r="M159" s="670">
        <f>ROUND(G157*$G159,0)</f>
        <v>3709840</v>
      </c>
      <c r="N159" s="671" t="s">
        <v>540</v>
      </c>
      <c r="O159" s="671" t="s">
        <v>541</v>
      </c>
      <c r="P159" s="75" t="str">
        <f>IF(AND('331-CT'!$E$7=TH!H159,OR(N159="331",O159="331")),"x","")</f>
        <v/>
      </c>
      <c r="Q159" s="75" t="str">
        <f>IF(AND(B159='111'!$L$11,OR($N159=$Q$7,$O159=$Q$7)),"x","")</f>
        <v/>
      </c>
      <c r="R159" s="75" t="str">
        <f>IF(AND($N159=$Q$7,$B159&lt;'111'!$L$11),"x","")</f>
        <v/>
      </c>
      <c r="S159" s="75" t="str">
        <f>IF(AND($O159=$Q$7,$B159&lt;'111'!$L$11),"x","")</f>
        <v/>
      </c>
      <c r="T159" s="75" t="str">
        <f>IF(ISERROR(FIND('112'!$M$9,G159,1)),"",IF((AND(FIND('112'!$M$9,G159,1)&gt;=1,B159='112'!$K$9,OR($N159='112'!$I$6,$O159='112'!$I$6))),"x",""))</f>
        <v/>
      </c>
      <c r="U159" s="75" t="str">
        <f>IF(ISERROR(FIND('112'!$M$9,G159,1)),"",IF((AND(LEFT(G159,2)=LEFT('112'!$M$9,2),B159&lt;'112'!$K$9,$N159='112'!$I$6)),"x",""))</f>
        <v/>
      </c>
      <c r="V159" s="75" t="str">
        <f>IF(ISERROR(FIND('112'!$M$9,G159,1)),"",IF((AND(RIGHT(G159,2)=RIGHT('112'!$M$9,2),B159&lt;'112'!$K$9,$O159='112'!$I$6)),"x",""))</f>
        <v/>
      </c>
      <c r="W159" s="75" t="str">
        <f>IF(AND('341-CT'!$H$9=H159,OR(LEFT(N159,3)=$W$7,LEFT(O159,3)=$W$7)),"x","")</f>
        <v/>
      </c>
      <c r="X159" s="75" t="str">
        <f>IF(OR(TH!N159=TH!$X$7,O159=TH!$X$7),"x","")</f>
        <v/>
      </c>
      <c r="Y159" s="75" t="str">
        <f>IF(AND(OR(N159="131",O159="131"),H159='131-CT'!$H$9),"x","")</f>
        <v/>
      </c>
      <c r="Z159" s="75"/>
      <c r="AA159" s="75" t="str">
        <f>IF(AND(MONTH(E159)='IN-NX'!$J$5,'IN-NX'!$D$7=D159),"x","")</f>
        <v/>
      </c>
      <c r="AB159" s="75" t="str">
        <f>IF(AND(OR(LEFT(TH!N159,2)="15",LEFT(TH!O159,2)="15"),LEFT(TH!O159,3)&lt;&gt;"111",'152-CT'!$J$8=TH!F159),"x","")</f>
        <v/>
      </c>
      <c r="AC159" s="75" t="str">
        <f>IF(AND(OR(LEFT(TH!N159,2)="15",LEFT(TH!O159,2)="15"),TK!$E$7=TH!F159),"x","")</f>
        <v/>
      </c>
      <c r="AD159" s="75" t="str">
        <f>IF(AND(N159="1521",MONTH(C159)='BK-NL'!$M$11),"x","")</f>
        <v/>
      </c>
    </row>
    <row r="160" spans="1:30" ht="16.5" customHeight="1">
      <c r="A160" s="309" t="str">
        <f>IF(B160&lt;&gt;"",IF(AND(B160='IN-TC'!$S$4,OR(TH!N160="1111",TH!O160="1111")),TH!D160,""),"")</f>
        <v/>
      </c>
      <c r="B160" s="1130">
        <f t="shared" si="15"/>
        <v>6</v>
      </c>
      <c r="C160" s="666">
        <v>42916</v>
      </c>
      <c r="D160" s="666" t="s">
        <v>530</v>
      </c>
      <c r="E160" s="666">
        <f t="shared" si="25"/>
        <v>42916</v>
      </c>
      <c r="F160" s="905" t="s">
        <v>725</v>
      </c>
      <c r="G160" s="250"/>
      <c r="H160" s="294"/>
      <c r="I160" s="373"/>
      <c r="J160" s="379"/>
      <c r="K160" s="373"/>
      <c r="L160" s="379"/>
      <c r="M160" s="670">
        <f>ROUND(G158*$G159,0)</f>
        <v>4951680</v>
      </c>
      <c r="N160" s="672" t="s">
        <v>540</v>
      </c>
      <c r="O160" s="673" t="s">
        <v>541</v>
      </c>
      <c r="P160" s="75" t="str">
        <f>IF(AND('331-CT'!$E$7=TH!H160,OR(N160="331",O160="331")),"x","")</f>
        <v/>
      </c>
      <c r="Q160" s="75" t="str">
        <f>IF(AND(B160='111'!$L$11,OR($N160=$Q$7,$O160=$Q$7)),"x","")</f>
        <v/>
      </c>
      <c r="R160" s="75" t="str">
        <f>IF(AND($N160=$Q$7,$B160&lt;'111'!$L$11),"x","")</f>
        <v/>
      </c>
      <c r="S160" s="75" t="str">
        <f>IF(AND($O160=$Q$7,$B160&lt;'111'!$L$11),"x","")</f>
        <v/>
      </c>
      <c r="T160" s="75" t="str">
        <f>IF(ISERROR(FIND('112'!$M$9,G160,1)),"",IF((AND(FIND('112'!$M$9,G160,1)&gt;=1,B160='112'!$K$9,OR($N160='112'!$I$6,$O160='112'!$I$6))),"x",""))</f>
        <v/>
      </c>
      <c r="U160" s="75" t="str">
        <f>IF(ISERROR(FIND('112'!$M$9,G160,1)),"",IF((AND(LEFT(G160,2)=LEFT('112'!$M$9,2),B160&lt;'112'!$K$9,$N160='112'!$I$6)),"x",""))</f>
        <v/>
      </c>
      <c r="V160" s="75" t="str">
        <f>IF(ISERROR(FIND('112'!$M$9,G160,1)),"",IF((AND(RIGHT(G160,2)=RIGHT('112'!$M$9,2),B160&lt;'112'!$K$9,$O160='112'!$I$6)),"x",""))</f>
        <v/>
      </c>
      <c r="W160" s="75" t="str">
        <f>IF(AND('341-CT'!$H$9=H160,OR(LEFT(N160,3)=$W$7,LEFT(O160,3)=$W$7)),"x","")</f>
        <v/>
      </c>
      <c r="X160" s="75" t="str">
        <f>IF(OR(TH!N160=TH!$X$7,O160=TH!$X$7),"x","")</f>
        <v/>
      </c>
      <c r="Y160" s="75" t="str">
        <f>IF(AND(OR(N160="131",O160="131"),H160='131-CT'!$H$9),"x","")</f>
        <v/>
      </c>
      <c r="Z160" s="75"/>
      <c r="AA160" s="75" t="str">
        <f>IF(AND(MONTH(E160)='IN-NX'!$J$5,'IN-NX'!$D$7=D160),"x","")</f>
        <v/>
      </c>
      <c r="AB160" s="75" t="str">
        <f>IF(AND(OR(LEFT(TH!N160,2)="15",LEFT(TH!O160,2)="15"),LEFT(TH!O160,3)&lt;&gt;"111",'152-CT'!$J$8=TH!F160),"x","")</f>
        <v/>
      </c>
      <c r="AC160" s="75" t="str">
        <f>IF(AND(OR(LEFT(TH!N160,2)="15",LEFT(TH!O160,2)="15"),TK!$E$7=TH!F160),"x","")</f>
        <v/>
      </c>
      <c r="AD160" s="75" t="str">
        <f>IF(AND(N160="1521",MONTH(C160)='BK-NL'!$M$11),"x","")</f>
        <v/>
      </c>
    </row>
    <row r="161" spans="1:30" ht="16.5" customHeight="1">
      <c r="A161" s="309" t="str">
        <f>IF(B161&lt;&gt;"",IF(AND(B161='IN-TC'!$S$4,OR(TH!N161="1111",TH!O161="1111")),TH!D161,""),"")</f>
        <v/>
      </c>
      <c r="B161" s="1130">
        <f t="shared" si="15"/>
        <v>6</v>
      </c>
      <c r="C161" s="666">
        <v>42916</v>
      </c>
      <c r="D161" s="666" t="s">
        <v>530</v>
      </c>
      <c r="E161" s="666">
        <f t="shared" si="25"/>
        <v>42916</v>
      </c>
      <c r="F161" s="905" t="s">
        <v>726</v>
      </c>
      <c r="G161" s="739" t="s">
        <v>1580</v>
      </c>
      <c r="H161" s="294"/>
      <c r="I161" s="373"/>
      <c r="J161" s="379"/>
      <c r="K161" s="373"/>
      <c r="L161" s="379"/>
      <c r="M161" s="670">
        <f>ROUND(G157*$G161,0)</f>
        <v>8115275</v>
      </c>
      <c r="N161" s="671" t="s">
        <v>539</v>
      </c>
      <c r="O161" s="671" t="s">
        <v>541</v>
      </c>
      <c r="P161" s="75" t="str">
        <f>IF(AND('331-CT'!$E$7=TH!H161,OR(N161="331",O161="331")),"x","")</f>
        <v/>
      </c>
      <c r="Q161" s="75" t="str">
        <f>IF(AND(B161='111'!$L$11,OR($N161=$Q$7,$O161=$Q$7)),"x","")</f>
        <v/>
      </c>
      <c r="R161" s="75" t="str">
        <f>IF(AND($N161=$Q$7,$B161&lt;'111'!$L$11),"x","")</f>
        <v/>
      </c>
      <c r="S161" s="75" t="str">
        <f>IF(AND($O161=$Q$7,$B161&lt;'111'!$L$11),"x","")</f>
        <v/>
      </c>
      <c r="T161" s="75" t="str">
        <f>IF(ISERROR(FIND('112'!$M$9,G161,1)),"",IF((AND(FIND('112'!$M$9,G161,1)&gt;=1,B161='112'!$K$9,OR($N161='112'!$I$6,$O161='112'!$I$6))),"x",""))</f>
        <v/>
      </c>
      <c r="U161" s="75" t="str">
        <f>IF(ISERROR(FIND('112'!$M$9,G161,1)),"",IF((AND(LEFT(G161,2)=LEFT('112'!$M$9,2),B161&lt;'112'!$K$9,$N161='112'!$I$6)),"x",""))</f>
        <v/>
      </c>
      <c r="V161" s="75" t="str">
        <f>IF(ISERROR(FIND('112'!$M$9,G161,1)),"",IF((AND(RIGHT(G161,2)=RIGHT('112'!$M$9,2),B161&lt;'112'!$K$9,$O161='112'!$I$6)),"x",""))</f>
        <v/>
      </c>
      <c r="W161" s="75" t="str">
        <f>IF(AND('341-CT'!$H$9=H161,OR(LEFT(N161,3)=$W$7,LEFT(O161,3)=$W$7)),"x","")</f>
        <v/>
      </c>
      <c r="X161" s="75" t="str">
        <f>IF(OR(TH!N161=TH!$X$7,O161=TH!$X$7),"x","")</f>
        <v/>
      </c>
      <c r="Y161" s="75" t="str">
        <f>IF(AND(OR(N161="131",O161="131"),H161='131-CT'!$H$9),"x","")</f>
        <v/>
      </c>
      <c r="Z161" s="75"/>
      <c r="AA161" s="75" t="str">
        <f>IF(AND(MONTH(E161)='IN-NX'!$J$5,'IN-NX'!$D$7=D161),"x","")</f>
        <v/>
      </c>
      <c r="AB161" s="75" t="str">
        <f>IF(AND(OR(LEFT(TH!N161,2)="15",LEFT(TH!O161,2)="15"),LEFT(TH!O161,3)&lt;&gt;"111",'152-CT'!$J$8=TH!F161),"x","")</f>
        <v/>
      </c>
      <c r="AC161" s="75" t="str">
        <f>IF(AND(OR(LEFT(TH!N161,2)="15",LEFT(TH!O161,2)="15"),TK!$E$7=TH!F161),"x","")</f>
        <v/>
      </c>
      <c r="AD161" s="75" t="str">
        <f>IF(AND(N161="1521",MONTH(C161)='BK-NL'!$M$11),"x","")</f>
        <v/>
      </c>
    </row>
    <row r="162" spans="1:30" ht="16.5" customHeight="1">
      <c r="A162" s="309" t="str">
        <f>IF(B162&lt;&gt;"",IF(AND(B162='IN-TC'!$S$4,OR(TH!N162="1111",TH!O162="1111")),TH!D162,""),"")</f>
        <v/>
      </c>
      <c r="B162" s="1130">
        <f t="shared" si="15"/>
        <v>6</v>
      </c>
      <c r="C162" s="666">
        <v>42916</v>
      </c>
      <c r="D162" s="666" t="s">
        <v>530</v>
      </c>
      <c r="E162" s="666">
        <f t="shared" si="25"/>
        <v>42916</v>
      </c>
      <c r="F162" s="905" t="s">
        <v>727</v>
      </c>
      <c r="G162" s="250"/>
      <c r="H162" s="294"/>
      <c r="I162" s="373"/>
      <c r="J162" s="379"/>
      <c r="K162" s="373"/>
      <c r="L162" s="379"/>
      <c r="M162" s="670">
        <f>ROUND(G158*$G161,0)</f>
        <v>10831800</v>
      </c>
      <c r="N162" s="671" t="s">
        <v>272</v>
      </c>
      <c r="O162" s="671" t="s">
        <v>541</v>
      </c>
      <c r="P162" s="75" t="str">
        <f>IF(AND('331-CT'!$E$7=TH!H162,OR(N162="331",O162="331")),"x","")</f>
        <v/>
      </c>
      <c r="Q162" s="75" t="str">
        <f>IF(AND(B162='111'!$L$11,OR($N162=$Q$7,$O162=$Q$7)),"x","")</f>
        <v/>
      </c>
      <c r="R162" s="75" t="str">
        <f>IF(AND($N162=$Q$7,$B162&lt;'111'!$L$11),"x","")</f>
        <v/>
      </c>
      <c r="S162" s="75" t="str">
        <f>IF(AND($O162=$Q$7,$B162&lt;'111'!$L$11),"x","")</f>
        <v/>
      </c>
      <c r="T162" s="75" t="str">
        <f>IF(ISERROR(FIND('112'!$M$9,G162,1)),"",IF((AND(FIND('112'!$M$9,G162,1)&gt;=1,B162='112'!$K$9,OR($N162='112'!$I$6,$O162='112'!$I$6))),"x",""))</f>
        <v/>
      </c>
      <c r="U162" s="75" t="str">
        <f>IF(ISERROR(FIND('112'!$M$9,G162,1)),"",IF((AND(LEFT(G162,2)=LEFT('112'!$M$9,2),B162&lt;'112'!$K$9,$N162='112'!$I$6)),"x",""))</f>
        <v/>
      </c>
      <c r="V162" s="75" t="str">
        <f>IF(ISERROR(FIND('112'!$M$9,G162,1)),"",IF((AND(RIGHT(G162,2)=RIGHT('112'!$M$9,2),B162&lt;'112'!$K$9,$O162='112'!$I$6)),"x",""))</f>
        <v/>
      </c>
      <c r="W162" s="75" t="str">
        <f>IF(AND('341-CT'!$H$9=H162,OR(LEFT(N162,3)=$W$7,LEFT(O162,3)=$W$7)),"x","")</f>
        <v/>
      </c>
      <c r="X162" s="75" t="str">
        <f>IF(OR(TH!N162=TH!$X$7,O162=TH!$X$7),"x","")</f>
        <v/>
      </c>
      <c r="Y162" s="75" t="str">
        <f>IF(AND(OR(N162="131",O162="131"),H162='131-CT'!$H$9),"x","")</f>
        <v/>
      </c>
      <c r="Z162" s="75"/>
      <c r="AA162" s="75" t="str">
        <f>IF(AND(MONTH(E162)='IN-NX'!$J$5,'IN-NX'!$D$7=D162),"x","")</f>
        <v/>
      </c>
      <c r="AB162" s="75" t="str">
        <f>IF(AND(OR(LEFT(TH!N162,2)="15",LEFT(TH!O162,2)="15"),LEFT(TH!O162,3)&lt;&gt;"111",'152-CT'!$J$8=TH!F162),"x","")</f>
        <v/>
      </c>
      <c r="AC162" s="75" t="str">
        <f>IF(AND(OR(LEFT(TH!N162,2)="15",LEFT(TH!O162,2)="15"),TK!$E$7=TH!F162),"x","")</f>
        <v/>
      </c>
      <c r="AD162" s="75" t="str">
        <f>IF(AND(N162="1521",MONTH(C162)='BK-NL'!$M$11),"x","")</f>
        <v/>
      </c>
    </row>
    <row r="163" spans="1:30" ht="16.5" customHeight="1">
      <c r="A163" s="309" t="str">
        <f>IF(B163&lt;&gt;"",IF(AND(B163='IN-TC'!$S$4,OR(TH!N163="1111",TH!O163="1111")),TH!D163,""),"")</f>
        <v/>
      </c>
      <c r="B163" s="1130">
        <f t="shared" si="15"/>
        <v>6</v>
      </c>
      <c r="C163" s="666">
        <v>42916</v>
      </c>
      <c r="D163" s="666" t="s">
        <v>530</v>
      </c>
      <c r="E163" s="666">
        <f t="shared" si="25"/>
        <v>42916</v>
      </c>
      <c r="F163" s="905" t="s">
        <v>728</v>
      </c>
      <c r="G163" s="739" t="s">
        <v>533</v>
      </c>
      <c r="H163" s="296"/>
      <c r="I163" s="371"/>
      <c r="J163" s="377"/>
      <c r="K163" s="371"/>
      <c r="L163" s="377"/>
      <c r="M163" s="670">
        <f>ROUND(G157*$G163,0)</f>
        <v>695595</v>
      </c>
      <c r="N163" s="671" t="s">
        <v>540</v>
      </c>
      <c r="O163" s="671" t="s">
        <v>542</v>
      </c>
      <c r="P163" s="75" t="str">
        <f>IF(AND('331-CT'!$E$7=TH!H163,OR(N163="331",O163="331")),"x","")</f>
        <v/>
      </c>
      <c r="Q163" s="75" t="str">
        <f>IF(AND(B163='111'!$L$11,OR($N163=$Q$7,$O163=$Q$7)),"x","")</f>
        <v/>
      </c>
      <c r="R163" s="75" t="str">
        <f>IF(AND($N163=$Q$7,$B163&lt;'111'!$L$11),"x","")</f>
        <v/>
      </c>
      <c r="S163" s="75" t="str">
        <f>IF(AND($O163=$Q$7,$B163&lt;'111'!$L$11),"x","")</f>
        <v/>
      </c>
      <c r="T163" s="75" t="str">
        <f>IF(ISERROR(FIND('112'!$M$9,G163,1)),"",IF((AND(FIND('112'!$M$9,G163,1)&gt;=1,B163='112'!$K$9,OR($N163='112'!$I$6,$O163='112'!$I$6))),"x",""))</f>
        <v/>
      </c>
      <c r="U163" s="75" t="str">
        <f>IF(ISERROR(FIND('112'!$M$9,G163,1)),"",IF((AND(LEFT(G163,2)=LEFT('112'!$M$9,2),B163&lt;'112'!$K$9,$N163='112'!$I$6)),"x",""))</f>
        <v/>
      </c>
      <c r="V163" s="75" t="str">
        <f>IF(ISERROR(FIND('112'!$M$9,G163,1)),"",IF((AND(RIGHT(G163,2)=RIGHT('112'!$M$9,2),B163&lt;'112'!$K$9,$O163='112'!$I$6)),"x",""))</f>
        <v/>
      </c>
      <c r="W163" s="75" t="str">
        <f>IF(AND('341-CT'!$H$9=H163,OR(LEFT(N163,3)=$W$7,LEFT(O163,3)=$W$7)),"x","")</f>
        <v/>
      </c>
      <c r="X163" s="75" t="str">
        <f>IF(OR(TH!N163=TH!$X$7,O163=TH!$X$7),"x","")</f>
        <v/>
      </c>
      <c r="Y163" s="75" t="str">
        <f>IF(AND(OR(N163="131",O163="131"),H163='131-CT'!$H$9),"x","")</f>
        <v/>
      </c>
      <c r="Z163" s="75"/>
      <c r="AA163" s="75" t="str">
        <f>IF(AND(MONTH(E163)='IN-NX'!$J$5,'IN-NX'!$D$7=D163),"x","")</f>
        <v/>
      </c>
      <c r="AB163" s="75" t="str">
        <f>IF(AND(OR(LEFT(TH!N163,2)="15",LEFT(TH!O163,2)="15"),LEFT(TH!O163,3)&lt;&gt;"111",'152-CT'!$J$8=TH!F163),"x","")</f>
        <v/>
      </c>
      <c r="AC163" s="75" t="str">
        <f>IF(AND(OR(LEFT(TH!N163,2)="15",LEFT(TH!O163,2)="15"),TK!$E$7=TH!F163),"x","")</f>
        <v/>
      </c>
      <c r="AD163" s="75" t="str">
        <f>IF(AND(N163="1521",MONTH(C163)='BK-NL'!$M$11),"x","")</f>
        <v/>
      </c>
    </row>
    <row r="164" spans="1:30" ht="16.5" customHeight="1">
      <c r="A164" s="309" t="str">
        <f>IF(B164&lt;&gt;"",IF(AND(B164='IN-TC'!$S$4,OR(TH!N164="1111",TH!O164="1111")),TH!D164,""),"")</f>
        <v/>
      </c>
      <c r="B164" s="1130">
        <f t="shared" si="15"/>
        <v>6</v>
      </c>
      <c r="C164" s="666">
        <v>42916</v>
      </c>
      <c r="D164" s="666" t="s">
        <v>530</v>
      </c>
      <c r="E164" s="666">
        <f t="shared" si="25"/>
        <v>42916</v>
      </c>
      <c r="F164" s="905" t="s">
        <v>729</v>
      </c>
      <c r="G164" s="250"/>
      <c r="H164" s="296"/>
      <c r="I164" s="371"/>
      <c r="J164" s="377"/>
      <c r="K164" s="371"/>
      <c r="L164" s="377"/>
      <c r="M164" s="670">
        <f>ROUND(G158*$G163,0)</f>
        <v>928440</v>
      </c>
      <c r="N164" s="671" t="s">
        <v>540</v>
      </c>
      <c r="O164" s="671" t="s">
        <v>542</v>
      </c>
      <c r="P164" s="75" t="str">
        <f>IF(AND('331-CT'!$E$7=TH!H164,OR(N164="331",O164="331")),"x","")</f>
        <v/>
      </c>
      <c r="Q164" s="75" t="str">
        <f>IF(AND(B164='111'!$L$11,OR($N164=$Q$7,$O164=$Q$7)),"x","")</f>
        <v/>
      </c>
      <c r="R164" s="75" t="str">
        <f>IF(AND($N164=$Q$7,$B164&lt;'111'!$L$11),"x","")</f>
        <v/>
      </c>
      <c r="S164" s="75" t="str">
        <f>IF(AND($O164=$Q$7,$B164&lt;'111'!$L$11),"x","")</f>
        <v/>
      </c>
      <c r="T164" s="75" t="str">
        <f>IF(ISERROR(FIND('112'!$M$9,G164,1)),"",IF((AND(FIND('112'!$M$9,G164,1)&gt;=1,B164='112'!$K$9,OR($N164='112'!$I$6,$O164='112'!$I$6))),"x",""))</f>
        <v/>
      </c>
      <c r="U164" s="75" t="str">
        <f>IF(ISERROR(FIND('112'!$M$9,G164,1)),"",IF((AND(LEFT(G164,2)=LEFT('112'!$M$9,2),B164&lt;'112'!$K$9,$N164='112'!$I$6)),"x",""))</f>
        <v/>
      </c>
      <c r="V164" s="75" t="str">
        <f>IF(ISERROR(FIND('112'!$M$9,G164,1)),"",IF((AND(RIGHT(G164,2)=RIGHT('112'!$M$9,2),B164&lt;'112'!$K$9,$O164='112'!$I$6)),"x",""))</f>
        <v/>
      </c>
      <c r="W164" s="75" t="str">
        <f>IF(AND('341-CT'!$H$9=H164,OR(LEFT(N164,3)=$W$7,LEFT(O164,3)=$W$7)),"x","")</f>
        <v/>
      </c>
      <c r="X164" s="75" t="str">
        <f>IF(OR(TH!N164=TH!$X$7,O164=TH!$X$7),"x","")</f>
        <v/>
      </c>
      <c r="Y164" s="75" t="str">
        <f>IF(AND(OR(N164="131",O164="131"),H164='131-CT'!$H$9),"x","")</f>
        <v/>
      </c>
      <c r="Z164" s="75"/>
      <c r="AA164" s="75" t="str">
        <f>IF(AND(MONTH(E164)='IN-NX'!$J$5,'IN-NX'!$D$7=D164),"x","")</f>
        <v/>
      </c>
      <c r="AB164" s="75" t="str">
        <f>IF(AND(OR(LEFT(TH!N164,2)="15",LEFT(TH!O164,2)="15"),LEFT(TH!O164,3)&lt;&gt;"111",'152-CT'!$J$8=TH!F164),"x","")</f>
        <v/>
      </c>
      <c r="AC164" s="75" t="str">
        <f>IF(AND(OR(LEFT(TH!N164,2)="15",LEFT(TH!O164,2)="15"),TK!$E$7=TH!F164),"x","")</f>
        <v/>
      </c>
      <c r="AD164" s="75" t="str">
        <f>IF(AND(N164="1521",MONTH(C164)='BK-NL'!$M$11),"x","")</f>
        <v/>
      </c>
    </row>
    <row r="165" spans="1:30" ht="16.5" customHeight="1">
      <c r="A165" s="309" t="str">
        <f>IF(B165&lt;&gt;"",IF(AND(B165='IN-TC'!$S$4,OR(TH!N165="1111",TH!O165="1111")),TH!D165,""),"")</f>
        <v/>
      </c>
      <c r="B165" s="1130">
        <f t="shared" si="15"/>
        <v>6</v>
      </c>
      <c r="C165" s="666">
        <v>42916</v>
      </c>
      <c r="D165" s="666" t="s">
        <v>530</v>
      </c>
      <c r="E165" s="666">
        <f t="shared" si="25"/>
        <v>42916</v>
      </c>
      <c r="F165" s="905" t="s">
        <v>730</v>
      </c>
      <c r="G165" s="739" t="s">
        <v>534</v>
      </c>
      <c r="H165" s="294"/>
      <c r="I165" s="373"/>
      <c r="J165" s="379"/>
      <c r="K165" s="373"/>
      <c r="L165" s="379"/>
      <c r="M165" s="670">
        <f>ROUND(G157*$G165,0)</f>
        <v>1391190</v>
      </c>
      <c r="N165" s="671" t="s">
        <v>539</v>
      </c>
      <c r="O165" s="671" t="s">
        <v>542</v>
      </c>
      <c r="P165" s="75" t="str">
        <f>IF(AND('331-CT'!$E$7=TH!H165,OR(N165="331",O165="331")),"x","")</f>
        <v/>
      </c>
      <c r="Q165" s="75" t="str">
        <f>IF(AND(B165='111'!$L$11,OR($N165=$Q$7,$O165=$Q$7)),"x","")</f>
        <v/>
      </c>
      <c r="R165" s="75" t="str">
        <f>IF(AND($N165=$Q$7,$B165&lt;'111'!$L$11),"x","")</f>
        <v/>
      </c>
      <c r="S165" s="75" t="str">
        <f>IF(AND($O165=$Q$7,$B165&lt;'111'!$L$11),"x","")</f>
        <v/>
      </c>
      <c r="T165" s="75" t="str">
        <f>IF(ISERROR(FIND('112'!$M$9,G165,1)),"",IF((AND(FIND('112'!$M$9,G165,1)&gt;=1,B165='112'!$K$9,OR($N165='112'!$I$6,$O165='112'!$I$6))),"x",""))</f>
        <v/>
      </c>
      <c r="U165" s="75" t="str">
        <f>IF(ISERROR(FIND('112'!$M$9,G165,1)),"",IF((AND(LEFT(G165,2)=LEFT('112'!$M$9,2),B165&lt;'112'!$K$9,$N165='112'!$I$6)),"x",""))</f>
        <v/>
      </c>
      <c r="V165" s="75" t="str">
        <f>IF(ISERROR(FIND('112'!$M$9,G165,1)),"",IF((AND(RIGHT(G165,2)=RIGHT('112'!$M$9,2),B165&lt;'112'!$K$9,$O165='112'!$I$6)),"x",""))</f>
        <v/>
      </c>
      <c r="W165" s="75" t="str">
        <f>IF(AND('341-CT'!$H$9=H165,OR(LEFT(N165,3)=$W$7,LEFT(O165,3)=$W$7)),"x","")</f>
        <v/>
      </c>
      <c r="X165" s="75" t="str">
        <f>IF(OR(TH!N165=TH!$X$7,O165=TH!$X$7),"x","")</f>
        <v/>
      </c>
      <c r="Y165" s="75" t="str">
        <f>IF(AND(OR(N165="131",O165="131"),H165='131-CT'!$H$9),"x","")</f>
        <v/>
      </c>
      <c r="Z165" s="75"/>
      <c r="AA165" s="75" t="str">
        <f>IF(AND(MONTH(E165)='IN-NX'!$J$5,'IN-NX'!$D$7=D165),"x","")</f>
        <v/>
      </c>
      <c r="AB165" s="75" t="str">
        <f>IF(AND(OR(LEFT(TH!N165,2)="15",LEFT(TH!O165,2)="15"),LEFT(TH!O165,3)&lt;&gt;"111",'152-CT'!$J$8=TH!F165),"x","")</f>
        <v/>
      </c>
      <c r="AC165" s="75" t="str">
        <f>IF(AND(OR(LEFT(TH!N165,2)="15",LEFT(TH!O165,2)="15"),TK!$E$7=TH!F165),"x","")</f>
        <v/>
      </c>
      <c r="AD165" s="75" t="str">
        <f>IF(AND(N165="1521",MONTH(C165)='BK-NL'!$M$11),"x","")</f>
        <v/>
      </c>
    </row>
    <row r="166" spans="1:30" ht="16.5" customHeight="1">
      <c r="A166" s="309" t="str">
        <f>IF(B166&lt;&gt;"",IF(AND(B166='IN-TC'!$S$4,OR(TH!N166="1111",TH!O166="1111")),TH!D166,""),"")</f>
        <v/>
      </c>
      <c r="B166" s="1130">
        <f t="shared" si="15"/>
        <v>6</v>
      </c>
      <c r="C166" s="666">
        <v>42916</v>
      </c>
      <c r="D166" s="666" t="s">
        <v>530</v>
      </c>
      <c r="E166" s="666">
        <f t="shared" si="25"/>
        <v>42916</v>
      </c>
      <c r="F166" s="905" t="s">
        <v>731</v>
      </c>
      <c r="G166" s="250"/>
      <c r="H166" s="294"/>
      <c r="I166" s="373"/>
      <c r="J166" s="379"/>
      <c r="K166" s="373"/>
      <c r="L166" s="379"/>
      <c r="M166" s="670">
        <f>ROUND(G158*$G165,0)</f>
        <v>1856880</v>
      </c>
      <c r="N166" s="671" t="s">
        <v>272</v>
      </c>
      <c r="O166" s="671" t="s">
        <v>542</v>
      </c>
      <c r="P166" s="75" t="str">
        <f>IF(AND('331-CT'!$E$7=TH!H166,OR(N166="331",O166="331")),"x","")</f>
        <v/>
      </c>
      <c r="Q166" s="75" t="str">
        <f>IF(AND(B166='111'!$L$11,OR($N166=$Q$7,$O166=$Q$7)),"x","")</f>
        <v/>
      </c>
      <c r="R166" s="75" t="str">
        <f>IF(AND($N166=$Q$7,$B166&lt;'111'!$L$11),"x","")</f>
        <v/>
      </c>
      <c r="S166" s="75" t="str">
        <f>IF(AND($O166=$Q$7,$B166&lt;'111'!$L$11),"x","")</f>
        <v/>
      </c>
      <c r="T166" s="75" t="str">
        <f>IF(ISERROR(FIND('112'!$M$9,G166,1)),"",IF((AND(FIND('112'!$M$9,G166,1)&gt;=1,B166='112'!$K$9,OR($N166='112'!$I$6,$O166='112'!$I$6))),"x",""))</f>
        <v/>
      </c>
      <c r="U166" s="75" t="str">
        <f>IF(ISERROR(FIND('112'!$M$9,G166,1)),"",IF((AND(LEFT(G166,2)=LEFT('112'!$M$9,2),B166&lt;'112'!$K$9,$N166='112'!$I$6)),"x",""))</f>
        <v/>
      </c>
      <c r="V166" s="75" t="str">
        <f>IF(ISERROR(FIND('112'!$M$9,G166,1)),"",IF((AND(RIGHT(G166,2)=RIGHT('112'!$M$9,2),B166&lt;'112'!$K$9,$O166='112'!$I$6)),"x",""))</f>
        <v/>
      </c>
      <c r="W166" s="75" t="str">
        <f>IF(AND('341-CT'!$H$9=H166,OR(LEFT(N166,3)=$W$7,LEFT(O166,3)=$W$7)),"x","")</f>
        <v/>
      </c>
      <c r="X166" s="75" t="str">
        <f>IF(OR(TH!N166=TH!$X$7,O166=TH!$X$7),"x","")</f>
        <v/>
      </c>
      <c r="Y166" s="75" t="str">
        <f>IF(AND(OR(N166="131",O166="131"),H166='131-CT'!$H$9),"x","")</f>
        <v/>
      </c>
      <c r="Z166" s="75"/>
      <c r="AA166" s="75" t="str">
        <f>IF(AND(MONTH(E166)='IN-NX'!$J$5,'IN-NX'!$D$7=D166),"x","")</f>
        <v/>
      </c>
      <c r="AB166" s="75" t="str">
        <f>IF(AND(OR(LEFT(TH!N166,2)="15",LEFT(TH!O166,2)="15"),LEFT(TH!O166,3)&lt;&gt;"111",'152-CT'!$J$8=TH!F166),"x","")</f>
        <v/>
      </c>
      <c r="AC166" s="75" t="str">
        <f>IF(AND(OR(LEFT(TH!N166,2)="15",LEFT(TH!O166,2)="15"),TK!$E$7=TH!F166),"x","")</f>
        <v/>
      </c>
      <c r="AD166" s="75" t="str">
        <f>IF(AND(N166="1521",MONTH(C166)='BK-NL'!$M$11),"x","")</f>
        <v/>
      </c>
    </row>
    <row r="167" spans="1:30" ht="16.5" customHeight="1">
      <c r="A167" s="309" t="str">
        <f>IF(B167&lt;&gt;"",IF(AND(B167='IN-TC'!$S$4,OR(TH!N167="1111",TH!O167="1111")),TH!D167,""),"")</f>
        <v/>
      </c>
      <c r="B167" s="1130">
        <f t="shared" si="15"/>
        <v>6</v>
      </c>
      <c r="C167" s="666">
        <v>42916</v>
      </c>
      <c r="D167" s="666" t="s">
        <v>530</v>
      </c>
      <c r="E167" s="666">
        <f t="shared" si="25"/>
        <v>42916</v>
      </c>
      <c r="F167" s="905" t="s">
        <v>732</v>
      </c>
      <c r="G167" s="739" t="s">
        <v>535</v>
      </c>
      <c r="H167" s="294"/>
      <c r="I167" s="373"/>
      <c r="J167" s="379"/>
      <c r="K167" s="373"/>
      <c r="L167" s="379"/>
      <c r="M167" s="670">
        <f>ROUND(G157*$G167,0)</f>
        <v>463730</v>
      </c>
      <c r="N167" s="671" t="s">
        <v>540</v>
      </c>
      <c r="O167" s="671" t="s">
        <v>543</v>
      </c>
      <c r="P167" s="75" t="str">
        <f>IF(AND('331-CT'!$E$7=TH!H167,OR(N167="331",O167="331")),"x","")</f>
        <v/>
      </c>
      <c r="Q167" s="75" t="str">
        <f>IF(AND(B167='111'!$L$11,OR($N167=$Q$7,$O167=$Q$7)),"x","")</f>
        <v/>
      </c>
      <c r="R167" s="75" t="str">
        <f>IF(AND($N167=$Q$7,$B167&lt;'111'!$L$11),"x","")</f>
        <v/>
      </c>
      <c r="S167" s="75" t="str">
        <f>IF(AND($O167=$Q$7,$B167&lt;'111'!$L$11),"x","")</f>
        <v/>
      </c>
      <c r="T167" s="75" t="str">
        <f>IF(ISERROR(FIND('112'!$M$9,G167,1)),"",IF((AND(FIND('112'!$M$9,G167,1)&gt;=1,B167='112'!$K$9,OR($N167='112'!$I$6,$O167='112'!$I$6))),"x",""))</f>
        <v/>
      </c>
      <c r="U167" s="75" t="str">
        <f>IF(ISERROR(FIND('112'!$M$9,G167,1)),"",IF((AND(LEFT(G167,2)=LEFT('112'!$M$9,2),B167&lt;'112'!$K$9,$N167='112'!$I$6)),"x",""))</f>
        <v/>
      </c>
      <c r="V167" s="75" t="str">
        <f>IF(ISERROR(FIND('112'!$M$9,G167,1)),"",IF((AND(RIGHT(G167,2)=RIGHT('112'!$M$9,2),B167&lt;'112'!$K$9,$O167='112'!$I$6)),"x",""))</f>
        <v/>
      </c>
      <c r="W167" s="75" t="str">
        <f>IF(AND('341-CT'!$H$9=H167,OR(LEFT(N167,3)=$W$7,LEFT(O167,3)=$W$7)),"x","")</f>
        <v/>
      </c>
      <c r="X167" s="75" t="str">
        <f>IF(OR(TH!N167=TH!$X$7,O167=TH!$X$7),"x","")</f>
        <v/>
      </c>
      <c r="Y167" s="75" t="str">
        <f>IF(AND(OR(N167="131",O167="131"),H167='131-CT'!$H$9),"x","")</f>
        <v/>
      </c>
      <c r="Z167" s="75"/>
      <c r="AA167" s="75" t="str">
        <f>IF(AND(MONTH(E167)='IN-NX'!$J$5,'IN-NX'!$D$7=D167),"x","")</f>
        <v/>
      </c>
      <c r="AB167" s="75" t="str">
        <f>IF(AND(OR(LEFT(TH!N167,2)="15",LEFT(TH!O167,2)="15"),LEFT(TH!O167,3)&lt;&gt;"111",'152-CT'!$J$8=TH!F167),"x","")</f>
        <v/>
      </c>
      <c r="AC167" s="75" t="str">
        <f>IF(AND(OR(LEFT(TH!N167,2)="15",LEFT(TH!O167,2)="15"),TK!$E$7=TH!F167),"x","")</f>
        <v/>
      </c>
      <c r="AD167" s="75" t="str">
        <f>IF(AND(N167="1521",MONTH(C167)='BK-NL'!$M$11),"x","")</f>
        <v/>
      </c>
    </row>
    <row r="168" spans="1:30" ht="16.5" customHeight="1">
      <c r="A168" s="309" t="str">
        <f>IF(B168&lt;&gt;"",IF(AND(B168='IN-TC'!$S$4,OR(TH!N168="1111",TH!O168="1111")),TH!D168,""),"")</f>
        <v/>
      </c>
      <c r="B168" s="1130">
        <f t="shared" si="15"/>
        <v>6</v>
      </c>
      <c r="C168" s="666">
        <v>42916</v>
      </c>
      <c r="D168" s="666" t="s">
        <v>530</v>
      </c>
      <c r="E168" s="666">
        <f t="shared" si="25"/>
        <v>42916</v>
      </c>
      <c r="F168" s="905" t="s">
        <v>733</v>
      </c>
      <c r="G168" s="250"/>
      <c r="H168" s="294"/>
      <c r="I168" s="373"/>
      <c r="J168" s="379"/>
      <c r="K168" s="373"/>
      <c r="L168" s="379"/>
      <c r="M168" s="670">
        <f>ROUND(G158*$G167,0)</f>
        <v>618960</v>
      </c>
      <c r="N168" s="671" t="s">
        <v>540</v>
      </c>
      <c r="O168" s="671" t="s">
        <v>543</v>
      </c>
      <c r="P168" s="75" t="str">
        <f>IF(AND('331-CT'!$E$7=TH!H168,OR(N168="331",O168="331")),"x","")</f>
        <v/>
      </c>
      <c r="Q168" s="75" t="str">
        <f>IF(AND(B168='111'!$L$11,OR($N168=$Q$7,$O168=$Q$7)),"x","")</f>
        <v/>
      </c>
      <c r="R168" s="75" t="str">
        <f>IF(AND($N168=$Q$7,$B168&lt;'111'!$L$11),"x","")</f>
        <v/>
      </c>
      <c r="S168" s="75" t="str">
        <f>IF(AND($O168=$Q$7,$B168&lt;'111'!$L$11),"x","")</f>
        <v/>
      </c>
      <c r="T168" s="75" t="str">
        <f>IF(ISERROR(FIND('112'!$M$9,G168,1)),"",IF((AND(FIND('112'!$M$9,G168,1)&gt;=1,B168='112'!$K$9,OR($N168='112'!$I$6,$O168='112'!$I$6))),"x",""))</f>
        <v/>
      </c>
      <c r="U168" s="75" t="str">
        <f>IF(ISERROR(FIND('112'!$M$9,G168,1)),"",IF((AND(LEFT(G168,2)=LEFT('112'!$M$9,2),B168&lt;'112'!$K$9,$N168='112'!$I$6)),"x",""))</f>
        <v/>
      </c>
      <c r="V168" s="75" t="str">
        <f>IF(ISERROR(FIND('112'!$M$9,G168,1)),"",IF((AND(RIGHT(G168,2)=RIGHT('112'!$M$9,2),B168&lt;'112'!$K$9,$O168='112'!$I$6)),"x",""))</f>
        <v/>
      </c>
      <c r="W168" s="75" t="str">
        <f>IF(AND('341-CT'!$H$9=H168,OR(LEFT(N168,3)=$W$7,LEFT(O168,3)=$W$7)),"x","")</f>
        <v/>
      </c>
      <c r="X168" s="75" t="str">
        <f>IF(OR(TH!N168=TH!$X$7,O168=TH!$X$7),"x","")</f>
        <v/>
      </c>
      <c r="Y168" s="75" t="str">
        <f>IF(AND(OR(N168="131",O168="131"),H168='131-CT'!$H$9),"x","")</f>
        <v/>
      </c>
      <c r="Z168" s="75"/>
      <c r="AA168" s="75" t="str">
        <f>IF(AND(MONTH(E168)='IN-NX'!$J$5,'IN-NX'!$D$7=D168),"x","")</f>
        <v/>
      </c>
      <c r="AB168" s="75" t="str">
        <f>IF(AND(OR(LEFT(TH!N168,2)="15",LEFT(TH!O168,2)="15"),LEFT(TH!O168,3)&lt;&gt;"111",'152-CT'!$J$8=TH!F168),"x","")</f>
        <v/>
      </c>
      <c r="AC168" s="75" t="str">
        <f>IF(AND(OR(LEFT(TH!N168,2)="15",LEFT(TH!O168,2)="15"),TK!$E$7=TH!F168),"x","")</f>
        <v/>
      </c>
      <c r="AD168" s="75" t="str">
        <f>IF(AND(N168="1521",MONTH(C168)='BK-NL'!$M$11),"x","")</f>
        <v/>
      </c>
    </row>
    <row r="169" spans="1:30" ht="16.5" customHeight="1">
      <c r="A169" s="309" t="str">
        <f>IF(B169&lt;&gt;"",IF(AND(B169='IN-TC'!$S$4,OR(TH!N169="1111",TH!O169="1111")),TH!D169,""),"")</f>
        <v/>
      </c>
      <c r="B169" s="1130">
        <f t="shared" si="15"/>
        <v>6</v>
      </c>
      <c r="C169" s="666">
        <v>42916</v>
      </c>
      <c r="D169" s="666" t="s">
        <v>530</v>
      </c>
      <c r="E169" s="666">
        <f t="shared" si="25"/>
        <v>42916</v>
      </c>
      <c r="F169" s="905" t="s">
        <v>734</v>
      </c>
      <c r="G169" s="739" t="s">
        <v>535</v>
      </c>
      <c r="H169" s="871"/>
      <c r="I169" s="374"/>
      <c r="J169" s="380"/>
      <c r="K169" s="374"/>
      <c r="L169" s="380"/>
      <c r="M169" s="670">
        <f>M167</f>
        <v>463730</v>
      </c>
      <c r="N169" s="671" t="s">
        <v>539</v>
      </c>
      <c r="O169" s="671" t="s">
        <v>543</v>
      </c>
      <c r="P169" s="75" t="str">
        <f>IF(AND('331-CT'!$E$7=TH!H169,OR(N169="331",O169="331")),"x","")</f>
        <v/>
      </c>
      <c r="Q169" s="75" t="str">
        <f>IF(AND(B169='111'!$L$11,OR($N169=$Q$7,$O169=$Q$7)),"x","")</f>
        <v/>
      </c>
      <c r="R169" s="75" t="str">
        <f>IF(AND($N169=$Q$7,$B169&lt;'111'!$L$11),"x","")</f>
        <v/>
      </c>
      <c r="S169" s="75" t="str">
        <f>IF(AND($O169=$Q$7,$B169&lt;'111'!$L$11),"x","")</f>
        <v/>
      </c>
      <c r="T169" s="75" t="str">
        <f>IF(ISERROR(FIND('112'!$M$9,G169,1)),"",IF((AND(FIND('112'!$M$9,G169,1)&gt;=1,B169='112'!$K$9,OR($N169='112'!$I$6,$O169='112'!$I$6))),"x",""))</f>
        <v/>
      </c>
      <c r="U169" s="75" t="str">
        <f>IF(ISERROR(FIND('112'!$M$9,G169,1)),"",IF((AND(LEFT(G169,2)=LEFT('112'!$M$9,2),B169&lt;'112'!$K$9,$N169='112'!$I$6)),"x",""))</f>
        <v/>
      </c>
      <c r="V169" s="75" t="str">
        <f>IF(ISERROR(FIND('112'!$M$9,G169,1)),"",IF((AND(RIGHT(G169,2)=RIGHT('112'!$M$9,2),B169&lt;'112'!$K$9,$O169='112'!$I$6)),"x",""))</f>
        <v/>
      </c>
      <c r="W169" s="75" t="str">
        <f>IF(AND('341-CT'!$H$9=H169,OR(LEFT(N169,3)=$W$7,LEFT(O169,3)=$W$7)),"x","")</f>
        <v/>
      </c>
      <c r="X169" s="75" t="str">
        <f>IF(OR(TH!N169=TH!$X$7,O169=TH!$X$7),"x","")</f>
        <v/>
      </c>
      <c r="Y169" s="75" t="str">
        <f>IF(AND(OR(N169="131",O169="131"),H169='131-CT'!$H$9),"x","")</f>
        <v/>
      </c>
      <c r="Z169" s="75"/>
      <c r="AA169" s="75" t="str">
        <f>IF(AND(MONTH(E169)='IN-NX'!$J$5,'IN-NX'!$D$7=D169),"x","")</f>
        <v/>
      </c>
      <c r="AB169" s="75" t="str">
        <f>IF(AND(OR(LEFT(TH!N169,2)="15",LEFT(TH!O169,2)="15"),LEFT(TH!O169,3)&lt;&gt;"111",'152-CT'!$J$8=TH!F169),"x","")</f>
        <v/>
      </c>
      <c r="AC169" s="75" t="str">
        <f>IF(AND(OR(LEFT(TH!N169,2)="15",LEFT(TH!O169,2)="15"),TK!$E$7=TH!F169),"x","")</f>
        <v/>
      </c>
      <c r="AD169" s="75" t="str">
        <f>IF(AND(N169="1521",MONTH(C169)='BK-NL'!$M$11),"x","")</f>
        <v/>
      </c>
    </row>
    <row r="170" spans="1:30" ht="16.5" customHeight="1">
      <c r="A170" s="309" t="str">
        <f>IF(B170&lt;&gt;"",IF(AND(B170='IN-TC'!$S$4,OR(TH!N170="1111",TH!O170="1111")),TH!D170,""),"")</f>
        <v/>
      </c>
      <c r="B170" s="1130">
        <f t="shared" si="15"/>
        <v>6</v>
      </c>
      <c r="C170" s="666">
        <v>42916</v>
      </c>
      <c r="D170" s="666" t="s">
        <v>530</v>
      </c>
      <c r="E170" s="666">
        <f t="shared" si="25"/>
        <v>42916</v>
      </c>
      <c r="F170" s="905" t="s">
        <v>735</v>
      </c>
      <c r="G170" s="250"/>
      <c r="H170" s="294"/>
      <c r="I170" s="373"/>
      <c r="J170" s="379"/>
      <c r="K170" s="373"/>
      <c r="L170" s="379"/>
      <c r="M170" s="670">
        <f>M168</f>
        <v>618960</v>
      </c>
      <c r="N170" s="671" t="s">
        <v>272</v>
      </c>
      <c r="O170" s="671" t="s">
        <v>543</v>
      </c>
      <c r="P170" s="75" t="str">
        <f>IF(AND('331-CT'!$E$7=TH!H170,OR(N170="331",O170="331")),"x","")</f>
        <v/>
      </c>
      <c r="Q170" s="75" t="str">
        <f>IF(AND(B170='111'!$L$11,OR($N170=$Q$7,$O170=$Q$7)),"x","")</f>
        <v/>
      </c>
      <c r="R170" s="75" t="str">
        <f>IF(AND($N170=$Q$7,$B170&lt;'111'!$L$11),"x","")</f>
        <v/>
      </c>
      <c r="S170" s="75" t="str">
        <f>IF(AND($O170=$Q$7,$B170&lt;'111'!$L$11),"x","")</f>
        <v/>
      </c>
      <c r="T170" s="75" t="str">
        <f>IF(ISERROR(FIND('112'!$M$9,G170,1)),"",IF((AND(FIND('112'!$M$9,G170,1)&gt;=1,B170='112'!$K$9,OR($N170='112'!$I$6,$O170='112'!$I$6))),"x",""))</f>
        <v/>
      </c>
      <c r="U170" s="75" t="str">
        <f>IF(ISERROR(FIND('112'!$M$9,G170,1)),"",IF((AND(LEFT(G170,2)=LEFT('112'!$M$9,2),B170&lt;'112'!$K$9,$N170='112'!$I$6)),"x",""))</f>
        <v/>
      </c>
      <c r="V170" s="75" t="str">
        <f>IF(ISERROR(FIND('112'!$M$9,G170,1)),"",IF((AND(RIGHT(G170,2)=RIGHT('112'!$M$9,2),B170&lt;'112'!$K$9,$O170='112'!$I$6)),"x",""))</f>
        <v/>
      </c>
      <c r="W170" s="75" t="str">
        <f>IF(AND('341-CT'!$H$9=H170,OR(LEFT(N170,3)=$W$7,LEFT(O170,3)=$W$7)),"x","")</f>
        <v/>
      </c>
      <c r="X170" s="75" t="str">
        <f>IF(OR(TH!N170=TH!$X$7,O170=TH!$X$7),"x","")</f>
        <v/>
      </c>
      <c r="Y170" s="75" t="str">
        <f>IF(AND(OR(N170="131",O170="131"),H170='131-CT'!$H$9),"x","")</f>
        <v/>
      </c>
      <c r="Z170" s="75"/>
      <c r="AA170" s="75" t="str">
        <f>IF(AND(MONTH(E170)='IN-NX'!$J$5,'IN-NX'!$D$7=D170),"x","")</f>
        <v/>
      </c>
      <c r="AB170" s="75" t="str">
        <f>IF(AND(OR(LEFT(TH!N170,2)="15",LEFT(TH!O170,2)="15"),LEFT(TH!O170,3)&lt;&gt;"111",'152-CT'!$J$8=TH!F170),"x","")</f>
        <v/>
      </c>
      <c r="AC170" s="75" t="str">
        <f>IF(AND(OR(LEFT(TH!N170,2)="15",LEFT(TH!O170,2)="15"),TK!$E$7=TH!F170),"x","")</f>
        <v/>
      </c>
      <c r="AD170" s="75" t="str">
        <f>IF(AND(N170="1521",MONTH(C170)='BK-NL'!$M$11),"x","")</f>
        <v/>
      </c>
    </row>
    <row r="171" spans="1:30" ht="16.5" customHeight="1">
      <c r="A171" s="309" t="str">
        <f>IF(B171&lt;&gt;"",IF(AND(B171='IN-TC'!$S$4,OR(TH!N171="1111",TH!O171="1111")),TH!D171,""),"")</f>
        <v/>
      </c>
      <c r="B171" s="1130">
        <f t="shared" ref="B171:B173" si="26">IF(C171&lt;&gt;"",MONTH(C171),"")</f>
        <v>6</v>
      </c>
      <c r="C171" s="666">
        <v>42916</v>
      </c>
      <c r="D171" s="666" t="s">
        <v>530</v>
      </c>
      <c r="E171" s="666">
        <f t="shared" ref="E171:E173" si="27">C171</f>
        <v>42916</v>
      </c>
      <c r="F171" s="905" t="s">
        <v>2672</v>
      </c>
      <c r="G171" s="250"/>
      <c r="H171" s="294"/>
      <c r="I171" s="373"/>
      <c r="J171" s="379"/>
      <c r="K171" s="373"/>
      <c r="L171" s="379"/>
      <c r="M171" s="670">
        <v>1023790</v>
      </c>
      <c r="N171" s="671" t="s">
        <v>105</v>
      </c>
      <c r="O171" s="671" t="s">
        <v>541</v>
      </c>
      <c r="P171" s="75" t="str">
        <f>IF(AND('331-CT'!$E$7=TH!H171,OR(N171="331",O171="331")),"x","")</f>
        <v/>
      </c>
      <c r="Q171" s="75" t="str">
        <f>IF(AND(B171='111'!$L$11,OR($N171=$Q$7,$O171=$Q$7)),"x","")</f>
        <v/>
      </c>
      <c r="R171" s="75" t="str">
        <f>IF(AND($N171=$Q$7,$B171&lt;'111'!$L$11),"x","")</f>
        <v/>
      </c>
      <c r="S171" s="75" t="str">
        <f>IF(AND($O171=$Q$7,$B171&lt;'111'!$L$11),"x","")</f>
        <v/>
      </c>
      <c r="T171" s="75" t="str">
        <f>IF(ISERROR(FIND('112'!$M$9,G171,1)),"",IF((AND(FIND('112'!$M$9,G171,1)&gt;=1,B171='112'!$K$9,OR($N171='112'!$I$6,$O171='112'!$I$6))),"x",""))</f>
        <v/>
      </c>
      <c r="U171" s="75" t="str">
        <f>IF(ISERROR(FIND('112'!$M$9,G171,1)),"",IF((AND(LEFT(G171,2)=LEFT('112'!$M$9,2),B171&lt;'112'!$K$9,$N171='112'!$I$6)),"x",""))</f>
        <v/>
      </c>
      <c r="V171" s="75" t="str">
        <f>IF(ISERROR(FIND('112'!$M$9,G171,1)),"",IF((AND(RIGHT(G171,2)=RIGHT('112'!$M$9,2),B171&lt;'112'!$K$9,$O171='112'!$I$6)),"x",""))</f>
        <v/>
      </c>
      <c r="W171" s="75" t="str">
        <f>IF(AND('341-CT'!$H$9=H171,OR(LEFT(N171,3)=$W$7,LEFT(O171,3)=$W$7)),"x","")</f>
        <v/>
      </c>
      <c r="X171" s="75" t="str">
        <f>IF(OR(TH!N171=TH!$X$7,O171=TH!$X$7),"x","")</f>
        <v/>
      </c>
      <c r="Y171" s="75" t="str">
        <f>IF(AND(OR(N171="131",O171="131"),H171='131-CT'!$H$9),"x","")</f>
        <v/>
      </c>
      <c r="Z171" s="75"/>
      <c r="AA171" s="75" t="str">
        <f>IF(AND(MONTH(E171)='IN-NX'!$J$5,'IN-NX'!$D$7=D171),"x","")</f>
        <v/>
      </c>
      <c r="AB171" s="75" t="str">
        <f>IF(AND(OR(LEFT(TH!N171,2)="15",LEFT(TH!O171,2)="15"),LEFT(TH!O171,3)&lt;&gt;"111",'152-CT'!$J$8=TH!F171),"x","")</f>
        <v/>
      </c>
      <c r="AC171" s="75" t="str">
        <f>IF(AND(OR(LEFT(TH!N171,2)="15",LEFT(TH!O171,2)="15"),TK!$E$7=TH!F171),"x","")</f>
        <v/>
      </c>
      <c r="AD171" s="75" t="str">
        <f>IF(AND(N171="1521",MONTH(C171)='BK-NL'!$M$11),"x","")</f>
        <v/>
      </c>
    </row>
    <row r="172" spans="1:30" ht="16.5" customHeight="1">
      <c r="A172" s="309" t="str">
        <f>IF(B172&lt;&gt;"",IF(AND(B172='IN-TC'!$S$4,OR(TH!N172="1111",TH!O172="1111")),TH!D172,""),"")</f>
        <v/>
      </c>
      <c r="B172" s="1130">
        <f t="shared" si="26"/>
        <v>6</v>
      </c>
      <c r="C172" s="666">
        <v>42916</v>
      </c>
      <c r="D172" s="666" t="s">
        <v>530</v>
      </c>
      <c r="E172" s="666">
        <f t="shared" si="27"/>
        <v>42916</v>
      </c>
      <c r="F172" s="905" t="s">
        <v>2672</v>
      </c>
      <c r="G172" s="250"/>
      <c r="H172" s="294"/>
      <c r="I172" s="373"/>
      <c r="J172" s="379"/>
      <c r="K172" s="373"/>
      <c r="L172" s="379"/>
      <c r="M172" s="670">
        <v>101920</v>
      </c>
      <c r="N172" s="671" t="s">
        <v>105</v>
      </c>
      <c r="O172" s="671" t="s">
        <v>542</v>
      </c>
      <c r="P172" s="75" t="str">
        <f>IF(AND('331-CT'!$E$7=TH!H172,OR(N172="331",O172="331")),"x","")</f>
        <v/>
      </c>
      <c r="Q172" s="75" t="str">
        <f>IF(AND(B172='111'!$L$11,OR($N172=$Q$7,$O172=$Q$7)),"x","")</f>
        <v/>
      </c>
      <c r="R172" s="75" t="str">
        <f>IF(AND($N172=$Q$7,$B172&lt;'111'!$L$11),"x","")</f>
        <v/>
      </c>
      <c r="S172" s="75" t="str">
        <f>IF(AND($O172=$Q$7,$B172&lt;'111'!$L$11),"x","")</f>
        <v/>
      </c>
      <c r="T172" s="75" t="str">
        <f>IF(ISERROR(FIND('112'!$M$9,G172,1)),"",IF((AND(FIND('112'!$M$9,G172,1)&gt;=1,B172='112'!$K$9,OR($N172='112'!$I$6,$O172='112'!$I$6))),"x",""))</f>
        <v/>
      </c>
      <c r="U172" s="75" t="str">
        <f>IF(ISERROR(FIND('112'!$M$9,G172,1)),"",IF((AND(LEFT(G172,2)=LEFT('112'!$M$9,2),B172&lt;'112'!$K$9,$N172='112'!$I$6)),"x",""))</f>
        <v/>
      </c>
      <c r="V172" s="75" t="str">
        <f>IF(ISERROR(FIND('112'!$M$9,G172,1)),"",IF((AND(RIGHT(G172,2)=RIGHT('112'!$M$9,2),B172&lt;'112'!$K$9,$O172='112'!$I$6)),"x",""))</f>
        <v/>
      </c>
      <c r="W172" s="75" t="str">
        <f>IF(AND('341-CT'!$H$9=H172,OR(LEFT(N172,3)=$W$7,LEFT(O172,3)=$W$7)),"x","")</f>
        <v/>
      </c>
      <c r="X172" s="75" t="str">
        <f>IF(OR(TH!N172=TH!$X$7,O172=TH!$X$7),"x","")</f>
        <v/>
      </c>
      <c r="Y172" s="75" t="str">
        <f>IF(AND(OR(N172="131",O172="131"),H172='131-CT'!$H$9),"x","")</f>
        <v/>
      </c>
      <c r="Z172" s="75"/>
      <c r="AA172" s="75" t="str">
        <f>IF(AND(MONTH(E172)='IN-NX'!$J$5,'IN-NX'!$D$7=D172),"x","")</f>
        <v/>
      </c>
      <c r="AB172" s="75" t="str">
        <f>IF(AND(OR(LEFT(TH!N172,2)="15",LEFT(TH!O172,2)="15"),LEFT(TH!O172,3)&lt;&gt;"111",'152-CT'!$J$8=TH!F172),"x","")</f>
        <v/>
      </c>
      <c r="AC172" s="75" t="str">
        <f>IF(AND(OR(LEFT(TH!N172,2)="15",LEFT(TH!O172,2)="15"),TK!$E$7=TH!F172),"x","")</f>
        <v/>
      </c>
      <c r="AD172" s="75" t="str">
        <f>IF(AND(N172="1521",MONTH(C172)='BK-NL'!$M$11),"x","")</f>
        <v/>
      </c>
    </row>
    <row r="173" spans="1:30" ht="16.5" customHeight="1">
      <c r="A173" s="309" t="str">
        <f>IF(B173&lt;&gt;"",IF(AND(B173='IN-TC'!$S$4,OR(TH!N173="1111",TH!O173="1111")),TH!D173,""),"")</f>
        <v/>
      </c>
      <c r="B173" s="1130">
        <f t="shared" si="26"/>
        <v>6</v>
      </c>
      <c r="C173" s="666">
        <v>42916</v>
      </c>
      <c r="D173" s="666" t="s">
        <v>530</v>
      </c>
      <c r="E173" s="666">
        <f t="shared" si="27"/>
        <v>42916</v>
      </c>
      <c r="F173" s="905" t="s">
        <v>2672</v>
      </c>
      <c r="G173" s="250"/>
      <c r="H173" s="294"/>
      <c r="I173" s="373"/>
      <c r="J173" s="379"/>
      <c r="K173" s="373"/>
      <c r="L173" s="379"/>
      <c r="M173" s="670">
        <v>55206</v>
      </c>
      <c r="N173" s="671" t="s">
        <v>105</v>
      </c>
      <c r="O173" s="671" t="s">
        <v>543</v>
      </c>
      <c r="P173" s="75" t="str">
        <f>IF(AND('331-CT'!$E$7=TH!H173,OR(N173="331",O173="331")),"x","")</f>
        <v/>
      </c>
      <c r="Q173" s="75" t="str">
        <f>IF(AND(B173='111'!$L$11,OR($N173=$Q$7,$O173=$Q$7)),"x","")</f>
        <v/>
      </c>
      <c r="R173" s="75" t="str">
        <f>IF(AND($N173=$Q$7,$B173&lt;'111'!$L$11),"x","")</f>
        <v/>
      </c>
      <c r="S173" s="75" t="str">
        <f>IF(AND($O173=$Q$7,$B173&lt;'111'!$L$11),"x","")</f>
        <v/>
      </c>
      <c r="T173" s="75" t="str">
        <f>IF(ISERROR(FIND('112'!$M$9,G173,1)),"",IF((AND(FIND('112'!$M$9,G173,1)&gt;=1,B173='112'!$K$9,OR($N173='112'!$I$6,$O173='112'!$I$6))),"x",""))</f>
        <v/>
      </c>
      <c r="U173" s="75" t="str">
        <f>IF(ISERROR(FIND('112'!$M$9,G173,1)),"",IF((AND(LEFT(G173,2)=LEFT('112'!$M$9,2),B173&lt;'112'!$K$9,$N173='112'!$I$6)),"x",""))</f>
        <v/>
      </c>
      <c r="V173" s="75" t="str">
        <f>IF(ISERROR(FIND('112'!$M$9,G173,1)),"",IF((AND(RIGHT(G173,2)=RIGHT('112'!$M$9,2),B173&lt;'112'!$K$9,$O173='112'!$I$6)),"x",""))</f>
        <v/>
      </c>
      <c r="W173" s="75" t="str">
        <f>IF(AND('341-CT'!$H$9=H173,OR(LEFT(N173,3)=$W$7,LEFT(O173,3)=$W$7)),"x","")</f>
        <v/>
      </c>
      <c r="X173" s="75" t="str">
        <f>IF(OR(TH!N173=TH!$X$7,O173=TH!$X$7),"x","")</f>
        <v/>
      </c>
      <c r="Y173" s="75" t="str">
        <f>IF(AND(OR(N173="131",O173="131"),H173='131-CT'!$H$9),"x","")</f>
        <v/>
      </c>
      <c r="Z173" s="75"/>
      <c r="AA173" s="75" t="str">
        <f>IF(AND(MONTH(E173)='IN-NX'!$J$5,'IN-NX'!$D$7=D173),"x","")</f>
        <v/>
      </c>
      <c r="AB173" s="75" t="str">
        <f>IF(AND(OR(LEFT(TH!N173,2)="15",LEFT(TH!O173,2)="15"),LEFT(TH!O173,3)&lt;&gt;"111",'152-CT'!$J$8=TH!F173),"x","")</f>
        <v/>
      </c>
      <c r="AC173" s="75" t="str">
        <f>IF(AND(OR(LEFT(TH!N173,2)="15",LEFT(TH!O173,2)="15"),TK!$E$7=TH!F173),"x","")</f>
        <v/>
      </c>
      <c r="AD173" s="75" t="str">
        <f>IF(AND(N173="1521",MONTH(C173)='BK-NL'!$M$11),"x","")</f>
        <v/>
      </c>
    </row>
    <row r="174" spans="1:30" ht="16.5" customHeight="1">
      <c r="A174" s="309" t="str">
        <f>IF(B174&lt;&gt;"",IF(AND(B174='IN-TC'!$S$4,OR(TH!N174="1111",TH!O174="1111")),TH!D174,""),"")</f>
        <v/>
      </c>
      <c r="B174" s="1243">
        <f t="shared" ref="B174:B178" si="28">IF(C174&lt;&gt;"",MONTH(C174),"")</f>
        <v>7</v>
      </c>
      <c r="C174" s="666">
        <v>42947</v>
      </c>
      <c r="D174" s="666" t="s">
        <v>530</v>
      </c>
      <c r="E174" s="666">
        <f t="shared" si="25"/>
        <v>42947</v>
      </c>
      <c r="F174" s="905" t="s">
        <v>722</v>
      </c>
      <c r="G174" s="250">
        <v>46373000</v>
      </c>
      <c r="H174" s="294"/>
      <c r="I174" s="373"/>
      <c r="J174" s="379"/>
      <c r="K174" s="373"/>
      <c r="L174" s="379"/>
      <c r="M174" s="670">
        <v>47721269</v>
      </c>
      <c r="N174" s="671" t="s">
        <v>539</v>
      </c>
      <c r="O174" s="671" t="s">
        <v>540</v>
      </c>
      <c r="P174" s="75" t="str">
        <f>IF(AND('331-CT'!$E$7=TH!H174,OR(N174="331",O174="331")),"x","")</f>
        <v/>
      </c>
      <c r="Q174" s="75" t="str">
        <f>IF(AND(B174='111'!$L$11,OR($N174=$Q$7,$O174=$Q$7)),"x","")</f>
        <v/>
      </c>
      <c r="R174" s="75" t="str">
        <f>IF(AND($N174=$Q$7,$B174&lt;'111'!$L$11),"x","")</f>
        <v/>
      </c>
      <c r="S174" s="75" t="str">
        <f>IF(AND($O174=$Q$7,$B174&lt;'111'!$L$11),"x","")</f>
        <v/>
      </c>
      <c r="T174" s="75" t="str">
        <f>IF(ISERROR(FIND('112'!$M$9,G174,1)),"",IF((AND(FIND('112'!$M$9,G174,1)&gt;=1,B174='112'!$K$9,OR($N174='112'!$I$6,$O174='112'!$I$6))),"x",""))</f>
        <v/>
      </c>
      <c r="U174" s="75" t="str">
        <f>IF(ISERROR(FIND('112'!$M$9,G174,1)),"",IF((AND(LEFT(G174,2)=LEFT('112'!$M$9,2),B174&lt;'112'!$K$9,$N174='112'!$I$6)),"x",""))</f>
        <v/>
      </c>
      <c r="V174" s="75" t="str">
        <f>IF(ISERROR(FIND('112'!$M$9,G174,1)),"",IF((AND(RIGHT(G174,2)=RIGHT('112'!$M$9,2),B174&lt;'112'!$K$9,$O174='112'!$I$6)),"x",""))</f>
        <v/>
      </c>
      <c r="W174" s="75" t="str">
        <f>IF(AND('341-CT'!$H$9=H174,OR(LEFT(N174,3)=$W$7,LEFT(O174,3)=$W$7)),"x","")</f>
        <v/>
      </c>
      <c r="X174" s="75" t="str">
        <f>IF(OR(TH!N174=TH!$X$7,O174=TH!$X$7),"x","")</f>
        <v/>
      </c>
      <c r="Y174" s="75" t="str">
        <f>IF(AND(OR(N174="131",O174="131"),H174='131-CT'!$H$9),"x","")</f>
        <v/>
      </c>
      <c r="Z174" s="75"/>
      <c r="AA174" s="75" t="str">
        <f>IF(AND(MONTH(E174)='IN-NX'!$J$5,'IN-NX'!$D$7=D174),"x","")</f>
        <v/>
      </c>
      <c r="AB174" s="75" t="str">
        <f>IF(AND(OR(LEFT(TH!N174,2)="15",LEFT(TH!O174,2)="15"),LEFT(TH!O174,3)&lt;&gt;"111",'152-CT'!$J$8=TH!F174),"x","")</f>
        <v/>
      </c>
      <c r="AC174" s="75" t="str">
        <f>IF(AND(OR(LEFT(TH!N174,2)="15",LEFT(TH!O174,2)="15"),TK!$E$7=TH!F174),"x","")</f>
        <v/>
      </c>
      <c r="AD174" s="75" t="str">
        <f>IF(AND(N174="1521",MONTH(C174)='BK-NL'!$M$11),"x","")</f>
        <v/>
      </c>
    </row>
    <row r="175" spans="1:30" ht="16.5" customHeight="1">
      <c r="A175" s="309" t="str">
        <f>IF(B175&lt;&gt;"",IF(AND(B175='IN-TC'!$S$4,OR(TH!N175="1111",TH!O175="1111")),TH!D175,""),"")</f>
        <v/>
      </c>
      <c r="B175" s="1243">
        <f t="shared" si="28"/>
        <v>7</v>
      </c>
      <c r="C175" s="666">
        <v>42947</v>
      </c>
      <c r="D175" s="666" t="s">
        <v>530</v>
      </c>
      <c r="E175" s="666">
        <f t="shared" si="25"/>
        <v>42947</v>
      </c>
      <c r="F175" s="905" t="s">
        <v>723</v>
      </c>
      <c r="G175" s="250">
        <v>61896000</v>
      </c>
      <c r="H175" s="294"/>
      <c r="I175" s="373"/>
      <c r="J175" s="379"/>
      <c r="K175" s="373"/>
      <c r="L175" s="379"/>
      <c r="M175" s="670">
        <v>67767923</v>
      </c>
      <c r="N175" s="671" t="s">
        <v>272</v>
      </c>
      <c r="O175" s="671" t="s">
        <v>540</v>
      </c>
      <c r="P175" s="75" t="str">
        <f>IF(AND('331-CT'!$E$7=TH!H175,OR(N175="331",O175="331")),"x","")</f>
        <v/>
      </c>
      <c r="Q175" s="75" t="str">
        <f>IF(AND(B175='111'!$L$11,OR($N175=$Q$7,$O175=$Q$7)),"x","")</f>
        <v/>
      </c>
      <c r="R175" s="75" t="str">
        <f>IF(AND($N175=$Q$7,$B175&lt;'111'!$L$11),"x","")</f>
        <v/>
      </c>
      <c r="S175" s="75" t="str">
        <f>IF(AND($O175=$Q$7,$B175&lt;'111'!$L$11),"x","")</f>
        <v/>
      </c>
      <c r="T175" s="75" t="str">
        <f>IF(ISERROR(FIND('112'!$M$9,G175,1)),"",IF((AND(FIND('112'!$M$9,G175,1)&gt;=1,B175='112'!$K$9,OR($N175='112'!$I$6,$O175='112'!$I$6))),"x",""))</f>
        <v/>
      </c>
      <c r="U175" s="75" t="str">
        <f>IF(ISERROR(FIND('112'!$M$9,G175,1)),"",IF((AND(LEFT(G175,2)=LEFT('112'!$M$9,2),B175&lt;'112'!$K$9,$N175='112'!$I$6)),"x",""))</f>
        <v/>
      </c>
      <c r="V175" s="75" t="str">
        <f>IF(ISERROR(FIND('112'!$M$9,G175,1)),"",IF((AND(RIGHT(G175,2)=RIGHT('112'!$M$9,2),B175&lt;'112'!$K$9,$O175='112'!$I$6)),"x",""))</f>
        <v/>
      </c>
      <c r="W175" s="75" t="str">
        <f>IF(AND('341-CT'!$H$9=H175,OR(LEFT(N175,3)=$W$7,LEFT(O175,3)=$W$7)),"x","")</f>
        <v/>
      </c>
      <c r="X175" s="75" t="str">
        <f>IF(OR(TH!N175=TH!$X$7,O175=TH!$X$7),"x","")</f>
        <v/>
      </c>
      <c r="Y175" s="75" t="str">
        <f>IF(AND(OR(N175="131",O175="131"),H175='131-CT'!$H$9),"x","")</f>
        <v/>
      </c>
      <c r="Z175" s="75"/>
      <c r="AA175" s="75" t="str">
        <f>IF(AND(MONTH(E175)='IN-NX'!$J$5,'IN-NX'!$D$7=D175),"x","")</f>
        <v/>
      </c>
      <c r="AB175" s="75" t="str">
        <f>IF(AND(OR(LEFT(TH!N175,2)="15",LEFT(TH!O175,2)="15"),LEFT(TH!O175,3)&lt;&gt;"111",'152-CT'!$J$8=TH!F175),"x","")</f>
        <v/>
      </c>
      <c r="AC175" s="75" t="str">
        <f>IF(AND(OR(LEFT(TH!N175,2)="15",LEFT(TH!O175,2)="15"),TK!$E$7=TH!F175),"x","")</f>
        <v/>
      </c>
      <c r="AD175" s="75" t="str">
        <f>IF(AND(N175="1521",MONTH(C175)='BK-NL'!$M$11),"x","")</f>
        <v/>
      </c>
    </row>
    <row r="176" spans="1:30" ht="16.5" customHeight="1">
      <c r="A176" s="309" t="str">
        <f>IF(B176&lt;&gt;"",IF(AND(B176='IN-TC'!$S$4,OR(TH!N176="1111",TH!O176="1111")),TH!D176,""),"")</f>
        <v/>
      </c>
      <c r="B176" s="1243">
        <f t="shared" si="28"/>
        <v>7</v>
      </c>
      <c r="C176" s="666">
        <v>42947</v>
      </c>
      <c r="D176" s="666" t="s">
        <v>530</v>
      </c>
      <c r="E176" s="666">
        <f t="shared" si="25"/>
        <v>42947</v>
      </c>
      <c r="F176" s="905" t="s">
        <v>724</v>
      </c>
      <c r="G176" s="739" t="s">
        <v>531</v>
      </c>
      <c r="H176" s="294"/>
      <c r="I176" s="373"/>
      <c r="J176" s="379"/>
      <c r="K176" s="373"/>
      <c r="L176" s="379"/>
      <c r="M176" s="670">
        <f>ROUND(G174*$G176,0)</f>
        <v>3709840</v>
      </c>
      <c r="N176" s="671" t="s">
        <v>540</v>
      </c>
      <c r="O176" s="671" t="s">
        <v>541</v>
      </c>
      <c r="P176" s="75" t="str">
        <f>IF(AND('331-CT'!$E$7=TH!H176,OR(N176="331",O176="331")),"x","")</f>
        <v/>
      </c>
      <c r="Q176" s="75" t="str">
        <f>IF(AND(B176='111'!$L$11,OR($N176=$Q$7,$O176=$Q$7)),"x","")</f>
        <v/>
      </c>
      <c r="R176" s="75" t="str">
        <f>IF(AND($N176=$Q$7,$B176&lt;'111'!$L$11),"x","")</f>
        <v/>
      </c>
      <c r="S176" s="75" t="str">
        <f>IF(AND($O176=$Q$7,$B176&lt;'111'!$L$11),"x","")</f>
        <v/>
      </c>
      <c r="T176" s="75" t="str">
        <f>IF(ISERROR(FIND('112'!$M$9,G176,1)),"",IF((AND(FIND('112'!$M$9,G176,1)&gt;=1,B176='112'!$K$9,OR($N176='112'!$I$6,$O176='112'!$I$6))),"x",""))</f>
        <v/>
      </c>
      <c r="U176" s="75" t="str">
        <f>IF(ISERROR(FIND('112'!$M$9,G176,1)),"",IF((AND(LEFT(G176,2)=LEFT('112'!$M$9,2),B176&lt;'112'!$K$9,$N176='112'!$I$6)),"x",""))</f>
        <v/>
      </c>
      <c r="V176" s="75" t="str">
        <f>IF(ISERROR(FIND('112'!$M$9,G176,1)),"",IF((AND(RIGHT(G176,2)=RIGHT('112'!$M$9,2),B176&lt;'112'!$K$9,$O176='112'!$I$6)),"x",""))</f>
        <v/>
      </c>
      <c r="W176" s="75" t="str">
        <f>IF(AND('341-CT'!$H$9=H176,OR(LEFT(N176,3)=$W$7,LEFT(O176,3)=$W$7)),"x","")</f>
        <v/>
      </c>
      <c r="X176" s="75" t="str">
        <f>IF(OR(TH!N176=TH!$X$7,O176=TH!$X$7),"x","")</f>
        <v/>
      </c>
      <c r="Y176" s="75" t="str">
        <f>IF(AND(OR(N176="131",O176="131"),H176='131-CT'!$H$9),"x","")</f>
        <v/>
      </c>
      <c r="Z176" s="75"/>
      <c r="AA176" s="75" t="str">
        <f>IF(AND(MONTH(E176)='IN-NX'!$J$5,'IN-NX'!$D$7=D176),"x","")</f>
        <v/>
      </c>
      <c r="AB176" s="75" t="str">
        <f>IF(AND(OR(LEFT(TH!N176,2)="15",LEFT(TH!O176,2)="15"),LEFT(TH!O176,3)&lt;&gt;"111",'152-CT'!$J$8=TH!F176),"x","")</f>
        <v/>
      </c>
      <c r="AC176" s="75" t="str">
        <f>IF(AND(OR(LEFT(TH!N176,2)="15",LEFT(TH!O176,2)="15"),TK!$E$7=TH!F176),"x","")</f>
        <v/>
      </c>
      <c r="AD176" s="75" t="str">
        <f>IF(AND(N176="1521",MONTH(C176)='BK-NL'!$M$11),"x","")</f>
        <v/>
      </c>
    </row>
    <row r="177" spans="1:30" ht="16.5" customHeight="1">
      <c r="A177" s="309" t="str">
        <f>IF(B177&lt;&gt;"",IF(AND(B177='IN-TC'!$S$4,OR(TH!N177="1111",TH!O177="1111")),TH!D177,""),"")</f>
        <v/>
      </c>
      <c r="B177" s="1243">
        <f t="shared" si="28"/>
        <v>7</v>
      </c>
      <c r="C177" s="666">
        <v>42947</v>
      </c>
      <c r="D177" s="666" t="s">
        <v>530</v>
      </c>
      <c r="E177" s="666">
        <f t="shared" si="25"/>
        <v>42947</v>
      </c>
      <c r="F177" s="905" t="s">
        <v>725</v>
      </c>
      <c r="G177" s="250"/>
      <c r="H177" s="294"/>
      <c r="I177" s="373"/>
      <c r="J177" s="379"/>
      <c r="K177" s="373"/>
      <c r="L177" s="379"/>
      <c r="M177" s="670">
        <f>ROUND(G175*$G176,0)</f>
        <v>4951680</v>
      </c>
      <c r="N177" s="672" t="s">
        <v>540</v>
      </c>
      <c r="O177" s="673" t="s">
        <v>541</v>
      </c>
      <c r="P177" s="75" t="str">
        <f>IF(AND('331-CT'!$E$7=TH!H177,OR(N177="331",O177="331")),"x","")</f>
        <v/>
      </c>
      <c r="Q177" s="75" t="str">
        <f>IF(AND(B177='111'!$L$11,OR($N177=$Q$7,$O177=$Q$7)),"x","")</f>
        <v/>
      </c>
      <c r="R177" s="75" t="str">
        <f>IF(AND($N177=$Q$7,$B177&lt;'111'!$L$11),"x","")</f>
        <v/>
      </c>
      <c r="S177" s="75" t="str">
        <f>IF(AND($O177=$Q$7,$B177&lt;'111'!$L$11),"x","")</f>
        <v/>
      </c>
      <c r="T177" s="75" t="str">
        <f>IF(ISERROR(FIND('112'!$M$9,G177,1)),"",IF((AND(FIND('112'!$M$9,G177,1)&gt;=1,B177='112'!$K$9,OR($N177='112'!$I$6,$O177='112'!$I$6))),"x",""))</f>
        <v/>
      </c>
      <c r="U177" s="75" t="str">
        <f>IF(ISERROR(FIND('112'!$M$9,G177,1)),"",IF((AND(LEFT(G177,2)=LEFT('112'!$M$9,2),B177&lt;'112'!$K$9,$N177='112'!$I$6)),"x",""))</f>
        <v/>
      </c>
      <c r="V177" s="75" t="str">
        <f>IF(ISERROR(FIND('112'!$M$9,G177,1)),"",IF((AND(RIGHT(G177,2)=RIGHT('112'!$M$9,2),B177&lt;'112'!$K$9,$O177='112'!$I$6)),"x",""))</f>
        <v/>
      </c>
      <c r="W177" s="75" t="str">
        <f>IF(AND('341-CT'!$H$9=H177,OR(LEFT(N177,3)=$W$7,LEFT(O177,3)=$W$7)),"x","")</f>
        <v/>
      </c>
      <c r="X177" s="75" t="str">
        <f>IF(OR(TH!N177=TH!$X$7,O177=TH!$X$7),"x","")</f>
        <v/>
      </c>
      <c r="Y177" s="75" t="str">
        <f>IF(AND(OR(N177="131",O177="131"),H177='131-CT'!$H$9),"x","")</f>
        <v/>
      </c>
      <c r="Z177" s="75"/>
      <c r="AA177" s="75" t="str">
        <f>IF(AND(MONTH(E177)='IN-NX'!$J$5,'IN-NX'!$D$7=D177),"x","")</f>
        <v/>
      </c>
      <c r="AB177" s="75" t="str">
        <f>IF(AND(OR(LEFT(TH!N177,2)="15",LEFT(TH!O177,2)="15"),LEFT(TH!O177,3)&lt;&gt;"111",'152-CT'!$J$8=TH!F177),"x","")</f>
        <v/>
      </c>
      <c r="AC177" s="75" t="str">
        <f>IF(AND(OR(LEFT(TH!N177,2)="15",LEFT(TH!O177,2)="15"),TK!$E$7=TH!F177),"x","")</f>
        <v/>
      </c>
      <c r="AD177" s="75" t="str">
        <f>IF(AND(N177="1521",MONTH(C177)='BK-NL'!$M$11),"x","")</f>
        <v/>
      </c>
    </row>
    <row r="178" spans="1:30" ht="16.5" customHeight="1">
      <c r="A178" s="309" t="str">
        <f>IF(B178&lt;&gt;"",IF(AND(B178='IN-TC'!$S$4,OR(TH!N178="1111",TH!O178="1111")),TH!D178,""),"")</f>
        <v/>
      </c>
      <c r="B178" s="1243">
        <f t="shared" si="28"/>
        <v>7</v>
      </c>
      <c r="C178" s="666">
        <v>42947</v>
      </c>
      <c r="D178" s="666" t="s">
        <v>530</v>
      </c>
      <c r="E178" s="666">
        <f t="shared" si="25"/>
        <v>42947</v>
      </c>
      <c r="F178" s="905" t="s">
        <v>726</v>
      </c>
      <c r="G178" s="739" t="s">
        <v>1580</v>
      </c>
      <c r="H178" s="294"/>
      <c r="I178" s="373"/>
      <c r="J178" s="379"/>
      <c r="K178" s="373"/>
      <c r="L178" s="379"/>
      <c r="M178" s="670">
        <f>ROUND(G174*$G178,0)</f>
        <v>8115275</v>
      </c>
      <c r="N178" s="671" t="s">
        <v>539</v>
      </c>
      <c r="O178" s="671" t="s">
        <v>541</v>
      </c>
      <c r="P178" s="75" t="str">
        <f>IF(AND('331-CT'!$E$7=TH!H178,OR(N178="331",O178="331")),"x","")</f>
        <v/>
      </c>
      <c r="Q178" s="75" t="str">
        <f>IF(AND(B178='111'!$L$11,OR($N178=$Q$7,$O178=$Q$7)),"x","")</f>
        <v/>
      </c>
      <c r="R178" s="75" t="str">
        <f>IF(AND($N178=$Q$7,$B178&lt;'111'!$L$11),"x","")</f>
        <v/>
      </c>
      <c r="S178" s="75" t="str">
        <f>IF(AND($O178=$Q$7,$B178&lt;'111'!$L$11),"x","")</f>
        <v/>
      </c>
      <c r="T178" s="75" t="str">
        <f>IF(ISERROR(FIND('112'!$M$9,G178,1)),"",IF((AND(FIND('112'!$M$9,G178,1)&gt;=1,B178='112'!$K$9,OR($N178='112'!$I$6,$O178='112'!$I$6))),"x",""))</f>
        <v/>
      </c>
      <c r="U178" s="75" t="str">
        <f>IF(ISERROR(FIND('112'!$M$9,G178,1)),"",IF((AND(LEFT(G178,2)=LEFT('112'!$M$9,2),B178&lt;'112'!$K$9,$N178='112'!$I$6)),"x",""))</f>
        <v/>
      </c>
      <c r="V178" s="75" t="str">
        <f>IF(ISERROR(FIND('112'!$M$9,G178,1)),"",IF((AND(RIGHT(G178,2)=RIGHT('112'!$M$9,2),B178&lt;'112'!$K$9,$O178='112'!$I$6)),"x",""))</f>
        <v/>
      </c>
      <c r="W178" s="75" t="str">
        <f>IF(AND('341-CT'!$H$9=H178,OR(LEFT(N178,3)=$W$7,LEFT(O178,3)=$W$7)),"x","")</f>
        <v/>
      </c>
      <c r="X178" s="75" t="str">
        <f>IF(OR(TH!N178=TH!$X$7,O178=TH!$X$7),"x","")</f>
        <v/>
      </c>
      <c r="Y178" s="75" t="str">
        <f>IF(AND(OR(N178="131",O178="131"),H178='131-CT'!$H$9),"x","")</f>
        <v/>
      </c>
      <c r="Z178" s="75"/>
      <c r="AA178" s="75" t="str">
        <f>IF(AND(MONTH(E178)='IN-NX'!$J$5,'IN-NX'!$D$7=D178),"x","")</f>
        <v/>
      </c>
      <c r="AB178" s="75" t="str">
        <f>IF(AND(OR(LEFT(TH!N178,2)="15",LEFT(TH!O178,2)="15"),LEFT(TH!O178,3)&lt;&gt;"111",'152-CT'!$J$8=TH!F178),"x","")</f>
        <v/>
      </c>
      <c r="AC178" s="75" t="str">
        <f>IF(AND(OR(LEFT(TH!N178,2)="15",LEFT(TH!O178,2)="15"),TK!$E$7=TH!F178),"x","")</f>
        <v/>
      </c>
      <c r="AD178" s="75" t="str">
        <f>IF(AND(N178="1521",MONTH(C178)='BK-NL'!$M$11),"x","")</f>
        <v/>
      </c>
    </row>
    <row r="179" spans="1:30" ht="16.5" customHeight="1">
      <c r="A179" s="309" t="str">
        <f>IF(B179&lt;&gt;"",IF(AND(B179='IN-TC'!$S$4,OR(TH!N179="1111",TH!O179="1111")),TH!D179,""),"")</f>
        <v/>
      </c>
      <c r="B179" s="1243">
        <f t="shared" ref="B179:B257" si="29">IF(C179&lt;&gt;"",MONTH(C179),"")</f>
        <v>7</v>
      </c>
      <c r="C179" s="666">
        <v>42947</v>
      </c>
      <c r="D179" s="666" t="s">
        <v>530</v>
      </c>
      <c r="E179" s="666">
        <f t="shared" si="25"/>
        <v>42947</v>
      </c>
      <c r="F179" s="905" t="s">
        <v>727</v>
      </c>
      <c r="G179" s="250"/>
      <c r="H179" s="294"/>
      <c r="I179" s="373"/>
      <c r="J179" s="379"/>
      <c r="K179" s="373"/>
      <c r="L179" s="379"/>
      <c r="M179" s="670">
        <f>ROUND(G175*$G178,0)</f>
        <v>10831800</v>
      </c>
      <c r="N179" s="671" t="s">
        <v>272</v>
      </c>
      <c r="O179" s="671" t="s">
        <v>541</v>
      </c>
      <c r="P179" s="75" t="str">
        <f>IF(AND('331-CT'!$E$7=TH!H179,OR(N179="331",O179="331")),"x","")</f>
        <v/>
      </c>
      <c r="Q179" s="75" t="str">
        <f>IF(AND(B179='111'!$L$11,OR($N179=$Q$7,$O179=$Q$7)),"x","")</f>
        <v/>
      </c>
      <c r="R179" s="75" t="str">
        <f>IF(AND($N179=$Q$7,$B179&lt;'111'!$L$11),"x","")</f>
        <v/>
      </c>
      <c r="S179" s="75" t="str">
        <f>IF(AND($O179=$Q$7,$B179&lt;'111'!$L$11),"x","")</f>
        <v/>
      </c>
      <c r="T179" s="75" t="str">
        <f>IF(ISERROR(FIND('112'!$M$9,G179,1)),"",IF((AND(FIND('112'!$M$9,G179,1)&gt;=1,B179='112'!$K$9,OR($N179='112'!$I$6,$O179='112'!$I$6))),"x",""))</f>
        <v/>
      </c>
      <c r="U179" s="75" t="str">
        <f>IF(ISERROR(FIND('112'!$M$9,G179,1)),"",IF((AND(LEFT(G179,2)=LEFT('112'!$M$9,2),B179&lt;'112'!$K$9,$N179='112'!$I$6)),"x",""))</f>
        <v/>
      </c>
      <c r="V179" s="75" t="str">
        <f>IF(ISERROR(FIND('112'!$M$9,G179,1)),"",IF((AND(RIGHT(G179,2)=RIGHT('112'!$M$9,2),B179&lt;'112'!$K$9,$O179='112'!$I$6)),"x",""))</f>
        <v/>
      </c>
      <c r="W179" s="75" t="str">
        <f>IF(AND('341-CT'!$H$9=H179,OR(LEFT(N179,3)=$W$7,LEFT(O179,3)=$W$7)),"x","")</f>
        <v/>
      </c>
      <c r="X179" s="75" t="str">
        <f>IF(OR(TH!N179=TH!$X$7,O179=TH!$X$7),"x","")</f>
        <v/>
      </c>
      <c r="Y179" s="75" t="str">
        <f>IF(AND(OR(N179="131",O179="131"),H179='131-CT'!$H$9),"x","")</f>
        <v/>
      </c>
      <c r="Z179" s="75"/>
      <c r="AA179" s="75" t="str">
        <f>IF(AND(MONTH(E179)='IN-NX'!$J$5,'IN-NX'!$D$7=D179),"x","")</f>
        <v/>
      </c>
      <c r="AB179" s="75" t="str">
        <f>IF(AND(OR(LEFT(TH!N179,2)="15",LEFT(TH!O179,2)="15"),LEFT(TH!O179,3)&lt;&gt;"111",'152-CT'!$J$8=TH!F179),"x","")</f>
        <v/>
      </c>
      <c r="AC179" s="75" t="str">
        <f>IF(AND(OR(LEFT(TH!N179,2)="15",LEFT(TH!O179,2)="15"),TK!$E$7=TH!F179),"x","")</f>
        <v/>
      </c>
      <c r="AD179" s="75" t="str">
        <f>IF(AND(N179="1521",MONTH(C179)='BK-NL'!$M$11),"x","")</f>
        <v/>
      </c>
    </row>
    <row r="180" spans="1:30" ht="16.5" customHeight="1">
      <c r="A180" s="309" t="str">
        <f>IF(B180&lt;&gt;"",IF(AND(B180='IN-TC'!$S$4,OR(TH!N180="1111",TH!O180="1111")),TH!D180,""),"")</f>
        <v/>
      </c>
      <c r="B180" s="1243">
        <f t="shared" si="29"/>
        <v>7</v>
      </c>
      <c r="C180" s="666">
        <v>42947</v>
      </c>
      <c r="D180" s="666" t="s">
        <v>530</v>
      </c>
      <c r="E180" s="666">
        <f t="shared" si="25"/>
        <v>42947</v>
      </c>
      <c r="F180" s="905" t="s">
        <v>728</v>
      </c>
      <c r="G180" s="739" t="s">
        <v>533</v>
      </c>
      <c r="H180" s="296"/>
      <c r="I180" s="371"/>
      <c r="J180" s="377"/>
      <c r="K180" s="371"/>
      <c r="L180" s="377"/>
      <c r="M180" s="670">
        <f>ROUND(G174*$G180,0)</f>
        <v>695595</v>
      </c>
      <c r="N180" s="671" t="s">
        <v>540</v>
      </c>
      <c r="O180" s="671" t="s">
        <v>542</v>
      </c>
      <c r="P180" s="75" t="str">
        <f>IF(AND('331-CT'!$E$7=TH!H180,OR(N180="331",O180="331")),"x","")</f>
        <v/>
      </c>
      <c r="Q180" s="75" t="str">
        <f>IF(AND(B180='111'!$L$11,OR($N180=$Q$7,$O180=$Q$7)),"x","")</f>
        <v/>
      </c>
      <c r="R180" s="75" t="str">
        <f>IF(AND($N180=$Q$7,$B180&lt;'111'!$L$11),"x","")</f>
        <v/>
      </c>
      <c r="S180" s="75" t="str">
        <f>IF(AND($O180=$Q$7,$B180&lt;'111'!$L$11),"x","")</f>
        <v/>
      </c>
      <c r="T180" s="75" t="str">
        <f>IF(ISERROR(FIND('112'!$M$9,G180,1)),"",IF((AND(FIND('112'!$M$9,G180,1)&gt;=1,B180='112'!$K$9,OR($N180='112'!$I$6,$O180='112'!$I$6))),"x",""))</f>
        <v/>
      </c>
      <c r="U180" s="75" t="str">
        <f>IF(ISERROR(FIND('112'!$M$9,G180,1)),"",IF((AND(LEFT(G180,2)=LEFT('112'!$M$9,2),B180&lt;'112'!$K$9,$N180='112'!$I$6)),"x",""))</f>
        <v/>
      </c>
      <c r="V180" s="75" t="str">
        <f>IF(ISERROR(FIND('112'!$M$9,G180,1)),"",IF((AND(RIGHT(G180,2)=RIGHT('112'!$M$9,2),B180&lt;'112'!$K$9,$O180='112'!$I$6)),"x",""))</f>
        <v/>
      </c>
      <c r="W180" s="75" t="str">
        <f>IF(AND('341-CT'!$H$9=H180,OR(LEFT(N180,3)=$W$7,LEFT(O180,3)=$W$7)),"x","")</f>
        <v/>
      </c>
      <c r="X180" s="75" t="str">
        <f>IF(OR(TH!N180=TH!$X$7,O180=TH!$X$7),"x","")</f>
        <v/>
      </c>
      <c r="Y180" s="75" t="str">
        <f>IF(AND(OR(N180="131",O180="131"),H180='131-CT'!$H$9),"x","")</f>
        <v/>
      </c>
      <c r="Z180" s="75"/>
      <c r="AA180" s="75" t="str">
        <f>IF(AND(MONTH(E180)='IN-NX'!$J$5,'IN-NX'!$D$7=D180),"x","")</f>
        <v/>
      </c>
      <c r="AB180" s="75" t="str">
        <f>IF(AND(OR(LEFT(TH!N180,2)="15",LEFT(TH!O180,2)="15"),LEFT(TH!O180,3)&lt;&gt;"111",'152-CT'!$J$8=TH!F180),"x","")</f>
        <v/>
      </c>
      <c r="AC180" s="75" t="str">
        <f>IF(AND(OR(LEFT(TH!N180,2)="15",LEFT(TH!O180,2)="15"),TK!$E$7=TH!F180),"x","")</f>
        <v/>
      </c>
      <c r="AD180" s="75" t="str">
        <f>IF(AND(N180="1521",MONTH(C180)='BK-NL'!$M$11),"x","")</f>
        <v/>
      </c>
    </row>
    <row r="181" spans="1:30" ht="16.5" customHeight="1">
      <c r="A181" s="309" t="str">
        <f>IF(B181&lt;&gt;"",IF(AND(B181='IN-TC'!$S$4,OR(TH!N181="1111",TH!O181="1111")),TH!D181,""),"")</f>
        <v/>
      </c>
      <c r="B181" s="1243">
        <f t="shared" si="29"/>
        <v>7</v>
      </c>
      <c r="C181" s="666">
        <v>42947</v>
      </c>
      <c r="D181" s="666" t="s">
        <v>530</v>
      </c>
      <c r="E181" s="666">
        <f t="shared" si="25"/>
        <v>42947</v>
      </c>
      <c r="F181" s="905" t="s">
        <v>729</v>
      </c>
      <c r="G181" s="250"/>
      <c r="H181" s="296"/>
      <c r="I181" s="371"/>
      <c r="J181" s="377"/>
      <c r="K181" s="371"/>
      <c r="L181" s="377"/>
      <c r="M181" s="670">
        <f>ROUND(G175*$G180,0)</f>
        <v>928440</v>
      </c>
      <c r="N181" s="671" t="s">
        <v>540</v>
      </c>
      <c r="O181" s="671" t="s">
        <v>542</v>
      </c>
      <c r="P181" s="75" t="str">
        <f>IF(AND('331-CT'!$E$7=TH!H181,OR(N181="331",O181="331")),"x","")</f>
        <v/>
      </c>
      <c r="Q181" s="75" t="str">
        <f>IF(AND(B181='111'!$L$11,OR($N181=$Q$7,$O181=$Q$7)),"x","")</f>
        <v/>
      </c>
      <c r="R181" s="75" t="str">
        <f>IF(AND($N181=$Q$7,$B181&lt;'111'!$L$11),"x","")</f>
        <v/>
      </c>
      <c r="S181" s="75" t="str">
        <f>IF(AND($O181=$Q$7,$B181&lt;'111'!$L$11),"x","")</f>
        <v/>
      </c>
      <c r="T181" s="75" t="str">
        <f>IF(ISERROR(FIND('112'!$M$9,G181,1)),"",IF((AND(FIND('112'!$M$9,G181,1)&gt;=1,B181='112'!$K$9,OR($N181='112'!$I$6,$O181='112'!$I$6))),"x",""))</f>
        <v/>
      </c>
      <c r="U181" s="75" t="str">
        <f>IF(ISERROR(FIND('112'!$M$9,G181,1)),"",IF((AND(LEFT(G181,2)=LEFT('112'!$M$9,2),B181&lt;'112'!$K$9,$N181='112'!$I$6)),"x",""))</f>
        <v/>
      </c>
      <c r="V181" s="75" t="str">
        <f>IF(ISERROR(FIND('112'!$M$9,G181,1)),"",IF((AND(RIGHT(G181,2)=RIGHT('112'!$M$9,2),B181&lt;'112'!$K$9,$O181='112'!$I$6)),"x",""))</f>
        <v/>
      </c>
      <c r="W181" s="75" t="str">
        <f>IF(AND('341-CT'!$H$9=H181,OR(LEFT(N181,3)=$W$7,LEFT(O181,3)=$W$7)),"x","")</f>
        <v/>
      </c>
      <c r="X181" s="75" t="str">
        <f>IF(OR(TH!N181=TH!$X$7,O181=TH!$X$7),"x","")</f>
        <v/>
      </c>
      <c r="Y181" s="75" t="str">
        <f>IF(AND(OR(N181="131",O181="131"),H181='131-CT'!$H$9),"x","")</f>
        <v/>
      </c>
      <c r="Z181" s="75"/>
      <c r="AA181" s="75" t="str">
        <f>IF(AND(MONTH(E181)='IN-NX'!$J$5,'IN-NX'!$D$7=D181),"x","")</f>
        <v/>
      </c>
      <c r="AB181" s="75" t="str">
        <f>IF(AND(OR(LEFT(TH!N181,2)="15",LEFT(TH!O181,2)="15"),LEFT(TH!O181,3)&lt;&gt;"111",'152-CT'!$J$8=TH!F181),"x","")</f>
        <v/>
      </c>
      <c r="AC181" s="75" t="str">
        <f>IF(AND(OR(LEFT(TH!N181,2)="15",LEFT(TH!O181,2)="15"),TK!$E$7=TH!F181),"x","")</f>
        <v/>
      </c>
      <c r="AD181" s="75" t="str">
        <f>IF(AND(N181="1521",MONTH(C181)='BK-NL'!$M$11),"x","")</f>
        <v/>
      </c>
    </row>
    <row r="182" spans="1:30" ht="16.5" customHeight="1">
      <c r="A182" s="309" t="str">
        <f>IF(B182&lt;&gt;"",IF(AND(B182='IN-TC'!$S$4,OR(TH!N182="1111",TH!O182="1111")),TH!D182,""),"")</f>
        <v/>
      </c>
      <c r="B182" s="1243">
        <f t="shared" si="29"/>
        <v>7</v>
      </c>
      <c r="C182" s="666">
        <v>42947</v>
      </c>
      <c r="D182" s="666" t="s">
        <v>530</v>
      </c>
      <c r="E182" s="666">
        <f t="shared" si="25"/>
        <v>42947</v>
      </c>
      <c r="F182" s="905" t="s">
        <v>730</v>
      </c>
      <c r="G182" s="739" t="s">
        <v>534</v>
      </c>
      <c r="H182" s="294"/>
      <c r="I182" s="373"/>
      <c r="J182" s="379"/>
      <c r="K182" s="373"/>
      <c r="L182" s="379"/>
      <c r="M182" s="670">
        <f>ROUND(G174*$G182,0)</f>
        <v>1391190</v>
      </c>
      <c r="N182" s="671" t="s">
        <v>539</v>
      </c>
      <c r="O182" s="671" t="s">
        <v>542</v>
      </c>
      <c r="P182" s="75" t="str">
        <f>IF(AND('331-CT'!$E$7=TH!H182,OR(N182="331",O182="331")),"x","")</f>
        <v/>
      </c>
      <c r="Q182" s="75" t="str">
        <f>IF(AND(B182='111'!$L$11,OR($N182=$Q$7,$O182=$Q$7)),"x","")</f>
        <v/>
      </c>
      <c r="R182" s="75" t="str">
        <f>IF(AND($N182=$Q$7,$B182&lt;'111'!$L$11),"x","")</f>
        <v/>
      </c>
      <c r="S182" s="75" t="str">
        <f>IF(AND($O182=$Q$7,$B182&lt;'111'!$L$11),"x","")</f>
        <v/>
      </c>
      <c r="T182" s="75" t="str">
        <f>IF(ISERROR(FIND('112'!$M$9,G182,1)),"",IF((AND(FIND('112'!$M$9,G182,1)&gt;=1,B182='112'!$K$9,OR($N182='112'!$I$6,$O182='112'!$I$6))),"x",""))</f>
        <v/>
      </c>
      <c r="U182" s="75" t="str">
        <f>IF(ISERROR(FIND('112'!$M$9,G182,1)),"",IF((AND(LEFT(G182,2)=LEFT('112'!$M$9,2),B182&lt;'112'!$K$9,$N182='112'!$I$6)),"x",""))</f>
        <v/>
      </c>
      <c r="V182" s="75" t="str">
        <f>IF(ISERROR(FIND('112'!$M$9,G182,1)),"",IF((AND(RIGHT(G182,2)=RIGHT('112'!$M$9,2),B182&lt;'112'!$K$9,$O182='112'!$I$6)),"x",""))</f>
        <v/>
      </c>
      <c r="W182" s="75" t="str">
        <f>IF(AND('341-CT'!$H$9=H182,OR(LEFT(N182,3)=$W$7,LEFT(O182,3)=$W$7)),"x","")</f>
        <v/>
      </c>
      <c r="X182" s="75" t="str">
        <f>IF(OR(TH!N182=TH!$X$7,O182=TH!$X$7),"x","")</f>
        <v/>
      </c>
      <c r="Y182" s="75" t="str">
        <f>IF(AND(OR(N182="131",O182="131"),H182='131-CT'!$H$9),"x","")</f>
        <v/>
      </c>
      <c r="Z182" s="75"/>
      <c r="AA182" s="75" t="str">
        <f>IF(AND(MONTH(E182)='IN-NX'!$J$5,'IN-NX'!$D$7=D182),"x","")</f>
        <v/>
      </c>
      <c r="AB182" s="75" t="str">
        <f>IF(AND(OR(LEFT(TH!N182,2)="15",LEFT(TH!O182,2)="15"),LEFT(TH!O182,3)&lt;&gt;"111",'152-CT'!$J$8=TH!F182),"x","")</f>
        <v/>
      </c>
      <c r="AC182" s="75" t="str">
        <f>IF(AND(OR(LEFT(TH!N182,2)="15",LEFT(TH!O182,2)="15"),TK!$E$7=TH!F182),"x","")</f>
        <v/>
      </c>
      <c r="AD182" s="75" t="str">
        <f>IF(AND(N182="1521",MONTH(C182)='BK-NL'!$M$11),"x","")</f>
        <v/>
      </c>
    </row>
    <row r="183" spans="1:30" ht="16.5" customHeight="1">
      <c r="A183" s="309" t="str">
        <f>IF(B183&lt;&gt;"",IF(AND(B183='IN-TC'!$S$4,OR(TH!N183="1111",TH!O183="1111")),TH!D183,""),"")</f>
        <v/>
      </c>
      <c r="B183" s="1243">
        <f t="shared" si="29"/>
        <v>7</v>
      </c>
      <c r="C183" s="666">
        <v>42947</v>
      </c>
      <c r="D183" s="666" t="s">
        <v>530</v>
      </c>
      <c r="E183" s="666">
        <f t="shared" si="25"/>
        <v>42947</v>
      </c>
      <c r="F183" s="905" t="s">
        <v>731</v>
      </c>
      <c r="G183" s="250"/>
      <c r="H183" s="294"/>
      <c r="I183" s="373"/>
      <c r="J183" s="379"/>
      <c r="K183" s="373"/>
      <c r="L183" s="379"/>
      <c r="M183" s="670">
        <f>ROUND(G175*$G182,0)</f>
        <v>1856880</v>
      </c>
      <c r="N183" s="671" t="s">
        <v>272</v>
      </c>
      <c r="O183" s="671" t="s">
        <v>542</v>
      </c>
      <c r="P183" s="75" t="str">
        <f>IF(AND('331-CT'!$E$7=TH!H183,OR(N183="331",O183="331")),"x","")</f>
        <v/>
      </c>
      <c r="Q183" s="75" t="str">
        <f>IF(AND(B183='111'!$L$11,OR($N183=$Q$7,$O183=$Q$7)),"x","")</f>
        <v/>
      </c>
      <c r="R183" s="75" t="str">
        <f>IF(AND($N183=$Q$7,$B183&lt;'111'!$L$11),"x","")</f>
        <v/>
      </c>
      <c r="S183" s="75" t="str">
        <f>IF(AND($O183=$Q$7,$B183&lt;'111'!$L$11),"x","")</f>
        <v/>
      </c>
      <c r="T183" s="75" t="str">
        <f>IF(ISERROR(FIND('112'!$M$9,G183,1)),"",IF((AND(FIND('112'!$M$9,G183,1)&gt;=1,B183='112'!$K$9,OR($N183='112'!$I$6,$O183='112'!$I$6))),"x",""))</f>
        <v/>
      </c>
      <c r="U183" s="75" t="str">
        <f>IF(ISERROR(FIND('112'!$M$9,G183,1)),"",IF((AND(LEFT(G183,2)=LEFT('112'!$M$9,2),B183&lt;'112'!$K$9,$N183='112'!$I$6)),"x",""))</f>
        <v/>
      </c>
      <c r="V183" s="75" t="str">
        <f>IF(ISERROR(FIND('112'!$M$9,G183,1)),"",IF((AND(RIGHT(G183,2)=RIGHT('112'!$M$9,2),B183&lt;'112'!$K$9,$O183='112'!$I$6)),"x",""))</f>
        <v/>
      </c>
      <c r="W183" s="75" t="str">
        <f>IF(AND('341-CT'!$H$9=H183,OR(LEFT(N183,3)=$W$7,LEFT(O183,3)=$W$7)),"x","")</f>
        <v/>
      </c>
      <c r="X183" s="75" t="str">
        <f>IF(OR(TH!N183=TH!$X$7,O183=TH!$X$7),"x","")</f>
        <v/>
      </c>
      <c r="Y183" s="75" t="str">
        <f>IF(AND(OR(N183="131",O183="131"),H183='131-CT'!$H$9),"x","")</f>
        <v/>
      </c>
      <c r="Z183" s="75"/>
      <c r="AA183" s="75" t="str">
        <f>IF(AND(MONTH(E183)='IN-NX'!$J$5,'IN-NX'!$D$7=D183),"x","")</f>
        <v/>
      </c>
      <c r="AB183" s="75" t="str">
        <f>IF(AND(OR(LEFT(TH!N183,2)="15",LEFT(TH!O183,2)="15"),LEFT(TH!O183,3)&lt;&gt;"111",'152-CT'!$J$8=TH!F183),"x","")</f>
        <v/>
      </c>
      <c r="AC183" s="75" t="str">
        <f>IF(AND(OR(LEFT(TH!N183,2)="15",LEFT(TH!O183,2)="15"),TK!$E$7=TH!F183),"x","")</f>
        <v/>
      </c>
      <c r="AD183" s="75" t="str">
        <f>IF(AND(N183="1521",MONTH(C183)='BK-NL'!$M$11),"x","")</f>
        <v/>
      </c>
    </row>
    <row r="184" spans="1:30" ht="16.5" customHeight="1">
      <c r="A184" s="309" t="str">
        <f>IF(B184&lt;&gt;"",IF(AND(B184='IN-TC'!$S$4,OR(TH!N184="1111",TH!O184="1111")),TH!D184,""),"")</f>
        <v/>
      </c>
      <c r="B184" s="1243">
        <f t="shared" si="29"/>
        <v>7</v>
      </c>
      <c r="C184" s="666">
        <v>42947</v>
      </c>
      <c r="D184" s="666" t="s">
        <v>530</v>
      </c>
      <c r="E184" s="666">
        <f t="shared" si="25"/>
        <v>42947</v>
      </c>
      <c r="F184" s="905" t="s">
        <v>732</v>
      </c>
      <c r="G184" s="739" t="s">
        <v>535</v>
      </c>
      <c r="H184" s="294"/>
      <c r="I184" s="373"/>
      <c r="J184" s="379"/>
      <c r="K184" s="373"/>
      <c r="L184" s="379"/>
      <c r="M184" s="670">
        <f>ROUND(G174*$G184,0)</f>
        <v>463730</v>
      </c>
      <c r="N184" s="671" t="s">
        <v>540</v>
      </c>
      <c r="O184" s="671" t="s">
        <v>543</v>
      </c>
      <c r="P184" s="75" t="str">
        <f>IF(AND('331-CT'!$E$7=TH!H184,OR(N184="331",O184="331")),"x","")</f>
        <v/>
      </c>
      <c r="Q184" s="75" t="str">
        <f>IF(AND(B184='111'!$L$11,OR($N184=$Q$7,$O184=$Q$7)),"x","")</f>
        <v/>
      </c>
      <c r="R184" s="75" t="str">
        <f>IF(AND($N184=$Q$7,$B184&lt;'111'!$L$11),"x","")</f>
        <v/>
      </c>
      <c r="S184" s="75" t="str">
        <f>IF(AND($O184=$Q$7,$B184&lt;'111'!$L$11),"x","")</f>
        <v/>
      </c>
      <c r="T184" s="75" t="str">
        <f>IF(ISERROR(FIND('112'!$M$9,G184,1)),"",IF((AND(FIND('112'!$M$9,G184,1)&gt;=1,B184='112'!$K$9,OR($N184='112'!$I$6,$O184='112'!$I$6))),"x",""))</f>
        <v/>
      </c>
      <c r="U184" s="75" t="str">
        <f>IF(ISERROR(FIND('112'!$M$9,G184,1)),"",IF((AND(LEFT(G184,2)=LEFT('112'!$M$9,2),B184&lt;'112'!$K$9,$N184='112'!$I$6)),"x",""))</f>
        <v/>
      </c>
      <c r="V184" s="75" t="str">
        <f>IF(ISERROR(FIND('112'!$M$9,G184,1)),"",IF((AND(RIGHT(G184,2)=RIGHT('112'!$M$9,2),B184&lt;'112'!$K$9,$O184='112'!$I$6)),"x",""))</f>
        <v/>
      </c>
      <c r="W184" s="75" t="str">
        <f>IF(AND('341-CT'!$H$9=H184,OR(LEFT(N184,3)=$W$7,LEFT(O184,3)=$W$7)),"x","")</f>
        <v/>
      </c>
      <c r="X184" s="75" t="str">
        <f>IF(OR(TH!N184=TH!$X$7,O184=TH!$X$7),"x","")</f>
        <v/>
      </c>
      <c r="Y184" s="75" t="str">
        <f>IF(AND(OR(N184="131",O184="131"),H184='131-CT'!$H$9),"x","")</f>
        <v/>
      </c>
      <c r="Z184" s="75"/>
      <c r="AA184" s="75" t="str">
        <f>IF(AND(MONTH(E184)='IN-NX'!$J$5,'IN-NX'!$D$7=D184),"x","")</f>
        <v/>
      </c>
      <c r="AB184" s="75" t="str">
        <f>IF(AND(OR(LEFT(TH!N184,2)="15",LEFT(TH!O184,2)="15"),LEFT(TH!O184,3)&lt;&gt;"111",'152-CT'!$J$8=TH!F184),"x","")</f>
        <v/>
      </c>
      <c r="AC184" s="75" t="str">
        <f>IF(AND(OR(LEFT(TH!N184,2)="15",LEFT(TH!O184,2)="15"),TK!$E$7=TH!F184),"x","")</f>
        <v/>
      </c>
      <c r="AD184" s="75" t="str">
        <f>IF(AND(N184="1521",MONTH(C184)='BK-NL'!$M$11),"x","")</f>
        <v/>
      </c>
    </row>
    <row r="185" spans="1:30" ht="16.5" customHeight="1">
      <c r="A185" s="309" t="str">
        <f>IF(B185&lt;&gt;"",IF(AND(B185='IN-TC'!$S$4,OR(TH!N185="1111",TH!O185="1111")),TH!D185,""),"")</f>
        <v/>
      </c>
      <c r="B185" s="1243">
        <f t="shared" si="29"/>
        <v>7</v>
      </c>
      <c r="C185" s="666">
        <v>42947</v>
      </c>
      <c r="D185" s="666" t="s">
        <v>530</v>
      </c>
      <c r="E185" s="666">
        <f t="shared" si="25"/>
        <v>42947</v>
      </c>
      <c r="F185" s="905" t="s">
        <v>733</v>
      </c>
      <c r="G185" s="250"/>
      <c r="H185" s="294"/>
      <c r="I185" s="373"/>
      <c r="J185" s="379"/>
      <c r="K185" s="373"/>
      <c r="L185" s="379"/>
      <c r="M185" s="670">
        <f>ROUND(G175*$G184,0)</f>
        <v>618960</v>
      </c>
      <c r="N185" s="671" t="s">
        <v>540</v>
      </c>
      <c r="O185" s="671" t="s">
        <v>543</v>
      </c>
      <c r="P185" s="75" t="str">
        <f>IF(AND('331-CT'!$E$7=TH!H185,OR(N185="331",O185="331")),"x","")</f>
        <v/>
      </c>
      <c r="Q185" s="75" t="str">
        <f>IF(AND(B185='111'!$L$11,OR($N185=$Q$7,$O185=$Q$7)),"x","")</f>
        <v/>
      </c>
      <c r="R185" s="75" t="str">
        <f>IF(AND($N185=$Q$7,$B185&lt;'111'!$L$11),"x","")</f>
        <v/>
      </c>
      <c r="S185" s="75" t="str">
        <f>IF(AND($O185=$Q$7,$B185&lt;'111'!$L$11),"x","")</f>
        <v/>
      </c>
      <c r="T185" s="75" t="str">
        <f>IF(ISERROR(FIND('112'!$M$9,G185,1)),"",IF((AND(FIND('112'!$M$9,G185,1)&gt;=1,B185='112'!$K$9,OR($N185='112'!$I$6,$O185='112'!$I$6))),"x",""))</f>
        <v/>
      </c>
      <c r="U185" s="75" t="str">
        <f>IF(ISERROR(FIND('112'!$M$9,G185,1)),"",IF((AND(LEFT(G185,2)=LEFT('112'!$M$9,2),B185&lt;'112'!$K$9,$N185='112'!$I$6)),"x",""))</f>
        <v/>
      </c>
      <c r="V185" s="75" t="str">
        <f>IF(ISERROR(FIND('112'!$M$9,G185,1)),"",IF((AND(RIGHT(G185,2)=RIGHT('112'!$M$9,2),B185&lt;'112'!$K$9,$O185='112'!$I$6)),"x",""))</f>
        <v/>
      </c>
      <c r="W185" s="75" t="str">
        <f>IF(AND('341-CT'!$H$9=H185,OR(LEFT(N185,3)=$W$7,LEFT(O185,3)=$W$7)),"x","")</f>
        <v/>
      </c>
      <c r="X185" s="75" t="str">
        <f>IF(OR(TH!N185=TH!$X$7,O185=TH!$X$7),"x","")</f>
        <v/>
      </c>
      <c r="Y185" s="75" t="str">
        <f>IF(AND(OR(N185="131",O185="131"),H185='131-CT'!$H$9),"x","")</f>
        <v/>
      </c>
      <c r="Z185" s="75"/>
      <c r="AA185" s="75" t="str">
        <f>IF(AND(MONTH(E185)='IN-NX'!$J$5,'IN-NX'!$D$7=D185),"x","")</f>
        <v/>
      </c>
      <c r="AB185" s="75" t="str">
        <f>IF(AND(OR(LEFT(TH!N185,2)="15",LEFT(TH!O185,2)="15"),LEFT(TH!O185,3)&lt;&gt;"111",'152-CT'!$J$8=TH!F185),"x","")</f>
        <v/>
      </c>
      <c r="AC185" s="75" t="str">
        <f>IF(AND(OR(LEFT(TH!N185,2)="15",LEFT(TH!O185,2)="15"),TK!$E$7=TH!F185),"x","")</f>
        <v/>
      </c>
      <c r="AD185" s="75" t="str">
        <f>IF(AND(N185="1521",MONTH(C185)='BK-NL'!$M$11),"x","")</f>
        <v/>
      </c>
    </row>
    <row r="186" spans="1:30" ht="16.5" customHeight="1">
      <c r="A186" s="309" t="str">
        <f>IF(B186&lt;&gt;"",IF(AND(B186='IN-TC'!$S$4,OR(TH!N186="1111",TH!O186="1111")),TH!D186,""),"")</f>
        <v/>
      </c>
      <c r="B186" s="1243">
        <f t="shared" si="29"/>
        <v>7</v>
      </c>
      <c r="C186" s="666">
        <v>42947</v>
      </c>
      <c r="D186" s="666" t="s">
        <v>530</v>
      </c>
      <c r="E186" s="666">
        <f t="shared" si="25"/>
        <v>42947</v>
      </c>
      <c r="F186" s="905" t="s">
        <v>734</v>
      </c>
      <c r="G186" s="739" t="s">
        <v>535</v>
      </c>
      <c r="H186" s="871"/>
      <c r="I186" s="374"/>
      <c r="J186" s="380"/>
      <c r="K186" s="374"/>
      <c r="L186" s="380"/>
      <c r="M186" s="670">
        <f>M184</f>
        <v>463730</v>
      </c>
      <c r="N186" s="671" t="s">
        <v>539</v>
      </c>
      <c r="O186" s="671" t="s">
        <v>543</v>
      </c>
      <c r="P186" s="75" t="str">
        <f>IF(AND('331-CT'!$E$7=TH!H186,OR(N186="331",O186="331")),"x","")</f>
        <v/>
      </c>
      <c r="Q186" s="75" t="str">
        <f>IF(AND(B186='111'!$L$11,OR($N186=$Q$7,$O186=$Q$7)),"x","")</f>
        <v/>
      </c>
      <c r="R186" s="75" t="str">
        <f>IF(AND($N186=$Q$7,$B186&lt;'111'!$L$11),"x","")</f>
        <v/>
      </c>
      <c r="S186" s="75" t="str">
        <f>IF(AND($O186=$Q$7,$B186&lt;'111'!$L$11),"x","")</f>
        <v/>
      </c>
      <c r="T186" s="75" t="str">
        <f>IF(ISERROR(FIND('112'!$M$9,G186,1)),"",IF((AND(FIND('112'!$M$9,G186,1)&gt;=1,B186='112'!$K$9,OR($N186='112'!$I$6,$O186='112'!$I$6))),"x",""))</f>
        <v/>
      </c>
      <c r="U186" s="75" t="str">
        <f>IF(ISERROR(FIND('112'!$M$9,G186,1)),"",IF((AND(LEFT(G186,2)=LEFT('112'!$M$9,2),B186&lt;'112'!$K$9,$N186='112'!$I$6)),"x",""))</f>
        <v/>
      </c>
      <c r="V186" s="75" t="str">
        <f>IF(ISERROR(FIND('112'!$M$9,G186,1)),"",IF((AND(RIGHT(G186,2)=RIGHT('112'!$M$9,2),B186&lt;'112'!$K$9,$O186='112'!$I$6)),"x",""))</f>
        <v/>
      </c>
      <c r="W186" s="75" t="str">
        <f>IF(AND('341-CT'!$H$9=H186,OR(LEFT(N186,3)=$W$7,LEFT(O186,3)=$W$7)),"x","")</f>
        <v/>
      </c>
      <c r="X186" s="75" t="str">
        <f>IF(OR(TH!N186=TH!$X$7,O186=TH!$X$7),"x","")</f>
        <v/>
      </c>
      <c r="Y186" s="75" t="str">
        <f>IF(AND(OR(N186="131",O186="131"),H186='131-CT'!$H$9),"x","")</f>
        <v/>
      </c>
      <c r="Z186" s="75"/>
      <c r="AA186" s="75" t="str">
        <f>IF(AND(MONTH(E186)='IN-NX'!$J$5,'IN-NX'!$D$7=D186),"x","")</f>
        <v/>
      </c>
      <c r="AB186" s="75" t="str">
        <f>IF(AND(OR(LEFT(TH!N186,2)="15",LEFT(TH!O186,2)="15"),LEFT(TH!O186,3)&lt;&gt;"111",'152-CT'!$J$8=TH!F186),"x","")</f>
        <v/>
      </c>
      <c r="AC186" s="75" t="str">
        <f>IF(AND(OR(LEFT(TH!N186,2)="15",LEFT(TH!O186,2)="15"),TK!$E$7=TH!F186),"x","")</f>
        <v/>
      </c>
      <c r="AD186" s="75" t="str">
        <f>IF(AND(N186="1521",MONTH(C186)='BK-NL'!$M$11),"x","")</f>
        <v/>
      </c>
    </row>
    <row r="187" spans="1:30" ht="16.5" customHeight="1">
      <c r="A187" s="309" t="str">
        <f>IF(B187&lt;&gt;"",IF(AND(B187='IN-TC'!$S$4,OR(TH!N187="1111",TH!O187="1111")),TH!D187,""),"")</f>
        <v/>
      </c>
      <c r="B187" s="1243">
        <f t="shared" si="29"/>
        <v>7</v>
      </c>
      <c r="C187" s="666">
        <v>42947</v>
      </c>
      <c r="D187" s="666" t="s">
        <v>530</v>
      </c>
      <c r="E187" s="666">
        <f t="shared" si="25"/>
        <v>42947</v>
      </c>
      <c r="F187" s="905" t="s">
        <v>735</v>
      </c>
      <c r="G187" s="250"/>
      <c r="H187" s="294"/>
      <c r="I187" s="373"/>
      <c r="J187" s="379"/>
      <c r="K187" s="373"/>
      <c r="L187" s="379"/>
      <c r="M187" s="670">
        <f>M185</f>
        <v>618960</v>
      </c>
      <c r="N187" s="671" t="s">
        <v>272</v>
      </c>
      <c r="O187" s="671" t="s">
        <v>543</v>
      </c>
      <c r="P187" s="75" t="str">
        <f>IF(AND('331-CT'!$E$7=TH!H187,OR(N187="331",O187="331")),"x","")</f>
        <v/>
      </c>
      <c r="Q187" s="75" t="str">
        <f>IF(AND(B187='111'!$L$11,OR($N187=$Q$7,$O187=$Q$7)),"x","")</f>
        <v/>
      </c>
      <c r="R187" s="75" t="str">
        <f>IF(AND($N187=$Q$7,$B187&lt;'111'!$L$11),"x","")</f>
        <v/>
      </c>
      <c r="S187" s="75" t="str">
        <f>IF(AND($O187=$Q$7,$B187&lt;'111'!$L$11),"x","")</f>
        <v/>
      </c>
      <c r="T187" s="75" t="str">
        <f>IF(ISERROR(FIND('112'!$M$9,G187,1)),"",IF((AND(FIND('112'!$M$9,G187,1)&gt;=1,B187='112'!$K$9,OR($N187='112'!$I$6,$O187='112'!$I$6))),"x",""))</f>
        <v/>
      </c>
      <c r="U187" s="75" t="str">
        <f>IF(ISERROR(FIND('112'!$M$9,G187,1)),"",IF((AND(LEFT(G187,2)=LEFT('112'!$M$9,2),B187&lt;'112'!$K$9,$N187='112'!$I$6)),"x",""))</f>
        <v/>
      </c>
      <c r="V187" s="75" t="str">
        <f>IF(ISERROR(FIND('112'!$M$9,G187,1)),"",IF((AND(RIGHT(G187,2)=RIGHT('112'!$M$9,2),B187&lt;'112'!$K$9,$O187='112'!$I$6)),"x",""))</f>
        <v/>
      </c>
      <c r="W187" s="75" t="str">
        <f>IF(AND('341-CT'!$H$9=H187,OR(LEFT(N187,3)=$W$7,LEFT(O187,3)=$W$7)),"x","")</f>
        <v/>
      </c>
      <c r="X187" s="75" t="str">
        <f>IF(OR(TH!N187=TH!$X$7,O187=TH!$X$7),"x","")</f>
        <v/>
      </c>
      <c r="Y187" s="75" t="str">
        <f>IF(AND(OR(N187="131",O187="131"),H187='131-CT'!$H$9),"x","")</f>
        <v/>
      </c>
      <c r="Z187" s="75"/>
      <c r="AA187" s="75" t="str">
        <f>IF(AND(MONTH(E187)='IN-NX'!$J$5,'IN-NX'!$D$7=D187),"x","")</f>
        <v/>
      </c>
      <c r="AB187" s="75" t="str">
        <f>IF(AND(OR(LEFT(TH!N187,2)="15",LEFT(TH!O187,2)="15"),LEFT(TH!O187,3)&lt;&gt;"111",'152-CT'!$J$8=TH!F187),"x","")</f>
        <v/>
      </c>
      <c r="AC187" s="75" t="str">
        <f>IF(AND(OR(LEFT(TH!N187,2)="15",LEFT(TH!O187,2)="15"),TK!$E$7=TH!F187),"x","")</f>
        <v/>
      </c>
      <c r="AD187" s="75" t="str">
        <f>IF(AND(N187="1521",MONTH(C187)='BK-NL'!$M$11),"x","")</f>
        <v/>
      </c>
    </row>
    <row r="188" spans="1:30" ht="16.5" customHeight="1">
      <c r="A188" s="309" t="str">
        <f>IF(B188&lt;&gt;"",IF(AND(B188='IN-TC'!$S$4,OR(TH!N188="1111",TH!O188="1111")),TH!D188,""),"")</f>
        <v/>
      </c>
      <c r="B188" s="1243">
        <f t="shared" si="29"/>
        <v>7</v>
      </c>
      <c r="C188" s="666">
        <v>42947</v>
      </c>
      <c r="D188" s="666" t="s">
        <v>530</v>
      </c>
      <c r="E188" s="666">
        <f t="shared" ref="E188" si="30">C188</f>
        <v>42947</v>
      </c>
      <c r="F188" s="905" t="s">
        <v>2672</v>
      </c>
      <c r="G188" s="250"/>
      <c r="H188" s="294"/>
      <c r="I188" s="373"/>
      <c r="J188" s="379"/>
      <c r="K188" s="373"/>
      <c r="L188" s="379"/>
      <c r="M188" s="670">
        <v>412986</v>
      </c>
      <c r="N188" s="671" t="s">
        <v>105</v>
      </c>
      <c r="O188" s="671" t="s">
        <v>541</v>
      </c>
      <c r="P188" s="75" t="str">
        <f>IF(AND('331-CT'!$E$7=TH!H188,OR(N188="331",O188="331")),"x","")</f>
        <v/>
      </c>
      <c r="Q188" s="75" t="str">
        <f>IF(AND(B188='111'!$L$11,OR($N188=$Q$7,$O188=$Q$7)),"x","")</f>
        <v/>
      </c>
      <c r="R188" s="75" t="str">
        <f>IF(AND($N188=$Q$7,$B188&lt;'111'!$L$11),"x","")</f>
        <v/>
      </c>
      <c r="S188" s="75" t="str">
        <f>IF(AND($O188=$Q$7,$B188&lt;'111'!$L$11),"x","")</f>
        <v/>
      </c>
      <c r="T188" s="75" t="str">
        <f>IF(ISERROR(FIND('112'!$M$9,G188,1)),"",IF((AND(FIND('112'!$M$9,G188,1)&gt;=1,B188='112'!$K$9,OR($N188='112'!$I$6,$O188='112'!$I$6))),"x",""))</f>
        <v/>
      </c>
      <c r="U188" s="75" t="str">
        <f>IF(ISERROR(FIND('112'!$M$9,G188,1)),"",IF((AND(LEFT(G188,2)=LEFT('112'!$M$9,2),B188&lt;'112'!$K$9,$N188='112'!$I$6)),"x",""))</f>
        <v/>
      </c>
      <c r="V188" s="75" t="str">
        <f>IF(ISERROR(FIND('112'!$M$9,G188,1)),"",IF((AND(RIGHT(G188,2)=RIGHT('112'!$M$9,2),B188&lt;'112'!$K$9,$O188='112'!$I$6)),"x",""))</f>
        <v/>
      </c>
      <c r="W188" s="75" t="str">
        <f>IF(AND('341-CT'!$H$9=H188,OR(LEFT(N188,3)=$W$7,LEFT(O188,3)=$W$7)),"x","")</f>
        <v/>
      </c>
      <c r="X188" s="75" t="str">
        <f>IF(OR(TH!N188=TH!$X$7,O188=TH!$X$7),"x","")</f>
        <v/>
      </c>
      <c r="Y188" s="75" t="str">
        <f>IF(AND(OR(N188="131",O188="131"),H188='131-CT'!$H$9),"x","")</f>
        <v/>
      </c>
      <c r="Z188" s="75"/>
      <c r="AA188" s="75" t="str">
        <f>IF(AND(MONTH(E188)='IN-NX'!$J$5,'IN-NX'!$D$7=D188),"x","")</f>
        <v/>
      </c>
      <c r="AB188" s="75" t="str">
        <f>IF(AND(OR(LEFT(TH!N188,2)="15",LEFT(TH!O188,2)="15"),LEFT(TH!O188,3)&lt;&gt;"111",'152-CT'!$J$8=TH!F188),"x","")</f>
        <v/>
      </c>
      <c r="AC188" s="75" t="str">
        <f>IF(AND(OR(LEFT(TH!N188,2)="15",LEFT(TH!O188,2)="15"),TK!$E$7=TH!F188),"x","")</f>
        <v/>
      </c>
      <c r="AD188" s="75" t="str">
        <f>IF(AND(N188="1521",MONTH(C188)='BK-NL'!$M$11),"x","")</f>
        <v/>
      </c>
    </row>
    <row r="189" spans="1:30" ht="16.5" customHeight="1">
      <c r="A189" s="309" t="str">
        <f>IF(B189&lt;&gt;"",IF(AND(B189='IN-TC'!$S$4,OR(TH!N189="1111",TH!O189="1111")),TH!D189,""),"")</f>
        <v/>
      </c>
      <c r="B189" s="1129">
        <f t="shared" si="29"/>
        <v>8</v>
      </c>
      <c r="C189" s="666">
        <v>42978</v>
      </c>
      <c r="D189" s="666" t="s">
        <v>530</v>
      </c>
      <c r="E189" s="666">
        <f t="shared" si="25"/>
        <v>42978</v>
      </c>
      <c r="F189" s="905" t="s">
        <v>722</v>
      </c>
      <c r="G189" s="250">
        <v>46373000</v>
      </c>
      <c r="H189" s="294"/>
      <c r="I189" s="373"/>
      <c r="J189" s="379"/>
      <c r="K189" s="373"/>
      <c r="L189" s="379"/>
      <c r="M189" s="670">
        <v>48350444</v>
      </c>
      <c r="N189" s="671" t="s">
        <v>539</v>
      </c>
      <c r="O189" s="671" t="s">
        <v>540</v>
      </c>
      <c r="P189" s="75" t="str">
        <f>IF(AND('331-CT'!$E$7=TH!H189,OR(N189="331",O189="331")),"x","")</f>
        <v/>
      </c>
      <c r="Q189" s="75" t="str">
        <f>IF(AND(B189='111'!$L$11,OR($N189=$Q$7,$O189=$Q$7)),"x","")</f>
        <v/>
      </c>
      <c r="R189" s="75" t="str">
        <f>IF(AND($N189=$Q$7,$B189&lt;'111'!$L$11),"x","")</f>
        <v/>
      </c>
      <c r="S189" s="75" t="str">
        <f>IF(AND($O189=$Q$7,$B189&lt;'111'!$L$11),"x","")</f>
        <v/>
      </c>
      <c r="T189" s="75" t="str">
        <f>IF(ISERROR(FIND('112'!$M$9,G189,1)),"",IF((AND(FIND('112'!$M$9,G189,1)&gt;=1,B189='112'!$K$9,OR($N189='112'!$I$6,$O189='112'!$I$6))),"x",""))</f>
        <v/>
      </c>
      <c r="U189" s="75" t="str">
        <f>IF(ISERROR(FIND('112'!$M$9,G189,1)),"",IF((AND(LEFT(G189,2)=LEFT('112'!$M$9,2),B189&lt;'112'!$K$9,$N189='112'!$I$6)),"x",""))</f>
        <v/>
      </c>
      <c r="V189" s="75" t="str">
        <f>IF(ISERROR(FIND('112'!$M$9,G189,1)),"",IF((AND(RIGHT(G189,2)=RIGHT('112'!$M$9,2),B189&lt;'112'!$K$9,$O189='112'!$I$6)),"x",""))</f>
        <v/>
      </c>
      <c r="W189" s="75" t="str">
        <f>IF(AND('341-CT'!$H$9=H189,OR(LEFT(N189,3)=$W$7,LEFT(O189,3)=$W$7)),"x","")</f>
        <v/>
      </c>
      <c r="X189" s="75" t="str">
        <f>IF(OR(TH!N189=TH!$X$7,O189=TH!$X$7),"x","")</f>
        <v/>
      </c>
      <c r="Y189" s="75" t="str">
        <f>IF(AND(OR(N189="131",O189="131"),H189='131-CT'!$H$9),"x","")</f>
        <v/>
      </c>
      <c r="Z189" s="75"/>
      <c r="AA189" s="75" t="str">
        <f>IF(AND(MONTH(E189)='IN-NX'!$J$5,'IN-NX'!$D$7=D189),"x","")</f>
        <v/>
      </c>
      <c r="AB189" s="75" t="str">
        <f>IF(AND(OR(LEFT(TH!N189,2)="15",LEFT(TH!O189,2)="15"),LEFT(TH!O189,3)&lt;&gt;"111",'152-CT'!$J$8=TH!F189),"x","")</f>
        <v/>
      </c>
      <c r="AC189" s="75" t="str">
        <f>IF(AND(OR(LEFT(TH!N189,2)="15",LEFT(TH!O189,2)="15"),TK!$E$7=TH!F189),"x","")</f>
        <v/>
      </c>
      <c r="AD189" s="75" t="str">
        <f>IF(AND(N189="1521",MONTH(C189)='BK-NL'!$M$11),"x","")</f>
        <v/>
      </c>
    </row>
    <row r="190" spans="1:30" ht="16.5" customHeight="1">
      <c r="A190" s="309" t="str">
        <f>IF(B190&lt;&gt;"",IF(AND(B190='IN-TC'!$S$4,OR(TH!N190="1111",TH!O190="1111")),TH!D190,""),"")</f>
        <v/>
      </c>
      <c r="B190" s="1129">
        <f t="shared" si="29"/>
        <v>8</v>
      </c>
      <c r="C190" s="666">
        <v>42978</v>
      </c>
      <c r="D190" s="666" t="s">
        <v>530</v>
      </c>
      <c r="E190" s="666">
        <f t="shared" si="25"/>
        <v>42978</v>
      </c>
      <c r="F190" s="905" t="s">
        <v>723</v>
      </c>
      <c r="G190" s="250">
        <v>58344000</v>
      </c>
      <c r="H190" s="294"/>
      <c r="I190" s="373"/>
      <c r="J190" s="379"/>
      <c r="K190" s="373"/>
      <c r="L190" s="379"/>
      <c r="M190" s="670">
        <v>64824000</v>
      </c>
      <c r="N190" s="671" t="s">
        <v>272</v>
      </c>
      <c r="O190" s="671" t="s">
        <v>540</v>
      </c>
      <c r="P190" s="75" t="str">
        <f>IF(AND('331-CT'!$E$7=TH!H190,OR(N190="331",O190="331")),"x","")</f>
        <v/>
      </c>
      <c r="Q190" s="75" t="str">
        <f>IF(AND(B190='111'!$L$11,OR($N190=$Q$7,$O190=$Q$7)),"x","")</f>
        <v/>
      </c>
      <c r="R190" s="75" t="str">
        <f>IF(AND($N190=$Q$7,$B190&lt;'111'!$L$11),"x","")</f>
        <v/>
      </c>
      <c r="S190" s="75" t="str">
        <f>IF(AND($O190=$Q$7,$B190&lt;'111'!$L$11),"x","")</f>
        <v/>
      </c>
      <c r="T190" s="75" t="str">
        <f>IF(ISERROR(FIND('112'!$M$9,G190,1)),"",IF((AND(FIND('112'!$M$9,G190,1)&gt;=1,B190='112'!$K$9,OR($N190='112'!$I$6,$O190='112'!$I$6))),"x",""))</f>
        <v/>
      </c>
      <c r="U190" s="75" t="str">
        <f>IF(ISERROR(FIND('112'!$M$9,G190,1)),"",IF((AND(LEFT(G190,2)=LEFT('112'!$M$9,2),B190&lt;'112'!$K$9,$N190='112'!$I$6)),"x",""))</f>
        <v/>
      </c>
      <c r="V190" s="75" t="str">
        <f>IF(ISERROR(FIND('112'!$M$9,G190,1)),"",IF((AND(RIGHT(G190,2)=RIGHT('112'!$M$9,2),B190&lt;'112'!$K$9,$O190='112'!$I$6)),"x",""))</f>
        <v/>
      </c>
      <c r="W190" s="75" t="str">
        <f>IF(AND('341-CT'!$H$9=H190,OR(LEFT(N190,3)=$W$7,LEFT(O190,3)=$W$7)),"x","")</f>
        <v/>
      </c>
      <c r="X190" s="75" t="str">
        <f>IF(OR(TH!N190=TH!$X$7,O190=TH!$X$7),"x","")</f>
        <v/>
      </c>
      <c r="Y190" s="75" t="str">
        <f>IF(AND(OR(N190="131",O190="131"),H190='131-CT'!$H$9),"x","")</f>
        <v/>
      </c>
      <c r="Z190" s="75"/>
      <c r="AA190" s="75" t="str">
        <f>IF(AND(MONTH(E190)='IN-NX'!$J$5,'IN-NX'!$D$7=D190),"x","")</f>
        <v/>
      </c>
      <c r="AB190" s="75" t="str">
        <f>IF(AND(OR(LEFT(TH!N190,2)="15",LEFT(TH!O190,2)="15"),LEFT(TH!O190,3)&lt;&gt;"111",'152-CT'!$J$8=TH!F190),"x","")</f>
        <v/>
      </c>
      <c r="AC190" s="75" t="str">
        <f>IF(AND(OR(LEFT(TH!N190,2)="15",LEFT(TH!O190,2)="15"),TK!$E$7=TH!F190),"x","")</f>
        <v/>
      </c>
      <c r="AD190" s="75" t="str">
        <f>IF(AND(N190="1521",MONTH(C190)='BK-NL'!$M$11),"x","")</f>
        <v/>
      </c>
    </row>
    <row r="191" spans="1:30" ht="16.5" customHeight="1">
      <c r="A191" s="309" t="str">
        <f>IF(B191&lt;&gt;"",IF(AND(B191='IN-TC'!$S$4,OR(TH!N191="1111",TH!O191="1111")),TH!D191,""),"")</f>
        <v/>
      </c>
      <c r="B191" s="1129">
        <f t="shared" si="29"/>
        <v>8</v>
      </c>
      <c r="C191" s="666">
        <v>42978</v>
      </c>
      <c r="D191" s="666" t="s">
        <v>530</v>
      </c>
      <c r="E191" s="666">
        <f t="shared" si="25"/>
        <v>42978</v>
      </c>
      <c r="F191" s="905" t="s">
        <v>724</v>
      </c>
      <c r="G191" s="739" t="s">
        <v>531</v>
      </c>
      <c r="H191" s="294"/>
      <c r="I191" s="373"/>
      <c r="J191" s="379"/>
      <c r="K191" s="373"/>
      <c r="L191" s="379"/>
      <c r="M191" s="670">
        <f>ROUND(G189*$G191,0)</f>
        <v>3709840</v>
      </c>
      <c r="N191" s="671" t="s">
        <v>540</v>
      </c>
      <c r="O191" s="671" t="s">
        <v>541</v>
      </c>
      <c r="P191" s="75" t="str">
        <f>IF(AND('331-CT'!$E$7=TH!H191,OR(N191="331",O191="331")),"x","")</f>
        <v/>
      </c>
      <c r="Q191" s="75" t="str">
        <f>IF(AND(B191='111'!$L$11,OR($N191=$Q$7,$O191=$Q$7)),"x","")</f>
        <v/>
      </c>
      <c r="R191" s="75" t="str">
        <f>IF(AND($N191=$Q$7,$B191&lt;'111'!$L$11),"x","")</f>
        <v/>
      </c>
      <c r="S191" s="75" t="str">
        <f>IF(AND($O191=$Q$7,$B191&lt;'111'!$L$11),"x","")</f>
        <v/>
      </c>
      <c r="T191" s="75" t="str">
        <f>IF(ISERROR(FIND('112'!$M$9,G191,1)),"",IF((AND(FIND('112'!$M$9,G191,1)&gt;=1,B191='112'!$K$9,OR($N191='112'!$I$6,$O191='112'!$I$6))),"x",""))</f>
        <v/>
      </c>
      <c r="U191" s="75" t="str">
        <f>IF(ISERROR(FIND('112'!$M$9,G191,1)),"",IF((AND(LEFT(G191,2)=LEFT('112'!$M$9,2),B191&lt;'112'!$K$9,$N191='112'!$I$6)),"x",""))</f>
        <v/>
      </c>
      <c r="V191" s="75" t="str">
        <f>IF(ISERROR(FIND('112'!$M$9,G191,1)),"",IF((AND(RIGHT(G191,2)=RIGHT('112'!$M$9,2),B191&lt;'112'!$K$9,$O191='112'!$I$6)),"x",""))</f>
        <v/>
      </c>
      <c r="W191" s="75" t="str">
        <f>IF(AND('341-CT'!$H$9=H191,OR(LEFT(N191,3)=$W$7,LEFT(O191,3)=$W$7)),"x","")</f>
        <v/>
      </c>
      <c r="X191" s="75" t="str">
        <f>IF(OR(TH!N191=TH!$X$7,O191=TH!$X$7),"x","")</f>
        <v/>
      </c>
      <c r="Y191" s="75" t="str">
        <f>IF(AND(OR(N191="131",O191="131"),H191='131-CT'!$H$9),"x","")</f>
        <v/>
      </c>
      <c r="Z191" s="75"/>
      <c r="AA191" s="75" t="str">
        <f>IF(AND(MONTH(E191)='IN-NX'!$J$5,'IN-NX'!$D$7=D191),"x","")</f>
        <v/>
      </c>
      <c r="AB191" s="75" t="str">
        <f>IF(AND(OR(LEFT(TH!N191,2)="15",LEFT(TH!O191,2)="15"),LEFT(TH!O191,3)&lt;&gt;"111",'152-CT'!$J$8=TH!F191),"x","")</f>
        <v/>
      </c>
      <c r="AC191" s="75" t="str">
        <f>IF(AND(OR(LEFT(TH!N191,2)="15",LEFT(TH!O191,2)="15"),TK!$E$7=TH!F191),"x","")</f>
        <v/>
      </c>
      <c r="AD191" s="75" t="str">
        <f>IF(AND(N191="1521",MONTH(C191)='BK-NL'!$M$11),"x","")</f>
        <v/>
      </c>
    </row>
    <row r="192" spans="1:30" ht="16.5" customHeight="1">
      <c r="A192" s="309" t="str">
        <f>IF(B192&lt;&gt;"",IF(AND(B192='IN-TC'!$S$4,OR(TH!N192="1111",TH!O192="1111")),TH!D192,""),"")</f>
        <v/>
      </c>
      <c r="B192" s="1129">
        <f t="shared" si="29"/>
        <v>8</v>
      </c>
      <c r="C192" s="666">
        <v>42978</v>
      </c>
      <c r="D192" s="666" t="s">
        <v>530</v>
      </c>
      <c r="E192" s="666">
        <f t="shared" si="25"/>
        <v>42978</v>
      </c>
      <c r="F192" s="905" t="s">
        <v>725</v>
      </c>
      <c r="G192" s="250"/>
      <c r="H192" s="294"/>
      <c r="I192" s="373"/>
      <c r="J192" s="379"/>
      <c r="K192" s="373"/>
      <c r="L192" s="379"/>
      <c r="M192" s="670">
        <f>ROUND(G190*$G191,0)</f>
        <v>4667520</v>
      </c>
      <c r="N192" s="672" t="s">
        <v>540</v>
      </c>
      <c r="O192" s="673" t="s">
        <v>541</v>
      </c>
      <c r="P192" s="75" t="str">
        <f>IF(AND('331-CT'!$E$7=TH!H192,OR(N192="331",O192="331")),"x","")</f>
        <v/>
      </c>
      <c r="Q192" s="75" t="str">
        <f>IF(AND(B192='111'!$L$11,OR($N192=$Q$7,$O192=$Q$7)),"x","")</f>
        <v/>
      </c>
      <c r="R192" s="75" t="str">
        <f>IF(AND($N192=$Q$7,$B192&lt;'111'!$L$11),"x","")</f>
        <v/>
      </c>
      <c r="S192" s="75" t="str">
        <f>IF(AND($O192=$Q$7,$B192&lt;'111'!$L$11),"x","")</f>
        <v/>
      </c>
      <c r="T192" s="75" t="str">
        <f>IF(ISERROR(FIND('112'!$M$9,G192,1)),"",IF((AND(FIND('112'!$M$9,G192,1)&gt;=1,B192='112'!$K$9,OR($N192='112'!$I$6,$O192='112'!$I$6))),"x",""))</f>
        <v/>
      </c>
      <c r="U192" s="75" t="str">
        <f>IF(ISERROR(FIND('112'!$M$9,G192,1)),"",IF((AND(LEFT(G192,2)=LEFT('112'!$M$9,2),B192&lt;'112'!$K$9,$N192='112'!$I$6)),"x",""))</f>
        <v/>
      </c>
      <c r="V192" s="75" t="str">
        <f>IF(ISERROR(FIND('112'!$M$9,G192,1)),"",IF((AND(RIGHT(G192,2)=RIGHT('112'!$M$9,2),B192&lt;'112'!$K$9,$O192='112'!$I$6)),"x",""))</f>
        <v/>
      </c>
      <c r="W192" s="75" t="str">
        <f>IF(AND('341-CT'!$H$9=H192,OR(LEFT(N192,3)=$W$7,LEFT(O192,3)=$W$7)),"x","")</f>
        <v/>
      </c>
      <c r="X192" s="75" t="str">
        <f>IF(OR(TH!N192=TH!$X$7,O192=TH!$X$7),"x","")</f>
        <v/>
      </c>
      <c r="Y192" s="75" t="str">
        <f>IF(AND(OR(N192="131",O192="131"),H192='131-CT'!$H$9),"x","")</f>
        <v/>
      </c>
      <c r="Z192" s="75"/>
      <c r="AA192" s="75" t="str">
        <f>IF(AND(MONTH(E192)='IN-NX'!$J$5,'IN-NX'!$D$7=D192),"x","")</f>
        <v/>
      </c>
      <c r="AB192" s="75" t="str">
        <f>IF(AND(OR(LEFT(TH!N192,2)="15",LEFT(TH!O192,2)="15"),LEFT(TH!O192,3)&lt;&gt;"111",'152-CT'!$J$8=TH!F192),"x","")</f>
        <v/>
      </c>
      <c r="AC192" s="75" t="str">
        <f>IF(AND(OR(LEFT(TH!N192,2)="15",LEFT(TH!O192,2)="15"),TK!$E$7=TH!F192),"x","")</f>
        <v/>
      </c>
      <c r="AD192" s="75" t="str">
        <f>IF(AND(N192="1521",MONTH(C192)='BK-NL'!$M$11),"x","")</f>
        <v/>
      </c>
    </row>
    <row r="193" spans="1:30" ht="16.5" customHeight="1">
      <c r="A193" s="309" t="str">
        <f>IF(B193&lt;&gt;"",IF(AND(B193='IN-TC'!$S$4,OR(TH!N193="1111",TH!O193="1111")),TH!D193,""),"")</f>
        <v/>
      </c>
      <c r="B193" s="1129">
        <f t="shared" si="29"/>
        <v>8</v>
      </c>
      <c r="C193" s="666">
        <v>42978</v>
      </c>
      <c r="D193" s="666" t="s">
        <v>530</v>
      </c>
      <c r="E193" s="666">
        <f t="shared" si="25"/>
        <v>42978</v>
      </c>
      <c r="F193" s="905" t="s">
        <v>726</v>
      </c>
      <c r="G193" s="739" t="s">
        <v>2689</v>
      </c>
      <c r="H193" s="294"/>
      <c r="I193" s="373"/>
      <c r="J193" s="379"/>
      <c r="K193" s="373"/>
      <c r="L193" s="379"/>
      <c r="M193" s="670">
        <f>ROUND(G189*$G193,0)</f>
        <v>7883410</v>
      </c>
      <c r="N193" s="671" t="s">
        <v>539</v>
      </c>
      <c r="O193" s="671" t="s">
        <v>541</v>
      </c>
      <c r="P193" s="75" t="str">
        <f>IF(AND('331-CT'!$E$7=TH!H193,OR(N193="331",O193="331")),"x","")</f>
        <v/>
      </c>
      <c r="Q193" s="75" t="str">
        <f>IF(AND(B193='111'!$L$11,OR($N193=$Q$7,$O193=$Q$7)),"x","")</f>
        <v/>
      </c>
      <c r="R193" s="75" t="str">
        <f>IF(AND($N193=$Q$7,$B193&lt;'111'!$L$11),"x","")</f>
        <v/>
      </c>
      <c r="S193" s="75" t="str">
        <f>IF(AND($O193=$Q$7,$B193&lt;'111'!$L$11),"x","")</f>
        <v/>
      </c>
      <c r="T193" s="75" t="str">
        <f>IF(ISERROR(FIND('112'!$M$9,G193,1)),"",IF((AND(FIND('112'!$M$9,G193,1)&gt;=1,B193='112'!$K$9,OR($N193='112'!$I$6,$O193='112'!$I$6))),"x",""))</f>
        <v/>
      </c>
      <c r="U193" s="75" t="str">
        <f>IF(ISERROR(FIND('112'!$M$9,G193,1)),"",IF((AND(LEFT(G193,2)=LEFT('112'!$M$9,2),B193&lt;'112'!$K$9,$N193='112'!$I$6)),"x",""))</f>
        <v/>
      </c>
      <c r="V193" s="75" t="str">
        <f>IF(ISERROR(FIND('112'!$M$9,G193,1)),"",IF((AND(RIGHT(G193,2)=RIGHT('112'!$M$9,2),B193&lt;'112'!$K$9,$O193='112'!$I$6)),"x",""))</f>
        <v/>
      </c>
      <c r="W193" s="75" t="str">
        <f>IF(AND('341-CT'!$H$9=H193,OR(LEFT(N193,3)=$W$7,LEFT(O193,3)=$W$7)),"x","")</f>
        <v/>
      </c>
      <c r="X193" s="75" t="str">
        <f>IF(OR(TH!N193=TH!$X$7,O193=TH!$X$7),"x","")</f>
        <v/>
      </c>
      <c r="Y193" s="75" t="str">
        <f>IF(AND(OR(N193="131",O193="131"),H193='131-CT'!$H$9),"x","")</f>
        <v/>
      </c>
      <c r="Z193" s="75"/>
      <c r="AA193" s="75" t="str">
        <f>IF(AND(MONTH(E193)='IN-NX'!$J$5,'IN-NX'!$D$7=D193),"x","")</f>
        <v/>
      </c>
      <c r="AB193" s="75" t="str">
        <f>IF(AND(OR(LEFT(TH!N193,2)="15",LEFT(TH!O193,2)="15"),LEFT(TH!O193,3)&lt;&gt;"111",'152-CT'!$J$8=TH!F193),"x","")</f>
        <v/>
      </c>
      <c r="AC193" s="75" t="str">
        <f>IF(AND(OR(LEFT(TH!N193,2)="15",LEFT(TH!O193,2)="15"),TK!$E$7=TH!F193),"x","")</f>
        <v/>
      </c>
      <c r="AD193" s="75" t="str">
        <f>IF(AND(N193="1521",MONTH(C193)='BK-NL'!$M$11),"x","")</f>
        <v/>
      </c>
    </row>
    <row r="194" spans="1:30" ht="16.5" customHeight="1">
      <c r="A194" s="309" t="str">
        <f>IF(B194&lt;&gt;"",IF(AND(B194='IN-TC'!$S$4,OR(TH!N194="1111",TH!O194="1111")),TH!D194,""),"")</f>
        <v/>
      </c>
      <c r="B194" s="1129">
        <f t="shared" si="29"/>
        <v>8</v>
      </c>
      <c r="C194" s="666">
        <v>42978</v>
      </c>
      <c r="D194" s="666" t="s">
        <v>530</v>
      </c>
      <c r="E194" s="666">
        <f t="shared" si="25"/>
        <v>42978</v>
      </c>
      <c r="F194" s="905" t="s">
        <v>727</v>
      </c>
      <c r="G194" s="250"/>
      <c r="H194" s="294"/>
      <c r="I194" s="373"/>
      <c r="J194" s="379"/>
      <c r="K194" s="373"/>
      <c r="L194" s="379"/>
      <c r="M194" s="670">
        <f>ROUND(G190*$G193,0)</f>
        <v>9918480</v>
      </c>
      <c r="N194" s="671" t="s">
        <v>272</v>
      </c>
      <c r="O194" s="671" t="s">
        <v>541</v>
      </c>
      <c r="P194" s="75" t="str">
        <f>IF(AND('331-CT'!$E$7=TH!H194,OR(N194="331",O194="331")),"x","")</f>
        <v/>
      </c>
      <c r="Q194" s="75" t="str">
        <f>IF(AND(B194='111'!$L$11,OR($N194=$Q$7,$O194=$Q$7)),"x","")</f>
        <v/>
      </c>
      <c r="R194" s="75" t="str">
        <f>IF(AND($N194=$Q$7,$B194&lt;'111'!$L$11),"x","")</f>
        <v/>
      </c>
      <c r="S194" s="75" t="str">
        <f>IF(AND($O194=$Q$7,$B194&lt;'111'!$L$11),"x","")</f>
        <v/>
      </c>
      <c r="T194" s="75" t="str">
        <f>IF(ISERROR(FIND('112'!$M$9,G194,1)),"",IF((AND(FIND('112'!$M$9,G194,1)&gt;=1,B194='112'!$K$9,OR($N194='112'!$I$6,$O194='112'!$I$6))),"x",""))</f>
        <v/>
      </c>
      <c r="U194" s="75" t="str">
        <f>IF(ISERROR(FIND('112'!$M$9,G194,1)),"",IF((AND(LEFT(G194,2)=LEFT('112'!$M$9,2),B194&lt;'112'!$K$9,$N194='112'!$I$6)),"x",""))</f>
        <v/>
      </c>
      <c r="V194" s="75" t="str">
        <f>IF(ISERROR(FIND('112'!$M$9,G194,1)),"",IF((AND(RIGHT(G194,2)=RIGHT('112'!$M$9,2),B194&lt;'112'!$K$9,$O194='112'!$I$6)),"x",""))</f>
        <v/>
      </c>
      <c r="W194" s="75" t="str">
        <f>IF(AND('341-CT'!$H$9=H194,OR(LEFT(N194,3)=$W$7,LEFT(O194,3)=$W$7)),"x","")</f>
        <v/>
      </c>
      <c r="X194" s="75" t="str">
        <f>IF(OR(TH!N194=TH!$X$7,O194=TH!$X$7),"x","")</f>
        <v/>
      </c>
      <c r="Y194" s="75" t="str">
        <f>IF(AND(OR(N194="131",O194="131"),H194='131-CT'!$H$9),"x","")</f>
        <v/>
      </c>
      <c r="Z194" s="75"/>
      <c r="AA194" s="75" t="str">
        <f>IF(AND(MONTH(E194)='IN-NX'!$J$5,'IN-NX'!$D$7=D194),"x","")</f>
        <v/>
      </c>
      <c r="AB194" s="75" t="str">
        <f>IF(AND(OR(LEFT(TH!N194,2)="15",LEFT(TH!O194,2)="15"),LEFT(TH!O194,3)&lt;&gt;"111",'152-CT'!$J$8=TH!F194),"x","")</f>
        <v/>
      </c>
      <c r="AC194" s="75" t="str">
        <f>IF(AND(OR(LEFT(TH!N194,2)="15",LEFT(TH!O194,2)="15"),TK!$E$7=TH!F194),"x","")</f>
        <v/>
      </c>
      <c r="AD194" s="75" t="str">
        <f>IF(AND(N194="1521",MONTH(C194)='BK-NL'!$M$11),"x","")</f>
        <v/>
      </c>
    </row>
    <row r="195" spans="1:30" ht="16.5" customHeight="1">
      <c r="A195" s="309" t="str">
        <f>IF(B195&lt;&gt;"",IF(AND(B195='IN-TC'!$S$4,OR(TH!N195="1111",TH!O195="1111")),TH!D195,""),"")</f>
        <v/>
      </c>
      <c r="B195" s="1129">
        <f t="shared" si="29"/>
        <v>8</v>
      </c>
      <c r="C195" s="666">
        <v>42978</v>
      </c>
      <c r="D195" s="666" t="s">
        <v>530</v>
      </c>
      <c r="E195" s="666">
        <f t="shared" ref="E195:E210" si="31">C195</f>
        <v>42978</v>
      </c>
      <c r="F195" s="905" t="s">
        <v>728</v>
      </c>
      <c r="G195" s="739" t="s">
        <v>533</v>
      </c>
      <c r="H195" s="296"/>
      <c r="I195" s="371"/>
      <c r="J195" s="377"/>
      <c r="K195" s="371"/>
      <c r="L195" s="377"/>
      <c r="M195" s="670">
        <f>ROUND(G189*$G195,0)</f>
        <v>695595</v>
      </c>
      <c r="N195" s="671" t="s">
        <v>540</v>
      </c>
      <c r="O195" s="671" t="s">
        <v>542</v>
      </c>
      <c r="P195" s="75" t="str">
        <f>IF(AND('331-CT'!$E$7=TH!H195,OR(N195="331",O195="331")),"x","")</f>
        <v/>
      </c>
      <c r="Q195" s="75" t="str">
        <f>IF(AND(B195='111'!$L$11,OR($N195=$Q$7,$O195=$Q$7)),"x","")</f>
        <v/>
      </c>
      <c r="R195" s="75" t="str">
        <f>IF(AND($N195=$Q$7,$B195&lt;'111'!$L$11),"x","")</f>
        <v/>
      </c>
      <c r="S195" s="75" t="str">
        <f>IF(AND($O195=$Q$7,$B195&lt;'111'!$L$11),"x","")</f>
        <v/>
      </c>
      <c r="T195" s="75" t="str">
        <f>IF(ISERROR(FIND('112'!$M$9,G195,1)),"",IF((AND(FIND('112'!$M$9,G195,1)&gt;=1,B195='112'!$K$9,OR($N195='112'!$I$6,$O195='112'!$I$6))),"x",""))</f>
        <v/>
      </c>
      <c r="U195" s="75" t="str">
        <f>IF(ISERROR(FIND('112'!$M$9,G195,1)),"",IF((AND(LEFT(G195,2)=LEFT('112'!$M$9,2),B195&lt;'112'!$K$9,$N195='112'!$I$6)),"x",""))</f>
        <v/>
      </c>
      <c r="V195" s="75" t="str">
        <f>IF(ISERROR(FIND('112'!$M$9,G195,1)),"",IF((AND(RIGHT(G195,2)=RIGHT('112'!$M$9,2),B195&lt;'112'!$K$9,$O195='112'!$I$6)),"x",""))</f>
        <v/>
      </c>
      <c r="W195" s="75" t="str">
        <f>IF(AND('341-CT'!$H$9=H195,OR(LEFT(N195,3)=$W$7,LEFT(O195,3)=$W$7)),"x","")</f>
        <v/>
      </c>
      <c r="X195" s="75" t="str">
        <f>IF(OR(TH!N195=TH!$X$7,O195=TH!$X$7),"x","")</f>
        <v/>
      </c>
      <c r="Y195" s="75" t="str">
        <f>IF(AND(OR(N195="131",O195="131"),H195='131-CT'!$H$9),"x","")</f>
        <v/>
      </c>
      <c r="Z195" s="75"/>
      <c r="AA195" s="75" t="str">
        <f>IF(AND(MONTH(E195)='IN-NX'!$J$5,'IN-NX'!$D$7=D195),"x","")</f>
        <v/>
      </c>
      <c r="AB195" s="75" t="str">
        <f>IF(AND(OR(LEFT(TH!N195,2)="15",LEFT(TH!O195,2)="15"),LEFT(TH!O195,3)&lt;&gt;"111",'152-CT'!$J$8=TH!F195),"x","")</f>
        <v/>
      </c>
      <c r="AC195" s="75" t="str">
        <f>IF(AND(OR(LEFT(TH!N195,2)="15",LEFT(TH!O195,2)="15"),TK!$E$7=TH!F195),"x","")</f>
        <v/>
      </c>
      <c r="AD195" s="75" t="str">
        <f>IF(AND(N195="1521",MONTH(C195)='BK-NL'!$M$11),"x","")</f>
        <v/>
      </c>
    </row>
    <row r="196" spans="1:30" ht="16.5" customHeight="1">
      <c r="A196" s="309" t="str">
        <f>IF(B196&lt;&gt;"",IF(AND(B196='IN-TC'!$S$4,OR(TH!N196="1111",TH!O196="1111")),TH!D196,""),"")</f>
        <v/>
      </c>
      <c r="B196" s="1129">
        <f t="shared" si="29"/>
        <v>8</v>
      </c>
      <c r="C196" s="666">
        <v>42978</v>
      </c>
      <c r="D196" s="666" t="s">
        <v>530</v>
      </c>
      <c r="E196" s="666">
        <f t="shared" si="31"/>
        <v>42978</v>
      </c>
      <c r="F196" s="905" t="s">
        <v>729</v>
      </c>
      <c r="G196" s="250"/>
      <c r="H196" s="296"/>
      <c r="I196" s="371"/>
      <c r="J196" s="377"/>
      <c r="K196" s="371"/>
      <c r="L196" s="377"/>
      <c r="M196" s="670">
        <f>ROUND(G190*$G195,0)</f>
        <v>875160</v>
      </c>
      <c r="N196" s="671" t="s">
        <v>540</v>
      </c>
      <c r="O196" s="671" t="s">
        <v>542</v>
      </c>
      <c r="P196" s="75" t="str">
        <f>IF(AND('331-CT'!$E$7=TH!H196,OR(N196="331",O196="331")),"x","")</f>
        <v/>
      </c>
      <c r="Q196" s="75" t="str">
        <f>IF(AND(B196='111'!$L$11,OR($N196=$Q$7,$O196=$Q$7)),"x","")</f>
        <v/>
      </c>
      <c r="R196" s="75" t="str">
        <f>IF(AND($N196=$Q$7,$B196&lt;'111'!$L$11),"x","")</f>
        <v/>
      </c>
      <c r="S196" s="75" t="str">
        <f>IF(AND($O196=$Q$7,$B196&lt;'111'!$L$11),"x","")</f>
        <v/>
      </c>
      <c r="T196" s="75" t="str">
        <f>IF(ISERROR(FIND('112'!$M$9,G196,1)),"",IF((AND(FIND('112'!$M$9,G196,1)&gt;=1,B196='112'!$K$9,OR($N196='112'!$I$6,$O196='112'!$I$6))),"x",""))</f>
        <v/>
      </c>
      <c r="U196" s="75" t="str">
        <f>IF(ISERROR(FIND('112'!$M$9,G196,1)),"",IF((AND(LEFT(G196,2)=LEFT('112'!$M$9,2),B196&lt;'112'!$K$9,$N196='112'!$I$6)),"x",""))</f>
        <v/>
      </c>
      <c r="V196" s="75" t="str">
        <f>IF(ISERROR(FIND('112'!$M$9,G196,1)),"",IF((AND(RIGHT(G196,2)=RIGHT('112'!$M$9,2),B196&lt;'112'!$K$9,$O196='112'!$I$6)),"x",""))</f>
        <v/>
      </c>
      <c r="W196" s="75" t="str">
        <f>IF(AND('341-CT'!$H$9=H196,OR(LEFT(N196,3)=$W$7,LEFT(O196,3)=$W$7)),"x","")</f>
        <v/>
      </c>
      <c r="X196" s="75" t="str">
        <f>IF(OR(TH!N196=TH!$X$7,O196=TH!$X$7),"x","")</f>
        <v/>
      </c>
      <c r="Y196" s="75" t="str">
        <f>IF(AND(OR(N196="131",O196="131"),H196='131-CT'!$H$9),"x","")</f>
        <v/>
      </c>
      <c r="Z196" s="75"/>
      <c r="AA196" s="75" t="str">
        <f>IF(AND(MONTH(E196)='IN-NX'!$J$5,'IN-NX'!$D$7=D196),"x","")</f>
        <v/>
      </c>
      <c r="AB196" s="75" t="str">
        <f>IF(AND(OR(LEFT(TH!N196,2)="15",LEFT(TH!O196,2)="15"),LEFT(TH!O196,3)&lt;&gt;"111",'152-CT'!$J$8=TH!F196),"x","")</f>
        <v/>
      </c>
      <c r="AC196" s="75" t="str">
        <f>IF(AND(OR(LEFT(TH!N196,2)="15",LEFT(TH!O196,2)="15"),TK!$E$7=TH!F196),"x","")</f>
        <v/>
      </c>
      <c r="AD196" s="75" t="str">
        <f>IF(AND(N196="1521",MONTH(C196)='BK-NL'!$M$11),"x","")</f>
        <v/>
      </c>
    </row>
    <row r="197" spans="1:30" ht="16.5" customHeight="1">
      <c r="A197" s="309" t="str">
        <f>IF(B197&lt;&gt;"",IF(AND(B197='IN-TC'!$S$4,OR(TH!N197="1111",TH!O197="1111")),TH!D197,""),"")</f>
        <v/>
      </c>
      <c r="B197" s="1129">
        <f t="shared" si="29"/>
        <v>8</v>
      </c>
      <c r="C197" s="666">
        <v>42978</v>
      </c>
      <c r="D197" s="666" t="s">
        <v>530</v>
      </c>
      <c r="E197" s="666">
        <f t="shared" si="31"/>
        <v>42978</v>
      </c>
      <c r="F197" s="905" t="s">
        <v>730</v>
      </c>
      <c r="G197" s="739" t="s">
        <v>534</v>
      </c>
      <c r="H197" s="294"/>
      <c r="I197" s="373"/>
      <c r="J197" s="379"/>
      <c r="K197" s="373"/>
      <c r="L197" s="379"/>
      <c r="M197" s="670">
        <f>ROUND(G189*$G197,0)</f>
        <v>1391190</v>
      </c>
      <c r="N197" s="671" t="s">
        <v>539</v>
      </c>
      <c r="O197" s="671" t="s">
        <v>542</v>
      </c>
      <c r="P197" s="75" t="str">
        <f>IF(AND('331-CT'!$E$7=TH!H197,OR(N197="331",O197="331")),"x","")</f>
        <v/>
      </c>
      <c r="Q197" s="75" t="str">
        <f>IF(AND(B197='111'!$L$11,OR($N197=$Q$7,$O197=$Q$7)),"x","")</f>
        <v/>
      </c>
      <c r="R197" s="75" t="str">
        <f>IF(AND($N197=$Q$7,$B197&lt;'111'!$L$11),"x","")</f>
        <v/>
      </c>
      <c r="S197" s="75" t="str">
        <f>IF(AND($O197=$Q$7,$B197&lt;'111'!$L$11),"x","")</f>
        <v/>
      </c>
      <c r="T197" s="75" t="str">
        <f>IF(ISERROR(FIND('112'!$M$9,G197,1)),"",IF((AND(FIND('112'!$M$9,G197,1)&gt;=1,B197='112'!$K$9,OR($N197='112'!$I$6,$O197='112'!$I$6))),"x",""))</f>
        <v/>
      </c>
      <c r="U197" s="75" t="str">
        <f>IF(ISERROR(FIND('112'!$M$9,G197,1)),"",IF((AND(LEFT(G197,2)=LEFT('112'!$M$9,2),B197&lt;'112'!$K$9,$N197='112'!$I$6)),"x",""))</f>
        <v/>
      </c>
      <c r="V197" s="75" t="str">
        <f>IF(ISERROR(FIND('112'!$M$9,G197,1)),"",IF((AND(RIGHT(G197,2)=RIGHT('112'!$M$9,2),B197&lt;'112'!$K$9,$O197='112'!$I$6)),"x",""))</f>
        <v/>
      </c>
      <c r="W197" s="75" t="str">
        <f>IF(AND('341-CT'!$H$9=H197,OR(LEFT(N197,3)=$W$7,LEFT(O197,3)=$W$7)),"x","")</f>
        <v/>
      </c>
      <c r="X197" s="75" t="str">
        <f>IF(OR(TH!N197=TH!$X$7,O197=TH!$X$7),"x","")</f>
        <v/>
      </c>
      <c r="Y197" s="75" t="str">
        <f>IF(AND(OR(N197="131",O197="131"),H197='131-CT'!$H$9),"x","")</f>
        <v/>
      </c>
      <c r="Z197" s="75"/>
      <c r="AA197" s="75" t="str">
        <f>IF(AND(MONTH(E197)='IN-NX'!$J$5,'IN-NX'!$D$7=D197),"x","")</f>
        <v/>
      </c>
      <c r="AB197" s="75" t="str">
        <f>IF(AND(OR(LEFT(TH!N197,2)="15",LEFT(TH!O197,2)="15"),LEFT(TH!O197,3)&lt;&gt;"111",'152-CT'!$J$8=TH!F197),"x","")</f>
        <v/>
      </c>
      <c r="AC197" s="75" t="str">
        <f>IF(AND(OR(LEFT(TH!N197,2)="15",LEFT(TH!O197,2)="15"),TK!$E$7=TH!F197),"x","")</f>
        <v/>
      </c>
      <c r="AD197" s="75" t="str">
        <f>IF(AND(N197="1521",MONTH(C197)='BK-NL'!$M$11),"x","")</f>
        <v/>
      </c>
    </row>
    <row r="198" spans="1:30" ht="16.5" customHeight="1">
      <c r="A198" s="309" t="str">
        <f>IF(B198&lt;&gt;"",IF(AND(B198='IN-TC'!$S$4,OR(TH!N198="1111",TH!O198="1111")),TH!D198,""),"")</f>
        <v/>
      </c>
      <c r="B198" s="1129">
        <f t="shared" si="29"/>
        <v>8</v>
      </c>
      <c r="C198" s="666">
        <v>42978</v>
      </c>
      <c r="D198" s="666" t="s">
        <v>530</v>
      </c>
      <c r="E198" s="666">
        <f t="shared" si="31"/>
        <v>42978</v>
      </c>
      <c r="F198" s="905" t="s">
        <v>731</v>
      </c>
      <c r="G198" s="250"/>
      <c r="H198" s="294"/>
      <c r="I198" s="373"/>
      <c r="J198" s="379"/>
      <c r="K198" s="373"/>
      <c r="L198" s="379"/>
      <c r="M198" s="670">
        <f>ROUND(G190*$G197,0)</f>
        <v>1750320</v>
      </c>
      <c r="N198" s="671" t="s">
        <v>272</v>
      </c>
      <c r="O198" s="671" t="s">
        <v>542</v>
      </c>
      <c r="P198" s="75" t="str">
        <f>IF(AND('331-CT'!$E$7=TH!H198,OR(N198="331",O198="331")),"x","")</f>
        <v/>
      </c>
      <c r="Q198" s="75" t="str">
        <f>IF(AND(B198='111'!$L$11,OR($N198=$Q$7,$O198=$Q$7)),"x","")</f>
        <v/>
      </c>
      <c r="R198" s="75" t="str">
        <f>IF(AND($N198=$Q$7,$B198&lt;'111'!$L$11),"x","")</f>
        <v/>
      </c>
      <c r="S198" s="75" t="str">
        <f>IF(AND($O198=$Q$7,$B198&lt;'111'!$L$11),"x","")</f>
        <v/>
      </c>
      <c r="T198" s="75" t="str">
        <f>IF(ISERROR(FIND('112'!$M$9,G198,1)),"",IF((AND(FIND('112'!$M$9,G198,1)&gt;=1,B198='112'!$K$9,OR($N198='112'!$I$6,$O198='112'!$I$6))),"x",""))</f>
        <v/>
      </c>
      <c r="U198" s="75" t="str">
        <f>IF(ISERROR(FIND('112'!$M$9,G198,1)),"",IF((AND(LEFT(G198,2)=LEFT('112'!$M$9,2),B198&lt;'112'!$K$9,$N198='112'!$I$6)),"x",""))</f>
        <v/>
      </c>
      <c r="V198" s="75" t="str">
        <f>IF(ISERROR(FIND('112'!$M$9,G198,1)),"",IF((AND(RIGHT(G198,2)=RIGHT('112'!$M$9,2),B198&lt;'112'!$K$9,$O198='112'!$I$6)),"x",""))</f>
        <v/>
      </c>
      <c r="W198" s="75" t="str">
        <f>IF(AND('341-CT'!$H$9=H198,OR(LEFT(N198,3)=$W$7,LEFT(O198,3)=$W$7)),"x","")</f>
        <v/>
      </c>
      <c r="X198" s="75" t="str">
        <f>IF(OR(TH!N198=TH!$X$7,O198=TH!$X$7),"x","")</f>
        <v/>
      </c>
      <c r="Y198" s="75" t="str">
        <f>IF(AND(OR(N198="131",O198="131"),H198='131-CT'!$H$9),"x","")</f>
        <v/>
      </c>
      <c r="Z198" s="75"/>
      <c r="AA198" s="75" t="str">
        <f>IF(AND(MONTH(E198)='IN-NX'!$J$5,'IN-NX'!$D$7=D198),"x","")</f>
        <v/>
      </c>
      <c r="AB198" s="75" t="str">
        <f>IF(AND(OR(LEFT(TH!N198,2)="15",LEFT(TH!O198,2)="15"),LEFT(TH!O198,3)&lt;&gt;"111",'152-CT'!$J$8=TH!F198),"x","")</f>
        <v/>
      </c>
      <c r="AC198" s="75" t="str">
        <f>IF(AND(OR(LEFT(TH!N198,2)="15",LEFT(TH!O198,2)="15"),TK!$E$7=TH!F198),"x","")</f>
        <v/>
      </c>
      <c r="AD198" s="75" t="str">
        <f>IF(AND(N198="1521",MONTH(C198)='BK-NL'!$M$11),"x","")</f>
        <v/>
      </c>
    </row>
    <row r="199" spans="1:30" ht="16.5" customHeight="1">
      <c r="A199" s="309" t="str">
        <f>IF(B199&lt;&gt;"",IF(AND(B199='IN-TC'!$S$4,OR(TH!N199="1111",TH!O199="1111")),TH!D199,""),"")</f>
        <v/>
      </c>
      <c r="B199" s="1129">
        <f t="shared" si="29"/>
        <v>8</v>
      </c>
      <c r="C199" s="666">
        <v>42978</v>
      </c>
      <c r="D199" s="666" t="s">
        <v>530</v>
      </c>
      <c r="E199" s="666">
        <f t="shared" si="31"/>
        <v>42978</v>
      </c>
      <c r="F199" s="905" t="s">
        <v>732</v>
      </c>
      <c r="G199" s="739" t="s">
        <v>535</v>
      </c>
      <c r="H199" s="294"/>
      <c r="I199" s="373"/>
      <c r="J199" s="379"/>
      <c r="K199" s="373"/>
      <c r="L199" s="379"/>
      <c r="M199" s="670">
        <f>ROUND(G189*$G199,0)</f>
        <v>463730</v>
      </c>
      <c r="N199" s="671" t="s">
        <v>540</v>
      </c>
      <c r="O199" s="671" t="s">
        <v>543</v>
      </c>
      <c r="P199" s="75" t="str">
        <f>IF(AND('331-CT'!$E$7=TH!H199,OR(N199="331",O199="331")),"x","")</f>
        <v/>
      </c>
      <c r="Q199" s="75" t="str">
        <f>IF(AND(B199='111'!$L$11,OR($N199=$Q$7,$O199=$Q$7)),"x","")</f>
        <v/>
      </c>
      <c r="R199" s="75" t="str">
        <f>IF(AND($N199=$Q$7,$B199&lt;'111'!$L$11),"x","")</f>
        <v/>
      </c>
      <c r="S199" s="75" t="str">
        <f>IF(AND($O199=$Q$7,$B199&lt;'111'!$L$11),"x","")</f>
        <v/>
      </c>
      <c r="T199" s="75" t="str">
        <f>IF(ISERROR(FIND('112'!$M$9,G199,1)),"",IF((AND(FIND('112'!$M$9,G199,1)&gt;=1,B199='112'!$K$9,OR($N199='112'!$I$6,$O199='112'!$I$6))),"x",""))</f>
        <v/>
      </c>
      <c r="U199" s="75" t="str">
        <f>IF(ISERROR(FIND('112'!$M$9,G199,1)),"",IF((AND(LEFT(G199,2)=LEFT('112'!$M$9,2),B199&lt;'112'!$K$9,$N199='112'!$I$6)),"x",""))</f>
        <v/>
      </c>
      <c r="V199" s="75" t="str">
        <f>IF(ISERROR(FIND('112'!$M$9,G199,1)),"",IF((AND(RIGHT(G199,2)=RIGHT('112'!$M$9,2),B199&lt;'112'!$K$9,$O199='112'!$I$6)),"x",""))</f>
        <v/>
      </c>
      <c r="W199" s="75" t="str">
        <f>IF(AND('341-CT'!$H$9=H199,OR(LEFT(N199,3)=$W$7,LEFT(O199,3)=$W$7)),"x","")</f>
        <v/>
      </c>
      <c r="X199" s="75" t="str">
        <f>IF(OR(TH!N199=TH!$X$7,O199=TH!$X$7),"x","")</f>
        <v/>
      </c>
      <c r="Y199" s="75" t="str">
        <f>IF(AND(OR(N199="131",O199="131"),H199='131-CT'!$H$9),"x","")</f>
        <v/>
      </c>
      <c r="Z199" s="75"/>
      <c r="AA199" s="75" t="str">
        <f>IF(AND(MONTH(E199)='IN-NX'!$J$5,'IN-NX'!$D$7=D199),"x","")</f>
        <v/>
      </c>
      <c r="AB199" s="75" t="str">
        <f>IF(AND(OR(LEFT(TH!N199,2)="15",LEFT(TH!O199,2)="15"),LEFT(TH!O199,3)&lt;&gt;"111",'152-CT'!$J$8=TH!F199),"x","")</f>
        <v/>
      </c>
      <c r="AC199" s="75" t="str">
        <f>IF(AND(OR(LEFT(TH!N199,2)="15",LEFT(TH!O199,2)="15"),TK!$E$7=TH!F199),"x","")</f>
        <v/>
      </c>
      <c r="AD199" s="75" t="str">
        <f>IF(AND(N199="1521",MONTH(C199)='BK-NL'!$M$11),"x","")</f>
        <v/>
      </c>
    </row>
    <row r="200" spans="1:30" ht="16.5" customHeight="1">
      <c r="A200" s="309" t="str">
        <f>IF(B200&lt;&gt;"",IF(AND(B200='IN-TC'!$S$4,OR(TH!N200="1111",TH!O200="1111")),TH!D200,""),"")</f>
        <v/>
      </c>
      <c r="B200" s="1129">
        <f t="shared" si="29"/>
        <v>8</v>
      </c>
      <c r="C200" s="666">
        <v>42978</v>
      </c>
      <c r="D200" s="666" t="s">
        <v>530</v>
      </c>
      <c r="E200" s="666">
        <f t="shared" si="31"/>
        <v>42978</v>
      </c>
      <c r="F200" s="905" t="s">
        <v>733</v>
      </c>
      <c r="G200" s="250"/>
      <c r="H200" s="294"/>
      <c r="I200" s="373"/>
      <c r="J200" s="379"/>
      <c r="K200" s="373"/>
      <c r="L200" s="379"/>
      <c r="M200" s="670">
        <f>ROUND(G190*$G199,0)</f>
        <v>583440</v>
      </c>
      <c r="N200" s="671" t="s">
        <v>540</v>
      </c>
      <c r="O200" s="671" t="s">
        <v>543</v>
      </c>
      <c r="P200" s="75" t="str">
        <f>IF(AND('331-CT'!$E$7=TH!H200,OR(N200="331",O200="331")),"x","")</f>
        <v/>
      </c>
      <c r="Q200" s="75" t="str">
        <f>IF(AND(B200='111'!$L$11,OR($N200=$Q$7,$O200=$Q$7)),"x","")</f>
        <v/>
      </c>
      <c r="R200" s="75" t="str">
        <f>IF(AND($N200=$Q$7,$B200&lt;'111'!$L$11),"x","")</f>
        <v/>
      </c>
      <c r="S200" s="75" t="str">
        <f>IF(AND($O200=$Q$7,$B200&lt;'111'!$L$11),"x","")</f>
        <v/>
      </c>
      <c r="T200" s="75" t="str">
        <f>IF(ISERROR(FIND('112'!$M$9,G200,1)),"",IF((AND(FIND('112'!$M$9,G200,1)&gt;=1,B200='112'!$K$9,OR($N200='112'!$I$6,$O200='112'!$I$6))),"x",""))</f>
        <v/>
      </c>
      <c r="U200" s="75" t="str">
        <f>IF(ISERROR(FIND('112'!$M$9,G200,1)),"",IF((AND(LEFT(G200,2)=LEFT('112'!$M$9,2),B200&lt;'112'!$K$9,$N200='112'!$I$6)),"x",""))</f>
        <v/>
      </c>
      <c r="V200" s="75" t="str">
        <f>IF(ISERROR(FIND('112'!$M$9,G200,1)),"",IF((AND(RIGHT(G200,2)=RIGHT('112'!$M$9,2),B200&lt;'112'!$K$9,$O200='112'!$I$6)),"x",""))</f>
        <v/>
      </c>
      <c r="W200" s="75" t="str">
        <f>IF(AND('341-CT'!$H$9=H200,OR(LEFT(N200,3)=$W$7,LEFT(O200,3)=$W$7)),"x","")</f>
        <v/>
      </c>
      <c r="X200" s="75" t="str">
        <f>IF(OR(TH!N200=TH!$X$7,O200=TH!$X$7),"x","")</f>
        <v/>
      </c>
      <c r="Y200" s="75" t="str">
        <f>IF(AND(OR(N200="131",O200="131"),H200='131-CT'!$H$9),"x","")</f>
        <v/>
      </c>
      <c r="Z200" s="75"/>
      <c r="AA200" s="75" t="str">
        <f>IF(AND(MONTH(E200)='IN-NX'!$J$5,'IN-NX'!$D$7=D200),"x","")</f>
        <v/>
      </c>
      <c r="AB200" s="75" t="str">
        <f>IF(AND(OR(LEFT(TH!N200,2)="15",LEFT(TH!O200,2)="15"),LEFT(TH!O200,3)&lt;&gt;"111",'152-CT'!$J$8=TH!F200),"x","")</f>
        <v/>
      </c>
      <c r="AC200" s="75" t="str">
        <f>IF(AND(OR(LEFT(TH!N200,2)="15",LEFT(TH!O200,2)="15"),TK!$E$7=TH!F200),"x","")</f>
        <v/>
      </c>
      <c r="AD200" s="75" t="str">
        <f>IF(AND(N200="1521",MONTH(C200)='BK-NL'!$M$11),"x","")</f>
        <v/>
      </c>
    </row>
    <row r="201" spans="1:30" ht="16.5" customHeight="1">
      <c r="A201" s="309" t="str">
        <f>IF(B201&lt;&gt;"",IF(AND(B201='IN-TC'!$S$4,OR(TH!N201="1111",TH!O201="1111")),TH!D201,""),"")</f>
        <v/>
      </c>
      <c r="B201" s="1129">
        <f t="shared" si="29"/>
        <v>8</v>
      </c>
      <c r="C201" s="666">
        <v>42978</v>
      </c>
      <c r="D201" s="666" t="s">
        <v>530</v>
      </c>
      <c r="E201" s="666">
        <f t="shared" si="31"/>
        <v>42978</v>
      </c>
      <c r="F201" s="905" t="s">
        <v>734</v>
      </c>
      <c r="G201" s="739" t="s">
        <v>535</v>
      </c>
      <c r="H201" s="871"/>
      <c r="I201" s="374"/>
      <c r="J201" s="380"/>
      <c r="K201" s="374"/>
      <c r="L201" s="380"/>
      <c r="M201" s="670">
        <f>M199</f>
        <v>463730</v>
      </c>
      <c r="N201" s="671" t="s">
        <v>539</v>
      </c>
      <c r="O201" s="671" t="s">
        <v>543</v>
      </c>
      <c r="P201" s="75" t="str">
        <f>IF(AND('331-CT'!$E$7=TH!H201,OR(N201="331",O201="331")),"x","")</f>
        <v/>
      </c>
      <c r="Q201" s="75" t="str">
        <f>IF(AND(B201='111'!$L$11,OR($N201=$Q$7,$O201=$Q$7)),"x","")</f>
        <v/>
      </c>
      <c r="R201" s="75" t="str">
        <f>IF(AND($N201=$Q$7,$B201&lt;'111'!$L$11),"x","")</f>
        <v/>
      </c>
      <c r="S201" s="75" t="str">
        <f>IF(AND($O201=$Q$7,$B201&lt;'111'!$L$11),"x","")</f>
        <v/>
      </c>
      <c r="T201" s="75" t="str">
        <f>IF(ISERROR(FIND('112'!$M$9,G201,1)),"",IF((AND(FIND('112'!$M$9,G201,1)&gt;=1,B201='112'!$K$9,OR($N201='112'!$I$6,$O201='112'!$I$6))),"x",""))</f>
        <v/>
      </c>
      <c r="U201" s="75" t="str">
        <f>IF(ISERROR(FIND('112'!$M$9,G201,1)),"",IF((AND(LEFT(G201,2)=LEFT('112'!$M$9,2),B201&lt;'112'!$K$9,$N201='112'!$I$6)),"x",""))</f>
        <v/>
      </c>
      <c r="V201" s="75" t="str">
        <f>IF(ISERROR(FIND('112'!$M$9,G201,1)),"",IF((AND(RIGHT(G201,2)=RIGHT('112'!$M$9,2),B201&lt;'112'!$K$9,$O201='112'!$I$6)),"x",""))</f>
        <v/>
      </c>
      <c r="W201" s="75" t="str">
        <f>IF(AND('341-CT'!$H$9=H201,OR(LEFT(N201,3)=$W$7,LEFT(O201,3)=$W$7)),"x","")</f>
        <v/>
      </c>
      <c r="X201" s="75" t="str">
        <f>IF(OR(TH!N201=TH!$X$7,O201=TH!$X$7),"x","")</f>
        <v/>
      </c>
      <c r="Y201" s="75" t="str">
        <f>IF(AND(OR(N201="131",O201="131"),H201='131-CT'!$H$9),"x","")</f>
        <v/>
      </c>
      <c r="Z201" s="75"/>
      <c r="AA201" s="75" t="str">
        <f>IF(AND(MONTH(E201)='IN-NX'!$J$5,'IN-NX'!$D$7=D201),"x","")</f>
        <v/>
      </c>
      <c r="AB201" s="75" t="str">
        <f>IF(AND(OR(LEFT(TH!N201,2)="15",LEFT(TH!O201,2)="15"),LEFT(TH!O201,3)&lt;&gt;"111",'152-CT'!$J$8=TH!F201),"x","")</f>
        <v/>
      </c>
      <c r="AC201" s="75" t="str">
        <f>IF(AND(OR(LEFT(TH!N201,2)="15",LEFT(TH!O201,2)="15"),TK!$E$7=TH!F201),"x","")</f>
        <v/>
      </c>
      <c r="AD201" s="75" t="str">
        <f>IF(AND(N201="1521",MONTH(C201)='BK-NL'!$M$11),"x","")</f>
        <v/>
      </c>
    </row>
    <row r="202" spans="1:30" ht="16.5" customHeight="1">
      <c r="A202" s="309" t="str">
        <f>IF(B202&lt;&gt;"",IF(AND(B202='IN-TC'!$S$4,OR(TH!N202="1111",TH!O202="1111")),TH!D202,""),"")</f>
        <v/>
      </c>
      <c r="B202" s="1129">
        <f t="shared" si="29"/>
        <v>8</v>
      </c>
      <c r="C202" s="666">
        <v>42978</v>
      </c>
      <c r="D202" s="666" t="s">
        <v>530</v>
      </c>
      <c r="E202" s="666">
        <f t="shared" si="31"/>
        <v>42978</v>
      </c>
      <c r="F202" s="905" t="s">
        <v>735</v>
      </c>
      <c r="G202" s="250"/>
      <c r="H202" s="294"/>
      <c r="I202" s="373"/>
      <c r="J202" s="379"/>
      <c r="K202" s="373"/>
      <c r="L202" s="379"/>
      <c r="M202" s="670">
        <f>M200</f>
        <v>583440</v>
      </c>
      <c r="N202" s="671" t="s">
        <v>272</v>
      </c>
      <c r="O202" s="671" t="s">
        <v>543</v>
      </c>
      <c r="P202" s="75" t="str">
        <f>IF(AND('331-CT'!$E$7=TH!H202,OR(N202="331",O202="331")),"x","")</f>
        <v/>
      </c>
      <c r="Q202" s="75" t="str">
        <f>IF(AND(B202='111'!$L$11,OR($N202=$Q$7,$O202=$Q$7)),"x","")</f>
        <v/>
      </c>
      <c r="R202" s="75" t="str">
        <f>IF(AND($N202=$Q$7,$B202&lt;'111'!$L$11),"x","")</f>
        <v/>
      </c>
      <c r="S202" s="75" t="str">
        <f>IF(AND($O202=$Q$7,$B202&lt;'111'!$L$11),"x","")</f>
        <v/>
      </c>
      <c r="T202" s="75" t="str">
        <f>IF(ISERROR(FIND('112'!$M$9,G202,1)),"",IF((AND(FIND('112'!$M$9,G202,1)&gt;=1,B202='112'!$K$9,OR($N202='112'!$I$6,$O202='112'!$I$6))),"x",""))</f>
        <v/>
      </c>
      <c r="U202" s="75" t="str">
        <f>IF(ISERROR(FIND('112'!$M$9,G202,1)),"",IF((AND(LEFT(G202,2)=LEFT('112'!$M$9,2),B202&lt;'112'!$K$9,$N202='112'!$I$6)),"x",""))</f>
        <v/>
      </c>
      <c r="V202" s="75" t="str">
        <f>IF(ISERROR(FIND('112'!$M$9,G202,1)),"",IF((AND(RIGHT(G202,2)=RIGHT('112'!$M$9,2),B202&lt;'112'!$K$9,$O202='112'!$I$6)),"x",""))</f>
        <v/>
      </c>
      <c r="W202" s="75" t="str">
        <f>IF(AND('341-CT'!$H$9=H202,OR(LEFT(N202,3)=$W$7,LEFT(O202,3)=$W$7)),"x","")</f>
        <v/>
      </c>
      <c r="X202" s="75" t="str">
        <f>IF(OR(TH!N202=TH!$X$7,O202=TH!$X$7),"x","")</f>
        <v/>
      </c>
      <c r="Y202" s="75" t="str">
        <f>IF(AND(OR(N202="131",O202="131"),H202='131-CT'!$H$9),"x","")</f>
        <v/>
      </c>
      <c r="Z202" s="75"/>
      <c r="AA202" s="75" t="str">
        <f>IF(AND(MONTH(E202)='IN-NX'!$J$5,'IN-NX'!$D$7=D202),"x","")</f>
        <v/>
      </c>
      <c r="AB202" s="75" t="str">
        <f>IF(AND(OR(LEFT(TH!N202,2)="15",LEFT(TH!O202,2)="15"),LEFT(TH!O202,3)&lt;&gt;"111",'152-CT'!$J$8=TH!F202),"x","")</f>
        <v/>
      </c>
      <c r="AC202" s="75" t="str">
        <f>IF(AND(OR(LEFT(TH!N202,2)="15",LEFT(TH!O202,2)="15"),TK!$E$7=TH!F202),"x","")</f>
        <v/>
      </c>
      <c r="AD202" s="75" t="str">
        <f>IF(AND(N202="1521",MONTH(C202)='BK-NL'!$M$11),"x","")</f>
        <v/>
      </c>
    </row>
    <row r="203" spans="1:30" ht="16.5" customHeight="1">
      <c r="A203" s="309" t="str">
        <f>IF(B203&lt;&gt;"",IF(AND(B203='IN-TC'!$S$4,OR(TH!N203="1111",TH!O203="1111")),TH!D203,""),"")</f>
        <v/>
      </c>
      <c r="B203" s="1129">
        <f t="shared" ref="B203:B204" si="32">IF(C203&lt;&gt;"",MONTH(C203),"")</f>
        <v>8</v>
      </c>
      <c r="C203" s="666">
        <v>42978</v>
      </c>
      <c r="D203" s="666" t="s">
        <v>530</v>
      </c>
      <c r="E203" s="666">
        <f t="shared" ref="E203:E204" si="33">C203</f>
        <v>42978</v>
      </c>
      <c r="F203" s="905" t="s">
        <v>2686</v>
      </c>
      <c r="G203" s="739" t="s">
        <v>2688</v>
      </c>
      <c r="H203" s="871"/>
      <c r="I203" s="374"/>
      <c r="J203" s="380"/>
      <c r="K203" s="374"/>
      <c r="L203" s="380"/>
      <c r="M203" s="670">
        <f>ROUND(G189*$G203,0)</f>
        <v>231865</v>
      </c>
      <c r="N203" s="671" t="s">
        <v>539</v>
      </c>
      <c r="O203" s="671" t="s">
        <v>19</v>
      </c>
      <c r="P203" s="75" t="str">
        <f>IF(AND('331-CT'!$E$7=TH!H203,OR(N203="331",O203="331")),"x","")</f>
        <v/>
      </c>
      <c r="Q203" s="75" t="str">
        <f>IF(AND(B203='111'!$L$11,OR($N203=$Q$7,$O203=$Q$7)),"x","")</f>
        <v/>
      </c>
      <c r="R203" s="75" t="str">
        <f>IF(AND($N203=$Q$7,$B203&lt;'111'!$L$11),"x","")</f>
        <v/>
      </c>
      <c r="S203" s="75" t="str">
        <f>IF(AND($O203=$Q$7,$B203&lt;'111'!$L$11),"x","")</f>
        <v/>
      </c>
      <c r="T203" s="75" t="str">
        <f>IF(ISERROR(FIND('112'!$M$9,G203,1)),"",IF((AND(FIND('112'!$M$9,G203,1)&gt;=1,B203='112'!$K$9,OR($N203='112'!$I$6,$O203='112'!$I$6))),"x",""))</f>
        <v/>
      </c>
      <c r="U203" s="75" t="str">
        <f>IF(ISERROR(FIND('112'!$M$9,G203,1)),"",IF((AND(LEFT(G203,2)=LEFT('112'!$M$9,2),B203&lt;'112'!$K$9,$N203='112'!$I$6)),"x",""))</f>
        <v/>
      </c>
      <c r="V203" s="75" t="str">
        <f>IF(ISERROR(FIND('112'!$M$9,G203,1)),"",IF((AND(RIGHT(G203,2)=RIGHT('112'!$M$9,2),B203&lt;'112'!$K$9,$O203='112'!$I$6)),"x",""))</f>
        <v/>
      </c>
      <c r="W203" s="75" t="str">
        <f>IF(AND('341-CT'!$H$9=H203,OR(LEFT(N203,3)=$W$7,LEFT(O203,3)=$W$7)),"x","")</f>
        <v/>
      </c>
      <c r="X203" s="75" t="str">
        <f>IF(OR(TH!N203=TH!$X$7,O203=TH!$X$7),"x","")</f>
        <v/>
      </c>
      <c r="Y203" s="75" t="str">
        <f>IF(AND(OR(N203="131",O203="131"),H203='131-CT'!$H$9),"x","")</f>
        <v/>
      </c>
      <c r="Z203" s="75"/>
      <c r="AA203" s="75" t="str">
        <f>IF(AND(MONTH(E203)='IN-NX'!$J$5,'IN-NX'!$D$7=D203),"x","")</f>
        <v/>
      </c>
      <c r="AB203" s="75" t="str">
        <f>IF(AND(OR(LEFT(TH!N203,2)="15",LEFT(TH!O203,2)="15"),LEFT(TH!O203,3)&lt;&gt;"111",'152-CT'!$J$8=TH!F203),"x","")</f>
        <v/>
      </c>
      <c r="AC203" s="75" t="str">
        <f>IF(AND(OR(LEFT(TH!N203,2)="15",LEFT(TH!O203,2)="15"),TK!$E$7=TH!F203),"x","")</f>
        <v/>
      </c>
      <c r="AD203" s="75" t="str">
        <f>IF(AND(N203="1521",MONTH(C203)='BK-NL'!$M$11),"x","")</f>
        <v/>
      </c>
    </row>
    <row r="204" spans="1:30" ht="16.5" customHeight="1">
      <c r="A204" s="309" t="str">
        <f>IF(B204&lt;&gt;"",IF(AND(B204='IN-TC'!$S$4,OR(TH!N204="1111",TH!O204="1111")),TH!D204,""),"")</f>
        <v/>
      </c>
      <c r="B204" s="1129">
        <f t="shared" si="32"/>
        <v>8</v>
      </c>
      <c r="C204" s="666">
        <v>42978</v>
      </c>
      <c r="D204" s="666" t="s">
        <v>530</v>
      </c>
      <c r="E204" s="666">
        <f t="shared" si="33"/>
        <v>42978</v>
      </c>
      <c r="F204" s="905" t="s">
        <v>2687</v>
      </c>
      <c r="G204" s="250"/>
      <c r="H204" s="294"/>
      <c r="I204" s="373"/>
      <c r="J204" s="379"/>
      <c r="K204" s="373"/>
      <c r="L204" s="379"/>
      <c r="M204" s="670">
        <f>ROUND(G190*$G203,0)</f>
        <v>291720</v>
      </c>
      <c r="N204" s="671" t="s">
        <v>272</v>
      </c>
      <c r="O204" s="671" t="s">
        <v>19</v>
      </c>
      <c r="P204" s="75" t="str">
        <f>IF(AND('331-CT'!$E$7=TH!H204,OR(N204="331",O204="331")),"x","")</f>
        <v/>
      </c>
      <c r="Q204" s="75" t="str">
        <f>IF(AND(B204='111'!$L$11,OR($N204=$Q$7,$O204=$Q$7)),"x","")</f>
        <v/>
      </c>
      <c r="R204" s="75" t="str">
        <f>IF(AND($N204=$Q$7,$B204&lt;'111'!$L$11),"x","")</f>
        <v/>
      </c>
      <c r="S204" s="75" t="str">
        <f>IF(AND($O204=$Q$7,$B204&lt;'111'!$L$11),"x","")</f>
        <v/>
      </c>
      <c r="T204" s="75" t="str">
        <f>IF(ISERROR(FIND('112'!$M$9,G204,1)),"",IF((AND(FIND('112'!$M$9,G204,1)&gt;=1,B204='112'!$K$9,OR($N204='112'!$I$6,$O204='112'!$I$6))),"x",""))</f>
        <v/>
      </c>
      <c r="U204" s="75" t="str">
        <f>IF(ISERROR(FIND('112'!$M$9,G204,1)),"",IF((AND(LEFT(G204,2)=LEFT('112'!$M$9,2),B204&lt;'112'!$K$9,$N204='112'!$I$6)),"x",""))</f>
        <v/>
      </c>
      <c r="V204" s="75" t="str">
        <f>IF(ISERROR(FIND('112'!$M$9,G204,1)),"",IF((AND(RIGHT(G204,2)=RIGHT('112'!$M$9,2),B204&lt;'112'!$K$9,$O204='112'!$I$6)),"x",""))</f>
        <v/>
      </c>
      <c r="W204" s="75" t="str">
        <f>IF(AND('341-CT'!$H$9=H204,OR(LEFT(N204,3)=$W$7,LEFT(O204,3)=$W$7)),"x","")</f>
        <v/>
      </c>
      <c r="X204" s="75" t="str">
        <f>IF(OR(TH!N204=TH!$X$7,O204=TH!$X$7),"x","")</f>
        <v/>
      </c>
      <c r="Y204" s="75" t="str">
        <f>IF(AND(OR(N204="131",O204="131"),H204='131-CT'!$H$9),"x","")</f>
        <v/>
      </c>
      <c r="Z204" s="75"/>
      <c r="AA204" s="75" t="str">
        <f>IF(AND(MONTH(E204)='IN-NX'!$J$5,'IN-NX'!$D$7=D204),"x","")</f>
        <v/>
      </c>
      <c r="AB204" s="75" t="str">
        <f>IF(AND(OR(LEFT(TH!N204,2)="15",LEFT(TH!O204,2)="15"),LEFT(TH!O204,3)&lt;&gt;"111",'152-CT'!$J$8=TH!F204),"x","")</f>
        <v/>
      </c>
      <c r="AC204" s="75" t="str">
        <f>IF(AND(OR(LEFT(TH!N204,2)="15",LEFT(TH!O204,2)="15"),TK!$E$7=TH!F204),"x","")</f>
        <v/>
      </c>
      <c r="AD204" s="75" t="str">
        <f>IF(AND(N204="1521",MONTH(C204)='BK-NL'!$M$11),"x","")</f>
        <v/>
      </c>
    </row>
    <row r="205" spans="1:30" ht="16.5" customHeight="1">
      <c r="A205" s="309" t="str">
        <f>IF(B205&lt;&gt;"",IF(AND(B205='IN-TC'!$S$4,OR(TH!N205="1111",TH!O205="1111")),TH!D205,""),"")</f>
        <v/>
      </c>
      <c r="B205" s="1242">
        <f t="shared" si="29"/>
        <v>9</v>
      </c>
      <c r="C205" s="666">
        <v>43008</v>
      </c>
      <c r="D205" s="666" t="s">
        <v>530</v>
      </c>
      <c r="E205" s="666">
        <f t="shared" si="31"/>
        <v>43008</v>
      </c>
      <c r="F205" s="905" t="s">
        <v>722</v>
      </c>
      <c r="G205" s="1268">
        <v>42011000</v>
      </c>
      <c r="H205" s="250"/>
      <c r="I205" s="373"/>
      <c r="J205" s="379"/>
      <c r="K205" s="373"/>
      <c r="L205" s="379"/>
      <c r="M205" s="670">
        <v>46815720</v>
      </c>
      <c r="N205" s="671" t="s">
        <v>539</v>
      </c>
      <c r="O205" s="671" t="s">
        <v>540</v>
      </c>
      <c r="P205" s="75" t="str">
        <f>IF(AND('331-CT'!$E$7=TH!H205,OR(N205="331",O205="331")),"x","")</f>
        <v/>
      </c>
      <c r="Q205" s="75" t="str">
        <f>IF(AND(B205='111'!$L$11,OR($N205=$Q$7,$O205=$Q$7)),"x","")</f>
        <v/>
      </c>
      <c r="R205" s="75" t="str">
        <f>IF(AND($N205=$Q$7,$B205&lt;'111'!$L$11),"x","")</f>
        <v/>
      </c>
      <c r="S205" s="75" t="str">
        <f>IF(AND($O205=$Q$7,$B205&lt;'111'!$L$11),"x","")</f>
        <v/>
      </c>
      <c r="T205" s="75" t="str">
        <f>IF(ISERROR(FIND('112'!$M$9,G205,1)),"",IF((AND(FIND('112'!$M$9,G205,1)&gt;=1,B205='112'!$K$9,OR($N205='112'!$I$6,$O205='112'!$I$6))),"x",""))</f>
        <v/>
      </c>
      <c r="U205" s="75" t="str">
        <f>IF(ISERROR(FIND('112'!$M$9,G205,1)),"",IF((AND(LEFT(G205,2)=LEFT('112'!$M$9,2),B205&lt;'112'!$K$9,$N205='112'!$I$6)),"x",""))</f>
        <v/>
      </c>
      <c r="V205" s="75" t="str">
        <f>IF(ISERROR(FIND('112'!$M$9,G205,1)),"",IF((AND(RIGHT(G205,2)=RIGHT('112'!$M$9,2),B205&lt;'112'!$K$9,$O205='112'!$I$6)),"x",""))</f>
        <v/>
      </c>
      <c r="W205" s="75" t="str">
        <f>IF(AND('341-CT'!$H$9=H205,OR(LEFT(N205,3)=$W$7,LEFT(O205,3)=$W$7)),"x","")</f>
        <v/>
      </c>
      <c r="X205" s="75" t="str">
        <f>IF(OR(TH!N205=TH!$X$7,O205=TH!$X$7),"x","")</f>
        <v/>
      </c>
      <c r="Y205" s="75" t="str">
        <f>IF(AND(OR(N205="131",O205="131"),H205='131-CT'!$H$9),"x","")</f>
        <v/>
      </c>
      <c r="Z205" s="75"/>
      <c r="AA205" s="75" t="str">
        <f>IF(AND(MONTH(E205)='IN-NX'!$J$5,'IN-NX'!$D$7=D205),"x","")</f>
        <v/>
      </c>
      <c r="AB205" s="75" t="str">
        <f>IF(AND(OR(LEFT(TH!N205,2)="15",LEFT(TH!O205,2)="15"),LEFT(TH!O205,3)&lt;&gt;"111",'152-CT'!$J$8=TH!F205),"x","")</f>
        <v/>
      </c>
      <c r="AC205" s="75" t="str">
        <f>IF(AND(OR(LEFT(TH!N205,2)="15",LEFT(TH!O205,2)="15"),TK!$E$7=TH!F205),"x","")</f>
        <v/>
      </c>
      <c r="AD205" s="75" t="str">
        <f>IF(AND(N205="1521",MONTH(C205)='BK-NL'!$M$11),"x","")</f>
        <v/>
      </c>
    </row>
    <row r="206" spans="1:30" ht="16.5" customHeight="1">
      <c r="A206" s="309" t="str">
        <f>IF(B206&lt;&gt;"",IF(AND(B206='IN-TC'!$S$4,OR(TH!N206="1111",TH!O206="1111")),TH!D206,""),"")</f>
        <v/>
      </c>
      <c r="B206" s="1242">
        <f t="shared" si="29"/>
        <v>9</v>
      </c>
      <c r="C206" s="666">
        <v>43008</v>
      </c>
      <c r="D206" s="666" t="s">
        <v>530</v>
      </c>
      <c r="E206" s="666">
        <f t="shared" si="31"/>
        <v>43008</v>
      </c>
      <c r="F206" s="905" t="s">
        <v>723</v>
      </c>
      <c r="G206" s="1268">
        <v>54792000</v>
      </c>
      <c r="H206" s="250"/>
      <c r="I206" s="373"/>
      <c r="J206" s="379"/>
      <c r="K206" s="373"/>
      <c r="L206" s="379"/>
      <c r="M206" s="670">
        <v>65250360</v>
      </c>
      <c r="N206" s="671" t="s">
        <v>272</v>
      </c>
      <c r="O206" s="671" t="s">
        <v>540</v>
      </c>
      <c r="P206" s="75" t="str">
        <f>IF(AND('331-CT'!$E$7=TH!H206,OR(N206="331",O206="331")),"x","")</f>
        <v/>
      </c>
      <c r="Q206" s="75" t="str">
        <f>IF(AND(B206='111'!$L$11,OR($N206=$Q$7,$O206=$Q$7)),"x","")</f>
        <v/>
      </c>
      <c r="R206" s="75" t="str">
        <f>IF(AND($N206=$Q$7,$B206&lt;'111'!$L$11),"x","")</f>
        <v/>
      </c>
      <c r="S206" s="75" t="str">
        <f>IF(AND($O206=$Q$7,$B206&lt;'111'!$L$11),"x","")</f>
        <v/>
      </c>
      <c r="T206" s="75" t="str">
        <f>IF(ISERROR(FIND('112'!$M$9,G206,1)),"",IF((AND(FIND('112'!$M$9,G206,1)&gt;=1,B206='112'!$K$9,OR($N206='112'!$I$6,$O206='112'!$I$6))),"x",""))</f>
        <v/>
      </c>
      <c r="U206" s="75" t="str">
        <f>IF(ISERROR(FIND('112'!$M$9,G206,1)),"",IF((AND(LEFT(G206,2)=LEFT('112'!$M$9,2),B206&lt;'112'!$K$9,$N206='112'!$I$6)),"x",""))</f>
        <v/>
      </c>
      <c r="V206" s="75" t="str">
        <f>IF(ISERROR(FIND('112'!$M$9,G206,1)),"",IF((AND(RIGHT(G206,2)=RIGHT('112'!$M$9,2),B206&lt;'112'!$K$9,$O206='112'!$I$6)),"x",""))</f>
        <v/>
      </c>
      <c r="W206" s="75" t="str">
        <f>IF(AND('341-CT'!$H$9=H206,OR(LEFT(N206,3)=$W$7,LEFT(O206,3)=$W$7)),"x","")</f>
        <v/>
      </c>
      <c r="X206" s="75" t="str">
        <f>IF(OR(TH!N206=TH!$X$7,O206=TH!$X$7),"x","")</f>
        <v/>
      </c>
      <c r="Y206" s="75" t="str">
        <f>IF(AND(OR(N206="131",O206="131"),H206='131-CT'!$H$9),"x","")</f>
        <v/>
      </c>
      <c r="Z206" s="75"/>
      <c r="AA206" s="75" t="str">
        <f>IF(AND(MONTH(E206)='IN-NX'!$J$5,'IN-NX'!$D$7=D206),"x","")</f>
        <v/>
      </c>
      <c r="AB206" s="75" t="str">
        <f>IF(AND(OR(LEFT(TH!N206,2)="15",LEFT(TH!O206,2)="15"),LEFT(TH!O206,3)&lt;&gt;"111",'152-CT'!$J$8=TH!F206),"x","")</f>
        <v/>
      </c>
      <c r="AC206" s="75" t="str">
        <f>IF(AND(OR(LEFT(TH!N206,2)="15",LEFT(TH!O206,2)="15"),TK!$E$7=TH!F206),"x","")</f>
        <v/>
      </c>
      <c r="AD206" s="75" t="str">
        <f>IF(AND(N206="1521",MONTH(C206)='BK-NL'!$M$11),"x","")</f>
        <v/>
      </c>
    </row>
    <row r="207" spans="1:30" ht="16.5" customHeight="1">
      <c r="A207" s="309" t="str">
        <f>IF(B207&lt;&gt;"",IF(AND(B207='IN-TC'!$S$4,OR(TH!N207="1111",TH!O207="1111")),TH!D207,""),"")</f>
        <v/>
      </c>
      <c r="B207" s="1242">
        <f t="shared" si="29"/>
        <v>9</v>
      </c>
      <c r="C207" s="666">
        <v>43008</v>
      </c>
      <c r="D207" s="666" t="s">
        <v>530</v>
      </c>
      <c r="E207" s="666">
        <f t="shared" si="31"/>
        <v>43008</v>
      </c>
      <c r="F207" s="905" t="s">
        <v>724</v>
      </c>
      <c r="G207" s="739" t="s">
        <v>531</v>
      </c>
      <c r="H207" s="294"/>
      <c r="I207" s="373"/>
      <c r="J207" s="379"/>
      <c r="K207" s="373"/>
      <c r="L207" s="379"/>
      <c r="M207" s="670">
        <f>ROUND(G205*$G207,0)</f>
        <v>3360880</v>
      </c>
      <c r="N207" s="671" t="s">
        <v>540</v>
      </c>
      <c r="O207" s="671" t="s">
        <v>541</v>
      </c>
      <c r="P207" s="75" t="str">
        <f>IF(AND('331-CT'!$E$7=TH!H207,OR(N207="331",O207="331")),"x","")</f>
        <v/>
      </c>
      <c r="Q207" s="75" t="str">
        <f>IF(AND(B207='111'!$L$11,OR($N207=$Q$7,$O207=$Q$7)),"x","")</f>
        <v/>
      </c>
      <c r="R207" s="75" t="str">
        <f>IF(AND($N207=$Q$7,$B207&lt;'111'!$L$11),"x","")</f>
        <v/>
      </c>
      <c r="S207" s="75" t="str">
        <f>IF(AND($O207=$Q$7,$B207&lt;'111'!$L$11),"x","")</f>
        <v/>
      </c>
      <c r="T207" s="75" t="str">
        <f>IF(ISERROR(FIND('112'!$M$9,G207,1)),"",IF((AND(FIND('112'!$M$9,G207,1)&gt;=1,B207='112'!$K$9,OR($N207='112'!$I$6,$O207='112'!$I$6))),"x",""))</f>
        <v/>
      </c>
      <c r="U207" s="75" t="str">
        <f>IF(ISERROR(FIND('112'!$M$9,G207,1)),"",IF((AND(LEFT(G207,2)=LEFT('112'!$M$9,2),B207&lt;'112'!$K$9,$N207='112'!$I$6)),"x",""))</f>
        <v/>
      </c>
      <c r="V207" s="75" t="str">
        <f>IF(ISERROR(FIND('112'!$M$9,G207,1)),"",IF((AND(RIGHT(G207,2)=RIGHT('112'!$M$9,2),B207&lt;'112'!$K$9,$O207='112'!$I$6)),"x",""))</f>
        <v/>
      </c>
      <c r="W207" s="75" t="str">
        <f>IF(AND('341-CT'!$H$9=H207,OR(LEFT(N207,3)=$W$7,LEFT(O207,3)=$W$7)),"x","")</f>
        <v/>
      </c>
      <c r="X207" s="75" t="str">
        <f>IF(OR(TH!N207=TH!$X$7,O207=TH!$X$7),"x","")</f>
        <v/>
      </c>
      <c r="Y207" s="75" t="str">
        <f>IF(AND(OR(N207="131",O207="131"),H207='131-CT'!$H$9),"x","")</f>
        <v/>
      </c>
      <c r="Z207" s="75"/>
      <c r="AA207" s="75" t="str">
        <f>IF(AND(MONTH(E207)='IN-NX'!$J$5,'IN-NX'!$D$7=D207),"x","")</f>
        <v/>
      </c>
      <c r="AB207" s="75" t="str">
        <f>IF(AND(OR(LEFT(TH!N207,2)="15",LEFT(TH!O207,2)="15"),LEFT(TH!O207,3)&lt;&gt;"111",'152-CT'!$J$8=TH!F207),"x","")</f>
        <v/>
      </c>
      <c r="AC207" s="75" t="str">
        <f>IF(AND(OR(LEFT(TH!N207,2)="15",LEFT(TH!O207,2)="15"),TK!$E$7=TH!F207),"x","")</f>
        <v/>
      </c>
      <c r="AD207" s="75" t="str">
        <f>IF(AND(N207="1521",MONTH(C207)='BK-NL'!$M$11),"x","")</f>
        <v/>
      </c>
    </row>
    <row r="208" spans="1:30" ht="16.5" customHeight="1">
      <c r="A208" s="309" t="str">
        <f>IF(B208&lt;&gt;"",IF(AND(B208='IN-TC'!$S$4,OR(TH!N208="1111",TH!O208="1111")),TH!D208,""),"")</f>
        <v/>
      </c>
      <c r="B208" s="1242">
        <f t="shared" si="29"/>
        <v>9</v>
      </c>
      <c r="C208" s="666">
        <v>43008</v>
      </c>
      <c r="D208" s="666" t="s">
        <v>530</v>
      </c>
      <c r="E208" s="666">
        <f t="shared" si="31"/>
        <v>43008</v>
      </c>
      <c r="F208" s="905" t="s">
        <v>725</v>
      </c>
      <c r="G208" s="250"/>
      <c r="H208" s="294"/>
      <c r="I208" s="373"/>
      <c r="J208" s="379"/>
      <c r="K208" s="373"/>
      <c r="L208" s="379"/>
      <c r="M208" s="670">
        <f>ROUND(G206*$G207,0)</f>
        <v>4383360</v>
      </c>
      <c r="N208" s="672" t="s">
        <v>540</v>
      </c>
      <c r="O208" s="673" t="s">
        <v>541</v>
      </c>
      <c r="P208" s="75" t="str">
        <f>IF(AND('331-CT'!$E$7=TH!H208,OR(N208="331",O208="331")),"x","")</f>
        <v/>
      </c>
      <c r="Q208" s="75" t="str">
        <f>IF(AND(B208='111'!$L$11,OR($N208=$Q$7,$O208=$Q$7)),"x","")</f>
        <v/>
      </c>
      <c r="R208" s="75" t="str">
        <f>IF(AND($N208=$Q$7,$B208&lt;'111'!$L$11),"x","")</f>
        <v/>
      </c>
      <c r="S208" s="75" t="str">
        <f>IF(AND($O208=$Q$7,$B208&lt;'111'!$L$11),"x","")</f>
        <v/>
      </c>
      <c r="T208" s="75" t="str">
        <f>IF(ISERROR(FIND('112'!$M$9,G208,1)),"",IF((AND(FIND('112'!$M$9,G208,1)&gt;=1,B208='112'!$K$9,OR($N208='112'!$I$6,$O208='112'!$I$6))),"x",""))</f>
        <v/>
      </c>
      <c r="U208" s="75" t="str">
        <f>IF(ISERROR(FIND('112'!$M$9,G208,1)),"",IF((AND(LEFT(G208,2)=LEFT('112'!$M$9,2),B208&lt;'112'!$K$9,$N208='112'!$I$6)),"x",""))</f>
        <v/>
      </c>
      <c r="V208" s="75" t="str">
        <f>IF(ISERROR(FIND('112'!$M$9,G208,1)),"",IF((AND(RIGHT(G208,2)=RIGHT('112'!$M$9,2),B208&lt;'112'!$K$9,$O208='112'!$I$6)),"x",""))</f>
        <v/>
      </c>
      <c r="W208" s="75" t="str">
        <f>IF(AND('341-CT'!$H$9=H208,OR(LEFT(N208,3)=$W$7,LEFT(O208,3)=$W$7)),"x","")</f>
        <v/>
      </c>
      <c r="X208" s="75" t="str">
        <f>IF(OR(TH!N208=TH!$X$7,O208=TH!$X$7),"x","")</f>
        <v/>
      </c>
      <c r="Y208" s="75" t="str">
        <f>IF(AND(OR(N208="131",O208="131"),H208='131-CT'!$H$9),"x","")</f>
        <v/>
      </c>
      <c r="Z208" s="75"/>
      <c r="AA208" s="75" t="str">
        <f>IF(AND(MONTH(E208)='IN-NX'!$J$5,'IN-NX'!$D$7=D208),"x","")</f>
        <v/>
      </c>
      <c r="AB208" s="75" t="str">
        <f>IF(AND(OR(LEFT(TH!N208,2)="15",LEFT(TH!O208,2)="15"),LEFT(TH!O208,3)&lt;&gt;"111",'152-CT'!$J$8=TH!F208),"x","")</f>
        <v/>
      </c>
      <c r="AC208" s="75" t="str">
        <f>IF(AND(OR(LEFT(TH!N208,2)="15",LEFT(TH!O208,2)="15"),TK!$E$7=TH!F208),"x","")</f>
        <v/>
      </c>
      <c r="AD208" s="75" t="str">
        <f>IF(AND(N208="1521",MONTH(C208)='BK-NL'!$M$11),"x","")</f>
        <v/>
      </c>
    </row>
    <row r="209" spans="1:30" ht="16.5" customHeight="1">
      <c r="A209" s="309" t="str">
        <f>IF(B209&lt;&gt;"",IF(AND(B209='IN-TC'!$S$4,OR(TH!N209="1111",TH!O209="1111")),TH!D209,""),"")</f>
        <v/>
      </c>
      <c r="B209" s="1242">
        <f t="shared" si="29"/>
        <v>9</v>
      </c>
      <c r="C209" s="666">
        <v>43008</v>
      </c>
      <c r="D209" s="666" t="s">
        <v>530</v>
      </c>
      <c r="E209" s="666">
        <f t="shared" si="31"/>
        <v>43008</v>
      </c>
      <c r="F209" s="905" t="s">
        <v>726</v>
      </c>
      <c r="G209" s="739" t="s">
        <v>2689</v>
      </c>
      <c r="H209" s="294"/>
      <c r="I209" s="373"/>
      <c r="J209" s="379"/>
      <c r="K209" s="373"/>
      <c r="L209" s="379"/>
      <c r="M209" s="670">
        <f>ROUND(G205*$G209,0)</f>
        <v>7141870</v>
      </c>
      <c r="N209" s="671" t="s">
        <v>539</v>
      </c>
      <c r="O209" s="671" t="s">
        <v>541</v>
      </c>
      <c r="P209" s="75" t="str">
        <f>IF(AND('331-CT'!$E$7=TH!H209,OR(N209="331",O209="331")),"x","")</f>
        <v/>
      </c>
      <c r="Q209" s="75" t="str">
        <f>IF(AND(B209='111'!$L$11,OR($N209=$Q$7,$O209=$Q$7)),"x","")</f>
        <v/>
      </c>
      <c r="R209" s="75" t="str">
        <f>IF(AND($N209=$Q$7,$B209&lt;'111'!$L$11),"x","")</f>
        <v/>
      </c>
      <c r="S209" s="75" t="str">
        <f>IF(AND($O209=$Q$7,$B209&lt;'111'!$L$11),"x","")</f>
        <v/>
      </c>
      <c r="T209" s="75" t="str">
        <f>IF(ISERROR(FIND('112'!$M$9,G209,1)),"",IF((AND(FIND('112'!$M$9,G209,1)&gt;=1,B209='112'!$K$9,OR($N209='112'!$I$6,$O209='112'!$I$6))),"x",""))</f>
        <v/>
      </c>
      <c r="U209" s="75" t="str">
        <f>IF(ISERROR(FIND('112'!$M$9,G209,1)),"",IF((AND(LEFT(G209,2)=LEFT('112'!$M$9,2),B209&lt;'112'!$K$9,$N209='112'!$I$6)),"x",""))</f>
        <v/>
      </c>
      <c r="V209" s="75" t="str">
        <f>IF(ISERROR(FIND('112'!$M$9,G209,1)),"",IF((AND(RIGHT(G209,2)=RIGHT('112'!$M$9,2),B209&lt;'112'!$K$9,$O209='112'!$I$6)),"x",""))</f>
        <v/>
      </c>
      <c r="W209" s="75" t="str">
        <f>IF(AND('341-CT'!$H$9=H209,OR(LEFT(N209,3)=$W$7,LEFT(O209,3)=$W$7)),"x","")</f>
        <v/>
      </c>
      <c r="X209" s="75" t="str">
        <f>IF(OR(TH!N209=TH!$X$7,O209=TH!$X$7),"x","")</f>
        <v/>
      </c>
      <c r="Y209" s="75" t="str">
        <f>IF(AND(OR(N209="131",O209="131"),H209='131-CT'!$H$9),"x","")</f>
        <v/>
      </c>
      <c r="Z209" s="75"/>
      <c r="AA209" s="75" t="str">
        <f>IF(AND(MONTH(E209)='IN-NX'!$J$5,'IN-NX'!$D$7=D209),"x","")</f>
        <v/>
      </c>
      <c r="AB209" s="75" t="str">
        <f>IF(AND(OR(LEFT(TH!N209,2)="15",LEFT(TH!O209,2)="15"),LEFT(TH!O209,3)&lt;&gt;"111",'152-CT'!$J$8=TH!F209),"x","")</f>
        <v/>
      </c>
      <c r="AC209" s="75" t="str">
        <f>IF(AND(OR(LEFT(TH!N209,2)="15",LEFT(TH!O209,2)="15"),TK!$E$7=TH!F209),"x","")</f>
        <v/>
      </c>
      <c r="AD209" s="75" t="str">
        <f>IF(AND(N209="1521",MONTH(C209)='BK-NL'!$M$11),"x","")</f>
        <v/>
      </c>
    </row>
    <row r="210" spans="1:30" ht="16.5" customHeight="1">
      <c r="A210" s="309" t="str">
        <f>IF(B210&lt;&gt;"",IF(AND(B210='IN-TC'!$S$4,OR(TH!N210="1111",TH!O210="1111")),TH!D210,""),"")</f>
        <v/>
      </c>
      <c r="B210" s="1242">
        <f t="shared" si="29"/>
        <v>9</v>
      </c>
      <c r="C210" s="666">
        <v>43008</v>
      </c>
      <c r="D210" s="666" t="s">
        <v>530</v>
      </c>
      <c r="E210" s="666">
        <f t="shared" si="31"/>
        <v>43008</v>
      </c>
      <c r="F210" s="905" t="s">
        <v>727</v>
      </c>
      <c r="G210" s="250"/>
      <c r="H210" s="294"/>
      <c r="I210" s="373"/>
      <c r="J210" s="379"/>
      <c r="K210" s="373"/>
      <c r="L210" s="379"/>
      <c r="M210" s="670">
        <f>ROUND(G206*$G209,0)</f>
        <v>9314640</v>
      </c>
      <c r="N210" s="671" t="s">
        <v>272</v>
      </c>
      <c r="O210" s="671" t="s">
        <v>541</v>
      </c>
      <c r="P210" s="75" t="str">
        <f>IF(AND('331-CT'!$E$7=TH!H210,OR(N210="331",O210="331")),"x","")</f>
        <v/>
      </c>
      <c r="Q210" s="75" t="str">
        <f>IF(AND(B210='111'!$L$11,OR($N210=$Q$7,$O210=$Q$7)),"x","")</f>
        <v/>
      </c>
      <c r="R210" s="75" t="str">
        <f>IF(AND($N210=$Q$7,$B210&lt;'111'!$L$11),"x","")</f>
        <v/>
      </c>
      <c r="S210" s="75" t="str">
        <f>IF(AND($O210=$Q$7,$B210&lt;'111'!$L$11),"x","")</f>
        <v/>
      </c>
      <c r="T210" s="75" t="str">
        <f>IF(ISERROR(FIND('112'!$M$9,G210,1)),"",IF((AND(FIND('112'!$M$9,G210,1)&gt;=1,B210='112'!$K$9,OR($N210='112'!$I$6,$O210='112'!$I$6))),"x",""))</f>
        <v/>
      </c>
      <c r="U210" s="75" t="str">
        <f>IF(ISERROR(FIND('112'!$M$9,G210,1)),"",IF((AND(LEFT(G210,2)=LEFT('112'!$M$9,2),B210&lt;'112'!$K$9,$N210='112'!$I$6)),"x",""))</f>
        <v/>
      </c>
      <c r="V210" s="75" t="str">
        <f>IF(ISERROR(FIND('112'!$M$9,G210,1)),"",IF((AND(RIGHT(G210,2)=RIGHT('112'!$M$9,2),B210&lt;'112'!$K$9,$O210='112'!$I$6)),"x",""))</f>
        <v/>
      </c>
      <c r="W210" s="75" t="str">
        <f>IF(AND('341-CT'!$H$9=H210,OR(LEFT(N210,3)=$W$7,LEFT(O210,3)=$W$7)),"x","")</f>
        <v/>
      </c>
      <c r="X210" s="75" t="str">
        <f>IF(OR(TH!N210=TH!$X$7,O210=TH!$X$7),"x","")</f>
        <v/>
      </c>
      <c r="Y210" s="75" t="str">
        <f>IF(AND(OR(N210="131",O210="131"),H210='131-CT'!$H$9),"x","")</f>
        <v/>
      </c>
      <c r="Z210" s="75"/>
      <c r="AA210" s="75" t="str">
        <f>IF(AND(MONTH(E210)='IN-NX'!$J$5,'IN-NX'!$D$7=D210),"x","")</f>
        <v/>
      </c>
      <c r="AB210" s="75" t="str">
        <f>IF(AND(OR(LEFT(TH!N210,2)="15",LEFT(TH!O210,2)="15"),LEFT(TH!O210,3)&lt;&gt;"111",'152-CT'!$J$8=TH!F210),"x","")</f>
        <v/>
      </c>
      <c r="AC210" s="75" t="str">
        <f>IF(AND(OR(LEFT(TH!N210,2)="15",LEFT(TH!O210,2)="15"),TK!$E$7=TH!F210),"x","")</f>
        <v/>
      </c>
      <c r="AD210" s="75" t="str">
        <f>IF(AND(N210="1521",MONTH(C210)='BK-NL'!$M$11),"x","")</f>
        <v/>
      </c>
    </row>
    <row r="211" spans="1:30" ht="16.5" customHeight="1">
      <c r="A211" s="309" t="str">
        <f>IF(B211&lt;&gt;"",IF(AND(B211='IN-TC'!$S$4,OR(TH!N211="1111",TH!O211="1111")),TH!D211,""),"")</f>
        <v/>
      </c>
      <c r="B211" s="1242">
        <f t="shared" si="29"/>
        <v>9</v>
      </c>
      <c r="C211" s="666">
        <v>43008</v>
      </c>
      <c r="D211" s="666" t="s">
        <v>530</v>
      </c>
      <c r="E211" s="666">
        <f t="shared" ref="E211:E229" si="34">C211</f>
        <v>43008</v>
      </c>
      <c r="F211" s="905" t="s">
        <v>728</v>
      </c>
      <c r="G211" s="739" t="s">
        <v>533</v>
      </c>
      <c r="H211" s="296"/>
      <c r="I211" s="371"/>
      <c r="J211" s="377"/>
      <c r="K211" s="371"/>
      <c r="L211" s="377"/>
      <c r="M211" s="670">
        <f>ROUND(G205*$G211,0)</f>
        <v>630165</v>
      </c>
      <c r="N211" s="671" t="s">
        <v>540</v>
      </c>
      <c r="O211" s="671" t="s">
        <v>542</v>
      </c>
      <c r="P211" s="75" t="str">
        <f>IF(AND('331-CT'!$E$7=TH!H211,OR(N211="331",O211="331")),"x","")</f>
        <v/>
      </c>
      <c r="Q211" s="75" t="str">
        <f>IF(AND(B211='111'!$L$11,OR($N211=$Q$7,$O211=$Q$7)),"x","")</f>
        <v/>
      </c>
      <c r="R211" s="75" t="str">
        <f>IF(AND($N211=$Q$7,$B211&lt;'111'!$L$11),"x","")</f>
        <v/>
      </c>
      <c r="S211" s="75" t="str">
        <f>IF(AND($O211=$Q$7,$B211&lt;'111'!$L$11),"x","")</f>
        <v/>
      </c>
      <c r="T211" s="75" t="str">
        <f>IF(ISERROR(FIND('112'!$M$9,G211,1)),"",IF((AND(FIND('112'!$M$9,G211,1)&gt;=1,B211='112'!$K$9,OR($N211='112'!$I$6,$O211='112'!$I$6))),"x",""))</f>
        <v/>
      </c>
      <c r="U211" s="75" t="str">
        <f>IF(ISERROR(FIND('112'!$M$9,G211,1)),"",IF((AND(LEFT(G211,2)=LEFT('112'!$M$9,2),B211&lt;'112'!$K$9,$N211='112'!$I$6)),"x",""))</f>
        <v/>
      </c>
      <c r="V211" s="75" t="str">
        <f>IF(ISERROR(FIND('112'!$M$9,G211,1)),"",IF((AND(RIGHT(G211,2)=RIGHT('112'!$M$9,2),B211&lt;'112'!$K$9,$O211='112'!$I$6)),"x",""))</f>
        <v/>
      </c>
      <c r="W211" s="75" t="str">
        <f>IF(AND('341-CT'!$H$9=H211,OR(LEFT(N211,3)=$W$7,LEFT(O211,3)=$W$7)),"x","")</f>
        <v/>
      </c>
      <c r="X211" s="75" t="str">
        <f>IF(OR(TH!N211=TH!$X$7,O211=TH!$X$7),"x","")</f>
        <v/>
      </c>
      <c r="Y211" s="75" t="str">
        <f>IF(AND(OR(N211="131",O211="131"),H211='131-CT'!$H$9),"x","")</f>
        <v/>
      </c>
      <c r="Z211" s="75"/>
      <c r="AA211" s="75" t="str">
        <f>IF(AND(MONTH(E211)='IN-NX'!$J$5,'IN-NX'!$D$7=D211),"x","")</f>
        <v/>
      </c>
      <c r="AB211" s="75" t="str">
        <f>IF(AND(OR(LEFT(TH!N211,2)="15",LEFT(TH!O211,2)="15"),LEFT(TH!O211,3)&lt;&gt;"111",'152-CT'!$J$8=TH!F211),"x","")</f>
        <v/>
      </c>
      <c r="AC211" s="75" t="str">
        <f>IF(AND(OR(LEFT(TH!N211,2)="15",LEFT(TH!O211,2)="15"),TK!$E$7=TH!F211),"x","")</f>
        <v/>
      </c>
      <c r="AD211" s="75" t="str">
        <f>IF(AND(N211="1521",MONTH(C211)='BK-NL'!$M$11),"x","")</f>
        <v/>
      </c>
    </row>
    <row r="212" spans="1:30" ht="16.5" customHeight="1">
      <c r="A212" s="309" t="str">
        <f>IF(B212&lt;&gt;"",IF(AND(B212='IN-TC'!$S$4,OR(TH!N212="1111",TH!O212="1111")),TH!D212,""),"")</f>
        <v/>
      </c>
      <c r="B212" s="1242">
        <f t="shared" si="29"/>
        <v>9</v>
      </c>
      <c r="C212" s="666">
        <v>43008</v>
      </c>
      <c r="D212" s="666" t="s">
        <v>530</v>
      </c>
      <c r="E212" s="666">
        <f t="shared" si="34"/>
        <v>43008</v>
      </c>
      <c r="F212" s="905" t="s">
        <v>729</v>
      </c>
      <c r="G212" s="250"/>
      <c r="H212" s="296"/>
      <c r="I212" s="371"/>
      <c r="J212" s="377"/>
      <c r="K212" s="371"/>
      <c r="L212" s="377"/>
      <c r="M212" s="670">
        <f>ROUND(G206*$G211,0)</f>
        <v>821880</v>
      </c>
      <c r="N212" s="671" t="s">
        <v>540</v>
      </c>
      <c r="O212" s="671" t="s">
        <v>542</v>
      </c>
      <c r="P212" s="75" t="str">
        <f>IF(AND('331-CT'!$E$7=TH!H212,OR(N212="331",O212="331")),"x","")</f>
        <v/>
      </c>
      <c r="Q212" s="75" t="str">
        <f>IF(AND(B212='111'!$L$11,OR($N212=$Q$7,$O212=$Q$7)),"x","")</f>
        <v/>
      </c>
      <c r="R212" s="75" t="str">
        <f>IF(AND($N212=$Q$7,$B212&lt;'111'!$L$11),"x","")</f>
        <v/>
      </c>
      <c r="S212" s="75" t="str">
        <f>IF(AND($O212=$Q$7,$B212&lt;'111'!$L$11),"x","")</f>
        <v/>
      </c>
      <c r="T212" s="75" t="str">
        <f>IF(ISERROR(FIND('112'!$M$9,G212,1)),"",IF((AND(FIND('112'!$M$9,G212,1)&gt;=1,B212='112'!$K$9,OR($N212='112'!$I$6,$O212='112'!$I$6))),"x",""))</f>
        <v/>
      </c>
      <c r="U212" s="75" t="str">
        <f>IF(ISERROR(FIND('112'!$M$9,G212,1)),"",IF((AND(LEFT(G212,2)=LEFT('112'!$M$9,2),B212&lt;'112'!$K$9,$N212='112'!$I$6)),"x",""))</f>
        <v/>
      </c>
      <c r="V212" s="75" t="str">
        <f>IF(ISERROR(FIND('112'!$M$9,G212,1)),"",IF((AND(RIGHT(G212,2)=RIGHT('112'!$M$9,2),B212&lt;'112'!$K$9,$O212='112'!$I$6)),"x",""))</f>
        <v/>
      </c>
      <c r="W212" s="75" t="str">
        <f>IF(AND('341-CT'!$H$9=H212,OR(LEFT(N212,3)=$W$7,LEFT(O212,3)=$W$7)),"x","")</f>
        <v/>
      </c>
      <c r="X212" s="75" t="str">
        <f>IF(OR(TH!N212=TH!$X$7,O212=TH!$X$7),"x","")</f>
        <v/>
      </c>
      <c r="Y212" s="75" t="str">
        <f>IF(AND(OR(N212="131",O212="131"),H212='131-CT'!$H$9),"x","")</f>
        <v/>
      </c>
      <c r="Z212" s="75"/>
      <c r="AA212" s="75" t="str">
        <f>IF(AND(MONTH(E212)='IN-NX'!$J$5,'IN-NX'!$D$7=D212),"x","")</f>
        <v/>
      </c>
      <c r="AB212" s="75" t="str">
        <f>IF(AND(OR(LEFT(TH!N212,2)="15",LEFT(TH!O212,2)="15"),LEFT(TH!O212,3)&lt;&gt;"111",'152-CT'!$J$8=TH!F212),"x","")</f>
        <v/>
      </c>
      <c r="AC212" s="75" t="str">
        <f>IF(AND(OR(LEFT(TH!N212,2)="15",LEFT(TH!O212,2)="15"),TK!$E$7=TH!F212),"x","")</f>
        <v/>
      </c>
      <c r="AD212" s="75" t="str">
        <f>IF(AND(N212="1521",MONTH(C212)='BK-NL'!$M$11),"x","")</f>
        <v/>
      </c>
    </row>
    <row r="213" spans="1:30" ht="16.5" customHeight="1">
      <c r="A213" s="309" t="str">
        <f>IF(B213&lt;&gt;"",IF(AND(B213='IN-TC'!$S$4,OR(TH!N213="1111",TH!O213="1111")),TH!D213,""),"")</f>
        <v/>
      </c>
      <c r="B213" s="1242">
        <f t="shared" si="29"/>
        <v>9</v>
      </c>
      <c r="C213" s="666">
        <v>43008</v>
      </c>
      <c r="D213" s="666" t="s">
        <v>530</v>
      </c>
      <c r="E213" s="666">
        <f t="shared" si="34"/>
        <v>43008</v>
      </c>
      <c r="F213" s="905" t="s">
        <v>730</v>
      </c>
      <c r="G213" s="739" t="s">
        <v>534</v>
      </c>
      <c r="H213" s="294"/>
      <c r="I213" s="373"/>
      <c r="J213" s="379"/>
      <c r="K213" s="373"/>
      <c r="L213" s="379"/>
      <c r="M213" s="670">
        <f>ROUND(G205*$G213,0)</f>
        <v>1260330</v>
      </c>
      <c r="N213" s="671" t="s">
        <v>539</v>
      </c>
      <c r="O213" s="671" t="s">
        <v>542</v>
      </c>
      <c r="P213" s="75" t="str">
        <f>IF(AND('331-CT'!$E$7=TH!H213,OR(N213="331",O213="331")),"x","")</f>
        <v/>
      </c>
      <c r="Q213" s="75" t="str">
        <f>IF(AND(B213='111'!$L$11,OR($N213=$Q$7,$O213=$Q$7)),"x","")</f>
        <v/>
      </c>
      <c r="R213" s="75" t="str">
        <f>IF(AND($N213=$Q$7,$B213&lt;'111'!$L$11),"x","")</f>
        <v/>
      </c>
      <c r="S213" s="75" t="str">
        <f>IF(AND($O213=$Q$7,$B213&lt;'111'!$L$11),"x","")</f>
        <v/>
      </c>
      <c r="T213" s="75" t="str">
        <f>IF(ISERROR(FIND('112'!$M$9,G213,1)),"",IF((AND(FIND('112'!$M$9,G213,1)&gt;=1,B213='112'!$K$9,OR($N213='112'!$I$6,$O213='112'!$I$6))),"x",""))</f>
        <v/>
      </c>
      <c r="U213" s="75" t="str">
        <f>IF(ISERROR(FIND('112'!$M$9,G213,1)),"",IF((AND(LEFT(G213,2)=LEFT('112'!$M$9,2),B213&lt;'112'!$K$9,$N213='112'!$I$6)),"x",""))</f>
        <v/>
      </c>
      <c r="V213" s="75" t="str">
        <f>IF(ISERROR(FIND('112'!$M$9,G213,1)),"",IF((AND(RIGHT(G213,2)=RIGHT('112'!$M$9,2),B213&lt;'112'!$K$9,$O213='112'!$I$6)),"x",""))</f>
        <v/>
      </c>
      <c r="W213" s="75" t="str">
        <f>IF(AND('341-CT'!$H$9=H213,OR(LEFT(N213,3)=$W$7,LEFT(O213,3)=$W$7)),"x","")</f>
        <v/>
      </c>
      <c r="X213" s="75" t="str">
        <f>IF(OR(TH!N213=TH!$X$7,O213=TH!$X$7),"x","")</f>
        <v/>
      </c>
      <c r="Y213" s="75" t="str">
        <f>IF(AND(OR(N213="131",O213="131"),H213='131-CT'!$H$9),"x","")</f>
        <v/>
      </c>
      <c r="Z213" s="75"/>
      <c r="AA213" s="75" t="str">
        <f>IF(AND(MONTH(E213)='IN-NX'!$J$5,'IN-NX'!$D$7=D213),"x","")</f>
        <v/>
      </c>
      <c r="AB213" s="75" t="str">
        <f>IF(AND(OR(LEFT(TH!N213,2)="15",LEFT(TH!O213,2)="15"),LEFT(TH!O213,3)&lt;&gt;"111",'152-CT'!$J$8=TH!F213),"x","")</f>
        <v/>
      </c>
      <c r="AC213" s="75" t="str">
        <f>IF(AND(OR(LEFT(TH!N213,2)="15",LEFT(TH!O213,2)="15"),TK!$E$7=TH!F213),"x","")</f>
        <v/>
      </c>
      <c r="AD213" s="75" t="str">
        <f>IF(AND(N213="1521",MONTH(C213)='BK-NL'!$M$11),"x","")</f>
        <v/>
      </c>
    </row>
    <row r="214" spans="1:30" ht="16.5" customHeight="1">
      <c r="A214" s="309" t="str">
        <f>IF(B214&lt;&gt;"",IF(AND(B214='IN-TC'!$S$4,OR(TH!N214="1111",TH!O214="1111")),TH!D214,""),"")</f>
        <v/>
      </c>
      <c r="B214" s="1242">
        <f t="shared" si="29"/>
        <v>9</v>
      </c>
      <c r="C214" s="666">
        <v>43008</v>
      </c>
      <c r="D214" s="666" t="s">
        <v>530</v>
      </c>
      <c r="E214" s="666">
        <f t="shared" si="34"/>
        <v>43008</v>
      </c>
      <c r="F214" s="905" t="s">
        <v>731</v>
      </c>
      <c r="G214" s="250"/>
      <c r="H214" s="294"/>
      <c r="I214" s="373"/>
      <c r="J214" s="379"/>
      <c r="K214" s="373"/>
      <c r="L214" s="379"/>
      <c r="M214" s="670">
        <f>ROUND(G206*$G213,0)</f>
        <v>1643760</v>
      </c>
      <c r="N214" s="671" t="s">
        <v>272</v>
      </c>
      <c r="O214" s="671" t="s">
        <v>542</v>
      </c>
      <c r="P214" s="75" t="str">
        <f>IF(AND('331-CT'!$E$7=TH!H214,OR(N214="331",O214="331")),"x","")</f>
        <v/>
      </c>
      <c r="Q214" s="75" t="str">
        <f>IF(AND(B214='111'!$L$11,OR($N214=$Q$7,$O214=$Q$7)),"x","")</f>
        <v/>
      </c>
      <c r="R214" s="75" t="str">
        <f>IF(AND($N214=$Q$7,$B214&lt;'111'!$L$11),"x","")</f>
        <v/>
      </c>
      <c r="S214" s="75" t="str">
        <f>IF(AND($O214=$Q$7,$B214&lt;'111'!$L$11),"x","")</f>
        <v/>
      </c>
      <c r="T214" s="75" t="str">
        <f>IF(ISERROR(FIND('112'!$M$9,G214,1)),"",IF((AND(FIND('112'!$M$9,G214,1)&gt;=1,B214='112'!$K$9,OR($N214='112'!$I$6,$O214='112'!$I$6))),"x",""))</f>
        <v/>
      </c>
      <c r="U214" s="75" t="str">
        <f>IF(ISERROR(FIND('112'!$M$9,G214,1)),"",IF((AND(LEFT(G214,2)=LEFT('112'!$M$9,2),B214&lt;'112'!$K$9,$N214='112'!$I$6)),"x",""))</f>
        <v/>
      </c>
      <c r="V214" s="75" t="str">
        <f>IF(ISERROR(FIND('112'!$M$9,G214,1)),"",IF((AND(RIGHT(G214,2)=RIGHT('112'!$M$9,2),B214&lt;'112'!$K$9,$O214='112'!$I$6)),"x",""))</f>
        <v/>
      </c>
      <c r="W214" s="75" t="str">
        <f>IF(AND('341-CT'!$H$9=H214,OR(LEFT(N214,3)=$W$7,LEFT(O214,3)=$W$7)),"x","")</f>
        <v/>
      </c>
      <c r="X214" s="75" t="str">
        <f>IF(OR(TH!N214=TH!$X$7,O214=TH!$X$7),"x","")</f>
        <v/>
      </c>
      <c r="Y214" s="75" t="str">
        <f>IF(AND(OR(N214="131",O214="131"),H214='131-CT'!$H$9),"x","")</f>
        <v/>
      </c>
      <c r="Z214" s="75"/>
      <c r="AA214" s="75" t="str">
        <f>IF(AND(MONTH(E214)='IN-NX'!$J$5,'IN-NX'!$D$7=D214),"x","")</f>
        <v/>
      </c>
      <c r="AB214" s="75" t="str">
        <f>IF(AND(OR(LEFT(TH!N214,2)="15",LEFT(TH!O214,2)="15"),LEFT(TH!O214,3)&lt;&gt;"111",'152-CT'!$J$8=TH!F214),"x","")</f>
        <v/>
      </c>
      <c r="AC214" s="75" t="str">
        <f>IF(AND(OR(LEFT(TH!N214,2)="15",LEFT(TH!O214,2)="15"),TK!$E$7=TH!F214),"x","")</f>
        <v/>
      </c>
      <c r="AD214" s="75" t="str">
        <f>IF(AND(N214="1521",MONTH(C214)='BK-NL'!$M$11),"x","")</f>
        <v/>
      </c>
    </row>
    <row r="215" spans="1:30" ht="16.5" customHeight="1">
      <c r="A215" s="309" t="str">
        <f>IF(B215&lt;&gt;"",IF(AND(B215='IN-TC'!$S$4,OR(TH!N215="1111",TH!O215="1111")),TH!D215,""),"")</f>
        <v/>
      </c>
      <c r="B215" s="1242">
        <f t="shared" si="29"/>
        <v>9</v>
      </c>
      <c r="C215" s="666">
        <v>43008</v>
      </c>
      <c r="D215" s="666" t="s">
        <v>530</v>
      </c>
      <c r="E215" s="666">
        <f t="shared" si="34"/>
        <v>43008</v>
      </c>
      <c r="F215" s="905" t="s">
        <v>732</v>
      </c>
      <c r="G215" s="739" t="s">
        <v>535</v>
      </c>
      <c r="H215" s="294"/>
      <c r="I215" s="373"/>
      <c r="J215" s="379"/>
      <c r="K215" s="373"/>
      <c r="L215" s="379"/>
      <c r="M215" s="670">
        <f>ROUND(G205*$G215,0)</f>
        <v>420110</v>
      </c>
      <c r="N215" s="671" t="s">
        <v>540</v>
      </c>
      <c r="O215" s="671" t="s">
        <v>543</v>
      </c>
      <c r="P215" s="75" t="str">
        <f>IF(AND('331-CT'!$E$7=TH!H215,OR(N215="331",O215="331")),"x","")</f>
        <v/>
      </c>
      <c r="Q215" s="75" t="str">
        <f>IF(AND(B215='111'!$L$11,OR($N215=$Q$7,$O215=$Q$7)),"x","")</f>
        <v/>
      </c>
      <c r="R215" s="75" t="str">
        <f>IF(AND($N215=$Q$7,$B215&lt;'111'!$L$11),"x","")</f>
        <v/>
      </c>
      <c r="S215" s="75" t="str">
        <f>IF(AND($O215=$Q$7,$B215&lt;'111'!$L$11),"x","")</f>
        <v/>
      </c>
      <c r="T215" s="75" t="str">
        <f>IF(ISERROR(FIND('112'!$M$9,G215,1)),"",IF((AND(FIND('112'!$M$9,G215,1)&gt;=1,B215='112'!$K$9,OR($N215='112'!$I$6,$O215='112'!$I$6))),"x",""))</f>
        <v/>
      </c>
      <c r="U215" s="75" t="str">
        <f>IF(ISERROR(FIND('112'!$M$9,G215,1)),"",IF((AND(LEFT(G215,2)=LEFT('112'!$M$9,2),B215&lt;'112'!$K$9,$N215='112'!$I$6)),"x",""))</f>
        <v/>
      </c>
      <c r="V215" s="75" t="str">
        <f>IF(ISERROR(FIND('112'!$M$9,G215,1)),"",IF((AND(RIGHT(G215,2)=RIGHT('112'!$M$9,2),B215&lt;'112'!$K$9,$O215='112'!$I$6)),"x",""))</f>
        <v/>
      </c>
      <c r="W215" s="75" t="str">
        <f>IF(AND('341-CT'!$H$9=H215,OR(LEFT(N215,3)=$W$7,LEFT(O215,3)=$W$7)),"x","")</f>
        <v/>
      </c>
      <c r="X215" s="75" t="str">
        <f>IF(OR(TH!N215=TH!$X$7,O215=TH!$X$7),"x","")</f>
        <v/>
      </c>
      <c r="Y215" s="75" t="str">
        <f>IF(AND(OR(N215="131",O215="131"),H215='131-CT'!$H$9),"x","")</f>
        <v/>
      </c>
      <c r="Z215" s="75"/>
      <c r="AA215" s="75" t="str">
        <f>IF(AND(MONTH(E215)='IN-NX'!$J$5,'IN-NX'!$D$7=D215),"x","")</f>
        <v/>
      </c>
      <c r="AB215" s="75" t="str">
        <f>IF(AND(OR(LEFT(TH!N215,2)="15",LEFT(TH!O215,2)="15"),LEFT(TH!O215,3)&lt;&gt;"111",'152-CT'!$J$8=TH!F215),"x","")</f>
        <v/>
      </c>
      <c r="AC215" s="75" t="str">
        <f>IF(AND(OR(LEFT(TH!N215,2)="15",LEFT(TH!O215,2)="15"),TK!$E$7=TH!F215),"x","")</f>
        <v/>
      </c>
      <c r="AD215" s="75" t="str">
        <f>IF(AND(N215="1521",MONTH(C215)='BK-NL'!$M$11),"x","")</f>
        <v/>
      </c>
    </row>
    <row r="216" spans="1:30" ht="16.5" customHeight="1">
      <c r="A216" s="309" t="str">
        <f>IF(B216&lt;&gt;"",IF(AND(B216='IN-TC'!$S$4,OR(TH!N216="1111",TH!O216="1111")),TH!D216,""),"")</f>
        <v/>
      </c>
      <c r="B216" s="1242">
        <f t="shared" si="29"/>
        <v>9</v>
      </c>
      <c r="C216" s="666">
        <v>43008</v>
      </c>
      <c r="D216" s="666" t="s">
        <v>530</v>
      </c>
      <c r="E216" s="666">
        <f t="shared" si="34"/>
        <v>43008</v>
      </c>
      <c r="F216" s="905" t="s">
        <v>733</v>
      </c>
      <c r="G216" s="250"/>
      <c r="H216" s="294"/>
      <c r="I216" s="373"/>
      <c r="J216" s="379"/>
      <c r="K216" s="373"/>
      <c r="L216" s="379"/>
      <c r="M216" s="670">
        <f>ROUND(G206*$G215,0)</f>
        <v>547920</v>
      </c>
      <c r="N216" s="671" t="s">
        <v>540</v>
      </c>
      <c r="O216" s="671" t="s">
        <v>543</v>
      </c>
      <c r="P216" s="75" t="str">
        <f>IF(AND('331-CT'!$E$7=TH!H216,OR(N216="331",O216="331")),"x","")</f>
        <v/>
      </c>
      <c r="Q216" s="75" t="str">
        <f>IF(AND(B216='111'!$L$11,OR($N216=$Q$7,$O216=$Q$7)),"x","")</f>
        <v/>
      </c>
      <c r="R216" s="75" t="str">
        <f>IF(AND($N216=$Q$7,$B216&lt;'111'!$L$11),"x","")</f>
        <v/>
      </c>
      <c r="S216" s="75" t="str">
        <f>IF(AND($O216=$Q$7,$B216&lt;'111'!$L$11),"x","")</f>
        <v/>
      </c>
      <c r="T216" s="75" t="str">
        <f>IF(ISERROR(FIND('112'!$M$9,G216,1)),"",IF((AND(FIND('112'!$M$9,G216,1)&gt;=1,B216='112'!$K$9,OR($N216='112'!$I$6,$O216='112'!$I$6))),"x",""))</f>
        <v/>
      </c>
      <c r="U216" s="75" t="str">
        <f>IF(ISERROR(FIND('112'!$M$9,G216,1)),"",IF((AND(LEFT(G216,2)=LEFT('112'!$M$9,2),B216&lt;'112'!$K$9,$N216='112'!$I$6)),"x",""))</f>
        <v/>
      </c>
      <c r="V216" s="75" t="str">
        <f>IF(ISERROR(FIND('112'!$M$9,G216,1)),"",IF((AND(RIGHT(G216,2)=RIGHT('112'!$M$9,2),B216&lt;'112'!$K$9,$O216='112'!$I$6)),"x",""))</f>
        <v/>
      </c>
      <c r="W216" s="75" t="str">
        <f>IF(AND('341-CT'!$H$9=H216,OR(LEFT(N216,3)=$W$7,LEFT(O216,3)=$W$7)),"x","")</f>
        <v/>
      </c>
      <c r="X216" s="75" t="str">
        <f>IF(OR(TH!N216=TH!$X$7,O216=TH!$X$7),"x","")</f>
        <v/>
      </c>
      <c r="Y216" s="75" t="str">
        <f>IF(AND(OR(N216="131",O216="131"),H216='131-CT'!$H$9),"x","")</f>
        <v/>
      </c>
      <c r="Z216" s="75"/>
      <c r="AA216" s="75" t="str">
        <f>IF(AND(MONTH(E216)='IN-NX'!$J$5,'IN-NX'!$D$7=D216),"x","")</f>
        <v/>
      </c>
      <c r="AB216" s="75" t="str">
        <f>IF(AND(OR(LEFT(TH!N216,2)="15",LEFT(TH!O216,2)="15"),LEFT(TH!O216,3)&lt;&gt;"111",'152-CT'!$J$8=TH!F216),"x","")</f>
        <v/>
      </c>
      <c r="AC216" s="75" t="str">
        <f>IF(AND(OR(LEFT(TH!N216,2)="15",LEFT(TH!O216,2)="15"),TK!$E$7=TH!F216),"x","")</f>
        <v/>
      </c>
      <c r="AD216" s="75" t="str">
        <f>IF(AND(N216="1521",MONTH(C216)='BK-NL'!$M$11),"x","")</f>
        <v/>
      </c>
    </row>
    <row r="217" spans="1:30" ht="16.5" customHeight="1">
      <c r="A217" s="309" t="str">
        <f>IF(B217&lt;&gt;"",IF(AND(B217='IN-TC'!$S$4,OR(TH!N217="1111",TH!O217="1111")),TH!D217,""),"")</f>
        <v/>
      </c>
      <c r="B217" s="1242">
        <f t="shared" si="29"/>
        <v>9</v>
      </c>
      <c r="C217" s="666">
        <v>43008</v>
      </c>
      <c r="D217" s="666" t="s">
        <v>530</v>
      </c>
      <c r="E217" s="666">
        <f t="shared" si="34"/>
        <v>43008</v>
      </c>
      <c r="F217" s="905" t="s">
        <v>734</v>
      </c>
      <c r="G217" s="739" t="s">
        <v>535</v>
      </c>
      <c r="H217" s="871"/>
      <c r="I217" s="374"/>
      <c r="J217" s="380"/>
      <c r="K217" s="374"/>
      <c r="L217" s="380"/>
      <c r="M217" s="670">
        <f>M215</f>
        <v>420110</v>
      </c>
      <c r="N217" s="671" t="s">
        <v>539</v>
      </c>
      <c r="O217" s="671" t="s">
        <v>543</v>
      </c>
      <c r="P217" s="75" t="str">
        <f>IF(AND('331-CT'!$E$7=TH!H217,OR(N217="331",O217="331")),"x","")</f>
        <v/>
      </c>
      <c r="Q217" s="75" t="str">
        <f>IF(AND(B217='111'!$L$11,OR($N217=$Q$7,$O217=$Q$7)),"x","")</f>
        <v/>
      </c>
      <c r="R217" s="75" t="str">
        <f>IF(AND($N217=$Q$7,$B217&lt;'111'!$L$11),"x","")</f>
        <v/>
      </c>
      <c r="S217" s="75" t="str">
        <f>IF(AND($O217=$Q$7,$B217&lt;'111'!$L$11),"x","")</f>
        <v/>
      </c>
      <c r="T217" s="75" t="str">
        <f>IF(ISERROR(FIND('112'!$M$9,G217,1)),"",IF((AND(FIND('112'!$M$9,G217,1)&gt;=1,B217='112'!$K$9,OR($N217='112'!$I$6,$O217='112'!$I$6))),"x",""))</f>
        <v/>
      </c>
      <c r="U217" s="75" t="str">
        <f>IF(ISERROR(FIND('112'!$M$9,G217,1)),"",IF((AND(LEFT(G217,2)=LEFT('112'!$M$9,2),B217&lt;'112'!$K$9,$N217='112'!$I$6)),"x",""))</f>
        <v/>
      </c>
      <c r="V217" s="75" t="str">
        <f>IF(ISERROR(FIND('112'!$M$9,G217,1)),"",IF((AND(RIGHT(G217,2)=RIGHT('112'!$M$9,2),B217&lt;'112'!$K$9,$O217='112'!$I$6)),"x",""))</f>
        <v/>
      </c>
      <c r="W217" s="75" t="str">
        <f>IF(AND('341-CT'!$H$9=H217,OR(LEFT(N217,3)=$W$7,LEFT(O217,3)=$W$7)),"x","")</f>
        <v/>
      </c>
      <c r="X217" s="75" t="str">
        <f>IF(OR(TH!N217=TH!$X$7,O217=TH!$X$7),"x","")</f>
        <v/>
      </c>
      <c r="Y217" s="75" t="str">
        <f>IF(AND(OR(N217="131",O217="131"),H217='131-CT'!$H$9),"x","")</f>
        <v/>
      </c>
      <c r="Z217" s="75"/>
      <c r="AA217" s="75" t="str">
        <f>IF(AND(MONTH(E217)='IN-NX'!$J$5,'IN-NX'!$D$7=D217),"x","")</f>
        <v/>
      </c>
      <c r="AB217" s="75" t="str">
        <f>IF(AND(OR(LEFT(TH!N217,2)="15",LEFT(TH!O217,2)="15"),LEFT(TH!O217,3)&lt;&gt;"111",'152-CT'!$J$8=TH!F217),"x","")</f>
        <v/>
      </c>
      <c r="AC217" s="75" t="str">
        <f>IF(AND(OR(LEFT(TH!N217,2)="15",LEFT(TH!O217,2)="15"),TK!$E$7=TH!F217),"x","")</f>
        <v/>
      </c>
      <c r="AD217" s="75" t="str">
        <f>IF(AND(N217="1521",MONTH(C217)='BK-NL'!$M$11),"x","")</f>
        <v/>
      </c>
    </row>
    <row r="218" spans="1:30" ht="16.5" customHeight="1">
      <c r="A218" s="309" t="str">
        <f>IF(B218&lt;&gt;"",IF(AND(B218='IN-TC'!$S$4,OR(TH!N218="1111",TH!O218="1111")),TH!D218,""),"")</f>
        <v/>
      </c>
      <c r="B218" s="1242">
        <f t="shared" si="29"/>
        <v>9</v>
      </c>
      <c r="C218" s="666">
        <v>43008</v>
      </c>
      <c r="D218" s="666" t="s">
        <v>530</v>
      </c>
      <c r="E218" s="666">
        <f t="shared" si="34"/>
        <v>43008</v>
      </c>
      <c r="F218" s="905" t="s">
        <v>735</v>
      </c>
      <c r="G218" s="250"/>
      <c r="H218" s="294"/>
      <c r="I218" s="373"/>
      <c r="J218" s="379"/>
      <c r="K218" s="373"/>
      <c r="L218" s="379"/>
      <c r="M218" s="670">
        <f>M216</f>
        <v>547920</v>
      </c>
      <c r="N218" s="671" t="s">
        <v>272</v>
      </c>
      <c r="O218" s="671" t="s">
        <v>543</v>
      </c>
      <c r="P218" s="75" t="str">
        <f>IF(AND('331-CT'!$E$7=TH!H218,OR(N218="331",O218="331")),"x","")</f>
        <v/>
      </c>
      <c r="Q218" s="75" t="str">
        <f>IF(AND(B218='111'!$L$11,OR($N218=$Q$7,$O218=$Q$7)),"x","")</f>
        <v/>
      </c>
      <c r="R218" s="75" t="str">
        <f>IF(AND($N218=$Q$7,$B218&lt;'111'!$L$11),"x","")</f>
        <v/>
      </c>
      <c r="S218" s="75" t="str">
        <f>IF(AND($O218=$Q$7,$B218&lt;'111'!$L$11),"x","")</f>
        <v/>
      </c>
      <c r="T218" s="75" t="str">
        <f>IF(ISERROR(FIND('112'!$M$9,G218,1)),"",IF((AND(FIND('112'!$M$9,G218,1)&gt;=1,B218='112'!$K$9,OR($N218='112'!$I$6,$O218='112'!$I$6))),"x",""))</f>
        <v/>
      </c>
      <c r="U218" s="75" t="str">
        <f>IF(ISERROR(FIND('112'!$M$9,G218,1)),"",IF((AND(LEFT(G218,2)=LEFT('112'!$M$9,2),B218&lt;'112'!$K$9,$N218='112'!$I$6)),"x",""))</f>
        <v/>
      </c>
      <c r="V218" s="75" t="str">
        <f>IF(ISERROR(FIND('112'!$M$9,G218,1)),"",IF((AND(RIGHT(G218,2)=RIGHT('112'!$M$9,2),B218&lt;'112'!$K$9,$O218='112'!$I$6)),"x",""))</f>
        <v/>
      </c>
      <c r="W218" s="75" t="str">
        <f>IF(AND('341-CT'!$H$9=H218,OR(LEFT(N218,3)=$W$7,LEFT(O218,3)=$W$7)),"x","")</f>
        <v/>
      </c>
      <c r="X218" s="75" t="str">
        <f>IF(OR(TH!N218=TH!$X$7,O218=TH!$X$7),"x","")</f>
        <v/>
      </c>
      <c r="Y218" s="75" t="str">
        <f>IF(AND(OR(N218="131",O218="131"),H218='131-CT'!$H$9),"x","")</f>
        <v/>
      </c>
      <c r="Z218" s="75"/>
      <c r="AA218" s="75" t="str">
        <f>IF(AND(MONTH(E218)='IN-NX'!$J$5,'IN-NX'!$D$7=D218),"x","")</f>
        <v/>
      </c>
      <c r="AB218" s="75" t="str">
        <f>IF(AND(OR(LEFT(TH!N218,2)="15",LEFT(TH!O218,2)="15"),LEFT(TH!O218,3)&lt;&gt;"111",'152-CT'!$J$8=TH!F218),"x","")</f>
        <v/>
      </c>
      <c r="AC218" s="75" t="str">
        <f>IF(AND(OR(LEFT(TH!N218,2)="15",LEFT(TH!O218,2)="15"),TK!$E$7=TH!F218),"x","")</f>
        <v/>
      </c>
      <c r="AD218" s="75" t="str">
        <f>IF(AND(N218="1521",MONTH(C218)='BK-NL'!$M$11),"x","")</f>
        <v/>
      </c>
    </row>
    <row r="219" spans="1:30" ht="16.5" customHeight="1">
      <c r="A219" s="309" t="str">
        <f>IF(B219&lt;&gt;"",IF(AND(B219='IN-TC'!$S$4,OR(TH!N219="1111",TH!O219="1111")),TH!D219,""),"")</f>
        <v/>
      </c>
      <c r="B219" s="1242">
        <f t="shared" ref="B219:B220" si="35">IF(C219&lt;&gt;"",MONTH(C219),"")</f>
        <v>9</v>
      </c>
      <c r="C219" s="666">
        <v>43008</v>
      </c>
      <c r="D219" s="666" t="s">
        <v>530</v>
      </c>
      <c r="E219" s="666">
        <f t="shared" ref="E219:E220" si="36">C219</f>
        <v>43008</v>
      </c>
      <c r="F219" s="905" t="s">
        <v>2686</v>
      </c>
      <c r="G219" s="739" t="s">
        <v>2688</v>
      </c>
      <c r="H219" s="871"/>
      <c r="I219" s="374"/>
      <c r="J219" s="380"/>
      <c r="K219" s="374"/>
      <c r="L219" s="380"/>
      <c r="M219" s="670">
        <f>ROUND(G205*$G219,0)</f>
        <v>210055</v>
      </c>
      <c r="N219" s="671" t="s">
        <v>539</v>
      </c>
      <c r="O219" s="671" t="s">
        <v>19</v>
      </c>
      <c r="P219" s="75" t="str">
        <f>IF(AND('331-CT'!$E$7=TH!H219,OR(N219="331",O219="331")),"x","")</f>
        <v/>
      </c>
      <c r="Q219" s="75" t="str">
        <f>IF(AND(B219='111'!$L$11,OR($N219=$Q$7,$O219=$Q$7)),"x","")</f>
        <v/>
      </c>
      <c r="R219" s="75" t="str">
        <f>IF(AND($N219=$Q$7,$B219&lt;'111'!$L$11),"x","")</f>
        <v/>
      </c>
      <c r="S219" s="75" t="str">
        <f>IF(AND($O219=$Q$7,$B219&lt;'111'!$L$11),"x","")</f>
        <v/>
      </c>
      <c r="T219" s="75" t="str">
        <f>IF(ISERROR(FIND('112'!$M$9,G219,1)),"",IF((AND(FIND('112'!$M$9,G219,1)&gt;=1,B219='112'!$K$9,OR($N219='112'!$I$6,$O219='112'!$I$6))),"x",""))</f>
        <v/>
      </c>
      <c r="U219" s="75" t="str">
        <f>IF(ISERROR(FIND('112'!$M$9,G219,1)),"",IF((AND(LEFT(G219,2)=LEFT('112'!$M$9,2),B219&lt;'112'!$K$9,$N219='112'!$I$6)),"x",""))</f>
        <v/>
      </c>
      <c r="V219" s="75" t="str">
        <f>IF(ISERROR(FIND('112'!$M$9,G219,1)),"",IF((AND(RIGHT(G219,2)=RIGHT('112'!$M$9,2),B219&lt;'112'!$K$9,$O219='112'!$I$6)),"x",""))</f>
        <v/>
      </c>
      <c r="W219" s="75" t="str">
        <f>IF(AND('341-CT'!$H$9=H219,OR(LEFT(N219,3)=$W$7,LEFT(O219,3)=$W$7)),"x","")</f>
        <v/>
      </c>
      <c r="X219" s="75" t="str">
        <f>IF(OR(TH!N219=TH!$X$7,O219=TH!$X$7),"x","")</f>
        <v/>
      </c>
      <c r="Y219" s="75" t="str">
        <f>IF(AND(OR(N219="131",O219="131"),H219='131-CT'!$H$9),"x","")</f>
        <v/>
      </c>
      <c r="Z219" s="75"/>
      <c r="AA219" s="75" t="str">
        <f>IF(AND(MONTH(E219)='IN-NX'!$J$5,'IN-NX'!$D$7=D219),"x","")</f>
        <v/>
      </c>
      <c r="AB219" s="75" t="str">
        <f>IF(AND(OR(LEFT(TH!N219,2)="15",LEFT(TH!O219,2)="15"),LEFT(TH!O219,3)&lt;&gt;"111",'152-CT'!$J$8=TH!F219),"x","")</f>
        <v/>
      </c>
      <c r="AC219" s="75" t="str">
        <f>IF(AND(OR(LEFT(TH!N219,2)="15",LEFT(TH!O219,2)="15"),TK!$E$7=TH!F219),"x","")</f>
        <v/>
      </c>
      <c r="AD219" s="75" t="str">
        <f>IF(AND(N219="1521",MONTH(C219)='BK-NL'!$M$11),"x","")</f>
        <v/>
      </c>
    </row>
    <row r="220" spans="1:30" ht="16.5" customHeight="1">
      <c r="A220" s="309" t="str">
        <f>IF(B220&lt;&gt;"",IF(AND(B220='IN-TC'!$S$4,OR(TH!N220="1111",TH!O220="1111")),TH!D220,""),"")</f>
        <v/>
      </c>
      <c r="B220" s="1242">
        <f t="shared" si="35"/>
        <v>9</v>
      </c>
      <c r="C220" s="666">
        <v>43008</v>
      </c>
      <c r="D220" s="666" t="s">
        <v>530</v>
      </c>
      <c r="E220" s="666">
        <f t="shared" si="36"/>
        <v>43008</v>
      </c>
      <c r="F220" s="905" t="s">
        <v>2687</v>
      </c>
      <c r="G220" s="250"/>
      <c r="H220" s="294"/>
      <c r="I220" s="373"/>
      <c r="J220" s="379"/>
      <c r="K220" s="373"/>
      <c r="L220" s="379"/>
      <c r="M220" s="670">
        <f>ROUND(G206*$G219,0)</f>
        <v>273960</v>
      </c>
      <c r="N220" s="671" t="s">
        <v>272</v>
      </c>
      <c r="O220" s="671" t="s">
        <v>19</v>
      </c>
      <c r="P220" s="75" t="str">
        <f>IF(AND('331-CT'!$E$7=TH!H220,OR(N220="331",O220="331")),"x","")</f>
        <v/>
      </c>
      <c r="Q220" s="75" t="str">
        <f>IF(AND(B220='111'!$L$11,OR($N220=$Q$7,$O220=$Q$7)),"x","")</f>
        <v/>
      </c>
      <c r="R220" s="75" t="str">
        <f>IF(AND($N220=$Q$7,$B220&lt;'111'!$L$11),"x","")</f>
        <v/>
      </c>
      <c r="S220" s="75" t="str">
        <f>IF(AND($O220=$Q$7,$B220&lt;'111'!$L$11),"x","")</f>
        <v/>
      </c>
      <c r="T220" s="75" t="str">
        <f>IF(ISERROR(FIND('112'!$M$9,G220,1)),"",IF((AND(FIND('112'!$M$9,G220,1)&gt;=1,B220='112'!$K$9,OR($N220='112'!$I$6,$O220='112'!$I$6))),"x",""))</f>
        <v/>
      </c>
      <c r="U220" s="75" t="str">
        <f>IF(ISERROR(FIND('112'!$M$9,G220,1)),"",IF((AND(LEFT(G220,2)=LEFT('112'!$M$9,2),B220&lt;'112'!$K$9,$N220='112'!$I$6)),"x",""))</f>
        <v/>
      </c>
      <c r="V220" s="75" t="str">
        <f>IF(ISERROR(FIND('112'!$M$9,G220,1)),"",IF((AND(RIGHT(G220,2)=RIGHT('112'!$M$9,2),B220&lt;'112'!$K$9,$O220='112'!$I$6)),"x",""))</f>
        <v/>
      </c>
      <c r="W220" s="75" t="str">
        <f>IF(AND('341-CT'!$H$9=H220,OR(LEFT(N220,3)=$W$7,LEFT(O220,3)=$W$7)),"x","")</f>
        <v/>
      </c>
      <c r="X220" s="75" t="str">
        <f>IF(OR(TH!N220=TH!$X$7,O220=TH!$X$7),"x","")</f>
        <v/>
      </c>
      <c r="Y220" s="75" t="str">
        <f>IF(AND(OR(N220="131",O220="131"),H220='131-CT'!$H$9),"x","")</f>
        <v/>
      </c>
      <c r="Z220" s="75"/>
      <c r="AA220" s="75" t="str">
        <f>IF(AND(MONTH(E220)='IN-NX'!$J$5,'IN-NX'!$D$7=D220),"x","")</f>
        <v/>
      </c>
      <c r="AB220" s="75" t="str">
        <f>IF(AND(OR(LEFT(TH!N220,2)="15",LEFT(TH!O220,2)="15"),LEFT(TH!O220,3)&lt;&gt;"111",'152-CT'!$J$8=TH!F220),"x","")</f>
        <v/>
      </c>
      <c r="AC220" s="75" t="str">
        <f>IF(AND(OR(LEFT(TH!N220,2)="15",LEFT(TH!O220,2)="15"),TK!$E$7=TH!F220),"x","")</f>
        <v/>
      </c>
      <c r="AD220" s="75" t="str">
        <f>IF(AND(N220="1521",MONTH(C220)='BK-NL'!$M$11),"x","")</f>
        <v/>
      </c>
    </row>
    <row r="221" spans="1:30" ht="16.5" customHeight="1">
      <c r="A221" s="309" t="str">
        <f>IF(B221&lt;&gt;"",IF(AND(B221='IN-TC'!$S$4,OR(TH!N221="1111",TH!O221="1111")),TH!D221,""),"")</f>
        <v/>
      </c>
      <c r="B221" s="1242">
        <f t="shared" ref="B221:B223" si="37">IF(C221&lt;&gt;"",MONTH(C221),"")</f>
        <v>9</v>
      </c>
      <c r="C221" s="666">
        <v>43008</v>
      </c>
      <c r="D221" s="666" t="s">
        <v>530</v>
      </c>
      <c r="E221" s="666">
        <f t="shared" ref="E221:E223" si="38">C221</f>
        <v>43008</v>
      </c>
      <c r="F221" s="905" t="s">
        <v>2672</v>
      </c>
      <c r="G221" s="250"/>
      <c r="H221" s="294"/>
      <c r="I221" s="373"/>
      <c r="J221" s="379"/>
      <c r="K221" s="373"/>
      <c r="L221" s="379"/>
      <c r="M221" s="670">
        <v>363495</v>
      </c>
      <c r="N221" s="671" t="s">
        <v>105</v>
      </c>
      <c r="O221" s="671" t="s">
        <v>541</v>
      </c>
      <c r="P221" s="75" t="str">
        <f>IF(AND('331-CT'!$E$7=TH!H221,OR(N221="331",O221="331")),"x","")</f>
        <v/>
      </c>
      <c r="Q221" s="75" t="str">
        <f>IF(AND(B221='111'!$L$11,OR($N221=$Q$7,$O221=$Q$7)),"x","")</f>
        <v/>
      </c>
      <c r="R221" s="75" t="str">
        <f>IF(AND($N221=$Q$7,$B221&lt;'111'!$L$11),"x","")</f>
        <v/>
      </c>
      <c r="S221" s="75" t="str">
        <f>IF(AND($O221=$Q$7,$B221&lt;'111'!$L$11),"x","")</f>
        <v/>
      </c>
      <c r="T221" s="75" t="str">
        <f>IF(ISERROR(FIND('112'!$M$9,G221,1)),"",IF((AND(FIND('112'!$M$9,G221,1)&gt;=1,B221='112'!$K$9,OR($N221='112'!$I$6,$O221='112'!$I$6))),"x",""))</f>
        <v/>
      </c>
      <c r="U221" s="75" t="str">
        <f>IF(ISERROR(FIND('112'!$M$9,G221,1)),"",IF((AND(LEFT(G221,2)=LEFT('112'!$M$9,2),B221&lt;'112'!$K$9,$N221='112'!$I$6)),"x",""))</f>
        <v/>
      </c>
      <c r="V221" s="75" t="str">
        <f>IF(ISERROR(FIND('112'!$M$9,G221,1)),"",IF((AND(RIGHT(G221,2)=RIGHT('112'!$M$9,2),B221&lt;'112'!$K$9,$O221='112'!$I$6)),"x",""))</f>
        <v/>
      </c>
      <c r="W221" s="75" t="str">
        <f>IF(AND('341-CT'!$H$9=H221,OR(LEFT(N221,3)=$W$7,LEFT(O221,3)=$W$7)),"x","")</f>
        <v/>
      </c>
      <c r="X221" s="75" t="str">
        <f>IF(OR(TH!N221=TH!$X$7,O221=TH!$X$7),"x","")</f>
        <v/>
      </c>
      <c r="Y221" s="75" t="str">
        <f>IF(AND(OR(N221="131",O221="131"),H221='131-CT'!$H$9),"x","")</f>
        <v/>
      </c>
      <c r="Z221" s="75"/>
      <c r="AA221" s="75" t="str">
        <f>IF(AND(MONTH(E221)='IN-NX'!$J$5,'IN-NX'!$D$7=D221),"x","")</f>
        <v/>
      </c>
      <c r="AB221" s="75" t="str">
        <f>IF(AND(OR(LEFT(TH!N221,2)="15",LEFT(TH!O221,2)="15"),LEFT(TH!O221,3)&lt;&gt;"111",'152-CT'!$J$8=TH!F221),"x","")</f>
        <v/>
      </c>
      <c r="AC221" s="75" t="str">
        <f>IF(AND(OR(LEFT(TH!N221,2)="15",LEFT(TH!O221,2)="15"),TK!$E$7=TH!F221),"x","")</f>
        <v/>
      </c>
      <c r="AD221" s="75" t="str">
        <f>IF(AND(N221="1521",MONTH(C221)='BK-NL'!$M$11),"x","")</f>
        <v/>
      </c>
    </row>
    <row r="222" spans="1:30" ht="16.5" customHeight="1">
      <c r="A222" s="309" t="str">
        <f>IF(B222&lt;&gt;"",IF(AND(B222='IN-TC'!$S$4,OR(TH!N222="1111",TH!O222="1111")),TH!D222,""),"")</f>
        <v/>
      </c>
      <c r="B222" s="1242">
        <f t="shared" si="37"/>
        <v>9</v>
      </c>
      <c r="C222" s="666">
        <v>43008</v>
      </c>
      <c r="D222" s="666" t="s">
        <v>530</v>
      </c>
      <c r="E222" s="666">
        <f t="shared" si="38"/>
        <v>43008</v>
      </c>
      <c r="F222" s="905" t="s">
        <v>2672</v>
      </c>
      <c r="G222" s="250"/>
      <c r="H222" s="294"/>
      <c r="I222" s="373"/>
      <c r="J222" s="379"/>
      <c r="K222" s="373"/>
      <c r="L222" s="379"/>
      <c r="M222" s="670">
        <v>26924</v>
      </c>
      <c r="N222" s="671" t="s">
        <v>105</v>
      </c>
      <c r="O222" s="671" t="s">
        <v>542</v>
      </c>
      <c r="P222" s="75" t="str">
        <f>IF(AND('331-CT'!$E$7=TH!H222,OR(N222="331",O222="331")),"x","")</f>
        <v/>
      </c>
      <c r="Q222" s="75" t="str">
        <f>IF(AND(B222='111'!$L$11,OR($N222=$Q$7,$O222=$Q$7)),"x","")</f>
        <v/>
      </c>
      <c r="R222" s="75" t="str">
        <f>IF(AND($N222=$Q$7,$B222&lt;'111'!$L$11),"x","")</f>
        <v/>
      </c>
      <c r="S222" s="75" t="str">
        <f>IF(AND($O222=$Q$7,$B222&lt;'111'!$L$11),"x","")</f>
        <v/>
      </c>
      <c r="T222" s="75" t="str">
        <f>IF(ISERROR(FIND('112'!$M$9,G222,1)),"",IF((AND(FIND('112'!$M$9,G222,1)&gt;=1,B222='112'!$K$9,OR($N222='112'!$I$6,$O222='112'!$I$6))),"x",""))</f>
        <v/>
      </c>
      <c r="U222" s="75" t="str">
        <f>IF(ISERROR(FIND('112'!$M$9,G222,1)),"",IF((AND(LEFT(G222,2)=LEFT('112'!$M$9,2),B222&lt;'112'!$K$9,$N222='112'!$I$6)),"x",""))</f>
        <v/>
      </c>
      <c r="V222" s="75" t="str">
        <f>IF(ISERROR(FIND('112'!$M$9,G222,1)),"",IF((AND(RIGHT(G222,2)=RIGHT('112'!$M$9,2),B222&lt;'112'!$K$9,$O222='112'!$I$6)),"x",""))</f>
        <v/>
      </c>
      <c r="W222" s="75" t="str">
        <f>IF(AND('341-CT'!$H$9=H222,OR(LEFT(N222,3)=$W$7,LEFT(O222,3)=$W$7)),"x","")</f>
        <v/>
      </c>
      <c r="X222" s="75" t="str">
        <f>IF(OR(TH!N222=TH!$X$7,O222=TH!$X$7),"x","")</f>
        <v/>
      </c>
      <c r="Y222" s="75" t="str">
        <f>IF(AND(OR(N222="131",O222="131"),H222='131-CT'!$H$9),"x","")</f>
        <v/>
      </c>
      <c r="Z222" s="75"/>
      <c r="AA222" s="75" t="str">
        <f>IF(AND(MONTH(E222)='IN-NX'!$J$5,'IN-NX'!$D$7=D222),"x","")</f>
        <v/>
      </c>
      <c r="AB222" s="75" t="str">
        <f>IF(AND(OR(LEFT(TH!N222,2)="15",LEFT(TH!O222,2)="15"),LEFT(TH!O222,3)&lt;&gt;"111",'152-CT'!$J$8=TH!F222),"x","")</f>
        <v/>
      </c>
      <c r="AC222" s="75" t="str">
        <f>IF(AND(OR(LEFT(TH!N222,2)="15",LEFT(TH!O222,2)="15"),TK!$E$7=TH!F222),"x","")</f>
        <v/>
      </c>
      <c r="AD222" s="75" t="str">
        <f>IF(AND(N222="1521",MONTH(C222)='BK-NL'!$M$11),"x","")</f>
        <v/>
      </c>
    </row>
    <row r="223" spans="1:30" ht="16.5" customHeight="1">
      <c r="A223" s="309" t="str">
        <f>IF(B223&lt;&gt;"",IF(AND(B223='IN-TC'!$S$4,OR(TH!N223="1111",TH!O223="1111")),TH!D223,""),"")</f>
        <v/>
      </c>
      <c r="B223" s="1242">
        <f t="shared" si="37"/>
        <v>9</v>
      </c>
      <c r="C223" s="666">
        <v>43008</v>
      </c>
      <c r="D223" s="666" t="s">
        <v>530</v>
      </c>
      <c r="E223" s="666">
        <f t="shared" si="38"/>
        <v>43008</v>
      </c>
      <c r="F223" s="905" t="s">
        <v>2672</v>
      </c>
      <c r="G223" s="250"/>
      <c r="H223" s="294"/>
      <c r="I223" s="373"/>
      <c r="J223" s="379"/>
      <c r="K223" s="373"/>
      <c r="L223" s="379"/>
      <c r="M223" s="670">
        <v>28509</v>
      </c>
      <c r="N223" s="671" t="s">
        <v>105</v>
      </c>
      <c r="O223" s="671" t="s">
        <v>543</v>
      </c>
      <c r="P223" s="75" t="str">
        <f>IF(AND('331-CT'!$E$7=TH!H223,OR(N223="331",O223="331")),"x","")</f>
        <v/>
      </c>
      <c r="Q223" s="75" t="str">
        <f>IF(AND(B223='111'!$L$11,OR($N223=$Q$7,$O223=$Q$7)),"x","")</f>
        <v/>
      </c>
      <c r="R223" s="75" t="str">
        <f>IF(AND($N223=$Q$7,$B223&lt;'111'!$L$11),"x","")</f>
        <v/>
      </c>
      <c r="S223" s="75" t="str">
        <f>IF(AND($O223=$Q$7,$B223&lt;'111'!$L$11),"x","")</f>
        <v/>
      </c>
      <c r="T223" s="75" t="str">
        <f>IF(ISERROR(FIND('112'!$M$9,G223,1)),"",IF((AND(FIND('112'!$M$9,G223,1)&gt;=1,B223='112'!$K$9,OR($N223='112'!$I$6,$O223='112'!$I$6))),"x",""))</f>
        <v/>
      </c>
      <c r="U223" s="75" t="str">
        <f>IF(ISERROR(FIND('112'!$M$9,G223,1)),"",IF((AND(LEFT(G223,2)=LEFT('112'!$M$9,2),B223&lt;'112'!$K$9,$N223='112'!$I$6)),"x",""))</f>
        <v/>
      </c>
      <c r="V223" s="75" t="str">
        <f>IF(ISERROR(FIND('112'!$M$9,G223,1)),"",IF((AND(RIGHT(G223,2)=RIGHT('112'!$M$9,2),B223&lt;'112'!$K$9,$O223='112'!$I$6)),"x",""))</f>
        <v/>
      </c>
      <c r="W223" s="75" t="str">
        <f>IF(AND('341-CT'!$H$9=H223,OR(LEFT(N223,3)=$W$7,LEFT(O223,3)=$W$7)),"x","")</f>
        <v/>
      </c>
      <c r="X223" s="75" t="str">
        <f>IF(OR(TH!N223=TH!$X$7,O223=TH!$X$7),"x","")</f>
        <v/>
      </c>
      <c r="Y223" s="75" t="str">
        <f>IF(AND(OR(N223="131",O223="131"),H223='131-CT'!$H$9),"x","")</f>
        <v/>
      </c>
      <c r="Z223" s="75"/>
      <c r="AA223" s="75" t="str">
        <f>IF(AND(MONTH(E223)='IN-NX'!$J$5,'IN-NX'!$D$7=D223),"x","")</f>
        <v/>
      </c>
      <c r="AB223" s="75" t="str">
        <f>IF(AND(OR(LEFT(TH!N223,2)="15",LEFT(TH!O223,2)="15"),LEFT(TH!O223,3)&lt;&gt;"111",'152-CT'!$J$8=TH!F223),"x","")</f>
        <v/>
      </c>
      <c r="AC223" s="75" t="str">
        <f>IF(AND(OR(LEFT(TH!N223,2)="15",LEFT(TH!O223,2)="15"),TK!$E$7=TH!F223),"x","")</f>
        <v/>
      </c>
      <c r="AD223" s="75" t="str">
        <f>IF(AND(N223="1521",MONTH(C223)='BK-NL'!$M$11),"x","")</f>
        <v/>
      </c>
    </row>
    <row r="224" spans="1:30" ht="16.5" customHeight="1">
      <c r="A224" s="309" t="str">
        <f>IF(B224&lt;&gt;"",IF(AND(B224='IN-TC'!$S$4,OR(TH!N224="1111",TH!O224="1111")),TH!D224,""),"")</f>
        <v/>
      </c>
      <c r="B224" s="1244">
        <f t="shared" si="29"/>
        <v>10</v>
      </c>
      <c r="C224" s="666">
        <v>43039</v>
      </c>
      <c r="D224" s="666" t="s">
        <v>530</v>
      </c>
      <c r="E224" s="666">
        <f t="shared" si="34"/>
        <v>43039</v>
      </c>
      <c r="F224" s="905" t="s">
        <v>722</v>
      </c>
      <c r="G224" s="250">
        <v>42011000</v>
      </c>
      <c r="H224" s="294"/>
      <c r="I224" s="373"/>
      <c r="J224" s="379"/>
      <c r="K224" s="373"/>
      <c r="L224" s="379"/>
      <c r="M224" s="670">
        <v>43833962</v>
      </c>
      <c r="N224" s="671" t="s">
        <v>539</v>
      </c>
      <c r="O224" s="671" t="s">
        <v>540</v>
      </c>
      <c r="P224" s="75" t="str">
        <f>IF(AND('331-CT'!$E$7=TH!H224,OR(N224="331",O224="331")),"x","")</f>
        <v/>
      </c>
      <c r="Q224" s="75" t="str">
        <f>IF(AND(B224='111'!$L$11,OR($N224=$Q$7,$O224=$Q$7)),"x","")</f>
        <v/>
      </c>
      <c r="R224" s="75" t="str">
        <f>IF(AND($N224=$Q$7,$B224&lt;'111'!$L$11),"x","")</f>
        <v/>
      </c>
      <c r="S224" s="75" t="str">
        <f>IF(AND($O224=$Q$7,$B224&lt;'111'!$L$11),"x","")</f>
        <v/>
      </c>
      <c r="T224" s="75" t="str">
        <f>IF(ISERROR(FIND('112'!$M$9,G224,1)),"",IF((AND(FIND('112'!$M$9,G224,1)&gt;=1,B224='112'!$K$9,OR($N224='112'!$I$6,$O224='112'!$I$6))),"x",""))</f>
        <v/>
      </c>
      <c r="U224" s="75" t="str">
        <f>IF(ISERROR(FIND('112'!$M$9,G224,1)),"",IF((AND(LEFT(G224,2)=LEFT('112'!$M$9,2),B224&lt;'112'!$K$9,$N224='112'!$I$6)),"x",""))</f>
        <v/>
      </c>
      <c r="V224" s="75" t="str">
        <f>IF(ISERROR(FIND('112'!$M$9,G224,1)),"",IF((AND(RIGHT(G224,2)=RIGHT('112'!$M$9,2),B224&lt;'112'!$K$9,$O224='112'!$I$6)),"x",""))</f>
        <v/>
      </c>
      <c r="W224" s="75" t="str">
        <f>IF(AND('341-CT'!$H$9=H224,OR(LEFT(N224,3)=$W$7,LEFT(O224,3)=$W$7)),"x","")</f>
        <v/>
      </c>
      <c r="X224" s="75" t="str">
        <f>IF(OR(TH!N224=TH!$X$7,O224=TH!$X$7),"x","")</f>
        <v/>
      </c>
      <c r="Y224" s="75" t="str">
        <f>IF(AND(OR(N224="131",O224="131"),H224='131-CT'!$H$9),"x","")</f>
        <v/>
      </c>
      <c r="Z224" s="75"/>
      <c r="AA224" s="75" t="str">
        <f>IF(AND(MONTH(E224)='IN-NX'!$J$5,'IN-NX'!$D$7=D224),"x","")</f>
        <v/>
      </c>
      <c r="AB224" s="75" t="str">
        <f>IF(AND(OR(LEFT(TH!N224,2)="15",LEFT(TH!O224,2)="15"),LEFT(TH!O224,3)&lt;&gt;"111",'152-CT'!$J$8=TH!F224),"x","")</f>
        <v/>
      </c>
      <c r="AC224" s="75" t="str">
        <f>IF(AND(OR(LEFT(TH!N224,2)="15",LEFT(TH!O224,2)="15"),TK!$E$7=TH!F224),"x","")</f>
        <v/>
      </c>
      <c r="AD224" s="75" t="str">
        <f>IF(AND(N224="1521",MONTH(C224)='BK-NL'!$M$11),"x","")</f>
        <v/>
      </c>
    </row>
    <row r="225" spans="1:30" ht="16.5" customHeight="1">
      <c r="A225" s="309" t="str">
        <f>IF(B225&lt;&gt;"",IF(AND(B225='IN-TC'!$S$4,OR(TH!N225="1111",TH!O225="1111")),TH!D225,""),"")</f>
        <v/>
      </c>
      <c r="B225" s="1244">
        <f t="shared" si="29"/>
        <v>10</v>
      </c>
      <c r="C225" s="666">
        <v>43039</v>
      </c>
      <c r="D225" s="666" t="s">
        <v>530</v>
      </c>
      <c r="E225" s="666">
        <f t="shared" si="34"/>
        <v>43039</v>
      </c>
      <c r="F225" s="905" t="s">
        <v>723</v>
      </c>
      <c r="G225" s="250">
        <v>54792000</v>
      </c>
      <c r="H225" s="294"/>
      <c r="I225" s="373"/>
      <c r="J225" s="379"/>
      <c r="K225" s="373"/>
      <c r="L225" s="379"/>
      <c r="M225" s="670">
        <v>60642000</v>
      </c>
      <c r="N225" s="671" t="s">
        <v>272</v>
      </c>
      <c r="O225" s="671" t="s">
        <v>540</v>
      </c>
      <c r="P225" s="75" t="str">
        <f>IF(AND('331-CT'!$E$7=TH!H225,OR(N225="331",O225="331")),"x","")</f>
        <v/>
      </c>
      <c r="Q225" s="75" t="str">
        <f>IF(AND(B225='111'!$L$11,OR($N225=$Q$7,$O225=$Q$7)),"x","")</f>
        <v/>
      </c>
      <c r="R225" s="75" t="str">
        <f>IF(AND($N225=$Q$7,$B225&lt;'111'!$L$11),"x","")</f>
        <v/>
      </c>
      <c r="S225" s="75" t="str">
        <f>IF(AND($O225=$Q$7,$B225&lt;'111'!$L$11),"x","")</f>
        <v/>
      </c>
      <c r="T225" s="75" t="str">
        <f>IF(ISERROR(FIND('112'!$M$9,G225,1)),"",IF((AND(FIND('112'!$M$9,G225,1)&gt;=1,B225='112'!$K$9,OR($N225='112'!$I$6,$O225='112'!$I$6))),"x",""))</f>
        <v/>
      </c>
      <c r="U225" s="75" t="str">
        <f>IF(ISERROR(FIND('112'!$M$9,G225,1)),"",IF((AND(LEFT(G225,2)=LEFT('112'!$M$9,2),B225&lt;'112'!$K$9,$N225='112'!$I$6)),"x",""))</f>
        <v/>
      </c>
      <c r="V225" s="75" t="str">
        <f>IF(ISERROR(FIND('112'!$M$9,G225,1)),"",IF((AND(RIGHT(G225,2)=RIGHT('112'!$M$9,2),B225&lt;'112'!$K$9,$O225='112'!$I$6)),"x",""))</f>
        <v/>
      </c>
      <c r="W225" s="75" t="str">
        <f>IF(AND('341-CT'!$H$9=H225,OR(LEFT(N225,3)=$W$7,LEFT(O225,3)=$W$7)),"x","")</f>
        <v/>
      </c>
      <c r="X225" s="75" t="str">
        <f>IF(OR(TH!N225=TH!$X$7,O225=TH!$X$7),"x","")</f>
        <v/>
      </c>
      <c r="Y225" s="75" t="str">
        <f>IF(AND(OR(N225="131",O225="131"),H225='131-CT'!$H$9),"x","")</f>
        <v/>
      </c>
      <c r="Z225" s="75"/>
      <c r="AA225" s="75" t="str">
        <f>IF(AND(MONTH(E225)='IN-NX'!$J$5,'IN-NX'!$D$7=D225),"x","")</f>
        <v/>
      </c>
      <c r="AB225" s="75" t="str">
        <f>IF(AND(OR(LEFT(TH!N225,2)="15",LEFT(TH!O225,2)="15"),LEFT(TH!O225,3)&lt;&gt;"111",'152-CT'!$J$8=TH!F225),"x","")</f>
        <v/>
      </c>
      <c r="AC225" s="75" t="str">
        <f>IF(AND(OR(LEFT(TH!N225,2)="15",LEFT(TH!O225,2)="15"),TK!$E$7=TH!F225),"x","")</f>
        <v/>
      </c>
      <c r="AD225" s="75" t="str">
        <f>IF(AND(N225="1521",MONTH(C225)='BK-NL'!$M$11),"x","")</f>
        <v/>
      </c>
    </row>
    <row r="226" spans="1:30" ht="16.5" customHeight="1">
      <c r="A226" s="309" t="str">
        <f>IF(B226&lt;&gt;"",IF(AND(B226='IN-TC'!$S$4,OR(TH!N226="1111",TH!O226="1111")),TH!D226,""),"")</f>
        <v/>
      </c>
      <c r="B226" s="1244">
        <f t="shared" si="29"/>
        <v>10</v>
      </c>
      <c r="C226" s="666">
        <v>43039</v>
      </c>
      <c r="D226" s="666" t="s">
        <v>530</v>
      </c>
      <c r="E226" s="666">
        <f t="shared" si="34"/>
        <v>43039</v>
      </c>
      <c r="F226" s="905" t="s">
        <v>724</v>
      </c>
      <c r="G226" s="739" t="s">
        <v>531</v>
      </c>
      <c r="H226" s="294"/>
      <c r="I226" s="373"/>
      <c r="J226" s="379"/>
      <c r="K226" s="373"/>
      <c r="L226" s="379"/>
      <c r="M226" s="670">
        <f>ROUND(G224*$G226,0)</f>
        <v>3360880</v>
      </c>
      <c r="N226" s="671" t="s">
        <v>540</v>
      </c>
      <c r="O226" s="671" t="s">
        <v>541</v>
      </c>
      <c r="P226" s="75" t="str">
        <f>IF(AND('331-CT'!$E$7=TH!H226,OR(N226="331",O226="331")),"x","")</f>
        <v/>
      </c>
      <c r="Q226" s="75" t="str">
        <f>IF(AND(B226='111'!$L$11,OR($N226=$Q$7,$O226=$Q$7)),"x","")</f>
        <v/>
      </c>
      <c r="R226" s="75" t="str">
        <f>IF(AND($N226=$Q$7,$B226&lt;'111'!$L$11),"x","")</f>
        <v/>
      </c>
      <c r="S226" s="75" t="str">
        <f>IF(AND($O226=$Q$7,$B226&lt;'111'!$L$11),"x","")</f>
        <v/>
      </c>
      <c r="T226" s="75" t="str">
        <f>IF(ISERROR(FIND('112'!$M$9,G226,1)),"",IF((AND(FIND('112'!$M$9,G226,1)&gt;=1,B226='112'!$K$9,OR($N226='112'!$I$6,$O226='112'!$I$6))),"x",""))</f>
        <v/>
      </c>
      <c r="U226" s="75" t="str">
        <f>IF(ISERROR(FIND('112'!$M$9,G226,1)),"",IF((AND(LEFT(G226,2)=LEFT('112'!$M$9,2),B226&lt;'112'!$K$9,$N226='112'!$I$6)),"x",""))</f>
        <v/>
      </c>
      <c r="V226" s="75" t="str">
        <f>IF(ISERROR(FIND('112'!$M$9,G226,1)),"",IF((AND(RIGHT(G226,2)=RIGHT('112'!$M$9,2),B226&lt;'112'!$K$9,$O226='112'!$I$6)),"x",""))</f>
        <v/>
      </c>
      <c r="W226" s="75" t="str">
        <f>IF(AND('341-CT'!$H$9=H226,OR(LEFT(N226,3)=$W$7,LEFT(O226,3)=$W$7)),"x","")</f>
        <v/>
      </c>
      <c r="X226" s="75" t="str">
        <f>IF(OR(TH!N226=TH!$X$7,O226=TH!$X$7),"x","")</f>
        <v/>
      </c>
      <c r="Y226" s="75" t="str">
        <f>IF(AND(OR(N226="131",O226="131"),H226='131-CT'!$H$9),"x","")</f>
        <v/>
      </c>
      <c r="Z226" s="75"/>
      <c r="AA226" s="75" t="str">
        <f>IF(AND(MONTH(E226)='IN-NX'!$J$5,'IN-NX'!$D$7=D226),"x","")</f>
        <v/>
      </c>
      <c r="AB226" s="75" t="str">
        <f>IF(AND(OR(LEFT(TH!N226,2)="15",LEFT(TH!O226,2)="15"),LEFT(TH!O226,3)&lt;&gt;"111",'152-CT'!$J$8=TH!F226),"x","")</f>
        <v/>
      </c>
      <c r="AC226" s="75" t="str">
        <f>IF(AND(OR(LEFT(TH!N226,2)="15",LEFT(TH!O226,2)="15"),TK!$E$7=TH!F226),"x","")</f>
        <v/>
      </c>
      <c r="AD226" s="75" t="str">
        <f>IF(AND(N226="1521",MONTH(C226)='BK-NL'!$M$11),"x","")</f>
        <v/>
      </c>
    </row>
    <row r="227" spans="1:30" ht="16.5" customHeight="1">
      <c r="A227" s="309" t="str">
        <f>IF(B227&lt;&gt;"",IF(AND(B227='IN-TC'!$S$4,OR(TH!N227="1111",TH!O227="1111")),TH!D227,""),"")</f>
        <v/>
      </c>
      <c r="B227" s="1244">
        <f t="shared" si="29"/>
        <v>10</v>
      </c>
      <c r="C227" s="666">
        <v>43039</v>
      </c>
      <c r="D227" s="666" t="s">
        <v>530</v>
      </c>
      <c r="E227" s="666">
        <f t="shared" si="34"/>
        <v>43039</v>
      </c>
      <c r="F227" s="905" t="s">
        <v>725</v>
      </c>
      <c r="G227" s="250"/>
      <c r="H227" s="294"/>
      <c r="I227" s="373"/>
      <c r="J227" s="379"/>
      <c r="K227" s="373"/>
      <c r="L227" s="379"/>
      <c r="M227" s="670">
        <f>ROUND(G225*$G226,0)</f>
        <v>4383360</v>
      </c>
      <c r="N227" s="672" t="s">
        <v>540</v>
      </c>
      <c r="O227" s="673" t="s">
        <v>541</v>
      </c>
      <c r="P227" s="75" t="str">
        <f>IF(AND('331-CT'!$E$7=TH!H227,OR(N227="331",O227="331")),"x","")</f>
        <v/>
      </c>
      <c r="Q227" s="75" t="str">
        <f>IF(AND(B227='111'!$L$11,OR($N227=$Q$7,$O227=$Q$7)),"x","")</f>
        <v/>
      </c>
      <c r="R227" s="75" t="str">
        <f>IF(AND($N227=$Q$7,$B227&lt;'111'!$L$11),"x","")</f>
        <v/>
      </c>
      <c r="S227" s="75" t="str">
        <f>IF(AND($O227=$Q$7,$B227&lt;'111'!$L$11),"x","")</f>
        <v/>
      </c>
      <c r="T227" s="75" t="str">
        <f>IF(ISERROR(FIND('112'!$M$9,G227,1)),"",IF((AND(FIND('112'!$M$9,G227,1)&gt;=1,B227='112'!$K$9,OR($N227='112'!$I$6,$O227='112'!$I$6))),"x",""))</f>
        <v/>
      </c>
      <c r="U227" s="75" t="str">
        <f>IF(ISERROR(FIND('112'!$M$9,G227,1)),"",IF((AND(LEFT(G227,2)=LEFT('112'!$M$9,2),B227&lt;'112'!$K$9,$N227='112'!$I$6)),"x",""))</f>
        <v/>
      </c>
      <c r="V227" s="75" t="str">
        <f>IF(ISERROR(FIND('112'!$M$9,G227,1)),"",IF((AND(RIGHT(G227,2)=RIGHT('112'!$M$9,2),B227&lt;'112'!$K$9,$O227='112'!$I$6)),"x",""))</f>
        <v/>
      </c>
      <c r="W227" s="75" t="str">
        <f>IF(AND('341-CT'!$H$9=H227,OR(LEFT(N227,3)=$W$7,LEFT(O227,3)=$W$7)),"x","")</f>
        <v/>
      </c>
      <c r="X227" s="75" t="str">
        <f>IF(OR(TH!N227=TH!$X$7,O227=TH!$X$7),"x","")</f>
        <v/>
      </c>
      <c r="Y227" s="75" t="str">
        <f>IF(AND(OR(N227="131",O227="131"),H227='131-CT'!$H$9),"x","")</f>
        <v/>
      </c>
      <c r="Z227" s="75"/>
      <c r="AA227" s="75" t="str">
        <f>IF(AND(MONTH(E227)='IN-NX'!$J$5,'IN-NX'!$D$7=D227),"x","")</f>
        <v/>
      </c>
      <c r="AB227" s="75" t="str">
        <f>IF(AND(OR(LEFT(TH!N227,2)="15",LEFT(TH!O227,2)="15"),LEFT(TH!O227,3)&lt;&gt;"111",'152-CT'!$J$8=TH!F227),"x","")</f>
        <v/>
      </c>
      <c r="AC227" s="75" t="str">
        <f>IF(AND(OR(LEFT(TH!N227,2)="15",LEFT(TH!O227,2)="15"),TK!$E$7=TH!F227),"x","")</f>
        <v/>
      </c>
      <c r="AD227" s="75" t="str">
        <f>IF(AND(N227="1521",MONTH(C227)='BK-NL'!$M$11),"x","")</f>
        <v/>
      </c>
    </row>
    <row r="228" spans="1:30" ht="16.5" customHeight="1">
      <c r="A228" s="309" t="str">
        <f>IF(B228&lt;&gt;"",IF(AND(B228='IN-TC'!$S$4,OR(TH!N228="1111",TH!O228="1111")),TH!D228,""),"")</f>
        <v/>
      </c>
      <c r="B228" s="1244">
        <f t="shared" si="29"/>
        <v>10</v>
      </c>
      <c r="C228" s="666">
        <v>43039</v>
      </c>
      <c r="D228" s="666" t="s">
        <v>530</v>
      </c>
      <c r="E228" s="666">
        <f t="shared" si="34"/>
        <v>43039</v>
      </c>
      <c r="F228" s="905" t="s">
        <v>726</v>
      </c>
      <c r="G228" s="739" t="s">
        <v>2689</v>
      </c>
      <c r="H228" s="294"/>
      <c r="I228" s="373"/>
      <c r="J228" s="379"/>
      <c r="K228" s="373"/>
      <c r="L228" s="379"/>
      <c r="M228" s="670">
        <f>ROUND(G224*$G228,0)</f>
        <v>7141870</v>
      </c>
      <c r="N228" s="671" t="s">
        <v>539</v>
      </c>
      <c r="O228" s="671" t="s">
        <v>541</v>
      </c>
      <c r="P228" s="75" t="str">
        <f>IF(AND('331-CT'!$E$7=TH!H228,OR(N228="331",O228="331")),"x","")</f>
        <v/>
      </c>
      <c r="Q228" s="75" t="str">
        <f>IF(AND(B228='111'!$L$11,OR($N228=$Q$7,$O228=$Q$7)),"x","")</f>
        <v/>
      </c>
      <c r="R228" s="75" t="str">
        <f>IF(AND($N228=$Q$7,$B228&lt;'111'!$L$11),"x","")</f>
        <v/>
      </c>
      <c r="S228" s="75" t="str">
        <f>IF(AND($O228=$Q$7,$B228&lt;'111'!$L$11),"x","")</f>
        <v/>
      </c>
      <c r="T228" s="75" t="str">
        <f>IF(ISERROR(FIND('112'!$M$9,G228,1)),"",IF((AND(FIND('112'!$M$9,G228,1)&gt;=1,B228='112'!$K$9,OR($N228='112'!$I$6,$O228='112'!$I$6))),"x",""))</f>
        <v/>
      </c>
      <c r="U228" s="75" t="str">
        <f>IF(ISERROR(FIND('112'!$M$9,G228,1)),"",IF((AND(LEFT(G228,2)=LEFT('112'!$M$9,2),B228&lt;'112'!$K$9,$N228='112'!$I$6)),"x",""))</f>
        <v/>
      </c>
      <c r="V228" s="75" t="str">
        <f>IF(ISERROR(FIND('112'!$M$9,G228,1)),"",IF((AND(RIGHT(G228,2)=RIGHT('112'!$M$9,2),B228&lt;'112'!$K$9,$O228='112'!$I$6)),"x",""))</f>
        <v/>
      </c>
      <c r="W228" s="75" t="str">
        <f>IF(AND('341-CT'!$H$9=H228,OR(LEFT(N228,3)=$W$7,LEFT(O228,3)=$W$7)),"x","")</f>
        <v/>
      </c>
      <c r="X228" s="75" t="str">
        <f>IF(OR(TH!N228=TH!$X$7,O228=TH!$X$7),"x","")</f>
        <v/>
      </c>
      <c r="Y228" s="75" t="str">
        <f>IF(AND(OR(N228="131",O228="131"),H228='131-CT'!$H$9),"x","")</f>
        <v/>
      </c>
      <c r="Z228" s="75"/>
      <c r="AA228" s="75" t="str">
        <f>IF(AND(MONTH(E228)='IN-NX'!$J$5,'IN-NX'!$D$7=D228),"x","")</f>
        <v/>
      </c>
      <c r="AB228" s="75" t="str">
        <f>IF(AND(OR(LEFT(TH!N228,2)="15",LEFT(TH!O228,2)="15"),LEFT(TH!O228,3)&lt;&gt;"111",'152-CT'!$J$8=TH!F228),"x","")</f>
        <v/>
      </c>
      <c r="AC228" s="75" t="str">
        <f>IF(AND(OR(LEFT(TH!N228,2)="15",LEFT(TH!O228,2)="15"),TK!$E$7=TH!F228),"x","")</f>
        <v/>
      </c>
      <c r="AD228" s="75" t="str">
        <f>IF(AND(N228="1521",MONTH(C228)='BK-NL'!$M$11),"x","")</f>
        <v/>
      </c>
    </row>
    <row r="229" spans="1:30" ht="16.5" customHeight="1">
      <c r="A229" s="309" t="str">
        <f>IF(B229&lt;&gt;"",IF(AND(B229='IN-TC'!$S$4,OR(TH!N229="1111",TH!O229="1111")),TH!D229,""),"")</f>
        <v/>
      </c>
      <c r="B229" s="1244">
        <f t="shared" si="29"/>
        <v>10</v>
      </c>
      <c r="C229" s="666">
        <v>43039</v>
      </c>
      <c r="D229" s="666" t="s">
        <v>530</v>
      </c>
      <c r="E229" s="666">
        <f t="shared" si="34"/>
        <v>43039</v>
      </c>
      <c r="F229" s="905" t="s">
        <v>727</v>
      </c>
      <c r="G229" s="250"/>
      <c r="H229" s="294"/>
      <c r="I229" s="373"/>
      <c r="J229" s="379"/>
      <c r="K229" s="373"/>
      <c r="L229" s="379"/>
      <c r="M229" s="670">
        <f>ROUND(G225*$G228,0)</f>
        <v>9314640</v>
      </c>
      <c r="N229" s="671" t="s">
        <v>272</v>
      </c>
      <c r="O229" s="671" t="s">
        <v>541</v>
      </c>
      <c r="P229" s="75" t="str">
        <f>IF(AND('331-CT'!$E$7=TH!H229,OR(N229="331",O229="331")),"x","")</f>
        <v/>
      </c>
      <c r="Q229" s="75" t="str">
        <f>IF(AND(B229='111'!$L$11,OR($N229=$Q$7,$O229=$Q$7)),"x","")</f>
        <v/>
      </c>
      <c r="R229" s="75" t="str">
        <f>IF(AND($N229=$Q$7,$B229&lt;'111'!$L$11),"x","")</f>
        <v/>
      </c>
      <c r="S229" s="75" t="str">
        <f>IF(AND($O229=$Q$7,$B229&lt;'111'!$L$11),"x","")</f>
        <v/>
      </c>
      <c r="T229" s="75" t="str">
        <f>IF(ISERROR(FIND('112'!$M$9,G229,1)),"",IF((AND(FIND('112'!$M$9,G229,1)&gt;=1,B229='112'!$K$9,OR($N229='112'!$I$6,$O229='112'!$I$6))),"x",""))</f>
        <v/>
      </c>
      <c r="U229" s="75" t="str">
        <f>IF(ISERROR(FIND('112'!$M$9,G229,1)),"",IF((AND(LEFT(G229,2)=LEFT('112'!$M$9,2),B229&lt;'112'!$K$9,$N229='112'!$I$6)),"x",""))</f>
        <v/>
      </c>
      <c r="V229" s="75" t="str">
        <f>IF(ISERROR(FIND('112'!$M$9,G229,1)),"",IF((AND(RIGHT(G229,2)=RIGHT('112'!$M$9,2),B229&lt;'112'!$K$9,$O229='112'!$I$6)),"x",""))</f>
        <v/>
      </c>
      <c r="W229" s="75" t="str">
        <f>IF(AND('341-CT'!$H$9=H229,OR(LEFT(N229,3)=$W$7,LEFT(O229,3)=$W$7)),"x","")</f>
        <v/>
      </c>
      <c r="X229" s="75" t="str">
        <f>IF(OR(TH!N229=TH!$X$7,O229=TH!$X$7),"x","")</f>
        <v/>
      </c>
      <c r="Y229" s="75" t="str">
        <f>IF(AND(OR(N229="131",O229="131"),H229='131-CT'!$H$9),"x","")</f>
        <v/>
      </c>
      <c r="Z229" s="75"/>
      <c r="AA229" s="75" t="str">
        <f>IF(AND(MONTH(E229)='IN-NX'!$J$5,'IN-NX'!$D$7=D229),"x","")</f>
        <v/>
      </c>
      <c r="AB229" s="75" t="str">
        <f>IF(AND(OR(LEFT(TH!N229,2)="15",LEFT(TH!O229,2)="15"),LEFT(TH!O229,3)&lt;&gt;"111",'152-CT'!$J$8=TH!F229),"x","")</f>
        <v/>
      </c>
      <c r="AC229" s="75" t="str">
        <f>IF(AND(OR(LEFT(TH!N229,2)="15",LEFT(TH!O229,2)="15"),TK!$E$7=TH!F229),"x","")</f>
        <v/>
      </c>
      <c r="AD229" s="75" t="str">
        <f>IF(AND(N229="1521",MONTH(C229)='BK-NL'!$M$11),"x","")</f>
        <v/>
      </c>
    </row>
    <row r="230" spans="1:30" ht="16.5" customHeight="1">
      <c r="A230" s="309" t="str">
        <f>IF(B230&lt;&gt;"",IF(AND(B230='IN-TC'!$S$4,OR(TH!N230="1111",TH!O230="1111")),TH!D230,""),"")</f>
        <v/>
      </c>
      <c r="B230" s="1244">
        <f t="shared" si="29"/>
        <v>10</v>
      </c>
      <c r="C230" s="666">
        <v>43039</v>
      </c>
      <c r="D230" s="666" t="s">
        <v>530</v>
      </c>
      <c r="E230" s="666">
        <f t="shared" ref="E230:E249" si="39">C230</f>
        <v>43039</v>
      </c>
      <c r="F230" s="905" t="s">
        <v>728</v>
      </c>
      <c r="G230" s="739" t="s">
        <v>533</v>
      </c>
      <c r="H230" s="296"/>
      <c r="I230" s="371"/>
      <c r="J230" s="377"/>
      <c r="K230" s="371"/>
      <c r="L230" s="377"/>
      <c r="M230" s="670">
        <f>ROUND(G224*$G230,0)</f>
        <v>630165</v>
      </c>
      <c r="N230" s="671" t="s">
        <v>540</v>
      </c>
      <c r="O230" s="671" t="s">
        <v>542</v>
      </c>
      <c r="P230" s="75" t="str">
        <f>IF(AND('331-CT'!$E$7=TH!H230,OR(N230="331",O230="331")),"x","")</f>
        <v/>
      </c>
      <c r="Q230" s="75" t="str">
        <f>IF(AND(B230='111'!$L$11,OR($N230=$Q$7,$O230=$Q$7)),"x","")</f>
        <v/>
      </c>
      <c r="R230" s="75" t="str">
        <f>IF(AND($N230=$Q$7,$B230&lt;'111'!$L$11),"x","")</f>
        <v/>
      </c>
      <c r="S230" s="75" t="str">
        <f>IF(AND($O230=$Q$7,$B230&lt;'111'!$L$11),"x","")</f>
        <v/>
      </c>
      <c r="T230" s="75" t="str">
        <f>IF(ISERROR(FIND('112'!$M$9,G230,1)),"",IF((AND(FIND('112'!$M$9,G230,1)&gt;=1,B230='112'!$K$9,OR($N230='112'!$I$6,$O230='112'!$I$6))),"x",""))</f>
        <v/>
      </c>
      <c r="U230" s="75" t="str">
        <f>IF(ISERROR(FIND('112'!$M$9,G230,1)),"",IF((AND(LEFT(G230,2)=LEFT('112'!$M$9,2),B230&lt;'112'!$K$9,$N230='112'!$I$6)),"x",""))</f>
        <v/>
      </c>
      <c r="V230" s="75" t="str">
        <f>IF(ISERROR(FIND('112'!$M$9,G230,1)),"",IF((AND(RIGHT(G230,2)=RIGHT('112'!$M$9,2),B230&lt;'112'!$K$9,$O230='112'!$I$6)),"x",""))</f>
        <v/>
      </c>
      <c r="W230" s="75" t="str">
        <f>IF(AND('341-CT'!$H$9=H230,OR(LEFT(N230,3)=$W$7,LEFT(O230,3)=$W$7)),"x","")</f>
        <v/>
      </c>
      <c r="X230" s="75" t="str">
        <f>IF(OR(TH!N230=TH!$X$7,O230=TH!$X$7),"x","")</f>
        <v/>
      </c>
      <c r="Y230" s="75" t="str">
        <f>IF(AND(OR(N230="131",O230="131"),H230='131-CT'!$H$9),"x","")</f>
        <v/>
      </c>
      <c r="Z230" s="75"/>
      <c r="AA230" s="75" t="str">
        <f>IF(AND(MONTH(E230)='IN-NX'!$J$5,'IN-NX'!$D$7=D230),"x","")</f>
        <v/>
      </c>
      <c r="AB230" s="75" t="str">
        <f>IF(AND(OR(LEFT(TH!N230,2)="15",LEFT(TH!O230,2)="15"),LEFT(TH!O230,3)&lt;&gt;"111",'152-CT'!$J$8=TH!F230),"x","")</f>
        <v/>
      </c>
      <c r="AC230" s="75" t="str">
        <f>IF(AND(OR(LEFT(TH!N230,2)="15",LEFT(TH!O230,2)="15"),TK!$E$7=TH!F230),"x","")</f>
        <v/>
      </c>
      <c r="AD230" s="75" t="str">
        <f>IF(AND(N230="1521",MONTH(C230)='BK-NL'!$M$11),"x","")</f>
        <v/>
      </c>
    </row>
    <row r="231" spans="1:30" ht="16.5" customHeight="1">
      <c r="A231" s="309" t="str">
        <f>IF(B231&lt;&gt;"",IF(AND(B231='IN-TC'!$S$4,OR(TH!N231="1111",TH!O231="1111")),TH!D231,""),"")</f>
        <v/>
      </c>
      <c r="B231" s="1244">
        <f t="shared" si="29"/>
        <v>10</v>
      </c>
      <c r="C231" s="666">
        <v>43039</v>
      </c>
      <c r="D231" s="666" t="s">
        <v>530</v>
      </c>
      <c r="E231" s="666">
        <f t="shared" si="39"/>
        <v>43039</v>
      </c>
      <c r="F231" s="905" t="s">
        <v>729</v>
      </c>
      <c r="G231" s="250"/>
      <c r="H231" s="296"/>
      <c r="I231" s="371"/>
      <c r="J231" s="377"/>
      <c r="K231" s="371"/>
      <c r="L231" s="377"/>
      <c r="M231" s="670">
        <f>ROUND(G225*$G230,0)</f>
        <v>821880</v>
      </c>
      <c r="N231" s="671" t="s">
        <v>540</v>
      </c>
      <c r="O231" s="671" t="s">
        <v>542</v>
      </c>
      <c r="P231" s="75" t="str">
        <f>IF(AND('331-CT'!$E$7=TH!H231,OR(N231="331",O231="331")),"x","")</f>
        <v/>
      </c>
      <c r="Q231" s="75" t="str">
        <f>IF(AND(B231='111'!$L$11,OR($N231=$Q$7,$O231=$Q$7)),"x","")</f>
        <v/>
      </c>
      <c r="R231" s="75" t="str">
        <f>IF(AND($N231=$Q$7,$B231&lt;'111'!$L$11),"x","")</f>
        <v/>
      </c>
      <c r="S231" s="75" t="str">
        <f>IF(AND($O231=$Q$7,$B231&lt;'111'!$L$11),"x","")</f>
        <v/>
      </c>
      <c r="T231" s="75" t="str">
        <f>IF(ISERROR(FIND('112'!$M$9,G231,1)),"",IF((AND(FIND('112'!$M$9,G231,1)&gt;=1,B231='112'!$K$9,OR($N231='112'!$I$6,$O231='112'!$I$6))),"x",""))</f>
        <v/>
      </c>
      <c r="U231" s="75" t="str">
        <f>IF(ISERROR(FIND('112'!$M$9,G231,1)),"",IF((AND(LEFT(G231,2)=LEFT('112'!$M$9,2),B231&lt;'112'!$K$9,$N231='112'!$I$6)),"x",""))</f>
        <v/>
      </c>
      <c r="V231" s="75" t="str">
        <f>IF(ISERROR(FIND('112'!$M$9,G231,1)),"",IF((AND(RIGHT(G231,2)=RIGHT('112'!$M$9,2),B231&lt;'112'!$K$9,$O231='112'!$I$6)),"x",""))</f>
        <v/>
      </c>
      <c r="W231" s="75" t="str">
        <f>IF(AND('341-CT'!$H$9=H231,OR(LEFT(N231,3)=$W$7,LEFT(O231,3)=$W$7)),"x","")</f>
        <v/>
      </c>
      <c r="X231" s="75" t="str">
        <f>IF(OR(TH!N231=TH!$X$7,O231=TH!$X$7),"x","")</f>
        <v/>
      </c>
      <c r="Y231" s="75" t="str">
        <f>IF(AND(OR(N231="131",O231="131"),H231='131-CT'!$H$9),"x","")</f>
        <v/>
      </c>
      <c r="Z231" s="75"/>
      <c r="AA231" s="75" t="str">
        <f>IF(AND(MONTH(E231)='IN-NX'!$J$5,'IN-NX'!$D$7=D231),"x","")</f>
        <v/>
      </c>
      <c r="AB231" s="75" t="str">
        <f>IF(AND(OR(LEFT(TH!N231,2)="15",LEFT(TH!O231,2)="15"),LEFT(TH!O231,3)&lt;&gt;"111",'152-CT'!$J$8=TH!F231),"x","")</f>
        <v/>
      </c>
      <c r="AC231" s="75" t="str">
        <f>IF(AND(OR(LEFT(TH!N231,2)="15",LEFT(TH!O231,2)="15"),TK!$E$7=TH!F231),"x","")</f>
        <v/>
      </c>
      <c r="AD231" s="75" t="str">
        <f>IF(AND(N231="1521",MONTH(C231)='BK-NL'!$M$11),"x","")</f>
        <v/>
      </c>
    </row>
    <row r="232" spans="1:30" ht="16.5" customHeight="1">
      <c r="A232" s="309" t="str">
        <f>IF(B232&lt;&gt;"",IF(AND(B232='IN-TC'!$S$4,OR(TH!N232="1111",TH!O232="1111")),TH!D232,""),"")</f>
        <v/>
      </c>
      <c r="B232" s="1244">
        <f t="shared" si="29"/>
        <v>10</v>
      </c>
      <c r="C232" s="666">
        <v>43039</v>
      </c>
      <c r="D232" s="666" t="s">
        <v>530</v>
      </c>
      <c r="E232" s="666">
        <f t="shared" si="39"/>
        <v>43039</v>
      </c>
      <c r="F232" s="905" t="s">
        <v>730</v>
      </c>
      <c r="G232" s="739" t="s">
        <v>534</v>
      </c>
      <c r="H232" s="294"/>
      <c r="I232" s="373"/>
      <c r="J232" s="379"/>
      <c r="K232" s="373"/>
      <c r="L232" s="379"/>
      <c r="M232" s="670">
        <f>ROUND(G224*$G232,0)</f>
        <v>1260330</v>
      </c>
      <c r="N232" s="671" t="s">
        <v>539</v>
      </c>
      <c r="O232" s="671" t="s">
        <v>542</v>
      </c>
      <c r="P232" s="75" t="str">
        <f>IF(AND('331-CT'!$E$7=TH!H232,OR(N232="331",O232="331")),"x","")</f>
        <v/>
      </c>
      <c r="Q232" s="75" t="str">
        <f>IF(AND(B232='111'!$L$11,OR($N232=$Q$7,$O232=$Q$7)),"x","")</f>
        <v/>
      </c>
      <c r="R232" s="75" t="str">
        <f>IF(AND($N232=$Q$7,$B232&lt;'111'!$L$11),"x","")</f>
        <v/>
      </c>
      <c r="S232" s="75" t="str">
        <f>IF(AND($O232=$Q$7,$B232&lt;'111'!$L$11),"x","")</f>
        <v/>
      </c>
      <c r="T232" s="75" t="str">
        <f>IF(ISERROR(FIND('112'!$M$9,G232,1)),"",IF((AND(FIND('112'!$M$9,G232,1)&gt;=1,B232='112'!$K$9,OR($N232='112'!$I$6,$O232='112'!$I$6))),"x",""))</f>
        <v/>
      </c>
      <c r="U232" s="75" t="str">
        <f>IF(ISERROR(FIND('112'!$M$9,G232,1)),"",IF((AND(LEFT(G232,2)=LEFT('112'!$M$9,2),B232&lt;'112'!$K$9,$N232='112'!$I$6)),"x",""))</f>
        <v/>
      </c>
      <c r="V232" s="75" t="str">
        <f>IF(ISERROR(FIND('112'!$M$9,G232,1)),"",IF((AND(RIGHT(G232,2)=RIGHT('112'!$M$9,2),B232&lt;'112'!$K$9,$O232='112'!$I$6)),"x",""))</f>
        <v/>
      </c>
      <c r="W232" s="75" t="str">
        <f>IF(AND('341-CT'!$H$9=H232,OR(LEFT(N232,3)=$W$7,LEFT(O232,3)=$W$7)),"x","")</f>
        <v/>
      </c>
      <c r="X232" s="75" t="str">
        <f>IF(OR(TH!N232=TH!$X$7,O232=TH!$X$7),"x","")</f>
        <v/>
      </c>
      <c r="Y232" s="75" t="str">
        <f>IF(AND(OR(N232="131",O232="131"),H232='131-CT'!$H$9),"x","")</f>
        <v/>
      </c>
      <c r="Z232" s="75"/>
      <c r="AA232" s="75" t="str">
        <f>IF(AND(MONTH(E232)='IN-NX'!$J$5,'IN-NX'!$D$7=D232),"x","")</f>
        <v/>
      </c>
      <c r="AB232" s="75" t="str">
        <f>IF(AND(OR(LEFT(TH!N232,2)="15",LEFT(TH!O232,2)="15"),LEFT(TH!O232,3)&lt;&gt;"111",'152-CT'!$J$8=TH!F232),"x","")</f>
        <v/>
      </c>
      <c r="AC232" s="75" t="str">
        <f>IF(AND(OR(LEFT(TH!N232,2)="15",LEFT(TH!O232,2)="15"),TK!$E$7=TH!F232),"x","")</f>
        <v/>
      </c>
      <c r="AD232" s="75" t="str">
        <f>IF(AND(N232="1521",MONTH(C232)='BK-NL'!$M$11),"x","")</f>
        <v/>
      </c>
    </row>
    <row r="233" spans="1:30" ht="16.5" customHeight="1">
      <c r="A233" s="309" t="str">
        <f>IF(B233&lt;&gt;"",IF(AND(B233='IN-TC'!$S$4,OR(TH!N233="1111",TH!O233="1111")),TH!D233,""),"")</f>
        <v/>
      </c>
      <c r="B233" s="1244">
        <f t="shared" si="29"/>
        <v>10</v>
      </c>
      <c r="C233" s="666">
        <v>43039</v>
      </c>
      <c r="D233" s="666" t="s">
        <v>530</v>
      </c>
      <c r="E233" s="666">
        <f t="shared" si="39"/>
        <v>43039</v>
      </c>
      <c r="F233" s="905" t="s">
        <v>731</v>
      </c>
      <c r="G233" s="250"/>
      <c r="H233" s="294"/>
      <c r="I233" s="373"/>
      <c r="J233" s="379"/>
      <c r="K233" s="373"/>
      <c r="L233" s="379"/>
      <c r="M233" s="670">
        <f>ROUND(G225*$G232,0)</f>
        <v>1643760</v>
      </c>
      <c r="N233" s="671" t="s">
        <v>272</v>
      </c>
      <c r="O233" s="671" t="s">
        <v>542</v>
      </c>
      <c r="P233" s="75" t="str">
        <f>IF(AND('331-CT'!$E$7=TH!H233,OR(N233="331",O233="331")),"x","")</f>
        <v/>
      </c>
      <c r="Q233" s="75" t="str">
        <f>IF(AND(B233='111'!$L$11,OR($N233=$Q$7,$O233=$Q$7)),"x","")</f>
        <v/>
      </c>
      <c r="R233" s="75" t="str">
        <f>IF(AND($N233=$Q$7,$B233&lt;'111'!$L$11),"x","")</f>
        <v/>
      </c>
      <c r="S233" s="75" t="str">
        <f>IF(AND($O233=$Q$7,$B233&lt;'111'!$L$11),"x","")</f>
        <v/>
      </c>
      <c r="T233" s="75" t="str">
        <f>IF(ISERROR(FIND('112'!$M$9,G233,1)),"",IF((AND(FIND('112'!$M$9,G233,1)&gt;=1,B233='112'!$K$9,OR($N233='112'!$I$6,$O233='112'!$I$6))),"x",""))</f>
        <v/>
      </c>
      <c r="U233" s="75" t="str">
        <f>IF(ISERROR(FIND('112'!$M$9,G233,1)),"",IF((AND(LEFT(G233,2)=LEFT('112'!$M$9,2),B233&lt;'112'!$K$9,$N233='112'!$I$6)),"x",""))</f>
        <v/>
      </c>
      <c r="V233" s="75" t="str">
        <f>IF(ISERROR(FIND('112'!$M$9,G233,1)),"",IF((AND(RIGHT(G233,2)=RIGHT('112'!$M$9,2),B233&lt;'112'!$K$9,$O233='112'!$I$6)),"x",""))</f>
        <v/>
      </c>
      <c r="W233" s="75" t="str">
        <f>IF(AND('341-CT'!$H$9=H233,OR(LEFT(N233,3)=$W$7,LEFT(O233,3)=$W$7)),"x","")</f>
        <v/>
      </c>
      <c r="X233" s="75" t="str">
        <f>IF(OR(TH!N233=TH!$X$7,O233=TH!$X$7),"x","")</f>
        <v/>
      </c>
      <c r="Y233" s="75" t="str">
        <f>IF(AND(OR(N233="131",O233="131"),H233='131-CT'!$H$9),"x","")</f>
        <v/>
      </c>
      <c r="Z233" s="75"/>
      <c r="AA233" s="75" t="str">
        <f>IF(AND(MONTH(E233)='IN-NX'!$J$5,'IN-NX'!$D$7=D233),"x","")</f>
        <v/>
      </c>
      <c r="AB233" s="75" t="str">
        <f>IF(AND(OR(LEFT(TH!N233,2)="15",LEFT(TH!O233,2)="15"),LEFT(TH!O233,3)&lt;&gt;"111",'152-CT'!$J$8=TH!F233),"x","")</f>
        <v/>
      </c>
      <c r="AC233" s="75" t="str">
        <f>IF(AND(OR(LEFT(TH!N233,2)="15",LEFT(TH!O233,2)="15"),TK!$E$7=TH!F233),"x","")</f>
        <v/>
      </c>
      <c r="AD233" s="75" t="str">
        <f>IF(AND(N233="1521",MONTH(C233)='BK-NL'!$M$11),"x","")</f>
        <v/>
      </c>
    </row>
    <row r="234" spans="1:30" ht="16.5" customHeight="1">
      <c r="A234" s="309" t="str">
        <f>IF(B234&lt;&gt;"",IF(AND(B234='IN-TC'!$S$4,OR(TH!N234="1111",TH!O234="1111")),TH!D234,""),"")</f>
        <v/>
      </c>
      <c r="B234" s="1244">
        <f t="shared" si="29"/>
        <v>10</v>
      </c>
      <c r="C234" s="666">
        <v>43039</v>
      </c>
      <c r="D234" s="666" t="s">
        <v>530</v>
      </c>
      <c r="E234" s="666">
        <f t="shared" si="39"/>
        <v>43039</v>
      </c>
      <c r="F234" s="905" t="s">
        <v>732</v>
      </c>
      <c r="G234" s="739" t="s">
        <v>535</v>
      </c>
      <c r="H234" s="294"/>
      <c r="I234" s="373"/>
      <c r="J234" s="379"/>
      <c r="K234" s="373"/>
      <c r="L234" s="379"/>
      <c r="M234" s="670">
        <f>ROUND(G224*$G234,0)</f>
        <v>420110</v>
      </c>
      <c r="N234" s="671" t="s">
        <v>540</v>
      </c>
      <c r="O234" s="671" t="s">
        <v>543</v>
      </c>
      <c r="P234" s="75" t="str">
        <f>IF(AND('331-CT'!$E$7=TH!H234,OR(N234="331",O234="331")),"x","")</f>
        <v/>
      </c>
      <c r="Q234" s="75" t="str">
        <f>IF(AND(B234='111'!$L$11,OR($N234=$Q$7,$O234=$Q$7)),"x","")</f>
        <v/>
      </c>
      <c r="R234" s="75" t="str">
        <f>IF(AND($N234=$Q$7,$B234&lt;'111'!$L$11),"x","")</f>
        <v/>
      </c>
      <c r="S234" s="75" t="str">
        <f>IF(AND($O234=$Q$7,$B234&lt;'111'!$L$11),"x","")</f>
        <v/>
      </c>
      <c r="T234" s="75" t="str">
        <f>IF(ISERROR(FIND('112'!$M$9,G234,1)),"",IF((AND(FIND('112'!$M$9,G234,1)&gt;=1,B234='112'!$K$9,OR($N234='112'!$I$6,$O234='112'!$I$6))),"x",""))</f>
        <v/>
      </c>
      <c r="U234" s="75" t="str">
        <f>IF(ISERROR(FIND('112'!$M$9,G234,1)),"",IF((AND(LEFT(G234,2)=LEFT('112'!$M$9,2),B234&lt;'112'!$K$9,$N234='112'!$I$6)),"x",""))</f>
        <v/>
      </c>
      <c r="V234" s="75" t="str">
        <f>IF(ISERROR(FIND('112'!$M$9,G234,1)),"",IF((AND(RIGHT(G234,2)=RIGHT('112'!$M$9,2),B234&lt;'112'!$K$9,$O234='112'!$I$6)),"x",""))</f>
        <v/>
      </c>
      <c r="W234" s="75" t="str">
        <f>IF(AND('341-CT'!$H$9=H234,OR(LEFT(N234,3)=$W$7,LEFT(O234,3)=$W$7)),"x","")</f>
        <v/>
      </c>
      <c r="X234" s="75" t="str">
        <f>IF(OR(TH!N234=TH!$X$7,O234=TH!$X$7),"x","")</f>
        <v/>
      </c>
      <c r="Y234" s="75" t="str">
        <f>IF(AND(OR(N234="131",O234="131"),H234='131-CT'!$H$9),"x","")</f>
        <v/>
      </c>
      <c r="Z234" s="75"/>
      <c r="AA234" s="75" t="str">
        <f>IF(AND(MONTH(E234)='IN-NX'!$J$5,'IN-NX'!$D$7=D234),"x","")</f>
        <v/>
      </c>
      <c r="AB234" s="75" t="str">
        <f>IF(AND(OR(LEFT(TH!N234,2)="15",LEFT(TH!O234,2)="15"),LEFT(TH!O234,3)&lt;&gt;"111",'152-CT'!$J$8=TH!F234),"x","")</f>
        <v/>
      </c>
      <c r="AC234" s="75" t="str">
        <f>IF(AND(OR(LEFT(TH!N234,2)="15",LEFT(TH!O234,2)="15"),TK!$E$7=TH!F234),"x","")</f>
        <v/>
      </c>
      <c r="AD234" s="75" t="str">
        <f>IF(AND(N234="1521",MONTH(C234)='BK-NL'!$M$11),"x","")</f>
        <v/>
      </c>
    </row>
    <row r="235" spans="1:30" ht="16.5" customHeight="1">
      <c r="A235" s="309" t="str">
        <f>IF(B235&lt;&gt;"",IF(AND(B235='IN-TC'!$S$4,OR(TH!N235="1111",TH!O235="1111")),TH!D235,""),"")</f>
        <v/>
      </c>
      <c r="B235" s="1244">
        <f t="shared" si="29"/>
        <v>10</v>
      </c>
      <c r="C235" s="666">
        <v>43039</v>
      </c>
      <c r="D235" s="666" t="s">
        <v>530</v>
      </c>
      <c r="E235" s="666">
        <f t="shared" si="39"/>
        <v>43039</v>
      </c>
      <c r="F235" s="905" t="s">
        <v>733</v>
      </c>
      <c r="G235" s="250"/>
      <c r="H235" s="294"/>
      <c r="I235" s="373"/>
      <c r="J235" s="379"/>
      <c r="K235" s="373"/>
      <c r="L235" s="379"/>
      <c r="M235" s="670">
        <f>ROUND(G225*$G234,0)</f>
        <v>547920</v>
      </c>
      <c r="N235" s="671" t="s">
        <v>540</v>
      </c>
      <c r="O235" s="671" t="s">
        <v>543</v>
      </c>
      <c r="P235" s="75" t="str">
        <f>IF(AND('331-CT'!$E$7=TH!H235,OR(N235="331",O235="331")),"x","")</f>
        <v/>
      </c>
      <c r="Q235" s="75" t="str">
        <f>IF(AND(B235='111'!$L$11,OR($N235=$Q$7,$O235=$Q$7)),"x","")</f>
        <v/>
      </c>
      <c r="R235" s="75" t="str">
        <f>IF(AND($N235=$Q$7,$B235&lt;'111'!$L$11),"x","")</f>
        <v/>
      </c>
      <c r="S235" s="75" t="str">
        <f>IF(AND($O235=$Q$7,$B235&lt;'111'!$L$11),"x","")</f>
        <v/>
      </c>
      <c r="T235" s="75" t="str">
        <f>IF(ISERROR(FIND('112'!$M$9,G235,1)),"",IF((AND(FIND('112'!$M$9,G235,1)&gt;=1,B235='112'!$K$9,OR($N235='112'!$I$6,$O235='112'!$I$6))),"x",""))</f>
        <v/>
      </c>
      <c r="U235" s="75" t="str">
        <f>IF(ISERROR(FIND('112'!$M$9,G235,1)),"",IF((AND(LEFT(G235,2)=LEFT('112'!$M$9,2),B235&lt;'112'!$K$9,$N235='112'!$I$6)),"x",""))</f>
        <v/>
      </c>
      <c r="V235" s="75" t="str">
        <f>IF(ISERROR(FIND('112'!$M$9,G235,1)),"",IF((AND(RIGHT(G235,2)=RIGHT('112'!$M$9,2),B235&lt;'112'!$K$9,$O235='112'!$I$6)),"x",""))</f>
        <v/>
      </c>
      <c r="W235" s="75" t="str">
        <f>IF(AND('341-CT'!$H$9=H235,OR(LEFT(N235,3)=$W$7,LEFT(O235,3)=$W$7)),"x","")</f>
        <v/>
      </c>
      <c r="X235" s="75" t="str">
        <f>IF(OR(TH!N235=TH!$X$7,O235=TH!$X$7),"x","")</f>
        <v/>
      </c>
      <c r="Y235" s="75" t="str">
        <f>IF(AND(OR(N235="131",O235="131"),H235='131-CT'!$H$9),"x","")</f>
        <v/>
      </c>
      <c r="Z235" s="75"/>
      <c r="AA235" s="75" t="str">
        <f>IF(AND(MONTH(E235)='IN-NX'!$J$5,'IN-NX'!$D$7=D235),"x","")</f>
        <v/>
      </c>
      <c r="AB235" s="75" t="str">
        <f>IF(AND(OR(LEFT(TH!N235,2)="15",LEFT(TH!O235,2)="15"),LEFT(TH!O235,3)&lt;&gt;"111",'152-CT'!$J$8=TH!F235),"x","")</f>
        <v/>
      </c>
      <c r="AC235" s="75" t="str">
        <f>IF(AND(OR(LEFT(TH!N235,2)="15",LEFT(TH!O235,2)="15"),TK!$E$7=TH!F235),"x","")</f>
        <v/>
      </c>
      <c r="AD235" s="75" t="str">
        <f>IF(AND(N235="1521",MONTH(C235)='BK-NL'!$M$11),"x","")</f>
        <v/>
      </c>
    </row>
    <row r="236" spans="1:30" ht="16.5" customHeight="1">
      <c r="A236" s="309" t="str">
        <f>IF(B236&lt;&gt;"",IF(AND(B236='IN-TC'!$S$4,OR(TH!N236="1111",TH!O236="1111")),TH!D236,""),"")</f>
        <v/>
      </c>
      <c r="B236" s="1244">
        <f t="shared" si="29"/>
        <v>10</v>
      </c>
      <c r="C236" s="666">
        <v>43039</v>
      </c>
      <c r="D236" s="666" t="s">
        <v>530</v>
      </c>
      <c r="E236" s="666">
        <f t="shared" si="39"/>
        <v>43039</v>
      </c>
      <c r="F236" s="905" t="s">
        <v>734</v>
      </c>
      <c r="G236" s="739" t="s">
        <v>535</v>
      </c>
      <c r="H236" s="871"/>
      <c r="I236" s="374"/>
      <c r="J236" s="380"/>
      <c r="K236" s="374"/>
      <c r="L236" s="380"/>
      <c r="M236" s="670">
        <f>M234</f>
        <v>420110</v>
      </c>
      <c r="N236" s="671" t="s">
        <v>539</v>
      </c>
      <c r="O236" s="671" t="s">
        <v>543</v>
      </c>
      <c r="P236" s="75" t="str">
        <f>IF(AND('331-CT'!$E$7=TH!H236,OR(N236="331",O236="331")),"x","")</f>
        <v/>
      </c>
      <c r="Q236" s="75" t="str">
        <f>IF(AND(B236='111'!$L$11,OR($N236=$Q$7,$O236=$Q$7)),"x","")</f>
        <v/>
      </c>
      <c r="R236" s="75" t="str">
        <f>IF(AND($N236=$Q$7,$B236&lt;'111'!$L$11),"x","")</f>
        <v/>
      </c>
      <c r="S236" s="75" t="str">
        <f>IF(AND($O236=$Q$7,$B236&lt;'111'!$L$11),"x","")</f>
        <v/>
      </c>
      <c r="T236" s="75" t="str">
        <f>IF(ISERROR(FIND('112'!$M$9,G236,1)),"",IF((AND(FIND('112'!$M$9,G236,1)&gt;=1,B236='112'!$K$9,OR($N236='112'!$I$6,$O236='112'!$I$6))),"x",""))</f>
        <v/>
      </c>
      <c r="U236" s="75" t="str">
        <f>IF(ISERROR(FIND('112'!$M$9,G236,1)),"",IF((AND(LEFT(G236,2)=LEFT('112'!$M$9,2),B236&lt;'112'!$K$9,$N236='112'!$I$6)),"x",""))</f>
        <v/>
      </c>
      <c r="V236" s="75" t="str">
        <f>IF(ISERROR(FIND('112'!$M$9,G236,1)),"",IF((AND(RIGHT(G236,2)=RIGHT('112'!$M$9,2),B236&lt;'112'!$K$9,$O236='112'!$I$6)),"x",""))</f>
        <v/>
      </c>
      <c r="W236" s="75" t="str">
        <f>IF(AND('341-CT'!$H$9=H236,OR(LEFT(N236,3)=$W$7,LEFT(O236,3)=$W$7)),"x","")</f>
        <v/>
      </c>
      <c r="X236" s="75" t="str">
        <f>IF(OR(TH!N236=TH!$X$7,O236=TH!$X$7),"x","")</f>
        <v/>
      </c>
      <c r="Y236" s="75" t="str">
        <f>IF(AND(OR(N236="131",O236="131"),H236='131-CT'!$H$9),"x","")</f>
        <v/>
      </c>
      <c r="Z236" s="75"/>
      <c r="AA236" s="75" t="str">
        <f>IF(AND(MONTH(E236)='IN-NX'!$J$5,'IN-NX'!$D$7=D236),"x","")</f>
        <v/>
      </c>
      <c r="AB236" s="75" t="str">
        <f>IF(AND(OR(LEFT(TH!N236,2)="15",LEFT(TH!O236,2)="15"),LEFT(TH!O236,3)&lt;&gt;"111",'152-CT'!$J$8=TH!F236),"x","")</f>
        <v/>
      </c>
      <c r="AC236" s="75" t="str">
        <f>IF(AND(OR(LEFT(TH!N236,2)="15",LEFT(TH!O236,2)="15"),TK!$E$7=TH!F236),"x","")</f>
        <v/>
      </c>
      <c r="AD236" s="75" t="str">
        <f>IF(AND(N236="1521",MONTH(C236)='BK-NL'!$M$11),"x","")</f>
        <v/>
      </c>
    </row>
    <row r="237" spans="1:30" ht="16.5" customHeight="1">
      <c r="A237" s="309" t="str">
        <f>IF(B237&lt;&gt;"",IF(AND(B237='IN-TC'!$S$4,OR(TH!N237="1111",TH!O237="1111")),TH!D237,""),"")</f>
        <v/>
      </c>
      <c r="B237" s="1244">
        <f t="shared" si="29"/>
        <v>10</v>
      </c>
      <c r="C237" s="666">
        <v>43039</v>
      </c>
      <c r="D237" s="666" t="s">
        <v>530</v>
      </c>
      <c r="E237" s="666">
        <f t="shared" si="39"/>
        <v>43039</v>
      </c>
      <c r="F237" s="905" t="s">
        <v>735</v>
      </c>
      <c r="G237" s="250"/>
      <c r="H237" s="294"/>
      <c r="I237" s="373"/>
      <c r="J237" s="379"/>
      <c r="K237" s="373"/>
      <c r="L237" s="379"/>
      <c r="M237" s="670">
        <f>M235</f>
        <v>547920</v>
      </c>
      <c r="N237" s="671" t="s">
        <v>272</v>
      </c>
      <c r="O237" s="671" t="s">
        <v>543</v>
      </c>
      <c r="P237" s="75" t="str">
        <f>IF(AND('331-CT'!$E$7=TH!H237,OR(N237="331",O237="331")),"x","")</f>
        <v/>
      </c>
      <c r="Q237" s="75" t="str">
        <f>IF(AND(B237='111'!$L$11,OR($N237=$Q$7,$O237=$Q$7)),"x","")</f>
        <v/>
      </c>
      <c r="R237" s="75" t="str">
        <f>IF(AND($N237=$Q$7,$B237&lt;'111'!$L$11),"x","")</f>
        <v/>
      </c>
      <c r="S237" s="75" t="str">
        <f>IF(AND($O237=$Q$7,$B237&lt;'111'!$L$11),"x","")</f>
        <v/>
      </c>
      <c r="T237" s="75" t="str">
        <f>IF(ISERROR(FIND('112'!$M$9,G237,1)),"",IF((AND(FIND('112'!$M$9,G237,1)&gt;=1,B237='112'!$K$9,OR($N237='112'!$I$6,$O237='112'!$I$6))),"x",""))</f>
        <v/>
      </c>
      <c r="U237" s="75" t="str">
        <f>IF(ISERROR(FIND('112'!$M$9,G237,1)),"",IF((AND(LEFT(G237,2)=LEFT('112'!$M$9,2),B237&lt;'112'!$K$9,$N237='112'!$I$6)),"x",""))</f>
        <v/>
      </c>
      <c r="V237" s="75" t="str">
        <f>IF(ISERROR(FIND('112'!$M$9,G237,1)),"",IF((AND(RIGHT(G237,2)=RIGHT('112'!$M$9,2),B237&lt;'112'!$K$9,$O237='112'!$I$6)),"x",""))</f>
        <v/>
      </c>
      <c r="W237" s="75" t="str">
        <f>IF(AND('341-CT'!$H$9=H237,OR(LEFT(N237,3)=$W$7,LEFT(O237,3)=$W$7)),"x","")</f>
        <v/>
      </c>
      <c r="X237" s="75" t="str">
        <f>IF(OR(TH!N237=TH!$X$7,O237=TH!$X$7),"x","")</f>
        <v/>
      </c>
      <c r="Y237" s="75" t="str">
        <f>IF(AND(OR(N237="131",O237="131"),H237='131-CT'!$H$9),"x","")</f>
        <v/>
      </c>
      <c r="Z237" s="75"/>
      <c r="AA237" s="75" t="str">
        <f>IF(AND(MONTH(E237)='IN-NX'!$J$5,'IN-NX'!$D$7=D237),"x","")</f>
        <v/>
      </c>
      <c r="AB237" s="75" t="str">
        <f>IF(AND(OR(LEFT(TH!N237,2)="15",LEFT(TH!O237,2)="15"),LEFT(TH!O237,3)&lt;&gt;"111",'152-CT'!$J$8=TH!F237),"x","")</f>
        <v/>
      </c>
      <c r="AC237" s="75" t="str">
        <f>IF(AND(OR(LEFT(TH!N237,2)="15",LEFT(TH!O237,2)="15"),TK!$E$7=TH!F237),"x","")</f>
        <v/>
      </c>
      <c r="AD237" s="75" t="str">
        <f>IF(AND(N237="1521",MONTH(C237)='BK-NL'!$M$11),"x","")</f>
        <v/>
      </c>
    </row>
    <row r="238" spans="1:30" ht="16.5" customHeight="1">
      <c r="A238" s="309" t="str">
        <f>IF(B238&lt;&gt;"",IF(AND(B238='IN-TC'!$S$4,OR(TH!N238="1111",TH!O238="1111")),TH!D238,""),"")</f>
        <v/>
      </c>
      <c r="B238" s="1244">
        <f t="shared" ref="B238:B239" si="40">IF(C238&lt;&gt;"",MONTH(C238),"")</f>
        <v>10</v>
      </c>
      <c r="C238" s="666">
        <v>43039</v>
      </c>
      <c r="D238" s="666" t="s">
        <v>530</v>
      </c>
      <c r="E238" s="666">
        <f t="shared" ref="E238:E239" si="41">C238</f>
        <v>43039</v>
      </c>
      <c r="F238" s="905" t="s">
        <v>2686</v>
      </c>
      <c r="G238" s="739" t="s">
        <v>2688</v>
      </c>
      <c r="H238" s="871"/>
      <c r="I238" s="374"/>
      <c r="J238" s="380"/>
      <c r="K238" s="374"/>
      <c r="L238" s="380"/>
      <c r="M238" s="670">
        <f>ROUND(G224*$G238,0)</f>
        <v>210055</v>
      </c>
      <c r="N238" s="671" t="s">
        <v>539</v>
      </c>
      <c r="O238" s="671" t="s">
        <v>19</v>
      </c>
      <c r="P238" s="75" t="str">
        <f>IF(AND('331-CT'!$E$7=TH!H238,OR(N238="331",O238="331")),"x","")</f>
        <v/>
      </c>
      <c r="Q238" s="75" t="str">
        <f>IF(AND(B238='111'!$L$11,OR($N238=$Q$7,$O238=$Q$7)),"x","")</f>
        <v/>
      </c>
      <c r="R238" s="75" t="str">
        <f>IF(AND($N238=$Q$7,$B238&lt;'111'!$L$11),"x","")</f>
        <v/>
      </c>
      <c r="S238" s="75" t="str">
        <f>IF(AND($O238=$Q$7,$B238&lt;'111'!$L$11),"x","")</f>
        <v/>
      </c>
      <c r="T238" s="75" t="str">
        <f>IF(ISERROR(FIND('112'!$M$9,G238,1)),"",IF((AND(FIND('112'!$M$9,G238,1)&gt;=1,B238='112'!$K$9,OR($N238='112'!$I$6,$O238='112'!$I$6))),"x",""))</f>
        <v/>
      </c>
      <c r="U238" s="75" t="str">
        <f>IF(ISERROR(FIND('112'!$M$9,G238,1)),"",IF((AND(LEFT(G238,2)=LEFT('112'!$M$9,2),B238&lt;'112'!$K$9,$N238='112'!$I$6)),"x",""))</f>
        <v/>
      </c>
      <c r="V238" s="75" t="str">
        <f>IF(ISERROR(FIND('112'!$M$9,G238,1)),"",IF((AND(RIGHT(G238,2)=RIGHT('112'!$M$9,2),B238&lt;'112'!$K$9,$O238='112'!$I$6)),"x",""))</f>
        <v/>
      </c>
      <c r="W238" s="75" t="str">
        <f>IF(AND('341-CT'!$H$9=H238,OR(LEFT(N238,3)=$W$7,LEFT(O238,3)=$W$7)),"x","")</f>
        <v/>
      </c>
      <c r="X238" s="75" t="str">
        <f>IF(OR(TH!N238=TH!$X$7,O238=TH!$X$7),"x","")</f>
        <v/>
      </c>
      <c r="Y238" s="75" t="str">
        <f>IF(AND(OR(N238="131",O238="131"),H238='131-CT'!$H$9),"x","")</f>
        <v/>
      </c>
      <c r="Z238" s="75"/>
      <c r="AA238" s="75" t="str">
        <f>IF(AND(MONTH(E238)='IN-NX'!$J$5,'IN-NX'!$D$7=D238),"x","")</f>
        <v/>
      </c>
      <c r="AB238" s="75" t="str">
        <f>IF(AND(OR(LEFT(TH!N238,2)="15",LEFT(TH!O238,2)="15"),LEFT(TH!O238,3)&lt;&gt;"111",'152-CT'!$J$8=TH!F238),"x","")</f>
        <v/>
      </c>
      <c r="AC238" s="75" t="str">
        <f>IF(AND(OR(LEFT(TH!N238,2)="15",LEFT(TH!O238,2)="15"),TK!$E$7=TH!F238),"x","")</f>
        <v/>
      </c>
      <c r="AD238" s="75" t="str">
        <f>IF(AND(N238="1521",MONTH(C238)='BK-NL'!$M$11),"x","")</f>
        <v/>
      </c>
    </row>
    <row r="239" spans="1:30" ht="16.5" customHeight="1">
      <c r="A239" s="309" t="str">
        <f>IF(B239&lt;&gt;"",IF(AND(B239='IN-TC'!$S$4,OR(TH!N239="1111",TH!O239="1111")),TH!D239,""),"")</f>
        <v/>
      </c>
      <c r="B239" s="1244">
        <f t="shared" si="40"/>
        <v>10</v>
      </c>
      <c r="C239" s="666">
        <v>43039</v>
      </c>
      <c r="D239" s="666" t="s">
        <v>530</v>
      </c>
      <c r="E239" s="666">
        <f t="shared" si="41"/>
        <v>43039</v>
      </c>
      <c r="F239" s="905" t="s">
        <v>2687</v>
      </c>
      <c r="G239" s="250"/>
      <c r="H239" s="294"/>
      <c r="I239" s="373"/>
      <c r="J239" s="379"/>
      <c r="K239" s="373"/>
      <c r="L239" s="379"/>
      <c r="M239" s="670">
        <f>ROUND(G225*$G238,0)</f>
        <v>273960</v>
      </c>
      <c r="N239" s="671" t="s">
        <v>272</v>
      </c>
      <c r="O239" s="671" t="s">
        <v>19</v>
      </c>
      <c r="P239" s="75" t="str">
        <f>IF(AND('331-CT'!$E$7=TH!H239,OR(N239="331",O239="331")),"x","")</f>
        <v/>
      </c>
      <c r="Q239" s="75" t="str">
        <f>IF(AND(B239='111'!$L$11,OR($N239=$Q$7,$O239=$Q$7)),"x","")</f>
        <v/>
      </c>
      <c r="R239" s="75" t="str">
        <f>IF(AND($N239=$Q$7,$B239&lt;'111'!$L$11),"x","")</f>
        <v/>
      </c>
      <c r="S239" s="75" t="str">
        <f>IF(AND($O239=$Q$7,$B239&lt;'111'!$L$11),"x","")</f>
        <v/>
      </c>
      <c r="T239" s="75" t="str">
        <f>IF(ISERROR(FIND('112'!$M$9,G239,1)),"",IF((AND(FIND('112'!$M$9,G239,1)&gt;=1,B239='112'!$K$9,OR($N239='112'!$I$6,$O239='112'!$I$6))),"x",""))</f>
        <v/>
      </c>
      <c r="U239" s="75" t="str">
        <f>IF(ISERROR(FIND('112'!$M$9,G239,1)),"",IF((AND(LEFT(G239,2)=LEFT('112'!$M$9,2),B239&lt;'112'!$K$9,$N239='112'!$I$6)),"x",""))</f>
        <v/>
      </c>
      <c r="V239" s="75" t="str">
        <f>IF(ISERROR(FIND('112'!$M$9,G239,1)),"",IF((AND(RIGHT(G239,2)=RIGHT('112'!$M$9,2),B239&lt;'112'!$K$9,$O239='112'!$I$6)),"x",""))</f>
        <v/>
      </c>
      <c r="W239" s="75" t="str">
        <f>IF(AND('341-CT'!$H$9=H239,OR(LEFT(N239,3)=$W$7,LEFT(O239,3)=$W$7)),"x","")</f>
        <v/>
      </c>
      <c r="X239" s="75" t="str">
        <f>IF(OR(TH!N239=TH!$X$7,O239=TH!$X$7),"x","")</f>
        <v/>
      </c>
      <c r="Y239" s="75" t="str">
        <f>IF(AND(OR(N239="131",O239="131"),H239='131-CT'!$H$9),"x","")</f>
        <v/>
      </c>
      <c r="Z239" s="75"/>
      <c r="AA239" s="75" t="str">
        <f>IF(AND(MONTH(E239)='IN-NX'!$J$5,'IN-NX'!$D$7=D239),"x","")</f>
        <v/>
      </c>
      <c r="AB239" s="75" t="str">
        <f>IF(AND(OR(LEFT(TH!N239,2)="15",LEFT(TH!O239,2)="15"),LEFT(TH!O239,3)&lt;&gt;"111",'152-CT'!$J$8=TH!F239),"x","")</f>
        <v/>
      </c>
      <c r="AC239" s="75" t="str">
        <f>IF(AND(OR(LEFT(TH!N239,2)="15",LEFT(TH!O239,2)="15"),TK!$E$7=TH!F239),"x","")</f>
        <v/>
      </c>
      <c r="AD239" s="75" t="str">
        <f>IF(AND(N239="1521",MONTH(C239)='BK-NL'!$M$11),"x","")</f>
        <v/>
      </c>
    </row>
    <row r="240" spans="1:30" ht="16.5" customHeight="1">
      <c r="A240" s="309" t="str">
        <f>IF(B240&lt;&gt;"",IF(AND(B240='IN-TC'!$S$4,OR(TH!N240="1111",TH!O240="1111")),TH!D240,""),"")</f>
        <v/>
      </c>
      <c r="B240" s="1244">
        <f t="shared" ref="B240:B242" si="42">IF(C240&lt;&gt;"",MONTH(C240),"")</f>
        <v>10</v>
      </c>
      <c r="C240" s="666">
        <v>43039</v>
      </c>
      <c r="D240" s="666" t="s">
        <v>530</v>
      </c>
      <c r="E240" s="666">
        <f t="shared" ref="E240:E242" si="43">C240</f>
        <v>43039</v>
      </c>
      <c r="F240" s="905" t="s">
        <v>2672</v>
      </c>
      <c r="G240" s="250"/>
      <c r="H240" s="294"/>
      <c r="I240" s="373"/>
      <c r="J240" s="379"/>
      <c r="K240" s="373"/>
      <c r="L240" s="379"/>
      <c r="M240" s="670">
        <v>708171</v>
      </c>
      <c r="N240" s="671" t="s">
        <v>105</v>
      </c>
      <c r="O240" s="671" t="s">
        <v>541</v>
      </c>
      <c r="P240" s="75" t="str">
        <f>IF(AND('331-CT'!$E$7=TH!H240,OR(N240="331",O240="331")),"x","")</f>
        <v/>
      </c>
      <c r="Q240" s="75" t="str">
        <f>IF(AND(B240='111'!$L$11,OR($N240=$Q$7,$O240=$Q$7)),"x","")</f>
        <v/>
      </c>
      <c r="R240" s="75" t="str">
        <f>IF(AND($N240=$Q$7,$B240&lt;'111'!$L$11),"x","")</f>
        <v/>
      </c>
      <c r="S240" s="75" t="str">
        <f>IF(AND($O240=$Q$7,$B240&lt;'111'!$L$11),"x","")</f>
        <v/>
      </c>
      <c r="T240" s="75" t="str">
        <f>IF(ISERROR(FIND('112'!$M$9,G240,1)),"",IF((AND(FIND('112'!$M$9,G240,1)&gt;=1,B240='112'!$K$9,OR($N240='112'!$I$6,$O240='112'!$I$6))),"x",""))</f>
        <v/>
      </c>
      <c r="U240" s="75" t="str">
        <f>IF(ISERROR(FIND('112'!$M$9,G240,1)),"",IF((AND(LEFT(G240,2)=LEFT('112'!$M$9,2),B240&lt;'112'!$K$9,$N240='112'!$I$6)),"x",""))</f>
        <v/>
      </c>
      <c r="V240" s="75" t="str">
        <f>IF(ISERROR(FIND('112'!$M$9,G240,1)),"",IF((AND(RIGHT(G240,2)=RIGHT('112'!$M$9,2),B240&lt;'112'!$K$9,$O240='112'!$I$6)),"x",""))</f>
        <v/>
      </c>
      <c r="W240" s="75" t="str">
        <f>IF(AND('341-CT'!$H$9=H240,OR(LEFT(N240,3)=$W$7,LEFT(O240,3)=$W$7)),"x","")</f>
        <v/>
      </c>
      <c r="X240" s="75" t="str">
        <f>IF(OR(TH!N240=TH!$X$7,O240=TH!$X$7),"x","")</f>
        <v/>
      </c>
      <c r="Y240" s="75" t="str">
        <f>IF(AND(OR(N240="131",O240="131"),H240='131-CT'!$H$9),"x","")</f>
        <v/>
      </c>
      <c r="Z240" s="75"/>
      <c r="AA240" s="75" t="str">
        <f>IF(AND(MONTH(E240)='IN-NX'!$J$5,'IN-NX'!$D$7=D240),"x","")</f>
        <v/>
      </c>
      <c r="AB240" s="75" t="str">
        <f>IF(AND(OR(LEFT(TH!N240,2)="15",LEFT(TH!O240,2)="15"),LEFT(TH!O240,3)&lt;&gt;"111",'152-CT'!$J$8=TH!F240),"x","")</f>
        <v/>
      </c>
      <c r="AC240" s="75" t="str">
        <f>IF(AND(OR(LEFT(TH!N240,2)="15",LEFT(TH!O240,2)="15"),TK!$E$7=TH!F240),"x","")</f>
        <v/>
      </c>
      <c r="AD240" s="75" t="str">
        <f>IF(AND(N240="1521",MONTH(C240)='BK-NL'!$M$11),"x","")</f>
        <v/>
      </c>
    </row>
    <row r="241" spans="1:30" ht="16.5" customHeight="1">
      <c r="A241" s="309" t="str">
        <f>IF(B241&lt;&gt;"",IF(AND(B241='IN-TC'!$S$4,OR(TH!N241="1111",TH!O241="1111")),TH!D241,""),"")</f>
        <v/>
      </c>
      <c r="B241" s="1244">
        <f t="shared" si="42"/>
        <v>10</v>
      </c>
      <c r="C241" s="666">
        <v>43039</v>
      </c>
      <c r="D241" s="666" t="s">
        <v>530</v>
      </c>
      <c r="E241" s="666">
        <f t="shared" si="43"/>
        <v>43039</v>
      </c>
      <c r="F241" s="905" t="s">
        <v>2672</v>
      </c>
      <c r="G241" s="250"/>
      <c r="H241" s="294"/>
      <c r="I241" s="373"/>
      <c r="J241" s="379"/>
      <c r="K241" s="373"/>
      <c r="L241" s="379"/>
      <c r="M241" s="670">
        <v>74018</v>
      </c>
      <c r="N241" s="671" t="s">
        <v>105</v>
      </c>
      <c r="O241" s="671" t="s">
        <v>542</v>
      </c>
      <c r="P241" s="75" t="str">
        <f>IF(AND('331-CT'!$E$7=TH!H241,OR(N241="331",O241="331")),"x","")</f>
        <v/>
      </c>
      <c r="Q241" s="75" t="str">
        <f>IF(AND(B241='111'!$L$11,OR($N241=$Q$7,$O241=$Q$7)),"x","")</f>
        <v/>
      </c>
      <c r="R241" s="75" t="str">
        <f>IF(AND($N241=$Q$7,$B241&lt;'111'!$L$11),"x","")</f>
        <v/>
      </c>
      <c r="S241" s="75" t="str">
        <f>IF(AND($O241=$Q$7,$B241&lt;'111'!$L$11),"x","")</f>
        <v/>
      </c>
      <c r="T241" s="75" t="str">
        <f>IF(ISERROR(FIND('112'!$M$9,G241,1)),"",IF((AND(FIND('112'!$M$9,G241,1)&gt;=1,B241='112'!$K$9,OR($N241='112'!$I$6,$O241='112'!$I$6))),"x",""))</f>
        <v/>
      </c>
      <c r="U241" s="75" t="str">
        <f>IF(ISERROR(FIND('112'!$M$9,G241,1)),"",IF((AND(LEFT(G241,2)=LEFT('112'!$M$9,2),B241&lt;'112'!$K$9,$N241='112'!$I$6)),"x",""))</f>
        <v/>
      </c>
      <c r="V241" s="75" t="str">
        <f>IF(ISERROR(FIND('112'!$M$9,G241,1)),"",IF((AND(RIGHT(G241,2)=RIGHT('112'!$M$9,2),B241&lt;'112'!$K$9,$O241='112'!$I$6)),"x",""))</f>
        <v/>
      </c>
      <c r="W241" s="75" t="str">
        <f>IF(AND('341-CT'!$H$9=H241,OR(LEFT(N241,3)=$W$7,LEFT(O241,3)=$W$7)),"x","")</f>
        <v/>
      </c>
      <c r="X241" s="75" t="str">
        <f>IF(OR(TH!N241=TH!$X$7,O241=TH!$X$7),"x","")</f>
        <v/>
      </c>
      <c r="Y241" s="75" t="str">
        <f>IF(AND(OR(N241="131",O241="131"),H241='131-CT'!$H$9),"x","")</f>
        <v/>
      </c>
      <c r="Z241" s="75"/>
      <c r="AA241" s="75" t="str">
        <f>IF(AND(MONTH(E241)='IN-NX'!$J$5,'IN-NX'!$D$7=D241),"x","")</f>
        <v/>
      </c>
      <c r="AB241" s="75" t="str">
        <f>IF(AND(OR(LEFT(TH!N241,2)="15",LEFT(TH!O241,2)="15"),LEFT(TH!O241,3)&lt;&gt;"111",'152-CT'!$J$8=TH!F241),"x","")</f>
        <v/>
      </c>
      <c r="AC241" s="75" t="str">
        <f>IF(AND(OR(LEFT(TH!N241,2)="15",LEFT(TH!O241,2)="15"),TK!$E$7=TH!F241),"x","")</f>
        <v/>
      </c>
      <c r="AD241" s="75" t="str">
        <f>IF(AND(N241="1521",MONTH(C241)='BK-NL'!$M$11),"x","")</f>
        <v/>
      </c>
    </row>
    <row r="242" spans="1:30" ht="16.5" customHeight="1">
      <c r="A242" s="309" t="str">
        <f>IF(B242&lt;&gt;"",IF(AND(B242='IN-TC'!$S$4,OR(TH!N242="1111",TH!O242="1111")),TH!D242,""),"")</f>
        <v/>
      </c>
      <c r="B242" s="1244">
        <f t="shared" si="42"/>
        <v>10</v>
      </c>
      <c r="C242" s="666">
        <v>43039</v>
      </c>
      <c r="D242" s="666" t="s">
        <v>530</v>
      </c>
      <c r="E242" s="666">
        <f t="shared" si="43"/>
        <v>43039</v>
      </c>
      <c r="F242" s="905" t="s">
        <v>2672</v>
      </c>
      <c r="G242" s="250"/>
      <c r="H242" s="294"/>
      <c r="I242" s="373"/>
      <c r="J242" s="379"/>
      <c r="K242" s="373"/>
      <c r="L242" s="379"/>
      <c r="M242" s="670">
        <v>56083</v>
      </c>
      <c r="N242" s="671" t="s">
        <v>105</v>
      </c>
      <c r="O242" s="671" t="s">
        <v>543</v>
      </c>
      <c r="P242" s="75" t="str">
        <f>IF(AND('331-CT'!$E$7=TH!H242,OR(N242="331",O242="331")),"x","")</f>
        <v/>
      </c>
      <c r="Q242" s="75" t="str">
        <f>IF(AND(B242='111'!$L$11,OR($N242=$Q$7,$O242=$Q$7)),"x","")</f>
        <v/>
      </c>
      <c r="R242" s="75" t="str">
        <f>IF(AND($N242=$Q$7,$B242&lt;'111'!$L$11),"x","")</f>
        <v/>
      </c>
      <c r="S242" s="75" t="str">
        <f>IF(AND($O242=$Q$7,$B242&lt;'111'!$L$11),"x","")</f>
        <v/>
      </c>
      <c r="T242" s="75" t="str">
        <f>IF(ISERROR(FIND('112'!$M$9,G242,1)),"",IF((AND(FIND('112'!$M$9,G242,1)&gt;=1,B242='112'!$K$9,OR($N242='112'!$I$6,$O242='112'!$I$6))),"x",""))</f>
        <v/>
      </c>
      <c r="U242" s="75" t="str">
        <f>IF(ISERROR(FIND('112'!$M$9,G242,1)),"",IF((AND(LEFT(G242,2)=LEFT('112'!$M$9,2),B242&lt;'112'!$K$9,$N242='112'!$I$6)),"x",""))</f>
        <v/>
      </c>
      <c r="V242" s="75" t="str">
        <f>IF(ISERROR(FIND('112'!$M$9,G242,1)),"",IF((AND(RIGHT(G242,2)=RIGHT('112'!$M$9,2),B242&lt;'112'!$K$9,$O242='112'!$I$6)),"x",""))</f>
        <v/>
      </c>
      <c r="W242" s="75" t="str">
        <f>IF(AND('341-CT'!$H$9=H242,OR(LEFT(N242,3)=$W$7,LEFT(O242,3)=$W$7)),"x","")</f>
        <v/>
      </c>
      <c r="X242" s="75" t="str">
        <f>IF(OR(TH!N242=TH!$X$7,O242=TH!$X$7),"x","")</f>
        <v/>
      </c>
      <c r="Y242" s="75" t="str">
        <f>IF(AND(OR(N242="131",O242="131"),H242='131-CT'!$H$9),"x","")</f>
        <v/>
      </c>
      <c r="Z242" s="75"/>
      <c r="AA242" s="75" t="str">
        <f>IF(AND(MONTH(E242)='IN-NX'!$J$5,'IN-NX'!$D$7=D242),"x","")</f>
        <v/>
      </c>
      <c r="AB242" s="75" t="str">
        <f>IF(AND(OR(LEFT(TH!N242,2)="15",LEFT(TH!O242,2)="15"),LEFT(TH!O242,3)&lt;&gt;"111",'152-CT'!$J$8=TH!F242),"x","")</f>
        <v/>
      </c>
      <c r="AC242" s="75" t="str">
        <f>IF(AND(OR(LEFT(TH!N242,2)="15",LEFT(TH!O242,2)="15"),TK!$E$7=TH!F242),"x","")</f>
        <v/>
      </c>
      <c r="AD242" s="75" t="str">
        <f>IF(AND(N242="1521",MONTH(C242)='BK-NL'!$M$11),"x","")</f>
        <v/>
      </c>
    </row>
    <row r="243" spans="1:30" ht="16.5" customHeight="1">
      <c r="A243" s="309" t="str">
        <f>IF(B243&lt;&gt;"",IF(AND(B243='IN-TC'!$S$4,OR(TH!N243="1111",TH!O243="1111")),TH!D243,""),"")</f>
        <v/>
      </c>
      <c r="B243" s="1244">
        <f t="shared" ref="B243" si="44">IF(C243&lt;&gt;"",MONTH(C243),"")</f>
        <v>10</v>
      </c>
      <c r="C243" s="666">
        <v>43039</v>
      </c>
      <c r="D243" s="666" t="s">
        <v>530</v>
      </c>
      <c r="E243" s="666">
        <f t="shared" ref="E243" si="45">C243</f>
        <v>43039</v>
      </c>
      <c r="F243" s="905" t="s">
        <v>2672</v>
      </c>
      <c r="G243" s="250"/>
      <c r="H243" s="294"/>
      <c r="I243" s="373"/>
      <c r="J243" s="379"/>
      <c r="K243" s="373"/>
      <c r="L243" s="379"/>
      <c r="M243" s="670">
        <v>6894</v>
      </c>
      <c r="N243" s="671" t="s">
        <v>105</v>
      </c>
      <c r="O243" s="671" t="s">
        <v>19</v>
      </c>
      <c r="P243" s="75" t="str">
        <f>IF(AND('331-CT'!$E$7=TH!H243,OR(N243="331",O243="331")),"x","")</f>
        <v/>
      </c>
      <c r="Q243" s="75" t="str">
        <f>IF(AND(B243='111'!$L$11,OR($N243=$Q$7,$O243=$Q$7)),"x","")</f>
        <v/>
      </c>
      <c r="R243" s="75" t="str">
        <f>IF(AND($N243=$Q$7,$B243&lt;'111'!$L$11),"x","")</f>
        <v/>
      </c>
      <c r="S243" s="75" t="str">
        <f>IF(AND($O243=$Q$7,$B243&lt;'111'!$L$11),"x","")</f>
        <v/>
      </c>
      <c r="T243" s="75" t="str">
        <f>IF(ISERROR(FIND('112'!$M$9,G243,1)),"",IF((AND(FIND('112'!$M$9,G243,1)&gt;=1,B243='112'!$K$9,OR($N243='112'!$I$6,$O243='112'!$I$6))),"x",""))</f>
        <v/>
      </c>
      <c r="U243" s="75" t="str">
        <f>IF(ISERROR(FIND('112'!$M$9,G243,1)),"",IF((AND(LEFT(G243,2)=LEFT('112'!$M$9,2),B243&lt;'112'!$K$9,$N243='112'!$I$6)),"x",""))</f>
        <v/>
      </c>
      <c r="V243" s="75" t="str">
        <f>IF(ISERROR(FIND('112'!$M$9,G243,1)),"",IF((AND(RIGHT(G243,2)=RIGHT('112'!$M$9,2),B243&lt;'112'!$K$9,$O243='112'!$I$6)),"x",""))</f>
        <v/>
      </c>
      <c r="W243" s="75" t="str">
        <f>IF(AND('341-CT'!$H$9=H243,OR(LEFT(N243,3)=$W$7,LEFT(O243,3)=$W$7)),"x","")</f>
        <v/>
      </c>
      <c r="X243" s="75" t="str">
        <f>IF(OR(TH!N243=TH!$X$7,O243=TH!$X$7),"x","")</f>
        <v/>
      </c>
      <c r="Y243" s="75" t="str">
        <f>IF(AND(OR(N243="131",O243="131"),H243='131-CT'!$H$9),"x","")</f>
        <v/>
      </c>
      <c r="Z243" s="75"/>
      <c r="AA243" s="75" t="str">
        <f>IF(AND(MONTH(E243)='IN-NX'!$J$5,'IN-NX'!$D$7=D243),"x","")</f>
        <v/>
      </c>
      <c r="AB243" s="75" t="str">
        <f>IF(AND(OR(LEFT(TH!N243,2)="15",LEFT(TH!O243,2)="15"),LEFT(TH!O243,3)&lt;&gt;"111",'152-CT'!$J$8=TH!F243),"x","")</f>
        <v/>
      </c>
      <c r="AC243" s="75" t="str">
        <f>IF(AND(OR(LEFT(TH!N243,2)="15",LEFT(TH!O243,2)="15"),TK!$E$7=TH!F243),"x","")</f>
        <v/>
      </c>
      <c r="AD243" s="75" t="str">
        <f>IF(AND(N243="1521",MONTH(C243)='BK-NL'!$M$11),"x","")</f>
        <v/>
      </c>
    </row>
    <row r="244" spans="1:30" ht="16.5" customHeight="1">
      <c r="A244" s="309" t="str">
        <f>IF(B244&lt;&gt;"",IF(AND(B244='IN-TC'!$S$4,OR(TH!N244="1111",TH!O244="1111")),TH!D244,""),"")</f>
        <v/>
      </c>
      <c r="B244" s="1245">
        <f t="shared" si="29"/>
        <v>11</v>
      </c>
      <c r="C244" s="666">
        <v>43069</v>
      </c>
      <c r="D244" s="666" t="s">
        <v>530</v>
      </c>
      <c r="E244" s="666">
        <f t="shared" si="39"/>
        <v>43069</v>
      </c>
      <c r="F244" s="905" t="s">
        <v>722</v>
      </c>
      <c r="G244" s="250">
        <v>42011000</v>
      </c>
      <c r="H244" s="294"/>
      <c r="I244" s="373"/>
      <c r="J244" s="379"/>
      <c r="K244" s="373"/>
      <c r="L244" s="379"/>
      <c r="M244" s="670">
        <v>43833962</v>
      </c>
      <c r="N244" s="671" t="s">
        <v>539</v>
      </c>
      <c r="O244" s="671" t="s">
        <v>540</v>
      </c>
      <c r="P244" s="75" t="str">
        <f>IF(AND('331-CT'!$E$7=TH!H244,OR(N244="331",O244="331")),"x","")</f>
        <v/>
      </c>
      <c r="Q244" s="75" t="str">
        <f>IF(AND(B244='111'!$L$11,OR($N244=$Q$7,$O244=$Q$7)),"x","")</f>
        <v/>
      </c>
      <c r="R244" s="75" t="str">
        <f>IF(AND($N244=$Q$7,$B244&lt;'111'!$L$11),"x","")</f>
        <v/>
      </c>
      <c r="S244" s="75" t="str">
        <f>IF(AND($O244=$Q$7,$B244&lt;'111'!$L$11),"x","")</f>
        <v/>
      </c>
      <c r="T244" s="75" t="str">
        <f>IF(ISERROR(FIND('112'!$M$9,G244,1)),"",IF((AND(FIND('112'!$M$9,G244,1)&gt;=1,B244='112'!$K$9,OR($N244='112'!$I$6,$O244='112'!$I$6))),"x",""))</f>
        <v/>
      </c>
      <c r="U244" s="75" t="str">
        <f>IF(ISERROR(FIND('112'!$M$9,G244,1)),"",IF((AND(LEFT(G244,2)=LEFT('112'!$M$9,2),B244&lt;'112'!$K$9,$N244='112'!$I$6)),"x",""))</f>
        <v/>
      </c>
      <c r="V244" s="75" t="str">
        <f>IF(ISERROR(FIND('112'!$M$9,G244,1)),"",IF((AND(RIGHT(G244,2)=RIGHT('112'!$M$9,2),B244&lt;'112'!$K$9,$O244='112'!$I$6)),"x",""))</f>
        <v/>
      </c>
      <c r="W244" s="75" t="str">
        <f>IF(AND('341-CT'!$H$9=H244,OR(LEFT(N244,3)=$W$7,LEFT(O244,3)=$W$7)),"x","")</f>
        <v/>
      </c>
      <c r="X244" s="75" t="str">
        <f>IF(OR(TH!N244=TH!$X$7,O244=TH!$X$7),"x","")</f>
        <v/>
      </c>
      <c r="Y244" s="75" t="str">
        <f>IF(AND(OR(N244="131",O244="131"),H244='131-CT'!$H$9),"x","")</f>
        <v/>
      </c>
      <c r="Z244" s="75"/>
      <c r="AA244" s="75" t="str">
        <f>IF(AND(MONTH(E244)='IN-NX'!$J$5,'IN-NX'!$D$7=D244),"x","")</f>
        <v/>
      </c>
      <c r="AB244" s="75" t="str">
        <f>IF(AND(OR(LEFT(TH!N244,2)="15",LEFT(TH!O244,2)="15"),LEFT(TH!O244,3)&lt;&gt;"111",'152-CT'!$J$8=TH!F244),"x","")</f>
        <v/>
      </c>
      <c r="AC244" s="75" t="str">
        <f>IF(AND(OR(LEFT(TH!N244,2)="15",LEFT(TH!O244,2)="15"),TK!$E$7=TH!F244),"x","")</f>
        <v/>
      </c>
      <c r="AD244" s="75" t="str">
        <f>IF(AND(N244="1521",MONTH(C244)='BK-NL'!$M$11),"x","")</f>
        <v/>
      </c>
    </row>
    <row r="245" spans="1:30" ht="16.5" customHeight="1">
      <c r="A245" s="309" t="str">
        <f>IF(B245&lt;&gt;"",IF(AND(B245='IN-TC'!$S$4,OR(TH!N245="1111",TH!O245="1111")),TH!D245,""),"")</f>
        <v/>
      </c>
      <c r="B245" s="1245">
        <f t="shared" si="29"/>
        <v>11</v>
      </c>
      <c r="C245" s="666">
        <v>43069</v>
      </c>
      <c r="D245" s="666" t="s">
        <v>530</v>
      </c>
      <c r="E245" s="666">
        <f t="shared" si="39"/>
        <v>43069</v>
      </c>
      <c r="F245" s="905" t="s">
        <v>723</v>
      </c>
      <c r="G245" s="250">
        <v>54792000</v>
      </c>
      <c r="H245" s="294"/>
      <c r="I245" s="373"/>
      <c r="J245" s="379"/>
      <c r="K245" s="373"/>
      <c r="L245" s="379"/>
      <c r="M245" s="670">
        <v>60642000</v>
      </c>
      <c r="N245" s="671" t="s">
        <v>272</v>
      </c>
      <c r="O245" s="671" t="s">
        <v>540</v>
      </c>
      <c r="P245" s="75" t="str">
        <f>IF(AND('331-CT'!$E$7=TH!H245,OR(N245="331",O245="331")),"x","")</f>
        <v/>
      </c>
      <c r="Q245" s="75" t="str">
        <f>IF(AND(B245='111'!$L$11,OR($N245=$Q$7,$O245=$Q$7)),"x","")</f>
        <v/>
      </c>
      <c r="R245" s="75" t="str">
        <f>IF(AND($N245=$Q$7,$B245&lt;'111'!$L$11),"x","")</f>
        <v/>
      </c>
      <c r="S245" s="75" t="str">
        <f>IF(AND($O245=$Q$7,$B245&lt;'111'!$L$11),"x","")</f>
        <v/>
      </c>
      <c r="T245" s="75" t="str">
        <f>IF(ISERROR(FIND('112'!$M$9,G245,1)),"",IF((AND(FIND('112'!$M$9,G245,1)&gt;=1,B245='112'!$K$9,OR($N245='112'!$I$6,$O245='112'!$I$6))),"x",""))</f>
        <v/>
      </c>
      <c r="U245" s="75" t="str">
        <f>IF(ISERROR(FIND('112'!$M$9,G245,1)),"",IF((AND(LEFT(G245,2)=LEFT('112'!$M$9,2),B245&lt;'112'!$K$9,$N245='112'!$I$6)),"x",""))</f>
        <v/>
      </c>
      <c r="V245" s="75" t="str">
        <f>IF(ISERROR(FIND('112'!$M$9,G245,1)),"",IF((AND(RIGHT(G245,2)=RIGHT('112'!$M$9,2),B245&lt;'112'!$K$9,$O245='112'!$I$6)),"x",""))</f>
        <v/>
      </c>
      <c r="W245" s="75" t="str">
        <f>IF(AND('341-CT'!$H$9=H245,OR(LEFT(N245,3)=$W$7,LEFT(O245,3)=$W$7)),"x","")</f>
        <v/>
      </c>
      <c r="X245" s="75" t="str">
        <f>IF(OR(TH!N245=TH!$X$7,O245=TH!$X$7),"x","")</f>
        <v/>
      </c>
      <c r="Y245" s="75" t="str">
        <f>IF(AND(OR(N245="131",O245="131"),H245='131-CT'!$H$9),"x","")</f>
        <v/>
      </c>
      <c r="Z245" s="75"/>
      <c r="AA245" s="75" t="str">
        <f>IF(AND(MONTH(E245)='IN-NX'!$J$5,'IN-NX'!$D$7=D245),"x","")</f>
        <v/>
      </c>
      <c r="AB245" s="75" t="str">
        <f>IF(AND(OR(LEFT(TH!N245,2)="15",LEFT(TH!O245,2)="15"),LEFT(TH!O245,3)&lt;&gt;"111",'152-CT'!$J$8=TH!F245),"x","")</f>
        <v/>
      </c>
      <c r="AC245" s="75" t="str">
        <f>IF(AND(OR(LEFT(TH!N245,2)="15",LEFT(TH!O245,2)="15"),TK!$E$7=TH!F245),"x","")</f>
        <v/>
      </c>
      <c r="AD245" s="75" t="str">
        <f>IF(AND(N245="1521",MONTH(C245)='BK-NL'!$M$11),"x","")</f>
        <v/>
      </c>
    </row>
    <row r="246" spans="1:30" ht="16.5" customHeight="1">
      <c r="A246" s="309" t="str">
        <f>IF(B246&lt;&gt;"",IF(AND(B246='IN-TC'!$S$4,OR(TH!N246="1111",TH!O246="1111")),TH!D246,""),"")</f>
        <v/>
      </c>
      <c r="B246" s="1245">
        <f t="shared" si="29"/>
        <v>11</v>
      </c>
      <c r="C246" s="666">
        <v>43069</v>
      </c>
      <c r="D246" s="666" t="s">
        <v>530</v>
      </c>
      <c r="E246" s="666">
        <f t="shared" si="39"/>
        <v>43069</v>
      </c>
      <c r="F246" s="905" t="s">
        <v>724</v>
      </c>
      <c r="G246" s="739" t="s">
        <v>531</v>
      </c>
      <c r="H246" s="294"/>
      <c r="I246" s="373"/>
      <c r="J246" s="379"/>
      <c r="K246" s="373"/>
      <c r="L246" s="379"/>
      <c r="M246" s="670">
        <f>ROUND(G244*$G246,0)</f>
        <v>3360880</v>
      </c>
      <c r="N246" s="671" t="s">
        <v>540</v>
      </c>
      <c r="O246" s="671" t="s">
        <v>541</v>
      </c>
      <c r="P246" s="75" t="str">
        <f>IF(AND('331-CT'!$E$7=TH!H246,OR(N246="331",O246="331")),"x","")</f>
        <v/>
      </c>
      <c r="Q246" s="75" t="str">
        <f>IF(AND(B246='111'!$L$11,OR($N246=$Q$7,$O246=$Q$7)),"x","")</f>
        <v/>
      </c>
      <c r="R246" s="75" t="str">
        <f>IF(AND($N246=$Q$7,$B246&lt;'111'!$L$11),"x","")</f>
        <v/>
      </c>
      <c r="S246" s="75" t="str">
        <f>IF(AND($O246=$Q$7,$B246&lt;'111'!$L$11),"x","")</f>
        <v/>
      </c>
      <c r="T246" s="75" t="str">
        <f>IF(ISERROR(FIND('112'!$M$9,G246,1)),"",IF((AND(FIND('112'!$M$9,G246,1)&gt;=1,B246='112'!$K$9,OR($N246='112'!$I$6,$O246='112'!$I$6))),"x",""))</f>
        <v/>
      </c>
      <c r="U246" s="75" t="str">
        <f>IF(ISERROR(FIND('112'!$M$9,G246,1)),"",IF((AND(LEFT(G246,2)=LEFT('112'!$M$9,2),B246&lt;'112'!$K$9,$N246='112'!$I$6)),"x",""))</f>
        <v/>
      </c>
      <c r="V246" s="75" t="str">
        <f>IF(ISERROR(FIND('112'!$M$9,G246,1)),"",IF((AND(RIGHT(G246,2)=RIGHT('112'!$M$9,2),B246&lt;'112'!$K$9,$O246='112'!$I$6)),"x",""))</f>
        <v/>
      </c>
      <c r="W246" s="75" t="str">
        <f>IF(AND('341-CT'!$H$9=H246,OR(LEFT(N246,3)=$W$7,LEFT(O246,3)=$W$7)),"x","")</f>
        <v/>
      </c>
      <c r="X246" s="75" t="str">
        <f>IF(OR(TH!N246=TH!$X$7,O246=TH!$X$7),"x","")</f>
        <v/>
      </c>
      <c r="Y246" s="75" t="str">
        <f>IF(AND(OR(N246="131",O246="131"),H246='131-CT'!$H$9),"x","")</f>
        <v/>
      </c>
      <c r="Z246" s="75"/>
      <c r="AA246" s="75" t="str">
        <f>IF(AND(MONTH(E246)='IN-NX'!$J$5,'IN-NX'!$D$7=D246),"x","")</f>
        <v/>
      </c>
      <c r="AB246" s="75" t="str">
        <f>IF(AND(OR(LEFT(TH!N246,2)="15",LEFT(TH!O246,2)="15"),LEFT(TH!O246,3)&lt;&gt;"111",'152-CT'!$J$8=TH!F246),"x","")</f>
        <v/>
      </c>
      <c r="AC246" s="75" t="str">
        <f>IF(AND(OR(LEFT(TH!N246,2)="15",LEFT(TH!O246,2)="15"),TK!$E$7=TH!F246),"x","")</f>
        <v/>
      </c>
      <c r="AD246" s="75" t="str">
        <f>IF(AND(N246="1521",MONTH(C246)='BK-NL'!$M$11),"x","")</f>
        <v/>
      </c>
    </row>
    <row r="247" spans="1:30" ht="16.5" customHeight="1">
      <c r="A247" s="309" t="str">
        <f>IF(B247&lt;&gt;"",IF(AND(B247='IN-TC'!$S$4,OR(TH!N247="1111",TH!O247="1111")),TH!D247,""),"")</f>
        <v/>
      </c>
      <c r="B247" s="1245">
        <f t="shared" si="29"/>
        <v>11</v>
      </c>
      <c r="C247" s="666">
        <v>43069</v>
      </c>
      <c r="D247" s="666" t="s">
        <v>530</v>
      </c>
      <c r="E247" s="666">
        <f t="shared" si="39"/>
        <v>43069</v>
      </c>
      <c r="F247" s="905" t="s">
        <v>725</v>
      </c>
      <c r="G247" s="250"/>
      <c r="H247" s="294"/>
      <c r="I247" s="373"/>
      <c r="J247" s="379"/>
      <c r="K247" s="373"/>
      <c r="L247" s="379"/>
      <c r="M247" s="670">
        <f>ROUND(G245*$G246,0)</f>
        <v>4383360</v>
      </c>
      <c r="N247" s="672" t="s">
        <v>540</v>
      </c>
      <c r="O247" s="673" t="s">
        <v>541</v>
      </c>
      <c r="P247" s="75" t="str">
        <f>IF(AND('331-CT'!$E$7=TH!H247,OR(N247="331",O247="331")),"x","")</f>
        <v/>
      </c>
      <c r="Q247" s="75" t="str">
        <f>IF(AND(B247='111'!$L$11,OR($N247=$Q$7,$O247=$Q$7)),"x","")</f>
        <v/>
      </c>
      <c r="R247" s="75" t="str">
        <f>IF(AND($N247=$Q$7,$B247&lt;'111'!$L$11),"x","")</f>
        <v/>
      </c>
      <c r="S247" s="75" t="str">
        <f>IF(AND($O247=$Q$7,$B247&lt;'111'!$L$11),"x","")</f>
        <v/>
      </c>
      <c r="T247" s="75" t="str">
        <f>IF(ISERROR(FIND('112'!$M$9,G247,1)),"",IF((AND(FIND('112'!$M$9,G247,1)&gt;=1,B247='112'!$K$9,OR($N247='112'!$I$6,$O247='112'!$I$6))),"x",""))</f>
        <v/>
      </c>
      <c r="U247" s="75" t="str">
        <f>IF(ISERROR(FIND('112'!$M$9,G247,1)),"",IF((AND(LEFT(G247,2)=LEFT('112'!$M$9,2),B247&lt;'112'!$K$9,$N247='112'!$I$6)),"x",""))</f>
        <v/>
      </c>
      <c r="V247" s="75" t="str">
        <f>IF(ISERROR(FIND('112'!$M$9,G247,1)),"",IF((AND(RIGHT(G247,2)=RIGHT('112'!$M$9,2),B247&lt;'112'!$K$9,$O247='112'!$I$6)),"x",""))</f>
        <v/>
      </c>
      <c r="W247" s="75" t="str">
        <f>IF(AND('341-CT'!$H$9=H247,OR(LEFT(N247,3)=$W$7,LEFT(O247,3)=$W$7)),"x","")</f>
        <v/>
      </c>
      <c r="X247" s="75" t="str">
        <f>IF(OR(TH!N247=TH!$X$7,O247=TH!$X$7),"x","")</f>
        <v/>
      </c>
      <c r="Y247" s="75" t="str">
        <f>IF(AND(OR(N247="131",O247="131"),H247='131-CT'!$H$9),"x","")</f>
        <v/>
      </c>
      <c r="Z247" s="75"/>
      <c r="AA247" s="75" t="str">
        <f>IF(AND(MONTH(E247)='IN-NX'!$J$5,'IN-NX'!$D$7=D247),"x","")</f>
        <v/>
      </c>
      <c r="AB247" s="75" t="str">
        <f>IF(AND(OR(LEFT(TH!N247,2)="15",LEFT(TH!O247,2)="15"),LEFT(TH!O247,3)&lt;&gt;"111",'152-CT'!$J$8=TH!F247),"x","")</f>
        <v/>
      </c>
      <c r="AC247" s="75" t="str">
        <f>IF(AND(OR(LEFT(TH!N247,2)="15",LEFT(TH!O247,2)="15"),TK!$E$7=TH!F247),"x","")</f>
        <v/>
      </c>
      <c r="AD247" s="75" t="str">
        <f>IF(AND(N247="1521",MONTH(C247)='BK-NL'!$M$11),"x","")</f>
        <v/>
      </c>
    </row>
    <row r="248" spans="1:30" ht="16.5" customHeight="1">
      <c r="A248" s="309" t="str">
        <f>IF(B248&lt;&gt;"",IF(AND(B248='IN-TC'!$S$4,OR(TH!N248="1111",TH!O248="1111")),TH!D248,""),"")</f>
        <v/>
      </c>
      <c r="B248" s="1245">
        <f t="shared" si="29"/>
        <v>11</v>
      </c>
      <c r="C248" s="666">
        <v>43069</v>
      </c>
      <c r="D248" s="666" t="s">
        <v>530</v>
      </c>
      <c r="E248" s="666">
        <f t="shared" si="39"/>
        <v>43069</v>
      </c>
      <c r="F248" s="905" t="s">
        <v>726</v>
      </c>
      <c r="G248" s="739" t="s">
        <v>2689</v>
      </c>
      <c r="H248" s="294"/>
      <c r="I248" s="373"/>
      <c r="J248" s="379"/>
      <c r="K248" s="373"/>
      <c r="L248" s="379"/>
      <c r="M248" s="670">
        <f>ROUND(G244*$G248,0)</f>
        <v>7141870</v>
      </c>
      <c r="N248" s="671" t="s">
        <v>539</v>
      </c>
      <c r="O248" s="671" t="s">
        <v>541</v>
      </c>
      <c r="P248" s="75" t="str">
        <f>IF(AND('331-CT'!$E$7=TH!H248,OR(N248="331",O248="331")),"x","")</f>
        <v/>
      </c>
      <c r="Q248" s="75" t="str">
        <f>IF(AND(B248='111'!$L$11,OR($N248=$Q$7,$O248=$Q$7)),"x","")</f>
        <v/>
      </c>
      <c r="R248" s="75" t="str">
        <f>IF(AND($N248=$Q$7,$B248&lt;'111'!$L$11),"x","")</f>
        <v/>
      </c>
      <c r="S248" s="75" t="str">
        <f>IF(AND($O248=$Q$7,$B248&lt;'111'!$L$11),"x","")</f>
        <v/>
      </c>
      <c r="T248" s="75" t="str">
        <f>IF(ISERROR(FIND('112'!$M$9,G248,1)),"",IF((AND(FIND('112'!$M$9,G248,1)&gt;=1,B248='112'!$K$9,OR($N248='112'!$I$6,$O248='112'!$I$6))),"x",""))</f>
        <v/>
      </c>
      <c r="U248" s="75" t="str">
        <f>IF(ISERROR(FIND('112'!$M$9,G248,1)),"",IF((AND(LEFT(G248,2)=LEFT('112'!$M$9,2),B248&lt;'112'!$K$9,$N248='112'!$I$6)),"x",""))</f>
        <v/>
      </c>
      <c r="V248" s="75" t="str">
        <f>IF(ISERROR(FIND('112'!$M$9,G248,1)),"",IF((AND(RIGHT(G248,2)=RIGHT('112'!$M$9,2),B248&lt;'112'!$K$9,$O248='112'!$I$6)),"x",""))</f>
        <v/>
      </c>
      <c r="W248" s="75" t="str">
        <f>IF(AND('341-CT'!$H$9=H248,OR(LEFT(N248,3)=$W$7,LEFT(O248,3)=$W$7)),"x","")</f>
        <v/>
      </c>
      <c r="X248" s="75" t="str">
        <f>IF(OR(TH!N248=TH!$X$7,O248=TH!$X$7),"x","")</f>
        <v/>
      </c>
      <c r="Y248" s="75" t="str">
        <f>IF(AND(OR(N248="131",O248="131"),H248='131-CT'!$H$9),"x","")</f>
        <v/>
      </c>
      <c r="Z248" s="75"/>
      <c r="AA248" s="75" t="str">
        <f>IF(AND(MONTH(E248)='IN-NX'!$J$5,'IN-NX'!$D$7=D248),"x","")</f>
        <v/>
      </c>
      <c r="AB248" s="75" t="str">
        <f>IF(AND(OR(LEFT(TH!N248,2)="15",LEFT(TH!O248,2)="15"),LEFT(TH!O248,3)&lt;&gt;"111",'152-CT'!$J$8=TH!F248),"x","")</f>
        <v/>
      </c>
      <c r="AC248" s="75" t="str">
        <f>IF(AND(OR(LEFT(TH!N248,2)="15",LEFT(TH!O248,2)="15"),TK!$E$7=TH!F248),"x","")</f>
        <v/>
      </c>
      <c r="AD248" s="75" t="str">
        <f>IF(AND(N248="1521",MONTH(C248)='BK-NL'!$M$11),"x","")</f>
        <v/>
      </c>
    </row>
    <row r="249" spans="1:30" ht="16.5" customHeight="1">
      <c r="A249" s="309" t="str">
        <f>IF(B249&lt;&gt;"",IF(AND(B249='IN-TC'!$S$4,OR(TH!N249="1111",TH!O249="1111")),TH!D249,""),"")</f>
        <v/>
      </c>
      <c r="B249" s="1245">
        <f t="shared" si="29"/>
        <v>11</v>
      </c>
      <c r="C249" s="666">
        <v>43069</v>
      </c>
      <c r="D249" s="666" t="s">
        <v>530</v>
      </c>
      <c r="E249" s="666">
        <f t="shared" si="39"/>
        <v>43069</v>
      </c>
      <c r="F249" s="905" t="s">
        <v>727</v>
      </c>
      <c r="G249" s="250"/>
      <c r="H249" s="294"/>
      <c r="I249" s="373"/>
      <c r="J249" s="379"/>
      <c r="K249" s="373"/>
      <c r="L249" s="379"/>
      <c r="M249" s="670">
        <f>ROUND(G245*$G248,0)</f>
        <v>9314640</v>
      </c>
      <c r="N249" s="671" t="s">
        <v>272</v>
      </c>
      <c r="O249" s="671" t="s">
        <v>541</v>
      </c>
      <c r="P249" s="75" t="str">
        <f>IF(AND('331-CT'!$E$7=TH!H249,OR(N249="331",O249="331")),"x","")</f>
        <v/>
      </c>
      <c r="Q249" s="75" t="str">
        <f>IF(AND(B249='111'!$L$11,OR($N249=$Q$7,$O249=$Q$7)),"x","")</f>
        <v/>
      </c>
      <c r="R249" s="75" t="str">
        <f>IF(AND($N249=$Q$7,$B249&lt;'111'!$L$11),"x","")</f>
        <v/>
      </c>
      <c r="S249" s="75" t="str">
        <f>IF(AND($O249=$Q$7,$B249&lt;'111'!$L$11),"x","")</f>
        <v/>
      </c>
      <c r="T249" s="75" t="str">
        <f>IF(ISERROR(FIND('112'!$M$9,G249,1)),"",IF((AND(FIND('112'!$M$9,G249,1)&gt;=1,B249='112'!$K$9,OR($N249='112'!$I$6,$O249='112'!$I$6))),"x",""))</f>
        <v/>
      </c>
      <c r="U249" s="75" t="str">
        <f>IF(ISERROR(FIND('112'!$M$9,G249,1)),"",IF((AND(LEFT(G249,2)=LEFT('112'!$M$9,2),B249&lt;'112'!$K$9,$N249='112'!$I$6)),"x",""))</f>
        <v/>
      </c>
      <c r="V249" s="75" t="str">
        <f>IF(ISERROR(FIND('112'!$M$9,G249,1)),"",IF((AND(RIGHT(G249,2)=RIGHT('112'!$M$9,2),B249&lt;'112'!$K$9,$O249='112'!$I$6)),"x",""))</f>
        <v/>
      </c>
      <c r="W249" s="75" t="str">
        <f>IF(AND('341-CT'!$H$9=H249,OR(LEFT(N249,3)=$W$7,LEFT(O249,3)=$W$7)),"x","")</f>
        <v/>
      </c>
      <c r="X249" s="75" t="str">
        <f>IF(OR(TH!N249=TH!$X$7,O249=TH!$X$7),"x","")</f>
        <v/>
      </c>
      <c r="Y249" s="75" t="str">
        <f>IF(AND(OR(N249="131",O249="131"),H249='131-CT'!$H$9),"x","")</f>
        <v/>
      </c>
      <c r="Z249" s="75"/>
      <c r="AA249" s="75" t="str">
        <f>IF(AND(MONTH(E249)='IN-NX'!$J$5,'IN-NX'!$D$7=D249),"x","")</f>
        <v/>
      </c>
      <c r="AB249" s="75" t="str">
        <f>IF(AND(OR(LEFT(TH!N249,2)="15",LEFT(TH!O249,2)="15"),LEFT(TH!O249,3)&lt;&gt;"111",'152-CT'!$J$8=TH!F249),"x","")</f>
        <v/>
      </c>
      <c r="AC249" s="75" t="str">
        <f>IF(AND(OR(LEFT(TH!N249,2)="15",LEFT(TH!O249,2)="15"),TK!$E$7=TH!F249),"x","")</f>
        <v/>
      </c>
      <c r="AD249" s="75" t="str">
        <f>IF(AND(N249="1521",MONTH(C249)='BK-NL'!$M$11),"x","")</f>
        <v/>
      </c>
    </row>
    <row r="250" spans="1:30" ht="16.5" customHeight="1">
      <c r="A250" s="309" t="str">
        <f>IF(B250&lt;&gt;"",IF(AND(B250='IN-TC'!$S$4,OR(TH!N250="1111",TH!O250="1111")),TH!D250,""),"")</f>
        <v/>
      </c>
      <c r="B250" s="1245">
        <f t="shared" si="29"/>
        <v>11</v>
      </c>
      <c r="C250" s="666">
        <v>43069</v>
      </c>
      <c r="D250" s="666" t="s">
        <v>530</v>
      </c>
      <c r="E250" s="666">
        <f t="shared" ref="E250:E269" si="46">C250</f>
        <v>43069</v>
      </c>
      <c r="F250" s="905" t="s">
        <v>728</v>
      </c>
      <c r="G250" s="739" t="s">
        <v>533</v>
      </c>
      <c r="H250" s="296"/>
      <c r="I250" s="371"/>
      <c r="J250" s="377"/>
      <c r="K250" s="371"/>
      <c r="L250" s="377"/>
      <c r="M250" s="670">
        <f>ROUND(G244*$G250,0)</f>
        <v>630165</v>
      </c>
      <c r="N250" s="671" t="s">
        <v>540</v>
      </c>
      <c r="O250" s="671" t="s">
        <v>542</v>
      </c>
      <c r="P250" s="75" t="str">
        <f>IF(AND('331-CT'!$E$7=TH!H250,OR(N250="331",O250="331")),"x","")</f>
        <v/>
      </c>
      <c r="Q250" s="75" t="str">
        <f>IF(AND(B250='111'!$L$11,OR($N250=$Q$7,$O250=$Q$7)),"x","")</f>
        <v/>
      </c>
      <c r="R250" s="75" t="str">
        <f>IF(AND($N250=$Q$7,$B250&lt;'111'!$L$11),"x","")</f>
        <v/>
      </c>
      <c r="S250" s="75" t="str">
        <f>IF(AND($O250=$Q$7,$B250&lt;'111'!$L$11),"x","")</f>
        <v/>
      </c>
      <c r="T250" s="75" t="str">
        <f>IF(ISERROR(FIND('112'!$M$9,G250,1)),"",IF((AND(FIND('112'!$M$9,G250,1)&gt;=1,B250='112'!$K$9,OR($N250='112'!$I$6,$O250='112'!$I$6))),"x",""))</f>
        <v/>
      </c>
      <c r="U250" s="75" t="str">
        <f>IF(ISERROR(FIND('112'!$M$9,G250,1)),"",IF((AND(LEFT(G250,2)=LEFT('112'!$M$9,2),B250&lt;'112'!$K$9,$N250='112'!$I$6)),"x",""))</f>
        <v/>
      </c>
      <c r="V250" s="75" t="str">
        <f>IF(ISERROR(FIND('112'!$M$9,G250,1)),"",IF((AND(RIGHT(G250,2)=RIGHT('112'!$M$9,2),B250&lt;'112'!$K$9,$O250='112'!$I$6)),"x",""))</f>
        <v/>
      </c>
      <c r="W250" s="75" t="str">
        <f>IF(AND('341-CT'!$H$9=H250,OR(LEFT(N250,3)=$W$7,LEFT(O250,3)=$W$7)),"x","")</f>
        <v/>
      </c>
      <c r="X250" s="75" t="str">
        <f>IF(OR(TH!N250=TH!$X$7,O250=TH!$X$7),"x","")</f>
        <v/>
      </c>
      <c r="Y250" s="75" t="str">
        <f>IF(AND(OR(N250="131",O250="131"),H250='131-CT'!$H$9),"x","")</f>
        <v/>
      </c>
      <c r="Z250" s="75"/>
      <c r="AA250" s="75" t="str">
        <f>IF(AND(MONTH(E250)='IN-NX'!$J$5,'IN-NX'!$D$7=D250),"x","")</f>
        <v/>
      </c>
      <c r="AB250" s="75" t="str">
        <f>IF(AND(OR(LEFT(TH!N250,2)="15",LEFT(TH!O250,2)="15"),LEFT(TH!O250,3)&lt;&gt;"111",'152-CT'!$J$8=TH!F250),"x","")</f>
        <v/>
      </c>
      <c r="AC250" s="75" t="str">
        <f>IF(AND(OR(LEFT(TH!N250,2)="15",LEFT(TH!O250,2)="15"),TK!$E$7=TH!F250),"x","")</f>
        <v/>
      </c>
      <c r="AD250" s="75" t="str">
        <f>IF(AND(N250="1521",MONTH(C250)='BK-NL'!$M$11),"x","")</f>
        <v/>
      </c>
    </row>
    <row r="251" spans="1:30" ht="16.5" customHeight="1">
      <c r="A251" s="309" t="str">
        <f>IF(B251&lt;&gt;"",IF(AND(B251='IN-TC'!$S$4,OR(TH!N251="1111",TH!O251="1111")),TH!D251,""),"")</f>
        <v/>
      </c>
      <c r="B251" s="1245">
        <f t="shared" si="29"/>
        <v>11</v>
      </c>
      <c r="C251" s="666">
        <v>43069</v>
      </c>
      <c r="D251" s="666" t="s">
        <v>530</v>
      </c>
      <c r="E251" s="666">
        <f t="shared" si="46"/>
        <v>43069</v>
      </c>
      <c r="F251" s="905" t="s">
        <v>729</v>
      </c>
      <c r="G251" s="250"/>
      <c r="H251" s="296"/>
      <c r="I251" s="371"/>
      <c r="J251" s="377"/>
      <c r="K251" s="371"/>
      <c r="L251" s="377"/>
      <c r="M251" s="670">
        <f>ROUND(G245*$G250,0)</f>
        <v>821880</v>
      </c>
      <c r="N251" s="671" t="s">
        <v>540</v>
      </c>
      <c r="O251" s="671" t="s">
        <v>542</v>
      </c>
      <c r="P251" s="75" t="str">
        <f>IF(AND('331-CT'!$E$7=TH!H251,OR(N251="331",O251="331")),"x","")</f>
        <v/>
      </c>
      <c r="Q251" s="75" t="str">
        <f>IF(AND(B251='111'!$L$11,OR($N251=$Q$7,$O251=$Q$7)),"x","")</f>
        <v/>
      </c>
      <c r="R251" s="75" t="str">
        <f>IF(AND($N251=$Q$7,$B251&lt;'111'!$L$11),"x","")</f>
        <v/>
      </c>
      <c r="S251" s="75" t="str">
        <f>IF(AND($O251=$Q$7,$B251&lt;'111'!$L$11),"x","")</f>
        <v/>
      </c>
      <c r="T251" s="75" t="str">
        <f>IF(ISERROR(FIND('112'!$M$9,G251,1)),"",IF((AND(FIND('112'!$M$9,G251,1)&gt;=1,B251='112'!$K$9,OR($N251='112'!$I$6,$O251='112'!$I$6))),"x",""))</f>
        <v/>
      </c>
      <c r="U251" s="75" t="str">
        <f>IF(ISERROR(FIND('112'!$M$9,G251,1)),"",IF((AND(LEFT(G251,2)=LEFT('112'!$M$9,2),B251&lt;'112'!$K$9,$N251='112'!$I$6)),"x",""))</f>
        <v/>
      </c>
      <c r="V251" s="75" t="str">
        <f>IF(ISERROR(FIND('112'!$M$9,G251,1)),"",IF((AND(RIGHT(G251,2)=RIGHT('112'!$M$9,2),B251&lt;'112'!$K$9,$O251='112'!$I$6)),"x",""))</f>
        <v/>
      </c>
      <c r="W251" s="75" t="str">
        <f>IF(AND('341-CT'!$H$9=H251,OR(LEFT(N251,3)=$W$7,LEFT(O251,3)=$W$7)),"x","")</f>
        <v/>
      </c>
      <c r="X251" s="75" t="str">
        <f>IF(OR(TH!N251=TH!$X$7,O251=TH!$X$7),"x","")</f>
        <v/>
      </c>
      <c r="Y251" s="75" t="str">
        <f>IF(AND(OR(N251="131",O251="131"),H251='131-CT'!$H$9),"x","")</f>
        <v/>
      </c>
      <c r="Z251" s="75"/>
      <c r="AA251" s="75" t="str">
        <f>IF(AND(MONTH(E251)='IN-NX'!$J$5,'IN-NX'!$D$7=D251),"x","")</f>
        <v/>
      </c>
      <c r="AB251" s="75" t="str">
        <f>IF(AND(OR(LEFT(TH!N251,2)="15",LEFT(TH!O251,2)="15"),LEFT(TH!O251,3)&lt;&gt;"111",'152-CT'!$J$8=TH!F251),"x","")</f>
        <v/>
      </c>
      <c r="AC251" s="75" t="str">
        <f>IF(AND(OR(LEFT(TH!N251,2)="15",LEFT(TH!O251,2)="15"),TK!$E$7=TH!F251),"x","")</f>
        <v/>
      </c>
      <c r="AD251" s="75" t="str">
        <f>IF(AND(N251="1521",MONTH(C251)='BK-NL'!$M$11),"x","")</f>
        <v/>
      </c>
    </row>
    <row r="252" spans="1:30" ht="16.5" customHeight="1">
      <c r="A252" s="309" t="str">
        <f>IF(B252&lt;&gt;"",IF(AND(B252='IN-TC'!$S$4,OR(TH!N252="1111",TH!O252="1111")),TH!D252,""),"")</f>
        <v/>
      </c>
      <c r="B252" s="1245">
        <f t="shared" si="29"/>
        <v>11</v>
      </c>
      <c r="C252" s="666">
        <v>43069</v>
      </c>
      <c r="D252" s="666" t="s">
        <v>530</v>
      </c>
      <c r="E252" s="666">
        <f t="shared" si="46"/>
        <v>43069</v>
      </c>
      <c r="F252" s="905" t="s">
        <v>730</v>
      </c>
      <c r="G252" s="739" t="s">
        <v>534</v>
      </c>
      <c r="H252" s="294"/>
      <c r="I252" s="373"/>
      <c r="J252" s="379"/>
      <c r="K252" s="373"/>
      <c r="L252" s="379"/>
      <c r="M252" s="670">
        <f>ROUND(G244*$G252,0)</f>
        <v>1260330</v>
      </c>
      <c r="N252" s="671" t="s">
        <v>539</v>
      </c>
      <c r="O252" s="671" t="s">
        <v>542</v>
      </c>
      <c r="P252" s="75" t="str">
        <f>IF(AND('331-CT'!$E$7=TH!H252,OR(N252="331",O252="331")),"x","")</f>
        <v/>
      </c>
      <c r="Q252" s="75" t="str">
        <f>IF(AND(B252='111'!$L$11,OR($N252=$Q$7,$O252=$Q$7)),"x","")</f>
        <v/>
      </c>
      <c r="R252" s="75" t="str">
        <f>IF(AND($N252=$Q$7,$B252&lt;'111'!$L$11),"x","")</f>
        <v/>
      </c>
      <c r="S252" s="75" t="str">
        <f>IF(AND($O252=$Q$7,$B252&lt;'111'!$L$11),"x","")</f>
        <v/>
      </c>
      <c r="T252" s="75" t="str">
        <f>IF(ISERROR(FIND('112'!$M$9,G252,1)),"",IF((AND(FIND('112'!$M$9,G252,1)&gt;=1,B252='112'!$K$9,OR($N252='112'!$I$6,$O252='112'!$I$6))),"x",""))</f>
        <v/>
      </c>
      <c r="U252" s="75" t="str">
        <f>IF(ISERROR(FIND('112'!$M$9,G252,1)),"",IF((AND(LEFT(G252,2)=LEFT('112'!$M$9,2),B252&lt;'112'!$K$9,$N252='112'!$I$6)),"x",""))</f>
        <v/>
      </c>
      <c r="V252" s="75" t="str">
        <f>IF(ISERROR(FIND('112'!$M$9,G252,1)),"",IF((AND(RIGHT(G252,2)=RIGHT('112'!$M$9,2),B252&lt;'112'!$K$9,$O252='112'!$I$6)),"x",""))</f>
        <v/>
      </c>
      <c r="W252" s="75" t="str">
        <f>IF(AND('341-CT'!$H$9=H252,OR(LEFT(N252,3)=$W$7,LEFT(O252,3)=$W$7)),"x","")</f>
        <v/>
      </c>
      <c r="X252" s="75" t="str">
        <f>IF(OR(TH!N252=TH!$X$7,O252=TH!$X$7),"x","")</f>
        <v/>
      </c>
      <c r="Y252" s="75" t="str">
        <f>IF(AND(OR(N252="131",O252="131"),H252='131-CT'!$H$9),"x","")</f>
        <v/>
      </c>
      <c r="Z252" s="75"/>
      <c r="AA252" s="75" t="str">
        <f>IF(AND(MONTH(E252)='IN-NX'!$J$5,'IN-NX'!$D$7=D252),"x","")</f>
        <v/>
      </c>
      <c r="AB252" s="75" t="str">
        <f>IF(AND(OR(LEFT(TH!N252,2)="15",LEFT(TH!O252,2)="15"),LEFT(TH!O252,3)&lt;&gt;"111",'152-CT'!$J$8=TH!F252),"x","")</f>
        <v/>
      </c>
      <c r="AC252" s="75" t="str">
        <f>IF(AND(OR(LEFT(TH!N252,2)="15",LEFT(TH!O252,2)="15"),TK!$E$7=TH!F252),"x","")</f>
        <v/>
      </c>
      <c r="AD252" s="75" t="str">
        <f>IF(AND(N252="1521",MONTH(C252)='BK-NL'!$M$11),"x","")</f>
        <v/>
      </c>
    </row>
    <row r="253" spans="1:30" ht="16.5" customHeight="1">
      <c r="A253" s="309" t="str">
        <f>IF(B253&lt;&gt;"",IF(AND(B253='IN-TC'!$S$4,OR(TH!N253="1111",TH!O253="1111")),TH!D253,""),"")</f>
        <v/>
      </c>
      <c r="B253" s="1245">
        <f t="shared" si="29"/>
        <v>11</v>
      </c>
      <c r="C253" s="666">
        <v>43069</v>
      </c>
      <c r="D253" s="666" t="s">
        <v>530</v>
      </c>
      <c r="E253" s="666">
        <f t="shared" si="46"/>
        <v>43069</v>
      </c>
      <c r="F253" s="905" t="s">
        <v>731</v>
      </c>
      <c r="G253" s="250"/>
      <c r="H253" s="294"/>
      <c r="I253" s="373"/>
      <c r="J253" s="379"/>
      <c r="K253" s="373"/>
      <c r="L253" s="379"/>
      <c r="M253" s="670">
        <f>ROUND(G245*$G252,0)</f>
        <v>1643760</v>
      </c>
      <c r="N253" s="671" t="s">
        <v>272</v>
      </c>
      <c r="O253" s="671" t="s">
        <v>542</v>
      </c>
      <c r="P253" s="75" t="str">
        <f>IF(AND('331-CT'!$E$7=TH!H253,OR(N253="331",O253="331")),"x","")</f>
        <v/>
      </c>
      <c r="Q253" s="75" t="str">
        <f>IF(AND(B253='111'!$L$11,OR($N253=$Q$7,$O253=$Q$7)),"x","")</f>
        <v/>
      </c>
      <c r="R253" s="75" t="str">
        <f>IF(AND($N253=$Q$7,$B253&lt;'111'!$L$11),"x","")</f>
        <v/>
      </c>
      <c r="S253" s="75" t="str">
        <f>IF(AND($O253=$Q$7,$B253&lt;'111'!$L$11),"x","")</f>
        <v/>
      </c>
      <c r="T253" s="75" t="str">
        <f>IF(ISERROR(FIND('112'!$M$9,G253,1)),"",IF((AND(FIND('112'!$M$9,G253,1)&gt;=1,B253='112'!$K$9,OR($N253='112'!$I$6,$O253='112'!$I$6))),"x",""))</f>
        <v/>
      </c>
      <c r="U253" s="75" t="str">
        <f>IF(ISERROR(FIND('112'!$M$9,G253,1)),"",IF((AND(LEFT(G253,2)=LEFT('112'!$M$9,2),B253&lt;'112'!$K$9,$N253='112'!$I$6)),"x",""))</f>
        <v/>
      </c>
      <c r="V253" s="75" t="str">
        <f>IF(ISERROR(FIND('112'!$M$9,G253,1)),"",IF((AND(RIGHT(G253,2)=RIGHT('112'!$M$9,2),B253&lt;'112'!$K$9,$O253='112'!$I$6)),"x",""))</f>
        <v/>
      </c>
      <c r="W253" s="75" t="str">
        <f>IF(AND('341-CT'!$H$9=H253,OR(LEFT(N253,3)=$W$7,LEFT(O253,3)=$W$7)),"x","")</f>
        <v/>
      </c>
      <c r="X253" s="75" t="str">
        <f>IF(OR(TH!N253=TH!$X$7,O253=TH!$X$7),"x","")</f>
        <v/>
      </c>
      <c r="Y253" s="75" t="str">
        <f>IF(AND(OR(N253="131",O253="131"),H253='131-CT'!$H$9),"x","")</f>
        <v/>
      </c>
      <c r="Z253" s="75"/>
      <c r="AA253" s="75" t="str">
        <f>IF(AND(MONTH(E253)='IN-NX'!$J$5,'IN-NX'!$D$7=D253),"x","")</f>
        <v/>
      </c>
      <c r="AB253" s="75" t="str">
        <f>IF(AND(OR(LEFT(TH!N253,2)="15",LEFT(TH!O253,2)="15"),LEFT(TH!O253,3)&lt;&gt;"111",'152-CT'!$J$8=TH!F253),"x","")</f>
        <v/>
      </c>
      <c r="AC253" s="75" t="str">
        <f>IF(AND(OR(LEFT(TH!N253,2)="15",LEFT(TH!O253,2)="15"),TK!$E$7=TH!F253),"x","")</f>
        <v/>
      </c>
      <c r="AD253" s="75" t="str">
        <f>IF(AND(N253="1521",MONTH(C253)='BK-NL'!$M$11),"x","")</f>
        <v/>
      </c>
    </row>
    <row r="254" spans="1:30" ht="16.5" customHeight="1">
      <c r="A254" s="309" t="str">
        <f>IF(B254&lt;&gt;"",IF(AND(B254='IN-TC'!$S$4,OR(TH!N254="1111",TH!O254="1111")),TH!D254,""),"")</f>
        <v/>
      </c>
      <c r="B254" s="1245">
        <f t="shared" si="29"/>
        <v>11</v>
      </c>
      <c r="C254" s="666">
        <v>43069</v>
      </c>
      <c r="D254" s="666" t="s">
        <v>530</v>
      </c>
      <c r="E254" s="666">
        <f t="shared" si="46"/>
        <v>43069</v>
      </c>
      <c r="F254" s="905" t="s">
        <v>732</v>
      </c>
      <c r="G254" s="739" t="s">
        <v>535</v>
      </c>
      <c r="H254" s="294"/>
      <c r="I254" s="373"/>
      <c r="J254" s="379"/>
      <c r="K254" s="373"/>
      <c r="L254" s="379"/>
      <c r="M254" s="670">
        <f>ROUND(G244*$G254,0)</f>
        <v>420110</v>
      </c>
      <c r="N254" s="671" t="s">
        <v>540</v>
      </c>
      <c r="O254" s="671" t="s">
        <v>543</v>
      </c>
      <c r="P254" s="75" t="str">
        <f>IF(AND('331-CT'!$E$7=TH!H254,OR(N254="331",O254="331")),"x","")</f>
        <v/>
      </c>
      <c r="Q254" s="75" t="str">
        <f>IF(AND(B254='111'!$L$11,OR($N254=$Q$7,$O254=$Q$7)),"x","")</f>
        <v/>
      </c>
      <c r="R254" s="75" t="str">
        <f>IF(AND($N254=$Q$7,$B254&lt;'111'!$L$11),"x","")</f>
        <v/>
      </c>
      <c r="S254" s="75" t="str">
        <f>IF(AND($O254=$Q$7,$B254&lt;'111'!$L$11),"x","")</f>
        <v/>
      </c>
      <c r="T254" s="75" t="str">
        <f>IF(ISERROR(FIND('112'!$M$9,G254,1)),"",IF((AND(FIND('112'!$M$9,G254,1)&gt;=1,B254='112'!$K$9,OR($N254='112'!$I$6,$O254='112'!$I$6))),"x",""))</f>
        <v/>
      </c>
      <c r="U254" s="75" t="str">
        <f>IF(ISERROR(FIND('112'!$M$9,G254,1)),"",IF((AND(LEFT(G254,2)=LEFT('112'!$M$9,2),B254&lt;'112'!$K$9,$N254='112'!$I$6)),"x",""))</f>
        <v/>
      </c>
      <c r="V254" s="75" t="str">
        <f>IF(ISERROR(FIND('112'!$M$9,G254,1)),"",IF((AND(RIGHT(G254,2)=RIGHT('112'!$M$9,2),B254&lt;'112'!$K$9,$O254='112'!$I$6)),"x",""))</f>
        <v/>
      </c>
      <c r="W254" s="75" t="str">
        <f>IF(AND('341-CT'!$H$9=H254,OR(LEFT(N254,3)=$W$7,LEFT(O254,3)=$W$7)),"x","")</f>
        <v/>
      </c>
      <c r="X254" s="75" t="str">
        <f>IF(OR(TH!N254=TH!$X$7,O254=TH!$X$7),"x","")</f>
        <v/>
      </c>
      <c r="Y254" s="75" t="str">
        <f>IF(AND(OR(N254="131",O254="131"),H254='131-CT'!$H$9),"x","")</f>
        <v/>
      </c>
      <c r="Z254" s="75"/>
      <c r="AA254" s="75" t="str">
        <f>IF(AND(MONTH(E254)='IN-NX'!$J$5,'IN-NX'!$D$7=D254),"x","")</f>
        <v/>
      </c>
      <c r="AB254" s="75" t="str">
        <f>IF(AND(OR(LEFT(TH!N254,2)="15",LEFT(TH!O254,2)="15"),LEFT(TH!O254,3)&lt;&gt;"111",'152-CT'!$J$8=TH!F254),"x","")</f>
        <v/>
      </c>
      <c r="AC254" s="75" t="str">
        <f>IF(AND(OR(LEFT(TH!N254,2)="15",LEFT(TH!O254,2)="15"),TK!$E$7=TH!F254),"x","")</f>
        <v/>
      </c>
      <c r="AD254" s="75" t="str">
        <f>IF(AND(N254="1521",MONTH(C254)='BK-NL'!$M$11),"x","")</f>
        <v/>
      </c>
    </row>
    <row r="255" spans="1:30" ht="16.5" customHeight="1">
      <c r="A255" s="309" t="str">
        <f>IF(B255&lt;&gt;"",IF(AND(B255='IN-TC'!$S$4,OR(TH!N255="1111",TH!O255="1111")),TH!D255,""),"")</f>
        <v/>
      </c>
      <c r="B255" s="1245">
        <f t="shared" si="29"/>
        <v>11</v>
      </c>
      <c r="C255" s="666">
        <v>43069</v>
      </c>
      <c r="D255" s="666" t="s">
        <v>530</v>
      </c>
      <c r="E255" s="666">
        <f t="shared" si="46"/>
        <v>43069</v>
      </c>
      <c r="F255" s="905" t="s">
        <v>733</v>
      </c>
      <c r="G255" s="250"/>
      <c r="H255" s="294"/>
      <c r="I255" s="373"/>
      <c r="J255" s="379"/>
      <c r="K255" s="373"/>
      <c r="L255" s="379"/>
      <c r="M255" s="670">
        <f>ROUND(G245*$G254,0)</f>
        <v>547920</v>
      </c>
      <c r="N255" s="671" t="s">
        <v>540</v>
      </c>
      <c r="O255" s="671" t="s">
        <v>543</v>
      </c>
      <c r="P255" s="75" t="str">
        <f>IF(AND('331-CT'!$E$7=TH!H255,OR(N255="331",O255="331")),"x","")</f>
        <v/>
      </c>
      <c r="Q255" s="75" t="str">
        <f>IF(AND(B255='111'!$L$11,OR($N255=$Q$7,$O255=$Q$7)),"x","")</f>
        <v/>
      </c>
      <c r="R255" s="75" t="str">
        <f>IF(AND($N255=$Q$7,$B255&lt;'111'!$L$11),"x","")</f>
        <v/>
      </c>
      <c r="S255" s="75" t="str">
        <f>IF(AND($O255=$Q$7,$B255&lt;'111'!$L$11),"x","")</f>
        <v/>
      </c>
      <c r="T255" s="75" t="str">
        <f>IF(ISERROR(FIND('112'!$M$9,G255,1)),"",IF((AND(FIND('112'!$M$9,G255,1)&gt;=1,B255='112'!$K$9,OR($N255='112'!$I$6,$O255='112'!$I$6))),"x",""))</f>
        <v/>
      </c>
      <c r="U255" s="75" t="str">
        <f>IF(ISERROR(FIND('112'!$M$9,G255,1)),"",IF((AND(LEFT(G255,2)=LEFT('112'!$M$9,2),B255&lt;'112'!$K$9,$N255='112'!$I$6)),"x",""))</f>
        <v/>
      </c>
      <c r="V255" s="75" t="str">
        <f>IF(ISERROR(FIND('112'!$M$9,G255,1)),"",IF((AND(RIGHT(G255,2)=RIGHT('112'!$M$9,2),B255&lt;'112'!$K$9,$O255='112'!$I$6)),"x",""))</f>
        <v/>
      </c>
      <c r="W255" s="75" t="str">
        <f>IF(AND('341-CT'!$H$9=H255,OR(LEFT(N255,3)=$W$7,LEFT(O255,3)=$W$7)),"x","")</f>
        <v/>
      </c>
      <c r="X255" s="75" t="str">
        <f>IF(OR(TH!N255=TH!$X$7,O255=TH!$X$7),"x","")</f>
        <v/>
      </c>
      <c r="Y255" s="75" t="str">
        <f>IF(AND(OR(N255="131",O255="131"),H255='131-CT'!$H$9),"x","")</f>
        <v/>
      </c>
      <c r="Z255" s="75"/>
      <c r="AA255" s="75" t="str">
        <f>IF(AND(MONTH(E255)='IN-NX'!$J$5,'IN-NX'!$D$7=D255),"x","")</f>
        <v/>
      </c>
      <c r="AB255" s="75" t="str">
        <f>IF(AND(OR(LEFT(TH!N255,2)="15",LEFT(TH!O255,2)="15"),LEFT(TH!O255,3)&lt;&gt;"111",'152-CT'!$J$8=TH!F255),"x","")</f>
        <v/>
      </c>
      <c r="AC255" s="75" t="str">
        <f>IF(AND(OR(LEFT(TH!N255,2)="15",LEFT(TH!O255,2)="15"),TK!$E$7=TH!F255),"x","")</f>
        <v/>
      </c>
      <c r="AD255" s="75" t="str">
        <f>IF(AND(N255="1521",MONTH(C255)='BK-NL'!$M$11),"x","")</f>
        <v/>
      </c>
    </row>
    <row r="256" spans="1:30" ht="16.5" customHeight="1">
      <c r="A256" s="309" t="str">
        <f>IF(B256&lt;&gt;"",IF(AND(B256='IN-TC'!$S$4,OR(TH!N256="1111",TH!O256="1111")),TH!D256,""),"")</f>
        <v/>
      </c>
      <c r="B256" s="1245">
        <f t="shared" si="29"/>
        <v>11</v>
      </c>
      <c r="C256" s="666">
        <v>43069</v>
      </c>
      <c r="D256" s="666" t="s">
        <v>530</v>
      </c>
      <c r="E256" s="666">
        <f t="shared" si="46"/>
        <v>43069</v>
      </c>
      <c r="F256" s="905" t="s">
        <v>734</v>
      </c>
      <c r="G256" s="739" t="s">
        <v>535</v>
      </c>
      <c r="H256" s="871"/>
      <c r="I256" s="374"/>
      <c r="J256" s="380"/>
      <c r="K256" s="374"/>
      <c r="L256" s="380"/>
      <c r="M256" s="670">
        <f>M254</f>
        <v>420110</v>
      </c>
      <c r="N256" s="671" t="s">
        <v>539</v>
      </c>
      <c r="O256" s="671" t="s">
        <v>543</v>
      </c>
      <c r="P256" s="75" t="str">
        <f>IF(AND('331-CT'!$E$7=TH!H256,OR(N256="331",O256="331")),"x","")</f>
        <v/>
      </c>
      <c r="Q256" s="75" t="str">
        <f>IF(AND(B256='111'!$L$11,OR($N256=$Q$7,$O256=$Q$7)),"x","")</f>
        <v/>
      </c>
      <c r="R256" s="75" t="str">
        <f>IF(AND($N256=$Q$7,$B256&lt;'111'!$L$11),"x","")</f>
        <v/>
      </c>
      <c r="S256" s="75" t="str">
        <f>IF(AND($O256=$Q$7,$B256&lt;'111'!$L$11),"x","")</f>
        <v/>
      </c>
      <c r="T256" s="75" t="str">
        <f>IF(ISERROR(FIND('112'!$M$9,G256,1)),"",IF((AND(FIND('112'!$M$9,G256,1)&gt;=1,B256='112'!$K$9,OR($N256='112'!$I$6,$O256='112'!$I$6))),"x",""))</f>
        <v/>
      </c>
      <c r="U256" s="75" t="str">
        <f>IF(ISERROR(FIND('112'!$M$9,G256,1)),"",IF((AND(LEFT(G256,2)=LEFT('112'!$M$9,2),B256&lt;'112'!$K$9,$N256='112'!$I$6)),"x",""))</f>
        <v/>
      </c>
      <c r="V256" s="75" t="str">
        <f>IF(ISERROR(FIND('112'!$M$9,G256,1)),"",IF((AND(RIGHT(G256,2)=RIGHT('112'!$M$9,2),B256&lt;'112'!$K$9,$O256='112'!$I$6)),"x",""))</f>
        <v/>
      </c>
      <c r="W256" s="75" t="str">
        <f>IF(AND('341-CT'!$H$9=H256,OR(LEFT(N256,3)=$W$7,LEFT(O256,3)=$W$7)),"x","")</f>
        <v/>
      </c>
      <c r="X256" s="75" t="str">
        <f>IF(OR(TH!N256=TH!$X$7,O256=TH!$X$7),"x","")</f>
        <v/>
      </c>
      <c r="Y256" s="75" t="str">
        <f>IF(AND(OR(N256="131",O256="131"),H256='131-CT'!$H$9),"x","")</f>
        <v/>
      </c>
      <c r="Z256" s="75"/>
      <c r="AA256" s="75" t="str">
        <f>IF(AND(MONTH(E256)='IN-NX'!$J$5,'IN-NX'!$D$7=D256),"x","")</f>
        <v/>
      </c>
      <c r="AB256" s="75" t="str">
        <f>IF(AND(OR(LEFT(TH!N256,2)="15",LEFT(TH!O256,2)="15"),LEFT(TH!O256,3)&lt;&gt;"111",'152-CT'!$J$8=TH!F256),"x","")</f>
        <v/>
      </c>
      <c r="AC256" s="75" t="str">
        <f>IF(AND(OR(LEFT(TH!N256,2)="15",LEFT(TH!O256,2)="15"),TK!$E$7=TH!F256),"x","")</f>
        <v/>
      </c>
      <c r="AD256" s="75" t="str">
        <f>IF(AND(N256="1521",MONTH(C256)='BK-NL'!$M$11),"x","")</f>
        <v/>
      </c>
    </row>
    <row r="257" spans="1:30" ht="16.5" customHeight="1">
      <c r="A257" s="309" t="str">
        <f>IF(B257&lt;&gt;"",IF(AND(B257='IN-TC'!$S$4,OR(TH!N257="1111",TH!O257="1111")),TH!D257,""),"")</f>
        <v/>
      </c>
      <c r="B257" s="1245">
        <f t="shared" si="29"/>
        <v>11</v>
      </c>
      <c r="C257" s="666">
        <v>43069</v>
      </c>
      <c r="D257" s="666" t="s">
        <v>530</v>
      </c>
      <c r="E257" s="666">
        <f t="shared" si="46"/>
        <v>43069</v>
      </c>
      <c r="F257" s="905" t="s">
        <v>735</v>
      </c>
      <c r="G257" s="250"/>
      <c r="H257" s="294"/>
      <c r="I257" s="373"/>
      <c r="J257" s="379"/>
      <c r="K257" s="373"/>
      <c r="L257" s="379"/>
      <c r="M257" s="670">
        <f>M255</f>
        <v>547920</v>
      </c>
      <c r="N257" s="671" t="s">
        <v>272</v>
      </c>
      <c r="O257" s="671" t="s">
        <v>543</v>
      </c>
      <c r="P257" s="75" t="str">
        <f>IF(AND('331-CT'!$E$7=TH!H257,OR(N257="331",O257="331")),"x","")</f>
        <v/>
      </c>
      <c r="Q257" s="75" t="str">
        <f>IF(AND(B257='111'!$L$11,OR($N257=$Q$7,$O257=$Q$7)),"x","")</f>
        <v/>
      </c>
      <c r="R257" s="75" t="str">
        <f>IF(AND($N257=$Q$7,$B257&lt;'111'!$L$11),"x","")</f>
        <v/>
      </c>
      <c r="S257" s="75" t="str">
        <f>IF(AND($O257=$Q$7,$B257&lt;'111'!$L$11),"x","")</f>
        <v/>
      </c>
      <c r="T257" s="75" t="str">
        <f>IF(ISERROR(FIND('112'!$M$9,G257,1)),"",IF((AND(FIND('112'!$M$9,G257,1)&gt;=1,B257='112'!$K$9,OR($N257='112'!$I$6,$O257='112'!$I$6))),"x",""))</f>
        <v/>
      </c>
      <c r="U257" s="75" t="str">
        <f>IF(ISERROR(FIND('112'!$M$9,G257,1)),"",IF((AND(LEFT(G257,2)=LEFT('112'!$M$9,2),B257&lt;'112'!$K$9,$N257='112'!$I$6)),"x",""))</f>
        <v/>
      </c>
      <c r="V257" s="75" t="str">
        <f>IF(ISERROR(FIND('112'!$M$9,G257,1)),"",IF((AND(RIGHT(G257,2)=RIGHT('112'!$M$9,2),B257&lt;'112'!$K$9,$O257='112'!$I$6)),"x",""))</f>
        <v/>
      </c>
      <c r="W257" s="75" t="str">
        <f>IF(AND('341-CT'!$H$9=H257,OR(LEFT(N257,3)=$W$7,LEFT(O257,3)=$W$7)),"x","")</f>
        <v/>
      </c>
      <c r="X257" s="75" t="str">
        <f>IF(OR(TH!N257=TH!$X$7,O257=TH!$X$7),"x","")</f>
        <v/>
      </c>
      <c r="Y257" s="75" t="str">
        <f>IF(AND(OR(N257="131",O257="131"),H257='131-CT'!$H$9),"x","")</f>
        <v/>
      </c>
      <c r="Z257" s="75"/>
      <c r="AA257" s="75" t="str">
        <f>IF(AND(MONTH(E257)='IN-NX'!$J$5,'IN-NX'!$D$7=D257),"x","")</f>
        <v/>
      </c>
      <c r="AB257" s="75" t="str">
        <f>IF(AND(OR(LEFT(TH!N257,2)="15",LEFT(TH!O257,2)="15"),LEFT(TH!O257,3)&lt;&gt;"111",'152-CT'!$J$8=TH!F257),"x","")</f>
        <v/>
      </c>
      <c r="AC257" s="75" t="str">
        <f>IF(AND(OR(LEFT(TH!N257,2)="15",LEFT(TH!O257,2)="15"),TK!$E$7=TH!F257),"x","")</f>
        <v/>
      </c>
      <c r="AD257" s="75" t="str">
        <f>IF(AND(N257="1521",MONTH(C257)='BK-NL'!$M$11),"x","")</f>
        <v/>
      </c>
    </row>
    <row r="258" spans="1:30" ht="16.5" customHeight="1">
      <c r="A258" s="309" t="str">
        <f>IF(B258&lt;&gt;"",IF(AND(B258='IN-TC'!$S$4,OR(TH!N258="1111",TH!O258="1111")),TH!D258,""),"")</f>
        <v/>
      </c>
      <c r="B258" s="1245">
        <f t="shared" ref="B258:B259" si="47">IF(C258&lt;&gt;"",MONTH(C258),"")</f>
        <v>11</v>
      </c>
      <c r="C258" s="666">
        <v>43069</v>
      </c>
      <c r="D258" s="666" t="s">
        <v>530</v>
      </c>
      <c r="E258" s="666">
        <f t="shared" ref="E258:E259" si="48">C258</f>
        <v>43069</v>
      </c>
      <c r="F258" s="905" t="s">
        <v>2686</v>
      </c>
      <c r="G258" s="739" t="s">
        <v>2688</v>
      </c>
      <c r="H258" s="871"/>
      <c r="I258" s="374"/>
      <c r="J258" s="380"/>
      <c r="K258" s="374"/>
      <c r="L258" s="380"/>
      <c r="M258" s="670">
        <f>ROUND(G244*$G258,0)</f>
        <v>210055</v>
      </c>
      <c r="N258" s="671" t="s">
        <v>539</v>
      </c>
      <c r="O258" s="671" t="s">
        <v>19</v>
      </c>
      <c r="P258" s="75" t="str">
        <f>IF(AND('331-CT'!$E$7=TH!H258,OR(N258="331",O258="331")),"x","")</f>
        <v/>
      </c>
      <c r="Q258" s="75" t="str">
        <f>IF(AND(B258='111'!$L$11,OR($N258=$Q$7,$O258=$Q$7)),"x","")</f>
        <v/>
      </c>
      <c r="R258" s="75" t="str">
        <f>IF(AND($N258=$Q$7,$B258&lt;'111'!$L$11),"x","")</f>
        <v/>
      </c>
      <c r="S258" s="75" t="str">
        <f>IF(AND($O258=$Q$7,$B258&lt;'111'!$L$11),"x","")</f>
        <v/>
      </c>
      <c r="T258" s="75" t="str">
        <f>IF(ISERROR(FIND('112'!$M$9,G258,1)),"",IF((AND(FIND('112'!$M$9,G258,1)&gt;=1,B258='112'!$K$9,OR($N258='112'!$I$6,$O258='112'!$I$6))),"x",""))</f>
        <v/>
      </c>
      <c r="U258" s="75" t="str">
        <f>IF(ISERROR(FIND('112'!$M$9,G258,1)),"",IF((AND(LEFT(G258,2)=LEFT('112'!$M$9,2),B258&lt;'112'!$K$9,$N258='112'!$I$6)),"x",""))</f>
        <v/>
      </c>
      <c r="V258" s="75" t="str">
        <f>IF(ISERROR(FIND('112'!$M$9,G258,1)),"",IF((AND(RIGHT(G258,2)=RIGHT('112'!$M$9,2),B258&lt;'112'!$K$9,$O258='112'!$I$6)),"x",""))</f>
        <v/>
      </c>
      <c r="W258" s="75" t="str">
        <f>IF(AND('341-CT'!$H$9=H258,OR(LEFT(N258,3)=$W$7,LEFT(O258,3)=$W$7)),"x","")</f>
        <v/>
      </c>
      <c r="X258" s="75" t="str">
        <f>IF(OR(TH!N258=TH!$X$7,O258=TH!$X$7),"x","")</f>
        <v/>
      </c>
      <c r="Y258" s="75" t="str">
        <f>IF(AND(OR(N258="131",O258="131"),H258='131-CT'!$H$9),"x","")</f>
        <v/>
      </c>
      <c r="Z258" s="75"/>
      <c r="AA258" s="75" t="str">
        <f>IF(AND(MONTH(E258)='IN-NX'!$J$5,'IN-NX'!$D$7=D258),"x","")</f>
        <v/>
      </c>
      <c r="AB258" s="75" t="str">
        <f>IF(AND(OR(LEFT(TH!N258,2)="15",LEFT(TH!O258,2)="15"),LEFT(TH!O258,3)&lt;&gt;"111",'152-CT'!$J$8=TH!F258),"x","")</f>
        <v/>
      </c>
      <c r="AC258" s="75" t="str">
        <f>IF(AND(OR(LEFT(TH!N258,2)="15",LEFT(TH!O258,2)="15"),TK!$E$7=TH!F258),"x","")</f>
        <v/>
      </c>
      <c r="AD258" s="75" t="str">
        <f>IF(AND(N258="1521",MONTH(C258)='BK-NL'!$M$11),"x","")</f>
        <v/>
      </c>
    </row>
    <row r="259" spans="1:30" ht="16.5" customHeight="1">
      <c r="A259" s="309" t="str">
        <f>IF(B259&lt;&gt;"",IF(AND(B259='IN-TC'!$S$4,OR(TH!N259="1111",TH!O259="1111")),TH!D259,""),"")</f>
        <v/>
      </c>
      <c r="B259" s="1245">
        <f t="shared" si="47"/>
        <v>11</v>
      </c>
      <c r="C259" s="666">
        <v>43069</v>
      </c>
      <c r="D259" s="666" t="s">
        <v>530</v>
      </c>
      <c r="E259" s="666">
        <f t="shared" si="48"/>
        <v>43069</v>
      </c>
      <c r="F259" s="905" t="s">
        <v>2687</v>
      </c>
      <c r="G259" s="250"/>
      <c r="H259" s="294"/>
      <c r="I259" s="373"/>
      <c r="J259" s="379"/>
      <c r="K259" s="373"/>
      <c r="L259" s="379"/>
      <c r="M259" s="670">
        <f>ROUND(G245*$G258,0)</f>
        <v>273960</v>
      </c>
      <c r="N259" s="671" t="s">
        <v>272</v>
      </c>
      <c r="O259" s="671" t="s">
        <v>19</v>
      </c>
      <c r="P259" s="75" t="str">
        <f>IF(AND('331-CT'!$E$7=TH!H259,OR(N259="331",O259="331")),"x","")</f>
        <v/>
      </c>
      <c r="Q259" s="75" t="str">
        <f>IF(AND(B259='111'!$L$11,OR($N259=$Q$7,$O259=$Q$7)),"x","")</f>
        <v/>
      </c>
      <c r="R259" s="75" t="str">
        <f>IF(AND($N259=$Q$7,$B259&lt;'111'!$L$11),"x","")</f>
        <v/>
      </c>
      <c r="S259" s="75" t="str">
        <f>IF(AND($O259=$Q$7,$B259&lt;'111'!$L$11),"x","")</f>
        <v/>
      </c>
      <c r="T259" s="75" t="str">
        <f>IF(ISERROR(FIND('112'!$M$9,G259,1)),"",IF((AND(FIND('112'!$M$9,G259,1)&gt;=1,B259='112'!$K$9,OR($N259='112'!$I$6,$O259='112'!$I$6))),"x",""))</f>
        <v/>
      </c>
      <c r="U259" s="75" t="str">
        <f>IF(ISERROR(FIND('112'!$M$9,G259,1)),"",IF((AND(LEFT(G259,2)=LEFT('112'!$M$9,2),B259&lt;'112'!$K$9,$N259='112'!$I$6)),"x",""))</f>
        <v/>
      </c>
      <c r="V259" s="75" t="str">
        <f>IF(ISERROR(FIND('112'!$M$9,G259,1)),"",IF((AND(RIGHT(G259,2)=RIGHT('112'!$M$9,2),B259&lt;'112'!$K$9,$O259='112'!$I$6)),"x",""))</f>
        <v/>
      </c>
      <c r="W259" s="75" t="str">
        <f>IF(AND('341-CT'!$H$9=H259,OR(LEFT(N259,3)=$W$7,LEFT(O259,3)=$W$7)),"x","")</f>
        <v/>
      </c>
      <c r="X259" s="75" t="str">
        <f>IF(OR(TH!N259=TH!$X$7,O259=TH!$X$7),"x","")</f>
        <v/>
      </c>
      <c r="Y259" s="75" t="str">
        <f>IF(AND(OR(N259="131",O259="131"),H259='131-CT'!$H$9),"x","")</f>
        <v/>
      </c>
      <c r="Z259" s="75"/>
      <c r="AA259" s="75" t="str">
        <f>IF(AND(MONTH(E259)='IN-NX'!$J$5,'IN-NX'!$D$7=D259),"x","")</f>
        <v/>
      </c>
      <c r="AB259" s="75" t="str">
        <f>IF(AND(OR(LEFT(TH!N259,2)="15",LEFT(TH!O259,2)="15"),LEFT(TH!O259,3)&lt;&gt;"111",'152-CT'!$J$8=TH!F259),"x","")</f>
        <v/>
      </c>
      <c r="AC259" s="75" t="str">
        <f>IF(AND(OR(LEFT(TH!N259,2)="15",LEFT(TH!O259,2)="15"),TK!$E$7=TH!F259),"x","")</f>
        <v/>
      </c>
      <c r="AD259" s="75" t="str">
        <f>IF(AND(N259="1521",MONTH(C259)='BK-NL'!$M$11),"x","")</f>
        <v/>
      </c>
    </row>
    <row r="260" spans="1:30" ht="16.5" customHeight="1">
      <c r="A260" s="309" t="str">
        <f>IF(B260&lt;&gt;"",IF(AND(B260='IN-TC'!$S$4,OR(TH!N260="1111",TH!O260="1111")),TH!D260,""),"")</f>
        <v/>
      </c>
      <c r="B260" s="1245">
        <f t="shared" ref="B260:B262" si="49">IF(C260&lt;&gt;"",MONTH(C260),"")</f>
        <v>11</v>
      </c>
      <c r="C260" s="666">
        <v>43069</v>
      </c>
      <c r="D260" s="666" t="s">
        <v>530</v>
      </c>
      <c r="E260" s="666">
        <f t="shared" ref="E260:E262" si="50">C260</f>
        <v>43069</v>
      </c>
      <c r="F260" s="905" t="s">
        <v>2672</v>
      </c>
      <c r="G260" s="250"/>
      <c r="H260" s="294"/>
      <c r="I260" s="373"/>
      <c r="J260" s="379"/>
      <c r="K260" s="373"/>
      <c r="L260" s="379"/>
      <c r="M260" s="670">
        <v>719622</v>
      </c>
      <c r="N260" s="671" t="s">
        <v>105</v>
      </c>
      <c r="O260" s="671" t="s">
        <v>541</v>
      </c>
      <c r="P260" s="75" t="str">
        <f>IF(AND('331-CT'!$E$7=TH!H260,OR(N260="331",O260="331")),"x","")</f>
        <v/>
      </c>
      <c r="Q260" s="75" t="str">
        <f>IF(AND(B260='111'!$L$11,OR($N260=$Q$7,$O260=$Q$7)),"x","")</f>
        <v/>
      </c>
      <c r="R260" s="75" t="str">
        <f>IF(AND($N260=$Q$7,$B260&lt;'111'!$L$11),"x","")</f>
        <v/>
      </c>
      <c r="S260" s="75" t="str">
        <f>IF(AND($O260=$Q$7,$B260&lt;'111'!$L$11),"x","")</f>
        <v/>
      </c>
      <c r="T260" s="75" t="str">
        <f>IF(ISERROR(FIND('112'!$M$9,G260,1)),"",IF((AND(FIND('112'!$M$9,G260,1)&gt;=1,B260='112'!$K$9,OR($N260='112'!$I$6,$O260='112'!$I$6))),"x",""))</f>
        <v/>
      </c>
      <c r="U260" s="75" t="str">
        <f>IF(ISERROR(FIND('112'!$M$9,G260,1)),"",IF((AND(LEFT(G260,2)=LEFT('112'!$M$9,2),B260&lt;'112'!$K$9,$N260='112'!$I$6)),"x",""))</f>
        <v/>
      </c>
      <c r="V260" s="75" t="str">
        <f>IF(ISERROR(FIND('112'!$M$9,G260,1)),"",IF((AND(RIGHT(G260,2)=RIGHT('112'!$M$9,2),B260&lt;'112'!$K$9,$O260='112'!$I$6)),"x",""))</f>
        <v/>
      </c>
      <c r="W260" s="75" t="str">
        <f>IF(AND('341-CT'!$H$9=H260,OR(LEFT(N260,3)=$W$7,LEFT(O260,3)=$W$7)),"x","")</f>
        <v/>
      </c>
      <c r="X260" s="75" t="str">
        <f>IF(OR(TH!N260=TH!$X$7,O260=TH!$X$7),"x","")</f>
        <v/>
      </c>
      <c r="Y260" s="75" t="str">
        <f>IF(AND(OR(N260="131",O260="131"),H260='131-CT'!$H$9),"x","")</f>
        <v/>
      </c>
      <c r="Z260" s="75"/>
      <c r="AA260" s="75" t="str">
        <f>IF(AND(MONTH(E260)='IN-NX'!$J$5,'IN-NX'!$D$7=D260),"x","")</f>
        <v/>
      </c>
      <c r="AB260" s="75" t="str">
        <f>IF(AND(OR(LEFT(TH!N260,2)="15",LEFT(TH!O260,2)="15"),LEFT(TH!O260,3)&lt;&gt;"111",'152-CT'!$J$8=TH!F260),"x","")</f>
        <v/>
      </c>
      <c r="AC260" s="75" t="str">
        <f>IF(AND(OR(LEFT(TH!N260,2)="15",LEFT(TH!O260,2)="15"),TK!$E$7=TH!F260),"x","")</f>
        <v/>
      </c>
      <c r="AD260" s="75" t="str">
        <f>IF(AND(N260="1521",MONTH(C260)='BK-NL'!$M$11),"x","")</f>
        <v/>
      </c>
    </row>
    <row r="261" spans="1:30" ht="16.5" customHeight="1">
      <c r="A261" s="309" t="str">
        <f>IF(B261&lt;&gt;"",IF(AND(B261='IN-TC'!$S$4,OR(TH!N261="1111",TH!O261="1111")),TH!D261,""),"")</f>
        <v/>
      </c>
      <c r="B261" s="1245">
        <f t="shared" si="49"/>
        <v>11</v>
      </c>
      <c r="C261" s="666">
        <v>43069</v>
      </c>
      <c r="D261" s="666" t="s">
        <v>530</v>
      </c>
      <c r="E261" s="666">
        <f t="shared" si="50"/>
        <v>43069</v>
      </c>
      <c r="F261" s="905" t="s">
        <v>2672</v>
      </c>
      <c r="G261" s="250"/>
      <c r="H261" s="294"/>
      <c r="I261" s="373"/>
      <c r="J261" s="379"/>
      <c r="K261" s="373"/>
      <c r="L261" s="379"/>
      <c r="M261" s="670">
        <v>43260</v>
      </c>
      <c r="N261" s="671" t="s">
        <v>105</v>
      </c>
      <c r="O261" s="671" t="s">
        <v>542</v>
      </c>
      <c r="P261" s="75" t="str">
        <f>IF(AND('331-CT'!$E$7=TH!H261,OR(N261="331",O261="331")),"x","")</f>
        <v/>
      </c>
      <c r="Q261" s="75" t="str">
        <f>IF(AND(B261='111'!$L$11,OR($N261=$Q$7,$O261=$Q$7)),"x","")</f>
        <v/>
      </c>
      <c r="R261" s="75" t="str">
        <f>IF(AND($N261=$Q$7,$B261&lt;'111'!$L$11),"x","")</f>
        <v/>
      </c>
      <c r="S261" s="75" t="str">
        <f>IF(AND($O261=$Q$7,$B261&lt;'111'!$L$11),"x","")</f>
        <v/>
      </c>
      <c r="T261" s="75" t="str">
        <f>IF(ISERROR(FIND('112'!$M$9,G261,1)),"",IF((AND(FIND('112'!$M$9,G261,1)&gt;=1,B261='112'!$K$9,OR($N261='112'!$I$6,$O261='112'!$I$6))),"x",""))</f>
        <v/>
      </c>
      <c r="U261" s="75" t="str">
        <f>IF(ISERROR(FIND('112'!$M$9,G261,1)),"",IF((AND(LEFT(G261,2)=LEFT('112'!$M$9,2),B261&lt;'112'!$K$9,$N261='112'!$I$6)),"x",""))</f>
        <v/>
      </c>
      <c r="V261" s="75" t="str">
        <f>IF(ISERROR(FIND('112'!$M$9,G261,1)),"",IF((AND(RIGHT(G261,2)=RIGHT('112'!$M$9,2),B261&lt;'112'!$K$9,$O261='112'!$I$6)),"x",""))</f>
        <v/>
      </c>
      <c r="W261" s="75" t="str">
        <f>IF(AND('341-CT'!$H$9=H261,OR(LEFT(N261,3)=$W$7,LEFT(O261,3)=$W$7)),"x","")</f>
        <v/>
      </c>
      <c r="X261" s="75" t="str">
        <f>IF(OR(TH!N261=TH!$X$7,O261=TH!$X$7),"x","")</f>
        <v/>
      </c>
      <c r="Y261" s="75" t="str">
        <f>IF(AND(OR(N261="131",O261="131"),H261='131-CT'!$H$9),"x","")</f>
        <v/>
      </c>
      <c r="Z261" s="75"/>
      <c r="AA261" s="75" t="str">
        <f>IF(AND(MONTH(E261)='IN-NX'!$J$5,'IN-NX'!$D$7=D261),"x","")</f>
        <v/>
      </c>
      <c r="AB261" s="75" t="str">
        <f>IF(AND(OR(LEFT(TH!N261,2)="15",LEFT(TH!O261,2)="15"),LEFT(TH!O261,3)&lt;&gt;"111",'152-CT'!$J$8=TH!F261),"x","")</f>
        <v/>
      </c>
      <c r="AC261" s="75" t="str">
        <f>IF(AND(OR(LEFT(TH!N261,2)="15",LEFT(TH!O261,2)="15"),TK!$E$7=TH!F261),"x","")</f>
        <v/>
      </c>
      <c r="AD261" s="75" t="str">
        <f>IF(AND(N261="1521",MONTH(C261)='BK-NL'!$M$11),"x","")</f>
        <v/>
      </c>
    </row>
    <row r="262" spans="1:30" ht="16.5" customHeight="1">
      <c r="A262" s="309" t="str">
        <f>IF(B262&lt;&gt;"",IF(AND(B262='IN-TC'!$S$4,OR(TH!N262="1111",TH!O262="1111")),TH!D262,""),"")</f>
        <v/>
      </c>
      <c r="B262" s="1245">
        <f t="shared" si="49"/>
        <v>11</v>
      </c>
      <c r="C262" s="666">
        <v>43069</v>
      </c>
      <c r="D262" s="666" t="s">
        <v>530</v>
      </c>
      <c r="E262" s="666">
        <f t="shared" si="50"/>
        <v>43069</v>
      </c>
      <c r="F262" s="905" t="s">
        <v>2672</v>
      </c>
      <c r="G262" s="250"/>
      <c r="H262" s="294"/>
      <c r="I262" s="373"/>
      <c r="J262" s="379"/>
      <c r="K262" s="373"/>
      <c r="L262" s="379"/>
      <c r="M262" s="670">
        <v>26189</v>
      </c>
      <c r="N262" s="671" t="s">
        <v>105</v>
      </c>
      <c r="O262" s="671" t="s">
        <v>543</v>
      </c>
      <c r="P262" s="75" t="str">
        <f>IF(AND('331-CT'!$E$7=TH!H262,OR(N262="331",O262="331")),"x","")</f>
        <v/>
      </c>
      <c r="Q262" s="75" t="str">
        <f>IF(AND(B262='111'!$L$11,OR($N262=$Q$7,$O262=$Q$7)),"x","")</f>
        <v/>
      </c>
      <c r="R262" s="75" t="str">
        <f>IF(AND($N262=$Q$7,$B262&lt;'111'!$L$11),"x","")</f>
        <v/>
      </c>
      <c r="S262" s="75" t="str">
        <f>IF(AND($O262=$Q$7,$B262&lt;'111'!$L$11),"x","")</f>
        <v/>
      </c>
      <c r="T262" s="75" t="str">
        <f>IF(ISERROR(FIND('112'!$M$9,G262,1)),"",IF((AND(FIND('112'!$M$9,G262,1)&gt;=1,B262='112'!$K$9,OR($N262='112'!$I$6,$O262='112'!$I$6))),"x",""))</f>
        <v/>
      </c>
      <c r="U262" s="75" t="str">
        <f>IF(ISERROR(FIND('112'!$M$9,G262,1)),"",IF((AND(LEFT(G262,2)=LEFT('112'!$M$9,2),B262&lt;'112'!$K$9,$N262='112'!$I$6)),"x",""))</f>
        <v/>
      </c>
      <c r="V262" s="75" t="str">
        <f>IF(ISERROR(FIND('112'!$M$9,G262,1)),"",IF((AND(RIGHT(G262,2)=RIGHT('112'!$M$9,2),B262&lt;'112'!$K$9,$O262='112'!$I$6)),"x",""))</f>
        <v/>
      </c>
      <c r="W262" s="75" t="str">
        <f>IF(AND('341-CT'!$H$9=H262,OR(LEFT(N262,3)=$W$7,LEFT(O262,3)=$W$7)),"x","")</f>
        <v/>
      </c>
      <c r="X262" s="75" t="str">
        <f>IF(OR(TH!N262=TH!$X$7,O262=TH!$X$7),"x","")</f>
        <v/>
      </c>
      <c r="Y262" s="75" t="str">
        <f>IF(AND(OR(N262="131",O262="131"),H262='131-CT'!$H$9),"x","")</f>
        <v/>
      </c>
      <c r="Z262" s="75"/>
      <c r="AA262" s="75" t="str">
        <f>IF(AND(MONTH(E262)='IN-NX'!$J$5,'IN-NX'!$D$7=D262),"x","")</f>
        <v/>
      </c>
      <c r="AB262" s="75" t="str">
        <f>IF(AND(OR(LEFT(TH!N262,2)="15",LEFT(TH!O262,2)="15"),LEFT(TH!O262,3)&lt;&gt;"111",'152-CT'!$J$8=TH!F262),"x","")</f>
        <v/>
      </c>
      <c r="AC262" s="75" t="str">
        <f>IF(AND(OR(LEFT(TH!N262,2)="15",LEFT(TH!O262,2)="15"),TK!$E$7=TH!F262),"x","")</f>
        <v/>
      </c>
      <c r="AD262" s="75" t="str">
        <f>IF(AND(N262="1521",MONTH(C262)='BK-NL'!$M$11),"x","")</f>
        <v/>
      </c>
    </row>
    <row r="263" spans="1:30" ht="16.5" customHeight="1">
      <c r="A263" s="309" t="str">
        <f>IF(B263&lt;&gt;"",IF(AND(B263='IN-TC'!$S$4,OR(TH!N263="1111",TH!O263="1111")),TH!D263,""),"")</f>
        <v/>
      </c>
      <c r="B263" s="1245">
        <f t="shared" ref="B263" si="51">IF(C263&lt;&gt;"",MONTH(C263),"")</f>
        <v>11</v>
      </c>
      <c r="C263" s="666">
        <v>43069</v>
      </c>
      <c r="D263" s="666" t="s">
        <v>530</v>
      </c>
      <c r="E263" s="666">
        <f t="shared" ref="E263" si="52">C263</f>
        <v>43069</v>
      </c>
      <c r="F263" s="905" t="s">
        <v>2672</v>
      </c>
      <c r="G263" s="250"/>
      <c r="H263" s="294"/>
      <c r="I263" s="373"/>
      <c r="J263" s="379"/>
      <c r="K263" s="373"/>
      <c r="L263" s="379"/>
      <c r="M263" s="670">
        <v>10756</v>
      </c>
      <c r="N263" s="671" t="s">
        <v>105</v>
      </c>
      <c r="O263" s="671" t="s">
        <v>19</v>
      </c>
      <c r="P263" s="75" t="str">
        <f>IF(AND('331-CT'!$E$7=TH!H263,OR(N263="331",O263="331")),"x","")</f>
        <v/>
      </c>
      <c r="Q263" s="75" t="str">
        <f>IF(AND(B263='111'!$L$11,OR($N263=$Q$7,$O263=$Q$7)),"x","")</f>
        <v/>
      </c>
      <c r="R263" s="75" t="str">
        <f>IF(AND($N263=$Q$7,$B263&lt;'111'!$L$11),"x","")</f>
        <v/>
      </c>
      <c r="S263" s="75" t="str">
        <f>IF(AND($O263=$Q$7,$B263&lt;'111'!$L$11),"x","")</f>
        <v/>
      </c>
      <c r="T263" s="75" t="str">
        <f>IF(ISERROR(FIND('112'!$M$9,G263,1)),"",IF((AND(FIND('112'!$M$9,G263,1)&gt;=1,B263='112'!$K$9,OR($N263='112'!$I$6,$O263='112'!$I$6))),"x",""))</f>
        <v/>
      </c>
      <c r="U263" s="75" t="str">
        <f>IF(ISERROR(FIND('112'!$M$9,G263,1)),"",IF((AND(LEFT(G263,2)=LEFT('112'!$M$9,2),B263&lt;'112'!$K$9,$N263='112'!$I$6)),"x",""))</f>
        <v/>
      </c>
      <c r="V263" s="75" t="str">
        <f>IF(ISERROR(FIND('112'!$M$9,G263,1)),"",IF((AND(RIGHT(G263,2)=RIGHT('112'!$M$9,2),B263&lt;'112'!$K$9,$O263='112'!$I$6)),"x",""))</f>
        <v/>
      </c>
      <c r="W263" s="75" t="str">
        <f>IF(AND('341-CT'!$H$9=H263,OR(LEFT(N263,3)=$W$7,LEFT(O263,3)=$W$7)),"x","")</f>
        <v/>
      </c>
      <c r="X263" s="75" t="str">
        <f>IF(OR(TH!N263=TH!$X$7,O263=TH!$X$7),"x","")</f>
        <v/>
      </c>
      <c r="Y263" s="75" t="str">
        <f>IF(AND(OR(N263="131",O263="131"),H263='131-CT'!$H$9),"x","")</f>
        <v/>
      </c>
      <c r="Z263" s="75"/>
      <c r="AA263" s="75" t="str">
        <f>IF(AND(MONTH(E263)='IN-NX'!$J$5,'IN-NX'!$D$7=D263),"x","")</f>
        <v/>
      </c>
      <c r="AB263" s="75" t="str">
        <f>IF(AND(OR(LEFT(TH!N263,2)="15",LEFT(TH!O263,2)="15"),LEFT(TH!O263,3)&lt;&gt;"111",'152-CT'!$J$8=TH!F263),"x","")</f>
        <v/>
      </c>
      <c r="AC263" s="75" t="str">
        <f>IF(AND(OR(LEFT(TH!N263,2)="15",LEFT(TH!O263,2)="15"),TK!$E$7=TH!F263),"x","")</f>
        <v/>
      </c>
      <c r="AD263" s="75" t="str">
        <f>IF(AND(N263="1521",MONTH(C263)='BK-NL'!$M$11),"x","")</f>
        <v/>
      </c>
    </row>
    <row r="264" spans="1:30" ht="16.5" customHeight="1">
      <c r="A264" s="309" t="str">
        <f>IF(B264&lt;&gt;"",IF(AND(B264='IN-TC'!$S$4,OR(TH!N264="1111",TH!O264="1111")),TH!D264,""),"")</f>
        <v/>
      </c>
      <c r="B264" s="1159">
        <f t="shared" ref="B264:B279" si="53">IF(C264&lt;&gt;"",MONTH(C264),"")</f>
        <v>12</v>
      </c>
      <c r="C264" s="666">
        <v>43100</v>
      </c>
      <c r="D264" s="666" t="s">
        <v>530</v>
      </c>
      <c r="E264" s="666">
        <f t="shared" si="46"/>
        <v>43100</v>
      </c>
      <c r="F264" s="905" t="s">
        <v>722</v>
      </c>
      <c r="G264" s="250">
        <v>42011000</v>
      </c>
      <c r="H264" s="294"/>
      <c r="I264" s="373"/>
      <c r="J264" s="379"/>
      <c r="K264" s="373"/>
      <c r="L264" s="379"/>
      <c r="M264" s="670">
        <v>43663880</v>
      </c>
      <c r="N264" s="671" t="s">
        <v>539</v>
      </c>
      <c r="O264" s="671" t="s">
        <v>540</v>
      </c>
      <c r="P264" s="75" t="str">
        <f>IF(AND('331-CT'!$E$7=TH!H264,OR(N264="331",O264="331")),"x","")</f>
        <v/>
      </c>
      <c r="Q264" s="75" t="str">
        <f>IF(AND(B264='111'!$L$11,OR($N264=$Q$7,$O264=$Q$7)),"x","")</f>
        <v/>
      </c>
      <c r="R264" s="75" t="str">
        <f>IF(AND($N264=$Q$7,$B264&lt;'111'!$L$11),"x","")</f>
        <v/>
      </c>
      <c r="S264" s="75" t="str">
        <f>IF(AND($O264=$Q$7,$B264&lt;'111'!$L$11),"x","")</f>
        <v/>
      </c>
      <c r="T264" s="75" t="str">
        <f>IF(ISERROR(FIND('112'!$M$9,G264,1)),"",IF((AND(FIND('112'!$M$9,G264,1)&gt;=1,B264='112'!$K$9,OR($N264='112'!$I$6,$O264='112'!$I$6))),"x",""))</f>
        <v/>
      </c>
      <c r="U264" s="75" t="str">
        <f>IF(ISERROR(FIND('112'!$M$9,G264,1)),"",IF((AND(LEFT(G264,2)=LEFT('112'!$M$9,2),B264&lt;'112'!$K$9,$N264='112'!$I$6)),"x",""))</f>
        <v/>
      </c>
      <c r="V264" s="75" t="str">
        <f>IF(ISERROR(FIND('112'!$M$9,G264,1)),"",IF((AND(RIGHT(G264,2)=RIGHT('112'!$M$9,2),B264&lt;'112'!$K$9,$O264='112'!$I$6)),"x",""))</f>
        <v/>
      </c>
      <c r="W264" s="75" t="str">
        <f>IF(AND('341-CT'!$H$9=H264,OR(LEFT(N264,3)=$W$7,LEFT(O264,3)=$W$7)),"x","")</f>
        <v/>
      </c>
      <c r="X264" s="75" t="str">
        <f>IF(OR(TH!N264=TH!$X$7,O264=TH!$X$7),"x","")</f>
        <v/>
      </c>
      <c r="Y264" s="75" t="str">
        <f>IF(AND(OR(N264="131",O264="131"),H264='131-CT'!$H$9),"x","")</f>
        <v/>
      </c>
      <c r="Z264" s="75"/>
      <c r="AA264" s="75" t="str">
        <f>IF(AND(MONTH(E264)='IN-NX'!$J$5,'IN-NX'!$D$7=D264),"x","")</f>
        <v/>
      </c>
      <c r="AB264" s="75" t="str">
        <f>IF(AND(OR(LEFT(TH!N264,2)="15",LEFT(TH!O264,2)="15"),LEFT(TH!O264,3)&lt;&gt;"111",'152-CT'!$J$8=TH!F264),"x","")</f>
        <v/>
      </c>
      <c r="AC264" s="75" t="str">
        <f>IF(AND(OR(LEFT(TH!N264,2)="15",LEFT(TH!O264,2)="15"),TK!$E$7=TH!F264),"x","")</f>
        <v/>
      </c>
      <c r="AD264" s="75" t="str">
        <f>IF(AND(N264="1521",MONTH(C264)='BK-NL'!$M$11),"x","")</f>
        <v/>
      </c>
    </row>
    <row r="265" spans="1:30" ht="16.5" customHeight="1">
      <c r="A265" s="309" t="str">
        <f>IF(B265&lt;&gt;"",IF(AND(B265='IN-TC'!$S$4,OR(TH!N265="1111",TH!O265="1111")),TH!D265,""),"")</f>
        <v/>
      </c>
      <c r="B265" s="1159">
        <f t="shared" si="53"/>
        <v>12</v>
      </c>
      <c r="C265" s="666">
        <v>43100</v>
      </c>
      <c r="D265" s="666" t="s">
        <v>530</v>
      </c>
      <c r="E265" s="666">
        <f t="shared" si="46"/>
        <v>43100</v>
      </c>
      <c r="F265" s="905" t="s">
        <v>723</v>
      </c>
      <c r="G265" s="250">
        <v>54792000</v>
      </c>
      <c r="H265" s="294"/>
      <c r="I265" s="373"/>
      <c r="J265" s="379"/>
      <c r="K265" s="373"/>
      <c r="L265" s="379"/>
      <c r="M265" s="670">
        <v>60417000</v>
      </c>
      <c r="N265" s="671" t="s">
        <v>272</v>
      </c>
      <c r="O265" s="671" t="s">
        <v>540</v>
      </c>
      <c r="P265" s="75" t="str">
        <f>IF(AND('331-CT'!$E$7=TH!H265,OR(N265="331",O265="331")),"x","")</f>
        <v/>
      </c>
      <c r="Q265" s="75" t="str">
        <f>IF(AND(B265='111'!$L$11,OR($N265=$Q$7,$O265=$Q$7)),"x","")</f>
        <v/>
      </c>
      <c r="R265" s="75" t="str">
        <f>IF(AND($N265=$Q$7,$B265&lt;'111'!$L$11),"x","")</f>
        <v/>
      </c>
      <c r="S265" s="75" t="str">
        <f>IF(AND($O265=$Q$7,$B265&lt;'111'!$L$11),"x","")</f>
        <v/>
      </c>
      <c r="T265" s="75" t="str">
        <f>IF(ISERROR(FIND('112'!$M$9,G265,1)),"",IF((AND(FIND('112'!$M$9,G265,1)&gt;=1,B265='112'!$K$9,OR($N265='112'!$I$6,$O265='112'!$I$6))),"x",""))</f>
        <v/>
      </c>
      <c r="U265" s="75" t="str">
        <f>IF(ISERROR(FIND('112'!$M$9,G265,1)),"",IF((AND(LEFT(G265,2)=LEFT('112'!$M$9,2),B265&lt;'112'!$K$9,$N265='112'!$I$6)),"x",""))</f>
        <v/>
      </c>
      <c r="V265" s="75" t="str">
        <f>IF(ISERROR(FIND('112'!$M$9,G265,1)),"",IF((AND(RIGHT(G265,2)=RIGHT('112'!$M$9,2),B265&lt;'112'!$K$9,$O265='112'!$I$6)),"x",""))</f>
        <v/>
      </c>
      <c r="W265" s="75" t="str">
        <f>IF(AND('341-CT'!$H$9=H265,OR(LEFT(N265,3)=$W$7,LEFT(O265,3)=$W$7)),"x","")</f>
        <v/>
      </c>
      <c r="X265" s="75" t="str">
        <f>IF(OR(TH!N265=TH!$X$7,O265=TH!$X$7),"x","")</f>
        <v/>
      </c>
      <c r="Y265" s="75" t="str">
        <f>IF(AND(OR(N265="131",O265="131"),H265='131-CT'!$H$9),"x","")</f>
        <v/>
      </c>
      <c r="Z265" s="75"/>
      <c r="AA265" s="75" t="str">
        <f>IF(AND(MONTH(E265)='IN-NX'!$J$5,'IN-NX'!$D$7=D265),"x","")</f>
        <v/>
      </c>
      <c r="AB265" s="75" t="str">
        <f>IF(AND(OR(LEFT(TH!N265,2)="15",LEFT(TH!O265,2)="15"),LEFT(TH!O265,3)&lt;&gt;"111",'152-CT'!$J$8=TH!F265),"x","")</f>
        <v/>
      </c>
      <c r="AC265" s="75" t="str">
        <f>IF(AND(OR(LEFT(TH!N265,2)="15",LEFT(TH!O265,2)="15"),TK!$E$7=TH!F265),"x","")</f>
        <v/>
      </c>
      <c r="AD265" s="75" t="str">
        <f>IF(AND(N265="1521",MONTH(C265)='BK-NL'!$M$11),"x","")</f>
        <v/>
      </c>
    </row>
    <row r="266" spans="1:30" ht="16.5" customHeight="1">
      <c r="A266" s="309" t="str">
        <f>IF(B266&lt;&gt;"",IF(AND(B266='IN-TC'!$S$4,OR(TH!N266="1111",TH!O266="1111")),TH!D266,""),"")</f>
        <v/>
      </c>
      <c r="B266" s="1159">
        <f t="shared" si="53"/>
        <v>12</v>
      </c>
      <c r="C266" s="666">
        <v>43100</v>
      </c>
      <c r="D266" s="666" t="s">
        <v>530</v>
      </c>
      <c r="E266" s="666">
        <f t="shared" si="46"/>
        <v>43100</v>
      </c>
      <c r="F266" s="905" t="s">
        <v>724</v>
      </c>
      <c r="G266" s="739" t="s">
        <v>531</v>
      </c>
      <c r="H266" s="294"/>
      <c r="I266" s="373"/>
      <c r="J266" s="379"/>
      <c r="K266" s="373"/>
      <c r="L266" s="379"/>
      <c r="M266" s="670">
        <f>ROUND(G264*$G266,0)</f>
        <v>3360880</v>
      </c>
      <c r="N266" s="671" t="s">
        <v>540</v>
      </c>
      <c r="O266" s="671" t="s">
        <v>541</v>
      </c>
      <c r="P266" s="75" t="str">
        <f>IF(AND('331-CT'!$E$7=TH!H266,OR(N266="331",O266="331")),"x","")</f>
        <v/>
      </c>
      <c r="Q266" s="75" t="str">
        <f>IF(AND(B266='111'!$L$11,OR($N266=$Q$7,$O266=$Q$7)),"x","")</f>
        <v/>
      </c>
      <c r="R266" s="75" t="str">
        <f>IF(AND($N266=$Q$7,$B266&lt;'111'!$L$11),"x","")</f>
        <v/>
      </c>
      <c r="S266" s="75" t="str">
        <f>IF(AND($O266=$Q$7,$B266&lt;'111'!$L$11),"x","")</f>
        <v/>
      </c>
      <c r="T266" s="75" t="str">
        <f>IF(ISERROR(FIND('112'!$M$9,G266,1)),"",IF((AND(FIND('112'!$M$9,G266,1)&gt;=1,B266='112'!$K$9,OR($N266='112'!$I$6,$O266='112'!$I$6))),"x",""))</f>
        <v/>
      </c>
      <c r="U266" s="75" t="str">
        <f>IF(ISERROR(FIND('112'!$M$9,G266,1)),"",IF((AND(LEFT(G266,2)=LEFT('112'!$M$9,2),B266&lt;'112'!$K$9,$N266='112'!$I$6)),"x",""))</f>
        <v/>
      </c>
      <c r="V266" s="75" t="str">
        <f>IF(ISERROR(FIND('112'!$M$9,G266,1)),"",IF((AND(RIGHT(G266,2)=RIGHT('112'!$M$9,2),B266&lt;'112'!$K$9,$O266='112'!$I$6)),"x",""))</f>
        <v/>
      </c>
      <c r="W266" s="75" t="str">
        <f>IF(AND('341-CT'!$H$9=H266,OR(LEFT(N266,3)=$W$7,LEFT(O266,3)=$W$7)),"x","")</f>
        <v/>
      </c>
      <c r="X266" s="75" t="str">
        <f>IF(OR(TH!N266=TH!$X$7,O266=TH!$X$7),"x","")</f>
        <v/>
      </c>
      <c r="Y266" s="75" t="str">
        <f>IF(AND(OR(N266="131",O266="131"),H266='131-CT'!$H$9),"x","")</f>
        <v/>
      </c>
      <c r="Z266" s="75"/>
      <c r="AA266" s="75" t="str">
        <f>IF(AND(MONTH(E266)='IN-NX'!$J$5,'IN-NX'!$D$7=D266),"x","")</f>
        <v/>
      </c>
      <c r="AB266" s="75" t="str">
        <f>IF(AND(OR(LEFT(TH!N266,2)="15",LEFT(TH!O266,2)="15"),LEFT(TH!O266,3)&lt;&gt;"111",'152-CT'!$J$8=TH!F266),"x","")</f>
        <v/>
      </c>
      <c r="AC266" s="75" t="str">
        <f>IF(AND(OR(LEFT(TH!N266,2)="15",LEFT(TH!O266,2)="15"),TK!$E$7=TH!F266),"x","")</f>
        <v/>
      </c>
      <c r="AD266" s="75" t="str">
        <f>IF(AND(N266="1521",MONTH(C266)='BK-NL'!$M$11),"x","")</f>
        <v/>
      </c>
    </row>
    <row r="267" spans="1:30" ht="16.5" customHeight="1">
      <c r="A267" s="309" t="str">
        <f>IF(B267&lt;&gt;"",IF(AND(B267='IN-TC'!$S$4,OR(TH!N267="1111",TH!O267="1111")),TH!D267,""),"")</f>
        <v/>
      </c>
      <c r="B267" s="1159">
        <f t="shared" si="53"/>
        <v>12</v>
      </c>
      <c r="C267" s="666">
        <v>43100</v>
      </c>
      <c r="D267" s="666" t="s">
        <v>530</v>
      </c>
      <c r="E267" s="666">
        <f t="shared" si="46"/>
        <v>43100</v>
      </c>
      <c r="F267" s="905" t="s">
        <v>725</v>
      </c>
      <c r="G267" s="250"/>
      <c r="H267" s="294"/>
      <c r="I267" s="373"/>
      <c r="J267" s="379"/>
      <c r="K267" s="373"/>
      <c r="L267" s="379"/>
      <c r="M267" s="670">
        <f>ROUND(G265*$G266,0)</f>
        <v>4383360</v>
      </c>
      <c r="N267" s="672" t="s">
        <v>540</v>
      </c>
      <c r="O267" s="673" t="s">
        <v>541</v>
      </c>
      <c r="P267" s="75" t="str">
        <f>IF(AND('331-CT'!$E$7=TH!H267,OR(N267="331",O267="331")),"x","")</f>
        <v/>
      </c>
      <c r="Q267" s="75" t="str">
        <f>IF(AND(B267='111'!$L$11,OR($N267=$Q$7,$O267=$Q$7)),"x","")</f>
        <v/>
      </c>
      <c r="R267" s="75" t="str">
        <f>IF(AND($N267=$Q$7,$B267&lt;'111'!$L$11),"x","")</f>
        <v/>
      </c>
      <c r="S267" s="75" t="str">
        <f>IF(AND($O267=$Q$7,$B267&lt;'111'!$L$11),"x","")</f>
        <v/>
      </c>
      <c r="T267" s="75" t="str">
        <f>IF(ISERROR(FIND('112'!$M$9,G267,1)),"",IF((AND(FIND('112'!$M$9,G267,1)&gt;=1,B267='112'!$K$9,OR($N267='112'!$I$6,$O267='112'!$I$6))),"x",""))</f>
        <v/>
      </c>
      <c r="U267" s="75" t="str">
        <f>IF(ISERROR(FIND('112'!$M$9,G267,1)),"",IF((AND(LEFT(G267,2)=LEFT('112'!$M$9,2),B267&lt;'112'!$K$9,$N267='112'!$I$6)),"x",""))</f>
        <v/>
      </c>
      <c r="V267" s="75" t="str">
        <f>IF(ISERROR(FIND('112'!$M$9,G267,1)),"",IF((AND(RIGHT(G267,2)=RIGHT('112'!$M$9,2),B267&lt;'112'!$K$9,$O267='112'!$I$6)),"x",""))</f>
        <v/>
      </c>
      <c r="W267" s="75" t="str">
        <f>IF(AND('341-CT'!$H$9=H267,OR(LEFT(N267,3)=$W$7,LEFT(O267,3)=$W$7)),"x","")</f>
        <v/>
      </c>
      <c r="X267" s="75" t="str">
        <f>IF(OR(TH!N267=TH!$X$7,O267=TH!$X$7),"x","")</f>
        <v/>
      </c>
      <c r="Y267" s="75" t="str">
        <f>IF(AND(OR(N267="131",O267="131"),H267='131-CT'!$H$9),"x","")</f>
        <v/>
      </c>
      <c r="Z267" s="75"/>
      <c r="AA267" s="75" t="str">
        <f>IF(AND(MONTH(E267)='IN-NX'!$J$5,'IN-NX'!$D$7=D267),"x","")</f>
        <v/>
      </c>
      <c r="AB267" s="75" t="str">
        <f>IF(AND(OR(LEFT(TH!N267,2)="15",LEFT(TH!O267,2)="15"),LEFT(TH!O267,3)&lt;&gt;"111",'152-CT'!$J$8=TH!F267),"x","")</f>
        <v/>
      </c>
      <c r="AC267" s="75" t="str">
        <f>IF(AND(OR(LEFT(TH!N267,2)="15",LEFT(TH!O267,2)="15"),TK!$E$7=TH!F267),"x","")</f>
        <v/>
      </c>
      <c r="AD267" s="75" t="str">
        <f>IF(AND(N267="1521",MONTH(C267)='BK-NL'!$M$11),"x","")</f>
        <v/>
      </c>
    </row>
    <row r="268" spans="1:30" ht="16.5" customHeight="1">
      <c r="A268" s="309" t="str">
        <f>IF(B268&lt;&gt;"",IF(AND(B268='IN-TC'!$S$4,OR(TH!N268="1111",TH!O268="1111")),TH!D268,""),"")</f>
        <v/>
      </c>
      <c r="B268" s="1159">
        <f t="shared" si="53"/>
        <v>12</v>
      </c>
      <c r="C268" s="666">
        <v>43100</v>
      </c>
      <c r="D268" s="666" t="s">
        <v>530</v>
      </c>
      <c r="E268" s="666">
        <f t="shared" si="46"/>
        <v>43100</v>
      </c>
      <c r="F268" s="905" t="s">
        <v>726</v>
      </c>
      <c r="G268" s="739" t="s">
        <v>2689</v>
      </c>
      <c r="H268" s="294"/>
      <c r="I268" s="373"/>
      <c r="J268" s="379"/>
      <c r="K268" s="373"/>
      <c r="L268" s="379"/>
      <c r="M268" s="670">
        <f>ROUND(G264*$G268,0)</f>
        <v>7141870</v>
      </c>
      <c r="N268" s="671" t="s">
        <v>539</v>
      </c>
      <c r="O268" s="671" t="s">
        <v>541</v>
      </c>
      <c r="P268" s="75" t="str">
        <f>IF(AND('331-CT'!$E$7=TH!H268,OR(N268="331",O268="331")),"x","")</f>
        <v/>
      </c>
      <c r="Q268" s="75" t="str">
        <f>IF(AND(B268='111'!$L$11,OR($N268=$Q$7,$O268=$Q$7)),"x","")</f>
        <v/>
      </c>
      <c r="R268" s="75" t="str">
        <f>IF(AND($N268=$Q$7,$B268&lt;'111'!$L$11),"x","")</f>
        <v/>
      </c>
      <c r="S268" s="75" t="str">
        <f>IF(AND($O268=$Q$7,$B268&lt;'111'!$L$11),"x","")</f>
        <v/>
      </c>
      <c r="T268" s="75" t="str">
        <f>IF(ISERROR(FIND('112'!$M$9,G268,1)),"",IF((AND(FIND('112'!$M$9,G268,1)&gt;=1,B268='112'!$K$9,OR($N268='112'!$I$6,$O268='112'!$I$6))),"x",""))</f>
        <v/>
      </c>
      <c r="U268" s="75" t="str">
        <f>IF(ISERROR(FIND('112'!$M$9,G268,1)),"",IF((AND(LEFT(G268,2)=LEFT('112'!$M$9,2),B268&lt;'112'!$K$9,$N268='112'!$I$6)),"x",""))</f>
        <v/>
      </c>
      <c r="V268" s="75" t="str">
        <f>IF(ISERROR(FIND('112'!$M$9,G268,1)),"",IF((AND(RIGHT(G268,2)=RIGHT('112'!$M$9,2),B268&lt;'112'!$K$9,$O268='112'!$I$6)),"x",""))</f>
        <v/>
      </c>
      <c r="W268" s="75" t="str">
        <f>IF(AND('341-CT'!$H$9=H268,OR(LEFT(N268,3)=$W$7,LEFT(O268,3)=$W$7)),"x","")</f>
        <v/>
      </c>
      <c r="X268" s="75" t="str">
        <f>IF(OR(TH!N268=TH!$X$7,O268=TH!$X$7),"x","")</f>
        <v/>
      </c>
      <c r="Y268" s="75" t="str">
        <f>IF(AND(OR(N268="131",O268="131"),H268='131-CT'!$H$9),"x","")</f>
        <v/>
      </c>
      <c r="Z268" s="75"/>
      <c r="AA268" s="75" t="str">
        <f>IF(AND(MONTH(E268)='IN-NX'!$J$5,'IN-NX'!$D$7=D268),"x","")</f>
        <v/>
      </c>
      <c r="AB268" s="75" t="str">
        <f>IF(AND(OR(LEFT(TH!N268,2)="15",LEFT(TH!O268,2)="15"),LEFT(TH!O268,3)&lt;&gt;"111",'152-CT'!$J$8=TH!F268),"x","")</f>
        <v/>
      </c>
      <c r="AC268" s="75" t="str">
        <f>IF(AND(OR(LEFT(TH!N268,2)="15",LEFT(TH!O268,2)="15"),TK!$E$7=TH!F268),"x","")</f>
        <v/>
      </c>
      <c r="AD268" s="75" t="str">
        <f>IF(AND(N268="1521",MONTH(C268)='BK-NL'!$M$11),"x","")</f>
        <v/>
      </c>
    </row>
    <row r="269" spans="1:30" ht="16.5" customHeight="1">
      <c r="A269" s="309" t="str">
        <f>IF(B269&lt;&gt;"",IF(AND(B269='IN-TC'!$S$4,OR(TH!N269="1111",TH!O269="1111")),TH!D269,""),"")</f>
        <v/>
      </c>
      <c r="B269" s="1159">
        <f t="shared" si="53"/>
        <v>12</v>
      </c>
      <c r="C269" s="666">
        <v>43100</v>
      </c>
      <c r="D269" s="666" t="s">
        <v>530</v>
      </c>
      <c r="E269" s="666">
        <f t="shared" si="46"/>
        <v>43100</v>
      </c>
      <c r="F269" s="905" t="s">
        <v>727</v>
      </c>
      <c r="G269" s="250"/>
      <c r="H269" s="294"/>
      <c r="I269" s="373"/>
      <c r="J269" s="379"/>
      <c r="K269" s="373"/>
      <c r="L269" s="379"/>
      <c r="M269" s="670">
        <f>ROUND(G265*$G268,0)</f>
        <v>9314640</v>
      </c>
      <c r="N269" s="671" t="s">
        <v>272</v>
      </c>
      <c r="O269" s="671" t="s">
        <v>541</v>
      </c>
      <c r="P269" s="75" t="str">
        <f>IF(AND('331-CT'!$E$7=TH!H269,OR(N269="331",O269="331")),"x","")</f>
        <v/>
      </c>
      <c r="Q269" s="75" t="str">
        <f>IF(AND(B269='111'!$L$11,OR($N269=$Q$7,$O269=$Q$7)),"x","")</f>
        <v/>
      </c>
      <c r="R269" s="75" t="str">
        <f>IF(AND($N269=$Q$7,$B269&lt;'111'!$L$11),"x","")</f>
        <v/>
      </c>
      <c r="S269" s="75" t="str">
        <f>IF(AND($O269=$Q$7,$B269&lt;'111'!$L$11),"x","")</f>
        <v/>
      </c>
      <c r="T269" s="75" t="str">
        <f>IF(ISERROR(FIND('112'!$M$9,G269,1)),"",IF((AND(FIND('112'!$M$9,G269,1)&gt;=1,B269='112'!$K$9,OR($N269='112'!$I$6,$O269='112'!$I$6))),"x",""))</f>
        <v/>
      </c>
      <c r="U269" s="75" t="str">
        <f>IF(ISERROR(FIND('112'!$M$9,G269,1)),"",IF((AND(LEFT(G269,2)=LEFT('112'!$M$9,2),B269&lt;'112'!$K$9,$N269='112'!$I$6)),"x",""))</f>
        <v/>
      </c>
      <c r="V269" s="75" t="str">
        <f>IF(ISERROR(FIND('112'!$M$9,G269,1)),"",IF((AND(RIGHT(G269,2)=RIGHT('112'!$M$9,2),B269&lt;'112'!$K$9,$O269='112'!$I$6)),"x",""))</f>
        <v/>
      </c>
      <c r="W269" s="75" t="str">
        <f>IF(AND('341-CT'!$H$9=H269,OR(LEFT(N269,3)=$W$7,LEFT(O269,3)=$W$7)),"x","")</f>
        <v/>
      </c>
      <c r="X269" s="75" t="str">
        <f>IF(OR(TH!N269=TH!$X$7,O269=TH!$X$7),"x","")</f>
        <v/>
      </c>
      <c r="Y269" s="75" t="str">
        <f>IF(AND(OR(N269="131",O269="131"),H269='131-CT'!$H$9),"x","")</f>
        <v/>
      </c>
      <c r="Z269" s="75"/>
      <c r="AA269" s="75" t="str">
        <f>IF(AND(MONTH(E269)='IN-NX'!$J$5,'IN-NX'!$D$7=D269),"x","")</f>
        <v/>
      </c>
      <c r="AB269" s="75" t="str">
        <f>IF(AND(OR(LEFT(TH!N269,2)="15",LEFT(TH!O269,2)="15"),LEFT(TH!O269,3)&lt;&gt;"111",'152-CT'!$J$8=TH!F269),"x","")</f>
        <v/>
      </c>
      <c r="AC269" s="75" t="str">
        <f>IF(AND(OR(LEFT(TH!N269,2)="15",LEFT(TH!O269,2)="15"),TK!$E$7=TH!F269),"x","")</f>
        <v/>
      </c>
      <c r="AD269" s="75" t="str">
        <f>IF(AND(N269="1521",MONTH(C269)='BK-NL'!$M$11),"x","")</f>
        <v/>
      </c>
    </row>
    <row r="270" spans="1:30" ht="16.5" customHeight="1">
      <c r="A270" s="309" t="str">
        <f>IF(B270&lt;&gt;"",IF(AND(B270='IN-TC'!$S$4,OR(TH!N270="1111",TH!O270="1111")),TH!D270,""),"")</f>
        <v/>
      </c>
      <c r="B270" s="1159">
        <f t="shared" si="53"/>
        <v>12</v>
      </c>
      <c r="C270" s="666">
        <v>43100</v>
      </c>
      <c r="D270" s="666" t="s">
        <v>530</v>
      </c>
      <c r="E270" s="666">
        <f t="shared" ref="E270:E277" si="54">C270</f>
        <v>43100</v>
      </c>
      <c r="F270" s="905" t="s">
        <v>728</v>
      </c>
      <c r="G270" s="739" t="s">
        <v>533</v>
      </c>
      <c r="H270" s="296"/>
      <c r="I270" s="371"/>
      <c r="J270" s="377"/>
      <c r="K270" s="371"/>
      <c r="L270" s="377"/>
      <c r="M270" s="670">
        <f>ROUND(G264*$G270,0)</f>
        <v>630165</v>
      </c>
      <c r="N270" s="671" t="s">
        <v>540</v>
      </c>
      <c r="O270" s="671" t="s">
        <v>542</v>
      </c>
      <c r="P270" s="75" t="str">
        <f>IF(AND('331-CT'!$E$7=TH!H270,OR(N270="331",O270="331")),"x","")</f>
        <v/>
      </c>
      <c r="Q270" s="75" t="str">
        <f>IF(AND(B270='111'!$L$11,OR($N270=$Q$7,$O270=$Q$7)),"x","")</f>
        <v/>
      </c>
      <c r="R270" s="75" t="str">
        <f>IF(AND($N270=$Q$7,$B270&lt;'111'!$L$11),"x","")</f>
        <v/>
      </c>
      <c r="S270" s="75" t="str">
        <f>IF(AND($O270=$Q$7,$B270&lt;'111'!$L$11),"x","")</f>
        <v/>
      </c>
      <c r="T270" s="75" t="str">
        <f>IF(ISERROR(FIND('112'!$M$9,G270,1)),"",IF((AND(FIND('112'!$M$9,G270,1)&gt;=1,B270='112'!$K$9,OR($N270='112'!$I$6,$O270='112'!$I$6))),"x",""))</f>
        <v/>
      </c>
      <c r="U270" s="75" t="str">
        <f>IF(ISERROR(FIND('112'!$M$9,G270,1)),"",IF((AND(LEFT(G270,2)=LEFT('112'!$M$9,2),B270&lt;'112'!$K$9,$N270='112'!$I$6)),"x",""))</f>
        <v/>
      </c>
      <c r="V270" s="75" t="str">
        <f>IF(ISERROR(FIND('112'!$M$9,G270,1)),"",IF((AND(RIGHT(G270,2)=RIGHT('112'!$M$9,2),B270&lt;'112'!$K$9,$O270='112'!$I$6)),"x",""))</f>
        <v/>
      </c>
      <c r="W270" s="75" t="str">
        <f>IF(AND('341-CT'!$H$9=H270,OR(LEFT(N270,3)=$W$7,LEFT(O270,3)=$W$7)),"x","")</f>
        <v/>
      </c>
      <c r="X270" s="75" t="str">
        <f>IF(OR(TH!N270=TH!$X$7,O270=TH!$X$7),"x","")</f>
        <v/>
      </c>
      <c r="Y270" s="75" t="str">
        <f>IF(AND(OR(N270="131",O270="131"),H270='131-CT'!$H$9),"x","")</f>
        <v/>
      </c>
      <c r="Z270" s="75"/>
      <c r="AA270" s="75" t="str">
        <f>IF(AND(MONTH(E270)='IN-NX'!$J$5,'IN-NX'!$D$7=D270),"x","")</f>
        <v/>
      </c>
      <c r="AB270" s="75" t="str">
        <f>IF(AND(OR(LEFT(TH!N270,2)="15",LEFT(TH!O270,2)="15"),LEFT(TH!O270,3)&lt;&gt;"111",'152-CT'!$J$8=TH!F270),"x","")</f>
        <v/>
      </c>
      <c r="AC270" s="75" t="str">
        <f>IF(AND(OR(LEFT(TH!N270,2)="15",LEFT(TH!O270,2)="15"),TK!$E$7=TH!F270),"x","")</f>
        <v/>
      </c>
      <c r="AD270" s="75" t="str">
        <f>IF(AND(N270="1521",MONTH(C270)='BK-NL'!$M$11),"x","")</f>
        <v/>
      </c>
    </row>
    <row r="271" spans="1:30" ht="16.5" customHeight="1">
      <c r="A271" s="309" t="str">
        <f>IF(B271&lt;&gt;"",IF(AND(B271='IN-TC'!$S$4,OR(TH!N271="1111",TH!O271="1111")),TH!D271,""),"")</f>
        <v/>
      </c>
      <c r="B271" s="1159">
        <f t="shared" si="53"/>
        <v>12</v>
      </c>
      <c r="C271" s="666">
        <v>43100</v>
      </c>
      <c r="D271" s="666" t="s">
        <v>530</v>
      </c>
      <c r="E271" s="666">
        <f t="shared" si="54"/>
        <v>43100</v>
      </c>
      <c r="F271" s="905" t="s">
        <v>729</v>
      </c>
      <c r="G271" s="250"/>
      <c r="H271" s="296"/>
      <c r="I271" s="371"/>
      <c r="J271" s="377"/>
      <c r="K271" s="371"/>
      <c r="L271" s="377"/>
      <c r="M271" s="670">
        <f>ROUND(G265*$G270,0)</f>
        <v>821880</v>
      </c>
      <c r="N271" s="671" t="s">
        <v>540</v>
      </c>
      <c r="O271" s="671" t="s">
        <v>542</v>
      </c>
      <c r="P271" s="75" t="str">
        <f>IF(AND('331-CT'!$E$7=TH!H271,OR(N271="331",O271="331")),"x","")</f>
        <v/>
      </c>
      <c r="Q271" s="75" t="str">
        <f>IF(AND(B271='111'!$L$11,OR($N271=$Q$7,$O271=$Q$7)),"x","")</f>
        <v/>
      </c>
      <c r="R271" s="75" t="str">
        <f>IF(AND($N271=$Q$7,$B271&lt;'111'!$L$11),"x","")</f>
        <v/>
      </c>
      <c r="S271" s="75" t="str">
        <f>IF(AND($O271=$Q$7,$B271&lt;'111'!$L$11),"x","")</f>
        <v/>
      </c>
      <c r="T271" s="75" t="str">
        <f>IF(ISERROR(FIND('112'!$M$9,G271,1)),"",IF((AND(FIND('112'!$M$9,G271,1)&gt;=1,B271='112'!$K$9,OR($N271='112'!$I$6,$O271='112'!$I$6))),"x",""))</f>
        <v/>
      </c>
      <c r="U271" s="75" t="str">
        <f>IF(ISERROR(FIND('112'!$M$9,G271,1)),"",IF((AND(LEFT(G271,2)=LEFT('112'!$M$9,2),B271&lt;'112'!$K$9,$N271='112'!$I$6)),"x",""))</f>
        <v/>
      </c>
      <c r="V271" s="75" t="str">
        <f>IF(ISERROR(FIND('112'!$M$9,G271,1)),"",IF((AND(RIGHT(G271,2)=RIGHT('112'!$M$9,2),B271&lt;'112'!$K$9,$O271='112'!$I$6)),"x",""))</f>
        <v/>
      </c>
      <c r="W271" s="75" t="str">
        <f>IF(AND('341-CT'!$H$9=H271,OR(LEFT(N271,3)=$W$7,LEFT(O271,3)=$W$7)),"x","")</f>
        <v/>
      </c>
      <c r="X271" s="75" t="str">
        <f>IF(OR(TH!N271=TH!$X$7,O271=TH!$X$7),"x","")</f>
        <v/>
      </c>
      <c r="Y271" s="75" t="str">
        <f>IF(AND(OR(N271="131",O271="131"),H271='131-CT'!$H$9),"x","")</f>
        <v/>
      </c>
      <c r="Z271" s="75"/>
      <c r="AA271" s="75" t="str">
        <f>IF(AND(MONTH(E271)='IN-NX'!$J$5,'IN-NX'!$D$7=D271),"x","")</f>
        <v/>
      </c>
      <c r="AB271" s="75" t="str">
        <f>IF(AND(OR(LEFT(TH!N271,2)="15",LEFT(TH!O271,2)="15"),LEFT(TH!O271,3)&lt;&gt;"111",'152-CT'!$J$8=TH!F271),"x","")</f>
        <v/>
      </c>
      <c r="AC271" s="75" t="str">
        <f>IF(AND(OR(LEFT(TH!N271,2)="15",LEFT(TH!O271,2)="15"),TK!$E$7=TH!F271),"x","")</f>
        <v/>
      </c>
      <c r="AD271" s="75" t="str">
        <f>IF(AND(N271="1521",MONTH(C271)='BK-NL'!$M$11),"x","")</f>
        <v/>
      </c>
    </row>
    <row r="272" spans="1:30" ht="16.5" customHeight="1">
      <c r="A272" s="309" t="str">
        <f>IF(B272&lt;&gt;"",IF(AND(B272='IN-TC'!$S$4,OR(TH!N272="1111",TH!O272="1111")),TH!D272,""),"")</f>
        <v/>
      </c>
      <c r="B272" s="1159">
        <f t="shared" si="53"/>
        <v>12</v>
      </c>
      <c r="C272" s="666">
        <v>43100</v>
      </c>
      <c r="D272" s="666" t="s">
        <v>530</v>
      </c>
      <c r="E272" s="666">
        <f t="shared" si="54"/>
        <v>43100</v>
      </c>
      <c r="F272" s="905" t="s">
        <v>730</v>
      </c>
      <c r="G272" s="739" t="s">
        <v>534</v>
      </c>
      <c r="H272" s="294"/>
      <c r="I272" s="373"/>
      <c r="J272" s="379"/>
      <c r="K272" s="373"/>
      <c r="L272" s="379"/>
      <c r="M272" s="670">
        <f>ROUND(G264*$G272,0)</f>
        <v>1260330</v>
      </c>
      <c r="N272" s="671" t="s">
        <v>539</v>
      </c>
      <c r="O272" s="671" t="s">
        <v>542</v>
      </c>
      <c r="P272" s="75" t="str">
        <f>IF(AND('331-CT'!$E$7=TH!H272,OR(N272="331",O272="331")),"x","")</f>
        <v/>
      </c>
      <c r="Q272" s="75" t="str">
        <f>IF(AND(B272='111'!$L$11,OR($N272=$Q$7,$O272=$Q$7)),"x","")</f>
        <v/>
      </c>
      <c r="R272" s="75" t="str">
        <f>IF(AND($N272=$Q$7,$B272&lt;'111'!$L$11),"x","")</f>
        <v/>
      </c>
      <c r="S272" s="75" t="str">
        <f>IF(AND($O272=$Q$7,$B272&lt;'111'!$L$11),"x","")</f>
        <v/>
      </c>
      <c r="T272" s="75" t="str">
        <f>IF(ISERROR(FIND('112'!$M$9,G272,1)),"",IF((AND(FIND('112'!$M$9,G272,1)&gt;=1,B272='112'!$K$9,OR($N272='112'!$I$6,$O272='112'!$I$6))),"x",""))</f>
        <v/>
      </c>
      <c r="U272" s="75" t="str">
        <f>IF(ISERROR(FIND('112'!$M$9,G272,1)),"",IF((AND(LEFT(G272,2)=LEFT('112'!$M$9,2),B272&lt;'112'!$K$9,$N272='112'!$I$6)),"x",""))</f>
        <v/>
      </c>
      <c r="V272" s="75" t="str">
        <f>IF(ISERROR(FIND('112'!$M$9,G272,1)),"",IF((AND(RIGHT(G272,2)=RIGHT('112'!$M$9,2),B272&lt;'112'!$K$9,$O272='112'!$I$6)),"x",""))</f>
        <v/>
      </c>
      <c r="W272" s="75" t="str">
        <f>IF(AND('341-CT'!$H$9=H272,OR(LEFT(N272,3)=$W$7,LEFT(O272,3)=$W$7)),"x","")</f>
        <v/>
      </c>
      <c r="X272" s="75" t="str">
        <f>IF(OR(TH!N272=TH!$X$7,O272=TH!$X$7),"x","")</f>
        <v/>
      </c>
      <c r="Y272" s="75" t="str">
        <f>IF(AND(OR(N272="131",O272="131"),H272='131-CT'!$H$9),"x","")</f>
        <v/>
      </c>
      <c r="Z272" s="75"/>
      <c r="AA272" s="75" t="str">
        <f>IF(AND(MONTH(E272)='IN-NX'!$J$5,'IN-NX'!$D$7=D272),"x","")</f>
        <v/>
      </c>
      <c r="AB272" s="75" t="str">
        <f>IF(AND(OR(LEFT(TH!N272,2)="15",LEFT(TH!O272,2)="15"),LEFT(TH!O272,3)&lt;&gt;"111",'152-CT'!$J$8=TH!F272),"x","")</f>
        <v/>
      </c>
      <c r="AC272" s="75" t="str">
        <f>IF(AND(OR(LEFT(TH!N272,2)="15",LEFT(TH!O272,2)="15"),TK!$E$7=TH!F272),"x","")</f>
        <v/>
      </c>
      <c r="AD272" s="75" t="str">
        <f>IF(AND(N272="1521",MONTH(C272)='BK-NL'!$M$11),"x","")</f>
        <v/>
      </c>
    </row>
    <row r="273" spans="1:30" ht="16.5" customHeight="1">
      <c r="A273" s="309" t="str">
        <f>IF(B273&lt;&gt;"",IF(AND(B273='IN-TC'!$S$4,OR(TH!N273="1111",TH!O273="1111")),TH!D273,""),"")</f>
        <v/>
      </c>
      <c r="B273" s="1159">
        <f t="shared" si="53"/>
        <v>12</v>
      </c>
      <c r="C273" s="666">
        <v>43100</v>
      </c>
      <c r="D273" s="666" t="s">
        <v>530</v>
      </c>
      <c r="E273" s="666">
        <f t="shared" si="54"/>
        <v>43100</v>
      </c>
      <c r="F273" s="905" t="s">
        <v>731</v>
      </c>
      <c r="G273" s="250"/>
      <c r="H273" s="294"/>
      <c r="I273" s="373"/>
      <c r="J273" s="379"/>
      <c r="K273" s="373"/>
      <c r="L273" s="379"/>
      <c r="M273" s="670">
        <f>ROUND(G265*$G272,0)</f>
        <v>1643760</v>
      </c>
      <c r="N273" s="671" t="s">
        <v>272</v>
      </c>
      <c r="O273" s="671" t="s">
        <v>542</v>
      </c>
      <c r="P273" s="75" t="str">
        <f>IF(AND('331-CT'!$E$7=TH!H273,OR(N273="331",O273="331")),"x","")</f>
        <v/>
      </c>
      <c r="Q273" s="75" t="str">
        <f>IF(AND(B273='111'!$L$11,OR($N273=$Q$7,$O273=$Q$7)),"x","")</f>
        <v/>
      </c>
      <c r="R273" s="75" t="str">
        <f>IF(AND($N273=$Q$7,$B273&lt;'111'!$L$11),"x","")</f>
        <v/>
      </c>
      <c r="S273" s="75" t="str">
        <f>IF(AND($O273=$Q$7,$B273&lt;'111'!$L$11),"x","")</f>
        <v/>
      </c>
      <c r="T273" s="75" t="str">
        <f>IF(ISERROR(FIND('112'!$M$9,G273,1)),"",IF((AND(FIND('112'!$M$9,G273,1)&gt;=1,B273='112'!$K$9,OR($N273='112'!$I$6,$O273='112'!$I$6))),"x",""))</f>
        <v/>
      </c>
      <c r="U273" s="75" t="str">
        <f>IF(ISERROR(FIND('112'!$M$9,G273,1)),"",IF((AND(LEFT(G273,2)=LEFT('112'!$M$9,2),B273&lt;'112'!$K$9,$N273='112'!$I$6)),"x",""))</f>
        <v/>
      </c>
      <c r="V273" s="75" t="str">
        <f>IF(ISERROR(FIND('112'!$M$9,G273,1)),"",IF((AND(RIGHT(G273,2)=RIGHT('112'!$M$9,2),B273&lt;'112'!$K$9,$O273='112'!$I$6)),"x",""))</f>
        <v/>
      </c>
      <c r="W273" s="75" t="str">
        <f>IF(AND('341-CT'!$H$9=H273,OR(LEFT(N273,3)=$W$7,LEFT(O273,3)=$W$7)),"x","")</f>
        <v/>
      </c>
      <c r="X273" s="75" t="str">
        <f>IF(OR(TH!N273=TH!$X$7,O273=TH!$X$7),"x","")</f>
        <v/>
      </c>
      <c r="Y273" s="75" t="str">
        <f>IF(AND(OR(N273="131",O273="131"),H273='131-CT'!$H$9),"x","")</f>
        <v/>
      </c>
      <c r="Z273" s="75"/>
      <c r="AA273" s="75" t="str">
        <f>IF(AND(MONTH(E273)='IN-NX'!$J$5,'IN-NX'!$D$7=D273),"x","")</f>
        <v/>
      </c>
      <c r="AB273" s="75" t="str">
        <f>IF(AND(OR(LEFT(TH!N273,2)="15",LEFT(TH!O273,2)="15"),LEFT(TH!O273,3)&lt;&gt;"111",'152-CT'!$J$8=TH!F273),"x","")</f>
        <v/>
      </c>
      <c r="AC273" s="75" t="str">
        <f>IF(AND(OR(LEFT(TH!N273,2)="15",LEFT(TH!O273,2)="15"),TK!$E$7=TH!F273),"x","")</f>
        <v/>
      </c>
      <c r="AD273" s="75" t="str">
        <f>IF(AND(N273="1521",MONTH(C273)='BK-NL'!$M$11),"x","")</f>
        <v/>
      </c>
    </row>
    <row r="274" spans="1:30" ht="16.5" customHeight="1">
      <c r="A274" s="309" t="str">
        <f>IF(B274&lt;&gt;"",IF(AND(B274='IN-TC'!$S$4,OR(TH!N274="1111",TH!O274="1111")),TH!D274,""),"")</f>
        <v/>
      </c>
      <c r="B274" s="1159">
        <f t="shared" si="53"/>
        <v>12</v>
      </c>
      <c r="C274" s="666">
        <v>43100</v>
      </c>
      <c r="D274" s="666" t="s">
        <v>530</v>
      </c>
      <c r="E274" s="666">
        <f t="shared" si="54"/>
        <v>43100</v>
      </c>
      <c r="F274" s="905" t="s">
        <v>732</v>
      </c>
      <c r="G274" s="739" t="s">
        <v>535</v>
      </c>
      <c r="H274" s="294"/>
      <c r="I274" s="373"/>
      <c r="J274" s="379"/>
      <c r="K274" s="373"/>
      <c r="L274" s="379"/>
      <c r="M274" s="670">
        <f>ROUND(G264*$G274,0)</f>
        <v>420110</v>
      </c>
      <c r="N274" s="671" t="s">
        <v>540</v>
      </c>
      <c r="O274" s="671" t="s">
        <v>543</v>
      </c>
      <c r="P274" s="75" t="str">
        <f>IF(AND('331-CT'!$E$7=TH!H274,OR(N274="331",O274="331")),"x","")</f>
        <v/>
      </c>
      <c r="Q274" s="75" t="str">
        <f>IF(AND(B274='111'!$L$11,OR($N274=$Q$7,$O274=$Q$7)),"x","")</f>
        <v/>
      </c>
      <c r="R274" s="75" t="str">
        <f>IF(AND($N274=$Q$7,$B274&lt;'111'!$L$11),"x","")</f>
        <v/>
      </c>
      <c r="S274" s="75" t="str">
        <f>IF(AND($O274=$Q$7,$B274&lt;'111'!$L$11),"x","")</f>
        <v/>
      </c>
      <c r="T274" s="75" t="str">
        <f>IF(ISERROR(FIND('112'!$M$9,G274,1)),"",IF((AND(FIND('112'!$M$9,G274,1)&gt;=1,B274='112'!$K$9,OR($N274='112'!$I$6,$O274='112'!$I$6))),"x",""))</f>
        <v/>
      </c>
      <c r="U274" s="75" t="str">
        <f>IF(ISERROR(FIND('112'!$M$9,G274,1)),"",IF((AND(LEFT(G274,2)=LEFT('112'!$M$9,2),B274&lt;'112'!$K$9,$N274='112'!$I$6)),"x",""))</f>
        <v/>
      </c>
      <c r="V274" s="75" t="str">
        <f>IF(ISERROR(FIND('112'!$M$9,G274,1)),"",IF((AND(RIGHT(G274,2)=RIGHT('112'!$M$9,2),B274&lt;'112'!$K$9,$O274='112'!$I$6)),"x",""))</f>
        <v/>
      </c>
      <c r="W274" s="75" t="str">
        <f>IF(AND('341-CT'!$H$9=H274,OR(LEFT(N274,3)=$W$7,LEFT(O274,3)=$W$7)),"x","")</f>
        <v/>
      </c>
      <c r="X274" s="75" t="str">
        <f>IF(OR(TH!N274=TH!$X$7,O274=TH!$X$7),"x","")</f>
        <v/>
      </c>
      <c r="Y274" s="75" t="str">
        <f>IF(AND(OR(N274="131",O274="131"),H274='131-CT'!$H$9),"x","")</f>
        <v/>
      </c>
      <c r="Z274" s="75"/>
      <c r="AA274" s="75" t="str">
        <f>IF(AND(MONTH(E274)='IN-NX'!$J$5,'IN-NX'!$D$7=D274),"x","")</f>
        <v/>
      </c>
      <c r="AB274" s="75" t="str">
        <f>IF(AND(OR(LEFT(TH!N274,2)="15",LEFT(TH!O274,2)="15"),LEFT(TH!O274,3)&lt;&gt;"111",'152-CT'!$J$8=TH!F274),"x","")</f>
        <v/>
      </c>
      <c r="AC274" s="75" t="str">
        <f>IF(AND(OR(LEFT(TH!N274,2)="15",LEFT(TH!O274,2)="15"),TK!$E$7=TH!F274),"x","")</f>
        <v/>
      </c>
      <c r="AD274" s="75" t="str">
        <f>IF(AND(N274="1521",MONTH(C274)='BK-NL'!$M$11),"x","")</f>
        <v/>
      </c>
    </row>
    <row r="275" spans="1:30" ht="16.5" customHeight="1">
      <c r="A275" s="309" t="str">
        <f>IF(B275&lt;&gt;"",IF(AND(B275='IN-TC'!$S$4,OR(TH!N275="1111",TH!O275="1111")),TH!D275,""),"")</f>
        <v/>
      </c>
      <c r="B275" s="1159">
        <f t="shared" si="53"/>
        <v>12</v>
      </c>
      <c r="C275" s="666">
        <v>43100</v>
      </c>
      <c r="D275" s="666" t="s">
        <v>530</v>
      </c>
      <c r="E275" s="666">
        <f t="shared" si="54"/>
        <v>43100</v>
      </c>
      <c r="F275" s="905" t="s">
        <v>733</v>
      </c>
      <c r="G275" s="250"/>
      <c r="H275" s="294"/>
      <c r="I275" s="373"/>
      <c r="J275" s="379"/>
      <c r="K275" s="373"/>
      <c r="L275" s="379"/>
      <c r="M275" s="670">
        <f>ROUND(G265*$G274,0)</f>
        <v>547920</v>
      </c>
      <c r="N275" s="671" t="s">
        <v>540</v>
      </c>
      <c r="O275" s="671" t="s">
        <v>543</v>
      </c>
      <c r="P275" s="75" t="str">
        <f>IF(AND('331-CT'!$E$7=TH!H275,OR(N275="331",O275="331")),"x","")</f>
        <v/>
      </c>
      <c r="Q275" s="75" t="str">
        <f>IF(AND(B275='111'!$L$11,OR($N275=$Q$7,$O275=$Q$7)),"x","")</f>
        <v/>
      </c>
      <c r="R275" s="75" t="str">
        <f>IF(AND($N275=$Q$7,$B275&lt;'111'!$L$11),"x","")</f>
        <v/>
      </c>
      <c r="S275" s="75" t="str">
        <f>IF(AND($O275=$Q$7,$B275&lt;'111'!$L$11),"x","")</f>
        <v/>
      </c>
      <c r="T275" s="75" t="str">
        <f>IF(ISERROR(FIND('112'!$M$9,G275,1)),"",IF((AND(FIND('112'!$M$9,G275,1)&gt;=1,B275='112'!$K$9,OR($N275='112'!$I$6,$O275='112'!$I$6))),"x",""))</f>
        <v/>
      </c>
      <c r="U275" s="75" t="str">
        <f>IF(ISERROR(FIND('112'!$M$9,G275,1)),"",IF((AND(LEFT(G275,2)=LEFT('112'!$M$9,2),B275&lt;'112'!$K$9,$N275='112'!$I$6)),"x",""))</f>
        <v/>
      </c>
      <c r="V275" s="75" t="str">
        <f>IF(ISERROR(FIND('112'!$M$9,G275,1)),"",IF((AND(RIGHT(G275,2)=RIGHT('112'!$M$9,2),B275&lt;'112'!$K$9,$O275='112'!$I$6)),"x",""))</f>
        <v/>
      </c>
      <c r="W275" s="75" t="str">
        <f>IF(AND('341-CT'!$H$9=H275,OR(LEFT(N275,3)=$W$7,LEFT(O275,3)=$W$7)),"x","")</f>
        <v/>
      </c>
      <c r="X275" s="75" t="str">
        <f>IF(OR(TH!N275=TH!$X$7,O275=TH!$X$7),"x","")</f>
        <v/>
      </c>
      <c r="Y275" s="75" t="str">
        <f>IF(AND(OR(N275="131",O275="131"),H275='131-CT'!$H$9),"x","")</f>
        <v/>
      </c>
      <c r="Z275" s="75"/>
      <c r="AA275" s="75" t="str">
        <f>IF(AND(MONTH(E275)='IN-NX'!$J$5,'IN-NX'!$D$7=D275),"x","")</f>
        <v/>
      </c>
      <c r="AB275" s="75" t="str">
        <f>IF(AND(OR(LEFT(TH!N275,2)="15",LEFT(TH!O275,2)="15"),LEFT(TH!O275,3)&lt;&gt;"111",'152-CT'!$J$8=TH!F275),"x","")</f>
        <v/>
      </c>
      <c r="AC275" s="75" t="str">
        <f>IF(AND(OR(LEFT(TH!N275,2)="15",LEFT(TH!O275,2)="15"),TK!$E$7=TH!F275),"x","")</f>
        <v/>
      </c>
      <c r="AD275" s="75" t="str">
        <f>IF(AND(N275="1521",MONTH(C275)='BK-NL'!$M$11),"x","")</f>
        <v/>
      </c>
    </row>
    <row r="276" spans="1:30" ht="16.5" customHeight="1">
      <c r="A276" s="309" t="str">
        <f>IF(B276&lt;&gt;"",IF(AND(B276='IN-TC'!$S$4,OR(TH!N276="1111",TH!O276="1111")),TH!D276,""),"")</f>
        <v/>
      </c>
      <c r="B276" s="1159">
        <f t="shared" si="53"/>
        <v>12</v>
      </c>
      <c r="C276" s="666">
        <v>43100</v>
      </c>
      <c r="D276" s="666" t="s">
        <v>530</v>
      </c>
      <c r="E276" s="666">
        <f t="shared" si="54"/>
        <v>43100</v>
      </c>
      <c r="F276" s="905" t="s">
        <v>734</v>
      </c>
      <c r="G276" s="739" t="s">
        <v>535</v>
      </c>
      <c r="H276" s="871"/>
      <c r="I276" s="374"/>
      <c r="J276" s="380"/>
      <c r="K276" s="374"/>
      <c r="L276" s="380"/>
      <c r="M276" s="670">
        <f>M274</f>
        <v>420110</v>
      </c>
      <c r="N276" s="671" t="s">
        <v>539</v>
      </c>
      <c r="O276" s="671" t="s">
        <v>543</v>
      </c>
      <c r="P276" s="75" t="str">
        <f>IF(AND('331-CT'!$E$7=TH!H276,OR(N276="331",O276="331")),"x","")</f>
        <v/>
      </c>
      <c r="Q276" s="75" t="str">
        <f>IF(AND(B276='111'!$L$11,OR($N276=$Q$7,$O276=$Q$7)),"x","")</f>
        <v/>
      </c>
      <c r="R276" s="75" t="str">
        <f>IF(AND($N276=$Q$7,$B276&lt;'111'!$L$11),"x","")</f>
        <v/>
      </c>
      <c r="S276" s="75" t="str">
        <f>IF(AND($O276=$Q$7,$B276&lt;'111'!$L$11),"x","")</f>
        <v/>
      </c>
      <c r="T276" s="75" t="str">
        <f>IF(ISERROR(FIND('112'!$M$9,G276,1)),"",IF((AND(FIND('112'!$M$9,G276,1)&gt;=1,B276='112'!$K$9,OR($N276='112'!$I$6,$O276='112'!$I$6))),"x",""))</f>
        <v/>
      </c>
      <c r="U276" s="75" t="str">
        <f>IF(ISERROR(FIND('112'!$M$9,G276,1)),"",IF((AND(LEFT(G276,2)=LEFT('112'!$M$9,2),B276&lt;'112'!$K$9,$N276='112'!$I$6)),"x",""))</f>
        <v/>
      </c>
      <c r="V276" s="75" t="str">
        <f>IF(ISERROR(FIND('112'!$M$9,G276,1)),"",IF((AND(RIGHT(G276,2)=RIGHT('112'!$M$9,2),B276&lt;'112'!$K$9,$O276='112'!$I$6)),"x",""))</f>
        <v/>
      </c>
      <c r="W276" s="75" t="str">
        <f>IF(AND('341-CT'!$H$9=H276,OR(LEFT(N276,3)=$W$7,LEFT(O276,3)=$W$7)),"x","")</f>
        <v/>
      </c>
      <c r="X276" s="75" t="str">
        <f>IF(OR(TH!N276=TH!$X$7,O276=TH!$X$7),"x","")</f>
        <v/>
      </c>
      <c r="Y276" s="75" t="str">
        <f>IF(AND(OR(N276="131",O276="131"),H276='131-CT'!$H$9),"x","")</f>
        <v/>
      </c>
      <c r="Z276" s="75"/>
      <c r="AA276" s="75" t="str">
        <f>IF(AND(MONTH(E276)='IN-NX'!$J$5,'IN-NX'!$D$7=D276),"x","")</f>
        <v/>
      </c>
      <c r="AB276" s="75" t="str">
        <f>IF(AND(OR(LEFT(TH!N276,2)="15",LEFT(TH!O276,2)="15"),LEFT(TH!O276,3)&lt;&gt;"111",'152-CT'!$J$8=TH!F276),"x","")</f>
        <v/>
      </c>
      <c r="AC276" s="75" t="str">
        <f>IF(AND(OR(LEFT(TH!N276,2)="15",LEFT(TH!O276,2)="15"),TK!$E$7=TH!F276),"x","")</f>
        <v/>
      </c>
      <c r="AD276" s="75" t="str">
        <f>IF(AND(N276="1521",MONTH(C276)='BK-NL'!$M$11),"x","")</f>
        <v/>
      </c>
    </row>
    <row r="277" spans="1:30" ht="16.5" customHeight="1">
      <c r="A277" s="309" t="str">
        <f>IF(B277&lt;&gt;"",IF(AND(B277='IN-TC'!$S$4,OR(TH!N277="1111",TH!O277="1111")),TH!D277,""),"")</f>
        <v/>
      </c>
      <c r="B277" s="1159">
        <f t="shared" si="53"/>
        <v>12</v>
      </c>
      <c r="C277" s="666">
        <v>43100</v>
      </c>
      <c r="D277" s="666" t="s">
        <v>530</v>
      </c>
      <c r="E277" s="666">
        <f t="shared" si="54"/>
        <v>43100</v>
      </c>
      <c r="F277" s="905" t="s">
        <v>735</v>
      </c>
      <c r="G277" s="250"/>
      <c r="H277" s="294"/>
      <c r="I277" s="373"/>
      <c r="J277" s="379"/>
      <c r="K277" s="373"/>
      <c r="L277" s="379"/>
      <c r="M277" s="670">
        <f>M275</f>
        <v>547920</v>
      </c>
      <c r="N277" s="671" t="s">
        <v>272</v>
      </c>
      <c r="O277" s="671" t="s">
        <v>543</v>
      </c>
      <c r="P277" s="75" t="str">
        <f>IF(AND('331-CT'!$E$7=TH!H277,OR(N277="331",O277="331")),"x","")</f>
        <v/>
      </c>
      <c r="Q277" s="75" t="str">
        <f>IF(AND(B277='111'!$L$11,OR($N277=$Q$7,$O277=$Q$7)),"x","")</f>
        <v/>
      </c>
      <c r="R277" s="75" t="str">
        <f>IF(AND($N277=$Q$7,$B277&lt;'111'!$L$11),"x","")</f>
        <v/>
      </c>
      <c r="S277" s="75" t="str">
        <f>IF(AND($O277=$Q$7,$B277&lt;'111'!$L$11),"x","")</f>
        <v/>
      </c>
      <c r="T277" s="75" t="str">
        <f>IF(ISERROR(FIND('112'!$M$9,G277,1)),"",IF((AND(FIND('112'!$M$9,G277,1)&gt;=1,B277='112'!$K$9,OR($N277='112'!$I$6,$O277='112'!$I$6))),"x",""))</f>
        <v/>
      </c>
      <c r="U277" s="75" t="str">
        <f>IF(ISERROR(FIND('112'!$M$9,G277,1)),"",IF((AND(LEFT(G277,2)=LEFT('112'!$M$9,2),B277&lt;'112'!$K$9,$N277='112'!$I$6)),"x",""))</f>
        <v/>
      </c>
      <c r="V277" s="75" t="str">
        <f>IF(ISERROR(FIND('112'!$M$9,G277,1)),"",IF((AND(RIGHT(G277,2)=RIGHT('112'!$M$9,2),B277&lt;'112'!$K$9,$O277='112'!$I$6)),"x",""))</f>
        <v/>
      </c>
      <c r="W277" s="75" t="str">
        <f>IF(AND('341-CT'!$H$9=H277,OR(LEFT(N277,3)=$W$7,LEFT(O277,3)=$W$7)),"x","")</f>
        <v/>
      </c>
      <c r="X277" s="75" t="str">
        <f>IF(OR(TH!N277=TH!$X$7,O277=TH!$X$7),"x","")</f>
        <v/>
      </c>
      <c r="Y277" s="75" t="str">
        <f>IF(AND(OR(N277="131",O277="131"),H277='131-CT'!$H$9),"x","")</f>
        <v/>
      </c>
      <c r="Z277" s="75"/>
      <c r="AA277" s="75" t="str">
        <f>IF(AND(MONTH(E277)='IN-NX'!$J$5,'IN-NX'!$D$7=D277),"x","")</f>
        <v/>
      </c>
      <c r="AB277" s="75" t="str">
        <f>IF(AND(OR(LEFT(TH!N277,2)="15",LEFT(TH!O277,2)="15"),LEFT(TH!O277,3)&lt;&gt;"111",'152-CT'!$J$8=TH!F277),"x","")</f>
        <v/>
      </c>
      <c r="AC277" s="75" t="str">
        <f>IF(AND(OR(LEFT(TH!N277,2)="15",LEFT(TH!O277,2)="15"),TK!$E$7=TH!F277),"x","")</f>
        <v/>
      </c>
      <c r="AD277" s="75" t="str">
        <f>IF(AND(N277="1521",MONTH(C277)='BK-NL'!$M$11),"x","")</f>
        <v/>
      </c>
    </row>
    <row r="278" spans="1:30" ht="16.5" customHeight="1">
      <c r="A278" s="309" t="str">
        <f>IF(B278&lt;&gt;"",IF(AND(B278='IN-TC'!$S$4,OR(TH!N278="1111",TH!O278="1111")),TH!D278,""),"")</f>
        <v/>
      </c>
      <c r="B278" s="1159">
        <f t="shared" si="53"/>
        <v>12</v>
      </c>
      <c r="C278" s="666">
        <v>43100</v>
      </c>
      <c r="D278" s="666" t="s">
        <v>530</v>
      </c>
      <c r="E278" s="666">
        <f t="shared" ref="E278:E279" si="55">C278</f>
        <v>43100</v>
      </c>
      <c r="F278" s="905" t="s">
        <v>2686</v>
      </c>
      <c r="G278" s="739" t="s">
        <v>2688</v>
      </c>
      <c r="H278" s="871"/>
      <c r="I278" s="374"/>
      <c r="J278" s="380"/>
      <c r="K278" s="374"/>
      <c r="L278" s="380"/>
      <c r="M278" s="670">
        <f>ROUND(G264*$G278,0)</f>
        <v>210055</v>
      </c>
      <c r="N278" s="671" t="s">
        <v>539</v>
      </c>
      <c r="O278" s="671" t="s">
        <v>19</v>
      </c>
      <c r="P278" s="75" t="str">
        <f>IF(AND('331-CT'!$E$7=TH!H278,OR(N278="331",O278="331")),"x","")</f>
        <v/>
      </c>
      <c r="Q278" s="75" t="str">
        <f>IF(AND(B278='111'!$L$11,OR($N278=$Q$7,$O278=$Q$7)),"x","")</f>
        <v/>
      </c>
      <c r="R278" s="75" t="str">
        <f>IF(AND($N278=$Q$7,$B278&lt;'111'!$L$11),"x","")</f>
        <v/>
      </c>
      <c r="S278" s="75" t="str">
        <f>IF(AND($O278=$Q$7,$B278&lt;'111'!$L$11),"x","")</f>
        <v/>
      </c>
      <c r="T278" s="75" t="str">
        <f>IF(ISERROR(FIND('112'!$M$9,G278,1)),"",IF((AND(FIND('112'!$M$9,G278,1)&gt;=1,B278='112'!$K$9,OR($N278='112'!$I$6,$O278='112'!$I$6))),"x",""))</f>
        <v/>
      </c>
      <c r="U278" s="75" t="str">
        <f>IF(ISERROR(FIND('112'!$M$9,G278,1)),"",IF((AND(LEFT(G278,2)=LEFT('112'!$M$9,2),B278&lt;'112'!$K$9,$N278='112'!$I$6)),"x",""))</f>
        <v/>
      </c>
      <c r="V278" s="75" t="str">
        <f>IF(ISERROR(FIND('112'!$M$9,G278,1)),"",IF((AND(RIGHT(G278,2)=RIGHT('112'!$M$9,2),B278&lt;'112'!$K$9,$O278='112'!$I$6)),"x",""))</f>
        <v/>
      </c>
      <c r="W278" s="75" t="str">
        <f>IF(AND('341-CT'!$H$9=H278,OR(LEFT(N278,3)=$W$7,LEFT(O278,3)=$W$7)),"x","")</f>
        <v/>
      </c>
      <c r="X278" s="75" t="str">
        <f>IF(OR(TH!N278=TH!$X$7,O278=TH!$X$7),"x","")</f>
        <v/>
      </c>
      <c r="Y278" s="75" t="str">
        <f>IF(AND(OR(N278="131",O278="131"),H278='131-CT'!$H$9),"x","")</f>
        <v/>
      </c>
      <c r="Z278" s="75"/>
      <c r="AA278" s="75" t="str">
        <f>IF(AND(MONTH(E278)='IN-NX'!$J$5,'IN-NX'!$D$7=D278),"x","")</f>
        <v/>
      </c>
      <c r="AB278" s="75" t="str">
        <f>IF(AND(OR(LEFT(TH!N278,2)="15",LEFT(TH!O278,2)="15"),LEFT(TH!O278,3)&lt;&gt;"111",'152-CT'!$J$8=TH!F278),"x","")</f>
        <v/>
      </c>
      <c r="AC278" s="75" t="str">
        <f>IF(AND(OR(LEFT(TH!N278,2)="15",LEFT(TH!O278,2)="15"),TK!$E$7=TH!F278),"x","")</f>
        <v/>
      </c>
      <c r="AD278" s="75" t="str">
        <f>IF(AND(N278="1521",MONTH(C278)='BK-NL'!$M$11),"x","")</f>
        <v/>
      </c>
    </row>
    <row r="279" spans="1:30" ht="16.5" customHeight="1">
      <c r="A279" s="309" t="str">
        <f>IF(B279&lt;&gt;"",IF(AND(B279='IN-TC'!$S$4,OR(TH!N279="1111",TH!O279="1111")),TH!D279,""),"")</f>
        <v/>
      </c>
      <c r="B279" s="1159">
        <f t="shared" si="53"/>
        <v>12</v>
      </c>
      <c r="C279" s="666">
        <v>43100</v>
      </c>
      <c r="D279" s="666" t="s">
        <v>530</v>
      </c>
      <c r="E279" s="666">
        <f t="shared" si="55"/>
        <v>43100</v>
      </c>
      <c r="F279" s="905" t="s">
        <v>2687</v>
      </c>
      <c r="G279" s="250"/>
      <c r="H279" s="294"/>
      <c r="I279" s="373"/>
      <c r="J279" s="379"/>
      <c r="K279" s="373"/>
      <c r="L279" s="379"/>
      <c r="M279" s="670">
        <f>ROUND(G265*$G278,0)</f>
        <v>273960</v>
      </c>
      <c r="N279" s="671" t="s">
        <v>272</v>
      </c>
      <c r="O279" s="671" t="s">
        <v>19</v>
      </c>
      <c r="P279" s="75" t="str">
        <f>IF(AND('331-CT'!$E$7=TH!H279,OR(N279="331",O279="331")),"x","")</f>
        <v/>
      </c>
      <c r="Q279" s="75" t="str">
        <f>IF(AND(B279='111'!$L$11,OR($N279=$Q$7,$O279=$Q$7)),"x","")</f>
        <v/>
      </c>
      <c r="R279" s="75" t="str">
        <f>IF(AND($N279=$Q$7,$B279&lt;'111'!$L$11),"x","")</f>
        <v/>
      </c>
      <c r="S279" s="75" t="str">
        <f>IF(AND($O279=$Q$7,$B279&lt;'111'!$L$11),"x","")</f>
        <v/>
      </c>
      <c r="T279" s="75" t="str">
        <f>IF(ISERROR(FIND('112'!$M$9,G279,1)),"",IF((AND(FIND('112'!$M$9,G279,1)&gt;=1,B279='112'!$K$9,OR($N279='112'!$I$6,$O279='112'!$I$6))),"x",""))</f>
        <v/>
      </c>
      <c r="U279" s="75" t="str">
        <f>IF(ISERROR(FIND('112'!$M$9,G279,1)),"",IF((AND(LEFT(G279,2)=LEFT('112'!$M$9,2),B279&lt;'112'!$K$9,$N279='112'!$I$6)),"x",""))</f>
        <v/>
      </c>
      <c r="V279" s="75" t="str">
        <f>IF(ISERROR(FIND('112'!$M$9,G279,1)),"",IF((AND(RIGHT(G279,2)=RIGHT('112'!$M$9,2),B279&lt;'112'!$K$9,$O279='112'!$I$6)),"x",""))</f>
        <v/>
      </c>
      <c r="W279" s="75" t="str">
        <f>IF(AND('341-CT'!$H$9=H279,OR(LEFT(N279,3)=$W$7,LEFT(O279,3)=$W$7)),"x","")</f>
        <v/>
      </c>
      <c r="X279" s="75" t="str">
        <f>IF(OR(TH!N279=TH!$X$7,O279=TH!$X$7),"x","")</f>
        <v/>
      </c>
      <c r="Y279" s="75" t="str">
        <f>IF(AND(OR(N279="131",O279="131"),H279='131-CT'!$H$9),"x","")</f>
        <v/>
      </c>
      <c r="Z279" s="75"/>
      <c r="AA279" s="75" t="str">
        <f>IF(AND(MONTH(E279)='IN-NX'!$J$5,'IN-NX'!$D$7=D279),"x","")</f>
        <v/>
      </c>
      <c r="AB279" s="75" t="str">
        <f>IF(AND(OR(LEFT(TH!N279,2)="15",LEFT(TH!O279,2)="15"),LEFT(TH!O279,3)&lt;&gt;"111",'152-CT'!$J$8=TH!F279),"x","")</f>
        <v/>
      </c>
      <c r="AC279" s="75" t="str">
        <f>IF(AND(OR(LEFT(TH!N279,2)="15",LEFT(TH!O279,2)="15"),TK!$E$7=TH!F279),"x","")</f>
        <v/>
      </c>
      <c r="AD279" s="75" t="str">
        <f>IF(AND(N279="1521",MONTH(C279)='BK-NL'!$M$11),"x","")</f>
        <v/>
      </c>
    </row>
    <row r="280" spans="1:30" ht="16.5" customHeight="1">
      <c r="A280" s="309" t="str">
        <f>IF(B280&lt;&gt;"",IF(AND(B280='IN-TC'!$S$4,OR(TH!N280="1111",TH!O280="1111")),TH!D280,""),"")</f>
        <v/>
      </c>
      <c r="B280" s="1159">
        <f t="shared" ref="B280:B283" si="56">IF(C280&lt;&gt;"",MONTH(C280),"")</f>
        <v>12</v>
      </c>
      <c r="C280" s="666">
        <v>43100</v>
      </c>
      <c r="D280" s="666" t="s">
        <v>530</v>
      </c>
      <c r="E280" s="666">
        <f t="shared" ref="E280:E283" si="57">C280</f>
        <v>43100</v>
      </c>
      <c r="F280" s="905" t="s">
        <v>2672</v>
      </c>
      <c r="G280" s="250"/>
      <c r="H280" s="294"/>
      <c r="I280" s="373"/>
      <c r="J280" s="379"/>
      <c r="K280" s="373"/>
      <c r="L280" s="379"/>
      <c r="M280" s="670">
        <v>778372</v>
      </c>
      <c r="N280" s="671" t="s">
        <v>105</v>
      </c>
      <c r="O280" s="671" t="s">
        <v>541</v>
      </c>
      <c r="P280" s="75" t="str">
        <f>IF(AND('331-CT'!$E$7=TH!H280,OR(N280="331",O280="331")),"x","")</f>
        <v/>
      </c>
      <c r="Q280" s="75" t="str">
        <f>IF(AND(B280='111'!$L$11,OR($N280=$Q$7,$O280=$Q$7)),"x","")</f>
        <v/>
      </c>
      <c r="R280" s="75" t="str">
        <f>IF(AND($N280=$Q$7,$B280&lt;'111'!$L$11),"x","")</f>
        <v/>
      </c>
      <c r="S280" s="75" t="str">
        <f>IF(AND($O280=$Q$7,$B280&lt;'111'!$L$11),"x","")</f>
        <v/>
      </c>
      <c r="T280" s="75" t="str">
        <f>IF(ISERROR(FIND('112'!$M$9,G280,1)),"",IF((AND(FIND('112'!$M$9,G280,1)&gt;=1,B280='112'!$K$9,OR($N280='112'!$I$6,$O280='112'!$I$6))),"x",""))</f>
        <v/>
      </c>
      <c r="U280" s="75" t="str">
        <f>IF(ISERROR(FIND('112'!$M$9,G280,1)),"",IF((AND(LEFT(G280,2)=LEFT('112'!$M$9,2),B280&lt;'112'!$K$9,$N280='112'!$I$6)),"x",""))</f>
        <v/>
      </c>
      <c r="V280" s="75" t="str">
        <f>IF(ISERROR(FIND('112'!$M$9,G280,1)),"",IF((AND(RIGHT(G280,2)=RIGHT('112'!$M$9,2),B280&lt;'112'!$K$9,$O280='112'!$I$6)),"x",""))</f>
        <v/>
      </c>
      <c r="W280" s="75" t="str">
        <f>IF(AND('341-CT'!$H$9=H280,OR(LEFT(N280,3)=$W$7,LEFT(O280,3)=$W$7)),"x","")</f>
        <v/>
      </c>
      <c r="X280" s="75" t="str">
        <f>IF(OR(TH!N280=TH!$X$7,O280=TH!$X$7),"x","")</f>
        <v/>
      </c>
      <c r="Y280" s="75" t="str">
        <f>IF(AND(OR(N280="131",O280="131"),H280='131-CT'!$H$9),"x","")</f>
        <v/>
      </c>
      <c r="Z280" s="75"/>
      <c r="AA280" s="75" t="str">
        <f>IF(AND(MONTH(E280)='IN-NX'!$J$5,'IN-NX'!$D$7=D280),"x","")</f>
        <v/>
      </c>
      <c r="AB280" s="75" t="str">
        <f>IF(AND(OR(LEFT(TH!N280,2)="15",LEFT(TH!O280,2)="15"),LEFT(TH!O280,3)&lt;&gt;"111",'152-CT'!$J$8=TH!F280),"x","")</f>
        <v/>
      </c>
      <c r="AC280" s="75" t="str">
        <f>IF(AND(OR(LEFT(TH!N280,2)="15",LEFT(TH!O280,2)="15"),TK!$E$7=TH!F280),"x","")</f>
        <v/>
      </c>
      <c r="AD280" s="75" t="str">
        <f>IF(AND(N280="1521",MONTH(C280)='BK-NL'!$M$11),"x","")</f>
        <v/>
      </c>
    </row>
    <row r="281" spans="1:30" ht="16.5" customHeight="1">
      <c r="A281" s="309" t="str">
        <f>IF(B281&lt;&gt;"",IF(AND(B281='IN-TC'!$S$4,OR(TH!N281="1111",TH!O281="1111")),TH!D281,""),"")</f>
        <v/>
      </c>
      <c r="B281" s="1159">
        <f t="shared" si="56"/>
        <v>12</v>
      </c>
      <c r="C281" s="666">
        <v>43100</v>
      </c>
      <c r="D281" s="666" t="s">
        <v>530</v>
      </c>
      <c r="E281" s="666">
        <f t="shared" si="57"/>
        <v>43100</v>
      </c>
      <c r="F281" s="905" t="s">
        <v>2672</v>
      </c>
      <c r="G281" s="250"/>
      <c r="H281" s="294"/>
      <c r="I281" s="373"/>
      <c r="J281" s="379"/>
      <c r="K281" s="373"/>
      <c r="L281" s="379"/>
      <c r="M281" s="670">
        <v>54467</v>
      </c>
      <c r="N281" s="671" t="s">
        <v>105</v>
      </c>
      <c r="O281" s="671" t="s">
        <v>542</v>
      </c>
      <c r="P281" s="75" t="str">
        <f>IF(AND('331-CT'!$E$7=TH!H281,OR(N281="331",O281="331")),"x","")</f>
        <v/>
      </c>
      <c r="Q281" s="75" t="str">
        <f>IF(AND(B281='111'!$L$11,OR($N281=$Q$7,$O281=$Q$7)),"x","")</f>
        <v/>
      </c>
      <c r="R281" s="75" t="str">
        <f>IF(AND($N281=$Q$7,$B281&lt;'111'!$L$11),"x","")</f>
        <v/>
      </c>
      <c r="S281" s="75" t="str">
        <f>IF(AND($O281=$Q$7,$B281&lt;'111'!$L$11),"x","")</f>
        <v/>
      </c>
      <c r="T281" s="75" t="str">
        <f>IF(ISERROR(FIND('112'!$M$9,G281,1)),"",IF((AND(FIND('112'!$M$9,G281,1)&gt;=1,B281='112'!$K$9,OR($N281='112'!$I$6,$O281='112'!$I$6))),"x",""))</f>
        <v/>
      </c>
      <c r="U281" s="75" t="str">
        <f>IF(ISERROR(FIND('112'!$M$9,G281,1)),"",IF((AND(LEFT(G281,2)=LEFT('112'!$M$9,2),B281&lt;'112'!$K$9,$N281='112'!$I$6)),"x",""))</f>
        <v/>
      </c>
      <c r="V281" s="75" t="str">
        <f>IF(ISERROR(FIND('112'!$M$9,G281,1)),"",IF((AND(RIGHT(G281,2)=RIGHT('112'!$M$9,2),B281&lt;'112'!$K$9,$O281='112'!$I$6)),"x",""))</f>
        <v/>
      </c>
      <c r="W281" s="75" t="str">
        <f>IF(AND('341-CT'!$H$9=H281,OR(LEFT(N281,3)=$W$7,LEFT(O281,3)=$W$7)),"x","")</f>
        <v/>
      </c>
      <c r="X281" s="75" t="str">
        <f>IF(OR(TH!N281=TH!$X$7,O281=TH!$X$7),"x","")</f>
        <v/>
      </c>
      <c r="Y281" s="75" t="str">
        <f>IF(AND(OR(N281="131",O281="131"),H281='131-CT'!$H$9),"x","")</f>
        <v/>
      </c>
      <c r="Z281" s="75"/>
      <c r="AA281" s="75" t="str">
        <f>IF(AND(MONTH(E281)='IN-NX'!$J$5,'IN-NX'!$D$7=D281),"x","")</f>
        <v/>
      </c>
      <c r="AB281" s="75" t="str">
        <f>IF(AND(OR(LEFT(TH!N281,2)="15",LEFT(TH!O281,2)="15"),LEFT(TH!O281,3)&lt;&gt;"111",'152-CT'!$J$8=TH!F281),"x","")</f>
        <v/>
      </c>
      <c r="AC281" s="75" t="str">
        <f>IF(AND(OR(LEFT(TH!N281,2)="15",LEFT(TH!O281,2)="15"),TK!$E$7=TH!F281),"x","")</f>
        <v/>
      </c>
      <c r="AD281" s="75" t="str">
        <f>IF(AND(N281="1521",MONTH(C281)='BK-NL'!$M$11),"x","")</f>
        <v/>
      </c>
    </row>
    <row r="282" spans="1:30" ht="16.5" customHeight="1">
      <c r="A282" s="309" t="str">
        <f>IF(B282&lt;&gt;"",IF(AND(B282='IN-TC'!$S$4,OR(TH!N282="1111",TH!O282="1111")),TH!D282,""),"")</f>
        <v/>
      </c>
      <c r="B282" s="1159">
        <f t="shared" si="56"/>
        <v>12</v>
      </c>
      <c r="C282" s="666">
        <v>43100</v>
      </c>
      <c r="D282" s="666" t="s">
        <v>530</v>
      </c>
      <c r="E282" s="666">
        <f t="shared" si="57"/>
        <v>43100</v>
      </c>
      <c r="F282" s="905" t="s">
        <v>2672</v>
      </c>
      <c r="G282" s="250"/>
      <c r="H282" s="294"/>
      <c r="I282" s="373"/>
      <c r="J282" s="379"/>
      <c r="K282" s="373"/>
      <c r="L282" s="379"/>
      <c r="M282" s="670">
        <v>30889</v>
      </c>
      <c r="N282" s="671" t="s">
        <v>105</v>
      </c>
      <c r="O282" s="671" t="s">
        <v>543</v>
      </c>
      <c r="P282" s="75" t="str">
        <f>IF(AND('331-CT'!$E$7=TH!H282,OR(N282="331",O282="331")),"x","")</f>
        <v/>
      </c>
      <c r="Q282" s="75" t="str">
        <f>IF(AND(B282='111'!$L$11,OR($N282=$Q$7,$O282=$Q$7)),"x","")</f>
        <v/>
      </c>
      <c r="R282" s="75" t="str">
        <f>IF(AND($N282=$Q$7,$B282&lt;'111'!$L$11),"x","")</f>
        <v/>
      </c>
      <c r="S282" s="75" t="str">
        <f>IF(AND($O282=$Q$7,$B282&lt;'111'!$L$11),"x","")</f>
        <v/>
      </c>
      <c r="T282" s="75" t="str">
        <f>IF(ISERROR(FIND('112'!$M$9,G282,1)),"",IF((AND(FIND('112'!$M$9,G282,1)&gt;=1,B282='112'!$K$9,OR($N282='112'!$I$6,$O282='112'!$I$6))),"x",""))</f>
        <v/>
      </c>
      <c r="U282" s="75" t="str">
        <f>IF(ISERROR(FIND('112'!$M$9,G282,1)),"",IF((AND(LEFT(G282,2)=LEFT('112'!$M$9,2),B282&lt;'112'!$K$9,$N282='112'!$I$6)),"x",""))</f>
        <v/>
      </c>
      <c r="V282" s="75" t="str">
        <f>IF(ISERROR(FIND('112'!$M$9,G282,1)),"",IF((AND(RIGHT(G282,2)=RIGHT('112'!$M$9,2),B282&lt;'112'!$K$9,$O282='112'!$I$6)),"x",""))</f>
        <v/>
      </c>
      <c r="W282" s="75" t="str">
        <f>IF(AND('341-CT'!$H$9=H282,OR(LEFT(N282,3)=$W$7,LEFT(O282,3)=$W$7)),"x","")</f>
        <v/>
      </c>
      <c r="X282" s="75" t="str">
        <f>IF(OR(TH!N282=TH!$X$7,O282=TH!$X$7),"x","")</f>
        <v/>
      </c>
      <c r="Y282" s="75" t="str">
        <f>IF(AND(OR(N282="131",O282="131"),H282='131-CT'!$H$9),"x","")</f>
        <v/>
      </c>
      <c r="Z282" s="75"/>
      <c r="AA282" s="75" t="str">
        <f>IF(AND(MONTH(E282)='IN-NX'!$J$5,'IN-NX'!$D$7=D282),"x","")</f>
        <v/>
      </c>
      <c r="AB282" s="75" t="str">
        <f>IF(AND(OR(LEFT(TH!N282,2)="15",LEFT(TH!O282,2)="15"),LEFT(TH!O282,3)&lt;&gt;"111",'152-CT'!$J$8=TH!F282),"x","")</f>
        <v/>
      </c>
      <c r="AC282" s="75" t="str">
        <f>IF(AND(OR(LEFT(TH!N282,2)="15",LEFT(TH!O282,2)="15"),TK!$E$7=TH!F282),"x","")</f>
        <v/>
      </c>
      <c r="AD282" s="75" t="str">
        <f>IF(AND(N282="1521",MONTH(C282)='BK-NL'!$M$11),"x","")</f>
        <v/>
      </c>
    </row>
    <row r="283" spans="1:30" ht="16.5" customHeight="1">
      <c r="A283" s="309" t="str">
        <f>IF(B283&lt;&gt;"",IF(AND(B283='IN-TC'!$S$4,OR(TH!N283="1111",TH!O283="1111")),TH!D283,""),"")</f>
        <v/>
      </c>
      <c r="B283" s="1159">
        <f t="shared" si="56"/>
        <v>12</v>
      </c>
      <c r="C283" s="666">
        <v>43100</v>
      </c>
      <c r="D283" s="666" t="s">
        <v>530</v>
      </c>
      <c r="E283" s="666">
        <f t="shared" si="57"/>
        <v>43100</v>
      </c>
      <c r="F283" s="905" t="s">
        <v>2672</v>
      </c>
      <c r="G283" s="250"/>
      <c r="H283" s="294"/>
      <c r="I283" s="373"/>
      <c r="J283" s="379"/>
      <c r="K283" s="373"/>
      <c r="L283" s="379"/>
      <c r="M283" s="670">
        <v>8424</v>
      </c>
      <c r="N283" s="671" t="s">
        <v>105</v>
      </c>
      <c r="O283" s="671" t="s">
        <v>19</v>
      </c>
      <c r="P283" s="75" t="str">
        <f>IF(AND('331-CT'!$E$7=TH!H283,OR(N283="331",O283="331")),"x","")</f>
        <v/>
      </c>
      <c r="Q283" s="75" t="str">
        <f>IF(AND(B283='111'!$L$11,OR($N283=$Q$7,$O283=$Q$7)),"x","")</f>
        <v/>
      </c>
      <c r="R283" s="75" t="str">
        <f>IF(AND($N283=$Q$7,$B283&lt;'111'!$L$11),"x","")</f>
        <v/>
      </c>
      <c r="S283" s="75" t="str">
        <f>IF(AND($O283=$Q$7,$B283&lt;'111'!$L$11),"x","")</f>
        <v/>
      </c>
      <c r="T283" s="75" t="str">
        <f>IF(ISERROR(FIND('112'!$M$9,G283,1)),"",IF((AND(FIND('112'!$M$9,G283,1)&gt;=1,B283='112'!$K$9,OR($N283='112'!$I$6,$O283='112'!$I$6))),"x",""))</f>
        <v/>
      </c>
      <c r="U283" s="75" t="str">
        <f>IF(ISERROR(FIND('112'!$M$9,G283,1)),"",IF((AND(LEFT(G283,2)=LEFT('112'!$M$9,2),B283&lt;'112'!$K$9,$N283='112'!$I$6)),"x",""))</f>
        <v/>
      </c>
      <c r="V283" s="75" t="str">
        <f>IF(ISERROR(FIND('112'!$M$9,G283,1)),"",IF((AND(RIGHT(G283,2)=RIGHT('112'!$M$9,2),B283&lt;'112'!$K$9,$O283='112'!$I$6)),"x",""))</f>
        <v/>
      </c>
      <c r="W283" s="75" t="str">
        <f>IF(AND('341-CT'!$H$9=H283,OR(LEFT(N283,3)=$W$7,LEFT(O283,3)=$W$7)),"x","")</f>
        <v/>
      </c>
      <c r="X283" s="75" t="str">
        <f>IF(OR(TH!N283=TH!$X$7,O283=TH!$X$7),"x","")</f>
        <v/>
      </c>
      <c r="Y283" s="75" t="str">
        <f>IF(AND(OR(N283="131",O283="131"),H283='131-CT'!$H$9),"x","")</f>
        <v/>
      </c>
      <c r="Z283" s="75"/>
      <c r="AA283" s="75" t="str">
        <f>IF(AND(MONTH(E283)='IN-NX'!$J$5,'IN-NX'!$D$7=D283),"x","")</f>
        <v/>
      </c>
      <c r="AB283" s="75" t="str">
        <f>IF(AND(OR(LEFT(TH!N283,2)="15",LEFT(TH!O283,2)="15"),LEFT(TH!O283,3)&lt;&gt;"111",'152-CT'!$J$8=TH!F283),"x","")</f>
        <v/>
      </c>
      <c r="AC283" s="75" t="str">
        <f>IF(AND(OR(LEFT(TH!N283,2)="15",LEFT(TH!O283,2)="15"),TK!$E$7=TH!F283),"x","")</f>
        <v/>
      </c>
      <c r="AD283" s="75" t="str">
        <f>IF(AND(N283="1521",MONTH(C283)='BK-NL'!$M$11),"x","")</f>
        <v/>
      </c>
    </row>
    <row r="284" spans="1:30" ht="16.5" customHeight="1">
      <c r="A284" s="309" t="str">
        <f>IF(B284&lt;&gt;"",IF(AND(B284='IN-TC'!$S$4,OR(TH!N284="1111",TH!O284="1111")),TH!D284,""),"")</f>
        <v/>
      </c>
      <c r="B284" s="1159">
        <f t="shared" ref="B284:B286" si="58">IF(C284&lt;&gt;"",MONTH(C284),"")</f>
        <v>12</v>
      </c>
      <c r="C284" s="666">
        <v>43100</v>
      </c>
      <c r="D284" s="666" t="s">
        <v>530</v>
      </c>
      <c r="E284" s="666">
        <f t="shared" ref="E284:E286" si="59">C284</f>
        <v>43100</v>
      </c>
      <c r="F284" s="905" t="s">
        <v>2678</v>
      </c>
      <c r="G284" s="250"/>
      <c r="H284" s="294"/>
      <c r="I284" s="373"/>
      <c r="J284" s="379"/>
      <c r="K284" s="373"/>
      <c r="L284" s="379"/>
      <c r="M284" s="670">
        <v>793069</v>
      </c>
      <c r="N284" s="671" t="s">
        <v>541</v>
      </c>
      <c r="O284" s="671" t="s">
        <v>103</v>
      </c>
      <c r="P284" s="75" t="str">
        <f>IF(AND('331-CT'!$E$7=TH!H284,OR(N284="331",O284="331")),"x","")</f>
        <v/>
      </c>
      <c r="Q284" s="75" t="str">
        <f>IF(AND(B284='111'!$L$11,OR($N284=$Q$7,$O284=$Q$7)),"x","")</f>
        <v/>
      </c>
      <c r="R284" s="75" t="str">
        <f>IF(AND($N284=$Q$7,$B284&lt;'111'!$L$11),"x","")</f>
        <v/>
      </c>
      <c r="S284" s="75" t="str">
        <f>IF(AND($O284=$Q$7,$B284&lt;'111'!$L$11),"x","")</f>
        <v/>
      </c>
      <c r="T284" s="75" t="str">
        <f>IF(ISERROR(FIND('112'!$M$9,G284,1)),"",IF((AND(FIND('112'!$M$9,G284,1)&gt;=1,B284='112'!$K$9,OR($N284='112'!$I$6,$O284='112'!$I$6))),"x",""))</f>
        <v/>
      </c>
      <c r="U284" s="75" t="str">
        <f>IF(ISERROR(FIND('112'!$M$9,G284,1)),"",IF((AND(LEFT(G284,2)=LEFT('112'!$M$9,2),B284&lt;'112'!$K$9,$N284='112'!$I$6)),"x",""))</f>
        <v/>
      </c>
      <c r="V284" s="75" t="str">
        <f>IF(ISERROR(FIND('112'!$M$9,G284,1)),"",IF((AND(RIGHT(G284,2)=RIGHT('112'!$M$9,2),B284&lt;'112'!$K$9,$O284='112'!$I$6)),"x",""))</f>
        <v/>
      </c>
      <c r="W284" s="75" t="str">
        <f>IF(AND('341-CT'!$H$9=H284,OR(LEFT(N284,3)=$W$7,LEFT(O284,3)=$W$7)),"x","")</f>
        <v/>
      </c>
      <c r="X284" s="75" t="str">
        <f>IF(OR(TH!N284=TH!$X$7,O284=TH!$X$7),"x","")</f>
        <v/>
      </c>
      <c r="Y284" s="75" t="str">
        <f>IF(AND(OR(N284="131",O284="131"),H284='131-CT'!$H$9),"x","")</f>
        <v/>
      </c>
      <c r="Z284" s="75"/>
      <c r="AA284" s="75" t="str">
        <f>IF(AND(MONTH(E284)='IN-NX'!$J$5,'IN-NX'!$D$7=D284),"x","")</f>
        <v/>
      </c>
      <c r="AB284" s="75" t="str">
        <f>IF(AND(OR(LEFT(TH!N284,2)="15",LEFT(TH!O284,2)="15"),LEFT(TH!O284,3)&lt;&gt;"111",'152-CT'!$J$8=TH!F284),"x","")</f>
        <v/>
      </c>
      <c r="AC284" s="75" t="str">
        <f>IF(AND(OR(LEFT(TH!N284,2)="15",LEFT(TH!O284,2)="15"),TK!$E$7=TH!F284),"x","")</f>
        <v/>
      </c>
      <c r="AD284" s="75" t="str">
        <f>IF(AND(N284="1521",MONTH(C284)='BK-NL'!$M$11),"x","")</f>
        <v/>
      </c>
    </row>
    <row r="285" spans="1:30" ht="16.5" customHeight="1">
      <c r="A285" s="309" t="str">
        <f>IF(B285&lt;&gt;"",IF(AND(B285='IN-TC'!$S$4,OR(TH!N285="1111",TH!O285="1111")),TH!D285,""),"")</f>
        <v/>
      </c>
      <c r="B285" s="1159">
        <f t="shared" si="58"/>
        <v>12</v>
      </c>
      <c r="C285" s="666">
        <v>43100</v>
      </c>
      <c r="D285" s="666" t="s">
        <v>530</v>
      </c>
      <c r="E285" s="666">
        <f t="shared" si="59"/>
        <v>43100</v>
      </c>
      <c r="F285" s="905" t="s">
        <v>2679</v>
      </c>
      <c r="G285" s="250"/>
      <c r="H285" s="294"/>
      <c r="I285" s="373"/>
      <c r="J285" s="379"/>
      <c r="K285" s="373"/>
      <c r="L285" s="379"/>
      <c r="M285" s="670">
        <v>1796131</v>
      </c>
      <c r="N285" s="671" t="s">
        <v>101</v>
      </c>
      <c r="O285" s="671" t="s">
        <v>542</v>
      </c>
      <c r="P285" s="75" t="str">
        <f>IF(AND('331-CT'!$E$7=TH!H285,OR(N285="331",O285="331")),"x","")</f>
        <v/>
      </c>
      <c r="Q285" s="75" t="str">
        <f>IF(AND(B285='111'!$L$11,OR($N285=$Q$7,$O285=$Q$7)),"x","")</f>
        <v/>
      </c>
      <c r="R285" s="75" t="str">
        <f>IF(AND($N285=$Q$7,$B285&lt;'111'!$L$11),"x","")</f>
        <v/>
      </c>
      <c r="S285" s="75" t="str">
        <f>IF(AND($O285=$Q$7,$B285&lt;'111'!$L$11),"x","")</f>
        <v/>
      </c>
      <c r="T285" s="75" t="str">
        <f>IF(ISERROR(FIND('112'!$M$9,G285,1)),"",IF((AND(FIND('112'!$M$9,G285,1)&gt;=1,B285='112'!$K$9,OR($N285='112'!$I$6,$O285='112'!$I$6))),"x",""))</f>
        <v/>
      </c>
      <c r="U285" s="75" t="str">
        <f>IF(ISERROR(FIND('112'!$M$9,G285,1)),"",IF((AND(LEFT(G285,2)=LEFT('112'!$M$9,2),B285&lt;'112'!$K$9,$N285='112'!$I$6)),"x",""))</f>
        <v/>
      </c>
      <c r="V285" s="75" t="str">
        <f>IF(ISERROR(FIND('112'!$M$9,G285,1)),"",IF((AND(RIGHT(G285,2)=RIGHT('112'!$M$9,2),B285&lt;'112'!$K$9,$O285='112'!$I$6)),"x",""))</f>
        <v/>
      </c>
      <c r="W285" s="75" t="str">
        <f>IF(AND('341-CT'!$H$9=H285,OR(LEFT(N285,3)=$W$7,LEFT(O285,3)=$W$7)),"x","")</f>
        <v/>
      </c>
      <c r="X285" s="75" t="str">
        <f>IF(OR(TH!N285=TH!$X$7,O285=TH!$X$7),"x","")</f>
        <v/>
      </c>
      <c r="Y285" s="75" t="str">
        <f>IF(AND(OR(N285="131",O285="131"),H285='131-CT'!$H$9),"x","")</f>
        <v/>
      </c>
      <c r="Z285" s="75"/>
      <c r="AA285" s="75" t="str">
        <f>IF(AND(MONTH(E285)='IN-NX'!$J$5,'IN-NX'!$D$7=D285),"x","")</f>
        <v/>
      </c>
      <c r="AB285" s="75" t="str">
        <f>IF(AND(OR(LEFT(TH!N285,2)="15",LEFT(TH!O285,2)="15"),LEFT(TH!O285,3)&lt;&gt;"111",'152-CT'!$J$8=TH!F285),"x","")</f>
        <v/>
      </c>
      <c r="AC285" s="75" t="str">
        <f>IF(AND(OR(LEFT(TH!N285,2)="15",LEFT(TH!O285,2)="15"),TK!$E$7=TH!F285),"x","")</f>
        <v/>
      </c>
      <c r="AD285" s="75" t="str">
        <f>IF(AND(N285="1521",MONTH(C285)='BK-NL'!$M$11),"x","")</f>
        <v/>
      </c>
    </row>
    <row r="286" spans="1:30" ht="16.5" customHeight="1">
      <c r="A286" s="309" t="str">
        <f>IF(B286&lt;&gt;"",IF(AND(B286='IN-TC'!$S$4,OR(TH!N286="1111",TH!O286="1111")),TH!D286,""),"")</f>
        <v/>
      </c>
      <c r="B286" s="1159">
        <f t="shared" si="58"/>
        <v>12</v>
      </c>
      <c r="C286" s="666">
        <v>43100</v>
      </c>
      <c r="D286" s="666" t="s">
        <v>530</v>
      </c>
      <c r="E286" s="666">
        <f t="shared" si="59"/>
        <v>43100</v>
      </c>
      <c r="F286" s="905" t="s">
        <v>2680</v>
      </c>
      <c r="G286" s="250"/>
      <c r="H286" s="294"/>
      <c r="I286" s="373"/>
      <c r="J286" s="379"/>
      <c r="K286" s="373"/>
      <c r="L286" s="379"/>
      <c r="M286" s="670">
        <v>66340</v>
      </c>
      <c r="N286" s="671" t="s">
        <v>543</v>
      </c>
      <c r="O286" s="671" t="s">
        <v>103</v>
      </c>
      <c r="P286" s="75" t="str">
        <f>IF(AND('331-CT'!$E$7=TH!H286,OR(N286="331",O286="331")),"x","")</f>
        <v/>
      </c>
      <c r="Q286" s="75" t="str">
        <f>IF(AND(B286='111'!$L$11,OR($N286=$Q$7,$O286=$Q$7)),"x","")</f>
        <v/>
      </c>
      <c r="R286" s="75" t="str">
        <f>IF(AND($N286=$Q$7,$B286&lt;'111'!$L$11),"x","")</f>
        <v/>
      </c>
      <c r="S286" s="75" t="str">
        <f>IF(AND($O286=$Q$7,$B286&lt;'111'!$L$11),"x","")</f>
        <v/>
      </c>
      <c r="T286" s="75" t="str">
        <f>IF(ISERROR(FIND('112'!$M$9,G286,1)),"",IF((AND(FIND('112'!$M$9,G286,1)&gt;=1,B286='112'!$K$9,OR($N286='112'!$I$6,$O286='112'!$I$6))),"x",""))</f>
        <v/>
      </c>
      <c r="U286" s="75" t="str">
        <f>IF(ISERROR(FIND('112'!$M$9,G286,1)),"",IF((AND(LEFT(G286,2)=LEFT('112'!$M$9,2),B286&lt;'112'!$K$9,$N286='112'!$I$6)),"x",""))</f>
        <v/>
      </c>
      <c r="V286" s="75" t="str">
        <f>IF(ISERROR(FIND('112'!$M$9,G286,1)),"",IF((AND(RIGHT(G286,2)=RIGHT('112'!$M$9,2),B286&lt;'112'!$K$9,$O286='112'!$I$6)),"x",""))</f>
        <v/>
      </c>
      <c r="W286" s="75" t="str">
        <f>IF(AND('341-CT'!$H$9=H286,OR(LEFT(N286,3)=$W$7,LEFT(O286,3)=$W$7)),"x","")</f>
        <v/>
      </c>
      <c r="X286" s="75" t="str">
        <f>IF(OR(TH!N286=TH!$X$7,O286=TH!$X$7),"x","")</f>
        <v/>
      </c>
      <c r="Y286" s="75" t="str">
        <f>IF(AND(OR(N286="131",O286="131"),H286='131-CT'!$H$9),"x","")</f>
        <v/>
      </c>
      <c r="Z286" s="75"/>
      <c r="AA286" s="75" t="str">
        <f>IF(AND(MONTH(E286)='IN-NX'!$J$5,'IN-NX'!$D$7=D286),"x","")</f>
        <v/>
      </c>
      <c r="AB286" s="75" t="str">
        <f>IF(AND(OR(LEFT(TH!N286,2)="15",LEFT(TH!O286,2)="15"),LEFT(TH!O286,3)&lt;&gt;"111",'152-CT'!$J$8=TH!F286),"x","")</f>
        <v/>
      </c>
      <c r="AC286" s="75" t="str">
        <f>IF(AND(OR(LEFT(TH!N286,2)="15",LEFT(TH!O286,2)="15"),TK!$E$7=TH!F286),"x","")</f>
        <v/>
      </c>
      <c r="AD286" s="75" t="str">
        <f>IF(AND(N286="1521",MONTH(C286)='BK-NL'!$M$11),"x","")</f>
        <v/>
      </c>
    </row>
    <row r="287" spans="1:30" s="1054" customFormat="1" ht="16.5" customHeight="1">
      <c r="A287" s="309" t="str">
        <f>IF(B287&lt;&gt;"",IF(AND(B287='IN-TC'!$S$4,OR(TH!N287="1111",TH!O287="1111")),TH!D287,""),"")</f>
        <v/>
      </c>
      <c r="B287" s="1058">
        <f t="shared" ref="B287:B304" si="60">IF(C287&lt;&gt;"",MONTH(C287),"")</f>
        <v>1</v>
      </c>
      <c r="C287" s="929">
        <v>42766</v>
      </c>
      <c r="D287" s="929" t="s">
        <v>530</v>
      </c>
      <c r="E287" s="929">
        <v>42734</v>
      </c>
      <c r="F287" s="930" t="s">
        <v>808</v>
      </c>
      <c r="G287" s="931" t="s">
        <v>875</v>
      </c>
      <c r="H287" s="296" t="s">
        <v>622</v>
      </c>
      <c r="I287" s="371"/>
      <c r="J287" s="932"/>
      <c r="K287" s="371"/>
      <c r="L287" s="377"/>
      <c r="M287" s="933">
        <v>68460000</v>
      </c>
      <c r="N287" s="934" t="s">
        <v>539</v>
      </c>
      <c r="O287" s="934" t="s">
        <v>8</v>
      </c>
      <c r="P287" s="75" t="str">
        <f>IF(AND('331-CT'!$E$7=TH!H287,OR(N287="331",O287="331")),"x","")</f>
        <v/>
      </c>
      <c r="Q287" s="75" t="str">
        <f>IF(AND(B287='111'!$L$11,OR($N287=$Q$7,$O287=$Q$7)),"x","")</f>
        <v/>
      </c>
      <c r="R287" s="75" t="str">
        <f>IF(AND($N287=$Q$7,$B287&lt;'111'!$L$11),"x","")</f>
        <v/>
      </c>
      <c r="S287" s="75" t="str">
        <f>IF(AND($O287=$Q$7,$B287&lt;'111'!$L$11),"x","")</f>
        <v/>
      </c>
      <c r="T287" s="75" t="str">
        <f>IF(ISERROR(FIND('112'!$M$9,G287,1)),"",IF((AND(FIND('112'!$M$9,G287,1)&gt;=1,B287='112'!$K$9,OR($N287='112'!$I$6,$O287='112'!$I$6))),"x",""))</f>
        <v/>
      </c>
      <c r="U287" s="75" t="str">
        <f>IF(ISERROR(FIND('112'!$M$9,G287,1)),"",IF((AND(LEFT(G287,2)=LEFT('112'!$M$9,2),B287&lt;'112'!$K$9,$N287='112'!$I$6)),"x",""))</f>
        <v/>
      </c>
      <c r="V287" s="75" t="str">
        <f>IF(ISERROR(FIND('112'!$M$9,G287,1)),"",IF((AND(RIGHT(G287,2)=RIGHT('112'!$M$9,2),B287&lt;'112'!$K$9,$O287='112'!$I$6)),"x",""))</f>
        <v/>
      </c>
      <c r="W287" s="75" t="str">
        <f>IF(AND('341-CT'!$H$9=H287,OR(LEFT(N287,3)=$W$7,LEFT(O287,3)=$W$7)),"x","")</f>
        <v/>
      </c>
      <c r="X287" s="75" t="str">
        <f>IF(OR(TH!N287=TH!$X$7,O287=TH!$X$7),"x","")</f>
        <v/>
      </c>
      <c r="Y287" s="75" t="str">
        <f>IF(AND(OR(N287="131",O287="131"),H287='131-CT'!$H$9),"x","")</f>
        <v/>
      </c>
      <c r="Z287" s="75"/>
      <c r="AA287" s="75" t="str">
        <f>IF(AND(MONTH(E287)='IN-NX'!$J$5,'IN-NX'!$D$7=D287),"x","")</f>
        <v/>
      </c>
      <c r="AB287" s="75" t="str">
        <f>IF(AND(OR(LEFT(TH!N287,2)="15",LEFT(TH!O287,2)="15"),LEFT(TH!O287,3)&lt;&gt;"111",'152-CT'!$J$8=TH!F287),"x","")</f>
        <v/>
      </c>
      <c r="AC287" s="75" t="str">
        <f>IF(AND(OR(LEFT(TH!N287,2)="15",LEFT(TH!O287,2)="15"),TK!$E$7=TH!F287),"x","")</f>
        <v/>
      </c>
      <c r="AD287" s="75" t="str">
        <f>IF(AND(N287="1521",MONTH(C287)='BK-NL'!$M$11),"x","")</f>
        <v/>
      </c>
    </row>
    <row r="288" spans="1:30" ht="16.5" customHeight="1">
      <c r="A288" s="309" t="str">
        <f>IF(B288&lt;&gt;"",IF(AND(B288='IN-TC'!$S$4,OR(TH!N288="1111",TH!O288="1111")),TH!D288,""),"")</f>
        <v/>
      </c>
      <c r="B288" s="1058">
        <f t="shared" si="60"/>
        <v>1</v>
      </c>
      <c r="C288" s="929">
        <v>42766</v>
      </c>
      <c r="D288" s="929" t="s">
        <v>530</v>
      </c>
      <c r="E288" s="929">
        <v>42734</v>
      </c>
      <c r="F288" s="930" t="s">
        <v>810</v>
      </c>
      <c r="G288" s="931" t="s">
        <v>876</v>
      </c>
      <c r="H288" s="296" t="s">
        <v>622</v>
      </c>
      <c r="I288" s="371"/>
      <c r="J288" s="932"/>
      <c r="K288" s="371"/>
      <c r="L288" s="377"/>
      <c r="M288" s="933">
        <v>30419060</v>
      </c>
      <c r="N288" s="934" t="s">
        <v>539</v>
      </c>
      <c r="O288" s="934" t="s">
        <v>8</v>
      </c>
      <c r="P288" s="75" t="str">
        <f>IF(AND('331-CT'!$E$7=TH!H288,OR(N288="331",O288="331")),"x","")</f>
        <v/>
      </c>
      <c r="Q288" s="75" t="str">
        <f>IF(AND(B288='111'!$L$11,OR($N288=$Q$7,$O288=$Q$7)),"x","")</f>
        <v/>
      </c>
      <c r="R288" s="75" t="str">
        <f>IF(AND($N288=$Q$7,$B288&lt;'111'!$L$11),"x","")</f>
        <v/>
      </c>
      <c r="S288" s="75" t="str">
        <f>IF(AND($O288=$Q$7,$B288&lt;'111'!$L$11),"x","")</f>
        <v/>
      </c>
      <c r="T288" s="75" t="str">
        <f>IF(ISERROR(FIND('112'!$M$9,G288,1)),"",IF((AND(FIND('112'!$M$9,G288,1)&gt;=1,B288='112'!$K$9,OR($N288='112'!$I$6,$O288='112'!$I$6))),"x",""))</f>
        <v/>
      </c>
      <c r="U288" s="75" t="str">
        <f>IF(ISERROR(FIND('112'!$M$9,G288,1)),"",IF((AND(LEFT(G288,2)=LEFT('112'!$M$9,2),B288&lt;'112'!$K$9,$N288='112'!$I$6)),"x",""))</f>
        <v/>
      </c>
      <c r="V288" s="75" t="str">
        <f>IF(ISERROR(FIND('112'!$M$9,G288,1)),"",IF((AND(RIGHT(G288,2)=RIGHT('112'!$M$9,2),B288&lt;'112'!$K$9,$O288='112'!$I$6)),"x",""))</f>
        <v/>
      </c>
      <c r="W288" s="75" t="str">
        <f>IF(AND('341-CT'!$H$9=H288,OR(LEFT(N288,3)=$W$7,LEFT(O288,3)=$W$7)),"x","")</f>
        <v/>
      </c>
      <c r="X288" s="75" t="str">
        <f>IF(OR(TH!N288=TH!$X$7,O288=TH!$X$7),"x","")</f>
        <v/>
      </c>
      <c r="Y288" s="75" t="str">
        <f>IF(AND(OR(N288="131",O288="131"),H288='131-CT'!$H$9),"x","")</f>
        <v/>
      </c>
      <c r="Z288" s="75"/>
      <c r="AA288" s="75" t="str">
        <f>IF(AND(MONTH(E288)='IN-NX'!$J$5,'IN-NX'!$D$7=D288),"x","")</f>
        <v/>
      </c>
      <c r="AB288" s="75" t="str">
        <f>IF(AND(OR(LEFT(TH!N288,2)="15",LEFT(TH!O288,2)="15"),LEFT(TH!O288,3)&lt;&gt;"111",'152-CT'!$J$8=TH!F288),"x","")</f>
        <v/>
      </c>
      <c r="AC288" s="75" t="str">
        <f>IF(AND(OR(LEFT(TH!N288,2)="15",LEFT(TH!O288,2)="15"),TK!$E$7=TH!F288),"x","")</f>
        <v/>
      </c>
      <c r="AD288" s="75" t="str">
        <f>IF(AND(N288="1521",MONTH(C288)='BK-NL'!$M$11),"x","")</f>
        <v/>
      </c>
    </row>
    <row r="289" spans="1:30" ht="16.5" customHeight="1">
      <c r="A289" s="309" t="str">
        <f>IF(B289&lt;&gt;"",IF(AND(B289='IN-TC'!$S$4,OR(TH!N289="1111",TH!O289="1111")),TH!D289,""),"")</f>
        <v/>
      </c>
      <c r="B289" s="1058">
        <f t="shared" si="60"/>
        <v>1</v>
      </c>
      <c r="C289" s="929">
        <v>42766</v>
      </c>
      <c r="D289" s="929" t="s">
        <v>530</v>
      </c>
      <c r="E289" s="929">
        <v>42734</v>
      </c>
      <c r="F289" s="930" t="s">
        <v>811</v>
      </c>
      <c r="G289" s="931" t="s">
        <v>876</v>
      </c>
      <c r="H289" s="296" t="s">
        <v>622</v>
      </c>
      <c r="I289" s="371"/>
      <c r="J289" s="932"/>
      <c r="K289" s="371"/>
      <c r="L289" s="377"/>
      <c r="M289" s="933">
        <v>3041906</v>
      </c>
      <c r="N289" s="934" t="s">
        <v>9</v>
      </c>
      <c r="O289" s="934" t="s">
        <v>8</v>
      </c>
      <c r="P289" s="75" t="str">
        <f>IF(AND('331-CT'!$E$7=TH!H289,OR(N289="331",O289="331")),"x","")</f>
        <v/>
      </c>
      <c r="Q289" s="75" t="str">
        <f>IF(AND(B289='111'!$L$11,OR($N289=$Q$7,$O289=$Q$7)),"x","")</f>
        <v/>
      </c>
      <c r="R289" s="75" t="str">
        <f>IF(AND($N289=$Q$7,$B289&lt;'111'!$L$11),"x","")</f>
        <v/>
      </c>
      <c r="S289" s="75" t="str">
        <f>IF(AND($O289=$Q$7,$B289&lt;'111'!$L$11),"x","")</f>
        <v/>
      </c>
      <c r="T289" s="75" t="str">
        <f>IF(ISERROR(FIND('112'!$M$9,G289,1)),"",IF((AND(FIND('112'!$M$9,G289,1)&gt;=1,B289='112'!$K$9,OR($N289='112'!$I$6,$O289='112'!$I$6))),"x",""))</f>
        <v/>
      </c>
      <c r="U289" s="75" t="str">
        <f>IF(ISERROR(FIND('112'!$M$9,G289,1)),"",IF((AND(LEFT(G289,2)=LEFT('112'!$M$9,2),B289&lt;'112'!$K$9,$N289='112'!$I$6)),"x",""))</f>
        <v/>
      </c>
      <c r="V289" s="75" t="str">
        <f>IF(ISERROR(FIND('112'!$M$9,G289,1)),"",IF((AND(RIGHT(G289,2)=RIGHT('112'!$M$9,2),B289&lt;'112'!$K$9,$O289='112'!$I$6)),"x",""))</f>
        <v/>
      </c>
      <c r="W289" s="75" t="str">
        <f>IF(AND('341-CT'!$H$9=H289,OR(LEFT(N289,3)=$W$7,LEFT(O289,3)=$W$7)),"x","")</f>
        <v/>
      </c>
      <c r="X289" s="75" t="str">
        <f>IF(OR(TH!N289=TH!$X$7,O289=TH!$X$7),"x","")</f>
        <v/>
      </c>
      <c r="Y289" s="75" t="str">
        <f>IF(AND(OR(N289="131",O289="131"),H289='131-CT'!$H$9),"x","")</f>
        <v/>
      </c>
      <c r="Z289" s="75"/>
      <c r="AA289" s="75" t="str">
        <f>IF(AND(MONTH(E289)='IN-NX'!$J$5,'IN-NX'!$D$7=D289),"x","")</f>
        <v/>
      </c>
      <c r="AB289" s="75" t="str">
        <f>IF(AND(OR(LEFT(TH!N289,2)="15",LEFT(TH!O289,2)="15"),LEFT(TH!O289,3)&lt;&gt;"111",'152-CT'!$J$8=TH!F289),"x","")</f>
        <v/>
      </c>
      <c r="AC289" s="75" t="str">
        <f>IF(AND(OR(LEFT(TH!N289,2)="15",LEFT(TH!O289,2)="15"),TK!$E$7=TH!F289),"x","")</f>
        <v/>
      </c>
      <c r="AD289" s="75" t="str">
        <f>IF(AND(N289="1521",MONTH(C289)='BK-NL'!$M$11),"x","")</f>
        <v/>
      </c>
    </row>
    <row r="290" spans="1:30" ht="16.5" customHeight="1">
      <c r="A290" s="309" t="str">
        <f>IF(B290&lt;&gt;"",IF(AND(B290='IN-TC'!$S$4,OR(TH!N290="1111",TH!O290="1111")),TH!D290,""),"")</f>
        <v/>
      </c>
      <c r="B290" s="1058">
        <f t="shared" si="60"/>
        <v>1</v>
      </c>
      <c r="C290" s="929">
        <v>42766</v>
      </c>
      <c r="D290" s="929" t="s">
        <v>530</v>
      </c>
      <c r="E290" s="929">
        <v>42766</v>
      </c>
      <c r="F290" s="930" t="s">
        <v>808</v>
      </c>
      <c r="G290" s="931" t="s">
        <v>809</v>
      </c>
      <c r="H290" s="296" t="s">
        <v>622</v>
      </c>
      <c r="I290" s="371"/>
      <c r="J290" s="932"/>
      <c r="K290" s="371"/>
      <c r="L290" s="377"/>
      <c r="M290" s="933">
        <v>22810000</v>
      </c>
      <c r="N290" s="934" t="s">
        <v>539</v>
      </c>
      <c r="O290" s="934" t="s">
        <v>8</v>
      </c>
      <c r="P290" s="75" t="str">
        <f>IF(AND('331-CT'!$E$7=TH!H290,OR(N290="331",O290="331")),"x","")</f>
        <v/>
      </c>
      <c r="Q290" s="75" t="str">
        <f>IF(AND(B290='111'!$L$11,OR($N290=$Q$7,$O290=$Q$7)),"x","")</f>
        <v/>
      </c>
      <c r="R290" s="75" t="str">
        <f>IF(AND($N290=$Q$7,$B290&lt;'111'!$L$11),"x","")</f>
        <v/>
      </c>
      <c r="S290" s="75" t="str">
        <f>IF(AND($O290=$Q$7,$B290&lt;'111'!$L$11),"x","")</f>
        <v/>
      </c>
      <c r="T290" s="75" t="str">
        <f>IF(ISERROR(FIND('112'!$M$9,G290,1)),"",IF((AND(FIND('112'!$M$9,G290,1)&gt;=1,B290='112'!$K$9,OR($N290='112'!$I$6,$O290='112'!$I$6))),"x",""))</f>
        <v/>
      </c>
      <c r="U290" s="75" t="str">
        <f>IF(ISERROR(FIND('112'!$M$9,G290,1)),"",IF((AND(LEFT(G290,2)=LEFT('112'!$M$9,2),B290&lt;'112'!$K$9,$N290='112'!$I$6)),"x",""))</f>
        <v/>
      </c>
      <c r="V290" s="75" t="str">
        <f>IF(ISERROR(FIND('112'!$M$9,G290,1)),"",IF((AND(RIGHT(G290,2)=RIGHT('112'!$M$9,2),B290&lt;'112'!$K$9,$O290='112'!$I$6)),"x",""))</f>
        <v/>
      </c>
      <c r="W290" s="75" t="str">
        <f>IF(AND('341-CT'!$H$9=H290,OR(LEFT(N290,3)=$W$7,LEFT(O290,3)=$W$7)),"x","")</f>
        <v/>
      </c>
      <c r="X290" s="75" t="str">
        <f>IF(OR(TH!N290=TH!$X$7,O290=TH!$X$7),"x","")</f>
        <v/>
      </c>
      <c r="Y290" s="75" t="str">
        <f>IF(AND(OR(N290="131",O290="131"),H290='131-CT'!$H$9),"x","")</f>
        <v/>
      </c>
      <c r="Z290" s="75"/>
      <c r="AA290" s="75" t="str">
        <f>IF(AND(MONTH(E290)='IN-NX'!$J$5,'IN-NX'!$D$7=D290),"x","")</f>
        <v/>
      </c>
      <c r="AB290" s="75" t="str">
        <f>IF(AND(OR(LEFT(TH!N290,2)="15",LEFT(TH!O290,2)="15"),LEFT(TH!O290,3)&lt;&gt;"111",'152-CT'!$J$8=TH!F290),"x","")</f>
        <v/>
      </c>
      <c r="AC290" s="75" t="str">
        <f>IF(AND(OR(LEFT(TH!N290,2)="15",LEFT(TH!O290,2)="15"),TK!$E$7=TH!F290),"x","")</f>
        <v/>
      </c>
      <c r="AD290" s="75" t="str">
        <f>IF(AND(N290="1521",MONTH(C290)='BK-NL'!$M$11),"x","")</f>
        <v/>
      </c>
    </row>
    <row r="291" spans="1:30" ht="16.5" customHeight="1">
      <c r="A291" s="309" t="str">
        <f>IF(B291&lt;&gt;"",IF(AND(B291='IN-TC'!$S$4,OR(TH!N291="1111",TH!O291="1111")),TH!D291,""),"")</f>
        <v/>
      </c>
      <c r="B291" s="1058">
        <f t="shared" si="60"/>
        <v>1</v>
      </c>
      <c r="C291" s="929">
        <v>42766</v>
      </c>
      <c r="D291" s="929" t="s">
        <v>530</v>
      </c>
      <c r="E291" s="929">
        <v>42766</v>
      </c>
      <c r="F291" s="930" t="s">
        <v>810</v>
      </c>
      <c r="G291" s="931" t="s">
        <v>812</v>
      </c>
      <c r="H291" s="296" t="s">
        <v>622</v>
      </c>
      <c r="I291" s="371"/>
      <c r="J291" s="932"/>
      <c r="K291" s="371"/>
      <c r="L291" s="377"/>
      <c r="M291" s="933">
        <v>10971610</v>
      </c>
      <c r="N291" s="934" t="s">
        <v>539</v>
      </c>
      <c r="O291" s="934" t="s">
        <v>8</v>
      </c>
      <c r="P291" s="75" t="str">
        <f>IF(AND('331-CT'!$E$7=TH!H291,OR(N291="331",O291="331")),"x","")</f>
        <v/>
      </c>
      <c r="Q291" s="75" t="str">
        <f>IF(AND(B291='111'!$L$11,OR($N291=$Q$7,$O291=$Q$7)),"x","")</f>
        <v/>
      </c>
      <c r="R291" s="75" t="str">
        <f>IF(AND($N291=$Q$7,$B291&lt;'111'!$L$11),"x","")</f>
        <v/>
      </c>
      <c r="S291" s="75" t="str">
        <f>IF(AND($O291=$Q$7,$B291&lt;'111'!$L$11),"x","")</f>
        <v/>
      </c>
      <c r="T291" s="75" t="str">
        <f>IF(ISERROR(FIND('112'!$M$9,G291,1)),"",IF((AND(FIND('112'!$M$9,G291,1)&gt;=1,B291='112'!$K$9,OR($N291='112'!$I$6,$O291='112'!$I$6))),"x",""))</f>
        <v/>
      </c>
      <c r="U291" s="75" t="str">
        <f>IF(ISERROR(FIND('112'!$M$9,G291,1)),"",IF((AND(LEFT(G291,2)=LEFT('112'!$M$9,2),B291&lt;'112'!$K$9,$N291='112'!$I$6)),"x",""))</f>
        <v/>
      </c>
      <c r="V291" s="75" t="str">
        <f>IF(ISERROR(FIND('112'!$M$9,G291,1)),"",IF((AND(RIGHT(G291,2)=RIGHT('112'!$M$9,2),B291&lt;'112'!$K$9,$O291='112'!$I$6)),"x",""))</f>
        <v/>
      </c>
      <c r="W291" s="75" t="str">
        <f>IF(AND('341-CT'!$H$9=H291,OR(LEFT(N291,3)=$W$7,LEFT(O291,3)=$W$7)),"x","")</f>
        <v/>
      </c>
      <c r="X291" s="75" t="str">
        <f>IF(OR(TH!N291=TH!$X$7,O291=TH!$X$7),"x","")</f>
        <v/>
      </c>
      <c r="Y291" s="75" t="str">
        <f>IF(AND(OR(N291="131",O291="131"),H291='131-CT'!$H$9),"x","")</f>
        <v/>
      </c>
      <c r="Z291" s="75"/>
      <c r="AA291" s="75" t="str">
        <f>IF(AND(MONTH(E291)='IN-NX'!$J$5,'IN-NX'!$D$7=D291),"x","")</f>
        <v/>
      </c>
      <c r="AB291" s="75" t="str">
        <f>IF(AND(OR(LEFT(TH!N291,2)="15",LEFT(TH!O291,2)="15"),LEFT(TH!O291,3)&lt;&gt;"111",'152-CT'!$J$8=TH!F291),"x","")</f>
        <v/>
      </c>
      <c r="AC291" s="75" t="str">
        <f>IF(AND(OR(LEFT(TH!N291,2)="15",LEFT(TH!O291,2)="15"),TK!$E$7=TH!F291),"x","")</f>
        <v/>
      </c>
      <c r="AD291" s="75" t="str">
        <f>IF(AND(N291="1521",MONTH(C291)='BK-NL'!$M$11),"x","")</f>
        <v/>
      </c>
    </row>
    <row r="292" spans="1:30" ht="16.5" customHeight="1">
      <c r="A292" s="309" t="str">
        <f>IF(B292&lt;&gt;"",IF(AND(B292='IN-TC'!$S$4,OR(TH!N292="1111",TH!O292="1111")),TH!D292,""),"")</f>
        <v/>
      </c>
      <c r="B292" s="1058">
        <f t="shared" si="60"/>
        <v>1</v>
      </c>
      <c r="C292" s="929">
        <v>42766</v>
      </c>
      <c r="D292" s="929" t="s">
        <v>530</v>
      </c>
      <c r="E292" s="929">
        <v>42766</v>
      </c>
      <c r="F292" s="930" t="s">
        <v>811</v>
      </c>
      <c r="G292" s="931" t="s">
        <v>812</v>
      </c>
      <c r="H292" s="296" t="s">
        <v>622</v>
      </c>
      <c r="I292" s="371"/>
      <c r="J292" s="932"/>
      <c r="K292" s="371"/>
      <c r="L292" s="377"/>
      <c r="M292" s="933">
        <v>1097161</v>
      </c>
      <c r="N292" s="934" t="s">
        <v>9</v>
      </c>
      <c r="O292" s="934" t="s">
        <v>8</v>
      </c>
      <c r="P292" s="75" t="str">
        <f>IF(AND('331-CT'!$E$7=TH!H292,OR(N292="331",O292="331")),"x","")</f>
        <v/>
      </c>
      <c r="Q292" s="75" t="str">
        <f>IF(AND(B292='111'!$L$11,OR($N292=$Q$7,$O292=$Q$7)),"x","")</f>
        <v/>
      </c>
      <c r="R292" s="75" t="str">
        <f>IF(AND($N292=$Q$7,$B292&lt;'111'!$L$11),"x","")</f>
        <v/>
      </c>
      <c r="S292" s="75" t="str">
        <f>IF(AND($O292=$Q$7,$B292&lt;'111'!$L$11),"x","")</f>
        <v/>
      </c>
      <c r="T292" s="75" t="str">
        <f>IF(ISERROR(FIND('112'!$M$9,G292,1)),"",IF((AND(FIND('112'!$M$9,G292,1)&gt;=1,B292='112'!$K$9,OR($N292='112'!$I$6,$O292='112'!$I$6))),"x",""))</f>
        <v/>
      </c>
      <c r="U292" s="75" t="str">
        <f>IF(ISERROR(FIND('112'!$M$9,G292,1)),"",IF((AND(LEFT(G292,2)=LEFT('112'!$M$9,2),B292&lt;'112'!$K$9,$N292='112'!$I$6)),"x",""))</f>
        <v/>
      </c>
      <c r="V292" s="75" t="str">
        <f>IF(ISERROR(FIND('112'!$M$9,G292,1)),"",IF((AND(RIGHT(G292,2)=RIGHT('112'!$M$9,2),B292&lt;'112'!$K$9,$O292='112'!$I$6)),"x",""))</f>
        <v/>
      </c>
      <c r="W292" s="75" t="str">
        <f>IF(AND('341-CT'!$H$9=H292,OR(LEFT(N292,3)=$W$7,LEFT(O292,3)=$W$7)),"x","")</f>
        <v/>
      </c>
      <c r="X292" s="75" t="str">
        <f>IF(OR(TH!N292=TH!$X$7,O292=TH!$X$7),"x","")</f>
        <v/>
      </c>
      <c r="Y292" s="75" t="str">
        <f>IF(AND(OR(N292="131",O292="131"),H292='131-CT'!$H$9),"x","")</f>
        <v/>
      </c>
      <c r="Z292" s="75"/>
      <c r="AA292" s="75" t="str">
        <f>IF(AND(MONTH(E292)='IN-NX'!$J$5,'IN-NX'!$D$7=D292),"x","")</f>
        <v/>
      </c>
      <c r="AB292" s="75" t="str">
        <f>IF(AND(OR(LEFT(TH!N292,2)="15",LEFT(TH!O292,2)="15"),LEFT(TH!O292,3)&lt;&gt;"111",'152-CT'!$J$8=TH!F292),"x","")</f>
        <v/>
      </c>
      <c r="AC292" s="75" t="str">
        <f>IF(AND(OR(LEFT(TH!N292,2)="15",LEFT(TH!O292,2)="15"),TK!$E$7=TH!F292),"x","")</f>
        <v/>
      </c>
      <c r="AD292" s="75" t="str">
        <f>IF(AND(N292="1521",MONTH(C292)='BK-NL'!$M$11),"x","")</f>
        <v/>
      </c>
    </row>
    <row r="293" spans="1:30" ht="16.5" customHeight="1">
      <c r="A293" s="309" t="str">
        <f>IF(B293&lt;&gt;"",IF(AND(B293='IN-TC'!$S$4,OR(TH!N293="1111",TH!O293="1111")),TH!D293,""),"")</f>
        <v/>
      </c>
      <c r="B293" s="1058">
        <f t="shared" si="60"/>
        <v>1</v>
      </c>
      <c r="C293" s="929">
        <v>42766</v>
      </c>
      <c r="D293" s="929" t="s">
        <v>530</v>
      </c>
      <c r="E293" s="929">
        <v>42766</v>
      </c>
      <c r="F293" s="930" t="s">
        <v>808</v>
      </c>
      <c r="G293" s="931" t="s">
        <v>813</v>
      </c>
      <c r="H293" s="296" t="s">
        <v>622</v>
      </c>
      <c r="I293" s="371"/>
      <c r="J293" s="932"/>
      <c r="K293" s="371"/>
      <c r="L293" s="377"/>
      <c r="M293" s="933">
        <v>45400000</v>
      </c>
      <c r="N293" s="934" t="s">
        <v>539</v>
      </c>
      <c r="O293" s="934" t="s">
        <v>8</v>
      </c>
      <c r="P293" s="75" t="str">
        <f>IF(AND('331-CT'!$E$7=TH!H293,OR(N293="331",O293="331")),"x","")</f>
        <v/>
      </c>
      <c r="Q293" s="75" t="str">
        <f>IF(AND(B293='111'!$L$11,OR($N293=$Q$7,$O293=$Q$7)),"x","")</f>
        <v/>
      </c>
      <c r="R293" s="75" t="str">
        <f>IF(AND($N293=$Q$7,$B293&lt;'111'!$L$11),"x","")</f>
        <v/>
      </c>
      <c r="S293" s="75" t="str">
        <f>IF(AND($O293=$Q$7,$B293&lt;'111'!$L$11),"x","")</f>
        <v/>
      </c>
      <c r="T293" s="75" t="str">
        <f>IF(ISERROR(FIND('112'!$M$9,G293,1)),"",IF((AND(FIND('112'!$M$9,G293,1)&gt;=1,B293='112'!$K$9,OR($N293='112'!$I$6,$O293='112'!$I$6))),"x",""))</f>
        <v/>
      </c>
      <c r="U293" s="75" t="str">
        <f>IF(ISERROR(FIND('112'!$M$9,G293,1)),"",IF((AND(LEFT(G293,2)=LEFT('112'!$M$9,2),B293&lt;'112'!$K$9,$N293='112'!$I$6)),"x",""))</f>
        <v/>
      </c>
      <c r="V293" s="75" t="str">
        <f>IF(ISERROR(FIND('112'!$M$9,G293,1)),"",IF((AND(RIGHT(G293,2)=RIGHT('112'!$M$9,2),B293&lt;'112'!$K$9,$O293='112'!$I$6)),"x",""))</f>
        <v/>
      </c>
      <c r="W293" s="75" t="str">
        <f>IF(AND('341-CT'!$H$9=H293,OR(LEFT(N293,3)=$W$7,LEFT(O293,3)=$W$7)),"x","")</f>
        <v/>
      </c>
      <c r="X293" s="75" t="str">
        <f>IF(OR(TH!N293=TH!$X$7,O293=TH!$X$7),"x","")</f>
        <v/>
      </c>
      <c r="Y293" s="75" t="str">
        <f>IF(AND(OR(N293="131",O293="131"),H293='131-CT'!$H$9),"x","")</f>
        <v/>
      </c>
      <c r="Z293" s="75"/>
      <c r="AA293" s="75" t="str">
        <f>IF(AND(MONTH(E293)='IN-NX'!$J$5,'IN-NX'!$D$7=D293),"x","")</f>
        <v/>
      </c>
      <c r="AB293" s="75" t="str">
        <f>IF(AND(OR(LEFT(TH!N293,2)="15",LEFT(TH!O293,2)="15"),LEFT(TH!O293,3)&lt;&gt;"111",'152-CT'!$J$8=TH!F293),"x","")</f>
        <v/>
      </c>
      <c r="AC293" s="75" t="str">
        <f>IF(AND(OR(LEFT(TH!N293,2)="15",LEFT(TH!O293,2)="15"),TK!$E$7=TH!F293),"x","")</f>
        <v/>
      </c>
      <c r="AD293" s="75" t="str">
        <f>IF(AND(N293="1521",MONTH(C293)='BK-NL'!$M$11),"x","")</f>
        <v/>
      </c>
    </row>
    <row r="294" spans="1:30" ht="16.5" customHeight="1">
      <c r="A294" s="309" t="str">
        <f>IF(B294&lt;&gt;"",IF(AND(B294='IN-TC'!$S$4,OR(TH!N294="1111",TH!O294="1111")),TH!D294,""),"")</f>
        <v/>
      </c>
      <c r="B294" s="1058">
        <f t="shared" si="60"/>
        <v>1</v>
      </c>
      <c r="C294" s="929">
        <v>42766</v>
      </c>
      <c r="D294" s="929" t="s">
        <v>530</v>
      </c>
      <c r="E294" s="929">
        <v>42766</v>
      </c>
      <c r="F294" s="930" t="s">
        <v>810</v>
      </c>
      <c r="G294" s="931" t="s">
        <v>814</v>
      </c>
      <c r="H294" s="296" t="s">
        <v>622</v>
      </c>
      <c r="I294" s="371"/>
      <c r="J294" s="932"/>
      <c r="K294" s="371"/>
      <c r="L294" s="377"/>
      <c r="M294" s="933">
        <v>20588900</v>
      </c>
      <c r="N294" s="934" t="s">
        <v>539</v>
      </c>
      <c r="O294" s="934" t="s">
        <v>8</v>
      </c>
      <c r="P294" s="75" t="str">
        <f>IF(AND('331-CT'!$E$7=TH!H294,OR(N294="331",O294="331")),"x","")</f>
        <v/>
      </c>
      <c r="Q294" s="75" t="str">
        <f>IF(AND(B294='111'!$L$11,OR($N294=$Q$7,$O294=$Q$7)),"x","")</f>
        <v/>
      </c>
      <c r="R294" s="75" t="str">
        <f>IF(AND($N294=$Q$7,$B294&lt;'111'!$L$11),"x","")</f>
        <v/>
      </c>
      <c r="S294" s="75" t="str">
        <f>IF(AND($O294=$Q$7,$B294&lt;'111'!$L$11),"x","")</f>
        <v/>
      </c>
      <c r="T294" s="75" t="str">
        <f>IF(ISERROR(FIND('112'!$M$9,G294,1)),"",IF((AND(FIND('112'!$M$9,G294,1)&gt;=1,B294='112'!$K$9,OR($N294='112'!$I$6,$O294='112'!$I$6))),"x",""))</f>
        <v/>
      </c>
      <c r="U294" s="75" t="str">
        <f>IF(ISERROR(FIND('112'!$M$9,G294,1)),"",IF((AND(LEFT(G294,2)=LEFT('112'!$M$9,2),B294&lt;'112'!$K$9,$N294='112'!$I$6)),"x",""))</f>
        <v/>
      </c>
      <c r="V294" s="75" t="str">
        <f>IF(ISERROR(FIND('112'!$M$9,G294,1)),"",IF((AND(RIGHT(G294,2)=RIGHT('112'!$M$9,2),B294&lt;'112'!$K$9,$O294='112'!$I$6)),"x",""))</f>
        <v/>
      </c>
      <c r="W294" s="75" t="str">
        <f>IF(AND('341-CT'!$H$9=H294,OR(LEFT(N294,3)=$W$7,LEFT(O294,3)=$W$7)),"x","")</f>
        <v/>
      </c>
      <c r="X294" s="75" t="str">
        <f>IF(OR(TH!N294=TH!$X$7,O294=TH!$X$7),"x","")</f>
        <v/>
      </c>
      <c r="Y294" s="75" t="str">
        <f>IF(AND(OR(N294="131",O294="131"),H294='131-CT'!$H$9),"x","")</f>
        <v/>
      </c>
      <c r="Z294" s="75"/>
      <c r="AA294" s="75" t="str">
        <f>IF(AND(MONTH(E294)='IN-NX'!$J$5,'IN-NX'!$D$7=D294),"x","")</f>
        <v/>
      </c>
      <c r="AB294" s="75" t="str">
        <f>IF(AND(OR(LEFT(TH!N294,2)="15",LEFT(TH!O294,2)="15"),LEFT(TH!O294,3)&lt;&gt;"111",'152-CT'!$J$8=TH!F294),"x","")</f>
        <v/>
      </c>
      <c r="AC294" s="75" t="str">
        <f>IF(AND(OR(LEFT(TH!N294,2)="15",LEFT(TH!O294,2)="15"),TK!$E$7=TH!F294),"x","")</f>
        <v/>
      </c>
      <c r="AD294" s="75" t="str">
        <f>IF(AND(N294="1521",MONTH(C294)='BK-NL'!$M$11),"x","")</f>
        <v/>
      </c>
    </row>
    <row r="295" spans="1:30" ht="16.5" customHeight="1">
      <c r="A295" s="309" t="str">
        <f>IF(B295&lt;&gt;"",IF(AND(B295='IN-TC'!$S$4,OR(TH!N295="1111",TH!O295="1111")),TH!D295,""),"")</f>
        <v/>
      </c>
      <c r="B295" s="1058">
        <f t="shared" si="60"/>
        <v>1</v>
      </c>
      <c r="C295" s="929">
        <v>42766</v>
      </c>
      <c r="D295" s="929" t="s">
        <v>530</v>
      </c>
      <c r="E295" s="929">
        <v>42766</v>
      </c>
      <c r="F295" s="930" t="s">
        <v>811</v>
      </c>
      <c r="G295" s="931" t="s">
        <v>814</v>
      </c>
      <c r="H295" s="296" t="s">
        <v>622</v>
      </c>
      <c r="I295" s="371"/>
      <c r="J295" s="932"/>
      <c r="K295" s="371"/>
      <c r="L295" s="377"/>
      <c r="M295" s="933">
        <v>2058890</v>
      </c>
      <c r="N295" s="934" t="s">
        <v>9</v>
      </c>
      <c r="O295" s="934" t="s">
        <v>8</v>
      </c>
      <c r="P295" s="75" t="str">
        <f>IF(AND('331-CT'!$E$7=TH!H295,OR(N295="331",O295="331")),"x","")</f>
        <v/>
      </c>
      <c r="Q295" s="75" t="str">
        <f>IF(AND(B295='111'!$L$11,OR($N295=$Q$7,$O295=$Q$7)),"x","")</f>
        <v/>
      </c>
      <c r="R295" s="75" t="str">
        <f>IF(AND($N295=$Q$7,$B295&lt;'111'!$L$11),"x","")</f>
        <v/>
      </c>
      <c r="S295" s="75" t="str">
        <f>IF(AND($O295=$Q$7,$B295&lt;'111'!$L$11),"x","")</f>
        <v/>
      </c>
      <c r="T295" s="75" t="str">
        <f>IF(ISERROR(FIND('112'!$M$9,G295,1)),"",IF((AND(FIND('112'!$M$9,G295,1)&gt;=1,B295='112'!$K$9,OR($N295='112'!$I$6,$O295='112'!$I$6))),"x",""))</f>
        <v/>
      </c>
      <c r="U295" s="75" t="str">
        <f>IF(ISERROR(FIND('112'!$M$9,G295,1)),"",IF((AND(LEFT(G295,2)=LEFT('112'!$M$9,2),B295&lt;'112'!$K$9,$N295='112'!$I$6)),"x",""))</f>
        <v/>
      </c>
      <c r="V295" s="75" t="str">
        <f>IF(ISERROR(FIND('112'!$M$9,G295,1)),"",IF((AND(RIGHT(G295,2)=RIGHT('112'!$M$9,2),B295&lt;'112'!$K$9,$O295='112'!$I$6)),"x",""))</f>
        <v/>
      </c>
      <c r="W295" s="75" t="str">
        <f>IF(AND('341-CT'!$H$9=H295,OR(LEFT(N295,3)=$W$7,LEFT(O295,3)=$W$7)),"x","")</f>
        <v/>
      </c>
      <c r="X295" s="75" t="str">
        <f>IF(OR(TH!N295=TH!$X$7,O295=TH!$X$7),"x","")</f>
        <v/>
      </c>
      <c r="Y295" s="75" t="str">
        <f>IF(AND(OR(N295="131",O295="131"),H295='131-CT'!$H$9),"x","")</f>
        <v/>
      </c>
      <c r="Z295" s="75"/>
      <c r="AA295" s="75" t="str">
        <f>IF(AND(MONTH(E295)='IN-NX'!$J$5,'IN-NX'!$D$7=D295),"x","")</f>
        <v/>
      </c>
      <c r="AB295" s="75" t="str">
        <f>IF(AND(OR(LEFT(TH!N295,2)="15",LEFT(TH!O295,2)="15"),LEFT(TH!O295,3)&lt;&gt;"111",'152-CT'!$J$8=TH!F295),"x","")</f>
        <v/>
      </c>
      <c r="AC295" s="75" t="str">
        <f>IF(AND(OR(LEFT(TH!N295,2)="15",LEFT(TH!O295,2)="15"),TK!$E$7=TH!F295),"x","")</f>
        <v/>
      </c>
      <c r="AD295" s="75" t="str">
        <f>IF(AND(N295="1521",MONTH(C295)='BK-NL'!$M$11),"x","")</f>
        <v/>
      </c>
    </row>
    <row r="296" spans="1:30" ht="16.5" customHeight="1">
      <c r="A296" s="309" t="str">
        <f>IF(B296&lt;&gt;"",IF(AND(B296='IN-TC'!$S$4,OR(TH!N296="1111",TH!O296="1111")),TH!D296,""),"")</f>
        <v/>
      </c>
      <c r="B296" s="1058">
        <f t="shared" si="60"/>
        <v>1</v>
      </c>
      <c r="C296" s="929">
        <v>42766</v>
      </c>
      <c r="D296" s="929" t="s">
        <v>530</v>
      </c>
      <c r="E296" s="929">
        <v>42748</v>
      </c>
      <c r="F296" s="930" t="s">
        <v>808</v>
      </c>
      <c r="G296" s="931" t="s">
        <v>825</v>
      </c>
      <c r="H296" s="73" t="s">
        <v>755</v>
      </c>
      <c r="I296" s="371"/>
      <c r="J296" s="932"/>
      <c r="K296" s="371"/>
      <c r="L296" s="377"/>
      <c r="M296" s="933">
        <v>7685700</v>
      </c>
      <c r="N296" s="934" t="s">
        <v>539</v>
      </c>
      <c r="O296" s="934" t="s">
        <v>8</v>
      </c>
      <c r="P296" s="75" t="str">
        <f>IF(AND('331-CT'!$E$7=TH!H296,OR(N296="331",O296="331")),"x","")</f>
        <v/>
      </c>
      <c r="Q296" s="75" t="str">
        <f>IF(AND(B296='111'!$L$11,OR($N296=$Q$7,$O296=$Q$7)),"x","")</f>
        <v/>
      </c>
      <c r="R296" s="75" t="str">
        <f>IF(AND($N296=$Q$7,$B296&lt;'111'!$L$11),"x","")</f>
        <v/>
      </c>
      <c r="S296" s="75" t="str">
        <f>IF(AND($O296=$Q$7,$B296&lt;'111'!$L$11),"x","")</f>
        <v/>
      </c>
      <c r="T296" s="75" t="str">
        <f>IF(ISERROR(FIND('112'!$M$9,G296,1)),"",IF((AND(FIND('112'!$M$9,G296,1)&gt;=1,B296='112'!$K$9,OR($N296='112'!$I$6,$O296='112'!$I$6))),"x",""))</f>
        <v/>
      </c>
      <c r="U296" s="75" t="str">
        <f>IF(ISERROR(FIND('112'!$M$9,G296,1)),"",IF((AND(LEFT(G296,2)=LEFT('112'!$M$9,2),B296&lt;'112'!$K$9,$N296='112'!$I$6)),"x",""))</f>
        <v/>
      </c>
      <c r="V296" s="75" t="str">
        <f>IF(ISERROR(FIND('112'!$M$9,G296,1)),"",IF((AND(RIGHT(G296,2)=RIGHT('112'!$M$9,2),B296&lt;'112'!$K$9,$O296='112'!$I$6)),"x",""))</f>
        <v/>
      </c>
      <c r="W296" s="75" t="str">
        <f>IF(AND('341-CT'!$H$9=H296,OR(LEFT(N296,3)=$W$7,LEFT(O296,3)=$W$7)),"x","")</f>
        <v/>
      </c>
      <c r="X296" s="75" t="str">
        <f>IF(OR(TH!N296=TH!$X$7,O296=TH!$X$7),"x","")</f>
        <v/>
      </c>
      <c r="Y296" s="75" t="str">
        <f>IF(AND(OR(N296="131",O296="131"),H296='131-CT'!$H$9),"x","")</f>
        <v/>
      </c>
      <c r="Z296" s="75"/>
      <c r="AA296" s="75" t="str">
        <f>IF(AND(MONTH(E296)='IN-NX'!$J$5,'IN-NX'!$D$7=D296),"x","")</f>
        <v/>
      </c>
      <c r="AB296" s="75" t="str">
        <f>IF(AND(OR(LEFT(TH!N296,2)="15",LEFT(TH!O296,2)="15"),LEFT(TH!O296,3)&lt;&gt;"111",'152-CT'!$J$8=TH!F296),"x","")</f>
        <v/>
      </c>
      <c r="AC296" s="75" t="str">
        <f>IF(AND(OR(LEFT(TH!N296,2)="15",LEFT(TH!O296,2)="15"),TK!$E$7=TH!F296),"x","")</f>
        <v/>
      </c>
      <c r="AD296" s="75" t="str">
        <f>IF(AND(N296="1521",MONTH(C296)='BK-NL'!$M$11),"x","")</f>
        <v/>
      </c>
    </row>
    <row r="297" spans="1:30" ht="16.5" customHeight="1">
      <c r="A297" s="309" t="str">
        <f>IF(B297&lt;&gt;"",IF(AND(B297='IN-TC'!$S$4,OR(TH!N297="1111",TH!O297="1111")),TH!D297,""),"")</f>
        <v/>
      </c>
      <c r="B297" s="1058">
        <f t="shared" si="60"/>
        <v>1</v>
      </c>
      <c r="C297" s="929">
        <v>42766</v>
      </c>
      <c r="D297" s="929" t="s">
        <v>530</v>
      </c>
      <c r="E297" s="929">
        <v>42748</v>
      </c>
      <c r="F297" s="930" t="s">
        <v>823</v>
      </c>
      <c r="G297" s="931" t="s">
        <v>826</v>
      </c>
      <c r="H297" s="73" t="s">
        <v>755</v>
      </c>
      <c r="I297" s="371"/>
      <c r="J297" s="932"/>
      <c r="K297" s="371"/>
      <c r="L297" s="377"/>
      <c r="M297" s="933">
        <v>3819490</v>
      </c>
      <c r="N297" s="934" t="s">
        <v>539</v>
      </c>
      <c r="O297" s="934" t="s">
        <v>8</v>
      </c>
      <c r="P297" s="75" t="str">
        <f>IF(AND('331-CT'!$E$7=TH!H297,OR(N297="331",O297="331")),"x","")</f>
        <v/>
      </c>
      <c r="Q297" s="75" t="str">
        <f>IF(AND(B297='111'!$L$11,OR($N297=$Q$7,$O297=$Q$7)),"x","")</f>
        <v/>
      </c>
      <c r="R297" s="75" t="str">
        <f>IF(AND($N297=$Q$7,$B297&lt;'111'!$L$11),"x","")</f>
        <v/>
      </c>
      <c r="S297" s="75" t="str">
        <f>IF(AND($O297=$Q$7,$B297&lt;'111'!$L$11),"x","")</f>
        <v/>
      </c>
      <c r="T297" s="75" t="str">
        <f>IF(ISERROR(FIND('112'!$M$9,G297,1)),"",IF((AND(FIND('112'!$M$9,G297,1)&gt;=1,B297='112'!$K$9,OR($N297='112'!$I$6,$O297='112'!$I$6))),"x",""))</f>
        <v/>
      </c>
      <c r="U297" s="75" t="str">
        <f>IF(ISERROR(FIND('112'!$M$9,G297,1)),"",IF((AND(LEFT(G297,2)=LEFT('112'!$M$9,2),B297&lt;'112'!$K$9,$N297='112'!$I$6)),"x",""))</f>
        <v/>
      </c>
      <c r="V297" s="75" t="str">
        <f>IF(ISERROR(FIND('112'!$M$9,G297,1)),"",IF((AND(RIGHT(G297,2)=RIGHT('112'!$M$9,2),B297&lt;'112'!$K$9,$O297='112'!$I$6)),"x",""))</f>
        <v/>
      </c>
      <c r="W297" s="75" t="str">
        <f>IF(AND('341-CT'!$H$9=H297,OR(LEFT(N297,3)=$W$7,LEFT(O297,3)=$W$7)),"x","")</f>
        <v/>
      </c>
      <c r="X297" s="75" t="str">
        <f>IF(OR(TH!N297=TH!$X$7,O297=TH!$X$7),"x","")</f>
        <v/>
      </c>
      <c r="Y297" s="75" t="str">
        <f>IF(AND(OR(N297="131",O297="131"),H297='131-CT'!$H$9),"x","")</f>
        <v/>
      </c>
      <c r="Z297" s="75"/>
      <c r="AA297" s="75" t="str">
        <f>IF(AND(MONTH(E297)='IN-NX'!$J$5,'IN-NX'!$D$7=D297),"x","")</f>
        <v/>
      </c>
      <c r="AB297" s="75" t="str">
        <f>IF(AND(OR(LEFT(TH!N297,2)="15",LEFT(TH!O297,2)="15"),LEFT(TH!O297,3)&lt;&gt;"111",'152-CT'!$J$8=TH!F297),"x","")</f>
        <v/>
      </c>
      <c r="AC297" s="75" t="str">
        <f>IF(AND(OR(LEFT(TH!N297,2)="15",LEFT(TH!O297,2)="15"),TK!$E$7=TH!F297),"x","")</f>
        <v/>
      </c>
      <c r="AD297" s="75" t="str">
        <f>IF(AND(N297="1521",MONTH(C297)='BK-NL'!$M$11),"x","")</f>
        <v/>
      </c>
    </row>
    <row r="298" spans="1:30" ht="16.5" customHeight="1">
      <c r="A298" s="309" t="str">
        <f>IF(B298&lt;&gt;"",IF(AND(B298='IN-TC'!$S$4,OR(TH!N298="1111",TH!O298="1111")),TH!D298,""),"")</f>
        <v/>
      </c>
      <c r="B298" s="1058">
        <f t="shared" si="60"/>
        <v>1</v>
      </c>
      <c r="C298" s="929">
        <v>42766</v>
      </c>
      <c r="D298" s="929" t="s">
        <v>530</v>
      </c>
      <c r="E298" s="929">
        <v>42748</v>
      </c>
      <c r="F298" s="930" t="s">
        <v>824</v>
      </c>
      <c r="G298" s="931" t="s">
        <v>826</v>
      </c>
      <c r="H298" s="73" t="s">
        <v>755</v>
      </c>
      <c r="I298" s="371"/>
      <c r="J298" s="932"/>
      <c r="K298" s="371"/>
      <c r="L298" s="377"/>
      <c r="M298" s="933">
        <v>381949</v>
      </c>
      <c r="N298" s="934" t="s">
        <v>9</v>
      </c>
      <c r="O298" s="934" t="s">
        <v>8</v>
      </c>
      <c r="P298" s="75" t="str">
        <f>IF(AND('331-CT'!$E$7=TH!H298,OR(N298="331",O298="331")),"x","")</f>
        <v/>
      </c>
      <c r="Q298" s="75" t="str">
        <f>IF(AND(B298='111'!$L$11,OR($N298=$Q$7,$O298=$Q$7)),"x","")</f>
        <v/>
      </c>
      <c r="R298" s="75" t="str">
        <f>IF(AND($N298=$Q$7,$B298&lt;'111'!$L$11),"x","")</f>
        <v/>
      </c>
      <c r="S298" s="75" t="str">
        <f>IF(AND($O298=$Q$7,$B298&lt;'111'!$L$11),"x","")</f>
        <v/>
      </c>
      <c r="T298" s="75" t="str">
        <f>IF(ISERROR(FIND('112'!$M$9,G298,1)),"",IF((AND(FIND('112'!$M$9,G298,1)&gt;=1,B298='112'!$K$9,OR($N298='112'!$I$6,$O298='112'!$I$6))),"x",""))</f>
        <v/>
      </c>
      <c r="U298" s="75" t="str">
        <f>IF(ISERROR(FIND('112'!$M$9,G298,1)),"",IF((AND(LEFT(G298,2)=LEFT('112'!$M$9,2),B298&lt;'112'!$K$9,$N298='112'!$I$6)),"x",""))</f>
        <v/>
      </c>
      <c r="V298" s="75" t="str">
        <f>IF(ISERROR(FIND('112'!$M$9,G298,1)),"",IF((AND(RIGHT(G298,2)=RIGHT('112'!$M$9,2),B298&lt;'112'!$K$9,$O298='112'!$I$6)),"x",""))</f>
        <v/>
      </c>
      <c r="W298" s="75" t="str">
        <f>IF(AND('341-CT'!$H$9=H298,OR(LEFT(N298,3)=$W$7,LEFT(O298,3)=$W$7)),"x","")</f>
        <v/>
      </c>
      <c r="X298" s="75" t="str">
        <f>IF(OR(TH!N298=TH!$X$7,O298=TH!$X$7),"x","")</f>
        <v/>
      </c>
      <c r="Y298" s="75" t="str">
        <f>IF(AND(OR(N298="131",O298="131"),H298='131-CT'!$H$9),"x","")</f>
        <v/>
      </c>
      <c r="Z298" s="75"/>
      <c r="AA298" s="75" t="str">
        <f>IF(AND(MONTH(E298)='IN-NX'!$J$5,'IN-NX'!$D$7=D298),"x","")</f>
        <v/>
      </c>
      <c r="AB298" s="75" t="str">
        <f>IF(AND(OR(LEFT(TH!N298,2)="15",LEFT(TH!O298,2)="15"),LEFT(TH!O298,3)&lt;&gt;"111",'152-CT'!$J$8=TH!F298),"x","")</f>
        <v/>
      </c>
      <c r="AC298" s="75" t="str">
        <f>IF(AND(OR(LEFT(TH!N298,2)="15",LEFT(TH!O298,2)="15"),TK!$E$7=TH!F298),"x","")</f>
        <v/>
      </c>
      <c r="AD298" s="75" t="str">
        <f>IF(AND(N298="1521",MONTH(C298)='BK-NL'!$M$11),"x","")</f>
        <v/>
      </c>
    </row>
    <row r="299" spans="1:30" ht="16.5" customHeight="1">
      <c r="A299" s="309" t="str">
        <f>IF(B299&lt;&gt;"",IF(AND(B299='IN-TC'!$S$4,OR(TH!N299="1111",TH!O299="1111")),TH!D299,""),"")</f>
        <v/>
      </c>
      <c r="B299" s="1058">
        <f t="shared" si="60"/>
        <v>1</v>
      </c>
      <c r="C299" s="929">
        <v>42766</v>
      </c>
      <c r="D299" s="929" t="s">
        <v>530</v>
      </c>
      <c r="E299" s="929">
        <v>42751</v>
      </c>
      <c r="F299" s="930" t="s">
        <v>808</v>
      </c>
      <c r="G299" s="931" t="s">
        <v>827</v>
      </c>
      <c r="H299" s="73" t="s">
        <v>755</v>
      </c>
      <c r="I299" s="371"/>
      <c r="J299" s="932"/>
      <c r="K299" s="371"/>
      <c r="L299" s="377"/>
      <c r="M299" s="933">
        <v>7685700</v>
      </c>
      <c r="N299" s="934" t="s">
        <v>539</v>
      </c>
      <c r="O299" s="934" t="s">
        <v>8</v>
      </c>
      <c r="P299" s="75" t="str">
        <f>IF(AND('331-CT'!$E$7=TH!H299,OR(N299="331",O299="331")),"x","")</f>
        <v/>
      </c>
      <c r="Q299" s="75" t="str">
        <f>IF(AND(B299='111'!$L$11,OR($N299=$Q$7,$O299=$Q$7)),"x","")</f>
        <v/>
      </c>
      <c r="R299" s="75" t="str">
        <f>IF(AND($N299=$Q$7,$B299&lt;'111'!$L$11),"x","")</f>
        <v/>
      </c>
      <c r="S299" s="75" t="str">
        <f>IF(AND($O299=$Q$7,$B299&lt;'111'!$L$11),"x","")</f>
        <v/>
      </c>
      <c r="T299" s="75" t="str">
        <f>IF(ISERROR(FIND('112'!$M$9,G299,1)),"",IF((AND(FIND('112'!$M$9,G299,1)&gt;=1,B299='112'!$K$9,OR($N299='112'!$I$6,$O299='112'!$I$6))),"x",""))</f>
        <v/>
      </c>
      <c r="U299" s="75" t="str">
        <f>IF(ISERROR(FIND('112'!$M$9,G299,1)),"",IF((AND(LEFT(G299,2)=LEFT('112'!$M$9,2),B299&lt;'112'!$K$9,$N299='112'!$I$6)),"x",""))</f>
        <v/>
      </c>
      <c r="V299" s="75" t="str">
        <f>IF(ISERROR(FIND('112'!$M$9,G299,1)),"",IF((AND(RIGHT(G299,2)=RIGHT('112'!$M$9,2),B299&lt;'112'!$K$9,$O299='112'!$I$6)),"x",""))</f>
        <v/>
      </c>
      <c r="W299" s="75" t="str">
        <f>IF(AND('341-CT'!$H$9=H299,OR(LEFT(N299,3)=$W$7,LEFT(O299,3)=$W$7)),"x","")</f>
        <v/>
      </c>
      <c r="X299" s="75" t="str">
        <f>IF(OR(TH!N299=TH!$X$7,O299=TH!$X$7),"x","")</f>
        <v/>
      </c>
      <c r="Y299" s="75" t="str">
        <f>IF(AND(OR(N299="131",O299="131"),H299='131-CT'!$H$9),"x","")</f>
        <v/>
      </c>
      <c r="Z299" s="75"/>
      <c r="AA299" s="75" t="str">
        <f>IF(AND(MONTH(E299)='IN-NX'!$J$5,'IN-NX'!$D$7=D299),"x","")</f>
        <v/>
      </c>
      <c r="AB299" s="75" t="str">
        <f>IF(AND(OR(LEFT(TH!N299,2)="15",LEFT(TH!O299,2)="15"),LEFT(TH!O299,3)&lt;&gt;"111",'152-CT'!$J$8=TH!F299),"x","")</f>
        <v/>
      </c>
      <c r="AC299" s="75" t="str">
        <f>IF(AND(OR(LEFT(TH!N299,2)="15",LEFT(TH!O299,2)="15"),TK!$E$7=TH!F299),"x","")</f>
        <v/>
      </c>
      <c r="AD299" s="75" t="str">
        <f>IF(AND(N299="1521",MONTH(C299)='BK-NL'!$M$11),"x","")</f>
        <v/>
      </c>
    </row>
    <row r="300" spans="1:30" ht="16.5" customHeight="1">
      <c r="A300" s="309" t="str">
        <f>IF(B300&lt;&gt;"",IF(AND(B300='IN-TC'!$S$4,OR(TH!N300="1111",TH!O300="1111")),TH!D300,""),"")</f>
        <v/>
      </c>
      <c r="B300" s="1058">
        <f t="shared" si="60"/>
        <v>1</v>
      </c>
      <c r="C300" s="929">
        <v>42766</v>
      </c>
      <c r="D300" s="929" t="s">
        <v>530</v>
      </c>
      <c r="E300" s="929">
        <v>42751</v>
      </c>
      <c r="F300" s="930" t="s">
        <v>823</v>
      </c>
      <c r="G300" s="931" t="s">
        <v>828</v>
      </c>
      <c r="H300" s="73" t="s">
        <v>755</v>
      </c>
      <c r="I300" s="371"/>
      <c r="J300" s="932"/>
      <c r="K300" s="371"/>
      <c r="L300" s="377"/>
      <c r="M300" s="933">
        <v>3819490</v>
      </c>
      <c r="N300" s="934" t="s">
        <v>539</v>
      </c>
      <c r="O300" s="934" t="s">
        <v>8</v>
      </c>
      <c r="P300" s="75" t="str">
        <f>IF(AND('331-CT'!$E$7=TH!H300,OR(N300="331",O300="331")),"x","")</f>
        <v/>
      </c>
      <c r="Q300" s="75" t="str">
        <f>IF(AND(B300='111'!$L$11,OR($N300=$Q$7,$O300=$Q$7)),"x","")</f>
        <v/>
      </c>
      <c r="R300" s="75" t="str">
        <f>IF(AND($N300=$Q$7,$B300&lt;'111'!$L$11),"x","")</f>
        <v/>
      </c>
      <c r="S300" s="75" t="str">
        <f>IF(AND($O300=$Q$7,$B300&lt;'111'!$L$11),"x","")</f>
        <v/>
      </c>
      <c r="T300" s="75" t="str">
        <f>IF(ISERROR(FIND('112'!$M$9,G300,1)),"",IF((AND(FIND('112'!$M$9,G300,1)&gt;=1,B300='112'!$K$9,OR($N300='112'!$I$6,$O300='112'!$I$6))),"x",""))</f>
        <v/>
      </c>
      <c r="U300" s="75" t="str">
        <f>IF(ISERROR(FIND('112'!$M$9,G300,1)),"",IF((AND(LEFT(G300,2)=LEFT('112'!$M$9,2),B300&lt;'112'!$K$9,$N300='112'!$I$6)),"x",""))</f>
        <v/>
      </c>
      <c r="V300" s="75" t="str">
        <f>IF(ISERROR(FIND('112'!$M$9,G300,1)),"",IF((AND(RIGHT(G300,2)=RIGHT('112'!$M$9,2),B300&lt;'112'!$K$9,$O300='112'!$I$6)),"x",""))</f>
        <v/>
      </c>
      <c r="W300" s="75" t="str">
        <f>IF(AND('341-CT'!$H$9=H300,OR(LEFT(N300,3)=$W$7,LEFT(O300,3)=$W$7)),"x","")</f>
        <v/>
      </c>
      <c r="X300" s="75" t="str">
        <f>IF(OR(TH!N300=TH!$X$7,O300=TH!$X$7),"x","")</f>
        <v/>
      </c>
      <c r="Y300" s="75" t="str">
        <f>IF(AND(OR(N300="131",O300="131"),H300='131-CT'!$H$9),"x","")</f>
        <v/>
      </c>
      <c r="Z300" s="75"/>
      <c r="AA300" s="75" t="str">
        <f>IF(AND(MONTH(E300)='IN-NX'!$J$5,'IN-NX'!$D$7=D300),"x","")</f>
        <v/>
      </c>
      <c r="AB300" s="75" t="str">
        <f>IF(AND(OR(LEFT(TH!N300,2)="15",LEFT(TH!O300,2)="15"),LEFT(TH!O300,3)&lt;&gt;"111",'152-CT'!$J$8=TH!F300),"x","")</f>
        <v/>
      </c>
      <c r="AC300" s="75" t="str">
        <f>IF(AND(OR(LEFT(TH!N300,2)="15",LEFT(TH!O300,2)="15"),TK!$E$7=TH!F300),"x","")</f>
        <v/>
      </c>
      <c r="AD300" s="75" t="str">
        <f>IF(AND(N300="1521",MONTH(C300)='BK-NL'!$M$11),"x","")</f>
        <v/>
      </c>
    </row>
    <row r="301" spans="1:30" ht="16.5" customHeight="1">
      <c r="A301" s="309" t="str">
        <f>IF(B301&lt;&gt;"",IF(AND(B301='IN-TC'!$S$4,OR(TH!N301="1111",TH!O301="1111")),TH!D301,""),"")</f>
        <v/>
      </c>
      <c r="B301" s="1058">
        <f t="shared" si="60"/>
        <v>1</v>
      </c>
      <c r="C301" s="929">
        <v>42766</v>
      </c>
      <c r="D301" s="929" t="s">
        <v>530</v>
      </c>
      <c r="E301" s="929">
        <v>42751</v>
      </c>
      <c r="F301" s="930" t="s">
        <v>824</v>
      </c>
      <c r="G301" s="931" t="s">
        <v>828</v>
      </c>
      <c r="H301" s="73" t="s">
        <v>755</v>
      </c>
      <c r="I301" s="371"/>
      <c r="J301" s="932"/>
      <c r="K301" s="371"/>
      <c r="L301" s="377"/>
      <c r="M301" s="933">
        <v>381949</v>
      </c>
      <c r="N301" s="934" t="s">
        <v>9</v>
      </c>
      <c r="O301" s="934" t="s">
        <v>8</v>
      </c>
      <c r="P301" s="75" t="str">
        <f>IF(AND('331-CT'!$E$7=TH!H301,OR(N301="331",O301="331")),"x","")</f>
        <v/>
      </c>
      <c r="Q301" s="75" t="str">
        <f>IF(AND(B301='111'!$L$11,OR($N301=$Q$7,$O301=$Q$7)),"x","")</f>
        <v/>
      </c>
      <c r="R301" s="75" t="str">
        <f>IF(AND($N301=$Q$7,$B301&lt;'111'!$L$11),"x","")</f>
        <v/>
      </c>
      <c r="S301" s="75" t="str">
        <f>IF(AND($O301=$Q$7,$B301&lt;'111'!$L$11),"x","")</f>
        <v/>
      </c>
      <c r="T301" s="75" t="str">
        <f>IF(ISERROR(FIND('112'!$M$9,G301,1)),"",IF((AND(FIND('112'!$M$9,G301,1)&gt;=1,B301='112'!$K$9,OR($N301='112'!$I$6,$O301='112'!$I$6))),"x",""))</f>
        <v/>
      </c>
      <c r="U301" s="75" t="str">
        <f>IF(ISERROR(FIND('112'!$M$9,G301,1)),"",IF((AND(LEFT(G301,2)=LEFT('112'!$M$9,2),B301&lt;'112'!$K$9,$N301='112'!$I$6)),"x",""))</f>
        <v/>
      </c>
      <c r="V301" s="75" t="str">
        <f>IF(ISERROR(FIND('112'!$M$9,G301,1)),"",IF((AND(RIGHT(G301,2)=RIGHT('112'!$M$9,2),B301&lt;'112'!$K$9,$O301='112'!$I$6)),"x",""))</f>
        <v/>
      </c>
      <c r="W301" s="75" t="str">
        <f>IF(AND('341-CT'!$H$9=H301,OR(LEFT(N301,3)=$W$7,LEFT(O301,3)=$W$7)),"x","")</f>
        <v/>
      </c>
      <c r="X301" s="75" t="str">
        <f>IF(OR(TH!N301=TH!$X$7,O301=TH!$X$7),"x","")</f>
        <v/>
      </c>
      <c r="Y301" s="75" t="str">
        <f>IF(AND(OR(N301="131",O301="131"),H301='131-CT'!$H$9),"x","")</f>
        <v/>
      </c>
      <c r="Z301" s="75"/>
      <c r="AA301" s="75" t="str">
        <f>IF(AND(MONTH(E301)='IN-NX'!$J$5,'IN-NX'!$D$7=D301),"x","")</f>
        <v/>
      </c>
      <c r="AB301" s="75" t="str">
        <f>IF(AND(OR(LEFT(TH!N301,2)="15",LEFT(TH!O301,2)="15"),LEFT(TH!O301,3)&lt;&gt;"111",'152-CT'!$J$8=TH!F301),"x","")</f>
        <v/>
      </c>
      <c r="AC301" s="75" t="str">
        <f>IF(AND(OR(LEFT(TH!N301,2)="15",LEFT(TH!O301,2)="15"),TK!$E$7=TH!F301),"x","")</f>
        <v/>
      </c>
      <c r="AD301" s="75" t="str">
        <f>IF(AND(N301="1521",MONTH(C301)='BK-NL'!$M$11),"x","")</f>
        <v/>
      </c>
    </row>
    <row r="302" spans="1:30" ht="16.5" customHeight="1">
      <c r="A302" s="309" t="str">
        <f>IF(B302&lt;&gt;"",IF(AND(B302='IN-TC'!$S$4,OR(TH!N302="1111",TH!O302="1111")),TH!D302,""),"")</f>
        <v/>
      </c>
      <c r="B302" s="1058">
        <f t="shared" si="60"/>
        <v>1</v>
      </c>
      <c r="C302" s="929">
        <v>42766</v>
      </c>
      <c r="D302" s="929" t="s">
        <v>530</v>
      </c>
      <c r="E302" s="929">
        <v>42754</v>
      </c>
      <c r="F302" s="930" t="s">
        <v>808</v>
      </c>
      <c r="G302" s="931" t="s">
        <v>851</v>
      </c>
      <c r="H302" s="73" t="s">
        <v>755</v>
      </c>
      <c r="I302" s="371"/>
      <c r="J302" s="932"/>
      <c r="K302" s="371"/>
      <c r="L302" s="377"/>
      <c r="M302" s="933">
        <v>7685700</v>
      </c>
      <c r="N302" s="934" t="s">
        <v>539</v>
      </c>
      <c r="O302" s="934" t="s">
        <v>8</v>
      </c>
      <c r="P302" s="75" t="str">
        <f>IF(AND('331-CT'!$E$7=TH!H302,OR(N302="331",O302="331")),"x","")</f>
        <v/>
      </c>
      <c r="Q302" s="75" t="str">
        <f>IF(AND(B302='111'!$L$11,OR($N302=$Q$7,$O302=$Q$7)),"x","")</f>
        <v/>
      </c>
      <c r="R302" s="75" t="str">
        <f>IF(AND($N302=$Q$7,$B302&lt;'111'!$L$11),"x","")</f>
        <v/>
      </c>
      <c r="S302" s="75" t="str">
        <f>IF(AND($O302=$Q$7,$B302&lt;'111'!$L$11),"x","")</f>
        <v/>
      </c>
      <c r="T302" s="75" t="str">
        <f>IF(ISERROR(FIND('112'!$M$9,G302,1)),"",IF((AND(FIND('112'!$M$9,G302,1)&gt;=1,B302='112'!$K$9,OR($N302='112'!$I$6,$O302='112'!$I$6))),"x",""))</f>
        <v/>
      </c>
      <c r="U302" s="75" t="str">
        <f>IF(ISERROR(FIND('112'!$M$9,G302,1)),"",IF((AND(LEFT(G302,2)=LEFT('112'!$M$9,2),B302&lt;'112'!$K$9,$N302='112'!$I$6)),"x",""))</f>
        <v/>
      </c>
      <c r="V302" s="75" t="str">
        <f>IF(ISERROR(FIND('112'!$M$9,G302,1)),"",IF((AND(RIGHT(G302,2)=RIGHT('112'!$M$9,2),B302&lt;'112'!$K$9,$O302='112'!$I$6)),"x",""))</f>
        <v/>
      </c>
      <c r="W302" s="75" t="str">
        <f>IF(AND('341-CT'!$H$9=H302,OR(LEFT(N302,3)=$W$7,LEFT(O302,3)=$W$7)),"x","")</f>
        <v/>
      </c>
      <c r="X302" s="75" t="str">
        <f>IF(OR(TH!N302=TH!$X$7,O302=TH!$X$7),"x","")</f>
        <v/>
      </c>
      <c r="Y302" s="75" t="str">
        <f>IF(AND(OR(N302="131",O302="131"),H302='131-CT'!$H$9),"x","")</f>
        <v/>
      </c>
      <c r="Z302" s="75"/>
      <c r="AA302" s="75" t="str">
        <f>IF(AND(MONTH(E302)='IN-NX'!$J$5,'IN-NX'!$D$7=D302),"x","")</f>
        <v/>
      </c>
      <c r="AB302" s="75" t="str">
        <f>IF(AND(OR(LEFT(TH!N302,2)="15",LEFT(TH!O302,2)="15"),LEFT(TH!O302,3)&lt;&gt;"111",'152-CT'!$J$8=TH!F302),"x","")</f>
        <v/>
      </c>
      <c r="AC302" s="75" t="str">
        <f>IF(AND(OR(LEFT(TH!N302,2)="15",LEFT(TH!O302,2)="15"),TK!$E$7=TH!F302),"x","")</f>
        <v/>
      </c>
      <c r="AD302" s="75" t="str">
        <f>IF(AND(N302="1521",MONTH(C302)='BK-NL'!$M$11),"x","")</f>
        <v/>
      </c>
    </row>
    <row r="303" spans="1:30" ht="16.5" customHeight="1">
      <c r="A303" s="309" t="str">
        <f>IF(B303&lt;&gt;"",IF(AND(B303='IN-TC'!$S$4,OR(TH!N303="1111",TH!O303="1111")),TH!D303,""),"")</f>
        <v/>
      </c>
      <c r="B303" s="1058">
        <f t="shared" si="60"/>
        <v>1</v>
      </c>
      <c r="C303" s="929">
        <v>42766</v>
      </c>
      <c r="D303" s="929" t="s">
        <v>530</v>
      </c>
      <c r="E303" s="929">
        <v>42754</v>
      </c>
      <c r="F303" s="930" t="s">
        <v>823</v>
      </c>
      <c r="G303" s="931" t="s">
        <v>852</v>
      </c>
      <c r="H303" s="73" t="s">
        <v>755</v>
      </c>
      <c r="I303" s="371"/>
      <c r="J303" s="932"/>
      <c r="K303" s="371"/>
      <c r="L303" s="377"/>
      <c r="M303" s="933">
        <v>3819490</v>
      </c>
      <c r="N303" s="934" t="s">
        <v>539</v>
      </c>
      <c r="O303" s="934" t="s">
        <v>8</v>
      </c>
      <c r="P303" s="75" t="str">
        <f>IF(AND('331-CT'!$E$7=TH!H303,OR(N303="331",O303="331")),"x","")</f>
        <v/>
      </c>
      <c r="Q303" s="75" t="str">
        <f>IF(AND(B303='111'!$L$11,OR($N303=$Q$7,$O303=$Q$7)),"x","")</f>
        <v/>
      </c>
      <c r="R303" s="75" t="str">
        <f>IF(AND($N303=$Q$7,$B303&lt;'111'!$L$11),"x","")</f>
        <v/>
      </c>
      <c r="S303" s="75" t="str">
        <f>IF(AND($O303=$Q$7,$B303&lt;'111'!$L$11),"x","")</f>
        <v/>
      </c>
      <c r="T303" s="75" t="str">
        <f>IF(ISERROR(FIND('112'!$M$9,G303,1)),"",IF((AND(FIND('112'!$M$9,G303,1)&gt;=1,B303='112'!$K$9,OR($N303='112'!$I$6,$O303='112'!$I$6))),"x",""))</f>
        <v/>
      </c>
      <c r="U303" s="75" t="str">
        <f>IF(ISERROR(FIND('112'!$M$9,G303,1)),"",IF((AND(LEFT(G303,2)=LEFT('112'!$M$9,2),B303&lt;'112'!$K$9,$N303='112'!$I$6)),"x",""))</f>
        <v/>
      </c>
      <c r="V303" s="75" t="str">
        <f>IF(ISERROR(FIND('112'!$M$9,G303,1)),"",IF((AND(RIGHT(G303,2)=RIGHT('112'!$M$9,2),B303&lt;'112'!$K$9,$O303='112'!$I$6)),"x",""))</f>
        <v/>
      </c>
      <c r="W303" s="75" t="str">
        <f>IF(AND('341-CT'!$H$9=H303,OR(LEFT(N303,3)=$W$7,LEFT(O303,3)=$W$7)),"x","")</f>
        <v/>
      </c>
      <c r="X303" s="75" t="str">
        <f>IF(OR(TH!N303=TH!$X$7,O303=TH!$X$7),"x","")</f>
        <v/>
      </c>
      <c r="Y303" s="75" t="str">
        <f>IF(AND(OR(N303="131",O303="131"),H303='131-CT'!$H$9),"x","")</f>
        <v/>
      </c>
      <c r="Z303" s="75"/>
      <c r="AA303" s="75" t="str">
        <f>IF(AND(MONTH(E303)='IN-NX'!$J$5,'IN-NX'!$D$7=D303),"x","")</f>
        <v/>
      </c>
      <c r="AB303" s="75" t="str">
        <f>IF(AND(OR(LEFT(TH!N303,2)="15",LEFT(TH!O303,2)="15"),LEFT(TH!O303,3)&lt;&gt;"111",'152-CT'!$J$8=TH!F303),"x","")</f>
        <v/>
      </c>
      <c r="AC303" s="75" t="str">
        <f>IF(AND(OR(LEFT(TH!N303,2)="15",LEFT(TH!O303,2)="15"),TK!$E$7=TH!F303),"x","")</f>
        <v/>
      </c>
      <c r="AD303" s="75" t="str">
        <f>IF(AND(N303="1521",MONTH(C303)='BK-NL'!$M$11),"x","")</f>
        <v/>
      </c>
    </row>
    <row r="304" spans="1:30" ht="16.5" customHeight="1">
      <c r="A304" s="309" t="str">
        <f>IF(B304&lt;&gt;"",IF(AND(B304='IN-TC'!$S$4,OR(TH!N304="1111",TH!O304="1111")),TH!D304,""),"")</f>
        <v/>
      </c>
      <c r="B304" s="1058">
        <f t="shared" si="60"/>
        <v>1</v>
      </c>
      <c r="C304" s="929">
        <v>42766</v>
      </c>
      <c r="D304" s="929" t="s">
        <v>530</v>
      </c>
      <c r="E304" s="929">
        <v>42754</v>
      </c>
      <c r="F304" s="930" t="s">
        <v>824</v>
      </c>
      <c r="G304" s="931" t="s">
        <v>852</v>
      </c>
      <c r="H304" s="73" t="s">
        <v>755</v>
      </c>
      <c r="I304" s="371"/>
      <c r="J304" s="932"/>
      <c r="K304" s="371"/>
      <c r="L304" s="377"/>
      <c r="M304" s="933">
        <v>381949</v>
      </c>
      <c r="N304" s="934" t="s">
        <v>9</v>
      </c>
      <c r="O304" s="934" t="s">
        <v>8</v>
      </c>
      <c r="P304" s="75" t="str">
        <f>IF(AND('331-CT'!$E$7=TH!H304,OR(N304="331",O304="331")),"x","")</f>
        <v/>
      </c>
      <c r="Q304" s="75" t="str">
        <f>IF(AND(B304='111'!$L$11,OR($N304=$Q$7,$O304=$Q$7)),"x","")</f>
        <v/>
      </c>
      <c r="R304" s="75" t="str">
        <f>IF(AND($N304=$Q$7,$B304&lt;'111'!$L$11),"x","")</f>
        <v/>
      </c>
      <c r="S304" s="75" t="str">
        <f>IF(AND($O304=$Q$7,$B304&lt;'111'!$L$11),"x","")</f>
        <v/>
      </c>
      <c r="T304" s="75" t="str">
        <f>IF(ISERROR(FIND('112'!$M$9,G304,1)),"",IF((AND(FIND('112'!$M$9,G304,1)&gt;=1,B304='112'!$K$9,OR($N304='112'!$I$6,$O304='112'!$I$6))),"x",""))</f>
        <v/>
      </c>
      <c r="U304" s="75" t="str">
        <f>IF(ISERROR(FIND('112'!$M$9,G304,1)),"",IF((AND(LEFT(G304,2)=LEFT('112'!$M$9,2),B304&lt;'112'!$K$9,$N304='112'!$I$6)),"x",""))</f>
        <v/>
      </c>
      <c r="V304" s="75" t="str">
        <f>IF(ISERROR(FIND('112'!$M$9,G304,1)),"",IF((AND(RIGHT(G304,2)=RIGHT('112'!$M$9,2),B304&lt;'112'!$K$9,$O304='112'!$I$6)),"x",""))</f>
        <v/>
      </c>
      <c r="W304" s="75" t="str">
        <f>IF(AND('341-CT'!$H$9=H304,OR(LEFT(N304,3)=$W$7,LEFT(O304,3)=$W$7)),"x","")</f>
        <v/>
      </c>
      <c r="X304" s="75" t="str">
        <f>IF(OR(TH!N304=TH!$X$7,O304=TH!$X$7),"x","")</f>
        <v/>
      </c>
      <c r="Y304" s="75" t="str">
        <f>IF(AND(OR(N304="131",O304="131"),H304='131-CT'!$H$9),"x","")</f>
        <v/>
      </c>
      <c r="Z304" s="75"/>
      <c r="AA304" s="75" t="str">
        <f>IF(AND(MONTH(E304)='IN-NX'!$J$5,'IN-NX'!$D$7=D304),"x","")</f>
        <v/>
      </c>
      <c r="AB304" s="75" t="str">
        <f>IF(AND(OR(LEFT(TH!N304,2)="15",LEFT(TH!O304,2)="15"),LEFT(TH!O304,3)&lt;&gt;"111",'152-CT'!$J$8=TH!F304),"x","")</f>
        <v/>
      </c>
      <c r="AC304" s="75" t="str">
        <f>IF(AND(OR(LEFT(TH!N304,2)="15",LEFT(TH!O304,2)="15"),TK!$E$7=TH!F304),"x","")</f>
        <v/>
      </c>
      <c r="AD304" s="75" t="str">
        <f>IF(AND(N304="1521",MONTH(C304)='BK-NL'!$M$11),"x","")</f>
        <v/>
      </c>
    </row>
    <row r="305" spans="1:30" ht="16.5" customHeight="1">
      <c r="A305" s="309" t="str">
        <f>IF(B305&lt;&gt;"",IF(AND(B305='IN-TC'!$S$4,OR(TH!N305="1111",TH!O305="1111")),TH!D305,""),"")</f>
        <v/>
      </c>
      <c r="B305" s="1058">
        <f t="shared" ref="B305:B323" si="61">IF(C305&lt;&gt;"",MONTH(C305),"")</f>
        <v>1</v>
      </c>
      <c r="C305" s="929">
        <v>42766</v>
      </c>
      <c r="D305" s="929" t="s">
        <v>530</v>
      </c>
      <c r="E305" s="929">
        <v>42766</v>
      </c>
      <c r="F305" s="930" t="s">
        <v>808</v>
      </c>
      <c r="G305" s="931" t="s">
        <v>859</v>
      </c>
      <c r="H305" s="296" t="s">
        <v>742</v>
      </c>
      <c r="I305" s="371"/>
      <c r="J305" s="932"/>
      <c r="K305" s="371"/>
      <c r="L305" s="377"/>
      <c r="M305" s="933">
        <v>29510000</v>
      </c>
      <c r="N305" s="934" t="s">
        <v>539</v>
      </c>
      <c r="O305" s="934" t="s">
        <v>8</v>
      </c>
      <c r="P305" s="75" t="str">
        <f>IF(AND('331-CT'!$E$7=TH!H305,OR(N305="331",O305="331")),"x","")</f>
        <v/>
      </c>
      <c r="Q305" s="75" t="str">
        <f>IF(AND(B305='111'!$L$11,OR($N305=$Q$7,$O305=$Q$7)),"x","")</f>
        <v/>
      </c>
      <c r="R305" s="75" t="str">
        <f>IF(AND($N305=$Q$7,$B305&lt;'111'!$L$11),"x","")</f>
        <v/>
      </c>
      <c r="S305" s="75" t="str">
        <f>IF(AND($O305=$Q$7,$B305&lt;'111'!$L$11),"x","")</f>
        <v/>
      </c>
      <c r="T305" s="75" t="str">
        <f>IF(ISERROR(FIND('112'!$M$9,G305,1)),"",IF((AND(FIND('112'!$M$9,G305,1)&gt;=1,B305='112'!$K$9,OR($N305='112'!$I$6,$O305='112'!$I$6))),"x",""))</f>
        <v/>
      </c>
      <c r="U305" s="75" t="str">
        <f>IF(ISERROR(FIND('112'!$M$9,G305,1)),"",IF((AND(LEFT(G305,2)=LEFT('112'!$M$9,2),B305&lt;'112'!$K$9,$N305='112'!$I$6)),"x",""))</f>
        <v/>
      </c>
      <c r="V305" s="75" t="str">
        <f>IF(ISERROR(FIND('112'!$M$9,G305,1)),"",IF((AND(RIGHT(G305,2)=RIGHT('112'!$M$9,2),B305&lt;'112'!$K$9,$O305='112'!$I$6)),"x",""))</f>
        <v/>
      </c>
      <c r="W305" s="75" t="str">
        <f>IF(AND('341-CT'!$H$9=H305,OR(LEFT(N305,3)=$W$7,LEFT(O305,3)=$W$7)),"x","")</f>
        <v/>
      </c>
      <c r="X305" s="75" t="str">
        <f>IF(OR(TH!N305=TH!$X$7,O305=TH!$X$7),"x","")</f>
        <v/>
      </c>
      <c r="Y305" s="75" t="str">
        <f>IF(AND(OR(N305="131",O305="131"),H305='131-CT'!$H$9),"x","")</f>
        <v/>
      </c>
      <c r="Z305" s="75"/>
      <c r="AA305" s="75" t="str">
        <f>IF(AND(MONTH(E305)='IN-NX'!$J$5,'IN-NX'!$D$7=D305),"x","")</f>
        <v/>
      </c>
      <c r="AB305" s="75" t="str">
        <f>IF(AND(OR(LEFT(TH!N305,2)="15",LEFT(TH!O305,2)="15"),LEFT(TH!O305,3)&lt;&gt;"111",'152-CT'!$J$8=TH!F305),"x","")</f>
        <v/>
      </c>
      <c r="AC305" s="75" t="str">
        <f>IF(AND(OR(LEFT(TH!N305,2)="15",LEFT(TH!O305,2)="15"),TK!$E$7=TH!F305),"x","")</f>
        <v/>
      </c>
      <c r="AD305" s="75" t="str">
        <f>IF(AND(N305="1521",MONTH(C305)='BK-NL'!$M$11),"x","")</f>
        <v/>
      </c>
    </row>
    <row r="306" spans="1:30" ht="16.5" customHeight="1">
      <c r="A306" s="309" t="str">
        <f>IF(B306&lt;&gt;"",IF(AND(B306='IN-TC'!$S$4,OR(TH!N306="1111",TH!O306="1111")),TH!D306,""),"")</f>
        <v/>
      </c>
      <c r="B306" s="1058">
        <f t="shared" si="61"/>
        <v>1</v>
      </c>
      <c r="C306" s="929">
        <v>42766</v>
      </c>
      <c r="D306" s="929" t="s">
        <v>530</v>
      </c>
      <c r="E306" s="929">
        <v>42766</v>
      </c>
      <c r="F306" s="930" t="s">
        <v>857</v>
      </c>
      <c r="G306" s="931" t="s">
        <v>860</v>
      </c>
      <c r="H306" s="296" t="s">
        <v>742</v>
      </c>
      <c r="I306" s="371"/>
      <c r="J306" s="932"/>
      <c r="K306" s="371"/>
      <c r="L306" s="377"/>
      <c r="M306" s="933">
        <v>9057300</v>
      </c>
      <c r="N306" s="934" t="s">
        <v>539</v>
      </c>
      <c r="O306" s="934" t="s">
        <v>8</v>
      </c>
      <c r="P306" s="75" t="str">
        <f>IF(AND('331-CT'!$E$7=TH!H306,OR(N306="331",O306="331")),"x","")</f>
        <v/>
      </c>
      <c r="Q306" s="75" t="str">
        <f>IF(AND(B306='111'!$L$11,OR($N306=$Q$7,$O306=$Q$7)),"x","")</f>
        <v/>
      </c>
      <c r="R306" s="75" t="str">
        <f>IF(AND($N306=$Q$7,$B306&lt;'111'!$L$11),"x","")</f>
        <v/>
      </c>
      <c r="S306" s="75" t="str">
        <f>IF(AND($O306=$Q$7,$B306&lt;'111'!$L$11),"x","")</f>
        <v/>
      </c>
      <c r="T306" s="75" t="str">
        <f>IF(ISERROR(FIND('112'!$M$9,G306,1)),"",IF((AND(FIND('112'!$M$9,G306,1)&gt;=1,B306='112'!$K$9,OR($N306='112'!$I$6,$O306='112'!$I$6))),"x",""))</f>
        <v/>
      </c>
      <c r="U306" s="75" t="str">
        <f>IF(ISERROR(FIND('112'!$M$9,G306,1)),"",IF((AND(LEFT(G306,2)=LEFT('112'!$M$9,2),B306&lt;'112'!$K$9,$N306='112'!$I$6)),"x",""))</f>
        <v/>
      </c>
      <c r="V306" s="75" t="str">
        <f>IF(ISERROR(FIND('112'!$M$9,G306,1)),"",IF((AND(RIGHT(G306,2)=RIGHT('112'!$M$9,2),B306&lt;'112'!$K$9,$O306='112'!$I$6)),"x",""))</f>
        <v/>
      </c>
      <c r="W306" s="75" t="str">
        <f>IF(AND('341-CT'!$H$9=H306,OR(LEFT(N306,3)=$W$7,LEFT(O306,3)=$W$7)),"x","")</f>
        <v/>
      </c>
      <c r="X306" s="75" t="str">
        <f>IF(OR(TH!N306=TH!$X$7,O306=TH!$X$7),"x","")</f>
        <v/>
      </c>
      <c r="Y306" s="75" t="str">
        <f>IF(AND(OR(N306="131",O306="131"),H306='131-CT'!$H$9),"x","")</f>
        <v/>
      </c>
      <c r="Z306" s="75"/>
      <c r="AA306" s="75" t="str">
        <f>IF(AND(MONTH(E306)='IN-NX'!$J$5,'IN-NX'!$D$7=D306),"x","")</f>
        <v/>
      </c>
      <c r="AB306" s="75" t="str">
        <f>IF(AND(OR(LEFT(TH!N306,2)="15",LEFT(TH!O306,2)="15"),LEFT(TH!O306,3)&lt;&gt;"111",'152-CT'!$J$8=TH!F306),"x","")</f>
        <v/>
      </c>
      <c r="AC306" s="75" t="str">
        <f>IF(AND(OR(LEFT(TH!N306,2)="15",LEFT(TH!O306,2)="15"),TK!$E$7=TH!F306),"x","")</f>
        <v/>
      </c>
      <c r="AD306" s="75" t="str">
        <f>IF(AND(N306="1521",MONTH(C306)='BK-NL'!$M$11),"x","")</f>
        <v/>
      </c>
    </row>
    <row r="307" spans="1:30" ht="16.5" customHeight="1">
      <c r="A307" s="309" t="str">
        <f>IF(B307&lt;&gt;"",IF(AND(B307='IN-TC'!$S$4,OR(TH!N307="1111",TH!O307="1111")),TH!D307,""),"")</f>
        <v/>
      </c>
      <c r="B307" s="1058">
        <f t="shared" si="61"/>
        <v>1</v>
      </c>
      <c r="C307" s="929">
        <v>42766</v>
      </c>
      <c r="D307" s="929" t="s">
        <v>530</v>
      </c>
      <c r="E307" s="929">
        <v>42766</v>
      </c>
      <c r="F307" s="930" t="s">
        <v>858</v>
      </c>
      <c r="G307" s="931" t="s">
        <v>860</v>
      </c>
      <c r="H307" s="296" t="s">
        <v>742</v>
      </c>
      <c r="I307" s="371"/>
      <c r="J307" s="932"/>
      <c r="K307" s="371"/>
      <c r="L307" s="377"/>
      <c r="M307" s="933">
        <v>905730</v>
      </c>
      <c r="N307" s="934" t="s">
        <v>9</v>
      </c>
      <c r="O307" s="934" t="s">
        <v>8</v>
      </c>
      <c r="P307" s="75" t="str">
        <f>IF(AND('331-CT'!$E$7=TH!H307,OR(N307="331",O307="331")),"x","")</f>
        <v/>
      </c>
      <c r="Q307" s="75" t="str">
        <f>IF(AND(B307='111'!$L$11,OR($N307=$Q$7,$O307=$Q$7)),"x","")</f>
        <v/>
      </c>
      <c r="R307" s="75" t="str">
        <f>IF(AND($N307=$Q$7,$B307&lt;'111'!$L$11),"x","")</f>
        <v/>
      </c>
      <c r="S307" s="75" t="str">
        <f>IF(AND($O307=$Q$7,$B307&lt;'111'!$L$11),"x","")</f>
        <v/>
      </c>
      <c r="T307" s="75" t="str">
        <f>IF(ISERROR(FIND('112'!$M$9,G307,1)),"",IF((AND(FIND('112'!$M$9,G307,1)&gt;=1,B307='112'!$K$9,OR($N307='112'!$I$6,$O307='112'!$I$6))),"x",""))</f>
        <v/>
      </c>
      <c r="U307" s="75" t="str">
        <f>IF(ISERROR(FIND('112'!$M$9,G307,1)),"",IF((AND(LEFT(G307,2)=LEFT('112'!$M$9,2),B307&lt;'112'!$K$9,$N307='112'!$I$6)),"x",""))</f>
        <v/>
      </c>
      <c r="V307" s="75" t="str">
        <f>IF(ISERROR(FIND('112'!$M$9,G307,1)),"",IF((AND(RIGHT(G307,2)=RIGHT('112'!$M$9,2),B307&lt;'112'!$K$9,$O307='112'!$I$6)),"x",""))</f>
        <v/>
      </c>
      <c r="W307" s="75" t="str">
        <f>IF(AND('341-CT'!$H$9=H307,OR(LEFT(N307,3)=$W$7,LEFT(O307,3)=$W$7)),"x","")</f>
        <v/>
      </c>
      <c r="X307" s="75" t="str">
        <f>IF(OR(TH!N307=TH!$X$7,O307=TH!$X$7),"x","")</f>
        <v/>
      </c>
      <c r="Y307" s="75" t="str">
        <f>IF(AND(OR(N307="131",O307="131"),H307='131-CT'!$H$9),"x","")</f>
        <v/>
      </c>
      <c r="Z307" s="75"/>
      <c r="AA307" s="75" t="str">
        <f>IF(AND(MONTH(E307)='IN-NX'!$J$5,'IN-NX'!$D$7=D307),"x","")</f>
        <v/>
      </c>
      <c r="AB307" s="75" t="str">
        <f>IF(AND(OR(LEFT(TH!N307,2)="15",LEFT(TH!O307,2)="15"),LEFT(TH!O307,3)&lt;&gt;"111",'152-CT'!$J$8=TH!F307),"x","")</f>
        <v/>
      </c>
      <c r="AC307" s="75" t="str">
        <f>IF(AND(OR(LEFT(TH!N307,2)="15",LEFT(TH!O307,2)="15"),TK!$E$7=TH!F307),"x","")</f>
        <v/>
      </c>
      <c r="AD307" s="75" t="str">
        <f>IF(AND(N307="1521",MONTH(C307)='BK-NL'!$M$11),"x","")</f>
        <v/>
      </c>
    </row>
    <row r="308" spans="1:30" ht="16.5" customHeight="1">
      <c r="A308" s="309" t="str">
        <f>IF(B308&lt;&gt;"",IF(AND(B308='IN-TC'!$S$4,OR(TH!N308="1111",TH!O308="1111")),TH!D308,""),"")</f>
        <v/>
      </c>
      <c r="B308" s="1058">
        <f t="shared" si="61"/>
        <v>1</v>
      </c>
      <c r="C308" s="929">
        <v>42766</v>
      </c>
      <c r="D308" s="929" t="s">
        <v>530</v>
      </c>
      <c r="E308" s="929">
        <v>42766</v>
      </c>
      <c r="F308" s="930" t="s">
        <v>808</v>
      </c>
      <c r="G308" s="931" t="s">
        <v>861</v>
      </c>
      <c r="H308" s="296" t="s">
        <v>742</v>
      </c>
      <c r="I308" s="371"/>
      <c r="J308" s="932"/>
      <c r="K308" s="371"/>
      <c r="L308" s="377"/>
      <c r="M308" s="933">
        <v>21474750</v>
      </c>
      <c r="N308" s="934" t="s">
        <v>539</v>
      </c>
      <c r="O308" s="934" t="s">
        <v>8</v>
      </c>
      <c r="P308" s="75" t="str">
        <f>IF(AND('331-CT'!$E$7=TH!H308,OR(N308="331",O308="331")),"x","")</f>
        <v/>
      </c>
      <c r="Q308" s="75" t="str">
        <f>IF(AND(B308='111'!$L$11,OR($N308=$Q$7,$O308=$Q$7)),"x","")</f>
        <v/>
      </c>
      <c r="R308" s="75" t="str">
        <f>IF(AND($N308=$Q$7,$B308&lt;'111'!$L$11),"x","")</f>
        <v/>
      </c>
      <c r="S308" s="75" t="str">
        <f>IF(AND($O308=$Q$7,$B308&lt;'111'!$L$11),"x","")</f>
        <v/>
      </c>
      <c r="T308" s="75" t="str">
        <f>IF(ISERROR(FIND('112'!$M$9,G308,1)),"",IF((AND(FIND('112'!$M$9,G308,1)&gt;=1,B308='112'!$K$9,OR($N308='112'!$I$6,$O308='112'!$I$6))),"x",""))</f>
        <v/>
      </c>
      <c r="U308" s="75" t="str">
        <f>IF(ISERROR(FIND('112'!$M$9,G308,1)),"",IF((AND(LEFT(G308,2)=LEFT('112'!$M$9,2),B308&lt;'112'!$K$9,$N308='112'!$I$6)),"x",""))</f>
        <v/>
      </c>
      <c r="V308" s="75" t="str">
        <f>IF(ISERROR(FIND('112'!$M$9,G308,1)),"",IF((AND(RIGHT(G308,2)=RIGHT('112'!$M$9,2),B308&lt;'112'!$K$9,$O308='112'!$I$6)),"x",""))</f>
        <v/>
      </c>
      <c r="W308" s="75" t="str">
        <f>IF(AND('341-CT'!$H$9=H308,OR(LEFT(N308,3)=$W$7,LEFT(O308,3)=$W$7)),"x","")</f>
        <v/>
      </c>
      <c r="X308" s="75" t="str">
        <f>IF(OR(TH!N308=TH!$X$7,O308=TH!$X$7),"x","")</f>
        <v/>
      </c>
      <c r="Y308" s="75" t="str">
        <f>IF(AND(OR(N308="131",O308="131"),H308='131-CT'!$H$9),"x","")</f>
        <v/>
      </c>
      <c r="Z308" s="75"/>
      <c r="AA308" s="75" t="str">
        <f>IF(AND(MONTH(E308)='IN-NX'!$J$5,'IN-NX'!$D$7=D308),"x","")</f>
        <v/>
      </c>
      <c r="AB308" s="75" t="str">
        <f>IF(AND(OR(LEFT(TH!N308,2)="15",LEFT(TH!O308,2)="15"),LEFT(TH!O308,3)&lt;&gt;"111",'152-CT'!$J$8=TH!F308),"x","")</f>
        <v/>
      </c>
      <c r="AC308" s="75" t="str">
        <f>IF(AND(OR(LEFT(TH!N308,2)="15",LEFT(TH!O308,2)="15"),TK!$E$7=TH!F308),"x","")</f>
        <v/>
      </c>
      <c r="AD308" s="75" t="str">
        <f>IF(AND(N308="1521",MONTH(C308)='BK-NL'!$M$11),"x","")</f>
        <v/>
      </c>
    </row>
    <row r="309" spans="1:30" ht="16.5" customHeight="1">
      <c r="A309" s="309" t="str">
        <f>IF(B309&lt;&gt;"",IF(AND(B309='IN-TC'!$S$4,OR(TH!N309="1111",TH!O309="1111")),TH!D309,""),"")</f>
        <v/>
      </c>
      <c r="B309" s="1058">
        <f t="shared" si="61"/>
        <v>1</v>
      </c>
      <c r="C309" s="929">
        <v>42766</v>
      </c>
      <c r="D309" s="929" t="s">
        <v>530</v>
      </c>
      <c r="E309" s="929">
        <v>42766</v>
      </c>
      <c r="F309" s="930" t="s">
        <v>855</v>
      </c>
      <c r="G309" s="931" t="s">
        <v>862</v>
      </c>
      <c r="H309" s="296" t="s">
        <v>742</v>
      </c>
      <c r="I309" s="371"/>
      <c r="J309" s="932"/>
      <c r="K309" s="371"/>
      <c r="L309" s="377"/>
      <c r="M309" s="933">
        <v>9064605</v>
      </c>
      <c r="N309" s="934" t="s">
        <v>539</v>
      </c>
      <c r="O309" s="934" t="s">
        <v>8</v>
      </c>
      <c r="P309" s="75" t="str">
        <f>IF(AND('331-CT'!$E$7=TH!H309,OR(N309="331",O309="331")),"x","")</f>
        <v/>
      </c>
      <c r="Q309" s="75" t="str">
        <f>IF(AND(B309='111'!$L$11,OR($N309=$Q$7,$O309=$Q$7)),"x","")</f>
        <v/>
      </c>
      <c r="R309" s="75" t="str">
        <f>IF(AND($N309=$Q$7,$B309&lt;'111'!$L$11),"x","")</f>
        <v/>
      </c>
      <c r="S309" s="75" t="str">
        <f>IF(AND($O309=$Q$7,$B309&lt;'111'!$L$11),"x","")</f>
        <v/>
      </c>
      <c r="T309" s="75" t="str">
        <f>IF(ISERROR(FIND('112'!$M$9,G309,1)),"",IF((AND(FIND('112'!$M$9,G309,1)&gt;=1,B309='112'!$K$9,OR($N309='112'!$I$6,$O309='112'!$I$6))),"x",""))</f>
        <v/>
      </c>
      <c r="U309" s="75" t="str">
        <f>IF(ISERROR(FIND('112'!$M$9,G309,1)),"",IF((AND(LEFT(G309,2)=LEFT('112'!$M$9,2),B309&lt;'112'!$K$9,$N309='112'!$I$6)),"x",""))</f>
        <v/>
      </c>
      <c r="V309" s="75" t="str">
        <f>IF(ISERROR(FIND('112'!$M$9,G309,1)),"",IF((AND(RIGHT(G309,2)=RIGHT('112'!$M$9,2),B309&lt;'112'!$K$9,$O309='112'!$I$6)),"x",""))</f>
        <v/>
      </c>
      <c r="W309" s="75" t="str">
        <f>IF(AND('341-CT'!$H$9=H309,OR(LEFT(N309,3)=$W$7,LEFT(O309,3)=$W$7)),"x","")</f>
        <v/>
      </c>
      <c r="X309" s="75" t="str">
        <f>IF(OR(TH!N309=TH!$X$7,O309=TH!$X$7),"x","")</f>
        <v/>
      </c>
      <c r="Y309" s="75" t="str">
        <f>IF(AND(OR(N309="131",O309="131"),H309='131-CT'!$H$9),"x","")</f>
        <v/>
      </c>
      <c r="Z309" s="75"/>
      <c r="AA309" s="75" t="str">
        <f>IF(AND(MONTH(E309)='IN-NX'!$J$5,'IN-NX'!$D$7=D309),"x","")</f>
        <v/>
      </c>
      <c r="AB309" s="75" t="str">
        <f>IF(AND(OR(LEFT(TH!N309,2)="15",LEFT(TH!O309,2)="15"),LEFT(TH!O309,3)&lt;&gt;"111",'152-CT'!$J$8=TH!F309),"x","")</f>
        <v/>
      </c>
      <c r="AC309" s="75" t="str">
        <f>IF(AND(OR(LEFT(TH!N309,2)="15",LEFT(TH!O309,2)="15"),TK!$E$7=TH!F309),"x","")</f>
        <v/>
      </c>
      <c r="AD309" s="75" t="str">
        <f>IF(AND(N309="1521",MONTH(C309)='BK-NL'!$M$11),"x","")</f>
        <v/>
      </c>
    </row>
    <row r="310" spans="1:30" ht="16.5" customHeight="1">
      <c r="A310" s="309" t="str">
        <f>IF(B310&lt;&gt;"",IF(AND(B310='IN-TC'!$S$4,OR(TH!N310="1111",TH!O310="1111")),TH!D310,""),"")</f>
        <v/>
      </c>
      <c r="B310" s="1058">
        <f t="shared" si="61"/>
        <v>1</v>
      </c>
      <c r="C310" s="929">
        <v>42766</v>
      </c>
      <c r="D310" s="929" t="s">
        <v>530</v>
      </c>
      <c r="E310" s="929">
        <v>42766</v>
      </c>
      <c r="F310" s="930" t="s">
        <v>856</v>
      </c>
      <c r="G310" s="931" t="s">
        <v>862</v>
      </c>
      <c r="H310" s="296" t="s">
        <v>742</v>
      </c>
      <c r="I310" s="371"/>
      <c r="J310" s="932"/>
      <c r="K310" s="371"/>
      <c r="L310" s="377"/>
      <c r="M310" s="933">
        <v>906461</v>
      </c>
      <c r="N310" s="934" t="s">
        <v>9</v>
      </c>
      <c r="O310" s="934" t="s">
        <v>8</v>
      </c>
      <c r="P310" s="75" t="str">
        <f>IF(AND('331-CT'!$E$7=TH!H310,OR(N310="331",O310="331")),"x","")</f>
        <v/>
      </c>
      <c r="Q310" s="75" t="str">
        <f>IF(AND(B310='111'!$L$11,OR($N310=$Q$7,$O310=$Q$7)),"x","")</f>
        <v/>
      </c>
      <c r="R310" s="75" t="str">
        <f>IF(AND($N310=$Q$7,$B310&lt;'111'!$L$11),"x","")</f>
        <v/>
      </c>
      <c r="S310" s="75" t="str">
        <f>IF(AND($O310=$Q$7,$B310&lt;'111'!$L$11),"x","")</f>
        <v/>
      </c>
      <c r="T310" s="75" t="str">
        <f>IF(ISERROR(FIND('112'!$M$9,G310,1)),"",IF((AND(FIND('112'!$M$9,G310,1)&gt;=1,B310='112'!$K$9,OR($N310='112'!$I$6,$O310='112'!$I$6))),"x",""))</f>
        <v/>
      </c>
      <c r="U310" s="75" t="str">
        <f>IF(ISERROR(FIND('112'!$M$9,G310,1)),"",IF((AND(LEFT(G310,2)=LEFT('112'!$M$9,2),B310&lt;'112'!$K$9,$N310='112'!$I$6)),"x",""))</f>
        <v/>
      </c>
      <c r="V310" s="75" t="str">
        <f>IF(ISERROR(FIND('112'!$M$9,G310,1)),"",IF((AND(RIGHT(G310,2)=RIGHT('112'!$M$9,2),B310&lt;'112'!$K$9,$O310='112'!$I$6)),"x",""))</f>
        <v/>
      </c>
      <c r="W310" s="75" t="str">
        <f>IF(AND('341-CT'!$H$9=H310,OR(LEFT(N310,3)=$W$7,LEFT(O310,3)=$W$7)),"x","")</f>
        <v/>
      </c>
      <c r="X310" s="75" t="str">
        <f>IF(OR(TH!N310=TH!$X$7,O310=TH!$X$7),"x","")</f>
        <v/>
      </c>
      <c r="Y310" s="75" t="str">
        <f>IF(AND(OR(N310="131",O310="131"),H310='131-CT'!$H$9),"x","")</f>
        <v/>
      </c>
      <c r="Z310" s="75"/>
      <c r="AA310" s="75" t="str">
        <f>IF(AND(MONTH(E310)='IN-NX'!$J$5,'IN-NX'!$D$7=D310),"x","")</f>
        <v/>
      </c>
      <c r="AB310" s="75" t="str">
        <f>IF(AND(OR(LEFT(TH!N310,2)="15",LEFT(TH!O310,2)="15"),LEFT(TH!O310,3)&lt;&gt;"111",'152-CT'!$J$8=TH!F310),"x","")</f>
        <v/>
      </c>
      <c r="AC310" s="75" t="str">
        <f>IF(AND(OR(LEFT(TH!N310,2)="15",LEFT(TH!O310,2)="15"),TK!$E$7=TH!F310),"x","")</f>
        <v/>
      </c>
      <c r="AD310" s="75" t="str">
        <f>IF(AND(N310="1521",MONTH(C310)='BK-NL'!$M$11),"x","")</f>
        <v/>
      </c>
    </row>
    <row r="311" spans="1:30" ht="16.5" customHeight="1">
      <c r="A311" s="309" t="str">
        <f>IF(B311&lt;&gt;"",IF(AND(B311='IN-TC'!$S$4,OR(TH!N311="1111",TH!O311="1111")),TH!D311,""),"")</f>
        <v/>
      </c>
      <c r="B311" s="1058">
        <f t="shared" si="61"/>
        <v>1</v>
      </c>
      <c r="C311" s="929">
        <v>42766</v>
      </c>
      <c r="D311" s="929" t="s">
        <v>530</v>
      </c>
      <c r="E311" s="929">
        <v>42734</v>
      </c>
      <c r="F311" s="930" t="s">
        <v>870</v>
      </c>
      <c r="G311" s="931" t="s">
        <v>873</v>
      </c>
      <c r="H311" s="296" t="s">
        <v>561</v>
      </c>
      <c r="I311" s="371"/>
      <c r="J311" s="932"/>
      <c r="K311" s="371"/>
      <c r="L311" s="377"/>
      <c r="M311" s="933">
        <v>12985000</v>
      </c>
      <c r="N311" s="934" t="s">
        <v>539</v>
      </c>
      <c r="O311" s="934" t="s">
        <v>8</v>
      </c>
      <c r="P311" s="75" t="str">
        <f>IF(AND('331-CT'!$E$7=TH!H311,OR(N311="331",O311="331")),"x","")</f>
        <v/>
      </c>
      <c r="Q311" s="75" t="str">
        <f>IF(AND(B311='111'!$L$11,OR($N311=$Q$7,$O311=$Q$7)),"x","")</f>
        <v/>
      </c>
      <c r="R311" s="75" t="str">
        <f>IF(AND($N311=$Q$7,$B311&lt;'111'!$L$11),"x","")</f>
        <v/>
      </c>
      <c r="S311" s="75" t="str">
        <f>IF(AND($O311=$Q$7,$B311&lt;'111'!$L$11),"x","")</f>
        <v/>
      </c>
      <c r="T311" s="75" t="str">
        <f>IF(ISERROR(FIND('112'!$M$9,G311,1)),"",IF((AND(FIND('112'!$M$9,G311,1)&gt;=1,B311='112'!$K$9,OR($N311='112'!$I$6,$O311='112'!$I$6))),"x",""))</f>
        <v/>
      </c>
      <c r="U311" s="75" t="str">
        <f>IF(ISERROR(FIND('112'!$M$9,G311,1)),"",IF((AND(LEFT(G311,2)=LEFT('112'!$M$9,2),B311&lt;'112'!$K$9,$N311='112'!$I$6)),"x",""))</f>
        <v/>
      </c>
      <c r="V311" s="75" t="str">
        <f>IF(ISERROR(FIND('112'!$M$9,G311,1)),"",IF((AND(RIGHT(G311,2)=RIGHT('112'!$M$9,2),B311&lt;'112'!$K$9,$O311='112'!$I$6)),"x",""))</f>
        <v/>
      </c>
      <c r="W311" s="75" t="str">
        <f>IF(AND('341-CT'!$H$9=H311,OR(LEFT(N311,3)=$W$7,LEFT(O311,3)=$W$7)),"x","")</f>
        <v/>
      </c>
      <c r="X311" s="75" t="str">
        <f>IF(OR(TH!N311=TH!$X$7,O311=TH!$X$7),"x","")</f>
        <v/>
      </c>
      <c r="Y311" s="75" t="str">
        <f>IF(AND(OR(N311="131",O311="131"),H311='131-CT'!$H$9),"x","")</f>
        <v/>
      </c>
      <c r="Z311" s="75"/>
      <c r="AA311" s="75" t="str">
        <f>IF(AND(MONTH(E311)='IN-NX'!$J$5,'IN-NX'!$D$7=D311),"x","")</f>
        <v/>
      </c>
      <c r="AB311" s="75" t="str">
        <f>IF(AND(OR(LEFT(TH!N311,2)="15",LEFT(TH!O311,2)="15"),LEFT(TH!O311,3)&lt;&gt;"111",'152-CT'!$J$8=TH!F311),"x","")</f>
        <v/>
      </c>
      <c r="AC311" s="75" t="str">
        <f>IF(AND(OR(LEFT(TH!N311,2)="15",LEFT(TH!O311,2)="15"),TK!$E$7=TH!F311),"x","")</f>
        <v/>
      </c>
      <c r="AD311" s="75" t="str">
        <f>IF(AND(N311="1521",MONTH(C311)='BK-NL'!$M$11),"x","")</f>
        <v/>
      </c>
    </row>
    <row r="312" spans="1:30" ht="16.5" customHeight="1">
      <c r="A312" s="309" t="str">
        <f>IF(B312&lt;&gt;"",IF(AND(B312='IN-TC'!$S$4,OR(TH!N312="1111",TH!O312="1111")),TH!D312,""),"")</f>
        <v/>
      </c>
      <c r="B312" s="1058">
        <f t="shared" si="61"/>
        <v>1</v>
      </c>
      <c r="C312" s="929">
        <v>42766</v>
      </c>
      <c r="D312" s="929" t="s">
        <v>530</v>
      </c>
      <c r="E312" s="929">
        <v>42734</v>
      </c>
      <c r="F312" s="930" t="s">
        <v>869</v>
      </c>
      <c r="G312" s="931" t="s">
        <v>871</v>
      </c>
      <c r="H312" s="296" t="s">
        <v>561</v>
      </c>
      <c r="I312" s="371"/>
      <c r="J312" s="932"/>
      <c r="K312" s="371"/>
      <c r="L312" s="377"/>
      <c r="M312" s="933">
        <v>1560000</v>
      </c>
      <c r="N312" s="934" t="s">
        <v>539</v>
      </c>
      <c r="O312" s="934" t="s">
        <v>8</v>
      </c>
      <c r="P312" s="75" t="str">
        <f>IF(AND('331-CT'!$E$7=TH!H312,OR(N312="331",O312="331")),"x","")</f>
        <v/>
      </c>
      <c r="Q312" s="75" t="str">
        <f>IF(AND(B312='111'!$L$11,OR($N312=$Q$7,$O312=$Q$7)),"x","")</f>
        <v/>
      </c>
      <c r="R312" s="75" t="str">
        <f>IF(AND($N312=$Q$7,$B312&lt;'111'!$L$11),"x","")</f>
        <v/>
      </c>
      <c r="S312" s="75" t="str">
        <f>IF(AND($O312=$Q$7,$B312&lt;'111'!$L$11),"x","")</f>
        <v/>
      </c>
      <c r="T312" s="75" t="str">
        <f>IF(ISERROR(FIND('112'!$M$9,G312,1)),"",IF((AND(FIND('112'!$M$9,G312,1)&gt;=1,B312='112'!$K$9,OR($N312='112'!$I$6,$O312='112'!$I$6))),"x",""))</f>
        <v/>
      </c>
      <c r="U312" s="75" t="str">
        <f>IF(ISERROR(FIND('112'!$M$9,G312,1)),"",IF((AND(LEFT(G312,2)=LEFT('112'!$M$9,2),B312&lt;'112'!$K$9,$N312='112'!$I$6)),"x",""))</f>
        <v/>
      </c>
      <c r="V312" s="75" t="str">
        <f>IF(ISERROR(FIND('112'!$M$9,G312,1)),"",IF((AND(RIGHT(G312,2)=RIGHT('112'!$M$9,2),B312&lt;'112'!$K$9,$O312='112'!$I$6)),"x",""))</f>
        <v/>
      </c>
      <c r="W312" s="75" t="str">
        <f>IF(AND('341-CT'!$H$9=H312,OR(LEFT(N312,3)=$W$7,LEFT(O312,3)=$W$7)),"x","")</f>
        <v/>
      </c>
      <c r="X312" s="75" t="str">
        <f>IF(OR(TH!N312=TH!$X$7,O312=TH!$X$7),"x","")</f>
        <v/>
      </c>
      <c r="Y312" s="75" t="str">
        <f>IF(AND(OR(N312="131",O312="131"),H312='131-CT'!$H$9),"x","")</f>
        <v/>
      </c>
      <c r="Z312" s="75"/>
      <c r="AA312" s="75" t="str">
        <f>IF(AND(MONTH(E312)='IN-NX'!$J$5,'IN-NX'!$D$7=D312),"x","")</f>
        <v/>
      </c>
      <c r="AB312" s="75" t="str">
        <f>IF(AND(OR(LEFT(TH!N312,2)="15",LEFT(TH!O312,2)="15"),LEFT(TH!O312,3)&lt;&gt;"111",'152-CT'!$J$8=TH!F312),"x","")</f>
        <v/>
      </c>
      <c r="AC312" s="75" t="str">
        <f>IF(AND(OR(LEFT(TH!N312,2)="15",LEFT(TH!O312,2)="15"),TK!$E$7=TH!F312),"x","")</f>
        <v/>
      </c>
      <c r="AD312" s="75" t="str">
        <f>IF(AND(N312="1521",MONTH(C312)='BK-NL'!$M$11),"x","")</f>
        <v/>
      </c>
    </row>
    <row r="313" spans="1:30" ht="16.5" customHeight="1">
      <c r="A313" s="309" t="str">
        <f>IF(B313&lt;&gt;"",IF(AND(B313='IN-TC'!$S$4,OR(TH!N313="1111",TH!O313="1111")),TH!D313,""),"")</f>
        <v/>
      </c>
      <c r="B313" s="1058">
        <f t="shared" si="61"/>
        <v>1</v>
      </c>
      <c r="C313" s="929">
        <v>42766</v>
      </c>
      <c r="D313" s="929" t="s">
        <v>530</v>
      </c>
      <c r="E313" s="929">
        <v>42734</v>
      </c>
      <c r="F313" s="930" t="s">
        <v>870</v>
      </c>
      <c r="G313" s="931" t="s">
        <v>874</v>
      </c>
      <c r="H313" s="296" t="s">
        <v>561</v>
      </c>
      <c r="I313" s="371"/>
      <c r="J313" s="932"/>
      <c r="K313" s="371"/>
      <c r="L313" s="377"/>
      <c r="M313" s="933">
        <v>7825000</v>
      </c>
      <c r="N313" s="934" t="s">
        <v>539</v>
      </c>
      <c r="O313" s="934" t="s">
        <v>8</v>
      </c>
      <c r="P313" s="75" t="str">
        <f>IF(AND('331-CT'!$E$7=TH!H313,OR(N313="331",O313="331")),"x","")</f>
        <v/>
      </c>
      <c r="Q313" s="75" t="str">
        <f>IF(AND(B313='111'!$L$11,OR($N313=$Q$7,$O313=$Q$7)),"x","")</f>
        <v/>
      </c>
      <c r="R313" s="75" t="str">
        <f>IF(AND($N313=$Q$7,$B313&lt;'111'!$L$11),"x","")</f>
        <v/>
      </c>
      <c r="S313" s="75" t="str">
        <f>IF(AND($O313=$Q$7,$B313&lt;'111'!$L$11),"x","")</f>
        <v/>
      </c>
      <c r="T313" s="75" t="str">
        <f>IF(ISERROR(FIND('112'!$M$9,G313,1)),"",IF((AND(FIND('112'!$M$9,G313,1)&gt;=1,B313='112'!$K$9,OR($N313='112'!$I$6,$O313='112'!$I$6))),"x",""))</f>
        <v/>
      </c>
      <c r="U313" s="75" t="str">
        <f>IF(ISERROR(FIND('112'!$M$9,G313,1)),"",IF((AND(LEFT(G313,2)=LEFT('112'!$M$9,2),B313&lt;'112'!$K$9,$N313='112'!$I$6)),"x",""))</f>
        <v/>
      </c>
      <c r="V313" s="75" t="str">
        <f>IF(ISERROR(FIND('112'!$M$9,G313,1)),"",IF((AND(RIGHT(G313,2)=RIGHT('112'!$M$9,2),B313&lt;'112'!$K$9,$O313='112'!$I$6)),"x",""))</f>
        <v/>
      </c>
      <c r="W313" s="75" t="str">
        <f>IF(AND('341-CT'!$H$9=H313,OR(LEFT(N313,3)=$W$7,LEFT(O313,3)=$W$7)),"x","")</f>
        <v/>
      </c>
      <c r="X313" s="75" t="str">
        <f>IF(OR(TH!N313=TH!$X$7,O313=TH!$X$7),"x","")</f>
        <v/>
      </c>
      <c r="Y313" s="75" t="str">
        <f>IF(AND(OR(N313="131",O313="131"),H313='131-CT'!$H$9),"x","")</f>
        <v/>
      </c>
      <c r="Z313" s="75"/>
      <c r="AA313" s="75" t="str">
        <f>IF(AND(MONTH(E313)='IN-NX'!$J$5,'IN-NX'!$D$7=D313),"x","")</f>
        <v/>
      </c>
      <c r="AB313" s="75" t="str">
        <f>IF(AND(OR(LEFT(TH!N313,2)="15",LEFT(TH!O313,2)="15"),LEFT(TH!O313,3)&lt;&gt;"111",'152-CT'!$J$8=TH!F313),"x","")</f>
        <v/>
      </c>
      <c r="AC313" s="75" t="str">
        <f>IF(AND(OR(LEFT(TH!N313,2)="15",LEFT(TH!O313,2)="15"),TK!$E$7=TH!F313),"x","")</f>
        <v/>
      </c>
      <c r="AD313" s="75" t="str">
        <f>IF(AND(N313="1521",MONTH(C313)='BK-NL'!$M$11),"x","")</f>
        <v/>
      </c>
    </row>
    <row r="314" spans="1:30" ht="16.5" customHeight="1">
      <c r="A314" s="309" t="str">
        <f>IF(B314&lt;&gt;"",IF(AND(B314='IN-TC'!$S$4,OR(TH!N314="1111",TH!O314="1111")),TH!D314,""),"")</f>
        <v/>
      </c>
      <c r="B314" s="1058">
        <f t="shared" si="61"/>
        <v>1</v>
      </c>
      <c r="C314" s="929">
        <v>42766</v>
      </c>
      <c r="D314" s="929" t="s">
        <v>530</v>
      </c>
      <c r="E314" s="929">
        <v>42734</v>
      </c>
      <c r="F314" s="930" t="s">
        <v>869</v>
      </c>
      <c r="G314" s="931" t="s">
        <v>872</v>
      </c>
      <c r="H314" s="296" t="s">
        <v>561</v>
      </c>
      <c r="I314" s="371"/>
      <c r="J314" s="932"/>
      <c r="K314" s="371"/>
      <c r="L314" s="377"/>
      <c r="M314" s="933">
        <v>1170000</v>
      </c>
      <c r="N314" s="934" t="s">
        <v>539</v>
      </c>
      <c r="O314" s="934" t="s">
        <v>8</v>
      </c>
      <c r="P314" s="75" t="str">
        <f>IF(AND('331-CT'!$E$7=TH!H314,OR(N314="331",O314="331")),"x","")</f>
        <v/>
      </c>
      <c r="Q314" s="75" t="str">
        <f>IF(AND(B314='111'!$L$11,OR($N314=$Q$7,$O314=$Q$7)),"x","")</f>
        <v/>
      </c>
      <c r="R314" s="75" t="str">
        <f>IF(AND($N314=$Q$7,$B314&lt;'111'!$L$11),"x","")</f>
        <v/>
      </c>
      <c r="S314" s="75" t="str">
        <f>IF(AND($O314=$Q$7,$B314&lt;'111'!$L$11),"x","")</f>
        <v/>
      </c>
      <c r="T314" s="75" t="str">
        <f>IF(ISERROR(FIND('112'!$M$9,G314,1)),"",IF((AND(FIND('112'!$M$9,G314,1)&gt;=1,B314='112'!$K$9,OR($N314='112'!$I$6,$O314='112'!$I$6))),"x",""))</f>
        <v/>
      </c>
      <c r="U314" s="75" t="str">
        <f>IF(ISERROR(FIND('112'!$M$9,G314,1)),"",IF((AND(LEFT(G314,2)=LEFT('112'!$M$9,2),B314&lt;'112'!$K$9,$N314='112'!$I$6)),"x",""))</f>
        <v/>
      </c>
      <c r="V314" s="75" t="str">
        <f>IF(ISERROR(FIND('112'!$M$9,G314,1)),"",IF((AND(RIGHT(G314,2)=RIGHT('112'!$M$9,2),B314&lt;'112'!$K$9,$O314='112'!$I$6)),"x",""))</f>
        <v/>
      </c>
      <c r="W314" s="75" t="str">
        <f>IF(AND('341-CT'!$H$9=H314,OR(LEFT(N314,3)=$W$7,LEFT(O314,3)=$W$7)),"x","")</f>
        <v/>
      </c>
      <c r="X314" s="75" t="str">
        <f>IF(OR(TH!N314=TH!$X$7,O314=TH!$X$7),"x","")</f>
        <v/>
      </c>
      <c r="Y314" s="75" t="str">
        <f>IF(AND(OR(N314="131",O314="131"),H314='131-CT'!$H$9),"x","")</f>
        <v/>
      </c>
      <c r="Z314" s="75"/>
      <c r="AA314" s="75" t="str">
        <f>IF(AND(MONTH(E314)='IN-NX'!$J$5,'IN-NX'!$D$7=D314),"x","")</f>
        <v/>
      </c>
      <c r="AB314" s="75" t="str">
        <f>IF(AND(OR(LEFT(TH!N314,2)="15",LEFT(TH!O314,2)="15"),LEFT(TH!O314,3)&lt;&gt;"111",'152-CT'!$J$8=TH!F314),"x","")</f>
        <v/>
      </c>
      <c r="AC314" s="75" t="str">
        <f>IF(AND(OR(LEFT(TH!N314,2)="15",LEFT(TH!O314,2)="15"),TK!$E$7=TH!F314),"x","")</f>
        <v/>
      </c>
      <c r="AD314" s="75" t="str">
        <f>IF(AND(N314="1521",MONTH(C314)='BK-NL'!$M$11),"x","")</f>
        <v/>
      </c>
    </row>
    <row r="315" spans="1:30" ht="16.5" customHeight="1">
      <c r="A315" s="309" t="str">
        <f>IF(B315&lt;&gt;"",IF(AND(B315='IN-TC'!$S$4,OR(TH!N315="1111",TH!O315="1111")),TH!D315,""),"")</f>
        <v/>
      </c>
      <c r="B315" s="1058">
        <f t="shared" si="61"/>
        <v>1</v>
      </c>
      <c r="C315" s="929">
        <v>42766</v>
      </c>
      <c r="D315" s="929" t="s">
        <v>530</v>
      </c>
      <c r="E315" s="929">
        <v>42766</v>
      </c>
      <c r="F315" s="930" t="s">
        <v>983</v>
      </c>
      <c r="G315" s="931" t="s">
        <v>989</v>
      </c>
      <c r="H315" s="735" t="s">
        <v>563</v>
      </c>
      <c r="I315" s="371"/>
      <c r="J315" s="932"/>
      <c r="K315" s="371"/>
      <c r="L315" s="377"/>
      <c r="M315" s="933">
        <v>33920800</v>
      </c>
      <c r="N315" s="934" t="s">
        <v>272</v>
      </c>
      <c r="O315" s="934" t="s">
        <v>8</v>
      </c>
      <c r="P315" s="75" t="str">
        <f>IF(AND('331-CT'!$E$7=TH!H315,OR(N315="331",O315="331")),"x","")</f>
        <v/>
      </c>
      <c r="Q315" s="75" t="str">
        <f>IF(AND(B315='111'!$L$11,OR($N315=$Q$7,$O315=$Q$7)),"x","")</f>
        <v/>
      </c>
      <c r="R315" s="75" t="str">
        <f>IF(AND($N315=$Q$7,$B315&lt;'111'!$L$11),"x","")</f>
        <v/>
      </c>
      <c r="S315" s="75" t="str">
        <f>IF(AND($O315=$Q$7,$B315&lt;'111'!$L$11),"x","")</f>
        <v/>
      </c>
      <c r="T315" s="75" t="str">
        <f>IF(ISERROR(FIND('112'!$M$9,G315,1)),"",IF((AND(FIND('112'!$M$9,G315,1)&gt;=1,B315='112'!$K$9,OR($N315='112'!$I$6,$O315='112'!$I$6))),"x",""))</f>
        <v/>
      </c>
      <c r="U315" s="75" t="str">
        <f>IF(ISERROR(FIND('112'!$M$9,G315,1)),"",IF((AND(LEFT(G315,2)=LEFT('112'!$M$9,2),B315&lt;'112'!$K$9,$N315='112'!$I$6)),"x",""))</f>
        <v/>
      </c>
      <c r="V315" s="75" t="str">
        <f>IF(ISERROR(FIND('112'!$M$9,G315,1)),"",IF((AND(RIGHT(G315,2)=RIGHT('112'!$M$9,2),B315&lt;'112'!$K$9,$O315='112'!$I$6)),"x",""))</f>
        <v/>
      </c>
      <c r="W315" s="75" t="str">
        <f>IF(AND('341-CT'!$H$9=H315,OR(LEFT(N315,3)=$W$7,LEFT(O315,3)=$W$7)),"x","")</f>
        <v/>
      </c>
      <c r="X315" s="75" t="str">
        <f>IF(OR(TH!N315=TH!$X$7,O315=TH!$X$7),"x","")</f>
        <v/>
      </c>
      <c r="Y315" s="75" t="str">
        <f>IF(AND(OR(N315="131",O315="131"),H315='131-CT'!$H$9),"x","")</f>
        <v/>
      </c>
      <c r="Z315" s="75"/>
      <c r="AA315" s="75" t="str">
        <f>IF(AND(MONTH(E315)='IN-NX'!$J$5,'IN-NX'!$D$7=D315),"x","")</f>
        <v/>
      </c>
      <c r="AB315" s="75" t="str">
        <f>IF(AND(OR(LEFT(TH!N315,2)="15",LEFT(TH!O315,2)="15"),LEFT(TH!O315,3)&lt;&gt;"111",'152-CT'!$J$8=TH!F315),"x","")</f>
        <v/>
      </c>
      <c r="AC315" s="75" t="str">
        <f>IF(AND(OR(LEFT(TH!N315,2)="15",LEFT(TH!O315,2)="15"),TK!$E$7=TH!F315),"x","")</f>
        <v/>
      </c>
      <c r="AD315" s="75" t="str">
        <f>IF(AND(N315="1521",MONTH(C315)='BK-NL'!$M$11),"x","")</f>
        <v/>
      </c>
    </row>
    <row r="316" spans="1:30" ht="16.5" customHeight="1">
      <c r="A316" s="309" t="str">
        <f>IF(B316&lt;&gt;"",IF(AND(B316='IN-TC'!$S$4,OR(TH!N316="1111",TH!O316="1111")),TH!D316,""),"")</f>
        <v/>
      </c>
      <c r="B316" s="1058">
        <f t="shared" si="61"/>
        <v>1</v>
      </c>
      <c r="C316" s="929">
        <v>42766</v>
      </c>
      <c r="D316" s="929" t="s">
        <v>530</v>
      </c>
      <c r="E316" s="929">
        <v>42766</v>
      </c>
      <c r="F316" s="930" t="s">
        <v>984</v>
      </c>
      <c r="G316" s="931" t="s">
        <v>989</v>
      </c>
      <c r="H316" s="735" t="s">
        <v>563</v>
      </c>
      <c r="I316" s="371"/>
      <c r="J316" s="932"/>
      <c r="K316" s="371"/>
      <c r="L316" s="377"/>
      <c r="M316" s="933">
        <v>3392080</v>
      </c>
      <c r="N316" s="934" t="s">
        <v>9</v>
      </c>
      <c r="O316" s="934" t="s">
        <v>8</v>
      </c>
      <c r="P316" s="75" t="str">
        <f>IF(AND('331-CT'!$E$7=TH!H316,OR(N316="331",O316="331")),"x","")</f>
        <v/>
      </c>
      <c r="Q316" s="75" t="str">
        <f>IF(AND(B316='111'!$L$11,OR($N316=$Q$7,$O316=$Q$7)),"x","")</f>
        <v/>
      </c>
      <c r="R316" s="75" t="str">
        <f>IF(AND($N316=$Q$7,$B316&lt;'111'!$L$11),"x","")</f>
        <v/>
      </c>
      <c r="S316" s="75" t="str">
        <f>IF(AND($O316=$Q$7,$B316&lt;'111'!$L$11),"x","")</f>
        <v/>
      </c>
      <c r="T316" s="75" t="str">
        <f>IF(ISERROR(FIND('112'!$M$9,G316,1)),"",IF((AND(FIND('112'!$M$9,G316,1)&gt;=1,B316='112'!$K$9,OR($N316='112'!$I$6,$O316='112'!$I$6))),"x",""))</f>
        <v/>
      </c>
      <c r="U316" s="75" t="str">
        <f>IF(ISERROR(FIND('112'!$M$9,G316,1)),"",IF((AND(LEFT(G316,2)=LEFT('112'!$M$9,2),B316&lt;'112'!$K$9,$N316='112'!$I$6)),"x",""))</f>
        <v/>
      </c>
      <c r="V316" s="75" t="str">
        <f>IF(ISERROR(FIND('112'!$M$9,G316,1)),"",IF((AND(RIGHT(G316,2)=RIGHT('112'!$M$9,2),B316&lt;'112'!$K$9,$O316='112'!$I$6)),"x",""))</f>
        <v/>
      </c>
      <c r="W316" s="75" t="str">
        <f>IF(AND('341-CT'!$H$9=H316,OR(LEFT(N316,3)=$W$7,LEFT(O316,3)=$W$7)),"x","")</f>
        <v/>
      </c>
      <c r="X316" s="75" t="str">
        <f>IF(OR(TH!N316=TH!$X$7,O316=TH!$X$7),"x","")</f>
        <v/>
      </c>
      <c r="Y316" s="75" t="str">
        <f>IF(AND(OR(N316="131",O316="131"),H316='131-CT'!$H$9),"x","")</f>
        <v/>
      </c>
      <c r="Z316" s="75"/>
      <c r="AA316" s="75" t="str">
        <f>IF(AND(MONTH(E316)='IN-NX'!$J$5,'IN-NX'!$D$7=D316),"x","")</f>
        <v/>
      </c>
      <c r="AB316" s="75" t="str">
        <f>IF(AND(OR(LEFT(TH!N316,2)="15",LEFT(TH!O316,2)="15"),LEFT(TH!O316,3)&lt;&gt;"111",'152-CT'!$J$8=TH!F316),"x","")</f>
        <v/>
      </c>
      <c r="AC316" s="75" t="str">
        <f>IF(AND(OR(LEFT(TH!N316,2)="15",LEFT(TH!O316,2)="15"),TK!$E$7=TH!F316),"x","")</f>
        <v/>
      </c>
      <c r="AD316" s="75" t="str">
        <f>IF(AND(N316="1521",MONTH(C316)='BK-NL'!$M$11),"x","")</f>
        <v/>
      </c>
    </row>
    <row r="317" spans="1:30" ht="16.5" customHeight="1">
      <c r="A317" s="309" t="str">
        <f>IF(B317&lt;&gt;"",IF(AND(B317='IN-TC'!$S$4,OR(TH!N317="1111",TH!O317="1111")),TH!D317,""),"")</f>
        <v/>
      </c>
      <c r="B317" s="1058">
        <f t="shared" si="61"/>
        <v>1</v>
      </c>
      <c r="C317" s="929">
        <v>42766</v>
      </c>
      <c r="D317" s="929" t="s">
        <v>530</v>
      </c>
      <c r="E317" s="929">
        <v>42766</v>
      </c>
      <c r="F317" s="930" t="s">
        <v>985</v>
      </c>
      <c r="G317" s="931" t="s">
        <v>990</v>
      </c>
      <c r="H317" s="735" t="s">
        <v>563</v>
      </c>
      <c r="I317" s="371"/>
      <c r="J317" s="932"/>
      <c r="K317" s="371"/>
      <c r="L317" s="377"/>
      <c r="M317" s="933">
        <v>26208400</v>
      </c>
      <c r="N317" s="934" t="s">
        <v>272</v>
      </c>
      <c r="O317" s="934" t="s">
        <v>8</v>
      </c>
      <c r="P317" s="75" t="str">
        <f>IF(AND('331-CT'!$E$7=TH!H317,OR(N317="331",O317="331")),"x","")</f>
        <v/>
      </c>
      <c r="Q317" s="75" t="str">
        <f>IF(AND(B317='111'!$L$11,OR($N317=$Q$7,$O317=$Q$7)),"x","")</f>
        <v/>
      </c>
      <c r="R317" s="75" t="str">
        <f>IF(AND($N317=$Q$7,$B317&lt;'111'!$L$11),"x","")</f>
        <v/>
      </c>
      <c r="S317" s="75" t="str">
        <f>IF(AND($O317=$Q$7,$B317&lt;'111'!$L$11),"x","")</f>
        <v/>
      </c>
      <c r="T317" s="75" t="str">
        <f>IF(ISERROR(FIND('112'!$M$9,G317,1)),"",IF((AND(FIND('112'!$M$9,G317,1)&gt;=1,B317='112'!$K$9,OR($N317='112'!$I$6,$O317='112'!$I$6))),"x",""))</f>
        <v/>
      </c>
      <c r="U317" s="75" t="str">
        <f>IF(ISERROR(FIND('112'!$M$9,G317,1)),"",IF((AND(LEFT(G317,2)=LEFT('112'!$M$9,2),B317&lt;'112'!$K$9,$N317='112'!$I$6)),"x",""))</f>
        <v/>
      </c>
      <c r="V317" s="75" t="str">
        <f>IF(ISERROR(FIND('112'!$M$9,G317,1)),"",IF((AND(RIGHT(G317,2)=RIGHT('112'!$M$9,2),B317&lt;'112'!$K$9,$O317='112'!$I$6)),"x",""))</f>
        <v/>
      </c>
      <c r="W317" s="75" t="str">
        <f>IF(AND('341-CT'!$H$9=H317,OR(LEFT(N317,3)=$W$7,LEFT(O317,3)=$W$7)),"x","")</f>
        <v/>
      </c>
      <c r="X317" s="75" t="str">
        <f>IF(OR(TH!N317=TH!$X$7,O317=TH!$X$7),"x","")</f>
        <v/>
      </c>
      <c r="Y317" s="75" t="str">
        <f>IF(AND(OR(N317="131",O317="131"),H317='131-CT'!$H$9),"x","")</f>
        <v/>
      </c>
      <c r="Z317" s="75"/>
      <c r="AA317" s="75" t="str">
        <f>IF(AND(MONTH(E317)='IN-NX'!$J$5,'IN-NX'!$D$7=D317),"x","")</f>
        <v/>
      </c>
      <c r="AB317" s="75" t="str">
        <f>IF(AND(OR(LEFT(TH!N317,2)="15",LEFT(TH!O317,2)="15"),LEFT(TH!O317,3)&lt;&gt;"111",'152-CT'!$J$8=TH!F317),"x","")</f>
        <v/>
      </c>
      <c r="AC317" s="75" t="str">
        <f>IF(AND(OR(LEFT(TH!N317,2)="15",LEFT(TH!O317,2)="15"),TK!$E$7=TH!F317),"x","")</f>
        <v/>
      </c>
      <c r="AD317" s="75" t="str">
        <f>IF(AND(N317="1521",MONTH(C317)='BK-NL'!$M$11),"x","")</f>
        <v/>
      </c>
    </row>
    <row r="318" spans="1:30" ht="16.5" customHeight="1">
      <c r="A318" s="309" t="str">
        <f>IF(B318&lt;&gt;"",IF(AND(B318='IN-TC'!$S$4,OR(TH!N318="1111",TH!O318="1111")),TH!D318,""),"")</f>
        <v/>
      </c>
      <c r="B318" s="1058">
        <f t="shared" si="61"/>
        <v>1</v>
      </c>
      <c r="C318" s="929">
        <v>42766</v>
      </c>
      <c r="D318" s="929" t="s">
        <v>530</v>
      </c>
      <c r="E318" s="929">
        <v>42766</v>
      </c>
      <c r="F318" s="930" t="s">
        <v>986</v>
      </c>
      <c r="G318" s="931" t="s">
        <v>990</v>
      </c>
      <c r="H318" s="735" t="s">
        <v>563</v>
      </c>
      <c r="I318" s="371"/>
      <c r="J318" s="932"/>
      <c r="K318" s="371"/>
      <c r="L318" s="377"/>
      <c r="M318" s="933">
        <v>2620840</v>
      </c>
      <c r="N318" s="934" t="s">
        <v>9</v>
      </c>
      <c r="O318" s="934" t="s">
        <v>8</v>
      </c>
      <c r="P318" s="75" t="str">
        <f>IF(AND('331-CT'!$E$7=TH!H318,OR(N318="331",O318="331")),"x","")</f>
        <v/>
      </c>
      <c r="Q318" s="75" t="str">
        <f>IF(AND(B318='111'!$L$11,OR($N318=$Q$7,$O318=$Q$7)),"x","")</f>
        <v/>
      </c>
      <c r="R318" s="75" t="str">
        <f>IF(AND($N318=$Q$7,$B318&lt;'111'!$L$11),"x","")</f>
        <v/>
      </c>
      <c r="S318" s="75" t="str">
        <f>IF(AND($O318=$Q$7,$B318&lt;'111'!$L$11),"x","")</f>
        <v/>
      </c>
      <c r="T318" s="75" t="str">
        <f>IF(ISERROR(FIND('112'!$M$9,G318,1)),"",IF((AND(FIND('112'!$M$9,G318,1)&gt;=1,B318='112'!$K$9,OR($N318='112'!$I$6,$O318='112'!$I$6))),"x",""))</f>
        <v/>
      </c>
      <c r="U318" s="75" t="str">
        <f>IF(ISERROR(FIND('112'!$M$9,G318,1)),"",IF((AND(LEFT(G318,2)=LEFT('112'!$M$9,2),B318&lt;'112'!$K$9,$N318='112'!$I$6)),"x",""))</f>
        <v/>
      </c>
      <c r="V318" s="75" t="str">
        <f>IF(ISERROR(FIND('112'!$M$9,G318,1)),"",IF((AND(RIGHT(G318,2)=RIGHT('112'!$M$9,2),B318&lt;'112'!$K$9,$O318='112'!$I$6)),"x",""))</f>
        <v/>
      </c>
      <c r="W318" s="75" t="str">
        <f>IF(AND('341-CT'!$H$9=H318,OR(LEFT(N318,3)=$W$7,LEFT(O318,3)=$W$7)),"x","")</f>
        <v/>
      </c>
      <c r="X318" s="75" t="str">
        <f>IF(OR(TH!N318=TH!$X$7,O318=TH!$X$7),"x","")</f>
        <v/>
      </c>
      <c r="Y318" s="75" t="str">
        <f>IF(AND(OR(N318="131",O318="131"),H318='131-CT'!$H$9),"x","")</f>
        <v/>
      </c>
      <c r="Z318" s="75"/>
      <c r="AA318" s="75" t="str">
        <f>IF(AND(MONTH(E318)='IN-NX'!$J$5,'IN-NX'!$D$7=D318),"x","")</f>
        <v/>
      </c>
      <c r="AB318" s="75" t="str">
        <f>IF(AND(OR(LEFT(TH!N318,2)="15",LEFT(TH!O318,2)="15"),LEFT(TH!O318,3)&lt;&gt;"111",'152-CT'!$J$8=TH!F318),"x","")</f>
        <v/>
      </c>
      <c r="AC318" s="75" t="str">
        <f>IF(AND(OR(LEFT(TH!N318,2)="15",LEFT(TH!O318,2)="15"),TK!$E$7=TH!F318),"x","")</f>
        <v/>
      </c>
      <c r="AD318" s="75" t="str">
        <f>IF(AND(N318="1521",MONTH(C318)='BK-NL'!$M$11),"x","")</f>
        <v/>
      </c>
    </row>
    <row r="319" spans="1:30" ht="16.5" customHeight="1">
      <c r="A319" s="309" t="str">
        <f>IF(B319&lt;&gt;"",IF(AND(B319='IN-TC'!$S$4,OR(TH!N319="1111",TH!O319="1111")),TH!D319,""),"")</f>
        <v/>
      </c>
      <c r="B319" s="1058">
        <f t="shared" si="61"/>
        <v>1</v>
      </c>
      <c r="C319" s="929">
        <v>42766</v>
      </c>
      <c r="D319" s="929" t="s">
        <v>530</v>
      </c>
      <c r="E319" s="929">
        <v>42766</v>
      </c>
      <c r="F319" s="930" t="s">
        <v>987</v>
      </c>
      <c r="G319" s="931" t="s">
        <v>1060</v>
      </c>
      <c r="H319" s="735" t="s">
        <v>563</v>
      </c>
      <c r="I319" s="371"/>
      <c r="J319" s="932"/>
      <c r="K319" s="371"/>
      <c r="L319" s="377"/>
      <c r="M319" s="933">
        <v>18238900</v>
      </c>
      <c r="N319" s="934" t="s">
        <v>272</v>
      </c>
      <c r="O319" s="934" t="s">
        <v>8</v>
      </c>
      <c r="P319" s="75" t="str">
        <f>IF(AND('331-CT'!$E$7=TH!H319,OR(N319="331",O319="331")),"x","")</f>
        <v/>
      </c>
      <c r="Q319" s="75" t="str">
        <f>IF(AND(B319='111'!$L$11,OR($N319=$Q$7,$O319=$Q$7)),"x","")</f>
        <v/>
      </c>
      <c r="R319" s="75" t="str">
        <f>IF(AND($N319=$Q$7,$B319&lt;'111'!$L$11),"x","")</f>
        <v/>
      </c>
      <c r="S319" s="75" t="str">
        <f>IF(AND($O319=$Q$7,$B319&lt;'111'!$L$11),"x","")</f>
        <v/>
      </c>
      <c r="T319" s="75" t="str">
        <f>IF(ISERROR(FIND('112'!$M$9,G319,1)),"",IF((AND(FIND('112'!$M$9,G319,1)&gt;=1,B319='112'!$K$9,OR($N319='112'!$I$6,$O319='112'!$I$6))),"x",""))</f>
        <v/>
      </c>
      <c r="U319" s="75" t="str">
        <f>IF(ISERROR(FIND('112'!$M$9,G319,1)),"",IF((AND(LEFT(G319,2)=LEFT('112'!$M$9,2),B319&lt;'112'!$K$9,$N319='112'!$I$6)),"x",""))</f>
        <v/>
      </c>
      <c r="V319" s="75" t="str">
        <f>IF(ISERROR(FIND('112'!$M$9,G319,1)),"",IF((AND(RIGHT(G319,2)=RIGHT('112'!$M$9,2),B319&lt;'112'!$K$9,$O319='112'!$I$6)),"x",""))</f>
        <v/>
      </c>
      <c r="W319" s="75" t="str">
        <f>IF(AND('341-CT'!$H$9=H319,OR(LEFT(N319,3)=$W$7,LEFT(O319,3)=$W$7)),"x","")</f>
        <v/>
      </c>
      <c r="X319" s="75" t="str">
        <f>IF(OR(TH!N319=TH!$X$7,O319=TH!$X$7),"x","")</f>
        <v/>
      </c>
      <c r="Y319" s="75" t="str">
        <f>IF(AND(OR(N319="131",O319="131"),H319='131-CT'!$H$9),"x","")</f>
        <v/>
      </c>
      <c r="Z319" s="75"/>
      <c r="AA319" s="75" t="str">
        <f>IF(AND(MONTH(E319)='IN-NX'!$J$5,'IN-NX'!$D$7=D319),"x","")</f>
        <v/>
      </c>
      <c r="AB319" s="75" t="str">
        <f>IF(AND(OR(LEFT(TH!N319,2)="15",LEFT(TH!O319,2)="15"),LEFT(TH!O319,3)&lt;&gt;"111",'152-CT'!$J$8=TH!F319),"x","")</f>
        <v/>
      </c>
      <c r="AC319" s="75" t="str">
        <f>IF(AND(OR(LEFT(TH!N319,2)="15",LEFT(TH!O319,2)="15"),TK!$E$7=TH!F319),"x","")</f>
        <v/>
      </c>
      <c r="AD319" s="75" t="str">
        <f>IF(AND(N319="1521",MONTH(C319)='BK-NL'!$M$11),"x","")</f>
        <v/>
      </c>
    </row>
    <row r="320" spans="1:30" ht="16.5" customHeight="1">
      <c r="A320" s="309" t="str">
        <f>IF(B320&lt;&gt;"",IF(AND(B320='IN-TC'!$S$4,OR(TH!N320="1111",TH!O320="1111")),TH!D320,""),"")</f>
        <v/>
      </c>
      <c r="B320" s="1058">
        <f t="shared" si="61"/>
        <v>1</v>
      </c>
      <c r="C320" s="929">
        <v>42766</v>
      </c>
      <c r="D320" s="929" t="s">
        <v>530</v>
      </c>
      <c r="E320" s="929">
        <v>42766</v>
      </c>
      <c r="F320" s="930" t="s">
        <v>988</v>
      </c>
      <c r="G320" s="931" t="s">
        <v>1060</v>
      </c>
      <c r="H320" s="735" t="s">
        <v>563</v>
      </c>
      <c r="I320" s="371"/>
      <c r="J320" s="932"/>
      <c r="K320" s="371"/>
      <c r="L320" s="377"/>
      <c r="M320" s="933">
        <v>1823890</v>
      </c>
      <c r="N320" s="934" t="s">
        <v>9</v>
      </c>
      <c r="O320" s="934" t="s">
        <v>8</v>
      </c>
      <c r="P320" s="75" t="str">
        <f>IF(AND('331-CT'!$E$7=TH!H320,OR(N320="331",O320="331")),"x","")</f>
        <v/>
      </c>
      <c r="Q320" s="75" t="str">
        <f>IF(AND(B320='111'!$L$11,OR($N320=$Q$7,$O320=$Q$7)),"x","")</f>
        <v/>
      </c>
      <c r="R320" s="75" t="str">
        <f>IF(AND($N320=$Q$7,$B320&lt;'111'!$L$11),"x","")</f>
        <v/>
      </c>
      <c r="S320" s="75" t="str">
        <f>IF(AND($O320=$Q$7,$B320&lt;'111'!$L$11),"x","")</f>
        <v/>
      </c>
      <c r="T320" s="75" t="str">
        <f>IF(ISERROR(FIND('112'!$M$9,G320,1)),"",IF((AND(FIND('112'!$M$9,G320,1)&gt;=1,B320='112'!$K$9,OR($N320='112'!$I$6,$O320='112'!$I$6))),"x",""))</f>
        <v/>
      </c>
      <c r="U320" s="75" t="str">
        <f>IF(ISERROR(FIND('112'!$M$9,G320,1)),"",IF((AND(LEFT(G320,2)=LEFT('112'!$M$9,2),B320&lt;'112'!$K$9,$N320='112'!$I$6)),"x",""))</f>
        <v/>
      </c>
      <c r="V320" s="75" t="str">
        <f>IF(ISERROR(FIND('112'!$M$9,G320,1)),"",IF((AND(RIGHT(G320,2)=RIGHT('112'!$M$9,2),B320&lt;'112'!$K$9,$O320='112'!$I$6)),"x",""))</f>
        <v/>
      </c>
      <c r="W320" s="75" t="str">
        <f>IF(AND('341-CT'!$H$9=H320,OR(LEFT(N320,3)=$W$7,LEFT(O320,3)=$W$7)),"x","")</f>
        <v/>
      </c>
      <c r="X320" s="75" t="str">
        <f>IF(OR(TH!N320=TH!$X$7,O320=TH!$X$7),"x","")</f>
        <v/>
      </c>
      <c r="Y320" s="75" t="str">
        <f>IF(AND(OR(N320="131",O320="131"),H320='131-CT'!$H$9),"x","")</f>
        <v/>
      </c>
      <c r="Z320" s="75"/>
      <c r="AA320" s="75" t="str">
        <f>IF(AND(MONTH(E320)='IN-NX'!$J$5,'IN-NX'!$D$7=D320),"x","")</f>
        <v/>
      </c>
      <c r="AB320" s="75" t="str">
        <f>IF(AND(OR(LEFT(TH!N320,2)="15",LEFT(TH!O320,2)="15"),LEFT(TH!O320,3)&lt;&gt;"111",'152-CT'!$J$8=TH!F320),"x","")</f>
        <v/>
      </c>
      <c r="AC320" s="75" t="str">
        <f>IF(AND(OR(LEFT(TH!N320,2)="15",LEFT(TH!O320,2)="15"),TK!$E$7=TH!F320),"x","")</f>
        <v/>
      </c>
      <c r="AD320" s="75" t="str">
        <f>IF(AND(N320="1521",MONTH(C320)='BK-NL'!$M$11),"x","")</f>
        <v/>
      </c>
    </row>
    <row r="321" spans="1:30" ht="16.5" customHeight="1">
      <c r="A321" s="309" t="str">
        <f>IF(B321&lt;&gt;"",IF(AND(B321='IN-TC'!$S$4,OR(TH!N321="1111",TH!O321="1111")),TH!D321,""),"")</f>
        <v/>
      </c>
      <c r="B321" s="1058">
        <f t="shared" si="61"/>
        <v>1</v>
      </c>
      <c r="C321" s="929">
        <v>42766</v>
      </c>
      <c r="D321" s="929" t="s">
        <v>530</v>
      </c>
      <c r="E321" s="929">
        <v>42766</v>
      </c>
      <c r="F321" s="930" t="s">
        <v>992</v>
      </c>
      <c r="G321" s="931"/>
      <c r="H321" s="735" t="s">
        <v>991</v>
      </c>
      <c r="I321" s="371"/>
      <c r="J321" s="932"/>
      <c r="K321" s="371"/>
      <c r="L321" s="377"/>
      <c r="M321" s="933">
        <v>518470991</v>
      </c>
      <c r="N321" s="934" t="s">
        <v>72</v>
      </c>
      <c r="O321" s="934" t="s">
        <v>9</v>
      </c>
      <c r="P321" s="75" t="str">
        <f>IF(AND('331-CT'!$E$7=TH!H321,OR(N321="331",O321="331")),"x","")</f>
        <v/>
      </c>
      <c r="Q321" s="75" t="str">
        <f>IF(AND(B321='111'!$L$11,OR($N321=$Q$7,$O321=$Q$7)),"x","")</f>
        <v/>
      </c>
      <c r="R321" s="75" t="str">
        <f>IF(AND($N321=$Q$7,$B321&lt;'111'!$L$11),"x","")</f>
        <v/>
      </c>
      <c r="S321" s="75" t="str">
        <f>IF(AND($O321=$Q$7,$B321&lt;'111'!$L$11),"x","")</f>
        <v/>
      </c>
      <c r="T321" s="75" t="str">
        <f>IF(ISERROR(FIND('112'!$M$9,G321,1)),"",IF((AND(FIND('112'!$M$9,G321,1)&gt;=1,B321='112'!$K$9,OR($N321='112'!$I$6,$O321='112'!$I$6))),"x",""))</f>
        <v/>
      </c>
      <c r="U321" s="75" t="str">
        <f>IF(ISERROR(FIND('112'!$M$9,G321,1)),"",IF((AND(LEFT(G321,2)=LEFT('112'!$M$9,2),B321&lt;'112'!$K$9,$N321='112'!$I$6)),"x",""))</f>
        <v/>
      </c>
      <c r="V321" s="75" t="str">
        <f>IF(ISERROR(FIND('112'!$M$9,G321,1)),"",IF((AND(RIGHT(G321,2)=RIGHT('112'!$M$9,2),B321&lt;'112'!$K$9,$O321='112'!$I$6)),"x",""))</f>
        <v/>
      </c>
      <c r="W321" s="75" t="str">
        <f>IF(AND('341-CT'!$H$9=H321,OR(LEFT(N321,3)=$W$7,LEFT(O321,3)=$W$7)),"x","")</f>
        <v/>
      </c>
      <c r="X321" s="75" t="str">
        <f>IF(OR(TH!N321=TH!$X$7,O321=TH!$X$7),"x","")</f>
        <v/>
      </c>
      <c r="Y321" s="75" t="str">
        <f>IF(AND(OR(N321="131",O321="131"),H321='131-CT'!$H$9),"x","")</f>
        <v/>
      </c>
      <c r="Z321" s="75"/>
      <c r="AA321" s="75" t="str">
        <f>IF(AND(MONTH(E321)='IN-NX'!$J$5,'IN-NX'!$D$7=D321),"x","")</f>
        <v/>
      </c>
      <c r="AB321" s="75" t="str">
        <f>IF(AND(OR(LEFT(TH!N321,2)="15",LEFT(TH!O321,2)="15"),LEFT(TH!O321,3)&lt;&gt;"111",'152-CT'!$J$8=TH!F321),"x","")</f>
        <v/>
      </c>
      <c r="AC321" s="75" t="str">
        <f>IF(AND(OR(LEFT(TH!N321,2)="15",LEFT(TH!O321,2)="15"),TK!$E$7=TH!F321),"x","")</f>
        <v/>
      </c>
      <c r="AD321" s="75" t="str">
        <f>IF(AND(N321="1521",MONTH(C321)='BK-NL'!$M$11),"x","")</f>
        <v/>
      </c>
    </row>
    <row r="322" spans="1:30" ht="16.5" customHeight="1">
      <c r="A322" s="309" t="str">
        <f>IF(B322&lt;&gt;"",IF(AND(B322='IN-TC'!$S$4,OR(TH!N322="1111",TH!O322="1111")),TH!D322,""),"")</f>
        <v/>
      </c>
      <c r="B322" s="1058">
        <f t="shared" si="61"/>
        <v>1</v>
      </c>
      <c r="C322" s="929">
        <v>42738</v>
      </c>
      <c r="D322" s="929" t="s">
        <v>530</v>
      </c>
      <c r="E322" s="929">
        <v>42738</v>
      </c>
      <c r="F322" s="930" t="s">
        <v>994</v>
      </c>
      <c r="G322" s="931" t="s">
        <v>996</v>
      </c>
      <c r="H322" s="73" t="s">
        <v>623</v>
      </c>
      <c r="I322" s="371">
        <v>26390</v>
      </c>
      <c r="J322" s="932">
        <v>10000</v>
      </c>
      <c r="K322" s="371"/>
      <c r="L322" s="377"/>
      <c r="M322" s="933">
        <v>263900000</v>
      </c>
      <c r="N322" s="934" t="s">
        <v>272</v>
      </c>
      <c r="O322" s="934" t="s">
        <v>8</v>
      </c>
      <c r="P322" s="75" t="str">
        <f>IF(AND('331-CT'!$E$7=TH!H322,OR(N322="331",O322="331")),"x","")</f>
        <v/>
      </c>
      <c r="Q322" s="75" t="str">
        <f>IF(AND(B322='111'!$L$11,OR($N322=$Q$7,$O322=$Q$7)),"x","")</f>
        <v/>
      </c>
      <c r="R322" s="75" t="str">
        <f>IF(AND($N322=$Q$7,$B322&lt;'111'!$L$11),"x","")</f>
        <v/>
      </c>
      <c r="S322" s="75" t="str">
        <f>IF(AND($O322=$Q$7,$B322&lt;'111'!$L$11),"x","")</f>
        <v/>
      </c>
      <c r="T322" s="75" t="str">
        <f>IF(ISERROR(FIND('112'!$M$9,G322,1)),"",IF((AND(FIND('112'!$M$9,G322,1)&gt;=1,B322='112'!$K$9,OR($N322='112'!$I$6,$O322='112'!$I$6))),"x",""))</f>
        <v/>
      </c>
      <c r="U322" s="75" t="str">
        <f>IF(ISERROR(FIND('112'!$M$9,G322,1)),"",IF((AND(LEFT(G322,2)=LEFT('112'!$M$9,2),B322&lt;'112'!$K$9,$N322='112'!$I$6)),"x",""))</f>
        <v/>
      </c>
      <c r="V322" s="75" t="str">
        <f>IF(ISERROR(FIND('112'!$M$9,G322,1)),"",IF((AND(RIGHT(G322,2)=RIGHT('112'!$M$9,2),B322&lt;'112'!$K$9,$O322='112'!$I$6)),"x",""))</f>
        <v/>
      </c>
      <c r="W322" s="75" t="str">
        <f>IF(AND('341-CT'!$H$9=H322,OR(LEFT(N322,3)=$W$7,LEFT(O322,3)=$W$7)),"x","")</f>
        <v/>
      </c>
      <c r="X322" s="75" t="str">
        <f>IF(OR(TH!N322=TH!$X$7,O322=TH!$X$7),"x","")</f>
        <v/>
      </c>
      <c r="Y322" s="75" t="str">
        <f>IF(AND(OR(N322="131",O322="131"),H322='131-CT'!$H$9),"x","")</f>
        <v/>
      </c>
      <c r="Z322" s="75"/>
      <c r="AA322" s="75" t="str">
        <f>IF(AND(MONTH(E322)='IN-NX'!$J$5,'IN-NX'!$D$7=D322),"x","")</f>
        <v/>
      </c>
      <c r="AB322" s="75" t="str">
        <f>IF(AND(OR(LEFT(TH!N322,2)="15",LEFT(TH!O322,2)="15"),LEFT(TH!O322,3)&lt;&gt;"111",'152-CT'!$J$8=TH!F322),"x","")</f>
        <v/>
      </c>
      <c r="AC322" s="75" t="str">
        <f>IF(AND(OR(LEFT(TH!N322,2)="15",LEFT(TH!O322,2)="15"),TK!$E$7=TH!F322),"x","")</f>
        <v/>
      </c>
      <c r="AD322" s="75" t="str">
        <f>IF(AND(N322="1521",MONTH(C322)='BK-NL'!$M$11),"x","")</f>
        <v/>
      </c>
    </row>
    <row r="323" spans="1:30" ht="16.5" customHeight="1">
      <c r="A323" s="309" t="str">
        <f>IF(B323&lt;&gt;"",IF(AND(B323='IN-TC'!$S$4,OR(TH!N323="1111",TH!O323="1111")),TH!D323,""),"")</f>
        <v/>
      </c>
      <c r="B323" s="1058">
        <f t="shared" si="61"/>
        <v>1</v>
      </c>
      <c r="C323" s="929">
        <v>42738</v>
      </c>
      <c r="D323" s="929" t="s">
        <v>530</v>
      </c>
      <c r="E323" s="929">
        <v>42738</v>
      </c>
      <c r="F323" s="930" t="s">
        <v>995</v>
      </c>
      <c r="G323" s="931" t="s">
        <v>996</v>
      </c>
      <c r="H323" s="73" t="s">
        <v>623</v>
      </c>
      <c r="I323" s="371"/>
      <c r="J323" s="932"/>
      <c r="K323" s="371"/>
      <c r="L323" s="377"/>
      <c r="M323" s="933">
        <v>26390000</v>
      </c>
      <c r="N323" s="934" t="s">
        <v>9</v>
      </c>
      <c r="O323" s="934" t="s">
        <v>8</v>
      </c>
      <c r="P323" s="75" t="str">
        <f>IF(AND('331-CT'!$E$7=TH!H323,OR(N323="331",O323="331")),"x","")</f>
        <v/>
      </c>
      <c r="Q323" s="75" t="str">
        <f>IF(AND(B323='111'!$L$11,OR($N323=$Q$7,$O323=$Q$7)),"x","")</f>
        <v/>
      </c>
      <c r="R323" s="75" t="str">
        <f>IF(AND($N323=$Q$7,$B323&lt;'111'!$L$11),"x","")</f>
        <v/>
      </c>
      <c r="S323" s="75" t="str">
        <f>IF(AND($O323=$Q$7,$B323&lt;'111'!$L$11),"x","")</f>
        <v/>
      </c>
      <c r="T323" s="75" t="str">
        <f>IF(ISERROR(FIND('112'!$M$9,G323,1)),"",IF((AND(FIND('112'!$M$9,G323,1)&gt;=1,B323='112'!$K$9,OR($N323='112'!$I$6,$O323='112'!$I$6))),"x",""))</f>
        <v/>
      </c>
      <c r="U323" s="75" t="str">
        <f>IF(ISERROR(FIND('112'!$M$9,G323,1)),"",IF((AND(LEFT(G323,2)=LEFT('112'!$M$9,2),B323&lt;'112'!$K$9,$N323='112'!$I$6)),"x",""))</f>
        <v/>
      </c>
      <c r="V323" s="75" t="str">
        <f>IF(ISERROR(FIND('112'!$M$9,G323,1)),"",IF((AND(RIGHT(G323,2)=RIGHT('112'!$M$9,2),B323&lt;'112'!$K$9,$O323='112'!$I$6)),"x",""))</f>
        <v/>
      </c>
      <c r="W323" s="75" t="str">
        <f>IF(AND('341-CT'!$H$9=H323,OR(LEFT(N323,3)=$W$7,LEFT(O323,3)=$W$7)),"x","")</f>
        <v/>
      </c>
      <c r="X323" s="75" t="str">
        <f>IF(OR(TH!N323=TH!$X$7,O323=TH!$X$7),"x","")</f>
        <v/>
      </c>
      <c r="Y323" s="75" t="str">
        <f>IF(AND(OR(N323="131",O323="131"),H323='131-CT'!$H$9),"x","")</f>
        <v/>
      </c>
      <c r="Z323" s="75"/>
      <c r="AA323" s="75" t="str">
        <f>IF(AND(MONTH(E323)='IN-NX'!$J$5,'IN-NX'!$D$7=D323),"x","")</f>
        <v/>
      </c>
      <c r="AB323" s="75" t="str">
        <f>IF(AND(OR(LEFT(TH!N323,2)="15",LEFT(TH!O323,2)="15"),LEFT(TH!O323,3)&lt;&gt;"111",'152-CT'!$J$8=TH!F323),"x","")</f>
        <v/>
      </c>
      <c r="AC323" s="75" t="str">
        <f>IF(AND(OR(LEFT(TH!N323,2)="15",LEFT(TH!O323,2)="15"),TK!$E$7=TH!F323),"x","")</f>
        <v/>
      </c>
      <c r="AD323" s="75" t="str">
        <f>IF(AND(N323="1521",MONTH(C323)='BK-NL'!$M$11),"x","")</f>
        <v/>
      </c>
    </row>
    <row r="324" spans="1:30" s="1054" customFormat="1" ht="16.5" customHeight="1">
      <c r="A324" s="309" t="str">
        <f>IF(B324&lt;&gt;"",IF(AND(B324='IN-TC'!$S$4,OR(TH!N324="1111",TH!O324="1111")),TH!D324,""),"")</f>
        <v/>
      </c>
      <c r="B324" s="1131">
        <f t="shared" ref="B324:B329" si="62">IF(C324&lt;&gt;"",MONTH(C324),"")</f>
        <v>2</v>
      </c>
      <c r="C324" s="947">
        <v>42794</v>
      </c>
      <c r="D324" s="947" t="s">
        <v>530</v>
      </c>
      <c r="E324" s="947">
        <v>42775</v>
      </c>
      <c r="F324" s="937" t="s">
        <v>1011</v>
      </c>
      <c r="G324" s="952" t="s">
        <v>1013</v>
      </c>
      <c r="H324" s="937" t="s">
        <v>750</v>
      </c>
      <c r="I324" s="939"/>
      <c r="J324" s="949"/>
      <c r="K324" s="939"/>
      <c r="L324" s="938"/>
      <c r="M324" s="940">
        <v>32045455</v>
      </c>
      <c r="N324" s="950" t="s">
        <v>539</v>
      </c>
      <c r="O324" s="950" t="s">
        <v>8</v>
      </c>
      <c r="P324" s="75" t="str">
        <f>IF(AND('331-CT'!$E$7=TH!H324,OR(N324="331",O324="331")),"x","")</f>
        <v/>
      </c>
      <c r="Q324" s="75" t="str">
        <f>IF(AND(B324='111'!$L$11,OR($N324=$Q$7,$O324=$Q$7)),"x","")</f>
        <v/>
      </c>
      <c r="R324" s="75" t="str">
        <f>IF(AND($N324=$Q$7,$B324&lt;'111'!$L$11),"x","")</f>
        <v/>
      </c>
      <c r="S324" s="75" t="str">
        <f>IF(AND($O324=$Q$7,$B324&lt;'111'!$L$11),"x","")</f>
        <v/>
      </c>
      <c r="T324" s="75" t="str">
        <f>IF(ISERROR(FIND('112'!$M$9,G324,1)),"",IF((AND(FIND('112'!$M$9,G324,1)&gt;=1,B324='112'!$K$9,OR($N324='112'!$I$6,$O324='112'!$I$6))),"x",""))</f>
        <v/>
      </c>
      <c r="U324" s="75" t="str">
        <f>IF(ISERROR(FIND('112'!$M$9,G324,1)),"",IF((AND(LEFT(G324,2)=LEFT('112'!$M$9,2),B324&lt;'112'!$K$9,$N324='112'!$I$6)),"x",""))</f>
        <v/>
      </c>
      <c r="V324" s="75" t="str">
        <f>IF(ISERROR(FIND('112'!$M$9,G324,1)),"",IF((AND(RIGHT(G324,2)=RIGHT('112'!$M$9,2),B324&lt;'112'!$K$9,$O324='112'!$I$6)),"x",""))</f>
        <v/>
      </c>
      <c r="W324" s="75" t="str">
        <f>IF(AND('341-CT'!$H$9=H324,OR(LEFT(N324,3)=$W$7,LEFT(O324,3)=$W$7)),"x","")</f>
        <v/>
      </c>
      <c r="X324" s="75" t="str">
        <f>IF(OR(TH!N324=TH!$X$7,O324=TH!$X$7),"x","")</f>
        <v/>
      </c>
      <c r="Y324" s="75" t="str">
        <f>IF(AND(OR(N324="131",O324="131"),H324='131-CT'!$H$9),"x","")</f>
        <v/>
      </c>
      <c r="Z324" s="75"/>
      <c r="AA324" s="75" t="str">
        <f>IF(AND(MONTH(E324)='IN-NX'!$J$5,'IN-NX'!$D$7=D324),"x","")</f>
        <v/>
      </c>
      <c r="AB324" s="75" t="str">
        <f>IF(AND(OR(LEFT(TH!N324,2)="15",LEFT(TH!O324,2)="15"),LEFT(TH!O324,3)&lt;&gt;"111",'152-CT'!$J$8=TH!F324),"x","")</f>
        <v/>
      </c>
      <c r="AC324" s="75" t="str">
        <f>IF(AND(OR(LEFT(TH!N324,2)="15",LEFT(TH!O324,2)="15"),TK!$E$7=TH!F324),"x","")</f>
        <v/>
      </c>
      <c r="AD324" s="75" t="str">
        <f>IF(AND(N324="1521",MONTH(C324)='BK-NL'!$M$11),"x","")</f>
        <v/>
      </c>
    </row>
    <row r="325" spans="1:30" ht="16.5" customHeight="1">
      <c r="A325" s="309" t="str">
        <f>IF(B325&lt;&gt;"",IF(AND(B325='IN-TC'!$S$4,OR(TH!N325="1111",TH!O325="1111")),TH!D325,""),"")</f>
        <v/>
      </c>
      <c r="B325" s="1131">
        <f t="shared" si="62"/>
        <v>2</v>
      </c>
      <c r="C325" s="929">
        <v>42794</v>
      </c>
      <c r="D325" s="929" t="s">
        <v>530</v>
      </c>
      <c r="E325" s="929">
        <v>42775</v>
      </c>
      <c r="F325" s="296" t="s">
        <v>1012</v>
      </c>
      <c r="G325" s="931" t="s">
        <v>1013</v>
      </c>
      <c r="H325" s="296" t="s">
        <v>750</v>
      </c>
      <c r="I325" s="371"/>
      <c r="J325" s="932"/>
      <c r="K325" s="371"/>
      <c r="L325" s="377"/>
      <c r="M325" s="933">
        <v>3204545</v>
      </c>
      <c r="N325" s="934" t="s">
        <v>9</v>
      </c>
      <c r="O325" s="934" t="s">
        <v>8</v>
      </c>
      <c r="P325" s="75" t="str">
        <f>IF(AND('331-CT'!$E$7=TH!H325,OR(N325="331",O325="331")),"x","")</f>
        <v/>
      </c>
      <c r="Q325" s="75" t="str">
        <f>IF(AND(B325='111'!$L$11,OR($N325=$Q$7,$O325=$Q$7)),"x","")</f>
        <v/>
      </c>
      <c r="R325" s="75" t="str">
        <f>IF(AND($N325=$Q$7,$B325&lt;'111'!$L$11),"x","")</f>
        <v/>
      </c>
      <c r="S325" s="75" t="str">
        <f>IF(AND($O325=$Q$7,$B325&lt;'111'!$L$11),"x","")</f>
        <v/>
      </c>
      <c r="T325" s="75" t="str">
        <f>IF(ISERROR(FIND('112'!$M$9,G325,1)),"",IF((AND(FIND('112'!$M$9,G325,1)&gt;=1,B325='112'!$K$9,OR($N325='112'!$I$6,$O325='112'!$I$6))),"x",""))</f>
        <v/>
      </c>
      <c r="U325" s="75" t="str">
        <f>IF(ISERROR(FIND('112'!$M$9,G325,1)),"",IF((AND(LEFT(G325,2)=LEFT('112'!$M$9,2),B325&lt;'112'!$K$9,$N325='112'!$I$6)),"x",""))</f>
        <v/>
      </c>
      <c r="V325" s="75" t="str">
        <f>IF(ISERROR(FIND('112'!$M$9,G325,1)),"",IF((AND(RIGHT(G325,2)=RIGHT('112'!$M$9,2),B325&lt;'112'!$K$9,$O325='112'!$I$6)),"x",""))</f>
        <v/>
      </c>
      <c r="W325" s="75" t="str">
        <f>IF(AND('341-CT'!$H$9=H325,OR(LEFT(N325,3)=$W$7,LEFT(O325,3)=$W$7)),"x","")</f>
        <v/>
      </c>
      <c r="X325" s="75" t="str">
        <f>IF(OR(TH!N325=TH!$X$7,O325=TH!$X$7),"x","")</f>
        <v/>
      </c>
      <c r="Y325" s="75" t="str">
        <f>IF(AND(OR(N325="131",O325="131"),H325='131-CT'!$H$9),"x","")</f>
        <v/>
      </c>
      <c r="Z325" s="75"/>
      <c r="AA325" s="75" t="str">
        <f>IF(AND(MONTH(E325)='IN-NX'!$J$5,'IN-NX'!$D$7=D325),"x","")</f>
        <v/>
      </c>
      <c r="AB325" s="75" t="str">
        <f>IF(AND(OR(LEFT(TH!N325,2)="15",LEFT(TH!O325,2)="15"),LEFT(TH!O325,3)&lt;&gt;"111",'152-CT'!$J$8=TH!F325),"x","")</f>
        <v/>
      </c>
      <c r="AC325" s="75" t="str">
        <f>IF(AND(OR(LEFT(TH!N325,2)="15",LEFT(TH!O325,2)="15"),TK!$E$7=TH!F325),"x","")</f>
        <v/>
      </c>
      <c r="AD325" s="75" t="str">
        <f>IF(AND(N325="1521",MONTH(C325)='BK-NL'!$M$11),"x","")</f>
        <v/>
      </c>
    </row>
    <row r="326" spans="1:30" ht="16.5" customHeight="1">
      <c r="A326" s="309" t="str">
        <f>IF(B326&lt;&gt;"",IF(AND(B326='IN-TC'!$S$4,OR(TH!N326="1111",TH!O326="1111")),TH!D326,""),"")</f>
        <v/>
      </c>
      <c r="B326" s="1131">
        <f t="shared" si="62"/>
        <v>2</v>
      </c>
      <c r="C326" s="929">
        <v>42794</v>
      </c>
      <c r="D326" s="929" t="s">
        <v>530</v>
      </c>
      <c r="E326" s="929">
        <v>42751</v>
      </c>
      <c r="F326" s="296" t="s">
        <v>949</v>
      </c>
      <c r="G326" s="931" t="s">
        <v>1014</v>
      </c>
      <c r="H326" s="73" t="s">
        <v>567</v>
      </c>
      <c r="I326" s="371"/>
      <c r="J326" s="932"/>
      <c r="K326" s="371"/>
      <c r="L326" s="377"/>
      <c r="M326" s="933">
        <v>16100000</v>
      </c>
      <c r="N326" s="934" t="s">
        <v>539</v>
      </c>
      <c r="O326" s="934" t="s">
        <v>8</v>
      </c>
      <c r="P326" s="75" t="str">
        <f>IF(AND('331-CT'!$E$7=TH!H326,OR(N326="331",O326="331")),"x","")</f>
        <v/>
      </c>
      <c r="Q326" s="75" t="str">
        <f>IF(AND(B326='111'!$L$11,OR($N326=$Q$7,$O326=$Q$7)),"x","")</f>
        <v/>
      </c>
      <c r="R326" s="75" t="str">
        <f>IF(AND($N326=$Q$7,$B326&lt;'111'!$L$11),"x","")</f>
        <v/>
      </c>
      <c r="S326" s="75" t="str">
        <f>IF(AND($O326=$Q$7,$B326&lt;'111'!$L$11),"x","")</f>
        <v/>
      </c>
      <c r="T326" s="75" t="str">
        <f>IF(ISERROR(FIND('112'!$M$9,G326,1)),"",IF((AND(FIND('112'!$M$9,G326,1)&gt;=1,B326='112'!$K$9,OR($N326='112'!$I$6,$O326='112'!$I$6))),"x",""))</f>
        <v/>
      </c>
      <c r="U326" s="75" t="str">
        <f>IF(ISERROR(FIND('112'!$M$9,G326,1)),"",IF((AND(LEFT(G326,2)=LEFT('112'!$M$9,2),B326&lt;'112'!$K$9,$N326='112'!$I$6)),"x",""))</f>
        <v/>
      </c>
      <c r="V326" s="75" t="str">
        <f>IF(ISERROR(FIND('112'!$M$9,G326,1)),"",IF((AND(RIGHT(G326,2)=RIGHT('112'!$M$9,2),B326&lt;'112'!$K$9,$O326='112'!$I$6)),"x",""))</f>
        <v/>
      </c>
      <c r="W326" s="75" t="str">
        <f>IF(AND('341-CT'!$H$9=H326,OR(LEFT(N326,3)=$W$7,LEFT(O326,3)=$W$7)),"x","")</f>
        <v/>
      </c>
      <c r="X326" s="75" t="str">
        <f>IF(OR(TH!N326=TH!$X$7,O326=TH!$X$7),"x","")</f>
        <v/>
      </c>
      <c r="Y326" s="75" t="str">
        <f>IF(AND(OR(N326="131",O326="131"),H326='131-CT'!$H$9),"x","")</f>
        <v/>
      </c>
      <c r="Z326" s="75"/>
      <c r="AA326" s="75" t="str">
        <f>IF(AND(MONTH(E326)='IN-NX'!$J$5,'IN-NX'!$D$7=D326),"x","")</f>
        <v/>
      </c>
      <c r="AB326" s="75" t="str">
        <f>IF(AND(OR(LEFT(TH!N326,2)="15",LEFT(TH!O326,2)="15"),LEFT(TH!O326,3)&lt;&gt;"111",'152-CT'!$J$8=TH!F326),"x","")</f>
        <v/>
      </c>
      <c r="AC326" s="75" t="str">
        <f>IF(AND(OR(LEFT(TH!N326,2)="15",LEFT(TH!O326,2)="15"),TK!$E$7=TH!F326),"x","")</f>
        <v/>
      </c>
      <c r="AD326" s="75" t="str">
        <f>IF(AND(N326="1521",MONTH(C326)='BK-NL'!$M$11),"x","")</f>
        <v/>
      </c>
    </row>
    <row r="327" spans="1:30" ht="16.5" customHeight="1">
      <c r="A327" s="309" t="str">
        <f>IF(B327&lt;&gt;"",IF(AND(B327='IN-TC'!$S$4,OR(TH!N327="1111",TH!O327="1111")),TH!D327,""),"")</f>
        <v/>
      </c>
      <c r="B327" s="1131">
        <f t="shared" si="62"/>
        <v>2</v>
      </c>
      <c r="C327" s="929">
        <v>42794</v>
      </c>
      <c r="D327" s="929" t="s">
        <v>530</v>
      </c>
      <c r="E327" s="929">
        <v>42751</v>
      </c>
      <c r="F327" s="296" t="s">
        <v>950</v>
      </c>
      <c r="G327" s="931" t="s">
        <v>1014</v>
      </c>
      <c r="H327" s="73" t="s">
        <v>567</v>
      </c>
      <c r="I327" s="371"/>
      <c r="J327" s="932"/>
      <c r="K327" s="371"/>
      <c r="L327" s="377"/>
      <c r="M327" s="933">
        <v>1610000</v>
      </c>
      <c r="N327" s="934" t="s">
        <v>9</v>
      </c>
      <c r="O327" s="934" t="s">
        <v>8</v>
      </c>
      <c r="P327" s="75" t="str">
        <f>IF(AND('331-CT'!$E$7=TH!H327,OR(N327="331",O327="331")),"x","")</f>
        <v/>
      </c>
      <c r="Q327" s="75" t="str">
        <f>IF(AND(B327='111'!$L$11,OR($N327=$Q$7,$O327=$Q$7)),"x","")</f>
        <v/>
      </c>
      <c r="R327" s="75" t="str">
        <f>IF(AND($N327=$Q$7,$B327&lt;'111'!$L$11),"x","")</f>
        <v/>
      </c>
      <c r="S327" s="75" t="str">
        <f>IF(AND($O327=$Q$7,$B327&lt;'111'!$L$11),"x","")</f>
        <v/>
      </c>
      <c r="T327" s="75" t="str">
        <f>IF(ISERROR(FIND('112'!$M$9,G327,1)),"",IF((AND(FIND('112'!$M$9,G327,1)&gt;=1,B327='112'!$K$9,OR($N327='112'!$I$6,$O327='112'!$I$6))),"x",""))</f>
        <v/>
      </c>
      <c r="U327" s="75" t="str">
        <f>IF(ISERROR(FIND('112'!$M$9,G327,1)),"",IF((AND(LEFT(G327,2)=LEFT('112'!$M$9,2),B327&lt;'112'!$K$9,$N327='112'!$I$6)),"x",""))</f>
        <v/>
      </c>
      <c r="V327" s="75" t="str">
        <f>IF(ISERROR(FIND('112'!$M$9,G327,1)),"",IF((AND(RIGHT(G327,2)=RIGHT('112'!$M$9,2),B327&lt;'112'!$K$9,$O327='112'!$I$6)),"x",""))</f>
        <v/>
      </c>
      <c r="W327" s="75" t="str">
        <f>IF(AND('341-CT'!$H$9=H327,OR(LEFT(N327,3)=$W$7,LEFT(O327,3)=$W$7)),"x","")</f>
        <v/>
      </c>
      <c r="X327" s="75" t="str">
        <f>IF(OR(TH!N327=TH!$X$7,O327=TH!$X$7),"x","")</f>
        <v/>
      </c>
      <c r="Y327" s="75" t="str">
        <f>IF(AND(OR(N327="131",O327="131"),H327='131-CT'!$H$9),"x","")</f>
        <v/>
      </c>
      <c r="Z327" s="75"/>
      <c r="AA327" s="75" t="str">
        <f>IF(AND(MONTH(E327)='IN-NX'!$J$5,'IN-NX'!$D$7=D327),"x","")</f>
        <v/>
      </c>
      <c r="AB327" s="75" t="str">
        <f>IF(AND(OR(LEFT(TH!N327,2)="15",LEFT(TH!O327,2)="15"),LEFT(TH!O327,3)&lt;&gt;"111",'152-CT'!$J$8=TH!F327),"x","")</f>
        <v/>
      </c>
      <c r="AC327" s="75" t="str">
        <f>IF(AND(OR(LEFT(TH!N327,2)="15",LEFT(TH!O327,2)="15"),TK!$E$7=TH!F327),"x","")</f>
        <v/>
      </c>
      <c r="AD327" s="75" t="str">
        <f>IF(AND(N327="1521",MONTH(C327)='BK-NL'!$M$11),"x","")</f>
        <v/>
      </c>
    </row>
    <row r="328" spans="1:30" ht="16.5" customHeight="1">
      <c r="A328" s="309" t="str">
        <f>IF(B328&lt;&gt;"",IF(AND(B328='IN-TC'!$S$4,OR(TH!N328="1111",TH!O328="1111")),TH!D328,""),"")</f>
        <v/>
      </c>
      <c r="B328" s="1131">
        <f t="shared" si="62"/>
        <v>2</v>
      </c>
      <c r="C328" s="929">
        <v>42794</v>
      </c>
      <c r="D328" s="929" t="s">
        <v>530</v>
      </c>
      <c r="E328" s="929">
        <v>42736</v>
      </c>
      <c r="F328" s="296" t="s">
        <v>949</v>
      </c>
      <c r="G328" s="931" t="s">
        <v>1055</v>
      </c>
      <c r="H328" s="73" t="s">
        <v>567</v>
      </c>
      <c r="I328" s="371"/>
      <c r="J328" s="932"/>
      <c r="K328" s="371"/>
      <c r="L328" s="377"/>
      <c r="M328" s="933">
        <v>49000000</v>
      </c>
      <c r="N328" s="934" t="s">
        <v>539</v>
      </c>
      <c r="O328" s="934" t="s">
        <v>8</v>
      </c>
      <c r="P328" s="75" t="str">
        <f>IF(AND('331-CT'!$E$7=TH!H328,OR(N328="331",O328="331")),"x","")</f>
        <v/>
      </c>
      <c r="Q328" s="75" t="str">
        <f>IF(AND(B328='111'!$L$11,OR($N328=$Q$7,$O328=$Q$7)),"x","")</f>
        <v/>
      </c>
      <c r="R328" s="75" t="str">
        <f>IF(AND($N328=$Q$7,$B328&lt;'111'!$L$11),"x","")</f>
        <v/>
      </c>
      <c r="S328" s="75" t="str">
        <f>IF(AND($O328=$Q$7,$B328&lt;'111'!$L$11),"x","")</f>
        <v/>
      </c>
      <c r="T328" s="75" t="str">
        <f>IF(ISERROR(FIND('112'!$M$9,G328,1)),"",IF((AND(FIND('112'!$M$9,G328,1)&gt;=1,B328='112'!$K$9,OR($N328='112'!$I$6,$O328='112'!$I$6))),"x",""))</f>
        <v/>
      </c>
      <c r="U328" s="75" t="str">
        <f>IF(ISERROR(FIND('112'!$M$9,G328,1)),"",IF((AND(LEFT(G328,2)=LEFT('112'!$M$9,2),B328&lt;'112'!$K$9,$N328='112'!$I$6)),"x",""))</f>
        <v/>
      </c>
      <c r="V328" s="75" t="str">
        <f>IF(ISERROR(FIND('112'!$M$9,G328,1)),"",IF((AND(RIGHT(G328,2)=RIGHT('112'!$M$9,2),B328&lt;'112'!$K$9,$O328='112'!$I$6)),"x",""))</f>
        <v/>
      </c>
      <c r="W328" s="75" t="str">
        <f>IF(AND('341-CT'!$H$9=H328,OR(LEFT(N328,3)=$W$7,LEFT(O328,3)=$W$7)),"x","")</f>
        <v/>
      </c>
      <c r="X328" s="75" t="str">
        <f>IF(OR(TH!N328=TH!$X$7,O328=TH!$X$7),"x","")</f>
        <v/>
      </c>
      <c r="Y328" s="75" t="str">
        <f>IF(AND(OR(N328="131",O328="131"),H328='131-CT'!$H$9),"x","")</f>
        <v/>
      </c>
      <c r="Z328" s="75"/>
      <c r="AA328" s="75" t="str">
        <f>IF(AND(MONTH(E328)='IN-NX'!$J$5,'IN-NX'!$D$7=D328),"x","")</f>
        <v/>
      </c>
      <c r="AB328" s="75" t="str">
        <f>IF(AND(OR(LEFT(TH!N328,2)="15",LEFT(TH!O328,2)="15"),LEFT(TH!O328,3)&lt;&gt;"111",'152-CT'!$J$8=TH!F328),"x","")</f>
        <v/>
      </c>
      <c r="AC328" s="75" t="str">
        <f>IF(AND(OR(LEFT(TH!N328,2)="15",LEFT(TH!O328,2)="15"),TK!$E$7=TH!F328),"x","")</f>
        <v/>
      </c>
      <c r="AD328" s="75" t="str">
        <f>IF(AND(N328="1521",MONTH(C328)='BK-NL'!$M$11),"x","")</f>
        <v/>
      </c>
    </row>
    <row r="329" spans="1:30" ht="16.5" customHeight="1">
      <c r="A329" s="309" t="str">
        <f>IF(B329&lt;&gt;"",IF(AND(B329='IN-TC'!$S$4,OR(TH!N329="1111",TH!O329="1111")),TH!D329,""),"")</f>
        <v/>
      </c>
      <c r="B329" s="1131">
        <f t="shared" si="62"/>
        <v>2</v>
      </c>
      <c r="C329" s="929">
        <v>42794</v>
      </c>
      <c r="D329" s="929" t="s">
        <v>530</v>
      </c>
      <c r="E329" s="929">
        <v>42736</v>
      </c>
      <c r="F329" s="296" t="s">
        <v>950</v>
      </c>
      <c r="G329" s="931" t="s">
        <v>1055</v>
      </c>
      <c r="H329" s="73" t="s">
        <v>567</v>
      </c>
      <c r="I329" s="371"/>
      <c r="J329" s="932"/>
      <c r="K329" s="371"/>
      <c r="L329" s="377"/>
      <c r="M329" s="933">
        <v>4900000</v>
      </c>
      <c r="N329" s="934" t="s">
        <v>9</v>
      </c>
      <c r="O329" s="934" t="s">
        <v>8</v>
      </c>
      <c r="P329" s="75" t="str">
        <f>IF(AND('331-CT'!$E$7=TH!H329,OR(N329="331",O329="331")),"x","")</f>
        <v/>
      </c>
      <c r="Q329" s="75" t="str">
        <f>IF(AND(B329='111'!$L$11,OR($N329=$Q$7,$O329=$Q$7)),"x","")</f>
        <v/>
      </c>
      <c r="R329" s="75" t="str">
        <f>IF(AND($N329=$Q$7,$B329&lt;'111'!$L$11),"x","")</f>
        <v/>
      </c>
      <c r="S329" s="75" t="str">
        <f>IF(AND($O329=$Q$7,$B329&lt;'111'!$L$11),"x","")</f>
        <v/>
      </c>
      <c r="T329" s="75" t="str">
        <f>IF(ISERROR(FIND('112'!$M$9,G329,1)),"",IF((AND(FIND('112'!$M$9,G329,1)&gt;=1,B329='112'!$K$9,OR($N329='112'!$I$6,$O329='112'!$I$6))),"x",""))</f>
        <v/>
      </c>
      <c r="U329" s="75" t="str">
        <f>IF(ISERROR(FIND('112'!$M$9,G329,1)),"",IF((AND(LEFT(G329,2)=LEFT('112'!$M$9,2),B329&lt;'112'!$K$9,$N329='112'!$I$6)),"x",""))</f>
        <v/>
      </c>
      <c r="V329" s="75" t="str">
        <f>IF(ISERROR(FIND('112'!$M$9,G329,1)),"",IF((AND(RIGHT(G329,2)=RIGHT('112'!$M$9,2),B329&lt;'112'!$K$9,$O329='112'!$I$6)),"x",""))</f>
        <v/>
      </c>
      <c r="W329" s="75" t="str">
        <f>IF(AND('341-CT'!$H$9=H329,OR(LEFT(N329,3)=$W$7,LEFT(O329,3)=$W$7)),"x","")</f>
        <v/>
      </c>
      <c r="X329" s="75" t="str">
        <f>IF(OR(TH!N329=TH!$X$7,O329=TH!$X$7),"x","")</f>
        <v/>
      </c>
      <c r="Y329" s="75" t="str">
        <f>IF(AND(OR(N329="131",O329="131"),H329='131-CT'!$H$9),"x","")</f>
        <v/>
      </c>
      <c r="Z329" s="75"/>
      <c r="AA329" s="75" t="str">
        <f>IF(AND(MONTH(E329)='IN-NX'!$J$5,'IN-NX'!$D$7=D329),"x","")</f>
        <v/>
      </c>
      <c r="AB329" s="75" t="str">
        <f>IF(AND(OR(LEFT(TH!N329,2)="15",LEFT(TH!O329,2)="15"),LEFT(TH!O329,3)&lt;&gt;"111",'152-CT'!$J$8=TH!F329),"x","")</f>
        <v/>
      </c>
      <c r="AC329" s="75" t="str">
        <f>IF(AND(OR(LEFT(TH!N329,2)="15",LEFT(TH!O329,2)="15"),TK!$E$7=TH!F329),"x","")</f>
        <v/>
      </c>
      <c r="AD329" s="75" t="str">
        <f>IF(AND(N329="1521",MONTH(C329)='BK-NL'!$M$11),"x","")</f>
        <v/>
      </c>
    </row>
    <row r="330" spans="1:30" ht="16.5" customHeight="1">
      <c r="A330" s="309" t="str">
        <f>IF(B330&lt;&gt;"",IF(AND(B330='IN-TC'!$S$4,OR(TH!N330="1111",TH!O330="1111")),TH!D330,""),"")</f>
        <v/>
      </c>
      <c r="B330" s="1131">
        <f t="shared" ref="B330:B393" si="63">IF(C330&lt;&gt;"",MONTH(C330),"")</f>
        <v>2</v>
      </c>
      <c r="C330" s="929">
        <v>42794</v>
      </c>
      <c r="D330" s="929" t="s">
        <v>530</v>
      </c>
      <c r="E330" s="929">
        <v>42794</v>
      </c>
      <c r="F330" s="930" t="s">
        <v>808</v>
      </c>
      <c r="G330" s="931" t="s">
        <v>1254</v>
      </c>
      <c r="H330" s="73" t="s">
        <v>755</v>
      </c>
      <c r="I330" s="371"/>
      <c r="J330" s="932"/>
      <c r="K330" s="371"/>
      <c r="L330" s="377"/>
      <c r="M330" s="933">
        <v>7755400</v>
      </c>
      <c r="N330" s="934" t="s">
        <v>539</v>
      </c>
      <c r="O330" s="934" t="s">
        <v>8</v>
      </c>
      <c r="P330" s="75" t="str">
        <f>IF(AND('331-CT'!$E$7=TH!H330,OR(N330="331",O330="331")),"x","")</f>
        <v/>
      </c>
      <c r="Q330" s="75" t="str">
        <f>IF(AND(B330='111'!$L$11,OR($N330=$Q$7,$O330=$Q$7)),"x","")</f>
        <v/>
      </c>
      <c r="R330" s="75" t="str">
        <f>IF(AND($N330=$Q$7,$B330&lt;'111'!$L$11),"x","")</f>
        <v/>
      </c>
      <c r="S330" s="75" t="str">
        <f>IF(AND($O330=$Q$7,$B330&lt;'111'!$L$11),"x","")</f>
        <v/>
      </c>
      <c r="T330" s="75" t="str">
        <f>IF(ISERROR(FIND('112'!$M$9,G330,1)),"",IF((AND(FIND('112'!$M$9,G330,1)&gt;=1,B330='112'!$K$9,OR($N330='112'!$I$6,$O330='112'!$I$6))),"x",""))</f>
        <v/>
      </c>
      <c r="U330" s="75" t="str">
        <f>IF(ISERROR(FIND('112'!$M$9,G330,1)),"",IF((AND(LEFT(G330,2)=LEFT('112'!$M$9,2),B330&lt;'112'!$K$9,$N330='112'!$I$6)),"x",""))</f>
        <v/>
      </c>
      <c r="V330" s="75" t="str">
        <f>IF(ISERROR(FIND('112'!$M$9,G330,1)),"",IF((AND(RIGHT(G330,2)=RIGHT('112'!$M$9,2),B330&lt;'112'!$K$9,$O330='112'!$I$6)),"x",""))</f>
        <v/>
      </c>
      <c r="W330" s="75" t="str">
        <f>IF(AND('341-CT'!$H$9=H330,OR(LEFT(N330,3)=$W$7,LEFT(O330,3)=$W$7)),"x","")</f>
        <v/>
      </c>
      <c r="X330" s="75" t="str">
        <f>IF(OR(TH!N330=TH!$X$7,O330=TH!$X$7),"x","")</f>
        <v/>
      </c>
      <c r="Y330" s="75" t="str">
        <f>IF(AND(OR(N330="131",O330="131"),H330='131-CT'!$H$9),"x","")</f>
        <v/>
      </c>
      <c r="Z330" s="75"/>
      <c r="AA330" s="75" t="str">
        <f>IF(AND(MONTH(E330)='IN-NX'!$J$5,'IN-NX'!$D$7=D330),"x","")</f>
        <v/>
      </c>
      <c r="AB330" s="75" t="str">
        <f>IF(AND(OR(LEFT(TH!N330,2)="15",LEFT(TH!O330,2)="15"),LEFT(TH!O330,3)&lt;&gt;"111",'152-CT'!$J$8=TH!F330),"x","")</f>
        <v/>
      </c>
      <c r="AC330" s="75" t="str">
        <f>IF(AND(OR(LEFT(TH!N330,2)="15",LEFT(TH!O330,2)="15"),TK!$E$7=TH!F330),"x","")</f>
        <v/>
      </c>
      <c r="AD330" s="75" t="str">
        <f>IF(AND(N330="1521",MONTH(C330)='BK-NL'!$M$11),"x","")</f>
        <v/>
      </c>
    </row>
    <row r="331" spans="1:30" ht="16.5" customHeight="1">
      <c r="A331" s="309" t="str">
        <f>IF(B331&lt;&gt;"",IF(AND(B331='IN-TC'!$S$4,OR(TH!N331="1111",TH!O331="1111")),TH!D331,""),"")</f>
        <v/>
      </c>
      <c r="B331" s="1131">
        <f t="shared" si="63"/>
        <v>2</v>
      </c>
      <c r="C331" s="929">
        <v>42794</v>
      </c>
      <c r="D331" s="929" t="s">
        <v>530</v>
      </c>
      <c r="E331" s="929">
        <v>42794</v>
      </c>
      <c r="F331" s="930" t="s">
        <v>823</v>
      </c>
      <c r="G331" s="931" t="s">
        <v>1255</v>
      </c>
      <c r="H331" s="73" t="s">
        <v>755</v>
      </c>
      <c r="I331" s="371"/>
      <c r="J331" s="932"/>
      <c r="K331" s="371"/>
      <c r="L331" s="377"/>
      <c r="M331" s="933">
        <v>3847780</v>
      </c>
      <c r="N331" s="934" t="s">
        <v>539</v>
      </c>
      <c r="O331" s="934" t="s">
        <v>8</v>
      </c>
      <c r="P331" s="75" t="str">
        <f>IF(AND('331-CT'!$E$7=TH!H331,OR(N331="331",O331="331")),"x","")</f>
        <v/>
      </c>
      <c r="Q331" s="75" t="str">
        <f>IF(AND(B331='111'!$L$11,OR($N331=$Q$7,$O331=$Q$7)),"x","")</f>
        <v/>
      </c>
      <c r="R331" s="75" t="str">
        <f>IF(AND($N331=$Q$7,$B331&lt;'111'!$L$11),"x","")</f>
        <v/>
      </c>
      <c r="S331" s="75" t="str">
        <f>IF(AND($O331=$Q$7,$B331&lt;'111'!$L$11),"x","")</f>
        <v/>
      </c>
      <c r="T331" s="75" t="str">
        <f>IF(ISERROR(FIND('112'!$M$9,G331,1)),"",IF((AND(FIND('112'!$M$9,G331,1)&gt;=1,B331='112'!$K$9,OR($N331='112'!$I$6,$O331='112'!$I$6))),"x",""))</f>
        <v/>
      </c>
      <c r="U331" s="75" t="str">
        <f>IF(ISERROR(FIND('112'!$M$9,G331,1)),"",IF((AND(LEFT(G331,2)=LEFT('112'!$M$9,2),B331&lt;'112'!$K$9,$N331='112'!$I$6)),"x",""))</f>
        <v/>
      </c>
      <c r="V331" s="75" t="str">
        <f>IF(ISERROR(FIND('112'!$M$9,G331,1)),"",IF((AND(RIGHT(G331,2)=RIGHT('112'!$M$9,2),B331&lt;'112'!$K$9,$O331='112'!$I$6)),"x",""))</f>
        <v/>
      </c>
      <c r="W331" s="75" t="str">
        <f>IF(AND('341-CT'!$H$9=H331,OR(LEFT(N331,3)=$W$7,LEFT(O331,3)=$W$7)),"x","")</f>
        <v/>
      </c>
      <c r="X331" s="75" t="str">
        <f>IF(OR(TH!N331=TH!$X$7,O331=TH!$X$7),"x","")</f>
        <v/>
      </c>
      <c r="Y331" s="75" t="str">
        <f>IF(AND(OR(N331="131",O331="131"),H331='131-CT'!$H$9),"x","")</f>
        <v/>
      </c>
      <c r="Z331" s="75"/>
      <c r="AA331" s="75" t="str">
        <f>IF(AND(MONTH(E331)='IN-NX'!$J$5,'IN-NX'!$D$7=D331),"x","")</f>
        <v/>
      </c>
      <c r="AB331" s="75" t="str">
        <f>IF(AND(OR(LEFT(TH!N331,2)="15",LEFT(TH!O331,2)="15"),LEFT(TH!O331,3)&lt;&gt;"111",'152-CT'!$J$8=TH!F331),"x","")</f>
        <v/>
      </c>
      <c r="AC331" s="75" t="str">
        <f>IF(AND(OR(LEFT(TH!N331,2)="15",LEFT(TH!O331,2)="15"),TK!$E$7=TH!F331),"x","")</f>
        <v/>
      </c>
      <c r="AD331" s="75" t="str">
        <f>IF(AND(N331="1521",MONTH(C331)='BK-NL'!$M$11),"x","")</f>
        <v/>
      </c>
    </row>
    <row r="332" spans="1:30" ht="16.5" customHeight="1">
      <c r="A332" s="309" t="str">
        <f>IF(B332&lt;&gt;"",IF(AND(B332='IN-TC'!$S$4,OR(TH!N332="1111",TH!O332="1111")),TH!D332,""),"")</f>
        <v/>
      </c>
      <c r="B332" s="1131">
        <f t="shared" si="63"/>
        <v>2</v>
      </c>
      <c r="C332" s="929">
        <v>42794</v>
      </c>
      <c r="D332" s="929" t="s">
        <v>530</v>
      </c>
      <c r="E332" s="929">
        <v>42794</v>
      </c>
      <c r="F332" s="930" t="s">
        <v>824</v>
      </c>
      <c r="G332" s="931" t="s">
        <v>1255</v>
      </c>
      <c r="H332" s="73" t="s">
        <v>755</v>
      </c>
      <c r="I332" s="371"/>
      <c r="J332" s="932"/>
      <c r="K332" s="371"/>
      <c r="L332" s="377"/>
      <c r="M332" s="933">
        <v>384778</v>
      </c>
      <c r="N332" s="934" t="s">
        <v>9</v>
      </c>
      <c r="O332" s="934" t="s">
        <v>8</v>
      </c>
      <c r="P332" s="75" t="str">
        <f>IF(AND('331-CT'!$E$7=TH!H332,OR(N332="331",O332="331")),"x","")</f>
        <v/>
      </c>
      <c r="Q332" s="75" t="str">
        <f>IF(AND(B332='111'!$L$11,OR($N332=$Q$7,$O332=$Q$7)),"x","")</f>
        <v/>
      </c>
      <c r="R332" s="75" t="str">
        <f>IF(AND($N332=$Q$7,$B332&lt;'111'!$L$11),"x","")</f>
        <v/>
      </c>
      <c r="S332" s="75" t="str">
        <f>IF(AND($O332=$Q$7,$B332&lt;'111'!$L$11),"x","")</f>
        <v/>
      </c>
      <c r="T332" s="75" t="str">
        <f>IF(ISERROR(FIND('112'!$M$9,G332,1)),"",IF((AND(FIND('112'!$M$9,G332,1)&gt;=1,B332='112'!$K$9,OR($N332='112'!$I$6,$O332='112'!$I$6))),"x",""))</f>
        <v/>
      </c>
      <c r="U332" s="75" t="str">
        <f>IF(ISERROR(FIND('112'!$M$9,G332,1)),"",IF((AND(LEFT(G332,2)=LEFT('112'!$M$9,2),B332&lt;'112'!$K$9,$N332='112'!$I$6)),"x",""))</f>
        <v/>
      </c>
      <c r="V332" s="75" t="str">
        <f>IF(ISERROR(FIND('112'!$M$9,G332,1)),"",IF((AND(RIGHT(G332,2)=RIGHT('112'!$M$9,2),B332&lt;'112'!$K$9,$O332='112'!$I$6)),"x",""))</f>
        <v/>
      </c>
      <c r="W332" s="75" t="str">
        <f>IF(AND('341-CT'!$H$9=H332,OR(LEFT(N332,3)=$W$7,LEFT(O332,3)=$W$7)),"x","")</f>
        <v/>
      </c>
      <c r="X332" s="75" t="str">
        <f>IF(OR(TH!N332=TH!$X$7,O332=TH!$X$7),"x","")</f>
        <v/>
      </c>
      <c r="Y332" s="75" t="str">
        <f>IF(AND(OR(N332="131",O332="131"),H332='131-CT'!$H$9),"x","")</f>
        <v/>
      </c>
      <c r="Z332" s="75"/>
      <c r="AA332" s="75" t="str">
        <f>IF(AND(MONTH(E332)='IN-NX'!$J$5,'IN-NX'!$D$7=D332),"x","")</f>
        <v/>
      </c>
      <c r="AB332" s="75" t="str">
        <f>IF(AND(OR(LEFT(TH!N332,2)="15",LEFT(TH!O332,2)="15"),LEFT(TH!O332,3)&lt;&gt;"111",'152-CT'!$J$8=TH!F332),"x","")</f>
        <v/>
      </c>
      <c r="AC332" s="75" t="str">
        <f>IF(AND(OR(LEFT(TH!N332,2)="15",LEFT(TH!O332,2)="15"),TK!$E$7=TH!F332),"x","")</f>
        <v/>
      </c>
      <c r="AD332" s="75" t="str">
        <f>IF(AND(N332="1521",MONTH(C332)='BK-NL'!$M$11),"x","")</f>
        <v/>
      </c>
    </row>
    <row r="333" spans="1:30" ht="16.5" customHeight="1">
      <c r="A333" s="309" t="str">
        <f>IF(B333&lt;&gt;"",IF(AND(B333='IN-TC'!$S$4,OR(TH!N333="1111",TH!O333="1111")),TH!D333,""),"")</f>
        <v/>
      </c>
      <c r="B333" s="1131">
        <f t="shared" si="63"/>
        <v>2</v>
      </c>
      <c r="C333" s="929">
        <v>42794</v>
      </c>
      <c r="D333" s="929" t="s">
        <v>530</v>
      </c>
      <c r="E333" s="929">
        <v>42772</v>
      </c>
      <c r="F333" s="930" t="s">
        <v>1062</v>
      </c>
      <c r="G333" s="931" t="s">
        <v>1067</v>
      </c>
      <c r="H333" s="735" t="s">
        <v>563</v>
      </c>
      <c r="I333" s="371"/>
      <c r="J333" s="932"/>
      <c r="K333" s="371"/>
      <c r="L333" s="377"/>
      <c r="M333" s="933">
        <v>9543500</v>
      </c>
      <c r="N333" s="934" t="s">
        <v>272</v>
      </c>
      <c r="O333" s="934" t="s">
        <v>8</v>
      </c>
      <c r="P333" s="75" t="str">
        <f>IF(AND('331-CT'!$E$7=TH!H333,OR(N333="331",O333="331")),"x","")</f>
        <v/>
      </c>
      <c r="Q333" s="75" t="str">
        <f>IF(AND(B333='111'!$L$11,OR($N333=$Q$7,$O333=$Q$7)),"x","")</f>
        <v/>
      </c>
      <c r="R333" s="75" t="str">
        <f>IF(AND($N333=$Q$7,$B333&lt;'111'!$L$11),"x","")</f>
        <v/>
      </c>
      <c r="S333" s="75" t="str">
        <f>IF(AND($O333=$Q$7,$B333&lt;'111'!$L$11),"x","")</f>
        <v/>
      </c>
      <c r="T333" s="75" t="str">
        <f>IF(ISERROR(FIND('112'!$M$9,G333,1)),"",IF((AND(FIND('112'!$M$9,G333,1)&gt;=1,B333='112'!$K$9,OR($N333='112'!$I$6,$O333='112'!$I$6))),"x",""))</f>
        <v/>
      </c>
      <c r="U333" s="75" t="str">
        <f>IF(ISERROR(FIND('112'!$M$9,G333,1)),"",IF((AND(LEFT(G333,2)=LEFT('112'!$M$9,2),B333&lt;'112'!$K$9,$N333='112'!$I$6)),"x",""))</f>
        <v/>
      </c>
      <c r="V333" s="75" t="str">
        <f>IF(ISERROR(FIND('112'!$M$9,G333,1)),"",IF((AND(RIGHT(G333,2)=RIGHT('112'!$M$9,2),B333&lt;'112'!$K$9,$O333='112'!$I$6)),"x",""))</f>
        <v/>
      </c>
      <c r="W333" s="75" t="str">
        <f>IF(AND('341-CT'!$H$9=H333,OR(LEFT(N333,3)=$W$7,LEFT(O333,3)=$W$7)),"x","")</f>
        <v/>
      </c>
      <c r="X333" s="75" t="str">
        <f>IF(OR(TH!N333=TH!$X$7,O333=TH!$X$7),"x","")</f>
        <v/>
      </c>
      <c r="Y333" s="75" t="str">
        <f>IF(AND(OR(N333="131",O333="131"),H333='131-CT'!$H$9),"x","")</f>
        <v/>
      </c>
      <c r="Z333" s="75"/>
      <c r="AA333" s="75" t="str">
        <f>IF(AND(MONTH(E333)='IN-NX'!$J$5,'IN-NX'!$D$7=D333),"x","")</f>
        <v/>
      </c>
      <c r="AB333" s="75" t="str">
        <f>IF(AND(OR(LEFT(TH!N333,2)="15",LEFT(TH!O333,2)="15"),LEFT(TH!O333,3)&lt;&gt;"111",'152-CT'!$J$8=TH!F333),"x","")</f>
        <v/>
      </c>
      <c r="AC333" s="75" t="str">
        <f>IF(AND(OR(LEFT(TH!N333,2)="15",LEFT(TH!O333,2)="15"),TK!$E$7=TH!F333),"x","")</f>
        <v/>
      </c>
      <c r="AD333" s="75" t="str">
        <f>IF(AND(N333="1521",MONTH(C333)='BK-NL'!$M$11),"x","")</f>
        <v/>
      </c>
    </row>
    <row r="334" spans="1:30" ht="16.5" customHeight="1">
      <c r="A334" s="309" t="str">
        <f>IF(B334&lt;&gt;"",IF(AND(B334='IN-TC'!$S$4,OR(TH!N334="1111",TH!O334="1111")),TH!D334,""),"")</f>
        <v/>
      </c>
      <c r="B334" s="1131">
        <f t="shared" si="63"/>
        <v>2</v>
      </c>
      <c r="C334" s="929">
        <v>42794</v>
      </c>
      <c r="D334" s="929" t="s">
        <v>530</v>
      </c>
      <c r="E334" s="929">
        <v>42772</v>
      </c>
      <c r="F334" s="930" t="s">
        <v>1061</v>
      </c>
      <c r="G334" s="931" t="s">
        <v>1067</v>
      </c>
      <c r="H334" s="735" t="s">
        <v>563</v>
      </c>
      <c r="I334" s="371"/>
      <c r="J334" s="932"/>
      <c r="K334" s="371"/>
      <c r="L334" s="377"/>
      <c r="M334" s="933">
        <v>954350</v>
      </c>
      <c r="N334" s="934" t="s">
        <v>9</v>
      </c>
      <c r="O334" s="934" t="s">
        <v>8</v>
      </c>
      <c r="P334" s="75" t="str">
        <f>IF(AND('331-CT'!$E$7=TH!H334,OR(N334="331",O334="331")),"x","")</f>
        <v/>
      </c>
      <c r="Q334" s="75" t="str">
        <f>IF(AND(B334='111'!$L$11,OR($N334=$Q$7,$O334=$Q$7)),"x","")</f>
        <v/>
      </c>
      <c r="R334" s="75" t="str">
        <f>IF(AND($N334=$Q$7,$B334&lt;'111'!$L$11),"x","")</f>
        <v/>
      </c>
      <c r="S334" s="75" t="str">
        <f>IF(AND($O334=$Q$7,$B334&lt;'111'!$L$11),"x","")</f>
        <v/>
      </c>
      <c r="T334" s="75" t="str">
        <f>IF(ISERROR(FIND('112'!$M$9,G334,1)),"",IF((AND(FIND('112'!$M$9,G334,1)&gt;=1,B334='112'!$K$9,OR($N334='112'!$I$6,$O334='112'!$I$6))),"x",""))</f>
        <v/>
      </c>
      <c r="U334" s="75" t="str">
        <f>IF(ISERROR(FIND('112'!$M$9,G334,1)),"",IF((AND(LEFT(G334,2)=LEFT('112'!$M$9,2),B334&lt;'112'!$K$9,$N334='112'!$I$6)),"x",""))</f>
        <v/>
      </c>
      <c r="V334" s="75" t="str">
        <f>IF(ISERROR(FIND('112'!$M$9,G334,1)),"",IF((AND(RIGHT(G334,2)=RIGHT('112'!$M$9,2),B334&lt;'112'!$K$9,$O334='112'!$I$6)),"x",""))</f>
        <v/>
      </c>
      <c r="W334" s="75" t="str">
        <f>IF(AND('341-CT'!$H$9=H334,OR(LEFT(N334,3)=$W$7,LEFT(O334,3)=$W$7)),"x","")</f>
        <v/>
      </c>
      <c r="X334" s="75" t="str">
        <f>IF(OR(TH!N334=TH!$X$7,O334=TH!$X$7),"x","")</f>
        <v/>
      </c>
      <c r="Y334" s="75" t="str">
        <f>IF(AND(OR(N334="131",O334="131"),H334='131-CT'!$H$9),"x","")</f>
        <v/>
      </c>
      <c r="Z334" s="75"/>
      <c r="AA334" s="75" t="str">
        <f>IF(AND(MONTH(E334)='IN-NX'!$J$5,'IN-NX'!$D$7=D334),"x","")</f>
        <v/>
      </c>
      <c r="AB334" s="75" t="str">
        <f>IF(AND(OR(LEFT(TH!N334,2)="15",LEFT(TH!O334,2)="15"),LEFT(TH!O334,3)&lt;&gt;"111",'152-CT'!$J$8=TH!F334),"x","")</f>
        <v/>
      </c>
      <c r="AC334" s="75" t="str">
        <f>IF(AND(OR(LEFT(TH!N334,2)="15",LEFT(TH!O334,2)="15"),TK!$E$7=TH!F334),"x","")</f>
        <v/>
      </c>
      <c r="AD334" s="75" t="str">
        <f>IF(AND(N334="1521",MONTH(C334)='BK-NL'!$M$11),"x","")</f>
        <v/>
      </c>
    </row>
    <row r="335" spans="1:30" ht="16.5" customHeight="1">
      <c r="A335" s="309" t="str">
        <f>IF(B335&lt;&gt;"",IF(AND(B335='IN-TC'!$S$4,OR(TH!N335="1111",TH!O335="1111")),TH!D335,""),"")</f>
        <v/>
      </c>
      <c r="B335" s="1131">
        <f t="shared" si="63"/>
        <v>2</v>
      </c>
      <c r="C335" s="929">
        <v>42794</v>
      </c>
      <c r="D335" s="929" t="s">
        <v>530</v>
      </c>
      <c r="E335" s="929">
        <v>42782</v>
      </c>
      <c r="F335" s="930" t="s">
        <v>1063</v>
      </c>
      <c r="G335" s="931" t="s">
        <v>1068</v>
      </c>
      <c r="H335" s="735" t="s">
        <v>563</v>
      </c>
      <c r="I335" s="371"/>
      <c r="J335" s="932"/>
      <c r="K335" s="371"/>
      <c r="L335" s="377"/>
      <c r="M335" s="933">
        <v>13570300</v>
      </c>
      <c r="N335" s="934" t="s">
        <v>272</v>
      </c>
      <c r="O335" s="934" t="s">
        <v>8</v>
      </c>
      <c r="P335" s="75" t="str">
        <f>IF(AND('331-CT'!$E$7=TH!H335,OR(N335="331",O335="331")),"x","")</f>
        <v/>
      </c>
      <c r="Q335" s="75" t="str">
        <f>IF(AND(B335='111'!$L$11,OR($N335=$Q$7,$O335=$Q$7)),"x","")</f>
        <v/>
      </c>
      <c r="R335" s="75" t="str">
        <f>IF(AND($N335=$Q$7,$B335&lt;'111'!$L$11),"x","")</f>
        <v/>
      </c>
      <c r="S335" s="75" t="str">
        <f>IF(AND($O335=$Q$7,$B335&lt;'111'!$L$11),"x","")</f>
        <v/>
      </c>
      <c r="T335" s="75" t="str">
        <f>IF(ISERROR(FIND('112'!$M$9,G335,1)),"",IF((AND(FIND('112'!$M$9,G335,1)&gt;=1,B335='112'!$K$9,OR($N335='112'!$I$6,$O335='112'!$I$6))),"x",""))</f>
        <v/>
      </c>
      <c r="U335" s="75" t="str">
        <f>IF(ISERROR(FIND('112'!$M$9,G335,1)),"",IF((AND(LEFT(G335,2)=LEFT('112'!$M$9,2),B335&lt;'112'!$K$9,$N335='112'!$I$6)),"x",""))</f>
        <v/>
      </c>
      <c r="V335" s="75" t="str">
        <f>IF(ISERROR(FIND('112'!$M$9,G335,1)),"",IF((AND(RIGHT(G335,2)=RIGHT('112'!$M$9,2),B335&lt;'112'!$K$9,$O335='112'!$I$6)),"x",""))</f>
        <v/>
      </c>
      <c r="W335" s="75" t="str">
        <f>IF(AND('341-CT'!$H$9=H335,OR(LEFT(N335,3)=$W$7,LEFT(O335,3)=$W$7)),"x","")</f>
        <v/>
      </c>
      <c r="X335" s="75" t="str">
        <f>IF(OR(TH!N335=TH!$X$7,O335=TH!$X$7),"x","")</f>
        <v/>
      </c>
      <c r="Y335" s="75" t="str">
        <f>IF(AND(OR(N335="131",O335="131"),H335='131-CT'!$H$9),"x","")</f>
        <v/>
      </c>
      <c r="Z335" s="75"/>
      <c r="AA335" s="75" t="str">
        <f>IF(AND(MONTH(E335)='IN-NX'!$J$5,'IN-NX'!$D$7=D335),"x","")</f>
        <v/>
      </c>
      <c r="AB335" s="75" t="str">
        <f>IF(AND(OR(LEFT(TH!N335,2)="15",LEFT(TH!O335,2)="15"),LEFT(TH!O335,3)&lt;&gt;"111",'152-CT'!$J$8=TH!F335),"x","")</f>
        <v/>
      </c>
      <c r="AC335" s="75" t="str">
        <f>IF(AND(OR(LEFT(TH!N335,2)="15",LEFT(TH!O335,2)="15"),TK!$E$7=TH!F335),"x","")</f>
        <v/>
      </c>
      <c r="AD335" s="75" t="str">
        <f>IF(AND(N335="1521",MONTH(C335)='BK-NL'!$M$11),"x","")</f>
        <v/>
      </c>
    </row>
    <row r="336" spans="1:30" ht="16.5" customHeight="1">
      <c r="A336" s="309" t="str">
        <f>IF(B336&lt;&gt;"",IF(AND(B336='IN-TC'!$S$4,OR(TH!N336="1111",TH!O336="1111")),TH!D336,""),"")</f>
        <v/>
      </c>
      <c r="B336" s="1131">
        <f t="shared" si="63"/>
        <v>2</v>
      </c>
      <c r="C336" s="929">
        <v>42794</v>
      </c>
      <c r="D336" s="929" t="s">
        <v>530</v>
      </c>
      <c r="E336" s="929">
        <v>42782</v>
      </c>
      <c r="F336" s="930" t="s">
        <v>1064</v>
      </c>
      <c r="G336" s="931" t="s">
        <v>1068</v>
      </c>
      <c r="H336" s="735" t="s">
        <v>563</v>
      </c>
      <c r="I336" s="371"/>
      <c r="J336" s="932"/>
      <c r="K336" s="371"/>
      <c r="L336" s="377"/>
      <c r="M336" s="933">
        <v>1357030</v>
      </c>
      <c r="N336" s="934" t="s">
        <v>9</v>
      </c>
      <c r="O336" s="934" t="s">
        <v>8</v>
      </c>
      <c r="P336" s="75" t="str">
        <f>IF(AND('331-CT'!$E$7=TH!H336,OR(N336="331",O336="331")),"x","")</f>
        <v/>
      </c>
      <c r="Q336" s="75" t="str">
        <f>IF(AND(B336='111'!$L$11,OR($N336=$Q$7,$O336=$Q$7)),"x","")</f>
        <v/>
      </c>
      <c r="R336" s="75" t="str">
        <f>IF(AND($N336=$Q$7,$B336&lt;'111'!$L$11),"x","")</f>
        <v/>
      </c>
      <c r="S336" s="75" t="str">
        <f>IF(AND($O336=$Q$7,$B336&lt;'111'!$L$11),"x","")</f>
        <v/>
      </c>
      <c r="T336" s="75" t="str">
        <f>IF(ISERROR(FIND('112'!$M$9,G336,1)),"",IF((AND(FIND('112'!$M$9,G336,1)&gt;=1,B336='112'!$K$9,OR($N336='112'!$I$6,$O336='112'!$I$6))),"x",""))</f>
        <v/>
      </c>
      <c r="U336" s="75" t="str">
        <f>IF(ISERROR(FIND('112'!$M$9,G336,1)),"",IF((AND(LEFT(G336,2)=LEFT('112'!$M$9,2),B336&lt;'112'!$K$9,$N336='112'!$I$6)),"x",""))</f>
        <v/>
      </c>
      <c r="V336" s="75" t="str">
        <f>IF(ISERROR(FIND('112'!$M$9,G336,1)),"",IF((AND(RIGHT(G336,2)=RIGHT('112'!$M$9,2),B336&lt;'112'!$K$9,$O336='112'!$I$6)),"x",""))</f>
        <v/>
      </c>
      <c r="W336" s="75" t="str">
        <f>IF(AND('341-CT'!$H$9=H336,OR(LEFT(N336,3)=$W$7,LEFT(O336,3)=$W$7)),"x","")</f>
        <v/>
      </c>
      <c r="X336" s="75" t="str">
        <f>IF(OR(TH!N336=TH!$X$7,O336=TH!$X$7),"x","")</f>
        <v/>
      </c>
      <c r="Y336" s="75" t="str">
        <f>IF(AND(OR(N336="131",O336="131"),H336='131-CT'!$H$9),"x","")</f>
        <v/>
      </c>
      <c r="Z336" s="75"/>
      <c r="AA336" s="75" t="str">
        <f>IF(AND(MONTH(E336)='IN-NX'!$J$5,'IN-NX'!$D$7=D336),"x","")</f>
        <v/>
      </c>
      <c r="AB336" s="75" t="str">
        <f>IF(AND(OR(LEFT(TH!N336,2)="15",LEFT(TH!O336,2)="15"),LEFT(TH!O336,3)&lt;&gt;"111",'152-CT'!$J$8=TH!F336),"x","")</f>
        <v/>
      </c>
      <c r="AC336" s="75" t="str">
        <f>IF(AND(OR(LEFT(TH!N336,2)="15",LEFT(TH!O336,2)="15"),TK!$E$7=TH!F336),"x","")</f>
        <v/>
      </c>
      <c r="AD336" s="75" t="str">
        <f>IF(AND(N336="1521",MONTH(C336)='BK-NL'!$M$11),"x","")</f>
        <v/>
      </c>
    </row>
    <row r="337" spans="1:30" ht="16.5" customHeight="1">
      <c r="A337" s="309" t="str">
        <f>IF(B337&lt;&gt;"",IF(AND(B337='IN-TC'!$S$4,OR(TH!N337="1111",TH!O337="1111")),TH!D337,""),"")</f>
        <v/>
      </c>
      <c r="B337" s="1131">
        <f t="shared" si="63"/>
        <v>2</v>
      </c>
      <c r="C337" s="929">
        <v>42794</v>
      </c>
      <c r="D337" s="929" t="s">
        <v>530</v>
      </c>
      <c r="E337" s="929">
        <v>42793</v>
      </c>
      <c r="F337" s="930" t="s">
        <v>1065</v>
      </c>
      <c r="G337" s="931" t="s">
        <v>1180</v>
      </c>
      <c r="H337" s="735" t="s">
        <v>563</v>
      </c>
      <c r="I337" s="371"/>
      <c r="J337" s="932"/>
      <c r="K337" s="371"/>
      <c r="L337" s="377"/>
      <c r="M337" s="933">
        <v>12737700</v>
      </c>
      <c r="N337" s="934" t="s">
        <v>272</v>
      </c>
      <c r="O337" s="934" t="s">
        <v>8</v>
      </c>
      <c r="P337" s="75" t="str">
        <f>IF(AND('331-CT'!$E$7=TH!H337,OR(N337="331",O337="331")),"x","")</f>
        <v/>
      </c>
      <c r="Q337" s="75" t="str">
        <f>IF(AND(B337='111'!$L$11,OR($N337=$Q$7,$O337=$Q$7)),"x","")</f>
        <v/>
      </c>
      <c r="R337" s="75" t="str">
        <f>IF(AND($N337=$Q$7,$B337&lt;'111'!$L$11),"x","")</f>
        <v/>
      </c>
      <c r="S337" s="75" t="str">
        <f>IF(AND($O337=$Q$7,$B337&lt;'111'!$L$11),"x","")</f>
        <v/>
      </c>
      <c r="T337" s="75" t="str">
        <f>IF(ISERROR(FIND('112'!$M$9,G337,1)),"",IF((AND(FIND('112'!$M$9,G337,1)&gt;=1,B337='112'!$K$9,OR($N337='112'!$I$6,$O337='112'!$I$6))),"x",""))</f>
        <v/>
      </c>
      <c r="U337" s="75" t="str">
        <f>IF(ISERROR(FIND('112'!$M$9,G337,1)),"",IF((AND(LEFT(G337,2)=LEFT('112'!$M$9,2),B337&lt;'112'!$K$9,$N337='112'!$I$6)),"x",""))</f>
        <v/>
      </c>
      <c r="V337" s="75" t="str">
        <f>IF(ISERROR(FIND('112'!$M$9,G337,1)),"",IF((AND(RIGHT(G337,2)=RIGHT('112'!$M$9,2),B337&lt;'112'!$K$9,$O337='112'!$I$6)),"x",""))</f>
        <v/>
      </c>
      <c r="W337" s="75" t="str">
        <f>IF(AND('341-CT'!$H$9=H337,OR(LEFT(N337,3)=$W$7,LEFT(O337,3)=$W$7)),"x","")</f>
        <v/>
      </c>
      <c r="X337" s="75" t="str">
        <f>IF(OR(TH!N337=TH!$X$7,O337=TH!$X$7),"x","")</f>
        <v/>
      </c>
      <c r="Y337" s="75" t="str">
        <f>IF(AND(OR(N337="131",O337="131"),H337='131-CT'!$H$9),"x","")</f>
        <v/>
      </c>
      <c r="Z337" s="75"/>
      <c r="AA337" s="75" t="str">
        <f>IF(AND(MONTH(E337)='IN-NX'!$J$5,'IN-NX'!$D$7=D337),"x","")</f>
        <v/>
      </c>
      <c r="AB337" s="75" t="str">
        <f>IF(AND(OR(LEFT(TH!N337,2)="15",LEFT(TH!O337,2)="15"),LEFT(TH!O337,3)&lt;&gt;"111",'152-CT'!$J$8=TH!F337),"x","")</f>
        <v/>
      </c>
      <c r="AC337" s="75" t="str">
        <f>IF(AND(OR(LEFT(TH!N337,2)="15",LEFT(TH!O337,2)="15"),TK!$E$7=TH!F337),"x","")</f>
        <v/>
      </c>
      <c r="AD337" s="75" t="str">
        <f>IF(AND(N337="1521",MONTH(C337)='BK-NL'!$M$11),"x","")</f>
        <v/>
      </c>
    </row>
    <row r="338" spans="1:30" ht="16.5" customHeight="1">
      <c r="A338" s="309" t="str">
        <f>IF(B338&lt;&gt;"",IF(AND(B338='IN-TC'!$S$4,OR(TH!N338="1111",TH!O338="1111")),TH!D338,""),"")</f>
        <v/>
      </c>
      <c r="B338" s="1131">
        <f t="shared" si="63"/>
        <v>2</v>
      </c>
      <c r="C338" s="929">
        <v>42794</v>
      </c>
      <c r="D338" s="929" t="s">
        <v>530</v>
      </c>
      <c r="E338" s="929">
        <v>42793</v>
      </c>
      <c r="F338" s="930" t="s">
        <v>1066</v>
      </c>
      <c r="G338" s="931" t="s">
        <v>1180</v>
      </c>
      <c r="H338" s="735" t="s">
        <v>563</v>
      </c>
      <c r="I338" s="371"/>
      <c r="J338" s="932"/>
      <c r="K338" s="371"/>
      <c r="L338" s="377"/>
      <c r="M338" s="933">
        <v>1273770</v>
      </c>
      <c r="N338" s="934" t="s">
        <v>9</v>
      </c>
      <c r="O338" s="934" t="s">
        <v>8</v>
      </c>
      <c r="P338" s="75" t="str">
        <f>IF(AND('331-CT'!$E$7=TH!H338,OR(N338="331",O338="331")),"x","")</f>
        <v/>
      </c>
      <c r="Q338" s="75" t="str">
        <f>IF(AND(B338='111'!$L$11,OR($N338=$Q$7,$O338=$Q$7)),"x","")</f>
        <v/>
      </c>
      <c r="R338" s="75" t="str">
        <f>IF(AND($N338=$Q$7,$B338&lt;'111'!$L$11),"x","")</f>
        <v/>
      </c>
      <c r="S338" s="75" t="str">
        <f>IF(AND($O338=$Q$7,$B338&lt;'111'!$L$11),"x","")</f>
        <v/>
      </c>
      <c r="T338" s="75" t="str">
        <f>IF(ISERROR(FIND('112'!$M$9,G338,1)),"",IF((AND(FIND('112'!$M$9,G338,1)&gt;=1,B338='112'!$K$9,OR($N338='112'!$I$6,$O338='112'!$I$6))),"x",""))</f>
        <v/>
      </c>
      <c r="U338" s="75" t="str">
        <f>IF(ISERROR(FIND('112'!$M$9,G338,1)),"",IF((AND(LEFT(G338,2)=LEFT('112'!$M$9,2),B338&lt;'112'!$K$9,$N338='112'!$I$6)),"x",""))</f>
        <v/>
      </c>
      <c r="V338" s="75" t="str">
        <f>IF(ISERROR(FIND('112'!$M$9,G338,1)),"",IF((AND(RIGHT(G338,2)=RIGHT('112'!$M$9,2),B338&lt;'112'!$K$9,$O338='112'!$I$6)),"x",""))</f>
        <v/>
      </c>
      <c r="W338" s="75" t="str">
        <f>IF(AND('341-CT'!$H$9=H338,OR(LEFT(N338,3)=$W$7,LEFT(O338,3)=$W$7)),"x","")</f>
        <v/>
      </c>
      <c r="X338" s="75" t="str">
        <f>IF(OR(TH!N338=TH!$X$7,O338=TH!$X$7),"x","")</f>
        <v/>
      </c>
      <c r="Y338" s="75" t="str">
        <f>IF(AND(OR(N338="131",O338="131"),H338='131-CT'!$H$9),"x","")</f>
        <v/>
      </c>
      <c r="Z338" s="75"/>
      <c r="AA338" s="75" t="str">
        <f>IF(AND(MONTH(E338)='IN-NX'!$J$5,'IN-NX'!$D$7=D338),"x","")</f>
        <v/>
      </c>
      <c r="AB338" s="75" t="str">
        <f>IF(AND(OR(LEFT(TH!N338,2)="15",LEFT(TH!O338,2)="15"),LEFT(TH!O338,3)&lt;&gt;"111",'152-CT'!$J$8=TH!F338),"x","")</f>
        <v/>
      </c>
      <c r="AC338" s="75" t="str">
        <f>IF(AND(OR(LEFT(TH!N338,2)="15",LEFT(TH!O338,2)="15"),TK!$E$7=TH!F338),"x","")</f>
        <v/>
      </c>
      <c r="AD338" s="75" t="str">
        <f>IF(AND(N338="1521",MONTH(C338)='BK-NL'!$M$11),"x","")</f>
        <v/>
      </c>
    </row>
    <row r="339" spans="1:30" s="1054" customFormat="1" ht="16.5" customHeight="1">
      <c r="A339" s="309" t="str">
        <f>IF(B339&lt;&gt;"",IF(AND(B339='IN-TC'!$S$4,OR(TH!N339="1111",TH!O339="1111")),TH!D339,""),"")</f>
        <v/>
      </c>
      <c r="B339" s="1169">
        <f t="shared" si="63"/>
        <v>3</v>
      </c>
      <c r="C339" s="947">
        <v>42809</v>
      </c>
      <c r="D339" s="947" t="s">
        <v>530</v>
      </c>
      <c r="E339" s="947">
        <v>42809</v>
      </c>
      <c r="F339" s="948" t="s">
        <v>1108</v>
      </c>
      <c r="G339" s="952" t="s">
        <v>1110</v>
      </c>
      <c r="H339" s="946" t="s">
        <v>562</v>
      </c>
      <c r="I339" s="939"/>
      <c r="J339" s="949"/>
      <c r="K339" s="939"/>
      <c r="L339" s="938"/>
      <c r="M339" s="940">
        <v>3000000</v>
      </c>
      <c r="N339" s="950" t="s">
        <v>539</v>
      </c>
      <c r="O339" s="950" t="s">
        <v>8</v>
      </c>
      <c r="P339" s="75" t="str">
        <f>IF(AND('331-CT'!$E$7=TH!H339,OR(N339="331",O339="331")),"x","")</f>
        <v/>
      </c>
      <c r="Q339" s="75" t="str">
        <f>IF(AND(B339='111'!$L$11,OR($N339=$Q$7,$O339=$Q$7)),"x","")</f>
        <v/>
      </c>
      <c r="R339" s="75" t="str">
        <f>IF(AND($N339=$Q$7,$B339&lt;'111'!$L$11),"x","")</f>
        <v/>
      </c>
      <c r="S339" s="75" t="str">
        <f>IF(AND($O339=$Q$7,$B339&lt;'111'!$L$11),"x","")</f>
        <v/>
      </c>
      <c r="T339" s="75" t="str">
        <f>IF(ISERROR(FIND('112'!$M$9,G339,1)),"",IF((AND(FIND('112'!$M$9,G339,1)&gt;=1,B339='112'!$K$9,OR($N339='112'!$I$6,$O339='112'!$I$6))),"x",""))</f>
        <v/>
      </c>
      <c r="U339" s="75" t="str">
        <f>IF(ISERROR(FIND('112'!$M$9,G339,1)),"",IF((AND(LEFT(G339,2)=LEFT('112'!$M$9,2),B339&lt;'112'!$K$9,$N339='112'!$I$6)),"x",""))</f>
        <v/>
      </c>
      <c r="V339" s="75" t="str">
        <f>IF(ISERROR(FIND('112'!$M$9,G339,1)),"",IF((AND(RIGHT(G339,2)=RIGHT('112'!$M$9,2),B339&lt;'112'!$K$9,$O339='112'!$I$6)),"x",""))</f>
        <v/>
      </c>
      <c r="W339" s="75" t="str">
        <f>IF(AND('341-CT'!$H$9=H339,OR(LEFT(N339,3)=$W$7,LEFT(O339,3)=$W$7)),"x","")</f>
        <v/>
      </c>
      <c r="X339" s="75" t="str">
        <f>IF(OR(TH!N339=TH!$X$7,O339=TH!$X$7),"x","")</f>
        <v/>
      </c>
      <c r="Y339" s="75" t="str">
        <f>IF(AND(OR(N339="131",O339="131"),H339='131-CT'!$H$9),"x","")</f>
        <v/>
      </c>
      <c r="Z339" s="75"/>
      <c r="AA339" s="75" t="str">
        <f>IF(AND(MONTH(E339)='IN-NX'!$J$5,'IN-NX'!$D$7=D339),"x","")</f>
        <v/>
      </c>
      <c r="AB339" s="75" t="str">
        <f>IF(AND(OR(LEFT(TH!N339,2)="15",LEFT(TH!O339,2)="15"),LEFT(TH!O339,3)&lt;&gt;"111",'152-CT'!$J$8=TH!F339),"x","")</f>
        <v/>
      </c>
      <c r="AC339" s="75" t="str">
        <f>IF(AND(OR(LEFT(TH!N339,2)="15",LEFT(TH!O339,2)="15"),TK!$E$7=TH!F339),"x","")</f>
        <v/>
      </c>
      <c r="AD339" s="75" t="str">
        <f>IF(AND(N339="1521",MONTH(C339)='BK-NL'!$M$11),"x","")</f>
        <v/>
      </c>
    </row>
    <row r="340" spans="1:30" ht="16.5" customHeight="1">
      <c r="A340" s="309" t="str">
        <f>IF(B340&lt;&gt;"",IF(AND(B340='IN-TC'!$S$4,OR(TH!N340="1111",TH!O340="1111")),TH!D340,""),"")</f>
        <v/>
      </c>
      <c r="B340" s="1169">
        <f t="shared" si="63"/>
        <v>3</v>
      </c>
      <c r="C340" s="929">
        <v>42809</v>
      </c>
      <c r="D340" s="929" t="s">
        <v>530</v>
      </c>
      <c r="E340" s="929">
        <v>42809</v>
      </c>
      <c r="F340" s="930" t="s">
        <v>1109</v>
      </c>
      <c r="G340" s="931" t="s">
        <v>1110</v>
      </c>
      <c r="H340" s="735" t="s">
        <v>562</v>
      </c>
      <c r="I340" s="371"/>
      <c r="J340" s="932"/>
      <c r="K340" s="371"/>
      <c r="L340" s="377"/>
      <c r="M340" s="933">
        <v>300000</v>
      </c>
      <c r="N340" s="934" t="s">
        <v>9</v>
      </c>
      <c r="O340" s="934" t="s">
        <v>8</v>
      </c>
      <c r="P340" s="75" t="str">
        <f>IF(AND('331-CT'!$E$7=TH!H340,OR(N340="331",O340="331")),"x","")</f>
        <v/>
      </c>
      <c r="Q340" s="75" t="str">
        <f>IF(AND(B340='111'!$L$11,OR($N340=$Q$7,$O340=$Q$7)),"x","")</f>
        <v/>
      </c>
      <c r="R340" s="75" t="str">
        <f>IF(AND($N340=$Q$7,$B340&lt;'111'!$L$11),"x","")</f>
        <v/>
      </c>
      <c r="S340" s="75" t="str">
        <f>IF(AND($O340=$Q$7,$B340&lt;'111'!$L$11),"x","")</f>
        <v/>
      </c>
      <c r="T340" s="75" t="str">
        <f>IF(ISERROR(FIND('112'!$M$9,G340,1)),"",IF((AND(FIND('112'!$M$9,G340,1)&gt;=1,B340='112'!$K$9,OR($N340='112'!$I$6,$O340='112'!$I$6))),"x",""))</f>
        <v/>
      </c>
      <c r="U340" s="75" t="str">
        <f>IF(ISERROR(FIND('112'!$M$9,G340,1)),"",IF((AND(LEFT(G340,2)=LEFT('112'!$M$9,2),B340&lt;'112'!$K$9,$N340='112'!$I$6)),"x",""))</f>
        <v/>
      </c>
      <c r="V340" s="75" t="str">
        <f>IF(ISERROR(FIND('112'!$M$9,G340,1)),"",IF((AND(RIGHT(G340,2)=RIGHT('112'!$M$9,2),B340&lt;'112'!$K$9,$O340='112'!$I$6)),"x",""))</f>
        <v/>
      </c>
      <c r="W340" s="75" t="str">
        <f>IF(AND('341-CT'!$H$9=H340,OR(LEFT(N340,3)=$W$7,LEFT(O340,3)=$W$7)),"x","")</f>
        <v/>
      </c>
      <c r="X340" s="75" t="str">
        <f>IF(OR(TH!N340=TH!$X$7,O340=TH!$X$7),"x","")</f>
        <v/>
      </c>
      <c r="Y340" s="75" t="str">
        <f>IF(AND(OR(N340="131",O340="131"),H340='131-CT'!$H$9),"x","")</f>
        <v/>
      </c>
      <c r="Z340" s="75"/>
      <c r="AA340" s="75" t="str">
        <f>IF(AND(MONTH(E340)='IN-NX'!$J$5,'IN-NX'!$D$7=D340),"x","")</f>
        <v/>
      </c>
      <c r="AB340" s="75" t="str">
        <f>IF(AND(OR(LEFT(TH!N340,2)="15",LEFT(TH!O340,2)="15"),LEFT(TH!O340,3)&lt;&gt;"111",'152-CT'!$J$8=TH!F340),"x","")</f>
        <v/>
      </c>
      <c r="AC340" s="75" t="str">
        <f>IF(AND(OR(LEFT(TH!N340,2)="15",LEFT(TH!O340,2)="15"),TK!$E$7=TH!F340),"x","")</f>
        <v/>
      </c>
      <c r="AD340" s="75" t="str">
        <f>IF(AND(N340="1521",MONTH(C340)='BK-NL'!$M$11),"x","")</f>
        <v/>
      </c>
    </row>
    <row r="341" spans="1:30" ht="16.5" customHeight="1">
      <c r="A341" s="309" t="str">
        <f>IF(B341&lt;&gt;"",IF(AND(B341='IN-TC'!$S$4,OR(TH!N341="1111",TH!O341="1111")),TH!D341,""),"")</f>
        <v/>
      </c>
      <c r="B341" s="1169">
        <f t="shared" si="63"/>
        <v>3</v>
      </c>
      <c r="C341" s="929">
        <v>42808</v>
      </c>
      <c r="D341" s="929" t="s">
        <v>530</v>
      </c>
      <c r="E341" s="929">
        <v>42808</v>
      </c>
      <c r="F341" s="930" t="s">
        <v>869</v>
      </c>
      <c r="G341" s="931" t="s">
        <v>1114</v>
      </c>
      <c r="H341" s="296" t="s">
        <v>561</v>
      </c>
      <c r="I341" s="371"/>
      <c r="J341" s="932"/>
      <c r="K341" s="371"/>
      <c r="L341" s="377"/>
      <c r="M341" s="933">
        <v>950000</v>
      </c>
      <c r="N341" s="934" t="s">
        <v>539</v>
      </c>
      <c r="O341" s="934" t="s">
        <v>8</v>
      </c>
      <c r="P341" s="75" t="str">
        <f>IF(AND('331-CT'!$E$7=TH!H341,OR(N341="331",O341="331")),"x","")</f>
        <v/>
      </c>
      <c r="Q341" s="75" t="str">
        <f>IF(AND(B341='111'!$L$11,OR($N341=$Q$7,$O341=$Q$7)),"x","")</f>
        <v/>
      </c>
      <c r="R341" s="75" t="str">
        <f>IF(AND($N341=$Q$7,$B341&lt;'111'!$L$11),"x","")</f>
        <v/>
      </c>
      <c r="S341" s="75" t="str">
        <f>IF(AND($O341=$Q$7,$B341&lt;'111'!$L$11),"x","")</f>
        <v/>
      </c>
      <c r="T341" s="75" t="str">
        <f>IF(ISERROR(FIND('112'!$M$9,G341,1)),"",IF((AND(FIND('112'!$M$9,G341,1)&gt;=1,B341='112'!$K$9,OR($N341='112'!$I$6,$O341='112'!$I$6))),"x",""))</f>
        <v/>
      </c>
      <c r="U341" s="75" t="str">
        <f>IF(ISERROR(FIND('112'!$M$9,G341,1)),"",IF((AND(LEFT(G341,2)=LEFT('112'!$M$9,2),B341&lt;'112'!$K$9,$N341='112'!$I$6)),"x",""))</f>
        <v/>
      </c>
      <c r="V341" s="75" t="str">
        <f>IF(ISERROR(FIND('112'!$M$9,G341,1)),"",IF((AND(RIGHT(G341,2)=RIGHT('112'!$M$9,2),B341&lt;'112'!$K$9,$O341='112'!$I$6)),"x",""))</f>
        <v/>
      </c>
      <c r="W341" s="75" t="str">
        <f>IF(AND('341-CT'!$H$9=H341,OR(LEFT(N341,3)=$W$7,LEFT(O341,3)=$W$7)),"x","")</f>
        <v/>
      </c>
      <c r="X341" s="75" t="str">
        <f>IF(OR(TH!N341=TH!$X$7,O341=TH!$X$7),"x","")</f>
        <v/>
      </c>
      <c r="Y341" s="75" t="str">
        <f>IF(AND(OR(N341="131",O341="131"),H341='131-CT'!$H$9),"x","")</f>
        <v/>
      </c>
      <c r="Z341" s="75"/>
      <c r="AA341" s="75" t="str">
        <f>IF(AND(MONTH(E341)='IN-NX'!$J$5,'IN-NX'!$D$7=D341),"x","")</f>
        <v/>
      </c>
      <c r="AB341" s="75" t="str">
        <f>IF(AND(OR(LEFT(TH!N341,2)="15",LEFT(TH!O341,2)="15"),LEFT(TH!O341,3)&lt;&gt;"111",'152-CT'!$J$8=TH!F341),"x","")</f>
        <v/>
      </c>
      <c r="AC341" s="75" t="str">
        <f>IF(AND(OR(LEFT(TH!N341,2)="15",LEFT(TH!O341,2)="15"),TK!$E$7=TH!F341),"x","")</f>
        <v/>
      </c>
      <c r="AD341" s="75" t="str">
        <f>IF(AND(N341="1521",MONTH(C341)='BK-NL'!$M$11),"x","")</f>
        <v/>
      </c>
    </row>
    <row r="342" spans="1:30" ht="16.5" customHeight="1">
      <c r="A342" s="309" t="str">
        <f>IF(B342&lt;&gt;"",IF(AND(B342='IN-TC'!$S$4,OR(TH!N342="1111",TH!O342="1111")),TH!D342,""),"")</f>
        <v/>
      </c>
      <c r="B342" s="1169">
        <f t="shared" si="63"/>
        <v>3</v>
      </c>
      <c r="C342" s="929">
        <v>42811</v>
      </c>
      <c r="D342" s="929" t="s">
        <v>530</v>
      </c>
      <c r="E342" s="929">
        <v>42811</v>
      </c>
      <c r="F342" s="930" t="s">
        <v>869</v>
      </c>
      <c r="G342" s="931" t="s">
        <v>1115</v>
      </c>
      <c r="H342" s="296" t="s">
        <v>561</v>
      </c>
      <c r="I342" s="371"/>
      <c r="J342" s="932"/>
      <c r="K342" s="371"/>
      <c r="L342" s="377"/>
      <c r="M342" s="933">
        <v>5735000</v>
      </c>
      <c r="N342" s="934" t="s">
        <v>539</v>
      </c>
      <c r="O342" s="934" t="s">
        <v>8</v>
      </c>
      <c r="P342" s="75" t="str">
        <f>IF(AND('331-CT'!$E$7=TH!H342,OR(N342="331",O342="331")),"x","")</f>
        <v/>
      </c>
      <c r="Q342" s="75" t="str">
        <f>IF(AND(B342='111'!$L$11,OR($N342=$Q$7,$O342=$Q$7)),"x","")</f>
        <v/>
      </c>
      <c r="R342" s="75" t="str">
        <f>IF(AND($N342=$Q$7,$B342&lt;'111'!$L$11),"x","")</f>
        <v/>
      </c>
      <c r="S342" s="75" t="str">
        <f>IF(AND($O342=$Q$7,$B342&lt;'111'!$L$11),"x","")</f>
        <v/>
      </c>
      <c r="T342" s="75" t="str">
        <f>IF(ISERROR(FIND('112'!$M$9,G342,1)),"",IF((AND(FIND('112'!$M$9,G342,1)&gt;=1,B342='112'!$K$9,OR($N342='112'!$I$6,$O342='112'!$I$6))),"x",""))</f>
        <v/>
      </c>
      <c r="U342" s="75" t="str">
        <f>IF(ISERROR(FIND('112'!$M$9,G342,1)),"",IF((AND(LEFT(G342,2)=LEFT('112'!$M$9,2),B342&lt;'112'!$K$9,$N342='112'!$I$6)),"x",""))</f>
        <v/>
      </c>
      <c r="V342" s="75" t="str">
        <f>IF(ISERROR(FIND('112'!$M$9,G342,1)),"",IF((AND(RIGHT(G342,2)=RIGHT('112'!$M$9,2),B342&lt;'112'!$K$9,$O342='112'!$I$6)),"x",""))</f>
        <v/>
      </c>
      <c r="W342" s="75" t="str">
        <f>IF(AND('341-CT'!$H$9=H342,OR(LEFT(N342,3)=$W$7,LEFT(O342,3)=$W$7)),"x","")</f>
        <v/>
      </c>
      <c r="X342" s="75" t="str">
        <f>IF(OR(TH!N342=TH!$X$7,O342=TH!$X$7),"x","")</f>
        <v/>
      </c>
      <c r="Y342" s="75" t="str">
        <f>IF(AND(OR(N342="131",O342="131"),H342='131-CT'!$H$9),"x","")</f>
        <v/>
      </c>
      <c r="Z342" s="75"/>
      <c r="AA342" s="75" t="str">
        <f>IF(AND(MONTH(E342)='IN-NX'!$J$5,'IN-NX'!$D$7=D342),"x","")</f>
        <v/>
      </c>
      <c r="AB342" s="75" t="str">
        <f>IF(AND(OR(LEFT(TH!N342,2)="15",LEFT(TH!O342,2)="15"),LEFT(TH!O342,3)&lt;&gt;"111",'152-CT'!$J$8=TH!F342),"x","")</f>
        <v/>
      </c>
      <c r="AC342" s="75" t="str">
        <f>IF(AND(OR(LEFT(TH!N342,2)="15",LEFT(TH!O342,2)="15"),TK!$E$7=TH!F342),"x","")</f>
        <v/>
      </c>
      <c r="AD342" s="75" t="str">
        <f>IF(AND(N342="1521",MONTH(C342)='BK-NL'!$M$11),"x","")</f>
        <v/>
      </c>
    </row>
    <row r="343" spans="1:30" ht="16.5" customHeight="1">
      <c r="A343" s="309" t="str">
        <f>IF(B343&lt;&gt;"",IF(AND(B343='IN-TC'!$S$4,OR(TH!N343="1111",TH!O343="1111")),TH!D343,""),"")</f>
        <v/>
      </c>
      <c r="B343" s="1169">
        <f t="shared" si="63"/>
        <v>3</v>
      </c>
      <c r="C343" s="929">
        <v>42822</v>
      </c>
      <c r="D343" s="929" t="s">
        <v>530</v>
      </c>
      <c r="E343" s="929">
        <v>42822</v>
      </c>
      <c r="F343" s="930" t="s">
        <v>1108</v>
      </c>
      <c r="G343" s="931" t="s">
        <v>1136</v>
      </c>
      <c r="H343" s="735" t="s">
        <v>562</v>
      </c>
      <c r="I343" s="371"/>
      <c r="J343" s="932"/>
      <c r="K343" s="371"/>
      <c r="L343" s="377"/>
      <c r="M343" s="933">
        <v>3000000</v>
      </c>
      <c r="N343" s="934" t="s">
        <v>539</v>
      </c>
      <c r="O343" s="934" t="s">
        <v>8</v>
      </c>
      <c r="P343" s="75" t="str">
        <f>IF(AND('331-CT'!$E$7=TH!H343,OR(N343="331",O343="331")),"x","")</f>
        <v/>
      </c>
      <c r="Q343" s="75" t="str">
        <f>IF(AND(B343='111'!$L$11,OR($N343=$Q$7,$O343=$Q$7)),"x","")</f>
        <v/>
      </c>
      <c r="R343" s="75" t="str">
        <f>IF(AND($N343=$Q$7,$B343&lt;'111'!$L$11),"x","")</f>
        <v/>
      </c>
      <c r="S343" s="75" t="str">
        <f>IF(AND($O343=$Q$7,$B343&lt;'111'!$L$11),"x","")</f>
        <v/>
      </c>
      <c r="T343" s="75" t="str">
        <f>IF(ISERROR(FIND('112'!$M$9,G343,1)),"",IF((AND(FIND('112'!$M$9,G343,1)&gt;=1,B343='112'!$K$9,OR($N343='112'!$I$6,$O343='112'!$I$6))),"x",""))</f>
        <v/>
      </c>
      <c r="U343" s="75" t="str">
        <f>IF(ISERROR(FIND('112'!$M$9,G343,1)),"",IF((AND(LEFT(G343,2)=LEFT('112'!$M$9,2),B343&lt;'112'!$K$9,$N343='112'!$I$6)),"x",""))</f>
        <v/>
      </c>
      <c r="V343" s="75" t="str">
        <f>IF(ISERROR(FIND('112'!$M$9,G343,1)),"",IF((AND(RIGHT(G343,2)=RIGHT('112'!$M$9,2),B343&lt;'112'!$K$9,$O343='112'!$I$6)),"x",""))</f>
        <v/>
      </c>
      <c r="W343" s="75" t="str">
        <f>IF(AND('341-CT'!$H$9=H343,OR(LEFT(N343,3)=$W$7,LEFT(O343,3)=$W$7)),"x","")</f>
        <v/>
      </c>
      <c r="X343" s="75" t="str">
        <f>IF(OR(TH!N343=TH!$X$7,O343=TH!$X$7),"x","")</f>
        <v/>
      </c>
      <c r="Y343" s="75" t="str">
        <f>IF(AND(OR(N343="131",O343="131"),H343='131-CT'!$H$9),"x","")</f>
        <v/>
      </c>
      <c r="Z343" s="75"/>
      <c r="AA343" s="75" t="str">
        <f>IF(AND(MONTH(E343)='IN-NX'!$J$5,'IN-NX'!$D$7=D343),"x","")</f>
        <v/>
      </c>
      <c r="AB343" s="75" t="str">
        <f>IF(AND(OR(LEFT(TH!N343,2)="15",LEFT(TH!O343,2)="15"),LEFT(TH!O343,3)&lt;&gt;"111",'152-CT'!$J$8=TH!F343),"x","")</f>
        <v/>
      </c>
      <c r="AC343" s="75" t="str">
        <f>IF(AND(OR(LEFT(TH!N343,2)="15",LEFT(TH!O343,2)="15"),TK!$E$7=TH!F343),"x","")</f>
        <v/>
      </c>
      <c r="AD343" s="75" t="str">
        <f>IF(AND(N343="1521",MONTH(C343)='BK-NL'!$M$11),"x","")</f>
        <v/>
      </c>
    </row>
    <row r="344" spans="1:30" ht="16.5" customHeight="1">
      <c r="A344" s="309" t="str">
        <f>IF(B344&lt;&gt;"",IF(AND(B344='IN-TC'!$S$4,OR(TH!N344="1111",TH!O344="1111")),TH!D344,""),"")</f>
        <v/>
      </c>
      <c r="B344" s="1169">
        <f t="shared" si="63"/>
        <v>3</v>
      </c>
      <c r="C344" s="929">
        <v>42822</v>
      </c>
      <c r="D344" s="929" t="s">
        <v>530</v>
      </c>
      <c r="E344" s="929">
        <v>42822</v>
      </c>
      <c r="F344" s="930" t="s">
        <v>1109</v>
      </c>
      <c r="G344" s="931" t="s">
        <v>1136</v>
      </c>
      <c r="H344" s="735" t="s">
        <v>562</v>
      </c>
      <c r="I344" s="371"/>
      <c r="J344" s="932"/>
      <c r="K344" s="371"/>
      <c r="L344" s="377"/>
      <c r="M344" s="933">
        <v>300000</v>
      </c>
      <c r="N344" s="934" t="s">
        <v>9</v>
      </c>
      <c r="O344" s="934" t="s">
        <v>8</v>
      </c>
      <c r="P344" s="75" t="str">
        <f>IF(AND('331-CT'!$E$7=TH!H344,OR(N344="331",O344="331")),"x","")</f>
        <v/>
      </c>
      <c r="Q344" s="75" t="str">
        <f>IF(AND(B344='111'!$L$11,OR($N344=$Q$7,$O344=$Q$7)),"x","")</f>
        <v/>
      </c>
      <c r="R344" s="75" t="str">
        <f>IF(AND($N344=$Q$7,$B344&lt;'111'!$L$11),"x","")</f>
        <v/>
      </c>
      <c r="S344" s="75" t="str">
        <f>IF(AND($O344=$Q$7,$B344&lt;'111'!$L$11),"x","")</f>
        <v/>
      </c>
      <c r="T344" s="75" t="str">
        <f>IF(ISERROR(FIND('112'!$M$9,G344,1)),"",IF((AND(FIND('112'!$M$9,G344,1)&gt;=1,B344='112'!$K$9,OR($N344='112'!$I$6,$O344='112'!$I$6))),"x",""))</f>
        <v/>
      </c>
      <c r="U344" s="75" t="str">
        <f>IF(ISERROR(FIND('112'!$M$9,G344,1)),"",IF((AND(LEFT(G344,2)=LEFT('112'!$M$9,2),B344&lt;'112'!$K$9,$N344='112'!$I$6)),"x",""))</f>
        <v/>
      </c>
      <c r="V344" s="75" t="str">
        <f>IF(ISERROR(FIND('112'!$M$9,G344,1)),"",IF((AND(RIGHT(G344,2)=RIGHT('112'!$M$9,2),B344&lt;'112'!$K$9,$O344='112'!$I$6)),"x",""))</f>
        <v/>
      </c>
      <c r="W344" s="75" t="str">
        <f>IF(AND('341-CT'!$H$9=H344,OR(LEFT(N344,3)=$W$7,LEFT(O344,3)=$W$7)),"x","")</f>
        <v/>
      </c>
      <c r="X344" s="75" t="str">
        <f>IF(OR(TH!N344=TH!$X$7,O344=TH!$X$7),"x","")</f>
        <v/>
      </c>
      <c r="Y344" s="75" t="str">
        <f>IF(AND(OR(N344="131",O344="131"),H344='131-CT'!$H$9),"x","")</f>
        <v/>
      </c>
      <c r="Z344" s="75"/>
      <c r="AA344" s="75" t="str">
        <f>IF(AND(MONTH(E344)='IN-NX'!$J$5,'IN-NX'!$D$7=D344),"x","")</f>
        <v/>
      </c>
      <c r="AB344" s="75" t="str">
        <f>IF(AND(OR(LEFT(TH!N344,2)="15",LEFT(TH!O344,2)="15"),LEFT(TH!O344,3)&lt;&gt;"111",'152-CT'!$J$8=TH!F344),"x","")</f>
        <v/>
      </c>
      <c r="AC344" s="75" t="str">
        <f>IF(AND(OR(LEFT(TH!N344,2)="15",LEFT(TH!O344,2)="15"),TK!$E$7=TH!F344),"x","")</f>
        <v/>
      </c>
      <c r="AD344" s="75" t="str">
        <f>IF(AND(N344="1521",MONTH(C344)='BK-NL'!$M$11),"x","")</f>
        <v/>
      </c>
    </row>
    <row r="345" spans="1:30" ht="16.5" customHeight="1">
      <c r="A345" s="309" t="str">
        <f>IF(B345&lt;&gt;"",IF(AND(B345='IN-TC'!$S$4,OR(TH!N345="1111",TH!O345="1111")),TH!D345,""),"")</f>
        <v/>
      </c>
      <c r="B345" s="1169">
        <f t="shared" si="63"/>
        <v>3</v>
      </c>
      <c r="C345" s="929">
        <v>42824</v>
      </c>
      <c r="D345" s="929" t="s">
        <v>530</v>
      </c>
      <c r="E345" s="929">
        <v>42824</v>
      </c>
      <c r="F345" s="930" t="s">
        <v>808</v>
      </c>
      <c r="G345" s="931" t="s">
        <v>1130</v>
      </c>
      <c r="H345" s="296" t="s">
        <v>622</v>
      </c>
      <c r="I345" s="371"/>
      <c r="J345" s="932"/>
      <c r="K345" s="371"/>
      <c r="L345" s="377"/>
      <c r="M345" s="933">
        <v>68490000</v>
      </c>
      <c r="N345" s="934" t="s">
        <v>539</v>
      </c>
      <c r="O345" s="934" t="s">
        <v>8</v>
      </c>
      <c r="P345" s="75" t="str">
        <f>IF(AND('331-CT'!$E$7=TH!H345,OR(N345="331",O345="331")),"x","")</f>
        <v/>
      </c>
      <c r="Q345" s="75" t="str">
        <f>IF(AND(B345='111'!$L$11,OR($N345=$Q$7,$O345=$Q$7)),"x","")</f>
        <v/>
      </c>
      <c r="R345" s="75" t="str">
        <f>IF(AND($N345=$Q$7,$B345&lt;'111'!$L$11),"x","")</f>
        <v/>
      </c>
      <c r="S345" s="75" t="str">
        <f>IF(AND($O345=$Q$7,$B345&lt;'111'!$L$11),"x","")</f>
        <v/>
      </c>
      <c r="T345" s="75" t="str">
        <f>IF(ISERROR(FIND('112'!$M$9,G345,1)),"",IF((AND(FIND('112'!$M$9,G345,1)&gt;=1,B345='112'!$K$9,OR($N345='112'!$I$6,$O345='112'!$I$6))),"x",""))</f>
        <v/>
      </c>
      <c r="U345" s="75" t="str">
        <f>IF(ISERROR(FIND('112'!$M$9,G345,1)),"",IF((AND(LEFT(G345,2)=LEFT('112'!$M$9,2),B345&lt;'112'!$K$9,$N345='112'!$I$6)),"x",""))</f>
        <v/>
      </c>
      <c r="V345" s="75" t="str">
        <f>IF(ISERROR(FIND('112'!$M$9,G345,1)),"",IF((AND(RIGHT(G345,2)=RIGHT('112'!$M$9,2),B345&lt;'112'!$K$9,$O345='112'!$I$6)),"x",""))</f>
        <v/>
      </c>
      <c r="W345" s="75" t="str">
        <f>IF(AND('341-CT'!$H$9=H345,OR(LEFT(N345,3)=$W$7,LEFT(O345,3)=$W$7)),"x","")</f>
        <v/>
      </c>
      <c r="X345" s="75" t="str">
        <f>IF(OR(TH!N345=TH!$X$7,O345=TH!$X$7),"x","")</f>
        <v/>
      </c>
      <c r="Y345" s="75" t="str">
        <f>IF(AND(OR(N345="131",O345="131"),H345='131-CT'!$H$9),"x","")</f>
        <v/>
      </c>
      <c r="Z345" s="75"/>
      <c r="AA345" s="75" t="str">
        <f>IF(AND(MONTH(E345)='IN-NX'!$J$5,'IN-NX'!$D$7=D345),"x","")</f>
        <v/>
      </c>
      <c r="AB345" s="75" t="str">
        <f>IF(AND(OR(LEFT(TH!N345,2)="15",LEFT(TH!O345,2)="15"),LEFT(TH!O345,3)&lt;&gt;"111",'152-CT'!$J$8=TH!F345),"x","")</f>
        <v/>
      </c>
      <c r="AC345" s="75" t="str">
        <f>IF(AND(OR(LEFT(TH!N345,2)="15",LEFT(TH!O345,2)="15"),TK!$E$7=TH!F345),"x","")</f>
        <v/>
      </c>
      <c r="AD345" s="75" t="str">
        <f>IF(AND(N345="1521",MONTH(C345)='BK-NL'!$M$11),"x","")</f>
        <v/>
      </c>
    </row>
    <row r="346" spans="1:30" ht="16.5" customHeight="1">
      <c r="A346" s="309" t="str">
        <f>IF(B346&lt;&gt;"",IF(AND(B346='IN-TC'!$S$4,OR(TH!N346="1111",TH!O346="1111")),TH!D346,""),"")</f>
        <v/>
      </c>
      <c r="B346" s="1169">
        <f t="shared" si="63"/>
        <v>3</v>
      </c>
      <c r="C346" s="929">
        <v>42824</v>
      </c>
      <c r="D346" s="929" t="s">
        <v>530</v>
      </c>
      <c r="E346" s="929">
        <v>42824</v>
      </c>
      <c r="F346" s="930" t="s">
        <v>810</v>
      </c>
      <c r="G346" s="931" t="s">
        <v>1131</v>
      </c>
      <c r="H346" s="296" t="s">
        <v>622</v>
      </c>
      <c r="I346" s="371"/>
      <c r="J346" s="932"/>
      <c r="K346" s="371"/>
      <c r="L346" s="377"/>
      <c r="M346" s="933">
        <v>30432390</v>
      </c>
      <c r="N346" s="934" t="s">
        <v>539</v>
      </c>
      <c r="O346" s="934" t="s">
        <v>8</v>
      </c>
      <c r="P346" s="75" t="str">
        <f>IF(AND('331-CT'!$E$7=TH!H346,OR(N346="331",O346="331")),"x","")</f>
        <v/>
      </c>
      <c r="Q346" s="75" t="str">
        <f>IF(AND(B346='111'!$L$11,OR($N346=$Q$7,$O346=$Q$7)),"x","")</f>
        <v/>
      </c>
      <c r="R346" s="75" t="str">
        <f>IF(AND($N346=$Q$7,$B346&lt;'111'!$L$11),"x","")</f>
        <v/>
      </c>
      <c r="S346" s="75" t="str">
        <f>IF(AND($O346=$Q$7,$B346&lt;'111'!$L$11),"x","")</f>
        <v/>
      </c>
      <c r="T346" s="75" t="str">
        <f>IF(ISERROR(FIND('112'!$M$9,G346,1)),"",IF((AND(FIND('112'!$M$9,G346,1)&gt;=1,B346='112'!$K$9,OR($N346='112'!$I$6,$O346='112'!$I$6))),"x",""))</f>
        <v/>
      </c>
      <c r="U346" s="75" t="str">
        <f>IF(ISERROR(FIND('112'!$M$9,G346,1)),"",IF((AND(LEFT(G346,2)=LEFT('112'!$M$9,2),B346&lt;'112'!$K$9,$N346='112'!$I$6)),"x",""))</f>
        <v/>
      </c>
      <c r="V346" s="75" t="str">
        <f>IF(ISERROR(FIND('112'!$M$9,G346,1)),"",IF((AND(RIGHT(G346,2)=RIGHT('112'!$M$9,2),B346&lt;'112'!$K$9,$O346='112'!$I$6)),"x",""))</f>
        <v/>
      </c>
      <c r="W346" s="75" t="str">
        <f>IF(AND('341-CT'!$H$9=H346,OR(LEFT(N346,3)=$W$7,LEFT(O346,3)=$W$7)),"x","")</f>
        <v/>
      </c>
      <c r="X346" s="75" t="str">
        <f>IF(OR(TH!N346=TH!$X$7,O346=TH!$X$7),"x","")</f>
        <v/>
      </c>
      <c r="Y346" s="75" t="str">
        <f>IF(AND(OR(N346="131",O346="131"),H346='131-CT'!$H$9),"x","")</f>
        <v/>
      </c>
      <c r="Z346" s="75"/>
      <c r="AA346" s="75" t="str">
        <f>IF(AND(MONTH(E346)='IN-NX'!$J$5,'IN-NX'!$D$7=D346),"x","")</f>
        <v/>
      </c>
      <c r="AB346" s="75" t="str">
        <f>IF(AND(OR(LEFT(TH!N346,2)="15",LEFT(TH!O346,2)="15"),LEFT(TH!O346,3)&lt;&gt;"111",'152-CT'!$J$8=TH!F346),"x","")</f>
        <v/>
      </c>
      <c r="AC346" s="75" t="str">
        <f>IF(AND(OR(LEFT(TH!N346,2)="15",LEFT(TH!O346,2)="15"),TK!$E$7=TH!F346),"x","")</f>
        <v/>
      </c>
      <c r="AD346" s="75" t="str">
        <f>IF(AND(N346="1521",MONTH(C346)='BK-NL'!$M$11),"x","")</f>
        <v/>
      </c>
    </row>
    <row r="347" spans="1:30" ht="16.5" customHeight="1">
      <c r="A347" s="309" t="str">
        <f>IF(B347&lt;&gt;"",IF(AND(B347='IN-TC'!$S$4,OR(TH!N347="1111",TH!O347="1111")),TH!D347,""),"")</f>
        <v/>
      </c>
      <c r="B347" s="1169">
        <f t="shared" si="63"/>
        <v>3</v>
      </c>
      <c r="C347" s="929">
        <v>42824</v>
      </c>
      <c r="D347" s="929" t="s">
        <v>530</v>
      </c>
      <c r="E347" s="929">
        <v>42824</v>
      </c>
      <c r="F347" s="930" t="s">
        <v>811</v>
      </c>
      <c r="G347" s="931" t="s">
        <v>1131</v>
      </c>
      <c r="H347" s="296" t="s">
        <v>622</v>
      </c>
      <c r="I347" s="371"/>
      <c r="J347" s="932"/>
      <c r="K347" s="371"/>
      <c r="L347" s="377"/>
      <c r="M347" s="933">
        <v>3043239</v>
      </c>
      <c r="N347" s="934" t="s">
        <v>9</v>
      </c>
      <c r="O347" s="934" t="s">
        <v>8</v>
      </c>
      <c r="P347" s="75" t="str">
        <f>IF(AND('331-CT'!$E$7=TH!H347,OR(N347="331",O347="331")),"x","")</f>
        <v/>
      </c>
      <c r="Q347" s="75" t="str">
        <f>IF(AND(B347='111'!$L$11,OR($N347=$Q$7,$O347=$Q$7)),"x","")</f>
        <v/>
      </c>
      <c r="R347" s="75" t="str">
        <f>IF(AND($N347=$Q$7,$B347&lt;'111'!$L$11),"x","")</f>
        <v/>
      </c>
      <c r="S347" s="75" t="str">
        <f>IF(AND($O347=$Q$7,$B347&lt;'111'!$L$11),"x","")</f>
        <v/>
      </c>
      <c r="T347" s="75" t="str">
        <f>IF(ISERROR(FIND('112'!$M$9,G347,1)),"",IF((AND(FIND('112'!$M$9,G347,1)&gt;=1,B347='112'!$K$9,OR($N347='112'!$I$6,$O347='112'!$I$6))),"x",""))</f>
        <v/>
      </c>
      <c r="U347" s="75" t="str">
        <f>IF(ISERROR(FIND('112'!$M$9,G347,1)),"",IF((AND(LEFT(G347,2)=LEFT('112'!$M$9,2),B347&lt;'112'!$K$9,$N347='112'!$I$6)),"x",""))</f>
        <v/>
      </c>
      <c r="V347" s="75" t="str">
        <f>IF(ISERROR(FIND('112'!$M$9,G347,1)),"",IF((AND(RIGHT(G347,2)=RIGHT('112'!$M$9,2),B347&lt;'112'!$K$9,$O347='112'!$I$6)),"x",""))</f>
        <v/>
      </c>
      <c r="W347" s="75" t="str">
        <f>IF(AND('341-CT'!$H$9=H347,OR(LEFT(N347,3)=$W$7,LEFT(O347,3)=$W$7)),"x","")</f>
        <v/>
      </c>
      <c r="X347" s="75" t="str">
        <f>IF(OR(TH!N347=TH!$X$7,O347=TH!$X$7),"x","")</f>
        <v/>
      </c>
      <c r="Y347" s="75" t="str">
        <f>IF(AND(OR(N347="131",O347="131"),H347='131-CT'!$H$9),"x","")</f>
        <v/>
      </c>
      <c r="Z347" s="75"/>
      <c r="AA347" s="75" t="str">
        <f>IF(AND(MONTH(E347)='IN-NX'!$J$5,'IN-NX'!$D$7=D347),"x","")</f>
        <v/>
      </c>
      <c r="AB347" s="75" t="str">
        <f>IF(AND(OR(LEFT(TH!N347,2)="15",LEFT(TH!O347,2)="15"),LEFT(TH!O347,3)&lt;&gt;"111",'152-CT'!$J$8=TH!F347),"x","")</f>
        <v/>
      </c>
      <c r="AC347" s="75" t="str">
        <f>IF(AND(OR(LEFT(TH!N347,2)="15",LEFT(TH!O347,2)="15"),TK!$E$7=TH!F347),"x","")</f>
        <v/>
      </c>
      <c r="AD347" s="75" t="str">
        <f>IF(AND(N347="1521",MONTH(C347)='BK-NL'!$M$11),"x","")</f>
        <v/>
      </c>
    </row>
    <row r="348" spans="1:30" ht="16.5" customHeight="1">
      <c r="A348" s="309" t="str">
        <f>IF(B348&lt;&gt;"",IF(AND(B348='IN-TC'!$S$4,OR(TH!N348="1111",TH!O348="1111")),TH!D348,""),"")</f>
        <v/>
      </c>
      <c r="B348" s="1169">
        <f t="shared" si="63"/>
        <v>3</v>
      </c>
      <c r="C348" s="929">
        <v>42824</v>
      </c>
      <c r="D348" s="929" t="s">
        <v>530</v>
      </c>
      <c r="E348" s="929">
        <v>42824</v>
      </c>
      <c r="F348" s="930" t="s">
        <v>808</v>
      </c>
      <c r="G348" s="931" t="s">
        <v>1132</v>
      </c>
      <c r="H348" s="296" t="s">
        <v>622</v>
      </c>
      <c r="I348" s="371"/>
      <c r="J348" s="932"/>
      <c r="K348" s="371"/>
      <c r="L348" s="377"/>
      <c r="M348" s="933">
        <v>57075000</v>
      </c>
      <c r="N348" s="934" t="s">
        <v>539</v>
      </c>
      <c r="O348" s="934" t="s">
        <v>8</v>
      </c>
      <c r="P348" s="75" t="str">
        <f>IF(AND('331-CT'!$E$7=TH!H348,OR(N348="331",O348="331")),"x","")</f>
        <v/>
      </c>
      <c r="Q348" s="75" t="str">
        <f>IF(AND(B348='111'!$L$11,OR($N348=$Q$7,$O348=$Q$7)),"x","")</f>
        <v/>
      </c>
      <c r="R348" s="75" t="str">
        <f>IF(AND($N348=$Q$7,$B348&lt;'111'!$L$11),"x","")</f>
        <v/>
      </c>
      <c r="S348" s="75" t="str">
        <f>IF(AND($O348=$Q$7,$B348&lt;'111'!$L$11),"x","")</f>
        <v/>
      </c>
      <c r="T348" s="75" t="str">
        <f>IF(ISERROR(FIND('112'!$M$9,G348,1)),"",IF((AND(FIND('112'!$M$9,G348,1)&gt;=1,B348='112'!$K$9,OR($N348='112'!$I$6,$O348='112'!$I$6))),"x",""))</f>
        <v/>
      </c>
      <c r="U348" s="75" t="str">
        <f>IF(ISERROR(FIND('112'!$M$9,G348,1)),"",IF((AND(LEFT(G348,2)=LEFT('112'!$M$9,2),B348&lt;'112'!$K$9,$N348='112'!$I$6)),"x",""))</f>
        <v/>
      </c>
      <c r="V348" s="75" t="str">
        <f>IF(ISERROR(FIND('112'!$M$9,G348,1)),"",IF((AND(RIGHT(G348,2)=RIGHT('112'!$M$9,2),B348&lt;'112'!$K$9,$O348='112'!$I$6)),"x",""))</f>
        <v/>
      </c>
      <c r="W348" s="75" t="str">
        <f>IF(AND('341-CT'!$H$9=H348,OR(LEFT(N348,3)=$W$7,LEFT(O348,3)=$W$7)),"x","")</f>
        <v/>
      </c>
      <c r="X348" s="75" t="str">
        <f>IF(OR(TH!N348=TH!$X$7,O348=TH!$X$7),"x","")</f>
        <v/>
      </c>
      <c r="Y348" s="75" t="str">
        <f>IF(AND(OR(N348="131",O348="131"),H348='131-CT'!$H$9),"x","")</f>
        <v/>
      </c>
      <c r="Z348" s="75"/>
      <c r="AA348" s="75" t="str">
        <f>IF(AND(MONTH(E348)='IN-NX'!$J$5,'IN-NX'!$D$7=D348),"x","")</f>
        <v/>
      </c>
      <c r="AB348" s="75" t="str">
        <f>IF(AND(OR(LEFT(TH!N348,2)="15",LEFT(TH!O348,2)="15"),LEFT(TH!O348,3)&lt;&gt;"111",'152-CT'!$J$8=TH!F348),"x","")</f>
        <v/>
      </c>
      <c r="AC348" s="75" t="str">
        <f>IF(AND(OR(LEFT(TH!N348,2)="15",LEFT(TH!O348,2)="15"),TK!$E$7=TH!F348),"x","")</f>
        <v/>
      </c>
      <c r="AD348" s="75" t="str">
        <f>IF(AND(N348="1521",MONTH(C348)='BK-NL'!$M$11),"x","")</f>
        <v/>
      </c>
    </row>
    <row r="349" spans="1:30" ht="16.5" customHeight="1">
      <c r="A349" s="309" t="str">
        <f>IF(B349&lt;&gt;"",IF(AND(B349='IN-TC'!$S$4,OR(TH!N349="1111",TH!O349="1111")),TH!D349,""),"")</f>
        <v/>
      </c>
      <c r="B349" s="1169">
        <f t="shared" si="63"/>
        <v>3</v>
      </c>
      <c r="C349" s="929">
        <v>42824</v>
      </c>
      <c r="D349" s="929" t="s">
        <v>530</v>
      </c>
      <c r="E349" s="929">
        <v>42824</v>
      </c>
      <c r="F349" s="930" t="s">
        <v>810</v>
      </c>
      <c r="G349" s="931" t="s">
        <v>1133</v>
      </c>
      <c r="H349" s="296" t="s">
        <v>622</v>
      </c>
      <c r="I349" s="371"/>
      <c r="J349" s="932"/>
      <c r="K349" s="371"/>
      <c r="L349" s="377"/>
      <c r="M349" s="933">
        <v>25569600</v>
      </c>
      <c r="N349" s="934" t="s">
        <v>539</v>
      </c>
      <c r="O349" s="934" t="s">
        <v>8</v>
      </c>
      <c r="P349" s="75" t="str">
        <f>IF(AND('331-CT'!$E$7=TH!H349,OR(N349="331",O349="331")),"x","")</f>
        <v/>
      </c>
      <c r="Q349" s="75" t="str">
        <f>IF(AND(B349='111'!$L$11,OR($N349=$Q$7,$O349=$Q$7)),"x","")</f>
        <v/>
      </c>
      <c r="R349" s="75" t="str">
        <f>IF(AND($N349=$Q$7,$B349&lt;'111'!$L$11),"x","")</f>
        <v/>
      </c>
      <c r="S349" s="75" t="str">
        <f>IF(AND($O349=$Q$7,$B349&lt;'111'!$L$11),"x","")</f>
        <v/>
      </c>
      <c r="T349" s="75" t="str">
        <f>IF(ISERROR(FIND('112'!$M$9,G349,1)),"",IF((AND(FIND('112'!$M$9,G349,1)&gt;=1,B349='112'!$K$9,OR($N349='112'!$I$6,$O349='112'!$I$6))),"x",""))</f>
        <v/>
      </c>
      <c r="U349" s="75" t="str">
        <f>IF(ISERROR(FIND('112'!$M$9,G349,1)),"",IF((AND(LEFT(G349,2)=LEFT('112'!$M$9,2),B349&lt;'112'!$K$9,$N349='112'!$I$6)),"x",""))</f>
        <v/>
      </c>
      <c r="V349" s="75" t="str">
        <f>IF(ISERROR(FIND('112'!$M$9,G349,1)),"",IF((AND(RIGHT(G349,2)=RIGHT('112'!$M$9,2),B349&lt;'112'!$K$9,$O349='112'!$I$6)),"x",""))</f>
        <v/>
      </c>
      <c r="W349" s="75" t="str">
        <f>IF(AND('341-CT'!$H$9=H349,OR(LEFT(N349,3)=$W$7,LEFT(O349,3)=$W$7)),"x","")</f>
        <v/>
      </c>
      <c r="X349" s="75" t="str">
        <f>IF(OR(TH!N349=TH!$X$7,O349=TH!$X$7),"x","")</f>
        <v/>
      </c>
      <c r="Y349" s="75" t="str">
        <f>IF(AND(OR(N349="131",O349="131"),H349='131-CT'!$H$9),"x","")</f>
        <v/>
      </c>
      <c r="Z349" s="75"/>
      <c r="AA349" s="75" t="str">
        <f>IF(AND(MONTH(E349)='IN-NX'!$J$5,'IN-NX'!$D$7=D349),"x","")</f>
        <v/>
      </c>
      <c r="AB349" s="75" t="str">
        <f>IF(AND(OR(LEFT(TH!N349,2)="15",LEFT(TH!O349,2)="15"),LEFT(TH!O349,3)&lt;&gt;"111",'152-CT'!$J$8=TH!F349),"x","")</f>
        <v/>
      </c>
      <c r="AC349" s="75" t="str">
        <f>IF(AND(OR(LEFT(TH!N349,2)="15",LEFT(TH!O349,2)="15"),TK!$E$7=TH!F349),"x","")</f>
        <v/>
      </c>
      <c r="AD349" s="75" t="str">
        <f>IF(AND(N349="1521",MONTH(C349)='BK-NL'!$M$11),"x","")</f>
        <v/>
      </c>
    </row>
    <row r="350" spans="1:30" ht="16.5" customHeight="1">
      <c r="A350" s="309" t="str">
        <f>IF(B350&lt;&gt;"",IF(AND(B350='IN-TC'!$S$4,OR(TH!N350="1111",TH!O350="1111")),TH!D350,""),"")</f>
        <v/>
      </c>
      <c r="B350" s="1169">
        <f t="shared" si="63"/>
        <v>3</v>
      </c>
      <c r="C350" s="929">
        <v>42824</v>
      </c>
      <c r="D350" s="929" t="s">
        <v>530</v>
      </c>
      <c r="E350" s="929">
        <v>42824</v>
      </c>
      <c r="F350" s="930" t="s">
        <v>811</v>
      </c>
      <c r="G350" s="931" t="s">
        <v>1133</v>
      </c>
      <c r="H350" s="296" t="s">
        <v>622</v>
      </c>
      <c r="I350" s="371"/>
      <c r="J350" s="932"/>
      <c r="K350" s="371"/>
      <c r="L350" s="377"/>
      <c r="M350" s="933">
        <v>2556960</v>
      </c>
      <c r="N350" s="934" t="s">
        <v>9</v>
      </c>
      <c r="O350" s="934" t="s">
        <v>8</v>
      </c>
      <c r="P350" s="75" t="str">
        <f>IF(AND('331-CT'!$E$7=TH!H350,OR(N350="331",O350="331")),"x","")</f>
        <v/>
      </c>
      <c r="Q350" s="75" t="str">
        <f>IF(AND(B350='111'!$L$11,OR($N350=$Q$7,$O350=$Q$7)),"x","")</f>
        <v/>
      </c>
      <c r="R350" s="75" t="str">
        <f>IF(AND($N350=$Q$7,$B350&lt;'111'!$L$11),"x","")</f>
        <v/>
      </c>
      <c r="S350" s="75" t="str">
        <f>IF(AND($O350=$Q$7,$B350&lt;'111'!$L$11),"x","")</f>
        <v/>
      </c>
      <c r="T350" s="75" t="str">
        <f>IF(ISERROR(FIND('112'!$M$9,G350,1)),"",IF((AND(FIND('112'!$M$9,G350,1)&gt;=1,B350='112'!$K$9,OR($N350='112'!$I$6,$O350='112'!$I$6))),"x",""))</f>
        <v/>
      </c>
      <c r="U350" s="75" t="str">
        <f>IF(ISERROR(FIND('112'!$M$9,G350,1)),"",IF((AND(LEFT(G350,2)=LEFT('112'!$M$9,2),B350&lt;'112'!$K$9,$N350='112'!$I$6)),"x",""))</f>
        <v/>
      </c>
      <c r="V350" s="75" t="str">
        <f>IF(ISERROR(FIND('112'!$M$9,G350,1)),"",IF((AND(RIGHT(G350,2)=RIGHT('112'!$M$9,2),B350&lt;'112'!$K$9,$O350='112'!$I$6)),"x",""))</f>
        <v/>
      </c>
      <c r="W350" s="75" t="str">
        <f>IF(AND('341-CT'!$H$9=H350,OR(LEFT(N350,3)=$W$7,LEFT(O350,3)=$W$7)),"x","")</f>
        <v/>
      </c>
      <c r="X350" s="75" t="str">
        <f>IF(OR(TH!N350=TH!$X$7,O350=TH!$X$7),"x","")</f>
        <v/>
      </c>
      <c r="Y350" s="75" t="str">
        <f>IF(AND(OR(N350="131",O350="131"),H350='131-CT'!$H$9),"x","")</f>
        <v/>
      </c>
      <c r="Z350" s="75"/>
      <c r="AA350" s="75" t="str">
        <f>IF(AND(MONTH(E350)='IN-NX'!$J$5,'IN-NX'!$D$7=D350),"x","")</f>
        <v/>
      </c>
      <c r="AB350" s="75" t="str">
        <f>IF(AND(OR(LEFT(TH!N350,2)="15",LEFT(TH!O350,2)="15"),LEFT(TH!O350,3)&lt;&gt;"111",'152-CT'!$J$8=TH!F350),"x","")</f>
        <v/>
      </c>
      <c r="AC350" s="75" t="str">
        <f>IF(AND(OR(LEFT(TH!N350,2)="15",LEFT(TH!O350,2)="15"),TK!$E$7=TH!F350),"x","")</f>
        <v/>
      </c>
      <c r="AD350" s="75" t="str">
        <f>IF(AND(N350="1521",MONTH(C350)='BK-NL'!$M$11),"x","")</f>
        <v/>
      </c>
    </row>
    <row r="351" spans="1:30" ht="16.5" customHeight="1">
      <c r="A351" s="309" t="str">
        <f>IF(B351&lt;&gt;"",IF(AND(B351='IN-TC'!$S$4,OR(TH!N351="1111",TH!O351="1111")),TH!D351,""),"")</f>
        <v/>
      </c>
      <c r="B351" s="1169">
        <f t="shared" si="63"/>
        <v>3</v>
      </c>
      <c r="C351" s="929">
        <v>42824</v>
      </c>
      <c r="D351" s="929" t="s">
        <v>530</v>
      </c>
      <c r="E351" s="929">
        <v>42824</v>
      </c>
      <c r="F351" s="930" t="s">
        <v>808</v>
      </c>
      <c r="G351" s="931" t="s">
        <v>1134</v>
      </c>
      <c r="H351" s="296" t="s">
        <v>622</v>
      </c>
      <c r="I351" s="371"/>
      <c r="J351" s="932"/>
      <c r="K351" s="371"/>
      <c r="L351" s="377"/>
      <c r="M351" s="933">
        <v>68520000</v>
      </c>
      <c r="N351" s="934" t="s">
        <v>539</v>
      </c>
      <c r="O351" s="934" t="s">
        <v>8</v>
      </c>
      <c r="P351" s="75" t="str">
        <f>IF(AND('331-CT'!$E$7=TH!H351,OR(N351="331",O351="331")),"x","")</f>
        <v/>
      </c>
      <c r="Q351" s="75" t="str">
        <f>IF(AND(B351='111'!$L$11,OR($N351=$Q$7,$O351=$Q$7)),"x","")</f>
        <v/>
      </c>
      <c r="R351" s="75" t="str">
        <f>IF(AND($N351=$Q$7,$B351&lt;'111'!$L$11),"x","")</f>
        <v/>
      </c>
      <c r="S351" s="75" t="str">
        <f>IF(AND($O351=$Q$7,$B351&lt;'111'!$L$11),"x","")</f>
        <v/>
      </c>
      <c r="T351" s="75" t="str">
        <f>IF(ISERROR(FIND('112'!$M$9,G351,1)),"",IF((AND(FIND('112'!$M$9,G351,1)&gt;=1,B351='112'!$K$9,OR($N351='112'!$I$6,$O351='112'!$I$6))),"x",""))</f>
        <v/>
      </c>
      <c r="U351" s="75" t="str">
        <f>IF(ISERROR(FIND('112'!$M$9,G351,1)),"",IF((AND(LEFT(G351,2)=LEFT('112'!$M$9,2),B351&lt;'112'!$K$9,$N351='112'!$I$6)),"x",""))</f>
        <v/>
      </c>
      <c r="V351" s="75" t="str">
        <f>IF(ISERROR(FIND('112'!$M$9,G351,1)),"",IF((AND(RIGHT(G351,2)=RIGHT('112'!$M$9,2),B351&lt;'112'!$K$9,$O351='112'!$I$6)),"x",""))</f>
        <v/>
      </c>
      <c r="W351" s="75" t="str">
        <f>IF(AND('341-CT'!$H$9=H351,OR(LEFT(N351,3)=$W$7,LEFT(O351,3)=$W$7)),"x","")</f>
        <v/>
      </c>
      <c r="X351" s="75" t="str">
        <f>IF(OR(TH!N351=TH!$X$7,O351=TH!$X$7),"x","")</f>
        <v/>
      </c>
      <c r="Y351" s="75" t="str">
        <f>IF(AND(OR(N351="131",O351="131"),H351='131-CT'!$H$9),"x","")</f>
        <v/>
      </c>
      <c r="Z351" s="75"/>
      <c r="AA351" s="75" t="str">
        <f>IF(AND(MONTH(E351)='IN-NX'!$J$5,'IN-NX'!$D$7=D351),"x","")</f>
        <v/>
      </c>
      <c r="AB351" s="75" t="str">
        <f>IF(AND(OR(LEFT(TH!N351,2)="15",LEFT(TH!O351,2)="15"),LEFT(TH!O351,3)&lt;&gt;"111",'152-CT'!$J$8=TH!F351),"x","")</f>
        <v/>
      </c>
      <c r="AC351" s="75" t="str">
        <f>IF(AND(OR(LEFT(TH!N351,2)="15",LEFT(TH!O351,2)="15"),TK!$E$7=TH!F351),"x","")</f>
        <v/>
      </c>
      <c r="AD351" s="75" t="str">
        <f>IF(AND(N351="1521",MONTH(C351)='BK-NL'!$M$11),"x","")</f>
        <v/>
      </c>
    </row>
    <row r="352" spans="1:30" ht="16.5" customHeight="1">
      <c r="A352" s="309" t="str">
        <f>IF(B352&lt;&gt;"",IF(AND(B352='IN-TC'!$S$4,OR(TH!N352="1111",TH!O352="1111")),TH!D352,""),"")</f>
        <v/>
      </c>
      <c r="B352" s="1169">
        <f t="shared" si="63"/>
        <v>3</v>
      </c>
      <c r="C352" s="929">
        <v>42824</v>
      </c>
      <c r="D352" s="929" t="s">
        <v>530</v>
      </c>
      <c r="E352" s="929">
        <v>42824</v>
      </c>
      <c r="F352" s="930" t="s">
        <v>810</v>
      </c>
      <c r="G352" s="931" t="s">
        <v>1135</v>
      </c>
      <c r="H352" s="296" t="s">
        <v>622</v>
      </c>
      <c r="I352" s="371"/>
      <c r="J352" s="932"/>
      <c r="K352" s="371"/>
      <c r="L352" s="377"/>
      <c r="M352" s="933">
        <v>30445720</v>
      </c>
      <c r="N352" s="934" t="s">
        <v>539</v>
      </c>
      <c r="O352" s="934" t="s">
        <v>8</v>
      </c>
      <c r="P352" s="75" t="str">
        <f>IF(AND('331-CT'!$E$7=TH!H352,OR(N352="331",O352="331")),"x","")</f>
        <v/>
      </c>
      <c r="Q352" s="75" t="str">
        <f>IF(AND(B352='111'!$L$11,OR($N352=$Q$7,$O352=$Q$7)),"x","")</f>
        <v/>
      </c>
      <c r="R352" s="75" t="str">
        <f>IF(AND($N352=$Q$7,$B352&lt;'111'!$L$11),"x","")</f>
        <v/>
      </c>
      <c r="S352" s="75" t="str">
        <f>IF(AND($O352=$Q$7,$B352&lt;'111'!$L$11),"x","")</f>
        <v/>
      </c>
      <c r="T352" s="75" t="str">
        <f>IF(ISERROR(FIND('112'!$M$9,G352,1)),"",IF((AND(FIND('112'!$M$9,G352,1)&gt;=1,B352='112'!$K$9,OR($N352='112'!$I$6,$O352='112'!$I$6))),"x",""))</f>
        <v/>
      </c>
      <c r="U352" s="75" t="str">
        <f>IF(ISERROR(FIND('112'!$M$9,G352,1)),"",IF((AND(LEFT(G352,2)=LEFT('112'!$M$9,2),B352&lt;'112'!$K$9,$N352='112'!$I$6)),"x",""))</f>
        <v/>
      </c>
      <c r="V352" s="75" t="str">
        <f>IF(ISERROR(FIND('112'!$M$9,G352,1)),"",IF((AND(RIGHT(G352,2)=RIGHT('112'!$M$9,2),B352&lt;'112'!$K$9,$O352='112'!$I$6)),"x",""))</f>
        <v/>
      </c>
      <c r="W352" s="75" t="str">
        <f>IF(AND('341-CT'!$H$9=H352,OR(LEFT(N352,3)=$W$7,LEFT(O352,3)=$W$7)),"x","")</f>
        <v/>
      </c>
      <c r="X352" s="75" t="str">
        <f>IF(OR(TH!N352=TH!$X$7,O352=TH!$X$7),"x","")</f>
        <v/>
      </c>
      <c r="Y352" s="75" t="str">
        <f>IF(AND(OR(N352="131",O352="131"),H352='131-CT'!$H$9),"x","")</f>
        <v/>
      </c>
      <c r="Z352" s="75"/>
      <c r="AA352" s="75" t="str">
        <f>IF(AND(MONTH(E352)='IN-NX'!$J$5,'IN-NX'!$D$7=D352),"x","")</f>
        <v/>
      </c>
      <c r="AB352" s="75" t="str">
        <f>IF(AND(OR(LEFT(TH!N352,2)="15",LEFT(TH!O352,2)="15"),LEFT(TH!O352,3)&lt;&gt;"111",'152-CT'!$J$8=TH!F352),"x","")</f>
        <v/>
      </c>
      <c r="AC352" s="75" t="str">
        <f>IF(AND(OR(LEFT(TH!N352,2)="15",LEFT(TH!O352,2)="15"),TK!$E$7=TH!F352),"x","")</f>
        <v/>
      </c>
      <c r="AD352" s="75" t="str">
        <f>IF(AND(N352="1521",MONTH(C352)='BK-NL'!$M$11),"x","")</f>
        <v/>
      </c>
    </row>
    <row r="353" spans="1:30" ht="16.5" customHeight="1">
      <c r="A353" s="309" t="str">
        <f>IF(B353&lt;&gt;"",IF(AND(B353='IN-TC'!$S$4,OR(TH!N353="1111",TH!O353="1111")),TH!D353,""),"")</f>
        <v/>
      </c>
      <c r="B353" s="1169">
        <f t="shared" si="63"/>
        <v>3</v>
      </c>
      <c r="C353" s="929">
        <v>42824</v>
      </c>
      <c r="D353" s="929" t="s">
        <v>530</v>
      </c>
      <c r="E353" s="929">
        <v>42824</v>
      </c>
      <c r="F353" s="930" t="s">
        <v>811</v>
      </c>
      <c r="G353" s="931" t="s">
        <v>1135</v>
      </c>
      <c r="H353" s="296" t="s">
        <v>622</v>
      </c>
      <c r="I353" s="371"/>
      <c r="J353" s="932"/>
      <c r="K353" s="371"/>
      <c r="L353" s="377"/>
      <c r="M353" s="933">
        <v>3044572</v>
      </c>
      <c r="N353" s="934" t="s">
        <v>9</v>
      </c>
      <c r="O353" s="934" t="s">
        <v>8</v>
      </c>
      <c r="P353" s="75" t="str">
        <f>IF(AND('331-CT'!$E$7=TH!H353,OR(N353="331",O353="331")),"x","")</f>
        <v/>
      </c>
      <c r="Q353" s="75" t="str">
        <f>IF(AND(B353='111'!$L$11,OR($N353=$Q$7,$O353=$Q$7)),"x","")</f>
        <v/>
      </c>
      <c r="R353" s="75" t="str">
        <f>IF(AND($N353=$Q$7,$B353&lt;'111'!$L$11),"x","")</f>
        <v/>
      </c>
      <c r="S353" s="75" t="str">
        <f>IF(AND($O353=$Q$7,$B353&lt;'111'!$L$11),"x","")</f>
        <v/>
      </c>
      <c r="T353" s="75" t="str">
        <f>IF(ISERROR(FIND('112'!$M$9,G353,1)),"",IF((AND(FIND('112'!$M$9,G353,1)&gt;=1,B353='112'!$K$9,OR($N353='112'!$I$6,$O353='112'!$I$6))),"x",""))</f>
        <v/>
      </c>
      <c r="U353" s="75" t="str">
        <f>IF(ISERROR(FIND('112'!$M$9,G353,1)),"",IF((AND(LEFT(G353,2)=LEFT('112'!$M$9,2),B353&lt;'112'!$K$9,$N353='112'!$I$6)),"x",""))</f>
        <v/>
      </c>
      <c r="V353" s="75" t="str">
        <f>IF(ISERROR(FIND('112'!$M$9,G353,1)),"",IF((AND(RIGHT(G353,2)=RIGHT('112'!$M$9,2),B353&lt;'112'!$K$9,$O353='112'!$I$6)),"x",""))</f>
        <v/>
      </c>
      <c r="W353" s="75" t="str">
        <f>IF(AND('341-CT'!$H$9=H353,OR(LEFT(N353,3)=$W$7,LEFT(O353,3)=$W$7)),"x","")</f>
        <v/>
      </c>
      <c r="X353" s="75" t="str">
        <f>IF(OR(TH!N353=TH!$X$7,O353=TH!$X$7),"x","")</f>
        <v/>
      </c>
      <c r="Y353" s="75" t="str">
        <f>IF(AND(OR(N353="131",O353="131"),H353='131-CT'!$H$9),"x","")</f>
        <v/>
      </c>
      <c r="Z353" s="75"/>
      <c r="AA353" s="75" t="str">
        <f>IF(AND(MONTH(E353)='IN-NX'!$J$5,'IN-NX'!$D$7=D353),"x","")</f>
        <v/>
      </c>
      <c r="AB353" s="75" t="str">
        <f>IF(AND(OR(LEFT(TH!N353,2)="15",LEFT(TH!O353,2)="15"),LEFT(TH!O353,3)&lt;&gt;"111",'152-CT'!$J$8=TH!F353),"x","")</f>
        <v/>
      </c>
      <c r="AC353" s="75" t="str">
        <f>IF(AND(OR(LEFT(TH!N353,2)="15",LEFT(TH!O353,2)="15"),TK!$E$7=TH!F353),"x","")</f>
        <v/>
      </c>
      <c r="AD353" s="75" t="str">
        <f>IF(AND(N353="1521",MONTH(C353)='BK-NL'!$M$11),"x","")</f>
        <v/>
      </c>
    </row>
    <row r="354" spans="1:30" ht="16.5" customHeight="1">
      <c r="A354" s="309" t="str">
        <f>IF(B354&lt;&gt;"",IF(AND(B354='IN-TC'!$S$4,OR(TH!N354="1111",TH!O354="1111")),TH!D354,""),"")</f>
        <v/>
      </c>
      <c r="B354" s="1169">
        <f t="shared" si="63"/>
        <v>3</v>
      </c>
      <c r="C354" s="929">
        <v>42825</v>
      </c>
      <c r="D354" s="929" t="s">
        <v>530</v>
      </c>
      <c r="E354" s="929">
        <v>42825</v>
      </c>
      <c r="F354" s="930" t="s">
        <v>808</v>
      </c>
      <c r="G354" s="931" t="s">
        <v>1166</v>
      </c>
      <c r="H354" s="296" t="s">
        <v>742</v>
      </c>
      <c r="I354" s="371"/>
      <c r="J354" s="932"/>
      <c r="K354" s="371"/>
      <c r="L354" s="377"/>
      <c r="M354" s="933">
        <v>22820000</v>
      </c>
      <c r="N354" s="934" t="s">
        <v>539</v>
      </c>
      <c r="O354" s="934" t="s">
        <v>8</v>
      </c>
      <c r="P354" s="75" t="str">
        <f>IF(AND('331-CT'!$E$7=TH!H354,OR(N354="331",O354="331")),"x","")</f>
        <v/>
      </c>
      <c r="Q354" s="75" t="str">
        <f>IF(AND(B354='111'!$L$11,OR($N354=$Q$7,$O354=$Q$7)),"x","")</f>
        <v/>
      </c>
      <c r="R354" s="75" t="str">
        <f>IF(AND($N354=$Q$7,$B354&lt;'111'!$L$11),"x","")</f>
        <v/>
      </c>
      <c r="S354" s="75" t="str">
        <f>IF(AND($O354=$Q$7,$B354&lt;'111'!$L$11),"x","")</f>
        <v/>
      </c>
      <c r="T354" s="75" t="str">
        <f>IF(ISERROR(FIND('112'!$M$9,G354,1)),"",IF((AND(FIND('112'!$M$9,G354,1)&gt;=1,B354='112'!$K$9,OR($N354='112'!$I$6,$O354='112'!$I$6))),"x",""))</f>
        <v/>
      </c>
      <c r="U354" s="75" t="str">
        <f>IF(ISERROR(FIND('112'!$M$9,G354,1)),"",IF((AND(LEFT(G354,2)=LEFT('112'!$M$9,2),B354&lt;'112'!$K$9,$N354='112'!$I$6)),"x",""))</f>
        <v/>
      </c>
      <c r="V354" s="75" t="str">
        <f>IF(ISERROR(FIND('112'!$M$9,G354,1)),"",IF((AND(RIGHT(G354,2)=RIGHT('112'!$M$9,2),B354&lt;'112'!$K$9,$O354='112'!$I$6)),"x",""))</f>
        <v/>
      </c>
      <c r="W354" s="75" t="str">
        <f>IF(AND('341-CT'!$H$9=H354,OR(LEFT(N354,3)=$W$7,LEFT(O354,3)=$W$7)),"x","")</f>
        <v/>
      </c>
      <c r="X354" s="75" t="str">
        <f>IF(OR(TH!N354=TH!$X$7,O354=TH!$X$7),"x","")</f>
        <v/>
      </c>
      <c r="Y354" s="75" t="str">
        <f>IF(AND(OR(N354="131",O354="131"),H354='131-CT'!$H$9),"x","")</f>
        <v/>
      </c>
      <c r="Z354" s="75"/>
      <c r="AA354" s="75" t="str">
        <f>IF(AND(MONTH(E354)='IN-NX'!$J$5,'IN-NX'!$D$7=D354),"x","")</f>
        <v/>
      </c>
      <c r="AB354" s="75" t="str">
        <f>IF(AND(OR(LEFT(TH!N354,2)="15",LEFT(TH!O354,2)="15"),LEFT(TH!O354,3)&lt;&gt;"111",'152-CT'!$J$8=TH!F354),"x","")</f>
        <v/>
      </c>
      <c r="AC354" s="75" t="str">
        <f>IF(AND(OR(LEFT(TH!N354,2)="15",LEFT(TH!O354,2)="15"),TK!$E$7=TH!F354),"x","")</f>
        <v/>
      </c>
      <c r="AD354" s="75" t="str">
        <f>IF(AND(N354="1521",MONTH(C354)='BK-NL'!$M$11),"x","")</f>
        <v/>
      </c>
    </row>
    <row r="355" spans="1:30" ht="16.5" customHeight="1">
      <c r="A355" s="309" t="str">
        <f>IF(B355&lt;&gt;"",IF(AND(B355='IN-TC'!$S$4,OR(TH!N355="1111",TH!O355="1111")),TH!D355,""),"")</f>
        <v/>
      </c>
      <c r="B355" s="1169">
        <f t="shared" si="63"/>
        <v>3</v>
      </c>
      <c r="C355" s="929">
        <v>42825</v>
      </c>
      <c r="D355" s="929" t="s">
        <v>530</v>
      </c>
      <c r="E355" s="929">
        <v>42825</v>
      </c>
      <c r="F355" s="930" t="s">
        <v>855</v>
      </c>
      <c r="G355" s="931" t="s">
        <v>1167</v>
      </c>
      <c r="H355" s="296" t="s">
        <v>742</v>
      </c>
      <c r="I355" s="371"/>
      <c r="J355" s="932"/>
      <c r="K355" s="371"/>
      <c r="L355" s="377"/>
      <c r="M355" s="933">
        <v>8283660</v>
      </c>
      <c r="N355" s="934" t="s">
        <v>539</v>
      </c>
      <c r="O355" s="934" t="s">
        <v>8</v>
      </c>
      <c r="P355" s="75" t="str">
        <f>IF(AND('331-CT'!$E$7=TH!H355,OR(N355="331",O355="331")),"x","")</f>
        <v/>
      </c>
      <c r="Q355" s="75" t="str">
        <f>IF(AND(B355='111'!$L$11,OR($N355=$Q$7,$O355=$Q$7)),"x","")</f>
        <v/>
      </c>
      <c r="R355" s="75" t="str">
        <f>IF(AND($N355=$Q$7,$B355&lt;'111'!$L$11),"x","")</f>
        <v/>
      </c>
      <c r="S355" s="75" t="str">
        <f>IF(AND($O355=$Q$7,$B355&lt;'111'!$L$11),"x","")</f>
        <v/>
      </c>
      <c r="T355" s="75" t="str">
        <f>IF(ISERROR(FIND('112'!$M$9,G355,1)),"",IF((AND(FIND('112'!$M$9,G355,1)&gt;=1,B355='112'!$K$9,OR($N355='112'!$I$6,$O355='112'!$I$6))),"x",""))</f>
        <v/>
      </c>
      <c r="U355" s="75" t="str">
        <f>IF(ISERROR(FIND('112'!$M$9,G355,1)),"",IF((AND(LEFT(G355,2)=LEFT('112'!$M$9,2),B355&lt;'112'!$K$9,$N355='112'!$I$6)),"x",""))</f>
        <v/>
      </c>
      <c r="V355" s="75" t="str">
        <f>IF(ISERROR(FIND('112'!$M$9,G355,1)),"",IF((AND(RIGHT(G355,2)=RIGHT('112'!$M$9,2),B355&lt;'112'!$K$9,$O355='112'!$I$6)),"x",""))</f>
        <v/>
      </c>
      <c r="W355" s="75" t="str">
        <f>IF(AND('341-CT'!$H$9=H355,OR(LEFT(N355,3)=$W$7,LEFT(O355,3)=$W$7)),"x","")</f>
        <v/>
      </c>
      <c r="X355" s="75" t="str">
        <f>IF(OR(TH!N355=TH!$X$7,O355=TH!$X$7),"x","")</f>
        <v/>
      </c>
      <c r="Y355" s="75" t="str">
        <f>IF(AND(OR(N355="131",O355="131"),H355='131-CT'!$H$9),"x","")</f>
        <v/>
      </c>
      <c r="Z355" s="75"/>
      <c r="AA355" s="75" t="str">
        <f>IF(AND(MONTH(E355)='IN-NX'!$J$5,'IN-NX'!$D$7=D355),"x","")</f>
        <v/>
      </c>
      <c r="AB355" s="75" t="str">
        <f>IF(AND(OR(LEFT(TH!N355,2)="15",LEFT(TH!O355,2)="15"),LEFT(TH!O355,3)&lt;&gt;"111",'152-CT'!$J$8=TH!F355),"x","")</f>
        <v/>
      </c>
      <c r="AC355" s="75" t="str">
        <f>IF(AND(OR(LEFT(TH!N355,2)="15",LEFT(TH!O355,2)="15"),TK!$E$7=TH!F355),"x","")</f>
        <v/>
      </c>
      <c r="AD355" s="75" t="str">
        <f>IF(AND(N355="1521",MONTH(C355)='BK-NL'!$M$11),"x","")</f>
        <v/>
      </c>
    </row>
    <row r="356" spans="1:30" ht="16.5" customHeight="1">
      <c r="A356" s="309" t="str">
        <f>IF(B356&lt;&gt;"",IF(AND(B356='IN-TC'!$S$4,OR(TH!N356="1111",TH!O356="1111")),TH!D356,""),"")</f>
        <v/>
      </c>
      <c r="B356" s="1169">
        <f t="shared" si="63"/>
        <v>3</v>
      </c>
      <c r="C356" s="929">
        <v>42825</v>
      </c>
      <c r="D356" s="929" t="s">
        <v>530</v>
      </c>
      <c r="E356" s="929">
        <v>42825</v>
      </c>
      <c r="F356" s="930" t="s">
        <v>856</v>
      </c>
      <c r="G356" s="931" t="s">
        <v>1167</v>
      </c>
      <c r="H356" s="296" t="s">
        <v>742</v>
      </c>
      <c r="I356" s="371"/>
      <c r="J356" s="932"/>
      <c r="K356" s="371"/>
      <c r="L356" s="377"/>
      <c r="M356" s="933">
        <v>828366</v>
      </c>
      <c r="N356" s="934" t="s">
        <v>9</v>
      </c>
      <c r="O356" s="934" t="s">
        <v>8</v>
      </c>
      <c r="P356" s="75" t="str">
        <f>IF(AND('331-CT'!$E$7=TH!H356,OR(N356="331",O356="331")),"x","")</f>
        <v/>
      </c>
      <c r="Q356" s="75" t="str">
        <f>IF(AND(B356='111'!$L$11,OR($N356=$Q$7,$O356=$Q$7)),"x","")</f>
        <v/>
      </c>
      <c r="R356" s="75" t="str">
        <f>IF(AND($N356=$Q$7,$B356&lt;'111'!$L$11),"x","")</f>
        <v/>
      </c>
      <c r="S356" s="75" t="str">
        <f>IF(AND($O356=$Q$7,$B356&lt;'111'!$L$11),"x","")</f>
        <v/>
      </c>
      <c r="T356" s="75" t="str">
        <f>IF(ISERROR(FIND('112'!$M$9,G356,1)),"",IF((AND(FIND('112'!$M$9,G356,1)&gt;=1,B356='112'!$K$9,OR($N356='112'!$I$6,$O356='112'!$I$6))),"x",""))</f>
        <v/>
      </c>
      <c r="U356" s="75" t="str">
        <f>IF(ISERROR(FIND('112'!$M$9,G356,1)),"",IF((AND(LEFT(G356,2)=LEFT('112'!$M$9,2),B356&lt;'112'!$K$9,$N356='112'!$I$6)),"x",""))</f>
        <v/>
      </c>
      <c r="V356" s="75" t="str">
        <f>IF(ISERROR(FIND('112'!$M$9,G356,1)),"",IF((AND(RIGHT(G356,2)=RIGHT('112'!$M$9,2),B356&lt;'112'!$K$9,$O356='112'!$I$6)),"x",""))</f>
        <v/>
      </c>
      <c r="W356" s="75" t="str">
        <f>IF(AND('341-CT'!$H$9=H356,OR(LEFT(N356,3)=$W$7,LEFT(O356,3)=$W$7)),"x","")</f>
        <v/>
      </c>
      <c r="X356" s="75" t="str">
        <f>IF(OR(TH!N356=TH!$X$7,O356=TH!$X$7),"x","")</f>
        <v/>
      </c>
      <c r="Y356" s="75" t="str">
        <f>IF(AND(OR(N356="131",O356="131"),H356='131-CT'!$H$9),"x","")</f>
        <v/>
      </c>
      <c r="Z356" s="75"/>
      <c r="AA356" s="75" t="str">
        <f>IF(AND(MONTH(E356)='IN-NX'!$J$5,'IN-NX'!$D$7=D356),"x","")</f>
        <v/>
      </c>
      <c r="AB356" s="75" t="str">
        <f>IF(AND(OR(LEFT(TH!N356,2)="15",LEFT(TH!O356,2)="15"),LEFT(TH!O356,3)&lt;&gt;"111",'152-CT'!$J$8=TH!F356),"x","")</f>
        <v/>
      </c>
      <c r="AC356" s="75" t="str">
        <f>IF(AND(OR(LEFT(TH!N356,2)="15",LEFT(TH!O356,2)="15"),TK!$E$7=TH!F356),"x","")</f>
        <v/>
      </c>
      <c r="AD356" s="75" t="str">
        <f>IF(AND(N356="1521",MONTH(C356)='BK-NL'!$M$11),"x","")</f>
        <v/>
      </c>
    </row>
    <row r="357" spans="1:30" ht="16.5" customHeight="1">
      <c r="A357" s="309" t="str">
        <f>IF(B357&lt;&gt;"",IF(AND(B357='IN-TC'!$S$4,OR(TH!N357="1111",TH!O357="1111")),TH!D357,""),"")</f>
        <v/>
      </c>
      <c r="B357" s="1169">
        <f t="shared" si="63"/>
        <v>3</v>
      </c>
      <c r="C357" s="929">
        <v>42807</v>
      </c>
      <c r="D357" s="929" t="s">
        <v>530</v>
      </c>
      <c r="E357" s="929">
        <v>42807</v>
      </c>
      <c r="F357" s="930" t="s">
        <v>994</v>
      </c>
      <c r="G357" s="931" t="s">
        <v>1168</v>
      </c>
      <c r="H357" s="296" t="s">
        <v>623</v>
      </c>
      <c r="I357" s="371">
        <v>26351</v>
      </c>
      <c r="J357" s="932">
        <v>10000</v>
      </c>
      <c r="K357" s="371"/>
      <c r="L357" s="377"/>
      <c r="M357" s="933">
        <f>I357*J357</f>
        <v>263510000</v>
      </c>
      <c r="N357" s="934" t="s">
        <v>272</v>
      </c>
      <c r="O357" s="934" t="s">
        <v>8</v>
      </c>
      <c r="P357" s="75" t="str">
        <f>IF(AND('331-CT'!$E$7=TH!H357,OR(N357="331",O357="331")),"x","")</f>
        <v/>
      </c>
      <c r="Q357" s="75" t="str">
        <f>IF(AND(B357='111'!$L$11,OR($N357=$Q$7,$O357=$Q$7)),"x","")</f>
        <v/>
      </c>
      <c r="R357" s="75" t="str">
        <f>IF(AND($N357=$Q$7,$B357&lt;'111'!$L$11),"x","")</f>
        <v/>
      </c>
      <c r="S357" s="75" t="str">
        <f>IF(AND($O357=$Q$7,$B357&lt;'111'!$L$11),"x","")</f>
        <v/>
      </c>
      <c r="T357" s="75" t="str">
        <f>IF(ISERROR(FIND('112'!$M$9,G357,1)),"",IF((AND(FIND('112'!$M$9,G357,1)&gt;=1,B357='112'!$K$9,OR($N357='112'!$I$6,$O357='112'!$I$6))),"x",""))</f>
        <v/>
      </c>
      <c r="U357" s="75" t="str">
        <f>IF(ISERROR(FIND('112'!$M$9,G357,1)),"",IF((AND(LEFT(G357,2)=LEFT('112'!$M$9,2),B357&lt;'112'!$K$9,$N357='112'!$I$6)),"x",""))</f>
        <v/>
      </c>
      <c r="V357" s="75" t="str">
        <f>IF(ISERROR(FIND('112'!$M$9,G357,1)),"",IF((AND(RIGHT(G357,2)=RIGHT('112'!$M$9,2),B357&lt;'112'!$K$9,$O357='112'!$I$6)),"x",""))</f>
        <v/>
      </c>
      <c r="W357" s="75" t="str">
        <f>IF(AND('341-CT'!$H$9=H357,OR(LEFT(N357,3)=$W$7,LEFT(O357,3)=$W$7)),"x","")</f>
        <v/>
      </c>
      <c r="X357" s="75" t="str">
        <f>IF(OR(TH!N357=TH!$X$7,O357=TH!$X$7),"x","")</f>
        <v/>
      </c>
      <c r="Y357" s="75" t="str">
        <f>IF(AND(OR(N357="131",O357="131"),H357='131-CT'!$H$9),"x","")</f>
        <v/>
      </c>
      <c r="Z357" s="75"/>
      <c r="AA357" s="75" t="str">
        <f>IF(AND(MONTH(E357)='IN-NX'!$J$5,'IN-NX'!$D$7=D357),"x","")</f>
        <v/>
      </c>
      <c r="AB357" s="75" t="str">
        <f>IF(AND(OR(LEFT(TH!N357,2)="15",LEFT(TH!O357,2)="15"),LEFT(TH!O357,3)&lt;&gt;"111",'152-CT'!$J$8=TH!F357),"x","")</f>
        <v/>
      </c>
      <c r="AC357" s="75" t="str">
        <f>IF(AND(OR(LEFT(TH!N357,2)="15",LEFT(TH!O357,2)="15"),TK!$E$7=TH!F357),"x","")</f>
        <v/>
      </c>
      <c r="AD357" s="75" t="str">
        <f>IF(AND(N357="1521",MONTH(C357)='BK-NL'!$M$11),"x","")</f>
        <v/>
      </c>
    </row>
    <row r="358" spans="1:30" ht="16.5" customHeight="1">
      <c r="A358" s="309" t="str">
        <f>IF(B358&lt;&gt;"",IF(AND(B358='IN-TC'!$S$4,OR(TH!N358="1111",TH!O358="1111")),TH!D358,""),"")</f>
        <v/>
      </c>
      <c r="B358" s="1169">
        <f t="shared" si="63"/>
        <v>3</v>
      </c>
      <c r="C358" s="929">
        <v>42807</v>
      </c>
      <c r="D358" s="929" t="s">
        <v>530</v>
      </c>
      <c r="E358" s="929">
        <v>42807</v>
      </c>
      <c r="F358" s="930" t="s">
        <v>995</v>
      </c>
      <c r="G358" s="931" t="s">
        <v>1168</v>
      </c>
      <c r="H358" s="296" t="s">
        <v>623</v>
      </c>
      <c r="I358" s="371"/>
      <c r="J358" s="932"/>
      <c r="K358" s="371"/>
      <c r="L358" s="377"/>
      <c r="M358" s="933">
        <v>26351000</v>
      </c>
      <c r="N358" s="934" t="s">
        <v>9</v>
      </c>
      <c r="O358" s="934" t="s">
        <v>8</v>
      </c>
      <c r="P358" s="75" t="str">
        <f>IF(AND('331-CT'!$E$7=TH!H358,OR(N358="331",O358="331")),"x","")</f>
        <v/>
      </c>
      <c r="Q358" s="75" t="str">
        <f>IF(AND(B358='111'!$L$11,OR($N358=$Q$7,$O358=$Q$7)),"x","")</f>
        <v/>
      </c>
      <c r="R358" s="75" t="str">
        <f>IF(AND($N358=$Q$7,$B358&lt;'111'!$L$11),"x","")</f>
        <v/>
      </c>
      <c r="S358" s="75" t="str">
        <f>IF(AND($O358=$Q$7,$B358&lt;'111'!$L$11),"x","")</f>
        <v/>
      </c>
      <c r="T358" s="75" t="str">
        <f>IF(ISERROR(FIND('112'!$M$9,G358,1)),"",IF((AND(FIND('112'!$M$9,G358,1)&gt;=1,B358='112'!$K$9,OR($N358='112'!$I$6,$O358='112'!$I$6))),"x",""))</f>
        <v/>
      </c>
      <c r="U358" s="75" t="str">
        <f>IF(ISERROR(FIND('112'!$M$9,G358,1)),"",IF((AND(LEFT(G358,2)=LEFT('112'!$M$9,2),B358&lt;'112'!$K$9,$N358='112'!$I$6)),"x",""))</f>
        <v/>
      </c>
      <c r="V358" s="75" t="str">
        <f>IF(ISERROR(FIND('112'!$M$9,G358,1)),"",IF((AND(RIGHT(G358,2)=RIGHT('112'!$M$9,2),B358&lt;'112'!$K$9,$O358='112'!$I$6)),"x",""))</f>
        <v/>
      </c>
      <c r="W358" s="75" t="str">
        <f>IF(AND('341-CT'!$H$9=H358,OR(LEFT(N358,3)=$W$7,LEFT(O358,3)=$W$7)),"x","")</f>
        <v/>
      </c>
      <c r="X358" s="75" t="str">
        <f>IF(OR(TH!N358=TH!$X$7,O358=TH!$X$7),"x","")</f>
        <v/>
      </c>
      <c r="Y358" s="75" t="str">
        <f>IF(AND(OR(N358="131",O358="131"),H358='131-CT'!$H$9),"x","")</f>
        <v/>
      </c>
      <c r="Z358" s="75"/>
      <c r="AA358" s="75" t="str">
        <f>IF(AND(MONTH(E358)='IN-NX'!$J$5,'IN-NX'!$D$7=D358),"x","")</f>
        <v/>
      </c>
      <c r="AB358" s="75" t="str">
        <f>IF(AND(OR(LEFT(TH!N358,2)="15",LEFT(TH!O358,2)="15"),LEFT(TH!O358,3)&lt;&gt;"111",'152-CT'!$J$8=TH!F358),"x","")</f>
        <v/>
      </c>
      <c r="AC358" s="75" t="str">
        <f>IF(AND(OR(LEFT(TH!N358,2)="15",LEFT(TH!O358,2)="15"),TK!$E$7=TH!F358),"x","")</f>
        <v/>
      </c>
      <c r="AD358" s="75" t="str">
        <f>IF(AND(N358="1521",MONTH(C358)='BK-NL'!$M$11),"x","")</f>
        <v/>
      </c>
    </row>
    <row r="359" spans="1:30" ht="16.5" customHeight="1">
      <c r="A359" s="309" t="str">
        <f>IF(B359&lt;&gt;"",IF(AND(B359='IN-TC'!$S$4,OR(TH!N359="1111",TH!O359="1111")),TH!D359,""),"")</f>
        <v/>
      </c>
      <c r="B359" s="1169">
        <f t="shared" si="63"/>
        <v>3</v>
      </c>
      <c r="C359" s="929">
        <v>42808</v>
      </c>
      <c r="D359" s="929" t="s">
        <v>530</v>
      </c>
      <c r="E359" s="929">
        <v>42808</v>
      </c>
      <c r="F359" s="930" t="s">
        <v>994</v>
      </c>
      <c r="G359" s="931" t="s">
        <v>1169</v>
      </c>
      <c r="H359" s="296" t="s">
        <v>623</v>
      </c>
      <c r="I359" s="371">
        <v>26351</v>
      </c>
      <c r="J359" s="932">
        <v>10000</v>
      </c>
      <c r="K359" s="371"/>
      <c r="L359" s="377"/>
      <c r="M359" s="933">
        <f>I359*J359</f>
        <v>263510000</v>
      </c>
      <c r="N359" s="934" t="s">
        <v>272</v>
      </c>
      <c r="O359" s="934" t="s">
        <v>8</v>
      </c>
      <c r="P359" s="75" t="str">
        <f>IF(AND('331-CT'!$E$7=TH!H359,OR(N359="331",O359="331")),"x","")</f>
        <v/>
      </c>
      <c r="Q359" s="75" t="str">
        <f>IF(AND(B359='111'!$L$11,OR($N359=$Q$7,$O359=$Q$7)),"x","")</f>
        <v/>
      </c>
      <c r="R359" s="75" t="str">
        <f>IF(AND($N359=$Q$7,$B359&lt;'111'!$L$11),"x","")</f>
        <v/>
      </c>
      <c r="S359" s="75" t="str">
        <f>IF(AND($O359=$Q$7,$B359&lt;'111'!$L$11),"x","")</f>
        <v/>
      </c>
      <c r="T359" s="75" t="str">
        <f>IF(ISERROR(FIND('112'!$M$9,G359,1)),"",IF((AND(FIND('112'!$M$9,G359,1)&gt;=1,B359='112'!$K$9,OR($N359='112'!$I$6,$O359='112'!$I$6))),"x",""))</f>
        <v/>
      </c>
      <c r="U359" s="75" t="str">
        <f>IF(ISERROR(FIND('112'!$M$9,G359,1)),"",IF((AND(LEFT(G359,2)=LEFT('112'!$M$9,2),B359&lt;'112'!$K$9,$N359='112'!$I$6)),"x",""))</f>
        <v/>
      </c>
      <c r="V359" s="75" t="str">
        <f>IF(ISERROR(FIND('112'!$M$9,G359,1)),"",IF((AND(RIGHT(G359,2)=RIGHT('112'!$M$9,2),B359&lt;'112'!$K$9,$O359='112'!$I$6)),"x",""))</f>
        <v/>
      </c>
      <c r="W359" s="75" t="str">
        <f>IF(AND('341-CT'!$H$9=H359,OR(LEFT(N359,3)=$W$7,LEFT(O359,3)=$W$7)),"x","")</f>
        <v/>
      </c>
      <c r="X359" s="75" t="str">
        <f>IF(OR(TH!N359=TH!$X$7,O359=TH!$X$7),"x","")</f>
        <v/>
      </c>
      <c r="Y359" s="75" t="str">
        <f>IF(AND(OR(N359="131",O359="131"),H359='131-CT'!$H$9),"x","")</f>
        <v/>
      </c>
      <c r="Z359" s="75"/>
      <c r="AA359" s="75" t="str">
        <f>IF(AND(MONTH(E359)='IN-NX'!$J$5,'IN-NX'!$D$7=D359),"x","")</f>
        <v/>
      </c>
      <c r="AB359" s="75" t="str">
        <f>IF(AND(OR(LEFT(TH!N359,2)="15",LEFT(TH!O359,2)="15"),LEFT(TH!O359,3)&lt;&gt;"111",'152-CT'!$J$8=TH!F359),"x","")</f>
        <v/>
      </c>
      <c r="AC359" s="75" t="str">
        <f>IF(AND(OR(LEFT(TH!N359,2)="15",LEFT(TH!O359,2)="15"),TK!$E$7=TH!F359),"x","")</f>
        <v/>
      </c>
      <c r="AD359" s="75" t="str">
        <f>IF(AND(N359="1521",MONTH(C359)='BK-NL'!$M$11),"x","")</f>
        <v/>
      </c>
    </row>
    <row r="360" spans="1:30" ht="16.5" customHeight="1">
      <c r="A360" s="309" t="str">
        <f>IF(B360&lt;&gt;"",IF(AND(B360='IN-TC'!$S$4,OR(TH!N360="1111",TH!O360="1111")),TH!D360,""),"")</f>
        <v/>
      </c>
      <c r="B360" s="1169">
        <f t="shared" si="63"/>
        <v>3</v>
      </c>
      <c r="C360" s="929">
        <v>42808</v>
      </c>
      <c r="D360" s="929" t="s">
        <v>530</v>
      </c>
      <c r="E360" s="929">
        <v>42808</v>
      </c>
      <c r="F360" s="930" t="s">
        <v>995</v>
      </c>
      <c r="G360" s="931" t="s">
        <v>1169</v>
      </c>
      <c r="H360" s="296" t="s">
        <v>623</v>
      </c>
      <c r="I360" s="371"/>
      <c r="J360" s="932"/>
      <c r="K360" s="371"/>
      <c r="L360" s="377"/>
      <c r="M360" s="933">
        <v>26351000</v>
      </c>
      <c r="N360" s="934" t="s">
        <v>9</v>
      </c>
      <c r="O360" s="934" t="s">
        <v>8</v>
      </c>
      <c r="P360" s="75" t="str">
        <f>IF(AND('331-CT'!$E$7=TH!H360,OR(N360="331",O360="331")),"x","")</f>
        <v/>
      </c>
      <c r="Q360" s="75" t="str">
        <f>IF(AND(B360='111'!$L$11,OR($N360=$Q$7,$O360=$Q$7)),"x","")</f>
        <v/>
      </c>
      <c r="R360" s="75" t="str">
        <f>IF(AND($N360=$Q$7,$B360&lt;'111'!$L$11),"x","")</f>
        <v/>
      </c>
      <c r="S360" s="75" t="str">
        <f>IF(AND($O360=$Q$7,$B360&lt;'111'!$L$11),"x","")</f>
        <v/>
      </c>
      <c r="T360" s="75" t="str">
        <f>IF(ISERROR(FIND('112'!$M$9,G360,1)),"",IF((AND(FIND('112'!$M$9,G360,1)&gt;=1,B360='112'!$K$9,OR($N360='112'!$I$6,$O360='112'!$I$6))),"x",""))</f>
        <v/>
      </c>
      <c r="U360" s="75" t="str">
        <f>IF(ISERROR(FIND('112'!$M$9,G360,1)),"",IF((AND(LEFT(G360,2)=LEFT('112'!$M$9,2),B360&lt;'112'!$K$9,$N360='112'!$I$6)),"x",""))</f>
        <v/>
      </c>
      <c r="V360" s="75" t="str">
        <f>IF(ISERROR(FIND('112'!$M$9,G360,1)),"",IF((AND(RIGHT(G360,2)=RIGHT('112'!$M$9,2),B360&lt;'112'!$K$9,$O360='112'!$I$6)),"x",""))</f>
        <v/>
      </c>
      <c r="W360" s="75" t="str">
        <f>IF(AND('341-CT'!$H$9=H360,OR(LEFT(N360,3)=$W$7,LEFT(O360,3)=$W$7)),"x","")</f>
        <v/>
      </c>
      <c r="X360" s="75" t="str">
        <f>IF(OR(TH!N360=TH!$X$7,O360=TH!$X$7),"x","")</f>
        <v/>
      </c>
      <c r="Y360" s="75" t="str">
        <f>IF(AND(OR(N360="131",O360="131"),H360='131-CT'!$H$9),"x","")</f>
        <v/>
      </c>
      <c r="Z360" s="75"/>
      <c r="AA360" s="75" t="str">
        <f>IF(AND(MONTH(E360)='IN-NX'!$J$5,'IN-NX'!$D$7=D360),"x","")</f>
        <v/>
      </c>
      <c r="AB360" s="75" t="str">
        <f>IF(AND(OR(LEFT(TH!N360,2)="15",LEFT(TH!O360,2)="15"),LEFT(TH!O360,3)&lt;&gt;"111",'152-CT'!$J$8=TH!F360),"x","")</f>
        <v/>
      </c>
      <c r="AC360" s="75" t="str">
        <f>IF(AND(OR(LEFT(TH!N360,2)="15",LEFT(TH!O360,2)="15"),TK!$E$7=TH!F360),"x","")</f>
        <v/>
      </c>
      <c r="AD360" s="75" t="str">
        <f>IF(AND(N360="1521",MONTH(C360)='BK-NL'!$M$11),"x","")</f>
        <v/>
      </c>
    </row>
    <row r="361" spans="1:30" ht="16.5" customHeight="1">
      <c r="A361" s="309" t="str">
        <f>IF(B361&lt;&gt;"",IF(AND(B361='IN-TC'!$S$4,OR(TH!N361="1111",TH!O361="1111")),TH!D361,""),"")</f>
        <v/>
      </c>
      <c r="B361" s="1169">
        <f t="shared" si="63"/>
        <v>3</v>
      </c>
      <c r="C361" s="929">
        <v>42816</v>
      </c>
      <c r="D361" s="929" t="s">
        <v>530</v>
      </c>
      <c r="E361" s="929">
        <v>42816</v>
      </c>
      <c r="F361" s="930" t="s">
        <v>994</v>
      </c>
      <c r="G361" s="931" t="s">
        <v>1170</v>
      </c>
      <c r="H361" s="296" t="s">
        <v>623</v>
      </c>
      <c r="I361" s="371">
        <v>22286</v>
      </c>
      <c r="J361" s="932">
        <v>10000</v>
      </c>
      <c r="K361" s="371"/>
      <c r="L361" s="377"/>
      <c r="M361" s="933">
        <f>I361*J361</f>
        <v>222860000</v>
      </c>
      <c r="N361" s="934" t="s">
        <v>272</v>
      </c>
      <c r="O361" s="934" t="s">
        <v>8</v>
      </c>
      <c r="P361" s="75" t="str">
        <f>IF(AND('331-CT'!$E$7=TH!H361,OR(N361="331",O361="331")),"x","")</f>
        <v/>
      </c>
      <c r="Q361" s="75" t="str">
        <f>IF(AND(B361='111'!$L$11,OR($N361=$Q$7,$O361=$Q$7)),"x","")</f>
        <v/>
      </c>
      <c r="R361" s="75" t="str">
        <f>IF(AND($N361=$Q$7,$B361&lt;'111'!$L$11),"x","")</f>
        <v/>
      </c>
      <c r="S361" s="75" t="str">
        <f>IF(AND($O361=$Q$7,$B361&lt;'111'!$L$11),"x","")</f>
        <v/>
      </c>
      <c r="T361" s="75" t="str">
        <f>IF(ISERROR(FIND('112'!$M$9,G361,1)),"",IF((AND(FIND('112'!$M$9,G361,1)&gt;=1,B361='112'!$K$9,OR($N361='112'!$I$6,$O361='112'!$I$6))),"x",""))</f>
        <v/>
      </c>
      <c r="U361" s="75" t="str">
        <f>IF(ISERROR(FIND('112'!$M$9,G361,1)),"",IF((AND(LEFT(G361,2)=LEFT('112'!$M$9,2),B361&lt;'112'!$K$9,$N361='112'!$I$6)),"x",""))</f>
        <v/>
      </c>
      <c r="V361" s="75" t="str">
        <f>IF(ISERROR(FIND('112'!$M$9,G361,1)),"",IF((AND(RIGHT(G361,2)=RIGHT('112'!$M$9,2),B361&lt;'112'!$K$9,$O361='112'!$I$6)),"x",""))</f>
        <v/>
      </c>
      <c r="W361" s="75" t="str">
        <f>IF(AND('341-CT'!$H$9=H361,OR(LEFT(N361,3)=$W$7,LEFT(O361,3)=$W$7)),"x","")</f>
        <v/>
      </c>
      <c r="X361" s="75" t="str">
        <f>IF(OR(TH!N361=TH!$X$7,O361=TH!$X$7),"x","")</f>
        <v/>
      </c>
      <c r="Y361" s="75" t="str">
        <f>IF(AND(OR(N361="131",O361="131"),H361='131-CT'!$H$9),"x","")</f>
        <v/>
      </c>
      <c r="Z361" s="75"/>
      <c r="AA361" s="75" t="str">
        <f>IF(AND(MONTH(E361)='IN-NX'!$J$5,'IN-NX'!$D$7=D361),"x","")</f>
        <v/>
      </c>
      <c r="AB361" s="75" t="str">
        <f>IF(AND(OR(LEFT(TH!N361,2)="15",LEFT(TH!O361,2)="15"),LEFT(TH!O361,3)&lt;&gt;"111",'152-CT'!$J$8=TH!F361),"x","")</f>
        <v/>
      </c>
      <c r="AC361" s="75" t="str">
        <f>IF(AND(OR(LEFT(TH!N361,2)="15",LEFT(TH!O361,2)="15"),TK!$E$7=TH!F361),"x","")</f>
        <v/>
      </c>
      <c r="AD361" s="75" t="str">
        <f>IF(AND(N361="1521",MONTH(C361)='BK-NL'!$M$11),"x","")</f>
        <v/>
      </c>
    </row>
    <row r="362" spans="1:30" ht="16.5" customHeight="1">
      <c r="A362" s="309" t="str">
        <f>IF(B362&lt;&gt;"",IF(AND(B362='IN-TC'!$S$4,OR(TH!N362="1111",TH!O362="1111")),TH!D362,""),"")</f>
        <v/>
      </c>
      <c r="B362" s="1169">
        <f t="shared" si="63"/>
        <v>3</v>
      </c>
      <c r="C362" s="929">
        <v>42816</v>
      </c>
      <c r="D362" s="929" t="s">
        <v>530</v>
      </c>
      <c r="E362" s="929">
        <v>42816</v>
      </c>
      <c r="F362" s="930" t="s">
        <v>995</v>
      </c>
      <c r="G362" s="931" t="s">
        <v>1170</v>
      </c>
      <c r="H362" s="296" t="s">
        <v>623</v>
      </c>
      <c r="I362" s="371"/>
      <c r="J362" s="932"/>
      <c r="K362" s="371"/>
      <c r="L362" s="377"/>
      <c r="M362" s="933">
        <v>22286000</v>
      </c>
      <c r="N362" s="934" t="s">
        <v>9</v>
      </c>
      <c r="O362" s="934" t="s">
        <v>8</v>
      </c>
      <c r="P362" s="75" t="str">
        <f>IF(AND('331-CT'!$E$7=TH!H362,OR(N362="331",O362="331")),"x","")</f>
        <v/>
      </c>
      <c r="Q362" s="75" t="str">
        <f>IF(AND(B362='111'!$L$11,OR($N362=$Q$7,$O362=$Q$7)),"x","")</f>
        <v/>
      </c>
      <c r="R362" s="75" t="str">
        <f>IF(AND($N362=$Q$7,$B362&lt;'111'!$L$11),"x","")</f>
        <v/>
      </c>
      <c r="S362" s="75" t="str">
        <f>IF(AND($O362=$Q$7,$B362&lt;'111'!$L$11),"x","")</f>
        <v/>
      </c>
      <c r="T362" s="75" t="str">
        <f>IF(ISERROR(FIND('112'!$M$9,G362,1)),"",IF((AND(FIND('112'!$M$9,G362,1)&gt;=1,B362='112'!$K$9,OR($N362='112'!$I$6,$O362='112'!$I$6))),"x",""))</f>
        <v/>
      </c>
      <c r="U362" s="75" t="str">
        <f>IF(ISERROR(FIND('112'!$M$9,G362,1)),"",IF((AND(LEFT(G362,2)=LEFT('112'!$M$9,2),B362&lt;'112'!$K$9,$N362='112'!$I$6)),"x",""))</f>
        <v/>
      </c>
      <c r="V362" s="75" t="str">
        <f>IF(ISERROR(FIND('112'!$M$9,G362,1)),"",IF((AND(RIGHT(G362,2)=RIGHT('112'!$M$9,2),B362&lt;'112'!$K$9,$O362='112'!$I$6)),"x",""))</f>
        <v/>
      </c>
      <c r="W362" s="75" t="str">
        <f>IF(AND('341-CT'!$H$9=H362,OR(LEFT(N362,3)=$W$7,LEFT(O362,3)=$W$7)),"x","")</f>
        <v/>
      </c>
      <c r="X362" s="75" t="str">
        <f>IF(OR(TH!N362=TH!$X$7,O362=TH!$X$7),"x","")</f>
        <v/>
      </c>
      <c r="Y362" s="75" t="str">
        <f>IF(AND(OR(N362="131",O362="131"),H362='131-CT'!$H$9),"x","")</f>
        <v/>
      </c>
      <c r="Z362" s="75"/>
      <c r="AA362" s="75" t="str">
        <f>IF(AND(MONTH(E362)='IN-NX'!$J$5,'IN-NX'!$D$7=D362),"x","")</f>
        <v/>
      </c>
      <c r="AB362" s="75" t="str">
        <f>IF(AND(OR(LEFT(TH!N362,2)="15",LEFT(TH!O362,2)="15"),LEFT(TH!O362,3)&lt;&gt;"111",'152-CT'!$J$8=TH!F362),"x","")</f>
        <v/>
      </c>
      <c r="AC362" s="75" t="str">
        <f>IF(AND(OR(LEFT(TH!N362,2)="15",LEFT(TH!O362,2)="15"),TK!$E$7=TH!F362),"x","")</f>
        <v/>
      </c>
      <c r="AD362" s="75" t="str">
        <f>IF(AND(N362="1521",MONTH(C362)='BK-NL'!$M$11),"x","")</f>
        <v/>
      </c>
    </row>
    <row r="363" spans="1:30" ht="16.5" customHeight="1">
      <c r="A363" s="309" t="str">
        <f>IF(B363&lt;&gt;"",IF(AND(B363='IN-TC'!$S$4,OR(TH!N363="1111",TH!O363="1111")),TH!D363,""),"")</f>
        <v/>
      </c>
      <c r="B363" s="1169">
        <f t="shared" si="63"/>
        <v>3</v>
      </c>
      <c r="C363" s="929">
        <v>42819</v>
      </c>
      <c r="D363" s="929" t="s">
        <v>530</v>
      </c>
      <c r="E363" s="929">
        <v>42819</v>
      </c>
      <c r="F363" s="930" t="s">
        <v>994</v>
      </c>
      <c r="G363" s="931" t="s">
        <v>1171</v>
      </c>
      <c r="H363" s="296" t="s">
        <v>623</v>
      </c>
      <c r="I363" s="371">
        <v>26390</v>
      </c>
      <c r="J363" s="932">
        <v>10000</v>
      </c>
      <c r="K363" s="371"/>
      <c r="L363" s="377"/>
      <c r="M363" s="933">
        <f>I363*J363</f>
        <v>263900000</v>
      </c>
      <c r="N363" s="934" t="s">
        <v>272</v>
      </c>
      <c r="O363" s="934" t="s">
        <v>8</v>
      </c>
      <c r="P363" s="75" t="str">
        <f>IF(AND('331-CT'!$E$7=TH!H363,OR(N363="331",O363="331")),"x","")</f>
        <v/>
      </c>
      <c r="Q363" s="75" t="str">
        <f>IF(AND(B363='111'!$L$11,OR($N363=$Q$7,$O363=$Q$7)),"x","")</f>
        <v/>
      </c>
      <c r="R363" s="75" t="str">
        <f>IF(AND($N363=$Q$7,$B363&lt;'111'!$L$11),"x","")</f>
        <v/>
      </c>
      <c r="S363" s="75" t="str">
        <f>IF(AND($O363=$Q$7,$B363&lt;'111'!$L$11),"x","")</f>
        <v/>
      </c>
      <c r="T363" s="75" t="str">
        <f>IF(ISERROR(FIND('112'!$M$9,G363,1)),"",IF((AND(FIND('112'!$M$9,G363,1)&gt;=1,B363='112'!$K$9,OR($N363='112'!$I$6,$O363='112'!$I$6))),"x",""))</f>
        <v/>
      </c>
      <c r="U363" s="75" t="str">
        <f>IF(ISERROR(FIND('112'!$M$9,G363,1)),"",IF((AND(LEFT(G363,2)=LEFT('112'!$M$9,2),B363&lt;'112'!$K$9,$N363='112'!$I$6)),"x",""))</f>
        <v/>
      </c>
      <c r="V363" s="75" t="str">
        <f>IF(ISERROR(FIND('112'!$M$9,G363,1)),"",IF((AND(RIGHT(G363,2)=RIGHT('112'!$M$9,2),B363&lt;'112'!$K$9,$O363='112'!$I$6)),"x",""))</f>
        <v/>
      </c>
      <c r="W363" s="75" t="str">
        <f>IF(AND('341-CT'!$H$9=H363,OR(LEFT(N363,3)=$W$7,LEFT(O363,3)=$W$7)),"x","")</f>
        <v/>
      </c>
      <c r="X363" s="75" t="str">
        <f>IF(OR(TH!N363=TH!$X$7,O363=TH!$X$7),"x","")</f>
        <v/>
      </c>
      <c r="Y363" s="75" t="str">
        <f>IF(AND(OR(N363="131",O363="131"),H363='131-CT'!$H$9),"x","")</f>
        <v/>
      </c>
      <c r="Z363" s="75"/>
      <c r="AA363" s="75" t="str">
        <f>IF(AND(MONTH(E363)='IN-NX'!$J$5,'IN-NX'!$D$7=D363),"x","")</f>
        <v/>
      </c>
      <c r="AB363" s="75" t="str">
        <f>IF(AND(OR(LEFT(TH!N363,2)="15",LEFT(TH!O363,2)="15"),LEFT(TH!O363,3)&lt;&gt;"111",'152-CT'!$J$8=TH!F363),"x","")</f>
        <v/>
      </c>
      <c r="AC363" s="75" t="str">
        <f>IF(AND(OR(LEFT(TH!N363,2)="15",LEFT(TH!O363,2)="15"),TK!$E$7=TH!F363),"x","")</f>
        <v/>
      </c>
      <c r="AD363" s="75" t="str">
        <f>IF(AND(N363="1521",MONTH(C363)='BK-NL'!$M$11),"x","")</f>
        <v/>
      </c>
    </row>
    <row r="364" spans="1:30" ht="16.5" customHeight="1">
      <c r="A364" s="309" t="str">
        <f>IF(B364&lt;&gt;"",IF(AND(B364='IN-TC'!$S$4,OR(TH!N364="1111",TH!O364="1111")),TH!D364,""),"")</f>
        <v/>
      </c>
      <c r="B364" s="1169">
        <f t="shared" si="63"/>
        <v>3</v>
      </c>
      <c r="C364" s="929">
        <v>42819</v>
      </c>
      <c r="D364" s="929" t="s">
        <v>530</v>
      </c>
      <c r="E364" s="929">
        <v>42819</v>
      </c>
      <c r="F364" s="930" t="s">
        <v>995</v>
      </c>
      <c r="G364" s="931" t="s">
        <v>1171</v>
      </c>
      <c r="H364" s="296" t="s">
        <v>623</v>
      </c>
      <c r="I364" s="371"/>
      <c r="J364" s="932"/>
      <c r="K364" s="371"/>
      <c r="L364" s="377"/>
      <c r="M364" s="933">
        <v>26390000</v>
      </c>
      <c r="N364" s="934" t="s">
        <v>9</v>
      </c>
      <c r="O364" s="934" t="s">
        <v>8</v>
      </c>
      <c r="P364" s="75" t="str">
        <f>IF(AND('331-CT'!$E$7=TH!H364,OR(N364="331",O364="331")),"x","")</f>
        <v/>
      </c>
      <c r="Q364" s="75" t="str">
        <f>IF(AND(B364='111'!$L$11,OR($N364=$Q$7,$O364=$Q$7)),"x","")</f>
        <v/>
      </c>
      <c r="R364" s="75" t="str">
        <f>IF(AND($N364=$Q$7,$B364&lt;'111'!$L$11),"x","")</f>
        <v/>
      </c>
      <c r="S364" s="75" t="str">
        <f>IF(AND($O364=$Q$7,$B364&lt;'111'!$L$11),"x","")</f>
        <v/>
      </c>
      <c r="T364" s="75" t="str">
        <f>IF(ISERROR(FIND('112'!$M$9,G364,1)),"",IF((AND(FIND('112'!$M$9,G364,1)&gt;=1,B364='112'!$K$9,OR($N364='112'!$I$6,$O364='112'!$I$6))),"x",""))</f>
        <v/>
      </c>
      <c r="U364" s="75" t="str">
        <f>IF(ISERROR(FIND('112'!$M$9,G364,1)),"",IF((AND(LEFT(G364,2)=LEFT('112'!$M$9,2),B364&lt;'112'!$K$9,$N364='112'!$I$6)),"x",""))</f>
        <v/>
      </c>
      <c r="V364" s="75" t="str">
        <f>IF(ISERROR(FIND('112'!$M$9,G364,1)),"",IF((AND(RIGHT(G364,2)=RIGHT('112'!$M$9,2),B364&lt;'112'!$K$9,$O364='112'!$I$6)),"x",""))</f>
        <v/>
      </c>
      <c r="W364" s="75" t="str">
        <f>IF(AND('341-CT'!$H$9=H364,OR(LEFT(N364,3)=$W$7,LEFT(O364,3)=$W$7)),"x","")</f>
        <v/>
      </c>
      <c r="X364" s="75" t="str">
        <f>IF(OR(TH!N364=TH!$X$7,O364=TH!$X$7),"x","")</f>
        <v/>
      </c>
      <c r="Y364" s="75" t="str">
        <f>IF(AND(OR(N364="131",O364="131"),H364='131-CT'!$H$9),"x","")</f>
        <v/>
      </c>
      <c r="Z364" s="75"/>
      <c r="AA364" s="75" t="str">
        <f>IF(AND(MONTH(E364)='IN-NX'!$J$5,'IN-NX'!$D$7=D364),"x","")</f>
        <v/>
      </c>
      <c r="AB364" s="75" t="str">
        <f>IF(AND(OR(LEFT(TH!N364,2)="15",LEFT(TH!O364,2)="15"),LEFT(TH!O364,3)&lt;&gt;"111",'152-CT'!$J$8=TH!F364),"x","")</f>
        <v/>
      </c>
      <c r="AC364" s="75" t="str">
        <f>IF(AND(OR(LEFT(TH!N364,2)="15",LEFT(TH!O364,2)="15"),TK!$E$7=TH!F364),"x","")</f>
        <v/>
      </c>
      <c r="AD364" s="75" t="str">
        <f>IF(AND(N364="1521",MONTH(C364)='BK-NL'!$M$11),"x","")</f>
        <v/>
      </c>
    </row>
    <row r="365" spans="1:30" ht="16.5" customHeight="1">
      <c r="A365" s="309" t="str">
        <f>IF(B365&lt;&gt;"",IF(AND(B365='IN-TC'!$S$4,OR(TH!N365="1111",TH!O365="1111")),TH!D365,""),"")</f>
        <v/>
      </c>
      <c r="B365" s="1169">
        <f t="shared" si="63"/>
        <v>3</v>
      </c>
      <c r="C365" s="929">
        <v>42825</v>
      </c>
      <c r="D365" s="929" t="s">
        <v>530</v>
      </c>
      <c r="E365" s="929">
        <v>42800</v>
      </c>
      <c r="F365" s="930" t="s">
        <v>1181</v>
      </c>
      <c r="G365" s="931" t="s">
        <v>1187</v>
      </c>
      <c r="H365" s="735" t="s">
        <v>563</v>
      </c>
      <c r="I365" s="371"/>
      <c r="J365" s="932"/>
      <c r="K365" s="371"/>
      <c r="L365" s="377"/>
      <c r="M365" s="933">
        <v>10411400</v>
      </c>
      <c r="N365" s="934" t="s">
        <v>272</v>
      </c>
      <c r="O365" s="934" t="s">
        <v>8</v>
      </c>
      <c r="P365" s="75" t="str">
        <f>IF(AND('331-CT'!$E$7=TH!H365,OR(N365="331",O365="331")),"x","")</f>
        <v/>
      </c>
      <c r="Q365" s="75" t="str">
        <f>IF(AND(B365='111'!$L$11,OR($N365=$Q$7,$O365=$Q$7)),"x","")</f>
        <v/>
      </c>
      <c r="R365" s="75" t="str">
        <f>IF(AND($N365=$Q$7,$B365&lt;'111'!$L$11),"x","")</f>
        <v/>
      </c>
      <c r="S365" s="75" t="str">
        <f>IF(AND($O365=$Q$7,$B365&lt;'111'!$L$11),"x","")</f>
        <v/>
      </c>
      <c r="T365" s="75" t="str">
        <f>IF(ISERROR(FIND('112'!$M$9,G365,1)),"",IF((AND(FIND('112'!$M$9,G365,1)&gt;=1,B365='112'!$K$9,OR($N365='112'!$I$6,$O365='112'!$I$6))),"x",""))</f>
        <v/>
      </c>
      <c r="U365" s="75" t="str">
        <f>IF(ISERROR(FIND('112'!$M$9,G365,1)),"",IF((AND(LEFT(G365,2)=LEFT('112'!$M$9,2),B365&lt;'112'!$K$9,$N365='112'!$I$6)),"x",""))</f>
        <v/>
      </c>
      <c r="V365" s="75" t="str">
        <f>IF(ISERROR(FIND('112'!$M$9,G365,1)),"",IF((AND(RIGHT(G365,2)=RIGHT('112'!$M$9,2),B365&lt;'112'!$K$9,$O365='112'!$I$6)),"x",""))</f>
        <v/>
      </c>
      <c r="W365" s="75" t="str">
        <f>IF(AND('341-CT'!$H$9=H365,OR(LEFT(N365,3)=$W$7,LEFT(O365,3)=$W$7)),"x","")</f>
        <v/>
      </c>
      <c r="X365" s="75" t="str">
        <f>IF(OR(TH!N365=TH!$X$7,O365=TH!$X$7),"x","")</f>
        <v/>
      </c>
      <c r="Y365" s="75" t="str">
        <f>IF(AND(OR(N365="131",O365="131"),H365='131-CT'!$H$9),"x","")</f>
        <v/>
      </c>
      <c r="Z365" s="75"/>
      <c r="AA365" s="75" t="str">
        <f>IF(AND(MONTH(E365)='IN-NX'!$J$5,'IN-NX'!$D$7=D365),"x","")</f>
        <v/>
      </c>
      <c r="AB365" s="75" t="str">
        <f>IF(AND(OR(LEFT(TH!N365,2)="15",LEFT(TH!O365,2)="15"),LEFT(TH!O365,3)&lt;&gt;"111",'152-CT'!$J$8=TH!F365),"x","")</f>
        <v/>
      </c>
      <c r="AC365" s="75" t="str">
        <f>IF(AND(OR(LEFT(TH!N365,2)="15",LEFT(TH!O365,2)="15"),TK!$E$7=TH!F365),"x","")</f>
        <v/>
      </c>
      <c r="AD365" s="75" t="str">
        <f>IF(AND(N365="1521",MONTH(C365)='BK-NL'!$M$11),"x","")</f>
        <v/>
      </c>
    </row>
    <row r="366" spans="1:30" ht="16.5" customHeight="1">
      <c r="A366" s="309" t="str">
        <f>IF(B366&lt;&gt;"",IF(AND(B366='IN-TC'!$S$4,OR(TH!N366="1111",TH!O366="1111")),TH!D366,""),"")</f>
        <v/>
      </c>
      <c r="B366" s="1169">
        <f t="shared" si="63"/>
        <v>3</v>
      </c>
      <c r="C366" s="929">
        <v>42825</v>
      </c>
      <c r="D366" s="929" t="s">
        <v>530</v>
      </c>
      <c r="E366" s="929">
        <v>42800</v>
      </c>
      <c r="F366" s="930" t="s">
        <v>1183</v>
      </c>
      <c r="G366" s="931" t="s">
        <v>1187</v>
      </c>
      <c r="H366" s="735" t="s">
        <v>563</v>
      </c>
      <c r="I366" s="371"/>
      <c r="J366" s="932"/>
      <c r="K366" s="371"/>
      <c r="L366" s="377"/>
      <c r="M366" s="933">
        <v>1041140</v>
      </c>
      <c r="N366" s="934" t="s">
        <v>9</v>
      </c>
      <c r="O366" s="934" t="s">
        <v>8</v>
      </c>
      <c r="P366" s="75" t="str">
        <f>IF(AND('331-CT'!$E$7=TH!H366,OR(N366="331",O366="331")),"x","")</f>
        <v/>
      </c>
      <c r="Q366" s="75" t="str">
        <f>IF(AND(B366='111'!$L$11,OR($N366=$Q$7,$O366=$Q$7)),"x","")</f>
        <v/>
      </c>
      <c r="R366" s="75" t="str">
        <f>IF(AND($N366=$Q$7,$B366&lt;'111'!$L$11),"x","")</f>
        <v/>
      </c>
      <c r="S366" s="75" t="str">
        <f>IF(AND($O366=$Q$7,$B366&lt;'111'!$L$11),"x","")</f>
        <v/>
      </c>
      <c r="T366" s="75" t="str">
        <f>IF(ISERROR(FIND('112'!$M$9,G366,1)),"",IF((AND(FIND('112'!$M$9,G366,1)&gt;=1,B366='112'!$K$9,OR($N366='112'!$I$6,$O366='112'!$I$6))),"x",""))</f>
        <v/>
      </c>
      <c r="U366" s="75" t="str">
        <f>IF(ISERROR(FIND('112'!$M$9,G366,1)),"",IF((AND(LEFT(G366,2)=LEFT('112'!$M$9,2),B366&lt;'112'!$K$9,$N366='112'!$I$6)),"x",""))</f>
        <v/>
      </c>
      <c r="V366" s="75" t="str">
        <f>IF(ISERROR(FIND('112'!$M$9,G366,1)),"",IF((AND(RIGHT(G366,2)=RIGHT('112'!$M$9,2),B366&lt;'112'!$K$9,$O366='112'!$I$6)),"x",""))</f>
        <v/>
      </c>
      <c r="W366" s="75" t="str">
        <f>IF(AND('341-CT'!$H$9=H366,OR(LEFT(N366,3)=$W$7,LEFT(O366,3)=$W$7)),"x","")</f>
        <v/>
      </c>
      <c r="X366" s="75" t="str">
        <f>IF(OR(TH!N366=TH!$X$7,O366=TH!$X$7),"x","")</f>
        <v/>
      </c>
      <c r="Y366" s="75" t="str">
        <f>IF(AND(OR(N366="131",O366="131"),H366='131-CT'!$H$9),"x","")</f>
        <v/>
      </c>
      <c r="Z366" s="75"/>
      <c r="AA366" s="75" t="str">
        <f>IF(AND(MONTH(E366)='IN-NX'!$J$5,'IN-NX'!$D$7=D366),"x","")</f>
        <v/>
      </c>
      <c r="AB366" s="75" t="str">
        <f>IF(AND(OR(LEFT(TH!N366,2)="15",LEFT(TH!O366,2)="15"),LEFT(TH!O366,3)&lt;&gt;"111",'152-CT'!$J$8=TH!F366),"x","")</f>
        <v/>
      </c>
      <c r="AC366" s="75" t="str">
        <f>IF(AND(OR(LEFT(TH!N366,2)="15",LEFT(TH!O366,2)="15"),TK!$E$7=TH!F366),"x","")</f>
        <v/>
      </c>
      <c r="AD366" s="75" t="str">
        <f>IF(AND(N366="1521",MONTH(C366)='BK-NL'!$M$11),"x","")</f>
        <v/>
      </c>
    </row>
    <row r="367" spans="1:30" ht="16.5" customHeight="1">
      <c r="A367" s="309" t="str">
        <f>IF(B367&lt;&gt;"",IF(AND(B367='IN-TC'!$S$4,OR(TH!N367="1111",TH!O367="1111")),TH!D367,""),"")</f>
        <v/>
      </c>
      <c r="B367" s="1169">
        <f t="shared" si="63"/>
        <v>3</v>
      </c>
      <c r="C367" s="929">
        <v>42825</v>
      </c>
      <c r="D367" s="929" t="s">
        <v>530</v>
      </c>
      <c r="E367" s="929">
        <v>42811</v>
      </c>
      <c r="F367" s="930" t="s">
        <v>1182</v>
      </c>
      <c r="G367" s="931" t="s">
        <v>1188</v>
      </c>
      <c r="H367" s="735" t="s">
        <v>563</v>
      </c>
      <c r="I367" s="371"/>
      <c r="J367" s="932"/>
      <c r="K367" s="371"/>
      <c r="L367" s="377"/>
      <c r="M367" s="933">
        <v>15486000</v>
      </c>
      <c r="N367" s="934" t="s">
        <v>272</v>
      </c>
      <c r="O367" s="934" t="s">
        <v>8</v>
      </c>
      <c r="P367" s="75" t="str">
        <f>IF(AND('331-CT'!$E$7=TH!H367,OR(N367="331",O367="331")),"x","")</f>
        <v/>
      </c>
      <c r="Q367" s="75" t="str">
        <f>IF(AND(B367='111'!$L$11,OR($N367=$Q$7,$O367=$Q$7)),"x","")</f>
        <v/>
      </c>
      <c r="R367" s="75" t="str">
        <f>IF(AND($N367=$Q$7,$B367&lt;'111'!$L$11),"x","")</f>
        <v/>
      </c>
      <c r="S367" s="75" t="str">
        <f>IF(AND($O367=$Q$7,$B367&lt;'111'!$L$11),"x","")</f>
        <v/>
      </c>
      <c r="T367" s="75" t="str">
        <f>IF(ISERROR(FIND('112'!$M$9,G367,1)),"",IF((AND(FIND('112'!$M$9,G367,1)&gt;=1,B367='112'!$K$9,OR($N367='112'!$I$6,$O367='112'!$I$6))),"x",""))</f>
        <v/>
      </c>
      <c r="U367" s="75" t="str">
        <f>IF(ISERROR(FIND('112'!$M$9,G367,1)),"",IF((AND(LEFT(G367,2)=LEFT('112'!$M$9,2),B367&lt;'112'!$K$9,$N367='112'!$I$6)),"x",""))</f>
        <v/>
      </c>
      <c r="V367" s="75" t="str">
        <f>IF(ISERROR(FIND('112'!$M$9,G367,1)),"",IF((AND(RIGHT(G367,2)=RIGHT('112'!$M$9,2),B367&lt;'112'!$K$9,$O367='112'!$I$6)),"x",""))</f>
        <v/>
      </c>
      <c r="W367" s="75" t="str">
        <f>IF(AND('341-CT'!$H$9=H367,OR(LEFT(N367,3)=$W$7,LEFT(O367,3)=$W$7)),"x","")</f>
        <v/>
      </c>
      <c r="X367" s="75" t="str">
        <f>IF(OR(TH!N367=TH!$X$7,O367=TH!$X$7),"x","")</f>
        <v/>
      </c>
      <c r="Y367" s="75" t="str">
        <f>IF(AND(OR(N367="131",O367="131"),H367='131-CT'!$H$9),"x","")</f>
        <v/>
      </c>
      <c r="Z367" s="75"/>
      <c r="AA367" s="75" t="str">
        <f>IF(AND(MONTH(E367)='IN-NX'!$J$5,'IN-NX'!$D$7=D367),"x","")</f>
        <v/>
      </c>
      <c r="AB367" s="75" t="str">
        <f>IF(AND(OR(LEFT(TH!N367,2)="15",LEFT(TH!O367,2)="15"),LEFT(TH!O367,3)&lt;&gt;"111",'152-CT'!$J$8=TH!F367),"x","")</f>
        <v/>
      </c>
      <c r="AC367" s="75" t="str">
        <f>IF(AND(OR(LEFT(TH!N367,2)="15",LEFT(TH!O367,2)="15"),TK!$E$7=TH!F367),"x","")</f>
        <v/>
      </c>
      <c r="AD367" s="75" t="str">
        <f>IF(AND(N367="1521",MONTH(C367)='BK-NL'!$M$11),"x","")</f>
        <v/>
      </c>
    </row>
    <row r="368" spans="1:30" ht="16.5" customHeight="1">
      <c r="A368" s="309" t="str">
        <f>IF(B368&lt;&gt;"",IF(AND(B368='IN-TC'!$S$4,OR(TH!N368="1111",TH!O368="1111")),TH!D368,""),"")</f>
        <v/>
      </c>
      <c r="B368" s="1169">
        <f t="shared" si="63"/>
        <v>3</v>
      </c>
      <c r="C368" s="929">
        <v>42825</v>
      </c>
      <c r="D368" s="929" t="s">
        <v>530</v>
      </c>
      <c r="E368" s="929">
        <v>42811</v>
      </c>
      <c r="F368" s="930" t="s">
        <v>1184</v>
      </c>
      <c r="G368" s="931" t="s">
        <v>1188</v>
      </c>
      <c r="H368" s="735" t="s">
        <v>563</v>
      </c>
      <c r="I368" s="371"/>
      <c r="J368" s="932"/>
      <c r="K368" s="371"/>
      <c r="L368" s="377"/>
      <c r="M368" s="933">
        <v>1548600</v>
      </c>
      <c r="N368" s="934" t="s">
        <v>9</v>
      </c>
      <c r="O368" s="934" t="s">
        <v>8</v>
      </c>
      <c r="P368" s="75" t="str">
        <f>IF(AND('331-CT'!$E$7=TH!H368,OR(N368="331",O368="331")),"x","")</f>
        <v/>
      </c>
      <c r="Q368" s="75" t="str">
        <f>IF(AND(B368='111'!$L$11,OR($N368=$Q$7,$O368=$Q$7)),"x","")</f>
        <v/>
      </c>
      <c r="R368" s="75" t="str">
        <f>IF(AND($N368=$Q$7,$B368&lt;'111'!$L$11),"x","")</f>
        <v/>
      </c>
      <c r="S368" s="75" t="str">
        <f>IF(AND($O368=$Q$7,$B368&lt;'111'!$L$11),"x","")</f>
        <v/>
      </c>
      <c r="T368" s="75" t="str">
        <f>IF(ISERROR(FIND('112'!$M$9,G368,1)),"",IF((AND(FIND('112'!$M$9,G368,1)&gt;=1,B368='112'!$K$9,OR($N368='112'!$I$6,$O368='112'!$I$6))),"x",""))</f>
        <v/>
      </c>
      <c r="U368" s="75" t="str">
        <f>IF(ISERROR(FIND('112'!$M$9,G368,1)),"",IF((AND(LEFT(G368,2)=LEFT('112'!$M$9,2),B368&lt;'112'!$K$9,$N368='112'!$I$6)),"x",""))</f>
        <v/>
      </c>
      <c r="V368" s="75" t="str">
        <f>IF(ISERROR(FIND('112'!$M$9,G368,1)),"",IF((AND(RIGHT(G368,2)=RIGHT('112'!$M$9,2),B368&lt;'112'!$K$9,$O368='112'!$I$6)),"x",""))</f>
        <v/>
      </c>
      <c r="W368" s="75" t="str">
        <f>IF(AND('341-CT'!$H$9=H368,OR(LEFT(N368,3)=$W$7,LEFT(O368,3)=$W$7)),"x","")</f>
        <v/>
      </c>
      <c r="X368" s="75" t="str">
        <f>IF(OR(TH!N368=TH!$X$7,O368=TH!$X$7),"x","")</f>
        <v/>
      </c>
      <c r="Y368" s="75" t="str">
        <f>IF(AND(OR(N368="131",O368="131"),H368='131-CT'!$H$9),"x","")</f>
        <v/>
      </c>
      <c r="Z368" s="75"/>
      <c r="AA368" s="75" t="str">
        <f>IF(AND(MONTH(E368)='IN-NX'!$J$5,'IN-NX'!$D$7=D368),"x","")</f>
        <v/>
      </c>
      <c r="AB368" s="75" t="str">
        <f>IF(AND(OR(LEFT(TH!N368,2)="15",LEFT(TH!O368,2)="15"),LEFT(TH!O368,3)&lt;&gt;"111",'152-CT'!$J$8=TH!F368),"x","")</f>
        <v/>
      </c>
      <c r="AC368" s="75" t="str">
        <f>IF(AND(OR(LEFT(TH!N368,2)="15",LEFT(TH!O368,2)="15"),TK!$E$7=TH!F368),"x","")</f>
        <v/>
      </c>
      <c r="AD368" s="75" t="str">
        <f>IF(AND(N368="1521",MONTH(C368)='BK-NL'!$M$11),"x","")</f>
        <v/>
      </c>
    </row>
    <row r="369" spans="1:30" ht="16.5" customHeight="1">
      <c r="A369" s="309" t="str">
        <f>IF(B369&lt;&gt;"",IF(AND(B369='IN-TC'!$S$4,OR(TH!N369="1111",TH!O369="1111")),TH!D369,""),"")</f>
        <v/>
      </c>
      <c r="B369" s="1169">
        <f t="shared" si="63"/>
        <v>3</v>
      </c>
      <c r="C369" s="929">
        <v>42825</v>
      </c>
      <c r="D369" s="929" t="s">
        <v>530</v>
      </c>
      <c r="E369" s="929">
        <v>42821</v>
      </c>
      <c r="F369" s="930" t="s">
        <v>1185</v>
      </c>
      <c r="G369" s="931" t="s">
        <v>1189</v>
      </c>
      <c r="H369" s="735" t="s">
        <v>563</v>
      </c>
      <c r="I369" s="371"/>
      <c r="J369" s="932"/>
      <c r="K369" s="371"/>
      <c r="L369" s="377"/>
      <c r="M369" s="933">
        <v>17802900</v>
      </c>
      <c r="N369" s="934" t="s">
        <v>272</v>
      </c>
      <c r="O369" s="934" t="s">
        <v>8</v>
      </c>
      <c r="P369" s="75" t="str">
        <f>IF(AND('331-CT'!$E$7=TH!H369,OR(N369="331",O369="331")),"x","")</f>
        <v/>
      </c>
      <c r="Q369" s="75" t="str">
        <f>IF(AND(B369='111'!$L$11,OR($N369=$Q$7,$O369=$Q$7)),"x","")</f>
        <v/>
      </c>
      <c r="R369" s="75" t="str">
        <f>IF(AND($N369=$Q$7,$B369&lt;'111'!$L$11),"x","")</f>
        <v/>
      </c>
      <c r="S369" s="75" t="str">
        <f>IF(AND($O369=$Q$7,$B369&lt;'111'!$L$11),"x","")</f>
        <v/>
      </c>
      <c r="T369" s="75" t="str">
        <f>IF(ISERROR(FIND('112'!$M$9,G369,1)),"",IF((AND(FIND('112'!$M$9,G369,1)&gt;=1,B369='112'!$K$9,OR($N369='112'!$I$6,$O369='112'!$I$6))),"x",""))</f>
        <v/>
      </c>
      <c r="U369" s="75" t="str">
        <f>IF(ISERROR(FIND('112'!$M$9,G369,1)),"",IF((AND(LEFT(G369,2)=LEFT('112'!$M$9,2),B369&lt;'112'!$K$9,$N369='112'!$I$6)),"x",""))</f>
        <v/>
      </c>
      <c r="V369" s="75" t="str">
        <f>IF(ISERROR(FIND('112'!$M$9,G369,1)),"",IF((AND(RIGHT(G369,2)=RIGHT('112'!$M$9,2),B369&lt;'112'!$K$9,$O369='112'!$I$6)),"x",""))</f>
        <v/>
      </c>
      <c r="W369" s="75" t="str">
        <f>IF(AND('341-CT'!$H$9=H369,OR(LEFT(N369,3)=$W$7,LEFT(O369,3)=$W$7)),"x","")</f>
        <v/>
      </c>
      <c r="X369" s="75" t="str">
        <f>IF(OR(TH!N369=TH!$X$7,O369=TH!$X$7),"x","")</f>
        <v/>
      </c>
      <c r="Y369" s="75" t="str">
        <f>IF(AND(OR(N369="131",O369="131"),H369='131-CT'!$H$9),"x","")</f>
        <v/>
      </c>
      <c r="Z369" s="75"/>
      <c r="AA369" s="75" t="str">
        <f>IF(AND(MONTH(E369)='IN-NX'!$J$5,'IN-NX'!$D$7=D369),"x","")</f>
        <v/>
      </c>
      <c r="AB369" s="75" t="str">
        <f>IF(AND(OR(LEFT(TH!N369,2)="15",LEFT(TH!O369,2)="15"),LEFT(TH!O369,3)&lt;&gt;"111",'152-CT'!$J$8=TH!F369),"x","")</f>
        <v/>
      </c>
      <c r="AC369" s="75" t="str">
        <f>IF(AND(OR(LEFT(TH!N369,2)="15",LEFT(TH!O369,2)="15"),TK!$E$7=TH!F369),"x","")</f>
        <v/>
      </c>
      <c r="AD369" s="75" t="str">
        <f>IF(AND(N369="1521",MONTH(C369)='BK-NL'!$M$11),"x","")</f>
        <v/>
      </c>
    </row>
    <row r="370" spans="1:30" ht="16.5" customHeight="1">
      <c r="A370" s="309" t="str">
        <f>IF(B370&lt;&gt;"",IF(AND(B370='IN-TC'!$S$4,OR(TH!N370="1111",TH!O370="1111")),TH!D370,""),"")</f>
        <v/>
      </c>
      <c r="B370" s="1169">
        <f t="shared" si="63"/>
        <v>3</v>
      </c>
      <c r="C370" s="929">
        <v>42825</v>
      </c>
      <c r="D370" s="929" t="s">
        <v>530</v>
      </c>
      <c r="E370" s="929">
        <v>42821</v>
      </c>
      <c r="F370" s="930" t="s">
        <v>1186</v>
      </c>
      <c r="G370" s="931" t="s">
        <v>1189</v>
      </c>
      <c r="H370" s="735" t="s">
        <v>563</v>
      </c>
      <c r="I370" s="371"/>
      <c r="J370" s="932"/>
      <c r="K370" s="371"/>
      <c r="L370" s="377"/>
      <c r="M370" s="933">
        <v>1780290</v>
      </c>
      <c r="N370" s="934" t="s">
        <v>9</v>
      </c>
      <c r="O370" s="934" t="s">
        <v>8</v>
      </c>
      <c r="P370" s="75" t="str">
        <f>IF(AND('331-CT'!$E$7=TH!H370,OR(N370="331",O370="331")),"x","")</f>
        <v/>
      </c>
      <c r="Q370" s="75" t="str">
        <f>IF(AND(B370='111'!$L$11,OR($N370=$Q$7,$O370=$Q$7)),"x","")</f>
        <v/>
      </c>
      <c r="R370" s="75" t="str">
        <f>IF(AND($N370=$Q$7,$B370&lt;'111'!$L$11),"x","")</f>
        <v/>
      </c>
      <c r="S370" s="75" t="str">
        <f>IF(AND($O370=$Q$7,$B370&lt;'111'!$L$11),"x","")</f>
        <v/>
      </c>
      <c r="T370" s="75" t="str">
        <f>IF(ISERROR(FIND('112'!$M$9,G370,1)),"",IF((AND(FIND('112'!$M$9,G370,1)&gt;=1,B370='112'!$K$9,OR($N370='112'!$I$6,$O370='112'!$I$6))),"x",""))</f>
        <v/>
      </c>
      <c r="U370" s="75" t="str">
        <f>IF(ISERROR(FIND('112'!$M$9,G370,1)),"",IF((AND(LEFT(G370,2)=LEFT('112'!$M$9,2),B370&lt;'112'!$K$9,$N370='112'!$I$6)),"x",""))</f>
        <v/>
      </c>
      <c r="V370" s="75" t="str">
        <f>IF(ISERROR(FIND('112'!$M$9,G370,1)),"",IF((AND(RIGHT(G370,2)=RIGHT('112'!$M$9,2),B370&lt;'112'!$K$9,$O370='112'!$I$6)),"x",""))</f>
        <v/>
      </c>
      <c r="W370" s="75" t="str">
        <f>IF(AND('341-CT'!$H$9=H370,OR(LEFT(N370,3)=$W$7,LEFT(O370,3)=$W$7)),"x","")</f>
        <v/>
      </c>
      <c r="X370" s="75" t="str">
        <f>IF(OR(TH!N370=TH!$X$7,O370=TH!$X$7),"x","")</f>
        <v/>
      </c>
      <c r="Y370" s="75" t="str">
        <f>IF(AND(OR(N370="131",O370="131"),H370='131-CT'!$H$9),"x","")</f>
        <v/>
      </c>
      <c r="Z370" s="75"/>
      <c r="AA370" s="75" t="str">
        <f>IF(AND(MONTH(E370)='IN-NX'!$J$5,'IN-NX'!$D$7=D370),"x","")</f>
        <v/>
      </c>
      <c r="AB370" s="75" t="str">
        <f>IF(AND(OR(LEFT(TH!N370,2)="15",LEFT(TH!O370,2)="15"),LEFT(TH!O370,3)&lt;&gt;"111",'152-CT'!$J$8=TH!F370),"x","")</f>
        <v/>
      </c>
      <c r="AC370" s="75" t="str">
        <f>IF(AND(OR(LEFT(TH!N370,2)="15",LEFT(TH!O370,2)="15"),TK!$E$7=TH!F370),"x","")</f>
        <v/>
      </c>
      <c r="AD370" s="75" t="str">
        <f>IF(AND(N370="1521",MONTH(C370)='BK-NL'!$M$11),"x","")</f>
        <v/>
      </c>
    </row>
    <row r="371" spans="1:30" ht="16.5" customHeight="1">
      <c r="A371" s="309" t="str">
        <f>IF(B371&lt;&gt;"",IF(AND(B371='IN-TC'!$S$4,OR(TH!N371="1111",TH!O371="1111")),TH!D371,""),"")</f>
        <v/>
      </c>
      <c r="B371" s="1169">
        <f t="shared" si="63"/>
        <v>3</v>
      </c>
      <c r="C371" s="929">
        <v>42825</v>
      </c>
      <c r="D371" s="929" t="s">
        <v>530</v>
      </c>
      <c r="E371" s="929">
        <v>42825</v>
      </c>
      <c r="F371" s="930" t="s">
        <v>1190</v>
      </c>
      <c r="G371" s="931" t="s">
        <v>1195</v>
      </c>
      <c r="H371" s="73" t="s">
        <v>755</v>
      </c>
      <c r="I371" s="371"/>
      <c r="J371" s="932"/>
      <c r="K371" s="371"/>
      <c r="L371" s="377"/>
      <c r="M371" s="933">
        <v>455800</v>
      </c>
      <c r="N371" s="934" t="s">
        <v>539</v>
      </c>
      <c r="O371" s="934" t="s">
        <v>8</v>
      </c>
      <c r="P371" s="75" t="str">
        <f>IF(AND('331-CT'!$E$7=TH!H371,OR(N371="331",O371="331")),"x","")</f>
        <v/>
      </c>
      <c r="Q371" s="75" t="str">
        <f>IF(AND(B371='111'!$L$11,OR($N371=$Q$7,$O371=$Q$7)),"x","")</f>
        <v/>
      </c>
      <c r="R371" s="75" t="str">
        <f>IF(AND($N371=$Q$7,$B371&lt;'111'!$L$11),"x","")</f>
        <v/>
      </c>
      <c r="S371" s="75" t="str">
        <f>IF(AND($O371=$Q$7,$B371&lt;'111'!$L$11),"x","")</f>
        <v/>
      </c>
      <c r="T371" s="75" t="str">
        <f>IF(ISERROR(FIND('112'!$M$9,G371,1)),"",IF((AND(FIND('112'!$M$9,G371,1)&gt;=1,B371='112'!$K$9,OR($N371='112'!$I$6,$O371='112'!$I$6))),"x",""))</f>
        <v/>
      </c>
      <c r="U371" s="75" t="str">
        <f>IF(ISERROR(FIND('112'!$M$9,G371,1)),"",IF((AND(LEFT(G371,2)=LEFT('112'!$M$9,2),B371&lt;'112'!$K$9,$N371='112'!$I$6)),"x",""))</f>
        <v/>
      </c>
      <c r="V371" s="75" t="str">
        <f>IF(ISERROR(FIND('112'!$M$9,G371,1)),"",IF((AND(RIGHT(G371,2)=RIGHT('112'!$M$9,2),B371&lt;'112'!$K$9,$O371='112'!$I$6)),"x",""))</f>
        <v/>
      </c>
      <c r="W371" s="75" t="str">
        <f>IF(AND('341-CT'!$H$9=H371,OR(LEFT(N371,3)=$W$7,LEFT(O371,3)=$W$7)),"x","")</f>
        <v/>
      </c>
      <c r="X371" s="75" t="str">
        <f>IF(OR(TH!N371=TH!$X$7,O371=TH!$X$7),"x","")</f>
        <v/>
      </c>
      <c r="Y371" s="75" t="str">
        <f>IF(AND(OR(N371="131",O371="131"),H371='131-CT'!$H$9),"x","")</f>
        <v/>
      </c>
      <c r="Z371" s="75"/>
      <c r="AA371" s="75" t="str">
        <f>IF(AND(MONTH(E371)='IN-NX'!$J$5,'IN-NX'!$D$7=D371),"x","")</f>
        <v/>
      </c>
      <c r="AB371" s="75" t="str">
        <f>IF(AND(OR(LEFT(TH!N371,2)="15",LEFT(TH!O371,2)="15"),LEFT(TH!O371,3)&lt;&gt;"111",'152-CT'!$J$8=TH!F371),"x","")</f>
        <v/>
      </c>
      <c r="AC371" s="75" t="str">
        <f>IF(AND(OR(LEFT(TH!N371,2)="15",LEFT(TH!O371,2)="15"),TK!$E$7=TH!F371),"x","")</f>
        <v/>
      </c>
      <c r="AD371" s="75" t="str">
        <f>IF(AND(N371="1521",MONTH(C371)='BK-NL'!$M$11),"x","")</f>
        <v/>
      </c>
    </row>
    <row r="372" spans="1:30" ht="16.5" customHeight="1">
      <c r="A372" s="309" t="str">
        <f>IF(B372&lt;&gt;"",IF(AND(B372='IN-TC'!$S$4,OR(TH!N372="1111",TH!O372="1111")),TH!D372,""),"")</f>
        <v/>
      </c>
      <c r="B372" s="1169">
        <f t="shared" si="63"/>
        <v>3</v>
      </c>
      <c r="C372" s="929">
        <v>42825</v>
      </c>
      <c r="D372" s="929" t="s">
        <v>530</v>
      </c>
      <c r="E372" s="929">
        <v>42825</v>
      </c>
      <c r="F372" s="930" t="s">
        <v>1191</v>
      </c>
      <c r="G372" s="931" t="s">
        <v>1195</v>
      </c>
      <c r="H372" s="73" t="s">
        <v>755</v>
      </c>
      <c r="I372" s="371"/>
      <c r="J372" s="932"/>
      <c r="K372" s="371"/>
      <c r="L372" s="377"/>
      <c r="M372" s="933">
        <v>45580</v>
      </c>
      <c r="N372" s="934" t="s">
        <v>9</v>
      </c>
      <c r="O372" s="934" t="s">
        <v>8</v>
      </c>
      <c r="P372" s="75" t="str">
        <f>IF(AND('331-CT'!$E$7=TH!H372,OR(N372="331",O372="331")),"x","")</f>
        <v/>
      </c>
      <c r="Q372" s="75" t="str">
        <f>IF(AND(B372='111'!$L$11,OR($N372=$Q$7,$O372=$Q$7)),"x","")</f>
        <v/>
      </c>
      <c r="R372" s="75" t="str">
        <f>IF(AND($N372=$Q$7,$B372&lt;'111'!$L$11),"x","")</f>
        <v/>
      </c>
      <c r="S372" s="75" t="str">
        <f>IF(AND($O372=$Q$7,$B372&lt;'111'!$L$11),"x","")</f>
        <v/>
      </c>
      <c r="T372" s="75" t="str">
        <f>IF(ISERROR(FIND('112'!$M$9,G372,1)),"",IF((AND(FIND('112'!$M$9,G372,1)&gt;=1,B372='112'!$K$9,OR($N372='112'!$I$6,$O372='112'!$I$6))),"x",""))</f>
        <v/>
      </c>
      <c r="U372" s="75" t="str">
        <f>IF(ISERROR(FIND('112'!$M$9,G372,1)),"",IF((AND(LEFT(G372,2)=LEFT('112'!$M$9,2),B372&lt;'112'!$K$9,$N372='112'!$I$6)),"x",""))</f>
        <v/>
      </c>
      <c r="V372" s="75" t="str">
        <f>IF(ISERROR(FIND('112'!$M$9,G372,1)),"",IF((AND(RIGHT(G372,2)=RIGHT('112'!$M$9,2),B372&lt;'112'!$K$9,$O372='112'!$I$6)),"x",""))</f>
        <v/>
      </c>
      <c r="W372" s="75" t="str">
        <f>IF(AND('341-CT'!$H$9=H372,OR(LEFT(N372,3)=$W$7,LEFT(O372,3)=$W$7)),"x","")</f>
        <v/>
      </c>
      <c r="X372" s="75" t="str">
        <f>IF(OR(TH!N372=TH!$X$7,O372=TH!$X$7),"x","")</f>
        <v/>
      </c>
      <c r="Y372" s="75" t="str">
        <f>IF(AND(OR(N372="131",O372="131"),H372='131-CT'!$H$9),"x","")</f>
        <v/>
      </c>
      <c r="Z372" s="75"/>
      <c r="AA372" s="75" t="str">
        <f>IF(AND(MONTH(E372)='IN-NX'!$J$5,'IN-NX'!$D$7=D372),"x","")</f>
        <v/>
      </c>
      <c r="AB372" s="75" t="str">
        <f>IF(AND(OR(LEFT(TH!N372,2)="15",LEFT(TH!O372,2)="15"),LEFT(TH!O372,3)&lt;&gt;"111",'152-CT'!$J$8=TH!F372),"x","")</f>
        <v/>
      </c>
      <c r="AC372" s="75" t="str">
        <f>IF(AND(OR(LEFT(TH!N372,2)="15",LEFT(TH!O372,2)="15"),TK!$E$7=TH!F372),"x","")</f>
        <v/>
      </c>
      <c r="AD372" s="75" t="str">
        <f>IF(AND(N372="1521",MONTH(C372)='BK-NL'!$M$11),"x","")</f>
        <v/>
      </c>
    </row>
    <row r="373" spans="1:30" ht="16.5" customHeight="1">
      <c r="A373" s="309" t="str">
        <f>IF(B373&lt;&gt;"",IF(AND(B373='IN-TC'!$S$4,OR(TH!N373="1111",TH!O373="1111")),TH!D373,""),"")</f>
        <v/>
      </c>
      <c r="B373" s="1169">
        <f t="shared" si="63"/>
        <v>3</v>
      </c>
      <c r="C373" s="929">
        <v>42825</v>
      </c>
      <c r="D373" s="929" t="s">
        <v>530</v>
      </c>
      <c r="E373" s="929">
        <v>42825</v>
      </c>
      <c r="F373" s="930" t="s">
        <v>1192</v>
      </c>
      <c r="G373" s="931" t="s">
        <v>1196</v>
      </c>
      <c r="H373" s="73" t="s">
        <v>755</v>
      </c>
      <c r="I373" s="371"/>
      <c r="J373" s="932"/>
      <c r="K373" s="371"/>
      <c r="L373" s="377"/>
      <c r="M373" s="933">
        <v>3253273</v>
      </c>
      <c r="N373" s="934" t="s">
        <v>539</v>
      </c>
      <c r="O373" s="934" t="s">
        <v>8</v>
      </c>
      <c r="P373" s="75" t="str">
        <f>IF(AND('331-CT'!$E$7=TH!H373,OR(N373="331",O373="331")),"x","")</f>
        <v/>
      </c>
      <c r="Q373" s="75" t="str">
        <f>IF(AND(B373='111'!$L$11,OR($N373=$Q$7,$O373=$Q$7)),"x","")</f>
        <v/>
      </c>
      <c r="R373" s="75" t="str">
        <f>IF(AND($N373=$Q$7,$B373&lt;'111'!$L$11),"x","")</f>
        <v/>
      </c>
      <c r="S373" s="75" t="str">
        <f>IF(AND($O373=$Q$7,$B373&lt;'111'!$L$11),"x","")</f>
        <v/>
      </c>
      <c r="T373" s="75" t="str">
        <f>IF(ISERROR(FIND('112'!$M$9,G373,1)),"",IF((AND(FIND('112'!$M$9,G373,1)&gt;=1,B373='112'!$K$9,OR($N373='112'!$I$6,$O373='112'!$I$6))),"x",""))</f>
        <v/>
      </c>
      <c r="U373" s="75" t="str">
        <f>IF(ISERROR(FIND('112'!$M$9,G373,1)),"",IF((AND(LEFT(G373,2)=LEFT('112'!$M$9,2),B373&lt;'112'!$K$9,$N373='112'!$I$6)),"x",""))</f>
        <v/>
      </c>
      <c r="V373" s="75" t="str">
        <f>IF(ISERROR(FIND('112'!$M$9,G373,1)),"",IF((AND(RIGHT(G373,2)=RIGHT('112'!$M$9,2),B373&lt;'112'!$K$9,$O373='112'!$I$6)),"x",""))</f>
        <v/>
      </c>
      <c r="W373" s="75" t="str">
        <f>IF(AND('341-CT'!$H$9=H373,OR(LEFT(N373,3)=$W$7,LEFT(O373,3)=$W$7)),"x","")</f>
        <v/>
      </c>
      <c r="X373" s="75" t="str">
        <f>IF(OR(TH!N373=TH!$X$7,O373=TH!$X$7),"x","")</f>
        <v/>
      </c>
      <c r="Y373" s="75" t="str">
        <f>IF(AND(OR(N373="131",O373="131"),H373='131-CT'!$H$9),"x","")</f>
        <v/>
      </c>
      <c r="Z373" s="75"/>
      <c r="AA373" s="75" t="str">
        <f>IF(AND(MONTH(E373)='IN-NX'!$J$5,'IN-NX'!$D$7=D373),"x","")</f>
        <v/>
      </c>
      <c r="AB373" s="75" t="str">
        <f>IF(AND(OR(LEFT(TH!N373,2)="15",LEFT(TH!O373,2)="15"),LEFT(TH!O373,3)&lt;&gt;"111",'152-CT'!$J$8=TH!F373),"x","")</f>
        <v/>
      </c>
      <c r="AC373" s="75" t="str">
        <f>IF(AND(OR(LEFT(TH!N373,2)="15",LEFT(TH!O373,2)="15"),TK!$E$7=TH!F373),"x","")</f>
        <v/>
      </c>
      <c r="AD373" s="75" t="str">
        <f>IF(AND(N373="1521",MONTH(C373)='BK-NL'!$M$11),"x","")</f>
        <v/>
      </c>
    </row>
    <row r="374" spans="1:30" ht="16.5" customHeight="1">
      <c r="A374" s="309" t="str">
        <f>IF(B374&lt;&gt;"",IF(AND(B374='IN-TC'!$S$4,OR(TH!N374="1111",TH!O374="1111")),TH!D374,""),"")</f>
        <v/>
      </c>
      <c r="B374" s="1169">
        <f t="shared" si="63"/>
        <v>3</v>
      </c>
      <c r="C374" s="929">
        <v>42825</v>
      </c>
      <c r="D374" s="929" t="s">
        <v>530</v>
      </c>
      <c r="E374" s="929">
        <v>42825</v>
      </c>
      <c r="F374" s="930" t="s">
        <v>1193</v>
      </c>
      <c r="G374" s="931" t="s">
        <v>1197</v>
      </c>
      <c r="H374" s="73" t="s">
        <v>755</v>
      </c>
      <c r="I374" s="371"/>
      <c r="J374" s="932"/>
      <c r="K374" s="371"/>
      <c r="L374" s="377"/>
      <c r="M374" s="933">
        <v>684875</v>
      </c>
      <c r="N374" s="934" t="s">
        <v>539</v>
      </c>
      <c r="O374" s="934" t="s">
        <v>8</v>
      </c>
      <c r="P374" s="75" t="str">
        <f>IF(AND('331-CT'!$E$7=TH!H374,OR(N374="331",O374="331")),"x","")</f>
        <v/>
      </c>
      <c r="Q374" s="75" t="str">
        <f>IF(AND(B374='111'!$L$11,OR($N374=$Q$7,$O374=$Q$7)),"x","")</f>
        <v/>
      </c>
      <c r="R374" s="75" t="str">
        <f>IF(AND($N374=$Q$7,$B374&lt;'111'!$L$11),"x","")</f>
        <v/>
      </c>
      <c r="S374" s="75" t="str">
        <f>IF(AND($O374=$Q$7,$B374&lt;'111'!$L$11),"x","")</f>
        <v/>
      </c>
      <c r="T374" s="75" t="str">
        <f>IF(ISERROR(FIND('112'!$M$9,G374,1)),"",IF((AND(FIND('112'!$M$9,G374,1)&gt;=1,B374='112'!$K$9,OR($N374='112'!$I$6,$O374='112'!$I$6))),"x",""))</f>
        <v/>
      </c>
      <c r="U374" s="75" t="str">
        <f>IF(ISERROR(FIND('112'!$M$9,G374,1)),"",IF((AND(LEFT(G374,2)=LEFT('112'!$M$9,2),B374&lt;'112'!$K$9,$N374='112'!$I$6)),"x",""))</f>
        <v/>
      </c>
      <c r="V374" s="75" t="str">
        <f>IF(ISERROR(FIND('112'!$M$9,G374,1)),"",IF((AND(RIGHT(G374,2)=RIGHT('112'!$M$9,2),B374&lt;'112'!$K$9,$O374='112'!$I$6)),"x",""))</f>
        <v/>
      </c>
      <c r="W374" s="75" t="str">
        <f>IF(AND('341-CT'!$H$9=H374,OR(LEFT(N374,3)=$W$7,LEFT(O374,3)=$W$7)),"x","")</f>
        <v/>
      </c>
      <c r="X374" s="75" t="str">
        <f>IF(OR(TH!N374=TH!$X$7,O374=TH!$X$7),"x","")</f>
        <v/>
      </c>
      <c r="Y374" s="75" t="str">
        <f>IF(AND(OR(N374="131",O374="131"),H374='131-CT'!$H$9),"x","")</f>
        <v/>
      </c>
      <c r="Z374" s="75"/>
      <c r="AA374" s="75" t="str">
        <f>IF(AND(MONTH(E374)='IN-NX'!$J$5,'IN-NX'!$D$7=D374),"x","")</f>
        <v/>
      </c>
      <c r="AB374" s="75" t="str">
        <f>IF(AND(OR(LEFT(TH!N374,2)="15",LEFT(TH!O374,2)="15"),LEFT(TH!O374,3)&lt;&gt;"111",'152-CT'!$J$8=TH!F374),"x","")</f>
        <v/>
      </c>
      <c r="AC374" s="75" t="str">
        <f>IF(AND(OR(LEFT(TH!N374,2)="15",LEFT(TH!O374,2)="15"),TK!$E$7=TH!F374),"x","")</f>
        <v/>
      </c>
      <c r="AD374" s="75" t="str">
        <f>IF(AND(N374="1521",MONTH(C374)='BK-NL'!$M$11),"x","")</f>
        <v/>
      </c>
    </row>
    <row r="375" spans="1:30" ht="16.5" customHeight="1">
      <c r="A375" s="309" t="str">
        <f>IF(B375&lt;&gt;"",IF(AND(B375='IN-TC'!$S$4,OR(TH!N375="1111",TH!O375="1111")),TH!D375,""),"")</f>
        <v/>
      </c>
      <c r="B375" s="1169">
        <f t="shared" si="63"/>
        <v>3</v>
      </c>
      <c r="C375" s="929">
        <v>42825</v>
      </c>
      <c r="D375" s="929" t="s">
        <v>530</v>
      </c>
      <c r="E375" s="929">
        <v>42825</v>
      </c>
      <c r="F375" s="930" t="s">
        <v>1194</v>
      </c>
      <c r="G375" s="931" t="s">
        <v>1197</v>
      </c>
      <c r="H375" s="73" t="s">
        <v>755</v>
      </c>
      <c r="I375" s="371"/>
      <c r="J375" s="932"/>
      <c r="K375" s="371"/>
      <c r="L375" s="377"/>
      <c r="M375" s="933">
        <v>68488</v>
      </c>
      <c r="N375" s="934" t="s">
        <v>9</v>
      </c>
      <c r="O375" s="934" t="s">
        <v>8</v>
      </c>
      <c r="P375" s="75" t="str">
        <f>IF(AND('331-CT'!$E$7=TH!H375,OR(N375="331",O375="331")),"x","")</f>
        <v/>
      </c>
      <c r="Q375" s="75" t="str">
        <f>IF(AND(B375='111'!$L$11,OR($N375=$Q$7,$O375=$Q$7)),"x","")</f>
        <v/>
      </c>
      <c r="R375" s="75" t="str">
        <f>IF(AND($N375=$Q$7,$B375&lt;'111'!$L$11),"x","")</f>
        <v/>
      </c>
      <c r="S375" s="75" t="str">
        <f>IF(AND($O375=$Q$7,$B375&lt;'111'!$L$11),"x","")</f>
        <v/>
      </c>
      <c r="T375" s="75" t="str">
        <f>IF(ISERROR(FIND('112'!$M$9,G375,1)),"",IF((AND(FIND('112'!$M$9,G375,1)&gt;=1,B375='112'!$K$9,OR($N375='112'!$I$6,$O375='112'!$I$6))),"x",""))</f>
        <v/>
      </c>
      <c r="U375" s="75" t="str">
        <f>IF(ISERROR(FIND('112'!$M$9,G375,1)),"",IF((AND(LEFT(G375,2)=LEFT('112'!$M$9,2),B375&lt;'112'!$K$9,$N375='112'!$I$6)),"x",""))</f>
        <v/>
      </c>
      <c r="V375" s="75" t="str">
        <f>IF(ISERROR(FIND('112'!$M$9,G375,1)),"",IF((AND(RIGHT(G375,2)=RIGHT('112'!$M$9,2),B375&lt;'112'!$K$9,$O375='112'!$I$6)),"x",""))</f>
        <v/>
      </c>
      <c r="W375" s="75" t="str">
        <f>IF(AND('341-CT'!$H$9=H375,OR(LEFT(N375,3)=$W$7,LEFT(O375,3)=$W$7)),"x","")</f>
        <v/>
      </c>
      <c r="X375" s="75" t="str">
        <f>IF(OR(TH!N375=TH!$X$7,O375=TH!$X$7),"x","")</f>
        <v/>
      </c>
      <c r="Y375" s="75" t="str">
        <f>IF(AND(OR(N375="131",O375="131"),H375='131-CT'!$H$9),"x","")</f>
        <v/>
      </c>
      <c r="Z375" s="75"/>
      <c r="AA375" s="75" t="str">
        <f>IF(AND(MONTH(E375)='IN-NX'!$J$5,'IN-NX'!$D$7=D375),"x","")</f>
        <v/>
      </c>
      <c r="AB375" s="75" t="str">
        <f>IF(AND(OR(LEFT(TH!N375,2)="15",LEFT(TH!O375,2)="15"),LEFT(TH!O375,3)&lt;&gt;"111",'152-CT'!$J$8=TH!F375),"x","")</f>
        <v/>
      </c>
      <c r="AC375" s="75" t="str">
        <f>IF(AND(OR(LEFT(TH!N375,2)="15",LEFT(TH!O375,2)="15"),TK!$E$7=TH!F375),"x","")</f>
        <v/>
      </c>
      <c r="AD375" s="75" t="str">
        <f>IF(AND(N375="1521",MONTH(C375)='BK-NL'!$M$11),"x","")</f>
        <v/>
      </c>
    </row>
    <row r="376" spans="1:30" ht="16.5" customHeight="1">
      <c r="A376" s="309" t="str">
        <f>IF(B376&lt;&gt;"",IF(AND(B376='IN-TC'!$S$4,OR(TH!N376="1111",TH!O376="1111")),TH!D376,""),"")</f>
        <v/>
      </c>
      <c r="B376" s="1241">
        <f t="shared" si="63"/>
        <v>4</v>
      </c>
      <c r="C376" s="929">
        <v>42835</v>
      </c>
      <c r="D376" s="929" t="s">
        <v>530</v>
      </c>
      <c r="E376" s="929">
        <v>42835</v>
      </c>
      <c r="F376" s="930" t="s">
        <v>1108</v>
      </c>
      <c r="G376" s="931" t="s">
        <v>1232</v>
      </c>
      <c r="H376" s="735" t="s">
        <v>562</v>
      </c>
      <c r="I376" s="371"/>
      <c r="J376" s="932"/>
      <c r="K376" s="371"/>
      <c r="L376" s="377"/>
      <c r="M376" s="933">
        <v>3000000</v>
      </c>
      <c r="N376" s="934" t="s">
        <v>539</v>
      </c>
      <c r="O376" s="934" t="s">
        <v>8</v>
      </c>
      <c r="P376" s="75" t="str">
        <f>IF(AND('331-CT'!$E$7=TH!H376,OR(N376="331",O376="331")),"x","")</f>
        <v/>
      </c>
      <c r="Q376" s="75" t="str">
        <f>IF(AND(B376='111'!$L$11,OR($N376=$Q$7,$O376=$Q$7)),"x","")</f>
        <v/>
      </c>
      <c r="R376" s="75" t="str">
        <f>IF(AND($N376=$Q$7,$B376&lt;'111'!$L$11),"x","")</f>
        <v/>
      </c>
      <c r="S376" s="75" t="str">
        <f>IF(AND($O376=$Q$7,$B376&lt;'111'!$L$11),"x","")</f>
        <v/>
      </c>
      <c r="T376" s="75" t="str">
        <f>IF(ISERROR(FIND('112'!$M$9,G376,1)),"",IF((AND(FIND('112'!$M$9,G376,1)&gt;=1,B376='112'!$K$9,OR($N376='112'!$I$6,$O376='112'!$I$6))),"x",""))</f>
        <v/>
      </c>
      <c r="U376" s="75" t="str">
        <f>IF(ISERROR(FIND('112'!$M$9,G376,1)),"",IF((AND(LEFT(G376,2)=LEFT('112'!$M$9,2),B376&lt;'112'!$K$9,$N376='112'!$I$6)),"x",""))</f>
        <v/>
      </c>
      <c r="V376" s="75" t="str">
        <f>IF(ISERROR(FIND('112'!$M$9,G376,1)),"",IF((AND(RIGHT(G376,2)=RIGHT('112'!$M$9,2),B376&lt;'112'!$K$9,$O376='112'!$I$6)),"x",""))</f>
        <v/>
      </c>
      <c r="W376" s="75" t="str">
        <f>IF(AND('341-CT'!$H$9=H376,OR(LEFT(N376,3)=$W$7,LEFT(O376,3)=$W$7)),"x","")</f>
        <v/>
      </c>
      <c r="X376" s="75" t="str">
        <f>IF(OR(TH!N376=TH!$X$7,O376=TH!$X$7),"x","")</f>
        <v/>
      </c>
      <c r="Y376" s="75" t="str">
        <f>IF(AND(OR(N376="131",O376="131"),H376='131-CT'!$H$9),"x","")</f>
        <v/>
      </c>
      <c r="Z376" s="75"/>
      <c r="AA376" s="75" t="str">
        <f>IF(AND(MONTH(E376)='IN-NX'!$J$5,'IN-NX'!$D$7=D376),"x","")</f>
        <v/>
      </c>
      <c r="AB376" s="75" t="str">
        <f>IF(AND(OR(LEFT(TH!N376,2)="15",LEFT(TH!O376,2)="15"),LEFT(TH!O376,3)&lt;&gt;"111",'152-CT'!$J$8=TH!F376),"x","")</f>
        <v/>
      </c>
      <c r="AC376" s="75" t="str">
        <f>IF(AND(OR(LEFT(TH!N376,2)="15",LEFT(TH!O376,2)="15"),TK!$E$7=TH!F376),"x","")</f>
        <v/>
      </c>
      <c r="AD376" s="75" t="str">
        <f>IF(AND(N376="1521",MONTH(C376)='BK-NL'!$M$11),"x","")</f>
        <v/>
      </c>
    </row>
    <row r="377" spans="1:30" ht="16.5" customHeight="1">
      <c r="A377" s="309" t="str">
        <f>IF(B377&lt;&gt;"",IF(AND(B377='IN-TC'!$S$4,OR(TH!N377="1111",TH!O377="1111")),TH!D377,""),"")</f>
        <v/>
      </c>
      <c r="B377" s="1241">
        <f t="shared" si="63"/>
        <v>4</v>
      </c>
      <c r="C377" s="929">
        <v>42835</v>
      </c>
      <c r="D377" s="929" t="s">
        <v>530</v>
      </c>
      <c r="E377" s="929">
        <v>42835</v>
      </c>
      <c r="F377" s="930" t="s">
        <v>1109</v>
      </c>
      <c r="G377" s="931" t="s">
        <v>1232</v>
      </c>
      <c r="H377" s="735" t="s">
        <v>562</v>
      </c>
      <c r="I377" s="371"/>
      <c r="J377" s="932"/>
      <c r="K377" s="371"/>
      <c r="L377" s="377"/>
      <c r="M377" s="933">
        <v>300000</v>
      </c>
      <c r="N377" s="934" t="s">
        <v>9</v>
      </c>
      <c r="O377" s="934" t="s">
        <v>8</v>
      </c>
      <c r="P377" s="75" t="str">
        <f>IF(AND('331-CT'!$E$7=TH!H377,OR(N377="331",O377="331")),"x","")</f>
        <v/>
      </c>
      <c r="Q377" s="75" t="str">
        <f>IF(AND(B377='111'!$L$11,OR($N377=$Q$7,$O377=$Q$7)),"x","")</f>
        <v/>
      </c>
      <c r="R377" s="75" t="str">
        <f>IF(AND($N377=$Q$7,$B377&lt;'111'!$L$11),"x","")</f>
        <v/>
      </c>
      <c r="S377" s="75" t="str">
        <f>IF(AND($O377=$Q$7,$B377&lt;'111'!$L$11),"x","")</f>
        <v/>
      </c>
      <c r="T377" s="75" t="str">
        <f>IF(ISERROR(FIND('112'!$M$9,G377,1)),"",IF((AND(FIND('112'!$M$9,G377,1)&gt;=1,B377='112'!$K$9,OR($N377='112'!$I$6,$O377='112'!$I$6))),"x",""))</f>
        <v/>
      </c>
      <c r="U377" s="75" t="str">
        <f>IF(ISERROR(FIND('112'!$M$9,G377,1)),"",IF((AND(LEFT(G377,2)=LEFT('112'!$M$9,2),B377&lt;'112'!$K$9,$N377='112'!$I$6)),"x",""))</f>
        <v/>
      </c>
      <c r="V377" s="75" t="str">
        <f>IF(ISERROR(FIND('112'!$M$9,G377,1)),"",IF((AND(RIGHT(G377,2)=RIGHT('112'!$M$9,2),B377&lt;'112'!$K$9,$O377='112'!$I$6)),"x",""))</f>
        <v/>
      </c>
      <c r="W377" s="75" t="str">
        <f>IF(AND('341-CT'!$H$9=H377,OR(LEFT(N377,3)=$W$7,LEFT(O377,3)=$W$7)),"x","")</f>
        <v/>
      </c>
      <c r="X377" s="75" t="str">
        <f>IF(OR(TH!N377=TH!$X$7,O377=TH!$X$7),"x","")</f>
        <v/>
      </c>
      <c r="Y377" s="75" t="str">
        <f>IF(AND(OR(N377="131",O377="131"),H377='131-CT'!$H$9),"x","")</f>
        <v/>
      </c>
      <c r="Z377" s="75"/>
      <c r="AA377" s="75" t="str">
        <f>IF(AND(MONTH(E377)='IN-NX'!$J$5,'IN-NX'!$D$7=D377),"x","")</f>
        <v/>
      </c>
      <c r="AB377" s="75" t="str">
        <f>IF(AND(OR(LEFT(TH!N377,2)="15",LEFT(TH!O377,2)="15"),LEFT(TH!O377,3)&lt;&gt;"111",'152-CT'!$J$8=TH!F377),"x","")</f>
        <v/>
      </c>
      <c r="AC377" s="75" t="str">
        <f>IF(AND(OR(LEFT(TH!N377,2)="15",LEFT(TH!O377,2)="15"),TK!$E$7=TH!F377),"x","")</f>
        <v/>
      </c>
      <c r="AD377" s="75" t="str">
        <f>IF(AND(N377="1521",MONTH(C377)='BK-NL'!$M$11),"x","")</f>
        <v/>
      </c>
    </row>
    <row r="378" spans="1:30" ht="16.5" customHeight="1">
      <c r="A378" s="309" t="str">
        <f>IF(B378&lt;&gt;"",IF(AND(B378='IN-TC'!$S$4,OR(TH!N378="1111",TH!O378="1111")),TH!D378,""),"")</f>
        <v/>
      </c>
      <c r="B378" s="1241">
        <f t="shared" si="63"/>
        <v>4</v>
      </c>
      <c r="C378" s="929">
        <v>42840</v>
      </c>
      <c r="D378" s="929" t="s">
        <v>530</v>
      </c>
      <c r="E378" s="929">
        <v>42840</v>
      </c>
      <c r="F378" s="930" t="s">
        <v>949</v>
      </c>
      <c r="G378" s="931" t="s">
        <v>1150</v>
      </c>
      <c r="H378" s="73" t="s">
        <v>567</v>
      </c>
      <c r="I378" s="371"/>
      <c r="J378" s="932"/>
      <c r="K378" s="371"/>
      <c r="L378" s="377"/>
      <c r="M378" s="933">
        <v>128600000</v>
      </c>
      <c r="N378" s="934" t="s">
        <v>539</v>
      </c>
      <c r="O378" s="934" t="s">
        <v>8</v>
      </c>
      <c r="P378" s="75" t="str">
        <f>IF(AND('331-CT'!$E$7=TH!H378,OR(N378="331",O378="331")),"x","")</f>
        <v/>
      </c>
      <c r="Q378" s="75" t="str">
        <f>IF(AND(B378='111'!$L$11,OR($N378=$Q$7,$O378=$Q$7)),"x","")</f>
        <v/>
      </c>
      <c r="R378" s="75" t="str">
        <f>IF(AND($N378=$Q$7,$B378&lt;'111'!$L$11),"x","")</f>
        <v/>
      </c>
      <c r="S378" s="75" t="str">
        <f>IF(AND($O378=$Q$7,$B378&lt;'111'!$L$11),"x","")</f>
        <v/>
      </c>
      <c r="T378" s="75" t="str">
        <f>IF(ISERROR(FIND('112'!$M$9,G378,1)),"",IF((AND(FIND('112'!$M$9,G378,1)&gt;=1,B378='112'!$K$9,OR($N378='112'!$I$6,$O378='112'!$I$6))),"x",""))</f>
        <v/>
      </c>
      <c r="U378" s="75" t="str">
        <f>IF(ISERROR(FIND('112'!$M$9,G378,1)),"",IF((AND(LEFT(G378,2)=LEFT('112'!$M$9,2),B378&lt;'112'!$K$9,$N378='112'!$I$6)),"x",""))</f>
        <v/>
      </c>
      <c r="V378" s="75" t="str">
        <f>IF(ISERROR(FIND('112'!$M$9,G378,1)),"",IF((AND(RIGHT(G378,2)=RIGHT('112'!$M$9,2),B378&lt;'112'!$K$9,$O378='112'!$I$6)),"x",""))</f>
        <v/>
      </c>
      <c r="W378" s="75" t="str">
        <f>IF(AND('341-CT'!$H$9=H378,OR(LEFT(N378,3)=$W$7,LEFT(O378,3)=$W$7)),"x","")</f>
        <v/>
      </c>
      <c r="X378" s="75" t="str">
        <f>IF(OR(TH!N378=TH!$X$7,O378=TH!$X$7),"x","")</f>
        <v/>
      </c>
      <c r="Y378" s="75" t="str">
        <f>IF(AND(OR(N378="131",O378="131"),H378='131-CT'!$H$9),"x","")</f>
        <v/>
      </c>
      <c r="Z378" s="75"/>
      <c r="AA378" s="75" t="str">
        <f>IF(AND(MONTH(E378)='IN-NX'!$J$5,'IN-NX'!$D$7=D378),"x","")</f>
        <v/>
      </c>
      <c r="AB378" s="75" t="str">
        <f>IF(AND(OR(LEFT(TH!N378,2)="15",LEFT(TH!O378,2)="15"),LEFT(TH!O378,3)&lt;&gt;"111",'152-CT'!$J$8=TH!F378),"x","")</f>
        <v/>
      </c>
      <c r="AC378" s="75" t="str">
        <f>IF(AND(OR(LEFT(TH!N378,2)="15",LEFT(TH!O378,2)="15"),TK!$E$7=TH!F378),"x","")</f>
        <v/>
      </c>
      <c r="AD378" s="75" t="str">
        <f>IF(AND(N378="1521",MONTH(C378)='BK-NL'!$M$11),"x","")</f>
        <v/>
      </c>
    </row>
    <row r="379" spans="1:30" ht="16.5" customHeight="1">
      <c r="A379" s="309" t="str">
        <f>IF(B379&lt;&gt;"",IF(AND(B379='IN-TC'!$S$4,OR(TH!N379="1111",TH!O379="1111")),TH!D379,""),"")</f>
        <v/>
      </c>
      <c r="B379" s="1241">
        <f t="shared" si="63"/>
        <v>4</v>
      </c>
      <c r="C379" s="929">
        <v>42840</v>
      </c>
      <c r="D379" s="929" t="s">
        <v>530</v>
      </c>
      <c r="E379" s="929">
        <v>42840</v>
      </c>
      <c r="F379" s="930" t="s">
        <v>950</v>
      </c>
      <c r="G379" s="931" t="s">
        <v>1150</v>
      </c>
      <c r="H379" s="73" t="s">
        <v>567</v>
      </c>
      <c r="I379" s="371"/>
      <c r="J379" s="932"/>
      <c r="K379" s="371"/>
      <c r="L379" s="377"/>
      <c r="M379" s="933">
        <v>12860000</v>
      </c>
      <c r="N379" s="934" t="s">
        <v>9</v>
      </c>
      <c r="O379" s="934" t="s">
        <v>8</v>
      </c>
      <c r="P379" s="75" t="str">
        <f>IF(AND('331-CT'!$E$7=TH!H379,OR(N379="331",O379="331")),"x","")</f>
        <v/>
      </c>
      <c r="Q379" s="75" t="str">
        <f>IF(AND(B379='111'!$L$11,OR($N379=$Q$7,$O379=$Q$7)),"x","")</f>
        <v/>
      </c>
      <c r="R379" s="75" t="str">
        <f>IF(AND($N379=$Q$7,$B379&lt;'111'!$L$11),"x","")</f>
        <v/>
      </c>
      <c r="S379" s="75" t="str">
        <f>IF(AND($O379=$Q$7,$B379&lt;'111'!$L$11),"x","")</f>
        <v/>
      </c>
      <c r="T379" s="75" t="str">
        <f>IF(ISERROR(FIND('112'!$M$9,G379,1)),"",IF((AND(FIND('112'!$M$9,G379,1)&gt;=1,B379='112'!$K$9,OR($N379='112'!$I$6,$O379='112'!$I$6))),"x",""))</f>
        <v/>
      </c>
      <c r="U379" s="75" t="str">
        <f>IF(ISERROR(FIND('112'!$M$9,G379,1)),"",IF((AND(LEFT(G379,2)=LEFT('112'!$M$9,2),B379&lt;'112'!$K$9,$N379='112'!$I$6)),"x",""))</f>
        <v/>
      </c>
      <c r="V379" s="75" t="str">
        <f>IF(ISERROR(FIND('112'!$M$9,G379,1)),"",IF((AND(RIGHT(G379,2)=RIGHT('112'!$M$9,2),B379&lt;'112'!$K$9,$O379='112'!$I$6)),"x",""))</f>
        <v/>
      </c>
      <c r="W379" s="75" t="str">
        <f>IF(AND('341-CT'!$H$9=H379,OR(LEFT(N379,3)=$W$7,LEFT(O379,3)=$W$7)),"x","")</f>
        <v/>
      </c>
      <c r="X379" s="75" t="str">
        <f>IF(OR(TH!N379=TH!$X$7,O379=TH!$X$7),"x","")</f>
        <v/>
      </c>
      <c r="Y379" s="75" t="str">
        <f>IF(AND(OR(N379="131",O379="131"),H379='131-CT'!$H$9),"x","")</f>
        <v/>
      </c>
      <c r="Z379" s="75"/>
      <c r="AA379" s="75" t="str">
        <f>IF(AND(MONTH(E379)='IN-NX'!$J$5,'IN-NX'!$D$7=D379),"x","")</f>
        <v/>
      </c>
      <c r="AB379" s="75" t="str">
        <f>IF(AND(OR(LEFT(TH!N379,2)="15",LEFT(TH!O379,2)="15"),LEFT(TH!O379,3)&lt;&gt;"111",'152-CT'!$J$8=TH!F379),"x","")</f>
        <v/>
      </c>
      <c r="AC379" s="75" t="str">
        <f>IF(AND(OR(LEFT(TH!N379,2)="15",LEFT(TH!O379,2)="15"),TK!$E$7=TH!F379),"x","")</f>
        <v/>
      </c>
      <c r="AD379" s="75" t="str">
        <f>IF(AND(N379="1521",MONTH(C379)='BK-NL'!$M$11),"x","")</f>
        <v/>
      </c>
    </row>
    <row r="380" spans="1:30" ht="16.5" customHeight="1">
      <c r="A380" s="309" t="str">
        <f>IF(B380&lt;&gt;"",IF(AND(B380='IN-TC'!$S$4,OR(TH!N380="1111",TH!O380="1111")),TH!D380,""),"")</f>
        <v/>
      </c>
      <c r="B380" s="1241">
        <f t="shared" si="63"/>
        <v>4</v>
      </c>
      <c r="C380" s="929">
        <v>42842</v>
      </c>
      <c r="D380" s="929" t="s">
        <v>530</v>
      </c>
      <c r="E380" s="929">
        <f>C380</f>
        <v>42842</v>
      </c>
      <c r="F380" s="930" t="s">
        <v>869</v>
      </c>
      <c r="G380" s="931" t="s">
        <v>1258</v>
      </c>
      <c r="H380" s="296" t="s">
        <v>561</v>
      </c>
      <c r="I380" s="371"/>
      <c r="J380" s="932"/>
      <c r="K380" s="371"/>
      <c r="L380" s="377"/>
      <c r="M380" s="933">
        <v>3395000</v>
      </c>
      <c r="N380" s="934" t="s">
        <v>539</v>
      </c>
      <c r="O380" s="934" t="s">
        <v>8</v>
      </c>
      <c r="P380" s="75" t="str">
        <f>IF(AND('331-CT'!$E$7=TH!H380,OR(N380="331",O380="331")),"x","")</f>
        <v/>
      </c>
      <c r="Q380" s="75" t="str">
        <f>IF(AND(B380='111'!$L$11,OR($N380=$Q$7,$O380=$Q$7)),"x","")</f>
        <v/>
      </c>
      <c r="R380" s="75" t="str">
        <f>IF(AND($N380=$Q$7,$B380&lt;'111'!$L$11),"x","")</f>
        <v/>
      </c>
      <c r="S380" s="75" t="str">
        <f>IF(AND($O380=$Q$7,$B380&lt;'111'!$L$11),"x","")</f>
        <v/>
      </c>
      <c r="T380" s="75" t="str">
        <f>IF(ISERROR(FIND('112'!$M$9,G380,1)),"",IF((AND(FIND('112'!$M$9,G380,1)&gt;=1,B380='112'!$K$9,OR($N380='112'!$I$6,$O380='112'!$I$6))),"x",""))</f>
        <v/>
      </c>
      <c r="U380" s="75" t="str">
        <f>IF(ISERROR(FIND('112'!$M$9,G380,1)),"",IF((AND(LEFT(G380,2)=LEFT('112'!$M$9,2),B380&lt;'112'!$K$9,$N380='112'!$I$6)),"x",""))</f>
        <v/>
      </c>
      <c r="V380" s="75" t="str">
        <f>IF(ISERROR(FIND('112'!$M$9,G380,1)),"",IF((AND(RIGHT(G380,2)=RIGHT('112'!$M$9,2),B380&lt;'112'!$K$9,$O380='112'!$I$6)),"x",""))</f>
        <v/>
      </c>
      <c r="W380" s="75" t="str">
        <f>IF(AND('341-CT'!$H$9=H380,OR(LEFT(N380,3)=$W$7,LEFT(O380,3)=$W$7)),"x","")</f>
        <v/>
      </c>
      <c r="X380" s="75" t="str">
        <f>IF(OR(TH!N380=TH!$X$7,O380=TH!$X$7),"x","")</f>
        <v/>
      </c>
      <c r="Y380" s="75" t="str">
        <f>IF(AND(OR(N380="131",O380="131"),H380='131-CT'!$H$9),"x","")</f>
        <v/>
      </c>
      <c r="Z380" s="75"/>
      <c r="AA380" s="75" t="str">
        <f>IF(AND(MONTH(E380)='IN-NX'!$J$5,'IN-NX'!$D$7=D380),"x","")</f>
        <v/>
      </c>
      <c r="AB380" s="75" t="str">
        <f>IF(AND(OR(LEFT(TH!N380,2)="15",LEFT(TH!O380,2)="15"),LEFT(TH!O380,3)&lt;&gt;"111",'152-CT'!$J$8=TH!F380),"x","")</f>
        <v/>
      </c>
      <c r="AC380" s="75" t="str">
        <f>IF(AND(OR(LEFT(TH!N380,2)="15",LEFT(TH!O380,2)="15"),TK!$E$7=TH!F380),"x","")</f>
        <v/>
      </c>
      <c r="AD380" s="75" t="str">
        <f>IF(AND(N380="1521",MONTH(C380)='BK-NL'!$M$11),"x","")</f>
        <v/>
      </c>
    </row>
    <row r="381" spans="1:30" ht="16.5" customHeight="1">
      <c r="A381" s="309" t="str">
        <f>IF(B381&lt;&gt;"",IF(AND(B381='IN-TC'!$S$4,OR(TH!N381="1111",TH!O381="1111")),TH!D381,""),"")</f>
        <v/>
      </c>
      <c r="B381" s="1241">
        <f t="shared" si="63"/>
        <v>4</v>
      </c>
      <c r="C381" s="929">
        <v>42850</v>
      </c>
      <c r="D381" s="929" t="s">
        <v>530</v>
      </c>
      <c r="E381" s="929">
        <v>42850</v>
      </c>
      <c r="F381" s="930" t="s">
        <v>810</v>
      </c>
      <c r="G381" s="931" t="s">
        <v>1264</v>
      </c>
      <c r="H381" s="296" t="s">
        <v>622</v>
      </c>
      <c r="I381" s="371"/>
      <c r="J381" s="932"/>
      <c r="K381" s="371"/>
      <c r="L381" s="377"/>
      <c r="M381" s="933">
        <v>40122790</v>
      </c>
      <c r="N381" s="934" t="s">
        <v>539</v>
      </c>
      <c r="O381" s="934" t="s">
        <v>8</v>
      </c>
      <c r="P381" s="75" t="str">
        <f>IF(AND('331-CT'!$E$7=TH!H381,OR(N381="331",O381="331")),"x","")</f>
        <v/>
      </c>
      <c r="Q381" s="75" t="str">
        <f>IF(AND(B381='111'!$L$11,OR($N381=$Q$7,$O381=$Q$7)),"x","")</f>
        <v/>
      </c>
      <c r="R381" s="75" t="str">
        <f>IF(AND($N381=$Q$7,$B381&lt;'111'!$L$11),"x","")</f>
        <v/>
      </c>
      <c r="S381" s="75" t="str">
        <f>IF(AND($O381=$Q$7,$B381&lt;'111'!$L$11),"x","")</f>
        <v/>
      </c>
      <c r="T381" s="75" t="str">
        <f>IF(ISERROR(FIND('112'!$M$9,G381,1)),"",IF((AND(FIND('112'!$M$9,G381,1)&gt;=1,B381='112'!$K$9,OR($N381='112'!$I$6,$O381='112'!$I$6))),"x",""))</f>
        <v/>
      </c>
      <c r="U381" s="75" t="str">
        <f>IF(ISERROR(FIND('112'!$M$9,G381,1)),"",IF((AND(LEFT(G381,2)=LEFT('112'!$M$9,2),B381&lt;'112'!$K$9,$N381='112'!$I$6)),"x",""))</f>
        <v/>
      </c>
      <c r="V381" s="75" t="str">
        <f>IF(ISERROR(FIND('112'!$M$9,G381,1)),"",IF((AND(RIGHT(G381,2)=RIGHT('112'!$M$9,2),B381&lt;'112'!$K$9,$O381='112'!$I$6)),"x",""))</f>
        <v/>
      </c>
      <c r="W381" s="75" t="str">
        <f>IF(AND('341-CT'!$H$9=H381,OR(LEFT(N381,3)=$W$7,LEFT(O381,3)=$W$7)),"x","")</f>
        <v/>
      </c>
      <c r="X381" s="75" t="str">
        <f>IF(OR(TH!N381=TH!$X$7,O381=TH!$X$7),"x","")</f>
        <v/>
      </c>
      <c r="Y381" s="75" t="str">
        <f>IF(AND(OR(N381="131",O381="131"),H381='131-CT'!$H$9),"x","")</f>
        <v/>
      </c>
      <c r="Z381" s="75"/>
      <c r="AA381" s="75" t="str">
        <f>IF(AND(MONTH(E381)='IN-NX'!$J$5,'IN-NX'!$D$7=D381),"x","")</f>
        <v/>
      </c>
      <c r="AB381" s="75" t="str">
        <f>IF(AND(OR(LEFT(TH!N381,2)="15",LEFT(TH!O381,2)="15"),LEFT(TH!O381,3)&lt;&gt;"111",'152-CT'!$J$8=TH!F381),"x","")</f>
        <v/>
      </c>
      <c r="AC381" s="75" t="str">
        <f>IF(AND(OR(LEFT(TH!N381,2)="15",LEFT(TH!O381,2)="15"),TK!$E$7=TH!F381),"x","")</f>
        <v/>
      </c>
      <c r="AD381" s="75" t="str">
        <f>IF(AND(N381="1521",MONTH(C381)='BK-NL'!$M$11),"x","")</f>
        <v/>
      </c>
    </row>
    <row r="382" spans="1:30" ht="16.5" customHeight="1">
      <c r="A382" s="309" t="str">
        <f>IF(B382&lt;&gt;"",IF(AND(B382='IN-TC'!$S$4,OR(TH!N382="1111",TH!O382="1111")),TH!D382,""),"")</f>
        <v/>
      </c>
      <c r="B382" s="1241">
        <f t="shared" si="63"/>
        <v>4</v>
      </c>
      <c r="C382" s="929">
        <v>42850</v>
      </c>
      <c r="D382" s="929" t="s">
        <v>530</v>
      </c>
      <c r="E382" s="929">
        <v>42850</v>
      </c>
      <c r="F382" s="930" t="s">
        <v>811</v>
      </c>
      <c r="G382" s="931" t="s">
        <v>1264</v>
      </c>
      <c r="H382" s="296" t="s">
        <v>622</v>
      </c>
      <c r="I382" s="371"/>
      <c r="J382" s="932"/>
      <c r="K382" s="371"/>
      <c r="L382" s="377"/>
      <c r="M382" s="933">
        <v>4012279</v>
      </c>
      <c r="N382" s="934" t="s">
        <v>9</v>
      </c>
      <c r="O382" s="934" t="s">
        <v>8</v>
      </c>
      <c r="P382" s="75" t="str">
        <f>IF(AND('331-CT'!$E$7=TH!H382,OR(N382="331",O382="331")),"x","")</f>
        <v/>
      </c>
      <c r="Q382" s="75" t="str">
        <f>IF(AND(B382='111'!$L$11,OR($N382=$Q$7,$O382=$Q$7)),"x","")</f>
        <v/>
      </c>
      <c r="R382" s="75" t="str">
        <f>IF(AND($N382=$Q$7,$B382&lt;'111'!$L$11),"x","")</f>
        <v/>
      </c>
      <c r="S382" s="75" t="str">
        <f>IF(AND($O382=$Q$7,$B382&lt;'111'!$L$11),"x","")</f>
        <v/>
      </c>
      <c r="T382" s="75" t="str">
        <f>IF(ISERROR(FIND('112'!$M$9,G382,1)),"",IF((AND(FIND('112'!$M$9,G382,1)&gt;=1,B382='112'!$K$9,OR($N382='112'!$I$6,$O382='112'!$I$6))),"x",""))</f>
        <v/>
      </c>
      <c r="U382" s="75" t="str">
        <f>IF(ISERROR(FIND('112'!$M$9,G382,1)),"",IF((AND(LEFT(G382,2)=LEFT('112'!$M$9,2),B382&lt;'112'!$K$9,$N382='112'!$I$6)),"x",""))</f>
        <v/>
      </c>
      <c r="V382" s="75" t="str">
        <f>IF(ISERROR(FIND('112'!$M$9,G382,1)),"",IF((AND(RIGHT(G382,2)=RIGHT('112'!$M$9,2),B382&lt;'112'!$K$9,$O382='112'!$I$6)),"x",""))</f>
        <v/>
      </c>
      <c r="W382" s="75" t="str">
        <f>IF(AND('341-CT'!$H$9=H382,OR(LEFT(N382,3)=$W$7,LEFT(O382,3)=$W$7)),"x","")</f>
        <v/>
      </c>
      <c r="X382" s="75" t="str">
        <f>IF(OR(TH!N382=TH!$X$7,O382=TH!$X$7),"x","")</f>
        <v/>
      </c>
      <c r="Y382" s="75" t="str">
        <f>IF(AND(OR(N382="131",O382="131"),H382='131-CT'!$H$9),"x","")</f>
        <v/>
      </c>
      <c r="Z382" s="75"/>
      <c r="AA382" s="75" t="str">
        <f>IF(AND(MONTH(E382)='IN-NX'!$J$5,'IN-NX'!$D$7=D382),"x","")</f>
        <v/>
      </c>
      <c r="AB382" s="75" t="str">
        <f>IF(AND(OR(LEFT(TH!N382,2)="15",LEFT(TH!O382,2)="15"),LEFT(TH!O382,3)&lt;&gt;"111",'152-CT'!$J$8=TH!F382),"x","")</f>
        <v/>
      </c>
      <c r="AC382" s="75" t="str">
        <f>IF(AND(OR(LEFT(TH!N382,2)="15",LEFT(TH!O382,2)="15"),TK!$E$7=TH!F382),"x","")</f>
        <v/>
      </c>
      <c r="AD382" s="75" t="str">
        <f>IF(AND(N382="1521",MONTH(C382)='BK-NL'!$M$11),"x","")</f>
        <v/>
      </c>
    </row>
    <row r="383" spans="1:30" ht="16.5" customHeight="1">
      <c r="A383" s="309" t="str">
        <f>IF(B383&lt;&gt;"",IF(AND(B383='IN-TC'!$S$4,OR(TH!N383="1111",TH!O383="1111")),TH!D383,""),"")</f>
        <v/>
      </c>
      <c r="B383" s="1241">
        <f t="shared" si="63"/>
        <v>4</v>
      </c>
      <c r="C383" s="929">
        <v>42850</v>
      </c>
      <c r="D383" s="929" t="s">
        <v>530</v>
      </c>
      <c r="E383" s="929">
        <v>42850</v>
      </c>
      <c r="F383" s="930" t="s">
        <v>808</v>
      </c>
      <c r="G383" s="931" t="s">
        <v>1265</v>
      </c>
      <c r="H383" s="296" t="s">
        <v>622</v>
      </c>
      <c r="I383" s="371"/>
      <c r="J383" s="932"/>
      <c r="K383" s="371"/>
      <c r="L383" s="377"/>
      <c r="M383" s="933">
        <v>100364000</v>
      </c>
      <c r="N383" s="934" t="s">
        <v>539</v>
      </c>
      <c r="O383" s="934" t="s">
        <v>8</v>
      </c>
      <c r="P383" s="75" t="str">
        <f>IF(AND('331-CT'!$E$7=TH!H383,OR(N383="331",O383="331")),"x","")</f>
        <v/>
      </c>
      <c r="Q383" s="75" t="str">
        <f>IF(AND(B383='111'!$L$11,OR($N383=$Q$7,$O383=$Q$7)),"x","")</f>
        <v/>
      </c>
      <c r="R383" s="75" t="str">
        <f>IF(AND($N383=$Q$7,$B383&lt;'111'!$L$11),"x","")</f>
        <v/>
      </c>
      <c r="S383" s="75" t="str">
        <f>IF(AND($O383=$Q$7,$B383&lt;'111'!$L$11),"x","")</f>
        <v/>
      </c>
      <c r="T383" s="75" t="str">
        <f>IF(ISERROR(FIND('112'!$M$9,G383,1)),"",IF((AND(FIND('112'!$M$9,G383,1)&gt;=1,B383='112'!$K$9,OR($N383='112'!$I$6,$O383='112'!$I$6))),"x",""))</f>
        <v/>
      </c>
      <c r="U383" s="75" t="str">
        <f>IF(ISERROR(FIND('112'!$M$9,G383,1)),"",IF((AND(LEFT(G383,2)=LEFT('112'!$M$9,2),B383&lt;'112'!$K$9,$N383='112'!$I$6)),"x",""))</f>
        <v/>
      </c>
      <c r="V383" s="75" t="str">
        <f>IF(ISERROR(FIND('112'!$M$9,G383,1)),"",IF((AND(RIGHT(G383,2)=RIGHT('112'!$M$9,2),B383&lt;'112'!$K$9,$O383='112'!$I$6)),"x",""))</f>
        <v/>
      </c>
      <c r="W383" s="75" t="str">
        <f>IF(AND('341-CT'!$H$9=H383,OR(LEFT(N383,3)=$W$7,LEFT(O383,3)=$W$7)),"x","")</f>
        <v/>
      </c>
      <c r="X383" s="75" t="str">
        <f>IF(OR(TH!N383=TH!$X$7,O383=TH!$X$7),"x","")</f>
        <v/>
      </c>
      <c r="Y383" s="75" t="str">
        <f>IF(AND(OR(N383="131",O383="131"),H383='131-CT'!$H$9),"x","")</f>
        <v/>
      </c>
      <c r="Z383" s="75"/>
      <c r="AA383" s="75" t="str">
        <f>IF(AND(MONTH(E383)='IN-NX'!$J$5,'IN-NX'!$D$7=D383),"x","")</f>
        <v/>
      </c>
      <c r="AB383" s="75" t="str">
        <f>IF(AND(OR(LEFT(TH!N383,2)="15",LEFT(TH!O383,2)="15"),LEFT(TH!O383,3)&lt;&gt;"111",'152-CT'!$J$8=TH!F383),"x","")</f>
        <v/>
      </c>
      <c r="AC383" s="75" t="str">
        <f>IF(AND(OR(LEFT(TH!N383,2)="15",LEFT(TH!O383,2)="15"),TK!$E$7=TH!F383),"x","")</f>
        <v/>
      </c>
      <c r="AD383" s="75" t="str">
        <f>IF(AND(N383="1521",MONTH(C383)='BK-NL'!$M$11),"x","")</f>
        <v/>
      </c>
    </row>
    <row r="384" spans="1:30" ht="16.5" customHeight="1">
      <c r="A384" s="309" t="str">
        <f>IF(B384&lt;&gt;"",IF(AND(B384='IN-TC'!$S$4,OR(TH!N384="1111",TH!O384="1111")),TH!D384,""),"")</f>
        <v/>
      </c>
      <c r="B384" s="1241">
        <f t="shared" si="63"/>
        <v>4</v>
      </c>
      <c r="C384" s="929">
        <v>42850</v>
      </c>
      <c r="D384" s="929" t="s">
        <v>530</v>
      </c>
      <c r="E384" s="929">
        <v>42850</v>
      </c>
      <c r="F384" s="930" t="s">
        <v>810</v>
      </c>
      <c r="G384" s="931" t="s">
        <v>1266</v>
      </c>
      <c r="H384" s="296" t="s">
        <v>622</v>
      </c>
      <c r="I384" s="371"/>
      <c r="J384" s="932"/>
      <c r="K384" s="371"/>
      <c r="L384" s="377"/>
      <c r="M384" s="933">
        <v>20679600</v>
      </c>
      <c r="N384" s="934" t="s">
        <v>539</v>
      </c>
      <c r="O384" s="934" t="s">
        <v>8</v>
      </c>
      <c r="P384" s="75" t="str">
        <f>IF(AND('331-CT'!$E$7=TH!H384,OR(N384="331",O384="331")),"x","")</f>
        <v/>
      </c>
      <c r="Q384" s="75" t="str">
        <f>IF(AND(B384='111'!$L$11,OR($N384=$Q$7,$O384=$Q$7)),"x","")</f>
        <v/>
      </c>
      <c r="R384" s="75" t="str">
        <f>IF(AND($N384=$Q$7,$B384&lt;'111'!$L$11),"x","")</f>
        <v/>
      </c>
      <c r="S384" s="75" t="str">
        <f>IF(AND($O384=$Q$7,$B384&lt;'111'!$L$11),"x","")</f>
        <v/>
      </c>
      <c r="T384" s="75" t="str">
        <f>IF(ISERROR(FIND('112'!$M$9,G384,1)),"",IF((AND(FIND('112'!$M$9,G384,1)&gt;=1,B384='112'!$K$9,OR($N384='112'!$I$6,$O384='112'!$I$6))),"x",""))</f>
        <v/>
      </c>
      <c r="U384" s="75" t="str">
        <f>IF(ISERROR(FIND('112'!$M$9,G384,1)),"",IF((AND(LEFT(G384,2)=LEFT('112'!$M$9,2),B384&lt;'112'!$K$9,$N384='112'!$I$6)),"x",""))</f>
        <v/>
      </c>
      <c r="V384" s="75" t="str">
        <f>IF(ISERROR(FIND('112'!$M$9,G384,1)),"",IF((AND(RIGHT(G384,2)=RIGHT('112'!$M$9,2),B384&lt;'112'!$K$9,$O384='112'!$I$6)),"x",""))</f>
        <v/>
      </c>
      <c r="W384" s="75" t="str">
        <f>IF(AND('341-CT'!$H$9=H384,OR(LEFT(N384,3)=$W$7,LEFT(O384,3)=$W$7)),"x","")</f>
        <v/>
      </c>
      <c r="X384" s="75" t="str">
        <f>IF(OR(TH!N384=TH!$X$7,O384=TH!$X$7),"x","")</f>
        <v/>
      </c>
      <c r="Y384" s="75" t="str">
        <f>IF(AND(OR(N384="131",O384="131"),H384='131-CT'!$H$9),"x","")</f>
        <v/>
      </c>
      <c r="Z384" s="75"/>
      <c r="AA384" s="75" t="str">
        <f>IF(AND(MONTH(E384)='IN-NX'!$J$5,'IN-NX'!$D$7=D384),"x","")</f>
        <v/>
      </c>
      <c r="AB384" s="75" t="str">
        <f>IF(AND(OR(LEFT(TH!N384,2)="15",LEFT(TH!O384,2)="15"),LEFT(TH!O384,3)&lt;&gt;"111",'152-CT'!$J$8=TH!F384),"x","")</f>
        <v/>
      </c>
      <c r="AC384" s="75" t="str">
        <f>IF(AND(OR(LEFT(TH!N384,2)="15",LEFT(TH!O384,2)="15"),TK!$E$7=TH!F384),"x","")</f>
        <v/>
      </c>
      <c r="AD384" s="75" t="str">
        <f>IF(AND(N384="1521",MONTH(C384)='BK-NL'!$M$11),"x","")</f>
        <v/>
      </c>
    </row>
    <row r="385" spans="1:30" ht="16.5" customHeight="1">
      <c r="A385" s="309" t="str">
        <f>IF(B385&lt;&gt;"",IF(AND(B385='IN-TC'!$S$4,OR(TH!N385="1111",TH!O385="1111")),TH!D385,""),"")</f>
        <v/>
      </c>
      <c r="B385" s="1241">
        <f t="shared" si="63"/>
        <v>4</v>
      </c>
      <c r="C385" s="929">
        <v>42850</v>
      </c>
      <c r="D385" s="929" t="s">
        <v>530</v>
      </c>
      <c r="E385" s="929">
        <v>42850</v>
      </c>
      <c r="F385" s="930" t="s">
        <v>811</v>
      </c>
      <c r="G385" s="931" t="s">
        <v>1266</v>
      </c>
      <c r="H385" s="296" t="s">
        <v>622</v>
      </c>
      <c r="I385" s="371"/>
      <c r="J385" s="932"/>
      <c r="K385" s="371"/>
      <c r="L385" s="377"/>
      <c r="M385" s="933">
        <v>2067960</v>
      </c>
      <c r="N385" s="934" t="s">
        <v>9</v>
      </c>
      <c r="O385" s="934" t="s">
        <v>8</v>
      </c>
      <c r="P385" s="75" t="str">
        <f>IF(AND('331-CT'!$E$7=TH!H385,OR(N385="331",O385="331")),"x","")</f>
        <v/>
      </c>
      <c r="Q385" s="75" t="str">
        <f>IF(AND(B385='111'!$L$11,OR($N385=$Q$7,$O385=$Q$7)),"x","")</f>
        <v/>
      </c>
      <c r="R385" s="75" t="str">
        <f>IF(AND($N385=$Q$7,$B385&lt;'111'!$L$11),"x","")</f>
        <v/>
      </c>
      <c r="S385" s="75" t="str">
        <f>IF(AND($O385=$Q$7,$B385&lt;'111'!$L$11),"x","")</f>
        <v/>
      </c>
      <c r="T385" s="75" t="str">
        <f>IF(ISERROR(FIND('112'!$M$9,G385,1)),"",IF((AND(FIND('112'!$M$9,G385,1)&gt;=1,B385='112'!$K$9,OR($N385='112'!$I$6,$O385='112'!$I$6))),"x",""))</f>
        <v/>
      </c>
      <c r="U385" s="75" t="str">
        <f>IF(ISERROR(FIND('112'!$M$9,G385,1)),"",IF((AND(LEFT(G385,2)=LEFT('112'!$M$9,2),B385&lt;'112'!$K$9,$N385='112'!$I$6)),"x",""))</f>
        <v/>
      </c>
      <c r="V385" s="75" t="str">
        <f>IF(ISERROR(FIND('112'!$M$9,G385,1)),"",IF((AND(RIGHT(G385,2)=RIGHT('112'!$M$9,2),B385&lt;'112'!$K$9,$O385='112'!$I$6)),"x",""))</f>
        <v/>
      </c>
      <c r="W385" s="75" t="str">
        <f>IF(AND('341-CT'!$H$9=H385,OR(LEFT(N385,3)=$W$7,LEFT(O385,3)=$W$7)),"x","")</f>
        <v/>
      </c>
      <c r="X385" s="75" t="str">
        <f>IF(OR(TH!N385=TH!$X$7,O385=TH!$X$7),"x","")</f>
        <v/>
      </c>
      <c r="Y385" s="75" t="str">
        <f>IF(AND(OR(N385="131",O385="131"),H385='131-CT'!$H$9),"x","")</f>
        <v/>
      </c>
      <c r="Z385" s="75"/>
      <c r="AA385" s="75" t="str">
        <f>IF(AND(MONTH(E385)='IN-NX'!$J$5,'IN-NX'!$D$7=D385),"x","")</f>
        <v/>
      </c>
      <c r="AB385" s="75" t="str">
        <f>IF(AND(OR(LEFT(TH!N385,2)="15",LEFT(TH!O385,2)="15"),LEFT(TH!O385,3)&lt;&gt;"111",'152-CT'!$J$8=TH!F385),"x","")</f>
        <v/>
      </c>
      <c r="AC385" s="75" t="str">
        <f>IF(AND(OR(LEFT(TH!N385,2)="15",LEFT(TH!O385,2)="15"),TK!$E$7=TH!F385),"x","")</f>
        <v/>
      </c>
      <c r="AD385" s="75" t="str">
        <f>IF(AND(N385="1521",MONTH(C385)='BK-NL'!$M$11),"x","")</f>
        <v/>
      </c>
    </row>
    <row r="386" spans="1:30" ht="16.5" customHeight="1">
      <c r="A386" s="309" t="str">
        <f>IF(B386&lt;&gt;"",IF(AND(B386='IN-TC'!$S$4,OR(TH!N386="1111",TH!O386="1111")),TH!D386,""),"")</f>
        <v/>
      </c>
      <c r="B386" s="1241">
        <f t="shared" si="63"/>
        <v>4</v>
      </c>
      <c r="C386" s="929">
        <v>42850</v>
      </c>
      <c r="D386" s="929" t="s">
        <v>530</v>
      </c>
      <c r="E386" s="929">
        <v>42850</v>
      </c>
      <c r="F386" s="930" t="s">
        <v>808</v>
      </c>
      <c r="G386" s="931" t="s">
        <v>1267</v>
      </c>
      <c r="H386" s="296" t="s">
        <v>622</v>
      </c>
      <c r="I386" s="371"/>
      <c r="J386" s="932"/>
      <c r="K386" s="371"/>
      <c r="L386" s="377"/>
      <c r="M386" s="933">
        <v>50160000</v>
      </c>
      <c r="N386" s="934" t="s">
        <v>539</v>
      </c>
      <c r="O386" s="934" t="s">
        <v>8</v>
      </c>
      <c r="P386" s="75" t="str">
        <f>IF(AND('331-CT'!$E$7=TH!H386,OR(N386="331",O386="331")),"x","")</f>
        <v/>
      </c>
      <c r="Q386" s="75" t="str">
        <f>IF(AND(B386='111'!$L$11,OR($N386=$Q$7,$O386=$Q$7)),"x","")</f>
        <v/>
      </c>
      <c r="R386" s="75" t="str">
        <f>IF(AND($N386=$Q$7,$B386&lt;'111'!$L$11),"x","")</f>
        <v/>
      </c>
      <c r="S386" s="75" t="str">
        <f>IF(AND($O386=$Q$7,$B386&lt;'111'!$L$11),"x","")</f>
        <v/>
      </c>
      <c r="T386" s="75" t="str">
        <f>IF(ISERROR(FIND('112'!$M$9,G386,1)),"",IF((AND(FIND('112'!$M$9,G386,1)&gt;=1,B386='112'!$K$9,OR($N386='112'!$I$6,$O386='112'!$I$6))),"x",""))</f>
        <v/>
      </c>
      <c r="U386" s="75" t="str">
        <f>IF(ISERROR(FIND('112'!$M$9,G386,1)),"",IF((AND(LEFT(G386,2)=LEFT('112'!$M$9,2),B386&lt;'112'!$K$9,$N386='112'!$I$6)),"x",""))</f>
        <v/>
      </c>
      <c r="V386" s="75" t="str">
        <f>IF(ISERROR(FIND('112'!$M$9,G386,1)),"",IF((AND(RIGHT(G386,2)=RIGHT('112'!$M$9,2),B386&lt;'112'!$K$9,$O386='112'!$I$6)),"x",""))</f>
        <v/>
      </c>
      <c r="W386" s="75" t="str">
        <f>IF(AND('341-CT'!$H$9=H386,OR(LEFT(N386,3)=$W$7,LEFT(O386,3)=$W$7)),"x","")</f>
        <v/>
      </c>
      <c r="X386" s="75" t="str">
        <f>IF(OR(TH!N386=TH!$X$7,O386=TH!$X$7),"x","")</f>
        <v/>
      </c>
      <c r="Y386" s="75" t="str">
        <f>IF(AND(OR(N386="131",O386="131"),H386='131-CT'!$H$9),"x","")</f>
        <v/>
      </c>
      <c r="Z386" s="75"/>
      <c r="AA386" s="75" t="str">
        <f>IF(AND(MONTH(E386)='IN-NX'!$J$5,'IN-NX'!$D$7=D386),"x","")</f>
        <v/>
      </c>
      <c r="AB386" s="75" t="str">
        <f>IF(AND(OR(LEFT(TH!N386,2)="15",LEFT(TH!O386,2)="15"),LEFT(TH!O386,3)&lt;&gt;"111",'152-CT'!$J$8=TH!F386),"x","")</f>
        <v/>
      </c>
      <c r="AC386" s="75" t="str">
        <f>IF(AND(OR(LEFT(TH!N386,2)="15",LEFT(TH!O386,2)="15"),TK!$E$7=TH!F386),"x","")</f>
        <v/>
      </c>
      <c r="AD386" s="75" t="str">
        <f>IF(AND(N386="1521",MONTH(C386)='BK-NL'!$M$11),"x","")</f>
        <v/>
      </c>
    </row>
    <row r="387" spans="1:30" ht="16.5" customHeight="1">
      <c r="A387" s="309" t="str">
        <f>IF(B387&lt;&gt;"",IF(AND(B387='IN-TC'!$S$4,OR(TH!N387="1111",TH!O387="1111")),TH!D387,""),"")</f>
        <v/>
      </c>
      <c r="B387" s="1241">
        <f t="shared" si="63"/>
        <v>4</v>
      </c>
      <c r="C387" s="929">
        <v>42850</v>
      </c>
      <c r="D387" s="929" t="s">
        <v>530</v>
      </c>
      <c r="E387" s="929">
        <v>42850</v>
      </c>
      <c r="F387" s="930" t="s">
        <v>810</v>
      </c>
      <c r="G387" s="931" t="s">
        <v>1268</v>
      </c>
      <c r="H387" s="296" t="s">
        <v>622</v>
      </c>
      <c r="I387" s="371"/>
      <c r="J387" s="932"/>
      <c r="K387" s="371"/>
      <c r="L387" s="377"/>
      <c r="M387" s="933">
        <v>30339080</v>
      </c>
      <c r="N387" s="934" t="s">
        <v>539</v>
      </c>
      <c r="O387" s="934" t="s">
        <v>8</v>
      </c>
      <c r="P387" s="75" t="str">
        <f>IF(AND('331-CT'!$E$7=TH!H387,OR(N387="331",O387="331")),"x","")</f>
        <v/>
      </c>
      <c r="Q387" s="75" t="str">
        <f>IF(AND(B387='111'!$L$11,OR($N387=$Q$7,$O387=$Q$7)),"x","")</f>
        <v/>
      </c>
      <c r="R387" s="75" t="str">
        <f>IF(AND($N387=$Q$7,$B387&lt;'111'!$L$11),"x","")</f>
        <v/>
      </c>
      <c r="S387" s="75" t="str">
        <f>IF(AND($O387=$Q$7,$B387&lt;'111'!$L$11),"x","")</f>
        <v/>
      </c>
      <c r="T387" s="75" t="str">
        <f>IF(ISERROR(FIND('112'!$M$9,G387,1)),"",IF((AND(FIND('112'!$M$9,G387,1)&gt;=1,B387='112'!$K$9,OR($N387='112'!$I$6,$O387='112'!$I$6))),"x",""))</f>
        <v/>
      </c>
      <c r="U387" s="75" t="str">
        <f>IF(ISERROR(FIND('112'!$M$9,G387,1)),"",IF((AND(LEFT(G387,2)=LEFT('112'!$M$9,2),B387&lt;'112'!$K$9,$N387='112'!$I$6)),"x",""))</f>
        <v/>
      </c>
      <c r="V387" s="75" t="str">
        <f>IF(ISERROR(FIND('112'!$M$9,G387,1)),"",IF((AND(RIGHT(G387,2)=RIGHT('112'!$M$9,2),B387&lt;'112'!$K$9,$O387='112'!$I$6)),"x",""))</f>
        <v/>
      </c>
      <c r="W387" s="75" t="str">
        <f>IF(AND('341-CT'!$H$9=H387,OR(LEFT(N387,3)=$W$7,LEFT(O387,3)=$W$7)),"x","")</f>
        <v/>
      </c>
      <c r="X387" s="75" t="str">
        <f>IF(OR(TH!N387=TH!$X$7,O387=TH!$X$7),"x","")</f>
        <v/>
      </c>
      <c r="Y387" s="75" t="str">
        <f>IF(AND(OR(N387="131",O387="131"),H387='131-CT'!$H$9),"x","")</f>
        <v/>
      </c>
      <c r="Z387" s="75"/>
      <c r="AA387" s="75" t="str">
        <f>IF(AND(MONTH(E387)='IN-NX'!$J$5,'IN-NX'!$D$7=D387),"x","")</f>
        <v/>
      </c>
      <c r="AB387" s="75" t="str">
        <f>IF(AND(OR(LEFT(TH!N387,2)="15",LEFT(TH!O387,2)="15"),LEFT(TH!O387,3)&lt;&gt;"111",'152-CT'!$J$8=TH!F387),"x","")</f>
        <v/>
      </c>
      <c r="AC387" s="75" t="str">
        <f>IF(AND(OR(LEFT(TH!N387,2)="15",LEFT(TH!O387,2)="15"),TK!$E$7=TH!F387),"x","")</f>
        <v/>
      </c>
      <c r="AD387" s="75" t="str">
        <f>IF(AND(N387="1521",MONTH(C387)='BK-NL'!$M$11),"x","")</f>
        <v/>
      </c>
    </row>
    <row r="388" spans="1:30" ht="16.5" customHeight="1">
      <c r="A388" s="309" t="str">
        <f>IF(B388&lt;&gt;"",IF(AND(B388='IN-TC'!$S$4,OR(TH!N388="1111",TH!O388="1111")),TH!D388,""),"")</f>
        <v/>
      </c>
      <c r="B388" s="1241">
        <f t="shared" si="63"/>
        <v>4</v>
      </c>
      <c r="C388" s="929">
        <v>42850</v>
      </c>
      <c r="D388" s="929" t="s">
        <v>530</v>
      </c>
      <c r="E388" s="929">
        <v>42850</v>
      </c>
      <c r="F388" s="930" t="s">
        <v>811</v>
      </c>
      <c r="G388" s="931" t="s">
        <v>1268</v>
      </c>
      <c r="H388" s="296" t="s">
        <v>622</v>
      </c>
      <c r="I388" s="371"/>
      <c r="J388" s="932"/>
      <c r="K388" s="371"/>
      <c r="L388" s="377"/>
      <c r="M388" s="933">
        <v>3033908</v>
      </c>
      <c r="N388" s="934" t="s">
        <v>9</v>
      </c>
      <c r="O388" s="934" t="s">
        <v>8</v>
      </c>
      <c r="P388" s="75" t="str">
        <f>IF(AND('331-CT'!$E$7=TH!H388,OR(N388="331",O388="331")),"x","")</f>
        <v/>
      </c>
      <c r="Q388" s="75" t="str">
        <f>IF(AND(B388='111'!$L$11,OR($N388=$Q$7,$O388=$Q$7)),"x","")</f>
        <v/>
      </c>
      <c r="R388" s="75" t="str">
        <f>IF(AND($N388=$Q$7,$B388&lt;'111'!$L$11),"x","")</f>
        <v/>
      </c>
      <c r="S388" s="75" t="str">
        <f>IF(AND($O388=$Q$7,$B388&lt;'111'!$L$11),"x","")</f>
        <v/>
      </c>
      <c r="T388" s="75" t="str">
        <f>IF(ISERROR(FIND('112'!$M$9,G388,1)),"",IF((AND(FIND('112'!$M$9,G388,1)&gt;=1,B388='112'!$K$9,OR($N388='112'!$I$6,$O388='112'!$I$6))),"x",""))</f>
        <v/>
      </c>
      <c r="U388" s="75" t="str">
        <f>IF(ISERROR(FIND('112'!$M$9,G388,1)),"",IF((AND(LEFT(G388,2)=LEFT('112'!$M$9,2),B388&lt;'112'!$K$9,$N388='112'!$I$6)),"x",""))</f>
        <v/>
      </c>
      <c r="V388" s="75" t="str">
        <f>IF(ISERROR(FIND('112'!$M$9,G388,1)),"",IF((AND(RIGHT(G388,2)=RIGHT('112'!$M$9,2),B388&lt;'112'!$K$9,$O388='112'!$I$6)),"x",""))</f>
        <v/>
      </c>
      <c r="W388" s="75" t="str">
        <f>IF(AND('341-CT'!$H$9=H388,OR(LEFT(N388,3)=$W$7,LEFT(O388,3)=$W$7)),"x","")</f>
        <v/>
      </c>
      <c r="X388" s="75" t="str">
        <f>IF(OR(TH!N388=TH!$X$7,O388=TH!$X$7),"x","")</f>
        <v/>
      </c>
      <c r="Y388" s="75" t="str">
        <f>IF(AND(OR(N388="131",O388="131"),H388='131-CT'!$H$9),"x","")</f>
        <v/>
      </c>
      <c r="Z388" s="75"/>
      <c r="AA388" s="75" t="str">
        <f>IF(AND(MONTH(E388)='IN-NX'!$J$5,'IN-NX'!$D$7=D388),"x","")</f>
        <v/>
      </c>
      <c r="AB388" s="75" t="str">
        <f>IF(AND(OR(LEFT(TH!N388,2)="15",LEFT(TH!O388,2)="15"),LEFT(TH!O388,3)&lt;&gt;"111",'152-CT'!$J$8=TH!F388),"x","")</f>
        <v/>
      </c>
      <c r="AC388" s="75" t="str">
        <f>IF(AND(OR(LEFT(TH!N388,2)="15",LEFT(TH!O388,2)="15"),TK!$E$7=TH!F388),"x","")</f>
        <v/>
      </c>
      <c r="AD388" s="75" t="str">
        <f>IF(AND(N388="1521",MONTH(C388)='BK-NL'!$M$11),"x","")</f>
        <v/>
      </c>
    </row>
    <row r="389" spans="1:30" ht="16.5" customHeight="1">
      <c r="A389" s="309" t="str">
        <f>IF(B389&lt;&gt;"",IF(AND(B389='IN-TC'!$S$4,OR(TH!N389="1111",TH!O389="1111")),TH!D389,""),"")</f>
        <v/>
      </c>
      <c r="B389" s="1241">
        <f t="shared" si="63"/>
        <v>4</v>
      </c>
      <c r="C389" s="929">
        <v>42850</v>
      </c>
      <c r="D389" s="929" t="s">
        <v>530</v>
      </c>
      <c r="E389" s="929">
        <v>42850</v>
      </c>
      <c r="F389" s="930" t="s">
        <v>808</v>
      </c>
      <c r="G389" s="931" t="s">
        <v>1269</v>
      </c>
      <c r="H389" s="296" t="s">
        <v>622</v>
      </c>
      <c r="I389" s="371"/>
      <c r="J389" s="932"/>
      <c r="K389" s="371"/>
      <c r="L389" s="377"/>
      <c r="M389" s="933">
        <v>81936000</v>
      </c>
      <c r="N389" s="934" t="s">
        <v>539</v>
      </c>
      <c r="O389" s="934" t="s">
        <v>8</v>
      </c>
      <c r="P389" s="75" t="str">
        <f>IF(AND('331-CT'!$E$7=TH!H389,OR(N389="331",O389="331")),"x","")</f>
        <v/>
      </c>
      <c r="Q389" s="75" t="str">
        <f>IF(AND(B389='111'!$L$11,OR($N389=$Q$7,$O389=$Q$7)),"x","")</f>
        <v/>
      </c>
      <c r="R389" s="75" t="str">
        <f>IF(AND($N389=$Q$7,$B389&lt;'111'!$L$11),"x","")</f>
        <v/>
      </c>
      <c r="S389" s="75" t="str">
        <f>IF(AND($O389=$Q$7,$B389&lt;'111'!$L$11),"x","")</f>
        <v/>
      </c>
      <c r="T389" s="75" t="str">
        <f>IF(ISERROR(FIND('112'!$M$9,G389,1)),"",IF((AND(FIND('112'!$M$9,G389,1)&gt;=1,B389='112'!$K$9,OR($N389='112'!$I$6,$O389='112'!$I$6))),"x",""))</f>
        <v/>
      </c>
      <c r="U389" s="75" t="str">
        <f>IF(ISERROR(FIND('112'!$M$9,G389,1)),"",IF((AND(LEFT(G389,2)=LEFT('112'!$M$9,2),B389&lt;'112'!$K$9,$N389='112'!$I$6)),"x",""))</f>
        <v/>
      </c>
      <c r="V389" s="75" t="str">
        <f>IF(ISERROR(FIND('112'!$M$9,G389,1)),"",IF((AND(RIGHT(G389,2)=RIGHT('112'!$M$9,2),B389&lt;'112'!$K$9,$O389='112'!$I$6)),"x",""))</f>
        <v/>
      </c>
      <c r="W389" s="75" t="str">
        <f>IF(AND('341-CT'!$H$9=H389,OR(LEFT(N389,3)=$W$7,LEFT(O389,3)=$W$7)),"x","")</f>
        <v/>
      </c>
      <c r="X389" s="75" t="str">
        <f>IF(OR(TH!N389=TH!$X$7,O389=TH!$X$7),"x","")</f>
        <v/>
      </c>
      <c r="Y389" s="75" t="str">
        <f>IF(AND(OR(N389="131",O389="131"),H389='131-CT'!$H$9),"x","")</f>
        <v/>
      </c>
      <c r="Z389" s="75"/>
      <c r="AA389" s="75" t="str">
        <f>IF(AND(MONTH(E389)='IN-NX'!$J$5,'IN-NX'!$D$7=D389),"x","")</f>
        <v/>
      </c>
      <c r="AB389" s="75" t="str">
        <f>IF(AND(OR(LEFT(TH!N389,2)="15",LEFT(TH!O389,2)="15"),LEFT(TH!O389,3)&lt;&gt;"111",'152-CT'!$J$8=TH!F389),"x","")</f>
        <v/>
      </c>
      <c r="AC389" s="75" t="str">
        <f>IF(AND(OR(LEFT(TH!N389,2)="15",LEFT(TH!O389,2)="15"),TK!$E$7=TH!F389),"x","")</f>
        <v/>
      </c>
      <c r="AD389" s="75" t="str">
        <f>IF(AND(N389="1521",MONTH(C389)='BK-NL'!$M$11),"x","")</f>
        <v/>
      </c>
    </row>
    <row r="390" spans="1:30" ht="16.5" customHeight="1">
      <c r="A390" s="309" t="str">
        <f>IF(B390&lt;&gt;"",IF(AND(B390='IN-TC'!$S$4,OR(TH!N390="1111",TH!O390="1111")),TH!D390,""),"")</f>
        <v/>
      </c>
      <c r="B390" s="1241">
        <f t="shared" si="63"/>
        <v>4</v>
      </c>
      <c r="C390" s="929">
        <v>42850</v>
      </c>
      <c r="D390" s="929" t="s">
        <v>530</v>
      </c>
      <c r="E390" s="929">
        <v>42850</v>
      </c>
      <c r="F390" s="930" t="s">
        <v>810</v>
      </c>
      <c r="G390" s="931" t="s">
        <v>1270</v>
      </c>
      <c r="H390" s="296" t="s">
        <v>622</v>
      </c>
      <c r="I390" s="371"/>
      <c r="J390" s="932"/>
      <c r="K390" s="371"/>
      <c r="L390" s="377"/>
      <c r="M390" s="933">
        <v>30285760</v>
      </c>
      <c r="N390" s="934" t="s">
        <v>539</v>
      </c>
      <c r="O390" s="934" t="s">
        <v>8</v>
      </c>
      <c r="P390" s="75" t="str">
        <f>IF(AND('331-CT'!$E$7=TH!H390,OR(N390="331",O390="331")),"x","")</f>
        <v/>
      </c>
      <c r="Q390" s="75" t="str">
        <f>IF(AND(B390='111'!$L$11,OR($N390=$Q$7,$O390=$Q$7)),"x","")</f>
        <v/>
      </c>
      <c r="R390" s="75" t="str">
        <f>IF(AND($N390=$Q$7,$B390&lt;'111'!$L$11),"x","")</f>
        <v/>
      </c>
      <c r="S390" s="75" t="str">
        <f>IF(AND($O390=$Q$7,$B390&lt;'111'!$L$11),"x","")</f>
        <v/>
      </c>
      <c r="T390" s="75" t="str">
        <f>IF(ISERROR(FIND('112'!$M$9,G390,1)),"",IF((AND(FIND('112'!$M$9,G390,1)&gt;=1,B390='112'!$K$9,OR($N390='112'!$I$6,$O390='112'!$I$6))),"x",""))</f>
        <v/>
      </c>
      <c r="U390" s="75" t="str">
        <f>IF(ISERROR(FIND('112'!$M$9,G390,1)),"",IF((AND(LEFT(G390,2)=LEFT('112'!$M$9,2),B390&lt;'112'!$K$9,$N390='112'!$I$6)),"x",""))</f>
        <v/>
      </c>
      <c r="V390" s="75" t="str">
        <f>IF(ISERROR(FIND('112'!$M$9,G390,1)),"",IF((AND(RIGHT(G390,2)=RIGHT('112'!$M$9,2),B390&lt;'112'!$K$9,$O390='112'!$I$6)),"x",""))</f>
        <v/>
      </c>
      <c r="W390" s="75" t="str">
        <f>IF(AND('341-CT'!$H$9=H390,OR(LEFT(N390,3)=$W$7,LEFT(O390,3)=$W$7)),"x","")</f>
        <v/>
      </c>
      <c r="X390" s="75" t="str">
        <f>IF(OR(TH!N390=TH!$X$7,O390=TH!$X$7),"x","")</f>
        <v/>
      </c>
      <c r="Y390" s="75" t="str">
        <f>IF(AND(OR(N390="131",O390="131"),H390='131-CT'!$H$9),"x","")</f>
        <v/>
      </c>
      <c r="Z390" s="75"/>
      <c r="AA390" s="75" t="str">
        <f>IF(AND(MONTH(E390)='IN-NX'!$J$5,'IN-NX'!$D$7=D390),"x","")</f>
        <v/>
      </c>
      <c r="AB390" s="75" t="str">
        <f>IF(AND(OR(LEFT(TH!N390,2)="15",LEFT(TH!O390,2)="15"),LEFT(TH!O390,3)&lt;&gt;"111",'152-CT'!$J$8=TH!F390),"x","")</f>
        <v/>
      </c>
      <c r="AC390" s="75" t="str">
        <f>IF(AND(OR(LEFT(TH!N390,2)="15",LEFT(TH!O390,2)="15"),TK!$E$7=TH!F390),"x","")</f>
        <v/>
      </c>
      <c r="AD390" s="75" t="str">
        <f>IF(AND(N390="1521",MONTH(C390)='BK-NL'!$M$11),"x","")</f>
        <v/>
      </c>
    </row>
    <row r="391" spans="1:30" ht="16.5" customHeight="1">
      <c r="A391" s="309" t="str">
        <f>IF(B391&lt;&gt;"",IF(AND(B391='IN-TC'!$S$4,OR(TH!N391="1111",TH!O391="1111")),TH!D391,""),"")</f>
        <v/>
      </c>
      <c r="B391" s="1241">
        <f t="shared" si="63"/>
        <v>4</v>
      </c>
      <c r="C391" s="929">
        <v>42850</v>
      </c>
      <c r="D391" s="929" t="s">
        <v>530</v>
      </c>
      <c r="E391" s="929">
        <v>42850</v>
      </c>
      <c r="F391" s="930" t="s">
        <v>811</v>
      </c>
      <c r="G391" s="931" t="s">
        <v>1270</v>
      </c>
      <c r="H391" s="296" t="s">
        <v>622</v>
      </c>
      <c r="I391" s="371"/>
      <c r="J391" s="932"/>
      <c r="K391" s="371"/>
      <c r="L391" s="377"/>
      <c r="M391" s="933">
        <v>3028576</v>
      </c>
      <c r="N391" s="934" t="s">
        <v>9</v>
      </c>
      <c r="O391" s="934" t="s">
        <v>8</v>
      </c>
      <c r="P391" s="75" t="str">
        <f>IF(AND('331-CT'!$E$7=TH!H391,OR(N391="331",O391="331")),"x","")</f>
        <v/>
      </c>
      <c r="Q391" s="75" t="str">
        <f>IF(AND(B391='111'!$L$11,OR($N391=$Q$7,$O391=$Q$7)),"x","")</f>
        <v/>
      </c>
      <c r="R391" s="75" t="str">
        <f>IF(AND($N391=$Q$7,$B391&lt;'111'!$L$11),"x","")</f>
        <v/>
      </c>
      <c r="S391" s="75" t="str">
        <f>IF(AND($O391=$Q$7,$B391&lt;'111'!$L$11),"x","")</f>
        <v/>
      </c>
      <c r="T391" s="75" t="str">
        <f>IF(ISERROR(FIND('112'!$M$9,G391,1)),"",IF((AND(FIND('112'!$M$9,G391,1)&gt;=1,B391='112'!$K$9,OR($N391='112'!$I$6,$O391='112'!$I$6))),"x",""))</f>
        <v/>
      </c>
      <c r="U391" s="75" t="str">
        <f>IF(ISERROR(FIND('112'!$M$9,G391,1)),"",IF((AND(LEFT(G391,2)=LEFT('112'!$M$9,2),B391&lt;'112'!$K$9,$N391='112'!$I$6)),"x",""))</f>
        <v/>
      </c>
      <c r="V391" s="75" t="str">
        <f>IF(ISERROR(FIND('112'!$M$9,G391,1)),"",IF((AND(RIGHT(G391,2)=RIGHT('112'!$M$9,2),B391&lt;'112'!$K$9,$O391='112'!$I$6)),"x",""))</f>
        <v/>
      </c>
      <c r="W391" s="75" t="str">
        <f>IF(AND('341-CT'!$H$9=H391,OR(LEFT(N391,3)=$W$7,LEFT(O391,3)=$W$7)),"x","")</f>
        <v/>
      </c>
      <c r="X391" s="75" t="str">
        <f>IF(OR(TH!N391=TH!$X$7,O391=TH!$X$7),"x","")</f>
        <v/>
      </c>
      <c r="Y391" s="75" t="str">
        <f>IF(AND(OR(N391="131",O391="131"),H391='131-CT'!$H$9),"x","")</f>
        <v/>
      </c>
      <c r="Z391" s="75"/>
      <c r="AA391" s="75" t="str">
        <f>IF(AND(MONTH(E391)='IN-NX'!$J$5,'IN-NX'!$D$7=D391),"x","")</f>
        <v/>
      </c>
      <c r="AB391" s="75" t="str">
        <f>IF(AND(OR(LEFT(TH!N391,2)="15",LEFT(TH!O391,2)="15"),LEFT(TH!O391,3)&lt;&gt;"111",'152-CT'!$J$8=TH!F391),"x","")</f>
        <v/>
      </c>
      <c r="AC391" s="75" t="str">
        <f>IF(AND(OR(LEFT(TH!N391,2)="15",LEFT(TH!O391,2)="15"),TK!$E$7=TH!F391),"x","")</f>
        <v/>
      </c>
      <c r="AD391" s="75" t="str">
        <f>IF(AND(N391="1521",MONTH(C391)='BK-NL'!$M$11),"x","")</f>
        <v/>
      </c>
    </row>
    <row r="392" spans="1:30" ht="16.5" customHeight="1">
      <c r="A392" s="309" t="str">
        <f>IF(B392&lt;&gt;"",IF(AND(B392='IN-TC'!$S$4,OR(TH!N392="1111",TH!O392="1111")),TH!D392,""),"")</f>
        <v/>
      </c>
      <c r="B392" s="1241">
        <f t="shared" si="63"/>
        <v>4</v>
      </c>
      <c r="C392" s="929">
        <v>42850</v>
      </c>
      <c r="D392" s="929" t="s">
        <v>530</v>
      </c>
      <c r="E392" s="929">
        <v>42850</v>
      </c>
      <c r="F392" s="930" t="s">
        <v>808</v>
      </c>
      <c r="G392" s="931" t="s">
        <v>1149</v>
      </c>
      <c r="H392" s="296" t="s">
        <v>622</v>
      </c>
      <c r="I392" s="371"/>
      <c r="J392" s="932"/>
      <c r="K392" s="371"/>
      <c r="L392" s="377"/>
      <c r="M392" s="933">
        <v>74976000</v>
      </c>
      <c r="N392" s="934" t="s">
        <v>539</v>
      </c>
      <c r="O392" s="934" t="s">
        <v>8</v>
      </c>
      <c r="P392" s="75" t="str">
        <f>IF(AND('331-CT'!$E$7=TH!H392,OR(N392="331",O392="331")),"x","")</f>
        <v/>
      </c>
      <c r="Q392" s="75" t="str">
        <f>IF(AND(B392='111'!$L$11,OR($N392=$Q$7,$O392=$Q$7)),"x","")</f>
        <v/>
      </c>
      <c r="R392" s="75" t="str">
        <f>IF(AND($N392=$Q$7,$B392&lt;'111'!$L$11),"x","")</f>
        <v/>
      </c>
      <c r="S392" s="75" t="str">
        <f>IF(AND($O392=$Q$7,$B392&lt;'111'!$L$11),"x","")</f>
        <v/>
      </c>
      <c r="T392" s="75" t="str">
        <f>IF(ISERROR(FIND('112'!$M$9,G392,1)),"",IF((AND(FIND('112'!$M$9,G392,1)&gt;=1,B392='112'!$K$9,OR($N392='112'!$I$6,$O392='112'!$I$6))),"x",""))</f>
        <v/>
      </c>
      <c r="U392" s="75" t="str">
        <f>IF(ISERROR(FIND('112'!$M$9,G392,1)),"",IF((AND(LEFT(G392,2)=LEFT('112'!$M$9,2),B392&lt;'112'!$K$9,$N392='112'!$I$6)),"x",""))</f>
        <v/>
      </c>
      <c r="V392" s="75" t="str">
        <f>IF(ISERROR(FIND('112'!$M$9,G392,1)),"",IF((AND(RIGHT(G392,2)=RIGHT('112'!$M$9,2),B392&lt;'112'!$K$9,$O392='112'!$I$6)),"x",""))</f>
        <v/>
      </c>
      <c r="W392" s="75" t="str">
        <f>IF(AND('341-CT'!$H$9=H392,OR(LEFT(N392,3)=$W$7,LEFT(O392,3)=$W$7)),"x","")</f>
        <v/>
      </c>
      <c r="X392" s="75" t="str">
        <f>IF(OR(TH!N392=TH!$X$7,O392=TH!$X$7),"x","")</f>
        <v/>
      </c>
      <c r="Y392" s="75" t="str">
        <f>IF(AND(OR(N392="131",O392="131"),H392='131-CT'!$H$9),"x","")</f>
        <v/>
      </c>
      <c r="Z392" s="75"/>
      <c r="AA392" s="75" t="str">
        <f>IF(AND(MONTH(E392)='IN-NX'!$J$5,'IN-NX'!$D$7=D392),"x","")</f>
        <v/>
      </c>
      <c r="AB392" s="75" t="str">
        <f>IF(AND(OR(LEFT(TH!N392,2)="15",LEFT(TH!O392,2)="15"),LEFT(TH!O392,3)&lt;&gt;"111",'152-CT'!$J$8=TH!F392),"x","")</f>
        <v/>
      </c>
      <c r="AC392" s="75" t="str">
        <f>IF(AND(OR(LEFT(TH!N392,2)="15",LEFT(TH!O392,2)="15"),TK!$E$7=TH!F392),"x","")</f>
        <v/>
      </c>
      <c r="AD392" s="75" t="str">
        <f>IF(AND(N392="1521",MONTH(C392)='BK-NL'!$M$11),"x","")</f>
        <v/>
      </c>
    </row>
    <row r="393" spans="1:30" ht="16.5" customHeight="1">
      <c r="A393" s="309" t="str">
        <f>IF(B393&lt;&gt;"",IF(AND(B393='IN-TC'!$S$4,OR(TH!N393="1111",TH!O393="1111")),TH!D393,""),"")</f>
        <v/>
      </c>
      <c r="B393" s="1241">
        <f t="shared" si="63"/>
        <v>4</v>
      </c>
      <c r="C393" s="929">
        <v>42854</v>
      </c>
      <c r="D393" s="929" t="s">
        <v>530</v>
      </c>
      <c r="E393" s="929">
        <v>42831</v>
      </c>
      <c r="F393" s="930" t="s">
        <v>1277</v>
      </c>
      <c r="G393" s="931" t="s">
        <v>1423</v>
      </c>
      <c r="H393" s="735" t="s">
        <v>563</v>
      </c>
      <c r="I393" s="371"/>
      <c r="J393" s="932"/>
      <c r="K393" s="371"/>
      <c r="L393" s="377"/>
      <c r="M393" s="933">
        <v>20887100</v>
      </c>
      <c r="N393" s="934" t="s">
        <v>272</v>
      </c>
      <c r="O393" s="934" t="s">
        <v>8</v>
      </c>
      <c r="P393" s="75" t="str">
        <f>IF(AND('331-CT'!$E$7=TH!H393,OR(N393="331",O393="331")),"x","")</f>
        <v/>
      </c>
      <c r="Q393" s="75" t="str">
        <f>IF(AND(B393='111'!$L$11,OR($N393=$Q$7,$O393=$Q$7)),"x","")</f>
        <v/>
      </c>
      <c r="R393" s="75" t="str">
        <f>IF(AND($N393=$Q$7,$B393&lt;'111'!$L$11),"x","")</f>
        <v/>
      </c>
      <c r="S393" s="75" t="str">
        <f>IF(AND($O393=$Q$7,$B393&lt;'111'!$L$11),"x","")</f>
        <v/>
      </c>
      <c r="T393" s="75" t="str">
        <f>IF(ISERROR(FIND('112'!$M$9,G393,1)),"",IF((AND(FIND('112'!$M$9,G393,1)&gt;=1,B393='112'!$K$9,OR($N393='112'!$I$6,$O393='112'!$I$6))),"x",""))</f>
        <v/>
      </c>
      <c r="U393" s="75" t="str">
        <f>IF(ISERROR(FIND('112'!$M$9,G393,1)),"",IF((AND(LEFT(G393,2)=LEFT('112'!$M$9,2),B393&lt;'112'!$K$9,$N393='112'!$I$6)),"x",""))</f>
        <v/>
      </c>
      <c r="V393" s="75" t="str">
        <f>IF(ISERROR(FIND('112'!$M$9,G393,1)),"",IF((AND(RIGHT(G393,2)=RIGHT('112'!$M$9,2),B393&lt;'112'!$K$9,$O393='112'!$I$6)),"x",""))</f>
        <v/>
      </c>
      <c r="W393" s="75" t="str">
        <f>IF(AND('341-CT'!$H$9=H393,OR(LEFT(N393,3)=$W$7,LEFT(O393,3)=$W$7)),"x","")</f>
        <v/>
      </c>
      <c r="X393" s="75" t="str">
        <f>IF(OR(TH!N393=TH!$X$7,O393=TH!$X$7),"x","")</f>
        <v/>
      </c>
      <c r="Y393" s="75" t="str">
        <f>IF(AND(OR(N393="131",O393="131"),H393='131-CT'!$H$9),"x","")</f>
        <v/>
      </c>
      <c r="Z393" s="75"/>
      <c r="AA393" s="75" t="str">
        <f>IF(AND(MONTH(E393)='IN-NX'!$J$5,'IN-NX'!$D$7=D393),"x","")</f>
        <v/>
      </c>
      <c r="AB393" s="75" t="str">
        <f>IF(AND(OR(LEFT(TH!N393,2)="15",LEFT(TH!O393,2)="15"),LEFT(TH!O393,3)&lt;&gt;"111",'152-CT'!$J$8=TH!F393),"x","")</f>
        <v/>
      </c>
      <c r="AC393" s="75" t="str">
        <f>IF(AND(OR(LEFT(TH!N393,2)="15",LEFT(TH!O393,2)="15"),TK!$E$7=TH!F393),"x","")</f>
        <v/>
      </c>
      <c r="AD393" s="75" t="str">
        <f>IF(AND(N393="1521",MONTH(C393)='BK-NL'!$M$11),"x","")</f>
        <v/>
      </c>
    </row>
    <row r="394" spans="1:30" ht="16.5" customHeight="1">
      <c r="A394" s="309" t="str">
        <f>IF(B394&lt;&gt;"",IF(AND(B394='IN-TC'!$S$4,OR(TH!N394="1111",TH!O394="1111")),TH!D394,""),"")</f>
        <v/>
      </c>
      <c r="B394" s="1241">
        <f t="shared" ref="B394:B460" si="64">IF(C394&lt;&gt;"",MONTH(C394),"")</f>
        <v>4</v>
      </c>
      <c r="C394" s="929">
        <v>42854</v>
      </c>
      <c r="D394" s="929" t="s">
        <v>530</v>
      </c>
      <c r="E394" s="929">
        <v>42831</v>
      </c>
      <c r="F394" s="930" t="s">
        <v>1278</v>
      </c>
      <c r="G394" s="931" t="s">
        <v>1423</v>
      </c>
      <c r="H394" s="735" t="s">
        <v>563</v>
      </c>
      <c r="I394" s="371"/>
      <c r="J394" s="932"/>
      <c r="K394" s="371"/>
      <c r="L394" s="377"/>
      <c r="M394" s="933">
        <v>2088710</v>
      </c>
      <c r="N394" s="934" t="s">
        <v>9</v>
      </c>
      <c r="O394" s="934" t="s">
        <v>8</v>
      </c>
      <c r="P394" s="75" t="str">
        <f>IF(AND('331-CT'!$E$7=TH!H394,OR(N394="331",O394="331")),"x","")</f>
        <v/>
      </c>
      <c r="Q394" s="75" t="str">
        <f>IF(AND(B394='111'!$L$11,OR($N394=$Q$7,$O394=$Q$7)),"x","")</f>
        <v/>
      </c>
      <c r="R394" s="75" t="str">
        <f>IF(AND($N394=$Q$7,$B394&lt;'111'!$L$11),"x","")</f>
        <v/>
      </c>
      <c r="S394" s="75" t="str">
        <f>IF(AND($O394=$Q$7,$B394&lt;'111'!$L$11),"x","")</f>
        <v/>
      </c>
      <c r="T394" s="75" t="str">
        <f>IF(ISERROR(FIND('112'!$M$9,G394,1)),"",IF((AND(FIND('112'!$M$9,G394,1)&gt;=1,B394='112'!$K$9,OR($N394='112'!$I$6,$O394='112'!$I$6))),"x",""))</f>
        <v/>
      </c>
      <c r="U394" s="75" t="str">
        <f>IF(ISERROR(FIND('112'!$M$9,G394,1)),"",IF((AND(LEFT(G394,2)=LEFT('112'!$M$9,2),B394&lt;'112'!$K$9,$N394='112'!$I$6)),"x",""))</f>
        <v/>
      </c>
      <c r="V394" s="75" t="str">
        <f>IF(ISERROR(FIND('112'!$M$9,G394,1)),"",IF((AND(RIGHT(G394,2)=RIGHT('112'!$M$9,2),B394&lt;'112'!$K$9,$O394='112'!$I$6)),"x",""))</f>
        <v/>
      </c>
      <c r="W394" s="75" t="str">
        <f>IF(AND('341-CT'!$H$9=H394,OR(LEFT(N394,3)=$W$7,LEFT(O394,3)=$W$7)),"x","")</f>
        <v/>
      </c>
      <c r="X394" s="75" t="str">
        <f>IF(OR(TH!N394=TH!$X$7,O394=TH!$X$7),"x","")</f>
        <v/>
      </c>
      <c r="Y394" s="75" t="str">
        <f>IF(AND(OR(N394="131",O394="131"),H394='131-CT'!$H$9),"x","")</f>
        <v/>
      </c>
      <c r="Z394" s="75"/>
      <c r="AA394" s="75" t="str">
        <f>IF(AND(MONTH(E394)='IN-NX'!$J$5,'IN-NX'!$D$7=D394),"x","")</f>
        <v/>
      </c>
      <c r="AB394" s="75" t="str">
        <f>IF(AND(OR(LEFT(TH!N394,2)="15",LEFT(TH!O394,2)="15"),LEFT(TH!O394,3)&lt;&gt;"111",'152-CT'!$J$8=TH!F394),"x","")</f>
        <v/>
      </c>
      <c r="AC394" s="75" t="str">
        <f>IF(AND(OR(LEFT(TH!N394,2)="15",LEFT(TH!O394,2)="15"),TK!$E$7=TH!F394),"x","")</f>
        <v/>
      </c>
      <c r="AD394" s="75" t="str">
        <f>IF(AND(N394="1521",MONTH(C394)='BK-NL'!$M$11),"x","")</f>
        <v/>
      </c>
    </row>
    <row r="395" spans="1:30" ht="16.5" customHeight="1">
      <c r="A395" s="309" t="str">
        <f>IF(B395&lt;&gt;"",IF(AND(B395='IN-TC'!$S$4,OR(TH!N395="1111",TH!O395="1111")),TH!D395,""),"")</f>
        <v/>
      </c>
      <c r="B395" s="1241">
        <f t="shared" si="64"/>
        <v>4</v>
      </c>
      <c r="C395" s="929">
        <v>42854</v>
      </c>
      <c r="D395" s="929" t="s">
        <v>530</v>
      </c>
      <c r="E395" s="929">
        <v>42841</v>
      </c>
      <c r="F395" s="930" t="s">
        <v>1279</v>
      </c>
      <c r="G395" s="931" t="s">
        <v>1424</v>
      </c>
      <c r="H395" s="735" t="s">
        <v>563</v>
      </c>
      <c r="I395" s="371"/>
      <c r="J395" s="932"/>
      <c r="K395" s="371"/>
      <c r="L395" s="377"/>
      <c r="M395" s="933">
        <v>24527700</v>
      </c>
      <c r="N395" s="934" t="s">
        <v>272</v>
      </c>
      <c r="O395" s="934" t="s">
        <v>8</v>
      </c>
      <c r="P395" s="75" t="str">
        <f>IF(AND('331-CT'!$E$7=TH!H395,OR(N395="331",O395="331")),"x","")</f>
        <v/>
      </c>
      <c r="Q395" s="75" t="str">
        <f>IF(AND(B395='111'!$L$11,OR($N395=$Q$7,$O395=$Q$7)),"x","")</f>
        <v/>
      </c>
      <c r="R395" s="75" t="str">
        <f>IF(AND($N395=$Q$7,$B395&lt;'111'!$L$11),"x","")</f>
        <v/>
      </c>
      <c r="S395" s="75" t="str">
        <f>IF(AND($O395=$Q$7,$B395&lt;'111'!$L$11),"x","")</f>
        <v/>
      </c>
      <c r="T395" s="75" t="str">
        <f>IF(ISERROR(FIND('112'!$M$9,G395,1)),"",IF((AND(FIND('112'!$M$9,G395,1)&gt;=1,B395='112'!$K$9,OR($N395='112'!$I$6,$O395='112'!$I$6))),"x",""))</f>
        <v/>
      </c>
      <c r="U395" s="75" t="str">
        <f>IF(ISERROR(FIND('112'!$M$9,G395,1)),"",IF((AND(LEFT(G395,2)=LEFT('112'!$M$9,2),B395&lt;'112'!$K$9,$N395='112'!$I$6)),"x",""))</f>
        <v/>
      </c>
      <c r="V395" s="75" t="str">
        <f>IF(ISERROR(FIND('112'!$M$9,G395,1)),"",IF((AND(RIGHT(G395,2)=RIGHT('112'!$M$9,2),B395&lt;'112'!$K$9,$O395='112'!$I$6)),"x",""))</f>
        <v/>
      </c>
      <c r="W395" s="75" t="str">
        <f>IF(AND('341-CT'!$H$9=H395,OR(LEFT(N395,3)=$W$7,LEFT(O395,3)=$W$7)),"x","")</f>
        <v/>
      </c>
      <c r="X395" s="75" t="str">
        <f>IF(OR(TH!N395=TH!$X$7,O395=TH!$X$7),"x","")</f>
        <v/>
      </c>
      <c r="Y395" s="75" t="str">
        <f>IF(AND(OR(N395="131",O395="131"),H395='131-CT'!$H$9),"x","")</f>
        <v/>
      </c>
      <c r="Z395" s="75"/>
      <c r="AA395" s="75" t="str">
        <f>IF(AND(MONTH(E395)='IN-NX'!$J$5,'IN-NX'!$D$7=D395),"x","")</f>
        <v/>
      </c>
      <c r="AB395" s="75" t="str">
        <f>IF(AND(OR(LEFT(TH!N395,2)="15",LEFT(TH!O395,2)="15"),LEFT(TH!O395,3)&lt;&gt;"111",'152-CT'!$J$8=TH!F395),"x","")</f>
        <v/>
      </c>
      <c r="AC395" s="75" t="str">
        <f>IF(AND(OR(LEFT(TH!N395,2)="15",LEFT(TH!O395,2)="15"),TK!$E$7=TH!F395),"x","")</f>
        <v/>
      </c>
      <c r="AD395" s="75" t="str">
        <f>IF(AND(N395="1521",MONTH(C395)='BK-NL'!$M$11),"x","")</f>
        <v/>
      </c>
    </row>
    <row r="396" spans="1:30" ht="16.5" customHeight="1">
      <c r="A396" s="309" t="str">
        <f>IF(B396&lt;&gt;"",IF(AND(B396='IN-TC'!$S$4,OR(TH!N396="1111",TH!O396="1111")),TH!D396,""),"")</f>
        <v/>
      </c>
      <c r="B396" s="1241">
        <f t="shared" si="64"/>
        <v>4</v>
      </c>
      <c r="C396" s="929">
        <v>42854</v>
      </c>
      <c r="D396" s="929" t="s">
        <v>530</v>
      </c>
      <c r="E396" s="929">
        <v>42841</v>
      </c>
      <c r="F396" s="930" t="s">
        <v>1280</v>
      </c>
      <c r="G396" s="931" t="s">
        <v>1424</v>
      </c>
      <c r="H396" s="735" t="s">
        <v>563</v>
      </c>
      <c r="I396" s="371"/>
      <c r="J396" s="932"/>
      <c r="K396" s="371"/>
      <c r="L396" s="377"/>
      <c r="M396" s="933">
        <v>2452770</v>
      </c>
      <c r="N396" s="934" t="s">
        <v>9</v>
      </c>
      <c r="O396" s="934" t="s">
        <v>8</v>
      </c>
      <c r="P396" s="75" t="str">
        <f>IF(AND('331-CT'!$E$7=TH!H396,OR(N396="331",O396="331")),"x","")</f>
        <v/>
      </c>
      <c r="Q396" s="75" t="str">
        <f>IF(AND(B396='111'!$L$11,OR($N396=$Q$7,$O396=$Q$7)),"x","")</f>
        <v/>
      </c>
      <c r="R396" s="75" t="str">
        <f>IF(AND($N396=$Q$7,$B396&lt;'111'!$L$11),"x","")</f>
        <v/>
      </c>
      <c r="S396" s="75" t="str">
        <f>IF(AND($O396=$Q$7,$B396&lt;'111'!$L$11),"x","")</f>
        <v/>
      </c>
      <c r="T396" s="75" t="str">
        <f>IF(ISERROR(FIND('112'!$M$9,G396,1)),"",IF((AND(FIND('112'!$M$9,G396,1)&gt;=1,B396='112'!$K$9,OR($N396='112'!$I$6,$O396='112'!$I$6))),"x",""))</f>
        <v/>
      </c>
      <c r="U396" s="75" t="str">
        <f>IF(ISERROR(FIND('112'!$M$9,G396,1)),"",IF((AND(LEFT(G396,2)=LEFT('112'!$M$9,2),B396&lt;'112'!$K$9,$N396='112'!$I$6)),"x",""))</f>
        <v/>
      </c>
      <c r="V396" s="75" t="str">
        <f>IF(ISERROR(FIND('112'!$M$9,G396,1)),"",IF((AND(RIGHT(G396,2)=RIGHT('112'!$M$9,2),B396&lt;'112'!$K$9,$O396='112'!$I$6)),"x",""))</f>
        <v/>
      </c>
      <c r="W396" s="75" t="str">
        <f>IF(AND('341-CT'!$H$9=H396,OR(LEFT(N396,3)=$W$7,LEFT(O396,3)=$W$7)),"x","")</f>
        <v/>
      </c>
      <c r="X396" s="75" t="str">
        <f>IF(OR(TH!N396=TH!$X$7,O396=TH!$X$7),"x","")</f>
        <v/>
      </c>
      <c r="Y396" s="75" t="str">
        <f>IF(AND(OR(N396="131",O396="131"),H396='131-CT'!$H$9),"x","")</f>
        <v/>
      </c>
      <c r="Z396" s="75"/>
      <c r="AA396" s="75" t="str">
        <f>IF(AND(MONTH(E396)='IN-NX'!$J$5,'IN-NX'!$D$7=D396),"x","")</f>
        <v/>
      </c>
      <c r="AB396" s="75" t="str">
        <f>IF(AND(OR(LEFT(TH!N396,2)="15",LEFT(TH!O396,2)="15"),LEFT(TH!O396,3)&lt;&gt;"111",'152-CT'!$J$8=TH!F396),"x","")</f>
        <v/>
      </c>
      <c r="AC396" s="75" t="str">
        <f>IF(AND(OR(LEFT(TH!N396,2)="15",LEFT(TH!O396,2)="15"),TK!$E$7=TH!F396),"x","")</f>
        <v/>
      </c>
      <c r="AD396" s="75" t="str">
        <f>IF(AND(N396="1521",MONTH(C396)='BK-NL'!$M$11),"x","")</f>
        <v/>
      </c>
    </row>
    <row r="397" spans="1:30" ht="16.5" customHeight="1">
      <c r="A397" s="309" t="str">
        <f>IF(B397&lt;&gt;"",IF(AND(B397='IN-TC'!$S$4,OR(TH!N397="1111",TH!O397="1111")),TH!D397,""),"")</f>
        <v/>
      </c>
      <c r="B397" s="1241">
        <f t="shared" si="64"/>
        <v>4</v>
      </c>
      <c r="C397" s="929">
        <v>42854</v>
      </c>
      <c r="D397" s="929" t="s">
        <v>530</v>
      </c>
      <c r="E397" s="929">
        <v>42851</v>
      </c>
      <c r="F397" s="930" t="s">
        <v>1281</v>
      </c>
      <c r="G397" s="931" t="s">
        <v>1425</v>
      </c>
      <c r="H397" s="735" t="s">
        <v>563</v>
      </c>
      <c r="I397" s="371"/>
      <c r="J397" s="932"/>
      <c r="K397" s="371"/>
      <c r="L397" s="377"/>
      <c r="M397" s="933">
        <v>28480300</v>
      </c>
      <c r="N397" s="934" t="s">
        <v>272</v>
      </c>
      <c r="O397" s="934" t="s">
        <v>8</v>
      </c>
      <c r="P397" s="75" t="str">
        <f>IF(AND('331-CT'!$E$7=TH!H397,OR(N397="331",O397="331")),"x","")</f>
        <v/>
      </c>
      <c r="Q397" s="75" t="str">
        <f>IF(AND(B397='111'!$L$11,OR($N397=$Q$7,$O397=$Q$7)),"x","")</f>
        <v/>
      </c>
      <c r="R397" s="75" t="str">
        <f>IF(AND($N397=$Q$7,$B397&lt;'111'!$L$11),"x","")</f>
        <v/>
      </c>
      <c r="S397" s="75" t="str">
        <f>IF(AND($O397=$Q$7,$B397&lt;'111'!$L$11),"x","")</f>
        <v/>
      </c>
      <c r="T397" s="75" t="str">
        <f>IF(ISERROR(FIND('112'!$M$9,G397,1)),"",IF((AND(FIND('112'!$M$9,G397,1)&gt;=1,B397='112'!$K$9,OR($N397='112'!$I$6,$O397='112'!$I$6))),"x",""))</f>
        <v/>
      </c>
      <c r="U397" s="75" t="str">
        <f>IF(ISERROR(FIND('112'!$M$9,G397,1)),"",IF((AND(LEFT(G397,2)=LEFT('112'!$M$9,2),B397&lt;'112'!$K$9,$N397='112'!$I$6)),"x",""))</f>
        <v/>
      </c>
      <c r="V397" s="75" t="str">
        <f>IF(ISERROR(FIND('112'!$M$9,G397,1)),"",IF((AND(RIGHT(G397,2)=RIGHT('112'!$M$9,2),B397&lt;'112'!$K$9,$O397='112'!$I$6)),"x",""))</f>
        <v/>
      </c>
      <c r="W397" s="75" t="str">
        <f>IF(AND('341-CT'!$H$9=H397,OR(LEFT(N397,3)=$W$7,LEFT(O397,3)=$W$7)),"x","")</f>
        <v/>
      </c>
      <c r="X397" s="75" t="str">
        <f>IF(OR(TH!N397=TH!$X$7,O397=TH!$X$7),"x","")</f>
        <v/>
      </c>
      <c r="Y397" s="75" t="str">
        <f>IF(AND(OR(N397="131",O397="131"),H397='131-CT'!$H$9),"x","")</f>
        <v/>
      </c>
      <c r="Z397" s="75"/>
      <c r="AA397" s="75" t="str">
        <f>IF(AND(MONTH(E397)='IN-NX'!$J$5,'IN-NX'!$D$7=D397),"x","")</f>
        <v/>
      </c>
      <c r="AB397" s="75" t="str">
        <f>IF(AND(OR(LEFT(TH!N397,2)="15",LEFT(TH!O397,2)="15"),LEFT(TH!O397,3)&lt;&gt;"111",'152-CT'!$J$8=TH!F397),"x","")</f>
        <v/>
      </c>
      <c r="AC397" s="75" t="str">
        <f>IF(AND(OR(LEFT(TH!N397,2)="15",LEFT(TH!O397,2)="15"),TK!$E$7=TH!F397),"x","")</f>
        <v/>
      </c>
      <c r="AD397" s="75" t="str">
        <f>IF(AND(N397="1521",MONTH(C397)='BK-NL'!$M$11),"x","")</f>
        <v/>
      </c>
    </row>
    <row r="398" spans="1:30" ht="16.5" customHeight="1">
      <c r="A398" s="309" t="str">
        <f>IF(B398&lt;&gt;"",IF(AND(B398='IN-TC'!$S$4,OR(TH!N398="1111",TH!O398="1111")),TH!D398,""),"")</f>
        <v/>
      </c>
      <c r="B398" s="1241">
        <f t="shared" si="64"/>
        <v>4</v>
      </c>
      <c r="C398" s="929">
        <v>42854</v>
      </c>
      <c r="D398" s="929" t="s">
        <v>530</v>
      </c>
      <c r="E398" s="929">
        <v>42851</v>
      </c>
      <c r="F398" s="930" t="s">
        <v>1282</v>
      </c>
      <c r="G398" s="931" t="s">
        <v>1425</v>
      </c>
      <c r="H398" s="735" t="s">
        <v>563</v>
      </c>
      <c r="I398" s="371"/>
      <c r="J398" s="932"/>
      <c r="K398" s="371"/>
      <c r="L398" s="377"/>
      <c r="M398" s="933">
        <v>2848030</v>
      </c>
      <c r="N398" s="934" t="s">
        <v>9</v>
      </c>
      <c r="O398" s="934" t="s">
        <v>8</v>
      </c>
      <c r="P398" s="75" t="str">
        <f>IF(AND('331-CT'!$E$7=TH!H398,OR(N398="331",O398="331")),"x","")</f>
        <v/>
      </c>
      <c r="Q398" s="75" t="str">
        <f>IF(AND(B398='111'!$L$11,OR($N398=$Q$7,$O398=$Q$7)),"x","")</f>
        <v/>
      </c>
      <c r="R398" s="75" t="str">
        <f>IF(AND($N398=$Q$7,$B398&lt;'111'!$L$11),"x","")</f>
        <v/>
      </c>
      <c r="S398" s="75" t="str">
        <f>IF(AND($O398=$Q$7,$B398&lt;'111'!$L$11),"x","")</f>
        <v/>
      </c>
      <c r="T398" s="75" t="str">
        <f>IF(ISERROR(FIND('112'!$M$9,G398,1)),"",IF((AND(FIND('112'!$M$9,G398,1)&gt;=1,B398='112'!$K$9,OR($N398='112'!$I$6,$O398='112'!$I$6))),"x",""))</f>
        <v/>
      </c>
      <c r="U398" s="75" t="str">
        <f>IF(ISERROR(FIND('112'!$M$9,G398,1)),"",IF((AND(LEFT(G398,2)=LEFT('112'!$M$9,2),B398&lt;'112'!$K$9,$N398='112'!$I$6)),"x",""))</f>
        <v/>
      </c>
      <c r="V398" s="75" t="str">
        <f>IF(ISERROR(FIND('112'!$M$9,G398,1)),"",IF((AND(RIGHT(G398,2)=RIGHT('112'!$M$9,2),B398&lt;'112'!$K$9,$O398='112'!$I$6)),"x",""))</f>
        <v/>
      </c>
      <c r="W398" s="75" t="str">
        <f>IF(AND('341-CT'!$H$9=H398,OR(LEFT(N398,3)=$W$7,LEFT(O398,3)=$W$7)),"x","")</f>
        <v/>
      </c>
      <c r="X398" s="75" t="str">
        <f>IF(OR(TH!N398=TH!$X$7,O398=TH!$X$7),"x","")</f>
        <v/>
      </c>
      <c r="Y398" s="75" t="str">
        <f>IF(AND(OR(N398="131",O398="131"),H398='131-CT'!$H$9),"x","")</f>
        <v/>
      </c>
      <c r="Z398" s="75"/>
      <c r="AA398" s="75" t="str">
        <f>IF(AND(MONTH(E398)='IN-NX'!$J$5,'IN-NX'!$D$7=D398),"x","")</f>
        <v/>
      </c>
      <c r="AB398" s="75" t="str">
        <f>IF(AND(OR(LEFT(TH!N398,2)="15",LEFT(TH!O398,2)="15"),LEFT(TH!O398,3)&lt;&gt;"111",'152-CT'!$J$8=TH!F398),"x","")</f>
        <v/>
      </c>
      <c r="AC398" s="75" t="str">
        <f>IF(AND(OR(LEFT(TH!N398,2)="15",LEFT(TH!O398,2)="15"),TK!$E$7=TH!F398),"x","")</f>
        <v/>
      </c>
      <c r="AD398" s="75" t="str">
        <f>IF(AND(N398="1521",MONTH(C398)='BK-NL'!$M$11),"x","")</f>
        <v/>
      </c>
    </row>
    <row r="399" spans="1:30" ht="16.5" customHeight="1">
      <c r="A399" s="309" t="str">
        <f>IF(B399&lt;&gt;"",IF(AND(B399='IN-TC'!$S$4,OR(TH!N399="1111",TH!O399="1111")),TH!D399,""),"")</f>
        <v/>
      </c>
      <c r="B399" s="1241">
        <f t="shared" si="64"/>
        <v>4</v>
      </c>
      <c r="C399" s="929">
        <v>42854</v>
      </c>
      <c r="D399" s="929" t="s">
        <v>530</v>
      </c>
      <c r="E399" s="929">
        <v>42734</v>
      </c>
      <c r="F399" s="930" t="s">
        <v>1322</v>
      </c>
      <c r="G399" s="931" t="s">
        <v>1324</v>
      </c>
      <c r="H399" s="735" t="s">
        <v>739</v>
      </c>
      <c r="I399" s="371"/>
      <c r="J399" s="932"/>
      <c r="K399" s="371"/>
      <c r="L399" s="377"/>
      <c r="M399" s="933">
        <v>8341896</v>
      </c>
      <c r="N399" s="934" t="s">
        <v>539</v>
      </c>
      <c r="O399" s="934" t="s">
        <v>8</v>
      </c>
      <c r="P399" s="75" t="str">
        <f>IF(AND('331-CT'!$E$7=TH!H399,OR(N399="331",O399="331")),"x","")</f>
        <v/>
      </c>
      <c r="Q399" s="75" t="str">
        <f>IF(AND(B399='111'!$L$11,OR($N399=$Q$7,$O399=$Q$7)),"x","")</f>
        <v/>
      </c>
      <c r="R399" s="75" t="str">
        <f>IF(AND($N399=$Q$7,$B399&lt;'111'!$L$11),"x","")</f>
        <v/>
      </c>
      <c r="S399" s="75" t="str">
        <f>IF(AND($O399=$Q$7,$B399&lt;'111'!$L$11),"x","")</f>
        <v/>
      </c>
      <c r="T399" s="75" t="str">
        <f>IF(ISERROR(FIND('112'!$M$9,G399,1)),"",IF((AND(FIND('112'!$M$9,G399,1)&gt;=1,B399='112'!$K$9,OR($N399='112'!$I$6,$O399='112'!$I$6))),"x",""))</f>
        <v/>
      </c>
      <c r="U399" s="75" t="str">
        <f>IF(ISERROR(FIND('112'!$M$9,G399,1)),"",IF((AND(LEFT(G399,2)=LEFT('112'!$M$9,2),B399&lt;'112'!$K$9,$N399='112'!$I$6)),"x",""))</f>
        <v/>
      </c>
      <c r="V399" s="75" t="str">
        <f>IF(ISERROR(FIND('112'!$M$9,G399,1)),"",IF((AND(RIGHT(G399,2)=RIGHT('112'!$M$9,2),B399&lt;'112'!$K$9,$O399='112'!$I$6)),"x",""))</f>
        <v/>
      </c>
      <c r="W399" s="75" t="str">
        <f>IF(AND('341-CT'!$H$9=H399,OR(LEFT(N399,3)=$W$7,LEFT(O399,3)=$W$7)),"x","")</f>
        <v/>
      </c>
      <c r="X399" s="75" t="str">
        <f>IF(OR(TH!N399=TH!$X$7,O399=TH!$X$7),"x","")</f>
        <v/>
      </c>
      <c r="Y399" s="75" t="str">
        <f>IF(AND(OR(N399="131",O399="131"),H399='131-CT'!$H$9),"x","")</f>
        <v/>
      </c>
      <c r="Z399" s="75"/>
      <c r="AA399" s="75" t="str">
        <f>IF(AND(MONTH(E399)='IN-NX'!$J$5,'IN-NX'!$D$7=D399),"x","")</f>
        <v/>
      </c>
      <c r="AB399" s="75" t="str">
        <f>IF(AND(OR(LEFT(TH!N399,2)="15",LEFT(TH!O399,2)="15"),LEFT(TH!O399,3)&lt;&gt;"111",'152-CT'!$J$8=TH!F399),"x","")</f>
        <v/>
      </c>
      <c r="AC399" s="75" t="str">
        <f>IF(AND(OR(LEFT(TH!N399,2)="15",LEFT(TH!O399,2)="15"),TK!$E$7=TH!F399),"x","")</f>
        <v/>
      </c>
      <c r="AD399" s="75" t="str">
        <f>IF(AND(N399="1521",MONTH(C399)='BK-NL'!$M$11),"x","")</f>
        <v/>
      </c>
    </row>
    <row r="400" spans="1:30" ht="16.5" customHeight="1">
      <c r="A400" s="309" t="str">
        <f>IF(B400&lt;&gt;"",IF(AND(B400='IN-TC'!$S$4,OR(TH!N400="1111",TH!O400="1111")),TH!D400,""),"")</f>
        <v/>
      </c>
      <c r="B400" s="1241">
        <f t="shared" si="64"/>
        <v>4</v>
      </c>
      <c r="C400" s="929">
        <v>42854</v>
      </c>
      <c r="D400" s="929" t="s">
        <v>530</v>
      </c>
      <c r="E400" s="929">
        <v>42734</v>
      </c>
      <c r="F400" s="930" t="s">
        <v>1323</v>
      </c>
      <c r="G400" s="931" t="s">
        <v>1324</v>
      </c>
      <c r="H400" s="735" t="s">
        <v>739</v>
      </c>
      <c r="I400" s="371"/>
      <c r="J400" s="932"/>
      <c r="K400" s="371"/>
      <c r="L400" s="377"/>
      <c r="M400" s="933">
        <v>548195</v>
      </c>
      <c r="N400" s="934" t="s">
        <v>9</v>
      </c>
      <c r="O400" s="934" t="s">
        <v>8</v>
      </c>
      <c r="P400" s="75" t="str">
        <f>IF(AND('331-CT'!$E$7=TH!H400,OR(N400="331",O400="331")),"x","")</f>
        <v/>
      </c>
      <c r="Q400" s="75" t="str">
        <f>IF(AND(B400='111'!$L$11,OR($N400=$Q$7,$O400=$Q$7)),"x","")</f>
        <v/>
      </c>
      <c r="R400" s="75" t="str">
        <f>IF(AND($N400=$Q$7,$B400&lt;'111'!$L$11),"x","")</f>
        <v/>
      </c>
      <c r="S400" s="75" t="str">
        <f>IF(AND($O400=$Q$7,$B400&lt;'111'!$L$11),"x","")</f>
        <v/>
      </c>
      <c r="T400" s="75" t="str">
        <f>IF(ISERROR(FIND('112'!$M$9,G400,1)),"",IF((AND(FIND('112'!$M$9,G400,1)&gt;=1,B400='112'!$K$9,OR($N400='112'!$I$6,$O400='112'!$I$6))),"x",""))</f>
        <v/>
      </c>
      <c r="U400" s="75" t="str">
        <f>IF(ISERROR(FIND('112'!$M$9,G400,1)),"",IF((AND(LEFT(G400,2)=LEFT('112'!$M$9,2),B400&lt;'112'!$K$9,$N400='112'!$I$6)),"x",""))</f>
        <v/>
      </c>
      <c r="V400" s="75" t="str">
        <f>IF(ISERROR(FIND('112'!$M$9,G400,1)),"",IF((AND(RIGHT(G400,2)=RIGHT('112'!$M$9,2),B400&lt;'112'!$K$9,$O400='112'!$I$6)),"x",""))</f>
        <v/>
      </c>
      <c r="W400" s="75" t="str">
        <f>IF(AND('341-CT'!$H$9=H400,OR(LEFT(N400,3)=$W$7,LEFT(O400,3)=$W$7)),"x","")</f>
        <v/>
      </c>
      <c r="X400" s="75" t="str">
        <f>IF(OR(TH!N400=TH!$X$7,O400=TH!$X$7),"x","")</f>
        <v/>
      </c>
      <c r="Y400" s="75" t="str">
        <f>IF(AND(OR(N400="131",O400="131"),H400='131-CT'!$H$9),"x","")</f>
        <v/>
      </c>
      <c r="Z400" s="75"/>
      <c r="AA400" s="75" t="str">
        <f>IF(AND(MONTH(E400)='IN-NX'!$J$5,'IN-NX'!$D$7=D400),"x","")</f>
        <v/>
      </c>
      <c r="AB400" s="75" t="str">
        <f>IF(AND(OR(LEFT(TH!N400,2)="15",LEFT(TH!O400,2)="15"),LEFT(TH!O400,3)&lt;&gt;"111",'152-CT'!$J$8=TH!F400),"x","")</f>
        <v/>
      </c>
      <c r="AC400" s="75" t="str">
        <f>IF(AND(OR(LEFT(TH!N400,2)="15",LEFT(TH!O400,2)="15"),TK!$E$7=TH!F400),"x","")</f>
        <v/>
      </c>
      <c r="AD400" s="75" t="str">
        <f>IF(AND(N400="1521",MONTH(C400)='BK-NL'!$M$11),"x","")</f>
        <v/>
      </c>
    </row>
    <row r="401" spans="1:31" ht="16.5" customHeight="1">
      <c r="A401" s="309" t="str">
        <f>IF(B401&lt;&gt;"",IF(AND(B401='IN-TC'!$S$4,OR(TH!N401="1111",TH!O401="1111")),TH!D401,""),"")</f>
        <v/>
      </c>
      <c r="B401" s="1241">
        <f t="shared" si="64"/>
        <v>4</v>
      </c>
      <c r="C401" s="929">
        <v>42854</v>
      </c>
      <c r="D401" s="929" t="s">
        <v>530</v>
      </c>
      <c r="E401" s="929">
        <v>42773</v>
      </c>
      <c r="F401" s="930" t="s">
        <v>1322</v>
      </c>
      <c r="G401" s="931" t="s">
        <v>1325</v>
      </c>
      <c r="H401" s="735" t="s">
        <v>739</v>
      </c>
      <c r="I401" s="371"/>
      <c r="J401" s="932"/>
      <c r="K401" s="371"/>
      <c r="L401" s="377"/>
      <c r="M401" s="933">
        <v>8639036</v>
      </c>
      <c r="N401" s="934" t="s">
        <v>539</v>
      </c>
      <c r="O401" s="934" t="s">
        <v>8</v>
      </c>
      <c r="P401" s="75" t="str">
        <f>IF(AND('331-CT'!$E$7=TH!H401,OR(N401="331",O401="331")),"x","")</f>
        <v/>
      </c>
      <c r="Q401" s="75" t="str">
        <f>IF(AND(B401='111'!$L$11,OR($N401=$Q$7,$O401=$Q$7)),"x","")</f>
        <v/>
      </c>
      <c r="R401" s="75" t="str">
        <f>IF(AND($N401=$Q$7,$B401&lt;'111'!$L$11),"x","")</f>
        <v/>
      </c>
      <c r="S401" s="75" t="str">
        <f>IF(AND($O401=$Q$7,$B401&lt;'111'!$L$11),"x","")</f>
        <v/>
      </c>
      <c r="T401" s="75" t="str">
        <f>IF(ISERROR(FIND('112'!$M$9,G401,1)),"",IF((AND(FIND('112'!$M$9,G401,1)&gt;=1,B401='112'!$K$9,OR($N401='112'!$I$6,$O401='112'!$I$6))),"x",""))</f>
        <v/>
      </c>
      <c r="U401" s="75" t="str">
        <f>IF(ISERROR(FIND('112'!$M$9,G401,1)),"",IF((AND(LEFT(G401,2)=LEFT('112'!$M$9,2),B401&lt;'112'!$K$9,$N401='112'!$I$6)),"x",""))</f>
        <v/>
      </c>
      <c r="V401" s="75" t="str">
        <f>IF(ISERROR(FIND('112'!$M$9,G401,1)),"",IF((AND(RIGHT(G401,2)=RIGHT('112'!$M$9,2),B401&lt;'112'!$K$9,$O401='112'!$I$6)),"x",""))</f>
        <v/>
      </c>
      <c r="W401" s="75" t="str">
        <f>IF(AND('341-CT'!$H$9=H401,OR(LEFT(N401,3)=$W$7,LEFT(O401,3)=$W$7)),"x","")</f>
        <v/>
      </c>
      <c r="X401" s="75" t="str">
        <f>IF(OR(TH!N401=TH!$X$7,O401=TH!$X$7),"x","")</f>
        <v/>
      </c>
      <c r="Y401" s="75" t="str">
        <f>IF(AND(OR(N401="131",O401="131"),H401='131-CT'!$H$9),"x","")</f>
        <v/>
      </c>
      <c r="Z401" s="75"/>
      <c r="AA401" s="75" t="str">
        <f>IF(AND(MONTH(E401)='IN-NX'!$J$5,'IN-NX'!$D$7=D401),"x","")</f>
        <v/>
      </c>
      <c r="AB401" s="75" t="str">
        <f>IF(AND(OR(LEFT(TH!N401,2)="15",LEFT(TH!O401,2)="15"),LEFT(TH!O401,3)&lt;&gt;"111",'152-CT'!$J$8=TH!F401),"x","")</f>
        <v/>
      </c>
      <c r="AC401" s="75" t="str">
        <f>IF(AND(OR(LEFT(TH!N401,2)="15",LEFT(TH!O401,2)="15"),TK!$E$7=TH!F401),"x","")</f>
        <v/>
      </c>
      <c r="AD401" s="75" t="str">
        <f>IF(AND(N401="1521",MONTH(C401)='BK-NL'!$M$11),"x","")</f>
        <v/>
      </c>
    </row>
    <row r="402" spans="1:31" ht="16.5" customHeight="1">
      <c r="A402" s="309" t="str">
        <f>IF(B402&lt;&gt;"",IF(AND(B402='IN-TC'!$S$4,OR(TH!N402="1111",TH!O402="1111")),TH!D402,""),"")</f>
        <v/>
      </c>
      <c r="B402" s="1241">
        <f t="shared" si="64"/>
        <v>4</v>
      </c>
      <c r="C402" s="929">
        <v>42854</v>
      </c>
      <c r="D402" s="929" t="s">
        <v>530</v>
      </c>
      <c r="E402" s="929">
        <v>42773</v>
      </c>
      <c r="F402" s="930" t="s">
        <v>1323</v>
      </c>
      <c r="G402" s="931" t="s">
        <v>1325</v>
      </c>
      <c r="H402" s="735" t="s">
        <v>739</v>
      </c>
      <c r="I402" s="371"/>
      <c r="J402" s="932"/>
      <c r="K402" s="371"/>
      <c r="L402" s="377"/>
      <c r="M402" s="933">
        <v>562189</v>
      </c>
      <c r="N402" s="934" t="s">
        <v>9</v>
      </c>
      <c r="O402" s="934" t="s">
        <v>8</v>
      </c>
      <c r="P402" s="75" t="str">
        <f>IF(AND('331-CT'!$E$7=TH!H402,OR(N402="331",O402="331")),"x","")</f>
        <v/>
      </c>
      <c r="Q402" s="75" t="str">
        <f>IF(AND(B402='111'!$L$11,OR($N402=$Q$7,$O402=$Q$7)),"x","")</f>
        <v/>
      </c>
      <c r="R402" s="75" t="str">
        <f>IF(AND($N402=$Q$7,$B402&lt;'111'!$L$11),"x","")</f>
        <v/>
      </c>
      <c r="S402" s="75" t="str">
        <f>IF(AND($O402=$Q$7,$B402&lt;'111'!$L$11),"x","")</f>
        <v/>
      </c>
      <c r="T402" s="75" t="str">
        <f>IF(ISERROR(FIND('112'!$M$9,G402,1)),"",IF((AND(FIND('112'!$M$9,G402,1)&gt;=1,B402='112'!$K$9,OR($N402='112'!$I$6,$O402='112'!$I$6))),"x",""))</f>
        <v/>
      </c>
      <c r="U402" s="75" t="str">
        <f>IF(ISERROR(FIND('112'!$M$9,G402,1)),"",IF((AND(LEFT(G402,2)=LEFT('112'!$M$9,2),B402&lt;'112'!$K$9,$N402='112'!$I$6)),"x",""))</f>
        <v/>
      </c>
      <c r="V402" s="75" t="str">
        <f>IF(ISERROR(FIND('112'!$M$9,G402,1)),"",IF((AND(RIGHT(G402,2)=RIGHT('112'!$M$9,2),B402&lt;'112'!$K$9,$O402='112'!$I$6)),"x",""))</f>
        <v/>
      </c>
      <c r="W402" s="75" t="str">
        <f>IF(AND('341-CT'!$H$9=H402,OR(LEFT(N402,3)=$W$7,LEFT(O402,3)=$W$7)),"x","")</f>
        <v/>
      </c>
      <c r="X402" s="75" t="str">
        <f>IF(OR(TH!N402=TH!$X$7,O402=TH!$X$7),"x","")</f>
        <v/>
      </c>
      <c r="Y402" s="75" t="str">
        <f>IF(AND(OR(N402="131",O402="131"),H402='131-CT'!$H$9),"x","")</f>
        <v/>
      </c>
      <c r="Z402" s="75"/>
      <c r="AA402" s="75" t="str">
        <f>IF(AND(MONTH(E402)='IN-NX'!$J$5,'IN-NX'!$D$7=D402),"x","")</f>
        <v/>
      </c>
      <c r="AB402" s="75" t="str">
        <f>IF(AND(OR(LEFT(TH!N402,2)="15",LEFT(TH!O402,2)="15"),LEFT(TH!O402,3)&lt;&gt;"111",'152-CT'!$J$8=TH!F402),"x","")</f>
        <v/>
      </c>
      <c r="AC402" s="75" t="str">
        <f>IF(AND(OR(LEFT(TH!N402,2)="15",LEFT(TH!O402,2)="15"),TK!$E$7=TH!F402),"x","")</f>
        <v/>
      </c>
      <c r="AD402" s="75" t="str">
        <f>IF(AND(N402="1521",MONTH(C402)='BK-NL'!$M$11),"x","")</f>
        <v/>
      </c>
    </row>
    <row r="403" spans="1:31" ht="16.5" customHeight="1">
      <c r="A403" s="309" t="str">
        <f>IF(B403&lt;&gt;"",IF(AND(B403='IN-TC'!$S$4,OR(TH!N403="1111",TH!O403="1111")),TH!D403,""),"")</f>
        <v/>
      </c>
      <c r="B403" s="1241">
        <f t="shared" si="64"/>
        <v>4</v>
      </c>
      <c r="C403" s="929">
        <v>42844</v>
      </c>
      <c r="D403" s="929" t="s">
        <v>530</v>
      </c>
      <c r="E403" s="929">
        <v>42844</v>
      </c>
      <c r="F403" s="930" t="s">
        <v>994</v>
      </c>
      <c r="G403" s="931" t="s">
        <v>1370</v>
      </c>
      <c r="H403" s="735" t="s">
        <v>623</v>
      </c>
      <c r="I403" s="371">
        <v>52780</v>
      </c>
      <c r="J403" s="932">
        <v>10000</v>
      </c>
      <c r="K403" s="371"/>
      <c r="L403" s="377"/>
      <c r="M403" s="933">
        <f t="shared" ref="M403" si="65">ROUND(I403*J403,0)</f>
        <v>527800000</v>
      </c>
      <c r="N403" s="934" t="s">
        <v>272</v>
      </c>
      <c r="O403" s="934" t="s">
        <v>8</v>
      </c>
      <c r="P403" s="75" t="str">
        <f>IF(AND('331-CT'!$E$7=TH!H403,OR(N403="331",O403="331")),"x","")</f>
        <v/>
      </c>
      <c r="Q403" s="75" t="str">
        <f>IF(AND(B403='111'!$L$11,OR($N403=$Q$7,$O403=$Q$7)),"x","")</f>
        <v/>
      </c>
      <c r="R403" s="75" t="str">
        <f>IF(AND($N403=$Q$7,$B403&lt;'111'!$L$11),"x","")</f>
        <v/>
      </c>
      <c r="S403" s="75" t="str">
        <f>IF(AND($O403=$Q$7,$B403&lt;'111'!$L$11),"x","")</f>
        <v/>
      </c>
      <c r="T403" s="75" t="str">
        <f>IF(ISERROR(FIND('112'!$M$9,G403,1)),"",IF((AND(FIND('112'!$M$9,G403,1)&gt;=1,B403='112'!$K$9,OR($N403='112'!$I$6,$O403='112'!$I$6))),"x",""))</f>
        <v/>
      </c>
      <c r="U403" s="75" t="str">
        <f>IF(ISERROR(FIND('112'!$M$9,G403,1)),"",IF((AND(LEFT(G403,2)=LEFT('112'!$M$9,2),B403&lt;'112'!$K$9,$N403='112'!$I$6)),"x",""))</f>
        <v/>
      </c>
      <c r="V403" s="75" t="str">
        <f>IF(ISERROR(FIND('112'!$M$9,G403,1)),"",IF((AND(RIGHT(G403,2)=RIGHT('112'!$M$9,2),B403&lt;'112'!$K$9,$O403='112'!$I$6)),"x",""))</f>
        <v/>
      </c>
      <c r="W403" s="75" t="str">
        <f>IF(AND('341-CT'!$H$9=H403,OR(LEFT(N403,3)=$W$7,LEFT(O403,3)=$W$7)),"x","")</f>
        <v/>
      </c>
      <c r="X403" s="75" t="str">
        <f>IF(OR(TH!N403=TH!$X$7,O403=TH!$X$7),"x","")</f>
        <v/>
      </c>
      <c r="Y403" s="75" t="str">
        <f>IF(AND(OR(N403="131",O403="131"),H403='131-CT'!$H$9),"x","")</f>
        <v/>
      </c>
      <c r="Z403" s="75"/>
      <c r="AA403" s="75" t="str">
        <f>IF(AND(MONTH(E403)='IN-NX'!$J$5,'IN-NX'!$D$7=D403),"x","")</f>
        <v/>
      </c>
      <c r="AB403" s="75" t="str">
        <f>IF(AND(OR(LEFT(TH!N403,2)="15",LEFT(TH!O403,2)="15"),LEFT(TH!O403,3)&lt;&gt;"111",'152-CT'!$J$8=TH!F403),"x","")</f>
        <v/>
      </c>
      <c r="AC403" s="75" t="str">
        <f>IF(AND(OR(LEFT(TH!N403,2)="15",LEFT(TH!O403,2)="15"),TK!$E$7=TH!F403),"x","")</f>
        <v/>
      </c>
      <c r="AD403" s="75" t="str">
        <f>IF(AND(N403="1521",MONTH(C403)='BK-NL'!$M$11),"x","")</f>
        <v/>
      </c>
    </row>
    <row r="404" spans="1:31" ht="16.5" customHeight="1">
      <c r="A404" s="309" t="str">
        <f>IF(B404&lt;&gt;"",IF(AND(B404='IN-TC'!$S$4,OR(TH!N404="1111",TH!O404="1111")),TH!D404,""),"")</f>
        <v/>
      </c>
      <c r="B404" s="1241">
        <f t="shared" si="64"/>
        <v>4</v>
      </c>
      <c r="C404" s="929">
        <v>42844</v>
      </c>
      <c r="D404" s="929" t="s">
        <v>530</v>
      </c>
      <c r="E404" s="929">
        <v>42844</v>
      </c>
      <c r="F404" s="930" t="s">
        <v>995</v>
      </c>
      <c r="G404" s="931" t="s">
        <v>1370</v>
      </c>
      <c r="H404" s="735" t="s">
        <v>623</v>
      </c>
      <c r="I404" s="371"/>
      <c r="J404" s="932"/>
      <c r="K404" s="371"/>
      <c r="L404" s="377"/>
      <c r="M404" s="933">
        <v>52780000</v>
      </c>
      <c r="N404" s="934" t="s">
        <v>9</v>
      </c>
      <c r="O404" s="934" t="s">
        <v>8</v>
      </c>
      <c r="P404" s="75" t="str">
        <f>IF(AND('331-CT'!$E$7=TH!H404,OR(N404="331",O404="331")),"x","")</f>
        <v/>
      </c>
      <c r="Q404" s="75" t="str">
        <f>IF(AND(B404='111'!$L$11,OR($N404=$Q$7,$O404=$Q$7)),"x","")</f>
        <v/>
      </c>
      <c r="R404" s="75" t="str">
        <f>IF(AND($N404=$Q$7,$B404&lt;'111'!$L$11),"x","")</f>
        <v/>
      </c>
      <c r="S404" s="75" t="str">
        <f>IF(AND($O404=$Q$7,$B404&lt;'111'!$L$11),"x","")</f>
        <v/>
      </c>
      <c r="T404" s="75" t="str">
        <f>IF(ISERROR(FIND('112'!$M$9,G404,1)),"",IF((AND(FIND('112'!$M$9,G404,1)&gt;=1,B404='112'!$K$9,OR($N404='112'!$I$6,$O404='112'!$I$6))),"x",""))</f>
        <v/>
      </c>
      <c r="U404" s="75" t="str">
        <f>IF(ISERROR(FIND('112'!$M$9,G404,1)),"",IF((AND(LEFT(G404,2)=LEFT('112'!$M$9,2),B404&lt;'112'!$K$9,$N404='112'!$I$6)),"x",""))</f>
        <v/>
      </c>
      <c r="V404" s="75" t="str">
        <f>IF(ISERROR(FIND('112'!$M$9,G404,1)),"",IF((AND(RIGHT(G404,2)=RIGHT('112'!$M$9,2),B404&lt;'112'!$K$9,$O404='112'!$I$6)),"x",""))</f>
        <v/>
      </c>
      <c r="W404" s="75" t="str">
        <f>IF(AND('341-CT'!$H$9=H404,OR(LEFT(N404,3)=$W$7,LEFT(O404,3)=$W$7)),"x","")</f>
        <v/>
      </c>
      <c r="X404" s="75" t="str">
        <f>IF(OR(TH!N404=TH!$X$7,O404=TH!$X$7),"x","")</f>
        <v/>
      </c>
      <c r="Y404" s="75" t="str">
        <f>IF(AND(OR(N404="131",O404="131"),H404='131-CT'!$H$9),"x","")</f>
        <v/>
      </c>
      <c r="Z404" s="75"/>
      <c r="AA404" s="75" t="str">
        <f>IF(AND(MONTH(E404)='IN-NX'!$J$5,'IN-NX'!$D$7=D404),"x","")</f>
        <v/>
      </c>
      <c r="AB404" s="75" t="str">
        <f>IF(AND(OR(LEFT(TH!N404,2)="15",LEFT(TH!O404,2)="15"),LEFT(TH!O404,3)&lt;&gt;"111",'152-CT'!$J$8=TH!F404),"x","")</f>
        <v/>
      </c>
      <c r="AC404" s="75" t="str">
        <f>IF(AND(OR(LEFT(TH!N404,2)="15",LEFT(TH!O404,2)="15"),TK!$E$7=TH!F404),"x","")</f>
        <v/>
      </c>
      <c r="AD404" s="75" t="str">
        <f>IF(AND(N404="1521",MONTH(C404)='BK-NL'!$M$11),"x","")</f>
        <v/>
      </c>
    </row>
    <row r="405" spans="1:31" ht="16.5" customHeight="1">
      <c r="A405" s="309" t="str">
        <f>IF(B405&lt;&gt;"",IF(AND(B405='IN-TC'!$S$4,OR(TH!N405="1111",TH!O405="1111")),TH!D405,""),"")</f>
        <v/>
      </c>
      <c r="B405" s="1241">
        <f t="shared" si="64"/>
        <v>4</v>
      </c>
      <c r="C405" s="929">
        <v>42845</v>
      </c>
      <c r="D405" s="929" t="s">
        <v>530</v>
      </c>
      <c r="E405" s="929">
        <v>42845</v>
      </c>
      <c r="F405" s="930" t="s">
        <v>994</v>
      </c>
      <c r="G405" s="931" t="s">
        <v>1371</v>
      </c>
      <c r="H405" s="735" t="s">
        <v>623</v>
      </c>
      <c r="I405" s="371">
        <v>52780</v>
      </c>
      <c r="J405" s="932">
        <v>10000</v>
      </c>
      <c r="K405" s="371"/>
      <c r="L405" s="377"/>
      <c r="M405" s="933">
        <f t="shared" ref="M405" si="66">ROUND(I405*J405,0)</f>
        <v>527800000</v>
      </c>
      <c r="N405" s="934" t="s">
        <v>272</v>
      </c>
      <c r="O405" s="934" t="s">
        <v>8</v>
      </c>
      <c r="P405" s="75" t="str">
        <f>IF(AND('331-CT'!$E$7=TH!H405,OR(N405="331",O405="331")),"x","")</f>
        <v/>
      </c>
      <c r="Q405" s="75" t="str">
        <f>IF(AND(B405='111'!$L$11,OR($N405=$Q$7,$O405=$Q$7)),"x","")</f>
        <v/>
      </c>
      <c r="R405" s="75" t="str">
        <f>IF(AND($N405=$Q$7,$B405&lt;'111'!$L$11),"x","")</f>
        <v/>
      </c>
      <c r="S405" s="75" t="str">
        <f>IF(AND($O405=$Q$7,$B405&lt;'111'!$L$11),"x","")</f>
        <v/>
      </c>
      <c r="T405" s="75" t="str">
        <f>IF(ISERROR(FIND('112'!$M$9,G405,1)),"",IF((AND(FIND('112'!$M$9,G405,1)&gt;=1,B405='112'!$K$9,OR($N405='112'!$I$6,$O405='112'!$I$6))),"x",""))</f>
        <v/>
      </c>
      <c r="U405" s="75" t="str">
        <f>IF(ISERROR(FIND('112'!$M$9,G405,1)),"",IF((AND(LEFT(G405,2)=LEFT('112'!$M$9,2),B405&lt;'112'!$K$9,$N405='112'!$I$6)),"x",""))</f>
        <v/>
      </c>
      <c r="V405" s="75" t="str">
        <f>IF(ISERROR(FIND('112'!$M$9,G405,1)),"",IF((AND(RIGHT(G405,2)=RIGHT('112'!$M$9,2),B405&lt;'112'!$K$9,$O405='112'!$I$6)),"x",""))</f>
        <v/>
      </c>
      <c r="W405" s="75" t="str">
        <f>IF(AND('341-CT'!$H$9=H405,OR(LEFT(N405,3)=$W$7,LEFT(O405,3)=$W$7)),"x","")</f>
        <v/>
      </c>
      <c r="X405" s="75" t="str">
        <f>IF(OR(TH!N405=TH!$X$7,O405=TH!$X$7),"x","")</f>
        <v/>
      </c>
      <c r="Y405" s="75" t="str">
        <f>IF(AND(OR(N405="131",O405="131"),H405='131-CT'!$H$9),"x","")</f>
        <v/>
      </c>
      <c r="Z405" s="75"/>
      <c r="AA405" s="75" t="str">
        <f>IF(AND(MONTH(E405)='IN-NX'!$J$5,'IN-NX'!$D$7=D405),"x","")</f>
        <v/>
      </c>
      <c r="AB405" s="75" t="str">
        <f>IF(AND(OR(LEFT(TH!N405,2)="15",LEFT(TH!O405,2)="15"),LEFT(TH!O405,3)&lt;&gt;"111",'152-CT'!$J$8=TH!F405),"x","")</f>
        <v/>
      </c>
      <c r="AC405" s="75" t="str">
        <f>IF(AND(OR(LEFT(TH!N405,2)="15",LEFT(TH!O405,2)="15"),TK!$E$7=TH!F405),"x","")</f>
        <v/>
      </c>
      <c r="AD405" s="75" t="str">
        <f>IF(AND(N405="1521",MONTH(C405)='BK-NL'!$M$11),"x","")</f>
        <v/>
      </c>
    </row>
    <row r="406" spans="1:31" ht="16.5" customHeight="1">
      <c r="A406" s="309" t="str">
        <f>IF(B406&lt;&gt;"",IF(AND(B406='IN-TC'!$S$4,OR(TH!N406="1111",TH!O406="1111")),TH!D406,""),"")</f>
        <v/>
      </c>
      <c r="B406" s="1241">
        <f t="shared" si="64"/>
        <v>4</v>
      </c>
      <c r="C406" s="929">
        <v>42845</v>
      </c>
      <c r="D406" s="929" t="s">
        <v>530</v>
      </c>
      <c r="E406" s="929">
        <v>42845</v>
      </c>
      <c r="F406" s="930" t="s">
        <v>995</v>
      </c>
      <c r="G406" s="931" t="s">
        <v>1371</v>
      </c>
      <c r="H406" s="735" t="s">
        <v>623</v>
      </c>
      <c r="I406" s="371"/>
      <c r="J406" s="932"/>
      <c r="K406" s="371"/>
      <c r="L406" s="377"/>
      <c r="M406" s="933">
        <v>52780000</v>
      </c>
      <c r="N406" s="934" t="s">
        <v>9</v>
      </c>
      <c r="O406" s="934" t="s">
        <v>8</v>
      </c>
      <c r="P406" s="75" t="str">
        <f>IF(AND('331-CT'!$E$7=TH!H406,OR(N406="331",O406="331")),"x","")</f>
        <v/>
      </c>
      <c r="Q406" s="75" t="str">
        <f>IF(AND(B406='111'!$L$11,OR($N406=$Q$7,$O406=$Q$7)),"x","")</f>
        <v/>
      </c>
      <c r="R406" s="75" t="str">
        <f>IF(AND($N406=$Q$7,$B406&lt;'111'!$L$11),"x","")</f>
        <v/>
      </c>
      <c r="S406" s="75" t="str">
        <f>IF(AND($O406=$Q$7,$B406&lt;'111'!$L$11),"x","")</f>
        <v/>
      </c>
      <c r="T406" s="75" t="str">
        <f>IF(ISERROR(FIND('112'!$M$9,G406,1)),"",IF((AND(FIND('112'!$M$9,G406,1)&gt;=1,B406='112'!$K$9,OR($N406='112'!$I$6,$O406='112'!$I$6))),"x",""))</f>
        <v/>
      </c>
      <c r="U406" s="75" t="str">
        <f>IF(ISERROR(FIND('112'!$M$9,G406,1)),"",IF((AND(LEFT(G406,2)=LEFT('112'!$M$9,2),B406&lt;'112'!$K$9,$N406='112'!$I$6)),"x",""))</f>
        <v/>
      </c>
      <c r="V406" s="75" t="str">
        <f>IF(ISERROR(FIND('112'!$M$9,G406,1)),"",IF((AND(RIGHT(G406,2)=RIGHT('112'!$M$9,2),B406&lt;'112'!$K$9,$O406='112'!$I$6)),"x",""))</f>
        <v/>
      </c>
      <c r="W406" s="75" t="str">
        <f>IF(AND('341-CT'!$H$9=H406,OR(LEFT(N406,3)=$W$7,LEFT(O406,3)=$W$7)),"x","")</f>
        <v/>
      </c>
      <c r="X406" s="75" t="str">
        <f>IF(OR(TH!N406=TH!$X$7,O406=TH!$X$7),"x","")</f>
        <v/>
      </c>
      <c r="Y406" s="75" t="str">
        <f>IF(AND(OR(N406="131",O406="131"),H406='131-CT'!$H$9),"x","")</f>
        <v/>
      </c>
      <c r="Z406" s="75"/>
      <c r="AA406" s="75" t="str">
        <f>IF(AND(MONTH(E406)='IN-NX'!$J$5,'IN-NX'!$D$7=D406),"x","")</f>
        <v/>
      </c>
      <c r="AB406" s="75" t="str">
        <f>IF(AND(OR(LEFT(TH!N406,2)="15",LEFT(TH!O406,2)="15"),LEFT(TH!O406,3)&lt;&gt;"111",'152-CT'!$J$8=TH!F406),"x","")</f>
        <v/>
      </c>
      <c r="AC406" s="75" t="str">
        <f>IF(AND(OR(LEFT(TH!N406,2)="15",LEFT(TH!O406,2)="15"),TK!$E$7=TH!F406),"x","")</f>
        <v/>
      </c>
      <c r="AD406" s="75" t="str">
        <f>IF(AND(N406="1521",MONTH(C406)='BK-NL'!$M$11),"x","")</f>
        <v/>
      </c>
    </row>
    <row r="407" spans="1:31" ht="16.5" customHeight="1">
      <c r="A407" s="309" t="str">
        <f>IF(B407&lt;&gt;"",IF(AND(B407='IN-TC'!$S$4,OR(TH!N407="1111",TH!O407="1111")),TH!D407,""),"")</f>
        <v/>
      </c>
      <c r="B407" s="1241">
        <f t="shared" si="64"/>
        <v>4</v>
      </c>
      <c r="C407" s="929">
        <v>42842</v>
      </c>
      <c r="D407" s="929" t="s">
        <v>530</v>
      </c>
      <c r="E407" s="929">
        <v>42842</v>
      </c>
      <c r="F407" s="930" t="s">
        <v>1192</v>
      </c>
      <c r="G407" s="931" t="s">
        <v>2970</v>
      </c>
      <c r="H407" s="73" t="s">
        <v>755</v>
      </c>
      <c r="I407" s="371"/>
      <c r="J407" s="932"/>
      <c r="K407" s="371"/>
      <c r="L407" s="377"/>
      <c r="M407" s="933">
        <v>7957250</v>
      </c>
      <c r="N407" s="934" t="s">
        <v>539</v>
      </c>
      <c r="O407" s="934" t="s">
        <v>8</v>
      </c>
      <c r="P407" s="75" t="str">
        <f>IF(AND('331-CT'!$E$7=TH!H407,OR(N407="331",O407="331")),"x","")</f>
        <v/>
      </c>
      <c r="Q407" s="75" t="str">
        <f>IF(AND(B407='111'!$L$11,OR($N407=$Q$7,$O407=$Q$7)),"x","")</f>
        <v/>
      </c>
      <c r="R407" s="75" t="str">
        <f>IF(AND($N407=$Q$7,$B407&lt;'111'!$L$11),"x","")</f>
        <v/>
      </c>
      <c r="S407" s="75" t="str">
        <f>IF(AND($O407=$Q$7,$B407&lt;'111'!$L$11),"x","")</f>
        <v/>
      </c>
      <c r="T407" s="75" t="str">
        <f>IF(ISERROR(FIND('112'!$M$9,G407,1)),"",IF((AND(FIND('112'!$M$9,G407,1)&gt;=1,B407='112'!$K$9,OR($N407='112'!$I$6,$O407='112'!$I$6))),"x",""))</f>
        <v/>
      </c>
      <c r="U407" s="75" t="str">
        <f>IF(ISERROR(FIND('112'!$M$9,G407,1)),"",IF((AND(LEFT(G407,2)=LEFT('112'!$M$9,2),B407&lt;'112'!$K$9,$N407='112'!$I$6)),"x",""))</f>
        <v/>
      </c>
      <c r="V407" s="75" t="str">
        <f>IF(ISERROR(FIND('112'!$M$9,G407,1)),"",IF((AND(RIGHT(G407,2)=RIGHT('112'!$M$9,2),B407&lt;'112'!$K$9,$O407='112'!$I$6)),"x",""))</f>
        <v/>
      </c>
      <c r="W407" s="75" t="str">
        <f>IF(AND('341-CT'!$H$9=H407,OR(LEFT(N407,3)=$W$7,LEFT(O407,3)=$W$7)),"x","")</f>
        <v/>
      </c>
      <c r="X407" s="75" t="str">
        <f>IF(OR(TH!N407=TH!$X$7,O407=TH!$X$7),"x","")</f>
        <v/>
      </c>
      <c r="Y407" s="75" t="str">
        <f>IF(AND(OR(N407="131",O407="131"),H407='131-CT'!$H$9),"x","")</f>
        <v/>
      </c>
      <c r="Z407" s="75"/>
      <c r="AA407" s="75" t="str">
        <f>IF(AND(MONTH(E407)='IN-NX'!$J$5,'IN-NX'!$D$7=D407),"x","")</f>
        <v/>
      </c>
      <c r="AB407" s="75" t="str">
        <f>IF(AND(OR(LEFT(TH!N407,2)="15",LEFT(TH!O407,2)="15"),LEFT(TH!O407,3)&lt;&gt;"111",'152-CT'!$J$8=TH!F407),"x","")</f>
        <v/>
      </c>
      <c r="AC407" s="75" t="str">
        <f>IF(AND(OR(LEFT(TH!N407,2)="15",LEFT(TH!O407,2)="15"),TK!$E$7=TH!F407),"x","")</f>
        <v/>
      </c>
      <c r="AD407" s="75" t="str">
        <f>IF(AND(N407="1521",MONTH(C407)='BK-NL'!$M$11),"x","")</f>
        <v/>
      </c>
    </row>
    <row r="408" spans="1:31" ht="16.5" customHeight="1">
      <c r="A408" s="309" t="str">
        <f>IF(B408&lt;&gt;"",IF(AND(B408='IN-TC'!$S$4,OR(TH!N408="1111",TH!O408="1111")),TH!D408,""),"")</f>
        <v/>
      </c>
      <c r="B408" s="1241">
        <f t="shared" si="64"/>
        <v>4</v>
      </c>
      <c r="C408" s="929">
        <v>42842</v>
      </c>
      <c r="D408" s="929" t="s">
        <v>530</v>
      </c>
      <c r="E408" s="929">
        <v>42842</v>
      </c>
      <c r="F408" s="930" t="s">
        <v>1193</v>
      </c>
      <c r="G408" s="931" t="s">
        <v>2971</v>
      </c>
      <c r="H408" s="73" t="s">
        <v>755</v>
      </c>
      <c r="I408" s="371"/>
      <c r="J408" s="932"/>
      <c r="K408" s="371"/>
      <c r="L408" s="377"/>
      <c r="M408" s="933">
        <v>3837430</v>
      </c>
      <c r="N408" s="934" t="s">
        <v>539</v>
      </c>
      <c r="O408" s="934" t="s">
        <v>8</v>
      </c>
      <c r="P408" s="75" t="str">
        <f>IF(AND('331-CT'!$E$7=TH!H408,OR(N408="331",O408="331")),"x","")</f>
        <v/>
      </c>
      <c r="Q408" s="75" t="str">
        <f>IF(AND(B408='111'!$L$11,OR($N408=$Q$7,$O408=$Q$7)),"x","")</f>
        <v/>
      </c>
      <c r="R408" s="75" t="str">
        <f>IF(AND($N408=$Q$7,$B408&lt;'111'!$L$11),"x","")</f>
        <v/>
      </c>
      <c r="S408" s="75" t="str">
        <f>IF(AND($O408=$Q$7,$B408&lt;'111'!$L$11),"x","")</f>
        <v/>
      </c>
      <c r="T408" s="75" t="str">
        <f>IF(ISERROR(FIND('112'!$M$9,G408,1)),"",IF((AND(FIND('112'!$M$9,G408,1)&gt;=1,B408='112'!$K$9,OR($N408='112'!$I$6,$O408='112'!$I$6))),"x",""))</f>
        <v/>
      </c>
      <c r="U408" s="75" t="str">
        <f>IF(ISERROR(FIND('112'!$M$9,G408,1)),"",IF((AND(LEFT(G408,2)=LEFT('112'!$M$9,2),B408&lt;'112'!$K$9,$N408='112'!$I$6)),"x",""))</f>
        <v/>
      </c>
      <c r="V408" s="75" t="str">
        <f>IF(ISERROR(FIND('112'!$M$9,G408,1)),"",IF((AND(RIGHT(G408,2)=RIGHT('112'!$M$9,2),B408&lt;'112'!$K$9,$O408='112'!$I$6)),"x",""))</f>
        <v/>
      </c>
      <c r="W408" s="75" t="str">
        <f>IF(AND('341-CT'!$H$9=H408,OR(LEFT(N408,3)=$W$7,LEFT(O408,3)=$W$7)),"x","")</f>
        <v/>
      </c>
      <c r="X408" s="75" t="str">
        <f>IF(OR(TH!N408=TH!$X$7,O408=TH!$X$7),"x","")</f>
        <v/>
      </c>
      <c r="Y408" s="75" t="str">
        <f>IF(AND(OR(N408="131",O408="131"),H408='131-CT'!$H$9),"x","")</f>
        <v/>
      </c>
      <c r="Z408" s="75"/>
      <c r="AA408" s="75" t="str">
        <f>IF(AND(MONTH(E408)='IN-NX'!$J$5,'IN-NX'!$D$7=D408),"x","")</f>
        <v/>
      </c>
      <c r="AB408" s="75" t="str">
        <f>IF(AND(OR(LEFT(TH!N408,2)="15",LEFT(TH!O408,2)="15"),LEFT(TH!O408,3)&lt;&gt;"111",'152-CT'!$J$8=TH!F408),"x","")</f>
        <v/>
      </c>
      <c r="AC408" s="75" t="str">
        <f>IF(AND(OR(LEFT(TH!N408,2)="15",LEFT(TH!O408,2)="15"),TK!$E$7=TH!F408),"x","")</f>
        <v/>
      </c>
      <c r="AD408" s="75" t="str">
        <f>IF(AND(N408="1521",MONTH(C408)='BK-NL'!$M$11),"x","")</f>
        <v/>
      </c>
      <c r="AE408">
        <v>2018</v>
      </c>
    </row>
    <row r="409" spans="1:31" ht="16.5" customHeight="1">
      <c r="A409" s="309" t="str">
        <f>IF(B409&lt;&gt;"",IF(AND(B409='IN-TC'!$S$4,OR(TH!N409="1111",TH!O409="1111")),TH!D409,""),"")</f>
        <v/>
      </c>
      <c r="B409" s="1241">
        <f t="shared" si="64"/>
        <v>4</v>
      </c>
      <c r="C409" s="929">
        <v>42842</v>
      </c>
      <c r="D409" s="929" t="s">
        <v>530</v>
      </c>
      <c r="E409" s="929">
        <v>42842</v>
      </c>
      <c r="F409" s="930" t="s">
        <v>1194</v>
      </c>
      <c r="G409" s="931" t="s">
        <v>2971</v>
      </c>
      <c r="H409" s="73" t="s">
        <v>755</v>
      </c>
      <c r="I409" s="371"/>
      <c r="J409" s="932"/>
      <c r="K409" s="371"/>
      <c r="L409" s="377"/>
      <c r="M409" s="933">
        <v>383743</v>
      </c>
      <c r="N409" s="934" t="s">
        <v>9</v>
      </c>
      <c r="O409" s="934" t="s">
        <v>8</v>
      </c>
      <c r="P409" s="75" t="str">
        <f>IF(AND('331-CT'!$E$7=TH!H409,OR(N409="331",O409="331")),"x","")</f>
        <v/>
      </c>
      <c r="Q409" s="75" t="str">
        <f>IF(AND(B409='111'!$L$11,OR($N409=$Q$7,$O409=$Q$7)),"x","")</f>
        <v/>
      </c>
      <c r="R409" s="75" t="str">
        <f>IF(AND($N409=$Q$7,$B409&lt;'111'!$L$11),"x","")</f>
        <v/>
      </c>
      <c r="S409" s="75" t="str">
        <f>IF(AND($O409=$Q$7,$B409&lt;'111'!$L$11),"x","")</f>
        <v/>
      </c>
      <c r="T409" s="75" t="str">
        <f>IF(ISERROR(FIND('112'!$M$9,G409,1)),"",IF((AND(FIND('112'!$M$9,G409,1)&gt;=1,B409='112'!$K$9,OR($N409='112'!$I$6,$O409='112'!$I$6))),"x",""))</f>
        <v/>
      </c>
      <c r="U409" s="75" t="str">
        <f>IF(ISERROR(FIND('112'!$M$9,G409,1)),"",IF((AND(LEFT(G409,2)=LEFT('112'!$M$9,2),B409&lt;'112'!$K$9,$N409='112'!$I$6)),"x",""))</f>
        <v/>
      </c>
      <c r="V409" s="75" t="str">
        <f>IF(ISERROR(FIND('112'!$M$9,G409,1)),"",IF((AND(RIGHT(G409,2)=RIGHT('112'!$M$9,2),B409&lt;'112'!$K$9,$O409='112'!$I$6)),"x",""))</f>
        <v/>
      </c>
      <c r="W409" s="75" t="str">
        <f>IF(AND('341-CT'!$H$9=H409,OR(LEFT(N409,3)=$W$7,LEFT(O409,3)=$W$7)),"x","")</f>
        <v/>
      </c>
      <c r="X409" s="75" t="str">
        <f>IF(OR(TH!N409=TH!$X$7,O409=TH!$X$7),"x","")</f>
        <v/>
      </c>
      <c r="Y409" s="75" t="str">
        <f>IF(AND(OR(N409="131",O409="131"),H409='131-CT'!$H$9),"x","")</f>
        <v/>
      </c>
      <c r="Z409" s="75"/>
      <c r="AA409" s="75" t="str">
        <f>IF(AND(MONTH(E409)='IN-NX'!$J$5,'IN-NX'!$D$7=D409),"x","")</f>
        <v/>
      </c>
      <c r="AB409" s="75" t="str">
        <f>IF(AND(OR(LEFT(TH!N409,2)="15",LEFT(TH!O409,2)="15"),LEFT(TH!O409,3)&lt;&gt;"111",'152-CT'!$J$8=TH!F409),"x","")</f>
        <v/>
      </c>
      <c r="AC409" s="75" t="str">
        <f>IF(AND(OR(LEFT(TH!N409,2)="15",LEFT(TH!O409,2)="15"),TK!$E$7=TH!F409),"x","")</f>
        <v/>
      </c>
      <c r="AD409" s="75" t="str">
        <f>IF(AND(N409="1521",MONTH(C409)='BK-NL'!$M$11),"x","")</f>
        <v/>
      </c>
      <c r="AE409">
        <v>2018</v>
      </c>
    </row>
    <row r="410" spans="1:31" ht="16.5" customHeight="1">
      <c r="A410" s="309" t="str">
        <f>IF(B410&lt;&gt;"",IF(AND(B410='IN-TC'!$S$4,OR(TH!N410="1111",TH!O410="1111")),TH!D410,""),"")</f>
        <v/>
      </c>
      <c r="B410" s="1242">
        <f t="shared" si="64"/>
        <v>5</v>
      </c>
      <c r="C410" s="929">
        <v>42863</v>
      </c>
      <c r="D410" s="929" t="s">
        <v>530</v>
      </c>
      <c r="E410" s="929">
        <v>42863</v>
      </c>
      <c r="F410" s="930" t="s">
        <v>1108</v>
      </c>
      <c r="G410" s="931" t="s">
        <v>1362</v>
      </c>
      <c r="H410" s="735" t="s">
        <v>562</v>
      </c>
      <c r="I410" s="371"/>
      <c r="J410" s="932"/>
      <c r="K410" s="371"/>
      <c r="L410" s="377"/>
      <c r="M410" s="933">
        <v>19349080</v>
      </c>
      <c r="N410" s="934" t="s">
        <v>539</v>
      </c>
      <c r="O410" s="934" t="s">
        <v>8</v>
      </c>
      <c r="P410" s="75" t="str">
        <f>IF(AND('331-CT'!$E$7=TH!H410,OR(N410="331",O410="331")),"x","")</f>
        <v/>
      </c>
      <c r="Q410" s="75" t="str">
        <f>IF(AND(B410='111'!$L$11,OR($N410=$Q$7,$O410=$Q$7)),"x","")</f>
        <v/>
      </c>
      <c r="R410" s="75" t="str">
        <f>IF(AND($N410=$Q$7,$B410&lt;'111'!$L$11),"x","")</f>
        <v/>
      </c>
      <c r="S410" s="75" t="str">
        <f>IF(AND($O410=$Q$7,$B410&lt;'111'!$L$11),"x","")</f>
        <v/>
      </c>
      <c r="T410" s="75" t="str">
        <f>IF(ISERROR(FIND('112'!$M$9,G410,1)),"",IF((AND(FIND('112'!$M$9,G410,1)&gt;=1,B410='112'!$K$9,OR($N410='112'!$I$6,$O410='112'!$I$6))),"x",""))</f>
        <v/>
      </c>
      <c r="U410" s="75" t="str">
        <f>IF(ISERROR(FIND('112'!$M$9,G410,1)),"",IF((AND(LEFT(G410,2)=LEFT('112'!$M$9,2),B410&lt;'112'!$K$9,$N410='112'!$I$6)),"x",""))</f>
        <v/>
      </c>
      <c r="V410" s="75" t="str">
        <f>IF(ISERROR(FIND('112'!$M$9,G410,1)),"",IF((AND(RIGHT(G410,2)=RIGHT('112'!$M$9,2),B410&lt;'112'!$K$9,$O410='112'!$I$6)),"x",""))</f>
        <v/>
      </c>
      <c r="W410" s="75" t="str">
        <f>IF(AND('341-CT'!$H$9=H410,OR(LEFT(N410,3)=$W$7,LEFT(O410,3)=$W$7)),"x","")</f>
        <v/>
      </c>
      <c r="X410" s="75" t="str">
        <f>IF(OR(TH!N410=TH!$X$7,O410=TH!$X$7),"x","")</f>
        <v/>
      </c>
      <c r="Y410" s="75" t="str">
        <f>IF(AND(OR(N410="131",O410="131"),H410='131-CT'!$H$9),"x","")</f>
        <v/>
      </c>
      <c r="Z410" s="75"/>
      <c r="AA410" s="75" t="str">
        <f>IF(AND(MONTH(E410)='IN-NX'!$J$5,'IN-NX'!$D$7=D410),"x","")</f>
        <v/>
      </c>
      <c r="AB410" s="75" t="str">
        <f>IF(AND(OR(LEFT(TH!N410,2)="15",LEFT(TH!O410,2)="15"),LEFT(TH!O410,3)&lt;&gt;"111",'152-CT'!$J$8=TH!F410),"x","")</f>
        <v/>
      </c>
      <c r="AC410" s="75" t="str">
        <f>IF(AND(OR(LEFT(TH!N410,2)="15",LEFT(TH!O410,2)="15"),TK!$E$7=TH!F410),"x","")</f>
        <v/>
      </c>
      <c r="AD410" s="75" t="str">
        <f>IF(AND(N410="1521",MONTH(C410)='BK-NL'!$M$11),"x","")</f>
        <v/>
      </c>
    </row>
    <row r="411" spans="1:31" ht="16.5" customHeight="1">
      <c r="A411" s="309" t="str">
        <f>IF(B411&lt;&gt;"",IF(AND(B411='IN-TC'!$S$4,OR(TH!N411="1111",TH!O411="1111")),TH!D411,""),"")</f>
        <v/>
      </c>
      <c r="B411" s="1242">
        <f t="shared" si="64"/>
        <v>5</v>
      </c>
      <c r="C411" s="929">
        <v>42863</v>
      </c>
      <c r="D411" s="929" t="s">
        <v>530</v>
      </c>
      <c r="E411" s="929">
        <v>42863</v>
      </c>
      <c r="F411" s="930" t="s">
        <v>1109</v>
      </c>
      <c r="G411" s="931" t="s">
        <v>1362</v>
      </c>
      <c r="H411" s="735" t="s">
        <v>562</v>
      </c>
      <c r="I411" s="371"/>
      <c r="J411" s="932"/>
      <c r="K411" s="371"/>
      <c r="L411" s="377"/>
      <c r="M411" s="933">
        <v>1934908</v>
      </c>
      <c r="N411" s="934" t="s">
        <v>9</v>
      </c>
      <c r="O411" s="934" t="s">
        <v>8</v>
      </c>
      <c r="P411" s="75" t="str">
        <f>IF(AND('331-CT'!$E$7=TH!H411,OR(N411="331",O411="331")),"x","")</f>
        <v/>
      </c>
      <c r="Q411" s="75" t="str">
        <f>IF(AND(B411='111'!$L$11,OR($N411=$Q$7,$O411=$Q$7)),"x","")</f>
        <v/>
      </c>
      <c r="R411" s="75" t="str">
        <f>IF(AND($N411=$Q$7,$B411&lt;'111'!$L$11),"x","")</f>
        <v/>
      </c>
      <c r="S411" s="75" t="str">
        <f>IF(AND($O411=$Q$7,$B411&lt;'111'!$L$11),"x","")</f>
        <v/>
      </c>
      <c r="T411" s="75" t="str">
        <f>IF(ISERROR(FIND('112'!$M$9,G411,1)),"",IF((AND(FIND('112'!$M$9,G411,1)&gt;=1,B411='112'!$K$9,OR($N411='112'!$I$6,$O411='112'!$I$6))),"x",""))</f>
        <v/>
      </c>
      <c r="U411" s="75" t="str">
        <f>IF(ISERROR(FIND('112'!$M$9,G411,1)),"",IF((AND(LEFT(G411,2)=LEFT('112'!$M$9,2),B411&lt;'112'!$K$9,$N411='112'!$I$6)),"x",""))</f>
        <v/>
      </c>
      <c r="V411" s="75" t="str">
        <f>IF(ISERROR(FIND('112'!$M$9,G411,1)),"",IF((AND(RIGHT(G411,2)=RIGHT('112'!$M$9,2),B411&lt;'112'!$K$9,$O411='112'!$I$6)),"x",""))</f>
        <v/>
      </c>
      <c r="W411" s="75" t="str">
        <f>IF(AND('341-CT'!$H$9=H411,OR(LEFT(N411,3)=$W$7,LEFT(O411,3)=$W$7)),"x","")</f>
        <v/>
      </c>
      <c r="X411" s="75" t="str">
        <f>IF(OR(TH!N411=TH!$X$7,O411=TH!$X$7),"x","")</f>
        <v/>
      </c>
      <c r="Y411" s="75" t="str">
        <f>IF(AND(OR(N411="131",O411="131"),H411='131-CT'!$H$9),"x","")</f>
        <v/>
      </c>
      <c r="Z411" s="75"/>
      <c r="AA411" s="75" t="str">
        <f>IF(AND(MONTH(E411)='IN-NX'!$J$5,'IN-NX'!$D$7=D411),"x","")</f>
        <v/>
      </c>
      <c r="AB411" s="75" t="str">
        <f>IF(AND(OR(LEFT(TH!N411,2)="15",LEFT(TH!O411,2)="15"),LEFT(TH!O411,3)&lt;&gt;"111",'152-CT'!$J$8=TH!F411),"x","")</f>
        <v/>
      </c>
      <c r="AC411" s="75" t="str">
        <f>IF(AND(OR(LEFT(TH!N411,2)="15",LEFT(TH!O411,2)="15"),TK!$E$7=TH!F411),"x","")</f>
        <v/>
      </c>
      <c r="AD411" s="75" t="str">
        <f>IF(AND(N411="1521",MONTH(C411)='BK-NL'!$M$11),"x","")</f>
        <v/>
      </c>
    </row>
    <row r="412" spans="1:31" ht="16.5" customHeight="1">
      <c r="A412" s="309" t="str">
        <f>IF(B412&lt;&gt;"",IF(AND(B412='IN-TC'!$S$4,OR(TH!N412="1111",TH!O412="1111")),TH!D412,""),"")</f>
        <v/>
      </c>
      <c r="B412" s="1242">
        <f t="shared" si="64"/>
        <v>5</v>
      </c>
      <c r="C412" s="929">
        <v>42870</v>
      </c>
      <c r="D412" s="929" t="s">
        <v>530</v>
      </c>
      <c r="E412" s="929">
        <v>42870</v>
      </c>
      <c r="F412" s="930" t="s">
        <v>1108</v>
      </c>
      <c r="G412" s="931" t="s">
        <v>1409</v>
      </c>
      <c r="H412" s="735" t="s">
        <v>562</v>
      </c>
      <c r="I412" s="371"/>
      <c r="J412" s="932"/>
      <c r="K412" s="371"/>
      <c r="L412" s="377"/>
      <c r="M412" s="933">
        <v>4929600</v>
      </c>
      <c r="N412" s="934" t="s">
        <v>539</v>
      </c>
      <c r="O412" s="934" t="s">
        <v>8</v>
      </c>
      <c r="P412" s="75" t="str">
        <f>IF(AND('331-CT'!$E$7=TH!H412,OR(N412="331",O412="331")),"x","")</f>
        <v/>
      </c>
      <c r="Q412" s="75" t="str">
        <f>IF(AND(B412='111'!$L$11,OR($N412=$Q$7,$O412=$Q$7)),"x","")</f>
        <v/>
      </c>
      <c r="R412" s="75" t="str">
        <f>IF(AND($N412=$Q$7,$B412&lt;'111'!$L$11),"x","")</f>
        <v/>
      </c>
      <c r="S412" s="75" t="str">
        <f>IF(AND($O412=$Q$7,$B412&lt;'111'!$L$11),"x","")</f>
        <v/>
      </c>
      <c r="T412" s="75" t="str">
        <f>IF(ISERROR(FIND('112'!$M$9,G412,1)),"",IF((AND(FIND('112'!$M$9,G412,1)&gt;=1,B412='112'!$K$9,OR($N412='112'!$I$6,$O412='112'!$I$6))),"x",""))</f>
        <v/>
      </c>
      <c r="U412" s="75" t="str">
        <f>IF(ISERROR(FIND('112'!$M$9,G412,1)),"",IF((AND(LEFT(G412,2)=LEFT('112'!$M$9,2),B412&lt;'112'!$K$9,$N412='112'!$I$6)),"x",""))</f>
        <v/>
      </c>
      <c r="V412" s="75" t="str">
        <f>IF(ISERROR(FIND('112'!$M$9,G412,1)),"",IF((AND(RIGHT(G412,2)=RIGHT('112'!$M$9,2),B412&lt;'112'!$K$9,$O412='112'!$I$6)),"x",""))</f>
        <v/>
      </c>
      <c r="W412" s="75" t="str">
        <f>IF(AND('341-CT'!$H$9=H412,OR(LEFT(N412,3)=$W$7,LEFT(O412,3)=$W$7)),"x","")</f>
        <v/>
      </c>
      <c r="X412" s="75" t="str">
        <f>IF(OR(TH!N412=TH!$X$7,O412=TH!$X$7),"x","")</f>
        <v/>
      </c>
      <c r="Y412" s="75" t="str">
        <f>IF(AND(OR(N412="131",O412="131"),H412='131-CT'!$H$9),"x","")</f>
        <v/>
      </c>
      <c r="Z412" s="75"/>
      <c r="AA412" s="75" t="str">
        <f>IF(AND(MONTH(E412)='IN-NX'!$J$5,'IN-NX'!$D$7=D412),"x","")</f>
        <v/>
      </c>
      <c r="AB412" s="75" t="str">
        <f>IF(AND(OR(LEFT(TH!N412,2)="15",LEFT(TH!O412,2)="15"),LEFT(TH!O412,3)&lt;&gt;"111",'152-CT'!$J$8=TH!F412),"x","")</f>
        <v/>
      </c>
      <c r="AC412" s="75" t="str">
        <f>IF(AND(OR(LEFT(TH!N412,2)="15",LEFT(TH!O412,2)="15"),TK!$E$7=TH!F412),"x","")</f>
        <v/>
      </c>
      <c r="AD412" s="75" t="str">
        <f>IF(AND(N412="1521",MONTH(C412)='BK-NL'!$M$11),"x","")</f>
        <v/>
      </c>
    </row>
    <row r="413" spans="1:31" ht="16.5" customHeight="1">
      <c r="A413" s="309" t="str">
        <f>IF(B413&lt;&gt;"",IF(AND(B413='IN-TC'!$S$4,OR(TH!N413="1111",TH!O413="1111")),TH!D413,""),"")</f>
        <v/>
      </c>
      <c r="B413" s="1242">
        <f t="shared" si="64"/>
        <v>5</v>
      </c>
      <c r="C413" s="929">
        <v>42870</v>
      </c>
      <c r="D413" s="929" t="s">
        <v>530</v>
      </c>
      <c r="E413" s="929">
        <v>42870</v>
      </c>
      <c r="F413" s="930" t="s">
        <v>1109</v>
      </c>
      <c r="G413" s="931" t="s">
        <v>1409</v>
      </c>
      <c r="H413" s="735" t="s">
        <v>562</v>
      </c>
      <c r="I413" s="371"/>
      <c r="J413" s="932"/>
      <c r="K413" s="371"/>
      <c r="L413" s="377"/>
      <c r="M413" s="933">
        <v>492960</v>
      </c>
      <c r="N413" s="934" t="s">
        <v>9</v>
      </c>
      <c r="O413" s="934" t="s">
        <v>8</v>
      </c>
      <c r="P413" s="75" t="str">
        <f>IF(AND('331-CT'!$E$7=TH!H413,OR(N413="331",O413="331")),"x","")</f>
        <v/>
      </c>
      <c r="Q413" s="75" t="str">
        <f>IF(AND(B413='111'!$L$11,OR($N413=$Q$7,$O413=$Q$7)),"x","")</f>
        <v/>
      </c>
      <c r="R413" s="75" t="str">
        <f>IF(AND($N413=$Q$7,$B413&lt;'111'!$L$11),"x","")</f>
        <v/>
      </c>
      <c r="S413" s="75" t="str">
        <f>IF(AND($O413=$Q$7,$B413&lt;'111'!$L$11),"x","")</f>
        <v/>
      </c>
      <c r="T413" s="75" t="str">
        <f>IF(ISERROR(FIND('112'!$M$9,G413,1)),"",IF((AND(FIND('112'!$M$9,G413,1)&gt;=1,B413='112'!$K$9,OR($N413='112'!$I$6,$O413='112'!$I$6))),"x",""))</f>
        <v/>
      </c>
      <c r="U413" s="75" t="str">
        <f>IF(ISERROR(FIND('112'!$M$9,G413,1)),"",IF((AND(LEFT(G413,2)=LEFT('112'!$M$9,2),B413&lt;'112'!$K$9,$N413='112'!$I$6)),"x",""))</f>
        <v/>
      </c>
      <c r="V413" s="75" t="str">
        <f>IF(ISERROR(FIND('112'!$M$9,G413,1)),"",IF((AND(RIGHT(G413,2)=RIGHT('112'!$M$9,2),B413&lt;'112'!$K$9,$O413='112'!$I$6)),"x",""))</f>
        <v/>
      </c>
      <c r="W413" s="75" t="str">
        <f>IF(AND('341-CT'!$H$9=H413,OR(LEFT(N413,3)=$W$7,LEFT(O413,3)=$W$7)),"x","")</f>
        <v/>
      </c>
      <c r="X413" s="75" t="str">
        <f>IF(OR(TH!N413=TH!$X$7,O413=TH!$X$7),"x","")</f>
        <v/>
      </c>
      <c r="Y413" s="75" t="str">
        <f>IF(AND(OR(N413="131",O413="131"),H413='131-CT'!$H$9),"x","")</f>
        <v/>
      </c>
      <c r="Z413" s="75"/>
      <c r="AA413" s="75" t="str">
        <f>IF(AND(MONTH(E413)='IN-NX'!$J$5,'IN-NX'!$D$7=D413),"x","")</f>
        <v/>
      </c>
      <c r="AB413" s="75" t="str">
        <f>IF(AND(OR(LEFT(TH!N413,2)="15",LEFT(TH!O413,2)="15"),LEFT(TH!O413,3)&lt;&gt;"111",'152-CT'!$J$8=TH!F413),"x","")</f>
        <v/>
      </c>
      <c r="AC413" s="75" t="str">
        <f>IF(AND(OR(LEFT(TH!N413,2)="15",LEFT(TH!O413,2)="15"),TK!$E$7=TH!F413),"x","")</f>
        <v/>
      </c>
      <c r="AD413" s="75" t="str">
        <f>IF(AND(N413="1521",MONTH(C413)='BK-NL'!$M$11),"x","")</f>
        <v/>
      </c>
    </row>
    <row r="414" spans="1:31" ht="16.5" customHeight="1">
      <c r="A414" s="309" t="str">
        <f>IF(B414&lt;&gt;"",IF(AND(B414='IN-TC'!$S$4,OR(TH!N414="1111",TH!O414="1111")),TH!D414,""),"")</f>
        <v/>
      </c>
      <c r="B414" s="1242">
        <f t="shared" si="64"/>
        <v>5</v>
      </c>
      <c r="C414" s="929">
        <v>42858</v>
      </c>
      <c r="D414" s="929" t="s">
        <v>530</v>
      </c>
      <c r="E414" s="929">
        <f>C414</f>
        <v>42858</v>
      </c>
      <c r="F414" s="930" t="s">
        <v>869</v>
      </c>
      <c r="G414" s="931" t="s">
        <v>1380</v>
      </c>
      <c r="H414" s="296" t="s">
        <v>561</v>
      </c>
      <c r="I414" s="371"/>
      <c r="J414" s="932"/>
      <c r="K414" s="371"/>
      <c r="L414" s="377"/>
      <c r="M414" s="933">
        <v>2050000</v>
      </c>
      <c r="N414" s="934" t="s">
        <v>539</v>
      </c>
      <c r="O414" s="934" t="s">
        <v>8</v>
      </c>
      <c r="P414" s="75" t="str">
        <f>IF(AND('331-CT'!$E$7=TH!H414,OR(N414="331",O414="331")),"x","")</f>
        <v/>
      </c>
      <c r="Q414" s="75" t="str">
        <f>IF(AND(B414='111'!$L$11,OR($N414=$Q$7,$O414=$Q$7)),"x","")</f>
        <v/>
      </c>
      <c r="R414" s="75" t="str">
        <f>IF(AND($N414=$Q$7,$B414&lt;'111'!$L$11),"x","")</f>
        <v/>
      </c>
      <c r="S414" s="75" t="str">
        <f>IF(AND($O414=$Q$7,$B414&lt;'111'!$L$11),"x","")</f>
        <v/>
      </c>
      <c r="T414" s="75" t="str">
        <f>IF(ISERROR(FIND('112'!$M$9,G414,1)),"",IF((AND(FIND('112'!$M$9,G414,1)&gt;=1,B414='112'!$K$9,OR($N414='112'!$I$6,$O414='112'!$I$6))),"x",""))</f>
        <v/>
      </c>
      <c r="U414" s="75" t="str">
        <f>IF(ISERROR(FIND('112'!$M$9,G414,1)),"",IF((AND(LEFT(G414,2)=LEFT('112'!$M$9,2),B414&lt;'112'!$K$9,$N414='112'!$I$6)),"x",""))</f>
        <v/>
      </c>
      <c r="V414" s="75" t="str">
        <f>IF(ISERROR(FIND('112'!$M$9,G414,1)),"",IF((AND(RIGHT(G414,2)=RIGHT('112'!$M$9,2),B414&lt;'112'!$K$9,$O414='112'!$I$6)),"x",""))</f>
        <v/>
      </c>
      <c r="W414" s="75" t="str">
        <f>IF(AND('341-CT'!$H$9=H414,OR(LEFT(N414,3)=$W$7,LEFT(O414,3)=$W$7)),"x","")</f>
        <v/>
      </c>
      <c r="X414" s="75" t="str">
        <f>IF(OR(TH!N414=TH!$X$7,O414=TH!$X$7),"x","")</f>
        <v/>
      </c>
      <c r="Y414" s="75" t="str">
        <f>IF(AND(OR(N414="131",O414="131"),H414='131-CT'!$H$9),"x","")</f>
        <v/>
      </c>
      <c r="Z414" s="75"/>
      <c r="AA414" s="75" t="str">
        <f>IF(AND(MONTH(E414)='IN-NX'!$J$5,'IN-NX'!$D$7=D414),"x","")</f>
        <v/>
      </c>
      <c r="AB414" s="75" t="str">
        <f>IF(AND(OR(LEFT(TH!N414,2)="15",LEFT(TH!O414,2)="15"),LEFT(TH!O414,3)&lt;&gt;"111",'152-CT'!$J$8=TH!F414),"x","")</f>
        <v/>
      </c>
      <c r="AC414" s="75" t="str">
        <f>IF(AND(OR(LEFT(TH!N414,2)="15",LEFT(TH!O414,2)="15"),TK!$E$7=TH!F414),"x","")</f>
        <v/>
      </c>
      <c r="AD414" s="75" t="str">
        <f>IF(AND(N414="1521",MONTH(C414)='BK-NL'!$M$11),"x","")</f>
        <v/>
      </c>
    </row>
    <row r="415" spans="1:31" ht="16.5" customHeight="1">
      <c r="A415" s="309" t="str">
        <f>IF(B415&lt;&gt;"",IF(AND(B415='IN-TC'!$S$4,OR(TH!N415="1111",TH!O415="1111")),TH!D415,""),"")</f>
        <v/>
      </c>
      <c r="B415" s="1242">
        <f t="shared" si="64"/>
        <v>5</v>
      </c>
      <c r="C415" s="929">
        <v>42860</v>
      </c>
      <c r="D415" s="929" t="s">
        <v>530</v>
      </c>
      <c r="E415" s="929">
        <f>C415</f>
        <v>42860</v>
      </c>
      <c r="F415" s="930" t="s">
        <v>869</v>
      </c>
      <c r="G415" s="931" t="s">
        <v>1381</v>
      </c>
      <c r="H415" s="296" t="s">
        <v>561</v>
      </c>
      <c r="I415" s="371"/>
      <c r="J415" s="932"/>
      <c r="K415" s="371"/>
      <c r="L415" s="377"/>
      <c r="M415" s="933">
        <v>8090000</v>
      </c>
      <c r="N415" s="934" t="s">
        <v>539</v>
      </c>
      <c r="O415" s="934" t="s">
        <v>8</v>
      </c>
      <c r="P415" s="75" t="str">
        <f>IF(AND('331-CT'!$E$7=TH!H415,OR(N415="331",O415="331")),"x","")</f>
        <v/>
      </c>
      <c r="Q415" s="75" t="str">
        <f>IF(AND(B415='111'!$L$11,OR($N415=$Q$7,$O415=$Q$7)),"x","")</f>
        <v/>
      </c>
      <c r="R415" s="75" t="str">
        <f>IF(AND($N415=$Q$7,$B415&lt;'111'!$L$11),"x","")</f>
        <v/>
      </c>
      <c r="S415" s="75" t="str">
        <f>IF(AND($O415=$Q$7,$B415&lt;'111'!$L$11),"x","")</f>
        <v/>
      </c>
      <c r="T415" s="75" t="str">
        <f>IF(ISERROR(FIND('112'!$M$9,G415,1)),"",IF((AND(FIND('112'!$M$9,G415,1)&gt;=1,B415='112'!$K$9,OR($N415='112'!$I$6,$O415='112'!$I$6))),"x",""))</f>
        <v/>
      </c>
      <c r="U415" s="75" t="str">
        <f>IF(ISERROR(FIND('112'!$M$9,G415,1)),"",IF((AND(LEFT(G415,2)=LEFT('112'!$M$9,2),B415&lt;'112'!$K$9,$N415='112'!$I$6)),"x",""))</f>
        <v/>
      </c>
      <c r="V415" s="75" t="str">
        <f>IF(ISERROR(FIND('112'!$M$9,G415,1)),"",IF((AND(RIGHT(G415,2)=RIGHT('112'!$M$9,2),B415&lt;'112'!$K$9,$O415='112'!$I$6)),"x",""))</f>
        <v/>
      </c>
      <c r="W415" s="75" t="str">
        <f>IF(AND('341-CT'!$H$9=H415,OR(LEFT(N415,3)=$W$7,LEFT(O415,3)=$W$7)),"x","")</f>
        <v/>
      </c>
      <c r="X415" s="75" t="str">
        <f>IF(OR(TH!N415=TH!$X$7,O415=TH!$X$7),"x","")</f>
        <v/>
      </c>
      <c r="Y415" s="75" t="str">
        <f>IF(AND(OR(N415="131",O415="131"),H415='131-CT'!$H$9),"x","")</f>
        <v/>
      </c>
      <c r="Z415" s="75"/>
      <c r="AA415" s="75" t="str">
        <f>IF(AND(MONTH(E415)='IN-NX'!$J$5,'IN-NX'!$D$7=D415),"x","")</f>
        <v/>
      </c>
      <c r="AB415" s="75" t="str">
        <f>IF(AND(OR(LEFT(TH!N415,2)="15",LEFT(TH!O415,2)="15"),LEFT(TH!O415,3)&lt;&gt;"111",'152-CT'!$J$8=TH!F415),"x","")</f>
        <v/>
      </c>
      <c r="AC415" s="75" t="str">
        <f>IF(AND(OR(LEFT(TH!N415,2)="15",LEFT(TH!O415,2)="15"),TK!$E$7=TH!F415),"x","")</f>
        <v/>
      </c>
      <c r="AD415" s="75" t="str">
        <f>IF(AND(N415="1521",MONTH(C415)='BK-NL'!$M$11),"x","")</f>
        <v/>
      </c>
    </row>
    <row r="416" spans="1:31" ht="16.5" customHeight="1">
      <c r="A416" s="309" t="str">
        <f>IF(B416&lt;&gt;"",IF(AND(B416='IN-TC'!$S$4,OR(TH!N416="1111",TH!O416="1111")),TH!D416,""),"")</f>
        <v/>
      </c>
      <c r="B416" s="1242">
        <f t="shared" si="64"/>
        <v>5</v>
      </c>
      <c r="C416" s="929">
        <v>42878</v>
      </c>
      <c r="D416" s="929" t="s">
        <v>530</v>
      </c>
      <c r="E416" s="929">
        <f>C416</f>
        <v>42878</v>
      </c>
      <c r="F416" s="930" t="s">
        <v>869</v>
      </c>
      <c r="G416" s="931" t="s">
        <v>1531</v>
      </c>
      <c r="H416" s="296" t="s">
        <v>561</v>
      </c>
      <c r="I416" s="371"/>
      <c r="J416" s="932"/>
      <c r="K416" s="371"/>
      <c r="L416" s="377"/>
      <c r="M416" s="933">
        <v>1200000</v>
      </c>
      <c r="N416" s="934" t="s">
        <v>539</v>
      </c>
      <c r="O416" s="934" t="s">
        <v>8</v>
      </c>
      <c r="P416" s="75" t="str">
        <f>IF(AND('331-CT'!$E$7=TH!H416,OR(N416="331",O416="331")),"x","")</f>
        <v/>
      </c>
      <c r="Q416" s="75" t="str">
        <f>IF(AND(B416='111'!$L$11,OR($N416=$Q$7,$O416=$Q$7)),"x","")</f>
        <v/>
      </c>
      <c r="R416" s="75" t="str">
        <f>IF(AND($N416=$Q$7,$B416&lt;'111'!$L$11),"x","")</f>
        <v/>
      </c>
      <c r="S416" s="75" t="str">
        <f>IF(AND($O416=$Q$7,$B416&lt;'111'!$L$11),"x","")</f>
        <v/>
      </c>
      <c r="T416" s="75" t="str">
        <f>IF(ISERROR(FIND('112'!$M$9,G416,1)),"",IF((AND(FIND('112'!$M$9,G416,1)&gt;=1,B416='112'!$K$9,OR($N416='112'!$I$6,$O416='112'!$I$6))),"x",""))</f>
        <v/>
      </c>
      <c r="U416" s="75" t="str">
        <f>IF(ISERROR(FIND('112'!$M$9,G416,1)),"",IF((AND(LEFT(G416,2)=LEFT('112'!$M$9,2),B416&lt;'112'!$K$9,$N416='112'!$I$6)),"x",""))</f>
        <v/>
      </c>
      <c r="V416" s="75" t="str">
        <f>IF(ISERROR(FIND('112'!$M$9,G416,1)),"",IF((AND(RIGHT(G416,2)=RIGHT('112'!$M$9,2),B416&lt;'112'!$K$9,$O416='112'!$I$6)),"x",""))</f>
        <v/>
      </c>
      <c r="W416" s="75" t="str">
        <f>IF(AND('341-CT'!$H$9=H416,OR(LEFT(N416,3)=$W$7,LEFT(O416,3)=$W$7)),"x","")</f>
        <v/>
      </c>
      <c r="X416" s="75" t="str">
        <f>IF(OR(TH!N416=TH!$X$7,O416=TH!$X$7),"x","")</f>
        <v/>
      </c>
      <c r="Y416" s="75" t="str">
        <f>IF(AND(OR(N416="131",O416="131"),H416='131-CT'!$H$9),"x","")</f>
        <v/>
      </c>
      <c r="Z416" s="75"/>
      <c r="AA416" s="75" t="str">
        <f>IF(AND(MONTH(E416)='IN-NX'!$J$5,'IN-NX'!$D$7=D416),"x","")</f>
        <v/>
      </c>
      <c r="AB416" s="75" t="str">
        <f>IF(AND(OR(LEFT(TH!N416,2)="15",LEFT(TH!O416,2)="15"),LEFT(TH!O416,3)&lt;&gt;"111",'152-CT'!$J$8=TH!F416),"x","")</f>
        <v/>
      </c>
      <c r="AC416" s="75" t="str">
        <f>IF(AND(OR(LEFT(TH!N416,2)="15",LEFT(TH!O416,2)="15"),TK!$E$7=TH!F416),"x","")</f>
        <v/>
      </c>
      <c r="AD416" s="75" t="str">
        <f>IF(AND(N416="1521",MONTH(C416)='BK-NL'!$M$11),"x","")</f>
        <v/>
      </c>
    </row>
    <row r="417" spans="1:30" ht="16.5" customHeight="1">
      <c r="A417" s="309" t="str">
        <f>IF(B417&lt;&gt;"",IF(AND(B417='IN-TC'!$S$4,OR(TH!N417="1111",TH!O417="1111")),TH!D417,""),"")</f>
        <v/>
      </c>
      <c r="B417" s="1242">
        <f t="shared" si="64"/>
        <v>5</v>
      </c>
      <c r="C417" s="929">
        <v>42885</v>
      </c>
      <c r="D417" s="929" t="s">
        <v>530</v>
      </c>
      <c r="E417" s="929">
        <f>C417</f>
        <v>42885</v>
      </c>
      <c r="F417" s="930" t="s">
        <v>869</v>
      </c>
      <c r="G417" s="931" t="s">
        <v>1532</v>
      </c>
      <c r="H417" s="296" t="s">
        <v>561</v>
      </c>
      <c r="I417" s="371"/>
      <c r="J417" s="932"/>
      <c r="K417" s="371"/>
      <c r="L417" s="377"/>
      <c r="M417" s="933">
        <v>4895000</v>
      </c>
      <c r="N417" s="934" t="s">
        <v>539</v>
      </c>
      <c r="O417" s="934" t="s">
        <v>8</v>
      </c>
      <c r="P417" s="75" t="str">
        <f>IF(AND('331-CT'!$E$7=TH!H417,OR(N417="331",O417="331")),"x","")</f>
        <v/>
      </c>
      <c r="Q417" s="75" t="str">
        <f>IF(AND(B417='111'!$L$11,OR($N417=$Q$7,$O417=$Q$7)),"x","")</f>
        <v/>
      </c>
      <c r="R417" s="75" t="str">
        <f>IF(AND($N417=$Q$7,$B417&lt;'111'!$L$11),"x","")</f>
        <v/>
      </c>
      <c r="S417" s="75" t="str">
        <f>IF(AND($O417=$Q$7,$B417&lt;'111'!$L$11),"x","")</f>
        <v/>
      </c>
      <c r="T417" s="75" t="str">
        <f>IF(ISERROR(FIND('112'!$M$9,G417,1)),"",IF((AND(FIND('112'!$M$9,G417,1)&gt;=1,B417='112'!$K$9,OR($N417='112'!$I$6,$O417='112'!$I$6))),"x",""))</f>
        <v/>
      </c>
      <c r="U417" s="75" t="str">
        <f>IF(ISERROR(FIND('112'!$M$9,G417,1)),"",IF((AND(LEFT(G417,2)=LEFT('112'!$M$9,2),B417&lt;'112'!$K$9,$N417='112'!$I$6)),"x",""))</f>
        <v/>
      </c>
      <c r="V417" s="75" t="str">
        <f>IF(ISERROR(FIND('112'!$M$9,G417,1)),"",IF((AND(RIGHT(G417,2)=RIGHT('112'!$M$9,2),B417&lt;'112'!$K$9,$O417='112'!$I$6)),"x",""))</f>
        <v/>
      </c>
      <c r="W417" s="75" t="str">
        <f>IF(AND('341-CT'!$H$9=H417,OR(LEFT(N417,3)=$W$7,LEFT(O417,3)=$W$7)),"x","")</f>
        <v/>
      </c>
      <c r="X417" s="75" t="str">
        <f>IF(OR(TH!N417=TH!$X$7,O417=TH!$X$7),"x","")</f>
        <v/>
      </c>
      <c r="Y417" s="75" t="str">
        <f>IF(AND(OR(N417="131",O417="131"),H417='131-CT'!$H$9),"x","")</f>
        <v/>
      </c>
      <c r="Z417" s="75"/>
      <c r="AA417" s="75" t="str">
        <f>IF(AND(MONTH(E417)='IN-NX'!$J$5,'IN-NX'!$D$7=D417),"x","")</f>
        <v/>
      </c>
      <c r="AB417" s="75" t="str">
        <f>IF(AND(OR(LEFT(TH!N417,2)="15",LEFT(TH!O417,2)="15"),LEFT(TH!O417,3)&lt;&gt;"111",'152-CT'!$J$8=TH!F417),"x","")</f>
        <v/>
      </c>
      <c r="AC417" s="75" t="str">
        <f>IF(AND(OR(LEFT(TH!N417,2)="15",LEFT(TH!O417,2)="15"),TK!$E$7=TH!F417),"x","")</f>
        <v/>
      </c>
      <c r="AD417" s="75" t="str">
        <f>IF(AND(N417="1521",MONTH(C417)='BK-NL'!$M$11),"x","")</f>
        <v/>
      </c>
    </row>
    <row r="418" spans="1:30" ht="16.5" customHeight="1">
      <c r="A418" s="309" t="str">
        <f>IF(B418&lt;&gt;"",IF(AND(B418='IN-TC'!$S$4,OR(TH!N418="1111",TH!O418="1111")),TH!D418,""),"")</f>
        <v/>
      </c>
      <c r="B418" s="1242">
        <f t="shared" si="64"/>
        <v>5</v>
      </c>
      <c r="C418" s="929">
        <v>42871</v>
      </c>
      <c r="D418" s="929" t="s">
        <v>530</v>
      </c>
      <c r="E418" s="929">
        <v>42871</v>
      </c>
      <c r="F418" s="930" t="s">
        <v>1193</v>
      </c>
      <c r="G418" s="931" t="s">
        <v>1393</v>
      </c>
      <c r="H418" s="73" t="s">
        <v>755</v>
      </c>
      <c r="I418" s="371"/>
      <c r="J418" s="932"/>
      <c r="K418" s="371"/>
      <c r="L418" s="377"/>
      <c r="M418" s="933">
        <v>3834670</v>
      </c>
      <c r="N418" s="934" t="s">
        <v>539</v>
      </c>
      <c r="O418" s="934" t="s">
        <v>8</v>
      </c>
      <c r="P418" s="75" t="str">
        <f>IF(AND('331-CT'!$E$7=TH!H418,OR(N418="331",O418="331")),"x","")</f>
        <v/>
      </c>
      <c r="Q418" s="75" t="str">
        <f>IF(AND(B418='111'!$L$11,OR($N418=$Q$7,$O418=$Q$7)),"x","")</f>
        <v/>
      </c>
      <c r="R418" s="75" t="str">
        <f>IF(AND($N418=$Q$7,$B418&lt;'111'!$L$11),"x","")</f>
        <v/>
      </c>
      <c r="S418" s="75" t="str">
        <f>IF(AND($O418=$Q$7,$B418&lt;'111'!$L$11),"x","")</f>
        <v/>
      </c>
      <c r="T418" s="75" t="str">
        <f>IF(ISERROR(FIND('112'!$M$9,G418,1)),"",IF((AND(FIND('112'!$M$9,G418,1)&gt;=1,B418='112'!$K$9,OR($N418='112'!$I$6,$O418='112'!$I$6))),"x",""))</f>
        <v/>
      </c>
      <c r="U418" s="75" t="str">
        <f>IF(ISERROR(FIND('112'!$M$9,G418,1)),"",IF((AND(LEFT(G418,2)=LEFT('112'!$M$9,2),B418&lt;'112'!$K$9,$N418='112'!$I$6)),"x",""))</f>
        <v/>
      </c>
      <c r="V418" s="75" t="str">
        <f>IF(ISERROR(FIND('112'!$M$9,G418,1)),"",IF((AND(RIGHT(G418,2)=RIGHT('112'!$M$9,2),B418&lt;'112'!$K$9,$O418='112'!$I$6)),"x",""))</f>
        <v/>
      </c>
      <c r="W418" s="75" t="str">
        <f>IF(AND('341-CT'!$H$9=H418,OR(LEFT(N418,3)=$W$7,LEFT(O418,3)=$W$7)),"x","")</f>
        <v/>
      </c>
      <c r="X418" s="75" t="str">
        <f>IF(OR(TH!N418=TH!$X$7,O418=TH!$X$7),"x","")</f>
        <v/>
      </c>
      <c r="Y418" s="75" t="str">
        <f>IF(AND(OR(N418="131",O418="131"),H418='131-CT'!$H$9),"x","")</f>
        <v/>
      </c>
      <c r="Z418" s="75"/>
      <c r="AA418" s="75" t="str">
        <f>IF(AND(MONTH(E418)='IN-NX'!$J$5,'IN-NX'!$D$7=D418),"x","")</f>
        <v/>
      </c>
      <c r="AB418" s="75" t="str">
        <f>IF(AND(OR(LEFT(TH!N418,2)="15",LEFT(TH!O418,2)="15"),LEFT(TH!O418,3)&lt;&gt;"111",'152-CT'!$J$8=TH!F418),"x","")</f>
        <v/>
      </c>
      <c r="AC418" s="75" t="str">
        <f>IF(AND(OR(LEFT(TH!N418,2)="15",LEFT(TH!O418,2)="15"),TK!$E$7=TH!F418),"x","")</f>
        <v/>
      </c>
      <c r="AD418" s="75" t="str">
        <f>IF(AND(N418="1521",MONTH(C418)='BK-NL'!$M$11),"x","")</f>
        <v/>
      </c>
    </row>
    <row r="419" spans="1:30" ht="16.5" customHeight="1">
      <c r="A419" s="309" t="str">
        <f>IF(B419&lt;&gt;"",IF(AND(B419='IN-TC'!$S$4,OR(TH!N419="1111",TH!O419="1111")),TH!D419,""),"")</f>
        <v/>
      </c>
      <c r="B419" s="1242">
        <f t="shared" si="64"/>
        <v>5</v>
      </c>
      <c r="C419" s="929">
        <v>42871</v>
      </c>
      <c r="D419" s="929" t="s">
        <v>530</v>
      </c>
      <c r="E419" s="929">
        <v>42871</v>
      </c>
      <c r="F419" s="930" t="s">
        <v>1194</v>
      </c>
      <c r="G419" s="931" t="s">
        <v>1393</v>
      </c>
      <c r="H419" s="73" t="s">
        <v>755</v>
      </c>
      <c r="I419" s="371"/>
      <c r="J419" s="932"/>
      <c r="K419" s="371"/>
      <c r="L419" s="377"/>
      <c r="M419" s="933">
        <v>383467</v>
      </c>
      <c r="N419" s="934" t="s">
        <v>9</v>
      </c>
      <c r="O419" s="934" t="s">
        <v>8</v>
      </c>
      <c r="P419" s="75" t="str">
        <f>IF(AND('331-CT'!$E$7=TH!H419,OR(N419="331",O419="331")),"x","")</f>
        <v/>
      </c>
      <c r="Q419" s="75" t="str">
        <f>IF(AND(B419='111'!$L$11,OR($N419=$Q$7,$O419=$Q$7)),"x","")</f>
        <v/>
      </c>
      <c r="R419" s="75" t="str">
        <f>IF(AND($N419=$Q$7,$B419&lt;'111'!$L$11),"x","")</f>
        <v/>
      </c>
      <c r="S419" s="75" t="str">
        <f>IF(AND($O419=$Q$7,$B419&lt;'111'!$L$11),"x","")</f>
        <v/>
      </c>
      <c r="T419" s="75" t="str">
        <f>IF(ISERROR(FIND('112'!$M$9,G419,1)),"",IF((AND(FIND('112'!$M$9,G419,1)&gt;=1,B419='112'!$K$9,OR($N419='112'!$I$6,$O419='112'!$I$6))),"x",""))</f>
        <v/>
      </c>
      <c r="U419" s="75" t="str">
        <f>IF(ISERROR(FIND('112'!$M$9,G419,1)),"",IF((AND(LEFT(G419,2)=LEFT('112'!$M$9,2),B419&lt;'112'!$K$9,$N419='112'!$I$6)),"x",""))</f>
        <v/>
      </c>
      <c r="V419" s="75" t="str">
        <f>IF(ISERROR(FIND('112'!$M$9,G419,1)),"",IF((AND(RIGHT(G419,2)=RIGHT('112'!$M$9,2),B419&lt;'112'!$K$9,$O419='112'!$I$6)),"x",""))</f>
        <v/>
      </c>
      <c r="W419" s="75" t="str">
        <f>IF(AND('341-CT'!$H$9=H419,OR(LEFT(N419,3)=$W$7,LEFT(O419,3)=$W$7)),"x","")</f>
        <v/>
      </c>
      <c r="X419" s="75" t="str">
        <f>IF(OR(TH!N419=TH!$X$7,O419=TH!$X$7),"x","")</f>
        <v/>
      </c>
      <c r="Y419" s="75" t="str">
        <f>IF(AND(OR(N419="131",O419="131"),H419='131-CT'!$H$9),"x","")</f>
        <v/>
      </c>
      <c r="Z419" s="75"/>
      <c r="AA419" s="75" t="str">
        <f>IF(AND(MONTH(E419)='IN-NX'!$J$5,'IN-NX'!$D$7=D419),"x","")</f>
        <v/>
      </c>
      <c r="AB419" s="75" t="str">
        <f>IF(AND(OR(LEFT(TH!N419,2)="15",LEFT(TH!O419,2)="15"),LEFT(TH!O419,3)&lt;&gt;"111",'152-CT'!$J$8=TH!F419),"x","")</f>
        <v/>
      </c>
      <c r="AC419" s="75" t="str">
        <f>IF(AND(OR(LEFT(TH!N419,2)="15",LEFT(TH!O419,2)="15"),TK!$E$7=TH!F419),"x","")</f>
        <v/>
      </c>
      <c r="AD419" s="75" t="str">
        <f>IF(AND(N419="1521",MONTH(C419)='BK-NL'!$M$11),"x","")</f>
        <v/>
      </c>
    </row>
    <row r="420" spans="1:30" ht="16.5" customHeight="1">
      <c r="A420" s="309" t="str">
        <f>IF(B420&lt;&gt;"",IF(AND(B420='IN-TC'!$S$4,OR(TH!N420="1111",TH!O420="1111")),TH!D420,""),"")</f>
        <v/>
      </c>
      <c r="B420" s="1242">
        <f t="shared" si="64"/>
        <v>5</v>
      </c>
      <c r="C420" s="929">
        <v>42871</v>
      </c>
      <c r="D420" s="929" t="s">
        <v>530</v>
      </c>
      <c r="E420" s="929">
        <v>42871</v>
      </c>
      <c r="F420" s="930" t="s">
        <v>1192</v>
      </c>
      <c r="G420" s="931" t="s">
        <v>1394</v>
      </c>
      <c r="H420" s="73" t="s">
        <v>755</v>
      </c>
      <c r="I420" s="371"/>
      <c r="J420" s="932"/>
      <c r="K420" s="371"/>
      <c r="L420" s="377"/>
      <c r="M420" s="933">
        <v>8404550</v>
      </c>
      <c r="N420" s="934" t="s">
        <v>539</v>
      </c>
      <c r="O420" s="934" t="s">
        <v>8</v>
      </c>
      <c r="P420" s="75" t="str">
        <f>IF(AND('331-CT'!$E$7=TH!H420,OR(N420="331",O420="331")),"x","")</f>
        <v/>
      </c>
      <c r="Q420" s="75" t="str">
        <f>IF(AND(B420='111'!$L$11,OR($N420=$Q$7,$O420=$Q$7)),"x","")</f>
        <v/>
      </c>
      <c r="R420" s="75" t="str">
        <f>IF(AND($N420=$Q$7,$B420&lt;'111'!$L$11),"x","")</f>
        <v/>
      </c>
      <c r="S420" s="75" t="str">
        <f>IF(AND($O420=$Q$7,$B420&lt;'111'!$L$11),"x","")</f>
        <v/>
      </c>
      <c r="T420" s="75" t="str">
        <f>IF(ISERROR(FIND('112'!$M$9,G420,1)),"",IF((AND(FIND('112'!$M$9,G420,1)&gt;=1,B420='112'!$K$9,OR($N420='112'!$I$6,$O420='112'!$I$6))),"x",""))</f>
        <v/>
      </c>
      <c r="U420" s="75" t="str">
        <f>IF(ISERROR(FIND('112'!$M$9,G420,1)),"",IF((AND(LEFT(G420,2)=LEFT('112'!$M$9,2),B420&lt;'112'!$K$9,$N420='112'!$I$6)),"x",""))</f>
        <v/>
      </c>
      <c r="V420" s="75" t="str">
        <f>IF(ISERROR(FIND('112'!$M$9,G420,1)),"",IF((AND(RIGHT(G420,2)=RIGHT('112'!$M$9,2),B420&lt;'112'!$K$9,$O420='112'!$I$6)),"x",""))</f>
        <v/>
      </c>
      <c r="W420" s="75" t="str">
        <f>IF(AND('341-CT'!$H$9=H420,OR(LEFT(N420,3)=$W$7,LEFT(O420,3)=$W$7)),"x","")</f>
        <v/>
      </c>
      <c r="X420" s="75" t="str">
        <f>IF(OR(TH!N420=TH!$X$7,O420=TH!$X$7),"x","")</f>
        <v/>
      </c>
      <c r="Y420" s="75" t="str">
        <f>IF(AND(OR(N420="131",O420="131"),H420='131-CT'!$H$9),"x","")</f>
        <v/>
      </c>
      <c r="Z420" s="75"/>
      <c r="AA420" s="75" t="str">
        <f>IF(AND(MONTH(E420)='IN-NX'!$J$5,'IN-NX'!$D$7=D420),"x","")</f>
        <v/>
      </c>
      <c r="AB420" s="75" t="str">
        <f>IF(AND(OR(LEFT(TH!N420,2)="15",LEFT(TH!O420,2)="15"),LEFT(TH!O420,3)&lt;&gt;"111",'152-CT'!$J$8=TH!F420),"x","")</f>
        <v/>
      </c>
      <c r="AC420" s="75" t="str">
        <f>IF(AND(OR(LEFT(TH!N420,2)="15",LEFT(TH!O420,2)="15"),TK!$E$7=TH!F420),"x","")</f>
        <v/>
      </c>
      <c r="AD420" s="75" t="str">
        <f>IF(AND(N420="1521",MONTH(C420)='BK-NL'!$M$11),"x","")</f>
        <v/>
      </c>
    </row>
    <row r="421" spans="1:30" ht="16.5" customHeight="1">
      <c r="A421" s="309" t="str">
        <f>IF(B421&lt;&gt;"",IF(AND(B421='IN-TC'!$S$4,OR(TH!N421="1111",TH!O421="1111")),TH!D421,""),"")</f>
        <v/>
      </c>
      <c r="B421" s="1242">
        <f t="shared" si="64"/>
        <v>5</v>
      </c>
      <c r="C421" s="929">
        <v>42871</v>
      </c>
      <c r="D421" s="929" t="s">
        <v>530</v>
      </c>
      <c r="E421" s="929">
        <v>42871</v>
      </c>
      <c r="F421" s="930" t="s">
        <v>1193</v>
      </c>
      <c r="G421" s="931" t="s">
        <v>1395</v>
      </c>
      <c r="H421" s="73" t="s">
        <v>755</v>
      </c>
      <c r="I421" s="371"/>
      <c r="J421" s="932"/>
      <c r="K421" s="371"/>
      <c r="L421" s="377"/>
      <c r="M421" s="933">
        <v>3834670</v>
      </c>
      <c r="N421" s="934" t="s">
        <v>539</v>
      </c>
      <c r="O421" s="934" t="s">
        <v>8</v>
      </c>
      <c r="P421" s="75" t="str">
        <f>IF(AND('331-CT'!$E$7=TH!H421,OR(N421="331",O421="331")),"x","")</f>
        <v/>
      </c>
      <c r="Q421" s="75" t="str">
        <f>IF(AND(B421='111'!$L$11,OR($N421=$Q$7,$O421=$Q$7)),"x","")</f>
        <v/>
      </c>
      <c r="R421" s="75" t="str">
        <f>IF(AND($N421=$Q$7,$B421&lt;'111'!$L$11),"x","")</f>
        <v/>
      </c>
      <c r="S421" s="75" t="str">
        <f>IF(AND($O421=$Q$7,$B421&lt;'111'!$L$11),"x","")</f>
        <v/>
      </c>
      <c r="T421" s="75" t="str">
        <f>IF(ISERROR(FIND('112'!$M$9,G421,1)),"",IF((AND(FIND('112'!$M$9,G421,1)&gt;=1,B421='112'!$K$9,OR($N421='112'!$I$6,$O421='112'!$I$6))),"x",""))</f>
        <v/>
      </c>
      <c r="U421" s="75" t="str">
        <f>IF(ISERROR(FIND('112'!$M$9,G421,1)),"",IF((AND(LEFT(G421,2)=LEFT('112'!$M$9,2),B421&lt;'112'!$K$9,$N421='112'!$I$6)),"x",""))</f>
        <v/>
      </c>
      <c r="V421" s="75" t="str">
        <f>IF(ISERROR(FIND('112'!$M$9,G421,1)),"",IF((AND(RIGHT(G421,2)=RIGHT('112'!$M$9,2),B421&lt;'112'!$K$9,$O421='112'!$I$6)),"x",""))</f>
        <v/>
      </c>
      <c r="W421" s="75" t="str">
        <f>IF(AND('341-CT'!$H$9=H421,OR(LEFT(N421,3)=$W$7,LEFT(O421,3)=$W$7)),"x","")</f>
        <v/>
      </c>
      <c r="X421" s="75" t="str">
        <f>IF(OR(TH!N421=TH!$X$7,O421=TH!$X$7),"x","")</f>
        <v/>
      </c>
      <c r="Y421" s="75" t="str">
        <f>IF(AND(OR(N421="131",O421="131"),H421='131-CT'!$H$9),"x","")</f>
        <v/>
      </c>
      <c r="Z421" s="75"/>
      <c r="AA421" s="75" t="str">
        <f>IF(AND(MONTH(E421)='IN-NX'!$J$5,'IN-NX'!$D$7=D421),"x","")</f>
        <v/>
      </c>
      <c r="AB421" s="75" t="str">
        <f>IF(AND(OR(LEFT(TH!N421,2)="15",LEFT(TH!O421,2)="15"),LEFT(TH!O421,3)&lt;&gt;"111",'152-CT'!$J$8=TH!F421),"x","")</f>
        <v/>
      </c>
      <c r="AC421" s="75" t="str">
        <f>IF(AND(OR(LEFT(TH!N421,2)="15",LEFT(TH!O421,2)="15"),TK!$E$7=TH!F421),"x","")</f>
        <v/>
      </c>
      <c r="AD421" s="75" t="str">
        <f>IF(AND(N421="1521",MONTH(C421)='BK-NL'!$M$11),"x","")</f>
        <v/>
      </c>
    </row>
    <row r="422" spans="1:30" ht="16.5" customHeight="1">
      <c r="A422" s="309" t="str">
        <f>IF(B422&lt;&gt;"",IF(AND(B422='IN-TC'!$S$4,OR(TH!N422="1111",TH!O422="1111")),TH!D422,""),"")</f>
        <v/>
      </c>
      <c r="B422" s="1242">
        <f t="shared" si="64"/>
        <v>5</v>
      </c>
      <c r="C422" s="929">
        <v>42871</v>
      </c>
      <c r="D422" s="929" t="s">
        <v>530</v>
      </c>
      <c r="E422" s="929">
        <v>42871</v>
      </c>
      <c r="F422" s="930" t="s">
        <v>1194</v>
      </c>
      <c r="G422" s="931" t="s">
        <v>1395</v>
      </c>
      <c r="H422" s="73" t="s">
        <v>755</v>
      </c>
      <c r="I422" s="371"/>
      <c r="J422" s="932"/>
      <c r="K422" s="371"/>
      <c r="L422" s="377"/>
      <c r="M422" s="933">
        <v>383467</v>
      </c>
      <c r="N422" s="934" t="s">
        <v>9</v>
      </c>
      <c r="O422" s="934" t="s">
        <v>8</v>
      </c>
      <c r="P422" s="75" t="str">
        <f>IF(AND('331-CT'!$E$7=TH!H422,OR(N422="331",O422="331")),"x","")</f>
        <v/>
      </c>
      <c r="Q422" s="75" t="str">
        <f>IF(AND(B422='111'!$L$11,OR($N422=$Q$7,$O422=$Q$7)),"x","")</f>
        <v/>
      </c>
      <c r="R422" s="75" t="str">
        <f>IF(AND($N422=$Q$7,$B422&lt;'111'!$L$11),"x","")</f>
        <v/>
      </c>
      <c r="S422" s="75" t="str">
        <f>IF(AND($O422=$Q$7,$B422&lt;'111'!$L$11),"x","")</f>
        <v/>
      </c>
      <c r="T422" s="75" t="str">
        <f>IF(ISERROR(FIND('112'!$M$9,G422,1)),"",IF((AND(FIND('112'!$M$9,G422,1)&gt;=1,B422='112'!$K$9,OR($N422='112'!$I$6,$O422='112'!$I$6))),"x",""))</f>
        <v/>
      </c>
      <c r="U422" s="75" t="str">
        <f>IF(ISERROR(FIND('112'!$M$9,G422,1)),"",IF((AND(LEFT(G422,2)=LEFT('112'!$M$9,2),B422&lt;'112'!$K$9,$N422='112'!$I$6)),"x",""))</f>
        <v/>
      </c>
      <c r="V422" s="75" t="str">
        <f>IF(ISERROR(FIND('112'!$M$9,G422,1)),"",IF((AND(RIGHT(G422,2)=RIGHT('112'!$M$9,2),B422&lt;'112'!$K$9,$O422='112'!$I$6)),"x",""))</f>
        <v/>
      </c>
      <c r="W422" s="75" t="str">
        <f>IF(AND('341-CT'!$H$9=H422,OR(LEFT(N422,3)=$W$7,LEFT(O422,3)=$W$7)),"x","")</f>
        <v/>
      </c>
      <c r="X422" s="75" t="str">
        <f>IF(OR(TH!N422=TH!$X$7,O422=TH!$X$7),"x","")</f>
        <v/>
      </c>
      <c r="Y422" s="75" t="str">
        <f>IF(AND(OR(N422="131",O422="131"),H422='131-CT'!$H$9),"x","")</f>
        <v/>
      </c>
      <c r="Z422" s="75"/>
      <c r="AA422" s="75" t="str">
        <f>IF(AND(MONTH(E422)='IN-NX'!$J$5,'IN-NX'!$D$7=D422),"x","")</f>
        <v/>
      </c>
      <c r="AB422" s="75" t="str">
        <f>IF(AND(OR(LEFT(TH!N422,2)="15",LEFT(TH!O422,2)="15"),LEFT(TH!O422,3)&lt;&gt;"111",'152-CT'!$J$8=TH!F422),"x","")</f>
        <v/>
      </c>
      <c r="AC422" s="75" t="str">
        <f>IF(AND(OR(LEFT(TH!N422,2)="15",LEFT(TH!O422,2)="15"),TK!$E$7=TH!F422),"x","")</f>
        <v/>
      </c>
      <c r="AD422" s="75" t="str">
        <f>IF(AND(N422="1521",MONTH(C422)='BK-NL'!$M$11),"x","")</f>
        <v/>
      </c>
    </row>
    <row r="423" spans="1:30" ht="16.5" customHeight="1">
      <c r="A423" s="309" t="str">
        <f>IF(B423&lt;&gt;"",IF(AND(B423='IN-TC'!$S$4,OR(TH!N423="1111",TH!O423="1111")),TH!D423,""),"")</f>
        <v/>
      </c>
      <c r="B423" s="1242">
        <f t="shared" si="64"/>
        <v>5</v>
      </c>
      <c r="C423" s="929">
        <v>42871</v>
      </c>
      <c r="D423" s="929" t="s">
        <v>530</v>
      </c>
      <c r="E423" s="929">
        <v>42871</v>
      </c>
      <c r="F423" s="930" t="s">
        <v>1192</v>
      </c>
      <c r="G423" s="931" t="s">
        <v>1396</v>
      </c>
      <c r="H423" s="73" t="s">
        <v>755</v>
      </c>
      <c r="I423" s="371"/>
      <c r="J423" s="932"/>
      <c r="K423" s="371"/>
      <c r="L423" s="377"/>
      <c r="M423" s="933">
        <v>8404550</v>
      </c>
      <c r="N423" s="934" t="s">
        <v>539</v>
      </c>
      <c r="O423" s="934" t="s">
        <v>8</v>
      </c>
      <c r="P423" s="75" t="str">
        <f>IF(AND('331-CT'!$E$7=TH!H423,OR(N423="331",O423="331")),"x","")</f>
        <v/>
      </c>
      <c r="Q423" s="75" t="str">
        <f>IF(AND(B423='111'!$L$11,OR($N423=$Q$7,$O423=$Q$7)),"x","")</f>
        <v/>
      </c>
      <c r="R423" s="75" t="str">
        <f>IF(AND($N423=$Q$7,$B423&lt;'111'!$L$11),"x","")</f>
        <v/>
      </c>
      <c r="S423" s="75" t="str">
        <f>IF(AND($O423=$Q$7,$B423&lt;'111'!$L$11),"x","")</f>
        <v/>
      </c>
      <c r="T423" s="75" t="str">
        <f>IF(ISERROR(FIND('112'!$M$9,G423,1)),"",IF((AND(FIND('112'!$M$9,G423,1)&gt;=1,B423='112'!$K$9,OR($N423='112'!$I$6,$O423='112'!$I$6))),"x",""))</f>
        <v/>
      </c>
      <c r="U423" s="75" t="str">
        <f>IF(ISERROR(FIND('112'!$M$9,G423,1)),"",IF((AND(LEFT(G423,2)=LEFT('112'!$M$9,2),B423&lt;'112'!$K$9,$N423='112'!$I$6)),"x",""))</f>
        <v/>
      </c>
      <c r="V423" s="75" t="str">
        <f>IF(ISERROR(FIND('112'!$M$9,G423,1)),"",IF((AND(RIGHT(G423,2)=RIGHT('112'!$M$9,2),B423&lt;'112'!$K$9,$O423='112'!$I$6)),"x",""))</f>
        <v/>
      </c>
      <c r="W423" s="75" t="str">
        <f>IF(AND('341-CT'!$H$9=H423,OR(LEFT(N423,3)=$W$7,LEFT(O423,3)=$W$7)),"x","")</f>
        <v/>
      </c>
      <c r="X423" s="75" t="str">
        <f>IF(OR(TH!N423=TH!$X$7,O423=TH!$X$7),"x","")</f>
        <v/>
      </c>
      <c r="Y423" s="75" t="str">
        <f>IF(AND(OR(N423="131",O423="131"),H423='131-CT'!$H$9),"x","")</f>
        <v/>
      </c>
      <c r="Z423" s="75"/>
      <c r="AA423" s="75" t="str">
        <f>IF(AND(MONTH(E423)='IN-NX'!$J$5,'IN-NX'!$D$7=D423),"x","")</f>
        <v/>
      </c>
      <c r="AB423" s="75" t="str">
        <f>IF(AND(OR(LEFT(TH!N423,2)="15",LEFT(TH!O423,2)="15"),LEFT(TH!O423,3)&lt;&gt;"111",'152-CT'!$J$8=TH!F423),"x","")</f>
        <v/>
      </c>
      <c r="AC423" s="75" t="str">
        <f>IF(AND(OR(LEFT(TH!N423,2)="15",LEFT(TH!O423,2)="15"),TK!$E$7=TH!F423),"x","")</f>
        <v/>
      </c>
      <c r="AD423" s="75" t="str">
        <f>IF(AND(N423="1521",MONTH(C423)='BK-NL'!$M$11),"x","")</f>
        <v/>
      </c>
    </row>
    <row r="424" spans="1:30" ht="16.5" customHeight="1">
      <c r="A424" s="309" t="str">
        <f>IF(B424&lt;&gt;"",IF(AND(B424='IN-TC'!$S$4,OR(TH!N424="1111",TH!O424="1111")),TH!D424,""),"")</f>
        <v/>
      </c>
      <c r="B424" s="1242">
        <f t="shared" si="64"/>
        <v>5</v>
      </c>
      <c r="C424" s="929">
        <v>42879</v>
      </c>
      <c r="D424" s="929" t="s">
        <v>530</v>
      </c>
      <c r="E424" s="929">
        <v>42879</v>
      </c>
      <c r="F424" s="930" t="s">
        <v>1192</v>
      </c>
      <c r="G424" s="931" t="s">
        <v>1407</v>
      </c>
      <c r="H424" s="73" t="s">
        <v>755</v>
      </c>
      <c r="I424" s="371"/>
      <c r="J424" s="932"/>
      <c r="K424" s="371"/>
      <c r="L424" s="377"/>
      <c r="M424" s="933">
        <v>8406400</v>
      </c>
      <c r="N424" s="934" t="s">
        <v>539</v>
      </c>
      <c r="O424" s="934" t="s">
        <v>8</v>
      </c>
      <c r="P424" s="75" t="str">
        <f>IF(AND('331-CT'!$E$7=TH!H424,OR(N424="331",O424="331")),"x","")</f>
        <v/>
      </c>
      <c r="Q424" s="75" t="str">
        <f>IF(AND(B424='111'!$L$11,OR($N424=$Q$7,$O424=$Q$7)),"x","")</f>
        <v/>
      </c>
      <c r="R424" s="75" t="str">
        <f>IF(AND($N424=$Q$7,$B424&lt;'111'!$L$11),"x","")</f>
        <v/>
      </c>
      <c r="S424" s="75" t="str">
        <f>IF(AND($O424=$Q$7,$B424&lt;'111'!$L$11),"x","")</f>
        <v/>
      </c>
      <c r="T424" s="75" t="str">
        <f>IF(ISERROR(FIND('112'!$M$9,G424,1)),"",IF((AND(FIND('112'!$M$9,G424,1)&gt;=1,B424='112'!$K$9,OR($N424='112'!$I$6,$O424='112'!$I$6))),"x",""))</f>
        <v/>
      </c>
      <c r="U424" s="75" t="str">
        <f>IF(ISERROR(FIND('112'!$M$9,G424,1)),"",IF((AND(LEFT(G424,2)=LEFT('112'!$M$9,2),B424&lt;'112'!$K$9,$N424='112'!$I$6)),"x",""))</f>
        <v/>
      </c>
      <c r="V424" s="75" t="str">
        <f>IF(ISERROR(FIND('112'!$M$9,G424,1)),"",IF((AND(RIGHT(G424,2)=RIGHT('112'!$M$9,2),B424&lt;'112'!$K$9,$O424='112'!$I$6)),"x",""))</f>
        <v/>
      </c>
      <c r="W424" s="75" t="str">
        <f>IF(AND('341-CT'!$H$9=H424,OR(LEFT(N424,3)=$W$7,LEFT(O424,3)=$W$7)),"x","")</f>
        <v/>
      </c>
      <c r="X424" s="75" t="str">
        <f>IF(OR(TH!N424=TH!$X$7,O424=TH!$X$7),"x","")</f>
        <v/>
      </c>
      <c r="Y424" s="75" t="str">
        <f>IF(AND(OR(N424="131",O424="131"),H424='131-CT'!$H$9),"x","")</f>
        <v/>
      </c>
      <c r="Z424" s="75"/>
      <c r="AA424" s="75" t="str">
        <f>IF(AND(MONTH(E424)='IN-NX'!$J$5,'IN-NX'!$D$7=D424),"x","")</f>
        <v/>
      </c>
      <c r="AB424" s="75" t="str">
        <f>IF(AND(OR(LEFT(TH!N424,2)="15",LEFT(TH!O424,2)="15"),LEFT(TH!O424,3)&lt;&gt;"111",'152-CT'!$J$8=TH!F424),"x","")</f>
        <v/>
      </c>
      <c r="AC424" s="75" t="str">
        <f>IF(AND(OR(LEFT(TH!N424,2)="15",LEFT(TH!O424,2)="15"),TK!$E$7=TH!F424),"x","")</f>
        <v/>
      </c>
      <c r="AD424" s="75" t="str">
        <f>IF(AND(N424="1521",MONTH(C424)='BK-NL'!$M$11),"x","")</f>
        <v/>
      </c>
    </row>
    <row r="425" spans="1:30" ht="16.5" customHeight="1">
      <c r="A425" s="309" t="str">
        <f>IF(B425&lt;&gt;"",IF(AND(B425='IN-TC'!$S$4,OR(TH!N425="1111",TH!O425="1111")),TH!D425,""),"")</f>
        <v/>
      </c>
      <c r="B425" s="1242">
        <f t="shared" si="64"/>
        <v>5</v>
      </c>
      <c r="C425" s="929">
        <v>42879</v>
      </c>
      <c r="D425" s="929" t="s">
        <v>530</v>
      </c>
      <c r="E425" s="929">
        <v>42879</v>
      </c>
      <c r="F425" s="930" t="s">
        <v>823</v>
      </c>
      <c r="G425" s="931" t="s">
        <v>1408</v>
      </c>
      <c r="H425" s="73" t="s">
        <v>755</v>
      </c>
      <c r="I425" s="371"/>
      <c r="J425" s="932"/>
      <c r="K425" s="371"/>
      <c r="L425" s="377"/>
      <c r="M425" s="933">
        <v>3835360</v>
      </c>
      <c r="N425" s="934" t="s">
        <v>539</v>
      </c>
      <c r="O425" s="934" t="s">
        <v>8</v>
      </c>
      <c r="P425" s="75" t="str">
        <f>IF(AND('331-CT'!$E$7=TH!H425,OR(N425="331",O425="331")),"x","")</f>
        <v/>
      </c>
      <c r="Q425" s="75" t="str">
        <f>IF(AND(B425='111'!$L$11,OR($N425=$Q$7,$O425=$Q$7)),"x","")</f>
        <v/>
      </c>
      <c r="R425" s="75" t="str">
        <f>IF(AND($N425=$Q$7,$B425&lt;'111'!$L$11),"x","")</f>
        <v/>
      </c>
      <c r="S425" s="75" t="str">
        <f>IF(AND($O425=$Q$7,$B425&lt;'111'!$L$11),"x","")</f>
        <v/>
      </c>
      <c r="T425" s="75" t="str">
        <f>IF(ISERROR(FIND('112'!$M$9,G425,1)),"",IF((AND(FIND('112'!$M$9,G425,1)&gt;=1,B425='112'!$K$9,OR($N425='112'!$I$6,$O425='112'!$I$6))),"x",""))</f>
        <v/>
      </c>
      <c r="U425" s="75" t="str">
        <f>IF(ISERROR(FIND('112'!$M$9,G425,1)),"",IF((AND(LEFT(G425,2)=LEFT('112'!$M$9,2),B425&lt;'112'!$K$9,$N425='112'!$I$6)),"x",""))</f>
        <v/>
      </c>
      <c r="V425" s="75" t="str">
        <f>IF(ISERROR(FIND('112'!$M$9,G425,1)),"",IF((AND(RIGHT(G425,2)=RIGHT('112'!$M$9,2),B425&lt;'112'!$K$9,$O425='112'!$I$6)),"x",""))</f>
        <v/>
      </c>
      <c r="W425" s="75" t="str">
        <f>IF(AND('341-CT'!$H$9=H425,OR(LEFT(N425,3)=$W$7,LEFT(O425,3)=$W$7)),"x","")</f>
        <v/>
      </c>
      <c r="X425" s="75" t="str">
        <f>IF(OR(TH!N425=TH!$X$7,O425=TH!$X$7),"x","")</f>
        <v/>
      </c>
      <c r="Y425" s="75" t="str">
        <f>IF(AND(OR(N425="131",O425="131"),H425='131-CT'!$H$9),"x","")</f>
        <v/>
      </c>
      <c r="Z425" s="75"/>
      <c r="AA425" s="75" t="str">
        <f>IF(AND(MONTH(E425)='IN-NX'!$J$5,'IN-NX'!$D$7=D425),"x","")</f>
        <v/>
      </c>
      <c r="AB425" s="75" t="str">
        <f>IF(AND(OR(LEFT(TH!N425,2)="15",LEFT(TH!O425,2)="15"),LEFT(TH!O425,3)&lt;&gt;"111",'152-CT'!$J$8=TH!F425),"x","")</f>
        <v/>
      </c>
      <c r="AC425" s="75" t="str">
        <f>IF(AND(OR(LEFT(TH!N425,2)="15",LEFT(TH!O425,2)="15"),TK!$E$7=TH!F425),"x","")</f>
        <v/>
      </c>
      <c r="AD425" s="75" t="str">
        <f>IF(AND(N425="1521",MONTH(C425)='BK-NL'!$M$11),"x","")</f>
        <v/>
      </c>
    </row>
    <row r="426" spans="1:30" ht="16.5" customHeight="1">
      <c r="A426" s="309" t="str">
        <f>IF(B426&lt;&gt;"",IF(AND(B426='IN-TC'!$S$4,OR(TH!N426="1111",TH!O426="1111")),TH!D426,""),"")</f>
        <v/>
      </c>
      <c r="B426" s="1242">
        <f t="shared" si="64"/>
        <v>5</v>
      </c>
      <c r="C426" s="929">
        <v>42879</v>
      </c>
      <c r="D426" s="929" t="s">
        <v>530</v>
      </c>
      <c r="E426" s="929">
        <v>42879</v>
      </c>
      <c r="F426" s="930" t="s">
        <v>824</v>
      </c>
      <c r="G426" s="931" t="s">
        <v>1408</v>
      </c>
      <c r="H426" s="73" t="s">
        <v>755</v>
      </c>
      <c r="I426" s="371"/>
      <c r="J426" s="932"/>
      <c r="K426" s="371"/>
      <c r="L426" s="377"/>
      <c r="M426" s="933">
        <v>383536</v>
      </c>
      <c r="N426" s="934" t="s">
        <v>9</v>
      </c>
      <c r="O426" s="934" t="s">
        <v>8</v>
      </c>
      <c r="P426" s="75" t="str">
        <f>IF(AND('331-CT'!$E$7=TH!H426,OR(N426="331",O426="331")),"x","")</f>
        <v/>
      </c>
      <c r="Q426" s="75" t="str">
        <f>IF(AND(B426='111'!$L$11,OR($N426=$Q$7,$O426=$Q$7)),"x","")</f>
        <v/>
      </c>
      <c r="R426" s="75" t="str">
        <f>IF(AND($N426=$Q$7,$B426&lt;'111'!$L$11),"x","")</f>
        <v/>
      </c>
      <c r="S426" s="75" t="str">
        <f>IF(AND($O426=$Q$7,$B426&lt;'111'!$L$11),"x","")</f>
        <v/>
      </c>
      <c r="T426" s="75" t="str">
        <f>IF(ISERROR(FIND('112'!$M$9,G426,1)),"",IF((AND(FIND('112'!$M$9,G426,1)&gt;=1,B426='112'!$K$9,OR($N426='112'!$I$6,$O426='112'!$I$6))),"x",""))</f>
        <v/>
      </c>
      <c r="U426" s="75" t="str">
        <f>IF(ISERROR(FIND('112'!$M$9,G426,1)),"",IF((AND(LEFT(G426,2)=LEFT('112'!$M$9,2),B426&lt;'112'!$K$9,$N426='112'!$I$6)),"x",""))</f>
        <v/>
      </c>
      <c r="V426" s="75" t="str">
        <f>IF(ISERROR(FIND('112'!$M$9,G426,1)),"",IF((AND(RIGHT(G426,2)=RIGHT('112'!$M$9,2),B426&lt;'112'!$K$9,$O426='112'!$I$6)),"x",""))</f>
        <v/>
      </c>
      <c r="W426" s="75" t="str">
        <f>IF(AND('341-CT'!$H$9=H426,OR(LEFT(N426,3)=$W$7,LEFT(O426,3)=$W$7)),"x","")</f>
        <v/>
      </c>
      <c r="X426" s="75" t="str">
        <f>IF(OR(TH!N426=TH!$X$7,O426=TH!$X$7),"x","")</f>
        <v/>
      </c>
      <c r="Y426" s="75" t="str">
        <f>IF(AND(OR(N426="131",O426="131"),H426='131-CT'!$H$9),"x","")</f>
        <v/>
      </c>
      <c r="Z426" s="75"/>
      <c r="AA426" s="75" t="str">
        <f>IF(AND(MONTH(E426)='IN-NX'!$J$5,'IN-NX'!$D$7=D426),"x","")</f>
        <v/>
      </c>
      <c r="AB426" s="75" t="str">
        <f>IF(AND(OR(LEFT(TH!N426,2)="15",LEFT(TH!O426,2)="15"),LEFT(TH!O426,3)&lt;&gt;"111",'152-CT'!$J$8=TH!F426),"x","")</f>
        <v/>
      </c>
      <c r="AC426" s="75" t="str">
        <f>IF(AND(OR(LEFT(TH!N426,2)="15",LEFT(TH!O426,2)="15"),TK!$E$7=TH!F426),"x","")</f>
        <v/>
      </c>
      <c r="AD426" s="75" t="str">
        <f>IF(AND(N426="1521",MONTH(C426)='BK-NL'!$M$11),"x","")</f>
        <v/>
      </c>
    </row>
    <row r="427" spans="1:30" ht="16.5" customHeight="1">
      <c r="A427" s="309" t="str">
        <f>IF(B427&lt;&gt;"",IF(AND(B427='IN-TC'!$S$4,OR(TH!N427="1111",TH!O427="1111")),TH!D427,""),"")</f>
        <v/>
      </c>
      <c r="B427" s="1242">
        <f t="shared" si="64"/>
        <v>5</v>
      </c>
      <c r="C427" s="929">
        <v>42879</v>
      </c>
      <c r="D427" s="929" t="s">
        <v>530</v>
      </c>
      <c r="E427" s="929">
        <v>42879</v>
      </c>
      <c r="F427" s="296" t="s">
        <v>1011</v>
      </c>
      <c r="G427" s="931" t="s">
        <v>1419</v>
      </c>
      <c r="H427" s="296" t="s">
        <v>750</v>
      </c>
      <c r="I427" s="371"/>
      <c r="J427" s="932"/>
      <c r="K427" s="371"/>
      <c r="L427" s="377"/>
      <c r="M427" s="933">
        <v>21363640</v>
      </c>
      <c r="N427" s="934" t="s">
        <v>539</v>
      </c>
      <c r="O427" s="934" t="s">
        <v>8</v>
      </c>
      <c r="P427" s="75" t="str">
        <f>IF(AND('331-CT'!$E$7=TH!H427,OR(N427="331",O427="331")),"x","")</f>
        <v/>
      </c>
      <c r="Q427" s="75" t="str">
        <f>IF(AND(B427='111'!$L$11,OR($N427=$Q$7,$O427=$Q$7)),"x","")</f>
        <v/>
      </c>
      <c r="R427" s="75" t="str">
        <f>IF(AND($N427=$Q$7,$B427&lt;'111'!$L$11),"x","")</f>
        <v/>
      </c>
      <c r="S427" s="75" t="str">
        <f>IF(AND($O427=$Q$7,$B427&lt;'111'!$L$11),"x","")</f>
        <v/>
      </c>
      <c r="T427" s="75" t="str">
        <f>IF(ISERROR(FIND('112'!$M$9,G427,1)),"",IF((AND(FIND('112'!$M$9,G427,1)&gt;=1,B427='112'!$K$9,OR($N427='112'!$I$6,$O427='112'!$I$6))),"x",""))</f>
        <v/>
      </c>
      <c r="U427" s="75" t="str">
        <f>IF(ISERROR(FIND('112'!$M$9,G427,1)),"",IF((AND(LEFT(G427,2)=LEFT('112'!$M$9,2),B427&lt;'112'!$K$9,$N427='112'!$I$6)),"x",""))</f>
        <v/>
      </c>
      <c r="V427" s="75" t="str">
        <f>IF(ISERROR(FIND('112'!$M$9,G427,1)),"",IF((AND(RIGHT(G427,2)=RIGHT('112'!$M$9,2),B427&lt;'112'!$K$9,$O427='112'!$I$6)),"x",""))</f>
        <v/>
      </c>
      <c r="W427" s="75" t="str">
        <f>IF(AND('341-CT'!$H$9=H427,OR(LEFT(N427,3)=$W$7,LEFT(O427,3)=$W$7)),"x","")</f>
        <v/>
      </c>
      <c r="X427" s="75" t="str">
        <f>IF(OR(TH!N427=TH!$X$7,O427=TH!$X$7),"x","")</f>
        <v/>
      </c>
      <c r="Y427" s="75" t="str">
        <f>IF(AND(OR(N427="131",O427="131"),H427='131-CT'!$H$9),"x","")</f>
        <v/>
      </c>
      <c r="Z427" s="75"/>
      <c r="AA427" s="75" t="str">
        <f>IF(AND(MONTH(E427)='IN-NX'!$J$5,'IN-NX'!$D$7=D427),"x","")</f>
        <v/>
      </c>
      <c r="AB427" s="75" t="str">
        <f>IF(AND(OR(LEFT(TH!N427,2)="15",LEFT(TH!O427,2)="15"),LEFT(TH!O427,3)&lt;&gt;"111",'152-CT'!$J$8=TH!F427),"x","")</f>
        <v/>
      </c>
      <c r="AC427" s="75" t="str">
        <f>IF(AND(OR(LEFT(TH!N427,2)="15",LEFT(TH!O427,2)="15"),TK!$E$7=TH!F427),"x","")</f>
        <v/>
      </c>
      <c r="AD427" s="75" t="str">
        <f>IF(AND(N427="1521",MONTH(C427)='BK-NL'!$M$11),"x","")</f>
        <v/>
      </c>
    </row>
    <row r="428" spans="1:30" ht="16.5" customHeight="1">
      <c r="A428" s="309" t="str">
        <f>IF(B428&lt;&gt;"",IF(AND(B428='IN-TC'!$S$4,OR(TH!N428="1111",TH!O428="1111")),TH!D428,""),"")</f>
        <v/>
      </c>
      <c r="B428" s="1242">
        <f t="shared" si="64"/>
        <v>5</v>
      </c>
      <c r="C428" s="929">
        <v>42879</v>
      </c>
      <c r="D428" s="929" t="s">
        <v>530</v>
      </c>
      <c r="E428" s="929">
        <v>42879</v>
      </c>
      <c r="F428" s="296" t="s">
        <v>1012</v>
      </c>
      <c r="G428" s="931" t="s">
        <v>1419</v>
      </c>
      <c r="H428" s="296" t="s">
        <v>750</v>
      </c>
      <c r="I428" s="371"/>
      <c r="J428" s="932"/>
      <c r="K428" s="371"/>
      <c r="L428" s="377"/>
      <c r="M428" s="933">
        <v>2136364</v>
      </c>
      <c r="N428" s="934" t="s">
        <v>9</v>
      </c>
      <c r="O428" s="934" t="s">
        <v>8</v>
      </c>
      <c r="P428" s="75" t="str">
        <f>IF(AND('331-CT'!$E$7=TH!H428,OR(N428="331",O428="331")),"x","")</f>
        <v/>
      </c>
      <c r="Q428" s="75" t="str">
        <f>IF(AND(B428='111'!$L$11,OR($N428=$Q$7,$O428=$Q$7)),"x","")</f>
        <v/>
      </c>
      <c r="R428" s="75" t="str">
        <f>IF(AND($N428=$Q$7,$B428&lt;'111'!$L$11),"x","")</f>
        <v/>
      </c>
      <c r="S428" s="75" t="str">
        <f>IF(AND($O428=$Q$7,$B428&lt;'111'!$L$11),"x","")</f>
        <v/>
      </c>
      <c r="T428" s="75" t="str">
        <f>IF(ISERROR(FIND('112'!$M$9,G428,1)),"",IF((AND(FIND('112'!$M$9,G428,1)&gt;=1,B428='112'!$K$9,OR($N428='112'!$I$6,$O428='112'!$I$6))),"x",""))</f>
        <v/>
      </c>
      <c r="U428" s="75" t="str">
        <f>IF(ISERROR(FIND('112'!$M$9,G428,1)),"",IF((AND(LEFT(G428,2)=LEFT('112'!$M$9,2),B428&lt;'112'!$K$9,$N428='112'!$I$6)),"x",""))</f>
        <v/>
      </c>
      <c r="V428" s="75" t="str">
        <f>IF(ISERROR(FIND('112'!$M$9,G428,1)),"",IF((AND(RIGHT(G428,2)=RIGHT('112'!$M$9,2),B428&lt;'112'!$K$9,$O428='112'!$I$6)),"x",""))</f>
        <v/>
      </c>
      <c r="W428" s="75" t="str">
        <f>IF(AND('341-CT'!$H$9=H428,OR(LEFT(N428,3)=$W$7,LEFT(O428,3)=$W$7)),"x","")</f>
        <v/>
      </c>
      <c r="X428" s="75" t="str">
        <f>IF(OR(TH!N428=TH!$X$7,O428=TH!$X$7),"x","")</f>
        <v/>
      </c>
      <c r="Y428" s="75" t="str">
        <f>IF(AND(OR(N428="131",O428="131"),H428='131-CT'!$H$9),"x","")</f>
        <v/>
      </c>
      <c r="Z428" s="75"/>
      <c r="AA428" s="75" t="str">
        <f>IF(AND(MONTH(E428)='IN-NX'!$J$5,'IN-NX'!$D$7=D428),"x","")</f>
        <v/>
      </c>
      <c r="AB428" s="75" t="str">
        <f>IF(AND(OR(LEFT(TH!N428,2)="15",LEFT(TH!O428,2)="15"),LEFT(TH!O428,3)&lt;&gt;"111",'152-CT'!$J$8=TH!F428),"x","")</f>
        <v/>
      </c>
      <c r="AC428" s="75" t="str">
        <f>IF(AND(OR(LEFT(TH!N428,2)="15",LEFT(TH!O428,2)="15"),TK!$E$7=TH!F428),"x","")</f>
        <v/>
      </c>
      <c r="AD428" s="75" t="str">
        <f>IF(AND(N428="1521",MONTH(C428)='BK-NL'!$M$11),"x","")</f>
        <v/>
      </c>
    </row>
    <row r="429" spans="1:30" ht="16.5" customHeight="1">
      <c r="A429" s="309" t="str">
        <f>IF(B429&lt;&gt;"",IF(AND(B429='IN-TC'!$S$4,OR(TH!N429="1111",TH!O429="1111")),TH!D429,""),"")</f>
        <v/>
      </c>
      <c r="B429" s="1242">
        <f t="shared" si="64"/>
        <v>5</v>
      </c>
      <c r="C429" s="929">
        <v>42886</v>
      </c>
      <c r="D429" s="929" t="s">
        <v>530</v>
      </c>
      <c r="E429" s="929">
        <v>42861</v>
      </c>
      <c r="F429" s="930" t="s">
        <v>1426</v>
      </c>
      <c r="G429" s="931" t="s">
        <v>1563</v>
      </c>
      <c r="H429" s="735" t="s">
        <v>563</v>
      </c>
      <c r="I429" s="371"/>
      <c r="J429" s="932"/>
      <c r="K429" s="371"/>
      <c r="L429" s="377"/>
      <c r="M429" s="933">
        <v>29311900</v>
      </c>
      <c r="N429" s="934" t="s">
        <v>272</v>
      </c>
      <c r="O429" s="934" t="s">
        <v>8</v>
      </c>
      <c r="P429" s="75" t="str">
        <f>IF(AND('331-CT'!$E$7=TH!H429,OR(N429="331",O429="331")),"x","")</f>
        <v/>
      </c>
      <c r="Q429" s="75" t="str">
        <f>IF(AND(B429='111'!$L$11,OR($N429=$Q$7,$O429=$Q$7)),"x","")</f>
        <v/>
      </c>
      <c r="R429" s="75" t="str">
        <f>IF(AND($N429=$Q$7,$B429&lt;'111'!$L$11),"x","")</f>
        <v/>
      </c>
      <c r="S429" s="75" t="str">
        <f>IF(AND($O429=$Q$7,$B429&lt;'111'!$L$11),"x","")</f>
        <v/>
      </c>
      <c r="T429" s="75" t="str">
        <f>IF(ISERROR(FIND('112'!$M$9,G429,1)),"",IF((AND(FIND('112'!$M$9,G429,1)&gt;=1,B429='112'!$K$9,OR($N429='112'!$I$6,$O429='112'!$I$6))),"x",""))</f>
        <v/>
      </c>
      <c r="U429" s="75" t="str">
        <f>IF(ISERROR(FIND('112'!$M$9,G429,1)),"",IF((AND(LEFT(G429,2)=LEFT('112'!$M$9,2),B429&lt;'112'!$K$9,$N429='112'!$I$6)),"x",""))</f>
        <v/>
      </c>
      <c r="V429" s="75" t="str">
        <f>IF(ISERROR(FIND('112'!$M$9,G429,1)),"",IF((AND(RIGHT(G429,2)=RIGHT('112'!$M$9,2),B429&lt;'112'!$K$9,$O429='112'!$I$6)),"x",""))</f>
        <v/>
      </c>
      <c r="W429" s="75" t="str">
        <f>IF(AND('341-CT'!$H$9=H429,OR(LEFT(N429,3)=$W$7,LEFT(O429,3)=$W$7)),"x","")</f>
        <v/>
      </c>
      <c r="X429" s="75" t="str">
        <f>IF(OR(TH!N429=TH!$X$7,O429=TH!$X$7),"x","")</f>
        <v/>
      </c>
      <c r="Y429" s="75" t="str">
        <f>IF(AND(OR(N429="131",O429="131"),H429='131-CT'!$H$9),"x","")</f>
        <v/>
      </c>
      <c r="Z429" s="75"/>
      <c r="AA429" s="75" t="str">
        <f>IF(AND(MONTH(E429)='IN-NX'!$J$5,'IN-NX'!$D$7=D429),"x","")</f>
        <v/>
      </c>
      <c r="AB429" s="75" t="str">
        <f>IF(AND(OR(LEFT(TH!N429,2)="15",LEFT(TH!O429,2)="15"),LEFT(TH!O429,3)&lt;&gt;"111",'152-CT'!$J$8=TH!F429),"x","")</f>
        <v/>
      </c>
      <c r="AC429" s="75" t="str">
        <f>IF(AND(OR(LEFT(TH!N429,2)="15",LEFT(TH!O429,2)="15"),TK!$E$7=TH!F429),"x","")</f>
        <v/>
      </c>
      <c r="AD429" s="75" t="str">
        <f>IF(AND(N429="1521",MONTH(C429)='BK-NL'!$M$11),"x","")</f>
        <v/>
      </c>
    </row>
    <row r="430" spans="1:30" ht="16.5" customHeight="1">
      <c r="A430" s="309" t="str">
        <f>IF(B430&lt;&gt;"",IF(AND(B430='IN-TC'!$S$4,OR(TH!N430="1111",TH!O430="1111")),TH!D430,""),"")</f>
        <v/>
      </c>
      <c r="B430" s="1242">
        <f t="shared" si="64"/>
        <v>5</v>
      </c>
      <c r="C430" s="929">
        <v>42886</v>
      </c>
      <c r="D430" s="929" t="s">
        <v>530</v>
      </c>
      <c r="E430" s="929">
        <v>42861</v>
      </c>
      <c r="F430" s="930" t="s">
        <v>1427</v>
      </c>
      <c r="G430" s="931" t="s">
        <v>1563</v>
      </c>
      <c r="H430" s="735" t="s">
        <v>563</v>
      </c>
      <c r="I430" s="371"/>
      <c r="J430" s="932"/>
      <c r="K430" s="371"/>
      <c r="L430" s="377"/>
      <c r="M430" s="933">
        <v>2931190</v>
      </c>
      <c r="N430" s="934" t="s">
        <v>9</v>
      </c>
      <c r="O430" s="934" t="s">
        <v>8</v>
      </c>
      <c r="P430" s="75" t="str">
        <f>IF(AND('331-CT'!$E$7=TH!H430,OR(N430="331",O430="331")),"x","")</f>
        <v/>
      </c>
      <c r="Q430" s="75" t="str">
        <f>IF(AND(B430='111'!$L$11,OR($N430=$Q$7,$O430=$Q$7)),"x","")</f>
        <v/>
      </c>
      <c r="R430" s="75" t="str">
        <f>IF(AND($N430=$Q$7,$B430&lt;'111'!$L$11),"x","")</f>
        <v/>
      </c>
      <c r="S430" s="75" t="str">
        <f>IF(AND($O430=$Q$7,$B430&lt;'111'!$L$11),"x","")</f>
        <v/>
      </c>
      <c r="T430" s="75" t="str">
        <f>IF(ISERROR(FIND('112'!$M$9,G430,1)),"",IF((AND(FIND('112'!$M$9,G430,1)&gt;=1,B430='112'!$K$9,OR($N430='112'!$I$6,$O430='112'!$I$6))),"x",""))</f>
        <v/>
      </c>
      <c r="U430" s="75" t="str">
        <f>IF(ISERROR(FIND('112'!$M$9,G430,1)),"",IF((AND(LEFT(G430,2)=LEFT('112'!$M$9,2),B430&lt;'112'!$K$9,$N430='112'!$I$6)),"x",""))</f>
        <v/>
      </c>
      <c r="V430" s="75" t="str">
        <f>IF(ISERROR(FIND('112'!$M$9,G430,1)),"",IF((AND(RIGHT(G430,2)=RIGHT('112'!$M$9,2),B430&lt;'112'!$K$9,$O430='112'!$I$6)),"x",""))</f>
        <v/>
      </c>
      <c r="W430" s="75" t="str">
        <f>IF(AND('341-CT'!$H$9=H430,OR(LEFT(N430,3)=$W$7,LEFT(O430,3)=$W$7)),"x","")</f>
        <v/>
      </c>
      <c r="X430" s="75" t="str">
        <f>IF(OR(TH!N430=TH!$X$7,O430=TH!$X$7),"x","")</f>
        <v/>
      </c>
      <c r="Y430" s="75" t="str">
        <f>IF(AND(OR(N430="131",O430="131"),H430='131-CT'!$H$9),"x","")</f>
        <v/>
      </c>
      <c r="Z430" s="75"/>
      <c r="AA430" s="75" t="str">
        <f>IF(AND(MONTH(E430)='IN-NX'!$J$5,'IN-NX'!$D$7=D430),"x","")</f>
        <v/>
      </c>
      <c r="AB430" s="75" t="str">
        <f>IF(AND(OR(LEFT(TH!N430,2)="15",LEFT(TH!O430,2)="15"),LEFT(TH!O430,3)&lt;&gt;"111",'152-CT'!$J$8=TH!F430),"x","")</f>
        <v/>
      </c>
      <c r="AC430" s="75" t="str">
        <f>IF(AND(OR(LEFT(TH!N430,2)="15",LEFT(TH!O430,2)="15"),TK!$E$7=TH!F430),"x","")</f>
        <v/>
      </c>
      <c r="AD430" s="75" t="str">
        <f>IF(AND(N430="1521",MONTH(C430)='BK-NL'!$M$11),"x","")</f>
        <v/>
      </c>
    </row>
    <row r="431" spans="1:30" ht="16.5" customHeight="1">
      <c r="A431" s="309" t="str">
        <f>IF(B431&lt;&gt;"",IF(AND(B431='IN-TC'!$S$4,OR(TH!N431="1111",TH!O431="1111")),TH!D431,""),"")</f>
        <v/>
      </c>
      <c r="B431" s="1242">
        <f t="shared" si="64"/>
        <v>5</v>
      </c>
      <c r="C431" s="929">
        <v>42886</v>
      </c>
      <c r="D431" s="929" t="s">
        <v>530</v>
      </c>
      <c r="E431" s="929">
        <v>42871</v>
      </c>
      <c r="F431" s="930" t="s">
        <v>1428</v>
      </c>
      <c r="G431" s="931" t="s">
        <v>1564</v>
      </c>
      <c r="H431" s="735" t="s">
        <v>563</v>
      </c>
      <c r="I431" s="371"/>
      <c r="J431" s="932"/>
      <c r="K431" s="371"/>
      <c r="L431" s="377"/>
      <c r="M431" s="933">
        <v>33605700</v>
      </c>
      <c r="N431" s="934" t="s">
        <v>272</v>
      </c>
      <c r="O431" s="934" t="s">
        <v>8</v>
      </c>
      <c r="P431" s="75" t="str">
        <f>IF(AND('331-CT'!$E$7=TH!H431,OR(N431="331",O431="331")),"x","")</f>
        <v/>
      </c>
      <c r="Q431" s="75" t="str">
        <f>IF(AND(B431='111'!$L$11,OR($N431=$Q$7,$O431=$Q$7)),"x","")</f>
        <v/>
      </c>
      <c r="R431" s="75" t="str">
        <f>IF(AND($N431=$Q$7,$B431&lt;'111'!$L$11),"x","")</f>
        <v/>
      </c>
      <c r="S431" s="75" t="str">
        <f>IF(AND($O431=$Q$7,$B431&lt;'111'!$L$11),"x","")</f>
        <v/>
      </c>
      <c r="T431" s="75" t="str">
        <f>IF(ISERROR(FIND('112'!$M$9,G431,1)),"",IF((AND(FIND('112'!$M$9,G431,1)&gt;=1,B431='112'!$K$9,OR($N431='112'!$I$6,$O431='112'!$I$6))),"x",""))</f>
        <v/>
      </c>
      <c r="U431" s="75" t="str">
        <f>IF(ISERROR(FIND('112'!$M$9,G431,1)),"",IF((AND(LEFT(G431,2)=LEFT('112'!$M$9,2),B431&lt;'112'!$K$9,$N431='112'!$I$6)),"x",""))</f>
        <v/>
      </c>
      <c r="V431" s="75" t="str">
        <f>IF(ISERROR(FIND('112'!$M$9,G431,1)),"",IF((AND(RIGHT(G431,2)=RIGHT('112'!$M$9,2),B431&lt;'112'!$K$9,$O431='112'!$I$6)),"x",""))</f>
        <v/>
      </c>
      <c r="W431" s="75" t="str">
        <f>IF(AND('341-CT'!$H$9=H431,OR(LEFT(N431,3)=$W$7,LEFT(O431,3)=$W$7)),"x","")</f>
        <v/>
      </c>
      <c r="X431" s="75" t="str">
        <f>IF(OR(TH!N431=TH!$X$7,O431=TH!$X$7),"x","")</f>
        <v/>
      </c>
      <c r="Y431" s="75" t="str">
        <f>IF(AND(OR(N431="131",O431="131"),H431='131-CT'!$H$9),"x","")</f>
        <v/>
      </c>
      <c r="Z431" s="75"/>
      <c r="AA431" s="75" t="str">
        <f>IF(AND(MONTH(E431)='IN-NX'!$J$5,'IN-NX'!$D$7=D431),"x","")</f>
        <v/>
      </c>
      <c r="AB431" s="75" t="str">
        <f>IF(AND(OR(LEFT(TH!N431,2)="15",LEFT(TH!O431,2)="15"),LEFT(TH!O431,3)&lt;&gt;"111",'152-CT'!$J$8=TH!F431),"x","")</f>
        <v/>
      </c>
      <c r="AC431" s="75" t="str">
        <f>IF(AND(OR(LEFT(TH!N431,2)="15",LEFT(TH!O431,2)="15"),TK!$E$7=TH!F431),"x","")</f>
        <v/>
      </c>
      <c r="AD431" s="75" t="str">
        <f>IF(AND(N431="1521",MONTH(C431)='BK-NL'!$M$11),"x","")</f>
        <v/>
      </c>
    </row>
    <row r="432" spans="1:30" ht="16.5" customHeight="1">
      <c r="A432" s="309" t="str">
        <f>IF(B432&lt;&gt;"",IF(AND(B432='IN-TC'!$S$4,OR(TH!N432="1111",TH!O432="1111")),TH!D432,""),"")</f>
        <v/>
      </c>
      <c r="B432" s="1242">
        <f t="shared" si="64"/>
        <v>5</v>
      </c>
      <c r="C432" s="929">
        <v>42886</v>
      </c>
      <c r="D432" s="929" t="s">
        <v>530</v>
      </c>
      <c r="E432" s="929">
        <v>42871</v>
      </c>
      <c r="F432" s="930" t="s">
        <v>1429</v>
      </c>
      <c r="G432" s="931" t="s">
        <v>1564</v>
      </c>
      <c r="H432" s="735" t="s">
        <v>563</v>
      </c>
      <c r="I432" s="371"/>
      <c r="J432" s="932"/>
      <c r="K432" s="371"/>
      <c r="L432" s="377"/>
      <c r="M432" s="933">
        <v>3360570</v>
      </c>
      <c r="N432" s="934" t="s">
        <v>9</v>
      </c>
      <c r="O432" s="934" t="s">
        <v>8</v>
      </c>
      <c r="P432" s="75" t="str">
        <f>IF(AND('331-CT'!$E$7=TH!H432,OR(N432="331",O432="331")),"x","")</f>
        <v/>
      </c>
      <c r="Q432" s="75" t="str">
        <f>IF(AND(B432='111'!$L$11,OR($N432=$Q$7,$O432=$Q$7)),"x","")</f>
        <v/>
      </c>
      <c r="R432" s="75" t="str">
        <f>IF(AND($N432=$Q$7,$B432&lt;'111'!$L$11),"x","")</f>
        <v/>
      </c>
      <c r="S432" s="75" t="str">
        <f>IF(AND($O432=$Q$7,$B432&lt;'111'!$L$11),"x","")</f>
        <v/>
      </c>
      <c r="T432" s="75" t="str">
        <f>IF(ISERROR(FIND('112'!$M$9,G432,1)),"",IF((AND(FIND('112'!$M$9,G432,1)&gt;=1,B432='112'!$K$9,OR($N432='112'!$I$6,$O432='112'!$I$6))),"x",""))</f>
        <v/>
      </c>
      <c r="U432" s="75" t="str">
        <f>IF(ISERROR(FIND('112'!$M$9,G432,1)),"",IF((AND(LEFT(G432,2)=LEFT('112'!$M$9,2),B432&lt;'112'!$K$9,$N432='112'!$I$6)),"x",""))</f>
        <v/>
      </c>
      <c r="V432" s="75" t="str">
        <f>IF(ISERROR(FIND('112'!$M$9,G432,1)),"",IF((AND(RIGHT(G432,2)=RIGHT('112'!$M$9,2),B432&lt;'112'!$K$9,$O432='112'!$I$6)),"x",""))</f>
        <v/>
      </c>
      <c r="W432" s="75" t="str">
        <f>IF(AND('341-CT'!$H$9=H432,OR(LEFT(N432,3)=$W$7,LEFT(O432,3)=$W$7)),"x","")</f>
        <v/>
      </c>
      <c r="X432" s="75" t="str">
        <f>IF(OR(TH!N432=TH!$X$7,O432=TH!$X$7),"x","")</f>
        <v/>
      </c>
      <c r="Y432" s="75" t="str">
        <f>IF(AND(OR(N432="131",O432="131"),H432='131-CT'!$H$9),"x","")</f>
        <v/>
      </c>
      <c r="Z432" s="75"/>
      <c r="AA432" s="75" t="str">
        <f>IF(AND(MONTH(E432)='IN-NX'!$J$5,'IN-NX'!$D$7=D432),"x","")</f>
        <v/>
      </c>
      <c r="AB432" s="75" t="str">
        <f>IF(AND(OR(LEFT(TH!N432,2)="15",LEFT(TH!O432,2)="15"),LEFT(TH!O432,3)&lt;&gt;"111",'152-CT'!$J$8=TH!F432),"x","")</f>
        <v/>
      </c>
      <c r="AC432" s="75" t="str">
        <f>IF(AND(OR(LEFT(TH!N432,2)="15",LEFT(TH!O432,2)="15"),TK!$E$7=TH!F432),"x","")</f>
        <v/>
      </c>
      <c r="AD432" s="75" t="str">
        <f>IF(AND(N432="1521",MONTH(C432)='BK-NL'!$M$11),"x","")</f>
        <v/>
      </c>
    </row>
    <row r="433" spans="1:30" ht="16.5" customHeight="1">
      <c r="A433" s="309" t="str">
        <f>IF(B433&lt;&gt;"",IF(AND(B433='IN-TC'!$S$4,OR(TH!N433="1111",TH!O433="1111")),TH!D433,""),"")</f>
        <v/>
      </c>
      <c r="B433" s="1242">
        <f t="shared" si="64"/>
        <v>5</v>
      </c>
      <c r="C433" s="929">
        <v>42886</v>
      </c>
      <c r="D433" s="929" t="s">
        <v>530</v>
      </c>
      <c r="E433" s="929">
        <v>42881</v>
      </c>
      <c r="F433" s="930" t="s">
        <v>1430</v>
      </c>
      <c r="G433" s="931" t="s">
        <v>1670</v>
      </c>
      <c r="H433" s="735" t="s">
        <v>563</v>
      </c>
      <c r="I433" s="371"/>
      <c r="J433" s="932"/>
      <c r="K433" s="371"/>
      <c r="L433" s="377"/>
      <c r="M433" s="933">
        <v>30245100</v>
      </c>
      <c r="N433" s="934" t="s">
        <v>272</v>
      </c>
      <c r="O433" s="934" t="s">
        <v>8</v>
      </c>
      <c r="P433" s="75" t="str">
        <f>IF(AND('331-CT'!$E$7=TH!H433,OR(N433="331",O433="331")),"x","")</f>
        <v/>
      </c>
      <c r="Q433" s="75" t="str">
        <f>IF(AND(B433='111'!$L$11,OR($N433=$Q$7,$O433=$Q$7)),"x","")</f>
        <v/>
      </c>
      <c r="R433" s="75" t="str">
        <f>IF(AND($N433=$Q$7,$B433&lt;'111'!$L$11),"x","")</f>
        <v/>
      </c>
      <c r="S433" s="75" t="str">
        <f>IF(AND($O433=$Q$7,$B433&lt;'111'!$L$11),"x","")</f>
        <v/>
      </c>
      <c r="T433" s="75" t="str">
        <f>IF(ISERROR(FIND('112'!$M$9,G433,1)),"",IF((AND(FIND('112'!$M$9,G433,1)&gt;=1,B433='112'!$K$9,OR($N433='112'!$I$6,$O433='112'!$I$6))),"x",""))</f>
        <v/>
      </c>
      <c r="U433" s="75" t="str">
        <f>IF(ISERROR(FIND('112'!$M$9,G433,1)),"",IF((AND(LEFT(G433,2)=LEFT('112'!$M$9,2),B433&lt;'112'!$K$9,$N433='112'!$I$6)),"x",""))</f>
        <v/>
      </c>
      <c r="V433" s="75" t="str">
        <f>IF(ISERROR(FIND('112'!$M$9,G433,1)),"",IF((AND(RIGHT(G433,2)=RIGHT('112'!$M$9,2),B433&lt;'112'!$K$9,$O433='112'!$I$6)),"x",""))</f>
        <v/>
      </c>
      <c r="W433" s="75" t="str">
        <f>IF(AND('341-CT'!$H$9=H433,OR(LEFT(N433,3)=$W$7,LEFT(O433,3)=$W$7)),"x","")</f>
        <v/>
      </c>
      <c r="X433" s="75" t="str">
        <f>IF(OR(TH!N433=TH!$X$7,O433=TH!$X$7),"x","")</f>
        <v/>
      </c>
      <c r="Y433" s="75" t="str">
        <f>IF(AND(OR(N433="131",O433="131"),H433='131-CT'!$H$9),"x","")</f>
        <v/>
      </c>
      <c r="Z433" s="75"/>
      <c r="AA433" s="75" t="str">
        <f>IF(AND(MONTH(E433)='IN-NX'!$J$5,'IN-NX'!$D$7=D433),"x","")</f>
        <v/>
      </c>
      <c r="AB433" s="75" t="str">
        <f>IF(AND(OR(LEFT(TH!N433,2)="15",LEFT(TH!O433,2)="15"),LEFT(TH!O433,3)&lt;&gt;"111",'152-CT'!$J$8=TH!F433),"x","")</f>
        <v/>
      </c>
      <c r="AC433" s="75" t="str">
        <f>IF(AND(OR(LEFT(TH!N433,2)="15",LEFT(TH!O433,2)="15"),TK!$E$7=TH!F433),"x","")</f>
        <v/>
      </c>
      <c r="AD433" s="75" t="str">
        <f>IF(AND(N433="1521",MONTH(C433)='BK-NL'!$M$11),"x","")</f>
        <v/>
      </c>
    </row>
    <row r="434" spans="1:30" ht="16.5" customHeight="1">
      <c r="A434" s="309" t="str">
        <f>IF(B434&lt;&gt;"",IF(AND(B434='IN-TC'!$S$4,OR(TH!N434="1111",TH!O434="1111")),TH!D434,""),"")</f>
        <v/>
      </c>
      <c r="B434" s="1242">
        <f t="shared" si="64"/>
        <v>5</v>
      </c>
      <c r="C434" s="929">
        <v>42886</v>
      </c>
      <c r="D434" s="929" t="s">
        <v>530</v>
      </c>
      <c r="E434" s="929">
        <v>42881</v>
      </c>
      <c r="F434" s="930" t="s">
        <v>1431</v>
      </c>
      <c r="G434" s="931" t="s">
        <v>1670</v>
      </c>
      <c r="H434" s="735" t="s">
        <v>563</v>
      </c>
      <c r="I434" s="371"/>
      <c r="J434" s="932"/>
      <c r="K434" s="371"/>
      <c r="L434" s="377"/>
      <c r="M434" s="933">
        <v>3024510</v>
      </c>
      <c r="N434" s="934" t="s">
        <v>9</v>
      </c>
      <c r="O434" s="934" t="s">
        <v>8</v>
      </c>
      <c r="P434" s="75" t="str">
        <f>IF(AND('331-CT'!$E$7=TH!H434,OR(N434="331",O434="331")),"x","")</f>
        <v/>
      </c>
      <c r="Q434" s="75" t="str">
        <f>IF(AND(B434='111'!$L$11,OR($N434=$Q$7,$O434=$Q$7)),"x","")</f>
        <v/>
      </c>
      <c r="R434" s="75" t="str">
        <f>IF(AND($N434=$Q$7,$B434&lt;'111'!$L$11),"x","")</f>
        <v/>
      </c>
      <c r="S434" s="75" t="str">
        <f>IF(AND($O434=$Q$7,$B434&lt;'111'!$L$11),"x","")</f>
        <v/>
      </c>
      <c r="T434" s="75" t="str">
        <f>IF(ISERROR(FIND('112'!$M$9,G434,1)),"",IF((AND(FIND('112'!$M$9,G434,1)&gt;=1,B434='112'!$K$9,OR($N434='112'!$I$6,$O434='112'!$I$6))),"x",""))</f>
        <v/>
      </c>
      <c r="U434" s="75" t="str">
        <f>IF(ISERROR(FIND('112'!$M$9,G434,1)),"",IF((AND(LEFT(G434,2)=LEFT('112'!$M$9,2),B434&lt;'112'!$K$9,$N434='112'!$I$6)),"x",""))</f>
        <v/>
      </c>
      <c r="V434" s="75" t="str">
        <f>IF(ISERROR(FIND('112'!$M$9,G434,1)),"",IF((AND(RIGHT(G434,2)=RIGHT('112'!$M$9,2),B434&lt;'112'!$K$9,$O434='112'!$I$6)),"x",""))</f>
        <v/>
      </c>
      <c r="W434" s="75" t="str">
        <f>IF(AND('341-CT'!$H$9=H434,OR(LEFT(N434,3)=$W$7,LEFT(O434,3)=$W$7)),"x","")</f>
        <v/>
      </c>
      <c r="X434" s="75" t="str">
        <f>IF(OR(TH!N434=TH!$X$7,O434=TH!$X$7),"x","")</f>
        <v/>
      </c>
      <c r="Y434" s="75" t="str">
        <f>IF(AND(OR(N434="131",O434="131"),H434='131-CT'!$H$9),"x","")</f>
        <v/>
      </c>
      <c r="Z434" s="75"/>
      <c r="AA434" s="75" t="str">
        <f>IF(AND(MONTH(E434)='IN-NX'!$J$5,'IN-NX'!$D$7=D434),"x","")</f>
        <v/>
      </c>
      <c r="AB434" s="75" t="str">
        <f>IF(AND(OR(LEFT(TH!N434,2)="15",LEFT(TH!O434,2)="15"),LEFT(TH!O434,3)&lt;&gt;"111",'152-CT'!$J$8=TH!F434),"x","")</f>
        <v/>
      </c>
      <c r="AC434" s="75" t="str">
        <f>IF(AND(OR(LEFT(TH!N434,2)="15",LEFT(TH!O434,2)="15"),TK!$E$7=TH!F434),"x","")</f>
        <v/>
      </c>
      <c r="AD434" s="75" t="str">
        <f>IF(AND(N434="1521",MONTH(C434)='BK-NL'!$M$11),"x","")</f>
        <v/>
      </c>
    </row>
    <row r="435" spans="1:30" ht="16.5" customHeight="1">
      <c r="A435" s="309" t="str">
        <f>IF(B435&lt;&gt;"",IF(AND(B435='IN-TC'!$S$4,OR(TH!N435="1111",TH!O435="1111")),TH!D435,""),"")</f>
        <v/>
      </c>
      <c r="B435" s="1242">
        <f t="shared" si="64"/>
        <v>5</v>
      </c>
      <c r="C435" s="929">
        <v>42886</v>
      </c>
      <c r="D435" s="929" t="s">
        <v>530</v>
      </c>
      <c r="E435" s="929">
        <v>42874</v>
      </c>
      <c r="F435" s="930" t="s">
        <v>808</v>
      </c>
      <c r="G435" s="931" t="s">
        <v>1432</v>
      </c>
      <c r="H435" s="296" t="s">
        <v>622</v>
      </c>
      <c r="I435" s="371"/>
      <c r="J435" s="932"/>
      <c r="K435" s="371"/>
      <c r="L435" s="377"/>
      <c r="M435" s="933">
        <v>75075000</v>
      </c>
      <c r="N435" s="934" t="s">
        <v>539</v>
      </c>
      <c r="O435" s="934" t="s">
        <v>8</v>
      </c>
      <c r="P435" s="75" t="str">
        <f>IF(AND('331-CT'!$E$7=TH!H435,OR(N435="331",O435="331")),"x","")</f>
        <v/>
      </c>
      <c r="Q435" s="75" t="str">
        <f>IF(AND(B435='111'!$L$11,OR($N435=$Q$7,$O435=$Q$7)),"x","")</f>
        <v/>
      </c>
      <c r="R435" s="75" t="str">
        <f>IF(AND($N435=$Q$7,$B435&lt;'111'!$L$11),"x","")</f>
        <v/>
      </c>
      <c r="S435" s="75" t="str">
        <f>IF(AND($O435=$Q$7,$B435&lt;'111'!$L$11),"x","")</f>
        <v/>
      </c>
      <c r="T435" s="75" t="str">
        <f>IF(ISERROR(FIND('112'!$M$9,G435,1)),"",IF((AND(FIND('112'!$M$9,G435,1)&gt;=1,B435='112'!$K$9,OR($N435='112'!$I$6,$O435='112'!$I$6))),"x",""))</f>
        <v/>
      </c>
      <c r="U435" s="75" t="str">
        <f>IF(ISERROR(FIND('112'!$M$9,G435,1)),"",IF((AND(LEFT(G435,2)=LEFT('112'!$M$9,2),B435&lt;'112'!$K$9,$N435='112'!$I$6)),"x",""))</f>
        <v/>
      </c>
      <c r="V435" s="75" t="str">
        <f>IF(ISERROR(FIND('112'!$M$9,G435,1)),"",IF((AND(RIGHT(G435,2)=RIGHT('112'!$M$9,2),B435&lt;'112'!$K$9,$O435='112'!$I$6)),"x",""))</f>
        <v/>
      </c>
      <c r="W435" s="75" t="str">
        <f>IF(AND('341-CT'!$H$9=H435,OR(LEFT(N435,3)=$W$7,LEFT(O435,3)=$W$7)),"x","")</f>
        <v/>
      </c>
      <c r="X435" s="75" t="str">
        <f>IF(OR(TH!N435=TH!$X$7,O435=TH!$X$7),"x","")</f>
        <v/>
      </c>
      <c r="Y435" s="75" t="str">
        <f>IF(AND(OR(N435="131",O435="131"),H435='131-CT'!$H$9),"x","")</f>
        <v/>
      </c>
      <c r="Z435" s="75"/>
      <c r="AA435" s="75" t="str">
        <f>IF(AND(MONTH(E435)='IN-NX'!$J$5,'IN-NX'!$D$7=D435),"x","")</f>
        <v/>
      </c>
      <c r="AB435" s="75" t="str">
        <f>IF(AND(OR(LEFT(TH!N435,2)="15",LEFT(TH!O435,2)="15"),LEFT(TH!O435,3)&lt;&gt;"111",'152-CT'!$J$8=TH!F435),"x","")</f>
        <v/>
      </c>
      <c r="AC435" s="75" t="str">
        <f>IF(AND(OR(LEFT(TH!N435,2)="15",LEFT(TH!O435,2)="15"),TK!$E$7=TH!F435),"x","")</f>
        <v/>
      </c>
      <c r="AD435" s="75" t="str">
        <f>IF(AND(N435="1521",MONTH(C435)='BK-NL'!$M$11),"x","")</f>
        <v/>
      </c>
    </row>
    <row r="436" spans="1:30" ht="16.5" customHeight="1">
      <c r="A436" s="309" t="str">
        <f>IF(B436&lt;&gt;"",IF(AND(B436='IN-TC'!$S$4,OR(TH!N436="1111",TH!O436="1111")),TH!D436,""),"")</f>
        <v/>
      </c>
      <c r="B436" s="1242">
        <f t="shared" si="64"/>
        <v>5</v>
      </c>
      <c r="C436" s="929">
        <v>42886</v>
      </c>
      <c r="D436" s="929" t="s">
        <v>530</v>
      </c>
      <c r="E436" s="929">
        <v>42874</v>
      </c>
      <c r="F436" s="930" t="s">
        <v>810</v>
      </c>
      <c r="G436" s="931" t="s">
        <v>1433</v>
      </c>
      <c r="H436" s="296" t="s">
        <v>622</v>
      </c>
      <c r="I436" s="371"/>
      <c r="J436" s="932"/>
      <c r="K436" s="371"/>
      <c r="L436" s="377"/>
      <c r="M436" s="933">
        <v>31008250</v>
      </c>
      <c r="N436" s="934" t="s">
        <v>539</v>
      </c>
      <c r="O436" s="934" t="s">
        <v>8</v>
      </c>
      <c r="P436" s="75" t="str">
        <f>IF(AND('331-CT'!$E$7=TH!H436,OR(N436="331",O436="331")),"x","")</f>
        <v/>
      </c>
      <c r="Q436" s="75" t="str">
        <f>IF(AND(B436='111'!$L$11,OR($N436=$Q$7,$O436=$Q$7)),"x","")</f>
        <v/>
      </c>
      <c r="R436" s="75" t="str">
        <f>IF(AND($N436=$Q$7,$B436&lt;'111'!$L$11),"x","")</f>
        <v/>
      </c>
      <c r="S436" s="75" t="str">
        <f>IF(AND($O436=$Q$7,$B436&lt;'111'!$L$11),"x","")</f>
        <v/>
      </c>
      <c r="T436" s="75" t="str">
        <f>IF(ISERROR(FIND('112'!$M$9,G436,1)),"",IF((AND(FIND('112'!$M$9,G436,1)&gt;=1,B436='112'!$K$9,OR($N436='112'!$I$6,$O436='112'!$I$6))),"x",""))</f>
        <v/>
      </c>
      <c r="U436" s="75" t="str">
        <f>IF(ISERROR(FIND('112'!$M$9,G436,1)),"",IF((AND(LEFT(G436,2)=LEFT('112'!$M$9,2),B436&lt;'112'!$K$9,$N436='112'!$I$6)),"x",""))</f>
        <v/>
      </c>
      <c r="V436" s="75" t="str">
        <f>IF(ISERROR(FIND('112'!$M$9,G436,1)),"",IF((AND(RIGHT(G436,2)=RIGHT('112'!$M$9,2),B436&lt;'112'!$K$9,$O436='112'!$I$6)),"x",""))</f>
        <v/>
      </c>
      <c r="W436" s="75" t="str">
        <f>IF(AND('341-CT'!$H$9=H436,OR(LEFT(N436,3)=$W$7,LEFT(O436,3)=$W$7)),"x","")</f>
        <v/>
      </c>
      <c r="X436" s="75" t="str">
        <f>IF(OR(TH!N436=TH!$X$7,O436=TH!$X$7),"x","")</f>
        <v/>
      </c>
      <c r="Y436" s="75" t="str">
        <f>IF(AND(OR(N436="131",O436="131"),H436='131-CT'!$H$9),"x","")</f>
        <v/>
      </c>
      <c r="Z436" s="75"/>
      <c r="AA436" s="75" t="str">
        <f>IF(AND(MONTH(E436)='IN-NX'!$J$5,'IN-NX'!$D$7=D436),"x","")</f>
        <v/>
      </c>
      <c r="AB436" s="75" t="str">
        <f>IF(AND(OR(LEFT(TH!N436,2)="15",LEFT(TH!O436,2)="15"),LEFT(TH!O436,3)&lt;&gt;"111",'152-CT'!$J$8=TH!F436),"x","")</f>
        <v/>
      </c>
      <c r="AC436" s="75" t="str">
        <f>IF(AND(OR(LEFT(TH!N436,2)="15",LEFT(TH!O436,2)="15"),TK!$E$7=TH!F436),"x","")</f>
        <v/>
      </c>
      <c r="AD436" s="75" t="str">
        <f>IF(AND(N436="1521",MONTH(C436)='BK-NL'!$M$11),"x","")</f>
        <v/>
      </c>
    </row>
    <row r="437" spans="1:30" ht="16.5" customHeight="1">
      <c r="A437" s="309" t="str">
        <f>IF(B437&lt;&gt;"",IF(AND(B437='IN-TC'!$S$4,OR(TH!N437="1111",TH!O437="1111")),TH!D437,""),"")</f>
        <v/>
      </c>
      <c r="B437" s="1242">
        <f t="shared" si="64"/>
        <v>5</v>
      </c>
      <c r="C437" s="929">
        <v>42886</v>
      </c>
      <c r="D437" s="929" t="s">
        <v>530</v>
      </c>
      <c r="E437" s="929">
        <v>42874</v>
      </c>
      <c r="F437" s="930" t="s">
        <v>811</v>
      </c>
      <c r="G437" s="931" t="s">
        <v>1433</v>
      </c>
      <c r="H437" s="296" t="s">
        <v>622</v>
      </c>
      <c r="I437" s="371"/>
      <c r="J437" s="932"/>
      <c r="K437" s="371"/>
      <c r="L437" s="377"/>
      <c r="M437" s="933">
        <v>3100825</v>
      </c>
      <c r="N437" s="934" t="s">
        <v>9</v>
      </c>
      <c r="O437" s="934" t="s">
        <v>8</v>
      </c>
      <c r="P437" s="75" t="str">
        <f>IF(AND('331-CT'!$E$7=TH!H437,OR(N437="331",O437="331")),"x","")</f>
        <v/>
      </c>
      <c r="Q437" s="75" t="str">
        <f>IF(AND(B437='111'!$L$11,OR($N437=$Q$7,$O437=$Q$7)),"x","")</f>
        <v/>
      </c>
      <c r="R437" s="75" t="str">
        <f>IF(AND($N437=$Q$7,$B437&lt;'111'!$L$11),"x","")</f>
        <v/>
      </c>
      <c r="S437" s="75" t="str">
        <f>IF(AND($O437=$Q$7,$B437&lt;'111'!$L$11),"x","")</f>
        <v/>
      </c>
      <c r="T437" s="75" t="str">
        <f>IF(ISERROR(FIND('112'!$M$9,G437,1)),"",IF((AND(FIND('112'!$M$9,G437,1)&gt;=1,B437='112'!$K$9,OR($N437='112'!$I$6,$O437='112'!$I$6))),"x",""))</f>
        <v/>
      </c>
      <c r="U437" s="75" t="str">
        <f>IF(ISERROR(FIND('112'!$M$9,G437,1)),"",IF((AND(LEFT(G437,2)=LEFT('112'!$M$9,2),B437&lt;'112'!$K$9,$N437='112'!$I$6)),"x",""))</f>
        <v/>
      </c>
      <c r="V437" s="75" t="str">
        <f>IF(ISERROR(FIND('112'!$M$9,G437,1)),"",IF((AND(RIGHT(G437,2)=RIGHT('112'!$M$9,2),B437&lt;'112'!$K$9,$O437='112'!$I$6)),"x",""))</f>
        <v/>
      </c>
      <c r="W437" s="75" t="str">
        <f>IF(AND('341-CT'!$H$9=H437,OR(LEFT(N437,3)=$W$7,LEFT(O437,3)=$W$7)),"x","")</f>
        <v/>
      </c>
      <c r="X437" s="75" t="str">
        <f>IF(OR(TH!N437=TH!$X$7,O437=TH!$X$7),"x","")</f>
        <v/>
      </c>
      <c r="Y437" s="75" t="str">
        <f>IF(AND(OR(N437="131",O437="131"),H437='131-CT'!$H$9),"x","")</f>
        <v/>
      </c>
      <c r="Z437" s="75"/>
      <c r="AA437" s="75" t="str">
        <f>IF(AND(MONTH(E437)='IN-NX'!$J$5,'IN-NX'!$D$7=D437),"x","")</f>
        <v/>
      </c>
      <c r="AB437" s="75" t="str">
        <f>IF(AND(OR(LEFT(TH!N437,2)="15",LEFT(TH!O437,2)="15"),LEFT(TH!O437,3)&lt;&gt;"111",'152-CT'!$J$8=TH!F437),"x","")</f>
        <v/>
      </c>
      <c r="AC437" s="75" t="str">
        <f>IF(AND(OR(LEFT(TH!N437,2)="15",LEFT(TH!O437,2)="15"),TK!$E$7=TH!F437),"x","")</f>
        <v/>
      </c>
      <c r="AD437" s="75" t="str">
        <f>IF(AND(N437="1521",MONTH(C437)='BK-NL'!$M$11),"x","")</f>
        <v/>
      </c>
    </row>
    <row r="438" spans="1:30" ht="16.5" customHeight="1">
      <c r="A438" s="309" t="str">
        <f>IF(B438&lt;&gt;"",IF(AND(B438='IN-TC'!$S$4,OR(TH!N438="1111",TH!O438="1111")),TH!D438,""),"")</f>
        <v/>
      </c>
      <c r="B438" s="1242">
        <f t="shared" si="64"/>
        <v>5</v>
      </c>
      <c r="C438" s="929">
        <v>42886</v>
      </c>
      <c r="D438" s="929" t="s">
        <v>530</v>
      </c>
      <c r="E438" s="929">
        <v>42874</v>
      </c>
      <c r="F438" s="930" t="s">
        <v>808</v>
      </c>
      <c r="G438" s="931" t="s">
        <v>1434</v>
      </c>
      <c r="H438" s="296" t="s">
        <v>622</v>
      </c>
      <c r="I438" s="371"/>
      <c r="J438" s="932"/>
      <c r="K438" s="371"/>
      <c r="L438" s="377"/>
      <c r="M438" s="933">
        <v>75075000</v>
      </c>
      <c r="N438" s="934" t="s">
        <v>539</v>
      </c>
      <c r="O438" s="934" t="s">
        <v>8</v>
      </c>
      <c r="P438" s="75" t="str">
        <f>IF(AND('331-CT'!$E$7=TH!H438,OR(N438="331",O438="331")),"x","")</f>
        <v/>
      </c>
      <c r="Q438" s="75" t="str">
        <f>IF(AND(B438='111'!$L$11,OR($N438=$Q$7,$O438=$Q$7)),"x","")</f>
        <v/>
      </c>
      <c r="R438" s="75" t="str">
        <f>IF(AND($N438=$Q$7,$B438&lt;'111'!$L$11),"x","")</f>
        <v/>
      </c>
      <c r="S438" s="75" t="str">
        <f>IF(AND($O438=$Q$7,$B438&lt;'111'!$L$11),"x","")</f>
        <v/>
      </c>
      <c r="T438" s="75" t="str">
        <f>IF(ISERROR(FIND('112'!$M$9,G438,1)),"",IF((AND(FIND('112'!$M$9,G438,1)&gt;=1,B438='112'!$K$9,OR($N438='112'!$I$6,$O438='112'!$I$6))),"x",""))</f>
        <v/>
      </c>
      <c r="U438" s="75" t="str">
        <f>IF(ISERROR(FIND('112'!$M$9,G438,1)),"",IF((AND(LEFT(G438,2)=LEFT('112'!$M$9,2),B438&lt;'112'!$K$9,$N438='112'!$I$6)),"x",""))</f>
        <v/>
      </c>
      <c r="V438" s="75" t="str">
        <f>IF(ISERROR(FIND('112'!$M$9,G438,1)),"",IF((AND(RIGHT(G438,2)=RIGHT('112'!$M$9,2),B438&lt;'112'!$K$9,$O438='112'!$I$6)),"x",""))</f>
        <v/>
      </c>
      <c r="W438" s="75" t="str">
        <f>IF(AND('341-CT'!$H$9=H438,OR(LEFT(N438,3)=$W$7,LEFT(O438,3)=$W$7)),"x","")</f>
        <v/>
      </c>
      <c r="X438" s="75" t="str">
        <f>IF(OR(TH!N438=TH!$X$7,O438=TH!$X$7),"x","")</f>
        <v/>
      </c>
      <c r="Y438" s="75" t="str">
        <f>IF(AND(OR(N438="131",O438="131"),H438='131-CT'!$H$9),"x","")</f>
        <v/>
      </c>
      <c r="Z438" s="75"/>
      <c r="AA438" s="75" t="str">
        <f>IF(AND(MONTH(E438)='IN-NX'!$J$5,'IN-NX'!$D$7=D438),"x","")</f>
        <v/>
      </c>
      <c r="AB438" s="75" t="str">
        <f>IF(AND(OR(LEFT(TH!N438,2)="15",LEFT(TH!O438,2)="15"),LEFT(TH!O438,3)&lt;&gt;"111",'152-CT'!$J$8=TH!F438),"x","")</f>
        <v/>
      </c>
      <c r="AC438" s="75" t="str">
        <f>IF(AND(OR(LEFT(TH!N438,2)="15",LEFT(TH!O438,2)="15"),TK!$E$7=TH!F438),"x","")</f>
        <v/>
      </c>
      <c r="AD438" s="75" t="str">
        <f>IF(AND(N438="1521",MONTH(C438)='BK-NL'!$M$11),"x","")</f>
        <v/>
      </c>
    </row>
    <row r="439" spans="1:30" ht="16.5" customHeight="1">
      <c r="A439" s="309" t="str">
        <f>IF(B439&lt;&gt;"",IF(AND(B439='IN-TC'!$S$4,OR(TH!N439="1111",TH!O439="1111")),TH!D439,""),"")</f>
        <v/>
      </c>
      <c r="B439" s="1242">
        <f t="shared" si="64"/>
        <v>5</v>
      </c>
      <c r="C439" s="929">
        <v>42886</v>
      </c>
      <c r="D439" s="929" t="s">
        <v>530</v>
      </c>
      <c r="E439" s="929">
        <v>42874</v>
      </c>
      <c r="F439" s="930" t="s">
        <v>810</v>
      </c>
      <c r="G439" s="931" t="s">
        <v>1435</v>
      </c>
      <c r="H439" s="296" t="s">
        <v>622</v>
      </c>
      <c r="I439" s="371"/>
      <c r="J439" s="932"/>
      <c r="K439" s="371"/>
      <c r="L439" s="377"/>
      <c r="M439" s="933">
        <v>31008250</v>
      </c>
      <c r="N439" s="934" t="s">
        <v>539</v>
      </c>
      <c r="O439" s="934" t="s">
        <v>8</v>
      </c>
      <c r="P439" s="75" t="str">
        <f>IF(AND('331-CT'!$E$7=TH!H439,OR(N439="331",O439="331")),"x","")</f>
        <v/>
      </c>
      <c r="Q439" s="75" t="str">
        <f>IF(AND(B439='111'!$L$11,OR($N439=$Q$7,$O439=$Q$7)),"x","")</f>
        <v/>
      </c>
      <c r="R439" s="75" t="str">
        <f>IF(AND($N439=$Q$7,$B439&lt;'111'!$L$11),"x","")</f>
        <v/>
      </c>
      <c r="S439" s="75" t="str">
        <f>IF(AND($O439=$Q$7,$B439&lt;'111'!$L$11),"x","")</f>
        <v/>
      </c>
      <c r="T439" s="75" t="str">
        <f>IF(ISERROR(FIND('112'!$M$9,G439,1)),"",IF((AND(FIND('112'!$M$9,G439,1)&gt;=1,B439='112'!$K$9,OR($N439='112'!$I$6,$O439='112'!$I$6))),"x",""))</f>
        <v/>
      </c>
      <c r="U439" s="75" t="str">
        <f>IF(ISERROR(FIND('112'!$M$9,G439,1)),"",IF((AND(LEFT(G439,2)=LEFT('112'!$M$9,2),B439&lt;'112'!$K$9,$N439='112'!$I$6)),"x",""))</f>
        <v/>
      </c>
      <c r="V439" s="75" t="str">
        <f>IF(ISERROR(FIND('112'!$M$9,G439,1)),"",IF((AND(RIGHT(G439,2)=RIGHT('112'!$M$9,2),B439&lt;'112'!$K$9,$O439='112'!$I$6)),"x",""))</f>
        <v/>
      </c>
      <c r="W439" s="75" t="str">
        <f>IF(AND('341-CT'!$H$9=H439,OR(LEFT(N439,3)=$W$7,LEFT(O439,3)=$W$7)),"x","")</f>
        <v/>
      </c>
      <c r="X439" s="75" t="str">
        <f>IF(OR(TH!N439=TH!$X$7,O439=TH!$X$7),"x","")</f>
        <v/>
      </c>
      <c r="Y439" s="75" t="str">
        <f>IF(AND(OR(N439="131",O439="131"),H439='131-CT'!$H$9),"x","")</f>
        <v/>
      </c>
      <c r="Z439" s="75"/>
      <c r="AA439" s="75" t="str">
        <f>IF(AND(MONTH(E439)='IN-NX'!$J$5,'IN-NX'!$D$7=D439),"x","")</f>
        <v/>
      </c>
      <c r="AB439" s="75" t="str">
        <f>IF(AND(OR(LEFT(TH!N439,2)="15",LEFT(TH!O439,2)="15"),LEFT(TH!O439,3)&lt;&gt;"111",'152-CT'!$J$8=TH!F439),"x","")</f>
        <v/>
      </c>
      <c r="AC439" s="75" t="str">
        <f>IF(AND(OR(LEFT(TH!N439,2)="15",LEFT(TH!O439,2)="15"),TK!$E$7=TH!F439),"x","")</f>
        <v/>
      </c>
      <c r="AD439" s="75" t="str">
        <f>IF(AND(N439="1521",MONTH(C439)='BK-NL'!$M$11),"x","")</f>
        <v/>
      </c>
    </row>
    <row r="440" spans="1:30" ht="16.5" customHeight="1">
      <c r="A440" s="309" t="str">
        <f>IF(B440&lt;&gt;"",IF(AND(B440='IN-TC'!$S$4,OR(TH!N440="1111",TH!O440="1111")),TH!D440,""),"")</f>
        <v/>
      </c>
      <c r="B440" s="1242">
        <f t="shared" si="64"/>
        <v>5</v>
      </c>
      <c r="C440" s="929">
        <v>42886</v>
      </c>
      <c r="D440" s="929" t="s">
        <v>530</v>
      </c>
      <c r="E440" s="929">
        <v>42874</v>
      </c>
      <c r="F440" s="930" t="s">
        <v>811</v>
      </c>
      <c r="G440" s="931" t="s">
        <v>1435</v>
      </c>
      <c r="H440" s="296" t="s">
        <v>622</v>
      </c>
      <c r="I440" s="371"/>
      <c r="J440" s="932"/>
      <c r="K440" s="371"/>
      <c r="L440" s="377"/>
      <c r="M440" s="933">
        <v>3100825</v>
      </c>
      <c r="N440" s="934" t="s">
        <v>9</v>
      </c>
      <c r="O440" s="934" t="s">
        <v>8</v>
      </c>
      <c r="P440" s="75" t="str">
        <f>IF(AND('331-CT'!$E$7=TH!H440,OR(N440="331",O440="331")),"x","")</f>
        <v/>
      </c>
      <c r="Q440" s="75" t="str">
        <f>IF(AND(B440='111'!$L$11,OR($N440=$Q$7,$O440=$Q$7)),"x","")</f>
        <v/>
      </c>
      <c r="R440" s="75" t="str">
        <f>IF(AND($N440=$Q$7,$B440&lt;'111'!$L$11),"x","")</f>
        <v/>
      </c>
      <c r="S440" s="75" t="str">
        <f>IF(AND($O440=$Q$7,$B440&lt;'111'!$L$11),"x","")</f>
        <v/>
      </c>
      <c r="T440" s="75" t="str">
        <f>IF(ISERROR(FIND('112'!$M$9,G440,1)),"",IF((AND(FIND('112'!$M$9,G440,1)&gt;=1,B440='112'!$K$9,OR($N440='112'!$I$6,$O440='112'!$I$6))),"x",""))</f>
        <v/>
      </c>
      <c r="U440" s="75" t="str">
        <f>IF(ISERROR(FIND('112'!$M$9,G440,1)),"",IF((AND(LEFT(G440,2)=LEFT('112'!$M$9,2),B440&lt;'112'!$K$9,$N440='112'!$I$6)),"x",""))</f>
        <v/>
      </c>
      <c r="V440" s="75" t="str">
        <f>IF(ISERROR(FIND('112'!$M$9,G440,1)),"",IF((AND(RIGHT(G440,2)=RIGHT('112'!$M$9,2),B440&lt;'112'!$K$9,$O440='112'!$I$6)),"x",""))</f>
        <v/>
      </c>
      <c r="W440" s="75" t="str">
        <f>IF(AND('341-CT'!$H$9=H440,OR(LEFT(N440,3)=$W$7,LEFT(O440,3)=$W$7)),"x","")</f>
        <v/>
      </c>
      <c r="X440" s="75" t="str">
        <f>IF(OR(TH!N440=TH!$X$7,O440=TH!$X$7),"x","")</f>
        <v/>
      </c>
      <c r="Y440" s="75" t="str">
        <f>IF(AND(OR(N440="131",O440="131"),H440='131-CT'!$H$9),"x","")</f>
        <v/>
      </c>
      <c r="Z440" s="75"/>
      <c r="AA440" s="75" t="str">
        <f>IF(AND(MONTH(E440)='IN-NX'!$J$5,'IN-NX'!$D$7=D440),"x","")</f>
        <v/>
      </c>
      <c r="AB440" s="75" t="str">
        <f>IF(AND(OR(LEFT(TH!N440,2)="15",LEFT(TH!O440,2)="15"),LEFT(TH!O440,3)&lt;&gt;"111",'152-CT'!$J$8=TH!F440),"x","")</f>
        <v/>
      </c>
      <c r="AC440" s="75" t="str">
        <f>IF(AND(OR(LEFT(TH!N440,2)="15",LEFT(TH!O440,2)="15"),TK!$E$7=TH!F440),"x","")</f>
        <v/>
      </c>
      <c r="AD440" s="75" t="str">
        <f>IF(AND(N440="1521",MONTH(C440)='BK-NL'!$M$11),"x","")</f>
        <v/>
      </c>
    </row>
    <row r="441" spans="1:30" ht="16.5" customHeight="1">
      <c r="A441" s="309" t="str">
        <f>IF(B441&lt;&gt;"",IF(AND(B441='IN-TC'!$S$4,OR(TH!N441="1111",TH!O441="1111")),TH!D441,""),"")</f>
        <v/>
      </c>
      <c r="B441" s="1242">
        <f t="shared" si="64"/>
        <v>5</v>
      </c>
      <c r="C441" s="929">
        <v>42886</v>
      </c>
      <c r="D441" s="929" t="s">
        <v>530</v>
      </c>
      <c r="E441" s="929">
        <v>42874</v>
      </c>
      <c r="F441" s="930" t="s">
        <v>808</v>
      </c>
      <c r="G441" s="931" t="s">
        <v>1436</v>
      </c>
      <c r="H441" s="296" t="s">
        <v>622</v>
      </c>
      <c r="I441" s="371"/>
      <c r="J441" s="932"/>
      <c r="K441" s="371"/>
      <c r="L441" s="377"/>
      <c r="M441" s="933">
        <v>81900000</v>
      </c>
      <c r="N441" s="934" t="s">
        <v>539</v>
      </c>
      <c r="O441" s="934" t="s">
        <v>8</v>
      </c>
      <c r="P441" s="75" t="str">
        <f>IF(AND('331-CT'!$E$7=TH!H441,OR(N441="331",O441="331")),"x","")</f>
        <v/>
      </c>
      <c r="Q441" s="75" t="str">
        <f>IF(AND(B441='111'!$L$11,OR($N441=$Q$7,$O441=$Q$7)),"x","")</f>
        <v/>
      </c>
      <c r="R441" s="75" t="str">
        <f>IF(AND($N441=$Q$7,$B441&lt;'111'!$L$11),"x","")</f>
        <v/>
      </c>
      <c r="S441" s="75" t="str">
        <f>IF(AND($O441=$Q$7,$B441&lt;'111'!$L$11),"x","")</f>
        <v/>
      </c>
      <c r="T441" s="75" t="str">
        <f>IF(ISERROR(FIND('112'!$M$9,G441,1)),"",IF((AND(FIND('112'!$M$9,G441,1)&gt;=1,B441='112'!$K$9,OR($N441='112'!$I$6,$O441='112'!$I$6))),"x",""))</f>
        <v/>
      </c>
      <c r="U441" s="75" t="str">
        <f>IF(ISERROR(FIND('112'!$M$9,G441,1)),"",IF((AND(LEFT(G441,2)=LEFT('112'!$M$9,2),B441&lt;'112'!$K$9,$N441='112'!$I$6)),"x",""))</f>
        <v/>
      </c>
      <c r="V441" s="75" t="str">
        <f>IF(ISERROR(FIND('112'!$M$9,G441,1)),"",IF((AND(RIGHT(G441,2)=RIGHT('112'!$M$9,2),B441&lt;'112'!$K$9,$O441='112'!$I$6)),"x",""))</f>
        <v/>
      </c>
      <c r="W441" s="75" t="str">
        <f>IF(AND('341-CT'!$H$9=H441,OR(LEFT(N441,3)=$W$7,LEFT(O441,3)=$W$7)),"x","")</f>
        <v/>
      </c>
      <c r="X441" s="75" t="str">
        <f>IF(OR(TH!N441=TH!$X$7,O441=TH!$X$7),"x","")</f>
        <v/>
      </c>
      <c r="Y441" s="75" t="str">
        <f>IF(AND(OR(N441="131",O441="131"),H441='131-CT'!$H$9),"x","")</f>
        <v/>
      </c>
      <c r="Z441" s="75"/>
      <c r="AA441" s="75" t="str">
        <f>IF(AND(MONTH(E441)='IN-NX'!$J$5,'IN-NX'!$D$7=D441),"x","")</f>
        <v/>
      </c>
      <c r="AB441" s="75" t="str">
        <f>IF(AND(OR(LEFT(TH!N441,2)="15",LEFT(TH!O441,2)="15"),LEFT(TH!O441,3)&lt;&gt;"111",'152-CT'!$J$8=TH!F441),"x","")</f>
        <v/>
      </c>
      <c r="AC441" s="75" t="str">
        <f>IF(AND(OR(LEFT(TH!N441,2)="15",LEFT(TH!O441,2)="15"),TK!$E$7=TH!F441),"x","")</f>
        <v/>
      </c>
      <c r="AD441" s="75" t="str">
        <f>IF(AND(N441="1521",MONTH(C441)='BK-NL'!$M$11),"x","")</f>
        <v/>
      </c>
    </row>
    <row r="442" spans="1:30" ht="16.5" customHeight="1">
      <c r="A442" s="309" t="str">
        <f>IF(B442&lt;&gt;"",IF(AND(B442='IN-TC'!$S$4,OR(TH!N442="1111",TH!O442="1111")),TH!D442,""),"")</f>
        <v/>
      </c>
      <c r="B442" s="1242">
        <f t="shared" si="64"/>
        <v>5</v>
      </c>
      <c r="C442" s="929">
        <v>42886</v>
      </c>
      <c r="D442" s="929" t="s">
        <v>530</v>
      </c>
      <c r="E442" s="929">
        <v>42874</v>
      </c>
      <c r="F442" s="930" t="s">
        <v>810</v>
      </c>
      <c r="G442" s="931" t="s">
        <v>1437</v>
      </c>
      <c r="H442" s="296" t="s">
        <v>622</v>
      </c>
      <c r="I442" s="371"/>
      <c r="J442" s="932"/>
      <c r="K442" s="371"/>
      <c r="L442" s="377"/>
      <c r="M442" s="933">
        <v>31008250</v>
      </c>
      <c r="N442" s="934" t="s">
        <v>539</v>
      </c>
      <c r="O442" s="934" t="s">
        <v>8</v>
      </c>
      <c r="P442" s="75" t="str">
        <f>IF(AND('331-CT'!$E$7=TH!H442,OR(N442="331",O442="331")),"x","")</f>
        <v/>
      </c>
      <c r="Q442" s="75" t="str">
        <f>IF(AND(B442='111'!$L$11,OR($N442=$Q$7,$O442=$Q$7)),"x","")</f>
        <v/>
      </c>
      <c r="R442" s="75" t="str">
        <f>IF(AND($N442=$Q$7,$B442&lt;'111'!$L$11),"x","")</f>
        <v/>
      </c>
      <c r="S442" s="75" t="str">
        <f>IF(AND($O442=$Q$7,$B442&lt;'111'!$L$11),"x","")</f>
        <v/>
      </c>
      <c r="T442" s="75" t="str">
        <f>IF(ISERROR(FIND('112'!$M$9,G442,1)),"",IF((AND(FIND('112'!$M$9,G442,1)&gt;=1,B442='112'!$K$9,OR($N442='112'!$I$6,$O442='112'!$I$6))),"x",""))</f>
        <v/>
      </c>
      <c r="U442" s="75" t="str">
        <f>IF(ISERROR(FIND('112'!$M$9,G442,1)),"",IF((AND(LEFT(G442,2)=LEFT('112'!$M$9,2),B442&lt;'112'!$K$9,$N442='112'!$I$6)),"x",""))</f>
        <v/>
      </c>
      <c r="V442" s="75" t="str">
        <f>IF(ISERROR(FIND('112'!$M$9,G442,1)),"",IF((AND(RIGHT(G442,2)=RIGHT('112'!$M$9,2),B442&lt;'112'!$K$9,$O442='112'!$I$6)),"x",""))</f>
        <v/>
      </c>
      <c r="W442" s="75" t="str">
        <f>IF(AND('341-CT'!$H$9=H442,OR(LEFT(N442,3)=$W$7,LEFT(O442,3)=$W$7)),"x","")</f>
        <v/>
      </c>
      <c r="X442" s="75" t="str">
        <f>IF(OR(TH!N442=TH!$X$7,O442=TH!$X$7),"x","")</f>
        <v/>
      </c>
      <c r="Y442" s="75" t="str">
        <f>IF(AND(OR(N442="131",O442="131"),H442='131-CT'!$H$9),"x","")</f>
        <v/>
      </c>
      <c r="Z442" s="75"/>
      <c r="AA442" s="75" t="str">
        <f>IF(AND(MONTH(E442)='IN-NX'!$J$5,'IN-NX'!$D$7=D442),"x","")</f>
        <v/>
      </c>
      <c r="AB442" s="75" t="str">
        <f>IF(AND(OR(LEFT(TH!N442,2)="15",LEFT(TH!O442,2)="15"),LEFT(TH!O442,3)&lt;&gt;"111",'152-CT'!$J$8=TH!F442),"x","")</f>
        <v/>
      </c>
      <c r="AC442" s="75" t="str">
        <f>IF(AND(OR(LEFT(TH!N442,2)="15",LEFT(TH!O442,2)="15"),TK!$E$7=TH!F442),"x","")</f>
        <v/>
      </c>
      <c r="AD442" s="75" t="str">
        <f>IF(AND(N442="1521",MONTH(C442)='BK-NL'!$M$11),"x","")</f>
        <v/>
      </c>
    </row>
    <row r="443" spans="1:30" ht="16.5" customHeight="1">
      <c r="A443" s="309" t="str">
        <f>IF(B443&lt;&gt;"",IF(AND(B443='IN-TC'!$S$4,OR(TH!N443="1111",TH!O443="1111")),TH!D443,""),"")</f>
        <v/>
      </c>
      <c r="B443" s="1242">
        <f t="shared" si="64"/>
        <v>5</v>
      </c>
      <c r="C443" s="929">
        <v>42886</v>
      </c>
      <c r="D443" s="929" t="s">
        <v>530</v>
      </c>
      <c r="E443" s="929">
        <v>42874</v>
      </c>
      <c r="F443" s="930" t="s">
        <v>811</v>
      </c>
      <c r="G443" s="931" t="s">
        <v>1437</v>
      </c>
      <c r="H443" s="296" t="s">
        <v>622</v>
      </c>
      <c r="I443" s="371"/>
      <c r="J443" s="932"/>
      <c r="K443" s="371"/>
      <c r="L443" s="377"/>
      <c r="M443" s="933">
        <v>3100825</v>
      </c>
      <c r="N443" s="934" t="s">
        <v>9</v>
      </c>
      <c r="O443" s="934" t="s">
        <v>8</v>
      </c>
      <c r="P443" s="75" t="str">
        <f>IF(AND('331-CT'!$E$7=TH!H443,OR(N443="331",O443="331")),"x","")</f>
        <v/>
      </c>
      <c r="Q443" s="75" t="str">
        <f>IF(AND(B443='111'!$L$11,OR($N443=$Q$7,$O443=$Q$7)),"x","")</f>
        <v/>
      </c>
      <c r="R443" s="75" t="str">
        <f>IF(AND($N443=$Q$7,$B443&lt;'111'!$L$11),"x","")</f>
        <v/>
      </c>
      <c r="S443" s="75" t="str">
        <f>IF(AND($O443=$Q$7,$B443&lt;'111'!$L$11),"x","")</f>
        <v/>
      </c>
      <c r="T443" s="75" t="str">
        <f>IF(ISERROR(FIND('112'!$M$9,G443,1)),"",IF((AND(FIND('112'!$M$9,G443,1)&gt;=1,B443='112'!$K$9,OR($N443='112'!$I$6,$O443='112'!$I$6))),"x",""))</f>
        <v/>
      </c>
      <c r="U443" s="75" t="str">
        <f>IF(ISERROR(FIND('112'!$M$9,G443,1)),"",IF((AND(LEFT(G443,2)=LEFT('112'!$M$9,2),B443&lt;'112'!$K$9,$N443='112'!$I$6)),"x",""))</f>
        <v/>
      </c>
      <c r="V443" s="75" t="str">
        <f>IF(ISERROR(FIND('112'!$M$9,G443,1)),"",IF((AND(RIGHT(G443,2)=RIGHT('112'!$M$9,2),B443&lt;'112'!$K$9,$O443='112'!$I$6)),"x",""))</f>
        <v/>
      </c>
      <c r="W443" s="75" t="str">
        <f>IF(AND('341-CT'!$H$9=H443,OR(LEFT(N443,3)=$W$7,LEFT(O443,3)=$W$7)),"x","")</f>
        <v/>
      </c>
      <c r="X443" s="75" t="str">
        <f>IF(OR(TH!N443=TH!$X$7,O443=TH!$X$7),"x","")</f>
        <v/>
      </c>
      <c r="Y443" s="75" t="str">
        <f>IF(AND(OR(N443="131",O443="131"),H443='131-CT'!$H$9),"x","")</f>
        <v/>
      </c>
      <c r="Z443" s="75"/>
      <c r="AA443" s="75" t="str">
        <f>IF(AND(MONTH(E443)='IN-NX'!$J$5,'IN-NX'!$D$7=D443),"x","")</f>
        <v/>
      </c>
      <c r="AB443" s="75" t="str">
        <f>IF(AND(OR(LEFT(TH!N443,2)="15",LEFT(TH!O443,2)="15"),LEFT(TH!O443,3)&lt;&gt;"111",'152-CT'!$J$8=TH!F443),"x","")</f>
        <v/>
      </c>
      <c r="AC443" s="75" t="str">
        <f>IF(AND(OR(LEFT(TH!N443,2)="15",LEFT(TH!O443,2)="15"),TK!$E$7=TH!F443),"x","")</f>
        <v/>
      </c>
      <c r="AD443" s="75" t="str">
        <f>IF(AND(N443="1521",MONTH(C443)='BK-NL'!$M$11),"x","")</f>
        <v/>
      </c>
    </row>
    <row r="444" spans="1:30" ht="16.5" customHeight="1">
      <c r="A444" s="309" t="str">
        <f>IF(B444&lt;&gt;"",IF(AND(B444='IN-TC'!$S$4,OR(TH!N444="1111",TH!O444="1111")),TH!D444,""),"")</f>
        <v/>
      </c>
      <c r="B444" s="1242">
        <f t="shared" si="64"/>
        <v>5</v>
      </c>
      <c r="C444" s="929">
        <v>42886</v>
      </c>
      <c r="D444" s="929" t="s">
        <v>530</v>
      </c>
      <c r="E444" s="929">
        <v>42878</v>
      </c>
      <c r="F444" s="930" t="s">
        <v>808</v>
      </c>
      <c r="G444" s="931" t="s">
        <v>989</v>
      </c>
      <c r="H444" s="296" t="s">
        <v>622</v>
      </c>
      <c r="I444" s="371"/>
      <c r="J444" s="932"/>
      <c r="K444" s="371"/>
      <c r="L444" s="377"/>
      <c r="M444" s="933">
        <v>75075000</v>
      </c>
      <c r="N444" s="934" t="s">
        <v>539</v>
      </c>
      <c r="O444" s="934" t="s">
        <v>8</v>
      </c>
      <c r="P444" s="75" t="str">
        <f>IF(AND('331-CT'!$E$7=TH!H444,OR(N444="331",O444="331")),"x","")</f>
        <v/>
      </c>
      <c r="Q444" s="75" t="str">
        <f>IF(AND(B444='111'!$L$11,OR($N444=$Q$7,$O444=$Q$7)),"x","")</f>
        <v/>
      </c>
      <c r="R444" s="75" t="str">
        <f>IF(AND($N444=$Q$7,$B444&lt;'111'!$L$11),"x","")</f>
        <v/>
      </c>
      <c r="S444" s="75" t="str">
        <f>IF(AND($O444=$Q$7,$B444&lt;'111'!$L$11),"x","")</f>
        <v/>
      </c>
      <c r="T444" s="75" t="str">
        <f>IF(ISERROR(FIND('112'!$M$9,G444,1)),"",IF((AND(FIND('112'!$M$9,G444,1)&gt;=1,B444='112'!$K$9,OR($N444='112'!$I$6,$O444='112'!$I$6))),"x",""))</f>
        <v/>
      </c>
      <c r="U444" s="75" t="str">
        <f>IF(ISERROR(FIND('112'!$M$9,G444,1)),"",IF((AND(LEFT(G444,2)=LEFT('112'!$M$9,2),B444&lt;'112'!$K$9,$N444='112'!$I$6)),"x",""))</f>
        <v/>
      </c>
      <c r="V444" s="75" t="str">
        <f>IF(ISERROR(FIND('112'!$M$9,G444,1)),"",IF((AND(RIGHT(G444,2)=RIGHT('112'!$M$9,2),B444&lt;'112'!$K$9,$O444='112'!$I$6)),"x",""))</f>
        <v/>
      </c>
      <c r="W444" s="75" t="str">
        <f>IF(AND('341-CT'!$H$9=H444,OR(LEFT(N444,3)=$W$7,LEFT(O444,3)=$W$7)),"x","")</f>
        <v/>
      </c>
      <c r="X444" s="75" t="str">
        <f>IF(OR(TH!N444=TH!$X$7,O444=TH!$X$7),"x","")</f>
        <v/>
      </c>
      <c r="Y444" s="75" t="str">
        <f>IF(AND(OR(N444="131",O444="131"),H444='131-CT'!$H$9),"x","")</f>
        <v/>
      </c>
      <c r="Z444" s="75"/>
      <c r="AA444" s="75" t="str">
        <f>IF(AND(MONTH(E444)='IN-NX'!$J$5,'IN-NX'!$D$7=D444),"x","")</f>
        <v/>
      </c>
      <c r="AB444" s="75" t="str">
        <f>IF(AND(OR(LEFT(TH!N444,2)="15",LEFT(TH!O444,2)="15"),LEFT(TH!O444,3)&lt;&gt;"111",'152-CT'!$J$8=TH!F444),"x","")</f>
        <v/>
      </c>
      <c r="AC444" s="75" t="str">
        <f>IF(AND(OR(LEFT(TH!N444,2)="15",LEFT(TH!O444,2)="15"),TK!$E$7=TH!F444),"x","")</f>
        <v/>
      </c>
      <c r="AD444" s="75" t="str">
        <f>IF(AND(N444="1521",MONTH(C444)='BK-NL'!$M$11),"x","")</f>
        <v/>
      </c>
    </row>
    <row r="445" spans="1:30" ht="16.5" customHeight="1">
      <c r="A445" s="309" t="str">
        <f>IF(B445&lt;&gt;"",IF(AND(B445='IN-TC'!$S$4,OR(TH!N445="1111",TH!O445="1111")),TH!D445,""),"")</f>
        <v/>
      </c>
      <c r="B445" s="1242">
        <f t="shared" si="64"/>
        <v>5</v>
      </c>
      <c r="C445" s="929">
        <v>42886</v>
      </c>
      <c r="D445" s="929" t="s">
        <v>530</v>
      </c>
      <c r="E445" s="929">
        <v>42878</v>
      </c>
      <c r="F445" s="930" t="s">
        <v>810</v>
      </c>
      <c r="G445" s="931" t="s">
        <v>1438</v>
      </c>
      <c r="H445" s="296" t="s">
        <v>622</v>
      </c>
      <c r="I445" s="371"/>
      <c r="J445" s="932"/>
      <c r="K445" s="371"/>
      <c r="L445" s="377"/>
      <c r="M445" s="933">
        <v>31008250</v>
      </c>
      <c r="N445" s="934" t="s">
        <v>539</v>
      </c>
      <c r="O445" s="934" t="s">
        <v>8</v>
      </c>
      <c r="P445" s="75" t="str">
        <f>IF(AND('331-CT'!$E$7=TH!H445,OR(N445="331",O445="331")),"x","")</f>
        <v/>
      </c>
      <c r="Q445" s="75" t="str">
        <f>IF(AND(B445='111'!$L$11,OR($N445=$Q$7,$O445=$Q$7)),"x","")</f>
        <v/>
      </c>
      <c r="R445" s="75" t="str">
        <f>IF(AND($N445=$Q$7,$B445&lt;'111'!$L$11),"x","")</f>
        <v/>
      </c>
      <c r="S445" s="75" t="str">
        <f>IF(AND($O445=$Q$7,$B445&lt;'111'!$L$11),"x","")</f>
        <v/>
      </c>
      <c r="T445" s="75" t="str">
        <f>IF(ISERROR(FIND('112'!$M$9,G445,1)),"",IF((AND(FIND('112'!$M$9,G445,1)&gt;=1,B445='112'!$K$9,OR($N445='112'!$I$6,$O445='112'!$I$6))),"x",""))</f>
        <v/>
      </c>
      <c r="U445" s="75" t="str">
        <f>IF(ISERROR(FIND('112'!$M$9,G445,1)),"",IF((AND(LEFT(G445,2)=LEFT('112'!$M$9,2),B445&lt;'112'!$K$9,$N445='112'!$I$6)),"x",""))</f>
        <v/>
      </c>
      <c r="V445" s="75" t="str">
        <f>IF(ISERROR(FIND('112'!$M$9,G445,1)),"",IF((AND(RIGHT(G445,2)=RIGHT('112'!$M$9,2),B445&lt;'112'!$K$9,$O445='112'!$I$6)),"x",""))</f>
        <v/>
      </c>
      <c r="W445" s="75" t="str">
        <f>IF(AND('341-CT'!$H$9=H445,OR(LEFT(N445,3)=$W$7,LEFT(O445,3)=$W$7)),"x","")</f>
        <v/>
      </c>
      <c r="X445" s="75" t="str">
        <f>IF(OR(TH!N445=TH!$X$7,O445=TH!$X$7),"x","")</f>
        <v/>
      </c>
      <c r="Y445" s="75" t="str">
        <f>IF(AND(OR(N445="131",O445="131"),H445='131-CT'!$H$9),"x","")</f>
        <v/>
      </c>
      <c r="Z445" s="75"/>
      <c r="AA445" s="75" t="str">
        <f>IF(AND(MONTH(E445)='IN-NX'!$J$5,'IN-NX'!$D$7=D445),"x","")</f>
        <v/>
      </c>
      <c r="AB445" s="75" t="str">
        <f>IF(AND(OR(LEFT(TH!N445,2)="15",LEFT(TH!O445,2)="15"),LEFT(TH!O445,3)&lt;&gt;"111",'152-CT'!$J$8=TH!F445),"x","")</f>
        <v/>
      </c>
      <c r="AC445" s="75" t="str">
        <f>IF(AND(OR(LEFT(TH!N445,2)="15",LEFT(TH!O445,2)="15"),TK!$E$7=TH!F445),"x","")</f>
        <v/>
      </c>
      <c r="AD445" s="75" t="str">
        <f>IF(AND(N445="1521",MONTH(C445)='BK-NL'!$M$11),"x","")</f>
        <v/>
      </c>
    </row>
    <row r="446" spans="1:30" ht="16.5" customHeight="1">
      <c r="A446" s="309" t="str">
        <f>IF(B446&lt;&gt;"",IF(AND(B446='IN-TC'!$S$4,OR(TH!N446="1111",TH!O446="1111")),TH!D446,""),"")</f>
        <v/>
      </c>
      <c r="B446" s="1242">
        <f t="shared" si="64"/>
        <v>5</v>
      </c>
      <c r="C446" s="929">
        <v>42886</v>
      </c>
      <c r="D446" s="929" t="s">
        <v>530</v>
      </c>
      <c r="E446" s="929">
        <v>42878</v>
      </c>
      <c r="F446" s="930" t="s">
        <v>811</v>
      </c>
      <c r="G446" s="931" t="s">
        <v>1438</v>
      </c>
      <c r="H446" s="296" t="s">
        <v>622</v>
      </c>
      <c r="I446" s="371"/>
      <c r="J446" s="932"/>
      <c r="K446" s="371"/>
      <c r="L446" s="377"/>
      <c r="M446" s="933">
        <v>3100825</v>
      </c>
      <c r="N446" s="934" t="s">
        <v>9</v>
      </c>
      <c r="O446" s="934" t="s">
        <v>8</v>
      </c>
      <c r="P446" s="75" t="str">
        <f>IF(AND('331-CT'!$E$7=TH!H446,OR(N446="331",O446="331")),"x","")</f>
        <v/>
      </c>
      <c r="Q446" s="75" t="str">
        <f>IF(AND(B446='111'!$L$11,OR($N446=$Q$7,$O446=$Q$7)),"x","")</f>
        <v/>
      </c>
      <c r="R446" s="75" t="str">
        <f>IF(AND($N446=$Q$7,$B446&lt;'111'!$L$11),"x","")</f>
        <v/>
      </c>
      <c r="S446" s="75" t="str">
        <f>IF(AND($O446=$Q$7,$B446&lt;'111'!$L$11),"x","")</f>
        <v/>
      </c>
      <c r="T446" s="75" t="str">
        <f>IF(ISERROR(FIND('112'!$M$9,G446,1)),"",IF((AND(FIND('112'!$M$9,G446,1)&gt;=1,B446='112'!$K$9,OR($N446='112'!$I$6,$O446='112'!$I$6))),"x",""))</f>
        <v/>
      </c>
      <c r="U446" s="75" t="str">
        <f>IF(ISERROR(FIND('112'!$M$9,G446,1)),"",IF((AND(LEFT(G446,2)=LEFT('112'!$M$9,2),B446&lt;'112'!$K$9,$N446='112'!$I$6)),"x",""))</f>
        <v/>
      </c>
      <c r="V446" s="75" t="str">
        <f>IF(ISERROR(FIND('112'!$M$9,G446,1)),"",IF((AND(RIGHT(G446,2)=RIGHT('112'!$M$9,2),B446&lt;'112'!$K$9,$O446='112'!$I$6)),"x",""))</f>
        <v/>
      </c>
      <c r="W446" s="75" t="str">
        <f>IF(AND('341-CT'!$H$9=H446,OR(LEFT(N446,3)=$W$7,LEFT(O446,3)=$W$7)),"x","")</f>
        <v/>
      </c>
      <c r="X446" s="75" t="str">
        <f>IF(OR(TH!N446=TH!$X$7,O446=TH!$X$7),"x","")</f>
        <v/>
      </c>
      <c r="Y446" s="75" t="str">
        <f>IF(AND(OR(N446="131",O446="131"),H446='131-CT'!$H$9),"x","")</f>
        <v/>
      </c>
      <c r="Z446" s="75"/>
      <c r="AA446" s="75" t="str">
        <f>IF(AND(MONTH(E446)='IN-NX'!$J$5,'IN-NX'!$D$7=D446),"x","")</f>
        <v/>
      </c>
      <c r="AB446" s="75" t="str">
        <f>IF(AND(OR(LEFT(TH!N446,2)="15",LEFT(TH!O446,2)="15"),LEFT(TH!O446,3)&lt;&gt;"111",'152-CT'!$J$8=TH!F446),"x","")</f>
        <v/>
      </c>
      <c r="AC446" s="75" t="str">
        <f>IF(AND(OR(LEFT(TH!N446,2)="15",LEFT(TH!O446,2)="15"),TK!$E$7=TH!F446),"x","")</f>
        <v/>
      </c>
      <c r="AD446" s="75" t="str">
        <f>IF(AND(N446="1521",MONTH(C446)='BK-NL'!$M$11),"x","")</f>
        <v/>
      </c>
    </row>
    <row r="447" spans="1:30" ht="16.5" customHeight="1">
      <c r="A447" s="309" t="str">
        <f>IF(B447&lt;&gt;"",IF(AND(B447='IN-TC'!$S$4,OR(TH!N447="1111",TH!O447="1111")),TH!D447,""),"")</f>
        <v/>
      </c>
      <c r="B447" s="1242">
        <f t="shared" si="64"/>
        <v>5</v>
      </c>
      <c r="C447" s="929">
        <v>42886</v>
      </c>
      <c r="D447" s="929" t="s">
        <v>530</v>
      </c>
      <c r="E447" s="929">
        <v>42885</v>
      </c>
      <c r="F447" s="930" t="s">
        <v>808</v>
      </c>
      <c r="G447" s="931" t="s">
        <v>1439</v>
      </c>
      <c r="H447" s="296" t="s">
        <v>622</v>
      </c>
      <c r="I447" s="371"/>
      <c r="J447" s="932"/>
      <c r="K447" s="371"/>
      <c r="L447" s="377"/>
      <c r="M447" s="933">
        <v>81900000</v>
      </c>
      <c r="N447" s="934" t="s">
        <v>539</v>
      </c>
      <c r="O447" s="934" t="s">
        <v>8</v>
      </c>
      <c r="P447" s="75" t="str">
        <f>IF(AND('331-CT'!$E$7=TH!H447,OR(N447="331",O447="331")),"x","")</f>
        <v/>
      </c>
      <c r="Q447" s="75" t="str">
        <f>IF(AND(B447='111'!$L$11,OR($N447=$Q$7,$O447=$Q$7)),"x","")</f>
        <v/>
      </c>
      <c r="R447" s="75" t="str">
        <f>IF(AND($N447=$Q$7,$B447&lt;'111'!$L$11),"x","")</f>
        <v/>
      </c>
      <c r="S447" s="75" t="str">
        <f>IF(AND($O447=$Q$7,$B447&lt;'111'!$L$11),"x","")</f>
        <v/>
      </c>
      <c r="T447" s="75" t="str">
        <f>IF(ISERROR(FIND('112'!$M$9,G447,1)),"",IF((AND(FIND('112'!$M$9,G447,1)&gt;=1,B447='112'!$K$9,OR($N447='112'!$I$6,$O447='112'!$I$6))),"x",""))</f>
        <v/>
      </c>
      <c r="U447" s="75" t="str">
        <f>IF(ISERROR(FIND('112'!$M$9,G447,1)),"",IF((AND(LEFT(G447,2)=LEFT('112'!$M$9,2),B447&lt;'112'!$K$9,$N447='112'!$I$6)),"x",""))</f>
        <v/>
      </c>
      <c r="V447" s="75" t="str">
        <f>IF(ISERROR(FIND('112'!$M$9,G447,1)),"",IF((AND(RIGHT(G447,2)=RIGHT('112'!$M$9,2),B447&lt;'112'!$K$9,$O447='112'!$I$6)),"x",""))</f>
        <v/>
      </c>
      <c r="W447" s="75" t="str">
        <f>IF(AND('341-CT'!$H$9=H447,OR(LEFT(N447,3)=$W$7,LEFT(O447,3)=$W$7)),"x","")</f>
        <v/>
      </c>
      <c r="X447" s="75" t="str">
        <f>IF(OR(TH!N447=TH!$X$7,O447=TH!$X$7),"x","")</f>
        <v/>
      </c>
      <c r="Y447" s="75" t="str">
        <f>IF(AND(OR(N447="131",O447="131"),H447='131-CT'!$H$9),"x","")</f>
        <v/>
      </c>
      <c r="Z447" s="75"/>
      <c r="AA447" s="75" t="str">
        <f>IF(AND(MONTH(E447)='IN-NX'!$J$5,'IN-NX'!$D$7=D447),"x","")</f>
        <v/>
      </c>
      <c r="AB447" s="75" t="str">
        <f>IF(AND(OR(LEFT(TH!N447,2)="15",LEFT(TH!O447,2)="15"),LEFT(TH!O447,3)&lt;&gt;"111",'152-CT'!$J$8=TH!F447),"x","")</f>
        <v/>
      </c>
      <c r="AC447" s="75" t="str">
        <f>IF(AND(OR(LEFT(TH!N447,2)="15",LEFT(TH!O447,2)="15"),TK!$E$7=TH!F447),"x","")</f>
        <v/>
      </c>
      <c r="AD447" s="75" t="str">
        <f>IF(AND(N447="1521",MONTH(C447)='BK-NL'!$M$11),"x","")</f>
        <v/>
      </c>
    </row>
    <row r="448" spans="1:30" ht="16.5" customHeight="1">
      <c r="A448" s="309" t="str">
        <f>IF(B448&lt;&gt;"",IF(AND(B448='IN-TC'!$S$4,OR(TH!N448="1111",TH!O448="1111")),TH!D448,""),"")</f>
        <v/>
      </c>
      <c r="B448" s="1242">
        <f t="shared" si="64"/>
        <v>5</v>
      </c>
      <c r="C448" s="929">
        <v>42886</v>
      </c>
      <c r="D448" s="929" t="s">
        <v>530</v>
      </c>
      <c r="E448" s="929">
        <v>42885</v>
      </c>
      <c r="F448" s="930" t="s">
        <v>810</v>
      </c>
      <c r="G448" s="931" t="s">
        <v>1374</v>
      </c>
      <c r="H448" s="296" t="s">
        <v>622</v>
      </c>
      <c r="I448" s="371"/>
      <c r="J448" s="932"/>
      <c r="K448" s="371"/>
      <c r="L448" s="377"/>
      <c r="M448" s="933">
        <v>31008250</v>
      </c>
      <c r="N448" s="934" t="s">
        <v>539</v>
      </c>
      <c r="O448" s="934" t="s">
        <v>8</v>
      </c>
      <c r="P448" s="75" t="str">
        <f>IF(AND('331-CT'!$E$7=TH!H448,OR(N448="331",O448="331")),"x","")</f>
        <v/>
      </c>
      <c r="Q448" s="75" t="str">
        <f>IF(AND(B448='111'!$L$11,OR($N448=$Q$7,$O448=$Q$7)),"x","")</f>
        <v/>
      </c>
      <c r="R448" s="75" t="str">
        <f>IF(AND($N448=$Q$7,$B448&lt;'111'!$L$11),"x","")</f>
        <v/>
      </c>
      <c r="S448" s="75" t="str">
        <f>IF(AND($O448=$Q$7,$B448&lt;'111'!$L$11),"x","")</f>
        <v/>
      </c>
      <c r="T448" s="75" t="str">
        <f>IF(ISERROR(FIND('112'!$M$9,G448,1)),"",IF((AND(FIND('112'!$M$9,G448,1)&gt;=1,B448='112'!$K$9,OR($N448='112'!$I$6,$O448='112'!$I$6))),"x",""))</f>
        <v/>
      </c>
      <c r="U448" s="75" t="str">
        <f>IF(ISERROR(FIND('112'!$M$9,G448,1)),"",IF((AND(LEFT(G448,2)=LEFT('112'!$M$9,2),B448&lt;'112'!$K$9,$N448='112'!$I$6)),"x",""))</f>
        <v/>
      </c>
      <c r="V448" s="75" t="str">
        <f>IF(ISERROR(FIND('112'!$M$9,G448,1)),"",IF((AND(RIGHT(G448,2)=RIGHT('112'!$M$9,2),B448&lt;'112'!$K$9,$O448='112'!$I$6)),"x",""))</f>
        <v/>
      </c>
      <c r="W448" s="75" t="str">
        <f>IF(AND('341-CT'!$H$9=H448,OR(LEFT(N448,3)=$W$7,LEFT(O448,3)=$W$7)),"x","")</f>
        <v/>
      </c>
      <c r="X448" s="75" t="str">
        <f>IF(OR(TH!N448=TH!$X$7,O448=TH!$X$7),"x","")</f>
        <v/>
      </c>
      <c r="Y448" s="75" t="str">
        <f>IF(AND(OR(N448="131",O448="131"),H448='131-CT'!$H$9),"x","")</f>
        <v/>
      </c>
      <c r="Z448" s="75"/>
      <c r="AA448" s="75" t="str">
        <f>IF(AND(MONTH(E448)='IN-NX'!$J$5,'IN-NX'!$D$7=D448),"x","")</f>
        <v/>
      </c>
      <c r="AB448" s="75" t="str">
        <f>IF(AND(OR(LEFT(TH!N448,2)="15",LEFT(TH!O448,2)="15"),LEFT(TH!O448,3)&lt;&gt;"111",'152-CT'!$J$8=TH!F448),"x","")</f>
        <v/>
      </c>
      <c r="AC448" s="75" t="str">
        <f>IF(AND(OR(LEFT(TH!N448,2)="15",LEFT(TH!O448,2)="15"),TK!$E$7=TH!F448),"x","")</f>
        <v/>
      </c>
      <c r="AD448" s="75" t="str">
        <f>IF(AND(N448="1521",MONTH(C448)='BK-NL'!$M$11),"x","")</f>
        <v/>
      </c>
    </row>
    <row r="449" spans="1:31" ht="16.5" customHeight="1">
      <c r="A449" s="309" t="str">
        <f>IF(B449&lt;&gt;"",IF(AND(B449='IN-TC'!$S$4,OR(TH!N449="1111",TH!O449="1111")),TH!D449,""),"")</f>
        <v/>
      </c>
      <c r="B449" s="1242">
        <f t="shared" si="64"/>
        <v>5</v>
      </c>
      <c r="C449" s="929">
        <v>42886</v>
      </c>
      <c r="D449" s="929" t="s">
        <v>530</v>
      </c>
      <c r="E449" s="929">
        <v>42885</v>
      </c>
      <c r="F449" s="930" t="s">
        <v>811</v>
      </c>
      <c r="G449" s="931" t="s">
        <v>1374</v>
      </c>
      <c r="H449" s="296" t="s">
        <v>622</v>
      </c>
      <c r="I449" s="371"/>
      <c r="J449" s="932"/>
      <c r="K449" s="371"/>
      <c r="L449" s="377"/>
      <c r="M449" s="933">
        <v>3100825</v>
      </c>
      <c r="N449" s="934" t="s">
        <v>9</v>
      </c>
      <c r="O449" s="934" t="s">
        <v>8</v>
      </c>
      <c r="P449" s="75" t="str">
        <f>IF(AND('331-CT'!$E$7=TH!H449,OR(N449="331",O449="331")),"x","")</f>
        <v/>
      </c>
      <c r="Q449" s="75" t="str">
        <f>IF(AND(B449='111'!$L$11,OR($N449=$Q$7,$O449=$Q$7)),"x","")</f>
        <v/>
      </c>
      <c r="R449" s="75" t="str">
        <f>IF(AND($N449=$Q$7,$B449&lt;'111'!$L$11),"x","")</f>
        <v/>
      </c>
      <c r="S449" s="75" t="str">
        <f>IF(AND($O449=$Q$7,$B449&lt;'111'!$L$11),"x","")</f>
        <v/>
      </c>
      <c r="T449" s="75" t="str">
        <f>IF(ISERROR(FIND('112'!$M$9,G449,1)),"",IF((AND(FIND('112'!$M$9,G449,1)&gt;=1,B449='112'!$K$9,OR($N449='112'!$I$6,$O449='112'!$I$6))),"x",""))</f>
        <v/>
      </c>
      <c r="U449" s="75" t="str">
        <f>IF(ISERROR(FIND('112'!$M$9,G449,1)),"",IF((AND(LEFT(G449,2)=LEFT('112'!$M$9,2),B449&lt;'112'!$K$9,$N449='112'!$I$6)),"x",""))</f>
        <v/>
      </c>
      <c r="V449" s="75" t="str">
        <f>IF(ISERROR(FIND('112'!$M$9,G449,1)),"",IF((AND(RIGHT(G449,2)=RIGHT('112'!$M$9,2),B449&lt;'112'!$K$9,$O449='112'!$I$6)),"x",""))</f>
        <v/>
      </c>
      <c r="W449" s="75" t="str">
        <f>IF(AND('341-CT'!$H$9=H449,OR(LEFT(N449,3)=$W$7,LEFT(O449,3)=$W$7)),"x","")</f>
        <v/>
      </c>
      <c r="X449" s="75" t="str">
        <f>IF(OR(TH!N449=TH!$X$7,O449=TH!$X$7),"x","")</f>
        <v/>
      </c>
      <c r="Y449" s="75" t="str">
        <f>IF(AND(OR(N449="131",O449="131"),H449='131-CT'!$H$9),"x","")</f>
        <v/>
      </c>
      <c r="Z449" s="75"/>
      <c r="AA449" s="75" t="str">
        <f>IF(AND(MONTH(E449)='IN-NX'!$J$5,'IN-NX'!$D$7=D449),"x","")</f>
        <v/>
      </c>
      <c r="AB449" s="75" t="str">
        <f>IF(AND(OR(LEFT(TH!N449,2)="15",LEFT(TH!O449,2)="15"),LEFT(TH!O449,3)&lt;&gt;"111",'152-CT'!$J$8=TH!F449),"x","")</f>
        <v/>
      </c>
      <c r="AC449" s="75" t="str">
        <f>IF(AND(OR(LEFT(TH!N449,2)="15",LEFT(TH!O449,2)="15"),TK!$E$7=TH!F449),"x","")</f>
        <v/>
      </c>
      <c r="AD449" s="75" t="str">
        <f>IF(AND(N449="1521",MONTH(C449)='BK-NL'!$M$11),"x","")</f>
        <v/>
      </c>
    </row>
    <row r="450" spans="1:31" ht="16.5" customHeight="1">
      <c r="A450" s="309" t="str">
        <f>IF(B450&lt;&gt;"",IF(AND(B450='IN-TC'!$S$4,OR(TH!N450="1111",TH!O450="1111")),TH!D450,""),"")</f>
        <v/>
      </c>
      <c r="B450" s="1242">
        <f t="shared" si="64"/>
        <v>5</v>
      </c>
      <c r="C450" s="929">
        <v>42886</v>
      </c>
      <c r="D450" s="929" t="s">
        <v>530</v>
      </c>
      <c r="E450" s="929">
        <v>42885</v>
      </c>
      <c r="F450" s="930" t="s">
        <v>808</v>
      </c>
      <c r="G450" s="931" t="s">
        <v>1440</v>
      </c>
      <c r="H450" s="296" t="s">
        <v>622</v>
      </c>
      <c r="I450" s="371"/>
      <c r="J450" s="932"/>
      <c r="K450" s="371"/>
      <c r="L450" s="377"/>
      <c r="M450" s="933">
        <v>75174000</v>
      </c>
      <c r="N450" s="934" t="s">
        <v>539</v>
      </c>
      <c r="O450" s="934" t="s">
        <v>8</v>
      </c>
      <c r="P450" s="75" t="str">
        <f>IF(AND('331-CT'!$E$7=TH!H450,OR(N450="331",O450="331")),"x","")</f>
        <v/>
      </c>
      <c r="Q450" s="75" t="str">
        <f>IF(AND(B450='111'!$L$11,OR($N450=$Q$7,$O450=$Q$7)),"x","")</f>
        <v/>
      </c>
      <c r="R450" s="75" t="str">
        <f>IF(AND($N450=$Q$7,$B450&lt;'111'!$L$11),"x","")</f>
        <v/>
      </c>
      <c r="S450" s="75" t="str">
        <f>IF(AND($O450=$Q$7,$B450&lt;'111'!$L$11),"x","")</f>
        <v/>
      </c>
      <c r="T450" s="75" t="str">
        <f>IF(ISERROR(FIND('112'!$M$9,G450,1)),"",IF((AND(FIND('112'!$M$9,G450,1)&gt;=1,B450='112'!$K$9,OR($N450='112'!$I$6,$O450='112'!$I$6))),"x",""))</f>
        <v/>
      </c>
      <c r="U450" s="75" t="str">
        <f>IF(ISERROR(FIND('112'!$M$9,G450,1)),"",IF((AND(LEFT(G450,2)=LEFT('112'!$M$9,2),B450&lt;'112'!$K$9,$N450='112'!$I$6)),"x",""))</f>
        <v/>
      </c>
      <c r="V450" s="75" t="str">
        <f>IF(ISERROR(FIND('112'!$M$9,G450,1)),"",IF((AND(RIGHT(G450,2)=RIGHT('112'!$M$9,2),B450&lt;'112'!$K$9,$O450='112'!$I$6)),"x",""))</f>
        <v/>
      </c>
      <c r="W450" s="75" t="str">
        <f>IF(AND('341-CT'!$H$9=H450,OR(LEFT(N450,3)=$W$7,LEFT(O450,3)=$W$7)),"x","")</f>
        <v/>
      </c>
      <c r="X450" s="75" t="str">
        <f>IF(OR(TH!N450=TH!$X$7,O450=TH!$X$7),"x","")</f>
        <v/>
      </c>
      <c r="Y450" s="75" t="str">
        <f>IF(AND(OR(N450="131",O450="131"),H450='131-CT'!$H$9),"x","")</f>
        <v/>
      </c>
      <c r="Z450" s="75"/>
      <c r="AA450" s="75" t="str">
        <f>IF(AND(MONTH(E450)='IN-NX'!$J$5,'IN-NX'!$D$7=D450),"x","")</f>
        <v/>
      </c>
      <c r="AB450" s="75" t="str">
        <f>IF(AND(OR(LEFT(TH!N450,2)="15",LEFT(TH!O450,2)="15"),LEFT(TH!O450,3)&lt;&gt;"111",'152-CT'!$J$8=TH!F450),"x","")</f>
        <v/>
      </c>
      <c r="AC450" s="75" t="str">
        <f>IF(AND(OR(LEFT(TH!N450,2)="15",LEFT(TH!O450,2)="15"),TK!$E$7=TH!F450),"x","")</f>
        <v/>
      </c>
      <c r="AD450" s="75" t="str">
        <f>IF(AND(N450="1521",MONTH(C450)='BK-NL'!$M$11),"x","")</f>
        <v/>
      </c>
    </row>
    <row r="451" spans="1:31" ht="16.5" customHeight="1">
      <c r="A451" s="309" t="str">
        <f>IF(B451&lt;&gt;"",IF(AND(B451='IN-TC'!$S$4,OR(TH!N451="1111",TH!O451="1111")),TH!D451,""),"")</f>
        <v/>
      </c>
      <c r="B451" s="1242">
        <f t="shared" si="64"/>
        <v>5</v>
      </c>
      <c r="C451" s="929">
        <v>42886</v>
      </c>
      <c r="D451" s="929" t="s">
        <v>530</v>
      </c>
      <c r="E451" s="929">
        <v>42885</v>
      </c>
      <c r="F451" s="930" t="s">
        <v>810</v>
      </c>
      <c r="G451" s="931" t="s">
        <v>1441</v>
      </c>
      <c r="H451" s="296" t="s">
        <v>622</v>
      </c>
      <c r="I451" s="371"/>
      <c r="J451" s="932"/>
      <c r="K451" s="371"/>
      <c r="L451" s="377"/>
      <c r="M451" s="933">
        <v>31049140</v>
      </c>
      <c r="N451" s="934" t="s">
        <v>539</v>
      </c>
      <c r="O451" s="934" t="s">
        <v>8</v>
      </c>
      <c r="P451" s="75" t="str">
        <f>IF(AND('331-CT'!$E$7=TH!H451,OR(N451="331",O451="331")),"x","")</f>
        <v/>
      </c>
      <c r="Q451" s="75" t="str">
        <f>IF(AND(B451='111'!$L$11,OR($N451=$Q$7,$O451=$Q$7)),"x","")</f>
        <v/>
      </c>
      <c r="R451" s="75" t="str">
        <f>IF(AND($N451=$Q$7,$B451&lt;'111'!$L$11),"x","")</f>
        <v/>
      </c>
      <c r="S451" s="75" t="str">
        <f>IF(AND($O451=$Q$7,$B451&lt;'111'!$L$11),"x","")</f>
        <v/>
      </c>
      <c r="T451" s="75" t="str">
        <f>IF(ISERROR(FIND('112'!$M$9,G451,1)),"",IF((AND(FIND('112'!$M$9,G451,1)&gt;=1,B451='112'!$K$9,OR($N451='112'!$I$6,$O451='112'!$I$6))),"x",""))</f>
        <v/>
      </c>
      <c r="U451" s="75" t="str">
        <f>IF(ISERROR(FIND('112'!$M$9,G451,1)),"",IF((AND(LEFT(G451,2)=LEFT('112'!$M$9,2),B451&lt;'112'!$K$9,$N451='112'!$I$6)),"x",""))</f>
        <v/>
      </c>
      <c r="V451" s="75" t="str">
        <f>IF(ISERROR(FIND('112'!$M$9,G451,1)),"",IF((AND(RIGHT(G451,2)=RIGHT('112'!$M$9,2),B451&lt;'112'!$K$9,$O451='112'!$I$6)),"x",""))</f>
        <v/>
      </c>
      <c r="W451" s="75" t="str">
        <f>IF(AND('341-CT'!$H$9=H451,OR(LEFT(N451,3)=$W$7,LEFT(O451,3)=$W$7)),"x","")</f>
        <v/>
      </c>
      <c r="X451" s="75" t="str">
        <f>IF(OR(TH!N451=TH!$X$7,O451=TH!$X$7),"x","")</f>
        <v/>
      </c>
      <c r="Y451" s="75" t="str">
        <f>IF(AND(OR(N451="131",O451="131"),H451='131-CT'!$H$9),"x","")</f>
        <v/>
      </c>
      <c r="Z451" s="75"/>
      <c r="AA451" s="75" t="str">
        <f>IF(AND(MONTH(E451)='IN-NX'!$J$5,'IN-NX'!$D$7=D451),"x","")</f>
        <v/>
      </c>
      <c r="AB451" s="75" t="str">
        <f>IF(AND(OR(LEFT(TH!N451,2)="15",LEFT(TH!O451,2)="15"),LEFT(TH!O451,3)&lt;&gt;"111",'152-CT'!$J$8=TH!F451),"x","")</f>
        <v/>
      </c>
      <c r="AC451" s="75" t="str">
        <f>IF(AND(OR(LEFT(TH!N451,2)="15",LEFT(TH!O451,2)="15"),TK!$E$7=TH!F451),"x","")</f>
        <v/>
      </c>
      <c r="AD451" s="75" t="str">
        <f>IF(AND(N451="1521",MONTH(C451)='BK-NL'!$M$11),"x","")</f>
        <v/>
      </c>
    </row>
    <row r="452" spans="1:31" ht="16.5" customHeight="1">
      <c r="A452" s="309" t="str">
        <f>IF(B452&lt;&gt;"",IF(AND(B452='IN-TC'!$S$4,OR(TH!N452="1111",TH!O452="1111")),TH!D452,""),"")</f>
        <v/>
      </c>
      <c r="B452" s="1242">
        <f t="shared" si="64"/>
        <v>5</v>
      </c>
      <c r="C452" s="929">
        <v>42886</v>
      </c>
      <c r="D452" s="929" t="s">
        <v>530</v>
      </c>
      <c r="E452" s="929">
        <v>42885</v>
      </c>
      <c r="F452" s="930" t="s">
        <v>811</v>
      </c>
      <c r="G452" s="931" t="s">
        <v>1441</v>
      </c>
      <c r="H452" s="296" t="s">
        <v>622</v>
      </c>
      <c r="I452" s="371"/>
      <c r="J452" s="932"/>
      <c r="K452" s="371"/>
      <c r="L452" s="377"/>
      <c r="M452" s="933">
        <v>3104914</v>
      </c>
      <c r="N452" s="934" t="s">
        <v>9</v>
      </c>
      <c r="O452" s="934" t="s">
        <v>8</v>
      </c>
      <c r="P452" s="75" t="str">
        <f>IF(AND('331-CT'!$E$7=TH!H452,OR(N452="331",O452="331")),"x","")</f>
        <v/>
      </c>
      <c r="Q452" s="75" t="str">
        <f>IF(AND(B452='111'!$L$11,OR($N452=$Q$7,$O452=$Q$7)),"x","")</f>
        <v/>
      </c>
      <c r="R452" s="75" t="str">
        <f>IF(AND($N452=$Q$7,$B452&lt;'111'!$L$11),"x","")</f>
        <v/>
      </c>
      <c r="S452" s="75" t="str">
        <f>IF(AND($O452=$Q$7,$B452&lt;'111'!$L$11),"x","")</f>
        <v/>
      </c>
      <c r="T452" s="75" t="str">
        <f>IF(ISERROR(FIND('112'!$M$9,G452,1)),"",IF((AND(FIND('112'!$M$9,G452,1)&gt;=1,B452='112'!$K$9,OR($N452='112'!$I$6,$O452='112'!$I$6))),"x",""))</f>
        <v/>
      </c>
      <c r="U452" s="75" t="str">
        <f>IF(ISERROR(FIND('112'!$M$9,G452,1)),"",IF((AND(LEFT(G452,2)=LEFT('112'!$M$9,2),B452&lt;'112'!$K$9,$N452='112'!$I$6)),"x",""))</f>
        <v/>
      </c>
      <c r="V452" s="75" t="str">
        <f>IF(ISERROR(FIND('112'!$M$9,G452,1)),"",IF((AND(RIGHT(G452,2)=RIGHT('112'!$M$9,2),B452&lt;'112'!$K$9,$O452='112'!$I$6)),"x",""))</f>
        <v/>
      </c>
      <c r="W452" s="75" t="str">
        <f>IF(AND('341-CT'!$H$9=H452,OR(LEFT(N452,3)=$W$7,LEFT(O452,3)=$W$7)),"x","")</f>
        <v/>
      </c>
      <c r="X452" s="75" t="str">
        <f>IF(OR(TH!N452=TH!$X$7,O452=TH!$X$7),"x","")</f>
        <v/>
      </c>
      <c r="Y452" s="75" t="str">
        <f>IF(AND(OR(N452="131",O452="131"),H452='131-CT'!$H$9),"x","")</f>
        <v/>
      </c>
      <c r="Z452" s="75"/>
      <c r="AA452" s="75" t="str">
        <f>IF(AND(MONTH(E452)='IN-NX'!$J$5,'IN-NX'!$D$7=D452),"x","")</f>
        <v/>
      </c>
      <c r="AB452" s="75" t="str">
        <f>IF(AND(OR(LEFT(TH!N452,2)="15",LEFT(TH!O452,2)="15"),LEFT(TH!O452,3)&lt;&gt;"111",'152-CT'!$J$8=TH!F452),"x","")</f>
        <v/>
      </c>
      <c r="AC452" s="75" t="str">
        <f>IF(AND(OR(LEFT(TH!N452,2)="15",LEFT(TH!O452,2)="15"),TK!$E$7=TH!F452),"x","")</f>
        <v/>
      </c>
      <c r="AD452" s="75" t="str">
        <f>IF(AND(N452="1521",MONTH(C452)='BK-NL'!$M$11),"x","")</f>
        <v/>
      </c>
    </row>
    <row r="453" spans="1:31" ht="16.5" customHeight="1">
      <c r="A453" s="309" t="str">
        <f>IF(B453&lt;&gt;"",IF(AND(B453='IN-TC'!$S$4,OR(TH!N453="1111",TH!O453="1111")),TH!D453,""),"")</f>
        <v/>
      </c>
      <c r="B453" s="1242">
        <f t="shared" si="64"/>
        <v>5</v>
      </c>
      <c r="C453" s="929">
        <v>42886</v>
      </c>
      <c r="D453" s="929" t="s">
        <v>530</v>
      </c>
      <c r="E453" s="929">
        <v>42885</v>
      </c>
      <c r="F453" s="930" t="s">
        <v>808</v>
      </c>
      <c r="G453" s="931" t="s">
        <v>1442</v>
      </c>
      <c r="H453" s="296" t="s">
        <v>622</v>
      </c>
      <c r="I453" s="371"/>
      <c r="J453" s="932"/>
      <c r="K453" s="371"/>
      <c r="L453" s="377"/>
      <c r="M453" s="933">
        <v>50116000</v>
      </c>
      <c r="N453" s="934" t="s">
        <v>539</v>
      </c>
      <c r="O453" s="934" t="s">
        <v>8</v>
      </c>
      <c r="P453" s="75" t="str">
        <f>IF(AND('331-CT'!$E$7=TH!H453,OR(N453="331",O453="331")),"x","")</f>
        <v/>
      </c>
      <c r="Q453" s="75" t="str">
        <f>IF(AND(B453='111'!$L$11,OR($N453=$Q$7,$O453=$Q$7)),"x","")</f>
        <v/>
      </c>
      <c r="R453" s="75" t="str">
        <f>IF(AND($N453=$Q$7,$B453&lt;'111'!$L$11),"x","")</f>
        <v/>
      </c>
      <c r="S453" s="75" t="str">
        <f>IF(AND($O453=$Q$7,$B453&lt;'111'!$L$11),"x","")</f>
        <v/>
      </c>
      <c r="T453" s="75" t="str">
        <f>IF(ISERROR(FIND('112'!$M$9,G453,1)),"",IF((AND(FIND('112'!$M$9,G453,1)&gt;=1,B453='112'!$K$9,OR($N453='112'!$I$6,$O453='112'!$I$6))),"x",""))</f>
        <v/>
      </c>
      <c r="U453" s="75" t="str">
        <f>IF(ISERROR(FIND('112'!$M$9,G453,1)),"",IF((AND(LEFT(G453,2)=LEFT('112'!$M$9,2),B453&lt;'112'!$K$9,$N453='112'!$I$6)),"x",""))</f>
        <v/>
      </c>
      <c r="V453" s="75" t="str">
        <f>IF(ISERROR(FIND('112'!$M$9,G453,1)),"",IF((AND(RIGHT(G453,2)=RIGHT('112'!$M$9,2),B453&lt;'112'!$K$9,$O453='112'!$I$6)),"x",""))</f>
        <v/>
      </c>
      <c r="W453" s="75" t="str">
        <f>IF(AND('341-CT'!$H$9=H453,OR(LEFT(N453,3)=$W$7,LEFT(O453,3)=$W$7)),"x","")</f>
        <v/>
      </c>
      <c r="X453" s="75" t="str">
        <f>IF(OR(TH!N453=TH!$X$7,O453=TH!$X$7),"x","")</f>
        <v/>
      </c>
      <c r="Y453" s="75" t="str">
        <f>IF(AND(OR(N453="131",O453="131"),H453='131-CT'!$H$9),"x","")</f>
        <v/>
      </c>
      <c r="Z453" s="75"/>
      <c r="AA453" s="75" t="str">
        <f>IF(AND(MONTH(E453)='IN-NX'!$J$5,'IN-NX'!$D$7=D453),"x","")</f>
        <v/>
      </c>
      <c r="AB453" s="75" t="str">
        <f>IF(AND(OR(LEFT(TH!N453,2)="15",LEFT(TH!O453,2)="15"),LEFT(TH!O453,3)&lt;&gt;"111",'152-CT'!$J$8=TH!F453),"x","")</f>
        <v/>
      </c>
      <c r="AC453" s="75" t="str">
        <f>IF(AND(OR(LEFT(TH!N453,2)="15",LEFT(TH!O453,2)="15"),TK!$E$7=TH!F453),"x","")</f>
        <v/>
      </c>
      <c r="AD453" s="75" t="str">
        <f>IF(AND(N453="1521",MONTH(C453)='BK-NL'!$M$11),"x","")</f>
        <v/>
      </c>
    </row>
    <row r="454" spans="1:31" ht="16.5" customHeight="1">
      <c r="A454" s="309" t="str">
        <f>IF(B454&lt;&gt;"",IF(AND(B454='IN-TC'!$S$4,OR(TH!N454="1111",TH!O454="1111")),TH!D454,""),"")</f>
        <v/>
      </c>
      <c r="B454" s="1242">
        <f t="shared" si="64"/>
        <v>5</v>
      </c>
      <c r="C454" s="929">
        <v>42886</v>
      </c>
      <c r="D454" s="929" t="s">
        <v>530</v>
      </c>
      <c r="E454" s="929">
        <v>42885</v>
      </c>
      <c r="F454" s="930" t="s">
        <v>810</v>
      </c>
      <c r="G454" s="931" t="s">
        <v>1443</v>
      </c>
      <c r="H454" s="296" t="s">
        <v>622</v>
      </c>
      <c r="I454" s="371"/>
      <c r="J454" s="932"/>
      <c r="K454" s="371"/>
      <c r="L454" s="377"/>
      <c r="M454" s="933">
        <v>21117060</v>
      </c>
      <c r="N454" s="934" t="s">
        <v>539</v>
      </c>
      <c r="O454" s="934" t="s">
        <v>8</v>
      </c>
      <c r="P454" s="75" t="str">
        <f>IF(AND('331-CT'!$E$7=TH!H454,OR(N454="331",O454="331")),"x","")</f>
        <v/>
      </c>
      <c r="Q454" s="75" t="str">
        <f>IF(AND(B454='111'!$L$11,OR($N454=$Q$7,$O454=$Q$7)),"x","")</f>
        <v/>
      </c>
      <c r="R454" s="75" t="str">
        <f>IF(AND($N454=$Q$7,$B454&lt;'111'!$L$11),"x","")</f>
        <v/>
      </c>
      <c r="S454" s="75" t="str">
        <f>IF(AND($O454=$Q$7,$B454&lt;'111'!$L$11),"x","")</f>
        <v/>
      </c>
      <c r="T454" s="75" t="str">
        <f>IF(ISERROR(FIND('112'!$M$9,G454,1)),"",IF((AND(FIND('112'!$M$9,G454,1)&gt;=1,B454='112'!$K$9,OR($N454='112'!$I$6,$O454='112'!$I$6))),"x",""))</f>
        <v/>
      </c>
      <c r="U454" s="75" t="str">
        <f>IF(ISERROR(FIND('112'!$M$9,G454,1)),"",IF((AND(LEFT(G454,2)=LEFT('112'!$M$9,2),B454&lt;'112'!$K$9,$N454='112'!$I$6)),"x",""))</f>
        <v/>
      </c>
      <c r="V454" s="75" t="str">
        <f>IF(ISERROR(FIND('112'!$M$9,G454,1)),"",IF((AND(RIGHT(G454,2)=RIGHT('112'!$M$9,2),B454&lt;'112'!$K$9,$O454='112'!$I$6)),"x",""))</f>
        <v/>
      </c>
      <c r="W454" s="75" t="str">
        <f>IF(AND('341-CT'!$H$9=H454,OR(LEFT(N454,3)=$W$7,LEFT(O454,3)=$W$7)),"x","")</f>
        <v/>
      </c>
      <c r="X454" s="75" t="str">
        <f>IF(OR(TH!N454=TH!$X$7,O454=TH!$X$7),"x","")</f>
        <v/>
      </c>
      <c r="Y454" s="75" t="str">
        <f>IF(AND(OR(N454="131",O454="131"),H454='131-CT'!$H$9),"x","")</f>
        <v/>
      </c>
      <c r="Z454" s="75"/>
      <c r="AA454" s="75" t="str">
        <f>IF(AND(MONTH(E454)='IN-NX'!$J$5,'IN-NX'!$D$7=D454),"x","")</f>
        <v/>
      </c>
      <c r="AB454" s="75" t="str">
        <f>IF(AND(OR(LEFT(TH!N454,2)="15",LEFT(TH!O454,2)="15"),LEFT(TH!O454,3)&lt;&gt;"111",'152-CT'!$J$8=TH!F454),"x","")</f>
        <v/>
      </c>
      <c r="AC454" s="75" t="str">
        <f>IF(AND(OR(LEFT(TH!N454,2)="15",LEFT(TH!O454,2)="15"),TK!$E$7=TH!F454),"x","")</f>
        <v/>
      </c>
      <c r="AD454" s="75" t="str">
        <f>IF(AND(N454="1521",MONTH(C454)='BK-NL'!$M$11),"x","")</f>
        <v/>
      </c>
    </row>
    <row r="455" spans="1:31" ht="16.5" customHeight="1">
      <c r="A455" s="309" t="str">
        <f>IF(B455&lt;&gt;"",IF(AND(B455='IN-TC'!$S$4,OR(TH!N455="1111",TH!O455="1111")),TH!D455,""),"")</f>
        <v/>
      </c>
      <c r="B455" s="1242">
        <f t="shared" si="64"/>
        <v>5</v>
      </c>
      <c r="C455" s="929">
        <v>42886</v>
      </c>
      <c r="D455" s="929" t="s">
        <v>530</v>
      </c>
      <c r="E455" s="929">
        <v>42885</v>
      </c>
      <c r="F455" s="930" t="s">
        <v>811</v>
      </c>
      <c r="G455" s="931" t="s">
        <v>1443</v>
      </c>
      <c r="H455" s="296" t="s">
        <v>622</v>
      </c>
      <c r="I455" s="371"/>
      <c r="J455" s="932"/>
      <c r="K455" s="371"/>
      <c r="L455" s="377"/>
      <c r="M455" s="933">
        <v>2111706</v>
      </c>
      <c r="N455" s="934" t="s">
        <v>9</v>
      </c>
      <c r="O455" s="934" t="s">
        <v>8</v>
      </c>
      <c r="P455" s="75" t="str">
        <f>IF(AND('331-CT'!$E$7=TH!H455,OR(N455="331",O455="331")),"x","")</f>
        <v/>
      </c>
      <c r="Q455" s="75" t="str">
        <f>IF(AND(B455='111'!$L$11,OR($N455=$Q$7,$O455=$Q$7)),"x","")</f>
        <v/>
      </c>
      <c r="R455" s="75" t="str">
        <f>IF(AND($N455=$Q$7,$B455&lt;'111'!$L$11),"x","")</f>
        <v/>
      </c>
      <c r="S455" s="75" t="str">
        <f>IF(AND($O455=$Q$7,$B455&lt;'111'!$L$11),"x","")</f>
        <v/>
      </c>
      <c r="T455" s="75" t="str">
        <f>IF(ISERROR(FIND('112'!$M$9,G455,1)),"",IF((AND(FIND('112'!$M$9,G455,1)&gt;=1,B455='112'!$K$9,OR($N455='112'!$I$6,$O455='112'!$I$6))),"x",""))</f>
        <v/>
      </c>
      <c r="U455" s="75" t="str">
        <f>IF(ISERROR(FIND('112'!$M$9,G455,1)),"",IF((AND(LEFT(G455,2)=LEFT('112'!$M$9,2),B455&lt;'112'!$K$9,$N455='112'!$I$6)),"x",""))</f>
        <v/>
      </c>
      <c r="V455" s="75" t="str">
        <f>IF(ISERROR(FIND('112'!$M$9,G455,1)),"",IF((AND(RIGHT(G455,2)=RIGHT('112'!$M$9,2),B455&lt;'112'!$K$9,$O455='112'!$I$6)),"x",""))</f>
        <v/>
      </c>
      <c r="W455" s="75" t="str">
        <f>IF(AND('341-CT'!$H$9=H455,OR(LEFT(N455,3)=$W$7,LEFT(O455,3)=$W$7)),"x","")</f>
        <v/>
      </c>
      <c r="X455" s="75" t="str">
        <f>IF(OR(TH!N455=TH!$X$7,O455=TH!$X$7),"x","")</f>
        <v/>
      </c>
      <c r="Y455" s="75" t="str">
        <f>IF(AND(OR(N455="131",O455="131"),H455='131-CT'!$H$9),"x","")</f>
        <v/>
      </c>
      <c r="Z455" s="75"/>
      <c r="AA455" s="75" t="str">
        <f>IF(AND(MONTH(E455)='IN-NX'!$J$5,'IN-NX'!$D$7=D455),"x","")</f>
        <v/>
      </c>
      <c r="AB455" s="75" t="str">
        <f>IF(AND(OR(LEFT(TH!N455,2)="15",LEFT(TH!O455,2)="15"),LEFT(TH!O455,3)&lt;&gt;"111",'152-CT'!$J$8=TH!F455),"x","")</f>
        <v/>
      </c>
      <c r="AC455" s="75" t="str">
        <f>IF(AND(OR(LEFT(TH!N455,2)="15",LEFT(TH!O455,2)="15"),TK!$E$7=TH!F455),"x","")</f>
        <v/>
      </c>
      <c r="AD455" s="75" t="str">
        <f>IF(AND(N455="1521",MONTH(C455)='BK-NL'!$M$11),"x","")</f>
        <v/>
      </c>
    </row>
    <row r="456" spans="1:31" ht="16.5" customHeight="1">
      <c r="A456" s="309" t="str">
        <f>IF(B456&lt;&gt;"",IF(AND(B456='IN-TC'!$S$4,OR(TH!N456="1111",TH!O456="1111")),TH!D456,""),"")</f>
        <v/>
      </c>
      <c r="B456" s="1242">
        <f t="shared" si="64"/>
        <v>5</v>
      </c>
      <c r="C456" s="929">
        <v>42884</v>
      </c>
      <c r="D456" s="929" t="s">
        <v>530</v>
      </c>
      <c r="E456" s="929">
        <v>42884</v>
      </c>
      <c r="F456" s="930" t="s">
        <v>1447</v>
      </c>
      <c r="G456" s="931" t="s">
        <v>1449</v>
      </c>
      <c r="H456" s="296" t="s">
        <v>1450</v>
      </c>
      <c r="I456" s="371"/>
      <c r="J456" s="932"/>
      <c r="K456" s="371"/>
      <c r="L456" s="377"/>
      <c r="M456" s="933">
        <v>28599545</v>
      </c>
      <c r="N456" s="934" t="s">
        <v>539</v>
      </c>
      <c r="O456" s="934" t="s">
        <v>8</v>
      </c>
      <c r="P456" s="75" t="str">
        <f>IF(AND('331-CT'!$E$7=TH!H456,OR(N456="331",O456="331")),"x","")</f>
        <v/>
      </c>
      <c r="Q456" s="75" t="str">
        <f>IF(AND(B456='111'!$L$11,OR($N456=$Q$7,$O456=$Q$7)),"x","")</f>
        <v/>
      </c>
      <c r="R456" s="75" t="str">
        <f>IF(AND($N456=$Q$7,$B456&lt;'111'!$L$11),"x","")</f>
        <v/>
      </c>
      <c r="S456" s="75" t="str">
        <f>IF(AND($O456=$Q$7,$B456&lt;'111'!$L$11),"x","")</f>
        <v/>
      </c>
      <c r="T456" s="75" t="str">
        <f>IF(ISERROR(FIND('112'!$M$9,G456,1)),"",IF((AND(FIND('112'!$M$9,G456,1)&gt;=1,B456='112'!$K$9,OR($N456='112'!$I$6,$O456='112'!$I$6))),"x",""))</f>
        <v/>
      </c>
      <c r="U456" s="75" t="str">
        <f>IF(ISERROR(FIND('112'!$M$9,G456,1)),"",IF((AND(LEFT(G456,2)=LEFT('112'!$M$9,2),B456&lt;'112'!$K$9,$N456='112'!$I$6)),"x",""))</f>
        <v/>
      </c>
      <c r="V456" s="75" t="str">
        <f>IF(ISERROR(FIND('112'!$M$9,G456,1)),"",IF((AND(RIGHT(G456,2)=RIGHT('112'!$M$9,2),B456&lt;'112'!$K$9,$O456='112'!$I$6)),"x",""))</f>
        <v/>
      </c>
      <c r="W456" s="75" t="str">
        <f>IF(AND('341-CT'!$H$9=H456,OR(LEFT(N456,3)=$W$7,LEFT(O456,3)=$W$7)),"x","")</f>
        <v/>
      </c>
      <c r="X456" s="75" t="str">
        <f>IF(OR(TH!N456=TH!$X$7,O456=TH!$X$7),"x","")</f>
        <v/>
      </c>
      <c r="Y456" s="75" t="str">
        <f>IF(AND(OR(N456="131",O456="131"),H456='131-CT'!$H$9),"x","")</f>
        <v/>
      </c>
      <c r="Z456" s="75"/>
      <c r="AA456" s="75" t="str">
        <f>IF(AND(MONTH(E456)='IN-NX'!$J$5,'IN-NX'!$D$7=D456),"x","")</f>
        <v/>
      </c>
      <c r="AB456" s="75" t="str">
        <f>IF(AND(OR(LEFT(TH!N456,2)="15",LEFT(TH!O456,2)="15"),LEFT(TH!O456,3)&lt;&gt;"111",'152-CT'!$J$8=TH!F456),"x","")</f>
        <v/>
      </c>
      <c r="AC456" s="75" t="str">
        <f>IF(AND(OR(LEFT(TH!N456,2)="15",LEFT(TH!O456,2)="15"),TK!$E$7=TH!F456),"x","")</f>
        <v/>
      </c>
      <c r="AD456" s="75" t="str">
        <f>IF(AND(N456="1521",MONTH(C456)='BK-NL'!$M$11),"x","")</f>
        <v/>
      </c>
    </row>
    <row r="457" spans="1:31" ht="16.5" customHeight="1">
      <c r="A457" s="309" t="str">
        <f>IF(B457&lt;&gt;"",IF(AND(B457='IN-TC'!$S$4,OR(TH!N457="1111",TH!O457="1111")),TH!D457,""),"")</f>
        <v/>
      </c>
      <c r="B457" s="1242">
        <f t="shared" si="64"/>
        <v>5</v>
      </c>
      <c r="C457" s="929">
        <v>42884</v>
      </c>
      <c r="D457" s="929" t="s">
        <v>530</v>
      </c>
      <c r="E457" s="929">
        <v>42884</v>
      </c>
      <c r="F457" s="930" t="s">
        <v>1448</v>
      </c>
      <c r="G457" s="931" t="s">
        <v>1449</v>
      </c>
      <c r="H457" s="296" t="s">
        <v>1450</v>
      </c>
      <c r="I457" s="371"/>
      <c r="J457" s="932"/>
      <c r="K457" s="371"/>
      <c r="L457" s="377"/>
      <c r="M457" s="933">
        <v>1429977</v>
      </c>
      <c r="N457" s="934" t="s">
        <v>9</v>
      </c>
      <c r="O457" s="934" t="s">
        <v>8</v>
      </c>
      <c r="P457" s="75" t="str">
        <f>IF(AND('331-CT'!$E$7=TH!H457,OR(N457="331",O457="331")),"x","")</f>
        <v/>
      </c>
      <c r="Q457" s="75" t="str">
        <f>IF(AND(B457='111'!$L$11,OR($N457=$Q$7,$O457=$Q$7)),"x","")</f>
        <v/>
      </c>
      <c r="R457" s="75" t="str">
        <f>IF(AND($N457=$Q$7,$B457&lt;'111'!$L$11),"x","")</f>
        <v/>
      </c>
      <c r="S457" s="75" t="str">
        <f>IF(AND($O457=$Q$7,$B457&lt;'111'!$L$11),"x","")</f>
        <v/>
      </c>
      <c r="T457" s="75" t="str">
        <f>IF(ISERROR(FIND('112'!$M$9,G457,1)),"",IF((AND(FIND('112'!$M$9,G457,1)&gt;=1,B457='112'!$K$9,OR($N457='112'!$I$6,$O457='112'!$I$6))),"x",""))</f>
        <v/>
      </c>
      <c r="U457" s="75" t="str">
        <f>IF(ISERROR(FIND('112'!$M$9,G457,1)),"",IF((AND(LEFT(G457,2)=LEFT('112'!$M$9,2),B457&lt;'112'!$K$9,$N457='112'!$I$6)),"x",""))</f>
        <v/>
      </c>
      <c r="V457" s="75" t="str">
        <f>IF(ISERROR(FIND('112'!$M$9,G457,1)),"",IF((AND(RIGHT(G457,2)=RIGHT('112'!$M$9,2),B457&lt;'112'!$K$9,$O457='112'!$I$6)),"x",""))</f>
        <v/>
      </c>
      <c r="W457" s="75" t="str">
        <f>IF(AND('341-CT'!$H$9=H457,OR(LEFT(N457,3)=$W$7,LEFT(O457,3)=$W$7)),"x","")</f>
        <v/>
      </c>
      <c r="X457" s="75" t="str">
        <f>IF(OR(TH!N457=TH!$X$7,O457=TH!$X$7),"x","")</f>
        <v/>
      </c>
      <c r="Y457" s="75" t="str">
        <f>IF(AND(OR(N457="131",O457="131"),H457='131-CT'!$H$9),"x","")</f>
        <v/>
      </c>
      <c r="Z457" s="75"/>
      <c r="AA457" s="75" t="str">
        <f>IF(AND(MONTH(E457)='IN-NX'!$J$5,'IN-NX'!$D$7=D457),"x","")</f>
        <v/>
      </c>
      <c r="AB457" s="75" t="str">
        <f>IF(AND(OR(LEFT(TH!N457,2)="15",LEFT(TH!O457,2)="15"),LEFT(TH!O457,3)&lt;&gt;"111",'152-CT'!$J$8=TH!F457),"x","")</f>
        <v/>
      </c>
      <c r="AC457" s="75" t="str">
        <f>IF(AND(OR(LEFT(TH!N457,2)="15",LEFT(TH!O457,2)="15"),TK!$E$7=TH!F457),"x","")</f>
        <v/>
      </c>
      <c r="AD457" s="75" t="str">
        <f>IF(AND(N457="1521",MONTH(C457)='BK-NL'!$M$11),"x","")</f>
        <v/>
      </c>
    </row>
    <row r="458" spans="1:31" ht="16.5" customHeight="1">
      <c r="A458" s="309" t="str">
        <f>IF(B458&lt;&gt;"",IF(AND(B458='IN-TC'!$S$4,OR(TH!N458="1111",TH!O458="1111")),TH!D458,""),"")</f>
        <v/>
      </c>
      <c r="B458" s="1242">
        <f t="shared" si="64"/>
        <v>5</v>
      </c>
      <c r="C458" s="929">
        <v>42886</v>
      </c>
      <c r="D458" s="929" t="s">
        <v>530</v>
      </c>
      <c r="E458" s="929">
        <v>42886</v>
      </c>
      <c r="F458" s="930" t="s">
        <v>1322</v>
      </c>
      <c r="G458" s="931" t="s">
        <v>2120</v>
      </c>
      <c r="H458" s="735" t="s">
        <v>739</v>
      </c>
      <c r="I458" s="371"/>
      <c r="J458" s="932"/>
      <c r="K458" s="371"/>
      <c r="L458" s="377"/>
      <c r="M458" s="933">
        <v>8849583</v>
      </c>
      <c r="N458" s="934" t="s">
        <v>539</v>
      </c>
      <c r="O458" s="934" t="s">
        <v>8</v>
      </c>
      <c r="P458" s="75" t="str">
        <f>IF(AND('331-CT'!$E$7=TH!H458,OR(N458="331",O458="331")),"x","")</f>
        <v/>
      </c>
      <c r="Q458" s="75" t="str">
        <f>IF(AND(B458='111'!$L$11,OR($N458=$Q$7,$O458=$Q$7)),"x","")</f>
        <v/>
      </c>
      <c r="R458" s="75" t="str">
        <f>IF(AND($N458=$Q$7,$B458&lt;'111'!$L$11),"x","")</f>
        <v/>
      </c>
      <c r="S458" s="75" t="str">
        <f>IF(AND($O458=$Q$7,$B458&lt;'111'!$L$11),"x","")</f>
        <v/>
      </c>
      <c r="T458" s="75" t="str">
        <f>IF(ISERROR(FIND('112'!$M$9,G458,1)),"",IF((AND(FIND('112'!$M$9,G458,1)&gt;=1,B458='112'!$K$9,OR($N458='112'!$I$6,$O458='112'!$I$6))),"x",""))</f>
        <v/>
      </c>
      <c r="U458" s="75" t="str">
        <f>IF(ISERROR(FIND('112'!$M$9,G458,1)),"",IF((AND(LEFT(G458,2)=LEFT('112'!$M$9,2),B458&lt;'112'!$K$9,$N458='112'!$I$6)),"x",""))</f>
        <v/>
      </c>
      <c r="V458" s="75" t="str">
        <f>IF(ISERROR(FIND('112'!$M$9,G458,1)),"",IF((AND(RIGHT(G458,2)=RIGHT('112'!$M$9,2),B458&lt;'112'!$K$9,$O458='112'!$I$6)),"x",""))</f>
        <v/>
      </c>
      <c r="W458" s="75" t="str">
        <f>IF(AND('341-CT'!$H$9=H458,OR(LEFT(N458,3)=$W$7,LEFT(O458,3)=$W$7)),"x","")</f>
        <v/>
      </c>
      <c r="X458" s="75" t="str">
        <f>IF(OR(TH!N458=TH!$X$7,O458=TH!$X$7),"x","")</f>
        <v/>
      </c>
      <c r="Y458" s="75" t="str">
        <f>IF(AND(OR(N458="131",O458="131"),H458='131-CT'!$H$9),"x","")</f>
        <v/>
      </c>
      <c r="Z458" s="75"/>
      <c r="AA458" s="75" t="str">
        <f>IF(AND(MONTH(E458)='IN-NX'!$J$5,'IN-NX'!$D$7=D458),"x","")</f>
        <v/>
      </c>
      <c r="AB458" s="75" t="str">
        <f>IF(AND(OR(LEFT(TH!N458,2)="15",LEFT(TH!O458,2)="15"),LEFT(TH!O458,3)&lt;&gt;"111",'152-CT'!$J$8=TH!F458),"x","")</f>
        <v/>
      </c>
      <c r="AC458" s="75" t="str">
        <f>IF(AND(OR(LEFT(TH!N458,2)="15",LEFT(TH!O458,2)="15"),TK!$E$7=TH!F458),"x","")</f>
        <v/>
      </c>
      <c r="AD458" s="75" t="str">
        <f>IF(AND(N458="1521",MONTH(C458)='BK-NL'!$M$11),"x","")</f>
        <v/>
      </c>
      <c r="AE458">
        <v>9</v>
      </c>
    </row>
    <row r="459" spans="1:31" ht="16.5" customHeight="1">
      <c r="A459" s="309" t="str">
        <f>IF(B459&lt;&gt;"",IF(AND(B459='IN-TC'!$S$4,OR(TH!N459="1111",TH!O459="1111")),TH!D459,""),"")</f>
        <v/>
      </c>
      <c r="B459" s="1242">
        <f t="shared" si="64"/>
        <v>5</v>
      </c>
      <c r="C459" s="929">
        <v>42886</v>
      </c>
      <c r="D459" s="929" t="s">
        <v>530</v>
      </c>
      <c r="E459" s="929">
        <v>42886</v>
      </c>
      <c r="F459" s="930" t="s">
        <v>1323</v>
      </c>
      <c r="G459" s="931" t="s">
        <v>2120</v>
      </c>
      <c r="H459" s="735" t="s">
        <v>739</v>
      </c>
      <c r="I459" s="371"/>
      <c r="J459" s="932"/>
      <c r="K459" s="371"/>
      <c r="L459" s="377"/>
      <c r="M459" s="933">
        <v>573292</v>
      </c>
      <c r="N459" s="934" t="s">
        <v>9</v>
      </c>
      <c r="O459" s="934" t="s">
        <v>8</v>
      </c>
      <c r="P459" s="75" t="str">
        <f>IF(AND('331-CT'!$E$7=TH!H459,OR(N459="331",O459="331")),"x","")</f>
        <v/>
      </c>
      <c r="Q459" s="75" t="str">
        <f>IF(AND(B459='111'!$L$11,OR($N459=$Q$7,$O459=$Q$7)),"x","")</f>
        <v/>
      </c>
      <c r="R459" s="75" t="str">
        <f>IF(AND($N459=$Q$7,$B459&lt;'111'!$L$11),"x","")</f>
        <v/>
      </c>
      <c r="S459" s="75" t="str">
        <f>IF(AND($O459=$Q$7,$B459&lt;'111'!$L$11),"x","")</f>
        <v/>
      </c>
      <c r="T459" s="75" t="str">
        <f>IF(ISERROR(FIND('112'!$M$9,G459,1)),"",IF((AND(FIND('112'!$M$9,G459,1)&gt;=1,B459='112'!$K$9,OR($N459='112'!$I$6,$O459='112'!$I$6))),"x",""))</f>
        <v/>
      </c>
      <c r="U459" s="75" t="str">
        <f>IF(ISERROR(FIND('112'!$M$9,G459,1)),"",IF((AND(LEFT(G459,2)=LEFT('112'!$M$9,2),B459&lt;'112'!$K$9,$N459='112'!$I$6)),"x",""))</f>
        <v/>
      </c>
      <c r="V459" s="75" t="str">
        <f>IF(ISERROR(FIND('112'!$M$9,G459,1)),"",IF((AND(RIGHT(G459,2)=RIGHT('112'!$M$9,2),B459&lt;'112'!$K$9,$O459='112'!$I$6)),"x",""))</f>
        <v/>
      </c>
      <c r="W459" s="75" t="str">
        <f>IF(AND('341-CT'!$H$9=H459,OR(LEFT(N459,3)=$W$7,LEFT(O459,3)=$W$7)),"x","")</f>
        <v/>
      </c>
      <c r="X459" s="75" t="str">
        <f>IF(OR(TH!N459=TH!$X$7,O459=TH!$X$7),"x","")</f>
        <v/>
      </c>
      <c r="Y459" s="75" t="str">
        <f>IF(AND(OR(N459="131",O459="131"),H459='131-CT'!$H$9),"x","")</f>
        <v/>
      </c>
      <c r="Z459" s="75"/>
      <c r="AA459" s="75" t="str">
        <f>IF(AND(MONTH(E459)='IN-NX'!$J$5,'IN-NX'!$D$7=D459),"x","")</f>
        <v/>
      </c>
      <c r="AB459" s="75" t="str">
        <f>IF(AND(OR(LEFT(TH!N459,2)="15",LEFT(TH!O459,2)="15"),LEFT(TH!O459,3)&lt;&gt;"111",'152-CT'!$J$8=TH!F459),"x","")</f>
        <v/>
      </c>
      <c r="AC459" s="75" t="str">
        <f>IF(AND(OR(LEFT(TH!N459,2)="15",LEFT(TH!O459,2)="15"),TK!$E$7=TH!F459),"x","")</f>
        <v/>
      </c>
      <c r="AD459" s="75" t="str">
        <f>IF(AND(N459="1521",MONTH(C459)='BK-NL'!$M$11),"x","")</f>
        <v/>
      </c>
      <c r="AE459">
        <v>9</v>
      </c>
    </row>
    <row r="460" spans="1:31" ht="16.5" customHeight="1">
      <c r="A460" s="309" t="str">
        <f>IF(B460&lt;&gt;"",IF(AND(B460='IN-TC'!$S$4,OR(TH!N460="1111",TH!O460="1111")),TH!D460,""),"")</f>
        <v/>
      </c>
      <c r="B460" s="1242">
        <f t="shared" si="64"/>
        <v>5</v>
      </c>
      <c r="C460" s="929">
        <v>42877</v>
      </c>
      <c r="D460" s="929" t="s">
        <v>530</v>
      </c>
      <c r="E460" s="929">
        <v>42877</v>
      </c>
      <c r="F460" s="930" t="s">
        <v>1446</v>
      </c>
      <c r="G460" s="931"/>
      <c r="H460" s="735" t="s">
        <v>991</v>
      </c>
      <c r="I460" s="371"/>
      <c r="J460" s="932"/>
      <c r="K460" s="371"/>
      <c r="L460" s="377"/>
      <c r="M460" s="933">
        <v>405386154</v>
      </c>
      <c r="N460" s="934" t="s">
        <v>72</v>
      </c>
      <c r="O460" s="934" t="s">
        <v>9</v>
      </c>
      <c r="P460" s="75" t="str">
        <f>IF(AND('331-CT'!$E$7=TH!H460,OR(N460="331",O460="331")),"x","")</f>
        <v/>
      </c>
      <c r="Q460" s="75" t="str">
        <f>IF(AND(B460='111'!$L$11,OR($N460=$Q$7,$O460=$Q$7)),"x","")</f>
        <v/>
      </c>
      <c r="R460" s="75" t="str">
        <f>IF(AND($N460=$Q$7,$B460&lt;'111'!$L$11),"x","")</f>
        <v/>
      </c>
      <c r="S460" s="75" t="str">
        <f>IF(AND($O460=$Q$7,$B460&lt;'111'!$L$11),"x","")</f>
        <v/>
      </c>
      <c r="T460" s="75" t="str">
        <f>IF(ISERROR(FIND('112'!$M$9,G460,1)),"",IF((AND(FIND('112'!$M$9,G460,1)&gt;=1,B460='112'!$K$9,OR($N460='112'!$I$6,$O460='112'!$I$6))),"x",""))</f>
        <v/>
      </c>
      <c r="U460" s="75" t="str">
        <f>IF(ISERROR(FIND('112'!$M$9,G460,1)),"",IF((AND(LEFT(G460,2)=LEFT('112'!$M$9,2),B460&lt;'112'!$K$9,$N460='112'!$I$6)),"x",""))</f>
        <v/>
      </c>
      <c r="V460" s="75" t="str">
        <f>IF(ISERROR(FIND('112'!$M$9,G460,1)),"",IF((AND(RIGHT(G460,2)=RIGHT('112'!$M$9,2),B460&lt;'112'!$K$9,$O460='112'!$I$6)),"x",""))</f>
        <v/>
      </c>
      <c r="W460" s="75" t="str">
        <f>IF(AND('341-CT'!$H$9=H460,OR(LEFT(N460,3)=$W$7,LEFT(O460,3)=$W$7)),"x","")</f>
        <v/>
      </c>
      <c r="X460" s="75" t="str">
        <f>IF(OR(TH!N460=TH!$X$7,O460=TH!$X$7),"x","")</f>
        <v/>
      </c>
      <c r="Y460" s="75" t="str">
        <f>IF(AND(OR(N460="131",O460="131"),H460='131-CT'!$H$9),"x","")</f>
        <v/>
      </c>
      <c r="Z460" s="75"/>
      <c r="AA460" s="75" t="str">
        <f>IF(AND(MONTH(E460)='IN-NX'!$J$5,'IN-NX'!$D$7=D460),"x","")</f>
        <v/>
      </c>
      <c r="AB460" s="75" t="str">
        <f>IF(AND(OR(LEFT(TH!N460,2)="15",LEFT(TH!O460,2)="15"),LEFT(TH!O460,3)&lt;&gt;"111",'152-CT'!$J$8=TH!F460),"x","")</f>
        <v/>
      </c>
      <c r="AC460" s="75" t="str">
        <f>IF(AND(OR(LEFT(TH!N460,2)="15",LEFT(TH!O460,2)="15"),TK!$E$7=TH!F460),"x","")</f>
        <v/>
      </c>
      <c r="AD460" s="75" t="str">
        <f>IF(AND(N460="1521",MONTH(C460)='BK-NL'!$M$11),"x","")</f>
        <v/>
      </c>
    </row>
    <row r="461" spans="1:31" ht="16.5" customHeight="1">
      <c r="A461" s="309" t="str">
        <f>IF(B461&lt;&gt;"",IF(AND(B461='IN-TC'!$S$4,OR(TH!N461="1111",TH!O461="1111")),TH!D461,""),"")</f>
        <v/>
      </c>
      <c r="B461" s="1130">
        <f t="shared" ref="B461:B511" si="67">IF(C461&lt;&gt;"",MONTH(C461),"")</f>
        <v>6</v>
      </c>
      <c r="C461" s="929">
        <v>42898</v>
      </c>
      <c r="D461" s="929" t="s">
        <v>530</v>
      </c>
      <c r="E461" s="929">
        <v>42898</v>
      </c>
      <c r="F461" s="930" t="s">
        <v>1192</v>
      </c>
      <c r="G461" s="931" t="s">
        <v>1553</v>
      </c>
      <c r="H461" s="73" t="s">
        <v>755</v>
      </c>
      <c r="I461" s="371"/>
      <c r="J461" s="932"/>
      <c r="K461" s="371"/>
      <c r="L461" s="377"/>
      <c r="M461" s="933">
        <v>8408250</v>
      </c>
      <c r="N461" s="934" t="s">
        <v>539</v>
      </c>
      <c r="O461" s="934" t="s">
        <v>8</v>
      </c>
      <c r="P461" s="75" t="str">
        <f>IF(AND('331-CT'!$E$7=TH!H461,OR(N461="331",O461="331")),"x","")</f>
        <v/>
      </c>
      <c r="Q461" s="75" t="str">
        <f>IF(AND(B461='111'!$L$11,OR($N461=$Q$7,$O461=$Q$7)),"x","")</f>
        <v/>
      </c>
      <c r="R461" s="75" t="str">
        <f>IF(AND($N461=$Q$7,$B461&lt;'111'!$L$11),"x","")</f>
        <v/>
      </c>
      <c r="S461" s="75" t="str">
        <f>IF(AND($O461=$Q$7,$B461&lt;'111'!$L$11),"x","")</f>
        <v/>
      </c>
      <c r="T461" s="75" t="str">
        <f>IF(ISERROR(FIND('112'!$M$9,G461,1)),"",IF((AND(FIND('112'!$M$9,G461,1)&gt;=1,B461='112'!$K$9,OR($N461='112'!$I$6,$O461='112'!$I$6))),"x",""))</f>
        <v/>
      </c>
      <c r="U461" s="75" t="str">
        <f>IF(ISERROR(FIND('112'!$M$9,G461,1)),"",IF((AND(LEFT(G461,2)=LEFT('112'!$M$9,2),B461&lt;'112'!$K$9,$N461='112'!$I$6)),"x",""))</f>
        <v/>
      </c>
      <c r="V461" s="75" t="str">
        <f>IF(ISERROR(FIND('112'!$M$9,G461,1)),"",IF((AND(RIGHT(G461,2)=RIGHT('112'!$M$9,2),B461&lt;'112'!$K$9,$O461='112'!$I$6)),"x",""))</f>
        <v/>
      </c>
      <c r="W461" s="75" t="str">
        <f>IF(AND('341-CT'!$H$9=H461,OR(LEFT(N461,3)=$W$7,LEFT(O461,3)=$W$7)),"x","")</f>
        <v/>
      </c>
      <c r="X461" s="75" t="str">
        <f>IF(OR(TH!N461=TH!$X$7,O461=TH!$X$7),"x","")</f>
        <v/>
      </c>
      <c r="Y461" s="75" t="str">
        <f>IF(AND(OR(N461="131",O461="131"),H461='131-CT'!$H$9),"x","")</f>
        <v/>
      </c>
      <c r="Z461" s="75"/>
      <c r="AA461" s="75" t="str">
        <f>IF(AND(MONTH(E461)='IN-NX'!$J$5,'IN-NX'!$D$7=D461),"x","")</f>
        <v/>
      </c>
      <c r="AB461" s="75" t="str">
        <f>IF(AND(OR(LEFT(TH!N461,2)="15",LEFT(TH!O461,2)="15"),LEFT(TH!O461,3)&lt;&gt;"111",'152-CT'!$J$8=TH!F461),"x","")</f>
        <v/>
      </c>
      <c r="AC461" s="75" t="str">
        <f>IF(AND(OR(LEFT(TH!N461,2)="15",LEFT(TH!O461,2)="15"),TK!$E$7=TH!F461),"x","")</f>
        <v/>
      </c>
      <c r="AD461" s="75" t="str">
        <f>IF(AND(N461="1521",MONTH(C461)='BK-NL'!$M$11),"x","")</f>
        <v/>
      </c>
    </row>
    <row r="462" spans="1:31" ht="16.5" customHeight="1">
      <c r="A462" s="309" t="str">
        <f>IF(B462&lt;&gt;"",IF(AND(B462='IN-TC'!$S$4,OR(TH!N462="1111",TH!O462="1111")),TH!D462,""),"")</f>
        <v/>
      </c>
      <c r="B462" s="1130">
        <f t="shared" si="67"/>
        <v>6</v>
      </c>
      <c r="C462" s="929">
        <v>42898</v>
      </c>
      <c r="D462" s="929" t="s">
        <v>530</v>
      </c>
      <c r="E462" s="929">
        <v>42898</v>
      </c>
      <c r="F462" s="930" t="s">
        <v>823</v>
      </c>
      <c r="G462" s="931" t="s">
        <v>1554</v>
      </c>
      <c r="H462" s="73" t="s">
        <v>755</v>
      </c>
      <c r="I462" s="371"/>
      <c r="J462" s="932"/>
      <c r="K462" s="371"/>
      <c r="L462" s="377"/>
      <c r="M462" s="933">
        <v>3836050</v>
      </c>
      <c r="N462" s="934" t="s">
        <v>539</v>
      </c>
      <c r="O462" s="934" t="s">
        <v>8</v>
      </c>
      <c r="P462" s="75" t="str">
        <f>IF(AND('331-CT'!$E$7=TH!H462,OR(N462="331",O462="331")),"x","")</f>
        <v/>
      </c>
      <c r="Q462" s="75" t="str">
        <f>IF(AND(B462='111'!$L$11,OR($N462=$Q$7,$O462=$Q$7)),"x","")</f>
        <v/>
      </c>
      <c r="R462" s="75" t="str">
        <f>IF(AND($N462=$Q$7,$B462&lt;'111'!$L$11),"x","")</f>
        <v/>
      </c>
      <c r="S462" s="75" t="str">
        <f>IF(AND($O462=$Q$7,$B462&lt;'111'!$L$11),"x","")</f>
        <v/>
      </c>
      <c r="T462" s="75" t="str">
        <f>IF(ISERROR(FIND('112'!$M$9,G462,1)),"",IF((AND(FIND('112'!$M$9,G462,1)&gt;=1,B462='112'!$K$9,OR($N462='112'!$I$6,$O462='112'!$I$6))),"x",""))</f>
        <v/>
      </c>
      <c r="U462" s="75" t="str">
        <f>IF(ISERROR(FIND('112'!$M$9,G462,1)),"",IF((AND(LEFT(G462,2)=LEFT('112'!$M$9,2),B462&lt;'112'!$K$9,$N462='112'!$I$6)),"x",""))</f>
        <v/>
      </c>
      <c r="V462" s="75" t="str">
        <f>IF(ISERROR(FIND('112'!$M$9,G462,1)),"",IF((AND(RIGHT(G462,2)=RIGHT('112'!$M$9,2),B462&lt;'112'!$K$9,$O462='112'!$I$6)),"x",""))</f>
        <v/>
      </c>
      <c r="W462" s="75" t="str">
        <f>IF(AND('341-CT'!$H$9=H462,OR(LEFT(N462,3)=$W$7,LEFT(O462,3)=$W$7)),"x","")</f>
        <v/>
      </c>
      <c r="X462" s="75" t="str">
        <f>IF(OR(TH!N462=TH!$X$7,O462=TH!$X$7),"x","")</f>
        <v/>
      </c>
      <c r="Y462" s="75" t="str">
        <f>IF(AND(OR(N462="131",O462="131"),H462='131-CT'!$H$9),"x","")</f>
        <v/>
      </c>
      <c r="Z462" s="75"/>
      <c r="AA462" s="75" t="str">
        <f>IF(AND(MONTH(E462)='IN-NX'!$J$5,'IN-NX'!$D$7=D462),"x","")</f>
        <v/>
      </c>
      <c r="AB462" s="75" t="str">
        <f>IF(AND(OR(LEFT(TH!N462,2)="15",LEFT(TH!O462,2)="15"),LEFT(TH!O462,3)&lt;&gt;"111",'152-CT'!$J$8=TH!F462),"x","")</f>
        <v/>
      </c>
      <c r="AC462" s="75" t="str">
        <f>IF(AND(OR(LEFT(TH!N462,2)="15",LEFT(TH!O462,2)="15"),TK!$E$7=TH!F462),"x","")</f>
        <v/>
      </c>
      <c r="AD462" s="75" t="str">
        <f>IF(AND(N462="1521",MONTH(C462)='BK-NL'!$M$11),"x","")</f>
        <v/>
      </c>
    </row>
    <row r="463" spans="1:31" ht="16.5" customHeight="1">
      <c r="A463" s="309" t="str">
        <f>IF(B463&lt;&gt;"",IF(AND(B463='IN-TC'!$S$4,OR(TH!N463="1111",TH!O463="1111")),TH!D463,""),"")</f>
        <v/>
      </c>
      <c r="B463" s="1130">
        <f t="shared" si="67"/>
        <v>6</v>
      </c>
      <c r="C463" s="929">
        <v>42898</v>
      </c>
      <c r="D463" s="929" t="s">
        <v>530</v>
      </c>
      <c r="E463" s="929">
        <v>42898</v>
      </c>
      <c r="F463" s="930" t="s">
        <v>824</v>
      </c>
      <c r="G463" s="931" t="s">
        <v>1554</v>
      </c>
      <c r="H463" s="73" t="s">
        <v>755</v>
      </c>
      <c r="I463" s="371"/>
      <c r="J463" s="932"/>
      <c r="K463" s="371"/>
      <c r="L463" s="377"/>
      <c r="M463" s="933">
        <v>383605</v>
      </c>
      <c r="N463" s="934" t="s">
        <v>9</v>
      </c>
      <c r="O463" s="934" t="s">
        <v>8</v>
      </c>
      <c r="P463" s="75" t="str">
        <f>IF(AND('331-CT'!$E$7=TH!H463,OR(N463="331",O463="331")),"x","")</f>
        <v/>
      </c>
      <c r="Q463" s="75" t="str">
        <f>IF(AND(B463='111'!$L$11,OR($N463=$Q$7,$O463=$Q$7)),"x","")</f>
        <v/>
      </c>
      <c r="R463" s="75" t="str">
        <f>IF(AND($N463=$Q$7,$B463&lt;'111'!$L$11),"x","")</f>
        <v/>
      </c>
      <c r="S463" s="75" t="str">
        <f>IF(AND($O463=$Q$7,$B463&lt;'111'!$L$11),"x","")</f>
        <v/>
      </c>
      <c r="T463" s="75" t="str">
        <f>IF(ISERROR(FIND('112'!$M$9,G463,1)),"",IF((AND(FIND('112'!$M$9,G463,1)&gt;=1,B463='112'!$K$9,OR($N463='112'!$I$6,$O463='112'!$I$6))),"x",""))</f>
        <v/>
      </c>
      <c r="U463" s="75" t="str">
        <f>IF(ISERROR(FIND('112'!$M$9,G463,1)),"",IF((AND(LEFT(G463,2)=LEFT('112'!$M$9,2),B463&lt;'112'!$K$9,$N463='112'!$I$6)),"x",""))</f>
        <v/>
      </c>
      <c r="V463" s="75" t="str">
        <f>IF(ISERROR(FIND('112'!$M$9,G463,1)),"",IF((AND(RIGHT(G463,2)=RIGHT('112'!$M$9,2),B463&lt;'112'!$K$9,$O463='112'!$I$6)),"x",""))</f>
        <v/>
      </c>
      <c r="W463" s="75" t="str">
        <f>IF(AND('341-CT'!$H$9=H463,OR(LEFT(N463,3)=$W$7,LEFT(O463,3)=$W$7)),"x","")</f>
        <v/>
      </c>
      <c r="X463" s="75" t="str">
        <f>IF(OR(TH!N463=TH!$X$7,O463=TH!$X$7),"x","")</f>
        <v/>
      </c>
      <c r="Y463" s="75" t="str">
        <f>IF(AND(OR(N463="131",O463="131"),H463='131-CT'!$H$9),"x","")</f>
        <v/>
      </c>
      <c r="Z463" s="75"/>
      <c r="AA463" s="75" t="str">
        <f>IF(AND(MONTH(E463)='IN-NX'!$J$5,'IN-NX'!$D$7=D463),"x","")</f>
        <v/>
      </c>
      <c r="AB463" s="75" t="str">
        <f>IF(AND(OR(LEFT(TH!N463,2)="15",LEFT(TH!O463,2)="15"),LEFT(TH!O463,3)&lt;&gt;"111",'152-CT'!$J$8=TH!F463),"x","")</f>
        <v/>
      </c>
      <c r="AC463" s="75" t="str">
        <f>IF(AND(OR(LEFT(TH!N463,2)="15",LEFT(TH!O463,2)="15"),TK!$E$7=TH!F463),"x","")</f>
        <v/>
      </c>
      <c r="AD463" s="75" t="str">
        <f>IF(AND(N463="1521",MONTH(C463)='BK-NL'!$M$11),"x","")</f>
        <v/>
      </c>
    </row>
    <row r="464" spans="1:31" ht="16.5" customHeight="1">
      <c r="A464" s="309" t="str">
        <f>IF(B464&lt;&gt;"",IF(AND(B464='IN-TC'!$S$4,OR(TH!N464="1111",TH!O464="1111")),TH!D464,""),"")</f>
        <v/>
      </c>
      <c r="B464" s="1130">
        <f t="shared" si="67"/>
        <v>6</v>
      </c>
      <c r="C464" s="929">
        <v>42893</v>
      </c>
      <c r="D464" s="929" t="s">
        <v>530</v>
      </c>
      <c r="E464" s="929">
        <v>42893</v>
      </c>
      <c r="F464" s="930" t="s">
        <v>1108</v>
      </c>
      <c r="G464" s="931" t="s">
        <v>1566</v>
      </c>
      <c r="H464" s="735" t="s">
        <v>562</v>
      </c>
      <c r="I464" s="371"/>
      <c r="J464" s="932"/>
      <c r="K464" s="371"/>
      <c r="L464" s="377"/>
      <c r="M464" s="933">
        <v>3000000</v>
      </c>
      <c r="N464" s="934" t="s">
        <v>539</v>
      </c>
      <c r="O464" s="934" t="s">
        <v>8</v>
      </c>
      <c r="P464" s="75" t="str">
        <f>IF(AND('331-CT'!$E$7=TH!H464,OR(N464="331",O464="331")),"x","")</f>
        <v/>
      </c>
      <c r="Q464" s="75" t="str">
        <f>IF(AND(B464='111'!$L$11,OR($N464=$Q$7,$O464=$Q$7)),"x","")</f>
        <v/>
      </c>
      <c r="R464" s="75" t="str">
        <f>IF(AND($N464=$Q$7,$B464&lt;'111'!$L$11),"x","")</f>
        <v/>
      </c>
      <c r="S464" s="75" t="str">
        <f>IF(AND($O464=$Q$7,$B464&lt;'111'!$L$11),"x","")</f>
        <v/>
      </c>
      <c r="T464" s="75" t="str">
        <f>IF(ISERROR(FIND('112'!$M$9,G464,1)),"",IF((AND(FIND('112'!$M$9,G464,1)&gt;=1,B464='112'!$K$9,OR($N464='112'!$I$6,$O464='112'!$I$6))),"x",""))</f>
        <v/>
      </c>
      <c r="U464" s="75" t="str">
        <f>IF(ISERROR(FIND('112'!$M$9,G464,1)),"",IF((AND(LEFT(G464,2)=LEFT('112'!$M$9,2),B464&lt;'112'!$K$9,$N464='112'!$I$6)),"x",""))</f>
        <v/>
      </c>
      <c r="V464" s="75" t="str">
        <f>IF(ISERROR(FIND('112'!$M$9,G464,1)),"",IF((AND(RIGHT(G464,2)=RIGHT('112'!$M$9,2),B464&lt;'112'!$K$9,$O464='112'!$I$6)),"x",""))</f>
        <v/>
      </c>
      <c r="W464" s="75" t="str">
        <f>IF(AND('341-CT'!$H$9=H464,OR(LEFT(N464,3)=$W$7,LEFT(O464,3)=$W$7)),"x","")</f>
        <v/>
      </c>
      <c r="X464" s="75" t="str">
        <f>IF(OR(TH!N464=TH!$X$7,O464=TH!$X$7),"x","")</f>
        <v/>
      </c>
      <c r="Y464" s="75" t="str">
        <f>IF(AND(OR(N464="131",O464="131"),H464='131-CT'!$H$9),"x","")</f>
        <v/>
      </c>
      <c r="Z464" s="75"/>
      <c r="AA464" s="75" t="str">
        <f>IF(AND(MONTH(E464)='IN-NX'!$J$5,'IN-NX'!$D$7=D464),"x","")</f>
        <v/>
      </c>
      <c r="AB464" s="75" t="str">
        <f>IF(AND(OR(LEFT(TH!N464,2)="15",LEFT(TH!O464,2)="15"),LEFT(TH!O464,3)&lt;&gt;"111",'152-CT'!$J$8=TH!F464),"x","")</f>
        <v/>
      </c>
      <c r="AC464" s="75" t="str">
        <f>IF(AND(OR(LEFT(TH!N464,2)="15",LEFT(TH!O464,2)="15"),TK!$E$7=TH!F464),"x","")</f>
        <v/>
      </c>
      <c r="AD464" s="75" t="str">
        <f>IF(AND(N464="1521",MONTH(C464)='BK-NL'!$M$11),"x","")</f>
        <v/>
      </c>
    </row>
    <row r="465" spans="1:30" ht="16.5" customHeight="1">
      <c r="A465" s="309" t="str">
        <f>IF(B465&lt;&gt;"",IF(AND(B465='IN-TC'!$S$4,OR(TH!N465="1111",TH!O465="1111")),TH!D465,""),"")</f>
        <v/>
      </c>
      <c r="B465" s="1130">
        <f t="shared" si="67"/>
        <v>6</v>
      </c>
      <c r="C465" s="929">
        <v>42893</v>
      </c>
      <c r="D465" s="929" t="s">
        <v>530</v>
      </c>
      <c r="E465" s="929">
        <v>42893</v>
      </c>
      <c r="F465" s="930" t="s">
        <v>1109</v>
      </c>
      <c r="G465" s="931" t="s">
        <v>1566</v>
      </c>
      <c r="H465" s="735" t="s">
        <v>562</v>
      </c>
      <c r="I465" s="371"/>
      <c r="J465" s="932"/>
      <c r="K465" s="371"/>
      <c r="L465" s="377"/>
      <c r="M465" s="933">
        <v>300000</v>
      </c>
      <c r="N465" s="934" t="s">
        <v>9</v>
      </c>
      <c r="O465" s="934" t="s">
        <v>8</v>
      </c>
      <c r="P465" s="75" t="str">
        <f>IF(AND('331-CT'!$E$7=TH!H465,OR(N465="331",O465="331")),"x","")</f>
        <v/>
      </c>
      <c r="Q465" s="75" t="str">
        <f>IF(AND(B465='111'!$L$11,OR($N465=$Q$7,$O465=$Q$7)),"x","")</f>
        <v/>
      </c>
      <c r="R465" s="75" t="str">
        <f>IF(AND($N465=$Q$7,$B465&lt;'111'!$L$11),"x","")</f>
        <v/>
      </c>
      <c r="S465" s="75" t="str">
        <f>IF(AND($O465=$Q$7,$B465&lt;'111'!$L$11),"x","")</f>
        <v/>
      </c>
      <c r="T465" s="75" t="str">
        <f>IF(ISERROR(FIND('112'!$M$9,G465,1)),"",IF((AND(FIND('112'!$M$9,G465,1)&gt;=1,B465='112'!$K$9,OR($N465='112'!$I$6,$O465='112'!$I$6))),"x",""))</f>
        <v/>
      </c>
      <c r="U465" s="75" t="str">
        <f>IF(ISERROR(FIND('112'!$M$9,G465,1)),"",IF((AND(LEFT(G465,2)=LEFT('112'!$M$9,2),B465&lt;'112'!$K$9,$N465='112'!$I$6)),"x",""))</f>
        <v/>
      </c>
      <c r="V465" s="75" t="str">
        <f>IF(ISERROR(FIND('112'!$M$9,G465,1)),"",IF((AND(RIGHT(G465,2)=RIGHT('112'!$M$9,2),B465&lt;'112'!$K$9,$O465='112'!$I$6)),"x",""))</f>
        <v/>
      </c>
      <c r="W465" s="75" t="str">
        <f>IF(AND('341-CT'!$H$9=H465,OR(LEFT(N465,3)=$W$7,LEFT(O465,3)=$W$7)),"x","")</f>
        <v/>
      </c>
      <c r="X465" s="75" t="str">
        <f>IF(OR(TH!N465=TH!$X$7,O465=TH!$X$7),"x","")</f>
        <v/>
      </c>
      <c r="Y465" s="75" t="str">
        <f>IF(AND(OR(N465="131",O465="131"),H465='131-CT'!$H$9),"x","")</f>
        <v/>
      </c>
      <c r="Z465" s="75"/>
      <c r="AA465" s="75" t="str">
        <f>IF(AND(MONTH(E465)='IN-NX'!$J$5,'IN-NX'!$D$7=D465),"x","")</f>
        <v/>
      </c>
      <c r="AB465" s="75" t="str">
        <f>IF(AND(OR(LEFT(TH!N465,2)="15",LEFT(TH!O465,2)="15"),LEFT(TH!O465,3)&lt;&gt;"111",'152-CT'!$J$8=TH!F465),"x","")</f>
        <v/>
      </c>
      <c r="AC465" s="75" t="str">
        <f>IF(AND(OR(LEFT(TH!N465,2)="15",LEFT(TH!O465,2)="15"),TK!$E$7=TH!F465),"x","")</f>
        <v/>
      </c>
      <c r="AD465" s="75" t="str">
        <f>IF(AND(N465="1521",MONTH(C465)='BK-NL'!$M$11),"x","")</f>
        <v/>
      </c>
    </row>
    <row r="466" spans="1:30" ht="16.5" customHeight="1">
      <c r="A466" s="309" t="str">
        <f>IF(B466&lt;&gt;"",IF(AND(B466='IN-TC'!$S$4,OR(TH!N466="1111",TH!O466="1111")),TH!D466,""),"")</f>
        <v/>
      </c>
      <c r="B466" s="1130">
        <f t="shared" si="67"/>
        <v>6</v>
      </c>
      <c r="C466" s="929">
        <v>42907</v>
      </c>
      <c r="D466" s="929" t="s">
        <v>530</v>
      </c>
      <c r="E466" s="929">
        <v>42907</v>
      </c>
      <c r="F466" s="930" t="s">
        <v>1108</v>
      </c>
      <c r="G466" s="931" t="s">
        <v>1662</v>
      </c>
      <c r="H466" s="735" t="s">
        <v>562</v>
      </c>
      <c r="I466" s="371"/>
      <c r="J466" s="932"/>
      <c r="K466" s="371"/>
      <c r="L466" s="377"/>
      <c r="M466" s="933">
        <v>3000000</v>
      </c>
      <c r="N466" s="934" t="s">
        <v>539</v>
      </c>
      <c r="O466" s="934" t="s">
        <v>8</v>
      </c>
      <c r="P466" s="75" t="str">
        <f>IF(AND('331-CT'!$E$7=TH!H466,OR(N466="331",O466="331")),"x","")</f>
        <v/>
      </c>
      <c r="Q466" s="75" t="str">
        <f>IF(AND(B466='111'!$L$11,OR($N466=$Q$7,$O466=$Q$7)),"x","")</f>
        <v/>
      </c>
      <c r="R466" s="75" t="str">
        <f>IF(AND($N466=$Q$7,$B466&lt;'111'!$L$11),"x","")</f>
        <v/>
      </c>
      <c r="S466" s="75" t="str">
        <f>IF(AND($O466=$Q$7,$B466&lt;'111'!$L$11),"x","")</f>
        <v/>
      </c>
      <c r="T466" s="75" t="str">
        <f>IF(ISERROR(FIND('112'!$M$9,G466,1)),"",IF((AND(FIND('112'!$M$9,G466,1)&gt;=1,B466='112'!$K$9,OR($N466='112'!$I$6,$O466='112'!$I$6))),"x",""))</f>
        <v/>
      </c>
      <c r="U466" s="75" t="str">
        <f>IF(ISERROR(FIND('112'!$M$9,G466,1)),"",IF((AND(LEFT(G466,2)=LEFT('112'!$M$9,2),B466&lt;'112'!$K$9,$N466='112'!$I$6)),"x",""))</f>
        <v/>
      </c>
      <c r="V466" s="75" t="str">
        <f>IF(ISERROR(FIND('112'!$M$9,G466,1)),"",IF((AND(RIGHT(G466,2)=RIGHT('112'!$M$9,2),B466&lt;'112'!$K$9,$O466='112'!$I$6)),"x",""))</f>
        <v/>
      </c>
      <c r="W466" s="75" t="str">
        <f>IF(AND('341-CT'!$H$9=H466,OR(LEFT(N466,3)=$W$7,LEFT(O466,3)=$W$7)),"x","")</f>
        <v/>
      </c>
      <c r="X466" s="75" t="str">
        <f>IF(OR(TH!N466=TH!$X$7,O466=TH!$X$7),"x","")</f>
        <v/>
      </c>
      <c r="Y466" s="75" t="str">
        <f>IF(AND(OR(N466="131",O466="131"),H466='131-CT'!$H$9),"x","")</f>
        <v/>
      </c>
      <c r="Z466" s="75"/>
      <c r="AA466" s="75" t="str">
        <f>IF(AND(MONTH(E466)='IN-NX'!$J$5,'IN-NX'!$D$7=D466),"x","")</f>
        <v/>
      </c>
      <c r="AB466" s="75" t="str">
        <f>IF(AND(OR(LEFT(TH!N466,2)="15",LEFT(TH!O466,2)="15"),LEFT(TH!O466,3)&lt;&gt;"111",'152-CT'!$J$8=TH!F466),"x","")</f>
        <v/>
      </c>
      <c r="AC466" s="75" t="str">
        <f>IF(AND(OR(LEFT(TH!N466,2)="15",LEFT(TH!O466,2)="15"),TK!$E$7=TH!F466),"x","")</f>
        <v/>
      </c>
      <c r="AD466" s="75" t="str">
        <f>IF(AND(N466="1521",MONTH(C466)='BK-NL'!$M$11),"x","")</f>
        <v/>
      </c>
    </row>
    <row r="467" spans="1:30" ht="16.5" customHeight="1">
      <c r="A467" s="309" t="str">
        <f>IF(B467&lt;&gt;"",IF(AND(B467='IN-TC'!$S$4,OR(TH!N467="1111",TH!O467="1111")),TH!D467,""),"")</f>
        <v/>
      </c>
      <c r="B467" s="1130">
        <f t="shared" si="67"/>
        <v>6</v>
      </c>
      <c r="C467" s="929">
        <v>42907</v>
      </c>
      <c r="D467" s="929" t="s">
        <v>530</v>
      </c>
      <c r="E467" s="929">
        <v>42907</v>
      </c>
      <c r="F467" s="930" t="s">
        <v>1109</v>
      </c>
      <c r="G467" s="931" t="s">
        <v>1662</v>
      </c>
      <c r="H467" s="735" t="s">
        <v>562</v>
      </c>
      <c r="I467" s="371"/>
      <c r="J467" s="932"/>
      <c r="K467" s="371"/>
      <c r="L467" s="377"/>
      <c r="M467" s="933">
        <v>300000</v>
      </c>
      <c r="N467" s="934" t="s">
        <v>9</v>
      </c>
      <c r="O467" s="934" t="s">
        <v>8</v>
      </c>
      <c r="P467" s="75" t="str">
        <f>IF(AND('331-CT'!$E$7=TH!H467,OR(N467="331",O467="331")),"x","")</f>
        <v/>
      </c>
      <c r="Q467" s="75" t="str">
        <f>IF(AND(B467='111'!$L$11,OR($N467=$Q$7,$O467=$Q$7)),"x","")</f>
        <v/>
      </c>
      <c r="R467" s="75" t="str">
        <f>IF(AND($N467=$Q$7,$B467&lt;'111'!$L$11),"x","")</f>
        <v/>
      </c>
      <c r="S467" s="75" t="str">
        <f>IF(AND($O467=$Q$7,$B467&lt;'111'!$L$11),"x","")</f>
        <v/>
      </c>
      <c r="T467" s="75" t="str">
        <f>IF(ISERROR(FIND('112'!$M$9,G467,1)),"",IF((AND(FIND('112'!$M$9,G467,1)&gt;=1,B467='112'!$K$9,OR($N467='112'!$I$6,$O467='112'!$I$6))),"x",""))</f>
        <v/>
      </c>
      <c r="U467" s="75" t="str">
        <f>IF(ISERROR(FIND('112'!$M$9,G467,1)),"",IF((AND(LEFT(G467,2)=LEFT('112'!$M$9,2),B467&lt;'112'!$K$9,$N467='112'!$I$6)),"x",""))</f>
        <v/>
      </c>
      <c r="V467" s="75" t="str">
        <f>IF(ISERROR(FIND('112'!$M$9,G467,1)),"",IF((AND(RIGHT(G467,2)=RIGHT('112'!$M$9,2),B467&lt;'112'!$K$9,$O467='112'!$I$6)),"x",""))</f>
        <v/>
      </c>
      <c r="W467" s="75" t="str">
        <f>IF(AND('341-CT'!$H$9=H467,OR(LEFT(N467,3)=$W$7,LEFT(O467,3)=$W$7)),"x","")</f>
        <v/>
      </c>
      <c r="X467" s="75" t="str">
        <f>IF(OR(TH!N467=TH!$X$7,O467=TH!$X$7),"x","")</f>
        <v/>
      </c>
      <c r="Y467" s="75" t="str">
        <f>IF(AND(OR(N467="131",O467="131"),H467='131-CT'!$H$9),"x","")</f>
        <v/>
      </c>
      <c r="Z467" s="75"/>
      <c r="AA467" s="75" t="str">
        <f>IF(AND(MONTH(E467)='IN-NX'!$J$5,'IN-NX'!$D$7=D467),"x","")</f>
        <v/>
      </c>
      <c r="AB467" s="75" t="str">
        <f>IF(AND(OR(LEFT(TH!N467,2)="15",LEFT(TH!O467,2)="15"),LEFT(TH!O467,3)&lt;&gt;"111",'152-CT'!$J$8=TH!F467),"x","")</f>
        <v/>
      </c>
      <c r="AC467" s="75" t="str">
        <f>IF(AND(OR(LEFT(TH!N467,2)="15",LEFT(TH!O467,2)="15"),TK!$E$7=TH!F467),"x","")</f>
        <v/>
      </c>
      <c r="AD467" s="75" t="str">
        <f>IF(AND(N467="1521",MONTH(C467)='BK-NL'!$M$11),"x","")</f>
        <v/>
      </c>
    </row>
    <row r="468" spans="1:30" ht="16.5" customHeight="1">
      <c r="A468" s="309" t="str">
        <f>IF(B468&lt;&gt;"",IF(AND(B468='IN-TC'!$S$4,OR(TH!N468="1111",TH!O468="1111")),TH!D468,""),"")</f>
        <v/>
      </c>
      <c r="B468" s="1130">
        <f t="shared" si="67"/>
        <v>6</v>
      </c>
      <c r="C468" s="929">
        <v>42909</v>
      </c>
      <c r="D468" s="929" t="s">
        <v>530</v>
      </c>
      <c r="E468" s="929">
        <v>42909</v>
      </c>
      <c r="F468" s="930" t="s">
        <v>1589</v>
      </c>
      <c r="G468" s="931" t="s">
        <v>1591</v>
      </c>
      <c r="H468" s="735" t="s">
        <v>749</v>
      </c>
      <c r="I468" s="371"/>
      <c r="J468" s="932"/>
      <c r="K468" s="371"/>
      <c r="L468" s="377"/>
      <c r="M468" s="933">
        <v>18448564</v>
      </c>
      <c r="N468" s="934" t="s">
        <v>539</v>
      </c>
      <c r="O468" s="934" t="s">
        <v>8</v>
      </c>
      <c r="P468" s="75" t="str">
        <f>IF(AND('331-CT'!$E$7=TH!H468,OR(N468="331",O468="331")),"x","")</f>
        <v/>
      </c>
      <c r="Q468" s="75" t="str">
        <f>IF(AND(B468='111'!$L$11,OR($N468=$Q$7,$O468=$Q$7)),"x","")</f>
        <v/>
      </c>
      <c r="R468" s="75" t="str">
        <f>IF(AND($N468=$Q$7,$B468&lt;'111'!$L$11),"x","")</f>
        <v/>
      </c>
      <c r="S468" s="75" t="str">
        <f>IF(AND($O468=$Q$7,$B468&lt;'111'!$L$11),"x","")</f>
        <v/>
      </c>
      <c r="T468" s="75" t="str">
        <f>IF(ISERROR(FIND('112'!$M$9,G468,1)),"",IF((AND(FIND('112'!$M$9,G468,1)&gt;=1,B468='112'!$K$9,OR($N468='112'!$I$6,$O468='112'!$I$6))),"x",""))</f>
        <v/>
      </c>
      <c r="U468" s="75" t="str">
        <f>IF(ISERROR(FIND('112'!$M$9,G468,1)),"",IF((AND(LEFT(G468,2)=LEFT('112'!$M$9,2),B468&lt;'112'!$K$9,$N468='112'!$I$6)),"x",""))</f>
        <v/>
      </c>
      <c r="V468" s="75" t="str">
        <f>IF(ISERROR(FIND('112'!$M$9,G468,1)),"",IF((AND(RIGHT(G468,2)=RIGHT('112'!$M$9,2),B468&lt;'112'!$K$9,$O468='112'!$I$6)),"x",""))</f>
        <v/>
      </c>
      <c r="W468" s="75" t="str">
        <f>IF(AND('341-CT'!$H$9=H468,OR(LEFT(N468,3)=$W$7,LEFT(O468,3)=$W$7)),"x","")</f>
        <v/>
      </c>
      <c r="X468" s="75" t="str">
        <f>IF(OR(TH!N468=TH!$X$7,O468=TH!$X$7),"x","")</f>
        <v/>
      </c>
      <c r="Y468" s="75" t="str">
        <f>IF(AND(OR(N468="131",O468="131"),H468='131-CT'!$H$9),"x","")</f>
        <v/>
      </c>
      <c r="Z468" s="75"/>
      <c r="AA468" s="75" t="str">
        <f>IF(AND(MONTH(E468)='IN-NX'!$J$5,'IN-NX'!$D$7=D468),"x","")</f>
        <v/>
      </c>
      <c r="AB468" s="75" t="str">
        <f>IF(AND(OR(LEFT(TH!N468,2)="15",LEFT(TH!O468,2)="15"),LEFT(TH!O468,3)&lt;&gt;"111",'152-CT'!$J$8=TH!F468),"x","")</f>
        <v/>
      </c>
      <c r="AC468" s="75" t="str">
        <f>IF(AND(OR(LEFT(TH!N468,2)="15",LEFT(TH!O468,2)="15"),TK!$E$7=TH!F468),"x","")</f>
        <v/>
      </c>
      <c r="AD468" s="75" t="str">
        <f>IF(AND(N468="1521",MONTH(C468)='BK-NL'!$M$11),"x","")</f>
        <v/>
      </c>
    </row>
    <row r="469" spans="1:30" ht="16.5" customHeight="1">
      <c r="A469" s="309" t="str">
        <f>IF(B469&lt;&gt;"",IF(AND(B469='IN-TC'!$S$4,OR(TH!N469="1111",TH!O469="1111")),TH!D469,""),"")</f>
        <v/>
      </c>
      <c r="B469" s="1130">
        <f t="shared" si="67"/>
        <v>6</v>
      </c>
      <c r="C469" s="929">
        <v>42909</v>
      </c>
      <c r="D469" s="929" t="s">
        <v>530</v>
      </c>
      <c r="E469" s="929">
        <v>42909</v>
      </c>
      <c r="F469" s="930" t="s">
        <v>1590</v>
      </c>
      <c r="G469" s="931" t="s">
        <v>1591</v>
      </c>
      <c r="H469" s="735" t="s">
        <v>749</v>
      </c>
      <c r="I469" s="371"/>
      <c r="J469" s="932"/>
      <c r="K469" s="371"/>
      <c r="L469" s="377"/>
      <c r="M469" s="933">
        <v>1844856</v>
      </c>
      <c r="N469" s="934" t="s">
        <v>9</v>
      </c>
      <c r="O469" s="934" t="s">
        <v>8</v>
      </c>
      <c r="P469" s="75" t="str">
        <f>IF(AND('331-CT'!$E$7=TH!H469,OR(N469="331",O469="331")),"x","")</f>
        <v/>
      </c>
      <c r="Q469" s="75" t="str">
        <f>IF(AND(B469='111'!$L$11,OR($N469=$Q$7,$O469=$Q$7)),"x","")</f>
        <v/>
      </c>
      <c r="R469" s="75" t="str">
        <f>IF(AND($N469=$Q$7,$B469&lt;'111'!$L$11),"x","")</f>
        <v/>
      </c>
      <c r="S469" s="75" t="str">
        <f>IF(AND($O469=$Q$7,$B469&lt;'111'!$L$11),"x","")</f>
        <v/>
      </c>
      <c r="T469" s="75" t="str">
        <f>IF(ISERROR(FIND('112'!$M$9,G469,1)),"",IF((AND(FIND('112'!$M$9,G469,1)&gt;=1,B469='112'!$K$9,OR($N469='112'!$I$6,$O469='112'!$I$6))),"x",""))</f>
        <v/>
      </c>
      <c r="U469" s="75" t="str">
        <f>IF(ISERROR(FIND('112'!$M$9,G469,1)),"",IF((AND(LEFT(G469,2)=LEFT('112'!$M$9,2),B469&lt;'112'!$K$9,$N469='112'!$I$6)),"x",""))</f>
        <v/>
      </c>
      <c r="V469" s="75" t="str">
        <f>IF(ISERROR(FIND('112'!$M$9,G469,1)),"",IF((AND(RIGHT(G469,2)=RIGHT('112'!$M$9,2),B469&lt;'112'!$K$9,$O469='112'!$I$6)),"x",""))</f>
        <v/>
      </c>
      <c r="W469" s="75" t="str">
        <f>IF(AND('341-CT'!$H$9=H469,OR(LEFT(N469,3)=$W$7,LEFT(O469,3)=$W$7)),"x","")</f>
        <v/>
      </c>
      <c r="X469" s="75" t="str">
        <f>IF(OR(TH!N469=TH!$X$7,O469=TH!$X$7),"x","")</f>
        <v/>
      </c>
      <c r="Y469" s="75" t="str">
        <f>IF(AND(OR(N469="131",O469="131"),H469='131-CT'!$H$9),"x","")</f>
        <v/>
      </c>
      <c r="Z469" s="75"/>
      <c r="AA469" s="75" t="str">
        <f>IF(AND(MONTH(E469)='IN-NX'!$J$5,'IN-NX'!$D$7=D469),"x","")</f>
        <v/>
      </c>
      <c r="AB469" s="75" t="str">
        <f>IF(AND(OR(LEFT(TH!N469,2)="15",LEFT(TH!O469,2)="15"),LEFT(TH!O469,3)&lt;&gt;"111",'152-CT'!$J$8=TH!F469),"x","")</f>
        <v/>
      </c>
      <c r="AC469" s="75" t="str">
        <f>IF(AND(OR(LEFT(TH!N469,2)="15",LEFT(TH!O469,2)="15"),TK!$E$7=TH!F469),"x","")</f>
        <v/>
      </c>
      <c r="AD469" s="75" t="str">
        <f>IF(AND(N469="1521",MONTH(C469)='BK-NL'!$M$11),"x","")</f>
        <v/>
      </c>
    </row>
    <row r="470" spans="1:30" ht="16.5" customHeight="1">
      <c r="A470" s="309" t="str">
        <f>IF(B470&lt;&gt;"",IF(AND(B470='IN-TC'!$S$4,OR(TH!N470="1111",TH!O470="1111")),TH!D470,""),"")</f>
        <v/>
      </c>
      <c r="B470" s="1130">
        <f t="shared" si="67"/>
        <v>6</v>
      </c>
      <c r="C470" s="929">
        <v>42910</v>
      </c>
      <c r="D470" s="929" t="s">
        <v>530</v>
      </c>
      <c r="E470" s="929">
        <v>42910</v>
      </c>
      <c r="F470" s="930" t="s">
        <v>1192</v>
      </c>
      <c r="G470" s="931" t="s">
        <v>1599</v>
      </c>
      <c r="H470" s="73" t="s">
        <v>755</v>
      </c>
      <c r="I470" s="371"/>
      <c r="J470" s="932"/>
      <c r="K470" s="371"/>
      <c r="L470" s="377"/>
      <c r="M470" s="933">
        <v>8421200</v>
      </c>
      <c r="N470" s="934" t="s">
        <v>539</v>
      </c>
      <c r="O470" s="934" t="s">
        <v>8</v>
      </c>
      <c r="P470" s="75" t="str">
        <f>IF(AND('331-CT'!$E$7=TH!H470,OR(N470="331",O470="331")),"x","")</f>
        <v/>
      </c>
      <c r="Q470" s="75" t="str">
        <f>IF(AND(B470='111'!$L$11,OR($N470=$Q$7,$O470=$Q$7)),"x","")</f>
        <v/>
      </c>
      <c r="R470" s="75" t="str">
        <f>IF(AND($N470=$Q$7,$B470&lt;'111'!$L$11),"x","")</f>
        <v/>
      </c>
      <c r="S470" s="75" t="str">
        <f>IF(AND($O470=$Q$7,$B470&lt;'111'!$L$11),"x","")</f>
        <v/>
      </c>
      <c r="T470" s="75" t="str">
        <f>IF(ISERROR(FIND('112'!$M$9,G470,1)),"",IF((AND(FIND('112'!$M$9,G470,1)&gt;=1,B470='112'!$K$9,OR($N470='112'!$I$6,$O470='112'!$I$6))),"x",""))</f>
        <v/>
      </c>
      <c r="U470" s="75" t="str">
        <f>IF(ISERROR(FIND('112'!$M$9,G470,1)),"",IF((AND(LEFT(G470,2)=LEFT('112'!$M$9,2),B470&lt;'112'!$K$9,$N470='112'!$I$6)),"x",""))</f>
        <v/>
      </c>
      <c r="V470" s="75" t="str">
        <f>IF(ISERROR(FIND('112'!$M$9,G470,1)),"",IF((AND(RIGHT(G470,2)=RIGHT('112'!$M$9,2),B470&lt;'112'!$K$9,$O470='112'!$I$6)),"x",""))</f>
        <v/>
      </c>
      <c r="W470" s="75" t="str">
        <f>IF(AND('341-CT'!$H$9=H470,OR(LEFT(N470,3)=$W$7,LEFT(O470,3)=$W$7)),"x","")</f>
        <v/>
      </c>
      <c r="X470" s="75" t="str">
        <f>IF(OR(TH!N470=TH!$X$7,O470=TH!$X$7),"x","")</f>
        <v/>
      </c>
      <c r="Y470" s="75" t="str">
        <f>IF(AND(OR(N470="131",O470="131"),H470='131-CT'!$H$9),"x","")</f>
        <v/>
      </c>
      <c r="Z470" s="75"/>
      <c r="AA470" s="75" t="str">
        <f>IF(AND(MONTH(E470)='IN-NX'!$J$5,'IN-NX'!$D$7=D470),"x","")</f>
        <v/>
      </c>
      <c r="AB470" s="75" t="str">
        <f>IF(AND(OR(LEFT(TH!N470,2)="15",LEFT(TH!O470,2)="15"),LEFT(TH!O470,3)&lt;&gt;"111",'152-CT'!$J$8=TH!F470),"x","")</f>
        <v/>
      </c>
      <c r="AC470" s="75" t="str">
        <f>IF(AND(OR(LEFT(TH!N470,2)="15",LEFT(TH!O470,2)="15"),TK!$E$7=TH!F470),"x","")</f>
        <v/>
      </c>
      <c r="AD470" s="75" t="str">
        <f>IF(AND(N470="1521",MONTH(C470)='BK-NL'!$M$11),"x","")</f>
        <v/>
      </c>
    </row>
    <row r="471" spans="1:30" ht="16.5" customHeight="1">
      <c r="A471" s="309" t="str">
        <f>IF(B471&lt;&gt;"",IF(AND(B471='IN-TC'!$S$4,OR(TH!N471="1111",TH!O471="1111")),TH!D471,""),"")</f>
        <v/>
      </c>
      <c r="B471" s="1130">
        <f t="shared" si="67"/>
        <v>6</v>
      </c>
      <c r="C471" s="929">
        <v>42910</v>
      </c>
      <c r="D471" s="929" t="s">
        <v>530</v>
      </c>
      <c r="E471" s="929">
        <v>42910</v>
      </c>
      <c r="F471" s="930" t="s">
        <v>823</v>
      </c>
      <c r="G471" s="931" t="s">
        <v>1600</v>
      </c>
      <c r="H471" s="73" t="s">
        <v>755</v>
      </c>
      <c r="I471" s="371"/>
      <c r="J471" s="932"/>
      <c r="K471" s="371"/>
      <c r="L471" s="377"/>
      <c r="M471" s="933">
        <v>3840880</v>
      </c>
      <c r="N471" s="934" t="s">
        <v>539</v>
      </c>
      <c r="O471" s="934" t="s">
        <v>8</v>
      </c>
      <c r="P471" s="75" t="str">
        <f>IF(AND('331-CT'!$E$7=TH!H471,OR(N471="331",O471="331")),"x","")</f>
        <v/>
      </c>
      <c r="Q471" s="75" t="str">
        <f>IF(AND(B471='111'!$L$11,OR($N471=$Q$7,$O471=$Q$7)),"x","")</f>
        <v/>
      </c>
      <c r="R471" s="75" t="str">
        <f>IF(AND($N471=$Q$7,$B471&lt;'111'!$L$11),"x","")</f>
        <v/>
      </c>
      <c r="S471" s="75" t="str">
        <f>IF(AND($O471=$Q$7,$B471&lt;'111'!$L$11),"x","")</f>
        <v/>
      </c>
      <c r="T471" s="75" t="str">
        <f>IF(ISERROR(FIND('112'!$M$9,G471,1)),"",IF((AND(FIND('112'!$M$9,G471,1)&gt;=1,B471='112'!$K$9,OR($N471='112'!$I$6,$O471='112'!$I$6))),"x",""))</f>
        <v/>
      </c>
      <c r="U471" s="75" t="str">
        <f>IF(ISERROR(FIND('112'!$M$9,G471,1)),"",IF((AND(LEFT(G471,2)=LEFT('112'!$M$9,2),B471&lt;'112'!$K$9,$N471='112'!$I$6)),"x",""))</f>
        <v/>
      </c>
      <c r="V471" s="75" t="str">
        <f>IF(ISERROR(FIND('112'!$M$9,G471,1)),"",IF((AND(RIGHT(G471,2)=RIGHT('112'!$M$9,2),B471&lt;'112'!$K$9,$O471='112'!$I$6)),"x",""))</f>
        <v/>
      </c>
      <c r="W471" s="75" t="str">
        <f>IF(AND('341-CT'!$H$9=H471,OR(LEFT(N471,3)=$W$7,LEFT(O471,3)=$W$7)),"x","")</f>
        <v/>
      </c>
      <c r="X471" s="75" t="str">
        <f>IF(OR(TH!N471=TH!$X$7,O471=TH!$X$7),"x","")</f>
        <v/>
      </c>
      <c r="Y471" s="75" t="str">
        <f>IF(AND(OR(N471="131",O471="131"),H471='131-CT'!$H$9),"x","")</f>
        <v/>
      </c>
      <c r="Z471" s="75"/>
      <c r="AA471" s="75" t="str">
        <f>IF(AND(MONTH(E471)='IN-NX'!$J$5,'IN-NX'!$D$7=D471),"x","")</f>
        <v/>
      </c>
      <c r="AB471" s="75" t="str">
        <f>IF(AND(OR(LEFT(TH!N471,2)="15",LEFT(TH!O471,2)="15"),LEFT(TH!O471,3)&lt;&gt;"111",'152-CT'!$J$8=TH!F471),"x","")</f>
        <v/>
      </c>
      <c r="AC471" s="75" t="str">
        <f>IF(AND(OR(LEFT(TH!N471,2)="15",LEFT(TH!O471,2)="15"),TK!$E$7=TH!F471),"x","")</f>
        <v/>
      </c>
      <c r="AD471" s="75" t="str">
        <f>IF(AND(N471="1521",MONTH(C471)='BK-NL'!$M$11),"x","")</f>
        <v/>
      </c>
    </row>
    <row r="472" spans="1:30" ht="16.5" customHeight="1">
      <c r="A472" s="309" t="str">
        <f>IF(B472&lt;&gt;"",IF(AND(B472='IN-TC'!$S$4,OR(TH!N472="1111",TH!O472="1111")),TH!D472,""),"")</f>
        <v/>
      </c>
      <c r="B472" s="1130">
        <f t="shared" si="67"/>
        <v>6</v>
      </c>
      <c r="C472" s="929">
        <v>42910</v>
      </c>
      <c r="D472" s="929" t="s">
        <v>530</v>
      </c>
      <c r="E472" s="929">
        <v>42910</v>
      </c>
      <c r="F472" s="930" t="s">
        <v>824</v>
      </c>
      <c r="G472" s="931" t="s">
        <v>1600</v>
      </c>
      <c r="H472" s="73" t="s">
        <v>755</v>
      </c>
      <c r="I472" s="371"/>
      <c r="J472" s="932"/>
      <c r="K472" s="371"/>
      <c r="L472" s="377"/>
      <c r="M472" s="933">
        <v>384088</v>
      </c>
      <c r="N472" s="934" t="s">
        <v>9</v>
      </c>
      <c r="O472" s="934" t="s">
        <v>8</v>
      </c>
      <c r="P472" s="75" t="str">
        <f>IF(AND('331-CT'!$E$7=TH!H472,OR(N472="331",O472="331")),"x","")</f>
        <v/>
      </c>
      <c r="Q472" s="75" t="str">
        <f>IF(AND(B472='111'!$L$11,OR($N472=$Q$7,$O472=$Q$7)),"x","")</f>
        <v/>
      </c>
      <c r="R472" s="75" t="str">
        <f>IF(AND($N472=$Q$7,$B472&lt;'111'!$L$11),"x","")</f>
        <v/>
      </c>
      <c r="S472" s="75" t="str">
        <f>IF(AND($O472=$Q$7,$B472&lt;'111'!$L$11),"x","")</f>
        <v/>
      </c>
      <c r="T472" s="75" t="str">
        <f>IF(ISERROR(FIND('112'!$M$9,G472,1)),"",IF((AND(FIND('112'!$M$9,G472,1)&gt;=1,B472='112'!$K$9,OR($N472='112'!$I$6,$O472='112'!$I$6))),"x",""))</f>
        <v/>
      </c>
      <c r="U472" s="75" t="str">
        <f>IF(ISERROR(FIND('112'!$M$9,G472,1)),"",IF((AND(LEFT(G472,2)=LEFT('112'!$M$9,2),B472&lt;'112'!$K$9,$N472='112'!$I$6)),"x",""))</f>
        <v/>
      </c>
      <c r="V472" s="75" t="str">
        <f>IF(ISERROR(FIND('112'!$M$9,G472,1)),"",IF((AND(RIGHT(G472,2)=RIGHT('112'!$M$9,2),B472&lt;'112'!$K$9,$O472='112'!$I$6)),"x",""))</f>
        <v/>
      </c>
      <c r="W472" s="75" t="str">
        <f>IF(AND('341-CT'!$H$9=H472,OR(LEFT(N472,3)=$W$7,LEFT(O472,3)=$W$7)),"x","")</f>
        <v/>
      </c>
      <c r="X472" s="75" t="str">
        <f>IF(OR(TH!N472=TH!$X$7,O472=TH!$X$7),"x","")</f>
        <v/>
      </c>
      <c r="Y472" s="75" t="str">
        <f>IF(AND(OR(N472="131",O472="131"),H472='131-CT'!$H$9),"x","")</f>
        <v/>
      </c>
      <c r="Z472" s="75"/>
      <c r="AA472" s="75" t="str">
        <f>IF(AND(MONTH(E472)='IN-NX'!$J$5,'IN-NX'!$D$7=D472),"x","")</f>
        <v/>
      </c>
      <c r="AB472" s="75" t="str">
        <f>IF(AND(OR(LEFT(TH!N472,2)="15",LEFT(TH!O472,2)="15"),LEFT(TH!O472,3)&lt;&gt;"111",'152-CT'!$J$8=TH!F472),"x","")</f>
        <v/>
      </c>
      <c r="AC472" s="75" t="str">
        <f>IF(AND(OR(LEFT(TH!N472,2)="15",LEFT(TH!O472,2)="15"),TK!$E$7=TH!F472),"x","")</f>
        <v/>
      </c>
      <c r="AD472" s="75" t="str">
        <f>IF(AND(N472="1521",MONTH(C472)='BK-NL'!$M$11),"x","")</f>
        <v/>
      </c>
    </row>
    <row r="473" spans="1:30" ht="16.5" customHeight="1">
      <c r="A473" s="309" t="str">
        <f>IF(B473&lt;&gt;"",IF(AND(B473='IN-TC'!$S$4,OR(TH!N473="1111",TH!O473="1111")),TH!D473,""),"")</f>
        <v/>
      </c>
      <c r="B473" s="1130">
        <f t="shared" si="67"/>
        <v>6</v>
      </c>
      <c r="C473" s="929">
        <v>42913</v>
      </c>
      <c r="D473" s="929" t="s">
        <v>530</v>
      </c>
      <c r="E473" s="929">
        <f>C473</f>
        <v>42913</v>
      </c>
      <c r="F473" s="930" t="s">
        <v>869</v>
      </c>
      <c r="G473" s="931" t="s">
        <v>1668</v>
      </c>
      <c r="H473" s="296" t="s">
        <v>561</v>
      </c>
      <c r="I473" s="371"/>
      <c r="J473" s="932"/>
      <c r="K473" s="371"/>
      <c r="L473" s="377"/>
      <c r="M473" s="933">
        <v>2650000</v>
      </c>
      <c r="N473" s="934" t="s">
        <v>539</v>
      </c>
      <c r="O473" s="934" t="s">
        <v>8</v>
      </c>
      <c r="P473" s="75" t="str">
        <f>IF(AND('331-CT'!$E$7=TH!H473,OR(N473="331",O473="331")),"x","")</f>
        <v/>
      </c>
      <c r="Q473" s="75" t="str">
        <f>IF(AND(B473='111'!$L$11,OR($N473=$Q$7,$O473=$Q$7)),"x","")</f>
        <v/>
      </c>
      <c r="R473" s="75" t="str">
        <f>IF(AND($N473=$Q$7,$B473&lt;'111'!$L$11),"x","")</f>
        <v/>
      </c>
      <c r="S473" s="75" t="str">
        <f>IF(AND($O473=$Q$7,$B473&lt;'111'!$L$11),"x","")</f>
        <v/>
      </c>
      <c r="T473" s="75" t="str">
        <f>IF(ISERROR(FIND('112'!$M$9,G473,1)),"",IF((AND(FIND('112'!$M$9,G473,1)&gt;=1,B473='112'!$K$9,OR($N473='112'!$I$6,$O473='112'!$I$6))),"x",""))</f>
        <v/>
      </c>
      <c r="U473" s="75" t="str">
        <f>IF(ISERROR(FIND('112'!$M$9,G473,1)),"",IF((AND(LEFT(G473,2)=LEFT('112'!$M$9,2),B473&lt;'112'!$K$9,$N473='112'!$I$6)),"x",""))</f>
        <v/>
      </c>
      <c r="V473" s="75" t="str">
        <f>IF(ISERROR(FIND('112'!$M$9,G473,1)),"",IF((AND(RIGHT(G473,2)=RIGHT('112'!$M$9,2),B473&lt;'112'!$K$9,$O473='112'!$I$6)),"x",""))</f>
        <v/>
      </c>
      <c r="W473" s="75" t="str">
        <f>IF(AND('341-CT'!$H$9=H473,OR(LEFT(N473,3)=$W$7,LEFT(O473,3)=$W$7)),"x","")</f>
        <v/>
      </c>
      <c r="X473" s="75" t="str">
        <f>IF(OR(TH!N473=TH!$X$7,O473=TH!$X$7),"x","")</f>
        <v/>
      </c>
      <c r="Y473" s="75" t="str">
        <f>IF(AND(OR(N473="131",O473="131"),H473='131-CT'!$H$9),"x","")</f>
        <v/>
      </c>
      <c r="Z473" s="75"/>
      <c r="AA473" s="75" t="str">
        <f>IF(AND(MONTH(E473)='IN-NX'!$J$5,'IN-NX'!$D$7=D473),"x","")</f>
        <v/>
      </c>
      <c r="AB473" s="75" t="str">
        <f>IF(AND(OR(LEFT(TH!N473,2)="15",LEFT(TH!O473,2)="15"),LEFT(TH!O473,3)&lt;&gt;"111",'152-CT'!$J$8=TH!F473),"x","")</f>
        <v/>
      </c>
      <c r="AC473" s="75" t="str">
        <f>IF(AND(OR(LEFT(TH!N473,2)="15",LEFT(TH!O473,2)="15"),TK!$E$7=TH!F473),"x","")</f>
        <v/>
      </c>
      <c r="AD473" s="75" t="str">
        <f>IF(AND(N473="1521",MONTH(C473)='BK-NL'!$M$11),"x","")</f>
        <v/>
      </c>
    </row>
    <row r="474" spans="1:30" ht="16.5" customHeight="1">
      <c r="A474" s="309" t="str">
        <f>IF(B474&lt;&gt;"",IF(AND(B474='IN-TC'!$S$4,OR(TH!N474="1111",TH!O474="1111")),TH!D474,""),"")</f>
        <v/>
      </c>
      <c r="B474" s="1130">
        <f t="shared" si="67"/>
        <v>6</v>
      </c>
      <c r="C474" s="929">
        <v>42913</v>
      </c>
      <c r="D474" s="929" t="s">
        <v>530</v>
      </c>
      <c r="E474" s="929">
        <f>C474</f>
        <v>42913</v>
      </c>
      <c r="F474" s="930" t="s">
        <v>869</v>
      </c>
      <c r="G474" s="931" t="s">
        <v>1669</v>
      </c>
      <c r="H474" s="296" t="s">
        <v>561</v>
      </c>
      <c r="I474" s="371"/>
      <c r="J474" s="932"/>
      <c r="K474" s="371"/>
      <c r="L474" s="377"/>
      <c r="M474" s="933">
        <v>7115000</v>
      </c>
      <c r="N474" s="934" t="s">
        <v>539</v>
      </c>
      <c r="O474" s="934" t="s">
        <v>8</v>
      </c>
      <c r="P474" s="75" t="str">
        <f>IF(AND('331-CT'!$E$7=TH!H474,OR(N474="331",O474="331")),"x","")</f>
        <v/>
      </c>
      <c r="Q474" s="75" t="str">
        <f>IF(AND(B474='111'!$L$11,OR($N474=$Q$7,$O474=$Q$7)),"x","")</f>
        <v/>
      </c>
      <c r="R474" s="75" t="str">
        <f>IF(AND($N474=$Q$7,$B474&lt;'111'!$L$11),"x","")</f>
        <v/>
      </c>
      <c r="S474" s="75" t="str">
        <f>IF(AND($O474=$Q$7,$B474&lt;'111'!$L$11),"x","")</f>
        <v/>
      </c>
      <c r="T474" s="75" t="str">
        <f>IF(ISERROR(FIND('112'!$M$9,G474,1)),"",IF((AND(FIND('112'!$M$9,G474,1)&gt;=1,B474='112'!$K$9,OR($N474='112'!$I$6,$O474='112'!$I$6))),"x",""))</f>
        <v/>
      </c>
      <c r="U474" s="75" t="str">
        <f>IF(ISERROR(FIND('112'!$M$9,G474,1)),"",IF((AND(LEFT(G474,2)=LEFT('112'!$M$9,2),B474&lt;'112'!$K$9,$N474='112'!$I$6)),"x",""))</f>
        <v/>
      </c>
      <c r="V474" s="75" t="str">
        <f>IF(ISERROR(FIND('112'!$M$9,G474,1)),"",IF((AND(RIGHT(G474,2)=RIGHT('112'!$M$9,2),B474&lt;'112'!$K$9,$O474='112'!$I$6)),"x",""))</f>
        <v/>
      </c>
      <c r="W474" s="75" t="str">
        <f>IF(AND('341-CT'!$H$9=H474,OR(LEFT(N474,3)=$W$7,LEFT(O474,3)=$W$7)),"x","")</f>
        <v/>
      </c>
      <c r="X474" s="75" t="str">
        <f>IF(OR(TH!N474=TH!$X$7,O474=TH!$X$7),"x","")</f>
        <v/>
      </c>
      <c r="Y474" s="75" t="str">
        <f>IF(AND(OR(N474="131",O474="131"),H474='131-CT'!$H$9),"x","")</f>
        <v/>
      </c>
      <c r="Z474" s="75"/>
      <c r="AA474" s="75" t="str">
        <f>IF(AND(MONTH(E474)='IN-NX'!$J$5,'IN-NX'!$D$7=D474),"x","")</f>
        <v/>
      </c>
      <c r="AB474" s="75" t="str">
        <f>IF(AND(OR(LEFT(TH!N474,2)="15",LEFT(TH!O474,2)="15"),LEFT(TH!O474,3)&lt;&gt;"111",'152-CT'!$J$8=TH!F474),"x","")</f>
        <v/>
      </c>
      <c r="AC474" s="75" t="str">
        <f>IF(AND(OR(LEFT(TH!N474,2)="15",LEFT(TH!O474,2)="15"),TK!$E$7=TH!F474),"x","")</f>
        <v/>
      </c>
      <c r="AD474" s="75" t="str">
        <f>IF(AND(N474="1521",MONTH(C474)='BK-NL'!$M$11),"x","")</f>
        <v/>
      </c>
    </row>
    <row r="475" spans="1:30" ht="16.5" customHeight="1">
      <c r="A475" s="309" t="str">
        <f>IF(B475&lt;&gt;"",IF(AND(B475='IN-TC'!$S$4,OR(TH!N475="1111",TH!O475="1111")),TH!D475,""),"")</f>
        <v/>
      </c>
      <c r="B475" s="1130">
        <f t="shared" si="67"/>
        <v>6</v>
      </c>
      <c r="C475" s="929">
        <v>42916</v>
      </c>
      <c r="D475" s="929" t="s">
        <v>530</v>
      </c>
      <c r="E475" s="929">
        <v>42892</v>
      </c>
      <c r="F475" s="930" t="s">
        <v>1611</v>
      </c>
      <c r="G475" s="931" t="s">
        <v>1678</v>
      </c>
      <c r="H475" s="735" t="s">
        <v>563</v>
      </c>
      <c r="I475" s="371"/>
      <c r="J475" s="932"/>
      <c r="K475" s="371"/>
      <c r="L475" s="377"/>
      <c r="M475" s="933">
        <v>35592300</v>
      </c>
      <c r="N475" s="934" t="s">
        <v>272</v>
      </c>
      <c r="O475" s="934" t="s">
        <v>8</v>
      </c>
      <c r="P475" s="75" t="str">
        <f>IF(AND('331-CT'!$E$7=TH!H475,OR(N475="331",O475="331")),"x","")</f>
        <v/>
      </c>
      <c r="Q475" s="75" t="str">
        <f>IF(AND(B475='111'!$L$11,OR($N475=$Q$7,$O475=$Q$7)),"x","")</f>
        <v/>
      </c>
      <c r="R475" s="75" t="str">
        <f>IF(AND($N475=$Q$7,$B475&lt;'111'!$L$11),"x","")</f>
        <v/>
      </c>
      <c r="S475" s="75" t="str">
        <f>IF(AND($O475=$Q$7,$B475&lt;'111'!$L$11),"x","")</f>
        <v/>
      </c>
      <c r="T475" s="75" t="str">
        <f>IF(ISERROR(FIND('112'!$M$9,G475,1)),"",IF((AND(FIND('112'!$M$9,G475,1)&gt;=1,B475='112'!$K$9,OR($N475='112'!$I$6,$O475='112'!$I$6))),"x",""))</f>
        <v/>
      </c>
      <c r="U475" s="75" t="str">
        <f>IF(ISERROR(FIND('112'!$M$9,G475,1)),"",IF((AND(LEFT(G475,2)=LEFT('112'!$M$9,2),B475&lt;'112'!$K$9,$N475='112'!$I$6)),"x",""))</f>
        <v/>
      </c>
      <c r="V475" s="75" t="str">
        <f>IF(ISERROR(FIND('112'!$M$9,G475,1)),"",IF((AND(RIGHT(G475,2)=RIGHT('112'!$M$9,2),B475&lt;'112'!$K$9,$O475='112'!$I$6)),"x",""))</f>
        <v/>
      </c>
      <c r="W475" s="75" t="str">
        <f>IF(AND('341-CT'!$H$9=H475,OR(LEFT(N475,3)=$W$7,LEFT(O475,3)=$W$7)),"x","")</f>
        <v/>
      </c>
      <c r="X475" s="75" t="str">
        <f>IF(OR(TH!N475=TH!$X$7,O475=TH!$X$7),"x","")</f>
        <v/>
      </c>
      <c r="Y475" s="75" t="str">
        <f>IF(AND(OR(N475="131",O475="131"),H475='131-CT'!$H$9),"x","")</f>
        <v/>
      </c>
      <c r="Z475" s="75"/>
      <c r="AA475" s="75" t="str">
        <f>IF(AND(MONTH(E475)='IN-NX'!$J$5,'IN-NX'!$D$7=D475),"x","")</f>
        <v/>
      </c>
      <c r="AB475" s="75" t="str">
        <f>IF(AND(OR(LEFT(TH!N475,2)="15",LEFT(TH!O475,2)="15"),LEFT(TH!O475,3)&lt;&gt;"111",'152-CT'!$J$8=TH!F475),"x","")</f>
        <v/>
      </c>
      <c r="AC475" s="75" t="str">
        <f>IF(AND(OR(LEFT(TH!N475,2)="15",LEFT(TH!O475,2)="15"),TK!$E$7=TH!F475),"x","")</f>
        <v/>
      </c>
      <c r="AD475" s="75" t="str">
        <f>IF(AND(N475="1521",MONTH(C475)='BK-NL'!$M$11),"x","")</f>
        <v/>
      </c>
    </row>
    <row r="476" spans="1:30" ht="16.5" customHeight="1">
      <c r="A476" s="309" t="str">
        <f>IF(B476&lt;&gt;"",IF(AND(B476='IN-TC'!$S$4,OR(TH!N476="1111",TH!O476="1111")),TH!D476,""),"")</f>
        <v/>
      </c>
      <c r="B476" s="1130">
        <f t="shared" si="67"/>
        <v>6</v>
      </c>
      <c r="C476" s="929">
        <v>42916</v>
      </c>
      <c r="D476" s="929" t="s">
        <v>530</v>
      </c>
      <c r="E476" s="929">
        <v>42892</v>
      </c>
      <c r="F476" s="930" t="s">
        <v>1612</v>
      </c>
      <c r="G476" s="931" t="s">
        <v>1678</v>
      </c>
      <c r="H476" s="735" t="s">
        <v>563</v>
      </c>
      <c r="I476" s="371"/>
      <c r="J476" s="932"/>
      <c r="K476" s="371"/>
      <c r="L476" s="377"/>
      <c r="M476" s="933">
        <v>3559230</v>
      </c>
      <c r="N476" s="934" t="s">
        <v>9</v>
      </c>
      <c r="O476" s="934" t="s">
        <v>8</v>
      </c>
      <c r="P476" s="75" t="str">
        <f>IF(AND('331-CT'!$E$7=TH!H476,OR(N476="331",O476="331")),"x","")</f>
        <v/>
      </c>
      <c r="Q476" s="75" t="str">
        <f>IF(AND(B476='111'!$L$11,OR($N476=$Q$7,$O476=$Q$7)),"x","")</f>
        <v/>
      </c>
      <c r="R476" s="75" t="str">
        <f>IF(AND($N476=$Q$7,$B476&lt;'111'!$L$11),"x","")</f>
        <v/>
      </c>
      <c r="S476" s="75" t="str">
        <f>IF(AND($O476=$Q$7,$B476&lt;'111'!$L$11),"x","")</f>
        <v/>
      </c>
      <c r="T476" s="75" t="str">
        <f>IF(ISERROR(FIND('112'!$M$9,G476,1)),"",IF((AND(FIND('112'!$M$9,G476,1)&gt;=1,B476='112'!$K$9,OR($N476='112'!$I$6,$O476='112'!$I$6))),"x",""))</f>
        <v/>
      </c>
      <c r="U476" s="75" t="str">
        <f>IF(ISERROR(FIND('112'!$M$9,G476,1)),"",IF((AND(LEFT(G476,2)=LEFT('112'!$M$9,2),B476&lt;'112'!$K$9,$N476='112'!$I$6)),"x",""))</f>
        <v/>
      </c>
      <c r="V476" s="75" t="str">
        <f>IF(ISERROR(FIND('112'!$M$9,G476,1)),"",IF((AND(RIGHT(G476,2)=RIGHT('112'!$M$9,2),B476&lt;'112'!$K$9,$O476='112'!$I$6)),"x",""))</f>
        <v/>
      </c>
      <c r="W476" s="75" t="str">
        <f>IF(AND('341-CT'!$H$9=H476,OR(LEFT(N476,3)=$W$7,LEFT(O476,3)=$W$7)),"x","")</f>
        <v/>
      </c>
      <c r="X476" s="75" t="str">
        <f>IF(OR(TH!N476=TH!$X$7,O476=TH!$X$7),"x","")</f>
        <v/>
      </c>
      <c r="Y476" s="75" t="str">
        <f>IF(AND(OR(N476="131",O476="131"),H476='131-CT'!$H$9),"x","")</f>
        <v/>
      </c>
      <c r="Z476" s="75"/>
      <c r="AA476" s="75" t="str">
        <f>IF(AND(MONTH(E476)='IN-NX'!$J$5,'IN-NX'!$D$7=D476),"x","")</f>
        <v/>
      </c>
      <c r="AB476" s="75" t="str">
        <f>IF(AND(OR(LEFT(TH!N476,2)="15",LEFT(TH!O476,2)="15"),LEFT(TH!O476,3)&lt;&gt;"111",'152-CT'!$J$8=TH!F476),"x","")</f>
        <v/>
      </c>
      <c r="AC476" s="75" t="str">
        <f>IF(AND(OR(LEFT(TH!N476,2)="15",LEFT(TH!O476,2)="15"),TK!$E$7=TH!F476),"x","")</f>
        <v/>
      </c>
      <c r="AD476" s="75" t="str">
        <f>IF(AND(N476="1521",MONTH(C476)='BK-NL'!$M$11),"x","")</f>
        <v/>
      </c>
    </row>
    <row r="477" spans="1:30" ht="16.5" customHeight="1">
      <c r="A477" s="309" t="str">
        <f>IF(B477&lt;&gt;"",IF(AND(B477='IN-TC'!$S$4,OR(TH!N477="1111",TH!O477="1111")),TH!D477,""),"")</f>
        <v/>
      </c>
      <c r="B477" s="1130">
        <f t="shared" si="67"/>
        <v>6</v>
      </c>
      <c r="C477" s="929">
        <v>42916</v>
      </c>
      <c r="D477" s="929" t="s">
        <v>530</v>
      </c>
      <c r="E477" s="929">
        <v>42902</v>
      </c>
      <c r="F477" s="930" t="s">
        <v>1613</v>
      </c>
      <c r="G477" s="931" t="s">
        <v>1679</v>
      </c>
      <c r="H477" s="735" t="s">
        <v>563</v>
      </c>
      <c r="I477" s="371"/>
      <c r="J477" s="932"/>
      <c r="K477" s="371"/>
      <c r="L477" s="377"/>
      <c r="M477" s="933">
        <v>30244600</v>
      </c>
      <c r="N477" s="934" t="s">
        <v>272</v>
      </c>
      <c r="O477" s="934" t="s">
        <v>8</v>
      </c>
      <c r="P477" s="75" t="str">
        <f>IF(AND('331-CT'!$E$7=TH!H477,OR(N477="331",O477="331")),"x","")</f>
        <v/>
      </c>
      <c r="Q477" s="75" t="str">
        <f>IF(AND(B477='111'!$L$11,OR($N477=$Q$7,$O477=$Q$7)),"x","")</f>
        <v/>
      </c>
      <c r="R477" s="75" t="str">
        <f>IF(AND($N477=$Q$7,$B477&lt;'111'!$L$11),"x","")</f>
        <v/>
      </c>
      <c r="S477" s="75" t="str">
        <f>IF(AND($O477=$Q$7,$B477&lt;'111'!$L$11),"x","")</f>
        <v/>
      </c>
      <c r="T477" s="75" t="str">
        <f>IF(ISERROR(FIND('112'!$M$9,G477,1)),"",IF((AND(FIND('112'!$M$9,G477,1)&gt;=1,B477='112'!$K$9,OR($N477='112'!$I$6,$O477='112'!$I$6))),"x",""))</f>
        <v/>
      </c>
      <c r="U477" s="75" t="str">
        <f>IF(ISERROR(FIND('112'!$M$9,G477,1)),"",IF((AND(LEFT(G477,2)=LEFT('112'!$M$9,2),B477&lt;'112'!$K$9,$N477='112'!$I$6)),"x",""))</f>
        <v/>
      </c>
      <c r="V477" s="75" t="str">
        <f>IF(ISERROR(FIND('112'!$M$9,G477,1)),"",IF((AND(RIGHT(G477,2)=RIGHT('112'!$M$9,2),B477&lt;'112'!$K$9,$O477='112'!$I$6)),"x",""))</f>
        <v/>
      </c>
      <c r="W477" s="75" t="str">
        <f>IF(AND('341-CT'!$H$9=H477,OR(LEFT(N477,3)=$W$7,LEFT(O477,3)=$W$7)),"x","")</f>
        <v/>
      </c>
      <c r="X477" s="75" t="str">
        <f>IF(OR(TH!N477=TH!$X$7,O477=TH!$X$7),"x","")</f>
        <v/>
      </c>
      <c r="Y477" s="75" t="str">
        <f>IF(AND(OR(N477="131",O477="131"),H477='131-CT'!$H$9),"x","")</f>
        <v/>
      </c>
      <c r="Z477" s="75"/>
      <c r="AA477" s="75" t="str">
        <f>IF(AND(MONTH(E477)='IN-NX'!$J$5,'IN-NX'!$D$7=D477),"x","")</f>
        <v/>
      </c>
      <c r="AB477" s="75" t="str">
        <f>IF(AND(OR(LEFT(TH!N477,2)="15",LEFT(TH!O477,2)="15"),LEFT(TH!O477,3)&lt;&gt;"111",'152-CT'!$J$8=TH!F477),"x","")</f>
        <v/>
      </c>
      <c r="AC477" s="75" t="str">
        <f>IF(AND(OR(LEFT(TH!N477,2)="15",LEFT(TH!O477,2)="15"),TK!$E$7=TH!F477),"x","")</f>
        <v/>
      </c>
      <c r="AD477" s="75" t="str">
        <f>IF(AND(N477="1521",MONTH(C477)='BK-NL'!$M$11),"x","")</f>
        <v/>
      </c>
    </row>
    <row r="478" spans="1:30" ht="16.5" customHeight="1">
      <c r="A478" s="309" t="str">
        <f>IF(B478&lt;&gt;"",IF(AND(B478='IN-TC'!$S$4,OR(TH!N478="1111",TH!O478="1111")),TH!D478,""),"")</f>
        <v/>
      </c>
      <c r="B478" s="1130">
        <f t="shared" si="67"/>
        <v>6</v>
      </c>
      <c r="C478" s="929">
        <v>42916</v>
      </c>
      <c r="D478" s="929" t="s">
        <v>530</v>
      </c>
      <c r="E478" s="929">
        <v>42902</v>
      </c>
      <c r="F478" s="930" t="s">
        <v>1614</v>
      </c>
      <c r="G478" s="931" t="s">
        <v>1679</v>
      </c>
      <c r="H478" s="735" t="s">
        <v>563</v>
      </c>
      <c r="I478" s="371"/>
      <c r="J478" s="932"/>
      <c r="K478" s="371"/>
      <c r="L478" s="377"/>
      <c r="M478" s="933">
        <v>3024460</v>
      </c>
      <c r="N478" s="934" t="s">
        <v>9</v>
      </c>
      <c r="O478" s="934" t="s">
        <v>8</v>
      </c>
      <c r="P478" s="75" t="str">
        <f>IF(AND('331-CT'!$E$7=TH!H478,OR(N478="331",O478="331")),"x","")</f>
        <v/>
      </c>
      <c r="Q478" s="75" t="str">
        <f>IF(AND(B478='111'!$L$11,OR($N478=$Q$7,$O478=$Q$7)),"x","")</f>
        <v/>
      </c>
      <c r="R478" s="75" t="str">
        <f>IF(AND($N478=$Q$7,$B478&lt;'111'!$L$11),"x","")</f>
        <v/>
      </c>
      <c r="S478" s="75" t="str">
        <f>IF(AND($O478=$Q$7,$B478&lt;'111'!$L$11),"x","")</f>
        <v/>
      </c>
      <c r="T478" s="75" t="str">
        <f>IF(ISERROR(FIND('112'!$M$9,G478,1)),"",IF((AND(FIND('112'!$M$9,G478,1)&gt;=1,B478='112'!$K$9,OR($N478='112'!$I$6,$O478='112'!$I$6))),"x",""))</f>
        <v/>
      </c>
      <c r="U478" s="75" t="str">
        <f>IF(ISERROR(FIND('112'!$M$9,G478,1)),"",IF((AND(LEFT(G478,2)=LEFT('112'!$M$9,2),B478&lt;'112'!$K$9,$N478='112'!$I$6)),"x",""))</f>
        <v/>
      </c>
      <c r="V478" s="75" t="str">
        <f>IF(ISERROR(FIND('112'!$M$9,G478,1)),"",IF((AND(RIGHT(G478,2)=RIGHT('112'!$M$9,2),B478&lt;'112'!$K$9,$O478='112'!$I$6)),"x",""))</f>
        <v/>
      </c>
      <c r="W478" s="75" t="str">
        <f>IF(AND('341-CT'!$H$9=H478,OR(LEFT(N478,3)=$W$7,LEFT(O478,3)=$W$7)),"x","")</f>
        <v/>
      </c>
      <c r="X478" s="75" t="str">
        <f>IF(OR(TH!N478=TH!$X$7,O478=TH!$X$7),"x","")</f>
        <v/>
      </c>
      <c r="Y478" s="75" t="str">
        <f>IF(AND(OR(N478="131",O478="131"),H478='131-CT'!$H$9),"x","")</f>
        <v/>
      </c>
      <c r="Z478" s="75"/>
      <c r="AA478" s="75" t="str">
        <f>IF(AND(MONTH(E478)='IN-NX'!$J$5,'IN-NX'!$D$7=D478),"x","")</f>
        <v/>
      </c>
      <c r="AB478" s="75" t="str">
        <f>IF(AND(OR(LEFT(TH!N478,2)="15",LEFT(TH!O478,2)="15"),LEFT(TH!O478,3)&lt;&gt;"111",'152-CT'!$J$8=TH!F478),"x","")</f>
        <v/>
      </c>
      <c r="AC478" s="75" t="str">
        <f>IF(AND(OR(LEFT(TH!N478,2)="15",LEFT(TH!O478,2)="15"),TK!$E$7=TH!F478),"x","")</f>
        <v/>
      </c>
      <c r="AD478" s="75" t="str">
        <f>IF(AND(N478="1521",MONTH(C478)='BK-NL'!$M$11),"x","")</f>
        <v/>
      </c>
    </row>
    <row r="479" spans="1:30" ht="16.5" customHeight="1">
      <c r="A479" s="309" t="str">
        <f>IF(B479&lt;&gt;"",IF(AND(B479='IN-TC'!$S$4,OR(TH!N479="1111",TH!O479="1111")),TH!D479,""),"")</f>
        <v/>
      </c>
      <c r="B479" s="1130">
        <f t="shared" si="67"/>
        <v>6</v>
      </c>
      <c r="C479" s="929">
        <v>42916</v>
      </c>
      <c r="D479" s="929" t="s">
        <v>530</v>
      </c>
      <c r="E479" s="929">
        <v>42912</v>
      </c>
      <c r="F479" s="930" t="s">
        <v>1615</v>
      </c>
      <c r="G479" s="931" t="s">
        <v>1680</v>
      </c>
      <c r="H479" s="735" t="s">
        <v>563</v>
      </c>
      <c r="I479" s="371"/>
      <c r="J479" s="932"/>
      <c r="K479" s="371"/>
      <c r="L479" s="377"/>
      <c r="M479" s="933">
        <v>28710500</v>
      </c>
      <c r="N479" s="934" t="s">
        <v>272</v>
      </c>
      <c r="O479" s="934" t="s">
        <v>8</v>
      </c>
      <c r="P479" s="75" t="str">
        <f>IF(AND('331-CT'!$E$7=TH!H479,OR(N479="331",O479="331")),"x","")</f>
        <v/>
      </c>
      <c r="Q479" s="75" t="str">
        <f>IF(AND(B479='111'!$L$11,OR($N479=$Q$7,$O479=$Q$7)),"x","")</f>
        <v/>
      </c>
      <c r="R479" s="75" t="str">
        <f>IF(AND($N479=$Q$7,$B479&lt;'111'!$L$11),"x","")</f>
        <v/>
      </c>
      <c r="S479" s="75" t="str">
        <f>IF(AND($O479=$Q$7,$B479&lt;'111'!$L$11),"x","")</f>
        <v/>
      </c>
      <c r="T479" s="75" t="str">
        <f>IF(ISERROR(FIND('112'!$M$9,G479,1)),"",IF((AND(FIND('112'!$M$9,G479,1)&gt;=1,B479='112'!$K$9,OR($N479='112'!$I$6,$O479='112'!$I$6))),"x",""))</f>
        <v/>
      </c>
      <c r="U479" s="75" t="str">
        <f>IF(ISERROR(FIND('112'!$M$9,G479,1)),"",IF((AND(LEFT(G479,2)=LEFT('112'!$M$9,2),B479&lt;'112'!$K$9,$N479='112'!$I$6)),"x",""))</f>
        <v/>
      </c>
      <c r="V479" s="75" t="str">
        <f>IF(ISERROR(FIND('112'!$M$9,G479,1)),"",IF((AND(RIGHT(G479,2)=RIGHT('112'!$M$9,2),B479&lt;'112'!$K$9,$O479='112'!$I$6)),"x",""))</f>
        <v/>
      </c>
      <c r="W479" s="75" t="str">
        <f>IF(AND('341-CT'!$H$9=H479,OR(LEFT(N479,3)=$W$7,LEFT(O479,3)=$W$7)),"x","")</f>
        <v/>
      </c>
      <c r="X479" s="75" t="str">
        <f>IF(OR(TH!N479=TH!$X$7,O479=TH!$X$7),"x","")</f>
        <v/>
      </c>
      <c r="Y479" s="75" t="str">
        <f>IF(AND(OR(N479="131",O479="131"),H479='131-CT'!$H$9),"x","")</f>
        <v/>
      </c>
      <c r="Z479" s="75"/>
      <c r="AA479" s="75" t="str">
        <f>IF(AND(MONTH(E479)='IN-NX'!$J$5,'IN-NX'!$D$7=D479),"x","")</f>
        <v/>
      </c>
      <c r="AB479" s="75" t="str">
        <f>IF(AND(OR(LEFT(TH!N479,2)="15",LEFT(TH!O479,2)="15"),LEFT(TH!O479,3)&lt;&gt;"111",'152-CT'!$J$8=TH!F479),"x","")</f>
        <v/>
      </c>
      <c r="AC479" s="75" t="str">
        <f>IF(AND(OR(LEFT(TH!N479,2)="15",LEFT(TH!O479,2)="15"),TK!$E$7=TH!F479),"x","")</f>
        <v/>
      </c>
      <c r="AD479" s="75" t="str">
        <f>IF(AND(N479="1521",MONTH(C479)='BK-NL'!$M$11),"x","")</f>
        <v/>
      </c>
    </row>
    <row r="480" spans="1:30" ht="16.5" customHeight="1">
      <c r="A480" s="309" t="str">
        <f>IF(B480&lt;&gt;"",IF(AND(B480='IN-TC'!$S$4,OR(TH!N480="1111",TH!O480="1111")),TH!D480,""),"")</f>
        <v/>
      </c>
      <c r="B480" s="1130">
        <f t="shared" si="67"/>
        <v>6</v>
      </c>
      <c r="C480" s="929">
        <v>42916</v>
      </c>
      <c r="D480" s="929" t="s">
        <v>530</v>
      </c>
      <c r="E480" s="929">
        <v>42912</v>
      </c>
      <c r="F480" s="930" t="s">
        <v>1616</v>
      </c>
      <c r="G480" s="931" t="s">
        <v>1680</v>
      </c>
      <c r="H480" s="735" t="s">
        <v>563</v>
      </c>
      <c r="I480" s="371"/>
      <c r="J480" s="932"/>
      <c r="K480" s="371"/>
      <c r="L480" s="377"/>
      <c r="M480" s="933">
        <v>2871050</v>
      </c>
      <c r="N480" s="934" t="s">
        <v>9</v>
      </c>
      <c r="O480" s="934" t="s">
        <v>8</v>
      </c>
      <c r="P480" s="75" t="str">
        <f>IF(AND('331-CT'!$E$7=TH!H480,OR(N480="331",O480="331")),"x","")</f>
        <v/>
      </c>
      <c r="Q480" s="75" t="str">
        <f>IF(AND(B480='111'!$L$11,OR($N480=$Q$7,$O480=$Q$7)),"x","")</f>
        <v/>
      </c>
      <c r="R480" s="75" t="str">
        <f>IF(AND($N480=$Q$7,$B480&lt;'111'!$L$11),"x","")</f>
        <v/>
      </c>
      <c r="S480" s="75" t="str">
        <f>IF(AND($O480=$Q$7,$B480&lt;'111'!$L$11),"x","")</f>
        <v/>
      </c>
      <c r="T480" s="75" t="str">
        <f>IF(ISERROR(FIND('112'!$M$9,G480,1)),"",IF((AND(FIND('112'!$M$9,G480,1)&gt;=1,B480='112'!$K$9,OR($N480='112'!$I$6,$O480='112'!$I$6))),"x",""))</f>
        <v/>
      </c>
      <c r="U480" s="75" t="str">
        <f>IF(ISERROR(FIND('112'!$M$9,G480,1)),"",IF((AND(LEFT(G480,2)=LEFT('112'!$M$9,2),B480&lt;'112'!$K$9,$N480='112'!$I$6)),"x",""))</f>
        <v/>
      </c>
      <c r="V480" s="75" t="str">
        <f>IF(ISERROR(FIND('112'!$M$9,G480,1)),"",IF((AND(RIGHT(G480,2)=RIGHT('112'!$M$9,2),B480&lt;'112'!$K$9,$O480='112'!$I$6)),"x",""))</f>
        <v/>
      </c>
      <c r="W480" s="75" t="str">
        <f>IF(AND('341-CT'!$H$9=H480,OR(LEFT(N480,3)=$W$7,LEFT(O480,3)=$W$7)),"x","")</f>
        <v/>
      </c>
      <c r="X480" s="75" t="str">
        <f>IF(OR(TH!N480=TH!$X$7,O480=TH!$X$7),"x","")</f>
        <v/>
      </c>
      <c r="Y480" s="75" t="str">
        <f>IF(AND(OR(N480="131",O480="131"),H480='131-CT'!$H$9),"x","")</f>
        <v/>
      </c>
      <c r="Z480" s="75"/>
      <c r="AA480" s="75" t="str">
        <f>IF(AND(MONTH(E480)='IN-NX'!$J$5,'IN-NX'!$D$7=D480),"x","")</f>
        <v/>
      </c>
      <c r="AB480" s="75" t="str">
        <f>IF(AND(OR(LEFT(TH!N480,2)="15",LEFT(TH!O480,2)="15"),LEFT(TH!O480,3)&lt;&gt;"111",'152-CT'!$J$8=TH!F480),"x","")</f>
        <v/>
      </c>
      <c r="AC480" s="75" t="str">
        <f>IF(AND(OR(LEFT(TH!N480,2)="15",LEFT(TH!O480,2)="15"),TK!$E$7=TH!F480),"x","")</f>
        <v/>
      </c>
      <c r="AD480" s="75" t="str">
        <f>IF(AND(N480="1521",MONTH(C480)='BK-NL'!$M$11),"x","")</f>
        <v/>
      </c>
    </row>
    <row r="481" spans="1:30" ht="16.5" customHeight="1">
      <c r="A481" s="309" t="str">
        <f>IF(B481&lt;&gt;"",IF(AND(B481='IN-TC'!$S$4,OR(TH!N481="1111",TH!O481="1111")),TH!D481,""),"")</f>
        <v/>
      </c>
      <c r="B481" s="1130">
        <f t="shared" si="67"/>
        <v>6</v>
      </c>
      <c r="C481" s="929">
        <v>42916</v>
      </c>
      <c r="D481" s="929" t="s">
        <v>530</v>
      </c>
      <c r="E481" s="929">
        <v>42915</v>
      </c>
      <c r="F481" s="930" t="s">
        <v>1192</v>
      </c>
      <c r="G481" s="931" t="s">
        <v>1644</v>
      </c>
      <c r="H481" s="73" t="s">
        <v>755</v>
      </c>
      <c r="I481" s="371"/>
      <c r="J481" s="932"/>
      <c r="K481" s="371"/>
      <c r="L481" s="377"/>
      <c r="M481" s="933">
        <v>1693094</v>
      </c>
      <c r="N481" s="934" t="s">
        <v>539</v>
      </c>
      <c r="O481" s="934" t="s">
        <v>8</v>
      </c>
      <c r="P481" s="75" t="str">
        <f>IF(AND('331-CT'!$E$7=TH!H481,OR(N481="331",O481="331")),"x","")</f>
        <v/>
      </c>
      <c r="Q481" s="75" t="str">
        <f>IF(AND(B481='111'!$L$11,OR($N481=$Q$7,$O481=$Q$7)),"x","")</f>
        <v/>
      </c>
      <c r="R481" s="75" t="str">
        <f>IF(AND($N481=$Q$7,$B481&lt;'111'!$L$11),"x","")</f>
        <v/>
      </c>
      <c r="S481" s="75" t="str">
        <f>IF(AND($O481=$Q$7,$B481&lt;'111'!$L$11),"x","")</f>
        <v/>
      </c>
      <c r="T481" s="75" t="str">
        <f>IF(ISERROR(FIND('112'!$M$9,G481,1)),"",IF((AND(FIND('112'!$M$9,G481,1)&gt;=1,B481='112'!$K$9,OR($N481='112'!$I$6,$O481='112'!$I$6))),"x",""))</f>
        <v/>
      </c>
      <c r="U481" s="75" t="str">
        <f>IF(ISERROR(FIND('112'!$M$9,G481,1)),"",IF((AND(LEFT(G481,2)=LEFT('112'!$M$9,2),B481&lt;'112'!$K$9,$N481='112'!$I$6)),"x",""))</f>
        <v/>
      </c>
      <c r="V481" s="75" t="str">
        <f>IF(ISERROR(FIND('112'!$M$9,G481,1)),"",IF((AND(RIGHT(G481,2)=RIGHT('112'!$M$9,2),B481&lt;'112'!$K$9,$O481='112'!$I$6)),"x",""))</f>
        <v/>
      </c>
      <c r="W481" s="75" t="str">
        <f>IF(AND('341-CT'!$H$9=H481,OR(LEFT(N481,3)=$W$7,LEFT(O481,3)=$W$7)),"x","")</f>
        <v/>
      </c>
      <c r="X481" s="75" t="str">
        <f>IF(OR(TH!N481=TH!$X$7,O481=TH!$X$7),"x","")</f>
        <v/>
      </c>
      <c r="Y481" s="75" t="str">
        <f>IF(AND(OR(N481="131",O481="131"),H481='131-CT'!$H$9),"x","")</f>
        <v/>
      </c>
      <c r="Z481" s="75"/>
      <c r="AA481" s="75" t="str">
        <f>IF(AND(MONTH(E481)='IN-NX'!$J$5,'IN-NX'!$D$7=D481),"x","")</f>
        <v/>
      </c>
      <c r="AB481" s="75" t="str">
        <f>IF(AND(OR(LEFT(TH!N481,2)="15",LEFT(TH!O481,2)="15"),LEFT(TH!O481,3)&lt;&gt;"111",'152-CT'!$J$8=TH!F481),"x","")</f>
        <v/>
      </c>
      <c r="AC481" s="75" t="str">
        <f>IF(AND(OR(LEFT(TH!N481,2)="15",LEFT(TH!O481,2)="15"),TK!$E$7=TH!F481),"x","")</f>
        <v/>
      </c>
      <c r="AD481" s="75" t="str">
        <f>IF(AND(N481="1521",MONTH(C481)='BK-NL'!$M$11),"x","")</f>
        <v/>
      </c>
    </row>
    <row r="482" spans="1:30" ht="16.5" customHeight="1">
      <c r="A482" s="309" t="str">
        <f>IF(B482&lt;&gt;"",IF(AND(B482='IN-TC'!$S$4,OR(TH!N482="1111",TH!O482="1111")),TH!D482,""),"")</f>
        <v/>
      </c>
      <c r="B482" s="1130">
        <f t="shared" si="67"/>
        <v>6</v>
      </c>
      <c r="C482" s="929">
        <v>42916</v>
      </c>
      <c r="D482" s="929" t="s">
        <v>530</v>
      </c>
      <c r="E482" s="929">
        <v>42915</v>
      </c>
      <c r="F482" s="930" t="s">
        <v>1650</v>
      </c>
      <c r="G482" s="931" t="s">
        <v>1645</v>
      </c>
      <c r="H482" s="73" t="s">
        <v>755</v>
      </c>
      <c r="I482" s="371"/>
      <c r="J482" s="932"/>
      <c r="K482" s="371"/>
      <c r="L482" s="377"/>
      <c r="M482" s="933">
        <v>838925</v>
      </c>
      <c r="N482" s="934" t="s">
        <v>539</v>
      </c>
      <c r="O482" s="934" t="s">
        <v>8</v>
      </c>
      <c r="P482" s="75" t="str">
        <f>IF(AND('331-CT'!$E$7=TH!H482,OR(N482="331",O482="331")),"x","")</f>
        <v/>
      </c>
      <c r="Q482" s="75" t="str">
        <f>IF(AND(B482='111'!$L$11,OR($N482=$Q$7,$O482=$Q$7)),"x","")</f>
        <v/>
      </c>
      <c r="R482" s="75" t="str">
        <f>IF(AND($N482=$Q$7,$B482&lt;'111'!$L$11),"x","")</f>
        <v/>
      </c>
      <c r="S482" s="75" t="str">
        <f>IF(AND($O482=$Q$7,$B482&lt;'111'!$L$11),"x","")</f>
        <v/>
      </c>
      <c r="T482" s="75" t="str">
        <f>IF(ISERROR(FIND('112'!$M$9,G482,1)),"",IF((AND(FIND('112'!$M$9,G482,1)&gt;=1,B482='112'!$K$9,OR($N482='112'!$I$6,$O482='112'!$I$6))),"x",""))</f>
        <v/>
      </c>
      <c r="U482" s="75" t="str">
        <f>IF(ISERROR(FIND('112'!$M$9,G482,1)),"",IF((AND(LEFT(G482,2)=LEFT('112'!$M$9,2),B482&lt;'112'!$K$9,$N482='112'!$I$6)),"x",""))</f>
        <v/>
      </c>
      <c r="V482" s="75" t="str">
        <f>IF(ISERROR(FIND('112'!$M$9,G482,1)),"",IF((AND(RIGHT(G482,2)=RIGHT('112'!$M$9,2),B482&lt;'112'!$K$9,$O482='112'!$I$6)),"x",""))</f>
        <v/>
      </c>
      <c r="W482" s="75" t="str">
        <f>IF(AND('341-CT'!$H$9=H482,OR(LEFT(N482,3)=$W$7,LEFT(O482,3)=$W$7)),"x","")</f>
        <v/>
      </c>
      <c r="X482" s="75" t="str">
        <f>IF(OR(TH!N482=TH!$X$7,O482=TH!$X$7),"x","")</f>
        <v/>
      </c>
      <c r="Y482" s="75" t="str">
        <f>IF(AND(OR(N482="131",O482="131"),H482='131-CT'!$H$9),"x","")</f>
        <v/>
      </c>
      <c r="Z482" s="75"/>
      <c r="AA482" s="75" t="str">
        <f>IF(AND(MONTH(E482)='IN-NX'!$J$5,'IN-NX'!$D$7=D482),"x","")</f>
        <v/>
      </c>
      <c r="AB482" s="75" t="str">
        <f>IF(AND(OR(LEFT(TH!N482,2)="15",LEFT(TH!O482,2)="15"),LEFT(TH!O482,3)&lt;&gt;"111",'152-CT'!$J$8=TH!F482),"x","")</f>
        <v/>
      </c>
      <c r="AC482" s="75" t="str">
        <f>IF(AND(OR(LEFT(TH!N482,2)="15",LEFT(TH!O482,2)="15"),TK!$E$7=TH!F482),"x","")</f>
        <v/>
      </c>
      <c r="AD482" s="75" t="str">
        <f>IF(AND(N482="1521",MONTH(C482)='BK-NL'!$M$11),"x","")</f>
        <v/>
      </c>
    </row>
    <row r="483" spans="1:30" ht="16.5" customHeight="1">
      <c r="A483" s="309" t="str">
        <f>IF(B483&lt;&gt;"",IF(AND(B483='IN-TC'!$S$4,OR(TH!N483="1111",TH!O483="1111")),TH!D483,""),"")</f>
        <v/>
      </c>
      <c r="B483" s="1130">
        <f t="shared" si="67"/>
        <v>6</v>
      </c>
      <c r="C483" s="929">
        <v>42916</v>
      </c>
      <c r="D483" s="929" t="s">
        <v>530</v>
      </c>
      <c r="E483" s="929">
        <v>42915</v>
      </c>
      <c r="F483" s="930" t="s">
        <v>1651</v>
      </c>
      <c r="G483" s="931" t="s">
        <v>1645</v>
      </c>
      <c r="H483" s="73" t="s">
        <v>755</v>
      </c>
      <c r="I483" s="371"/>
      <c r="J483" s="932"/>
      <c r="K483" s="371"/>
      <c r="L483" s="377"/>
      <c r="M483" s="933">
        <v>83893</v>
      </c>
      <c r="N483" s="934" t="s">
        <v>9</v>
      </c>
      <c r="O483" s="934" t="s">
        <v>8</v>
      </c>
      <c r="P483" s="75" t="str">
        <f>IF(AND('331-CT'!$E$7=TH!H483,OR(N483="331",O483="331")),"x","")</f>
        <v/>
      </c>
      <c r="Q483" s="75" t="str">
        <f>IF(AND(B483='111'!$L$11,OR($N483=$Q$7,$O483=$Q$7)),"x","")</f>
        <v/>
      </c>
      <c r="R483" s="75" t="str">
        <f>IF(AND($N483=$Q$7,$B483&lt;'111'!$L$11),"x","")</f>
        <v/>
      </c>
      <c r="S483" s="75" t="str">
        <f>IF(AND($O483=$Q$7,$B483&lt;'111'!$L$11),"x","")</f>
        <v/>
      </c>
      <c r="T483" s="75" t="str">
        <f>IF(ISERROR(FIND('112'!$M$9,G483,1)),"",IF((AND(FIND('112'!$M$9,G483,1)&gt;=1,B483='112'!$K$9,OR($N483='112'!$I$6,$O483='112'!$I$6))),"x",""))</f>
        <v/>
      </c>
      <c r="U483" s="75" t="str">
        <f>IF(ISERROR(FIND('112'!$M$9,G483,1)),"",IF((AND(LEFT(G483,2)=LEFT('112'!$M$9,2),B483&lt;'112'!$K$9,$N483='112'!$I$6)),"x",""))</f>
        <v/>
      </c>
      <c r="V483" s="75" t="str">
        <f>IF(ISERROR(FIND('112'!$M$9,G483,1)),"",IF((AND(RIGHT(G483,2)=RIGHT('112'!$M$9,2),B483&lt;'112'!$K$9,$O483='112'!$I$6)),"x",""))</f>
        <v/>
      </c>
      <c r="W483" s="75" t="str">
        <f>IF(AND('341-CT'!$H$9=H483,OR(LEFT(N483,3)=$W$7,LEFT(O483,3)=$W$7)),"x","")</f>
        <v/>
      </c>
      <c r="X483" s="75" t="str">
        <f>IF(OR(TH!N483=TH!$X$7,O483=TH!$X$7),"x","")</f>
        <v/>
      </c>
      <c r="Y483" s="75" t="str">
        <f>IF(AND(OR(N483="131",O483="131"),H483='131-CT'!$H$9),"x","")</f>
        <v/>
      </c>
      <c r="Z483" s="75"/>
      <c r="AA483" s="75" t="str">
        <f>IF(AND(MONTH(E483)='IN-NX'!$J$5,'IN-NX'!$D$7=D483),"x","")</f>
        <v/>
      </c>
      <c r="AB483" s="75" t="str">
        <f>IF(AND(OR(LEFT(TH!N483,2)="15",LEFT(TH!O483,2)="15"),LEFT(TH!O483,3)&lt;&gt;"111",'152-CT'!$J$8=TH!F483),"x","")</f>
        <v/>
      </c>
      <c r="AC483" s="75" t="str">
        <f>IF(AND(OR(LEFT(TH!N483,2)="15",LEFT(TH!O483,2)="15"),TK!$E$7=TH!F483),"x","")</f>
        <v/>
      </c>
      <c r="AD483" s="75" t="str">
        <f>IF(AND(N483="1521",MONTH(C483)='BK-NL'!$M$11),"x","")</f>
        <v/>
      </c>
    </row>
    <row r="484" spans="1:30" ht="16.5" customHeight="1">
      <c r="A484" s="309" t="str">
        <f>IF(B484&lt;&gt;"",IF(AND(B484='IN-TC'!$S$4,OR(TH!N484="1111",TH!O484="1111")),TH!D484,""),"")</f>
        <v/>
      </c>
      <c r="B484" s="1130">
        <f t="shared" si="67"/>
        <v>6</v>
      </c>
      <c r="C484" s="929">
        <v>42916</v>
      </c>
      <c r="D484" s="929" t="s">
        <v>530</v>
      </c>
      <c r="E484" s="929">
        <v>42915</v>
      </c>
      <c r="F484" s="930" t="s">
        <v>1652</v>
      </c>
      <c r="G484" s="931" t="s">
        <v>1646</v>
      </c>
      <c r="H484" s="73" t="s">
        <v>755</v>
      </c>
      <c r="I484" s="371"/>
      <c r="J484" s="932"/>
      <c r="K484" s="371"/>
      <c r="L484" s="377"/>
      <c r="M484" s="933">
        <v>227750</v>
      </c>
      <c r="N484" s="934" t="s">
        <v>539</v>
      </c>
      <c r="O484" s="934" t="s">
        <v>8</v>
      </c>
      <c r="P484" s="75" t="str">
        <f>IF(AND('331-CT'!$E$7=TH!H484,OR(N484="331",O484="331")),"x","")</f>
        <v/>
      </c>
      <c r="Q484" s="75" t="str">
        <f>IF(AND(B484='111'!$L$11,OR($N484=$Q$7,$O484=$Q$7)),"x","")</f>
        <v/>
      </c>
      <c r="R484" s="75" t="str">
        <f>IF(AND($N484=$Q$7,$B484&lt;'111'!$L$11),"x","")</f>
        <v/>
      </c>
      <c r="S484" s="75" t="str">
        <f>IF(AND($O484=$Q$7,$B484&lt;'111'!$L$11),"x","")</f>
        <v/>
      </c>
      <c r="T484" s="75" t="str">
        <f>IF(ISERROR(FIND('112'!$M$9,G484,1)),"",IF((AND(FIND('112'!$M$9,G484,1)&gt;=1,B484='112'!$K$9,OR($N484='112'!$I$6,$O484='112'!$I$6))),"x",""))</f>
        <v/>
      </c>
      <c r="U484" s="75" t="str">
        <f>IF(ISERROR(FIND('112'!$M$9,G484,1)),"",IF((AND(LEFT(G484,2)=LEFT('112'!$M$9,2),B484&lt;'112'!$K$9,$N484='112'!$I$6)),"x",""))</f>
        <v/>
      </c>
      <c r="V484" s="75" t="str">
        <f>IF(ISERROR(FIND('112'!$M$9,G484,1)),"",IF((AND(RIGHT(G484,2)=RIGHT('112'!$M$9,2),B484&lt;'112'!$K$9,$O484='112'!$I$6)),"x",""))</f>
        <v/>
      </c>
      <c r="W484" s="75" t="str">
        <f>IF(AND('341-CT'!$H$9=H484,OR(LEFT(N484,3)=$W$7,LEFT(O484,3)=$W$7)),"x","")</f>
        <v/>
      </c>
      <c r="X484" s="75" t="str">
        <f>IF(OR(TH!N484=TH!$X$7,O484=TH!$X$7),"x","")</f>
        <v/>
      </c>
      <c r="Y484" s="75" t="str">
        <f>IF(AND(OR(N484="131",O484="131"),H484='131-CT'!$H$9),"x","")</f>
        <v/>
      </c>
      <c r="Z484" s="75"/>
      <c r="AA484" s="75" t="str">
        <f>IF(AND(MONTH(E484)='IN-NX'!$J$5,'IN-NX'!$D$7=D484),"x","")</f>
        <v/>
      </c>
      <c r="AB484" s="75" t="str">
        <f>IF(AND(OR(LEFT(TH!N484,2)="15",LEFT(TH!O484,2)="15"),LEFT(TH!O484,3)&lt;&gt;"111",'152-CT'!$J$8=TH!F484),"x","")</f>
        <v/>
      </c>
      <c r="AC484" s="75" t="str">
        <f>IF(AND(OR(LEFT(TH!N484,2)="15",LEFT(TH!O484,2)="15"),TK!$E$7=TH!F484),"x","")</f>
        <v/>
      </c>
      <c r="AD484" s="75" t="str">
        <f>IF(AND(N484="1521",MONTH(C484)='BK-NL'!$M$11),"x","")</f>
        <v/>
      </c>
    </row>
    <row r="485" spans="1:30" ht="16.5" customHeight="1">
      <c r="A485" s="309" t="str">
        <f>IF(B485&lt;&gt;"",IF(AND(B485='IN-TC'!$S$4,OR(TH!N485="1111",TH!O485="1111")),TH!D485,""),"")</f>
        <v/>
      </c>
      <c r="B485" s="1130">
        <f t="shared" si="67"/>
        <v>6</v>
      </c>
      <c r="C485" s="929">
        <v>42916</v>
      </c>
      <c r="D485" s="929" t="s">
        <v>530</v>
      </c>
      <c r="E485" s="929">
        <v>42915</v>
      </c>
      <c r="F485" s="930" t="s">
        <v>1192</v>
      </c>
      <c r="G485" s="931" t="s">
        <v>1647</v>
      </c>
      <c r="H485" s="73" t="s">
        <v>755</v>
      </c>
      <c r="I485" s="371"/>
      <c r="J485" s="932"/>
      <c r="K485" s="371"/>
      <c r="L485" s="377"/>
      <c r="M485" s="933">
        <v>8426750</v>
      </c>
      <c r="N485" s="934" t="s">
        <v>539</v>
      </c>
      <c r="O485" s="934" t="s">
        <v>8</v>
      </c>
      <c r="P485" s="75" t="str">
        <f>IF(AND('331-CT'!$E$7=TH!H485,OR(N485="331",O485="331")),"x","")</f>
        <v/>
      </c>
      <c r="Q485" s="75" t="str">
        <f>IF(AND(B485='111'!$L$11,OR($N485=$Q$7,$O485=$Q$7)),"x","")</f>
        <v/>
      </c>
      <c r="R485" s="75" t="str">
        <f>IF(AND($N485=$Q$7,$B485&lt;'111'!$L$11),"x","")</f>
        <v/>
      </c>
      <c r="S485" s="75" t="str">
        <f>IF(AND($O485=$Q$7,$B485&lt;'111'!$L$11),"x","")</f>
        <v/>
      </c>
      <c r="T485" s="75" t="str">
        <f>IF(ISERROR(FIND('112'!$M$9,G485,1)),"",IF((AND(FIND('112'!$M$9,G485,1)&gt;=1,B485='112'!$K$9,OR($N485='112'!$I$6,$O485='112'!$I$6))),"x",""))</f>
        <v/>
      </c>
      <c r="U485" s="75" t="str">
        <f>IF(ISERROR(FIND('112'!$M$9,G485,1)),"",IF((AND(LEFT(G485,2)=LEFT('112'!$M$9,2),B485&lt;'112'!$K$9,$N485='112'!$I$6)),"x",""))</f>
        <v/>
      </c>
      <c r="V485" s="75" t="str">
        <f>IF(ISERROR(FIND('112'!$M$9,G485,1)),"",IF((AND(RIGHT(G485,2)=RIGHT('112'!$M$9,2),B485&lt;'112'!$K$9,$O485='112'!$I$6)),"x",""))</f>
        <v/>
      </c>
      <c r="W485" s="75" t="str">
        <f>IF(AND('341-CT'!$H$9=H485,OR(LEFT(N485,3)=$W$7,LEFT(O485,3)=$W$7)),"x","")</f>
        <v/>
      </c>
      <c r="X485" s="75" t="str">
        <f>IF(OR(TH!N485=TH!$X$7,O485=TH!$X$7),"x","")</f>
        <v/>
      </c>
      <c r="Y485" s="75" t="str">
        <f>IF(AND(OR(N485="131",O485="131"),H485='131-CT'!$H$9),"x","")</f>
        <v/>
      </c>
      <c r="Z485" s="75"/>
      <c r="AA485" s="75" t="str">
        <f>IF(AND(MONTH(E485)='IN-NX'!$J$5,'IN-NX'!$D$7=D485),"x","")</f>
        <v/>
      </c>
      <c r="AB485" s="75" t="str">
        <f>IF(AND(OR(LEFT(TH!N485,2)="15",LEFT(TH!O485,2)="15"),LEFT(TH!O485,3)&lt;&gt;"111",'152-CT'!$J$8=TH!F485),"x","")</f>
        <v/>
      </c>
      <c r="AC485" s="75" t="str">
        <f>IF(AND(OR(LEFT(TH!N485,2)="15",LEFT(TH!O485,2)="15"),TK!$E$7=TH!F485),"x","")</f>
        <v/>
      </c>
      <c r="AD485" s="75" t="str">
        <f>IF(AND(N485="1521",MONTH(C485)='BK-NL'!$M$11),"x","")</f>
        <v/>
      </c>
    </row>
    <row r="486" spans="1:30" ht="16.5" customHeight="1">
      <c r="A486" s="309" t="str">
        <f>IF(B486&lt;&gt;"",IF(AND(B486='IN-TC'!$S$4,OR(TH!N486="1111",TH!O486="1111")),TH!D486,""),"")</f>
        <v/>
      </c>
      <c r="B486" s="1130">
        <f t="shared" si="67"/>
        <v>6</v>
      </c>
      <c r="C486" s="929">
        <v>42916</v>
      </c>
      <c r="D486" s="929" t="s">
        <v>530</v>
      </c>
      <c r="E486" s="929">
        <v>42915</v>
      </c>
      <c r="F486" s="930" t="s">
        <v>1650</v>
      </c>
      <c r="G486" s="931" t="s">
        <v>1648</v>
      </c>
      <c r="H486" s="73" t="s">
        <v>755</v>
      </c>
      <c r="I486" s="371"/>
      <c r="J486" s="932"/>
      <c r="K486" s="371"/>
      <c r="L486" s="377"/>
      <c r="M486" s="933">
        <v>3842950</v>
      </c>
      <c r="N486" s="934" t="s">
        <v>539</v>
      </c>
      <c r="O486" s="934" t="s">
        <v>8</v>
      </c>
      <c r="P486" s="75" t="str">
        <f>IF(AND('331-CT'!$E$7=TH!H486,OR(N486="331",O486="331")),"x","")</f>
        <v/>
      </c>
      <c r="Q486" s="75" t="str">
        <f>IF(AND(B486='111'!$L$11,OR($N486=$Q$7,$O486=$Q$7)),"x","")</f>
        <v/>
      </c>
      <c r="R486" s="75" t="str">
        <f>IF(AND($N486=$Q$7,$B486&lt;'111'!$L$11),"x","")</f>
        <v/>
      </c>
      <c r="S486" s="75" t="str">
        <f>IF(AND($O486=$Q$7,$B486&lt;'111'!$L$11),"x","")</f>
        <v/>
      </c>
      <c r="T486" s="75" t="str">
        <f>IF(ISERROR(FIND('112'!$M$9,G486,1)),"",IF((AND(FIND('112'!$M$9,G486,1)&gt;=1,B486='112'!$K$9,OR($N486='112'!$I$6,$O486='112'!$I$6))),"x",""))</f>
        <v/>
      </c>
      <c r="U486" s="75" t="str">
        <f>IF(ISERROR(FIND('112'!$M$9,G486,1)),"",IF((AND(LEFT(G486,2)=LEFT('112'!$M$9,2),B486&lt;'112'!$K$9,$N486='112'!$I$6)),"x",""))</f>
        <v/>
      </c>
      <c r="V486" s="75" t="str">
        <f>IF(ISERROR(FIND('112'!$M$9,G486,1)),"",IF((AND(RIGHT(G486,2)=RIGHT('112'!$M$9,2),B486&lt;'112'!$K$9,$O486='112'!$I$6)),"x",""))</f>
        <v/>
      </c>
      <c r="W486" s="75" t="str">
        <f>IF(AND('341-CT'!$H$9=H486,OR(LEFT(N486,3)=$W$7,LEFT(O486,3)=$W$7)),"x","")</f>
        <v/>
      </c>
      <c r="X486" s="75" t="str">
        <f>IF(OR(TH!N486=TH!$X$7,O486=TH!$X$7),"x","")</f>
        <v/>
      </c>
      <c r="Y486" s="75" t="str">
        <f>IF(AND(OR(N486="131",O486="131"),H486='131-CT'!$H$9),"x","")</f>
        <v/>
      </c>
      <c r="Z486" s="75"/>
      <c r="AA486" s="75" t="str">
        <f>IF(AND(MONTH(E486)='IN-NX'!$J$5,'IN-NX'!$D$7=D486),"x","")</f>
        <v/>
      </c>
      <c r="AB486" s="75" t="str">
        <f>IF(AND(OR(LEFT(TH!N486,2)="15",LEFT(TH!O486,2)="15"),LEFT(TH!O486,3)&lt;&gt;"111",'152-CT'!$J$8=TH!F486),"x","")</f>
        <v/>
      </c>
      <c r="AC486" s="75" t="str">
        <f>IF(AND(OR(LEFT(TH!N486,2)="15",LEFT(TH!O486,2)="15"),TK!$E$7=TH!F486),"x","")</f>
        <v/>
      </c>
      <c r="AD486" s="75" t="str">
        <f>IF(AND(N486="1521",MONTH(C486)='BK-NL'!$M$11),"x","")</f>
        <v/>
      </c>
    </row>
    <row r="487" spans="1:30" ht="16.5" customHeight="1">
      <c r="A487" s="309" t="str">
        <f>IF(B487&lt;&gt;"",IF(AND(B487='IN-TC'!$S$4,OR(TH!N487="1111",TH!O487="1111")),TH!D487,""),"")</f>
        <v/>
      </c>
      <c r="B487" s="1130">
        <f t="shared" si="67"/>
        <v>6</v>
      </c>
      <c r="C487" s="929">
        <v>42916</v>
      </c>
      <c r="D487" s="929" t="s">
        <v>530</v>
      </c>
      <c r="E487" s="929">
        <v>42915</v>
      </c>
      <c r="F487" s="930" t="s">
        <v>1651</v>
      </c>
      <c r="G487" s="931" t="s">
        <v>1648</v>
      </c>
      <c r="H487" s="73" t="s">
        <v>755</v>
      </c>
      <c r="I487" s="371"/>
      <c r="J487" s="932"/>
      <c r="K487" s="371"/>
      <c r="L487" s="377"/>
      <c r="M487" s="933">
        <v>384295</v>
      </c>
      <c r="N487" s="934" t="s">
        <v>9</v>
      </c>
      <c r="O487" s="934" t="s">
        <v>8</v>
      </c>
      <c r="P487" s="75" t="str">
        <f>IF(AND('331-CT'!$E$7=TH!H487,OR(N487="331",O487="331")),"x","")</f>
        <v/>
      </c>
      <c r="Q487" s="75" t="str">
        <f>IF(AND(B487='111'!$L$11,OR($N487=$Q$7,$O487=$Q$7)),"x","")</f>
        <v/>
      </c>
      <c r="R487" s="75" t="str">
        <f>IF(AND($N487=$Q$7,$B487&lt;'111'!$L$11),"x","")</f>
        <v/>
      </c>
      <c r="S487" s="75" t="str">
        <f>IF(AND($O487=$Q$7,$B487&lt;'111'!$L$11),"x","")</f>
        <v/>
      </c>
      <c r="T487" s="75" t="str">
        <f>IF(ISERROR(FIND('112'!$M$9,G487,1)),"",IF((AND(FIND('112'!$M$9,G487,1)&gt;=1,B487='112'!$K$9,OR($N487='112'!$I$6,$O487='112'!$I$6))),"x",""))</f>
        <v/>
      </c>
      <c r="U487" s="75" t="str">
        <f>IF(ISERROR(FIND('112'!$M$9,G487,1)),"",IF((AND(LEFT(G487,2)=LEFT('112'!$M$9,2),B487&lt;'112'!$K$9,$N487='112'!$I$6)),"x",""))</f>
        <v/>
      </c>
      <c r="V487" s="75" t="str">
        <f>IF(ISERROR(FIND('112'!$M$9,G487,1)),"",IF((AND(RIGHT(G487,2)=RIGHT('112'!$M$9,2),B487&lt;'112'!$K$9,$O487='112'!$I$6)),"x",""))</f>
        <v/>
      </c>
      <c r="W487" s="75" t="str">
        <f>IF(AND('341-CT'!$H$9=H487,OR(LEFT(N487,3)=$W$7,LEFT(O487,3)=$W$7)),"x","")</f>
        <v/>
      </c>
      <c r="X487" s="75" t="str">
        <f>IF(OR(TH!N487=TH!$X$7,O487=TH!$X$7),"x","")</f>
        <v/>
      </c>
      <c r="Y487" s="75" t="str">
        <f>IF(AND(OR(N487="131",O487="131"),H487='131-CT'!$H$9),"x","")</f>
        <v/>
      </c>
      <c r="Z487" s="75"/>
      <c r="AA487" s="75" t="str">
        <f>IF(AND(MONTH(E487)='IN-NX'!$J$5,'IN-NX'!$D$7=D487),"x","")</f>
        <v/>
      </c>
      <c r="AB487" s="75" t="str">
        <f>IF(AND(OR(LEFT(TH!N487,2)="15",LEFT(TH!O487,2)="15"),LEFT(TH!O487,3)&lt;&gt;"111",'152-CT'!$J$8=TH!F487),"x","")</f>
        <v/>
      </c>
      <c r="AC487" s="75" t="str">
        <f>IF(AND(OR(LEFT(TH!N487,2)="15",LEFT(TH!O487,2)="15"),TK!$E$7=TH!F487),"x","")</f>
        <v/>
      </c>
      <c r="AD487" s="75" t="str">
        <f>IF(AND(N487="1521",MONTH(C487)='BK-NL'!$M$11),"x","")</f>
        <v/>
      </c>
    </row>
    <row r="488" spans="1:30" ht="16.5" customHeight="1">
      <c r="A488" s="309" t="str">
        <f>IF(B488&lt;&gt;"",IF(AND(B488='IN-TC'!$S$4,OR(TH!N488="1111",TH!O488="1111")),TH!D488,""),"")</f>
        <v/>
      </c>
      <c r="B488" s="1130">
        <f t="shared" si="67"/>
        <v>6</v>
      </c>
      <c r="C488" s="929">
        <v>42916</v>
      </c>
      <c r="D488" s="929" t="s">
        <v>530</v>
      </c>
      <c r="E488" s="929">
        <v>42915</v>
      </c>
      <c r="F488" s="930" t="s">
        <v>1190</v>
      </c>
      <c r="G488" s="931" t="s">
        <v>1649</v>
      </c>
      <c r="H488" s="73" t="s">
        <v>755</v>
      </c>
      <c r="I488" s="371"/>
      <c r="J488" s="932"/>
      <c r="K488" s="371"/>
      <c r="L488" s="377"/>
      <c r="M488" s="933">
        <v>700000</v>
      </c>
      <c r="N488" s="934" t="s">
        <v>539</v>
      </c>
      <c r="O488" s="934" t="s">
        <v>8</v>
      </c>
      <c r="P488" s="75" t="str">
        <f>IF(AND('331-CT'!$E$7=TH!H488,OR(N488="331",O488="331")),"x","")</f>
        <v/>
      </c>
      <c r="Q488" s="75" t="str">
        <f>IF(AND(B488='111'!$L$11,OR($N488=$Q$7,$O488=$Q$7)),"x","")</f>
        <v/>
      </c>
      <c r="R488" s="75" t="str">
        <f>IF(AND($N488=$Q$7,$B488&lt;'111'!$L$11),"x","")</f>
        <v/>
      </c>
      <c r="S488" s="75" t="str">
        <f>IF(AND($O488=$Q$7,$B488&lt;'111'!$L$11),"x","")</f>
        <v/>
      </c>
      <c r="T488" s="75" t="str">
        <f>IF(ISERROR(FIND('112'!$M$9,G488,1)),"",IF((AND(FIND('112'!$M$9,G488,1)&gt;=1,B488='112'!$K$9,OR($N488='112'!$I$6,$O488='112'!$I$6))),"x",""))</f>
        <v/>
      </c>
      <c r="U488" s="75" t="str">
        <f>IF(ISERROR(FIND('112'!$M$9,G488,1)),"",IF((AND(LEFT(G488,2)=LEFT('112'!$M$9,2),B488&lt;'112'!$K$9,$N488='112'!$I$6)),"x",""))</f>
        <v/>
      </c>
      <c r="V488" s="75" t="str">
        <f>IF(ISERROR(FIND('112'!$M$9,G488,1)),"",IF((AND(RIGHT(G488,2)=RIGHT('112'!$M$9,2),B488&lt;'112'!$K$9,$O488='112'!$I$6)),"x",""))</f>
        <v/>
      </c>
      <c r="W488" s="75" t="str">
        <f>IF(AND('341-CT'!$H$9=H488,OR(LEFT(N488,3)=$W$7,LEFT(O488,3)=$W$7)),"x","")</f>
        <v/>
      </c>
      <c r="X488" s="75" t="str">
        <f>IF(OR(TH!N488=TH!$X$7,O488=TH!$X$7),"x","")</f>
        <v/>
      </c>
      <c r="Y488" s="75" t="str">
        <f>IF(AND(OR(N488="131",O488="131"),H488='131-CT'!$H$9),"x","")</f>
        <v/>
      </c>
      <c r="Z488" s="75"/>
      <c r="AA488" s="75" t="str">
        <f>IF(AND(MONTH(E488)='IN-NX'!$J$5,'IN-NX'!$D$7=D488),"x","")</f>
        <v/>
      </c>
      <c r="AB488" s="75" t="str">
        <f>IF(AND(OR(LEFT(TH!N488,2)="15",LEFT(TH!O488,2)="15"),LEFT(TH!O488,3)&lt;&gt;"111",'152-CT'!$J$8=TH!F488),"x","")</f>
        <v/>
      </c>
      <c r="AC488" s="75" t="str">
        <f>IF(AND(OR(LEFT(TH!N488,2)="15",LEFT(TH!O488,2)="15"),TK!$E$7=TH!F488),"x","")</f>
        <v/>
      </c>
      <c r="AD488" s="75" t="str">
        <f>IF(AND(N488="1521",MONTH(C488)='BK-NL'!$M$11),"x","")</f>
        <v/>
      </c>
    </row>
    <row r="489" spans="1:30" ht="16.5" customHeight="1">
      <c r="A489" s="309" t="str">
        <f>IF(B489&lt;&gt;"",IF(AND(B489='IN-TC'!$S$4,OR(TH!N489="1111",TH!O489="1111")),TH!D489,""),"")</f>
        <v/>
      </c>
      <c r="B489" s="1130">
        <f t="shared" si="67"/>
        <v>6</v>
      </c>
      <c r="C489" s="929">
        <v>42916</v>
      </c>
      <c r="D489" s="929" t="s">
        <v>530</v>
      </c>
      <c r="E489" s="929">
        <v>42915</v>
      </c>
      <c r="F489" s="930" t="s">
        <v>1191</v>
      </c>
      <c r="G489" s="931" t="s">
        <v>1649</v>
      </c>
      <c r="H489" s="73" t="s">
        <v>755</v>
      </c>
      <c r="I489" s="371"/>
      <c r="J489" s="932"/>
      <c r="K489" s="371"/>
      <c r="L489" s="377"/>
      <c r="M489" s="933">
        <v>70000</v>
      </c>
      <c r="N489" s="934" t="s">
        <v>9</v>
      </c>
      <c r="O489" s="934" t="s">
        <v>8</v>
      </c>
      <c r="P489" s="75" t="str">
        <f>IF(AND('331-CT'!$E$7=TH!H489,OR(N489="331",O489="331")),"x","")</f>
        <v/>
      </c>
      <c r="Q489" s="75" t="str">
        <f>IF(AND(B489='111'!$L$11,OR($N489=$Q$7,$O489=$Q$7)),"x","")</f>
        <v/>
      </c>
      <c r="R489" s="75" t="str">
        <f>IF(AND($N489=$Q$7,$B489&lt;'111'!$L$11),"x","")</f>
        <v/>
      </c>
      <c r="S489" s="75" t="str">
        <f>IF(AND($O489=$Q$7,$B489&lt;'111'!$L$11),"x","")</f>
        <v/>
      </c>
      <c r="T489" s="75" t="str">
        <f>IF(ISERROR(FIND('112'!$M$9,G489,1)),"",IF((AND(FIND('112'!$M$9,G489,1)&gt;=1,B489='112'!$K$9,OR($N489='112'!$I$6,$O489='112'!$I$6))),"x",""))</f>
        <v/>
      </c>
      <c r="U489" s="75" t="str">
        <f>IF(ISERROR(FIND('112'!$M$9,G489,1)),"",IF((AND(LEFT(G489,2)=LEFT('112'!$M$9,2),B489&lt;'112'!$K$9,$N489='112'!$I$6)),"x",""))</f>
        <v/>
      </c>
      <c r="V489" s="75" t="str">
        <f>IF(ISERROR(FIND('112'!$M$9,G489,1)),"",IF((AND(RIGHT(G489,2)=RIGHT('112'!$M$9,2),B489&lt;'112'!$K$9,$O489='112'!$I$6)),"x",""))</f>
        <v/>
      </c>
      <c r="W489" s="75" t="str">
        <f>IF(AND('341-CT'!$H$9=H489,OR(LEFT(N489,3)=$W$7,LEFT(O489,3)=$W$7)),"x","")</f>
        <v/>
      </c>
      <c r="X489" s="75" t="str">
        <f>IF(OR(TH!N489=TH!$X$7,O489=TH!$X$7),"x","")</f>
        <v/>
      </c>
      <c r="Y489" s="75" t="str">
        <f>IF(AND(OR(N489="131",O489="131"),H489='131-CT'!$H$9),"x","")</f>
        <v/>
      </c>
      <c r="Z489" s="75"/>
      <c r="AA489" s="75" t="str">
        <f>IF(AND(MONTH(E489)='IN-NX'!$J$5,'IN-NX'!$D$7=D489),"x","")</f>
        <v/>
      </c>
      <c r="AB489" s="75" t="str">
        <f>IF(AND(OR(LEFT(TH!N489,2)="15",LEFT(TH!O489,2)="15"),LEFT(TH!O489,3)&lt;&gt;"111",'152-CT'!$J$8=TH!F489),"x","")</f>
        <v/>
      </c>
      <c r="AC489" s="75" t="str">
        <f>IF(AND(OR(LEFT(TH!N489,2)="15",LEFT(TH!O489,2)="15"),TK!$E$7=TH!F489),"x","")</f>
        <v/>
      </c>
      <c r="AD489" s="75" t="str">
        <f>IF(AND(N489="1521",MONTH(C489)='BK-NL'!$M$11),"x","")</f>
        <v/>
      </c>
    </row>
    <row r="490" spans="1:30" ht="16.5" customHeight="1">
      <c r="A490" s="309" t="str">
        <f>IF(B490&lt;&gt;"",IF(AND(B490='IN-TC'!$S$4,OR(TH!N490="1111",TH!O490="1111")),TH!D490,""),"")</f>
        <v/>
      </c>
      <c r="B490" s="1130">
        <f t="shared" si="67"/>
        <v>6</v>
      </c>
      <c r="C490" s="929">
        <v>42916</v>
      </c>
      <c r="D490" s="929" t="s">
        <v>530</v>
      </c>
      <c r="E490" s="929">
        <v>42913</v>
      </c>
      <c r="F490" s="930" t="s">
        <v>808</v>
      </c>
      <c r="G490" s="931" t="s">
        <v>1653</v>
      </c>
      <c r="H490" s="296" t="s">
        <v>622</v>
      </c>
      <c r="I490" s="371"/>
      <c r="J490" s="932"/>
      <c r="K490" s="371"/>
      <c r="L490" s="377"/>
      <c r="M490" s="933">
        <v>54600000</v>
      </c>
      <c r="N490" s="934" t="s">
        <v>539</v>
      </c>
      <c r="O490" s="934" t="s">
        <v>8</v>
      </c>
      <c r="P490" s="75" t="str">
        <f>IF(AND('331-CT'!$E$7=TH!H490,OR(N490="331",O490="331")),"x","")</f>
        <v/>
      </c>
      <c r="Q490" s="75" t="str">
        <f>IF(AND(B490='111'!$L$11,OR($N490=$Q$7,$O490=$Q$7)),"x","")</f>
        <v/>
      </c>
      <c r="R490" s="75" t="str">
        <f>IF(AND($N490=$Q$7,$B490&lt;'111'!$L$11),"x","")</f>
        <v/>
      </c>
      <c r="S490" s="75" t="str">
        <f>IF(AND($O490=$Q$7,$B490&lt;'111'!$L$11),"x","")</f>
        <v/>
      </c>
      <c r="T490" s="75" t="str">
        <f>IF(ISERROR(FIND('112'!$M$9,G490,1)),"",IF((AND(FIND('112'!$M$9,G490,1)&gt;=1,B490='112'!$K$9,OR($N490='112'!$I$6,$O490='112'!$I$6))),"x",""))</f>
        <v/>
      </c>
      <c r="U490" s="75" t="str">
        <f>IF(ISERROR(FIND('112'!$M$9,G490,1)),"",IF((AND(LEFT(G490,2)=LEFT('112'!$M$9,2),B490&lt;'112'!$K$9,$N490='112'!$I$6)),"x",""))</f>
        <v/>
      </c>
      <c r="V490" s="75" t="str">
        <f>IF(ISERROR(FIND('112'!$M$9,G490,1)),"",IF((AND(RIGHT(G490,2)=RIGHT('112'!$M$9,2),B490&lt;'112'!$K$9,$O490='112'!$I$6)),"x",""))</f>
        <v/>
      </c>
      <c r="W490" s="75" t="str">
        <f>IF(AND('341-CT'!$H$9=H490,OR(LEFT(N490,3)=$W$7,LEFT(O490,3)=$W$7)),"x","")</f>
        <v/>
      </c>
      <c r="X490" s="75" t="str">
        <f>IF(OR(TH!N490=TH!$X$7,O490=TH!$X$7),"x","")</f>
        <v/>
      </c>
      <c r="Y490" s="75" t="str">
        <f>IF(AND(OR(N490="131",O490="131"),H490='131-CT'!$H$9),"x","")</f>
        <v/>
      </c>
      <c r="Z490" s="75"/>
      <c r="AA490" s="75" t="str">
        <f>IF(AND(MONTH(E490)='IN-NX'!$J$5,'IN-NX'!$D$7=D490),"x","")</f>
        <v/>
      </c>
      <c r="AB490" s="75" t="str">
        <f>IF(AND(OR(LEFT(TH!N490,2)="15",LEFT(TH!O490,2)="15"),LEFT(TH!O490,3)&lt;&gt;"111",'152-CT'!$J$8=TH!F490),"x","")</f>
        <v/>
      </c>
      <c r="AC490" s="75" t="str">
        <f>IF(AND(OR(LEFT(TH!N490,2)="15",LEFT(TH!O490,2)="15"),TK!$E$7=TH!F490),"x","")</f>
        <v/>
      </c>
      <c r="AD490" s="75" t="str">
        <f>IF(AND(N490="1521",MONTH(C490)='BK-NL'!$M$11),"x","")</f>
        <v/>
      </c>
    </row>
    <row r="491" spans="1:30" ht="16.5" customHeight="1">
      <c r="A491" s="309" t="str">
        <f>IF(B491&lt;&gt;"",IF(AND(B491='IN-TC'!$S$4,OR(TH!N491="1111",TH!O491="1111")),TH!D491,""),"")</f>
        <v/>
      </c>
      <c r="B491" s="1130">
        <f t="shared" si="67"/>
        <v>6</v>
      </c>
      <c r="C491" s="929">
        <v>42916</v>
      </c>
      <c r="D491" s="929" t="s">
        <v>530</v>
      </c>
      <c r="E491" s="929">
        <v>42913</v>
      </c>
      <c r="F491" s="930" t="s">
        <v>810</v>
      </c>
      <c r="G491" s="931" t="s">
        <v>1654</v>
      </c>
      <c r="H491" s="296" t="s">
        <v>622</v>
      </c>
      <c r="I491" s="371"/>
      <c r="J491" s="932"/>
      <c r="K491" s="371"/>
      <c r="L491" s="377"/>
      <c r="M491" s="933">
        <v>21089250</v>
      </c>
      <c r="N491" s="934" t="s">
        <v>539</v>
      </c>
      <c r="O491" s="934" t="s">
        <v>8</v>
      </c>
      <c r="P491" s="75" t="str">
        <f>IF(AND('331-CT'!$E$7=TH!H491,OR(N491="331",O491="331")),"x","")</f>
        <v/>
      </c>
      <c r="Q491" s="75" t="str">
        <f>IF(AND(B491='111'!$L$11,OR($N491=$Q$7,$O491=$Q$7)),"x","")</f>
        <v/>
      </c>
      <c r="R491" s="75" t="str">
        <f>IF(AND($N491=$Q$7,$B491&lt;'111'!$L$11),"x","")</f>
        <v/>
      </c>
      <c r="S491" s="75" t="str">
        <f>IF(AND($O491=$Q$7,$B491&lt;'111'!$L$11),"x","")</f>
        <v/>
      </c>
      <c r="T491" s="75" t="str">
        <f>IF(ISERROR(FIND('112'!$M$9,G491,1)),"",IF((AND(FIND('112'!$M$9,G491,1)&gt;=1,B491='112'!$K$9,OR($N491='112'!$I$6,$O491='112'!$I$6))),"x",""))</f>
        <v/>
      </c>
      <c r="U491" s="75" t="str">
        <f>IF(ISERROR(FIND('112'!$M$9,G491,1)),"",IF((AND(LEFT(G491,2)=LEFT('112'!$M$9,2),B491&lt;'112'!$K$9,$N491='112'!$I$6)),"x",""))</f>
        <v/>
      </c>
      <c r="V491" s="75" t="str">
        <f>IF(ISERROR(FIND('112'!$M$9,G491,1)),"",IF((AND(RIGHT(G491,2)=RIGHT('112'!$M$9,2),B491&lt;'112'!$K$9,$O491='112'!$I$6)),"x",""))</f>
        <v/>
      </c>
      <c r="W491" s="75" t="str">
        <f>IF(AND('341-CT'!$H$9=H491,OR(LEFT(N491,3)=$W$7,LEFT(O491,3)=$W$7)),"x","")</f>
        <v/>
      </c>
      <c r="X491" s="75" t="str">
        <f>IF(OR(TH!N491=TH!$X$7,O491=TH!$X$7),"x","")</f>
        <v/>
      </c>
      <c r="Y491" s="75" t="str">
        <f>IF(AND(OR(N491="131",O491="131"),H491='131-CT'!$H$9),"x","")</f>
        <v/>
      </c>
      <c r="Z491" s="75"/>
      <c r="AA491" s="75" t="str">
        <f>IF(AND(MONTH(E491)='IN-NX'!$J$5,'IN-NX'!$D$7=D491),"x","")</f>
        <v/>
      </c>
      <c r="AB491" s="75" t="str">
        <f>IF(AND(OR(LEFT(TH!N491,2)="15",LEFT(TH!O491,2)="15"),LEFT(TH!O491,3)&lt;&gt;"111",'152-CT'!$J$8=TH!F491),"x","")</f>
        <v/>
      </c>
      <c r="AC491" s="75" t="str">
        <f>IF(AND(OR(LEFT(TH!N491,2)="15",LEFT(TH!O491,2)="15"),TK!$E$7=TH!F491),"x","")</f>
        <v/>
      </c>
      <c r="AD491" s="75" t="str">
        <f>IF(AND(N491="1521",MONTH(C491)='BK-NL'!$M$11),"x","")</f>
        <v/>
      </c>
    </row>
    <row r="492" spans="1:30" ht="16.5" customHeight="1">
      <c r="A492" s="309" t="str">
        <f>IF(B492&lt;&gt;"",IF(AND(B492='IN-TC'!$S$4,OR(TH!N492="1111",TH!O492="1111")),TH!D492,""),"")</f>
        <v/>
      </c>
      <c r="B492" s="1130">
        <f t="shared" si="67"/>
        <v>6</v>
      </c>
      <c r="C492" s="929">
        <v>42916</v>
      </c>
      <c r="D492" s="929" t="s">
        <v>530</v>
      </c>
      <c r="E492" s="929">
        <v>42913</v>
      </c>
      <c r="F492" s="930" t="s">
        <v>811</v>
      </c>
      <c r="G492" s="931" t="s">
        <v>1654</v>
      </c>
      <c r="H492" s="296" t="s">
        <v>622</v>
      </c>
      <c r="I492" s="371"/>
      <c r="J492" s="932"/>
      <c r="K492" s="371"/>
      <c r="L492" s="377"/>
      <c r="M492" s="933">
        <v>2108925</v>
      </c>
      <c r="N492" s="934" t="s">
        <v>9</v>
      </c>
      <c r="O492" s="934" t="s">
        <v>8</v>
      </c>
      <c r="P492" s="75" t="str">
        <f>IF(AND('331-CT'!$E$7=TH!H492,OR(N492="331",O492="331")),"x","")</f>
        <v/>
      </c>
      <c r="Q492" s="75" t="str">
        <f>IF(AND(B492='111'!$L$11,OR($N492=$Q$7,$O492=$Q$7)),"x","")</f>
        <v/>
      </c>
      <c r="R492" s="75" t="str">
        <f>IF(AND($N492=$Q$7,$B492&lt;'111'!$L$11),"x","")</f>
        <v/>
      </c>
      <c r="S492" s="75" t="str">
        <f>IF(AND($O492=$Q$7,$B492&lt;'111'!$L$11),"x","")</f>
        <v/>
      </c>
      <c r="T492" s="75" t="str">
        <f>IF(ISERROR(FIND('112'!$M$9,G492,1)),"",IF((AND(FIND('112'!$M$9,G492,1)&gt;=1,B492='112'!$K$9,OR($N492='112'!$I$6,$O492='112'!$I$6))),"x",""))</f>
        <v/>
      </c>
      <c r="U492" s="75" t="str">
        <f>IF(ISERROR(FIND('112'!$M$9,G492,1)),"",IF((AND(LEFT(G492,2)=LEFT('112'!$M$9,2),B492&lt;'112'!$K$9,$N492='112'!$I$6)),"x",""))</f>
        <v/>
      </c>
      <c r="V492" s="75" t="str">
        <f>IF(ISERROR(FIND('112'!$M$9,G492,1)),"",IF((AND(RIGHT(G492,2)=RIGHT('112'!$M$9,2),B492&lt;'112'!$K$9,$O492='112'!$I$6)),"x",""))</f>
        <v/>
      </c>
      <c r="W492" s="75" t="str">
        <f>IF(AND('341-CT'!$H$9=H492,OR(LEFT(N492,3)=$W$7,LEFT(O492,3)=$W$7)),"x","")</f>
        <v/>
      </c>
      <c r="X492" s="75" t="str">
        <f>IF(OR(TH!N492=TH!$X$7,O492=TH!$X$7),"x","")</f>
        <v/>
      </c>
      <c r="Y492" s="75" t="str">
        <f>IF(AND(OR(N492="131",O492="131"),H492='131-CT'!$H$9),"x","")</f>
        <v/>
      </c>
      <c r="Z492" s="75"/>
      <c r="AA492" s="75" t="str">
        <f>IF(AND(MONTH(E492)='IN-NX'!$J$5,'IN-NX'!$D$7=D492),"x","")</f>
        <v/>
      </c>
      <c r="AB492" s="75" t="str">
        <f>IF(AND(OR(LEFT(TH!N492,2)="15",LEFT(TH!O492,2)="15"),LEFT(TH!O492,3)&lt;&gt;"111",'152-CT'!$J$8=TH!F492),"x","")</f>
        <v/>
      </c>
      <c r="AC492" s="75" t="str">
        <f>IF(AND(OR(LEFT(TH!N492,2)="15",LEFT(TH!O492,2)="15"),TK!$E$7=TH!F492),"x","")</f>
        <v/>
      </c>
      <c r="AD492" s="75" t="str">
        <f>IF(AND(N492="1521",MONTH(C492)='BK-NL'!$M$11),"x","")</f>
        <v/>
      </c>
    </row>
    <row r="493" spans="1:30" ht="16.5" customHeight="1">
      <c r="A493" s="309" t="str">
        <f>IF(B493&lt;&gt;"",IF(AND(B493='IN-TC'!$S$4,OR(TH!N493="1111",TH!O493="1111")),TH!D493,""),"")</f>
        <v/>
      </c>
      <c r="B493" s="1130">
        <f t="shared" si="67"/>
        <v>6</v>
      </c>
      <c r="C493" s="929">
        <v>42916</v>
      </c>
      <c r="D493" s="929" t="s">
        <v>530</v>
      </c>
      <c r="E493" s="929">
        <v>42913</v>
      </c>
      <c r="F493" s="930" t="s">
        <v>808</v>
      </c>
      <c r="G493" s="931" t="s">
        <v>1655</v>
      </c>
      <c r="H493" s="296" t="s">
        <v>622</v>
      </c>
      <c r="I493" s="371"/>
      <c r="J493" s="932"/>
      <c r="K493" s="371"/>
      <c r="L493" s="377"/>
      <c r="M493" s="933">
        <v>54552000</v>
      </c>
      <c r="N493" s="934" t="s">
        <v>539</v>
      </c>
      <c r="O493" s="934" t="s">
        <v>8</v>
      </c>
      <c r="P493" s="75" t="str">
        <f>IF(AND('331-CT'!$E$7=TH!H493,OR(N493="331",O493="331")),"x","")</f>
        <v/>
      </c>
      <c r="Q493" s="75" t="str">
        <f>IF(AND(B493='111'!$L$11,OR($N493=$Q$7,$O493=$Q$7)),"x","")</f>
        <v/>
      </c>
      <c r="R493" s="75" t="str">
        <f>IF(AND($N493=$Q$7,$B493&lt;'111'!$L$11),"x","")</f>
        <v/>
      </c>
      <c r="S493" s="75" t="str">
        <f>IF(AND($O493=$Q$7,$B493&lt;'111'!$L$11),"x","")</f>
        <v/>
      </c>
      <c r="T493" s="75" t="str">
        <f>IF(ISERROR(FIND('112'!$M$9,G493,1)),"",IF((AND(FIND('112'!$M$9,G493,1)&gt;=1,B493='112'!$K$9,OR($N493='112'!$I$6,$O493='112'!$I$6))),"x",""))</f>
        <v/>
      </c>
      <c r="U493" s="75" t="str">
        <f>IF(ISERROR(FIND('112'!$M$9,G493,1)),"",IF((AND(LEFT(G493,2)=LEFT('112'!$M$9,2),B493&lt;'112'!$K$9,$N493='112'!$I$6)),"x",""))</f>
        <v/>
      </c>
      <c r="V493" s="75" t="str">
        <f>IF(ISERROR(FIND('112'!$M$9,G493,1)),"",IF((AND(RIGHT(G493,2)=RIGHT('112'!$M$9,2),B493&lt;'112'!$K$9,$O493='112'!$I$6)),"x",""))</f>
        <v/>
      </c>
      <c r="W493" s="75" t="str">
        <f>IF(AND('341-CT'!$H$9=H493,OR(LEFT(N493,3)=$W$7,LEFT(O493,3)=$W$7)),"x","")</f>
        <v/>
      </c>
      <c r="X493" s="75" t="str">
        <f>IF(OR(TH!N493=TH!$X$7,O493=TH!$X$7),"x","")</f>
        <v/>
      </c>
      <c r="Y493" s="75" t="str">
        <f>IF(AND(OR(N493="131",O493="131"),H493='131-CT'!$H$9),"x","")</f>
        <v/>
      </c>
      <c r="Z493" s="75"/>
      <c r="AA493" s="75" t="str">
        <f>IF(AND(MONTH(E493)='IN-NX'!$J$5,'IN-NX'!$D$7=D493),"x","")</f>
        <v/>
      </c>
      <c r="AB493" s="75" t="str">
        <f>IF(AND(OR(LEFT(TH!N493,2)="15",LEFT(TH!O493,2)="15"),LEFT(TH!O493,3)&lt;&gt;"111",'152-CT'!$J$8=TH!F493),"x","")</f>
        <v/>
      </c>
      <c r="AC493" s="75" t="str">
        <f>IF(AND(OR(LEFT(TH!N493,2)="15",LEFT(TH!O493,2)="15"),TK!$E$7=TH!F493),"x","")</f>
        <v/>
      </c>
      <c r="AD493" s="75" t="str">
        <f>IF(AND(N493="1521",MONTH(C493)='BK-NL'!$M$11),"x","")</f>
        <v/>
      </c>
    </row>
    <row r="494" spans="1:30" ht="16.5" customHeight="1">
      <c r="A494" s="309" t="str">
        <f>IF(B494&lt;&gt;"",IF(AND(B494='IN-TC'!$S$4,OR(TH!N494="1111",TH!O494="1111")),TH!D494,""),"")</f>
        <v/>
      </c>
      <c r="B494" s="1130">
        <f t="shared" si="67"/>
        <v>6</v>
      </c>
      <c r="C494" s="929">
        <v>42916</v>
      </c>
      <c r="D494" s="929" t="s">
        <v>530</v>
      </c>
      <c r="E494" s="929">
        <v>42913</v>
      </c>
      <c r="F494" s="930" t="s">
        <v>810</v>
      </c>
      <c r="G494" s="931" t="s">
        <v>1656</v>
      </c>
      <c r="H494" s="296" t="s">
        <v>622</v>
      </c>
      <c r="I494" s="371"/>
      <c r="J494" s="932"/>
      <c r="K494" s="371"/>
      <c r="L494" s="377"/>
      <c r="M494" s="933">
        <v>21070710</v>
      </c>
      <c r="N494" s="934" t="s">
        <v>539</v>
      </c>
      <c r="O494" s="934" t="s">
        <v>8</v>
      </c>
      <c r="P494" s="75" t="str">
        <f>IF(AND('331-CT'!$E$7=TH!H494,OR(N494="331",O494="331")),"x","")</f>
        <v/>
      </c>
      <c r="Q494" s="75" t="str">
        <f>IF(AND(B494='111'!$L$11,OR($N494=$Q$7,$O494=$Q$7)),"x","")</f>
        <v/>
      </c>
      <c r="R494" s="75" t="str">
        <f>IF(AND($N494=$Q$7,$B494&lt;'111'!$L$11),"x","")</f>
        <v/>
      </c>
      <c r="S494" s="75" t="str">
        <f>IF(AND($O494=$Q$7,$B494&lt;'111'!$L$11),"x","")</f>
        <v/>
      </c>
      <c r="T494" s="75" t="str">
        <f>IF(ISERROR(FIND('112'!$M$9,G494,1)),"",IF((AND(FIND('112'!$M$9,G494,1)&gt;=1,B494='112'!$K$9,OR($N494='112'!$I$6,$O494='112'!$I$6))),"x",""))</f>
        <v/>
      </c>
      <c r="U494" s="75" t="str">
        <f>IF(ISERROR(FIND('112'!$M$9,G494,1)),"",IF((AND(LEFT(G494,2)=LEFT('112'!$M$9,2),B494&lt;'112'!$K$9,$N494='112'!$I$6)),"x",""))</f>
        <v/>
      </c>
      <c r="V494" s="75" t="str">
        <f>IF(ISERROR(FIND('112'!$M$9,G494,1)),"",IF((AND(RIGHT(G494,2)=RIGHT('112'!$M$9,2),B494&lt;'112'!$K$9,$O494='112'!$I$6)),"x",""))</f>
        <v/>
      </c>
      <c r="W494" s="75" t="str">
        <f>IF(AND('341-CT'!$H$9=H494,OR(LEFT(N494,3)=$W$7,LEFT(O494,3)=$W$7)),"x","")</f>
        <v/>
      </c>
      <c r="X494" s="75" t="str">
        <f>IF(OR(TH!N494=TH!$X$7,O494=TH!$X$7),"x","")</f>
        <v/>
      </c>
      <c r="Y494" s="75" t="str">
        <f>IF(AND(OR(N494="131",O494="131"),H494='131-CT'!$H$9),"x","")</f>
        <v/>
      </c>
      <c r="Z494" s="75"/>
      <c r="AA494" s="75" t="str">
        <f>IF(AND(MONTH(E494)='IN-NX'!$J$5,'IN-NX'!$D$7=D494),"x","")</f>
        <v/>
      </c>
      <c r="AB494" s="75" t="str">
        <f>IF(AND(OR(LEFT(TH!N494,2)="15",LEFT(TH!O494,2)="15"),LEFT(TH!O494,3)&lt;&gt;"111",'152-CT'!$J$8=TH!F494),"x","")</f>
        <v/>
      </c>
      <c r="AC494" s="75" t="str">
        <f>IF(AND(OR(LEFT(TH!N494,2)="15",LEFT(TH!O494,2)="15"),TK!$E$7=TH!F494),"x","")</f>
        <v/>
      </c>
      <c r="AD494" s="75" t="str">
        <f>IF(AND(N494="1521",MONTH(C494)='BK-NL'!$M$11),"x","")</f>
        <v/>
      </c>
    </row>
    <row r="495" spans="1:30" ht="16.5" customHeight="1">
      <c r="A495" s="309" t="str">
        <f>IF(B495&lt;&gt;"",IF(AND(B495='IN-TC'!$S$4,OR(TH!N495="1111",TH!O495="1111")),TH!D495,""),"")</f>
        <v/>
      </c>
      <c r="B495" s="1130">
        <f t="shared" si="67"/>
        <v>6</v>
      </c>
      <c r="C495" s="929">
        <v>42916</v>
      </c>
      <c r="D495" s="929" t="s">
        <v>530</v>
      </c>
      <c r="E495" s="929">
        <v>42913</v>
      </c>
      <c r="F495" s="930" t="s">
        <v>811</v>
      </c>
      <c r="G495" s="931" t="s">
        <v>1656</v>
      </c>
      <c r="H495" s="296" t="s">
        <v>622</v>
      </c>
      <c r="I495" s="371"/>
      <c r="J495" s="932"/>
      <c r="K495" s="371"/>
      <c r="L495" s="377"/>
      <c r="M495" s="933">
        <v>2107071</v>
      </c>
      <c r="N495" s="934" t="s">
        <v>9</v>
      </c>
      <c r="O495" s="934" t="s">
        <v>8</v>
      </c>
      <c r="P495" s="75" t="str">
        <f>IF(AND('331-CT'!$E$7=TH!H495,OR(N495="331",O495="331")),"x","")</f>
        <v/>
      </c>
      <c r="Q495" s="75" t="str">
        <f>IF(AND(B495='111'!$L$11,OR($N495=$Q$7,$O495=$Q$7)),"x","")</f>
        <v/>
      </c>
      <c r="R495" s="75" t="str">
        <f>IF(AND($N495=$Q$7,$B495&lt;'111'!$L$11),"x","")</f>
        <v/>
      </c>
      <c r="S495" s="75" t="str">
        <f>IF(AND($O495=$Q$7,$B495&lt;'111'!$L$11),"x","")</f>
        <v/>
      </c>
      <c r="T495" s="75" t="str">
        <f>IF(ISERROR(FIND('112'!$M$9,G495,1)),"",IF((AND(FIND('112'!$M$9,G495,1)&gt;=1,B495='112'!$K$9,OR($N495='112'!$I$6,$O495='112'!$I$6))),"x",""))</f>
        <v/>
      </c>
      <c r="U495" s="75" t="str">
        <f>IF(ISERROR(FIND('112'!$M$9,G495,1)),"",IF((AND(LEFT(G495,2)=LEFT('112'!$M$9,2),B495&lt;'112'!$K$9,$N495='112'!$I$6)),"x",""))</f>
        <v/>
      </c>
      <c r="V495" s="75" t="str">
        <f>IF(ISERROR(FIND('112'!$M$9,G495,1)),"",IF((AND(RIGHT(G495,2)=RIGHT('112'!$M$9,2),B495&lt;'112'!$K$9,$O495='112'!$I$6)),"x",""))</f>
        <v/>
      </c>
      <c r="W495" s="75" t="str">
        <f>IF(AND('341-CT'!$H$9=H495,OR(LEFT(N495,3)=$W$7,LEFT(O495,3)=$W$7)),"x","")</f>
        <v/>
      </c>
      <c r="X495" s="75" t="str">
        <f>IF(OR(TH!N495=TH!$X$7,O495=TH!$X$7),"x","")</f>
        <v/>
      </c>
      <c r="Y495" s="75" t="str">
        <f>IF(AND(OR(N495="131",O495="131"),H495='131-CT'!$H$9),"x","")</f>
        <v/>
      </c>
      <c r="Z495" s="75"/>
      <c r="AA495" s="75" t="str">
        <f>IF(AND(MONTH(E495)='IN-NX'!$J$5,'IN-NX'!$D$7=D495),"x","")</f>
        <v/>
      </c>
      <c r="AB495" s="75" t="str">
        <f>IF(AND(OR(LEFT(TH!N495,2)="15",LEFT(TH!O495,2)="15"),LEFT(TH!O495,3)&lt;&gt;"111",'152-CT'!$J$8=TH!F495),"x","")</f>
        <v/>
      </c>
      <c r="AC495" s="75" t="str">
        <f>IF(AND(OR(LEFT(TH!N495,2)="15",LEFT(TH!O495,2)="15"),TK!$E$7=TH!F495),"x","")</f>
        <v/>
      </c>
      <c r="AD495" s="75" t="str">
        <f>IF(AND(N495="1521",MONTH(C495)='BK-NL'!$M$11),"x","")</f>
        <v/>
      </c>
    </row>
    <row r="496" spans="1:30" ht="16.5" customHeight="1">
      <c r="A496" s="309" t="str">
        <f>IF(B496&lt;&gt;"",IF(AND(B496='IN-TC'!$S$4,OR(TH!N496="1111",TH!O496="1111")),TH!D496,""),"")</f>
        <v/>
      </c>
      <c r="B496" s="1130">
        <f t="shared" si="67"/>
        <v>6</v>
      </c>
      <c r="C496" s="929">
        <v>42916</v>
      </c>
      <c r="D496" s="929" t="s">
        <v>530</v>
      </c>
      <c r="E496" s="929">
        <v>42913</v>
      </c>
      <c r="F496" s="930" t="s">
        <v>808</v>
      </c>
      <c r="G496" s="931" t="s">
        <v>1657</v>
      </c>
      <c r="H496" s="296" t="s">
        <v>622</v>
      </c>
      <c r="I496" s="371"/>
      <c r="J496" s="932"/>
      <c r="K496" s="371"/>
      <c r="L496" s="377"/>
      <c r="M496" s="933">
        <v>27300000</v>
      </c>
      <c r="N496" s="934" t="s">
        <v>539</v>
      </c>
      <c r="O496" s="934" t="s">
        <v>8</v>
      </c>
      <c r="P496" s="75" t="str">
        <f>IF(AND('331-CT'!$E$7=TH!H496,OR(N496="331",O496="331")),"x","")</f>
        <v/>
      </c>
      <c r="Q496" s="75" t="str">
        <f>IF(AND(B496='111'!$L$11,OR($N496=$Q$7,$O496=$Q$7)),"x","")</f>
        <v/>
      </c>
      <c r="R496" s="75" t="str">
        <f>IF(AND($N496=$Q$7,$B496&lt;'111'!$L$11),"x","")</f>
        <v/>
      </c>
      <c r="S496" s="75" t="str">
        <f>IF(AND($O496=$Q$7,$B496&lt;'111'!$L$11),"x","")</f>
        <v/>
      </c>
      <c r="T496" s="75" t="str">
        <f>IF(ISERROR(FIND('112'!$M$9,G496,1)),"",IF((AND(FIND('112'!$M$9,G496,1)&gt;=1,B496='112'!$K$9,OR($N496='112'!$I$6,$O496='112'!$I$6))),"x",""))</f>
        <v/>
      </c>
      <c r="U496" s="75" t="str">
        <f>IF(ISERROR(FIND('112'!$M$9,G496,1)),"",IF((AND(LEFT(G496,2)=LEFT('112'!$M$9,2),B496&lt;'112'!$K$9,$N496='112'!$I$6)),"x",""))</f>
        <v/>
      </c>
      <c r="V496" s="75" t="str">
        <f>IF(ISERROR(FIND('112'!$M$9,G496,1)),"",IF((AND(RIGHT(G496,2)=RIGHT('112'!$M$9,2),B496&lt;'112'!$K$9,$O496='112'!$I$6)),"x",""))</f>
        <v/>
      </c>
      <c r="W496" s="75" t="str">
        <f>IF(AND('341-CT'!$H$9=H496,OR(LEFT(N496,3)=$W$7,LEFT(O496,3)=$W$7)),"x","")</f>
        <v/>
      </c>
      <c r="X496" s="75" t="str">
        <f>IF(OR(TH!N496=TH!$X$7,O496=TH!$X$7),"x","")</f>
        <v/>
      </c>
      <c r="Y496" s="75" t="str">
        <f>IF(AND(OR(N496="131",O496="131"),H496='131-CT'!$H$9),"x","")</f>
        <v/>
      </c>
      <c r="Z496" s="75"/>
      <c r="AA496" s="75" t="str">
        <f>IF(AND(MONTH(E496)='IN-NX'!$J$5,'IN-NX'!$D$7=D496),"x","")</f>
        <v/>
      </c>
      <c r="AB496" s="75" t="str">
        <f>IF(AND(OR(LEFT(TH!N496,2)="15",LEFT(TH!O496,2)="15"),LEFT(TH!O496,3)&lt;&gt;"111",'152-CT'!$J$8=TH!F496),"x","")</f>
        <v/>
      </c>
      <c r="AC496" s="75" t="str">
        <f>IF(AND(OR(LEFT(TH!N496,2)="15",LEFT(TH!O496,2)="15"),TK!$E$7=TH!F496),"x","")</f>
        <v/>
      </c>
      <c r="AD496" s="75" t="str">
        <f>IF(AND(N496="1521",MONTH(C496)='BK-NL'!$M$11),"x","")</f>
        <v/>
      </c>
    </row>
    <row r="497" spans="1:31" ht="16.5" customHeight="1">
      <c r="A497" s="309" t="str">
        <f>IF(B497&lt;&gt;"",IF(AND(B497='IN-TC'!$S$4,OR(TH!N497="1111",TH!O497="1111")),TH!D497,""),"")</f>
        <v/>
      </c>
      <c r="B497" s="1130">
        <f t="shared" si="67"/>
        <v>6</v>
      </c>
      <c r="C497" s="929">
        <v>42916</v>
      </c>
      <c r="D497" s="929" t="s">
        <v>530</v>
      </c>
      <c r="E497" s="929">
        <v>42913</v>
      </c>
      <c r="F497" s="930" t="s">
        <v>810</v>
      </c>
      <c r="G497" s="931" t="s">
        <v>1658</v>
      </c>
      <c r="H497" s="296" t="s">
        <v>622</v>
      </c>
      <c r="I497" s="371"/>
      <c r="J497" s="932"/>
      <c r="K497" s="371"/>
      <c r="L497" s="377"/>
      <c r="M497" s="933">
        <v>11170250</v>
      </c>
      <c r="N497" s="934" t="s">
        <v>539</v>
      </c>
      <c r="O497" s="934" t="s">
        <v>8</v>
      </c>
      <c r="P497" s="75" t="str">
        <f>IF(AND('331-CT'!$E$7=TH!H497,OR(N497="331",O497="331")),"x","")</f>
        <v/>
      </c>
      <c r="Q497" s="75" t="str">
        <f>IF(AND(B497='111'!$L$11,OR($N497=$Q$7,$O497=$Q$7)),"x","")</f>
        <v/>
      </c>
      <c r="R497" s="75" t="str">
        <f>IF(AND($N497=$Q$7,$B497&lt;'111'!$L$11),"x","")</f>
        <v/>
      </c>
      <c r="S497" s="75" t="str">
        <f>IF(AND($O497=$Q$7,$B497&lt;'111'!$L$11),"x","")</f>
        <v/>
      </c>
      <c r="T497" s="75" t="str">
        <f>IF(ISERROR(FIND('112'!$M$9,G497,1)),"",IF((AND(FIND('112'!$M$9,G497,1)&gt;=1,B497='112'!$K$9,OR($N497='112'!$I$6,$O497='112'!$I$6))),"x",""))</f>
        <v/>
      </c>
      <c r="U497" s="75" t="str">
        <f>IF(ISERROR(FIND('112'!$M$9,G497,1)),"",IF((AND(LEFT(G497,2)=LEFT('112'!$M$9,2),B497&lt;'112'!$K$9,$N497='112'!$I$6)),"x",""))</f>
        <v/>
      </c>
      <c r="V497" s="75" t="str">
        <f>IF(ISERROR(FIND('112'!$M$9,G497,1)),"",IF((AND(RIGHT(G497,2)=RIGHT('112'!$M$9,2),B497&lt;'112'!$K$9,$O497='112'!$I$6)),"x",""))</f>
        <v/>
      </c>
      <c r="W497" s="75" t="str">
        <f>IF(AND('341-CT'!$H$9=H497,OR(LEFT(N497,3)=$W$7,LEFT(O497,3)=$W$7)),"x","")</f>
        <v/>
      </c>
      <c r="X497" s="75" t="str">
        <f>IF(OR(TH!N497=TH!$X$7,O497=TH!$X$7),"x","")</f>
        <v/>
      </c>
      <c r="Y497" s="75" t="str">
        <f>IF(AND(OR(N497="131",O497="131"),H497='131-CT'!$H$9),"x","")</f>
        <v/>
      </c>
      <c r="Z497" s="75"/>
      <c r="AA497" s="75" t="str">
        <f>IF(AND(MONTH(E497)='IN-NX'!$J$5,'IN-NX'!$D$7=D497),"x","")</f>
        <v/>
      </c>
      <c r="AB497" s="75" t="str">
        <f>IF(AND(OR(LEFT(TH!N497,2)="15",LEFT(TH!O497,2)="15"),LEFT(TH!O497,3)&lt;&gt;"111",'152-CT'!$J$8=TH!F497),"x","")</f>
        <v/>
      </c>
      <c r="AC497" s="75" t="str">
        <f>IF(AND(OR(LEFT(TH!N497,2)="15",LEFT(TH!O497,2)="15"),TK!$E$7=TH!F497),"x","")</f>
        <v/>
      </c>
      <c r="AD497" s="75" t="str">
        <f>IF(AND(N497="1521",MONTH(C497)='BK-NL'!$M$11),"x","")</f>
        <v/>
      </c>
    </row>
    <row r="498" spans="1:31" ht="16.5" customHeight="1">
      <c r="A498" s="309" t="str">
        <f>IF(B498&lt;&gt;"",IF(AND(B498='IN-TC'!$S$4,OR(TH!N498="1111",TH!O498="1111")),TH!D498,""),"")</f>
        <v/>
      </c>
      <c r="B498" s="1130">
        <f t="shared" si="67"/>
        <v>6</v>
      </c>
      <c r="C498" s="929">
        <v>42916</v>
      </c>
      <c r="D498" s="929" t="s">
        <v>530</v>
      </c>
      <c r="E498" s="929">
        <v>42913</v>
      </c>
      <c r="F498" s="930" t="s">
        <v>811</v>
      </c>
      <c r="G498" s="931" t="s">
        <v>1658</v>
      </c>
      <c r="H498" s="296" t="s">
        <v>622</v>
      </c>
      <c r="I498" s="371"/>
      <c r="J498" s="932"/>
      <c r="K498" s="371"/>
      <c r="L498" s="377"/>
      <c r="M498" s="933">
        <v>1117025</v>
      </c>
      <c r="N498" s="934" t="s">
        <v>9</v>
      </c>
      <c r="O498" s="934" t="s">
        <v>8</v>
      </c>
      <c r="P498" s="75" t="str">
        <f>IF(AND('331-CT'!$E$7=TH!H498,OR(N498="331",O498="331")),"x","")</f>
        <v/>
      </c>
      <c r="Q498" s="75" t="str">
        <f>IF(AND(B498='111'!$L$11,OR($N498=$Q$7,$O498=$Q$7)),"x","")</f>
        <v/>
      </c>
      <c r="R498" s="75" t="str">
        <f>IF(AND($N498=$Q$7,$B498&lt;'111'!$L$11),"x","")</f>
        <v/>
      </c>
      <c r="S498" s="75" t="str">
        <f>IF(AND($O498=$Q$7,$B498&lt;'111'!$L$11),"x","")</f>
        <v/>
      </c>
      <c r="T498" s="75" t="str">
        <f>IF(ISERROR(FIND('112'!$M$9,G498,1)),"",IF((AND(FIND('112'!$M$9,G498,1)&gt;=1,B498='112'!$K$9,OR($N498='112'!$I$6,$O498='112'!$I$6))),"x",""))</f>
        <v/>
      </c>
      <c r="U498" s="75" t="str">
        <f>IF(ISERROR(FIND('112'!$M$9,G498,1)),"",IF((AND(LEFT(G498,2)=LEFT('112'!$M$9,2),B498&lt;'112'!$K$9,$N498='112'!$I$6)),"x",""))</f>
        <v/>
      </c>
      <c r="V498" s="75" t="str">
        <f>IF(ISERROR(FIND('112'!$M$9,G498,1)),"",IF((AND(RIGHT(G498,2)=RIGHT('112'!$M$9,2),B498&lt;'112'!$K$9,$O498='112'!$I$6)),"x",""))</f>
        <v/>
      </c>
      <c r="W498" s="75" t="str">
        <f>IF(AND('341-CT'!$H$9=H498,OR(LEFT(N498,3)=$W$7,LEFT(O498,3)=$W$7)),"x","")</f>
        <v/>
      </c>
      <c r="X498" s="75" t="str">
        <f>IF(OR(TH!N498=TH!$X$7,O498=TH!$X$7),"x","")</f>
        <v/>
      </c>
      <c r="Y498" s="75" t="str">
        <f>IF(AND(OR(N498="131",O498="131"),H498='131-CT'!$H$9),"x","")</f>
        <v/>
      </c>
      <c r="Z498" s="75"/>
      <c r="AA498" s="75" t="str">
        <f>IF(AND(MONTH(E498)='IN-NX'!$J$5,'IN-NX'!$D$7=D498),"x","")</f>
        <v/>
      </c>
      <c r="AB498" s="75" t="str">
        <f>IF(AND(OR(LEFT(TH!N498,2)="15",LEFT(TH!O498,2)="15"),LEFT(TH!O498,3)&lt;&gt;"111",'152-CT'!$J$8=TH!F498),"x","")</f>
        <v/>
      </c>
      <c r="AC498" s="75" t="str">
        <f>IF(AND(OR(LEFT(TH!N498,2)="15",LEFT(TH!O498,2)="15"),TK!$E$7=TH!F498),"x","")</f>
        <v/>
      </c>
      <c r="AD498" s="75" t="str">
        <f>IF(AND(N498="1521",MONTH(C498)='BK-NL'!$M$11),"x","")</f>
        <v/>
      </c>
    </row>
    <row r="499" spans="1:31" ht="16.5" customHeight="1">
      <c r="A499" s="309" t="str">
        <f>IF(B499&lt;&gt;"",IF(AND(B499='IN-TC'!$S$4,OR(TH!N499="1111",TH!O499="1111")),TH!D499,""),"")</f>
        <v/>
      </c>
      <c r="B499" s="1130">
        <f t="shared" si="67"/>
        <v>6</v>
      </c>
      <c r="C499" s="929">
        <v>42916</v>
      </c>
      <c r="D499" s="929" t="s">
        <v>530</v>
      </c>
      <c r="E499" s="929">
        <v>42913</v>
      </c>
      <c r="F499" s="930" t="s">
        <v>808</v>
      </c>
      <c r="G499" s="931" t="s">
        <v>1659</v>
      </c>
      <c r="H499" s="296" t="s">
        <v>622</v>
      </c>
      <c r="I499" s="371"/>
      <c r="J499" s="932"/>
      <c r="K499" s="371"/>
      <c r="L499" s="377"/>
      <c r="M499" s="933">
        <v>21622000</v>
      </c>
      <c r="N499" s="934" t="s">
        <v>539</v>
      </c>
      <c r="O499" s="934" t="s">
        <v>8</v>
      </c>
      <c r="P499" s="75" t="str">
        <f>IF(AND('331-CT'!$E$7=TH!H499,OR(N499="331",O499="331")),"x","")</f>
        <v/>
      </c>
      <c r="Q499" s="75" t="str">
        <f>IF(AND(B499='111'!$L$11,OR($N499=$Q$7,$O499=$Q$7)),"x","")</f>
        <v/>
      </c>
      <c r="R499" s="75" t="str">
        <f>IF(AND($N499=$Q$7,$B499&lt;'111'!$L$11),"x","")</f>
        <v/>
      </c>
      <c r="S499" s="75" t="str">
        <f>IF(AND($O499=$Q$7,$B499&lt;'111'!$L$11),"x","")</f>
        <v/>
      </c>
      <c r="T499" s="75" t="str">
        <f>IF(ISERROR(FIND('112'!$M$9,G499,1)),"",IF((AND(FIND('112'!$M$9,G499,1)&gt;=1,B499='112'!$K$9,OR($N499='112'!$I$6,$O499='112'!$I$6))),"x",""))</f>
        <v/>
      </c>
      <c r="U499" s="75" t="str">
        <f>IF(ISERROR(FIND('112'!$M$9,G499,1)),"",IF((AND(LEFT(G499,2)=LEFT('112'!$M$9,2),B499&lt;'112'!$K$9,$N499='112'!$I$6)),"x",""))</f>
        <v/>
      </c>
      <c r="V499" s="75" t="str">
        <f>IF(ISERROR(FIND('112'!$M$9,G499,1)),"",IF((AND(RIGHT(G499,2)=RIGHT('112'!$M$9,2),B499&lt;'112'!$K$9,$O499='112'!$I$6)),"x",""))</f>
        <v/>
      </c>
      <c r="W499" s="75" t="str">
        <f>IF(AND('341-CT'!$H$9=H499,OR(LEFT(N499,3)=$W$7,LEFT(O499,3)=$W$7)),"x","")</f>
        <v/>
      </c>
      <c r="X499" s="75" t="str">
        <f>IF(OR(TH!N499=TH!$X$7,O499=TH!$X$7),"x","")</f>
        <v/>
      </c>
      <c r="Y499" s="75" t="str">
        <f>IF(AND(OR(N499="131",O499="131"),H499='131-CT'!$H$9),"x","")</f>
        <v/>
      </c>
      <c r="Z499" s="75"/>
      <c r="AA499" s="75" t="str">
        <f>IF(AND(MONTH(E499)='IN-NX'!$J$5,'IN-NX'!$D$7=D499),"x","")</f>
        <v/>
      </c>
      <c r="AB499" s="75" t="str">
        <f>IF(AND(OR(LEFT(TH!N499,2)="15",LEFT(TH!O499,2)="15"),LEFT(TH!O499,3)&lt;&gt;"111",'152-CT'!$J$8=TH!F499),"x","")</f>
        <v/>
      </c>
      <c r="AC499" s="75" t="str">
        <f>IF(AND(OR(LEFT(TH!N499,2)="15",LEFT(TH!O499,2)="15"),TK!$E$7=TH!F499),"x","")</f>
        <v/>
      </c>
      <c r="AD499" s="75" t="str">
        <f>IF(AND(N499="1521",MONTH(C499)='BK-NL'!$M$11),"x","")</f>
        <v/>
      </c>
    </row>
    <row r="500" spans="1:31" ht="16.5" customHeight="1">
      <c r="A500" s="309" t="str">
        <f>IF(B500&lt;&gt;"",IF(AND(B500='IN-TC'!$S$4,OR(TH!N500="1111",TH!O500="1111")),TH!D500,""),"")</f>
        <v/>
      </c>
      <c r="B500" s="1130">
        <f t="shared" si="67"/>
        <v>6</v>
      </c>
      <c r="C500" s="929">
        <v>42916</v>
      </c>
      <c r="D500" s="929" t="s">
        <v>530</v>
      </c>
      <c r="E500" s="929">
        <v>42913</v>
      </c>
      <c r="F500" s="930" t="s">
        <v>810</v>
      </c>
      <c r="G500" s="931" t="s">
        <v>1660</v>
      </c>
      <c r="H500" s="296" t="s">
        <v>622</v>
      </c>
      <c r="I500" s="371"/>
      <c r="J500" s="932"/>
      <c r="K500" s="371"/>
      <c r="L500" s="377"/>
      <c r="M500" s="933">
        <v>5667240</v>
      </c>
      <c r="N500" s="934" t="s">
        <v>539</v>
      </c>
      <c r="O500" s="934" t="s">
        <v>8</v>
      </c>
      <c r="P500" s="75" t="str">
        <f>IF(AND('331-CT'!$E$7=TH!H500,OR(N500="331",O500="331")),"x","")</f>
        <v/>
      </c>
      <c r="Q500" s="75" t="str">
        <f>IF(AND(B500='111'!$L$11,OR($N500=$Q$7,$O500=$Q$7)),"x","")</f>
        <v/>
      </c>
      <c r="R500" s="75" t="str">
        <f>IF(AND($N500=$Q$7,$B500&lt;'111'!$L$11),"x","")</f>
        <v/>
      </c>
      <c r="S500" s="75" t="str">
        <f>IF(AND($O500=$Q$7,$B500&lt;'111'!$L$11),"x","")</f>
        <v/>
      </c>
      <c r="T500" s="75" t="str">
        <f>IF(ISERROR(FIND('112'!$M$9,G500,1)),"",IF((AND(FIND('112'!$M$9,G500,1)&gt;=1,B500='112'!$K$9,OR($N500='112'!$I$6,$O500='112'!$I$6))),"x",""))</f>
        <v/>
      </c>
      <c r="U500" s="75" t="str">
        <f>IF(ISERROR(FIND('112'!$M$9,G500,1)),"",IF((AND(LEFT(G500,2)=LEFT('112'!$M$9,2),B500&lt;'112'!$K$9,$N500='112'!$I$6)),"x",""))</f>
        <v/>
      </c>
      <c r="V500" s="75" t="str">
        <f>IF(ISERROR(FIND('112'!$M$9,G500,1)),"",IF((AND(RIGHT(G500,2)=RIGHT('112'!$M$9,2),B500&lt;'112'!$K$9,$O500='112'!$I$6)),"x",""))</f>
        <v/>
      </c>
      <c r="W500" s="75" t="str">
        <f>IF(AND('341-CT'!$H$9=H500,OR(LEFT(N500,3)=$W$7,LEFT(O500,3)=$W$7)),"x","")</f>
        <v/>
      </c>
      <c r="X500" s="75" t="str">
        <f>IF(OR(TH!N500=TH!$X$7,O500=TH!$X$7),"x","")</f>
        <v/>
      </c>
      <c r="Y500" s="75" t="str">
        <f>IF(AND(OR(N500="131",O500="131"),H500='131-CT'!$H$9),"x","")</f>
        <v/>
      </c>
      <c r="Z500" s="75"/>
      <c r="AA500" s="75" t="str">
        <f>IF(AND(MONTH(E500)='IN-NX'!$J$5,'IN-NX'!$D$7=D500),"x","")</f>
        <v/>
      </c>
      <c r="AB500" s="75" t="str">
        <f>IF(AND(OR(LEFT(TH!N500,2)="15",LEFT(TH!O500,2)="15"),LEFT(TH!O500,3)&lt;&gt;"111",'152-CT'!$J$8=TH!F500),"x","")</f>
        <v/>
      </c>
      <c r="AC500" s="75" t="str">
        <f>IF(AND(OR(LEFT(TH!N500,2)="15",LEFT(TH!O500,2)="15"),TK!$E$7=TH!F500),"x","")</f>
        <v/>
      </c>
      <c r="AD500" s="75" t="str">
        <f>IF(AND(N500="1521",MONTH(C500)='BK-NL'!$M$11),"x","")</f>
        <v/>
      </c>
    </row>
    <row r="501" spans="1:31" ht="16.5" customHeight="1">
      <c r="A501" s="309" t="str">
        <f>IF(B501&lt;&gt;"",IF(AND(B501='IN-TC'!$S$4,OR(TH!N501="1111",TH!O501="1111")),TH!D501,""),"")</f>
        <v/>
      </c>
      <c r="B501" s="1130">
        <f t="shared" si="67"/>
        <v>6</v>
      </c>
      <c r="C501" s="929">
        <v>42916</v>
      </c>
      <c r="D501" s="929" t="s">
        <v>530</v>
      </c>
      <c r="E501" s="929">
        <v>42913</v>
      </c>
      <c r="F501" s="930" t="s">
        <v>811</v>
      </c>
      <c r="G501" s="931" t="s">
        <v>1660</v>
      </c>
      <c r="H501" s="296" t="s">
        <v>622</v>
      </c>
      <c r="I501" s="371"/>
      <c r="J501" s="932"/>
      <c r="K501" s="371"/>
      <c r="L501" s="377"/>
      <c r="M501" s="933">
        <v>566724</v>
      </c>
      <c r="N501" s="934" t="s">
        <v>9</v>
      </c>
      <c r="O501" s="934" t="s">
        <v>8</v>
      </c>
      <c r="P501" s="75" t="str">
        <f>IF(AND('331-CT'!$E$7=TH!H501,OR(N501="331",O501="331")),"x","")</f>
        <v/>
      </c>
      <c r="Q501" s="75" t="str">
        <f>IF(AND(B501='111'!$L$11,OR($N501=$Q$7,$O501=$Q$7)),"x","")</f>
        <v/>
      </c>
      <c r="R501" s="75" t="str">
        <f>IF(AND($N501=$Q$7,$B501&lt;'111'!$L$11),"x","")</f>
        <v/>
      </c>
      <c r="S501" s="75" t="str">
        <f>IF(AND($O501=$Q$7,$B501&lt;'111'!$L$11),"x","")</f>
        <v/>
      </c>
      <c r="T501" s="75" t="str">
        <f>IF(ISERROR(FIND('112'!$M$9,G501,1)),"",IF((AND(FIND('112'!$M$9,G501,1)&gt;=1,B501='112'!$K$9,OR($N501='112'!$I$6,$O501='112'!$I$6))),"x",""))</f>
        <v/>
      </c>
      <c r="U501" s="75" t="str">
        <f>IF(ISERROR(FIND('112'!$M$9,G501,1)),"",IF((AND(LEFT(G501,2)=LEFT('112'!$M$9,2),B501&lt;'112'!$K$9,$N501='112'!$I$6)),"x",""))</f>
        <v/>
      </c>
      <c r="V501" s="75" t="str">
        <f>IF(ISERROR(FIND('112'!$M$9,G501,1)),"",IF((AND(RIGHT(G501,2)=RIGHT('112'!$M$9,2),B501&lt;'112'!$K$9,$O501='112'!$I$6)),"x",""))</f>
        <v/>
      </c>
      <c r="W501" s="75" t="str">
        <f>IF(AND('341-CT'!$H$9=H501,OR(LEFT(N501,3)=$W$7,LEFT(O501,3)=$W$7)),"x","")</f>
        <v/>
      </c>
      <c r="X501" s="75" t="str">
        <f>IF(OR(TH!N501=TH!$X$7,O501=TH!$X$7),"x","")</f>
        <v/>
      </c>
      <c r="Y501" s="75" t="str">
        <f>IF(AND(OR(N501="131",O501="131"),H501='131-CT'!$H$9),"x","")</f>
        <v/>
      </c>
      <c r="Z501" s="75"/>
      <c r="AA501" s="75" t="str">
        <f>IF(AND(MONTH(E501)='IN-NX'!$J$5,'IN-NX'!$D$7=D501),"x","")</f>
        <v/>
      </c>
      <c r="AB501" s="75" t="str">
        <f>IF(AND(OR(LEFT(TH!N501,2)="15",LEFT(TH!O501,2)="15"),LEFT(TH!O501,3)&lt;&gt;"111",'152-CT'!$J$8=TH!F501),"x","")</f>
        <v/>
      </c>
      <c r="AC501" s="75" t="str">
        <f>IF(AND(OR(LEFT(TH!N501,2)="15",LEFT(TH!O501,2)="15"),TK!$E$7=TH!F501),"x","")</f>
        <v/>
      </c>
      <c r="AD501" s="75" t="str">
        <f>IF(AND(N501="1521",MONTH(C501)='BK-NL'!$M$11),"x","")</f>
        <v/>
      </c>
    </row>
    <row r="502" spans="1:31" ht="16.5" customHeight="1">
      <c r="A502" s="309" t="str">
        <f>IF(B502&lt;&gt;"",IF(AND(B502='IN-TC'!$S$4,OR(TH!N502="1111",TH!O502="1111")),TH!D502,""),"")</f>
        <v/>
      </c>
      <c r="B502" s="1130">
        <f t="shared" si="67"/>
        <v>6</v>
      </c>
      <c r="C502" s="929">
        <v>42916</v>
      </c>
      <c r="D502" s="929" t="s">
        <v>530</v>
      </c>
      <c r="E502" s="929">
        <v>42793</v>
      </c>
      <c r="F502" s="930" t="s">
        <v>1663</v>
      </c>
      <c r="G502" s="931" t="s">
        <v>1665</v>
      </c>
      <c r="H502" s="296" t="s">
        <v>739</v>
      </c>
      <c r="I502" s="371"/>
      <c r="J502" s="932"/>
      <c r="K502" s="371"/>
      <c r="L502" s="377"/>
      <c r="M502" s="933">
        <v>8782000</v>
      </c>
      <c r="N502" s="934" t="s">
        <v>101</v>
      </c>
      <c r="O502" s="934" t="s">
        <v>8</v>
      </c>
      <c r="P502" s="75" t="str">
        <f>IF(AND('331-CT'!$E$7=TH!H502,OR(N502="331",O502="331")),"x","")</f>
        <v/>
      </c>
      <c r="Q502" s="75" t="str">
        <f>IF(AND(B502='111'!$L$11,OR($N502=$Q$7,$O502=$Q$7)),"x","")</f>
        <v/>
      </c>
      <c r="R502" s="75" t="str">
        <f>IF(AND($N502=$Q$7,$B502&lt;'111'!$L$11),"x","")</f>
        <v/>
      </c>
      <c r="S502" s="75" t="str">
        <f>IF(AND($O502=$Q$7,$B502&lt;'111'!$L$11),"x","")</f>
        <v/>
      </c>
      <c r="T502" s="75" t="str">
        <f>IF(ISERROR(FIND('112'!$M$9,G502,1)),"",IF((AND(FIND('112'!$M$9,G502,1)&gt;=1,B502='112'!$K$9,OR($N502='112'!$I$6,$O502='112'!$I$6))),"x",""))</f>
        <v/>
      </c>
      <c r="U502" s="75" t="str">
        <f>IF(ISERROR(FIND('112'!$M$9,G502,1)),"",IF((AND(LEFT(G502,2)=LEFT('112'!$M$9,2),B502&lt;'112'!$K$9,$N502='112'!$I$6)),"x",""))</f>
        <v/>
      </c>
      <c r="V502" s="75" t="str">
        <f>IF(ISERROR(FIND('112'!$M$9,G502,1)),"",IF((AND(RIGHT(G502,2)=RIGHT('112'!$M$9,2),B502&lt;'112'!$K$9,$O502='112'!$I$6)),"x",""))</f>
        <v/>
      </c>
      <c r="W502" s="75" t="str">
        <f>IF(AND('341-CT'!$H$9=H502,OR(LEFT(N502,3)=$W$7,LEFT(O502,3)=$W$7)),"x","")</f>
        <v/>
      </c>
      <c r="X502" s="75" t="str">
        <f>IF(OR(TH!N502=TH!$X$7,O502=TH!$X$7),"x","")</f>
        <v/>
      </c>
      <c r="Y502" s="75" t="str">
        <f>IF(AND(OR(N502="131",O502="131"),H502='131-CT'!$H$9),"x","")</f>
        <v/>
      </c>
      <c r="Z502" s="75"/>
      <c r="AA502" s="75" t="str">
        <f>IF(AND(MONTH(E502)='IN-NX'!$J$5,'IN-NX'!$D$7=D502),"x","")</f>
        <v/>
      </c>
      <c r="AB502" s="75" t="str">
        <f>IF(AND(OR(LEFT(TH!N502,2)="15",LEFT(TH!O502,2)="15"),LEFT(TH!O502,3)&lt;&gt;"111",'152-CT'!$J$8=TH!F502),"x","")</f>
        <v/>
      </c>
      <c r="AC502" s="75" t="str">
        <f>IF(AND(OR(LEFT(TH!N502,2)="15",LEFT(TH!O502,2)="15"),TK!$E$7=TH!F502),"x","")</f>
        <v/>
      </c>
      <c r="AD502" s="75" t="str">
        <f>IF(AND(N502="1521",MONTH(C502)='BK-NL'!$M$11),"x","")</f>
        <v/>
      </c>
    </row>
    <row r="503" spans="1:31" ht="16.5" customHeight="1">
      <c r="A503" s="309" t="str">
        <f>IF(B503&lt;&gt;"",IF(AND(B503='IN-TC'!$S$4,OR(TH!N503="1111",TH!O503="1111")),TH!D503,""),"")</f>
        <v/>
      </c>
      <c r="B503" s="1130">
        <f t="shared" si="67"/>
        <v>6</v>
      </c>
      <c r="C503" s="929">
        <v>42916</v>
      </c>
      <c r="D503" s="929" t="s">
        <v>530</v>
      </c>
      <c r="E503" s="929">
        <v>42793</v>
      </c>
      <c r="F503" s="930" t="s">
        <v>1664</v>
      </c>
      <c r="G503" s="931" t="s">
        <v>1665</v>
      </c>
      <c r="H503" s="296" t="s">
        <v>739</v>
      </c>
      <c r="I503" s="371"/>
      <c r="J503" s="932"/>
      <c r="K503" s="371"/>
      <c r="L503" s="377"/>
      <c r="M503" s="933">
        <v>570200</v>
      </c>
      <c r="N503" s="934" t="s">
        <v>9</v>
      </c>
      <c r="O503" s="934" t="s">
        <v>8</v>
      </c>
      <c r="P503" s="75" t="str">
        <f>IF(AND('331-CT'!$E$7=TH!H503,OR(N503="331",O503="331")),"x","")</f>
        <v/>
      </c>
      <c r="Q503" s="75" t="str">
        <f>IF(AND(B503='111'!$L$11,OR($N503=$Q$7,$O503=$Q$7)),"x","")</f>
        <v/>
      </c>
      <c r="R503" s="75" t="str">
        <f>IF(AND($N503=$Q$7,$B503&lt;'111'!$L$11),"x","")</f>
        <v/>
      </c>
      <c r="S503" s="75" t="str">
        <f>IF(AND($O503=$Q$7,$B503&lt;'111'!$L$11),"x","")</f>
        <v/>
      </c>
      <c r="T503" s="75" t="str">
        <f>IF(ISERROR(FIND('112'!$M$9,G503,1)),"",IF((AND(FIND('112'!$M$9,G503,1)&gt;=1,B503='112'!$K$9,OR($N503='112'!$I$6,$O503='112'!$I$6))),"x",""))</f>
        <v/>
      </c>
      <c r="U503" s="75" t="str">
        <f>IF(ISERROR(FIND('112'!$M$9,G503,1)),"",IF((AND(LEFT(G503,2)=LEFT('112'!$M$9,2),B503&lt;'112'!$K$9,$N503='112'!$I$6)),"x",""))</f>
        <v/>
      </c>
      <c r="V503" s="75" t="str">
        <f>IF(ISERROR(FIND('112'!$M$9,G503,1)),"",IF((AND(RIGHT(G503,2)=RIGHT('112'!$M$9,2),B503&lt;'112'!$K$9,$O503='112'!$I$6)),"x",""))</f>
        <v/>
      </c>
      <c r="W503" s="75" t="str">
        <f>IF(AND('341-CT'!$H$9=H503,OR(LEFT(N503,3)=$W$7,LEFT(O503,3)=$W$7)),"x","")</f>
        <v/>
      </c>
      <c r="X503" s="75" t="str">
        <f>IF(OR(TH!N503=TH!$X$7,O503=TH!$X$7),"x","")</f>
        <v/>
      </c>
      <c r="Y503" s="75" t="str">
        <f>IF(AND(OR(N503="131",O503="131"),H503='131-CT'!$H$9),"x","")</f>
        <v/>
      </c>
      <c r="Z503" s="75"/>
      <c r="AA503" s="75" t="str">
        <f>IF(AND(MONTH(E503)='IN-NX'!$J$5,'IN-NX'!$D$7=D503),"x","")</f>
        <v/>
      </c>
      <c r="AB503" s="75" t="str">
        <f>IF(AND(OR(LEFT(TH!N503,2)="15",LEFT(TH!O503,2)="15"),LEFT(TH!O503,3)&lt;&gt;"111",'152-CT'!$J$8=TH!F503),"x","")</f>
        <v/>
      </c>
      <c r="AC503" s="75" t="str">
        <f>IF(AND(OR(LEFT(TH!N503,2)="15",LEFT(TH!O503,2)="15"),TK!$E$7=TH!F503),"x","")</f>
        <v/>
      </c>
      <c r="AD503" s="75" t="str">
        <f>IF(AND(N503="1521",MONTH(C503)='BK-NL'!$M$11),"x","")</f>
        <v/>
      </c>
    </row>
    <row r="504" spans="1:31" ht="16.5" customHeight="1">
      <c r="A504" s="309" t="str">
        <f>IF(B504&lt;&gt;"",IF(AND(B504='IN-TC'!$S$4,OR(TH!N504="1111",TH!O504="1111")),TH!D504,""),"")</f>
        <v/>
      </c>
      <c r="B504" s="1130">
        <f t="shared" si="67"/>
        <v>6</v>
      </c>
      <c r="C504" s="929">
        <v>42916</v>
      </c>
      <c r="D504" s="929" t="s">
        <v>530</v>
      </c>
      <c r="E504" s="929">
        <v>42825</v>
      </c>
      <c r="F504" s="930" t="s">
        <v>1663</v>
      </c>
      <c r="G504" s="931" t="s">
        <v>1666</v>
      </c>
      <c r="H504" s="296" t="s">
        <v>739</v>
      </c>
      <c r="I504" s="371"/>
      <c r="J504" s="932"/>
      <c r="K504" s="371"/>
      <c r="L504" s="377"/>
      <c r="M504" s="933">
        <v>9304660</v>
      </c>
      <c r="N504" s="934" t="s">
        <v>101</v>
      </c>
      <c r="O504" s="934" t="s">
        <v>8</v>
      </c>
      <c r="P504" s="75" t="str">
        <f>IF(AND('331-CT'!$E$7=TH!H504,OR(N504="331",O504="331")),"x","")</f>
        <v/>
      </c>
      <c r="Q504" s="75" t="str">
        <f>IF(AND(B504='111'!$L$11,OR($N504=$Q$7,$O504=$Q$7)),"x","")</f>
        <v/>
      </c>
      <c r="R504" s="75" t="str">
        <f>IF(AND($N504=$Q$7,$B504&lt;'111'!$L$11),"x","")</f>
        <v/>
      </c>
      <c r="S504" s="75" t="str">
        <f>IF(AND($O504=$Q$7,$B504&lt;'111'!$L$11),"x","")</f>
        <v/>
      </c>
      <c r="T504" s="75" t="str">
        <f>IF(ISERROR(FIND('112'!$M$9,G504,1)),"",IF((AND(FIND('112'!$M$9,G504,1)&gt;=1,B504='112'!$K$9,OR($N504='112'!$I$6,$O504='112'!$I$6))),"x",""))</f>
        <v/>
      </c>
      <c r="U504" s="75" t="str">
        <f>IF(ISERROR(FIND('112'!$M$9,G504,1)),"",IF((AND(LEFT(G504,2)=LEFT('112'!$M$9,2),B504&lt;'112'!$K$9,$N504='112'!$I$6)),"x",""))</f>
        <v/>
      </c>
      <c r="V504" s="75" t="str">
        <f>IF(ISERROR(FIND('112'!$M$9,G504,1)),"",IF((AND(RIGHT(G504,2)=RIGHT('112'!$M$9,2),B504&lt;'112'!$K$9,$O504='112'!$I$6)),"x",""))</f>
        <v/>
      </c>
      <c r="W504" s="75" t="str">
        <f>IF(AND('341-CT'!$H$9=H504,OR(LEFT(N504,3)=$W$7,LEFT(O504,3)=$W$7)),"x","")</f>
        <v/>
      </c>
      <c r="X504" s="75" t="str">
        <f>IF(OR(TH!N504=TH!$X$7,O504=TH!$X$7),"x","")</f>
        <v/>
      </c>
      <c r="Y504" s="75" t="str">
        <f>IF(AND(OR(N504="131",O504="131"),H504='131-CT'!$H$9),"x","")</f>
        <v/>
      </c>
      <c r="Z504" s="75"/>
      <c r="AA504" s="75" t="str">
        <f>IF(AND(MONTH(E504)='IN-NX'!$J$5,'IN-NX'!$D$7=D504),"x","")</f>
        <v/>
      </c>
      <c r="AB504" s="75" t="str">
        <f>IF(AND(OR(LEFT(TH!N504,2)="15",LEFT(TH!O504,2)="15"),LEFT(TH!O504,3)&lt;&gt;"111",'152-CT'!$J$8=TH!F504),"x","")</f>
        <v/>
      </c>
      <c r="AC504" s="75" t="str">
        <f>IF(AND(OR(LEFT(TH!N504,2)="15",LEFT(TH!O504,2)="15"),TK!$E$7=TH!F504),"x","")</f>
        <v/>
      </c>
      <c r="AD504" s="75" t="str">
        <f>IF(AND(N504="1521",MONTH(C504)='BK-NL'!$M$11),"x","")</f>
        <v/>
      </c>
    </row>
    <row r="505" spans="1:31" ht="16.5" customHeight="1">
      <c r="A505" s="309" t="str">
        <f>IF(B505&lt;&gt;"",IF(AND(B505='IN-TC'!$S$4,OR(TH!N505="1111",TH!O505="1111")),TH!D505,""),"")</f>
        <v/>
      </c>
      <c r="B505" s="1130">
        <f t="shared" si="67"/>
        <v>6</v>
      </c>
      <c r="C505" s="929">
        <v>42916</v>
      </c>
      <c r="D505" s="929" t="s">
        <v>530</v>
      </c>
      <c r="E505" s="929">
        <v>42825</v>
      </c>
      <c r="F505" s="930" t="s">
        <v>1664</v>
      </c>
      <c r="G505" s="931" t="s">
        <v>1666</v>
      </c>
      <c r="H505" s="296" t="s">
        <v>739</v>
      </c>
      <c r="I505" s="371"/>
      <c r="J505" s="932"/>
      <c r="K505" s="371"/>
      <c r="L505" s="377"/>
      <c r="M505" s="933">
        <v>596275</v>
      </c>
      <c r="N505" s="934" t="s">
        <v>9</v>
      </c>
      <c r="O505" s="934" t="s">
        <v>8</v>
      </c>
      <c r="P505" s="75" t="str">
        <f>IF(AND('331-CT'!$E$7=TH!H505,OR(N505="331",O505="331")),"x","")</f>
        <v/>
      </c>
      <c r="Q505" s="75" t="str">
        <f>IF(AND(B505='111'!$L$11,OR($N505=$Q$7,$O505=$Q$7)),"x","")</f>
        <v/>
      </c>
      <c r="R505" s="75" t="str">
        <f>IF(AND($N505=$Q$7,$B505&lt;'111'!$L$11),"x","")</f>
        <v/>
      </c>
      <c r="S505" s="75" t="str">
        <f>IF(AND($O505=$Q$7,$B505&lt;'111'!$L$11),"x","")</f>
        <v/>
      </c>
      <c r="T505" s="75" t="str">
        <f>IF(ISERROR(FIND('112'!$M$9,G505,1)),"",IF((AND(FIND('112'!$M$9,G505,1)&gt;=1,B505='112'!$K$9,OR($N505='112'!$I$6,$O505='112'!$I$6))),"x",""))</f>
        <v/>
      </c>
      <c r="U505" s="75" t="str">
        <f>IF(ISERROR(FIND('112'!$M$9,G505,1)),"",IF((AND(LEFT(G505,2)=LEFT('112'!$M$9,2),B505&lt;'112'!$K$9,$N505='112'!$I$6)),"x",""))</f>
        <v/>
      </c>
      <c r="V505" s="75" t="str">
        <f>IF(ISERROR(FIND('112'!$M$9,G505,1)),"",IF((AND(RIGHT(G505,2)=RIGHT('112'!$M$9,2),B505&lt;'112'!$K$9,$O505='112'!$I$6)),"x",""))</f>
        <v/>
      </c>
      <c r="W505" s="75" t="str">
        <f>IF(AND('341-CT'!$H$9=H505,OR(LEFT(N505,3)=$W$7,LEFT(O505,3)=$W$7)),"x","")</f>
        <v/>
      </c>
      <c r="X505" s="75" t="str">
        <f>IF(OR(TH!N505=TH!$X$7,O505=TH!$X$7),"x","")</f>
        <v/>
      </c>
      <c r="Y505" s="75" t="str">
        <f>IF(AND(OR(N505="131",O505="131"),H505='131-CT'!$H$9),"x","")</f>
        <v/>
      </c>
      <c r="Z505" s="75"/>
      <c r="AA505" s="75" t="str">
        <f>IF(AND(MONTH(E505)='IN-NX'!$J$5,'IN-NX'!$D$7=D505),"x","")</f>
        <v/>
      </c>
      <c r="AB505" s="75" t="str">
        <f>IF(AND(OR(LEFT(TH!N505,2)="15",LEFT(TH!O505,2)="15"),LEFT(TH!O505,3)&lt;&gt;"111",'152-CT'!$J$8=TH!F505),"x","")</f>
        <v/>
      </c>
      <c r="AC505" s="75" t="str">
        <f>IF(AND(OR(LEFT(TH!N505,2)="15",LEFT(TH!O505,2)="15"),TK!$E$7=TH!F505),"x","")</f>
        <v/>
      </c>
      <c r="AD505" s="75" t="str">
        <f>IF(AND(N505="1521",MONTH(C505)='BK-NL'!$M$11),"x","")</f>
        <v/>
      </c>
    </row>
    <row r="506" spans="1:31" ht="16.5" customHeight="1">
      <c r="A506" s="309" t="str">
        <f>IF(B506&lt;&gt;"",IF(AND(B506='IN-TC'!$S$4,OR(TH!N506="1111",TH!O506="1111")),TH!D506,""),"")</f>
        <v/>
      </c>
      <c r="B506" s="1130">
        <f t="shared" si="67"/>
        <v>6</v>
      </c>
      <c r="C506" s="929">
        <v>42916</v>
      </c>
      <c r="D506" s="929" t="s">
        <v>530</v>
      </c>
      <c r="E506" s="929">
        <v>42854</v>
      </c>
      <c r="F506" s="930" t="s">
        <v>1663</v>
      </c>
      <c r="G506" s="931" t="s">
        <v>1667</v>
      </c>
      <c r="H506" s="296" t="s">
        <v>739</v>
      </c>
      <c r="I506" s="371"/>
      <c r="J506" s="932"/>
      <c r="K506" s="371"/>
      <c r="L506" s="377"/>
      <c r="M506" s="933">
        <v>9752261</v>
      </c>
      <c r="N506" s="934" t="s">
        <v>101</v>
      </c>
      <c r="O506" s="934" t="s">
        <v>8</v>
      </c>
      <c r="P506" s="75" t="str">
        <f>IF(AND('331-CT'!$E$7=TH!H506,OR(N506="331",O506="331")),"x","")</f>
        <v/>
      </c>
      <c r="Q506" s="75" t="str">
        <f>IF(AND(B506='111'!$L$11,OR($N506=$Q$7,$O506=$Q$7)),"x","")</f>
        <v/>
      </c>
      <c r="R506" s="75" t="str">
        <f>IF(AND($N506=$Q$7,$B506&lt;'111'!$L$11),"x","")</f>
        <v/>
      </c>
      <c r="S506" s="75" t="str">
        <f>IF(AND($O506=$Q$7,$B506&lt;'111'!$L$11),"x","")</f>
        <v/>
      </c>
      <c r="T506" s="75" t="str">
        <f>IF(ISERROR(FIND('112'!$M$9,G506,1)),"",IF((AND(FIND('112'!$M$9,G506,1)&gt;=1,B506='112'!$K$9,OR($N506='112'!$I$6,$O506='112'!$I$6))),"x",""))</f>
        <v/>
      </c>
      <c r="U506" s="75" t="str">
        <f>IF(ISERROR(FIND('112'!$M$9,G506,1)),"",IF((AND(LEFT(G506,2)=LEFT('112'!$M$9,2),B506&lt;'112'!$K$9,$N506='112'!$I$6)),"x",""))</f>
        <v/>
      </c>
      <c r="V506" s="75" t="str">
        <f>IF(ISERROR(FIND('112'!$M$9,G506,1)),"",IF((AND(RIGHT(G506,2)=RIGHT('112'!$M$9,2),B506&lt;'112'!$K$9,$O506='112'!$I$6)),"x",""))</f>
        <v/>
      </c>
      <c r="W506" s="75" t="str">
        <f>IF(AND('341-CT'!$H$9=H506,OR(LEFT(N506,3)=$W$7,LEFT(O506,3)=$W$7)),"x","")</f>
        <v/>
      </c>
      <c r="X506" s="75" t="str">
        <f>IF(OR(TH!N506=TH!$X$7,O506=TH!$X$7),"x","")</f>
        <v/>
      </c>
      <c r="Y506" s="75" t="str">
        <f>IF(AND(OR(N506="131",O506="131"),H506='131-CT'!$H$9),"x","")</f>
        <v/>
      </c>
      <c r="Z506" s="75"/>
      <c r="AA506" s="75" t="str">
        <f>IF(AND(MONTH(E506)='IN-NX'!$J$5,'IN-NX'!$D$7=D506),"x","")</f>
        <v/>
      </c>
      <c r="AB506" s="75" t="str">
        <f>IF(AND(OR(LEFT(TH!N506,2)="15",LEFT(TH!O506,2)="15"),LEFT(TH!O506,3)&lt;&gt;"111",'152-CT'!$J$8=TH!F506),"x","")</f>
        <v/>
      </c>
      <c r="AC506" s="75" t="str">
        <f>IF(AND(OR(LEFT(TH!N506,2)="15",LEFT(TH!O506,2)="15"),TK!$E$7=TH!F506),"x","")</f>
        <v/>
      </c>
      <c r="AD506" s="75" t="str">
        <f>IF(AND(N506="1521",MONTH(C506)='BK-NL'!$M$11),"x","")</f>
        <v/>
      </c>
    </row>
    <row r="507" spans="1:31" ht="16.5" customHeight="1">
      <c r="A507" s="309" t="str">
        <f>IF(B507&lt;&gt;"",IF(AND(B507='IN-TC'!$S$4,OR(TH!N507="1111",TH!O507="1111")),TH!D507,""),"")</f>
        <v/>
      </c>
      <c r="B507" s="1130">
        <f t="shared" si="67"/>
        <v>6</v>
      </c>
      <c r="C507" s="929">
        <v>42916</v>
      </c>
      <c r="D507" s="929" t="s">
        <v>530</v>
      </c>
      <c r="E507" s="929">
        <v>42854</v>
      </c>
      <c r="F507" s="930" t="s">
        <v>1664</v>
      </c>
      <c r="G507" s="931" t="s">
        <v>1667</v>
      </c>
      <c r="H507" s="296" t="s">
        <v>739</v>
      </c>
      <c r="I507" s="371"/>
      <c r="J507" s="932"/>
      <c r="K507" s="371"/>
      <c r="L507" s="377"/>
      <c r="M507" s="933">
        <v>618512</v>
      </c>
      <c r="N507" s="934" t="s">
        <v>9</v>
      </c>
      <c r="O507" s="934" t="s">
        <v>8</v>
      </c>
      <c r="P507" s="75" t="str">
        <f>IF(AND('331-CT'!$E$7=TH!H507,OR(N507="331",O507="331")),"x","")</f>
        <v/>
      </c>
      <c r="Q507" s="75" t="str">
        <f>IF(AND(B507='111'!$L$11,OR($N507=$Q$7,$O507=$Q$7)),"x","")</f>
        <v/>
      </c>
      <c r="R507" s="75" t="str">
        <f>IF(AND($N507=$Q$7,$B507&lt;'111'!$L$11),"x","")</f>
        <v/>
      </c>
      <c r="S507" s="75" t="str">
        <f>IF(AND($O507=$Q$7,$B507&lt;'111'!$L$11),"x","")</f>
        <v/>
      </c>
      <c r="T507" s="75" t="str">
        <f>IF(ISERROR(FIND('112'!$M$9,G507,1)),"",IF((AND(FIND('112'!$M$9,G507,1)&gt;=1,B507='112'!$K$9,OR($N507='112'!$I$6,$O507='112'!$I$6))),"x",""))</f>
        <v/>
      </c>
      <c r="U507" s="75" t="str">
        <f>IF(ISERROR(FIND('112'!$M$9,G507,1)),"",IF((AND(LEFT(G507,2)=LEFT('112'!$M$9,2),B507&lt;'112'!$K$9,$N507='112'!$I$6)),"x",""))</f>
        <v/>
      </c>
      <c r="V507" s="75" t="str">
        <f>IF(ISERROR(FIND('112'!$M$9,G507,1)),"",IF((AND(RIGHT(G507,2)=RIGHT('112'!$M$9,2),B507&lt;'112'!$K$9,$O507='112'!$I$6)),"x",""))</f>
        <v/>
      </c>
      <c r="W507" s="75" t="str">
        <f>IF(AND('341-CT'!$H$9=H507,OR(LEFT(N507,3)=$W$7,LEFT(O507,3)=$W$7)),"x","")</f>
        <v/>
      </c>
      <c r="X507" s="75" t="str">
        <f>IF(OR(TH!N507=TH!$X$7,O507=TH!$X$7),"x","")</f>
        <v/>
      </c>
      <c r="Y507" s="75" t="str">
        <f>IF(AND(OR(N507="131",O507="131"),H507='131-CT'!$H$9),"x","")</f>
        <v/>
      </c>
      <c r="Z507" s="75"/>
      <c r="AA507" s="75" t="str">
        <f>IF(AND(MONTH(E507)='IN-NX'!$J$5,'IN-NX'!$D$7=D507),"x","")</f>
        <v/>
      </c>
      <c r="AB507" s="75" t="str">
        <f>IF(AND(OR(LEFT(TH!N507,2)="15",LEFT(TH!O507,2)="15"),LEFT(TH!O507,3)&lt;&gt;"111",'152-CT'!$J$8=TH!F507),"x","")</f>
        <v/>
      </c>
      <c r="AC507" s="75" t="str">
        <f>IF(AND(OR(LEFT(TH!N507,2)="15",LEFT(TH!O507,2)="15"),TK!$E$7=TH!F507),"x","")</f>
        <v/>
      </c>
      <c r="AD507" s="75" t="str">
        <f>IF(AND(N507="1521",MONTH(C507)='BK-NL'!$M$11),"x","")</f>
        <v/>
      </c>
    </row>
    <row r="508" spans="1:31" ht="16.5" customHeight="1">
      <c r="A508" s="309" t="str">
        <f>IF(B508&lt;&gt;"",IF(AND(B508='IN-TC'!$S$4,OR(TH!N508="1111",TH!O508="1111")),TH!D508,""),"")</f>
        <v/>
      </c>
      <c r="B508" s="1130">
        <f t="shared" si="67"/>
        <v>6</v>
      </c>
      <c r="C508" s="929">
        <v>42900</v>
      </c>
      <c r="D508" s="929" t="s">
        <v>530</v>
      </c>
      <c r="E508" s="929">
        <v>42900</v>
      </c>
      <c r="F508" s="930" t="s">
        <v>994</v>
      </c>
      <c r="G508" s="931" t="s">
        <v>1744</v>
      </c>
      <c r="H508" s="735" t="s">
        <v>623</v>
      </c>
      <c r="I508" s="371">
        <v>18750</v>
      </c>
      <c r="J508" s="932">
        <v>10000</v>
      </c>
      <c r="K508" s="371"/>
      <c r="L508" s="377"/>
      <c r="M508" s="933">
        <f t="shared" ref="M508" si="68">ROUND(I508*J508,0)</f>
        <v>187500000</v>
      </c>
      <c r="N508" s="934" t="s">
        <v>272</v>
      </c>
      <c r="O508" s="934" t="s">
        <v>8</v>
      </c>
      <c r="P508" s="75" t="str">
        <f>IF(AND('331-CT'!$E$7=TH!H508,OR(N508="331",O508="331")),"x","")</f>
        <v/>
      </c>
      <c r="Q508" s="75" t="str">
        <f>IF(AND(B508='111'!$L$11,OR($N508=$Q$7,$O508=$Q$7)),"x","")</f>
        <v/>
      </c>
      <c r="R508" s="75" t="str">
        <f>IF(AND($N508=$Q$7,$B508&lt;'111'!$L$11),"x","")</f>
        <v/>
      </c>
      <c r="S508" s="75" t="str">
        <f>IF(AND($O508=$Q$7,$B508&lt;'111'!$L$11),"x","")</f>
        <v/>
      </c>
      <c r="T508" s="75" t="str">
        <f>IF(ISERROR(FIND('112'!$M$9,G508,1)),"",IF((AND(FIND('112'!$M$9,G508,1)&gt;=1,B508='112'!$K$9,OR($N508='112'!$I$6,$O508='112'!$I$6))),"x",""))</f>
        <v/>
      </c>
      <c r="U508" s="75" t="str">
        <f>IF(ISERROR(FIND('112'!$M$9,G508,1)),"",IF((AND(LEFT(G508,2)=LEFT('112'!$M$9,2),B508&lt;'112'!$K$9,$N508='112'!$I$6)),"x",""))</f>
        <v/>
      </c>
      <c r="V508" s="75" t="str">
        <f>IF(ISERROR(FIND('112'!$M$9,G508,1)),"",IF((AND(RIGHT(G508,2)=RIGHT('112'!$M$9,2),B508&lt;'112'!$K$9,$O508='112'!$I$6)),"x",""))</f>
        <v/>
      </c>
      <c r="W508" s="75" t="str">
        <f>IF(AND('341-CT'!$H$9=H508,OR(LEFT(N508,3)=$W$7,LEFT(O508,3)=$W$7)),"x","")</f>
        <v/>
      </c>
      <c r="X508" s="75" t="str">
        <f>IF(OR(TH!N508=TH!$X$7,O508=TH!$X$7),"x","")</f>
        <v/>
      </c>
      <c r="Y508" s="75" t="str">
        <f>IF(AND(OR(N508="131",O508="131"),H508='131-CT'!$H$9),"x","")</f>
        <v/>
      </c>
      <c r="Z508" s="75"/>
      <c r="AA508" s="75" t="str">
        <f>IF(AND(MONTH(E508)='IN-NX'!$J$5,'IN-NX'!$D$7=D508),"x","")</f>
        <v/>
      </c>
      <c r="AB508" s="75" t="str">
        <f>IF(AND(OR(LEFT(TH!N508,2)="15",LEFT(TH!O508,2)="15"),LEFT(TH!O508,3)&lt;&gt;"111",'152-CT'!$J$8=TH!F508),"x","")</f>
        <v/>
      </c>
      <c r="AC508" s="75" t="str">
        <f>IF(AND(OR(LEFT(TH!N508,2)="15",LEFT(TH!O508,2)="15"),TK!$E$7=TH!F508),"x","")</f>
        <v/>
      </c>
      <c r="AD508" s="75" t="str">
        <f>IF(AND(N508="1521",MONTH(C508)='BK-NL'!$M$11),"x","")</f>
        <v/>
      </c>
      <c r="AE508">
        <v>7</v>
      </c>
    </row>
    <row r="509" spans="1:31" ht="16.5" customHeight="1">
      <c r="A509" s="309" t="str">
        <f>IF(B509&lt;&gt;"",IF(AND(B509='IN-TC'!$S$4,OR(TH!N509="1111",TH!O509="1111")),TH!D509,""),"")</f>
        <v/>
      </c>
      <c r="B509" s="1130">
        <f t="shared" si="67"/>
        <v>6</v>
      </c>
      <c r="C509" s="929">
        <v>42900</v>
      </c>
      <c r="D509" s="929" t="s">
        <v>530</v>
      </c>
      <c r="E509" s="929">
        <v>42900</v>
      </c>
      <c r="F509" s="930" t="s">
        <v>995</v>
      </c>
      <c r="G509" s="931" t="s">
        <v>1744</v>
      </c>
      <c r="H509" s="735" t="s">
        <v>623</v>
      </c>
      <c r="I509" s="371"/>
      <c r="J509" s="932"/>
      <c r="K509" s="371"/>
      <c r="L509" s="377"/>
      <c r="M509" s="933">
        <v>18750000</v>
      </c>
      <c r="N509" s="934" t="s">
        <v>9</v>
      </c>
      <c r="O509" s="934" t="s">
        <v>8</v>
      </c>
      <c r="P509" s="75" t="str">
        <f>IF(AND('331-CT'!$E$7=TH!H509,OR(N509="331",O509="331")),"x","")</f>
        <v/>
      </c>
      <c r="Q509" s="75" t="str">
        <f>IF(AND(B509='111'!$L$11,OR($N509=$Q$7,$O509=$Q$7)),"x","")</f>
        <v/>
      </c>
      <c r="R509" s="75" t="str">
        <f>IF(AND($N509=$Q$7,$B509&lt;'111'!$L$11),"x","")</f>
        <v/>
      </c>
      <c r="S509" s="75" t="str">
        <f>IF(AND($O509=$Q$7,$B509&lt;'111'!$L$11),"x","")</f>
        <v/>
      </c>
      <c r="T509" s="75" t="str">
        <f>IF(ISERROR(FIND('112'!$M$9,G509,1)),"",IF((AND(FIND('112'!$M$9,G509,1)&gt;=1,B509='112'!$K$9,OR($N509='112'!$I$6,$O509='112'!$I$6))),"x",""))</f>
        <v/>
      </c>
      <c r="U509" s="75" t="str">
        <f>IF(ISERROR(FIND('112'!$M$9,G509,1)),"",IF((AND(LEFT(G509,2)=LEFT('112'!$M$9,2),B509&lt;'112'!$K$9,$N509='112'!$I$6)),"x",""))</f>
        <v/>
      </c>
      <c r="V509" s="75" t="str">
        <f>IF(ISERROR(FIND('112'!$M$9,G509,1)),"",IF((AND(RIGHT(G509,2)=RIGHT('112'!$M$9,2),B509&lt;'112'!$K$9,$O509='112'!$I$6)),"x",""))</f>
        <v/>
      </c>
      <c r="W509" s="75" t="str">
        <f>IF(AND('341-CT'!$H$9=H509,OR(LEFT(N509,3)=$W$7,LEFT(O509,3)=$W$7)),"x","")</f>
        <v/>
      </c>
      <c r="X509" s="75" t="str">
        <f>IF(OR(TH!N509=TH!$X$7,O509=TH!$X$7),"x","")</f>
        <v/>
      </c>
      <c r="Y509" s="75" t="str">
        <f>IF(AND(OR(N509="131",O509="131"),H509='131-CT'!$H$9),"x","")</f>
        <v/>
      </c>
      <c r="Z509" s="75"/>
      <c r="AA509" s="75" t="str">
        <f>IF(AND(MONTH(E509)='IN-NX'!$J$5,'IN-NX'!$D$7=D509),"x","")</f>
        <v/>
      </c>
      <c r="AB509" s="75" t="str">
        <f>IF(AND(OR(LEFT(TH!N509,2)="15",LEFT(TH!O509,2)="15"),LEFT(TH!O509,3)&lt;&gt;"111",'152-CT'!$J$8=TH!F509),"x","")</f>
        <v/>
      </c>
      <c r="AC509" s="75" t="str">
        <f>IF(AND(OR(LEFT(TH!N509,2)="15",LEFT(TH!O509,2)="15"),TK!$E$7=TH!F509),"x","")</f>
        <v/>
      </c>
      <c r="AD509" s="75" t="str">
        <f>IF(AND(N509="1521",MONTH(C509)='BK-NL'!$M$11),"x","")</f>
        <v/>
      </c>
      <c r="AE509">
        <v>7</v>
      </c>
    </row>
    <row r="510" spans="1:31" ht="16.5" customHeight="1">
      <c r="A510" s="309" t="str">
        <f>IF(B510&lt;&gt;"",IF(AND(B510='IN-TC'!$S$4,OR(TH!N510="1111",TH!O510="1111")),TH!D510,""),"")</f>
        <v/>
      </c>
      <c r="B510" s="1130">
        <f t="shared" si="67"/>
        <v>6</v>
      </c>
      <c r="C510" s="929">
        <v>42916</v>
      </c>
      <c r="D510" s="929" t="s">
        <v>530</v>
      </c>
      <c r="E510" s="929">
        <v>42916</v>
      </c>
      <c r="F510" s="930" t="s">
        <v>1322</v>
      </c>
      <c r="G510" s="931" t="s">
        <v>2121</v>
      </c>
      <c r="H510" s="735" t="s">
        <v>739</v>
      </c>
      <c r="I510" s="371"/>
      <c r="J510" s="932"/>
      <c r="K510" s="371"/>
      <c r="L510" s="377"/>
      <c r="M510" s="933">
        <v>9878550</v>
      </c>
      <c r="N510" s="934" t="s">
        <v>539</v>
      </c>
      <c r="O510" s="934" t="s">
        <v>8</v>
      </c>
      <c r="P510" s="75" t="str">
        <f>IF(AND('331-CT'!$E$7=TH!H510,OR(N510="331",O510="331")),"x","")</f>
        <v/>
      </c>
      <c r="Q510" s="75" t="str">
        <f>IF(AND(B510='111'!$L$11,OR($N510=$Q$7,$O510=$Q$7)),"x","")</f>
        <v/>
      </c>
      <c r="R510" s="75" t="str">
        <f>IF(AND($N510=$Q$7,$B510&lt;'111'!$L$11),"x","")</f>
        <v/>
      </c>
      <c r="S510" s="75" t="str">
        <f>IF(AND($O510=$Q$7,$B510&lt;'111'!$L$11),"x","")</f>
        <v/>
      </c>
      <c r="T510" s="75" t="str">
        <f>IF(ISERROR(FIND('112'!$M$9,G510,1)),"",IF((AND(FIND('112'!$M$9,G510,1)&gt;=1,B510='112'!$K$9,OR($N510='112'!$I$6,$O510='112'!$I$6))),"x",""))</f>
        <v/>
      </c>
      <c r="U510" s="75" t="str">
        <f>IF(ISERROR(FIND('112'!$M$9,G510,1)),"",IF((AND(LEFT(G510,2)=LEFT('112'!$M$9,2),B510&lt;'112'!$K$9,$N510='112'!$I$6)),"x",""))</f>
        <v/>
      </c>
      <c r="V510" s="75" t="str">
        <f>IF(ISERROR(FIND('112'!$M$9,G510,1)),"",IF((AND(RIGHT(G510,2)=RIGHT('112'!$M$9,2),B510&lt;'112'!$K$9,$O510='112'!$I$6)),"x",""))</f>
        <v/>
      </c>
      <c r="W510" s="75" t="str">
        <f>IF(AND('341-CT'!$H$9=H510,OR(LEFT(N510,3)=$W$7,LEFT(O510,3)=$W$7)),"x","")</f>
        <v/>
      </c>
      <c r="X510" s="75" t="str">
        <f>IF(OR(TH!N510=TH!$X$7,O510=TH!$X$7),"x","")</f>
        <v/>
      </c>
      <c r="Y510" s="75" t="str">
        <f>IF(AND(OR(N510="131",O510="131"),H510='131-CT'!$H$9),"x","")</f>
        <v/>
      </c>
      <c r="Z510" s="75"/>
      <c r="AA510" s="75" t="str">
        <f>IF(AND(MONTH(E510)='IN-NX'!$J$5,'IN-NX'!$D$7=D510),"x","")</f>
        <v/>
      </c>
      <c r="AB510" s="75" t="str">
        <f>IF(AND(OR(LEFT(TH!N510,2)="15",LEFT(TH!O510,2)="15"),LEFT(TH!O510,3)&lt;&gt;"111",'152-CT'!$J$8=TH!F510),"x","")</f>
        <v/>
      </c>
      <c r="AC510" s="75" t="str">
        <f>IF(AND(OR(LEFT(TH!N510,2)="15",LEFT(TH!O510,2)="15"),TK!$E$7=TH!F510),"x","")</f>
        <v/>
      </c>
      <c r="AD510" s="75" t="str">
        <f>IF(AND(N510="1521",MONTH(C510)='BK-NL'!$M$11),"x","")</f>
        <v/>
      </c>
      <c r="AE510">
        <v>9</v>
      </c>
    </row>
    <row r="511" spans="1:31" ht="16.5" customHeight="1">
      <c r="A511" s="309" t="str">
        <f>IF(B511&lt;&gt;"",IF(AND(B511='IN-TC'!$S$4,OR(TH!N511="1111",TH!O511="1111")),TH!D511,""),"")</f>
        <v/>
      </c>
      <c r="B511" s="1130">
        <f t="shared" si="67"/>
        <v>6</v>
      </c>
      <c r="C511" s="929">
        <v>42916</v>
      </c>
      <c r="D511" s="929" t="s">
        <v>530</v>
      </c>
      <c r="E511" s="929">
        <v>42916</v>
      </c>
      <c r="F511" s="930" t="s">
        <v>1323</v>
      </c>
      <c r="G511" s="931" t="s">
        <v>2121</v>
      </c>
      <c r="H511" s="735" t="s">
        <v>739</v>
      </c>
      <c r="I511" s="371"/>
      <c r="J511" s="932"/>
      <c r="K511" s="371"/>
      <c r="L511" s="377"/>
      <c r="M511" s="933">
        <v>624855</v>
      </c>
      <c r="N511" s="934" t="s">
        <v>9</v>
      </c>
      <c r="O511" s="934" t="s">
        <v>8</v>
      </c>
      <c r="P511" s="75" t="str">
        <f>IF(AND('331-CT'!$E$7=TH!H511,OR(N511="331",O511="331")),"x","")</f>
        <v/>
      </c>
      <c r="Q511" s="75" t="str">
        <f>IF(AND(B511='111'!$L$11,OR($N511=$Q$7,$O511=$Q$7)),"x","")</f>
        <v/>
      </c>
      <c r="R511" s="75" t="str">
        <f>IF(AND($N511=$Q$7,$B511&lt;'111'!$L$11),"x","")</f>
        <v/>
      </c>
      <c r="S511" s="75" t="str">
        <f>IF(AND($O511=$Q$7,$B511&lt;'111'!$L$11),"x","")</f>
        <v/>
      </c>
      <c r="T511" s="75" t="str">
        <f>IF(ISERROR(FIND('112'!$M$9,G511,1)),"",IF((AND(FIND('112'!$M$9,G511,1)&gt;=1,B511='112'!$K$9,OR($N511='112'!$I$6,$O511='112'!$I$6))),"x",""))</f>
        <v/>
      </c>
      <c r="U511" s="75" t="str">
        <f>IF(ISERROR(FIND('112'!$M$9,G511,1)),"",IF((AND(LEFT(G511,2)=LEFT('112'!$M$9,2),B511&lt;'112'!$K$9,$N511='112'!$I$6)),"x",""))</f>
        <v/>
      </c>
      <c r="V511" s="75" t="str">
        <f>IF(ISERROR(FIND('112'!$M$9,G511,1)),"",IF((AND(RIGHT(G511,2)=RIGHT('112'!$M$9,2),B511&lt;'112'!$K$9,$O511='112'!$I$6)),"x",""))</f>
        <v/>
      </c>
      <c r="W511" s="75" t="str">
        <f>IF(AND('341-CT'!$H$9=H511,OR(LEFT(N511,3)=$W$7,LEFT(O511,3)=$W$7)),"x","")</f>
        <v/>
      </c>
      <c r="X511" s="75" t="str">
        <f>IF(OR(TH!N511=TH!$X$7,O511=TH!$X$7),"x","")</f>
        <v/>
      </c>
      <c r="Y511" s="75" t="str">
        <f>IF(AND(OR(N511="131",O511="131"),H511='131-CT'!$H$9),"x","")</f>
        <v/>
      </c>
      <c r="Z511" s="75"/>
      <c r="AA511" s="75" t="str">
        <f>IF(AND(MONTH(E511)='IN-NX'!$J$5,'IN-NX'!$D$7=D511),"x","")</f>
        <v/>
      </c>
      <c r="AB511" s="75" t="str">
        <f>IF(AND(OR(LEFT(TH!N511,2)="15",LEFT(TH!O511,2)="15"),LEFT(TH!O511,3)&lt;&gt;"111",'152-CT'!$J$8=TH!F511),"x","")</f>
        <v/>
      </c>
      <c r="AC511" s="75" t="str">
        <f>IF(AND(OR(LEFT(TH!N511,2)="15",LEFT(TH!O511,2)="15"),TK!$E$7=TH!F511),"x","")</f>
        <v/>
      </c>
      <c r="AD511" s="75" t="str">
        <f>IF(AND(N511="1521",MONTH(C511)='BK-NL'!$M$11),"x","")</f>
        <v/>
      </c>
      <c r="AE511">
        <v>9</v>
      </c>
    </row>
    <row r="512" spans="1:31" ht="16.5" customHeight="1">
      <c r="A512" s="309" t="str">
        <f>IF(B512&lt;&gt;"",IF(AND(B512='IN-TC'!$S$4,OR(TH!N512="1111",TH!O512="1111")),TH!D512,""),"")</f>
        <v/>
      </c>
      <c r="B512" s="1243">
        <f t="shared" ref="B512:B528" si="69">IF(C512&lt;&gt;"",MONTH(C512),"")</f>
        <v>7</v>
      </c>
      <c r="C512" s="929">
        <v>42927</v>
      </c>
      <c r="D512" s="929" t="s">
        <v>530</v>
      </c>
      <c r="E512" s="929">
        <v>42927</v>
      </c>
      <c r="F512" s="930" t="s">
        <v>1192</v>
      </c>
      <c r="G512" s="931" t="s">
        <v>1681</v>
      </c>
      <c r="H512" s="73" t="s">
        <v>755</v>
      </c>
      <c r="I512" s="371"/>
      <c r="J512" s="932"/>
      <c r="K512" s="371"/>
      <c r="L512" s="377"/>
      <c r="M512" s="933">
        <v>8430450</v>
      </c>
      <c r="N512" s="934" t="s">
        <v>539</v>
      </c>
      <c r="O512" s="934" t="s">
        <v>8</v>
      </c>
      <c r="P512" s="75" t="str">
        <f>IF(AND('331-CT'!$E$7=TH!H512,OR(N512="331",O512="331")),"x","")</f>
        <v/>
      </c>
      <c r="Q512" s="75" t="str">
        <f>IF(AND(B512='111'!$L$11,OR($N512=$Q$7,$O512=$Q$7)),"x","")</f>
        <v/>
      </c>
      <c r="R512" s="75" t="str">
        <f>IF(AND($N512=$Q$7,$B512&lt;'111'!$L$11),"x","")</f>
        <v/>
      </c>
      <c r="S512" s="75" t="str">
        <f>IF(AND($O512=$Q$7,$B512&lt;'111'!$L$11),"x","")</f>
        <v/>
      </c>
      <c r="T512" s="75" t="str">
        <f>IF(ISERROR(FIND('112'!$M$9,G512,1)),"",IF((AND(FIND('112'!$M$9,G512,1)&gt;=1,B512='112'!$K$9,OR($N512='112'!$I$6,$O512='112'!$I$6))),"x",""))</f>
        <v/>
      </c>
      <c r="U512" s="75" t="str">
        <f>IF(ISERROR(FIND('112'!$M$9,G512,1)),"",IF((AND(LEFT(G512,2)=LEFT('112'!$M$9,2),B512&lt;'112'!$K$9,$N512='112'!$I$6)),"x",""))</f>
        <v/>
      </c>
      <c r="V512" s="75" t="str">
        <f>IF(ISERROR(FIND('112'!$M$9,G512,1)),"",IF((AND(RIGHT(G512,2)=RIGHT('112'!$M$9,2),B512&lt;'112'!$K$9,$O512='112'!$I$6)),"x",""))</f>
        <v/>
      </c>
      <c r="W512" s="75" t="str">
        <f>IF(AND('341-CT'!$H$9=H512,OR(LEFT(N512,3)=$W$7,LEFT(O512,3)=$W$7)),"x","")</f>
        <v/>
      </c>
      <c r="X512" s="75" t="str">
        <f>IF(OR(TH!N512=TH!$X$7,O512=TH!$X$7),"x","")</f>
        <v/>
      </c>
      <c r="Y512" s="75" t="str">
        <f>IF(AND(OR(N512="131",O512="131"),H512='131-CT'!$H$9),"x","")</f>
        <v/>
      </c>
      <c r="Z512" s="75"/>
      <c r="AA512" s="75" t="str">
        <f>IF(AND(MONTH(E512)='IN-NX'!$J$5,'IN-NX'!$D$7=D512),"x","")</f>
        <v/>
      </c>
      <c r="AB512" s="75" t="str">
        <f>IF(AND(OR(LEFT(TH!N512,2)="15",LEFT(TH!O512,2)="15"),LEFT(TH!O512,3)&lt;&gt;"111",'152-CT'!$J$8=TH!F512),"x","")</f>
        <v/>
      </c>
      <c r="AC512" s="75" t="str">
        <f>IF(AND(OR(LEFT(TH!N512,2)="15",LEFT(TH!O512,2)="15"),TK!$E$7=TH!F512),"x","")</f>
        <v/>
      </c>
      <c r="AD512" s="75" t="str">
        <f>IF(AND(N512="1521",MONTH(C512)='BK-NL'!$M$11),"x","")</f>
        <v/>
      </c>
    </row>
    <row r="513" spans="1:31" ht="16.5" customHeight="1">
      <c r="A513" s="309" t="str">
        <f>IF(B513&lt;&gt;"",IF(AND(B513='IN-TC'!$S$4,OR(TH!N513="1111",TH!O513="1111")),TH!D513,""),"")</f>
        <v/>
      </c>
      <c r="B513" s="1243">
        <f t="shared" si="69"/>
        <v>7</v>
      </c>
      <c r="C513" s="929">
        <v>42927</v>
      </c>
      <c r="D513" s="929" t="s">
        <v>530</v>
      </c>
      <c r="E513" s="929">
        <v>42927</v>
      </c>
      <c r="F513" s="930" t="s">
        <v>823</v>
      </c>
      <c r="G513" s="931" t="s">
        <v>1682</v>
      </c>
      <c r="H513" s="73" t="s">
        <v>755</v>
      </c>
      <c r="I513" s="371"/>
      <c r="J513" s="932"/>
      <c r="K513" s="371"/>
      <c r="L513" s="377"/>
      <c r="M513" s="933">
        <v>4186105</v>
      </c>
      <c r="N513" s="934" t="s">
        <v>539</v>
      </c>
      <c r="O513" s="934" t="s">
        <v>8</v>
      </c>
      <c r="P513" s="75" t="str">
        <f>IF(AND('331-CT'!$E$7=TH!H513,OR(N513="331",O513="331")),"x","")</f>
        <v/>
      </c>
      <c r="Q513" s="75" t="str">
        <f>IF(AND(B513='111'!$L$11,OR($N513=$Q$7,$O513=$Q$7)),"x","")</f>
        <v/>
      </c>
      <c r="R513" s="75" t="str">
        <f>IF(AND($N513=$Q$7,$B513&lt;'111'!$L$11),"x","")</f>
        <v/>
      </c>
      <c r="S513" s="75" t="str">
        <f>IF(AND($O513=$Q$7,$B513&lt;'111'!$L$11),"x","")</f>
        <v/>
      </c>
      <c r="T513" s="75" t="str">
        <f>IF(ISERROR(FIND('112'!$M$9,G513,1)),"",IF((AND(FIND('112'!$M$9,G513,1)&gt;=1,B513='112'!$K$9,OR($N513='112'!$I$6,$O513='112'!$I$6))),"x",""))</f>
        <v/>
      </c>
      <c r="U513" s="75" t="str">
        <f>IF(ISERROR(FIND('112'!$M$9,G513,1)),"",IF((AND(LEFT(G513,2)=LEFT('112'!$M$9,2),B513&lt;'112'!$K$9,$N513='112'!$I$6)),"x",""))</f>
        <v/>
      </c>
      <c r="V513" s="75" t="str">
        <f>IF(ISERROR(FIND('112'!$M$9,G513,1)),"",IF((AND(RIGHT(G513,2)=RIGHT('112'!$M$9,2),B513&lt;'112'!$K$9,$O513='112'!$I$6)),"x",""))</f>
        <v/>
      </c>
      <c r="W513" s="75" t="str">
        <f>IF(AND('341-CT'!$H$9=H513,OR(LEFT(N513,3)=$W$7,LEFT(O513,3)=$W$7)),"x","")</f>
        <v/>
      </c>
      <c r="X513" s="75" t="str">
        <f>IF(OR(TH!N513=TH!$X$7,O513=TH!$X$7),"x","")</f>
        <v/>
      </c>
      <c r="Y513" s="75" t="str">
        <f>IF(AND(OR(N513="131",O513="131"),H513='131-CT'!$H$9),"x","")</f>
        <v/>
      </c>
      <c r="Z513" s="75"/>
      <c r="AA513" s="75" t="str">
        <f>IF(AND(MONTH(E513)='IN-NX'!$J$5,'IN-NX'!$D$7=D513),"x","")</f>
        <v/>
      </c>
      <c r="AB513" s="75" t="str">
        <f>IF(AND(OR(LEFT(TH!N513,2)="15",LEFT(TH!O513,2)="15"),LEFT(TH!O513,3)&lt;&gt;"111",'152-CT'!$J$8=TH!F513),"x","")</f>
        <v/>
      </c>
      <c r="AC513" s="75" t="str">
        <f>IF(AND(OR(LEFT(TH!N513,2)="15",LEFT(TH!O513,2)="15"),TK!$E$7=TH!F513),"x","")</f>
        <v/>
      </c>
      <c r="AD513" s="75" t="str">
        <f>IF(AND(N513="1521",MONTH(C513)='BK-NL'!$M$11),"x","")</f>
        <v/>
      </c>
    </row>
    <row r="514" spans="1:31" ht="16.5" customHeight="1">
      <c r="A514" s="309" t="str">
        <f>IF(B514&lt;&gt;"",IF(AND(B514='IN-TC'!$S$4,OR(TH!N514="1111",TH!O514="1111")),TH!D514,""),"")</f>
        <v/>
      </c>
      <c r="B514" s="1243">
        <f t="shared" si="69"/>
        <v>7</v>
      </c>
      <c r="C514" s="929">
        <v>42927</v>
      </c>
      <c r="D514" s="929" t="s">
        <v>530</v>
      </c>
      <c r="E514" s="929">
        <v>42927</v>
      </c>
      <c r="F514" s="930" t="s">
        <v>824</v>
      </c>
      <c r="G514" s="931" t="s">
        <v>1682</v>
      </c>
      <c r="H514" s="73" t="s">
        <v>755</v>
      </c>
      <c r="I514" s="371"/>
      <c r="J514" s="932"/>
      <c r="K514" s="371"/>
      <c r="L514" s="377"/>
      <c r="M514" s="933">
        <v>418611</v>
      </c>
      <c r="N514" s="934" t="s">
        <v>9</v>
      </c>
      <c r="O514" s="934" t="s">
        <v>8</v>
      </c>
      <c r="P514" s="75" t="str">
        <f>IF(AND('331-CT'!$E$7=TH!H514,OR(N514="331",O514="331")),"x","")</f>
        <v/>
      </c>
      <c r="Q514" s="75" t="str">
        <f>IF(AND(B514='111'!$L$11,OR($N514=$Q$7,$O514=$Q$7)),"x","")</f>
        <v/>
      </c>
      <c r="R514" s="75" t="str">
        <f>IF(AND($N514=$Q$7,$B514&lt;'111'!$L$11),"x","")</f>
        <v/>
      </c>
      <c r="S514" s="75" t="str">
        <f>IF(AND($O514=$Q$7,$B514&lt;'111'!$L$11),"x","")</f>
        <v/>
      </c>
      <c r="T514" s="75" t="str">
        <f>IF(ISERROR(FIND('112'!$M$9,G514,1)),"",IF((AND(FIND('112'!$M$9,G514,1)&gt;=1,B514='112'!$K$9,OR($N514='112'!$I$6,$O514='112'!$I$6))),"x",""))</f>
        <v/>
      </c>
      <c r="U514" s="75" t="str">
        <f>IF(ISERROR(FIND('112'!$M$9,G514,1)),"",IF((AND(LEFT(G514,2)=LEFT('112'!$M$9,2),B514&lt;'112'!$K$9,$N514='112'!$I$6)),"x",""))</f>
        <v/>
      </c>
      <c r="V514" s="75" t="str">
        <f>IF(ISERROR(FIND('112'!$M$9,G514,1)),"",IF((AND(RIGHT(G514,2)=RIGHT('112'!$M$9,2),B514&lt;'112'!$K$9,$O514='112'!$I$6)),"x",""))</f>
        <v/>
      </c>
      <c r="W514" s="75" t="str">
        <f>IF(AND('341-CT'!$H$9=H514,OR(LEFT(N514,3)=$W$7,LEFT(O514,3)=$W$7)),"x","")</f>
        <v/>
      </c>
      <c r="X514" s="75" t="str">
        <f>IF(OR(TH!N514=TH!$X$7,O514=TH!$X$7),"x","")</f>
        <v/>
      </c>
      <c r="Y514" s="75" t="str">
        <f>IF(AND(OR(N514="131",O514="131"),H514='131-CT'!$H$9),"x","")</f>
        <v/>
      </c>
      <c r="Z514" s="75"/>
      <c r="AA514" s="75" t="str">
        <f>IF(AND(MONTH(E514)='IN-NX'!$J$5,'IN-NX'!$D$7=D514),"x","")</f>
        <v/>
      </c>
      <c r="AB514" s="75" t="str">
        <f>IF(AND(OR(LEFT(TH!N514,2)="15",LEFT(TH!O514,2)="15"),LEFT(TH!O514,3)&lt;&gt;"111",'152-CT'!$J$8=TH!F514),"x","")</f>
        <v/>
      </c>
      <c r="AC514" s="75" t="str">
        <f>IF(AND(OR(LEFT(TH!N514,2)="15",LEFT(TH!O514,2)="15"),TK!$E$7=TH!F514),"x","")</f>
        <v/>
      </c>
      <c r="AD514" s="75" t="str">
        <f>IF(AND(N514="1521",MONTH(C514)='BK-NL'!$M$11),"x","")</f>
        <v/>
      </c>
      <c r="AE514">
        <v>7</v>
      </c>
    </row>
    <row r="515" spans="1:31" ht="16.5" customHeight="1">
      <c r="A515" s="309" t="str">
        <f>IF(B515&lt;&gt;"",IF(AND(B515='IN-TC'!$S$4,OR(TH!N515="1111",TH!O515="1111")),TH!D515,""),"")</f>
        <v/>
      </c>
      <c r="B515" s="1243">
        <f t="shared" si="69"/>
        <v>7</v>
      </c>
      <c r="C515" s="929">
        <v>42926</v>
      </c>
      <c r="D515" s="929" t="s">
        <v>530</v>
      </c>
      <c r="E515" s="929">
        <v>42926</v>
      </c>
      <c r="F515" s="930" t="s">
        <v>1108</v>
      </c>
      <c r="G515" s="931" t="s">
        <v>1742</v>
      </c>
      <c r="H515" s="735" t="s">
        <v>562</v>
      </c>
      <c r="I515" s="371"/>
      <c r="J515" s="932"/>
      <c r="K515" s="371"/>
      <c r="L515" s="377"/>
      <c r="M515" s="933">
        <v>3000000</v>
      </c>
      <c r="N515" s="934" t="s">
        <v>539</v>
      </c>
      <c r="O515" s="934" t="s">
        <v>8</v>
      </c>
      <c r="P515" s="75" t="str">
        <f>IF(AND('331-CT'!$E$7=TH!H515,OR(N515="331",O515="331")),"x","")</f>
        <v/>
      </c>
      <c r="Q515" s="75" t="str">
        <f>IF(AND(B515='111'!$L$11,OR($N515=$Q$7,$O515=$Q$7)),"x","")</f>
        <v/>
      </c>
      <c r="R515" s="75" t="str">
        <f>IF(AND($N515=$Q$7,$B515&lt;'111'!$L$11),"x","")</f>
        <v/>
      </c>
      <c r="S515" s="75" t="str">
        <f>IF(AND($O515=$Q$7,$B515&lt;'111'!$L$11),"x","")</f>
        <v/>
      </c>
      <c r="T515" s="75" t="str">
        <f>IF(ISERROR(FIND('112'!$M$9,G515,1)),"",IF((AND(FIND('112'!$M$9,G515,1)&gt;=1,B515='112'!$K$9,OR($N515='112'!$I$6,$O515='112'!$I$6))),"x",""))</f>
        <v/>
      </c>
      <c r="U515" s="75" t="str">
        <f>IF(ISERROR(FIND('112'!$M$9,G515,1)),"",IF((AND(LEFT(G515,2)=LEFT('112'!$M$9,2),B515&lt;'112'!$K$9,$N515='112'!$I$6)),"x",""))</f>
        <v/>
      </c>
      <c r="V515" s="75" t="str">
        <f>IF(ISERROR(FIND('112'!$M$9,G515,1)),"",IF((AND(RIGHT(G515,2)=RIGHT('112'!$M$9,2),B515&lt;'112'!$K$9,$O515='112'!$I$6)),"x",""))</f>
        <v/>
      </c>
      <c r="W515" s="75" t="str">
        <f>IF(AND('341-CT'!$H$9=H515,OR(LEFT(N515,3)=$W$7,LEFT(O515,3)=$W$7)),"x","")</f>
        <v/>
      </c>
      <c r="X515" s="75" t="str">
        <f>IF(OR(TH!N515=TH!$X$7,O515=TH!$X$7),"x","")</f>
        <v/>
      </c>
      <c r="Y515" s="75" t="str">
        <f>IF(AND(OR(N515="131",O515="131"),H515='131-CT'!$H$9),"x","")</f>
        <v/>
      </c>
      <c r="Z515" s="75"/>
      <c r="AA515" s="75" t="str">
        <f>IF(AND(MONTH(E515)='IN-NX'!$J$5,'IN-NX'!$D$7=D515),"x","")</f>
        <v/>
      </c>
      <c r="AB515" s="75" t="str">
        <f>IF(AND(OR(LEFT(TH!N515,2)="15",LEFT(TH!O515,2)="15"),LEFT(TH!O515,3)&lt;&gt;"111",'152-CT'!$J$8=TH!F515),"x","")</f>
        <v/>
      </c>
      <c r="AC515" s="75" t="str">
        <f>IF(AND(OR(LEFT(TH!N515,2)="15",LEFT(TH!O515,2)="15"),TK!$E$7=TH!F515),"x","")</f>
        <v/>
      </c>
      <c r="AD515" s="75" t="str">
        <f>IF(AND(N515="1521",MONTH(C515)='BK-NL'!$M$11),"x","")</f>
        <v/>
      </c>
    </row>
    <row r="516" spans="1:31" ht="16.5" customHeight="1">
      <c r="A516" s="309" t="str">
        <f>IF(B516&lt;&gt;"",IF(AND(B516='IN-TC'!$S$4,OR(TH!N516="1111",TH!O516="1111")),TH!D516,""),"")</f>
        <v/>
      </c>
      <c r="B516" s="1243">
        <f t="shared" si="69"/>
        <v>7</v>
      </c>
      <c r="C516" s="929">
        <v>42926</v>
      </c>
      <c r="D516" s="929" t="s">
        <v>530</v>
      </c>
      <c r="E516" s="929">
        <v>42926</v>
      </c>
      <c r="F516" s="930" t="s">
        <v>1109</v>
      </c>
      <c r="G516" s="931" t="s">
        <v>1742</v>
      </c>
      <c r="H516" s="735" t="s">
        <v>562</v>
      </c>
      <c r="I516" s="371"/>
      <c r="J516" s="932"/>
      <c r="K516" s="371"/>
      <c r="L516" s="377"/>
      <c r="M516" s="933">
        <v>300000</v>
      </c>
      <c r="N516" s="934" t="s">
        <v>9</v>
      </c>
      <c r="O516" s="934" t="s">
        <v>8</v>
      </c>
      <c r="P516" s="75" t="str">
        <f>IF(AND('331-CT'!$E$7=TH!H516,OR(N516="331",O516="331")),"x","")</f>
        <v/>
      </c>
      <c r="Q516" s="75" t="str">
        <f>IF(AND(B516='111'!$L$11,OR($N516=$Q$7,$O516=$Q$7)),"x","")</f>
        <v/>
      </c>
      <c r="R516" s="75" t="str">
        <f>IF(AND($N516=$Q$7,$B516&lt;'111'!$L$11),"x","")</f>
        <v/>
      </c>
      <c r="S516" s="75" t="str">
        <f>IF(AND($O516=$Q$7,$B516&lt;'111'!$L$11),"x","")</f>
        <v/>
      </c>
      <c r="T516" s="75" t="str">
        <f>IF(ISERROR(FIND('112'!$M$9,G516,1)),"",IF((AND(FIND('112'!$M$9,G516,1)&gt;=1,B516='112'!$K$9,OR($N516='112'!$I$6,$O516='112'!$I$6))),"x",""))</f>
        <v/>
      </c>
      <c r="U516" s="75" t="str">
        <f>IF(ISERROR(FIND('112'!$M$9,G516,1)),"",IF((AND(LEFT(G516,2)=LEFT('112'!$M$9,2),B516&lt;'112'!$K$9,$N516='112'!$I$6)),"x",""))</f>
        <v/>
      </c>
      <c r="V516" s="75" t="str">
        <f>IF(ISERROR(FIND('112'!$M$9,G516,1)),"",IF((AND(RIGHT(G516,2)=RIGHT('112'!$M$9,2),B516&lt;'112'!$K$9,$O516='112'!$I$6)),"x",""))</f>
        <v/>
      </c>
      <c r="W516" s="75" t="str">
        <f>IF(AND('341-CT'!$H$9=H516,OR(LEFT(N516,3)=$W$7,LEFT(O516,3)=$W$7)),"x","")</f>
        <v/>
      </c>
      <c r="X516" s="75" t="str">
        <f>IF(OR(TH!N516=TH!$X$7,O516=TH!$X$7),"x","")</f>
        <v/>
      </c>
      <c r="Y516" s="75" t="str">
        <f>IF(AND(OR(N516="131",O516="131"),H516='131-CT'!$H$9),"x","")</f>
        <v/>
      </c>
      <c r="Z516" s="75"/>
      <c r="AA516" s="75" t="str">
        <f>IF(AND(MONTH(E516)='IN-NX'!$J$5,'IN-NX'!$D$7=D516),"x","")</f>
        <v/>
      </c>
      <c r="AB516" s="75" t="str">
        <f>IF(AND(OR(LEFT(TH!N516,2)="15",LEFT(TH!O516,2)="15"),LEFT(TH!O516,3)&lt;&gt;"111",'152-CT'!$J$8=TH!F516),"x","")</f>
        <v/>
      </c>
      <c r="AC516" s="75" t="str">
        <f>IF(AND(OR(LEFT(TH!N516,2)="15",LEFT(TH!O516,2)="15"),TK!$E$7=TH!F516),"x","")</f>
        <v/>
      </c>
      <c r="AD516" s="75" t="str">
        <f>IF(AND(N516="1521",MONTH(C516)='BK-NL'!$M$11),"x","")</f>
        <v/>
      </c>
      <c r="AE516">
        <v>7</v>
      </c>
    </row>
    <row r="517" spans="1:31" ht="16.5" customHeight="1">
      <c r="A517" s="309" t="str">
        <f>IF(B517&lt;&gt;"",IF(AND(B517='IN-TC'!$S$4,OR(TH!N517="1111",TH!O517="1111")),TH!D517,""),"")</f>
        <v/>
      </c>
      <c r="B517" s="1243">
        <f t="shared" si="69"/>
        <v>7</v>
      </c>
      <c r="C517" s="929">
        <v>42927</v>
      </c>
      <c r="D517" s="929" t="s">
        <v>530</v>
      </c>
      <c r="E517" s="929">
        <v>42927</v>
      </c>
      <c r="F517" s="930" t="s">
        <v>1108</v>
      </c>
      <c r="G517" s="931" t="s">
        <v>1743</v>
      </c>
      <c r="H517" s="735" t="s">
        <v>562</v>
      </c>
      <c r="I517" s="371"/>
      <c r="J517" s="932"/>
      <c r="K517" s="371"/>
      <c r="L517" s="377"/>
      <c r="M517" s="933">
        <v>3000000</v>
      </c>
      <c r="N517" s="934" t="s">
        <v>539</v>
      </c>
      <c r="O517" s="934" t="s">
        <v>8</v>
      </c>
      <c r="P517" s="75" t="str">
        <f>IF(AND('331-CT'!$E$7=TH!H517,OR(N517="331",O517="331")),"x","")</f>
        <v/>
      </c>
      <c r="Q517" s="75" t="str">
        <f>IF(AND(B517='111'!$L$11,OR($N517=$Q$7,$O517=$Q$7)),"x","")</f>
        <v/>
      </c>
      <c r="R517" s="75" t="str">
        <f>IF(AND($N517=$Q$7,$B517&lt;'111'!$L$11),"x","")</f>
        <v/>
      </c>
      <c r="S517" s="75" t="str">
        <f>IF(AND($O517=$Q$7,$B517&lt;'111'!$L$11),"x","")</f>
        <v/>
      </c>
      <c r="T517" s="75" t="str">
        <f>IF(ISERROR(FIND('112'!$M$9,G517,1)),"",IF((AND(FIND('112'!$M$9,G517,1)&gt;=1,B517='112'!$K$9,OR($N517='112'!$I$6,$O517='112'!$I$6))),"x",""))</f>
        <v/>
      </c>
      <c r="U517" s="75" t="str">
        <f>IF(ISERROR(FIND('112'!$M$9,G517,1)),"",IF((AND(LEFT(G517,2)=LEFT('112'!$M$9,2),B517&lt;'112'!$K$9,$N517='112'!$I$6)),"x",""))</f>
        <v/>
      </c>
      <c r="V517" s="75" t="str">
        <f>IF(ISERROR(FIND('112'!$M$9,G517,1)),"",IF((AND(RIGHT(G517,2)=RIGHT('112'!$M$9,2),B517&lt;'112'!$K$9,$O517='112'!$I$6)),"x",""))</f>
        <v/>
      </c>
      <c r="W517" s="75" t="str">
        <f>IF(AND('341-CT'!$H$9=H517,OR(LEFT(N517,3)=$W$7,LEFT(O517,3)=$W$7)),"x","")</f>
        <v/>
      </c>
      <c r="X517" s="75" t="str">
        <f>IF(OR(TH!N517=TH!$X$7,O517=TH!$X$7),"x","")</f>
        <v/>
      </c>
      <c r="Y517" s="75" t="str">
        <f>IF(AND(OR(N517="131",O517="131"),H517='131-CT'!$H$9),"x","")</f>
        <v/>
      </c>
      <c r="Z517" s="75"/>
      <c r="AA517" s="75" t="str">
        <f>IF(AND(MONTH(E517)='IN-NX'!$J$5,'IN-NX'!$D$7=D517),"x","")</f>
        <v/>
      </c>
      <c r="AB517" s="75" t="str">
        <f>IF(AND(OR(LEFT(TH!N517,2)="15",LEFT(TH!O517,2)="15"),LEFT(TH!O517,3)&lt;&gt;"111",'152-CT'!$J$8=TH!F517),"x","")</f>
        <v/>
      </c>
      <c r="AC517" s="75" t="str">
        <f>IF(AND(OR(LEFT(TH!N517,2)="15",LEFT(TH!O517,2)="15"),TK!$E$7=TH!F517),"x","")</f>
        <v/>
      </c>
      <c r="AD517" s="75" t="str">
        <f>IF(AND(N517="1521",MONTH(C517)='BK-NL'!$M$11),"x","")</f>
        <v/>
      </c>
    </row>
    <row r="518" spans="1:31" ht="16.5" customHeight="1">
      <c r="A518" s="309" t="str">
        <f>IF(B518&lt;&gt;"",IF(AND(B518='IN-TC'!$S$4,OR(TH!N518="1111",TH!O518="1111")),TH!D518,""),"")</f>
        <v/>
      </c>
      <c r="B518" s="1243">
        <f t="shared" si="69"/>
        <v>7</v>
      </c>
      <c r="C518" s="929">
        <v>42927</v>
      </c>
      <c r="D518" s="929" t="s">
        <v>530</v>
      </c>
      <c r="E518" s="929">
        <v>42927</v>
      </c>
      <c r="F518" s="930" t="s">
        <v>1109</v>
      </c>
      <c r="G518" s="931" t="s">
        <v>1743</v>
      </c>
      <c r="H518" s="735" t="s">
        <v>562</v>
      </c>
      <c r="I518" s="371"/>
      <c r="J518" s="932"/>
      <c r="K518" s="371"/>
      <c r="L518" s="377"/>
      <c r="M518" s="933">
        <v>300000</v>
      </c>
      <c r="N518" s="934" t="s">
        <v>9</v>
      </c>
      <c r="O518" s="934" t="s">
        <v>8</v>
      </c>
      <c r="P518" s="75" t="str">
        <f>IF(AND('331-CT'!$E$7=TH!H518,OR(N518="331",O518="331")),"x","")</f>
        <v/>
      </c>
      <c r="Q518" s="75" t="str">
        <f>IF(AND(B518='111'!$L$11,OR($N518=$Q$7,$O518=$Q$7)),"x","")</f>
        <v/>
      </c>
      <c r="R518" s="75" t="str">
        <f>IF(AND($N518=$Q$7,$B518&lt;'111'!$L$11),"x","")</f>
        <v/>
      </c>
      <c r="S518" s="75" t="str">
        <f>IF(AND($O518=$Q$7,$B518&lt;'111'!$L$11),"x","")</f>
        <v/>
      </c>
      <c r="T518" s="75" t="str">
        <f>IF(ISERROR(FIND('112'!$M$9,G518,1)),"",IF((AND(FIND('112'!$M$9,G518,1)&gt;=1,B518='112'!$K$9,OR($N518='112'!$I$6,$O518='112'!$I$6))),"x",""))</f>
        <v/>
      </c>
      <c r="U518" s="75" t="str">
        <f>IF(ISERROR(FIND('112'!$M$9,G518,1)),"",IF((AND(LEFT(G518,2)=LEFT('112'!$M$9,2),B518&lt;'112'!$K$9,$N518='112'!$I$6)),"x",""))</f>
        <v/>
      </c>
      <c r="V518" s="75" t="str">
        <f>IF(ISERROR(FIND('112'!$M$9,G518,1)),"",IF((AND(RIGHT(G518,2)=RIGHT('112'!$M$9,2),B518&lt;'112'!$K$9,$O518='112'!$I$6)),"x",""))</f>
        <v/>
      </c>
      <c r="W518" s="75" t="str">
        <f>IF(AND('341-CT'!$H$9=H518,OR(LEFT(N518,3)=$W$7,LEFT(O518,3)=$W$7)),"x","")</f>
        <v/>
      </c>
      <c r="X518" s="75" t="str">
        <f>IF(OR(TH!N518=TH!$X$7,O518=TH!$X$7),"x","")</f>
        <v/>
      </c>
      <c r="Y518" s="75" t="str">
        <f>IF(AND(OR(N518="131",O518="131"),H518='131-CT'!$H$9),"x","")</f>
        <v/>
      </c>
      <c r="Z518" s="75"/>
      <c r="AA518" s="75" t="str">
        <f>IF(AND(MONTH(E518)='IN-NX'!$J$5,'IN-NX'!$D$7=D518),"x","")</f>
        <v/>
      </c>
      <c r="AB518" s="75" t="str">
        <f>IF(AND(OR(LEFT(TH!N518,2)="15",LEFT(TH!O518,2)="15"),LEFT(TH!O518,3)&lt;&gt;"111",'152-CT'!$J$8=TH!F518),"x","")</f>
        <v/>
      </c>
      <c r="AC518" s="75" t="str">
        <f>IF(AND(OR(LEFT(TH!N518,2)="15",LEFT(TH!O518,2)="15"),TK!$E$7=TH!F518),"x","")</f>
        <v/>
      </c>
      <c r="AD518" s="75" t="str">
        <f>IF(AND(N518="1521",MONTH(C518)='BK-NL'!$M$11),"x","")</f>
        <v/>
      </c>
      <c r="AE518">
        <v>7</v>
      </c>
    </row>
    <row r="519" spans="1:31" ht="16.5" customHeight="1">
      <c r="A519" s="309" t="str">
        <f>IF(B519&lt;&gt;"",IF(AND(B519='IN-TC'!$S$4,OR(TH!N519="1111",TH!O519="1111")),TH!D519,""),"")</f>
        <v/>
      </c>
      <c r="B519" s="1243">
        <f t="shared" si="69"/>
        <v>7</v>
      </c>
      <c r="C519" s="929">
        <v>42934</v>
      </c>
      <c r="D519" s="929" t="s">
        <v>530</v>
      </c>
      <c r="E519" s="929">
        <v>42934</v>
      </c>
      <c r="F519" s="930" t="s">
        <v>1447</v>
      </c>
      <c r="G519" s="931" t="s">
        <v>1744</v>
      </c>
      <c r="H519" s="296" t="s">
        <v>1450</v>
      </c>
      <c r="I519" s="371"/>
      <c r="J519" s="932"/>
      <c r="K519" s="371"/>
      <c r="L519" s="377"/>
      <c r="M519" s="933">
        <v>14268579</v>
      </c>
      <c r="N519" s="934" t="s">
        <v>539</v>
      </c>
      <c r="O519" s="934" t="s">
        <v>8</v>
      </c>
      <c r="P519" s="75" t="str">
        <f>IF(AND('331-CT'!$E$7=TH!H519,OR(N519="331",O519="331")),"x","")</f>
        <v/>
      </c>
      <c r="Q519" s="75" t="str">
        <f>IF(AND(B519='111'!$L$11,OR($N519=$Q$7,$O519=$Q$7)),"x","")</f>
        <v/>
      </c>
      <c r="R519" s="75" t="str">
        <f>IF(AND($N519=$Q$7,$B519&lt;'111'!$L$11),"x","")</f>
        <v/>
      </c>
      <c r="S519" s="75" t="str">
        <f>IF(AND($O519=$Q$7,$B519&lt;'111'!$L$11),"x","")</f>
        <v/>
      </c>
      <c r="T519" s="75" t="str">
        <f>IF(ISERROR(FIND('112'!$M$9,G519,1)),"",IF((AND(FIND('112'!$M$9,G519,1)&gt;=1,B519='112'!$K$9,OR($N519='112'!$I$6,$O519='112'!$I$6))),"x",""))</f>
        <v/>
      </c>
      <c r="U519" s="75" t="str">
        <f>IF(ISERROR(FIND('112'!$M$9,G519,1)),"",IF((AND(LEFT(G519,2)=LEFT('112'!$M$9,2),B519&lt;'112'!$K$9,$N519='112'!$I$6)),"x",""))</f>
        <v/>
      </c>
      <c r="V519" s="75" t="str">
        <f>IF(ISERROR(FIND('112'!$M$9,G519,1)),"",IF((AND(RIGHT(G519,2)=RIGHT('112'!$M$9,2),B519&lt;'112'!$K$9,$O519='112'!$I$6)),"x",""))</f>
        <v/>
      </c>
      <c r="W519" s="75" t="str">
        <f>IF(AND('341-CT'!$H$9=H519,OR(LEFT(N519,3)=$W$7,LEFT(O519,3)=$W$7)),"x","")</f>
        <v/>
      </c>
      <c r="X519" s="75" t="str">
        <f>IF(OR(TH!N519=TH!$X$7,O519=TH!$X$7),"x","")</f>
        <v/>
      </c>
      <c r="Y519" s="75" t="str">
        <f>IF(AND(OR(N519="131",O519="131"),H519='131-CT'!$H$9),"x","")</f>
        <v/>
      </c>
      <c r="Z519" s="75"/>
      <c r="AA519" s="75" t="str">
        <f>IF(AND(MONTH(E519)='IN-NX'!$J$5,'IN-NX'!$D$7=D519),"x","")</f>
        <v/>
      </c>
      <c r="AB519" s="75" t="str">
        <f>IF(AND(OR(LEFT(TH!N519,2)="15",LEFT(TH!O519,2)="15"),LEFT(TH!O519,3)&lt;&gt;"111",'152-CT'!$J$8=TH!F519),"x","")</f>
        <v/>
      </c>
      <c r="AC519" s="75" t="str">
        <f>IF(AND(OR(LEFT(TH!N519,2)="15",LEFT(TH!O519,2)="15"),TK!$E$7=TH!F519),"x","")</f>
        <v/>
      </c>
      <c r="AD519" s="75" t="str">
        <f>IF(AND(N519="1521",MONTH(C519)='BK-NL'!$M$11),"x","")</f>
        <v/>
      </c>
    </row>
    <row r="520" spans="1:31" ht="16.5" customHeight="1">
      <c r="A520" s="309" t="str">
        <f>IF(B520&lt;&gt;"",IF(AND(B520='IN-TC'!$S$4,OR(TH!N520="1111",TH!O520="1111")),TH!D520,""),"")</f>
        <v/>
      </c>
      <c r="B520" s="1243">
        <f t="shared" si="69"/>
        <v>7</v>
      </c>
      <c r="C520" s="929">
        <v>42934</v>
      </c>
      <c r="D520" s="929" t="s">
        <v>530</v>
      </c>
      <c r="E520" s="929">
        <v>42934</v>
      </c>
      <c r="F520" s="930" t="s">
        <v>1448</v>
      </c>
      <c r="G520" s="931" t="s">
        <v>1744</v>
      </c>
      <c r="H520" s="296" t="s">
        <v>1450</v>
      </c>
      <c r="I520" s="371"/>
      <c r="J520" s="932"/>
      <c r="K520" s="371"/>
      <c r="L520" s="377"/>
      <c r="M520" s="933">
        <v>713429</v>
      </c>
      <c r="N520" s="934" t="s">
        <v>9</v>
      </c>
      <c r="O520" s="934" t="s">
        <v>8</v>
      </c>
      <c r="P520" s="75" t="str">
        <f>IF(AND('331-CT'!$E$7=TH!H520,OR(N520="331",O520="331")),"x","")</f>
        <v/>
      </c>
      <c r="Q520" s="75" t="str">
        <f>IF(AND(B520='111'!$L$11,OR($N520=$Q$7,$O520=$Q$7)),"x","")</f>
        <v/>
      </c>
      <c r="R520" s="75" t="str">
        <f>IF(AND($N520=$Q$7,$B520&lt;'111'!$L$11),"x","")</f>
        <v/>
      </c>
      <c r="S520" s="75" t="str">
        <f>IF(AND($O520=$Q$7,$B520&lt;'111'!$L$11),"x","")</f>
        <v/>
      </c>
      <c r="T520" s="75" t="str">
        <f>IF(ISERROR(FIND('112'!$M$9,G520,1)),"",IF((AND(FIND('112'!$M$9,G520,1)&gt;=1,B520='112'!$K$9,OR($N520='112'!$I$6,$O520='112'!$I$6))),"x",""))</f>
        <v/>
      </c>
      <c r="U520" s="75" t="str">
        <f>IF(ISERROR(FIND('112'!$M$9,G520,1)),"",IF((AND(LEFT(G520,2)=LEFT('112'!$M$9,2),B520&lt;'112'!$K$9,$N520='112'!$I$6)),"x",""))</f>
        <v/>
      </c>
      <c r="V520" s="75" t="str">
        <f>IF(ISERROR(FIND('112'!$M$9,G520,1)),"",IF((AND(RIGHT(G520,2)=RIGHT('112'!$M$9,2),B520&lt;'112'!$K$9,$O520='112'!$I$6)),"x",""))</f>
        <v/>
      </c>
      <c r="W520" s="75" t="str">
        <f>IF(AND('341-CT'!$H$9=H520,OR(LEFT(N520,3)=$W$7,LEFT(O520,3)=$W$7)),"x","")</f>
        <v/>
      </c>
      <c r="X520" s="75" t="str">
        <f>IF(OR(TH!N520=TH!$X$7,O520=TH!$X$7),"x","")</f>
        <v/>
      </c>
      <c r="Y520" s="75" t="str">
        <f>IF(AND(OR(N520="131",O520="131"),H520='131-CT'!$H$9),"x","")</f>
        <v/>
      </c>
      <c r="Z520" s="75"/>
      <c r="AA520" s="75" t="str">
        <f>IF(AND(MONTH(E520)='IN-NX'!$J$5,'IN-NX'!$D$7=D520),"x","")</f>
        <v/>
      </c>
      <c r="AB520" s="75" t="str">
        <f>IF(AND(OR(LEFT(TH!N520,2)="15",LEFT(TH!O520,2)="15"),LEFT(TH!O520,3)&lt;&gt;"111",'152-CT'!$J$8=TH!F520),"x","")</f>
        <v/>
      </c>
      <c r="AC520" s="75" t="str">
        <f>IF(AND(OR(LEFT(TH!N520,2)="15",LEFT(TH!O520,2)="15"),TK!$E$7=TH!F520),"x","")</f>
        <v/>
      </c>
      <c r="AD520" s="75" t="str">
        <f>IF(AND(N520="1521",MONTH(C520)='BK-NL'!$M$11),"x","")</f>
        <v/>
      </c>
      <c r="AE520">
        <v>7</v>
      </c>
    </row>
    <row r="521" spans="1:31" ht="16.5" customHeight="1">
      <c r="A521" s="309" t="str">
        <f>IF(B521&lt;&gt;"",IF(AND(B521='IN-TC'!$S$4,OR(TH!N521="1111",TH!O521="1111")),TH!D521,""),"")</f>
        <v/>
      </c>
      <c r="B521" s="1243">
        <f t="shared" si="69"/>
        <v>7</v>
      </c>
      <c r="C521" s="929">
        <v>42943</v>
      </c>
      <c r="D521" s="929" t="s">
        <v>530</v>
      </c>
      <c r="E521" s="929">
        <v>42943</v>
      </c>
      <c r="F521" s="930" t="s">
        <v>1192</v>
      </c>
      <c r="G521" s="931" t="s">
        <v>1761</v>
      </c>
      <c r="H521" s="73" t="s">
        <v>755</v>
      </c>
      <c r="I521" s="371"/>
      <c r="J521" s="932"/>
      <c r="K521" s="371"/>
      <c r="L521" s="377"/>
      <c r="M521" s="933">
        <v>8423050</v>
      </c>
      <c r="N521" s="934" t="s">
        <v>539</v>
      </c>
      <c r="O521" s="934" t="s">
        <v>8</v>
      </c>
      <c r="P521" s="75" t="str">
        <f>IF(AND('331-CT'!$E$7=TH!H521,OR(N521="331",O521="331")),"x","")</f>
        <v/>
      </c>
      <c r="Q521" s="75" t="str">
        <f>IF(AND(B521='111'!$L$11,OR($N521=$Q$7,$O521=$Q$7)),"x","")</f>
        <v/>
      </c>
      <c r="R521" s="75" t="str">
        <f>IF(AND($N521=$Q$7,$B521&lt;'111'!$L$11),"x","")</f>
        <v/>
      </c>
      <c r="S521" s="75" t="str">
        <f>IF(AND($O521=$Q$7,$B521&lt;'111'!$L$11),"x","")</f>
        <v/>
      </c>
      <c r="T521" s="75" t="str">
        <f>IF(ISERROR(FIND('112'!$M$9,G521,1)),"",IF((AND(FIND('112'!$M$9,G521,1)&gt;=1,B521='112'!$K$9,OR($N521='112'!$I$6,$O521='112'!$I$6))),"x",""))</f>
        <v/>
      </c>
      <c r="U521" s="75" t="str">
        <f>IF(ISERROR(FIND('112'!$M$9,G521,1)),"",IF((AND(LEFT(G521,2)=LEFT('112'!$M$9,2),B521&lt;'112'!$K$9,$N521='112'!$I$6)),"x",""))</f>
        <v/>
      </c>
      <c r="V521" s="75" t="str">
        <f>IF(ISERROR(FIND('112'!$M$9,G521,1)),"",IF((AND(RIGHT(G521,2)=RIGHT('112'!$M$9,2),B521&lt;'112'!$K$9,$O521='112'!$I$6)),"x",""))</f>
        <v/>
      </c>
      <c r="W521" s="75" t="str">
        <f>IF(AND('341-CT'!$H$9=H521,OR(LEFT(N521,3)=$W$7,LEFT(O521,3)=$W$7)),"x","")</f>
        <v/>
      </c>
      <c r="X521" s="75" t="str">
        <f>IF(OR(TH!N521=TH!$X$7,O521=TH!$X$7),"x","")</f>
        <v/>
      </c>
      <c r="Y521" s="75" t="str">
        <f>IF(AND(OR(N521="131",O521="131"),H521='131-CT'!$H$9),"x","")</f>
        <v/>
      </c>
      <c r="Z521" s="75"/>
      <c r="AA521" s="75" t="str">
        <f>IF(AND(MONTH(E521)='IN-NX'!$J$5,'IN-NX'!$D$7=D521),"x","")</f>
        <v/>
      </c>
      <c r="AB521" s="75" t="str">
        <f>IF(AND(OR(LEFT(TH!N521,2)="15",LEFT(TH!O521,2)="15"),LEFT(TH!O521,3)&lt;&gt;"111",'152-CT'!$J$8=TH!F521),"x","")</f>
        <v/>
      </c>
      <c r="AC521" s="75" t="str">
        <f>IF(AND(OR(LEFT(TH!N521,2)="15",LEFT(TH!O521,2)="15"),TK!$E$7=TH!F521),"x","")</f>
        <v/>
      </c>
      <c r="AD521" s="75" t="str">
        <f>IF(AND(N521="1521",MONTH(C521)='BK-NL'!$M$11),"x","")</f>
        <v/>
      </c>
    </row>
    <row r="522" spans="1:31" ht="16.5" customHeight="1">
      <c r="A522" s="309" t="str">
        <f>IF(B522&lt;&gt;"",IF(AND(B522='IN-TC'!$S$4,OR(TH!N522="1111",TH!O522="1111")),TH!D522,""),"")</f>
        <v/>
      </c>
      <c r="B522" s="1243">
        <f t="shared" si="69"/>
        <v>7</v>
      </c>
      <c r="C522" s="929">
        <v>42943</v>
      </c>
      <c r="D522" s="929" t="s">
        <v>530</v>
      </c>
      <c r="E522" s="929">
        <v>42943</v>
      </c>
      <c r="F522" s="930" t="s">
        <v>823</v>
      </c>
      <c r="G522" s="931" t="s">
        <v>1762</v>
      </c>
      <c r="H522" s="73" t="s">
        <v>755</v>
      </c>
      <c r="I522" s="371"/>
      <c r="J522" s="932"/>
      <c r="K522" s="371"/>
      <c r="L522" s="377"/>
      <c r="M522" s="933">
        <v>4883045</v>
      </c>
      <c r="N522" s="934" t="s">
        <v>539</v>
      </c>
      <c r="O522" s="934" t="s">
        <v>8</v>
      </c>
      <c r="P522" s="75" t="str">
        <f>IF(AND('331-CT'!$E$7=TH!H522,OR(N522="331",O522="331")),"x","")</f>
        <v/>
      </c>
      <c r="Q522" s="75" t="str">
        <f>IF(AND(B522='111'!$L$11,OR($N522=$Q$7,$O522=$Q$7)),"x","")</f>
        <v/>
      </c>
      <c r="R522" s="75" t="str">
        <f>IF(AND($N522=$Q$7,$B522&lt;'111'!$L$11),"x","")</f>
        <v/>
      </c>
      <c r="S522" s="75" t="str">
        <f>IF(AND($O522=$Q$7,$B522&lt;'111'!$L$11),"x","")</f>
        <v/>
      </c>
      <c r="T522" s="75" t="str">
        <f>IF(ISERROR(FIND('112'!$M$9,G522,1)),"",IF((AND(FIND('112'!$M$9,G522,1)&gt;=1,B522='112'!$K$9,OR($N522='112'!$I$6,$O522='112'!$I$6))),"x",""))</f>
        <v/>
      </c>
      <c r="U522" s="75" t="str">
        <f>IF(ISERROR(FIND('112'!$M$9,G522,1)),"",IF((AND(LEFT(G522,2)=LEFT('112'!$M$9,2),B522&lt;'112'!$K$9,$N522='112'!$I$6)),"x",""))</f>
        <v/>
      </c>
      <c r="V522" s="75" t="str">
        <f>IF(ISERROR(FIND('112'!$M$9,G522,1)),"",IF((AND(RIGHT(G522,2)=RIGHT('112'!$M$9,2),B522&lt;'112'!$K$9,$O522='112'!$I$6)),"x",""))</f>
        <v/>
      </c>
      <c r="W522" s="75" t="str">
        <f>IF(AND('341-CT'!$H$9=H522,OR(LEFT(N522,3)=$W$7,LEFT(O522,3)=$W$7)),"x","")</f>
        <v/>
      </c>
      <c r="X522" s="75" t="str">
        <f>IF(OR(TH!N522=TH!$X$7,O522=TH!$X$7),"x","")</f>
        <v/>
      </c>
      <c r="Y522" s="75" t="str">
        <f>IF(AND(OR(N522="131",O522="131"),H522='131-CT'!$H$9),"x","")</f>
        <v/>
      </c>
      <c r="Z522" s="75"/>
      <c r="AA522" s="75" t="str">
        <f>IF(AND(MONTH(E522)='IN-NX'!$J$5,'IN-NX'!$D$7=D522),"x","")</f>
        <v/>
      </c>
      <c r="AB522" s="75" t="str">
        <f>IF(AND(OR(LEFT(TH!N522,2)="15",LEFT(TH!O522,2)="15"),LEFT(TH!O522,3)&lt;&gt;"111",'152-CT'!$J$8=TH!F522),"x","")</f>
        <v/>
      </c>
      <c r="AC522" s="75" t="str">
        <f>IF(AND(OR(LEFT(TH!N522,2)="15",LEFT(TH!O522,2)="15"),TK!$E$7=TH!F522),"x","")</f>
        <v/>
      </c>
      <c r="AD522" s="75" t="str">
        <f>IF(AND(N522="1521",MONTH(C522)='BK-NL'!$M$11),"x","")</f>
        <v/>
      </c>
    </row>
    <row r="523" spans="1:31" ht="16.5" customHeight="1">
      <c r="A523" s="309" t="str">
        <f>IF(B523&lt;&gt;"",IF(AND(B523='IN-TC'!$S$4,OR(TH!N523="1111",TH!O523="1111")),TH!D523,""),"")</f>
        <v/>
      </c>
      <c r="B523" s="1243">
        <f t="shared" si="69"/>
        <v>7</v>
      </c>
      <c r="C523" s="929">
        <v>42943</v>
      </c>
      <c r="D523" s="929" t="s">
        <v>530</v>
      </c>
      <c r="E523" s="929">
        <v>42943</v>
      </c>
      <c r="F523" s="930" t="s">
        <v>824</v>
      </c>
      <c r="G523" s="931" t="s">
        <v>1762</v>
      </c>
      <c r="H523" s="73" t="s">
        <v>755</v>
      </c>
      <c r="I523" s="371"/>
      <c r="J523" s="932"/>
      <c r="K523" s="371"/>
      <c r="L523" s="377"/>
      <c r="M523" s="933">
        <v>488305</v>
      </c>
      <c r="N523" s="934" t="s">
        <v>9</v>
      </c>
      <c r="O523" s="934" t="s">
        <v>8</v>
      </c>
      <c r="P523" s="75" t="str">
        <f>IF(AND('331-CT'!$E$7=TH!H523,OR(N523="331",O523="331")),"x","")</f>
        <v/>
      </c>
      <c r="Q523" s="75" t="str">
        <f>IF(AND(B523='111'!$L$11,OR($N523=$Q$7,$O523=$Q$7)),"x","")</f>
        <v/>
      </c>
      <c r="R523" s="75" t="str">
        <f>IF(AND($N523=$Q$7,$B523&lt;'111'!$L$11),"x","")</f>
        <v/>
      </c>
      <c r="S523" s="75" t="str">
        <f>IF(AND($O523=$Q$7,$B523&lt;'111'!$L$11),"x","")</f>
        <v/>
      </c>
      <c r="T523" s="75" t="str">
        <f>IF(ISERROR(FIND('112'!$M$9,G523,1)),"",IF((AND(FIND('112'!$M$9,G523,1)&gt;=1,B523='112'!$K$9,OR($N523='112'!$I$6,$O523='112'!$I$6))),"x",""))</f>
        <v/>
      </c>
      <c r="U523" s="75" t="str">
        <f>IF(ISERROR(FIND('112'!$M$9,G523,1)),"",IF((AND(LEFT(G523,2)=LEFT('112'!$M$9,2),B523&lt;'112'!$K$9,$N523='112'!$I$6)),"x",""))</f>
        <v/>
      </c>
      <c r="V523" s="75" t="str">
        <f>IF(ISERROR(FIND('112'!$M$9,G523,1)),"",IF((AND(RIGHT(G523,2)=RIGHT('112'!$M$9,2),B523&lt;'112'!$K$9,$O523='112'!$I$6)),"x",""))</f>
        <v/>
      </c>
      <c r="W523" s="75" t="str">
        <f>IF(AND('341-CT'!$H$9=H523,OR(LEFT(N523,3)=$W$7,LEFT(O523,3)=$W$7)),"x","")</f>
        <v/>
      </c>
      <c r="X523" s="75" t="str">
        <f>IF(OR(TH!N523=TH!$X$7,O523=TH!$X$7),"x","")</f>
        <v/>
      </c>
      <c r="Y523" s="75" t="str">
        <f>IF(AND(OR(N523="131",O523="131"),H523='131-CT'!$H$9),"x","")</f>
        <v/>
      </c>
      <c r="Z523" s="75"/>
      <c r="AA523" s="75" t="str">
        <f>IF(AND(MONTH(E523)='IN-NX'!$J$5,'IN-NX'!$D$7=D523),"x","")</f>
        <v/>
      </c>
      <c r="AB523" s="75" t="str">
        <f>IF(AND(OR(LEFT(TH!N523,2)="15",LEFT(TH!O523,2)="15"),LEFT(TH!O523,3)&lt;&gt;"111",'152-CT'!$J$8=TH!F523),"x","")</f>
        <v/>
      </c>
      <c r="AC523" s="75" t="str">
        <f>IF(AND(OR(LEFT(TH!N523,2)="15",LEFT(TH!O523,2)="15"),TK!$E$7=TH!F523),"x","")</f>
        <v/>
      </c>
      <c r="AD523" s="75" t="str">
        <f>IF(AND(N523="1521",MONTH(C523)='BK-NL'!$M$11),"x","")</f>
        <v/>
      </c>
      <c r="AE523">
        <v>7</v>
      </c>
    </row>
    <row r="524" spans="1:31" ht="16.5" customHeight="1">
      <c r="A524" s="309" t="str">
        <f>IF(B524&lt;&gt;"",IF(AND(B524='IN-TC'!$S$4,OR(TH!N524="1111",TH!O524="1111")),TH!D524,""),"")</f>
        <v/>
      </c>
      <c r="B524" s="1243">
        <f t="shared" si="69"/>
        <v>7</v>
      </c>
      <c r="C524" s="929">
        <v>42946</v>
      </c>
      <c r="D524" s="929" t="s">
        <v>530</v>
      </c>
      <c r="E524" s="929">
        <v>42923</v>
      </c>
      <c r="F524" s="930" t="s">
        <v>1763</v>
      </c>
      <c r="G524" s="931" t="s">
        <v>1775</v>
      </c>
      <c r="H524" s="735" t="s">
        <v>563</v>
      </c>
      <c r="I524" s="371"/>
      <c r="J524" s="932"/>
      <c r="K524" s="371"/>
      <c r="L524" s="377"/>
      <c r="M524" s="933">
        <v>26143100</v>
      </c>
      <c r="N524" s="934" t="s">
        <v>272</v>
      </c>
      <c r="O524" s="934" t="s">
        <v>8</v>
      </c>
      <c r="P524" s="75" t="str">
        <f>IF(AND('331-CT'!$E$7=TH!H524,OR(N524="331",O524="331")),"x","")</f>
        <v/>
      </c>
      <c r="Q524" s="75" t="str">
        <f>IF(AND(B524='111'!$L$11,OR($N524=$Q$7,$O524=$Q$7)),"x","")</f>
        <v/>
      </c>
      <c r="R524" s="75" t="str">
        <f>IF(AND($N524=$Q$7,$B524&lt;'111'!$L$11),"x","")</f>
        <v/>
      </c>
      <c r="S524" s="75" t="str">
        <f>IF(AND($O524=$Q$7,$B524&lt;'111'!$L$11),"x","")</f>
        <v/>
      </c>
      <c r="T524" s="75" t="str">
        <f>IF(ISERROR(FIND('112'!$M$9,G524,1)),"",IF((AND(FIND('112'!$M$9,G524,1)&gt;=1,B524='112'!$K$9,OR($N524='112'!$I$6,$O524='112'!$I$6))),"x",""))</f>
        <v/>
      </c>
      <c r="U524" s="75" t="str">
        <f>IF(ISERROR(FIND('112'!$M$9,G524,1)),"",IF((AND(LEFT(G524,2)=LEFT('112'!$M$9,2),B524&lt;'112'!$K$9,$N524='112'!$I$6)),"x",""))</f>
        <v/>
      </c>
      <c r="V524" s="75" t="str">
        <f>IF(ISERROR(FIND('112'!$M$9,G524,1)),"",IF((AND(RIGHT(G524,2)=RIGHT('112'!$M$9,2),B524&lt;'112'!$K$9,$O524='112'!$I$6)),"x",""))</f>
        <v/>
      </c>
      <c r="W524" s="75" t="str">
        <f>IF(AND('341-CT'!$H$9=H524,OR(LEFT(N524,3)=$W$7,LEFT(O524,3)=$W$7)),"x","")</f>
        <v/>
      </c>
      <c r="X524" s="75" t="str">
        <f>IF(OR(TH!N524=TH!$X$7,O524=TH!$X$7),"x","")</f>
        <v/>
      </c>
      <c r="Y524" s="75" t="str">
        <f>IF(AND(OR(N524="131",O524="131"),H524='131-CT'!$H$9),"x","")</f>
        <v/>
      </c>
      <c r="Z524" s="75"/>
      <c r="AA524" s="75" t="str">
        <f>IF(AND(MONTH(E524)='IN-NX'!$J$5,'IN-NX'!$D$7=D524),"x","")</f>
        <v/>
      </c>
      <c r="AB524" s="75" t="str">
        <f>IF(AND(OR(LEFT(TH!N524,2)="15",LEFT(TH!O524,2)="15"),LEFT(TH!O524,3)&lt;&gt;"111",'152-CT'!$J$8=TH!F524),"x","")</f>
        <v/>
      </c>
      <c r="AC524" s="75" t="str">
        <f>IF(AND(OR(LEFT(TH!N524,2)="15",LEFT(TH!O524,2)="15"),TK!$E$7=TH!F524),"x","")</f>
        <v/>
      </c>
      <c r="AD524" s="75" t="str">
        <f>IF(AND(N524="1521",MONTH(C524)='BK-NL'!$M$11),"x","")</f>
        <v/>
      </c>
    </row>
    <row r="525" spans="1:31" ht="16.5" customHeight="1">
      <c r="A525" s="309" t="str">
        <f>IF(B525&lt;&gt;"",IF(AND(B525='IN-TC'!$S$4,OR(TH!N525="1111",TH!O525="1111")),TH!D525,""),"")</f>
        <v/>
      </c>
      <c r="B525" s="1243">
        <f t="shared" si="69"/>
        <v>7</v>
      </c>
      <c r="C525" s="929">
        <v>42946</v>
      </c>
      <c r="D525" s="929" t="s">
        <v>530</v>
      </c>
      <c r="E525" s="929">
        <v>42923</v>
      </c>
      <c r="F525" s="930" t="s">
        <v>1764</v>
      </c>
      <c r="G525" s="931" t="s">
        <v>1775</v>
      </c>
      <c r="H525" s="735" t="s">
        <v>563</v>
      </c>
      <c r="I525" s="371"/>
      <c r="J525" s="932"/>
      <c r="K525" s="371"/>
      <c r="L525" s="377"/>
      <c r="M525" s="933">
        <v>2614310</v>
      </c>
      <c r="N525" s="934" t="s">
        <v>9</v>
      </c>
      <c r="O525" s="934" t="s">
        <v>8</v>
      </c>
      <c r="P525" s="75" t="str">
        <f>IF(AND('331-CT'!$E$7=TH!H525,OR(N525="331",O525="331")),"x","")</f>
        <v/>
      </c>
      <c r="Q525" s="75" t="str">
        <f>IF(AND(B525='111'!$L$11,OR($N525=$Q$7,$O525=$Q$7)),"x","")</f>
        <v/>
      </c>
      <c r="R525" s="75" t="str">
        <f>IF(AND($N525=$Q$7,$B525&lt;'111'!$L$11),"x","")</f>
        <v/>
      </c>
      <c r="S525" s="75" t="str">
        <f>IF(AND($O525=$Q$7,$B525&lt;'111'!$L$11),"x","")</f>
        <v/>
      </c>
      <c r="T525" s="75" t="str">
        <f>IF(ISERROR(FIND('112'!$M$9,G525,1)),"",IF((AND(FIND('112'!$M$9,G525,1)&gt;=1,B525='112'!$K$9,OR($N525='112'!$I$6,$O525='112'!$I$6))),"x",""))</f>
        <v/>
      </c>
      <c r="U525" s="75" t="str">
        <f>IF(ISERROR(FIND('112'!$M$9,G525,1)),"",IF((AND(LEFT(G525,2)=LEFT('112'!$M$9,2),B525&lt;'112'!$K$9,$N525='112'!$I$6)),"x",""))</f>
        <v/>
      </c>
      <c r="V525" s="75" t="str">
        <f>IF(ISERROR(FIND('112'!$M$9,G525,1)),"",IF((AND(RIGHT(G525,2)=RIGHT('112'!$M$9,2),B525&lt;'112'!$K$9,$O525='112'!$I$6)),"x",""))</f>
        <v/>
      </c>
      <c r="W525" s="75" t="str">
        <f>IF(AND('341-CT'!$H$9=H525,OR(LEFT(N525,3)=$W$7,LEFT(O525,3)=$W$7)),"x","")</f>
        <v/>
      </c>
      <c r="X525" s="75" t="str">
        <f>IF(OR(TH!N525=TH!$X$7,O525=TH!$X$7),"x","")</f>
        <v/>
      </c>
      <c r="Y525" s="75" t="str">
        <f>IF(AND(OR(N525="131",O525="131"),H525='131-CT'!$H$9),"x","")</f>
        <v/>
      </c>
      <c r="Z525" s="75"/>
      <c r="AA525" s="75" t="str">
        <f>IF(AND(MONTH(E525)='IN-NX'!$J$5,'IN-NX'!$D$7=D525),"x","")</f>
        <v/>
      </c>
      <c r="AB525" s="75" t="str">
        <f>IF(AND(OR(LEFT(TH!N525,2)="15",LEFT(TH!O525,2)="15"),LEFT(TH!O525,3)&lt;&gt;"111",'152-CT'!$J$8=TH!F525),"x","")</f>
        <v/>
      </c>
      <c r="AC525" s="75" t="str">
        <f>IF(AND(OR(LEFT(TH!N525,2)="15",LEFT(TH!O525,2)="15"),TK!$E$7=TH!F525),"x","")</f>
        <v/>
      </c>
      <c r="AD525" s="75" t="str">
        <f>IF(AND(N525="1521",MONTH(C525)='BK-NL'!$M$11),"x","")</f>
        <v/>
      </c>
      <c r="AE525">
        <v>7</v>
      </c>
    </row>
    <row r="526" spans="1:31" ht="16.5" customHeight="1">
      <c r="A526" s="309" t="str">
        <f>IF(B526&lt;&gt;"",IF(AND(B526='IN-TC'!$S$4,OR(TH!N526="1111",TH!O526="1111")),TH!D526,""),"")</f>
        <v/>
      </c>
      <c r="B526" s="1243">
        <f t="shared" si="69"/>
        <v>7</v>
      </c>
      <c r="C526" s="929">
        <v>42946</v>
      </c>
      <c r="D526" s="929" t="s">
        <v>530</v>
      </c>
      <c r="E526" s="929">
        <v>42934</v>
      </c>
      <c r="F526" s="930" t="s">
        <v>1765</v>
      </c>
      <c r="G526" s="931" t="s">
        <v>1776</v>
      </c>
      <c r="H526" s="735" t="s">
        <v>563</v>
      </c>
      <c r="I526" s="371"/>
      <c r="J526" s="932"/>
      <c r="K526" s="371"/>
      <c r="L526" s="377"/>
      <c r="M526" s="933">
        <v>25862100</v>
      </c>
      <c r="N526" s="934" t="s">
        <v>272</v>
      </c>
      <c r="O526" s="934" t="s">
        <v>8</v>
      </c>
      <c r="P526" s="75" t="str">
        <f>IF(AND('331-CT'!$E$7=TH!H526,OR(N526="331",O526="331")),"x","")</f>
        <v/>
      </c>
      <c r="Q526" s="75" t="str">
        <f>IF(AND(B526='111'!$L$11,OR($N526=$Q$7,$O526=$Q$7)),"x","")</f>
        <v/>
      </c>
      <c r="R526" s="75" t="str">
        <f>IF(AND($N526=$Q$7,$B526&lt;'111'!$L$11),"x","")</f>
        <v/>
      </c>
      <c r="S526" s="75" t="str">
        <f>IF(AND($O526=$Q$7,$B526&lt;'111'!$L$11),"x","")</f>
        <v/>
      </c>
      <c r="T526" s="75" t="str">
        <f>IF(ISERROR(FIND('112'!$M$9,G526,1)),"",IF((AND(FIND('112'!$M$9,G526,1)&gt;=1,B526='112'!$K$9,OR($N526='112'!$I$6,$O526='112'!$I$6))),"x",""))</f>
        <v/>
      </c>
      <c r="U526" s="75" t="str">
        <f>IF(ISERROR(FIND('112'!$M$9,G526,1)),"",IF((AND(LEFT(G526,2)=LEFT('112'!$M$9,2),B526&lt;'112'!$K$9,$N526='112'!$I$6)),"x",""))</f>
        <v/>
      </c>
      <c r="V526" s="75" t="str">
        <f>IF(ISERROR(FIND('112'!$M$9,G526,1)),"",IF((AND(RIGHT(G526,2)=RIGHT('112'!$M$9,2),B526&lt;'112'!$K$9,$O526='112'!$I$6)),"x",""))</f>
        <v/>
      </c>
      <c r="W526" s="75" t="str">
        <f>IF(AND('341-CT'!$H$9=H526,OR(LEFT(N526,3)=$W$7,LEFT(O526,3)=$W$7)),"x","")</f>
        <v/>
      </c>
      <c r="X526" s="75" t="str">
        <f>IF(OR(TH!N526=TH!$X$7,O526=TH!$X$7),"x","")</f>
        <v/>
      </c>
      <c r="Y526" s="75" t="str">
        <f>IF(AND(OR(N526="131",O526="131"),H526='131-CT'!$H$9),"x","")</f>
        <v/>
      </c>
      <c r="Z526" s="75"/>
      <c r="AA526" s="75" t="str">
        <f>IF(AND(MONTH(E526)='IN-NX'!$J$5,'IN-NX'!$D$7=D526),"x","")</f>
        <v/>
      </c>
      <c r="AB526" s="75" t="str">
        <f>IF(AND(OR(LEFT(TH!N526,2)="15",LEFT(TH!O526,2)="15"),LEFT(TH!O526,3)&lt;&gt;"111",'152-CT'!$J$8=TH!F526),"x","")</f>
        <v/>
      </c>
      <c r="AC526" s="75" t="str">
        <f>IF(AND(OR(LEFT(TH!N526,2)="15",LEFT(TH!O526,2)="15"),TK!$E$7=TH!F526),"x","")</f>
        <v/>
      </c>
      <c r="AD526" s="75" t="str">
        <f>IF(AND(N526="1521",MONTH(C526)='BK-NL'!$M$11),"x","")</f>
        <v/>
      </c>
    </row>
    <row r="527" spans="1:31" ht="16.5" customHeight="1">
      <c r="A527" s="309" t="str">
        <f>IF(B527&lt;&gt;"",IF(AND(B527='IN-TC'!$S$4,OR(TH!N527="1111",TH!O527="1111")),TH!D527,""),"")</f>
        <v/>
      </c>
      <c r="B527" s="1243">
        <f t="shared" si="69"/>
        <v>7</v>
      </c>
      <c r="C527" s="929">
        <v>42946</v>
      </c>
      <c r="D527" s="929" t="s">
        <v>530</v>
      </c>
      <c r="E527" s="929">
        <v>42934</v>
      </c>
      <c r="F527" s="930" t="s">
        <v>1766</v>
      </c>
      <c r="G527" s="931" t="s">
        <v>1776</v>
      </c>
      <c r="H527" s="735" t="s">
        <v>563</v>
      </c>
      <c r="I527" s="371"/>
      <c r="J527" s="932"/>
      <c r="K527" s="371"/>
      <c r="L527" s="377"/>
      <c r="M527" s="933">
        <v>2586210</v>
      </c>
      <c r="N527" s="934" t="s">
        <v>9</v>
      </c>
      <c r="O527" s="934" t="s">
        <v>8</v>
      </c>
      <c r="P527" s="75" t="str">
        <f>IF(AND('331-CT'!$E$7=TH!H527,OR(N527="331",O527="331")),"x","")</f>
        <v/>
      </c>
      <c r="Q527" s="75" t="str">
        <f>IF(AND(B527='111'!$L$11,OR($N527=$Q$7,$O527=$Q$7)),"x","")</f>
        <v/>
      </c>
      <c r="R527" s="75" t="str">
        <f>IF(AND($N527=$Q$7,$B527&lt;'111'!$L$11),"x","")</f>
        <v/>
      </c>
      <c r="S527" s="75" t="str">
        <f>IF(AND($O527=$Q$7,$B527&lt;'111'!$L$11),"x","")</f>
        <v/>
      </c>
      <c r="T527" s="75" t="str">
        <f>IF(ISERROR(FIND('112'!$M$9,G527,1)),"",IF((AND(FIND('112'!$M$9,G527,1)&gt;=1,B527='112'!$K$9,OR($N527='112'!$I$6,$O527='112'!$I$6))),"x",""))</f>
        <v/>
      </c>
      <c r="U527" s="75" t="str">
        <f>IF(ISERROR(FIND('112'!$M$9,G527,1)),"",IF((AND(LEFT(G527,2)=LEFT('112'!$M$9,2),B527&lt;'112'!$K$9,$N527='112'!$I$6)),"x",""))</f>
        <v/>
      </c>
      <c r="V527" s="75" t="str">
        <f>IF(ISERROR(FIND('112'!$M$9,G527,1)),"",IF((AND(RIGHT(G527,2)=RIGHT('112'!$M$9,2),B527&lt;'112'!$K$9,$O527='112'!$I$6)),"x",""))</f>
        <v/>
      </c>
      <c r="W527" s="75" t="str">
        <f>IF(AND('341-CT'!$H$9=H527,OR(LEFT(N527,3)=$W$7,LEFT(O527,3)=$W$7)),"x","")</f>
        <v/>
      </c>
      <c r="X527" s="75" t="str">
        <f>IF(OR(TH!N527=TH!$X$7,O527=TH!$X$7),"x","")</f>
        <v/>
      </c>
      <c r="Y527" s="75" t="str">
        <f>IF(AND(OR(N527="131",O527="131"),H527='131-CT'!$H$9),"x","")</f>
        <v/>
      </c>
      <c r="Z527" s="75"/>
      <c r="AA527" s="75" t="str">
        <f>IF(AND(MONTH(E527)='IN-NX'!$J$5,'IN-NX'!$D$7=D527),"x","")</f>
        <v/>
      </c>
      <c r="AB527" s="75" t="str">
        <f>IF(AND(OR(LEFT(TH!N527,2)="15",LEFT(TH!O527,2)="15"),LEFT(TH!O527,3)&lt;&gt;"111",'152-CT'!$J$8=TH!F527),"x","")</f>
        <v/>
      </c>
      <c r="AC527" s="75" t="str">
        <f>IF(AND(OR(LEFT(TH!N527,2)="15",LEFT(TH!O527,2)="15"),TK!$E$7=TH!F527),"x","")</f>
        <v/>
      </c>
      <c r="AD527" s="75" t="str">
        <f>IF(AND(N527="1521",MONTH(C527)='BK-NL'!$M$11),"x","")</f>
        <v/>
      </c>
      <c r="AE527">
        <v>7</v>
      </c>
    </row>
    <row r="528" spans="1:31" ht="16.5" customHeight="1">
      <c r="A528" s="309" t="str">
        <f>IF(B528&lt;&gt;"",IF(AND(B528='IN-TC'!$S$4,OR(TH!N528="1111",TH!O528="1111")),TH!D528,""),"")</f>
        <v/>
      </c>
      <c r="B528" s="1243">
        <f t="shared" si="69"/>
        <v>7</v>
      </c>
      <c r="C528" s="929">
        <v>42946</v>
      </c>
      <c r="D528" s="929" t="s">
        <v>530</v>
      </c>
      <c r="E528" s="929">
        <v>42943</v>
      </c>
      <c r="F528" s="930" t="s">
        <v>1767</v>
      </c>
      <c r="G528" s="931" t="s">
        <v>2021</v>
      </c>
      <c r="H528" s="735" t="s">
        <v>563</v>
      </c>
      <c r="I528" s="371"/>
      <c r="J528" s="932"/>
      <c r="K528" s="371"/>
      <c r="L528" s="377"/>
      <c r="M528" s="933">
        <v>26449500</v>
      </c>
      <c r="N528" s="934" t="s">
        <v>272</v>
      </c>
      <c r="O528" s="934" t="s">
        <v>8</v>
      </c>
      <c r="P528" s="75" t="str">
        <f>IF(AND('331-CT'!$E$7=TH!H528,OR(N528="331",O528="331")),"x","")</f>
        <v/>
      </c>
      <c r="Q528" s="75" t="str">
        <f>IF(AND(B528='111'!$L$11,OR($N528=$Q$7,$O528=$Q$7)),"x","")</f>
        <v/>
      </c>
      <c r="R528" s="75" t="str">
        <f>IF(AND($N528=$Q$7,$B528&lt;'111'!$L$11),"x","")</f>
        <v/>
      </c>
      <c r="S528" s="75" t="str">
        <f>IF(AND($O528=$Q$7,$B528&lt;'111'!$L$11),"x","")</f>
        <v/>
      </c>
      <c r="T528" s="75" t="str">
        <f>IF(ISERROR(FIND('112'!$M$9,G528,1)),"",IF((AND(FIND('112'!$M$9,G528,1)&gt;=1,B528='112'!$K$9,OR($N528='112'!$I$6,$O528='112'!$I$6))),"x",""))</f>
        <v/>
      </c>
      <c r="U528" s="75" t="str">
        <f>IF(ISERROR(FIND('112'!$M$9,G528,1)),"",IF((AND(LEFT(G528,2)=LEFT('112'!$M$9,2),B528&lt;'112'!$K$9,$N528='112'!$I$6)),"x",""))</f>
        <v/>
      </c>
      <c r="V528" s="75" t="str">
        <f>IF(ISERROR(FIND('112'!$M$9,G528,1)),"",IF((AND(RIGHT(G528,2)=RIGHT('112'!$M$9,2),B528&lt;'112'!$K$9,$O528='112'!$I$6)),"x",""))</f>
        <v/>
      </c>
      <c r="W528" s="75" t="str">
        <f>IF(AND('341-CT'!$H$9=H528,OR(LEFT(N528,3)=$W$7,LEFT(O528,3)=$W$7)),"x","")</f>
        <v/>
      </c>
      <c r="X528" s="75" t="str">
        <f>IF(OR(TH!N528=TH!$X$7,O528=TH!$X$7),"x","")</f>
        <v/>
      </c>
      <c r="Y528" s="75" t="str">
        <f>IF(AND(OR(N528="131",O528="131"),H528='131-CT'!$H$9),"x","")</f>
        <v/>
      </c>
      <c r="Z528" s="75"/>
      <c r="AA528" s="75" t="str">
        <f>IF(AND(MONTH(E528)='IN-NX'!$J$5,'IN-NX'!$D$7=D528),"x","")</f>
        <v/>
      </c>
      <c r="AB528" s="75" t="str">
        <f>IF(AND(OR(LEFT(TH!N528,2)="15",LEFT(TH!O528,2)="15"),LEFT(TH!O528,3)&lt;&gt;"111",'152-CT'!$J$8=TH!F528),"x","")</f>
        <v/>
      </c>
      <c r="AC528" s="75" t="str">
        <f>IF(AND(OR(LEFT(TH!N528,2)="15",LEFT(TH!O528,2)="15"),TK!$E$7=TH!F528),"x","")</f>
        <v/>
      </c>
      <c r="AD528" s="75" t="str">
        <f>IF(AND(N528="1521",MONTH(C528)='BK-NL'!$M$11),"x","")</f>
        <v/>
      </c>
    </row>
    <row r="529" spans="1:31" ht="16.5" customHeight="1">
      <c r="A529" s="309" t="str">
        <f>IF(B529&lt;&gt;"",IF(AND(B529='IN-TC'!$S$4,OR(TH!N529="1111",TH!O529="1111")),TH!D529,""),"")</f>
        <v/>
      </c>
      <c r="B529" s="1243">
        <f t="shared" ref="B529:B557" si="70">IF(C529&lt;&gt;"",MONTH(C529),"")</f>
        <v>7</v>
      </c>
      <c r="C529" s="929">
        <v>42946</v>
      </c>
      <c r="D529" s="929" t="s">
        <v>530</v>
      </c>
      <c r="E529" s="929">
        <v>42943</v>
      </c>
      <c r="F529" s="930" t="s">
        <v>1768</v>
      </c>
      <c r="G529" s="931" t="s">
        <v>2021</v>
      </c>
      <c r="H529" s="735" t="s">
        <v>563</v>
      </c>
      <c r="I529" s="371"/>
      <c r="J529" s="932"/>
      <c r="K529" s="371"/>
      <c r="L529" s="377"/>
      <c r="M529" s="933">
        <v>2644950</v>
      </c>
      <c r="N529" s="934" t="s">
        <v>9</v>
      </c>
      <c r="O529" s="934" t="s">
        <v>8</v>
      </c>
      <c r="P529" s="75" t="str">
        <f>IF(AND('331-CT'!$E$7=TH!H529,OR(N529="331",O529="331")),"x","")</f>
        <v/>
      </c>
      <c r="Q529" s="75" t="str">
        <f>IF(AND(B529='111'!$L$11,OR($N529=$Q$7,$O529=$Q$7)),"x","")</f>
        <v/>
      </c>
      <c r="R529" s="75" t="str">
        <f>IF(AND($N529=$Q$7,$B529&lt;'111'!$L$11),"x","")</f>
        <v/>
      </c>
      <c r="S529" s="75" t="str">
        <f>IF(AND($O529=$Q$7,$B529&lt;'111'!$L$11),"x","")</f>
        <v/>
      </c>
      <c r="T529" s="75" t="str">
        <f>IF(ISERROR(FIND('112'!$M$9,G529,1)),"",IF((AND(FIND('112'!$M$9,G529,1)&gt;=1,B529='112'!$K$9,OR($N529='112'!$I$6,$O529='112'!$I$6))),"x",""))</f>
        <v/>
      </c>
      <c r="U529" s="75" t="str">
        <f>IF(ISERROR(FIND('112'!$M$9,G529,1)),"",IF((AND(LEFT(G529,2)=LEFT('112'!$M$9,2),B529&lt;'112'!$K$9,$N529='112'!$I$6)),"x",""))</f>
        <v/>
      </c>
      <c r="V529" s="75" t="str">
        <f>IF(ISERROR(FIND('112'!$M$9,G529,1)),"",IF((AND(RIGHT(G529,2)=RIGHT('112'!$M$9,2),B529&lt;'112'!$K$9,$O529='112'!$I$6)),"x",""))</f>
        <v/>
      </c>
      <c r="W529" s="75" t="str">
        <f>IF(AND('341-CT'!$H$9=H529,OR(LEFT(N529,3)=$W$7,LEFT(O529,3)=$W$7)),"x","")</f>
        <v/>
      </c>
      <c r="X529" s="75" t="str">
        <f>IF(OR(TH!N529=TH!$X$7,O529=TH!$X$7),"x","")</f>
        <v/>
      </c>
      <c r="Y529" s="75" t="str">
        <f>IF(AND(OR(N529="131",O529="131"),H529='131-CT'!$H$9),"x","")</f>
        <v/>
      </c>
      <c r="Z529" s="75"/>
      <c r="AA529" s="75" t="str">
        <f>IF(AND(MONTH(E529)='IN-NX'!$J$5,'IN-NX'!$D$7=D529),"x","")</f>
        <v/>
      </c>
      <c r="AB529" s="75" t="str">
        <f>IF(AND(OR(LEFT(TH!N529,2)="15",LEFT(TH!O529,2)="15"),LEFT(TH!O529,3)&lt;&gt;"111",'152-CT'!$J$8=TH!F529),"x","")</f>
        <v/>
      </c>
      <c r="AC529" s="75" t="str">
        <f>IF(AND(OR(LEFT(TH!N529,2)="15",LEFT(TH!O529,2)="15"),TK!$E$7=TH!F529),"x","")</f>
        <v/>
      </c>
      <c r="AD529" s="75" t="str">
        <f>IF(AND(N529="1521",MONTH(C529)='BK-NL'!$M$11),"x","")</f>
        <v/>
      </c>
      <c r="AE529">
        <v>7</v>
      </c>
    </row>
    <row r="530" spans="1:31" ht="16.5" customHeight="1">
      <c r="A530" s="309" t="str">
        <f>IF(B530&lt;&gt;"",IF(AND(B530='IN-TC'!$S$4,OR(TH!N530="1111",TH!O530="1111")),TH!D530,""),"")</f>
        <v/>
      </c>
      <c r="B530" s="1243">
        <f t="shared" si="70"/>
        <v>7</v>
      </c>
      <c r="C530" s="929">
        <v>42946</v>
      </c>
      <c r="D530" s="929" t="s">
        <v>530</v>
      </c>
      <c r="E530" s="929">
        <f>C530</f>
        <v>42946</v>
      </c>
      <c r="F530" s="930" t="s">
        <v>869</v>
      </c>
      <c r="G530" s="931" t="s">
        <v>1785</v>
      </c>
      <c r="H530" s="296" t="s">
        <v>561</v>
      </c>
      <c r="I530" s="371"/>
      <c r="J530" s="932"/>
      <c r="K530" s="371"/>
      <c r="L530" s="377"/>
      <c r="M530" s="933">
        <v>700000</v>
      </c>
      <c r="N530" s="934" t="s">
        <v>539</v>
      </c>
      <c r="O530" s="934" t="s">
        <v>8</v>
      </c>
      <c r="P530" s="75" t="str">
        <f>IF(AND('331-CT'!$E$7=TH!H530,OR(N530="331",O530="331")),"x","")</f>
        <v/>
      </c>
      <c r="Q530" s="75" t="str">
        <f>IF(AND(B530='111'!$L$11,OR($N530=$Q$7,$O530=$Q$7)),"x","")</f>
        <v/>
      </c>
      <c r="R530" s="75" t="str">
        <f>IF(AND($N530=$Q$7,$B530&lt;'111'!$L$11),"x","")</f>
        <v/>
      </c>
      <c r="S530" s="75" t="str">
        <f>IF(AND($O530=$Q$7,$B530&lt;'111'!$L$11),"x","")</f>
        <v/>
      </c>
      <c r="T530" s="75" t="str">
        <f>IF(ISERROR(FIND('112'!$M$9,G530,1)),"",IF((AND(FIND('112'!$M$9,G530,1)&gt;=1,B530='112'!$K$9,OR($N530='112'!$I$6,$O530='112'!$I$6))),"x",""))</f>
        <v/>
      </c>
      <c r="U530" s="75" t="str">
        <f>IF(ISERROR(FIND('112'!$M$9,G530,1)),"",IF((AND(LEFT(G530,2)=LEFT('112'!$M$9,2),B530&lt;'112'!$K$9,$N530='112'!$I$6)),"x",""))</f>
        <v/>
      </c>
      <c r="V530" s="75" t="str">
        <f>IF(ISERROR(FIND('112'!$M$9,G530,1)),"",IF((AND(RIGHT(G530,2)=RIGHT('112'!$M$9,2),B530&lt;'112'!$K$9,$O530='112'!$I$6)),"x",""))</f>
        <v/>
      </c>
      <c r="W530" s="75" t="str">
        <f>IF(AND('341-CT'!$H$9=H530,OR(LEFT(N530,3)=$W$7,LEFT(O530,3)=$W$7)),"x","")</f>
        <v/>
      </c>
      <c r="X530" s="75" t="str">
        <f>IF(OR(TH!N530=TH!$X$7,O530=TH!$X$7),"x","")</f>
        <v/>
      </c>
      <c r="Y530" s="75" t="str">
        <f>IF(AND(OR(N530="131",O530="131"),H530='131-CT'!$H$9),"x","")</f>
        <v/>
      </c>
      <c r="Z530" s="75"/>
      <c r="AA530" s="75" t="str">
        <f>IF(AND(MONTH(E530)='IN-NX'!$J$5,'IN-NX'!$D$7=D530),"x","")</f>
        <v/>
      </c>
      <c r="AB530" s="75" t="str">
        <f>IF(AND(OR(LEFT(TH!N530,2)="15",LEFT(TH!O530,2)="15"),LEFT(TH!O530,3)&lt;&gt;"111",'152-CT'!$J$8=TH!F530),"x","")</f>
        <v/>
      </c>
      <c r="AC530" s="75" t="str">
        <f>IF(AND(OR(LEFT(TH!N530,2)="15",LEFT(TH!O530,2)="15"),TK!$E$7=TH!F530),"x","")</f>
        <v/>
      </c>
      <c r="AD530" s="75" t="str">
        <f>IF(AND(N530="1521",MONTH(C530)='BK-NL'!$M$11),"x","")</f>
        <v/>
      </c>
    </row>
    <row r="531" spans="1:31" ht="16.5" customHeight="1">
      <c r="A531" s="309" t="str">
        <f>IF(B531&lt;&gt;"",IF(AND(B531='IN-TC'!$S$4,OR(TH!N531="1111",TH!O531="1111")),TH!D531,""),"")</f>
        <v/>
      </c>
      <c r="B531" s="1243">
        <f t="shared" si="70"/>
        <v>7</v>
      </c>
      <c r="C531" s="929">
        <v>42946</v>
      </c>
      <c r="D531" s="929" t="s">
        <v>530</v>
      </c>
      <c r="E531" s="929">
        <f>C531</f>
        <v>42946</v>
      </c>
      <c r="F531" s="930" t="s">
        <v>869</v>
      </c>
      <c r="G531" s="931" t="s">
        <v>1786</v>
      </c>
      <c r="H531" s="296" t="s">
        <v>561</v>
      </c>
      <c r="I531" s="371"/>
      <c r="J531" s="932"/>
      <c r="K531" s="371"/>
      <c r="L531" s="377"/>
      <c r="M531" s="933">
        <v>3065000</v>
      </c>
      <c r="N531" s="934" t="s">
        <v>539</v>
      </c>
      <c r="O531" s="934" t="s">
        <v>8</v>
      </c>
      <c r="P531" s="75" t="str">
        <f>IF(AND('331-CT'!$E$7=TH!H531,OR(N531="331",O531="331")),"x","")</f>
        <v/>
      </c>
      <c r="Q531" s="75" t="str">
        <f>IF(AND(B531='111'!$L$11,OR($N531=$Q$7,$O531=$Q$7)),"x","")</f>
        <v/>
      </c>
      <c r="R531" s="75" t="str">
        <f>IF(AND($N531=$Q$7,$B531&lt;'111'!$L$11),"x","")</f>
        <v/>
      </c>
      <c r="S531" s="75" t="str">
        <f>IF(AND($O531=$Q$7,$B531&lt;'111'!$L$11),"x","")</f>
        <v/>
      </c>
      <c r="T531" s="75" t="str">
        <f>IF(ISERROR(FIND('112'!$M$9,G531,1)),"",IF((AND(FIND('112'!$M$9,G531,1)&gt;=1,B531='112'!$K$9,OR($N531='112'!$I$6,$O531='112'!$I$6))),"x",""))</f>
        <v/>
      </c>
      <c r="U531" s="75" t="str">
        <f>IF(ISERROR(FIND('112'!$M$9,G531,1)),"",IF((AND(LEFT(G531,2)=LEFT('112'!$M$9,2),B531&lt;'112'!$K$9,$N531='112'!$I$6)),"x",""))</f>
        <v/>
      </c>
      <c r="V531" s="75" t="str">
        <f>IF(ISERROR(FIND('112'!$M$9,G531,1)),"",IF((AND(RIGHT(G531,2)=RIGHT('112'!$M$9,2),B531&lt;'112'!$K$9,$O531='112'!$I$6)),"x",""))</f>
        <v/>
      </c>
      <c r="W531" s="75" t="str">
        <f>IF(AND('341-CT'!$H$9=H531,OR(LEFT(N531,3)=$W$7,LEFT(O531,3)=$W$7)),"x","")</f>
        <v/>
      </c>
      <c r="X531" s="75" t="str">
        <f>IF(OR(TH!N531=TH!$X$7,O531=TH!$X$7),"x","")</f>
        <v/>
      </c>
      <c r="Y531" s="75" t="str">
        <f>IF(AND(OR(N531="131",O531="131"),H531='131-CT'!$H$9),"x","")</f>
        <v/>
      </c>
      <c r="Z531" s="75"/>
      <c r="AA531" s="75" t="str">
        <f>IF(AND(MONTH(E531)='IN-NX'!$J$5,'IN-NX'!$D$7=D531),"x","")</f>
        <v/>
      </c>
      <c r="AB531" s="75" t="str">
        <f>IF(AND(OR(LEFT(TH!N531,2)="15",LEFT(TH!O531,2)="15"),LEFT(TH!O531,3)&lt;&gt;"111",'152-CT'!$J$8=TH!F531),"x","")</f>
        <v/>
      </c>
      <c r="AC531" s="75" t="str">
        <f>IF(AND(OR(LEFT(TH!N531,2)="15",LEFT(TH!O531,2)="15"),TK!$E$7=TH!F531),"x","")</f>
        <v/>
      </c>
      <c r="AD531" s="75" t="str">
        <f>IF(AND(N531="1521",MONTH(C531)='BK-NL'!$M$11),"x","")</f>
        <v/>
      </c>
    </row>
    <row r="532" spans="1:31" ht="16.5" customHeight="1">
      <c r="A532" s="309" t="str">
        <f>IF(B532&lt;&gt;"",IF(AND(B532='IN-TC'!$S$4,OR(TH!N532="1111",TH!O532="1111")),TH!D532,""),"")</f>
        <v/>
      </c>
      <c r="B532" s="1243">
        <f t="shared" si="70"/>
        <v>7</v>
      </c>
      <c r="C532" s="929">
        <v>42942</v>
      </c>
      <c r="D532" s="929" t="s">
        <v>530</v>
      </c>
      <c r="E532" s="929">
        <v>42942</v>
      </c>
      <c r="F532" s="930" t="s">
        <v>808</v>
      </c>
      <c r="G532" s="931" t="s">
        <v>1787</v>
      </c>
      <c r="H532" s="296" t="s">
        <v>622</v>
      </c>
      <c r="I532" s="371"/>
      <c r="J532" s="932"/>
      <c r="K532" s="371"/>
      <c r="L532" s="377"/>
      <c r="M532" s="933">
        <v>54636000</v>
      </c>
      <c r="N532" s="934" t="s">
        <v>539</v>
      </c>
      <c r="O532" s="934" t="s">
        <v>8</v>
      </c>
      <c r="P532" s="75" t="str">
        <f>IF(AND('331-CT'!$E$7=TH!H532,OR(N532="331",O532="331")),"x","")</f>
        <v/>
      </c>
      <c r="Q532" s="75" t="str">
        <f>IF(AND(B532='111'!$L$11,OR($N532=$Q$7,$O532=$Q$7)),"x","")</f>
        <v/>
      </c>
      <c r="R532" s="75" t="str">
        <f>IF(AND($N532=$Q$7,$B532&lt;'111'!$L$11),"x","")</f>
        <v/>
      </c>
      <c r="S532" s="75" t="str">
        <f>IF(AND($O532=$Q$7,$B532&lt;'111'!$L$11),"x","")</f>
        <v/>
      </c>
      <c r="T532" s="75" t="str">
        <f>IF(ISERROR(FIND('112'!$M$9,G532,1)),"",IF((AND(FIND('112'!$M$9,G532,1)&gt;=1,B532='112'!$K$9,OR($N532='112'!$I$6,$O532='112'!$I$6))),"x",""))</f>
        <v/>
      </c>
      <c r="U532" s="75" t="str">
        <f>IF(ISERROR(FIND('112'!$M$9,G532,1)),"",IF((AND(LEFT(G532,2)=LEFT('112'!$M$9,2),B532&lt;'112'!$K$9,$N532='112'!$I$6)),"x",""))</f>
        <v/>
      </c>
      <c r="V532" s="75" t="str">
        <f>IF(ISERROR(FIND('112'!$M$9,G532,1)),"",IF((AND(RIGHT(G532,2)=RIGHT('112'!$M$9,2),B532&lt;'112'!$K$9,$O532='112'!$I$6)),"x",""))</f>
        <v/>
      </c>
      <c r="W532" s="75" t="str">
        <f>IF(AND('341-CT'!$H$9=H532,OR(LEFT(N532,3)=$W$7,LEFT(O532,3)=$W$7)),"x","")</f>
        <v/>
      </c>
      <c r="X532" s="75" t="str">
        <f>IF(OR(TH!N532=TH!$X$7,O532=TH!$X$7),"x","")</f>
        <v/>
      </c>
      <c r="Y532" s="75" t="str">
        <f>IF(AND(OR(N532="131",O532="131"),H532='131-CT'!$H$9),"x","")</f>
        <v/>
      </c>
      <c r="Z532" s="75"/>
      <c r="AA532" s="75" t="str">
        <f>IF(AND(MONTH(E532)='IN-NX'!$J$5,'IN-NX'!$D$7=D532),"x","")</f>
        <v/>
      </c>
      <c r="AB532" s="75" t="str">
        <f>IF(AND(OR(LEFT(TH!N532,2)="15",LEFT(TH!O532,2)="15"),LEFT(TH!O532,3)&lt;&gt;"111",'152-CT'!$J$8=TH!F532),"x","")</f>
        <v/>
      </c>
      <c r="AC532" s="75" t="str">
        <f>IF(AND(OR(LEFT(TH!N532,2)="15",LEFT(TH!O532,2)="15"),TK!$E$7=TH!F532),"x","")</f>
        <v/>
      </c>
      <c r="AD532" s="75" t="str">
        <f>IF(AND(N532="1521",MONTH(C532)='BK-NL'!$M$11),"x","")</f>
        <v/>
      </c>
    </row>
    <row r="533" spans="1:31" ht="16.5" customHeight="1">
      <c r="A533" s="309" t="str">
        <f>IF(B533&lt;&gt;"",IF(AND(B533='IN-TC'!$S$4,OR(TH!N533="1111",TH!O533="1111")),TH!D533,""),"")</f>
        <v/>
      </c>
      <c r="B533" s="1243">
        <f t="shared" si="70"/>
        <v>7</v>
      </c>
      <c r="C533" s="929">
        <v>42942</v>
      </c>
      <c r="D533" s="929" t="s">
        <v>530</v>
      </c>
      <c r="E533" s="929">
        <v>42942</v>
      </c>
      <c r="F533" s="930" t="s">
        <v>810</v>
      </c>
      <c r="G533" s="931" t="s">
        <v>1788</v>
      </c>
      <c r="H533" s="296" t="s">
        <v>622</v>
      </c>
      <c r="I533" s="371"/>
      <c r="J533" s="932"/>
      <c r="K533" s="371"/>
      <c r="L533" s="377"/>
      <c r="M533" s="933">
        <v>21103155</v>
      </c>
      <c r="N533" s="934" t="s">
        <v>539</v>
      </c>
      <c r="O533" s="934" t="s">
        <v>8</v>
      </c>
      <c r="P533" s="75" t="str">
        <f>IF(AND('331-CT'!$E$7=TH!H533,OR(N533="331",O533="331")),"x","")</f>
        <v/>
      </c>
      <c r="Q533" s="75" t="str">
        <f>IF(AND(B533='111'!$L$11,OR($N533=$Q$7,$O533=$Q$7)),"x","")</f>
        <v/>
      </c>
      <c r="R533" s="75" t="str">
        <f>IF(AND($N533=$Q$7,$B533&lt;'111'!$L$11),"x","")</f>
        <v/>
      </c>
      <c r="S533" s="75" t="str">
        <f>IF(AND($O533=$Q$7,$B533&lt;'111'!$L$11),"x","")</f>
        <v/>
      </c>
      <c r="T533" s="75" t="str">
        <f>IF(ISERROR(FIND('112'!$M$9,G533,1)),"",IF((AND(FIND('112'!$M$9,G533,1)&gt;=1,B533='112'!$K$9,OR($N533='112'!$I$6,$O533='112'!$I$6))),"x",""))</f>
        <v/>
      </c>
      <c r="U533" s="75" t="str">
        <f>IF(ISERROR(FIND('112'!$M$9,G533,1)),"",IF((AND(LEFT(G533,2)=LEFT('112'!$M$9,2),B533&lt;'112'!$K$9,$N533='112'!$I$6)),"x",""))</f>
        <v/>
      </c>
      <c r="V533" s="75" t="str">
        <f>IF(ISERROR(FIND('112'!$M$9,G533,1)),"",IF((AND(RIGHT(G533,2)=RIGHT('112'!$M$9,2),B533&lt;'112'!$K$9,$O533='112'!$I$6)),"x",""))</f>
        <v/>
      </c>
      <c r="W533" s="75" t="str">
        <f>IF(AND('341-CT'!$H$9=H533,OR(LEFT(N533,3)=$W$7,LEFT(O533,3)=$W$7)),"x","")</f>
        <v/>
      </c>
      <c r="X533" s="75" t="str">
        <f>IF(OR(TH!N533=TH!$X$7,O533=TH!$X$7),"x","")</f>
        <v/>
      </c>
      <c r="Y533" s="75" t="str">
        <f>IF(AND(OR(N533="131",O533="131"),H533='131-CT'!$H$9),"x","")</f>
        <v/>
      </c>
      <c r="Z533" s="75"/>
      <c r="AA533" s="75" t="str">
        <f>IF(AND(MONTH(E533)='IN-NX'!$J$5,'IN-NX'!$D$7=D533),"x","")</f>
        <v/>
      </c>
      <c r="AB533" s="75" t="str">
        <f>IF(AND(OR(LEFT(TH!N533,2)="15",LEFT(TH!O533,2)="15"),LEFT(TH!O533,3)&lt;&gt;"111",'152-CT'!$J$8=TH!F533),"x","")</f>
        <v/>
      </c>
      <c r="AC533" s="75" t="str">
        <f>IF(AND(OR(LEFT(TH!N533,2)="15",LEFT(TH!O533,2)="15"),TK!$E$7=TH!F533),"x","")</f>
        <v/>
      </c>
      <c r="AD533" s="75" t="str">
        <f>IF(AND(N533="1521",MONTH(C533)='BK-NL'!$M$11),"x","")</f>
        <v/>
      </c>
    </row>
    <row r="534" spans="1:31" ht="16.5" customHeight="1">
      <c r="A534" s="309" t="str">
        <f>IF(B534&lt;&gt;"",IF(AND(B534='IN-TC'!$S$4,OR(TH!N534="1111",TH!O534="1111")),TH!D534,""),"")</f>
        <v/>
      </c>
      <c r="B534" s="1243">
        <f t="shared" si="70"/>
        <v>7</v>
      </c>
      <c r="C534" s="929">
        <v>42942</v>
      </c>
      <c r="D534" s="929" t="s">
        <v>530</v>
      </c>
      <c r="E534" s="929">
        <v>42942</v>
      </c>
      <c r="F534" s="930" t="s">
        <v>811</v>
      </c>
      <c r="G534" s="931" t="s">
        <v>1788</v>
      </c>
      <c r="H534" s="296" t="s">
        <v>622</v>
      </c>
      <c r="I534" s="371"/>
      <c r="J534" s="932"/>
      <c r="K534" s="371"/>
      <c r="L534" s="377"/>
      <c r="M534" s="933">
        <v>2110316</v>
      </c>
      <c r="N534" s="934" t="s">
        <v>9</v>
      </c>
      <c r="O534" s="934" t="s">
        <v>8</v>
      </c>
      <c r="P534" s="75" t="str">
        <f>IF(AND('331-CT'!$E$7=TH!H534,OR(N534="331",O534="331")),"x","")</f>
        <v/>
      </c>
      <c r="Q534" s="75" t="str">
        <f>IF(AND(B534='111'!$L$11,OR($N534=$Q$7,$O534=$Q$7)),"x","")</f>
        <v/>
      </c>
      <c r="R534" s="75" t="str">
        <f>IF(AND($N534=$Q$7,$B534&lt;'111'!$L$11),"x","")</f>
        <v/>
      </c>
      <c r="S534" s="75" t="str">
        <f>IF(AND($O534=$Q$7,$B534&lt;'111'!$L$11),"x","")</f>
        <v/>
      </c>
      <c r="T534" s="75" t="str">
        <f>IF(ISERROR(FIND('112'!$M$9,G534,1)),"",IF((AND(FIND('112'!$M$9,G534,1)&gt;=1,B534='112'!$K$9,OR($N534='112'!$I$6,$O534='112'!$I$6))),"x",""))</f>
        <v/>
      </c>
      <c r="U534" s="75" t="str">
        <f>IF(ISERROR(FIND('112'!$M$9,G534,1)),"",IF((AND(LEFT(G534,2)=LEFT('112'!$M$9,2),B534&lt;'112'!$K$9,$N534='112'!$I$6)),"x",""))</f>
        <v/>
      </c>
      <c r="V534" s="75" t="str">
        <f>IF(ISERROR(FIND('112'!$M$9,G534,1)),"",IF((AND(RIGHT(G534,2)=RIGHT('112'!$M$9,2),B534&lt;'112'!$K$9,$O534='112'!$I$6)),"x",""))</f>
        <v/>
      </c>
      <c r="W534" s="75" t="str">
        <f>IF(AND('341-CT'!$H$9=H534,OR(LEFT(N534,3)=$W$7,LEFT(O534,3)=$W$7)),"x","")</f>
        <v/>
      </c>
      <c r="X534" s="75" t="str">
        <f>IF(OR(TH!N534=TH!$X$7,O534=TH!$X$7),"x","")</f>
        <v/>
      </c>
      <c r="Y534" s="75" t="str">
        <f>IF(AND(OR(N534="131",O534="131"),H534='131-CT'!$H$9),"x","")</f>
        <v/>
      </c>
      <c r="Z534" s="75"/>
      <c r="AA534" s="75" t="str">
        <f>IF(AND(MONTH(E534)='IN-NX'!$J$5,'IN-NX'!$D$7=D534),"x","")</f>
        <v/>
      </c>
      <c r="AB534" s="75" t="str">
        <f>IF(AND(OR(LEFT(TH!N534,2)="15",LEFT(TH!O534,2)="15"),LEFT(TH!O534,3)&lt;&gt;"111",'152-CT'!$J$8=TH!F534),"x","")</f>
        <v/>
      </c>
      <c r="AC534" s="75" t="str">
        <f>IF(AND(OR(LEFT(TH!N534,2)="15",LEFT(TH!O534,2)="15"),TK!$E$7=TH!F534),"x","")</f>
        <v/>
      </c>
      <c r="AD534" s="75" t="str">
        <f>IF(AND(N534="1521",MONTH(C534)='BK-NL'!$M$11),"x","")</f>
        <v/>
      </c>
      <c r="AE534">
        <v>7</v>
      </c>
    </row>
    <row r="535" spans="1:31" ht="16.5" customHeight="1">
      <c r="A535" s="309" t="str">
        <f>IF(B535&lt;&gt;"",IF(AND(B535='IN-TC'!$S$4,OR(TH!N535="1111",TH!O535="1111")),TH!D535,""),"")</f>
        <v/>
      </c>
      <c r="B535" s="1243">
        <f t="shared" si="70"/>
        <v>7</v>
      </c>
      <c r="C535" s="929">
        <v>42942</v>
      </c>
      <c r="D535" s="929" t="s">
        <v>530</v>
      </c>
      <c r="E535" s="929">
        <v>42942</v>
      </c>
      <c r="F535" s="930" t="s">
        <v>810</v>
      </c>
      <c r="G535" s="931" t="s">
        <v>1789</v>
      </c>
      <c r="H535" s="296" t="s">
        <v>622</v>
      </c>
      <c r="I535" s="371"/>
      <c r="J535" s="932"/>
      <c r="K535" s="371"/>
      <c r="L535" s="377"/>
      <c r="M535" s="933">
        <v>31062770</v>
      </c>
      <c r="N535" s="934" t="s">
        <v>539</v>
      </c>
      <c r="O535" s="934" t="s">
        <v>8</v>
      </c>
      <c r="P535" s="75" t="str">
        <f>IF(AND('331-CT'!$E$7=TH!H535,OR(N535="331",O535="331")),"x","")</f>
        <v/>
      </c>
      <c r="Q535" s="75" t="str">
        <f>IF(AND(B535='111'!$L$11,OR($N535=$Q$7,$O535=$Q$7)),"x","")</f>
        <v/>
      </c>
      <c r="R535" s="75" t="str">
        <f>IF(AND($N535=$Q$7,$B535&lt;'111'!$L$11),"x","")</f>
        <v/>
      </c>
      <c r="S535" s="75" t="str">
        <f>IF(AND($O535=$Q$7,$B535&lt;'111'!$L$11),"x","")</f>
        <v/>
      </c>
      <c r="T535" s="75" t="str">
        <f>IF(ISERROR(FIND('112'!$M$9,G535,1)),"",IF((AND(FIND('112'!$M$9,G535,1)&gt;=1,B535='112'!$K$9,OR($N535='112'!$I$6,$O535='112'!$I$6))),"x",""))</f>
        <v/>
      </c>
      <c r="U535" s="75" t="str">
        <f>IF(ISERROR(FIND('112'!$M$9,G535,1)),"",IF((AND(LEFT(G535,2)=LEFT('112'!$M$9,2),B535&lt;'112'!$K$9,$N535='112'!$I$6)),"x",""))</f>
        <v/>
      </c>
      <c r="V535" s="75" t="str">
        <f>IF(ISERROR(FIND('112'!$M$9,G535,1)),"",IF((AND(RIGHT(G535,2)=RIGHT('112'!$M$9,2),B535&lt;'112'!$K$9,$O535='112'!$I$6)),"x",""))</f>
        <v/>
      </c>
      <c r="W535" s="75" t="str">
        <f>IF(AND('341-CT'!$H$9=H535,OR(LEFT(N535,3)=$W$7,LEFT(O535,3)=$W$7)),"x","")</f>
        <v/>
      </c>
      <c r="X535" s="75" t="str">
        <f>IF(OR(TH!N535=TH!$X$7,O535=TH!$X$7),"x","")</f>
        <v/>
      </c>
      <c r="Y535" s="75" t="str">
        <f>IF(AND(OR(N535="131",O535="131"),H535='131-CT'!$H$9),"x","")</f>
        <v/>
      </c>
      <c r="Z535" s="75"/>
      <c r="AA535" s="75" t="str">
        <f>IF(AND(MONTH(E535)='IN-NX'!$J$5,'IN-NX'!$D$7=D535),"x","")</f>
        <v/>
      </c>
      <c r="AB535" s="75" t="str">
        <f>IF(AND(OR(LEFT(TH!N535,2)="15",LEFT(TH!O535,2)="15"),LEFT(TH!O535,3)&lt;&gt;"111",'152-CT'!$J$8=TH!F535),"x","")</f>
        <v/>
      </c>
      <c r="AC535" s="75" t="str">
        <f>IF(AND(OR(LEFT(TH!N535,2)="15",LEFT(TH!O535,2)="15"),TK!$E$7=TH!F535),"x","")</f>
        <v/>
      </c>
      <c r="AD535" s="75" t="str">
        <f>IF(AND(N535="1521",MONTH(C535)='BK-NL'!$M$11),"x","")</f>
        <v/>
      </c>
    </row>
    <row r="536" spans="1:31" ht="16.5" customHeight="1">
      <c r="A536" s="309" t="str">
        <f>IF(B536&lt;&gt;"",IF(AND(B536='IN-TC'!$S$4,OR(TH!N536="1111",TH!O536="1111")),TH!D536,""),"")</f>
        <v/>
      </c>
      <c r="B536" s="1243">
        <f t="shared" si="70"/>
        <v>7</v>
      </c>
      <c r="C536" s="929">
        <v>42942</v>
      </c>
      <c r="D536" s="929" t="s">
        <v>530</v>
      </c>
      <c r="E536" s="929">
        <v>42942</v>
      </c>
      <c r="F536" s="930" t="s">
        <v>811</v>
      </c>
      <c r="G536" s="931" t="s">
        <v>1790</v>
      </c>
      <c r="H536" s="296" t="s">
        <v>622</v>
      </c>
      <c r="I536" s="371"/>
      <c r="J536" s="932"/>
      <c r="K536" s="371"/>
      <c r="L536" s="377"/>
      <c r="M536" s="933">
        <v>3106277</v>
      </c>
      <c r="N536" s="934" t="s">
        <v>9</v>
      </c>
      <c r="O536" s="934" t="s">
        <v>8</v>
      </c>
      <c r="P536" s="75" t="str">
        <f>IF(AND('331-CT'!$E$7=TH!H536,OR(N536="331",O536="331")),"x","")</f>
        <v/>
      </c>
      <c r="Q536" s="75" t="str">
        <f>IF(AND(B536='111'!$L$11,OR($N536=$Q$7,$O536=$Q$7)),"x","")</f>
        <v/>
      </c>
      <c r="R536" s="75" t="str">
        <f>IF(AND($N536=$Q$7,$B536&lt;'111'!$L$11),"x","")</f>
        <v/>
      </c>
      <c r="S536" s="75" t="str">
        <f>IF(AND($O536=$Q$7,$B536&lt;'111'!$L$11),"x","")</f>
        <v/>
      </c>
      <c r="T536" s="75" t="str">
        <f>IF(ISERROR(FIND('112'!$M$9,G536,1)),"",IF((AND(FIND('112'!$M$9,G536,1)&gt;=1,B536='112'!$K$9,OR($N536='112'!$I$6,$O536='112'!$I$6))),"x",""))</f>
        <v/>
      </c>
      <c r="U536" s="75" t="str">
        <f>IF(ISERROR(FIND('112'!$M$9,G536,1)),"",IF((AND(LEFT(G536,2)=LEFT('112'!$M$9,2),B536&lt;'112'!$K$9,$N536='112'!$I$6)),"x",""))</f>
        <v/>
      </c>
      <c r="V536" s="75" t="str">
        <f>IF(ISERROR(FIND('112'!$M$9,G536,1)),"",IF((AND(RIGHT(G536,2)=RIGHT('112'!$M$9,2),B536&lt;'112'!$K$9,$O536='112'!$I$6)),"x",""))</f>
        <v/>
      </c>
      <c r="W536" s="75" t="str">
        <f>IF(AND('341-CT'!$H$9=H536,OR(LEFT(N536,3)=$W$7,LEFT(O536,3)=$W$7)),"x","")</f>
        <v/>
      </c>
      <c r="X536" s="75" t="str">
        <f>IF(OR(TH!N536=TH!$X$7,O536=TH!$X$7),"x","")</f>
        <v/>
      </c>
      <c r="Y536" s="75" t="str">
        <f>IF(AND(OR(N536="131",O536="131"),H536='131-CT'!$H$9),"x","")</f>
        <v/>
      </c>
      <c r="Z536" s="75"/>
      <c r="AA536" s="75" t="str">
        <f>IF(AND(MONTH(E536)='IN-NX'!$J$5,'IN-NX'!$D$7=D536),"x","")</f>
        <v/>
      </c>
      <c r="AB536" s="75" t="str">
        <f>IF(AND(OR(LEFT(TH!N536,2)="15",LEFT(TH!O536,2)="15"),LEFT(TH!O536,3)&lt;&gt;"111",'152-CT'!$J$8=TH!F536),"x","")</f>
        <v/>
      </c>
      <c r="AC536" s="75" t="str">
        <f>IF(AND(OR(LEFT(TH!N536,2)="15",LEFT(TH!O536,2)="15"),TK!$E$7=TH!F536),"x","")</f>
        <v/>
      </c>
      <c r="AD536" s="75" t="str">
        <f>IF(AND(N536="1521",MONTH(C536)='BK-NL'!$M$11),"x","")</f>
        <v/>
      </c>
      <c r="AE536">
        <v>7</v>
      </c>
    </row>
    <row r="537" spans="1:31" ht="16.5" customHeight="1">
      <c r="A537" s="309" t="str">
        <f>IF(B537&lt;&gt;"",IF(AND(B537='IN-TC'!$S$4,OR(TH!N537="1111",TH!O537="1111")),TH!D537,""),"")</f>
        <v/>
      </c>
      <c r="B537" s="1243">
        <f t="shared" si="70"/>
        <v>7</v>
      </c>
      <c r="C537" s="929">
        <v>42942</v>
      </c>
      <c r="D537" s="929" t="s">
        <v>530</v>
      </c>
      <c r="E537" s="929">
        <v>42942</v>
      </c>
      <c r="F537" s="930" t="s">
        <v>808</v>
      </c>
      <c r="G537" s="931" t="s">
        <v>1790</v>
      </c>
      <c r="H537" s="296" t="s">
        <v>622</v>
      </c>
      <c r="I537" s="371"/>
      <c r="J537" s="932"/>
      <c r="K537" s="371"/>
      <c r="L537" s="377"/>
      <c r="M537" s="933">
        <v>82044000</v>
      </c>
      <c r="N537" s="934" t="s">
        <v>539</v>
      </c>
      <c r="O537" s="934" t="s">
        <v>8</v>
      </c>
      <c r="P537" s="75" t="str">
        <f>IF(AND('331-CT'!$E$7=TH!H537,OR(N537="331",O537="331")),"x","")</f>
        <v/>
      </c>
      <c r="Q537" s="75" t="str">
        <f>IF(AND(B537='111'!$L$11,OR($N537=$Q$7,$O537=$Q$7)),"x","")</f>
        <v/>
      </c>
      <c r="R537" s="75" t="str">
        <f>IF(AND($N537=$Q$7,$B537&lt;'111'!$L$11),"x","")</f>
        <v/>
      </c>
      <c r="S537" s="75" t="str">
        <f>IF(AND($O537=$Q$7,$B537&lt;'111'!$L$11),"x","")</f>
        <v/>
      </c>
      <c r="T537" s="75" t="str">
        <f>IF(ISERROR(FIND('112'!$M$9,G537,1)),"",IF((AND(FIND('112'!$M$9,G537,1)&gt;=1,B537='112'!$K$9,OR($N537='112'!$I$6,$O537='112'!$I$6))),"x",""))</f>
        <v/>
      </c>
      <c r="U537" s="75" t="str">
        <f>IF(ISERROR(FIND('112'!$M$9,G537,1)),"",IF((AND(LEFT(G537,2)=LEFT('112'!$M$9,2),B537&lt;'112'!$K$9,$N537='112'!$I$6)),"x",""))</f>
        <v/>
      </c>
      <c r="V537" s="75" t="str">
        <f>IF(ISERROR(FIND('112'!$M$9,G537,1)),"",IF((AND(RIGHT(G537,2)=RIGHT('112'!$M$9,2),B537&lt;'112'!$K$9,$O537='112'!$I$6)),"x",""))</f>
        <v/>
      </c>
      <c r="W537" s="75" t="str">
        <f>IF(AND('341-CT'!$H$9=H537,OR(LEFT(N537,3)=$W$7,LEFT(O537,3)=$W$7)),"x","")</f>
        <v/>
      </c>
      <c r="X537" s="75" t="str">
        <f>IF(OR(TH!N537=TH!$X$7,O537=TH!$X$7),"x","")</f>
        <v/>
      </c>
      <c r="Y537" s="75" t="str">
        <f>IF(AND(OR(N537="131",O537="131"),H537='131-CT'!$H$9),"x","")</f>
        <v/>
      </c>
      <c r="Z537" s="75"/>
      <c r="AA537" s="75" t="str">
        <f>IF(AND(MONTH(E537)='IN-NX'!$J$5,'IN-NX'!$D$7=D537),"x","")</f>
        <v/>
      </c>
      <c r="AB537" s="75" t="str">
        <f>IF(AND(OR(LEFT(TH!N537,2)="15",LEFT(TH!O537,2)="15"),LEFT(TH!O537,3)&lt;&gt;"111",'152-CT'!$J$8=TH!F537),"x","")</f>
        <v/>
      </c>
      <c r="AC537" s="75" t="str">
        <f>IF(AND(OR(LEFT(TH!N537,2)="15",LEFT(TH!O537,2)="15"),TK!$E$7=TH!F537),"x","")</f>
        <v/>
      </c>
      <c r="AD537" s="75" t="str">
        <f>IF(AND(N537="1521",MONTH(C537)='BK-NL'!$M$11),"x","")</f>
        <v/>
      </c>
    </row>
    <row r="538" spans="1:31" ht="16.5" customHeight="1">
      <c r="A538" s="309" t="str">
        <f>IF(B538&lt;&gt;"",IF(AND(B538='IN-TC'!$S$4,OR(TH!N538="1111",TH!O538="1111")),TH!D538,""),"")</f>
        <v/>
      </c>
      <c r="B538" s="1243">
        <f t="shared" si="70"/>
        <v>7</v>
      </c>
      <c r="C538" s="929">
        <v>42942</v>
      </c>
      <c r="D538" s="929" t="s">
        <v>530</v>
      </c>
      <c r="E538" s="929">
        <v>42942</v>
      </c>
      <c r="F538" s="930" t="s">
        <v>808</v>
      </c>
      <c r="G538" s="931" t="s">
        <v>1791</v>
      </c>
      <c r="H538" s="296" t="s">
        <v>622</v>
      </c>
      <c r="I538" s="371"/>
      <c r="J538" s="932"/>
      <c r="K538" s="371"/>
      <c r="L538" s="377"/>
      <c r="M538" s="933">
        <v>54636000</v>
      </c>
      <c r="N538" s="934" t="s">
        <v>539</v>
      </c>
      <c r="O538" s="934" t="s">
        <v>8</v>
      </c>
      <c r="P538" s="75" t="str">
        <f>IF(AND('331-CT'!$E$7=TH!H538,OR(N538="331",O538="331")),"x","")</f>
        <v/>
      </c>
      <c r="Q538" s="75" t="str">
        <f>IF(AND(B538='111'!$L$11,OR($N538=$Q$7,$O538=$Q$7)),"x","")</f>
        <v/>
      </c>
      <c r="R538" s="75" t="str">
        <f>IF(AND($N538=$Q$7,$B538&lt;'111'!$L$11),"x","")</f>
        <v/>
      </c>
      <c r="S538" s="75" t="str">
        <f>IF(AND($O538=$Q$7,$B538&lt;'111'!$L$11),"x","")</f>
        <v/>
      </c>
      <c r="T538" s="75" t="str">
        <f>IF(ISERROR(FIND('112'!$M$9,G538,1)),"",IF((AND(FIND('112'!$M$9,G538,1)&gt;=1,B538='112'!$K$9,OR($N538='112'!$I$6,$O538='112'!$I$6))),"x",""))</f>
        <v/>
      </c>
      <c r="U538" s="75" t="str">
        <f>IF(ISERROR(FIND('112'!$M$9,G538,1)),"",IF((AND(LEFT(G538,2)=LEFT('112'!$M$9,2),B538&lt;'112'!$K$9,$N538='112'!$I$6)),"x",""))</f>
        <v/>
      </c>
      <c r="V538" s="75" t="str">
        <f>IF(ISERROR(FIND('112'!$M$9,G538,1)),"",IF((AND(RIGHT(G538,2)=RIGHT('112'!$M$9,2),B538&lt;'112'!$K$9,$O538='112'!$I$6)),"x",""))</f>
        <v/>
      </c>
      <c r="W538" s="75" t="str">
        <f>IF(AND('341-CT'!$H$9=H538,OR(LEFT(N538,3)=$W$7,LEFT(O538,3)=$W$7)),"x","")</f>
        <v/>
      </c>
      <c r="X538" s="75" t="str">
        <f>IF(OR(TH!N538=TH!$X$7,O538=TH!$X$7),"x","")</f>
        <v/>
      </c>
      <c r="Y538" s="75" t="str">
        <f>IF(AND(OR(N538="131",O538="131"),H538='131-CT'!$H$9),"x","")</f>
        <v/>
      </c>
      <c r="Z538" s="75"/>
      <c r="AA538" s="75" t="str">
        <f>IF(AND(MONTH(E538)='IN-NX'!$J$5,'IN-NX'!$D$7=D538),"x","")</f>
        <v/>
      </c>
      <c r="AB538" s="75" t="str">
        <f>IF(AND(OR(LEFT(TH!N538,2)="15",LEFT(TH!O538,2)="15"),LEFT(TH!O538,3)&lt;&gt;"111",'152-CT'!$J$8=TH!F538),"x","")</f>
        <v/>
      </c>
      <c r="AC538" s="75" t="str">
        <f>IF(AND(OR(LEFT(TH!N538,2)="15",LEFT(TH!O538,2)="15"),TK!$E$7=TH!F538),"x","")</f>
        <v/>
      </c>
      <c r="AD538" s="75" t="str">
        <f>IF(AND(N538="1521",MONTH(C538)='BK-NL'!$M$11),"x","")</f>
        <v/>
      </c>
    </row>
    <row r="539" spans="1:31" ht="16.5" customHeight="1">
      <c r="A539" s="309" t="str">
        <f>IF(B539&lt;&gt;"",IF(AND(B539='IN-TC'!$S$4,OR(TH!N539="1111",TH!O539="1111")),TH!D539,""),"")</f>
        <v/>
      </c>
      <c r="B539" s="1243">
        <f t="shared" si="70"/>
        <v>7</v>
      </c>
      <c r="C539" s="929">
        <v>42942</v>
      </c>
      <c r="D539" s="929" t="s">
        <v>530</v>
      </c>
      <c r="E539" s="929">
        <v>42942</v>
      </c>
      <c r="F539" s="930" t="s">
        <v>810</v>
      </c>
      <c r="G539" s="931" t="s">
        <v>1792</v>
      </c>
      <c r="H539" s="296" t="s">
        <v>622</v>
      </c>
      <c r="I539" s="371"/>
      <c r="J539" s="932"/>
      <c r="K539" s="371"/>
      <c r="L539" s="377"/>
      <c r="M539" s="933">
        <v>21103155</v>
      </c>
      <c r="N539" s="934" t="s">
        <v>539</v>
      </c>
      <c r="O539" s="934" t="s">
        <v>8</v>
      </c>
      <c r="P539" s="75" t="str">
        <f>IF(AND('331-CT'!$E$7=TH!H539,OR(N539="331",O539="331")),"x","")</f>
        <v/>
      </c>
      <c r="Q539" s="75" t="str">
        <f>IF(AND(B539='111'!$L$11,OR($N539=$Q$7,$O539=$Q$7)),"x","")</f>
        <v/>
      </c>
      <c r="R539" s="75" t="str">
        <f>IF(AND($N539=$Q$7,$B539&lt;'111'!$L$11),"x","")</f>
        <v/>
      </c>
      <c r="S539" s="75" t="str">
        <f>IF(AND($O539=$Q$7,$B539&lt;'111'!$L$11),"x","")</f>
        <v/>
      </c>
      <c r="T539" s="75" t="str">
        <f>IF(ISERROR(FIND('112'!$M$9,G539,1)),"",IF((AND(FIND('112'!$M$9,G539,1)&gt;=1,B539='112'!$K$9,OR($N539='112'!$I$6,$O539='112'!$I$6))),"x",""))</f>
        <v/>
      </c>
      <c r="U539" s="75" t="str">
        <f>IF(ISERROR(FIND('112'!$M$9,G539,1)),"",IF((AND(LEFT(G539,2)=LEFT('112'!$M$9,2),B539&lt;'112'!$K$9,$N539='112'!$I$6)),"x",""))</f>
        <v/>
      </c>
      <c r="V539" s="75" t="str">
        <f>IF(ISERROR(FIND('112'!$M$9,G539,1)),"",IF((AND(RIGHT(G539,2)=RIGHT('112'!$M$9,2),B539&lt;'112'!$K$9,$O539='112'!$I$6)),"x",""))</f>
        <v/>
      </c>
      <c r="W539" s="75" t="str">
        <f>IF(AND('341-CT'!$H$9=H539,OR(LEFT(N539,3)=$W$7,LEFT(O539,3)=$W$7)),"x","")</f>
        <v/>
      </c>
      <c r="X539" s="75" t="str">
        <f>IF(OR(TH!N539=TH!$X$7,O539=TH!$X$7),"x","")</f>
        <v/>
      </c>
      <c r="Y539" s="75" t="str">
        <f>IF(AND(OR(N539="131",O539="131"),H539='131-CT'!$H$9),"x","")</f>
        <v/>
      </c>
      <c r="Z539" s="75"/>
      <c r="AA539" s="75" t="str">
        <f>IF(AND(MONTH(E539)='IN-NX'!$J$5,'IN-NX'!$D$7=D539),"x","")</f>
        <v/>
      </c>
      <c r="AB539" s="75" t="str">
        <f>IF(AND(OR(LEFT(TH!N539,2)="15",LEFT(TH!O539,2)="15"),LEFT(TH!O539,3)&lt;&gt;"111",'152-CT'!$J$8=TH!F539),"x","")</f>
        <v/>
      </c>
      <c r="AC539" s="75" t="str">
        <f>IF(AND(OR(LEFT(TH!N539,2)="15",LEFT(TH!O539,2)="15"),TK!$E$7=TH!F539),"x","")</f>
        <v/>
      </c>
      <c r="AD539" s="75" t="str">
        <f>IF(AND(N539="1521",MONTH(C539)='BK-NL'!$M$11),"x","")</f>
        <v/>
      </c>
    </row>
    <row r="540" spans="1:31" ht="16.5" customHeight="1">
      <c r="A540" s="309" t="str">
        <f>IF(B540&lt;&gt;"",IF(AND(B540='IN-TC'!$S$4,OR(TH!N540="1111",TH!O540="1111")),TH!D540,""),"")</f>
        <v/>
      </c>
      <c r="B540" s="1243">
        <f t="shared" si="70"/>
        <v>7</v>
      </c>
      <c r="C540" s="929">
        <v>42942</v>
      </c>
      <c r="D540" s="929" t="s">
        <v>530</v>
      </c>
      <c r="E540" s="929">
        <v>42942</v>
      </c>
      <c r="F540" s="930" t="s">
        <v>811</v>
      </c>
      <c r="G540" s="931" t="s">
        <v>1792</v>
      </c>
      <c r="H540" s="296" t="s">
        <v>622</v>
      </c>
      <c r="I540" s="371"/>
      <c r="J540" s="932"/>
      <c r="K540" s="371"/>
      <c r="L540" s="377"/>
      <c r="M540" s="933">
        <v>2110316</v>
      </c>
      <c r="N540" s="934" t="s">
        <v>9</v>
      </c>
      <c r="O540" s="934" t="s">
        <v>8</v>
      </c>
      <c r="P540" s="75" t="str">
        <f>IF(AND('331-CT'!$E$7=TH!H540,OR(N540="331",O540="331")),"x","")</f>
        <v/>
      </c>
      <c r="Q540" s="75" t="str">
        <f>IF(AND(B540='111'!$L$11,OR($N540=$Q$7,$O540=$Q$7)),"x","")</f>
        <v/>
      </c>
      <c r="R540" s="75" t="str">
        <f>IF(AND($N540=$Q$7,$B540&lt;'111'!$L$11),"x","")</f>
        <v/>
      </c>
      <c r="S540" s="75" t="str">
        <f>IF(AND($O540=$Q$7,$B540&lt;'111'!$L$11),"x","")</f>
        <v/>
      </c>
      <c r="T540" s="75" t="str">
        <f>IF(ISERROR(FIND('112'!$M$9,G540,1)),"",IF((AND(FIND('112'!$M$9,G540,1)&gt;=1,B540='112'!$K$9,OR($N540='112'!$I$6,$O540='112'!$I$6))),"x",""))</f>
        <v/>
      </c>
      <c r="U540" s="75" t="str">
        <f>IF(ISERROR(FIND('112'!$M$9,G540,1)),"",IF((AND(LEFT(G540,2)=LEFT('112'!$M$9,2),B540&lt;'112'!$K$9,$N540='112'!$I$6)),"x",""))</f>
        <v/>
      </c>
      <c r="V540" s="75" t="str">
        <f>IF(ISERROR(FIND('112'!$M$9,G540,1)),"",IF((AND(RIGHT(G540,2)=RIGHT('112'!$M$9,2),B540&lt;'112'!$K$9,$O540='112'!$I$6)),"x",""))</f>
        <v/>
      </c>
      <c r="W540" s="75" t="str">
        <f>IF(AND('341-CT'!$H$9=H540,OR(LEFT(N540,3)=$W$7,LEFT(O540,3)=$W$7)),"x","")</f>
        <v/>
      </c>
      <c r="X540" s="75" t="str">
        <f>IF(OR(TH!N540=TH!$X$7,O540=TH!$X$7),"x","")</f>
        <v/>
      </c>
      <c r="Y540" s="75" t="str">
        <f>IF(AND(OR(N540="131",O540="131"),H540='131-CT'!$H$9),"x","")</f>
        <v/>
      </c>
      <c r="Z540" s="75"/>
      <c r="AA540" s="75" t="str">
        <f>IF(AND(MONTH(E540)='IN-NX'!$J$5,'IN-NX'!$D$7=D540),"x","")</f>
        <v/>
      </c>
      <c r="AB540" s="75" t="str">
        <f>IF(AND(OR(LEFT(TH!N540,2)="15",LEFT(TH!O540,2)="15"),LEFT(TH!O540,3)&lt;&gt;"111",'152-CT'!$J$8=TH!F540),"x","")</f>
        <v/>
      </c>
      <c r="AC540" s="75" t="str">
        <f>IF(AND(OR(LEFT(TH!N540,2)="15",LEFT(TH!O540,2)="15"),TK!$E$7=TH!F540),"x","")</f>
        <v/>
      </c>
      <c r="AD540" s="75" t="str">
        <f>IF(AND(N540="1521",MONTH(C540)='BK-NL'!$M$11),"x","")</f>
        <v/>
      </c>
      <c r="AE540">
        <v>7</v>
      </c>
    </row>
    <row r="541" spans="1:31" ht="16.5" customHeight="1">
      <c r="A541" s="309" t="str">
        <f>IF(B541&lt;&gt;"",IF(AND(B541='IN-TC'!$S$4,OR(TH!N541="1111",TH!O541="1111")),TH!D541,""),"")</f>
        <v/>
      </c>
      <c r="B541" s="1243">
        <f t="shared" si="70"/>
        <v>7</v>
      </c>
      <c r="C541" s="929">
        <v>42942</v>
      </c>
      <c r="D541" s="929" t="s">
        <v>530</v>
      </c>
      <c r="E541" s="929">
        <v>42942</v>
      </c>
      <c r="F541" s="930" t="s">
        <v>808</v>
      </c>
      <c r="G541" s="931" t="s">
        <v>1793</v>
      </c>
      <c r="H541" s="296" t="s">
        <v>622</v>
      </c>
      <c r="I541" s="371"/>
      <c r="J541" s="932"/>
      <c r="K541" s="371"/>
      <c r="L541" s="377"/>
      <c r="M541" s="933">
        <v>81954000</v>
      </c>
      <c r="N541" s="934" t="s">
        <v>539</v>
      </c>
      <c r="O541" s="934" t="s">
        <v>8</v>
      </c>
      <c r="P541" s="75" t="str">
        <f>IF(AND('331-CT'!$E$7=TH!H541,OR(N541="331",O541="331")),"x","")</f>
        <v/>
      </c>
      <c r="Q541" s="75" t="str">
        <f>IF(AND(B541='111'!$L$11,OR($N541=$Q$7,$O541=$Q$7)),"x","")</f>
        <v/>
      </c>
      <c r="R541" s="75" t="str">
        <f>IF(AND($N541=$Q$7,$B541&lt;'111'!$L$11),"x","")</f>
        <v/>
      </c>
      <c r="S541" s="75" t="str">
        <f>IF(AND($O541=$Q$7,$B541&lt;'111'!$L$11),"x","")</f>
        <v/>
      </c>
      <c r="T541" s="75" t="str">
        <f>IF(ISERROR(FIND('112'!$M$9,G541,1)),"",IF((AND(FIND('112'!$M$9,G541,1)&gt;=1,B541='112'!$K$9,OR($N541='112'!$I$6,$O541='112'!$I$6))),"x",""))</f>
        <v/>
      </c>
      <c r="U541" s="75" t="str">
        <f>IF(ISERROR(FIND('112'!$M$9,G541,1)),"",IF((AND(LEFT(G541,2)=LEFT('112'!$M$9,2),B541&lt;'112'!$K$9,$N541='112'!$I$6)),"x",""))</f>
        <v/>
      </c>
      <c r="V541" s="75" t="str">
        <f>IF(ISERROR(FIND('112'!$M$9,G541,1)),"",IF((AND(RIGHT(G541,2)=RIGHT('112'!$M$9,2),B541&lt;'112'!$K$9,$O541='112'!$I$6)),"x",""))</f>
        <v/>
      </c>
      <c r="W541" s="75" t="str">
        <f>IF(AND('341-CT'!$H$9=H541,OR(LEFT(N541,3)=$W$7,LEFT(O541,3)=$W$7)),"x","")</f>
        <v/>
      </c>
      <c r="X541" s="75" t="str">
        <f>IF(OR(TH!N541=TH!$X$7,O541=TH!$X$7),"x","")</f>
        <v/>
      </c>
      <c r="Y541" s="75" t="str">
        <f>IF(AND(OR(N541="131",O541="131"),H541='131-CT'!$H$9),"x","")</f>
        <v/>
      </c>
      <c r="Z541" s="75"/>
      <c r="AA541" s="75" t="str">
        <f>IF(AND(MONTH(E541)='IN-NX'!$J$5,'IN-NX'!$D$7=D541),"x","")</f>
        <v/>
      </c>
      <c r="AB541" s="75" t="str">
        <f>IF(AND(OR(LEFT(TH!N541,2)="15",LEFT(TH!O541,2)="15"),LEFT(TH!O541,3)&lt;&gt;"111",'152-CT'!$J$8=TH!F541),"x","")</f>
        <v/>
      </c>
      <c r="AC541" s="75" t="str">
        <f>IF(AND(OR(LEFT(TH!N541,2)="15",LEFT(TH!O541,2)="15"),TK!$E$7=TH!F541),"x","")</f>
        <v/>
      </c>
      <c r="AD541" s="75" t="str">
        <f>IF(AND(N541="1521",MONTH(C541)='BK-NL'!$M$11),"x","")</f>
        <v/>
      </c>
    </row>
    <row r="542" spans="1:31" ht="16.5" customHeight="1">
      <c r="A542" s="309" t="str">
        <f>IF(B542&lt;&gt;"",IF(AND(B542='IN-TC'!$S$4,OR(TH!N542="1111",TH!O542="1111")),TH!D542,""),"")</f>
        <v/>
      </c>
      <c r="B542" s="1243">
        <f t="shared" si="70"/>
        <v>7</v>
      </c>
      <c r="C542" s="929">
        <v>42942</v>
      </c>
      <c r="D542" s="929" t="s">
        <v>530</v>
      </c>
      <c r="E542" s="929">
        <v>42942</v>
      </c>
      <c r="F542" s="930" t="s">
        <v>810</v>
      </c>
      <c r="G542" s="931" t="s">
        <v>1794</v>
      </c>
      <c r="H542" s="296" t="s">
        <v>622</v>
      </c>
      <c r="I542" s="371"/>
      <c r="J542" s="932"/>
      <c r="K542" s="371"/>
      <c r="L542" s="377"/>
      <c r="M542" s="933">
        <v>31028695</v>
      </c>
      <c r="N542" s="934" t="s">
        <v>539</v>
      </c>
      <c r="O542" s="934" t="s">
        <v>8</v>
      </c>
      <c r="P542" s="75" t="str">
        <f>IF(AND('331-CT'!$E$7=TH!H542,OR(N542="331",O542="331")),"x","")</f>
        <v/>
      </c>
      <c r="Q542" s="75" t="str">
        <f>IF(AND(B542='111'!$L$11,OR($N542=$Q$7,$O542=$Q$7)),"x","")</f>
        <v/>
      </c>
      <c r="R542" s="75" t="str">
        <f>IF(AND($N542=$Q$7,$B542&lt;'111'!$L$11),"x","")</f>
        <v/>
      </c>
      <c r="S542" s="75" t="str">
        <f>IF(AND($O542=$Q$7,$B542&lt;'111'!$L$11),"x","")</f>
        <v/>
      </c>
      <c r="T542" s="75" t="str">
        <f>IF(ISERROR(FIND('112'!$M$9,G542,1)),"",IF((AND(FIND('112'!$M$9,G542,1)&gt;=1,B542='112'!$K$9,OR($N542='112'!$I$6,$O542='112'!$I$6))),"x",""))</f>
        <v/>
      </c>
      <c r="U542" s="75" t="str">
        <f>IF(ISERROR(FIND('112'!$M$9,G542,1)),"",IF((AND(LEFT(G542,2)=LEFT('112'!$M$9,2),B542&lt;'112'!$K$9,$N542='112'!$I$6)),"x",""))</f>
        <v/>
      </c>
      <c r="V542" s="75" t="str">
        <f>IF(ISERROR(FIND('112'!$M$9,G542,1)),"",IF((AND(RIGHT(G542,2)=RIGHT('112'!$M$9,2),B542&lt;'112'!$K$9,$O542='112'!$I$6)),"x",""))</f>
        <v/>
      </c>
      <c r="W542" s="75" t="str">
        <f>IF(AND('341-CT'!$H$9=H542,OR(LEFT(N542,3)=$W$7,LEFT(O542,3)=$W$7)),"x","")</f>
        <v/>
      </c>
      <c r="X542" s="75" t="str">
        <f>IF(OR(TH!N542=TH!$X$7,O542=TH!$X$7),"x","")</f>
        <v/>
      </c>
      <c r="Y542" s="75" t="str">
        <f>IF(AND(OR(N542="131",O542="131"),H542='131-CT'!$H$9),"x","")</f>
        <v/>
      </c>
      <c r="Z542" s="75"/>
      <c r="AA542" s="75" t="str">
        <f>IF(AND(MONTH(E542)='IN-NX'!$J$5,'IN-NX'!$D$7=D542),"x","")</f>
        <v/>
      </c>
      <c r="AB542" s="75" t="str">
        <f>IF(AND(OR(LEFT(TH!N542,2)="15",LEFT(TH!O542,2)="15"),LEFT(TH!O542,3)&lt;&gt;"111",'152-CT'!$J$8=TH!F542),"x","")</f>
        <v/>
      </c>
      <c r="AC542" s="75" t="str">
        <f>IF(AND(OR(LEFT(TH!N542,2)="15",LEFT(TH!O542,2)="15"),TK!$E$7=TH!F542),"x","")</f>
        <v/>
      </c>
      <c r="AD542" s="75" t="str">
        <f>IF(AND(N542="1521",MONTH(C542)='BK-NL'!$M$11),"x","")</f>
        <v/>
      </c>
    </row>
    <row r="543" spans="1:31" ht="16.5" customHeight="1">
      <c r="A543" s="309" t="str">
        <f>IF(B543&lt;&gt;"",IF(AND(B543='IN-TC'!$S$4,OR(TH!N543="1111",TH!O543="1111")),TH!D543,""),"")</f>
        <v/>
      </c>
      <c r="B543" s="1243">
        <f t="shared" si="70"/>
        <v>7</v>
      </c>
      <c r="C543" s="929">
        <v>42942</v>
      </c>
      <c r="D543" s="929" t="s">
        <v>530</v>
      </c>
      <c r="E543" s="929">
        <v>42942</v>
      </c>
      <c r="F543" s="930" t="s">
        <v>811</v>
      </c>
      <c r="G543" s="931" t="s">
        <v>1794</v>
      </c>
      <c r="H543" s="296" t="s">
        <v>622</v>
      </c>
      <c r="I543" s="371"/>
      <c r="J543" s="932"/>
      <c r="K543" s="371"/>
      <c r="L543" s="377"/>
      <c r="M543" s="933">
        <v>3102870</v>
      </c>
      <c r="N543" s="934" t="s">
        <v>9</v>
      </c>
      <c r="O543" s="934" t="s">
        <v>8</v>
      </c>
      <c r="P543" s="75" t="str">
        <f>IF(AND('331-CT'!$E$7=TH!H543,OR(N543="331",O543="331")),"x","")</f>
        <v/>
      </c>
      <c r="Q543" s="75" t="str">
        <f>IF(AND(B543='111'!$L$11,OR($N543=$Q$7,$O543=$Q$7)),"x","")</f>
        <v/>
      </c>
      <c r="R543" s="75" t="str">
        <f>IF(AND($N543=$Q$7,$B543&lt;'111'!$L$11),"x","")</f>
        <v/>
      </c>
      <c r="S543" s="75" t="str">
        <f>IF(AND($O543=$Q$7,$B543&lt;'111'!$L$11),"x","")</f>
        <v/>
      </c>
      <c r="T543" s="75" t="str">
        <f>IF(ISERROR(FIND('112'!$M$9,G543,1)),"",IF((AND(FIND('112'!$M$9,G543,1)&gt;=1,B543='112'!$K$9,OR($N543='112'!$I$6,$O543='112'!$I$6))),"x",""))</f>
        <v/>
      </c>
      <c r="U543" s="75" t="str">
        <f>IF(ISERROR(FIND('112'!$M$9,G543,1)),"",IF((AND(LEFT(G543,2)=LEFT('112'!$M$9,2),B543&lt;'112'!$K$9,$N543='112'!$I$6)),"x",""))</f>
        <v/>
      </c>
      <c r="V543" s="75" t="str">
        <f>IF(ISERROR(FIND('112'!$M$9,G543,1)),"",IF((AND(RIGHT(G543,2)=RIGHT('112'!$M$9,2),B543&lt;'112'!$K$9,$O543='112'!$I$6)),"x",""))</f>
        <v/>
      </c>
      <c r="W543" s="75" t="str">
        <f>IF(AND('341-CT'!$H$9=H543,OR(LEFT(N543,3)=$W$7,LEFT(O543,3)=$W$7)),"x","")</f>
        <v/>
      </c>
      <c r="X543" s="75" t="str">
        <f>IF(OR(TH!N543=TH!$X$7,O543=TH!$X$7),"x","")</f>
        <v/>
      </c>
      <c r="Y543" s="75" t="str">
        <f>IF(AND(OR(N543="131",O543="131"),H543='131-CT'!$H$9),"x","")</f>
        <v/>
      </c>
      <c r="Z543" s="75"/>
      <c r="AA543" s="75" t="str">
        <f>IF(AND(MONTH(E543)='IN-NX'!$J$5,'IN-NX'!$D$7=D543),"x","")</f>
        <v/>
      </c>
      <c r="AB543" s="75" t="str">
        <f>IF(AND(OR(LEFT(TH!N543,2)="15",LEFT(TH!O543,2)="15"),LEFT(TH!O543,3)&lt;&gt;"111",'152-CT'!$J$8=TH!F543),"x","")</f>
        <v/>
      </c>
      <c r="AC543" s="75" t="str">
        <f>IF(AND(OR(LEFT(TH!N543,2)="15",LEFT(TH!O543,2)="15"),TK!$E$7=TH!F543),"x","")</f>
        <v/>
      </c>
      <c r="AD543" s="75" t="str">
        <f>IF(AND(N543="1521",MONTH(C543)='BK-NL'!$M$11),"x","")</f>
        <v/>
      </c>
      <c r="AE543">
        <v>7</v>
      </c>
    </row>
    <row r="544" spans="1:31" ht="16.5" customHeight="1">
      <c r="A544" s="309" t="str">
        <f>IF(B544&lt;&gt;"",IF(AND(B544='IN-TC'!$S$4,OR(TH!N544="1111",TH!O544="1111")),TH!D544,""),"")</f>
        <v/>
      </c>
      <c r="B544" s="1243">
        <f t="shared" si="70"/>
        <v>7</v>
      </c>
      <c r="C544" s="929">
        <v>42942</v>
      </c>
      <c r="D544" s="929" t="s">
        <v>530</v>
      </c>
      <c r="E544" s="929">
        <v>42942</v>
      </c>
      <c r="F544" s="930" t="s">
        <v>808</v>
      </c>
      <c r="G544" s="931" t="s">
        <v>1795</v>
      </c>
      <c r="H544" s="296" t="s">
        <v>622</v>
      </c>
      <c r="I544" s="371"/>
      <c r="J544" s="932"/>
      <c r="K544" s="371"/>
      <c r="L544" s="377"/>
      <c r="M544" s="933">
        <v>81936000</v>
      </c>
      <c r="N544" s="934" t="s">
        <v>539</v>
      </c>
      <c r="O544" s="934" t="s">
        <v>8</v>
      </c>
      <c r="P544" s="75" t="str">
        <f>IF(AND('331-CT'!$E$7=TH!H544,OR(N544="331",O544="331")),"x","")</f>
        <v/>
      </c>
      <c r="Q544" s="75" t="str">
        <f>IF(AND(B544='111'!$L$11,OR($N544=$Q$7,$O544=$Q$7)),"x","")</f>
        <v/>
      </c>
      <c r="R544" s="75" t="str">
        <f>IF(AND($N544=$Q$7,$B544&lt;'111'!$L$11),"x","")</f>
        <v/>
      </c>
      <c r="S544" s="75" t="str">
        <f>IF(AND($O544=$Q$7,$B544&lt;'111'!$L$11),"x","")</f>
        <v/>
      </c>
      <c r="T544" s="75" t="str">
        <f>IF(ISERROR(FIND('112'!$M$9,G544,1)),"",IF((AND(FIND('112'!$M$9,G544,1)&gt;=1,B544='112'!$K$9,OR($N544='112'!$I$6,$O544='112'!$I$6))),"x",""))</f>
        <v/>
      </c>
      <c r="U544" s="75" t="str">
        <f>IF(ISERROR(FIND('112'!$M$9,G544,1)),"",IF((AND(LEFT(G544,2)=LEFT('112'!$M$9,2),B544&lt;'112'!$K$9,$N544='112'!$I$6)),"x",""))</f>
        <v/>
      </c>
      <c r="V544" s="75" t="str">
        <f>IF(ISERROR(FIND('112'!$M$9,G544,1)),"",IF((AND(RIGHT(G544,2)=RIGHT('112'!$M$9,2),B544&lt;'112'!$K$9,$O544='112'!$I$6)),"x",""))</f>
        <v/>
      </c>
      <c r="W544" s="75" t="str">
        <f>IF(AND('341-CT'!$H$9=H544,OR(LEFT(N544,3)=$W$7,LEFT(O544,3)=$W$7)),"x","")</f>
        <v/>
      </c>
      <c r="X544" s="75" t="str">
        <f>IF(OR(TH!N544=TH!$X$7,O544=TH!$X$7),"x","")</f>
        <v/>
      </c>
      <c r="Y544" s="75" t="str">
        <f>IF(AND(OR(N544="131",O544="131"),H544='131-CT'!$H$9),"x","")</f>
        <v/>
      </c>
      <c r="Z544" s="75"/>
      <c r="AA544" s="75" t="str">
        <f>IF(AND(MONTH(E544)='IN-NX'!$J$5,'IN-NX'!$D$7=D544),"x","")</f>
        <v/>
      </c>
      <c r="AB544" s="75" t="str">
        <f>IF(AND(OR(LEFT(TH!N544,2)="15",LEFT(TH!O544,2)="15"),LEFT(TH!O544,3)&lt;&gt;"111",'152-CT'!$J$8=TH!F544),"x","")</f>
        <v/>
      </c>
      <c r="AC544" s="75" t="str">
        <f>IF(AND(OR(LEFT(TH!N544,2)="15",LEFT(TH!O544,2)="15"),TK!$E$7=TH!F544),"x","")</f>
        <v/>
      </c>
      <c r="AD544" s="75" t="str">
        <f>IF(AND(N544="1521",MONTH(C544)='BK-NL'!$M$11),"x","")</f>
        <v/>
      </c>
    </row>
    <row r="545" spans="1:31" ht="16.5" customHeight="1">
      <c r="A545" s="309" t="str">
        <f>IF(B545&lt;&gt;"",IF(AND(B545='IN-TC'!$S$4,OR(TH!N545="1111",TH!O545="1111")),TH!D545,""),"")</f>
        <v/>
      </c>
      <c r="B545" s="1243">
        <f t="shared" si="70"/>
        <v>7</v>
      </c>
      <c r="C545" s="929">
        <v>42942</v>
      </c>
      <c r="D545" s="929" t="s">
        <v>530</v>
      </c>
      <c r="E545" s="929">
        <v>42942</v>
      </c>
      <c r="F545" s="930" t="s">
        <v>810</v>
      </c>
      <c r="G545" s="931" t="s">
        <v>1796</v>
      </c>
      <c r="H545" s="296" t="s">
        <v>622</v>
      </c>
      <c r="I545" s="371"/>
      <c r="J545" s="932"/>
      <c r="K545" s="371"/>
      <c r="L545" s="377"/>
      <c r="M545" s="933">
        <v>31021880</v>
      </c>
      <c r="N545" s="934" t="s">
        <v>539</v>
      </c>
      <c r="O545" s="934" t="s">
        <v>8</v>
      </c>
      <c r="P545" s="75" t="str">
        <f>IF(AND('331-CT'!$E$7=TH!H545,OR(N545="331",O545="331")),"x","")</f>
        <v/>
      </c>
      <c r="Q545" s="75" t="str">
        <f>IF(AND(B545='111'!$L$11,OR($N545=$Q$7,$O545=$Q$7)),"x","")</f>
        <v/>
      </c>
      <c r="R545" s="75" t="str">
        <f>IF(AND($N545=$Q$7,$B545&lt;'111'!$L$11),"x","")</f>
        <v/>
      </c>
      <c r="S545" s="75" t="str">
        <f>IF(AND($O545=$Q$7,$B545&lt;'111'!$L$11),"x","")</f>
        <v/>
      </c>
      <c r="T545" s="75" t="str">
        <f>IF(ISERROR(FIND('112'!$M$9,G545,1)),"",IF((AND(FIND('112'!$M$9,G545,1)&gt;=1,B545='112'!$K$9,OR($N545='112'!$I$6,$O545='112'!$I$6))),"x",""))</f>
        <v/>
      </c>
      <c r="U545" s="75" t="str">
        <f>IF(ISERROR(FIND('112'!$M$9,G545,1)),"",IF((AND(LEFT(G545,2)=LEFT('112'!$M$9,2),B545&lt;'112'!$K$9,$N545='112'!$I$6)),"x",""))</f>
        <v/>
      </c>
      <c r="V545" s="75" t="str">
        <f>IF(ISERROR(FIND('112'!$M$9,G545,1)),"",IF((AND(RIGHT(G545,2)=RIGHT('112'!$M$9,2),B545&lt;'112'!$K$9,$O545='112'!$I$6)),"x",""))</f>
        <v/>
      </c>
      <c r="W545" s="75" t="str">
        <f>IF(AND('341-CT'!$H$9=H545,OR(LEFT(N545,3)=$W$7,LEFT(O545,3)=$W$7)),"x","")</f>
        <v/>
      </c>
      <c r="X545" s="75" t="str">
        <f>IF(OR(TH!N545=TH!$X$7,O545=TH!$X$7),"x","")</f>
        <v/>
      </c>
      <c r="Y545" s="75" t="str">
        <f>IF(AND(OR(N545="131",O545="131"),H545='131-CT'!$H$9),"x","")</f>
        <v/>
      </c>
      <c r="Z545" s="75"/>
      <c r="AA545" s="75" t="str">
        <f>IF(AND(MONTH(E545)='IN-NX'!$J$5,'IN-NX'!$D$7=D545),"x","")</f>
        <v/>
      </c>
      <c r="AB545" s="75" t="str">
        <f>IF(AND(OR(LEFT(TH!N545,2)="15",LEFT(TH!O545,2)="15"),LEFT(TH!O545,3)&lt;&gt;"111",'152-CT'!$J$8=TH!F545),"x","")</f>
        <v/>
      </c>
      <c r="AC545" s="75" t="str">
        <f>IF(AND(OR(LEFT(TH!N545,2)="15",LEFT(TH!O545,2)="15"),TK!$E$7=TH!F545),"x","")</f>
        <v/>
      </c>
      <c r="AD545" s="75" t="str">
        <f>IF(AND(N545="1521",MONTH(C545)='BK-NL'!$M$11),"x","")</f>
        <v/>
      </c>
    </row>
    <row r="546" spans="1:31" ht="16.5" customHeight="1">
      <c r="A546" s="309" t="str">
        <f>IF(B546&lt;&gt;"",IF(AND(B546='IN-TC'!$S$4,OR(TH!N546="1111",TH!O546="1111")),TH!D546,""),"")</f>
        <v/>
      </c>
      <c r="B546" s="1243">
        <f t="shared" si="70"/>
        <v>7</v>
      </c>
      <c r="C546" s="929">
        <v>42942</v>
      </c>
      <c r="D546" s="929" t="s">
        <v>530</v>
      </c>
      <c r="E546" s="929">
        <v>42942</v>
      </c>
      <c r="F546" s="930" t="s">
        <v>811</v>
      </c>
      <c r="G546" s="931" t="s">
        <v>1796</v>
      </c>
      <c r="H546" s="296" t="s">
        <v>622</v>
      </c>
      <c r="I546" s="371"/>
      <c r="J546" s="932"/>
      <c r="K546" s="371"/>
      <c r="L546" s="377"/>
      <c r="M546" s="933">
        <v>3102188</v>
      </c>
      <c r="N546" s="934" t="s">
        <v>9</v>
      </c>
      <c r="O546" s="934" t="s">
        <v>8</v>
      </c>
      <c r="P546" s="75" t="str">
        <f>IF(AND('331-CT'!$E$7=TH!H546,OR(N546="331",O546="331")),"x","")</f>
        <v/>
      </c>
      <c r="Q546" s="75" t="str">
        <f>IF(AND(B546='111'!$L$11,OR($N546=$Q$7,$O546=$Q$7)),"x","")</f>
        <v/>
      </c>
      <c r="R546" s="75" t="str">
        <f>IF(AND($N546=$Q$7,$B546&lt;'111'!$L$11),"x","")</f>
        <v/>
      </c>
      <c r="S546" s="75" t="str">
        <f>IF(AND($O546=$Q$7,$B546&lt;'111'!$L$11),"x","")</f>
        <v/>
      </c>
      <c r="T546" s="75" t="str">
        <f>IF(ISERROR(FIND('112'!$M$9,G546,1)),"",IF((AND(FIND('112'!$M$9,G546,1)&gt;=1,B546='112'!$K$9,OR($N546='112'!$I$6,$O546='112'!$I$6))),"x",""))</f>
        <v/>
      </c>
      <c r="U546" s="75" t="str">
        <f>IF(ISERROR(FIND('112'!$M$9,G546,1)),"",IF((AND(LEFT(G546,2)=LEFT('112'!$M$9,2),B546&lt;'112'!$K$9,$N546='112'!$I$6)),"x",""))</f>
        <v/>
      </c>
      <c r="V546" s="75" t="str">
        <f>IF(ISERROR(FIND('112'!$M$9,G546,1)),"",IF((AND(RIGHT(G546,2)=RIGHT('112'!$M$9,2),B546&lt;'112'!$K$9,$O546='112'!$I$6)),"x",""))</f>
        <v/>
      </c>
      <c r="W546" s="75" t="str">
        <f>IF(AND('341-CT'!$H$9=H546,OR(LEFT(N546,3)=$W$7,LEFT(O546,3)=$W$7)),"x","")</f>
        <v/>
      </c>
      <c r="X546" s="75" t="str">
        <f>IF(OR(TH!N546=TH!$X$7,O546=TH!$X$7),"x","")</f>
        <v/>
      </c>
      <c r="Y546" s="75" t="str">
        <f>IF(AND(OR(N546="131",O546="131"),H546='131-CT'!$H$9),"x","")</f>
        <v/>
      </c>
      <c r="Z546" s="75"/>
      <c r="AA546" s="75" t="str">
        <f>IF(AND(MONTH(E546)='IN-NX'!$J$5,'IN-NX'!$D$7=D546),"x","")</f>
        <v/>
      </c>
      <c r="AB546" s="75" t="str">
        <f>IF(AND(OR(LEFT(TH!N546,2)="15",LEFT(TH!O546,2)="15"),LEFT(TH!O546,3)&lt;&gt;"111",'152-CT'!$J$8=TH!F546),"x","")</f>
        <v/>
      </c>
      <c r="AC546" s="75" t="str">
        <f>IF(AND(OR(LEFT(TH!N546,2)="15",LEFT(TH!O546,2)="15"),TK!$E$7=TH!F546),"x","")</f>
        <v/>
      </c>
      <c r="AD546" s="75" t="str">
        <f>IF(AND(N546="1521",MONTH(C546)='BK-NL'!$M$11),"x","")</f>
        <v/>
      </c>
      <c r="AE546">
        <v>7</v>
      </c>
    </row>
    <row r="547" spans="1:31" ht="16.5" customHeight="1">
      <c r="A547" s="309" t="str">
        <f>IF(B547&lt;&gt;"",IF(AND(B547='IN-TC'!$S$4,OR(TH!N547="1111",TH!O547="1111")),TH!D547,""),"")</f>
        <v/>
      </c>
      <c r="B547" s="1243">
        <f t="shared" si="70"/>
        <v>7</v>
      </c>
      <c r="C547" s="929">
        <v>42942</v>
      </c>
      <c r="D547" s="929" t="s">
        <v>530</v>
      </c>
      <c r="E547" s="929">
        <v>42942</v>
      </c>
      <c r="F547" s="930" t="s">
        <v>808</v>
      </c>
      <c r="G547" s="931" t="s">
        <v>1797</v>
      </c>
      <c r="H547" s="296" t="s">
        <v>622</v>
      </c>
      <c r="I547" s="371"/>
      <c r="J547" s="932"/>
      <c r="K547" s="371"/>
      <c r="L547" s="377"/>
      <c r="M547" s="933">
        <v>81936000</v>
      </c>
      <c r="N547" s="934" t="s">
        <v>539</v>
      </c>
      <c r="O547" s="934" t="s">
        <v>8</v>
      </c>
      <c r="P547" s="75" t="str">
        <f>IF(AND('331-CT'!$E$7=TH!H547,OR(N547="331",O547="331")),"x","")</f>
        <v/>
      </c>
      <c r="Q547" s="75" t="str">
        <f>IF(AND(B547='111'!$L$11,OR($N547=$Q$7,$O547=$Q$7)),"x","")</f>
        <v/>
      </c>
      <c r="R547" s="75" t="str">
        <f>IF(AND($N547=$Q$7,$B547&lt;'111'!$L$11),"x","")</f>
        <v/>
      </c>
      <c r="S547" s="75" t="str">
        <f>IF(AND($O547=$Q$7,$B547&lt;'111'!$L$11),"x","")</f>
        <v/>
      </c>
      <c r="T547" s="75" t="str">
        <f>IF(ISERROR(FIND('112'!$M$9,G547,1)),"",IF((AND(FIND('112'!$M$9,G547,1)&gt;=1,B547='112'!$K$9,OR($N547='112'!$I$6,$O547='112'!$I$6))),"x",""))</f>
        <v/>
      </c>
      <c r="U547" s="75" t="str">
        <f>IF(ISERROR(FIND('112'!$M$9,G547,1)),"",IF((AND(LEFT(G547,2)=LEFT('112'!$M$9,2),B547&lt;'112'!$K$9,$N547='112'!$I$6)),"x",""))</f>
        <v/>
      </c>
      <c r="V547" s="75" t="str">
        <f>IF(ISERROR(FIND('112'!$M$9,G547,1)),"",IF((AND(RIGHT(G547,2)=RIGHT('112'!$M$9,2),B547&lt;'112'!$K$9,$O547='112'!$I$6)),"x",""))</f>
        <v/>
      </c>
      <c r="W547" s="75" t="str">
        <f>IF(AND('341-CT'!$H$9=H547,OR(LEFT(N547,3)=$W$7,LEFT(O547,3)=$W$7)),"x","")</f>
        <v/>
      </c>
      <c r="X547" s="75" t="str">
        <f>IF(OR(TH!N547=TH!$X$7,O547=TH!$X$7),"x","")</f>
        <v/>
      </c>
      <c r="Y547" s="75" t="str">
        <f>IF(AND(OR(N547="131",O547="131"),H547='131-CT'!$H$9),"x","")</f>
        <v/>
      </c>
      <c r="Z547" s="75"/>
      <c r="AA547" s="75" t="str">
        <f>IF(AND(MONTH(E547)='IN-NX'!$J$5,'IN-NX'!$D$7=D547),"x","")</f>
        <v/>
      </c>
      <c r="AB547" s="75" t="str">
        <f>IF(AND(OR(LEFT(TH!N547,2)="15",LEFT(TH!O547,2)="15"),LEFT(TH!O547,3)&lt;&gt;"111",'152-CT'!$J$8=TH!F547),"x","")</f>
        <v/>
      </c>
      <c r="AC547" s="75" t="str">
        <f>IF(AND(OR(LEFT(TH!N547,2)="15",LEFT(TH!O547,2)="15"),TK!$E$7=TH!F547),"x","")</f>
        <v/>
      </c>
      <c r="AD547" s="75" t="str">
        <f>IF(AND(N547="1521",MONTH(C547)='BK-NL'!$M$11),"x","")</f>
        <v/>
      </c>
    </row>
    <row r="548" spans="1:31" ht="16.5" customHeight="1">
      <c r="A548" s="309" t="str">
        <f>IF(B548&lt;&gt;"",IF(AND(B548='IN-TC'!$S$4,OR(TH!N548="1111",TH!O548="1111")),TH!D548,""),"")</f>
        <v/>
      </c>
      <c r="B548" s="1243">
        <f t="shared" si="70"/>
        <v>7</v>
      </c>
      <c r="C548" s="929">
        <v>42942</v>
      </c>
      <c r="D548" s="929" t="s">
        <v>530</v>
      </c>
      <c r="E548" s="929">
        <v>42942</v>
      </c>
      <c r="F548" s="930" t="s">
        <v>810</v>
      </c>
      <c r="G548" s="931" t="s">
        <v>1798</v>
      </c>
      <c r="H548" s="296" t="s">
        <v>622</v>
      </c>
      <c r="I548" s="371"/>
      <c r="J548" s="932"/>
      <c r="K548" s="371"/>
      <c r="L548" s="377"/>
      <c r="M548" s="933">
        <v>31021880</v>
      </c>
      <c r="N548" s="934" t="s">
        <v>539</v>
      </c>
      <c r="O548" s="934" t="s">
        <v>8</v>
      </c>
      <c r="P548" s="75" t="str">
        <f>IF(AND('331-CT'!$E$7=TH!H548,OR(N548="331",O548="331")),"x","")</f>
        <v/>
      </c>
      <c r="Q548" s="75" t="str">
        <f>IF(AND(B548='111'!$L$11,OR($N548=$Q$7,$O548=$Q$7)),"x","")</f>
        <v/>
      </c>
      <c r="R548" s="75" t="str">
        <f>IF(AND($N548=$Q$7,$B548&lt;'111'!$L$11),"x","")</f>
        <v/>
      </c>
      <c r="S548" s="75" t="str">
        <f>IF(AND($O548=$Q$7,$B548&lt;'111'!$L$11),"x","")</f>
        <v/>
      </c>
      <c r="T548" s="75" t="str">
        <f>IF(ISERROR(FIND('112'!$M$9,G548,1)),"",IF((AND(FIND('112'!$M$9,G548,1)&gt;=1,B548='112'!$K$9,OR($N548='112'!$I$6,$O548='112'!$I$6))),"x",""))</f>
        <v/>
      </c>
      <c r="U548" s="75" t="str">
        <f>IF(ISERROR(FIND('112'!$M$9,G548,1)),"",IF((AND(LEFT(G548,2)=LEFT('112'!$M$9,2),B548&lt;'112'!$K$9,$N548='112'!$I$6)),"x",""))</f>
        <v/>
      </c>
      <c r="V548" s="75" t="str">
        <f>IF(ISERROR(FIND('112'!$M$9,G548,1)),"",IF((AND(RIGHT(G548,2)=RIGHT('112'!$M$9,2),B548&lt;'112'!$K$9,$O548='112'!$I$6)),"x",""))</f>
        <v/>
      </c>
      <c r="W548" s="75" t="str">
        <f>IF(AND('341-CT'!$H$9=H548,OR(LEFT(N548,3)=$W$7,LEFT(O548,3)=$W$7)),"x","")</f>
        <v/>
      </c>
      <c r="X548" s="75" t="str">
        <f>IF(OR(TH!N548=TH!$X$7,O548=TH!$X$7),"x","")</f>
        <v/>
      </c>
      <c r="Y548" s="75" t="str">
        <f>IF(AND(OR(N548="131",O548="131"),H548='131-CT'!$H$9),"x","")</f>
        <v/>
      </c>
      <c r="Z548" s="75"/>
      <c r="AA548" s="75" t="str">
        <f>IF(AND(MONTH(E548)='IN-NX'!$J$5,'IN-NX'!$D$7=D548),"x","")</f>
        <v/>
      </c>
      <c r="AB548" s="75" t="str">
        <f>IF(AND(OR(LEFT(TH!N548,2)="15",LEFT(TH!O548,2)="15"),LEFT(TH!O548,3)&lt;&gt;"111",'152-CT'!$J$8=TH!F548),"x","")</f>
        <v/>
      </c>
      <c r="AC548" s="75" t="str">
        <f>IF(AND(OR(LEFT(TH!N548,2)="15",LEFT(TH!O548,2)="15"),TK!$E$7=TH!F548),"x","")</f>
        <v/>
      </c>
      <c r="AD548" s="75" t="str">
        <f>IF(AND(N548="1521",MONTH(C548)='BK-NL'!$M$11),"x","")</f>
        <v/>
      </c>
    </row>
    <row r="549" spans="1:31" ht="16.5" customHeight="1">
      <c r="A549" s="309" t="str">
        <f>IF(B549&lt;&gt;"",IF(AND(B549='IN-TC'!$S$4,OR(TH!N549="1111",TH!O549="1111")),TH!D549,""),"")</f>
        <v/>
      </c>
      <c r="B549" s="1243">
        <f t="shared" si="70"/>
        <v>7</v>
      </c>
      <c r="C549" s="929">
        <v>42942</v>
      </c>
      <c r="D549" s="929" t="s">
        <v>530</v>
      </c>
      <c r="E549" s="929">
        <v>42942</v>
      </c>
      <c r="F549" s="930" t="s">
        <v>811</v>
      </c>
      <c r="G549" s="931" t="s">
        <v>1798</v>
      </c>
      <c r="H549" s="296" t="s">
        <v>622</v>
      </c>
      <c r="I549" s="371"/>
      <c r="J549" s="932"/>
      <c r="K549" s="371"/>
      <c r="L549" s="377"/>
      <c r="M549" s="933">
        <v>3102188</v>
      </c>
      <c r="N549" s="934" t="s">
        <v>9</v>
      </c>
      <c r="O549" s="934" t="s">
        <v>8</v>
      </c>
      <c r="P549" s="75" t="str">
        <f>IF(AND('331-CT'!$E$7=TH!H549,OR(N549="331",O549="331")),"x","")</f>
        <v/>
      </c>
      <c r="Q549" s="75" t="str">
        <f>IF(AND(B549='111'!$L$11,OR($N549=$Q$7,$O549=$Q$7)),"x","")</f>
        <v/>
      </c>
      <c r="R549" s="75" t="str">
        <f>IF(AND($N549=$Q$7,$B549&lt;'111'!$L$11),"x","")</f>
        <v/>
      </c>
      <c r="S549" s="75" t="str">
        <f>IF(AND($O549=$Q$7,$B549&lt;'111'!$L$11),"x","")</f>
        <v/>
      </c>
      <c r="T549" s="75" t="str">
        <f>IF(ISERROR(FIND('112'!$M$9,G549,1)),"",IF((AND(FIND('112'!$M$9,G549,1)&gt;=1,B549='112'!$K$9,OR($N549='112'!$I$6,$O549='112'!$I$6))),"x",""))</f>
        <v/>
      </c>
      <c r="U549" s="75" t="str">
        <f>IF(ISERROR(FIND('112'!$M$9,G549,1)),"",IF((AND(LEFT(G549,2)=LEFT('112'!$M$9,2),B549&lt;'112'!$K$9,$N549='112'!$I$6)),"x",""))</f>
        <v/>
      </c>
      <c r="V549" s="75" t="str">
        <f>IF(ISERROR(FIND('112'!$M$9,G549,1)),"",IF((AND(RIGHT(G549,2)=RIGHT('112'!$M$9,2),B549&lt;'112'!$K$9,$O549='112'!$I$6)),"x",""))</f>
        <v/>
      </c>
      <c r="W549" s="75" t="str">
        <f>IF(AND('341-CT'!$H$9=H549,OR(LEFT(N549,3)=$W$7,LEFT(O549,3)=$W$7)),"x","")</f>
        <v/>
      </c>
      <c r="X549" s="75" t="str">
        <f>IF(OR(TH!N549=TH!$X$7,O549=TH!$X$7),"x","")</f>
        <v/>
      </c>
      <c r="Y549" s="75" t="str">
        <f>IF(AND(OR(N549="131",O549="131"),H549='131-CT'!$H$9),"x","")</f>
        <v/>
      </c>
      <c r="Z549" s="75"/>
      <c r="AA549" s="75" t="str">
        <f>IF(AND(MONTH(E549)='IN-NX'!$J$5,'IN-NX'!$D$7=D549),"x","")</f>
        <v/>
      </c>
      <c r="AB549" s="75" t="str">
        <f>IF(AND(OR(LEFT(TH!N549,2)="15",LEFT(TH!O549,2)="15"),LEFT(TH!O549,3)&lt;&gt;"111",'152-CT'!$J$8=TH!F549),"x","")</f>
        <v/>
      </c>
      <c r="AC549" s="75" t="str">
        <f>IF(AND(OR(LEFT(TH!N549,2)="15",LEFT(TH!O549,2)="15"),TK!$E$7=TH!F549),"x","")</f>
        <v/>
      </c>
      <c r="AD549" s="75" t="str">
        <f>IF(AND(N549="1521",MONTH(C549)='BK-NL'!$M$11),"x","")</f>
        <v/>
      </c>
      <c r="AE549">
        <v>7</v>
      </c>
    </row>
    <row r="550" spans="1:31" ht="16.5" customHeight="1">
      <c r="A550" s="309" t="str">
        <f>IF(B550&lt;&gt;"",IF(AND(B550='IN-TC'!$S$4,OR(TH!N550="1111",TH!O550="1111")),TH!D550,""),"")</f>
        <v/>
      </c>
      <c r="B550" s="1243">
        <f t="shared" si="70"/>
        <v>7</v>
      </c>
      <c r="C550" s="929">
        <v>42947</v>
      </c>
      <c r="D550" s="929" t="s">
        <v>530</v>
      </c>
      <c r="E550" s="929">
        <v>42947</v>
      </c>
      <c r="F550" s="930" t="s">
        <v>808</v>
      </c>
      <c r="G550" s="931" t="s">
        <v>1799</v>
      </c>
      <c r="H550" s="296" t="s">
        <v>622</v>
      </c>
      <c r="I550" s="371"/>
      <c r="J550" s="932"/>
      <c r="K550" s="371"/>
      <c r="L550" s="377"/>
      <c r="M550" s="933">
        <v>81936000</v>
      </c>
      <c r="N550" s="934" t="s">
        <v>539</v>
      </c>
      <c r="O550" s="934" t="s">
        <v>8</v>
      </c>
      <c r="P550" s="75" t="str">
        <f>IF(AND('331-CT'!$E$7=TH!H550,OR(N550="331",O550="331")),"x","")</f>
        <v/>
      </c>
      <c r="Q550" s="75" t="str">
        <f>IF(AND(B550='111'!$L$11,OR($N550=$Q$7,$O550=$Q$7)),"x","")</f>
        <v/>
      </c>
      <c r="R550" s="75" t="str">
        <f>IF(AND($N550=$Q$7,$B550&lt;'111'!$L$11),"x","")</f>
        <v/>
      </c>
      <c r="S550" s="75" t="str">
        <f>IF(AND($O550=$Q$7,$B550&lt;'111'!$L$11),"x","")</f>
        <v/>
      </c>
      <c r="T550" s="75" t="str">
        <f>IF(ISERROR(FIND('112'!$M$9,G550,1)),"",IF((AND(FIND('112'!$M$9,G550,1)&gt;=1,B550='112'!$K$9,OR($N550='112'!$I$6,$O550='112'!$I$6))),"x",""))</f>
        <v/>
      </c>
      <c r="U550" s="75" t="str">
        <f>IF(ISERROR(FIND('112'!$M$9,G550,1)),"",IF((AND(LEFT(G550,2)=LEFT('112'!$M$9,2),B550&lt;'112'!$K$9,$N550='112'!$I$6)),"x",""))</f>
        <v/>
      </c>
      <c r="V550" s="75" t="str">
        <f>IF(ISERROR(FIND('112'!$M$9,G550,1)),"",IF((AND(RIGHT(G550,2)=RIGHT('112'!$M$9,2),B550&lt;'112'!$K$9,$O550='112'!$I$6)),"x",""))</f>
        <v/>
      </c>
      <c r="W550" s="75" t="str">
        <f>IF(AND('341-CT'!$H$9=H550,OR(LEFT(N550,3)=$W$7,LEFT(O550,3)=$W$7)),"x","")</f>
        <v/>
      </c>
      <c r="X550" s="75" t="str">
        <f>IF(OR(TH!N550=TH!$X$7,O550=TH!$X$7),"x","")</f>
        <v/>
      </c>
      <c r="Y550" s="75" t="str">
        <f>IF(AND(OR(N550="131",O550="131"),H550='131-CT'!$H$9),"x","")</f>
        <v/>
      </c>
      <c r="Z550" s="75"/>
      <c r="AA550" s="75" t="str">
        <f>IF(AND(MONTH(E550)='IN-NX'!$J$5,'IN-NX'!$D$7=D550),"x","")</f>
        <v/>
      </c>
      <c r="AB550" s="75" t="str">
        <f>IF(AND(OR(LEFT(TH!N550,2)="15",LEFT(TH!O550,2)="15"),LEFT(TH!O550,3)&lt;&gt;"111",'152-CT'!$J$8=TH!F550),"x","")</f>
        <v/>
      </c>
      <c r="AC550" s="75" t="str">
        <f>IF(AND(OR(LEFT(TH!N550,2)="15",LEFT(TH!O550,2)="15"),TK!$E$7=TH!F550),"x","")</f>
        <v/>
      </c>
      <c r="AD550" s="75" t="str">
        <f>IF(AND(N550="1521",MONTH(C550)='BK-NL'!$M$11),"x","")</f>
        <v/>
      </c>
    </row>
    <row r="551" spans="1:31" ht="16.5" customHeight="1">
      <c r="A551" s="309" t="str">
        <f>IF(B551&lt;&gt;"",IF(AND(B551='IN-TC'!$S$4,OR(TH!N551="1111",TH!O551="1111")),TH!D551,""),"")</f>
        <v/>
      </c>
      <c r="B551" s="1243">
        <f t="shared" si="70"/>
        <v>7</v>
      </c>
      <c r="C551" s="929">
        <v>42947</v>
      </c>
      <c r="D551" s="929" t="s">
        <v>530</v>
      </c>
      <c r="E551" s="929">
        <v>42947</v>
      </c>
      <c r="F551" s="930" t="s">
        <v>810</v>
      </c>
      <c r="G551" s="931" t="s">
        <v>1800</v>
      </c>
      <c r="H551" s="296" t="s">
        <v>622</v>
      </c>
      <c r="I551" s="371"/>
      <c r="J551" s="932"/>
      <c r="K551" s="371"/>
      <c r="L551" s="377"/>
      <c r="M551" s="933">
        <v>31021880</v>
      </c>
      <c r="N551" s="934" t="s">
        <v>539</v>
      </c>
      <c r="O551" s="934" t="s">
        <v>8</v>
      </c>
      <c r="P551" s="75" t="str">
        <f>IF(AND('331-CT'!$E$7=TH!H551,OR(N551="331",O551="331")),"x","")</f>
        <v/>
      </c>
      <c r="Q551" s="75" t="str">
        <f>IF(AND(B551='111'!$L$11,OR($N551=$Q$7,$O551=$Q$7)),"x","")</f>
        <v/>
      </c>
      <c r="R551" s="75" t="str">
        <f>IF(AND($N551=$Q$7,$B551&lt;'111'!$L$11),"x","")</f>
        <v/>
      </c>
      <c r="S551" s="75" t="str">
        <f>IF(AND($O551=$Q$7,$B551&lt;'111'!$L$11),"x","")</f>
        <v/>
      </c>
      <c r="T551" s="75" t="str">
        <f>IF(ISERROR(FIND('112'!$M$9,G551,1)),"",IF((AND(FIND('112'!$M$9,G551,1)&gt;=1,B551='112'!$K$9,OR($N551='112'!$I$6,$O551='112'!$I$6))),"x",""))</f>
        <v/>
      </c>
      <c r="U551" s="75" t="str">
        <f>IF(ISERROR(FIND('112'!$M$9,G551,1)),"",IF((AND(LEFT(G551,2)=LEFT('112'!$M$9,2),B551&lt;'112'!$K$9,$N551='112'!$I$6)),"x",""))</f>
        <v/>
      </c>
      <c r="V551" s="75" t="str">
        <f>IF(ISERROR(FIND('112'!$M$9,G551,1)),"",IF((AND(RIGHT(G551,2)=RIGHT('112'!$M$9,2),B551&lt;'112'!$K$9,$O551='112'!$I$6)),"x",""))</f>
        <v/>
      </c>
      <c r="W551" s="75" t="str">
        <f>IF(AND('341-CT'!$H$9=H551,OR(LEFT(N551,3)=$W$7,LEFT(O551,3)=$W$7)),"x","")</f>
        <v/>
      </c>
      <c r="X551" s="75" t="str">
        <f>IF(OR(TH!N551=TH!$X$7,O551=TH!$X$7),"x","")</f>
        <v/>
      </c>
      <c r="Y551" s="75" t="str">
        <f>IF(AND(OR(N551="131",O551="131"),H551='131-CT'!$H$9),"x","")</f>
        <v/>
      </c>
      <c r="Z551" s="75"/>
      <c r="AA551" s="75" t="str">
        <f>IF(AND(MONTH(E551)='IN-NX'!$J$5,'IN-NX'!$D$7=D551),"x","")</f>
        <v/>
      </c>
      <c r="AB551" s="75" t="str">
        <f>IF(AND(OR(LEFT(TH!N551,2)="15",LEFT(TH!O551,2)="15"),LEFT(TH!O551,3)&lt;&gt;"111",'152-CT'!$J$8=TH!F551),"x","")</f>
        <v/>
      </c>
      <c r="AC551" s="75" t="str">
        <f>IF(AND(OR(LEFT(TH!N551,2)="15",LEFT(TH!O551,2)="15"),TK!$E$7=TH!F551),"x","")</f>
        <v/>
      </c>
      <c r="AD551" s="75" t="str">
        <f>IF(AND(N551="1521",MONTH(C551)='BK-NL'!$M$11),"x","")</f>
        <v/>
      </c>
    </row>
    <row r="552" spans="1:31" ht="16.5" customHeight="1">
      <c r="A552" s="309" t="str">
        <f>IF(B552&lt;&gt;"",IF(AND(B552='IN-TC'!$S$4,OR(TH!N552="1111",TH!O552="1111")),TH!D552,""),"")</f>
        <v/>
      </c>
      <c r="B552" s="1243">
        <f t="shared" si="70"/>
        <v>7</v>
      </c>
      <c r="C552" s="929">
        <v>42947</v>
      </c>
      <c r="D552" s="929" t="s">
        <v>530</v>
      </c>
      <c r="E552" s="929">
        <v>42947</v>
      </c>
      <c r="F552" s="930" t="s">
        <v>811</v>
      </c>
      <c r="G552" s="931" t="s">
        <v>1800</v>
      </c>
      <c r="H552" s="296" t="s">
        <v>622</v>
      </c>
      <c r="I552" s="371"/>
      <c r="J552" s="932"/>
      <c r="K552" s="371"/>
      <c r="L552" s="377"/>
      <c r="M552" s="933">
        <v>3102188</v>
      </c>
      <c r="N552" s="934" t="s">
        <v>9</v>
      </c>
      <c r="O552" s="934" t="s">
        <v>8</v>
      </c>
      <c r="P552" s="75" t="str">
        <f>IF(AND('331-CT'!$E$7=TH!H552,OR(N552="331",O552="331")),"x","")</f>
        <v/>
      </c>
      <c r="Q552" s="75" t="str">
        <f>IF(AND(B552='111'!$L$11,OR($N552=$Q$7,$O552=$Q$7)),"x","")</f>
        <v/>
      </c>
      <c r="R552" s="75" t="str">
        <f>IF(AND($N552=$Q$7,$B552&lt;'111'!$L$11),"x","")</f>
        <v/>
      </c>
      <c r="S552" s="75" t="str">
        <f>IF(AND($O552=$Q$7,$B552&lt;'111'!$L$11),"x","")</f>
        <v/>
      </c>
      <c r="T552" s="75" t="str">
        <f>IF(ISERROR(FIND('112'!$M$9,G552,1)),"",IF((AND(FIND('112'!$M$9,G552,1)&gt;=1,B552='112'!$K$9,OR($N552='112'!$I$6,$O552='112'!$I$6))),"x",""))</f>
        <v/>
      </c>
      <c r="U552" s="75" t="str">
        <f>IF(ISERROR(FIND('112'!$M$9,G552,1)),"",IF((AND(LEFT(G552,2)=LEFT('112'!$M$9,2),B552&lt;'112'!$K$9,$N552='112'!$I$6)),"x",""))</f>
        <v/>
      </c>
      <c r="V552" s="75" t="str">
        <f>IF(ISERROR(FIND('112'!$M$9,G552,1)),"",IF((AND(RIGHT(G552,2)=RIGHT('112'!$M$9,2),B552&lt;'112'!$K$9,$O552='112'!$I$6)),"x",""))</f>
        <v/>
      </c>
      <c r="W552" s="75" t="str">
        <f>IF(AND('341-CT'!$H$9=H552,OR(LEFT(N552,3)=$W$7,LEFT(O552,3)=$W$7)),"x","")</f>
        <v/>
      </c>
      <c r="X552" s="75" t="str">
        <f>IF(OR(TH!N552=TH!$X$7,O552=TH!$X$7),"x","")</f>
        <v/>
      </c>
      <c r="Y552" s="75" t="str">
        <f>IF(AND(OR(N552="131",O552="131"),H552='131-CT'!$H$9),"x","")</f>
        <v/>
      </c>
      <c r="Z552" s="75"/>
      <c r="AA552" s="75" t="str">
        <f>IF(AND(MONTH(E552)='IN-NX'!$J$5,'IN-NX'!$D$7=D552),"x","")</f>
        <v/>
      </c>
      <c r="AB552" s="75" t="str">
        <f>IF(AND(OR(LEFT(TH!N552,2)="15",LEFT(TH!O552,2)="15"),LEFT(TH!O552,3)&lt;&gt;"111",'152-CT'!$J$8=TH!F552),"x","")</f>
        <v/>
      </c>
      <c r="AC552" s="75" t="str">
        <f>IF(AND(OR(LEFT(TH!N552,2)="15",LEFT(TH!O552,2)="15"),TK!$E$7=TH!F552),"x","")</f>
        <v/>
      </c>
      <c r="AD552" s="75" t="str">
        <f>IF(AND(N552="1521",MONTH(C552)='BK-NL'!$M$11),"x","")</f>
        <v/>
      </c>
      <c r="AE552">
        <v>7</v>
      </c>
    </row>
    <row r="553" spans="1:31" ht="16.5" customHeight="1">
      <c r="A553" s="309" t="str">
        <f>IF(B553&lt;&gt;"",IF(AND(B553='IN-TC'!$S$4,OR(TH!N553="1111",TH!O553="1111")),TH!D553,""),"")</f>
        <v/>
      </c>
      <c r="B553" s="1243">
        <f t="shared" si="70"/>
        <v>7</v>
      </c>
      <c r="C553" s="929">
        <v>42947</v>
      </c>
      <c r="D553" s="929" t="s">
        <v>530</v>
      </c>
      <c r="E553" s="929">
        <v>42947</v>
      </c>
      <c r="F553" s="930" t="s">
        <v>808</v>
      </c>
      <c r="G553" s="931" t="s">
        <v>1801</v>
      </c>
      <c r="H553" s="296" t="s">
        <v>622</v>
      </c>
      <c r="I553" s="371"/>
      <c r="J553" s="932"/>
      <c r="K553" s="371"/>
      <c r="L553" s="377"/>
      <c r="M553" s="933">
        <v>81936000</v>
      </c>
      <c r="N553" s="934" t="s">
        <v>539</v>
      </c>
      <c r="O553" s="934" t="s">
        <v>8</v>
      </c>
      <c r="P553" s="75" t="str">
        <f>IF(AND('331-CT'!$E$7=TH!H553,OR(N553="331",O553="331")),"x","")</f>
        <v/>
      </c>
      <c r="Q553" s="75" t="str">
        <f>IF(AND(B553='111'!$L$11,OR($N553=$Q$7,$O553=$Q$7)),"x","")</f>
        <v/>
      </c>
      <c r="R553" s="75" t="str">
        <f>IF(AND($N553=$Q$7,$B553&lt;'111'!$L$11),"x","")</f>
        <v/>
      </c>
      <c r="S553" s="75" t="str">
        <f>IF(AND($O553=$Q$7,$B553&lt;'111'!$L$11),"x","")</f>
        <v/>
      </c>
      <c r="T553" s="75" t="str">
        <f>IF(ISERROR(FIND('112'!$M$9,G553,1)),"",IF((AND(FIND('112'!$M$9,G553,1)&gt;=1,B553='112'!$K$9,OR($N553='112'!$I$6,$O553='112'!$I$6))),"x",""))</f>
        <v/>
      </c>
      <c r="U553" s="75" t="str">
        <f>IF(ISERROR(FIND('112'!$M$9,G553,1)),"",IF((AND(LEFT(G553,2)=LEFT('112'!$M$9,2),B553&lt;'112'!$K$9,$N553='112'!$I$6)),"x",""))</f>
        <v/>
      </c>
      <c r="V553" s="75" t="str">
        <f>IF(ISERROR(FIND('112'!$M$9,G553,1)),"",IF((AND(RIGHT(G553,2)=RIGHT('112'!$M$9,2),B553&lt;'112'!$K$9,$O553='112'!$I$6)),"x",""))</f>
        <v/>
      </c>
      <c r="W553" s="75" t="str">
        <f>IF(AND('341-CT'!$H$9=H553,OR(LEFT(N553,3)=$W$7,LEFT(O553,3)=$W$7)),"x","")</f>
        <v/>
      </c>
      <c r="X553" s="75" t="str">
        <f>IF(OR(TH!N553=TH!$X$7,O553=TH!$X$7),"x","")</f>
        <v/>
      </c>
      <c r="Y553" s="75" t="str">
        <f>IF(AND(OR(N553="131",O553="131"),H553='131-CT'!$H$9),"x","")</f>
        <v/>
      </c>
      <c r="Z553" s="75"/>
      <c r="AA553" s="75" t="str">
        <f>IF(AND(MONTH(E553)='IN-NX'!$J$5,'IN-NX'!$D$7=D553),"x","")</f>
        <v/>
      </c>
      <c r="AB553" s="75" t="str">
        <f>IF(AND(OR(LEFT(TH!N553,2)="15",LEFT(TH!O553,2)="15"),LEFT(TH!O553,3)&lt;&gt;"111",'152-CT'!$J$8=TH!F553),"x","")</f>
        <v/>
      </c>
      <c r="AC553" s="75" t="str">
        <f>IF(AND(OR(LEFT(TH!N553,2)="15",LEFT(TH!O553,2)="15"),TK!$E$7=TH!F553),"x","")</f>
        <v/>
      </c>
      <c r="AD553" s="75" t="str">
        <f>IF(AND(N553="1521",MONTH(C553)='BK-NL'!$M$11),"x","")</f>
        <v/>
      </c>
    </row>
    <row r="554" spans="1:31" ht="16.5" customHeight="1">
      <c r="A554" s="309" t="str">
        <f>IF(B554&lt;&gt;"",IF(AND(B554='IN-TC'!$S$4,OR(TH!N554="1111",TH!O554="1111")),TH!D554,""),"")</f>
        <v/>
      </c>
      <c r="B554" s="1243">
        <f t="shared" si="70"/>
        <v>7</v>
      </c>
      <c r="C554" s="929">
        <v>42947</v>
      </c>
      <c r="D554" s="929" t="s">
        <v>530</v>
      </c>
      <c r="E554" s="929">
        <v>42947</v>
      </c>
      <c r="F554" s="930" t="s">
        <v>810</v>
      </c>
      <c r="G554" s="931" t="s">
        <v>1532</v>
      </c>
      <c r="H554" s="296" t="s">
        <v>622</v>
      </c>
      <c r="I554" s="371"/>
      <c r="J554" s="932"/>
      <c r="K554" s="371"/>
      <c r="L554" s="377"/>
      <c r="M554" s="933">
        <v>31021880</v>
      </c>
      <c r="N554" s="934" t="s">
        <v>539</v>
      </c>
      <c r="O554" s="934" t="s">
        <v>8</v>
      </c>
      <c r="P554" s="75" t="str">
        <f>IF(AND('331-CT'!$E$7=TH!H554,OR(N554="331",O554="331")),"x","")</f>
        <v/>
      </c>
      <c r="Q554" s="75" t="str">
        <f>IF(AND(B554='111'!$L$11,OR($N554=$Q$7,$O554=$Q$7)),"x","")</f>
        <v/>
      </c>
      <c r="R554" s="75" t="str">
        <f>IF(AND($N554=$Q$7,$B554&lt;'111'!$L$11),"x","")</f>
        <v/>
      </c>
      <c r="S554" s="75" t="str">
        <f>IF(AND($O554=$Q$7,$B554&lt;'111'!$L$11),"x","")</f>
        <v/>
      </c>
      <c r="T554" s="75" t="str">
        <f>IF(ISERROR(FIND('112'!$M$9,G554,1)),"",IF((AND(FIND('112'!$M$9,G554,1)&gt;=1,B554='112'!$K$9,OR($N554='112'!$I$6,$O554='112'!$I$6))),"x",""))</f>
        <v/>
      </c>
      <c r="U554" s="75" t="str">
        <f>IF(ISERROR(FIND('112'!$M$9,G554,1)),"",IF((AND(LEFT(G554,2)=LEFT('112'!$M$9,2),B554&lt;'112'!$K$9,$N554='112'!$I$6)),"x",""))</f>
        <v/>
      </c>
      <c r="V554" s="75" t="str">
        <f>IF(ISERROR(FIND('112'!$M$9,G554,1)),"",IF((AND(RIGHT(G554,2)=RIGHT('112'!$M$9,2),B554&lt;'112'!$K$9,$O554='112'!$I$6)),"x",""))</f>
        <v/>
      </c>
      <c r="W554" s="75" t="str">
        <f>IF(AND('341-CT'!$H$9=H554,OR(LEFT(N554,3)=$W$7,LEFT(O554,3)=$W$7)),"x","")</f>
        <v/>
      </c>
      <c r="X554" s="75" t="str">
        <f>IF(OR(TH!N554=TH!$X$7,O554=TH!$X$7),"x","")</f>
        <v/>
      </c>
      <c r="Y554" s="75" t="str">
        <f>IF(AND(OR(N554="131",O554="131"),H554='131-CT'!$H$9),"x","")</f>
        <v/>
      </c>
      <c r="Z554" s="75"/>
      <c r="AA554" s="75" t="str">
        <f>IF(AND(MONTH(E554)='IN-NX'!$J$5,'IN-NX'!$D$7=D554),"x","")</f>
        <v/>
      </c>
      <c r="AB554" s="75" t="str">
        <f>IF(AND(OR(LEFT(TH!N554,2)="15",LEFT(TH!O554,2)="15"),LEFT(TH!O554,3)&lt;&gt;"111",'152-CT'!$J$8=TH!F554),"x","")</f>
        <v/>
      </c>
      <c r="AC554" s="75" t="str">
        <f>IF(AND(OR(LEFT(TH!N554,2)="15",LEFT(TH!O554,2)="15"),TK!$E$7=TH!F554),"x","")</f>
        <v/>
      </c>
      <c r="AD554" s="75" t="str">
        <f>IF(AND(N554="1521",MONTH(C554)='BK-NL'!$M$11),"x","")</f>
        <v/>
      </c>
    </row>
    <row r="555" spans="1:31" ht="16.5" customHeight="1">
      <c r="A555" s="309" t="str">
        <f>IF(B555&lt;&gt;"",IF(AND(B555='IN-TC'!$S$4,OR(TH!N555="1111",TH!O555="1111")),TH!D555,""),"")</f>
        <v/>
      </c>
      <c r="B555" s="1243">
        <f t="shared" si="70"/>
        <v>7</v>
      </c>
      <c r="C555" s="929">
        <v>42947</v>
      </c>
      <c r="D555" s="929" t="s">
        <v>530</v>
      </c>
      <c r="E555" s="929">
        <v>42947</v>
      </c>
      <c r="F555" s="930" t="s">
        <v>811</v>
      </c>
      <c r="G555" s="931" t="s">
        <v>1532</v>
      </c>
      <c r="H555" s="296" t="s">
        <v>622</v>
      </c>
      <c r="I555" s="371"/>
      <c r="J555" s="932"/>
      <c r="K555" s="371"/>
      <c r="L555" s="377"/>
      <c r="M555" s="933">
        <v>3102188</v>
      </c>
      <c r="N555" s="934" t="s">
        <v>9</v>
      </c>
      <c r="O555" s="934" t="s">
        <v>8</v>
      </c>
      <c r="P555" s="75" t="str">
        <f>IF(AND('331-CT'!$E$7=TH!H555,OR(N555="331",O555="331")),"x","")</f>
        <v/>
      </c>
      <c r="Q555" s="75" t="str">
        <f>IF(AND(B555='111'!$L$11,OR($N555=$Q$7,$O555=$Q$7)),"x","")</f>
        <v/>
      </c>
      <c r="R555" s="75" t="str">
        <f>IF(AND($N555=$Q$7,$B555&lt;'111'!$L$11),"x","")</f>
        <v/>
      </c>
      <c r="S555" s="75" t="str">
        <f>IF(AND($O555=$Q$7,$B555&lt;'111'!$L$11),"x","")</f>
        <v/>
      </c>
      <c r="T555" s="75" t="str">
        <f>IF(ISERROR(FIND('112'!$M$9,G555,1)),"",IF((AND(FIND('112'!$M$9,G555,1)&gt;=1,B555='112'!$K$9,OR($N555='112'!$I$6,$O555='112'!$I$6))),"x",""))</f>
        <v/>
      </c>
      <c r="U555" s="75" t="str">
        <f>IF(ISERROR(FIND('112'!$M$9,G555,1)),"",IF((AND(LEFT(G555,2)=LEFT('112'!$M$9,2),B555&lt;'112'!$K$9,$N555='112'!$I$6)),"x",""))</f>
        <v/>
      </c>
      <c r="V555" s="75" t="str">
        <f>IF(ISERROR(FIND('112'!$M$9,G555,1)),"",IF((AND(RIGHT(G555,2)=RIGHT('112'!$M$9,2),B555&lt;'112'!$K$9,$O555='112'!$I$6)),"x",""))</f>
        <v/>
      </c>
      <c r="W555" s="75" t="str">
        <f>IF(AND('341-CT'!$H$9=H555,OR(LEFT(N555,3)=$W$7,LEFT(O555,3)=$W$7)),"x","")</f>
        <v/>
      </c>
      <c r="X555" s="75" t="str">
        <f>IF(OR(TH!N555=TH!$X$7,O555=TH!$X$7),"x","")</f>
        <v/>
      </c>
      <c r="Y555" s="75" t="str">
        <f>IF(AND(OR(N555="131",O555="131"),H555='131-CT'!$H$9),"x","")</f>
        <v/>
      </c>
      <c r="Z555" s="75"/>
      <c r="AA555" s="75" t="str">
        <f>IF(AND(MONTH(E555)='IN-NX'!$J$5,'IN-NX'!$D$7=D555),"x","")</f>
        <v/>
      </c>
      <c r="AB555" s="75" t="str">
        <f>IF(AND(OR(LEFT(TH!N555,2)="15",LEFT(TH!O555,2)="15"),LEFT(TH!O555,3)&lt;&gt;"111",'152-CT'!$J$8=TH!F555),"x","")</f>
        <v/>
      </c>
      <c r="AC555" s="75" t="str">
        <f>IF(AND(OR(LEFT(TH!N555,2)="15",LEFT(TH!O555,2)="15"),TK!$E$7=TH!F555),"x","")</f>
        <v/>
      </c>
      <c r="AD555" s="75" t="str">
        <f>IF(AND(N555="1521",MONTH(C555)='BK-NL'!$M$11),"x","")</f>
        <v/>
      </c>
      <c r="AE555">
        <v>7</v>
      </c>
    </row>
    <row r="556" spans="1:31" ht="16.5" customHeight="1">
      <c r="A556" s="309" t="str">
        <f>IF(B556&lt;&gt;"",IF(AND(B556='IN-TC'!$S$4,OR(TH!N556="1111",TH!O556="1111")),TH!D556,""),"")</f>
        <v/>
      </c>
      <c r="B556" s="1243">
        <f t="shared" si="70"/>
        <v>7</v>
      </c>
      <c r="C556" s="929">
        <v>42947</v>
      </c>
      <c r="D556" s="929" t="s">
        <v>530</v>
      </c>
      <c r="E556" s="929">
        <v>42947</v>
      </c>
      <c r="F556" s="930" t="s">
        <v>1322</v>
      </c>
      <c r="G556" s="931" t="s">
        <v>2122</v>
      </c>
      <c r="H556" s="735" t="s">
        <v>739</v>
      </c>
      <c r="I556" s="371"/>
      <c r="J556" s="932"/>
      <c r="K556" s="371"/>
      <c r="L556" s="377"/>
      <c r="M556" s="933">
        <v>9678352</v>
      </c>
      <c r="N556" s="934" t="s">
        <v>539</v>
      </c>
      <c r="O556" s="934" t="s">
        <v>8</v>
      </c>
      <c r="P556" s="75" t="str">
        <f>IF(AND('331-CT'!$E$7=TH!H556,OR(N556="331",O556="331")),"x","")</f>
        <v/>
      </c>
      <c r="Q556" s="75" t="str">
        <f>IF(AND(B556='111'!$L$11,OR($N556=$Q$7,$O556=$Q$7)),"x","")</f>
        <v/>
      </c>
      <c r="R556" s="75" t="str">
        <f>IF(AND($N556=$Q$7,$B556&lt;'111'!$L$11),"x","")</f>
        <v/>
      </c>
      <c r="S556" s="75" t="str">
        <f>IF(AND($O556=$Q$7,$B556&lt;'111'!$L$11),"x","")</f>
        <v/>
      </c>
      <c r="T556" s="75" t="str">
        <f>IF(ISERROR(FIND('112'!$M$9,G556,1)),"",IF((AND(FIND('112'!$M$9,G556,1)&gt;=1,B556='112'!$K$9,OR($N556='112'!$I$6,$O556='112'!$I$6))),"x",""))</f>
        <v/>
      </c>
      <c r="U556" s="75" t="str">
        <f>IF(ISERROR(FIND('112'!$M$9,G556,1)),"",IF((AND(LEFT(G556,2)=LEFT('112'!$M$9,2),B556&lt;'112'!$K$9,$N556='112'!$I$6)),"x",""))</f>
        <v/>
      </c>
      <c r="V556" s="75" t="str">
        <f>IF(ISERROR(FIND('112'!$M$9,G556,1)),"",IF((AND(RIGHT(G556,2)=RIGHT('112'!$M$9,2),B556&lt;'112'!$K$9,$O556='112'!$I$6)),"x",""))</f>
        <v/>
      </c>
      <c r="W556" s="75" t="str">
        <f>IF(AND('341-CT'!$H$9=H556,OR(LEFT(N556,3)=$W$7,LEFT(O556,3)=$W$7)),"x","")</f>
        <v/>
      </c>
      <c r="X556" s="75" t="str">
        <f>IF(OR(TH!N556=TH!$X$7,O556=TH!$X$7),"x","")</f>
        <v/>
      </c>
      <c r="Y556" s="75" t="str">
        <f>IF(AND(OR(N556="131",O556="131"),H556='131-CT'!$H$9),"x","")</f>
        <v/>
      </c>
      <c r="Z556" s="75"/>
      <c r="AA556" s="75" t="str">
        <f>IF(AND(MONTH(E556)='IN-NX'!$J$5,'IN-NX'!$D$7=D556),"x","")</f>
        <v/>
      </c>
      <c r="AB556" s="75" t="str">
        <f>IF(AND(OR(LEFT(TH!N556,2)="15",LEFT(TH!O556,2)="15"),LEFT(TH!O556,3)&lt;&gt;"111",'152-CT'!$J$8=TH!F556),"x","")</f>
        <v/>
      </c>
      <c r="AC556" s="75" t="str">
        <f>IF(AND(OR(LEFT(TH!N556,2)="15",LEFT(TH!O556,2)="15"),TK!$E$7=TH!F556),"x","")</f>
        <v/>
      </c>
      <c r="AD556" s="75" t="str">
        <f>IF(AND(N556="1521",MONTH(C556)='BK-NL'!$M$11),"x","")</f>
        <v/>
      </c>
      <c r="AE556">
        <v>9</v>
      </c>
    </row>
    <row r="557" spans="1:31" ht="16.5" customHeight="1">
      <c r="A557" s="309" t="str">
        <f>IF(B557&lt;&gt;"",IF(AND(B557='IN-TC'!$S$4,OR(TH!N557="1111",TH!O557="1111")),TH!D557,""),"")</f>
        <v/>
      </c>
      <c r="B557" s="1243">
        <f t="shared" si="70"/>
        <v>7</v>
      </c>
      <c r="C557" s="929">
        <v>42947</v>
      </c>
      <c r="D557" s="929" t="s">
        <v>530</v>
      </c>
      <c r="E557" s="929">
        <v>42947</v>
      </c>
      <c r="F557" s="930" t="s">
        <v>1323</v>
      </c>
      <c r="G557" s="931" t="s">
        <v>2122</v>
      </c>
      <c r="H557" s="735" t="s">
        <v>739</v>
      </c>
      <c r="I557" s="371"/>
      <c r="J557" s="932"/>
      <c r="K557" s="371"/>
      <c r="L557" s="377"/>
      <c r="M557" s="933">
        <v>614788</v>
      </c>
      <c r="N557" s="934" t="s">
        <v>9</v>
      </c>
      <c r="O557" s="934" t="s">
        <v>8</v>
      </c>
      <c r="P557" s="75" t="str">
        <f>IF(AND('331-CT'!$E$7=TH!H557,OR(N557="331",O557="331")),"x","")</f>
        <v/>
      </c>
      <c r="Q557" s="75" t="str">
        <f>IF(AND(B557='111'!$L$11,OR($N557=$Q$7,$O557=$Q$7)),"x","")</f>
        <v/>
      </c>
      <c r="R557" s="75" t="str">
        <f>IF(AND($N557=$Q$7,$B557&lt;'111'!$L$11),"x","")</f>
        <v/>
      </c>
      <c r="S557" s="75" t="str">
        <f>IF(AND($O557=$Q$7,$B557&lt;'111'!$L$11),"x","")</f>
        <v/>
      </c>
      <c r="T557" s="75" t="str">
        <f>IF(ISERROR(FIND('112'!$M$9,G557,1)),"",IF((AND(FIND('112'!$M$9,G557,1)&gt;=1,B557='112'!$K$9,OR($N557='112'!$I$6,$O557='112'!$I$6))),"x",""))</f>
        <v/>
      </c>
      <c r="U557" s="75" t="str">
        <f>IF(ISERROR(FIND('112'!$M$9,G557,1)),"",IF((AND(LEFT(G557,2)=LEFT('112'!$M$9,2),B557&lt;'112'!$K$9,$N557='112'!$I$6)),"x",""))</f>
        <v/>
      </c>
      <c r="V557" s="75" t="str">
        <f>IF(ISERROR(FIND('112'!$M$9,G557,1)),"",IF((AND(RIGHT(G557,2)=RIGHT('112'!$M$9,2),B557&lt;'112'!$K$9,$O557='112'!$I$6)),"x",""))</f>
        <v/>
      </c>
      <c r="W557" s="75" t="str">
        <f>IF(AND('341-CT'!$H$9=H557,OR(LEFT(N557,3)=$W$7,LEFT(O557,3)=$W$7)),"x","")</f>
        <v/>
      </c>
      <c r="X557" s="75" t="str">
        <f>IF(OR(TH!N557=TH!$X$7,O557=TH!$X$7),"x","")</f>
        <v/>
      </c>
      <c r="Y557" s="75" t="str">
        <f>IF(AND(OR(N557="131",O557="131"),H557='131-CT'!$H$9),"x","")</f>
        <v/>
      </c>
      <c r="Z557" s="75"/>
      <c r="AA557" s="75" t="str">
        <f>IF(AND(MONTH(E557)='IN-NX'!$J$5,'IN-NX'!$D$7=D557),"x","")</f>
        <v/>
      </c>
      <c r="AB557" s="75" t="str">
        <f>IF(AND(OR(LEFT(TH!N557,2)="15",LEFT(TH!O557,2)="15"),LEFT(TH!O557,3)&lt;&gt;"111",'152-CT'!$J$8=TH!F557),"x","")</f>
        <v/>
      </c>
      <c r="AC557" s="75" t="str">
        <f>IF(AND(OR(LEFT(TH!N557,2)="15",LEFT(TH!O557,2)="15"),TK!$E$7=TH!F557),"x","")</f>
        <v/>
      </c>
      <c r="AD557" s="75" t="str">
        <f>IF(AND(N557="1521",MONTH(C557)='BK-NL'!$M$11),"x","")</f>
        <v/>
      </c>
      <c r="AE557">
        <v>9</v>
      </c>
    </row>
    <row r="558" spans="1:31" ht="16.5" customHeight="1">
      <c r="A558" s="309" t="str">
        <f>IF(B558&lt;&gt;"",IF(AND(B558='IN-TC'!$S$4,OR(TH!N558="1111",TH!O558="1111")),TH!D558,""),"")</f>
        <v/>
      </c>
      <c r="B558" s="1243">
        <f t="shared" ref="B558:B629" si="71">IF(C558&lt;&gt;"",MONTH(C558),"")</f>
        <v>7</v>
      </c>
      <c r="C558" s="929">
        <v>42917</v>
      </c>
      <c r="D558" s="929" t="s">
        <v>530</v>
      </c>
      <c r="E558" s="929">
        <v>42917</v>
      </c>
      <c r="F558" s="930" t="s">
        <v>949</v>
      </c>
      <c r="G558" s="931" t="s">
        <v>2358</v>
      </c>
      <c r="H558" s="735" t="s">
        <v>567</v>
      </c>
      <c r="I558" s="371"/>
      <c r="J558" s="932"/>
      <c r="K558" s="371"/>
      <c r="L558" s="377"/>
      <c r="M558" s="933">
        <v>200900000</v>
      </c>
      <c r="N558" s="934" t="s">
        <v>539</v>
      </c>
      <c r="O558" s="934" t="s">
        <v>8</v>
      </c>
      <c r="P558" s="75" t="str">
        <f>IF(AND('331-CT'!$E$7=TH!H558,OR(N558="331",O558="331")),"x","")</f>
        <v/>
      </c>
      <c r="Q558" s="75" t="str">
        <f>IF(AND(B558='111'!$L$11,OR($N558=$Q$7,$O558=$Q$7)),"x","")</f>
        <v/>
      </c>
      <c r="R558" s="75" t="str">
        <f>IF(AND($N558=$Q$7,$B558&lt;'111'!$L$11),"x","")</f>
        <v/>
      </c>
      <c r="S558" s="75" t="str">
        <f>IF(AND($O558=$Q$7,$B558&lt;'111'!$L$11),"x","")</f>
        <v/>
      </c>
      <c r="T558" s="75" t="str">
        <f>IF(ISERROR(FIND('112'!$M$9,G558,1)),"",IF((AND(FIND('112'!$M$9,G558,1)&gt;=1,B558='112'!$K$9,OR($N558='112'!$I$6,$O558='112'!$I$6))),"x",""))</f>
        <v/>
      </c>
      <c r="U558" s="75" t="str">
        <f>IF(ISERROR(FIND('112'!$M$9,G558,1)),"",IF((AND(LEFT(G558,2)=LEFT('112'!$M$9,2),B558&lt;'112'!$K$9,$N558='112'!$I$6)),"x",""))</f>
        <v/>
      </c>
      <c r="V558" s="75" t="str">
        <f>IF(ISERROR(FIND('112'!$M$9,G558,1)),"",IF((AND(RIGHT(G558,2)=RIGHT('112'!$M$9,2),B558&lt;'112'!$K$9,$O558='112'!$I$6)),"x",""))</f>
        <v/>
      </c>
      <c r="W558" s="75" t="str">
        <f>IF(AND('341-CT'!$H$9=H558,OR(LEFT(N558,3)=$W$7,LEFT(O558,3)=$W$7)),"x","")</f>
        <v/>
      </c>
      <c r="X558" s="75" t="str">
        <f>IF(OR(TH!N558=TH!$X$7,O558=TH!$X$7),"x","")</f>
        <v/>
      </c>
      <c r="Y558" s="75" t="str">
        <f>IF(AND(OR(N558="131",O558="131"),H558='131-CT'!$H$9),"x","")</f>
        <v/>
      </c>
      <c r="Z558" s="75"/>
      <c r="AA558" s="75" t="str">
        <f>IF(AND(MONTH(E558)='IN-NX'!$J$5,'IN-NX'!$D$7=D558),"x","")</f>
        <v/>
      </c>
      <c r="AB558" s="75" t="str">
        <f>IF(AND(OR(LEFT(TH!N558,2)="15",LEFT(TH!O558,2)="15"),LEFT(TH!O558,3)&lt;&gt;"111",'152-CT'!$J$8=TH!F558),"x","")</f>
        <v/>
      </c>
      <c r="AC558" s="75" t="str">
        <f>IF(AND(OR(LEFT(TH!N558,2)="15",LEFT(TH!O558,2)="15"),TK!$E$7=TH!F558),"x","")</f>
        <v/>
      </c>
      <c r="AD558" s="75" t="str">
        <f>IF(AND(N558="1521",MONTH(C558)='BK-NL'!$M$11),"x","")</f>
        <v/>
      </c>
      <c r="AE558">
        <v>10</v>
      </c>
    </row>
    <row r="559" spans="1:31" ht="16.5" customHeight="1">
      <c r="A559" s="309" t="str">
        <f>IF(B559&lt;&gt;"",IF(AND(B559='IN-TC'!$S$4,OR(TH!N559="1111",TH!O559="1111")),TH!D559,""),"")</f>
        <v/>
      </c>
      <c r="B559" s="1243">
        <f t="shared" si="71"/>
        <v>7</v>
      </c>
      <c r="C559" s="929">
        <v>42917</v>
      </c>
      <c r="D559" s="929" t="s">
        <v>530</v>
      </c>
      <c r="E559" s="929">
        <v>42917</v>
      </c>
      <c r="F559" s="930" t="s">
        <v>950</v>
      </c>
      <c r="G559" s="931" t="s">
        <v>2358</v>
      </c>
      <c r="H559" s="735" t="s">
        <v>567</v>
      </c>
      <c r="I559" s="371"/>
      <c r="J559" s="932"/>
      <c r="K559" s="371"/>
      <c r="L559" s="377"/>
      <c r="M559" s="933">
        <v>20090000</v>
      </c>
      <c r="N559" s="934" t="s">
        <v>9</v>
      </c>
      <c r="O559" s="934" t="s">
        <v>8</v>
      </c>
      <c r="P559" s="75" t="str">
        <f>IF(AND('331-CT'!$E$7=TH!H559,OR(N559="331",O559="331")),"x","")</f>
        <v/>
      </c>
      <c r="Q559" s="75" t="str">
        <f>IF(AND(B559='111'!$L$11,OR($N559=$Q$7,$O559=$Q$7)),"x","")</f>
        <v/>
      </c>
      <c r="R559" s="75" t="str">
        <f>IF(AND($N559=$Q$7,$B559&lt;'111'!$L$11),"x","")</f>
        <v/>
      </c>
      <c r="S559" s="75" t="str">
        <f>IF(AND($O559=$Q$7,$B559&lt;'111'!$L$11),"x","")</f>
        <v/>
      </c>
      <c r="T559" s="75" t="str">
        <f>IF(ISERROR(FIND('112'!$M$9,G559,1)),"",IF((AND(FIND('112'!$M$9,G559,1)&gt;=1,B559='112'!$K$9,OR($N559='112'!$I$6,$O559='112'!$I$6))),"x",""))</f>
        <v/>
      </c>
      <c r="U559" s="75" t="str">
        <f>IF(ISERROR(FIND('112'!$M$9,G559,1)),"",IF((AND(LEFT(G559,2)=LEFT('112'!$M$9,2),B559&lt;'112'!$K$9,$N559='112'!$I$6)),"x",""))</f>
        <v/>
      </c>
      <c r="V559" s="75" t="str">
        <f>IF(ISERROR(FIND('112'!$M$9,G559,1)),"",IF((AND(RIGHT(G559,2)=RIGHT('112'!$M$9,2),B559&lt;'112'!$K$9,$O559='112'!$I$6)),"x",""))</f>
        <v/>
      </c>
      <c r="W559" s="75" t="str">
        <f>IF(AND('341-CT'!$H$9=H559,OR(LEFT(N559,3)=$W$7,LEFT(O559,3)=$W$7)),"x","")</f>
        <v/>
      </c>
      <c r="X559" s="75" t="str">
        <f>IF(OR(TH!N559=TH!$X$7,O559=TH!$X$7),"x","")</f>
        <v/>
      </c>
      <c r="Y559" s="75" t="str">
        <f>IF(AND(OR(N559="131",O559="131"),H559='131-CT'!$H$9),"x","")</f>
        <v/>
      </c>
      <c r="Z559" s="75"/>
      <c r="AA559" s="75" t="str">
        <f>IF(AND(MONTH(E559)='IN-NX'!$J$5,'IN-NX'!$D$7=D559),"x","")</f>
        <v/>
      </c>
      <c r="AB559" s="75" t="str">
        <f>IF(AND(OR(LEFT(TH!N559,2)="15",LEFT(TH!O559,2)="15"),LEFT(TH!O559,3)&lt;&gt;"111",'152-CT'!$J$8=TH!F559),"x","")</f>
        <v/>
      </c>
      <c r="AC559" s="75" t="str">
        <f>IF(AND(OR(LEFT(TH!N559,2)="15",LEFT(TH!O559,2)="15"),TK!$E$7=TH!F559),"x","")</f>
        <v/>
      </c>
      <c r="AD559" s="75" t="str">
        <f>IF(AND(N559="1521",MONTH(C559)='BK-NL'!$M$11),"x","")</f>
        <v/>
      </c>
      <c r="AE559">
        <v>10</v>
      </c>
    </row>
    <row r="560" spans="1:31" ht="16.5" customHeight="1">
      <c r="A560" s="309" t="str">
        <f>IF(B560&lt;&gt;"",IF(AND(B560='IN-TC'!$S$4,OR(TH!N560="1111",TH!O560="1111")),TH!D560,""),"")</f>
        <v/>
      </c>
      <c r="B560" s="1243">
        <f t="shared" ref="B560:B561" si="72">IF(C560&lt;&gt;"",MONTH(C560),"")</f>
        <v>7</v>
      </c>
      <c r="C560" s="929">
        <v>42946</v>
      </c>
      <c r="D560" s="929" t="s">
        <v>530</v>
      </c>
      <c r="E560" s="929">
        <v>42946</v>
      </c>
      <c r="F560" s="930" t="s">
        <v>949</v>
      </c>
      <c r="G560" s="931" t="s">
        <v>2185</v>
      </c>
      <c r="H560" s="735" t="s">
        <v>567</v>
      </c>
      <c r="I560" s="371"/>
      <c r="J560" s="932"/>
      <c r="K560" s="371"/>
      <c r="L560" s="377"/>
      <c r="M560" s="933">
        <v>191800000</v>
      </c>
      <c r="N560" s="934" t="s">
        <v>539</v>
      </c>
      <c r="O560" s="934" t="s">
        <v>8</v>
      </c>
      <c r="P560" s="75" t="str">
        <f>IF(AND('331-CT'!$E$7=TH!H560,OR(N560="331",O560="331")),"x","")</f>
        <v/>
      </c>
      <c r="Q560" s="75" t="str">
        <f>IF(AND(B560='111'!$L$11,OR($N560=$Q$7,$O560=$Q$7)),"x","")</f>
        <v/>
      </c>
      <c r="R560" s="75" t="str">
        <f>IF(AND($N560=$Q$7,$B560&lt;'111'!$L$11),"x","")</f>
        <v/>
      </c>
      <c r="S560" s="75" t="str">
        <f>IF(AND($O560=$Q$7,$B560&lt;'111'!$L$11),"x","")</f>
        <v/>
      </c>
      <c r="T560" s="75" t="str">
        <f>IF(ISERROR(FIND('112'!$M$9,G560,1)),"",IF((AND(FIND('112'!$M$9,G560,1)&gt;=1,B560='112'!$K$9,OR($N560='112'!$I$6,$O560='112'!$I$6))),"x",""))</f>
        <v/>
      </c>
      <c r="U560" s="75" t="str">
        <f>IF(ISERROR(FIND('112'!$M$9,G560,1)),"",IF((AND(LEFT(G560,2)=LEFT('112'!$M$9,2),B560&lt;'112'!$K$9,$N560='112'!$I$6)),"x",""))</f>
        <v/>
      </c>
      <c r="V560" s="75" t="str">
        <f>IF(ISERROR(FIND('112'!$M$9,G560,1)),"",IF((AND(RIGHT(G560,2)=RIGHT('112'!$M$9,2),B560&lt;'112'!$K$9,$O560='112'!$I$6)),"x",""))</f>
        <v/>
      </c>
      <c r="W560" s="75" t="str">
        <f>IF(AND('341-CT'!$H$9=H560,OR(LEFT(N560,3)=$W$7,LEFT(O560,3)=$W$7)),"x","")</f>
        <v/>
      </c>
      <c r="X560" s="75" t="str">
        <f>IF(OR(TH!N560=TH!$X$7,O560=TH!$X$7),"x","")</f>
        <v/>
      </c>
      <c r="Y560" s="75" t="str">
        <f>IF(AND(OR(N560="131",O560="131"),H560='131-CT'!$H$9),"x","")</f>
        <v/>
      </c>
      <c r="Z560" s="75"/>
      <c r="AA560" s="75" t="str">
        <f>IF(AND(MONTH(E560)='IN-NX'!$J$5,'IN-NX'!$D$7=D560),"x","")</f>
        <v/>
      </c>
      <c r="AB560" s="75" t="str">
        <f>IF(AND(OR(LEFT(TH!N560,2)="15",LEFT(TH!O560,2)="15"),LEFT(TH!O560,3)&lt;&gt;"111",'152-CT'!$J$8=TH!F560),"x","")</f>
        <v/>
      </c>
      <c r="AC560" s="75" t="str">
        <f>IF(AND(OR(LEFT(TH!N560,2)="15",LEFT(TH!O560,2)="15"),TK!$E$7=TH!F560),"x","")</f>
        <v/>
      </c>
      <c r="AD560" s="75" t="str">
        <f>IF(AND(N560="1521",MONTH(C560)='BK-NL'!$M$11),"x","")</f>
        <v/>
      </c>
      <c r="AE560">
        <v>9</v>
      </c>
    </row>
    <row r="561" spans="1:31" ht="16.5" customHeight="1">
      <c r="A561" s="309" t="str">
        <f>IF(B561&lt;&gt;"",IF(AND(B561='IN-TC'!$S$4,OR(TH!N561="1111",TH!O561="1111")),TH!D561,""),"")</f>
        <v/>
      </c>
      <c r="B561" s="1243">
        <f t="shared" si="72"/>
        <v>7</v>
      </c>
      <c r="C561" s="929">
        <v>42946</v>
      </c>
      <c r="D561" s="929" t="s">
        <v>530</v>
      </c>
      <c r="E561" s="929">
        <v>42946</v>
      </c>
      <c r="F561" s="930" t="s">
        <v>950</v>
      </c>
      <c r="G561" s="931" t="s">
        <v>2185</v>
      </c>
      <c r="H561" s="735" t="s">
        <v>567</v>
      </c>
      <c r="I561" s="371"/>
      <c r="J561" s="932"/>
      <c r="K561" s="371"/>
      <c r="L561" s="377"/>
      <c r="M561" s="933">
        <v>19180000</v>
      </c>
      <c r="N561" s="934" t="s">
        <v>9</v>
      </c>
      <c r="O561" s="934" t="s">
        <v>8</v>
      </c>
      <c r="P561" s="75" t="str">
        <f>IF(AND('331-CT'!$E$7=TH!H561,OR(N561="331",O561="331")),"x","")</f>
        <v/>
      </c>
      <c r="Q561" s="75" t="str">
        <f>IF(AND(B561='111'!$L$11,OR($N561=$Q$7,$O561=$Q$7)),"x","")</f>
        <v/>
      </c>
      <c r="R561" s="75" t="str">
        <f>IF(AND($N561=$Q$7,$B561&lt;'111'!$L$11),"x","")</f>
        <v/>
      </c>
      <c r="S561" s="75" t="str">
        <f>IF(AND($O561=$Q$7,$B561&lt;'111'!$L$11),"x","")</f>
        <v/>
      </c>
      <c r="T561" s="75" t="str">
        <f>IF(ISERROR(FIND('112'!$M$9,G561,1)),"",IF((AND(FIND('112'!$M$9,G561,1)&gt;=1,B561='112'!$K$9,OR($N561='112'!$I$6,$O561='112'!$I$6))),"x",""))</f>
        <v/>
      </c>
      <c r="U561" s="75" t="str">
        <f>IF(ISERROR(FIND('112'!$M$9,G561,1)),"",IF((AND(LEFT(G561,2)=LEFT('112'!$M$9,2),B561&lt;'112'!$K$9,$N561='112'!$I$6)),"x",""))</f>
        <v/>
      </c>
      <c r="V561" s="75" t="str">
        <f>IF(ISERROR(FIND('112'!$M$9,G561,1)),"",IF((AND(RIGHT(G561,2)=RIGHT('112'!$M$9,2),B561&lt;'112'!$K$9,$O561='112'!$I$6)),"x",""))</f>
        <v/>
      </c>
      <c r="W561" s="75" t="str">
        <f>IF(AND('341-CT'!$H$9=H561,OR(LEFT(N561,3)=$W$7,LEFT(O561,3)=$W$7)),"x","")</f>
        <v/>
      </c>
      <c r="X561" s="75" t="str">
        <f>IF(OR(TH!N561=TH!$X$7,O561=TH!$X$7),"x","")</f>
        <v/>
      </c>
      <c r="Y561" s="75" t="str">
        <f>IF(AND(OR(N561="131",O561="131"),H561='131-CT'!$H$9),"x","")</f>
        <v/>
      </c>
      <c r="Z561" s="75"/>
      <c r="AA561" s="75" t="str">
        <f>IF(AND(MONTH(E561)='IN-NX'!$J$5,'IN-NX'!$D$7=D561),"x","")</f>
        <v/>
      </c>
      <c r="AB561" s="75" t="str">
        <f>IF(AND(OR(LEFT(TH!N561,2)="15",LEFT(TH!O561,2)="15"),LEFT(TH!O561,3)&lt;&gt;"111",'152-CT'!$J$8=TH!F561),"x","")</f>
        <v/>
      </c>
      <c r="AC561" s="75" t="str">
        <f>IF(AND(OR(LEFT(TH!N561,2)="15",LEFT(TH!O561,2)="15"),TK!$E$7=TH!F561),"x","")</f>
        <v/>
      </c>
      <c r="AD561" s="75" t="str">
        <f>IF(AND(N561="1521",MONTH(C561)='BK-NL'!$M$11),"x","")</f>
        <v/>
      </c>
      <c r="AE561">
        <v>9</v>
      </c>
    </row>
    <row r="562" spans="1:31" ht="16.5" customHeight="1">
      <c r="A562" s="309" t="str">
        <f>IF(B562&lt;&gt;"",IF(AND(B562='IN-TC'!$S$4,OR(TH!N562="1111",TH!O562="1111")),TH!D562,""),"")</f>
        <v/>
      </c>
      <c r="B562" s="1129">
        <f t="shared" si="71"/>
        <v>8</v>
      </c>
      <c r="C562" s="929">
        <v>42949</v>
      </c>
      <c r="D562" s="929" t="s">
        <v>530</v>
      </c>
      <c r="E562" s="929">
        <v>42949</v>
      </c>
      <c r="F562" s="930" t="s">
        <v>1447</v>
      </c>
      <c r="G562" s="931" t="s">
        <v>1803</v>
      </c>
      <c r="H562" s="296" t="s">
        <v>1450</v>
      </c>
      <c r="I562" s="371"/>
      <c r="J562" s="932"/>
      <c r="K562" s="371"/>
      <c r="L562" s="377"/>
      <c r="M562" s="933">
        <v>80925324</v>
      </c>
      <c r="N562" s="934" t="s">
        <v>539</v>
      </c>
      <c r="O562" s="934" t="s">
        <v>8</v>
      </c>
      <c r="P562" s="75" t="str">
        <f>IF(AND('331-CT'!$E$7=TH!H562,OR(N562="331",O562="331")),"x","")</f>
        <v/>
      </c>
      <c r="Q562" s="75" t="str">
        <f>IF(AND(B562='111'!$L$11,OR($N562=$Q$7,$O562=$Q$7)),"x","")</f>
        <v/>
      </c>
      <c r="R562" s="75" t="str">
        <f>IF(AND($N562=$Q$7,$B562&lt;'111'!$L$11),"x","")</f>
        <v/>
      </c>
      <c r="S562" s="75" t="str">
        <f>IF(AND($O562=$Q$7,$B562&lt;'111'!$L$11),"x","")</f>
        <v/>
      </c>
      <c r="T562" s="75" t="str">
        <f>IF(ISERROR(FIND('112'!$M$9,G562,1)),"",IF((AND(FIND('112'!$M$9,G562,1)&gt;=1,B562='112'!$K$9,OR($N562='112'!$I$6,$O562='112'!$I$6))),"x",""))</f>
        <v/>
      </c>
      <c r="U562" s="75" t="str">
        <f>IF(ISERROR(FIND('112'!$M$9,G562,1)),"",IF((AND(LEFT(G562,2)=LEFT('112'!$M$9,2),B562&lt;'112'!$K$9,$N562='112'!$I$6)),"x",""))</f>
        <v/>
      </c>
      <c r="V562" s="75" t="str">
        <f>IF(ISERROR(FIND('112'!$M$9,G562,1)),"",IF((AND(RIGHT(G562,2)=RIGHT('112'!$M$9,2),B562&lt;'112'!$K$9,$O562='112'!$I$6)),"x",""))</f>
        <v/>
      </c>
      <c r="W562" s="75" t="str">
        <f>IF(AND('341-CT'!$H$9=H562,OR(LEFT(N562,3)=$W$7,LEFT(O562,3)=$W$7)),"x","")</f>
        <v/>
      </c>
      <c r="X562" s="75" t="str">
        <f>IF(OR(TH!N562=TH!$X$7,O562=TH!$X$7),"x","")</f>
        <v/>
      </c>
      <c r="Y562" s="75" t="str">
        <f>IF(AND(OR(N562="131",O562="131"),H562='131-CT'!$H$9),"x","")</f>
        <v/>
      </c>
      <c r="Z562" s="75"/>
      <c r="AA562" s="75" t="str">
        <f>IF(AND(MONTH(E562)='IN-NX'!$J$5,'IN-NX'!$D$7=D562),"x","")</f>
        <v/>
      </c>
      <c r="AB562" s="75" t="str">
        <f>IF(AND(OR(LEFT(TH!N562,2)="15",LEFT(TH!O562,2)="15"),LEFT(TH!O562,3)&lt;&gt;"111",'152-CT'!$J$8=TH!F562),"x","")</f>
        <v/>
      </c>
      <c r="AC562" s="75" t="str">
        <f>IF(AND(OR(LEFT(TH!N562,2)="15",LEFT(TH!O562,2)="15"),TK!$E$7=TH!F562),"x","")</f>
        <v/>
      </c>
      <c r="AD562" s="75" t="str">
        <f>IF(AND(N562="1521",MONTH(C562)='BK-NL'!$M$11),"x","")</f>
        <v/>
      </c>
      <c r="AE562">
        <v>8</v>
      </c>
    </row>
    <row r="563" spans="1:31" ht="16.5" customHeight="1">
      <c r="A563" s="309" t="str">
        <f>IF(B563&lt;&gt;"",IF(AND(B563='IN-TC'!$S$4,OR(TH!N563="1111",TH!O563="1111")),TH!D563,""),"")</f>
        <v/>
      </c>
      <c r="B563" s="1129">
        <f t="shared" si="71"/>
        <v>8</v>
      </c>
      <c r="C563" s="929">
        <v>42949</v>
      </c>
      <c r="D563" s="929" t="s">
        <v>530</v>
      </c>
      <c r="E563" s="929">
        <v>42949</v>
      </c>
      <c r="F563" s="930" t="s">
        <v>1448</v>
      </c>
      <c r="G563" s="931" t="s">
        <v>1803</v>
      </c>
      <c r="H563" s="296" t="s">
        <v>1450</v>
      </c>
      <c r="I563" s="371"/>
      <c r="J563" s="932"/>
      <c r="K563" s="371"/>
      <c r="L563" s="377"/>
      <c r="M563" s="933">
        <v>4046266</v>
      </c>
      <c r="N563" s="934" t="s">
        <v>9</v>
      </c>
      <c r="O563" s="934" t="s">
        <v>8</v>
      </c>
      <c r="P563" s="75" t="str">
        <f>IF(AND('331-CT'!$E$7=TH!H563,OR(N563="331",O563="331")),"x","")</f>
        <v/>
      </c>
      <c r="Q563" s="75" t="str">
        <f>IF(AND(B563='111'!$L$11,OR($N563=$Q$7,$O563=$Q$7)),"x","")</f>
        <v/>
      </c>
      <c r="R563" s="75" t="str">
        <f>IF(AND($N563=$Q$7,$B563&lt;'111'!$L$11),"x","")</f>
        <v/>
      </c>
      <c r="S563" s="75" t="str">
        <f>IF(AND($O563=$Q$7,$B563&lt;'111'!$L$11),"x","")</f>
        <v/>
      </c>
      <c r="T563" s="75" t="str">
        <f>IF(ISERROR(FIND('112'!$M$9,G563,1)),"",IF((AND(FIND('112'!$M$9,G563,1)&gt;=1,B563='112'!$K$9,OR($N563='112'!$I$6,$O563='112'!$I$6))),"x",""))</f>
        <v/>
      </c>
      <c r="U563" s="75" t="str">
        <f>IF(ISERROR(FIND('112'!$M$9,G563,1)),"",IF((AND(LEFT(G563,2)=LEFT('112'!$M$9,2),B563&lt;'112'!$K$9,$N563='112'!$I$6)),"x",""))</f>
        <v/>
      </c>
      <c r="V563" s="75" t="str">
        <f>IF(ISERROR(FIND('112'!$M$9,G563,1)),"",IF((AND(RIGHT(G563,2)=RIGHT('112'!$M$9,2),B563&lt;'112'!$K$9,$O563='112'!$I$6)),"x",""))</f>
        <v/>
      </c>
      <c r="W563" s="75" t="str">
        <f>IF(AND('341-CT'!$H$9=H563,OR(LEFT(N563,3)=$W$7,LEFT(O563,3)=$W$7)),"x","")</f>
        <v/>
      </c>
      <c r="X563" s="75" t="str">
        <f>IF(OR(TH!N563=TH!$X$7,O563=TH!$X$7),"x","")</f>
        <v/>
      </c>
      <c r="Y563" s="75" t="str">
        <f>IF(AND(OR(N563="131",O563="131"),H563='131-CT'!$H$9),"x","")</f>
        <v/>
      </c>
      <c r="Z563" s="75"/>
      <c r="AA563" s="75" t="str">
        <f>IF(AND(MONTH(E563)='IN-NX'!$J$5,'IN-NX'!$D$7=D563),"x","")</f>
        <v/>
      </c>
      <c r="AB563" s="75" t="str">
        <f>IF(AND(OR(LEFT(TH!N563,2)="15",LEFT(TH!O563,2)="15"),LEFT(TH!O563,3)&lt;&gt;"111",'152-CT'!$J$8=TH!F563),"x","")</f>
        <v/>
      </c>
      <c r="AC563" s="75" t="str">
        <f>IF(AND(OR(LEFT(TH!N563,2)="15",LEFT(TH!O563,2)="15"),TK!$E$7=TH!F563),"x","")</f>
        <v/>
      </c>
      <c r="AD563" s="75" t="str">
        <f>IF(AND(N563="1521",MONTH(C563)='BK-NL'!$M$11),"x","")</f>
        <v/>
      </c>
      <c r="AE563">
        <v>8</v>
      </c>
    </row>
    <row r="564" spans="1:31" ht="16.5" customHeight="1">
      <c r="A564" s="309" t="str">
        <f>IF(B564&lt;&gt;"",IF(AND(B564='IN-TC'!$S$4,OR(TH!N564="1111",TH!O564="1111")),TH!D564,""),"")</f>
        <v/>
      </c>
      <c r="B564" s="1129">
        <f t="shared" si="71"/>
        <v>8</v>
      </c>
      <c r="C564" s="929">
        <v>42978</v>
      </c>
      <c r="D564" s="929" t="s">
        <v>530</v>
      </c>
      <c r="E564" s="929">
        <v>42978</v>
      </c>
      <c r="F564" s="930" t="s">
        <v>1447</v>
      </c>
      <c r="G564" s="931" t="s">
        <v>2043</v>
      </c>
      <c r="H564" s="296" t="s">
        <v>1450</v>
      </c>
      <c r="I564" s="371"/>
      <c r="J564" s="932"/>
      <c r="K564" s="371"/>
      <c r="L564" s="377"/>
      <c r="M564" s="933">
        <v>7822038</v>
      </c>
      <c r="N564" s="934" t="s">
        <v>539</v>
      </c>
      <c r="O564" s="934" t="s">
        <v>8</v>
      </c>
      <c r="P564" s="75" t="str">
        <f>IF(AND('331-CT'!$E$7=TH!H564,OR(N564="331",O564="331")),"x","")</f>
        <v/>
      </c>
      <c r="Q564" s="75" t="str">
        <f>IF(AND(B564='111'!$L$11,OR($N564=$Q$7,$O564=$Q$7)),"x","")</f>
        <v/>
      </c>
      <c r="R564" s="75" t="str">
        <f>IF(AND($N564=$Q$7,$B564&lt;'111'!$L$11),"x","")</f>
        <v/>
      </c>
      <c r="S564" s="75" t="str">
        <f>IF(AND($O564=$Q$7,$B564&lt;'111'!$L$11),"x","")</f>
        <v/>
      </c>
      <c r="T564" s="75" t="str">
        <f>IF(ISERROR(FIND('112'!$M$9,G564,1)),"",IF((AND(FIND('112'!$M$9,G564,1)&gt;=1,B564='112'!$K$9,OR($N564='112'!$I$6,$O564='112'!$I$6))),"x",""))</f>
        <v/>
      </c>
      <c r="U564" s="75" t="str">
        <f>IF(ISERROR(FIND('112'!$M$9,G564,1)),"",IF((AND(LEFT(G564,2)=LEFT('112'!$M$9,2),B564&lt;'112'!$K$9,$N564='112'!$I$6)),"x",""))</f>
        <v/>
      </c>
      <c r="V564" s="75" t="str">
        <f>IF(ISERROR(FIND('112'!$M$9,G564,1)),"",IF((AND(RIGHT(G564,2)=RIGHT('112'!$M$9,2),B564&lt;'112'!$K$9,$O564='112'!$I$6)),"x",""))</f>
        <v/>
      </c>
      <c r="W564" s="75" t="str">
        <f>IF(AND('341-CT'!$H$9=H564,OR(LEFT(N564,3)=$W$7,LEFT(O564,3)=$W$7)),"x","")</f>
        <v/>
      </c>
      <c r="X564" s="75" t="str">
        <f>IF(OR(TH!N564=TH!$X$7,O564=TH!$X$7),"x","")</f>
        <v/>
      </c>
      <c r="Y564" s="75" t="str">
        <f>IF(AND(OR(N564="131",O564="131"),H564='131-CT'!$H$9),"x","")</f>
        <v/>
      </c>
      <c r="Z564" s="75"/>
      <c r="AA564" s="75" t="str">
        <f>IF(AND(MONTH(E564)='IN-NX'!$J$5,'IN-NX'!$D$7=D564),"x","")</f>
        <v/>
      </c>
      <c r="AB564" s="75" t="str">
        <f>IF(AND(OR(LEFT(TH!N564,2)="15",LEFT(TH!O564,2)="15"),LEFT(TH!O564,3)&lt;&gt;"111",'152-CT'!$J$8=TH!F564),"x","")</f>
        <v/>
      </c>
      <c r="AC564" s="75" t="str">
        <f>IF(AND(OR(LEFT(TH!N564,2)="15",LEFT(TH!O564,2)="15"),TK!$E$7=TH!F564),"x","")</f>
        <v/>
      </c>
      <c r="AD564" s="75" t="str">
        <f>IF(AND(N564="1521",MONTH(C564)='BK-NL'!$M$11),"x","")</f>
        <v/>
      </c>
      <c r="AE564">
        <v>8</v>
      </c>
    </row>
    <row r="565" spans="1:31" ht="16.5" customHeight="1">
      <c r="A565" s="309" t="str">
        <f>IF(B565&lt;&gt;"",IF(AND(B565='IN-TC'!$S$4,OR(TH!N565="1111",TH!O565="1111")),TH!D565,""),"")</f>
        <v/>
      </c>
      <c r="B565" s="1129">
        <f t="shared" si="71"/>
        <v>8</v>
      </c>
      <c r="C565" s="929">
        <v>42978</v>
      </c>
      <c r="D565" s="929" t="s">
        <v>530</v>
      </c>
      <c r="E565" s="929">
        <v>42978</v>
      </c>
      <c r="F565" s="930" t="s">
        <v>1448</v>
      </c>
      <c r="G565" s="931" t="s">
        <v>2043</v>
      </c>
      <c r="H565" s="296" t="s">
        <v>1450</v>
      </c>
      <c r="I565" s="371"/>
      <c r="J565" s="932"/>
      <c r="K565" s="371"/>
      <c r="L565" s="377"/>
      <c r="M565" s="933">
        <v>391102</v>
      </c>
      <c r="N565" s="934" t="s">
        <v>9</v>
      </c>
      <c r="O565" s="934" t="s">
        <v>8</v>
      </c>
      <c r="P565" s="75" t="str">
        <f>IF(AND('331-CT'!$E$7=TH!H565,OR(N565="331",O565="331")),"x","")</f>
        <v/>
      </c>
      <c r="Q565" s="75" t="str">
        <f>IF(AND(B565='111'!$L$11,OR($N565=$Q$7,$O565=$Q$7)),"x","")</f>
        <v/>
      </c>
      <c r="R565" s="75" t="str">
        <f>IF(AND($N565=$Q$7,$B565&lt;'111'!$L$11),"x","")</f>
        <v/>
      </c>
      <c r="S565" s="75" t="str">
        <f>IF(AND($O565=$Q$7,$B565&lt;'111'!$L$11),"x","")</f>
        <v/>
      </c>
      <c r="T565" s="75" t="str">
        <f>IF(ISERROR(FIND('112'!$M$9,G565,1)),"",IF((AND(FIND('112'!$M$9,G565,1)&gt;=1,B565='112'!$K$9,OR($N565='112'!$I$6,$O565='112'!$I$6))),"x",""))</f>
        <v/>
      </c>
      <c r="U565" s="75" t="str">
        <f>IF(ISERROR(FIND('112'!$M$9,G565,1)),"",IF((AND(LEFT(G565,2)=LEFT('112'!$M$9,2),B565&lt;'112'!$K$9,$N565='112'!$I$6)),"x",""))</f>
        <v/>
      </c>
      <c r="V565" s="75" t="str">
        <f>IF(ISERROR(FIND('112'!$M$9,G565,1)),"",IF((AND(RIGHT(G565,2)=RIGHT('112'!$M$9,2),B565&lt;'112'!$K$9,$O565='112'!$I$6)),"x",""))</f>
        <v/>
      </c>
      <c r="W565" s="75" t="str">
        <f>IF(AND('341-CT'!$H$9=H565,OR(LEFT(N565,3)=$W$7,LEFT(O565,3)=$W$7)),"x","")</f>
        <v/>
      </c>
      <c r="X565" s="75" t="str">
        <f>IF(OR(TH!N565=TH!$X$7,O565=TH!$X$7),"x","")</f>
        <v/>
      </c>
      <c r="Y565" s="75" t="str">
        <f>IF(AND(OR(N565="131",O565="131"),H565='131-CT'!$H$9),"x","")</f>
        <v/>
      </c>
      <c r="Z565" s="75"/>
      <c r="AA565" s="75" t="str">
        <f>IF(AND(MONTH(E565)='IN-NX'!$J$5,'IN-NX'!$D$7=D565),"x","")</f>
        <v/>
      </c>
      <c r="AB565" s="75" t="str">
        <f>IF(AND(OR(LEFT(TH!N565,2)="15",LEFT(TH!O565,2)="15"),LEFT(TH!O565,3)&lt;&gt;"111",'152-CT'!$J$8=TH!F565),"x","")</f>
        <v/>
      </c>
      <c r="AC565" s="75" t="str">
        <f>IF(AND(OR(LEFT(TH!N565,2)="15",LEFT(TH!O565,2)="15"),TK!$E$7=TH!F565),"x","")</f>
        <v/>
      </c>
      <c r="AD565" s="75" t="str">
        <f>IF(AND(N565="1521",MONTH(C565)='BK-NL'!$M$11),"x","")</f>
        <v/>
      </c>
      <c r="AE565">
        <v>8</v>
      </c>
    </row>
    <row r="566" spans="1:31" ht="16.5" customHeight="1">
      <c r="A566" s="309" t="str">
        <f>IF(B566&lt;&gt;"",IF(AND(B566='IN-TC'!$S$4,OR(TH!N566="1111",TH!O566="1111")),TH!D566,""),"")</f>
        <v/>
      </c>
      <c r="B566" s="1129">
        <f t="shared" si="71"/>
        <v>8</v>
      </c>
      <c r="C566" s="929">
        <v>42963</v>
      </c>
      <c r="D566" s="929" t="s">
        <v>530</v>
      </c>
      <c r="E566" s="929">
        <v>42963</v>
      </c>
      <c r="F566" s="930" t="s">
        <v>1192</v>
      </c>
      <c r="G566" s="931" t="s">
        <v>1869</v>
      </c>
      <c r="H566" s="73" t="s">
        <v>755</v>
      </c>
      <c r="I566" s="371"/>
      <c r="J566" s="932"/>
      <c r="K566" s="371"/>
      <c r="L566" s="377"/>
      <c r="M566" s="933">
        <v>8421200</v>
      </c>
      <c r="N566" s="934" t="s">
        <v>539</v>
      </c>
      <c r="O566" s="934" t="s">
        <v>8</v>
      </c>
      <c r="P566" s="75" t="str">
        <f>IF(AND('331-CT'!$E$7=TH!H566,OR(N566="331",O566="331")),"x","")</f>
        <v/>
      </c>
      <c r="Q566" s="75" t="str">
        <f>IF(AND(B566='111'!$L$11,OR($N566=$Q$7,$O566=$Q$7)),"x","")</f>
        <v/>
      </c>
      <c r="R566" s="75" t="str">
        <f>IF(AND($N566=$Q$7,$B566&lt;'111'!$L$11),"x","")</f>
        <v/>
      </c>
      <c r="S566" s="75" t="str">
        <f>IF(AND($O566=$Q$7,$B566&lt;'111'!$L$11),"x","")</f>
        <v/>
      </c>
      <c r="T566" s="75" t="str">
        <f>IF(ISERROR(FIND('112'!$M$9,G566,1)),"",IF((AND(FIND('112'!$M$9,G566,1)&gt;=1,B566='112'!$K$9,OR($N566='112'!$I$6,$O566='112'!$I$6))),"x",""))</f>
        <v/>
      </c>
      <c r="U566" s="75" t="str">
        <f>IF(ISERROR(FIND('112'!$M$9,G566,1)),"",IF((AND(LEFT(G566,2)=LEFT('112'!$M$9,2),B566&lt;'112'!$K$9,$N566='112'!$I$6)),"x",""))</f>
        <v/>
      </c>
      <c r="V566" s="75" t="str">
        <f>IF(ISERROR(FIND('112'!$M$9,G566,1)),"",IF((AND(RIGHT(G566,2)=RIGHT('112'!$M$9,2),B566&lt;'112'!$K$9,$O566='112'!$I$6)),"x",""))</f>
        <v/>
      </c>
      <c r="W566" s="75" t="str">
        <f>IF(AND('341-CT'!$H$9=H566,OR(LEFT(N566,3)=$W$7,LEFT(O566,3)=$W$7)),"x","")</f>
        <v/>
      </c>
      <c r="X566" s="75" t="str">
        <f>IF(OR(TH!N566=TH!$X$7,O566=TH!$X$7),"x","")</f>
        <v/>
      </c>
      <c r="Y566" s="75" t="str">
        <f>IF(AND(OR(N566="131",O566="131"),H566='131-CT'!$H$9),"x","")</f>
        <v/>
      </c>
      <c r="Z566" s="75"/>
      <c r="AA566" s="75" t="str">
        <f>IF(AND(MONTH(E566)='IN-NX'!$J$5,'IN-NX'!$D$7=D566),"x","")</f>
        <v/>
      </c>
      <c r="AB566" s="75" t="str">
        <f>IF(AND(OR(LEFT(TH!N566,2)="15",LEFT(TH!O566,2)="15"),LEFT(TH!O566,3)&lt;&gt;"111",'152-CT'!$J$8=TH!F566),"x","")</f>
        <v/>
      </c>
      <c r="AC566" s="75" t="str">
        <f>IF(AND(OR(LEFT(TH!N566,2)="15",LEFT(TH!O566,2)="15"),TK!$E$7=TH!F566),"x","")</f>
        <v/>
      </c>
      <c r="AD566" s="75" t="str">
        <f>IF(AND(N566="1521",MONTH(C566)='BK-NL'!$M$11),"x","")</f>
        <v/>
      </c>
    </row>
    <row r="567" spans="1:31" ht="16.5" customHeight="1">
      <c r="A567" s="309" t="str">
        <f>IF(B567&lt;&gt;"",IF(AND(B567='IN-TC'!$S$4,OR(TH!N567="1111",TH!O567="1111")),TH!D567,""),"")</f>
        <v/>
      </c>
      <c r="B567" s="1129">
        <f t="shared" si="71"/>
        <v>8</v>
      </c>
      <c r="C567" s="929">
        <v>42963</v>
      </c>
      <c r="D567" s="929" t="s">
        <v>530</v>
      </c>
      <c r="E567" s="929">
        <v>42963</v>
      </c>
      <c r="F567" s="930" t="s">
        <v>823</v>
      </c>
      <c r="G567" s="931" t="s">
        <v>1870</v>
      </c>
      <c r="H567" s="73" t="s">
        <v>755</v>
      </c>
      <c r="I567" s="371"/>
      <c r="J567" s="932"/>
      <c r="K567" s="371"/>
      <c r="L567" s="377"/>
      <c r="M567" s="933">
        <v>4182280</v>
      </c>
      <c r="N567" s="934" t="s">
        <v>539</v>
      </c>
      <c r="O567" s="934" t="s">
        <v>8</v>
      </c>
      <c r="P567" s="75" t="str">
        <f>IF(AND('331-CT'!$E$7=TH!H567,OR(N567="331",O567="331")),"x","")</f>
        <v/>
      </c>
      <c r="Q567" s="75" t="str">
        <f>IF(AND(B567='111'!$L$11,OR($N567=$Q$7,$O567=$Q$7)),"x","")</f>
        <v/>
      </c>
      <c r="R567" s="75" t="str">
        <f>IF(AND($N567=$Q$7,$B567&lt;'111'!$L$11),"x","")</f>
        <v/>
      </c>
      <c r="S567" s="75" t="str">
        <f>IF(AND($O567=$Q$7,$B567&lt;'111'!$L$11),"x","")</f>
        <v/>
      </c>
      <c r="T567" s="75" t="str">
        <f>IF(ISERROR(FIND('112'!$M$9,G567,1)),"",IF((AND(FIND('112'!$M$9,G567,1)&gt;=1,B567='112'!$K$9,OR($N567='112'!$I$6,$O567='112'!$I$6))),"x",""))</f>
        <v/>
      </c>
      <c r="U567" s="75" t="str">
        <f>IF(ISERROR(FIND('112'!$M$9,G567,1)),"",IF((AND(LEFT(G567,2)=LEFT('112'!$M$9,2),B567&lt;'112'!$K$9,$N567='112'!$I$6)),"x",""))</f>
        <v/>
      </c>
      <c r="V567" s="75" t="str">
        <f>IF(ISERROR(FIND('112'!$M$9,G567,1)),"",IF((AND(RIGHT(G567,2)=RIGHT('112'!$M$9,2),B567&lt;'112'!$K$9,$O567='112'!$I$6)),"x",""))</f>
        <v/>
      </c>
      <c r="W567" s="75" t="str">
        <f>IF(AND('341-CT'!$H$9=H567,OR(LEFT(N567,3)=$W$7,LEFT(O567,3)=$W$7)),"x","")</f>
        <v/>
      </c>
      <c r="X567" s="75" t="str">
        <f>IF(OR(TH!N567=TH!$X$7,O567=TH!$X$7),"x","")</f>
        <v/>
      </c>
      <c r="Y567" s="75" t="str">
        <f>IF(AND(OR(N567="131",O567="131"),H567='131-CT'!$H$9),"x","")</f>
        <v/>
      </c>
      <c r="Z567" s="75"/>
      <c r="AA567" s="75" t="str">
        <f>IF(AND(MONTH(E567)='IN-NX'!$J$5,'IN-NX'!$D$7=D567),"x","")</f>
        <v/>
      </c>
      <c r="AB567" s="75" t="str">
        <f>IF(AND(OR(LEFT(TH!N567,2)="15",LEFT(TH!O567,2)="15"),LEFT(TH!O567,3)&lt;&gt;"111",'152-CT'!$J$8=TH!F567),"x","")</f>
        <v/>
      </c>
      <c r="AC567" s="75" t="str">
        <f>IF(AND(OR(LEFT(TH!N567,2)="15",LEFT(TH!O567,2)="15"),TK!$E$7=TH!F567),"x","")</f>
        <v/>
      </c>
      <c r="AD567" s="75" t="str">
        <f>IF(AND(N567="1521",MONTH(C567)='BK-NL'!$M$11),"x","")</f>
        <v/>
      </c>
      <c r="AE567">
        <v>8</v>
      </c>
    </row>
    <row r="568" spans="1:31" ht="16.5" customHeight="1">
      <c r="A568" s="309" t="str">
        <f>IF(B568&lt;&gt;"",IF(AND(B568='IN-TC'!$S$4,OR(TH!N568="1111",TH!O568="1111")),TH!D568,""),"")</f>
        <v/>
      </c>
      <c r="B568" s="1129">
        <f t="shared" si="71"/>
        <v>8</v>
      </c>
      <c r="C568" s="929">
        <v>42963</v>
      </c>
      <c r="D568" s="929" t="s">
        <v>530</v>
      </c>
      <c r="E568" s="929">
        <v>42963</v>
      </c>
      <c r="F568" s="930" t="s">
        <v>824</v>
      </c>
      <c r="G568" s="931" t="s">
        <v>1870</v>
      </c>
      <c r="H568" s="73" t="s">
        <v>755</v>
      </c>
      <c r="I568" s="371"/>
      <c r="J568" s="932"/>
      <c r="K568" s="371"/>
      <c r="L568" s="377"/>
      <c r="M568" s="933">
        <v>418228</v>
      </c>
      <c r="N568" s="934" t="s">
        <v>9</v>
      </c>
      <c r="O568" s="934" t="s">
        <v>8</v>
      </c>
      <c r="P568" s="75" t="str">
        <f>IF(AND('331-CT'!$E$7=TH!H568,OR(N568="331",O568="331")),"x","")</f>
        <v/>
      </c>
      <c r="Q568" s="75" t="str">
        <f>IF(AND(B568='111'!$L$11,OR($N568=$Q$7,$O568=$Q$7)),"x","")</f>
        <v/>
      </c>
      <c r="R568" s="75" t="str">
        <f>IF(AND($N568=$Q$7,$B568&lt;'111'!$L$11),"x","")</f>
        <v/>
      </c>
      <c r="S568" s="75" t="str">
        <f>IF(AND($O568=$Q$7,$B568&lt;'111'!$L$11),"x","")</f>
        <v/>
      </c>
      <c r="T568" s="75" t="str">
        <f>IF(ISERROR(FIND('112'!$M$9,G568,1)),"",IF((AND(FIND('112'!$M$9,G568,1)&gt;=1,B568='112'!$K$9,OR($N568='112'!$I$6,$O568='112'!$I$6))),"x",""))</f>
        <v/>
      </c>
      <c r="U568" s="75" t="str">
        <f>IF(ISERROR(FIND('112'!$M$9,G568,1)),"",IF((AND(LEFT(G568,2)=LEFT('112'!$M$9,2),B568&lt;'112'!$K$9,$N568='112'!$I$6)),"x",""))</f>
        <v/>
      </c>
      <c r="V568" s="75" t="str">
        <f>IF(ISERROR(FIND('112'!$M$9,G568,1)),"",IF((AND(RIGHT(G568,2)=RIGHT('112'!$M$9,2),B568&lt;'112'!$K$9,$O568='112'!$I$6)),"x",""))</f>
        <v/>
      </c>
      <c r="W568" s="75" t="str">
        <f>IF(AND('341-CT'!$H$9=H568,OR(LEFT(N568,3)=$W$7,LEFT(O568,3)=$W$7)),"x","")</f>
        <v/>
      </c>
      <c r="X568" s="75" t="str">
        <f>IF(OR(TH!N568=TH!$X$7,O568=TH!$X$7),"x","")</f>
        <v/>
      </c>
      <c r="Y568" s="75" t="str">
        <f>IF(AND(OR(N568="131",O568="131"),H568='131-CT'!$H$9),"x","")</f>
        <v/>
      </c>
      <c r="Z568" s="75"/>
      <c r="AA568" s="75" t="str">
        <f>IF(AND(MONTH(E568)='IN-NX'!$J$5,'IN-NX'!$D$7=D568),"x","")</f>
        <v/>
      </c>
      <c r="AB568" s="75" t="str">
        <f>IF(AND(OR(LEFT(TH!N568,2)="15",LEFT(TH!O568,2)="15"),LEFT(TH!O568,3)&lt;&gt;"111",'152-CT'!$J$8=TH!F568),"x","")</f>
        <v/>
      </c>
      <c r="AC568" s="75" t="str">
        <f>IF(AND(OR(LEFT(TH!N568,2)="15",LEFT(TH!O568,2)="15"),TK!$E$7=TH!F568),"x","")</f>
        <v/>
      </c>
      <c r="AD568" s="75" t="str">
        <f>IF(AND(N568="1521",MONTH(C568)='BK-NL'!$M$11),"x","")</f>
        <v/>
      </c>
      <c r="AE568">
        <v>8</v>
      </c>
    </row>
    <row r="569" spans="1:31" ht="16.5" customHeight="1">
      <c r="A569" s="309" t="str">
        <f>IF(B569&lt;&gt;"",IF(AND(B569='IN-TC'!$S$4,OR(TH!N569="1111",TH!O569="1111")),TH!D569,""),"")</f>
        <v/>
      </c>
      <c r="B569" s="1129">
        <f t="shared" si="71"/>
        <v>8</v>
      </c>
      <c r="C569" s="929">
        <v>42971</v>
      </c>
      <c r="D569" s="929" t="s">
        <v>530</v>
      </c>
      <c r="E569" s="929">
        <v>42971</v>
      </c>
      <c r="F569" s="930" t="s">
        <v>1192</v>
      </c>
      <c r="G569" s="931" t="s">
        <v>1905</v>
      </c>
      <c r="H569" s="73" t="s">
        <v>755</v>
      </c>
      <c r="I569" s="371"/>
      <c r="J569" s="932"/>
      <c r="K569" s="371"/>
      <c r="L569" s="377"/>
      <c r="M569" s="933">
        <v>8421200</v>
      </c>
      <c r="N569" s="934" t="s">
        <v>539</v>
      </c>
      <c r="O569" s="934" t="s">
        <v>8</v>
      </c>
      <c r="P569" s="75" t="str">
        <f>IF(AND('331-CT'!$E$7=TH!H569,OR(N569="331",O569="331")),"x","")</f>
        <v/>
      </c>
      <c r="Q569" s="75" t="str">
        <f>IF(AND(B569='111'!$L$11,OR($N569=$Q$7,$O569=$Q$7)),"x","")</f>
        <v/>
      </c>
      <c r="R569" s="75" t="str">
        <f>IF(AND($N569=$Q$7,$B569&lt;'111'!$L$11),"x","")</f>
        <v/>
      </c>
      <c r="S569" s="75" t="str">
        <f>IF(AND($O569=$Q$7,$B569&lt;'111'!$L$11),"x","")</f>
        <v/>
      </c>
      <c r="T569" s="75" t="str">
        <f>IF(ISERROR(FIND('112'!$M$9,G569,1)),"",IF((AND(FIND('112'!$M$9,G569,1)&gt;=1,B569='112'!$K$9,OR($N569='112'!$I$6,$O569='112'!$I$6))),"x",""))</f>
        <v/>
      </c>
      <c r="U569" s="75" t="str">
        <f>IF(ISERROR(FIND('112'!$M$9,G569,1)),"",IF((AND(LEFT(G569,2)=LEFT('112'!$M$9,2),B569&lt;'112'!$K$9,$N569='112'!$I$6)),"x",""))</f>
        <v/>
      </c>
      <c r="V569" s="75" t="str">
        <f>IF(ISERROR(FIND('112'!$M$9,G569,1)),"",IF((AND(RIGHT(G569,2)=RIGHT('112'!$M$9,2),B569&lt;'112'!$K$9,$O569='112'!$I$6)),"x",""))</f>
        <v/>
      </c>
      <c r="W569" s="75" t="str">
        <f>IF(AND('341-CT'!$H$9=H569,OR(LEFT(N569,3)=$W$7,LEFT(O569,3)=$W$7)),"x","")</f>
        <v/>
      </c>
      <c r="X569" s="75" t="str">
        <f>IF(OR(TH!N569=TH!$X$7,O569=TH!$X$7),"x","")</f>
        <v/>
      </c>
      <c r="Y569" s="75" t="str">
        <f>IF(AND(OR(N569="131",O569="131"),H569='131-CT'!$H$9),"x","")</f>
        <v/>
      </c>
      <c r="Z569" s="75"/>
      <c r="AA569" s="75" t="str">
        <f>IF(AND(MONTH(E569)='IN-NX'!$J$5,'IN-NX'!$D$7=D569),"x","")</f>
        <v/>
      </c>
      <c r="AB569" s="75" t="str">
        <f>IF(AND(OR(LEFT(TH!N569,2)="15",LEFT(TH!O569,2)="15"),LEFT(TH!O569,3)&lt;&gt;"111",'152-CT'!$J$8=TH!F569),"x","")</f>
        <v/>
      </c>
      <c r="AC569" s="75" t="str">
        <f>IF(AND(OR(LEFT(TH!N569,2)="15",LEFT(TH!O569,2)="15"),TK!$E$7=TH!F569),"x","")</f>
        <v/>
      </c>
      <c r="AD569" s="75" t="str">
        <f>IF(AND(N569="1521",MONTH(C569)='BK-NL'!$M$11),"x","")</f>
        <v/>
      </c>
    </row>
    <row r="570" spans="1:31" ht="16.5" customHeight="1">
      <c r="A570" s="309" t="str">
        <f>IF(B570&lt;&gt;"",IF(AND(B570='IN-TC'!$S$4,OR(TH!N570="1111",TH!O570="1111")),TH!D570,""),"")</f>
        <v/>
      </c>
      <c r="B570" s="1129">
        <f t="shared" si="71"/>
        <v>8</v>
      </c>
      <c r="C570" s="929">
        <v>42971</v>
      </c>
      <c r="D570" s="929" t="s">
        <v>530</v>
      </c>
      <c r="E570" s="929">
        <v>42971</v>
      </c>
      <c r="F570" s="930" t="s">
        <v>823</v>
      </c>
      <c r="G570" s="931" t="s">
        <v>1906</v>
      </c>
      <c r="H570" s="73" t="s">
        <v>755</v>
      </c>
      <c r="I570" s="371"/>
      <c r="J570" s="932"/>
      <c r="K570" s="371"/>
      <c r="L570" s="377"/>
      <c r="M570" s="933">
        <v>4182280</v>
      </c>
      <c r="N570" s="934" t="s">
        <v>539</v>
      </c>
      <c r="O570" s="934" t="s">
        <v>8</v>
      </c>
      <c r="P570" s="75" t="str">
        <f>IF(AND('331-CT'!$E$7=TH!H570,OR(N570="331",O570="331")),"x","")</f>
        <v/>
      </c>
      <c r="Q570" s="75" t="str">
        <f>IF(AND(B570='111'!$L$11,OR($N570=$Q$7,$O570=$Q$7)),"x","")</f>
        <v/>
      </c>
      <c r="R570" s="75" t="str">
        <f>IF(AND($N570=$Q$7,$B570&lt;'111'!$L$11),"x","")</f>
        <v/>
      </c>
      <c r="S570" s="75" t="str">
        <f>IF(AND($O570=$Q$7,$B570&lt;'111'!$L$11),"x","")</f>
        <v/>
      </c>
      <c r="T570" s="75" t="str">
        <f>IF(ISERROR(FIND('112'!$M$9,G570,1)),"",IF((AND(FIND('112'!$M$9,G570,1)&gt;=1,B570='112'!$K$9,OR($N570='112'!$I$6,$O570='112'!$I$6))),"x",""))</f>
        <v/>
      </c>
      <c r="U570" s="75" t="str">
        <f>IF(ISERROR(FIND('112'!$M$9,G570,1)),"",IF((AND(LEFT(G570,2)=LEFT('112'!$M$9,2),B570&lt;'112'!$K$9,$N570='112'!$I$6)),"x",""))</f>
        <v/>
      </c>
      <c r="V570" s="75" t="str">
        <f>IF(ISERROR(FIND('112'!$M$9,G570,1)),"",IF((AND(RIGHT(G570,2)=RIGHT('112'!$M$9,2),B570&lt;'112'!$K$9,$O570='112'!$I$6)),"x",""))</f>
        <v/>
      </c>
      <c r="W570" s="75" t="str">
        <f>IF(AND('341-CT'!$H$9=H570,OR(LEFT(N570,3)=$W$7,LEFT(O570,3)=$W$7)),"x","")</f>
        <v/>
      </c>
      <c r="X570" s="75" t="str">
        <f>IF(OR(TH!N570=TH!$X$7,O570=TH!$X$7),"x","")</f>
        <v/>
      </c>
      <c r="Y570" s="75" t="str">
        <f>IF(AND(OR(N570="131",O570="131"),H570='131-CT'!$H$9),"x","")</f>
        <v/>
      </c>
      <c r="Z570" s="75"/>
      <c r="AA570" s="75" t="str">
        <f>IF(AND(MONTH(E570)='IN-NX'!$J$5,'IN-NX'!$D$7=D570),"x","")</f>
        <v/>
      </c>
      <c r="AB570" s="75" t="str">
        <f>IF(AND(OR(LEFT(TH!N570,2)="15",LEFT(TH!O570,2)="15"),LEFT(TH!O570,3)&lt;&gt;"111",'152-CT'!$J$8=TH!F570),"x","")</f>
        <v/>
      </c>
      <c r="AC570" s="75" t="str">
        <f>IF(AND(OR(LEFT(TH!N570,2)="15",LEFT(TH!O570,2)="15"),TK!$E$7=TH!F570),"x","")</f>
        <v/>
      </c>
      <c r="AD570" s="75" t="str">
        <f>IF(AND(N570="1521",MONTH(C570)='BK-NL'!$M$11),"x","")</f>
        <v/>
      </c>
      <c r="AE570">
        <v>8</v>
      </c>
    </row>
    <row r="571" spans="1:31" ht="16.5" customHeight="1">
      <c r="A571" s="309" t="str">
        <f>IF(B571&lt;&gt;"",IF(AND(B571='IN-TC'!$S$4,OR(TH!N571="1111",TH!O571="1111")),TH!D571,""),"")</f>
        <v/>
      </c>
      <c r="B571" s="1129">
        <f t="shared" si="71"/>
        <v>8</v>
      </c>
      <c r="C571" s="929">
        <v>42971</v>
      </c>
      <c r="D571" s="929" t="s">
        <v>530</v>
      </c>
      <c r="E571" s="929">
        <v>42971</v>
      </c>
      <c r="F571" s="930" t="s">
        <v>824</v>
      </c>
      <c r="G571" s="931" t="s">
        <v>1906</v>
      </c>
      <c r="H571" s="73" t="s">
        <v>755</v>
      </c>
      <c r="I571" s="371"/>
      <c r="J571" s="932"/>
      <c r="K571" s="371"/>
      <c r="L571" s="377"/>
      <c r="M571" s="933">
        <v>418228</v>
      </c>
      <c r="N571" s="934" t="s">
        <v>9</v>
      </c>
      <c r="O571" s="934" t="s">
        <v>8</v>
      </c>
      <c r="P571" s="75" t="str">
        <f>IF(AND('331-CT'!$E$7=TH!H571,OR(N571="331",O571="331")),"x","")</f>
        <v/>
      </c>
      <c r="Q571" s="75" t="str">
        <f>IF(AND(B571='111'!$L$11,OR($N571=$Q$7,$O571=$Q$7)),"x","")</f>
        <v/>
      </c>
      <c r="R571" s="75" t="str">
        <f>IF(AND($N571=$Q$7,$B571&lt;'111'!$L$11),"x","")</f>
        <v/>
      </c>
      <c r="S571" s="75" t="str">
        <f>IF(AND($O571=$Q$7,$B571&lt;'111'!$L$11),"x","")</f>
        <v/>
      </c>
      <c r="T571" s="75" t="str">
        <f>IF(ISERROR(FIND('112'!$M$9,G571,1)),"",IF((AND(FIND('112'!$M$9,G571,1)&gt;=1,B571='112'!$K$9,OR($N571='112'!$I$6,$O571='112'!$I$6))),"x",""))</f>
        <v/>
      </c>
      <c r="U571" s="75" t="str">
        <f>IF(ISERROR(FIND('112'!$M$9,G571,1)),"",IF((AND(LEFT(G571,2)=LEFT('112'!$M$9,2),B571&lt;'112'!$K$9,$N571='112'!$I$6)),"x",""))</f>
        <v/>
      </c>
      <c r="V571" s="75" t="str">
        <f>IF(ISERROR(FIND('112'!$M$9,G571,1)),"",IF((AND(RIGHT(G571,2)=RIGHT('112'!$M$9,2),B571&lt;'112'!$K$9,$O571='112'!$I$6)),"x",""))</f>
        <v/>
      </c>
      <c r="W571" s="75" t="str">
        <f>IF(AND('341-CT'!$H$9=H571,OR(LEFT(N571,3)=$W$7,LEFT(O571,3)=$W$7)),"x","")</f>
        <v/>
      </c>
      <c r="X571" s="75" t="str">
        <f>IF(OR(TH!N571=TH!$X$7,O571=TH!$X$7),"x","")</f>
        <v/>
      </c>
      <c r="Y571" s="75" t="str">
        <f>IF(AND(OR(N571="131",O571="131"),H571='131-CT'!$H$9),"x","")</f>
        <v/>
      </c>
      <c r="Z571" s="75"/>
      <c r="AA571" s="75" t="str">
        <f>IF(AND(MONTH(E571)='IN-NX'!$J$5,'IN-NX'!$D$7=D571),"x","")</f>
        <v/>
      </c>
      <c r="AB571" s="75" t="str">
        <f>IF(AND(OR(LEFT(TH!N571,2)="15",LEFT(TH!O571,2)="15"),LEFT(TH!O571,3)&lt;&gt;"111",'152-CT'!$J$8=TH!F571),"x","")</f>
        <v/>
      </c>
      <c r="AC571" s="75" t="str">
        <f>IF(AND(OR(LEFT(TH!N571,2)="15",LEFT(TH!O571,2)="15"),TK!$E$7=TH!F571),"x","")</f>
        <v/>
      </c>
      <c r="AD571" s="75" t="str">
        <f>IF(AND(N571="1521",MONTH(C571)='BK-NL'!$M$11),"x","")</f>
        <v/>
      </c>
      <c r="AE571">
        <v>8</v>
      </c>
    </row>
    <row r="572" spans="1:31" ht="16.5" customHeight="1">
      <c r="A572" s="309" t="str">
        <f>IF(B572&lt;&gt;"",IF(AND(B572='IN-TC'!$S$4,OR(TH!N572="1111",TH!O572="1111")),TH!D572,""),"")</f>
        <v/>
      </c>
      <c r="B572" s="1129">
        <f t="shared" si="71"/>
        <v>8</v>
      </c>
      <c r="C572" s="929">
        <v>42964</v>
      </c>
      <c r="D572" s="929" t="s">
        <v>530</v>
      </c>
      <c r="E572" s="929">
        <v>42964</v>
      </c>
      <c r="F572" s="930" t="s">
        <v>1877</v>
      </c>
      <c r="G572" s="931" t="s">
        <v>1876</v>
      </c>
      <c r="H572" s="735" t="s">
        <v>749</v>
      </c>
      <c r="I572" s="371"/>
      <c r="J572" s="932"/>
      <c r="K572" s="371"/>
      <c r="L572" s="377"/>
      <c r="M572" s="933">
        <v>2616940</v>
      </c>
      <c r="N572" s="934" t="s">
        <v>539</v>
      </c>
      <c r="O572" s="934" t="s">
        <v>8</v>
      </c>
      <c r="P572" s="75" t="str">
        <f>IF(AND('331-CT'!$E$7=TH!H572,OR(N572="331",O572="331")),"x","")</f>
        <v/>
      </c>
      <c r="Q572" s="75" t="str">
        <f>IF(AND(B572='111'!$L$11,OR($N572=$Q$7,$O572=$Q$7)),"x","")</f>
        <v/>
      </c>
      <c r="R572" s="75" t="str">
        <f>IF(AND($N572=$Q$7,$B572&lt;'111'!$L$11),"x","")</f>
        <v/>
      </c>
      <c r="S572" s="75" t="str">
        <f>IF(AND($O572=$Q$7,$B572&lt;'111'!$L$11),"x","")</f>
        <v/>
      </c>
      <c r="T572" s="75" t="str">
        <f>IF(ISERROR(FIND('112'!$M$9,G572,1)),"",IF((AND(FIND('112'!$M$9,G572,1)&gt;=1,B572='112'!$K$9,OR($N572='112'!$I$6,$O572='112'!$I$6))),"x",""))</f>
        <v/>
      </c>
      <c r="U572" s="75" t="str">
        <f>IF(ISERROR(FIND('112'!$M$9,G572,1)),"",IF((AND(LEFT(G572,2)=LEFT('112'!$M$9,2),B572&lt;'112'!$K$9,$N572='112'!$I$6)),"x",""))</f>
        <v/>
      </c>
      <c r="V572" s="75" t="str">
        <f>IF(ISERROR(FIND('112'!$M$9,G572,1)),"",IF((AND(RIGHT(G572,2)=RIGHT('112'!$M$9,2),B572&lt;'112'!$K$9,$O572='112'!$I$6)),"x",""))</f>
        <v/>
      </c>
      <c r="W572" s="75" t="str">
        <f>IF(AND('341-CT'!$H$9=H572,OR(LEFT(N572,3)=$W$7,LEFT(O572,3)=$W$7)),"x","")</f>
        <v/>
      </c>
      <c r="X572" s="75" t="str">
        <f>IF(OR(TH!N572=TH!$X$7,O572=TH!$X$7),"x","")</f>
        <v/>
      </c>
      <c r="Y572" s="75" t="str">
        <f>IF(AND(OR(N572="131",O572="131"),H572='131-CT'!$H$9),"x","")</f>
        <v/>
      </c>
      <c r="Z572" s="75"/>
      <c r="AA572" s="75" t="str">
        <f>IF(AND(MONTH(E572)='IN-NX'!$J$5,'IN-NX'!$D$7=D572),"x","")</f>
        <v/>
      </c>
      <c r="AB572" s="75" t="str">
        <f>IF(AND(OR(LEFT(TH!N572,2)="15",LEFT(TH!O572,2)="15"),LEFT(TH!O572,3)&lt;&gt;"111",'152-CT'!$J$8=TH!F572),"x","")</f>
        <v/>
      </c>
      <c r="AC572" s="75" t="str">
        <f>IF(AND(OR(LEFT(TH!N572,2)="15",LEFT(TH!O572,2)="15"),TK!$E$7=TH!F572),"x","")</f>
        <v/>
      </c>
      <c r="AD572" s="75" t="str">
        <f>IF(AND(N572="1521",MONTH(C572)='BK-NL'!$M$11),"x","")</f>
        <v/>
      </c>
      <c r="AE572">
        <v>8</v>
      </c>
    </row>
    <row r="573" spans="1:31" ht="16.5" customHeight="1">
      <c r="A573" s="309" t="str">
        <f>IF(B573&lt;&gt;"",IF(AND(B573='IN-TC'!$S$4,OR(TH!N573="1111",TH!O573="1111")),TH!D573,""),"")</f>
        <v/>
      </c>
      <c r="B573" s="1129">
        <f t="shared" si="71"/>
        <v>8</v>
      </c>
      <c r="C573" s="929">
        <v>42964</v>
      </c>
      <c r="D573" s="929" t="s">
        <v>530</v>
      </c>
      <c r="E573" s="929">
        <v>42964</v>
      </c>
      <c r="F573" s="930" t="s">
        <v>1878</v>
      </c>
      <c r="G573" s="931" t="s">
        <v>1876</v>
      </c>
      <c r="H573" s="735" t="s">
        <v>749</v>
      </c>
      <c r="I573" s="371"/>
      <c r="J573" s="932"/>
      <c r="K573" s="371"/>
      <c r="L573" s="377"/>
      <c r="M573" s="933">
        <v>261694</v>
      </c>
      <c r="N573" s="934" t="s">
        <v>9</v>
      </c>
      <c r="O573" s="934" t="s">
        <v>8</v>
      </c>
      <c r="P573" s="75" t="str">
        <f>IF(AND('331-CT'!$E$7=TH!H573,OR(N573="331",O573="331")),"x","")</f>
        <v/>
      </c>
      <c r="Q573" s="75" t="str">
        <f>IF(AND(B573='111'!$L$11,OR($N573=$Q$7,$O573=$Q$7)),"x","")</f>
        <v/>
      </c>
      <c r="R573" s="75" t="str">
        <f>IF(AND($N573=$Q$7,$B573&lt;'111'!$L$11),"x","")</f>
        <v/>
      </c>
      <c r="S573" s="75" t="str">
        <f>IF(AND($O573=$Q$7,$B573&lt;'111'!$L$11),"x","")</f>
        <v/>
      </c>
      <c r="T573" s="75" t="str">
        <f>IF(ISERROR(FIND('112'!$M$9,G573,1)),"",IF((AND(FIND('112'!$M$9,G573,1)&gt;=1,B573='112'!$K$9,OR($N573='112'!$I$6,$O573='112'!$I$6))),"x",""))</f>
        <v/>
      </c>
      <c r="U573" s="75" t="str">
        <f>IF(ISERROR(FIND('112'!$M$9,G573,1)),"",IF((AND(LEFT(G573,2)=LEFT('112'!$M$9,2),B573&lt;'112'!$K$9,$N573='112'!$I$6)),"x",""))</f>
        <v/>
      </c>
      <c r="V573" s="75" t="str">
        <f>IF(ISERROR(FIND('112'!$M$9,G573,1)),"",IF((AND(RIGHT(G573,2)=RIGHT('112'!$M$9,2),B573&lt;'112'!$K$9,$O573='112'!$I$6)),"x",""))</f>
        <v/>
      </c>
      <c r="W573" s="75" t="str">
        <f>IF(AND('341-CT'!$H$9=H573,OR(LEFT(N573,3)=$W$7,LEFT(O573,3)=$W$7)),"x","")</f>
        <v/>
      </c>
      <c r="X573" s="75" t="str">
        <f>IF(OR(TH!N573=TH!$X$7,O573=TH!$X$7),"x","")</f>
        <v/>
      </c>
      <c r="Y573" s="75" t="str">
        <f>IF(AND(OR(N573="131",O573="131"),H573='131-CT'!$H$9),"x","")</f>
        <v/>
      </c>
      <c r="Z573" s="75"/>
      <c r="AA573" s="75" t="str">
        <f>IF(AND(MONTH(E573)='IN-NX'!$J$5,'IN-NX'!$D$7=D573),"x","")</f>
        <v/>
      </c>
      <c r="AB573" s="75" t="str">
        <f>IF(AND(OR(LEFT(TH!N573,2)="15",LEFT(TH!O573,2)="15"),LEFT(TH!O573,3)&lt;&gt;"111",'152-CT'!$J$8=TH!F573),"x","")</f>
        <v/>
      </c>
      <c r="AC573" s="75" t="str">
        <f>IF(AND(OR(LEFT(TH!N573,2)="15",LEFT(TH!O573,2)="15"),TK!$E$7=TH!F573),"x","")</f>
        <v/>
      </c>
      <c r="AD573" s="75" t="str">
        <f>IF(AND(N573="1521",MONTH(C573)='BK-NL'!$M$11),"x","")</f>
        <v/>
      </c>
      <c r="AE573">
        <v>8</v>
      </c>
    </row>
    <row r="574" spans="1:31" ht="16.5" customHeight="1">
      <c r="A574" s="309" t="str">
        <f>IF(B574&lt;&gt;"",IF(AND(B574='IN-TC'!$S$4,OR(TH!N574="1111",TH!O574="1111")),TH!D574,""),"")</f>
        <v/>
      </c>
      <c r="B574" s="1129">
        <f t="shared" si="71"/>
        <v>8</v>
      </c>
      <c r="C574" s="929">
        <v>42969</v>
      </c>
      <c r="D574" s="929" t="s">
        <v>530</v>
      </c>
      <c r="E574" s="929">
        <v>42969</v>
      </c>
      <c r="F574" s="930" t="s">
        <v>1877</v>
      </c>
      <c r="G574" s="931" t="s">
        <v>1900</v>
      </c>
      <c r="H574" s="735" t="s">
        <v>749</v>
      </c>
      <c r="I574" s="371"/>
      <c r="J574" s="932"/>
      <c r="K574" s="371"/>
      <c r="L574" s="377"/>
      <c r="M574" s="933">
        <v>2616365</v>
      </c>
      <c r="N574" s="934" t="s">
        <v>539</v>
      </c>
      <c r="O574" s="934" t="s">
        <v>8</v>
      </c>
      <c r="P574" s="75" t="str">
        <f>IF(AND('331-CT'!$E$7=TH!H574,OR(N574="331",O574="331")),"x","")</f>
        <v/>
      </c>
      <c r="Q574" s="75" t="str">
        <f>IF(AND(B574='111'!$L$11,OR($N574=$Q$7,$O574=$Q$7)),"x","")</f>
        <v/>
      </c>
      <c r="R574" s="75" t="str">
        <f>IF(AND($N574=$Q$7,$B574&lt;'111'!$L$11),"x","")</f>
        <v/>
      </c>
      <c r="S574" s="75" t="str">
        <f>IF(AND($O574=$Q$7,$B574&lt;'111'!$L$11),"x","")</f>
        <v/>
      </c>
      <c r="T574" s="75" t="str">
        <f>IF(ISERROR(FIND('112'!$M$9,G574,1)),"",IF((AND(FIND('112'!$M$9,G574,1)&gt;=1,B574='112'!$K$9,OR($N574='112'!$I$6,$O574='112'!$I$6))),"x",""))</f>
        <v/>
      </c>
      <c r="U574" s="75" t="str">
        <f>IF(ISERROR(FIND('112'!$M$9,G574,1)),"",IF((AND(LEFT(G574,2)=LEFT('112'!$M$9,2),B574&lt;'112'!$K$9,$N574='112'!$I$6)),"x",""))</f>
        <v/>
      </c>
      <c r="V574" s="75" t="str">
        <f>IF(ISERROR(FIND('112'!$M$9,G574,1)),"",IF((AND(RIGHT(G574,2)=RIGHT('112'!$M$9,2),B574&lt;'112'!$K$9,$O574='112'!$I$6)),"x",""))</f>
        <v/>
      </c>
      <c r="W574" s="75" t="str">
        <f>IF(AND('341-CT'!$H$9=H574,OR(LEFT(N574,3)=$W$7,LEFT(O574,3)=$W$7)),"x","")</f>
        <v/>
      </c>
      <c r="X574" s="75" t="str">
        <f>IF(OR(TH!N574=TH!$X$7,O574=TH!$X$7),"x","")</f>
        <v/>
      </c>
      <c r="Y574" s="75" t="str">
        <f>IF(AND(OR(N574="131",O574="131"),H574='131-CT'!$H$9),"x","")</f>
        <v/>
      </c>
      <c r="Z574" s="75"/>
      <c r="AA574" s="75" t="str">
        <f>IF(AND(MONTH(E574)='IN-NX'!$J$5,'IN-NX'!$D$7=D574),"x","")</f>
        <v/>
      </c>
      <c r="AB574" s="75" t="str">
        <f>IF(AND(OR(LEFT(TH!N574,2)="15",LEFT(TH!O574,2)="15"),LEFT(TH!O574,3)&lt;&gt;"111",'152-CT'!$J$8=TH!F574),"x","")</f>
        <v/>
      </c>
      <c r="AC574" s="75" t="str">
        <f>IF(AND(OR(LEFT(TH!N574,2)="15",LEFT(TH!O574,2)="15"),TK!$E$7=TH!F574),"x","")</f>
        <v/>
      </c>
      <c r="AD574" s="75" t="str">
        <f>IF(AND(N574="1521",MONTH(C574)='BK-NL'!$M$11),"x","")</f>
        <v/>
      </c>
      <c r="AE574">
        <v>8</v>
      </c>
    </row>
    <row r="575" spans="1:31" ht="16.5" customHeight="1">
      <c r="A575" s="309" t="str">
        <f>IF(B575&lt;&gt;"",IF(AND(B575='IN-TC'!$S$4,OR(TH!N575="1111",TH!O575="1111")),TH!D575,""),"")</f>
        <v/>
      </c>
      <c r="B575" s="1129">
        <f t="shared" si="71"/>
        <v>8</v>
      </c>
      <c r="C575" s="929">
        <v>42969</v>
      </c>
      <c r="D575" s="929" t="s">
        <v>530</v>
      </c>
      <c r="E575" s="929">
        <v>42969</v>
      </c>
      <c r="F575" s="930" t="s">
        <v>1878</v>
      </c>
      <c r="G575" s="931" t="s">
        <v>1900</v>
      </c>
      <c r="H575" s="735" t="s">
        <v>749</v>
      </c>
      <c r="I575" s="371"/>
      <c r="J575" s="932"/>
      <c r="K575" s="371"/>
      <c r="L575" s="377"/>
      <c r="M575" s="933">
        <v>261637</v>
      </c>
      <c r="N575" s="934" t="s">
        <v>9</v>
      </c>
      <c r="O575" s="934" t="s">
        <v>8</v>
      </c>
      <c r="P575" s="75" t="str">
        <f>IF(AND('331-CT'!$E$7=TH!H575,OR(N575="331",O575="331")),"x","")</f>
        <v/>
      </c>
      <c r="Q575" s="75" t="str">
        <f>IF(AND(B575='111'!$L$11,OR($N575=$Q$7,$O575=$Q$7)),"x","")</f>
        <v/>
      </c>
      <c r="R575" s="75" t="str">
        <f>IF(AND($N575=$Q$7,$B575&lt;'111'!$L$11),"x","")</f>
        <v/>
      </c>
      <c r="S575" s="75" t="str">
        <f>IF(AND($O575=$Q$7,$B575&lt;'111'!$L$11),"x","")</f>
        <v/>
      </c>
      <c r="T575" s="75" t="str">
        <f>IF(ISERROR(FIND('112'!$M$9,G575,1)),"",IF((AND(FIND('112'!$M$9,G575,1)&gt;=1,B575='112'!$K$9,OR($N575='112'!$I$6,$O575='112'!$I$6))),"x",""))</f>
        <v/>
      </c>
      <c r="U575" s="75" t="str">
        <f>IF(ISERROR(FIND('112'!$M$9,G575,1)),"",IF((AND(LEFT(G575,2)=LEFT('112'!$M$9,2),B575&lt;'112'!$K$9,$N575='112'!$I$6)),"x",""))</f>
        <v/>
      </c>
      <c r="V575" s="75" t="str">
        <f>IF(ISERROR(FIND('112'!$M$9,G575,1)),"",IF((AND(RIGHT(G575,2)=RIGHT('112'!$M$9,2),B575&lt;'112'!$K$9,$O575='112'!$I$6)),"x",""))</f>
        <v/>
      </c>
      <c r="W575" s="75" t="str">
        <f>IF(AND('341-CT'!$H$9=H575,OR(LEFT(N575,3)=$W$7,LEFT(O575,3)=$W$7)),"x","")</f>
        <v/>
      </c>
      <c r="X575" s="75" t="str">
        <f>IF(OR(TH!N575=TH!$X$7,O575=TH!$X$7),"x","")</f>
        <v/>
      </c>
      <c r="Y575" s="75" t="str">
        <f>IF(AND(OR(N575="131",O575="131"),H575='131-CT'!$H$9),"x","")</f>
        <v/>
      </c>
      <c r="Z575" s="75"/>
      <c r="AA575" s="75" t="str">
        <f>IF(AND(MONTH(E575)='IN-NX'!$J$5,'IN-NX'!$D$7=D575),"x","")</f>
        <v/>
      </c>
      <c r="AB575" s="75" t="str">
        <f>IF(AND(OR(LEFT(TH!N575,2)="15",LEFT(TH!O575,2)="15"),LEFT(TH!O575,3)&lt;&gt;"111",'152-CT'!$J$8=TH!F575),"x","")</f>
        <v/>
      </c>
      <c r="AC575" s="75" t="str">
        <f>IF(AND(OR(LEFT(TH!N575,2)="15",LEFT(TH!O575,2)="15"),TK!$E$7=TH!F575),"x","")</f>
        <v/>
      </c>
      <c r="AD575" s="75" t="str">
        <f>IF(AND(N575="1521",MONTH(C575)='BK-NL'!$M$11),"x","")</f>
        <v/>
      </c>
      <c r="AE575">
        <v>8</v>
      </c>
    </row>
    <row r="576" spans="1:31" ht="16.5" customHeight="1">
      <c r="A576" s="309" t="str">
        <f>IF(B576&lt;&gt;"",IF(AND(B576='IN-TC'!$S$4,OR(TH!N576="1111",TH!O576="1111")),TH!D576,""),"")</f>
        <v/>
      </c>
      <c r="B576" s="1129">
        <f t="shared" si="71"/>
        <v>8</v>
      </c>
      <c r="C576" s="929">
        <v>42969</v>
      </c>
      <c r="D576" s="929" t="s">
        <v>530</v>
      </c>
      <c r="E576" s="929">
        <v>42969</v>
      </c>
      <c r="F576" s="930" t="s">
        <v>1877</v>
      </c>
      <c r="G576" s="931" t="s">
        <v>1901</v>
      </c>
      <c r="H576" s="735" t="s">
        <v>749</v>
      </c>
      <c r="I576" s="371"/>
      <c r="J576" s="932"/>
      <c r="K576" s="371"/>
      <c r="L576" s="377"/>
      <c r="M576" s="933">
        <v>2616365</v>
      </c>
      <c r="N576" s="934" t="s">
        <v>539</v>
      </c>
      <c r="O576" s="934" t="s">
        <v>8</v>
      </c>
      <c r="P576" s="75" t="str">
        <f>IF(AND('331-CT'!$E$7=TH!H576,OR(N576="331",O576="331")),"x","")</f>
        <v/>
      </c>
      <c r="Q576" s="75" t="str">
        <f>IF(AND(B576='111'!$L$11,OR($N576=$Q$7,$O576=$Q$7)),"x","")</f>
        <v/>
      </c>
      <c r="R576" s="75" t="str">
        <f>IF(AND($N576=$Q$7,$B576&lt;'111'!$L$11),"x","")</f>
        <v/>
      </c>
      <c r="S576" s="75" t="str">
        <f>IF(AND($O576=$Q$7,$B576&lt;'111'!$L$11),"x","")</f>
        <v/>
      </c>
      <c r="T576" s="75" t="str">
        <f>IF(ISERROR(FIND('112'!$M$9,G576,1)),"",IF((AND(FIND('112'!$M$9,G576,1)&gt;=1,B576='112'!$K$9,OR($N576='112'!$I$6,$O576='112'!$I$6))),"x",""))</f>
        <v/>
      </c>
      <c r="U576" s="75" t="str">
        <f>IF(ISERROR(FIND('112'!$M$9,G576,1)),"",IF((AND(LEFT(G576,2)=LEFT('112'!$M$9,2),B576&lt;'112'!$K$9,$N576='112'!$I$6)),"x",""))</f>
        <v/>
      </c>
      <c r="V576" s="75" t="str">
        <f>IF(ISERROR(FIND('112'!$M$9,G576,1)),"",IF((AND(RIGHT(G576,2)=RIGHT('112'!$M$9,2),B576&lt;'112'!$K$9,$O576='112'!$I$6)),"x",""))</f>
        <v/>
      </c>
      <c r="W576" s="75" t="str">
        <f>IF(AND('341-CT'!$H$9=H576,OR(LEFT(N576,3)=$W$7,LEFT(O576,3)=$W$7)),"x","")</f>
        <v/>
      </c>
      <c r="X576" s="75" t="str">
        <f>IF(OR(TH!N576=TH!$X$7,O576=TH!$X$7),"x","")</f>
        <v/>
      </c>
      <c r="Y576" s="75" t="str">
        <f>IF(AND(OR(N576="131",O576="131"),H576='131-CT'!$H$9),"x","")</f>
        <v/>
      </c>
      <c r="Z576" s="75"/>
      <c r="AA576" s="75" t="str">
        <f>IF(AND(MONTH(E576)='IN-NX'!$J$5,'IN-NX'!$D$7=D576),"x","")</f>
        <v/>
      </c>
      <c r="AB576" s="75" t="str">
        <f>IF(AND(OR(LEFT(TH!N576,2)="15",LEFT(TH!O576,2)="15"),LEFT(TH!O576,3)&lt;&gt;"111",'152-CT'!$J$8=TH!F576),"x","")</f>
        <v/>
      </c>
      <c r="AC576" s="75" t="str">
        <f>IF(AND(OR(LEFT(TH!N576,2)="15",LEFT(TH!O576,2)="15"),TK!$E$7=TH!F576),"x","")</f>
        <v/>
      </c>
      <c r="AD576" s="75" t="str">
        <f>IF(AND(N576="1521",MONTH(C576)='BK-NL'!$M$11),"x","")</f>
        <v/>
      </c>
      <c r="AE576">
        <v>8</v>
      </c>
    </row>
    <row r="577" spans="1:31" ht="16.5" customHeight="1">
      <c r="A577" s="309" t="str">
        <f>IF(B577&lt;&gt;"",IF(AND(B577='IN-TC'!$S$4,OR(TH!N577="1111",TH!O577="1111")),TH!D577,""),"")</f>
        <v/>
      </c>
      <c r="B577" s="1129">
        <f t="shared" si="71"/>
        <v>8</v>
      </c>
      <c r="C577" s="929">
        <v>42969</v>
      </c>
      <c r="D577" s="929" t="s">
        <v>530</v>
      </c>
      <c r="E577" s="929">
        <v>42969</v>
      </c>
      <c r="F577" s="930" t="s">
        <v>1878</v>
      </c>
      <c r="G577" s="931" t="s">
        <v>1901</v>
      </c>
      <c r="H577" s="735" t="s">
        <v>749</v>
      </c>
      <c r="I577" s="371"/>
      <c r="J577" s="932"/>
      <c r="K577" s="371"/>
      <c r="L577" s="377"/>
      <c r="M577" s="933">
        <v>261637</v>
      </c>
      <c r="N577" s="934" t="s">
        <v>9</v>
      </c>
      <c r="O577" s="934" t="s">
        <v>8</v>
      </c>
      <c r="P577" s="75" t="str">
        <f>IF(AND('331-CT'!$E$7=TH!H577,OR(N577="331",O577="331")),"x","")</f>
        <v/>
      </c>
      <c r="Q577" s="75" t="str">
        <f>IF(AND(B577='111'!$L$11,OR($N577=$Q$7,$O577=$Q$7)),"x","")</f>
        <v/>
      </c>
      <c r="R577" s="75" t="str">
        <f>IF(AND($N577=$Q$7,$B577&lt;'111'!$L$11),"x","")</f>
        <v/>
      </c>
      <c r="S577" s="75" t="str">
        <f>IF(AND($O577=$Q$7,$B577&lt;'111'!$L$11),"x","")</f>
        <v/>
      </c>
      <c r="T577" s="75" t="str">
        <f>IF(ISERROR(FIND('112'!$M$9,G577,1)),"",IF((AND(FIND('112'!$M$9,G577,1)&gt;=1,B577='112'!$K$9,OR($N577='112'!$I$6,$O577='112'!$I$6))),"x",""))</f>
        <v/>
      </c>
      <c r="U577" s="75" t="str">
        <f>IF(ISERROR(FIND('112'!$M$9,G577,1)),"",IF((AND(LEFT(G577,2)=LEFT('112'!$M$9,2),B577&lt;'112'!$K$9,$N577='112'!$I$6)),"x",""))</f>
        <v/>
      </c>
      <c r="V577" s="75" t="str">
        <f>IF(ISERROR(FIND('112'!$M$9,G577,1)),"",IF((AND(RIGHT(G577,2)=RIGHT('112'!$M$9,2),B577&lt;'112'!$K$9,$O577='112'!$I$6)),"x",""))</f>
        <v/>
      </c>
      <c r="W577" s="75" t="str">
        <f>IF(AND('341-CT'!$H$9=H577,OR(LEFT(N577,3)=$W$7,LEFT(O577,3)=$W$7)),"x","")</f>
        <v/>
      </c>
      <c r="X577" s="75" t="str">
        <f>IF(OR(TH!N577=TH!$X$7,O577=TH!$X$7),"x","")</f>
        <v/>
      </c>
      <c r="Y577" s="75" t="str">
        <f>IF(AND(OR(N577="131",O577="131"),H577='131-CT'!$H$9),"x","")</f>
        <v/>
      </c>
      <c r="Z577" s="75"/>
      <c r="AA577" s="75" t="str">
        <f>IF(AND(MONTH(E577)='IN-NX'!$J$5,'IN-NX'!$D$7=D577),"x","")</f>
        <v/>
      </c>
      <c r="AB577" s="75" t="str">
        <f>IF(AND(OR(LEFT(TH!N577,2)="15",LEFT(TH!O577,2)="15"),LEFT(TH!O577,3)&lt;&gt;"111",'152-CT'!$J$8=TH!F577),"x","")</f>
        <v/>
      </c>
      <c r="AC577" s="75" t="str">
        <f>IF(AND(OR(LEFT(TH!N577,2)="15",LEFT(TH!O577,2)="15"),TK!$E$7=TH!F577),"x","")</f>
        <v/>
      </c>
      <c r="AD577" s="75" t="str">
        <f>IF(AND(N577="1521",MONTH(C577)='BK-NL'!$M$11),"x","")</f>
        <v/>
      </c>
      <c r="AE577">
        <v>8</v>
      </c>
    </row>
    <row r="578" spans="1:31" ht="16.5" customHeight="1">
      <c r="A578" s="309" t="str">
        <f>IF(B578&lt;&gt;"",IF(AND(B578='IN-TC'!$S$4,OR(TH!N578="1111",TH!O578="1111")),TH!D578,""),"")</f>
        <v/>
      </c>
      <c r="B578" s="1129">
        <f t="shared" si="71"/>
        <v>8</v>
      </c>
      <c r="C578" s="929">
        <v>42975</v>
      </c>
      <c r="D578" s="929" t="s">
        <v>530</v>
      </c>
      <c r="E578" s="929">
        <v>42975</v>
      </c>
      <c r="F578" s="930" t="s">
        <v>1877</v>
      </c>
      <c r="G578" s="931" t="s">
        <v>2004</v>
      </c>
      <c r="H578" s="735" t="s">
        <v>749</v>
      </c>
      <c r="I578" s="371"/>
      <c r="J578" s="932"/>
      <c r="K578" s="371"/>
      <c r="L578" s="377"/>
      <c r="M578" s="933">
        <v>2616940</v>
      </c>
      <c r="N578" s="934" t="s">
        <v>539</v>
      </c>
      <c r="O578" s="934" t="s">
        <v>8</v>
      </c>
      <c r="P578" s="75" t="str">
        <f>IF(AND('331-CT'!$E$7=TH!H578,OR(N578="331",O578="331")),"x","")</f>
        <v/>
      </c>
      <c r="Q578" s="75" t="str">
        <f>IF(AND(B578='111'!$L$11,OR($N578=$Q$7,$O578=$Q$7)),"x","")</f>
        <v/>
      </c>
      <c r="R578" s="75" t="str">
        <f>IF(AND($N578=$Q$7,$B578&lt;'111'!$L$11),"x","")</f>
        <v/>
      </c>
      <c r="S578" s="75" t="str">
        <f>IF(AND($O578=$Q$7,$B578&lt;'111'!$L$11),"x","")</f>
        <v/>
      </c>
      <c r="T578" s="75" t="str">
        <f>IF(ISERROR(FIND('112'!$M$9,G578,1)),"",IF((AND(FIND('112'!$M$9,G578,1)&gt;=1,B578='112'!$K$9,OR($N578='112'!$I$6,$O578='112'!$I$6))),"x",""))</f>
        <v/>
      </c>
      <c r="U578" s="75" t="str">
        <f>IF(ISERROR(FIND('112'!$M$9,G578,1)),"",IF((AND(LEFT(G578,2)=LEFT('112'!$M$9,2),B578&lt;'112'!$K$9,$N578='112'!$I$6)),"x",""))</f>
        <v/>
      </c>
      <c r="V578" s="75" t="str">
        <f>IF(ISERROR(FIND('112'!$M$9,G578,1)),"",IF((AND(RIGHT(G578,2)=RIGHT('112'!$M$9,2),B578&lt;'112'!$K$9,$O578='112'!$I$6)),"x",""))</f>
        <v/>
      </c>
      <c r="W578" s="75" t="str">
        <f>IF(AND('341-CT'!$H$9=H578,OR(LEFT(N578,3)=$W$7,LEFT(O578,3)=$W$7)),"x","")</f>
        <v/>
      </c>
      <c r="X578" s="75" t="str">
        <f>IF(OR(TH!N578=TH!$X$7,O578=TH!$X$7),"x","")</f>
        <v/>
      </c>
      <c r="Y578" s="75" t="str">
        <f>IF(AND(OR(N578="131",O578="131"),H578='131-CT'!$H$9),"x","")</f>
        <v/>
      </c>
      <c r="Z578" s="75"/>
      <c r="AA578" s="75" t="str">
        <f>IF(AND(MONTH(E578)='IN-NX'!$J$5,'IN-NX'!$D$7=D578),"x","")</f>
        <v/>
      </c>
      <c r="AB578" s="75" t="str">
        <f>IF(AND(OR(LEFT(TH!N578,2)="15",LEFT(TH!O578,2)="15"),LEFT(TH!O578,3)&lt;&gt;"111",'152-CT'!$J$8=TH!F578),"x","")</f>
        <v/>
      </c>
      <c r="AC578" s="75" t="str">
        <f>IF(AND(OR(LEFT(TH!N578,2)="15",LEFT(TH!O578,2)="15"),TK!$E$7=TH!F578),"x","")</f>
        <v/>
      </c>
      <c r="AD578" s="75" t="str">
        <f>IF(AND(N578="1521",MONTH(C578)='BK-NL'!$M$11),"x","")</f>
        <v/>
      </c>
      <c r="AE578">
        <v>8</v>
      </c>
    </row>
    <row r="579" spans="1:31" ht="16.5" customHeight="1">
      <c r="A579" s="309" t="str">
        <f>IF(B579&lt;&gt;"",IF(AND(B579='IN-TC'!$S$4,OR(TH!N579="1111",TH!O579="1111")),TH!D579,""),"")</f>
        <v/>
      </c>
      <c r="B579" s="1129">
        <f t="shared" si="71"/>
        <v>8</v>
      </c>
      <c r="C579" s="929">
        <v>42975</v>
      </c>
      <c r="D579" s="929" t="s">
        <v>530</v>
      </c>
      <c r="E579" s="929">
        <v>42975</v>
      </c>
      <c r="F579" s="930" t="s">
        <v>1878</v>
      </c>
      <c r="G579" s="931" t="s">
        <v>2004</v>
      </c>
      <c r="H579" s="735" t="s">
        <v>749</v>
      </c>
      <c r="I579" s="371"/>
      <c r="J579" s="932"/>
      <c r="K579" s="371"/>
      <c r="L579" s="377"/>
      <c r="M579" s="933">
        <v>261694</v>
      </c>
      <c r="N579" s="934" t="s">
        <v>9</v>
      </c>
      <c r="O579" s="934" t="s">
        <v>8</v>
      </c>
      <c r="P579" s="75" t="str">
        <f>IF(AND('331-CT'!$E$7=TH!H579,OR(N579="331",O579="331")),"x","")</f>
        <v/>
      </c>
      <c r="Q579" s="75" t="str">
        <f>IF(AND(B579='111'!$L$11,OR($N579=$Q$7,$O579=$Q$7)),"x","")</f>
        <v/>
      </c>
      <c r="R579" s="75" t="str">
        <f>IF(AND($N579=$Q$7,$B579&lt;'111'!$L$11),"x","")</f>
        <v/>
      </c>
      <c r="S579" s="75" t="str">
        <f>IF(AND($O579=$Q$7,$B579&lt;'111'!$L$11),"x","")</f>
        <v/>
      </c>
      <c r="T579" s="75" t="str">
        <f>IF(ISERROR(FIND('112'!$M$9,G579,1)),"",IF((AND(FIND('112'!$M$9,G579,1)&gt;=1,B579='112'!$K$9,OR($N579='112'!$I$6,$O579='112'!$I$6))),"x",""))</f>
        <v/>
      </c>
      <c r="U579" s="75" t="str">
        <f>IF(ISERROR(FIND('112'!$M$9,G579,1)),"",IF((AND(LEFT(G579,2)=LEFT('112'!$M$9,2),B579&lt;'112'!$K$9,$N579='112'!$I$6)),"x",""))</f>
        <v/>
      </c>
      <c r="V579" s="75" t="str">
        <f>IF(ISERROR(FIND('112'!$M$9,G579,1)),"",IF((AND(RIGHT(G579,2)=RIGHT('112'!$M$9,2),B579&lt;'112'!$K$9,$O579='112'!$I$6)),"x",""))</f>
        <v/>
      </c>
      <c r="W579" s="75" t="str">
        <f>IF(AND('341-CT'!$H$9=H579,OR(LEFT(N579,3)=$W$7,LEFT(O579,3)=$W$7)),"x","")</f>
        <v/>
      </c>
      <c r="X579" s="75" t="str">
        <f>IF(OR(TH!N579=TH!$X$7,O579=TH!$X$7),"x","")</f>
        <v/>
      </c>
      <c r="Y579" s="75" t="str">
        <f>IF(AND(OR(N579="131",O579="131"),H579='131-CT'!$H$9),"x","")</f>
        <v/>
      </c>
      <c r="Z579" s="75"/>
      <c r="AA579" s="75" t="str">
        <f>IF(AND(MONTH(E579)='IN-NX'!$J$5,'IN-NX'!$D$7=D579),"x","")</f>
        <v/>
      </c>
      <c r="AB579" s="75" t="str">
        <f>IF(AND(OR(LEFT(TH!N579,2)="15",LEFT(TH!O579,2)="15"),LEFT(TH!O579,3)&lt;&gt;"111",'152-CT'!$J$8=TH!F579),"x","")</f>
        <v/>
      </c>
      <c r="AC579" s="75" t="str">
        <f>IF(AND(OR(LEFT(TH!N579,2)="15",LEFT(TH!O579,2)="15"),TK!$E$7=TH!F579),"x","")</f>
        <v/>
      </c>
      <c r="AD579" s="75" t="str">
        <f>IF(AND(N579="1521",MONTH(C579)='BK-NL'!$M$11),"x","")</f>
        <v/>
      </c>
      <c r="AE579">
        <v>8</v>
      </c>
    </row>
    <row r="580" spans="1:31" ht="16.5" customHeight="1">
      <c r="A580" s="309" t="str">
        <f>IF(B580&lt;&gt;"",IF(AND(B580='IN-TC'!$S$4,OR(TH!N580="1111",TH!O580="1111")),TH!D580,""),"")</f>
        <v/>
      </c>
      <c r="B580" s="1129">
        <f t="shared" si="71"/>
        <v>8</v>
      </c>
      <c r="C580" s="929">
        <v>42957</v>
      </c>
      <c r="D580" s="929" t="s">
        <v>530</v>
      </c>
      <c r="E580" s="929">
        <f t="shared" ref="E580:E581" si="73">C580</f>
        <v>42957</v>
      </c>
      <c r="F580" s="930" t="s">
        <v>753</v>
      </c>
      <c r="G580" s="931" t="s">
        <v>1909</v>
      </c>
      <c r="H580" s="735" t="s">
        <v>754</v>
      </c>
      <c r="I580" s="371"/>
      <c r="J580" s="932"/>
      <c r="K580" s="371"/>
      <c r="L580" s="377"/>
      <c r="M580" s="933">
        <v>38581200</v>
      </c>
      <c r="N580" s="934" t="s">
        <v>539</v>
      </c>
      <c r="O580" s="934" t="s">
        <v>8</v>
      </c>
      <c r="P580" s="75" t="str">
        <f>IF(AND('331-CT'!$E$7=TH!H580,OR(N580="331",O580="331")),"x","")</f>
        <v/>
      </c>
      <c r="Q580" s="75" t="str">
        <f>IF(AND(B580='111'!$L$11,OR($N580=$Q$7,$O580=$Q$7)),"x","")</f>
        <v/>
      </c>
      <c r="R580" s="75" t="str">
        <f>IF(AND($N580=$Q$7,$B580&lt;'111'!$L$11),"x","")</f>
        <v/>
      </c>
      <c r="S580" s="75" t="str">
        <f>IF(AND($O580=$Q$7,$B580&lt;'111'!$L$11),"x","")</f>
        <v/>
      </c>
      <c r="T580" s="75" t="str">
        <f>IF(ISERROR(FIND('112'!$M$9,G580,1)),"",IF((AND(FIND('112'!$M$9,G580,1)&gt;=1,B580='112'!$K$9,OR($N580='112'!$I$6,$O580='112'!$I$6))),"x",""))</f>
        <v/>
      </c>
      <c r="U580" s="75" t="str">
        <f>IF(ISERROR(FIND('112'!$M$9,G580,1)),"",IF((AND(LEFT(G580,2)=LEFT('112'!$M$9,2),B580&lt;'112'!$K$9,$N580='112'!$I$6)),"x",""))</f>
        <v/>
      </c>
      <c r="V580" s="75" t="str">
        <f>IF(ISERROR(FIND('112'!$M$9,G580,1)),"",IF((AND(RIGHT(G580,2)=RIGHT('112'!$M$9,2),B580&lt;'112'!$K$9,$O580='112'!$I$6)),"x",""))</f>
        <v/>
      </c>
      <c r="W580" s="75" t="str">
        <f>IF(AND('341-CT'!$H$9=H580,OR(LEFT(N580,3)=$W$7,LEFT(O580,3)=$W$7)),"x","")</f>
        <v/>
      </c>
      <c r="X580" s="75" t="str">
        <f>IF(OR(TH!N580=TH!$X$7,O580=TH!$X$7),"x","")</f>
        <v/>
      </c>
      <c r="Y580" s="75" t="str">
        <f>IF(AND(OR(N580="131",O580="131"),H580='131-CT'!$H$9),"x","")</f>
        <v/>
      </c>
      <c r="Z580" s="75"/>
      <c r="AA580" s="75" t="str">
        <f>IF(AND(MONTH(E580)='IN-NX'!$J$5,'IN-NX'!$D$7=D580),"x","")</f>
        <v/>
      </c>
      <c r="AB580" s="75" t="str">
        <f>IF(AND(OR(LEFT(TH!N580,2)="15",LEFT(TH!O580,2)="15"),LEFT(TH!O580,3)&lt;&gt;"111",'152-CT'!$J$8=TH!F580),"x","")</f>
        <v/>
      </c>
      <c r="AC580" s="75" t="str">
        <f>IF(AND(OR(LEFT(TH!N580,2)="15",LEFT(TH!O580,2)="15"),TK!$E$7=TH!F580),"x","")</f>
        <v/>
      </c>
      <c r="AD580" s="75" t="str">
        <f>IF(AND(N580="1521",MONTH(C580)='BK-NL'!$M$11),"x","")</f>
        <v/>
      </c>
      <c r="AE580">
        <v>8</v>
      </c>
    </row>
    <row r="581" spans="1:31" ht="16.5" customHeight="1">
      <c r="A581" s="309" t="str">
        <f>IF(B581&lt;&gt;"",IF(AND(B581='IN-TC'!$S$4,OR(TH!N581="1111",TH!O581="1111")),TH!D581,""),"")</f>
        <v/>
      </c>
      <c r="B581" s="1129">
        <f t="shared" si="71"/>
        <v>8</v>
      </c>
      <c r="C581" s="929">
        <v>42957</v>
      </c>
      <c r="D581" s="929" t="s">
        <v>530</v>
      </c>
      <c r="E581" s="929">
        <f t="shared" si="73"/>
        <v>42957</v>
      </c>
      <c r="F581" s="930" t="s">
        <v>1908</v>
      </c>
      <c r="G581" s="931" t="s">
        <v>1909</v>
      </c>
      <c r="H581" s="735" t="s">
        <v>754</v>
      </c>
      <c r="I581" s="371"/>
      <c r="J581" s="932"/>
      <c r="K581" s="371"/>
      <c r="L581" s="377"/>
      <c r="M581" s="933">
        <v>3858120</v>
      </c>
      <c r="N581" s="934" t="s">
        <v>9</v>
      </c>
      <c r="O581" s="934" t="s">
        <v>8</v>
      </c>
      <c r="P581" s="75" t="str">
        <f>IF(AND('331-CT'!$E$7=TH!H581,OR(N581="331",O581="331")),"x","")</f>
        <v/>
      </c>
      <c r="Q581" s="75" t="str">
        <f>IF(AND(B581='111'!$L$11,OR($N581=$Q$7,$O581=$Q$7)),"x","")</f>
        <v/>
      </c>
      <c r="R581" s="75" t="str">
        <f>IF(AND($N581=$Q$7,$B581&lt;'111'!$L$11),"x","")</f>
        <v/>
      </c>
      <c r="S581" s="75" t="str">
        <f>IF(AND($O581=$Q$7,$B581&lt;'111'!$L$11),"x","")</f>
        <v/>
      </c>
      <c r="T581" s="75" t="str">
        <f>IF(ISERROR(FIND('112'!$M$9,G581,1)),"",IF((AND(FIND('112'!$M$9,G581,1)&gt;=1,B581='112'!$K$9,OR($N581='112'!$I$6,$O581='112'!$I$6))),"x",""))</f>
        <v/>
      </c>
      <c r="U581" s="75" t="str">
        <f>IF(ISERROR(FIND('112'!$M$9,G581,1)),"",IF((AND(LEFT(G581,2)=LEFT('112'!$M$9,2),B581&lt;'112'!$K$9,$N581='112'!$I$6)),"x",""))</f>
        <v/>
      </c>
      <c r="V581" s="75" t="str">
        <f>IF(ISERROR(FIND('112'!$M$9,G581,1)),"",IF((AND(RIGHT(G581,2)=RIGHT('112'!$M$9,2),B581&lt;'112'!$K$9,$O581='112'!$I$6)),"x",""))</f>
        <v/>
      </c>
      <c r="W581" s="75" t="str">
        <f>IF(AND('341-CT'!$H$9=H581,OR(LEFT(N581,3)=$W$7,LEFT(O581,3)=$W$7)),"x","")</f>
        <v/>
      </c>
      <c r="X581" s="75" t="str">
        <f>IF(OR(TH!N581=TH!$X$7,O581=TH!$X$7),"x","")</f>
        <v/>
      </c>
      <c r="Y581" s="75" t="str">
        <f>IF(AND(OR(N581="131",O581="131"),H581='131-CT'!$H$9),"x","")</f>
        <v/>
      </c>
      <c r="Z581" s="75"/>
      <c r="AA581" s="75" t="str">
        <f>IF(AND(MONTH(E581)='IN-NX'!$J$5,'IN-NX'!$D$7=D581),"x","")</f>
        <v/>
      </c>
      <c r="AB581" s="75" t="str">
        <f>IF(AND(OR(LEFT(TH!N581,2)="15",LEFT(TH!O581,2)="15"),LEFT(TH!O581,3)&lt;&gt;"111",'152-CT'!$J$8=TH!F581),"x","")</f>
        <v/>
      </c>
      <c r="AC581" s="75" t="str">
        <f>IF(AND(OR(LEFT(TH!N581,2)="15",LEFT(TH!O581,2)="15"),TK!$E$7=TH!F581),"x","")</f>
        <v/>
      </c>
      <c r="AD581" s="75" t="str">
        <f>IF(AND(N581="1521",MONTH(C581)='BK-NL'!$M$11),"x","")</f>
        <v/>
      </c>
      <c r="AE581">
        <v>8</v>
      </c>
    </row>
    <row r="582" spans="1:31" ht="16.5" customHeight="1">
      <c r="A582" s="309" t="str">
        <f>IF(B582&lt;&gt;"",IF(AND(B582='IN-TC'!$S$4,OR(TH!N582="1111",TH!O582="1111")),TH!D582,""),"")</f>
        <v/>
      </c>
      <c r="B582" s="1129">
        <f t="shared" si="71"/>
        <v>8</v>
      </c>
      <c r="C582" s="929">
        <v>42971</v>
      </c>
      <c r="D582" s="929" t="s">
        <v>530</v>
      </c>
      <c r="E582" s="929">
        <f t="shared" ref="E582:E583" si="74">C582</f>
        <v>42971</v>
      </c>
      <c r="F582" s="930" t="s">
        <v>1011</v>
      </c>
      <c r="G582" s="931" t="s">
        <v>1914</v>
      </c>
      <c r="H582" s="73" t="s">
        <v>750</v>
      </c>
      <c r="I582" s="371"/>
      <c r="J582" s="932"/>
      <c r="K582" s="371"/>
      <c r="L582" s="377"/>
      <c r="M582" s="933">
        <v>32045455</v>
      </c>
      <c r="N582" s="934" t="s">
        <v>539</v>
      </c>
      <c r="O582" s="934" t="s">
        <v>8</v>
      </c>
      <c r="P582" s="75" t="str">
        <f>IF(AND('331-CT'!$E$7=TH!H582,OR(N582="331",O582="331")),"x","")</f>
        <v/>
      </c>
      <c r="Q582" s="75" t="str">
        <f>IF(AND(B582='111'!$L$11,OR($N582=$Q$7,$O582=$Q$7)),"x","")</f>
        <v/>
      </c>
      <c r="R582" s="75" t="str">
        <f>IF(AND($N582=$Q$7,$B582&lt;'111'!$L$11),"x","")</f>
        <v/>
      </c>
      <c r="S582" s="75" t="str">
        <f>IF(AND($O582=$Q$7,$B582&lt;'111'!$L$11),"x","")</f>
        <v/>
      </c>
      <c r="T582" s="75" t="str">
        <f>IF(ISERROR(FIND('112'!$M$9,G582,1)),"",IF((AND(FIND('112'!$M$9,G582,1)&gt;=1,B582='112'!$K$9,OR($N582='112'!$I$6,$O582='112'!$I$6))),"x",""))</f>
        <v/>
      </c>
      <c r="U582" s="75" t="str">
        <f>IF(ISERROR(FIND('112'!$M$9,G582,1)),"",IF((AND(LEFT(G582,2)=LEFT('112'!$M$9,2),B582&lt;'112'!$K$9,$N582='112'!$I$6)),"x",""))</f>
        <v/>
      </c>
      <c r="V582" s="75" t="str">
        <f>IF(ISERROR(FIND('112'!$M$9,G582,1)),"",IF((AND(RIGHT(G582,2)=RIGHT('112'!$M$9,2),B582&lt;'112'!$K$9,$O582='112'!$I$6)),"x",""))</f>
        <v/>
      </c>
      <c r="W582" s="75" t="str">
        <f>IF(AND('341-CT'!$H$9=H582,OR(LEFT(N582,3)=$W$7,LEFT(O582,3)=$W$7)),"x","")</f>
        <v/>
      </c>
      <c r="X582" s="75" t="str">
        <f>IF(OR(TH!N582=TH!$X$7,O582=TH!$X$7),"x","")</f>
        <v/>
      </c>
      <c r="Y582" s="75" t="str">
        <f>IF(AND(OR(N582="131",O582="131"),H582='131-CT'!$H$9),"x","")</f>
        <v/>
      </c>
      <c r="Z582" s="75"/>
      <c r="AA582" s="75" t="str">
        <f>IF(AND(MONTH(E582)='IN-NX'!$J$5,'IN-NX'!$D$7=D582),"x","")</f>
        <v/>
      </c>
      <c r="AB582" s="75" t="str">
        <f>IF(AND(OR(LEFT(TH!N582,2)="15",LEFT(TH!O582,2)="15"),LEFT(TH!O582,3)&lt;&gt;"111",'152-CT'!$J$8=TH!F582),"x","")</f>
        <v/>
      </c>
      <c r="AC582" s="75" t="str">
        <f>IF(AND(OR(LEFT(TH!N582,2)="15",LEFT(TH!O582,2)="15"),TK!$E$7=TH!F582),"x","")</f>
        <v/>
      </c>
      <c r="AD582" s="75" t="str">
        <f>IF(AND(N582="1521",MONTH(C582)='BK-NL'!$M$11),"x","")</f>
        <v/>
      </c>
      <c r="AE582">
        <v>8</v>
      </c>
    </row>
    <row r="583" spans="1:31" ht="16.5" customHeight="1">
      <c r="A583" s="309" t="str">
        <f>IF(B583&lt;&gt;"",IF(AND(B583='IN-TC'!$S$4,OR(TH!N583="1111",TH!O583="1111")),TH!D583,""),"")</f>
        <v/>
      </c>
      <c r="B583" s="1129">
        <f t="shared" si="71"/>
        <v>8</v>
      </c>
      <c r="C583" s="929">
        <v>42971</v>
      </c>
      <c r="D583" s="929" t="s">
        <v>530</v>
      </c>
      <c r="E583" s="929">
        <f t="shared" si="74"/>
        <v>42971</v>
      </c>
      <c r="F583" s="930" t="s">
        <v>1012</v>
      </c>
      <c r="G583" s="931" t="s">
        <v>1914</v>
      </c>
      <c r="H583" s="73" t="s">
        <v>750</v>
      </c>
      <c r="I583" s="371"/>
      <c r="J583" s="932"/>
      <c r="K583" s="371"/>
      <c r="L583" s="377"/>
      <c r="M583" s="933">
        <v>3204545</v>
      </c>
      <c r="N583" s="934" t="s">
        <v>9</v>
      </c>
      <c r="O583" s="934" t="s">
        <v>8</v>
      </c>
      <c r="P583" s="75" t="str">
        <f>IF(AND('331-CT'!$E$7=TH!H583,OR(N583="331",O583="331")),"x","")</f>
        <v/>
      </c>
      <c r="Q583" s="75" t="str">
        <f>IF(AND(B583='111'!$L$11,OR($N583=$Q$7,$O583=$Q$7)),"x","")</f>
        <v/>
      </c>
      <c r="R583" s="75" t="str">
        <f>IF(AND($N583=$Q$7,$B583&lt;'111'!$L$11),"x","")</f>
        <v/>
      </c>
      <c r="S583" s="75" t="str">
        <f>IF(AND($O583=$Q$7,$B583&lt;'111'!$L$11),"x","")</f>
        <v/>
      </c>
      <c r="T583" s="75" t="str">
        <f>IF(ISERROR(FIND('112'!$M$9,G583,1)),"",IF((AND(FIND('112'!$M$9,G583,1)&gt;=1,B583='112'!$K$9,OR($N583='112'!$I$6,$O583='112'!$I$6))),"x",""))</f>
        <v/>
      </c>
      <c r="U583" s="75" t="str">
        <f>IF(ISERROR(FIND('112'!$M$9,G583,1)),"",IF((AND(LEFT(G583,2)=LEFT('112'!$M$9,2),B583&lt;'112'!$K$9,$N583='112'!$I$6)),"x",""))</f>
        <v/>
      </c>
      <c r="V583" s="75" t="str">
        <f>IF(ISERROR(FIND('112'!$M$9,G583,1)),"",IF((AND(RIGHT(G583,2)=RIGHT('112'!$M$9,2),B583&lt;'112'!$K$9,$O583='112'!$I$6)),"x",""))</f>
        <v/>
      </c>
      <c r="W583" s="75" t="str">
        <f>IF(AND('341-CT'!$H$9=H583,OR(LEFT(N583,3)=$W$7,LEFT(O583,3)=$W$7)),"x","")</f>
        <v/>
      </c>
      <c r="X583" s="75" t="str">
        <f>IF(OR(TH!N583=TH!$X$7,O583=TH!$X$7),"x","")</f>
        <v/>
      </c>
      <c r="Y583" s="75" t="str">
        <f>IF(AND(OR(N583="131",O583="131"),H583='131-CT'!$H$9),"x","")</f>
        <v/>
      </c>
      <c r="Z583" s="75"/>
      <c r="AA583" s="75" t="str">
        <f>IF(AND(MONTH(E583)='IN-NX'!$J$5,'IN-NX'!$D$7=D583),"x","")</f>
        <v/>
      </c>
      <c r="AB583" s="75" t="str">
        <f>IF(AND(OR(LEFT(TH!N583,2)="15",LEFT(TH!O583,2)="15"),LEFT(TH!O583,3)&lt;&gt;"111",'152-CT'!$J$8=TH!F583),"x","")</f>
        <v/>
      </c>
      <c r="AC583" s="75" t="str">
        <f>IF(AND(OR(LEFT(TH!N583,2)="15",LEFT(TH!O583,2)="15"),TK!$E$7=TH!F583),"x","")</f>
        <v/>
      </c>
      <c r="AD583" s="75" t="str">
        <f>IF(AND(N583="1521",MONTH(C583)='BK-NL'!$M$11),"x","")</f>
        <v/>
      </c>
      <c r="AE583">
        <v>8</v>
      </c>
    </row>
    <row r="584" spans="1:31" ht="16.5" customHeight="1">
      <c r="A584" s="309" t="str">
        <f>IF(B584&lt;&gt;"",IF(AND(B584='IN-TC'!$S$4,OR(TH!N584="1111",TH!O584="1111")),TH!D584,""),"")</f>
        <v/>
      </c>
      <c r="B584" s="1129">
        <f t="shared" si="71"/>
        <v>8</v>
      </c>
      <c r="C584" s="929">
        <v>42969</v>
      </c>
      <c r="D584" s="929" t="s">
        <v>530</v>
      </c>
      <c r="E584" s="929">
        <v>42969</v>
      </c>
      <c r="F584" s="930" t="s">
        <v>808</v>
      </c>
      <c r="G584" s="931" t="s">
        <v>2005</v>
      </c>
      <c r="H584" s="296" t="s">
        <v>622</v>
      </c>
      <c r="I584" s="371"/>
      <c r="J584" s="932"/>
      <c r="K584" s="371"/>
      <c r="L584" s="377"/>
      <c r="M584" s="933">
        <v>29588000</v>
      </c>
      <c r="N584" s="934" t="s">
        <v>539</v>
      </c>
      <c r="O584" s="934" t="s">
        <v>8</v>
      </c>
      <c r="P584" s="75" t="str">
        <f>IF(AND('331-CT'!$E$7=TH!H584,OR(N584="331",O584="331")),"x","")</f>
        <v/>
      </c>
      <c r="Q584" s="75" t="str">
        <f>IF(AND(B584='111'!$L$11,OR($N584=$Q$7,$O584=$Q$7)),"x","")</f>
        <v/>
      </c>
      <c r="R584" s="75" t="str">
        <f>IF(AND($N584=$Q$7,$B584&lt;'111'!$L$11),"x","")</f>
        <v/>
      </c>
      <c r="S584" s="75" t="str">
        <f>IF(AND($O584=$Q$7,$B584&lt;'111'!$L$11),"x","")</f>
        <v/>
      </c>
      <c r="T584" s="75" t="str">
        <f>IF(ISERROR(FIND('112'!$M$9,G584,1)),"",IF((AND(FIND('112'!$M$9,G584,1)&gt;=1,B584='112'!$K$9,OR($N584='112'!$I$6,$O584='112'!$I$6))),"x",""))</f>
        <v/>
      </c>
      <c r="U584" s="75" t="str">
        <f>IF(ISERROR(FIND('112'!$M$9,G584,1)),"",IF((AND(LEFT(G584,2)=LEFT('112'!$M$9,2),B584&lt;'112'!$K$9,$N584='112'!$I$6)),"x",""))</f>
        <v/>
      </c>
      <c r="V584" s="75" t="str">
        <f>IF(ISERROR(FIND('112'!$M$9,G584,1)),"",IF((AND(RIGHT(G584,2)=RIGHT('112'!$M$9,2),B584&lt;'112'!$K$9,$O584='112'!$I$6)),"x",""))</f>
        <v/>
      </c>
      <c r="W584" s="75" t="str">
        <f>IF(AND('341-CT'!$H$9=H584,OR(LEFT(N584,3)=$W$7,LEFT(O584,3)=$W$7)),"x","")</f>
        <v/>
      </c>
      <c r="X584" s="75" t="str">
        <f>IF(OR(TH!N584=TH!$X$7,O584=TH!$X$7),"x","")</f>
        <v/>
      </c>
      <c r="Y584" s="75" t="str">
        <f>IF(AND(OR(N584="131",O584="131"),H584='131-CT'!$H$9),"x","")</f>
        <v/>
      </c>
      <c r="Z584" s="75"/>
      <c r="AA584" s="75" t="str">
        <f>IF(AND(MONTH(E584)='IN-NX'!$J$5,'IN-NX'!$D$7=D584),"x","")</f>
        <v/>
      </c>
      <c r="AB584" s="75" t="str">
        <f>IF(AND(OR(LEFT(TH!N584,2)="15",LEFT(TH!O584,2)="15"),LEFT(TH!O584,3)&lt;&gt;"111",'152-CT'!$J$8=TH!F584),"x","")</f>
        <v/>
      </c>
      <c r="AC584" s="75" t="str">
        <f>IF(AND(OR(LEFT(TH!N584,2)="15",LEFT(TH!O584,2)="15"),TK!$E$7=TH!F584),"x","")</f>
        <v/>
      </c>
      <c r="AD584" s="75" t="str">
        <f>IF(AND(N584="1521",MONTH(C584)='BK-NL'!$M$11),"x","")</f>
        <v/>
      </c>
    </row>
    <row r="585" spans="1:31" ht="16.5" customHeight="1">
      <c r="A585" s="309" t="str">
        <f>IF(B585&lt;&gt;"",IF(AND(B585='IN-TC'!$S$4,OR(TH!N585="1111",TH!O585="1111")),TH!D585,""),"")</f>
        <v/>
      </c>
      <c r="B585" s="1129">
        <f t="shared" si="71"/>
        <v>8</v>
      </c>
      <c r="C585" s="929">
        <v>42969</v>
      </c>
      <c r="D585" s="929" t="s">
        <v>530</v>
      </c>
      <c r="E585" s="929">
        <v>42969</v>
      </c>
      <c r="F585" s="930" t="s">
        <v>810</v>
      </c>
      <c r="G585" s="931" t="s">
        <v>2006</v>
      </c>
      <c r="H585" s="296" t="s">
        <v>622</v>
      </c>
      <c r="I585" s="371"/>
      <c r="J585" s="932"/>
      <c r="K585" s="371"/>
      <c r="L585" s="377"/>
      <c r="M585" s="933">
        <v>6896280</v>
      </c>
      <c r="N585" s="934" t="s">
        <v>539</v>
      </c>
      <c r="O585" s="934" t="s">
        <v>8</v>
      </c>
      <c r="P585" s="75" t="str">
        <f>IF(AND('331-CT'!$E$7=TH!H585,OR(N585="331",O585="331")),"x","")</f>
        <v/>
      </c>
      <c r="Q585" s="75" t="str">
        <f>IF(AND(B585='111'!$L$11,OR($N585=$Q$7,$O585=$Q$7)),"x","")</f>
        <v/>
      </c>
      <c r="R585" s="75" t="str">
        <f>IF(AND($N585=$Q$7,$B585&lt;'111'!$L$11),"x","")</f>
        <v/>
      </c>
      <c r="S585" s="75" t="str">
        <f>IF(AND($O585=$Q$7,$B585&lt;'111'!$L$11),"x","")</f>
        <v/>
      </c>
      <c r="T585" s="75" t="str">
        <f>IF(ISERROR(FIND('112'!$M$9,G585,1)),"",IF((AND(FIND('112'!$M$9,G585,1)&gt;=1,B585='112'!$K$9,OR($N585='112'!$I$6,$O585='112'!$I$6))),"x",""))</f>
        <v/>
      </c>
      <c r="U585" s="75" t="str">
        <f>IF(ISERROR(FIND('112'!$M$9,G585,1)),"",IF((AND(LEFT(G585,2)=LEFT('112'!$M$9,2),B585&lt;'112'!$K$9,$N585='112'!$I$6)),"x",""))</f>
        <v/>
      </c>
      <c r="V585" s="75" t="str">
        <f>IF(ISERROR(FIND('112'!$M$9,G585,1)),"",IF((AND(RIGHT(G585,2)=RIGHT('112'!$M$9,2),B585&lt;'112'!$K$9,$O585='112'!$I$6)),"x",""))</f>
        <v/>
      </c>
      <c r="W585" s="75" t="str">
        <f>IF(AND('341-CT'!$H$9=H585,OR(LEFT(N585,3)=$W$7,LEFT(O585,3)=$W$7)),"x","")</f>
        <v/>
      </c>
      <c r="X585" s="75" t="str">
        <f>IF(OR(TH!N585=TH!$X$7,O585=TH!$X$7),"x","")</f>
        <v/>
      </c>
      <c r="Y585" s="75" t="str">
        <f>IF(AND(OR(N585="131",O585="131"),H585='131-CT'!$H$9),"x","")</f>
        <v/>
      </c>
      <c r="Z585" s="75"/>
      <c r="AA585" s="75" t="str">
        <f>IF(AND(MONTH(E585)='IN-NX'!$J$5,'IN-NX'!$D$7=D585),"x","")</f>
        <v/>
      </c>
      <c r="AB585" s="75" t="str">
        <f>IF(AND(OR(LEFT(TH!N585,2)="15",LEFT(TH!O585,2)="15"),LEFT(TH!O585,3)&lt;&gt;"111",'152-CT'!$J$8=TH!F585),"x","")</f>
        <v/>
      </c>
      <c r="AC585" s="75" t="str">
        <f>IF(AND(OR(LEFT(TH!N585,2)="15",LEFT(TH!O585,2)="15"),TK!$E$7=TH!F585),"x","")</f>
        <v/>
      </c>
      <c r="AD585" s="75" t="str">
        <f>IF(AND(N585="1521",MONTH(C585)='BK-NL'!$M$11),"x","")</f>
        <v/>
      </c>
      <c r="AE585">
        <v>8</v>
      </c>
    </row>
    <row r="586" spans="1:31" ht="16.5" customHeight="1">
      <c r="A586" s="309" t="str">
        <f>IF(B586&lt;&gt;"",IF(AND(B586='IN-TC'!$S$4,OR(TH!N586="1111",TH!O586="1111")),TH!D586,""),"")</f>
        <v/>
      </c>
      <c r="B586" s="1129">
        <f t="shared" si="71"/>
        <v>8</v>
      </c>
      <c r="C586" s="929">
        <v>42969</v>
      </c>
      <c r="D586" s="929" t="s">
        <v>530</v>
      </c>
      <c r="E586" s="929">
        <v>42969</v>
      </c>
      <c r="F586" s="930" t="s">
        <v>811</v>
      </c>
      <c r="G586" s="931" t="s">
        <v>2006</v>
      </c>
      <c r="H586" s="296" t="s">
        <v>622</v>
      </c>
      <c r="I586" s="371"/>
      <c r="J586" s="932"/>
      <c r="K586" s="371"/>
      <c r="L586" s="377"/>
      <c r="M586" s="933">
        <v>689628</v>
      </c>
      <c r="N586" s="934" t="s">
        <v>9</v>
      </c>
      <c r="O586" s="934" t="s">
        <v>8</v>
      </c>
      <c r="P586" s="75" t="str">
        <f>IF(AND('331-CT'!$E$7=TH!H586,OR(N586="331",O586="331")),"x","")</f>
        <v/>
      </c>
      <c r="Q586" s="75" t="str">
        <f>IF(AND(B586='111'!$L$11,OR($N586=$Q$7,$O586=$Q$7)),"x","")</f>
        <v/>
      </c>
      <c r="R586" s="75" t="str">
        <f>IF(AND($N586=$Q$7,$B586&lt;'111'!$L$11),"x","")</f>
        <v/>
      </c>
      <c r="S586" s="75" t="str">
        <f>IF(AND($O586=$Q$7,$B586&lt;'111'!$L$11),"x","")</f>
        <v/>
      </c>
      <c r="T586" s="75" t="str">
        <f>IF(ISERROR(FIND('112'!$M$9,G586,1)),"",IF((AND(FIND('112'!$M$9,G586,1)&gt;=1,B586='112'!$K$9,OR($N586='112'!$I$6,$O586='112'!$I$6))),"x",""))</f>
        <v/>
      </c>
      <c r="U586" s="75" t="str">
        <f>IF(ISERROR(FIND('112'!$M$9,G586,1)),"",IF((AND(LEFT(G586,2)=LEFT('112'!$M$9,2),B586&lt;'112'!$K$9,$N586='112'!$I$6)),"x",""))</f>
        <v/>
      </c>
      <c r="V586" s="75" t="str">
        <f>IF(ISERROR(FIND('112'!$M$9,G586,1)),"",IF((AND(RIGHT(G586,2)=RIGHT('112'!$M$9,2),B586&lt;'112'!$K$9,$O586='112'!$I$6)),"x",""))</f>
        <v/>
      </c>
      <c r="W586" s="75" t="str">
        <f>IF(AND('341-CT'!$H$9=H586,OR(LEFT(N586,3)=$W$7,LEFT(O586,3)=$W$7)),"x","")</f>
        <v/>
      </c>
      <c r="X586" s="75" t="str">
        <f>IF(OR(TH!N586=TH!$X$7,O586=TH!$X$7),"x","")</f>
        <v/>
      </c>
      <c r="Y586" s="75" t="str">
        <f>IF(AND(OR(N586="131",O586="131"),H586='131-CT'!$H$9),"x","")</f>
        <v/>
      </c>
      <c r="Z586" s="75"/>
      <c r="AA586" s="75" t="str">
        <f>IF(AND(MONTH(E586)='IN-NX'!$J$5,'IN-NX'!$D$7=D586),"x","")</f>
        <v/>
      </c>
      <c r="AB586" s="75" t="str">
        <f>IF(AND(OR(LEFT(TH!N586,2)="15",LEFT(TH!O586,2)="15"),LEFT(TH!O586,3)&lt;&gt;"111",'152-CT'!$J$8=TH!F586),"x","")</f>
        <v/>
      </c>
      <c r="AC586" s="75" t="str">
        <f>IF(AND(OR(LEFT(TH!N586,2)="15",LEFT(TH!O586,2)="15"),TK!$E$7=TH!F586),"x","")</f>
        <v/>
      </c>
      <c r="AD586" s="75" t="str">
        <f>IF(AND(N586="1521",MONTH(C586)='BK-NL'!$M$11),"x","")</f>
        <v/>
      </c>
      <c r="AE586">
        <v>8</v>
      </c>
    </row>
    <row r="587" spans="1:31" ht="16.5" customHeight="1">
      <c r="A587" s="309" t="str">
        <f>IF(B587&lt;&gt;"",IF(AND(B587='IN-TC'!$S$4,OR(TH!N587="1111",TH!O587="1111")),TH!D587,""),"")</f>
        <v/>
      </c>
      <c r="B587" s="1129">
        <f t="shared" si="71"/>
        <v>8</v>
      </c>
      <c r="C587" s="929">
        <v>42969</v>
      </c>
      <c r="D587" s="929" t="s">
        <v>530</v>
      </c>
      <c r="E587" s="929">
        <v>42969</v>
      </c>
      <c r="F587" s="930" t="s">
        <v>808</v>
      </c>
      <c r="G587" s="931" t="s">
        <v>2007</v>
      </c>
      <c r="H587" s="296" t="s">
        <v>622</v>
      </c>
      <c r="I587" s="371"/>
      <c r="J587" s="932"/>
      <c r="K587" s="371"/>
      <c r="L587" s="377"/>
      <c r="M587" s="933">
        <v>29588000</v>
      </c>
      <c r="N587" s="934" t="s">
        <v>539</v>
      </c>
      <c r="O587" s="934" t="s">
        <v>8</v>
      </c>
      <c r="P587" s="75" t="str">
        <f>IF(AND('331-CT'!$E$7=TH!H587,OR(N587="331",O587="331")),"x","")</f>
        <v/>
      </c>
      <c r="Q587" s="75" t="str">
        <f>IF(AND(B587='111'!$L$11,OR($N587=$Q$7,$O587=$Q$7)),"x","")</f>
        <v/>
      </c>
      <c r="R587" s="75" t="str">
        <f>IF(AND($N587=$Q$7,$B587&lt;'111'!$L$11),"x","")</f>
        <v/>
      </c>
      <c r="S587" s="75" t="str">
        <f>IF(AND($O587=$Q$7,$B587&lt;'111'!$L$11),"x","")</f>
        <v/>
      </c>
      <c r="T587" s="75" t="str">
        <f>IF(ISERROR(FIND('112'!$M$9,G587,1)),"",IF((AND(FIND('112'!$M$9,G587,1)&gt;=1,B587='112'!$K$9,OR($N587='112'!$I$6,$O587='112'!$I$6))),"x",""))</f>
        <v/>
      </c>
      <c r="U587" s="75" t="str">
        <f>IF(ISERROR(FIND('112'!$M$9,G587,1)),"",IF((AND(LEFT(G587,2)=LEFT('112'!$M$9,2),B587&lt;'112'!$K$9,$N587='112'!$I$6)),"x",""))</f>
        <v/>
      </c>
      <c r="V587" s="75" t="str">
        <f>IF(ISERROR(FIND('112'!$M$9,G587,1)),"",IF((AND(RIGHT(G587,2)=RIGHT('112'!$M$9,2),B587&lt;'112'!$K$9,$O587='112'!$I$6)),"x",""))</f>
        <v/>
      </c>
      <c r="W587" s="75" t="str">
        <f>IF(AND('341-CT'!$H$9=H587,OR(LEFT(N587,3)=$W$7,LEFT(O587,3)=$W$7)),"x","")</f>
        <v/>
      </c>
      <c r="X587" s="75" t="str">
        <f>IF(OR(TH!N587=TH!$X$7,O587=TH!$X$7),"x","")</f>
        <v/>
      </c>
      <c r="Y587" s="75" t="str">
        <f>IF(AND(OR(N587="131",O587="131"),H587='131-CT'!$H$9),"x","")</f>
        <v/>
      </c>
      <c r="Z587" s="75"/>
      <c r="AA587" s="75" t="str">
        <f>IF(AND(MONTH(E587)='IN-NX'!$J$5,'IN-NX'!$D$7=D587),"x","")</f>
        <v/>
      </c>
      <c r="AB587" s="75" t="str">
        <f>IF(AND(OR(LEFT(TH!N587,2)="15",LEFT(TH!O587,2)="15"),LEFT(TH!O587,3)&lt;&gt;"111",'152-CT'!$J$8=TH!F587),"x","")</f>
        <v/>
      </c>
      <c r="AC587" s="75" t="str">
        <f>IF(AND(OR(LEFT(TH!N587,2)="15",LEFT(TH!O587,2)="15"),TK!$E$7=TH!F587),"x","")</f>
        <v/>
      </c>
      <c r="AD587" s="75" t="str">
        <f>IF(AND(N587="1521",MONTH(C587)='BK-NL'!$M$11),"x","")</f>
        <v/>
      </c>
    </row>
    <row r="588" spans="1:31" ht="16.5" customHeight="1">
      <c r="A588" s="309" t="str">
        <f>IF(B588&lt;&gt;"",IF(AND(B588='IN-TC'!$S$4,OR(TH!N588="1111",TH!O588="1111")),TH!D588,""),"")</f>
        <v/>
      </c>
      <c r="B588" s="1129">
        <f t="shared" si="71"/>
        <v>8</v>
      </c>
      <c r="C588" s="929">
        <v>42969</v>
      </c>
      <c r="D588" s="929" t="s">
        <v>530</v>
      </c>
      <c r="E588" s="929">
        <v>42969</v>
      </c>
      <c r="F588" s="930" t="s">
        <v>810</v>
      </c>
      <c r="G588" s="931" t="s">
        <v>2008</v>
      </c>
      <c r="H588" s="296" t="s">
        <v>622</v>
      </c>
      <c r="I588" s="371"/>
      <c r="J588" s="932"/>
      <c r="K588" s="371"/>
      <c r="L588" s="377"/>
      <c r="M588" s="933">
        <v>6896280</v>
      </c>
      <c r="N588" s="934" t="s">
        <v>539</v>
      </c>
      <c r="O588" s="934" t="s">
        <v>8</v>
      </c>
      <c r="P588" s="75" t="str">
        <f>IF(AND('331-CT'!$E$7=TH!H588,OR(N588="331",O588="331")),"x","")</f>
        <v/>
      </c>
      <c r="Q588" s="75" t="str">
        <f>IF(AND(B588='111'!$L$11,OR($N588=$Q$7,$O588=$Q$7)),"x","")</f>
        <v/>
      </c>
      <c r="R588" s="75" t="str">
        <f>IF(AND($N588=$Q$7,$B588&lt;'111'!$L$11),"x","")</f>
        <v/>
      </c>
      <c r="S588" s="75" t="str">
        <f>IF(AND($O588=$Q$7,$B588&lt;'111'!$L$11),"x","")</f>
        <v/>
      </c>
      <c r="T588" s="75" t="str">
        <f>IF(ISERROR(FIND('112'!$M$9,G588,1)),"",IF((AND(FIND('112'!$M$9,G588,1)&gt;=1,B588='112'!$K$9,OR($N588='112'!$I$6,$O588='112'!$I$6))),"x",""))</f>
        <v/>
      </c>
      <c r="U588" s="75" t="str">
        <f>IF(ISERROR(FIND('112'!$M$9,G588,1)),"",IF((AND(LEFT(G588,2)=LEFT('112'!$M$9,2),B588&lt;'112'!$K$9,$N588='112'!$I$6)),"x",""))</f>
        <v/>
      </c>
      <c r="V588" s="75" t="str">
        <f>IF(ISERROR(FIND('112'!$M$9,G588,1)),"",IF((AND(RIGHT(G588,2)=RIGHT('112'!$M$9,2),B588&lt;'112'!$K$9,$O588='112'!$I$6)),"x",""))</f>
        <v/>
      </c>
      <c r="W588" s="75" t="str">
        <f>IF(AND('341-CT'!$H$9=H588,OR(LEFT(N588,3)=$W$7,LEFT(O588,3)=$W$7)),"x","")</f>
        <v/>
      </c>
      <c r="X588" s="75" t="str">
        <f>IF(OR(TH!N588=TH!$X$7,O588=TH!$X$7),"x","")</f>
        <v/>
      </c>
      <c r="Y588" s="75" t="str">
        <f>IF(AND(OR(N588="131",O588="131"),H588='131-CT'!$H$9),"x","")</f>
        <v/>
      </c>
      <c r="Z588" s="75"/>
      <c r="AA588" s="75" t="str">
        <f>IF(AND(MONTH(E588)='IN-NX'!$J$5,'IN-NX'!$D$7=D588),"x","")</f>
        <v/>
      </c>
      <c r="AB588" s="75" t="str">
        <f>IF(AND(OR(LEFT(TH!N588,2)="15",LEFT(TH!O588,2)="15"),LEFT(TH!O588,3)&lt;&gt;"111",'152-CT'!$J$8=TH!F588),"x","")</f>
        <v/>
      </c>
      <c r="AC588" s="75" t="str">
        <f>IF(AND(OR(LEFT(TH!N588,2)="15",LEFT(TH!O588,2)="15"),TK!$E$7=TH!F588),"x","")</f>
        <v/>
      </c>
      <c r="AD588" s="75" t="str">
        <f>IF(AND(N588="1521",MONTH(C588)='BK-NL'!$M$11),"x","")</f>
        <v/>
      </c>
      <c r="AE588">
        <v>8</v>
      </c>
    </row>
    <row r="589" spans="1:31" ht="16.5" customHeight="1">
      <c r="A589" s="309" t="str">
        <f>IF(B589&lt;&gt;"",IF(AND(B589='IN-TC'!$S$4,OR(TH!N589="1111",TH!O589="1111")),TH!D589,""),"")</f>
        <v/>
      </c>
      <c r="B589" s="1129">
        <f t="shared" si="71"/>
        <v>8</v>
      </c>
      <c r="C589" s="929">
        <v>42969</v>
      </c>
      <c r="D589" s="929" t="s">
        <v>530</v>
      </c>
      <c r="E589" s="929">
        <v>42969</v>
      </c>
      <c r="F589" s="930" t="s">
        <v>811</v>
      </c>
      <c r="G589" s="931" t="s">
        <v>2008</v>
      </c>
      <c r="H589" s="296" t="s">
        <v>622</v>
      </c>
      <c r="I589" s="371"/>
      <c r="J589" s="932"/>
      <c r="K589" s="371"/>
      <c r="L589" s="377"/>
      <c r="M589" s="933">
        <v>689628</v>
      </c>
      <c r="N589" s="934" t="s">
        <v>9</v>
      </c>
      <c r="O589" s="934" t="s">
        <v>8</v>
      </c>
      <c r="P589" s="75" t="str">
        <f>IF(AND('331-CT'!$E$7=TH!H589,OR(N589="331",O589="331")),"x","")</f>
        <v/>
      </c>
      <c r="Q589" s="75" t="str">
        <f>IF(AND(B589='111'!$L$11,OR($N589=$Q$7,$O589=$Q$7)),"x","")</f>
        <v/>
      </c>
      <c r="R589" s="75" t="str">
        <f>IF(AND($N589=$Q$7,$B589&lt;'111'!$L$11),"x","")</f>
        <v/>
      </c>
      <c r="S589" s="75" t="str">
        <f>IF(AND($O589=$Q$7,$B589&lt;'111'!$L$11),"x","")</f>
        <v/>
      </c>
      <c r="T589" s="75" t="str">
        <f>IF(ISERROR(FIND('112'!$M$9,G589,1)),"",IF((AND(FIND('112'!$M$9,G589,1)&gt;=1,B589='112'!$K$9,OR($N589='112'!$I$6,$O589='112'!$I$6))),"x",""))</f>
        <v/>
      </c>
      <c r="U589" s="75" t="str">
        <f>IF(ISERROR(FIND('112'!$M$9,G589,1)),"",IF((AND(LEFT(G589,2)=LEFT('112'!$M$9,2),B589&lt;'112'!$K$9,$N589='112'!$I$6)),"x",""))</f>
        <v/>
      </c>
      <c r="V589" s="75" t="str">
        <f>IF(ISERROR(FIND('112'!$M$9,G589,1)),"",IF((AND(RIGHT(G589,2)=RIGHT('112'!$M$9,2),B589&lt;'112'!$K$9,$O589='112'!$I$6)),"x",""))</f>
        <v/>
      </c>
      <c r="W589" s="75" t="str">
        <f>IF(AND('341-CT'!$H$9=H589,OR(LEFT(N589,3)=$W$7,LEFT(O589,3)=$W$7)),"x","")</f>
        <v/>
      </c>
      <c r="X589" s="75" t="str">
        <f>IF(OR(TH!N589=TH!$X$7,O589=TH!$X$7),"x","")</f>
        <v/>
      </c>
      <c r="Y589" s="75" t="str">
        <f>IF(AND(OR(N589="131",O589="131"),H589='131-CT'!$H$9),"x","")</f>
        <v/>
      </c>
      <c r="Z589" s="75"/>
      <c r="AA589" s="75" t="str">
        <f>IF(AND(MONTH(E589)='IN-NX'!$J$5,'IN-NX'!$D$7=D589),"x","")</f>
        <v/>
      </c>
      <c r="AB589" s="75" t="str">
        <f>IF(AND(OR(LEFT(TH!N589,2)="15",LEFT(TH!O589,2)="15"),LEFT(TH!O589,3)&lt;&gt;"111",'152-CT'!$J$8=TH!F589),"x","")</f>
        <v/>
      </c>
      <c r="AC589" s="75" t="str">
        <f>IF(AND(OR(LEFT(TH!N589,2)="15",LEFT(TH!O589,2)="15"),TK!$E$7=TH!F589),"x","")</f>
        <v/>
      </c>
      <c r="AD589" s="75" t="str">
        <f>IF(AND(N589="1521",MONTH(C589)='BK-NL'!$M$11),"x","")</f>
        <v/>
      </c>
      <c r="AE589">
        <v>8</v>
      </c>
    </row>
    <row r="590" spans="1:31" ht="16.5" customHeight="1">
      <c r="A590" s="309" t="str">
        <f>IF(B590&lt;&gt;"",IF(AND(B590='IN-TC'!$S$4,OR(TH!N590="1111",TH!O590="1111")),TH!D590,""),"")</f>
        <v/>
      </c>
      <c r="B590" s="1129">
        <f t="shared" si="71"/>
        <v>8</v>
      </c>
      <c r="C590" s="929">
        <v>42969</v>
      </c>
      <c r="D590" s="929" t="s">
        <v>530</v>
      </c>
      <c r="E590" s="929">
        <v>42969</v>
      </c>
      <c r="F590" s="930" t="s">
        <v>808</v>
      </c>
      <c r="G590" s="931" t="s">
        <v>1445</v>
      </c>
      <c r="H590" s="296" t="s">
        <v>622</v>
      </c>
      <c r="I590" s="371"/>
      <c r="J590" s="932"/>
      <c r="K590" s="371"/>
      <c r="L590" s="377"/>
      <c r="M590" s="933">
        <v>29588000</v>
      </c>
      <c r="N590" s="934" t="s">
        <v>539</v>
      </c>
      <c r="O590" s="934" t="s">
        <v>8</v>
      </c>
      <c r="P590" s="75" t="str">
        <f>IF(AND('331-CT'!$E$7=TH!H590,OR(N590="331",O590="331")),"x","")</f>
        <v/>
      </c>
      <c r="Q590" s="75" t="str">
        <f>IF(AND(B590='111'!$L$11,OR($N590=$Q$7,$O590=$Q$7)),"x","")</f>
        <v/>
      </c>
      <c r="R590" s="75" t="str">
        <f>IF(AND($N590=$Q$7,$B590&lt;'111'!$L$11),"x","")</f>
        <v/>
      </c>
      <c r="S590" s="75" t="str">
        <f>IF(AND($O590=$Q$7,$B590&lt;'111'!$L$11),"x","")</f>
        <v/>
      </c>
      <c r="T590" s="75" t="str">
        <f>IF(ISERROR(FIND('112'!$M$9,G590,1)),"",IF((AND(FIND('112'!$M$9,G590,1)&gt;=1,B590='112'!$K$9,OR($N590='112'!$I$6,$O590='112'!$I$6))),"x",""))</f>
        <v/>
      </c>
      <c r="U590" s="75" t="str">
        <f>IF(ISERROR(FIND('112'!$M$9,G590,1)),"",IF((AND(LEFT(G590,2)=LEFT('112'!$M$9,2),B590&lt;'112'!$K$9,$N590='112'!$I$6)),"x",""))</f>
        <v/>
      </c>
      <c r="V590" s="75" t="str">
        <f>IF(ISERROR(FIND('112'!$M$9,G590,1)),"",IF((AND(RIGHT(G590,2)=RIGHT('112'!$M$9,2),B590&lt;'112'!$K$9,$O590='112'!$I$6)),"x",""))</f>
        <v/>
      </c>
      <c r="W590" s="75" t="str">
        <f>IF(AND('341-CT'!$H$9=H590,OR(LEFT(N590,3)=$W$7,LEFT(O590,3)=$W$7)),"x","")</f>
        <v/>
      </c>
      <c r="X590" s="75" t="str">
        <f>IF(OR(TH!N590=TH!$X$7,O590=TH!$X$7),"x","")</f>
        <v/>
      </c>
      <c r="Y590" s="75" t="str">
        <f>IF(AND(OR(N590="131",O590="131"),H590='131-CT'!$H$9),"x","")</f>
        <v/>
      </c>
      <c r="Z590" s="75"/>
      <c r="AA590" s="75" t="str">
        <f>IF(AND(MONTH(E590)='IN-NX'!$J$5,'IN-NX'!$D$7=D590),"x","")</f>
        <v/>
      </c>
      <c r="AB590" s="75" t="str">
        <f>IF(AND(OR(LEFT(TH!N590,2)="15",LEFT(TH!O590,2)="15"),LEFT(TH!O590,3)&lt;&gt;"111",'152-CT'!$J$8=TH!F590),"x","")</f>
        <v/>
      </c>
      <c r="AC590" s="75" t="str">
        <f>IF(AND(OR(LEFT(TH!N590,2)="15",LEFT(TH!O590,2)="15"),TK!$E$7=TH!F590),"x","")</f>
        <v/>
      </c>
      <c r="AD590" s="75" t="str">
        <f>IF(AND(N590="1521",MONTH(C590)='BK-NL'!$M$11),"x","")</f>
        <v/>
      </c>
    </row>
    <row r="591" spans="1:31" ht="16.5" customHeight="1">
      <c r="A591" s="309" t="str">
        <f>IF(B591&lt;&gt;"",IF(AND(B591='IN-TC'!$S$4,OR(TH!N591="1111",TH!O591="1111")),TH!D591,""),"")</f>
        <v/>
      </c>
      <c r="B591" s="1129">
        <f t="shared" si="71"/>
        <v>8</v>
      </c>
      <c r="C591" s="929">
        <v>42969</v>
      </c>
      <c r="D591" s="929" t="s">
        <v>530</v>
      </c>
      <c r="E591" s="929">
        <v>42969</v>
      </c>
      <c r="F591" s="930" t="s">
        <v>810</v>
      </c>
      <c r="G591" s="931" t="s">
        <v>2009</v>
      </c>
      <c r="H591" s="296" t="s">
        <v>622</v>
      </c>
      <c r="I591" s="371"/>
      <c r="J591" s="932"/>
      <c r="K591" s="371"/>
      <c r="L591" s="377"/>
      <c r="M591" s="933">
        <v>6896280</v>
      </c>
      <c r="N591" s="934" t="s">
        <v>539</v>
      </c>
      <c r="O591" s="934" t="s">
        <v>8</v>
      </c>
      <c r="P591" s="75" t="str">
        <f>IF(AND('331-CT'!$E$7=TH!H591,OR(N591="331",O591="331")),"x","")</f>
        <v/>
      </c>
      <c r="Q591" s="75" t="str">
        <f>IF(AND(B591='111'!$L$11,OR($N591=$Q$7,$O591=$Q$7)),"x","")</f>
        <v/>
      </c>
      <c r="R591" s="75" t="str">
        <f>IF(AND($N591=$Q$7,$B591&lt;'111'!$L$11),"x","")</f>
        <v/>
      </c>
      <c r="S591" s="75" t="str">
        <f>IF(AND($O591=$Q$7,$B591&lt;'111'!$L$11),"x","")</f>
        <v/>
      </c>
      <c r="T591" s="75" t="str">
        <f>IF(ISERROR(FIND('112'!$M$9,G591,1)),"",IF((AND(FIND('112'!$M$9,G591,1)&gt;=1,B591='112'!$K$9,OR($N591='112'!$I$6,$O591='112'!$I$6))),"x",""))</f>
        <v/>
      </c>
      <c r="U591" s="75" t="str">
        <f>IF(ISERROR(FIND('112'!$M$9,G591,1)),"",IF((AND(LEFT(G591,2)=LEFT('112'!$M$9,2),B591&lt;'112'!$K$9,$N591='112'!$I$6)),"x",""))</f>
        <v/>
      </c>
      <c r="V591" s="75" t="str">
        <f>IF(ISERROR(FIND('112'!$M$9,G591,1)),"",IF((AND(RIGHT(G591,2)=RIGHT('112'!$M$9,2),B591&lt;'112'!$K$9,$O591='112'!$I$6)),"x",""))</f>
        <v/>
      </c>
      <c r="W591" s="75" t="str">
        <f>IF(AND('341-CT'!$H$9=H591,OR(LEFT(N591,3)=$W$7,LEFT(O591,3)=$W$7)),"x","")</f>
        <v/>
      </c>
      <c r="X591" s="75" t="str">
        <f>IF(OR(TH!N591=TH!$X$7,O591=TH!$X$7),"x","")</f>
        <v/>
      </c>
      <c r="Y591" s="75" t="str">
        <f>IF(AND(OR(N591="131",O591="131"),H591='131-CT'!$H$9),"x","")</f>
        <v/>
      </c>
      <c r="Z591" s="75"/>
      <c r="AA591" s="75" t="str">
        <f>IF(AND(MONTH(E591)='IN-NX'!$J$5,'IN-NX'!$D$7=D591),"x","")</f>
        <v/>
      </c>
      <c r="AB591" s="75" t="str">
        <f>IF(AND(OR(LEFT(TH!N591,2)="15",LEFT(TH!O591,2)="15"),LEFT(TH!O591,3)&lt;&gt;"111",'152-CT'!$J$8=TH!F591),"x","")</f>
        <v/>
      </c>
      <c r="AC591" s="75" t="str">
        <f>IF(AND(OR(LEFT(TH!N591,2)="15",LEFT(TH!O591,2)="15"),TK!$E$7=TH!F591),"x","")</f>
        <v/>
      </c>
      <c r="AD591" s="75" t="str">
        <f>IF(AND(N591="1521",MONTH(C591)='BK-NL'!$M$11),"x","")</f>
        <v/>
      </c>
      <c r="AE591">
        <v>8</v>
      </c>
    </row>
    <row r="592" spans="1:31" ht="16.5" customHeight="1">
      <c r="A592" s="309" t="str">
        <f>IF(B592&lt;&gt;"",IF(AND(B592='IN-TC'!$S$4,OR(TH!N592="1111",TH!O592="1111")),TH!D592,""),"")</f>
        <v/>
      </c>
      <c r="B592" s="1129">
        <f t="shared" si="71"/>
        <v>8</v>
      </c>
      <c r="C592" s="929">
        <v>42969</v>
      </c>
      <c r="D592" s="929" t="s">
        <v>530</v>
      </c>
      <c r="E592" s="929">
        <v>42969</v>
      </c>
      <c r="F592" s="930" t="s">
        <v>811</v>
      </c>
      <c r="G592" s="931" t="s">
        <v>2009</v>
      </c>
      <c r="H592" s="296" t="s">
        <v>622</v>
      </c>
      <c r="I592" s="371"/>
      <c r="J592" s="932"/>
      <c r="K592" s="371"/>
      <c r="L592" s="377"/>
      <c r="M592" s="933">
        <v>689628</v>
      </c>
      <c r="N592" s="934" t="s">
        <v>9</v>
      </c>
      <c r="O592" s="934" t="s">
        <v>8</v>
      </c>
      <c r="P592" s="75" t="str">
        <f>IF(AND('331-CT'!$E$7=TH!H592,OR(N592="331",O592="331")),"x","")</f>
        <v/>
      </c>
      <c r="Q592" s="75" t="str">
        <f>IF(AND(B592='111'!$L$11,OR($N592=$Q$7,$O592=$Q$7)),"x","")</f>
        <v/>
      </c>
      <c r="R592" s="75" t="str">
        <f>IF(AND($N592=$Q$7,$B592&lt;'111'!$L$11),"x","")</f>
        <v/>
      </c>
      <c r="S592" s="75" t="str">
        <f>IF(AND($O592=$Q$7,$B592&lt;'111'!$L$11),"x","")</f>
        <v/>
      </c>
      <c r="T592" s="75" t="str">
        <f>IF(ISERROR(FIND('112'!$M$9,G592,1)),"",IF((AND(FIND('112'!$M$9,G592,1)&gt;=1,B592='112'!$K$9,OR($N592='112'!$I$6,$O592='112'!$I$6))),"x",""))</f>
        <v/>
      </c>
      <c r="U592" s="75" t="str">
        <f>IF(ISERROR(FIND('112'!$M$9,G592,1)),"",IF((AND(LEFT(G592,2)=LEFT('112'!$M$9,2),B592&lt;'112'!$K$9,$N592='112'!$I$6)),"x",""))</f>
        <v/>
      </c>
      <c r="V592" s="75" t="str">
        <f>IF(ISERROR(FIND('112'!$M$9,G592,1)),"",IF((AND(RIGHT(G592,2)=RIGHT('112'!$M$9,2),B592&lt;'112'!$K$9,$O592='112'!$I$6)),"x",""))</f>
        <v/>
      </c>
      <c r="W592" s="75" t="str">
        <f>IF(AND('341-CT'!$H$9=H592,OR(LEFT(N592,3)=$W$7,LEFT(O592,3)=$W$7)),"x","")</f>
        <v/>
      </c>
      <c r="X592" s="75" t="str">
        <f>IF(OR(TH!N592=TH!$X$7,O592=TH!$X$7),"x","")</f>
        <v/>
      </c>
      <c r="Y592" s="75" t="str">
        <f>IF(AND(OR(N592="131",O592="131"),H592='131-CT'!$H$9),"x","")</f>
        <v/>
      </c>
      <c r="Z592" s="75"/>
      <c r="AA592" s="75" t="str">
        <f>IF(AND(MONTH(E592)='IN-NX'!$J$5,'IN-NX'!$D$7=D592),"x","")</f>
        <v/>
      </c>
      <c r="AB592" s="75" t="str">
        <f>IF(AND(OR(LEFT(TH!N592,2)="15",LEFT(TH!O592,2)="15"),LEFT(TH!O592,3)&lt;&gt;"111",'152-CT'!$J$8=TH!F592),"x","")</f>
        <v/>
      </c>
      <c r="AC592" s="75" t="str">
        <f>IF(AND(OR(LEFT(TH!N592,2)="15",LEFT(TH!O592,2)="15"),TK!$E$7=TH!F592),"x","")</f>
        <v/>
      </c>
      <c r="AD592" s="75" t="str">
        <f>IF(AND(N592="1521",MONTH(C592)='BK-NL'!$M$11),"x","")</f>
        <v/>
      </c>
      <c r="AE592">
        <v>8</v>
      </c>
    </row>
    <row r="593" spans="1:31" ht="16.5" customHeight="1">
      <c r="A593" s="309" t="str">
        <f>IF(B593&lt;&gt;"",IF(AND(B593='IN-TC'!$S$4,OR(TH!N593="1111",TH!O593="1111")),TH!D593,""),"")</f>
        <v/>
      </c>
      <c r="B593" s="1129">
        <f t="shared" si="71"/>
        <v>8</v>
      </c>
      <c r="C593" s="929">
        <v>42975</v>
      </c>
      <c r="D593" s="929" t="s">
        <v>530</v>
      </c>
      <c r="E593" s="929">
        <v>42975</v>
      </c>
      <c r="F593" s="930" t="s">
        <v>808</v>
      </c>
      <c r="G593" s="931" t="s">
        <v>2010</v>
      </c>
      <c r="H593" s="296" t="s">
        <v>622</v>
      </c>
      <c r="I593" s="371"/>
      <c r="J593" s="932"/>
      <c r="K593" s="371"/>
      <c r="L593" s="377"/>
      <c r="M593" s="933">
        <v>29594500</v>
      </c>
      <c r="N593" s="934" t="s">
        <v>539</v>
      </c>
      <c r="O593" s="934" t="s">
        <v>8</v>
      </c>
      <c r="P593" s="75" t="str">
        <f>IF(AND('331-CT'!$E$7=TH!H593,OR(N593="331",O593="331")),"x","")</f>
        <v/>
      </c>
      <c r="Q593" s="75" t="str">
        <f>IF(AND(B593='111'!$L$11,OR($N593=$Q$7,$O593=$Q$7)),"x","")</f>
        <v/>
      </c>
      <c r="R593" s="75" t="str">
        <f>IF(AND($N593=$Q$7,$B593&lt;'111'!$L$11),"x","")</f>
        <v/>
      </c>
      <c r="S593" s="75" t="str">
        <f>IF(AND($O593=$Q$7,$B593&lt;'111'!$L$11),"x","")</f>
        <v/>
      </c>
      <c r="T593" s="75" t="str">
        <f>IF(ISERROR(FIND('112'!$M$9,G593,1)),"",IF((AND(FIND('112'!$M$9,G593,1)&gt;=1,B593='112'!$K$9,OR($N593='112'!$I$6,$O593='112'!$I$6))),"x",""))</f>
        <v/>
      </c>
      <c r="U593" s="75" t="str">
        <f>IF(ISERROR(FIND('112'!$M$9,G593,1)),"",IF((AND(LEFT(G593,2)=LEFT('112'!$M$9,2),B593&lt;'112'!$K$9,$N593='112'!$I$6)),"x",""))</f>
        <v/>
      </c>
      <c r="V593" s="75" t="str">
        <f>IF(ISERROR(FIND('112'!$M$9,G593,1)),"",IF((AND(RIGHT(G593,2)=RIGHT('112'!$M$9,2),B593&lt;'112'!$K$9,$O593='112'!$I$6)),"x",""))</f>
        <v/>
      </c>
      <c r="W593" s="75" t="str">
        <f>IF(AND('341-CT'!$H$9=H593,OR(LEFT(N593,3)=$W$7,LEFT(O593,3)=$W$7)),"x","")</f>
        <v/>
      </c>
      <c r="X593" s="75" t="str">
        <f>IF(OR(TH!N593=TH!$X$7,O593=TH!$X$7),"x","")</f>
        <v/>
      </c>
      <c r="Y593" s="75" t="str">
        <f>IF(AND(OR(N593="131",O593="131"),H593='131-CT'!$H$9),"x","")</f>
        <v/>
      </c>
      <c r="Z593" s="75"/>
      <c r="AA593" s="75" t="str">
        <f>IF(AND(MONTH(E593)='IN-NX'!$J$5,'IN-NX'!$D$7=D593),"x","")</f>
        <v/>
      </c>
      <c r="AB593" s="75" t="str">
        <f>IF(AND(OR(LEFT(TH!N593,2)="15",LEFT(TH!O593,2)="15"),LEFT(TH!O593,3)&lt;&gt;"111",'152-CT'!$J$8=TH!F593),"x","")</f>
        <v/>
      </c>
      <c r="AC593" s="75" t="str">
        <f>IF(AND(OR(LEFT(TH!N593,2)="15",LEFT(TH!O593,2)="15"),TK!$E$7=TH!F593),"x","")</f>
        <v/>
      </c>
      <c r="AD593" s="75" t="str">
        <f>IF(AND(N593="1521",MONTH(C593)='BK-NL'!$M$11),"x","")</f>
        <v/>
      </c>
    </row>
    <row r="594" spans="1:31" ht="16.5" customHeight="1">
      <c r="A594" s="309" t="str">
        <f>IF(B594&lt;&gt;"",IF(AND(B594='IN-TC'!$S$4,OR(TH!N594="1111",TH!O594="1111")),TH!D594,""),"")</f>
        <v/>
      </c>
      <c r="B594" s="1129">
        <f t="shared" si="71"/>
        <v>8</v>
      </c>
      <c r="C594" s="929">
        <v>42975</v>
      </c>
      <c r="D594" s="929" t="s">
        <v>530</v>
      </c>
      <c r="E594" s="929">
        <v>42975</v>
      </c>
      <c r="F594" s="930" t="s">
        <v>810</v>
      </c>
      <c r="G594" s="931" t="s">
        <v>2011</v>
      </c>
      <c r="H594" s="296" t="s">
        <v>622</v>
      </c>
      <c r="I594" s="371"/>
      <c r="J594" s="932"/>
      <c r="K594" s="371"/>
      <c r="L594" s="377"/>
      <c r="M594" s="933">
        <v>6897795</v>
      </c>
      <c r="N594" s="934" t="s">
        <v>539</v>
      </c>
      <c r="O594" s="934" t="s">
        <v>8</v>
      </c>
      <c r="P594" s="75" t="str">
        <f>IF(AND('331-CT'!$E$7=TH!H594,OR(N594="331",O594="331")),"x","")</f>
        <v/>
      </c>
      <c r="Q594" s="75" t="str">
        <f>IF(AND(B594='111'!$L$11,OR($N594=$Q$7,$O594=$Q$7)),"x","")</f>
        <v/>
      </c>
      <c r="R594" s="75" t="str">
        <f>IF(AND($N594=$Q$7,$B594&lt;'111'!$L$11),"x","")</f>
        <v/>
      </c>
      <c r="S594" s="75" t="str">
        <f>IF(AND($O594=$Q$7,$B594&lt;'111'!$L$11),"x","")</f>
        <v/>
      </c>
      <c r="T594" s="75" t="str">
        <f>IF(ISERROR(FIND('112'!$M$9,G594,1)),"",IF((AND(FIND('112'!$M$9,G594,1)&gt;=1,B594='112'!$K$9,OR($N594='112'!$I$6,$O594='112'!$I$6))),"x",""))</f>
        <v/>
      </c>
      <c r="U594" s="75" t="str">
        <f>IF(ISERROR(FIND('112'!$M$9,G594,1)),"",IF((AND(LEFT(G594,2)=LEFT('112'!$M$9,2),B594&lt;'112'!$K$9,$N594='112'!$I$6)),"x",""))</f>
        <v/>
      </c>
      <c r="V594" s="75" t="str">
        <f>IF(ISERROR(FIND('112'!$M$9,G594,1)),"",IF((AND(RIGHT(G594,2)=RIGHT('112'!$M$9,2),B594&lt;'112'!$K$9,$O594='112'!$I$6)),"x",""))</f>
        <v/>
      </c>
      <c r="W594" s="75" t="str">
        <f>IF(AND('341-CT'!$H$9=H594,OR(LEFT(N594,3)=$W$7,LEFT(O594,3)=$W$7)),"x","")</f>
        <v/>
      </c>
      <c r="X594" s="75" t="str">
        <f>IF(OR(TH!N594=TH!$X$7,O594=TH!$X$7),"x","")</f>
        <v/>
      </c>
      <c r="Y594" s="75" t="str">
        <f>IF(AND(OR(N594="131",O594="131"),H594='131-CT'!$H$9),"x","")</f>
        <v/>
      </c>
      <c r="Z594" s="75"/>
      <c r="AA594" s="75" t="str">
        <f>IF(AND(MONTH(E594)='IN-NX'!$J$5,'IN-NX'!$D$7=D594),"x","")</f>
        <v/>
      </c>
      <c r="AB594" s="75" t="str">
        <f>IF(AND(OR(LEFT(TH!N594,2)="15",LEFT(TH!O594,2)="15"),LEFT(TH!O594,3)&lt;&gt;"111",'152-CT'!$J$8=TH!F594),"x","")</f>
        <v/>
      </c>
      <c r="AC594" s="75" t="str">
        <f>IF(AND(OR(LEFT(TH!N594,2)="15",LEFT(TH!O594,2)="15"),TK!$E$7=TH!F594),"x","")</f>
        <v/>
      </c>
      <c r="AD594" s="75" t="str">
        <f>IF(AND(N594="1521",MONTH(C594)='BK-NL'!$M$11),"x","")</f>
        <v/>
      </c>
      <c r="AE594">
        <v>8</v>
      </c>
    </row>
    <row r="595" spans="1:31" ht="16.5" customHeight="1">
      <c r="A595" s="309" t="str">
        <f>IF(B595&lt;&gt;"",IF(AND(B595='IN-TC'!$S$4,OR(TH!N595="1111",TH!O595="1111")),TH!D595,""),"")</f>
        <v/>
      </c>
      <c r="B595" s="1129">
        <f t="shared" si="71"/>
        <v>8</v>
      </c>
      <c r="C595" s="929">
        <v>42975</v>
      </c>
      <c r="D595" s="929" t="s">
        <v>530</v>
      </c>
      <c r="E595" s="929">
        <v>42975</v>
      </c>
      <c r="F595" s="930" t="s">
        <v>811</v>
      </c>
      <c r="G595" s="931" t="s">
        <v>2011</v>
      </c>
      <c r="H595" s="296" t="s">
        <v>622</v>
      </c>
      <c r="I595" s="371"/>
      <c r="J595" s="932"/>
      <c r="K595" s="371"/>
      <c r="L595" s="377"/>
      <c r="M595" s="933">
        <v>689780</v>
      </c>
      <c r="N595" s="934" t="s">
        <v>9</v>
      </c>
      <c r="O595" s="934" t="s">
        <v>8</v>
      </c>
      <c r="P595" s="75" t="str">
        <f>IF(AND('331-CT'!$E$7=TH!H595,OR(N595="331",O595="331")),"x","")</f>
        <v/>
      </c>
      <c r="Q595" s="75" t="str">
        <f>IF(AND(B595='111'!$L$11,OR($N595=$Q$7,$O595=$Q$7)),"x","")</f>
        <v/>
      </c>
      <c r="R595" s="75" t="str">
        <f>IF(AND($N595=$Q$7,$B595&lt;'111'!$L$11),"x","")</f>
        <v/>
      </c>
      <c r="S595" s="75" t="str">
        <f>IF(AND($O595=$Q$7,$B595&lt;'111'!$L$11),"x","")</f>
        <v/>
      </c>
      <c r="T595" s="75" t="str">
        <f>IF(ISERROR(FIND('112'!$M$9,G595,1)),"",IF((AND(FIND('112'!$M$9,G595,1)&gt;=1,B595='112'!$K$9,OR($N595='112'!$I$6,$O595='112'!$I$6))),"x",""))</f>
        <v/>
      </c>
      <c r="U595" s="75" t="str">
        <f>IF(ISERROR(FIND('112'!$M$9,G595,1)),"",IF((AND(LEFT(G595,2)=LEFT('112'!$M$9,2),B595&lt;'112'!$K$9,$N595='112'!$I$6)),"x",""))</f>
        <v/>
      </c>
      <c r="V595" s="75" t="str">
        <f>IF(ISERROR(FIND('112'!$M$9,G595,1)),"",IF((AND(RIGHT(G595,2)=RIGHT('112'!$M$9,2),B595&lt;'112'!$K$9,$O595='112'!$I$6)),"x",""))</f>
        <v/>
      </c>
      <c r="W595" s="75" t="str">
        <f>IF(AND('341-CT'!$H$9=H595,OR(LEFT(N595,3)=$W$7,LEFT(O595,3)=$W$7)),"x","")</f>
        <v/>
      </c>
      <c r="X595" s="75" t="str">
        <f>IF(OR(TH!N595=TH!$X$7,O595=TH!$X$7),"x","")</f>
        <v/>
      </c>
      <c r="Y595" s="75" t="str">
        <f>IF(AND(OR(N595="131",O595="131"),H595='131-CT'!$H$9),"x","")</f>
        <v/>
      </c>
      <c r="Z595" s="75"/>
      <c r="AA595" s="75" t="str">
        <f>IF(AND(MONTH(E595)='IN-NX'!$J$5,'IN-NX'!$D$7=D595),"x","")</f>
        <v/>
      </c>
      <c r="AB595" s="75" t="str">
        <f>IF(AND(OR(LEFT(TH!N595,2)="15",LEFT(TH!O595,2)="15"),LEFT(TH!O595,3)&lt;&gt;"111",'152-CT'!$J$8=TH!F595),"x","")</f>
        <v/>
      </c>
      <c r="AC595" s="75" t="str">
        <f>IF(AND(OR(LEFT(TH!N595,2)="15",LEFT(TH!O595,2)="15"),TK!$E$7=TH!F595),"x","")</f>
        <v/>
      </c>
      <c r="AD595" s="75" t="str">
        <f>IF(AND(N595="1521",MONTH(C595)='BK-NL'!$M$11),"x","")</f>
        <v/>
      </c>
      <c r="AE595">
        <v>8</v>
      </c>
    </row>
    <row r="596" spans="1:31" ht="16.5" customHeight="1">
      <c r="A596" s="309" t="str">
        <f>IF(B596&lt;&gt;"",IF(AND(B596='IN-TC'!$S$4,OR(TH!N596="1111",TH!O596="1111")),TH!D596,""),"")</f>
        <v/>
      </c>
      <c r="B596" s="1129">
        <f t="shared" si="71"/>
        <v>8</v>
      </c>
      <c r="C596" s="929">
        <v>42977</v>
      </c>
      <c r="D596" s="929" t="s">
        <v>530</v>
      </c>
      <c r="E596" s="929">
        <v>42977</v>
      </c>
      <c r="F596" s="930" t="s">
        <v>808</v>
      </c>
      <c r="G596" s="931" t="s">
        <v>2012</v>
      </c>
      <c r="H596" s="296" t="s">
        <v>622</v>
      </c>
      <c r="I596" s="371"/>
      <c r="J596" s="932"/>
      <c r="K596" s="371"/>
      <c r="L596" s="377"/>
      <c r="M596" s="933">
        <v>27318000</v>
      </c>
      <c r="N596" s="934" t="s">
        <v>539</v>
      </c>
      <c r="O596" s="934" t="s">
        <v>8</v>
      </c>
      <c r="P596" s="75" t="str">
        <f>IF(AND('331-CT'!$E$7=TH!H596,OR(N596="331",O596="331")),"x","")</f>
        <v/>
      </c>
      <c r="Q596" s="75" t="str">
        <f>IF(AND(B596='111'!$L$11,OR($N596=$Q$7,$O596=$Q$7)),"x","")</f>
        <v/>
      </c>
      <c r="R596" s="75" t="str">
        <f>IF(AND($N596=$Q$7,$B596&lt;'111'!$L$11),"x","")</f>
        <v/>
      </c>
      <c r="S596" s="75" t="str">
        <f>IF(AND($O596=$Q$7,$B596&lt;'111'!$L$11),"x","")</f>
        <v/>
      </c>
      <c r="T596" s="75" t="str">
        <f>IF(ISERROR(FIND('112'!$M$9,G596,1)),"",IF((AND(FIND('112'!$M$9,G596,1)&gt;=1,B596='112'!$K$9,OR($N596='112'!$I$6,$O596='112'!$I$6))),"x",""))</f>
        <v/>
      </c>
      <c r="U596" s="75" t="str">
        <f>IF(ISERROR(FIND('112'!$M$9,G596,1)),"",IF((AND(LEFT(G596,2)=LEFT('112'!$M$9,2),B596&lt;'112'!$K$9,$N596='112'!$I$6)),"x",""))</f>
        <v/>
      </c>
      <c r="V596" s="75" t="str">
        <f>IF(ISERROR(FIND('112'!$M$9,G596,1)),"",IF((AND(RIGHT(G596,2)=RIGHT('112'!$M$9,2),B596&lt;'112'!$K$9,$O596='112'!$I$6)),"x",""))</f>
        <v/>
      </c>
      <c r="W596" s="75" t="str">
        <f>IF(AND('341-CT'!$H$9=H596,OR(LEFT(N596,3)=$W$7,LEFT(O596,3)=$W$7)),"x","")</f>
        <v/>
      </c>
      <c r="X596" s="75" t="str">
        <f>IF(OR(TH!N596=TH!$X$7,O596=TH!$X$7),"x","")</f>
        <v/>
      </c>
      <c r="Y596" s="75" t="str">
        <f>IF(AND(OR(N596="131",O596="131"),H596='131-CT'!$H$9),"x","")</f>
        <v/>
      </c>
      <c r="Z596" s="75"/>
      <c r="AA596" s="75" t="str">
        <f>IF(AND(MONTH(E596)='IN-NX'!$J$5,'IN-NX'!$D$7=D596),"x","")</f>
        <v/>
      </c>
      <c r="AB596" s="75" t="str">
        <f>IF(AND(OR(LEFT(TH!N596,2)="15",LEFT(TH!O596,2)="15"),LEFT(TH!O596,3)&lt;&gt;"111",'152-CT'!$J$8=TH!F596),"x","")</f>
        <v/>
      </c>
      <c r="AC596" s="75" t="str">
        <f>IF(AND(OR(LEFT(TH!N596,2)="15",LEFT(TH!O596,2)="15"),TK!$E$7=TH!F596),"x","")</f>
        <v/>
      </c>
      <c r="AD596" s="75" t="str">
        <f>IF(AND(N596="1521",MONTH(C596)='BK-NL'!$M$11),"x","")</f>
        <v/>
      </c>
    </row>
    <row r="597" spans="1:31" ht="16.5" customHeight="1">
      <c r="A597" s="309" t="str">
        <f>IF(B597&lt;&gt;"",IF(AND(B597='IN-TC'!$S$4,OR(TH!N597="1111",TH!O597="1111")),TH!D597,""),"")</f>
        <v/>
      </c>
      <c r="B597" s="1129">
        <f t="shared" si="71"/>
        <v>8</v>
      </c>
      <c r="C597" s="929">
        <v>42977</v>
      </c>
      <c r="D597" s="929" t="s">
        <v>530</v>
      </c>
      <c r="E597" s="929">
        <v>42977</v>
      </c>
      <c r="F597" s="930" t="s">
        <v>810</v>
      </c>
      <c r="G597" s="931" t="s">
        <v>1388</v>
      </c>
      <c r="H597" s="296" t="s">
        <v>622</v>
      </c>
      <c r="I597" s="371"/>
      <c r="J597" s="932"/>
      <c r="K597" s="371"/>
      <c r="L597" s="377"/>
      <c r="M597" s="933">
        <v>11177615</v>
      </c>
      <c r="N597" s="934" t="s">
        <v>539</v>
      </c>
      <c r="O597" s="934" t="s">
        <v>8</v>
      </c>
      <c r="P597" s="75" t="str">
        <f>IF(AND('331-CT'!$E$7=TH!H597,OR(N597="331",O597="331")),"x","")</f>
        <v/>
      </c>
      <c r="Q597" s="75" t="str">
        <f>IF(AND(B597='111'!$L$11,OR($N597=$Q$7,$O597=$Q$7)),"x","")</f>
        <v/>
      </c>
      <c r="R597" s="75" t="str">
        <f>IF(AND($N597=$Q$7,$B597&lt;'111'!$L$11),"x","")</f>
        <v/>
      </c>
      <c r="S597" s="75" t="str">
        <f>IF(AND($O597=$Q$7,$B597&lt;'111'!$L$11),"x","")</f>
        <v/>
      </c>
      <c r="T597" s="75" t="str">
        <f>IF(ISERROR(FIND('112'!$M$9,G597,1)),"",IF((AND(FIND('112'!$M$9,G597,1)&gt;=1,B597='112'!$K$9,OR($N597='112'!$I$6,$O597='112'!$I$6))),"x",""))</f>
        <v/>
      </c>
      <c r="U597" s="75" t="str">
        <f>IF(ISERROR(FIND('112'!$M$9,G597,1)),"",IF((AND(LEFT(G597,2)=LEFT('112'!$M$9,2),B597&lt;'112'!$K$9,$N597='112'!$I$6)),"x",""))</f>
        <v/>
      </c>
      <c r="V597" s="75" t="str">
        <f>IF(ISERROR(FIND('112'!$M$9,G597,1)),"",IF((AND(RIGHT(G597,2)=RIGHT('112'!$M$9,2),B597&lt;'112'!$K$9,$O597='112'!$I$6)),"x",""))</f>
        <v/>
      </c>
      <c r="W597" s="75" t="str">
        <f>IF(AND('341-CT'!$H$9=H597,OR(LEFT(N597,3)=$W$7,LEFT(O597,3)=$W$7)),"x","")</f>
        <v/>
      </c>
      <c r="X597" s="75" t="str">
        <f>IF(OR(TH!N597=TH!$X$7,O597=TH!$X$7),"x","")</f>
        <v/>
      </c>
      <c r="Y597" s="75" t="str">
        <f>IF(AND(OR(N597="131",O597="131"),H597='131-CT'!$H$9),"x","")</f>
        <v/>
      </c>
      <c r="Z597" s="75"/>
      <c r="AA597" s="75" t="str">
        <f>IF(AND(MONTH(E597)='IN-NX'!$J$5,'IN-NX'!$D$7=D597),"x","")</f>
        <v/>
      </c>
      <c r="AB597" s="75" t="str">
        <f>IF(AND(OR(LEFT(TH!N597,2)="15",LEFT(TH!O597,2)="15"),LEFT(TH!O597,3)&lt;&gt;"111",'152-CT'!$J$8=TH!F597),"x","")</f>
        <v/>
      </c>
      <c r="AC597" s="75" t="str">
        <f>IF(AND(OR(LEFT(TH!N597,2)="15",LEFT(TH!O597,2)="15"),TK!$E$7=TH!F597),"x","")</f>
        <v/>
      </c>
      <c r="AD597" s="75" t="str">
        <f>IF(AND(N597="1521",MONTH(C597)='BK-NL'!$M$11),"x","")</f>
        <v/>
      </c>
      <c r="AE597">
        <v>8</v>
      </c>
    </row>
    <row r="598" spans="1:31" ht="16.5" customHeight="1">
      <c r="A598" s="309" t="str">
        <f>IF(B598&lt;&gt;"",IF(AND(B598='IN-TC'!$S$4,OR(TH!N598="1111",TH!O598="1111")),TH!D598,""),"")</f>
        <v/>
      </c>
      <c r="B598" s="1129">
        <f t="shared" si="71"/>
        <v>8</v>
      </c>
      <c r="C598" s="929">
        <v>42977</v>
      </c>
      <c r="D598" s="929" t="s">
        <v>530</v>
      </c>
      <c r="E598" s="929">
        <v>42977</v>
      </c>
      <c r="F598" s="930" t="s">
        <v>811</v>
      </c>
      <c r="G598" s="931" t="s">
        <v>1388</v>
      </c>
      <c r="H598" s="296" t="s">
        <v>622</v>
      </c>
      <c r="I598" s="371"/>
      <c r="J598" s="932"/>
      <c r="K598" s="371"/>
      <c r="L598" s="377"/>
      <c r="M598" s="933">
        <v>1117762</v>
      </c>
      <c r="N598" s="934" t="s">
        <v>9</v>
      </c>
      <c r="O598" s="934" t="s">
        <v>8</v>
      </c>
      <c r="P598" s="75" t="str">
        <f>IF(AND('331-CT'!$E$7=TH!H598,OR(N598="331",O598="331")),"x","")</f>
        <v/>
      </c>
      <c r="Q598" s="75" t="str">
        <f>IF(AND(B598='111'!$L$11,OR($N598=$Q$7,$O598=$Q$7)),"x","")</f>
        <v/>
      </c>
      <c r="R598" s="75" t="str">
        <f>IF(AND($N598=$Q$7,$B598&lt;'111'!$L$11),"x","")</f>
        <v/>
      </c>
      <c r="S598" s="75" t="str">
        <f>IF(AND($O598=$Q$7,$B598&lt;'111'!$L$11),"x","")</f>
        <v/>
      </c>
      <c r="T598" s="75" t="str">
        <f>IF(ISERROR(FIND('112'!$M$9,G598,1)),"",IF((AND(FIND('112'!$M$9,G598,1)&gt;=1,B598='112'!$K$9,OR($N598='112'!$I$6,$O598='112'!$I$6))),"x",""))</f>
        <v/>
      </c>
      <c r="U598" s="75" t="str">
        <f>IF(ISERROR(FIND('112'!$M$9,G598,1)),"",IF((AND(LEFT(G598,2)=LEFT('112'!$M$9,2),B598&lt;'112'!$K$9,$N598='112'!$I$6)),"x",""))</f>
        <v/>
      </c>
      <c r="V598" s="75" t="str">
        <f>IF(ISERROR(FIND('112'!$M$9,G598,1)),"",IF((AND(RIGHT(G598,2)=RIGHT('112'!$M$9,2),B598&lt;'112'!$K$9,$O598='112'!$I$6)),"x",""))</f>
        <v/>
      </c>
      <c r="W598" s="75" t="str">
        <f>IF(AND('341-CT'!$H$9=H598,OR(LEFT(N598,3)=$W$7,LEFT(O598,3)=$W$7)),"x","")</f>
        <v/>
      </c>
      <c r="X598" s="75" t="str">
        <f>IF(OR(TH!N598=TH!$X$7,O598=TH!$X$7),"x","")</f>
        <v/>
      </c>
      <c r="Y598" s="75" t="str">
        <f>IF(AND(OR(N598="131",O598="131"),H598='131-CT'!$H$9),"x","")</f>
        <v/>
      </c>
      <c r="Z598" s="75"/>
      <c r="AA598" s="75" t="str">
        <f>IF(AND(MONTH(E598)='IN-NX'!$J$5,'IN-NX'!$D$7=D598),"x","")</f>
        <v/>
      </c>
      <c r="AB598" s="75" t="str">
        <f>IF(AND(OR(LEFT(TH!N598,2)="15",LEFT(TH!O598,2)="15"),LEFT(TH!O598,3)&lt;&gt;"111",'152-CT'!$J$8=TH!F598),"x","")</f>
        <v/>
      </c>
      <c r="AC598" s="75" t="str">
        <f>IF(AND(OR(LEFT(TH!N598,2)="15",LEFT(TH!O598,2)="15"),TK!$E$7=TH!F598),"x","")</f>
        <v/>
      </c>
      <c r="AD598" s="75" t="str">
        <f>IF(AND(N598="1521",MONTH(C598)='BK-NL'!$M$11),"x","")</f>
        <v/>
      </c>
      <c r="AE598">
        <v>8</v>
      </c>
    </row>
    <row r="599" spans="1:31" ht="16.5" customHeight="1">
      <c r="A599" s="309" t="str">
        <f>IF(B599&lt;&gt;"",IF(AND(B599='IN-TC'!$S$4,OR(TH!N599="1111",TH!O599="1111")),TH!D599,""),"")</f>
        <v/>
      </c>
      <c r="B599" s="1129">
        <f t="shared" si="71"/>
        <v>8</v>
      </c>
      <c r="C599" s="929">
        <v>42977</v>
      </c>
      <c r="D599" s="929" t="s">
        <v>530</v>
      </c>
      <c r="E599" s="929">
        <v>42977</v>
      </c>
      <c r="F599" s="930" t="s">
        <v>2015</v>
      </c>
      <c r="G599" s="931" t="s">
        <v>2022</v>
      </c>
      <c r="H599" s="735" t="s">
        <v>563</v>
      </c>
      <c r="I599" s="371"/>
      <c r="J599" s="932"/>
      <c r="K599" s="371"/>
      <c r="L599" s="377"/>
      <c r="M599" s="933">
        <v>29452400</v>
      </c>
      <c r="N599" s="934" t="s">
        <v>272</v>
      </c>
      <c r="O599" s="934" t="s">
        <v>8</v>
      </c>
      <c r="P599" s="75" t="str">
        <f>IF(AND('331-CT'!$E$7=TH!H599,OR(N599="331",O599="331")),"x","")</f>
        <v/>
      </c>
      <c r="Q599" s="75" t="str">
        <f>IF(AND(B599='111'!$L$11,OR($N599=$Q$7,$O599=$Q$7)),"x","")</f>
        <v/>
      </c>
      <c r="R599" s="75" t="str">
        <f>IF(AND($N599=$Q$7,$B599&lt;'111'!$L$11),"x","")</f>
        <v/>
      </c>
      <c r="S599" s="75" t="str">
        <f>IF(AND($O599=$Q$7,$B599&lt;'111'!$L$11),"x","")</f>
        <v/>
      </c>
      <c r="T599" s="75" t="str">
        <f>IF(ISERROR(FIND('112'!$M$9,G599,1)),"",IF((AND(FIND('112'!$M$9,G599,1)&gt;=1,B599='112'!$K$9,OR($N599='112'!$I$6,$O599='112'!$I$6))),"x",""))</f>
        <v/>
      </c>
      <c r="U599" s="75" t="str">
        <f>IF(ISERROR(FIND('112'!$M$9,G599,1)),"",IF((AND(LEFT(G599,2)=LEFT('112'!$M$9,2),B599&lt;'112'!$K$9,$N599='112'!$I$6)),"x",""))</f>
        <v/>
      </c>
      <c r="V599" s="75" t="str">
        <f>IF(ISERROR(FIND('112'!$M$9,G599,1)),"",IF((AND(RIGHT(G599,2)=RIGHT('112'!$M$9,2),B599&lt;'112'!$K$9,$O599='112'!$I$6)),"x",""))</f>
        <v/>
      </c>
      <c r="W599" s="75" t="str">
        <f>IF(AND('341-CT'!$H$9=H599,OR(LEFT(N599,3)=$W$7,LEFT(O599,3)=$W$7)),"x","")</f>
        <v/>
      </c>
      <c r="X599" s="75" t="str">
        <f>IF(OR(TH!N599=TH!$X$7,O599=TH!$X$7),"x","")</f>
        <v/>
      </c>
      <c r="Y599" s="75" t="str">
        <f>IF(AND(OR(N599="131",O599="131"),H599='131-CT'!$H$9),"x","")</f>
        <v/>
      </c>
      <c r="Z599" s="75"/>
      <c r="AA599" s="75" t="str">
        <f>IF(AND(MONTH(E599)='IN-NX'!$J$5,'IN-NX'!$D$7=D599),"x","")</f>
        <v/>
      </c>
      <c r="AB599" s="75" t="str">
        <f>IF(AND(OR(LEFT(TH!N599,2)="15",LEFT(TH!O599,2)="15"),LEFT(TH!O599,3)&lt;&gt;"111",'152-CT'!$J$8=TH!F599),"x","")</f>
        <v/>
      </c>
      <c r="AC599" s="75" t="str">
        <f>IF(AND(OR(LEFT(TH!N599,2)="15",LEFT(TH!O599,2)="15"),TK!$E$7=TH!F599),"x","")</f>
        <v/>
      </c>
      <c r="AD599" s="75" t="str">
        <f>IF(AND(N599="1521",MONTH(C599)='BK-NL'!$M$11),"x","")</f>
        <v/>
      </c>
      <c r="AE599">
        <v>8</v>
      </c>
    </row>
    <row r="600" spans="1:31" ht="16.5" customHeight="1">
      <c r="A600" s="309" t="str">
        <f>IF(B600&lt;&gt;"",IF(AND(B600='IN-TC'!$S$4,OR(TH!N600="1111",TH!O600="1111")),TH!D600,""),"")</f>
        <v/>
      </c>
      <c r="B600" s="1129">
        <f t="shared" si="71"/>
        <v>8</v>
      </c>
      <c r="C600" s="929">
        <v>42977</v>
      </c>
      <c r="D600" s="929" t="s">
        <v>530</v>
      </c>
      <c r="E600" s="929">
        <v>42977</v>
      </c>
      <c r="F600" s="930" t="s">
        <v>2016</v>
      </c>
      <c r="G600" s="931" t="s">
        <v>2022</v>
      </c>
      <c r="H600" s="735" t="s">
        <v>563</v>
      </c>
      <c r="I600" s="371"/>
      <c r="J600" s="932"/>
      <c r="K600" s="371"/>
      <c r="L600" s="377"/>
      <c r="M600" s="933">
        <v>2945240</v>
      </c>
      <c r="N600" s="934" t="s">
        <v>9</v>
      </c>
      <c r="O600" s="934" t="s">
        <v>8</v>
      </c>
      <c r="P600" s="75" t="str">
        <f>IF(AND('331-CT'!$E$7=TH!H600,OR(N600="331",O600="331")),"x","")</f>
        <v/>
      </c>
      <c r="Q600" s="75" t="str">
        <f>IF(AND(B600='111'!$L$11,OR($N600=$Q$7,$O600=$Q$7)),"x","")</f>
        <v/>
      </c>
      <c r="R600" s="75" t="str">
        <f>IF(AND($N600=$Q$7,$B600&lt;'111'!$L$11),"x","")</f>
        <v/>
      </c>
      <c r="S600" s="75" t="str">
        <f>IF(AND($O600=$Q$7,$B600&lt;'111'!$L$11),"x","")</f>
        <v/>
      </c>
      <c r="T600" s="75" t="str">
        <f>IF(ISERROR(FIND('112'!$M$9,G600,1)),"",IF((AND(FIND('112'!$M$9,G600,1)&gt;=1,B600='112'!$K$9,OR($N600='112'!$I$6,$O600='112'!$I$6))),"x",""))</f>
        <v/>
      </c>
      <c r="U600" s="75" t="str">
        <f>IF(ISERROR(FIND('112'!$M$9,G600,1)),"",IF((AND(LEFT(G600,2)=LEFT('112'!$M$9,2),B600&lt;'112'!$K$9,$N600='112'!$I$6)),"x",""))</f>
        <v/>
      </c>
      <c r="V600" s="75" t="str">
        <f>IF(ISERROR(FIND('112'!$M$9,G600,1)),"",IF((AND(RIGHT(G600,2)=RIGHT('112'!$M$9,2),B600&lt;'112'!$K$9,$O600='112'!$I$6)),"x",""))</f>
        <v/>
      </c>
      <c r="W600" s="75" t="str">
        <f>IF(AND('341-CT'!$H$9=H600,OR(LEFT(N600,3)=$W$7,LEFT(O600,3)=$W$7)),"x","")</f>
        <v/>
      </c>
      <c r="X600" s="75" t="str">
        <f>IF(OR(TH!N600=TH!$X$7,O600=TH!$X$7),"x","")</f>
        <v/>
      </c>
      <c r="Y600" s="75" t="str">
        <f>IF(AND(OR(N600="131",O600="131"),H600='131-CT'!$H$9),"x","")</f>
        <v/>
      </c>
      <c r="Z600" s="75"/>
      <c r="AA600" s="75" t="str">
        <f>IF(AND(MONTH(E600)='IN-NX'!$J$5,'IN-NX'!$D$7=D600),"x","")</f>
        <v/>
      </c>
      <c r="AB600" s="75" t="str">
        <f>IF(AND(OR(LEFT(TH!N600,2)="15",LEFT(TH!O600,2)="15"),LEFT(TH!O600,3)&lt;&gt;"111",'152-CT'!$J$8=TH!F600),"x","")</f>
        <v/>
      </c>
      <c r="AC600" s="75" t="str">
        <f>IF(AND(OR(LEFT(TH!N600,2)="15",LEFT(TH!O600,2)="15"),TK!$E$7=TH!F600),"x","")</f>
        <v/>
      </c>
      <c r="AD600" s="75" t="str">
        <f>IF(AND(N600="1521",MONTH(C600)='BK-NL'!$M$11),"x","")</f>
        <v/>
      </c>
      <c r="AE600">
        <v>8</v>
      </c>
    </row>
    <row r="601" spans="1:31" ht="16.5" customHeight="1">
      <c r="A601" s="309" t="str">
        <f>IF(B601&lt;&gt;"",IF(AND(B601='IN-TC'!$S$4,OR(TH!N601="1111",TH!O601="1111")),TH!D601,""),"")</f>
        <v/>
      </c>
      <c r="B601" s="1129">
        <f t="shared" si="71"/>
        <v>8</v>
      </c>
      <c r="C601" s="929">
        <v>42977</v>
      </c>
      <c r="D601" s="929" t="s">
        <v>530</v>
      </c>
      <c r="E601" s="929">
        <v>42977</v>
      </c>
      <c r="F601" s="930" t="s">
        <v>2017</v>
      </c>
      <c r="G601" s="931" t="s">
        <v>2023</v>
      </c>
      <c r="H601" s="735" t="s">
        <v>563</v>
      </c>
      <c r="I601" s="371"/>
      <c r="J601" s="932"/>
      <c r="K601" s="371"/>
      <c r="L601" s="377"/>
      <c r="M601" s="933">
        <v>28645700</v>
      </c>
      <c r="N601" s="934" t="s">
        <v>272</v>
      </c>
      <c r="O601" s="934" t="s">
        <v>8</v>
      </c>
      <c r="P601" s="75" t="str">
        <f>IF(AND('331-CT'!$E$7=TH!H601,OR(N601="331",O601="331")),"x","")</f>
        <v/>
      </c>
      <c r="Q601" s="75" t="str">
        <f>IF(AND(B601='111'!$L$11,OR($N601=$Q$7,$O601=$Q$7)),"x","")</f>
        <v/>
      </c>
      <c r="R601" s="75" t="str">
        <f>IF(AND($N601=$Q$7,$B601&lt;'111'!$L$11),"x","")</f>
        <v/>
      </c>
      <c r="S601" s="75" t="str">
        <f>IF(AND($O601=$Q$7,$B601&lt;'111'!$L$11),"x","")</f>
        <v/>
      </c>
      <c r="T601" s="75" t="str">
        <f>IF(ISERROR(FIND('112'!$M$9,G601,1)),"",IF((AND(FIND('112'!$M$9,G601,1)&gt;=1,B601='112'!$K$9,OR($N601='112'!$I$6,$O601='112'!$I$6))),"x",""))</f>
        <v/>
      </c>
      <c r="U601" s="75" t="str">
        <f>IF(ISERROR(FIND('112'!$M$9,G601,1)),"",IF((AND(LEFT(G601,2)=LEFT('112'!$M$9,2),B601&lt;'112'!$K$9,$N601='112'!$I$6)),"x",""))</f>
        <v/>
      </c>
      <c r="V601" s="75" t="str">
        <f>IF(ISERROR(FIND('112'!$M$9,G601,1)),"",IF((AND(RIGHT(G601,2)=RIGHT('112'!$M$9,2),B601&lt;'112'!$K$9,$O601='112'!$I$6)),"x",""))</f>
        <v/>
      </c>
      <c r="W601" s="75" t="str">
        <f>IF(AND('341-CT'!$H$9=H601,OR(LEFT(N601,3)=$W$7,LEFT(O601,3)=$W$7)),"x","")</f>
        <v/>
      </c>
      <c r="X601" s="75" t="str">
        <f>IF(OR(TH!N601=TH!$X$7,O601=TH!$X$7),"x","")</f>
        <v/>
      </c>
      <c r="Y601" s="75" t="str">
        <f>IF(AND(OR(N601="131",O601="131"),H601='131-CT'!$H$9),"x","")</f>
        <v/>
      </c>
      <c r="Z601" s="75"/>
      <c r="AA601" s="75" t="str">
        <f>IF(AND(MONTH(E601)='IN-NX'!$J$5,'IN-NX'!$D$7=D601),"x","")</f>
        <v/>
      </c>
      <c r="AB601" s="75" t="str">
        <f>IF(AND(OR(LEFT(TH!N601,2)="15",LEFT(TH!O601,2)="15"),LEFT(TH!O601,3)&lt;&gt;"111",'152-CT'!$J$8=TH!F601),"x","")</f>
        <v/>
      </c>
      <c r="AC601" s="75" t="str">
        <f>IF(AND(OR(LEFT(TH!N601,2)="15",LEFT(TH!O601,2)="15"),TK!$E$7=TH!F601),"x","")</f>
        <v/>
      </c>
      <c r="AD601" s="75" t="str">
        <f>IF(AND(N601="1521",MONTH(C601)='BK-NL'!$M$11),"x","")</f>
        <v/>
      </c>
      <c r="AE601">
        <v>8</v>
      </c>
    </row>
    <row r="602" spans="1:31" ht="16.5" customHeight="1">
      <c r="A602" s="309" t="str">
        <f>IF(B602&lt;&gt;"",IF(AND(B602='IN-TC'!$S$4,OR(TH!N602="1111",TH!O602="1111")),TH!D602,""),"")</f>
        <v/>
      </c>
      <c r="B602" s="1129">
        <f t="shared" si="71"/>
        <v>8</v>
      </c>
      <c r="C602" s="929">
        <v>42977</v>
      </c>
      <c r="D602" s="929" t="s">
        <v>530</v>
      </c>
      <c r="E602" s="929">
        <v>42977</v>
      </c>
      <c r="F602" s="930" t="s">
        <v>2018</v>
      </c>
      <c r="G602" s="931" t="s">
        <v>2023</v>
      </c>
      <c r="H602" s="735" t="s">
        <v>563</v>
      </c>
      <c r="I602" s="371"/>
      <c r="J602" s="932"/>
      <c r="K602" s="371"/>
      <c r="L602" s="377"/>
      <c r="M602" s="933">
        <v>2864570</v>
      </c>
      <c r="N602" s="934" t="s">
        <v>9</v>
      </c>
      <c r="O602" s="934" t="s">
        <v>8</v>
      </c>
      <c r="P602" s="75" t="str">
        <f>IF(AND('331-CT'!$E$7=TH!H602,OR(N602="331",O602="331")),"x","")</f>
        <v/>
      </c>
      <c r="Q602" s="75" t="str">
        <f>IF(AND(B602='111'!$L$11,OR($N602=$Q$7,$O602=$Q$7)),"x","")</f>
        <v/>
      </c>
      <c r="R602" s="75" t="str">
        <f>IF(AND($N602=$Q$7,$B602&lt;'111'!$L$11),"x","")</f>
        <v/>
      </c>
      <c r="S602" s="75" t="str">
        <f>IF(AND($O602=$Q$7,$B602&lt;'111'!$L$11),"x","")</f>
        <v/>
      </c>
      <c r="T602" s="75" t="str">
        <f>IF(ISERROR(FIND('112'!$M$9,G602,1)),"",IF((AND(FIND('112'!$M$9,G602,1)&gt;=1,B602='112'!$K$9,OR($N602='112'!$I$6,$O602='112'!$I$6))),"x",""))</f>
        <v/>
      </c>
      <c r="U602" s="75" t="str">
        <f>IF(ISERROR(FIND('112'!$M$9,G602,1)),"",IF((AND(LEFT(G602,2)=LEFT('112'!$M$9,2),B602&lt;'112'!$K$9,$N602='112'!$I$6)),"x",""))</f>
        <v/>
      </c>
      <c r="V602" s="75" t="str">
        <f>IF(ISERROR(FIND('112'!$M$9,G602,1)),"",IF((AND(RIGHT(G602,2)=RIGHT('112'!$M$9,2),B602&lt;'112'!$K$9,$O602='112'!$I$6)),"x",""))</f>
        <v/>
      </c>
      <c r="W602" s="75" t="str">
        <f>IF(AND('341-CT'!$H$9=H602,OR(LEFT(N602,3)=$W$7,LEFT(O602,3)=$W$7)),"x","")</f>
        <v/>
      </c>
      <c r="X602" s="75" t="str">
        <f>IF(OR(TH!N602=TH!$X$7,O602=TH!$X$7),"x","")</f>
        <v/>
      </c>
      <c r="Y602" s="75" t="str">
        <f>IF(AND(OR(N602="131",O602="131"),H602='131-CT'!$H$9),"x","")</f>
        <v/>
      </c>
      <c r="Z602" s="75"/>
      <c r="AA602" s="75" t="str">
        <f>IF(AND(MONTH(E602)='IN-NX'!$J$5,'IN-NX'!$D$7=D602),"x","")</f>
        <v/>
      </c>
      <c r="AB602" s="75" t="str">
        <f>IF(AND(OR(LEFT(TH!N602,2)="15",LEFT(TH!O602,2)="15"),LEFT(TH!O602,3)&lt;&gt;"111",'152-CT'!$J$8=TH!F602),"x","")</f>
        <v/>
      </c>
      <c r="AC602" s="75" t="str">
        <f>IF(AND(OR(LEFT(TH!N602,2)="15",LEFT(TH!O602,2)="15"),TK!$E$7=TH!F602),"x","")</f>
        <v/>
      </c>
      <c r="AD602" s="75" t="str">
        <f>IF(AND(N602="1521",MONTH(C602)='BK-NL'!$M$11),"x","")</f>
        <v/>
      </c>
      <c r="AE602">
        <v>8</v>
      </c>
    </row>
    <row r="603" spans="1:31" ht="16.5" customHeight="1">
      <c r="A603" s="309" t="str">
        <f>IF(B603&lt;&gt;"",IF(AND(B603='IN-TC'!$S$4,OR(TH!N603="1111",TH!O603="1111")),TH!D603,""),"")</f>
        <v/>
      </c>
      <c r="B603" s="1129">
        <f t="shared" si="71"/>
        <v>8</v>
      </c>
      <c r="C603" s="929">
        <v>42977</v>
      </c>
      <c r="D603" s="929" t="s">
        <v>530</v>
      </c>
      <c r="E603" s="929">
        <v>42977</v>
      </c>
      <c r="F603" s="930" t="s">
        <v>2019</v>
      </c>
      <c r="G603" s="931" t="s">
        <v>2876</v>
      </c>
      <c r="H603" s="735" t="s">
        <v>563</v>
      </c>
      <c r="I603" s="371"/>
      <c r="J603" s="932"/>
      <c r="K603" s="371"/>
      <c r="L603" s="377"/>
      <c r="M603" s="933">
        <v>24312000</v>
      </c>
      <c r="N603" s="934" t="s">
        <v>272</v>
      </c>
      <c r="O603" s="934" t="s">
        <v>8</v>
      </c>
      <c r="P603" s="75" t="str">
        <f>IF(AND('331-CT'!$E$7=TH!H603,OR(N603="331",O603="331")),"x","")</f>
        <v/>
      </c>
      <c r="Q603" s="75" t="str">
        <f>IF(AND(B603='111'!$L$11,OR($N603=$Q$7,$O603=$Q$7)),"x","")</f>
        <v/>
      </c>
      <c r="R603" s="75" t="str">
        <f>IF(AND($N603=$Q$7,$B603&lt;'111'!$L$11),"x","")</f>
        <v/>
      </c>
      <c r="S603" s="75" t="str">
        <f>IF(AND($O603=$Q$7,$B603&lt;'111'!$L$11),"x","")</f>
        <v/>
      </c>
      <c r="T603" s="75" t="str">
        <f>IF(ISERROR(FIND('112'!$M$9,G603,1)),"",IF((AND(FIND('112'!$M$9,G603,1)&gt;=1,B603='112'!$K$9,OR($N603='112'!$I$6,$O603='112'!$I$6))),"x",""))</f>
        <v/>
      </c>
      <c r="U603" s="75" t="str">
        <f>IF(ISERROR(FIND('112'!$M$9,G603,1)),"",IF((AND(LEFT(G603,2)=LEFT('112'!$M$9,2),B603&lt;'112'!$K$9,$N603='112'!$I$6)),"x",""))</f>
        <v/>
      </c>
      <c r="V603" s="75" t="str">
        <f>IF(ISERROR(FIND('112'!$M$9,G603,1)),"",IF((AND(RIGHT(G603,2)=RIGHT('112'!$M$9,2),B603&lt;'112'!$K$9,$O603='112'!$I$6)),"x",""))</f>
        <v/>
      </c>
      <c r="W603" s="75" t="str">
        <f>IF(AND('341-CT'!$H$9=H603,OR(LEFT(N603,3)=$W$7,LEFT(O603,3)=$W$7)),"x","")</f>
        <v/>
      </c>
      <c r="X603" s="75" t="str">
        <f>IF(OR(TH!N603=TH!$X$7,O603=TH!$X$7),"x","")</f>
        <v/>
      </c>
      <c r="Y603" s="75" t="str">
        <f>IF(AND(OR(N603="131",O603="131"),H603='131-CT'!$H$9),"x","")</f>
        <v/>
      </c>
      <c r="Z603" s="75"/>
      <c r="AA603" s="75" t="str">
        <f>IF(AND(MONTH(E603)='IN-NX'!$J$5,'IN-NX'!$D$7=D603),"x","")</f>
        <v/>
      </c>
      <c r="AB603" s="75" t="str">
        <f>IF(AND(OR(LEFT(TH!N603,2)="15",LEFT(TH!O603,2)="15"),LEFT(TH!O603,3)&lt;&gt;"111",'152-CT'!$J$8=TH!F603),"x","")</f>
        <v/>
      </c>
      <c r="AC603" s="75" t="str">
        <f>IF(AND(OR(LEFT(TH!N603,2)="15",LEFT(TH!O603,2)="15"),TK!$E$7=TH!F603),"x","")</f>
        <v/>
      </c>
      <c r="AD603" s="75" t="str">
        <f>IF(AND(N603="1521",MONTH(C603)='BK-NL'!$M$11),"x","")</f>
        <v/>
      </c>
      <c r="AE603">
        <v>8</v>
      </c>
    </row>
    <row r="604" spans="1:31" ht="16.5" customHeight="1">
      <c r="A604" s="309" t="str">
        <f>IF(B604&lt;&gt;"",IF(AND(B604='IN-TC'!$S$4,OR(TH!N604="1111",TH!O604="1111")),TH!D604,""),"")</f>
        <v/>
      </c>
      <c r="B604" s="1129">
        <f t="shared" si="71"/>
        <v>8</v>
      </c>
      <c r="C604" s="929">
        <v>42977</v>
      </c>
      <c r="D604" s="929" t="s">
        <v>530</v>
      </c>
      <c r="E604" s="929">
        <v>42977</v>
      </c>
      <c r="F604" s="930" t="s">
        <v>2020</v>
      </c>
      <c r="G604" s="931" t="s">
        <v>2876</v>
      </c>
      <c r="H604" s="735" t="s">
        <v>563</v>
      </c>
      <c r="I604" s="371"/>
      <c r="J604" s="932"/>
      <c r="K604" s="371"/>
      <c r="L604" s="377"/>
      <c r="M604" s="933">
        <v>2431200</v>
      </c>
      <c r="N604" s="934" t="s">
        <v>9</v>
      </c>
      <c r="O604" s="934" t="s">
        <v>8</v>
      </c>
      <c r="P604" s="75" t="str">
        <f>IF(AND('331-CT'!$E$7=TH!H604,OR(N604="331",O604="331")),"x","")</f>
        <v/>
      </c>
      <c r="Q604" s="75" t="str">
        <f>IF(AND(B604='111'!$L$11,OR($N604=$Q$7,$O604=$Q$7)),"x","")</f>
        <v/>
      </c>
      <c r="R604" s="75" t="str">
        <f>IF(AND($N604=$Q$7,$B604&lt;'111'!$L$11),"x","")</f>
        <v/>
      </c>
      <c r="S604" s="75" t="str">
        <f>IF(AND($O604=$Q$7,$B604&lt;'111'!$L$11),"x","")</f>
        <v/>
      </c>
      <c r="T604" s="75" t="str">
        <f>IF(ISERROR(FIND('112'!$M$9,G604,1)),"",IF((AND(FIND('112'!$M$9,G604,1)&gt;=1,B604='112'!$K$9,OR($N604='112'!$I$6,$O604='112'!$I$6))),"x",""))</f>
        <v/>
      </c>
      <c r="U604" s="75" t="str">
        <f>IF(ISERROR(FIND('112'!$M$9,G604,1)),"",IF((AND(LEFT(G604,2)=LEFT('112'!$M$9,2),B604&lt;'112'!$K$9,$N604='112'!$I$6)),"x",""))</f>
        <v/>
      </c>
      <c r="V604" s="75" t="str">
        <f>IF(ISERROR(FIND('112'!$M$9,G604,1)),"",IF((AND(RIGHT(G604,2)=RIGHT('112'!$M$9,2),B604&lt;'112'!$K$9,$O604='112'!$I$6)),"x",""))</f>
        <v/>
      </c>
      <c r="W604" s="75" t="str">
        <f>IF(AND('341-CT'!$H$9=H604,OR(LEFT(N604,3)=$W$7,LEFT(O604,3)=$W$7)),"x","")</f>
        <v/>
      </c>
      <c r="X604" s="75" t="str">
        <f>IF(OR(TH!N604=TH!$X$7,O604=TH!$X$7),"x","")</f>
        <v/>
      </c>
      <c r="Y604" s="75" t="str">
        <f>IF(AND(OR(N604="131",O604="131"),H604='131-CT'!$H$9),"x","")</f>
        <v/>
      </c>
      <c r="Z604" s="75"/>
      <c r="AA604" s="75" t="str">
        <f>IF(AND(MONTH(E604)='IN-NX'!$J$5,'IN-NX'!$D$7=D604),"x","")</f>
        <v/>
      </c>
      <c r="AB604" s="75" t="str">
        <f>IF(AND(OR(LEFT(TH!N604,2)="15",LEFT(TH!O604,2)="15"),LEFT(TH!O604,3)&lt;&gt;"111",'152-CT'!$J$8=TH!F604),"x","")</f>
        <v/>
      </c>
      <c r="AC604" s="75" t="str">
        <f>IF(AND(OR(LEFT(TH!N604,2)="15",LEFT(TH!O604,2)="15"),TK!$E$7=TH!F604),"x","")</f>
        <v/>
      </c>
      <c r="AD604" s="75" t="str">
        <f>IF(AND(N604="1521",MONTH(C604)='BK-NL'!$M$11),"x","")</f>
        <v/>
      </c>
      <c r="AE604">
        <v>8</v>
      </c>
    </row>
    <row r="605" spans="1:31" ht="16.5" customHeight="1">
      <c r="A605" s="309" t="str">
        <f>IF(B605&lt;&gt;"",IF(AND(B605='IN-TC'!$S$4,OR(TH!N605="1111",TH!O605="1111")),TH!D605,""),"")</f>
        <v/>
      </c>
      <c r="B605" s="1129">
        <f t="shared" si="71"/>
        <v>8</v>
      </c>
      <c r="C605" s="929">
        <v>42969</v>
      </c>
      <c r="D605" s="929" t="s">
        <v>530</v>
      </c>
      <c r="E605" s="929">
        <v>42969</v>
      </c>
      <c r="F605" s="930" t="s">
        <v>2026</v>
      </c>
      <c r="G605" s="931" t="s">
        <v>1151</v>
      </c>
      <c r="H605" s="735" t="s">
        <v>2027</v>
      </c>
      <c r="I605" s="371"/>
      <c r="J605" s="932"/>
      <c r="K605" s="371"/>
      <c r="L605" s="377"/>
      <c r="M605" s="933">
        <v>2000000</v>
      </c>
      <c r="N605" s="934" t="s">
        <v>539</v>
      </c>
      <c r="O605" s="934" t="s">
        <v>8</v>
      </c>
      <c r="P605" s="75" t="str">
        <f>IF(AND('331-CT'!$E$7=TH!H605,OR(N605="331",O605="331")),"x","")</f>
        <v/>
      </c>
      <c r="Q605" s="75" t="str">
        <f>IF(AND(B605='111'!$L$11,OR($N605=$Q$7,$O605=$Q$7)),"x","")</f>
        <v/>
      </c>
      <c r="R605" s="75" t="str">
        <f>IF(AND($N605=$Q$7,$B605&lt;'111'!$L$11),"x","")</f>
        <v/>
      </c>
      <c r="S605" s="75" t="str">
        <f>IF(AND($O605=$Q$7,$B605&lt;'111'!$L$11),"x","")</f>
        <v/>
      </c>
      <c r="T605" s="75" t="str">
        <f>IF(ISERROR(FIND('112'!$M$9,G605,1)),"",IF((AND(FIND('112'!$M$9,G605,1)&gt;=1,B605='112'!$K$9,OR($N605='112'!$I$6,$O605='112'!$I$6))),"x",""))</f>
        <v/>
      </c>
      <c r="U605" s="75" t="str">
        <f>IF(ISERROR(FIND('112'!$M$9,G605,1)),"",IF((AND(LEFT(G605,2)=LEFT('112'!$M$9,2),B605&lt;'112'!$K$9,$N605='112'!$I$6)),"x",""))</f>
        <v/>
      </c>
      <c r="V605" s="75" t="str">
        <f>IF(ISERROR(FIND('112'!$M$9,G605,1)),"",IF((AND(RIGHT(G605,2)=RIGHT('112'!$M$9,2),B605&lt;'112'!$K$9,$O605='112'!$I$6)),"x",""))</f>
        <v/>
      </c>
      <c r="W605" s="75" t="str">
        <f>IF(AND('341-CT'!$H$9=H605,OR(LEFT(N605,3)=$W$7,LEFT(O605,3)=$W$7)),"x","")</f>
        <v/>
      </c>
      <c r="X605" s="75" t="str">
        <f>IF(OR(TH!N605=TH!$X$7,O605=TH!$X$7),"x","")</f>
        <v/>
      </c>
      <c r="Y605" s="75" t="str">
        <f>IF(AND(OR(N605="131",O605="131"),H605='131-CT'!$H$9),"x","")</f>
        <v/>
      </c>
      <c r="Z605" s="75"/>
      <c r="AA605" s="75" t="str">
        <f>IF(AND(MONTH(E605)='IN-NX'!$J$5,'IN-NX'!$D$7=D605),"x","")</f>
        <v/>
      </c>
      <c r="AB605" s="75" t="str">
        <f>IF(AND(OR(LEFT(TH!N605,2)="15",LEFT(TH!O605,2)="15"),LEFT(TH!O605,3)&lt;&gt;"111",'152-CT'!$J$8=TH!F605),"x","")</f>
        <v/>
      </c>
      <c r="AC605" s="75" t="str">
        <f>IF(AND(OR(LEFT(TH!N605,2)="15",LEFT(TH!O605,2)="15"),TK!$E$7=TH!F605),"x","")</f>
        <v/>
      </c>
      <c r="AD605" s="75" t="str">
        <f>IF(AND(N605="1521",MONTH(C605)='BK-NL'!$M$11),"x","")</f>
        <v/>
      </c>
    </row>
    <row r="606" spans="1:31" ht="16.5" customHeight="1">
      <c r="A606" s="309" t="str">
        <f>IF(B606&lt;&gt;"",IF(AND(B606='IN-TC'!$S$4,OR(TH!N606="1111",TH!O606="1111")),TH!D606,""),"")</f>
        <v/>
      </c>
      <c r="B606" s="1129">
        <f t="shared" si="71"/>
        <v>8</v>
      </c>
      <c r="C606" s="929">
        <v>42978</v>
      </c>
      <c r="D606" s="929" t="s">
        <v>530</v>
      </c>
      <c r="E606" s="929">
        <v>42978</v>
      </c>
      <c r="F606" s="930" t="s">
        <v>1322</v>
      </c>
      <c r="G606" s="931" t="s">
        <v>2374</v>
      </c>
      <c r="H606" s="735" t="s">
        <v>739</v>
      </c>
      <c r="I606" s="371"/>
      <c r="J606" s="932"/>
      <c r="K606" s="371"/>
      <c r="L606" s="377"/>
      <c r="M606" s="933">
        <v>8882737</v>
      </c>
      <c r="N606" s="934" t="s">
        <v>539</v>
      </c>
      <c r="O606" s="934" t="s">
        <v>8</v>
      </c>
      <c r="P606" s="75" t="str">
        <f>IF(AND('331-CT'!$E$7=TH!H606,OR(N606="331",O606="331")),"x","")</f>
        <v/>
      </c>
      <c r="Q606" s="75" t="str">
        <f>IF(AND(B606='111'!$L$11,OR($N606=$Q$7,$O606=$Q$7)),"x","")</f>
        <v/>
      </c>
      <c r="R606" s="75" t="str">
        <f>IF(AND($N606=$Q$7,$B606&lt;'111'!$L$11),"x","")</f>
        <v/>
      </c>
      <c r="S606" s="75" t="str">
        <f>IF(AND($O606=$Q$7,$B606&lt;'111'!$L$11),"x","")</f>
        <v/>
      </c>
      <c r="T606" s="75" t="str">
        <f>IF(ISERROR(FIND('112'!$M$9,G606,1)),"",IF((AND(FIND('112'!$M$9,G606,1)&gt;=1,B606='112'!$K$9,OR($N606='112'!$I$6,$O606='112'!$I$6))),"x",""))</f>
        <v/>
      </c>
      <c r="U606" s="75" t="str">
        <f>IF(ISERROR(FIND('112'!$M$9,G606,1)),"",IF((AND(LEFT(G606,2)=LEFT('112'!$M$9,2),B606&lt;'112'!$K$9,$N606='112'!$I$6)),"x",""))</f>
        <v/>
      </c>
      <c r="V606" s="75" t="str">
        <f>IF(ISERROR(FIND('112'!$M$9,G606,1)),"",IF((AND(RIGHT(G606,2)=RIGHT('112'!$M$9,2),B606&lt;'112'!$K$9,$O606='112'!$I$6)),"x",""))</f>
        <v/>
      </c>
      <c r="W606" s="75" t="str">
        <f>IF(AND('341-CT'!$H$9=H606,OR(LEFT(N606,3)=$W$7,LEFT(O606,3)=$W$7)),"x","")</f>
        <v/>
      </c>
      <c r="X606" s="75" t="str">
        <f>IF(OR(TH!N606=TH!$X$7,O606=TH!$X$7),"x","")</f>
        <v/>
      </c>
      <c r="Y606" s="75" t="str">
        <f>IF(AND(OR(N606="131",O606="131"),H606='131-CT'!$H$9),"x","")</f>
        <v/>
      </c>
      <c r="Z606" s="75"/>
      <c r="AA606" s="75" t="str">
        <f>IF(AND(MONTH(E606)='IN-NX'!$J$5,'IN-NX'!$D$7=D606),"x","")</f>
        <v/>
      </c>
      <c r="AB606" s="75" t="str">
        <f>IF(AND(OR(LEFT(TH!N606,2)="15",LEFT(TH!O606,2)="15"),LEFT(TH!O606,3)&lt;&gt;"111",'152-CT'!$J$8=TH!F606),"x","")</f>
        <v/>
      </c>
      <c r="AC606" s="75" t="str">
        <f>IF(AND(OR(LEFT(TH!N606,2)="15",LEFT(TH!O606,2)="15"),TK!$E$7=TH!F606),"x","")</f>
        <v/>
      </c>
      <c r="AD606" s="75" t="str">
        <f>IF(AND(N606="1521",MONTH(C606)='BK-NL'!$M$11),"x","")</f>
        <v/>
      </c>
      <c r="AE606">
        <v>10</v>
      </c>
    </row>
    <row r="607" spans="1:31" ht="16.5" customHeight="1">
      <c r="A607" s="309" t="str">
        <f>IF(B607&lt;&gt;"",IF(AND(B607='IN-TC'!$S$4,OR(TH!N607="1111",TH!O607="1111")),TH!D607,""),"")</f>
        <v/>
      </c>
      <c r="B607" s="1129">
        <f t="shared" si="71"/>
        <v>8</v>
      </c>
      <c r="C607" s="929">
        <v>42978</v>
      </c>
      <c r="D607" s="929" t="s">
        <v>530</v>
      </c>
      <c r="E607" s="929">
        <v>42978</v>
      </c>
      <c r="F607" s="930" t="s">
        <v>1323</v>
      </c>
      <c r="G607" s="931" t="s">
        <v>2374</v>
      </c>
      <c r="H607" s="735" t="s">
        <v>739</v>
      </c>
      <c r="I607" s="371"/>
      <c r="J607" s="932"/>
      <c r="K607" s="371"/>
      <c r="L607" s="377"/>
      <c r="M607" s="933">
        <v>575036</v>
      </c>
      <c r="N607" s="934" t="s">
        <v>9</v>
      </c>
      <c r="O607" s="934" t="s">
        <v>8</v>
      </c>
      <c r="P607" s="75" t="str">
        <f>IF(AND('331-CT'!$E$7=TH!H607,OR(N607="331",O607="331")),"x","")</f>
        <v/>
      </c>
      <c r="Q607" s="75" t="str">
        <f>IF(AND(B607='111'!$L$11,OR($N607=$Q$7,$O607=$Q$7)),"x","")</f>
        <v/>
      </c>
      <c r="R607" s="75" t="str">
        <f>IF(AND($N607=$Q$7,$B607&lt;'111'!$L$11),"x","")</f>
        <v/>
      </c>
      <c r="S607" s="75" t="str">
        <f>IF(AND($O607=$Q$7,$B607&lt;'111'!$L$11),"x","")</f>
        <v/>
      </c>
      <c r="T607" s="75" t="str">
        <f>IF(ISERROR(FIND('112'!$M$9,G607,1)),"",IF((AND(FIND('112'!$M$9,G607,1)&gt;=1,B607='112'!$K$9,OR($N607='112'!$I$6,$O607='112'!$I$6))),"x",""))</f>
        <v/>
      </c>
      <c r="U607" s="75" t="str">
        <f>IF(ISERROR(FIND('112'!$M$9,G607,1)),"",IF((AND(LEFT(G607,2)=LEFT('112'!$M$9,2),B607&lt;'112'!$K$9,$N607='112'!$I$6)),"x",""))</f>
        <v/>
      </c>
      <c r="V607" s="75" t="str">
        <f>IF(ISERROR(FIND('112'!$M$9,G607,1)),"",IF((AND(RIGHT(G607,2)=RIGHT('112'!$M$9,2),B607&lt;'112'!$K$9,$O607='112'!$I$6)),"x",""))</f>
        <v/>
      </c>
      <c r="W607" s="75" t="str">
        <f>IF(AND('341-CT'!$H$9=H607,OR(LEFT(N607,3)=$W$7,LEFT(O607,3)=$W$7)),"x","")</f>
        <v/>
      </c>
      <c r="X607" s="75" t="str">
        <f>IF(OR(TH!N607=TH!$X$7,O607=TH!$X$7),"x","")</f>
        <v/>
      </c>
      <c r="Y607" s="75" t="str">
        <f>IF(AND(OR(N607="131",O607="131"),H607='131-CT'!$H$9),"x","")</f>
        <v/>
      </c>
      <c r="Z607" s="75"/>
      <c r="AA607" s="75" t="str">
        <f>IF(AND(MONTH(E607)='IN-NX'!$J$5,'IN-NX'!$D$7=D607),"x","")</f>
        <v/>
      </c>
      <c r="AB607" s="75" t="str">
        <f>IF(AND(OR(LEFT(TH!N607,2)="15",LEFT(TH!O607,2)="15"),LEFT(TH!O607,3)&lt;&gt;"111",'152-CT'!$J$8=TH!F607),"x","")</f>
        <v/>
      </c>
      <c r="AC607" s="75" t="str">
        <f>IF(AND(OR(LEFT(TH!N607,2)="15",LEFT(TH!O607,2)="15"),TK!$E$7=TH!F607),"x","")</f>
        <v/>
      </c>
      <c r="AD607" s="75" t="str">
        <f>IF(AND(N607="1521",MONTH(C607)='BK-NL'!$M$11),"x","")</f>
        <v/>
      </c>
      <c r="AE607">
        <v>10</v>
      </c>
    </row>
    <row r="608" spans="1:31" ht="16.5" customHeight="1">
      <c r="A608" s="309" t="str">
        <f>IF(B608&lt;&gt;"",IF(AND(B608='IN-TC'!$S$4,OR(TH!N608="1111",TH!O608="1111")),TH!D608,""),"")</f>
        <v/>
      </c>
      <c r="B608" s="1242">
        <f t="shared" si="71"/>
        <v>9</v>
      </c>
      <c r="C608" s="929">
        <v>42998</v>
      </c>
      <c r="D608" s="929" t="s">
        <v>2127</v>
      </c>
      <c r="E608" s="929">
        <f t="shared" ref="E608:E609" si="75">C608</f>
        <v>42998</v>
      </c>
      <c r="F608" s="1082" t="s">
        <v>2125</v>
      </c>
      <c r="G608" s="931" t="s">
        <v>2123</v>
      </c>
      <c r="H608" s="1186" t="s">
        <v>2124</v>
      </c>
      <c r="I608" s="371"/>
      <c r="J608" s="377"/>
      <c r="K608" s="371">
        <v>15000</v>
      </c>
      <c r="L608" s="377">
        <v>22690</v>
      </c>
      <c r="M608" s="933">
        <f>K608*L608</f>
        <v>340350000</v>
      </c>
      <c r="N608" s="934" t="s">
        <v>278</v>
      </c>
      <c r="O608" s="934" t="s">
        <v>8</v>
      </c>
      <c r="P608" s="75" t="str">
        <f>IF(AND('331-CT'!$E$7=TH!H608,OR(N608="331",O608="331")),"x","")</f>
        <v/>
      </c>
      <c r="Q608" s="75" t="str">
        <f>IF(AND(B608='111'!$L$11,OR($N608=$Q$7,$O608=$Q$7)),"x","")</f>
        <v/>
      </c>
      <c r="R608" s="75" t="str">
        <f>IF(AND($N608=$Q$7,$B608&lt;'111'!$L$11),"x","")</f>
        <v/>
      </c>
      <c r="S608" s="75" t="str">
        <f>IF(AND($O608=$Q$7,$B608&lt;'111'!$L$11),"x","")</f>
        <v/>
      </c>
      <c r="T608" s="75" t="str">
        <f>IF(ISERROR(FIND('112'!$M$9,G608,1)),"",IF((AND(FIND('112'!$M$9,G608,1)&gt;=1,B608='112'!$K$9,OR($N608='112'!$I$6,$O608='112'!$I$6))),"x",""))</f>
        <v/>
      </c>
      <c r="U608" s="75" t="str">
        <f>IF(ISERROR(FIND('112'!$M$9,G608,1)),"",IF((AND(LEFT(G608,2)=LEFT('112'!$M$9,2),B608&lt;'112'!$K$9,$N608='112'!$I$6)),"x",""))</f>
        <v/>
      </c>
      <c r="V608" s="75" t="str">
        <f>IF(ISERROR(FIND('112'!$M$9,G608,1)),"",IF((AND(RIGHT(G608,2)=RIGHT('112'!$M$9,2),B608&lt;'112'!$K$9,$O608='112'!$I$6)),"x",""))</f>
        <v/>
      </c>
      <c r="W608" s="75" t="str">
        <f>IF(AND('341-CT'!$H$9=H608,OR(LEFT(N608,3)=$W$7,LEFT(O608,3)=$W$7)),"x","")</f>
        <v/>
      </c>
      <c r="X608" s="75" t="str">
        <f>IF(OR(TH!N608=TH!$X$7,O608=TH!$X$7),"x","")</f>
        <v/>
      </c>
      <c r="Y608" s="75" t="str">
        <f>IF(AND(OR(N608="131",O608="131"),H608='131-CT'!$H$9),"x","")</f>
        <v/>
      </c>
      <c r="Z608" s="75"/>
      <c r="AA608" s="75" t="str">
        <f>IF(AND(MONTH(E608)='IN-NX'!$J$5,'IN-NX'!$D$7=D608),"x","")</f>
        <v/>
      </c>
      <c r="AB608" s="75" t="str">
        <f>IF(AND(OR(LEFT(TH!N608,2)="15",LEFT(TH!O608,2)="15"),LEFT(TH!O608,3)&lt;&gt;"111",'152-CT'!$J$8=TH!F608),"x","")</f>
        <v/>
      </c>
      <c r="AC608" s="75" t="str">
        <f>IF(AND(OR(LEFT(TH!N608,2)="15",LEFT(TH!O608,2)="15"),TK!$E$7=TH!F608),"x","")</f>
        <v/>
      </c>
      <c r="AD608" s="75" t="str">
        <f>IF(AND(N608="1521",MONTH(C608)='BK-NL'!$M$11),"x","")</f>
        <v/>
      </c>
      <c r="AE608">
        <v>9</v>
      </c>
    </row>
    <row r="609" spans="1:31" ht="16.5" customHeight="1">
      <c r="A609" s="309" t="str">
        <f>IF(B609&lt;&gt;"",IF(AND(B609='IN-TC'!$S$4,OR(TH!N609="1111",TH!O609="1111")),TH!D609,""),"")</f>
        <v/>
      </c>
      <c r="B609" s="1242">
        <f t="shared" si="71"/>
        <v>9</v>
      </c>
      <c r="C609" s="929">
        <v>42998</v>
      </c>
      <c r="D609" s="929" t="s">
        <v>530</v>
      </c>
      <c r="E609" s="929">
        <f t="shared" si="75"/>
        <v>42998</v>
      </c>
      <c r="F609" s="1082" t="s">
        <v>2126</v>
      </c>
      <c r="G609" s="931" t="s">
        <v>2123</v>
      </c>
      <c r="H609" s="1186" t="s">
        <v>2124</v>
      </c>
      <c r="I609" s="371"/>
      <c r="J609" s="377"/>
      <c r="K609" s="371"/>
      <c r="L609" s="377"/>
      <c r="M609" s="933">
        <f>M608*10%</f>
        <v>34035000</v>
      </c>
      <c r="N609" s="934" t="s">
        <v>9</v>
      </c>
      <c r="O609" s="934" t="s">
        <v>748</v>
      </c>
      <c r="P609" s="75" t="str">
        <f>IF(AND('331-CT'!$E$7=TH!H609,OR(N609="331",O609="331")),"x","")</f>
        <v/>
      </c>
      <c r="Q609" s="75" t="str">
        <f>IF(AND(B609='111'!$L$11,OR($N609=$Q$7,$O609=$Q$7)),"x","")</f>
        <v/>
      </c>
      <c r="R609" s="75" t="str">
        <f>IF(AND($N609=$Q$7,$B609&lt;'111'!$L$11),"x","")</f>
        <v/>
      </c>
      <c r="S609" s="75" t="str">
        <f>IF(AND($O609=$Q$7,$B609&lt;'111'!$L$11),"x","")</f>
        <v/>
      </c>
      <c r="T609" s="75" t="str">
        <f>IF(ISERROR(FIND('112'!$M$9,G609,1)),"",IF((AND(FIND('112'!$M$9,G609,1)&gt;=1,B609='112'!$K$9,OR($N609='112'!$I$6,$O609='112'!$I$6))),"x",""))</f>
        <v/>
      </c>
      <c r="U609" s="75" t="str">
        <f>IF(ISERROR(FIND('112'!$M$9,G609,1)),"",IF((AND(LEFT(G609,2)=LEFT('112'!$M$9,2),B609&lt;'112'!$K$9,$N609='112'!$I$6)),"x",""))</f>
        <v/>
      </c>
      <c r="V609" s="75" t="str">
        <f>IF(ISERROR(FIND('112'!$M$9,G609,1)),"",IF((AND(RIGHT(G609,2)=RIGHT('112'!$M$9,2),B609&lt;'112'!$K$9,$O609='112'!$I$6)),"x",""))</f>
        <v/>
      </c>
      <c r="W609" s="75" t="str">
        <f>IF(AND('341-CT'!$H$9=H609,OR(LEFT(N609,3)=$W$7,LEFT(O609,3)=$W$7)),"x","")</f>
        <v/>
      </c>
      <c r="X609" s="75" t="str">
        <f>IF(OR(TH!N609=TH!$X$7,O609=TH!$X$7),"x","")</f>
        <v/>
      </c>
      <c r="Y609" s="75" t="str">
        <f>IF(AND(OR(N609="131",O609="131"),H609='131-CT'!$H$9),"x","")</f>
        <v/>
      </c>
      <c r="Z609" s="75"/>
      <c r="AA609" s="75" t="str">
        <f>IF(AND(MONTH(E609)='IN-NX'!$J$5,'IN-NX'!$D$7=D609),"x","")</f>
        <v/>
      </c>
      <c r="AB609" s="75" t="str">
        <f>IF(AND(OR(LEFT(TH!N609,2)="15",LEFT(TH!O609,2)="15"),LEFT(TH!O609,3)&lt;&gt;"111",'152-CT'!$J$8=TH!F609),"x","")</f>
        <v/>
      </c>
      <c r="AC609" s="75" t="str">
        <f>IF(AND(OR(LEFT(TH!N609,2)="15",LEFT(TH!O609,2)="15"),TK!$E$7=TH!F609),"x","")</f>
        <v/>
      </c>
      <c r="AD609" s="75" t="str">
        <f>IF(AND(N609="1521",MONTH(C609)='BK-NL'!$M$11),"x","")</f>
        <v/>
      </c>
      <c r="AE609">
        <v>9</v>
      </c>
    </row>
    <row r="610" spans="1:31" ht="16.5" customHeight="1">
      <c r="A610" s="309" t="str">
        <f>IF(B610&lt;&gt;"",IF(AND(B610='IN-TC'!$S$4,OR(TH!N610="1111",TH!O610="1111")),TH!D610,""),"")</f>
        <v/>
      </c>
      <c r="B610" s="1242">
        <f t="shared" si="71"/>
        <v>9</v>
      </c>
      <c r="C610" s="929">
        <v>42985</v>
      </c>
      <c r="D610" s="929" t="s">
        <v>530</v>
      </c>
      <c r="E610" s="929">
        <v>42985</v>
      </c>
      <c r="F610" s="930" t="s">
        <v>1192</v>
      </c>
      <c r="G610" s="931" t="s">
        <v>2037</v>
      </c>
      <c r="H610" s="73" t="s">
        <v>755</v>
      </c>
      <c r="I610" s="371"/>
      <c r="J610" s="932"/>
      <c r="K610" s="371"/>
      <c r="L610" s="377"/>
      <c r="M610" s="933">
        <v>8421200</v>
      </c>
      <c r="N610" s="934" t="s">
        <v>539</v>
      </c>
      <c r="O610" s="934" t="s">
        <v>8</v>
      </c>
      <c r="P610" s="75" t="str">
        <f>IF(AND('331-CT'!$E$7=TH!H610,OR(N610="331",O610="331")),"x","")</f>
        <v/>
      </c>
      <c r="Q610" s="75" t="str">
        <f>IF(AND(B610='111'!$L$11,OR($N610=$Q$7,$O610=$Q$7)),"x","")</f>
        <v/>
      </c>
      <c r="R610" s="75" t="str">
        <f>IF(AND($N610=$Q$7,$B610&lt;'111'!$L$11),"x","")</f>
        <v/>
      </c>
      <c r="S610" s="75" t="str">
        <f>IF(AND($O610=$Q$7,$B610&lt;'111'!$L$11),"x","")</f>
        <v/>
      </c>
      <c r="T610" s="75" t="str">
        <f>IF(ISERROR(FIND('112'!$M$9,G610,1)),"",IF((AND(FIND('112'!$M$9,G610,1)&gt;=1,B610='112'!$K$9,OR($N610='112'!$I$6,$O610='112'!$I$6))),"x",""))</f>
        <v/>
      </c>
      <c r="U610" s="75" t="str">
        <f>IF(ISERROR(FIND('112'!$M$9,G610,1)),"",IF((AND(LEFT(G610,2)=LEFT('112'!$M$9,2),B610&lt;'112'!$K$9,$N610='112'!$I$6)),"x",""))</f>
        <v/>
      </c>
      <c r="V610" s="75" t="str">
        <f>IF(ISERROR(FIND('112'!$M$9,G610,1)),"",IF((AND(RIGHT(G610,2)=RIGHT('112'!$M$9,2),B610&lt;'112'!$K$9,$O610='112'!$I$6)),"x",""))</f>
        <v/>
      </c>
      <c r="W610" s="75" t="str">
        <f>IF(AND('341-CT'!$H$9=H610,OR(LEFT(N610,3)=$W$7,LEFT(O610,3)=$W$7)),"x","")</f>
        <v/>
      </c>
      <c r="X610" s="75" t="str">
        <f>IF(OR(TH!N610=TH!$X$7,O610=TH!$X$7),"x","")</f>
        <v/>
      </c>
      <c r="Y610" s="75" t="str">
        <f>IF(AND(OR(N610="131",O610="131"),H610='131-CT'!$H$9),"x","")</f>
        <v/>
      </c>
      <c r="Z610" s="75"/>
      <c r="AA610" s="75" t="str">
        <f>IF(AND(MONTH(E610)='IN-NX'!$J$5,'IN-NX'!$D$7=D610),"x","")</f>
        <v/>
      </c>
      <c r="AB610" s="75" t="str">
        <f>IF(AND(OR(LEFT(TH!N610,2)="15",LEFT(TH!O610,2)="15"),LEFT(TH!O610,3)&lt;&gt;"111",'152-CT'!$J$8=TH!F610),"x","")</f>
        <v/>
      </c>
      <c r="AC610" s="75" t="str">
        <f>IF(AND(OR(LEFT(TH!N610,2)="15",LEFT(TH!O610,2)="15"),TK!$E$7=TH!F610),"x","")</f>
        <v/>
      </c>
      <c r="AD610" s="75" t="str">
        <f>IF(AND(N610="1521",MONTH(C610)='BK-NL'!$M$11),"x","")</f>
        <v/>
      </c>
    </row>
    <row r="611" spans="1:31" ht="16.5" customHeight="1">
      <c r="A611" s="309" t="str">
        <f>IF(B611&lt;&gt;"",IF(AND(B611='IN-TC'!$S$4,OR(TH!N611="1111",TH!O611="1111")),TH!D611,""),"")</f>
        <v/>
      </c>
      <c r="B611" s="1242">
        <f t="shared" si="71"/>
        <v>9</v>
      </c>
      <c r="C611" s="929">
        <v>42985</v>
      </c>
      <c r="D611" s="929" t="s">
        <v>530</v>
      </c>
      <c r="E611" s="929">
        <v>42985</v>
      </c>
      <c r="F611" s="930" t="s">
        <v>823</v>
      </c>
      <c r="G611" s="931" t="s">
        <v>2038</v>
      </c>
      <c r="H611" s="73" t="s">
        <v>755</v>
      </c>
      <c r="I611" s="371"/>
      <c r="J611" s="932"/>
      <c r="K611" s="371"/>
      <c r="L611" s="377"/>
      <c r="M611" s="933">
        <v>4182280</v>
      </c>
      <c r="N611" s="934" t="s">
        <v>539</v>
      </c>
      <c r="O611" s="934" t="s">
        <v>8</v>
      </c>
      <c r="P611" s="75" t="str">
        <f>IF(AND('331-CT'!$E$7=TH!H611,OR(N611="331",O611="331")),"x","")</f>
        <v/>
      </c>
      <c r="Q611" s="75" t="str">
        <f>IF(AND(B611='111'!$L$11,OR($N611=$Q$7,$O611=$Q$7)),"x","")</f>
        <v/>
      </c>
      <c r="R611" s="75" t="str">
        <f>IF(AND($N611=$Q$7,$B611&lt;'111'!$L$11),"x","")</f>
        <v/>
      </c>
      <c r="S611" s="75" t="str">
        <f>IF(AND($O611=$Q$7,$B611&lt;'111'!$L$11),"x","")</f>
        <v/>
      </c>
      <c r="T611" s="75" t="str">
        <f>IF(ISERROR(FIND('112'!$M$9,G611,1)),"",IF((AND(FIND('112'!$M$9,G611,1)&gt;=1,B611='112'!$K$9,OR($N611='112'!$I$6,$O611='112'!$I$6))),"x",""))</f>
        <v/>
      </c>
      <c r="U611" s="75" t="str">
        <f>IF(ISERROR(FIND('112'!$M$9,G611,1)),"",IF((AND(LEFT(G611,2)=LEFT('112'!$M$9,2),B611&lt;'112'!$K$9,$N611='112'!$I$6)),"x",""))</f>
        <v/>
      </c>
      <c r="V611" s="75" t="str">
        <f>IF(ISERROR(FIND('112'!$M$9,G611,1)),"",IF((AND(RIGHT(G611,2)=RIGHT('112'!$M$9,2),B611&lt;'112'!$K$9,$O611='112'!$I$6)),"x",""))</f>
        <v/>
      </c>
      <c r="W611" s="75" t="str">
        <f>IF(AND('341-CT'!$H$9=H611,OR(LEFT(N611,3)=$W$7,LEFT(O611,3)=$W$7)),"x","")</f>
        <v/>
      </c>
      <c r="X611" s="75" t="str">
        <f>IF(OR(TH!N611=TH!$X$7,O611=TH!$X$7),"x","")</f>
        <v/>
      </c>
      <c r="Y611" s="75" t="str">
        <f>IF(AND(OR(N611="131",O611="131"),H611='131-CT'!$H$9),"x","")</f>
        <v/>
      </c>
      <c r="Z611" s="75"/>
      <c r="AA611" s="75" t="str">
        <f>IF(AND(MONTH(E611)='IN-NX'!$J$5,'IN-NX'!$D$7=D611),"x","")</f>
        <v/>
      </c>
      <c r="AB611" s="75" t="str">
        <f>IF(AND(OR(LEFT(TH!N611,2)="15",LEFT(TH!O611,2)="15"),LEFT(TH!O611,3)&lt;&gt;"111",'152-CT'!$J$8=TH!F611),"x","")</f>
        <v/>
      </c>
      <c r="AC611" s="75" t="str">
        <f>IF(AND(OR(LEFT(TH!N611,2)="15",LEFT(TH!O611,2)="15"),TK!$E$7=TH!F611),"x","")</f>
        <v/>
      </c>
      <c r="AD611" s="75" t="str">
        <f>IF(AND(N611="1521",MONTH(C611)='BK-NL'!$M$11),"x","")</f>
        <v/>
      </c>
      <c r="AE611">
        <v>9</v>
      </c>
    </row>
    <row r="612" spans="1:31" ht="16.5" customHeight="1">
      <c r="A612" s="309" t="str">
        <f>IF(B612&lt;&gt;"",IF(AND(B612='IN-TC'!$S$4,OR(TH!N612="1111",TH!O612="1111")),TH!D612,""),"")</f>
        <v/>
      </c>
      <c r="B612" s="1242">
        <f t="shared" si="71"/>
        <v>9</v>
      </c>
      <c r="C612" s="929">
        <v>42985</v>
      </c>
      <c r="D612" s="929" t="s">
        <v>530</v>
      </c>
      <c r="E612" s="929">
        <v>42985</v>
      </c>
      <c r="F612" s="930" t="s">
        <v>824</v>
      </c>
      <c r="G612" s="931" t="s">
        <v>2038</v>
      </c>
      <c r="H612" s="73" t="s">
        <v>755</v>
      </c>
      <c r="I612" s="371"/>
      <c r="J612" s="932"/>
      <c r="K612" s="371"/>
      <c r="L612" s="377"/>
      <c r="M612" s="933">
        <v>418228</v>
      </c>
      <c r="N612" s="934" t="s">
        <v>9</v>
      </c>
      <c r="O612" s="934" t="s">
        <v>8</v>
      </c>
      <c r="P612" s="75" t="str">
        <f>IF(AND('331-CT'!$E$7=TH!H612,OR(N612="331",O612="331")),"x","")</f>
        <v/>
      </c>
      <c r="Q612" s="75" t="str">
        <f>IF(AND(B612='111'!$L$11,OR($N612=$Q$7,$O612=$Q$7)),"x","")</f>
        <v/>
      </c>
      <c r="R612" s="75" t="str">
        <f>IF(AND($N612=$Q$7,$B612&lt;'111'!$L$11),"x","")</f>
        <v/>
      </c>
      <c r="S612" s="75" t="str">
        <f>IF(AND($O612=$Q$7,$B612&lt;'111'!$L$11),"x","")</f>
        <v/>
      </c>
      <c r="T612" s="75" t="str">
        <f>IF(ISERROR(FIND('112'!$M$9,G612,1)),"",IF((AND(FIND('112'!$M$9,G612,1)&gt;=1,B612='112'!$K$9,OR($N612='112'!$I$6,$O612='112'!$I$6))),"x",""))</f>
        <v/>
      </c>
      <c r="U612" s="75" t="str">
        <f>IF(ISERROR(FIND('112'!$M$9,G612,1)),"",IF((AND(LEFT(G612,2)=LEFT('112'!$M$9,2),B612&lt;'112'!$K$9,$N612='112'!$I$6)),"x",""))</f>
        <v/>
      </c>
      <c r="V612" s="75" t="str">
        <f>IF(ISERROR(FIND('112'!$M$9,G612,1)),"",IF((AND(RIGHT(G612,2)=RIGHT('112'!$M$9,2),B612&lt;'112'!$K$9,$O612='112'!$I$6)),"x",""))</f>
        <v/>
      </c>
      <c r="W612" s="75" t="str">
        <f>IF(AND('341-CT'!$H$9=H612,OR(LEFT(N612,3)=$W$7,LEFT(O612,3)=$W$7)),"x","")</f>
        <v/>
      </c>
      <c r="X612" s="75" t="str">
        <f>IF(OR(TH!N612=TH!$X$7,O612=TH!$X$7),"x","")</f>
        <v/>
      </c>
      <c r="Y612" s="75" t="str">
        <f>IF(AND(OR(N612="131",O612="131"),H612='131-CT'!$H$9),"x","")</f>
        <v/>
      </c>
      <c r="Z612" s="75"/>
      <c r="AA612" s="75" t="str">
        <f>IF(AND(MONTH(E612)='IN-NX'!$J$5,'IN-NX'!$D$7=D612),"x","")</f>
        <v/>
      </c>
      <c r="AB612" s="75" t="str">
        <f>IF(AND(OR(LEFT(TH!N612,2)="15",LEFT(TH!O612,2)="15"),LEFT(TH!O612,3)&lt;&gt;"111",'152-CT'!$J$8=TH!F612),"x","")</f>
        <v/>
      </c>
      <c r="AC612" s="75" t="str">
        <f>IF(AND(OR(LEFT(TH!N612,2)="15",LEFT(TH!O612,2)="15"),TK!$E$7=TH!F612),"x","")</f>
        <v/>
      </c>
      <c r="AD612" s="75" t="str">
        <f>IF(AND(N612="1521",MONTH(C612)='BK-NL'!$M$11),"x","")</f>
        <v/>
      </c>
      <c r="AE612">
        <v>9</v>
      </c>
    </row>
    <row r="613" spans="1:31" ht="16.5" customHeight="1">
      <c r="A613" s="309" t="str">
        <f>IF(B613&lt;&gt;"",IF(AND(B613='IN-TC'!$S$4,OR(TH!N613="1111",TH!O613="1111")),TH!D613,""),"")</f>
        <v/>
      </c>
      <c r="B613" s="1242">
        <f t="shared" si="71"/>
        <v>9</v>
      </c>
      <c r="C613" s="929">
        <v>42979</v>
      </c>
      <c r="D613" s="929" t="s">
        <v>530</v>
      </c>
      <c r="E613" s="929">
        <f>C613</f>
        <v>42979</v>
      </c>
      <c r="F613" s="930" t="s">
        <v>869</v>
      </c>
      <c r="G613" s="931" t="s">
        <v>2113</v>
      </c>
      <c r="H613" s="296" t="s">
        <v>561</v>
      </c>
      <c r="I613" s="371"/>
      <c r="J613" s="932"/>
      <c r="K613" s="371"/>
      <c r="L613" s="377"/>
      <c r="M613" s="933">
        <v>4825000</v>
      </c>
      <c r="N613" s="934" t="s">
        <v>539</v>
      </c>
      <c r="O613" s="934" t="s">
        <v>8</v>
      </c>
      <c r="P613" s="75" t="str">
        <f>IF(AND('331-CT'!$E$7=TH!H613,OR(N613="331",O613="331")),"x","")</f>
        <v/>
      </c>
      <c r="Q613" s="75" t="str">
        <f>IF(AND(B613='111'!$L$11,OR($N613=$Q$7,$O613=$Q$7)),"x","")</f>
        <v/>
      </c>
      <c r="R613" s="75" t="str">
        <f>IF(AND($N613=$Q$7,$B613&lt;'111'!$L$11),"x","")</f>
        <v/>
      </c>
      <c r="S613" s="75" t="str">
        <f>IF(AND($O613=$Q$7,$B613&lt;'111'!$L$11),"x","")</f>
        <v/>
      </c>
      <c r="T613" s="75" t="str">
        <f>IF(ISERROR(FIND('112'!$M$9,G613,1)),"",IF((AND(FIND('112'!$M$9,G613,1)&gt;=1,B613='112'!$K$9,OR($N613='112'!$I$6,$O613='112'!$I$6))),"x",""))</f>
        <v/>
      </c>
      <c r="U613" s="75" t="str">
        <f>IF(ISERROR(FIND('112'!$M$9,G613,1)),"",IF((AND(LEFT(G613,2)=LEFT('112'!$M$9,2),B613&lt;'112'!$K$9,$N613='112'!$I$6)),"x",""))</f>
        <v/>
      </c>
      <c r="V613" s="75" t="str">
        <f>IF(ISERROR(FIND('112'!$M$9,G613,1)),"",IF((AND(RIGHT(G613,2)=RIGHT('112'!$M$9,2),B613&lt;'112'!$K$9,$O613='112'!$I$6)),"x",""))</f>
        <v/>
      </c>
      <c r="W613" s="75" t="str">
        <f>IF(AND('341-CT'!$H$9=H613,OR(LEFT(N613,3)=$W$7,LEFT(O613,3)=$W$7)),"x","")</f>
        <v/>
      </c>
      <c r="X613" s="75" t="str">
        <f>IF(OR(TH!N613=TH!$X$7,O613=TH!$X$7),"x","")</f>
        <v/>
      </c>
      <c r="Y613" s="75" t="str">
        <f>IF(AND(OR(N613="131",O613="131"),H613='131-CT'!$H$9),"x","")</f>
        <v/>
      </c>
      <c r="Z613" s="75"/>
      <c r="AA613" s="75" t="str">
        <f>IF(AND(MONTH(E613)='IN-NX'!$J$5,'IN-NX'!$D$7=D613),"x","")</f>
        <v/>
      </c>
      <c r="AB613" s="75" t="str">
        <f>IF(AND(OR(LEFT(TH!N613,2)="15",LEFT(TH!O613,2)="15"),LEFT(TH!O613,3)&lt;&gt;"111",'152-CT'!$J$8=TH!F613),"x","")</f>
        <v/>
      </c>
      <c r="AC613" s="75" t="str">
        <f>IF(AND(OR(LEFT(TH!N613,2)="15",LEFT(TH!O613,2)="15"),TK!$E$7=TH!F613),"x","")</f>
        <v/>
      </c>
      <c r="AD613" s="75" t="str">
        <f>IF(AND(N613="1521",MONTH(C613)='BK-NL'!$M$11),"x","")</f>
        <v/>
      </c>
    </row>
    <row r="614" spans="1:31" ht="16.5" customHeight="1">
      <c r="A614" s="309" t="str">
        <f>IF(B614&lt;&gt;"",IF(AND(B614='IN-TC'!$S$4,OR(TH!N614="1111",TH!O614="1111")),TH!D614,""),"")</f>
        <v/>
      </c>
      <c r="B614" s="1242">
        <f t="shared" si="71"/>
        <v>9</v>
      </c>
      <c r="C614" s="929">
        <v>42985</v>
      </c>
      <c r="D614" s="929" t="s">
        <v>530</v>
      </c>
      <c r="E614" s="929">
        <f>C614</f>
        <v>42985</v>
      </c>
      <c r="F614" s="930" t="s">
        <v>869</v>
      </c>
      <c r="G614" s="931" t="s">
        <v>2114</v>
      </c>
      <c r="H614" s="296" t="s">
        <v>561</v>
      </c>
      <c r="I614" s="371"/>
      <c r="J614" s="932"/>
      <c r="K614" s="371"/>
      <c r="L614" s="377"/>
      <c r="M614" s="933">
        <v>1100000</v>
      </c>
      <c r="N614" s="934" t="s">
        <v>539</v>
      </c>
      <c r="O614" s="934" t="s">
        <v>8</v>
      </c>
      <c r="P614" s="75" t="str">
        <f>IF(AND('331-CT'!$E$7=TH!H614,OR(N614="331",O614="331")),"x","")</f>
        <v/>
      </c>
      <c r="Q614" s="75" t="str">
        <f>IF(AND(B614='111'!$L$11,OR($N614=$Q$7,$O614=$Q$7)),"x","")</f>
        <v/>
      </c>
      <c r="R614" s="75" t="str">
        <f>IF(AND($N614=$Q$7,$B614&lt;'111'!$L$11),"x","")</f>
        <v/>
      </c>
      <c r="S614" s="75" t="str">
        <f>IF(AND($O614=$Q$7,$B614&lt;'111'!$L$11),"x","")</f>
        <v/>
      </c>
      <c r="T614" s="75" t="str">
        <f>IF(ISERROR(FIND('112'!$M$9,G614,1)),"",IF((AND(FIND('112'!$M$9,G614,1)&gt;=1,B614='112'!$K$9,OR($N614='112'!$I$6,$O614='112'!$I$6))),"x",""))</f>
        <v/>
      </c>
      <c r="U614" s="75" t="str">
        <f>IF(ISERROR(FIND('112'!$M$9,G614,1)),"",IF((AND(LEFT(G614,2)=LEFT('112'!$M$9,2),B614&lt;'112'!$K$9,$N614='112'!$I$6)),"x",""))</f>
        <v/>
      </c>
      <c r="V614" s="75" t="str">
        <f>IF(ISERROR(FIND('112'!$M$9,G614,1)),"",IF((AND(RIGHT(G614,2)=RIGHT('112'!$M$9,2),B614&lt;'112'!$K$9,$O614='112'!$I$6)),"x",""))</f>
        <v/>
      </c>
      <c r="W614" s="75" t="str">
        <f>IF(AND('341-CT'!$H$9=H614,OR(LEFT(N614,3)=$W$7,LEFT(O614,3)=$W$7)),"x","")</f>
        <v/>
      </c>
      <c r="X614" s="75" t="str">
        <f>IF(OR(TH!N614=TH!$X$7,O614=TH!$X$7),"x","")</f>
        <v/>
      </c>
      <c r="Y614" s="75" t="str">
        <f>IF(AND(OR(N614="131",O614="131"),H614='131-CT'!$H$9),"x","")</f>
        <v/>
      </c>
      <c r="Z614" s="75"/>
      <c r="AA614" s="75" t="str">
        <f>IF(AND(MONTH(E614)='IN-NX'!$J$5,'IN-NX'!$D$7=D614),"x","")</f>
        <v/>
      </c>
      <c r="AB614" s="75" t="str">
        <f>IF(AND(OR(LEFT(TH!N614,2)="15",LEFT(TH!O614,2)="15"),LEFT(TH!O614,3)&lt;&gt;"111",'152-CT'!$J$8=TH!F614),"x","")</f>
        <v/>
      </c>
      <c r="AC614" s="75" t="str">
        <f>IF(AND(OR(LEFT(TH!N614,2)="15",LEFT(TH!O614,2)="15"),TK!$E$7=TH!F614),"x","")</f>
        <v/>
      </c>
      <c r="AD614" s="75" t="str">
        <f>IF(AND(N614="1521",MONTH(C614)='BK-NL'!$M$11),"x","")</f>
        <v/>
      </c>
    </row>
    <row r="615" spans="1:31" ht="16.5" customHeight="1">
      <c r="A615" s="309" t="str">
        <f>IF(B615&lt;&gt;"",IF(AND(B615='IN-TC'!$S$4,OR(TH!N615="1111",TH!O615="1111")),TH!D615,""),"")</f>
        <v/>
      </c>
      <c r="B615" s="1242">
        <f t="shared" ref="B615:B616" si="76">IF(C615&lt;&gt;"",MONTH(C615),"")</f>
        <v>9</v>
      </c>
      <c r="C615" s="929">
        <v>43004</v>
      </c>
      <c r="D615" s="929" t="s">
        <v>530</v>
      </c>
      <c r="E615" s="929">
        <f>C615</f>
        <v>43004</v>
      </c>
      <c r="F615" s="930" t="s">
        <v>869</v>
      </c>
      <c r="G615" s="931" t="s">
        <v>2227</v>
      </c>
      <c r="H615" s="296" t="s">
        <v>561</v>
      </c>
      <c r="I615" s="371"/>
      <c r="J615" s="932"/>
      <c r="K615" s="371"/>
      <c r="L615" s="377"/>
      <c r="M615" s="933">
        <v>700000</v>
      </c>
      <c r="N615" s="934" t="s">
        <v>539</v>
      </c>
      <c r="O615" s="934" t="s">
        <v>8</v>
      </c>
      <c r="P615" s="75" t="str">
        <f>IF(AND('331-CT'!$E$7=TH!H615,OR(N615="331",O615="331")),"x","")</f>
        <v/>
      </c>
      <c r="Q615" s="75" t="str">
        <f>IF(AND(B615='111'!$L$11,OR($N615=$Q$7,$O615=$Q$7)),"x","")</f>
        <v/>
      </c>
      <c r="R615" s="75" t="str">
        <f>IF(AND($N615=$Q$7,$B615&lt;'111'!$L$11),"x","")</f>
        <v/>
      </c>
      <c r="S615" s="75" t="str">
        <f>IF(AND($O615=$Q$7,$B615&lt;'111'!$L$11),"x","")</f>
        <v/>
      </c>
      <c r="T615" s="75" t="str">
        <f>IF(ISERROR(FIND('112'!$M$9,G615,1)),"",IF((AND(FIND('112'!$M$9,G615,1)&gt;=1,B615='112'!$K$9,OR($N615='112'!$I$6,$O615='112'!$I$6))),"x",""))</f>
        <v/>
      </c>
      <c r="U615" s="75" t="str">
        <f>IF(ISERROR(FIND('112'!$M$9,G615,1)),"",IF((AND(LEFT(G615,2)=LEFT('112'!$M$9,2),B615&lt;'112'!$K$9,$N615='112'!$I$6)),"x",""))</f>
        <v/>
      </c>
      <c r="V615" s="75" t="str">
        <f>IF(ISERROR(FIND('112'!$M$9,G615,1)),"",IF((AND(RIGHT(G615,2)=RIGHT('112'!$M$9,2),B615&lt;'112'!$K$9,$O615='112'!$I$6)),"x",""))</f>
        <v/>
      </c>
      <c r="W615" s="75" t="str">
        <f>IF(AND('341-CT'!$H$9=H615,OR(LEFT(N615,3)=$W$7,LEFT(O615,3)=$W$7)),"x","")</f>
        <v/>
      </c>
      <c r="X615" s="75" t="str">
        <f>IF(OR(TH!N615=TH!$X$7,O615=TH!$X$7),"x","")</f>
        <v/>
      </c>
      <c r="Y615" s="75" t="str">
        <f>IF(AND(OR(N615="131",O615="131"),H615='131-CT'!$H$9),"x","")</f>
        <v/>
      </c>
      <c r="Z615" s="75"/>
      <c r="AA615" s="75" t="str">
        <f>IF(AND(MONTH(E615)='IN-NX'!$J$5,'IN-NX'!$D$7=D615),"x","")</f>
        <v/>
      </c>
      <c r="AB615" s="75" t="str">
        <f>IF(AND(OR(LEFT(TH!N615,2)="15",LEFT(TH!O615,2)="15"),LEFT(TH!O615,3)&lt;&gt;"111",'152-CT'!$J$8=TH!F615),"x","")</f>
        <v/>
      </c>
      <c r="AC615" s="75" t="str">
        <f>IF(AND(OR(LEFT(TH!N615,2)="15",LEFT(TH!O615,2)="15"),TK!$E$7=TH!F615),"x","")</f>
        <v/>
      </c>
      <c r="AD615" s="75" t="str">
        <f>IF(AND(N615="1521",MONTH(C615)='BK-NL'!$M$11),"x","")</f>
        <v/>
      </c>
    </row>
    <row r="616" spans="1:31" ht="16.5" customHeight="1">
      <c r="A616" s="309" t="str">
        <f>IF(B616&lt;&gt;"",IF(AND(B616='IN-TC'!$S$4,OR(TH!N616="1111",TH!O616="1111")),TH!D616,""),"")</f>
        <v/>
      </c>
      <c r="B616" s="1242">
        <f t="shared" si="76"/>
        <v>9</v>
      </c>
      <c r="C616" s="929">
        <v>43006</v>
      </c>
      <c r="D616" s="929" t="s">
        <v>530</v>
      </c>
      <c r="E616" s="929">
        <f>C616</f>
        <v>43006</v>
      </c>
      <c r="F616" s="930" t="s">
        <v>869</v>
      </c>
      <c r="G616" s="931" t="s">
        <v>2228</v>
      </c>
      <c r="H616" s="296" t="s">
        <v>561</v>
      </c>
      <c r="I616" s="371"/>
      <c r="J616" s="932"/>
      <c r="K616" s="371"/>
      <c r="L616" s="377"/>
      <c r="M616" s="933">
        <v>1200000</v>
      </c>
      <c r="N616" s="934" t="s">
        <v>539</v>
      </c>
      <c r="O616" s="934" t="s">
        <v>8</v>
      </c>
      <c r="P616" s="75" t="str">
        <f>IF(AND('331-CT'!$E$7=TH!H616,OR(N616="331",O616="331")),"x","")</f>
        <v/>
      </c>
      <c r="Q616" s="75" t="str">
        <f>IF(AND(B616='111'!$L$11,OR($N616=$Q$7,$O616=$Q$7)),"x","")</f>
        <v/>
      </c>
      <c r="R616" s="75" t="str">
        <f>IF(AND($N616=$Q$7,$B616&lt;'111'!$L$11),"x","")</f>
        <v/>
      </c>
      <c r="S616" s="75" t="str">
        <f>IF(AND($O616=$Q$7,$B616&lt;'111'!$L$11),"x","")</f>
        <v/>
      </c>
      <c r="T616" s="75" t="str">
        <f>IF(ISERROR(FIND('112'!$M$9,G616,1)),"",IF((AND(FIND('112'!$M$9,G616,1)&gt;=1,B616='112'!$K$9,OR($N616='112'!$I$6,$O616='112'!$I$6))),"x",""))</f>
        <v/>
      </c>
      <c r="U616" s="75" t="str">
        <f>IF(ISERROR(FIND('112'!$M$9,G616,1)),"",IF((AND(LEFT(G616,2)=LEFT('112'!$M$9,2),B616&lt;'112'!$K$9,$N616='112'!$I$6)),"x",""))</f>
        <v/>
      </c>
      <c r="V616" s="75" t="str">
        <f>IF(ISERROR(FIND('112'!$M$9,G616,1)),"",IF((AND(RIGHT(G616,2)=RIGHT('112'!$M$9,2),B616&lt;'112'!$K$9,$O616='112'!$I$6)),"x",""))</f>
        <v/>
      </c>
      <c r="W616" s="75" t="str">
        <f>IF(AND('341-CT'!$H$9=H616,OR(LEFT(N616,3)=$W$7,LEFT(O616,3)=$W$7)),"x","")</f>
        <v/>
      </c>
      <c r="X616" s="75" t="str">
        <f>IF(OR(TH!N616=TH!$X$7,O616=TH!$X$7),"x","")</f>
        <v/>
      </c>
      <c r="Y616" s="75" t="str">
        <f>IF(AND(OR(N616="131",O616="131"),H616='131-CT'!$H$9),"x","")</f>
        <v/>
      </c>
      <c r="Z616" s="75"/>
      <c r="AA616" s="75" t="str">
        <f>IF(AND(MONTH(E616)='IN-NX'!$J$5,'IN-NX'!$D$7=D616),"x","")</f>
        <v/>
      </c>
      <c r="AB616" s="75" t="str">
        <f>IF(AND(OR(LEFT(TH!N616,2)="15",LEFT(TH!O616,2)="15"),LEFT(TH!O616,3)&lt;&gt;"111",'152-CT'!$J$8=TH!F616),"x","")</f>
        <v/>
      </c>
      <c r="AC616" s="75" t="str">
        <f>IF(AND(OR(LEFT(TH!N616,2)="15",LEFT(TH!O616,2)="15"),TK!$E$7=TH!F616),"x","")</f>
        <v/>
      </c>
      <c r="AD616" s="75" t="str">
        <f>IF(AND(N616="1521",MONTH(C616)='BK-NL'!$M$11),"x","")</f>
        <v/>
      </c>
    </row>
    <row r="617" spans="1:31" ht="16.5" customHeight="1">
      <c r="A617" s="309" t="str">
        <f>IF(B617&lt;&gt;"",IF(AND(B617='IN-TC'!$S$4,OR(TH!N617="1111",TH!O617="1111")),TH!D617,""),"")</f>
        <v/>
      </c>
      <c r="B617" s="1242">
        <f t="shared" si="71"/>
        <v>9</v>
      </c>
      <c r="C617" s="929">
        <v>42997</v>
      </c>
      <c r="D617" s="929" t="s">
        <v>530</v>
      </c>
      <c r="E617" s="929">
        <v>42997</v>
      </c>
      <c r="F617" s="930" t="s">
        <v>1108</v>
      </c>
      <c r="G617" s="931" t="s">
        <v>2171</v>
      </c>
      <c r="H617" s="735" t="s">
        <v>562</v>
      </c>
      <c r="I617" s="371"/>
      <c r="J617" s="932"/>
      <c r="K617" s="371"/>
      <c r="L617" s="377"/>
      <c r="M617" s="933">
        <v>3000000</v>
      </c>
      <c r="N617" s="934" t="s">
        <v>539</v>
      </c>
      <c r="O617" s="934" t="s">
        <v>8</v>
      </c>
      <c r="P617" s="75" t="str">
        <f>IF(AND('331-CT'!$E$7=TH!H617,OR(N617="331",O617="331")),"x","")</f>
        <v/>
      </c>
      <c r="Q617" s="75" t="str">
        <f>IF(AND(B617='111'!$L$11,OR($N617=$Q$7,$O617=$Q$7)),"x","")</f>
        <v/>
      </c>
      <c r="R617" s="75" t="str">
        <f>IF(AND($N617=$Q$7,$B617&lt;'111'!$L$11),"x","")</f>
        <v/>
      </c>
      <c r="S617" s="75" t="str">
        <f>IF(AND($O617=$Q$7,$B617&lt;'111'!$L$11),"x","")</f>
        <v/>
      </c>
      <c r="T617" s="75" t="str">
        <f>IF(ISERROR(FIND('112'!$M$9,G617,1)),"",IF((AND(FIND('112'!$M$9,G617,1)&gt;=1,B617='112'!$K$9,OR($N617='112'!$I$6,$O617='112'!$I$6))),"x",""))</f>
        <v/>
      </c>
      <c r="U617" s="75" t="str">
        <f>IF(ISERROR(FIND('112'!$M$9,G617,1)),"",IF((AND(LEFT(G617,2)=LEFT('112'!$M$9,2),B617&lt;'112'!$K$9,$N617='112'!$I$6)),"x",""))</f>
        <v/>
      </c>
      <c r="V617" s="75" t="str">
        <f>IF(ISERROR(FIND('112'!$M$9,G617,1)),"",IF((AND(RIGHT(G617,2)=RIGHT('112'!$M$9,2),B617&lt;'112'!$K$9,$O617='112'!$I$6)),"x",""))</f>
        <v/>
      </c>
      <c r="W617" s="75" t="str">
        <f>IF(AND('341-CT'!$H$9=H617,OR(LEFT(N617,3)=$W$7,LEFT(O617,3)=$W$7)),"x","")</f>
        <v/>
      </c>
      <c r="X617" s="75" t="str">
        <f>IF(OR(TH!N617=TH!$X$7,O617=TH!$X$7),"x","")</f>
        <v/>
      </c>
      <c r="Y617" s="75" t="str">
        <f>IF(AND(OR(N617="131",O617="131"),H617='131-CT'!$H$9),"x","")</f>
        <v/>
      </c>
      <c r="Z617" s="75"/>
      <c r="AA617" s="75" t="str">
        <f>IF(AND(MONTH(E617)='IN-NX'!$J$5,'IN-NX'!$D$7=D617),"x","")</f>
        <v/>
      </c>
      <c r="AB617" s="75" t="str">
        <f>IF(AND(OR(LEFT(TH!N617,2)="15",LEFT(TH!O617,2)="15"),LEFT(TH!O617,3)&lt;&gt;"111",'152-CT'!$J$8=TH!F617),"x","")</f>
        <v/>
      </c>
      <c r="AC617" s="75" t="str">
        <f>IF(AND(OR(LEFT(TH!N617,2)="15",LEFT(TH!O617,2)="15"),TK!$E$7=TH!F617),"x","")</f>
        <v/>
      </c>
      <c r="AD617" s="75" t="str">
        <f>IF(AND(N617="1521",MONTH(C617)='BK-NL'!$M$11),"x","")</f>
        <v/>
      </c>
      <c r="AE617">
        <v>9</v>
      </c>
    </row>
    <row r="618" spans="1:31" ht="16.5" customHeight="1">
      <c r="A618" s="309" t="str">
        <f>IF(B618&lt;&gt;"",IF(AND(B618='IN-TC'!$S$4,OR(TH!N618="1111",TH!O618="1111")),TH!D618,""),"")</f>
        <v/>
      </c>
      <c r="B618" s="1242">
        <f t="shared" si="71"/>
        <v>9</v>
      </c>
      <c r="C618" s="929">
        <v>42997</v>
      </c>
      <c r="D618" s="929" t="s">
        <v>530</v>
      </c>
      <c r="E618" s="929">
        <v>42997</v>
      </c>
      <c r="F618" s="930" t="s">
        <v>1109</v>
      </c>
      <c r="G618" s="931" t="s">
        <v>2171</v>
      </c>
      <c r="H618" s="735" t="s">
        <v>562</v>
      </c>
      <c r="I618" s="371"/>
      <c r="J618" s="932"/>
      <c r="K618" s="371"/>
      <c r="L618" s="377"/>
      <c r="M618" s="933">
        <v>300000</v>
      </c>
      <c r="N618" s="934" t="s">
        <v>9</v>
      </c>
      <c r="O618" s="934" t="s">
        <v>8</v>
      </c>
      <c r="P618" s="75" t="str">
        <f>IF(AND('331-CT'!$E$7=TH!H618,OR(N618="331",O618="331")),"x","")</f>
        <v/>
      </c>
      <c r="Q618" s="75" t="str">
        <f>IF(AND(B618='111'!$L$11,OR($N618=$Q$7,$O618=$Q$7)),"x","")</f>
        <v/>
      </c>
      <c r="R618" s="75" t="str">
        <f>IF(AND($N618=$Q$7,$B618&lt;'111'!$L$11),"x","")</f>
        <v/>
      </c>
      <c r="S618" s="75" t="str">
        <f>IF(AND($O618=$Q$7,$B618&lt;'111'!$L$11),"x","")</f>
        <v/>
      </c>
      <c r="T618" s="75" t="str">
        <f>IF(ISERROR(FIND('112'!$M$9,G618,1)),"",IF((AND(FIND('112'!$M$9,G618,1)&gt;=1,B618='112'!$K$9,OR($N618='112'!$I$6,$O618='112'!$I$6))),"x",""))</f>
        <v/>
      </c>
      <c r="U618" s="75" t="str">
        <f>IF(ISERROR(FIND('112'!$M$9,G618,1)),"",IF((AND(LEFT(G618,2)=LEFT('112'!$M$9,2),B618&lt;'112'!$K$9,$N618='112'!$I$6)),"x",""))</f>
        <v/>
      </c>
      <c r="V618" s="75" t="str">
        <f>IF(ISERROR(FIND('112'!$M$9,G618,1)),"",IF((AND(RIGHT(G618,2)=RIGHT('112'!$M$9,2),B618&lt;'112'!$K$9,$O618='112'!$I$6)),"x",""))</f>
        <v/>
      </c>
      <c r="W618" s="75" t="str">
        <f>IF(AND('341-CT'!$H$9=H618,OR(LEFT(N618,3)=$W$7,LEFT(O618,3)=$W$7)),"x","")</f>
        <v/>
      </c>
      <c r="X618" s="75" t="str">
        <f>IF(OR(TH!N618=TH!$X$7,O618=TH!$X$7),"x","")</f>
        <v/>
      </c>
      <c r="Y618" s="75" t="str">
        <f>IF(AND(OR(N618="131",O618="131"),H618='131-CT'!$H$9),"x","")</f>
        <v/>
      </c>
      <c r="Z618" s="75"/>
      <c r="AA618" s="75" t="str">
        <f>IF(AND(MONTH(E618)='IN-NX'!$J$5,'IN-NX'!$D$7=D618),"x","")</f>
        <v/>
      </c>
      <c r="AB618" s="75" t="str">
        <f>IF(AND(OR(LEFT(TH!N618,2)="15",LEFT(TH!O618,2)="15"),LEFT(TH!O618,3)&lt;&gt;"111",'152-CT'!$J$8=TH!F618),"x","")</f>
        <v/>
      </c>
      <c r="AC618" s="75" t="str">
        <f>IF(AND(OR(LEFT(TH!N618,2)="15",LEFT(TH!O618,2)="15"),TK!$E$7=TH!F618),"x","")</f>
        <v/>
      </c>
      <c r="AD618" s="75" t="str">
        <f>IF(AND(N618="1521",MONTH(C618)='BK-NL'!$M$11),"x","")</f>
        <v/>
      </c>
      <c r="AE618">
        <v>9</v>
      </c>
    </row>
    <row r="619" spans="1:31" ht="16.5" customHeight="1">
      <c r="A619" s="309" t="str">
        <f>IF(B619&lt;&gt;"",IF(AND(B619='IN-TC'!$S$4,OR(TH!N619="1111",TH!O619="1111")),TH!D619,""),"")</f>
        <v/>
      </c>
      <c r="B619" s="1242">
        <f t="shared" ref="B619:B620" si="77">IF(C619&lt;&gt;"",MONTH(C619),"")</f>
        <v>9</v>
      </c>
      <c r="C619" s="929">
        <v>43005</v>
      </c>
      <c r="D619" s="929" t="s">
        <v>530</v>
      </c>
      <c r="E619" s="929">
        <v>43005</v>
      </c>
      <c r="F619" s="930" t="s">
        <v>1108</v>
      </c>
      <c r="G619" s="931" t="s">
        <v>2202</v>
      </c>
      <c r="H619" s="735" t="s">
        <v>562</v>
      </c>
      <c r="I619" s="371"/>
      <c r="J619" s="932"/>
      <c r="K619" s="371"/>
      <c r="L619" s="377"/>
      <c r="M619" s="933">
        <v>3000000</v>
      </c>
      <c r="N619" s="934" t="s">
        <v>539</v>
      </c>
      <c r="O619" s="934" t="s">
        <v>8</v>
      </c>
      <c r="P619" s="75" t="str">
        <f>IF(AND('331-CT'!$E$7=TH!H619,OR(N619="331",O619="331")),"x","")</f>
        <v/>
      </c>
      <c r="Q619" s="75" t="str">
        <f>IF(AND(B619='111'!$L$11,OR($N619=$Q$7,$O619=$Q$7)),"x","")</f>
        <v/>
      </c>
      <c r="R619" s="75" t="str">
        <f>IF(AND($N619=$Q$7,$B619&lt;'111'!$L$11),"x","")</f>
        <v/>
      </c>
      <c r="S619" s="75" t="str">
        <f>IF(AND($O619=$Q$7,$B619&lt;'111'!$L$11),"x","")</f>
        <v/>
      </c>
      <c r="T619" s="75" t="str">
        <f>IF(ISERROR(FIND('112'!$M$9,G619,1)),"",IF((AND(FIND('112'!$M$9,G619,1)&gt;=1,B619='112'!$K$9,OR($N619='112'!$I$6,$O619='112'!$I$6))),"x",""))</f>
        <v/>
      </c>
      <c r="U619" s="75" t="str">
        <f>IF(ISERROR(FIND('112'!$M$9,G619,1)),"",IF((AND(LEFT(G619,2)=LEFT('112'!$M$9,2),B619&lt;'112'!$K$9,$N619='112'!$I$6)),"x",""))</f>
        <v/>
      </c>
      <c r="V619" s="75" t="str">
        <f>IF(ISERROR(FIND('112'!$M$9,G619,1)),"",IF((AND(RIGHT(G619,2)=RIGHT('112'!$M$9,2),B619&lt;'112'!$K$9,$O619='112'!$I$6)),"x",""))</f>
        <v/>
      </c>
      <c r="W619" s="75" t="str">
        <f>IF(AND('341-CT'!$H$9=H619,OR(LEFT(N619,3)=$W$7,LEFT(O619,3)=$W$7)),"x","")</f>
        <v/>
      </c>
      <c r="X619" s="75" t="str">
        <f>IF(OR(TH!N619=TH!$X$7,O619=TH!$X$7),"x","")</f>
        <v/>
      </c>
      <c r="Y619" s="75" t="str">
        <f>IF(AND(OR(N619="131",O619="131"),H619='131-CT'!$H$9),"x","")</f>
        <v/>
      </c>
      <c r="Z619" s="75"/>
      <c r="AA619" s="75" t="str">
        <f>IF(AND(MONTH(E619)='IN-NX'!$J$5,'IN-NX'!$D$7=D619),"x","")</f>
        <v/>
      </c>
      <c r="AB619" s="75" t="str">
        <f>IF(AND(OR(LEFT(TH!N619,2)="15",LEFT(TH!O619,2)="15"),LEFT(TH!O619,3)&lt;&gt;"111",'152-CT'!$J$8=TH!F619),"x","")</f>
        <v/>
      </c>
      <c r="AC619" s="75" t="str">
        <f>IF(AND(OR(LEFT(TH!N619,2)="15",LEFT(TH!O619,2)="15"),TK!$E$7=TH!F619),"x","")</f>
        <v/>
      </c>
      <c r="AD619" s="75" t="str">
        <f>IF(AND(N619="1521",MONTH(C619)='BK-NL'!$M$11),"x","")</f>
        <v/>
      </c>
      <c r="AE619">
        <v>9</v>
      </c>
    </row>
    <row r="620" spans="1:31" ht="16.5" customHeight="1">
      <c r="A620" s="309" t="str">
        <f>IF(B620&lt;&gt;"",IF(AND(B620='IN-TC'!$S$4,OR(TH!N620="1111",TH!O620="1111")),TH!D620,""),"")</f>
        <v/>
      </c>
      <c r="B620" s="1242">
        <f t="shared" si="77"/>
        <v>9</v>
      </c>
      <c r="C620" s="929">
        <v>43005</v>
      </c>
      <c r="D620" s="929" t="s">
        <v>530</v>
      </c>
      <c r="E620" s="929">
        <v>43005</v>
      </c>
      <c r="F620" s="930" t="s">
        <v>1109</v>
      </c>
      <c r="G620" s="931" t="s">
        <v>2202</v>
      </c>
      <c r="H620" s="735" t="s">
        <v>562</v>
      </c>
      <c r="I620" s="371"/>
      <c r="J620" s="932"/>
      <c r="K620" s="371"/>
      <c r="L620" s="377"/>
      <c r="M620" s="933">
        <v>300000</v>
      </c>
      <c r="N620" s="934" t="s">
        <v>9</v>
      </c>
      <c r="O620" s="934" t="s">
        <v>8</v>
      </c>
      <c r="P620" s="75" t="str">
        <f>IF(AND('331-CT'!$E$7=TH!H620,OR(N620="331",O620="331")),"x","")</f>
        <v/>
      </c>
      <c r="Q620" s="75" t="str">
        <f>IF(AND(B620='111'!$L$11,OR($N620=$Q$7,$O620=$Q$7)),"x","")</f>
        <v/>
      </c>
      <c r="R620" s="75" t="str">
        <f>IF(AND($N620=$Q$7,$B620&lt;'111'!$L$11),"x","")</f>
        <v/>
      </c>
      <c r="S620" s="75" t="str">
        <f>IF(AND($O620=$Q$7,$B620&lt;'111'!$L$11),"x","")</f>
        <v/>
      </c>
      <c r="T620" s="75" t="str">
        <f>IF(ISERROR(FIND('112'!$M$9,G620,1)),"",IF((AND(FIND('112'!$M$9,G620,1)&gt;=1,B620='112'!$K$9,OR($N620='112'!$I$6,$O620='112'!$I$6))),"x",""))</f>
        <v/>
      </c>
      <c r="U620" s="75" t="str">
        <f>IF(ISERROR(FIND('112'!$M$9,G620,1)),"",IF((AND(LEFT(G620,2)=LEFT('112'!$M$9,2),B620&lt;'112'!$K$9,$N620='112'!$I$6)),"x",""))</f>
        <v/>
      </c>
      <c r="V620" s="75" t="str">
        <f>IF(ISERROR(FIND('112'!$M$9,G620,1)),"",IF((AND(RIGHT(G620,2)=RIGHT('112'!$M$9,2),B620&lt;'112'!$K$9,$O620='112'!$I$6)),"x",""))</f>
        <v/>
      </c>
      <c r="W620" s="75" t="str">
        <f>IF(AND('341-CT'!$H$9=H620,OR(LEFT(N620,3)=$W$7,LEFT(O620,3)=$W$7)),"x","")</f>
        <v/>
      </c>
      <c r="X620" s="75" t="str">
        <f>IF(OR(TH!N620=TH!$X$7,O620=TH!$X$7),"x","")</f>
        <v/>
      </c>
      <c r="Y620" s="75" t="str">
        <f>IF(AND(OR(N620="131",O620="131"),H620='131-CT'!$H$9),"x","")</f>
        <v/>
      </c>
      <c r="Z620" s="75"/>
      <c r="AA620" s="75" t="str">
        <f>IF(AND(MONTH(E620)='IN-NX'!$J$5,'IN-NX'!$D$7=D620),"x","")</f>
        <v/>
      </c>
      <c r="AB620" s="75" t="str">
        <f>IF(AND(OR(LEFT(TH!N620,2)="15",LEFT(TH!O620,2)="15"),LEFT(TH!O620,3)&lt;&gt;"111",'152-CT'!$J$8=TH!F620),"x","")</f>
        <v/>
      </c>
      <c r="AC620" s="75" t="str">
        <f>IF(AND(OR(LEFT(TH!N620,2)="15",LEFT(TH!O620,2)="15"),TK!$E$7=TH!F620),"x","")</f>
        <v/>
      </c>
      <c r="AD620" s="75" t="str">
        <f>IF(AND(N620="1521",MONTH(C620)='BK-NL'!$M$11),"x","")</f>
        <v/>
      </c>
      <c r="AE620">
        <v>9</v>
      </c>
    </row>
    <row r="621" spans="1:31" ht="16.5" customHeight="1">
      <c r="A621" s="309" t="str">
        <f>IF(B621&lt;&gt;"",IF(AND(B621='IN-TC'!$S$4,OR(TH!N621="1111",TH!O621="1111")),TH!D621,""),"")</f>
        <v/>
      </c>
      <c r="B621" s="1242">
        <f t="shared" si="71"/>
        <v>9</v>
      </c>
      <c r="C621" s="929">
        <v>43003</v>
      </c>
      <c r="D621" s="929" t="s">
        <v>530</v>
      </c>
      <c r="E621" s="929">
        <f t="shared" ref="E621:E623" si="78">C621</f>
        <v>43003</v>
      </c>
      <c r="F621" s="930" t="s">
        <v>1192</v>
      </c>
      <c r="G621" s="931" t="s">
        <v>2129</v>
      </c>
      <c r="H621" s="73" t="s">
        <v>755</v>
      </c>
      <c r="I621" s="371"/>
      <c r="J621" s="932"/>
      <c r="K621" s="371"/>
      <c r="L621" s="377"/>
      <c r="M621" s="933">
        <v>20037600</v>
      </c>
      <c r="N621" s="934" t="s">
        <v>539</v>
      </c>
      <c r="O621" s="934" t="s">
        <v>8</v>
      </c>
      <c r="P621" s="75" t="str">
        <f>IF(AND('331-CT'!$E$7=TH!H621,OR(N621="331",O621="331")),"x","")</f>
        <v/>
      </c>
      <c r="Q621" s="75" t="str">
        <f>IF(AND(B621='111'!$L$11,OR($N621=$Q$7,$O621=$Q$7)),"x","")</f>
        <v/>
      </c>
      <c r="R621" s="75" t="str">
        <f>IF(AND($N621=$Q$7,$B621&lt;'111'!$L$11),"x","")</f>
        <v/>
      </c>
      <c r="S621" s="75" t="str">
        <f>IF(AND($O621=$Q$7,$B621&lt;'111'!$L$11),"x","")</f>
        <v/>
      </c>
      <c r="T621" s="75" t="str">
        <f>IF(ISERROR(FIND('112'!$M$9,G621,1)),"",IF((AND(FIND('112'!$M$9,G621,1)&gt;=1,B621='112'!$K$9,OR($N621='112'!$I$6,$O621='112'!$I$6))),"x",""))</f>
        <v/>
      </c>
      <c r="U621" s="75" t="str">
        <f>IF(ISERROR(FIND('112'!$M$9,G621,1)),"",IF((AND(LEFT(G621,2)=LEFT('112'!$M$9,2),B621&lt;'112'!$K$9,$N621='112'!$I$6)),"x",""))</f>
        <v/>
      </c>
      <c r="V621" s="75" t="str">
        <f>IF(ISERROR(FIND('112'!$M$9,G621,1)),"",IF((AND(RIGHT(G621,2)=RIGHT('112'!$M$9,2),B621&lt;'112'!$K$9,$O621='112'!$I$6)),"x",""))</f>
        <v/>
      </c>
      <c r="W621" s="75" t="str">
        <f>IF(AND('341-CT'!$H$9=H621,OR(LEFT(N621,3)=$W$7,LEFT(O621,3)=$W$7)),"x","")</f>
        <v/>
      </c>
      <c r="X621" s="75" t="str">
        <f>IF(OR(TH!N621=TH!$X$7,O621=TH!$X$7),"x","")</f>
        <v/>
      </c>
      <c r="Y621" s="75" t="str">
        <f>IF(AND(OR(N621="131",O621="131"),H621='131-CT'!$H$9),"x","")</f>
        <v/>
      </c>
      <c r="Z621" s="75"/>
      <c r="AA621" s="75" t="str">
        <f>IF(AND(MONTH(E621)='IN-NX'!$J$5,'IN-NX'!$D$7=D621),"x","")</f>
        <v/>
      </c>
      <c r="AB621" s="75" t="str">
        <f>IF(AND(OR(LEFT(TH!N621,2)="15",LEFT(TH!O621,2)="15"),LEFT(TH!O621,3)&lt;&gt;"111",'152-CT'!$J$8=TH!F621),"x","")</f>
        <v/>
      </c>
      <c r="AC621" s="75" t="str">
        <f>IF(AND(OR(LEFT(TH!N621,2)="15",LEFT(TH!O621,2)="15"),TK!$E$7=TH!F621),"x","")</f>
        <v/>
      </c>
      <c r="AD621" s="75" t="str">
        <f>IF(AND(N621="1521",MONTH(C621)='BK-NL'!$M$11),"x","")</f>
        <v/>
      </c>
    </row>
    <row r="622" spans="1:31" ht="16.5" customHeight="1">
      <c r="A622" s="309" t="str">
        <f>IF(B622&lt;&gt;"",IF(AND(B622='IN-TC'!$S$4,OR(TH!N622="1111",TH!O622="1111")),TH!D622,""),"")</f>
        <v/>
      </c>
      <c r="B622" s="1242">
        <f t="shared" si="71"/>
        <v>9</v>
      </c>
      <c r="C622" s="929">
        <v>43003</v>
      </c>
      <c r="D622" s="929" t="s">
        <v>530</v>
      </c>
      <c r="E622" s="929">
        <f t="shared" si="78"/>
        <v>43003</v>
      </c>
      <c r="F622" s="930" t="s">
        <v>823</v>
      </c>
      <c r="G622" s="931" t="s">
        <v>2130</v>
      </c>
      <c r="H622" s="73" t="s">
        <v>755</v>
      </c>
      <c r="I622" s="371"/>
      <c r="J622" s="932"/>
      <c r="K622" s="371"/>
      <c r="L622" s="377"/>
      <c r="M622" s="933">
        <v>4866910</v>
      </c>
      <c r="N622" s="934" t="s">
        <v>539</v>
      </c>
      <c r="O622" s="934" t="s">
        <v>8</v>
      </c>
      <c r="P622" s="75" t="str">
        <f>IF(AND('331-CT'!$E$7=TH!H622,OR(N622="331",O622="331")),"x","")</f>
        <v/>
      </c>
      <c r="Q622" s="75" t="str">
        <f>IF(AND(B622='111'!$L$11,OR($N622=$Q$7,$O622=$Q$7)),"x","")</f>
        <v/>
      </c>
      <c r="R622" s="75" t="str">
        <f>IF(AND($N622=$Q$7,$B622&lt;'111'!$L$11),"x","")</f>
        <v/>
      </c>
      <c r="S622" s="75" t="str">
        <f>IF(AND($O622=$Q$7,$B622&lt;'111'!$L$11),"x","")</f>
        <v/>
      </c>
      <c r="T622" s="75" t="str">
        <f>IF(ISERROR(FIND('112'!$M$9,G622,1)),"",IF((AND(FIND('112'!$M$9,G622,1)&gt;=1,B622='112'!$K$9,OR($N622='112'!$I$6,$O622='112'!$I$6))),"x",""))</f>
        <v/>
      </c>
      <c r="U622" s="75" t="str">
        <f>IF(ISERROR(FIND('112'!$M$9,G622,1)),"",IF((AND(LEFT(G622,2)=LEFT('112'!$M$9,2),B622&lt;'112'!$K$9,$N622='112'!$I$6)),"x",""))</f>
        <v/>
      </c>
      <c r="V622" s="75" t="str">
        <f>IF(ISERROR(FIND('112'!$M$9,G622,1)),"",IF((AND(RIGHT(G622,2)=RIGHT('112'!$M$9,2),B622&lt;'112'!$K$9,$O622='112'!$I$6)),"x",""))</f>
        <v/>
      </c>
      <c r="W622" s="75" t="str">
        <f>IF(AND('341-CT'!$H$9=H622,OR(LEFT(N622,3)=$W$7,LEFT(O622,3)=$W$7)),"x","")</f>
        <v/>
      </c>
      <c r="X622" s="75" t="str">
        <f>IF(OR(TH!N622=TH!$X$7,O622=TH!$X$7),"x","")</f>
        <v/>
      </c>
      <c r="Y622" s="75" t="str">
        <f>IF(AND(OR(N622="131",O622="131"),H622='131-CT'!$H$9),"x","")</f>
        <v/>
      </c>
      <c r="Z622" s="75"/>
      <c r="AA622" s="75" t="str">
        <f>IF(AND(MONTH(E622)='IN-NX'!$J$5,'IN-NX'!$D$7=D622),"x","")</f>
        <v/>
      </c>
      <c r="AB622" s="75" t="str">
        <f>IF(AND(OR(LEFT(TH!N622,2)="15",LEFT(TH!O622,2)="15"),LEFT(TH!O622,3)&lt;&gt;"111",'152-CT'!$J$8=TH!F622),"x","")</f>
        <v/>
      </c>
      <c r="AC622" s="75" t="str">
        <f>IF(AND(OR(LEFT(TH!N622,2)="15",LEFT(TH!O622,2)="15"),TK!$E$7=TH!F622),"x","")</f>
        <v/>
      </c>
      <c r="AD622" s="75" t="str">
        <f>IF(AND(N622="1521",MONTH(C622)='BK-NL'!$M$11),"x","")</f>
        <v/>
      </c>
      <c r="AE622">
        <v>9</v>
      </c>
    </row>
    <row r="623" spans="1:31" ht="16.5" customHeight="1">
      <c r="A623" s="309" t="str">
        <f>IF(B623&lt;&gt;"",IF(AND(B623='IN-TC'!$S$4,OR(TH!N623="1111",TH!O623="1111")),TH!D623,""),"")</f>
        <v/>
      </c>
      <c r="B623" s="1242">
        <f t="shared" si="71"/>
        <v>9</v>
      </c>
      <c r="C623" s="929">
        <v>43003</v>
      </c>
      <c r="D623" s="929" t="s">
        <v>530</v>
      </c>
      <c r="E623" s="929">
        <f t="shared" si="78"/>
        <v>43003</v>
      </c>
      <c r="F623" s="930" t="s">
        <v>824</v>
      </c>
      <c r="G623" s="931" t="s">
        <v>2130</v>
      </c>
      <c r="H623" s="73" t="s">
        <v>755</v>
      </c>
      <c r="I623" s="371"/>
      <c r="J623" s="932"/>
      <c r="K623" s="371"/>
      <c r="L623" s="377"/>
      <c r="M623" s="933">
        <v>486691</v>
      </c>
      <c r="N623" s="934" t="s">
        <v>9</v>
      </c>
      <c r="O623" s="934" t="s">
        <v>8</v>
      </c>
      <c r="P623" s="75" t="str">
        <f>IF(AND('331-CT'!$E$7=TH!H623,OR(N623="331",O623="331")),"x","")</f>
        <v/>
      </c>
      <c r="Q623" s="75" t="str">
        <f>IF(AND(B623='111'!$L$11,OR($N623=$Q$7,$O623=$Q$7)),"x","")</f>
        <v/>
      </c>
      <c r="R623" s="75" t="str">
        <f>IF(AND($N623=$Q$7,$B623&lt;'111'!$L$11),"x","")</f>
        <v/>
      </c>
      <c r="S623" s="75" t="str">
        <f>IF(AND($O623=$Q$7,$B623&lt;'111'!$L$11),"x","")</f>
        <v/>
      </c>
      <c r="T623" s="75" t="str">
        <f>IF(ISERROR(FIND('112'!$M$9,G623,1)),"",IF((AND(FIND('112'!$M$9,G623,1)&gt;=1,B623='112'!$K$9,OR($N623='112'!$I$6,$O623='112'!$I$6))),"x",""))</f>
        <v/>
      </c>
      <c r="U623" s="75" t="str">
        <f>IF(ISERROR(FIND('112'!$M$9,G623,1)),"",IF((AND(LEFT(G623,2)=LEFT('112'!$M$9,2),B623&lt;'112'!$K$9,$N623='112'!$I$6)),"x",""))</f>
        <v/>
      </c>
      <c r="V623" s="75" t="str">
        <f>IF(ISERROR(FIND('112'!$M$9,G623,1)),"",IF((AND(RIGHT(G623,2)=RIGHT('112'!$M$9,2),B623&lt;'112'!$K$9,$O623='112'!$I$6)),"x",""))</f>
        <v/>
      </c>
      <c r="W623" s="75" t="str">
        <f>IF(AND('341-CT'!$H$9=H623,OR(LEFT(N623,3)=$W$7,LEFT(O623,3)=$W$7)),"x","")</f>
        <v/>
      </c>
      <c r="X623" s="75" t="str">
        <f>IF(OR(TH!N623=TH!$X$7,O623=TH!$X$7),"x","")</f>
        <v/>
      </c>
      <c r="Y623" s="75" t="str">
        <f>IF(AND(OR(N623="131",O623="131"),H623='131-CT'!$H$9),"x","")</f>
        <v/>
      </c>
      <c r="Z623" s="75"/>
      <c r="AA623" s="75" t="str">
        <f>IF(AND(MONTH(E623)='IN-NX'!$J$5,'IN-NX'!$D$7=D623),"x","")</f>
        <v/>
      </c>
      <c r="AB623" s="75" t="str">
        <f>IF(AND(OR(LEFT(TH!N623,2)="15",LEFT(TH!O623,2)="15"),LEFT(TH!O623,3)&lt;&gt;"111",'152-CT'!$J$8=TH!F623),"x","")</f>
        <v/>
      </c>
      <c r="AC623" s="75" t="str">
        <f>IF(AND(OR(LEFT(TH!N623,2)="15",LEFT(TH!O623,2)="15"),TK!$E$7=TH!F623),"x","")</f>
        <v/>
      </c>
      <c r="AD623" s="75" t="str">
        <f>IF(AND(N623="1521",MONTH(C623)='BK-NL'!$M$11),"x","")</f>
        <v/>
      </c>
      <c r="AE623">
        <v>9</v>
      </c>
    </row>
    <row r="624" spans="1:31" ht="16.5" customHeight="1">
      <c r="A624" s="309" t="str">
        <f>IF(B624&lt;&gt;"",IF(AND(B624='IN-TC'!$S$4,OR(TH!N624="1111",TH!O624="1111")),TH!D624,""),"")</f>
        <v/>
      </c>
      <c r="B624" s="1242">
        <f t="shared" si="71"/>
        <v>9</v>
      </c>
      <c r="C624" s="929">
        <v>43003</v>
      </c>
      <c r="D624" s="929" t="s">
        <v>530</v>
      </c>
      <c r="E624" s="929">
        <v>43003</v>
      </c>
      <c r="F624" s="930" t="s">
        <v>808</v>
      </c>
      <c r="G624" s="931" t="s">
        <v>2151</v>
      </c>
      <c r="H624" s="296" t="s">
        <v>622</v>
      </c>
      <c r="I624" s="371"/>
      <c r="J624" s="932"/>
      <c r="K624" s="371"/>
      <c r="L624" s="377"/>
      <c r="M624" s="933">
        <v>29588000</v>
      </c>
      <c r="N624" s="934" t="s">
        <v>539</v>
      </c>
      <c r="O624" s="934" t="s">
        <v>8</v>
      </c>
      <c r="P624" s="75" t="str">
        <f>IF(AND('331-CT'!$E$7=TH!H624,OR(N624="331",O624="331")),"x","")</f>
        <v/>
      </c>
      <c r="Q624" s="75" t="str">
        <f>IF(AND(B624='111'!$L$11,OR($N624=$Q$7,$O624=$Q$7)),"x","")</f>
        <v/>
      </c>
      <c r="R624" s="75" t="str">
        <f>IF(AND($N624=$Q$7,$B624&lt;'111'!$L$11),"x","")</f>
        <v/>
      </c>
      <c r="S624" s="75" t="str">
        <f>IF(AND($O624=$Q$7,$B624&lt;'111'!$L$11),"x","")</f>
        <v/>
      </c>
      <c r="T624" s="75" t="str">
        <f>IF(ISERROR(FIND('112'!$M$9,G624,1)),"",IF((AND(FIND('112'!$M$9,G624,1)&gt;=1,B624='112'!$K$9,OR($N624='112'!$I$6,$O624='112'!$I$6))),"x",""))</f>
        <v/>
      </c>
      <c r="U624" s="75" t="str">
        <f>IF(ISERROR(FIND('112'!$M$9,G624,1)),"",IF((AND(LEFT(G624,2)=LEFT('112'!$M$9,2),B624&lt;'112'!$K$9,$N624='112'!$I$6)),"x",""))</f>
        <v/>
      </c>
      <c r="V624" s="75" t="str">
        <f>IF(ISERROR(FIND('112'!$M$9,G624,1)),"",IF((AND(RIGHT(G624,2)=RIGHT('112'!$M$9,2),B624&lt;'112'!$K$9,$O624='112'!$I$6)),"x",""))</f>
        <v/>
      </c>
      <c r="W624" s="75" t="str">
        <f>IF(AND('341-CT'!$H$9=H624,OR(LEFT(N624,3)=$W$7,LEFT(O624,3)=$W$7)),"x","")</f>
        <v/>
      </c>
      <c r="X624" s="75" t="str">
        <f>IF(OR(TH!N624=TH!$X$7,O624=TH!$X$7),"x","")</f>
        <v/>
      </c>
      <c r="Y624" s="75" t="str">
        <f>IF(AND(OR(N624="131",O624="131"),H624='131-CT'!$H$9),"x","")</f>
        <v/>
      </c>
      <c r="Z624" s="75"/>
      <c r="AA624" s="75" t="str">
        <f>IF(AND(MONTH(E624)='IN-NX'!$J$5,'IN-NX'!$D$7=D624),"x","")</f>
        <v/>
      </c>
      <c r="AB624" s="75" t="str">
        <f>IF(AND(OR(LEFT(TH!N624,2)="15",LEFT(TH!O624,2)="15"),LEFT(TH!O624,3)&lt;&gt;"111",'152-CT'!$J$8=TH!F624),"x","")</f>
        <v/>
      </c>
      <c r="AC624" s="75" t="str">
        <f>IF(AND(OR(LEFT(TH!N624,2)="15",LEFT(TH!O624,2)="15"),TK!$E$7=TH!F624),"x","")</f>
        <v/>
      </c>
      <c r="AD624" s="75" t="str">
        <f>IF(AND(N624="1521",MONTH(C624)='BK-NL'!$M$11),"x","")</f>
        <v/>
      </c>
    </row>
    <row r="625" spans="1:31" ht="16.5" customHeight="1">
      <c r="A625" s="309" t="str">
        <f>IF(B625&lt;&gt;"",IF(AND(B625='IN-TC'!$S$4,OR(TH!N625="1111",TH!O625="1111")),TH!D625,""),"")</f>
        <v/>
      </c>
      <c r="B625" s="1242">
        <f t="shared" si="71"/>
        <v>9</v>
      </c>
      <c r="C625" s="929">
        <v>43003</v>
      </c>
      <c r="D625" s="929" t="s">
        <v>530</v>
      </c>
      <c r="E625" s="929">
        <v>43003</v>
      </c>
      <c r="F625" s="930" t="s">
        <v>810</v>
      </c>
      <c r="G625" s="931" t="s">
        <v>1252</v>
      </c>
      <c r="H625" s="296" t="s">
        <v>622</v>
      </c>
      <c r="I625" s="371"/>
      <c r="J625" s="932"/>
      <c r="K625" s="371"/>
      <c r="L625" s="377"/>
      <c r="M625" s="933">
        <v>6896280</v>
      </c>
      <c r="N625" s="934" t="s">
        <v>539</v>
      </c>
      <c r="O625" s="934" t="s">
        <v>8</v>
      </c>
      <c r="P625" s="75" t="str">
        <f>IF(AND('331-CT'!$E$7=TH!H625,OR(N625="331",O625="331")),"x","")</f>
        <v/>
      </c>
      <c r="Q625" s="75" t="str">
        <f>IF(AND(B625='111'!$L$11,OR($N625=$Q$7,$O625=$Q$7)),"x","")</f>
        <v/>
      </c>
      <c r="R625" s="75" t="str">
        <f>IF(AND($N625=$Q$7,$B625&lt;'111'!$L$11),"x","")</f>
        <v/>
      </c>
      <c r="S625" s="75" t="str">
        <f>IF(AND($O625=$Q$7,$B625&lt;'111'!$L$11),"x","")</f>
        <v/>
      </c>
      <c r="T625" s="75" t="str">
        <f>IF(ISERROR(FIND('112'!$M$9,G625,1)),"",IF((AND(FIND('112'!$M$9,G625,1)&gt;=1,B625='112'!$K$9,OR($N625='112'!$I$6,$O625='112'!$I$6))),"x",""))</f>
        <v/>
      </c>
      <c r="U625" s="75" t="str">
        <f>IF(ISERROR(FIND('112'!$M$9,G625,1)),"",IF((AND(LEFT(G625,2)=LEFT('112'!$M$9,2),B625&lt;'112'!$K$9,$N625='112'!$I$6)),"x",""))</f>
        <v/>
      </c>
      <c r="V625" s="75" t="str">
        <f>IF(ISERROR(FIND('112'!$M$9,G625,1)),"",IF((AND(RIGHT(G625,2)=RIGHT('112'!$M$9,2),B625&lt;'112'!$K$9,$O625='112'!$I$6)),"x",""))</f>
        <v/>
      </c>
      <c r="W625" s="75" t="str">
        <f>IF(AND('341-CT'!$H$9=H625,OR(LEFT(N625,3)=$W$7,LEFT(O625,3)=$W$7)),"x","")</f>
        <v/>
      </c>
      <c r="X625" s="75" t="str">
        <f>IF(OR(TH!N625=TH!$X$7,O625=TH!$X$7),"x","")</f>
        <v/>
      </c>
      <c r="Y625" s="75" t="str">
        <f>IF(AND(OR(N625="131",O625="131"),H625='131-CT'!$H$9),"x","")</f>
        <v/>
      </c>
      <c r="Z625" s="75"/>
      <c r="AA625" s="75" t="str">
        <f>IF(AND(MONTH(E625)='IN-NX'!$J$5,'IN-NX'!$D$7=D625),"x","")</f>
        <v/>
      </c>
      <c r="AB625" s="75" t="str">
        <f>IF(AND(OR(LEFT(TH!N625,2)="15",LEFT(TH!O625,2)="15"),LEFT(TH!O625,3)&lt;&gt;"111",'152-CT'!$J$8=TH!F625),"x","")</f>
        <v/>
      </c>
      <c r="AC625" s="75" t="str">
        <f>IF(AND(OR(LEFT(TH!N625,2)="15",LEFT(TH!O625,2)="15"),TK!$E$7=TH!F625),"x","")</f>
        <v/>
      </c>
      <c r="AD625" s="75" t="str">
        <f>IF(AND(N625="1521",MONTH(C625)='BK-NL'!$M$11),"x","")</f>
        <v/>
      </c>
      <c r="AE625">
        <v>9</v>
      </c>
    </row>
    <row r="626" spans="1:31" ht="16.5" customHeight="1">
      <c r="A626" s="309" t="str">
        <f>IF(B626&lt;&gt;"",IF(AND(B626='IN-TC'!$S$4,OR(TH!N626="1111",TH!O626="1111")),TH!D626,""),"")</f>
        <v/>
      </c>
      <c r="B626" s="1242">
        <f t="shared" si="71"/>
        <v>9</v>
      </c>
      <c r="C626" s="929">
        <v>43003</v>
      </c>
      <c r="D626" s="929" t="s">
        <v>530</v>
      </c>
      <c r="E626" s="929">
        <v>43003</v>
      </c>
      <c r="F626" s="930" t="s">
        <v>811</v>
      </c>
      <c r="G626" s="931" t="s">
        <v>1252</v>
      </c>
      <c r="H626" s="296" t="s">
        <v>622</v>
      </c>
      <c r="I626" s="371"/>
      <c r="J626" s="932"/>
      <c r="K626" s="371"/>
      <c r="L626" s="377"/>
      <c r="M626" s="933">
        <v>689628</v>
      </c>
      <c r="N626" s="934" t="s">
        <v>9</v>
      </c>
      <c r="O626" s="934" t="s">
        <v>8</v>
      </c>
      <c r="P626" s="75" t="str">
        <f>IF(AND('331-CT'!$E$7=TH!H626,OR(N626="331",O626="331")),"x","")</f>
        <v/>
      </c>
      <c r="Q626" s="75" t="str">
        <f>IF(AND(B626='111'!$L$11,OR($N626=$Q$7,$O626=$Q$7)),"x","")</f>
        <v/>
      </c>
      <c r="R626" s="75" t="str">
        <f>IF(AND($N626=$Q$7,$B626&lt;'111'!$L$11),"x","")</f>
        <v/>
      </c>
      <c r="S626" s="75" t="str">
        <f>IF(AND($O626=$Q$7,$B626&lt;'111'!$L$11),"x","")</f>
        <v/>
      </c>
      <c r="T626" s="75" t="str">
        <f>IF(ISERROR(FIND('112'!$M$9,G626,1)),"",IF((AND(FIND('112'!$M$9,G626,1)&gt;=1,B626='112'!$K$9,OR($N626='112'!$I$6,$O626='112'!$I$6))),"x",""))</f>
        <v/>
      </c>
      <c r="U626" s="75" t="str">
        <f>IF(ISERROR(FIND('112'!$M$9,G626,1)),"",IF((AND(LEFT(G626,2)=LEFT('112'!$M$9,2),B626&lt;'112'!$K$9,$N626='112'!$I$6)),"x",""))</f>
        <v/>
      </c>
      <c r="V626" s="75" t="str">
        <f>IF(ISERROR(FIND('112'!$M$9,G626,1)),"",IF((AND(RIGHT(G626,2)=RIGHT('112'!$M$9,2),B626&lt;'112'!$K$9,$O626='112'!$I$6)),"x",""))</f>
        <v/>
      </c>
      <c r="W626" s="75" t="str">
        <f>IF(AND('341-CT'!$H$9=H626,OR(LEFT(N626,3)=$W$7,LEFT(O626,3)=$W$7)),"x","")</f>
        <v/>
      </c>
      <c r="X626" s="75" t="str">
        <f>IF(OR(TH!N626=TH!$X$7,O626=TH!$X$7),"x","")</f>
        <v/>
      </c>
      <c r="Y626" s="75" t="str">
        <f>IF(AND(OR(N626="131",O626="131"),H626='131-CT'!$H$9),"x","")</f>
        <v/>
      </c>
      <c r="Z626" s="75"/>
      <c r="AA626" s="75" t="str">
        <f>IF(AND(MONTH(E626)='IN-NX'!$J$5,'IN-NX'!$D$7=D626),"x","")</f>
        <v/>
      </c>
      <c r="AB626" s="75" t="str">
        <f>IF(AND(OR(LEFT(TH!N626,2)="15",LEFT(TH!O626,2)="15"),LEFT(TH!O626,3)&lt;&gt;"111",'152-CT'!$J$8=TH!F626),"x","")</f>
        <v/>
      </c>
      <c r="AC626" s="75" t="str">
        <f>IF(AND(OR(LEFT(TH!N626,2)="15",LEFT(TH!O626,2)="15"),TK!$E$7=TH!F626),"x","")</f>
        <v/>
      </c>
      <c r="AD626" s="75" t="str">
        <f>IF(AND(N626="1521",MONTH(C626)='BK-NL'!$M$11),"x","")</f>
        <v/>
      </c>
      <c r="AE626">
        <v>9</v>
      </c>
    </row>
    <row r="627" spans="1:31" ht="16.5" customHeight="1">
      <c r="A627" s="309" t="str">
        <f>IF(B627&lt;&gt;"",IF(AND(B627='IN-TC'!$S$4,OR(TH!N627="1111",TH!O627="1111")),TH!D627,""),"")</f>
        <v/>
      </c>
      <c r="B627" s="1242">
        <f t="shared" si="71"/>
        <v>9</v>
      </c>
      <c r="C627" s="929">
        <v>43003</v>
      </c>
      <c r="D627" s="929" t="s">
        <v>530</v>
      </c>
      <c r="E627" s="929">
        <v>43003</v>
      </c>
      <c r="F627" s="930" t="s">
        <v>808</v>
      </c>
      <c r="G627" s="931" t="s">
        <v>2152</v>
      </c>
      <c r="H627" s="296" t="s">
        <v>622</v>
      </c>
      <c r="I627" s="371"/>
      <c r="J627" s="932"/>
      <c r="K627" s="371"/>
      <c r="L627" s="377"/>
      <c r="M627" s="933">
        <v>88764000</v>
      </c>
      <c r="N627" s="934" t="s">
        <v>539</v>
      </c>
      <c r="O627" s="934" t="s">
        <v>8</v>
      </c>
      <c r="P627" s="75" t="str">
        <f>IF(AND('331-CT'!$E$7=TH!H627,OR(N627="331",O627="331")),"x","")</f>
        <v/>
      </c>
      <c r="Q627" s="75" t="str">
        <f>IF(AND(B627='111'!$L$11,OR($N627=$Q$7,$O627=$Q$7)),"x","")</f>
        <v/>
      </c>
      <c r="R627" s="75" t="str">
        <f>IF(AND($N627=$Q$7,$B627&lt;'111'!$L$11),"x","")</f>
        <v/>
      </c>
      <c r="S627" s="75" t="str">
        <f>IF(AND($O627=$Q$7,$B627&lt;'111'!$L$11),"x","")</f>
        <v/>
      </c>
      <c r="T627" s="75" t="str">
        <f>IF(ISERROR(FIND('112'!$M$9,G627,1)),"",IF((AND(FIND('112'!$M$9,G627,1)&gt;=1,B627='112'!$K$9,OR($N627='112'!$I$6,$O627='112'!$I$6))),"x",""))</f>
        <v/>
      </c>
      <c r="U627" s="75" t="str">
        <f>IF(ISERROR(FIND('112'!$M$9,G627,1)),"",IF((AND(LEFT(G627,2)=LEFT('112'!$M$9,2),B627&lt;'112'!$K$9,$N627='112'!$I$6)),"x",""))</f>
        <v/>
      </c>
      <c r="V627" s="75" t="str">
        <f>IF(ISERROR(FIND('112'!$M$9,G627,1)),"",IF((AND(RIGHT(G627,2)=RIGHT('112'!$M$9,2),B627&lt;'112'!$K$9,$O627='112'!$I$6)),"x",""))</f>
        <v/>
      </c>
      <c r="W627" s="75" t="str">
        <f>IF(AND('341-CT'!$H$9=H627,OR(LEFT(N627,3)=$W$7,LEFT(O627,3)=$W$7)),"x","")</f>
        <v/>
      </c>
      <c r="X627" s="75" t="str">
        <f>IF(OR(TH!N627=TH!$X$7,O627=TH!$X$7),"x","")</f>
        <v/>
      </c>
      <c r="Y627" s="75" t="str">
        <f>IF(AND(OR(N627="131",O627="131"),H627='131-CT'!$H$9),"x","")</f>
        <v/>
      </c>
      <c r="Z627" s="75"/>
      <c r="AA627" s="75" t="str">
        <f>IF(AND(MONTH(E627)='IN-NX'!$J$5,'IN-NX'!$D$7=D627),"x","")</f>
        <v/>
      </c>
      <c r="AB627" s="75" t="str">
        <f>IF(AND(OR(LEFT(TH!N627,2)="15",LEFT(TH!O627,2)="15"),LEFT(TH!O627,3)&lt;&gt;"111",'152-CT'!$J$8=TH!F627),"x","")</f>
        <v/>
      </c>
      <c r="AC627" s="75" t="str">
        <f>IF(AND(OR(LEFT(TH!N627,2)="15",LEFT(TH!O627,2)="15"),TK!$E$7=TH!F627),"x","")</f>
        <v/>
      </c>
      <c r="AD627" s="75" t="str">
        <f>IF(AND(N627="1521",MONTH(C627)='BK-NL'!$M$11),"x","")</f>
        <v/>
      </c>
    </row>
    <row r="628" spans="1:31" ht="16.5" customHeight="1">
      <c r="A628" s="309" t="str">
        <f>IF(B628&lt;&gt;"",IF(AND(B628='IN-TC'!$S$4,OR(TH!N628="1111",TH!O628="1111")),TH!D628,""),"")</f>
        <v/>
      </c>
      <c r="B628" s="1242">
        <f t="shared" si="71"/>
        <v>9</v>
      </c>
      <c r="C628" s="929">
        <v>43003</v>
      </c>
      <c r="D628" s="929" t="s">
        <v>530</v>
      </c>
      <c r="E628" s="929">
        <v>43003</v>
      </c>
      <c r="F628" s="930" t="s">
        <v>810</v>
      </c>
      <c r="G628" s="931" t="s">
        <v>2153</v>
      </c>
      <c r="H628" s="296" t="s">
        <v>622</v>
      </c>
      <c r="I628" s="371"/>
      <c r="J628" s="932"/>
      <c r="K628" s="371"/>
      <c r="L628" s="377"/>
      <c r="M628" s="933">
        <v>16819640</v>
      </c>
      <c r="N628" s="934" t="s">
        <v>539</v>
      </c>
      <c r="O628" s="934" t="s">
        <v>8</v>
      </c>
      <c r="P628" s="75" t="str">
        <f>IF(AND('331-CT'!$E$7=TH!H628,OR(N628="331",O628="331")),"x","")</f>
        <v/>
      </c>
      <c r="Q628" s="75" t="str">
        <f>IF(AND(B628='111'!$L$11,OR($N628=$Q$7,$O628=$Q$7)),"x","")</f>
        <v/>
      </c>
      <c r="R628" s="75" t="str">
        <f>IF(AND($N628=$Q$7,$B628&lt;'111'!$L$11),"x","")</f>
        <v/>
      </c>
      <c r="S628" s="75" t="str">
        <f>IF(AND($O628=$Q$7,$B628&lt;'111'!$L$11),"x","")</f>
        <v/>
      </c>
      <c r="T628" s="75" t="str">
        <f>IF(ISERROR(FIND('112'!$M$9,G628,1)),"",IF((AND(FIND('112'!$M$9,G628,1)&gt;=1,B628='112'!$K$9,OR($N628='112'!$I$6,$O628='112'!$I$6))),"x",""))</f>
        <v/>
      </c>
      <c r="U628" s="75" t="str">
        <f>IF(ISERROR(FIND('112'!$M$9,G628,1)),"",IF((AND(LEFT(G628,2)=LEFT('112'!$M$9,2),B628&lt;'112'!$K$9,$N628='112'!$I$6)),"x",""))</f>
        <v/>
      </c>
      <c r="V628" s="75" t="str">
        <f>IF(ISERROR(FIND('112'!$M$9,G628,1)),"",IF((AND(RIGHT(G628,2)=RIGHT('112'!$M$9,2),B628&lt;'112'!$K$9,$O628='112'!$I$6)),"x",""))</f>
        <v/>
      </c>
      <c r="W628" s="75" t="str">
        <f>IF(AND('341-CT'!$H$9=H628,OR(LEFT(N628,3)=$W$7,LEFT(O628,3)=$W$7)),"x","")</f>
        <v/>
      </c>
      <c r="X628" s="75" t="str">
        <f>IF(OR(TH!N628=TH!$X$7,O628=TH!$X$7),"x","")</f>
        <v/>
      </c>
      <c r="Y628" s="75" t="str">
        <f>IF(AND(OR(N628="131",O628="131"),H628='131-CT'!$H$9),"x","")</f>
        <v/>
      </c>
      <c r="Z628" s="75"/>
      <c r="AA628" s="75" t="str">
        <f>IF(AND(MONTH(E628)='IN-NX'!$J$5,'IN-NX'!$D$7=D628),"x","")</f>
        <v/>
      </c>
      <c r="AB628" s="75" t="str">
        <f>IF(AND(OR(LEFT(TH!N628,2)="15",LEFT(TH!O628,2)="15"),LEFT(TH!O628,3)&lt;&gt;"111",'152-CT'!$J$8=TH!F628),"x","")</f>
        <v/>
      </c>
      <c r="AC628" s="75" t="str">
        <f>IF(AND(OR(LEFT(TH!N628,2)="15",LEFT(TH!O628,2)="15"),TK!$E$7=TH!F628),"x","")</f>
        <v/>
      </c>
      <c r="AD628" s="75" t="str">
        <f>IF(AND(N628="1521",MONTH(C628)='BK-NL'!$M$11),"x","")</f>
        <v/>
      </c>
      <c r="AE628">
        <v>9</v>
      </c>
    </row>
    <row r="629" spans="1:31" ht="16.5" customHeight="1">
      <c r="A629" s="309" t="str">
        <f>IF(B629&lt;&gt;"",IF(AND(B629='IN-TC'!$S$4,OR(TH!N629="1111",TH!O629="1111")),TH!D629,""),"")</f>
        <v/>
      </c>
      <c r="B629" s="1242">
        <f t="shared" si="71"/>
        <v>9</v>
      </c>
      <c r="C629" s="929">
        <v>43003</v>
      </c>
      <c r="D629" s="929" t="s">
        <v>530</v>
      </c>
      <c r="E629" s="929">
        <v>43003</v>
      </c>
      <c r="F629" s="930" t="s">
        <v>811</v>
      </c>
      <c r="G629" s="931" t="s">
        <v>2153</v>
      </c>
      <c r="H629" s="296" t="s">
        <v>622</v>
      </c>
      <c r="I629" s="371"/>
      <c r="J629" s="932"/>
      <c r="K629" s="371"/>
      <c r="L629" s="377"/>
      <c r="M629" s="933">
        <v>1681964</v>
      </c>
      <c r="N629" s="934" t="s">
        <v>9</v>
      </c>
      <c r="O629" s="934" t="s">
        <v>8</v>
      </c>
      <c r="P629" s="75" t="str">
        <f>IF(AND('331-CT'!$E$7=TH!H629,OR(N629="331",O629="331")),"x","")</f>
        <v/>
      </c>
      <c r="Q629" s="75" t="str">
        <f>IF(AND(B629='111'!$L$11,OR($N629=$Q$7,$O629=$Q$7)),"x","")</f>
        <v/>
      </c>
      <c r="R629" s="75" t="str">
        <f>IF(AND($N629=$Q$7,$B629&lt;'111'!$L$11),"x","")</f>
        <v/>
      </c>
      <c r="S629" s="75" t="str">
        <f>IF(AND($O629=$Q$7,$B629&lt;'111'!$L$11),"x","")</f>
        <v/>
      </c>
      <c r="T629" s="75" t="str">
        <f>IF(ISERROR(FIND('112'!$M$9,G629,1)),"",IF((AND(FIND('112'!$M$9,G629,1)&gt;=1,B629='112'!$K$9,OR($N629='112'!$I$6,$O629='112'!$I$6))),"x",""))</f>
        <v/>
      </c>
      <c r="U629" s="75" t="str">
        <f>IF(ISERROR(FIND('112'!$M$9,G629,1)),"",IF((AND(LEFT(G629,2)=LEFT('112'!$M$9,2),B629&lt;'112'!$K$9,$N629='112'!$I$6)),"x",""))</f>
        <v/>
      </c>
      <c r="V629" s="75" t="str">
        <f>IF(ISERROR(FIND('112'!$M$9,G629,1)),"",IF((AND(RIGHT(G629,2)=RIGHT('112'!$M$9,2),B629&lt;'112'!$K$9,$O629='112'!$I$6)),"x",""))</f>
        <v/>
      </c>
      <c r="W629" s="75" t="str">
        <f>IF(AND('341-CT'!$H$9=H629,OR(LEFT(N629,3)=$W$7,LEFT(O629,3)=$W$7)),"x","")</f>
        <v/>
      </c>
      <c r="X629" s="75" t="str">
        <f>IF(OR(TH!N629=TH!$X$7,O629=TH!$X$7),"x","")</f>
        <v/>
      </c>
      <c r="Y629" s="75" t="str">
        <f>IF(AND(OR(N629="131",O629="131"),H629='131-CT'!$H$9),"x","")</f>
        <v/>
      </c>
      <c r="Z629" s="75"/>
      <c r="AA629" s="75" t="str">
        <f>IF(AND(MONTH(E629)='IN-NX'!$J$5,'IN-NX'!$D$7=D629),"x","")</f>
        <v/>
      </c>
      <c r="AB629" s="75" t="str">
        <f>IF(AND(OR(LEFT(TH!N629,2)="15",LEFT(TH!O629,2)="15"),LEFT(TH!O629,3)&lt;&gt;"111",'152-CT'!$J$8=TH!F629),"x","")</f>
        <v/>
      </c>
      <c r="AC629" s="75" t="str">
        <f>IF(AND(OR(LEFT(TH!N629,2)="15",LEFT(TH!O629,2)="15"),TK!$E$7=TH!F629),"x","")</f>
        <v/>
      </c>
      <c r="AD629" s="75" t="str">
        <f>IF(AND(N629="1521",MONTH(C629)='BK-NL'!$M$11),"x","")</f>
        <v/>
      </c>
      <c r="AE629">
        <v>9</v>
      </c>
    </row>
    <row r="630" spans="1:31" ht="16.5" customHeight="1">
      <c r="A630" s="309" t="str">
        <f>IF(B630&lt;&gt;"",IF(AND(B630='IN-TC'!$S$4,OR(TH!N630="1111",TH!O630="1111")),TH!D630,""),"")</f>
        <v/>
      </c>
      <c r="B630" s="1242">
        <f t="shared" ref="B630:B661" si="79">IF(C630&lt;&gt;"",MONTH(C630),"")</f>
        <v>9</v>
      </c>
      <c r="C630" s="929">
        <v>43003</v>
      </c>
      <c r="D630" s="929" t="s">
        <v>530</v>
      </c>
      <c r="E630" s="929">
        <v>43003</v>
      </c>
      <c r="F630" s="930" t="s">
        <v>808</v>
      </c>
      <c r="G630" s="931" t="s">
        <v>2154</v>
      </c>
      <c r="H630" s="296" t="s">
        <v>622</v>
      </c>
      <c r="I630" s="371"/>
      <c r="J630" s="932"/>
      <c r="K630" s="371"/>
      <c r="L630" s="377"/>
      <c r="M630" s="933">
        <v>27312000</v>
      </c>
      <c r="N630" s="934" t="s">
        <v>539</v>
      </c>
      <c r="O630" s="934" t="s">
        <v>8</v>
      </c>
      <c r="P630" s="75" t="str">
        <f>IF(AND('331-CT'!$E$7=TH!H630,OR(N630="331",O630="331")),"x","")</f>
        <v/>
      </c>
      <c r="Q630" s="75" t="str">
        <f>IF(AND(B630='111'!$L$11,OR($N630=$Q$7,$O630=$Q$7)),"x","")</f>
        <v/>
      </c>
      <c r="R630" s="75" t="str">
        <f>IF(AND($N630=$Q$7,$B630&lt;'111'!$L$11),"x","")</f>
        <v/>
      </c>
      <c r="S630" s="75" t="str">
        <f>IF(AND($O630=$Q$7,$B630&lt;'111'!$L$11),"x","")</f>
        <v/>
      </c>
      <c r="T630" s="75" t="str">
        <f>IF(ISERROR(FIND('112'!$M$9,G630,1)),"",IF((AND(FIND('112'!$M$9,G630,1)&gt;=1,B630='112'!$K$9,OR($N630='112'!$I$6,$O630='112'!$I$6))),"x",""))</f>
        <v/>
      </c>
      <c r="U630" s="75" t="str">
        <f>IF(ISERROR(FIND('112'!$M$9,G630,1)),"",IF((AND(LEFT(G630,2)=LEFT('112'!$M$9,2),B630&lt;'112'!$K$9,$N630='112'!$I$6)),"x",""))</f>
        <v/>
      </c>
      <c r="V630" s="75" t="str">
        <f>IF(ISERROR(FIND('112'!$M$9,G630,1)),"",IF((AND(RIGHT(G630,2)=RIGHT('112'!$M$9,2),B630&lt;'112'!$K$9,$O630='112'!$I$6)),"x",""))</f>
        <v/>
      </c>
      <c r="W630" s="75" t="str">
        <f>IF(AND('341-CT'!$H$9=H630,OR(LEFT(N630,3)=$W$7,LEFT(O630,3)=$W$7)),"x","")</f>
        <v/>
      </c>
      <c r="X630" s="75" t="str">
        <f>IF(OR(TH!N630=TH!$X$7,O630=TH!$X$7),"x","")</f>
        <v/>
      </c>
      <c r="Y630" s="75" t="str">
        <f>IF(AND(OR(N630="131",O630="131"),H630='131-CT'!$H$9),"x","")</f>
        <v/>
      </c>
      <c r="Z630" s="75"/>
      <c r="AA630" s="75" t="str">
        <f>IF(AND(MONTH(E630)='IN-NX'!$J$5,'IN-NX'!$D$7=D630),"x","")</f>
        <v/>
      </c>
      <c r="AB630" s="75" t="str">
        <f>IF(AND(OR(LEFT(TH!N630,2)="15",LEFT(TH!O630,2)="15"),LEFT(TH!O630,3)&lt;&gt;"111",'152-CT'!$J$8=TH!F630),"x","")</f>
        <v/>
      </c>
      <c r="AC630" s="75" t="str">
        <f>IF(AND(OR(LEFT(TH!N630,2)="15",LEFT(TH!O630,2)="15"),TK!$E$7=TH!F630),"x","")</f>
        <v/>
      </c>
      <c r="AD630" s="75" t="str">
        <f>IF(AND(N630="1521",MONTH(C630)='BK-NL'!$M$11),"x","")</f>
        <v/>
      </c>
    </row>
    <row r="631" spans="1:31" ht="16.5" customHeight="1">
      <c r="A631" s="309" t="str">
        <f>IF(B631&lt;&gt;"",IF(AND(B631='IN-TC'!$S$4,OR(TH!N631="1111",TH!O631="1111")),TH!D631,""),"")</f>
        <v/>
      </c>
      <c r="B631" s="1242">
        <f t="shared" si="79"/>
        <v>9</v>
      </c>
      <c r="C631" s="929">
        <v>43003</v>
      </c>
      <c r="D631" s="929" t="s">
        <v>530</v>
      </c>
      <c r="E631" s="929">
        <v>43003</v>
      </c>
      <c r="F631" s="930" t="s">
        <v>810</v>
      </c>
      <c r="G631" s="931" t="s">
        <v>2155</v>
      </c>
      <c r="H631" s="296" t="s">
        <v>622</v>
      </c>
      <c r="I631" s="371"/>
      <c r="J631" s="932"/>
      <c r="K631" s="371"/>
      <c r="L631" s="377"/>
      <c r="M631" s="933">
        <v>11175160</v>
      </c>
      <c r="N631" s="934" t="s">
        <v>539</v>
      </c>
      <c r="O631" s="934" t="s">
        <v>8</v>
      </c>
      <c r="P631" s="75" t="str">
        <f>IF(AND('331-CT'!$E$7=TH!H631,OR(N631="331",O631="331")),"x","")</f>
        <v/>
      </c>
      <c r="Q631" s="75" t="str">
        <f>IF(AND(B631='111'!$L$11,OR($N631=$Q$7,$O631=$Q$7)),"x","")</f>
        <v/>
      </c>
      <c r="R631" s="75" t="str">
        <f>IF(AND($N631=$Q$7,$B631&lt;'111'!$L$11),"x","")</f>
        <v/>
      </c>
      <c r="S631" s="75" t="str">
        <f>IF(AND($O631=$Q$7,$B631&lt;'111'!$L$11),"x","")</f>
        <v/>
      </c>
      <c r="T631" s="75" t="str">
        <f>IF(ISERROR(FIND('112'!$M$9,G631,1)),"",IF((AND(FIND('112'!$M$9,G631,1)&gt;=1,B631='112'!$K$9,OR($N631='112'!$I$6,$O631='112'!$I$6))),"x",""))</f>
        <v/>
      </c>
      <c r="U631" s="75" t="str">
        <f>IF(ISERROR(FIND('112'!$M$9,G631,1)),"",IF((AND(LEFT(G631,2)=LEFT('112'!$M$9,2),B631&lt;'112'!$K$9,$N631='112'!$I$6)),"x",""))</f>
        <v/>
      </c>
      <c r="V631" s="75" t="str">
        <f>IF(ISERROR(FIND('112'!$M$9,G631,1)),"",IF((AND(RIGHT(G631,2)=RIGHT('112'!$M$9,2),B631&lt;'112'!$K$9,$O631='112'!$I$6)),"x",""))</f>
        <v/>
      </c>
      <c r="W631" s="75" t="str">
        <f>IF(AND('341-CT'!$H$9=H631,OR(LEFT(N631,3)=$W$7,LEFT(O631,3)=$W$7)),"x","")</f>
        <v/>
      </c>
      <c r="X631" s="75" t="str">
        <f>IF(OR(TH!N631=TH!$X$7,O631=TH!$X$7),"x","")</f>
        <v/>
      </c>
      <c r="Y631" s="75" t="str">
        <f>IF(AND(OR(N631="131",O631="131"),H631='131-CT'!$H$9),"x","")</f>
        <v/>
      </c>
      <c r="Z631" s="75"/>
      <c r="AA631" s="75" t="str">
        <f>IF(AND(MONTH(E631)='IN-NX'!$J$5,'IN-NX'!$D$7=D631),"x","")</f>
        <v/>
      </c>
      <c r="AB631" s="75" t="str">
        <f>IF(AND(OR(LEFT(TH!N631,2)="15",LEFT(TH!O631,2)="15"),LEFT(TH!O631,3)&lt;&gt;"111",'152-CT'!$J$8=TH!F631),"x","")</f>
        <v/>
      </c>
      <c r="AC631" s="75" t="str">
        <f>IF(AND(OR(LEFT(TH!N631,2)="15",LEFT(TH!O631,2)="15"),TK!$E$7=TH!F631),"x","")</f>
        <v/>
      </c>
      <c r="AD631" s="75" t="str">
        <f>IF(AND(N631="1521",MONTH(C631)='BK-NL'!$M$11),"x","")</f>
        <v/>
      </c>
      <c r="AE631">
        <v>9</v>
      </c>
    </row>
    <row r="632" spans="1:31" ht="16.5" customHeight="1">
      <c r="A632" s="309" t="str">
        <f>IF(B632&lt;&gt;"",IF(AND(B632='IN-TC'!$S$4,OR(TH!N632="1111",TH!O632="1111")),TH!D632,""),"")</f>
        <v/>
      </c>
      <c r="B632" s="1242">
        <f t="shared" si="79"/>
        <v>9</v>
      </c>
      <c r="C632" s="929">
        <v>43003</v>
      </c>
      <c r="D632" s="929" t="s">
        <v>530</v>
      </c>
      <c r="E632" s="929">
        <v>43003</v>
      </c>
      <c r="F632" s="930" t="s">
        <v>811</v>
      </c>
      <c r="G632" s="931" t="s">
        <v>2155</v>
      </c>
      <c r="H632" s="296" t="s">
        <v>622</v>
      </c>
      <c r="I632" s="371"/>
      <c r="J632" s="932"/>
      <c r="K632" s="371"/>
      <c r="L632" s="377"/>
      <c r="M632" s="933">
        <v>1117516</v>
      </c>
      <c r="N632" s="934" t="s">
        <v>9</v>
      </c>
      <c r="O632" s="934" t="s">
        <v>8</v>
      </c>
      <c r="P632" s="75" t="str">
        <f>IF(AND('331-CT'!$E$7=TH!H632,OR(N632="331",O632="331")),"x","")</f>
        <v/>
      </c>
      <c r="Q632" s="75" t="str">
        <f>IF(AND(B632='111'!$L$11,OR($N632=$Q$7,$O632=$Q$7)),"x","")</f>
        <v/>
      </c>
      <c r="R632" s="75" t="str">
        <f>IF(AND($N632=$Q$7,$B632&lt;'111'!$L$11),"x","")</f>
        <v/>
      </c>
      <c r="S632" s="75" t="str">
        <f>IF(AND($O632=$Q$7,$B632&lt;'111'!$L$11),"x","")</f>
        <v/>
      </c>
      <c r="T632" s="75" t="str">
        <f>IF(ISERROR(FIND('112'!$M$9,G632,1)),"",IF((AND(FIND('112'!$M$9,G632,1)&gt;=1,B632='112'!$K$9,OR($N632='112'!$I$6,$O632='112'!$I$6))),"x",""))</f>
        <v/>
      </c>
      <c r="U632" s="75" t="str">
        <f>IF(ISERROR(FIND('112'!$M$9,G632,1)),"",IF((AND(LEFT(G632,2)=LEFT('112'!$M$9,2),B632&lt;'112'!$K$9,$N632='112'!$I$6)),"x",""))</f>
        <v/>
      </c>
      <c r="V632" s="75" t="str">
        <f>IF(ISERROR(FIND('112'!$M$9,G632,1)),"",IF((AND(RIGHT(G632,2)=RIGHT('112'!$M$9,2),B632&lt;'112'!$K$9,$O632='112'!$I$6)),"x",""))</f>
        <v/>
      </c>
      <c r="W632" s="75" t="str">
        <f>IF(AND('341-CT'!$H$9=H632,OR(LEFT(N632,3)=$W$7,LEFT(O632,3)=$W$7)),"x","")</f>
        <v/>
      </c>
      <c r="X632" s="75" t="str">
        <f>IF(OR(TH!N632=TH!$X$7,O632=TH!$X$7),"x","")</f>
        <v/>
      </c>
      <c r="Y632" s="75" t="str">
        <f>IF(AND(OR(N632="131",O632="131"),H632='131-CT'!$H$9),"x","")</f>
        <v/>
      </c>
      <c r="Z632" s="75"/>
      <c r="AA632" s="75" t="str">
        <f>IF(AND(MONTH(E632)='IN-NX'!$J$5,'IN-NX'!$D$7=D632),"x","")</f>
        <v/>
      </c>
      <c r="AB632" s="75" t="str">
        <f>IF(AND(OR(LEFT(TH!N632,2)="15",LEFT(TH!O632,2)="15"),LEFT(TH!O632,3)&lt;&gt;"111",'152-CT'!$J$8=TH!F632),"x","")</f>
        <v/>
      </c>
      <c r="AC632" s="75" t="str">
        <f>IF(AND(OR(LEFT(TH!N632,2)="15",LEFT(TH!O632,2)="15"),TK!$E$7=TH!F632),"x","")</f>
        <v/>
      </c>
      <c r="AD632" s="75" t="str">
        <f>IF(AND(N632="1521",MONTH(C632)='BK-NL'!$M$11),"x","")</f>
        <v/>
      </c>
      <c r="AE632">
        <v>9</v>
      </c>
    </row>
    <row r="633" spans="1:31" ht="16.5" customHeight="1">
      <c r="A633" s="309" t="str">
        <f>IF(B633&lt;&gt;"",IF(AND(B633='IN-TC'!$S$4,OR(TH!N633="1111",TH!O633="1111")),TH!D633,""),"")</f>
        <v/>
      </c>
      <c r="B633" s="1242">
        <f t="shared" si="79"/>
        <v>9</v>
      </c>
      <c r="C633" s="929">
        <v>43003</v>
      </c>
      <c r="D633" s="929" t="s">
        <v>530</v>
      </c>
      <c r="E633" s="929">
        <v>43003</v>
      </c>
      <c r="F633" s="930" t="s">
        <v>808</v>
      </c>
      <c r="G633" s="931" t="s">
        <v>2156</v>
      </c>
      <c r="H633" s="296" t="s">
        <v>622</v>
      </c>
      <c r="I633" s="371"/>
      <c r="J633" s="932"/>
      <c r="K633" s="371"/>
      <c r="L633" s="377"/>
      <c r="M633" s="933">
        <v>27312000</v>
      </c>
      <c r="N633" s="934" t="s">
        <v>539</v>
      </c>
      <c r="O633" s="934" t="s">
        <v>8</v>
      </c>
      <c r="P633" s="75" t="str">
        <f>IF(AND('331-CT'!$E$7=TH!H633,OR(N633="331",O633="331")),"x","")</f>
        <v/>
      </c>
      <c r="Q633" s="75" t="str">
        <f>IF(AND(B633='111'!$L$11,OR($N633=$Q$7,$O633=$Q$7)),"x","")</f>
        <v/>
      </c>
      <c r="R633" s="75" t="str">
        <f>IF(AND($N633=$Q$7,$B633&lt;'111'!$L$11),"x","")</f>
        <v/>
      </c>
      <c r="S633" s="75" t="str">
        <f>IF(AND($O633=$Q$7,$B633&lt;'111'!$L$11),"x","")</f>
        <v/>
      </c>
      <c r="T633" s="75" t="str">
        <f>IF(ISERROR(FIND('112'!$M$9,G633,1)),"",IF((AND(FIND('112'!$M$9,G633,1)&gt;=1,B633='112'!$K$9,OR($N633='112'!$I$6,$O633='112'!$I$6))),"x",""))</f>
        <v/>
      </c>
      <c r="U633" s="75" t="str">
        <f>IF(ISERROR(FIND('112'!$M$9,G633,1)),"",IF((AND(LEFT(G633,2)=LEFT('112'!$M$9,2),B633&lt;'112'!$K$9,$N633='112'!$I$6)),"x",""))</f>
        <v/>
      </c>
      <c r="V633" s="75" t="str">
        <f>IF(ISERROR(FIND('112'!$M$9,G633,1)),"",IF((AND(RIGHT(G633,2)=RIGHT('112'!$M$9,2),B633&lt;'112'!$K$9,$O633='112'!$I$6)),"x",""))</f>
        <v/>
      </c>
      <c r="W633" s="75" t="str">
        <f>IF(AND('341-CT'!$H$9=H633,OR(LEFT(N633,3)=$W$7,LEFT(O633,3)=$W$7)),"x","")</f>
        <v/>
      </c>
      <c r="X633" s="75" t="str">
        <f>IF(OR(TH!N633=TH!$X$7,O633=TH!$X$7),"x","")</f>
        <v/>
      </c>
      <c r="Y633" s="75" t="str">
        <f>IF(AND(OR(N633="131",O633="131"),H633='131-CT'!$H$9),"x","")</f>
        <v/>
      </c>
      <c r="Z633" s="75"/>
      <c r="AA633" s="75" t="str">
        <f>IF(AND(MONTH(E633)='IN-NX'!$J$5,'IN-NX'!$D$7=D633),"x","")</f>
        <v/>
      </c>
      <c r="AB633" s="75" t="str">
        <f>IF(AND(OR(LEFT(TH!N633,2)="15",LEFT(TH!O633,2)="15"),LEFT(TH!O633,3)&lt;&gt;"111",'152-CT'!$J$8=TH!F633),"x","")</f>
        <v/>
      </c>
      <c r="AC633" s="75" t="str">
        <f>IF(AND(OR(LEFT(TH!N633,2)="15",LEFT(TH!O633,2)="15"),TK!$E$7=TH!F633),"x","")</f>
        <v/>
      </c>
      <c r="AD633" s="75" t="str">
        <f>IF(AND(N633="1521",MONTH(C633)='BK-NL'!$M$11),"x","")</f>
        <v/>
      </c>
    </row>
    <row r="634" spans="1:31" ht="16.5" customHeight="1">
      <c r="A634" s="309" t="str">
        <f>IF(B634&lt;&gt;"",IF(AND(B634='IN-TC'!$S$4,OR(TH!N634="1111",TH!O634="1111")),TH!D634,""),"")</f>
        <v/>
      </c>
      <c r="B634" s="1242">
        <f t="shared" si="79"/>
        <v>9</v>
      </c>
      <c r="C634" s="929">
        <v>43003</v>
      </c>
      <c r="D634" s="929" t="s">
        <v>530</v>
      </c>
      <c r="E634" s="929">
        <v>43003</v>
      </c>
      <c r="F634" s="930" t="s">
        <v>810</v>
      </c>
      <c r="G634" s="931" t="s">
        <v>2157</v>
      </c>
      <c r="H634" s="296" t="s">
        <v>622</v>
      </c>
      <c r="I634" s="371"/>
      <c r="J634" s="932"/>
      <c r="K634" s="371"/>
      <c r="L634" s="377"/>
      <c r="M634" s="933">
        <v>11175160</v>
      </c>
      <c r="N634" s="934" t="s">
        <v>539</v>
      </c>
      <c r="O634" s="934" t="s">
        <v>8</v>
      </c>
      <c r="P634" s="75" t="str">
        <f>IF(AND('331-CT'!$E$7=TH!H634,OR(N634="331",O634="331")),"x","")</f>
        <v/>
      </c>
      <c r="Q634" s="75" t="str">
        <f>IF(AND(B634='111'!$L$11,OR($N634=$Q$7,$O634=$Q$7)),"x","")</f>
        <v/>
      </c>
      <c r="R634" s="75" t="str">
        <f>IF(AND($N634=$Q$7,$B634&lt;'111'!$L$11),"x","")</f>
        <v/>
      </c>
      <c r="S634" s="75" t="str">
        <f>IF(AND($O634=$Q$7,$B634&lt;'111'!$L$11),"x","")</f>
        <v/>
      </c>
      <c r="T634" s="75" t="str">
        <f>IF(ISERROR(FIND('112'!$M$9,G634,1)),"",IF((AND(FIND('112'!$M$9,G634,1)&gt;=1,B634='112'!$K$9,OR($N634='112'!$I$6,$O634='112'!$I$6))),"x",""))</f>
        <v/>
      </c>
      <c r="U634" s="75" t="str">
        <f>IF(ISERROR(FIND('112'!$M$9,G634,1)),"",IF((AND(LEFT(G634,2)=LEFT('112'!$M$9,2),B634&lt;'112'!$K$9,$N634='112'!$I$6)),"x",""))</f>
        <v/>
      </c>
      <c r="V634" s="75" t="str">
        <f>IF(ISERROR(FIND('112'!$M$9,G634,1)),"",IF((AND(RIGHT(G634,2)=RIGHT('112'!$M$9,2),B634&lt;'112'!$K$9,$O634='112'!$I$6)),"x",""))</f>
        <v/>
      </c>
      <c r="W634" s="75" t="str">
        <f>IF(AND('341-CT'!$H$9=H634,OR(LEFT(N634,3)=$W$7,LEFT(O634,3)=$W$7)),"x","")</f>
        <v/>
      </c>
      <c r="X634" s="75" t="str">
        <f>IF(OR(TH!N634=TH!$X$7,O634=TH!$X$7),"x","")</f>
        <v/>
      </c>
      <c r="Y634" s="75" t="str">
        <f>IF(AND(OR(N634="131",O634="131"),H634='131-CT'!$H$9),"x","")</f>
        <v/>
      </c>
      <c r="Z634" s="75"/>
      <c r="AA634" s="75" t="str">
        <f>IF(AND(MONTH(E634)='IN-NX'!$J$5,'IN-NX'!$D$7=D634),"x","")</f>
        <v/>
      </c>
      <c r="AB634" s="75" t="str">
        <f>IF(AND(OR(LEFT(TH!N634,2)="15",LEFT(TH!O634,2)="15"),LEFT(TH!O634,3)&lt;&gt;"111",'152-CT'!$J$8=TH!F634),"x","")</f>
        <v/>
      </c>
      <c r="AC634" s="75" t="str">
        <f>IF(AND(OR(LEFT(TH!N634,2)="15",LEFT(TH!O634,2)="15"),TK!$E$7=TH!F634),"x","")</f>
        <v/>
      </c>
      <c r="AD634" s="75" t="str">
        <f>IF(AND(N634="1521",MONTH(C634)='BK-NL'!$M$11),"x","")</f>
        <v/>
      </c>
      <c r="AE634">
        <v>9</v>
      </c>
    </row>
    <row r="635" spans="1:31" ht="16.5" customHeight="1">
      <c r="A635" s="309" t="str">
        <f>IF(B635&lt;&gt;"",IF(AND(B635='IN-TC'!$S$4,OR(TH!N635="1111",TH!O635="1111")),TH!D635,""),"")</f>
        <v/>
      </c>
      <c r="B635" s="1242">
        <f t="shared" si="79"/>
        <v>9</v>
      </c>
      <c r="C635" s="929">
        <v>43003</v>
      </c>
      <c r="D635" s="929" t="s">
        <v>530</v>
      </c>
      <c r="E635" s="929">
        <v>43003</v>
      </c>
      <c r="F635" s="930" t="s">
        <v>811</v>
      </c>
      <c r="G635" s="931" t="s">
        <v>2157</v>
      </c>
      <c r="H635" s="296" t="s">
        <v>622</v>
      </c>
      <c r="I635" s="371"/>
      <c r="J635" s="932"/>
      <c r="K635" s="371"/>
      <c r="L635" s="377"/>
      <c r="M635" s="933">
        <v>1117516</v>
      </c>
      <c r="N635" s="934" t="s">
        <v>9</v>
      </c>
      <c r="O635" s="934" t="s">
        <v>8</v>
      </c>
      <c r="P635" s="75" t="str">
        <f>IF(AND('331-CT'!$E$7=TH!H635,OR(N635="331",O635="331")),"x","")</f>
        <v/>
      </c>
      <c r="Q635" s="75" t="str">
        <f>IF(AND(B635='111'!$L$11,OR($N635=$Q$7,$O635=$Q$7)),"x","")</f>
        <v/>
      </c>
      <c r="R635" s="75" t="str">
        <f>IF(AND($N635=$Q$7,$B635&lt;'111'!$L$11),"x","")</f>
        <v/>
      </c>
      <c r="S635" s="75" t="str">
        <f>IF(AND($O635=$Q$7,$B635&lt;'111'!$L$11),"x","")</f>
        <v/>
      </c>
      <c r="T635" s="75" t="str">
        <f>IF(ISERROR(FIND('112'!$M$9,G635,1)),"",IF((AND(FIND('112'!$M$9,G635,1)&gt;=1,B635='112'!$K$9,OR($N635='112'!$I$6,$O635='112'!$I$6))),"x",""))</f>
        <v/>
      </c>
      <c r="U635" s="75" t="str">
        <f>IF(ISERROR(FIND('112'!$M$9,G635,1)),"",IF((AND(LEFT(G635,2)=LEFT('112'!$M$9,2),B635&lt;'112'!$K$9,$N635='112'!$I$6)),"x",""))</f>
        <v/>
      </c>
      <c r="V635" s="75" t="str">
        <f>IF(ISERROR(FIND('112'!$M$9,G635,1)),"",IF((AND(RIGHT(G635,2)=RIGHT('112'!$M$9,2),B635&lt;'112'!$K$9,$O635='112'!$I$6)),"x",""))</f>
        <v/>
      </c>
      <c r="W635" s="75" t="str">
        <f>IF(AND('341-CT'!$H$9=H635,OR(LEFT(N635,3)=$W$7,LEFT(O635,3)=$W$7)),"x","")</f>
        <v/>
      </c>
      <c r="X635" s="75" t="str">
        <f>IF(OR(TH!N635=TH!$X$7,O635=TH!$X$7),"x","")</f>
        <v/>
      </c>
      <c r="Y635" s="75" t="str">
        <f>IF(AND(OR(N635="131",O635="131"),H635='131-CT'!$H$9),"x","")</f>
        <v/>
      </c>
      <c r="Z635" s="75"/>
      <c r="AA635" s="75" t="str">
        <f>IF(AND(MONTH(E635)='IN-NX'!$J$5,'IN-NX'!$D$7=D635),"x","")</f>
        <v/>
      </c>
      <c r="AB635" s="75" t="str">
        <f>IF(AND(OR(LEFT(TH!N635,2)="15",LEFT(TH!O635,2)="15"),LEFT(TH!O635,3)&lt;&gt;"111",'152-CT'!$J$8=TH!F635),"x","")</f>
        <v/>
      </c>
      <c r="AC635" s="75" t="str">
        <f>IF(AND(OR(LEFT(TH!N635,2)="15",LEFT(TH!O635,2)="15"),TK!$E$7=TH!F635),"x","")</f>
        <v/>
      </c>
      <c r="AD635" s="75" t="str">
        <f>IF(AND(N635="1521",MONTH(C635)='BK-NL'!$M$11),"x","")</f>
        <v/>
      </c>
      <c r="AE635">
        <v>9</v>
      </c>
    </row>
    <row r="636" spans="1:31" ht="16.5" customHeight="1">
      <c r="A636" s="309" t="str">
        <f>IF(B636&lt;&gt;"",IF(AND(B636='IN-TC'!$S$4,OR(TH!N636="1111",TH!O636="1111")),TH!D636,""),"")</f>
        <v/>
      </c>
      <c r="B636" s="1242">
        <f t="shared" si="79"/>
        <v>9</v>
      </c>
      <c r="C636" s="929">
        <v>43003</v>
      </c>
      <c r="D636" s="929" t="s">
        <v>530</v>
      </c>
      <c r="E636" s="929">
        <v>43003</v>
      </c>
      <c r="F636" s="930" t="s">
        <v>808</v>
      </c>
      <c r="G636" s="931" t="s">
        <v>2158</v>
      </c>
      <c r="H636" s="296" t="s">
        <v>622</v>
      </c>
      <c r="I636" s="371"/>
      <c r="J636" s="932"/>
      <c r="K636" s="371"/>
      <c r="L636" s="377"/>
      <c r="M636" s="933">
        <v>88764000</v>
      </c>
      <c r="N636" s="934" t="s">
        <v>539</v>
      </c>
      <c r="O636" s="934" t="s">
        <v>8</v>
      </c>
      <c r="P636" s="75" t="str">
        <f>IF(AND('331-CT'!$E$7=TH!H636,OR(N636="331",O636="331")),"x","")</f>
        <v/>
      </c>
      <c r="Q636" s="75" t="str">
        <f>IF(AND(B636='111'!$L$11,OR($N636=$Q$7,$O636=$Q$7)),"x","")</f>
        <v/>
      </c>
      <c r="R636" s="75" t="str">
        <f>IF(AND($N636=$Q$7,$B636&lt;'111'!$L$11),"x","")</f>
        <v/>
      </c>
      <c r="S636" s="75" t="str">
        <f>IF(AND($O636=$Q$7,$B636&lt;'111'!$L$11),"x","")</f>
        <v/>
      </c>
      <c r="T636" s="75" t="str">
        <f>IF(ISERROR(FIND('112'!$M$9,G636,1)),"",IF((AND(FIND('112'!$M$9,G636,1)&gt;=1,B636='112'!$K$9,OR($N636='112'!$I$6,$O636='112'!$I$6))),"x",""))</f>
        <v/>
      </c>
      <c r="U636" s="75" t="str">
        <f>IF(ISERROR(FIND('112'!$M$9,G636,1)),"",IF((AND(LEFT(G636,2)=LEFT('112'!$M$9,2),B636&lt;'112'!$K$9,$N636='112'!$I$6)),"x",""))</f>
        <v/>
      </c>
      <c r="V636" s="75" t="str">
        <f>IF(ISERROR(FIND('112'!$M$9,G636,1)),"",IF((AND(RIGHT(G636,2)=RIGHT('112'!$M$9,2),B636&lt;'112'!$K$9,$O636='112'!$I$6)),"x",""))</f>
        <v/>
      </c>
      <c r="W636" s="75" t="str">
        <f>IF(AND('341-CT'!$H$9=H636,OR(LEFT(N636,3)=$W$7,LEFT(O636,3)=$W$7)),"x","")</f>
        <v/>
      </c>
      <c r="X636" s="75" t="str">
        <f>IF(OR(TH!N636=TH!$X$7,O636=TH!$X$7),"x","")</f>
        <v/>
      </c>
      <c r="Y636" s="75" t="str">
        <f>IF(AND(OR(N636="131",O636="131"),H636='131-CT'!$H$9),"x","")</f>
        <v/>
      </c>
      <c r="Z636" s="75"/>
      <c r="AA636" s="75" t="str">
        <f>IF(AND(MONTH(E636)='IN-NX'!$J$5,'IN-NX'!$D$7=D636),"x","")</f>
        <v/>
      </c>
      <c r="AB636" s="75" t="str">
        <f>IF(AND(OR(LEFT(TH!N636,2)="15",LEFT(TH!O636,2)="15"),LEFT(TH!O636,3)&lt;&gt;"111",'152-CT'!$J$8=TH!F636),"x","")</f>
        <v/>
      </c>
      <c r="AC636" s="75" t="str">
        <f>IF(AND(OR(LEFT(TH!N636,2)="15",LEFT(TH!O636,2)="15"),TK!$E$7=TH!F636),"x","")</f>
        <v/>
      </c>
      <c r="AD636" s="75" t="str">
        <f>IF(AND(N636="1521",MONTH(C636)='BK-NL'!$M$11),"x","")</f>
        <v/>
      </c>
    </row>
    <row r="637" spans="1:31" ht="16.5" customHeight="1">
      <c r="A637" s="309" t="str">
        <f>IF(B637&lt;&gt;"",IF(AND(B637='IN-TC'!$S$4,OR(TH!N637="1111",TH!O637="1111")),TH!D637,""),"")</f>
        <v/>
      </c>
      <c r="B637" s="1242">
        <f t="shared" si="79"/>
        <v>9</v>
      </c>
      <c r="C637" s="929">
        <v>43003</v>
      </c>
      <c r="D637" s="929" t="s">
        <v>530</v>
      </c>
      <c r="E637" s="929">
        <v>43003</v>
      </c>
      <c r="F637" s="930" t="s">
        <v>810</v>
      </c>
      <c r="G637" s="931" t="s">
        <v>2159</v>
      </c>
      <c r="H637" s="296" t="s">
        <v>622</v>
      </c>
      <c r="I637" s="371"/>
      <c r="J637" s="932"/>
      <c r="K637" s="371"/>
      <c r="L637" s="377"/>
      <c r="M637" s="933">
        <v>16819640</v>
      </c>
      <c r="N637" s="934" t="s">
        <v>539</v>
      </c>
      <c r="O637" s="934" t="s">
        <v>8</v>
      </c>
      <c r="P637" s="75" t="str">
        <f>IF(AND('331-CT'!$E$7=TH!H637,OR(N637="331",O637="331")),"x","")</f>
        <v/>
      </c>
      <c r="Q637" s="75" t="str">
        <f>IF(AND(B637='111'!$L$11,OR($N637=$Q$7,$O637=$Q$7)),"x","")</f>
        <v/>
      </c>
      <c r="R637" s="75" t="str">
        <f>IF(AND($N637=$Q$7,$B637&lt;'111'!$L$11),"x","")</f>
        <v/>
      </c>
      <c r="S637" s="75" t="str">
        <f>IF(AND($O637=$Q$7,$B637&lt;'111'!$L$11),"x","")</f>
        <v/>
      </c>
      <c r="T637" s="75" t="str">
        <f>IF(ISERROR(FIND('112'!$M$9,G637,1)),"",IF((AND(FIND('112'!$M$9,G637,1)&gt;=1,B637='112'!$K$9,OR($N637='112'!$I$6,$O637='112'!$I$6))),"x",""))</f>
        <v/>
      </c>
      <c r="U637" s="75" t="str">
        <f>IF(ISERROR(FIND('112'!$M$9,G637,1)),"",IF((AND(LEFT(G637,2)=LEFT('112'!$M$9,2),B637&lt;'112'!$K$9,$N637='112'!$I$6)),"x",""))</f>
        <v/>
      </c>
      <c r="V637" s="75" t="str">
        <f>IF(ISERROR(FIND('112'!$M$9,G637,1)),"",IF((AND(RIGHT(G637,2)=RIGHT('112'!$M$9,2),B637&lt;'112'!$K$9,$O637='112'!$I$6)),"x",""))</f>
        <v/>
      </c>
      <c r="W637" s="75" t="str">
        <f>IF(AND('341-CT'!$H$9=H637,OR(LEFT(N637,3)=$W$7,LEFT(O637,3)=$W$7)),"x","")</f>
        <v/>
      </c>
      <c r="X637" s="75" t="str">
        <f>IF(OR(TH!N637=TH!$X$7,O637=TH!$X$7),"x","")</f>
        <v/>
      </c>
      <c r="Y637" s="75" t="str">
        <f>IF(AND(OR(N637="131",O637="131"),H637='131-CT'!$H$9),"x","")</f>
        <v/>
      </c>
      <c r="Z637" s="75"/>
      <c r="AA637" s="75" t="str">
        <f>IF(AND(MONTH(E637)='IN-NX'!$J$5,'IN-NX'!$D$7=D637),"x","")</f>
        <v/>
      </c>
      <c r="AB637" s="75" t="str">
        <f>IF(AND(OR(LEFT(TH!N637,2)="15",LEFT(TH!O637,2)="15"),LEFT(TH!O637,3)&lt;&gt;"111",'152-CT'!$J$8=TH!F637),"x","")</f>
        <v/>
      </c>
      <c r="AC637" s="75" t="str">
        <f>IF(AND(OR(LEFT(TH!N637,2)="15",LEFT(TH!O637,2)="15"),TK!$E$7=TH!F637),"x","")</f>
        <v/>
      </c>
      <c r="AD637" s="75" t="str">
        <f>IF(AND(N637="1521",MONTH(C637)='BK-NL'!$M$11),"x","")</f>
        <v/>
      </c>
      <c r="AE637">
        <v>9</v>
      </c>
    </row>
    <row r="638" spans="1:31" ht="16.5" customHeight="1">
      <c r="A638" s="309" t="str">
        <f>IF(B638&lt;&gt;"",IF(AND(B638='IN-TC'!$S$4,OR(TH!N638="1111",TH!O638="1111")),TH!D638,""),"")</f>
        <v/>
      </c>
      <c r="B638" s="1242">
        <f t="shared" si="79"/>
        <v>9</v>
      </c>
      <c r="C638" s="929">
        <v>43003</v>
      </c>
      <c r="D638" s="929" t="s">
        <v>530</v>
      </c>
      <c r="E638" s="929">
        <v>43003</v>
      </c>
      <c r="F638" s="930" t="s">
        <v>811</v>
      </c>
      <c r="G638" s="931" t="s">
        <v>2159</v>
      </c>
      <c r="H638" s="296" t="s">
        <v>622</v>
      </c>
      <c r="I638" s="371"/>
      <c r="J638" s="932"/>
      <c r="K638" s="371"/>
      <c r="L638" s="377"/>
      <c r="M638" s="933">
        <v>1681964</v>
      </c>
      <c r="N638" s="934" t="s">
        <v>9</v>
      </c>
      <c r="O638" s="934" t="s">
        <v>8</v>
      </c>
      <c r="P638" s="75" t="str">
        <f>IF(AND('331-CT'!$E$7=TH!H638,OR(N638="331",O638="331")),"x","")</f>
        <v/>
      </c>
      <c r="Q638" s="75" t="str">
        <f>IF(AND(B638='111'!$L$11,OR($N638=$Q$7,$O638=$Q$7)),"x","")</f>
        <v/>
      </c>
      <c r="R638" s="75" t="str">
        <f>IF(AND($N638=$Q$7,$B638&lt;'111'!$L$11),"x","")</f>
        <v/>
      </c>
      <c r="S638" s="75" t="str">
        <f>IF(AND($O638=$Q$7,$B638&lt;'111'!$L$11),"x","")</f>
        <v/>
      </c>
      <c r="T638" s="75" t="str">
        <f>IF(ISERROR(FIND('112'!$M$9,G638,1)),"",IF((AND(FIND('112'!$M$9,G638,1)&gt;=1,B638='112'!$K$9,OR($N638='112'!$I$6,$O638='112'!$I$6))),"x",""))</f>
        <v/>
      </c>
      <c r="U638" s="75" t="str">
        <f>IF(ISERROR(FIND('112'!$M$9,G638,1)),"",IF((AND(LEFT(G638,2)=LEFT('112'!$M$9,2),B638&lt;'112'!$K$9,$N638='112'!$I$6)),"x",""))</f>
        <v/>
      </c>
      <c r="V638" s="75" t="str">
        <f>IF(ISERROR(FIND('112'!$M$9,G638,1)),"",IF((AND(RIGHT(G638,2)=RIGHT('112'!$M$9,2),B638&lt;'112'!$K$9,$O638='112'!$I$6)),"x",""))</f>
        <v/>
      </c>
      <c r="W638" s="75" t="str">
        <f>IF(AND('341-CT'!$H$9=H638,OR(LEFT(N638,3)=$W$7,LEFT(O638,3)=$W$7)),"x","")</f>
        <v/>
      </c>
      <c r="X638" s="75" t="str">
        <f>IF(OR(TH!N638=TH!$X$7,O638=TH!$X$7),"x","")</f>
        <v/>
      </c>
      <c r="Y638" s="75" t="str">
        <f>IF(AND(OR(N638="131",O638="131"),H638='131-CT'!$H$9),"x","")</f>
        <v/>
      </c>
      <c r="Z638" s="75"/>
      <c r="AA638" s="75" t="str">
        <f>IF(AND(MONTH(E638)='IN-NX'!$J$5,'IN-NX'!$D$7=D638),"x","")</f>
        <v/>
      </c>
      <c r="AB638" s="75" t="str">
        <f>IF(AND(OR(LEFT(TH!N638,2)="15",LEFT(TH!O638,2)="15"),LEFT(TH!O638,3)&lt;&gt;"111",'152-CT'!$J$8=TH!F638),"x","")</f>
        <v/>
      </c>
      <c r="AC638" s="75" t="str">
        <f>IF(AND(OR(LEFT(TH!N638,2)="15",LEFT(TH!O638,2)="15"),TK!$E$7=TH!F638),"x","")</f>
        <v/>
      </c>
      <c r="AD638" s="75" t="str">
        <f>IF(AND(N638="1521",MONTH(C638)='BK-NL'!$M$11),"x","")</f>
        <v/>
      </c>
      <c r="AE638">
        <v>9</v>
      </c>
    </row>
    <row r="639" spans="1:31" ht="16.5" customHeight="1">
      <c r="A639" s="309" t="str">
        <f>IF(B639&lt;&gt;"",IF(AND(B639='IN-TC'!$S$4,OR(TH!N639="1111",TH!O639="1111")),TH!D639,""),"")</f>
        <v/>
      </c>
      <c r="B639" s="1242">
        <f t="shared" si="79"/>
        <v>9</v>
      </c>
      <c r="C639" s="929">
        <v>43003</v>
      </c>
      <c r="D639" s="929" t="s">
        <v>530</v>
      </c>
      <c r="E639" s="929">
        <v>43003</v>
      </c>
      <c r="F639" s="930" t="s">
        <v>808</v>
      </c>
      <c r="G639" s="931" t="s">
        <v>2160</v>
      </c>
      <c r="H639" s="296" t="s">
        <v>622</v>
      </c>
      <c r="I639" s="371"/>
      <c r="J639" s="932"/>
      <c r="K639" s="371"/>
      <c r="L639" s="377"/>
      <c r="M639" s="933">
        <v>88764000</v>
      </c>
      <c r="N639" s="934" t="s">
        <v>539</v>
      </c>
      <c r="O639" s="934" t="s">
        <v>8</v>
      </c>
      <c r="P639" s="75" t="str">
        <f>IF(AND('331-CT'!$E$7=TH!H639,OR(N639="331",O639="331")),"x","")</f>
        <v/>
      </c>
      <c r="Q639" s="75" t="str">
        <f>IF(AND(B639='111'!$L$11,OR($N639=$Q$7,$O639=$Q$7)),"x","")</f>
        <v/>
      </c>
      <c r="R639" s="75" t="str">
        <f>IF(AND($N639=$Q$7,$B639&lt;'111'!$L$11),"x","")</f>
        <v/>
      </c>
      <c r="S639" s="75" t="str">
        <f>IF(AND($O639=$Q$7,$B639&lt;'111'!$L$11),"x","")</f>
        <v/>
      </c>
      <c r="T639" s="75" t="str">
        <f>IF(ISERROR(FIND('112'!$M$9,G639,1)),"",IF((AND(FIND('112'!$M$9,G639,1)&gt;=1,B639='112'!$K$9,OR($N639='112'!$I$6,$O639='112'!$I$6))),"x",""))</f>
        <v/>
      </c>
      <c r="U639" s="75" t="str">
        <f>IF(ISERROR(FIND('112'!$M$9,G639,1)),"",IF((AND(LEFT(G639,2)=LEFT('112'!$M$9,2),B639&lt;'112'!$K$9,$N639='112'!$I$6)),"x",""))</f>
        <v/>
      </c>
      <c r="V639" s="75" t="str">
        <f>IF(ISERROR(FIND('112'!$M$9,G639,1)),"",IF((AND(RIGHT(G639,2)=RIGHT('112'!$M$9,2),B639&lt;'112'!$K$9,$O639='112'!$I$6)),"x",""))</f>
        <v/>
      </c>
      <c r="W639" s="75" t="str">
        <f>IF(AND('341-CT'!$H$9=H639,OR(LEFT(N639,3)=$W$7,LEFT(O639,3)=$W$7)),"x","")</f>
        <v/>
      </c>
      <c r="X639" s="75" t="str">
        <f>IF(OR(TH!N639=TH!$X$7,O639=TH!$X$7),"x","")</f>
        <v/>
      </c>
      <c r="Y639" s="75" t="str">
        <f>IF(AND(OR(N639="131",O639="131"),H639='131-CT'!$H$9),"x","")</f>
        <v/>
      </c>
      <c r="Z639" s="75"/>
      <c r="AA639" s="75" t="str">
        <f>IF(AND(MONTH(E639)='IN-NX'!$J$5,'IN-NX'!$D$7=D639),"x","")</f>
        <v/>
      </c>
      <c r="AB639" s="75" t="str">
        <f>IF(AND(OR(LEFT(TH!N639,2)="15",LEFT(TH!O639,2)="15"),LEFT(TH!O639,3)&lt;&gt;"111",'152-CT'!$J$8=TH!F639),"x","")</f>
        <v/>
      </c>
      <c r="AC639" s="75" t="str">
        <f>IF(AND(OR(LEFT(TH!N639,2)="15",LEFT(TH!O639,2)="15"),TK!$E$7=TH!F639),"x","")</f>
        <v/>
      </c>
      <c r="AD639" s="75" t="str">
        <f>IF(AND(N639="1521",MONTH(C639)='BK-NL'!$M$11),"x","")</f>
        <v/>
      </c>
    </row>
    <row r="640" spans="1:31" ht="16.5" customHeight="1">
      <c r="A640" s="309" t="str">
        <f>IF(B640&lt;&gt;"",IF(AND(B640='IN-TC'!$S$4,OR(TH!N640="1111",TH!O640="1111")),TH!D640,""),"")</f>
        <v/>
      </c>
      <c r="B640" s="1242">
        <f t="shared" si="79"/>
        <v>9</v>
      </c>
      <c r="C640" s="929">
        <v>43003</v>
      </c>
      <c r="D640" s="929" t="s">
        <v>530</v>
      </c>
      <c r="E640" s="929">
        <v>43003</v>
      </c>
      <c r="F640" s="930" t="s">
        <v>810</v>
      </c>
      <c r="G640" s="931" t="s">
        <v>2161</v>
      </c>
      <c r="H640" s="296" t="s">
        <v>622</v>
      </c>
      <c r="I640" s="371"/>
      <c r="J640" s="932"/>
      <c r="K640" s="371"/>
      <c r="L640" s="377"/>
      <c r="M640" s="933">
        <v>16819640</v>
      </c>
      <c r="N640" s="934" t="s">
        <v>539</v>
      </c>
      <c r="O640" s="934" t="s">
        <v>8</v>
      </c>
      <c r="P640" s="75" t="str">
        <f>IF(AND('331-CT'!$E$7=TH!H640,OR(N640="331",O640="331")),"x","")</f>
        <v/>
      </c>
      <c r="Q640" s="75" t="str">
        <f>IF(AND(B640='111'!$L$11,OR($N640=$Q$7,$O640=$Q$7)),"x","")</f>
        <v/>
      </c>
      <c r="R640" s="75" t="str">
        <f>IF(AND($N640=$Q$7,$B640&lt;'111'!$L$11),"x","")</f>
        <v/>
      </c>
      <c r="S640" s="75" t="str">
        <f>IF(AND($O640=$Q$7,$B640&lt;'111'!$L$11),"x","")</f>
        <v/>
      </c>
      <c r="T640" s="75" t="str">
        <f>IF(ISERROR(FIND('112'!$M$9,G640,1)),"",IF((AND(FIND('112'!$M$9,G640,1)&gt;=1,B640='112'!$K$9,OR($N640='112'!$I$6,$O640='112'!$I$6))),"x",""))</f>
        <v/>
      </c>
      <c r="U640" s="75" t="str">
        <f>IF(ISERROR(FIND('112'!$M$9,G640,1)),"",IF((AND(LEFT(G640,2)=LEFT('112'!$M$9,2),B640&lt;'112'!$K$9,$N640='112'!$I$6)),"x",""))</f>
        <v/>
      </c>
      <c r="V640" s="75" t="str">
        <f>IF(ISERROR(FIND('112'!$M$9,G640,1)),"",IF((AND(RIGHT(G640,2)=RIGHT('112'!$M$9,2),B640&lt;'112'!$K$9,$O640='112'!$I$6)),"x",""))</f>
        <v/>
      </c>
      <c r="W640" s="75" t="str">
        <f>IF(AND('341-CT'!$H$9=H640,OR(LEFT(N640,3)=$W$7,LEFT(O640,3)=$W$7)),"x","")</f>
        <v/>
      </c>
      <c r="X640" s="75" t="str">
        <f>IF(OR(TH!N640=TH!$X$7,O640=TH!$X$7),"x","")</f>
        <v/>
      </c>
      <c r="Y640" s="75" t="str">
        <f>IF(AND(OR(N640="131",O640="131"),H640='131-CT'!$H$9),"x","")</f>
        <v/>
      </c>
      <c r="Z640" s="75"/>
      <c r="AA640" s="75" t="str">
        <f>IF(AND(MONTH(E640)='IN-NX'!$J$5,'IN-NX'!$D$7=D640),"x","")</f>
        <v/>
      </c>
      <c r="AB640" s="75" t="str">
        <f>IF(AND(OR(LEFT(TH!N640,2)="15",LEFT(TH!O640,2)="15"),LEFT(TH!O640,3)&lt;&gt;"111",'152-CT'!$J$8=TH!F640),"x","")</f>
        <v/>
      </c>
      <c r="AC640" s="75" t="str">
        <f>IF(AND(OR(LEFT(TH!N640,2)="15",LEFT(TH!O640,2)="15"),TK!$E$7=TH!F640),"x","")</f>
        <v/>
      </c>
      <c r="AD640" s="75" t="str">
        <f>IF(AND(N640="1521",MONTH(C640)='BK-NL'!$M$11),"x","")</f>
        <v/>
      </c>
      <c r="AE640">
        <v>9</v>
      </c>
    </row>
    <row r="641" spans="1:31" ht="16.5" customHeight="1">
      <c r="A641" s="309" t="str">
        <f>IF(B641&lt;&gt;"",IF(AND(B641='IN-TC'!$S$4,OR(TH!N641="1111",TH!O641="1111")),TH!D641,""),"")</f>
        <v/>
      </c>
      <c r="B641" s="1242">
        <f t="shared" si="79"/>
        <v>9</v>
      </c>
      <c r="C641" s="929">
        <v>43003</v>
      </c>
      <c r="D641" s="929" t="s">
        <v>530</v>
      </c>
      <c r="E641" s="929">
        <v>43003</v>
      </c>
      <c r="F641" s="930" t="s">
        <v>811</v>
      </c>
      <c r="G641" s="931" t="s">
        <v>2161</v>
      </c>
      <c r="H641" s="296" t="s">
        <v>622</v>
      </c>
      <c r="I641" s="371"/>
      <c r="J641" s="932"/>
      <c r="K641" s="371"/>
      <c r="L641" s="377"/>
      <c r="M641" s="933">
        <v>1681964</v>
      </c>
      <c r="N641" s="934" t="s">
        <v>9</v>
      </c>
      <c r="O641" s="934" t="s">
        <v>8</v>
      </c>
      <c r="P641" s="75" t="str">
        <f>IF(AND('331-CT'!$E$7=TH!H641,OR(N641="331",O641="331")),"x","")</f>
        <v/>
      </c>
      <c r="Q641" s="75" t="str">
        <f>IF(AND(B641='111'!$L$11,OR($N641=$Q$7,$O641=$Q$7)),"x","")</f>
        <v/>
      </c>
      <c r="R641" s="75" t="str">
        <f>IF(AND($N641=$Q$7,$B641&lt;'111'!$L$11),"x","")</f>
        <v/>
      </c>
      <c r="S641" s="75" t="str">
        <f>IF(AND($O641=$Q$7,$B641&lt;'111'!$L$11),"x","")</f>
        <v/>
      </c>
      <c r="T641" s="75" t="str">
        <f>IF(ISERROR(FIND('112'!$M$9,G641,1)),"",IF((AND(FIND('112'!$M$9,G641,1)&gt;=1,B641='112'!$K$9,OR($N641='112'!$I$6,$O641='112'!$I$6))),"x",""))</f>
        <v/>
      </c>
      <c r="U641" s="75" t="str">
        <f>IF(ISERROR(FIND('112'!$M$9,G641,1)),"",IF((AND(LEFT(G641,2)=LEFT('112'!$M$9,2),B641&lt;'112'!$K$9,$N641='112'!$I$6)),"x",""))</f>
        <v/>
      </c>
      <c r="V641" s="75" t="str">
        <f>IF(ISERROR(FIND('112'!$M$9,G641,1)),"",IF((AND(RIGHT(G641,2)=RIGHT('112'!$M$9,2),B641&lt;'112'!$K$9,$O641='112'!$I$6)),"x",""))</f>
        <v/>
      </c>
      <c r="W641" s="75" t="str">
        <f>IF(AND('341-CT'!$H$9=H641,OR(LEFT(N641,3)=$W$7,LEFT(O641,3)=$W$7)),"x","")</f>
        <v/>
      </c>
      <c r="X641" s="75" t="str">
        <f>IF(OR(TH!N641=TH!$X$7,O641=TH!$X$7),"x","")</f>
        <v/>
      </c>
      <c r="Y641" s="75" t="str">
        <f>IF(AND(OR(N641="131",O641="131"),H641='131-CT'!$H$9),"x","")</f>
        <v/>
      </c>
      <c r="Z641" s="75"/>
      <c r="AA641" s="75" t="str">
        <f>IF(AND(MONTH(E641)='IN-NX'!$J$5,'IN-NX'!$D$7=D641),"x","")</f>
        <v/>
      </c>
      <c r="AB641" s="75" t="str">
        <f>IF(AND(OR(LEFT(TH!N641,2)="15",LEFT(TH!O641,2)="15"),LEFT(TH!O641,3)&lt;&gt;"111",'152-CT'!$J$8=TH!F641),"x","")</f>
        <v/>
      </c>
      <c r="AC641" s="75" t="str">
        <f>IF(AND(OR(LEFT(TH!N641,2)="15",LEFT(TH!O641,2)="15"),TK!$E$7=TH!F641),"x","")</f>
        <v/>
      </c>
      <c r="AD641" s="75" t="str">
        <f>IF(AND(N641="1521",MONTH(C641)='BK-NL'!$M$11),"x","")</f>
        <v/>
      </c>
      <c r="AE641">
        <v>9</v>
      </c>
    </row>
    <row r="642" spans="1:31" ht="16.5" customHeight="1">
      <c r="A642" s="309" t="str">
        <f>IF(B642&lt;&gt;"",IF(AND(B642='IN-TC'!$S$4,OR(TH!N642="1111",TH!O642="1111")),TH!D642,""),"")</f>
        <v/>
      </c>
      <c r="B642" s="1242">
        <f t="shared" si="79"/>
        <v>9</v>
      </c>
      <c r="C642" s="929">
        <v>43003</v>
      </c>
      <c r="D642" s="929" t="s">
        <v>530</v>
      </c>
      <c r="E642" s="929">
        <v>43003</v>
      </c>
      <c r="F642" s="930" t="s">
        <v>808</v>
      </c>
      <c r="G642" s="931" t="s">
        <v>2162</v>
      </c>
      <c r="H642" s="296" t="s">
        <v>622</v>
      </c>
      <c r="I642" s="371"/>
      <c r="J642" s="932"/>
      <c r="K642" s="371"/>
      <c r="L642" s="377"/>
      <c r="M642" s="933">
        <v>81936000</v>
      </c>
      <c r="N642" s="934" t="s">
        <v>539</v>
      </c>
      <c r="O642" s="934" t="s">
        <v>8</v>
      </c>
      <c r="P642" s="75" t="str">
        <f>IF(AND('331-CT'!$E$7=TH!H642,OR(N642="331",O642="331")),"x","")</f>
        <v/>
      </c>
      <c r="Q642" s="75" t="str">
        <f>IF(AND(B642='111'!$L$11,OR($N642=$Q$7,$O642=$Q$7)),"x","")</f>
        <v/>
      </c>
      <c r="R642" s="75" t="str">
        <f>IF(AND($N642=$Q$7,$B642&lt;'111'!$L$11),"x","")</f>
        <v/>
      </c>
      <c r="S642" s="75" t="str">
        <f>IF(AND($O642=$Q$7,$B642&lt;'111'!$L$11),"x","")</f>
        <v/>
      </c>
      <c r="T642" s="75" t="str">
        <f>IF(ISERROR(FIND('112'!$M$9,G642,1)),"",IF((AND(FIND('112'!$M$9,G642,1)&gt;=1,B642='112'!$K$9,OR($N642='112'!$I$6,$O642='112'!$I$6))),"x",""))</f>
        <v/>
      </c>
      <c r="U642" s="75" t="str">
        <f>IF(ISERROR(FIND('112'!$M$9,G642,1)),"",IF((AND(LEFT(G642,2)=LEFT('112'!$M$9,2),B642&lt;'112'!$K$9,$N642='112'!$I$6)),"x",""))</f>
        <v/>
      </c>
      <c r="V642" s="75" t="str">
        <f>IF(ISERROR(FIND('112'!$M$9,G642,1)),"",IF((AND(RIGHT(G642,2)=RIGHT('112'!$M$9,2),B642&lt;'112'!$K$9,$O642='112'!$I$6)),"x",""))</f>
        <v/>
      </c>
      <c r="W642" s="75" t="str">
        <f>IF(AND('341-CT'!$H$9=H642,OR(LEFT(N642,3)=$W$7,LEFT(O642,3)=$W$7)),"x","")</f>
        <v/>
      </c>
      <c r="X642" s="75" t="str">
        <f>IF(OR(TH!N642=TH!$X$7,O642=TH!$X$7),"x","")</f>
        <v/>
      </c>
      <c r="Y642" s="75" t="str">
        <f>IF(AND(OR(N642="131",O642="131"),H642='131-CT'!$H$9),"x","")</f>
        <v/>
      </c>
      <c r="Z642" s="75"/>
      <c r="AA642" s="75" t="str">
        <f>IF(AND(MONTH(E642)='IN-NX'!$J$5,'IN-NX'!$D$7=D642),"x","")</f>
        <v/>
      </c>
      <c r="AB642" s="75" t="str">
        <f>IF(AND(OR(LEFT(TH!N642,2)="15",LEFT(TH!O642,2)="15"),LEFT(TH!O642,3)&lt;&gt;"111",'152-CT'!$J$8=TH!F642),"x","")</f>
        <v/>
      </c>
      <c r="AC642" s="75" t="str">
        <f>IF(AND(OR(LEFT(TH!N642,2)="15",LEFT(TH!O642,2)="15"),TK!$E$7=TH!F642),"x","")</f>
        <v/>
      </c>
      <c r="AD642" s="75" t="str">
        <f>IF(AND(N642="1521",MONTH(C642)='BK-NL'!$M$11),"x","")</f>
        <v/>
      </c>
    </row>
    <row r="643" spans="1:31" ht="16.5" customHeight="1">
      <c r="A643" s="309" t="str">
        <f>IF(B643&lt;&gt;"",IF(AND(B643='IN-TC'!$S$4,OR(TH!N643="1111",TH!O643="1111")),TH!D643,""),"")</f>
        <v/>
      </c>
      <c r="B643" s="1242">
        <f t="shared" si="79"/>
        <v>9</v>
      </c>
      <c r="C643" s="929">
        <v>43003</v>
      </c>
      <c r="D643" s="929" t="s">
        <v>530</v>
      </c>
      <c r="E643" s="929">
        <v>43003</v>
      </c>
      <c r="F643" s="930" t="s">
        <v>810</v>
      </c>
      <c r="G643" s="931" t="s">
        <v>2163</v>
      </c>
      <c r="H643" s="296" t="s">
        <v>622</v>
      </c>
      <c r="I643" s="371"/>
      <c r="J643" s="932"/>
      <c r="K643" s="371"/>
      <c r="L643" s="377"/>
      <c r="M643" s="933">
        <v>31021880</v>
      </c>
      <c r="N643" s="934" t="s">
        <v>539</v>
      </c>
      <c r="O643" s="934" t="s">
        <v>8</v>
      </c>
      <c r="P643" s="75" t="str">
        <f>IF(AND('331-CT'!$E$7=TH!H643,OR(N643="331",O643="331")),"x","")</f>
        <v/>
      </c>
      <c r="Q643" s="75" t="str">
        <f>IF(AND(B643='111'!$L$11,OR($N643=$Q$7,$O643=$Q$7)),"x","")</f>
        <v/>
      </c>
      <c r="R643" s="75" t="str">
        <f>IF(AND($N643=$Q$7,$B643&lt;'111'!$L$11),"x","")</f>
        <v/>
      </c>
      <c r="S643" s="75" t="str">
        <f>IF(AND($O643=$Q$7,$B643&lt;'111'!$L$11),"x","")</f>
        <v/>
      </c>
      <c r="T643" s="75" t="str">
        <f>IF(ISERROR(FIND('112'!$M$9,G643,1)),"",IF((AND(FIND('112'!$M$9,G643,1)&gt;=1,B643='112'!$K$9,OR($N643='112'!$I$6,$O643='112'!$I$6))),"x",""))</f>
        <v/>
      </c>
      <c r="U643" s="75" t="str">
        <f>IF(ISERROR(FIND('112'!$M$9,G643,1)),"",IF((AND(LEFT(G643,2)=LEFT('112'!$M$9,2),B643&lt;'112'!$K$9,$N643='112'!$I$6)),"x",""))</f>
        <v/>
      </c>
      <c r="V643" s="75" t="str">
        <f>IF(ISERROR(FIND('112'!$M$9,G643,1)),"",IF((AND(RIGHT(G643,2)=RIGHT('112'!$M$9,2),B643&lt;'112'!$K$9,$O643='112'!$I$6)),"x",""))</f>
        <v/>
      </c>
      <c r="W643" s="75" t="str">
        <f>IF(AND('341-CT'!$H$9=H643,OR(LEFT(N643,3)=$W$7,LEFT(O643,3)=$W$7)),"x","")</f>
        <v/>
      </c>
      <c r="X643" s="75" t="str">
        <f>IF(OR(TH!N643=TH!$X$7,O643=TH!$X$7),"x","")</f>
        <v/>
      </c>
      <c r="Y643" s="75" t="str">
        <f>IF(AND(OR(N643="131",O643="131"),H643='131-CT'!$H$9),"x","")</f>
        <v/>
      </c>
      <c r="Z643" s="75"/>
      <c r="AA643" s="75" t="str">
        <f>IF(AND(MONTH(E643)='IN-NX'!$J$5,'IN-NX'!$D$7=D643),"x","")</f>
        <v/>
      </c>
      <c r="AB643" s="75" t="str">
        <f>IF(AND(OR(LEFT(TH!N643,2)="15",LEFT(TH!O643,2)="15"),LEFT(TH!O643,3)&lt;&gt;"111",'152-CT'!$J$8=TH!F643),"x","")</f>
        <v/>
      </c>
      <c r="AC643" s="75" t="str">
        <f>IF(AND(OR(LEFT(TH!N643,2)="15",LEFT(TH!O643,2)="15"),TK!$E$7=TH!F643),"x","")</f>
        <v/>
      </c>
      <c r="AD643" s="75" t="str">
        <f>IF(AND(N643="1521",MONTH(C643)='BK-NL'!$M$11),"x","")</f>
        <v/>
      </c>
      <c r="AE643">
        <v>9</v>
      </c>
    </row>
    <row r="644" spans="1:31" ht="16.5" customHeight="1">
      <c r="A644" s="309" t="str">
        <f>IF(B644&lt;&gt;"",IF(AND(B644='IN-TC'!$S$4,OR(TH!N644="1111",TH!O644="1111")),TH!D644,""),"")</f>
        <v/>
      </c>
      <c r="B644" s="1242">
        <f t="shared" si="79"/>
        <v>9</v>
      </c>
      <c r="C644" s="929">
        <v>43003</v>
      </c>
      <c r="D644" s="929" t="s">
        <v>530</v>
      </c>
      <c r="E644" s="929">
        <v>43003</v>
      </c>
      <c r="F644" s="930" t="s">
        <v>811</v>
      </c>
      <c r="G644" s="931" t="s">
        <v>2163</v>
      </c>
      <c r="H644" s="296" t="s">
        <v>622</v>
      </c>
      <c r="I644" s="371"/>
      <c r="J644" s="932"/>
      <c r="K644" s="371"/>
      <c r="L644" s="377"/>
      <c r="M644" s="933">
        <v>3102188</v>
      </c>
      <c r="N644" s="934" t="s">
        <v>9</v>
      </c>
      <c r="O644" s="934" t="s">
        <v>8</v>
      </c>
      <c r="P644" s="75" t="str">
        <f>IF(AND('331-CT'!$E$7=TH!H644,OR(N644="331",O644="331")),"x","")</f>
        <v/>
      </c>
      <c r="Q644" s="75" t="str">
        <f>IF(AND(B644='111'!$L$11,OR($N644=$Q$7,$O644=$Q$7)),"x","")</f>
        <v/>
      </c>
      <c r="R644" s="75" t="str">
        <f>IF(AND($N644=$Q$7,$B644&lt;'111'!$L$11),"x","")</f>
        <v/>
      </c>
      <c r="S644" s="75" t="str">
        <f>IF(AND($O644=$Q$7,$B644&lt;'111'!$L$11),"x","")</f>
        <v/>
      </c>
      <c r="T644" s="75" t="str">
        <f>IF(ISERROR(FIND('112'!$M$9,G644,1)),"",IF((AND(FIND('112'!$M$9,G644,1)&gt;=1,B644='112'!$K$9,OR($N644='112'!$I$6,$O644='112'!$I$6))),"x",""))</f>
        <v/>
      </c>
      <c r="U644" s="75" t="str">
        <f>IF(ISERROR(FIND('112'!$M$9,G644,1)),"",IF((AND(LEFT(G644,2)=LEFT('112'!$M$9,2),B644&lt;'112'!$K$9,$N644='112'!$I$6)),"x",""))</f>
        <v/>
      </c>
      <c r="V644" s="75" t="str">
        <f>IF(ISERROR(FIND('112'!$M$9,G644,1)),"",IF((AND(RIGHT(G644,2)=RIGHT('112'!$M$9,2),B644&lt;'112'!$K$9,$O644='112'!$I$6)),"x",""))</f>
        <v/>
      </c>
      <c r="W644" s="75" t="str">
        <f>IF(AND('341-CT'!$H$9=H644,OR(LEFT(N644,3)=$W$7,LEFT(O644,3)=$W$7)),"x","")</f>
        <v/>
      </c>
      <c r="X644" s="75" t="str">
        <f>IF(OR(TH!N644=TH!$X$7,O644=TH!$X$7),"x","")</f>
        <v/>
      </c>
      <c r="Y644" s="75" t="str">
        <f>IF(AND(OR(N644="131",O644="131"),H644='131-CT'!$H$9),"x","")</f>
        <v/>
      </c>
      <c r="Z644" s="75"/>
      <c r="AA644" s="75" t="str">
        <f>IF(AND(MONTH(E644)='IN-NX'!$J$5,'IN-NX'!$D$7=D644),"x","")</f>
        <v/>
      </c>
      <c r="AB644" s="75" t="str">
        <f>IF(AND(OR(LEFT(TH!N644,2)="15",LEFT(TH!O644,2)="15"),LEFT(TH!O644,3)&lt;&gt;"111",'152-CT'!$J$8=TH!F644),"x","")</f>
        <v/>
      </c>
      <c r="AC644" s="75" t="str">
        <f>IF(AND(OR(LEFT(TH!N644,2)="15",LEFT(TH!O644,2)="15"),TK!$E$7=TH!F644),"x","")</f>
        <v/>
      </c>
      <c r="AD644" s="75" t="str">
        <f>IF(AND(N644="1521",MONTH(C644)='BK-NL'!$M$11),"x","")</f>
        <v/>
      </c>
      <c r="AE644">
        <v>9</v>
      </c>
    </row>
    <row r="645" spans="1:31" ht="16.5" customHeight="1">
      <c r="A645" s="309" t="str">
        <f>IF(B645&lt;&gt;"",IF(AND(B645='IN-TC'!$S$4,OR(TH!N645="1111",TH!O645="1111")),TH!D645,""),"")</f>
        <v/>
      </c>
      <c r="B645" s="1242">
        <f t="shared" si="79"/>
        <v>9</v>
      </c>
      <c r="C645" s="929">
        <v>43003</v>
      </c>
      <c r="D645" s="929" t="s">
        <v>530</v>
      </c>
      <c r="E645" s="929">
        <v>43003</v>
      </c>
      <c r="F645" s="930" t="s">
        <v>808</v>
      </c>
      <c r="G645" s="931" t="s">
        <v>2164</v>
      </c>
      <c r="H645" s="296" t="s">
        <v>622</v>
      </c>
      <c r="I645" s="371"/>
      <c r="J645" s="932"/>
      <c r="K645" s="371"/>
      <c r="L645" s="377"/>
      <c r="M645" s="933">
        <v>54624000</v>
      </c>
      <c r="N645" s="934" t="s">
        <v>539</v>
      </c>
      <c r="O645" s="934" t="s">
        <v>8</v>
      </c>
      <c r="P645" s="75" t="str">
        <f>IF(AND('331-CT'!$E$7=TH!H645,OR(N645="331",O645="331")),"x","")</f>
        <v/>
      </c>
      <c r="Q645" s="75" t="str">
        <f>IF(AND(B645='111'!$L$11,OR($N645=$Q$7,$O645=$Q$7)),"x","")</f>
        <v/>
      </c>
      <c r="R645" s="75" t="str">
        <f>IF(AND($N645=$Q$7,$B645&lt;'111'!$L$11),"x","")</f>
        <v/>
      </c>
      <c r="S645" s="75" t="str">
        <f>IF(AND($O645=$Q$7,$B645&lt;'111'!$L$11),"x","")</f>
        <v/>
      </c>
      <c r="T645" s="75" t="str">
        <f>IF(ISERROR(FIND('112'!$M$9,G645,1)),"",IF((AND(FIND('112'!$M$9,G645,1)&gt;=1,B645='112'!$K$9,OR($N645='112'!$I$6,$O645='112'!$I$6))),"x",""))</f>
        <v/>
      </c>
      <c r="U645" s="75" t="str">
        <f>IF(ISERROR(FIND('112'!$M$9,G645,1)),"",IF((AND(LEFT(G645,2)=LEFT('112'!$M$9,2),B645&lt;'112'!$K$9,$N645='112'!$I$6)),"x",""))</f>
        <v/>
      </c>
      <c r="V645" s="75" t="str">
        <f>IF(ISERROR(FIND('112'!$M$9,G645,1)),"",IF((AND(RIGHT(G645,2)=RIGHT('112'!$M$9,2),B645&lt;'112'!$K$9,$O645='112'!$I$6)),"x",""))</f>
        <v/>
      </c>
      <c r="W645" s="75" t="str">
        <f>IF(AND('341-CT'!$H$9=H645,OR(LEFT(N645,3)=$W$7,LEFT(O645,3)=$W$7)),"x","")</f>
        <v/>
      </c>
      <c r="X645" s="75" t="str">
        <f>IF(OR(TH!N645=TH!$X$7,O645=TH!$X$7),"x","")</f>
        <v/>
      </c>
      <c r="Y645" s="75" t="str">
        <f>IF(AND(OR(N645="131",O645="131"),H645='131-CT'!$H$9),"x","")</f>
        <v/>
      </c>
      <c r="Z645" s="75"/>
      <c r="AA645" s="75" t="str">
        <f>IF(AND(MONTH(E645)='IN-NX'!$J$5,'IN-NX'!$D$7=D645),"x","")</f>
        <v/>
      </c>
      <c r="AB645" s="75" t="str">
        <f>IF(AND(OR(LEFT(TH!N645,2)="15",LEFT(TH!O645,2)="15"),LEFT(TH!O645,3)&lt;&gt;"111",'152-CT'!$J$8=TH!F645),"x","")</f>
        <v/>
      </c>
      <c r="AC645" s="75" t="str">
        <f>IF(AND(OR(LEFT(TH!N645,2)="15",LEFT(TH!O645,2)="15"),TK!$E$7=TH!F645),"x","")</f>
        <v/>
      </c>
      <c r="AD645" s="75" t="str">
        <f>IF(AND(N645="1521",MONTH(C645)='BK-NL'!$M$11),"x","")</f>
        <v/>
      </c>
    </row>
    <row r="646" spans="1:31" ht="16.5" customHeight="1">
      <c r="A646" s="309" t="str">
        <f>IF(B646&lt;&gt;"",IF(AND(B646='IN-TC'!$S$4,OR(TH!N646="1111",TH!O646="1111")),TH!D646,""),"")</f>
        <v/>
      </c>
      <c r="B646" s="1242">
        <f t="shared" si="79"/>
        <v>9</v>
      </c>
      <c r="C646" s="929">
        <v>43003</v>
      </c>
      <c r="D646" s="929" t="s">
        <v>530</v>
      </c>
      <c r="E646" s="929">
        <v>43003</v>
      </c>
      <c r="F646" s="930" t="s">
        <v>810</v>
      </c>
      <c r="G646" s="931" t="s">
        <v>2165</v>
      </c>
      <c r="H646" s="296" t="s">
        <v>622</v>
      </c>
      <c r="I646" s="371"/>
      <c r="J646" s="932"/>
      <c r="K646" s="371"/>
      <c r="L646" s="377"/>
      <c r="M646" s="933">
        <v>21098520</v>
      </c>
      <c r="N646" s="934" t="s">
        <v>539</v>
      </c>
      <c r="O646" s="934" t="s">
        <v>8</v>
      </c>
      <c r="P646" s="75" t="str">
        <f>IF(AND('331-CT'!$E$7=TH!H646,OR(N646="331",O646="331")),"x","")</f>
        <v/>
      </c>
      <c r="Q646" s="75" t="str">
        <f>IF(AND(B646='111'!$L$11,OR($N646=$Q$7,$O646=$Q$7)),"x","")</f>
        <v/>
      </c>
      <c r="R646" s="75" t="str">
        <f>IF(AND($N646=$Q$7,$B646&lt;'111'!$L$11),"x","")</f>
        <v/>
      </c>
      <c r="S646" s="75" t="str">
        <f>IF(AND($O646=$Q$7,$B646&lt;'111'!$L$11),"x","")</f>
        <v/>
      </c>
      <c r="T646" s="75" t="str">
        <f>IF(ISERROR(FIND('112'!$M$9,G646,1)),"",IF((AND(FIND('112'!$M$9,G646,1)&gt;=1,B646='112'!$K$9,OR($N646='112'!$I$6,$O646='112'!$I$6))),"x",""))</f>
        <v/>
      </c>
      <c r="U646" s="75" t="str">
        <f>IF(ISERROR(FIND('112'!$M$9,G646,1)),"",IF((AND(LEFT(G646,2)=LEFT('112'!$M$9,2),B646&lt;'112'!$K$9,$N646='112'!$I$6)),"x",""))</f>
        <v/>
      </c>
      <c r="V646" s="75" t="str">
        <f>IF(ISERROR(FIND('112'!$M$9,G646,1)),"",IF((AND(RIGHT(G646,2)=RIGHT('112'!$M$9,2),B646&lt;'112'!$K$9,$O646='112'!$I$6)),"x",""))</f>
        <v/>
      </c>
      <c r="W646" s="75" t="str">
        <f>IF(AND('341-CT'!$H$9=H646,OR(LEFT(N646,3)=$W$7,LEFT(O646,3)=$W$7)),"x","")</f>
        <v/>
      </c>
      <c r="X646" s="75" t="str">
        <f>IF(OR(TH!N646=TH!$X$7,O646=TH!$X$7),"x","")</f>
        <v/>
      </c>
      <c r="Y646" s="75" t="str">
        <f>IF(AND(OR(N646="131",O646="131"),H646='131-CT'!$H$9),"x","")</f>
        <v/>
      </c>
      <c r="Z646" s="75"/>
      <c r="AA646" s="75" t="str">
        <f>IF(AND(MONTH(E646)='IN-NX'!$J$5,'IN-NX'!$D$7=D646),"x","")</f>
        <v/>
      </c>
      <c r="AB646" s="75" t="str">
        <f>IF(AND(OR(LEFT(TH!N646,2)="15",LEFT(TH!O646,2)="15"),LEFT(TH!O646,3)&lt;&gt;"111",'152-CT'!$J$8=TH!F646),"x","")</f>
        <v/>
      </c>
      <c r="AC646" s="75" t="str">
        <f>IF(AND(OR(LEFT(TH!N646,2)="15",LEFT(TH!O646,2)="15"),TK!$E$7=TH!F646),"x","")</f>
        <v/>
      </c>
      <c r="AD646" s="75" t="str">
        <f>IF(AND(N646="1521",MONTH(C646)='BK-NL'!$M$11),"x","")</f>
        <v/>
      </c>
      <c r="AE646">
        <v>9</v>
      </c>
    </row>
    <row r="647" spans="1:31" ht="16.5" customHeight="1">
      <c r="A647" s="309" t="str">
        <f>IF(B647&lt;&gt;"",IF(AND(B647='IN-TC'!$S$4,OR(TH!N647="1111",TH!O647="1111")),TH!D647,""),"")</f>
        <v/>
      </c>
      <c r="B647" s="1242">
        <f t="shared" si="79"/>
        <v>9</v>
      </c>
      <c r="C647" s="929">
        <v>43003</v>
      </c>
      <c r="D647" s="929" t="s">
        <v>530</v>
      </c>
      <c r="E647" s="929">
        <v>43003</v>
      </c>
      <c r="F647" s="930" t="s">
        <v>811</v>
      </c>
      <c r="G647" s="931" t="s">
        <v>2165</v>
      </c>
      <c r="H647" s="296" t="s">
        <v>622</v>
      </c>
      <c r="I647" s="371"/>
      <c r="J647" s="932"/>
      <c r="K647" s="371"/>
      <c r="L647" s="377"/>
      <c r="M647" s="933">
        <v>2109852</v>
      </c>
      <c r="N647" s="934" t="s">
        <v>9</v>
      </c>
      <c r="O647" s="934" t="s">
        <v>8</v>
      </c>
      <c r="P647" s="75" t="str">
        <f>IF(AND('331-CT'!$E$7=TH!H647,OR(N647="331",O647="331")),"x","")</f>
        <v/>
      </c>
      <c r="Q647" s="75" t="str">
        <f>IF(AND(B647='111'!$L$11,OR($N647=$Q$7,$O647=$Q$7)),"x","")</f>
        <v/>
      </c>
      <c r="R647" s="75" t="str">
        <f>IF(AND($N647=$Q$7,$B647&lt;'111'!$L$11),"x","")</f>
        <v/>
      </c>
      <c r="S647" s="75" t="str">
        <f>IF(AND($O647=$Q$7,$B647&lt;'111'!$L$11),"x","")</f>
        <v/>
      </c>
      <c r="T647" s="75" t="str">
        <f>IF(ISERROR(FIND('112'!$M$9,G647,1)),"",IF((AND(FIND('112'!$M$9,G647,1)&gt;=1,B647='112'!$K$9,OR($N647='112'!$I$6,$O647='112'!$I$6))),"x",""))</f>
        <v/>
      </c>
      <c r="U647" s="75" t="str">
        <f>IF(ISERROR(FIND('112'!$M$9,G647,1)),"",IF((AND(LEFT(G647,2)=LEFT('112'!$M$9,2),B647&lt;'112'!$K$9,$N647='112'!$I$6)),"x",""))</f>
        <v/>
      </c>
      <c r="V647" s="75" t="str">
        <f>IF(ISERROR(FIND('112'!$M$9,G647,1)),"",IF((AND(RIGHT(G647,2)=RIGHT('112'!$M$9,2),B647&lt;'112'!$K$9,$O647='112'!$I$6)),"x",""))</f>
        <v/>
      </c>
      <c r="W647" s="75" t="str">
        <f>IF(AND('341-CT'!$H$9=H647,OR(LEFT(N647,3)=$W$7,LEFT(O647,3)=$W$7)),"x","")</f>
        <v/>
      </c>
      <c r="X647" s="75" t="str">
        <f>IF(OR(TH!N647=TH!$X$7,O647=TH!$X$7),"x","")</f>
        <v/>
      </c>
      <c r="Y647" s="75" t="str">
        <f>IF(AND(OR(N647="131",O647="131"),H647='131-CT'!$H$9),"x","")</f>
        <v/>
      </c>
      <c r="Z647" s="75"/>
      <c r="AA647" s="75" t="str">
        <f>IF(AND(MONTH(E647)='IN-NX'!$J$5,'IN-NX'!$D$7=D647),"x","")</f>
        <v/>
      </c>
      <c r="AB647" s="75" t="str">
        <f>IF(AND(OR(LEFT(TH!N647,2)="15",LEFT(TH!O647,2)="15"),LEFT(TH!O647,3)&lt;&gt;"111",'152-CT'!$J$8=TH!F647),"x","")</f>
        <v/>
      </c>
      <c r="AC647" s="75" t="str">
        <f>IF(AND(OR(LEFT(TH!N647,2)="15",LEFT(TH!O647,2)="15"),TK!$E$7=TH!F647),"x","")</f>
        <v/>
      </c>
      <c r="AD647" s="75" t="str">
        <f>IF(AND(N647="1521",MONTH(C647)='BK-NL'!$M$11),"x","")</f>
        <v/>
      </c>
      <c r="AE647">
        <v>9</v>
      </c>
    </row>
    <row r="648" spans="1:31" ht="16.5" customHeight="1">
      <c r="A648" s="309" t="str">
        <f>IF(B648&lt;&gt;"",IF(AND(B648='IN-TC'!$S$4,OR(TH!N648="1111",TH!O648="1111")),TH!D648,""),"")</f>
        <v/>
      </c>
      <c r="B648" s="1242">
        <f t="shared" si="79"/>
        <v>9</v>
      </c>
      <c r="C648" s="929">
        <v>43003</v>
      </c>
      <c r="D648" s="929" t="s">
        <v>530</v>
      </c>
      <c r="E648" s="929">
        <v>43003</v>
      </c>
      <c r="F648" s="930" t="s">
        <v>808</v>
      </c>
      <c r="G648" s="931" t="s">
        <v>1110</v>
      </c>
      <c r="H648" s="296" t="s">
        <v>622</v>
      </c>
      <c r="I648" s="371"/>
      <c r="J648" s="932"/>
      <c r="K648" s="371"/>
      <c r="L648" s="377"/>
      <c r="M648" s="933">
        <v>27312000</v>
      </c>
      <c r="N648" s="934" t="s">
        <v>539</v>
      </c>
      <c r="O648" s="934" t="s">
        <v>8</v>
      </c>
      <c r="P648" s="75" t="str">
        <f>IF(AND('331-CT'!$E$7=TH!H648,OR(N648="331",O648="331")),"x","")</f>
        <v/>
      </c>
      <c r="Q648" s="75" t="str">
        <f>IF(AND(B648='111'!$L$11,OR($N648=$Q$7,$O648=$Q$7)),"x","")</f>
        <v/>
      </c>
      <c r="R648" s="75" t="str">
        <f>IF(AND($N648=$Q$7,$B648&lt;'111'!$L$11),"x","")</f>
        <v/>
      </c>
      <c r="S648" s="75" t="str">
        <f>IF(AND($O648=$Q$7,$B648&lt;'111'!$L$11),"x","")</f>
        <v/>
      </c>
      <c r="T648" s="75" t="str">
        <f>IF(ISERROR(FIND('112'!$M$9,G648,1)),"",IF((AND(FIND('112'!$M$9,G648,1)&gt;=1,B648='112'!$K$9,OR($N648='112'!$I$6,$O648='112'!$I$6))),"x",""))</f>
        <v/>
      </c>
      <c r="U648" s="75" t="str">
        <f>IF(ISERROR(FIND('112'!$M$9,G648,1)),"",IF((AND(LEFT(G648,2)=LEFT('112'!$M$9,2),B648&lt;'112'!$K$9,$N648='112'!$I$6)),"x",""))</f>
        <v/>
      </c>
      <c r="V648" s="75" t="str">
        <f>IF(ISERROR(FIND('112'!$M$9,G648,1)),"",IF((AND(RIGHT(G648,2)=RIGHT('112'!$M$9,2),B648&lt;'112'!$K$9,$O648='112'!$I$6)),"x",""))</f>
        <v/>
      </c>
      <c r="W648" s="75" t="str">
        <f>IF(AND('341-CT'!$H$9=H648,OR(LEFT(N648,3)=$W$7,LEFT(O648,3)=$W$7)),"x","")</f>
        <v/>
      </c>
      <c r="X648" s="75" t="str">
        <f>IF(OR(TH!N648=TH!$X$7,O648=TH!$X$7),"x","")</f>
        <v/>
      </c>
      <c r="Y648" s="75" t="str">
        <f>IF(AND(OR(N648="131",O648="131"),H648='131-CT'!$H$9),"x","")</f>
        <v/>
      </c>
      <c r="Z648" s="75"/>
      <c r="AA648" s="75" t="str">
        <f>IF(AND(MONTH(E648)='IN-NX'!$J$5,'IN-NX'!$D$7=D648),"x","")</f>
        <v/>
      </c>
      <c r="AB648" s="75" t="str">
        <f>IF(AND(OR(LEFT(TH!N648,2)="15",LEFT(TH!O648,2)="15"),LEFT(TH!O648,3)&lt;&gt;"111",'152-CT'!$J$8=TH!F648),"x","")</f>
        <v/>
      </c>
      <c r="AC648" s="75" t="str">
        <f>IF(AND(OR(LEFT(TH!N648,2)="15",LEFT(TH!O648,2)="15"),TK!$E$7=TH!F648),"x","")</f>
        <v/>
      </c>
      <c r="AD648" s="75" t="str">
        <f>IF(AND(N648="1521",MONTH(C648)='BK-NL'!$M$11),"x","")</f>
        <v/>
      </c>
    </row>
    <row r="649" spans="1:31" ht="16.5" customHeight="1">
      <c r="A649" s="309" t="str">
        <f>IF(B649&lt;&gt;"",IF(AND(B649='IN-TC'!$S$4,OR(TH!N649="1111",TH!O649="1111")),TH!D649,""),"")</f>
        <v/>
      </c>
      <c r="B649" s="1242">
        <f t="shared" si="79"/>
        <v>9</v>
      </c>
      <c r="C649" s="929">
        <v>43003</v>
      </c>
      <c r="D649" s="929" t="s">
        <v>530</v>
      </c>
      <c r="E649" s="929">
        <v>43003</v>
      </c>
      <c r="F649" s="930" t="s">
        <v>810</v>
      </c>
      <c r="G649" s="931" t="s">
        <v>2166</v>
      </c>
      <c r="H649" s="296" t="s">
        <v>622</v>
      </c>
      <c r="I649" s="371"/>
      <c r="J649" s="932"/>
      <c r="K649" s="371"/>
      <c r="L649" s="377"/>
      <c r="M649" s="933">
        <v>11175160</v>
      </c>
      <c r="N649" s="934" t="s">
        <v>539</v>
      </c>
      <c r="O649" s="934" t="s">
        <v>8</v>
      </c>
      <c r="P649" s="75" t="str">
        <f>IF(AND('331-CT'!$E$7=TH!H649,OR(N649="331",O649="331")),"x","")</f>
        <v/>
      </c>
      <c r="Q649" s="75" t="str">
        <f>IF(AND(B649='111'!$L$11,OR($N649=$Q$7,$O649=$Q$7)),"x","")</f>
        <v/>
      </c>
      <c r="R649" s="75" t="str">
        <f>IF(AND($N649=$Q$7,$B649&lt;'111'!$L$11),"x","")</f>
        <v/>
      </c>
      <c r="S649" s="75" t="str">
        <f>IF(AND($O649=$Q$7,$B649&lt;'111'!$L$11),"x","")</f>
        <v/>
      </c>
      <c r="T649" s="75" t="str">
        <f>IF(ISERROR(FIND('112'!$M$9,G649,1)),"",IF((AND(FIND('112'!$M$9,G649,1)&gt;=1,B649='112'!$K$9,OR($N649='112'!$I$6,$O649='112'!$I$6))),"x",""))</f>
        <v/>
      </c>
      <c r="U649" s="75" t="str">
        <f>IF(ISERROR(FIND('112'!$M$9,G649,1)),"",IF((AND(LEFT(G649,2)=LEFT('112'!$M$9,2),B649&lt;'112'!$K$9,$N649='112'!$I$6)),"x",""))</f>
        <v/>
      </c>
      <c r="V649" s="75" t="str">
        <f>IF(ISERROR(FIND('112'!$M$9,G649,1)),"",IF((AND(RIGHT(G649,2)=RIGHT('112'!$M$9,2),B649&lt;'112'!$K$9,$O649='112'!$I$6)),"x",""))</f>
        <v/>
      </c>
      <c r="W649" s="75" t="str">
        <f>IF(AND('341-CT'!$H$9=H649,OR(LEFT(N649,3)=$W$7,LEFT(O649,3)=$W$7)),"x","")</f>
        <v/>
      </c>
      <c r="X649" s="75" t="str">
        <f>IF(OR(TH!N649=TH!$X$7,O649=TH!$X$7),"x","")</f>
        <v/>
      </c>
      <c r="Y649" s="75" t="str">
        <f>IF(AND(OR(N649="131",O649="131"),H649='131-CT'!$H$9),"x","")</f>
        <v/>
      </c>
      <c r="Z649" s="75"/>
      <c r="AA649" s="75" t="str">
        <f>IF(AND(MONTH(E649)='IN-NX'!$J$5,'IN-NX'!$D$7=D649),"x","")</f>
        <v/>
      </c>
      <c r="AB649" s="75" t="str">
        <f>IF(AND(OR(LEFT(TH!N649,2)="15",LEFT(TH!O649,2)="15"),LEFT(TH!O649,3)&lt;&gt;"111",'152-CT'!$J$8=TH!F649),"x","")</f>
        <v/>
      </c>
      <c r="AC649" s="75" t="str">
        <f>IF(AND(OR(LEFT(TH!N649,2)="15",LEFT(TH!O649,2)="15"),TK!$E$7=TH!F649),"x","")</f>
        <v/>
      </c>
      <c r="AD649" s="75" t="str">
        <f>IF(AND(N649="1521",MONTH(C649)='BK-NL'!$M$11),"x","")</f>
        <v/>
      </c>
      <c r="AE649">
        <v>9</v>
      </c>
    </row>
    <row r="650" spans="1:31" ht="16.5" customHeight="1">
      <c r="A650" s="309" t="str">
        <f>IF(B650&lt;&gt;"",IF(AND(B650='IN-TC'!$S$4,OR(TH!N650="1111",TH!O650="1111")),TH!D650,""),"")</f>
        <v/>
      </c>
      <c r="B650" s="1242">
        <f t="shared" si="79"/>
        <v>9</v>
      </c>
      <c r="C650" s="929">
        <v>43003</v>
      </c>
      <c r="D650" s="929" t="s">
        <v>530</v>
      </c>
      <c r="E650" s="929">
        <v>43003</v>
      </c>
      <c r="F650" s="930" t="s">
        <v>811</v>
      </c>
      <c r="G650" s="931" t="s">
        <v>2166</v>
      </c>
      <c r="H650" s="296" t="s">
        <v>622</v>
      </c>
      <c r="I650" s="371"/>
      <c r="J650" s="932"/>
      <c r="K650" s="371"/>
      <c r="L650" s="377"/>
      <c r="M650" s="933">
        <v>1117516</v>
      </c>
      <c r="N650" s="934" t="s">
        <v>9</v>
      </c>
      <c r="O650" s="934" t="s">
        <v>8</v>
      </c>
      <c r="P650" s="75" t="str">
        <f>IF(AND('331-CT'!$E$7=TH!H650,OR(N650="331",O650="331")),"x","")</f>
        <v/>
      </c>
      <c r="Q650" s="75" t="str">
        <f>IF(AND(B650='111'!$L$11,OR($N650=$Q$7,$O650=$Q$7)),"x","")</f>
        <v/>
      </c>
      <c r="R650" s="75" t="str">
        <f>IF(AND($N650=$Q$7,$B650&lt;'111'!$L$11),"x","")</f>
        <v/>
      </c>
      <c r="S650" s="75" t="str">
        <f>IF(AND($O650=$Q$7,$B650&lt;'111'!$L$11),"x","")</f>
        <v/>
      </c>
      <c r="T650" s="75" t="str">
        <f>IF(ISERROR(FIND('112'!$M$9,G650,1)),"",IF((AND(FIND('112'!$M$9,G650,1)&gt;=1,B650='112'!$K$9,OR($N650='112'!$I$6,$O650='112'!$I$6))),"x",""))</f>
        <v/>
      </c>
      <c r="U650" s="75" t="str">
        <f>IF(ISERROR(FIND('112'!$M$9,G650,1)),"",IF((AND(LEFT(G650,2)=LEFT('112'!$M$9,2),B650&lt;'112'!$K$9,$N650='112'!$I$6)),"x",""))</f>
        <v/>
      </c>
      <c r="V650" s="75" t="str">
        <f>IF(ISERROR(FIND('112'!$M$9,G650,1)),"",IF((AND(RIGHT(G650,2)=RIGHT('112'!$M$9,2),B650&lt;'112'!$K$9,$O650='112'!$I$6)),"x",""))</f>
        <v/>
      </c>
      <c r="W650" s="75" t="str">
        <f>IF(AND('341-CT'!$H$9=H650,OR(LEFT(N650,3)=$W$7,LEFT(O650,3)=$W$7)),"x","")</f>
        <v/>
      </c>
      <c r="X650" s="75" t="str">
        <f>IF(OR(TH!N650=TH!$X$7,O650=TH!$X$7),"x","")</f>
        <v/>
      </c>
      <c r="Y650" s="75" t="str">
        <f>IF(AND(OR(N650="131",O650="131"),H650='131-CT'!$H$9),"x","")</f>
        <v/>
      </c>
      <c r="Z650" s="75"/>
      <c r="AA650" s="75" t="str">
        <f>IF(AND(MONTH(E650)='IN-NX'!$J$5,'IN-NX'!$D$7=D650),"x","")</f>
        <v/>
      </c>
      <c r="AB650" s="75" t="str">
        <f>IF(AND(OR(LEFT(TH!N650,2)="15",LEFT(TH!O650,2)="15"),LEFT(TH!O650,3)&lt;&gt;"111",'152-CT'!$J$8=TH!F650),"x","")</f>
        <v/>
      </c>
      <c r="AC650" s="75" t="str">
        <f>IF(AND(OR(LEFT(TH!N650,2)="15",LEFT(TH!O650,2)="15"),TK!$E$7=TH!F650),"x","")</f>
        <v/>
      </c>
      <c r="AD650" s="75" t="str">
        <f>IF(AND(N650="1521",MONTH(C650)='BK-NL'!$M$11),"x","")</f>
        <v/>
      </c>
      <c r="AE650">
        <v>9</v>
      </c>
    </row>
    <row r="651" spans="1:31" ht="16.5" customHeight="1">
      <c r="A651" s="309" t="str">
        <f>IF(B651&lt;&gt;"",IF(AND(B651='IN-TC'!$S$4,OR(TH!N651="1111",TH!O651="1111")),TH!D651,""),"")</f>
        <v/>
      </c>
      <c r="B651" s="1242">
        <f t="shared" si="79"/>
        <v>9</v>
      </c>
      <c r="C651" s="929">
        <v>43004</v>
      </c>
      <c r="D651" s="929" t="s">
        <v>530</v>
      </c>
      <c r="E651" s="929">
        <v>43004</v>
      </c>
      <c r="F651" s="930" t="s">
        <v>808</v>
      </c>
      <c r="G651" s="931" t="s">
        <v>2167</v>
      </c>
      <c r="H651" s="296" t="s">
        <v>622</v>
      </c>
      <c r="I651" s="371"/>
      <c r="J651" s="932"/>
      <c r="K651" s="371"/>
      <c r="L651" s="377"/>
      <c r="M651" s="933">
        <v>88803000</v>
      </c>
      <c r="N651" s="934" t="s">
        <v>539</v>
      </c>
      <c r="O651" s="934" t="s">
        <v>8</v>
      </c>
      <c r="P651" s="75" t="str">
        <f>IF(AND('331-CT'!$E$7=TH!H651,OR(N651="331",O651="331")),"x","")</f>
        <v/>
      </c>
      <c r="Q651" s="75" t="str">
        <f>IF(AND(B651='111'!$L$11,OR($N651=$Q$7,$O651=$Q$7)),"x","")</f>
        <v/>
      </c>
      <c r="R651" s="75" t="str">
        <f>IF(AND($N651=$Q$7,$B651&lt;'111'!$L$11),"x","")</f>
        <v/>
      </c>
      <c r="S651" s="75" t="str">
        <f>IF(AND($O651=$Q$7,$B651&lt;'111'!$L$11),"x","")</f>
        <v/>
      </c>
      <c r="T651" s="75" t="str">
        <f>IF(ISERROR(FIND('112'!$M$9,G651,1)),"",IF((AND(FIND('112'!$M$9,G651,1)&gt;=1,B651='112'!$K$9,OR($N651='112'!$I$6,$O651='112'!$I$6))),"x",""))</f>
        <v/>
      </c>
      <c r="U651" s="75" t="str">
        <f>IF(ISERROR(FIND('112'!$M$9,G651,1)),"",IF((AND(LEFT(G651,2)=LEFT('112'!$M$9,2),B651&lt;'112'!$K$9,$N651='112'!$I$6)),"x",""))</f>
        <v/>
      </c>
      <c r="V651" s="75" t="str">
        <f>IF(ISERROR(FIND('112'!$M$9,G651,1)),"",IF((AND(RIGHT(G651,2)=RIGHT('112'!$M$9,2),B651&lt;'112'!$K$9,$O651='112'!$I$6)),"x",""))</f>
        <v/>
      </c>
      <c r="W651" s="75" t="str">
        <f>IF(AND('341-CT'!$H$9=H651,OR(LEFT(N651,3)=$W$7,LEFT(O651,3)=$W$7)),"x","")</f>
        <v/>
      </c>
      <c r="X651" s="75" t="str">
        <f>IF(OR(TH!N651=TH!$X$7,O651=TH!$X$7),"x","")</f>
        <v/>
      </c>
      <c r="Y651" s="75" t="str">
        <f>IF(AND(OR(N651="131",O651="131"),H651='131-CT'!$H$9),"x","")</f>
        <v/>
      </c>
      <c r="Z651" s="75"/>
      <c r="AA651" s="75" t="str">
        <f>IF(AND(MONTH(E651)='IN-NX'!$J$5,'IN-NX'!$D$7=D651),"x","")</f>
        <v/>
      </c>
      <c r="AB651" s="75" t="str">
        <f>IF(AND(OR(LEFT(TH!N651,2)="15",LEFT(TH!O651,2)="15"),LEFT(TH!O651,3)&lt;&gt;"111",'152-CT'!$J$8=TH!F651),"x","")</f>
        <v/>
      </c>
      <c r="AC651" s="75" t="str">
        <f>IF(AND(OR(LEFT(TH!N651,2)="15",LEFT(TH!O651,2)="15"),TK!$E$7=TH!F651),"x","")</f>
        <v/>
      </c>
      <c r="AD651" s="75" t="str">
        <f>IF(AND(N651="1521",MONTH(C651)='BK-NL'!$M$11),"x","")</f>
        <v/>
      </c>
    </row>
    <row r="652" spans="1:31" ht="16.5" customHeight="1">
      <c r="A652" s="309" t="str">
        <f>IF(B652&lt;&gt;"",IF(AND(B652='IN-TC'!$S$4,OR(TH!N652="1111",TH!O652="1111")),TH!D652,""),"")</f>
        <v/>
      </c>
      <c r="B652" s="1242">
        <f t="shared" si="79"/>
        <v>9</v>
      </c>
      <c r="C652" s="929">
        <v>43004</v>
      </c>
      <c r="D652" s="929" t="s">
        <v>530</v>
      </c>
      <c r="E652" s="929">
        <v>43004</v>
      </c>
      <c r="F652" s="930" t="s">
        <v>808</v>
      </c>
      <c r="G652" s="931" t="s">
        <v>2168</v>
      </c>
      <c r="H652" s="296" t="s">
        <v>622</v>
      </c>
      <c r="I652" s="371"/>
      <c r="J652" s="932"/>
      <c r="K652" s="371"/>
      <c r="L652" s="377"/>
      <c r="M652" s="933">
        <v>88803000</v>
      </c>
      <c r="N652" s="934" t="s">
        <v>539</v>
      </c>
      <c r="O652" s="934" t="s">
        <v>8</v>
      </c>
      <c r="P652" s="75" t="str">
        <f>IF(AND('331-CT'!$E$7=TH!H652,OR(N652="331",O652="331")),"x","")</f>
        <v/>
      </c>
      <c r="Q652" s="75" t="str">
        <f>IF(AND(B652='111'!$L$11,OR($N652=$Q$7,$O652=$Q$7)),"x","")</f>
        <v/>
      </c>
      <c r="R652" s="75" t="str">
        <f>IF(AND($N652=$Q$7,$B652&lt;'111'!$L$11),"x","")</f>
        <v/>
      </c>
      <c r="S652" s="75" t="str">
        <f>IF(AND($O652=$Q$7,$B652&lt;'111'!$L$11),"x","")</f>
        <v/>
      </c>
      <c r="T652" s="75" t="str">
        <f>IF(ISERROR(FIND('112'!$M$9,G652,1)),"",IF((AND(FIND('112'!$M$9,G652,1)&gt;=1,B652='112'!$K$9,OR($N652='112'!$I$6,$O652='112'!$I$6))),"x",""))</f>
        <v/>
      </c>
      <c r="U652" s="75" t="str">
        <f>IF(ISERROR(FIND('112'!$M$9,G652,1)),"",IF((AND(LEFT(G652,2)=LEFT('112'!$M$9,2),B652&lt;'112'!$K$9,$N652='112'!$I$6)),"x",""))</f>
        <v/>
      </c>
      <c r="V652" s="75" t="str">
        <f>IF(ISERROR(FIND('112'!$M$9,G652,1)),"",IF((AND(RIGHT(G652,2)=RIGHT('112'!$M$9,2),B652&lt;'112'!$K$9,$O652='112'!$I$6)),"x",""))</f>
        <v/>
      </c>
      <c r="W652" s="75" t="str">
        <f>IF(AND('341-CT'!$H$9=H652,OR(LEFT(N652,3)=$W$7,LEFT(O652,3)=$W$7)),"x","")</f>
        <v/>
      </c>
      <c r="X652" s="75" t="str">
        <f>IF(OR(TH!N652=TH!$X$7,O652=TH!$X$7),"x","")</f>
        <v/>
      </c>
      <c r="Y652" s="75" t="str">
        <f>IF(AND(OR(N652="131",O652="131"),H652='131-CT'!$H$9),"x","")</f>
        <v/>
      </c>
      <c r="Z652" s="75"/>
      <c r="AA652" s="75" t="str">
        <f>IF(AND(MONTH(E652)='IN-NX'!$J$5,'IN-NX'!$D$7=D652),"x","")</f>
        <v/>
      </c>
      <c r="AB652" s="75" t="str">
        <f>IF(AND(OR(LEFT(TH!N652,2)="15",LEFT(TH!O652,2)="15"),LEFT(TH!O652,3)&lt;&gt;"111",'152-CT'!$J$8=TH!F652),"x","")</f>
        <v/>
      </c>
      <c r="AC652" s="75" t="str">
        <f>IF(AND(OR(LEFT(TH!N652,2)="15",LEFT(TH!O652,2)="15"),TK!$E$7=TH!F652),"x","")</f>
        <v/>
      </c>
      <c r="AD652" s="75" t="str">
        <f>IF(AND(N652="1521",MONTH(C652)='BK-NL'!$M$11),"x","")</f>
        <v/>
      </c>
    </row>
    <row r="653" spans="1:31" ht="16.5" customHeight="1">
      <c r="A653" s="309" t="str">
        <f>IF(B653&lt;&gt;"",IF(AND(B653='IN-TC'!$S$4,OR(TH!N653="1111",TH!O653="1111")),TH!D653,""),"")</f>
        <v/>
      </c>
      <c r="B653" s="1242">
        <f t="shared" si="79"/>
        <v>9</v>
      </c>
      <c r="C653" s="929">
        <v>43004</v>
      </c>
      <c r="D653" s="929" t="s">
        <v>530</v>
      </c>
      <c r="E653" s="929">
        <v>43004</v>
      </c>
      <c r="F653" s="930" t="s">
        <v>810</v>
      </c>
      <c r="G653" s="931" t="s">
        <v>2170</v>
      </c>
      <c r="H653" s="296" t="s">
        <v>622</v>
      </c>
      <c r="I653" s="371"/>
      <c r="J653" s="932"/>
      <c r="K653" s="371"/>
      <c r="L653" s="377"/>
      <c r="M653" s="933">
        <v>16827030</v>
      </c>
      <c r="N653" s="934" t="s">
        <v>539</v>
      </c>
      <c r="O653" s="934" t="s">
        <v>8</v>
      </c>
      <c r="P653" s="75" t="str">
        <f>IF(AND('331-CT'!$E$7=TH!H653,OR(N653="331",O653="331")),"x","")</f>
        <v/>
      </c>
      <c r="Q653" s="75" t="str">
        <f>IF(AND(B653='111'!$L$11,OR($N653=$Q$7,$O653=$Q$7)),"x","")</f>
        <v/>
      </c>
      <c r="R653" s="75" t="str">
        <f>IF(AND($N653=$Q$7,$B653&lt;'111'!$L$11),"x","")</f>
        <v/>
      </c>
      <c r="S653" s="75" t="str">
        <f>IF(AND($O653=$Q$7,$B653&lt;'111'!$L$11),"x","")</f>
        <v/>
      </c>
      <c r="T653" s="75" t="str">
        <f>IF(ISERROR(FIND('112'!$M$9,G653,1)),"",IF((AND(FIND('112'!$M$9,G653,1)&gt;=1,B653='112'!$K$9,OR($N653='112'!$I$6,$O653='112'!$I$6))),"x",""))</f>
        <v/>
      </c>
      <c r="U653" s="75" t="str">
        <f>IF(ISERROR(FIND('112'!$M$9,G653,1)),"",IF((AND(LEFT(G653,2)=LEFT('112'!$M$9,2),B653&lt;'112'!$K$9,$N653='112'!$I$6)),"x",""))</f>
        <v/>
      </c>
      <c r="V653" s="75" t="str">
        <f>IF(ISERROR(FIND('112'!$M$9,G653,1)),"",IF((AND(RIGHT(G653,2)=RIGHT('112'!$M$9,2),B653&lt;'112'!$K$9,$O653='112'!$I$6)),"x",""))</f>
        <v/>
      </c>
      <c r="W653" s="75" t="str">
        <f>IF(AND('341-CT'!$H$9=H653,OR(LEFT(N653,3)=$W$7,LEFT(O653,3)=$W$7)),"x","")</f>
        <v/>
      </c>
      <c r="X653" s="75" t="str">
        <f>IF(OR(TH!N653=TH!$X$7,O653=TH!$X$7),"x","")</f>
        <v/>
      </c>
      <c r="Y653" s="75" t="str">
        <f>IF(AND(OR(N653="131",O653="131"),H653='131-CT'!$H$9),"x","")</f>
        <v/>
      </c>
      <c r="Z653" s="75"/>
      <c r="AA653" s="75" t="str">
        <f>IF(AND(MONTH(E653)='IN-NX'!$J$5,'IN-NX'!$D$7=D653),"x","")</f>
        <v/>
      </c>
      <c r="AB653" s="75" t="str">
        <f>IF(AND(OR(LEFT(TH!N653,2)="15",LEFT(TH!O653,2)="15"),LEFT(TH!O653,3)&lt;&gt;"111",'152-CT'!$J$8=TH!F653),"x","")</f>
        <v/>
      </c>
      <c r="AC653" s="75" t="str">
        <f>IF(AND(OR(LEFT(TH!N653,2)="15",LEFT(TH!O653,2)="15"),TK!$E$7=TH!F653),"x","")</f>
        <v/>
      </c>
      <c r="AD653" s="75" t="str">
        <f>IF(AND(N653="1521",MONTH(C653)='BK-NL'!$M$11),"x","")</f>
        <v/>
      </c>
      <c r="AE653">
        <v>9</v>
      </c>
    </row>
    <row r="654" spans="1:31" ht="16.5" customHeight="1">
      <c r="A654" s="309" t="str">
        <f>IF(B654&lt;&gt;"",IF(AND(B654='IN-TC'!$S$4,OR(TH!N654="1111",TH!O654="1111")),TH!D654,""),"")</f>
        <v/>
      </c>
      <c r="B654" s="1242">
        <f t="shared" si="79"/>
        <v>9</v>
      </c>
      <c r="C654" s="929">
        <v>43004</v>
      </c>
      <c r="D654" s="929" t="s">
        <v>530</v>
      </c>
      <c r="E654" s="929">
        <v>43004</v>
      </c>
      <c r="F654" s="930" t="s">
        <v>811</v>
      </c>
      <c r="G654" s="931" t="s">
        <v>2170</v>
      </c>
      <c r="H654" s="296" t="s">
        <v>622</v>
      </c>
      <c r="I654" s="371"/>
      <c r="J654" s="932"/>
      <c r="K654" s="371"/>
      <c r="L654" s="377"/>
      <c r="M654" s="933">
        <v>1682703</v>
      </c>
      <c r="N654" s="934" t="s">
        <v>9</v>
      </c>
      <c r="O654" s="934" t="s">
        <v>8</v>
      </c>
      <c r="P654" s="75" t="str">
        <f>IF(AND('331-CT'!$E$7=TH!H654,OR(N654="331",O654="331")),"x","")</f>
        <v/>
      </c>
      <c r="Q654" s="75" t="str">
        <f>IF(AND(B654='111'!$L$11,OR($N654=$Q$7,$O654=$Q$7)),"x","")</f>
        <v/>
      </c>
      <c r="R654" s="75" t="str">
        <f>IF(AND($N654=$Q$7,$B654&lt;'111'!$L$11),"x","")</f>
        <v/>
      </c>
      <c r="S654" s="75" t="str">
        <f>IF(AND($O654=$Q$7,$B654&lt;'111'!$L$11),"x","")</f>
        <v/>
      </c>
      <c r="T654" s="75" t="str">
        <f>IF(ISERROR(FIND('112'!$M$9,G654,1)),"",IF((AND(FIND('112'!$M$9,G654,1)&gt;=1,B654='112'!$K$9,OR($N654='112'!$I$6,$O654='112'!$I$6))),"x",""))</f>
        <v/>
      </c>
      <c r="U654" s="75" t="str">
        <f>IF(ISERROR(FIND('112'!$M$9,G654,1)),"",IF((AND(LEFT(G654,2)=LEFT('112'!$M$9,2),B654&lt;'112'!$K$9,$N654='112'!$I$6)),"x",""))</f>
        <v/>
      </c>
      <c r="V654" s="75" t="str">
        <f>IF(ISERROR(FIND('112'!$M$9,G654,1)),"",IF((AND(RIGHT(G654,2)=RIGHT('112'!$M$9,2),B654&lt;'112'!$K$9,$O654='112'!$I$6)),"x",""))</f>
        <v/>
      </c>
      <c r="W654" s="75" t="str">
        <f>IF(AND('341-CT'!$H$9=H654,OR(LEFT(N654,3)=$W$7,LEFT(O654,3)=$W$7)),"x","")</f>
        <v/>
      </c>
      <c r="X654" s="75" t="str">
        <f>IF(OR(TH!N654=TH!$X$7,O654=TH!$X$7),"x","")</f>
        <v/>
      </c>
      <c r="Y654" s="75" t="str">
        <f>IF(AND(OR(N654="131",O654="131"),H654='131-CT'!$H$9),"x","")</f>
        <v/>
      </c>
      <c r="Z654" s="75"/>
      <c r="AA654" s="75" t="str">
        <f>IF(AND(MONTH(E654)='IN-NX'!$J$5,'IN-NX'!$D$7=D654),"x","")</f>
        <v/>
      </c>
      <c r="AB654" s="75" t="str">
        <f>IF(AND(OR(LEFT(TH!N654,2)="15",LEFT(TH!O654,2)="15"),LEFT(TH!O654,3)&lt;&gt;"111",'152-CT'!$J$8=TH!F654),"x","")</f>
        <v/>
      </c>
      <c r="AC654" s="75" t="str">
        <f>IF(AND(OR(LEFT(TH!N654,2)="15",LEFT(TH!O654,2)="15"),TK!$E$7=TH!F654),"x","")</f>
        <v/>
      </c>
      <c r="AD654" s="75" t="str">
        <f>IF(AND(N654="1521",MONTH(C654)='BK-NL'!$M$11),"x","")</f>
        <v/>
      </c>
      <c r="AE654">
        <v>9</v>
      </c>
    </row>
    <row r="655" spans="1:31" ht="16.5" customHeight="1">
      <c r="A655" s="309" t="str">
        <f>IF(B655&lt;&gt;"",IF(AND(B655='IN-TC'!$S$4,OR(TH!N655="1111",TH!O655="1111")),TH!D655,""),"")</f>
        <v/>
      </c>
      <c r="B655" s="1242">
        <f t="shared" si="79"/>
        <v>9</v>
      </c>
      <c r="C655" s="929">
        <v>43004</v>
      </c>
      <c r="D655" s="929" t="s">
        <v>530</v>
      </c>
      <c r="E655" s="929">
        <v>43004</v>
      </c>
      <c r="F655" s="930" t="s">
        <v>810</v>
      </c>
      <c r="G655" s="931" t="s">
        <v>2169</v>
      </c>
      <c r="H655" s="296" t="s">
        <v>622</v>
      </c>
      <c r="I655" s="371"/>
      <c r="J655" s="932"/>
      <c r="K655" s="371"/>
      <c r="L655" s="377"/>
      <c r="M655" s="933">
        <v>16827030</v>
      </c>
      <c r="N655" s="934" t="s">
        <v>539</v>
      </c>
      <c r="O655" s="934" t="s">
        <v>8</v>
      </c>
      <c r="P655" s="75" t="str">
        <f>IF(AND('331-CT'!$E$7=TH!H655,OR(N655="331",O655="331")),"x","")</f>
        <v/>
      </c>
      <c r="Q655" s="75" t="str">
        <f>IF(AND(B655='111'!$L$11,OR($N655=$Q$7,$O655=$Q$7)),"x","")</f>
        <v/>
      </c>
      <c r="R655" s="75" t="str">
        <f>IF(AND($N655=$Q$7,$B655&lt;'111'!$L$11),"x","")</f>
        <v/>
      </c>
      <c r="S655" s="75" t="str">
        <f>IF(AND($O655=$Q$7,$B655&lt;'111'!$L$11),"x","")</f>
        <v/>
      </c>
      <c r="T655" s="75" t="str">
        <f>IF(ISERROR(FIND('112'!$M$9,G655,1)),"",IF((AND(FIND('112'!$M$9,G655,1)&gt;=1,B655='112'!$K$9,OR($N655='112'!$I$6,$O655='112'!$I$6))),"x",""))</f>
        <v/>
      </c>
      <c r="U655" s="75" t="str">
        <f>IF(ISERROR(FIND('112'!$M$9,G655,1)),"",IF((AND(LEFT(G655,2)=LEFT('112'!$M$9,2),B655&lt;'112'!$K$9,$N655='112'!$I$6)),"x",""))</f>
        <v/>
      </c>
      <c r="V655" s="75" t="str">
        <f>IF(ISERROR(FIND('112'!$M$9,G655,1)),"",IF((AND(RIGHT(G655,2)=RIGHT('112'!$M$9,2),B655&lt;'112'!$K$9,$O655='112'!$I$6)),"x",""))</f>
        <v/>
      </c>
      <c r="W655" s="75" t="str">
        <f>IF(AND('341-CT'!$H$9=H655,OR(LEFT(N655,3)=$W$7,LEFT(O655,3)=$W$7)),"x","")</f>
        <v/>
      </c>
      <c r="X655" s="75" t="str">
        <f>IF(OR(TH!N655=TH!$X$7,O655=TH!$X$7),"x","")</f>
        <v/>
      </c>
      <c r="Y655" s="75" t="str">
        <f>IF(AND(OR(N655="131",O655="131"),H655='131-CT'!$H$9),"x","")</f>
        <v/>
      </c>
      <c r="Z655" s="75"/>
      <c r="AA655" s="75" t="str">
        <f>IF(AND(MONTH(E655)='IN-NX'!$J$5,'IN-NX'!$D$7=D655),"x","")</f>
        <v/>
      </c>
      <c r="AB655" s="75" t="str">
        <f>IF(AND(OR(LEFT(TH!N655,2)="15",LEFT(TH!O655,2)="15"),LEFT(TH!O655,3)&lt;&gt;"111",'152-CT'!$J$8=TH!F655),"x","")</f>
        <v/>
      </c>
      <c r="AC655" s="75" t="str">
        <f>IF(AND(OR(LEFT(TH!N655,2)="15",LEFT(TH!O655,2)="15"),TK!$E$7=TH!F655),"x","")</f>
        <v/>
      </c>
      <c r="AD655" s="75" t="str">
        <f>IF(AND(N655="1521",MONTH(C655)='BK-NL'!$M$11),"x","")</f>
        <v/>
      </c>
      <c r="AE655">
        <v>9</v>
      </c>
    </row>
    <row r="656" spans="1:31" ht="16.5" customHeight="1">
      <c r="A656" s="309" t="str">
        <f>IF(B656&lt;&gt;"",IF(AND(B656='IN-TC'!$S$4,OR(TH!N656="1111",TH!O656="1111")),TH!D656,""),"")</f>
        <v/>
      </c>
      <c r="B656" s="1242">
        <f t="shared" si="79"/>
        <v>9</v>
      </c>
      <c r="C656" s="929">
        <v>43004</v>
      </c>
      <c r="D656" s="929" t="s">
        <v>530</v>
      </c>
      <c r="E656" s="929">
        <v>43004</v>
      </c>
      <c r="F656" s="930" t="s">
        <v>811</v>
      </c>
      <c r="G656" s="931" t="s">
        <v>2169</v>
      </c>
      <c r="H656" s="296" t="s">
        <v>622</v>
      </c>
      <c r="I656" s="371"/>
      <c r="J656" s="932"/>
      <c r="K656" s="371"/>
      <c r="L656" s="377"/>
      <c r="M656" s="933">
        <v>1682703</v>
      </c>
      <c r="N656" s="934" t="s">
        <v>9</v>
      </c>
      <c r="O656" s="934" t="s">
        <v>8</v>
      </c>
      <c r="P656" s="75" t="str">
        <f>IF(AND('331-CT'!$E$7=TH!H656,OR(N656="331",O656="331")),"x","")</f>
        <v/>
      </c>
      <c r="Q656" s="75" t="str">
        <f>IF(AND(B656='111'!$L$11,OR($N656=$Q$7,$O656=$Q$7)),"x","")</f>
        <v/>
      </c>
      <c r="R656" s="75" t="str">
        <f>IF(AND($N656=$Q$7,$B656&lt;'111'!$L$11),"x","")</f>
        <v/>
      </c>
      <c r="S656" s="75" t="str">
        <f>IF(AND($O656=$Q$7,$B656&lt;'111'!$L$11),"x","")</f>
        <v/>
      </c>
      <c r="T656" s="75" t="str">
        <f>IF(ISERROR(FIND('112'!$M$9,G656,1)),"",IF((AND(FIND('112'!$M$9,G656,1)&gt;=1,B656='112'!$K$9,OR($N656='112'!$I$6,$O656='112'!$I$6))),"x",""))</f>
        <v/>
      </c>
      <c r="U656" s="75" t="str">
        <f>IF(ISERROR(FIND('112'!$M$9,G656,1)),"",IF((AND(LEFT(G656,2)=LEFT('112'!$M$9,2),B656&lt;'112'!$K$9,$N656='112'!$I$6)),"x",""))</f>
        <v/>
      </c>
      <c r="V656" s="75" t="str">
        <f>IF(ISERROR(FIND('112'!$M$9,G656,1)),"",IF((AND(RIGHT(G656,2)=RIGHT('112'!$M$9,2),B656&lt;'112'!$K$9,$O656='112'!$I$6)),"x",""))</f>
        <v/>
      </c>
      <c r="W656" s="75" t="str">
        <f>IF(AND('341-CT'!$H$9=H656,OR(LEFT(N656,3)=$W$7,LEFT(O656,3)=$W$7)),"x","")</f>
        <v/>
      </c>
      <c r="X656" s="75" t="str">
        <f>IF(OR(TH!N656=TH!$X$7,O656=TH!$X$7),"x","")</f>
        <v/>
      </c>
      <c r="Y656" s="75" t="str">
        <f>IF(AND(OR(N656="131",O656="131"),H656='131-CT'!$H$9),"x","")</f>
        <v/>
      </c>
      <c r="Z656" s="75"/>
      <c r="AA656" s="75" t="str">
        <f>IF(AND(MONTH(E656)='IN-NX'!$J$5,'IN-NX'!$D$7=D656),"x","")</f>
        <v/>
      </c>
      <c r="AB656" s="75" t="str">
        <f>IF(AND(OR(LEFT(TH!N656,2)="15",LEFT(TH!O656,2)="15"),LEFT(TH!O656,3)&lt;&gt;"111",'152-CT'!$J$8=TH!F656),"x","")</f>
        <v/>
      </c>
      <c r="AC656" s="75" t="str">
        <f>IF(AND(OR(LEFT(TH!N656,2)="15",LEFT(TH!O656,2)="15"),TK!$E$7=TH!F656),"x","")</f>
        <v/>
      </c>
      <c r="AD656" s="75" t="str">
        <f>IF(AND(N656="1521",MONTH(C656)='BK-NL'!$M$11),"x","")</f>
        <v/>
      </c>
      <c r="AE656">
        <v>9</v>
      </c>
    </row>
    <row r="657" spans="1:31" ht="16.5" customHeight="1">
      <c r="A657" s="309" t="str">
        <f>IF(B657&lt;&gt;"",IF(AND(B657='IN-TC'!$S$4,OR(TH!N657="1111",TH!O657="1111")),TH!D657,""),"")</f>
        <v/>
      </c>
      <c r="B657" s="1242">
        <f t="shared" si="79"/>
        <v>9</v>
      </c>
      <c r="C657" s="929">
        <v>43008</v>
      </c>
      <c r="D657" s="929" t="s">
        <v>530</v>
      </c>
      <c r="E657" s="929">
        <v>43008</v>
      </c>
      <c r="F657" s="930" t="s">
        <v>1447</v>
      </c>
      <c r="G657" s="931" t="s">
        <v>2178</v>
      </c>
      <c r="H657" s="296" t="s">
        <v>1450</v>
      </c>
      <c r="I657" s="371"/>
      <c r="J657" s="932"/>
      <c r="K657" s="371"/>
      <c r="L657" s="377"/>
      <c r="M657" s="933">
        <v>88192208</v>
      </c>
      <c r="N657" s="934" t="s">
        <v>539</v>
      </c>
      <c r="O657" s="934" t="s">
        <v>8</v>
      </c>
      <c r="P657" s="75" t="str">
        <f>IF(AND('331-CT'!$E$7=TH!H657,OR(N657="331",O657="331")),"x","")</f>
        <v/>
      </c>
      <c r="Q657" s="75" t="str">
        <f>IF(AND(B657='111'!$L$11,OR($N657=$Q$7,$O657=$Q$7)),"x","")</f>
        <v/>
      </c>
      <c r="R657" s="75" t="str">
        <f>IF(AND($N657=$Q$7,$B657&lt;'111'!$L$11),"x","")</f>
        <v/>
      </c>
      <c r="S657" s="75" t="str">
        <f>IF(AND($O657=$Q$7,$B657&lt;'111'!$L$11),"x","")</f>
        <v/>
      </c>
      <c r="T657" s="75" t="str">
        <f>IF(ISERROR(FIND('112'!$M$9,G657,1)),"",IF((AND(FIND('112'!$M$9,G657,1)&gt;=1,B657='112'!$K$9,OR($N657='112'!$I$6,$O657='112'!$I$6))),"x",""))</f>
        <v/>
      </c>
      <c r="U657" s="75" t="str">
        <f>IF(ISERROR(FIND('112'!$M$9,G657,1)),"",IF((AND(LEFT(G657,2)=LEFT('112'!$M$9,2),B657&lt;'112'!$K$9,$N657='112'!$I$6)),"x",""))</f>
        <v/>
      </c>
      <c r="V657" s="75" t="str">
        <f>IF(ISERROR(FIND('112'!$M$9,G657,1)),"",IF((AND(RIGHT(G657,2)=RIGHT('112'!$M$9,2),B657&lt;'112'!$K$9,$O657='112'!$I$6)),"x",""))</f>
        <v/>
      </c>
      <c r="W657" s="75" t="str">
        <f>IF(AND('341-CT'!$H$9=H657,OR(LEFT(N657,3)=$W$7,LEFT(O657,3)=$W$7)),"x","")</f>
        <v/>
      </c>
      <c r="X657" s="75" t="str">
        <f>IF(OR(TH!N657=TH!$X$7,O657=TH!$X$7),"x","")</f>
        <v/>
      </c>
      <c r="Y657" s="75" t="str">
        <f>IF(AND(OR(N657="131",O657="131"),H657='131-CT'!$H$9),"x","")</f>
        <v/>
      </c>
      <c r="Z657" s="75"/>
      <c r="AA657" s="75" t="str">
        <f>IF(AND(MONTH(E657)='IN-NX'!$J$5,'IN-NX'!$D$7=D657),"x","")</f>
        <v/>
      </c>
      <c r="AB657" s="75" t="str">
        <f>IF(AND(OR(LEFT(TH!N657,2)="15",LEFT(TH!O657,2)="15"),LEFT(TH!O657,3)&lt;&gt;"111",'152-CT'!$J$8=TH!F657),"x","")</f>
        <v/>
      </c>
      <c r="AC657" s="75" t="str">
        <f>IF(AND(OR(LEFT(TH!N657,2)="15",LEFT(TH!O657,2)="15"),TK!$E$7=TH!F657),"x","")</f>
        <v/>
      </c>
      <c r="AD657" s="75" t="str">
        <f>IF(AND(N657="1521",MONTH(C657)='BK-NL'!$M$11),"x","")</f>
        <v/>
      </c>
      <c r="AE657">
        <v>9</v>
      </c>
    </row>
    <row r="658" spans="1:31" ht="16.5" customHeight="1">
      <c r="A658" s="309" t="str">
        <f>IF(B658&lt;&gt;"",IF(AND(B658='IN-TC'!$S$4,OR(TH!N658="1111",TH!O658="1111")),TH!D658,""),"")</f>
        <v/>
      </c>
      <c r="B658" s="1242">
        <f t="shared" si="79"/>
        <v>9</v>
      </c>
      <c r="C658" s="929">
        <v>43008</v>
      </c>
      <c r="D658" s="929" t="s">
        <v>530</v>
      </c>
      <c r="E658" s="929">
        <v>43008</v>
      </c>
      <c r="F658" s="930" t="s">
        <v>1448</v>
      </c>
      <c r="G658" s="931" t="s">
        <v>2178</v>
      </c>
      <c r="H658" s="296" t="s">
        <v>1450</v>
      </c>
      <c r="I658" s="371"/>
      <c r="J658" s="932"/>
      <c r="K658" s="371"/>
      <c r="L658" s="377"/>
      <c r="M658" s="933">
        <v>4409611</v>
      </c>
      <c r="N658" s="934" t="s">
        <v>9</v>
      </c>
      <c r="O658" s="934" t="s">
        <v>8</v>
      </c>
      <c r="P658" s="75" t="str">
        <f>IF(AND('331-CT'!$E$7=TH!H658,OR(N658="331",O658="331")),"x","")</f>
        <v/>
      </c>
      <c r="Q658" s="75" t="str">
        <f>IF(AND(B658='111'!$L$11,OR($N658=$Q$7,$O658=$Q$7)),"x","")</f>
        <v/>
      </c>
      <c r="R658" s="75" t="str">
        <f>IF(AND($N658=$Q$7,$B658&lt;'111'!$L$11),"x","")</f>
        <v/>
      </c>
      <c r="S658" s="75" t="str">
        <f>IF(AND($O658=$Q$7,$B658&lt;'111'!$L$11),"x","")</f>
        <v/>
      </c>
      <c r="T658" s="75" t="str">
        <f>IF(ISERROR(FIND('112'!$M$9,G658,1)),"",IF((AND(FIND('112'!$M$9,G658,1)&gt;=1,B658='112'!$K$9,OR($N658='112'!$I$6,$O658='112'!$I$6))),"x",""))</f>
        <v/>
      </c>
      <c r="U658" s="75" t="str">
        <f>IF(ISERROR(FIND('112'!$M$9,G658,1)),"",IF((AND(LEFT(G658,2)=LEFT('112'!$M$9,2),B658&lt;'112'!$K$9,$N658='112'!$I$6)),"x",""))</f>
        <v/>
      </c>
      <c r="V658" s="75" t="str">
        <f>IF(ISERROR(FIND('112'!$M$9,G658,1)),"",IF((AND(RIGHT(G658,2)=RIGHT('112'!$M$9,2),B658&lt;'112'!$K$9,$O658='112'!$I$6)),"x",""))</f>
        <v/>
      </c>
      <c r="W658" s="75" t="str">
        <f>IF(AND('341-CT'!$H$9=H658,OR(LEFT(N658,3)=$W$7,LEFT(O658,3)=$W$7)),"x","")</f>
        <v/>
      </c>
      <c r="X658" s="75" t="str">
        <f>IF(OR(TH!N658=TH!$X$7,O658=TH!$X$7),"x","")</f>
        <v/>
      </c>
      <c r="Y658" s="75" t="str">
        <f>IF(AND(OR(N658="131",O658="131"),H658='131-CT'!$H$9),"x","")</f>
        <v/>
      </c>
      <c r="Z658" s="75"/>
      <c r="AA658" s="75" t="str">
        <f>IF(AND(MONTH(E658)='IN-NX'!$J$5,'IN-NX'!$D$7=D658),"x","")</f>
        <v/>
      </c>
      <c r="AB658" s="75" t="str">
        <f>IF(AND(OR(LEFT(TH!N658,2)="15",LEFT(TH!O658,2)="15"),LEFT(TH!O658,3)&lt;&gt;"111",'152-CT'!$J$8=TH!F658),"x","")</f>
        <v/>
      </c>
      <c r="AC658" s="75" t="str">
        <f>IF(AND(OR(LEFT(TH!N658,2)="15",LEFT(TH!O658,2)="15"),TK!$E$7=TH!F658),"x","")</f>
        <v/>
      </c>
      <c r="AD658" s="75" t="str">
        <f>IF(AND(N658="1521",MONTH(C658)='BK-NL'!$M$11),"x","")</f>
        <v/>
      </c>
      <c r="AE658">
        <v>9</v>
      </c>
    </row>
    <row r="659" spans="1:31" ht="16.5" customHeight="1">
      <c r="A659" s="309" t="str">
        <f>IF(B659&lt;&gt;"",IF(AND(B659='IN-TC'!$S$4,OR(TH!N659="1111",TH!O659="1111")),TH!D659,""),"")</f>
        <v/>
      </c>
      <c r="B659" s="1242">
        <f t="shared" si="79"/>
        <v>9</v>
      </c>
      <c r="C659" s="929">
        <v>42985</v>
      </c>
      <c r="D659" s="929" t="s">
        <v>530</v>
      </c>
      <c r="E659" s="929">
        <v>42985</v>
      </c>
      <c r="F659" s="930" t="s">
        <v>1877</v>
      </c>
      <c r="G659" s="931" t="s">
        <v>2179</v>
      </c>
      <c r="H659" s="735" t="s">
        <v>749</v>
      </c>
      <c r="I659" s="371"/>
      <c r="J659" s="932"/>
      <c r="K659" s="371"/>
      <c r="L659" s="377"/>
      <c r="M659" s="933">
        <v>2616940</v>
      </c>
      <c r="N659" s="934" t="s">
        <v>539</v>
      </c>
      <c r="O659" s="934" t="s">
        <v>8</v>
      </c>
      <c r="P659" s="75" t="str">
        <f>IF(AND('331-CT'!$E$7=TH!H659,OR(N659="331",O659="331")),"x","")</f>
        <v/>
      </c>
      <c r="Q659" s="75" t="str">
        <f>IF(AND(B659='111'!$L$11,OR($N659=$Q$7,$O659=$Q$7)),"x","")</f>
        <v/>
      </c>
      <c r="R659" s="75" t="str">
        <f>IF(AND($N659=$Q$7,$B659&lt;'111'!$L$11),"x","")</f>
        <v/>
      </c>
      <c r="S659" s="75" t="str">
        <f>IF(AND($O659=$Q$7,$B659&lt;'111'!$L$11),"x","")</f>
        <v/>
      </c>
      <c r="T659" s="75" t="str">
        <f>IF(ISERROR(FIND('112'!$M$9,G659,1)),"",IF((AND(FIND('112'!$M$9,G659,1)&gt;=1,B659='112'!$K$9,OR($N659='112'!$I$6,$O659='112'!$I$6))),"x",""))</f>
        <v/>
      </c>
      <c r="U659" s="75" t="str">
        <f>IF(ISERROR(FIND('112'!$M$9,G659,1)),"",IF((AND(LEFT(G659,2)=LEFT('112'!$M$9,2),B659&lt;'112'!$K$9,$N659='112'!$I$6)),"x",""))</f>
        <v/>
      </c>
      <c r="V659" s="75" t="str">
        <f>IF(ISERROR(FIND('112'!$M$9,G659,1)),"",IF((AND(RIGHT(G659,2)=RIGHT('112'!$M$9,2),B659&lt;'112'!$K$9,$O659='112'!$I$6)),"x",""))</f>
        <v/>
      </c>
      <c r="W659" s="75" t="str">
        <f>IF(AND('341-CT'!$H$9=H659,OR(LEFT(N659,3)=$W$7,LEFT(O659,3)=$W$7)),"x","")</f>
        <v/>
      </c>
      <c r="X659" s="75" t="str">
        <f>IF(OR(TH!N659=TH!$X$7,O659=TH!$X$7),"x","")</f>
        <v/>
      </c>
      <c r="Y659" s="75" t="str">
        <f>IF(AND(OR(N659="131",O659="131"),H659='131-CT'!$H$9),"x","")</f>
        <v/>
      </c>
      <c r="Z659" s="75"/>
      <c r="AA659" s="75" t="str">
        <f>IF(AND(MONTH(E659)='IN-NX'!$J$5,'IN-NX'!$D$7=D659),"x","")</f>
        <v/>
      </c>
      <c r="AB659" s="75" t="str">
        <f>IF(AND(OR(LEFT(TH!N659,2)="15",LEFT(TH!O659,2)="15"),LEFT(TH!O659,3)&lt;&gt;"111",'152-CT'!$J$8=TH!F659),"x","")</f>
        <v/>
      </c>
      <c r="AC659" s="75" t="str">
        <f>IF(AND(OR(LEFT(TH!N659,2)="15",LEFT(TH!O659,2)="15"),TK!$E$7=TH!F659),"x","")</f>
        <v/>
      </c>
      <c r="AD659" s="75" t="str">
        <f>IF(AND(N659="1521",MONTH(C659)='BK-NL'!$M$11),"x","")</f>
        <v/>
      </c>
      <c r="AE659">
        <v>9</v>
      </c>
    </row>
    <row r="660" spans="1:31" ht="16.5" customHeight="1">
      <c r="A660" s="309" t="str">
        <f>IF(B660&lt;&gt;"",IF(AND(B660='IN-TC'!$S$4,OR(TH!N660="1111",TH!O660="1111")),TH!D660,""),"")</f>
        <v/>
      </c>
      <c r="B660" s="1242">
        <f t="shared" si="79"/>
        <v>9</v>
      </c>
      <c r="C660" s="929">
        <v>42985</v>
      </c>
      <c r="D660" s="929" t="s">
        <v>530</v>
      </c>
      <c r="E660" s="929">
        <v>42985</v>
      </c>
      <c r="F660" s="930" t="s">
        <v>1878</v>
      </c>
      <c r="G660" s="931" t="s">
        <v>2179</v>
      </c>
      <c r="H660" s="735" t="s">
        <v>749</v>
      </c>
      <c r="I660" s="371"/>
      <c r="J660" s="932"/>
      <c r="K660" s="371"/>
      <c r="L660" s="377"/>
      <c r="M660" s="933">
        <v>261694</v>
      </c>
      <c r="N660" s="934" t="s">
        <v>9</v>
      </c>
      <c r="O660" s="934" t="s">
        <v>8</v>
      </c>
      <c r="P660" s="75" t="str">
        <f>IF(AND('331-CT'!$E$7=TH!H660,OR(N660="331",O660="331")),"x","")</f>
        <v/>
      </c>
      <c r="Q660" s="75" t="str">
        <f>IF(AND(B660='111'!$L$11,OR($N660=$Q$7,$O660=$Q$7)),"x","")</f>
        <v/>
      </c>
      <c r="R660" s="75" t="str">
        <f>IF(AND($N660=$Q$7,$B660&lt;'111'!$L$11),"x","")</f>
        <v/>
      </c>
      <c r="S660" s="75" t="str">
        <f>IF(AND($O660=$Q$7,$B660&lt;'111'!$L$11),"x","")</f>
        <v/>
      </c>
      <c r="T660" s="75" t="str">
        <f>IF(ISERROR(FIND('112'!$M$9,G660,1)),"",IF((AND(FIND('112'!$M$9,G660,1)&gt;=1,B660='112'!$K$9,OR($N660='112'!$I$6,$O660='112'!$I$6))),"x",""))</f>
        <v/>
      </c>
      <c r="U660" s="75" t="str">
        <f>IF(ISERROR(FIND('112'!$M$9,G660,1)),"",IF((AND(LEFT(G660,2)=LEFT('112'!$M$9,2),B660&lt;'112'!$K$9,$N660='112'!$I$6)),"x",""))</f>
        <v/>
      </c>
      <c r="V660" s="75" t="str">
        <f>IF(ISERROR(FIND('112'!$M$9,G660,1)),"",IF((AND(RIGHT(G660,2)=RIGHT('112'!$M$9,2),B660&lt;'112'!$K$9,$O660='112'!$I$6)),"x",""))</f>
        <v/>
      </c>
      <c r="W660" s="75" t="str">
        <f>IF(AND('341-CT'!$H$9=H660,OR(LEFT(N660,3)=$W$7,LEFT(O660,3)=$W$7)),"x","")</f>
        <v/>
      </c>
      <c r="X660" s="75" t="str">
        <f>IF(OR(TH!N660=TH!$X$7,O660=TH!$X$7),"x","")</f>
        <v/>
      </c>
      <c r="Y660" s="75" t="str">
        <f>IF(AND(OR(N660="131",O660="131"),H660='131-CT'!$H$9),"x","")</f>
        <v/>
      </c>
      <c r="Z660" s="75"/>
      <c r="AA660" s="75" t="str">
        <f>IF(AND(MONTH(E660)='IN-NX'!$J$5,'IN-NX'!$D$7=D660),"x","")</f>
        <v/>
      </c>
      <c r="AB660" s="75" t="str">
        <f>IF(AND(OR(LEFT(TH!N660,2)="15",LEFT(TH!O660,2)="15"),LEFT(TH!O660,3)&lt;&gt;"111",'152-CT'!$J$8=TH!F660),"x","")</f>
        <v/>
      </c>
      <c r="AC660" s="75" t="str">
        <f>IF(AND(OR(LEFT(TH!N660,2)="15",LEFT(TH!O660,2)="15"),TK!$E$7=TH!F660),"x","")</f>
        <v/>
      </c>
      <c r="AD660" s="75" t="str">
        <f>IF(AND(N660="1521",MONTH(C660)='BK-NL'!$M$11),"x","")</f>
        <v/>
      </c>
      <c r="AE660">
        <v>9</v>
      </c>
    </row>
    <row r="661" spans="1:31" ht="16.5" customHeight="1">
      <c r="A661" s="309" t="str">
        <f>IF(B661&lt;&gt;"",IF(AND(B661='IN-TC'!$S$4,OR(TH!N661="1111",TH!O661="1111")),TH!D661,""),"")</f>
        <v/>
      </c>
      <c r="B661" s="1242">
        <f t="shared" si="79"/>
        <v>9</v>
      </c>
      <c r="C661" s="929">
        <v>42989</v>
      </c>
      <c r="D661" s="929" t="s">
        <v>530</v>
      </c>
      <c r="E661" s="929">
        <v>42989</v>
      </c>
      <c r="F661" s="930" t="s">
        <v>1877</v>
      </c>
      <c r="G661" s="931" t="s">
        <v>2180</v>
      </c>
      <c r="H661" s="735" t="s">
        <v>749</v>
      </c>
      <c r="I661" s="371"/>
      <c r="J661" s="932"/>
      <c r="K661" s="371"/>
      <c r="L661" s="377"/>
      <c r="M661" s="933">
        <v>7849096</v>
      </c>
      <c r="N661" s="934" t="s">
        <v>539</v>
      </c>
      <c r="O661" s="934" t="s">
        <v>8</v>
      </c>
      <c r="P661" s="75" t="str">
        <f>IF(AND('331-CT'!$E$7=TH!H661,OR(N661="331",O661="331")),"x","")</f>
        <v/>
      </c>
      <c r="Q661" s="75" t="str">
        <f>IF(AND(B661='111'!$L$11,OR($N661=$Q$7,$O661=$Q$7)),"x","")</f>
        <v/>
      </c>
      <c r="R661" s="75" t="str">
        <f>IF(AND($N661=$Q$7,$B661&lt;'111'!$L$11),"x","")</f>
        <v/>
      </c>
      <c r="S661" s="75" t="str">
        <f>IF(AND($O661=$Q$7,$B661&lt;'111'!$L$11),"x","")</f>
        <v/>
      </c>
      <c r="T661" s="75" t="str">
        <f>IF(ISERROR(FIND('112'!$M$9,G661,1)),"",IF((AND(FIND('112'!$M$9,G661,1)&gt;=1,B661='112'!$K$9,OR($N661='112'!$I$6,$O661='112'!$I$6))),"x",""))</f>
        <v/>
      </c>
      <c r="U661" s="75" t="str">
        <f>IF(ISERROR(FIND('112'!$M$9,G661,1)),"",IF((AND(LEFT(G661,2)=LEFT('112'!$M$9,2),B661&lt;'112'!$K$9,$N661='112'!$I$6)),"x",""))</f>
        <v/>
      </c>
      <c r="V661" s="75" t="str">
        <f>IF(ISERROR(FIND('112'!$M$9,G661,1)),"",IF((AND(RIGHT(G661,2)=RIGHT('112'!$M$9,2),B661&lt;'112'!$K$9,$O661='112'!$I$6)),"x",""))</f>
        <v/>
      </c>
      <c r="W661" s="75" t="str">
        <f>IF(AND('341-CT'!$H$9=H661,OR(LEFT(N661,3)=$W$7,LEFT(O661,3)=$W$7)),"x","")</f>
        <v/>
      </c>
      <c r="X661" s="75" t="str">
        <f>IF(OR(TH!N661=TH!$X$7,O661=TH!$X$7),"x","")</f>
        <v/>
      </c>
      <c r="Y661" s="75" t="str">
        <f>IF(AND(OR(N661="131",O661="131"),H661='131-CT'!$H$9),"x","")</f>
        <v/>
      </c>
      <c r="Z661" s="75"/>
      <c r="AA661" s="75" t="str">
        <f>IF(AND(MONTH(E661)='IN-NX'!$J$5,'IN-NX'!$D$7=D661),"x","")</f>
        <v/>
      </c>
      <c r="AB661" s="75" t="str">
        <f>IF(AND(OR(LEFT(TH!N661,2)="15",LEFT(TH!O661,2)="15"),LEFT(TH!O661,3)&lt;&gt;"111",'152-CT'!$J$8=TH!F661),"x","")</f>
        <v/>
      </c>
      <c r="AC661" s="75" t="str">
        <f>IF(AND(OR(LEFT(TH!N661,2)="15",LEFT(TH!O661,2)="15"),TK!$E$7=TH!F661),"x","")</f>
        <v/>
      </c>
      <c r="AD661" s="75" t="str">
        <f>IF(AND(N661="1521",MONTH(C661)='BK-NL'!$M$11),"x","")</f>
        <v/>
      </c>
      <c r="AE661">
        <v>9</v>
      </c>
    </row>
    <row r="662" spans="1:31" ht="16.5" customHeight="1">
      <c r="A662" s="309" t="str">
        <f>IF(B662&lt;&gt;"",IF(AND(B662='IN-TC'!$S$4,OR(TH!N662="1111",TH!O662="1111")),TH!D662,""),"")</f>
        <v/>
      </c>
      <c r="B662" s="1242">
        <f t="shared" ref="B662:B678" si="80">IF(C662&lt;&gt;"",MONTH(C662),"")</f>
        <v>9</v>
      </c>
      <c r="C662" s="929">
        <v>42989</v>
      </c>
      <c r="D662" s="929" t="s">
        <v>530</v>
      </c>
      <c r="E662" s="929">
        <v>42989</v>
      </c>
      <c r="F662" s="930" t="s">
        <v>1878</v>
      </c>
      <c r="G662" s="931" t="s">
        <v>2180</v>
      </c>
      <c r="H662" s="735" t="s">
        <v>749</v>
      </c>
      <c r="I662" s="371"/>
      <c r="J662" s="932"/>
      <c r="K662" s="371"/>
      <c r="L662" s="377"/>
      <c r="M662" s="933">
        <v>784910</v>
      </c>
      <c r="N662" s="934" t="s">
        <v>9</v>
      </c>
      <c r="O662" s="934" t="s">
        <v>8</v>
      </c>
      <c r="P662" s="75" t="str">
        <f>IF(AND('331-CT'!$E$7=TH!H662,OR(N662="331",O662="331")),"x","")</f>
        <v/>
      </c>
      <c r="Q662" s="75" t="str">
        <f>IF(AND(B662='111'!$L$11,OR($N662=$Q$7,$O662=$Q$7)),"x","")</f>
        <v/>
      </c>
      <c r="R662" s="75" t="str">
        <f>IF(AND($N662=$Q$7,$B662&lt;'111'!$L$11),"x","")</f>
        <v/>
      </c>
      <c r="S662" s="75" t="str">
        <f>IF(AND($O662=$Q$7,$B662&lt;'111'!$L$11),"x","")</f>
        <v/>
      </c>
      <c r="T662" s="75" t="str">
        <f>IF(ISERROR(FIND('112'!$M$9,G662,1)),"",IF((AND(FIND('112'!$M$9,G662,1)&gt;=1,B662='112'!$K$9,OR($N662='112'!$I$6,$O662='112'!$I$6))),"x",""))</f>
        <v/>
      </c>
      <c r="U662" s="75" t="str">
        <f>IF(ISERROR(FIND('112'!$M$9,G662,1)),"",IF((AND(LEFT(G662,2)=LEFT('112'!$M$9,2),B662&lt;'112'!$K$9,$N662='112'!$I$6)),"x",""))</f>
        <v/>
      </c>
      <c r="V662" s="75" t="str">
        <f>IF(ISERROR(FIND('112'!$M$9,G662,1)),"",IF((AND(RIGHT(G662,2)=RIGHT('112'!$M$9,2),B662&lt;'112'!$K$9,$O662='112'!$I$6)),"x",""))</f>
        <v/>
      </c>
      <c r="W662" s="75" t="str">
        <f>IF(AND('341-CT'!$H$9=H662,OR(LEFT(N662,3)=$W$7,LEFT(O662,3)=$W$7)),"x","")</f>
        <v/>
      </c>
      <c r="X662" s="75" t="str">
        <f>IF(OR(TH!N662=TH!$X$7,O662=TH!$X$7),"x","")</f>
        <v/>
      </c>
      <c r="Y662" s="75" t="str">
        <f>IF(AND(OR(N662="131",O662="131"),H662='131-CT'!$H$9),"x","")</f>
        <v/>
      </c>
      <c r="Z662" s="75"/>
      <c r="AA662" s="75" t="str">
        <f>IF(AND(MONTH(E662)='IN-NX'!$J$5,'IN-NX'!$D$7=D662),"x","")</f>
        <v/>
      </c>
      <c r="AB662" s="75" t="str">
        <f>IF(AND(OR(LEFT(TH!N662,2)="15",LEFT(TH!O662,2)="15"),LEFT(TH!O662,3)&lt;&gt;"111",'152-CT'!$J$8=TH!F662),"x","")</f>
        <v/>
      </c>
      <c r="AC662" s="75" t="str">
        <f>IF(AND(OR(LEFT(TH!N662,2)="15",LEFT(TH!O662,2)="15"),TK!$E$7=TH!F662),"x","")</f>
        <v/>
      </c>
      <c r="AD662" s="75" t="str">
        <f>IF(AND(N662="1521",MONTH(C662)='BK-NL'!$M$11),"x","")</f>
        <v/>
      </c>
      <c r="AE662">
        <v>9</v>
      </c>
    </row>
    <row r="663" spans="1:31" ht="16.5" customHeight="1">
      <c r="A663" s="309" t="str">
        <f>IF(B663&lt;&gt;"",IF(AND(B663='IN-TC'!$S$4,OR(TH!N663="1111",TH!O663="1111")),TH!D663,""),"")</f>
        <v/>
      </c>
      <c r="B663" s="1242">
        <f t="shared" si="80"/>
        <v>9</v>
      </c>
      <c r="C663" s="929">
        <v>42992</v>
      </c>
      <c r="D663" s="929" t="s">
        <v>530</v>
      </c>
      <c r="E663" s="929">
        <v>42992</v>
      </c>
      <c r="F663" s="930" t="s">
        <v>1877</v>
      </c>
      <c r="G663" s="931" t="s">
        <v>2181</v>
      </c>
      <c r="H663" s="735" t="s">
        <v>749</v>
      </c>
      <c r="I663" s="371"/>
      <c r="J663" s="932"/>
      <c r="K663" s="371"/>
      <c r="L663" s="377"/>
      <c r="M663" s="933">
        <v>7849096</v>
      </c>
      <c r="N663" s="934" t="s">
        <v>539</v>
      </c>
      <c r="O663" s="934" t="s">
        <v>8</v>
      </c>
      <c r="P663" s="75" t="str">
        <f>IF(AND('331-CT'!$E$7=TH!H663,OR(N663="331",O663="331")),"x","")</f>
        <v/>
      </c>
      <c r="Q663" s="75" t="str">
        <f>IF(AND(B663='111'!$L$11,OR($N663=$Q$7,$O663=$Q$7)),"x","")</f>
        <v/>
      </c>
      <c r="R663" s="75" t="str">
        <f>IF(AND($N663=$Q$7,$B663&lt;'111'!$L$11),"x","")</f>
        <v/>
      </c>
      <c r="S663" s="75" t="str">
        <f>IF(AND($O663=$Q$7,$B663&lt;'111'!$L$11),"x","")</f>
        <v/>
      </c>
      <c r="T663" s="75" t="str">
        <f>IF(ISERROR(FIND('112'!$M$9,G663,1)),"",IF((AND(FIND('112'!$M$9,G663,1)&gt;=1,B663='112'!$K$9,OR($N663='112'!$I$6,$O663='112'!$I$6))),"x",""))</f>
        <v/>
      </c>
      <c r="U663" s="75" t="str">
        <f>IF(ISERROR(FIND('112'!$M$9,G663,1)),"",IF((AND(LEFT(G663,2)=LEFT('112'!$M$9,2),B663&lt;'112'!$K$9,$N663='112'!$I$6)),"x",""))</f>
        <v/>
      </c>
      <c r="V663" s="75" t="str">
        <f>IF(ISERROR(FIND('112'!$M$9,G663,1)),"",IF((AND(RIGHT(G663,2)=RIGHT('112'!$M$9,2),B663&lt;'112'!$K$9,$O663='112'!$I$6)),"x",""))</f>
        <v/>
      </c>
      <c r="W663" s="75" t="str">
        <f>IF(AND('341-CT'!$H$9=H663,OR(LEFT(N663,3)=$W$7,LEFT(O663,3)=$W$7)),"x","")</f>
        <v/>
      </c>
      <c r="X663" s="75" t="str">
        <f>IF(OR(TH!N663=TH!$X$7,O663=TH!$X$7),"x","")</f>
        <v/>
      </c>
      <c r="Y663" s="75" t="str">
        <f>IF(AND(OR(N663="131",O663="131"),H663='131-CT'!$H$9),"x","")</f>
        <v/>
      </c>
      <c r="Z663" s="75"/>
      <c r="AA663" s="75" t="str">
        <f>IF(AND(MONTH(E663)='IN-NX'!$J$5,'IN-NX'!$D$7=D663),"x","")</f>
        <v/>
      </c>
      <c r="AB663" s="75" t="str">
        <f>IF(AND(OR(LEFT(TH!N663,2)="15",LEFT(TH!O663,2)="15"),LEFT(TH!O663,3)&lt;&gt;"111",'152-CT'!$J$8=TH!F663),"x","")</f>
        <v/>
      </c>
      <c r="AC663" s="75" t="str">
        <f>IF(AND(OR(LEFT(TH!N663,2)="15",LEFT(TH!O663,2)="15"),TK!$E$7=TH!F663),"x","")</f>
        <v/>
      </c>
      <c r="AD663" s="75" t="str">
        <f>IF(AND(N663="1521",MONTH(C663)='BK-NL'!$M$11),"x","")</f>
        <v/>
      </c>
      <c r="AE663">
        <v>9</v>
      </c>
    </row>
    <row r="664" spans="1:31" ht="16.5" customHeight="1">
      <c r="A664" s="309" t="str">
        <f>IF(B664&lt;&gt;"",IF(AND(B664='IN-TC'!$S$4,OR(TH!N664="1111",TH!O664="1111")),TH!D664,""),"")</f>
        <v/>
      </c>
      <c r="B664" s="1242">
        <f t="shared" si="80"/>
        <v>9</v>
      </c>
      <c r="C664" s="929">
        <v>42992</v>
      </c>
      <c r="D664" s="929" t="s">
        <v>530</v>
      </c>
      <c r="E664" s="929">
        <v>42992</v>
      </c>
      <c r="F664" s="930" t="s">
        <v>1878</v>
      </c>
      <c r="G664" s="931" t="s">
        <v>2181</v>
      </c>
      <c r="H664" s="735" t="s">
        <v>749</v>
      </c>
      <c r="I664" s="371"/>
      <c r="J664" s="932"/>
      <c r="K664" s="371"/>
      <c r="L664" s="377"/>
      <c r="M664" s="933">
        <v>784910</v>
      </c>
      <c r="N664" s="934" t="s">
        <v>9</v>
      </c>
      <c r="O664" s="934" t="s">
        <v>8</v>
      </c>
      <c r="P664" s="75" t="str">
        <f>IF(AND('331-CT'!$E$7=TH!H664,OR(N664="331",O664="331")),"x","")</f>
        <v/>
      </c>
      <c r="Q664" s="75" t="str">
        <f>IF(AND(B664='111'!$L$11,OR($N664=$Q$7,$O664=$Q$7)),"x","")</f>
        <v/>
      </c>
      <c r="R664" s="75" t="str">
        <f>IF(AND($N664=$Q$7,$B664&lt;'111'!$L$11),"x","")</f>
        <v/>
      </c>
      <c r="S664" s="75" t="str">
        <f>IF(AND($O664=$Q$7,$B664&lt;'111'!$L$11),"x","")</f>
        <v/>
      </c>
      <c r="T664" s="75" t="str">
        <f>IF(ISERROR(FIND('112'!$M$9,G664,1)),"",IF((AND(FIND('112'!$M$9,G664,1)&gt;=1,B664='112'!$K$9,OR($N664='112'!$I$6,$O664='112'!$I$6))),"x",""))</f>
        <v/>
      </c>
      <c r="U664" s="75" t="str">
        <f>IF(ISERROR(FIND('112'!$M$9,G664,1)),"",IF((AND(LEFT(G664,2)=LEFT('112'!$M$9,2),B664&lt;'112'!$K$9,$N664='112'!$I$6)),"x",""))</f>
        <v/>
      </c>
      <c r="V664" s="75" t="str">
        <f>IF(ISERROR(FIND('112'!$M$9,G664,1)),"",IF((AND(RIGHT(G664,2)=RIGHT('112'!$M$9,2),B664&lt;'112'!$K$9,$O664='112'!$I$6)),"x",""))</f>
        <v/>
      </c>
      <c r="W664" s="75" t="str">
        <f>IF(AND('341-CT'!$H$9=H664,OR(LEFT(N664,3)=$W$7,LEFT(O664,3)=$W$7)),"x","")</f>
        <v/>
      </c>
      <c r="X664" s="75" t="str">
        <f>IF(OR(TH!N664=TH!$X$7,O664=TH!$X$7),"x","")</f>
        <v/>
      </c>
      <c r="Y664" s="75" t="str">
        <f>IF(AND(OR(N664="131",O664="131"),H664='131-CT'!$H$9),"x","")</f>
        <v/>
      </c>
      <c r="Z664" s="75"/>
      <c r="AA664" s="75" t="str">
        <f>IF(AND(MONTH(E664)='IN-NX'!$J$5,'IN-NX'!$D$7=D664),"x","")</f>
        <v/>
      </c>
      <c r="AB664" s="75" t="str">
        <f>IF(AND(OR(LEFT(TH!N664,2)="15",LEFT(TH!O664,2)="15"),LEFT(TH!O664,3)&lt;&gt;"111",'152-CT'!$J$8=TH!F664),"x","")</f>
        <v/>
      </c>
      <c r="AC664" s="75" t="str">
        <f>IF(AND(OR(LEFT(TH!N664,2)="15",LEFT(TH!O664,2)="15"),TK!$E$7=TH!F664),"x","")</f>
        <v/>
      </c>
      <c r="AD664" s="75" t="str">
        <f>IF(AND(N664="1521",MONTH(C664)='BK-NL'!$M$11),"x","")</f>
        <v/>
      </c>
      <c r="AE664">
        <v>9</v>
      </c>
    </row>
    <row r="665" spans="1:31" ht="16.5" customHeight="1">
      <c r="A665" s="309" t="str">
        <f>IF(B665&lt;&gt;"",IF(AND(B665='IN-TC'!$S$4,OR(TH!N665="1111",TH!O665="1111")),TH!D665,""),"")</f>
        <v/>
      </c>
      <c r="B665" s="1242">
        <f t="shared" si="80"/>
        <v>9</v>
      </c>
      <c r="C665" s="929">
        <v>42996</v>
      </c>
      <c r="D665" s="929" t="s">
        <v>530</v>
      </c>
      <c r="E665" s="929">
        <v>42996</v>
      </c>
      <c r="F665" s="930" t="s">
        <v>1877</v>
      </c>
      <c r="G665" s="931" t="s">
        <v>2182</v>
      </c>
      <c r="H665" s="735" t="s">
        <v>749</v>
      </c>
      <c r="I665" s="371"/>
      <c r="J665" s="932"/>
      <c r="K665" s="371"/>
      <c r="L665" s="377"/>
      <c r="M665" s="933">
        <v>7849096</v>
      </c>
      <c r="N665" s="934" t="s">
        <v>539</v>
      </c>
      <c r="O665" s="934" t="s">
        <v>8</v>
      </c>
      <c r="P665" s="75" t="str">
        <f>IF(AND('331-CT'!$E$7=TH!H665,OR(N665="331",O665="331")),"x","")</f>
        <v/>
      </c>
      <c r="Q665" s="75" t="str">
        <f>IF(AND(B665='111'!$L$11,OR($N665=$Q$7,$O665=$Q$7)),"x","")</f>
        <v/>
      </c>
      <c r="R665" s="75" t="str">
        <f>IF(AND($N665=$Q$7,$B665&lt;'111'!$L$11),"x","")</f>
        <v/>
      </c>
      <c r="S665" s="75" t="str">
        <f>IF(AND($O665=$Q$7,$B665&lt;'111'!$L$11),"x","")</f>
        <v/>
      </c>
      <c r="T665" s="75" t="str">
        <f>IF(ISERROR(FIND('112'!$M$9,G665,1)),"",IF((AND(FIND('112'!$M$9,G665,1)&gt;=1,B665='112'!$K$9,OR($N665='112'!$I$6,$O665='112'!$I$6))),"x",""))</f>
        <v/>
      </c>
      <c r="U665" s="75" t="str">
        <f>IF(ISERROR(FIND('112'!$M$9,G665,1)),"",IF((AND(LEFT(G665,2)=LEFT('112'!$M$9,2),B665&lt;'112'!$K$9,$N665='112'!$I$6)),"x",""))</f>
        <v/>
      </c>
      <c r="V665" s="75" t="str">
        <f>IF(ISERROR(FIND('112'!$M$9,G665,1)),"",IF((AND(RIGHT(G665,2)=RIGHT('112'!$M$9,2),B665&lt;'112'!$K$9,$O665='112'!$I$6)),"x",""))</f>
        <v/>
      </c>
      <c r="W665" s="75" t="str">
        <f>IF(AND('341-CT'!$H$9=H665,OR(LEFT(N665,3)=$W$7,LEFT(O665,3)=$W$7)),"x","")</f>
        <v/>
      </c>
      <c r="X665" s="75" t="str">
        <f>IF(OR(TH!N665=TH!$X$7,O665=TH!$X$7),"x","")</f>
        <v/>
      </c>
      <c r="Y665" s="75" t="str">
        <f>IF(AND(OR(N665="131",O665="131"),H665='131-CT'!$H$9),"x","")</f>
        <v/>
      </c>
      <c r="Z665" s="75"/>
      <c r="AA665" s="75" t="str">
        <f>IF(AND(MONTH(E665)='IN-NX'!$J$5,'IN-NX'!$D$7=D665),"x","")</f>
        <v/>
      </c>
      <c r="AB665" s="75" t="str">
        <f>IF(AND(OR(LEFT(TH!N665,2)="15",LEFT(TH!O665,2)="15"),LEFT(TH!O665,3)&lt;&gt;"111",'152-CT'!$J$8=TH!F665),"x","")</f>
        <v/>
      </c>
      <c r="AC665" s="75" t="str">
        <f>IF(AND(OR(LEFT(TH!N665,2)="15",LEFT(TH!O665,2)="15"),TK!$E$7=TH!F665),"x","")</f>
        <v/>
      </c>
      <c r="AD665" s="75" t="str">
        <f>IF(AND(N665="1521",MONTH(C665)='BK-NL'!$M$11),"x","")</f>
        <v/>
      </c>
      <c r="AE665">
        <v>9</v>
      </c>
    </row>
    <row r="666" spans="1:31" ht="16.5" customHeight="1">
      <c r="A666" s="309" t="str">
        <f>IF(B666&lt;&gt;"",IF(AND(B666='IN-TC'!$S$4,OR(TH!N666="1111",TH!O666="1111")),TH!D666,""),"")</f>
        <v/>
      </c>
      <c r="B666" s="1242">
        <f t="shared" si="80"/>
        <v>9</v>
      </c>
      <c r="C666" s="929">
        <v>42996</v>
      </c>
      <c r="D666" s="929" t="s">
        <v>530</v>
      </c>
      <c r="E666" s="929">
        <v>42996</v>
      </c>
      <c r="F666" s="930" t="s">
        <v>1878</v>
      </c>
      <c r="G666" s="931" t="s">
        <v>2182</v>
      </c>
      <c r="H666" s="735" t="s">
        <v>749</v>
      </c>
      <c r="I666" s="371"/>
      <c r="J666" s="932"/>
      <c r="K666" s="371"/>
      <c r="L666" s="377"/>
      <c r="M666" s="933">
        <v>784910</v>
      </c>
      <c r="N666" s="934" t="s">
        <v>9</v>
      </c>
      <c r="O666" s="934" t="s">
        <v>8</v>
      </c>
      <c r="P666" s="75" t="str">
        <f>IF(AND('331-CT'!$E$7=TH!H666,OR(N666="331",O666="331")),"x","")</f>
        <v/>
      </c>
      <c r="Q666" s="75" t="str">
        <f>IF(AND(B666='111'!$L$11,OR($N666=$Q$7,$O666=$Q$7)),"x","")</f>
        <v/>
      </c>
      <c r="R666" s="75" t="str">
        <f>IF(AND($N666=$Q$7,$B666&lt;'111'!$L$11),"x","")</f>
        <v/>
      </c>
      <c r="S666" s="75" t="str">
        <f>IF(AND($O666=$Q$7,$B666&lt;'111'!$L$11),"x","")</f>
        <v/>
      </c>
      <c r="T666" s="75" t="str">
        <f>IF(ISERROR(FIND('112'!$M$9,G666,1)),"",IF((AND(FIND('112'!$M$9,G666,1)&gt;=1,B666='112'!$K$9,OR($N666='112'!$I$6,$O666='112'!$I$6))),"x",""))</f>
        <v/>
      </c>
      <c r="U666" s="75" t="str">
        <f>IF(ISERROR(FIND('112'!$M$9,G666,1)),"",IF((AND(LEFT(G666,2)=LEFT('112'!$M$9,2),B666&lt;'112'!$K$9,$N666='112'!$I$6)),"x",""))</f>
        <v/>
      </c>
      <c r="V666" s="75" t="str">
        <f>IF(ISERROR(FIND('112'!$M$9,G666,1)),"",IF((AND(RIGHT(G666,2)=RIGHT('112'!$M$9,2),B666&lt;'112'!$K$9,$O666='112'!$I$6)),"x",""))</f>
        <v/>
      </c>
      <c r="W666" s="75" t="str">
        <f>IF(AND('341-CT'!$H$9=H666,OR(LEFT(N666,3)=$W$7,LEFT(O666,3)=$W$7)),"x","")</f>
        <v/>
      </c>
      <c r="X666" s="75" t="str">
        <f>IF(OR(TH!N666=TH!$X$7,O666=TH!$X$7),"x","")</f>
        <v/>
      </c>
      <c r="Y666" s="75" t="str">
        <f>IF(AND(OR(N666="131",O666="131"),H666='131-CT'!$H$9),"x","")</f>
        <v/>
      </c>
      <c r="Z666" s="75"/>
      <c r="AA666" s="75" t="str">
        <f>IF(AND(MONTH(E666)='IN-NX'!$J$5,'IN-NX'!$D$7=D666),"x","")</f>
        <v/>
      </c>
      <c r="AB666" s="75" t="str">
        <f>IF(AND(OR(LEFT(TH!N666,2)="15",LEFT(TH!O666,2)="15"),LEFT(TH!O666,3)&lt;&gt;"111",'152-CT'!$J$8=TH!F666),"x","")</f>
        <v/>
      </c>
      <c r="AC666" s="75" t="str">
        <f>IF(AND(OR(LEFT(TH!N666,2)="15",LEFT(TH!O666,2)="15"),TK!$E$7=TH!F666),"x","")</f>
        <v/>
      </c>
      <c r="AD666" s="75" t="str">
        <f>IF(AND(N666="1521",MONTH(C666)='BK-NL'!$M$11),"x","")</f>
        <v/>
      </c>
      <c r="AE666">
        <v>9</v>
      </c>
    </row>
    <row r="667" spans="1:31" ht="16.5" customHeight="1">
      <c r="A667" s="309" t="str">
        <f>IF(B667&lt;&gt;"",IF(AND(B667='IN-TC'!$S$4,OR(TH!N667="1111",TH!O667="1111")),TH!D667,""),"")</f>
        <v/>
      </c>
      <c r="B667" s="1242">
        <f t="shared" si="80"/>
        <v>9</v>
      </c>
      <c r="C667" s="929">
        <v>43007</v>
      </c>
      <c r="D667" s="929" t="s">
        <v>530</v>
      </c>
      <c r="E667" s="929">
        <v>43007</v>
      </c>
      <c r="F667" s="930" t="s">
        <v>1877</v>
      </c>
      <c r="G667" s="931" t="s">
        <v>2183</v>
      </c>
      <c r="H667" s="735" t="s">
        <v>749</v>
      </c>
      <c r="I667" s="371"/>
      <c r="J667" s="932"/>
      <c r="K667" s="371"/>
      <c r="L667" s="377"/>
      <c r="M667" s="933">
        <v>7850821</v>
      </c>
      <c r="N667" s="934" t="s">
        <v>539</v>
      </c>
      <c r="O667" s="934" t="s">
        <v>8</v>
      </c>
      <c r="P667" s="75" t="str">
        <f>IF(AND('331-CT'!$E$7=TH!H667,OR(N667="331",O667="331")),"x","")</f>
        <v/>
      </c>
      <c r="Q667" s="75" t="str">
        <f>IF(AND(B667='111'!$L$11,OR($N667=$Q$7,$O667=$Q$7)),"x","")</f>
        <v/>
      </c>
      <c r="R667" s="75" t="str">
        <f>IF(AND($N667=$Q$7,$B667&lt;'111'!$L$11),"x","")</f>
        <v/>
      </c>
      <c r="S667" s="75" t="str">
        <f>IF(AND($O667=$Q$7,$B667&lt;'111'!$L$11),"x","")</f>
        <v/>
      </c>
      <c r="T667" s="75" t="str">
        <f>IF(ISERROR(FIND('112'!$M$9,G667,1)),"",IF((AND(FIND('112'!$M$9,G667,1)&gt;=1,B667='112'!$K$9,OR($N667='112'!$I$6,$O667='112'!$I$6))),"x",""))</f>
        <v/>
      </c>
      <c r="U667" s="75" t="str">
        <f>IF(ISERROR(FIND('112'!$M$9,G667,1)),"",IF((AND(LEFT(G667,2)=LEFT('112'!$M$9,2),B667&lt;'112'!$K$9,$N667='112'!$I$6)),"x",""))</f>
        <v/>
      </c>
      <c r="V667" s="75" t="str">
        <f>IF(ISERROR(FIND('112'!$M$9,G667,1)),"",IF((AND(RIGHT(G667,2)=RIGHT('112'!$M$9,2),B667&lt;'112'!$K$9,$O667='112'!$I$6)),"x",""))</f>
        <v/>
      </c>
      <c r="W667" s="75" t="str">
        <f>IF(AND('341-CT'!$H$9=H667,OR(LEFT(N667,3)=$W$7,LEFT(O667,3)=$W$7)),"x","")</f>
        <v/>
      </c>
      <c r="X667" s="75" t="str">
        <f>IF(OR(TH!N667=TH!$X$7,O667=TH!$X$7),"x","")</f>
        <v/>
      </c>
      <c r="Y667" s="75" t="str">
        <f>IF(AND(OR(N667="131",O667="131"),H667='131-CT'!$H$9),"x","")</f>
        <v/>
      </c>
      <c r="Z667" s="75"/>
      <c r="AA667" s="75" t="str">
        <f>IF(AND(MONTH(E667)='IN-NX'!$J$5,'IN-NX'!$D$7=D667),"x","")</f>
        <v/>
      </c>
      <c r="AB667" s="75" t="str">
        <f>IF(AND(OR(LEFT(TH!N667,2)="15",LEFT(TH!O667,2)="15"),LEFT(TH!O667,3)&lt;&gt;"111",'152-CT'!$J$8=TH!F667),"x","")</f>
        <v/>
      </c>
      <c r="AC667" s="75" t="str">
        <f>IF(AND(OR(LEFT(TH!N667,2)="15",LEFT(TH!O667,2)="15"),TK!$E$7=TH!F667),"x","")</f>
        <v/>
      </c>
      <c r="AD667" s="75" t="str">
        <f>IF(AND(N667="1521",MONTH(C667)='BK-NL'!$M$11),"x","")</f>
        <v/>
      </c>
      <c r="AE667">
        <v>9</v>
      </c>
    </row>
    <row r="668" spans="1:31" ht="16.5" customHeight="1">
      <c r="A668" s="309" t="str">
        <f>IF(B668&lt;&gt;"",IF(AND(B668='IN-TC'!$S$4,OR(TH!N668="1111",TH!O668="1111")),TH!D668,""),"")</f>
        <v/>
      </c>
      <c r="B668" s="1242">
        <f t="shared" si="80"/>
        <v>9</v>
      </c>
      <c r="C668" s="929">
        <v>43007</v>
      </c>
      <c r="D668" s="929" t="s">
        <v>530</v>
      </c>
      <c r="E668" s="929">
        <v>43007</v>
      </c>
      <c r="F668" s="930" t="s">
        <v>1878</v>
      </c>
      <c r="G668" s="931" t="s">
        <v>2183</v>
      </c>
      <c r="H668" s="735" t="s">
        <v>749</v>
      </c>
      <c r="I668" s="371"/>
      <c r="J668" s="932"/>
      <c r="K668" s="371"/>
      <c r="L668" s="377"/>
      <c r="M668" s="933">
        <v>785082</v>
      </c>
      <c r="N668" s="934" t="s">
        <v>9</v>
      </c>
      <c r="O668" s="934" t="s">
        <v>8</v>
      </c>
      <c r="P668" s="75" t="str">
        <f>IF(AND('331-CT'!$E$7=TH!H668,OR(N668="331",O668="331")),"x","")</f>
        <v/>
      </c>
      <c r="Q668" s="75" t="str">
        <f>IF(AND(B668='111'!$L$11,OR($N668=$Q$7,$O668=$Q$7)),"x","")</f>
        <v/>
      </c>
      <c r="R668" s="75" t="str">
        <f>IF(AND($N668=$Q$7,$B668&lt;'111'!$L$11),"x","")</f>
        <v/>
      </c>
      <c r="S668" s="75" t="str">
        <f>IF(AND($O668=$Q$7,$B668&lt;'111'!$L$11),"x","")</f>
        <v/>
      </c>
      <c r="T668" s="75" t="str">
        <f>IF(ISERROR(FIND('112'!$M$9,G668,1)),"",IF((AND(FIND('112'!$M$9,G668,1)&gt;=1,B668='112'!$K$9,OR($N668='112'!$I$6,$O668='112'!$I$6))),"x",""))</f>
        <v/>
      </c>
      <c r="U668" s="75" t="str">
        <f>IF(ISERROR(FIND('112'!$M$9,G668,1)),"",IF((AND(LEFT(G668,2)=LEFT('112'!$M$9,2),B668&lt;'112'!$K$9,$N668='112'!$I$6)),"x",""))</f>
        <v/>
      </c>
      <c r="V668" s="75" t="str">
        <f>IF(ISERROR(FIND('112'!$M$9,G668,1)),"",IF((AND(RIGHT(G668,2)=RIGHT('112'!$M$9,2),B668&lt;'112'!$K$9,$O668='112'!$I$6)),"x",""))</f>
        <v/>
      </c>
      <c r="W668" s="75" t="str">
        <f>IF(AND('341-CT'!$H$9=H668,OR(LEFT(N668,3)=$W$7,LEFT(O668,3)=$W$7)),"x","")</f>
        <v/>
      </c>
      <c r="X668" s="75" t="str">
        <f>IF(OR(TH!N668=TH!$X$7,O668=TH!$X$7),"x","")</f>
        <v/>
      </c>
      <c r="Y668" s="75" t="str">
        <f>IF(AND(OR(N668="131",O668="131"),H668='131-CT'!$H$9),"x","")</f>
        <v/>
      </c>
      <c r="Z668" s="75"/>
      <c r="AA668" s="75" t="str">
        <f>IF(AND(MONTH(E668)='IN-NX'!$J$5,'IN-NX'!$D$7=D668),"x","")</f>
        <v/>
      </c>
      <c r="AB668" s="75" t="str">
        <f>IF(AND(OR(LEFT(TH!N668,2)="15",LEFT(TH!O668,2)="15"),LEFT(TH!O668,3)&lt;&gt;"111",'152-CT'!$J$8=TH!F668),"x","")</f>
        <v/>
      </c>
      <c r="AC668" s="75" t="str">
        <f>IF(AND(OR(LEFT(TH!N668,2)="15",LEFT(TH!O668,2)="15"),TK!$E$7=TH!F668),"x","")</f>
        <v/>
      </c>
      <c r="AD668" s="75" t="str">
        <f>IF(AND(N668="1521",MONTH(C668)='BK-NL'!$M$11),"x","")</f>
        <v/>
      </c>
      <c r="AE668">
        <v>9</v>
      </c>
    </row>
    <row r="669" spans="1:31" ht="16.5" customHeight="1">
      <c r="A669" s="309" t="str">
        <f>IF(B669&lt;&gt;"",IF(AND(B669='IN-TC'!$S$4,OR(TH!N669="1111",TH!O669="1111")),TH!D669,""),"")</f>
        <v/>
      </c>
      <c r="B669" s="1242">
        <f t="shared" si="80"/>
        <v>9</v>
      </c>
      <c r="C669" s="929">
        <v>43007</v>
      </c>
      <c r="D669" s="929" t="s">
        <v>530</v>
      </c>
      <c r="E669" s="929">
        <v>43007</v>
      </c>
      <c r="F669" s="930" t="s">
        <v>1877</v>
      </c>
      <c r="G669" s="931" t="s">
        <v>2184</v>
      </c>
      <c r="H669" s="735" t="s">
        <v>749</v>
      </c>
      <c r="I669" s="371"/>
      <c r="J669" s="932"/>
      <c r="K669" s="371"/>
      <c r="L669" s="377"/>
      <c r="M669" s="933">
        <v>7850821</v>
      </c>
      <c r="N669" s="934" t="s">
        <v>539</v>
      </c>
      <c r="O669" s="934" t="s">
        <v>8</v>
      </c>
      <c r="P669" s="75" t="str">
        <f>IF(AND('331-CT'!$E$7=TH!H669,OR(N669="331",O669="331")),"x","")</f>
        <v/>
      </c>
      <c r="Q669" s="75" t="str">
        <f>IF(AND(B669='111'!$L$11,OR($N669=$Q$7,$O669=$Q$7)),"x","")</f>
        <v/>
      </c>
      <c r="R669" s="75" t="str">
        <f>IF(AND($N669=$Q$7,$B669&lt;'111'!$L$11),"x","")</f>
        <v/>
      </c>
      <c r="S669" s="75" t="str">
        <f>IF(AND($O669=$Q$7,$B669&lt;'111'!$L$11),"x","")</f>
        <v/>
      </c>
      <c r="T669" s="75" t="str">
        <f>IF(ISERROR(FIND('112'!$M$9,G669,1)),"",IF((AND(FIND('112'!$M$9,G669,1)&gt;=1,B669='112'!$K$9,OR($N669='112'!$I$6,$O669='112'!$I$6))),"x",""))</f>
        <v/>
      </c>
      <c r="U669" s="75" t="str">
        <f>IF(ISERROR(FIND('112'!$M$9,G669,1)),"",IF((AND(LEFT(G669,2)=LEFT('112'!$M$9,2),B669&lt;'112'!$K$9,$N669='112'!$I$6)),"x",""))</f>
        <v/>
      </c>
      <c r="V669" s="75" t="str">
        <f>IF(ISERROR(FIND('112'!$M$9,G669,1)),"",IF((AND(RIGHT(G669,2)=RIGHT('112'!$M$9,2),B669&lt;'112'!$K$9,$O669='112'!$I$6)),"x",""))</f>
        <v/>
      </c>
      <c r="W669" s="75" t="str">
        <f>IF(AND('341-CT'!$H$9=H669,OR(LEFT(N669,3)=$W$7,LEFT(O669,3)=$W$7)),"x","")</f>
        <v/>
      </c>
      <c r="X669" s="75" t="str">
        <f>IF(OR(TH!N669=TH!$X$7,O669=TH!$X$7),"x","")</f>
        <v/>
      </c>
      <c r="Y669" s="75" t="str">
        <f>IF(AND(OR(N669="131",O669="131"),H669='131-CT'!$H$9),"x","")</f>
        <v/>
      </c>
      <c r="Z669" s="75"/>
      <c r="AA669" s="75" t="str">
        <f>IF(AND(MONTH(E669)='IN-NX'!$J$5,'IN-NX'!$D$7=D669),"x","")</f>
        <v/>
      </c>
      <c r="AB669" s="75" t="str">
        <f>IF(AND(OR(LEFT(TH!N669,2)="15",LEFT(TH!O669,2)="15"),LEFT(TH!O669,3)&lt;&gt;"111",'152-CT'!$J$8=TH!F669),"x","")</f>
        <v/>
      </c>
      <c r="AC669" s="75" t="str">
        <f>IF(AND(OR(LEFT(TH!N669,2)="15",LEFT(TH!O669,2)="15"),TK!$E$7=TH!F669),"x","")</f>
        <v/>
      </c>
      <c r="AD669" s="75" t="str">
        <f>IF(AND(N669="1521",MONTH(C669)='BK-NL'!$M$11),"x","")</f>
        <v/>
      </c>
      <c r="AE669">
        <v>9</v>
      </c>
    </row>
    <row r="670" spans="1:31" ht="16.5" customHeight="1">
      <c r="A670" s="309" t="str">
        <f>IF(B670&lt;&gt;"",IF(AND(B670='IN-TC'!$S$4,OR(TH!N670="1111",TH!O670="1111")),TH!D670,""),"")</f>
        <v/>
      </c>
      <c r="B670" s="1242">
        <f t="shared" si="80"/>
        <v>9</v>
      </c>
      <c r="C670" s="929">
        <v>43007</v>
      </c>
      <c r="D670" s="929" t="s">
        <v>530</v>
      </c>
      <c r="E670" s="929">
        <v>43007</v>
      </c>
      <c r="F670" s="930" t="s">
        <v>1878</v>
      </c>
      <c r="G670" s="931" t="s">
        <v>2184</v>
      </c>
      <c r="H670" s="735" t="s">
        <v>749</v>
      </c>
      <c r="I670" s="371"/>
      <c r="J670" s="932"/>
      <c r="K670" s="371"/>
      <c r="L670" s="377"/>
      <c r="M670" s="933">
        <v>785082</v>
      </c>
      <c r="N670" s="934" t="s">
        <v>9</v>
      </c>
      <c r="O670" s="934" t="s">
        <v>8</v>
      </c>
      <c r="P670" s="75" t="str">
        <f>IF(AND('331-CT'!$E$7=TH!H670,OR(N670="331",O670="331")),"x","")</f>
        <v/>
      </c>
      <c r="Q670" s="75" t="str">
        <f>IF(AND(B670='111'!$L$11,OR($N670=$Q$7,$O670=$Q$7)),"x","")</f>
        <v/>
      </c>
      <c r="R670" s="75" t="str">
        <f>IF(AND($N670=$Q$7,$B670&lt;'111'!$L$11),"x","")</f>
        <v/>
      </c>
      <c r="S670" s="75" t="str">
        <f>IF(AND($O670=$Q$7,$B670&lt;'111'!$L$11),"x","")</f>
        <v/>
      </c>
      <c r="T670" s="75" t="str">
        <f>IF(ISERROR(FIND('112'!$M$9,G670,1)),"",IF((AND(FIND('112'!$M$9,G670,1)&gt;=1,B670='112'!$K$9,OR($N670='112'!$I$6,$O670='112'!$I$6))),"x",""))</f>
        <v/>
      </c>
      <c r="U670" s="75" t="str">
        <f>IF(ISERROR(FIND('112'!$M$9,G670,1)),"",IF((AND(LEFT(G670,2)=LEFT('112'!$M$9,2),B670&lt;'112'!$K$9,$N670='112'!$I$6)),"x",""))</f>
        <v/>
      </c>
      <c r="V670" s="75" t="str">
        <f>IF(ISERROR(FIND('112'!$M$9,G670,1)),"",IF((AND(RIGHT(G670,2)=RIGHT('112'!$M$9,2),B670&lt;'112'!$K$9,$O670='112'!$I$6)),"x",""))</f>
        <v/>
      </c>
      <c r="W670" s="75" t="str">
        <f>IF(AND('341-CT'!$H$9=H670,OR(LEFT(N670,3)=$W$7,LEFT(O670,3)=$W$7)),"x","")</f>
        <v/>
      </c>
      <c r="X670" s="75" t="str">
        <f>IF(OR(TH!N670=TH!$X$7,O670=TH!$X$7),"x","")</f>
        <v/>
      </c>
      <c r="Y670" s="75" t="str">
        <f>IF(AND(OR(N670="131",O670="131"),H670='131-CT'!$H$9),"x","")</f>
        <v/>
      </c>
      <c r="Z670" s="75"/>
      <c r="AA670" s="75" t="str">
        <f>IF(AND(MONTH(E670)='IN-NX'!$J$5,'IN-NX'!$D$7=D670),"x","")</f>
        <v/>
      </c>
      <c r="AB670" s="75" t="str">
        <f>IF(AND(OR(LEFT(TH!N670,2)="15",LEFT(TH!O670,2)="15"),LEFT(TH!O670,3)&lt;&gt;"111",'152-CT'!$J$8=TH!F670),"x","")</f>
        <v/>
      </c>
      <c r="AC670" s="75" t="str">
        <f>IF(AND(OR(LEFT(TH!N670,2)="15",LEFT(TH!O670,2)="15"),TK!$E$7=TH!F670),"x","")</f>
        <v/>
      </c>
      <c r="AD670" s="75" t="str">
        <f>IF(AND(N670="1521",MONTH(C670)='BK-NL'!$M$11),"x","")</f>
        <v/>
      </c>
      <c r="AE670">
        <v>9</v>
      </c>
    </row>
    <row r="671" spans="1:31" ht="16.5" customHeight="1">
      <c r="A671" s="309" t="str">
        <f>IF(B671&lt;&gt;"",IF(AND(B671='IN-TC'!$S$4,OR(TH!N671="1111",TH!O671="1111")),TH!D671,""),"")</f>
        <v/>
      </c>
      <c r="B671" s="1242">
        <f t="shared" si="80"/>
        <v>9</v>
      </c>
      <c r="C671" s="929">
        <v>43008</v>
      </c>
      <c r="D671" s="929" t="s">
        <v>530</v>
      </c>
      <c r="E671" s="929">
        <v>42984</v>
      </c>
      <c r="F671" s="930" t="s">
        <v>2204</v>
      </c>
      <c r="G671" s="931" t="s">
        <v>2234</v>
      </c>
      <c r="H671" s="735" t="s">
        <v>563</v>
      </c>
      <c r="I671" s="371"/>
      <c r="J671" s="932"/>
      <c r="K671" s="371"/>
      <c r="L671" s="377"/>
      <c r="M671" s="933">
        <v>29287500</v>
      </c>
      <c r="N671" s="934" t="s">
        <v>272</v>
      </c>
      <c r="O671" s="934" t="s">
        <v>8</v>
      </c>
      <c r="P671" s="75" t="str">
        <f>IF(AND('331-CT'!$E$7=TH!H671,OR(N671="331",O671="331")),"x","")</f>
        <v/>
      </c>
      <c r="Q671" s="75" t="str">
        <f>IF(AND(B671='111'!$L$11,OR($N671=$Q$7,$O671=$Q$7)),"x","")</f>
        <v/>
      </c>
      <c r="R671" s="75" t="str">
        <f>IF(AND($N671=$Q$7,$B671&lt;'111'!$L$11),"x","")</f>
        <v/>
      </c>
      <c r="S671" s="75" t="str">
        <f>IF(AND($O671=$Q$7,$B671&lt;'111'!$L$11),"x","")</f>
        <v/>
      </c>
      <c r="T671" s="75" t="str">
        <f>IF(ISERROR(FIND('112'!$M$9,G671,1)),"",IF((AND(FIND('112'!$M$9,G671,1)&gt;=1,B671='112'!$K$9,OR($N671='112'!$I$6,$O671='112'!$I$6))),"x",""))</f>
        <v/>
      </c>
      <c r="U671" s="75" t="str">
        <f>IF(ISERROR(FIND('112'!$M$9,G671,1)),"",IF((AND(LEFT(G671,2)=LEFT('112'!$M$9,2),B671&lt;'112'!$K$9,$N671='112'!$I$6)),"x",""))</f>
        <v/>
      </c>
      <c r="V671" s="75" t="str">
        <f>IF(ISERROR(FIND('112'!$M$9,G671,1)),"",IF((AND(RIGHT(G671,2)=RIGHT('112'!$M$9,2),B671&lt;'112'!$K$9,$O671='112'!$I$6)),"x",""))</f>
        <v/>
      </c>
      <c r="W671" s="75" t="str">
        <f>IF(AND('341-CT'!$H$9=H671,OR(LEFT(N671,3)=$W$7,LEFT(O671,3)=$W$7)),"x","")</f>
        <v/>
      </c>
      <c r="X671" s="75" t="str">
        <f>IF(OR(TH!N671=TH!$X$7,O671=TH!$X$7),"x","")</f>
        <v/>
      </c>
      <c r="Y671" s="75" t="str">
        <f>IF(AND(OR(N671="131",O671="131"),H671='131-CT'!$H$9),"x","")</f>
        <v/>
      </c>
      <c r="Z671" s="75"/>
      <c r="AA671" s="75" t="str">
        <f>IF(AND(MONTH(E671)='IN-NX'!$J$5,'IN-NX'!$D$7=D671),"x","")</f>
        <v/>
      </c>
      <c r="AB671" s="75" t="str">
        <f>IF(AND(OR(LEFT(TH!N671,2)="15",LEFT(TH!O671,2)="15"),LEFT(TH!O671,3)&lt;&gt;"111",'152-CT'!$J$8=TH!F671),"x","")</f>
        <v/>
      </c>
      <c r="AC671" s="75" t="str">
        <f>IF(AND(OR(LEFT(TH!N671,2)="15",LEFT(TH!O671,2)="15"),TK!$E$7=TH!F671),"x","")</f>
        <v/>
      </c>
      <c r="AD671" s="75" t="str">
        <f>IF(AND(N671="1521",MONTH(C671)='BK-NL'!$M$11),"x","")</f>
        <v/>
      </c>
      <c r="AE671">
        <v>9</v>
      </c>
    </row>
    <row r="672" spans="1:31" ht="16.5" customHeight="1">
      <c r="A672" s="309" t="str">
        <f>IF(B672&lt;&gt;"",IF(AND(B672='IN-TC'!$S$4,OR(TH!N672="1111",TH!O672="1111")),TH!D672,""),"")</f>
        <v/>
      </c>
      <c r="B672" s="1242">
        <f t="shared" si="80"/>
        <v>9</v>
      </c>
      <c r="C672" s="929">
        <v>43008</v>
      </c>
      <c r="D672" s="929" t="s">
        <v>530</v>
      </c>
      <c r="E672" s="929">
        <v>42984</v>
      </c>
      <c r="F672" s="930" t="s">
        <v>2205</v>
      </c>
      <c r="G672" s="931" t="s">
        <v>2234</v>
      </c>
      <c r="H672" s="735" t="s">
        <v>563</v>
      </c>
      <c r="I672" s="371"/>
      <c r="J672" s="932"/>
      <c r="K672" s="371"/>
      <c r="L672" s="377"/>
      <c r="M672" s="933">
        <v>2928750</v>
      </c>
      <c r="N672" s="934" t="s">
        <v>9</v>
      </c>
      <c r="O672" s="934" t="s">
        <v>8</v>
      </c>
      <c r="P672" s="75" t="str">
        <f>IF(AND('331-CT'!$E$7=TH!H672,OR(N672="331",O672="331")),"x","")</f>
        <v/>
      </c>
      <c r="Q672" s="75" t="str">
        <f>IF(AND(B672='111'!$L$11,OR($N672=$Q$7,$O672=$Q$7)),"x","")</f>
        <v/>
      </c>
      <c r="R672" s="75" t="str">
        <f>IF(AND($N672=$Q$7,$B672&lt;'111'!$L$11),"x","")</f>
        <v/>
      </c>
      <c r="S672" s="75" t="str">
        <f>IF(AND($O672=$Q$7,$B672&lt;'111'!$L$11),"x","")</f>
        <v/>
      </c>
      <c r="T672" s="75" t="str">
        <f>IF(ISERROR(FIND('112'!$M$9,G672,1)),"",IF((AND(FIND('112'!$M$9,G672,1)&gt;=1,B672='112'!$K$9,OR($N672='112'!$I$6,$O672='112'!$I$6))),"x",""))</f>
        <v/>
      </c>
      <c r="U672" s="75" t="str">
        <f>IF(ISERROR(FIND('112'!$M$9,G672,1)),"",IF((AND(LEFT(G672,2)=LEFT('112'!$M$9,2),B672&lt;'112'!$K$9,$N672='112'!$I$6)),"x",""))</f>
        <v/>
      </c>
      <c r="V672" s="75" t="str">
        <f>IF(ISERROR(FIND('112'!$M$9,G672,1)),"",IF((AND(RIGHT(G672,2)=RIGHT('112'!$M$9,2),B672&lt;'112'!$K$9,$O672='112'!$I$6)),"x",""))</f>
        <v/>
      </c>
      <c r="W672" s="75" t="str">
        <f>IF(AND('341-CT'!$H$9=H672,OR(LEFT(N672,3)=$W$7,LEFT(O672,3)=$W$7)),"x","")</f>
        <v/>
      </c>
      <c r="X672" s="75" t="str">
        <f>IF(OR(TH!N672=TH!$X$7,O672=TH!$X$7),"x","")</f>
        <v/>
      </c>
      <c r="Y672" s="75" t="str">
        <f>IF(AND(OR(N672="131",O672="131"),H672='131-CT'!$H$9),"x","")</f>
        <v/>
      </c>
      <c r="Z672" s="75"/>
      <c r="AA672" s="75" t="str">
        <f>IF(AND(MONTH(E672)='IN-NX'!$J$5,'IN-NX'!$D$7=D672),"x","")</f>
        <v/>
      </c>
      <c r="AB672" s="75" t="str">
        <f>IF(AND(OR(LEFT(TH!N672,2)="15",LEFT(TH!O672,2)="15"),LEFT(TH!O672,3)&lt;&gt;"111",'152-CT'!$J$8=TH!F672),"x","")</f>
        <v/>
      </c>
      <c r="AC672" s="75" t="str">
        <f>IF(AND(OR(LEFT(TH!N672,2)="15",LEFT(TH!O672,2)="15"),TK!$E$7=TH!F672),"x","")</f>
        <v/>
      </c>
      <c r="AD672" s="75" t="str">
        <f>IF(AND(N672="1521",MONTH(C672)='BK-NL'!$M$11),"x","")</f>
        <v/>
      </c>
      <c r="AE672">
        <v>9</v>
      </c>
    </row>
    <row r="673" spans="1:31" ht="16.5" customHeight="1">
      <c r="A673" s="309" t="str">
        <f>IF(B673&lt;&gt;"",IF(AND(B673='IN-TC'!$S$4,OR(TH!N673="1111",TH!O673="1111")),TH!D673,""),"")</f>
        <v/>
      </c>
      <c r="B673" s="1242">
        <f t="shared" si="80"/>
        <v>9</v>
      </c>
      <c r="C673" s="929">
        <v>43008</v>
      </c>
      <c r="D673" s="929" t="s">
        <v>530</v>
      </c>
      <c r="E673" s="929">
        <v>42994</v>
      </c>
      <c r="F673" s="930" t="s">
        <v>2206</v>
      </c>
      <c r="G673" s="931" t="s">
        <v>2236</v>
      </c>
      <c r="H673" s="735" t="s">
        <v>563</v>
      </c>
      <c r="I673" s="371"/>
      <c r="J673" s="932"/>
      <c r="K673" s="371"/>
      <c r="L673" s="377"/>
      <c r="M673" s="933">
        <v>25285100</v>
      </c>
      <c r="N673" s="934" t="s">
        <v>272</v>
      </c>
      <c r="O673" s="934" t="s">
        <v>8</v>
      </c>
      <c r="P673" s="75" t="str">
        <f>IF(AND('331-CT'!$E$7=TH!H673,OR(N673="331",O673="331")),"x","")</f>
        <v/>
      </c>
      <c r="Q673" s="75" t="str">
        <f>IF(AND(B673='111'!$L$11,OR($N673=$Q$7,$O673=$Q$7)),"x","")</f>
        <v/>
      </c>
      <c r="R673" s="75" t="str">
        <f>IF(AND($N673=$Q$7,$B673&lt;'111'!$L$11),"x","")</f>
        <v/>
      </c>
      <c r="S673" s="75" t="str">
        <f>IF(AND($O673=$Q$7,$B673&lt;'111'!$L$11),"x","")</f>
        <v/>
      </c>
      <c r="T673" s="75" t="str">
        <f>IF(ISERROR(FIND('112'!$M$9,G673,1)),"",IF((AND(FIND('112'!$M$9,G673,1)&gt;=1,B673='112'!$K$9,OR($N673='112'!$I$6,$O673='112'!$I$6))),"x",""))</f>
        <v/>
      </c>
      <c r="U673" s="75" t="str">
        <f>IF(ISERROR(FIND('112'!$M$9,G673,1)),"",IF((AND(LEFT(G673,2)=LEFT('112'!$M$9,2),B673&lt;'112'!$K$9,$N673='112'!$I$6)),"x",""))</f>
        <v/>
      </c>
      <c r="V673" s="75" t="str">
        <f>IF(ISERROR(FIND('112'!$M$9,G673,1)),"",IF((AND(RIGHT(G673,2)=RIGHT('112'!$M$9,2),B673&lt;'112'!$K$9,$O673='112'!$I$6)),"x",""))</f>
        <v/>
      </c>
      <c r="W673" s="75" t="str">
        <f>IF(AND('341-CT'!$H$9=H673,OR(LEFT(N673,3)=$W$7,LEFT(O673,3)=$W$7)),"x","")</f>
        <v/>
      </c>
      <c r="X673" s="75" t="str">
        <f>IF(OR(TH!N673=TH!$X$7,O673=TH!$X$7),"x","")</f>
        <v/>
      </c>
      <c r="Y673" s="75" t="str">
        <f>IF(AND(OR(N673="131",O673="131"),H673='131-CT'!$H$9),"x","")</f>
        <v/>
      </c>
      <c r="Z673" s="75"/>
      <c r="AA673" s="75" t="str">
        <f>IF(AND(MONTH(E673)='IN-NX'!$J$5,'IN-NX'!$D$7=D673),"x","")</f>
        <v/>
      </c>
      <c r="AB673" s="75" t="str">
        <f>IF(AND(OR(LEFT(TH!N673,2)="15",LEFT(TH!O673,2)="15"),LEFT(TH!O673,3)&lt;&gt;"111",'152-CT'!$J$8=TH!F673),"x","")</f>
        <v/>
      </c>
      <c r="AC673" s="75" t="str">
        <f>IF(AND(OR(LEFT(TH!N673,2)="15",LEFT(TH!O673,2)="15"),TK!$E$7=TH!F673),"x","")</f>
        <v/>
      </c>
      <c r="AD673" s="75" t="str">
        <f>IF(AND(N673="1521",MONTH(C673)='BK-NL'!$M$11),"x","")</f>
        <v/>
      </c>
      <c r="AE673">
        <v>9</v>
      </c>
    </row>
    <row r="674" spans="1:31" ht="16.5" customHeight="1">
      <c r="A674" s="309" t="str">
        <f>IF(B674&lt;&gt;"",IF(AND(B674='IN-TC'!$S$4,OR(TH!N674="1111",TH!O674="1111")),TH!D674,""),"")</f>
        <v/>
      </c>
      <c r="B674" s="1242">
        <f t="shared" si="80"/>
        <v>9</v>
      </c>
      <c r="C674" s="929">
        <v>43008</v>
      </c>
      <c r="D674" s="929" t="s">
        <v>530</v>
      </c>
      <c r="E674" s="929">
        <v>42994</v>
      </c>
      <c r="F674" s="930" t="s">
        <v>2207</v>
      </c>
      <c r="G674" s="931" t="s">
        <v>2236</v>
      </c>
      <c r="H674" s="735" t="s">
        <v>563</v>
      </c>
      <c r="I674" s="371"/>
      <c r="J674" s="932"/>
      <c r="K674" s="371"/>
      <c r="L674" s="377"/>
      <c r="M674" s="933">
        <v>2528510</v>
      </c>
      <c r="N674" s="934" t="s">
        <v>9</v>
      </c>
      <c r="O674" s="934" t="s">
        <v>8</v>
      </c>
      <c r="P674" s="75" t="str">
        <f>IF(AND('331-CT'!$E$7=TH!H674,OR(N674="331",O674="331")),"x","")</f>
        <v/>
      </c>
      <c r="Q674" s="75" t="str">
        <f>IF(AND(B674='111'!$L$11,OR($N674=$Q$7,$O674=$Q$7)),"x","")</f>
        <v/>
      </c>
      <c r="R674" s="75" t="str">
        <f>IF(AND($N674=$Q$7,$B674&lt;'111'!$L$11),"x","")</f>
        <v/>
      </c>
      <c r="S674" s="75" t="str">
        <f>IF(AND($O674=$Q$7,$B674&lt;'111'!$L$11),"x","")</f>
        <v/>
      </c>
      <c r="T674" s="75" t="str">
        <f>IF(ISERROR(FIND('112'!$M$9,G674,1)),"",IF((AND(FIND('112'!$M$9,G674,1)&gt;=1,B674='112'!$K$9,OR($N674='112'!$I$6,$O674='112'!$I$6))),"x",""))</f>
        <v/>
      </c>
      <c r="U674" s="75" t="str">
        <f>IF(ISERROR(FIND('112'!$M$9,G674,1)),"",IF((AND(LEFT(G674,2)=LEFT('112'!$M$9,2),B674&lt;'112'!$K$9,$N674='112'!$I$6)),"x",""))</f>
        <v/>
      </c>
      <c r="V674" s="75" t="str">
        <f>IF(ISERROR(FIND('112'!$M$9,G674,1)),"",IF((AND(RIGHT(G674,2)=RIGHT('112'!$M$9,2),B674&lt;'112'!$K$9,$O674='112'!$I$6)),"x",""))</f>
        <v/>
      </c>
      <c r="W674" s="75" t="str">
        <f>IF(AND('341-CT'!$H$9=H674,OR(LEFT(N674,3)=$W$7,LEFT(O674,3)=$W$7)),"x","")</f>
        <v/>
      </c>
      <c r="X674" s="75" t="str">
        <f>IF(OR(TH!N674=TH!$X$7,O674=TH!$X$7),"x","")</f>
        <v/>
      </c>
      <c r="Y674" s="75" t="str">
        <f>IF(AND(OR(N674="131",O674="131"),H674='131-CT'!$H$9),"x","")</f>
        <v/>
      </c>
      <c r="Z674" s="75"/>
      <c r="AA674" s="75" t="str">
        <f>IF(AND(MONTH(E674)='IN-NX'!$J$5,'IN-NX'!$D$7=D674),"x","")</f>
        <v/>
      </c>
      <c r="AB674" s="75" t="str">
        <f>IF(AND(OR(LEFT(TH!N674,2)="15",LEFT(TH!O674,2)="15"),LEFT(TH!O674,3)&lt;&gt;"111",'152-CT'!$J$8=TH!F674),"x","")</f>
        <v/>
      </c>
      <c r="AC674" s="75" t="str">
        <f>IF(AND(OR(LEFT(TH!N674,2)="15",LEFT(TH!O674,2)="15"),TK!$E$7=TH!F674),"x","")</f>
        <v/>
      </c>
      <c r="AD674" s="75" t="str">
        <f>IF(AND(N674="1521",MONTH(C674)='BK-NL'!$M$11),"x","")</f>
        <v/>
      </c>
      <c r="AE674">
        <v>9</v>
      </c>
    </row>
    <row r="675" spans="1:31" ht="16.5" customHeight="1">
      <c r="A675" s="309" t="str">
        <f>IF(B675&lt;&gt;"",IF(AND(B675='IN-TC'!$S$4,OR(TH!N675="1111",TH!O675="1111")),TH!D675,""),"")</f>
        <v/>
      </c>
      <c r="B675" s="1242">
        <f t="shared" si="80"/>
        <v>9</v>
      </c>
      <c r="C675" s="929">
        <v>43008</v>
      </c>
      <c r="D675" s="929" t="s">
        <v>530</v>
      </c>
      <c r="E675" s="929">
        <v>43004</v>
      </c>
      <c r="F675" s="930" t="s">
        <v>2208</v>
      </c>
      <c r="G675" s="931" t="s">
        <v>2235</v>
      </c>
      <c r="H675" s="735" t="s">
        <v>563</v>
      </c>
      <c r="I675" s="371"/>
      <c r="J675" s="932"/>
      <c r="K675" s="371"/>
      <c r="L675" s="377"/>
      <c r="M675" s="933">
        <v>28791300</v>
      </c>
      <c r="N675" s="934" t="s">
        <v>272</v>
      </c>
      <c r="O675" s="934" t="s">
        <v>8</v>
      </c>
      <c r="P675" s="75" t="str">
        <f>IF(AND('331-CT'!$E$7=TH!H675,OR(N675="331",O675="331")),"x","")</f>
        <v/>
      </c>
      <c r="Q675" s="75" t="str">
        <f>IF(AND(B675='111'!$L$11,OR($N675=$Q$7,$O675=$Q$7)),"x","")</f>
        <v/>
      </c>
      <c r="R675" s="75" t="str">
        <f>IF(AND($N675=$Q$7,$B675&lt;'111'!$L$11),"x","")</f>
        <v/>
      </c>
      <c r="S675" s="75" t="str">
        <f>IF(AND($O675=$Q$7,$B675&lt;'111'!$L$11),"x","")</f>
        <v/>
      </c>
      <c r="T675" s="75" t="str">
        <f>IF(ISERROR(FIND('112'!$M$9,G675,1)),"",IF((AND(FIND('112'!$M$9,G675,1)&gt;=1,B675='112'!$K$9,OR($N675='112'!$I$6,$O675='112'!$I$6))),"x",""))</f>
        <v/>
      </c>
      <c r="U675" s="75" t="str">
        <f>IF(ISERROR(FIND('112'!$M$9,G675,1)),"",IF((AND(LEFT(G675,2)=LEFT('112'!$M$9,2),B675&lt;'112'!$K$9,$N675='112'!$I$6)),"x",""))</f>
        <v/>
      </c>
      <c r="V675" s="75" t="str">
        <f>IF(ISERROR(FIND('112'!$M$9,G675,1)),"",IF((AND(RIGHT(G675,2)=RIGHT('112'!$M$9,2),B675&lt;'112'!$K$9,$O675='112'!$I$6)),"x",""))</f>
        <v/>
      </c>
      <c r="W675" s="75" t="str">
        <f>IF(AND('341-CT'!$H$9=H675,OR(LEFT(N675,3)=$W$7,LEFT(O675,3)=$W$7)),"x","")</f>
        <v/>
      </c>
      <c r="X675" s="75" t="str">
        <f>IF(OR(TH!N675=TH!$X$7,O675=TH!$X$7),"x","")</f>
        <v/>
      </c>
      <c r="Y675" s="75" t="str">
        <f>IF(AND(OR(N675="131",O675="131"),H675='131-CT'!$H$9),"x","")</f>
        <v/>
      </c>
      <c r="Z675" s="75"/>
      <c r="AA675" s="75" t="str">
        <f>IF(AND(MONTH(E675)='IN-NX'!$J$5,'IN-NX'!$D$7=D675),"x","")</f>
        <v/>
      </c>
      <c r="AB675" s="75" t="str">
        <f>IF(AND(OR(LEFT(TH!N675,2)="15",LEFT(TH!O675,2)="15"),LEFT(TH!O675,3)&lt;&gt;"111",'152-CT'!$J$8=TH!F675),"x","")</f>
        <v/>
      </c>
      <c r="AC675" s="75" t="str">
        <f>IF(AND(OR(LEFT(TH!N675,2)="15",LEFT(TH!O675,2)="15"),TK!$E$7=TH!F675),"x","")</f>
        <v/>
      </c>
      <c r="AD675" s="75" t="str">
        <f>IF(AND(N675="1521",MONTH(C675)='BK-NL'!$M$11),"x","")</f>
        <v/>
      </c>
      <c r="AE675">
        <v>9</v>
      </c>
    </row>
    <row r="676" spans="1:31" ht="16.5" customHeight="1">
      <c r="A676" s="309" t="str">
        <f>IF(B676&lt;&gt;"",IF(AND(B676='IN-TC'!$S$4,OR(TH!N676="1111",TH!O676="1111")),TH!D676,""),"")</f>
        <v/>
      </c>
      <c r="B676" s="1242">
        <f t="shared" si="80"/>
        <v>9</v>
      </c>
      <c r="C676" s="929">
        <v>43008</v>
      </c>
      <c r="D676" s="929" t="s">
        <v>530</v>
      </c>
      <c r="E676" s="929">
        <v>43004</v>
      </c>
      <c r="F676" s="930" t="s">
        <v>2209</v>
      </c>
      <c r="G676" s="931" t="s">
        <v>2235</v>
      </c>
      <c r="H676" s="735" t="s">
        <v>563</v>
      </c>
      <c r="I676" s="371"/>
      <c r="J676" s="932"/>
      <c r="K676" s="371"/>
      <c r="L676" s="377"/>
      <c r="M676" s="933">
        <v>2879130</v>
      </c>
      <c r="N676" s="934" t="s">
        <v>9</v>
      </c>
      <c r="O676" s="934" t="s">
        <v>8</v>
      </c>
      <c r="P676" s="75" t="str">
        <f>IF(AND('331-CT'!$E$7=TH!H676,OR(N676="331",O676="331")),"x","")</f>
        <v/>
      </c>
      <c r="Q676" s="75" t="str">
        <f>IF(AND(B676='111'!$L$11,OR($N676=$Q$7,$O676=$Q$7)),"x","")</f>
        <v/>
      </c>
      <c r="R676" s="75" t="str">
        <f>IF(AND($N676=$Q$7,$B676&lt;'111'!$L$11),"x","")</f>
        <v/>
      </c>
      <c r="S676" s="75" t="str">
        <f>IF(AND($O676=$Q$7,$B676&lt;'111'!$L$11),"x","")</f>
        <v/>
      </c>
      <c r="T676" s="75" t="str">
        <f>IF(ISERROR(FIND('112'!$M$9,G676,1)),"",IF((AND(FIND('112'!$M$9,G676,1)&gt;=1,B676='112'!$K$9,OR($N676='112'!$I$6,$O676='112'!$I$6))),"x",""))</f>
        <v/>
      </c>
      <c r="U676" s="75" t="str">
        <f>IF(ISERROR(FIND('112'!$M$9,G676,1)),"",IF((AND(LEFT(G676,2)=LEFT('112'!$M$9,2),B676&lt;'112'!$K$9,$N676='112'!$I$6)),"x",""))</f>
        <v/>
      </c>
      <c r="V676" s="75" t="str">
        <f>IF(ISERROR(FIND('112'!$M$9,G676,1)),"",IF((AND(RIGHT(G676,2)=RIGHT('112'!$M$9,2),B676&lt;'112'!$K$9,$O676='112'!$I$6)),"x",""))</f>
        <v/>
      </c>
      <c r="W676" s="75" t="str">
        <f>IF(AND('341-CT'!$H$9=H676,OR(LEFT(N676,3)=$W$7,LEFT(O676,3)=$W$7)),"x","")</f>
        <v/>
      </c>
      <c r="X676" s="75" t="str">
        <f>IF(OR(TH!N676=TH!$X$7,O676=TH!$X$7),"x","")</f>
        <v/>
      </c>
      <c r="Y676" s="75" t="str">
        <f>IF(AND(OR(N676="131",O676="131"),H676='131-CT'!$H$9),"x","")</f>
        <v/>
      </c>
      <c r="Z676" s="75"/>
      <c r="AA676" s="75" t="str">
        <f>IF(AND(MONTH(E676)='IN-NX'!$J$5,'IN-NX'!$D$7=D676),"x","")</f>
        <v/>
      </c>
      <c r="AB676" s="75" t="str">
        <f>IF(AND(OR(LEFT(TH!N676,2)="15",LEFT(TH!O676,2)="15"),LEFT(TH!O676,3)&lt;&gt;"111",'152-CT'!$J$8=TH!F676),"x","")</f>
        <v/>
      </c>
      <c r="AC676" s="75" t="str">
        <f>IF(AND(OR(LEFT(TH!N676,2)="15",LEFT(TH!O676,2)="15"),TK!$E$7=TH!F676),"x","")</f>
        <v/>
      </c>
      <c r="AD676" s="75" t="str">
        <f>IF(AND(N676="1521",MONTH(C676)='BK-NL'!$M$11),"x","")</f>
        <v/>
      </c>
      <c r="AE676">
        <v>9</v>
      </c>
    </row>
    <row r="677" spans="1:31" ht="16.5" customHeight="1">
      <c r="A677" s="309" t="str">
        <f>IF(B677&lt;&gt;"",IF(AND(B677='IN-TC'!$S$4,OR(TH!N677="1111",TH!O677="1111")),TH!D677,""),"")</f>
        <v/>
      </c>
      <c r="B677" s="1242">
        <f t="shared" si="80"/>
        <v>9</v>
      </c>
      <c r="C677" s="929">
        <v>43008</v>
      </c>
      <c r="D677" s="929" t="s">
        <v>530</v>
      </c>
      <c r="E677" s="929">
        <v>43004</v>
      </c>
      <c r="F677" s="930" t="s">
        <v>1322</v>
      </c>
      <c r="G677" s="931" t="s">
        <v>2375</v>
      </c>
      <c r="H677" s="735" t="s">
        <v>739</v>
      </c>
      <c r="I677" s="371"/>
      <c r="J677" s="932"/>
      <c r="K677" s="371"/>
      <c r="L677" s="377"/>
      <c r="M677" s="933">
        <v>8525971</v>
      </c>
      <c r="N677" s="934" t="s">
        <v>539</v>
      </c>
      <c r="O677" s="934" t="s">
        <v>8</v>
      </c>
      <c r="P677" s="75" t="str">
        <f>IF(AND('331-CT'!$E$7=TH!H677,OR(N677="331",O677="331")),"x","")</f>
        <v/>
      </c>
      <c r="Q677" s="75" t="str">
        <f>IF(AND(B677='111'!$L$11,OR($N677=$Q$7,$O677=$Q$7)),"x","")</f>
        <v/>
      </c>
      <c r="R677" s="75" t="str">
        <f>IF(AND($N677=$Q$7,$B677&lt;'111'!$L$11),"x","")</f>
        <v/>
      </c>
      <c r="S677" s="75" t="str">
        <f>IF(AND($O677=$Q$7,$B677&lt;'111'!$L$11),"x","")</f>
        <v/>
      </c>
      <c r="T677" s="75" t="str">
        <f>IF(ISERROR(FIND('112'!$M$9,G677,1)),"",IF((AND(FIND('112'!$M$9,G677,1)&gt;=1,B677='112'!$K$9,OR($N677='112'!$I$6,$O677='112'!$I$6))),"x",""))</f>
        <v/>
      </c>
      <c r="U677" s="75" t="str">
        <f>IF(ISERROR(FIND('112'!$M$9,G677,1)),"",IF((AND(LEFT(G677,2)=LEFT('112'!$M$9,2),B677&lt;'112'!$K$9,$N677='112'!$I$6)),"x",""))</f>
        <v/>
      </c>
      <c r="V677" s="75" t="str">
        <f>IF(ISERROR(FIND('112'!$M$9,G677,1)),"",IF((AND(RIGHT(G677,2)=RIGHT('112'!$M$9,2),B677&lt;'112'!$K$9,$O677='112'!$I$6)),"x",""))</f>
        <v/>
      </c>
      <c r="W677" s="75" t="str">
        <f>IF(AND('341-CT'!$H$9=H677,OR(LEFT(N677,3)=$W$7,LEFT(O677,3)=$W$7)),"x","")</f>
        <v/>
      </c>
      <c r="X677" s="75" t="str">
        <f>IF(OR(TH!N677=TH!$X$7,O677=TH!$X$7),"x","")</f>
        <v/>
      </c>
      <c r="Y677" s="75" t="str">
        <f>IF(AND(OR(N677="131",O677="131"),H677='131-CT'!$H$9),"x","")</f>
        <v/>
      </c>
      <c r="Z677" s="75"/>
      <c r="AA677" s="75" t="str">
        <f>IF(AND(MONTH(E677)='IN-NX'!$J$5,'IN-NX'!$D$7=D677),"x","")</f>
        <v/>
      </c>
      <c r="AB677" s="75" t="str">
        <f>IF(AND(OR(LEFT(TH!N677,2)="15",LEFT(TH!O677,2)="15"),LEFT(TH!O677,3)&lt;&gt;"111",'152-CT'!$J$8=TH!F677),"x","")</f>
        <v/>
      </c>
      <c r="AC677" s="75" t="str">
        <f>IF(AND(OR(LEFT(TH!N677,2)="15",LEFT(TH!O677,2)="15"),TK!$E$7=TH!F677),"x","")</f>
        <v/>
      </c>
      <c r="AD677" s="75" t="str">
        <f>IF(AND(N677="1521",MONTH(C677)='BK-NL'!$M$11),"x","")</f>
        <v/>
      </c>
      <c r="AE677">
        <v>10</v>
      </c>
    </row>
    <row r="678" spans="1:31" ht="16.5" customHeight="1">
      <c r="A678" s="309" t="str">
        <f>IF(B678&lt;&gt;"",IF(AND(B678='IN-TC'!$S$4,OR(TH!N678="1111",TH!O678="1111")),TH!D678,""),"")</f>
        <v/>
      </c>
      <c r="B678" s="1242">
        <f t="shared" si="80"/>
        <v>9</v>
      </c>
      <c r="C678" s="929">
        <v>43008</v>
      </c>
      <c r="D678" s="929" t="s">
        <v>530</v>
      </c>
      <c r="E678" s="929">
        <v>43004</v>
      </c>
      <c r="F678" s="930" t="s">
        <v>1323</v>
      </c>
      <c r="G678" s="931" t="s">
        <v>2375</v>
      </c>
      <c r="H678" s="735" t="s">
        <v>739</v>
      </c>
      <c r="I678" s="371"/>
      <c r="J678" s="932"/>
      <c r="K678" s="371"/>
      <c r="L678" s="377"/>
      <c r="M678" s="933">
        <v>557169</v>
      </c>
      <c r="N678" s="934" t="s">
        <v>9</v>
      </c>
      <c r="O678" s="934" t="s">
        <v>8</v>
      </c>
      <c r="P678" s="75" t="str">
        <f>IF(AND('331-CT'!$E$7=TH!H678,OR(N678="331",O678="331")),"x","")</f>
        <v/>
      </c>
      <c r="Q678" s="75" t="str">
        <f>IF(AND(B678='111'!$L$11,OR($N678=$Q$7,$O678=$Q$7)),"x","")</f>
        <v/>
      </c>
      <c r="R678" s="75" t="str">
        <f>IF(AND($N678=$Q$7,$B678&lt;'111'!$L$11),"x","")</f>
        <v/>
      </c>
      <c r="S678" s="75" t="str">
        <f>IF(AND($O678=$Q$7,$B678&lt;'111'!$L$11),"x","")</f>
        <v/>
      </c>
      <c r="T678" s="75" t="str">
        <f>IF(ISERROR(FIND('112'!$M$9,G678,1)),"",IF((AND(FIND('112'!$M$9,G678,1)&gt;=1,B678='112'!$K$9,OR($N678='112'!$I$6,$O678='112'!$I$6))),"x",""))</f>
        <v/>
      </c>
      <c r="U678" s="75" t="str">
        <f>IF(ISERROR(FIND('112'!$M$9,G678,1)),"",IF((AND(LEFT(G678,2)=LEFT('112'!$M$9,2),B678&lt;'112'!$K$9,$N678='112'!$I$6)),"x",""))</f>
        <v/>
      </c>
      <c r="V678" s="75" t="str">
        <f>IF(ISERROR(FIND('112'!$M$9,G678,1)),"",IF((AND(RIGHT(G678,2)=RIGHT('112'!$M$9,2),B678&lt;'112'!$K$9,$O678='112'!$I$6)),"x",""))</f>
        <v/>
      </c>
      <c r="W678" s="75" t="str">
        <f>IF(AND('341-CT'!$H$9=H678,OR(LEFT(N678,3)=$W$7,LEFT(O678,3)=$W$7)),"x","")</f>
        <v/>
      </c>
      <c r="X678" s="75" t="str">
        <f>IF(OR(TH!N678=TH!$X$7,O678=TH!$X$7),"x","")</f>
        <v/>
      </c>
      <c r="Y678" s="75" t="str">
        <f>IF(AND(OR(N678="131",O678="131"),H678='131-CT'!$H$9),"x","")</f>
        <v/>
      </c>
      <c r="Z678" s="75"/>
      <c r="AA678" s="75" t="str">
        <f>IF(AND(MONTH(E678)='IN-NX'!$J$5,'IN-NX'!$D$7=D678),"x","")</f>
        <v/>
      </c>
      <c r="AB678" s="75" t="str">
        <f>IF(AND(OR(LEFT(TH!N678,2)="15",LEFT(TH!O678,2)="15"),LEFT(TH!O678,3)&lt;&gt;"111",'152-CT'!$J$8=TH!F678),"x","")</f>
        <v/>
      </c>
      <c r="AC678" s="75" t="str">
        <f>IF(AND(OR(LEFT(TH!N678,2)="15",LEFT(TH!O678,2)="15"),TK!$E$7=TH!F678),"x","")</f>
        <v/>
      </c>
      <c r="AD678" s="75" t="str">
        <f>IF(AND(N678="1521",MONTH(C678)='BK-NL'!$M$11),"x","")</f>
        <v/>
      </c>
      <c r="AE678">
        <v>10</v>
      </c>
    </row>
    <row r="679" spans="1:31" ht="16.5" customHeight="1">
      <c r="A679" s="309" t="str">
        <f>IF(B679&lt;&gt;"",IF(AND(B679='IN-TC'!$S$4,OR(TH!N679="1111",TH!O679="1111")),TH!D679,""),"")</f>
        <v/>
      </c>
      <c r="B679" s="1244">
        <f t="shared" ref="B679:B680" si="81">IF(C679&lt;&gt;"",MONTH(C679),"")</f>
        <v>10</v>
      </c>
      <c r="C679" s="929">
        <v>43013</v>
      </c>
      <c r="D679" s="929" t="s">
        <v>530</v>
      </c>
      <c r="E679" s="929">
        <v>43013</v>
      </c>
      <c r="F679" s="930" t="s">
        <v>1447</v>
      </c>
      <c r="G679" s="931" t="s">
        <v>2203</v>
      </c>
      <c r="H679" s="296" t="s">
        <v>1450</v>
      </c>
      <c r="I679" s="371"/>
      <c r="J679" s="932"/>
      <c r="K679" s="371"/>
      <c r="L679" s="377"/>
      <c r="M679" s="933">
        <v>9145652</v>
      </c>
      <c r="N679" s="934" t="s">
        <v>539</v>
      </c>
      <c r="O679" s="934" t="s">
        <v>8</v>
      </c>
      <c r="P679" s="75" t="str">
        <f>IF(AND('331-CT'!$E$7=TH!H679,OR(N679="331",O679="331")),"x","")</f>
        <v/>
      </c>
      <c r="Q679" s="75" t="str">
        <f>IF(AND(B679='111'!$L$11,OR($N679=$Q$7,$O679=$Q$7)),"x","")</f>
        <v/>
      </c>
      <c r="R679" s="75" t="str">
        <f>IF(AND($N679=$Q$7,$B679&lt;'111'!$L$11),"x","")</f>
        <v/>
      </c>
      <c r="S679" s="75" t="str">
        <f>IF(AND($O679=$Q$7,$B679&lt;'111'!$L$11),"x","")</f>
        <v/>
      </c>
      <c r="T679" s="75" t="str">
        <f>IF(ISERROR(FIND('112'!$M$9,G679,1)),"",IF((AND(FIND('112'!$M$9,G679,1)&gt;=1,B679='112'!$K$9,OR($N679='112'!$I$6,$O679='112'!$I$6))),"x",""))</f>
        <v/>
      </c>
      <c r="U679" s="75" t="str">
        <f>IF(ISERROR(FIND('112'!$M$9,G679,1)),"",IF((AND(LEFT(G679,2)=LEFT('112'!$M$9,2),B679&lt;'112'!$K$9,$N679='112'!$I$6)),"x",""))</f>
        <v/>
      </c>
      <c r="V679" s="75" t="str">
        <f>IF(ISERROR(FIND('112'!$M$9,G679,1)),"",IF((AND(RIGHT(G679,2)=RIGHT('112'!$M$9,2),B679&lt;'112'!$K$9,$O679='112'!$I$6)),"x",""))</f>
        <v/>
      </c>
      <c r="W679" s="75" t="str">
        <f>IF(AND('341-CT'!$H$9=H679,OR(LEFT(N679,3)=$W$7,LEFT(O679,3)=$W$7)),"x","")</f>
        <v/>
      </c>
      <c r="X679" s="75" t="str">
        <f>IF(OR(TH!N679=TH!$X$7,O679=TH!$X$7),"x","")</f>
        <v/>
      </c>
      <c r="Y679" s="75" t="str">
        <f>IF(AND(OR(N679="131",O679="131"),H679='131-CT'!$H$9),"x","")</f>
        <v/>
      </c>
      <c r="Z679" s="75"/>
      <c r="AA679" s="75" t="str">
        <f>IF(AND(MONTH(E679)='IN-NX'!$J$5,'IN-NX'!$D$7=D679),"x","")</f>
        <v/>
      </c>
      <c r="AB679" s="75" t="str">
        <f>IF(AND(OR(LEFT(TH!N679,2)="15",LEFT(TH!O679,2)="15"),LEFT(TH!O679,3)&lt;&gt;"111",'152-CT'!$J$8=TH!F679),"x","")</f>
        <v/>
      </c>
      <c r="AC679" s="75" t="str">
        <f>IF(AND(OR(LEFT(TH!N679,2)="15",LEFT(TH!O679,2)="15"),TK!$E$7=TH!F679),"x","")</f>
        <v/>
      </c>
      <c r="AD679" s="75" t="str">
        <f>IF(AND(N679="1521",MONTH(C679)='BK-NL'!$M$11),"x","")</f>
        <v/>
      </c>
      <c r="AE679">
        <v>10</v>
      </c>
    </row>
    <row r="680" spans="1:31" ht="16.5" customHeight="1">
      <c r="A680" s="309" t="str">
        <f>IF(B680&lt;&gt;"",IF(AND(B680='IN-TC'!$S$4,OR(TH!N680="1111",TH!O680="1111")),TH!D680,""),"")</f>
        <v/>
      </c>
      <c r="B680" s="1244">
        <f t="shared" si="81"/>
        <v>10</v>
      </c>
      <c r="C680" s="929">
        <v>43013</v>
      </c>
      <c r="D680" s="929" t="s">
        <v>530</v>
      </c>
      <c r="E680" s="929">
        <v>43013</v>
      </c>
      <c r="F680" s="930" t="s">
        <v>1448</v>
      </c>
      <c r="G680" s="931" t="s">
        <v>2203</v>
      </c>
      <c r="H680" s="296" t="s">
        <v>1450</v>
      </c>
      <c r="I680" s="371"/>
      <c r="J680" s="932"/>
      <c r="K680" s="371"/>
      <c r="L680" s="377"/>
      <c r="M680" s="933">
        <v>457282</v>
      </c>
      <c r="N680" s="934" t="s">
        <v>9</v>
      </c>
      <c r="O680" s="934" t="s">
        <v>8</v>
      </c>
      <c r="P680" s="75" t="str">
        <f>IF(AND('331-CT'!$E$7=TH!H680,OR(N680="331",O680="331")),"x","")</f>
        <v/>
      </c>
      <c r="Q680" s="75" t="str">
        <f>IF(AND(B680='111'!$L$11,OR($N680=$Q$7,$O680=$Q$7)),"x","")</f>
        <v/>
      </c>
      <c r="R680" s="75" t="str">
        <f>IF(AND($N680=$Q$7,$B680&lt;'111'!$L$11),"x","")</f>
        <v/>
      </c>
      <c r="S680" s="75" t="str">
        <f>IF(AND($O680=$Q$7,$B680&lt;'111'!$L$11),"x","")</f>
        <v/>
      </c>
      <c r="T680" s="75" t="str">
        <f>IF(ISERROR(FIND('112'!$M$9,G680,1)),"",IF((AND(FIND('112'!$M$9,G680,1)&gt;=1,B680='112'!$K$9,OR($N680='112'!$I$6,$O680='112'!$I$6))),"x",""))</f>
        <v/>
      </c>
      <c r="U680" s="75" t="str">
        <f>IF(ISERROR(FIND('112'!$M$9,G680,1)),"",IF((AND(LEFT(G680,2)=LEFT('112'!$M$9,2),B680&lt;'112'!$K$9,$N680='112'!$I$6)),"x",""))</f>
        <v/>
      </c>
      <c r="V680" s="75" t="str">
        <f>IF(ISERROR(FIND('112'!$M$9,G680,1)),"",IF((AND(RIGHT(G680,2)=RIGHT('112'!$M$9,2),B680&lt;'112'!$K$9,$O680='112'!$I$6)),"x",""))</f>
        <v/>
      </c>
      <c r="W680" s="75" t="str">
        <f>IF(AND('341-CT'!$H$9=H680,OR(LEFT(N680,3)=$W$7,LEFT(O680,3)=$W$7)),"x","")</f>
        <v/>
      </c>
      <c r="X680" s="75" t="str">
        <f>IF(OR(TH!N680=TH!$X$7,O680=TH!$X$7),"x","")</f>
        <v/>
      </c>
      <c r="Y680" s="75" t="str">
        <f>IF(AND(OR(N680="131",O680="131"),H680='131-CT'!$H$9),"x","")</f>
        <v/>
      </c>
      <c r="Z680" s="75"/>
      <c r="AA680" s="75" t="str">
        <f>IF(AND(MONTH(E680)='IN-NX'!$J$5,'IN-NX'!$D$7=D680),"x","")</f>
        <v/>
      </c>
      <c r="AB680" s="75" t="str">
        <f>IF(AND(OR(LEFT(TH!N680,2)="15",LEFT(TH!O680,2)="15"),LEFT(TH!O680,3)&lt;&gt;"111",'152-CT'!$J$8=TH!F680),"x","")</f>
        <v/>
      </c>
      <c r="AC680" s="75" t="str">
        <f>IF(AND(OR(LEFT(TH!N680,2)="15",LEFT(TH!O680,2)="15"),TK!$E$7=TH!F680),"x","")</f>
        <v/>
      </c>
      <c r="AD680" s="75" t="str">
        <f>IF(AND(N680="1521",MONTH(C680)='BK-NL'!$M$11),"x","")</f>
        <v/>
      </c>
      <c r="AE680">
        <v>10</v>
      </c>
    </row>
    <row r="681" spans="1:31" ht="16.5" customHeight="1">
      <c r="A681" s="309" t="str">
        <f>IF(B681&lt;&gt;"",IF(AND(B681='IN-TC'!$S$4,OR(TH!N681="1111",TH!O681="1111")),TH!D681,""),"")</f>
        <v/>
      </c>
      <c r="B681" s="1244">
        <f>IF(C681&lt;&gt;"",MONTH(C681),"")</f>
        <v>10</v>
      </c>
      <c r="C681" s="929">
        <v>43038</v>
      </c>
      <c r="D681" s="929" t="s">
        <v>530</v>
      </c>
      <c r="E681" s="929">
        <v>43038</v>
      </c>
      <c r="F681" s="930" t="s">
        <v>1447</v>
      </c>
      <c r="G681" s="931" t="s">
        <v>2479</v>
      </c>
      <c r="H681" s="296" t="s">
        <v>1450</v>
      </c>
      <c r="I681" s="371"/>
      <c r="J681" s="932"/>
      <c r="K681" s="371"/>
      <c r="L681" s="377"/>
      <c r="M681" s="933">
        <v>11712134</v>
      </c>
      <c r="N681" s="934" t="s">
        <v>539</v>
      </c>
      <c r="O681" s="934" t="s">
        <v>8</v>
      </c>
      <c r="P681" s="75" t="str">
        <f>IF(AND('331-CT'!$E$7=TH!H681,OR(N681="331",O681="331")),"x","")</f>
        <v/>
      </c>
      <c r="Q681" s="75" t="str">
        <f>IF(AND(B681='111'!$L$11,OR($N681=$Q$7,$O681=$Q$7)),"x","")</f>
        <v/>
      </c>
      <c r="R681" s="75" t="str">
        <f>IF(AND($N681=$Q$7,$B681&lt;'111'!$L$11),"x","")</f>
        <v/>
      </c>
      <c r="S681" s="75" t="str">
        <f>IF(AND($O681=$Q$7,$B681&lt;'111'!$L$11),"x","")</f>
        <v/>
      </c>
      <c r="T681" s="75" t="str">
        <f>IF(ISERROR(FIND('112'!$M$9,G681,1)),"",IF((AND(FIND('112'!$M$9,G681,1)&gt;=1,B681='112'!$K$9,OR($N681='112'!$I$6,$O681='112'!$I$6))),"x",""))</f>
        <v/>
      </c>
      <c r="U681" s="75" t="str">
        <f>IF(ISERROR(FIND('112'!$M$9,G681,1)),"",IF((AND(LEFT(G681,2)=LEFT('112'!$M$9,2),B681&lt;'112'!$K$9,$N681='112'!$I$6)),"x",""))</f>
        <v/>
      </c>
      <c r="V681" s="75" t="str">
        <f>IF(ISERROR(FIND('112'!$M$9,G681,1)),"",IF((AND(RIGHT(G681,2)=RIGHT('112'!$M$9,2),B681&lt;'112'!$K$9,$O681='112'!$I$6)),"x",""))</f>
        <v/>
      </c>
      <c r="W681" s="75" t="str">
        <f>IF(AND('341-CT'!$H$9=H681,OR(LEFT(N681,3)=$W$7,LEFT(O681,3)=$W$7)),"x","")</f>
        <v/>
      </c>
      <c r="X681" s="75" t="str">
        <f>IF(OR(TH!N681=TH!$X$7,O681=TH!$X$7),"x","")</f>
        <v/>
      </c>
      <c r="Y681" s="75" t="str">
        <f>IF(AND(OR(N681="131",O681="131"),H681='131-CT'!$H$9),"x","")</f>
        <v/>
      </c>
      <c r="Z681" s="75"/>
      <c r="AA681" s="75" t="str">
        <f>IF(AND(MONTH(E681)='IN-NX'!$J$5,'IN-NX'!$D$7=D681),"x","")</f>
        <v/>
      </c>
      <c r="AB681" s="75" t="str">
        <f>IF(AND(OR(LEFT(TH!N681,2)="15",LEFT(TH!O681,2)="15"),LEFT(TH!O681,3)&lt;&gt;"111",'152-CT'!$J$8=TH!F681),"x","")</f>
        <v/>
      </c>
      <c r="AC681" s="75" t="str">
        <f>IF(AND(OR(LEFT(TH!N681,2)="15",LEFT(TH!O681,2)="15"),TK!$E$7=TH!F681),"x","")</f>
        <v/>
      </c>
      <c r="AD681" s="75" t="str">
        <f>IF(AND(N681="1521",MONTH(C681)='BK-NL'!$M$11),"x","")</f>
        <v/>
      </c>
      <c r="AE681">
        <v>10</v>
      </c>
    </row>
    <row r="682" spans="1:31" ht="16.5" customHeight="1">
      <c r="A682" s="309" t="str">
        <f>IF(B682&lt;&gt;"",IF(AND(B682='IN-TC'!$S$4,OR(TH!N682="1111",TH!O682="1111")),TH!D682,""),"")</f>
        <v/>
      </c>
      <c r="B682" s="1244">
        <f>IF(C682&lt;&gt;"",MONTH(C682),"")</f>
        <v>10</v>
      </c>
      <c r="C682" s="929">
        <v>43038</v>
      </c>
      <c r="D682" s="929" t="s">
        <v>530</v>
      </c>
      <c r="E682" s="929">
        <v>43038</v>
      </c>
      <c r="F682" s="930" t="s">
        <v>1448</v>
      </c>
      <c r="G682" s="931" t="s">
        <v>2479</v>
      </c>
      <c r="H682" s="296" t="s">
        <v>1450</v>
      </c>
      <c r="I682" s="371"/>
      <c r="J682" s="932"/>
      <c r="K682" s="371"/>
      <c r="L682" s="377"/>
      <c r="M682" s="933">
        <v>585607</v>
      </c>
      <c r="N682" s="934" t="s">
        <v>9</v>
      </c>
      <c r="O682" s="934" t="s">
        <v>8</v>
      </c>
      <c r="P682" s="75" t="str">
        <f>IF(AND('331-CT'!$E$7=TH!H682,OR(N682="331",O682="331")),"x","")</f>
        <v/>
      </c>
      <c r="Q682" s="75" t="str">
        <f>IF(AND(B682='111'!$L$11,OR($N682=$Q$7,$O682=$Q$7)),"x","")</f>
        <v/>
      </c>
      <c r="R682" s="75" t="str">
        <f>IF(AND($N682=$Q$7,$B682&lt;'111'!$L$11),"x","")</f>
        <v/>
      </c>
      <c r="S682" s="75" t="str">
        <f>IF(AND($O682=$Q$7,$B682&lt;'111'!$L$11),"x","")</f>
        <v/>
      </c>
      <c r="T682" s="75" t="str">
        <f>IF(ISERROR(FIND('112'!$M$9,G682,1)),"",IF((AND(FIND('112'!$M$9,G682,1)&gt;=1,B682='112'!$K$9,OR($N682='112'!$I$6,$O682='112'!$I$6))),"x",""))</f>
        <v/>
      </c>
      <c r="U682" s="75" t="str">
        <f>IF(ISERROR(FIND('112'!$M$9,G682,1)),"",IF((AND(LEFT(G682,2)=LEFT('112'!$M$9,2),B682&lt;'112'!$K$9,$N682='112'!$I$6)),"x",""))</f>
        <v/>
      </c>
      <c r="V682" s="75" t="str">
        <f>IF(ISERROR(FIND('112'!$M$9,G682,1)),"",IF((AND(RIGHT(G682,2)=RIGHT('112'!$M$9,2),B682&lt;'112'!$K$9,$O682='112'!$I$6)),"x",""))</f>
        <v/>
      </c>
      <c r="W682" s="75" t="str">
        <f>IF(AND('341-CT'!$H$9=H682,OR(LEFT(N682,3)=$W$7,LEFT(O682,3)=$W$7)),"x","")</f>
        <v/>
      </c>
      <c r="X682" s="75" t="str">
        <f>IF(OR(TH!N682=TH!$X$7,O682=TH!$X$7),"x","")</f>
        <v/>
      </c>
      <c r="Y682" s="75" t="str">
        <f>IF(AND(OR(N682="131",O682="131"),H682='131-CT'!$H$9),"x","")</f>
        <v/>
      </c>
      <c r="Z682" s="75"/>
      <c r="AA682" s="75" t="str">
        <f>IF(AND(MONTH(E682)='IN-NX'!$J$5,'IN-NX'!$D$7=D682),"x","")</f>
        <v/>
      </c>
      <c r="AB682" s="75" t="str">
        <f>IF(AND(OR(LEFT(TH!N682,2)="15",LEFT(TH!O682,2)="15"),LEFT(TH!O682,3)&lt;&gt;"111",'152-CT'!$J$8=TH!F682),"x","")</f>
        <v/>
      </c>
      <c r="AC682" s="75" t="str">
        <f>IF(AND(OR(LEFT(TH!N682,2)="15",LEFT(TH!O682,2)="15"),TK!$E$7=TH!F682),"x","")</f>
        <v/>
      </c>
      <c r="AD682" s="75" t="str">
        <f>IF(AND(N682="1521",MONTH(C682)='BK-NL'!$M$11),"x","")</f>
        <v/>
      </c>
      <c r="AE682">
        <v>10</v>
      </c>
    </row>
    <row r="683" spans="1:31" ht="16.5" customHeight="1">
      <c r="A683" s="309" t="str">
        <f>IF(B683&lt;&gt;"",IF(AND(B683='IN-TC'!$S$4,OR(TH!N683="1111",TH!O683="1111")),TH!D683,""),"")</f>
        <v/>
      </c>
      <c r="B683" s="1244">
        <f t="shared" ref="B683:B685" si="82">IF(C683&lt;&gt;"",MONTH(C683),"")</f>
        <v>10</v>
      </c>
      <c r="C683" s="929">
        <v>43013</v>
      </c>
      <c r="D683" s="929" t="s">
        <v>530</v>
      </c>
      <c r="E683" s="929">
        <v>43013</v>
      </c>
      <c r="F683" s="930" t="s">
        <v>2257</v>
      </c>
      <c r="G683" s="931" t="s">
        <v>2255</v>
      </c>
      <c r="H683" s="296" t="s">
        <v>2256</v>
      </c>
      <c r="I683" s="371"/>
      <c r="J683" s="932"/>
      <c r="K683" s="371"/>
      <c r="L683" s="377"/>
      <c r="M683" s="933">
        <v>70000</v>
      </c>
      <c r="N683" s="934" t="s">
        <v>539</v>
      </c>
      <c r="O683" s="934" t="s">
        <v>8</v>
      </c>
      <c r="P683" s="75" t="str">
        <f>IF(AND('331-CT'!$E$7=TH!H683,OR(N683="331",O683="331")),"x","")</f>
        <v/>
      </c>
      <c r="Q683" s="75" t="str">
        <f>IF(AND(B683='111'!$L$11,OR($N683=$Q$7,$O683=$Q$7)),"x","")</f>
        <v/>
      </c>
      <c r="R683" s="75" t="str">
        <f>IF(AND($N683=$Q$7,$B683&lt;'111'!$L$11),"x","")</f>
        <v/>
      </c>
      <c r="S683" s="75" t="str">
        <f>IF(AND($O683=$Q$7,$B683&lt;'111'!$L$11),"x","")</f>
        <v/>
      </c>
      <c r="T683" s="75" t="str">
        <f>IF(ISERROR(FIND('112'!$M$9,G683,1)),"",IF((AND(FIND('112'!$M$9,G683,1)&gt;=1,B683='112'!$K$9,OR($N683='112'!$I$6,$O683='112'!$I$6))),"x",""))</f>
        <v/>
      </c>
      <c r="U683" s="75" t="str">
        <f>IF(ISERROR(FIND('112'!$M$9,G683,1)),"",IF((AND(LEFT(G683,2)=LEFT('112'!$M$9,2),B683&lt;'112'!$K$9,$N683='112'!$I$6)),"x",""))</f>
        <v/>
      </c>
      <c r="V683" s="75" t="str">
        <f>IF(ISERROR(FIND('112'!$M$9,G683,1)),"",IF((AND(RIGHT(G683,2)=RIGHT('112'!$M$9,2),B683&lt;'112'!$K$9,$O683='112'!$I$6)),"x",""))</f>
        <v/>
      </c>
      <c r="W683" s="75" t="str">
        <f>IF(AND('341-CT'!$H$9=H683,OR(LEFT(N683,3)=$W$7,LEFT(O683,3)=$W$7)),"x","")</f>
        <v/>
      </c>
      <c r="X683" s="75" t="str">
        <f>IF(OR(TH!N683=TH!$X$7,O683=TH!$X$7),"x","")</f>
        <v/>
      </c>
      <c r="Y683" s="75" t="str">
        <f>IF(AND(OR(N683="131",O683="131"),H683='131-CT'!$H$9),"x","")</f>
        <v/>
      </c>
      <c r="Z683" s="75"/>
      <c r="AA683" s="75" t="str">
        <f>IF(AND(MONTH(E683)='IN-NX'!$J$5,'IN-NX'!$D$7=D683),"x","")</f>
        <v/>
      </c>
      <c r="AB683" s="75" t="str">
        <f>IF(AND(OR(LEFT(TH!N683,2)="15",LEFT(TH!O683,2)="15"),LEFT(TH!O683,3)&lt;&gt;"111",'152-CT'!$J$8=TH!F683),"x","")</f>
        <v/>
      </c>
      <c r="AC683" s="75" t="str">
        <f>IF(AND(OR(LEFT(TH!N683,2)="15",LEFT(TH!O683,2)="15"),TK!$E$7=TH!F683),"x","")</f>
        <v/>
      </c>
      <c r="AD683" s="75" t="str">
        <f>IF(AND(N683="1521",MONTH(C683)='BK-NL'!$M$11),"x","")</f>
        <v/>
      </c>
    </row>
    <row r="684" spans="1:31" ht="16.5" customHeight="1">
      <c r="A684" s="309" t="str">
        <f>IF(B684&lt;&gt;"",IF(AND(B684='IN-TC'!$S$4,OR(TH!N684="1111",TH!O684="1111")),TH!D684,""),"")</f>
        <v/>
      </c>
      <c r="B684" s="1244">
        <f t="shared" ref="B684" si="83">IF(C684&lt;&gt;"",MONTH(C684),"")</f>
        <v>10</v>
      </c>
      <c r="C684" s="929">
        <v>43013</v>
      </c>
      <c r="D684" s="929" t="s">
        <v>530</v>
      </c>
      <c r="E684" s="929">
        <v>43013</v>
      </c>
      <c r="F684" s="930" t="s">
        <v>2253</v>
      </c>
      <c r="G684" s="931" t="s">
        <v>2255</v>
      </c>
      <c r="H684" s="296" t="s">
        <v>2256</v>
      </c>
      <c r="I684" s="371"/>
      <c r="J684" s="932"/>
      <c r="K684" s="371"/>
      <c r="L684" s="377"/>
      <c r="M684" s="933">
        <v>10169000</v>
      </c>
      <c r="N684" s="934" t="s">
        <v>539</v>
      </c>
      <c r="O684" s="934" t="s">
        <v>8</v>
      </c>
      <c r="P684" s="75" t="str">
        <f>IF(AND('331-CT'!$E$7=TH!H684,OR(N684="331",O684="331")),"x","")</f>
        <v/>
      </c>
      <c r="Q684" s="75" t="str">
        <f>IF(AND(B684='111'!$L$11,OR($N684=$Q$7,$O684=$Q$7)),"x","")</f>
        <v/>
      </c>
      <c r="R684" s="75" t="str">
        <f>IF(AND($N684=$Q$7,$B684&lt;'111'!$L$11),"x","")</f>
        <v/>
      </c>
      <c r="S684" s="75" t="str">
        <f>IF(AND($O684=$Q$7,$B684&lt;'111'!$L$11),"x","")</f>
        <v/>
      </c>
      <c r="T684" s="75" t="str">
        <f>IF(ISERROR(FIND('112'!$M$9,G684,1)),"",IF((AND(FIND('112'!$M$9,G684,1)&gt;=1,B684='112'!$K$9,OR($N684='112'!$I$6,$O684='112'!$I$6))),"x",""))</f>
        <v/>
      </c>
      <c r="U684" s="75" t="str">
        <f>IF(ISERROR(FIND('112'!$M$9,G684,1)),"",IF((AND(LEFT(G684,2)=LEFT('112'!$M$9,2),B684&lt;'112'!$K$9,$N684='112'!$I$6)),"x",""))</f>
        <v/>
      </c>
      <c r="V684" s="75" t="str">
        <f>IF(ISERROR(FIND('112'!$M$9,G684,1)),"",IF((AND(RIGHT(G684,2)=RIGHT('112'!$M$9,2),B684&lt;'112'!$K$9,$O684='112'!$I$6)),"x",""))</f>
        <v/>
      </c>
      <c r="W684" s="75" t="str">
        <f>IF(AND('341-CT'!$H$9=H684,OR(LEFT(N684,3)=$W$7,LEFT(O684,3)=$W$7)),"x","")</f>
        <v/>
      </c>
      <c r="X684" s="75" t="str">
        <f>IF(OR(TH!N684=TH!$X$7,O684=TH!$X$7),"x","")</f>
        <v/>
      </c>
      <c r="Y684" s="75" t="str">
        <f>IF(AND(OR(N684="131",O684="131"),H684='131-CT'!$H$9),"x","")</f>
        <v/>
      </c>
      <c r="Z684" s="75"/>
      <c r="AA684" s="75" t="str">
        <f>IF(AND(MONTH(E684)='IN-NX'!$J$5,'IN-NX'!$D$7=D684),"x","")</f>
        <v/>
      </c>
      <c r="AB684" s="75" t="str">
        <f>IF(AND(OR(LEFT(TH!N684,2)="15",LEFT(TH!O684,2)="15"),LEFT(TH!O684,3)&lt;&gt;"111",'152-CT'!$J$8=TH!F684),"x","")</f>
        <v/>
      </c>
      <c r="AC684" s="75" t="str">
        <f>IF(AND(OR(LEFT(TH!N684,2)="15",LEFT(TH!O684,2)="15"),TK!$E$7=TH!F684),"x","")</f>
        <v/>
      </c>
      <c r="AD684" s="75" t="str">
        <f>IF(AND(N684="1521",MONTH(C684)='BK-NL'!$M$11),"x","")</f>
        <v/>
      </c>
      <c r="AE684">
        <v>10</v>
      </c>
    </row>
    <row r="685" spans="1:31" ht="16.5" customHeight="1">
      <c r="A685" s="309" t="str">
        <f>IF(B685&lt;&gt;"",IF(AND(B685='IN-TC'!$S$4,OR(TH!N685="1111",TH!O685="1111")),TH!D685,""),"")</f>
        <v/>
      </c>
      <c r="B685" s="1244">
        <f t="shared" si="82"/>
        <v>10</v>
      </c>
      <c r="C685" s="929">
        <v>43013</v>
      </c>
      <c r="D685" s="929" t="s">
        <v>530</v>
      </c>
      <c r="E685" s="929">
        <v>43013</v>
      </c>
      <c r="F685" s="930" t="s">
        <v>2254</v>
      </c>
      <c r="G685" s="931" t="s">
        <v>2255</v>
      </c>
      <c r="H685" s="296" t="s">
        <v>2256</v>
      </c>
      <c r="I685" s="371"/>
      <c r="J685" s="932"/>
      <c r="K685" s="371"/>
      <c r="L685" s="377"/>
      <c r="M685" s="933">
        <v>1016900</v>
      </c>
      <c r="N685" s="934" t="s">
        <v>9</v>
      </c>
      <c r="O685" s="934" t="s">
        <v>8</v>
      </c>
      <c r="P685" s="75" t="str">
        <f>IF(AND('331-CT'!$E$7=TH!H685,OR(N685="331",O685="331")),"x","")</f>
        <v/>
      </c>
      <c r="Q685" s="75" t="str">
        <f>IF(AND(B685='111'!$L$11,OR($N685=$Q$7,$O685=$Q$7)),"x","")</f>
        <v/>
      </c>
      <c r="R685" s="75" t="str">
        <f>IF(AND($N685=$Q$7,$B685&lt;'111'!$L$11),"x","")</f>
        <v/>
      </c>
      <c r="S685" s="75" t="str">
        <f>IF(AND($O685=$Q$7,$B685&lt;'111'!$L$11),"x","")</f>
        <v/>
      </c>
      <c r="T685" s="75" t="str">
        <f>IF(ISERROR(FIND('112'!$M$9,G685,1)),"",IF((AND(FIND('112'!$M$9,G685,1)&gt;=1,B685='112'!$K$9,OR($N685='112'!$I$6,$O685='112'!$I$6))),"x",""))</f>
        <v/>
      </c>
      <c r="U685" s="75" t="str">
        <f>IF(ISERROR(FIND('112'!$M$9,G685,1)),"",IF((AND(LEFT(G685,2)=LEFT('112'!$M$9,2),B685&lt;'112'!$K$9,$N685='112'!$I$6)),"x",""))</f>
        <v/>
      </c>
      <c r="V685" s="75" t="str">
        <f>IF(ISERROR(FIND('112'!$M$9,G685,1)),"",IF((AND(RIGHT(G685,2)=RIGHT('112'!$M$9,2),B685&lt;'112'!$K$9,$O685='112'!$I$6)),"x",""))</f>
        <v/>
      </c>
      <c r="W685" s="75" t="str">
        <f>IF(AND('341-CT'!$H$9=H685,OR(LEFT(N685,3)=$W$7,LEFT(O685,3)=$W$7)),"x","")</f>
        <v/>
      </c>
      <c r="X685" s="75" t="str">
        <f>IF(OR(TH!N685=TH!$X$7,O685=TH!$X$7),"x","")</f>
        <v/>
      </c>
      <c r="Y685" s="75" t="str">
        <f>IF(AND(OR(N685="131",O685="131"),H685='131-CT'!$H$9),"x","")</f>
        <v/>
      </c>
      <c r="Z685" s="75"/>
      <c r="AA685" s="75" t="str">
        <f>IF(AND(MONTH(E685)='IN-NX'!$J$5,'IN-NX'!$D$7=D685),"x","")</f>
        <v/>
      </c>
      <c r="AB685" s="75" t="str">
        <f>IF(AND(OR(LEFT(TH!N685,2)="15",LEFT(TH!O685,2)="15"),LEFT(TH!O685,3)&lt;&gt;"111",'152-CT'!$J$8=TH!F685),"x","")</f>
        <v/>
      </c>
      <c r="AC685" s="75" t="str">
        <f>IF(AND(OR(LEFT(TH!N685,2)="15",LEFT(TH!O685,2)="15"),TK!$E$7=TH!F685),"x","")</f>
        <v/>
      </c>
      <c r="AD685" s="75" t="str">
        <f>IF(AND(N685="1521",MONTH(C685)='BK-NL'!$M$11),"x","")</f>
        <v/>
      </c>
      <c r="AE685">
        <v>10</v>
      </c>
    </row>
    <row r="686" spans="1:31" ht="16.5" customHeight="1">
      <c r="A686" s="309" t="str">
        <f>IF(B686&lt;&gt;"",IF(AND(B686='IN-TC'!$S$4,OR(TH!N686="1111",TH!O686="1111")),TH!D686,""),"")</f>
        <v/>
      </c>
      <c r="B686" s="1244">
        <f t="shared" ref="B686:B704" si="84">IF(C686&lt;&gt;"",MONTH(C686),"")</f>
        <v>10</v>
      </c>
      <c r="C686" s="929">
        <v>43017</v>
      </c>
      <c r="D686" s="929" t="s">
        <v>530</v>
      </c>
      <c r="E686" s="929">
        <f t="shared" ref="E686:E688" si="85">C686</f>
        <v>43017</v>
      </c>
      <c r="F686" s="930" t="s">
        <v>1192</v>
      </c>
      <c r="G686" s="931" t="s">
        <v>2229</v>
      </c>
      <c r="H686" s="73" t="s">
        <v>755</v>
      </c>
      <c r="I686" s="371"/>
      <c r="J686" s="932"/>
      <c r="K686" s="371"/>
      <c r="L686" s="377"/>
      <c r="M686" s="933">
        <v>20028800</v>
      </c>
      <c r="N686" s="934" t="s">
        <v>539</v>
      </c>
      <c r="O686" s="934" t="s">
        <v>8</v>
      </c>
      <c r="P686" s="75" t="str">
        <f>IF(AND('331-CT'!$E$7=TH!H686,OR(N686="331",O686="331")),"x","")</f>
        <v/>
      </c>
      <c r="Q686" s="75" t="str">
        <f>IF(AND(B686='111'!$L$11,OR($N686=$Q$7,$O686=$Q$7)),"x","")</f>
        <v/>
      </c>
      <c r="R686" s="75" t="str">
        <f>IF(AND($N686=$Q$7,$B686&lt;'111'!$L$11),"x","")</f>
        <v/>
      </c>
      <c r="S686" s="75" t="str">
        <f>IF(AND($O686=$Q$7,$B686&lt;'111'!$L$11),"x","")</f>
        <v/>
      </c>
      <c r="T686" s="75" t="str">
        <f>IF(ISERROR(FIND('112'!$M$9,G686,1)),"",IF((AND(FIND('112'!$M$9,G686,1)&gt;=1,B686='112'!$K$9,OR($N686='112'!$I$6,$O686='112'!$I$6))),"x",""))</f>
        <v/>
      </c>
      <c r="U686" s="75" t="str">
        <f>IF(ISERROR(FIND('112'!$M$9,G686,1)),"",IF((AND(LEFT(G686,2)=LEFT('112'!$M$9,2),B686&lt;'112'!$K$9,$N686='112'!$I$6)),"x",""))</f>
        <v/>
      </c>
      <c r="V686" s="75" t="str">
        <f>IF(ISERROR(FIND('112'!$M$9,G686,1)),"",IF((AND(RIGHT(G686,2)=RIGHT('112'!$M$9,2),B686&lt;'112'!$K$9,$O686='112'!$I$6)),"x",""))</f>
        <v/>
      </c>
      <c r="W686" s="75" t="str">
        <f>IF(AND('341-CT'!$H$9=H686,OR(LEFT(N686,3)=$W$7,LEFT(O686,3)=$W$7)),"x","")</f>
        <v/>
      </c>
      <c r="X686" s="75" t="str">
        <f>IF(OR(TH!N686=TH!$X$7,O686=TH!$X$7),"x","")</f>
        <v/>
      </c>
      <c r="Y686" s="75" t="str">
        <f>IF(AND(OR(N686="131",O686="131"),H686='131-CT'!$H$9),"x","")</f>
        <v/>
      </c>
      <c r="Z686" s="75"/>
      <c r="AA686" s="75" t="str">
        <f>IF(AND(MONTH(E686)='IN-NX'!$J$5,'IN-NX'!$D$7=D686),"x","")</f>
        <v/>
      </c>
      <c r="AB686" s="75" t="str">
        <f>IF(AND(OR(LEFT(TH!N686,2)="15",LEFT(TH!O686,2)="15"),LEFT(TH!O686,3)&lt;&gt;"111",'152-CT'!$J$8=TH!F686),"x","")</f>
        <v/>
      </c>
      <c r="AC686" s="75" t="str">
        <f>IF(AND(OR(LEFT(TH!N686,2)="15",LEFT(TH!O686,2)="15"),TK!$E$7=TH!F686),"x","")</f>
        <v/>
      </c>
      <c r="AD686" s="75" t="str">
        <f>IF(AND(N686="1521",MONTH(C686)='BK-NL'!$M$11),"x","")</f>
        <v/>
      </c>
    </row>
    <row r="687" spans="1:31" ht="16.5" customHeight="1">
      <c r="A687" s="309" t="str">
        <f>IF(B687&lt;&gt;"",IF(AND(B687='IN-TC'!$S$4,OR(TH!N687="1111",TH!O687="1111")),TH!D687,""),"")</f>
        <v/>
      </c>
      <c r="B687" s="1244">
        <f t="shared" si="84"/>
        <v>10</v>
      </c>
      <c r="C687" s="929">
        <v>43017</v>
      </c>
      <c r="D687" s="929" t="s">
        <v>530</v>
      </c>
      <c r="E687" s="929">
        <f t="shared" si="85"/>
        <v>43017</v>
      </c>
      <c r="F687" s="930" t="s">
        <v>823</v>
      </c>
      <c r="G687" s="931" t="s">
        <v>2230</v>
      </c>
      <c r="H687" s="73" t="s">
        <v>755</v>
      </c>
      <c r="I687" s="371"/>
      <c r="J687" s="932"/>
      <c r="K687" s="371"/>
      <c r="L687" s="377"/>
      <c r="M687" s="933">
        <v>4865080</v>
      </c>
      <c r="N687" s="934" t="s">
        <v>539</v>
      </c>
      <c r="O687" s="934" t="s">
        <v>8</v>
      </c>
      <c r="P687" s="75" t="str">
        <f>IF(AND('331-CT'!$E$7=TH!H687,OR(N687="331",O687="331")),"x","")</f>
        <v/>
      </c>
      <c r="Q687" s="75" t="str">
        <f>IF(AND(B687='111'!$L$11,OR($N687=$Q$7,$O687=$Q$7)),"x","")</f>
        <v/>
      </c>
      <c r="R687" s="75" t="str">
        <f>IF(AND($N687=$Q$7,$B687&lt;'111'!$L$11),"x","")</f>
        <v/>
      </c>
      <c r="S687" s="75" t="str">
        <f>IF(AND($O687=$Q$7,$B687&lt;'111'!$L$11),"x","")</f>
        <v/>
      </c>
      <c r="T687" s="75" t="str">
        <f>IF(ISERROR(FIND('112'!$M$9,G687,1)),"",IF((AND(FIND('112'!$M$9,G687,1)&gt;=1,B687='112'!$K$9,OR($N687='112'!$I$6,$O687='112'!$I$6))),"x",""))</f>
        <v/>
      </c>
      <c r="U687" s="75" t="str">
        <f>IF(ISERROR(FIND('112'!$M$9,G687,1)),"",IF((AND(LEFT(G687,2)=LEFT('112'!$M$9,2),B687&lt;'112'!$K$9,$N687='112'!$I$6)),"x",""))</f>
        <v/>
      </c>
      <c r="V687" s="75" t="str">
        <f>IF(ISERROR(FIND('112'!$M$9,G687,1)),"",IF((AND(RIGHT(G687,2)=RIGHT('112'!$M$9,2),B687&lt;'112'!$K$9,$O687='112'!$I$6)),"x",""))</f>
        <v/>
      </c>
      <c r="W687" s="75" t="str">
        <f>IF(AND('341-CT'!$H$9=H687,OR(LEFT(N687,3)=$W$7,LEFT(O687,3)=$W$7)),"x","")</f>
        <v/>
      </c>
      <c r="X687" s="75" t="str">
        <f>IF(OR(TH!N687=TH!$X$7,O687=TH!$X$7),"x","")</f>
        <v/>
      </c>
      <c r="Y687" s="75" t="str">
        <f>IF(AND(OR(N687="131",O687="131"),H687='131-CT'!$H$9),"x","")</f>
        <v/>
      </c>
      <c r="Z687" s="75"/>
      <c r="AA687" s="75" t="str">
        <f>IF(AND(MONTH(E687)='IN-NX'!$J$5,'IN-NX'!$D$7=D687),"x","")</f>
        <v/>
      </c>
      <c r="AB687" s="75" t="str">
        <f>IF(AND(OR(LEFT(TH!N687,2)="15",LEFT(TH!O687,2)="15"),LEFT(TH!O687,3)&lt;&gt;"111",'152-CT'!$J$8=TH!F687),"x","")</f>
        <v/>
      </c>
      <c r="AC687" s="75" t="str">
        <f>IF(AND(OR(LEFT(TH!N687,2)="15",LEFT(TH!O687,2)="15"),TK!$E$7=TH!F687),"x","")</f>
        <v/>
      </c>
      <c r="AD687" s="75" t="str">
        <f>IF(AND(N687="1521",MONTH(C687)='BK-NL'!$M$11),"x","")</f>
        <v/>
      </c>
      <c r="AE687">
        <v>10</v>
      </c>
    </row>
    <row r="688" spans="1:31" ht="16.5" customHeight="1">
      <c r="A688" s="309" t="str">
        <f>IF(B688&lt;&gt;"",IF(AND(B688='IN-TC'!$S$4,OR(TH!N688="1111",TH!O688="1111")),TH!D688,""),"")</f>
        <v/>
      </c>
      <c r="B688" s="1244">
        <f t="shared" si="84"/>
        <v>10</v>
      </c>
      <c r="C688" s="929">
        <v>43017</v>
      </c>
      <c r="D688" s="929" t="s">
        <v>530</v>
      </c>
      <c r="E688" s="929">
        <f t="shared" si="85"/>
        <v>43017</v>
      </c>
      <c r="F688" s="930" t="s">
        <v>824</v>
      </c>
      <c r="G688" s="931" t="s">
        <v>2230</v>
      </c>
      <c r="H688" s="73" t="s">
        <v>755</v>
      </c>
      <c r="I688" s="371"/>
      <c r="J688" s="932"/>
      <c r="K688" s="371"/>
      <c r="L688" s="377"/>
      <c r="M688" s="933">
        <v>486508</v>
      </c>
      <c r="N688" s="934" t="s">
        <v>9</v>
      </c>
      <c r="O688" s="934" t="s">
        <v>8</v>
      </c>
      <c r="P688" s="75" t="str">
        <f>IF(AND('331-CT'!$E$7=TH!H688,OR(N688="331",O688="331")),"x","")</f>
        <v/>
      </c>
      <c r="Q688" s="75" t="str">
        <f>IF(AND(B688='111'!$L$11,OR($N688=$Q$7,$O688=$Q$7)),"x","")</f>
        <v/>
      </c>
      <c r="R688" s="75" t="str">
        <f>IF(AND($N688=$Q$7,$B688&lt;'111'!$L$11),"x","")</f>
        <v/>
      </c>
      <c r="S688" s="75" t="str">
        <f>IF(AND($O688=$Q$7,$B688&lt;'111'!$L$11),"x","")</f>
        <v/>
      </c>
      <c r="T688" s="75" t="str">
        <f>IF(ISERROR(FIND('112'!$M$9,G688,1)),"",IF((AND(FIND('112'!$M$9,G688,1)&gt;=1,B688='112'!$K$9,OR($N688='112'!$I$6,$O688='112'!$I$6))),"x",""))</f>
        <v/>
      </c>
      <c r="U688" s="75" t="str">
        <f>IF(ISERROR(FIND('112'!$M$9,G688,1)),"",IF((AND(LEFT(G688,2)=LEFT('112'!$M$9,2),B688&lt;'112'!$K$9,$N688='112'!$I$6)),"x",""))</f>
        <v/>
      </c>
      <c r="V688" s="75" t="str">
        <f>IF(ISERROR(FIND('112'!$M$9,G688,1)),"",IF((AND(RIGHT(G688,2)=RIGHT('112'!$M$9,2),B688&lt;'112'!$K$9,$O688='112'!$I$6)),"x",""))</f>
        <v/>
      </c>
      <c r="W688" s="75" t="str">
        <f>IF(AND('341-CT'!$H$9=H688,OR(LEFT(N688,3)=$W$7,LEFT(O688,3)=$W$7)),"x","")</f>
        <v/>
      </c>
      <c r="X688" s="75" t="str">
        <f>IF(OR(TH!N688=TH!$X$7,O688=TH!$X$7),"x","")</f>
        <v/>
      </c>
      <c r="Y688" s="75" t="str">
        <f>IF(AND(OR(N688="131",O688="131"),H688='131-CT'!$H$9),"x","")</f>
        <v/>
      </c>
      <c r="Z688" s="75"/>
      <c r="AA688" s="75" t="str">
        <f>IF(AND(MONTH(E688)='IN-NX'!$J$5,'IN-NX'!$D$7=D688),"x","")</f>
        <v/>
      </c>
      <c r="AB688" s="75" t="str">
        <f>IF(AND(OR(LEFT(TH!N688,2)="15",LEFT(TH!O688,2)="15"),LEFT(TH!O688,3)&lt;&gt;"111",'152-CT'!$J$8=TH!F688),"x","")</f>
        <v/>
      </c>
      <c r="AC688" s="75" t="str">
        <f>IF(AND(OR(LEFT(TH!N688,2)="15",LEFT(TH!O688,2)="15"),TK!$E$7=TH!F688),"x","")</f>
        <v/>
      </c>
      <c r="AD688" s="75" t="str">
        <f>IF(AND(N688="1521",MONTH(C688)='BK-NL'!$M$11),"x","")</f>
        <v/>
      </c>
      <c r="AE688">
        <v>10</v>
      </c>
    </row>
    <row r="689" spans="1:31" ht="16.5" customHeight="1">
      <c r="A689" s="309" t="str">
        <f>IF(B689&lt;&gt;"",IF(AND(B689='IN-TC'!$S$4,OR(TH!N689="1111",TH!O689="1111")),TH!D689,""),"")</f>
        <v/>
      </c>
      <c r="B689" s="1244">
        <f t="shared" ref="B689:B691" si="86">IF(C689&lt;&gt;"",MONTH(C689),"")</f>
        <v>10</v>
      </c>
      <c r="C689" s="929">
        <v>43026</v>
      </c>
      <c r="D689" s="929" t="s">
        <v>530</v>
      </c>
      <c r="E689" s="929">
        <f t="shared" ref="E689:E691" si="87">C689</f>
        <v>43026</v>
      </c>
      <c r="F689" s="930" t="s">
        <v>1192</v>
      </c>
      <c r="G689" s="931" t="s">
        <v>2319</v>
      </c>
      <c r="H689" s="73" t="s">
        <v>755</v>
      </c>
      <c r="I689" s="371"/>
      <c r="J689" s="932"/>
      <c r="K689" s="371"/>
      <c r="L689" s="377"/>
      <c r="M689" s="933">
        <v>8417500</v>
      </c>
      <c r="N689" s="934" t="s">
        <v>539</v>
      </c>
      <c r="O689" s="934" t="s">
        <v>8</v>
      </c>
      <c r="P689" s="75" t="str">
        <f>IF(AND('331-CT'!$E$7=TH!H689,OR(N689="331",O689="331")),"x","")</f>
        <v/>
      </c>
      <c r="Q689" s="75" t="str">
        <f>IF(AND(B689='111'!$L$11,OR($N689=$Q$7,$O689=$Q$7)),"x","")</f>
        <v/>
      </c>
      <c r="R689" s="75" t="str">
        <f>IF(AND($N689=$Q$7,$B689&lt;'111'!$L$11),"x","")</f>
        <v/>
      </c>
      <c r="S689" s="75" t="str">
        <f>IF(AND($O689=$Q$7,$B689&lt;'111'!$L$11),"x","")</f>
        <v/>
      </c>
      <c r="T689" s="75" t="str">
        <f>IF(ISERROR(FIND('112'!$M$9,G689,1)),"",IF((AND(FIND('112'!$M$9,G689,1)&gt;=1,B689='112'!$K$9,OR($N689='112'!$I$6,$O689='112'!$I$6))),"x",""))</f>
        <v/>
      </c>
      <c r="U689" s="75" t="str">
        <f>IF(ISERROR(FIND('112'!$M$9,G689,1)),"",IF((AND(LEFT(G689,2)=LEFT('112'!$M$9,2),B689&lt;'112'!$K$9,$N689='112'!$I$6)),"x",""))</f>
        <v/>
      </c>
      <c r="V689" s="75" t="str">
        <f>IF(ISERROR(FIND('112'!$M$9,G689,1)),"",IF((AND(RIGHT(G689,2)=RIGHT('112'!$M$9,2),B689&lt;'112'!$K$9,$O689='112'!$I$6)),"x",""))</f>
        <v/>
      </c>
      <c r="W689" s="75" t="str">
        <f>IF(AND('341-CT'!$H$9=H689,OR(LEFT(N689,3)=$W$7,LEFT(O689,3)=$W$7)),"x","")</f>
        <v/>
      </c>
      <c r="X689" s="75" t="str">
        <f>IF(OR(TH!N689=TH!$X$7,O689=TH!$X$7),"x","")</f>
        <v/>
      </c>
      <c r="Y689" s="75" t="str">
        <f>IF(AND(OR(N689="131",O689="131"),H689='131-CT'!$H$9),"x","")</f>
        <v/>
      </c>
      <c r="Z689" s="75"/>
      <c r="AA689" s="75" t="str">
        <f>IF(AND(MONTH(E689)='IN-NX'!$J$5,'IN-NX'!$D$7=D689),"x","")</f>
        <v/>
      </c>
      <c r="AB689" s="75" t="str">
        <f>IF(AND(OR(LEFT(TH!N689,2)="15",LEFT(TH!O689,2)="15"),LEFT(TH!O689,3)&lt;&gt;"111",'152-CT'!$J$8=TH!F689),"x","")</f>
        <v/>
      </c>
      <c r="AC689" s="75" t="str">
        <f>IF(AND(OR(LEFT(TH!N689,2)="15",LEFT(TH!O689,2)="15"),TK!$E$7=TH!F689),"x","")</f>
        <v/>
      </c>
      <c r="AD689" s="75" t="str">
        <f>IF(AND(N689="1521",MONTH(C689)='BK-NL'!$M$11),"x","")</f>
        <v/>
      </c>
    </row>
    <row r="690" spans="1:31" ht="16.5" customHeight="1">
      <c r="A690" s="309" t="str">
        <f>IF(B690&lt;&gt;"",IF(AND(B690='IN-TC'!$S$4,OR(TH!N690="1111",TH!O690="1111")),TH!D690,""),"")</f>
        <v/>
      </c>
      <c r="B690" s="1244">
        <f t="shared" si="86"/>
        <v>10</v>
      </c>
      <c r="C690" s="929">
        <v>43026</v>
      </c>
      <c r="D690" s="929" t="s">
        <v>530</v>
      </c>
      <c r="E690" s="929">
        <f t="shared" si="87"/>
        <v>43026</v>
      </c>
      <c r="F690" s="930" t="s">
        <v>823</v>
      </c>
      <c r="G690" s="931" t="s">
        <v>2320</v>
      </c>
      <c r="H690" s="73" t="s">
        <v>755</v>
      </c>
      <c r="I690" s="371"/>
      <c r="J690" s="932"/>
      <c r="K690" s="371"/>
      <c r="L690" s="377"/>
      <c r="M690" s="933">
        <v>4880750</v>
      </c>
      <c r="N690" s="934" t="s">
        <v>539</v>
      </c>
      <c r="O690" s="934" t="s">
        <v>8</v>
      </c>
      <c r="P690" s="75" t="str">
        <f>IF(AND('331-CT'!$E$7=TH!H690,OR(N690="331",O690="331")),"x","")</f>
        <v/>
      </c>
      <c r="Q690" s="75" t="str">
        <f>IF(AND(B690='111'!$L$11,OR($N690=$Q$7,$O690=$Q$7)),"x","")</f>
        <v/>
      </c>
      <c r="R690" s="75" t="str">
        <f>IF(AND($N690=$Q$7,$B690&lt;'111'!$L$11),"x","")</f>
        <v/>
      </c>
      <c r="S690" s="75" t="str">
        <f>IF(AND($O690=$Q$7,$B690&lt;'111'!$L$11),"x","")</f>
        <v/>
      </c>
      <c r="T690" s="75" t="str">
        <f>IF(ISERROR(FIND('112'!$M$9,G690,1)),"",IF((AND(FIND('112'!$M$9,G690,1)&gt;=1,B690='112'!$K$9,OR($N690='112'!$I$6,$O690='112'!$I$6))),"x",""))</f>
        <v/>
      </c>
      <c r="U690" s="75" t="str">
        <f>IF(ISERROR(FIND('112'!$M$9,G690,1)),"",IF((AND(LEFT(G690,2)=LEFT('112'!$M$9,2),B690&lt;'112'!$K$9,$N690='112'!$I$6)),"x",""))</f>
        <v/>
      </c>
      <c r="V690" s="75" t="str">
        <f>IF(ISERROR(FIND('112'!$M$9,G690,1)),"",IF((AND(RIGHT(G690,2)=RIGHT('112'!$M$9,2),B690&lt;'112'!$K$9,$O690='112'!$I$6)),"x",""))</f>
        <v/>
      </c>
      <c r="W690" s="75" t="str">
        <f>IF(AND('341-CT'!$H$9=H690,OR(LEFT(N690,3)=$W$7,LEFT(O690,3)=$W$7)),"x","")</f>
        <v/>
      </c>
      <c r="X690" s="75" t="str">
        <f>IF(OR(TH!N690=TH!$X$7,O690=TH!$X$7),"x","")</f>
        <v/>
      </c>
      <c r="Y690" s="75" t="str">
        <f>IF(AND(OR(N690="131",O690="131"),H690='131-CT'!$H$9),"x","")</f>
        <v/>
      </c>
      <c r="Z690" s="75"/>
      <c r="AA690" s="75" t="str">
        <f>IF(AND(MONTH(E690)='IN-NX'!$J$5,'IN-NX'!$D$7=D690),"x","")</f>
        <v/>
      </c>
      <c r="AB690" s="75" t="str">
        <f>IF(AND(OR(LEFT(TH!N690,2)="15",LEFT(TH!O690,2)="15"),LEFT(TH!O690,3)&lt;&gt;"111",'152-CT'!$J$8=TH!F690),"x","")</f>
        <v/>
      </c>
      <c r="AC690" s="75" t="str">
        <f>IF(AND(OR(LEFT(TH!N690,2)="15",LEFT(TH!O690,2)="15"),TK!$E$7=TH!F690),"x","")</f>
        <v/>
      </c>
      <c r="AD690" s="75" t="str">
        <f>IF(AND(N690="1521",MONTH(C690)='BK-NL'!$M$11),"x","")</f>
        <v/>
      </c>
      <c r="AE690">
        <v>10</v>
      </c>
    </row>
    <row r="691" spans="1:31" ht="16.5" customHeight="1">
      <c r="A691" s="309" t="str">
        <f>IF(B691&lt;&gt;"",IF(AND(B691='IN-TC'!$S$4,OR(TH!N691="1111",TH!O691="1111")),TH!D691,""),"")</f>
        <v/>
      </c>
      <c r="B691" s="1244">
        <f t="shared" si="86"/>
        <v>10</v>
      </c>
      <c r="C691" s="929">
        <v>43026</v>
      </c>
      <c r="D691" s="929" t="s">
        <v>530</v>
      </c>
      <c r="E691" s="929">
        <f t="shared" si="87"/>
        <v>43026</v>
      </c>
      <c r="F691" s="930" t="s">
        <v>824</v>
      </c>
      <c r="G691" s="931" t="s">
        <v>2320</v>
      </c>
      <c r="H691" s="73" t="s">
        <v>755</v>
      </c>
      <c r="I691" s="371"/>
      <c r="J691" s="932"/>
      <c r="K691" s="371"/>
      <c r="L691" s="377"/>
      <c r="M691" s="933">
        <v>448075</v>
      </c>
      <c r="N691" s="934" t="s">
        <v>9</v>
      </c>
      <c r="O691" s="934" t="s">
        <v>8</v>
      </c>
      <c r="P691" s="75" t="str">
        <f>IF(AND('331-CT'!$E$7=TH!H691,OR(N691="331",O691="331")),"x","")</f>
        <v/>
      </c>
      <c r="Q691" s="75" t="str">
        <f>IF(AND(B691='111'!$L$11,OR($N691=$Q$7,$O691=$Q$7)),"x","")</f>
        <v/>
      </c>
      <c r="R691" s="75" t="str">
        <f>IF(AND($N691=$Q$7,$B691&lt;'111'!$L$11),"x","")</f>
        <v/>
      </c>
      <c r="S691" s="75" t="str">
        <f>IF(AND($O691=$Q$7,$B691&lt;'111'!$L$11),"x","")</f>
        <v/>
      </c>
      <c r="T691" s="75" t="str">
        <f>IF(ISERROR(FIND('112'!$M$9,G691,1)),"",IF((AND(FIND('112'!$M$9,G691,1)&gt;=1,B691='112'!$K$9,OR($N691='112'!$I$6,$O691='112'!$I$6))),"x",""))</f>
        <v/>
      </c>
      <c r="U691" s="75" t="str">
        <f>IF(ISERROR(FIND('112'!$M$9,G691,1)),"",IF((AND(LEFT(G691,2)=LEFT('112'!$M$9,2),B691&lt;'112'!$K$9,$N691='112'!$I$6)),"x",""))</f>
        <v/>
      </c>
      <c r="V691" s="75" t="str">
        <f>IF(ISERROR(FIND('112'!$M$9,G691,1)),"",IF((AND(RIGHT(G691,2)=RIGHT('112'!$M$9,2),B691&lt;'112'!$K$9,$O691='112'!$I$6)),"x",""))</f>
        <v/>
      </c>
      <c r="W691" s="75" t="str">
        <f>IF(AND('341-CT'!$H$9=H691,OR(LEFT(N691,3)=$W$7,LEFT(O691,3)=$W$7)),"x","")</f>
        <v/>
      </c>
      <c r="X691" s="75" t="str">
        <f>IF(OR(TH!N691=TH!$X$7,O691=TH!$X$7),"x","")</f>
        <v/>
      </c>
      <c r="Y691" s="75" t="str">
        <f>IF(AND(OR(N691="131",O691="131"),H691='131-CT'!$H$9),"x","")</f>
        <v/>
      </c>
      <c r="Z691" s="75"/>
      <c r="AA691" s="75" t="str">
        <f>IF(AND(MONTH(E691)='IN-NX'!$J$5,'IN-NX'!$D$7=D691),"x","")</f>
        <v/>
      </c>
      <c r="AB691" s="75" t="str">
        <f>IF(AND(OR(LEFT(TH!N691,2)="15",LEFT(TH!O691,2)="15"),LEFT(TH!O691,3)&lt;&gt;"111",'152-CT'!$J$8=TH!F691),"x","")</f>
        <v/>
      </c>
      <c r="AC691" s="75" t="str">
        <f>IF(AND(OR(LEFT(TH!N691,2)="15",LEFT(TH!O691,2)="15"),TK!$E$7=TH!F691),"x","")</f>
        <v/>
      </c>
      <c r="AD691" s="75" t="str">
        <f>IF(AND(N691="1521",MONTH(C691)='BK-NL'!$M$11),"x","")</f>
        <v/>
      </c>
      <c r="AE691">
        <v>10</v>
      </c>
    </row>
    <row r="692" spans="1:31" ht="16.5" customHeight="1">
      <c r="A692" s="309" t="str">
        <f>IF(B692&lt;&gt;"",IF(AND(B692='IN-TC'!$S$4,OR(TH!N692="1111",TH!O692="1111")),TH!D692,""),"")</f>
        <v/>
      </c>
      <c r="B692" s="1244">
        <f t="shared" ref="B692:B696" si="88">IF(C692&lt;&gt;"",MONTH(C692),"")</f>
        <v>10</v>
      </c>
      <c r="C692" s="929">
        <v>43026</v>
      </c>
      <c r="D692" s="929" t="s">
        <v>530</v>
      </c>
      <c r="E692" s="929">
        <f t="shared" ref="E692:E696" si="89">C692</f>
        <v>43026</v>
      </c>
      <c r="F692" s="930" t="s">
        <v>823</v>
      </c>
      <c r="G692" s="931" t="s">
        <v>2321</v>
      </c>
      <c r="H692" s="73" t="s">
        <v>755</v>
      </c>
      <c r="I692" s="371"/>
      <c r="J692" s="932"/>
      <c r="K692" s="371"/>
      <c r="L692" s="377"/>
      <c r="M692" s="933">
        <v>2906660</v>
      </c>
      <c r="N692" s="934" t="s">
        <v>539</v>
      </c>
      <c r="O692" s="934" t="s">
        <v>8</v>
      </c>
      <c r="P692" s="75" t="str">
        <f>IF(AND('331-CT'!$E$7=TH!H692,OR(N692="331",O692="331")),"x","")</f>
        <v/>
      </c>
      <c r="Q692" s="75" t="str">
        <f>IF(AND(B692='111'!$L$11,OR($N692=$Q$7,$O692=$Q$7)),"x","")</f>
        <v/>
      </c>
      <c r="R692" s="75" t="str">
        <f>IF(AND($N692=$Q$7,$B692&lt;'111'!$L$11),"x","")</f>
        <v/>
      </c>
      <c r="S692" s="75" t="str">
        <f>IF(AND($O692=$Q$7,$B692&lt;'111'!$L$11),"x","")</f>
        <v/>
      </c>
      <c r="T692" s="75" t="str">
        <f>IF(ISERROR(FIND('112'!$M$9,G692,1)),"",IF((AND(FIND('112'!$M$9,G692,1)&gt;=1,B692='112'!$K$9,OR($N692='112'!$I$6,$O692='112'!$I$6))),"x",""))</f>
        <v/>
      </c>
      <c r="U692" s="75" t="str">
        <f>IF(ISERROR(FIND('112'!$M$9,G692,1)),"",IF((AND(LEFT(G692,2)=LEFT('112'!$M$9,2),B692&lt;'112'!$K$9,$N692='112'!$I$6)),"x",""))</f>
        <v/>
      </c>
      <c r="V692" s="75" t="str">
        <f>IF(ISERROR(FIND('112'!$M$9,G692,1)),"",IF((AND(RIGHT(G692,2)=RIGHT('112'!$M$9,2),B692&lt;'112'!$K$9,$O692='112'!$I$6)),"x",""))</f>
        <v/>
      </c>
      <c r="W692" s="75" t="str">
        <f>IF(AND('341-CT'!$H$9=H692,OR(LEFT(N692,3)=$W$7,LEFT(O692,3)=$W$7)),"x","")</f>
        <v/>
      </c>
      <c r="X692" s="75" t="str">
        <f>IF(OR(TH!N692=TH!$X$7,O692=TH!$X$7),"x","")</f>
        <v/>
      </c>
      <c r="Y692" s="75" t="str">
        <f>IF(AND(OR(N692="131",O692="131"),H692='131-CT'!$H$9),"x","")</f>
        <v/>
      </c>
      <c r="Z692" s="75"/>
      <c r="AA692" s="75" t="str">
        <f>IF(AND(MONTH(E692)='IN-NX'!$J$5,'IN-NX'!$D$7=D692),"x","")</f>
        <v/>
      </c>
      <c r="AB692" s="75" t="str">
        <f>IF(AND(OR(LEFT(TH!N692,2)="15",LEFT(TH!O692,2)="15"),LEFT(TH!O692,3)&lt;&gt;"111",'152-CT'!$J$8=TH!F692),"x","")</f>
        <v/>
      </c>
      <c r="AC692" s="75" t="str">
        <f>IF(AND(OR(LEFT(TH!N692,2)="15",LEFT(TH!O692,2)="15"),TK!$E$7=TH!F692),"x","")</f>
        <v/>
      </c>
      <c r="AD692" s="75" t="str">
        <f>IF(AND(N692="1521",MONTH(C692)='BK-NL'!$M$11),"x","")</f>
        <v/>
      </c>
      <c r="AE692">
        <v>10</v>
      </c>
    </row>
    <row r="693" spans="1:31" ht="16.5" customHeight="1">
      <c r="A693" s="309" t="str">
        <f>IF(B693&lt;&gt;"",IF(AND(B693='IN-TC'!$S$4,OR(TH!N693="1111",TH!O693="1111")),TH!D693,""),"")</f>
        <v/>
      </c>
      <c r="B693" s="1244">
        <f t="shared" si="88"/>
        <v>10</v>
      </c>
      <c r="C693" s="929">
        <v>43026</v>
      </c>
      <c r="D693" s="929" t="s">
        <v>530</v>
      </c>
      <c r="E693" s="929">
        <f t="shared" si="89"/>
        <v>43026</v>
      </c>
      <c r="F693" s="930" t="s">
        <v>824</v>
      </c>
      <c r="G693" s="931" t="s">
        <v>2321</v>
      </c>
      <c r="H693" s="73" t="s">
        <v>755</v>
      </c>
      <c r="I693" s="371"/>
      <c r="J693" s="932"/>
      <c r="K693" s="371"/>
      <c r="L693" s="377"/>
      <c r="M693" s="933">
        <v>290666</v>
      </c>
      <c r="N693" s="934" t="s">
        <v>9</v>
      </c>
      <c r="O693" s="934" t="s">
        <v>8</v>
      </c>
      <c r="P693" s="75" t="str">
        <f>IF(AND('331-CT'!$E$7=TH!H693,OR(N693="331",O693="331")),"x","")</f>
        <v/>
      </c>
      <c r="Q693" s="75" t="str">
        <f>IF(AND(B693='111'!$L$11,OR($N693=$Q$7,$O693=$Q$7)),"x","")</f>
        <v/>
      </c>
      <c r="R693" s="75" t="str">
        <f>IF(AND($N693=$Q$7,$B693&lt;'111'!$L$11),"x","")</f>
        <v/>
      </c>
      <c r="S693" s="75" t="str">
        <f>IF(AND($O693=$Q$7,$B693&lt;'111'!$L$11),"x","")</f>
        <v/>
      </c>
      <c r="T693" s="75" t="str">
        <f>IF(ISERROR(FIND('112'!$M$9,G693,1)),"",IF((AND(FIND('112'!$M$9,G693,1)&gt;=1,B693='112'!$K$9,OR($N693='112'!$I$6,$O693='112'!$I$6))),"x",""))</f>
        <v/>
      </c>
      <c r="U693" s="75" t="str">
        <f>IF(ISERROR(FIND('112'!$M$9,G693,1)),"",IF((AND(LEFT(G693,2)=LEFT('112'!$M$9,2),B693&lt;'112'!$K$9,$N693='112'!$I$6)),"x",""))</f>
        <v/>
      </c>
      <c r="V693" s="75" t="str">
        <f>IF(ISERROR(FIND('112'!$M$9,G693,1)),"",IF((AND(RIGHT(G693,2)=RIGHT('112'!$M$9,2),B693&lt;'112'!$K$9,$O693='112'!$I$6)),"x",""))</f>
        <v/>
      </c>
      <c r="W693" s="75" t="str">
        <f>IF(AND('341-CT'!$H$9=H693,OR(LEFT(N693,3)=$W$7,LEFT(O693,3)=$W$7)),"x","")</f>
        <v/>
      </c>
      <c r="X693" s="75" t="str">
        <f>IF(OR(TH!N693=TH!$X$7,O693=TH!$X$7),"x","")</f>
        <v/>
      </c>
      <c r="Y693" s="75" t="str">
        <f>IF(AND(OR(N693="131",O693="131"),H693='131-CT'!$H$9),"x","")</f>
        <v/>
      </c>
      <c r="Z693" s="75"/>
      <c r="AA693" s="75" t="str">
        <f>IF(AND(MONTH(E693)='IN-NX'!$J$5,'IN-NX'!$D$7=D693),"x","")</f>
        <v/>
      </c>
      <c r="AB693" s="75" t="str">
        <f>IF(AND(OR(LEFT(TH!N693,2)="15",LEFT(TH!O693,2)="15"),LEFT(TH!O693,3)&lt;&gt;"111",'152-CT'!$J$8=TH!F693),"x","")</f>
        <v/>
      </c>
      <c r="AC693" s="75" t="str">
        <f>IF(AND(OR(LEFT(TH!N693,2)="15",LEFT(TH!O693,2)="15"),TK!$E$7=TH!F693),"x","")</f>
        <v/>
      </c>
      <c r="AD693" s="75" t="str">
        <f>IF(AND(N693="1521",MONTH(C693)='BK-NL'!$M$11),"x","")</f>
        <v/>
      </c>
      <c r="AE693">
        <v>10</v>
      </c>
    </row>
    <row r="694" spans="1:31" ht="16.5" customHeight="1">
      <c r="A694" s="309" t="str">
        <f>IF(B694&lt;&gt;"",IF(AND(B694='IN-TC'!$S$4,OR(TH!N694="1111",TH!O694="1111")),TH!D694,""),"")</f>
        <v/>
      </c>
      <c r="B694" s="1244">
        <f t="shared" si="88"/>
        <v>10</v>
      </c>
      <c r="C694" s="929">
        <v>43032</v>
      </c>
      <c r="D694" s="929" t="s">
        <v>530</v>
      </c>
      <c r="E694" s="929">
        <f t="shared" si="89"/>
        <v>43032</v>
      </c>
      <c r="F694" s="930" t="s">
        <v>1192</v>
      </c>
      <c r="G694" s="931" t="s">
        <v>2329</v>
      </c>
      <c r="H694" s="73" t="s">
        <v>755</v>
      </c>
      <c r="I694" s="371"/>
      <c r="J694" s="932"/>
      <c r="K694" s="371"/>
      <c r="L694" s="377"/>
      <c r="M694" s="933">
        <v>8419350</v>
      </c>
      <c r="N694" s="934" t="s">
        <v>539</v>
      </c>
      <c r="O694" s="934" t="s">
        <v>8</v>
      </c>
      <c r="P694" s="75" t="str">
        <f>IF(AND('331-CT'!$E$7=TH!H694,OR(N694="331",O694="331")),"x","")</f>
        <v/>
      </c>
      <c r="Q694" s="75" t="str">
        <f>IF(AND(B694='111'!$L$11,OR($N694=$Q$7,$O694=$Q$7)),"x","")</f>
        <v/>
      </c>
      <c r="R694" s="75" t="str">
        <f>IF(AND($N694=$Q$7,$B694&lt;'111'!$L$11),"x","")</f>
        <v/>
      </c>
      <c r="S694" s="75" t="str">
        <f>IF(AND($O694=$Q$7,$B694&lt;'111'!$L$11),"x","")</f>
        <v/>
      </c>
      <c r="T694" s="75" t="str">
        <f>IF(ISERROR(FIND('112'!$M$9,G694,1)),"",IF((AND(FIND('112'!$M$9,G694,1)&gt;=1,B694='112'!$K$9,OR($N694='112'!$I$6,$O694='112'!$I$6))),"x",""))</f>
        <v/>
      </c>
      <c r="U694" s="75" t="str">
        <f>IF(ISERROR(FIND('112'!$M$9,G694,1)),"",IF((AND(LEFT(G694,2)=LEFT('112'!$M$9,2),B694&lt;'112'!$K$9,$N694='112'!$I$6)),"x",""))</f>
        <v/>
      </c>
      <c r="V694" s="75" t="str">
        <f>IF(ISERROR(FIND('112'!$M$9,G694,1)),"",IF((AND(RIGHT(G694,2)=RIGHT('112'!$M$9,2),B694&lt;'112'!$K$9,$O694='112'!$I$6)),"x",""))</f>
        <v/>
      </c>
      <c r="W694" s="75" t="str">
        <f>IF(AND('341-CT'!$H$9=H694,OR(LEFT(N694,3)=$W$7,LEFT(O694,3)=$W$7)),"x","")</f>
        <v/>
      </c>
      <c r="X694" s="75" t="str">
        <f>IF(OR(TH!N694=TH!$X$7,O694=TH!$X$7),"x","")</f>
        <v/>
      </c>
      <c r="Y694" s="75" t="str">
        <f>IF(AND(OR(N694="131",O694="131"),H694='131-CT'!$H$9),"x","")</f>
        <v/>
      </c>
      <c r="Z694" s="75"/>
      <c r="AA694" s="75" t="str">
        <f>IF(AND(MONTH(E694)='IN-NX'!$J$5,'IN-NX'!$D$7=D694),"x","")</f>
        <v/>
      </c>
      <c r="AB694" s="75" t="str">
        <f>IF(AND(OR(LEFT(TH!N694,2)="15",LEFT(TH!O694,2)="15"),LEFT(TH!O694,3)&lt;&gt;"111",'152-CT'!$J$8=TH!F694),"x","")</f>
        <v/>
      </c>
      <c r="AC694" s="75" t="str">
        <f>IF(AND(OR(LEFT(TH!N694,2)="15",LEFT(TH!O694,2)="15"),TK!$E$7=TH!F694),"x","")</f>
        <v/>
      </c>
      <c r="AD694" s="75" t="str">
        <f>IF(AND(N694="1521",MONTH(C694)='BK-NL'!$M$11),"x","")</f>
        <v/>
      </c>
    </row>
    <row r="695" spans="1:31" ht="16.5" customHeight="1">
      <c r="A695" s="309" t="str">
        <f>IF(B695&lt;&gt;"",IF(AND(B695='IN-TC'!$S$4,OR(TH!N695="1111",TH!O695="1111")),TH!D695,""),"")</f>
        <v/>
      </c>
      <c r="B695" s="1244">
        <f t="shared" si="88"/>
        <v>10</v>
      </c>
      <c r="C695" s="929">
        <v>43032</v>
      </c>
      <c r="D695" s="929" t="s">
        <v>530</v>
      </c>
      <c r="E695" s="929">
        <f t="shared" si="89"/>
        <v>43032</v>
      </c>
      <c r="F695" s="930" t="s">
        <v>823</v>
      </c>
      <c r="G695" s="931" t="s">
        <v>2330</v>
      </c>
      <c r="H695" s="73" t="s">
        <v>755</v>
      </c>
      <c r="I695" s="371"/>
      <c r="J695" s="932"/>
      <c r="K695" s="371"/>
      <c r="L695" s="377"/>
      <c r="M695" s="933">
        <v>4181515</v>
      </c>
      <c r="N695" s="934" t="s">
        <v>539</v>
      </c>
      <c r="O695" s="934" t="s">
        <v>8</v>
      </c>
      <c r="P695" s="75" t="str">
        <f>IF(AND('331-CT'!$E$7=TH!H695,OR(N695="331",O695="331")),"x","")</f>
        <v/>
      </c>
      <c r="Q695" s="75" t="str">
        <f>IF(AND(B695='111'!$L$11,OR($N695=$Q$7,$O695=$Q$7)),"x","")</f>
        <v/>
      </c>
      <c r="R695" s="75" t="str">
        <f>IF(AND($N695=$Q$7,$B695&lt;'111'!$L$11),"x","")</f>
        <v/>
      </c>
      <c r="S695" s="75" t="str">
        <f>IF(AND($O695=$Q$7,$B695&lt;'111'!$L$11),"x","")</f>
        <v/>
      </c>
      <c r="T695" s="75" t="str">
        <f>IF(ISERROR(FIND('112'!$M$9,G695,1)),"",IF((AND(FIND('112'!$M$9,G695,1)&gt;=1,B695='112'!$K$9,OR($N695='112'!$I$6,$O695='112'!$I$6))),"x",""))</f>
        <v/>
      </c>
      <c r="U695" s="75" t="str">
        <f>IF(ISERROR(FIND('112'!$M$9,G695,1)),"",IF((AND(LEFT(G695,2)=LEFT('112'!$M$9,2),B695&lt;'112'!$K$9,$N695='112'!$I$6)),"x",""))</f>
        <v/>
      </c>
      <c r="V695" s="75" t="str">
        <f>IF(ISERROR(FIND('112'!$M$9,G695,1)),"",IF((AND(RIGHT(G695,2)=RIGHT('112'!$M$9,2),B695&lt;'112'!$K$9,$O695='112'!$I$6)),"x",""))</f>
        <v/>
      </c>
      <c r="W695" s="75" t="str">
        <f>IF(AND('341-CT'!$H$9=H695,OR(LEFT(N695,3)=$W$7,LEFT(O695,3)=$W$7)),"x","")</f>
        <v/>
      </c>
      <c r="X695" s="75" t="str">
        <f>IF(OR(TH!N695=TH!$X$7,O695=TH!$X$7),"x","")</f>
        <v/>
      </c>
      <c r="Y695" s="75" t="str">
        <f>IF(AND(OR(N695="131",O695="131"),H695='131-CT'!$H$9),"x","")</f>
        <v/>
      </c>
      <c r="Z695" s="75"/>
      <c r="AA695" s="75" t="str">
        <f>IF(AND(MONTH(E695)='IN-NX'!$J$5,'IN-NX'!$D$7=D695),"x","")</f>
        <v/>
      </c>
      <c r="AB695" s="75" t="str">
        <f>IF(AND(OR(LEFT(TH!N695,2)="15",LEFT(TH!O695,2)="15"),LEFT(TH!O695,3)&lt;&gt;"111",'152-CT'!$J$8=TH!F695),"x","")</f>
        <v/>
      </c>
      <c r="AC695" s="75" t="str">
        <f>IF(AND(OR(LEFT(TH!N695,2)="15",LEFT(TH!O695,2)="15"),TK!$E$7=TH!F695),"x","")</f>
        <v/>
      </c>
      <c r="AD695" s="75" t="str">
        <f>IF(AND(N695="1521",MONTH(C695)='BK-NL'!$M$11),"x","")</f>
        <v/>
      </c>
      <c r="AE695">
        <v>10</v>
      </c>
    </row>
    <row r="696" spans="1:31" ht="16.5" customHeight="1">
      <c r="A696" s="309" t="str">
        <f>IF(B696&lt;&gt;"",IF(AND(B696='IN-TC'!$S$4,OR(TH!N696="1111",TH!O696="1111")),TH!D696,""),"")</f>
        <v/>
      </c>
      <c r="B696" s="1244">
        <f t="shared" si="88"/>
        <v>10</v>
      </c>
      <c r="C696" s="929">
        <v>43032</v>
      </c>
      <c r="D696" s="929" t="s">
        <v>530</v>
      </c>
      <c r="E696" s="929">
        <f t="shared" si="89"/>
        <v>43032</v>
      </c>
      <c r="F696" s="930" t="s">
        <v>824</v>
      </c>
      <c r="G696" s="931" t="s">
        <v>2330</v>
      </c>
      <c r="H696" s="73" t="s">
        <v>755</v>
      </c>
      <c r="I696" s="371"/>
      <c r="J696" s="932"/>
      <c r="K696" s="371"/>
      <c r="L696" s="377"/>
      <c r="M696" s="933">
        <v>418152</v>
      </c>
      <c r="N696" s="934" t="s">
        <v>9</v>
      </c>
      <c r="O696" s="934" t="s">
        <v>8</v>
      </c>
      <c r="P696" s="75" t="str">
        <f>IF(AND('331-CT'!$E$7=TH!H696,OR(N696="331",O696="331")),"x","")</f>
        <v/>
      </c>
      <c r="Q696" s="75" t="str">
        <f>IF(AND(B696='111'!$L$11,OR($N696=$Q$7,$O696=$Q$7)),"x","")</f>
        <v/>
      </c>
      <c r="R696" s="75" t="str">
        <f>IF(AND($N696=$Q$7,$B696&lt;'111'!$L$11),"x","")</f>
        <v/>
      </c>
      <c r="S696" s="75" t="str">
        <f>IF(AND($O696=$Q$7,$B696&lt;'111'!$L$11),"x","")</f>
        <v/>
      </c>
      <c r="T696" s="75" t="str">
        <f>IF(ISERROR(FIND('112'!$M$9,G696,1)),"",IF((AND(FIND('112'!$M$9,G696,1)&gt;=1,B696='112'!$K$9,OR($N696='112'!$I$6,$O696='112'!$I$6))),"x",""))</f>
        <v/>
      </c>
      <c r="U696" s="75" t="str">
        <f>IF(ISERROR(FIND('112'!$M$9,G696,1)),"",IF((AND(LEFT(G696,2)=LEFT('112'!$M$9,2),B696&lt;'112'!$K$9,$N696='112'!$I$6)),"x",""))</f>
        <v/>
      </c>
      <c r="V696" s="75" t="str">
        <f>IF(ISERROR(FIND('112'!$M$9,G696,1)),"",IF((AND(RIGHT(G696,2)=RIGHT('112'!$M$9,2),B696&lt;'112'!$K$9,$O696='112'!$I$6)),"x",""))</f>
        <v/>
      </c>
      <c r="W696" s="75" t="str">
        <f>IF(AND('341-CT'!$H$9=H696,OR(LEFT(N696,3)=$W$7,LEFT(O696,3)=$W$7)),"x","")</f>
        <v/>
      </c>
      <c r="X696" s="75" t="str">
        <f>IF(OR(TH!N696=TH!$X$7,O696=TH!$X$7),"x","")</f>
        <v/>
      </c>
      <c r="Y696" s="75" t="str">
        <f>IF(AND(OR(N696="131",O696="131"),H696='131-CT'!$H$9),"x","")</f>
        <v/>
      </c>
      <c r="Z696" s="75"/>
      <c r="AA696" s="75" t="str">
        <f>IF(AND(MONTH(E696)='IN-NX'!$J$5,'IN-NX'!$D$7=D696),"x","")</f>
        <v/>
      </c>
      <c r="AB696" s="75" t="str">
        <f>IF(AND(OR(LEFT(TH!N696,2)="15",LEFT(TH!O696,2)="15"),LEFT(TH!O696,3)&lt;&gt;"111",'152-CT'!$J$8=TH!F696),"x","")</f>
        <v/>
      </c>
      <c r="AC696" s="75" t="str">
        <f>IF(AND(OR(LEFT(TH!N696,2)="15",LEFT(TH!O696,2)="15"),TK!$E$7=TH!F696),"x","")</f>
        <v/>
      </c>
      <c r="AD696" s="75" t="str">
        <f>IF(AND(N696="1521",MONTH(C696)='BK-NL'!$M$11),"x","")</f>
        <v/>
      </c>
      <c r="AE696">
        <v>10</v>
      </c>
    </row>
    <row r="697" spans="1:31" ht="16.5" customHeight="1">
      <c r="A697" s="309" t="str">
        <f>IF(B697&lt;&gt;"",IF(AND(B697='IN-TC'!$S$4,OR(TH!N697="1111",TH!O697="1111")),TH!D697,""),"")</f>
        <v/>
      </c>
      <c r="B697" s="1244">
        <f t="shared" ref="B697:B699" si="90">IF(C697&lt;&gt;"",MONTH(C697),"")</f>
        <v>10</v>
      </c>
      <c r="C697" s="929">
        <v>43032</v>
      </c>
      <c r="D697" s="929" t="s">
        <v>530</v>
      </c>
      <c r="E697" s="929">
        <f t="shared" ref="E697:E699" si="91">C697</f>
        <v>43032</v>
      </c>
      <c r="F697" s="930" t="s">
        <v>1192</v>
      </c>
      <c r="G697" s="931" t="s">
        <v>2331</v>
      </c>
      <c r="H697" s="73" t="s">
        <v>755</v>
      </c>
      <c r="I697" s="371"/>
      <c r="J697" s="932"/>
      <c r="K697" s="371"/>
      <c r="L697" s="377"/>
      <c r="M697" s="933">
        <v>20024400</v>
      </c>
      <c r="N697" s="934" t="s">
        <v>539</v>
      </c>
      <c r="O697" s="934" t="s">
        <v>8</v>
      </c>
      <c r="P697" s="75" t="str">
        <f>IF(AND('331-CT'!$E$7=TH!H697,OR(N697="331",O697="331")),"x","")</f>
        <v/>
      </c>
      <c r="Q697" s="75" t="str">
        <f>IF(AND(B697='111'!$L$11,OR($N697=$Q$7,$O697=$Q$7)),"x","")</f>
        <v/>
      </c>
      <c r="R697" s="75" t="str">
        <f>IF(AND($N697=$Q$7,$B697&lt;'111'!$L$11),"x","")</f>
        <v/>
      </c>
      <c r="S697" s="75" t="str">
        <f>IF(AND($O697=$Q$7,$B697&lt;'111'!$L$11),"x","")</f>
        <v/>
      </c>
      <c r="T697" s="75" t="str">
        <f>IF(ISERROR(FIND('112'!$M$9,G697,1)),"",IF((AND(FIND('112'!$M$9,G697,1)&gt;=1,B697='112'!$K$9,OR($N697='112'!$I$6,$O697='112'!$I$6))),"x",""))</f>
        <v/>
      </c>
      <c r="U697" s="75" t="str">
        <f>IF(ISERROR(FIND('112'!$M$9,G697,1)),"",IF((AND(LEFT(G697,2)=LEFT('112'!$M$9,2),B697&lt;'112'!$K$9,$N697='112'!$I$6)),"x",""))</f>
        <v/>
      </c>
      <c r="V697" s="75" t="str">
        <f>IF(ISERROR(FIND('112'!$M$9,G697,1)),"",IF((AND(RIGHT(G697,2)=RIGHT('112'!$M$9,2),B697&lt;'112'!$K$9,$O697='112'!$I$6)),"x",""))</f>
        <v/>
      </c>
      <c r="W697" s="75" t="str">
        <f>IF(AND('341-CT'!$H$9=H697,OR(LEFT(N697,3)=$W$7,LEFT(O697,3)=$W$7)),"x","")</f>
        <v/>
      </c>
      <c r="X697" s="75" t="str">
        <f>IF(OR(TH!N697=TH!$X$7,O697=TH!$X$7),"x","")</f>
        <v/>
      </c>
      <c r="Y697" s="75" t="str">
        <f>IF(AND(OR(N697="131",O697="131"),H697='131-CT'!$H$9),"x","")</f>
        <v/>
      </c>
      <c r="Z697" s="75"/>
      <c r="AA697" s="75" t="str">
        <f>IF(AND(MONTH(E697)='IN-NX'!$J$5,'IN-NX'!$D$7=D697),"x","")</f>
        <v/>
      </c>
      <c r="AB697" s="75" t="str">
        <f>IF(AND(OR(LEFT(TH!N697,2)="15",LEFT(TH!O697,2)="15"),LEFT(TH!O697,3)&lt;&gt;"111",'152-CT'!$J$8=TH!F697),"x","")</f>
        <v/>
      </c>
      <c r="AC697" s="75" t="str">
        <f>IF(AND(OR(LEFT(TH!N697,2)="15",LEFT(TH!O697,2)="15"),TK!$E$7=TH!F697),"x","")</f>
        <v/>
      </c>
      <c r="AD697" s="75" t="str">
        <f>IF(AND(N697="1521",MONTH(C697)='BK-NL'!$M$11),"x","")</f>
        <v/>
      </c>
    </row>
    <row r="698" spans="1:31" ht="16.5" customHeight="1">
      <c r="A698" s="309" t="str">
        <f>IF(B698&lt;&gt;"",IF(AND(B698='IN-TC'!$S$4,OR(TH!N698="1111",TH!O698="1111")),TH!D698,""),"")</f>
        <v/>
      </c>
      <c r="B698" s="1244">
        <f t="shared" si="90"/>
        <v>10</v>
      </c>
      <c r="C698" s="929">
        <v>43032</v>
      </c>
      <c r="D698" s="929" t="s">
        <v>530</v>
      </c>
      <c r="E698" s="929">
        <f t="shared" si="91"/>
        <v>43032</v>
      </c>
      <c r="F698" s="930" t="s">
        <v>823</v>
      </c>
      <c r="G698" s="931" t="s">
        <v>2332</v>
      </c>
      <c r="H698" s="73" t="s">
        <v>755</v>
      </c>
      <c r="I698" s="371"/>
      <c r="J698" s="932"/>
      <c r="K698" s="371"/>
      <c r="L698" s="377"/>
      <c r="M698" s="933">
        <v>4864165</v>
      </c>
      <c r="N698" s="934" t="s">
        <v>539</v>
      </c>
      <c r="O698" s="934" t="s">
        <v>8</v>
      </c>
      <c r="P698" s="75" t="str">
        <f>IF(AND('331-CT'!$E$7=TH!H698,OR(N698="331",O698="331")),"x","")</f>
        <v/>
      </c>
      <c r="Q698" s="75" t="str">
        <f>IF(AND(B698='111'!$L$11,OR($N698=$Q$7,$O698=$Q$7)),"x","")</f>
        <v/>
      </c>
      <c r="R698" s="75" t="str">
        <f>IF(AND($N698=$Q$7,$B698&lt;'111'!$L$11),"x","")</f>
        <v/>
      </c>
      <c r="S698" s="75" t="str">
        <f>IF(AND($O698=$Q$7,$B698&lt;'111'!$L$11),"x","")</f>
        <v/>
      </c>
      <c r="T698" s="75" t="str">
        <f>IF(ISERROR(FIND('112'!$M$9,G698,1)),"",IF((AND(FIND('112'!$M$9,G698,1)&gt;=1,B698='112'!$K$9,OR($N698='112'!$I$6,$O698='112'!$I$6))),"x",""))</f>
        <v/>
      </c>
      <c r="U698" s="75" t="str">
        <f>IF(ISERROR(FIND('112'!$M$9,G698,1)),"",IF((AND(LEFT(G698,2)=LEFT('112'!$M$9,2),B698&lt;'112'!$K$9,$N698='112'!$I$6)),"x",""))</f>
        <v/>
      </c>
      <c r="V698" s="75" t="str">
        <f>IF(ISERROR(FIND('112'!$M$9,G698,1)),"",IF((AND(RIGHT(G698,2)=RIGHT('112'!$M$9,2),B698&lt;'112'!$K$9,$O698='112'!$I$6)),"x",""))</f>
        <v/>
      </c>
      <c r="W698" s="75" t="str">
        <f>IF(AND('341-CT'!$H$9=H698,OR(LEFT(N698,3)=$W$7,LEFT(O698,3)=$W$7)),"x","")</f>
        <v/>
      </c>
      <c r="X698" s="75" t="str">
        <f>IF(OR(TH!N698=TH!$X$7,O698=TH!$X$7),"x","")</f>
        <v/>
      </c>
      <c r="Y698" s="75" t="str">
        <f>IF(AND(OR(N698="131",O698="131"),H698='131-CT'!$H$9),"x","")</f>
        <v/>
      </c>
      <c r="Z698" s="75"/>
      <c r="AA698" s="75" t="str">
        <f>IF(AND(MONTH(E698)='IN-NX'!$J$5,'IN-NX'!$D$7=D698),"x","")</f>
        <v/>
      </c>
      <c r="AB698" s="75" t="str">
        <f>IF(AND(OR(LEFT(TH!N698,2)="15",LEFT(TH!O698,2)="15"),LEFT(TH!O698,3)&lt;&gt;"111",'152-CT'!$J$8=TH!F698),"x","")</f>
        <v/>
      </c>
      <c r="AC698" s="75" t="str">
        <f>IF(AND(OR(LEFT(TH!N698,2)="15",LEFT(TH!O698,2)="15"),TK!$E$7=TH!F698),"x","")</f>
        <v/>
      </c>
      <c r="AD698" s="75" t="str">
        <f>IF(AND(N698="1521",MONTH(C698)='BK-NL'!$M$11),"x","")</f>
        <v/>
      </c>
      <c r="AE698">
        <v>10</v>
      </c>
    </row>
    <row r="699" spans="1:31" ht="16.5" customHeight="1">
      <c r="A699" s="309" t="str">
        <f>IF(B699&lt;&gt;"",IF(AND(B699='IN-TC'!$S$4,OR(TH!N699="1111",TH!O699="1111")),TH!D699,""),"")</f>
        <v/>
      </c>
      <c r="B699" s="1244">
        <f t="shared" si="90"/>
        <v>10</v>
      </c>
      <c r="C699" s="929">
        <v>43032</v>
      </c>
      <c r="D699" s="929" t="s">
        <v>530</v>
      </c>
      <c r="E699" s="929">
        <f t="shared" si="91"/>
        <v>43032</v>
      </c>
      <c r="F699" s="930" t="s">
        <v>824</v>
      </c>
      <c r="G699" s="931" t="s">
        <v>2332</v>
      </c>
      <c r="H699" s="73" t="s">
        <v>755</v>
      </c>
      <c r="I699" s="371"/>
      <c r="J699" s="932"/>
      <c r="K699" s="371"/>
      <c r="L699" s="377"/>
      <c r="M699" s="933">
        <v>486417</v>
      </c>
      <c r="N699" s="934" t="s">
        <v>9</v>
      </c>
      <c r="O699" s="934" t="s">
        <v>8</v>
      </c>
      <c r="P699" s="75" t="str">
        <f>IF(AND('331-CT'!$E$7=TH!H699,OR(N699="331",O699="331")),"x","")</f>
        <v/>
      </c>
      <c r="Q699" s="75" t="str">
        <f>IF(AND(B699='111'!$L$11,OR($N699=$Q$7,$O699=$Q$7)),"x","")</f>
        <v/>
      </c>
      <c r="R699" s="75" t="str">
        <f>IF(AND($N699=$Q$7,$B699&lt;'111'!$L$11),"x","")</f>
        <v/>
      </c>
      <c r="S699" s="75" t="str">
        <f>IF(AND($O699=$Q$7,$B699&lt;'111'!$L$11),"x","")</f>
        <v/>
      </c>
      <c r="T699" s="75" t="str">
        <f>IF(ISERROR(FIND('112'!$M$9,G699,1)),"",IF((AND(FIND('112'!$M$9,G699,1)&gt;=1,B699='112'!$K$9,OR($N699='112'!$I$6,$O699='112'!$I$6))),"x",""))</f>
        <v/>
      </c>
      <c r="U699" s="75" t="str">
        <f>IF(ISERROR(FIND('112'!$M$9,G699,1)),"",IF((AND(LEFT(G699,2)=LEFT('112'!$M$9,2),B699&lt;'112'!$K$9,$N699='112'!$I$6)),"x",""))</f>
        <v/>
      </c>
      <c r="V699" s="75" t="str">
        <f>IF(ISERROR(FIND('112'!$M$9,G699,1)),"",IF((AND(RIGHT(G699,2)=RIGHT('112'!$M$9,2),B699&lt;'112'!$K$9,$O699='112'!$I$6)),"x",""))</f>
        <v/>
      </c>
      <c r="W699" s="75" t="str">
        <f>IF(AND('341-CT'!$H$9=H699,OR(LEFT(N699,3)=$W$7,LEFT(O699,3)=$W$7)),"x","")</f>
        <v/>
      </c>
      <c r="X699" s="75" t="str">
        <f>IF(OR(TH!N699=TH!$X$7,O699=TH!$X$7),"x","")</f>
        <v/>
      </c>
      <c r="Y699" s="75" t="str">
        <f>IF(AND(OR(N699="131",O699="131"),H699='131-CT'!$H$9),"x","")</f>
        <v/>
      </c>
      <c r="Z699" s="75"/>
      <c r="AA699" s="75" t="str">
        <f>IF(AND(MONTH(E699)='IN-NX'!$J$5,'IN-NX'!$D$7=D699),"x","")</f>
        <v/>
      </c>
      <c r="AB699" s="75" t="str">
        <f>IF(AND(OR(LEFT(TH!N699,2)="15",LEFT(TH!O699,2)="15"),LEFT(TH!O699,3)&lt;&gt;"111",'152-CT'!$J$8=TH!F699),"x","")</f>
        <v/>
      </c>
      <c r="AC699" s="75" t="str">
        <f>IF(AND(OR(LEFT(TH!N699,2)="15",LEFT(TH!O699,2)="15"),TK!$E$7=TH!F699),"x","")</f>
        <v/>
      </c>
      <c r="AD699" s="75" t="str">
        <f>IF(AND(N699="1521",MONTH(C699)='BK-NL'!$M$11),"x","")</f>
        <v/>
      </c>
      <c r="AE699">
        <v>10</v>
      </c>
    </row>
    <row r="700" spans="1:31" ht="16.5" customHeight="1">
      <c r="A700" s="309" t="str">
        <f>IF(B700&lt;&gt;"",IF(AND(B700='IN-TC'!$S$4,OR(TH!N700="1111",TH!O700="1111")),TH!D700,""),"")</f>
        <v/>
      </c>
      <c r="B700" s="1244">
        <f t="shared" ref="B700:B702" si="92">IF(C700&lt;&gt;"",MONTH(C700),"")</f>
        <v>10</v>
      </c>
      <c r="C700" s="929">
        <v>43034</v>
      </c>
      <c r="D700" s="929" t="s">
        <v>530</v>
      </c>
      <c r="E700" s="929">
        <f t="shared" ref="E700:E702" si="93">C700</f>
        <v>43034</v>
      </c>
      <c r="F700" s="930" t="s">
        <v>1192</v>
      </c>
      <c r="G700" s="931" t="s">
        <v>2338</v>
      </c>
      <c r="H700" s="73" t="s">
        <v>755</v>
      </c>
      <c r="I700" s="371"/>
      <c r="J700" s="932"/>
      <c r="K700" s="371"/>
      <c r="L700" s="377"/>
      <c r="M700" s="933">
        <v>8419350</v>
      </c>
      <c r="N700" s="934" t="s">
        <v>539</v>
      </c>
      <c r="O700" s="934" t="s">
        <v>8</v>
      </c>
      <c r="P700" s="75" t="str">
        <f>IF(AND('331-CT'!$E$7=TH!H700,OR(N700="331",O700="331")),"x","")</f>
        <v/>
      </c>
      <c r="Q700" s="75" t="str">
        <f>IF(AND(B700='111'!$L$11,OR($N700=$Q$7,$O700=$Q$7)),"x","")</f>
        <v/>
      </c>
      <c r="R700" s="75" t="str">
        <f>IF(AND($N700=$Q$7,$B700&lt;'111'!$L$11),"x","")</f>
        <v/>
      </c>
      <c r="S700" s="75" t="str">
        <f>IF(AND($O700=$Q$7,$B700&lt;'111'!$L$11),"x","")</f>
        <v/>
      </c>
      <c r="T700" s="75" t="str">
        <f>IF(ISERROR(FIND('112'!$M$9,G700,1)),"",IF((AND(FIND('112'!$M$9,G700,1)&gt;=1,B700='112'!$K$9,OR($N700='112'!$I$6,$O700='112'!$I$6))),"x",""))</f>
        <v/>
      </c>
      <c r="U700" s="75" t="str">
        <f>IF(ISERROR(FIND('112'!$M$9,G700,1)),"",IF((AND(LEFT(G700,2)=LEFT('112'!$M$9,2),B700&lt;'112'!$K$9,$N700='112'!$I$6)),"x",""))</f>
        <v/>
      </c>
      <c r="V700" s="75" t="str">
        <f>IF(ISERROR(FIND('112'!$M$9,G700,1)),"",IF((AND(RIGHT(G700,2)=RIGHT('112'!$M$9,2),B700&lt;'112'!$K$9,$O700='112'!$I$6)),"x",""))</f>
        <v/>
      </c>
      <c r="W700" s="75" t="str">
        <f>IF(AND('341-CT'!$H$9=H700,OR(LEFT(N700,3)=$W$7,LEFT(O700,3)=$W$7)),"x","")</f>
        <v/>
      </c>
      <c r="X700" s="75" t="str">
        <f>IF(OR(TH!N700=TH!$X$7,O700=TH!$X$7),"x","")</f>
        <v/>
      </c>
      <c r="Y700" s="75" t="str">
        <f>IF(AND(OR(N700="131",O700="131"),H700='131-CT'!$H$9),"x","")</f>
        <v/>
      </c>
      <c r="Z700" s="75"/>
      <c r="AA700" s="75" t="str">
        <f>IF(AND(MONTH(E700)='IN-NX'!$J$5,'IN-NX'!$D$7=D700),"x","")</f>
        <v/>
      </c>
      <c r="AB700" s="75" t="str">
        <f>IF(AND(OR(LEFT(TH!N700,2)="15",LEFT(TH!O700,2)="15"),LEFT(TH!O700,3)&lt;&gt;"111",'152-CT'!$J$8=TH!F700),"x","")</f>
        <v/>
      </c>
      <c r="AC700" s="75" t="str">
        <f>IF(AND(OR(LEFT(TH!N700,2)="15",LEFT(TH!O700,2)="15"),TK!$E$7=TH!F700),"x","")</f>
        <v/>
      </c>
      <c r="AD700" s="75" t="str">
        <f>IF(AND(N700="1521",MONTH(C700)='BK-NL'!$M$11),"x","")</f>
        <v/>
      </c>
    </row>
    <row r="701" spans="1:31" ht="16.5" customHeight="1">
      <c r="A701" s="309" t="str">
        <f>IF(B701&lt;&gt;"",IF(AND(B701='IN-TC'!$S$4,OR(TH!N701="1111",TH!O701="1111")),TH!D701,""),"")</f>
        <v/>
      </c>
      <c r="B701" s="1244">
        <f t="shared" si="92"/>
        <v>10</v>
      </c>
      <c r="C701" s="929">
        <v>43034</v>
      </c>
      <c r="D701" s="929" t="s">
        <v>530</v>
      </c>
      <c r="E701" s="929">
        <f t="shared" si="93"/>
        <v>43034</v>
      </c>
      <c r="F701" s="930" t="s">
        <v>823</v>
      </c>
      <c r="G701" s="931" t="s">
        <v>2339</v>
      </c>
      <c r="H701" s="73" t="s">
        <v>755</v>
      </c>
      <c r="I701" s="371"/>
      <c r="J701" s="932"/>
      <c r="K701" s="371"/>
      <c r="L701" s="377"/>
      <c r="M701" s="933">
        <v>4181515</v>
      </c>
      <c r="N701" s="934" t="s">
        <v>539</v>
      </c>
      <c r="O701" s="934" t="s">
        <v>8</v>
      </c>
      <c r="P701" s="75" t="str">
        <f>IF(AND('331-CT'!$E$7=TH!H701,OR(N701="331",O701="331")),"x","")</f>
        <v/>
      </c>
      <c r="Q701" s="75" t="str">
        <f>IF(AND(B701='111'!$L$11,OR($N701=$Q$7,$O701=$Q$7)),"x","")</f>
        <v/>
      </c>
      <c r="R701" s="75" t="str">
        <f>IF(AND($N701=$Q$7,$B701&lt;'111'!$L$11),"x","")</f>
        <v/>
      </c>
      <c r="S701" s="75" t="str">
        <f>IF(AND($O701=$Q$7,$B701&lt;'111'!$L$11),"x","")</f>
        <v/>
      </c>
      <c r="T701" s="75" t="str">
        <f>IF(ISERROR(FIND('112'!$M$9,G701,1)),"",IF((AND(FIND('112'!$M$9,G701,1)&gt;=1,B701='112'!$K$9,OR($N701='112'!$I$6,$O701='112'!$I$6))),"x",""))</f>
        <v/>
      </c>
      <c r="U701" s="75" t="str">
        <f>IF(ISERROR(FIND('112'!$M$9,G701,1)),"",IF((AND(LEFT(G701,2)=LEFT('112'!$M$9,2),B701&lt;'112'!$K$9,$N701='112'!$I$6)),"x",""))</f>
        <v/>
      </c>
      <c r="V701" s="75" t="str">
        <f>IF(ISERROR(FIND('112'!$M$9,G701,1)),"",IF((AND(RIGHT(G701,2)=RIGHT('112'!$M$9,2),B701&lt;'112'!$K$9,$O701='112'!$I$6)),"x",""))</f>
        <v/>
      </c>
      <c r="W701" s="75" t="str">
        <f>IF(AND('341-CT'!$H$9=H701,OR(LEFT(N701,3)=$W$7,LEFT(O701,3)=$W$7)),"x","")</f>
        <v/>
      </c>
      <c r="X701" s="75" t="str">
        <f>IF(OR(TH!N701=TH!$X$7,O701=TH!$X$7),"x","")</f>
        <v/>
      </c>
      <c r="Y701" s="75" t="str">
        <f>IF(AND(OR(N701="131",O701="131"),H701='131-CT'!$H$9),"x","")</f>
        <v/>
      </c>
      <c r="Z701" s="75"/>
      <c r="AA701" s="75" t="str">
        <f>IF(AND(MONTH(E701)='IN-NX'!$J$5,'IN-NX'!$D$7=D701),"x","")</f>
        <v/>
      </c>
      <c r="AB701" s="75" t="str">
        <f>IF(AND(OR(LEFT(TH!N701,2)="15",LEFT(TH!O701,2)="15"),LEFT(TH!O701,3)&lt;&gt;"111",'152-CT'!$J$8=TH!F701),"x","")</f>
        <v/>
      </c>
      <c r="AC701" s="75" t="str">
        <f>IF(AND(OR(LEFT(TH!N701,2)="15",LEFT(TH!O701,2)="15"),TK!$E$7=TH!F701),"x","")</f>
        <v/>
      </c>
      <c r="AD701" s="75" t="str">
        <f>IF(AND(N701="1521",MONTH(C701)='BK-NL'!$M$11),"x","")</f>
        <v/>
      </c>
      <c r="AE701">
        <v>10</v>
      </c>
    </row>
    <row r="702" spans="1:31" ht="16.5" customHeight="1">
      <c r="A702" s="309" t="str">
        <f>IF(B702&lt;&gt;"",IF(AND(B702='IN-TC'!$S$4,OR(TH!N702="1111",TH!O702="1111")),TH!D702,""),"")</f>
        <v/>
      </c>
      <c r="B702" s="1244">
        <f t="shared" si="92"/>
        <v>10</v>
      </c>
      <c r="C702" s="929">
        <v>43034</v>
      </c>
      <c r="D702" s="929" t="s">
        <v>530</v>
      </c>
      <c r="E702" s="929">
        <f t="shared" si="93"/>
        <v>43034</v>
      </c>
      <c r="F702" s="930" t="s">
        <v>824</v>
      </c>
      <c r="G702" s="931" t="s">
        <v>2339</v>
      </c>
      <c r="H702" s="73" t="s">
        <v>755</v>
      </c>
      <c r="I702" s="371"/>
      <c r="J702" s="932"/>
      <c r="K702" s="371"/>
      <c r="L702" s="377"/>
      <c r="M702" s="933">
        <v>418152</v>
      </c>
      <c r="N702" s="934" t="s">
        <v>9</v>
      </c>
      <c r="O702" s="934" t="s">
        <v>8</v>
      </c>
      <c r="P702" s="75" t="str">
        <f>IF(AND('331-CT'!$E$7=TH!H702,OR(N702="331",O702="331")),"x","")</f>
        <v/>
      </c>
      <c r="Q702" s="75" t="str">
        <f>IF(AND(B702='111'!$L$11,OR($N702=$Q$7,$O702=$Q$7)),"x","")</f>
        <v/>
      </c>
      <c r="R702" s="75" t="str">
        <f>IF(AND($N702=$Q$7,$B702&lt;'111'!$L$11),"x","")</f>
        <v/>
      </c>
      <c r="S702" s="75" t="str">
        <f>IF(AND($O702=$Q$7,$B702&lt;'111'!$L$11),"x","")</f>
        <v/>
      </c>
      <c r="T702" s="75" t="str">
        <f>IF(ISERROR(FIND('112'!$M$9,G702,1)),"",IF((AND(FIND('112'!$M$9,G702,1)&gt;=1,B702='112'!$K$9,OR($N702='112'!$I$6,$O702='112'!$I$6))),"x",""))</f>
        <v/>
      </c>
      <c r="U702" s="75" t="str">
        <f>IF(ISERROR(FIND('112'!$M$9,G702,1)),"",IF((AND(LEFT(G702,2)=LEFT('112'!$M$9,2),B702&lt;'112'!$K$9,$N702='112'!$I$6)),"x",""))</f>
        <v/>
      </c>
      <c r="V702" s="75" t="str">
        <f>IF(ISERROR(FIND('112'!$M$9,G702,1)),"",IF((AND(RIGHT(G702,2)=RIGHT('112'!$M$9,2),B702&lt;'112'!$K$9,$O702='112'!$I$6)),"x",""))</f>
        <v/>
      </c>
      <c r="W702" s="75" t="str">
        <f>IF(AND('341-CT'!$H$9=H702,OR(LEFT(N702,3)=$W$7,LEFT(O702,3)=$W$7)),"x","")</f>
        <v/>
      </c>
      <c r="X702" s="75" t="str">
        <f>IF(OR(TH!N702=TH!$X$7,O702=TH!$X$7),"x","")</f>
        <v/>
      </c>
      <c r="Y702" s="75" t="str">
        <f>IF(AND(OR(N702="131",O702="131"),H702='131-CT'!$H$9),"x","")</f>
        <v/>
      </c>
      <c r="Z702" s="75"/>
      <c r="AA702" s="75" t="str">
        <f>IF(AND(MONTH(E702)='IN-NX'!$J$5,'IN-NX'!$D$7=D702),"x","")</f>
        <v/>
      </c>
      <c r="AB702" s="75" t="str">
        <f>IF(AND(OR(LEFT(TH!N702,2)="15",LEFT(TH!O702,2)="15"),LEFT(TH!O702,3)&lt;&gt;"111",'152-CT'!$J$8=TH!F702),"x","")</f>
        <v/>
      </c>
      <c r="AC702" s="75" t="str">
        <f>IF(AND(OR(LEFT(TH!N702,2)="15",LEFT(TH!O702,2)="15"),TK!$E$7=TH!F702),"x","")</f>
        <v/>
      </c>
      <c r="AD702" s="75" t="str">
        <f>IF(AND(N702="1521",MONTH(C702)='BK-NL'!$M$11),"x","")</f>
        <v/>
      </c>
      <c r="AE702">
        <v>10</v>
      </c>
    </row>
    <row r="703" spans="1:31" ht="16.5" customHeight="1">
      <c r="A703" s="309" t="str">
        <f>IF(B703&lt;&gt;"",IF(AND(B703='IN-TC'!$S$4,OR(TH!N703="1111",TH!O703="1111")),TH!D703,""),"")</f>
        <v/>
      </c>
      <c r="B703" s="1244">
        <f t="shared" si="84"/>
        <v>10</v>
      </c>
      <c r="C703" s="929">
        <v>43017</v>
      </c>
      <c r="D703" s="929" t="s">
        <v>530</v>
      </c>
      <c r="E703" s="929">
        <v>43017</v>
      </c>
      <c r="F703" s="930" t="s">
        <v>1108</v>
      </c>
      <c r="G703" s="931" t="s">
        <v>2233</v>
      </c>
      <c r="H703" s="73" t="s">
        <v>562</v>
      </c>
      <c r="I703" s="371"/>
      <c r="J703" s="932"/>
      <c r="K703" s="371"/>
      <c r="L703" s="377"/>
      <c r="M703" s="933">
        <v>13004757</v>
      </c>
      <c r="N703" s="934" t="s">
        <v>539</v>
      </c>
      <c r="O703" s="934" t="s">
        <v>8</v>
      </c>
      <c r="P703" s="75" t="str">
        <f>IF(AND('331-CT'!$E$7=TH!H703,OR(N703="331",O703="331")),"x","")</f>
        <v/>
      </c>
      <c r="Q703" s="75" t="str">
        <f>IF(AND(B703='111'!$L$11,OR($N703=$Q$7,$O703=$Q$7)),"x","")</f>
        <v/>
      </c>
      <c r="R703" s="75" t="str">
        <f>IF(AND($N703=$Q$7,$B703&lt;'111'!$L$11),"x","")</f>
        <v/>
      </c>
      <c r="S703" s="75" t="str">
        <f>IF(AND($O703=$Q$7,$B703&lt;'111'!$L$11),"x","")</f>
        <v/>
      </c>
      <c r="T703" s="75" t="str">
        <f>IF(ISERROR(FIND('112'!$M$9,G703,1)),"",IF((AND(FIND('112'!$M$9,G703,1)&gt;=1,B703='112'!$K$9,OR($N703='112'!$I$6,$O703='112'!$I$6))),"x",""))</f>
        <v/>
      </c>
      <c r="U703" s="75" t="str">
        <f>IF(ISERROR(FIND('112'!$M$9,G703,1)),"",IF((AND(LEFT(G703,2)=LEFT('112'!$M$9,2),B703&lt;'112'!$K$9,$N703='112'!$I$6)),"x",""))</f>
        <v/>
      </c>
      <c r="V703" s="75" t="str">
        <f>IF(ISERROR(FIND('112'!$M$9,G703,1)),"",IF((AND(RIGHT(G703,2)=RIGHT('112'!$M$9,2),B703&lt;'112'!$K$9,$O703='112'!$I$6)),"x",""))</f>
        <v/>
      </c>
      <c r="W703" s="75" t="str">
        <f>IF(AND('341-CT'!$H$9=H703,OR(LEFT(N703,3)=$W$7,LEFT(O703,3)=$W$7)),"x","")</f>
        <v/>
      </c>
      <c r="X703" s="75" t="str">
        <f>IF(OR(TH!N703=TH!$X$7,O703=TH!$X$7),"x","")</f>
        <v/>
      </c>
      <c r="Y703" s="75" t="str">
        <f>IF(AND(OR(N703="131",O703="131"),H703='131-CT'!$H$9),"x","")</f>
        <v/>
      </c>
      <c r="Z703" s="75"/>
      <c r="AA703" s="75" t="str">
        <f>IF(AND(MONTH(E703)='IN-NX'!$J$5,'IN-NX'!$D$7=D703),"x","")</f>
        <v/>
      </c>
      <c r="AB703" s="75" t="str">
        <f>IF(AND(OR(LEFT(TH!N703,2)="15",LEFT(TH!O703,2)="15"),LEFT(TH!O703,3)&lt;&gt;"111",'152-CT'!$J$8=TH!F703),"x","")</f>
        <v/>
      </c>
      <c r="AC703" s="75" t="str">
        <f>IF(AND(OR(LEFT(TH!N703,2)="15",LEFT(TH!O703,2)="15"),TK!$E$7=TH!F703),"x","")</f>
        <v/>
      </c>
      <c r="AD703" s="75" t="str">
        <f>IF(AND(N703="1521",MONTH(C703)='BK-NL'!$M$11),"x","")</f>
        <v/>
      </c>
      <c r="AE703">
        <v>10</v>
      </c>
    </row>
    <row r="704" spans="1:31" ht="16.5" customHeight="1">
      <c r="A704" s="309" t="str">
        <f>IF(B704&lt;&gt;"",IF(AND(B704='IN-TC'!$S$4,OR(TH!N704="1111",TH!O704="1111")),TH!D704,""),"")</f>
        <v/>
      </c>
      <c r="B704" s="1244">
        <f t="shared" si="84"/>
        <v>10</v>
      </c>
      <c r="C704" s="929">
        <v>43017</v>
      </c>
      <c r="D704" s="929" t="s">
        <v>530</v>
      </c>
      <c r="E704" s="929">
        <v>43017</v>
      </c>
      <c r="F704" s="930" t="s">
        <v>1109</v>
      </c>
      <c r="G704" s="931" t="s">
        <v>2233</v>
      </c>
      <c r="H704" s="73" t="s">
        <v>562</v>
      </c>
      <c r="I704" s="371"/>
      <c r="J704" s="932"/>
      <c r="K704" s="371"/>
      <c r="L704" s="377"/>
      <c r="M704" s="933">
        <v>1300476</v>
      </c>
      <c r="N704" s="934" t="s">
        <v>9</v>
      </c>
      <c r="O704" s="934" t="s">
        <v>8</v>
      </c>
      <c r="P704" s="75" t="str">
        <f>IF(AND('331-CT'!$E$7=TH!H704,OR(N704="331",O704="331")),"x","")</f>
        <v/>
      </c>
      <c r="Q704" s="75" t="str">
        <f>IF(AND(B704='111'!$L$11,OR($N704=$Q$7,$O704=$Q$7)),"x","")</f>
        <v/>
      </c>
      <c r="R704" s="75" t="str">
        <f>IF(AND($N704=$Q$7,$B704&lt;'111'!$L$11),"x","")</f>
        <v/>
      </c>
      <c r="S704" s="75" t="str">
        <f>IF(AND($O704=$Q$7,$B704&lt;'111'!$L$11),"x","")</f>
        <v/>
      </c>
      <c r="T704" s="75" t="str">
        <f>IF(ISERROR(FIND('112'!$M$9,G704,1)),"",IF((AND(FIND('112'!$M$9,G704,1)&gt;=1,B704='112'!$K$9,OR($N704='112'!$I$6,$O704='112'!$I$6))),"x",""))</f>
        <v/>
      </c>
      <c r="U704" s="75" t="str">
        <f>IF(ISERROR(FIND('112'!$M$9,G704,1)),"",IF((AND(LEFT(G704,2)=LEFT('112'!$M$9,2),B704&lt;'112'!$K$9,$N704='112'!$I$6)),"x",""))</f>
        <v/>
      </c>
      <c r="V704" s="75" t="str">
        <f>IF(ISERROR(FIND('112'!$M$9,G704,1)),"",IF((AND(RIGHT(G704,2)=RIGHT('112'!$M$9,2),B704&lt;'112'!$K$9,$O704='112'!$I$6)),"x",""))</f>
        <v/>
      </c>
      <c r="W704" s="75" t="str">
        <f>IF(AND('341-CT'!$H$9=H704,OR(LEFT(N704,3)=$W$7,LEFT(O704,3)=$W$7)),"x","")</f>
        <v/>
      </c>
      <c r="X704" s="75" t="str">
        <f>IF(OR(TH!N704=TH!$X$7,O704=TH!$X$7),"x","")</f>
        <v/>
      </c>
      <c r="Y704" s="75" t="str">
        <f>IF(AND(OR(N704="131",O704="131"),H704='131-CT'!$H$9),"x","")</f>
        <v/>
      </c>
      <c r="Z704" s="75"/>
      <c r="AA704" s="75" t="str">
        <f>IF(AND(MONTH(E704)='IN-NX'!$J$5,'IN-NX'!$D$7=D704),"x","")</f>
        <v/>
      </c>
      <c r="AB704" s="75" t="str">
        <f>IF(AND(OR(LEFT(TH!N704,2)="15",LEFT(TH!O704,2)="15"),LEFT(TH!O704,3)&lt;&gt;"111",'152-CT'!$J$8=TH!F704),"x","")</f>
        <v/>
      </c>
      <c r="AC704" s="75" t="str">
        <f>IF(AND(OR(LEFT(TH!N704,2)="15",LEFT(TH!O704,2)="15"),TK!$E$7=TH!F704),"x","")</f>
        <v/>
      </c>
      <c r="AD704" s="75" t="str">
        <f>IF(AND(N704="1521",MONTH(C704)='BK-NL'!$M$11),"x","")</f>
        <v/>
      </c>
      <c r="AE704">
        <v>10</v>
      </c>
    </row>
    <row r="705" spans="1:31" ht="16.5" customHeight="1">
      <c r="A705" s="309" t="str">
        <f>IF(B705&lt;&gt;"",IF(AND(B705='IN-TC'!$S$4,OR(TH!N705="1111",TH!O705="1111")),TH!D705,""),"")</f>
        <v/>
      </c>
      <c r="B705" s="1244">
        <f t="shared" ref="B705:B707" si="94">IF(C705&lt;&gt;"",MONTH(C705),"")</f>
        <v>10</v>
      </c>
      <c r="C705" s="929">
        <v>43035</v>
      </c>
      <c r="D705" s="929" t="s">
        <v>530</v>
      </c>
      <c r="E705" s="929">
        <v>43035</v>
      </c>
      <c r="F705" s="930" t="s">
        <v>808</v>
      </c>
      <c r="G705" s="931" t="s">
        <v>1661</v>
      </c>
      <c r="H705" s="296" t="s">
        <v>622</v>
      </c>
      <c r="I705" s="371"/>
      <c r="J705" s="932"/>
      <c r="K705" s="371"/>
      <c r="L705" s="377"/>
      <c r="M705" s="933">
        <v>88783500</v>
      </c>
      <c r="N705" s="934" t="s">
        <v>539</v>
      </c>
      <c r="O705" s="934" t="s">
        <v>8</v>
      </c>
      <c r="P705" s="75" t="str">
        <f>IF(AND('331-CT'!$E$7=TH!H705,OR(N705="331",O705="331")),"x","")</f>
        <v/>
      </c>
      <c r="Q705" s="75" t="str">
        <f>IF(AND(B705='111'!$L$11,OR($N705=$Q$7,$O705=$Q$7)),"x","")</f>
        <v/>
      </c>
      <c r="R705" s="75" t="str">
        <f>IF(AND($N705=$Q$7,$B705&lt;'111'!$L$11),"x","")</f>
        <v/>
      </c>
      <c r="S705" s="75" t="str">
        <f>IF(AND($O705=$Q$7,$B705&lt;'111'!$L$11),"x","")</f>
        <v/>
      </c>
      <c r="T705" s="75" t="str">
        <f>IF(ISERROR(FIND('112'!$M$9,G705,1)),"",IF((AND(FIND('112'!$M$9,G705,1)&gt;=1,B705='112'!$K$9,OR($N705='112'!$I$6,$O705='112'!$I$6))),"x",""))</f>
        <v/>
      </c>
      <c r="U705" s="75" t="str">
        <f>IF(ISERROR(FIND('112'!$M$9,G705,1)),"",IF((AND(LEFT(G705,2)=LEFT('112'!$M$9,2),B705&lt;'112'!$K$9,$N705='112'!$I$6)),"x",""))</f>
        <v/>
      </c>
      <c r="V705" s="75" t="str">
        <f>IF(ISERROR(FIND('112'!$M$9,G705,1)),"",IF((AND(RIGHT(G705,2)=RIGHT('112'!$M$9,2),B705&lt;'112'!$K$9,$O705='112'!$I$6)),"x",""))</f>
        <v/>
      </c>
      <c r="W705" s="75" t="str">
        <f>IF(AND('341-CT'!$H$9=H705,OR(LEFT(N705,3)=$W$7,LEFT(O705,3)=$W$7)),"x","")</f>
        <v/>
      </c>
      <c r="X705" s="75" t="str">
        <f>IF(OR(TH!N705=TH!$X$7,O705=TH!$X$7),"x","")</f>
        <v/>
      </c>
      <c r="Y705" s="75" t="str">
        <f>IF(AND(OR(N705="131",O705="131"),H705='131-CT'!$H$9),"x","")</f>
        <v/>
      </c>
      <c r="Z705" s="75"/>
      <c r="AA705" s="75" t="str">
        <f>IF(AND(MONTH(E705)='IN-NX'!$J$5,'IN-NX'!$D$7=D705),"x","")</f>
        <v/>
      </c>
      <c r="AB705" s="75" t="str">
        <f>IF(AND(OR(LEFT(TH!N705,2)="15",LEFT(TH!O705,2)="15"),LEFT(TH!O705,3)&lt;&gt;"111",'152-CT'!$J$8=TH!F705),"x","")</f>
        <v/>
      </c>
      <c r="AC705" s="75" t="str">
        <f>IF(AND(OR(LEFT(TH!N705,2)="15",LEFT(TH!O705,2)="15"),TK!$E$7=TH!F705),"x","")</f>
        <v/>
      </c>
      <c r="AD705" s="75" t="str">
        <f>IF(AND(N705="1521",MONTH(C705)='BK-NL'!$M$11),"x","")</f>
        <v/>
      </c>
    </row>
    <row r="706" spans="1:31" ht="16.5" customHeight="1">
      <c r="A706" s="309" t="str">
        <f>IF(B706&lt;&gt;"",IF(AND(B706='IN-TC'!$S$4,OR(TH!N706="1111",TH!O706="1111")),TH!D706,""),"")</f>
        <v/>
      </c>
      <c r="B706" s="1244">
        <f t="shared" si="94"/>
        <v>10</v>
      </c>
      <c r="C706" s="929">
        <v>43035</v>
      </c>
      <c r="D706" s="929" t="s">
        <v>530</v>
      </c>
      <c r="E706" s="929">
        <v>43035</v>
      </c>
      <c r="F706" s="930" t="s">
        <v>810</v>
      </c>
      <c r="G706" s="931" t="s">
        <v>1419</v>
      </c>
      <c r="H706" s="296" t="s">
        <v>622</v>
      </c>
      <c r="I706" s="371"/>
      <c r="J706" s="932"/>
      <c r="K706" s="371"/>
      <c r="L706" s="377"/>
      <c r="M706" s="933">
        <v>16823335</v>
      </c>
      <c r="N706" s="934" t="s">
        <v>539</v>
      </c>
      <c r="O706" s="934" t="s">
        <v>8</v>
      </c>
      <c r="P706" s="75" t="str">
        <f>IF(AND('331-CT'!$E$7=TH!H706,OR(N706="331",O706="331")),"x","")</f>
        <v/>
      </c>
      <c r="Q706" s="75" t="str">
        <f>IF(AND(B706='111'!$L$11,OR($N706=$Q$7,$O706=$Q$7)),"x","")</f>
        <v/>
      </c>
      <c r="R706" s="75" t="str">
        <f>IF(AND($N706=$Q$7,$B706&lt;'111'!$L$11),"x","")</f>
        <v/>
      </c>
      <c r="S706" s="75" t="str">
        <f>IF(AND($O706=$Q$7,$B706&lt;'111'!$L$11),"x","")</f>
        <v/>
      </c>
      <c r="T706" s="75" t="str">
        <f>IF(ISERROR(FIND('112'!$M$9,G706,1)),"",IF((AND(FIND('112'!$M$9,G706,1)&gt;=1,B706='112'!$K$9,OR($N706='112'!$I$6,$O706='112'!$I$6))),"x",""))</f>
        <v/>
      </c>
      <c r="U706" s="75" t="str">
        <f>IF(ISERROR(FIND('112'!$M$9,G706,1)),"",IF((AND(LEFT(G706,2)=LEFT('112'!$M$9,2),B706&lt;'112'!$K$9,$N706='112'!$I$6)),"x",""))</f>
        <v/>
      </c>
      <c r="V706" s="75" t="str">
        <f>IF(ISERROR(FIND('112'!$M$9,G706,1)),"",IF((AND(RIGHT(G706,2)=RIGHT('112'!$M$9,2),B706&lt;'112'!$K$9,$O706='112'!$I$6)),"x",""))</f>
        <v/>
      </c>
      <c r="W706" s="75" t="str">
        <f>IF(AND('341-CT'!$H$9=H706,OR(LEFT(N706,3)=$W$7,LEFT(O706,3)=$W$7)),"x","")</f>
        <v/>
      </c>
      <c r="X706" s="75" t="str">
        <f>IF(OR(TH!N706=TH!$X$7,O706=TH!$X$7),"x","")</f>
        <v/>
      </c>
      <c r="Y706" s="75" t="str">
        <f>IF(AND(OR(N706="131",O706="131"),H706='131-CT'!$H$9),"x","")</f>
        <v/>
      </c>
      <c r="Z706" s="75"/>
      <c r="AA706" s="75" t="str">
        <f>IF(AND(MONTH(E706)='IN-NX'!$J$5,'IN-NX'!$D$7=D706),"x","")</f>
        <v/>
      </c>
      <c r="AB706" s="75" t="str">
        <f>IF(AND(OR(LEFT(TH!N706,2)="15",LEFT(TH!O706,2)="15"),LEFT(TH!O706,3)&lt;&gt;"111",'152-CT'!$J$8=TH!F706),"x","")</f>
        <v/>
      </c>
      <c r="AC706" s="75" t="str">
        <f>IF(AND(OR(LEFT(TH!N706,2)="15",LEFT(TH!O706,2)="15"),TK!$E$7=TH!F706),"x","")</f>
        <v/>
      </c>
      <c r="AD706" s="75" t="str">
        <f>IF(AND(N706="1521",MONTH(C706)='BK-NL'!$M$11),"x","")</f>
        <v/>
      </c>
      <c r="AE706">
        <v>10</v>
      </c>
    </row>
    <row r="707" spans="1:31" ht="16.5" customHeight="1">
      <c r="A707" s="309" t="str">
        <f>IF(B707&lt;&gt;"",IF(AND(B707='IN-TC'!$S$4,OR(TH!N707="1111",TH!O707="1111")),TH!D707,""),"")</f>
        <v/>
      </c>
      <c r="B707" s="1244">
        <f t="shared" si="94"/>
        <v>10</v>
      </c>
      <c r="C707" s="929">
        <v>43035</v>
      </c>
      <c r="D707" s="929" t="s">
        <v>530</v>
      </c>
      <c r="E707" s="929">
        <v>43035</v>
      </c>
      <c r="F707" s="930" t="s">
        <v>811</v>
      </c>
      <c r="G707" s="931" t="s">
        <v>1419</v>
      </c>
      <c r="H707" s="296" t="s">
        <v>622</v>
      </c>
      <c r="I707" s="371"/>
      <c r="J707" s="932"/>
      <c r="K707" s="371"/>
      <c r="L707" s="377"/>
      <c r="M707" s="933">
        <v>1682334</v>
      </c>
      <c r="N707" s="934" t="s">
        <v>9</v>
      </c>
      <c r="O707" s="934" t="s">
        <v>8</v>
      </c>
      <c r="P707" s="75" t="str">
        <f>IF(AND('331-CT'!$E$7=TH!H707,OR(N707="331",O707="331")),"x","")</f>
        <v/>
      </c>
      <c r="Q707" s="75" t="str">
        <f>IF(AND(B707='111'!$L$11,OR($N707=$Q$7,$O707=$Q$7)),"x","")</f>
        <v/>
      </c>
      <c r="R707" s="75" t="str">
        <f>IF(AND($N707=$Q$7,$B707&lt;'111'!$L$11),"x","")</f>
        <v/>
      </c>
      <c r="S707" s="75" t="str">
        <f>IF(AND($O707=$Q$7,$B707&lt;'111'!$L$11),"x","")</f>
        <v/>
      </c>
      <c r="T707" s="75" t="str">
        <f>IF(ISERROR(FIND('112'!$M$9,G707,1)),"",IF((AND(FIND('112'!$M$9,G707,1)&gt;=1,B707='112'!$K$9,OR($N707='112'!$I$6,$O707='112'!$I$6))),"x",""))</f>
        <v/>
      </c>
      <c r="U707" s="75" t="str">
        <f>IF(ISERROR(FIND('112'!$M$9,G707,1)),"",IF((AND(LEFT(G707,2)=LEFT('112'!$M$9,2),B707&lt;'112'!$K$9,$N707='112'!$I$6)),"x",""))</f>
        <v/>
      </c>
      <c r="V707" s="75" t="str">
        <f>IF(ISERROR(FIND('112'!$M$9,G707,1)),"",IF((AND(RIGHT(G707,2)=RIGHT('112'!$M$9,2),B707&lt;'112'!$K$9,$O707='112'!$I$6)),"x",""))</f>
        <v/>
      </c>
      <c r="W707" s="75" t="str">
        <f>IF(AND('341-CT'!$H$9=H707,OR(LEFT(N707,3)=$W$7,LEFT(O707,3)=$W$7)),"x","")</f>
        <v/>
      </c>
      <c r="X707" s="75" t="str">
        <f>IF(OR(TH!N707=TH!$X$7,O707=TH!$X$7),"x","")</f>
        <v/>
      </c>
      <c r="Y707" s="75" t="str">
        <f>IF(AND(OR(N707="131",O707="131"),H707='131-CT'!$H$9),"x","")</f>
        <v/>
      </c>
      <c r="Z707" s="75"/>
      <c r="AA707" s="75" t="str">
        <f>IF(AND(MONTH(E707)='IN-NX'!$J$5,'IN-NX'!$D$7=D707),"x","")</f>
        <v/>
      </c>
      <c r="AB707" s="75" t="str">
        <f>IF(AND(OR(LEFT(TH!N707,2)="15",LEFT(TH!O707,2)="15"),LEFT(TH!O707,3)&lt;&gt;"111",'152-CT'!$J$8=TH!F707),"x","")</f>
        <v/>
      </c>
      <c r="AC707" s="75" t="str">
        <f>IF(AND(OR(LEFT(TH!N707,2)="15",LEFT(TH!O707,2)="15"),TK!$E$7=TH!F707),"x","")</f>
        <v/>
      </c>
      <c r="AD707" s="75" t="str">
        <f>IF(AND(N707="1521",MONTH(C707)='BK-NL'!$M$11),"x","")</f>
        <v/>
      </c>
      <c r="AE707">
        <v>10</v>
      </c>
    </row>
    <row r="708" spans="1:31" ht="16.5" customHeight="1">
      <c r="A708" s="309" t="str">
        <f>IF(B708&lt;&gt;"",IF(AND(B708='IN-TC'!$S$4,OR(TH!N708="1111",TH!O708="1111")),TH!D708,""),"")</f>
        <v/>
      </c>
      <c r="B708" s="1244">
        <f t="shared" ref="B708:B710" si="95">IF(C708&lt;&gt;"",MONTH(C708),"")</f>
        <v>10</v>
      </c>
      <c r="C708" s="929">
        <v>43035</v>
      </c>
      <c r="D708" s="929" t="s">
        <v>530</v>
      </c>
      <c r="E708" s="929">
        <v>43035</v>
      </c>
      <c r="F708" s="930" t="s">
        <v>808</v>
      </c>
      <c r="G708" s="931" t="s">
        <v>1696</v>
      </c>
      <c r="H708" s="296" t="s">
        <v>622</v>
      </c>
      <c r="I708" s="371"/>
      <c r="J708" s="932"/>
      <c r="K708" s="371"/>
      <c r="L708" s="377"/>
      <c r="M708" s="933">
        <v>88783500</v>
      </c>
      <c r="N708" s="934" t="s">
        <v>539</v>
      </c>
      <c r="O708" s="934" t="s">
        <v>8</v>
      </c>
      <c r="P708" s="75" t="str">
        <f>IF(AND('331-CT'!$E$7=TH!H708,OR(N708="331",O708="331")),"x","")</f>
        <v/>
      </c>
      <c r="Q708" s="75" t="str">
        <f>IF(AND(B708='111'!$L$11,OR($N708=$Q$7,$O708=$Q$7)),"x","")</f>
        <v/>
      </c>
      <c r="R708" s="75" t="str">
        <f>IF(AND($N708=$Q$7,$B708&lt;'111'!$L$11),"x","")</f>
        <v/>
      </c>
      <c r="S708" s="75" t="str">
        <f>IF(AND($O708=$Q$7,$B708&lt;'111'!$L$11),"x","")</f>
        <v/>
      </c>
      <c r="T708" s="75" t="str">
        <f>IF(ISERROR(FIND('112'!$M$9,G708,1)),"",IF((AND(FIND('112'!$M$9,G708,1)&gt;=1,B708='112'!$K$9,OR($N708='112'!$I$6,$O708='112'!$I$6))),"x",""))</f>
        <v/>
      </c>
      <c r="U708" s="75" t="str">
        <f>IF(ISERROR(FIND('112'!$M$9,G708,1)),"",IF((AND(LEFT(G708,2)=LEFT('112'!$M$9,2),B708&lt;'112'!$K$9,$N708='112'!$I$6)),"x",""))</f>
        <v/>
      </c>
      <c r="V708" s="75" t="str">
        <f>IF(ISERROR(FIND('112'!$M$9,G708,1)),"",IF((AND(RIGHT(G708,2)=RIGHT('112'!$M$9,2),B708&lt;'112'!$K$9,$O708='112'!$I$6)),"x",""))</f>
        <v/>
      </c>
      <c r="W708" s="75" t="str">
        <f>IF(AND('341-CT'!$H$9=H708,OR(LEFT(N708,3)=$W$7,LEFT(O708,3)=$W$7)),"x","")</f>
        <v/>
      </c>
      <c r="X708" s="75" t="str">
        <f>IF(OR(TH!N708=TH!$X$7,O708=TH!$X$7),"x","")</f>
        <v/>
      </c>
      <c r="Y708" s="75" t="str">
        <f>IF(AND(OR(N708="131",O708="131"),H708='131-CT'!$H$9),"x","")</f>
        <v/>
      </c>
      <c r="Z708" s="75"/>
      <c r="AA708" s="75" t="str">
        <f>IF(AND(MONTH(E708)='IN-NX'!$J$5,'IN-NX'!$D$7=D708),"x","")</f>
        <v/>
      </c>
      <c r="AB708" s="75" t="str">
        <f>IF(AND(OR(LEFT(TH!N708,2)="15",LEFT(TH!O708,2)="15"),LEFT(TH!O708,3)&lt;&gt;"111",'152-CT'!$J$8=TH!F708),"x","")</f>
        <v/>
      </c>
      <c r="AC708" s="75" t="str">
        <f>IF(AND(OR(LEFT(TH!N708,2)="15",LEFT(TH!O708,2)="15"),TK!$E$7=TH!F708),"x","")</f>
        <v/>
      </c>
      <c r="AD708" s="75" t="str">
        <f>IF(AND(N708="1521",MONTH(C708)='BK-NL'!$M$11),"x","")</f>
        <v/>
      </c>
    </row>
    <row r="709" spans="1:31" ht="16.5" customHeight="1">
      <c r="A709" s="309" t="str">
        <f>IF(B709&lt;&gt;"",IF(AND(B709='IN-TC'!$S$4,OR(TH!N709="1111",TH!O709="1111")),TH!D709,""),"")</f>
        <v/>
      </c>
      <c r="B709" s="1244">
        <f t="shared" si="95"/>
        <v>10</v>
      </c>
      <c r="C709" s="929">
        <v>43035</v>
      </c>
      <c r="D709" s="929" t="s">
        <v>530</v>
      </c>
      <c r="E709" s="929">
        <v>43035</v>
      </c>
      <c r="F709" s="930" t="s">
        <v>810</v>
      </c>
      <c r="G709" s="931" t="s">
        <v>2359</v>
      </c>
      <c r="H709" s="296" t="s">
        <v>622</v>
      </c>
      <c r="I709" s="371"/>
      <c r="J709" s="932"/>
      <c r="K709" s="371"/>
      <c r="L709" s="377"/>
      <c r="M709" s="933">
        <v>16823335</v>
      </c>
      <c r="N709" s="934" t="s">
        <v>539</v>
      </c>
      <c r="O709" s="934" t="s">
        <v>8</v>
      </c>
      <c r="P709" s="75" t="str">
        <f>IF(AND('331-CT'!$E$7=TH!H709,OR(N709="331",O709="331")),"x","")</f>
        <v/>
      </c>
      <c r="Q709" s="75" t="str">
        <f>IF(AND(B709='111'!$L$11,OR($N709=$Q$7,$O709=$Q$7)),"x","")</f>
        <v/>
      </c>
      <c r="R709" s="75" t="str">
        <f>IF(AND($N709=$Q$7,$B709&lt;'111'!$L$11),"x","")</f>
        <v/>
      </c>
      <c r="S709" s="75" t="str">
        <f>IF(AND($O709=$Q$7,$B709&lt;'111'!$L$11),"x","")</f>
        <v/>
      </c>
      <c r="T709" s="75" t="str">
        <f>IF(ISERROR(FIND('112'!$M$9,G709,1)),"",IF((AND(FIND('112'!$M$9,G709,1)&gt;=1,B709='112'!$K$9,OR($N709='112'!$I$6,$O709='112'!$I$6))),"x",""))</f>
        <v/>
      </c>
      <c r="U709" s="75" t="str">
        <f>IF(ISERROR(FIND('112'!$M$9,G709,1)),"",IF((AND(LEFT(G709,2)=LEFT('112'!$M$9,2),B709&lt;'112'!$K$9,$N709='112'!$I$6)),"x",""))</f>
        <v/>
      </c>
      <c r="V709" s="75" t="str">
        <f>IF(ISERROR(FIND('112'!$M$9,G709,1)),"",IF((AND(RIGHT(G709,2)=RIGHT('112'!$M$9,2),B709&lt;'112'!$K$9,$O709='112'!$I$6)),"x",""))</f>
        <v/>
      </c>
      <c r="W709" s="75" t="str">
        <f>IF(AND('341-CT'!$H$9=H709,OR(LEFT(N709,3)=$W$7,LEFT(O709,3)=$W$7)),"x","")</f>
        <v/>
      </c>
      <c r="X709" s="75" t="str">
        <f>IF(OR(TH!N709=TH!$X$7,O709=TH!$X$7),"x","")</f>
        <v/>
      </c>
      <c r="Y709" s="75" t="str">
        <f>IF(AND(OR(N709="131",O709="131"),H709='131-CT'!$H$9),"x","")</f>
        <v/>
      </c>
      <c r="Z709" s="75"/>
      <c r="AA709" s="75" t="str">
        <f>IF(AND(MONTH(E709)='IN-NX'!$J$5,'IN-NX'!$D$7=D709),"x","")</f>
        <v/>
      </c>
      <c r="AB709" s="75" t="str">
        <f>IF(AND(OR(LEFT(TH!N709,2)="15",LEFT(TH!O709,2)="15"),LEFT(TH!O709,3)&lt;&gt;"111",'152-CT'!$J$8=TH!F709),"x","")</f>
        <v/>
      </c>
      <c r="AC709" s="75" t="str">
        <f>IF(AND(OR(LEFT(TH!N709,2)="15",LEFT(TH!O709,2)="15"),TK!$E$7=TH!F709),"x","")</f>
        <v/>
      </c>
      <c r="AD709" s="75" t="str">
        <f>IF(AND(N709="1521",MONTH(C709)='BK-NL'!$M$11),"x","")</f>
        <v/>
      </c>
      <c r="AE709">
        <v>10</v>
      </c>
    </row>
    <row r="710" spans="1:31" ht="16.5" customHeight="1">
      <c r="A710" s="309" t="str">
        <f>IF(B710&lt;&gt;"",IF(AND(B710='IN-TC'!$S$4,OR(TH!N710="1111",TH!O710="1111")),TH!D710,""),"")</f>
        <v/>
      </c>
      <c r="B710" s="1244">
        <f t="shared" si="95"/>
        <v>10</v>
      </c>
      <c r="C710" s="929">
        <v>43035</v>
      </c>
      <c r="D710" s="929" t="s">
        <v>530</v>
      </c>
      <c r="E710" s="929">
        <v>43035</v>
      </c>
      <c r="F710" s="930" t="s">
        <v>811</v>
      </c>
      <c r="G710" s="931" t="s">
        <v>2359</v>
      </c>
      <c r="H710" s="296" t="s">
        <v>622</v>
      </c>
      <c r="I710" s="371"/>
      <c r="J710" s="932"/>
      <c r="K710" s="371"/>
      <c r="L710" s="377"/>
      <c r="M710" s="933">
        <v>1682334</v>
      </c>
      <c r="N710" s="934" t="s">
        <v>9</v>
      </c>
      <c r="O710" s="934" t="s">
        <v>8</v>
      </c>
      <c r="P710" s="75" t="str">
        <f>IF(AND('331-CT'!$E$7=TH!H710,OR(N710="331",O710="331")),"x","")</f>
        <v/>
      </c>
      <c r="Q710" s="75" t="str">
        <f>IF(AND(B710='111'!$L$11,OR($N710=$Q$7,$O710=$Q$7)),"x","")</f>
        <v/>
      </c>
      <c r="R710" s="75" t="str">
        <f>IF(AND($N710=$Q$7,$B710&lt;'111'!$L$11),"x","")</f>
        <v/>
      </c>
      <c r="S710" s="75" t="str">
        <f>IF(AND($O710=$Q$7,$B710&lt;'111'!$L$11),"x","")</f>
        <v/>
      </c>
      <c r="T710" s="75" t="str">
        <f>IF(ISERROR(FIND('112'!$M$9,G710,1)),"",IF((AND(FIND('112'!$M$9,G710,1)&gt;=1,B710='112'!$K$9,OR($N710='112'!$I$6,$O710='112'!$I$6))),"x",""))</f>
        <v/>
      </c>
      <c r="U710" s="75" t="str">
        <f>IF(ISERROR(FIND('112'!$M$9,G710,1)),"",IF((AND(LEFT(G710,2)=LEFT('112'!$M$9,2),B710&lt;'112'!$K$9,$N710='112'!$I$6)),"x",""))</f>
        <v/>
      </c>
      <c r="V710" s="75" t="str">
        <f>IF(ISERROR(FIND('112'!$M$9,G710,1)),"",IF((AND(RIGHT(G710,2)=RIGHT('112'!$M$9,2),B710&lt;'112'!$K$9,$O710='112'!$I$6)),"x",""))</f>
        <v/>
      </c>
      <c r="W710" s="75" t="str">
        <f>IF(AND('341-CT'!$H$9=H710,OR(LEFT(N710,3)=$W$7,LEFT(O710,3)=$W$7)),"x","")</f>
        <v/>
      </c>
      <c r="X710" s="75" t="str">
        <f>IF(OR(TH!N710=TH!$X$7,O710=TH!$X$7),"x","")</f>
        <v/>
      </c>
      <c r="Y710" s="75" t="str">
        <f>IF(AND(OR(N710="131",O710="131"),H710='131-CT'!$H$9),"x","")</f>
        <v/>
      </c>
      <c r="Z710" s="75"/>
      <c r="AA710" s="75" t="str">
        <f>IF(AND(MONTH(E710)='IN-NX'!$J$5,'IN-NX'!$D$7=D710),"x","")</f>
        <v/>
      </c>
      <c r="AB710" s="75" t="str">
        <f>IF(AND(OR(LEFT(TH!N710,2)="15",LEFT(TH!O710,2)="15"),LEFT(TH!O710,3)&lt;&gt;"111",'152-CT'!$J$8=TH!F710),"x","")</f>
        <v/>
      </c>
      <c r="AC710" s="75" t="str">
        <f>IF(AND(OR(LEFT(TH!N710,2)="15",LEFT(TH!O710,2)="15"),TK!$E$7=TH!F710),"x","")</f>
        <v/>
      </c>
      <c r="AD710" s="75" t="str">
        <f>IF(AND(N710="1521",MONTH(C710)='BK-NL'!$M$11),"x","")</f>
        <v/>
      </c>
      <c r="AE710">
        <v>10</v>
      </c>
    </row>
    <row r="711" spans="1:31" ht="16.5" customHeight="1">
      <c r="A711" s="309" t="str">
        <f>IF(B711&lt;&gt;"",IF(AND(B711='IN-TC'!$S$4,OR(TH!N711="1111",TH!O711="1111")),TH!D711,""),"")</f>
        <v/>
      </c>
      <c r="B711" s="1244">
        <f t="shared" ref="B711:B713" si="96">IF(C711&lt;&gt;"",MONTH(C711),"")</f>
        <v>10</v>
      </c>
      <c r="C711" s="929">
        <v>43035</v>
      </c>
      <c r="D711" s="929" t="s">
        <v>530</v>
      </c>
      <c r="E711" s="929">
        <v>43035</v>
      </c>
      <c r="F711" s="930" t="s">
        <v>808</v>
      </c>
      <c r="G711" s="931" t="s">
        <v>2360</v>
      </c>
      <c r="H711" s="296" t="s">
        <v>622</v>
      </c>
      <c r="I711" s="371"/>
      <c r="J711" s="932"/>
      <c r="K711" s="371"/>
      <c r="L711" s="377"/>
      <c r="M711" s="933">
        <v>81936000</v>
      </c>
      <c r="N711" s="934" t="s">
        <v>539</v>
      </c>
      <c r="O711" s="934" t="s">
        <v>8</v>
      </c>
      <c r="P711" s="75" t="str">
        <f>IF(AND('331-CT'!$E$7=TH!H711,OR(N711="331",O711="331")),"x","")</f>
        <v/>
      </c>
      <c r="Q711" s="75" t="str">
        <f>IF(AND(B711='111'!$L$11,OR($N711=$Q$7,$O711=$Q$7)),"x","")</f>
        <v/>
      </c>
      <c r="R711" s="75" t="str">
        <f>IF(AND($N711=$Q$7,$B711&lt;'111'!$L$11),"x","")</f>
        <v/>
      </c>
      <c r="S711" s="75" t="str">
        <f>IF(AND($O711=$Q$7,$B711&lt;'111'!$L$11),"x","")</f>
        <v/>
      </c>
      <c r="T711" s="75" t="str">
        <f>IF(ISERROR(FIND('112'!$M$9,G711,1)),"",IF((AND(FIND('112'!$M$9,G711,1)&gt;=1,B711='112'!$K$9,OR($N711='112'!$I$6,$O711='112'!$I$6))),"x",""))</f>
        <v/>
      </c>
      <c r="U711" s="75" t="str">
        <f>IF(ISERROR(FIND('112'!$M$9,G711,1)),"",IF((AND(LEFT(G711,2)=LEFT('112'!$M$9,2),B711&lt;'112'!$K$9,$N711='112'!$I$6)),"x",""))</f>
        <v/>
      </c>
      <c r="V711" s="75" t="str">
        <f>IF(ISERROR(FIND('112'!$M$9,G711,1)),"",IF((AND(RIGHT(G711,2)=RIGHT('112'!$M$9,2),B711&lt;'112'!$K$9,$O711='112'!$I$6)),"x",""))</f>
        <v/>
      </c>
      <c r="W711" s="75" t="str">
        <f>IF(AND('341-CT'!$H$9=H711,OR(LEFT(N711,3)=$W$7,LEFT(O711,3)=$W$7)),"x","")</f>
        <v/>
      </c>
      <c r="X711" s="75" t="str">
        <f>IF(OR(TH!N711=TH!$X$7,O711=TH!$X$7),"x","")</f>
        <v/>
      </c>
      <c r="Y711" s="75" t="str">
        <f>IF(AND(OR(N711="131",O711="131"),H711='131-CT'!$H$9),"x","")</f>
        <v/>
      </c>
      <c r="Z711" s="75"/>
      <c r="AA711" s="75" t="str">
        <f>IF(AND(MONTH(E711)='IN-NX'!$J$5,'IN-NX'!$D$7=D711),"x","")</f>
        <v/>
      </c>
      <c r="AB711" s="75" t="str">
        <f>IF(AND(OR(LEFT(TH!N711,2)="15",LEFT(TH!O711,2)="15"),LEFT(TH!O711,3)&lt;&gt;"111",'152-CT'!$J$8=TH!F711),"x","")</f>
        <v/>
      </c>
      <c r="AC711" s="75" t="str">
        <f>IF(AND(OR(LEFT(TH!N711,2)="15",LEFT(TH!O711,2)="15"),TK!$E$7=TH!F711),"x","")</f>
        <v/>
      </c>
      <c r="AD711" s="75" t="str">
        <f>IF(AND(N711="1521",MONTH(C711)='BK-NL'!$M$11),"x","")</f>
        <v/>
      </c>
    </row>
    <row r="712" spans="1:31" ht="16.5" customHeight="1">
      <c r="A712" s="309" t="str">
        <f>IF(B712&lt;&gt;"",IF(AND(B712='IN-TC'!$S$4,OR(TH!N712="1111",TH!O712="1111")),TH!D712,""),"")</f>
        <v/>
      </c>
      <c r="B712" s="1244">
        <f t="shared" si="96"/>
        <v>10</v>
      </c>
      <c r="C712" s="929">
        <v>43035</v>
      </c>
      <c r="D712" s="929" t="s">
        <v>530</v>
      </c>
      <c r="E712" s="929">
        <v>43035</v>
      </c>
      <c r="F712" s="930" t="s">
        <v>810</v>
      </c>
      <c r="G712" s="931" t="s">
        <v>2361</v>
      </c>
      <c r="H712" s="296" t="s">
        <v>622</v>
      </c>
      <c r="I712" s="371"/>
      <c r="J712" s="932"/>
      <c r="K712" s="371"/>
      <c r="L712" s="377"/>
      <c r="M712" s="933">
        <v>31021880</v>
      </c>
      <c r="N712" s="934" t="s">
        <v>539</v>
      </c>
      <c r="O712" s="934" t="s">
        <v>8</v>
      </c>
      <c r="P712" s="75" t="str">
        <f>IF(AND('331-CT'!$E$7=TH!H712,OR(N712="331",O712="331")),"x","")</f>
        <v/>
      </c>
      <c r="Q712" s="75" t="str">
        <f>IF(AND(B712='111'!$L$11,OR($N712=$Q$7,$O712=$Q$7)),"x","")</f>
        <v/>
      </c>
      <c r="R712" s="75" t="str">
        <f>IF(AND($N712=$Q$7,$B712&lt;'111'!$L$11),"x","")</f>
        <v/>
      </c>
      <c r="S712" s="75" t="str">
        <f>IF(AND($O712=$Q$7,$B712&lt;'111'!$L$11),"x","")</f>
        <v/>
      </c>
      <c r="T712" s="75" t="str">
        <f>IF(ISERROR(FIND('112'!$M$9,G712,1)),"",IF((AND(FIND('112'!$M$9,G712,1)&gt;=1,B712='112'!$K$9,OR($N712='112'!$I$6,$O712='112'!$I$6))),"x",""))</f>
        <v/>
      </c>
      <c r="U712" s="75" t="str">
        <f>IF(ISERROR(FIND('112'!$M$9,G712,1)),"",IF((AND(LEFT(G712,2)=LEFT('112'!$M$9,2),B712&lt;'112'!$K$9,$N712='112'!$I$6)),"x",""))</f>
        <v/>
      </c>
      <c r="V712" s="75" t="str">
        <f>IF(ISERROR(FIND('112'!$M$9,G712,1)),"",IF((AND(RIGHT(G712,2)=RIGHT('112'!$M$9,2),B712&lt;'112'!$K$9,$O712='112'!$I$6)),"x",""))</f>
        <v/>
      </c>
      <c r="W712" s="75" t="str">
        <f>IF(AND('341-CT'!$H$9=H712,OR(LEFT(N712,3)=$W$7,LEFT(O712,3)=$W$7)),"x","")</f>
        <v/>
      </c>
      <c r="X712" s="75" t="str">
        <f>IF(OR(TH!N712=TH!$X$7,O712=TH!$X$7),"x","")</f>
        <v/>
      </c>
      <c r="Y712" s="75" t="str">
        <f>IF(AND(OR(N712="131",O712="131"),H712='131-CT'!$H$9),"x","")</f>
        <v/>
      </c>
      <c r="Z712" s="75"/>
      <c r="AA712" s="75" t="str">
        <f>IF(AND(MONTH(E712)='IN-NX'!$J$5,'IN-NX'!$D$7=D712),"x","")</f>
        <v/>
      </c>
      <c r="AB712" s="75" t="str">
        <f>IF(AND(OR(LEFT(TH!N712,2)="15",LEFT(TH!O712,2)="15"),LEFT(TH!O712,3)&lt;&gt;"111",'152-CT'!$J$8=TH!F712),"x","")</f>
        <v/>
      </c>
      <c r="AC712" s="75" t="str">
        <f>IF(AND(OR(LEFT(TH!N712,2)="15",LEFT(TH!O712,2)="15"),TK!$E$7=TH!F712),"x","")</f>
        <v/>
      </c>
      <c r="AD712" s="75" t="str">
        <f>IF(AND(N712="1521",MONTH(C712)='BK-NL'!$M$11),"x","")</f>
        <v/>
      </c>
      <c r="AE712">
        <v>10</v>
      </c>
    </row>
    <row r="713" spans="1:31" ht="16.5" customHeight="1">
      <c r="A713" s="309" t="str">
        <f>IF(B713&lt;&gt;"",IF(AND(B713='IN-TC'!$S$4,OR(TH!N713="1111",TH!O713="1111")),TH!D713,""),"")</f>
        <v/>
      </c>
      <c r="B713" s="1244">
        <f t="shared" si="96"/>
        <v>10</v>
      </c>
      <c r="C713" s="929">
        <v>43035</v>
      </c>
      <c r="D713" s="929" t="s">
        <v>530</v>
      </c>
      <c r="E713" s="929">
        <v>43035</v>
      </c>
      <c r="F713" s="930" t="s">
        <v>811</v>
      </c>
      <c r="G713" s="931" t="s">
        <v>2361</v>
      </c>
      <c r="H713" s="296" t="s">
        <v>622</v>
      </c>
      <c r="I713" s="371"/>
      <c r="J713" s="932"/>
      <c r="K713" s="371"/>
      <c r="L713" s="377"/>
      <c r="M713" s="933">
        <v>3102188</v>
      </c>
      <c r="N713" s="934" t="s">
        <v>9</v>
      </c>
      <c r="O713" s="934" t="s">
        <v>8</v>
      </c>
      <c r="P713" s="75" t="str">
        <f>IF(AND('331-CT'!$E$7=TH!H713,OR(N713="331",O713="331")),"x","")</f>
        <v/>
      </c>
      <c r="Q713" s="75" t="str">
        <f>IF(AND(B713='111'!$L$11,OR($N713=$Q$7,$O713=$Q$7)),"x","")</f>
        <v/>
      </c>
      <c r="R713" s="75" t="str">
        <f>IF(AND($N713=$Q$7,$B713&lt;'111'!$L$11),"x","")</f>
        <v/>
      </c>
      <c r="S713" s="75" t="str">
        <f>IF(AND($O713=$Q$7,$B713&lt;'111'!$L$11),"x","")</f>
        <v/>
      </c>
      <c r="T713" s="75" t="str">
        <f>IF(ISERROR(FIND('112'!$M$9,G713,1)),"",IF((AND(FIND('112'!$M$9,G713,1)&gt;=1,B713='112'!$K$9,OR($N713='112'!$I$6,$O713='112'!$I$6))),"x",""))</f>
        <v/>
      </c>
      <c r="U713" s="75" t="str">
        <f>IF(ISERROR(FIND('112'!$M$9,G713,1)),"",IF((AND(LEFT(G713,2)=LEFT('112'!$M$9,2),B713&lt;'112'!$K$9,$N713='112'!$I$6)),"x",""))</f>
        <v/>
      </c>
      <c r="V713" s="75" t="str">
        <f>IF(ISERROR(FIND('112'!$M$9,G713,1)),"",IF((AND(RIGHT(G713,2)=RIGHT('112'!$M$9,2),B713&lt;'112'!$K$9,$O713='112'!$I$6)),"x",""))</f>
        <v/>
      </c>
      <c r="W713" s="75" t="str">
        <f>IF(AND('341-CT'!$H$9=H713,OR(LEFT(N713,3)=$W$7,LEFT(O713,3)=$W$7)),"x","")</f>
        <v/>
      </c>
      <c r="X713" s="75" t="str">
        <f>IF(OR(TH!N713=TH!$X$7,O713=TH!$X$7),"x","")</f>
        <v/>
      </c>
      <c r="Y713" s="75" t="str">
        <f>IF(AND(OR(N713="131",O713="131"),H713='131-CT'!$H$9),"x","")</f>
        <v/>
      </c>
      <c r="Z713" s="75"/>
      <c r="AA713" s="75" t="str">
        <f>IF(AND(MONTH(E713)='IN-NX'!$J$5,'IN-NX'!$D$7=D713),"x","")</f>
        <v/>
      </c>
      <c r="AB713" s="75" t="str">
        <f>IF(AND(OR(LEFT(TH!N713,2)="15",LEFT(TH!O713,2)="15"),LEFT(TH!O713,3)&lt;&gt;"111",'152-CT'!$J$8=TH!F713),"x","")</f>
        <v/>
      </c>
      <c r="AC713" s="75" t="str">
        <f>IF(AND(OR(LEFT(TH!N713,2)="15",LEFT(TH!O713,2)="15"),TK!$E$7=TH!F713),"x","")</f>
        <v/>
      </c>
      <c r="AD713" s="75" t="str">
        <f>IF(AND(N713="1521",MONTH(C713)='BK-NL'!$M$11),"x","")</f>
        <v/>
      </c>
      <c r="AE713">
        <v>10</v>
      </c>
    </row>
    <row r="714" spans="1:31" ht="16.5" customHeight="1">
      <c r="A714" s="309" t="str">
        <f>IF(B714&lt;&gt;"",IF(AND(B714='IN-TC'!$S$4,OR(TH!N714="1111",TH!O714="1111")),TH!D714,""),"")</f>
        <v/>
      </c>
      <c r="B714" s="1244">
        <f t="shared" ref="B714:B716" si="97">IF(C714&lt;&gt;"",MONTH(C714),"")</f>
        <v>10</v>
      </c>
      <c r="C714" s="929">
        <v>43035</v>
      </c>
      <c r="D714" s="929" t="s">
        <v>530</v>
      </c>
      <c r="E714" s="929">
        <v>43035</v>
      </c>
      <c r="F714" s="930" t="s">
        <v>808</v>
      </c>
      <c r="G714" s="931" t="s">
        <v>2362</v>
      </c>
      <c r="H714" s="296" t="s">
        <v>622</v>
      </c>
      <c r="I714" s="371"/>
      <c r="J714" s="932"/>
      <c r="K714" s="371"/>
      <c r="L714" s="377"/>
      <c r="M714" s="933">
        <v>81936000</v>
      </c>
      <c r="N714" s="934" t="s">
        <v>539</v>
      </c>
      <c r="O714" s="934" t="s">
        <v>8</v>
      </c>
      <c r="P714" s="75" t="str">
        <f>IF(AND('331-CT'!$E$7=TH!H714,OR(N714="331",O714="331")),"x","")</f>
        <v/>
      </c>
      <c r="Q714" s="75" t="str">
        <f>IF(AND(B714='111'!$L$11,OR($N714=$Q$7,$O714=$Q$7)),"x","")</f>
        <v/>
      </c>
      <c r="R714" s="75" t="str">
        <f>IF(AND($N714=$Q$7,$B714&lt;'111'!$L$11),"x","")</f>
        <v/>
      </c>
      <c r="S714" s="75" t="str">
        <f>IF(AND($O714=$Q$7,$B714&lt;'111'!$L$11),"x","")</f>
        <v/>
      </c>
      <c r="T714" s="75" t="str">
        <f>IF(ISERROR(FIND('112'!$M$9,G714,1)),"",IF((AND(FIND('112'!$M$9,G714,1)&gt;=1,B714='112'!$K$9,OR($N714='112'!$I$6,$O714='112'!$I$6))),"x",""))</f>
        <v/>
      </c>
      <c r="U714" s="75" t="str">
        <f>IF(ISERROR(FIND('112'!$M$9,G714,1)),"",IF((AND(LEFT(G714,2)=LEFT('112'!$M$9,2),B714&lt;'112'!$K$9,$N714='112'!$I$6)),"x",""))</f>
        <v/>
      </c>
      <c r="V714" s="75" t="str">
        <f>IF(ISERROR(FIND('112'!$M$9,G714,1)),"",IF((AND(RIGHT(G714,2)=RIGHT('112'!$M$9,2),B714&lt;'112'!$K$9,$O714='112'!$I$6)),"x",""))</f>
        <v/>
      </c>
      <c r="W714" s="75" t="str">
        <f>IF(AND('341-CT'!$H$9=H714,OR(LEFT(N714,3)=$W$7,LEFT(O714,3)=$W$7)),"x","")</f>
        <v/>
      </c>
      <c r="X714" s="75" t="str">
        <f>IF(OR(TH!N714=TH!$X$7,O714=TH!$X$7),"x","")</f>
        <v/>
      </c>
      <c r="Y714" s="75" t="str">
        <f>IF(AND(OR(N714="131",O714="131"),H714='131-CT'!$H$9),"x","")</f>
        <v/>
      </c>
      <c r="Z714" s="75"/>
      <c r="AA714" s="75" t="str">
        <f>IF(AND(MONTH(E714)='IN-NX'!$J$5,'IN-NX'!$D$7=D714),"x","")</f>
        <v/>
      </c>
      <c r="AB714" s="75" t="str">
        <f>IF(AND(OR(LEFT(TH!N714,2)="15",LEFT(TH!O714,2)="15"),LEFT(TH!O714,3)&lt;&gt;"111",'152-CT'!$J$8=TH!F714),"x","")</f>
        <v/>
      </c>
      <c r="AC714" s="75" t="str">
        <f>IF(AND(OR(LEFT(TH!N714,2)="15",LEFT(TH!O714,2)="15"),TK!$E$7=TH!F714),"x","")</f>
        <v/>
      </c>
      <c r="AD714" s="75" t="str">
        <f>IF(AND(N714="1521",MONTH(C714)='BK-NL'!$M$11),"x","")</f>
        <v/>
      </c>
    </row>
    <row r="715" spans="1:31" ht="16.5" customHeight="1">
      <c r="A715" s="309" t="str">
        <f>IF(B715&lt;&gt;"",IF(AND(B715='IN-TC'!$S$4,OR(TH!N715="1111",TH!O715="1111")),TH!D715,""),"")</f>
        <v/>
      </c>
      <c r="B715" s="1244">
        <f t="shared" si="97"/>
        <v>10</v>
      </c>
      <c r="C715" s="929">
        <v>43035</v>
      </c>
      <c r="D715" s="929" t="s">
        <v>530</v>
      </c>
      <c r="E715" s="929">
        <v>43035</v>
      </c>
      <c r="F715" s="930" t="s">
        <v>810</v>
      </c>
      <c r="G715" s="931" t="s">
        <v>2363</v>
      </c>
      <c r="H715" s="296" t="s">
        <v>622</v>
      </c>
      <c r="I715" s="371"/>
      <c r="J715" s="932"/>
      <c r="K715" s="371"/>
      <c r="L715" s="377"/>
      <c r="M715" s="933">
        <v>31021880</v>
      </c>
      <c r="N715" s="934" t="s">
        <v>539</v>
      </c>
      <c r="O715" s="934" t="s">
        <v>8</v>
      </c>
      <c r="P715" s="75" t="str">
        <f>IF(AND('331-CT'!$E$7=TH!H715,OR(N715="331",O715="331")),"x","")</f>
        <v/>
      </c>
      <c r="Q715" s="75" t="str">
        <f>IF(AND(B715='111'!$L$11,OR($N715=$Q$7,$O715=$Q$7)),"x","")</f>
        <v/>
      </c>
      <c r="R715" s="75" t="str">
        <f>IF(AND($N715=$Q$7,$B715&lt;'111'!$L$11),"x","")</f>
        <v/>
      </c>
      <c r="S715" s="75" t="str">
        <f>IF(AND($O715=$Q$7,$B715&lt;'111'!$L$11),"x","")</f>
        <v/>
      </c>
      <c r="T715" s="75" t="str">
        <f>IF(ISERROR(FIND('112'!$M$9,G715,1)),"",IF((AND(FIND('112'!$M$9,G715,1)&gt;=1,B715='112'!$K$9,OR($N715='112'!$I$6,$O715='112'!$I$6))),"x",""))</f>
        <v/>
      </c>
      <c r="U715" s="75" t="str">
        <f>IF(ISERROR(FIND('112'!$M$9,G715,1)),"",IF((AND(LEFT(G715,2)=LEFT('112'!$M$9,2),B715&lt;'112'!$K$9,$N715='112'!$I$6)),"x",""))</f>
        <v/>
      </c>
      <c r="V715" s="75" t="str">
        <f>IF(ISERROR(FIND('112'!$M$9,G715,1)),"",IF((AND(RIGHT(G715,2)=RIGHT('112'!$M$9,2),B715&lt;'112'!$K$9,$O715='112'!$I$6)),"x",""))</f>
        <v/>
      </c>
      <c r="W715" s="75" t="str">
        <f>IF(AND('341-CT'!$H$9=H715,OR(LEFT(N715,3)=$W$7,LEFT(O715,3)=$W$7)),"x","")</f>
        <v/>
      </c>
      <c r="X715" s="75" t="str">
        <f>IF(OR(TH!N715=TH!$X$7,O715=TH!$X$7),"x","")</f>
        <v/>
      </c>
      <c r="Y715" s="75" t="str">
        <f>IF(AND(OR(N715="131",O715="131"),H715='131-CT'!$H$9),"x","")</f>
        <v/>
      </c>
      <c r="Z715" s="75"/>
      <c r="AA715" s="75" t="str">
        <f>IF(AND(MONTH(E715)='IN-NX'!$J$5,'IN-NX'!$D$7=D715),"x","")</f>
        <v/>
      </c>
      <c r="AB715" s="75" t="str">
        <f>IF(AND(OR(LEFT(TH!N715,2)="15",LEFT(TH!O715,2)="15"),LEFT(TH!O715,3)&lt;&gt;"111",'152-CT'!$J$8=TH!F715),"x","")</f>
        <v/>
      </c>
      <c r="AC715" s="75" t="str">
        <f>IF(AND(OR(LEFT(TH!N715,2)="15",LEFT(TH!O715,2)="15"),TK!$E$7=TH!F715),"x","")</f>
        <v/>
      </c>
      <c r="AD715" s="75" t="str">
        <f>IF(AND(N715="1521",MONTH(C715)='BK-NL'!$M$11),"x","")</f>
        <v/>
      </c>
      <c r="AE715">
        <v>10</v>
      </c>
    </row>
    <row r="716" spans="1:31" ht="16.5" customHeight="1">
      <c r="A716" s="309" t="str">
        <f>IF(B716&lt;&gt;"",IF(AND(B716='IN-TC'!$S$4,OR(TH!N716="1111",TH!O716="1111")),TH!D716,""),"")</f>
        <v/>
      </c>
      <c r="B716" s="1244">
        <f t="shared" si="97"/>
        <v>10</v>
      </c>
      <c r="C716" s="929">
        <v>43035</v>
      </c>
      <c r="D716" s="929" t="s">
        <v>530</v>
      </c>
      <c r="E716" s="929">
        <v>43035</v>
      </c>
      <c r="F716" s="930" t="s">
        <v>811</v>
      </c>
      <c r="G716" s="931" t="s">
        <v>2363</v>
      </c>
      <c r="H716" s="296" t="s">
        <v>622</v>
      </c>
      <c r="I716" s="371"/>
      <c r="J716" s="932"/>
      <c r="K716" s="371"/>
      <c r="L716" s="377"/>
      <c r="M716" s="933">
        <v>3102188</v>
      </c>
      <c r="N716" s="934" t="s">
        <v>9</v>
      </c>
      <c r="O716" s="934" t="s">
        <v>8</v>
      </c>
      <c r="P716" s="75" t="str">
        <f>IF(AND('331-CT'!$E$7=TH!H716,OR(N716="331",O716="331")),"x","")</f>
        <v/>
      </c>
      <c r="Q716" s="75" t="str">
        <f>IF(AND(B716='111'!$L$11,OR($N716=$Q$7,$O716=$Q$7)),"x","")</f>
        <v/>
      </c>
      <c r="R716" s="75" t="str">
        <f>IF(AND($N716=$Q$7,$B716&lt;'111'!$L$11),"x","")</f>
        <v/>
      </c>
      <c r="S716" s="75" t="str">
        <f>IF(AND($O716=$Q$7,$B716&lt;'111'!$L$11),"x","")</f>
        <v/>
      </c>
      <c r="T716" s="75" t="str">
        <f>IF(ISERROR(FIND('112'!$M$9,G716,1)),"",IF((AND(FIND('112'!$M$9,G716,1)&gt;=1,B716='112'!$K$9,OR($N716='112'!$I$6,$O716='112'!$I$6))),"x",""))</f>
        <v/>
      </c>
      <c r="U716" s="75" t="str">
        <f>IF(ISERROR(FIND('112'!$M$9,G716,1)),"",IF((AND(LEFT(G716,2)=LEFT('112'!$M$9,2),B716&lt;'112'!$K$9,$N716='112'!$I$6)),"x",""))</f>
        <v/>
      </c>
      <c r="V716" s="75" t="str">
        <f>IF(ISERROR(FIND('112'!$M$9,G716,1)),"",IF((AND(RIGHT(G716,2)=RIGHT('112'!$M$9,2),B716&lt;'112'!$K$9,$O716='112'!$I$6)),"x",""))</f>
        <v/>
      </c>
      <c r="W716" s="75" t="str">
        <f>IF(AND('341-CT'!$H$9=H716,OR(LEFT(N716,3)=$W$7,LEFT(O716,3)=$W$7)),"x","")</f>
        <v/>
      </c>
      <c r="X716" s="75" t="str">
        <f>IF(OR(TH!N716=TH!$X$7,O716=TH!$X$7),"x","")</f>
        <v/>
      </c>
      <c r="Y716" s="75" t="str">
        <f>IF(AND(OR(N716="131",O716="131"),H716='131-CT'!$H$9),"x","")</f>
        <v/>
      </c>
      <c r="Z716" s="75"/>
      <c r="AA716" s="75" t="str">
        <f>IF(AND(MONTH(E716)='IN-NX'!$J$5,'IN-NX'!$D$7=D716),"x","")</f>
        <v/>
      </c>
      <c r="AB716" s="75" t="str">
        <f>IF(AND(OR(LEFT(TH!N716,2)="15",LEFT(TH!O716,2)="15"),LEFT(TH!O716,3)&lt;&gt;"111",'152-CT'!$J$8=TH!F716),"x","")</f>
        <v/>
      </c>
      <c r="AC716" s="75" t="str">
        <f>IF(AND(OR(LEFT(TH!N716,2)="15",LEFT(TH!O716,2)="15"),TK!$E$7=TH!F716),"x","")</f>
        <v/>
      </c>
      <c r="AD716" s="75" t="str">
        <f>IF(AND(N716="1521",MONTH(C716)='BK-NL'!$M$11),"x","")</f>
        <v/>
      </c>
      <c r="AE716">
        <v>10</v>
      </c>
    </row>
    <row r="717" spans="1:31" ht="16.5" customHeight="1">
      <c r="A717" s="309" t="str">
        <f>IF(B717&lt;&gt;"",IF(AND(B717='IN-TC'!$S$4,OR(TH!N717="1111",TH!O717="1111")),TH!D717,""),"")</f>
        <v/>
      </c>
      <c r="B717" s="1244">
        <f t="shared" ref="B717:B719" si="98">IF(C717&lt;&gt;"",MONTH(C717),"")</f>
        <v>10</v>
      </c>
      <c r="C717" s="929">
        <v>43035</v>
      </c>
      <c r="D717" s="929" t="s">
        <v>530</v>
      </c>
      <c r="E717" s="929">
        <v>43035</v>
      </c>
      <c r="F717" s="930" t="s">
        <v>808</v>
      </c>
      <c r="G717" s="931" t="s">
        <v>2364</v>
      </c>
      <c r="H717" s="296" t="s">
        <v>622</v>
      </c>
      <c r="I717" s="371"/>
      <c r="J717" s="932"/>
      <c r="K717" s="371"/>
      <c r="L717" s="377"/>
      <c r="M717" s="933">
        <v>81918000</v>
      </c>
      <c r="N717" s="934" t="s">
        <v>539</v>
      </c>
      <c r="O717" s="934" t="s">
        <v>8</v>
      </c>
      <c r="P717" s="75" t="str">
        <f>IF(AND('331-CT'!$E$7=TH!H717,OR(N717="331",O717="331")),"x","")</f>
        <v/>
      </c>
      <c r="Q717" s="75" t="str">
        <f>IF(AND(B717='111'!$L$11,OR($N717=$Q$7,$O717=$Q$7)),"x","")</f>
        <v/>
      </c>
      <c r="R717" s="75" t="str">
        <f>IF(AND($N717=$Q$7,$B717&lt;'111'!$L$11),"x","")</f>
        <v/>
      </c>
      <c r="S717" s="75" t="str">
        <f>IF(AND($O717=$Q$7,$B717&lt;'111'!$L$11),"x","")</f>
        <v/>
      </c>
      <c r="T717" s="75" t="str">
        <f>IF(ISERROR(FIND('112'!$M$9,G717,1)),"",IF((AND(FIND('112'!$M$9,G717,1)&gt;=1,B717='112'!$K$9,OR($N717='112'!$I$6,$O717='112'!$I$6))),"x",""))</f>
        <v/>
      </c>
      <c r="U717" s="75" t="str">
        <f>IF(ISERROR(FIND('112'!$M$9,G717,1)),"",IF((AND(LEFT(G717,2)=LEFT('112'!$M$9,2),B717&lt;'112'!$K$9,$N717='112'!$I$6)),"x",""))</f>
        <v/>
      </c>
      <c r="V717" s="75" t="str">
        <f>IF(ISERROR(FIND('112'!$M$9,G717,1)),"",IF((AND(RIGHT(G717,2)=RIGHT('112'!$M$9,2),B717&lt;'112'!$K$9,$O717='112'!$I$6)),"x",""))</f>
        <v/>
      </c>
      <c r="W717" s="75" t="str">
        <f>IF(AND('341-CT'!$H$9=H717,OR(LEFT(N717,3)=$W$7,LEFT(O717,3)=$W$7)),"x","")</f>
        <v/>
      </c>
      <c r="X717" s="75" t="str">
        <f>IF(OR(TH!N717=TH!$X$7,O717=TH!$X$7),"x","")</f>
        <v/>
      </c>
      <c r="Y717" s="75" t="str">
        <f>IF(AND(OR(N717="131",O717="131"),H717='131-CT'!$H$9),"x","")</f>
        <v/>
      </c>
      <c r="Z717" s="75"/>
      <c r="AA717" s="75" t="str">
        <f>IF(AND(MONTH(E717)='IN-NX'!$J$5,'IN-NX'!$D$7=D717),"x","")</f>
        <v/>
      </c>
      <c r="AB717" s="75" t="str">
        <f>IF(AND(OR(LEFT(TH!N717,2)="15",LEFT(TH!O717,2)="15"),LEFT(TH!O717,3)&lt;&gt;"111",'152-CT'!$J$8=TH!F717),"x","")</f>
        <v/>
      </c>
      <c r="AC717" s="75" t="str">
        <f>IF(AND(OR(LEFT(TH!N717,2)="15",LEFT(TH!O717,2)="15"),TK!$E$7=TH!F717),"x","")</f>
        <v/>
      </c>
      <c r="AD717" s="75" t="str">
        <f>IF(AND(N717="1521",MONTH(C717)='BK-NL'!$M$11),"x","")</f>
        <v/>
      </c>
    </row>
    <row r="718" spans="1:31" ht="16.5" customHeight="1">
      <c r="A718" s="309" t="str">
        <f>IF(B718&lt;&gt;"",IF(AND(B718='IN-TC'!$S$4,OR(TH!N718="1111",TH!O718="1111")),TH!D718,""),"")</f>
        <v/>
      </c>
      <c r="B718" s="1244">
        <f t="shared" si="98"/>
        <v>10</v>
      </c>
      <c r="C718" s="929">
        <v>43035</v>
      </c>
      <c r="D718" s="929" t="s">
        <v>530</v>
      </c>
      <c r="E718" s="929">
        <v>43035</v>
      </c>
      <c r="F718" s="930" t="s">
        <v>810</v>
      </c>
      <c r="G718" s="931" t="s">
        <v>2365</v>
      </c>
      <c r="H718" s="296" t="s">
        <v>622</v>
      </c>
      <c r="I718" s="371"/>
      <c r="J718" s="932"/>
      <c r="K718" s="371"/>
      <c r="L718" s="377"/>
      <c r="M718" s="933">
        <v>31015065</v>
      </c>
      <c r="N718" s="934" t="s">
        <v>539</v>
      </c>
      <c r="O718" s="934" t="s">
        <v>8</v>
      </c>
      <c r="P718" s="75" t="str">
        <f>IF(AND('331-CT'!$E$7=TH!H718,OR(N718="331",O718="331")),"x","")</f>
        <v/>
      </c>
      <c r="Q718" s="75" t="str">
        <f>IF(AND(B718='111'!$L$11,OR($N718=$Q$7,$O718=$Q$7)),"x","")</f>
        <v/>
      </c>
      <c r="R718" s="75" t="str">
        <f>IF(AND($N718=$Q$7,$B718&lt;'111'!$L$11),"x","")</f>
        <v/>
      </c>
      <c r="S718" s="75" t="str">
        <f>IF(AND($O718=$Q$7,$B718&lt;'111'!$L$11),"x","")</f>
        <v/>
      </c>
      <c r="T718" s="75" t="str">
        <f>IF(ISERROR(FIND('112'!$M$9,G718,1)),"",IF((AND(FIND('112'!$M$9,G718,1)&gt;=1,B718='112'!$K$9,OR($N718='112'!$I$6,$O718='112'!$I$6))),"x",""))</f>
        <v/>
      </c>
      <c r="U718" s="75" t="str">
        <f>IF(ISERROR(FIND('112'!$M$9,G718,1)),"",IF((AND(LEFT(G718,2)=LEFT('112'!$M$9,2),B718&lt;'112'!$K$9,$N718='112'!$I$6)),"x",""))</f>
        <v/>
      </c>
      <c r="V718" s="75" t="str">
        <f>IF(ISERROR(FIND('112'!$M$9,G718,1)),"",IF((AND(RIGHT(G718,2)=RIGHT('112'!$M$9,2),B718&lt;'112'!$K$9,$O718='112'!$I$6)),"x",""))</f>
        <v/>
      </c>
      <c r="W718" s="75" t="str">
        <f>IF(AND('341-CT'!$H$9=H718,OR(LEFT(N718,3)=$W$7,LEFT(O718,3)=$W$7)),"x","")</f>
        <v/>
      </c>
      <c r="X718" s="75" t="str">
        <f>IF(OR(TH!N718=TH!$X$7,O718=TH!$X$7),"x","")</f>
        <v/>
      </c>
      <c r="Y718" s="75" t="str">
        <f>IF(AND(OR(N718="131",O718="131"),H718='131-CT'!$H$9),"x","")</f>
        <v/>
      </c>
      <c r="Z718" s="75"/>
      <c r="AA718" s="75" t="str">
        <f>IF(AND(MONTH(E718)='IN-NX'!$J$5,'IN-NX'!$D$7=D718),"x","")</f>
        <v/>
      </c>
      <c r="AB718" s="75" t="str">
        <f>IF(AND(OR(LEFT(TH!N718,2)="15",LEFT(TH!O718,2)="15"),LEFT(TH!O718,3)&lt;&gt;"111",'152-CT'!$J$8=TH!F718),"x","")</f>
        <v/>
      </c>
      <c r="AC718" s="75" t="str">
        <f>IF(AND(OR(LEFT(TH!N718,2)="15",LEFT(TH!O718,2)="15"),TK!$E$7=TH!F718),"x","")</f>
        <v/>
      </c>
      <c r="AD718" s="75" t="str">
        <f>IF(AND(N718="1521",MONTH(C718)='BK-NL'!$M$11),"x","")</f>
        <v/>
      </c>
      <c r="AE718">
        <v>10</v>
      </c>
    </row>
    <row r="719" spans="1:31" ht="16.5" customHeight="1">
      <c r="A719" s="309" t="str">
        <f>IF(B719&lt;&gt;"",IF(AND(B719='IN-TC'!$S$4,OR(TH!N719="1111",TH!O719="1111")),TH!D719,""),"")</f>
        <v/>
      </c>
      <c r="B719" s="1244">
        <f t="shared" si="98"/>
        <v>10</v>
      </c>
      <c r="C719" s="929">
        <v>43035</v>
      </c>
      <c r="D719" s="929" t="s">
        <v>530</v>
      </c>
      <c r="E719" s="929">
        <v>43035</v>
      </c>
      <c r="F719" s="930" t="s">
        <v>811</v>
      </c>
      <c r="G719" s="931" t="s">
        <v>2365</v>
      </c>
      <c r="H719" s="296" t="s">
        <v>622</v>
      </c>
      <c r="I719" s="371"/>
      <c r="J719" s="932"/>
      <c r="K719" s="371"/>
      <c r="L719" s="377"/>
      <c r="M719" s="933">
        <v>3101507</v>
      </c>
      <c r="N719" s="934" t="s">
        <v>9</v>
      </c>
      <c r="O719" s="934" t="s">
        <v>8</v>
      </c>
      <c r="P719" s="75" t="str">
        <f>IF(AND('331-CT'!$E$7=TH!H719,OR(N719="331",O719="331")),"x","")</f>
        <v/>
      </c>
      <c r="Q719" s="75" t="str">
        <f>IF(AND(B719='111'!$L$11,OR($N719=$Q$7,$O719=$Q$7)),"x","")</f>
        <v/>
      </c>
      <c r="R719" s="75" t="str">
        <f>IF(AND($N719=$Q$7,$B719&lt;'111'!$L$11),"x","")</f>
        <v/>
      </c>
      <c r="S719" s="75" t="str">
        <f>IF(AND($O719=$Q$7,$B719&lt;'111'!$L$11),"x","")</f>
        <v/>
      </c>
      <c r="T719" s="75" t="str">
        <f>IF(ISERROR(FIND('112'!$M$9,G719,1)),"",IF((AND(FIND('112'!$M$9,G719,1)&gt;=1,B719='112'!$K$9,OR($N719='112'!$I$6,$O719='112'!$I$6))),"x",""))</f>
        <v/>
      </c>
      <c r="U719" s="75" t="str">
        <f>IF(ISERROR(FIND('112'!$M$9,G719,1)),"",IF((AND(LEFT(G719,2)=LEFT('112'!$M$9,2),B719&lt;'112'!$K$9,$N719='112'!$I$6)),"x",""))</f>
        <v/>
      </c>
      <c r="V719" s="75" t="str">
        <f>IF(ISERROR(FIND('112'!$M$9,G719,1)),"",IF((AND(RIGHT(G719,2)=RIGHT('112'!$M$9,2),B719&lt;'112'!$K$9,$O719='112'!$I$6)),"x",""))</f>
        <v/>
      </c>
      <c r="W719" s="75" t="str">
        <f>IF(AND('341-CT'!$H$9=H719,OR(LEFT(N719,3)=$W$7,LEFT(O719,3)=$W$7)),"x","")</f>
        <v/>
      </c>
      <c r="X719" s="75" t="str">
        <f>IF(OR(TH!N719=TH!$X$7,O719=TH!$X$7),"x","")</f>
        <v/>
      </c>
      <c r="Y719" s="75" t="str">
        <f>IF(AND(OR(N719="131",O719="131"),H719='131-CT'!$H$9),"x","")</f>
        <v/>
      </c>
      <c r="Z719" s="75"/>
      <c r="AA719" s="75" t="str">
        <f>IF(AND(MONTH(E719)='IN-NX'!$J$5,'IN-NX'!$D$7=D719),"x","")</f>
        <v/>
      </c>
      <c r="AB719" s="75" t="str">
        <f>IF(AND(OR(LEFT(TH!N719,2)="15",LEFT(TH!O719,2)="15"),LEFT(TH!O719,3)&lt;&gt;"111",'152-CT'!$J$8=TH!F719),"x","")</f>
        <v/>
      </c>
      <c r="AC719" s="75" t="str">
        <f>IF(AND(OR(LEFT(TH!N719,2)="15",LEFT(TH!O719,2)="15"),TK!$E$7=TH!F719),"x","")</f>
        <v/>
      </c>
      <c r="AD719" s="75" t="str">
        <f>IF(AND(N719="1521",MONTH(C719)='BK-NL'!$M$11),"x","")</f>
        <v/>
      </c>
      <c r="AE719">
        <v>10</v>
      </c>
    </row>
    <row r="720" spans="1:31" ht="16.5" customHeight="1">
      <c r="A720" s="309" t="str">
        <f>IF(B720&lt;&gt;"",IF(AND(B720='IN-TC'!$S$4,OR(TH!N720="1111",TH!O720="1111")),TH!D720,""),"")</f>
        <v/>
      </c>
      <c r="B720" s="1244">
        <f t="shared" ref="B720:B722" si="99">IF(C720&lt;&gt;"",MONTH(C720),"")</f>
        <v>10</v>
      </c>
      <c r="C720" s="929">
        <v>43035</v>
      </c>
      <c r="D720" s="929" t="s">
        <v>530</v>
      </c>
      <c r="E720" s="929">
        <v>43035</v>
      </c>
      <c r="F720" s="930" t="s">
        <v>808</v>
      </c>
      <c r="G720" s="931" t="s">
        <v>2366</v>
      </c>
      <c r="H720" s="296" t="s">
        <v>622</v>
      </c>
      <c r="I720" s="371"/>
      <c r="J720" s="932"/>
      <c r="K720" s="371"/>
      <c r="L720" s="377"/>
      <c r="M720" s="933">
        <v>81918000</v>
      </c>
      <c r="N720" s="934" t="s">
        <v>539</v>
      </c>
      <c r="O720" s="934" t="s">
        <v>8</v>
      </c>
      <c r="P720" s="75" t="str">
        <f>IF(AND('331-CT'!$E$7=TH!H720,OR(N720="331",O720="331")),"x","")</f>
        <v/>
      </c>
      <c r="Q720" s="75" t="str">
        <f>IF(AND(B720='111'!$L$11,OR($N720=$Q$7,$O720=$Q$7)),"x","")</f>
        <v/>
      </c>
      <c r="R720" s="75" t="str">
        <f>IF(AND($N720=$Q$7,$B720&lt;'111'!$L$11),"x","")</f>
        <v/>
      </c>
      <c r="S720" s="75" t="str">
        <f>IF(AND($O720=$Q$7,$B720&lt;'111'!$L$11),"x","")</f>
        <v/>
      </c>
      <c r="T720" s="75" t="str">
        <f>IF(ISERROR(FIND('112'!$M$9,G720,1)),"",IF((AND(FIND('112'!$M$9,G720,1)&gt;=1,B720='112'!$K$9,OR($N720='112'!$I$6,$O720='112'!$I$6))),"x",""))</f>
        <v/>
      </c>
      <c r="U720" s="75" t="str">
        <f>IF(ISERROR(FIND('112'!$M$9,G720,1)),"",IF((AND(LEFT(G720,2)=LEFT('112'!$M$9,2),B720&lt;'112'!$K$9,$N720='112'!$I$6)),"x",""))</f>
        <v/>
      </c>
      <c r="V720" s="75" t="str">
        <f>IF(ISERROR(FIND('112'!$M$9,G720,1)),"",IF((AND(RIGHT(G720,2)=RIGHT('112'!$M$9,2),B720&lt;'112'!$K$9,$O720='112'!$I$6)),"x",""))</f>
        <v/>
      </c>
      <c r="W720" s="75" t="str">
        <f>IF(AND('341-CT'!$H$9=H720,OR(LEFT(N720,3)=$W$7,LEFT(O720,3)=$W$7)),"x","")</f>
        <v/>
      </c>
      <c r="X720" s="75" t="str">
        <f>IF(OR(TH!N720=TH!$X$7,O720=TH!$X$7),"x","")</f>
        <v/>
      </c>
      <c r="Y720" s="75" t="str">
        <f>IF(AND(OR(N720="131",O720="131"),H720='131-CT'!$H$9),"x","")</f>
        <v/>
      </c>
      <c r="Z720" s="75"/>
      <c r="AA720" s="75" t="str">
        <f>IF(AND(MONTH(E720)='IN-NX'!$J$5,'IN-NX'!$D$7=D720),"x","")</f>
        <v/>
      </c>
      <c r="AB720" s="75" t="str">
        <f>IF(AND(OR(LEFT(TH!N720,2)="15",LEFT(TH!O720,2)="15"),LEFT(TH!O720,3)&lt;&gt;"111",'152-CT'!$J$8=TH!F720),"x","")</f>
        <v/>
      </c>
      <c r="AC720" s="75" t="str">
        <f>IF(AND(OR(LEFT(TH!N720,2)="15",LEFT(TH!O720,2)="15"),TK!$E$7=TH!F720),"x","")</f>
        <v/>
      </c>
      <c r="AD720" s="75" t="str">
        <f>IF(AND(N720="1521",MONTH(C720)='BK-NL'!$M$11),"x","")</f>
        <v/>
      </c>
    </row>
    <row r="721" spans="1:31" ht="16.5" customHeight="1">
      <c r="A721" s="309" t="str">
        <f>IF(B721&lt;&gt;"",IF(AND(B721='IN-TC'!$S$4,OR(TH!N721="1111",TH!O721="1111")),TH!D721,""),"")</f>
        <v/>
      </c>
      <c r="B721" s="1244">
        <f t="shared" si="99"/>
        <v>10</v>
      </c>
      <c r="C721" s="929">
        <v>43035</v>
      </c>
      <c r="D721" s="929" t="s">
        <v>530</v>
      </c>
      <c r="E721" s="929">
        <v>43035</v>
      </c>
      <c r="F721" s="930" t="s">
        <v>810</v>
      </c>
      <c r="G721" s="931" t="s">
        <v>2367</v>
      </c>
      <c r="H721" s="296" t="s">
        <v>622</v>
      </c>
      <c r="I721" s="371"/>
      <c r="J721" s="932"/>
      <c r="K721" s="371"/>
      <c r="L721" s="377"/>
      <c r="M721" s="933">
        <v>31015065</v>
      </c>
      <c r="N721" s="934" t="s">
        <v>539</v>
      </c>
      <c r="O721" s="934" t="s">
        <v>8</v>
      </c>
      <c r="P721" s="75" t="str">
        <f>IF(AND('331-CT'!$E$7=TH!H721,OR(N721="331",O721="331")),"x","")</f>
        <v/>
      </c>
      <c r="Q721" s="75" t="str">
        <f>IF(AND(B721='111'!$L$11,OR($N721=$Q$7,$O721=$Q$7)),"x","")</f>
        <v/>
      </c>
      <c r="R721" s="75" t="str">
        <f>IF(AND($N721=$Q$7,$B721&lt;'111'!$L$11),"x","")</f>
        <v/>
      </c>
      <c r="S721" s="75" t="str">
        <f>IF(AND($O721=$Q$7,$B721&lt;'111'!$L$11),"x","")</f>
        <v/>
      </c>
      <c r="T721" s="75" t="str">
        <f>IF(ISERROR(FIND('112'!$M$9,G721,1)),"",IF((AND(FIND('112'!$M$9,G721,1)&gt;=1,B721='112'!$K$9,OR($N721='112'!$I$6,$O721='112'!$I$6))),"x",""))</f>
        <v/>
      </c>
      <c r="U721" s="75" t="str">
        <f>IF(ISERROR(FIND('112'!$M$9,G721,1)),"",IF((AND(LEFT(G721,2)=LEFT('112'!$M$9,2),B721&lt;'112'!$K$9,$N721='112'!$I$6)),"x",""))</f>
        <v/>
      </c>
      <c r="V721" s="75" t="str">
        <f>IF(ISERROR(FIND('112'!$M$9,G721,1)),"",IF((AND(RIGHT(G721,2)=RIGHT('112'!$M$9,2),B721&lt;'112'!$K$9,$O721='112'!$I$6)),"x",""))</f>
        <v/>
      </c>
      <c r="W721" s="75" t="str">
        <f>IF(AND('341-CT'!$H$9=H721,OR(LEFT(N721,3)=$W$7,LEFT(O721,3)=$W$7)),"x","")</f>
        <v/>
      </c>
      <c r="X721" s="75" t="str">
        <f>IF(OR(TH!N721=TH!$X$7,O721=TH!$X$7),"x","")</f>
        <v/>
      </c>
      <c r="Y721" s="75" t="str">
        <f>IF(AND(OR(N721="131",O721="131"),H721='131-CT'!$H$9),"x","")</f>
        <v/>
      </c>
      <c r="Z721" s="75"/>
      <c r="AA721" s="75" t="str">
        <f>IF(AND(MONTH(E721)='IN-NX'!$J$5,'IN-NX'!$D$7=D721),"x","")</f>
        <v/>
      </c>
      <c r="AB721" s="75" t="str">
        <f>IF(AND(OR(LEFT(TH!N721,2)="15",LEFT(TH!O721,2)="15"),LEFT(TH!O721,3)&lt;&gt;"111",'152-CT'!$J$8=TH!F721),"x","")</f>
        <v/>
      </c>
      <c r="AC721" s="75" t="str">
        <f>IF(AND(OR(LEFT(TH!N721,2)="15",LEFT(TH!O721,2)="15"),TK!$E$7=TH!F721),"x","")</f>
        <v/>
      </c>
      <c r="AD721" s="75" t="str">
        <f>IF(AND(N721="1521",MONTH(C721)='BK-NL'!$M$11),"x","")</f>
        <v/>
      </c>
      <c r="AE721">
        <v>10</v>
      </c>
    </row>
    <row r="722" spans="1:31" ht="16.5" customHeight="1">
      <c r="A722" s="309" t="str">
        <f>IF(B722&lt;&gt;"",IF(AND(B722='IN-TC'!$S$4,OR(TH!N722="1111",TH!O722="1111")),TH!D722,""),"")</f>
        <v/>
      </c>
      <c r="B722" s="1244">
        <f t="shared" si="99"/>
        <v>10</v>
      </c>
      <c r="C722" s="929">
        <v>43035</v>
      </c>
      <c r="D722" s="929" t="s">
        <v>530</v>
      </c>
      <c r="E722" s="929">
        <v>43035</v>
      </c>
      <c r="F722" s="930" t="s">
        <v>811</v>
      </c>
      <c r="G722" s="931" t="s">
        <v>2367</v>
      </c>
      <c r="H722" s="296" t="s">
        <v>622</v>
      </c>
      <c r="I722" s="371"/>
      <c r="J722" s="932"/>
      <c r="K722" s="371"/>
      <c r="L722" s="377"/>
      <c r="M722" s="933">
        <v>3101507</v>
      </c>
      <c r="N722" s="934" t="s">
        <v>9</v>
      </c>
      <c r="O722" s="934" t="s">
        <v>8</v>
      </c>
      <c r="P722" s="75" t="str">
        <f>IF(AND('331-CT'!$E$7=TH!H722,OR(N722="331",O722="331")),"x","")</f>
        <v/>
      </c>
      <c r="Q722" s="75" t="str">
        <f>IF(AND(B722='111'!$L$11,OR($N722=$Q$7,$O722=$Q$7)),"x","")</f>
        <v/>
      </c>
      <c r="R722" s="75" t="str">
        <f>IF(AND($N722=$Q$7,$B722&lt;'111'!$L$11),"x","")</f>
        <v/>
      </c>
      <c r="S722" s="75" t="str">
        <f>IF(AND($O722=$Q$7,$B722&lt;'111'!$L$11),"x","")</f>
        <v/>
      </c>
      <c r="T722" s="75" t="str">
        <f>IF(ISERROR(FIND('112'!$M$9,G722,1)),"",IF((AND(FIND('112'!$M$9,G722,1)&gt;=1,B722='112'!$K$9,OR($N722='112'!$I$6,$O722='112'!$I$6))),"x",""))</f>
        <v/>
      </c>
      <c r="U722" s="75" t="str">
        <f>IF(ISERROR(FIND('112'!$M$9,G722,1)),"",IF((AND(LEFT(G722,2)=LEFT('112'!$M$9,2),B722&lt;'112'!$K$9,$N722='112'!$I$6)),"x",""))</f>
        <v/>
      </c>
      <c r="V722" s="75" t="str">
        <f>IF(ISERROR(FIND('112'!$M$9,G722,1)),"",IF((AND(RIGHT(G722,2)=RIGHT('112'!$M$9,2),B722&lt;'112'!$K$9,$O722='112'!$I$6)),"x",""))</f>
        <v/>
      </c>
      <c r="W722" s="75" t="str">
        <f>IF(AND('341-CT'!$H$9=H722,OR(LEFT(N722,3)=$W$7,LEFT(O722,3)=$W$7)),"x","")</f>
        <v/>
      </c>
      <c r="X722" s="75" t="str">
        <f>IF(OR(TH!N722=TH!$X$7,O722=TH!$X$7),"x","")</f>
        <v/>
      </c>
      <c r="Y722" s="75" t="str">
        <f>IF(AND(OR(N722="131",O722="131"),H722='131-CT'!$H$9),"x","")</f>
        <v/>
      </c>
      <c r="Z722" s="75"/>
      <c r="AA722" s="75" t="str">
        <f>IF(AND(MONTH(E722)='IN-NX'!$J$5,'IN-NX'!$D$7=D722),"x","")</f>
        <v/>
      </c>
      <c r="AB722" s="75" t="str">
        <f>IF(AND(OR(LEFT(TH!N722,2)="15",LEFT(TH!O722,2)="15"),LEFT(TH!O722,3)&lt;&gt;"111",'152-CT'!$J$8=TH!F722),"x","")</f>
        <v/>
      </c>
      <c r="AC722" s="75" t="str">
        <f>IF(AND(OR(LEFT(TH!N722,2)="15",LEFT(TH!O722,2)="15"),TK!$E$7=TH!F722),"x","")</f>
        <v/>
      </c>
      <c r="AD722" s="75" t="str">
        <f>IF(AND(N722="1521",MONTH(C722)='BK-NL'!$M$11),"x","")</f>
        <v/>
      </c>
      <c r="AE722">
        <v>10</v>
      </c>
    </row>
    <row r="723" spans="1:31" ht="16.5" customHeight="1">
      <c r="A723" s="309" t="str">
        <f>IF(B723&lt;&gt;"",IF(AND(B723='IN-TC'!$S$4,OR(TH!N723="1111",TH!O723="1111")),TH!D723,""),"")</f>
        <v/>
      </c>
      <c r="B723" s="1244">
        <f t="shared" ref="B723:B725" si="100">IF(C723&lt;&gt;"",MONTH(C723),"")</f>
        <v>10</v>
      </c>
      <c r="C723" s="929">
        <v>43035</v>
      </c>
      <c r="D723" s="929" t="s">
        <v>530</v>
      </c>
      <c r="E723" s="929">
        <v>43035</v>
      </c>
      <c r="F723" s="930" t="s">
        <v>808</v>
      </c>
      <c r="G723" s="931" t="s">
        <v>2368</v>
      </c>
      <c r="H723" s="296" t="s">
        <v>622</v>
      </c>
      <c r="I723" s="371"/>
      <c r="J723" s="932"/>
      <c r="K723" s="371"/>
      <c r="L723" s="377"/>
      <c r="M723" s="933">
        <v>54600000</v>
      </c>
      <c r="N723" s="934" t="s">
        <v>539</v>
      </c>
      <c r="O723" s="934" t="s">
        <v>8</v>
      </c>
      <c r="P723" s="75" t="str">
        <f>IF(AND('331-CT'!$E$7=TH!H723,OR(N723="331",O723="331")),"x","")</f>
        <v/>
      </c>
      <c r="Q723" s="75" t="str">
        <f>IF(AND(B723='111'!$L$11,OR($N723=$Q$7,$O723=$Q$7)),"x","")</f>
        <v/>
      </c>
      <c r="R723" s="75" t="str">
        <f>IF(AND($N723=$Q$7,$B723&lt;'111'!$L$11),"x","")</f>
        <v/>
      </c>
      <c r="S723" s="75" t="str">
        <f>IF(AND($O723=$Q$7,$B723&lt;'111'!$L$11),"x","")</f>
        <v/>
      </c>
      <c r="T723" s="75" t="str">
        <f>IF(ISERROR(FIND('112'!$M$9,G723,1)),"",IF((AND(FIND('112'!$M$9,G723,1)&gt;=1,B723='112'!$K$9,OR($N723='112'!$I$6,$O723='112'!$I$6))),"x",""))</f>
        <v/>
      </c>
      <c r="U723" s="75" t="str">
        <f>IF(ISERROR(FIND('112'!$M$9,G723,1)),"",IF((AND(LEFT(G723,2)=LEFT('112'!$M$9,2),B723&lt;'112'!$K$9,$N723='112'!$I$6)),"x",""))</f>
        <v/>
      </c>
      <c r="V723" s="75" t="str">
        <f>IF(ISERROR(FIND('112'!$M$9,G723,1)),"",IF((AND(RIGHT(G723,2)=RIGHT('112'!$M$9,2),B723&lt;'112'!$K$9,$O723='112'!$I$6)),"x",""))</f>
        <v/>
      </c>
      <c r="W723" s="75" t="str">
        <f>IF(AND('341-CT'!$H$9=H723,OR(LEFT(N723,3)=$W$7,LEFT(O723,3)=$W$7)),"x","")</f>
        <v/>
      </c>
      <c r="X723" s="75" t="str">
        <f>IF(OR(TH!N723=TH!$X$7,O723=TH!$X$7),"x","")</f>
        <v/>
      </c>
      <c r="Y723" s="75" t="str">
        <f>IF(AND(OR(N723="131",O723="131"),H723='131-CT'!$H$9),"x","")</f>
        <v/>
      </c>
      <c r="Z723" s="75"/>
      <c r="AA723" s="75" t="str">
        <f>IF(AND(MONTH(E723)='IN-NX'!$J$5,'IN-NX'!$D$7=D723),"x","")</f>
        <v/>
      </c>
      <c r="AB723" s="75" t="str">
        <f>IF(AND(OR(LEFT(TH!N723,2)="15",LEFT(TH!O723,2)="15"),LEFT(TH!O723,3)&lt;&gt;"111",'152-CT'!$J$8=TH!F723),"x","")</f>
        <v/>
      </c>
      <c r="AC723" s="75" t="str">
        <f>IF(AND(OR(LEFT(TH!N723,2)="15",LEFT(TH!O723,2)="15"),TK!$E$7=TH!F723),"x","")</f>
        <v/>
      </c>
      <c r="AD723" s="75" t="str">
        <f>IF(AND(N723="1521",MONTH(C723)='BK-NL'!$M$11),"x","")</f>
        <v/>
      </c>
    </row>
    <row r="724" spans="1:31" ht="16.5" customHeight="1">
      <c r="A724" s="309" t="str">
        <f>IF(B724&lt;&gt;"",IF(AND(B724='IN-TC'!$S$4,OR(TH!N724="1111",TH!O724="1111")),TH!D724,""),"")</f>
        <v/>
      </c>
      <c r="B724" s="1244">
        <f t="shared" si="100"/>
        <v>10</v>
      </c>
      <c r="C724" s="929">
        <v>43035</v>
      </c>
      <c r="D724" s="929" t="s">
        <v>530</v>
      </c>
      <c r="E724" s="929">
        <v>43035</v>
      </c>
      <c r="F724" s="930" t="s">
        <v>810</v>
      </c>
      <c r="G724" s="931" t="s">
        <v>2369</v>
      </c>
      <c r="H724" s="296" t="s">
        <v>622</v>
      </c>
      <c r="I724" s="371"/>
      <c r="J724" s="932"/>
      <c r="K724" s="371"/>
      <c r="L724" s="377"/>
      <c r="M724" s="933">
        <v>21089250</v>
      </c>
      <c r="N724" s="934" t="s">
        <v>539</v>
      </c>
      <c r="O724" s="934" t="s">
        <v>8</v>
      </c>
      <c r="P724" s="75" t="str">
        <f>IF(AND('331-CT'!$E$7=TH!H724,OR(N724="331",O724="331")),"x","")</f>
        <v/>
      </c>
      <c r="Q724" s="75" t="str">
        <f>IF(AND(B724='111'!$L$11,OR($N724=$Q$7,$O724=$Q$7)),"x","")</f>
        <v/>
      </c>
      <c r="R724" s="75" t="str">
        <f>IF(AND($N724=$Q$7,$B724&lt;'111'!$L$11),"x","")</f>
        <v/>
      </c>
      <c r="S724" s="75" t="str">
        <f>IF(AND($O724=$Q$7,$B724&lt;'111'!$L$11),"x","")</f>
        <v/>
      </c>
      <c r="T724" s="75" t="str">
        <f>IF(ISERROR(FIND('112'!$M$9,G724,1)),"",IF((AND(FIND('112'!$M$9,G724,1)&gt;=1,B724='112'!$K$9,OR($N724='112'!$I$6,$O724='112'!$I$6))),"x",""))</f>
        <v/>
      </c>
      <c r="U724" s="75" t="str">
        <f>IF(ISERROR(FIND('112'!$M$9,G724,1)),"",IF((AND(LEFT(G724,2)=LEFT('112'!$M$9,2),B724&lt;'112'!$K$9,$N724='112'!$I$6)),"x",""))</f>
        <v/>
      </c>
      <c r="V724" s="75" t="str">
        <f>IF(ISERROR(FIND('112'!$M$9,G724,1)),"",IF((AND(RIGHT(G724,2)=RIGHT('112'!$M$9,2),B724&lt;'112'!$K$9,$O724='112'!$I$6)),"x",""))</f>
        <v/>
      </c>
      <c r="W724" s="75" t="str">
        <f>IF(AND('341-CT'!$H$9=H724,OR(LEFT(N724,3)=$W$7,LEFT(O724,3)=$W$7)),"x","")</f>
        <v/>
      </c>
      <c r="X724" s="75" t="str">
        <f>IF(OR(TH!N724=TH!$X$7,O724=TH!$X$7),"x","")</f>
        <v/>
      </c>
      <c r="Y724" s="75" t="str">
        <f>IF(AND(OR(N724="131",O724="131"),H724='131-CT'!$H$9),"x","")</f>
        <v/>
      </c>
      <c r="Z724" s="75"/>
      <c r="AA724" s="75" t="str">
        <f>IF(AND(MONTH(E724)='IN-NX'!$J$5,'IN-NX'!$D$7=D724),"x","")</f>
        <v/>
      </c>
      <c r="AB724" s="75" t="str">
        <f>IF(AND(OR(LEFT(TH!N724,2)="15",LEFT(TH!O724,2)="15"),LEFT(TH!O724,3)&lt;&gt;"111",'152-CT'!$J$8=TH!F724),"x","")</f>
        <v/>
      </c>
      <c r="AC724" s="75" t="str">
        <f>IF(AND(OR(LEFT(TH!N724,2)="15",LEFT(TH!O724,2)="15"),TK!$E$7=TH!F724),"x","")</f>
        <v/>
      </c>
      <c r="AD724" s="75" t="str">
        <f>IF(AND(N724="1521",MONTH(C724)='BK-NL'!$M$11),"x","")</f>
        <v/>
      </c>
      <c r="AE724">
        <v>10</v>
      </c>
    </row>
    <row r="725" spans="1:31" ht="16.5" customHeight="1">
      <c r="A725" s="309" t="str">
        <f>IF(B725&lt;&gt;"",IF(AND(B725='IN-TC'!$S$4,OR(TH!N725="1111",TH!O725="1111")),TH!D725,""),"")</f>
        <v/>
      </c>
      <c r="B725" s="1244">
        <f t="shared" si="100"/>
        <v>10</v>
      </c>
      <c r="C725" s="929">
        <v>43035</v>
      </c>
      <c r="D725" s="929" t="s">
        <v>530</v>
      </c>
      <c r="E725" s="929">
        <v>43035</v>
      </c>
      <c r="F725" s="930" t="s">
        <v>811</v>
      </c>
      <c r="G725" s="931" t="s">
        <v>2369</v>
      </c>
      <c r="H725" s="296" t="s">
        <v>622</v>
      </c>
      <c r="I725" s="371"/>
      <c r="J725" s="932"/>
      <c r="K725" s="371"/>
      <c r="L725" s="377"/>
      <c r="M725" s="933">
        <v>2108925</v>
      </c>
      <c r="N725" s="934" t="s">
        <v>9</v>
      </c>
      <c r="O725" s="934" t="s">
        <v>8</v>
      </c>
      <c r="P725" s="75" t="str">
        <f>IF(AND('331-CT'!$E$7=TH!H725,OR(N725="331",O725="331")),"x","")</f>
        <v/>
      </c>
      <c r="Q725" s="75" t="str">
        <f>IF(AND(B725='111'!$L$11,OR($N725=$Q$7,$O725=$Q$7)),"x","")</f>
        <v/>
      </c>
      <c r="R725" s="75" t="str">
        <f>IF(AND($N725=$Q$7,$B725&lt;'111'!$L$11),"x","")</f>
        <v/>
      </c>
      <c r="S725" s="75" t="str">
        <f>IF(AND($O725=$Q$7,$B725&lt;'111'!$L$11),"x","")</f>
        <v/>
      </c>
      <c r="T725" s="75" t="str">
        <f>IF(ISERROR(FIND('112'!$M$9,G725,1)),"",IF((AND(FIND('112'!$M$9,G725,1)&gt;=1,B725='112'!$K$9,OR($N725='112'!$I$6,$O725='112'!$I$6))),"x",""))</f>
        <v/>
      </c>
      <c r="U725" s="75" t="str">
        <f>IF(ISERROR(FIND('112'!$M$9,G725,1)),"",IF((AND(LEFT(G725,2)=LEFT('112'!$M$9,2),B725&lt;'112'!$K$9,$N725='112'!$I$6)),"x",""))</f>
        <v/>
      </c>
      <c r="V725" s="75" t="str">
        <f>IF(ISERROR(FIND('112'!$M$9,G725,1)),"",IF((AND(RIGHT(G725,2)=RIGHT('112'!$M$9,2),B725&lt;'112'!$K$9,$O725='112'!$I$6)),"x",""))</f>
        <v/>
      </c>
      <c r="W725" s="75" t="str">
        <f>IF(AND('341-CT'!$H$9=H725,OR(LEFT(N725,3)=$W$7,LEFT(O725,3)=$W$7)),"x","")</f>
        <v/>
      </c>
      <c r="X725" s="75" t="str">
        <f>IF(OR(TH!N725=TH!$X$7,O725=TH!$X$7),"x","")</f>
        <v/>
      </c>
      <c r="Y725" s="75" t="str">
        <f>IF(AND(OR(N725="131",O725="131"),H725='131-CT'!$H$9),"x","")</f>
        <v/>
      </c>
      <c r="Z725" s="75"/>
      <c r="AA725" s="75" t="str">
        <f>IF(AND(MONTH(E725)='IN-NX'!$J$5,'IN-NX'!$D$7=D725),"x","")</f>
        <v/>
      </c>
      <c r="AB725" s="75" t="str">
        <f>IF(AND(OR(LEFT(TH!N725,2)="15",LEFT(TH!O725,2)="15"),LEFT(TH!O725,3)&lt;&gt;"111",'152-CT'!$J$8=TH!F725),"x","")</f>
        <v/>
      </c>
      <c r="AC725" s="75" t="str">
        <f>IF(AND(OR(LEFT(TH!N725,2)="15",LEFT(TH!O725,2)="15"),TK!$E$7=TH!F725),"x","")</f>
        <v/>
      </c>
      <c r="AD725" s="75" t="str">
        <f>IF(AND(N725="1521",MONTH(C725)='BK-NL'!$M$11),"x","")</f>
        <v/>
      </c>
      <c r="AE725">
        <v>10</v>
      </c>
    </row>
    <row r="726" spans="1:31" ht="16.5" customHeight="1">
      <c r="A726" s="309" t="str">
        <f>IF(B726&lt;&gt;"",IF(AND(B726='IN-TC'!$S$4,OR(TH!N726="1111",TH!O726="1111")),TH!D726,""),"")</f>
        <v/>
      </c>
      <c r="B726" s="1244">
        <f t="shared" ref="B726:B728" si="101">IF(C726&lt;&gt;"",MONTH(C726),"")</f>
        <v>10</v>
      </c>
      <c r="C726" s="929">
        <v>43035</v>
      </c>
      <c r="D726" s="929" t="s">
        <v>530</v>
      </c>
      <c r="E726" s="929">
        <v>43035</v>
      </c>
      <c r="F726" s="930" t="s">
        <v>808</v>
      </c>
      <c r="G726" s="931" t="s">
        <v>2370</v>
      </c>
      <c r="H726" s="296" t="s">
        <v>622</v>
      </c>
      <c r="I726" s="371"/>
      <c r="J726" s="932"/>
      <c r="K726" s="371"/>
      <c r="L726" s="377"/>
      <c r="M726" s="933">
        <v>118300000</v>
      </c>
      <c r="N726" s="934" t="s">
        <v>539</v>
      </c>
      <c r="O726" s="934" t="s">
        <v>8</v>
      </c>
      <c r="P726" s="75" t="str">
        <f>IF(AND('331-CT'!$E$7=TH!H726,OR(N726="331",O726="331")),"x","")</f>
        <v/>
      </c>
      <c r="Q726" s="75" t="str">
        <f>IF(AND(B726='111'!$L$11,OR($N726=$Q$7,$O726=$Q$7)),"x","")</f>
        <v/>
      </c>
      <c r="R726" s="75" t="str">
        <f>IF(AND($N726=$Q$7,$B726&lt;'111'!$L$11),"x","")</f>
        <v/>
      </c>
      <c r="S726" s="75" t="str">
        <f>IF(AND($O726=$Q$7,$B726&lt;'111'!$L$11),"x","")</f>
        <v/>
      </c>
      <c r="T726" s="75" t="str">
        <f>IF(ISERROR(FIND('112'!$M$9,G726,1)),"",IF((AND(FIND('112'!$M$9,G726,1)&gt;=1,B726='112'!$K$9,OR($N726='112'!$I$6,$O726='112'!$I$6))),"x",""))</f>
        <v/>
      </c>
      <c r="U726" s="75" t="str">
        <f>IF(ISERROR(FIND('112'!$M$9,G726,1)),"",IF((AND(LEFT(G726,2)=LEFT('112'!$M$9,2),B726&lt;'112'!$K$9,$N726='112'!$I$6)),"x",""))</f>
        <v/>
      </c>
      <c r="V726" s="75" t="str">
        <f>IF(ISERROR(FIND('112'!$M$9,G726,1)),"",IF((AND(RIGHT(G726,2)=RIGHT('112'!$M$9,2),B726&lt;'112'!$K$9,$O726='112'!$I$6)),"x",""))</f>
        <v/>
      </c>
      <c r="W726" s="75" t="str">
        <f>IF(AND('341-CT'!$H$9=H726,OR(LEFT(N726,3)=$W$7,LEFT(O726,3)=$W$7)),"x","")</f>
        <v/>
      </c>
      <c r="X726" s="75" t="str">
        <f>IF(OR(TH!N726=TH!$X$7,O726=TH!$X$7),"x","")</f>
        <v/>
      </c>
      <c r="Y726" s="75" t="str">
        <f>IF(AND(OR(N726="131",O726="131"),H726='131-CT'!$H$9),"x","")</f>
        <v/>
      </c>
      <c r="Z726" s="75"/>
      <c r="AA726" s="75" t="str">
        <f>IF(AND(MONTH(E726)='IN-NX'!$J$5,'IN-NX'!$D$7=D726),"x","")</f>
        <v/>
      </c>
      <c r="AB726" s="75" t="str">
        <f>IF(AND(OR(LEFT(TH!N726,2)="15",LEFT(TH!O726,2)="15"),LEFT(TH!O726,3)&lt;&gt;"111",'152-CT'!$J$8=TH!F726),"x","")</f>
        <v/>
      </c>
      <c r="AC726" s="75" t="str">
        <f>IF(AND(OR(LEFT(TH!N726,2)="15",LEFT(TH!O726,2)="15"),TK!$E$7=TH!F726),"x","")</f>
        <v/>
      </c>
      <c r="AD726" s="75" t="str">
        <f>IF(AND(N726="1521",MONTH(C726)='BK-NL'!$M$11),"x","")</f>
        <v/>
      </c>
    </row>
    <row r="727" spans="1:31" ht="16.5" customHeight="1">
      <c r="A727" s="309" t="str">
        <f>IF(B727&lt;&gt;"",IF(AND(B727='IN-TC'!$S$4,OR(TH!N727="1111",TH!O727="1111")),TH!D727,""),"")</f>
        <v/>
      </c>
      <c r="B727" s="1244">
        <f t="shared" si="101"/>
        <v>10</v>
      </c>
      <c r="C727" s="929">
        <v>43035</v>
      </c>
      <c r="D727" s="929" t="s">
        <v>530</v>
      </c>
      <c r="E727" s="929">
        <v>43035</v>
      </c>
      <c r="F727" s="930" t="s">
        <v>810</v>
      </c>
      <c r="G727" s="931" t="s">
        <v>2371</v>
      </c>
      <c r="H727" s="296" t="s">
        <v>622</v>
      </c>
      <c r="I727" s="371"/>
      <c r="J727" s="932"/>
      <c r="K727" s="371"/>
      <c r="L727" s="377"/>
      <c r="M727" s="933">
        <v>21771750</v>
      </c>
      <c r="N727" s="934" t="s">
        <v>539</v>
      </c>
      <c r="O727" s="934" t="s">
        <v>8</v>
      </c>
      <c r="P727" s="75" t="str">
        <f>IF(AND('331-CT'!$E$7=TH!H727,OR(N727="331",O727="331")),"x","")</f>
        <v/>
      </c>
      <c r="Q727" s="75" t="str">
        <f>IF(AND(B727='111'!$L$11,OR($N727=$Q$7,$O727=$Q$7)),"x","")</f>
        <v/>
      </c>
      <c r="R727" s="75" t="str">
        <f>IF(AND($N727=$Q$7,$B727&lt;'111'!$L$11),"x","")</f>
        <v/>
      </c>
      <c r="S727" s="75" t="str">
        <f>IF(AND($O727=$Q$7,$B727&lt;'111'!$L$11),"x","")</f>
        <v/>
      </c>
      <c r="T727" s="75" t="str">
        <f>IF(ISERROR(FIND('112'!$M$9,G727,1)),"",IF((AND(FIND('112'!$M$9,G727,1)&gt;=1,B727='112'!$K$9,OR($N727='112'!$I$6,$O727='112'!$I$6))),"x",""))</f>
        <v/>
      </c>
      <c r="U727" s="75" t="str">
        <f>IF(ISERROR(FIND('112'!$M$9,G727,1)),"",IF((AND(LEFT(G727,2)=LEFT('112'!$M$9,2),B727&lt;'112'!$K$9,$N727='112'!$I$6)),"x",""))</f>
        <v/>
      </c>
      <c r="V727" s="75" t="str">
        <f>IF(ISERROR(FIND('112'!$M$9,G727,1)),"",IF((AND(RIGHT(G727,2)=RIGHT('112'!$M$9,2),B727&lt;'112'!$K$9,$O727='112'!$I$6)),"x",""))</f>
        <v/>
      </c>
      <c r="W727" s="75" t="str">
        <f>IF(AND('341-CT'!$H$9=H727,OR(LEFT(N727,3)=$W$7,LEFT(O727,3)=$W$7)),"x","")</f>
        <v/>
      </c>
      <c r="X727" s="75" t="str">
        <f>IF(OR(TH!N727=TH!$X$7,O727=TH!$X$7),"x","")</f>
        <v/>
      </c>
      <c r="Y727" s="75" t="str">
        <f>IF(AND(OR(N727="131",O727="131"),H727='131-CT'!$H$9),"x","")</f>
        <v/>
      </c>
      <c r="Z727" s="75"/>
      <c r="AA727" s="75" t="str">
        <f>IF(AND(MONTH(E727)='IN-NX'!$J$5,'IN-NX'!$D$7=D727),"x","")</f>
        <v/>
      </c>
      <c r="AB727" s="75" t="str">
        <f>IF(AND(OR(LEFT(TH!N727,2)="15",LEFT(TH!O727,2)="15"),LEFT(TH!O727,3)&lt;&gt;"111",'152-CT'!$J$8=TH!F727),"x","")</f>
        <v/>
      </c>
      <c r="AC727" s="75" t="str">
        <f>IF(AND(OR(LEFT(TH!N727,2)="15",LEFT(TH!O727,2)="15"),TK!$E$7=TH!F727),"x","")</f>
        <v/>
      </c>
      <c r="AD727" s="75" t="str">
        <f>IF(AND(N727="1521",MONTH(C727)='BK-NL'!$M$11),"x","")</f>
        <v/>
      </c>
      <c r="AE727">
        <v>10</v>
      </c>
    </row>
    <row r="728" spans="1:31" ht="16.5" customHeight="1">
      <c r="A728" s="309" t="str">
        <f>IF(B728&lt;&gt;"",IF(AND(B728='IN-TC'!$S$4,OR(TH!N728="1111",TH!O728="1111")),TH!D728,""),"")</f>
        <v/>
      </c>
      <c r="B728" s="1244">
        <f t="shared" si="101"/>
        <v>10</v>
      </c>
      <c r="C728" s="929">
        <v>43035</v>
      </c>
      <c r="D728" s="929" t="s">
        <v>530</v>
      </c>
      <c r="E728" s="929">
        <v>43035</v>
      </c>
      <c r="F728" s="930" t="s">
        <v>811</v>
      </c>
      <c r="G728" s="931" t="s">
        <v>2371</v>
      </c>
      <c r="H728" s="296" t="s">
        <v>622</v>
      </c>
      <c r="I728" s="371"/>
      <c r="J728" s="932"/>
      <c r="K728" s="371"/>
      <c r="L728" s="377"/>
      <c r="M728" s="933">
        <v>2177175</v>
      </c>
      <c r="N728" s="934" t="s">
        <v>9</v>
      </c>
      <c r="O728" s="934" t="s">
        <v>8</v>
      </c>
      <c r="P728" s="75" t="str">
        <f>IF(AND('331-CT'!$E$7=TH!H728,OR(N728="331",O728="331")),"x","")</f>
        <v/>
      </c>
      <c r="Q728" s="75" t="str">
        <f>IF(AND(B728='111'!$L$11,OR($N728=$Q$7,$O728=$Q$7)),"x","")</f>
        <v/>
      </c>
      <c r="R728" s="75" t="str">
        <f>IF(AND($N728=$Q$7,$B728&lt;'111'!$L$11),"x","")</f>
        <v/>
      </c>
      <c r="S728" s="75" t="str">
        <f>IF(AND($O728=$Q$7,$B728&lt;'111'!$L$11),"x","")</f>
        <v/>
      </c>
      <c r="T728" s="75" t="str">
        <f>IF(ISERROR(FIND('112'!$M$9,G728,1)),"",IF((AND(FIND('112'!$M$9,G728,1)&gt;=1,B728='112'!$K$9,OR($N728='112'!$I$6,$O728='112'!$I$6))),"x",""))</f>
        <v/>
      </c>
      <c r="U728" s="75" t="str">
        <f>IF(ISERROR(FIND('112'!$M$9,G728,1)),"",IF((AND(LEFT(G728,2)=LEFT('112'!$M$9,2),B728&lt;'112'!$K$9,$N728='112'!$I$6)),"x",""))</f>
        <v/>
      </c>
      <c r="V728" s="75" t="str">
        <f>IF(ISERROR(FIND('112'!$M$9,G728,1)),"",IF((AND(RIGHT(G728,2)=RIGHT('112'!$M$9,2),B728&lt;'112'!$K$9,$O728='112'!$I$6)),"x",""))</f>
        <v/>
      </c>
      <c r="W728" s="75" t="str">
        <f>IF(AND('341-CT'!$H$9=H728,OR(LEFT(N728,3)=$W$7,LEFT(O728,3)=$W$7)),"x","")</f>
        <v/>
      </c>
      <c r="X728" s="75" t="str">
        <f>IF(OR(TH!N728=TH!$X$7,O728=TH!$X$7),"x","")</f>
        <v/>
      </c>
      <c r="Y728" s="75" t="str">
        <f>IF(AND(OR(N728="131",O728="131"),H728='131-CT'!$H$9),"x","")</f>
        <v/>
      </c>
      <c r="Z728" s="75"/>
      <c r="AA728" s="75" t="str">
        <f>IF(AND(MONTH(E728)='IN-NX'!$J$5,'IN-NX'!$D$7=D728),"x","")</f>
        <v/>
      </c>
      <c r="AB728" s="75" t="str">
        <f>IF(AND(OR(LEFT(TH!N728,2)="15",LEFT(TH!O728,2)="15"),LEFT(TH!O728,3)&lt;&gt;"111",'152-CT'!$J$8=TH!F728),"x","")</f>
        <v/>
      </c>
      <c r="AC728" s="75" t="str">
        <f>IF(AND(OR(LEFT(TH!N728,2)="15",LEFT(TH!O728,2)="15"),TK!$E$7=TH!F728),"x","")</f>
        <v/>
      </c>
      <c r="AD728" s="75" t="str">
        <f>IF(AND(N728="1521",MONTH(C728)='BK-NL'!$M$11),"x","")</f>
        <v/>
      </c>
      <c r="AE728">
        <v>10</v>
      </c>
    </row>
    <row r="729" spans="1:31" ht="16.5" customHeight="1">
      <c r="A729" s="309" t="str">
        <f>IF(B729&lt;&gt;"",IF(AND(B729='IN-TC'!$S$4,OR(TH!N729="1111",TH!O729="1111")),TH!D729,""),"")</f>
        <v/>
      </c>
      <c r="B729" s="1244">
        <f t="shared" ref="B729:B774" si="102">IF(C729&lt;&gt;"",MONTH(C729),"")</f>
        <v>10</v>
      </c>
      <c r="C729" s="929">
        <v>43038</v>
      </c>
      <c r="D729" s="929" t="s">
        <v>530</v>
      </c>
      <c r="E729" s="929">
        <v>43038</v>
      </c>
      <c r="F729" s="930" t="s">
        <v>811</v>
      </c>
      <c r="G729" s="931" t="s">
        <v>2372</v>
      </c>
      <c r="H729" s="296" t="s">
        <v>622</v>
      </c>
      <c r="I729" s="371"/>
      <c r="J729" s="932"/>
      <c r="K729" s="371"/>
      <c r="L729" s="377"/>
      <c r="M729" s="933">
        <v>81900000</v>
      </c>
      <c r="N729" s="934" t="s">
        <v>539</v>
      </c>
      <c r="O729" s="934" t="s">
        <v>8</v>
      </c>
      <c r="P729" s="75" t="str">
        <f>IF(AND('331-CT'!$E$7=TH!H729,OR(N729="331",O729="331")),"x","")</f>
        <v/>
      </c>
      <c r="Q729" s="75" t="str">
        <f>IF(AND(B729='111'!$L$11,OR($N729=$Q$7,$O729=$Q$7)),"x","")</f>
        <v/>
      </c>
      <c r="R729" s="75" t="str">
        <f>IF(AND($N729=$Q$7,$B729&lt;'111'!$L$11),"x","")</f>
        <v/>
      </c>
      <c r="S729" s="75" t="str">
        <f>IF(AND($O729=$Q$7,$B729&lt;'111'!$L$11),"x","")</f>
        <v/>
      </c>
      <c r="T729" s="75" t="str">
        <f>IF(ISERROR(FIND('112'!$M$9,G729,1)),"",IF((AND(FIND('112'!$M$9,G729,1)&gt;=1,B729='112'!$K$9,OR($N729='112'!$I$6,$O729='112'!$I$6))),"x",""))</f>
        <v/>
      </c>
      <c r="U729" s="75" t="str">
        <f>IF(ISERROR(FIND('112'!$M$9,G729,1)),"",IF((AND(LEFT(G729,2)=LEFT('112'!$M$9,2),B729&lt;'112'!$K$9,$N729='112'!$I$6)),"x",""))</f>
        <v/>
      </c>
      <c r="V729" s="75" t="str">
        <f>IF(ISERROR(FIND('112'!$M$9,G729,1)),"",IF((AND(RIGHT(G729,2)=RIGHT('112'!$M$9,2),B729&lt;'112'!$K$9,$O729='112'!$I$6)),"x",""))</f>
        <v/>
      </c>
      <c r="W729" s="75" t="str">
        <f>IF(AND('341-CT'!$H$9=H729,OR(LEFT(N729,3)=$W$7,LEFT(O729,3)=$W$7)),"x","")</f>
        <v/>
      </c>
      <c r="X729" s="75" t="str">
        <f>IF(OR(TH!N729=TH!$X$7,O729=TH!$X$7),"x","")</f>
        <v/>
      </c>
      <c r="Y729" s="75" t="str">
        <f>IF(AND(OR(N729="131",O729="131"),H729='131-CT'!$H$9),"x","")</f>
        <v/>
      </c>
      <c r="Z729" s="75"/>
      <c r="AA729" s="75" t="str">
        <f>IF(AND(MONTH(E729)='IN-NX'!$J$5,'IN-NX'!$D$7=D729),"x","")</f>
        <v/>
      </c>
      <c r="AB729" s="75" t="str">
        <f>IF(AND(OR(LEFT(TH!N729,2)="15",LEFT(TH!O729,2)="15"),LEFT(TH!O729,3)&lt;&gt;"111",'152-CT'!$J$8=TH!F729),"x","")</f>
        <v/>
      </c>
      <c r="AC729" s="75" t="str">
        <f>IF(AND(OR(LEFT(TH!N729,2)="15",LEFT(TH!O729,2)="15"),TK!$E$7=TH!F729),"x","")</f>
        <v/>
      </c>
      <c r="AD729" s="75" t="str">
        <f>IF(AND(N729="1521",MONTH(C729)='BK-NL'!$M$11),"x","")</f>
        <v/>
      </c>
    </row>
    <row r="730" spans="1:31" ht="16.5" customHeight="1">
      <c r="A730" s="309" t="str">
        <f>IF(B730&lt;&gt;"",IF(AND(B730='IN-TC'!$S$4,OR(TH!N730="1111",TH!O730="1111")),TH!D730,""),"")</f>
        <v/>
      </c>
      <c r="B730" s="1244">
        <f t="shared" si="102"/>
        <v>10</v>
      </c>
      <c r="C730" s="929">
        <v>43038</v>
      </c>
      <c r="D730" s="929" t="s">
        <v>530</v>
      </c>
      <c r="E730" s="929">
        <v>43038</v>
      </c>
      <c r="F730" s="930" t="s">
        <v>810</v>
      </c>
      <c r="G730" s="931" t="s">
        <v>2373</v>
      </c>
      <c r="H730" s="296" t="s">
        <v>622</v>
      </c>
      <c r="I730" s="371"/>
      <c r="J730" s="932"/>
      <c r="K730" s="371"/>
      <c r="L730" s="377"/>
      <c r="M730" s="933">
        <v>31008250</v>
      </c>
      <c r="N730" s="934" t="s">
        <v>539</v>
      </c>
      <c r="O730" s="934" t="s">
        <v>8</v>
      </c>
      <c r="P730" s="75" t="str">
        <f>IF(AND('331-CT'!$E$7=TH!H730,OR(N730="331",O730="331")),"x","")</f>
        <v/>
      </c>
      <c r="Q730" s="75" t="str">
        <f>IF(AND(B730='111'!$L$11,OR($N730=$Q$7,$O730=$Q$7)),"x","")</f>
        <v/>
      </c>
      <c r="R730" s="75" t="str">
        <f>IF(AND($N730=$Q$7,$B730&lt;'111'!$L$11),"x","")</f>
        <v/>
      </c>
      <c r="S730" s="75" t="str">
        <f>IF(AND($O730=$Q$7,$B730&lt;'111'!$L$11),"x","")</f>
        <v/>
      </c>
      <c r="T730" s="75" t="str">
        <f>IF(ISERROR(FIND('112'!$M$9,G730,1)),"",IF((AND(FIND('112'!$M$9,G730,1)&gt;=1,B730='112'!$K$9,OR($N730='112'!$I$6,$O730='112'!$I$6))),"x",""))</f>
        <v/>
      </c>
      <c r="U730" s="75" t="str">
        <f>IF(ISERROR(FIND('112'!$M$9,G730,1)),"",IF((AND(LEFT(G730,2)=LEFT('112'!$M$9,2),B730&lt;'112'!$K$9,$N730='112'!$I$6)),"x",""))</f>
        <v/>
      </c>
      <c r="V730" s="75" t="str">
        <f>IF(ISERROR(FIND('112'!$M$9,G730,1)),"",IF((AND(RIGHT(G730,2)=RIGHT('112'!$M$9,2),B730&lt;'112'!$K$9,$O730='112'!$I$6)),"x",""))</f>
        <v/>
      </c>
      <c r="W730" s="75" t="str">
        <f>IF(AND('341-CT'!$H$9=H730,OR(LEFT(N730,3)=$W$7,LEFT(O730,3)=$W$7)),"x","")</f>
        <v/>
      </c>
      <c r="X730" s="75" t="str">
        <f>IF(OR(TH!N730=TH!$X$7,O730=TH!$X$7),"x","")</f>
        <v/>
      </c>
      <c r="Y730" s="75" t="str">
        <f>IF(AND(OR(N730="131",O730="131"),H730='131-CT'!$H$9),"x","")</f>
        <v/>
      </c>
      <c r="Z730" s="75"/>
      <c r="AA730" s="75" t="str">
        <f>IF(AND(MONTH(E730)='IN-NX'!$J$5,'IN-NX'!$D$7=D730),"x","")</f>
        <v/>
      </c>
      <c r="AB730" s="75" t="str">
        <f>IF(AND(OR(LEFT(TH!N730,2)="15",LEFT(TH!O730,2)="15"),LEFT(TH!O730,3)&lt;&gt;"111",'152-CT'!$J$8=TH!F730),"x","")</f>
        <v/>
      </c>
      <c r="AC730" s="75" t="str">
        <f>IF(AND(OR(LEFT(TH!N730,2)="15",LEFT(TH!O730,2)="15"),TK!$E$7=TH!F730),"x","")</f>
        <v/>
      </c>
      <c r="AD730" s="75" t="str">
        <f>IF(AND(N730="1521",MONTH(C730)='BK-NL'!$M$11),"x","")</f>
        <v/>
      </c>
      <c r="AE730">
        <v>10</v>
      </c>
    </row>
    <row r="731" spans="1:31" ht="16.5" customHeight="1">
      <c r="A731" s="309" t="str">
        <f>IF(B731&lt;&gt;"",IF(AND(B731='IN-TC'!$S$4,OR(TH!N731="1111",TH!O731="1111")),TH!D731,""),"")</f>
        <v/>
      </c>
      <c r="B731" s="1244">
        <f t="shared" si="102"/>
        <v>10</v>
      </c>
      <c r="C731" s="929">
        <v>43038</v>
      </c>
      <c r="D731" s="929" t="s">
        <v>530</v>
      </c>
      <c r="E731" s="929">
        <v>43038</v>
      </c>
      <c r="F731" s="930" t="s">
        <v>811</v>
      </c>
      <c r="G731" s="931" t="s">
        <v>2373</v>
      </c>
      <c r="H731" s="296" t="s">
        <v>622</v>
      </c>
      <c r="I731" s="371"/>
      <c r="J731" s="932"/>
      <c r="K731" s="371"/>
      <c r="L731" s="377"/>
      <c r="M731" s="933">
        <v>3100825</v>
      </c>
      <c r="N731" s="934" t="s">
        <v>9</v>
      </c>
      <c r="O731" s="934" t="s">
        <v>8</v>
      </c>
      <c r="P731" s="75" t="str">
        <f>IF(AND('331-CT'!$E$7=TH!H731,OR(N731="331",O731="331")),"x","")</f>
        <v/>
      </c>
      <c r="Q731" s="75" t="str">
        <f>IF(AND(B731='111'!$L$11,OR($N731=$Q$7,$O731=$Q$7)),"x","")</f>
        <v/>
      </c>
      <c r="R731" s="75" t="str">
        <f>IF(AND($N731=$Q$7,$B731&lt;'111'!$L$11),"x","")</f>
        <v/>
      </c>
      <c r="S731" s="75" t="str">
        <f>IF(AND($O731=$Q$7,$B731&lt;'111'!$L$11),"x","")</f>
        <v/>
      </c>
      <c r="T731" s="75" t="str">
        <f>IF(ISERROR(FIND('112'!$M$9,G731,1)),"",IF((AND(FIND('112'!$M$9,G731,1)&gt;=1,B731='112'!$K$9,OR($N731='112'!$I$6,$O731='112'!$I$6))),"x",""))</f>
        <v/>
      </c>
      <c r="U731" s="75" t="str">
        <f>IF(ISERROR(FIND('112'!$M$9,G731,1)),"",IF((AND(LEFT(G731,2)=LEFT('112'!$M$9,2),B731&lt;'112'!$K$9,$N731='112'!$I$6)),"x",""))</f>
        <v/>
      </c>
      <c r="V731" s="75" t="str">
        <f>IF(ISERROR(FIND('112'!$M$9,G731,1)),"",IF((AND(RIGHT(G731,2)=RIGHT('112'!$M$9,2),B731&lt;'112'!$K$9,$O731='112'!$I$6)),"x",""))</f>
        <v/>
      </c>
      <c r="W731" s="75" t="str">
        <f>IF(AND('341-CT'!$H$9=H731,OR(LEFT(N731,3)=$W$7,LEFT(O731,3)=$W$7)),"x","")</f>
        <v/>
      </c>
      <c r="X731" s="75" t="str">
        <f>IF(OR(TH!N731=TH!$X$7,O731=TH!$X$7),"x","")</f>
        <v/>
      </c>
      <c r="Y731" s="75" t="str">
        <f>IF(AND(OR(N731="131",O731="131"),H731='131-CT'!$H$9),"x","")</f>
        <v/>
      </c>
      <c r="Z731" s="75"/>
      <c r="AA731" s="75" t="str">
        <f>IF(AND(MONTH(E731)='IN-NX'!$J$5,'IN-NX'!$D$7=D731),"x","")</f>
        <v/>
      </c>
      <c r="AB731" s="75" t="str">
        <f>IF(AND(OR(LEFT(TH!N731,2)="15",LEFT(TH!O731,2)="15"),LEFT(TH!O731,3)&lt;&gt;"111",'152-CT'!$J$8=TH!F731),"x","")</f>
        <v/>
      </c>
      <c r="AC731" s="75" t="str">
        <f>IF(AND(OR(LEFT(TH!N731,2)="15",LEFT(TH!O731,2)="15"),TK!$E$7=TH!F731),"x","")</f>
        <v/>
      </c>
      <c r="AD731" s="75" t="str">
        <f>IF(AND(N731="1521",MONTH(C731)='BK-NL'!$M$11),"x","")</f>
        <v/>
      </c>
      <c r="AE731">
        <v>10</v>
      </c>
    </row>
    <row r="732" spans="1:31" ht="16.5" customHeight="1">
      <c r="A732" s="309" t="str">
        <f>IF(B732&lt;&gt;"",IF(AND(B732='IN-TC'!$S$4,OR(TH!N732="1111",TH!O732="1111")),TH!D732,""),"")</f>
        <v/>
      </c>
      <c r="B732" s="1244">
        <f t="shared" si="102"/>
        <v>10</v>
      </c>
      <c r="C732" s="929">
        <v>43036</v>
      </c>
      <c r="D732" s="929" t="s">
        <v>530</v>
      </c>
      <c r="E732" s="929">
        <v>43036</v>
      </c>
      <c r="F732" s="930" t="s">
        <v>2584</v>
      </c>
      <c r="G732" s="931" t="s">
        <v>2583</v>
      </c>
      <c r="H732" s="735" t="s">
        <v>739</v>
      </c>
      <c r="I732" s="371"/>
      <c r="J732" s="932"/>
      <c r="K732" s="371"/>
      <c r="L732" s="377"/>
      <c r="M732" s="933">
        <v>9257580</v>
      </c>
      <c r="N732" s="934" t="s">
        <v>539</v>
      </c>
      <c r="O732" s="934" t="s">
        <v>8</v>
      </c>
      <c r="P732" s="75" t="str">
        <f>IF(AND('331-CT'!$E$7=TH!H732,OR(N732="331",O732="331")),"x","")</f>
        <v/>
      </c>
      <c r="Q732" s="75" t="str">
        <f>IF(AND(B732='111'!$L$11,OR($N732=$Q$7,$O732=$Q$7)),"x","")</f>
        <v/>
      </c>
      <c r="R732" s="75" t="str">
        <f>IF(AND($N732=$Q$7,$B732&lt;'111'!$L$11),"x","")</f>
        <v/>
      </c>
      <c r="S732" s="75" t="str">
        <f>IF(AND($O732=$Q$7,$B732&lt;'111'!$L$11),"x","")</f>
        <v/>
      </c>
      <c r="T732" s="75" t="str">
        <f>IF(ISERROR(FIND('112'!$M$9,G732,1)),"",IF((AND(FIND('112'!$M$9,G732,1)&gt;=1,B732='112'!$K$9,OR($N732='112'!$I$6,$O732='112'!$I$6))),"x",""))</f>
        <v/>
      </c>
      <c r="U732" s="75" t="str">
        <f>IF(ISERROR(FIND('112'!$M$9,G732,1)),"",IF((AND(LEFT(G732,2)=LEFT('112'!$M$9,2),B732&lt;'112'!$K$9,$N732='112'!$I$6)),"x",""))</f>
        <v/>
      </c>
      <c r="V732" s="75" t="str">
        <f>IF(ISERROR(FIND('112'!$M$9,G732,1)),"",IF((AND(RIGHT(G732,2)=RIGHT('112'!$M$9,2),B732&lt;'112'!$K$9,$O732='112'!$I$6)),"x",""))</f>
        <v/>
      </c>
      <c r="W732" s="75" t="str">
        <f>IF(AND('341-CT'!$H$9=H732,OR(LEFT(N732,3)=$W$7,LEFT(O732,3)=$W$7)),"x","")</f>
        <v/>
      </c>
      <c r="X732" s="75" t="str">
        <f>IF(OR(TH!N732=TH!$X$7,O732=TH!$X$7),"x","")</f>
        <v/>
      </c>
      <c r="Y732" s="75" t="str">
        <f>IF(AND(OR(N732="131",O732="131"),H732='131-CT'!$H$9),"x","")</f>
        <v/>
      </c>
      <c r="Z732" s="75"/>
      <c r="AA732" s="75" t="str">
        <f>IF(AND(MONTH(E732)='IN-NX'!$J$5,'IN-NX'!$D$7=D732),"x","")</f>
        <v/>
      </c>
      <c r="AB732" s="75" t="str">
        <f>IF(AND(OR(LEFT(TH!N732,2)="15",LEFT(TH!O732,2)="15"),LEFT(TH!O732,3)&lt;&gt;"111",'152-CT'!$J$8=TH!F732),"x","")</f>
        <v/>
      </c>
      <c r="AC732" s="75" t="str">
        <f>IF(AND(OR(LEFT(TH!N732,2)="15",LEFT(TH!O732,2)="15"),TK!$E$7=TH!F732),"x","")</f>
        <v/>
      </c>
      <c r="AD732" s="75" t="str">
        <f>IF(AND(N732="1521",MONTH(C732)='BK-NL'!$M$11),"x","")</f>
        <v/>
      </c>
      <c r="AE732">
        <v>10</v>
      </c>
    </row>
    <row r="733" spans="1:31" ht="16.5" customHeight="1">
      <c r="A733" s="309" t="str">
        <f>IF(B733&lt;&gt;"",IF(AND(B733='IN-TC'!$S$4,OR(TH!N733="1111",TH!O733="1111")),TH!D733,""),"")</f>
        <v/>
      </c>
      <c r="B733" s="1244">
        <f t="shared" si="102"/>
        <v>10</v>
      </c>
      <c r="C733" s="929">
        <v>43036</v>
      </c>
      <c r="D733" s="929" t="s">
        <v>530</v>
      </c>
      <c r="E733" s="929">
        <v>43036</v>
      </c>
      <c r="F733" s="930" t="s">
        <v>1323</v>
      </c>
      <c r="G733" s="931" t="s">
        <v>2583</v>
      </c>
      <c r="H733" s="735" t="s">
        <v>739</v>
      </c>
      <c r="I733" s="371"/>
      <c r="J733" s="932"/>
      <c r="K733" s="371"/>
      <c r="L733" s="377"/>
      <c r="M733" s="933">
        <v>593663</v>
      </c>
      <c r="N733" s="934" t="s">
        <v>9</v>
      </c>
      <c r="O733" s="934" t="s">
        <v>8</v>
      </c>
      <c r="P733" s="75" t="str">
        <f>IF(AND('331-CT'!$E$7=TH!H733,OR(N733="331",O733="331")),"x","")</f>
        <v/>
      </c>
      <c r="Q733" s="75" t="str">
        <f>IF(AND(B733='111'!$L$11,OR($N733=$Q$7,$O733=$Q$7)),"x","")</f>
        <v/>
      </c>
      <c r="R733" s="75" t="str">
        <f>IF(AND($N733=$Q$7,$B733&lt;'111'!$L$11),"x","")</f>
        <v/>
      </c>
      <c r="S733" s="75" t="str">
        <f>IF(AND($O733=$Q$7,$B733&lt;'111'!$L$11),"x","")</f>
        <v/>
      </c>
      <c r="T733" s="75" t="str">
        <f>IF(ISERROR(FIND('112'!$M$9,G733,1)),"",IF((AND(FIND('112'!$M$9,G733,1)&gt;=1,B733='112'!$K$9,OR($N733='112'!$I$6,$O733='112'!$I$6))),"x",""))</f>
        <v/>
      </c>
      <c r="U733" s="75" t="str">
        <f>IF(ISERROR(FIND('112'!$M$9,G733,1)),"",IF((AND(LEFT(G733,2)=LEFT('112'!$M$9,2),B733&lt;'112'!$K$9,$N733='112'!$I$6)),"x",""))</f>
        <v/>
      </c>
      <c r="V733" s="75" t="str">
        <f>IF(ISERROR(FIND('112'!$M$9,G733,1)),"",IF((AND(RIGHT(G733,2)=RIGHT('112'!$M$9,2),B733&lt;'112'!$K$9,$O733='112'!$I$6)),"x",""))</f>
        <v/>
      </c>
      <c r="W733" s="75" t="str">
        <f>IF(AND('341-CT'!$H$9=H733,OR(LEFT(N733,3)=$W$7,LEFT(O733,3)=$W$7)),"x","")</f>
        <v/>
      </c>
      <c r="X733" s="75" t="str">
        <f>IF(OR(TH!N733=TH!$X$7,O733=TH!$X$7),"x","")</f>
        <v/>
      </c>
      <c r="Y733" s="75" t="str">
        <f>IF(AND(OR(N733="131",O733="131"),H733='131-CT'!$H$9),"x","")</f>
        <v/>
      </c>
      <c r="Z733" s="75"/>
      <c r="AA733" s="75" t="str">
        <f>IF(AND(MONTH(E733)='IN-NX'!$J$5,'IN-NX'!$D$7=D733),"x","")</f>
        <v/>
      </c>
      <c r="AB733" s="75" t="str">
        <f>IF(AND(OR(LEFT(TH!N733,2)="15",LEFT(TH!O733,2)="15"),LEFT(TH!O733,3)&lt;&gt;"111",'152-CT'!$J$8=TH!F733),"x","")</f>
        <v/>
      </c>
      <c r="AC733" s="75" t="str">
        <f>IF(AND(OR(LEFT(TH!N733,2)="15",LEFT(TH!O733,2)="15"),TK!$E$7=TH!F733),"x","")</f>
        <v/>
      </c>
      <c r="AD733" s="75" t="str">
        <f>IF(AND(N733="1521",MONTH(C733)='BK-NL'!$M$11),"x","")</f>
        <v/>
      </c>
      <c r="AE733">
        <v>10</v>
      </c>
    </row>
    <row r="734" spans="1:31" ht="16.5" customHeight="1">
      <c r="A734" s="309" t="str">
        <f>IF(B734&lt;&gt;"",IF(AND(B734='IN-TC'!$S$4,OR(TH!N734="1111",TH!O734="1111")),TH!D734,""),"")</f>
        <v/>
      </c>
      <c r="B734" s="1244">
        <f t="shared" si="102"/>
        <v>10</v>
      </c>
      <c r="C734" s="929">
        <v>43039</v>
      </c>
      <c r="D734" s="929" t="s">
        <v>530</v>
      </c>
      <c r="E734" s="929">
        <v>43014</v>
      </c>
      <c r="F734" s="930" t="s">
        <v>2376</v>
      </c>
      <c r="G734" s="931" t="s">
        <v>2382</v>
      </c>
      <c r="H734" s="735" t="s">
        <v>563</v>
      </c>
      <c r="I734" s="371"/>
      <c r="J734" s="932"/>
      <c r="K734" s="371"/>
      <c r="L734" s="377"/>
      <c r="M734" s="933">
        <v>37255500</v>
      </c>
      <c r="N734" s="934" t="s">
        <v>272</v>
      </c>
      <c r="O734" s="934" t="s">
        <v>8</v>
      </c>
      <c r="P734" s="75" t="str">
        <f>IF(AND('331-CT'!$E$7=TH!H734,OR(N734="331",O734="331")),"x","")</f>
        <v/>
      </c>
      <c r="Q734" s="75" t="str">
        <f>IF(AND(B734='111'!$L$11,OR($N734=$Q$7,$O734=$Q$7)),"x","")</f>
        <v/>
      </c>
      <c r="R734" s="75" t="str">
        <f>IF(AND($N734=$Q$7,$B734&lt;'111'!$L$11),"x","")</f>
        <v/>
      </c>
      <c r="S734" s="75" t="str">
        <f>IF(AND($O734=$Q$7,$B734&lt;'111'!$L$11),"x","")</f>
        <v/>
      </c>
      <c r="T734" s="75" t="str">
        <f>IF(ISERROR(FIND('112'!$M$9,G734,1)),"",IF((AND(FIND('112'!$M$9,G734,1)&gt;=1,B734='112'!$K$9,OR($N734='112'!$I$6,$O734='112'!$I$6))),"x",""))</f>
        <v/>
      </c>
      <c r="U734" s="75" t="str">
        <f>IF(ISERROR(FIND('112'!$M$9,G734,1)),"",IF((AND(LEFT(G734,2)=LEFT('112'!$M$9,2),B734&lt;'112'!$K$9,$N734='112'!$I$6)),"x",""))</f>
        <v/>
      </c>
      <c r="V734" s="75" t="str">
        <f>IF(ISERROR(FIND('112'!$M$9,G734,1)),"",IF((AND(RIGHT(G734,2)=RIGHT('112'!$M$9,2),B734&lt;'112'!$K$9,$O734='112'!$I$6)),"x",""))</f>
        <v/>
      </c>
      <c r="W734" s="75" t="str">
        <f>IF(AND('341-CT'!$H$9=H734,OR(LEFT(N734,3)=$W$7,LEFT(O734,3)=$W$7)),"x","")</f>
        <v/>
      </c>
      <c r="X734" s="75" t="str">
        <f>IF(OR(TH!N734=TH!$X$7,O734=TH!$X$7),"x","")</f>
        <v/>
      </c>
      <c r="Y734" s="75" t="str">
        <f>IF(AND(OR(N734="131",O734="131"),H734='131-CT'!$H$9),"x","")</f>
        <v/>
      </c>
      <c r="Z734" s="75"/>
      <c r="AA734" s="75" t="str">
        <f>IF(AND(MONTH(E734)='IN-NX'!$J$5,'IN-NX'!$D$7=D734),"x","")</f>
        <v/>
      </c>
      <c r="AB734" s="75" t="str">
        <f>IF(AND(OR(LEFT(TH!N734,2)="15",LEFT(TH!O734,2)="15"),LEFT(TH!O734,3)&lt;&gt;"111",'152-CT'!$J$8=TH!F734),"x","")</f>
        <v/>
      </c>
      <c r="AC734" s="75" t="str">
        <f>IF(AND(OR(LEFT(TH!N734,2)="15",LEFT(TH!O734,2)="15"),TK!$E$7=TH!F734),"x","")</f>
        <v/>
      </c>
      <c r="AD734" s="75" t="str">
        <f>IF(AND(N734="1521",MONTH(C734)='BK-NL'!$M$11),"x","")</f>
        <v/>
      </c>
      <c r="AE734">
        <v>10</v>
      </c>
    </row>
    <row r="735" spans="1:31" ht="16.5" customHeight="1">
      <c r="A735" s="309" t="str">
        <f>IF(B735&lt;&gt;"",IF(AND(B735='IN-TC'!$S$4,OR(TH!N735="1111",TH!O735="1111")),TH!D735,""),"")</f>
        <v/>
      </c>
      <c r="B735" s="1244">
        <f t="shared" si="102"/>
        <v>10</v>
      </c>
      <c r="C735" s="929">
        <v>43039</v>
      </c>
      <c r="D735" s="929" t="s">
        <v>530</v>
      </c>
      <c r="E735" s="929">
        <v>43014</v>
      </c>
      <c r="F735" s="930" t="s">
        <v>2377</v>
      </c>
      <c r="G735" s="931" t="s">
        <v>2382</v>
      </c>
      <c r="H735" s="735" t="s">
        <v>563</v>
      </c>
      <c r="I735" s="371"/>
      <c r="J735" s="932"/>
      <c r="K735" s="371"/>
      <c r="L735" s="377"/>
      <c r="M735" s="933">
        <v>3725550</v>
      </c>
      <c r="N735" s="934" t="s">
        <v>9</v>
      </c>
      <c r="O735" s="934" t="s">
        <v>8</v>
      </c>
      <c r="P735" s="75" t="str">
        <f>IF(AND('331-CT'!$E$7=TH!H735,OR(N735="331",O735="331")),"x","")</f>
        <v/>
      </c>
      <c r="Q735" s="75" t="str">
        <f>IF(AND(B735='111'!$L$11,OR($N735=$Q$7,$O735=$Q$7)),"x","")</f>
        <v/>
      </c>
      <c r="R735" s="75" t="str">
        <f>IF(AND($N735=$Q$7,$B735&lt;'111'!$L$11),"x","")</f>
        <v/>
      </c>
      <c r="S735" s="75" t="str">
        <f>IF(AND($O735=$Q$7,$B735&lt;'111'!$L$11),"x","")</f>
        <v/>
      </c>
      <c r="T735" s="75" t="str">
        <f>IF(ISERROR(FIND('112'!$M$9,G735,1)),"",IF((AND(FIND('112'!$M$9,G735,1)&gt;=1,B735='112'!$K$9,OR($N735='112'!$I$6,$O735='112'!$I$6))),"x",""))</f>
        <v/>
      </c>
      <c r="U735" s="75" t="str">
        <f>IF(ISERROR(FIND('112'!$M$9,G735,1)),"",IF((AND(LEFT(G735,2)=LEFT('112'!$M$9,2),B735&lt;'112'!$K$9,$N735='112'!$I$6)),"x",""))</f>
        <v/>
      </c>
      <c r="V735" s="75" t="str">
        <f>IF(ISERROR(FIND('112'!$M$9,G735,1)),"",IF((AND(RIGHT(G735,2)=RIGHT('112'!$M$9,2),B735&lt;'112'!$K$9,$O735='112'!$I$6)),"x",""))</f>
        <v/>
      </c>
      <c r="W735" s="75" t="str">
        <f>IF(AND('341-CT'!$H$9=H735,OR(LEFT(N735,3)=$W$7,LEFT(O735,3)=$W$7)),"x","")</f>
        <v/>
      </c>
      <c r="X735" s="75" t="str">
        <f>IF(OR(TH!N735=TH!$X$7,O735=TH!$X$7),"x","")</f>
        <v/>
      </c>
      <c r="Y735" s="75" t="str">
        <f>IF(AND(OR(N735="131",O735="131"),H735='131-CT'!$H$9),"x","")</f>
        <v/>
      </c>
      <c r="Z735" s="75"/>
      <c r="AA735" s="75" t="str">
        <f>IF(AND(MONTH(E735)='IN-NX'!$J$5,'IN-NX'!$D$7=D735),"x","")</f>
        <v/>
      </c>
      <c r="AB735" s="75" t="str">
        <f>IF(AND(OR(LEFT(TH!N735,2)="15",LEFT(TH!O735,2)="15"),LEFT(TH!O735,3)&lt;&gt;"111",'152-CT'!$J$8=TH!F735),"x","")</f>
        <v/>
      </c>
      <c r="AC735" s="75" t="str">
        <f>IF(AND(OR(LEFT(TH!N735,2)="15",LEFT(TH!O735,2)="15"),TK!$E$7=TH!F735),"x","")</f>
        <v/>
      </c>
      <c r="AD735" s="75" t="str">
        <f>IF(AND(N735="1521",MONTH(C735)='BK-NL'!$M$11),"x","")</f>
        <v/>
      </c>
      <c r="AE735">
        <v>10</v>
      </c>
    </row>
    <row r="736" spans="1:31" ht="16.5" customHeight="1">
      <c r="A736" s="309" t="str">
        <f>IF(B736&lt;&gt;"",IF(AND(B736='IN-TC'!$S$4,OR(TH!N736="1111",TH!O736="1111")),TH!D736,""),"")</f>
        <v/>
      </c>
      <c r="B736" s="1244">
        <f t="shared" si="102"/>
        <v>10</v>
      </c>
      <c r="C736" s="929">
        <v>43039</v>
      </c>
      <c r="D736" s="929" t="s">
        <v>530</v>
      </c>
      <c r="E736" s="929">
        <v>43024</v>
      </c>
      <c r="F736" s="930" t="s">
        <v>2378</v>
      </c>
      <c r="G736" s="931" t="s">
        <v>2585</v>
      </c>
      <c r="H736" s="735" t="s">
        <v>563</v>
      </c>
      <c r="I736" s="371"/>
      <c r="J736" s="932"/>
      <c r="K736" s="371"/>
      <c r="L736" s="377"/>
      <c r="M736" s="933">
        <v>33225100</v>
      </c>
      <c r="N736" s="934" t="s">
        <v>272</v>
      </c>
      <c r="O736" s="934" t="s">
        <v>8</v>
      </c>
      <c r="P736" s="75" t="str">
        <f>IF(AND('331-CT'!$E$7=TH!H736,OR(N736="331",O736="331")),"x","")</f>
        <v/>
      </c>
      <c r="Q736" s="75" t="str">
        <f>IF(AND(B736='111'!$L$11,OR($N736=$Q$7,$O736=$Q$7)),"x","")</f>
        <v/>
      </c>
      <c r="R736" s="75" t="str">
        <f>IF(AND($N736=$Q$7,$B736&lt;'111'!$L$11),"x","")</f>
        <v/>
      </c>
      <c r="S736" s="75" t="str">
        <f>IF(AND($O736=$Q$7,$B736&lt;'111'!$L$11),"x","")</f>
        <v/>
      </c>
      <c r="T736" s="75" t="str">
        <f>IF(ISERROR(FIND('112'!$M$9,G736,1)),"",IF((AND(FIND('112'!$M$9,G736,1)&gt;=1,B736='112'!$K$9,OR($N736='112'!$I$6,$O736='112'!$I$6))),"x",""))</f>
        <v/>
      </c>
      <c r="U736" s="75" t="str">
        <f>IF(ISERROR(FIND('112'!$M$9,G736,1)),"",IF((AND(LEFT(G736,2)=LEFT('112'!$M$9,2),B736&lt;'112'!$K$9,$N736='112'!$I$6)),"x",""))</f>
        <v/>
      </c>
      <c r="V736" s="75" t="str">
        <f>IF(ISERROR(FIND('112'!$M$9,G736,1)),"",IF((AND(RIGHT(G736,2)=RIGHT('112'!$M$9,2),B736&lt;'112'!$K$9,$O736='112'!$I$6)),"x",""))</f>
        <v/>
      </c>
      <c r="W736" s="75" t="str">
        <f>IF(AND('341-CT'!$H$9=H736,OR(LEFT(N736,3)=$W$7,LEFT(O736,3)=$W$7)),"x","")</f>
        <v/>
      </c>
      <c r="X736" s="75" t="str">
        <f>IF(OR(TH!N736=TH!$X$7,O736=TH!$X$7),"x","")</f>
        <v/>
      </c>
      <c r="Y736" s="75" t="str">
        <f>IF(AND(OR(N736="131",O736="131"),H736='131-CT'!$H$9),"x","")</f>
        <v/>
      </c>
      <c r="Z736" s="75"/>
      <c r="AA736" s="75" t="str">
        <f>IF(AND(MONTH(E736)='IN-NX'!$J$5,'IN-NX'!$D$7=D736),"x","")</f>
        <v/>
      </c>
      <c r="AB736" s="75" t="str">
        <f>IF(AND(OR(LEFT(TH!N736,2)="15",LEFT(TH!O736,2)="15"),LEFT(TH!O736,3)&lt;&gt;"111",'152-CT'!$J$8=TH!F736),"x","")</f>
        <v/>
      </c>
      <c r="AC736" s="75" t="str">
        <f>IF(AND(OR(LEFT(TH!N736,2)="15",LEFT(TH!O736,2)="15"),TK!$E$7=TH!F736),"x","")</f>
        <v/>
      </c>
      <c r="AD736" s="75" t="str">
        <f>IF(AND(N736="1521",MONTH(C736)='BK-NL'!$M$11),"x","")</f>
        <v/>
      </c>
      <c r="AE736">
        <v>10</v>
      </c>
    </row>
    <row r="737" spans="1:31" ht="16.5" customHeight="1">
      <c r="A737" s="309" t="str">
        <f>IF(B737&lt;&gt;"",IF(AND(B737='IN-TC'!$S$4,OR(TH!N737="1111",TH!O737="1111")),TH!D737,""),"")</f>
        <v/>
      </c>
      <c r="B737" s="1244">
        <f t="shared" si="102"/>
        <v>10</v>
      </c>
      <c r="C737" s="929">
        <v>43039</v>
      </c>
      <c r="D737" s="929" t="s">
        <v>530</v>
      </c>
      <c r="E737" s="929">
        <v>43024</v>
      </c>
      <c r="F737" s="930" t="s">
        <v>2379</v>
      </c>
      <c r="G737" s="931" t="s">
        <v>2585</v>
      </c>
      <c r="H737" s="735" t="s">
        <v>563</v>
      </c>
      <c r="I737" s="371"/>
      <c r="J737" s="932"/>
      <c r="K737" s="371"/>
      <c r="L737" s="377"/>
      <c r="M737" s="933">
        <v>3322510</v>
      </c>
      <c r="N737" s="934" t="s">
        <v>9</v>
      </c>
      <c r="O737" s="934" t="s">
        <v>8</v>
      </c>
      <c r="P737" s="75" t="str">
        <f>IF(AND('331-CT'!$E$7=TH!H737,OR(N737="331",O737="331")),"x","")</f>
        <v/>
      </c>
      <c r="Q737" s="75" t="str">
        <f>IF(AND(B737='111'!$L$11,OR($N737=$Q$7,$O737=$Q$7)),"x","")</f>
        <v/>
      </c>
      <c r="R737" s="75" t="str">
        <f>IF(AND($N737=$Q$7,$B737&lt;'111'!$L$11),"x","")</f>
        <v/>
      </c>
      <c r="S737" s="75" t="str">
        <f>IF(AND($O737=$Q$7,$B737&lt;'111'!$L$11),"x","")</f>
        <v/>
      </c>
      <c r="T737" s="75" t="str">
        <f>IF(ISERROR(FIND('112'!$M$9,G737,1)),"",IF((AND(FIND('112'!$M$9,G737,1)&gt;=1,B737='112'!$K$9,OR($N737='112'!$I$6,$O737='112'!$I$6))),"x",""))</f>
        <v/>
      </c>
      <c r="U737" s="75" t="str">
        <f>IF(ISERROR(FIND('112'!$M$9,G737,1)),"",IF((AND(LEFT(G737,2)=LEFT('112'!$M$9,2),B737&lt;'112'!$K$9,$N737='112'!$I$6)),"x",""))</f>
        <v/>
      </c>
      <c r="V737" s="75" t="str">
        <f>IF(ISERROR(FIND('112'!$M$9,G737,1)),"",IF((AND(RIGHT(G737,2)=RIGHT('112'!$M$9,2),B737&lt;'112'!$K$9,$O737='112'!$I$6)),"x",""))</f>
        <v/>
      </c>
      <c r="W737" s="75" t="str">
        <f>IF(AND('341-CT'!$H$9=H737,OR(LEFT(N737,3)=$W$7,LEFT(O737,3)=$W$7)),"x","")</f>
        <v/>
      </c>
      <c r="X737" s="75" t="str">
        <f>IF(OR(TH!N737=TH!$X$7,O737=TH!$X$7),"x","")</f>
        <v/>
      </c>
      <c r="Y737" s="75" t="str">
        <f>IF(AND(OR(N737="131",O737="131"),H737='131-CT'!$H$9),"x","")</f>
        <v/>
      </c>
      <c r="Z737" s="75"/>
      <c r="AA737" s="75" t="str">
        <f>IF(AND(MONTH(E737)='IN-NX'!$J$5,'IN-NX'!$D$7=D737),"x","")</f>
        <v/>
      </c>
      <c r="AB737" s="75" t="str">
        <f>IF(AND(OR(LEFT(TH!N737,2)="15",LEFT(TH!O737,2)="15"),LEFT(TH!O737,3)&lt;&gt;"111",'152-CT'!$J$8=TH!F737),"x","")</f>
        <v/>
      </c>
      <c r="AC737" s="75" t="str">
        <f>IF(AND(OR(LEFT(TH!N737,2)="15",LEFT(TH!O737,2)="15"),TK!$E$7=TH!F737),"x","")</f>
        <v/>
      </c>
      <c r="AD737" s="75" t="str">
        <f>IF(AND(N737="1521",MONTH(C737)='BK-NL'!$M$11),"x","")</f>
        <v/>
      </c>
      <c r="AE737">
        <v>10</v>
      </c>
    </row>
    <row r="738" spans="1:31" ht="16.5" customHeight="1">
      <c r="A738" s="309" t="str">
        <f>IF(B738&lt;&gt;"",IF(AND(B738='IN-TC'!$S$4,OR(TH!N738="1111",TH!O738="1111")),TH!D738,""),"")</f>
        <v/>
      </c>
      <c r="B738" s="1244">
        <f t="shared" si="102"/>
        <v>10</v>
      </c>
      <c r="C738" s="929">
        <v>43039</v>
      </c>
      <c r="D738" s="929" t="s">
        <v>530</v>
      </c>
      <c r="E738" s="929">
        <v>43034</v>
      </c>
      <c r="F738" s="930" t="s">
        <v>2380</v>
      </c>
      <c r="G738" s="931" t="s">
        <v>2586</v>
      </c>
      <c r="H738" s="735" t="s">
        <v>563</v>
      </c>
      <c r="I738" s="371"/>
      <c r="J738" s="932"/>
      <c r="K738" s="371"/>
      <c r="L738" s="377"/>
      <c r="M738" s="933">
        <v>40745700</v>
      </c>
      <c r="N738" s="934" t="s">
        <v>272</v>
      </c>
      <c r="O738" s="934" t="s">
        <v>8</v>
      </c>
      <c r="P738" s="75" t="str">
        <f>IF(AND('331-CT'!$E$7=TH!H738,OR(N738="331",O738="331")),"x","")</f>
        <v/>
      </c>
      <c r="Q738" s="75" t="str">
        <f>IF(AND(B738='111'!$L$11,OR($N738=$Q$7,$O738=$Q$7)),"x","")</f>
        <v/>
      </c>
      <c r="R738" s="75" t="str">
        <f>IF(AND($N738=$Q$7,$B738&lt;'111'!$L$11),"x","")</f>
        <v/>
      </c>
      <c r="S738" s="75" t="str">
        <f>IF(AND($O738=$Q$7,$B738&lt;'111'!$L$11),"x","")</f>
        <v/>
      </c>
      <c r="T738" s="75" t="str">
        <f>IF(ISERROR(FIND('112'!$M$9,G738,1)),"",IF((AND(FIND('112'!$M$9,G738,1)&gt;=1,B738='112'!$K$9,OR($N738='112'!$I$6,$O738='112'!$I$6))),"x",""))</f>
        <v/>
      </c>
      <c r="U738" s="75" t="str">
        <f>IF(ISERROR(FIND('112'!$M$9,G738,1)),"",IF((AND(LEFT(G738,2)=LEFT('112'!$M$9,2),B738&lt;'112'!$K$9,$N738='112'!$I$6)),"x",""))</f>
        <v/>
      </c>
      <c r="V738" s="75" t="str">
        <f>IF(ISERROR(FIND('112'!$M$9,G738,1)),"",IF((AND(RIGHT(G738,2)=RIGHT('112'!$M$9,2),B738&lt;'112'!$K$9,$O738='112'!$I$6)),"x",""))</f>
        <v/>
      </c>
      <c r="W738" s="75" t="str">
        <f>IF(AND('341-CT'!$H$9=H738,OR(LEFT(N738,3)=$W$7,LEFT(O738,3)=$W$7)),"x","")</f>
        <v/>
      </c>
      <c r="X738" s="75" t="str">
        <f>IF(OR(TH!N738=TH!$X$7,O738=TH!$X$7),"x","")</f>
        <v/>
      </c>
      <c r="Y738" s="75" t="str">
        <f>IF(AND(OR(N738="131",O738="131"),H738='131-CT'!$H$9),"x","")</f>
        <v/>
      </c>
      <c r="Z738" s="75"/>
      <c r="AA738" s="75" t="str">
        <f>IF(AND(MONTH(E738)='IN-NX'!$J$5,'IN-NX'!$D$7=D738),"x","")</f>
        <v/>
      </c>
      <c r="AB738" s="75" t="str">
        <f>IF(AND(OR(LEFT(TH!N738,2)="15",LEFT(TH!O738,2)="15"),LEFT(TH!O738,3)&lt;&gt;"111",'152-CT'!$J$8=TH!F738),"x","")</f>
        <v/>
      </c>
      <c r="AC738" s="75" t="str">
        <f>IF(AND(OR(LEFT(TH!N738,2)="15",LEFT(TH!O738,2)="15"),TK!$E$7=TH!F738),"x","")</f>
        <v/>
      </c>
      <c r="AD738" s="75" t="str">
        <f>IF(AND(N738="1521",MONTH(C738)='BK-NL'!$M$11),"x","")</f>
        <v/>
      </c>
      <c r="AE738">
        <v>10</v>
      </c>
    </row>
    <row r="739" spans="1:31" ht="16.5" customHeight="1">
      <c r="A739" s="309" t="str">
        <f>IF(B739&lt;&gt;"",IF(AND(B739='IN-TC'!$S$4,OR(TH!N739="1111",TH!O739="1111")),TH!D739,""),"")</f>
        <v/>
      </c>
      <c r="B739" s="1244">
        <f t="shared" si="102"/>
        <v>10</v>
      </c>
      <c r="C739" s="929">
        <v>43039</v>
      </c>
      <c r="D739" s="929" t="s">
        <v>530</v>
      </c>
      <c r="E739" s="929">
        <v>43034</v>
      </c>
      <c r="F739" s="930" t="s">
        <v>2381</v>
      </c>
      <c r="G739" s="931" t="s">
        <v>2586</v>
      </c>
      <c r="H739" s="735" t="s">
        <v>563</v>
      </c>
      <c r="I739" s="371"/>
      <c r="J739" s="932"/>
      <c r="K739" s="371"/>
      <c r="L739" s="377"/>
      <c r="M739" s="933">
        <v>4074570</v>
      </c>
      <c r="N739" s="934" t="s">
        <v>9</v>
      </c>
      <c r="O739" s="934" t="s">
        <v>8</v>
      </c>
      <c r="P739" s="75" t="str">
        <f>IF(AND('331-CT'!$E$7=TH!H739,OR(N739="331",O739="331")),"x","")</f>
        <v/>
      </c>
      <c r="Q739" s="75" t="str">
        <f>IF(AND(B739='111'!$L$11,OR($N739=$Q$7,$O739=$Q$7)),"x","")</f>
        <v/>
      </c>
      <c r="R739" s="75" t="str">
        <f>IF(AND($N739=$Q$7,$B739&lt;'111'!$L$11),"x","")</f>
        <v/>
      </c>
      <c r="S739" s="75" t="str">
        <f>IF(AND($O739=$Q$7,$B739&lt;'111'!$L$11),"x","")</f>
        <v/>
      </c>
      <c r="T739" s="75" t="str">
        <f>IF(ISERROR(FIND('112'!$M$9,G739,1)),"",IF((AND(FIND('112'!$M$9,G739,1)&gt;=1,B739='112'!$K$9,OR($N739='112'!$I$6,$O739='112'!$I$6))),"x",""))</f>
        <v/>
      </c>
      <c r="U739" s="75" t="str">
        <f>IF(ISERROR(FIND('112'!$M$9,G739,1)),"",IF((AND(LEFT(G739,2)=LEFT('112'!$M$9,2),B739&lt;'112'!$K$9,$N739='112'!$I$6)),"x",""))</f>
        <v/>
      </c>
      <c r="V739" s="75" t="str">
        <f>IF(ISERROR(FIND('112'!$M$9,G739,1)),"",IF((AND(RIGHT(G739,2)=RIGHT('112'!$M$9,2),B739&lt;'112'!$K$9,$O739='112'!$I$6)),"x",""))</f>
        <v/>
      </c>
      <c r="W739" s="75" t="str">
        <f>IF(AND('341-CT'!$H$9=H739,OR(LEFT(N739,3)=$W$7,LEFT(O739,3)=$W$7)),"x","")</f>
        <v/>
      </c>
      <c r="X739" s="75" t="str">
        <f>IF(OR(TH!N739=TH!$X$7,O739=TH!$X$7),"x","")</f>
        <v/>
      </c>
      <c r="Y739" s="75" t="str">
        <f>IF(AND(OR(N739="131",O739="131"),H739='131-CT'!$H$9),"x","")</f>
        <v/>
      </c>
      <c r="Z739" s="75"/>
      <c r="AA739" s="75" t="str">
        <f>IF(AND(MONTH(E739)='IN-NX'!$J$5,'IN-NX'!$D$7=D739),"x","")</f>
        <v/>
      </c>
      <c r="AB739" s="75" t="str">
        <f>IF(AND(OR(LEFT(TH!N739,2)="15",LEFT(TH!O739,2)="15"),LEFT(TH!O739,3)&lt;&gt;"111",'152-CT'!$J$8=TH!F739),"x","")</f>
        <v/>
      </c>
      <c r="AC739" s="75" t="str">
        <f>IF(AND(OR(LEFT(TH!N739,2)="15",LEFT(TH!O739,2)="15"),TK!$E$7=TH!F739),"x","")</f>
        <v/>
      </c>
      <c r="AD739" s="75" t="str">
        <f>IF(AND(N739="1521",MONTH(C739)='BK-NL'!$M$11),"x","")</f>
        <v/>
      </c>
      <c r="AE739">
        <v>10</v>
      </c>
    </row>
    <row r="740" spans="1:31" ht="16.5" customHeight="1">
      <c r="A740" s="309" t="str">
        <f>IF(B740&lt;&gt;"",IF(AND(B740='IN-TC'!$S$4,OR(TH!N740="1111",TH!O740="1111")),TH!D740,""),"")</f>
        <v/>
      </c>
      <c r="B740" s="1244">
        <f t="shared" si="102"/>
        <v>10</v>
      </c>
      <c r="C740" s="929">
        <v>43012</v>
      </c>
      <c r="D740" s="929" t="s">
        <v>530</v>
      </c>
      <c r="E740" s="929">
        <v>43012</v>
      </c>
      <c r="F740" s="930" t="s">
        <v>1877</v>
      </c>
      <c r="G740" s="931" t="s">
        <v>2544</v>
      </c>
      <c r="H740" s="735" t="s">
        <v>749</v>
      </c>
      <c r="I740" s="371"/>
      <c r="J740" s="932"/>
      <c r="K740" s="371"/>
      <c r="L740" s="377"/>
      <c r="M740" s="933">
        <v>7135467</v>
      </c>
      <c r="N740" s="934" t="s">
        <v>539</v>
      </c>
      <c r="O740" s="934" t="s">
        <v>8</v>
      </c>
      <c r="P740" s="75" t="str">
        <f>IF(AND('331-CT'!$E$7=TH!H740,OR(N740="331",O740="331")),"x","")</f>
        <v/>
      </c>
      <c r="Q740" s="75" t="str">
        <f>IF(AND(B740='111'!$L$11,OR($N740=$Q$7,$O740=$Q$7)),"x","")</f>
        <v/>
      </c>
      <c r="R740" s="75" t="str">
        <f>IF(AND($N740=$Q$7,$B740&lt;'111'!$L$11),"x","")</f>
        <v/>
      </c>
      <c r="S740" s="75" t="str">
        <f>IF(AND($O740=$Q$7,$B740&lt;'111'!$L$11),"x","")</f>
        <v/>
      </c>
      <c r="T740" s="75" t="str">
        <f>IF(ISERROR(FIND('112'!$M$9,G740,1)),"",IF((AND(FIND('112'!$M$9,G740,1)&gt;=1,B740='112'!$K$9,OR($N740='112'!$I$6,$O740='112'!$I$6))),"x",""))</f>
        <v/>
      </c>
      <c r="U740" s="75" t="str">
        <f>IF(ISERROR(FIND('112'!$M$9,G740,1)),"",IF((AND(LEFT(G740,2)=LEFT('112'!$M$9,2),B740&lt;'112'!$K$9,$N740='112'!$I$6)),"x",""))</f>
        <v/>
      </c>
      <c r="V740" s="75" t="str">
        <f>IF(ISERROR(FIND('112'!$M$9,G740,1)),"",IF((AND(RIGHT(G740,2)=RIGHT('112'!$M$9,2),B740&lt;'112'!$K$9,$O740='112'!$I$6)),"x",""))</f>
        <v/>
      </c>
      <c r="W740" s="75" t="str">
        <f>IF(AND('341-CT'!$H$9=H740,OR(LEFT(N740,3)=$W$7,LEFT(O740,3)=$W$7)),"x","")</f>
        <v/>
      </c>
      <c r="X740" s="75" t="str">
        <f>IF(OR(TH!N740=TH!$X$7,O740=TH!$X$7),"x","")</f>
        <v/>
      </c>
      <c r="Y740" s="75" t="str">
        <f>IF(AND(OR(N740="131",O740="131"),H740='131-CT'!$H$9),"x","")</f>
        <v/>
      </c>
      <c r="Z740" s="75"/>
      <c r="AA740" s="75" t="str">
        <f>IF(AND(MONTH(E740)='IN-NX'!$J$5,'IN-NX'!$D$7=D740),"x","")</f>
        <v/>
      </c>
      <c r="AB740" s="75" t="str">
        <f>IF(AND(OR(LEFT(TH!N740,2)="15",LEFT(TH!O740,2)="15"),LEFT(TH!O740,3)&lt;&gt;"111",'152-CT'!$J$8=TH!F740),"x","")</f>
        <v/>
      </c>
      <c r="AC740" s="75" t="str">
        <f>IF(AND(OR(LEFT(TH!N740,2)="15",LEFT(TH!O740,2)="15"),TK!$E$7=TH!F740),"x","")</f>
        <v/>
      </c>
      <c r="AD740" s="75" t="str">
        <f>IF(AND(N740="1521",MONTH(C740)='BK-NL'!$M$11),"x","")</f>
        <v/>
      </c>
      <c r="AE740">
        <v>10</v>
      </c>
    </row>
    <row r="741" spans="1:31" ht="16.5" customHeight="1">
      <c r="A741" s="309" t="str">
        <f>IF(B741&lt;&gt;"",IF(AND(B741='IN-TC'!$S$4,OR(TH!N741="1111",TH!O741="1111")),TH!D741,""),"")</f>
        <v/>
      </c>
      <c r="B741" s="1244">
        <f t="shared" si="102"/>
        <v>10</v>
      </c>
      <c r="C741" s="929">
        <v>43012</v>
      </c>
      <c r="D741" s="929" t="s">
        <v>530</v>
      </c>
      <c r="E741" s="929">
        <v>43012</v>
      </c>
      <c r="F741" s="930" t="s">
        <v>1878</v>
      </c>
      <c r="G741" s="931" t="s">
        <v>2544</v>
      </c>
      <c r="H741" s="735" t="s">
        <v>749</v>
      </c>
      <c r="I741" s="371"/>
      <c r="J741" s="932"/>
      <c r="K741" s="371"/>
      <c r="L741" s="377"/>
      <c r="M741" s="933">
        <v>713547</v>
      </c>
      <c r="N741" s="934" t="s">
        <v>9</v>
      </c>
      <c r="O741" s="934" t="s">
        <v>8</v>
      </c>
      <c r="P741" s="75" t="str">
        <f>IF(AND('331-CT'!$E$7=TH!H741,OR(N741="331",O741="331")),"x","")</f>
        <v/>
      </c>
      <c r="Q741" s="75" t="str">
        <f>IF(AND(B741='111'!$L$11,OR($N741=$Q$7,$O741=$Q$7)),"x","")</f>
        <v/>
      </c>
      <c r="R741" s="75" t="str">
        <f>IF(AND($N741=$Q$7,$B741&lt;'111'!$L$11),"x","")</f>
        <v/>
      </c>
      <c r="S741" s="75" t="str">
        <f>IF(AND($O741=$Q$7,$B741&lt;'111'!$L$11),"x","")</f>
        <v/>
      </c>
      <c r="T741" s="75" t="str">
        <f>IF(ISERROR(FIND('112'!$M$9,G741,1)),"",IF((AND(FIND('112'!$M$9,G741,1)&gt;=1,B741='112'!$K$9,OR($N741='112'!$I$6,$O741='112'!$I$6))),"x",""))</f>
        <v/>
      </c>
      <c r="U741" s="75" t="str">
        <f>IF(ISERROR(FIND('112'!$M$9,G741,1)),"",IF((AND(LEFT(G741,2)=LEFT('112'!$M$9,2),B741&lt;'112'!$K$9,$N741='112'!$I$6)),"x",""))</f>
        <v/>
      </c>
      <c r="V741" s="75" t="str">
        <f>IF(ISERROR(FIND('112'!$M$9,G741,1)),"",IF((AND(RIGHT(G741,2)=RIGHT('112'!$M$9,2),B741&lt;'112'!$K$9,$O741='112'!$I$6)),"x",""))</f>
        <v/>
      </c>
      <c r="W741" s="75" t="str">
        <f>IF(AND('341-CT'!$H$9=H741,OR(LEFT(N741,3)=$W$7,LEFT(O741,3)=$W$7)),"x","")</f>
        <v/>
      </c>
      <c r="X741" s="75" t="str">
        <f>IF(OR(TH!N741=TH!$X$7,O741=TH!$X$7),"x","")</f>
        <v/>
      </c>
      <c r="Y741" s="75" t="str">
        <f>IF(AND(OR(N741="131",O741="131"),H741='131-CT'!$H$9),"x","")</f>
        <v/>
      </c>
      <c r="Z741" s="75"/>
      <c r="AA741" s="75" t="str">
        <f>IF(AND(MONTH(E741)='IN-NX'!$J$5,'IN-NX'!$D$7=D741),"x","")</f>
        <v/>
      </c>
      <c r="AB741" s="75" t="str">
        <f>IF(AND(OR(LEFT(TH!N741,2)="15",LEFT(TH!O741,2)="15"),LEFT(TH!O741,3)&lt;&gt;"111",'152-CT'!$J$8=TH!F741),"x","")</f>
        <v/>
      </c>
      <c r="AC741" s="75" t="str">
        <f>IF(AND(OR(LEFT(TH!N741,2)="15",LEFT(TH!O741,2)="15"),TK!$E$7=TH!F741),"x","")</f>
        <v/>
      </c>
      <c r="AD741" s="75" t="str">
        <f>IF(AND(N741="1521",MONTH(C741)='BK-NL'!$M$11),"x","")</f>
        <v/>
      </c>
      <c r="AE741">
        <v>10</v>
      </c>
    </row>
    <row r="742" spans="1:31" ht="16.5" customHeight="1">
      <c r="A742" s="309" t="str">
        <f>IF(B742&lt;&gt;"",IF(AND(B742='IN-TC'!$S$4,OR(TH!N742="1111",TH!O742="1111")),TH!D742,""),"")</f>
        <v/>
      </c>
      <c r="B742" s="1244">
        <f t="shared" si="102"/>
        <v>10</v>
      </c>
      <c r="C742" s="929">
        <v>43012</v>
      </c>
      <c r="D742" s="929" t="s">
        <v>530</v>
      </c>
      <c r="E742" s="929">
        <v>43012</v>
      </c>
      <c r="F742" s="930" t="s">
        <v>1877</v>
      </c>
      <c r="G742" s="931" t="s">
        <v>2545</v>
      </c>
      <c r="H742" s="735" t="s">
        <v>749</v>
      </c>
      <c r="I742" s="371"/>
      <c r="J742" s="932"/>
      <c r="K742" s="371"/>
      <c r="L742" s="377"/>
      <c r="M742" s="933">
        <v>7135467</v>
      </c>
      <c r="N742" s="934" t="s">
        <v>539</v>
      </c>
      <c r="O742" s="934" t="s">
        <v>8</v>
      </c>
      <c r="P742" s="75" t="str">
        <f>IF(AND('331-CT'!$E$7=TH!H742,OR(N742="331",O742="331")),"x","")</f>
        <v/>
      </c>
      <c r="Q742" s="75" t="str">
        <f>IF(AND(B742='111'!$L$11,OR($N742=$Q$7,$O742=$Q$7)),"x","")</f>
        <v/>
      </c>
      <c r="R742" s="75" t="str">
        <f>IF(AND($N742=$Q$7,$B742&lt;'111'!$L$11),"x","")</f>
        <v/>
      </c>
      <c r="S742" s="75" t="str">
        <f>IF(AND($O742=$Q$7,$B742&lt;'111'!$L$11),"x","")</f>
        <v/>
      </c>
      <c r="T742" s="75" t="str">
        <f>IF(ISERROR(FIND('112'!$M$9,G742,1)),"",IF((AND(FIND('112'!$M$9,G742,1)&gt;=1,B742='112'!$K$9,OR($N742='112'!$I$6,$O742='112'!$I$6))),"x",""))</f>
        <v/>
      </c>
      <c r="U742" s="75" t="str">
        <f>IF(ISERROR(FIND('112'!$M$9,G742,1)),"",IF((AND(LEFT(G742,2)=LEFT('112'!$M$9,2),B742&lt;'112'!$K$9,$N742='112'!$I$6)),"x",""))</f>
        <v/>
      </c>
      <c r="V742" s="75" t="str">
        <f>IF(ISERROR(FIND('112'!$M$9,G742,1)),"",IF((AND(RIGHT(G742,2)=RIGHT('112'!$M$9,2),B742&lt;'112'!$K$9,$O742='112'!$I$6)),"x",""))</f>
        <v/>
      </c>
      <c r="W742" s="75" t="str">
        <f>IF(AND('341-CT'!$H$9=H742,OR(LEFT(N742,3)=$W$7,LEFT(O742,3)=$W$7)),"x","")</f>
        <v/>
      </c>
      <c r="X742" s="75" t="str">
        <f>IF(OR(TH!N742=TH!$X$7,O742=TH!$X$7),"x","")</f>
        <v/>
      </c>
      <c r="Y742" s="75" t="str">
        <f>IF(AND(OR(N742="131",O742="131"),H742='131-CT'!$H$9),"x","")</f>
        <v/>
      </c>
      <c r="Z742" s="75"/>
      <c r="AA742" s="75" t="str">
        <f>IF(AND(MONTH(E742)='IN-NX'!$J$5,'IN-NX'!$D$7=D742),"x","")</f>
        <v/>
      </c>
      <c r="AB742" s="75" t="str">
        <f>IF(AND(OR(LEFT(TH!N742,2)="15",LEFT(TH!O742,2)="15"),LEFT(TH!O742,3)&lt;&gt;"111",'152-CT'!$J$8=TH!F742),"x","")</f>
        <v/>
      </c>
      <c r="AC742" s="75" t="str">
        <f>IF(AND(OR(LEFT(TH!N742,2)="15",LEFT(TH!O742,2)="15"),TK!$E$7=TH!F742),"x","")</f>
        <v/>
      </c>
      <c r="AD742" s="75" t="str">
        <f>IF(AND(N742="1521",MONTH(C742)='BK-NL'!$M$11),"x","")</f>
        <v/>
      </c>
      <c r="AE742">
        <v>10</v>
      </c>
    </row>
    <row r="743" spans="1:31" ht="16.5" customHeight="1">
      <c r="A743" s="309" t="str">
        <f>IF(B743&lt;&gt;"",IF(AND(B743='IN-TC'!$S$4,OR(TH!N743="1111",TH!O743="1111")),TH!D743,""),"")</f>
        <v/>
      </c>
      <c r="B743" s="1244">
        <f t="shared" si="102"/>
        <v>10</v>
      </c>
      <c r="C743" s="929">
        <v>43012</v>
      </c>
      <c r="D743" s="929" t="s">
        <v>530</v>
      </c>
      <c r="E743" s="929">
        <v>43012</v>
      </c>
      <c r="F743" s="930" t="s">
        <v>1878</v>
      </c>
      <c r="G743" s="931" t="s">
        <v>2545</v>
      </c>
      <c r="H743" s="735" t="s">
        <v>749</v>
      </c>
      <c r="I743" s="371"/>
      <c r="J743" s="932"/>
      <c r="K743" s="371"/>
      <c r="L743" s="377"/>
      <c r="M743" s="933">
        <v>713547</v>
      </c>
      <c r="N743" s="934" t="s">
        <v>9</v>
      </c>
      <c r="O743" s="934" t="s">
        <v>8</v>
      </c>
      <c r="P743" s="75" t="str">
        <f>IF(AND('331-CT'!$E$7=TH!H743,OR(N743="331",O743="331")),"x","")</f>
        <v/>
      </c>
      <c r="Q743" s="75" t="str">
        <f>IF(AND(B743='111'!$L$11,OR($N743=$Q$7,$O743=$Q$7)),"x","")</f>
        <v/>
      </c>
      <c r="R743" s="75" t="str">
        <f>IF(AND($N743=$Q$7,$B743&lt;'111'!$L$11),"x","")</f>
        <v/>
      </c>
      <c r="S743" s="75" t="str">
        <f>IF(AND($O743=$Q$7,$B743&lt;'111'!$L$11),"x","")</f>
        <v/>
      </c>
      <c r="T743" s="75" t="str">
        <f>IF(ISERROR(FIND('112'!$M$9,G743,1)),"",IF((AND(FIND('112'!$M$9,G743,1)&gt;=1,B743='112'!$K$9,OR($N743='112'!$I$6,$O743='112'!$I$6))),"x",""))</f>
        <v/>
      </c>
      <c r="U743" s="75" t="str">
        <f>IF(ISERROR(FIND('112'!$M$9,G743,1)),"",IF((AND(LEFT(G743,2)=LEFT('112'!$M$9,2),B743&lt;'112'!$K$9,$N743='112'!$I$6)),"x",""))</f>
        <v/>
      </c>
      <c r="V743" s="75" t="str">
        <f>IF(ISERROR(FIND('112'!$M$9,G743,1)),"",IF((AND(RIGHT(G743,2)=RIGHT('112'!$M$9,2),B743&lt;'112'!$K$9,$O743='112'!$I$6)),"x",""))</f>
        <v/>
      </c>
      <c r="W743" s="75" t="str">
        <f>IF(AND('341-CT'!$H$9=H743,OR(LEFT(N743,3)=$W$7,LEFT(O743,3)=$W$7)),"x","")</f>
        <v/>
      </c>
      <c r="X743" s="75" t="str">
        <f>IF(OR(TH!N743=TH!$X$7,O743=TH!$X$7),"x","")</f>
        <v/>
      </c>
      <c r="Y743" s="75" t="str">
        <f>IF(AND(OR(N743="131",O743="131"),H743='131-CT'!$H$9),"x","")</f>
        <v/>
      </c>
      <c r="Z743" s="75"/>
      <c r="AA743" s="75" t="str">
        <f>IF(AND(MONTH(E743)='IN-NX'!$J$5,'IN-NX'!$D$7=D743),"x","")</f>
        <v/>
      </c>
      <c r="AB743" s="75" t="str">
        <f>IF(AND(OR(LEFT(TH!N743,2)="15",LEFT(TH!O743,2)="15"),LEFT(TH!O743,3)&lt;&gt;"111",'152-CT'!$J$8=TH!F743),"x","")</f>
        <v/>
      </c>
      <c r="AC743" s="75" t="str">
        <f>IF(AND(OR(LEFT(TH!N743,2)="15",LEFT(TH!O743,2)="15"),TK!$E$7=TH!F743),"x","")</f>
        <v/>
      </c>
      <c r="AD743" s="75" t="str">
        <f>IF(AND(N743="1521",MONTH(C743)='BK-NL'!$M$11),"x","")</f>
        <v/>
      </c>
      <c r="AE743">
        <v>10</v>
      </c>
    </row>
    <row r="744" spans="1:31" ht="16.5" customHeight="1">
      <c r="A744" s="309" t="str">
        <f>IF(B744&lt;&gt;"",IF(AND(B744='IN-TC'!$S$4,OR(TH!N744="1111",TH!O744="1111")),TH!D744,""),"")</f>
        <v/>
      </c>
      <c r="B744" s="1244">
        <f t="shared" si="102"/>
        <v>10</v>
      </c>
      <c r="C744" s="929">
        <v>43031</v>
      </c>
      <c r="D744" s="929" t="s">
        <v>530</v>
      </c>
      <c r="E744" s="929">
        <v>43031</v>
      </c>
      <c r="F744" s="930" t="s">
        <v>1877</v>
      </c>
      <c r="G744" s="931" t="s">
        <v>2546</v>
      </c>
      <c r="H744" s="735" t="s">
        <v>749</v>
      </c>
      <c r="I744" s="371"/>
      <c r="J744" s="932"/>
      <c r="K744" s="371"/>
      <c r="L744" s="377"/>
      <c r="M744" s="933">
        <v>9323157</v>
      </c>
      <c r="N744" s="934" t="s">
        <v>539</v>
      </c>
      <c r="O744" s="934" t="s">
        <v>8</v>
      </c>
      <c r="P744" s="75" t="str">
        <f>IF(AND('331-CT'!$E$7=TH!H744,OR(N744="331",O744="331")),"x","")</f>
        <v/>
      </c>
      <c r="Q744" s="75" t="str">
        <f>IF(AND(B744='111'!$L$11,OR($N744=$Q$7,$O744=$Q$7)),"x","")</f>
        <v/>
      </c>
      <c r="R744" s="75" t="str">
        <f>IF(AND($N744=$Q$7,$B744&lt;'111'!$L$11),"x","")</f>
        <v/>
      </c>
      <c r="S744" s="75" t="str">
        <f>IF(AND($O744=$Q$7,$B744&lt;'111'!$L$11),"x","")</f>
        <v/>
      </c>
      <c r="T744" s="75" t="str">
        <f>IF(ISERROR(FIND('112'!$M$9,G744,1)),"",IF((AND(FIND('112'!$M$9,G744,1)&gt;=1,B744='112'!$K$9,OR($N744='112'!$I$6,$O744='112'!$I$6))),"x",""))</f>
        <v/>
      </c>
      <c r="U744" s="75" t="str">
        <f>IF(ISERROR(FIND('112'!$M$9,G744,1)),"",IF((AND(LEFT(G744,2)=LEFT('112'!$M$9,2),B744&lt;'112'!$K$9,$N744='112'!$I$6)),"x",""))</f>
        <v/>
      </c>
      <c r="V744" s="75" t="str">
        <f>IF(ISERROR(FIND('112'!$M$9,G744,1)),"",IF((AND(RIGHT(G744,2)=RIGHT('112'!$M$9,2),B744&lt;'112'!$K$9,$O744='112'!$I$6)),"x",""))</f>
        <v/>
      </c>
      <c r="W744" s="75" t="str">
        <f>IF(AND('341-CT'!$H$9=H744,OR(LEFT(N744,3)=$W$7,LEFT(O744,3)=$W$7)),"x","")</f>
        <v/>
      </c>
      <c r="X744" s="75" t="str">
        <f>IF(OR(TH!N744=TH!$X$7,O744=TH!$X$7),"x","")</f>
        <v/>
      </c>
      <c r="Y744" s="75" t="str">
        <f>IF(AND(OR(N744="131",O744="131"),H744='131-CT'!$H$9),"x","")</f>
        <v/>
      </c>
      <c r="Z744" s="75"/>
      <c r="AA744" s="75" t="str">
        <f>IF(AND(MONTH(E744)='IN-NX'!$J$5,'IN-NX'!$D$7=D744),"x","")</f>
        <v/>
      </c>
      <c r="AB744" s="75" t="str">
        <f>IF(AND(OR(LEFT(TH!N744,2)="15",LEFT(TH!O744,2)="15"),LEFT(TH!O744,3)&lt;&gt;"111",'152-CT'!$J$8=TH!F744),"x","")</f>
        <v/>
      </c>
      <c r="AC744" s="75" t="str">
        <f>IF(AND(OR(LEFT(TH!N744,2)="15",LEFT(TH!O744,2)="15"),TK!$E$7=TH!F744),"x","")</f>
        <v/>
      </c>
      <c r="AD744" s="75" t="str">
        <f>IF(AND(N744="1521",MONTH(C744)='BK-NL'!$M$11),"x","")</f>
        <v/>
      </c>
      <c r="AE744">
        <v>10</v>
      </c>
    </row>
    <row r="745" spans="1:31" ht="16.5" customHeight="1">
      <c r="A745" s="309" t="str">
        <f>IF(B745&lt;&gt;"",IF(AND(B745='IN-TC'!$S$4,OR(TH!N745="1111",TH!O745="1111")),TH!D745,""),"")</f>
        <v/>
      </c>
      <c r="B745" s="1244">
        <f t="shared" si="102"/>
        <v>10</v>
      </c>
      <c r="C745" s="929">
        <v>43031</v>
      </c>
      <c r="D745" s="929" t="s">
        <v>530</v>
      </c>
      <c r="E745" s="929">
        <v>43031</v>
      </c>
      <c r="F745" s="930" t="s">
        <v>1878</v>
      </c>
      <c r="G745" s="931" t="s">
        <v>2546</v>
      </c>
      <c r="H745" s="735" t="s">
        <v>749</v>
      </c>
      <c r="I745" s="371"/>
      <c r="J745" s="932"/>
      <c r="K745" s="371"/>
      <c r="L745" s="377"/>
      <c r="M745" s="933">
        <v>932316</v>
      </c>
      <c r="N745" s="934" t="s">
        <v>9</v>
      </c>
      <c r="O745" s="934" t="s">
        <v>8</v>
      </c>
      <c r="P745" s="75" t="str">
        <f>IF(AND('331-CT'!$E$7=TH!H745,OR(N745="331",O745="331")),"x","")</f>
        <v/>
      </c>
      <c r="Q745" s="75" t="str">
        <f>IF(AND(B745='111'!$L$11,OR($N745=$Q$7,$O745=$Q$7)),"x","")</f>
        <v/>
      </c>
      <c r="R745" s="75" t="str">
        <f>IF(AND($N745=$Q$7,$B745&lt;'111'!$L$11),"x","")</f>
        <v/>
      </c>
      <c r="S745" s="75" t="str">
        <f>IF(AND($O745=$Q$7,$B745&lt;'111'!$L$11),"x","")</f>
        <v/>
      </c>
      <c r="T745" s="75" t="str">
        <f>IF(ISERROR(FIND('112'!$M$9,G745,1)),"",IF((AND(FIND('112'!$M$9,G745,1)&gt;=1,B745='112'!$K$9,OR($N745='112'!$I$6,$O745='112'!$I$6))),"x",""))</f>
        <v/>
      </c>
      <c r="U745" s="75" t="str">
        <f>IF(ISERROR(FIND('112'!$M$9,G745,1)),"",IF((AND(LEFT(G745,2)=LEFT('112'!$M$9,2),B745&lt;'112'!$K$9,$N745='112'!$I$6)),"x",""))</f>
        <v/>
      </c>
      <c r="V745" s="75" t="str">
        <f>IF(ISERROR(FIND('112'!$M$9,G745,1)),"",IF((AND(RIGHT(G745,2)=RIGHT('112'!$M$9,2),B745&lt;'112'!$K$9,$O745='112'!$I$6)),"x",""))</f>
        <v/>
      </c>
      <c r="W745" s="75" t="str">
        <f>IF(AND('341-CT'!$H$9=H745,OR(LEFT(N745,3)=$W$7,LEFT(O745,3)=$W$7)),"x","")</f>
        <v/>
      </c>
      <c r="X745" s="75" t="str">
        <f>IF(OR(TH!N745=TH!$X$7,O745=TH!$X$7),"x","")</f>
        <v/>
      </c>
      <c r="Y745" s="75" t="str">
        <f>IF(AND(OR(N745="131",O745="131"),H745='131-CT'!$H$9),"x","")</f>
        <v/>
      </c>
      <c r="Z745" s="75"/>
      <c r="AA745" s="75" t="str">
        <f>IF(AND(MONTH(E745)='IN-NX'!$J$5,'IN-NX'!$D$7=D745),"x","")</f>
        <v/>
      </c>
      <c r="AB745" s="75" t="str">
        <f>IF(AND(OR(LEFT(TH!N745,2)="15",LEFT(TH!O745,2)="15"),LEFT(TH!O745,3)&lt;&gt;"111",'152-CT'!$J$8=TH!F745),"x","")</f>
        <v/>
      </c>
      <c r="AC745" s="75" t="str">
        <f>IF(AND(OR(LEFT(TH!N745,2)="15",LEFT(TH!O745,2)="15"),TK!$E$7=TH!F745),"x","")</f>
        <v/>
      </c>
      <c r="AD745" s="75" t="str">
        <f>IF(AND(N745="1521",MONTH(C745)='BK-NL'!$M$11),"x","")</f>
        <v/>
      </c>
      <c r="AE745">
        <v>10</v>
      </c>
    </row>
    <row r="746" spans="1:31" ht="16.5" customHeight="1">
      <c r="A746" s="309" t="str">
        <f>IF(B746&lt;&gt;"",IF(AND(B746='IN-TC'!$S$4,OR(TH!N746="1111",TH!O746="1111")),TH!D746,""),"")</f>
        <v/>
      </c>
      <c r="B746" s="1244">
        <f t="shared" si="102"/>
        <v>10</v>
      </c>
      <c r="C746" s="929">
        <v>43009</v>
      </c>
      <c r="D746" s="929" t="s">
        <v>530</v>
      </c>
      <c r="E746" s="929">
        <v>43009</v>
      </c>
      <c r="F746" s="930" t="s">
        <v>949</v>
      </c>
      <c r="G746" s="931" t="s">
        <v>2659</v>
      </c>
      <c r="H746" s="735" t="s">
        <v>567</v>
      </c>
      <c r="I746" s="371"/>
      <c r="J746" s="932"/>
      <c r="K746" s="371"/>
      <c r="L746" s="377"/>
      <c r="M746" s="933">
        <v>193200000</v>
      </c>
      <c r="N746" s="934" t="s">
        <v>539</v>
      </c>
      <c r="O746" s="934" t="s">
        <v>8</v>
      </c>
      <c r="P746" s="75" t="str">
        <f>IF(AND('331-CT'!$E$7=TH!H746,OR(N746="331",O746="331")),"x","")</f>
        <v/>
      </c>
      <c r="Q746" s="75" t="str">
        <f>IF(AND(B746='111'!$L$11,OR($N746=$Q$7,$O746=$Q$7)),"x","")</f>
        <v/>
      </c>
      <c r="R746" s="75" t="str">
        <f>IF(AND($N746=$Q$7,$B746&lt;'111'!$L$11),"x","")</f>
        <v/>
      </c>
      <c r="S746" s="75" t="str">
        <f>IF(AND($O746=$Q$7,$B746&lt;'111'!$L$11),"x","")</f>
        <v/>
      </c>
      <c r="T746" s="75" t="str">
        <f>IF(ISERROR(FIND('112'!$M$9,G746,1)),"",IF((AND(FIND('112'!$M$9,G746,1)&gt;=1,B746='112'!$K$9,OR($N746='112'!$I$6,$O746='112'!$I$6))),"x",""))</f>
        <v/>
      </c>
      <c r="U746" s="75" t="str">
        <f>IF(ISERROR(FIND('112'!$M$9,G746,1)),"",IF((AND(LEFT(G746,2)=LEFT('112'!$M$9,2),B746&lt;'112'!$K$9,$N746='112'!$I$6)),"x",""))</f>
        <v/>
      </c>
      <c r="V746" s="75" t="str">
        <f>IF(ISERROR(FIND('112'!$M$9,G746,1)),"",IF((AND(RIGHT(G746,2)=RIGHT('112'!$M$9,2),B746&lt;'112'!$K$9,$O746='112'!$I$6)),"x",""))</f>
        <v/>
      </c>
      <c r="W746" s="75" t="str">
        <f>IF(AND('341-CT'!$H$9=H746,OR(LEFT(N746,3)=$W$7,LEFT(O746,3)=$W$7)),"x","")</f>
        <v/>
      </c>
      <c r="X746" s="75" t="str">
        <f>IF(OR(TH!N746=TH!$X$7,O746=TH!$X$7),"x","")</f>
        <v/>
      </c>
      <c r="Y746" s="75" t="str">
        <f>IF(AND(OR(N746="131",O746="131"),H746='131-CT'!$H$9),"x","")</f>
        <v/>
      </c>
      <c r="Z746" s="75"/>
      <c r="AA746" s="75" t="str">
        <f>IF(AND(MONTH(E746)='IN-NX'!$J$5,'IN-NX'!$D$7=D746),"x","")</f>
        <v/>
      </c>
      <c r="AB746" s="75" t="str">
        <f>IF(AND(OR(LEFT(TH!N746,2)="15",LEFT(TH!O746,2)="15"),LEFT(TH!O746,3)&lt;&gt;"111",'152-CT'!$J$8=TH!F746),"x","")</f>
        <v/>
      </c>
      <c r="AC746" s="75" t="str">
        <f>IF(AND(OR(LEFT(TH!N746,2)="15",LEFT(TH!O746,2)="15"),TK!$E$7=TH!F746),"x","")</f>
        <v/>
      </c>
      <c r="AD746" s="75" t="str">
        <f>IF(AND(N746="1521",MONTH(C746)='BK-NL'!$M$11),"x","")</f>
        <v/>
      </c>
      <c r="AE746">
        <v>11</v>
      </c>
    </row>
    <row r="747" spans="1:31" ht="16.5" customHeight="1">
      <c r="A747" s="309" t="str">
        <f>IF(B747&lt;&gt;"",IF(AND(B747='IN-TC'!$S$4,OR(TH!N747="1111",TH!O747="1111")),TH!D747,""),"")</f>
        <v/>
      </c>
      <c r="B747" s="1244">
        <f t="shared" si="102"/>
        <v>10</v>
      </c>
      <c r="C747" s="929">
        <v>43009</v>
      </c>
      <c r="D747" s="929" t="s">
        <v>530</v>
      </c>
      <c r="E747" s="929">
        <v>43009</v>
      </c>
      <c r="F747" s="930" t="s">
        <v>950</v>
      </c>
      <c r="G747" s="931" t="s">
        <v>2659</v>
      </c>
      <c r="H747" s="735" t="s">
        <v>567</v>
      </c>
      <c r="I747" s="371"/>
      <c r="J747" s="932"/>
      <c r="K747" s="371"/>
      <c r="L747" s="377"/>
      <c r="M747" s="933">
        <v>19320000</v>
      </c>
      <c r="N747" s="934" t="s">
        <v>9</v>
      </c>
      <c r="O747" s="934" t="s">
        <v>8</v>
      </c>
      <c r="P747" s="75" t="str">
        <f>IF(AND('331-CT'!$E$7=TH!H747,OR(N747="331",O747="331")),"x","")</f>
        <v/>
      </c>
      <c r="Q747" s="75" t="str">
        <f>IF(AND(B747='111'!$L$11,OR($N747=$Q$7,$O747=$Q$7)),"x","")</f>
        <v/>
      </c>
      <c r="R747" s="75" t="str">
        <f>IF(AND($N747=$Q$7,$B747&lt;'111'!$L$11),"x","")</f>
        <v/>
      </c>
      <c r="S747" s="75" t="str">
        <f>IF(AND($O747=$Q$7,$B747&lt;'111'!$L$11),"x","")</f>
        <v/>
      </c>
      <c r="T747" s="75" t="str">
        <f>IF(ISERROR(FIND('112'!$M$9,G747,1)),"",IF((AND(FIND('112'!$M$9,G747,1)&gt;=1,B747='112'!$K$9,OR($N747='112'!$I$6,$O747='112'!$I$6))),"x",""))</f>
        <v/>
      </c>
      <c r="U747" s="75" t="str">
        <f>IF(ISERROR(FIND('112'!$M$9,G747,1)),"",IF((AND(LEFT(G747,2)=LEFT('112'!$M$9,2),B747&lt;'112'!$K$9,$N747='112'!$I$6)),"x",""))</f>
        <v/>
      </c>
      <c r="V747" s="75" t="str">
        <f>IF(ISERROR(FIND('112'!$M$9,G747,1)),"",IF((AND(RIGHT(G747,2)=RIGHT('112'!$M$9,2),B747&lt;'112'!$K$9,$O747='112'!$I$6)),"x",""))</f>
        <v/>
      </c>
      <c r="W747" s="75" t="str">
        <f>IF(AND('341-CT'!$H$9=H747,OR(LEFT(N747,3)=$W$7,LEFT(O747,3)=$W$7)),"x","")</f>
        <v/>
      </c>
      <c r="X747" s="75" t="str">
        <f>IF(OR(TH!N747=TH!$X$7,O747=TH!$X$7),"x","")</f>
        <v/>
      </c>
      <c r="Y747" s="75" t="str">
        <f>IF(AND(OR(N747="131",O747="131"),H747='131-CT'!$H$9),"x","")</f>
        <v/>
      </c>
      <c r="Z747" s="75"/>
      <c r="AA747" s="75" t="str">
        <f>IF(AND(MONTH(E747)='IN-NX'!$J$5,'IN-NX'!$D$7=D747),"x","")</f>
        <v/>
      </c>
      <c r="AB747" s="75" t="str">
        <f>IF(AND(OR(LEFT(TH!N747,2)="15",LEFT(TH!O747,2)="15"),LEFT(TH!O747,3)&lt;&gt;"111",'152-CT'!$J$8=TH!F747),"x","")</f>
        <v/>
      </c>
      <c r="AC747" s="75" t="str">
        <f>IF(AND(OR(LEFT(TH!N747,2)="15",LEFT(TH!O747,2)="15"),TK!$E$7=TH!F747),"x","")</f>
        <v/>
      </c>
      <c r="AD747" s="75" t="str">
        <f>IF(AND(N747="1521",MONTH(C747)='BK-NL'!$M$11),"x","")</f>
        <v/>
      </c>
      <c r="AE747">
        <v>11</v>
      </c>
    </row>
    <row r="748" spans="1:31" ht="16.5" customHeight="1">
      <c r="A748" s="309" t="str">
        <f>IF(B748&lt;&gt;"",IF(AND(B748='IN-TC'!$S$4,OR(TH!N748="1111",TH!O748="1111")),TH!D748,""),"")</f>
        <v/>
      </c>
      <c r="B748" s="1244">
        <f t="shared" si="102"/>
        <v>10</v>
      </c>
      <c r="C748" s="929">
        <v>43033</v>
      </c>
      <c r="D748" s="929" t="s">
        <v>530</v>
      </c>
      <c r="E748" s="929">
        <v>43033</v>
      </c>
      <c r="F748" s="930" t="s">
        <v>994</v>
      </c>
      <c r="G748" s="931" t="s">
        <v>1134</v>
      </c>
      <c r="H748" s="735" t="s">
        <v>623</v>
      </c>
      <c r="I748" s="371">
        <v>50000</v>
      </c>
      <c r="J748" s="932">
        <v>10000</v>
      </c>
      <c r="K748" s="371"/>
      <c r="L748" s="377"/>
      <c r="M748" s="933">
        <f t="shared" ref="M748" si="103">ROUND(I748*J748,0)</f>
        <v>500000000</v>
      </c>
      <c r="N748" s="934" t="s">
        <v>272</v>
      </c>
      <c r="O748" s="934" t="s">
        <v>8</v>
      </c>
      <c r="P748" s="75" t="str">
        <f>IF(AND('331-CT'!$E$7=TH!H748,OR(N748="331",O748="331")),"x","")</f>
        <v/>
      </c>
      <c r="Q748" s="75" t="str">
        <f>IF(AND(B748='111'!$L$11,OR($N748=$Q$7,$O748=$Q$7)),"x","")</f>
        <v/>
      </c>
      <c r="R748" s="75" t="str">
        <f>IF(AND($N748=$Q$7,$B748&lt;'111'!$L$11),"x","")</f>
        <v/>
      </c>
      <c r="S748" s="75" t="str">
        <f>IF(AND($O748=$Q$7,$B748&lt;'111'!$L$11),"x","")</f>
        <v/>
      </c>
      <c r="T748" s="75" t="str">
        <f>IF(ISERROR(FIND('112'!$M$9,G748,1)),"",IF((AND(FIND('112'!$M$9,G748,1)&gt;=1,B748='112'!$K$9,OR($N748='112'!$I$6,$O748='112'!$I$6))),"x",""))</f>
        <v/>
      </c>
      <c r="U748" s="75" t="str">
        <f>IF(ISERROR(FIND('112'!$M$9,G748,1)),"",IF((AND(LEFT(G748,2)=LEFT('112'!$M$9,2),B748&lt;'112'!$K$9,$N748='112'!$I$6)),"x",""))</f>
        <v/>
      </c>
      <c r="V748" s="75" t="str">
        <f>IF(ISERROR(FIND('112'!$M$9,G748,1)),"",IF((AND(RIGHT(G748,2)=RIGHT('112'!$M$9,2),B748&lt;'112'!$K$9,$O748='112'!$I$6)),"x",""))</f>
        <v/>
      </c>
      <c r="W748" s="75" t="str">
        <f>IF(AND('341-CT'!$H$9=H748,OR(LEFT(N748,3)=$W$7,LEFT(O748,3)=$W$7)),"x","")</f>
        <v/>
      </c>
      <c r="X748" s="75" t="str">
        <f>IF(OR(TH!N748=TH!$X$7,O748=TH!$X$7),"x","")</f>
        <v/>
      </c>
      <c r="Y748" s="75" t="str">
        <f>IF(AND(OR(N748="131",O748="131"),H748='131-CT'!$H$9),"x","")</f>
        <v/>
      </c>
      <c r="Z748" s="75"/>
      <c r="AA748" s="75" t="str">
        <f>IF(AND(MONTH(E748)='IN-NX'!$J$5,'IN-NX'!$D$7=D748),"x","")</f>
        <v/>
      </c>
      <c r="AB748" s="75" t="str">
        <f>IF(AND(OR(LEFT(TH!N748,2)="15",LEFT(TH!O748,2)="15"),LEFT(TH!O748,3)&lt;&gt;"111",'152-CT'!$J$8=TH!F748),"x","")</f>
        <v/>
      </c>
      <c r="AC748" s="75" t="str">
        <f>IF(AND(OR(LEFT(TH!N748,2)="15",LEFT(TH!O748,2)="15"),TK!$E$7=TH!F748),"x","")</f>
        <v/>
      </c>
      <c r="AD748" s="75" t="str">
        <f>IF(AND(N748="1521",MONTH(C748)='BK-NL'!$M$11),"x","")</f>
        <v/>
      </c>
      <c r="AE748">
        <v>11</v>
      </c>
    </row>
    <row r="749" spans="1:31" ht="16.5" customHeight="1">
      <c r="A749" s="309" t="str">
        <f>IF(B749&lt;&gt;"",IF(AND(B749='IN-TC'!$S$4,OR(TH!N749="1111",TH!O749="1111")),TH!D749,""),"")</f>
        <v/>
      </c>
      <c r="B749" s="1244">
        <f t="shared" si="102"/>
        <v>10</v>
      </c>
      <c r="C749" s="929">
        <v>43033</v>
      </c>
      <c r="D749" s="929" t="s">
        <v>530</v>
      </c>
      <c r="E749" s="929">
        <v>43033</v>
      </c>
      <c r="F749" s="930" t="s">
        <v>995</v>
      </c>
      <c r="G749" s="931" t="s">
        <v>1134</v>
      </c>
      <c r="H749" s="735" t="s">
        <v>623</v>
      </c>
      <c r="I749" s="371"/>
      <c r="J749" s="932"/>
      <c r="K749" s="371"/>
      <c r="L749" s="377"/>
      <c r="M749" s="933">
        <v>50000000</v>
      </c>
      <c r="N749" s="934" t="s">
        <v>9</v>
      </c>
      <c r="O749" s="934" t="s">
        <v>8</v>
      </c>
      <c r="P749" s="75" t="str">
        <f>IF(AND('331-CT'!$E$7=TH!H749,OR(N749="331",O749="331")),"x","")</f>
        <v/>
      </c>
      <c r="Q749" s="75" t="str">
        <f>IF(AND(B749='111'!$L$11,OR($N749=$Q$7,$O749=$Q$7)),"x","")</f>
        <v/>
      </c>
      <c r="R749" s="75" t="str">
        <f>IF(AND($N749=$Q$7,$B749&lt;'111'!$L$11),"x","")</f>
        <v/>
      </c>
      <c r="S749" s="75" t="str">
        <f>IF(AND($O749=$Q$7,$B749&lt;'111'!$L$11),"x","")</f>
        <v/>
      </c>
      <c r="T749" s="75" t="str">
        <f>IF(ISERROR(FIND('112'!$M$9,G749,1)),"",IF((AND(FIND('112'!$M$9,G749,1)&gt;=1,B749='112'!$K$9,OR($N749='112'!$I$6,$O749='112'!$I$6))),"x",""))</f>
        <v/>
      </c>
      <c r="U749" s="75" t="str">
        <f>IF(ISERROR(FIND('112'!$M$9,G749,1)),"",IF((AND(LEFT(G749,2)=LEFT('112'!$M$9,2),B749&lt;'112'!$K$9,$N749='112'!$I$6)),"x",""))</f>
        <v/>
      </c>
      <c r="V749" s="75" t="str">
        <f>IF(ISERROR(FIND('112'!$M$9,G749,1)),"",IF((AND(RIGHT(G749,2)=RIGHT('112'!$M$9,2),B749&lt;'112'!$K$9,$O749='112'!$I$6)),"x",""))</f>
        <v/>
      </c>
      <c r="W749" s="75" t="str">
        <f>IF(AND('341-CT'!$H$9=H749,OR(LEFT(N749,3)=$W$7,LEFT(O749,3)=$W$7)),"x","")</f>
        <v/>
      </c>
      <c r="X749" s="75" t="str">
        <f>IF(OR(TH!N749=TH!$X$7,O749=TH!$X$7),"x","")</f>
        <v/>
      </c>
      <c r="Y749" s="75" t="str">
        <f>IF(AND(OR(N749="131",O749="131"),H749='131-CT'!$H$9),"x","")</f>
        <v/>
      </c>
      <c r="Z749" s="75"/>
      <c r="AA749" s="75" t="str">
        <f>IF(AND(MONTH(E749)='IN-NX'!$J$5,'IN-NX'!$D$7=D749),"x","")</f>
        <v/>
      </c>
      <c r="AB749" s="75" t="str">
        <f>IF(AND(OR(LEFT(TH!N749,2)="15",LEFT(TH!O749,2)="15"),LEFT(TH!O749,3)&lt;&gt;"111",'152-CT'!$J$8=TH!F749),"x","")</f>
        <v/>
      </c>
      <c r="AC749" s="75" t="str">
        <f>IF(AND(OR(LEFT(TH!N749,2)="15",LEFT(TH!O749,2)="15"),TK!$E$7=TH!F749),"x","")</f>
        <v/>
      </c>
      <c r="AD749" s="75" t="str">
        <f>IF(AND(N749="1521",MONTH(C749)='BK-NL'!$M$11),"x","")</f>
        <v/>
      </c>
      <c r="AE749">
        <v>11</v>
      </c>
    </row>
    <row r="750" spans="1:31" ht="16.5" customHeight="1">
      <c r="A750" s="309" t="str">
        <f>IF(B750&lt;&gt;"",IF(AND(B750='IN-TC'!$S$4,OR(TH!N750="1111",TH!O750="1111")),TH!D750,""),"")</f>
        <v/>
      </c>
      <c r="B750" s="1245">
        <f t="shared" si="102"/>
        <v>11</v>
      </c>
      <c r="C750" s="929">
        <v>43040</v>
      </c>
      <c r="D750" s="929" t="s">
        <v>530</v>
      </c>
      <c r="E750" s="929">
        <v>43040</v>
      </c>
      <c r="F750" s="930" t="s">
        <v>949</v>
      </c>
      <c r="G750" s="931" t="s">
        <v>2660</v>
      </c>
      <c r="H750" s="735" t="s">
        <v>567</v>
      </c>
      <c r="I750" s="371"/>
      <c r="J750" s="932"/>
      <c r="K750" s="371"/>
      <c r="L750" s="377"/>
      <c r="M750" s="933">
        <v>135100000</v>
      </c>
      <c r="N750" s="934" t="s">
        <v>539</v>
      </c>
      <c r="O750" s="934" t="s">
        <v>8</v>
      </c>
      <c r="P750" s="75" t="str">
        <f>IF(AND('331-CT'!$E$7=TH!H750,OR(N750="331",O750="331")),"x","")</f>
        <v/>
      </c>
      <c r="Q750" s="75" t="str">
        <f>IF(AND(B750='111'!$L$11,OR($N750=$Q$7,$O750=$Q$7)),"x","")</f>
        <v/>
      </c>
      <c r="R750" s="75" t="str">
        <f>IF(AND($N750=$Q$7,$B750&lt;'111'!$L$11),"x","")</f>
        <v/>
      </c>
      <c r="S750" s="75" t="str">
        <f>IF(AND($O750=$Q$7,$B750&lt;'111'!$L$11),"x","")</f>
        <v/>
      </c>
      <c r="T750" s="75" t="str">
        <f>IF(ISERROR(FIND('112'!$M$9,G750,1)),"",IF((AND(FIND('112'!$M$9,G750,1)&gt;=1,B750='112'!$K$9,OR($N750='112'!$I$6,$O750='112'!$I$6))),"x",""))</f>
        <v/>
      </c>
      <c r="U750" s="75" t="str">
        <f>IF(ISERROR(FIND('112'!$M$9,G750,1)),"",IF((AND(LEFT(G750,2)=LEFT('112'!$M$9,2),B750&lt;'112'!$K$9,$N750='112'!$I$6)),"x",""))</f>
        <v/>
      </c>
      <c r="V750" s="75" t="str">
        <f>IF(ISERROR(FIND('112'!$M$9,G750,1)),"",IF((AND(RIGHT(G750,2)=RIGHT('112'!$M$9,2),B750&lt;'112'!$K$9,$O750='112'!$I$6)),"x",""))</f>
        <v/>
      </c>
      <c r="W750" s="75" t="str">
        <f>IF(AND('341-CT'!$H$9=H750,OR(LEFT(N750,3)=$W$7,LEFT(O750,3)=$W$7)),"x","")</f>
        <v/>
      </c>
      <c r="X750" s="75" t="str">
        <f>IF(OR(TH!N750=TH!$X$7,O750=TH!$X$7),"x","")</f>
        <v/>
      </c>
      <c r="Y750" s="75" t="str">
        <f>IF(AND(OR(N750="131",O750="131"),H750='131-CT'!$H$9),"x","")</f>
        <v/>
      </c>
      <c r="Z750" s="75"/>
      <c r="AA750" s="75" t="str">
        <f>IF(AND(MONTH(E750)='IN-NX'!$J$5,'IN-NX'!$D$7=D750),"x","")</f>
        <v/>
      </c>
      <c r="AB750" s="75" t="str">
        <f>IF(AND(OR(LEFT(TH!N750,2)="15",LEFT(TH!O750,2)="15"),LEFT(TH!O750,3)&lt;&gt;"111",'152-CT'!$J$8=TH!F750),"x","")</f>
        <v/>
      </c>
      <c r="AC750" s="75" t="str">
        <f>IF(AND(OR(LEFT(TH!N750,2)="15",LEFT(TH!O750,2)="15"),TK!$E$7=TH!F750),"x","")</f>
        <v/>
      </c>
      <c r="AD750" s="75" t="str">
        <f>IF(AND(N750="1521",MONTH(C750)='BK-NL'!$M$11),"x","")</f>
        <v/>
      </c>
      <c r="AE750">
        <v>11</v>
      </c>
    </row>
    <row r="751" spans="1:31" ht="16.5" customHeight="1">
      <c r="A751" s="309" t="str">
        <f>IF(B751&lt;&gt;"",IF(AND(B751='IN-TC'!$S$4,OR(TH!N751="1111",TH!O751="1111")),TH!D751,""),"")</f>
        <v/>
      </c>
      <c r="B751" s="1245">
        <f t="shared" si="102"/>
        <v>11</v>
      </c>
      <c r="C751" s="929">
        <v>43040</v>
      </c>
      <c r="D751" s="929" t="s">
        <v>530</v>
      </c>
      <c r="E751" s="929">
        <v>43040</v>
      </c>
      <c r="F751" s="930" t="s">
        <v>950</v>
      </c>
      <c r="G751" s="931" t="s">
        <v>2660</v>
      </c>
      <c r="H751" s="735" t="s">
        <v>567</v>
      </c>
      <c r="I751" s="371"/>
      <c r="J751" s="932"/>
      <c r="K751" s="371"/>
      <c r="L751" s="377"/>
      <c r="M751" s="933">
        <v>13510000</v>
      </c>
      <c r="N751" s="934" t="s">
        <v>9</v>
      </c>
      <c r="O751" s="934" t="s">
        <v>8</v>
      </c>
      <c r="P751" s="75" t="str">
        <f>IF(AND('331-CT'!$E$7=TH!H751,OR(N751="331",O751="331")),"x","")</f>
        <v/>
      </c>
      <c r="Q751" s="75" t="str">
        <f>IF(AND(B751='111'!$L$11,OR($N751=$Q$7,$O751=$Q$7)),"x","")</f>
        <v/>
      </c>
      <c r="R751" s="75" t="str">
        <f>IF(AND($N751=$Q$7,$B751&lt;'111'!$L$11),"x","")</f>
        <v/>
      </c>
      <c r="S751" s="75" t="str">
        <f>IF(AND($O751=$Q$7,$B751&lt;'111'!$L$11),"x","")</f>
        <v/>
      </c>
      <c r="T751" s="75" t="str">
        <f>IF(ISERROR(FIND('112'!$M$9,G751,1)),"",IF((AND(FIND('112'!$M$9,G751,1)&gt;=1,B751='112'!$K$9,OR($N751='112'!$I$6,$O751='112'!$I$6))),"x",""))</f>
        <v/>
      </c>
      <c r="U751" s="75" t="str">
        <f>IF(ISERROR(FIND('112'!$M$9,G751,1)),"",IF((AND(LEFT(G751,2)=LEFT('112'!$M$9,2),B751&lt;'112'!$K$9,$N751='112'!$I$6)),"x",""))</f>
        <v/>
      </c>
      <c r="V751" s="75" t="str">
        <f>IF(ISERROR(FIND('112'!$M$9,G751,1)),"",IF((AND(RIGHT(G751,2)=RIGHT('112'!$M$9,2),B751&lt;'112'!$K$9,$O751='112'!$I$6)),"x",""))</f>
        <v/>
      </c>
      <c r="W751" s="75" t="str">
        <f>IF(AND('341-CT'!$H$9=H751,OR(LEFT(N751,3)=$W$7,LEFT(O751,3)=$W$7)),"x","")</f>
        <v/>
      </c>
      <c r="X751" s="75" t="str">
        <f>IF(OR(TH!N751=TH!$X$7,O751=TH!$X$7),"x","")</f>
        <v/>
      </c>
      <c r="Y751" s="75" t="str">
        <f>IF(AND(OR(N751="131",O751="131"),H751='131-CT'!$H$9),"x","")</f>
        <v/>
      </c>
      <c r="Z751" s="75"/>
      <c r="AA751" s="75" t="str">
        <f>IF(AND(MONTH(E751)='IN-NX'!$J$5,'IN-NX'!$D$7=D751),"x","")</f>
        <v/>
      </c>
      <c r="AB751" s="75" t="str">
        <f>IF(AND(OR(LEFT(TH!N751,2)="15",LEFT(TH!O751,2)="15"),LEFT(TH!O751,3)&lt;&gt;"111",'152-CT'!$J$8=TH!F751),"x","")</f>
        <v/>
      </c>
      <c r="AC751" s="75" t="str">
        <f>IF(AND(OR(LEFT(TH!N751,2)="15",LEFT(TH!O751,2)="15"),TK!$E$7=TH!F751),"x","")</f>
        <v/>
      </c>
      <c r="AD751" s="75" t="str">
        <f>IF(AND(N751="1521",MONTH(C751)='BK-NL'!$M$11),"x","")</f>
        <v/>
      </c>
      <c r="AE751">
        <v>11</v>
      </c>
    </row>
    <row r="752" spans="1:31" ht="16.5" customHeight="1">
      <c r="A752" s="309" t="str">
        <f>IF(B752&lt;&gt;"",IF(AND(B752='IN-TC'!$S$4,OR(TH!N752="1111",TH!O752="1111")),TH!D752,""),"")</f>
        <v/>
      </c>
      <c r="B752" s="1245">
        <f t="shared" si="102"/>
        <v>11</v>
      </c>
      <c r="C752" s="929">
        <v>43052</v>
      </c>
      <c r="D752" s="929" t="s">
        <v>530</v>
      </c>
      <c r="E752" s="929">
        <f t="shared" ref="E752:E754" si="104">C752</f>
        <v>43052</v>
      </c>
      <c r="F752" s="930" t="s">
        <v>1192</v>
      </c>
      <c r="G752" s="931" t="s">
        <v>2543</v>
      </c>
      <c r="H752" s="73" t="s">
        <v>755</v>
      </c>
      <c r="I752" s="371"/>
      <c r="J752" s="932"/>
      <c r="K752" s="371"/>
      <c r="L752" s="377"/>
      <c r="M752" s="933">
        <v>8415650</v>
      </c>
      <c r="N752" s="934" t="s">
        <v>539</v>
      </c>
      <c r="O752" s="934" t="s">
        <v>8</v>
      </c>
      <c r="P752" s="75" t="str">
        <f>IF(AND('331-CT'!$E$7=TH!H752,OR(N752="331",O752="331")),"x","")</f>
        <v/>
      </c>
      <c r="Q752" s="75" t="str">
        <f>IF(AND(B752='111'!$L$11,OR($N752=$Q$7,$O752=$Q$7)),"x","")</f>
        <v/>
      </c>
      <c r="R752" s="75" t="str">
        <f>IF(AND($N752=$Q$7,$B752&lt;'111'!$L$11),"x","")</f>
        <v/>
      </c>
      <c r="S752" s="75" t="str">
        <f>IF(AND($O752=$Q$7,$B752&lt;'111'!$L$11),"x","")</f>
        <v/>
      </c>
      <c r="T752" s="75" t="str">
        <f>IF(ISERROR(FIND('112'!$M$9,G752,1)),"",IF((AND(FIND('112'!$M$9,G752,1)&gt;=1,B752='112'!$K$9,OR($N752='112'!$I$6,$O752='112'!$I$6))),"x",""))</f>
        <v/>
      </c>
      <c r="U752" s="75" t="str">
        <f>IF(ISERROR(FIND('112'!$M$9,G752,1)),"",IF((AND(LEFT(G752,2)=LEFT('112'!$M$9,2),B752&lt;'112'!$K$9,$N752='112'!$I$6)),"x",""))</f>
        <v/>
      </c>
      <c r="V752" s="75" t="str">
        <f>IF(ISERROR(FIND('112'!$M$9,G752,1)),"",IF((AND(RIGHT(G752,2)=RIGHT('112'!$M$9,2),B752&lt;'112'!$K$9,$O752='112'!$I$6)),"x",""))</f>
        <v/>
      </c>
      <c r="W752" s="75" t="str">
        <f>IF(AND('341-CT'!$H$9=H752,OR(LEFT(N752,3)=$W$7,LEFT(O752,3)=$W$7)),"x","")</f>
        <v/>
      </c>
      <c r="X752" s="75" t="str">
        <f>IF(OR(TH!N752=TH!$X$7,O752=TH!$X$7),"x","")</f>
        <v/>
      </c>
      <c r="Y752" s="75" t="str">
        <f>IF(AND(OR(N752="131",O752="131"),H752='131-CT'!$H$9),"x","")</f>
        <v/>
      </c>
      <c r="Z752" s="75"/>
      <c r="AA752" s="75" t="str">
        <f>IF(AND(MONTH(E752)='IN-NX'!$J$5,'IN-NX'!$D$7=D752),"x","")</f>
        <v/>
      </c>
      <c r="AB752" s="75" t="str">
        <f>IF(AND(OR(LEFT(TH!N752,2)="15",LEFT(TH!O752,2)="15"),LEFT(TH!O752,3)&lt;&gt;"111",'152-CT'!$J$8=TH!F752),"x","")</f>
        <v/>
      </c>
      <c r="AC752" s="75" t="str">
        <f>IF(AND(OR(LEFT(TH!N752,2)="15",LEFT(TH!O752,2)="15"),TK!$E$7=TH!F752),"x","")</f>
        <v/>
      </c>
      <c r="AD752" s="75" t="str">
        <f>IF(AND(N752="1521",MONTH(C752)='BK-NL'!$M$11),"x","")</f>
        <v/>
      </c>
    </row>
    <row r="753" spans="1:31" ht="16.5" customHeight="1">
      <c r="A753" s="309" t="str">
        <f>IF(B753&lt;&gt;"",IF(AND(B753='IN-TC'!$S$4,OR(TH!N753="1111",TH!O753="1111")),TH!D753,""),"")</f>
        <v/>
      </c>
      <c r="B753" s="1245">
        <f t="shared" si="102"/>
        <v>11</v>
      </c>
      <c r="C753" s="929">
        <v>43052</v>
      </c>
      <c r="D753" s="929" t="s">
        <v>530</v>
      </c>
      <c r="E753" s="929">
        <f t="shared" si="104"/>
        <v>43052</v>
      </c>
      <c r="F753" s="930" t="s">
        <v>823</v>
      </c>
      <c r="G753" s="931" t="s">
        <v>2542</v>
      </c>
      <c r="H753" s="73" t="s">
        <v>755</v>
      </c>
      <c r="I753" s="371"/>
      <c r="J753" s="932"/>
      <c r="K753" s="371"/>
      <c r="L753" s="377"/>
      <c r="M753" s="933">
        <v>4179985</v>
      </c>
      <c r="N753" s="934" t="s">
        <v>539</v>
      </c>
      <c r="O753" s="934" t="s">
        <v>8</v>
      </c>
      <c r="P753" s="75" t="str">
        <f>IF(AND('331-CT'!$E$7=TH!H753,OR(N753="331",O753="331")),"x","")</f>
        <v/>
      </c>
      <c r="Q753" s="75" t="str">
        <f>IF(AND(B753='111'!$L$11,OR($N753=$Q$7,$O753=$Q$7)),"x","")</f>
        <v/>
      </c>
      <c r="R753" s="75" t="str">
        <f>IF(AND($N753=$Q$7,$B753&lt;'111'!$L$11),"x","")</f>
        <v/>
      </c>
      <c r="S753" s="75" t="str">
        <f>IF(AND($O753=$Q$7,$B753&lt;'111'!$L$11),"x","")</f>
        <v/>
      </c>
      <c r="T753" s="75" t="str">
        <f>IF(ISERROR(FIND('112'!$M$9,G753,1)),"",IF((AND(FIND('112'!$M$9,G753,1)&gt;=1,B753='112'!$K$9,OR($N753='112'!$I$6,$O753='112'!$I$6))),"x",""))</f>
        <v/>
      </c>
      <c r="U753" s="75" t="str">
        <f>IF(ISERROR(FIND('112'!$M$9,G753,1)),"",IF((AND(LEFT(G753,2)=LEFT('112'!$M$9,2),B753&lt;'112'!$K$9,$N753='112'!$I$6)),"x",""))</f>
        <v/>
      </c>
      <c r="V753" s="75" t="str">
        <f>IF(ISERROR(FIND('112'!$M$9,G753,1)),"",IF((AND(RIGHT(G753,2)=RIGHT('112'!$M$9,2),B753&lt;'112'!$K$9,$O753='112'!$I$6)),"x",""))</f>
        <v/>
      </c>
      <c r="W753" s="75" t="str">
        <f>IF(AND('341-CT'!$H$9=H753,OR(LEFT(N753,3)=$W$7,LEFT(O753,3)=$W$7)),"x","")</f>
        <v/>
      </c>
      <c r="X753" s="75" t="str">
        <f>IF(OR(TH!N753=TH!$X$7,O753=TH!$X$7),"x","")</f>
        <v/>
      </c>
      <c r="Y753" s="75" t="str">
        <f>IF(AND(OR(N753="131",O753="131"),H753='131-CT'!$H$9),"x","")</f>
        <v/>
      </c>
      <c r="Z753" s="75"/>
      <c r="AA753" s="75" t="str">
        <f>IF(AND(MONTH(E753)='IN-NX'!$J$5,'IN-NX'!$D$7=D753),"x","")</f>
        <v/>
      </c>
      <c r="AB753" s="75" t="str">
        <f>IF(AND(OR(LEFT(TH!N753,2)="15",LEFT(TH!O753,2)="15"),LEFT(TH!O753,3)&lt;&gt;"111",'152-CT'!$J$8=TH!F753),"x","")</f>
        <v/>
      </c>
      <c r="AC753" s="75" t="str">
        <f>IF(AND(OR(LEFT(TH!N753,2)="15",LEFT(TH!O753,2)="15"),TK!$E$7=TH!F753),"x","")</f>
        <v/>
      </c>
      <c r="AD753" s="75" t="str">
        <f>IF(AND(N753="1521",MONTH(C753)='BK-NL'!$M$11),"x","")</f>
        <v/>
      </c>
      <c r="AE753">
        <v>11</v>
      </c>
    </row>
    <row r="754" spans="1:31" ht="16.5" customHeight="1">
      <c r="A754" s="309" t="str">
        <f>IF(B754&lt;&gt;"",IF(AND(B754='IN-TC'!$S$4,OR(TH!N754="1111",TH!O754="1111")),TH!D754,""),"")</f>
        <v/>
      </c>
      <c r="B754" s="1245">
        <f t="shared" si="102"/>
        <v>11</v>
      </c>
      <c r="C754" s="929">
        <v>43052</v>
      </c>
      <c r="D754" s="929" t="s">
        <v>530</v>
      </c>
      <c r="E754" s="929">
        <f t="shared" si="104"/>
        <v>43052</v>
      </c>
      <c r="F754" s="930" t="s">
        <v>824</v>
      </c>
      <c r="G754" s="931" t="s">
        <v>2542</v>
      </c>
      <c r="H754" s="73" t="s">
        <v>755</v>
      </c>
      <c r="I754" s="371"/>
      <c r="J754" s="932"/>
      <c r="K754" s="371"/>
      <c r="L754" s="377"/>
      <c r="M754" s="933">
        <v>417999</v>
      </c>
      <c r="N754" s="934" t="s">
        <v>9</v>
      </c>
      <c r="O754" s="934" t="s">
        <v>8</v>
      </c>
      <c r="P754" s="75" t="str">
        <f>IF(AND('331-CT'!$E$7=TH!H754,OR(N754="331",O754="331")),"x","")</f>
        <v/>
      </c>
      <c r="Q754" s="75" t="str">
        <f>IF(AND(B754='111'!$L$11,OR($N754=$Q$7,$O754=$Q$7)),"x","")</f>
        <v/>
      </c>
      <c r="R754" s="75" t="str">
        <f>IF(AND($N754=$Q$7,$B754&lt;'111'!$L$11),"x","")</f>
        <v/>
      </c>
      <c r="S754" s="75" t="str">
        <f>IF(AND($O754=$Q$7,$B754&lt;'111'!$L$11),"x","")</f>
        <v/>
      </c>
      <c r="T754" s="75" t="str">
        <f>IF(ISERROR(FIND('112'!$M$9,G754,1)),"",IF((AND(FIND('112'!$M$9,G754,1)&gt;=1,B754='112'!$K$9,OR($N754='112'!$I$6,$O754='112'!$I$6))),"x",""))</f>
        <v/>
      </c>
      <c r="U754" s="75" t="str">
        <f>IF(ISERROR(FIND('112'!$M$9,G754,1)),"",IF((AND(LEFT(G754,2)=LEFT('112'!$M$9,2),B754&lt;'112'!$K$9,$N754='112'!$I$6)),"x",""))</f>
        <v/>
      </c>
      <c r="V754" s="75" t="str">
        <f>IF(ISERROR(FIND('112'!$M$9,G754,1)),"",IF((AND(RIGHT(G754,2)=RIGHT('112'!$M$9,2),B754&lt;'112'!$K$9,$O754='112'!$I$6)),"x",""))</f>
        <v/>
      </c>
      <c r="W754" s="75" t="str">
        <f>IF(AND('341-CT'!$H$9=H754,OR(LEFT(N754,3)=$W$7,LEFT(O754,3)=$W$7)),"x","")</f>
        <v/>
      </c>
      <c r="X754" s="75" t="str">
        <f>IF(OR(TH!N754=TH!$X$7,O754=TH!$X$7),"x","")</f>
        <v/>
      </c>
      <c r="Y754" s="75" t="str">
        <f>IF(AND(OR(N754="131",O754="131"),H754='131-CT'!$H$9),"x","")</f>
        <v/>
      </c>
      <c r="Z754" s="75"/>
      <c r="AA754" s="75" t="str">
        <f>IF(AND(MONTH(E754)='IN-NX'!$J$5,'IN-NX'!$D$7=D754),"x","")</f>
        <v/>
      </c>
      <c r="AB754" s="75" t="str">
        <f>IF(AND(OR(LEFT(TH!N754,2)="15",LEFT(TH!O754,2)="15"),LEFT(TH!O754,3)&lt;&gt;"111",'152-CT'!$J$8=TH!F754),"x","")</f>
        <v/>
      </c>
      <c r="AC754" s="75" t="str">
        <f>IF(AND(OR(LEFT(TH!N754,2)="15",LEFT(TH!O754,2)="15"),TK!$E$7=TH!F754),"x","")</f>
        <v/>
      </c>
      <c r="AD754" s="75" t="str">
        <f>IF(AND(N754="1521",MONTH(C754)='BK-NL'!$M$11),"x","")</f>
        <v/>
      </c>
      <c r="AE754">
        <v>11</v>
      </c>
    </row>
    <row r="755" spans="1:31" ht="16.5" customHeight="1">
      <c r="A755" s="309" t="str">
        <f>IF(B755&lt;&gt;"",IF(AND(B755='IN-TC'!$S$4,OR(TH!N755="1111",TH!O755="1111")),TH!D755,""),"")</f>
        <v/>
      </c>
      <c r="B755" s="1245">
        <f t="shared" ref="B755:B767" si="105">IF(C755&lt;&gt;"",MONTH(C755),"")</f>
        <v>11</v>
      </c>
      <c r="C755" s="929">
        <v>43062</v>
      </c>
      <c r="D755" s="929" t="s">
        <v>530</v>
      </c>
      <c r="E755" s="929">
        <f t="shared" ref="E755:E757" si="106">C755</f>
        <v>43062</v>
      </c>
      <c r="F755" s="930" t="s">
        <v>1192</v>
      </c>
      <c r="G755" s="931" t="s">
        <v>2623</v>
      </c>
      <c r="H755" s="73" t="s">
        <v>755</v>
      </c>
      <c r="I755" s="371"/>
      <c r="J755" s="932"/>
      <c r="K755" s="371"/>
      <c r="L755" s="377"/>
      <c r="M755" s="933">
        <v>7996000</v>
      </c>
      <c r="N755" s="934" t="s">
        <v>539</v>
      </c>
      <c r="O755" s="934" t="s">
        <v>8</v>
      </c>
      <c r="P755" s="75" t="str">
        <f>IF(AND('331-CT'!$E$7=TH!H755,OR(N755="331",O755="331")),"x","")</f>
        <v/>
      </c>
      <c r="Q755" s="75" t="str">
        <f>IF(AND(B755='111'!$L$11,OR($N755=$Q$7,$O755=$Q$7)),"x","")</f>
        <v/>
      </c>
      <c r="R755" s="75" t="str">
        <f>IF(AND($N755=$Q$7,$B755&lt;'111'!$L$11),"x","")</f>
        <v/>
      </c>
      <c r="S755" s="75" t="str">
        <f>IF(AND($O755=$Q$7,$B755&lt;'111'!$L$11),"x","")</f>
        <v/>
      </c>
      <c r="T755" s="75" t="str">
        <f>IF(ISERROR(FIND('112'!$M$9,G755,1)),"",IF((AND(FIND('112'!$M$9,G755,1)&gt;=1,B755='112'!$K$9,OR($N755='112'!$I$6,$O755='112'!$I$6))),"x",""))</f>
        <v/>
      </c>
      <c r="U755" s="75" t="str">
        <f>IF(ISERROR(FIND('112'!$M$9,G755,1)),"",IF((AND(LEFT(G755,2)=LEFT('112'!$M$9,2),B755&lt;'112'!$K$9,$N755='112'!$I$6)),"x",""))</f>
        <v/>
      </c>
      <c r="V755" s="75" t="str">
        <f>IF(ISERROR(FIND('112'!$M$9,G755,1)),"",IF((AND(RIGHT(G755,2)=RIGHT('112'!$M$9,2),B755&lt;'112'!$K$9,$O755='112'!$I$6)),"x",""))</f>
        <v/>
      </c>
      <c r="W755" s="75" t="str">
        <f>IF(AND('341-CT'!$H$9=H755,OR(LEFT(N755,3)=$W$7,LEFT(O755,3)=$W$7)),"x","")</f>
        <v/>
      </c>
      <c r="X755" s="75" t="str">
        <f>IF(OR(TH!N755=TH!$X$7,O755=TH!$X$7),"x","")</f>
        <v/>
      </c>
      <c r="Y755" s="75" t="str">
        <f>IF(AND(OR(N755="131",O755="131"),H755='131-CT'!$H$9),"x","")</f>
        <v/>
      </c>
      <c r="Z755" s="75"/>
      <c r="AA755" s="75" t="str">
        <f>IF(AND(MONTH(E755)='IN-NX'!$J$5,'IN-NX'!$D$7=D755),"x","")</f>
        <v/>
      </c>
      <c r="AB755" s="75" t="str">
        <f>IF(AND(OR(LEFT(TH!N755,2)="15",LEFT(TH!O755,2)="15"),LEFT(TH!O755,3)&lt;&gt;"111",'152-CT'!$J$8=TH!F755),"x","")</f>
        <v/>
      </c>
      <c r="AC755" s="75" t="str">
        <f>IF(AND(OR(LEFT(TH!N755,2)="15",LEFT(TH!O755,2)="15"),TK!$E$7=TH!F755),"x","")</f>
        <v/>
      </c>
      <c r="AD755" s="75" t="str">
        <f>IF(AND(N755="1521",MONTH(C755)='BK-NL'!$M$11),"x","")</f>
        <v/>
      </c>
    </row>
    <row r="756" spans="1:31" ht="16.5" customHeight="1">
      <c r="A756" s="309" t="str">
        <f>IF(B756&lt;&gt;"",IF(AND(B756='IN-TC'!$S$4,OR(TH!N756="1111",TH!O756="1111")),TH!D756,""),"")</f>
        <v/>
      </c>
      <c r="B756" s="1245">
        <f t="shared" si="105"/>
        <v>11</v>
      </c>
      <c r="C756" s="929">
        <v>43062</v>
      </c>
      <c r="D756" s="929" t="s">
        <v>530</v>
      </c>
      <c r="E756" s="929">
        <f t="shared" si="106"/>
        <v>43062</v>
      </c>
      <c r="F756" s="930" t="s">
        <v>823</v>
      </c>
      <c r="G756" s="931" t="s">
        <v>2622</v>
      </c>
      <c r="H756" s="73" t="s">
        <v>755</v>
      </c>
      <c r="I756" s="371"/>
      <c r="J756" s="932"/>
      <c r="K756" s="371"/>
      <c r="L756" s="377"/>
      <c r="M756" s="933">
        <v>4182280</v>
      </c>
      <c r="N756" s="934" t="s">
        <v>539</v>
      </c>
      <c r="O756" s="934" t="s">
        <v>8</v>
      </c>
      <c r="P756" s="75" t="str">
        <f>IF(AND('331-CT'!$E$7=TH!H756,OR(N756="331",O756="331")),"x","")</f>
        <v/>
      </c>
      <c r="Q756" s="75" t="str">
        <f>IF(AND(B756='111'!$L$11,OR($N756=$Q$7,$O756=$Q$7)),"x","")</f>
        <v/>
      </c>
      <c r="R756" s="75" t="str">
        <f>IF(AND($N756=$Q$7,$B756&lt;'111'!$L$11),"x","")</f>
        <v/>
      </c>
      <c r="S756" s="75" t="str">
        <f>IF(AND($O756=$Q$7,$B756&lt;'111'!$L$11),"x","")</f>
        <v/>
      </c>
      <c r="T756" s="75" t="str">
        <f>IF(ISERROR(FIND('112'!$M$9,G756,1)),"",IF((AND(FIND('112'!$M$9,G756,1)&gt;=1,B756='112'!$K$9,OR($N756='112'!$I$6,$O756='112'!$I$6))),"x",""))</f>
        <v/>
      </c>
      <c r="U756" s="75" t="str">
        <f>IF(ISERROR(FIND('112'!$M$9,G756,1)),"",IF((AND(LEFT(G756,2)=LEFT('112'!$M$9,2),B756&lt;'112'!$K$9,$N756='112'!$I$6)),"x",""))</f>
        <v/>
      </c>
      <c r="V756" s="75" t="str">
        <f>IF(ISERROR(FIND('112'!$M$9,G756,1)),"",IF((AND(RIGHT(G756,2)=RIGHT('112'!$M$9,2),B756&lt;'112'!$K$9,$O756='112'!$I$6)),"x",""))</f>
        <v/>
      </c>
      <c r="W756" s="75" t="str">
        <f>IF(AND('341-CT'!$H$9=H756,OR(LEFT(N756,3)=$W$7,LEFT(O756,3)=$W$7)),"x","")</f>
        <v/>
      </c>
      <c r="X756" s="75" t="str">
        <f>IF(OR(TH!N756=TH!$X$7,O756=TH!$X$7),"x","")</f>
        <v/>
      </c>
      <c r="Y756" s="75" t="str">
        <f>IF(AND(OR(N756="131",O756="131"),H756='131-CT'!$H$9),"x","")</f>
        <v/>
      </c>
      <c r="Z756" s="75"/>
      <c r="AA756" s="75" t="str">
        <f>IF(AND(MONTH(E756)='IN-NX'!$J$5,'IN-NX'!$D$7=D756),"x","")</f>
        <v/>
      </c>
      <c r="AB756" s="75" t="str">
        <f>IF(AND(OR(LEFT(TH!N756,2)="15",LEFT(TH!O756,2)="15"),LEFT(TH!O756,3)&lt;&gt;"111",'152-CT'!$J$8=TH!F756),"x","")</f>
        <v/>
      </c>
      <c r="AC756" s="75" t="str">
        <f>IF(AND(OR(LEFT(TH!N756,2)="15",LEFT(TH!O756,2)="15"),TK!$E$7=TH!F756),"x","")</f>
        <v/>
      </c>
      <c r="AD756" s="75" t="str">
        <f>IF(AND(N756="1521",MONTH(C756)='BK-NL'!$M$11),"x","")</f>
        <v/>
      </c>
      <c r="AE756">
        <v>11</v>
      </c>
    </row>
    <row r="757" spans="1:31" ht="16.5" customHeight="1">
      <c r="A757" s="309" t="str">
        <f>IF(B757&lt;&gt;"",IF(AND(B757='IN-TC'!$S$4,OR(TH!N757="1111",TH!O757="1111")),TH!D757,""),"")</f>
        <v/>
      </c>
      <c r="B757" s="1245">
        <f t="shared" si="105"/>
        <v>11</v>
      </c>
      <c r="C757" s="929">
        <v>43062</v>
      </c>
      <c r="D757" s="929" t="s">
        <v>530</v>
      </c>
      <c r="E757" s="929">
        <f t="shared" si="106"/>
        <v>43062</v>
      </c>
      <c r="F757" s="930" t="s">
        <v>824</v>
      </c>
      <c r="G757" s="931" t="s">
        <v>2622</v>
      </c>
      <c r="H757" s="73" t="s">
        <v>755</v>
      </c>
      <c r="I757" s="371"/>
      <c r="J757" s="932"/>
      <c r="K757" s="371"/>
      <c r="L757" s="377"/>
      <c r="M757" s="933">
        <v>418228</v>
      </c>
      <c r="N757" s="934" t="s">
        <v>9</v>
      </c>
      <c r="O757" s="934" t="s">
        <v>8</v>
      </c>
      <c r="P757" s="75" t="str">
        <f>IF(AND('331-CT'!$E$7=TH!H757,OR(N757="331",O757="331")),"x","")</f>
        <v/>
      </c>
      <c r="Q757" s="75" t="str">
        <f>IF(AND(B757='111'!$L$11,OR($N757=$Q$7,$O757=$Q$7)),"x","")</f>
        <v/>
      </c>
      <c r="R757" s="75" t="str">
        <f>IF(AND($N757=$Q$7,$B757&lt;'111'!$L$11),"x","")</f>
        <v/>
      </c>
      <c r="S757" s="75" t="str">
        <f>IF(AND($O757=$Q$7,$B757&lt;'111'!$L$11),"x","")</f>
        <v/>
      </c>
      <c r="T757" s="75" t="str">
        <f>IF(ISERROR(FIND('112'!$M$9,G757,1)),"",IF((AND(FIND('112'!$M$9,G757,1)&gt;=1,B757='112'!$K$9,OR($N757='112'!$I$6,$O757='112'!$I$6))),"x",""))</f>
        <v/>
      </c>
      <c r="U757" s="75" t="str">
        <f>IF(ISERROR(FIND('112'!$M$9,G757,1)),"",IF((AND(LEFT(G757,2)=LEFT('112'!$M$9,2),B757&lt;'112'!$K$9,$N757='112'!$I$6)),"x",""))</f>
        <v/>
      </c>
      <c r="V757" s="75" t="str">
        <f>IF(ISERROR(FIND('112'!$M$9,G757,1)),"",IF((AND(RIGHT(G757,2)=RIGHT('112'!$M$9,2),B757&lt;'112'!$K$9,$O757='112'!$I$6)),"x",""))</f>
        <v/>
      </c>
      <c r="W757" s="75" t="str">
        <f>IF(AND('341-CT'!$H$9=H757,OR(LEFT(N757,3)=$W$7,LEFT(O757,3)=$W$7)),"x","")</f>
        <v/>
      </c>
      <c r="X757" s="75" t="str">
        <f>IF(OR(TH!N757=TH!$X$7,O757=TH!$X$7),"x","")</f>
        <v/>
      </c>
      <c r="Y757" s="75" t="str">
        <f>IF(AND(OR(N757="131",O757="131"),H757='131-CT'!$H$9),"x","")</f>
        <v/>
      </c>
      <c r="Z757" s="75"/>
      <c r="AA757" s="75" t="str">
        <f>IF(AND(MONTH(E757)='IN-NX'!$J$5,'IN-NX'!$D$7=D757),"x","")</f>
        <v/>
      </c>
      <c r="AB757" s="75" t="str">
        <f>IF(AND(OR(LEFT(TH!N757,2)="15",LEFT(TH!O757,2)="15"),LEFT(TH!O757,3)&lt;&gt;"111",'152-CT'!$J$8=TH!F757),"x","")</f>
        <v/>
      </c>
      <c r="AC757" s="75" t="str">
        <f>IF(AND(OR(LEFT(TH!N757,2)="15",LEFT(TH!O757,2)="15"),TK!$E$7=TH!F757),"x","")</f>
        <v/>
      </c>
      <c r="AD757" s="75" t="str">
        <f>IF(AND(N757="1521",MONTH(C757)='BK-NL'!$M$11),"x","")</f>
        <v/>
      </c>
      <c r="AE757">
        <v>11</v>
      </c>
    </row>
    <row r="758" spans="1:31" ht="16.5" customHeight="1">
      <c r="A758" s="309" t="str">
        <f>IF(B758&lt;&gt;"",IF(AND(B758='IN-TC'!$S$4,OR(TH!N758="1111",TH!O758="1111")),TH!D758,""),"")</f>
        <v/>
      </c>
      <c r="B758" s="1245">
        <f t="shared" ref="B758:B762" si="107">IF(C758&lt;&gt;"",MONTH(C758),"")</f>
        <v>11</v>
      </c>
      <c r="C758" s="929">
        <v>43069</v>
      </c>
      <c r="D758" s="929" t="s">
        <v>530</v>
      </c>
      <c r="E758" s="929">
        <f t="shared" ref="E758:E760" si="108">C758</f>
        <v>43069</v>
      </c>
      <c r="F758" s="930" t="s">
        <v>1192</v>
      </c>
      <c r="G758" s="931" t="s">
        <v>2670</v>
      </c>
      <c r="H758" s="73" t="s">
        <v>755</v>
      </c>
      <c r="I758" s="371"/>
      <c r="J758" s="932"/>
      <c r="K758" s="371"/>
      <c r="L758" s="377"/>
      <c r="M758" s="933">
        <v>7694250</v>
      </c>
      <c r="N758" s="934" t="s">
        <v>539</v>
      </c>
      <c r="O758" s="934" t="s">
        <v>8</v>
      </c>
      <c r="P758" s="75" t="str">
        <f>IF(AND('331-CT'!$E$7=TH!H758,OR(N758="331",O758="331")),"x","")</f>
        <v/>
      </c>
      <c r="Q758" s="75" t="str">
        <f>IF(AND(B758='111'!$L$11,OR($N758=$Q$7,$O758=$Q$7)),"x","")</f>
        <v/>
      </c>
      <c r="R758" s="75" t="str">
        <f>IF(AND($N758=$Q$7,$B758&lt;'111'!$L$11),"x","")</f>
        <v/>
      </c>
      <c r="S758" s="75" t="str">
        <f>IF(AND($O758=$Q$7,$B758&lt;'111'!$L$11),"x","")</f>
        <v/>
      </c>
      <c r="T758" s="75" t="str">
        <f>IF(ISERROR(FIND('112'!$M$9,G758,1)),"",IF((AND(FIND('112'!$M$9,G758,1)&gt;=1,B758='112'!$K$9,OR($N758='112'!$I$6,$O758='112'!$I$6))),"x",""))</f>
        <v/>
      </c>
      <c r="U758" s="75" t="str">
        <f>IF(ISERROR(FIND('112'!$M$9,G758,1)),"",IF((AND(LEFT(G758,2)=LEFT('112'!$M$9,2),B758&lt;'112'!$K$9,$N758='112'!$I$6)),"x",""))</f>
        <v/>
      </c>
      <c r="V758" s="75" t="str">
        <f>IF(ISERROR(FIND('112'!$M$9,G758,1)),"",IF((AND(RIGHT(G758,2)=RIGHT('112'!$M$9,2),B758&lt;'112'!$K$9,$O758='112'!$I$6)),"x",""))</f>
        <v/>
      </c>
      <c r="W758" s="75" t="str">
        <f>IF(AND('341-CT'!$H$9=H758,OR(LEFT(N758,3)=$W$7,LEFT(O758,3)=$W$7)),"x","")</f>
        <v/>
      </c>
      <c r="X758" s="75" t="str">
        <f>IF(OR(TH!N758=TH!$X$7,O758=TH!$X$7),"x","")</f>
        <v/>
      </c>
      <c r="Y758" s="75" t="str">
        <f>IF(AND(OR(N758="131",O758="131"),H758='131-CT'!$H$9),"x","")</f>
        <v/>
      </c>
      <c r="Z758" s="75"/>
      <c r="AA758" s="75" t="str">
        <f>IF(AND(MONTH(E758)='IN-NX'!$J$5,'IN-NX'!$D$7=D758),"x","")</f>
        <v/>
      </c>
      <c r="AB758" s="75" t="str">
        <f>IF(AND(OR(LEFT(TH!N758,2)="15",LEFT(TH!O758,2)="15"),LEFT(TH!O758,3)&lt;&gt;"111",'152-CT'!$J$8=TH!F758),"x","")</f>
        <v/>
      </c>
      <c r="AC758" s="75" t="str">
        <f>IF(AND(OR(LEFT(TH!N758,2)="15",LEFT(TH!O758,2)="15"),TK!$E$7=TH!F758),"x","")</f>
        <v/>
      </c>
      <c r="AD758" s="75" t="str">
        <f>IF(AND(N758="1521",MONTH(C758)='BK-NL'!$M$11),"x","")</f>
        <v/>
      </c>
    </row>
    <row r="759" spans="1:31" ht="16.5" customHeight="1">
      <c r="A759" s="309" t="str">
        <f>IF(B759&lt;&gt;"",IF(AND(B759='IN-TC'!$S$4,OR(TH!N759="1111",TH!O759="1111")),TH!D759,""),"")</f>
        <v/>
      </c>
      <c r="B759" s="1245">
        <f t="shared" si="107"/>
        <v>11</v>
      </c>
      <c r="C759" s="929">
        <v>43069</v>
      </c>
      <c r="D759" s="929" t="s">
        <v>530</v>
      </c>
      <c r="E759" s="929">
        <f t="shared" si="108"/>
        <v>43069</v>
      </c>
      <c r="F759" s="930" t="s">
        <v>823</v>
      </c>
      <c r="G759" s="931" t="s">
        <v>2671</v>
      </c>
      <c r="H759" s="73" t="s">
        <v>755</v>
      </c>
      <c r="I759" s="371"/>
      <c r="J759" s="932"/>
      <c r="K759" s="371"/>
      <c r="L759" s="377"/>
      <c r="M759" s="933">
        <v>4181515</v>
      </c>
      <c r="N759" s="934" t="s">
        <v>539</v>
      </c>
      <c r="O759" s="934" t="s">
        <v>8</v>
      </c>
      <c r="P759" s="75" t="str">
        <f>IF(AND('331-CT'!$E$7=TH!H759,OR(N759="331",O759="331")),"x","")</f>
        <v/>
      </c>
      <c r="Q759" s="75" t="str">
        <f>IF(AND(B759='111'!$L$11,OR($N759=$Q$7,$O759=$Q$7)),"x","")</f>
        <v/>
      </c>
      <c r="R759" s="75" t="str">
        <f>IF(AND($N759=$Q$7,$B759&lt;'111'!$L$11),"x","")</f>
        <v/>
      </c>
      <c r="S759" s="75" t="str">
        <f>IF(AND($O759=$Q$7,$B759&lt;'111'!$L$11),"x","")</f>
        <v/>
      </c>
      <c r="T759" s="75" t="str">
        <f>IF(ISERROR(FIND('112'!$M$9,G759,1)),"",IF((AND(FIND('112'!$M$9,G759,1)&gt;=1,B759='112'!$K$9,OR($N759='112'!$I$6,$O759='112'!$I$6))),"x",""))</f>
        <v/>
      </c>
      <c r="U759" s="75" t="str">
        <f>IF(ISERROR(FIND('112'!$M$9,G759,1)),"",IF((AND(LEFT(G759,2)=LEFT('112'!$M$9,2),B759&lt;'112'!$K$9,$N759='112'!$I$6)),"x",""))</f>
        <v/>
      </c>
      <c r="V759" s="75" t="str">
        <f>IF(ISERROR(FIND('112'!$M$9,G759,1)),"",IF((AND(RIGHT(G759,2)=RIGHT('112'!$M$9,2),B759&lt;'112'!$K$9,$O759='112'!$I$6)),"x",""))</f>
        <v/>
      </c>
      <c r="W759" s="75" t="str">
        <f>IF(AND('341-CT'!$H$9=H759,OR(LEFT(N759,3)=$W$7,LEFT(O759,3)=$W$7)),"x","")</f>
        <v/>
      </c>
      <c r="X759" s="75" t="str">
        <f>IF(OR(TH!N759=TH!$X$7,O759=TH!$X$7),"x","")</f>
        <v/>
      </c>
      <c r="Y759" s="75" t="str">
        <f>IF(AND(OR(N759="131",O759="131"),H759='131-CT'!$H$9),"x","")</f>
        <v/>
      </c>
      <c r="Z759" s="75"/>
      <c r="AA759" s="75" t="str">
        <f>IF(AND(MONTH(E759)='IN-NX'!$J$5,'IN-NX'!$D$7=D759),"x","")</f>
        <v/>
      </c>
      <c r="AB759" s="75" t="str">
        <f>IF(AND(OR(LEFT(TH!N759,2)="15",LEFT(TH!O759,2)="15"),LEFT(TH!O759,3)&lt;&gt;"111",'152-CT'!$J$8=TH!F759),"x","")</f>
        <v/>
      </c>
      <c r="AC759" s="75" t="str">
        <f>IF(AND(OR(LEFT(TH!N759,2)="15",LEFT(TH!O759,2)="15"),TK!$E$7=TH!F759),"x","")</f>
        <v/>
      </c>
      <c r="AD759" s="75" t="str">
        <f>IF(AND(N759="1521",MONTH(C759)='BK-NL'!$M$11),"x","")</f>
        <v/>
      </c>
      <c r="AE759">
        <v>11</v>
      </c>
    </row>
    <row r="760" spans="1:31" ht="16.5" customHeight="1">
      <c r="A760" s="309" t="str">
        <f>IF(B760&lt;&gt;"",IF(AND(B760='IN-TC'!$S$4,OR(TH!N760="1111",TH!O760="1111")),TH!D760,""),"")</f>
        <v/>
      </c>
      <c r="B760" s="1245">
        <f t="shared" si="107"/>
        <v>11</v>
      </c>
      <c r="C760" s="929">
        <v>43069</v>
      </c>
      <c r="D760" s="929" t="s">
        <v>530</v>
      </c>
      <c r="E760" s="929">
        <f t="shared" si="108"/>
        <v>43069</v>
      </c>
      <c r="F760" s="930" t="s">
        <v>824</v>
      </c>
      <c r="G760" s="931" t="s">
        <v>2671</v>
      </c>
      <c r="H760" s="73" t="s">
        <v>755</v>
      </c>
      <c r="I760" s="371"/>
      <c r="J760" s="932"/>
      <c r="K760" s="371"/>
      <c r="L760" s="377"/>
      <c r="M760" s="933">
        <v>418152</v>
      </c>
      <c r="N760" s="934" t="s">
        <v>9</v>
      </c>
      <c r="O760" s="934" t="s">
        <v>8</v>
      </c>
      <c r="P760" s="75" t="str">
        <f>IF(AND('331-CT'!$E$7=TH!H760,OR(N760="331",O760="331")),"x","")</f>
        <v/>
      </c>
      <c r="Q760" s="75" t="str">
        <f>IF(AND(B760='111'!$L$11,OR($N760=$Q$7,$O760=$Q$7)),"x","")</f>
        <v/>
      </c>
      <c r="R760" s="75" t="str">
        <f>IF(AND($N760=$Q$7,$B760&lt;'111'!$L$11),"x","")</f>
        <v/>
      </c>
      <c r="S760" s="75" t="str">
        <f>IF(AND($O760=$Q$7,$B760&lt;'111'!$L$11),"x","")</f>
        <v/>
      </c>
      <c r="T760" s="75" t="str">
        <f>IF(ISERROR(FIND('112'!$M$9,G760,1)),"",IF((AND(FIND('112'!$M$9,G760,1)&gt;=1,B760='112'!$K$9,OR($N760='112'!$I$6,$O760='112'!$I$6))),"x",""))</f>
        <v/>
      </c>
      <c r="U760" s="75" t="str">
        <f>IF(ISERROR(FIND('112'!$M$9,G760,1)),"",IF((AND(LEFT(G760,2)=LEFT('112'!$M$9,2),B760&lt;'112'!$K$9,$N760='112'!$I$6)),"x",""))</f>
        <v/>
      </c>
      <c r="V760" s="75" t="str">
        <f>IF(ISERROR(FIND('112'!$M$9,G760,1)),"",IF((AND(RIGHT(G760,2)=RIGHT('112'!$M$9,2),B760&lt;'112'!$K$9,$O760='112'!$I$6)),"x",""))</f>
        <v/>
      </c>
      <c r="W760" s="75" t="str">
        <f>IF(AND('341-CT'!$H$9=H760,OR(LEFT(N760,3)=$W$7,LEFT(O760,3)=$W$7)),"x","")</f>
        <v/>
      </c>
      <c r="X760" s="75" t="str">
        <f>IF(OR(TH!N760=TH!$X$7,O760=TH!$X$7),"x","")</f>
        <v/>
      </c>
      <c r="Y760" s="75" t="str">
        <f>IF(AND(OR(N760="131",O760="131"),H760='131-CT'!$H$9),"x","")</f>
        <v/>
      </c>
      <c r="Z760" s="75"/>
      <c r="AA760" s="75" t="str">
        <f>IF(AND(MONTH(E760)='IN-NX'!$J$5,'IN-NX'!$D$7=D760),"x","")</f>
        <v/>
      </c>
      <c r="AB760" s="75" t="str">
        <f>IF(AND(OR(LEFT(TH!N760,2)="15",LEFT(TH!O760,2)="15"),LEFT(TH!O760,3)&lt;&gt;"111",'152-CT'!$J$8=TH!F760),"x","")</f>
        <v/>
      </c>
      <c r="AC760" s="75" t="str">
        <f>IF(AND(OR(LEFT(TH!N760,2)="15",LEFT(TH!O760,2)="15"),TK!$E$7=TH!F760),"x","")</f>
        <v/>
      </c>
      <c r="AD760" s="75" t="str">
        <f>IF(AND(N760="1521",MONTH(C760)='BK-NL'!$M$11),"x","")</f>
        <v/>
      </c>
      <c r="AE760">
        <v>11</v>
      </c>
    </row>
    <row r="761" spans="1:31" ht="16.5" customHeight="1">
      <c r="A761" s="309" t="str">
        <f>IF(B761&lt;&gt;"",IF(AND(B761='IN-TC'!$S$4,OR(TH!N761="1111",TH!O761="1111")),TH!D761,""),"")</f>
        <v/>
      </c>
      <c r="B761" s="1245">
        <f t="shared" si="107"/>
        <v>11</v>
      </c>
      <c r="C761" s="929">
        <v>43059</v>
      </c>
      <c r="D761" s="929" t="s">
        <v>530</v>
      </c>
      <c r="E761" s="929">
        <v>43059</v>
      </c>
      <c r="F761" s="930" t="s">
        <v>1877</v>
      </c>
      <c r="G761" s="931" t="s">
        <v>2691</v>
      </c>
      <c r="H761" s="735" t="s">
        <v>749</v>
      </c>
      <c r="I761" s="371"/>
      <c r="J761" s="932"/>
      <c r="K761" s="371"/>
      <c r="L761" s="377"/>
      <c r="M761" s="933">
        <v>4753912</v>
      </c>
      <c r="N761" s="934" t="s">
        <v>539</v>
      </c>
      <c r="O761" s="934" t="s">
        <v>8</v>
      </c>
      <c r="P761" s="75" t="str">
        <f>IF(AND('331-CT'!$E$7=TH!H761,OR(N761="331",O761="331")),"x","")</f>
        <v/>
      </c>
      <c r="Q761" s="75" t="str">
        <f>IF(AND(B761='111'!$L$11,OR($N761=$Q$7,$O761=$Q$7)),"x","")</f>
        <v/>
      </c>
      <c r="R761" s="75" t="str">
        <f>IF(AND($N761=$Q$7,$B761&lt;'111'!$L$11),"x","")</f>
        <v/>
      </c>
      <c r="S761" s="75" t="str">
        <f>IF(AND($O761=$Q$7,$B761&lt;'111'!$L$11),"x","")</f>
        <v/>
      </c>
      <c r="T761" s="75" t="str">
        <f>IF(ISERROR(FIND('112'!$M$9,G761,1)),"",IF((AND(FIND('112'!$M$9,G761,1)&gt;=1,B761='112'!$K$9,OR($N761='112'!$I$6,$O761='112'!$I$6))),"x",""))</f>
        <v/>
      </c>
      <c r="U761" s="75" t="str">
        <f>IF(ISERROR(FIND('112'!$M$9,G761,1)),"",IF((AND(LEFT(G761,2)=LEFT('112'!$M$9,2),B761&lt;'112'!$K$9,$N761='112'!$I$6)),"x",""))</f>
        <v/>
      </c>
      <c r="V761" s="75" t="str">
        <f>IF(ISERROR(FIND('112'!$M$9,G761,1)),"",IF((AND(RIGHT(G761,2)=RIGHT('112'!$M$9,2),B761&lt;'112'!$K$9,$O761='112'!$I$6)),"x",""))</f>
        <v/>
      </c>
      <c r="W761" s="75" t="str">
        <f>IF(AND('341-CT'!$H$9=H761,OR(LEFT(N761,3)=$W$7,LEFT(O761,3)=$W$7)),"x","")</f>
        <v/>
      </c>
      <c r="X761" s="75" t="str">
        <f>IF(OR(TH!N761=TH!$X$7,O761=TH!$X$7),"x","")</f>
        <v/>
      </c>
      <c r="Y761" s="75" t="str">
        <f>IF(AND(OR(N761="131",O761="131"),H761='131-CT'!$H$9),"x","")</f>
        <v/>
      </c>
      <c r="Z761" s="75"/>
      <c r="AA761" s="75" t="str">
        <f>IF(AND(MONTH(E761)='IN-NX'!$J$5,'IN-NX'!$D$7=D761),"x","")</f>
        <v/>
      </c>
      <c r="AB761" s="75" t="str">
        <f>IF(AND(OR(LEFT(TH!N761,2)="15",LEFT(TH!O761,2)="15"),LEFT(TH!O761,3)&lt;&gt;"111",'152-CT'!$J$8=TH!F761),"x","")</f>
        <v/>
      </c>
      <c r="AC761" s="75" t="str">
        <f>IF(AND(OR(LEFT(TH!N761,2)="15",LEFT(TH!O761,2)="15"),TK!$E$7=TH!F761),"x","")</f>
        <v/>
      </c>
      <c r="AD761" s="75" t="str">
        <f>IF(AND(N761="1521",MONTH(C761)='BK-NL'!$M$11),"x","")</f>
        <v/>
      </c>
      <c r="AE761">
        <v>11</v>
      </c>
    </row>
    <row r="762" spans="1:31" ht="16.5" customHeight="1">
      <c r="A762" s="309" t="str">
        <f>IF(B762&lt;&gt;"",IF(AND(B762='IN-TC'!$S$4,OR(TH!N762="1111",TH!O762="1111")),TH!D762,""),"")</f>
        <v/>
      </c>
      <c r="B762" s="1245">
        <f t="shared" si="107"/>
        <v>11</v>
      </c>
      <c r="C762" s="929">
        <v>43059</v>
      </c>
      <c r="D762" s="929" t="s">
        <v>530</v>
      </c>
      <c r="E762" s="929">
        <v>43059</v>
      </c>
      <c r="F762" s="930" t="s">
        <v>1878</v>
      </c>
      <c r="G762" s="931" t="s">
        <v>2691</v>
      </c>
      <c r="H762" s="735" t="s">
        <v>749</v>
      </c>
      <c r="I762" s="371"/>
      <c r="J762" s="932"/>
      <c r="K762" s="371"/>
      <c r="L762" s="377"/>
      <c r="M762" s="933">
        <v>475391</v>
      </c>
      <c r="N762" s="934" t="s">
        <v>9</v>
      </c>
      <c r="O762" s="934" t="s">
        <v>8</v>
      </c>
      <c r="P762" s="75" t="str">
        <f>IF(AND('331-CT'!$E$7=TH!H762,OR(N762="331",O762="331")),"x","")</f>
        <v/>
      </c>
      <c r="Q762" s="75" t="str">
        <f>IF(AND(B762='111'!$L$11,OR($N762=$Q$7,$O762=$Q$7)),"x","")</f>
        <v/>
      </c>
      <c r="R762" s="75" t="str">
        <f>IF(AND($N762=$Q$7,$B762&lt;'111'!$L$11),"x","")</f>
        <v/>
      </c>
      <c r="S762" s="75" t="str">
        <f>IF(AND($O762=$Q$7,$B762&lt;'111'!$L$11),"x","")</f>
        <v/>
      </c>
      <c r="T762" s="75" t="str">
        <f>IF(ISERROR(FIND('112'!$M$9,G762,1)),"",IF((AND(FIND('112'!$M$9,G762,1)&gt;=1,B762='112'!$K$9,OR($N762='112'!$I$6,$O762='112'!$I$6))),"x",""))</f>
        <v/>
      </c>
      <c r="U762" s="75" t="str">
        <f>IF(ISERROR(FIND('112'!$M$9,G762,1)),"",IF((AND(LEFT(G762,2)=LEFT('112'!$M$9,2),B762&lt;'112'!$K$9,$N762='112'!$I$6)),"x",""))</f>
        <v/>
      </c>
      <c r="V762" s="75" t="str">
        <f>IF(ISERROR(FIND('112'!$M$9,G762,1)),"",IF((AND(RIGHT(G762,2)=RIGHT('112'!$M$9,2),B762&lt;'112'!$K$9,$O762='112'!$I$6)),"x",""))</f>
        <v/>
      </c>
      <c r="W762" s="75" t="str">
        <f>IF(AND('341-CT'!$H$9=H762,OR(LEFT(N762,3)=$W$7,LEFT(O762,3)=$W$7)),"x","")</f>
        <v/>
      </c>
      <c r="X762" s="75" t="str">
        <f>IF(OR(TH!N762=TH!$X$7,O762=TH!$X$7),"x","")</f>
        <v/>
      </c>
      <c r="Y762" s="75" t="str">
        <f>IF(AND(OR(N762="131",O762="131"),H762='131-CT'!$H$9),"x","")</f>
        <v/>
      </c>
      <c r="Z762" s="75"/>
      <c r="AA762" s="75" t="str">
        <f>IF(AND(MONTH(E762)='IN-NX'!$J$5,'IN-NX'!$D$7=D762),"x","")</f>
        <v/>
      </c>
      <c r="AB762" s="75" t="str">
        <f>IF(AND(OR(LEFT(TH!N762,2)="15",LEFT(TH!O762,2)="15"),LEFT(TH!O762,3)&lt;&gt;"111",'152-CT'!$J$8=TH!F762),"x","")</f>
        <v/>
      </c>
      <c r="AC762" s="75" t="str">
        <f>IF(AND(OR(LEFT(TH!N762,2)="15",LEFT(TH!O762,2)="15"),TK!$E$7=TH!F762),"x","")</f>
        <v/>
      </c>
      <c r="AD762" s="75" t="str">
        <f>IF(AND(N762="1521",MONTH(C762)='BK-NL'!$M$11),"x","")</f>
        <v/>
      </c>
      <c r="AE762">
        <v>11</v>
      </c>
    </row>
    <row r="763" spans="1:31" ht="16.5" customHeight="1">
      <c r="A763" s="309" t="str">
        <f>IF(B763&lt;&gt;"",IF(AND(B763='IN-TC'!$S$4,OR(TH!N763="1111",TH!O763="1111")),TH!D763,""),"")</f>
        <v/>
      </c>
      <c r="B763" s="1245">
        <f t="shared" si="105"/>
        <v>11</v>
      </c>
      <c r="C763" s="929">
        <v>43052</v>
      </c>
      <c r="D763" s="929" t="s">
        <v>530</v>
      </c>
      <c r="E763" s="929">
        <f>C763</f>
        <v>43052</v>
      </c>
      <c r="F763" s="930" t="s">
        <v>2620</v>
      </c>
      <c r="G763" s="931" t="s">
        <v>2616</v>
      </c>
      <c r="H763" s="296" t="s">
        <v>561</v>
      </c>
      <c r="I763" s="371"/>
      <c r="J763" s="932"/>
      <c r="K763" s="371"/>
      <c r="L763" s="377"/>
      <c r="M763" s="933">
        <v>1200000</v>
      </c>
      <c r="N763" s="934" t="s">
        <v>539</v>
      </c>
      <c r="O763" s="934" t="s">
        <v>8</v>
      </c>
      <c r="P763" s="75" t="str">
        <f>IF(AND('331-CT'!$E$7=TH!H763,OR(N763="331",O763="331")),"x","")</f>
        <v/>
      </c>
      <c r="Q763" s="75" t="str">
        <f>IF(AND(B763='111'!$L$11,OR($N763=$Q$7,$O763=$Q$7)),"x","")</f>
        <v/>
      </c>
      <c r="R763" s="75" t="str">
        <f>IF(AND($N763=$Q$7,$B763&lt;'111'!$L$11),"x","")</f>
        <v/>
      </c>
      <c r="S763" s="75" t="str">
        <f>IF(AND($O763=$Q$7,$B763&lt;'111'!$L$11),"x","")</f>
        <v/>
      </c>
      <c r="T763" s="75" t="str">
        <f>IF(ISERROR(FIND('112'!$M$9,G763,1)),"",IF((AND(FIND('112'!$M$9,G763,1)&gt;=1,B763='112'!$K$9,OR($N763='112'!$I$6,$O763='112'!$I$6))),"x",""))</f>
        <v/>
      </c>
      <c r="U763" s="75" t="str">
        <f>IF(ISERROR(FIND('112'!$M$9,G763,1)),"",IF((AND(LEFT(G763,2)=LEFT('112'!$M$9,2),B763&lt;'112'!$K$9,$N763='112'!$I$6)),"x",""))</f>
        <v/>
      </c>
      <c r="V763" s="75" t="str">
        <f>IF(ISERROR(FIND('112'!$M$9,G763,1)),"",IF((AND(RIGHT(G763,2)=RIGHT('112'!$M$9,2),B763&lt;'112'!$K$9,$O763='112'!$I$6)),"x",""))</f>
        <v/>
      </c>
      <c r="W763" s="75" t="str">
        <f>IF(AND('341-CT'!$H$9=H763,OR(LEFT(N763,3)=$W$7,LEFT(O763,3)=$W$7)),"x","")</f>
        <v/>
      </c>
      <c r="X763" s="75" t="str">
        <f>IF(OR(TH!N763=TH!$X$7,O763=TH!$X$7),"x","")</f>
        <v/>
      </c>
      <c r="Y763" s="75" t="str">
        <f>IF(AND(OR(N763="131",O763="131"),H763='131-CT'!$H$9),"x","")</f>
        <v/>
      </c>
      <c r="Z763" s="75"/>
      <c r="AA763" s="75" t="str">
        <f>IF(AND(MONTH(E763)='IN-NX'!$J$5,'IN-NX'!$D$7=D763),"x","")</f>
        <v/>
      </c>
      <c r="AB763" s="75" t="str">
        <f>IF(AND(OR(LEFT(TH!N763,2)="15",LEFT(TH!O763,2)="15"),LEFT(TH!O763,3)&lt;&gt;"111",'152-CT'!$J$8=TH!F763),"x","")</f>
        <v/>
      </c>
      <c r="AC763" s="75" t="str">
        <f>IF(AND(OR(LEFT(TH!N763,2)="15",LEFT(TH!O763,2)="15"),TK!$E$7=TH!F763),"x","")</f>
        <v/>
      </c>
      <c r="AD763" s="75" t="str">
        <f>IF(AND(N763="1521",MONTH(C763)='BK-NL'!$M$11),"x","")</f>
        <v/>
      </c>
    </row>
    <row r="764" spans="1:31" ht="16.5" customHeight="1">
      <c r="A764" s="309" t="str">
        <f>IF(B764&lt;&gt;"",IF(AND(B764='IN-TC'!$S$4,OR(TH!N764="1111",TH!O764="1111")),TH!D764,""),"")</f>
        <v/>
      </c>
      <c r="B764" s="1245">
        <f t="shared" si="105"/>
        <v>11</v>
      </c>
      <c r="C764" s="929">
        <v>43053</v>
      </c>
      <c r="D764" s="929" t="s">
        <v>530</v>
      </c>
      <c r="E764" s="929">
        <f>C764</f>
        <v>43053</v>
      </c>
      <c r="F764" s="930" t="s">
        <v>2620</v>
      </c>
      <c r="G764" s="931" t="s">
        <v>2617</v>
      </c>
      <c r="H764" s="296" t="s">
        <v>561</v>
      </c>
      <c r="I764" s="371"/>
      <c r="J764" s="932"/>
      <c r="K764" s="371"/>
      <c r="L764" s="377"/>
      <c r="M764" s="933">
        <v>8015000</v>
      </c>
      <c r="N764" s="934" t="s">
        <v>539</v>
      </c>
      <c r="O764" s="934" t="s">
        <v>8</v>
      </c>
      <c r="P764" s="75" t="str">
        <f>IF(AND('331-CT'!$E$7=TH!H764,OR(N764="331",O764="331")),"x","")</f>
        <v/>
      </c>
      <c r="Q764" s="75" t="str">
        <f>IF(AND(B764='111'!$L$11,OR($N764=$Q$7,$O764=$Q$7)),"x","")</f>
        <v/>
      </c>
      <c r="R764" s="75" t="str">
        <f>IF(AND($N764=$Q$7,$B764&lt;'111'!$L$11),"x","")</f>
        <v/>
      </c>
      <c r="S764" s="75" t="str">
        <f>IF(AND($O764=$Q$7,$B764&lt;'111'!$L$11),"x","")</f>
        <v/>
      </c>
      <c r="T764" s="75" t="str">
        <f>IF(ISERROR(FIND('112'!$M$9,G764,1)),"",IF((AND(FIND('112'!$M$9,G764,1)&gt;=1,B764='112'!$K$9,OR($N764='112'!$I$6,$O764='112'!$I$6))),"x",""))</f>
        <v/>
      </c>
      <c r="U764" s="75" t="str">
        <f>IF(ISERROR(FIND('112'!$M$9,G764,1)),"",IF((AND(LEFT(G764,2)=LEFT('112'!$M$9,2),B764&lt;'112'!$K$9,$N764='112'!$I$6)),"x",""))</f>
        <v/>
      </c>
      <c r="V764" s="75" t="str">
        <f>IF(ISERROR(FIND('112'!$M$9,G764,1)),"",IF((AND(RIGHT(G764,2)=RIGHT('112'!$M$9,2),B764&lt;'112'!$K$9,$O764='112'!$I$6)),"x",""))</f>
        <v/>
      </c>
      <c r="W764" s="75" t="str">
        <f>IF(AND('341-CT'!$H$9=H764,OR(LEFT(N764,3)=$W$7,LEFT(O764,3)=$W$7)),"x","")</f>
        <v/>
      </c>
      <c r="X764" s="75" t="str">
        <f>IF(OR(TH!N764=TH!$X$7,O764=TH!$X$7),"x","")</f>
        <v/>
      </c>
      <c r="Y764" s="75" t="str">
        <f>IF(AND(OR(N764="131",O764="131"),H764='131-CT'!$H$9),"x","")</f>
        <v/>
      </c>
      <c r="Z764" s="75"/>
      <c r="AA764" s="75" t="str">
        <f>IF(AND(MONTH(E764)='IN-NX'!$J$5,'IN-NX'!$D$7=D764),"x","")</f>
        <v/>
      </c>
      <c r="AB764" s="75" t="str">
        <f>IF(AND(OR(LEFT(TH!N764,2)="15",LEFT(TH!O764,2)="15"),LEFT(TH!O764,3)&lt;&gt;"111",'152-CT'!$J$8=TH!F764),"x","")</f>
        <v/>
      </c>
      <c r="AC764" s="75" t="str">
        <f>IF(AND(OR(LEFT(TH!N764,2)="15",LEFT(TH!O764,2)="15"),TK!$E$7=TH!F764),"x","")</f>
        <v/>
      </c>
      <c r="AD764" s="75" t="str">
        <f>IF(AND(N764="1521",MONTH(C764)='BK-NL'!$M$11),"x","")</f>
        <v/>
      </c>
    </row>
    <row r="765" spans="1:31" ht="16.5" customHeight="1">
      <c r="A765" s="309" t="str">
        <f>IF(B765&lt;&gt;"",IF(AND(B765='IN-TC'!$S$4,OR(TH!N765="1111",TH!O765="1111")),TH!D765,""),"")</f>
        <v/>
      </c>
      <c r="B765" s="1245">
        <f t="shared" si="105"/>
        <v>11</v>
      </c>
      <c r="C765" s="929">
        <v>43052</v>
      </c>
      <c r="D765" s="929" t="s">
        <v>530</v>
      </c>
      <c r="E765" s="929">
        <f>C765</f>
        <v>43052</v>
      </c>
      <c r="F765" s="930" t="s">
        <v>2621</v>
      </c>
      <c r="G765" s="931" t="s">
        <v>2618</v>
      </c>
      <c r="H765" s="296" t="s">
        <v>561</v>
      </c>
      <c r="I765" s="371"/>
      <c r="J765" s="932"/>
      <c r="K765" s="371"/>
      <c r="L765" s="377"/>
      <c r="M765" s="933">
        <v>1300000</v>
      </c>
      <c r="N765" s="934" t="s">
        <v>539</v>
      </c>
      <c r="O765" s="934" t="s">
        <v>8</v>
      </c>
      <c r="P765" s="75" t="str">
        <f>IF(AND('331-CT'!$E$7=TH!H765,OR(N765="331",O765="331")),"x","")</f>
        <v/>
      </c>
      <c r="Q765" s="75" t="str">
        <f>IF(AND(B765='111'!$L$11,OR($N765=$Q$7,$O765=$Q$7)),"x","")</f>
        <v/>
      </c>
      <c r="R765" s="75" t="str">
        <f>IF(AND($N765=$Q$7,$B765&lt;'111'!$L$11),"x","")</f>
        <v/>
      </c>
      <c r="S765" s="75" t="str">
        <f>IF(AND($O765=$Q$7,$B765&lt;'111'!$L$11),"x","")</f>
        <v/>
      </c>
      <c r="T765" s="75" t="str">
        <f>IF(ISERROR(FIND('112'!$M$9,G765,1)),"",IF((AND(FIND('112'!$M$9,G765,1)&gt;=1,B765='112'!$K$9,OR($N765='112'!$I$6,$O765='112'!$I$6))),"x",""))</f>
        <v/>
      </c>
      <c r="U765" s="75" t="str">
        <f>IF(ISERROR(FIND('112'!$M$9,G765,1)),"",IF((AND(LEFT(G765,2)=LEFT('112'!$M$9,2),B765&lt;'112'!$K$9,$N765='112'!$I$6)),"x",""))</f>
        <v/>
      </c>
      <c r="V765" s="75" t="str">
        <f>IF(ISERROR(FIND('112'!$M$9,G765,1)),"",IF((AND(RIGHT(G765,2)=RIGHT('112'!$M$9,2),B765&lt;'112'!$K$9,$O765='112'!$I$6)),"x",""))</f>
        <v/>
      </c>
      <c r="W765" s="75" t="str">
        <f>IF(AND('341-CT'!$H$9=H765,OR(LEFT(N765,3)=$W$7,LEFT(O765,3)=$W$7)),"x","")</f>
        <v/>
      </c>
      <c r="X765" s="75" t="str">
        <f>IF(OR(TH!N765=TH!$X$7,O765=TH!$X$7),"x","")</f>
        <v/>
      </c>
      <c r="Y765" s="75" t="str">
        <f>IF(AND(OR(N765="131",O765="131"),H765='131-CT'!$H$9),"x","")</f>
        <v/>
      </c>
      <c r="Z765" s="75"/>
      <c r="AA765" s="75" t="str">
        <f>IF(AND(MONTH(E765)='IN-NX'!$J$5,'IN-NX'!$D$7=D765),"x","")</f>
        <v/>
      </c>
      <c r="AB765" s="75" t="str">
        <f>IF(AND(OR(LEFT(TH!N765,2)="15",LEFT(TH!O765,2)="15"),LEFT(TH!O765,3)&lt;&gt;"111",'152-CT'!$J$8=TH!F765),"x","")</f>
        <v/>
      </c>
      <c r="AC765" s="75" t="str">
        <f>IF(AND(OR(LEFT(TH!N765,2)="15",LEFT(TH!O765,2)="15"),TK!$E$7=TH!F765),"x","")</f>
        <v/>
      </c>
      <c r="AD765" s="75" t="str">
        <f>IF(AND(N765="1521",MONTH(C765)='BK-NL'!$M$11),"x","")</f>
        <v/>
      </c>
    </row>
    <row r="766" spans="1:31" ht="16.5" customHeight="1">
      <c r="A766" s="309" t="str">
        <f>IF(B766&lt;&gt;"",IF(AND(B766='IN-TC'!$S$4,OR(TH!N766="1111",TH!O766="1111")),TH!D766,""),"")</f>
        <v/>
      </c>
      <c r="B766" s="1245">
        <f t="shared" si="105"/>
        <v>11</v>
      </c>
      <c r="C766" s="929">
        <v>43053</v>
      </c>
      <c r="D766" s="929" t="s">
        <v>530</v>
      </c>
      <c r="E766" s="929">
        <f>C766</f>
        <v>43053</v>
      </c>
      <c r="F766" s="930" t="s">
        <v>2621</v>
      </c>
      <c r="G766" s="931" t="s">
        <v>2619</v>
      </c>
      <c r="H766" s="296" t="s">
        <v>561</v>
      </c>
      <c r="I766" s="371"/>
      <c r="J766" s="932"/>
      <c r="K766" s="371"/>
      <c r="L766" s="377"/>
      <c r="M766" s="933">
        <v>2200000</v>
      </c>
      <c r="N766" s="934" t="s">
        <v>539</v>
      </c>
      <c r="O766" s="934" t="s">
        <v>8</v>
      </c>
      <c r="P766" s="75" t="str">
        <f>IF(AND('331-CT'!$E$7=TH!H766,OR(N766="331",O766="331")),"x","")</f>
        <v/>
      </c>
      <c r="Q766" s="75" t="str">
        <f>IF(AND(B766='111'!$L$11,OR($N766=$Q$7,$O766=$Q$7)),"x","")</f>
        <v/>
      </c>
      <c r="R766" s="75" t="str">
        <f>IF(AND($N766=$Q$7,$B766&lt;'111'!$L$11),"x","")</f>
        <v/>
      </c>
      <c r="S766" s="75" t="str">
        <f>IF(AND($O766=$Q$7,$B766&lt;'111'!$L$11),"x","")</f>
        <v/>
      </c>
      <c r="T766" s="75" t="str">
        <f>IF(ISERROR(FIND('112'!$M$9,G766,1)),"",IF((AND(FIND('112'!$M$9,G766,1)&gt;=1,B766='112'!$K$9,OR($N766='112'!$I$6,$O766='112'!$I$6))),"x",""))</f>
        <v/>
      </c>
      <c r="U766" s="75" t="str">
        <f>IF(ISERROR(FIND('112'!$M$9,G766,1)),"",IF((AND(LEFT(G766,2)=LEFT('112'!$M$9,2),B766&lt;'112'!$K$9,$N766='112'!$I$6)),"x",""))</f>
        <v/>
      </c>
      <c r="V766" s="75" t="str">
        <f>IF(ISERROR(FIND('112'!$M$9,G766,1)),"",IF((AND(RIGHT(G766,2)=RIGHT('112'!$M$9,2),B766&lt;'112'!$K$9,$O766='112'!$I$6)),"x",""))</f>
        <v/>
      </c>
      <c r="W766" s="75" t="str">
        <f>IF(AND('341-CT'!$H$9=H766,OR(LEFT(N766,3)=$W$7,LEFT(O766,3)=$W$7)),"x","")</f>
        <v/>
      </c>
      <c r="X766" s="75" t="str">
        <f>IF(OR(TH!N766=TH!$X$7,O766=TH!$X$7),"x","")</f>
        <v/>
      </c>
      <c r="Y766" s="75" t="str">
        <f>IF(AND(OR(N766="131",O766="131"),H766='131-CT'!$H$9),"x","")</f>
        <v/>
      </c>
      <c r="Z766" s="75"/>
      <c r="AA766" s="75" t="str">
        <f>IF(AND(MONTH(E766)='IN-NX'!$J$5,'IN-NX'!$D$7=D766),"x","")</f>
        <v/>
      </c>
      <c r="AB766" s="75" t="str">
        <f>IF(AND(OR(LEFT(TH!N766,2)="15",LEFT(TH!O766,2)="15"),LEFT(TH!O766,3)&lt;&gt;"111",'152-CT'!$J$8=TH!F766),"x","")</f>
        <v/>
      </c>
      <c r="AC766" s="75" t="str">
        <f>IF(AND(OR(LEFT(TH!N766,2)="15",LEFT(TH!O766,2)="15"),TK!$E$7=TH!F766),"x","")</f>
        <v/>
      </c>
      <c r="AD766" s="75" t="str">
        <f>IF(AND(N766="1521",MONTH(C766)='BK-NL'!$M$11),"x","")</f>
        <v/>
      </c>
    </row>
    <row r="767" spans="1:31" ht="16.5" customHeight="1">
      <c r="A767" s="309" t="str">
        <f>IF(B767&lt;&gt;"",IF(AND(B767='IN-TC'!$S$4,OR(TH!N767="1111",TH!O767="1111")),TH!D767,""),"")</f>
        <v/>
      </c>
      <c r="B767" s="1245">
        <f t="shared" si="105"/>
        <v>11</v>
      </c>
      <c r="C767" s="929">
        <v>43069</v>
      </c>
      <c r="D767" s="929" t="s">
        <v>530</v>
      </c>
      <c r="E767" s="929">
        <v>43046</v>
      </c>
      <c r="F767" s="930" t="s">
        <v>2587</v>
      </c>
      <c r="G767" s="931" t="s">
        <v>2665</v>
      </c>
      <c r="H767" s="735" t="s">
        <v>563</v>
      </c>
      <c r="I767" s="371"/>
      <c r="J767" s="932"/>
      <c r="K767" s="371"/>
      <c r="L767" s="377"/>
      <c r="M767" s="933">
        <v>30365800</v>
      </c>
      <c r="N767" s="934" t="s">
        <v>272</v>
      </c>
      <c r="O767" s="934" t="s">
        <v>8</v>
      </c>
      <c r="P767" s="75" t="str">
        <f>IF(AND('331-CT'!$E$7=TH!H767,OR(N767="331",O767="331")),"x","")</f>
        <v/>
      </c>
      <c r="Q767" s="75" t="str">
        <f>IF(AND(B767='111'!$L$11,OR($N767=$Q$7,$O767=$Q$7)),"x","")</f>
        <v/>
      </c>
      <c r="R767" s="75" t="str">
        <f>IF(AND($N767=$Q$7,$B767&lt;'111'!$L$11),"x","")</f>
        <v/>
      </c>
      <c r="S767" s="75" t="str">
        <f>IF(AND($O767=$Q$7,$B767&lt;'111'!$L$11),"x","")</f>
        <v/>
      </c>
      <c r="T767" s="75" t="str">
        <f>IF(ISERROR(FIND('112'!$M$9,G767,1)),"",IF((AND(FIND('112'!$M$9,G767,1)&gt;=1,B767='112'!$K$9,OR($N767='112'!$I$6,$O767='112'!$I$6))),"x",""))</f>
        <v/>
      </c>
      <c r="U767" s="75" t="str">
        <f>IF(ISERROR(FIND('112'!$M$9,G767,1)),"",IF((AND(LEFT(G767,2)=LEFT('112'!$M$9,2),B767&lt;'112'!$K$9,$N767='112'!$I$6)),"x",""))</f>
        <v/>
      </c>
      <c r="V767" s="75" t="str">
        <f>IF(ISERROR(FIND('112'!$M$9,G767,1)),"",IF((AND(RIGHT(G767,2)=RIGHT('112'!$M$9,2),B767&lt;'112'!$K$9,$O767='112'!$I$6)),"x",""))</f>
        <v/>
      </c>
      <c r="W767" s="75" t="str">
        <f>IF(AND('341-CT'!$H$9=H767,OR(LEFT(N767,3)=$W$7,LEFT(O767,3)=$W$7)),"x","")</f>
        <v/>
      </c>
      <c r="X767" s="75" t="str">
        <f>IF(OR(TH!N767=TH!$X$7,O767=TH!$X$7),"x","")</f>
        <v/>
      </c>
      <c r="Y767" s="75" t="str">
        <f>IF(AND(OR(N767="131",O767="131"),H767='131-CT'!$H$9),"x","")</f>
        <v/>
      </c>
      <c r="Z767" s="75"/>
      <c r="AA767" s="75" t="str">
        <f>IF(AND(MONTH(E767)='IN-NX'!$J$5,'IN-NX'!$D$7=D767),"x","")</f>
        <v/>
      </c>
      <c r="AB767" s="75" t="str">
        <f>IF(AND(OR(LEFT(TH!N767,2)="15",LEFT(TH!O767,2)="15"),LEFT(TH!O767,3)&lt;&gt;"111",'152-CT'!$J$8=TH!F767),"x","")</f>
        <v/>
      </c>
      <c r="AC767" s="75" t="str">
        <f>IF(AND(OR(LEFT(TH!N767,2)="15",LEFT(TH!O767,2)="15"),TK!$E$7=TH!F767),"x","")</f>
        <v/>
      </c>
      <c r="AD767" s="75" t="str">
        <f>IF(AND(N767="1521",MONTH(C767)='BK-NL'!$M$11),"x","")</f>
        <v/>
      </c>
      <c r="AE767">
        <v>11</v>
      </c>
    </row>
    <row r="768" spans="1:31" ht="16.5" customHeight="1">
      <c r="A768" s="309" t="str">
        <f>IF(B768&lt;&gt;"",IF(AND(B768='IN-TC'!$S$4,OR(TH!N768="1111",TH!O768="1111")),TH!D768,""),"")</f>
        <v/>
      </c>
      <c r="B768" s="1245">
        <f t="shared" si="102"/>
        <v>11</v>
      </c>
      <c r="C768" s="929">
        <v>43069</v>
      </c>
      <c r="D768" s="929" t="s">
        <v>530</v>
      </c>
      <c r="E768" s="929">
        <v>43046</v>
      </c>
      <c r="F768" s="930" t="s">
        <v>2588</v>
      </c>
      <c r="G768" s="931" t="s">
        <v>2665</v>
      </c>
      <c r="H768" s="735" t="s">
        <v>563</v>
      </c>
      <c r="I768" s="371"/>
      <c r="J768" s="932"/>
      <c r="K768" s="371"/>
      <c r="L768" s="377"/>
      <c r="M768" s="933">
        <v>3036580</v>
      </c>
      <c r="N768" s="934" t="s">
        <v>9</v>
      </c>
      <c r="O768" s="934" t="s">
        <v>8</v>
      </c>
      <c r="P768" s="75" t="str">
        <f>IF(AND('331-CT'!$E$7=TH!H768,OR(N768="331",O768="331")),"x","")</f>
        <v/>
      </c>
      <c r="Q768" s="75" t="str">
        <f>IF(AND(B768='111'!$L$11,OR($N768=$Q$7,$O768=$Q$7)),"x","")</f>
        <v/>
      </c>
      <c r="R768" s="75" t="str">
        <f>IF(AND($N768=$Q$7,$B768&lt;'111'!$L$11),"x","")</f>
        <v/>
      </c>
      <c r="S768" s="75" t="str">
        <f>IF(AND($O768=$Q$7,$B768&lt;'111'!$L$11),"x","")</f>
        <v/>
      </c>
      <c r="T768" s="75" t="str">
        <f>IF(ISERROR(FIND('112'!$M$9,G768,1)),"",IF((AND(FIND('112'!$M$9,G768,1)&gt;=1,B768='112'!$K$9,OR($N768='112'!$I$6,$O768='112'!$I$6))),"x",""))</f>
        <v/>
      </c>
      <c r="U768" s="75" t="str">
        <f>IF(ISERROR(FIND('112'!$M$9,G768,1)),"",IF((AND(LEFT(G768,2)=LEFT('112'!$M$9,2),B768&lt;'112'!$K$9,$N768='112'!$I$6)),"x",""))</f>
        <v/>
      </c>
      <c r="V768" s="75" t="str">
        <f>IF(ISERROR(FIND('112'!$M$9,G768,1)),"",IF((AND(RIGHT(G768,2)=RIGHT('112'!$M$9,2),B768&lt;'112'!$K$9,$O768='112'!$I$6)),"x",""))</f>
        <v/>
      </c>
      <c r="W768" s="75" t="str">
        <f>IF(AND('341-CT'!$H$9=H768,OR(LEFT(N768,3)=$W$7,LEFT(O768,3)=$W$7)),"x","")</f>
        <v/>
      </c>
      <c r="X768" s="75" t="str">
        <f>IF(OR(TH!N768=TH!$X$7,O768=TH!$X$7),"x","")</f>
        <v/>
      </c>
      <c r="Y768" s="75" t="str">
        <f>IF(AND(OR(N768="131",O768="131"),H768='131-CT'!$H$9),"x","")</f>
        <v/>
      </c>
      <c r="Z768" s="75"/>
      <c r="AA768" s="75" t="str">
        <f>IF(AND(MONTH(E768)='IN-NX'!$J$5,'IN-NX'!$D$7=D768),"x","")</f>
        <v/>
      </c>
      <c r="AB768" s="75" t="str">
        <f>IF(AND(OR(LEFT(TH!N768,2)="15",LEFT(TH!O768,2)="15"),LEFT(TH!O768,3)&lt;&gt;"111",'152-CT'!$J$8=TH!F768),"x","")</f>
        <v/>
      </c>
      <c r="AC768" s="75" t="str">
        <f>IF(AND(OR(LEFT(TH!N768,2)="15",LEFT(TH!O768,2)="15"),TK!$E$7=TH!F768),"x","")</f>
        <v/>
      </c>
      <c r="AD768" s="75" t="str">
        <f>IF(AND(N768="1521",MONTH(C768)='BK-NL'!$M$11),"x","")</f>
        <v/>
      </c>
      <c r="AE768">
        <v>11</v>
      </c>
    </row>
    <row r="769" spans="1:31" ht="16.5" customHeight="1">
      <c r="A769" s="309" t="str">
        <f>IF(B769&lt;&gt;"",IF(AND(B769='IN-TC'!$S$4,OR(TH!N769="1111",TH!O769="1111")),TH!D769,""),"")</f>
        <v/>
      </c>
      <c r="B769" s="1245">
        <f t="shared" si="102"/>
        <v>11</v>
      </c>
      <c r="C769" s="929">
        <v>43069</v>
      </c>
      <c r="D769" s="929" t="s">
        <v>530</v>
      </c>
      <c r="E769" s="929">
        <v>43055</v>
      </c>
      <c r="F769" s="930" t="s">
        <v>2589</v>
      </c>
      <c r="G769" s="931" t="s">
        <v>2666</v>
      </c>
      <c r="H769" s="735" t="s">
        <v>563</v>
      </c>
      <c r="I769" s="371"/>
      <c r="J769" s="932"/>
      <c r="K769" s="371"/>
      <c r="L769" s="377"/>
      <c r="M769" s="933">
        <v>30083800</v>
      </c>
      <c r="N769" s="934" t="s">
        <v>272</v>
      </c>
      <c r="O769" s="934" t="s">
        <v>8</v>
      </c>
      <c r="P769" s="75" t="str">
        <f>IF(AND('331-CT'!$E$7=TH!H769,OR(N769="331",O769="331")),"x","")</f>
        <v/>
      </c>
      <c r="Q769" s="75" t="str">
        <f>IF(AND(B769='111'!$L$11,OR($N769=$Q$7,$O769=$Q$7)),"x","")</f>
        <v/>
      </c>
      <c r="R769" s="75" t="str">
        <f>IF(AND($N769=$Q$7,$B769&lt;'111'!$L$11),"x","")</f>
        <v/>
      </c>
      <c r="S769" s="75" t="str">
        <f>IF(AND($O769=$Q$7,$B769&lt;'111'!$L$11),"x","")</f>
        <v/>
      </c>
      <c r="T769" s="75" t="str">
        <f>IF(ISERROR(FIND('112'!$M$9,G769,1)),"",IF((AND(FIND('112'!$M$9,G769,1)&gt;=1,B769='112'!$K$9,OR($N769='112'!$I$6,$O769='112'!$I$6))),"x",""))</f>
        <v/>
      </c>
      <c r="U769" s="75" t="str">
        <f>IF(ISERROR(FIND('112'!$M$9,G769,1)),"",IF((AND(LEFT(G769,2)=LEFT('112'!$M$9,2),B769&lt;'112'!$K$9,$N769='112'!$I$6)),"x",""))</f>
        <v/>
      </c>
      <c r="V769" s="75" t="str">
        <f>IF(ISERROR(FIND('112'!$M$9,G769,1)),"",IF((AND(RIGHT(G769,2)=RIGHT('112'!$M$9,2),B769&lt;'112'!$K$9,$O769='112'!$I$6)),"x",""))</f>
        <v/>
      </c>
      <c r="W769" s="75" t="str">
        <f>IF(AND('341-CT'!$H$9=H769,OR(LEFT(N769,3)=$W$7,LEFT(O769,3)=$W$7)),"x","")</f>
        <v/>
      </c>
      <c r="X769" s="75" t="str">
        <f>IF(OR(TH!N769=TH!$X$7,O769=TH!$X$7),"x","")</f>
        <v/>
      </c>
      <c r="Y769" s="75" t="str">
        <f>IF(AND(OR(N769="131",O769="131"),H769='131-CT'!$H$9),"x","")</f>
        <v/>
      </c>
      <c r="Z769" s="75"/>
      <c r="AA769" s="75" t="str">
        <f>IF(AND(MONTH(E769)='IN-NX'!$J$5,'IN-NX'!$D$7=D769),"x","")</f>
        <v/>
      </c>
      <c r="AB769" s="75" t="str">
        <f>IF(AND(OR(LEFT(TH!N769,2)="15",LEFT(TH!O769,2)="15"),LEFT(TH!O769,3)&lt;&gt;"111",'152-CT'!$J$8=TH!F769),"x","")</f>
        <v/>
      </c>
      <c r="AC769" s="75" t="str">
        <f>IF(AND(OR(LEFT(TH!N769,2)="15",LEFT(TH!O769,2)="15"),TK!$E$7=TH!F769),"x","")</f>
        <v/>
      </c>
      <c r="AD769" s="75" t="str">
        <f>IF(AND(N769="1521",MONTH(C769)='BK-NL'!$M$11),"x","")</f>
        <v/>
      </c>
      <c r="AE769">
        <v>11</v>
      </c>
    </row>
    <row r="770" spans="1:31" ht="16.5" customHeight="1">
      <c r="A770" s="309" t="str">
        <f>IF(B770&lt;&gt;"",IF(AND(B770='IN-TC'!$S$4,OR(TH!N770="1111",TH!O770="1111")),TH!D770,""),"")</f>
        <v/>
      </c>
      <c r="B770" s="1245">
        <f t="shared" si="102"/>
        <v>11</v>
      </c>
      <c r="C770" s="929">
        <v>43069</v>
      </c>
      <c r="D770" s="929" t="s">
        <v>530</v>
      </c>
      <c r="E770" s="929">
        <v>43055</v>
      </c>
      <c r="F770" s="930" t="s">
        <v>2590</v>
      </c>
      <c r="G770" s="931" t="s">
        <v>2666</v>
      </c>
      <c r="H770" s="735" t="s">
        <v>563</v>
      </c>
      <c r="I770" s="371"/>
      <c r="J770" s="932"/>
      <c r="K770" s="371"/>
      <c r="L770" s="377"/>
      <c r="M770" s="933">
        <v>3008380</v>
      </c>
      <c r="N770" s="934" t="s">
        <v>9</v>
      </c>
      <c r="O770" s="934" t="s">
        <v>8</v>
      </c>
      <c r="P770" s="75" t="str">
        <f>IF(AND('331-CT'!$E$7=TH!H770,OR(N770="331",O770="331")),"x","")</f>
        <v/>
      </c>
      <c r="Q770" s="75" t="str">
        <f>IF(AND(B770='111'!$L$11,OR($N770=$Q$7,$O770=$Q$7)),"x","")</f>
        <v/>
      </c>
      <c r="R770" s="75" t="str">
        <f>IF(AND($N770=$Q$7,$B770&lt;'111'!$L$11),"x","")</f>
        <v/>
      </c>
      <c r="S770" s="75" t="str">
        <f>IF(AND($O770=$Q$7,$B770&lt;'111'!$L$11),"x","")</f>
        <v/>
      </c>
      <c r="T770" s="75" t="str">
        <f>IF(ISERROR(FIND('112'!$M$9,G770,1)),"",IF((AND(FIND('112'!$M$9,G770,1)&gt;=1,B770='112'!$K$9,OR($N770='112'!$I$6,$O770='112'!$I$6))),"x",""))</f>
        <v/>
      </c>
      <c r="U770" s="75" t="str">
        <f>IF(ISERROR(FIND('112'!$M$9,G770,1)),"",IF((AND(LEFT(G770,2)=LEFT('112'!$M$9,2),B770&lt;'112'!$K$9,$N770='112'!$I$6)),"x",""))</f>
        <v/>
      </c>
      <c r="V770" s="75" t="str">
        <f>IF(ISERROR(FIND('112'!$M$9,G770,1)),"",IF((AND(RIGHT(G770,2)=RIGHT('112'!$M$9,2),B770&lt;'112'!$K$9,$O770='112'!$I$6)),"x",""))</f>
        <v/>
      </c>
      <c r="W770" s="75" t="str">
        <f>IF(AND('341-CT'!$H$9=H770,OR(LEFT(N770,3)=$W$7,LEFT(O770,3)=$W$7)),"x","")</f>
        <v/>
      </c>
      <c r="X770" s="75" t="str">
        <f>IF(OR(TH!N770=TH!$X$7,O770=TH!$X$7),"x","")</f>
        <v/>
      </c>
      <c r="Y770" s="75" t="str">
        <f>IF(AND(OR(N770="131",O770="131"),H770='131-CT'!$H$9),"x","")</f>
        <v/>
      </c>
      <c r="Z770" s="75"/>
      <c r="AA770" s="75" t="str">
        <f>IF(AND(MONTH(E770)='IN-NX'!$J$5,'IN-NX'!$D$7=D770),"x","")</f>
        <v/>
      </c>
      <c r="AB770" s="75" t="str">
        <f>IF(AND(OR(LEFT(TH!N770,2)="15",LEFT(TH!O770,2)="15"),LEFT(TH!O770,3)&lt;&gt;"111",'152-CT'!$J$8=TH!F770),"x","")</f>
        <v/>
      </c>
      <c r="AC770" s="75" t="str">
        <f>IF(AND(OR(LEFT(TH!N770,2)="15",LEFT(TH!O770,2)="15"),TK!$E$7=TH!F770),"x","")</f>
        <v/>
      </c>
      <c r="AD770" s="75" t="str">
        <f>IF(AND(N770="1521",MONTH(C770)='BK-NL'!$M$11),"x","")</f>
        <v/>
      </c>
      <c r="AE770">
        <v>11</v>
      </c>
    </row>
    <row r="771" spans="1:31" ht="16.5" customHeight="1">
      <c r="A771" s="309" t="str">
        <f>IF(B771&lt;&gt;"",IF(AND(B771='IN-TC'!$S$4,OR(TH!N771="1111",TH!O771="1111")),TH!D771,""),"")</f>
        <v/>
      </c>
      <c r="B771" s="1245">
        <f t="shared" si="102"/>
        <v>11</v>
      </c>
      <c r="C771" s="929">
        <v>43069</v>
      </c>
      <c r="D771" s="929" t="s">
        <v>530</v>
      </c>
      <c r="E771" s="929">
        <v>43066</v>
      </c>
      <c r="F771" s="930" t="s">
        <v>2591</v>
      </c>
      <c r="G771" s="931" t="s">
        <v>2667</v>
      </c>
      <c r="H771" s="735" t="s">
        <v>563</v>
      </c>
      <c r="I771" s="371"/>
      <c r="J771" s="932"/>
      <c r="K771" s="371"/>
      <c r="L771" s="377"/>
      <c r="M771" s="933">
        <v>23062500</v>
      </c>
      <c r="N771" s="934" t="s">
        <v>272</v>
      </c>
      <c r="O771" s="934" t="s">
        <v>8</v>
      </c>
      <c r="P771" s="75" t="str">
        <f>IF(AND('331-CT'!$E$7=TH!H771,OR(N771="331",O771="331")),"x","")</f>
        <v/>
      </c>
      <c r="Q771" s="75" t="str">
        <f>IF(AND(B771='111'!$L$11,OR($N771=$Q$7,$O771=$Q$7)),"x","")</f>
        <v/>
      </c>
      <c r="R771" s="75" t="str">
        <f>IF(AND($N771=$Q$7,$B771&lt;'111'!$L$11),"x","")</f>
        <v/>
      </c>
      <c r="S771" s="75" t="str">
        <f>IF(AND($O771=$Q$7,$B771&lt;'111'!$L$11),"x","")</f>
        <v/>
      </c>
      <c r="T771" s="75" t="str">
        <f>IF(ISERROR(FIND('112'!$M$9,G771,1)),"",IF((AND(FIND('112'!$M$9,G771,1)&gt;=1,B771='112'!$K$9,OR($N771='112'!$I$6,$O771='112'!$I$6))),"x",""))</f>
        <v/>
      </c>
      <c r="U771" s="75" t="str">
        <f>IF(ISERROR(FIND('112'!$M$9,G771,1)),"",IF((AND(LEFT(G771,2)=LEFT('112'!$M$9,2),B771&lt;'112'!$K$9,$N771='112'!$I$6)),"x",""))</f>
        <v/>
      </c>
      <c r="V771" s="75" t="str">
        <f>IF(ISERROR(FIND('112'!$M$9,G771,1)),"",IF((AND(RIGHT(G771,2)=RIGHT('112'!$M$9,2),B771&lt;'112'!$K$9,$O771='112'!$I$6)),"x",""))</f>
        <v/>
      </c>
      <c r="W771" s="75" t="str">
        <f>IF(AND('341-CT'!$H$9=H771,OR(LEFT(N771,3)=$W$7,LEFT(O771,3)=$W$7)),"x","")</f>
        <v/>
      </c>
      <c r="X771" s="75" t="str">
        <f>IF(OR(TH!N771=TH!$X$7,O771=TH!$X$7),"x","")</f>
        <v/>
      </c>
      <c r="Y771" s="75" t="str">
        <f>IF(AND(OR(N771="131",O771="131"),H771='131-CT'!$H$9),"x","")</f>
        <v/>
      </c>
      <c r="Z771" s="75"/>
      <c r="AA771" s="75" t="str">
        <f>IF(AND(MONTH(E771)='IN-NX'!$J$5,'IN-NX'!$D$7=D771),"x","")</f>
        <v/>
      </c>
      <c r="AB771" s="75" t="str">
        <f>IF(AND(OR(LEFT(TH!N771,2)="15",LEFT(TH!O771,2)="15"),LEFT(TH!O771,3)&lt;&gt;"111",'152-CT'!$J$8=TH!F771),"x","")</f>
        <v/>
      </c>
      <c r="AC771" s="75" t="str">
        <f>IF(AND(OR(LEFT(TH!N771,2)="15",LEFT(TH!O771,2)="15"),TK!$E$7=TH!F771),"x","")</f>
        <v/>
      </c>
      <c r="AD771" s="75" t="str">
        <f>IF(AND(N771="1521",MONTH(C771)='BK-NL'!$M$11),"x","")</f>
        <v/>
      </c>
      <c r="AE771">
        <v>11</v>
      </c>
    </row>
    <row r="772" spans="1:31" ht="16.5" customHeight="1">
      <c r="A772" s="309" t="str">
        <f>IF(B772&lt;&gt;"",IF(AND(B772='IN-TC'!$S$4,OR(TH!N772="1111",TH!O772="1111")),TH!D772,""),"")</f>
        <v/>
      </c>
      <c r="B772" s="1245">
        <f t="shared" si="102"/>
        <v>11</v>
      </c>
      <c r="C772" s="929">
        <v>43069</v>
      </c>
      <c r="D772" s="929" t="s">
        <v>530</v>
      </c>
      <c r="E772" s="929">
        <v>43066</v>
      </c>
      <c r="F772" s="930" t="s">
        <v>2592</v>
      </c>
      <c r="G772" s="931" t="s">
        <v>2667</v>
      </c>
      <c r="H772" s="735" t="s">
        <v>563</v>
      </c>
      <c r="I772" s="371"/>
      <c r="J772" s="932"/>
      <c r="K772" s="371"/>
      <c r="L772" s="377"/>
      <c r="M772" s="933">
        <v>2306250</v>
      </c>
      <c r="N772" s="934" t="s">
        <v>9</v>
      </c>
      <c r="O772" s="934" t="s">
        <v>8</v>
      </c>
      <c r="P772" s="75" t="str">
        <f>IF(AND('331-CT'!$E$7=TH!H772,OR(N772="331",O772="331")),"x","")</f>
        <v/>
      </c>
      <c r="Q772" s="75" t="str">
        <f>IF(AND(B772='111'!$L$11,OR($N772=$Q$7,$O772=$Q$7)),"x","")</f>
        <v/>
      </c>
      <c r="R772" s="75" t="str">
        <f>IF(AND($N772=$Q$7,$B772&lt;'111'!$L$11),"x","")</f>
        <v/>
      </c>
      <c r="S772" s="75" t="str">
        <f>IF(AND($O772=$Q$7,$B772&lt;'111'!$L$11),"x","")</f>
        <v/>
      </c>
      <c r="T772" s="75" t="str">
        <f>IF(ISERROR(FIND('112'!$M$9,G772,1)),"",IF((AND(FIND('112'!$M$9,G772,1)&gt;=1,B772='112'!$K$9,OR($N772='112'!$I$6,$O772='112'!$I$6))),"x",""))</f>
        <v/>
      </c>
      <c r="U772" s="75" t="str">
        <f>IF(ISERROR(FIND('112'!$M$9,G772,1)),"",IF((AND(LEFT(G772,2)=LEFT('112'!$M$9,2),B772&lt;'112'!$K$9,$N772='112'!$I$6)),"x",""))</f>
        <v/>
      </c>
      <c r="V772" s="75" t="str">
        <f>IF(ISERROR(FIND('112'!$M$9,G772,1)),"",IF((AND(RIGHT(G772,2)=RIGHT('112'!$M$9,2),B772&lt;'112'!$K$9,$O772='112'!$I$6)),"x",""))</f>
        <v/>
      </c>
      <c r="W772" s="75" t="str">
        <f>IF(AND('341-CT'!$H$9=H772,OR(LEFT(N772,3)=$W$7,LEFT(O772,3)=$W$7)),"x","")</f>
        <v/>
      </c>
      <c r="X772" s="75" t="str">
        <f>IF(OR(TH!N772=TH!$X$7,O772=TH!$X$7),"x","")</f>
        <v/>
      </c>
      <c r="Y772" s="75" t="str">
        <f>IF(AND(OR(N772="131",O772="131"),H772='131-CT'!$H$9),"x","")</f>
        <v/>
      </c>
      <c r="Z772" s="75"/>
      <c r="AA772" s="75" t="str">
        <f>IF(AND(MONTH(E772)='IN-NX'!$J$5,'IN-NX'!$D$7=D772),"x","")</f>
        <v/>
      </c>
      <c r="AB772" s="75" t="str">
        <f>IF(AND(OR(LEFT(TH!N772,2)="15",LEFT(TH!O772,2)="15"),LEFT(TH!O772,3)&lt;&gt;"111",'152-CT'!$J$8=TH!F772),"x","")</f>
        <v/>
      </c>
      <c r="AC772" s="75" t="str">
        <f>IF(AND(OR(LEFT(TH!N772,2)="15",LEFT(TH!O772,2)="15"),TK!$E$7=TH!F772),"x","")</f>
        <v/>
      </c>
      <c r="AD772" s="75" t="str">
        <f>IF(AND(N772="1521",MONTH(C772)='BK-NL'!$M$11),"x","")</f>
        <v/>
      </c>
      <c r="AE772">
        <v>11</v>
      </c>
    </row>
    <row r="773" spans="1:31" ht="16.5" customHeight="1">
      <c r="A773" s="309" t="str">
        <f>IF(B773&lt;&gt;"",IF(AND(B773='IN-TC'!$S$4,OR(TH!N773="1111",TH!O773="1111")),TH!D773,""),"")</f>
        <v/>
      </c>
      <c r="B773" s="1245">
        <f t="shared" si="102"/>
        <v>11</v>
      </c>
      <c r="C773" s="929">
        <v>43059</v>
      </c>
      <c r="D773" s="929" t="s">
        <v>530</v>
      </c>
      <c r="E773" s="929">
        <v>43059</v>
      </c>
      <c r="F773" s="930" t="s">
        <v>1108</v>
      </c>
      <c r="G773" s="931" t="s">
        <v>2602</v>
      </c>
      <c r="H773" s="73" t="s">
        <v>562</v>
      </c>
      <c r="I773" s="371"/>
      <c r="J773" s="932"/>
      <c r="K773" s="371"/>
      <c r="L773" s="377"/>
      <c r="M773" s="933">
        <v>8577463</v>
      </c>
      <c r="N773" s="934" t="s">
        <v>539</v>
      </c>
      <c r="O773" s="934" t="s">
        <v>8</v>
      </c>
      <c r="P773" s="75" t="str">
        <f>IF(AND('331-CT'!$E$7=TH!H773,OR(N773="331",O773="331")),"x","")</f>
        <v/>
      </c>
      <c r="Q773" s="75" t="str">
        <f>IF(AND(B773='111'!$L$11,OR($N773=$Q$7,$O773=$Q$7)),"x","")</f>
        <v/>
      </c>
      <c r="R773" s="75" t="str">
        <f>IF(AND($N773=$Q$7,$B773&lt;'111'!$L$11),"x","")</f>
        <v/>
      </c>
      <c r="S773" s="75" t="str">
        <f>IF(AND($O773=$Q$7,$B773&lt;'111'!$L$11),"x","")</f>
        <v/>
      </c>
      <c r="T773" s="75" t="str">
        <f>IF(ISERROR(FIND('112'!$M$9,G773,1)),"",IF((AND(FIND('112'!$M$9,G773,1)&gt;=1,B773='112'!$K$9,OR($N773='112'!$I$6,$O773='112'!$I$6))),"x",""))</f>
        <v/>
      </c>
      <c r="U773" s="75" t="str">
        <f>IF(ISERROR(FIND('112'!$M$9,G773,1)),"",IF((AND(LEFT(G773,2)=LEFT('112'!$M$9,2),B773&lt;'112'!$K$9,$N773='112'!$I$6)),"x",""))</f>
        <v/>
      </c>
      <c r="V773" s="75" t="str">
        <f>IF(ISERROR(FIND('112'!$M$9,G773,1)),"",IF((AND(RIGHT(G773,2)=RIGHT('112'!$M$9,2),B773&lt;'112'!$K$9,$O773='112'!$I$6)),"x",""))</f>
        <v/>
      </c>
      <c r="W773" s="75" t="str">
        <f>IF(AND('341-CT'!$H$9=H773,OR(LEFT(N773,3)=$W$7,LEFT(O773,3)=$W$7)),"x","")</f>
        <v/>
      </c>
      <c r="X773" s="75" t="str">
        <f>IF(OR(TH!N773=TH!$X$7,O773=TH!$X$7),"x","")</f>
        <v/>
      </c>
      <c r="Y773" s="75" t="str">
        <f>IF(AND(OR(N773="131",O773="131"),H773='131-CT'!$H$9),"x","")</f>
        <v/>
      </c>
      <c r="Z773" s="75"/>
      <c r="AA773" s="75" t="str">
        <f>IF(AND(MONTH(E773)='IN-NX'!$J$5,'IN-NX'!$D$7=D773),"x","")</f>
        <v/>
      </c>
      <c r="AB773" s="75" t="str">
        <f>IF(AND(OR(LEFT(TH!N773,2)="15",LEFT(TH!O773,2)="15"),LEFT(TH!O773,3)&lt;&gt;"111",'152-CT'!$J$8=TH!F773),"x","")</f>
        <v/>
      </c>
      <c r="AC773" s="75" t="str">
        <f>IF(AND(OR(LEFT(TH!N773,2)="15",LEFT(TH!O773,2)="15"),TK!$E$7=TH!F773),"x","")</f>
        <v/>
      </c>
      <c r="AD773" s="75" t="str">
        <f>IF(AND(N773="1521",MONTH(C773)='BK-NL'!$M$11),"x","")</f>
        <v/>
      </c>
      <c r="AE773">
        <v>11</v>
      </c>
    </row>
    <row r="774" spans="1:31" ht="16.5" customHeight="1">
      <c r="A774" s="309" t="str">
        <f>IF(B774&lt;&gt;"",IF(AND(B774='IN-TC'!$S$4,OR(TH!N774="1111",TH!O774="1111")),TH!D774,""),"")</f>
        <v/>
      </c>
      <c r="B774" s="1245">
        <f t="shared" si="102"/>
        <v>11</v>
      </c>
      <c r="C774" s="929">
        <v>43059</v>
      </c>
      <c r="D774" s="929" t="s">
        <v>530</v>
      </c>
      <c r="E774" s="929">
        <v>43059</v>
      </c>
      <c r="F774" s="930" t="s">
        <v>1109</v>
      </c>
      <c r="G774" s="931" t="s">
        <v>2602</v>
      </c>
      <c r="H774" s="73" t="s">
        <v>562</v>
      </c>
      <c r="I774" s="371"/>
      <c r="J774" s="932"/>
      <c r="K774" s="371"/>
      <c r="L774" s="377"/>
      <c r="M774" s="1292">
        <v>857746</v>
      </c>
      <c r="N774" s="934" t="s">
        <v>9</v>
      </c>
      <c r="O774" s="934" t="s">
        <v>8</v>
      </c>
      <c r="P774" s="75" t="str">
        <f>IF(AND('331-CT'!$E$7=TH!H774,OR(N774="331",O774="331")),"x","")</f>
        <v/>
      </c>
      <c r="Q774" s="75" t="str">
        <f>IF(AND(B774='111'!$L$11,OR($N774=$Q$7,$O774=$Q$7)),"x","")</f>
        <v/>
      </c>
      <c r="R774" s="75" t="str">
        <f>IF(AND($N774=$Q$7,$B774&lt;'111'!$L$11),"x","")</f>
        <v/>
      </c>
      <c r="S774" s="75" t="str">
        <f>IF(AND($O774=$Q$7,$B774&lt;'111'!$L$11),"x","")</f>
        <v/>
      </c>
      <c r="T774" s="75" t="str">
        <f>IF(ISERROR(FIND('112'!$M$9,G774,1)),"",IF((AND(FIND('112'!$M$9,G774,1)&gt;=1,B774='112'!$K$9,OR($N774='112'!$I$6,$O774='112'!$I$6))),"x",""))</f>
        <v/>
      </c>
      <c r="U774" s="75" t="str">
        <f>IF(ISERROR(FIND('112'!$M$9,G774,1)),"",IF((AND(LEFT(G774,2)=LEFT('112'!$M$9,2),B774&lt;'112'!$K$9,$N774='112'!$I$6)),"x",""))</f>
        <v/>
      </c>
      <c r="V774" s="75" t="str">
        <f>IF(ISERROR(FIND('112'!$M$9,G774,1)),"",IF((AND(RIGHT(G774,2)=RIGHT('112'!$M$9,2),B774&lt;'112'!$K$9,$O774='112'!$I$6)),"x",""))</f>
        <v/>
      </c>
      <c r="W774" s="75" t="str">
        <f>IF(AND('341-CT'!$H$9=H774,OR(LEFT(N774,3)=$W$7,LEFT(O774,3)=$W$7)),"x","")</f>
        <v/>
      </c>
      <c r="X774" s="75" t="str">
        <f>IF(OR(TH!N774=TH!$X$7,O774=TH!$X$7),"x","")</f>
        <v/>
      </c>
      <c r="Y774" s="75" t="str">
        <f>IF(AND(OR(N774="131",O774="131"),H774='131-CT'!$H$9),"x","")</f>
        <v/>
      </c>
      <c r="Z774" s="75"/>
      <c r="AA774" s="75" t="str">
        <f>IF(AND(MONTH(E774)='IN-NX'!$J$5,'IN-NX'!$D$7=D774),"x","")</f>
        <v/>
      </c>
      <c r="AB774" s="75" t="str">
        <f>IF(AND(OR(LEFT(TH!N774,2)="15",LEFT(TH!O774,2)="15"),LEFT(TH!O774,3)&lt;&gt;"111",'152-CT'!$J$8=TH!F774),"x","")</f>
        <v/>
      </c>
      <c r="AC774" s="75" t="str">
        <f>IF(AND(OR(LEFT(TH!N774,2)="15",LEFT(TH!O774,2)="15"),TK!$E$7=TH!F774),"x","")</f>
        <v/>
      </c>
      <c r="AD774" s="75" t="str">
        <f>IF(AND(N774="1521",MONTH(C774)='BK-NL'!$M$11),"x","")</f>
        <v/>
      </c>
      <c r="AE774" s="1293" t="s">
        <v>2972</v>
      </c>
    </row>
    <row r="775" spans="1:31" ht="16.5" customHeight="1">
      <c r="A775" s="309" t="str">
        <f>IF(B775&lt;&gt;"",IF(AND(B775='IN-TC'!$S$4,OR(TH!N775="1111",TH!O775="1111")),TH!D775,""),"")</f>
        <v/>
      </c>
      <c r="B775" s="1245">
        <f t="shared" ref="B775:B778" si="109">IF(C775&lt;&gt;"",MONTH(C775),"")</f>
        <v>11</v>
      </c>
      <c r="C775" s="929">
        <v>43065</v>
      </c>
      <c r="D775" s="929" t="s">
        <v>530</v>
      </c>
      <c r="E775" s="929">
        <v>43065</v>
      </c>
      <c r="F775" s="930" t="s">
        <v>1108</v>
      </c>
      <c r="G775" s="931" t="s">
        <v>2654</v>
      </c>
      <c r="H775" s="73" t="s">
        <v>562</v>
      </c>
      <c r="I775" s="371"/>
      <c r="J775" s="932"/>
      <c r="K775" s="371"/>
      <c r="L775" s="377"/>
      <c r="M775" s="933">
        <v>3000000</v>
      </c>
      <c r="N775" s="934" t="s">
        <v>539</v>
      </c>
      <c r="O775" s="934" t="s">
        <v>8</v>
      </c>
      <c r="P775" s="75" t="str">
        <f>IF(AND('331-CT'!$E$7=TH!H775,OR(N775="331",O775="331")),"x","")</f>
        <v/>
      </c>
      <c r="Q775" s="75" t="str">
        <f>IF(AND(B775='111'!$L$11,OR($N775=$Q$7,$O775=$Q$7)),"x","")</f>
        <v/>
      </c>
      <c r="R775" s="75" t="str">
        <f>IF(AND($N775=$Q$7,$B775&lt;'111'!$L$11),"x","")</f>
        <v/>
      </c>
      <c r="S775" s="75" t="str">
        <f>IF(AND($O775=$Q$7,$B775&lt;'111'!$L$11),"x","")</f>
        <v/>
      </c>
      <c r="T775" s="75" t="str">
        <f>IF(ISERROR(FIND('112'!$M$9,G775,1)),"",IF((AND(FIND('112'!$M$9,G775,1)&gt;=1,B775='112'!$K$9,OR($N775='112'!$I$6,$O775='112'!$I$6))),"x",""))</f>
        <v/>
      </c>
      <c r="U775" s="75" t="str">
        <f>IF(ISERROR(FIND('112'!$M$9,G775,1)),"",IF((AND(LEFT(G775,2)=LEFT('112'!$M$9,2),B775&lt;'112'!$K$9,$N775='112'!$I$6)),"x",""))</f>
        <v/>
      </c>
      <c r="V775" s="75" t="str">
        <f>IF(ISERROR(FIND('112'!$M$9,G775,1)),"",IF((AND(RIGHT(G775,2)=RIGHT('112'!$M$9,2),B775&lt;'112'!$K$9,$O775='112'!$I$6)),"x",""))</f>
        <v/>
      </c>
      <c r="W775" s="75" t="str">
        <f>IF(AND('341-CT'!$H$9=H775,OR(LEFT(N775,3)=$W$7,LEFT(O775,3)=$W$7)),"x","")</f>
        <v/>
      </c>
      <c r="X775" s="75" t="str">
        <f>IF(OR(TH!N775=TH!$X$7,O775=TH!$X$7),"x","")</f>
        <v/>
      </c>
      <c r="Y775" s="75" t="str">
        <f>IF(AND(OR(N775="131",O775="131"),H775='131-CT'!$H$9),"x","")</f>
        <v/>
      </c>
      <c r="Z775" s="75"/>
      <c r="AA775" s="75" t="str">
        <f>IF(AND(MONTH(E775)='IN-NX'!$J$5,'IN-NX'!$D$7=D775),"x","")</f>
        <v/>
      </c>
      <c r="AB775" s="75" t="str">
        <f>IF(AND(OR(LEFT(TH!N775,2)="15",LEFT(TH!O775,2)="15"),LEFT(TH!O775,3)&lt;&gt;"111",'152-CT'!$J$8=TH!F775),"x","")</f>
        <v/>
      </c>
      <c r="AC775" s="75" t="str">
        <f>IF(AND(OR(LEFT(TH!N775,2)="15",LEFT(TH!O775,2)="15"),TK!$E$7=TH!F775),"x","")</f>
        <v/>
      </c>
      <c r="AD775" s="75" t="str">
        <f>IF(AND(N775="1521",MONTH(C775)='BK-NL'!$M$11),"x","")</f>
        <v/>
      </c>
      <c r="AE775">
        <v>11</v>
      </c>
    </row>
    <row r="776" spans="1:31" ht="16.5" customHeight="1">
      <c r="A776" s="309" t="str">
        <f>IF(B776&lt;&gt;"",IF(AND(B776='IN-TC'!$S$4,OR(TH!N776="1111",TH!O776="1111")),TH!D776,""),"")</f>
        <v/>
      </c>
      <c r="B776" s="1245">
        <f t="shared" si="109"/>
        <v>11</v>
      </c>
      <c r="C776" s="929">
        <v>43065</v>
      </c>
      <c r="D776" s="929" t="s">
        <v>530</v>
      </c>
      <c r="E776" s="929">
        <v>43065</v>
      </c>
      <c r="F776" s="930" t="s">
        <v>1109</v>
      </c>
      <c r="G776" s="931" t="s">
        <v>2654</v>
      </c>
      <c r="H776" s="73" t="s">
        <v>562</v>
      </c>
      <c r="I776" s="371"/>
      <c r="J776" s="932"/>
      <c r="K776" s="371"/>
      <c r="L776" s="377"/>
      <c r="M776" s="933">
        <v>300000</v>
      </c>
      <c r="N776" s="934" t="s">
        <v>9</v>
      </c>
      <c r="O776" s="934" t="s">
        <v>8</v>
      </c>
      <c r="P776" s="75" t="str">
        <f>IF(AND('331-CT'!$E$7=TH!H776,OR(N776="331",O776="331")),"x","")</f>
        <v/>
      </c>
      <c r="Q776" s="75" t="str">
        <f>IF(AND(B776='111'!$L$11,OR($N776=$Q$7,$O776=$Q$7)),"x","")</f>
        <v/>
      </c>
      <c r="R776" s="75" t="str">
        <f>IF(AND($N776=$Q$7,$B776&lt;'111'!$L$11),"x","")</f>
        <v/>
      </c>
      <c r="S776" s="75" t="str">
        <f>IF(AND($O776=$Q$7,$B776&lt;'111'!$L$11),"x","")</f>
        <v/>
      </c>
      <c r="T776" s="75" t="str">
        <f>IF(ISERROR(FIND('112'!$M$9,G776,1)),"",IF((AND(FIND('112'!$M$9,G776,1)&gt;=1,B776='112'!$K$9,OR($N776='112'!$I$6,$O776='112'!$I$6))),"x",""))</f>
        <v/>
      </c>
      <c r="U776" s="75" t="str">
        <f>IF(ISERROR(FIND('112'!$M$9,G776,1)),"",IF((AND(LEFT(G776,2)=LEFT('112'!$M$9,2),B776&lt;'112'!$K$9,$N776='112'!$I$6)),"x",""))</f>
        <v/>
      </c>
      <c r="V776" s="75" t="str">
        <f>IF(ISERROR(FIND('112'!$M$9,G776,1)),"",IF((AND(RIGHT(G776,2)=RIGHT('112'!$M$9,2),B776&lt;'112'!$K$9,$O776='112'!$I$6)),"x",""))</f>
        <v/>
      </c>
      <c r="W776" s="75" t="str">
        <f>IF(AND('341-CT'!$H$9=H776,OR(LEFT(N776,3)=$W$7,LEFT(O776,3)=$W$7)),"x","")</f>
        <v/>
      </c>
      <c r="X776" s="75" t="str">
        <f>IF(OR(TH!N776=TH!$X$7,O776=TH!$X$7),"x","")</f>
        <v/>
      </c>
      <c r="Y776" s="75" t="str">
        <f>IF(AND(OR(N776="131",O776="131"),H776='131-CT'!$H$9),"x","")</f>
        <v/>
      </c>
      <c r="Z776" s="75"/>
      <c r="AA776" s="75" t="str">
        <f>IF(AND(MONTH(E776)='IN-NX'!$J$5,'IN-NX'!$D$7=D776),"x","")</f>
        <v/>
      </c>
      <c r="AB776" s="75" t="str">
        <f>IF(AND(OR(LEFT(TH!N776,2)="15",LEFT(TH!O776,2)="15"),LEFT(TH!O776,3)&lt;&gt;"111",'152-CT'!$J$8=TH!F776),"x","")</f>
        <v/>
      </c>
      <c r="AC776" s="75" t="str">
        <f>IF(AND(OR(LEFT(TH!N776,2)="15",LEFT(TH!O776,2)="15"),TK!$E$7=TH!F776),"x","")</f>
        <v/>
      </c>
      <c r="AD776" s="75" t="str">
        <f>IF(AND(N776="1521",MONTH(C776)='BK-NL'!$M$11),"x","")</f>
        <v/>
      </c>
      <c r="AE776">
        <v>11</v>
      </c>
    </row>
    <row r="777" spans="1:31" ht="16.5" customHeight="1">
      <c r="A777" s="309" t="str">
        <f>IF(B777&lt;&gt;"",IF(AND(B777='IN-TC'!$S$4,OR(TH!N777="1111",TH!O777="1111")),TH!D777,""),"")</f>
        <v/>
      </c>
      <c r="B777" s="1245">
        <f t="shared" si="109"/>
        <v>11</v>
      </c>
      <c r="C777" s="929">
        <v>43068</v>
      </c>
      <c r="D777" s="929" t="s">
        <v>530</v>
      </c>
      <c r="E777" s="929">
        <v>43068</v>
      </c>
      <c r="F777" s="930" t="s">
        <v>2763</v>
      </c>
      <c r="G777" s="931" t="s">
        <v>2764</v>
      </c>
      <c r="H777" s="735" t="s">
        <v>739</v>
      </c>
      <c r="I777" s="371"/>
      <c r="J777" s="932"/>
      <c r="K777" s="371"/>
      <c r="L777" s="377"/>
      <c r="M777" s="933">
        <v>8200635</v>
      </c>
      <c r="N777" s="934" t="s">
        <v>539</v>
      </c>
      <c r="O777" s="934" t="s">
        <v>8</v>
      </c>
      <c r="P777" s="75" t="str">
        <f>IF(AND('331-CT'!$E$7=TH!H777,OR(N777="331",O777="331")),"x","")</f>
        <v/>
      </c>
      <c r="Q777" s="75" t="str">
        <f>IF(AND(B777='111'!$L$11,OR($N777=$Q$7,$O777=$Q$7)),"x","")</f>
        <v/>
      </c>
      <c r="R777" s="75" t="str">
        <f>IF(AND($N777=$Q$7,$B777&lt;'111'!$L$11),"x","")</f>
        <v/>
      </c>
      <c r="S777" s="75" t="str">
        <f>IF(AND($O777=$Q$7,$B777&lt;'111'!$L$11),"x","")</f>
        <v/>
      </c>
      <c r="T777" s="75" t="str">
        <f>IF(ISERROR(FIND('112'!$M$9,G777,1)),"",IF((AND(FIND('112'!$M$9,G777,1)&gt;=1,B777='112'!$K$9,OR($N777='112'!$I$6,$O777='112'!$I$6))),"x",""))</f>
        <v/>
      </c>
      <c r="U777" s="75" t="str">
        <f>IF(ISERROR(FIND('112'!$M$9,G777,1)),"",IF((AND(LEFT(G777,2)=LEFT('112'!$M$9,2),B777&lt;'112'!$K$9,$N777='112'!$I$6)),"x",""))</f>
        <v/>
      </c>
      <c r="V777" s="75" t="str">
        <f>IF(ISERROR(FIND('112'!$M$9,G777,1)),"",IF((AND(RIGHT(G777,2)=RIGHT('112'!$M$9,2),B777&lt;'112'!$K$9,$O777='112'!$I$6)),"x",""))</f>
        <v/>
      </c>
      <c r="W777" s="75" t="str">
        <f>IF(AND('341-CT'!$H$9=H777,OR(LEFT(N777,3)=$W$7,LEFT(O777,3)=$W$7)),"x","")</f>
        <v/>
      </c>
      <c r="X777" s="75" t="str">
        <f>IF(OR(TH!N777=TH!$X$7,O777=TH!$X$7),"x","")</f>
        <v/>
      </c>
      <c r="Y777" s="75" t="str">
        <f>IF(AND(OR(N777="131",O777="131"),H777='131-CT'!$H$9),"x","")</f>
        <v/>
      </c>
      <c r="Z777" s="75"/>
      <c r="AA777" s="75" t="str">
        <f>IF(AND(MONTH(E777)='IN-NX'!$J$5,'IN-NX'!$D$7=D777),"x","")</f>
        <v/>
      </c>
      <c r="AB777" s="75" t="str">
        <f>IF(AND(OR(LEFT(TH!N777,2)="15",LEFT(TH!O777,2)="15"),LEFT(TH!O777,3)&lt;&gt;"111",'152-CT'!$J$8=TH!F777),"x","")</f>
        <v/>
      </c>
      <c r="AC777" s="75" t="str">
        <f>IF(AND(OR(LEFT(TH!N777,2)="15",LEFT(TH!O777,2)="15"),TK!$E$7=TH!F777),"x","")</f>
        <v/>
      </c>
      <c r="AD777" s="75" t="str">
        <f>IF(AND(N777="1521",MONTH(C777)='BK-NL'!$M$11),"x","")</f>
        <v/>
      </c>
      <c r="AE777">
        <v>12</v>
      </c>
    </row>
    <row r="778" spans="1:31" ht="16.5" customHeight="1">
      <c r="A778" s="309" t="str">
        <f>IF(B778&lt;&gt;"",IF(AND(B778='IN-TC'!$S$4,OR(TH!N778="1111",TH!O778="1111")),TH!D778,""),"")</f>
        <v/>
      </c>
      <c r="B778" s="1245">
        <f t="shared" si="109"/>
        <v>11</v>
      </c>
      <c r="C778" s="929">
        <v>43068</v>
      </c>
      <c r="D778" s="929" t="s">
        <v>530</v>
      </c>
      <c r="E778" s="929">
        <v>43068</v>
      </c>
      <c r="F778" s="930" t="s">
        <v>1323</v>
      </c>
      <c r="G778" s="931" t="s">
        <v>2764</v>
      </c>
      <c r="H778" s="735" t="s">
        <v>739</v>
      </c>
      <c r="I778" s="371"/>
      <c r="J778" s="932"/>
      <c r="K778" s="371"/>
      <c r="L778" s="377"/>
      <c r="M778" s="933">
        <v>540873</v>
      </c>
      <c r="N778" s="934" t="s">
        <v>9</v>
      </c>
      <c r="O778" s="934" t="s">
        <v>8</v>
      </c>
      <c r="P778" s="75" t="str">
        <f>IF(AND('331-CT'!$E$7=TH!H778,OR(N778="331",O778="331")),"x","")</f>
        <v/>
      </c>
      <c r="Q778" s="75" t="str">
        <f>IF(AND(B778='111'!$L$11,OR($N778=$Q$7,$O778=$Q$7)),"x","")</f>
        <v/>
      </c>
      <c r="R778" s="75" t="str">
        <f>IF(AND($N778=$Q$7,$B778&lt;'111'!$L$11),"x","")</f>
        <v/>
      </c>
      <c r="S778" s="75" t="str">
        <f>IF(AND($O778=$Q$7,$B778&lt;'111'!$L$11),"x","")</f>
        <v/>
      </c>
      <c r="T778" s="75" t="str">
        <f>IF(ISERROR(FIND('112'!$M$9,G778,1)),"",IF((AND(FIND('112'!$M$9,G778,1)&gt;=1,B778='112'!$K$9,OR($N778='112'!$I$6,$O778='112'!$I$6))),"x",""))</f>
        <v/>
      </c>
      <c r="U778" s="75" t="str">
        <f>IF(ISERROR(FIND('112'!$M$9,G778,1)),"",IF((AND(LEFT(G778,2)=LEFT('112'!$M$9,2),B778&lt;'112'!$K$9,$N778='112'!$I$6)),"x",""))</f>
        <v/>
      </c>
      <c r="V778" s="75" t="str">
        <f>IF(ISERROR(FIND('112'!$M$9,G778,1)),"",IF((AND(RIGHT(G778,2)=RIGHT('112'!$M$9,2),B778&lt;'112'!$K$9,$O778='112'!$I$6)),"x",""))</f>
        <v/>
      </c>
      <c r="W778" s="75" t="str">
        <f>IF(AND('341-CT'!$H$9=H778,OR(LEFT(N778,3)=$W$7,LEFT(O778,3)=$W$7)),"x","")</f>
        <v/>
      </c>
      <c r="X778" s="75" t="str">
        <f>IF(OR(TH!N778=TH!$X$7,O778=TH!$X$7),"x","")</f>
        <v/>
      </c>
      <c r="Y778" s="75" t="str">
        <f>IF(AND(OR(N778="131",O778="131"),H778='131-CT'!$H$9),"x","")</f>
        <v/>
      </c>
      <c r="Z778" s="75"/>
      <c r="AA778" s="75" t="str">
        <f>IF(AND(MONTH(E778)='IN-NX'!$J$5,'IN-NX'!$D$7=D778),"x","")</f>
        <v/>
      </c>
      <c r="AB778" s="75" t="str">
        <f>IF(AND(OR(LEFT(TH!N778,2)="15",LEFT(TH!O778,2)="15"),LEFT(TH!O778,3)&lt;&gt;"111",'152-CT'!$J$8=TH!F778),"x","")</f>
        <v/>
      </c>
      <c r="AC778" s="75" t="str">
        <f>IF(AND(OR(LEFT(TH!N778,2)="15",LEFT(TH!O778,2)="15"),TK!$E$7=TH!F778),"x","")</f>
        <v/>
      </c>
      <c r="AD778" s="75" t="str">
        <f>IF(AND(N778="1521",MONTH(C778)='BK-NL'!$M$11),"x","")</f>
        <v/>
      </c>
      <c r="AE778">
        <v>12</v>
      </c>
    </row>
    <row r="779" spans="1:31" ht="16.5" customHeight="1">
      <c r="A779" s="309" t="str">
        <f>IF(B779&lt;&gt;"",IF(AND(B779='IN-TC'!$S$4,OR(TH!N779="1111",TH!O779="1111")),TH!D779,""),"")</f>
        <v/>
      </c>
      <c r="B779" s="1245">
        <f t="shared" ref="B779:B800" si="110">IF(C779&lt;&gt;"",MONTH(C779),"")</f>
        <v>11</v>
      </c>
      <c r="C779" s="929">
        <v>43069</v>
      </c>
      <c r="D779" s="929" t="s">
        <v>530</v>
      </c>
      <c r="E779" s="929">
        <v>43069</v>
      </c>
      <c r="F779" s="930" t="s">
        <v>2662</v>
      </c>
      <c r="G779" s="931" t="s">
        <v>1345</v>
      </c>
      <c r="H779" s="73" t="s">
        <v>754</v>
      </c>
      <c r="I779" s="371"/>
      <c r="J779" s="932"/>
      <c r="K779" s="371"/>
      <c r="L779" s="377"/>
      <c r="M779" s="933">
        <v>35748000</v>
      </c>
      <c r="N779" s="934" t="s">
        <v>539</v>
      </c>
      <c r="O779" s="934" t="s">
        <v>8</v>
      </c>
      <c r="P779" s="75" t="str">
        <f>IF(AND('331-CT'!$E$7=TH!H779,OR(N779="331",O779="331")),"x","")</f>
        <v/>
      </c>
      <c r="Q779" s="75" t="str">
        <f>IF(AND(B779='111'!$L$11,OR($N779=$Q$7,$O779=$Q$7)),"x","")</f>
        <v/>
      </c>
      <c r="R779" s="75" t="str">
        <f>IF(AND($N779=$Q$7,$B779&lt;'111'!$L$11),"x","")</f>
        <v/>
      </c>
      <c r="S779" s="75" t="str">
        <f>IF(AND($O779=$Q$7,$B779&lt;'111'!$L$11),"x","")</f>
        <v/>
      </c>
      <c r="T779" s="75" t="str">
        <f>IF(ISERROR(FIND('112'!$M$9,G779,1)),"",IF((AND(FIND('112'!$M$9,G779,1)&gt;=1,B779='112'!$K$9,OR($N779='112'!$I$6,$O779='112'!$I$6))),"x",""))</f>
        <v/>
      </c>
      <c r="U779" s="75" t="str">
        <f>IF(ISERROR(FIND('112'!$M$9,G779,1)),"",IF((AND(LEFT(G779,2)=LEFT('112'!$M$9,2),B779&lt;'112'!$K$9,$N779='112'!$I$6)),"x",""))</f>
        <v/>
      </c>
      <c r="V779" s="75" t="str">
        <f>IF(ISERROR(FIND('112'!$M$9,G779,1)),"",IF((AND(RIGHT(G779,2)=RIGHT('112'!$M$9,2),B779&lt;'112'!$K$9,$O779='112'!$I$6)),"x",""))</f>
        <v/>
      </c>
      <c r="W779" s="75" t="str">
        <f>IF(AND('341-CT'!$H$9=H779,OR(LEFT(N779,3)=$W$7,LEFT(O779,3)=$W$7)),"x","")</f>
        <v/>
      </c>
      <c r="X779" s="75" t="str">
        <f>IF(OR(TH!N779=TH!$X$7,O779=TH!$X$7),"x","")</f>
        <v/>
      </c>
      <c r="Y779" s="75" t="str">
        <f>IF(AND(OR(N779="131",O779="131"),H779='131-CT'!$H$9),"x","")</f>
        <v/>
      </c>
      <c r="Z779" s="75"/>
      <c r="AA779" s="75" t="str">
        <f>IF(AND(MONTH(E779)='IN-NX'!$J$5,'IN-NX'!$D$7=D779),"x","")</f>
        <v/>
      </c>
      <c r="AB779" s="75" t="str">
        <f>IF(AND(OR(LEFT(TH!N779,2)="15",LEFT(TH!O779,2)="15"),LEFT(TH!O779,3)&lt;&gt;"111",'152-CT'!$J$8=TH!F779),"x","")</f>
        <v/>
      </c>
      <c r="AC779" s="75" t="str">
        <f>IF(AND(OR(LEFT(TH!N779,2)="15",LEFT(TH!O779,2)="15"),TK!$E$7=TH!F779),"x","")</f>
        <v/>
      </c>
      <c r="AD779" s="75" t="str">
        <f>IF(AND(N779="1521",MONTH(C779)='BK-NL'!$M$11),"x","")</f>
        <v/>
      </c>
      <c r="AE779">
        <v>11</v>
      </c>
    </row>
    <row r="780" spans="1:31" ht="16.5" customHeight="1">
      <c r="A780" s="309" t="str">
        <f>IF(B780&lt;&gt;"",IF(AND(B780='IN-TC'!$S$4,OR(TH!N780="1111",TH!O780="1111")),TH!D780,""),"")</f>
        <v/>
      </c>
      <c r="B780" s="1245">
        <f t="shared" si="110"/>
        <v>11</v>
      </c>
      <c r="C780" s="929">
        <v>43069</v>
      </c>
      <c r="D780" s="929" t="s">
        <v>530</v>
      </c>
      <c r="E780" s="929">
        <v>43069</v>
      </c>
      <c r="F780" s="930" t="s">
        <v>2663</v>
      </c>
      <c r="G780" s="931" t="s">
        <v>1345</v>
      </c>
      <c r="H780" s="73" t="s">
        <v>754</v>
      </c>
      <c r="I780" s="371"/>
      <c r="J780" s="932"/>
      <c r="K780" s="371"/>
      <c r="L780" s="377"/>
      <c r="M780" s="933">
        <v>3574800</v>
      </c>
      <c r="N780" s="934" t="s">
        <v>9</v>
      </c>
      <c r="O780" s="934" t="s">
        <v>8</v>
      </c>
      <c r="P780" s="75" t="str">
        <f>IF(AND('331-CT'!$E$7=TH!H780,OR(N780="331",O780="331")),"x","")</f>
        <v/>
      </c>
      <c r="Q780" s="75" t="str">
        <f>IF(AND(B780='111'!$L$11,OR($N780=$Q$7,$O780=$Q$7)),"x","")</f>
        <v/>
      </c>
      <c r="R780" s="75" t="str">
        <f>IF(AND($N780=$Q$7,$B780&lt;'111'!$L$11),"x","")</f>
        <v/>
      </c>
      <c r="S780" s="75" t="str">
        <f>IF(AND($O780=$Q$7,$B780&lt;'111'!$L$11),"x","")</f>
        <v/>
      </c>
      <c r="T780" s="75" t="str">
        <f>IF(ISERROR(FIND('112'!$M$9,G780,1)),"",IF((AND(FIND('112'!$M$9,G780,1)&gt;=1,B780='112'!$K$9,OR($N780='112'!$I$6,$O780='112'!$I$6))),"x",""))</f>
        <v/>
      </c>
      <c r="U780" s="75" t="str">
        <f>IF(ISERROR(FIND('112'!$M$9,G780,1)),"",IF((AND(LEFT(G780,2)=LEFT('112'!$M$9,2),B780&lt;'112'!$K$9,$N780='112'!$I$6)),"x",""))</f>
        <v/>
      </c>
      <c r="V780" s="75" t="str">
        <f>IF(ISERROR(FIND('112'!$M$9,G780,1)),"",IF((AND(RIGHT(G780,2)=RIGHT('112'!$M$9,2),B780&lt;'112'!$K$9,$O780='112'!$I$6)),"x",""))</f>
        <v/>
      </c>
      <c r="W780" s="75" t="str">
        <f>IF(AND('341-CT'!$H$9=H780,OR(LEFT(N780,3)=$W$7,LEFT(O780,3)=$W$7)),"x","")</f>
        <v/>
      </c>
      <c r="X780" s="75" t="str">
        <f>IF(OR(TH!N780=TH!$X$7,O780=TH!$X$7),"x","")</f>
        <v/>
      </c>
      <c r="Y780" s="75" t="str">
        <f>IF(AND(OR(N780="131",O780="131"),H780='131-CT'!$H$9),"x","")</f>
        <v/>
      </c>
      <c r="Z780" s="75"/>
      <c r="AA780" s="75" t="str">
        <f>IF(AND(MONTH(E780)='IN-NX'!$J$5,'IN-NX'!$D$7=D780),"x","")</f>
        <v/>
      </c>
      <c r="AB780" s="75" t="str">
        <f>IF(AND(OR(LEFT(TH!N780,2)="15",LEFT(TH!O780,2)="15"),LEFT(TH!O780,3)&lt;&gt;"111",'152-CT'!$J$8=TH!F780),"x","")</f>
        <v/>
      </c>
      <c r="AC780" s="75" t="str">
        <f>IF(AND(OR(LEFT(TH!N780,2)="15",LEFT(TH!O780,2)="15"),TK!$E$7=TH!F780),"x","")</f>
        <v/>
      </c>
      <c r="AD780" s="75" t="str">
        <f>IF(AND(N780="1521",MONTH(C780)='BK-NL'!$M$11),"x","")</f>
        <v/>
      </c>
      <c r="AE780">
        <v>11</v>
      </c>
    </row>
    <row r="781" spans="1:31" ht="16.5" customHeight="1">
      <c r="A781" s="309" t="str">
        <f>IF(B781&lt;&gt;"",IF(AND(B781='IN-TC'!$S$4,OR(TH!N781="1111",TH!O781="1111")),TH!D781,""),"")</f>
        <v/>
      </c>
      <c r="B781" s="1245">
        <f t="shared" si="110"/>
        <v>11</v>
      </c>
      <c r="C781" s="929">
        <v>43069</v>
      </c>
      <c r="D781" s="929" t="s">
        <v>530</v>
      </c>
      <c r="E781" s="929">
        <v>43069</v>
      </c>
      <c r="F781" s="930" t="s">
        <v>808</v>
      </c>
      <c r="G781" s="931" t="s">
        <v>2710</v>
      </c>
      <c r="H781" s="296" t="s">
        <v>622</v>
      </c>
      <c r="I781" s="371"/>
      <c r="J781" s="932"/>
      <c r="K781" s="371"/>
      <c r="L781" s="377"/>
      <c r="M781" s="933">
        <v>54600000</v>
      </c>
      <c r="N781" s="934" t="s">
        <v>539</v>
      </c>
      <c r="O781" s="934" t="s">
        <v>8</v>
      </c>
      <c r="P781" s="75" t="str">
        <f>IF(AND('331-CT'!$E$7=TH!H781,OR(N781="331",O781="331")),"x","")</f>
        <v/>
      </c>
      <c r="Q781" s="75" t="str">
        <f>IF(AND(B781='111'!$L$11,OR($N781=$Q$7,$O781=$Q$7)),"x","")</f>
        <v/>
      </c>
      <c r="R781" s="75" t="str">
        <f>IF(AND($N781=$Q$7,$B781&lt;'111'!$L$11),"x","")</f>
        <v/>
      </c>
      <c r="S781" s="75" t="str">
        <f>IF(AND($O781=$Q$7,$B781&lt;'111'!$L$11),"x","")</f>
        <v/>
      </c>
      <c r="T781" s="75" t="str">
        <f>IF(ISERROR(FIND('112'!$M$9,G781,1)),"",IF((AND(FIND('112'!$M$9,G781,1)&gt;=1,B781='112'!$K$9,OR($N781='112'!$I$6,$O781='112'!$I$6))),"x",""))</f>
        <v/>
      </c>
      <c r="U781" s="75" t="str">
        <f>IF(ISERROR(FIND('112'!$M$9,G781,1)),"",IF((AND(LEFT(G781,2)=LEFT('112'!$M$9,2),B781&lt;'112'!$K$9,$N781='112'!$I$6)),"x",""))</f>
        <v/>
      </c>
      <c r="V781" s="75" t="str">
        <f>IF(ISERROR(FIND('112'!$M$9,G781,1)),"",IF((AND(RIGHT(G781,2)=RIGHT('112'!$M$9,2),B781&lt;'112'!$K$9,$O781='112'!$I$6)),"x",""))</f>
        <v/>
      </c>
      <c r="W781" s="75" t="str">
        <f>IF(AND('341-CT'!$H$9=H781,OR(LEFT(N781,3)=$W$7,LEFT(O781,3)=$W$7)),"x","")</f>
        <v/>
      </c>
      <c r="X781" s="75" t="str">
        <f>IF(OR(TH!N781=TH!$X$7,O781=TH!$X$7),"x","")</f>
        <v/>
      </c>
      <c r="Y781" s="75" t="str">
        <f>IF(AND(OR(N781="131",O781="131"),H781='131-CT'!$H$9),"x","")</f>
        <v/>
      </c>
      <c r="Z781" s="75"/>
      <c r="AA781" s="75" t="str">
        <f>IF(AND(MONTH(E781)='IN-NX'!$J$5,'IN-NX'!$D$7=D781),"x","")</f>
        <v/>
      </c>
      <c r="AB781" s="75" t="str">
        <f>IF(AND(OR(LEFT(TH!N781,2)="15",LEFT(TH!O781,2)="15"),LEFT(TH!O781,3)&lt;&gt;"111",'152-CT'!$J$8=TH!F781),"x","")</f>
        <v/>
      </c>
      <c r="AC781" s="75" t="str">
        <f>IF(AND(OR(LEFT(TH!N781,2)="15",LEFT(TH!O781,2)="15"),TK!$E$7=TH!F781),"x","")</f>
        <v/>
      </c>
      <c r="AD781" s="75" t="str">
        <f>IF(AND(N781="1521",MONTH(C781)='BK-NL'!$M$11),"x","")</f>
        <v/>
      </c>
    </row>
    <row r="782" spans="1:31" ht="16.5" customHeight="1">
      <c r="A782" s="309" t="str">
        <f>IF(B782&lt;&gt;"",IF(AND(B782='IN-TC'!$S$4,OR(TH!N782="1111",TH!O782="1111")),TH!D782,""),"")</f>
        <v/>
      </c>
      <c r="B782" s="1245">
        <f t="shared" si="110"/>
        <v>11</v>
      </c>
      <c r="C782" s="929">
        <v>43069</v>
      </c>
      <c r="D782" s="929" t="s">
        <v>530</v>
      </c>
      <c r="E782" s="929">
        <v>43069</v>
      </c>
      <c r="F782" s="930" t="s">
        <v>810</v>
      </c>
      <c r="G782" s="931" t="s">
        <v>2711</v>
      </c>
      <c r="H782" s="296" t="s">
        <v>622</v>
      </c>
      <c r="I782" s="371"/>
      <c r="J782" s="932"/>
      <c r="K782" s="371"/>
      <c r="L782" s="377"/>
      <c r="M782" s="933">
        <v>21089250</v>
      </c>
      <c r="N782" s="934" t="s">
        <v>539</v>
      </c>
      <c r="O782" s="934" t="s">
        <v>8</v>
      </c>
      <c r="P782" s="75" t="str">
        <f>IF(AND('331-CT'!$E$7=TH!H782,OR(N782="331",O782="331")),"x","")</f>
        <v/>
      </c>
      <c r="Q782" s="75" t="str">
        <f>IF(AND(B782='111'!$L$11,OR($N782=$Q$7,$O782=$Q$7)),"x","")</f>
        <v/>
      </c>
      <c r="R782" s="75" t="str">
        <f>IF(AND($N782=$Q$7,$B782&lt;'111'!$L$11),"x","")</f>
        <v/>
      </c>
      <c r="S782" s="75" t="str">
        <f>IF(AND($O782=$Q$7,$B782&lt;'111'!$L$11),"x","")</f>
        <v/>
      </c>
      <c r="T782" s="75" t="str">
        <f>IF(ISERROR(FIND('112'!$M$9,G782,1)),"",IF((AND(FIND('112'!$M$9,G782,1)&gt;=1,B782='112'!$K$9,OR($N782='112'!$I$6,$O782='112'!$I$6))),"x",""))</f>
        <v/>
      </c>
      <c r="U782" s="75" t="str">
        <f>IF(ISERROR(FIND('112'!$M$9,G782,1)),"",IF((AND(LEFT(G782,2)=LEFT('112'!$M$9,2),B782&lt;'112'!$K$9,$N782='112'!$I$6)),"x",""))</f>
        <v/>
      </c>
      <c r="V782" s="75" t="str">
        <f>IF(ISERROR(FIND('112'!$M$9,G782,1)),"",IF((AND(RIGHT(G782,2)=RIGHT('112'!$M$9,2),B782&lt;'112'!$K$9,$O782='112'!$I$6)),"x",""))</f>
        <v/>
      </c>
      <c r="W782" s="75" t="str">
        <f>IF(AND('341-CT'!$H$9=H782,OR(LEFT(N782,3)=$W$7,LEFT(O782,3)=$W$7)),"x","")</f>
        <v/>
      </c>
      <c r="X782" s="75" t="str">
        <f>IF(OR(TH!N782=TH!$X$7,O782=TH!$X$7),"x","")</f>
        <v/>
      </c>
      <c r="Y782" s="75" t="str">
        <f>IF(AND(OR(N782="131",O782="131"),H782='131-CT'!$H$9),"x","")</f>
        <v/>
      </c>
      <c r="Z782" s="75"/>
      <c r="AA782" s="75" t="str">
        <f>IF(AND(MONTH(E782)='IN-NX'!$J$5,'IN-NX'!$D$7=D782),"x","")</f>
        <v/>
      </c>
      <c r="AB782" s="75" t="str">
        <f>IF(AND(OR(LEFT(TH!N782,2)="15",LEFT(TH!O782,2)="15"),LEFT(TH!O782,3)&lt;&gt;"111",'152-CT'!$J$8=TH!F782),"x","")</f>
        <v/>
      </c>
      <c r="AC782" s="75" t="str">
        <f>IF(AND(OR(LEFT(TH!N782,2)="15",LEFT(TH!O782,2)="15"),TK!$E$7=TH!F782),"x","")</f>
        <v/>
      </c>
      <c r="AD782" s="75" t="str">
        <f>IF(AND(N782="1521",MONTH(C782)='BK-NL'!$M$11),"x","")</f>
        <v/>
      </c>
      <c r="AE782">
        <v>11</v>
      </c>
    </row>
    <row r="783" spans="1:31" ht="16.5" customHeight="1">
      <c r="A783" s="309" t="str">
        <f>IF(B783&lt;&gt;"",IF(AND(B783='IN-TC'!$S$4,OR(TH!N783="1111",TH!O783="1111")),TH!D783,""),"")</f>
        <v/>
      </c>
      <c r="B783" s="1245">
        <f t="shared" si="110"/>
        <v>11</v>
      </c>
      <c r="C783" s="929">
        <v>43069</v>
      </c>
      <c r="D783" s="929" t="s">
        <v>530</v>
      </c>
      <c r="E783" s="929">
        <v>43069</v>
      </c>
      <c r="F783" s="930" t="s">
        <v>811</v>
      </c>
      <c r="G783" s="931" t="s">
        <v>2711</v>
      </c>
      <c r="H783" s="296" t="s">
        <v>622</v>
      </c>
      <c r="I783" s="371"/>
      <c r="J783" s="932"/>
      <c r="K783" s="371"/>
      <c r="L783" s="377"/>
      <c r="M783" s="933">
        <v>2108925</v>
      </c>
      <c r="N783" s="934" t="s">
        <v>9</v>
      </c>
      <c r="O783" s="934" t="s">
        <v>8</v>
      </c>
      <c r="P783" s="75" t="str">
        <f>IF(AND('331-CT'!$E$7=TH!H783,OR(N783="331",O783="331")),"x","")</f>
        <v/>
      </c>
      <c r="Q783" s="75" t="str">
        <f>IF(AND(B783='111'!$L$11,OR($N783=$Q$7,$O783=$Q$7)),"x","")</f>
        <v/>
      </c>
      <c r="R783" s="75" t="str">
        <f>IF(AND($N783=$Q$7,$B783&lt;'111'!$L$11),"x","")</f>
        <v/>
      </c>
      <c r="S783" s="75" t="str">
        <f>IF(AND($O783=$Q$7,$B783&lt;'111'!$L$11),"x","")</f>
        <v/>
      </c>
      <c r="T783" s="75" t="str">
        <f>IF(ISERROR(FIND('112'!$M$9,G783,1)),"",IF((AND(FIND('112'!$M$9,G783,1)&gt;=1,B783='112'!$K$9,OR($N783='112'!$I$6,$O783='112'!$I$6))),"x",""))</f>
        <v/>
      </c>
      <c r="U783" s="75" t="str">
        <f>IF(ISERROR(FIND('112'!$M$9,G783,1)),"",IF((AND(LEFT(G783,2)=LEFT('112'!$M$9,2),B783&lt;'112'!$K$9,$N783='112'!$I$6)),"x",""))</f>
        <v/>
      </c>
      <c r="V783" s="75" t="str">
        <f>IF(ISERROR(FIND('112'!$M$9,G783,1)),"",IF((AND(RIGHT(G783,2)=RIGHT('112'!$M$9,2),B783&lt;'112'!$K$9,$O783='112'!$I$6)),"x",""))</f>
        <v/>
      </c>
      <c r="W783" s="75" t="str">
        <f>IF(AND('341-CT'!$H$9=H783,OR(LEFT(N783,3)=$W$7,LEFT(O783,3)=$W$7)),"x","")</f>
        <v/>
      </c>
      <c r="X783" s="75" t="str">
        <f>IF(OR(TH!N783=TH!$X$7,O783=TH!$X$7),"x","")</f>
        <v/>
      </c>
      <c r="Y783" s="75" t="str">
        <f>IF(AND(OR(N783="131",O783="131"),H783='131-CT'!$H$9),"x","")</f>
        <v/>
      </c>
      <c r="Z783" s="75"/>
      <c r="AA783" s="75" t="str">
        <f>IF(AND(MONTH(E783)='IN-NX'!$J$5,'IN-NX'!$D$7=D783),"x","")</f>
        <v/>
      </c>
      <c r="AB783" s="75" t="str">
        <f>IF(AND(OR(LEFT(TH!N783,2)="15",LEFT(TH!O783,2)="15"),LEFT(TH!O783,3)&lt;&gt;"111",'152-CT'!$J$8=TH!F783),"x","")</f>
        <v/>
      </c>
      <c r="AC783" s="75" t="str">
        <f>IF(AND(OR(LEFT(TH!N783,2)="15",LEFT(TH!O783,2)="15"),TK!$E$7=TH!F783),"x","")</f>
        <v/>
      </c>
      <c r="AD783" s="75" t="str">
        <f>IF(AND(N783="1521",MONTH(C783)='BK-NL'!$M$11),"x","")</f>
        <v/>
      </c>
      <c r="AE783">
        <v>11</v>
      </c>
    </row>
    <row r="784" spans="1:31" ht="16.5" customHeight="1">
      <c r="A784" s="309" t="str">
        <f>IF(B784&lt;&gt;"",IF(AND(B784='IN-TC'!$S$4,OR(TH!N784="1111",TH!O784="1111")),TH!D784,""),"")</f>
        <v/>
      </c>
      <c r="B784" s="1245">
        <f t="shared" si="110"/>
        <v>11</v>
      </c>
      <c r="C784" s="929">
        <v>43069</v>
      </c>
      <c r="D784" s="929" t="s">
        <v>530</v>
      </c>
      <c r="E784" s="929">
        <v>43069</v>
      </c>
      <c r="F784" s="930" t="s">
        <v>808</v>
      </c>
      <c r="G784" s="931" t="s">
        <v>2712</v>
      </c>
      <c r="H784" s="296" t="s">
        <v>622</v>
      </c>
      <c r="I784" s="371"/>
      <c r="J784" s="932"/>
      <c r="K784" s="371"/>
      <c r="L784" s="377"/>
      <c r="M784" s="933">
        <v>59137000</v>
      </c>
      <c r="N784" s="934" t="s">
        <v>539</v>
      </c>
      <c r="O784" s="934" t="s">
        <v>8</v>
      </c>
      <c r="P784" s="75" t="str">
        <f>IF(AND('331-CT'!$E$7=TH!H784,OR(N784="331",O784="331")),"x","")</f>
        <v/>
      </c>
      <c r="Q784" s="75" t="str">
        <f>IF(AND(B784='111'!$L$11,OR($N784=$Q$7,$O784=$Q$7)),"x","")</f>
        <v/>
      </c>
      <c r="R784" s="75" t="str">
        <f>IF(AND($N784=$Q$7,$B784&lt;'111'!$L$11),"x","")</f>
        <v/>
      </c>
      <c r="S784" s="75" t="str">
        <f>IF(AND($O784=$Q$7,$B784&lt;'111'!$L$11),"x","")</f>
        <v/>
      </c>
      <c r="T784" s="75" t="str">
        <f>IF(ISERROR(FIND('112'!$M$9,G784,1)),"",IF((AND(FIND('112'!$M$9,G784,1)&gt;=1,B784='112'!$K$9,OR($N784='112'!$I$6,$O784='112'!$I$6))),"x",""))</f>
        <v/>
      </c>
      <c r="U784" s="75" t="str">
        <f>IF(ISERROR(FIND('112'!$M$9,G784,1)),"",IF((AND(LEFT(G784,2)=LEFT('112'!$M$9,2),B784&lt;'112'!$K$9,$N784='112'!$I$6)),"x",""))</f>
        <v/>
      </c>
      <c r="V784" s="75" t="str">
        <f>IF(ISERROR(FIND('112'!$M$9,G784,1)),"",IF((AND(RIGHT(G784,2)=RIGHT('112'!$M$9,2),B784&lt;'112'!$K$9,$O784='112'!$I$6)),"x",""))</f>
        <v/>
      </c>
      <c r="W784" s="75" t="str">
        <f>IF(AND('341-CT'!$H$9=H784,OR(LEFT(N784,3)=$W$7,LEFT(O784,3)=$W$7)),"x","")</f>
        <v/>
      </c>
      <c r="X784" s="75" t="str">
        <f>IF(OR(TH!N784=TH!$X$7,O784=TH!$X$7),"x","")</f>
        <v/>
      </c>
      <c r="Y784" s="75" t="str">
        <f>IF(AND(OR(N784="131",O784="131"),H784='131-CT'!$H$9),"x","")</f>
        <v/>
      </c>
      <c r="Z784" s="75"/>
      <c r="AA784" s="75" t="str">
        <f>IF(AND(MONTH(E784)='IN-NX'!$J$5,'IN-NX'!$D$7=D784),"x","")</f>
        <v/>
      </c>
      <c r="AB784" s="75" t="str">
        <f>IF(AND(OR(LEFT(TH!N784,2)="15",LEFT(TH!O784,2)="15"),LEFT(TH!O784,3)&lt;&gt;"111",'152-CT'!$J$8=TH!F784),"x","")</f>
        <v/>
      </c>
      <c r="AC784" s="75" t="str">
        <f>IF(AND(OR(LEFT(TH!N784,2)="15",LEFT(TH!O784,2)="15"),TK!$E$7=TH!F784),"x","")</f>
        <v/>
      </c>
      <c r="AD784" s="75" t="str">
        <f>IF(AND(N784="1521",MONTH(C784)='BK-NL'!$M$11),"x","")</f>
        <v/>
      </c>
    </row>
    <row r="785" spans="1:31" ht="16.5" customHeight="1">
      <c r="A785" s="309" t="str">
        <f>IF(B785&lt;&gt;"",IF(AND(B785='IN-TC'!$S$4,OR(TH!N785="1111",TH!O785="1111")),TH!D785,""),"")</f>
        <v/>
      </c>
      <c r="B785" s="1245">
        <f t="shared" si="110"/>
        <v>11</v>
      </c>
      <c r="C785" s="929">
        <v>43069</v>
      </c>
      <c r="D785" s="929" t="s">
        <v>530</v>
      </c>
      <c r="E785" s="929">
        <v>43069</v>
      </c>
      <c r="F785" s="930" t="s">
        <v>810</v>
      </c>
      <c r="G785" s="931" t="s">
        <v>2713</v>
      </c>
      <c r="H785" s="296" t="s">
        <v>622</v>
      </c>
      <c r="I785" s="371"/>
      <c r="J785" s="932"/>
      <c r="K785" s="371"/>
      <c r="L785" s="377"/>
      <c r="M785" s="933">
        <v>11850145</v>
      </c>
      <c r="N785" s="934" t="s">
        <v>539</v>
      </c>
      <c r="O785" s="934" t="s">
        <v>8</v>
      </c>
      <c r="P785" s="75" t="str">
        <f>IF(AND('331-CT'!$E$7=TH!H785,OR(N785="331",O785="331")),"x","")</f>
        <v/>
      </c>
      <c r="Q785" s="75" t="str">
        <f>IF(AND(B785='111'!$L$11,OR($N785=$Q$7,$O785=$Q$7)),"x","")</f>
        <v/>
      </c>
      <c r="R785" s="75" t="str">
        <f>IF(AND($N785=$Q$7,$B785&lt;'111'!$L$11),"x","")</f>
        <v/>
      </c>
      <c r="S785" s="75" t="str">
        <f>IF(AND($O785=$Q$7,$B785&lt;'111'!$L$11),"x","")</f>
        <v/>
      </c>
      <c r="T785" s="75" t="str">
        <f>IF(ISERROR(FIND('112'!$M$9,G785,1)),"",IF((AND(FIND('112'!$M$9,G785,1)&gt;=1,B785='112'!$K$9,OR($N785='112'!$I$6,$O785='112'!$I$6))),"x",""))</f>
        <v/>
      </c>
      <c r="U785" s="75" t="str">
        <f>IF(ISERROR(FIND('112'!$M$9,G785,1)),"",IF((AND(LEFT(G785,2)=LEFT('112'!$M$9,2),B785&lt;'112'!$K$9,$N785='112'!$I$6)),"x",""))</f>
        <v/>
      </c>
      <c r="V785" s="75" t="str">
        <f>IF(ISERROR(FIND('112'!$M$9,G785,1)),"",IF((AND(RIGHT(G785,2)=RIGHT('112'!$M$9,2),B785&lt;'112'!$K$9,$O785='112'!$I$6)),"x",""))</f>
        <v/>
      </c>
      <c r="W785" s="75" t="str">
        <f>IF(AND('341-CT'!$H$9=H785,OR(LEFT(N785,3)=$W$7,LEFT(O785,3)=$W$7)),"x","")</f>
        <v/>
      </c>
      <c r="X785" s="75" t="str">
        <f>IF(OR(TH!N785=TH!$X$7,O785=TH!$X$7),"x","")</f>
        <v/>
      </c>
      <c r="Y785" s="75" t="str">
        <f>IF(AND(OR(N785="131",O785="131"),H785='131-CT'!$H$9),"x","")</f>
        <v/>
      </c>
      <c r="Z785" s="75"/>
      <c r="AA785" s="75" t="str">
        <f>IF(AND(MONTH(E785)='IN-NX'!$J$5,'IN-NX'!$D$7=D785),"x","")</f>
        <v/>
      </c>
      <c r="AB785" s="75" t="str">
        <f>IF(AND(OR(LEFT(TH!N785,2)="15",LEFT(TH!O785,2)="15"),LEFT(TH!O785,3)&lt;&gt;"111",'152-CT'!$J$8=TH!F785),"x","")</f>
        <v/>
      </c>
      <c r="AC785" s="75" t="str">
        <f>IF(AND(OR(LEFT(TH!N785,2)="15",LEFT(TH!O785,2)="15"),TK!$E$7=TH!F785),"x","")</f>
        <v/>
      </c>
      <c r="AD785" s="75" t="str">
        <f>IF(AND(N785="1521",MONTH(C785)='BK-NL'!$M$11),"x","")</f>
        <v/>
      </c>
      <c r="AE785">
        <v>11</v>
      </c>
    </row>
    <row r="786" spans="1:31" ht="16.5" customHeight="1">
      <c r="A786" s="309" t="str">
        <f>IF(B786&lt;&gt;"",IF(AND(B786='IN-TC'!$S$4,OR(TH!N786="1111",TH!O786="1111")),TH!D786,""),"")</f>
        <v/>
      </c>
      <c r="B786" s="1245">
        <f t="shared" si="110"/>
        <v>11</v>
      </c>
      <c r="C786" s="929">
        <v>43069</v>
      </c>
      <c r="D786" s="929" t="s">
        <v>530</v>
      </c>
      <c r="E786" s="929">
        <v>43069</v>
      </c>
      <c r="F786" s="930" t="s">
        <v>811</v>
      </c>
      <c r="G786" s="931" t="s">
        <v>2713</v>
      </c>
      <c r="H786" s="296" t="s">
        <v>622</v>
      </c>
      <c r="I786" s="371"/>
      <c r="J786" s="932"/>
      <c r="K786" s="371"/>
      <c r="L786" s="377"/>
      <c r="M786" s="933">
        <v>1185015</v>
      </c>
      <c r="N786" s="934" t="s">
        <v>9</v>
      </c>
      <c r="O786" s="934" t="s">
        <v>8</v>
      </c>
      <c r="P786" s="75" t="str">
        <f>IF(AND('331-CT'!$E$7=TH!H786,OR(N786="331",O786="331")),"x","")</f>
        <v/>
      </c>
      <c r="Q786" s="75" t="str">
        <f>IF(AND(B786='111'!$L$11,OR($N786=$Q$7,$O786=$Q$7)),"x","")</f>
        <v/>
      </c>
      <c r="R786" s="75" t="str">
        <f>IF(AND($N786=$Q$7,$B786&lt;'111'!$L$11),"x","")</f>
        <v/>
      </c>
      <c r="S786" s="75" t="str">
        <f>IF(AND($O786=$Q$7,$B786&lt;'111'!$L$11),"x","")</f>
        <v/>
      </c>
      <c r="T786" s="75" t="str">
        <f>IF(ISERROR(FIND('112'!$M$9,G786,1)),"",IF((AND(FIND('112'!$M$9,G786,1)&gt;=1,B786='112'!$K$9,OR($N786='112'!$I$6,$O786='112'!$I$6))),"x",""))</f>
        <v/>
      </c>
      <c r="U786" s="75" t="str">
        <f>IF(ISERROR(FIND('112'!$M$9,G786,1)),"",IF((AND(LEFT(G786,2)=LEFT('112'!$M$9,2),B786&lt;'112'!$K$9,$N786='112'!$I$6)),"x",""))</f>
        <v/>
      </c>
      <c r="V786" s="75" t="str">
        <f>IF(ISERROR(FIND('112'!$M$9,G786,1)),"",IF((AND(RIGHT(G786,2)=RIGHT('112'!$M$9,2),B786&lt;'112'!$K$9,$O786='112'!$I$6)),"x",""))</f>
        <v/>
      </c>
      <c r="W786" s="75" t="str">
        <f>IF(AND('341-CT'!$H$9=H786,OR(LEFT(N786,3)=$W$7,LEFT(O786,3)=$W$7)),"x","")</f>
        <v/>
      </c>
      <c r="X786" s="75" t="str">
        <f>IF(OR(TH!N786=TH!$X$7,O786=TH!$X$7),"x","")</f>
        <v/>
      </c>
      <c r="Y786" s="75" t="str">
        <f>IF(AND(OR(N786="131",O786="131"),H786='131-CT'!$H$9),"x","")</f>
        <v/>
      </c>
      <c r="Z786" s="75"/>
      <c r="AA786" s="75" t="str">
        <f>IF(AND(MONTH(E786)='IN-NX'!$J$5,'IN-NX'!$D$7=D786),"x","")</f>
        <v/>
      </c>
      <c r="AB786" s="75" t="str">
        <f>IF(AND(OR(LEFT(TH!N786,2)="15",LEFT(TH!O786,2)="15"),LEFT(TH!O786,3)&lt;&gt;"111",'152-CT'!$J$8=TH!F786),"x","")</f>
        <v/>
      </c>
      <c r="AC786" s="75" t="str">
        <f>IF(AND(OR(LEFT(TH!N786,2)="15",LEFT(TH!O786,2)="15"),TK!$E$7=TH!F786),"x","")</f>
        <v/>
      </c>
      <c r="AD786" s="75" t="str">
        <f>IF(AND(N786="1521",MONTH(C786)='BK-NL'!$M$11),"x","")</f>
        <v/>
      </c>
      <c r="AE786">
        <v>11</v>
      </c>
    </row>
    <row r="787" spans="1:31" ht="16.5" customHeight="1">
      <c r="A787" s="309" t="str">
        <f>IF(B787&lt;&gt;"",IF(AND(B787='IN-TC'!$S$4,OR(TH!N787="1111",TH!O787="1111")),TH!D787,""),"")</f>
        <v/>
      </c>
      <c r="B787" s="1245">
        <f t="shared" si="110"/>
        <v>11</v>
      </c>
      <c r="C787" s="929">
        <v>43069</v>
      </c>
      <c r="D787" s="929" t="s">
        <v>530</v>
      </c>
      <c r="E787" s="929">
        <v>43069</v>
      </c>
      <c r="F787" s="930" t="s">
        <v>808</v>
      </c>
      <c r="G787" s="931" t="s">
        <v>2714</v>
      </c>
      <c r="H787" s="296" t="s">
        <v>622</v>
      </c>
      <c r="I787" s="371"/>
      <c r="J787" s="932"/>
      <c r="K787" s="371"/>
      <c r="L787" s="377"/>
      <c r="M787" s="933">
        <v>27312000</v>
      </c>
      <c r="N787" s="934" t="s">
        <v>539</v>
      </c>
      <c r="O787" s="934" t="s">
        <v>8</v>
      </c>
      <c r="P787" s="75" t="str">
        <f>IF(AND('331-CT'!$E$7=TH!H787,OR(N787="331",O787="331")),"x","")</f>
        <v/>
      </c>
      <c r="Q787" s="75" t="str">
        <f>IF(AND(B787='111'!$L$11,OR($N787=$Q$7,$O787=$Q$7)),"x","")</f>
        <v/>
      </c>
      <c r="R787" s="75" t="str">
        <f>IF(AND($N787=$Q$7,$B787&lt;'111'!$L$11),"x","")</f>
        <v/>
      </c>
      <c r="S787" s="75" t="str">
        <f>IF(AND($O787=$Q$7,$B787&lt;'111'!$L$11),"x","")</f>
        <v/>
      </c>
      <c r="T787" s="75" t="str">
        <f>IF(ISERROR(FIND('112'!$M$9,G787,1)),"",IF((AND(FIND('112'!$M$9,G787,1)&gt;=1,B787='112'!$K$9,OR($N787='112'!$I$6,$O787='112'!$I$6))),"x",""))</f>
        <v/>
      </c>
      <c r="U787" s="75" t="str">
        <f>IF(ISERROR(FIND('112'!$M$9,G787,1)),"",IF((AND(LEFT(G787,2)=LEFT('112'!$M$9,2),B787&lt;'112'!$K$9,$N787='112'!$I$6)),"x",""))</f>
        <v/>
      </c>
      <c r="V787" s="75" t="str">
        <f>IF(ISERROR(FIND('112'!$M$9,G787,1)),"",IF((AND(RIGHT(G787,2)=RIGHT('112'!$M$9,2),B787&lt;'112'!$K$9,$O787='112'!$I$6)),"x",""))</f>
        <v/>
      </c>
      <c r="W787" s="75" t="str">
        <f>IF(AND('341-CT'!$H$9=H787,OR(LEFT(N787,3)=$W$7,LEFT(O787,3)=$W$7)),"x","")</f>
        <v/>
      </c>
      <c r="X787" s="75" t="str">
        <f>IF(OR(TH!N787=TH!$X$7,O787=TH!$X$7),"x","")</f>
        <v/>
      </c>
      <c r="Y787" s="75" t="str">
        <f>IF(AND(OR(N787="131",O787="131"),H787='131-CT'!$H$9),"x","")</f>
        <v/>
      </c>
      <c r="Z787" s="75"/>
      <c r="AA787" s="75" t="str">
        <f>IF(AND(MONTH(E787)='IN-NX'!$J$5,'IN-NX'!$D$7=D787),"x","")</f>
        <v/>
      </c>
      <c r="AB787" s="75" t="str">
        <f>IF(AND(OR(LEFT(TH!N787,2)="15",LEFT(TH!O787,2)="15"),LEFT(TH!O787,3)&lt;&gt;"111",'152-CT'!$J$8=TH!F787),"x","")</f>
        <v/>
      </c>
      <c r="AC787" s="75" t="str">
        <f>IF(AND(OR(LEFT(TH!N787,2)="15",LEFT(TH!O787,2)="15"),TK!$E$7=TH!F787),"x","")</f>
        <v/>
      </c>
      <c r="AD787" s="75" t="str">
        <f>IF(AND(N787="1521",MONTH(C787)='BK-NL'!$M$11),"x","")</f>
        <v/>
      </c>
    </row>
    <row r="788" spans="1:31" ht="16.5" customHeight="1">
      <c r="A788" s="309" t="str">
        <f>IF(B788&lt;&gt;"",IF(AND(B788='IN-TC'!$S$4,OR(TH!N788="1111",TH!O788="1111")),TH!D788,""),"")</f>
        <v/>
      </c>
      <c r="B788" s="1245">
        <f t="shared" si="110"/>
        <v>11</v>
      </c>
      <c r="C788" s="929">
        <v>43069</v>
      </c>
      <c r="D788" s="929" t="s">
        <v>530</v>
      </c>
      <c r="E788" s="929">
        <v>43069</v>
      </c>
      <c r="F788" s="930" t="s">
        <v>810</v>
      </c>
      <c r="G788" s="931" t="s">
        <v>2715</v>
      </c>
      <c r="H788" s="296" t="s">
        <v>622</v>
      </c>
      <c r="I788" s="371"/>
      <c r="J788" s="932"/>
      <c r="K788" s="371"/>
      <c r="L788" s="377"/>
      <c r="M788" s="933">
        <v>11175160</v>
      </c>
      <c r="N788" s="934" t="s">
        <v>539</v>
      </c>
      <c r="O788" s="934" t="s">
        <v>8</v>
      </c>
      <c r="P788" s="75" t="str">
        <f>IF(AND('331-CT'!$E$7=TH!H788,OR(N788="331",O788="331")),"x","")</f>
        <v/>
      </c>
      <c r="Q788" s="75" t="str">
        <f>IF(AND(B788='111'!$L$11,OR($N788=$Q$7,$O788=$Q$7)),"x","")</f>
        <v/>
      </c>
      <c r="R788" s="75" t="str">
        <f>IF(AND($N788=$Q$7,$B788&lt;'111'!$L$11),"x","")</f>
        <v/>
      </c>
      <c r="S788" s="75" t="str">
        <f>IF(AND($O788=$Q$7,$B788&lt;'111'!$L$11),"x","")</f>
        <v/>
      </c>
      <c r="T788" s="75" t="str">
        <f>IF(ISERROR(FIND('112'!$M$9,G788,1)),"",IF((AND(FIND('112'!$M$9,G788,1)&gt;=1,B788='112'!$K$9,OR($N788='112'!$I$6,$O788='112'!$I$6))),"x",""))</f>
        <v/>
      </c>
      <c r="U788" s="75" t="str">
        <f>IF(ISERROR(FIND('112'!$M$9,G788,1)),"",IF((AND(LEFT(G788,2)=LEFT('112'!$M$9,2),B788&lt;'112'!$K$9,$N788='112'!$I$6)),"x",""))</f>
        <v/>
      </c>
      <c r="V788" s="75" t="str">
        <f>IF(ISERROR(FIND('112'!$M$9,G788,1)),"",IF((AND(RIGHT(G788,2)=RIGHT('112'!$M$9,2),B788&lt;'112'!$K$9,$O788='112'!$I$6)),"x",""))</f>
        <v/>
      </c>
      <c r="W788" s="75" t="str">
        <f>IF(AND('341-CT'!$H$9=H788,OR(LEFT(N788,3)=$W$7,LEFT(O788,3)=$W$7)),"x","")</f>
        <v/>
      </c>
      <c r="X788" s="75" t="str">
        <f>IF(OR(TH!N788=TH!$X$7,O788=TH!$X$7),"x","")</f>
        <v/>
      </c>
      <c r="Y788" s="75" t="str">
        <f>IF(AND(OR(N788="131",O788="131"),H788='131-CT'!$H$9),"x","")</f>
        <v/>
      </c>
      <c r="Z788" s="75"/>
      <c r="AA788" s="75" t="str">
        <f>IF(AND(MONTH(E788)='IN-NX'!$J$5,'IN-NX'!$D$7=D788),"x","")</f>
        <v/>
      </c>
      <c r="AB788" s="75" t="str">
        <f>IF(AND(OR(LEFT(TH!N788,2)="15",LEFT(TH!O788,2)="15"),LEFT(TH!O788,3)&lt;&gt;"111",'152-CT'!$J$8=TH!F788),"x","")</f>
        <v/>
      </c>
      <c r="AC788" s="75" t="str">
        <f>IF(AND(OR(LEFT(TH!N788,2)="15",LEFT(TH!O788,2)="15"),TK!$E$7=TH!F788),"x","")</f>
        <v/>
      </c>
      <c r="AD788" s="75" t="str">
        <f>IF(AND(N788="1521",MONTH(C788)='BK-NL'!$M$11),"x","")</f>
        <v/>
      </c>
      <c r="AE788">
        <v>11</v>
      </c>
    </row>
    <row r="789" spans="1:31" ht="16.5" customHeight="1">
      <c r="A789" s="309" t="str">
        <f>IF(B789&lt;&gt;"",IF(AND(B789='IN-TC'!$S$4,OR(TH!N789="1111",TH!O789="1111")),TH!D789,""),"")</f>
        <v/>
      </c>
      <c r="B789" s="1245">
        <f t="shared" si="110"/>
        <v>11</v>
      </c>
      <c r="C789" s="929">
        <v>43069</v>
      </c>
      <c r="D789" s="929" t="s">
        <v>530</v>
      </c>
      <c r="E789" s="929">
        <v>43069</v>
      </c>
      <c r="F789" s="930" t="s">
        <v>811</v>
      </c>
      <c r="G789" s="931" t="s">
        <v>2715</v>
      </c>
      <c r="H789" s="296" t="s">
        <v>622</v>
      </c>
      <c r="I789" s="371"/>
      <c r="J789" s="932"/>
      <c r="K789" s="371"/>
      <c r="L789" s="377"/>
      <c r="M789" s="933">
        <v>1117516</v>
      </c>
      <c r="N789" s="934" t="s">
        <v>9</v>
      </c>
      <c r="O789" s="934" t="s">
        <v>8</v>
      </c>
      <c r="P789" s="75" t="str">
        <f>IF(AND('331-CT'!$E$7=TH!H789,OR(N789="331",O789="331")),"x","")</f>
        <v/>
      </c>
      <c r="Q789" s="75" t="str">
        <f>IF(AND(B789='111'!$L$11,OR($N789=$Q$7,$O789=$Q$7)),"x","")</f>
        <v/>
      </c>
      <c r="R789" s="75" t="str">
        <f>IF(AND($N789=$Q$7,$B789&lt;'111'!$L$11),"x","")</f>
        <v/>
      </c>
      <c r="S789" s="75" t="str">
        <f>IF(AND($O789=$Q$7,$B789&lt;'111'!$L$11),"x","")</f>
        <v/>
      </c>
      <c r="T789" s="75" t="str">
        <f>IF(ISERROR(FIND('112'!$M$9,G789,1)),"",IF((AND(FIND('112'!$M$9,G789,1)&gt;=1,B789='112'!$K$9,OR($N789='112'!$I$6,$O789='112'!$I$6))),"x",""))</f>
        <v/>
      </c>
      <c r="U789" s="75" t="str">
        <f>IF(ISERROR(FIND('112'!$M$9,G789,1)),"",IF((AND(LEFT(G789,2)=LEFT('112'!$M$9,2),B789&lt;'112'!$K$9,$N789='112'!$I$6)),"x",""))</f>
        <v/>
      </c>
      <c r="V789" s="75" t="str">
        <f>IF(ISERROR(FIND('112'!$M$9,G789,1)),"",IF((AND(RIGHT(G789,2)=RIGHT('112'!$M$9,2),B789&lt;'112'!$K$9,$O789='112'!$I$6)),"x",""))</f>
        <v/>
      </c>
      <c r="W789" s="75" t="str">
        <f>IF(AND('341-CT'!$H$9=H789,OR(LEFT(N789,3)=$W$7,LEFT(O789,3)=$W$7)),"x","")</f>
        <v/>
      </c>
      <c r="X789" s="75" t="str">
        <f>IF(OR(TH!N789=TH!$X$7,O789=TH!$X$7),"x","")</f>
        <v/>
      </c>
      <c r="Y789" s="75" t="str">
        <f>IF(AND(OR(N789="131",O789="131"),H789='131-CT'!$H$9),"x","")</f>
        <v/>
      </c>
      <c r="Z789" s="75"/>
      <c r="AA789" s="75" t="str">
        <f>IF(AND(MONTH(E789)='IN-NX'!$J$5,'IN-NX'!$D$7=D789),"x","")</f>
        <v/>
      </c>
      <c r="AB789" s="75" t="str">
        <f>IF(AND(OR(LEFT(TH!N789,2)="15",LEFT(TH!O789,2)="15"),LEFT(TH!O789,3)&lt;&gt;"111",'152-CT'!$J$8=TH!F789),"x","")</f>
        <v/>
      </c>
      <c r="AC789" s="75" t="str">
        <f>IF(AND(OR(LEFT(TH!N789,2)="15",LEFT(TH!O789,2)="15"),TK!$E$7=TH!F789),"x","")</f>
        <v/>
      </c>
      <c r="AD789" s="75" t="str">
        <f>IF(AND(N789="1521",MONTH(C789)='BK-NL'!$M$11),"x","")</f>
        <v/>
      </c>
      <c r="AE789">
        <v>11</v>
      </c>
    </row>
    <row r="790" spans="1:31" ht="16.5" customHeight="1">
      <c r="A790" s="309" t="str">
        <f>IF(B790&lt;&gt;"",IF(AND(B790='IN-TC'!$S$4,OR(TH!N790="1111",TH!O790="1111")),TH!D790,""),"")</f>
        <v/>
      </c>
      <c r="B790" s="1159">
        <f t="shared" si="110"/>
        <v>12</v>
      </c>
      <c r="C790" s="929">
        <v>43099</v>
      </c>
      <c r="D790" s="929" t="s">
        <v>530</v>
      </c>
      <c r="E790" s="929">
        <v>43075</v>
      </c>
      <c r="F790" s="930" t="s">
        <v>2692</v>
      </c>
      <c r="G790" s="931" t="s">
        <v>2843</v>
      </c>
      <c r="H790" s="735" t="s">
        <v>563</v>
      </c>
      <c r="I790" s="371"/>
      <c r="J790" s="932"/>
      <c r="K790" s="371"/>
      <c r="L790" s="377"/>
      <c r="M790" s="933">
        <v>33974700</v>
      </c>
      <c r="N790" s="934" t="s">
        <v>272</v>
      </c>
      <c r="O790" s="934" t="s">
        <v>8</v>
      </c>
      <c r="P790" s="75" t="str">
        <f>IF(AND('331-CT'!$E$7=TH!H790,OR(N790="331",O790="331")),"x","")</f>
        <v/>
      </c>
      <c r="Q790" s="75" t="str">
        <f>IF(AND(B790='111'!$L$11,OR($N790=$Q$7,$O790=$Q$7)),"x","")</f>
        <v/>
      </c>
      <c r="R790" s="75" t="str">
        <f>IF(AND($N790=$Q$7,$B790&lt;'111'!$L$11),"x","")</f>
        <v/>
      </c>
      <c r="S790" s="75" t="str">
        <f>IF(AND($O790=$Q$7,$B790&lt;'111'!$L$11),"x","")</f>
        <v/>
      </c>
      <c r="T790" s="75" t="str">
        <f>IF(ISERROR(FIND('112'!$M$9,G790,1)),"",IF((AND(FIND('112'!$M$9,G790,1)&gt;=1,B790='112'!$K$9,OR($N790='112'!$I$6,$O790='112'!$I$6))),"x",""))</f>
        <v/>
      </c>
      <c r="U790" s="75" t="str">
        <f>IF(ISERROR(FIND('112'!$M$9,G790,1)),"",IF((AND(LEFT(G790,2)=LEFT('112'!$M$9,2),B790&lt;'112'!$K$9,$N790='112'!$I$6)),"x",""))</f>
        <v/>
      </c>
      <c r="V790" s="75" t="str">
        <f>IF(ISERROR(FIND('112'!$M$9,G790,1)),"",IF((AND(RIGHT(G790,2)=RIGHT('112'!$M$9,2),B790&lt;'112'!$K$9,$O790='112'!$I$6)),"x",""))</f>
        <v/>
      </c>
      <c r="W790" s="75" t="str">
        <f>IF(AND('341-CT'!$H$9=H790,OR(LEFT(N790,3)=$W$7,LEFT(O790,3)=$W$7)),"x","")</f>
        <v/>
      </c>
      <c r="X790" s="75" t="str">
        <f>IF(OR(TH!N790=TH!$X$7,O790=TH!$X$7),"x","")</f>
        <v/>
      </c>
      <c r="Y790" s="75" t="str">
        <f>IF(AND(OR(N790="131",O790="131"),H790='131-CT'!$H$9),"x","")</f>
        <v/>
      </c>
      <c r="Z790" s="75"/>
      <c r="AA790" s="75" t="str">
        <f>IF(AND(MONTH(E790)='IN-NX'!$J$5,'IN-NX'!$D$7=D790),"x","")</f>
        <v/>
      </c>
      <c r="AB790" s="75" t="str">
        <f>IF(AND(OR(LEFT(TH!N790,2)="15",LEFT(TH!O790,2)="15"),LEFT(TH!O790,3)&lt;&gt;"111",'152-CT'!$J$8=TH!F790),"x","")</f>
        <v/>
      </c>
      <c r="AC790" s="75" t="str">
        <f>IF(AND(OR(LEFT(TH!N790,2)="15",LEFT(TH!O790,2)="15"),TK!$E$7=TH!F790),"x","")</f>
        <v/>
      </c>
      <c r="AD790" s="75" t="str">
        <f>IF(AND(N790="1521",MONTH(C790)='BK-NL'!$M$11),"x","")</f>
        <v/>
      </c>
      <c r="AE790">
        <v>12</v>
      </c>
    </row>
    <row r="791" spans="1:31" ht="16.5" customHeight="1">
      <c r="A791" s="309" t="str">
        <f>IF(B791&lt;&gt;"",IF(AND(B791='IN-TC'!$S$4,OR(TH!N791="1111",TH!O791="1111")),TH!D791,""),"")</f>
        <v/>
      </c>
      <c r="B791" s="1159">
        <f t="shared" si="110"/>
        <v>12</v>
      </c>
      <c r="C791" s="929">
        <v>43099</v>
      </c>
      <c r="D791" s="929" t="s">
        <v>530</v>
      </c>
      <c r="E791" s="929">
        <v>43075</v>
      </c>
      <c r="F791" s="930" t="s">
        <v>2693</v>
      </c>
      <c r="G791" s="931" t="s">
        <v>2843</v>
      </c>
      <c r="H791" s="735" t="s">
        <v>563</v>
      </c>
      <c r="I791" s="371"/>
      <c r="J791" s="932"/>
      <c r="K791" s="371"/>
      <c r="L791" s="377"/>
      <c r="M791" s="933">
        <v>3397470</v>
      </c>
      <c r="N791" s="934" t="s">
        <v>9</v>
      </c>
      <c r="O791" s="934" t="s">
        <v>8</v>
      </c>
      <c r="P791" s="75" t="str">
        <f>IF(AND('331-CT'!$E$7=TH!H791,OR(N791="331",O791="331")),"x","")</f>
        <v/>
      </c>
      <c r="Q791" s="75" t="str">
        <f>IF(AND(B791='111'!$L$11,OR($N791=$Q$7,$O791=$Q$7)),"x","")</f>
        <v/>
      </c>
      <c r="R791" s="75" t="str">
        <f>IF(AND($N791=$Q$7,$B791&lt;'111'!$L$11),"x","")</f>
        <v/>
      </c>
      <c r="S791" s="75" t="str">
        <f>IF(AND($O791=$Q$7,$B791&lt;'111'!$L$11),"x","")</f>
        <v/>
      </c>
      <c r="T791" s="75" t="str">
        <f>IF(ISERROR(FIND('112'!$M$9,G791,1)),"",IF((AND(FIND('112'!$M$9,G791,1)&gt;=1,B791='112'!$K$9,OR($N791='112'!$I$6,$O791='112'!$I$6))),"x",""))</f>
        <v/>
      </c>
      <c r="U791" s="75" t="str">
        <f>IF(ISERROR(FIND('112'!$M$9,G791,1)),"",IF((AND(LEFT(G791,2)=LEFT('112'!$M$9,2),B791&lt;'112'!$K$9,$N791='112'!$I$6)),"x",""))</f>
        <v/>
      </c>
      <c r="V791" s="75" t="str">
        <f>IF(ISERROR(FIND('112'!$M$9,G791,1)),"",IF((AND(RIGHT(G791,2)=RIGHT('112'!$M$9,2),B791&lt;'112'!$K$9,$O791='112'!$I$6)),"x",""))</f>
        <v/>
      </c>
      <c r="W791" s="75" t="str">
        <f>IF(AND('341-CT'!$H$9=H791,OR(LEFT(N791,3)=$W$7,LEFT(O791,3)=$W$7)),"x","")</f>
        <v/>
      </c>
      <c r="X791" s="75" t="str">
        <f>IF(OR(TH!N791=TH!$X$7,O791=TH!$X$7),"x","")</f>
        <v/>
      </c>
      <c r="Y791" s="75" t="str">
        <f>IF(AND(OR(N791="131",O791="131"),H791='131-CT'!$H$9),"x","")</f>
        <v/>
      </c>
      <c r="Z791" s="75"/>
      <c r="AA791" s="75" t="str">
        <f>IF(AND(MONTH(E791)='IN-NX'!$J$5,'IN-NX'!$D$7=D791),"x","")</f>
        <v/>
      </c>
      <c r="AB791" s="75" t="str">
        <f>IF(AND(OR(LEFT(TH!N791,2)="15",LEFT(TH!O791,2)="15"),LEFT(TH!O791,3)&lt;&gt;"111",'152-CT'!$J$8=TH!F791),"x","")</f>
        <v/>
      </c>
      <c r="AC791" s="75" t="str">
        <f>IF(AND(OR(LEFT(TH!N791,2)="15",LEFT(TH!O791,2)="15"),TK!$E$7=TH!F791),"x","")</f>
        <v/>
      </c>
      <c r="AD791" s="75" t="str">
        <f>IF(AND(N791="1521",MONTH(C791)='BK-NL'!$M$11),"x","")</f>
        <v/>
      </c>
      <c r="AE791">
        <v>12</v>
      </c>
    </row>
    <row r="792" spans="1:31" ht="16.5" customHeight="1">
      <c r="A792" s="309" t="str">
        <f>IF(B792&lt;&gt;"",IF(AND(B792='IN-TC'!$S$4,OR(TH!N792="1111",TH!O792="1111")),TH!D792,""),"")</f>
        <v/>
      </c>
      <c r="B792" s="1159">
        <f t="shared" si="110"/>
        <v>12</v>
      </c>
      <c r="C792" s="929">
        <v>43099</v>
      </c>
      <c r="D792" s="929" t="s">
        <v>530</v>
      </c>
      <c r="E792" s="929">
        <v>43086</v>
      </c>
      <c r="F792" s="930" t="s">
        <v>2694</v>
      </c>
      <c r="G792" s="931" t="s">
        <v>2844</v>
      </c>
      <c r="H792" s="735" t="s">
        <v>563</v>
      </c>
      <c r="I792" s="371"/>
      <c r="J792" s="932"/>
      <c r="K792" s="371"/>
      <c r="L792" s="377"/>
      <c r="M792" s="933">
        <v>28105200</v>
      </c>
      <c r="N792" s="934" t="s">
        <v>272</v>
      </c>
      <c r="O792" s="934" t="s">
        <v>8</v>
      </c>
      <c r="P792" s="75" t="str">
        <f>IF(AND('331-CT'!$E$7=TH!H792,OR(N792="331",O792="331")),"x","")</f>
        <v/>
      </c>
      <c r="Q792" s="75" t="str">
        <f>IF(AND(B792='111'!$L$11,OR($N792=$Q$7,$O792=$Q$7)),"x","")</f>
        <v/>
      </c>
      <c r="R792" s="75" t="str">
        <f>IF(AND($N792=$Q$7,$B792&lt;'111'!$L$11),"x","")</f>
        <v/>
      </c>
      <c r="S792" s="75" t="str">
        <f>IF(AND($O792=$Q$7,$B792&lt;'111'!$L$11),"x","")</f>
        <v/>
      </c>
      <c r="T792" s="75" t="str">
        <f>IF(ISERROR(FIND('112'!$M$9,G792,1)),"",IF((AND(FIND('112'!$M$9,G792,1)&gt;=1,B792='112'!$K$9,OR($N792='112'!$I$6,$O792='112'!$I$6))),"x",""))</f>
        <v/>
      </c>
      <c r="U792" s="75" t="str">
        <f>IF(ISERROR(FIND('112'!$M$9,G792,1)),"",IF((AND(LEFT(G792,2)=LEFT('112'!$M$9,2),B792&lt;'112'!$K$9,$N792='112'!$I$6)),"x",""))</f>
        <v/>
      </c>
      <c r="V792" s="75" t="str">
        <f>IF(ISERROR(FIND('112'!$M$9,G792,1)),"",IF((AND(RIGHT(G792,2)=RIGHT('112'!$M$9,2),B792&lt;'112'!$K$9,$O792='112'!$I$6)),"x",""))</f>
        <v/>
      </c>
      <c r="W792" s="75" t="str">
        <f>IF(AND('341-CT'!$H$9=H792,OR(LEFT(N792,3)=$W$7,LEFT(O792,3)=$W$7)),"x","")</f>
        <v/>
      </c>
      <c r="X792" s="75" t="str">
        <f>IF(OR(TH!N792=TH!$X$7,O792=TH!$X$7),"x","")</f>
        <v/>
      </c>
      <c r="Y792" s="75" t="str">
        <f>IF(AND(OR(N792="131",O792="131"),H792='131-CT'!$H$9),"x","")</f>
        <v/>
      </c>
      <c r="Z792" s="75"/>
      <c r="AA792" s="75" t="str">
        <f>IF(AND(MONTH(E792)='IN-NX'!$J$5,'IN-NX'!$D$7=D792),"x","")</f>
        <v/>
      </c>
      <c r="AB792" s="75" t="str">
        <f>IF(AND(OR(LEFT(TH!N792,2)="15",LEFT(TH!O792,2)="15"),LEFT(TH!O792,3)&lt;&gt;"111",'152-CT'!$J$8=TH!F792),"x","")</f>
        <v/>
      </c>
      <c r="AC792" s="75" t="str">
        <f>IF(AND(OR(LEFT(TH!N792,2)="15",LEFT(TH!O792,2)="15"),TK!$E$7=TH!F792),"x","")</f>
        <v/>
      </c>
      <c r="AD792" s="75" t="str">
        <f>IF(AND(N792="1521",MONTH(C792)='BK-NL'!$M$11),"x","")</f>
        <v/>
      </c>
      <c r="AE792">
        <v>12</v>
      </c>
    </row>
    <row r="793" spans="1:31" ht="16.5" customHeight="1">
      <c r="A793" s="309" t="str">
        <f>IF(B793&lt;&gt;"",IF(AND(B793='IN-TC'!$S$4,OR(TH!N793="1111",TH!O793="1111")),TH!D793,""),"")</f>
        <v/>
      </c>
      <c r="B793" s="1159">
        <f t="shared" si="110"/>
        <v>12</v>
      </c>
      <c r="C793" s="929">
        <v>43099</v>
      </c>
      <c r="D793" s="929" t="s">
        <v>530</v>
      </c>
      <c r="E793" s="929">
        <v>43086</v>
      </c>
      <c r="F793" s="930" t="s">
        <v>2695</v>
      </c>
      <c r="G793" s="931" t="s">
        <v>2844</v>
      </c>
      <c r="H793" s="735" t="s">
        <v>563</v>
      </c>
      <c r="I793" s="371"/>
      <c r="J793" s="932"/>
      <c r="K793" s="371"/>
      <c r="L793" s="377"/>
      <c r="M793" s="933">
        <v>2810520</v>
      </c>
      <c r="N793" s="934" t="s">
        <v>9</v>
      </c>
      <c r="O793" s="934" t="s">
        <v>8</v>
      </c>
      <c r="P793" s="75" t="str">
        <f>IF(AND('331-CT'!$E$7=TH!H793,OR(N793="331",O793="331")),"x","")</f>
        <v/>
      </c>
      <c r="Q793" s="75" t="str">
        <f>IF(AND(B793='111'!$L$11,OR($N793=$Q$7,$O793=$Q$7)),"x","")</f>
        <v/>
      </c>
      <c r="R793" s="75" t="str">
        <f>IF(AND($N793=$Q$7,$B793&lt;'111'!$L$11),"x","")</f>
        <v/>
      </c>
      <c r="S793" s="75" t="str">
        <f>IF(AND($O793=$Q$7,$B793&lt;'111'!$L$11),"x","")</f>
        <v/>
      </c>
      <c r="T793" s="75" t="str">
        <f>IF(ISERROR(FIND('112'!$M$9,G793,1)),"",IF((AND(FIND('112'!$M$9,G793,1)&gt;=1,B793='112'!$K$9,OR($N793='112'!$I$6,$O793='112'!$I$6))),"x",""))</f>
        <v/>
      </c>
      <c r="U793" s="75" t="str">
        <f>IF(ISERROR(FIND('112'!$M$9,G793,1)),"",IF((AND(LEFT(G793,2)=LEFT('112'!$M$9,2),B793&lt;'112'!$K$9,$N793='112'!$I$6)),"x",""))</f>
        <v/>
      </c>
      <c r="V793" s="75" t="str">
        <f>IF(ISERROR(FIND('112'!$M$9,G793,1)),"",IF((AND(RIGHT(G793,2)=RIGHT('112'!$M$9,2),B793&lt;'112'!$K$9,$O793='112'!$I$6)),"x",""))</f>
        <v/>
      </c>
      <c r="W793" s="75" t="str">
        <f>IF(AND('341-CT'!$H$9=H793,OR(LEFT(N793,3)=$W$7,LEFT(O793,3)=$W$7)),"x","")</f>
        <v/>
      </c>
      <c r="X793" s="75" t="str">
        <f>IF(OR(TH!N793=TH!$X$7,O793=TH!$X$7),"x","")</f>
        <v/>
      </c>
      <c r="Y793" s="75" t="str">
        <f>IF(AND(OR(N793="131",O793="131"),H793='131-CT'!$H$9),"x","")</f>
        <v/>
      </c>
      <c r="Z793" s="75"/>
      <c r="AA793" s="75" t="str">
        <f>IF(AND(MONTH(E793)='IN-NX'!$J$5,'IN-NX'!$D$7=D793),"x","")</f>
        <v/>
      </c>
      <c r="AB793" s="75" t="str">
        <f>IF(AND(OR(LEFT(TH!N793,2)="15",LEFT(TH!O793,2)="15"),LEFT(TH!O793,3)&lt;&gt;"111",'152-CT'!$J$8=TH!F793),"x","")</f>
        <v/>
      </c>
      <c r="AC793" s="75" t="str">
        <f>IF(AND(OR(LEFT(TH!N793,2)="15",LEFT(TH!O793,2)="15"),TK!$E$7=TH!F793),"x","")</f>
        <v/>
      </c>
      <c r="AD793" s="75" t="str">
        <f>IF(AND(N793="1521",MONTH(C793)='BK-NL'!$M$11),"x","")</f>
        <v/>
      </c>
      <c r="AE793">
        <v>12</v>
      </c>
    </row>
    <row r="794" spans="1:31" ht="16.5" customHeight="1">
      <c r="A794" s="309" t="str">
        <f>IF(B794&lt;&gt;"",IF(AND(B794='IN-TC'!$S$4,OR(TH!N794="1111",TH!O794="1111")),TH!D794,""),"")</f>
        <v/>
      </c>
      <c r="B794" s="1159">
        <f t="shared" si="110"/>
        <v>12</v>
      </c>
      <c r="C794" s="929">
        <v>43099</v>
      </c>
      <c r="D794" s="929" t="s">
        <v>530</v>
      </c>
      <c r="E794" s="929">
        <v>43095</v>
      </c>
      <c r="F794" s="930" t="s">
        <v>2696</v>
      </c>
      <c r="G794" s="931" t="s">
        <v>2845</v>
      </c>
      <c r="H794" s="735" t="s">
        <v>563</v>
      </c>
      <c r="I794" s="371"/>
      <c r="J794" s="932"/>
      <c r="K794" s="371"/>
      <c r="L794" s="377"/>
      <c r="M794" s="933">
        <v>22985700</v>
      </c>
      <c r="N794" s="934" t="s">
        <v>272</v>
      </c>
      <c r="O794" s="934" t="s">
        <v>8</v>
      </c>
      <c r="P794" s="75" t="str">
        <f>IF(AND('331-CT'!$E$7=TH!H794,OR(N794="331",O794="331")),"x","")</f>
        <v/>
      </c>
      <c r="Q794" s="75" t="str">
        <f>IF(AND(B794='111'!$L$11,OR($N794=$Q$7,$O794=$Q$7)),"x","")</f>
        <v/>
      </c>
      <c r="R794" s="75" t="str">
        <f>IF(AND($N794=$Q$7,$B794&lt;'111'!$L$11),"x","")</f>
        <v/>
      </c>
      <c r="S794" s="75" t="str">
        <f>IF(AND($O794=$Q$7,$B794&lt;'111'!$L$11),"x","")</f>
        <v/>
      </c>
      <c r="T794" s="75" t="str">
        <f>IF(ISERROR(FIND('112'!$M$9,G794,1)),"",IF((AND(FIND('112'!$M$9,G794,1)&gt;=1,B794='112'!$K$9,OR($N794='112'!$I$6,$O794='112'!$I$6))),"x",""))</f>
        <v/>
      </c>
      <c r="U794" s="75" t="str">
        <f>IF(ISERROR(FIND('112'!$M$9,G794,1)),"",IF((AND(LEFT(G794,2)=LEFT('112'!$M$9,2),B794&lt;'112'!$K$9,$N794='112'!$I$6)),"x",""))</f>
        <v/>
      </c>
      <c r="V794" s="75" t="str">
        <f>IF(ISERROR(FIND('112'!$M$9,G794,1)),"",IF((AND(RIGHT(G794,2)=RIGHT('112'!$M$9,2),B794&lt;'112'!$K$9,$O794='112'!$I$6)),"x",""))</f>
        <v/>
      </c>
      <c r="W794" s="75" t="str">
        <f>IF(AND('341-CT'!$H$9=H794,OR(LEFT(N794,3)=$W$7,LEFT(O794,3)=$W$7)),"x","")</f>
        <v/>
      </c>
      <c r="X794" s="75" t="str">
        <f>IF(OR(TH!N794=TH!$X$7,O794=TH!$X$7),"x","")</f>
        <v/>
      </c>
      <c r="Y794" s="75" t="str">
        <f>IF(AND(OR(N794="131",O794="131"),H794='131-CT'!$H$9),"x","")</f>
        <v/>
      </c>
      <c r="Z794" s="75"/>
      <c r="AA794" s="75" t="str">
        <f>IF(AND(MONTH(E794)='IN-NX'!$J$5,'IN-NX'!$D$7=D794),"x","")</f>
        <v/>
      </c>
      <c r="AB794" s="75" t="str">
        <f>IF(AND(OR(LEFT(TH!N794,2)="15",LEFT(TH!O794,2)="15"),LEFT(TH!O794,3)&lt;&gt;"111",'152-CT'!$J$8=TH!F794),"x","")</f>
        <v/>
      </c>
      <c r="AC794" s="75" t="str">
        <f>IF(AND(OR(LEFT(TH!N794,2)="15",LEFT(TH!O794,2)="15"),TK!$E$7=TH!F794),"x","")</f>
        <v/>
      </c>
      <c r="AD794" s="75" t="str">
        <f>IF(AND(N794="1521",MONTH(C794)='BK-NL'!$M$11),"x","")</f>
        <v/>
      </c>
      <c r="AE794">
        <v>12</v>
      </c>
    </row>
    <row r="795" spans="1:31" ht="16.5" customHeight="1">
      <c r="A795" s="309" t="str">
        <f>IF(B795&lt;&gt;"",IF(AND(B795='IN-TC'!$S$4,OR(TH!N795="1111",TH!O795="1111")),TH!D795,""),"")</f>
        <v/>
      </c>
      <c r="B795" s="1159">
        <f t="shared" si="110"/>
        <v>12</v>
      </c>
      <c r="C795" s="929">
        <v>43099</v>
      </c>
      <c r="D795" s="929" t="s">
        <v>530</v>
      </c>
      <c r="E795" s="929">
        <v>43095</v>
      </c>
      <c r="F795" s="930" t="s">
        <v>2697</v>
      </c>
      <c r="G795" s="931" t="s">
        <v>2845</v>
      </c>
      <c r="H795" s="735" t="s">
        <v>563</v>
      </c>
      <c r="I795" s="371"/>
      <c r="J795" s="932"/>
      <c r="K795" s="371"/>
      <c r="L795" s="377"/>
      <c r="M795" s="933">
        <v>2298570</v>
      </c>
      <c r="N795" s="934" t="s">
        <v>9</v>
      </c>
      <c r="O795" s="934" t="s">
        <v>8</v>
      </c>
      <c r="P795" s="75" t="str">
        <f>IF(AND('331-CT'!$E$7=TH!H795,OR(N795="331",O795="331")),"x","")</f>
        <v/>
      </c>
      <c r="Q795" s="75" t="str">
        <f>IF(AND(B795='111'!$L$11,OR($N795=$Q$7,$O795=$Q$7)),"x","")</f>
        <v/>
      </c>
      <c r="R795" s="75" t="str">
        <f>IF(AND($N795=$Q$7,$B795&lt;'111'!$L$11),"x","")</f>
        <v/>
      </c>
      <c r="S795" s="75" t="str">
        <f>IF(AND($O795=$Q$7,$B795&lt;'111'!$L$11),"x","")</f>
        <v/>
      </c>
      <c r="T795" s="75" t="str">
        <f>IF(ISERROR(FIND('112'!$M$9,G795,1)),"",IF((AND(FIND('112'!$M$9,G795,1)&gt;=1,B795='112'!$K$9,OR($N795='112'!$I$6,$O795='112'!$I$6))),"x",""))</f>
        <v/>
      </c>
      <c r="U795" s="75" t="str">
        <f>IF(ISERROR(FIND('112'!$M$9,G795,1)),"",IF((AND(LEFT(G795,2)=LEFT('112'!$M$9,2),B795&lt;'112'!$K$9,$N795='112'!$I$6)),"x",""))</f>
        <v/>
      </c>
      <c r="V795" s="75" t="str">
        <f>IF(ISERROR(FIND('112'!$M$9,G795,1)),"",IF((AND(RIGHT(G795,2)=RIGHT('112'!$M$9,2),B795&lt;'112'!$K$9,$O795='112'!$I$6)),"x",""))</f>
        <v/>
      </c>
      <c r="W795" s="75" t="str">
        <f>IF(AND('341-CT'!$H$9=H795,OR(LEFT(N795,3)=$W$7,LEFT(O795,3)=$W$7)),"x","")</f>
        <v/>
      </c>
      <c r="X795" s="75" t="str">
        <f>IF(OR(TH!N795=TH!$X$7,O795=TH!$X$7),"x","")</f>
        <v/>
      </c>
      <c r="Y795" s="75" t="str">
        <f>IF(AND(OR(N795="131",O795="131"),H795='131-CT'!$H$9),"x","")</f>
        <v/>
      </c>
      <c r="Z795" s="75"/>
      <c r="AA795" s="75" t="str">
        <f>IF(AND(MONTH(E795)='IN-NX'!$J$5,'IN-NX'!$D$7=D795),"x","")</f>
        <v/>
      </c>
      <c r="AB795" s="75" t="str">
        <f>IF(AND(OR(LEFT(TH!N795,2)="15",LEFT(TH!O795,2)="15"),LEFT(TH!O795,3)&lt;&gt;"111",'152-CT'!$J$8=TH!F795),"x","")</f>
        <v/>
      </c>
      <c r="AC795" s="75" t="str">
        <f>IF(AND(OR(LEFT(TH!N795,2)="15",LEFT(TH!O795,2)="15"),TK!$E$7=TH!F795),"x","")</f>
        <v/>
      </c>
      <c r="AD795" s="75" t="str">
        <f>IF(AND(N795="1521",MONTH(C795)='BK-NL'!$M$11),"x","")</f>
        <v/>
      </c>
      <c r="AE795">
        <v>12</v>
      </c>
    </row>
    <row r="796" spans="1:31" ht="16.5" customHeight="1">
      <c r="A796" s="309" t="str">
        <f>IF(B796&lt;&gt;"",IF(AND(B796='IN-TC'!$S$4,OR(TH!N796="1111",TH!O796="1111")),TH!D796,""),"")</f>
        <v/>
      </c>
      <c r="B796" s="1159">
        <f t="shared" si="110"/>
        <v>12</v>
      </c>
      <c r="C796" s="929">
        <v>43082</v>
      </c>
      <c r="D796" s="929" t="s">
        <v>530</v>
      </c>
      <c r="E796" s="929">
        <f t="shared" ref="E796:E798" si="111">C796</f>
        <v>43082</v>
      </c>
      <c r="F796" s="930" t="s">
        <v>1192</v>
      </c>
      <c r="G796" s="931" t="s">
        <v>2749</v>
      </c>
      <c r="H796" s="73" t="s">
        <v>755</v>
      </c>
      <c r="I796" s="371"/>
      <c r="J796" s="932"/>
      <c r="K796" s="371"/>
      <c r="L796" s="377"/>
      <c r="M796" s="933">
        <v>7960750</v>
      </c>
      <c r="N796" s="934" t="s">
        <v>539</v>
      </c>
      <c r="O796" s="934" t="s">
        <v>8</v>
      </c>
      <c r="P796" s="75" t="str">
        <f>IF(AND('331-CT'!$E$7=TH!H796,OR(N796="331",O796="331")),"x","")</f>
        <v/>
      </c>
      <c r="Q796" s="75" t="str">
        <f>IF(AND(B796='111'!$L$11,OR($N796=$Q$7,$O796=$Q$7)),"x","")</f>
        <v/>
      </c>
      <c r="R796" s="75" t="str">
        <f>IF(AND($N796=$Q$7,$B796&lt;'111'!$L$11),"x","")</f>
        <v/>
      </c>
      <c r="S796" s="75" t="str">
        <f>IF(AND($O796=$Q$7,$B796&lt;'111'!$L$11),"x","")</f>
        <v/>
      </c>
      <c r="T796" s="75" t="str">
        <f>IF(ISERROR(FIND('112'!$M$9,G796,1)),"",IF((AND(FIND('112'!$M$9,G796,1)&gt;=1,B796='112'!$K$9,OR($N796='112'!$I$6,$O796='112'!$I$6))),"x",""))</f>
        <v/>
      </c>
      <c r="U796" s="75" t="str">
        <f>IF(ISERROR(FIND('112'!$M$9,G796,1)),"",IF((AND(LEFT(G796,2)=LEFT('112'!$M$9,2),B796&lt;'112'!$K$9,$N796='112'!$I$6)),"x",""))</f>
        <v/>
      </c>
      <c r="V796" s="75" t="str">
        <f>IF(ISERROR(FIND('112'!$M$9,G796,1)),"",IF((AND(RIGHT(G796,2)=RIGHT('112'!$M$9,2),B796&lt;'112'!$K$9,$O796='112'!$I$6)),"x",""))</f>
        <v/>
      </c>
      <c r="W796" s="75" t="str">
        <f>IF(AND('341-CT'!$H$9=H796,OR(LEFT(N796,3)=$W$7,LEFT(O796,3)=$W$7)),"x","")</f>
        <v/>
      </c>
      <c r="X796" s="75" t="str">
        <f>IF(OR(TH!N796=TH!$X$7,O796=TH!$X$7),"x","")</f>
        <v/>
      </c>
      <c r="Y796" s="75" t="str">
        <f>IF(AND(OR(N796="131",O796="131"),H796='131-CT'!$H$9),"x","")</f>
        <v/>
      </c>
      <c r="Z796" s="75"/>
      <c r="AA796" s="75" t="str">
        <f>IF(AND(MONTH(E796)='IN-NX'!$J$5,'IN-NX'!$D$7=D796),"x","")</f>
        <v/>
      </c>
      <c r="AB796" s="75" t="str">
        <f>IF(AND(OR(LEFT(TH!N796,2)="15",LEFT(TH!O796,2)="15"),LEFT(TH!O796,3)&lt;&gt;"111",'152-CT'!$J$8=TH!F796),"x","")</f>
        <v/>
      </c>
      <c r="AC796" s="75" t="str">
        <f>IF(AND(OR(LEFT(TH!N796,2)="15",LEFT(TH!O796,2)="15"),TK!$E$7=TH!F796),"x","")</f>
        <v/>
      </c>
      <c r="AD796" s="75" t="str">
        <f>IF(AND(N796="1521",MONTH(C796)='BK-NL'!$M$11),"x","")</f>
        <v/>
      </c>
    </row>
    <row r="797" spans="1:31" ht="16.5" customHeight="1">
      <c r="A797" s="309" t="str">
        <f>IF(B797&lt;&gt;"",IF(AND(B797='IN-TC'!$S$4,OR(TH!N797="1111",TH!O797="1111")),TH!D797,""),"")</f>
        <v/>
      </c>
      <c r="B797" s="1159">
        <f t="shared" si="110"/>
        <v>12</v>
      </c>
      <c r="C797" s="929">
        <v>43082</v>
      </c>
      <c r="D797" s="929" t="s">
        <v>530</v>
      </c>
      <c r="E797" s="929">
        <f t="shared" si="111"/>
        <v>43082</v>
      </c>
      <c r="F797" s="930" t="s">
        <v>823</v>
      </c>
      <c r="G797" s="931" t="s">
        <v>2750</v>
      </c>
      <c r="H797" s="73" t="s">
        <v>755</v>
      </c>
      <c r="I797" s="371"/>
      <c r="J797" s="932"/>
      <c r="K797" s="371"/>
      <c r="L797" s="377"/>
      <c r="M797" s="933">
        <v>4179985</v>
      </c>
      <c r="N797" s="934" t="s">
        <v>539</v>
      </c>
      <c r="O797" s="934" t="s">
        <v>8</v>
      </c>
      <c r="P797" s="75" t="str">
        <f>IF(AND('331-CT'!$E$7=TH!H797,OR(N797="331",O797="331")),"x","")</f>
        <v/>
      </c>
      <c r="Q797" s="75" t="str">
        <f>IF(AND(B797='111'!$L$11,OR($N797=$Q$7,$O797=$Q$7)),"x","")</f>
        <v/>
      </c>
      <c r="R797" s="75" t="str">
        <f>IF(AND($N797=$Q$7,$B797&lt;'111'!$L$11),"x","")</f>
        <v/>
      </c>
      <c r="S797" s="75" t="str">
        <f>IF(AND($O797=$Q$7,$B797&lt;'111'!$L$11),"x","")</f>
        <v/>
      </c>
      <c r="T797" s="75" t="str">
        <f>IF(ISERROR(FIND('112'!$M$9,G797,1)),"",IF((AND(FIND('112'!$M$9,G797,1)&gt;=1,B797='112'!$K$9,OR($N797='112'!$I$6,$O797='112'!$I$6))),"x",""))</f>
        <v/>
      </c>
      <c r="U797" s="75" t="str">
        <f>IF(ISERROR(FIND('112'!$M$9,G797,1)),"",IF((AND(LEFT(G797,2)=LEFT('112'!$M$9,2),B797&lt;'112'!$K$9,$N797='112'!$I$6)),"x",""))</f>
        <v/>
      </c>
      <c r="V797" s="75" t="str">
        <f>IF(ISERROR(FIND('112'!$M$9,G797,1)),"",IF((AND(RIGHT(G797,2)=RIGHT('112'!$M$9,2),B797&lt;'112'!$K$9,$O797='112'!$I$6)),"x",""))</f>
        <v/>
      </c>
      <c r="W797" s="75" t="str">
        <f>IF(AND('341-CT'!$H$9=H797,OR(LEFT(N797,3)=$W$7,LEFT(O797,3)=$W$7)),"x","")</f>
        <v/>
      </c>
      <c r="X797" s="75" t="str">
        <f>IF(OR(TH!N797=TH!$X$7,O797=TH!$X$7),"x","")</f>
        <v/>
      </c>
      <c r="Y797" s="75" t="str">
        <f>IF(AND(OR(N797="131",O797="131"),H797='131-CT'!$H$9),"x","")</f>
        <v/>
      </c>
      <c r="Z797" s="75"/>
      <c r="AA797" s="75" t="str">
        <f>IF(AND(MONTH(E797)='IN-NX'!$J$5,'IN-NX'!$D$7=D797),"x","")</f>
        <v/>
      </c>
      <c r="AB797" s="75" t="str">
        <f>IF(AND(OR(LEFT(TH!N797,2)="15",LEFT(TH!O797,2)="15"),LEFT(TH!O797,3)&lt;&gt;"111",'152-CT'!$J$8=TH!F797),"x","")</f>
        <v/>
      </c>
      <c r="AC797" s="75" t="str">
        <f>IF(AND(OR(LEFT(TH!N797,2)="15",LEFT(TH!O797,2)="15"),TK!$E$7=TH!F797),"x","")</f>
        <v/>
      </c>
      <c r="AD797" s="75" t="str">
        <f>IF(AND(N797="1521",MONTH(C797)='BK-NL'!$M$11),"x","")</f>
        <v/>
      </c>
      <c r="AE797">
        <v>12</v>
      </c>
    </row>
    <row r="798" spans="1:31" ht="16.5" customHeight="1">
      <c r="A798" s="309" t="str">
        <f>IF(B798&lt;&gt;"",IF(AND(B798='IN-TC'!$S$4,OR(TH!N798="1111",TH!O798="1111")),TH!D798,""),"")</f>
        <v/>
      </c>
      <c r="B798" s="1159">
        <f t="shared" si="110"/>
        <v>12</v>
      </c>
      <c r="C798" s="929">
        <v>43082</v>
      </c>
      <c r="D798" s="929" t="s">
        <v>530</v>
      </c>
      <c r="E798" s="929">
        <f t="shared" si="111"/>
        <v>43082</v>
      </c>
      <c r="F798" s="930" t="s">
        <v>824</v>
      </c>
      <c r="G798" s="931" t="s">
        <v>2750</v>
      </c>
      <c r="H798" s="73" t="s">
        <v>755</v>
      </c>
      <c r="I798" s="371"/>
      <c r="J798" s="932"/>
      <c r="K798" s="371"/>
      <c r="L798" s="377"/>
      <c r="M798" s="933">
        <v>417999</v>
      </c>
      <c r="N798" s="934" t="s">
        <v>9</v>
      </c>
      <c r="O798" s="934" t="s">
        <v>8</v>
      </c>
      <c r="P798" s="75" t="str">
        <f>IF(AND('331-CT'!$E$7=TH!H798,OR(N798="331",O798="331")),"x","")</f>
        <v/>
      </c>
      <c r="Q798" s="75" t="str">
        <f>IF(AND(B798='111'!$L$11,OR($N798=$Q$7,$O798=$Q$7)),"x","")</f>
        <v/>
      </c>
      <c r="R798" s="75" t="str">
        <f>IF(AND($N798=$Q$7,$B798&lt;'111'!$L$11),"x","")</f>
        <v/>
      </c>
      <c r="S798" s="75" t="str">
        <f>IF(AND($O798=$Q$7,$B798&lt;'111'!$L$11),"x","")</f>
        <v/>
      </c>
      <c r="T798" s="75" t="str">
        <f>IF(ISERROR(FIND('112'!$M$9,G798,1)),"",IF((AND(FIND('112'!$M$9,G798,1)&gt;=1,B798='112'!$K$9,OR($N798='112'!$I$6,$O798='112'!$I$6))),"x",""))</f>
        <v/>
      </c>
      <c r="U798" s="75" t="str">
        <f>IF(ISERROR(FIND('112'!$M$9,G798,1)),"",IF((AND(LEFT(G798,2)=LEFT('112'!$M$9,2),B798&lt;'112'!$K$9,$N798='112'!$I$6)),"x",""))</f>
        <v/>
      </c>
      <c r="V798" s="75" t="str">
        <f>IF(ISERROR(FIND('112'!$M$9,G798,1)),"",IF((AND(RIGHT(G798,2)=RIGHT('112'!$M$9,2),B798&lt;'112'!$K$9,$O798='112'!$I$6)),"x",""))</f>
        <v/>
      </c>
      <c r="W798" s="75" t="str">
        <f>IF(AND('341-CT'!$H$9=H798,OR(LEFT(N798,3)=$W$7,LEFT(O798,3)=$W$7)),"x","")</f>
        <v/>
      </c>
      <c r="X798" s="75" t="str">
        <f>IF(OR(TH!N798=TH!$X$7,O798=TH!$X$7),"x","")</f>
        <v/>
      </c>
      <c r="Y798" s="75" t="str">
        <f>IF(AND(OR(N798="131",O798="131"),H798='131-CT'!$H$9),"x","")</f>
        <v/>
      </c>
      <c r="Z798" s="75"/>
      <c r="AA798" s="75" t="str">
        <f>IF(AND(MONTH(E798)='IN-NX'!$J$5,'IN-NX'!$D$7=D798),"x","")</f>
        <v/>
      </c>
      <c r="AB798" s="75" t="str">
        <f>IF(AND(OR(LEFT(TH!N798,2)="15",LEFT(TH!O798,2)="15"),LEFT(TH!O798,3)&lt;&gt;"111",'152-CT'!$J$8=TH!F798),"x","")</f>
        <v/>
      </c>
      <c r="AC798" s="75" t="str">
        <f>IF(AND(OR(LEFT(TH!N798,2)="15",LEFT(TH!O798,2)="15"),TK!$E$7=TH!F798),"x","")</f>
        <v/>
      </c>
      <c r="AD798" s="75" t="str">
        <f>IF(AND(N798="1521",MONTH(C798)='BK-NL'!$M$11),"x","")</f>
        <v/>
      </c>
      <c r="AE798">
        <v>12</v>
      </c>
    </row>
    <row r="799" spans="1:31" ht="16.5" customHeight="1">
      <c r="A799" s="309" t="str">
        <f>IF(B799&lt;&gt;"",IF(AND(B799='IN-TC'!$S$4,OR(TH!N799="1111",TH!O799="1111")),TH!D799,""),"")</f>
        <v/>
      </c>
      <c r="B799" s="1159">
        <f t="shared" si="110"/>
        <v>12</v>
      </c>
      <c r="C799" s="929">
        <v>43077</v>
      </c>
      <c r="D799" s="929" t="s">
        <v>530</v>
      </c>
      <c r="E799" s="929">
        <v>43077</v>
      </c>
      <c r="F799" s="930" t="s">
        <v>1108</v>
      </c>
      <c r="G799" s="931" t="s">
        <v>2755</v>
      </c>
      <c r="H799" s="73" t="s">
        <v>562</v>
      </c>
      <c r="I799" s="371"/>
      <c r="J799" s="932"/>
      <c r="K799" s="371"/>
      <c r="L799" s="377"/>
      <c r="M799" s="933">
        <v>6942436</v>
      </c>
      <c r="N799" s="934" t="s">
        <v>539</v>
      </c>
      <c r="O799" s="934" t="s">
        <v>8</v>
      </c>
      <c r="P799" s="75" t="str">
        <f>IF(AND('331-CT'!$E$7=TH!H799,OR(N799="331",O799="331")),"x","")</f>
        <v/>
      </c>
      <c r="Q799" s="75" t="str">
        <f>IF(AND(B799='111'!$L$11,OR($N799=$Q$7,$O799=$Q$7)),"x","")</f>
        <v/>
      </c>
      <c r="R799" s="75" t="str">
        <f>IF(AND($N799=$Q$7,$B799&lt;'111'!$L$11),"x","")</f>
        <v/>
      </c>
      <c r="S799" s="75" t="str">
        <f>IF(AND($O799=$Q$7,$B799&lt;'111'!$L$11),"x","")</f>
        <v/>
      </c>
      <c r="T799" s="75" t="str">
        <f>IF(ISERROR(FIND('112'!$M$9,G799,1)),"",IF((AND(FIND('112'!$M$9,G799,1)&gt;=1,B799='112'!$K$9,OR($N799='112'!$I$6,$O799='112'!$I$6))),"x",""))</f>
        <v/>
      </c>
      <c r="U799" s="75" t="str">
        <f>IF(ISERROR(FIND('112'!$M$9,G799,1)),"",IF((AND(LEFT(G799,2)=LEFT('112'!$M$9,2),B799&lt;'112'!$K$9,$N799='112'!$I$6)),"x",""))</f>
        <v/>
      </c>
      <c r="V799" s="75" t="str">
        <f>IF(ISERROR(FIND('112'!$M$9,G799,1)),"",IF((AND(RIGHT(G799,2)=RIGHT('112'!$M$9,2),B799&lt;'112'!$K$9,$O799='112'!$I$6)),"x",""))</f>
        <v/>
      </c>
      <c r="W799" s="75" t="str">
        <f>IF(AND('341-CT'!$H$9=H799,OR(LEFT(N799,3)=$W$7,LEFT(O799,3)=$W$7)),"x","")</f>
        <v/>
      </c>
      <c r="X799" s="75" t="str">
        <f>IF(OR(TH!N799=TH!$X$7,O799=TH!$X$7),"x","")</f>
        <v/>
      </c>
      <c r="Y799" s="75" t="str">
        <f>IF(AND(OR(N799="131",O799="131"),H799='131-CT'!$H$9),"x","")</f>
        <v/>
      </c>
      <c r="Z799" s="75"/>
      <c r="AA799" s="75" t="str">
        <f>IF(AND(MONTH(E799)='IN-NX'!$J$5,'IN-NX'!$D$7=D799),"x","")</f>
        <v/>
      </c>
      <c r="AB799" s="75" t="str">
        <f>IF(AND(OR(LEFT(TH!N799,2)="15",LEFT(TH!O799,2)="15"),LEFT(TH!O799,3)&lt;&gt;"111",'152-CT'!$J$8=TH!F799),"x","")</f>
        <v/>
      </c>
      <c r="AC799" s="75" t="str">
        <f>IF(AND(OR(LEFT(TH!N799,2)="15",LEFT(TH!O799,2)="15"),TK!$E$7=TH!F799),"x","")</f>
        <v/>
      </c>
      <c r="AD799" s="75" t="str">
        <f>IF(AND(N799="1521",MONTH(C799)='BK-NL'!$M$11),"x","")</f>
        <v/>
      </c>
      <c r="AE799">
        <v>12</v>
      </c>
    </row>
    <row r="800" spans="1:31" ht="16.5" customHeight="1">
      <c r="A800" s="309" t="str">
        <f>IF(B800&lt;&gt;"",IF(AND(B800='IN-TC'!$S$4,OR(TH!N800="1111",TH!O800="1111")),TH!D800,""),"")</f>
        <v/>
      </c>
      <c r="B800" s="1159">
        <f t="shared" si="110"/>
        <v>12</v>
      </c>
      <c r="C800" s="929">
        <v>43077</v>
      </c>
      <c r="D800" s="929" t="s">
        <v>530</v>
      </c>
      <c r="E800" s="929">
        <v>43077</v>
      </c>
      <c r="F800" s="930" t="s">
        <v>1109</v>
      </c>
      <c r="G800" s="931" t="s">
        <v>2755</v>
      </c>
      <c r="H800" s="73" t="s">
        <v>562</v>
      </c>
      <c r="I800" s="371"/>
      <c r="J800" s="932"/>
      <c r="K800" s="371"/>
      <c r="L800" s="377"/>
      <c r="M800" s="933">
        <v>694244</v>
      </c>
      <c r="N800" s="934" t="s">
        <v>9</v>
      </c>
      <c r="O800" s="934" t="s">
        <v>8</v>
      </c>
      <c r="P800" s="75" t="str">
        <f>IF(AND('331-CT'!$E$7=TH!H800,OR(N800="331",O800="331")),"x","")</f>
        <v/>
      </c>
      <c r="Q800" s="75" t="str">
        <f>IF(AND(B800='111'!$L$11,OR($N800=$Q$7,$O800=$Q$7)),"x","")</f>
        <v/>
      </c>
      <c r="R800" s="75" t="str">
        <f>IF(AND($N800=$Q$7,$B800&lt;'111'!$L$11),"x","")</f>
        <v/>
      </c>
      <c r="S800" s="75" t="str">
        <f>IF(AND($O800=$Q$7,$B800&lt;'111'!$L$11),"x","")</f>
        <v/>
      </c>
      <c r="T800" s="75" t="str">
        <f>IF(ISERROR(FIND('112'!$M$9,G800,1)),"",IF((AND(FIND('112'!$M$9,G800,1)&gt;=1,B800='112'!$K$9,OR($N800='112'!$I$6,$O800='112'!$I$6))),"x",""))</f>
        <v/>
      </c>
      <c r="U800" s="75" t="str">
        <f>IF(ISERROR(FIND('112'!$M$9,G800,1)),"",IF((AND(LEFT(G800,2)=LEFT('112'!$M$9,2),B800&lt;'112'!$K$9,$N800='112'!$I$6)),"x",""))</f>
        <v/>
      </c>
      <c r="V800" s="75" t="str">
        <f>IF(ISERROR(FIND('112'!$M$9,G800,1)),"",IF((AND(RIGHT(G800,2)=RIGHT('112'!$M$9,2),B800&lt;'112'!$K$9,$O800='112'!$I$6)),"x",""))</f>
        <v/>
      </c>
      <c r="W800" s="75" t="str">
        <f>IF(AND('341-CT'!$H$9=H800,OR(LEFT(N800,3)=$W$7,LEFT(O800,3)=$W$7)),"x","")</f>
        <v/>
      </c>
      <c r="X800" s="75" t="str">
        <f>IF(OR(TH!N800=TH!$X$7,O800=TH!$X$7),"x","")</f>
        <v/>
      </c>
      <c r="Y800" s="75" t="str">
        <f>IF(AND(OR(N800="131",O800="131"),H800='131-CT'!$H$9),"x","")</f>
        <v/>
      </c>
      <c r="Z800" s="75"/>
      <c r="AA800" s="75" t="str">
        <f>IF(AND(MONTH(E800)='IN-NX'!$J$5,'IN-NX'!$D$7=D800),"x","")</f>
        <v/>
      </c>
      <c r="AB800" s="75" t="str">
        <f>IF(AND(OR(LEFT(TH!N800,2)="15",LEFT(TH!O800,2)="15"),LEFT(TH!O800,3)&lt;&gt;"111",'152-CT'!$J$8=TH!F800),"x","")</f>
        <v/>
      </c>
      <c r="AC800" s="75" t="str">
        <f>IF(AND(OR(LEFT(TH!N800,2)="15",LEFT(TH!O800,2)="15"),TK!$E$7=TH!F800),"x","")</f>
        <v/>
      </c>
      <c r="AD800" s="75" t="str">
        <f>IF(AND(N800="1521",MONTH(C800)='BK-NL'!$M$11),"x","")</f>
        <v/>
      </c>
      <c r="AE800">
        <v>12</v>
      </c>
    </row>
    <row r="801" spans="1:31" ht="16.5" customHeight="1">
      <c r="A801" s="309" t="str">
        <f>IF(B801&lt;&gt;"",IF(AND(B801='IN-TC'!$S$4,OR(TH!N801="1111",TH!O801="1111")),TH!D801,""),"")</f>
        <v/>
      </c>
      <c r="B801" s="1159">
        <f t="shared" ref="B801:B809" si="112">IF(C801&lt;&gt;"",MONTH(C801),"")</f>
        <v>12</v>
      </c>
      <c r="C801" s="929">
        <v>43083</v>
      </c>
      <c r="D801" s="929" t="s">
        <v>530</v>
      </c>
      <c r="E801" s="929">
        <v>43083</v>
      </c>
      <c r="F801" s="930" t="s">
        <v>1108</v>
      </c>
      <c r="G801" s="931" t="s">
        <v>2756</v>
      </c>
      <c r="H801" s="73" t="s">
        <v>562</v>
      </c>
      <c r="I801" s="371"/>
      <c r="J801" s="932"/>
      <c r="K801" s="371"/>
      <c r="L801" s="377"/>
      <c r="M801" s="933">
        <v>3000000</v>
      </c>
      <c r="N801" s="934" t="s">
        <v>539</v>
      </c>
      <c r="O801" s="934" t="s">
        <v>8</v>
      </c>
      <c r="P801" s="75" t="str">
        <f>IF(AND('331-CT'!$E$7=TH!H801,OR(N801="331",O801="331")),"x","")</f>
        <v/>
      </c>
      <c r="Q801" s="75" t="str">
        <f>IF(AND(B801='111'!$L$11,OR($N801=$Q$7,$O801=$Q$7)),"x","")</f>
        <v/>
      </c>
      <c r="R801" s="75" t="str">
        <f>IF(AND($N801=$Q$7,$B801&lt;'111'!$L$11),"x","")</f>
        <v/>
      </c>
      <c r="S801" s="75" t="str">
        <f>IF(AND($O801=$Q$7,$B801&lt;'111'!$L$11),"x","")</f>
        <v/>
      </c>
      <c r="T801" s="75" t="str">
        <f>IF(ISERROR(FIND('112'!$M$9,G801,1)),"",IF((AND(FIND('112'!$M$9,G801,1)&gt;=1,B801='112'!$K$9,OR($N801='112'!$I$6,$O801='112'!$I$6))),"x",""))</f>
        <v/>
      </c>
      <c r="U801" s="75" t="str">
        <f>IF(ISERROR(FIND('112'!$M$9,G801,1)),"",IF((AND(LEFT(G801,2)=LEFT('112'!$M$9,2),B801&lt;'112'!$K$9,$N801='112'!$I$6)),"x",""))</f>
        <v/>
      </c>
      <c r="V801" s="75" t="str">
        <f>IF(ISERROR(FIND('112'!$M$9,G801,1)),"",IF((AND(RIGHT(G801,2)=RIGHT('112'!$M$9,2),B801&lt;'112'!$K$9,$O801='112'!$I$6)),"x",""))</f>
        <v/>
      </c>
      <c r="W801" s="75" t="str">
        <f>IF(AND('341-CT'!$H$9=H801,OR(LEFT(N801,3)=$W$7,LEFT(O801,3)=$W$7)),"x","")</f>
        <v/>
      </c>
      <c r="X801" s="75" t="str">
        <f>IF(OR(TH!N801=TH!$X$7,O801=TH!$X$7),"x","")</f>
        <v/>
      </c>
      <c r="Y801" s="75" t="str">
        <f>IF(AND(OR(N801="131",O801="131"),H801='131-CT'!$H$9),"x","")</f>
        <v/>
      </c>
      <c r="Z801" s="75"/>
      <c r="AA801" s="75" t="str">
        <f>IF(AND(MONTH(E801)='IN-NX'!$J$5,'IN-NX'!$D$7=D801),"x","")</f>
        <v/>
      </c>
      <c r="AB801" s="75" t="str">
        <f>IF(AND(OR(LEFT(TH!N801,2)="15",LEFT(TH!O801,2)="15"),LEFT(TH!O801,3)&lt;&gt;"111",'152-CT'!$J$8=TH!F801),"x","")</f>
        <v/>
      </c>
      <c r="AC801" s="75" t="str">
        <f>IF(AND(OR(LEFT(TH!N801,2)="15",LEFT(TH!O801,2)="15"),TK!$E$7=TH!F801),"x","")</f>
        <v/>
      </c>
      <c r="AD801" s="75" t="str">
        <f>IF(AND(N801="1521",MONTH(C801)='BK-NL'!$M$11),"x","")</f>
        <v/>
      </c>
      <c r="AE801">
        <v>12</v>
      </c>
    </row>
    <row r="802" spans="1:31" ht="16.5" customHeight="1">
      <c r="A802" s="309" t="str">
        <f>IF(B802&lt;&gt;"",IF(AND(B802='IN-TC'!$S$4,OR(TH!N802="1111",TH!O802="1111")),TH!D802,""),"")</f>
        <v/>
      </c>
      <c r="B802" s="1159">
        <f t="shared" si="112"/>
        <v>12</v>
      </c>
      <c r="C802" s="929">
        <v>43083</v>
      </c>
      <c r="D802" s="929" t="s">
        <v>530</v>
      </c>
      <c r="E802" s="929">
        <v>43083</v>
      </c>
      <c r="F802" s="930" t="s">
        <v>1109</v>
      </c>
      <c r="G802" s="931" t="s">
        <v>2756</v>
      </c>
      <c r="H802" s="73" t="s">
        <v>562</v>
      </c>
      <c r="I802" s="371"/>
      <c r="J802" s="932"/>
      <c r="K802" s="371"/>
      <c r="L802" s="377"/>
      <c r="M802" s="933">
        <v>300000</v>
      </c>
      <c r="N802" s="934" t="s">
        <v>9</v>
      </c>
      <c r="O802" s="934" t="s">
        <v>8</v>
      </c>
      <c r="P802" s="75" t="str">
        <f>IF(AND('331-CT'!$E$7=TH!H802,OR(N802="331",O802="331")),"x","")</f>
        <v/>
      </c>
      <c r="Q802" s="75" t="str">
        <f>IF(AND(B802='111'!$L$11,OR($N802=$Q$7,$O802=$Q$7)),"x","")</f>
        <v/>
      </c>
      <c r="R802" s="75" t="str">
        <f>IF(AND($N802=$Q$7,$B802&lt;'111'!$L$11),"x","")</f>
        <v/>
      </c>
      <c r="S802" s="75" t="str">
        <f>IF(AND($O802=$Q$7,$B802&lt;'111'!$L$11),"x","")</f>
        <v/>
      </c>
      <c r="T802" s="75" t="str">
        <f>IF(ISERROR(FIND('112'!$M$9,G802,1)),"",IF((AND(FIND('112'!$M$9,G802,1)&gt;=1,B802='112'!$K$9,OR($N802='112'!$I$6,$O802='112'!$I$6))),"x",""))</f>
        <v/>
      </c>
      <c r="U802" s="75" t="str">
        <f>IF(ISERROR(FIND('112'!$M$9,G802,1)),"",IF((AND(LEFT(G802,2)=LEFT('112'!$M$9,2),B802&lt;'112'!$K$9,$N802='112'!$I$6)),"x",""))</f>
        <v/>
      </c>
      <c r="V802" s="75" t="str">
        <f>IF(ISERROR(FIND('112'!$M$9,G802,1)),"",IF((AND(RIGHT(G802,2)=RIGHT('112'!$M$9,2),B802&lt;'112'!$K$9,$O802='112'!$I$6)),"x",""))</f>
        <v/>
      </c>
      <c r="W802" s="75" t="str">
        <f>IF(AND('341-CT'!$H$9=H802,OR(LEFT(N802,3)=$W$7,LEFT(O802,3)=$W$7)),"x","")</f>
        <v/>
      </c>
      <c r="X802" s="75" t="str">
        <f>IF(OR(TH!N802=TH!$X$7,O802=TH!$X$7),"x","")</f>
        <v/>
      </c>
      <c r="Y802" s="75" t="str">
        <f>IF(AND(OR(N802="131",O802="131"),H802='131-CT'!$H$9),"x","")</f>
        <v/>
      </c>
      <c r="Z802" s="75"/>
      <c r="AA802" s="75" t="str">
        <f>IF(AND(MONTH(E802)='IN-NX'!$J$5,'IN-NX'!$D$7=D802),"x","")</f>
        <v/>
      </c>
      <c r="AB802" s="75" t="str">
        <f>IF(AND(OR(LEFT(TH!N802,2)="15",LEFT(TH!O802,2)="15"),LEFT(TH!O802,3)&lt;&gt;"111",'152-CT'!$J$8=TH!F802),"x","")</f>
        <v/>
      </c>
      <c r="AC802" s="75" t="str">
        <f>IF(AND(OR(LEFT(TH!N802,2)="15",LEFT(TH!O802,2)="15"),TK!$E$7=TH!F802),"x","")</f>
        <v/>
      </c>
      <c r="AD802" s="75" t="str">
        <f>IF(AND(N802="1521",MONTH(C802)='BK-NL'!$M$11),"x","")</f>
        <v/>
      </c>
      <c r="AE802">
        <v>12</v>
      </c>
    </row>
    <row r="803" spans="1:31" ht="16.5" customHeight="1">
      <c r="A803" s="309" t="str">
        <f>IF(B803&lt;&gt;"",IF(AND(B803='IN-TC'!$S$4,OR(TH!N803="1111",TH!O803="1111")),TH!D803,""),"")</f>
        <v/>
      </c>
      <c r="B803" s="1159">
        <f t="shared" ref="B803:B804" si="113">IF(C803&lt;&gt;"",MONTH(C803),"")</f>
        <v>12</v>
      </c>
      <c r="C803" s="929">
        <v>43099</v>
      </c>
      <c r="D803" s="929" t="s">
        <v>530</v>
      </c>
      <c r="E803" s="929">
        <v>43099</v>
      </c>
      <c r="F803" s="930" t="s">
        <v>1108</v>
      </c>
      <c r="G803" s="931" t="s">
        <v>2877</v>
      </c>
      <c r="H803" s="73" t="s">
        <v>562</v>
      </c>
      <c r="I803" s="371"/>
      <c r="J803" s="932"/>
      <c r="K803" s="371"/>
      <c r="L803" s="377"/>
      <c r="M803" s="933">
        <v>138056208</v>
      </c>
      <c r="N803" s="934" t="s">
        <v>539</v>
      </c>
      <c r="O803" s="934" t="s">
        <v>8</v>
      </c>
      <c r="P803" s="75" t="str">
        <f>IF(AND('331-CT'!$E$7=TH!H803,OR(N803="331",O803="331")),"x","")</f>
        <v/>
      </c>
      <c r="Q803" s="75" t="str">
        <f>IF(AND(B803='111'!$L$11,OR($N803=$Q$7,$O803=$Q$7)),"x","")</f>
        <v/>
      </c>
      <c r="R803" s="75" t="str">
        <f>IF(AND($N803=$Q$7,$B803&lt;'111'!$L$11),"x","")</f>
        <v/>
      </c>
      <c r="S803" s="75" t="str">
        <f>IF(AND($O803=$Q$7,$B803&lt;'111'!$L$11),"x","")</f>
        <v/>
      </c>
      <c r="T803" s="75" t="str">
        <f>IF(ISERROR(FIND('112'!$M$9,G803,1)),"",IF((AND(FIND('112'!$M$9,G803,1)&gt;=1,B803='112'!$K$9,OR($N803='112'!$I$6,$O803='112'!$I$6))),"x",""))</f>
        <v/>
      </c>
      <c r="U803" s="75" t="str">
        <f>IF(ISERROR(FIND('112'!$M$9,G803,1)),"",IF((AND(LEFT(G803,2)=LEFT('112'!$M$9,2),B803&lt;'112'!$K$9,$N803='112'!$I$6)),"x",""))</f>
        <v/>
      </c>
      <c r="V803" s="75" t="str">
        <f>IF(ISERROR(FIND('112'!$M$9,G803,1)),"",IF((AND(RIGHT(G803,2)=RIGHT('112'!$M$9,2),B803&lt;'112'!$K$9,$O803='112'!$I$6)),"x",""))</f>
        <v/>
      </c>
      <c r="W803" s="75" t="str">
        <f>IF(AND('341-CT'!$H$9=H803,OR(LEFT(N803,3)=$W$7,LEFT(O803,3)=$W$7)),"x","")</f>
        <v/>
      </c>
      <c r="X803" s="75" t="str">
        <f>IF(OR(TH!N803=TH!$X$7,O803=TH!$X$7),"x","")</f>
        <v/>
      </c>
      <c r="Y803" s="75" t="str">
        <f>IF(AND(OR(N803="131",O803="131"),H803='131-CT'!$H$9),"x","")</f>
        <v/>
      </c>
      <c r="Z803" s="75"/>
      <c r="AA803" s="75" t="str">
        <f>IF(AND(MONTH(E803)='IN-NX'!$J$5,'IN-NX'!$D$7=D803),"x","")</f>
        <v/>
      </c>
      <c r="AB803" s="75" t="str">
        <f>IF(AND(OR(LEFT(TH!N803,2)="15",LEFT(TH!O803,2)="15"),LEFT(TH!O803,3)&lt;&gt;"111",'152-CT'!$J$8=TH!F803),"x","")</f>
        <v/>
      </c>
      <c r="AC803" s="75" t="str">
        <f>IF(AND(OR(LEFT(TH!N803,2)="15",LEFT(TH!O803,2)="15"),TK!$E$7=TH!F803),"x","")</f>
        <v/>
      </c>
      <c r="AD803" s="75" t="str">
        <f>IF(AND(N803="1521",MONTH(C803)='BK-NL'!$M$11),"x","")</f>
        <v/>
      </c>
      <c r="AE803">
        <v>12</v>
      </c>
    </row>
    <row r="804" spans="1:31" ht="16.5" customHeight="1">
      <c r="A804" s="309" t="str">
        <f>IF(B804&lt;&gt;"",IF(AND(B804='IN-TC'!$S$4,OR(TH!N804="1111",TH!O804="1111")),TH!D804,""),"")</f>
        <v/>
      </c>
      <c r="B804" s="1159">
        <f t="shared" si="113"/>
        <v>12</v>
      </c>
      <c r="C804" s="929">
        <v>43099</v>
      </c>
      <c r="D804" s="929" t="s">
        <v>530</v>
      </c>
      <c r="E804" s="929">
        <v>43099</v>
      </c>
      <c r="F804" s="930" t="s">
        <v>1109</v>
      </c>
      <c r="G804" s="931" t="s">
        <v>2877</v>
      </c>
      <c r="H804" s="73" t="s">
        <v>562</v>
      </c>
      <c r="I804" s="371"/>
      <c r="J804" s="932"/>
      <c r="K804" s="371"/>
      <c r="L804" s="377"/>
      <c r="M804" s="933">
        <v>13805621</v>
      </c>
      <c r="N804" s="934" t="s">
        <v>9</v>
      </c>
      <c r="O804" s="934" t="s">
        <v>8</v>
      </c>
      <c r="P804" s="75" t="str">
        <f>IF(AND('331-CT'!$E$7=TH!H804,OR(N804="331",O804="331")),"x","")</f>
        <v/>
      </c>
      <c r="Q804" s="75" t="str">
        <f>IF(AND(B804='111'!$L$11,OR($N804=$Q$7,$O804=$Q$7)),"x","")</f>
        <v/>
      </c>
      <c r="R804" s="75" t="str">
        <f>IF(AND($N804=$Q$7,$B804&lt;'111'!$L$11),"x","")</f>
        <v/>
      </c>
      <c r="S804" s="75" t="str">
        <f>IF(AND($O804=$Q$7,$B804&lt;'111'!$L$11),"x","")</f>
        <v/>
      </c>
      <c r="T804" s="75" t="str">
        <f>IF(ISERROR(FIND('112'!$M$9,G804,1)),"",IF((AND(FIND('112'!$M$9,G804,1)&gt;=1,B804='112'!$K$9,OR($N804='112'!$I$6,$O804='112'!$I$6))),"x",""))</f>
        <v/>
      </c>
      <c r="U804" s="75" t="str">
        <f>IF(ISERROR(FIND('112'!$M$9,G804,1)),"",IF((AND(LEFT(G804,2)=LEFT('112'!$M$9,2),B804&lt;'112'!$K$9,$N804='112'!$I$6)),"x",""))</f>
        <v/>
      </c>
      <c r="V804" s="75" t="str">
        <f>IF(ISERROR(FIND('112'!$M$9,G804,1)),"",IF((AND(RIGHT(G804,2)=RIGHT('112'!$M$9,2),B804&lt;'112'!$K$9,$O804='112'!$I$6)),"x",""))</f>
        <v/>
      </c>
      <c r="W804" s="75" t="str">
        <f>IF(AND('341-CT'!$H$9=H804,OR(LEFT(N804,3)=$W$7,LEFT(O804,3)=$W$7)),"x","")</f>
        <v/>
      </c>
      <c r="X804" s="75" t="str">
        <f>IF(OR(TH!N804=TH!$X$7,O804=TH!$X$7),"x","")</f>
        <v/>
      </c>
      <c r="Y804" s="75" t="str">
        <f>IF(AND(OR(N804="131",O804="131"),H804='131-CT'!$H$9),"x","")</f>
        <v/>
      </c>
      <c r="Z804" s="75"/>
      <c r="AA804" s="75" t="str">
        <f>IF(AND(MONTH(E804)='IN-NX'!$J$5,'IN-NX'!$D$7=D804),"x","")</f>
        <v/>
      </c>
      <c r="AB804" s="75" t="str">
        <f>IF(AND(OR(LEFT(TH!N804,2)="15",LEFT(TH!O804,2)="15"),LEFT(TH!O804,3)&lt;&gt;"111",'152-CT'!$J$8=TH!F804),"x","")</f>
        <v/>
      </c>
      <c r="AC804" s="75" t="str">
        <f>IF(AND(OR(LEFT(TH!N804,2)="15",LEFT(TH!O804,2)="15"),TK!$E$7=TH!F804),"x","")</f>
        <v/>
      </c>
      <c r="AD804" s="75" t="str">
        <f>IF(AND(N804="1521",MONTH(C804)='BK-NL'!$M$11),"x","")</f>
        <v/>
      </c>
      <c r="AE804">
        <v>12</v>
      </c>
    </row>
    <row r="805" spans="1:31" ht="16.5" customHeight="1">
      <c r="A805" s="309" t="str">
        <f>IF(B805&lt;&gt;"",IF(AND(B805='IN-TC'!$S$4,OR(TH!N805="1111",TH!O805="1111")),TH!D805,""),"")</f>
        <v/>
      </c>
      <c r="B805" s="1159">
        <f t="shared" si="112"/>
        <v>12</v>
      </c>
      <c r="C805" s="929">
        <v>43081</v>
      </c>
      <c r="D805" s="929" t="s">
        <v>530</v>
      </c>
      <c r="E805" s="929">
        <f t="shared" ref="E805:E806" si="114">C805</f>
        <v>43081</v>
      </c>
      <c r="F805" s="930" t="s">
        <v>1011</v>
      </c>
      <c r="G805" s="931" t="s">
        <v>2757</v>
      </c>
      <c r="H805" s="73" t="s">
        <v>750</v>
      </c>
      <c r="I805" s="371"/>
      <c r="J805" s="932"/>
      <c r="K805" s="371"/>
      <c r="L805" s="377"/>
      <c r="M805" s="933">
        <v>21363636</v>
      </c>
      <c r="N805" s="934" t="s">
        <v>539</v>
      </c>
      <c r="O805" s="934" t="s">
        <v>8</v>
      </c>
      <c r="P805" s="75" t="str">
        <f>IF(AND('331-CT'!$E$7=TH!H805,OR(N805="331",O805="331")),"x","")</f>
        <v/>
      </c>
      <c r="Q805" s="75" t="str">
        <f>IF(AND(B805='111'!$L$11,OR($N805=$Q$7,$O805=$Q$7)),"x","")</f>
        <v/>
      </c>
      <c r="R805" s="75" t="str">
        <f>IF(AND($N805=$Q$7,$B805&lt;'111'!$L$11),"x","")</f>
        <v/>
      </c>
      <c r="S805" s="75" t="str">
        <f>IF(AND($O805=$Q$7,$B805&lt;'111'!$L$11),"x","")</f>
        <v/>
      </c>
      <c r="T805" s="75" t="str">
        <f>IF(ISERROR(FIND('112'!$M$9,G805,1)),"",IF((AND(FIND('112'!$M$9,G805,1)&gt;=1,B805='112'!$K$9,OR($N805='112'!$I$6,$O805='112'!$I$6))),"x",""))</f>
        <v/>
      </c>
      <c r="U805" s="75" t="str">
        <f>IF(ISERROR(FIND('112'!$M$9,G805,1)),"",IF((AND(LEFT(G805,2)=LEFT('112'!$M$9,2),B805&lt;'112'!$K$9,$N805='112'!$I$6)),"x",""))</f>
        <v/>
      </c>
      <c r="V805" s="75" t="str">
        <f>IF(ISERROR(FIND('112'!$M$9,G805,1)),"",IF((AND(RIGHT(G805,2)=RIGHT('112'!$M$9,2),B805&lt;'112'!$K$9,$O805='112'!$I$6)),"x",""))</f>
        <v/>
      </c>
      <c r="W805" s="75" t="str">
        <f>IF(AND('341-CT'!$H$9=H805,OR(LEFT(N805,3)=$W$7,LEFT(O805,3)=$W$7)),"x","")</f>
        <v/>
      </c>
      <c r="X805" s="75" t="str">
        <f>IF(OR(TH!N805=TH!$X$7,O805=TH!$X$7),"x","")</f>
        <v/>
      </c>
      <c r="Y805" s="75" t="str">
        <f>IF(AND(OR(N805="131",O805="131"),H805='131-CT'!$H$9),"x","")</f>
        <v/>
      </c>
      <c r="Z805" s="75"/>
      <c r="AA805" s="75" t="str">
        <f>IF(AND(MONTH(E805)='IN-NX'!$J$5,'IN-NX'!$D$7=D805),"x","")</f>
        <v/>
      </c>
      <c r="AB805" s="75" t="str">
        <f>IF(AND(OR(LEFT(TH!N805,2)="15",LEFT(TH!O805,2)="15"),LEFT(TH!O805,3)&lt;&gt;"111",'152-CT'!$J$8=TH!F805),"x","")</f>
        <v/>
      </c>
      <c r="AC805" s="75" t="str">
        <f>IF(AND(OR(LEFT(TH!N805,2)="15",LEFT(TH!O805,2)="15"),TK!$E$7=TH!F805),"x","")</f>
        <v/>
      </c>
      <c r="AD805" s="75" t="str">
        <f>IF(AND(N805="1521",MONTH(C805)='BK-NL'!$M$11),"x","")</f>
        <v/>
      </c>
      <c r="AE805">
        <v>12</v>
      </c>
    </row>
    <row r="806" spans="1:31" ht="16.5" customHeight="1">
      <c r="A806" s="309" t="str">
        <f>IF(B806&lt;&gt;"",IF(AND(B806='IN-TC'!$S$4,OR(TH!N806="1111",TH!O806="1111")),TH!D806,""),"")</f>
        <v/>
      </c>
      <c r="B806" s="1159">
        <f t="shared" si="112"/>
        <v>12</v>
      </c>
      <c r="C806" s="929">
        <v>43081</v>
      </c>
      <c r="D806" s="929" t="s">
        <v>530</v>
      </c>
      <c r="E806" s="929">
        <f t="shared" si="114"/>
        <v>43081</v>
      </c>
      <c r="F806" s="930" t="s">
        <v>1012</v>
      </c>
      <c r="G806" s="931" t="s">
        <v>2757</v>
      </c>
      <c r="H806" s="73" t="s">
        <v>750</v>
      </c>
      <c r="I806" s="371"/>
      <c r="J806" s="932"/>
      <c r="K806" s="371"/>
      <c r="L806" s="377"/>
      <c r="M806" s="933">
        <v>2136364</v>
      </c>
      <c r="N806" s="934" t="s">
        <v>9</v>
      </c>
      <c r="O806" s="934" t="s">
        <v>8</v>
      </c>
      <c r="P806" s="75" t="str">
        <f>IF(AND('331-CT'!$E$7=TH!H806,OR(N806="331",O806="331")),"x","")</f>
        <v/>
      </c>
      <c r="Q806" s="75" t="str">
        <f>IF(AND(B806='111'!$L$11,OR($N806=$Q$7,$O806=$Q$7)),"x","")</f>
        <v/>
      </c>
      <c r="R806" s="75" t="str">
        <f>IF(AND($N806=$Q$7,$B806&lt;'111'!$L$11),"x","")</f>
        <v/>
      </c>
      <c r="S806" s="75" t="str">
        <f>IF(AND($O806=$Q$7,$B806&lt;'111'!$L$11),"x","")</f>
        <v/>
      </c>
      <c r="T806" s="75" t="str">
        <f>IF(ISERROR(FIND('112'!$M$9,G806,1)),"",IF((AND(FIND('112'!$M$9,G806,1)&gt;=1,B806='112'!$K$9,OR($N806='112'!$I$6,$O806='112'!$I$6))),"x",""))</f>
        <v/>
      </c>
      <c r="U806" s="75" t="str">
        <f>IF(ISERROR(FIND('112'!$M$9,G806,1)),"",IF((AND(LEFT(G806,2)=LEFT('112'!$M$9,2),B806&lt;'112'!$K$9,$N806='112'!$I$6)),"x",""))</f>
        <v/>
      </c>
      <c r="V806" s="75" t="str">
        <f>IF(ISERROR(FIND('112'!$M$9,G806,1)),"",IF((AND(RIGHT(G806,2)=RIGHT('112'!$M$9,2),B806&lt;'112'!$K$9,$O806='112'!$I$6)),"x",""))</f>
        <v/>
      </c>
      <c r="W806" s="75" t="str">
        <f>IF(AND('341-CT'!$H$9=H806,OR(LEFT(N806,3)=$W$7,LEFT(O806,3)=$W$7)),"x","")</f>
        <v/>
      </c>
      <c r="X806" s="75" t="str">
        <f>IF(OR(TH!N806=TH!$X$7,O806=TH!$X$7),"x","")</f>
        <v/>
      </c>
      <c r="Y806" s="75" t="str">
        <f>IF(AND(OR(N806="131",O806="131"),H806='131-CT'!$H$9),"x","")</f>
        <v/>
      </c>
      <c r="Z806" s="75"/>
      <c r="AA806" s="75" t="str">
        <f>IF(AND(MONTH(E806)='IN-NX'!$J$5,'IN-NX'!$D$7=D806),"x","")</f>
        <v/>
      </c>
      <c r="AB806" s="75" t="str">
        <f>IF(AND(OR(LEFT(TH!N806,2)="15",LEFT(TH!O806,2)="15"),LEFT(TH!O806,3)&lt;&gt;"111",'152-CT'!$J$8=TH!F806),"x","")</f>
        <v/>
      </c>
      <c r="AC806" s="75" t="str">
        <f>IF(AND(OR(LEFT(TH!N806,2)="15",LEFT(TH!O806,2)="15"),TK!$E$7=TH!F806),"x","")</f>
        <v/>
      </c>
      <c r="AD806" s="75" t="str">
        <f>IF(AND(N806="1521",MONTH(C806)='BK-NL'!$M$11),"x","")</f>
        <v/>
      </c>
      <c r="AE806">
        <v>12</v>
      </c>
    </row>
    <row r="807" spans="1:31" ht="16.5" customHeight="1">
      <c r="A807" s="309" t="str">
        <f>IF(B807&lt;&gt;"",IF(AND(B807='IN-TC'!$S$4,OR(TH!N807="1111",TH!O807="1111")),TH!D807,""),"")</f>
        <v/>
      </c>
      <c r="B807" s="1159">
        <f t="shared" si="112"/>
        <v>12</v>
      </c>
      <c r="C807" s="929">
        <v>43098</v>
      </c>
      <c r="D807" s="929" t="s">
        <v>530</v>
      </c>
      <c r="E807" s="929">
        <v>43098</v>
      </c>
      <c r="F807" s="930" t="s">
        <v>808</v>
      </c>
      <c r="G807" s="931" t="s">
        <v>2847</v>
      </c>
      <c r="H807" s="296" t="s">
        <v>622</v>
      </c>
      <c r="I807" s="371"/>
      <c r="J807" s="932"/>
      <c r="K807" s="371"/>
      <c r="L807" s="377"/>
      <c r="M807" s="933">
        <v>59150000</v>
      </c>
      <c r="N807" s="934" t="s">
        <v>539</v>
      </c>
      <c r="O807" s="934" t="s">
        <v>8</v>
      </c>
      <c r="P807" s="75" t="str">
        <f>IF(AND('331-CT'!$E$7=TH!H807,OR(N807="331",O807="331")),"x","")</f>
        <v/>
      </c>
      <c r="Q807" s="75" t="str">
        <f>IF(AND(B807='111'!$L$11,OR($N807=$Q$7,$O807=$Q$7)),"x","")</f>
        <v/>
      </c>
      <c r="R807" s="75" t="str">
        <f>IF(AND($N807=$Q$7,$B807&lt;'111'!$L$11),"x","")</f>
        <v/>
      </c>
      <c r="S807" s="75" t="str">
        <f>IF(AND($O807=$Q$7,$B807&lt;'111'!$L$11),"x","")</f>
        <v/>
      </c>
      <c r="T807" s="75" t="str">
        <f>IF(ISERROR(FIND('112'!$M$9,G807,1)),"",IF((AND(FIND('112'!$M$9,G807,1)&gt;=1,B807='112'!$K$9,OR($N807='112'!$I$6,$O807='112'!$I$6))),"x",""))</f>
        <v/>
      </c>
      <c r="U807" s="75" t="str">
        <f>IF(ISERROR(FIND('112'!$M$9,G807,1)),"",IF((AND(LEFT(G807,2)=LEFT('112'!$M$9,2),B807&lt;'112'!$K$9,$N807='112'!$I$6)),"x",""))</f>
        <v/>
      </c>
      <c r="V807" s="75" t="str">
        <f>IF(ISERROR(FIND('112'!$M$9,G807,1)),"",IF((AND(RIGHT(G807,2)=RIGHT('112'!$M$9,2),B807&lt;'112'!$K$9,$O807='112'!$I$6)),"x",""))</f>
        <v/>
      </c>
      <c r="W807" s="75" t="str">
        <f>IF(AND('341-CT'!$H$9=H807,OR(LEFT(N807,3)=$W$7,LEFT(O807,3)=$W$7)),"x","")</f>
        <v/>
      </c>
      <c r="X807" s="75" t="str">
        <f>IF(OR(TH!N807=TH!$X$7,O807=TH!$X$7),"x","")</f>
        <v/>
      </c>
      <c r="Y807" s="75" t="str">
        <f>IF(AND(OR(N807="131",O807="131"),H807='131-CT'!$H$9),"x","")</f>
        <v/>
      </c>
      <c r="Z807" s="75"/>
      <c r="AA807" s="75" t="str">
        <f>IF(AND(MONTH(E807)='IN-NX'!$J$5,'IN-NX'!$D$7=D807),"x","")</f>
        <v/>
      </c>
      <c r="AB807" s="75" t="str">
        <f>IF(AND(OR(LEFT(TH!N807,2)="15",LEFT(TH!O807,2)="15"),LEFT(TH!O807,3)&lt;&gt;"111",'152-CT'!$J$8=TH!F807),"x","")</f>
        <v/>
      </c>
      <c r="AC807" s="75" t="str">
        <f>IF(AND(OR(LEFT(TH!N807,2)="15",LEFT(TH!O807,2)="15"),TK!$E$7=TH!F807),"x","")</f>
        <v/>
      </c>
      <c r="AD807" s="75" t="str">
        <f>IF(AND(N807="1521",MONTH(C807)='BK-NL'!$M$11),"x","")</f>
        <v/>
      </c>
    </row>
    <row r="808" spans="1:31" ht="16.5" customHeight="1">
      <c r="A808" s="309" t="str">
        <f>IF(B808&lt;&gt;"",IF(AND(B808='IN-TC'!$S$4,OR(TH!N808="1111",TH!O808="1111")),TH!D808,""),"")</f>
        <v/>
      </c>
      <c r="B808" s="1159">
        <f t="shared" si="112"/>
        <v>12</v>
      </c>
      <c r="C808" s="929">
        <v>43098</v>
      </c>
      <c r="D808" s="929" t="s">
        <v>530</v>
      </c>
      <c r="E808" s="929">
        <v>43098</v>
      </c>
      <c r="F808" s="930" t="s">
        <v>810</v>
      </c>
      <c r="G808" s="931" t="s">
        <v>2848</v>
      </c>
      <c r="H808" s="296" t="s">
        <v>622</v>
      </c>
      <c r="I808" s="371"/>
      <c r="J808" s="932"/>
      <c r="K808" s="371"/>
      <c r="L808" s="377"/>
      <c r="M808" s="933">
        <v>11852750</v>
      </c>
      <c r="N808" s="934" t="s">
        <v>539</v>
      </c>
      <c r="O808" s="934" t="s">
        <v>8</v>
      </c>
      <c r="P808" s="75" t="str">
        <f>IF(AND('331-CT'!$E$7=TH!H808,OR(N808="331",O808="331")),"x","")</f>
        <v/>
      </c>
      <c r="Q808" s="75" t="str">
        <f>IF(AND(B808='111'!$L$11,OR($N808=$Q$7,$O808=$Q$7)),"x","")</f>
        <v/>
      </c>
      <c r="R808" s="75" t="str">
        <f>IF(AND($N808=$Q$7,$B808&lt;'111'!$L$11),"x","")</f>
        <v/>
      </c>
      <c r="S808" s="75" t="str">
        <f>IF(AND($O808=$Q$7,$B808&lt;'111'!$L$11),"x","")</f>
        <v/>
      </c>
      <c r="T808" s="75" t="str">
        <f>IF(ISERROR(FIND('112'!$M$9,G808,1)),"",IF((AND(FIND('112'!$M$9,G808,1)&gt;=1,B808='112'!$K$9,OR($N808='112'!$I$6,$O808='112'!$I$6))),"x",""))</f>
        <v/>
      </c>
      <c r="U808" s="75" t="str">
        <f>IF(ISERROR(FIND('112'!$M$9,G808,1)),"",IF((AND(LEFT(G808,2)=LEFT('112'!$M$9,2),B808&lt;'112'!$K$9,$N808='112'!$I$6)),"x",""))</f>
        <v/>
      </c>
      <c r="V808" s="75" t="str">
        <f>IF(ISERROR(FIND('112'!$M$9,G808,1)),"",IF((AND(RIGHT(G808,2)=RIGHT('112'!$M$9,2),B808&lt;'112'!$K$9,$O808='112'!$I$6)),"x",""))</f>
        <v/>
      </c>
      <c r="W808" s="75" t="str">
        <f>IF(AND('341-CT'!$H$9=H808,OR(LEFT(N808,3)=$W$7,LEFT(O808,3)=$W$7)),"x","")</f>
        <v/>
      </c>
      <c r="X808" s="75" t="str">
        <f>IF(OR(TH!N808=TH!$X$7,O808=TH!$X$7),"x","")</f>
        <v/>
      </c>
      <c r="Y808" s="75" t="str">
        <f>IF(AND(OR(N808="131",O808="131"),H808='131-CT'!$H$9),"x","")</f>
        <v/>
      </c>
      <c r="Z808" s="75"/>
      <c r="AA808" s="75" t="str">
        <f>IF(AND(MONTH(E808)='IN-NX'!$J$5,'IN-NX'!$D$7=D808),"x","")</f>
        <v/>
      </c>
      <c r="AB808" s="75" t="str">
        <f>IF(AND(OR(LEFT(TH!N808,2)="15",LEFT(TH!O808,2)="15"),LEFT(TH!O808,3)&lt;&gt;"111",'152-CT'!$J$8=TH!F808),"x","")</f>
        <v/>
      </c>
      <c r="AC808" s="75" t="str">
        <f>IF(AND(OR(LEFT(TH!N808,2)="15",LEFT(TH!O808,2)="15"),TK!$E$7=TH!F808),"x","")</f>
        <v/>
      </c>
      <c r="AD808" s="75" t="str">
        <f>IF(AND(N808="1521",MONTH(C808)='BK-NL'!$M$11),"x","")</f>
        <v/>
      </c>
      <c r="AE808">
        <v>12</v>
      </c>
    </row>
    <row r="809" spans="1:31" ht="16.5" customHeight="1">
      <c r="A809" s="309" t="str">
        <f>IF(B809&lt;&gt;"",IF(AND(B809='IN-TC'!$S$4,OR(TH!N809="1111",TH!O809="1111")),TH!D809,""),"")</f>
        <v/>
      </c>
      <c r="B809" s="1159">
        <f t="shared" si="112"/>
        <v>12</v>
      </c>
      <c r="C809" s="929">
        <v>43098</v>
      </c>
      <c r="D809" s="929" t="s">
        <v>530</v>
      </c>
      <c r="E809" s="929">
        <v>43098</v>
      </c>
      <c r="F809" s="930" t="s">
        <v>811</v>
      </c>
      <c r="G809" s="931" t="s">
        <v>2848</v>
      </c>
      <c r="H809" s="296" t="s">
        <v>622</v>
      </c>
      <c r="I809" s="371"/>
      <c r="J809" s="932"/>
      <c r="K809" s="371"/>
      <c r="L809" s="377"/>
      <c r="M809" s="933">
        <v>1185275</v>
      </c>
      <c r="N809" s="934" t="s">
        <v>9</v>
      </c>
      <c r="O809" s="934" t="s">
        <v>8</v>
      </c>
      <c r="P809" s="75" t="str">
        <f>IF(AND('331-CT'!$E$7=TH!H809,OR(N809="331",O809="331")),"x","")</f>
        <v/>
      </c>
      <c r="Q809" s="75" t="str">
        <f>IF(AND(B809='111'!$L$11,OR($N809=$Q$7,$O809=$Q$7)),"x","")</f>
        <v/>
      </c>
      <c r="R809" s="75" t="str">
        <f>IF(AND($N809=$Q$7,$B809&lt;'111'!$L$11),"x","")</f>
        <v/>
      </c>
      <c r="S809" s="75" t="str">
        <f>IF(AND($O809=$Q$7,$B809&lt;'111'!$L$11),"x","")</f>
        <v/>
      </c>
      <c r="T809" s="75" t="str">
        <f>IF(ISERROR(FIND('112'!$M$9,G809,1)),"",IF((AND(FIND('112'!$M$9,G809,1)&gt;=1,B809='112'!$K$9,OR($N809='112'!$I$6,$O809='112'!$I$6))),"x",""))</f>
        <v/>
      </c>
      <c r="U809" s="75" t="str">
        <f>IF(ISERROR(FIND('112'!$M$9,G809,1)),"",IF((AND(LEFT(G809,2)=LEFT('112'!$M$9,2),B809&lt;'112'!$K$9,$N809='112'!$I$6)),"x",""))</f>
        <v/>
      </c>
      <c r="V809" s="75" t="str">
        <f>IF(ISERROR(FIND('112'!$M$9,G809,1)),"",IF((AND(RIGHT(G809,2)=RIGHT('112'!$M$9,2),B809&lt;'112'!$K$9,$O809='112'!$I$6)),"x",""))</f>
        <v/>
      </c>
      <c r="W809" s="75" t="str">
        <f>IF(AND('341-CT'!$H$9=H809,OR(LEFT(N809,3)=$W$7,LEFT(O809,3)=$W$7)),"x","")</f>
        <v/>
      </c>
      <c r="X809" s="75" t="str">
        <f>IF(OR(TH!N809=TH!$X$7,O809=TH!$X$7),"x","")</f>
        <v/>
      </c>
      <c r="Y809" s="75" t="str">
        <f>IF(AND(OR(N809="131",O809="131"),H809='131-CT'!$H$9),"x","")</f>
        <v/>
      </c>
      <c r="Z809" s="75"/>
      <c r="AA809" s="75" t="str">
        <f>IF(AND(MONTH(E809)='IN-NX'!$J$5,'IN-NX'!$D$7=D809),"x","")</f>
        <v/>
      </c>
      <c r="AB809" s="75" t="str">
        <f>IF(AND(OR(LEFT(TH!N809,2)="15",LEFT(TH!O809,2)="15"),LEFT(TH!O809,3)&lt;&gt;"111",'152-CT'!$J$8=TH!F809),"x","")</f>
        <v/>
      </c>
      <c r="AC809" s="75" t="str">
        <f>IF(AND(OR(LEFT(TH!N809,2)="15",LEFT(TH!O809,2)="15"),TK!$E$7=TH!F809),"x","")</f>
        <v/>
      </c>
      <c r="AD809" s="75" t="str">
        <f>IF(AND(N809="1521",MONTH(C809)='BK-NL'!$M$11),"x","")</f>
        <v/>
      </c>
      <c r="AE809">
        <v>12</v>
      </c>
    </row>
    <row r="810" spans="1:31" ht="16.5" customHeight="1">
      <c r="A810" s="309" t="str">
        <f>IF(B810&lt;&gt;"",IF(AND(B810='IN-TC'!$S$4,OR(TH!N810="1111",TH!O810="1111")),TH!D810,""),"")</f>
        <v/>
      </c>
      <c r="B810" s="1159">
        <f t="shared" ref="B810:B812" si="115">IF(C810&lt;&gt;"",MONTH(C810),"")</f>
        <v>12</v>
      </c>
      <c r="C810" s="929">
        <v>43098</v>
      </c>
      <c r="D810" s="929" t="s">
        <v>530</v>
      </c>
      <c r="E810" s="929">
        <v>43098</v>
      </c>
      <c r="F810" s="930" t="s">
        <v>808</v>
      </c>
      <c r="G810" s="931" t="s">
        <v>2849</v>
      </c>
      <c r="H810" s="296" t="s">
        <v>622</v>
      </c>
      <c r="I810" s="371"/>
      <c r="J810" s="932"/>
      <c r="K810" s="371"/>
      <c r="L810" s="377"/>
      <c r="M810" s="933">
        <v>59150000</v>
      </c>
      <c r="N810" s="934" t="s">
        <v>539</v>
      </c>
      <c r="O810" s="934" t="s">
        <v>8</v>
      </c>
      <c r="P810" s="75" t="str">
        <f>IF(AND('331-CT'!$E$7=TH!H810,OR(N810="331",O810="331")),"x","")</f>
        <v/>
      </c>
      <c r="Q810" s="75" t="str">
        <f>IF(AND(B810='111'!$L$11,OR($N810=$Q$7,$O810=$Q$7)),"x","")</f>
        <v/>
      </c>
      <c r="R810" s="75" t="str">
        <f>IF(AND($N810=$Q$7,$B810&lt;'111'!$L$11),"x","")</f>
        <v/>
      </c>
      <c r="S810" s="75" t="str">
        <f>IF(AND($O810=$Q$7,$B810&lt;'111'!$L$11),"x","")</f>
        <v/>
      </c>
      <c r="T810" s="75" t="str">
        <f>IF(ISERROR(FIND('112'!$M$9,G810,1)),"",IF((AND(FIND('112'!$M$9,G810,1)&gt;=1,B810='112'!$K$9,OR($N810='112'!$I$6,$O810='112'!$I$6))),"x",""))</f>
        <v/>
      </c>
      <c r="U810" s="75" t="str">
        <f>IF(ISERROR(FIND('112'!$M$9,G810,1)),"",IF((AND(LEFT(G810,2)=LEFT('112'!$M$9,2),B810&lt;'112'!$K$9,$N810='112'!$I$6)),"x",""))</f>
        <v/>
      </c>
      <c r="V810" s="75" t="str">
        <f>IF(ISERROR(FIND('112'!$M$9,G810,1)),"",IF((AND(RIGHT(G810,2)=RIGHT('112'!$M$9,2),B810&lt;'112'!$K$9,$O810='112'!$I$6)),"x",""))</f>
        <v/>
      </c>
      <c r="W810" s="75" t="str">
        <f>IF(AND('341-CT'!$H$9=H810,OR(LEFT(N810,3)=$W$7,LEFT(O810,3)=$W$7)),"x","")</f>
        <v/>
      </c>
      <c r="X810" s="75" t="str">
        <f>IF(OR(TH!N810=TH!$X$7,O810=TH!$X$7),"x","")</f>
        <v/>
      </c>
      <c r="Y810" s="75" t="str">
        <f>IF(AND(OR(N810="131",O810="131"),H810='131-CT'!$H$9),"x","")</f>
        <v/>
      </c>
      <c r="Z810" s="75"/>
      <c r="AA810" s="75" t="str">
        <f>IF(AND(MONTH(E810)='IN-NX'!$J$5,'IN-NX'!$D$7=D810),"x","")</f>
        <v/>
      </c>
      <c r="AB810" s="75" t="str">
        <f>IF(AND(OR(LEFT(TH!N810,2)="15",LEFT(TH!O810,2)="15"),LEFT(TH!O810,3)&lt;&gt;"111",'152-CT'!$J$8=TH!F810),"x","")</f>
        <v/>
      </c>
      <c r="AC810" s="75" t="str">
        <f>IF(AND(OR(LEFT(TH!N810,2)="15",LEFT(TH!O810,2)="15"),TK!$E$7=TH!F810),"x","")</f>
        <v/>
      </c>
      <c r="AD810" s="75" t="str">
        <f>IF(AND(N810="1521",MONTH(C810)='BK-NL'!$M$11),"x","")</f>
        <v/>
      </c>
    </row>
    <row r="811" spans="1:31" ht="16.5" customHeight="1">
      <c r="A811" s="309" t="str">
        <f>IF(B811&lt;&gt;"",IF(AND(B811='IN-TC'!$S$4,OR(TH!N811="1111",TH!O811="1111")),TH!D811,""),"")</f>
        <v/>
      </c>
      <c r="B811" s="1159">
        <f t="shared" si="115"/>
        <v>12</v>
      </c>
      <c r="C811" s="929">
        <v>43098</v>
      </c>
      <c r="D811" s="929" t="s">
        <v>530</v>
      </c>
      <c r="E811" s="929">
        <v>43098</v>
      </c>
      <c r="F811" s="930" t="s">
        <v>810</v>
      </c>
      <c r="G811" s="931" t="s">
        <v>2850</v>
      </c>
      <c r="H811" s="296" t="s">
        <v>622</v>
      </c>
      <c r="I811" s="371"/>
      <c r="J811" s="932"/>
      <c r="K811" s="371"/>
      <c r="L811" s="377"/>
      <c r="M811" s="933">
        <v>11852750</v>
      </c>
      <c r="N811" s="934" t="s">
        <v>539</v>
      </c>
      <c r="O811" s="934" t="s">
        <v>8</v>
      </c>
      <c r="P811" s="75" t="str">
        <f>IF(AND('331-CT'!$E$7=TH!H811,OR(N811="331",O811="331")),"x","")</f>
        <v/>
      </c>
      <c r="Q811" s="75" t="str">
        <f>IF(AND(B811='111'!$L$11,OR($N811=$Q$7,$O811=$Q$7)),"x","")</f>
        <v/>
      </c>
      <c r="R811" s="75" t="str">
        <f>IF(AND($N811=$Q$7,$B811&lt;'111'!$L$11),"x","")</f>
        <v/>
      </c>
      <c r="S811" s="75" t="str">
        <f>IF(AND($O811=$Q$7,$B811&lt;'111'!$L$11),"x","")</f>
        <v/>
      </c>
      <c r="T811" s="75" t="str">
        <f>IF(ISERROR(FIND('112'!$M$9,G811,1)),"",IF((AND(FIND('112'!$M$9,G811,1)&gt;=1,B811='112'!$K$9,OR($N811='112'!$I$6,$O811='112'!$I$6))),"x",""))</f>
        <v/>
      </c>
      <c r="U811" s="75" t="str">
        <f>IF(ISERROR(FIND('112'!$M$9,G811,1)),"",IF((AND(LEFT(G811,2)=LEFT('112'!$M$9,2),B811&lt;'112'!$K$9,$N811='112'!$I$6)),"x",""))</f>
        <v/>
      </c>
      <c r="V811" s="75" t="str">
        <f>IF(ISERROR(FIND('112'!$M$9,G811,1)),"",IF((AND(RIGHT(G811,2)=RIGHT('112'!$M$9,2),B811&lt;'112'!$K$9,$O811='112'!$I$6)),"x",""))</f>
        <v/>
      </c>
      <c r="W811" s="75" t="str">
        <f>IF(AND('341-CT'!$H$9=H811,OR(LEFT(N811,3)=$W$7,LEFT(O811,3)=$W$7)),"x","")</f>
        <v/>
      </c>
      <c r="X811" s="75" t="str">
        <f>IF(OR(TH!N811=TH!$X$7,O811=TH!$X$7),"x","")</f>
        <v/>
      </c>
      <c r="Y811" s="75" t="str">
        <f>IF(AND(OR(N811="131",O811="131"),H811='131-CT'!$H$9),"x","")</f>
        <v/>
      </c>
      <c r="Z811" s="75"/>
      <c r="AA811" s="75" t="str">
        <f>IF(AND(MONTH(E811)='IN-NX'!$J$5,'IN-NX'!$D$7=D811),"x","")</f>
        <v/>
      </c>
      <c r="AB811" s="75" t="str">
        <f>IF(AND(OR(LEFT(TH!N811,2)="15",LEFT(TH!O811,2)="15"),LEFT(TH!O811,3)&lt;&gt;"111",'152-CT'!$J$8=TH!F811),"x","")</f>
        <v/>
      </c>
      <c r="AC811" s="75" t="str">
        <f>IF(AND(OR(LEFT(TH!N811,2)="15",LEFT(TH!O811,2)="15"),TK!$E$7=TH!F811),"x","")</f>
        <v/>
      </c>
      <c r="AD811" s="75" t="str">
        <f>IF(AND(N811="1521",MONTH(C811)='BK-NL'!$M$11),"x","")</f>
        <v/>
      </c>
      <c r="AE811">
        <v>12</v>
      </c>
    </row>
    <row r="812" spans="1:31" ht="16.5" customHeight="1">
      <c r="A812" s="309" t="str">
        <f>IF(B812&lt;&gt;"",IF(AND(B812='IN-TC'!$S$4,OR(TH!N812="1111",TH!O812="1111")),TH!D812,""),"")</f>
        <v/>
      </c>
      <c r="B812" s="1159">
        <f t="shared" si="115"/>
        <v>12</v>
      </c>
      <c r="C812" s="929">
        <v>43098</v>
      </c>
      <c r="D812" s="929" t="s">
        <v>530</v>
      </c>
      <c r="E812" s="929">
        <v>43098</v>
      </c>
      <c r="F812" s="930" t="s">
        <v>811</v>
      </c>
      <c r="G812" s="931" t="s">
        <v>2850</v>
      </c>
      <c r="H812" s="296" t="s">
        <v>622</v>
      </c>
      <c r="I812" s="371"/>
      <c r="J812" s="932"/>
      <c r="K812" s="371"/>
      <c r="L812" s="377"/>
      <c r="M812" s="933">
        <v>1185275</v>
      </c>
      <c r="N812" s="934" t="s">
        <v>9</v>
      </c>
      <c r="O812" s="934" t="s">
        <v>8</v>
      </c>
      <c r="P812" s="75" t="str">
        <f>IF(AND('331-CT'!$E$7=TH!H812,OR(N812="331",O812="331")),"x","")</f>
        <v/>
      </c>
      <c r="Q812" s="75" t="str">
        <f>IF(AND(B812='111'!$L$11,OR($N812=$Q$7,$O812=$Q$7)),"x","")</f>
        <v/>
      </c>
      <c r="R812" s="75" t="str">
        <f>IF(AND($N812=$Q$7,$B812&lt;'111'!$L$11),"x","")</f>
        <v/>
      </c>
      <c r="S812" s="75" t="str">
        <f>IF(AND($O812=$Q$7,$B812&lt;'111'!$L$11),"x","")</f>
        <v/>
      </c>
      <c r="T812" s="75" t="str">
        <f>IF(ISERROR(FIND('112'!$M$9,G812,1)),"",IF((AND(FIND('112'!$M$9,G812,1)&gt;=1,B812='112'!$K$9,OR($N812='112'!$I$6,$O812='112'!$I$6))),"x",""))</f>
        <v/>
      </c>
      <c r="U812" s="75" t="str">
        <f>IF(ISERROR(FIND('112'!$M$9,G812,1)),"",IF((AND(LEFT(G812,2)=LEFT('112'!$M$9,2),B812&lt;'112'!$K$9,$N812='112'!$I$6)),"x",""))</f>
        <v/>
      </c>
      <c r="V812" s="75" t="str">
        <f>IF(ISERROR(FIND('112'!$M$9,G812,1)),"",IF((AND(RIGHT(G812,2)=RIGHT('112'!$M$9,2),B812&lt;'112'!$K$9,$O812='112'!$I$6)),"x",""))</f>
        <v/>
      </c>
      <c r="W812" s="75" t="str">
        <f>IF(AND('341-CT'!$H$9=H812,OR(LEFT(N812,3)=$W$7,LEFT(O812,3)=$W$7)),"x","")</f>
        <v/>
      </c>
      <c r="X812" s="75" t="str">
        <f>IF(OR(TH!N812=TH!$X$7,O812=TH!$X$7),"x","")</f>
        <v/>
      </c>
      <c r="Y812" s="75" t="str">
        <f>IF(AND(OR(N812="131",O812="131"),H812='131-CT'!$H$9),"x","")</f>
        <v/>
      </c>
      <c r="Z812" s="75"/>
      <c r="AA812" s="75" t="str">
        <f>IF(AND(MONTH(E812)='IN-NX'!$J$5,'IN-NX'!$D$7=D812),"x","")</f>
        <v/>
      </c>
      <c r="AB812" s="75" t="str">
        <f>IF(AND(OR(LEFT(TH!N812,2)="15",LEFT(TH!O812,2)="15"),LEFT(TH!O812,3)&lt;&gt;"111",'152-CT'!$J$8=TH!F812),"x","")</f>
        <v/>
      </c>
      <c r="AC812" s="75" t="str">
        <f>IF(AND(OR(LEFT(TH!N812,2)="15",LEFT(TH!O812,2)="15"),TK!$E$7=TH!F812),"x","")</f>
        <v/>
      </c>
      <c r="AD812" s="75" t="str">
        <f>IF(AND(N812="1521",MONTH(C812)='BK-NL'!$M$11),"x","")</f>
        <v/>
      </c>
      <c r="AE812">
        <v>12</v>
      </c>
    </row>
    <row r="813" spans="1:31" ht="16.5" customHeight="1">
      <c r="A813" s="309" t="str">
        <f>IF(B813&lt;&gt;"",IF(AND(B813='IN-TC'!$S$4,OR(TH!N813="1111",TH!O813="1111")),TH!D813,""),"")</f>
        <v/>
      </c>
      <c r="B813" s="1159">
        <f t="shared" ref="B813:B815" si="116">IF(C813&lt;&gt;"",MONTH(C813),"")</f>
        <v>12</v>
      </c>
      <c r="C813" s="929">
        <v>43098</v>
      </c>
      <c r="D813" s="929" t="s">
        <v>530</v>
      </c>
      <c r="E813" s="929">
        <v>43098</v>
      </c>
      <c r="F813" s="930" t="s">
        <v>808</v>
      </c>
      <c r="G813" s="931" t="s">
        <v>2851</v>
      </c>
      <c r="H813" s="296" t="s">
        <v>622</v>
      </c>
      <c r="I813" s="371"/>
      <c r="J813" s="932"/>
      <c r="K813" s="371"/>
      <c r="L813" s="377"/>
      <c r="M813" s="933">
        <v>147875000</v>
      </c>
      <c r="N813" s="934" t="s">
        <v>539</v>
      </c>
      <c r="O813" s="934" t="s">
        <v>8</v>
      </c>
      <c r="P813" s="75" t="str">
        <f>IF(AND('331-CT'!$E$7=TH!H813,OR(N813="331",O813="331")),"x","")</f>
        <v/>
      </c>
      <c r="Q813" s="75" t="str">
        <f>IF(AND(B813='111'!$L$11,OR($N813=$Q$7,$O813=$Q$7)),"x","")</f>
        <v/>
      </c>
      <c r="R813" s="75" t="str">
        <f>IF(AND($N813=$Q$7,$B813&lt;'111'!$L$11),"x","")</f>
        <v/>
      </c>
      <c r="S813" s="75" t="str">
        <f>IF(AND($O813=$Q$7,$B813&lt;'111'!$L$11),"x","")</f>
        <v/>
      </c>
      <c r="T813" s="75" t="str">
        <f>IF(ISERROR(FIND('112'!$M$9,G813,1)),"",IF((AND(FIND('112'!$M$9,G813,1)&gt;=1,B813='112'!$K$9,OR($N813='112'!$I$6,$O813='112'!$I$6))),"x",""))</f>
        <v/>
      </c>
      <c r="U813" s="75" t="str">
        <f>IF(ISERROR(FIND('112'!$M$9,G813,1)),"",IF((AND(LEFT(G813,2)=LEFT('112'!$M$9,2),B813&lt;'112'!$K$9,$N813='112'!$I$6)),"x",""))</f>
        <v/>
      </c>
      <c r="V813" s="75" t="str">
        <f>IF(ISERROR(FIND('112'!$M$9,G813,1)),"",IF((AND(RIGHT(G813,2)=RIGHT('112'!$M$9,2),B813&lt;'112'!$K$9,$O813='112'!$I$6)),"x",""))</f>
        <v/>
      </c>
      <c r="W813" s="75" t="str">
        <f>IF(AND('341-CT'!$H$9=H813,OR(LEFT(N813,3)=$W$7,LEFT(O813,3)=$W$7)),"x","")</f>
        <v/>
      </c>
      <c r="X813" s="75" t="str">
        <f>IF(OR(TH!N813=TH!$X$7,O813=TH!$X$7),"x","")</f>
        <v/>
      </c>
      <c r="Y813" s="75" t="str">
        <f>IF(AND(OR(N813="131",O813="131"),H813='131-CT'!$H$9),"x","")</f>
        <v/>
      </c>
      <c r="Z813" s="75"/>
      <c r="AA813" s="75" t="str">
        <f>IF(AND(MONTH(E813)='IN-NX'!$J$5,'IN-NX'!$D$7=D813),"x","")</f>
        <v/>
      </c>
      <c r="AB813" s="75" t="str">
        <f>IF(AND(OR(LEFT(TH!N813,2)="15",LEFT(TH!O813,2)="15"),LEFT(TH!O813,3)&lt;&gt;"111",'152-CT'!$J$8=TH!F813),"x","")</f>
        <v/>
      </c>
      <c r="AC813" s="75" t="str">
        <f>IF(AND(OR(LEFT(TH!N813,2)="15",LEFT(TH!O813,2)="15"),TK!$E$7=TH!F813),"x","")</f>
        <v/>
      </c>
      <c r="AD813" s="75" t="str">
        <f>IF(AND(N813="1521",MONTH(C813)='BK-NL'!$M$11),"x","")</f>
        <v/>
      </c>
    </row>
    <row r="814" spans="1:31" ht="16.5" customHeight="1">
      <c r="A814" s="309" t="str">
        <f>IF(B814&lt;&gt;"",IF(AND(B814='IN-TC'!$S$4,OR(TH!N814="1111",TH!O814="1111")),TH!D814,""),"")</f>
        <v/>
      </c>
      <c r="B814" s="1159">
        <f t="shared" si="116"/>
        <v>12</v>
      </c>
      <c r="C814" s="929">
        <v>43098</v>
      </c>
      <c r="D814" s="929" t="s">
        <v>530</v>
      </c>
      <c r="E814" s="929">
        <v>43098</v>
      </c>
      <c r="F814" s="930" t="s">
        <v>810</v>
      </c>
      <c r="G814" s="931" t="s">
        <v>2852</v>
      </c>
      <c r="H814" s="296" t="s">
        <v>622</v>
      </c>
      <c r="I814" s="371"/>
      <c r="J814" s="932"/>
      <c r="K814" s="371"/>
      <c r="L814" s="377"/>
      <c r="M814" s="933">
        <v>26731250</v>
      </c>
      <c r="N814" s="934" t="s">
        <v>539</v>
      </c>
      <c r="O814" s="934" t="s">
        <v>8</v>
      </c>
      <c r="P814" s="75" t="str">
        <f>IF(AND('331-CT'!$E$7=TH!H814,OR(N814="331",O814="331")),"x","")</f>
        <v/>
      </c>
      <c r="Q814" s="75" t="str">
        <f>IF(AND(B814='111'!$L$11,OR($N814=$Q$7,$O814=$Q$7)),"x","")</f>
        <v/>
      </c>
      <c r="R814" s="75" t="str">
        <f>IF(AND($N814=$Q$7,$B814&lt;'111'!$L$11),"x","")</f>
        <v/>
      </c>
      <c r="S814" s="75" t="str">
        <f>IF(AND($O814=$Q$7,$B814&lt;'111'!$L$11),"x","")</f>
        <v/>
      </c>
      <c r="T814" s="75" t="str">
        <f>IF(ISERROR(FIND('112'!$M$9,G814,1)),"",IF((AND(FIND('112'!$M$9,G814,1)&gt;=1,B814='112'!$K$9,OR($N814='112'!$I$6,$O814='112'!$I$6))),"x",""))</f>
        <v/>
      </c>
      <c r="U814" s="75" t="str">
        <f>IF(ISERROR(FIND('112'!$M$9,G814,1)),"",IF((AND(LEFT(G814,2)=LEFT('112'!$M$9,2),B814&lt;'112'!$K$9,$N814='112'!$I$6)),"x",""))</f>
        <v/>
      </c>
      <c r="V814" s="75" t="str">
        <f>IF(ISERROR(FIND('112'!$M$9,G814,1)),"",IF((AND(RIGHT(G814,2)=RIGHT('112'!$M$9,2),B814&lt;'112'!$K$9,$O814='112'!$I$6)),"x",""))</f>
        <v/>
      </c>
      <c r="W814" s="75" t="str">
        <f>IF(AND('341-CT'!$H$9=H814,OR(LEFT(N814,3)=$W$7,LEFT(O814,3)=$W$7)),"x","")</f>
        <v/>
      </c>
      <c r="X814" s="75" t="str">
        <f>IF(OR(TH!N814=TH!$X$7,O814=TH!$X$7),"x","")</f>
        <v/>
      </c>
      <c r="Y814" s="75" t="str">
        <f>IF(AND(OR(N814="131",O814="131"),H814='131-CT'!$H$9),"x","")</f>
        <v/>
      </c>
      <c r="Z814" s="75"/>
      <c r="AA814" s="75" t="str">
        <f>IF(AND(MONTH(E814)='IN-NX'!$J$5,'IN-NX'!$D$7=D814),"x","")</f>
        <v/>
      </c>
      <c r="AB814" s="75" t="str">
        <f>IF(AND(OR(LEFT(TH!N814,2)="15",LEFT(TH!O814,2)="15"),LEFT(TH!O814,3)&lt;&gt;"111",'152-CT'!$J$8=TH!F814),"x","")</f>
        <v/>
      </c>
      <c r="AC814" s="75" t="str">
        <f>IF(AND(OR(LEFT(TH!N814,2)="15",LEFT(TH!O814,2)="15"),TK!$E$7=TH!F814),"x","")</f>
        <v/>
      </c>
      <c r="AD814" s="75" t="str">
        <f>IF(AND(N814="1521",MONTH(C814)='BK-NL'!$M$11),"x","")</f>
        <v/>
      </c>
      <c r="AE814">
        <v>12</v>
      </c>
    </row>
    <row r="815" spans="1:31" ht="16.5" customHeight="1">
      <c r="A815" s="309" t="str">
        <f>IF(B815&lt;&gt;"",IF(AND(B815='IN-TC'!$S$4,OR(TH!N815="1111",TH!O815="1111")),TH!D815,""),"")</f>
        <v/>
      </c>
      <c r="B815" s="1159">
        <f t="shared" si="116"/>
        <v>12</v>
      </c>
      <c r="C815" s="929">
        <v>43098</v>
      </c>
      <c r="D815" s="929" t="s">
        <v>530</v>
      </c>
      <c r="E815" s="929">
        <v>43098</v>
      </c>
      <c r="F815" s="930" t="s">
        <v>811</v>
      </c>
      <c r="G815" s="931" t="s">
        <v>2852</v>
      </c>
      <c r="H815" s="296" t="s">
        <v>622</v>
      </c>
      <c r="I815" s="371"/>
      <c r="J815" s="932"/>
      <c r="K815" s="371"/>
      <c r="L815" s="377"/>
      <c r="M815" s="933">
        <v>2673125</v>
      </c>
      <c r="N815" s="934" t="s">
        <v>9</v>
      </c>
      <c r="O815" s="934" t="s">
        <v>8</v>
      </c>
      <c r="P815" s="75" t="str">
        <f>IF(AND('331-CT'!$E$7=TH!H815,OR(N815="331",O815="331")),"x","")</f>
        <v/>
      </c>
      <c r="Q815" s="75" t="str">
        <f>IF(AND(B815='111'!$L$11,OR($N815=$Q$7,$O815=$Q$7)),"x","")</f>
        <v/>
      </c>
      <c r="R815" s="75" t="str">
        <f>IF(AND($N815=$Q$7,$B815&lt;'111'!$L$11),"x","")</f>
        <v/>
      </c>
      <c r="S815" s="75" t="str">
        <f>IF(AND($O815=$Q$7,$B815&lt;'111'!$L$11),"x","")</f>
        <v/>
      </c>
      <c r="T815" s="75" t="str">
        <f>IF(ISERROR(FIND('112'!$M$9,G815,1)),"",IF((AND(FIND('112'!$M$9,G815,1)&gt;=1,B815='112'!$K$9,OR($N815='112'!$I$6,$O815='112'!$I$6))),"x",""))</f>
        <v/>
      </c>
      <c r="U815" s="75" t="str">
        <f>IF(ISERROR(FIND('112'!$M$9,G815,1)),"",IF((AND(LEFT(G815,2)=LEFT('112'!$M$9,2),B815&lt;'112'!$K$9,$N815='112'!$I$6)),"x",""))</f>
        <v/>
      </c>
      <c r="V815" s="75" t="str">
        <f>IF(ISERROR(FIND('112'!$M$9,G815,1)),"",IF((AND(RIGHT(G815,2)=RIGHT('112'!$M$9,2),B815&lt;'112'!$K$9,$O815='112'!$I$6)),"x",""))</f>
        <v/>
      </c>
      <c r="W815" s="75" t="str">
        <f>IF(AND('341-CT'!$H$9=H815,OR(LEFT(N815,3)=$W$7,LEFT(O815,3)=$W$7)),"x","")</f>
        <v/>
      </c>
      <c r="X815" s="75" t="str">
        <f>IF(OR(TH!N815=TH!$X$7,O815=TH!$X$7),"x","")</f>
        <v/>
      </c>
      <c r="Y815" s="75" t="str">
        <f>IF(AND(OR(N815="131",O815="131"),H815='131-CT'!$H$9),"x","")</f>
        <v/>
      </c>
      <c r="Z815" s="75"/>
      <c r="AA815" s="75" t="str">
        <f>IF(AND(MONTH(E815)='IN-NX'!$J$5,'IN-NX'!$D$7=D815),"x","")</f>
        <v/>
      </c>
      <c r="AB815" s="75" t="str">
        <f>IF(AND(OR(LEFT(TH!N815,2)="15",LEFT(TH!O815,2)="15"),LEFT(TH!O815,3)&lt;&gt;"111",'152-CT'!$J$8=TH!F815),"x","")</f>
        <v/>
      </c>
      <c r="AC815" s="75" t="str">
        <f>IF(AND(OR(LEFT(TH!N815,2)="15",LEFT(TH!O815,2)="15"),TK!$E$7=TH!F815),"x","")</f>
        <v/>
      </c>
      <c r="AD815" s="75" t="str">
        <f>IF(AND(N815="1521",MONTH(C815)='BK-NL'!$M$11),"x","")</f>
        <v/>
      </c>
      <c r="AE815">
        <v>12</v>
      </c>
    </row>
    <row r="816" spans="1:31" ht="16.5" customHeight="1">
      <c r="A816" s="309" t="str">
        <f>IF(B816&lt;&gt;"",IF(AND(B816='IN-TC'!$S$4,OR(TH!N816="1111",TH!O816="1111")),TH!D816,""),"")</f>
        <v/>
      </c>
      <c r="B816" s="1159">
        <f t="shared" ref="B816:B818" si="117">IF(C816&lt;&gt;"",MONTH(C816),"")</f>
        <v>12</v>
      </c>
      <c r="C816" s="929">
        <v>43098</v>
      </c>
      <c r="D816" s="929" t="s">
        <v>530</v>
      </c>
      <c r="E816" s="929">
        <v>43098</v>
      </c>
      <c r="F816" s="930" t="s">
        <v>808</v>
      </c>
      <c r="G816" s="931" t="s">
        <v>2853</v>
      </c>
      <c r="H816" s="296" t="s">
        <v>622</v>
      </c>
      <c r="I816" s="371"/>
      <c r="J816" s="932"/>
      <c r="K816" s="371"/>
      <c r="L816" s="377"/>
      <c r="M816" s="933">
        <v>147875000</v>
      </c>
      <c r="N816" s="934" t="s">
        <v>539</v>
      </c>
      <c r="O816" s="934" t="s">
        <v>8</v>
      </c>
      <c r="P816" s="75" t="str">
        <f>IF(AND('331-CT'!$E$7=TH!H816,OR(N816="331",O816="331")),"x","")</f>
        <v/>
      </c>
      <c r="Q816" s="75" t="str">
        <f>IF(AND(B816='111'!$L$11,OR($N816=$Q$7,$O816=$Q$7)),"x","")</f>
        <v/>
      </c>
      <c r="R816" s="75" t="str">
        <f>IF(AND($N816=$Q$7,$B816&lt;'111'!$L$11),"x","")</f>
        <v/>
      </c>
      <c r="S816" s="75" t="str">
        <f>IF(AND($O816=$Q$7,$B816&lt;'111'!$L$11),"x","")</f>
        <v/>
      </c>
      <c r="T816" s="75" t="str">
        <f>IF(ISERROR(FIND('112'!$M$9,G816,1)),"",IF((AND(FIND('112'!$M$9,G816,1)&gt;=1,B816='112'!$K$9,OR($N816='112'!$I$6,$O816='112'!$I$6))),"x",""))</f>
        <v/>
      </c>
      <c r="U816" s="75" t="str">
        <f>IF(ISERROR(FIND('112'!$M$9,G816,1)),"",IF((AND(LEFT(G816,2)=LEFT('112'!$M$9,2),B816&lt;'112'!$K$9,$N816='112'!$I$6)),"x",""))</f>
        <v/>
      </c>
      <c r="V816" s="75" t="str">
        <f>IF(ISERROR(FIND('112'!$M$9,G816,1)),"",IF((AND(RIGHT(G816,2)=RIGHT('112'!$M$9,2),B816&lt;'112'!$K$9,$O816='112'!$I$6)),"x",""))</f>
        <v/>
      </c>
      <c r="W816" s="75" t="str">
        <f>IF(AND('341-CT'!$H$9=H816,OR(LEFT(N816,3)=$W$7,LEFT(O816,3)=$W$7)),"x","")</f>
        <v/>
      </c>
      <c r="X816" s="75" t="str">
        <f>IF(OR(TH!N816=TH!$X$7,O816=TH!$X$7),"x","")</f>
        <v/>
      </c>
      <c r="Y816" s="75" t="str">
        <f>IF(AND(OR(N816="131",O816="131"),H816='131-CT'!$H$9),"x","")</f>
        <v/>
      </c>
      <c r="Z816" s="75"/>
      <c r="AA816" s="75" t="str">
        <f>IF(AND(MONTH(E816)='IN-NX'!$J$5,'IN-NX'!$D$7=D816),"x","")</f>
        <v/>
      </c>
      <c r="AB816" s="75" t="str">
        <f>IF(AND(OR(LEFT(TH!N816,2)="15",LEFT(TH!O816,2)="15"),LEFT(TH!O816,3)&lt;&gt;"111",'152-CT'!$J$8=TH!F816),"x","")</f>
        <v/>
      </c>
      <c r="AC816" s="75" t="str">
        <f>IF(AND(OR(LEFT(TH!N816,2)="15",LEFT(TH!O816,2)="15"),TK!$E$7=TH!F816),"x","")</f>
        <v/>
      </c>
      <c r="AD816" s="75" t="str">
        <f>IF(AND(N816="1521",MONTH(C816)='BK-NL'!$M$11),"x","")</f>
        <v/>
      </c>
    </row>
    <row r="817" spans="1:31" ht="16.5" customHeight="1">
      <c r="A817" s="309" t="str">
        <f>IF(B817&lt;&gt;"",IF(AND(B817='IN-TC'!$S$4,OR(TH!N817="1111",TH!O817="1111")),TH!D817,""),"")</f>
        <v/>
      </c>
      <c r="B817" s="1159">
        <f t="shared" si="117"/>
        <v>12</v>
      </c>
      <c r="C817" s="929">
        <v>43098</v>
      </c>
      <c r="D817" s="929" t="s">
        <v>530</v>
      </c>
      <c r="E817" s="929">
        <v>43098</v>
      </c>
      <c r="F817" s="930" t="s">
        <v>810</v>
      </c>
      <c r="G817" s="931" t="s">
        <v>2854</v>
      </c>
      <c r="H817" s="296" t="s">
        <v>622</v>
      </c>
      <c r="I817" s="371"/>
      <c r="J817" s="932"/>
      <c r="K817" s="371"/>
      <c r="L817" s="377"/>
      <c r="M817" s="933">
        <v>26731250</v>
      </c>
      <c r="N817" s="934" t="s">
        <v>539</v>
      </c>
      <c r="O817" s="934" t="s">
        <v>8</v>
      </c>
      <c r="P817" s="75" t="str">
        <f>IF(AND('331-CT'!$E$7=TH!H817,OR(N817="331",O817="331")),"x","")</f>
        <v/>
      </c>
      <c r="Q817" s="75" t="str">
        <f>IF(AND(B817='111'!$L$11,OR($N817=$Q$7,$O817=$Q$7)),"x","")</f>
        <v/>
      </c>
      <c r="R817" s="75" t="str">
        <f>IF(AND($N817=$Q$7,$B817&lt;'111'!$L$11),"x","")</f>
        <v/>
      </c>
      <c r="S817" s="75" t="str">
        <f>IF(AND($O817=$Q$7,$B817&lt;'111'!$L$11),"x","")</f>
        <v/>
      </c>
      <c r="T817" s="75" t="str">
        <f>IF(ISERROR(FIND('112'!$M$9,G817,1)),"",IF((AND(FIND('112'!$M$9,G817,1)&gt;=1,B817='112'!$K$9,OR($N817='112'!$I$6,$O817='112'!$I$6))),"x",""))</f>
        <v/>
      </c>
      <c r="U817" s="75" t="str">
        <f>IF(ISERROR(FIND('112'!$M$9,G817,1)),"",IF((AND(LEFT(G817,2)=LEFT('112'!$M$9,2),B817&lt;'112'!$K$9,$N817='112'!$I$6)),"x",""))</f>
        <v/>
      </c>
      <c r="V817" s="75" t="str">
        <f>IF(ISERROR(FIND('112'!$M$9,G817,1)),"",IF((AND(RIGHT(G817,2)=RIGHT('112'!$M$9,2),B817&lt;'112'!$K$9,$O817='112'!$I$6)),"x",""))</f>
        <v/>
      </c>
      <c r="W817" s="75" t="str">
        <f>IF(AND('341-CT'!$H$9=H817,OR(LEFT(N817,3)=$W$7,LEFT(O817,3)=$W$7)),"x","")</f>
        <v/>
      </c>
      <c r="X817" s="75" t="str">
        <f>IF(OR(TH!N817=TH!$X$7,O817=TH!$X$7),"x","")</f>
        <v/>
      </c>
      <c r="Y817" s="75" t="str">
        <f>IF(AND(OR(N817="131",O817="131"),H817='131-CT'!$H$9),"x","")</f>
        <v/>
      </c>
      <c r="Z817" s="75"/>
      <c r="AA817" s="75" t="str">
        <f>IF(AND(MONTH(E817)='IN-NX'!$J$5,'IN-NX'!$D$7=D817),"x","")</f>
        <v/>
      </c>
      <c r="AB817" s="75" t="str">
        <f>IF(AND(OR(LEFT(TH!N817,2)="15",LEFT(TH!O817,2)="15"),LEFT(TH!O817,3)&lt;&gt;"111",'152-CT'!$J$8=TH!F817),"x","")</f>
        <v/>
      </c>
      <c r="AC817" s="75" t="str">
        <f>IF(AND(OR(LEFT(TH!N817,2)="15",LEFT(TH!O817,2)="15"),TK!$E$7=TH!F817),"x","")</f>
        <v/>
      </c>
      <c r="AD817" s="75" t="str">
        <f>IF(AND(N817="1521",MONTH(C817)='BK-NL'!$M$11),"x","")</f>
        <v/>
      </c>
      <c r="AE817">
        <v>12</v>
      </c>
    </row>
    <row r="818" spans="1:31" ht="16.5" customHeight="1">
      <c r="A818" s="309" t="str">
        <f>IF(B818&lt;&gt;"",IF(AND(B818='IN-TC'!$S$4,OR(TH!N818="1111",TH!O818="1111")),TH!D818,""),"")</f>
        <v/>
      </c>
      <c r="B818" s="1159">
        <f t="shared" si="117"/>
        <v>12</v>
      </c>
      <c r="C818" s="929">
        <v>43098</v>
      </c>
      <c r="D818" s="929" t="s">
        <v>530</v>
      </c>
      <c r="E818" s="929">
        <v>43098</v>
      </c>
      <c r="F818" s="930" t="s">
        <v>811</v>
      </c>
      <c r="G818" s="931" t="s">
        <v>2854</v>
      </c>
      <c r="H818" s="296" t="s">
        <v>622</v>
      </c>
      <c r="I818" s="371"/>
      <c r="J818" s="932"/>
      <c r="K818" s="371"/>
      <c r="L818" s="377"/>
      <c r="M818" s="933">
        <v>2673125</v>
      </c>
      <c r="N818" s="934" t="s">
        <v>9</v>
      </c>
      <c r="O818" s="934" t="s">
        <v>8</v>
      </c>
      <c r="P818" s="75" t="str">
        <f>IF(AND('331-CT'!$E$7=TH!H818,OR(N818="331",O818="331")),"x","")</f>
        <v/>
      </c>
      <c r="Q818" s="75" t="str">
        <f>IF(AND(B818='111'!$L$11,OR($N818=$Q$7,$O818=$Q$7)),"x","")</f>
        <v/>
      </c>
      <c r="R818" s="75" t="str">
        <f>IF(AND($N818=$Q$7,$B818&lt;'111'!$L$11),"x","")</f>
        <v/>
      </c>
      <c r="S818" s="75" t="str">
        <f>IF(AND($O818=$Q$7,$B818&lt;'111'!$L$11),"x","")</f>
        <v/>
      </c>
      <c r="T818" s="75" t="str">
        <f>IF(ISERROR(FIND('112'!$M$9,G818,1)),"",IF((AND(FIND('112'!$M$9,G818,1)&gt;=1,B818='112'!$K$9,OR($N818='112'!$I$6,$O818='112'!$I$6))),"x",""))</f>
        <v/>
      </c>
      <c r="U818" s="75" t="str">
        <f>IF(ISERROR(FIND('112'!$M$9,G818,1)),"",IF((AND(LEFT(G818,2)=LEFT('112'!$M$9,2),B818&lt;'112'!$K$9,$N818='112'!$I$6)),"x",""))</f>
        <v/>
      </c>
      <c r="V818" s="75" t="str">
        <f>IF(ISERROR(FIND('112'!$M$9,G818,1)),"",IF((AND(RIGHT(G818,2)=RIGHT('112'!$M$9,2),B818&lt;'112'!$K$9,$O818='112'!$I$6)),"x",""))</f>
        <v/>
      </c>
      <c r="W818" s="75" t="str">
        <f>IF(AND('341-CT'!$H$9=H818,OR(LEFT(N818,3)=$W$7,LEFT(O818,3)=$W$7)),"x","")</f>
        <v/>
      </c>
      <c r="X818" s="75" t="str">
        <f>IF(OR(TH!N818=TH!$X$7,O818=TH!$X$7),"x","")</f>
        <v/>
      </c>
      <c r="Y818" s="75" t="str">
        <f>IF(AND(OR(N818="131",O818="131"),H818='131-CT'!$H$9),"x","")</f>
        <v/>
      </c>
      <c r="Z818" s="75"/>
      <c r="AA818" s="75" t="str">
        <f>IF(AND(MONTH(E818)='IN-NX'!$J$5,'IN-NX'!$D$7=D818),"x","")</f>
        <v/>
      </c>
      <c r="AB818" s="75" t="str">
        <f>IF(AND(OR(LEFT(TH!N818,2)="15",LEFT(TH!O818,2)="15"),LEFT(TH!O818,3)&lt;&gt;"111",'152-CT'!$J$8=TH!F818),"x","")</f>
        <v/>
      </c>
      <c r="AC818" s="75" t="str">
        <f>IF(AND(OR(LEFT(TH!N818,2)="15",LEFT(TH!O818,2)="15"),TK!$E$7=TH!F818),"x","")</f>
        <v/>
      </c>
      <c r="AD818" s="75" t="str">
        <f>IF(AND(N818="1521",MONTH(C818)='BK-NL'!$M$11),"x","")</f>
        <v/>
      </c>
      <c r="AE818">
        <v>12</v>
      </c>
    </row>
    <row r="819" spans="1:31" ht="16.5" customHeight="1">
      <c r="A819" s="309" t="str">
        <f>IF(B819&lt;&gt;"",IF(AND(B819='IN-TC'!$S$4,OR(TH!N819="1111",TH!O819="1111")),TH!D819,""),"")</f>
        <v/>
      </c>
      <c r="B819" s="1159">
        <f t="shared" ref="B819:B821" si="118">IF(C819&lt;&gt;"",MONTH(C819),"")</f>
        <v>12</v>
      </c>
      <c r="C819" s="929">
        <v>43098</v>
      </c>
      <c r="D819" s="929" t="s">
        <v>530</v>
      </c>
      <c r="E819" s="929">
        <v>43098</v>
      </c>
      <c r="F819" s="930" t="s">
        <v>808</v>
      </c>
      <c r="G819" s="931" t="s">
        <v>2855</v>
      </c>
      <c r="H819" s="296" t="s">
        <v>622</v>
      </c>
      <c r="I819" s="371"/>
      <c r="J819" s="932"/>
      <c r="K819" s="371"/>
      <c r="L819" s="377"/>
      <c r="M819" s="933">
        <v>88725000</v>
      </c>
      <c r="N819" s="934" t="s">
        <v>539</v>
      </c>
      <c r="O819" s="934" t="s">
        <v>8</v>
      </c>
      <c r="P819" s="75" t="str">
        <f>IF(AND('331-CT'!$E$7=TH!H819,OR(N819="331",O819="331")),"x","")</f>
        <v/>
      </c>
      <c r="Q819" s="75" t="str">
        <f>IF(AND(B819='111'!$L$11,OR($N819=$Q$7,$O819=$Q$7)),"x","")</f>
        <v/>
      </c>
      <c r="R819" s="75" t="str">
        <f>IF(AND($N819=$Q$7,$B819&lt;'111'!$L$11),"x","")</f>
        <v/>
      </c>
      <c r="S819" s="75" t="str">
        <f>IF(AND($O819=$Q$7,$B819&lt;'111'!$L$11),"x","")</f>
        <v/>
      </c>
      <c r="T819" s="75" t="str">
        <f>IF(ISERROR(FIND('112'!$M$9,G819,1)),"",IF((AND(FIND('112'!$M$9,G819,1)&gt;=1,B819='112'!$K$9,OR($N819='112'!$I$6,$O819='112'!$I$6))),"x",""))</f>
        <v/>
      </c>
      <c r="U819" s="75" t="str">
        <f>IF(ISERROR(FIND('112'!$M$9,G819,1)),"",IF((AND(LEFT(G819,2)=LEFT('112'!$M$9,2),B819&lt;'112'!$K$9,$N819='112'!$I$6)),"x",""))</f>
        <v/>
      </c>
      <c r="V819" s="75" t="str">
        <f>IF(ISERROR(FIND('112'!$M$9,G819,1)),"",IF((AND(RIGHT(G819,2)=RIGHT('112'!$M$9,2),B819&lt;'112'!$K$9,$O819='112'!$I$6)),"x",""))</f>
        <v/>
      </c>
      <c r="W819" s="75" t="str">
        <f>IF(AND('341-CT'!$H$9=H819,OR(LEFT(N819,3)=$W$7,LEFT(O819,3)=$W$7)),"x","")</f>
        <v/>
      </c>
      <c r="X819" s="75" t="str">
        <f>IF(OR(TH!N819=TH!$X$7,O819=TH!$X$7),"x","")</f>
        <v/>
      </c>
      <c r="Y819" s="75" t="str">
        <f>IF(AND(OR(N819="131",O819="131"),H819='131-CT'!$H$9),"x","")</f>
        <v/>
      </c>
      <c r="Z819" s="75"/>
      <c r="AA819" s="75" t="str">
        <f>IF(AND(MONTH(E819)='IN-NX'!$J$5,'IN-NX'!$D$7=D819),"x","")</f>
        <v/>
      </c>
      <c r="AB819" s="75" t="str">
        <f>IF(AND(OR(LEFT(TH!N819,2)="15",LEFT(TH!O819,2)="15"),LEFT(TH!O819,3)&lt;&gt;"111",'152-CT'!$J$8=TH!F819),"x","")</f>
        <v/>
      </c>
      <c r="AC819" s="75" t="str">
        <f>IF(AND(OR(LEFT(TH!N819,2)="15",LEFT(TH!O819,2)="15"),TK!$E$7=TH!F819),"x","")</f>
        <v/>
      </c>
      <c r="AD819" s="75" t="str">
        <f>IF(AND(N819="1521",MONTH(C819)='BK-NL'!$M$11),"x","")</f>
        <v/>
      </c>
    </row>
    <row r="820" spans="1:31" ht="16.5" customHeight="1">
      <c r="A820" s="309" t="str">
        <f>IF(B820&lt;&gt;"",IF(AND(B820='IN-TC'!$S$4,OR(TH!N820="1111",TH!O820="1111")),TH!D820,""),"")</f>
        <v/>
      </c>
      <c r="B820" s="1159">
        <f t="shared" si="118"/>
        <v>12</v>
      </c>
      <c r="C820" s="929">
        <v>43098</v>
      </c>
      <c r="D820" s="929" t="s">
        <v>530</v>
      </c>
      <c r="E820" s="929">
        <v>43098</v>
      </c>
      <c r="F820" s="930" t="s">
        <v>810</v>
      </c>
      <c r="G820" s="931" t="s">
        <v>2856</v>
      </c>
      <c r="H820" s="296" t="s">
        <v>622</v>
      </c>
      <c r="I820" s="371"/>
      <c r="J820" s="932"/>
      <c r="K820" s="371"/>
      <c r="L820" s="377"/>
      <c r="M820" s="933">
        <v>16812250</v>
      </c>
      <c r="N820" s="934" t="s">
        <v>539</v>
      </c>
      <c r="O820" s="934" t="s">
        <v>8</v>
      </c>
      <c r="P820" s="75" t="str">
        <f>IF(AND('331-CT'!$E$7=TH!H820,OR(N820="331",O820="331")),"x","")</f>
        <v/>
      </c>
      <c r="Q820" s="75" t="str">
        <f>IF(AND(B820='111'!$L$11,OR($N820=$Q$7,$O820=$Q$7)),"x","")</f>
        <v/>
      </c>
      <c r="R820" s="75" t="str">
        <f>IF(AND($N820=$Q$7,$B820&lt;'111'!$L$11),"x","")</f>
        <v/>
      </c>
      <c r="S820" s="75" t="str">
        <f>IF(AND($O820=$Q$7,$B820&lt;'111'!$L$11),"x","")</f>
        <v/>
      </c>
      <c r="T820" s="75" t="str">
        <f>IF(ISERROR(FIND('112'!$M$9,G820,1)),"",IF((AND(FIND('112'!$M$9,G820,1)&gt;=1,B820='112'!$K$9,OR($N820='112'!$I$6,$O820='112'!$I$6))),"x",""))</f>
        <v/>
      </c>
      <c r="U820" s="75" t="str">
        <f>IF(ISERROR(FIND('112'!$M$9,G820,1)),"",IF((AND(LEFT(G820,2)=LEFT('112'!$M$9,2),B820&lt;'112'!$K$9,$N820='112'!$I$6)),"x",""))</f>
        <v/>
      </c>
      <c r="V820" s="75" t="str">
        <f>IF(ISERROR(FIND('112'!$M$9,G820,1)),"",IF((AND(RIGHT(G820,2)=RIGHT('112'!$M$9,2),B820&lt;'112'!$K$9,$O820='112'!$I$6)),"x",""))</f>
        <v/>
      </c>
      <c r="W820" s="75" t="str">
        <f>IF(AND('341-CT'!$H$9=H820,OR(LEFT(N820,3)=$W$7,LEFT(O820,3)=$W$7)),"x","")</f>
        <v/>
      </c>
      <c r="X820" s="75" t="str">
        <f>IF(OR(TH!N820=TH!$X$7,O820=TH!$X$7),"x","")</f>
        <v/>
      </c>
      <c r="Y820" s="75" t="str">
        <f>IF(AND(OR(N820="131",O820="131"),H820='131-CT'!$H$9),"x","")</f>
        <v/>
      </c>
      <c r="Z820" s="75"/>
      <c r="AA820" s="75" t="str">
        <f>IF(AND(MONTH(E820)='IN-NX'!$J$5,'IN-NX'!$D$7=D820),"x","")</f>
        <v/>
      </c>
      <c r="AB820" s="75" t="str">
        <f>IF(AND(OR(LEFT(TH!N820,2)="15",LEFT(TH!O820,2)="15"),LEFT(TH!O820,3)&lt;&gt;"111",'152-CT'!$J$8=TH!F820),"x","")</f>
        <v/>
      </c>
      <c r="AC820" s="75" t="str">
        <f>IF(AND(OR(LEFT(TH!N820,2)="15",LEFT(TH!O820,2)="15"),TK!$E$7=TH!F820),"x","")</f>
        <v/>
      </c>
      <c r="AD820" s="75" t="str">
        <f>IF(AND(N820="1521",MONTH(C820)='BK-NL'!$M$11),"x","")</f>
        <v/>
      </c>
      <c r="AE820">
        <v>12</v>
      </c>
    </row>
    <row r="821" spans="1:31" ht="16.5" customHeight="1">
      <c r="A821" s="309" t="str">
        <f>IF(B821&lt;&gt;"",IF(AND(B821='IN-TC'!$S$4,OR(TH!N821="1111",TH!O821="1111")),TH!D821,""),"")</f>
        <v/>
      </c>
      <c r="B821" s="1159">
        <f t="shared" si="118"/>
        <v>12</v>
      </c>
      <c r="C821" s="929">
        <v>43098</v>
      </c>
      <c r="D821" s="929" t="s">
        <v>530</v>
      </c>
      <c r="E821" s="929">
        <v>43098</v>
      </c>
      <c r="F821" s="930" t="s">
        <v>811</v>
      </c>
      <c r="G821" s="931" t="s">
        <v>2856</v>
      </c>
      <c r="H821" s="296" t="s">
        <v>622</v>
      </c>
      <c r="I821" s="371"/>
      <c r="J821" s="932"/>
      <c r="K821" s="371"/>
      <c r="L821" s="377"/>
      <c r="M821" s="933">
        <v>1681225</v>
      </c>
      <c r="N821" s="934" t="s">
        <v>9</v>
      </c>
      <c r="O821" s="934" t="s">
        <v>8</v>
      </c>
      <c r="P821" s="75" t="str">
        <f>IF(AND('331-CT'!$E$7=TH!H821,OR(N821="331",O821="331")),"x","")</f>
        <v/>
      </c>
      <c r="Q821" s="75" t="str">
        <f>IF(AND(B821='111'!$L$11,OR($N821=$Q$7,$O821=$Q$7)),"x","")</f>
        <v/>
      </c>
      <c r="R821" s="75" t="str">
        <f>IF(AND($N821=$Q$7,$B821&lt;'111'!$L$11),"x","")</f>
        <v/>
      </c>
      <c r="S821" s="75" t="str">
        <f>IF(AND($O821=$Q$7,$B821&lt;'111'!$L$11),"x","")</f>
        <v/>
      </c>
      <c r="T821" s="75" t="str">
        <f>IF(ISERROR(FIND('112'!$M$9,G821,1)),"",IF((AND(FIND('112'!$M$9,G821,1)&gt;=1,B821='112'!$K$9,OR($N821='112'!$I$6,$O821='112'!$I$6))),"x",""))</f>
        <v/>
      </c>
      <c r="U821" s="75" t="str">
        <f>IF(ISERROR(FIND('112'!$M$9,G821,1)),"",IF((AND(LEFT(G821,2)=LEFT('112'!$M$9,2),B821&lt;'112'!$K$9,$N821='112'!$I$6)),"x",""))</f>
        <v/>
      </c>
      <c r="V821" s="75" t="str">
        <f>IF(ISERROR(FIND('112'!$M$9,G821,1)),"",IF((AND(RIGHT(G821,2)=RIGHT('112'!$M$9,2),B821&lt;'112'!$K$9,$O821='112'!$I$6)),"x",""))</f>
        <v/>
      </c>
      <c r="W821" s="75" t="str">
        <f>IF(AND('341-CT'!$H$9=H821,OR(LEFT(N821,3)=$W$7,LEFT(O821,3)=$W$7)),"x","")</f>
        <v/>
      </c>
      <c r="X821" s="75" t="str">
        <f>IF(OR(TH!N821=TH!$X$7,O821=TH!$X$7),"x","")</f>
        <v/>
      </c>
      <c r="Y821" s="75" t="str">
        <f>IF(AND(OR(N821="131",O821="131"),H821='131-CT'!$H$9),"x","")</f>
        <v/>
      </c>
      <c r="Z821" s="75"/>
      <c r="AA821" s="75" t="str">
        <f>IF(AND(MONTH(E821)='IN-NX'!$J$5,'IN-NX'!$D$7=D821),"x","")</f>
        <v/>
      </c>
      <c r="AB821" s="75" t="str">
        <f>IF(AND(OR(LEFT(TH!N821,2)="15",LEFT(TH!O821,2)="15"),LEFT(TH!O821,3)&lt;&gt;"111",'152-CT'!$J$8=TH!F821),"x","")</f>
        <v/>
      </c>
      <c r="AC821" s="75" t="str">
        <f>IF(AND(OR(LEFT(TH!N821,2)="15",LEFT(TH!O821,2)="15"),TK!$E$7=TH!F821),"x","")</f>
        <v/>
      </c>
      <c r="AD821" s="75" t="str">
        <f>IF(AND(N821="1521",MONTH(C821)='BK-NL'!$M$11),"x","")</f>
        <v/>
      </c>
      <c r="AE821">
        <v>12</v>
      </c>
    </row>
    <row r="822" spans="1:31" ht="16.5" customHeight="1">
      <c r="A822" s="309" t="str">
        <f>IF(B822&lt;&gt;"",IF(AND(B822='IN-TC'!$S$4,OR(TH!N822="1111",TH!O822="1111")),TH!D822,""),"")</f>
        <v/>
      </c>
      <c r="B822" s="1159">
        <f t="shared" ref="B822:B829" si="119">IF(C822&lt;&gt;"",MONTH(C822),"")</f>
        <v>12</v>
      </c>
      <c r="C822" s="929">
        <v>43098</v>
      </c>
      <c r="D822" s="929" t="s">
        <v>530</v>
      </c>
      <c r="E822" s="929">
        <v>43098</v>
      </c>
      <c r="F822" s="930" t="s">
        <v>808</v>
      </c>
      <c r="G822" s="931" t="s">
        <v>2857</v>
      </c>
      <c r="H822" s="296" t="s">
        <v>622</v>
      </c>
      <c r="I822" s="371"/>
      <c r="J822" s="932"/>
      <c r="K822" s="371"/>
      <c r="L822" s="377"/>
      <c r="M822" s="933">
        <v>56875000</v>
      </c>
      <c r="N822" s="934" t="s">
        <v>539</v>
      </c>
      <c r="O822" s="934" t="s">
        <v>8</v>
      </c>
      <c r="P822" s="75" t="str">
        <f>IF(AND('331-CT'!$E$7=TH!H822,OR(N822="331",O822="331")),"x","")</f>
        <v/>
      </c>
      <c r="Q822" s="75" t="str">
        <f>IF(AND(B822='111'!$L$11,OR($N822=$Q$7,$O822=$Q$7)),"x","")</f>
        <v/>
      </c>
      <c r="R822" s="75" t="str">
        <f>IF(AND($N822=$Q$7,$B822&lt;'111'!$L$11),"x","")</f>
        <v/>
      </c>
      <c r="S822" s="75" t="str">
        <f>IF(AND($O822=$Q$7,$B822&lt;'111'!$L$11),"x","")</f>
        <v/>
      </c>
      <c r="T822" s="75" t="str">
        <f>IF(ISERROR(FIND('112'!$M$9,G822,1)),"",IF((AND(FIND('112'!$M$9,G822,1)&gt;=1,B822='112'!$K$9,OR($N822='112'!$I$6,$O822='112'!$I$6))),"x",""))</f>
        <v/>
      </c>
      <c r="U822" s="75" t="str">
        <f>IF(ISERROR(FIND('112'!$M$9,G822,1)),"",IF((AND(LEFT(G822,2)=LEFT('112'!$M$9,2),B822&lt;'112'!$K$9,$N822='112'!$I$6)),"x",""))</f>
        <v/>
      </c>
      <c r="V822" s="75" t="str">
        <f>IF(ISERROR(FIND('112'!$M$9,G822,1)),"",IF((AND(RIGHT(G822,2)=RIGHT('112'!$M$9,2),B822&lt;'112'!$K$9,$O822='112'!$I$6)),"x",""))</f>
        <v/>
      </c>
      <c r="W822" s="75" t="str">
        <f>IF(AND('341-CT'!$H$9=H822,OR(LEFT(N822,3)=$W$7,LEFT(O822,3)=$W$7)),"x","")</f>
        <v/>
      </c>
      <c r="X822" s="75" t="str">
        <f>IF(OR(TH!N822=TH!$X$7,O822=TH!$X$7),"x","")</f>
        <v/>
      </c>
      <c r="Y822" s="75" t="str">
        <f>IF(AND(OR(N822="131",O822="131"),H822='131-CT'!$H$9),"x","")</f>
        <v/>
      </c>
      <c r="Z822" s="75"/>
      <c r="AA822" s="75" t="str">
        <f>IF(AND(MONTH(E822)='IN-NX'!$J$5,'IN-NX'!$D$7=D822),"x","")</f>
        <v/>
      </c>
      <c r="AB822" s="75" t="str">
        <f>IF(AND(OR(LEFT(TH!N822,2)="15",LEFT(TH!O822,2)="15"),LEFT(TH!O822,3)&lt;&gt;"111",'152-CT'!$J$8=TH!F822),"x","")</f>
        <v/>
      </c>
      <c r="AC822" s="75" t="str">
        <f>IF(AND(OR(LEFT(TH!N822,2)="15",LEFT(TH!O822,2)="15"),TK!$E$7=TH!F822),"x","")</f>
        <v/>
      </c>
      <c r="AD822" s="75" t="str">
        <f>IF(AND(N822="1521",MONTH(C822)='BK-NL'!$M$11),"x","")</f>
        <v/>
      </c>
    </row>
    <row r="823" spans="1:31" ht="16.5" customHeight="1">
      <c r="A823" s="309" t="str">
        <f>IF(B823&lt;&gt;"",IF(AND(B823='IN-TC'!$S$4,OR(TH!N823="1111",TH!O823="1111")),TH!D823,""),"")</f>
        <v/>
      </c>
      <c r="B823" s="1159">
        <f t="shared" si="119"/>
        <v>12</v>
      </c>
      <c r="C823" s="929">
        <v>43098</v>
      </c>
      <c r="D823" s="929" t="s">
        <v>530</v>
      </c>
      <c r="E823" s="929">
        <v>43098</v>
      </c>
      <c r="F823" s="930" t="s">
        <v>810</v>
      </c>
      <c r="G823" s="931" t="s">
        <v>2858</v>
      </c>
      <c r="H823" s="296" t="s">
        <v>622</v>
      </c>
      <c r="I823" s="371"/>
      <c r="J823" s="932"/>
      <c r="K823" s="371"/>
      <c r="L823" s="377"/>
      <c r="M823" s="933">
        <v>6438250</v>
      </c>
      <c r="N823" s="934" t="s">
        <v>539</v>
      </c>
      <c r="O823" s="934" t="s">
        <v>8</v>
      </c>
      <c r="P823" s="75" t="str">
        <f>IF(AND('331-CT'!$E$7=TH!H823,OR(N823="331",O823="331")),"x","")</f>
        <v/>
      </c>
      <c r="Q823" s="75" t="str">
        <f>IF(AND(B823='111'!$L$11,OR($N823=$Q$7,$O823=$Q$7)),"x","")</f>
        <v/>
      </c>
      <c r="R823" s="75" t="str">
        <f>IF(AND($N823=$Q$7,$B823&lt;'111'!$L$11),"x","")</f>
        <v/>
      </c>
      <c r="S823" s="75" t="str">
        <f>IF(AND($O823=$Q$7,$B823&lt;'111'!$L$11),"x","")</f>
        <v/>
      </c>
      <c r="T823" s="75" t="str">
        <f>IF(ISERROR(FIND('112'!$M$9,G823,1)),"",IF((AND(FIND('112'!$M$9,G823,1)&gt;=1,B823='112'!$K$9,OR($N823='112'!$I$6,$O823='112'!$I$6))),"x",""))</f>
        <v/>
      </c>
      <c r="U823" s="75" t="str">
        <f>IF(ISERROR(FIND('112'!$M$9,G823,1)),"",IF((AND(LEFT(G823,2)=LEFT('112'!$M$9,2),B823&lt;'112'!$K$9,$N823='112'!$I$6)),"x",""))</f>
        <v/>
      </c>
      <c r="V823" s="75" t="str">
        <f>IF(ISERROR(FIND('112'!$M$9,G823,1)),"",IF((AND(RIGHT(G823,2)=RIGHT('112'!$M$9,2),B823&lt;'112'!$K$9,$O823='112'!$I$6)),"x",""))</f>
        <v/>
      </c>
      <c r="W823" s="75" t="str">
        <f>IF(AND('341-CT'!$H$9=H823,OR(LEFT(N823,3)=$W$7,LEFT(O823,3)=$W$7)),"x","")</f>
        <v/>
      </c>
      <c r="X823" s="75" t="str">
        <f>IF(OR(TH!N823=TH!$X$7,O823=TH!$X$7),"x","")</f>
        <v/>
      </c>
      <c r="Y823" s="75" t="str">
        <f>IF(AND(OR(N823="131",O823="131"),H823='131-CT'!$H$9),"x","")</f>
        <v/>
      </c>
      <c r="Z823" s="75"/>
      <c r="AA823" s="75" t="str">
        <f>IF(AND(MONTH(E823)='IN-NX'!$J$5,'IN-NX'!$D$7=D823),"x","")</f>
        <v/>
      </c>
      <c r="AB823" s="75" t="str">
        <f>IF(AND(OR(LEFT(TH!N823,2)="15",LEFT(TH!O823,2)="15"),LEFT(TH!O823,3)&lt;&gt;"111",'152-CT'!$J$8=TH!F823),"x","")</f>
        <v/>
      </c>
      <c r="AC823" s="75" t="str">
        <f>IF(AND(OR(LEFT(TH!N823,2)="15",LEFT(TH!O823,2)="15"),TK!$E$7=TH!F823),"x","")</f>
        <v/>
      </c>
      <c r="AD823" s="75" t="str">
        <f>IF(AND(N823="1521",MONTH(C823)='BK-NL'!$M$11),"x","")</f>
        <v/>
      </c>
      <c r="AE823">
        <v>12</v>
      </c>
    </row>
    <row r="824" spans="1:31" ht="16.5" customHeight="1">
      <c r="A824" s="309" t="str">
        <f>IF(B824&lt;&gt;"",IF(AND(B824='IN-TC'!$S$4,OR(TH!N824="1111",TH!O824="1111")),TH!D824,""),"")</f>
        <v/>
      </c>
      <c r="B824" s="1159">
        <f t="shared" si="119"/>
        <v>12</v>
      </c>
      <c r="C824" s="929">
        <v>43098</v>
      </c>
      <c r="D824" s="929" t="s">
        <v>530</v>
      </c>
      <c r="E824" s="929">
        <v>43098</v>
      </c>
      <c r="F824" s="930" t="s">
        <v>811</v>
      </c>
      <c r="G824" s="931" t="s">
        <v>2858</v>
      </c>
      <c r="H824" s="296" t="s">
        <v>622</v>
      </c>
      <c r="I824" s="371"/>
      <c r="J824" s="932"/>
      <c r="K824" s="371"/>
      <c r="L824" s="377"/>
      <c r="M824" s="933">
        <v>643825</v>
      </c>
      <c r="N824" s="934" t="s">
        <v>9</v>
      </c>
      <c r="O824" s="934" t="s">
        <v>8</v>
      </c>
      <c r="P824" s="75" t="str">
        <f>IF(AND('331-CT'!$E$7=TH!H824,OR(N824="331",O824="331")),"x","")</f>
        <v/>
      </c>
      <c r="Q824" s="75" t="str">
        <f>IF(AND(B824='111'!$L$11,OR($N824=$Q$7,$O824=$Q$7)),"x","")</f>
        <v/>
      </c>
      <c r="R824" s="75" t="str">
        <f>IF(AND($N824=$Q$7,$B824&lt;'111'!$L$11),"x","")</f>
        <v/>
      </c>
      <c r="S824" s="75" t="str">
        <f>IF(AND($O824=$Q$7,$B824&lt;'111'!$L$11),"x","")</f>
        <v/>
      </c>
      <c r="T824" s="75" t="str">
        <f>IF(ISERROR(FIND('112'!$M$9,G824,1)),"",IF((AND(FIND('112'!$M$9,G824,1)&gt;=1,B824='112'!$K$9,OR($N824='112'!$I$6,$O824='112'!$I$6))),"x",""))</f>
        <v/>
      </c>
      <c r="U824" s="75" t="str">
        <f>IF(ISERROR(FIND('112'!$M$9,G824,1)),"",IF((AND(LEFT(G824,2)=LEFT('112'!$M$9,2),B824&lt;'112'!$K$9,$N824='112'!$I$6)),"x",""))</f>
        <v/>
      </c>
      <c r="V824" s="75" t="str">
        <f>IF(ISERROR(FIND('112'!$M$9,G824,1)),"",IF((AND(RIGHT(G824,2)=RIGHT('112'!$M$9,2),B824&lt;'112'!$K$9,$O824='112'!$I$6)),"x",""))</f>
        <v/>
      </c>
      <c r="W824" s="75" t="str">
        <f>IF(AND('341-CT'!$H$9=H824,OR(LEFT(N824,3)=$W$7,LEFT(O824,3)=$W$7)),"x","")</f>
        <v/>
      </c>
      <c r="X824" s="75" t="str">
        <f>IF(OR(TH!N824=TH!$X$7,O824=TH!$X$7),"x","")</f>
        <v/>
      </c>
      <c r="Y824" s="75" t="str">
        <f>IF(AND(OR(N824="131",O824="131"),H824='131-CT'!$H$9),"x","")</f>
        <v/>
      </c>
      <c r="Z824" s="75"/>
      <c r="AA824" s="75" t="str">
        <f>IF(AND(MONTH(E824)='IN-NX'!$J$5,'IN-NX'!$D$7=D824),"x","")</f>
        <v/>
      </c>
      <c r="AB824" s="75" t="str">
        <f>IF(AND(OR(LEFT(TH!N824,2)="15",LEFT(TH!O824,2)="15"),LEFT(TH!O824,3)&lt;&gt;"111",'152-CT'!$J$8=TH!F824),"x","")</f>
        <v/>
      </c>
      <c r="AC824" s="75" t="str">
        <f>IF(AND(OR(LEFT(TH!N824,2)="15",LEFT(TH!O824,2)="15"),TK!$E$7=TH!F824),"x","")</f>
        <v/>
      </c>
      <c r="AD824" s="75" t="str">
        <f>IF(AND(N824="1521",MONTH(C824)='BK-NL'!$M$11),"x","")</f>
        <v/>
      </c>
      <c r="AE824">
        <v>12</v>
      </c>
    </row>
    <row r="825" spans="1:31" ht="16.5" customHeight="1">
      <c r="A825" s="309" t="str">
        <f>IF(B825&lt;&gt;"",IF(AND(B825='IN-TC'!$S$4,OR(TH!N825="1111",TH!O825="1111")),TH!D825,""),"")</f>
        <v/>
      </c>
      <c r="B825" s="1159">
        <f t="shared" ref="B825:B826" si="120">IF(C825&lt;&gt;"",MONTH(C825),"")</f>
        <v>12</v>
      </c>
      <c r="C825" s="929">
        <v>43099</v>
      </c>
      <c r="D825" s="929" t="s">
        <v>530</v>
      </c>
      <c r="E825" s="929">
        <v>43099</v>
      </c>
      <c r="F825" s="930" t="s">
        <v>2882</v>
      </c>
      <c r="G825" s="931" t="s">
        <v>2884</v>
      </c>
      <c r="H825" s="296" t="s">
        <v>622</v>
      </c>
      <c r="I825" s="371"/>
      <c r="J825" s="932"/>
      <c r="K825" s="371"/>
      <c r="L825" s="377"/>
      <c r="M825" s="933">
        <v>2274500</v>
      </c>
      <c r="N825" s="934" t="s">
        <v>539</v>
      </c>
      <c r="O825" s="934" t="s">
        <v>8</v>
      </c>
      <c r="P825" s="75" t="str">
        <f>IF(AND('331-CT'!$E$7=TH!H825,OR(N825="331",O825="331")),"x","")</f>
        <v/>
      </c>
      <c r="Q825" s="75" t="str">
        <f>IF(AND(B825='111'!$L$11,OR($N825=$Q$7,$O825=$Q$7)),"x","")</f>
        <v/>
      </c>
      <c r="R825" s="75" t="str">
        <f>IF(AND($N825=$Q$7,$B825&lt;'111'!$L$11),"x","")</f>
        <v/>
      </c>
      <c r="S825" s="75" t="str">
        <f>IF(AND($O825=$Q$7,$B825&lt;'111'!$L$11),"x","")</f>
        <v/>
      </c>
      <c r="T825" s="75" t="str">
        <f>IF(ISERROR(FIND('112'!$M$9,G825,1)),"",IF((AND(FIND('112'!$M$9,G825,1)&gt;=1,B825='112'!$K$9,OR($N825='112'!$I$6,$O825='112'!$I$6))),"x",""))</f>
        <v/>
      </c>
      <c r="U825" s="75" t="str">
        <f>IF(ISERROR(FIND('112'!$M$9,G825,1)),"",IF((AND(LEFT(G825,2)=LEFT('112'!$M$9,2),B825&lt;'112'!$K$9,$N825='112'!$I$6)),"x",""))</f>
        <v/>
      </c>
      <c r="V825" s="75" t="str">
        <f>IF(ISERROR(FIND('112'!$M$9,G825,1)),"",IF((AND(RIGHT(G825,2)=RIGHT('112'!$M$9,2),B825&lt;'112'!$K$9,$O825='112'!$I$6)),"x",""))</f>
        <v/>
      </c>
      <c r="W825" s="75" t="str">
        <f>IF(AND('341-CT'!$H$9=H825,OR(LEFT(N825,3)=$W$7,LEFT(O825,3)=$W$7)),"x","")</f>
        <v/>
      </c>
      <c r="X825" s="75" t="str">
        <f>IF(OR(TH!N825=TH!$X$7,O825=TH!$X$7),"x","")</f>
        <v/>
      </c>
      <c r="Y825" s="75" t="str">
        <f>IF(AND(OR(N825="131",O825="131"),H825='131-CT'!$H$9),"x","")</f>
        <v/>
      </c>
      <c r="Z825" s="75"/>
      <c r="AA825" s="75" t="str">
        <f>IF(AND(MONTH(E825)='IN-NX'!$J$5,'IN-NX'!$D$7=D825),"x","")</f>
        <v/>
      </c>
      <c r="AB825" s="75" t="str">
        <f>IF(AND(OR(LEFT(TH!N825,2)="15",LEFT(TH!O825,2)="15"),LEFT(TH!O825,3)&lt;&gt;"111",'152-CT'!$J$8=TH!F825),"x","")</f>
        <v/>
      </c>
      <c r="AC825" s="75" t="str">
        <f>IF(AND(OR(LEFT(TH!N825,2)="15",LEFT(TH!O825,2)="15"),TK!$E$7=TH!F825),"x","")</f>
        <v/>
      </c>
      <c r="AD825" s="75" t="str">
        <f>IF(AND(N825="1521",MONTH(C825)='BK-NL'!$M$11),"x","")</f>
        <v/>
      </c>
      <c r="AE825">
        <v>12</v>
      </c>
    </row>
    <row r="826" spans="1:31" ht="16.5" customHeight="1">
      <c r="A826" s="309" t="str">
        <f>IF(B826&lt;&gt;"",IF(AND(B826='IN-TC'!$S$4,OR(TH!N826="1111",TH!O826="1111")),TH!D826,""),"")</f>
        <v/>
      </c>
      <c r="B826" s="1159">
        <f t="shared" si="120"/>
        <v>12</v>
      </c>
      <c r="C826" s="929">
        <v>43099</v>
      </c>
      <c r="D826" s="929" t="s">
        <v>530</v>
      </c>
      <c r="E826" s="929">
        <v>43099</v>
      </c>
      <c r="F826" s="930" t="s">
        <v>2883</v>
      </c>
      <c r="G826" s="931" t="s">
        <v>2884</v>
      </c>
      <c r="H826" s="296" t="s">
        <v>622</v>
      </c>
      <c r="I826" s="371"/>
      <c r="J826" s="932"/>
      <c r="K826" s="371"/>
      <c r="L826" s="377"/>
      <c r="M826" s="933">
        <v>227450</v>
      </c>
      <c r="N826" s="934" t="s">
        <v>9</v>
      </c>
      <c r="O826" s="934" t="s">
        <v>8</v>
      </c>
      <c r="P826" s="75" t="str">
        <f>IF(AND('331-CT'!$E$7=TH!H826,OR(N826="331",O826="331")),"x","")</f>
        <v/>
      </c>
      <c r="Q826" s="75" t="str">
        <f>IF(AND(B826='111'!$L$11,OR($N826=$Q$7,$O826=$Q$7)),"x","")</f>
        <v/>
      </c>
      <c r="R826" s="75" t="str">
        <f>IF(AND($N826=$Q$7,$B826&lt;'111'!$L$11),"x","")</f>
        <v/>
      </c>
      <c r="S826" s="75" t="str">
        <f>IF(AND($O826=$Q$7,$B826&lt;'111'!$L$11),"x","")</f>
        <v/>
      </c>
      <c r="T826" s="75" t="str">
        <f>IF(ISERROR(FIND('112'!$M$9,G826,1)),"",IF((AND(FIND('112'!$M$9,G826,1)&gt;=1,B826='112'!$K$9,OR($N826='112'!$I$6,$O826='112'!$I$6))),"x",""))</f>
        <v/>
      </c>
      <c r="U826" s="75" t="str">
        <f>IF(ISERROR(FIND('112'!$M$9,G826,1)),"",IF((AND(LEFT(G826,2)=LEFT('112'!$M$9,2),B826&lt;'112'!$K$9,$N826='112'!$I$6)),"x",""))</f>
        <v/>
      </c>
      <c r="V826" s="75" t="str">
        <f>IF(ISERROR(FIND('112'!$M$9,G826,1)),"",IF((AND(RIGHT(G826,2)=RIGHT('112'!$M$9,2),B826&lt;'112'!$K$9,$O826='112'!$I$6)),"x",""))</f>
        <v/>
      </c>
      <c r="W826" s="75" t="str">
        <f>IF(AND('341-CT'!$H$9=H826,OR(LEFT(N826,3)=$W$7,LEFT(O826,3)=$W$7)),"x","")</f>
        <v/>
      </c>
      <c r="X826" s="75" t="str">
        <f>IF(OR(TH!N826=TH!$X$7,O826=TH!$X$7),"x","")</f>
        <v/>
      </c>
      <c r="Y826" s="75" t="str">
        <f>IF(AND(OR(N826="131",O826="131"),H826='131-CT'!$H$9),"x","")</f>
        <v/>
      </c>
      <c r="Z826" s="75"/>
      <c r="AA826" s="75" t="str">
        <f>IF(AND(MONTH(E826)='IN-NX'!$J$5,'IN-NX'!$D$7=D826),"x","")</f>
        <v/>
      </c>
      <c r="AB826" s="75" t="str">
        <f>IF(AND(OR(LEFT(TH!N826,2)="15",LEFT(TH!O826,2)="15"),LEFT(TH!O826,3)&lt;&gt;"111",'152-CT'!$J$8=TH!F826),"x","")</f>
        <v/>
      </c>
      <c r="AC826" s="75" t="str">
        <f>IF(AND(OR(LEFT(TH!N826,2)="15",LEFT(TH!O826,2)="15"),TK!$E$7=TH!F826),"x","")</f>
        <v/>
      </c>
      <c r="AD826" s="75" t="str">
        <f>IF(AND(N826="1521",MONTH(C826)='BK-NL'!$M$11),"x","")</f>
        <v/>
      </c>
      <c r="AE826">
        <v>12</v>
      </c>
    </row>
    <row r="827" spans="1:31" ht="16.5" customHeight="1">
      <c r="A827" s="309" t="str">
        <f>IF(B827&lt;&gt;"",IF(AND(B827='IN-TC'!$S$4,OR(TH!N827="1111",TH!O827="1111")),TH!D827,""),"")</f>
        <v/>
      </c>
      <c r="B827" s="1159">
        <f t="shared" si="119"/>
        <v>12</v>
      </c>
      <c r="C827" s="929">
        <v>43098</v>
      </c>
      <c r="D827" s="929" t="s">
        <v>530</v>
      </c>
      <c r="E827" s="929">
        <f t="shared" ref="E827:E829" si="121">C827</f>
        <v>43098</v>
      </c>
      <c r="F827" s="930" t="s">
        <v>1192</v>
      </c>
      <c r="G827" s="931" t="s">
        <v>2860</v>
      </c>
      <c r="H827" s="73" t="s">
        <v>755</v>
      </c>
      <c r="I827" s="371"/>
      <c r="J827" s="932"/>
      <c r="K827" s="371"/>
      <c r="L827" s="377"/>
      <c r="M827" s="933">
        <v>20015600</v>
      </c>
      <c r="N827" s="934" t="s">
        <v>539</v>
      </c>
      <c r="O827" s="934" t="s">
        <v>8</v>
      </c>
      <c r="P827" s="75" t="str">
        <f>IF(AND('331-CT'!$E$7=TH!H827,OR(N827="331",O827="331")),"x","")</f>
        <v/>
      </c>
      <c r="Q827" s="75" t="str">
        <f>IF(AND(B827='111'!$L$11,OR($N827=$Q$7,$O827=$Q$7)),"x","")</f>
        <v/>
      </c>
      <c r="R827" s="75" t="str">
        <f>IF(AND($N827=$Q$7,$B827&lt;'111'!$L$11),"x","")</f>
        <v/>
      </c>
      <c r="S827" s="75" t="str">
        <f>IF(AND($O827=$Q$7,$B827&lt;'111'!$L$11),"x","")</f>
        <v/>
      </c>
      <c r="T827" s="75" t="str">
        <f>IF(ISERROR(FIND('112'!$M$9,G827,1)),"",IF((AND(FIND('112'!$M$9,G827,1)&gt;=1,B827='112'!$K$9,OR($N827='112'!$I$6,$O827='112'!$I$6))),"x",""))</f>
        <v/>
      </c>
      <c r="U827" s="75" t="str">
        <f>IF(ISERROR(FIND('112'!$M$9,G827,1)),"",IF((AND(LEFT(G827,2)=LEFT('112'!$M$9,2),B827&lt;'112'!$K$9,$N827='112'!$I$6)),"x",""))</f>
        <v/>
      </c>
      <c r="V827" s="75" t="str">
        <f>IF(ISERROR(FIND('112'!$M$9,G827,1)),"",IF((AND(RIGHT(G827,2)=RIGHT('112'!$M$9,2),B827&lt;'112'!$K$9,$O827='112'!$I$6)),"x",""))</f>
        <v/>
      </c>
      <c r="W827" s="75" t="str">
        <f>IF(AND('341-CT'!$H$9=H827,OR(LEFT(N827,3)=$W$7,LEFT(O827,3)=$W$7)),"x","")</f>
        <v/>
      </c>
      <c r="X827" s="75" t="str">
        <f>IF(OR(TH!N827=TH!$X$7,O827=TH!$X$7),"x","")</f>
        <v/>
      </c>
      <c r="Y827" s="75" t="str">
        <f>IF(AND(OR(N827="131",O827="131"),H827='131-CT'!$H$9),"x","")</f>
        <v/>
      </c>
      <c r="Z827" s="75"/>
      <c r="AA827" s="75" t="str">
        <f>IF(AND(MONTH(E827)='IN-NX'!$J$5,'IN-NX'!$D$7=D827),"x","")</f>
        <v/>
      </c>
      <c r="AB827" s="75" t="str">
        <f>IF(AND(OR(LEFT(TH!N827,2)="15",LEFT(TH!O827,2)="15"),LEFT(TH!O827,3)&lt;&gt;"111",'152-CT'!$J$8=TH!F827),"x","")</f>
        <v/>
      </c>
      <c r="AC827" s="75" t="str">
        <f>IF(AND(OR(LEFT(TH!N827,2)="15",LEFT(TH!O827,2)="15"),TK!$E$7=TH!F827),"x","")</f>
        <v/>
      </c>
      <c r="AD827" s="75" t="str">
        <f>IF(AND(N827="1521",MONTH(C827)='BK-NL'!$M$11),"x","")</f>
        <v/>
      </c>
    </row>
    <row r="828" spans="1:31" ht="16.5" customHeight="1">
      <c r="A828" s="309" t="str">
        <f>IF(B828&lt;&gt;"",IF(AND(B828='IN-TC'!$S$4,OR(TH!N828="1111",TH!O828="1111")),TH!D828,""),"")</f>
        <v/>
      </c>
      <c r="B828" s="1159">
        <f t="shared" si="119"/>
        <v>12</v>
      </c>
      <c r="C828" s="929">
        <v>43098</v>
      </c>
      <c r="D828" s="929" t="s">
        <v>530</v>
      </c>
      <c r="E828" s="929">
        <f t="shared" si="121"/>
        <v>43098</v>
      </c>
      <c r="F828" s="930" t="s">
        <v>823</v>
      </c>
      <c r="G828" s="931" t="s">
        <v>2861</v>
      </c>
      <c r="H828" s="73" t="s">
        <v>755</v>
      </c>
      <c r="I828" s="371"/>
      <c r="J828" s="932"/>
      <c r="K828" s="371"/>
      <c r="L828" s="377"/>
      <c r="M828" s="933">
        <v>4862335</v>
      </c>
      <c r="N828" s="934" t="s">
        <v>539</v>
      </c>
      <c r="O828" s="934" t="s">
        <v>8</v>
      </c>
      <c r="P828" s="75" t="str">
        <f>IF(AND('331-CT'!$E$7=TH!H828,OR(N828="331",O828="331")),"x","")</f>
        <v/>
      </c>
      <c r="Q828" s="75" t="str">
        <f>IF(AND(B828='111'!$L$11,OR($N828=$Q$7,$O828=$Q$7)),"x","")</f>
        <v/>
      </c>
      <c r="R828" s="75" t="str">
        <f>IF(AND($N828=$Q$7,$B828&lt;'111'!$L$11),"x","")</f>
        <v/>
      </c>
      <c r="S828" s="75" t="str">
        <f>IF(AND($O828=$Q$7,$B828&lt;'111'!$L$11),"x","")</f>
        <v/>
      </c>
      <c r="T828" s="75" t="str">
        <f>IF(ISERROR(FIND('112'!$M$9,G828,1)),"",IF((AND(FIND('112'!$M$9,G828,1)&gt;=1,B828='112'!$K$9,OR($N828='112'!$I$6,$O828='112'!$I$6))),"x",""))</f>
        <v/>
      </c>
      <c r="U828" s="75" t="str">
        <f>IF(ISERROR(FIND('112'!$M$9,G828,1)),"",IF((AND(LEFT(G828,2)=LEFT('112'!$M$9,2),B828&lt;'112'!$K$9,$N828='112'!$I$6)),"x",""))</f>
        <v/>
      </c>
      <c r="V828" s="75" t="str">
        <f>IF(ISERROR(FIND('112'!$M$9,G828,1)),"",IF((AND(RIGHT(G828,2)=RIGHT('112'!$M$9,2),B828&lt;'112'!$K$9,$O828='112'!$I$6)),"x",""))</f>
        <v/>
      </c>
      <c r="W828" s="75" t="str">
        <f>IF(AND('341-CT'!$H$9=H828,OR(LEFT(N828,3)=$W$7,LEFT(O828,3)=$W$7)),"x","")</f>
        <v/>
      </c>
      <c r="X828" s="75" t="str">
        <f>IF(OR(TH!N828=TH!$X$7,O828=TH!$X$7),"x","")</f>
        <v/>
      </c>
      <c r="Y828" s="75" t="str">
        <f>IF(AND(OR(N828="131",O828="131"),H828='131-CT'!$H$9),"x","")</f>
        <v/>
      </c>
      <c r="Z828" s="75"/>
      <c r="AA828" s="75" t="str">
        <f>IF(AND(MONTH(E828)='IN-NX'!$J$5,'IN-NX'!$D$7=D828),"x","")</f>
        <v/>
      </c>
      <c r="AB828" s="75" t="str">
        <f>IF(AND(OR(LEFT(TH!N828,2)="15",LEFT(TH!O828,2)="15"),LEFT(TH!O828,3)&lt;&gt;"111",'152-CT'!$J$8=TH!F828),"x","")</f>
        <v/>
      </c>
      <c r="AC828" s="75" t="str">
        <f>IF(AND(OR(LEFT(TH!N828,2)="15",LEFT(TH!O828,2)="15"),TK!$E$7=TH!F828),"x","")</f>
        <v/>
      </c>
      <c r="AD828" s="75" t="str">
        <f>IF(AND(N828="1521",MONTH(C828)='BK-NL'!$M$11),"x","")</f>
        <v/>
      </c>
      <c r="AE828">
        <v>12</v>
      </c>
    </row>
    <row r="829" spans="1:31" ht="16.5" customHeight="1">
      <c r="A829" s="309" t="str">
        <f>IF(B829&lt;&gt;"",IF(AND(B829='IN-TC'!$S$4,OR(TH!N829="1111",TH!O829="1111")),TH!D829,""),"")</f>
        <v/>
      </c>
      <c r="B829" s="1159">
        <f t="shared" si="119"/>
        <v>12</v>
      </c>
      <c r="C829" s="929">
        <v>43098</v>
      </c>
      <c r="D829" s="929" t="s">
        <v>530</v>
      </c>
      <c r="E829" s="929">
        <f t="shared" si="121"/>
        <v>43098</v>
      </c>
      <c r="F829" s="930" t="s">
        <v>824</v>
      </c>
      <c r="G829" s="931" t="s">
        <v>2861</v>
      </c>
      <c r="H829" s="73" t="s">
        <v>755</v>
      </c>
      <c r="I829" s="371"/>
      <c r="J829" s="932"/>
      <c r="K829" s="371"/>
      <c r="L829" s="377"/>
      <c r="M829" s="933">
        <v>486234</v>
      </c>
      <c r="N829" s="934" t="s">
        <v>9</v>
      </c>
      <c r="O829" s="934" t="s">
        <v>8</v>
      </c>
      <c r="P829" s="75" t="str">
        <f>IF(AND('331-CT'!$E$7=TH!H829,OR(N829="331",O829="331")),"x","")</f>
        <v/>
      </c>
      <c r="Q829" s="75" t="str">
        <f>IF(AND(B829='111'!$L$11,OR($N829=$Q$7,$O829=$Q$7)),"x","")</f>
        <v/>
      </c>
      <c r="R829" s="75" t="str">
        <f>IF(AND($N829=$Q$7,$B829&lt;'111'!$L$11),"x","")</f>
        <v/>
      </c>
      <c r="S829" s="75" t="str">
        <f>IF(AND($O829=$Q$7,$B829&lt;'111'!$L$11),"x","")</f>
        <v/>
      </c>
      <c r="T829" s="75" t="str">
        <f>IF(ISERROR(FIND('112'!$M$9,G829,1)),"",IF((AND(FIND('112'!$M$9,G829,1)&gt;=1,B829='112'!$K$9,OR($N829='112'!$I$6,$O829='112'!$I$6))),"x",""))</f>
        <v/>
      </c>
      <c r="U829" s="75" t="str">
        <f>IF(ISERROR(FIND('112'!$M$9,G829,1)),"",IF((AND(LEFT(G829,2)=LEFT('112'!$M$9,2),B829&lt;'112'!$K$9,$N829='112'!$I$6)),"x",""))</f>
        <v/>
      </c>
      <c r="V829" s="75" t="str">
        <f>IF(ISERROR(FIND('112'!$M$9,G829,1)),"",IF((AND(RIGHT(G829,2)=RIGHT('112'!$M$9,2),B829&lt;'112'!$K$9,$O829='112'!$I$6)),"x",""))</f>
        <v/>
      </c>
      <c r="W829" s="75" t="str">
        <f>IF(AND('341-CT'!$H$9=H829,OR(LEFT(N829,3)=$W$7,LEFT(O829,3)=$W$7)),"x","")</f>
        <v/>
      </c>
      <c r="X829" s="75" t="str">
        <f>IF(OR(TH!N829=TH!$X$7,O829=TH!$X$7),"x","")</f>
        <v/>
      </c>
      <c r="Y829" s="75" t="str">
        <f>IF(AND(OR(N829="131",O829="131"),H829='131-CT'!$H$9),"x","")</f>
        <v/>
      </c>
      <c r="Z829" s="75"/>
      <c r="AA829" s="75" t="str">
        <f>IF(AND(MONTH(E829)='IN-NX'!$J$5,'IN-NX'!$D$7=D829),"x","")</f>
        <v/>
      </c>
      <c r="AB829" s="75" t="str">
        <f>IF(AND(OR(LEFT(TH!N829,2)="15",LEFT(TH!O829,2)="15"),LEFT(TH!O829,3)&lt;&gt;"111",'152-CT'!$J$8=TH!F829),"x","")</f>
        <v/>
      </c>
      <c r="AC829" s="75" t="str">
        <f>IF(AND(OR(LEFT(TH!N829,2)="15",LEFT(TH!O829,2)="15"),TK!$E$7=TH!F829),"x","")</f>
        <v/>
      </c>
      <c r="AD829" s="75" t="str">
        <f>IF(AND(N829="1521",MONTH(C829)='BK-NL'!$M$11),"x","")</f>
        <v/>
      </c>
      <c r="AE829">
        <v>12</v>
      </c>
    </row>
    <row r="830" spans="1:31" ht="16.5" customHeight="1">
      <c r="A830" s="309" t="str">
        <f>IF(B830&lt;&gt;"",IF(AND(B830='IN-TC'!$S$4,OR(TH!N830="1111",TH!O830="1111")),TH!D830,""),"")</f>
        <v/>
      </c>
      <c r="B830" s="1159">
        <f t="shared" ref="B830:B832" si="122">IF(C830&lt;&gt;"",MONTH(C830),"")</f>
        <v>12</v>
      </c>
      <c r="C830" s="929">
        <v>43098</v>
      </c>
      <c r="D830" s="929" t="s">
        <v>530</v>
      </c>
      <c r="E830" s="929">
        <f t="shared" ref="E830:E832" si="123">C830</f>
        <v>43098</v>
      </c>
      <c r="F830" s="930" t="s">
        <v>823</v>
      </c>
      <c r="G830" s="931" t="s">
        <v>2862</v>
      </c>
      <c r="H830" s="73" t="s">
        <v>755</v>
      </c>
      <c r="I830" s="371"/>
      <c r="J830" s="932"/>
      <c r="K830" s="371"/>
      <c r="L830" s="377"/>
      <c r="M830" s="933">
        <v>4179985</v>
      </c>
      <c r="N830" s="934" t="s">
        <v>539</v>
      </c>
      <c r="O830" s="934" t="s">
        <v>8</v>
      </c>
      <c r="P830" s="75" t="str">
        <f>IF(AND('331-CT'!$E$7=TH!H830,OR(N830="331",O830="331")),"x","")</f>
        <v/>
      </c>
      <c r="Q830" s="75" t="str">
        <f>IF(AND(B830='111'!$L$11,OR($N830=$Q$7,$O830=$Q$7)),"x","")</f>
        <v/>
      </c>
      <c r="R830" s="75" t="str">
        <f>IF(AND($N830=$Q$7,$B830&lt;'111'!$L$11),"x","")</f>
        <v/>
      </c>
      <c r="S830" s="75" t="str">
        <f>IF(AND($O830=$Q$7,$B830&lt;'111'!$L$11),"x","")</f>
        <v/>
      </c>
      <c r="T830" s="75" t="str">
        <f>IF(ISERROR(FIND('112'!$M$9,G830,1)),"",IF((AND(FIND('112'!$M$9,G830,1)&gt;=1,B830='112'!$K$9,OR($N830='112'!$I$6,$O830='112'!$I$6))),"x",""))</f>
        <v/>
      </c>
      <c r="U830" s="75" t="str">
        <f>IF(ISERROR(FIND('112'!$M$9,G830,1)),"",IF((AND(LEFT(G830,2)=LEFT('112'!$M$9,2),B830&lt;'112'!$K$9,$N830='112'!$I$6)),"x",""))</f>
        <v/>
      </c>
      <c r="V830" s="75" t="str">
        <f>IF(ISERROR(FIND('112'!$M$9,G830,1)),"",IF((AND(RIGHT(G830,2)=RIGHT('112'!$M$9,2),B830&lt;'112'!$K$9,$O830='112'!$I$6)),"x",""))</f>
        <v/>
      </c>
      <c r="W830" s="75" t="str">
        <f>IF(AND('341-CT'!$H$9=H830,OR(LEFT(N830,3)=$W$7,LEFT(O830,3)=$W$7)),"x","")</f>
        <v/>
      </c>
      <c r="X830" s="75" t="str">
        <f>IF(OR(TH!N830=TH!$X$7,O830=TH!$X$7),"x","")</f>
        <v/>
      </c>
      <c r="Y830" s="75" t="str">
        <f>IF(AND(OR(N830="131",O830="131"),H830='131-CT'!$H$9),"x","")</f>
        <v/>
      </c>
      <c r="Z830" s="75"/>
      <c r="AA830" s="75" t="str">
        <f>IF(AND(MONTH(E830)='IN-NX'!$J$5,'IN-NX'!$D$7=D830),"x","")</f>
        <v/>
      </c>
      <c r="AB830" s="75" t="str">
        <f>IF(AND(OR(LEFT(TH!N830,2)="15",LEFT(TH!O830,2)="15"),LEFT(TH!O830,3)&lt;&gt;"111",'152-CT'!$J$8=TH!F830),"x","")</f>
        <v/>
      </c>
      <c r="AC830" s="75" t="str">
        <f>IF(AND(OR(LEFT(TH!N830,2)="15",LEFT(TH!O830,2)="15"),TK!$E$7=TH!F830),"x","")</f>
        <v/>
      </c>
      <c r="AD830" s="75" t="str">
        <f>IF(AND(N830="1521",MONTH(C830)='BK-NL'!$M$11),"x","")</f>
        <v/>
      </c>
      <c r="AE830">
        <v>12</v>
      </c>
    </row>
    <row r="831" spans="1:31" ht="16.5" customHeight="1">
      <c r="A831" s="309" t="str">
        <f>IF(B831&lt;&gt;"",IF(AND(B831='IN-TC'!$S$4,OR(TH!N831="1111",TH!O831="1111")),TH!D831,""),"")</f>
        <v/>
      </c>
      <c r="B831" s="1159">
        <f t="shared" si="122"/>
        <v>12</v>
      </c>
      <c r="C831" s="929">
        <v>43098</v>
      </c>
      <c r="D831" s="929" t="s">
        <v>530</v>
      </c>
      <c r="E831" s="929">
        <f t="shared" si="123"/>
        <v>43098</v>
      </c>
      <c r="F831" s="930" t="s">
        <v>824</v>
      </c>
      <c r="G831" s="931" t="s">
        <v>2862</v>
      </c>
      <c r="H831" s="73" t="s">
        <v>755</v>
      </c>
      <c r="I831" s="371"/>
      <c r="J831" s="932"/>
      <c r="K831" s="371"/>
      <c r="L831" s="377"/>
      <c r="M831" s="933">
        <v>417999</v>
      </c>
      <c r="N831" s="934" t="s">
        <v>9</v>
      </c>
      <c r="O831" s="934" t="s">
        <v>8</v>
      </c>
      <c r="P831" s="75" t="str">
        <f>IF(AND('331-CT'!$E$7=TH!H831,OR(N831="331",O831="331")),"x","")</f>
        <v/>
      </c>
      <c r="Q831" s="75" t="str">
        <f>IF(AND(B831='111'!$L$11,OR($N831=$Q$7,$O831=$Q$7)),"x","")</f>
        <v/>
      </c>
      <c r="R831" s="75" t="str">
        <f>IF(AND($N831=$Q$7,$B831&lt;'111'!$L$11),"x","")</f>
        <v/>
      </c>
      <c r="S831" s="75" t="str">
        <f>IF(AND($O831=$Q$7,$B831&lt;'111'!$L$11),"x","")</f>
        <v/>
      </c>
      <c r="T831" s="75" t="str">
        <f>IF(ISERROR(FIND('112'!$M$9,G831,1)),"",IF((AND(FIND('112'!$M$9,G831,1)&gt;=1,B831='112'!$K$9,OR($N831='112'!$I$6,$O831='112'!$I$6))),"x",""))</f>
        <v/>
      </c>
      <c r="U831" s="75" t="str">
        <f>IF(ISERROR(FIND('112'!$M$9,G831,1)),"",IF((AND(LEFT(G831,2)=LEFT('112'!$M$9,2),B831&lt;'112'!$K$9,$N831='112'!$I$6)),"x",""))</f>
        <v/>
      </c>
      <c r="V831" s="75" t="str">
        <f>IF(ISERROR(FIND('112'!$M$9,G831,1)),"",IF((AND(RIGHT(G831,2)=RIGHT('112'!$M$9,2),B831&lt;'112'!$K$9,$O831='112'!$I$6)),"x",""))</f>
        <v/>
      </c>
      <c r="W831" s="75" t="str">
        <f>IF(AND('341-CT'!$H$9=H831,OR(LEFT(N831,3)=$W$7,LEFT(O831,3)=$W$7)),"x","")</f>
        <v/>
      </c>
      <c r="X831" s="75" t="str">
        <f>IF(OR(TH!N831=TH!$X$7,O831=TH!$X$7),"x","")</f>
        <v/>
      </c>
      <c r="Y831" s="75" t="str">
        <f>IF(AND(OR(N831="131",O831="131"),H831='131-CT'!$H$9),"x","")</f>
        <v/>
      </c>
      <c r="Z831" s="75"/>
      <c r="AA831" s="75" t="str">
        <f>IF(AND(MONTH(E831)='IN-NX'!$J$5,'IN-NX'!$D$7=D831),"x","")</f>
        <v/>
      </c>
      <c r="AB831" s="75" t="str">
        <f>IF(AND(OR(LEFT(TH!N831,2)="15",LEFT(TH!O831,2)="15"),LEFT(TH!O831,3)&lt;&gt;"111",'152-CT'!$J$8=TH!F831),"x","")</f>
        <v/>
      </c>
      <c r="AC831" s="75" t="str">
        <f>IF(AND(OR(LEFT(TH!N831,2)="15",LEFT(TH!O831,2)="15"),TK!$E$7=TH!F831),"x","")</f>
        <v/>
      </c>
      <c r="AD831" s="75" t="str">
        <f>IF(AND(N831="1521",MONTH(C831)='BK-NL'!$M$11),"x","")</f>
        <v/>
      </c>
      <c r="AE831">
        <v>12</v>
      </c>
    </row>
    <row r="832" spans="1:31" ht="16.5" customHeight="1">
      <c r="A832" s="309" t="str">
        <f>IF(B832&lt;&gt;"",IF(AND(B832='IN-TC'!$S$4,OR(TH!N832="1111",TH!O832="1111")),TH!D832,""),"")</f>
        <v/>
      </c>
      <c r="B832" s="1159">
        <f t="shared" si="122"/>
        <v>12</v>
      </c>
      <c r="C832" s="929">
        <v>43098</v>
      </c>
      <c r="D832" s="929" t="s">
        <v>530</v>
      </c>
      <c r="E832" s="929">
        <f t="shared" si="123"/>
        <v>43098</v>
      </c>
      <c r="F832" s="930" t="s">
        <v>1192</v>
      </c>
      <c r="G832" s="931" t="s">
        <v>2863</v>
      </c>
      <c r="H832" s="73" t="s">
        <v>755</v>
      </c>
      <c r="I832" s="371"/>
      <c r="J832" s="932"/>
      <c r="K832" s="371"/>
      <c r="L832" s="377"/>
      <c r="M832" s="933">
        <v>7960750</v>
      </c>
      <c r="N832" s="934" t="s">
        <v>539</v>
      </c>
      <c r="O832" s="934" t="s">
        <v>8</v>
      </c>
      <c r="P832" s="75" t="str">
        <f>IF(AND('331-CT'!$E$7=TH!H832,OR(N832="331",O832="331")),"x","")</f>
        <v/>
      </c>
      <c r="Q832" s="75" t="str">
        <f>IF(AND(B832='111'!$L$11,OR($N832=$Q$7,$O832=$Q$7)),"x","")</f>
        <v/>
      </c>
      <c r="R832" s="75" t="str">
        <f>IF(AND($N832=$Q$7,$B832&lt;'111'!$L$11),"x","")</f>
        <v/>
      </c>
      <c r="S832" s="75" t="str">
        <f>IF(AND($O832=$Q$7,$B832&lt;'111'!$L$11),"x","")</f>
        <v/>
      </c>
      <c r="T832" s="75" t="str">
        <f>IF(ISERROR(FIND('112'!$M$9,G832,1)),"",IF((AND(FIND('112'!$M$9,G832,1)&gt;=1,B832='112'!$K$9,OR($N832='112'!$I$6,$O832='112'!$I$6))),"x",""))</f>
        <v/>
      </c>
      <c r="U832" s="75" t="str">
        <f>IF(ISERROR(FIND('112'!$M$9,G832,1)),"",IF((AND(LEFT(G832,2)=LEFT('112'!$M$9,2),B832&lt;'112'!$K$9,$N832='112'!$I$6)),"x",""))</f>
        <v/>
      </c>
      <c r="V832" s="75" t="str">
        <f>IF(ISERROR(FIND('112'!$M$9,G832,1)),"",IF((AND(RIGHT(G832,2)=RIGHT('112'!$M$9,2),B832&lt;'112'!$K$9,$O832='112'!$I$6)),"x",""))</f>
        <v/>
      </c>
      <c r="W832" s="75" t="str">
        <f>IF(AND('341-CT'!$H$9=H832,OR(LEFT(N832,3)=$W$7,LEFT(O832,3)=$W$7)),"x","")</f>
        <v/>
      </c>
      <c r="X832" s="75" t="str">
        <f>IF(OR(TH!N832=TH!$X$7,O832=TH!$X$7),"x","")</f>
        <v/>
      </c>
      <c r="Y832" s="75" t="str">
        <f>IF(AND(OR(N832="131",O832="131"),H832='131-CT'!$H$9),"x","")</f>
        <v/>
      </c>
      <c r="Z832" s="75"/>
      <c r="AA832" s="75" t="str">
        <f>IF(AND(MONTH(E832)='IN-NX'!$J$5,'IN-NX'!$D$7=D832),"x","")</f>
        <v/>
      </c>
      <c r="AB832" s="75" t="str">
        <f>IF(AND(OR(LEFT(TH!N832,2)="15",LEFT(TH!O832,2)="15"),LEFT(TH!O832,3)&lt;&gt;"111",'152-CT'!$J$8=TH!F832),"x","")</f>
        <v/>
      </c>
      <c r="AC832" s="75" t="str">
        <f>IF(AND(OR(LEFT(TH!N832,2)="15",LEFT(TH!O832,2)="15"),TK!$E$7=TH!F832),"x","")</f>
        <v/>
      </c>
      <c r="AD832" s="75" t="str">
        <f>IF(AND(N832="1521",MONTH(C832)='BK-NL'!$M$11),"x","")</f>
        <v/>
      </c>
    </row>
    <row r="833" spans="1:31" ht="16.5" customHeight="1">
      <c r="A833" s="309" t="str">
        <f>IF(B833&lt;&gt;"",IF(AND(B833='IN-TC'!$S$4,OR(TH!N833="1111",TH!O833="1111")),TH!D833,""),"")</f>
        <v/>
      </c>
      <c r="B833" s="1159">
        <f t="shared" ref="B833:B838" si="124">IF(C833&lt;&gt;"",MONTH(C833),"")</f>
        <v>12</v>
      </c>
      <c r="C833" s="929">
        <v>43098</v>
      </c>
      <c r="D833" s="929" t="s">
        <v>530</v>
      </c>
      <c r="E833" s="929">
        <f t="shared" ref="E833:E838" si="125">C833</f>
        <v>43098</v>
      </c>
      <c r="F833" s="930" t="s">
        <v>1192</v>
      </c>
      <c r="G833" s="931" t="s">
        <v>2864</v>
      </c>
      <c r="H833" s="73" t="s">
        <v>755</v>
      </c>
      <c r="I833" s="371"/>
      <c r="J833" s="932"/>
      <c r="K833" s="371"/>
      <c r="L833" s="377"/>
      <c r="M833" s="933">
        <v>7960750</v>
      </c>
      <c r="N833" s="934" t="s">
        <v>539</v>
      </c>
      <c r="O833" s="934" t="s">
        <v>8</v>
      </c>
      <c r="P833" s="75" t="str">
        <f>IF(AND('331-CT'!$E$7=TH!H833,OR(N833="331",O833="331")),"x","")</f>
        <v/>
      </c>
      <c r="Q833" s="75" t="str">
        <f>IF(AND(B833='111'!$L$11,OR($N833=$Q$7,$O833=$Q$7)),"x","")</f>
        <v/>
      </c>
      <c r="R833" s="75" t="str">
        <f>IF(AND($N833=$Q$7,$B833&lt;'111'!$L$11),"x","")</f>
        <v/>
      </c>
      <c r="S833" s="75" t="str">
        <f>IF(AND($O833=$Q$7,$B833&lt;'111'!$L$11),"x","")</f>
        <v/>
      </c>
      <c r="T833" s="75" t="str">
        <f>IF(ISERROR(FIND('112'!$M$9,G833,1)),"",IF((AND(FIND('112'!$M$9,G833,1)&gt;=1,B833='112'!$K$9,OR($N833='112'!$I$6,$O833='112'!$I$6))),"x",""))</f>
        <v/>
      </c>
      <c r="U833" s="75" t="str">
        <f>IF(ISERROR(FIND('112'!$M$9,G833,1)),"",IF((AND(LEFT(G833,2)=LEFT('112'!$M$9,2),B833&lt;'112'!$K$9,$N833='112'!$I$6)),"x",""))</f>
        <v/>
      </c>
      <c r="V833" s="75" t="str">
        <f>IF(ISERROR(FIND('112'!$M$9,G833,1)),"",IF((AND(RIGHT(G833,2)=RIGHT('112'!$M$9,2),B833&lt;'112'!$K$9,$O833='112'!$I$6)),"x",""))</f>
        <v/>
      </c>
      <c r="W833" s="75" t="str">
        <f>IF(AND('341-CT'!$H$9=H833,OR(LEFT(N833,3)=$W$7,LEFT(O833,3)=$W$7)),"x","")</f>
        <v/>
      </c>
      <c r="X833" s="75" t="str">
        <f>IF(OR(TH!N833=TH!$X$7,O833=TH!$X$7),"x","")</f>
        <v/>
      </c>
      <c r="Y833" s="75" t="str">
        <f>IF(AND(OR(N833="131",O833="131"),H833='131-CT'!$H$9),"x","")</f>
        <v/>
      </c>
      <c r="Z833" s="75"/>
      <c r="AA833" s="75" t="str">
        <f>IF(AND(MONTH(E833)='IN-NX'!$J$5,'IN-NX'!$D$7=D833),"x","")</f>
        <v/>
      </c>
      <c r="AB833" s="75" t="str">
        <f>IF(AND(OR(LEFT(TH!N833,2)="15",LEFT(TH!O833,2)="15"),LEFT(TH!O833,3)&lt;&gt;"111",'152-CT'!$J$8=TH!F833),"x","")</f>
        <v/>
      </c>
      <c r="AC833" s="75" t="str">
        <f>IF(AND(OR(LEFT(TH!N833,2)="15",LEFT(TH!O833,2)="15"),TK!$E$7=TH!F833),"x","")</f>
        <v/>
      </c>
      <c r="AD833" s="75" t="str">
        <f>IF(AND(N833="1521",MONTH(C833)='BK-NL'!$M$11),"x","")</f>
        <v/>
      </c>
    </row>
    <row r="834" spans="1:31" ht="16.5" customHeight="1">
      <c r="A834" s="309" t="str">
        <f>IF(B834&lt;&gt;"",IF(AND(B834='IN-TC'!$S$4,OR(TH!N834="1111",TH!O834="1111")),TH!D834,""),"")</f>
        <v/>
      </c>
      <c r="B834" s="1159">
        <f t="shared" si="124"/>
        <v>12</v>
      </c>
      <c r="C834" s="929">
        <v>43098</v>
      </c>
      <c r="D834" s="929" t="s">
        <v>530</v>
      </c>
      <c r="E834" s="929">
        <f t="shared" si="125"/>
        <v>43098</v>
      </c>
      <c r="F834" s="930" t="s">
        <v>823</v>
      </c>
      <c r="G834" s="931" t="s">
        <v>2865</v>
      </c>
      <c r="H834" s="73" t="s">
        <v>755</v>
      </c>
      <c r="I834" s="371"/>
      <c r="J834" s="932"/>
      <c r="K834" s="371"/>
      <c r="L834" s="377"/>
      <c r="M834" s="933">
        <v>4179985</v>
      </c>
      <c r="N834" s="934" t="s">
        <v>539</v>
      </c>
      <c r="O834" s="934" t="s">
        <v>8</v>
      </c>
      <c r="P834" s="75" t="str">
        <f>IF(AND('331-CT'!$E$7=TH!H834,OR(N834="331",O834="331")),"x","")</f>
        <v/>
      </c>
      <c r="Q834" s="75" t="str">
        <f>IF(AND(B834='111'!$L$11,OR($N834=$Q$7,$O834=$Q$7)),"x","")</f>
        <v/>
      </c>
      <c r="R834" s="75" t="str">
        <f>IF(AND($N834=$Q$7,$B834&lt;'111'!$L$11),"x","")</f>
        <v/>
      </c>
      <c r="S834" s="75" t="str">
        <f>IF(AND($O834=$Q$7,$B834&lt;'111'!$L$11),"x","")</f>
        <v/>
      </c>
      <c r="T834" s="75" t="str">
        <f>IF(ISERROR(FIND('112'!$M$9,G834,1)),"",IF((AND(FIND('112'!$M$9,G834,1)&gt;=1,B834='112'!$K$9,OR($N834='112'!$I$6,$O834='112'!$I$6))),"x",""))</f>
        <v/>
      </c>
      <c r="U834" s="75" t="str">
        <f>IF(ISERROR(FIND('112'!$M$9,G834,1)),"",IF((AND(LEFT(G834,2)=LEFT('112'!$M$9,2),B834&lt;'112'!$K$9,$N834='112'!$I$6)),"x",""))</f>
        <v/>
      </c>
      <c r="V834" s="75" t="str">
        <f>IF(ISERROR(FIND('112'!$M$9,G834,1)),"",IF((AND(RIGHT(G834,2)=RIGHT('112'!$M$9,2),B834&lt;'112'!$K$9,$O834='112'!$I$6)),"x",""))</f>
        <v/>
      </c>
      <c r="W834" s="75" t="str">
        <f>IF(AND('341-CT'!$H$9=H834,OR(LEFT(N834,3)=$W$7,LEFT(O834,3)=$W$7)),"x","")</f>
        <v/>
      </c>
      <c r="X834" s="75" t="str">
        <f>IF(OR(TH!N834=TH!$X$7,O834=TH!$X$7),"x","")</f>
        <v/>
      </c>
      <c r="Y834" s="75" t="str">
        <f>IF(AND(OR(N834="131",O834="131"),H834='131-CT'!$H$9),"x","")</f>
        <v/>
      </c>
      <c r="Z834" s="75"/>
      <c r="AA834" s="75" t="str">
        <f>IF(AND(MONTH(E834)='IN-NX'!$J$5,'IN-NX'!$D$7=D834),"x","")</f>
        <v/>
      </c>
      <c r="AB834" s="75" t="str">
        <f>IF(AND(OR(LEFT(TH!N834,2)="15",LEFT(TH!O834,2)="15"),LEFT(TH!O834,3)&lt;&gt;"111",'152-CT'!$J$8=TH!F834),"x","")</f>
        <v/>
      </c>
      <c r="AC834" s="75" t="str">
        <f>IF(AND(OR(LEFT(TH!N834,2)="15",LEFT(TH!O834,2)="15"),TK!$E$7=TH!F834),"x","")</f>
        <v/>
      </c>
      <c r="AD834" s="75" t="str">
        <f>IF(AND(N834="1521",MONTH(C834)='BK-NL'!$M$11),"x","")</f>
        <v/>
      </c>
      <c r="AE834">
        <v>12</v>
      </c>
    </row>
    <row r="835" spans="1:31" ht="16.5" customHeight="1">
      <c r="A835" s="309" t="str">
        <f>IF(B835&lt;&gt;"",IF(AND(B835='IN-TC'!$S$4,OR(TH!N835="1111",TH!O835="1111")),TH!D835,""),"")</f>
        <v/>
      </c>
      <c r="B835" s="1159">
        <f t="shared" si="124"/>
        <v>12</v>
      </c>
      <c r="C835" s="929">
        <v>43098</v>
      </c>
      <c r="D835" s="929" t="s">
        <v>530</v>
      </c>
      <c r="E835" s="929">
        <f t="shared" si="125"/>
        <v>43098</v>
      </c>
      <c r="F835" s="930" t="s">
        <v>824</v>
      </c>
      <c r="G835" s="931" t="s">
        <v>2865</v>
      </c>
      <c r="H835" s="73" t="s">
        <v>755</v>
      </c>
      <c r="I835" s="371"/>
      <c r="J835" s="932"/>
      <c r="K835" s="371"/>
      <c r="L835" s="377"/>
      <c r="M835" s="933">
        <v>417999</v>
      </c>
      <c r="N835" s="934" t="s">
        <v>9</v>
      </c>
      <c r="O835" s="934" t="s">
        <v>8</v>
      </c>
      <c r="P835" s="75" t="str">
        <f>IF(AND('331-CT'!$E$7=TH!H835,OR(N835="331",O835="331")),"x","")</f>
        <v/>
      </c>
      <c r="Q835" s="75" t="str">
        <f>IF(AND(B835='111'!$L$11,OR($N835=$Q$7,$O835=$Q$7)),"x","")</f>
        <v/>
      </c>
      <c r="R835" s="75" t="str">
        <f>IF(AND($N835=$Q$7,$B835&lt;'111'!$L$11),"x","")</f>
        <v/>
      </c>
      <c r="S835" s="75" t="str">
        <f>IF(AND($O835=$Q$7,$B835&lt;'111'!$L$11),"x","")</f>
        <v/>
      </c>
      <c r="T835" s="75" t="str">
        <f>IF(ISERROR(FIND('112'!$M$9,G835,1)),"",IF((AND(FIND('112'!$M$9,G835,1)&gt;=1,B835='112'!$K$9,OR($N835='112'!$I$6,$O835='112'!$I$6))),"x",""))</f>
        <v/>
      </c>
      <c r="U835" s="75" t="str">
        <f>IF(ISERROR(FIND('112'!$M$9,G835,1)),"",IF((AND(LEFT(G835,2)=LEFT('112'!$M$9,2),B835&lt;'112'!$K$9,$N835='112'!$I$6)),"x",""))</f>
        <v/>
      </c>
      <c r="V835" s="75" t="str">
        <f>IF(ISERROR(FIND('112'!$M$9,G835,1)),"",IF((AND(RIGHT(G835,2)=RIGHT('112'!$M$9,2),B835&lt;'112'!$K$9,$O835='112'!$I$6)),"x",""))</f>
        <v/>
      </c>
      <c r="W835" s="75" t="str">
        <f>IF(AND('341-CT'!$H$9=H835,OR(LEFT(N835,3)=$W$7,LEFT(O835,3)=$W$7)),"x","")</f>
        <v/>
      </c>
      <c r="X835" s="75" t="str">
        <f>IF(OR(TH!N835=TH!$X$7,O835=TH!$X$7),"x","")</f>
        <v/>
      </c>
      <c r="Y835" s="75" t="str">
        <f>IF(AND(OR(N835="131",O835="131"),H835='131-CT'!$H$9),"x","")</f>
        <v/>
      </c>
      <c r="Z835" s="75"/>
      <c r="AA835" s="75" t="str">
        <f>IF(AND(MONTH(E835)='IN-NX'!$J$5,'IN-NX'!$D$7=D835),"x","")</f>
        <v/>
      </c>
      <c r="AB835" s="75" t="str">
        <f>IF(AND(OR(LEFT(TH!N835,2)="15",LEFT(TH!O835,2)="15"),LEFT(TH!O835,3)&lt;&gt;"111",'152-CT'!$J$8=TH!F835),"x","")</f>
        <v/>
      </c>
      <c r="AC835" s="75" t="str">
        <f>IF(AND(OR(LEFT(TH!N835,2)="15",LEFT(TH!O835,2)="15"),TK!$E$7=TH!F835),"x","")</f>
        <v/>
      </c>
      <c r="AD835" s="75" t="str">
        <f>IF(AND(N835="1521",MONTH(C835)='BK-NL'!$M$11),"x","")</f>
        <v/>
      </c>
      <c r="AE835">
        <v>12</v>
      </c>
    </row>
    <row r="836" spans="1:31" ht="16.5" customHeight="1">
      <c r="A836" s="309" t="str">
        <f>IF(B836&lt;&gt;"",IF(AND(B836='IN-TC'!$S$4,OR(TH!N836="1111",TH!O836="1111")),TH!D836,""),"")</f>
        <v/>
      </c>
      <c r="B836" s="1159">
        <f t="shared" si="124"/>
        <v>12</v>
      </c>
      <c r="C836" s="929">
        <v>43098</v>
      </c>
      <c r="D836" s="929" t="s">
        <v>530</v>
      </c>
      <c r="E836" s="929">
        <f t="shared" si="125"/>
        <v>43098</v>
      </c>
      <c r="F836" s="930" t="s">
        <v>823</v>
      </c>
      <c r="G836" s="931" t="s">
        <v>2866</v>
      </c>
      <c r="H836" s="73" t="s">
        <v>755</v>
      </c>
      <c r="I836" s="371"/>
      <c r="J836" s="932"/>
      <c r="K836" s="371"/>
      <c r="L836" s="377"/>
      <c r="M836" s="933">
        <v>1276075</v>
      </c>
      <c r="N836" s="934" t="s">
        <v>539</v>
      </c>
      <c r="O836" s="934" t="s">
        <v>8</v>
      </c>
      <c r="P836" s="75" t="str">
        <f>IF(AND('331-CT'!$E$7=TH!H836,OR(N836="331",O836="331")),"x","")</f>
        <v/>
      </c>
      <c r="Q836" s="75" t="str">
        <f>IF(AND(B836='111'!$L$11,OR($N836=$Q$7,$O836=$Q$7)),"x","")</f>
        <v/>
      </c>
      <c r="R836" s="75" t="str">
        <f>IF(AND($N836=$Q$7,$B836&lt;'111'!$L$11),"x","")</f>
        <v/>
      </c>
      <c r="S836" s="75" t="str">
        <f>IF(AND($O836=$Q$7,$B836&lt;'111'!$L$11),"x","")</f>
        <v/>
      </c>
      <c r="T836" s="75" t="str">
        <f>IF(ISERROR(FIND('112'!$M$9,G836,1)),"",IF((AND(FIND('112'!$M$9,G836,1)&gt;=1,B836='112'!$K$9,OR($N836='112'!$I$6,$O836='112'!$I$6))),"x",""))</f>
        <v/>
      </c>
      <c r="U836" s="75" t="str">
        <f>IF(ISERROR(FIND('112'!$M$9,G836,1)),"",IF((AND(LEFT(G836,2)=LEFT('112'!$M$9,2),B836&lt;'112'!$K$9,$N836='112'!$I$6)),"x",""))</f>
        <v/>
      </c>
      <c r="V836" s="75" t="str">
        <f>IF(ISERROR(FIND('112'!$M$9,G836,1)),"",IF((AND(RIGHT(G836,2)=RIGHT('112'!$M$9,2),B836&lt;'112'!$K$9,$O836='112'!$I$6)),"x",""))</f>
        <v/>
      </c>
      <c r="W836" s="75" t="str">
        <f>IF(AND('341-CT'!$H$9=H836,OR(LEFT(N836,3)=$W$7,LEFT(O836,3)=$W$7)),"x","")</f>
        <v/>
      </c>
      <c r="X836" s="75" t="str">
        <f>IF(OR(TH!N836=TH!$X$7,O836=TH!$X$7),"x","")</f>
        <v/>
      </c>
      <c r="Y836" s="75" t="str">
        <f>IF(AND(OR(N836="131",O836="131"),H836='131-CT'!$H$9),"x","")</f>
        <v/>
      </c>
      <c r="Z836" s="75"/>
      <c r="AA836" s="75" t="str">
        <f>IF(AND(MONTH(E836)='IN-NX'!$J$5,'IN-NX'!$D$7=D836),"x","")</f>
        <v/>
      </c>
      <c r="AB836" s="75" t="str">
        <f>IF(AND(OR(LEFT(TH!N836,2)="15",LEFT(TH!O836,2)="15"),LEFT(TH!O836,3)&lt;&gt;"111",'152-CT'!$J$8=TH!F836),"x","")</f>
        <v/>
      </c>
      <c r="AC836" s="75" t="str">
        <f>IF(AND(OR(LEFT(TH!N836,2)="15",LEFT(TH!O836,2)="15"),TK!$E$7=TH!F836),"x","")</f>
        <v/>
      </c>
      <c r="AD836" s="75" t="str">
        <f>IF(AND(N836="1521",MONTH(C836)='BK-NL'!$M$11),"x","")</f>
        <v/>
      </c>
      <c r="AE836">
        <v>12</v>
      </c>
    </row>
    <row r="837" spans="1:31" ht="16.5" customHeight="1">
      <c r="A837" s="309" t="str">
        <f>IF(B837&lt;&gt;"",IF(AND(B837='IN-TC'!$S$4,OR(TH!N837="1111",TH!O837="1111")),TH!D837,""),"")</f>
        <v/>
      </c>
      <c r="B837" s="1159">
        <f t="shared" si="124"/>
        <v>12</v>
      </c>
      <c r="C837" s="929">
        <v>43098</v>
      </c>
      <c r="D837" s="929" t="s">
        <v>530</v>
      </c>
      <c r="E837" s="929">
        <f t="shared" si="125"/>
        <v>43098</v>
      </c>
      <c r="F837" s="930" t="s">
        <v>824</v>
      </c>
      <c r="G837" s="931" t="s">
        <v>2866</v>
      </c>
      <c r="H837" s="73" t="s">
        <v>755</v>
      </c>
      <c r="I837" s="371"/>
      <c r="J837" s="932"/>
      <c r="K837" s="371"/>
      <c r="L837" s="377"/>
      <c r="M837" s="933">
        <v>127608</v>
      </c>
      <c r="N837" s="934" t="s">
        <v>9</v>
      </c>
      <c r="O837" s="934" t="s">
        <v>8</v>
      </c>
      <c r="P837" s="75" t="str">
        <f>IF(AND('331-CT'!$E$7=TH!H837,OR(N837="331",O837="331")),"x","")</f>
        <v/>
      </c>
      <c r="Q837" s="75" t="str">
        <f>IF(AND(B837='111'!$L$11,OR($N837=$Q$7,$O837=$Q$7)),"x","")</f>
        <v/>
      </c>
      <c r="R837" s="75" t="str">
        <f>IF(AND($N837=$Q$7,$B837&lt;'111'!$L$11),"x","")</f>
        <v/>
      </c>
      <c r="S837" s="75" t="str">
        <f>IF(AND($O837=$Q$7,$B837&lt;'111'!$L$11),"x","")</f>
        <v/>
      </c>
      <c r="T837" s="75" t="str">
        <f>IF(ISERROR(FIND('112'!$M$9,G837,1)),"",IF((AND(FIND('112'!$M$9,G837,1)&gt;=1,B837='112'!$K$9,OR($N837='112'!$I$6,$O837='112'!$I$6))),"x",""))</f>
        <v/>
      </c>
      <c r="U837" s="75" t="str">
        <f>IF(ISERROR(FIND('112'!$M$9,G837,1)),"",IF((AND(LEFT(G837,2)=LEFT('112'!$M$9,2),B837&lt;'112'!$K$9,$N837='112'!$I$6)),"x",""))</f>
        <v/>
      </c>
      <c r="V837" s="75" t="str">
        <f>IF(ISERROR(FIND('112'!$M$9,G837,1)),"",IF((AND(RIGHT(G837,2)=RIGHT('112'!$M$9,2),B837&lt;'112'!$K$9,$O837='112'!$I$6)),"x",""))</f>
        <v/>
      </c>
      <c r="W837" s="75" t="str">
        <f>IF(AND('341-CT'!$H$9=H837,OR(LEFT(N837,3)=$W$7,LEFT(O837,3)=$W$7)),"x","")</f>
        <v/>
      </c>
      <c r="X837" s="75" t="str">
        <f>IF(OR(TH!N837=TH!$X$7,O837=TH!$X$7),"x","")</f>
        <v/>
      </c>
      <c r="Y837" s="75" t="str">
        <f>IF(AND(OR(N837="131",O837="131"),H837='131-CT'!$H$9),"x","")</f>
        <v/>
      </c>
      <c r="Z837" s="75"/>
      <c r="AA837" s="75" t="str">
        <f>IF(AND(MONTH(E837)='IN-NX'!$J$5,'IN-NX'!$D$7=D837),"x","")</f>
        <v/>
      </c>
      <c r="AB837" s="75" t="str">
        <f>IF(AND(OR(LEFT(TH!N837,2)="15",LEFT(TH!O837,2)="15"),LEFT(TH!O837,3)&lt;&gt;"111",'152-CT'!$J$8=TH!F837),"x","")</f>
        <v/>
      </c>
      <c r="AC837" s="75" t="str">
        <f>IF(AND(OR(LEFT(TH!N837,2)="15",LEFT(TH!O837,2)="15"),TK!$E$7=TH!F837),"x","")</f>
        <v/>
      </c>
      <c r="AD837" s="75" t="str">
        <f>IF(AND(N837="1521",MONTH(C837)='BK-NL'!$M$11),"x","")</f>
        <v/>
      </c>
      <c r="AE837">
        <v>12</v>
      </c>
    </row>
    <row r="838" spans="1:31" ht="16.5" customHeight="1">
      <c r="A838" s="309" t="str">
        <f>IF(B838&lt;&gt;"",IF(AND(B838='IN-TC'!$S$4,OR(TH!N838="1111",TH!O838="1111")),TH!D838,""),"")</f>
        <v/>
      </c>
      <c r="B838" s="1159">
        <f t="shared" si="124"/>
        <v>12</v>
      </c>
      <c r="C838" s="929">
        <v>43098</v>
      </c>
      <c r="D838" s="929" t="s">
        <v>530</v>
      </c>
      <c r="E838" s="929">
        <f t="shared" si="125"/>
        <v>43098</v>
      </c>
      <c r="F838" s="930" t="s">
        <v>2867</v>
      </c>
      <c r="G838" s="931" t="s">
        <v>2868</v>
      </c>
      <c r="H838" s="73" t="s">
        <v>755</v>
      </c>
      <c r="I838" s="371"/>
      <c r="J838" s="932"/>
      <c r="K838" s="371"/>
      <c r="L838" s="377"/>
      <c r="M838" s="933">
        <v>3509554</v>
      </c>
      <c r="N838" s="934" t="s">
        <v>539</v>
      </c>
      <c r="O838" s="934" t="s">
        <v>8</v>
      </c>
      <c r="P838" s="75" t="str">
        <f>IF(AND('331-CT'!$E$7=TH!H838,OR(N838="331",O838="331")),"x","")</f>
        <v/>
      </c>
      <c r="Q838" s="75" t="str">
        <f>IF(AND(B838='111'!$L$11,OR($N838=$Q$7,$O838=$Q$7)),"x","")</f>
        <v/>
      </c>
      <c r="R838" s="75" t="str">
        <f>IF(AND($N838=$Q$7,$B838&lt;'111'!$L$11),"x","")</f>
        <v/>
      </c>
      <c r="S838" s="75" t="str">
        <f>IF(AND($O838=$Q$7,$B838&lt;'111'!$L$11),"x","")</f>
        <v/>
      </c>
      <c r="T838" s="75" t="str">
        <f>IF(ISERROR(FIND('112'!$M$9,G838,1)),"",IF((AND(FIND('112'!$M$9,G838,1)&gt;=1,B838='112'!$K$9,OR($N838='112'!$I$6,$O838='112'!$I$6))),"x",""))</f>
        <v/>
      </c>
      <c r="U838" s="75" t="str">
        <f>IF(ISERROR(FIND('112'!$M$9,G838,1)),"",IF((AND(LEFT(G838,2)=LEFT('112'!$M$9,2),B838&lt;'112'!$K$9,$N838='112'!$I$6)),"x",""))</f>
        <v/>
      </c>
      <c r="V838" s="75" t="str">
        <f>IF(ISERROR(FIND('112'!$M$9,G838,1)),"",IF((AND(RIGHT(G838,2)=RIGHT('112'!$M$9,2),B838&lt;'112'!$K$9,$O838='112'!$I$6)),"x",""))</f>
        <v/>
      </c>
      <c r="W838" s="75" t="str">
        <f>IF(AND('341-CT'!$H$9=H838,OR(LEFT(N838,3)=$W$7,LEFT(O838,3)=$W$7)),"x","")</f>
        <v/>
      </c>
      <c r="X838" s="75" t="str">
        <f>IF(OR(TH!N838=TH!$X$7,O838=TH!$X$7),"x","")</f>
        <v/>
      </c>
      <c r="Y838" s="75" t="str">
        <f>IF(AND(OR(N838="131",O838="131"),H838='131-CT'!$H$9),"x","")</f>
        <v/>
      </c>
      <c r="Z838" s="75"/>
      <c r="AA838" s="75" t="str">
        <f>IF(AND(MONTH(E838)='IN-NX'!$J$5,'IN-NX'!$D$7=D838),"x","")</f>
        <v/>
      </c>
      <c r="AB838" s="75" t="str">
        <f>IF(AND(OR(LEFT(TH!N838,2)="15",LEFT(TH!O838,2)="15"),LEFT(TH!O838,3)&lt;&gt;"111",'152-CT'!$J$8=TH!F838),"x","")</f>
        <v/>
      </c>
      <c r="AC838" s="75" t="str">
        <f>IF(AND(OR(LEFT(TH!N838,2)="15",LEFT(TH!O838,2)="15"),TK!$E$7=TH!F838),"x","")</f>
        <v/>
      </c>
      <c r="AD838" s="75" t="str">
        <f>IF(AND(N838="1521",MONTH(C838)='BK-NL'!$M$11),"x","")</f>
        <v/>
      </c>
    </row>
    <row r="839" spans="1:31" ht="16.5" customHeight="1">
      <c r="A839" s="309" t="str">
        <f>IF(B839&lt;&gt;"",IF(AND(B839='IN-TC'!$S$4,OR(TH!N839="1111",TH!O839="1111")),TH!D839,""),"")</f>
        <v/>
      </c>
      <c r="B839" s="1159">
        <f t="shared" ref="B839:B847" si="126">IF(C839&lt;&gt;"",MONTH(C839),"")</f>
        <v>12</v>
      </c>
      <c r="C839" s="929">
        <v>43098</v>
      </c>
      <c r="D839" s="929" t="s">
        <v>530</v>
      </c>
      <c r="E839" s="929">
        <f t="shared" ref="E839:E841" si="127">C839</f>
        <v>43098</v>
      </c>
      <c r="F839" s="930" t="s">
        <v>1192</v>
      </c>
      <c r="G839" s="931" t="s">
        <v>2869</v>
      </c>
      <c r="H839" s="73" t="s">
        <v>755</v>
      </c>
      <c r="I839" s="371"/>
      <c r="J839" s="932"/>
      <c r="K839" s="371"/>
      <c r="L839" s="377"/>
      <c r="M839" s="933">
        <v>7960750</v>
      </c>
      <c r="N839" s="934" t="s">
        <v>539</v>
      </c>
      <c r="O839" s="934" t="s">
        <v>8</v>
      </c>
      <c r="P839" s="75" t="str">
        <f>IF(AND('331-CT'!$E$7=TH!H839,OR(N839="331",O839="331")),"x","")</f>
        <v/>
      </c>
      <c r="Q839" s="75" t="str">
        <f>IF(AND(B839='111'!$L$11,OR($N839=$Q$7,$O839=$Q$7)),"x","")</f>
        <v/>
      </c>
      <c r="R839" s="75" t="str">
        <f>IF(AND($N839=$Q$7,$B839&lt;'111'!$L$11),"x","")</f>
        <v/>
      </c>
      <c r="S839" s="75" t="str">
        <f>IF(AND($O839=$Q$7,$B839&lt;'111'!$L$11),"x","")</f>
        <v/>
      </c>
      <c r="T839" s="75" t="str">
        <f>IF(ISERROR(FIND('112'!$M$9,G839,1)),"",IF((AND(FIND('112'!$M$9,G839,1)&gt;=1,B839='112'!$K$9,OR($N839='112'!$I$6,$O839='112'!$I$6))),"x",""))</f>
        <v/>
      </c>
      <c r="U839" s="75" t="str">
        <f>IF(ISERROR(FIND('112'!$M$9,G839,1)),"",IF((AND(LEFT(G839,2)=LEFT('112'!$M$9,2),B839&lt;'112'!$K$9,$N839='112'!$I$6)),"x",""))</f>
        <v/>
      </c>
      <c r="V839" s="75" t="str">
        <f>IF(ISERROR(FIND('112'!$M$9,G839,1)),"",IF((AND(RIGHT(G839,2)=RIGHT('112'!$M$9,2),B839&lt;'112'!$K$9,$O839='112'!$I$6)),"x",""))</f>
        <v/>
      </c>
      <c r="W839" s="75" t="str">
        <f>IF(AND('341-CT'!$H$9=H839,OR(LEFT(N839,3)=$W$7,LEFT(O839,3)=$W$7)),"x","")</f>
        <v/>
      </c>
      <c r="X839" s="75" t="str">
        <f>IF(OR(TH!N839=TH!$X$7,O839=TH!$X$7),"x","")</f>
        <v/>
      </c>
      <c r="Y839" s="75" t="str">
        <f>IF(AND(OR(N839="131",O839="131"),H839='131-CT'!$H$9),"x","")</f>
        <v/>
      </c>
      <c r="Z839" s="75"/>
      <c r="AA839" s="75" t="str">
        <f>IF(AND(MONTH(E839)='IN-NX'!$J$5,'IN-NX'!$D$7=D839),"x","")</f>
        <v/>
      </c>
      <c r="AB839" s="75" t="str">
        <f>IF(AND(OR(LEFT(TH!N839,2)="15",LEFT(TH!O839,2)="15"),LEFT(TH!O839,3)&lt;&gt;"111",'152-CT'!$J$8=TH!F839),"x","")</f>
        <v/>
      </c>
      <c r="AC839" s="75" t="str">
        <f>IF(AND(OR(LEFT(TH!N839,2)="15",LEFT(TH!O839,2)="15"),TK!$E$7=TH!F839),"x","")</f>
        <v/>
      </c>
      <c r="AD839" s="75" t="str">
        <f>IF(AND(N839="1521",MONTH(C839)='BK-NL'!$M$11),"x","")</f>
        <v/>
      </c>
    </row>
    <row r="840" spans="1:31" ht="16.5" customHeight="1">
      <c r="A840" s="309" t="str">
        <f>IF(B840&lt;&gt;"",IF(AND(B840='IN-TC'!$S$4,OR(TH!N840="1111",TH!O840="1111")),TH!D840,""),"")</f>
        <v/>
      </c>
      <c r="B840" s="1159">
        <f t="shared" si="126"/>
        <v>12</v>
      </c>
      <c r="C840" s="929">
        <v>43098</v>
      </c>
      <c r="D840" s="929" t="s">
        <v>530</v>
      </c>
      <c r="E840" s="929">
        <f t="shared" si="127"/>
        <v>43098</v>
      </c>
      <c r="F840" s="930" t="s">
        <v>823</v>
      </c>
      <c r="G840" s="931" t="s">
        <v>2870</v>
      </c>
      <c r="H840" s="73" t="s">
        <v>755</v>
      </c>
      <c r="I840" s="371"/>
      <c r="J840" s="932"/>
      <c r="K840" s="371"/>
      <c r="L840" s="377"/>
      <c r="M840" s="933">
        <v>4179985</v>
      </c>
      <c r="N840" s="934" t="s">
        <v>539</v>
      </c>
      <c r="O840" s="934" t="s">
        <v>8</v>
      </c>
      <c r="P840" s="75" t="str">
        <f>IF(AND('331-CT'!$E$7=TH!H840,OR(N840="331",O840="331")),"x","")</f>
        <v/>
      </c>
      <c r="Q840" s="75" t="str">
        <f>IF(AND(B840='111'!$L$11,OR($N840=$Q$7,$O840=$Q$7)),"x","")</f>
        <v/>
      </c>
      <c r="R840" s="75" t="str">
        <f>IF(AND($N840=$Q$7,$B840&lt;'111'!$L$11),"x","")</f>
        <v/>
      </c>
      <c r="S840" s="75" t="str">
        <f>IF(AND($O840=$Q$7,$B840&lt;'111'!$L$11),"x","")</f>
        <v/>
      </c>
      <c r="T840" s="75" t="str">
        <f>IF(ISERROR(FIND('112'!$M$9,G840,1)),"",IF((AND(FIND('112'!$M$9,G840,1)&gt;=1,B840='112'!$K$9,OR($N840='112'!$I$6,$O840='112'!$I$6))),"x",""))</f>
        <v/>
      </c>
      <c r="U840" s="75" t="str">
        <f>IF(ISERROR(FIND('112'!$M$9,G840,1)),"",IF((AND(LEFT(G840,2)=LEFT('112'!$M$9,2),B840&lt;'112'!$K$9,$N840='112'!$I$6)),"x",""))</f>
        <v/>
      </c>
      <c r="V840" s="75" t="str">
        <f>IF(ISERROR(FIND('112'!$M$9,G840,1)),"",IF((AND(RIGHT(G840,2)=RIGHT('112'!$M$9,2),B840&lt;'112'!$K$9,$O840='112'!$I$6)),"x",""))</f>
        <v/>
      </c>
      <c r="W840" s="75" t="str">
        <f>IF(AND('341-CT'!$H$9=H840,OR(LEFT(N840,3)=$W$7,LEFT(O840,3)=$W$7)),"x","")</f>
        <v/>
      </c>
      <c r="X840" s="75" t="str">
        <f>IF(OR(TH!N840=TH!$X$7,O840=TH!$X$7),"x","")</f>
        <v/>
      </c>
      <c r="Y840" s="75" t="str">
        <f>IF(AND(OR(N840="131",O840="131"),H840='131-CT'!$H$9),"x","")</f>
        <v/>
      </c>
      <c r="Z840" s="75"/>
      <c r="AA840" s="75" t="str">
        <f>IF(AND(MONTH(E840)='IN-NX'!$J$5,'IN-NX'!$D$7=D840),"x","")</f>
        <v/>
      </c>
      <c r="AB840" s="75" t="str">
        <f>IF(AND(OR(LEFT(TH!N840,2)="15",LEFT(TH!O840,2)="15"),LEFT(TH!O840,3)&lt;&gt;"111",'152-CT'!$J$8=TH!F840),"x","")</f>
        <v/>
      </c>
      <c r="AC840" s="75" t="str">
        <f>IF(AND(OR(LEFT(TH!N840,2)="15",LEFT(TH!O840,2)="15"),TK!$E$7=TH!F840),"x","")</f>
        <v/>
      </c>
      <c r="AD840" s="75" t="str">
        <f>IF(AND(N840="1521",MONTH(C840)='BK-NL'!$M$11),"x","")</f>
        <v/>
      </c>
      <c r="AE840">
        <v>12</v>
      </c>
    </row>
    <row r="841" spans="1:31" ht="16.5" customHeight="1">
      <c r="A841" s="309" t="str">
        <f>IF(B841&lt;&gt;"",IF(AND(B841='IN-TC'!$S$4,OR(TH!N841="1111",TH!O841="1111")),TH!D841,""),"")</f>
        <v/>
      </c>
      <c r="B841" s="1159">
        <f t="shared" si="126"/>
        <v>12</v>
      </c>
      <c r="C841" s="929">
        <v>43098</v>
      </c>
      <c r="D841" s="929" t="s">
        <v>530</v>
      </c>
      <c r="E841" s="929">
        <f t="shared" si="127"/>
        <v>43098</v>
      </c>
      <c r="F841" s="930" t="s">
        <v>824</v>
      </c>
      <c r="G841" s="931" t="s">
        <v>2870</v>
      </c>
      <c r="H841" s="73" t="s">
        <v>755</v>
      </c>
      <c r="I841" s="371"/>
      <c r="J841" s="932"/>
      <c r="K841" s="371"/>
      <c r="L841" s="377"/>
      <c r="M841" s="933">
        <v>417999</v>
      </c>
      <c r="N841" s="934" t="s">
        <v>9</v>
      </c>
      <c r="O841" s="934" t="s">
        <v>8</v>
      </c>
      <c r="P841" s="75" t="str">
        <f>IF(AND('331-CT'!$E$7=TH!H841,OR(N841="331",O841="331")),"x","")</f>
        <v/>
      </c>
      <c r="Q841" s="75" t="str">
        <f>IF(AND(B841='111'!$L$11,OR($N841=$Q$7,$O841=$Q$7)),"x","")</f>
        <v/>
      </c>
      <c r="R841" s="75" t="str">
        <f>IF(AND($N841=$Q$7,$B841&lt;'111'!$L$11),"x","")</f>
        <v/>
      </c>
      <c r="S841" s="75" t="str">
        <f>IF(AND($O841=$Q$7,$B841&lt;'111'!$L$11),"x","")</f>
        <v/>
      </c>
      <c r="T841" s="75" t="str">
        <f>IF(ISERROR(FIND('112'!$M$9,G841,1)),"",IF((AND(FIND('112'!$M$9,G841,1)&gt;=1,B841='112'!$K$9,OR($N841='112'!$I$6,$O841='112'!$I$6))),"x",""))</f>
        <v/>
      </c>
      <c r="U841" s="75" t="str">
        <f>IF(ISERROR(FIND('112'!$M$9,G841,1)),"",IF((AND(LEFT(G841,2)=LEFT('112'!$M$9,2),B841&lt;'112'!$K$9,$N841='112'!$I$6)),"x",""))</f>
        <v/>
      </c>
      <c r="V841" s="75" t="str">
        <f>IF(ISERROR(FIND('112'!$M$9,G841,1)),"",IF((AND(RIGHT(G841,2)=RIGHT('112'!$M$9,2),B841&lt;'112'!$K$9,$O841='112'!$I$6)),"x",""))</f>
        <v/>
      </c>
      <c r="W841" s="75" t="str">
        <f>IF(AND('341-CT'!$H$9=H841,OR(LEFT(N841,3)=$W$7,LEFT(O841,3)=$W$7)),"x","")</f>
        <v/>
      </c>
      <c r="X841" s="75" t="str">
        <f>IF(OR(TH!N841=TH!$X$7,O841=TH!$X$7),"x","")</f>
        <v/>
      </c>
      <c r="Y841" s="75" t="str">
        <f>IF(AND(OR(N841="131",O841="131"),H841='131-CT'!$H$9),"x","")</f>
        <v/>
      </c>
      <c r="Z841" s="75"/>
      <c r="AA841" s="75" t="str">
        <f>IF(AND(MONTH(E841)='IN-NX'!$J$5,'IN-NX'!$D$7=D841),"x","")</f>
        <v/>
      </c>
      <c r="AB841" s="75" t="str">
        <f>IF(AND(OR(LEFT(TH!N841,2)="15",LEFT(TH!O841,2)="15"),LEFT(TH!O841,3)&lt;&gt;"111",'152-CT'!$J$8=TH!F841),"x","")</f>
        <v/>
      </c>
      <c r="AC841" s="75" t="str">
        <f>IF(AND(OR(LEFT(TH!N841,2)="15",LEFT(TH!O841,2)="15"),TK!$E$7=TH!F841),"x","")</f>
        <v/>
      </c>
      <c r="AD841" s="75" t="str">
        <f>IF(AND(N841="1521",MONTH(C841)='BK-NL'!$M$11),"x","")</f>
        <v/>
      </c>
      <c r="AE841">
        <v>12</v>
      </c>
    </row>
    <row r="842" spans="1:31" ht="16.5" customHeight="1">
      <c r="A842" s="309" t="str">
        <f>IF(B842&lt;&gt;"",IF(AND(B842='IN-TC'!$S$4,OR(TH!N842="1111",TH!O842="1111")),TH!D842,""),"")</f>
        <v/>
      </c>
      <c r="B842" s="1159">
        <f t="shared" si="126"/>
        <v>12</v>
      </c>
      <c r="C842" s="929">
        <v>43099</v>
      </c>
      <c r="D842" s="929" t="s">
        <v>530</v>
      </c>
      <c r="E842" s="929">
        <v>43068</v>
      </c>
      <c r="F842" s="930" t="s">
        <v>2880</v>
      </c>
      <c r="G842" s="931" t="s">
        <v>2881</v>
      </c>
      <c r="H842" s="735" t="s">
        <v>739</v>
      </c>
      <c r="I842" s="371"/>
      <c r="J842" s="932"/>
      <c r="K842" s="371"/>
      <c r="L842" s="377"/>
      <c r="M842" s="933">
        <v>7758335</v>
      </c>
      <c r="N842" s="934" t="s">
        <v>539</v>
      </c>
      <c r="O842" s="934" t="s">
        <v>8</v>
      </c>
      <c r="P842" s="75" t="str">
        <f>IF(AND('331-CT'!$E$7=TH!H842,OR(N842="331",O842="331")),"x","")</f>
        <v/>
      </c>
      <c r="Q842" s="75" t="str">
        <f>IF(AND(B842='111'!$L$11,OR($N842=$Q$7,$O842=$Q$7)),"x","")</f>
        <v/>
      </c>
      <c r="R842" s="75" t="str">
        <f>IF(AND($N842=$Q$7,$B842&lt;'111'!$L$11),"x","")</f>
        <v/>
      </c>
      <c r="S842" s="75" t="str">
        <f>IF(AND($O842=$Q$7,$B842&lt;'111'!$L$11),"x","")</f>
        <v/>
      </c>
      <c r="T842" s="75" t="str">
        <f>IF(ISERROR(FIND('112'!$M$9,G842,1)),"",IF((AND(FIND('112'!$M$9,G842,1)&gt;=1,B842='112'!$K$9,OR($N842='112'!$I$6,$O842='112'!$I$6))),"x",""))</f>
        <v/>
      </c>
      <c r="U842" s="75" t="str">
        <f>IF(ISERROR(FIND('112'!$M$9,G842,1)),"",IF((AND(LEFT(G842,2)=LEFT('112'!$M$9,2),B842&lt;'112'!$K$9,$N842='112'!$I$6)),"x",""))</f>
        <v/>
      </c>
      <c r="V842" s="75" t="str">
        <f>IF(ISERROR(FIND('112'!$M$9,G842,1)),"",IF((AND(RIGHT(G842,2)=RIGHT('112'!$M$9,2),B842&lt;'112'!$K$9,$O842='112'!$I$6)),"x",""))</f>
        <v/>
      </c>
      <c r="W842" s="75" t="str">
        <f>IF(AND('341-CT'!$H$9=H842,OR(LEFT(N842,3)=$W$7,LEFT(O842,3)=$W$7)),"x","")</f>
        <v/>
      </c>
      <c r="X842" s="75" t="str">
        <f>IF(OR(TH!N842=TH!$X$7,O842=TH!$X$7),"x","")</f>
        <v/>
      </c>
      <c r="Y842" s="75" t="str">
        <f>IF(AND(OR(N842="131",O842="131"),H842='131-CT'!$H$9),"x","")</f>
        <v/>
      </c>
      <c r="Z842" s="75"/>
      <c r="AA842" s="75" t="str">
        <f>IF(AND(MONTH(E842)='IN-NX'!$J$5,'IN-NX'!$D$7=D842),"x","")</f>
        <v/>
      </c>
      <c r="AB842" s="75" t="str">
        <f>IF(AND(OR(LEFT(TH!N842,2)="15",LEFT(TH!O842,2)="15"),LEFT(TH!O842,3)&lt;&gt;"111",'152-CT'!$J$8=TH!F842),"x","")</f>
        <v/>
      </c>
      <c r="AC842" s="75" t="str">
        <f>IF(AND(OR(LEFT(TH!N842,2)="15",LEFT(TH!O842,2)="15"),TK!$E$7=TH!F842),"x","")</f>
        <v/>
      </c>
      <c r="AD842" s="75" t="str">
        <f>IF(AND(N842="1521",MONTH(C842)='BK-NL'!$M$11),"x","")</f>
        <v/>
      </c>
      <c r="AE842">
        <v>12</v>
      </c>
    </row>
    <row r="843" spans="1:31" ht="16.5" customHeight="1">
      <c r="A843" s="309" t="str">
        <f>IF(B843&lt;&gt;"",IF(AND(B843='IN-TC'!$S$4,OR(TH!N843="1111",TH!O843="1111")),TH!D843,""),"")</f>
        <v/>
      </c>
      <c r="B843" s="1159">
        <f t="shared" si="126"/>
        <v>12</v>
      </c>
      <c r="C843" s="929">
        <v>43099</v>
      </c>
      <c r="D843" s="929" t="s">
        <v>530</v>
      </c>
      <c r="E843" s="929">
        <v>43068</v>
      </c>
      <c r="F843" s="930" t="s">
        <v>1323</v>
      </c>
      <c r="G843" s="931" t="s">
        <v>2881</v>
      </c>
      <c r="H843" s="735" t="s">
        <v>739</v>
      </c>
      <c r="I843" s="371"/>
      <c r="J843" s="932"/>
      <c r="K843" s="371"/>
      <c r="L843" s="377"/>
      <c r="M843" s="933">
        <v>518643</v>
      </c>
      <c r="N843" s="934" t="s">
        <v>9</v>
      </c>
      <c r="O843" s="934" t="s">
        <v>8</v>
      </c>
      <c r="P843" s="75" t="str">
        <f>IF(AND('331-CT'!$E$7=TH!H843,OR(N843="331",O843="331")),"x","")</f>
        <v/>
      </c>
      <c r="Q843" s="75" t="str">
        <f>IF(AND(B843='111'!$L$11,OR($N843=$Q$7,$O843=$Q$7)),"x","")</f>
        <v/>
      </c>
      <c r="R843" s="75" t="str">
        <f>IF(AND($N843=$Q$7,$B843&lt;'111'!$L$11),"x","")</f>
        <v/>
      </c>
      <c r="S843" s="75" t="str">
        <f>IF(AND($O843=$Q$7,$B843&lt;'111'!$L$11),"x","")</f>
        <v/>
      </c>
      <c r="T843" s="75" t="str">
        <f>IF(ISERROR(FIND('112'!$M$9,G843,1)),"",IF((AND(FIND('112'!$M$9,G843,1)&gt;=1,B843='112'!$K$9,OR($N843='112'!$I$6,$O843='112'!$I$6))),"x",""))</f>
        <v/>
      </c>
      <c r="U843" s="75" t="str">
        <f>IF(ISERROR(FIND('112'!$M$9,G843,1)),"",IF((AND(LEFT(G843,2)=LEFT('112'!$M$9,2),B843&lt;'112'!$K$9,$N843='112'!$I$6)),"x",""))</f>
        <v/>
      </c>
      <c r="V843" s="75" t="str">
        <f>IF(ISERROR(FIND('112'!$M$9,G843,1)),"",IF((AND(RIGHT(G843,2)=RIGHT('112'!$M$9,2),B843&lt;'112'!$K$9,$O843='112'!$I$6)),"x",""))</f>
        <v/>
      </c>
      <c r="W843" s="75" t="str">
        <f>IF(AND('341-CT'!$H$9=H843,OR(LEFT(N843,3)=$W$7,LEFT(O843,3)=$W$7)),"x","")</f>
        <v/>
      </c>
      <c r="X843" s="75" t="str">
        <f>IF(OR(TH!N843=TH!$X$7,O843=TH!$X$7),"x","")</f>
        <v/>
      </c>
      <c r="Y843" s="75" t="str">
        <f>IF(AND(OR(N843="131",O843="131"),H843='131-CT'!$H$9),"x","")</f>
        <v/>
      </c>
      <c r="Z843" s="75"/>
      <c r="AA843" s="75" t="str">
        <f>IF(AND(MONTH(E843)='IN-NX'!$J$5,'IN-NX'!$D$7=D843),"x","")</f>
        <v/>
      </c>
      <c r="AB843" s="75" t="str">
        <f>IF(AND(OR(LEFT(TH!N843,2)="15",LEFT(TH!O843,2)="15"),LEFT(TH!O843,3)&lt;&gt;"111",'152-CT'!$J$8=TH!F843),"x","")</f>
        <v/>
      </c>
      <c r="AC843" s="75" t="str">
        <f>IF(AND(OR(LEFT(TH!N843,2)="15",LEFT(TH!O843,2)="15"),TK!$E$7=TH!F843),"x","")</f>
        <v/>
      </c>
      <c r="AD843" s="75" t="str">
        <f>IF(AND(N843="1521",MONTH(C843)='BK-NL'!$M$11),"x","")</f>
        <v/>
      </c>
      <c r="AE843">
        <v>12</v>
      </c>
    </row>
    <row r="844" spans="1:31" ht="16.5" customHeight="1">
      <c r="A844" s="309" t="str">
        <f>IF(B844&lt;&gt;"",IF(AND(B844='IN-TC'!$S$4,OR(TH!N844="1111",TH!O844="1111")),TH!D844,""),"")</f>
        <v/>
      </c>
      <c r="B844" s="1159">
        <f t="shared" si="126"/>
        <v>12</v>
      </c>
      <c r="C844" s="929">
        <v>43098</v>
      </c>
      <c r="D844" s="929" t="s">
        <v>530</v>
      </c>
      <c r="E844" s="929">
        <f>C844</f>
        <v>43098</v>
      </c>
      <c r="F844" s="930" t="s">
        <v>2886</v>
      </c>
      <c r="G844" s="931" t="s">
        <v>2887</v>
      </c>
      <c r="H844" s="296" t="s">
        <v>561</v>
      </c>
      <c r="I844" s="371"/>
      <c r="J844" s="932"/>
      <c r="K844" s="371"/>
      <c r="L844" s="377"/>
      <c r="M844" s="933">
        <v>700000</v>
      </c>
      <c r="N844" s="934" t="s">
        <v>539</v>
      </c>
      <c r="O844" s="934" t="s">
        <v>8</v>
      </c>
      <c r="P844" s="75" t="str">
        <f>IF(AND('331-CT'!$E$7=TH!H844,OR(N844="331",O844="331")),"x","")</f>
        <v/>
      </c>
      <c r="Q844" s="75" t="str">
        <f>IF(AND(B844='111'!$L$11,OR($N844=$Q$7,$O844=$Q$7)),"x","")</f>
        <v/>
      </c>
      <c r="R844" s="75" t="str">
        <f>IF(AND($N844=$Q$7,$B844&lt;'111'!$L$11),"x","")</f>
        <v/>
      </c>
      <c r="S844" s="75" t="str">
        <f>IF(AND($O844=$Q$7,$B844&lt;'111'!$L$11),"x","")</f>
        <v/>
      </c>
      <c r="T844" s="75" t="str">
        <f>IF(ISERROR(FIND('112'!$M$9,G844,1)),"",IF((AND(FIND('112'!$M$9,G844,1)&gt;=1,B844='112'!$K$9,OR($N844='112'!$I$6,$O844='112'!$I$6))),"x",""))</f>
        <v/>
      </c>
      <c r="U844" s="75" t="str">
        <f>IF(ISERROR(FIND('112'!$M$9,G844,1)),"",IF((AND(LEFT(G844,2)=LEFT('112'!$M$9,2),B844&lt;'112'!$K$9,$N844='112'!$I$6)),"x",""))</f>
        <v/>
      </c>
      <c r="V844" s="75" t="str">
        <f>IF(ISERROR(FIND('112'!$M$9,G844,1)),"",IF((AND(RIGHT(G844,2)=RIGHT('112'!$M$9,2),B844&lt;'112'!$K$9,$O844='112'!$I$6)),"x",""))</f>
        <v/>
      </c>
      <c r="W844" s="75" t="str">
        <f>IF(AND('341-CT'!$H$9=H844,OR(LEFT(N844,3)=$W$7,LEFT(O844,3)=$W$7)),"x","")</f>
        <v/>
      </c>
      <c r="X844" s="75" t="str">
        <f>IF(OR(TH!N844=TH!$X$7,O844=TH!$X$7),"x","")</f>
        <v/>
      </c>
      <c r="Y844" s="75" t="str">
        <f>IF(AND(OR(N844="131",O844="131"),H844='131-CT'!$H$9),"x","")</f>
        <v/>
      </c>
      <c r="Z844" s="75"/>
      <c r="AA844" s="75" t="str">
        <f>IF(AND(MONTH(E844)='IN-NX'!$J$5,'IN-NX'!$D$7=D844),"x","")</f>
        <v/>
      </c>
      <c r="AB844" s="75" t="str">
        <f>IF(AND(OR(LEFT(TH!N844,2)="15",LEFT(TH!O844,2)="15"),LEFT(TH!O844,3)&lt;&gt;"111",'152-CT'!$J$8=TH!F844),"x","")</f>
        <v/>
      </c>
      <c r="AC844" s="75" t="str">
        <f>IF(AND(OR(LEFT(TH!N844,2)="15",LEFT(TH!O844,2)="15"),TK!$E$7=TH!F844),"x","")</f>
        <v/>
      </c>
      <c r="AD844" s="75" t="str">
        <f>IF(AND(N844="1521",MONTH(C844)='BK-NL'!$M$11),"x","")</f>
        <v/>
      </c>
    </row>
    <row r="845" spans="1:31" ht="16.5" customHeight="1">
      <c r="A845" s="309" t="str">
        <f>IF(B845&lt;&gt;"",IF(AND(B845='IN-TC'!$S$4,OR(TH!N845="1111",TH!O845="1111")),TH!D845,""),"")</f>
        <v/>
      </c>
      <c r="B845" s="1159">
        <f t="shared" si="126"/>
        <v>12</v>
      </c>
      <c r="C845" s="929">
        <v>43098</v>
      </c>
      <c r="D845" s="929" t="s">
        <v>530</v>
      </c>
      <c r="E845" s="929">
        <f>C845</f>
        <v>43098</v>
      </c>
      <c r="F845" s="930" t="s">
        <v>2886</v>
      </c>
      <c r="G845" s="931" t="s">
        <v>2888</v>
      </c>
      <c r="H845" s="296" t="s">
        <v>561</v>
      </c>
      <c r="I845" s="371"/>
      <c r="J845" s="932"/>
      <c r="K845" s="371"/>
      <c r="L845" s="377"/>
      <c r="M845" s="933">
        <v>8930000</v>
      </c>
      <c r="N845" s="934" t="s">
        <v>539</v>
      </c>
      <c r="O845" s="934" t="s">
        <v>8</v>
      </c>
      <c r="P845" s="75" t="str">
        <f>IF(AND('331-CT'!$E$7=TH!H845,OR(N845="331",O845="331")),"x","")</f>
        <v/>
      </c>
      <c r="Q845" s="75" t="str">
        <f>IF(AND(B845='111'!$L$11,OR($N845=$Q$7,$O845=$Q$7)),"x","")</f>
        <v/>
      </c>
      <c r="R845" s="75" t="str">
        <f>IF(AND($N845=$Q$7,$B845&lt;'111'!$L$11),"x","")</f>
        <v/>
      </c>
      <c r="S845" s="75" t="str">
        <f>IF(AND($O845=$Q$7,$B845&lt;'111'!$L$11),"x","")</f>
        <v/>
      </c>
      <c r="T845" s="75" t="str">
        <f>IF(ISERROR(FIND('112'!$M$9,G845,1)),"",IF((AND(FIND('112'!$M$9,G845,1)&gt;=1,B845='112'!$K$9,OR($N845='112'!$I$6,$O845='112'!$I$6))),"x",""))</f>
        <v/>
      </c>
      <c r="U845" s="75" t="str">
        <f>IF(ISERROR(FIND('112'!$M$9,G845,1)),"",IF((AND(LEFT(G845,2)=LEFT('112'!$M$9,2),B845&lt;'112'!$K$9,$N845='112'!$I$6)),"x",""))</f>
        <v/>
      </c>
      <c r="V845" s="75" t="str">
        <f>IF(ISERROR(FIND('112'!$M$9,G845,1)),"",IF((AND(RIGHT(G845,2)=RIGHT('112'!$M$9,2),B845&lt;'112'!$K$9,$O845='112'!$I$6)),"x",""))</f>
        <v/>
      </c>
      <c r="W845" s="75" t="str">
        <f>IF(AND('341-CT'!$H$9=H845,OR(LEFT(N845,3)=$W$7,LEFT(O845,3)=$W$7)),"x","")</f>
        <v/>
      </c>
      <c r="X845" s="75" t="str">
        <f>IF(OR(TH!N845=TH!$X$7,O845=TH!$X$7),"x","")</f>
        <v/>
      </c>
      <c r="Y845" s="75" t="str">
        <f>IF(AND(OR(N845="131",O845="131"),H845='131-CT'!$H$9),"x","")</f>
        <v/>
      </c>
      <c r="Z845" s="75"/>
      <c r="AA845" s="75" t="str">
        <f>IF(AND(MONTH(E845)='IN-NX'!$J$5,'IN-NX'!$D$7=D845),"x","")</f>
        <v/>
      </c>
      <c r="AB845" s="75" t="str">
        <f>IF(AND(OR(LEFT(TH!N845,2)="15",LEFT(TH!O845,2)="15"),LEFT(TH!O845,3)&lt;&gt;"111",'152-CT'!$J$8=TH!F845),"x","")</f>
        <v/>
      </c>
      <c r="AC845" s="75" t="str">
        <f>IF(AND(OR(LEFT(TH!N845,2)="15",LEFT(TH!O845,2)="15"),TK!$E$7=TH!F845),"x","")</f>
        <v/>
      </c>
      <c r="AD845" s="75" t="str">
        <f>IF(AND(N845="1521",MONTH(C845)='BK-NL'!$M$11),"x","")</f>
        <v/>
      </c>
    </row>
    <row r="846" spans="1:31" ht="16.5" customHeight="1">
      <c r="A846" s="309" t="str">
        <f>IF(B846&lt;&gt;"",IF(AND(B846='IN-TC'!$S$4,OR(TH!N846="1111",TH!O846="1111")),TH!D846,""),"")</f>
        <v/>
      </c>
      <c r="B846" s="1159">
        <f t="shared" si="126"/>
        <v>12</v>
      </c>
      <c r="C846" s="929">
        <v>43098</v>
      </c>
      <c r="D846" s="929" t="s">
        <v>530</v>
      </c>
      <c r="E846" s="929">
        <f>C846</f>
        <v>43098</v>
      </c>
      <c r="F846" s="930" t="s">
        <v>2886</v>
      </c>
      <c r="G846" s="931" t="s">
        <v>2889</v>
      </c>
      <c r="H846" s="296" t="s">
        <v>561</v>
      </c>
      <c r="I846" s="371"/>
      <c r="J846" s="932"/>
      <c r="K846" s="371"/>
      <c r="L846" s="377"/>
      <c r="M846" s="933">
        <v>1350000</v>
      </c>
      <c r="N846" s="934" t="s">
        <v>539</v>
      </c>
      <c r="O846" s="934" t="s">
        <v>8</v>
      </c>
      <c r="P846" s="75" t="str">
        <f>IF(AND('331-CT'!$E$7=TH!H846,OR(N846="331",O846="331")),"x","")</f>
        <v/>
      </c>
      <c r="Q846" s="75" t="str">
        <f>IF(AND(B846='111'!$L$11,OR($N846=$Q$7,$O846=$Q$7)),"x","")</f>
        <v/>
      </c>
      <c r="R846" s="75" t="str">
        <f>IF(AND($N846=$Q$7,$B846&lt;'111'!$L$11),"x","")</f>
        <v/>
      </c>
      <c r="S846" s="75" t="str">
        <f>IF(AND($O846=$Q$7,$B846&lt;'111'!$L$11),"x","")</f>
        <v/>
      </c>
      <c r="T846" s="75" t="str">
        <f>IF(ISERROR(FIND('112'!$M$9,G846,1)),"",IF((AND(FIND('112'!$M$9,G846,1)&gt;=1,B846='112'!$K$9,OR($N846='112'!$I$6,$O846='112'!$I$6))),"x",""))</f>
        <v/>
      </c>
      <c r="U846" s="75" t="str">
        <f>IF(ISERROR(FIND('112'!$M$9,G846,1)),"",IF((AND(LEFT(G846,2)=LEFT('112'!$M$9,2),B846&lt;'112'!$K$9,$N846='112'!$I$6)),"x",""))</f>
        <v/>
      </c>
      <c r="V846" s="75" t="str">
        <f>IF(ISERROR(FIND('112'!$M$9,G846,1)),"",IF((AND(RIGHT(G846,2)=RIGHT('112'!$M$9,2),B846&lt;'112'!$K$9,$O846='112'!$I$6)),"x",""))</f>
        <v/>
      </c>
      <c r="W846" s="75" t="str">
        <f>IF(AND('341-CT'!$H$9=H846,OR(LEFT(N846,3)=$W$7,LEFT(O846,3)=$W$7)),"x","")</f>
        <v/>
      </c>
      <c r="X846" s="75" t="str">
        <f>IF(OR(TH!N846=TH!$X$7,O846=TH!$X$7),"x","")</f>
        <v/>
      </c>
      <c r="Y846" s="75" t="str">
        <f>IF(AND(OR(N846="131",O846="131"),H846='131-CT'!$H$9),"x","")</f>
        <v/>
      </c>
      <c r="Z846" s="75"/>
      <c r="AA846" s="75" t="str">
        <f>IF(AND(MONTH(E846)='IN-NX'!$J$5,'IN-NX'!$D$7=D846),"x","")</f>
        <v/>
      </c>
      <c r="AB846" s="75" t="str">
        <f>IF(AND(OR(LEFT(TH!N846,2)="15",LEFT(TH!O846,2)="15"),LEFT(TH!O846,3)&lt;&gt;"111",'152-CT'!$J$8=TH!F846),"x","")</f>
        <v/>
      </c>
      <c r="AC846" s="75" t="str">
        <f>IF(AND(OR(LEFT(TH!N846,2)="15",LEFT(TH!O846,2)="15"),TK!$E$7=TH!F846),"x","")</f>
        <v/>
      </c>
      <c r="AD846" s="75" t="str">
        <f>IF(AND(N846="1521",MONTH(C846)='BK-NL'!$M$11),"x","")</f>
        <v/>
      </c>
    </row>
    <row r="847" spans="1:31" ht="16.5" customHeight="1">
      <c r="A847" s="309" t="str">
        <f>IF(B847&lt;&gt;"",IF(AND(B847='IN-TC'!$S$4,OR(TH!N847="1111",TH!O847="1111")),TH!D847,""),"")</f>
        <v/>
      </c>
      <c r="B847" s="1159">
        <f t="shared" si="126"/>
        <v>12</v>
      </c>
      <c r="C847" s="929">
        <v>43098</v>
      </c>
      <c r="D847" s="929" t="s">
        <v>530</v>
      </c>
      <c r="E847" s="929">
        <f>C847</f>
        <v>43098</v>
      </c>
      <c r="F847" s="930" t="s">
        <v>2886</v>
      </c>
      <c r="G847" s="931" t="s">
        <v>2890</v>
      </c>
      <c r="H847" s="296" t="s">
        <v>561</v>
      </c>
      <c r="I847" s="371"/>
      <c r="J847" s="932"/>
      <c r="K847" s="371"/>
      <c r="L847" s="377"/>
      <c r="M847" s="933">
        <v>7245000</v>
      </c>
      <c r="N847" s="934" t="s">
        <v>539</v>
      </c>
      <c r="O847" s="934" t="s">
        <v>8</v>
      </c>
      <c r="P847" s="75" t="str">
        <f>IF(AND('331-CT'!$E$7=TH!H847,OR(N847="331",O847="331")),"x","")</f>
        <v/>
      </c>
      <c r="Q847" s="75" t="str">
        <f>IF(AND(B847='111'!$L$11,OR($N847=$Q$7,$O847=$Q$7)),"x","")</f>
        <v/>
      </c>
      <c r="R847" s="75" t="str">
        <f>IF(AND($N847=$Q$7,$B847&lt;'111'!$L$11),"x","")</f>
        <v/>
      </c>
      <c r="S847" s="75" t="str">
        <f>IF(AND($O847=$Q$7,$B847&lt;'111'!$L$11),"x","")</f>
        <v/>
      </c>
      <c r="T847" s="75" t="str">
        <f>IF(ISERROR(FIND('112'!$M$9,G847,1)),"",IF((AND(FIND('112'!$M$9,G847,1)&gt;=1,B847='112'!$K$9,OR($N847='112'!$I$6,$O847='112'!$I$6))),"x",""))</f>
        <v/>
      </c>
      <c r="U847" s="75" t="str">
        <f>IF(ISERROR(FIND('112'!$M$9,G847,1)),"",IF((AND(LEFT(G847,2)=LEFT('112'!$M$9,2),B847&lt;'112'!$K$9,$N847='112'!$I$6)),"x",""))</f>
        <v/>
      </c>
      <c r="V847" s="75" t="str">
        <f>IF(ISERROR(FIND('112'!$M$9,G847,1)),"",IF((AND(RIGHT(G847,2)=RIGHT('112'!$M$9,2),B847&lt;'112'!$K$9,$O847='112'!$I$6)),"x",""))</f>
        <v/>
      </c>
      <c r="W847" s="75" t="str">
        <f>IF(AND('341-CT'!$H$9=H847,OR(LEFT(N847,3)=$W$7,LEFT(O847,3)=$W$7)),"x","")</f>
        <v/>
      </c>
      <c r="X847" s="75" t="str">
        <f>IF(OR(TH!N847=TH!$X$7,O847=TH!$X$7),"x","")</f>
        <v/>
      </c>
      <c r="Y847" s="75" t="str">
        <f>IF(AND(OR(N847="131",O847="131"),H847='131-CT'!$H$9),"x","")</f>
        <v/>
      </c>
      <c r="Z847" s="75"/>
      <c r="AA847" s="75" t="str">
        <f>IF(AND(MONTH(E847)='IN-NX'!$J$5,'IN-NX'!$D$7=D847),"x","")</f>
        <v/>
      </c>
      <c r="AB847" s="75" t="str">
        <f>IF(AND(OR(LEFT(TH!N847,2)="15",LEFT(TH!O847,2)="15"),LEFT(TH!O847,3)&lt;&gt;"111",'152-CT'!$J$8=TH!F847),"x","")</f>
        <v/>
      </c>
      <c r="AC847" s="75" t="str">
        <f>IF(AND(OR(LEFT(TH!N847,2)="15",LEFT(TH!O847,2)="15"),TK!$E$7=TH!F847),"x","")</f>
        <v/>
      </c>
      <c r="AD847" s="75" t="str">
        <f>IF(AND(N847="1521",MONTH(C847)='BK-NL'!$M$11),"x","")</f>
        <v/>
      </c>
    </row>
    <row r="848" spans="1:31" s="1054" customFormat="1" ht="16.5" customHeight="1">
      <c r="A848" s="309" t="str">
        <f>IF(B848&lt;&gt;"",IF(AND(B848='IN-TC'!$S$4,OR(TH!N848="1111",TH!O848="1111")),TH!D848,""),"")</f>
        <v/>
      </c>
      <c r="B848" s="1058">
        <f t="shared" ref="B848:B1268" si="128">IF(C848&lt;&gt;"",MONTH(C848),"")</f>
        <v>1</v>
      </c>
      <c r="C848" s="936">
        <v>42741</v>
      </c>
      <c r="D848" s="936" t="s">
        <v>818</v>
      </c>
      <c r="E848" s="936">
        <f t="shared" ref="E848:E849" si="129">C848</f>
        <v>42741</v>
      </c>
      <c r="F848" s="958" t="s">
        <v>429</v>
      </c>
      <c r="G848" s="942" t="s">
        <v>820</v>
      </c>
      <c r="H848" s="937" t="s">
        <v>759</v>
      </c>
      <c r="I848" s="939">
        <v>105560</v>
      </c>
      <c r="J848" s="939">
        <v>2.63</v>
      </c>
      <c r="K848" s="939">
        <f>I848*J848</f>
        <v>277622.8</v>
      </c>
      <c r="L848" s="938">
        <v>22730</v>
      </c>
      <c r="M848" s="940">
        <f>ROUND(K848*L848,0)</f>
        <v>6310366244</v>
      </c>
      <c r="N848" s="941" t="s">
        <v>536</v>
      </c>
      <c r="O848" s="941" t="s">
        <v>288</v>
      </c>
      <c r="P848" s="75" t="str">
        <f>IF(AND('331-CT'!$E$7=TH!H848,OR(N848="331",O848="331")),"x","")</f>
        <v/>
      </c>
      <c r="Q848" s="75" t="str">
        <f>IF(AND(B848='111'!$L$11,OR($N848=$Q$7,$O848=$Q$7)),"x","")</f>
        <v/>
      </c>
      <c r="R848" s="75" t="str">
        <f>IF(AND($N848=$Q$7,$B848&lt;'111'!$L$11),"x","")</f>
        <v/>
      </c>
      <c r="S848" s="75" t="str">
        <f>IF(AND($O848=$Q$7,$B848&lt;'111'!$L$11),"x","")</f>
        <v/>
      </c>
      <c r="T848" s="75" t="str">
        <f>IF(ISERROR(FIND('112'!$M$9,G848,1)),"",IF((AND(FIND('112'!$M$9,G848,1)&gt;=1,B848='112'!$K$9,OR($N848='112'!$I$6,$O848='112'!$I$6))),"x",""))</f>
        <v/>
      </c>
      <c r="U848" s="75" t="str">
        <f>IF(ISERROR(FIND('112'!$M$9,G848,1)),"",IF((AND(LEFT(G848,2)=LEFT('112'!$M$9,2),B848&lt;'112'!$K$9,$N848='112'!$I$6)),"x",""))</f>
        <v/>
      </c>
      <c r="V848" s="75" t="str">
        <f>IF(ISERROR(FIND('112'!$M$9,G848,1)),"",IF((AND(RIGHT(G848,2)=RIGHT('112'!$M$9,2),B848&lt;'112'!$K$9,$O848='112'!$I$6)),"x",""))</f>
        <v/>
      </c>
      <c r="W848" s="75" t="str">
        <f>IF(AND('341-CT'!$H$9=H848,OR(LEFT(N848,3)=$W$7,LEFT(O848,3)=$W$7)),"x","")</f>
        <v/>
      </c>
      <c r="X848" s="75" t="str">
        <f>IF(OR(TH!N848=TH!$X$7,O848=TH!$X$7),"x","")</f>
        <v/>
      </c>
      <c r="Y848" s="75" t="str">
        <f>IF(AND(OR(N848="131",O848="131"),H848='131-CT'!$H$9),"x","")</f>
        <v/>
      </c>
      <c r="Z848" s="75"/>
      <c r="AA848" s="75" t="str">
        <f>IF(AND(MONTH(E848)='IN-NX'!$J$5,'IN-NX'!$D$7=D848),"x","")</f>
        <v/>
      </c>
      <c r="AB848" s="75" t="str">
        <f>IF(AND(OR(LEFT(TH!N848,2)="15",LEFT(TH!O848,2)="15"),LEFT(TH!O848,3)&lt;&gt;"111",'152-CT'!$J$8=TH!F848),"x","")</f>
        <v/>
      </c>
      <c r="AC848" s="75" t="str">
        <f>IF(AND(OR(LEFT(TH!N848,2)="15",LEFT(TH!O848,2)="15"),TK!$E$7=TH!F848),"x","")</f>
        <v/>
      </c>
      <c r="AD848" s="75" t="str">
        <f>IF(AND(N848="1521",MONTH(C848)='BK-NL'!$M$11),"x","")</f>
        <v/>
      </c>
    </row>
    <row r="849" spans="1:32" ht="16.5" customHeight="1">
      <c r="A849" s="309" t="str">
        <f>IF(B849&lt;&gt;"",IF(AND(B849='IN-TC'!$S$4,OR(TH!N849="1111",TH!O849="1111")),TH!D849,""),"")</f>
        <v/>
      </c>
      <c r="B849" s="1058">
        <f t="shared" si="128"/>
        <v>1</v>
      </c>
      <c r="C849" s="252">
        <v>42746</v>
      </c>
      <c r="D849" s="252" t="s">
        <v>819</v>
      </c>
      <c r="E849" s="252">
        <f t="shared" si="129"/>
        <v>42746</v>
      </c>
      <c r="F849" s="1082" t="s">
        <v>426</v>
      </c>
      <c r="G849" s="1056" t="s">
        <v>821</v>
      </c>
      <c r="H849" s="296" t="s">
        <v>822</v>
      </c>
      <c r="I849" s="371">
        <v>4800</v>
      </c>
      <c r="J849" s="371">
        <v>8.8000000000000007</v>
      </c>
      <c r="K849" s="371">
        <f>I849*J849</f>
        <v>42240</v>
      </c>
      <c r="L849" s="377">
        <v>22595</v>
      </c>
      <c r="M849" s="933">
        <f t="shared" ref="M849:M854" si="130">ROUND(K849*L849,0)</f>
        <v>954412800</v>
      </c>
      <c r="N849" s="977" t="s">
        <v>536</v>
      </c>
      <c r="O849" s="977" t="s">
        <v>288</v>
      </c>
      <c r="P849" s="75" t="str">
        <f>IF(AND('331-CT'!$E$7=TH!H849,OR(N849="331",O849="331")),"x","")</f>
        <v/>
      </c>
      <c r="Q849" s="75" t="str">
        <f>IF(AND(B849='111'!$L$11,OR($N849=$Q$7,$O849=$Q$7)),"x","")</f>
        <v/>
      </c>
      <c r="R849" s="75" t="str">
        <f>IF(AND($N849=$Q$7,$B849&lt;'111'!$L$11),"x","")</f>
        <v/>
      </c>
      <c r="S849" s="75" t="str">
        <f>IF(AND($O849=$Q$7,$B849&lt;'111'!$L$11),"x","")</f>
        <v/>
      </c>
      <c r="T849" s="75" t="str">
        <f>IF(ISERROR(FIND('112'!$M$9,G849,1)),"",IF((AND(FIND('112'!$M$9,G849,1)&gt;=1,B849='112'!$K$9,OR($N849='112'!$I$6,$O849='112'!$I$6))),"x",""))</f>
        <v/>
      </c>
      <c r="U849" s="75" t="str">
        <f>IF(ISERROR(FIND('112'!$M$9,G849,1)),"",IF((AND(LEFT(G849,2)=LEFT('112'!$M$9,2),B849&lt;'112'!$K$9,$N849='112'!$I$6)),"x",""))</f>
        <v/>
      </c>
      <c r="V849" s="75" t="str">
        <f>IF(ISERROR(FIND('112'!$M$9,G849,1)),"",IF((AND(RIGHT(G849,2)=RIGHT('112'!$M$9,2),B849&lt;'112'!$K$9,$O849='112'!$I$6)),"x",""))</f>
        <v/>
      </c>
      <c r="W849" s="75" t="str">
        <f>IF(AND('341-CT'!$H$9=H849,OR(LEFT(N849,3)=$W$7,LEFT(O849,3)=$W$7)),"x","")</f>
        <v/>
      </c>
      <c r="X849" s="75" t="str">
        <f>IF(OR(TH!N849=TH!$X$7,O849=TH!$X$7),"x","")</f>
        <v/>
      </c>
      <c r="Y849" s="75" t="str">
        <f>IF(AND(OR(N849="131",O849="131"),H849='131-CT'!$H$9),"x","")</f>
        <v/>
      </c>
      <c r="Z849" s="75"/>
      <c r="AA849" s="75" t="str">
        <f>IF(AND(MONTH(E849)='IN-NX'!$J$5,'IN-NX'!$D$7=D849),"x","")</f>
        <v/>
      </c>
      <c r="AB849" s="75" t="str">
        <f>IF(AND(OR(LEFT(TH!N849,2)="15",LEFT(TH!O849,2)="15"),LEFT(TH!O849,3)&lt;&gt;"111",'152-CT'!$J$8=TH!F849),"x","")</f>
        <v/>
      </c>
      <c r="AC849" s="75" t="str">
        <f>IF(AND(OR(LEFT(TH!N849,2)="15",LEFT(TH!O849,2)="15"),TK!$E$7=TH!F849),"x","")</f>
        <v/>
      </c>
      <c r="AD849" s="75" t="str">
        <f>IF(AND(N849="1521",MONTH(C849)='BK-NL'!$M$11),"x","")</f>
        <v/>
      </c>
    </row>
    <row r="850" spans="1:32" ht="16.5" customHeight="1">
      <c r="A850" s="309" t="str">
        <f>IF(B850&lt;&gt;"",IF(AND(B850='IN-TC'!$S$4,OR(TH!N850="1111",TH!O850="1111")),TH!D850,""),"")</f>
        <v/>
      </c>
      <c r="B850" s="1058">
        <f t="shared" si="128"/>
        <v>1</v>
      </c>
      <c r="C850" s="252">
        <v>42747</v>
      </c>
      <c r="D850" s="252" t="s">
        <v>836</v>
      </c>
      <c r="E850" s="252">
        <f t="shared" ref="E850:E851" si="131">C850</f>
        <v>42747</v>
      </c>
      <c r="F850" s="1055" t="s">
        <v>1584</v>
      </c>
      <c r="G850" s="1056" t="s">
        <v>837</v>
      </c>
      <c r="H850" s="735" t="s">
        <v>546</v>
      </c>
      <c r="I850" s="371">
        <v>2240</v>
      </c>
      <c r="J850" s="371">
        <v>8.9</v>
      </c>
      <c r="K850" s="371">
        <f t="shared" ref="K850:K851" si="132">I850*J850</f>
        <v>19936</v>
      </c>
      <c r="L850" s="377">
        <v>22595</v>
      </c>
      <c r="M850" s="933">
        <f t="shared" si="130"/>
        <v>450453920</v>
      </c>
      <c r="N850" s="977" t="s">
        <v>536</v>
      </c>
      <c r="O850" s="977" t="s">
        <v>288</v>
      </c>
      <c r="P850" s="75" t="str">
        <f>IF(AND('331-CT'!$E$7=TH!H850,OR(N850="331",O850="331")),"x","")</f>
        <v/>
      </c>
      <c r="Q850" s="75" t="str">
        <f>IF(AND(B850='111'!$L$11,OR($N850=$Q$7,$O850=$Q$7)),"x","")</f>
        <v/>
      </c>
      <c r="R850" s="75" t="str">
        <f>IF(AND($N850=$Q$7,$B850&lt;'111'!$L$11),"x","")</f>
        <v/>
      </c>
      <c r="S850" s="75" t="str">
        <f>IF(AND($O850=$Q$7,$B850&lt;'111'!$L$11),"x","")</f>
        <v/>
      </c>
      <c r="T850" s="75" t="str">
        <f>IF(ISERROR(FIND('112'!$M$9,G850,1)),"",IF((AND(FIND('112'!$M$9,G850,1)&gt;=1,B850='112'!$K$9,OR($N850='112'!$I$6,$O850='112'!$I$6))),"x",""))</f>
        <v/>
      </c>
      <c r="U850" s="75" t="str">
        <f>IF(ISERROR(FIND('112'!$M$9,G850,1)),"",IF((AND(LEFT(G850,2)=LEFT('112'!$M$9,2),B850&lt;'112'!$K$9,$N850='112'!$I$6)),"x",""))</f>
        <v/>
      </c>
      <c r="V850" s="75" t="str">
        <f>IF(ISERROR(FIND('112'!$M$9,G850,1)),"",IF((AND(RIGHT(G850,2)=RIGHT('112'!$M$9,2),B850&lt;'112'!$K$9,$O850='112'!$I$6)),"x",""))</f>
        <v/>
      </c>
      <c r="W850" s="75" t="str">
        <f>IF(AND('341-CT'!$H$9=H850,OR(LEFT(N850,3)=$W$7,LEFT(O850,3)=$W$7)),"x","")</f>
        <v/>
      </c>
      <c r="X850" s="75" t="str">
        <f>IF(OR(TH!N850=TH!$X$7,O850=TH!$X$7),"x","")</f>
        <v/>
      </c>
      <c r="Y850" s="75" t="str">
        <f>IF(AND(OR(N850="131",O850="131"),H850='131-CT'!$H$9),"x","")</f>
        <v/>
      </c>
      <c r="Z850" s="75"/>
      <c r="AA850" s="75" t="str">
        <f>IF(AND(MONTH(E850)='IN-NX'!$J$5,'IN-NX'!$D$7=D850),"x","")</f>
        <v/>
      </c>
      <c r="AB850" s="75" t="str">
        <f>IF(AND(OR(LEFT(TH!N850,2)="15",LEFT(TH!O850,2)="15"),LEFT(TH!O850,3)&lt;&gt;"111",'152-CT'!$J$8=TH!F850),"x","")</f>
        <v/>
      </c>
      <c r="AC850" s="75" t="str">
        <f>IF(AND(OR(LEFT(TH!N850,2)="15",LEFT(TH!O850,2)="15"),TK!$E$7=TH!F850),"x","")</f>
        <v/>
      </c>
      <c r="AD850" s="75" t="str">
        <f>IF(AND(N850="1521",MONTH(C850)='BK-NL'!$M$11),"x","")</f>
        <v/>
      </c>
    </row>
    <row r="851" spans="1:32" ht="16.5" customHeight="1">
      <c r="A851" s="309" t="str">
        <f>IF(B851&lt;&gt;"",IF(AND(B851='IN-TC'!$S$4,OR(TH!N851="1111",TH!O851="1111")),TH!D851,""),"")</f>
        <v/>
      </c>
      <c r="B851" s="1058">
        <f t="shared" si="128"/>
        <v>1</v>
      </c>
      <c r="C851" s="252">
        <v>42747</v>
      </c>
      <c r="D851" s="252" t="s">
        <v>836</v>
      </c>
      <c r="E851" s="252">
        <f t="shared" si="131"/>
        <v>42747</v>
      </c>
      <c r="F851" s="1055" t="s">
        <v>1107</v>
      </c>
      <c r="G851" s="1056" t="s">
        <v>837</v>
      </c>
      <c r="H851" s="735" t="s">
        <v>546</v>
      </c>
      <c r="I851" s="371">
        <v>2470</v>
      </c>
      <c r="J851" s="371">
        <v>9.5</v>
      </c>
      <c r="K851" s="371">
        <f t="shared" si="132"/>
        <v>23465</v>
      </c>
      <c r="L851" s="377">
        <v>22595</v>
      </c>
      <c r="M851" s="933">
        <f t="shared" si="130"/>
        <v>530191675</v>
      </c>
      <c r="N851" s="977" t="s">
        <v>536</v>
      </c>
      <c r="O851" s="977" t="s">
        <v>288</v>
      </c>
      <c r="P851" s="75" t="str">
        <f>IF(AND('331-CT'!$E$7=TH!H851,OR(N851="331",O851="331")),"x","")</f>
        <v/>
      </c>
      <c r="Q851" s="75" t="str">
        <f>IF(AND(B851='111'!$L$11,OR($N851=$Q$7,$O851=$Q$7)),"x","")</f>
        <v/>
      </c>
      <c r="R851" s="75" t="str">
        <f>IF(AND($N851=$Q$7,$B851&lt;'111'!$L$11),"x","")</f>
        <v/>
      </c>
      <c r="S851" s="75" t="str">
        <f>IF(AND($O851=$Q$7,$B851&lt;'111'!$L$11),"x","")</f>
        <v/>
      </c>
      <c r="T851" s="75" t="str">
        <f>IF(ISERROR(FIND('112'!$M$9,G851,1)),"",IF((AND(FIND('112'!$M$9,G851,1)&gt;=1,B851='112'!$K$9,OR($N851='112'!$I$6,$O851='112'!$I$6))),"x",""))</f>
        <v/>
      </c>
      <c r="U851" s="75" t="str">
        <f>IF(ISERROR(FIND('112'!$M$9,G851,1)),"",IF((AND(LEFT(G851,2)=LEFT('112'!$M$9,2),B851&lt;'112'!$K$9,$N851='112'!$I$6)),"x",""))</f>
        <v/>
      </c>
      <c r="V851" s="75" t="str">
        <f>IF(ISERROR(FIND('112'!$M$9,G851,1)),"",IF((AND(RIGHT(G851,2)=RIGHT('112'!$M$9,2),B851&lt;'112'!$K$9,$O851='112'!$I$6)),"x",""))</f>
        <v/>
      </c>
      <c r="W851" s="75" t="str">
        <f>IF(AND('341-CT'!$H$9=H851,OR(LEFT(N851,3)=$W$7,LEFT(O851,3)=$W$7)),"x","")</f>
        <v/>
      </c>
      <c r="X851" s="75" t="str">
        <f>IF(OR(TH!N851=TH!$X$7,O851=TH!$X$7),"x","")</f>
        <v/>
      </c>
      <c r="Y851" s="75" t="str">
        <f>IF(AND(OR(N851="131",O851="131"),H851='131-CT'!$H$9),"x","")</f>
        <v/>
      </c>
      <c r="Z851" s="75"/>
      <c r="AA851" s="75" t="str">
        <f>IF(AND(MONTH(E851)='IN-NX'!$J$5,'IN-NX'!$D$7=D851),"x","")</f>
        <v/>
      </c>
      <c r="AB851" s="75" t="str">
        <f>IF(AND(OR(LEFT(TH!N851,2)="15",LEFT(TH!O851,2)="15"),LEFT(TH!O851,3)&lt;&gt;"111",'152-CT'!$J$8=TH!F851),"x","")</f>
        <v/>
      </c>
      <c r="AC851" s="75" t="str">
        <f>IF(AND(OR(LEFT(TH!N851,2)="15",LEFT(TH!O851,2)="15"),TK!$E$7=TH!F851),"x","")</f>
        <v/>
      </c>
      <c r="AD851" s="75" t="str">
        <f>IF(AND(N851="1521",MONTH(C851)='BK-NL'!$M$11),"x","")</f>
        <v/>
      </c>
    </row>
    <row r="852" spans="1:32" ht="16.5" customHeight="1">
      <c r="A852" s="309" t="str">
        <f>IF(B852&lt;&gt;"",IF(AND(B852='IN-TC'!$S$4,OR(TH!N852="1111",TH!O852="1111")),TH!D852,""),"")</f>
        <v/>
      </c>
      <c r="B852" s="1058">
        <f t="shared" si="128"/>
        <v>1</v>
      </c>
      <c r="C852" s="252">
        <v>42749</v>
      </c>
      <c r="D852" s="252" t="s">
        <v>838</v>
      </c>
      <c r="E852" s="252">
        <f t="shared" ref="E852" si="133">C852</f>
        <v>42749</v>
      </c>
      <c r="F852" s="1055" t="s">
        <v>2400</v>
      </c>
      <c r="G852" s="1056" t="s">
        <v>839</v>
      </c>
      <c r="H852" s="296" t="s">
        <v>822</v>
      </c>
      <c r="I852" s="371">
        <v>12000</v>
      </c>
      <c r="J852" s="371">
        <v>9</v>
      </c>
      <c r="K852" s="371">
        <f t="shared" ref="K852" si="134">I852*J852</f>
        <v>108000</v>
      </c>
      <c r="L852" s="377">
        <v>22595</v>
      </c>
      <c r="M852" s="933">
        <f t="shared" si="130"/>
        <v>2440260000</v>
      </c>
      <c r="N852" s="977" t="s">
        <v>536</v>
      </c>
      <c r="O852" s="977" t="s">
        <v>288</v>
      </c>
      <c r="P852" s="75" t="str">
        <f>IF(AND('331-CT'!$E$7=TH!H852,OR(N852="331",O852="331")),"x","")</f>
        <v/>
      </c>
      <c r="Q852" s="75" t="str">
        <f>IF(AND(B852='111'!$L$11,OR($N852=$Q$7,$O852=$Q$7)),"x","")</f>
        <v/>
      </c>
      <c r="R852" s="75" t="str">
        <f>IF(AND($N852=$Q$7,$B852&lt;'111'!$L$11),"x","")</f>
        <v/>
      </c>
      <c r="S852" s="75" t="str">
        <f>IF(AND($O852=$Q$7,$B852&lt;'111'!$L$11),"x","")</f>
        <v/>
      </c>
      <c r="T852" s="75" t="str">
        <f>IF(ISERROR(FIND('112'!$M$9,G852,1)),"",IF((AND(FIND('112'!$M$9,G852,1)&gt;=1,B852='112'!$K$9,OR($N852='112'!$I$6,$O852='112'!$I$6))),"x",""))</f>
        <v/>
      </c>
      <c r="U852" s="75" t="str">
        <f>IF(ISERROR(FIND('112'!$M$9,G852,1)),"",IF((AND(LEFT(G852,2)=LEFT('112'!$M$9,2),B852&lt;'112'!$K$9,$N852='112'!$I$6)),"x",""))</f>
        <v/>
      </c>
      <c r="V852" s="75" t="str">
        <f>IF(ISERROR(FIND('112'!$M$9,G852,1)),"",IF((AND(RIGHT(G852,2)=RIGHT('112'!$M$9,2),B852&lt;'112'!$K$9,$O852='112'!$I$6)),"x",""))</f>
        <v/>
      </c>
      <c r="W852" s="75" t="str">
        <f>IF(AND('341-CT'!$H$9=H852,OR(LEFT(N852,3)=$W$7,LEFT(O852,3)=$W$7)),"x","")</f>
        <v/>
      </c>
      <c r="X852" s="75" t="str">
        <f>IF(OR(TH!N852=TH!$X$7,O852=TH!$X$7),"x","")</f>
        <v/>
      </c>
      <c r="Y852" s="75" t="str">
        <f>IF(AND(OR(N852="131",O852="131"),H852='131-CT'!$H$9),"x","")</f>
        <v/>
      </c>
      <c r="Z852" s="75"/>
      <c r="AA852" s="75" t="str">
        <f>IF(AND(MONTH(E852)='IN-NX'!$J$5,'IN-NX'!$D$7=D852),"x","")</f>
        <v/>
      </c>
      <c r="AB852" s="75" t="str">
        <f>IF(AND(OR(LEFT(TH!N852,2)="15",LEFT(TH!O852,2)="15"),LEFT(TH!O852,3)&lt;&gt;"111",'152-CT'!$J$8=TH!F852),"x","")</f>
        <v/>
      </c>
      <c r="AC852" s="75" t="str">
        <f>IF(AND(OR(LEFT(TH!N852,2)="15",LEFT(TH!O852,2)="15"),TK!$E$7=TH!F852),"x","")</f>
        <v/>
      </c>
      <c r="AD852" s="75" t="str">
        <f>IF(AND(N852="1521",MONTH(C852)='BK-NL'!$M$11),"x","")</f>
        <v/>
      </c>
    </row>
    <row r="853" spans="1:32" ht="16.5" customHeight="1">
      <c r="A853" s="309" t="str">
        <f>IF(B853&lt;&gt;"",IF(AND(B853='IN-TC'!$S$4,OR(TH!N853="1111",TH!O853="1111")),TH!D853,""),"")</f>
        <v/>
      </c>
      <c r="B853" s="1058">
        <f t="shared" si="128"/>
        <v>1</v>
      </c>
      <c r="C853" s="252">
        <v>42752</v>
      </c>
      <c r="D853" s="252" t="s">
        <v>863</v>
      </c>
      <c r="E853" s="252">
        <f t="shared" ref="E853:E854" si="135">C853</f>
        <v>42752</v>
      </c>
      <c r="F853" s="1082" t="s">
        <v>426</v>
      </c>
      <c r="G853" s="1056" t="s">
        <v>865</v>
      </c>
      <c r="H853" s="1184" t="s">
        <v>738</v>
      </c>
      <c r="I853" s="371">
        <v>4800</v>
      </c>
      <c r="J853" s="371">
        <v>8.6999999999999993</v>
      </c>
      <c r="K853" s="371">
        <f t="shared" ref="K853:K854" si="136">I853*J853</f>
        <v>41760</v>
      </c>
      <c r="L853" s="377">
        <v>22530</v>
      </c>
      <c r="M853" s="933">
        <f t="shared" si="130"/>
        <v>940852800</v>
      </c>
      <c r="N853" s="977" t="s">
        <v>536</v>
      </c>
      <c r="O853" s="977" t="s">
        <v>288</v>
      </c>
      <c r="P853" s="75" t="str">
        <f>IF(AND('331-CT'!$E$7=TH!H853,OR(N853="331",O853="331")),"x","")</f>
        <v/>
      </c>
      <c r="Q853" s="75" t="str">
        <f>IF(AND(B853='111'!$L$11,OR($N853=$Q$7,$O853=$Q$7)),"x","")</f>
        <v/>
      </c>
      <c r="R853" s="75" t="str">
        <f>IF(AND($N853=$Q$7,$B853&lt;'111'!$L$11),"x","")</f>
        <v/>
      </c>
      <c r="S853" s="75" t="str">
        <f>IF(AND($O853=$Q$7,$B853&lt;'111'!$L$11),"x","")</f>
        <v/>
      </c>
      <c r="T853" s="75" t="str">
        <f>IF(ISERROR(FIND('112'!$M$9,G853,1)),"",IF((AND(FIND('112'!$M$9,G853,1)&gt;=1,B853='112'!$K$9,OR($N853='112'!$I$6,$O853='112'!$I$6))),"x",""))</f>
        <v/>
      </c>
      <c r="U853" s="75" t="str">
        <f>IF(ISERROR(FIND('112'!$M$9,G853,1)),"",IF((AND(LEFT(G853,2)=LEFT('112'!$M$9,2),B853&lt;'112'!$K$9,$N853='112'!$I$6)),"x",""))</f>
        <v/>
      </c>
      <c r="V853" s="75" t="str">
        <f>IF(ISERROR(FIND('112'!$M$9,G853,1)),"",IF((AND(RIGHT(G853,2)=RIGHT('112'!$M$9,2),B853&lt;'112'!$K$9,$O853='112'!$I$6)),"x",""))</f>
        <v/>
      </c>
      <c r="W853" s="75" t="str">
        <f>IF(AND('341-CT'!$H$9=H853,OR(LEFT(N853,3)=$W$7,LEFT(O853,3)=$W$7)),"x","")</f>
        <v/>
      </c>
      <c r="X853" s="75" t="str">
        <f>IF(OR(TH!N853=TH!$X$7,O853=TH!$X$7),"x","")</f>
        <v/>
      </c>
      <c r="Y853" s="75" t="str">
        <f>IF(AND(OR(N853="131",O853="131"),H853='131-CT'!$H$9),"x","")</f>
        <v/>
      </c>
      <c r="Z853" s="75"/>
      <c r="AA853" s="75" t="str">
        <f>IF(AND(MONTH(E853)='IN-NX'!$J$5,'IN-NX'!$D$7=D853),"x","")</f>
        <v/>
      </c>
      <c r="AB853" s="75" t="str">
        <f>IF(AND(OR(LEFT(TH!N853,2)="15",LEFT(TH!O853,2)="15"),LEFT(TH!O853,3)&lt;&gt;"111",'152-CT'!$J$8=TH!F853),"x","")</f>
        <v/>
      </c>
      <c r="AC853" s="75" t="str">
        <f>IF(AND(OR(LEFT(TH!N853,2)="15",LEFT(TH!O853,2)="15"),TK!$E$7=TH!F853),"x","")</f>
        <v/>
      </c>
      <c r="AD853" s="75" t="str">
        <f>IF(AND(N853="1521",MONTH(C853)='BK-NL'!$M$11),"x","")</f>
        <v/>
      </c>
    </row>
    <row r="854" spans="1:32" ht="16.5" customHeight="1">
      <c r="A854" s="309" t="str">
        <f>IF(B854&lt;&gt;"",IF(AND(B854='IN-TC'!$S$4,OR(TH!N854="1111",TH!O854="1111")),TH!D854,""),"")</f>
        <v/>
      </c>
      <c r="B854" s="1058">
        <f t="shared" si="128"/>
        <v>1</v>
      </c>
      <c r="C854" s="252">
        <v>42754</v>
      </c>
      <c r="D854" s="252" t="s">
        <v>864</v>
      </c>
      <c r="E854" s="252">
        <f t="shared" si="135"/>
        <v>42754</v>
      </c>
      <c r="F854" s="1055" t="s">
        <v>793</v>
      </c>
      <c r="G854" s="1056" t="s">
        <v>866</v>
      </c>
      <c r="H854" s="73" t="s">
        <v>746</v>
      </c>
      <c r="I854" s="371">
        <v>10000</v>
      </c>
      <c r="J854" s="371">
        <v>7.2</v>
      </c>
      <c r="K854" s="371">
        <f t="shared" si="136"/>
        <v>72000</v>
      </c>
      <c r="L854" s="377">
        <v>22530</v>
      </c>
      <c r="M854" s="933">
        <f t="shared" si="130"/>
        <v>1622160000</v>
      </c>
      <c r="N854" s="977" t="s">
        <v>536</v>
      </c>
      <c r="O854" s="977" t="s">
        <v>288</v>
      </c>
      <c r="P854" s="75" t="str">
        <f>IF(AND('331-CT'!$E$7=TH!H854,OR(N854="331",O854="331")),"x","")</f>
        <v/>
      </c>
      <c r="Q854" s="75" t="str">
        <f>IF(AND(B854='111'!$L$11,OR($N854=$Q$7,$O854=$Q$7)),"x","")</f>
        <v/>
      </c>
      <c r="R854" s="75" t="str">
        <f>IF(AND($N854=$Q$7,$B854&lt;'111'!$L$11),"x","")</f>
        <v/>
      </c>
      <c r="S854" s="75" t="str">
        <f>IF(AND($O854=$Q$7,$B854&lt;'111'!$L$11),"x","")</f>
        <v/>
      </c>
      <c r="T854" s="75" t="str">
        <f>IF(ISERROR(FIND('112'!$M$9,G854,1)),"",IF((AND(FIND('112'!$M$9,G854,1)&gt;=1,B854='112'!$K$9,OR($N854='112'!$I$6,$O854='112'!$I$6))),"x",""))</f>
        <v/>
      </c>
      <c r="U854" s="75" t="str">
        <f>IF(ISERROR(FIND('112'!$M$9,G854,1)),"",IF((AND(LEFT(G854,2)=LEFT('112'!$M$9,2),B854&lt;'112'!$K$9,$N854='112'!$I$6)),"x",""))</f>
        <v/>
      </c>
      <c r="V854" s="75" t="str">
        <f>IF(ISERROR(FIND('112'!$M$9,G854,1)),"",IF((AND(RIGHT(G854,2)=RIGHT('112'!$M$9,2),B854&lt;'112'!$K$9,$O854='112'!$I$6)),"x",""))</f>
        <v/>
      </c>
      <c r="W854" s="75" t="str">
        <f>IF(AND('341-CT'!$H$9=H854,OR(LEFT(N854,3)=$W$7,LEFT(O854,3)=$W$7)),"x","")</f>
        <v/>
      </c>
      <c r="X854" s="75" t="str">
        <f>IF(OR(TH!N854=TH!$X$7,O854=TH!$X$7),"x","")</f>
        <v/>
      </c>
      <c r="Y854" s="75" t="str">
        <f>IF(AND(OR(N854="131",O854="131"),H854='131-CT'!$H$9),"x","")</f>
        <v/>
      </c>
      <c r="Z854" s="75"/>
      <c r="AA854" s="75" t="str">
        <f>IF(AND(MONTH(E854)='IN-NX'!$J$5,'IN-NX'!$D$7=D854),"x","")</f>
        <v/>
      </c>
      <c r="AB854" s="75" t="str">
        <f>IF(AND(OR(LEFT(TH!N854,2)="15",LEFT(TH!O854,2)="15"),LEFT(TH!O854,3)&lt;&gt;"111",'152-CT'!$J$8=TH!F854),"x","")</f>
        <v/>
      </c>
      <c r="AC854" s="75" t="str">
        <f>IF(AND(OR(LEFT(TH!N854,2)="15",LEFT(TH!O854,2)="15"),TK!$E$7=TH!F854),"x","")</f>
        <v/>
      </c>
      <c r="AD854" s="75" t="str">
        <f>IF(AND(N854="1521",MONTH(C854)='BK-NL'!$M$11),"x","")</f>
        <v/>
      </c>
    </row>
    <row r="855" spans="1:32" ht="16.5" customHeight="1">
      <c r="A855" s="309" t="str">
        <f>IF(B855&lt;&gt;"",IF(AND(B855='IN-TC'!$S$4,OR(TH!N855="1111",TH!O855="1111")),TH!D855,""),"")</f>
        <v/>
      </c>
      <c r="B855" s="1058">
        <f t="shared" si="128"/>
        <v>1</v>
      </c>
      <c r="C855" s="252">
        <v>42754</v>
      </c>
      <c r="D855" s="252" t="s">
        <v>894</v>
      </c>
      <c r="E855" s="252">
        <f t="shared" ref="E855" si="137">C855</f>
        <v>42754</v>
      </c>
      <c r="F855" s="1055" t="s">
        <v>2477</v>
      </c>
      <c r="G855" s="1056" t="s">
        <v>896</v>
      </c>
      <c r="H855" s="735" t="s">
        <v>802</v>
      </c>
      <c r="I855" s="371">
        <v>130</v>
      </c>
      <c r="J855" s="371">
        <v>150000</v>
      </c>
      <c r="K855" s="371"/>
      <c r="L855" s="377"/>
      <c r="M855" s="933">
        <f>ROUND(I855*J855,0)</f>
        <v>19500000</v>
      </c>
      <c r="N855" s="977" t="s">
        <v>536</v>
      </c>
      <c r="O855" s="977" t="s">
        <v>286</v>
      </c>
      <c r="P855" s="75" t="str">
        <f>IF(AND('331-CT'!$E$7=TH!H855,OR(N855="331",O855="331")),"x","")</f>
        <v/>
      </c>
      <c r="Q855" s="75" t="str">
        <f>IF(AND(B855='111'!$L$11,OR($N855=$Q$7,$O855=$Q$7)),"x","")</f>
        <v/>
      </c>
      <c r="R855" s="75" t="str">
        <f>IF(AND($N855=$Q$7,$B855&lt;'111'!$L$11),"x","")</f>
        <v/>
      </c>
      <c r="S855" s="75" t="str">
        <f>IF(AND($O855=$Q$7,$B855&lt;'111'!$L$11),"x","")</f>
        <v/>
      </c>
      <c r="T855" s="75" t="str">
        <f>IF(ISERROR(FIND('112'!$M$9,G855,1)),"",IF((AND(FIND('112'!$M$9,G855,1)&gt;=1,B855='112'!$K$9,OR($N855='112'!$I$6,$O855='112'!$I$6))),"x",""))</f>
        <v/>
      </c>
      <c r="U855" s="75" t="str">
        <f>IF(ISERROR(FIND('112'!$M$9,G855,1)),"",IF((AND(LEFT(G855,2)=LEFT('112'!$M$9,2),B855&lt;'112'!$K$9,$N855='112'!$I$6)),"x",""))</f>
        <v/>
      </c>
      <c r="V855" s="75" t="str">
        <f>IF(ISERROR(FIND('112'!$M$9,G855,1)),"",IF((AND(RIGHT(G855,2)=RIGHT('112'!$M$9,2),B855&lt;'112'!$K$9,$O855='112'!$I$6)),"x",""))</f>
        <v/>
      </c>
      <c r="W855" s="75" t="str">
        <f>IF(AND('341-CT'!$H$9=H855,OR(LEFT(N855,3)=$W$7,LEFT(O855,3)=$W$7)),"x","")</f>
        <v/>
      </c>
      <c r="X855" s="75" t="str">
        <f>IF(OR(TH!N855=TH!$X$7,O855=TH!$X$7),"x","")</f>
        <v/>
      </c>
      <c r="Y855" s="75" t="str">
        <f>IF(AND(OR(N855="131",O855="131"),H855='131-CT'!$H$9),"x","")</f>
        <v/>
      </c>
      <c r="Z855" s="75"/>
      <c r="AA855" s="75" t="str">
        <f>IF(AND(MONTH(E855)='IN-NX'!$J$5,'IN-NX'!$D$7=D855),"x","")</f>
        <v/>
      </c>
      <c r="AB855" s="75" t="str">
        <f>IF(AND(OR(LEFT(TH!N855,2)="15",LEFT(TH!O855,2)="15"),LEFT(TH!O855,3)&lt;&gt;"111",'152-CT'!$J$8=TH!F855),"x","")</f>
        <v/>
      </c>
      <c r="AC855" s="75" t="str">
        <f>IF(AND(OR(LEFT(TH!N855,2)="15",LEFT(TH!O855,2)="15"),TK!$E$7=TH!F855),"x","")</f>
        <v/>
      </c>
      <c r="AD855" s="75" t="str">
        <f>IF(AND(N855="1521",MONTH(C855)='BK-NL'!$M$11),"x","")</f>
        <v/>
      </c>
    </row>
    <row r="856" spans="1:32" ht="16.5" customHeight="1">
      <c r="A856" s="309" t="str">
        <f>IF(B856&lt;&gt;"",IF(AND(B856='IN-TC'!$S$4,OR(TH!N856="1111",TH!O856="1111")),TH!D856,""),"")</f>
        <v/>
      </c>
      <c r="B856" s="1058">
        <f t="shared" si="128"/>
        <v>1</v>
      </c>
      <c r="C856" s="252">
        <v>42754</v>
      </c>
      <c r="D856" s="252" t="s">
        <v>894</v>
      </c>
      <c r="E856" s="252">
        <f t="shared" ref="E856:E1010" si="138">C856</f>
        <v>42754</v>
      </c>
      <c r="F856" s="1082" t="s">
        <v>799</v>
      </c>
      <c r="G856" s="1056" t="s">
        <v>896</v>
      </c>
      <c r="H856" s="735" t="s">
        <v>802</v>
      </c>
      <c r="I856" s="371">
        <v>50</v>
      </c>
      <c r="J856" s="371">
        <v>220000</v>
      </c>
      <c r="K856" s="371"/>
      <c r="L856" s="377"/>
      <c r="M856" s="933">
        <f t="shared" ref="M856:M858" si="139">ROUND(I856*J856,0)</f>
        <v>11000000</v>
      </c>
      <c r="N856" s="977" t="s">
        <v>536</v>
      </c>
      <c r="O856" s="977" t="s">
        <v>286</v>
      </c>
      <c r="P856" s="75" t="str">
        <f>IF(AND('331-CT'!$E$7=TH!H856,OR(N856="331",O856="331")),"x","")</f>
        <v/>
      </c>
      <c r="Q856" s="75" t="str">
        <f>IF(AND(B856='111'!$L$11,OR($N856=$Q$7,$O856=$Q$7)),"x","")</f>
        <v/>
      </c>
      <c r="R856" s="75" t="str">
        <f>IF(AND($N856=$Q$7,$B856&lt;'111'!$L$11),"x","")</f>
        <v/>
      </c>
      <c r="S856" s="75" t="str">
        <f>IF(AND($O856=$Q$7,$B856&lt;'111'!$L$11),"x","")</f>
        <v/>
      </c>
      <c r="T856" s="75" t="str">
        <f>IF(ISERROR(FIND('112'!$M$9,G856,1)),"",IF((AND(FIND('112'!$M$9,G856,1)&gt;=1,B856='112'!$K$9,OR($N856='112'!$I$6,$O856='112'!$I$6))),"x",""))</f>
        <v/>
      </c>
      <c r="U856" s="75" t="str">
        <f>IF(ISERROR(FIND('112'!$M$9,G856,1)),"",IF((AND(LEFT(G856,2)=LEFT('112'!$M$9,2),B856&lt;'112'!$K$9,$N856='112'!$I$6)),"x",""))</f>
        <v/>
      </c>
      <c r="V856" s="75" t="str">
        <f>IF(ISERROR(FIND('112'!$M$9,G856,1)),"",IF((AND(RIGHT(G856,2)=RIGHT('112'!$M$9,2),B856&lt;'112'!$K$9,$O856='112'!$I$6)),"x",""))</f>
        <v/>
      </c>
      <c r="W856" s="75" t="str">
        <f>IF(AND('341-CT'!$H$9=H856,OR(LEFT(N856,3)=$W$7,LEFT(O856,3)=$W$7)),"x","")</f>
        <v/>
      </c>
      <c r="X856" s="75" t="str">
        <f>IF(OR(TH!N856=TH!$X$7,O856=TH!$X$7),"x","")</f>
        <v/>
      </c>
      <c r="Y856" s="75" t="str">
        <f>IF(AND(OR(N856="131",O856="131"),H856='131-CT'!$H$9),"x","")</f>
        <v/>
      </c>
      <c r="Z856" s="75"/>
      <c r="AA856" s="75" t="str">
        <f>IF(AND(MONTH(E856)='IN-NX'!$J$5,'IN-NX'!$D$7=D856),"x","")</f>
        <v/>
      </c>
      <c r="AB856" s="75" t="str">
        <f>IF(AND(OR(LEFT(TH!N856,2)="15",LEFT(TH!O856,2)="15"),LEFT(TH!O856,3)&lt;&gt;"111",'152-CT'!$J$8=TH!F856),"x","")</f>
        <v/>
      </c>
      <c r="AC856" s="75" t="str">
        <f>IF(AND(OR(LEFT(TH!N856,2)="15",LEFT(TH!O856,2)="15"),TK!$E$7=TH!F856),"x","")</f>
        <v/>
      </c>
      <c r="AD856" s="75" t="str">
        <f>IF(AND(N856="1521",MONTH(C856)='BK-NL'!$M$11),"x","")</f>
        <v/>
      </c>
    </row>
    <row r="857" spans="1:32" ht="16.5" customHeight="1">
      <c r="A857" s="309" t="str">
        <f>IF(B857&lt;&gt;"",IF(AND(B857='IN-TC'!$S$4,OR(TH!N857="1111",TH!O857="1111")),TH!D857,""),"")</f>
        <v/>
      </c>
      <c r="B857" s="1058">
        <f t="shared" si="128"/>
        <v>1</v>
      </c>
      <c r="C857" s="252">
        <v>42754</v>
      </c>
      <c r="D857" s="252" t="s">
        <v>894</v>
      </c>
      <c r="E857" s="252">
        <f t="shared" si="138"/>
        <v>42754</v>
      </c>
      <c r="F857" s="1082" t="s">
        <v>800</v>
      </c>
      <c r="G857" s="1056" t="s">
        <v>896</v>
      </c>
      <c r="H857" s="735" t="s">
        <v>802</v>
      </c>
      <c r="I857" s="371">
        <v>10</v>
      </c>
      <c r="J857" s="371">
        <v>200000</v>
      </c>
      <c r="K857" s="371"/>
      <c r="L857" s="377"/>
      <c r="M857" s="933">
        <f t="shared" si="139"/>
        <v>2000000</v>
      </c>
      <c r="N857" s="977" t="s">
        <v>536</v>
      </c>
      <c r="O857" s="977" t="s">
        <v>286</v>
      </c>
      <c r="P857" s="75" t="str">
        <f>IF(AND('331-CT'!$E$7=TH!H857,OR(N857="331",O857="331")),"x","")</f>
        <v/>
      </c>
      <c r="Q857" s="75" t="str">
        <f>IF(AND(B857='111'!$L$11,OR($N857=$Q$7,$O857=$Q$7)),"x","")</f>
        <v/>
      </c>
      <c r="R857" s="75" t="str">
        <f>IF(AND($N857=$Q$7,$B857&lt;'111'!$L$11),"x","")</f>
        <v/>
      </c>
      <c r="S857" s="75" t="str">
        <f>IF(AND($O857=$Q$7,$B857&lt;'111'!$L$11),"x","")</f>
        <v/>
      </c>
      <c r="T857" s="75" t="str">
        <f>IF(ISERROR(FIND('112'!$M$9,G857,1)),"",IF((AND(FIND('112'!$M$9,G857,1)&gt;=1,B857='112'!$K$9,OR($N857='112'!$I$6,$O857='112'!$I$6))),"x",""))</f>
        <v/>
      </c>
      <c r="U857" s="75" t="str">
        <f>IF(ISERROR(FIND('112'!$M$9,G857,1)),"",IF((AND(LEFT(G857,2)=LEFT('112'!$M$9,2),B857&lt;'112'!$K$9,$N857='112'!$I$6)),"x",""))</f>
        <v/>
      </c>
      <c r="V857" s="75" t="str">
        <f>IF(ISERROR(FIND('112'!$M$9,G857,1)),"",IF((AND(RIGHT(G857,2)=RIGHT('112'!$M$9,2),B857&lt;'112'!$K$9,$O857='112'!$I$6)),"x",""))</f>
        <v/>
      </c>
      <c r="W857" s="75" t="str">
        <f>IF(AND('341-CT'!$H$9=H857,OR(LEFT(N857,3)=$W$7,LEFT(O857,3)=$W$7)),"x","")</f>
        <v/>
      </c>
      <c r="X857" s="75" t="str">
        <f>IF(OR(TH!N857=TH!$X$7,O857=TH!$X$7),"x","")</f>
        <v/>
      </c>
      <c r="Y857" s="75" t="str">
        <f>IF(AND(OR(N857="131",O857="131"),H857='131-CT'!$H$9),"x","")</f>
        <v/>
      </c>
      <c r="Z857" s="75"/>
      <c r="AA857" s="75" t="str">
        <f>IF(AND(MONTH(E857)='IN-NX'!$J$5,'IN-NX'!$D$7=D857),"x","")</f>
        <v/>
      </c>
      <c r="AB857" s="75" t="str">
        <f>IF(AND(OR(LEFT(TH!N857,2)="15",LEFT(TH!O857,2)="15"),LEFT(TH!O857,3)&lt;&gt;"111",'152-CT'!$J$8=TH!F857),"x","")</f>
        <v/>
      </c>
      <c r="AC857" s="75" t="str">
        <f>IF(AND(OR(LEFT(TH!N857,2)="15",LEFT(TH!O857,2)="15"),TK!$E$7=TH!F857),"x","")</f>
        <v/>
      </c>
      <c r="AD857" s="75" t="str">
        <f>IF(AND(N857="1521",MONTH(C857)='BK-NL'!$M$11),"x","")</f>
        <v/>
      </c>
    </row>
    <row r="858" spans="1:32" ht="16.5" customHeight="1">
      <c r="A858" s="309" t="str">
        <f>IF(B858&lt;&gt;"",IF(AND(B858='IN-TC'!$S$4,OR(TH!N858="1111",TH!O858="1111")),TH!D858,""),"")</f>
        <v/>
      </c>
      <c r="B858" s="1058">
        <f t="shared" si="128"/>
        <v>1</v>
      </c>
      <c r="C858" s="252">
        <v>42754</v>
      </c>
      <c r="D858" s="252" t="s">
        <v>894</v>
      </c>
      <c r="E858" s="252">
        <f t="shared" si="138"/>
        <v>42754</v>
      </c>
      <c r="F858" s="1082" t="s">
        <v>801</v>
      </c>
      <c r="G858" s="1056" t="s">
        <v>896</v>
      </c>
      <c r="H858" s="735" t="s">
        <v>802</v>
      </c>
      <c r="I858" s="371">
        <v>120</v>
      </c>
      <c r="J858" s="371">
        <v>160000</v>
      </c>
      <c r="K858" s="371"/>
      <c r="L858" s="377"/>
      <c r="M858" s="933">
        <f t="shared" si="139"/>
        <v>19200000</v>
      </c>
      <c r="N858" s="977" t="s">
        <v>536</v>
      </c>
      <c r="O858" s="977" t="s">
        <v>286</v>
      </c>
      <c r="P858" s="75" t="str">
        <f>IF(AND('331-CT'!$E$7=TH!H858,OR(N858="331",O858="331")),"x","")</f>
        <v/>
      </c>
      <c r="Q858" s="75" t="str">
        <f>IF(AND(B858='111'!$L$11,OR($N858=$Q$7,$O858=$Q$7)),"x","")</f>
        <v/>
      </c>
      <c r="R858" s="75" t="str">
        <f>IF(AND($N858=$Q$7,$B858&lt;'111'!$L$11),"x","")</f>
        <v/>
      </c>
      <c r="S858" s="75" t="str">
        <f>IF(AND($O858=$Q$7,$B858&lt;'111'!$L$11),"x","")</f>
        <v/>
      </c>
      <c r="T858" s="75" t="str">
        <f>IF(ISERROR(FIND('112'!$M$9,G858,1)),"",IF((AND(FIND('112'!$M$9,G858,1)&gt;=1,B858='112'!$K$9,OR($N858='112'!$I$6,$O858='112'!$I$6))),"x",""))</f>
        <v/>
      </c>
      <c r="U858" s="75" t="str">
        <f>IF(ISERROR(FIND('112'!$M$9,G858,1)),"",IF((AND(LEFT(G858,2)=LEFT('112'!$M$9,2),B858&lt;'112'!$K$9,$N858='112'!$I$6)),"x",""))</f>
        <v/>
      </c>
      <c r="V858" s="75" t="str">
        <f>IF(ISERROR(FIND('112'!$M$9,G858,1)),"",IF((AND(RIGHT(G858,2)=RIGHT('112'!$M$9,2),B858&lt;'112'!$K$9,$O858='112'!$I$6)),"x",""))</f>
        <v/>
      </c>
      <c r="W858" s="75" t="str">
        <f>IF(AND('341-CT'!$H$9=H858,OR(LEFT(N858,3)=$W$7,LEFT(O858,3)=$W$7)),"x","")</f>
        <v/>
      </c>
      <c r="X858" s="75" t="str">
        <f>IF(OR(TH!N858=TH!$X$7,O858=TH!$X$7),"x","")</f>
        <v/>
      </c>
      <c r="Y858" s="75" t="str">
        <f>IF(AND(OR(N858="131",O858="131"),H858='131-CT'!$H$9),"x","")</f>
        <v/>
      </c>
      <c r="Z858" s="75"/>
      <c r="AA858" s="75" t="str">
        <f>IF(AND(MONTH(E858)='IN-NX'!$J$5,'IN-NX'!$D$7=D858),"x","")</f>
        <v/>
      </c>
      <c r="AB858" s="75" t="str">
        <f>IF(AND(OR(LEFT(TH!N858,2)="15",LEFT(TH!O858,2)="15"),LEFT(TH!O858,3)&lt;&gt;"111",'152-CT'!$J$8=TH!F858),"x","")</f>
        <v/>
      </c>
      <c r="AC858" s="75" t="str">
        <f>IF(AND(OR(LEFT(TH!N858,2)="15",LEFT(TH!O858,2)="15"),TK!$E$7=TH!F858),"x","")</f>
        <v/>
      </c>
      <c r="AD858" s="75" t="str">
        <f>IF(AND(N858="1521",MONTH(C858)='BK-NL'!$M$11),"x","")</f>
        <v/>
      </c>
    </row>
    <row r="859" spans="1:32" ht="16.5" customHeight="1">
      <c r="A859" s="309" t="str">
        <f>IF(B859&lt;&gt;"",IF(AND(B859='IN-TC'!$S$4,OR(TH!N859="1111",TH!O859="1111")),TH!D859,""),"")</f>
        <v/>
      </c>
      <c r="B859" s="1058">
        <f t="shared" si="128"/>
        <v>1</v>
      </c>
      <c r="C859" s="252">
        <v>42754</v>
      </c>
      <c r="D859" s="252" t="s">
        <v>894</v>
      </c>
      <c r="E859" s="252">
        <f t="shared" si="138"/>
        <v>42754</v>
      </c>
      <c r="F859" s="1082" t="s">
        <v>895</v>
      </c>
      <c r="G859" s="1056" t="s">
        <v>896</v>
      </c>
      <c r="H859" s="735" t="s">
        <v>802</v>
      </c>
      <c r="I859" s="371"/>
      <c r="J859" s="371"/>
      <c r="K859" s="371"/>
      <c r="L859" s="377"/>
      <c r="M859" s="933">
        <v>5170000</v>
      </c>
      <c r="N859" s="977" t="s">
        <v>536</v>
      </c>
      <c r="O859" s="977" t="s">
        <v>595</v>
      </c>
      <c r="P859" s="75" t="str">
        <f>IF(AND('331-CT'!$E$7=TH!H859,OR(N859="331",O859="331")),"x","")</f>
        <v/>
      </c>
      <c r="Q859" s="75" t="str">
        <f>IF(AND(B859='111'!$L$11,OR($N859=$Q$7,$O859=$Q$7)),"x","")</f>
        <v/>
      </c>
      <c r="R859" s="75" t="str">
        <f>IF(AND($N859=$Q$7,$B859&lt;'111'!$L$11),"x","")</f>
        <v/>
      </c>
      <c r="S859" s="75" t="str">
        <f>IF(AND($O859=$Q$7,$B859&lt;'111'!$L$11),"x","")</f>
        <v/>
      </c>
      <c r="T859" s="75" t="str">
        <f>IF(ISERROR(FIND('112'!$M$9,G859,1)),"",IF((AND(FIND('112'!$M$9,G859,1)&gt;=1,B859='112'!$K$9,OR($N859='112'!$I$6,$O859='112'!$I$6))),"x",""))</f>
        <v/>
      </c>
      <c r="U859" s="75" t="str">
        <f>IF(ISERROR(FIND('112'!$M$9,G859,1)),"",IF((AND(LEFT(G859,2)=LEFT('112'!$M$9,2),B859&lt;'112'!$K$9,$N859='112'!$I$6)),"x",""))</f>
        <v/>
      </c>
      <c r="V859" s="75" t="str">
        <f>IF(ISERROR(FIND('112'!$M$9,G859,1)),"",IF((AND(RIGHT(G859,2)=RIGHT('112'!$M$9,2),B859&lt;'112'!$K$9,$O859='112'!$I$6)),"x",""))</f>
        <v/>
      </c>
      <c r="W859" s="75" t="str">
        <f>IF(AND('341-CT'!$H$9=H859,OR(LEFT(N859,3)=$W$7,LEFT(O859,3)=$W$7)),"x","")</f>
        <v/>
      </c>
      <c r="X859" s="75" t="str">
        <f>IF(OR(TH!N859=TH!$X$7,O859=TH!$X$7),"x","")</f>
        <v/>
      </c>
      <c r="Y859" s="75" t="str">
        <f>IF(AND(OR(N859="131",O859="131"),H859='131-CT'!$H$9),"x","")</f>
        <v/>
      </c>
      <c r="Z859" s="75"/>
      <c r="AA859" s="75" t="str">
        <f>IF(AND(MONTH(E859)='IN-NX'!$J$5,'IN-NX'!$D$7=D859),"x","")</f>
        <v/>
      </c>
      <c r="AB859" s="75" t="str">
        <f>IF(AND(OR(LEFT(TH!N859,2)="15",LEFT(TH!O859,2)="15"),LEFT(TH!O859,3)&lt;&gt;"111",'152-CT'!$J$8=TH!F859),"x","")</f>
        <v/>
      </c>
      <c r="AC859" s="75" t="str">
        <f>IF(AND(OR(LEFT(TH!N859,2)="15",LEFT(TH!O859,2)="15"),TK!$E$7=TH!F859),"x","")</f>
        <v/>
      </c>
      <c r="AD859" s="75" t="str">
        <f>IF(AND(N859="1521",MONTH(C859)='BK-NL'!$M$11),"x","")</f>
        <v/>
      </c>
    </row>
    <row r="860" spans="1:32" s="1054" customFormat="1" ht="16.5" customHeight="1">
      <c r="A860" s="309" t="str">
        <f>IF(B860&lt;&gt;"",IF(AND(B860='IN-TC'!$S$4,OR(TH!N860="1111",TH!O860="1111")),TH!D860,""),"")</f>
        <v/>
      </c>
      <c r="B860" s="1058">
        <f t="shared" ref="B860:B873" si="140">IF(C860&lt;&gt;"",MONTH(C860),"")</f>
        <v>1</v>
      </c>
      <c r="C860" s="217">
        <v>42738</v>
      </c>
      <c r="D860" s="217" t="s">
        <v>815</v>
      </c>
      <c r="E860" s="217">
        <f t="shared" ref="E860" si="141">C860</f>
        <v>42738</v>
      </c>
      <c r="F860" s="960" t="s">
        <v>429</v>
      </c>
      <c r="G860" s="739" t="s">
        <v>998</v>
      </c>
      <c r="H860" s="67" t="s">
        <v>623</v>
      </c>
      <c r="I860" s="373">
        <v>26390</v>
      </c>
      <c r="J860" s="379">
        <v>58000</v>
      </c>
      <c r="K860" s="373"/>
      <c r="L860" s="379"/>
      <c r="M860" s="927">
        <f t="shared" ref="M860:M863" si="142">ROUND(I860*J860,0)</f>
        <v>1530620000</v>
      </c>
      <c r="N860" s="935" t="s">
        <v>274</v>
      </c>
      <c r="O860" s="935" t="s">
        <v>8</v>
      </c>
      <c r="P860" s="75" t="str">
        <f>IF(AND('331-CT'!$E$7=TH!H860,OR(N860="331",O860="331")),"x","")</f>
        <v/>
      </c>
      <c r="Q860" s="75" t="str">
        <f>IF(AND(B860='111'!$L$11,OR($N860=$Q$7,$O860=$Q$7)),"x","")</f>
        <v/>
      </c>
      <c r="R860" s="75" t="str">
        <f>IF(AND($N860=$Q$7,$B860&lt;'111'!$L$11),"x","")</f>
        <v/>
      </c>
      <c r="S860" s="75" t="str">
        <f>IF(AND($O860=$Q$7,$B860&lt;'111'!$L$11),"x","")</f>
        <v/>
      </c>
      <c r="T860" s="75" t="str">
        <f>IF(ISERROR(FIND('112'!$M$9,G860,1)),"",IF((AND(FIND('112'!$M$9,G860,1)&gt;=1,B860='112'!$K$9,OR($N860='112'!$I$6,$O860='112'!$I$6))),"x",""))</f>
        <v/>
      </c>
      <c r="U860" s="75" t="str">
        <f>IF(ISERROR(FIND('112'!$M$9,G860,1)),"",IF((AND(LEFT(G860,2)=LEFT('112'!$M$9,2),B860&lt;'112'!$K$9,$N860='112'!$I$6)),"x",""))</f>
        <v/>
      </c>
      <c r="V860" s="75" t="str">
        <f>IF(ISERROR(FIND('112'!$M$9,G860,1)),"",IF((AND(RIGHT(G860,2)=RIGHT('112'!$M$9,2),B860&lt;'112'!$K$9,$O860='112'!$I$6)),"x",""))</f>
        <v/>
      </c>
      <c r="W860" s="75" t="str">
        <f>IF(AND('341-CT'!$H$9=H860,OR(LEFT(N860,3)=$W$7,LEFT(O860,3)=$W$7)),"x","")</f>
        <v/>
      </c>
      <c r="X860" s="75" t="str">
        <f>IF(OR(TH!N860=TH!$X$7,O860=TH!$X$7),"x","")</f>
        <v/>
      </c>
      <c r="Y860" s="75" t="str">
        <f>IF(AND(OR(N860="131",O860="131"),H860='131-CT'!$H$9),"x","")</f>
        <v/>
      </c>
      <c r="Z860" s="75"/>
      <c r="AA860" s="75" t="str">
        <f>IF(AND(MONTH(E860)='IN-NX'!$J$5,'IN-NX'!$D$7=D860),"x","")</f>
        <v/>
      </c>
      <c r="AB860" s="75" t="str">
        <f>IF(AND(OR(LEFT(TH!N860,2)="15",LEFT(TH!O860,2)="15"),LEFT(TH!O860,3)&lt;&gt;"111",'152-CT'!$J$8=TH!F860),"x","")</f>
        <v/>
      </c>
      <c r="AC860" s="75" t="str">
        <f>IF(AND(OR(LEFT(TH!N860,2)="15",LEFT(TH!O860,2)="15"),TK!$E$7=TH!F860),"x","")</f>
        <v/>
      </c>
      <c r="AD860" s="75" t="str">
        <f>IF(AND(N860="1521",MONTH(C860)='BK-NL'!$M$11),"x","")</f>
        <v/>
      </c>
    </row>
    <row r="861" spans="1:32" s="1054" customFormat="1" ht="16.5" customHeight="1">
      <c r="A861" s="309" t="str">
        <f>IF(B861&lt;&gt;"",IF(AND(B861='IN-TC'!$S$4,OR(TH!N861="1111",TH!O861="1111")),TH!D861,""),"")</f>
        <v/>
      </c>
      <c r="B861" s="1058">
        <f t="shared" si="140"/>
        <v>1</v>
      </c>
      <c r="C861" s="217">
        <v>42739</v>
      </c>
      <c r="D861" s="217" t="s">
        <v>997</v>
      </c>
      <c r="E861" s="217">
        <f t="shared" ref="E861" si="143">C861</f>
        <v>42739</v>
      </c>
      <c r="F861" s="960" t="s">
        <v>429</v>
      </c>
      <c r="G861" s="739" t="s">
        <v>816</v>
      </c>
      <c r="H861" s="67" t="s">
        <v>789</v>
      </c>
      <c r="I861" s="373">
        <v>5824</v>
      </c>
      <c r="J861" s="379">
        <v>56500</v>
      </c>
      <c r="K861" s="373"/>
      <c r="L861" s="379"/>
      <c r="M861" s="927">
        <f t="shared" si="142"/>
        <v>329056000</v>
      </c>
      <c r="N861" s="935" t="s">
        <v>274</v>
      </c>
      <c r="O861" s="935" t="s">
        <v>8</v>
      </c>
      <c r="P861" s="75" t="str">
        <f>IF(AND('331-CT'!$E$7=TH!H861,OR(N861="331",O861="331")),"x","")</f>
        <v/>
      </c>
      <c r="Q861" s="75" t="str">
        <f>IF(AND(B861='111'!$L$11,OR($N861=$Q$7,$O861=$Q$7)),"x","")</f>
        <v/>
      </c>
      <c r="R861" s="75" t="str">
        <f>IF(AND($N861=$Q$7,$B861&lt;'111'!$L$11),"x","")</f>
        <v/>
      </c>
      <c r="S861" s="75" t="str">
        <f>IF(AND($O861=$Q$7,$B861&lt;'111'!$L$11),"x","")</f>
        <v/>
      </c>
      <c r="T861" s="75" t="str">
        <f>IF(ISERROR(FIND('112'!$M$9,G861,1)),"",IF((AND(FIND('112'!$M$9,G861,1)&gt;=1,B861='112'!$K$9,OR($N861='112'!$I$6,$O861='112'!$I$6))),"x",""))</f>
        <v/>
      </c>
      <c r="U861" s="75" t="str">
        <f>IF(ISERROR(FIND('112'!$M$9,G861,1)),"",IF((AND(LEFT(G861,2)=LEFT('112'!$M$9,2),B861&lt;'112'!$K$9,$N861='112'!$I$6)),"x",""))</f>
        <v/>
      </c>
      <c r="V861" s="75" t="str">
        <f>IF(ISERROR(FIND('112'!$M$9,G861,1)),"",IF((AND(RIGHT(G861,2)=RIGHT('112'!$M$9,2),B861&lt;'112'!$K$9,$O861='112'!$I$6)),"x",""))</f>
        <v/>
      </c>
      <c r="W861" s="75" t="str">
        <f>IF(AND('341-CT'!$H$9=H861,OR(LEFT(N861,3)=$W$7,LEFT(O861,3)=$W$7)),"x","")</f>
        <v/>
      </c>
      <c r="X861" s="75" t="str">
        <f>IF(OR(TH!N861=TH!$X$7,O861=TH!$X$7),"x","")</f>
        <v/>
      </c>
      <c r="Y861" s="75" t="str">
        <f>IF(AND(OR(N861="131",O861="131"),H861='131-CT'!$H$9),"x","")</f>
        <v/>
      </c>
      <c r="Z861" s="75"/>
      <c r="AA861" s="75" t="str">
        <f>IF(AND(MONTH(E861)='IN-NX'!$J$5,'IN-NX'!$D$7=D861),"x","")</f>
        <v/>
      </c>
      <c r="AB861" s="75" t="str">
        <f>IF(AND(OR(LEFT(TH!N861,2)="15",LEFT(TH!O861,2)="15"),LEFT(TH!O861,3)&lt;&gt;"111",'152-CT'!$J$8=TH!F861),"x","")</f>
        <v/>
      </c>
      <c r="AC861" s="75" t="str">
        <f>IF(AND(OR(LEFT(TH!N861,2)="15",LEFT(TH!O861,2)="15"),TK!$E$7=TH!F861),"x","")</f>
        <v/>
      </c>
      <c r="AD861" s="75" t="str">
        <f>IF(AND(N861="1521",MONTH(C861)='BK-NL'!$M$11),"x","")</f>
        <v/>
      </c>
    </row>
    <row r="862" spans="1:32" s="1054" customFormat="1" ht="16.5" customHeight="1">
      <c r="A862" s="309" t="str">
        <f>IF(B862&lt;&gt;"",IF(AND(B862='IN-TC'!$S$4,OR(TH!N862="1111",TH!O862="1111")),TH!D862,""),"")</f>
        <v/>
      </c>
      <c r="B862" s="1058">
        <f t="shared" si="140"/>
        <v>1</v>
      </c>
      <c r="C862" s="217">
        <v>42739</v>
      </c>
      <c r="D862" s="217" t="s">
        <v>999</v>
      </c>
      <c r="E862" s="217">
        <f t="shared" ref="E862" si="144">C862</f>
        <v>42739</v>
      </c>
      <c r="F862" s="960" t="s">
        <v>429</v>
      </c>
      <c r="G862" s="739" t="s">
        <v>1000</v>
      </c>
      <c r="H862" s="67" t="s">
        <v>623</v>
      </c>
      <c r="I862" s="373">
        <v>26390</v>
      </c>
      <c r="J862" s="379">
        <v>58000</v>
      </c>
      <c r="K862" s="373"/>
      <c r="L862" s="379"/>
      <c r="M862" s="927">
        <f t="shared" si="142"/>
        <v>1530620000</v>
      </c>
      <c r="N862" s="935" t="s">
        <v>274</v>
      </c>
      <c r="O862" s="935" t="s">
        <v>8</v>
      </c>
      <c r="P862" s="75" t="str">
        <f>IF(AND('331-CT'!$E$7=TH!H862,OR(N862="331",O862="331")),"x","")</f>
        <v/>
      </c>
      <c r="Q862" s="75" t="str">
        <f>IF(AND(B862='111'!$L$11,OR($N862=$Q$7,$O862=$Q$7)),"x","")</f>
        <v/>
      </c>
      <c r="R862" s="75" t="str">
        <f>IF(AND($N862=$Q$7,$B862&lt;'111'!$L$11),"x","")</f>
        <v/>
      </c>
      <c r="S862" s="75" t="str">
        <f>IF(AND($O862=$Q$7,$B862&lt;'111'!$L$11),"x","")</f>
        <v/>
      </c>
      <c r="T862" s="75" t="str">
        <f>IF(ISERROR(FIND('112'!$M$9,G862,1)),"",IF((AND(FIND('112'!$M$9,G862,1)&gt;=1,B862='112'!$K$9,OR($N862='112'!$I$6,$O862='112'!$I$6))),"x",""))</f>
        <v/>
      </c>
      <c r="U862" s="75" t="str">
        <f>IF(ISERROR(FIND('112'!$M$9,G862,1)),"",IF((AND(LEFT(G862,2)=LEFT('112'!$M$9,2),B862&lt;'112'!$K$9,$N862='112'!$I$6)),"x",""))</f>
        <v/>
      </c>
      <c r="V862" s="75" t="str">
        <f>IF(ISERROR(FIND('112'!$M$9,G862,1)),"",IF((AND(RIGHT(G862,2)=RIGHT('112'!$M$9,2),B862&lt;'112'!$K$9,$O862='112'!$I$6)),"x",""))</f>
        <v/>
      </c>
      <c r="W862" s="75" t="str">
        <f>IF(AND('341-CT'!$H$9=H862,OR(LEFT(N862,3)=$W$7,LEFT(O862,3)=$W$7)),"x","")</f>
        <v/>
      </c>
      <c r="X862" s="75" t="str">
        <f>IF(OR(TH!N862=TH!$X$7,O862=TH!$X$7),"x","")</f>
        <v/>
      </c>
      <c r="Y862" s="75" t="str">
        <f>IF(AND(OR(N862="131",O862="131"),H862='131-CT'!$H$9),"x","")</f>
        <v/>
      </c>
      <c r="Z862" s="75"/>
      <c r="AA862" s="75" t="str">
        <f>IF(AND(MONTH(E862)='IN-NX'!$J$5,'IN-NX'!$D$7=D862),"x","")</f>
        <v/>
      </c>
      <c r="AB862" s="75" t="str">
        <f>IF(AND(OR(LEFT(TH!N862,2)="15",LEFT(TH!O862,2)="15"),LEFT(TH!O862,3)&lt;&gt;"111",'152-CT'!$J$8=TH!F862),"x","")</f>
        <v/>
      </c>
      <c r="AC862" s="75" t="str">
        <f>IF(AND(OR(LEFT(TH!N862,2)="15",LEFT(TH!O862,2)="15"),TK!$E$7=TH!F862),"x","")</f>
        <v/>
      </c>
      <c r="AD862" s="75" t="str">
        <f>IF(AND(N862="1521",MONTH(C862)='BK-NL'!$M$11),"x","")</f>
        <v/>
      </c>
    </row>
    <row r="863" spans="1:32" s="1054" customFormat="1" ht="16.5" customHeight="1">
      <c r="A863" s="309" t="str">
        <f>IF(B863&lt;&gt;"",IF(AND(B863='IN-TC'!$S$4,OR(TH!N863="1111",TH!O863="1111")),TH!D863,""),"")</f>
        <v/>
      </c>
      <c r="B863" s="1058">
        <f t="shared" si="140"/>
        <v>1</v>
      </c>
      <c r="C863" s="217">
        <v>42740</v>
      </c>
      <c r="D863" s="217" t="s">
        <v>1002</v>
      </c>
      <c r="E863" s="217">
        <f t="shared" ref="E863" si="145">C863</f>
        <v>42740</v>
      </c>
      <c r="F863" s="960" t="s">
        <v>429</v>
      </c>
      <c r="G863" s="739" t="s">
        <v>1001</v>
      </c>
      <c r="H863" s="67" t="s">
        <v>623</v>
      </c>
      <c r="I863" s="373">
        <v>26390</v>
      </c>
      <c r="J863" s="379">
        <v>58000</v>
      </c>
      <c r="K863" s="373"/>
      <c r="L863" s="379"/>
      <c r="M863" s="927">
        <f t="shared" si="142"/>
        <v>1530620000</v>
      </c>
      <c r="N863" s="935" t="s">
        <v>274</v>
      </c>
      <c r="O863" s="935" t="s">
        <v>8</v>
      </c>
      <c r="P863" s="75" t="str">
        <f>IF(AND('331-CT'!$E$7=TH!H863,OR(N863="331",O863="331")),"x","")</f>
        <v/>
      </c>
      <c r="Q863" s="75" t="str">
        <f>IF(AND(B863='111'!$L$11,OR($N863=$Q$7,$O863=$Q$7)),"x","")</f>
        <v/>
      </c>
      <c r="R863" s="75" t="str">
        <f>IF(AND($N863=$Q$7,$B863&lt;'111'!$L$11),"x","")</f>
        <v/>
      </c>
      <c r="S863" s="75" t="str">
        <f>IF(AND($O863=$Q$7,$B863&lt;'111'!$L$11),"x","")</f>
        <v/>
      </c>
      <c r="T863" s="75" t="str">
        <f>IF(ISERROR(FIND('112'!$M$9,G863,1)),"",IF((AND(FIND('112'!$M$9,G863,1)&gt;=1,B863='112'!$K$9,OR($N863='112'!$I$6,$O863='112'!$I$6))),"x",""))</f>
        <v/>
      </c>
      <c r="U863" s="75" t="str">
        <f>IF(ISERROR(FIND('112'!$M$9,G863,1)),"",IF((AND(LEFT(G863,2)=LEFT('112'!$M$9,2),B863&lt;'112'!$K$9,$N863='112'!$I$6)),"x",""))</f>
        <v/>
      </c>
      <c r="V863" s="75" t="str">
        <f>IF(ISERROR(FIND('112'!$M$9,G863,1)),"",IF((AND(RIGHT(G863,2)=RIGHT('112'!$M$9,2),B863&lt;'112'!$K$9,$O863='112'!$I$6)),"x",""))</f>
        <v/>
      </c>
      <c r="W863" s="75" t="str">
        <f>IF(AND('341-CT'!$H$9=H863,OR(LEFT(N863,3)=$W$7,LEFT(O863,3)=$W$7)),"x","")</f>
        <v/>
      </c>
      <c r="X863" s="75" t="str">
        <f>IF(OR(TH!N863=TH!$X$7,O863=TH!$X$7),"x","")</f>
        <v/>
      </c>
      <c r="Y863" s="75" t="str">
        <f>IF(AND(OR(N863="131",O863="131"),H863='131-CT'!$H$9),"x","")</f>
        <v/>
      </c>
      <c r="Z863" s="75"/>
      <c r="AA863" s="75" t="str">
        <f>IF(AND(MONTH(E863)='IN-NX'!$J$5,'IN-NX'!$D$7=D863),"x","")</f>
        <v/>
      </c>
      <c r="AB863" s="75" t="str">
        <f>IF(AND(OR(LEFT(TH!N863,2)="15",LEFT(TH!O863,2)="15"),LEFT(TH!O863,3)&lt;&gt;"111",'152-CT'!$J$8=TH!F863),"x","")</f>
        <v/>
      </c>
      <c r="AC863" s="75" t="str">
        <f>IF(AND(OR(LEFT(TH!N863,2)="15",LEFT(TH!O863,2)="15"),TK!$E$7=TH!F863),"x","")</f>
        <v/>
      </c>
      <c r="AD863" s="75" t="str">
        <f>IF(AND(N863="1521",MONTH(C863)='BK-NL'!$M$11),"x","")</f>
        <v/>
      </c>
    </row>
    <row r="864" spans="1:32" s="1053" customFormat="1" ht="16.5" customHeight="1">
      <c r="A864" s="309" t="str">
        <f>IF(B864&lt;&gt;"",IF(AND(B864='IN-TC'!$S$4,OR(TH!N864="1111",TH!O864="1111")),TH!D864,""),"")</f>
        <v/>
      </c>
      <c r="B864" s="1058">
        <f t="shared" si="140"/>
        <v>1</v>
      </c>
      <c r="C864" s="217">
        <f t="shared" ref="C864:C873" si="146">E864</f>
        <v>42741</v>
      </c>
      <c r="D864" s="217" t="s">
        <v>2950</v>
      </c>
      <c r="E864" s="217">
        <v>42741</v>
      </c>
      <c r="F864" s="429" t="s">
        <v>429</v>
      </c>
      <c r="G864" s="739"/>
      <c r="H864" s="294" t="s">
        <v>2919</v>
      </c>
      <c r="I864" s="373">
        <v>28150</v>
      </c>
      <c r="J864" s="373">
        <v>60914.422735346358</v>
      </c>
      <c r="K864" s="373"/>
      <c r="L864" s="379"/>
      <c r="M864" s="927">
        <f t="shared" ref="M864:M873" si="147">ROUND(I864*J864,0)</f>
        <v>1714741000</v>
      </c>
      <c r="N864" s="935" t="s">
        <v>274</v>
      </c>
      <c r="O864" s="935" t="s">
        <v>272</v>
      </c>
      <c r="P864" s="75" t="str">
        <f>IF(AND('331-CT'!$E$7=TH!H864,OR(N864="331",O864="331")),"x","")</f>
        <v/>
      </c>
      <c r="Q864" s="75" t="str">
        <f>IF(AND(B864='111'!$L$11,OR($N864=$Q$7,$O864=$Q$7)),"x","")</f>
        <v/>
      </c>
      <c r="R864" s="75" t="str">
        <f>IF(AND($N864=$Q$7,$B864&lt;'111'!$L$11),"x","")</f>
        <v/>
      </c>
      <c r="S864" s="75" t="str">
        <f>IF(AND($O864=$Q$7,$B864&lt;'111'!$L$11),"x","")</f>
        <v/>
      </c>
      <c r="T864" s="75" t="str">
        <f>IF(ISERROR(FIND('112'!$M$9,G864,1)),"",IF((AND(FIND('112'!$M$9,G864,1)&gt;=1,B864='112'!$K$9,OR($N864='112'!$I$6,$O864='112'!$I$6))),"x",""))</f>
        <v/>
      </c>
      <c r="U864" s="75" t="str">
        <f>IF(ISERROR(FIND('112'!$M$9,G864,1)),"",IF((AND(LEFT(G864,2)=LEFT('112'!$M$9,2),B864&lt;'112'!$K$9,$N864='112'!$I$6)),"x",""))</f>
        <v/>
      </c>
      <c r="V864" s="75" t="str">
        <f>IF(ISERROR(FIND('112'!$M$9,G864,1)),"",IF((AND(RIGHT(G864,2)=RIGHT('112'!$M$9,2),B864&lt;'112'!$K$9,$O864='112'!$I$6)),"x",""))</f>
        <v/>
      </c>
      <c r="W864" s="75" t="str">
        <f>IF(AND('341-CT'!$H$9=H864,OR(LEFT(N864,3)=$W$7,LEFT(O864,3)=$W$7)),"x","")</f>
        <v/>
      </c>
      <c r="X864" s="75" t="str">
        <f>IF(OR(TH!N864=TH!$X$7,O864=TH!$X$7),"x","")</f>
        <v/>
      </c>
      <c r="Y864" s="75" t="str">
        <f>IF(AND(OR(N864="131",O864="131"),H864='131-CT'!$H$9),"x","")</f>
        <v/>
      </c>
      <c r="Z864" s="75"/>
      <c r="AA864" s="75" t="str">
        <f>IF(AND(MONTH(E864)='IN-NX'!$J$5,'IN-NX'!$D$7=D864),"x","")</f>
        <v/>
      </c>
      <c r="AB864" s="75" t="str">
        <f>IF(AND(OR(LEFT(TH!N864,2)="15",LEFT(TH!O864,2)="15"),LEFT(TH!O864,3)&lt;&gt;"111",'152-CT'!$J$8=TH!F864),"x","")</f>
        <v/>
      </c>
      <c r="AC864" s="75" t="str">
        <f>IF(AND(OR(LEFT(TH!N864,2)="15",LEFT(TH!O864,2)="15"),TK!$E$7=TH!F864),"x","")</f>
        <v/>
      </c>
      <c r="AD864" s="75" t="str">
        <f>IF(AND(N864="1521",MONTH(C864)='BK-NL'!$M$11),"x","")</f>
        <v/>
      </c>
      <c r="AF864" s="1054"/>
    </row>
    <row r="865" spans="1:32" ht="16.5" customHeight="1">
      <c r="A865" s="309" t="str">
        <f>IF(B865&lt;&gt;"",IF(AND(B865='IN-TC'!$S$4,OR(TH!N865="1111",TH!O865="1111")),TH!D865,""),"")</f>
        <v/>
      </c>
      <c r="B865" s="1058">
        <f t="shared" si="140"/>
        <v>1</v>
      </c>
      <c r="C865" s="217">
        <f t="shared" si="146"/>
        <v>42746</v>
      </c>
      <c r="D865" s="217" t="s">
        <v>2950</v>
      </c>
      <c r="E865" s="217">
        <v>42746</v>
      </c>
      <c r="F865" s="429" t="s">
        <v>426</v>
      </c>
      <c r="G865" s="739"/>
      <c r="H865" s="294" t="s">
        <v>2919</v>
      </c>
      <c r="I865" s="373">
        <v>9600</v>
      </c>
      <c r="J865" s="373">
        <v>200710.86751906583</v>
      </c>
      <c r="K865" s="373"/>
      <c r="L865" s="379"/>
      <c r="M865" s="927">
        <f t="shared" si="147"/>
        <v>1926824328</v>
      </c>
      <c r="N865" s="935" t="s">
        <v>274</v>
      </c>
      <c r="O865" s="935" t="s">
        <v>272</v>
      </c>
      <c r="P865" s="75" t="str">
        <f>IF(AND('331-CT'!$E$7=TH!H865,OR(N865="331",O865="331")),"x","")</f>
        <v/>
      </c>
      <c r="Q865" s="75" t="str">
        <f>IF(AND(B865='111'!$L$11,OR($N865=$Q$7,$O865=$Q$7)),"x","")</f>
        <v/>
      </c>
      <c r="R865" s="75" t="str">
        <f>IF(AND($N865=$Q$7,$B865&lt;'111'!$L$11),"x","")</f>
        <v/>
      </c>
      <c r="S865" s="75" t="str">
        <f>IF(AND($O865=$Q$7,$B865&lt;'111'!$L$11),"x","")</f>
        <v/>
      </c>
      <c r="T865" s="75" t="str">
        <f>IF(ISERROR(FIND('112'!$M$9,G865,1)),"",IF((AND(FIND('112'!$M$9,G865,1)&gt;=1,B865='112'!$K$9,OR($N865='112'!$I$6,$O865='112'!$I$6))),"x",""))</f>
        <v/>
      </c>
      <c r="U865" s="75" t="str">
        <f>IF(ISERROR(FIND('112'!$M$9,G865,1)),"",IF((AND(LEFT(G865,2)=LEFT('112'!$M$9,2),B865&lt;'112'!$K$9,$N865='112'!$I$6)),"x",""))</f>
        <v/>
      </c>
      <c r="V865" s="75" t="str">
        <f>IF(ISERROR(FIND('112'!$M$9,G865,1)),"",IF((AND(RIGHT(G865,2)=RIGHT('112'!$M$9,2),B865&lt;'112'!$K$9,$O865='112'!$I$6)),"x",""))</f>
        <v/>
      </c>
      <c r="W865" s="75" t="str">
        <f>IF(AND('341-CT'!$H$9=H865,OR(LEFT(N865,3)=$W$7,LEFT(O865,3)=$W$7)),"x","")</f>
        <v/>
      </c>
      <c r="X865" s="75" t="str">
        <f>IF(OR(TH!N865=TH!$X$7,O865=TH!$X$7),"x","")</f>
        <v/>
      </c>
      <c r="Y865" s="75" t="str">
        <f>IF(AND(OR(N865="131",O865="131"),H865='131-CT'!$H$9),"x","")</f>
        <v/>
      </c>
      <c r="Z865" s="75"/>
      <c r="AA865" s="75" t="str">
        <f>IF(AND(MONTH(E865)='IN-NX'!$J$5,'IN-NX'!$D$7=D865),"x","")</f>
        <v/>
      </c>
      <c r="AB865" s="75" t="str">
        <f>IF(AND(OR(LEFT(TH!N865,2)="15",LEFT(TH!O865,2)="15"),LEFT(TH!O865,3)&lt;&gt;"111",'152-CT'!$J$8=TH!F865),"x","")</f>
        <v/>
      </c>
      <c r="AC865" s="75" t="str">
        <f>IF(AND(OR(LEFT(TH!N865,2)="15",LEFT(TH!O865,2)="15"),TK!$E$7=TH!F865),"x","")</f>
        <v/>
      </c>
      <c r="AD865" s="75" t="str">
        <f>IF(AND(N865="1521",MONTH(C865)='BK-NL'!$M$11),"x","")</f>
        <v/>
      </c>
      <c r="AF865" s="1054"/>
    </row>
    <row r="866" spans="1:32" ht="16.5" customHeight="1">
      <c r="A866" s="309" t="str">
        <f>IF(B866&lt;&gt;"",IF(AND(B866='IN-TC'!$S$4,OR(TH!N866="1111",TH!O866="1111")),TH!D866,""),"")</f>
        <v/>
      </c>
      <c r="B866" s="1058">
        <f t="shared" si="140"/>
        <v>1</v>
      </c>
      <c r="C866" s="217">
        <f t="shared" si="146"/>
        <v>42747</v>
      </c>
      <c r="D866" s="217" t="s">
        <v>2950</v>
      </c>
      <c r="E866" s="217">
        <v>42747</v>
      </c>
      <c r="F866" s="429" t="s">
        <v>1584</v>
      </c>
      <c r="G866" s="739"/>
      <c r="H866" s="294" t="s">
        <v>2919</v>
      </c>
      <c r="I866" s="373">
        <v>2240</v>
      </c>
      <c r="J866" s="373">
        <v>203568.25708801535</v>
      </c>
      <c r="K866" s="373"/>
      <c r="L866" s="379"/>
      <c r="M866" s="927">
        <f t="shared" si="147"/>
        <v>455992896</v>
      </c>
      <c r="N866" s="935" t="s">
        <v>274</v>
      </c>
      <c r="O866" s="935" t="s">
        <v>272</v>
      </c>
      <c r="P866" s="75" t="str">
        <f>IF(AND('331-CT'!$E$7=TH!H866,OR(N866="331",O866="331")),"x","")</f>
        <v/>
      </c>
      <c r="Q866" s="75" t="str">
        <f>IF(AND(B866='111'!$L$11,OR($N866=$Q$7,$O866=$Q$7)),"x","")</f>
        <v/>
      </c>
      <c r="R866" s="75" t="str">
        <f>IF(AND($N866=$Q$7,$B866&lt;'111'!$L$11),"x","")</f>
        <v/>
      </c>
      <c r="S866" s="75" t="str">
        <f>IF(AND($O866=$Q$7,$B866&lt;'111'!$L$11),"x","")</f>
        <v/>
      </c>
      <c r="T866" s="75" t="str">
        <f>IF(ISERROR(FIND('112'!$M$9,G866,1)),"",IF((AND(FIND('112'!$M$9,G866,1)&gt;=1,B866='112'!$K$9,OR($N866='112'!$I$6,$O866='112'!$I$6))),"x",""))</f>
        <v/>
      </c>
      <c r="U866" s="75" t="str">
        <f>IF(ISERROR(FIND('112'!$M$9,G866,1)),"",IF((AND(LEFT(G866,2)=LEFT('112'!$M$9,2),B866&lt;'112'!$K$9,$N866='112'!$I$6)),"x",""))</f>
        <v/>
      </c>
      <c r="V866" s="75" t="str">
        <f>IF(ISERROR(FIND('112'!$M$9,G866,1)),"",IF((AND(RIGHT(G866,2)=RIGHT('112'!$M$9,2),B866&lt;'112'!$K$9,$O866='112'!$I$6)),"x",""))</f>
        <v/>
      </c>
      <c r="W866" s="75" t="str">
        <f>IF(AND('341-CT'!$H$9=H866,OR(LEFT(N866,3)=$W$7,LEFT(O866,3)=$W$7)),"x","")</f>
        <v/>
      </c>
      <c r="X866" s="75" t="str">
        <f>IF(OR(TH!N866=TH!$X$7,O866=TH!$X$7),"x","")</f>
        <v/>
      </c>
      <c r="Y866" s="75" t="str">
        <f>IF(AND(OR(N866="131",O866="131"),H866='131-CT'!$H$9),"x","")</f>
        <v/>
      </c>
      <c r="Z866" s="75"/>
      <c r="AA866" s="75" t="str">
        <f>IF(AND(MONTH(E866)='IN-NX'!$J$5,'IN-NX'!$D$7=D866),"x","")</f>
        <v/>
      </c>
      <c r="AB866" s="75" t="str">
        <f>IF(AND(OR(LEFT(TH!N866,2)="15",LEFT(TH!O866,2)="15"),LEFT(TH!O866,3)&lt;&gt;"111",'152-CT'!$J$8=TH!F866),"x","")</f>
        <v/>
      </c>
      <c r="AC866" s="75" t="str">
        <f>IF(AND(OR(LEFT(TH!N866,2)="15",LEFT(TH!O866,2)="15"),TK!$E$7=TH!F866),"x","")</f>
        <v/>
      </c>
      <c r="AD866" s="75" t="str">
        <f>IF(AND(N866="1521",MONTH(C866)='BK-NL'!$M$11),"x","")</f>
        <v/>
      </c>
      <c r="AF866" s="1054"/>
    </row>
    <row r="867" spans="1:32" ht="16.5" customHeight="1">
      <c r="A867" s="309" t="str">
        <f>IF(B867&lt;&gt;"",IF(AND(B867='IN-TC'!$S$4,OR(TH!N867="1111",TH!O867="1111")),TH!D867,""),"")</f>
        <v/>
      </c>
      <c r="B867" s="1058">
        <f t="shared" si="140"/>
        <v>1</v>
      </c>
      <c r="C867" s="217">
        <f t="shared" si="146"/>
        <v>42747</v>
      </c>
      <c r="D867" s="217" t="s">
        <v>2950</v>
      </c>
      <c r="E867" s="217">
        <v>42747</v>
      </c>
      <c r="F867" s="996" t="s">
        <v>1107</v>
      </c>
      <c r="G867" s="739"/>
      <c r="H867" s="294" t="s">
        <v>2919</v>
      </c>
      <c r="I867" s="373">
        <v>2470</v>
      </c>
      <c r="J867" s="373">
        <v>210576.16676056816</v>
      </c>
      <c r="K867" s="373"/>
      <c r="L867" s="379"/>
      <c r="M867" s="927">
        <f t="shared" si="147"/>
        <v>520123132</v>
      </c>
      <c r="N867" s="935" t="s">
        <v>274</v>
      </c>
      <c r="O867" s="935" t="s">
        <v>272</v>
      </c>
      <c r="P867" s="75" t="str">
        <f>IF(AND('331-CT'!$E$7=TH!H867,OR(N867="331",O867="331")),"x","")</f>
        <v/>
      </c>
      <c r="Q867" s="75" t="str">
        <f>IF(AND(B867='111'!$L$11,OR($N867=$Q$7,$O867=$Q$7)),"x","")</f>
        <v/>
      </c>
      <c r="R867" s="75" t="str">
        <f>IF(AND($N867=$Q$7,$B867&lt;'111'!$L$11),"x","")</f>
        <v/>
      </c>
      <c r="S867" s="75" t="str">
        <f>IF(AND($O867=$Q$7,$B867&lt;'111'!$L$11),"x","")</f>
        <v/>
      </c>
      <c r="T867" s="75" t="str">
        <f>IF(ISERROR(FIND('112'!$M$9,G867,1)),"",IF((AND(FIND('112'!$M$9,G867,1)&gt;=1,B867='112'!$K$9,OR($N867='112'!$I$6,$O867='112'!$I$6))),"x",""))</f>
        <v/>
      </c>
      <c r="U867" s="75" t="str">
        <f>IF(ISERROR(FIND('112'!$M$9,G867,1)),"",IF((AND(LEFT(G867,2)=LEFT('112'!$M$9,2),B867&lt;'112'!$K$9,$N867='112'!$I$6)),"x",""))</f>
        <v/>
      </c>
      <c r="V867" s="75" t="str">
        <f>IF(ISERROR(FIND('112'!$M$9,G867,1)),"",IF((AND(RIGHT(G867,2)=RIGHT('112'!$M$9,2),B867&lt;'112'!$K$9,$O867='112'!$I$6)),"x",""))</f>
        <v/>
      </c>
      <c r="W867" s="75" t="str">
        <f>IF(AND('341-CT'!$H$9=H867,OR(LEFT(N867,3)=$W$7,LEFT(O867,3)=$W$7)),"x","")</f>
        <v/>
      </c>
      <c r="X867" s="75" t="str">
        <f>IF(OR(TH!N867=TH!$X$7,O867=TH!$X$7),"x","")</f>
        <v/>
      </c>
      <c r="Y867" s="75" t="str">
        <f>IF(AND(OR(N867="131",O867="131"),H867='131-CT'!$H$9),"x","")</f>
        <v/>
      </c>
      <c r="Z867" s="75"/>
      <c r="AA867" s="75" t="str">
        <f>IF(AND(MONTH(E867)='IN-NX'!$J$5,'IN-NX'!$D$7=D867),"x","")</f>
        <v/>
      </c>
      <c r="AB867" s="75" t="str">
        <f>IF(AND(OR(LEFT(TH!N867,2)="15",LEFT(TH!O867,2)="15"),LEFT(TH!O867,3)&lt;&gt;"111",'152-CT'!$J$8=TH!F867),"x","")</f>
        <v/>
      </c>
      <c r="AC867" s="75" t="str">
        <f>IF(AND(OR(LEFT(TH!N867,2)="15",LEFT(TH!O867,2)="15"),TK!$E$7=TH!F867),"x","")</f>
        <v/>
      </c>
      <c r="AD867" s="75" t="str">
        <f>IF(AND(N867="1521",MONTH(C867)='BK-NL'!$M$11),"x","")</f>
        <v/>
      </c>
      <c r="AF867" s="1054"/>
    </row>
    <row r="868" spans="1:32" ht="16.5" customHeight="1">
      <c r="A868" s="309" t="str">
        <f>IF(B868&lt;&gt;"",IF(AND(B868='IN-TC'!$S$4,OR(TH!N868="1111",TH!O868="1111")),TH!D868,""),"")</f>
        <v/>
      </c>
      <c r="B868" s="1058">
        <f t="shared" si="140"/>
        <v>1</v>
      </c>
      <c r="C868" s="217">
        <f t="shared" si="146"/>
        <v>42749</v>
      </c>
      <c r="D868" s="217" t="s">
        <v>2950</v>
      </c>
      <c r="E868" s="217">
        <v>42749</v>
      </c>
      <c r="F868" s="996" t="s">
        <v>2400</v>
      </c>
      <c r="G868" s="739"/>
      <c r="H868" s="294" t="s">
        <v>2919</v>
      </c>
      <c r="I868" s="373">
        <v>12000</v>
      </c>
      <c r="J868" s="373">
        <v>201427.09795738952</v>
      </c>
      <c r="K868" s="373"/>
      <c r="L868" s="379"/>
      <c r="M868" s="927">
        <f t="shared" si="147"/>
        <v>2417125175</v>
      </c>
      <c r="N868" s="935" t="s">
        <v>274</v>
      </c>
      <c r="O868" s="935" t="s">
        <v>272</v>
      </c>
      <c r="P868" s="75" t="str">
        <f>IF(AND('331-CT'!$E$7=TH!H868,OR(N868="331",O868="331")),"x","")</f>
        <v/>
      </c>
      <c r="Q868" s="75" t="str">
        <f>IF(AND(B868='111'!$L$11,OR($N868=$Q$7,$O868=$Q$7)),"x","")</f>
        <v/>
      </c>
      <c r="R868" s="75" t="str">
        <f>IF(AND($N868=$Q$7,$B868&lt;'111'!$L$11),"x","")</f>
        <v/>
      </c>
      <c r="S868" s="75" t="str">
        <f>IF(AND($O868=$Q$7,$B868&lt;'111'!$L$11),"x","")</f>
        <v/>
      </c>
      <c r="T868" s="75" t="str">
        <f>IF(ISERROR(FIND('112'!$M$9,G868,1)),"",IF((AND(FIND('112'!$M$9,G868,1)&gt;=1,B868='112'!$K$9,OR($N868='112'!$I$6,$O868='112'!$I$6))),"x",""))</f>
        <v/>
      </c>
      <c r="U868" s="75" t="str">
        <f>IF(ISERROR(FIND('112'!$M$9,G868,1)),"",IF((AND(LEFT(G868,2)=LEFT('112'!$M$9,2),B868&lt;'112'!$K$9,$N868='112'!$I$6)),"x",""))</f>
        <v/>
      </c>
      <c r="V868" s="75" t="str">
        <f>IF(ISERROR(FIND('112'!$M$9,G868,1)),"",IF((AND(RIGHT(G868,2)=RIGHT('112'!$M$9,2),B868&lt;'112'!$K$9,$O868='112'!$I$6)),"x",""))</f>
        <v/>
      </c>
      <c r="W868" s="75" t="str">
        <f>IF(AND('341-CT'!$H$9=H868,OR(LEFT(N868,3)=$W$7,LEFT(O868,3)=$W$7)),"x","")</f>
        <v/>
      </c>
      <c r="X868" s="75" t="str">
        <f>IF(OR(TH!N868=TH!$X$7,O868=TH!$X$7),"x","")</f>
        <v/>
      </c>
      <c r="Y868" s="75" t="str">
        <f>IF(AND(OR(N868="131",O868="131"),H868='131-CT'!$H$9),"x","")</f>
        <v/>
      </c>
      <c r="Z868" s="75"/>
      <c r="AA868" s="75" t="str">
        <f>IF(AND(MONTH(E868)='IN-NX'!$J$5,'IN-NX'!$D$7=D868),"x","")</f>
        <v/>
      </c>
      <c r="AB868" s="75" t="str">
        <f>IF(AND(OR(LEFT(TH!N868,2)="15",LEFT(TH!O868,2)="15"),LEFT(TH!O868,3)&lt;&gt;"111",'152-CT'!$J$8=TH!F868),"x","")</f>
        <v/>
      </c>
      <c r="AC868" s="75" t="str">
        <f>IF(AND(OR(LEFT(TH!N868,2)="15",LEFT(TH!O868,2)="15"),TK!$E$7=TH!F868),"x","")</f>
        <v/>
      </c>
      <c r="AD868" s="75" t="str">
        <f>IF(AND(N868="1521",MONTH(C868)='BK-NL'!$M$11),"x","")</f>
        <v/>
      </c>
      <c r="AF868" s="1054"/>
    </row>
    <row r="869" spans="1:32" ht="16.5" customHeight="1">
      <c r="A869" s="309" t="str">
        <f>IF(B869&lt;&gt;"",IF(AND(B869='IN-TC'!$S$4,OR(TH!N869="1111",TH!O869="1111")),TH!D869,""),"")</f>
        <v/>
      </c>
      <c r="B869" s="1058">
        <f t="shared" si="140"/>
        <v>1</v>
      </c>
      <c r="C869" s="217">
        <f t="shared" si="146"/>
        <v>42754</v>
      </c>
      <c r="D869" s="217" t="s">
        <v>2950</v>
      </c>
      <c r="E869" s="217">
        <v>42754</v>
      </c>
      <c r="F869" s="996" t="s">
        <v>793</v>
      </c>
      <c r="G869" s="739"/>
      <c r="H869" s="294" t="s">
        <v>2919</v>
      </c>
      <c r="I869" s="373">
        <v>10000</v>
      </c>
      <c r="J869" s="373">
        <v>168668.7610634164</v>
      </c>
      <c r="K869" s="373"/>
      <c r="L869" s="379"/>
      <c r="M869" s="927">
        <f t="shared" si="147"/>
        <v>1686687611</v>
      </c>
      <c r="N869" s="935" t="s">
        <v>274</v>
      </c>
      <c r="O869" s="935" t="s">
        <v>272</v>
      </c>
      <c r="P869" s="75" t="str">
        <f>IF(AND('331-CT'!$E$7=TH!H869,OR(N869="331",O869="331")),"x","")</f>
        <v/>
      </c>
      <c r="Q869" s="75" t="str">
        <f>IF(AND(B869='111'!$L$11,OR($N869=$Q$7,$O869=$Q$7)),"x","")</f>
        <v/>
      </c>
      <c r="R869" s="75" t="str">
        <f>IF(AND($N869=$Q$7,$B869&lt;'111'!$L$11),"x","")</f>
        <v/>
      </c>
      <c r="S869" s="75" t="str">
        <f>IF(AND($O869=$Q$7,$B869&lt;'111'!$L$11),"x","")</f>
        <v/>
      </c>
      <c r="T869" s="75" t="str">
        <f>IF(ISERROR(FIND('112'!$M$9,G869,1)),"",IF((AND(FIND('112'!$M$9,G869,1)&gt;=1,B869='112'!$K$9,OR($N869='112'!$I$6,$O869='112'!$I$6))),"x",""))</f>
        <v/>
      </c>
      <c r="U869" s="75" t="str">
        <f>IF(ISERROR(FIND('112'!$M$9,G869,1)),"",IF((AND(LEFT(G869,2)=LEFT('112'!$M$9,2),B869&lt;'112'!$K$9,$N869='112'!$I$6)),"x",""))</f>
        <v/>
      </c>
      <c r="V869" s="75" t="str">
        <f>IF(ISERROR(FIND('112'!$M$9,G869,1)),"",IF((AND(RIGHT(G869,2)=RIGHT('112'!$M$9,2),B869&lt;'112'!$K$9,$O869='112'!$I$6)),"x",""))</f>
        <v/>
      </c>
      <c r="W869" s="75" t="str">
        <f>IF(AND('341-CT'!$H$9=H869,OR(LEFT(N869,3)=$W$7,LEFT(O869,3)=$W$7)),"x","")</f>
        <v/>
      </c>
      <c r="X869" s="75" t="str">
        <f>IF(OR(TH!N869=TH!$X$7,O869=TH!$X$7),"x","")</f>
        <v/>
      </c>
      <c r="Y869" s="75" t="str">
        <f>IF(AND(OR(N869="131",O869="131"),H869='131-CT'!$H$9),"x","")</f>
        <v/>
      </c>
      <c r="Z869" s="75"/>
      <c r="AA869" s="75" t="str">
        <f>IF(AND(MONTH(E869)='IN-NX'!$J$5,'IN-NX'!$D$7=D869),"x","")</f>
        <v/>
      </c>
      <c r="AB869" s="75" t="str">
        <f>IF(AND(OR(LEFT(TH!N869,2)="15",LEFT(TH!O869,2)="15"),LEFT(TH!O869,3)&lt;&gt;"111",'152-CT'!$J$8=TH!F869),"x","")</f>
        <v/>
      </c>
      <c r="AC869" s="75" t="str">
        <f>IF(AND(OR(LEFT(TH!N869,2)="15",LEFT(TH!O869,2)="15"),TK!$E$7=TH!F869),"x","")</f>
        <v/>
      </c>
      <c r="AD869" s="75" t="str">
        <f>IF(AND(N869="1521",MONTH(C869)='BK-NL'!$M$11),"x","")</f>
        <v/>
      </c>
      <c r="AF869" s="1054"/>
    </row>
    <row r="870" spans="1:32" ht="16.5" customHeight="1">
      <c r="A870" s="309" t="str">
        <f>IF(B870&lt;&gt;"",IF(AND(B870='IN-TC'!$S$4,OR(TH!N870="1111",TH!O870="1111")),TH!D870,""),"")</f>
        <v/>
      </c>
      <c r="B870" s="1058">
        <f t="shared" si="140"/>
        <v>1</v>
      </c>
      <c r="C870" s="217">
        <f t="shared" si="146"/>
        <v>42754</v>
      </c>
      <c r="D870" s="217" t="s">
        <v>2950</v>
      </c>
      <c r="E870" s="217">
        <v>42754</v>
      </c>
      <c r="F870" s="996" t="s">
        <v>2477</v>
      </c>
      <c r="G870" s="739"/>
      <c r="H870" s="294" t="s">
        <v>2919</v>
      </c>
      <c r="I870" s="373">
        <v>200</v>
      </c>
      <c r="J870" s="373">
        <v>147998.69405150515</v>
      </c>
      <c r="K870" s="373"/>
      <c r="L870" s="379"/>
      <c r="M870" s="927">
        <f t="shared" si="147"/>
        <v>29599739</v>
      </c>
      <c r="N870" s="935" t="s">
        <v>274</v>
      </c>
      <c r="O870" s="935" t="s">
        <v>272</v>
      </c>
      <c r="P870" s="75" t="str">
        <f>IF(AND('331-CT'!$E$7=TH!H870,OR(N870="331",O870="331")),"x","")</f>
        <v/>
      </c>
      <c r="Q870" s="75" t="str">
        <f>IF(AND(B870='111'!$L$11,OR($N870=$Q$7,$O870=$Q$7)),"x","")</f>
        <v/>
      </c>
      <c r="R870" s="75" t="str">
        <f>IF(AND($N870=$Q$7,$B870&lt;'111'!$L$11),"x","")</f>
        <v/>
      </c>
      <c r="S870" s="75" t="str">
        <f>IF(AND($O870=$Q$7,$B870&lt;'111'!$L$11),"x","")</f>
        <v/>
      </c>
      <c r="T870" s="75" t="str">
        <f>IF(ISERROR(FIND('112'!$M$9,G870,1)),"",IF((AND(FIND('112'!$M$9,G870,1)&gt;=1,B870='112'!$K$9,OR($N870='112'!$I$6,$O870='112'!$I$6))),"x",""))</f>
        <v/>
      </c>
      <c r="U870" s="75" t="str">
        <f>IF(ISERROR(FIND('112'!$M$9,G870,1)),"",IF((AND(LEFT(G870,2)=LEFT('112'!$M$9,2),B870&lt;'112'!$K$9,$N870='112'!$I$6)),"x",""))</f>
        <v/>
      </c>
      <c r="V870" s="75" t="str">
        <f>IF(ISERROR(FIND('112'!$M$9,G870,1)),"",IF((AND(RIGHT(G870,2)=RIGHT('112'!$M$9,2),B870&lt;'112'!$K$9,$O870='112'!$I$6)),"x",""))</f>
        <v/>
      </c>
      <c r="W870" s="75" t="str">
        <f>IF(AND('341-CT'!$H$9=H870,OR(LEFT(N870,3)=$W$7,LEFT(O870,3)=$W$7)),"x","")</f>
        <v/>
      </c>
      <c r="X870" s="75" t="str">
        <f>IF(OR(TH!N870=TH!$X$7,O870=TH!$X$7),"x","")</f>
        <v/>
      </c>
      <c r="Y870" s="75" t="str">
        <f>IF(AND(OR(N870="131",O870="131"),H870='131-CT'!$H$9),"x","")</f>
        <v/>
      </c>
      <c r="Z870" s="75"/>
      <c r="AA870" s="75" t="str">
        <f>IF(AND(MONTH(E870)='IN-NX'!$J$5,'IN-NX'!$D$7=D870),"x","")</f>
        <v/>
      </c>
      <c r="AB870" s="75" t="str">
        <f>IF(AND(OR(LEFT(TH!N870,2)="15",LEFT(TH!O870,2)="15"),LEFT(TH!O870,3)&lt;&gt;"111",'152-CT'!$J$8=TH!F870),"x","")</f>
        <v/>
      </c>
      <c r="AC870" s="75" t="str">
        <f>IF(AND(OR(LEFT(TH!N870,2)="15",LEFT(TH!O870,2)="15"),TK!$E$7=TH!F870),"x","")</f>
        <v/>
      </c>
      <c r="AD870" s="75" t="str">
        <f>IF(AND(N870="1521",MONTH(C870)='BK-NL'!$M$11),"x","")</f>
        <v/>
      </c>
      <c r="AF870" s="1054"/>
    </row>
    <row r="871" spans="1:32" ht="16.5" customHeight="1">
      <c r="A871" s="309" t="str">
        <f>IF(B871&lt;&gt;"",IF(AND(B871='IN-TC'!$S$4,OR(TH!N871="1111",TH!O871="1111")),TH!D871,""),"")</f>
        <v/>
      </c>
      <c r="B871" s="1058">
        <f t="shared" si="140"/>
        <v>1</v>
      </c>
      <c r="C871" s="217">
        <f t="shared" si="146"/>
        <v>42754</v>
      </c>
      <c r="D871" s="217" t="s">
        <v>2950</v>
      </c>
      <c r="E871" s="217">
        <v>42754</v>
      </c>
      <c r="F871" s="996" t="s">
        <v>799</v>
      </c>
      <c r="G871" s="739"/>
      <c r="H871" s="294" t="s">
        <v>2919</v>
      </c>
      <c r="I871" s="373">
        <v>160.5</v>
      </c>
      <c r="J871" s="373">
        <v>216224.5286564955</v>
      </c>
      <c r="K871" s="373"/>
      <c r="L871" s="379"/>
      <c r="M871" s="927">
        <f t="shared" si="147"/>
        <v>34704037</v>
      </c>
      <c r="N871" s="935" t="s">
        <v>274</v>
      </c>
      <c r="O871" s="935" t="s">
        <v>272</v>
      </c>
      <c r="P871" s="75" t="str">
        <f>IF(AND('331-CT'!$E$7=TH!H871,OR(N871="331",O871="331")),"x","")</f>
        <v/>
      </c>
      <c r="Q871" s="75" t="str">
        <f>IF(AND(B871='111'!$L$11,OR($N871=$Q$7,$O871=$Q$7)),"x","")</f>
        <v/>
      </c>
      <c r="R871" s="75" t="str">
        <f>IF(AND($N871=$Q$7,$B871&lt;'111'!$L$11),"x","")</f>
        <v/>
      </c>
      <c r="S871" s="75" t="str">
        <f>IF(AND($O871=$Q$7,$B871&lt;'111'!$L$11),"x","")</f>
        <v/>
      </c>
      <c r="T871" s="75" t="str">
        <f>IF(ISERROR(FIND('112'!$M$9,G871,1)),"",IF((AND(FIND('112'!$M$9,G871,1)&gt;=1,B871='112'!$K$9,OR($N871='112'!$I$6,$O871='112'!$I$6))),"x",""))</f>
        <v/>
      </c>
      <c r="U871" s="75" t="str">
        <f>IF(ISERROR(FIND('112'!$M$9,G871,1)),"",IF((AND(LEFT(G871,2)=LEFT('112'!$M$9,2),B871&lt;'112'!$K$9,$N871='112'!$I$6)),"x",""))</f>
        <v/>
      </c>
      <c r="V871" s="75" t="str">
        <f>IF(ISERROR(FIND('112'!$M$9,G871,1)),"",IF((AND(RIGHT(G871,2)=RIGHT('112'!$M$9,2),B871&lt;'112'!$K$9,$O871='112'!$I$6)),"x",""))</f>
        <v/>
      </c>
      <c r="W871" s="75" t="str">
        <f>IF(AND('341-CT'!$H$9=H871,OR(LEFT(N871,3)=$W$7,LEFT(O871,3)=$W$7)),"x","")</f>
        <v/>
      </c>
      <c r="X871" s="75" t="str">
        <f>IF(OR(TH!N871=TH!$X$7,O871=TH!$X$7),"x","")</f>
        <v/>
      </c>
      <c r="Y871" s="75" t="str">
        <f>IF(AND(OR(N871="131",O871="131"),H871='131-CT'!$H$9),"x","")</f>
        <v/>
      </c>
      <c r="Z871" s="75"/>
      <c r="AA871" s="75" t="str">
        <f>IF(AND(MONTH(E871)='IN-NX'!$J$5,'IN-NX'!$D$7=D871),"x","")</f>
        <v/>
      </c>
      <c r="AB871" s="75" t="str">
        <f>IF(AND(OR(LEFT(TH!N871,2)="15",LEFT(TH!O871,2)="15"),LEFT(TH!O871,3)&lt;&gt;"111",'152-CT'!$J$8=TH!F871),"x","")</f>
        <v/>
      </c>
      <c r="AC871" s="75" t="str">
        <f>IF(AND(OR(LEFT(TH!N871,2)="15",LEFT(TH!O871,2)="15"),TK!$E$7=TH!F871),"x","")</f>
        <v/>
      </c>
      <c r="AD871" s="75" t="str">
        <f>IF(AND(N871="1521",MONTH(C871)='BK-NL'!$M$11),"x","")</f>
        <v/>
      </c>
      <c r="AF871" s="1054"/>
    </row>
    <row r="872" spans="1:32" ht="16.5" customHeight="1">
      <c r="A872" s="309" t="str">
        <f>IF(B872&lt;&gt;"",IF(AND(B872='IN-TC'!$S$4,OR(TH!N872="1111",TH!O872="1111")),TH!D872,""),"")</f>
        <v/>
      </c>
      <c r="B872" s="1058">
        <f t="shared" si="140"/>
        <v>1</v>
      </c>
      <c r="C872" s="217">
        <f t="shared" si="146"/>
        <v>42754</v>
      </c>
      <c r="D872" s="217" t="s">
        <v>2950</v>
      </c>
      <c r="E872" s="217">
        <v>42754</v>
      </c>
      <c r="F872" s="996" t="s">
        <v>800</v>
      </c>
      <c r="G872" s="739"/>
      <c r="H872" s="294" t="s">
        <v>2919</v>
      </c>
      <c r="I872" s="373">
        <v>90</v>
      </c>
      <c r="J872" s="373">
        <v>198224.52865649556</v>
      </c>
      <c r="K872" s="373"/>
      <c r="L872" s="379"/>
      <c r="M872" s="927">
        <f t="shared" si="147"/>
        <v>17840208</v>
      </c>
      <c r="N872" s="935" t="s">
        <v>274</v>
      </c>
      <c r="O872" s="935" t="s">
        <v>272</v>
      </c>
      <c r="P872" s="75" t="str">
        <f>IF(AND('331-CT'!$E$7=TH!H872,OR(N872="331",O872="331")),"x","")</f>
        <v/>
      </c>
      <c r="Q872" s="75" t="str">
        <f>IF(AND(B872='111'!$L$11,OR($N872=$Q$7,$O872=$Q$7)),"x","")</f>
        <v/>
      </c>
      <c r="R872" s="75" t="str">
        <f>IF(AND($N872=$Q$7,$B872&lt;'111'!$L$11),"x","")</f>
        <v/>
      </c>
      <c r="S872" s="75" t="str">
        <f>IF(AND($O872=$Q$7,$B872&lt;'111'!$L$11),"x","")</f>
        <v/>
      </c>
      <c r="T872" s="75" t="str">
        <f>IF(ISERROR(FIND('112'!$M$9,G872,1)),"",IF((AND(FIND('112'!$M$9,G872,1)&gt;=1,B872='112'!$K$9,OR($N872='112'!$I$6,$O872='112'!$I$6))),"x",""))</f>
        <v/>
      </c>
      <c r="U872" s="75" t="str">
        <f>IF(ISERROR(FIND('112'!$M$9,G872,1)),"",IF((AND(LEFT(G872,2)=LEFT('112'!$M$9,2),B872&lt;'112'!$K$9,$N872='112'!$I$6)),"x",""))</f>
        <v/>
      </c>
      <c r="V872" s="75" t="str">
        <f>IF(ISERROR(FIND('112'!$M$9,G872,1)),"",IF((AND(RIGHT(G872,2)=RIGHT('112'!$M$9,2),B872&lt;'112'!$K$9,$O872='112'!$I$6)),"x",""))</f>
        <v/>
      </c>
      <c r="W872" s="75" t="str">
        <f>IF(AND('341-CT'!$H$9=H872,OR(LEFT(N872,3)=$W$7,LEFT(O872,3)=$W$7)),"x","")</f>
        <v/>
      </c>
      <c r="X872" s="75" t="str">
        <f>IF(OR(TH!N872=TH!$X$7,O872=TH!$X$7),"x","")</f>
        <v/>
      </c>
      <c r="Y872" s="75" t="str">
        <f>IF(AND(OR(N872="131",O872="131"),H872='131-CT'!$H$9),"x","")</f>
        <v/>
      </c>
      <c r="Z872" s="75"/>
      <c r="AA872" s="75" t="str">
        <f>IF(AND(MONTH(E872)='IN-NX'!$J$5,'IN-NX'!$D$7=D872),"x","")</f>
        <v/>
      </c>
      <c r="AB872" s="75" t="str">
        <f>IF(AND(OR(LEFT(TH!N872,2)="15",LEFT(TH!O872,2)="15"),LEFT(TH!O872,3)&lt;&gt;"111",'152-CT'!$J$8=TH!F872),"x","")</f>
        <v/>
      </c>
      <c r="AC872" s="75" t="str">
        <f>IF(AND(OR(LEFT(TH!N872,2)="15",LEFT(TH!O872,2)="15"),TK!$E$7=TH!F872),"x","")</f>
        <v/>
      </c>
      <c r="AD872" s="75" t="str">
        <f>IF(AND(N872="1521",MONTH(C872)='BK-NL'!$M$11),"x","")</f>
        <v/>
      </c>
      <c r="AF872" s="1054"/>
    </row>
    <row r="873" spans="1:32" ht="16.5" customHeight="1">
      <c r="A873" s="309" t="str">
        <f>IF(B873&lt;&gt;"",IF(AND(B873='IN-TC'!$S$4,OR(TH!N873="1111",TH!O873="1111")),TH!D873,""),"")</f>
        <v/>
      </c>
      <c r="B873" s="1058">
        <f t="shared" si="140"/>
        <v>1</v>
      </c>
      <c r="C873" s="217">
        <f t="shared" si="146"/>
        <v>42754</v>
      </c>
      <c r="D873" s="217" t="s">
        <v>2950</v>
      </c>
      <c r="E873" s="217">
        <v>42754</v>
      </c>
      <c r="F873" s="996" t="s">
        <v>801</v>
      </c>
      <c r="G873" s="739"/>
      <c r="H873" s="294" t="s">
        <v>2919</v>
      </c>
      <c r="I873" s="373">
        <v>336.6</v>
      </c>
      <c r="J873" s="373">
        <v>156255.10005828401</v>
      </c>
      <c r="K873" s="373"/>
      <c r="L873" s="379"/>
      <c r="M873" s="927">
        <f t="shared" si="147"/>
        <v>52595467</v>
      </c>
      <c r="N873" s="935" t="s">
        <v>274</v>
      </c>
      <c r="O873" s="935" t="s">
        <v>272</v>
      </c>
      <c r="P873" s="75" t="str">
        <f>IF(AND('331-CT'!$E$7=TH!H873,OR(N873="331",O873="331")),"x","")</f>
        <v/>
      </c>
      <c r="Q873" s="75" t="str">
        <f>IF(AND(B873='111'!$L$11,OR($N873=$Q$7,$O873=$Q$7)),"x","")</f>
        <v/>
      </c>
      <c r="R873" s="75" t="str">
        <f>IF(AND($N873=$Q$7,$B873&lt;'111'!$L$11),"x","")</f>
        <v/>
      </c>
      <c r="S873" s="75" t="str">
        <f>IF(AND($O873=$Q$7,$B873&lt;'111'!$L$11),"x","")</f>
        <v/>
      </c>
      <c r="T873" s="75" t="str">
        <f>IF(ISERROR(FIND('112'!$M$9,G873,1)),"",IF((AND(FIND('112'!$M$9,G873,1)&gt;=1,B873='112'!$K$9,OR($N873='112'!$I$6,$O873='112'!$I$6))),"x",""))</f>
        <v/>
      </c>
      <c r="U873" s="75" t="str">
        <f>IF(ISERROR(FIND('112'!$M$9,G873,1)),"",IF((AND(LEFT(G873,2)=LEFT('112'!$M$9,2),B873&lt;'112'!$K$9,$N873='112'!$I$6)),"x",""))</f>
        <v/>
      </c>
      <c r="V873" s="75" t="str">
        <f>IF(ISERROR(FIND('112'!$M$9,G873,1)),"",IF((AND(RIGHT(G873,2)=RIGHT('112'!$M$9,2),B873&lt;'112'!$K$9,$O873='112'!$I$6)),"x",""))</f>
        <v/>
      </c>
      <c r="W873" s="75" t="str">
        <f>IF(AND('341-CT'!$H$9=H873,OR(LEFT(N873,3)=$W$7,LEFT(O873,3)=$W$7)),"x","")</f>
        <v/>
      </c>
      <c r="X873" s="75" t="str">
        <f>IF(OR(TH!N873=TH!$X$7,O873=TH!$X$7),"x","")</f>
        <v/>
      </c>
      <c r="Y873" s="75" t="str">
        <f>IF(AND(OR(N873="131",O873="131"),H873='131-CT'!$H$9),"x","")</f>
        <v/>
      </c>
      <c r="Z873" s="75"/>
      <c r="AA873" s="75" t="str">
        <f>IF(AND(MONTH(E873)='IN-NX'!$J$5,'IN-NX'!$D$7=D873),"x","")</f>
        <v/>
      </c>
      <c r="AB873" s="75" t="str">
        <f>IF(AND(OR(LEFT(TH!N873,2)="15",LEFT(TH!O873,2)="15"),LEFT(TH!O873,3)&lt;&gt;"111",'152-CT'!$J$8=TH!F873),"x","")</f>
        <v/>
      </c>
      <c r="AC873" s="75" t="str">
        <f>IF(AND(OR(LEFT(TH!N873,2)="15",LEFT(TH!O873,2)="15"),TK!$E$7=TH!F873),"x","")</f>
        <v/>
      </c>
      <c r="AD873" s="75" t="str">
        <f>IF(AND(N873="1521",MONTH(C873)='BK-NL'!$M$11),"x","")</f>
        <v/>
      </c>
      <c r="AF873" s="1054"/>
    </row>
    <row r="874" spans="1:32" s="1054" customFormat="1" ht="16.5" customHeight="1">
      <c r="A874" s="309" t="str">
        <f>IF(B874&lt;&gt;"",IF(AND(B874='IN-TC'!$S$4,OR(TH!N874="1111",TH!O874="1111")),TH!D874,""),"")</f>
        <v/>
      </c>
      <c r="B874" s="1058">
        <f t="shared" ref="B874:B885" si="148">IF(C874&lt;&gt;"",MONTH(C874),"")</f>
        <v>1</v>
      </c>
      <c r="C874" s="252">
        <f t="shared" ref="C874:C885" si="149">E874</f>
        <v>42766</v>
      </c>
      <c r="D874" s="252" t="s">
        <v>2921</v>
      </c>
      <c r="E874" s="252">
        <v>42766</v>
      </c>
      <c r="F874" s="1055" t="s">
        <v>429</v>
      </c>
      <c r="G874" s="1056" t="s">
        <v>2928</v>
      </c>
      <c r="H874" s="73" t="s">
        <v>623</v>
      </c>
      <c r="I874" s="371">
        <f>26390*3</f>
        <v>79170</v>
      </c>
      <c r="J874" s="377">
        <v>58000</v>
      </c>
      <c r="K874" s="371"/>
      <c r="L874" s="377"/>
      <c r="M874" s="933">
        <f t="shared" ref="M874:M885" si="150">ROUND(I874*J874,0)</f>
        <v>4591860000</v>
      </c>
      <c r="N874" s="977" t="s">
        <v>284</v>
      </c>
      <c r="O874" s="977" t="s">
        <v>274</v>
      </c>
      <c r="P874" s="75" t="str">
        <f>IF(AND('331-CT'!$E$7=TH!H874,OR(N874="331",O874="331")),"x","")</f>
        <v/>
      </c>
      <c r="Q874" s="75" t="str">
        <f>IF(AND(B874='111'!$L$11,OR($N874=$Q$7,$O874=$Q$7)),"x","")</f>
        <v/>
      </c>
      <c r="R874" s="75" t="str">
        <f>IF(AND($N874=$Q$7,$B874&lt;'111'!$L$11),"x","")</f>
        <v/>
      </c>
      <c r="S874" s="75" t="str">
        <f>IF(AND($O874=$Q$7,$B874&lt;'111'!$L$11),"x","")</f>
        <v/>
      </c>
      <c r="T874" s="75" t="str">
        <f>IF(ISERROR(FIND('112'!$M$9,G874,1)),"",IF((AND(FIND('112'!$M$9,G874,1)&gt;=1,B874='112'!$K$9,OR($N874='112'!$I$6,$O874='112'!$I$6))),"x",""))</f>
        <v/>
      </c>
      <c r="U874" s="75" t="str">
        <f>IF(ISERROR(FIND('112'!$M$9,G874,1)),"",IF((AND(LEFT(G874,2)=LEFT('112'!$M$9,2),B874&lt;'112'!$K$9,$N874='112'!$I$6)),"x",""))</f>
        <v/>
      </c>
      <c r="V874" s="75" t="str">
        <f>IF(ISERROR(FIND('112'!$M$9,G874,1)),"",IF((AND(RIGHT(G874,2)=RIGHT('112'!$M$9,2),B874&lt;'112'!$K$9,$O874='112'!$I$6)),"x",""))</f>
        <v/>
      </c>
      <c r="W874" s="75" t="str">
        <f>IF(AND('341-CT'!$H$9=H874,OR(LEFT(N874,3)=$W$7,LEFT(O874,3)=$W$7)),"x","")</f>
        <v/>
      </c>
      <c r="X874" s="75" t="str">
        <f>IF(OR(TH!N874=TH!$X$7,O874=TH!$X$7),"x","")</f>
        <v/>
      </c>
      <c r="Y874" s="75" t="str">
        <f>IF(AND(OR(N874="131",O874="131"),H874='131-CT'!$H$9),"x","")</f>
        <v/>
      </c>
      <c r="Z874" s="75"/>
      <c r="AA874" s="75" t="str">
        <f>IF(AND(MONTH(E874)='IN-NX'!$J$5,'IN-NX'!$D$7=D874),"x","")</f>
        <v/>
      </c>
      <c r="AB874" s="75" t="str">
        <f>IF(AND(OR(LEFT(TH!N874,2)="15",LEFT(TH!O874,2)="15"),LEFT(TH!O874,3)&lt;&gt;"111",'152-CT'!$J$8=TH!F874),"x","")</f>
        <v/>
      </c>
      <c r="AC874" s="75" t="str">
        <f>IF(AND(OR(LEFT(TH!N874,2)="15",LEFT(TH!O874,2)="15"),TK!$E$7=TH!F874),"x","")</f>
        <v/>
      </c>
      <c r="AD874" s="75" t="str">
        <f>IF(AND(N874="1521",MONTH(C874)='BK-NL'!$M$11),"x","")</f>
        <v/>
      </c>
    </row>
    <row r="875" spans="1:32" s="1054" customFormat="1" ht="16.5" customHeight="1">
      <c r="A875" s="309" t="str">
        <f>IF(B875&lt;&gt;"",IF(AND(B875='IN-TC'!$S$4,OR(TH!N875="1111",TH!O875="1111")),TH!D875,""),"")</f>
        <v/>
      </c>
      <c r="B875" s="1058">
        <f t="shared" si="148"/>
        <v>1</v>
      </c>
      <c r="C875" s="252">
        <f t="shared" si="149"/>
        <v>42766</v>
      </c>
      <c r="D875" s="252" t="s">
        <v>2921</v>
      </c>
      <c r="E875" s="252">
        <v>42766</v>
      </c>
      <c r="F875" s="1055" t="s">
        <v>429</v>
      </c>
      <c r="G875" s="1056" t="s">
        <v>816</v>
      </c>
      <c r="H875" s="73" t="s">
        <v>789</v>
      </c>
      <c r="I875" s="371">
        <v>5824</v>
      </c>
      <c r="J875" s="377">
        <v>56500</v>
      </c>
      <c r="K875" s="371"/>
      <c r="L875" s="377"/>
      <c r="M875" s="933">
        <f t="shared" si="150"/>
        <v>329056000</v>
      </c>
      <c r="N875" s="977" t="s">
        <v>284</v>
      </c>
      <c r="O875" s="977" t="s">
        <v>274</v>
      </c>
      <c r="P875" s="75" t="str">
        <f>IF(AND('331-CT'!$E$7=TH!H875,OR(N875="331",O875="331")),"x","")</f>
        <v/>
      </c>
      <c r="Q875" s="75" t="str">
        <f>IF(AND(B875='111'!$L$11,OR($N875=$Q$7,$O875=$Q$7)),"x","")</f>
        <v/>
      </c>
      <c r="R875" s="75" t="str">
        <f>IF(AND($N875=$Q$7,$B875&lt;'111'!$L$11),"x","")</f>
        <v/>
      </c>
      <c r="S875" s="75" t="str">
        <f>IF(AND($O875=$Q$7,$B875&lt;'111'!$L$11),"x","")</f>
        <v/>
      </c>
      <c r="T875" s="75" t="str">
        <f>IF(ISERROR(FIND('112'!$M$9,G875,1)),"",IF((AND(FIND('112'!$M$9,G875,1)&gt;=1,B875='112'!$K$9,OR($N875='112'!$I$6,$O875='112'!$I$6))),"x",""))</f>
        <v/>
      </c>
      <c r="U875" s="75" t="str">
        <f>IF(ISERROR(FIND('112'!$M$9,G875,1)),"",IF((AND(LEFT(G875,2)=LEFT('112'!$M$9,2),B875&lt;'112'!$K$9,$N875='112'!$I$6)),"x",""))</f>
        <v/>
      </c>
      <c r="V875" s="75" t="str">
        <f>IF(ISERROR(FIND('112'!$M$9,G875,1)),"",IF((AND(RIGHT(G875,2)=RIGHT('112'!$M$9,2),B875&lt;'112'!$K$9,$O875='112'!$I$6)),"x",""))</f>
        <v/>
      </c>
      <c r="W875" s="75" t="str">
        <f>IF(AND('341-CT'!$H$9=H875,OR(LEFT(N875,3)=$W$7,LEFT(O875,3)=$W$7)),"x","")</f>
        <v/>
      </c>
      <c r="X875" s="75" t="str">
        <f>IF(OR(TH!N875=TH!$X$7,O875=TH!$X$7),"x","")</f>
        <v/>
      </c>
      <c r="Y875" s="75" t="str">
        <f>IF(AND(OR(N875="131",O875="131"),H875='131-CT'!$H$9),"x","")</f>
        <v/>
      </c>
      <c r="Z875" s="75"/>
      <c r="AA875" s="75" t="str">
        <f>IF(AND(MONTH(E875)='IN-NX'!$J$5,'IN-NX'!$D$7=D875),"x","")</f>
        <v/>
      </c>
      <c r="AB875" s="75" t="str">
        <f>IF(AND(OR(LEFT(TH!N875,2)="15",LEFT(TH!O875,2)="15"),LEFT(TH!O875,3)&lt;&gt;"111",'152-CT'!$J$8=TH!F875),"x","")</f>
        <v/>
      </c>
      <c r="AC875" s="75" t="str">
        <f>IF(AND(OR(LEFT(TH!N875,2)="15",LEFT(TH!O875,2)="15"),TK!$E$7=TH!F875),"x","")</f>
        <v/>
      </c>
      <c r="AD875" s="75" t="str">
        <f>IF(AND(N875="1521",MONTH(C875)='BK-NL'!$M$11),"x","")</f>
        <v/>
      </c>
    </row>
    <row r="876" spans="1:32" s="1053" customFormat="1" ht="16.5" customHeight="1">
      <c r="A876" s="309" t="str">
        <f>IF(B876&lt;&gt;"",IF(AND(B876='IN-TC'!$S$4,OR(TH!N876="1111",TH!O876="1111")),TH!D876,""),"")</f>
        <v/>
      </c>
      <c r="B876" s="1058">
        <f t="shared" si="148"/>
        <v>1</v>
      </c>
      <c r="C876" s="252">
        <f t="shared" si="149"/>
        <v>42766</v>
      </c>
      <c r="D876" s="252" t="s">
        <v>2921</v>
      </c>
      <c r="E876" s="252">
        <v>42766</v>
      </c>
      <c r="F876" s="1055" t="s">
        <v>429</v>
      </c>
      <c r="G876" s="1056" t="s">
        <v>820</v>
      </c>
      <c r="H876" s="296" t="s">
        <v>759</v>
      </c>
      <c r="I876" s="371">
        <v>20566</v>
      </c>
      <c r="J876" s="371">
        <v>60914.422735346358</v>
      </c>
      <c r="K876" s="371"/>
      <c r="L876" s="377"/>
      <c r="M876" s="933">
        <f t="shared" si="150"/>
        <v>1252766018</v>
      </c>
      <c r="N876" s="977" t="s">
        <v>284</v>
      </c>
      <c r="O876" s="977" t="s">
        <v>274</v>
      </c>
      <c r="P876" s="75" t="str">
        <f>IF(AND('331-CT'!$E$7=TH!H876,OR(N876="331",O876="331")),"x","")</f>
        <v/>
      </c>
      <c r="Q876" s="75" t="str">
        <f>IF(AND(B876='111'!$L$11,OR($N876=$Q$7,$O876=$Q$7)),"x","")</f>
        <v/>
      </c>
      <c r="R876" s="75" t="str">
        <f>IF(AND($N876=$Q$7,$B876&lt;'111'!$L$11),"x","")</f>
        <v/>
      </c>
      <c r="S876" s="75" t="str">
        <f>IF(AND($O876=$Q$7,$B876&lt;'111'!$L$11),"x","")</f>
        <v/>
      </c>
      <c r="T876" s="75" t="str">
        <f>IF(ISERROR(FIND('112'!$M$9,G876,1)),"",IF((AND(FIND('112'!$M$9,G876,1)&gt;=1,B876='112'!$K$9,OR($N876='112'!$I$6,$O876='112'!$I$6))),"x",""))</f>
        <v/>
      </c>
      <c r="U876" s="75" t="str">
        <f>IF(ISERROR(FIND('112'!$M$9,G876,1)),"",IF((AND(LEFT(G876,2)=LEFT('112'!$M$9,2),B876&lt;'112'!$K$9,$N876='112'!$I$6)),"x",""))</f>
        <v/>
      </c>
      <c r="V876" s="75" t="str">
        <f>IF(ISERROR(FIND('112'!$M$9,G876,1)),"",IF((AND(RIGHT(G876,2)=RIGHT('112'!$M$9,2),B876&lt;'112'!$K$9,$O876='112'!$I$6)),"x",""))</f>
        <v/>
      </c>
      <c r="W876" s="75" t="str">
        <f>IF(AND('341-CT'!$H$9=H876,OR(LEFT(N876,3)=$W$7,LEFT(O876,3)=$W$7)),"x","")</f>
        <v/>
      </c>
      <c r="X876" s="75" t="str">
        <f>IF(OR(TH!N876=TH!$X$7,O876=TH!$X$7),"x","")</f>
        <v/>
      </c>
      <c r="Y876" s="75" t="str">
        <f>IF(AND(OR(N876="131",O876="131"),H876='131-CT'!$H$9),"x","")</f>
        <v/>
      </c>
      <c r="Z876" s="75"/>
      <c r="AA876" s="75" t="str">
        <f>IF(AND(MONTH(E876)='IN-NX'!$J$5,'IN-NX'!$D$7=D876),"x","")</f>
        <v/>
      </c>
      <c r="AB876" s="75" t="str">
        <f>IF(AND(OR(LEFT(TH!N876,2)="15",LEFT(TH!O876,2)="15"),LEFT(TH!O876,3)&lt;&gt;"111",'152-CT'!$J$8=TH!F876),"x","")</f>
        <v/>
      </c>
      <c r="AC876" s="75" t="str">
        <f>IF(AND(OR(LEFT(TH!N876,2)="15",LEFT(TH!O876,2)="15"),TK!$E$7=TH!F876),"x","")</f>
        <v/>
      </c>
      <c r="AD876" s="75" t="str">
        <f>IF(AND(N876="1521",MONTH(C876)='BK-NL'!$M$11),"x","")</f>
        <v/>
      </c>
      <c r="AF876" s="1054"/>
    </row>
    <row r="877" spans="1:32" ht="16.5" customHeight="1">
      <c r="A877" s="309" t="str">
        <f>IF(B877&lt;&gt;"",IF(AND(B877='IN-TC'!$S$4,OR(TH!N877="1111",TH!O877="1111")),TH!D877,""),"")</f>
        <v/>
      </c>
      <c r="B877" s="1058">
        <f t="shared" si="148"/>
        <v>1</v>
      </c>
      <c r="C877" s="252">
        <f t="shared" si="149"/>
        <v>42766</v>
      </c>
      <c r="D877" s="252" t="s">
        <v>2921</v>
      </c>
      <c r="E877" s="252">
        <v>42766</v>
      </c>
      <c r="F877" s="1082" t="s">
        <v>426</v>
      </c>
      <c r="G877" s="1056" t="s">
        <v>2952</v>
      </c>
      <c r="H877" s="296" t="s">
        <v>2953</v>
      </c>
      <c r="I877" s="371">
        <f>4800*2</f>
        <v>9600</v>
      </c>
      <c r="J877" s="371">
        <v>200710.86751906583</v>
      </c>
      <c r="K877" s="371"/>
      <c r="L877" s="377"/>
      <c r="M877" s="933">
        <f t="shared" si="150"/>
        <v>1926824328</v>
      </c>
      <c r="N877" s="977" t="s">
        <v>284</v>
      </c>
      <c r="O877" s="977" t="s">
        <v>274</v>
      </c>
      <c r="P877" s="75" t="str">
        <f>IF(AND('331-CT'!$E$7=TH!H877,OR(N877="331",O877="331")),"x","")</f>
        <v/>
      </c>
      <c r="Q877" s="75" t="str">
        <f>IF(AND(B877='111'!$L$11,OR($N877=$Q$7,$O877=$Q$7)),"x","")</f>
        <v/>
      </c>
      <c r="R877" s="75" t="str">
        <f>IF(AND($N877=$Q$7,$B877&lt;'111'!$L$11),"x","")</f>
        <v/>
      </c>
      <c r="S877" s="75" t="str">
        <f>IF(AND($O877=$Q$7,$B877&lt;'111'!$L$11),"x","")</f>
        <v/>
      </c>
      <c r="T877" s="75" t="str">
        <f>IF(ISERROR(FIND('112'!$M$9,G877,1)),"",IF((AND(FIND('112'!$M$9,G877,1)&gt;=1,B877='112'!$K$9,OR($N877='112'!$I$6,$O877='112'!$I$6))),"x",""))</f>
        <v/>
      </c>
      <c r="U877" s="75" t="str">
        <f>IF(ISERROR(FIND('112'!$M$9,G877,1)),"",IF((AND(LEFT(G877,2)=LEFT('112'!$M$9,2),B877&lt;'112'!$K$9,$N877='112'!$I$6)),"x",""))</f>
        <v/>
      </c>
      <c r="V877" s="75" t="str">
        <f>IF(ISERROR(FIND('112'!$M$9,G877,1)),"",IF((AND(RIGHT(G877,2)=RIGHT('112'!$M$9,2),B877&lt;'112'!$K$9,$O877='112'!$I$6)),"x",""))</f>
        <v/>
      </c>
      <c r="W877" s="75" t="str">
        <f>IF(AND('341-CT'!$H$9=H877,OR(LEFT(N877,3)=$W$7,LEFT(O877,3)=$W$7)),"x","")</f>
        <v/>
      </c>
      <c r="X877" s="75" t="str">
        <f>IF(OR(TH!N877=TH!$X$7,O877=TH!$X$7),"x","")</f>
        <v/>
      </c>
      <c r="Y877" s="75" t="str">
        <f>IF(AND(OR(N877="131",O877="131"),H877='131-CT'!$H$9),"x","")</f>
        <v/>
      </c>
      <c r="Z877" s="75"/>
      <c r="AA877" s="75" t="str">
        <f>IF(AND(MONTH(E877)='IN-NX'!$J$5,'IN-NX'!$D$7=D877),"x","")</f>
        <v/>
      </c>
      <c r="AB877" s="75" t="str">
        <f>IF(AND(OR(LEFT(TH!N877,2)="15",LEFT(TH!O877,2)="15"),LEFT(TH!O877,3)&lt;&gt;"111",'152-CT'!$J$8=TH!F877),"x","")</f>
        <v/>
      </c>
      <c r="AC877" s="75" t="str">
        <f>IF(AND(OR(LEFT(TH!N877,2)="15",LEFT(TH!O877,2)="15"),TK!$E$7=TH!F877),"x","")</f>
        <v/>
      </c>
      <c r="AD877" s="75" t="str">
        <f>IF(AND(N877="1521",MONTH(C877)='BK-NL'!$M$11),"x","")</f>
        <v/>
      </c>
      <c r="AF877" s="1054"/>
    </row>
    <row r="878" spans="1:32" ht="16.5" customHeight="1">
      <c r="A878" s="309" t="str">
        <f>IF(B878&lt;&gt;"",IF(AND(B878='IN-TC'!$S$4,OR(TH!N878="1111",TH!O878="1111")),TH!D878,""),"")</f>
        <v/>
      </c>
      <c r="B878" s="1058">
        <f t="shared" si="148"/>
        <v>1</v>
      </c>
      <c r="C878" s="252">
        <f t="shared" si="149"/>
        <v>42766</v>
      </c>
      <c r="D878" s="252" t="s">
        <v>2921</v>
      </c>
      <c r="E878" s="252">
        <v>42766</v>
      </c>
      <c r="F878" s="1055" t="s">
        <v>1584</v>
      </c>
      <c r="G878" s="1056" t="s">
        <v>837</v>
      </c>
      <c r="H878" s="735" t="s">
        <v>546</v>
      </c>
      <c r="I878" s="371">
        <v>2240</v>
      </c>
      <c r="J878" s="371">
        <v>203568.25708801535</v>
      </c>
      <c r="K878" s="371"/>
      <c r="L878" s="377"/>
      <c r="M878" s="933">
        <f t="shared" si="150"/>
        <v>455992896</v>
      </c>
      <c r="N878" s="977" t="s">
        <v>284</v>
      </c>
      <c r="O878" s="977" t="s">
        <v>274</v>
      </c>
      <c r="P878" s="75" t="str">
        <f>IF(AND('331-CT'!$E$7=TH!H878,OR(N878="331",O878="331")),"x","")</f>
        <v/>
      </c>
      <c r="Q878" s="75" t="str">
        <f>IF(AND(B878='111'!$L$11,OR($N878=$Q$7,$O878=$Q$7)),"x","")</f>
        <v/>
      </c>
      <c r="R878" s="75" t="str">
        <f>IF(AND($N878=$Q$7,$B878&lt;'111'!$L$11),"x","")</f>
        <v/>
      </c>
      <c r="S878" s="75" t="str">
        <f>IF(AND($O878=$Q$7,$B878&lt;'111'!$L$11),"x","")</f>
        <v/>
      </c>
      <c r="T878" s="75" t="str">
        <f>IF(ISERROR(FIND('112'!$M$9,G878,1)),"",IF((AND(FIND('112'!$M$9,G878,1)&gt;=1,B878='112'!$K$9,OR($N878='112'!$I$6,$O878='112'!$I$6))),"x",""))</f>
        <v/>
      </c>
      <c r="U878" s="75" t="str">
        <f>IF(ISERROR(FIND('112'!$M$9,G878,1)),"",IF((AND(LEFT(G878,2)=LEFT('112'!$M$9,2),B878&lt;'112'!$K$9,$N878='112'!$I$6)),"x",""))</f>
        <v/>
      </c>
      <c r="V878" s="75" t="str">
        <f>IF(ISERROR(FIND('112'!$M$9,G878,1)),"",IF((AND(RIGHT(G878,2)=RIGHT('112'!$M$9,2),B878&lt;'112'!$K$9,$O878='112'!$I$6)),"x",""))</f>
        <v/>
      </c>
      <c r="W878" s="75" t="str">
        <f>IF(AND('341-CT'!$H$9=H878,OR(LEFT(N878,3)=$W$7,LEFT(O878,3)=$W$7)),"x","")</f>
        <v/>
      </c>
      <c r="X878" s="75" t="str">
        <f>IF(OR(TH!N878=TH!$X$7,O878=TH!$X$7),"x","")</f>
        <v/>
      </c>
      <c r="Y878" s="75" t="str">
        <f>IF(AND(OR(N878="131",O878="131"),H878='131-CT'!$H$9),"x","")</f>
        <v/>
      </c>
      <c r="Z878" s="75"/>
      <c r="AA878" s="75" t="str">
        <f>IF(AND(MONTH(E878)='IN-NX'!$J$5,'IN-NX'!$D$7=D878),"x","")</f>
        <v/>
      </c>
      <c r="AB878" s="75" t="str">
        <f>IF(AND(OR(LEFT(TH!N878,2)="15",LEFT(TH!O878,2)="15"),LEFT(TH!O878,3)&lt;&gt;"111",'152-CT'!$J$8=TH!F878),"x","")</f>
        <v/>
      </c>
      <c r="AC878" s="75" t="str">
        <f>IF(AND(OR(LEFT(TH!N878,2)="15",LEFT(TH!O878,2)="15"),TK!$E$7=TH!F878),"x","")</f>
        <v/>
      </c>
      <c r="AD878" s="75" t="str">
        <f>IF(AND(N878="1521",MONTH(C878)='BK-NL'!$M$11),"x","")</f>
        <v/>
      </c>
      <c r="AF878" s="1054"/>
    </row>
    <row r="879" spans="1:32" ht="16.5" customHeight="1">
      <c r="A879" s="309" t="str">
        <f>IF(B879&lt;&gt;"",IF(AND(B879='IN-TC'!$S$4,OR(TH!N879="1111",TH!O879="1111")),TH!D879,""),"")</f>
        <v/>
      </c>
      <c r="B879" s="1058">
        <f t="shared" si="148"/>
        <v>1</v>
      </c>
      <c r="C879" s="252">
        <f t="shared" si="149"/>
        <v>42766</v>
      </c>
      <c r="D879" s="252" t="s">
        <v>2921</v>
      </c>
      <c r="E879" s="252">
        <v>42766</v>
      </c>
      <c r="F879" s="1055" t="s">
        <v>1107</v>
      </c>
      <c r="G879" s="1056" t="s">
        <v>837</v>
      </c>
      <c r="H879" s="735" t="s">
        <v>546</v>
      </c>
      <c r="I879" s="371">
        <v>2470</v>
      </c>
      <c r="J879" s="371">
        <v>210576.16676056816</v>
      </c>
      <c r="K879" s="371"/>
      <c r="L879" s="377"/>
      <c r="M879" s="933">
        <f t="shared" si="150"/>
        <v>520123132</v>
      </c>
      <c r="N879" s="977" t="s">
        <v>284</v>
      </c>
      <c r="O879" s="977" t="s">
        <v>274</v>
      </c>
      <c r="P879" s="75" t="str">
        <f>IF(AND('331-CT'!$E$7=TH!H879,OR(N879="331",O879="331")),"x","")</f>
        <v/>
      </c>
      <c r="Q879" s="75" t="str">
        <f>IF(AND(B879='111'!$L$11,OR($N879=$Q$7,$O879=$Q$7)),"x","")</f>
        <v/>
      </c>
      <c r="R879" s="75" t="str">
        <f>IF(AND($N879=$Q$7,$B879&lt;'111'!$L$11),"x","")</f>
        <v/>
      </c>
      <c r="S879" s="75" t="str">
        <f>IF(AND($O879=$Q$7,$B879&lt;'111'!$L$11),"x","")</f>
        <v/>
      </c>
      <c r="T879" s="75" t="str">
        <f>IF(ISERROR(FIND('112'!$M$9,G879,1)),"",IF((AND(FIND('112'!$M$9,G879,1)&gt;=1,B879='112'!$K$9,OR($N879='112'!$I$6,$O879='112'!$I$6))),"x",""))</f>
        <v/>
      </c>
      <c r="U879" s="75" t="str">
        <f>IF(ISERROR(FIND('112'!$M$9,G879,1)),"",IF((AND(LEFT(G879,2)=LEFT('112'!$M$9,2),B879&lt;'112'!$K$9,$N879='112'!$I$6)),"x",""))</f>
        <v/>
      </c>
      <c r="V879" s="75" t="str">
        <f>IF(ISERROR(FIND('112'!$M$9,G879,1)),"",IF((AND(RIGHT(G879,2)=RIGHT('112'!$M$9,2),B879&lt;'112'!$K$9,$O879='112'!$I$6)),"x",""))</f>
        <v/>
      </c>
      <c r="W879" s="75" t="str">
        <f>IF(AND('341-CT'!$H$9=H879,OR(LEFT(N879,3)=$W$7,LEFT(O879,3)=$W$7)),"x","")</f>
        <v/>
      </c>
      <c r="X879" s="75" t="str">
        <f>IF(OR(TH!N879=TH!$X$7,O879=TH!$X$7),"x","")</f>
        <v/>
      </c>
      <c r="Y879" s="75" t="str">
        <f>IF(AND(OR(N879="131",O879="131"),H879='131-CT'!$H$9),"x","")</f>
        <v/>
      </c>
      <c r="Z879" s="75"/>
      <c r="AA879" s="75" t="str">
        <f>IF(AND(MONTH(E879)='IN-NX'!$J$5,'IN-NX'!$D$7=D879),"x","")</f>
        <v/>
      </c>
      <c r="AB879" s="75" t="str">
        <f>IF(AND(OR(LEFT(TH!N879,2)="15",LEFT(TH!O879,2)="15"),LEFT(TH!O879,3)&lt;&gt;"111",'152-CT'!$J$8=TH!F879),"x","")</f>
        <v/>
      </c>
      <c r="AC879" s="75" t="str">
        <f>IF(AND(OR(LEFT(TH!N879,2)="15",LEFT(TH!O879,2)="15"),TK!$E$7=TH!F879),"x","")</f>
        <v/>
      </c>
      <c r="AD879" s="75" t="str">
        <f>IF(AND(N879="1521",MONTH(C879)='BK-NL'!$M$11),"x","")</f>
        <v/>
      </c>
      <c r="AF879" s="1054"/>
    </row>
    <row r="880" spans="1:32" ht="16.5" customHeight="1">
      <c r="A880" s="309" t="str">
        <f>IF(B880&lt;&gt;"",IF(AND(B880='IN-TC'!$S$4,OR(TH!N880="1111",TH!O880="1111")),TH!D880,""),"")</f>
        <v/>
      </c>
      <c r="B880" s="1058">
        <f t="shared" si="148"/>
        <v>1</v>
      </c>
      <c r="C880" s="252">
        <f t="shared" si="149"/>
        <v>42766</v>
      </c>
      <c r="D880" s="252" t="s">
        <v>2921</v>
      </c>
      <c r="E880" s="252">
        <v>42766</v>
      </c>
      <c r="F880" s="1082" t="s">
        <v>2400</v>
      </c>
      <c r="G880" s="1056" t="s">
        <v>839</v>
      </c>
      <c r="H880" s="296" t="s">
        <v>822</v>
      </c>
      <c r="I880" s="371">
        <v>12000</v>
      </c>
      <c r="J880" s="371">
        <v>201427.09795738952</v>
      </c>
      <c r="K880" s="371"/>
      <c r="L880" s="377"/>
      <c r="M880" s="933">
        <f t="shared" si="150"/>
        <v>2417125175</v>
      </c>
      <c r="N880" s="977" t="s">
        <v>284</v>
      </c>
      <c r="O880" s="977" t="s">
        <v>274</v>
      </c>
      <c r="P880" s="75" t="str">
        <f>IF(AND('331-CT'!$E$7=TH!H880,OR(N880="331",O880="331")),"x","")</f>
        <v/>
      </c>
      <c r="Q880" s="75" t="str">
        <f>IF(AND(B880='111'!$L$11,OR($N880=$Q$7,$O880=$Q$7)),"x","")</f>
        <v/>
      </c>
      <c r="R880" s="75" t="str">
        <f>IF(AND($N880=$Q$7,$B880&lt;'111'!$L$11),"x","")</f>
        <v/>
      </c>
      <c r="S880" s="75" t="str">
        <f>IF(AND($O880=$Q$7,$B880&lt;'111'!$L$11),"x","")</f>
        <v/>
      </c>
      <c r="T880" s="75" t="str">
        <f>IF(ISERROR(FIND('112'!$M$9,G880,1)),"",IF((AND(FIND('112'!$M$9,G880,1)&gt;=1,B880='112'!$K$9,OR($N880='112'!$I$6,$O880='112'!$I$6))),"x",""))</f>
        <v/>
      </c>
      <c r="U880" s="75" t="str">
        <f>IF(ISERROR(FIND('112'!$M$9,G880,1)),"",IF((AND(LEFT(G880,2)=LEFT('112'!$M$9,2),B880&lt;'112'!$K$9,$N880='112'!$I$6)),"x",""))</f>
        <v/>
      </c>
      <c r="V880" s="75" t="str">
        <f>IF(ISERROR(FIND('112'!$M$9,G880,1)),"",IF((AND(RIGHT(G880,2)=RIGHT('112'!$M$9,2),B880&lt;'112'!$K$9,$O880='112'!$I$6)),"x",""))</f>
        <v/>
      </c>
      <c r="W880" s="75" t="str">
        <f>IF(AND('341-CT'!$H$9=H880,OR(LEFT(N880,3)=$W$7,LEFT(O880,3)=$W$7)),"x","")</f>
        <v/>
      </c>
      <c r="X880" s="75" t="str">
        <f>IF(OR(TH!N880=TH!$X$7,O880=TH!$X$7),"x","")</f>
        <v/>
      </c>
      <c r="Y880" s="75" t="str">
        <f>IF(AND(OR(N880="131",O880="131"),H880='131-CT'!$H$9),"x","")</f>
        <v/>
      </c>
      <c r="Z880" s="75"/>
      <c r="AA880" s="75" t="str">
        <f>IF(AND(MONTH(E880)='IN-NX'!$J$5,'IN-NX'!$D$7=D880),"x","")</f>
        <v/>
      </c>
      <c r="AB880" s="75" t="str">
        <f>IF(AND(OR(LEFT(TH!N880,2)="15",LEFT(TH!O880,2)="15"),LEFT(TH!O880,3)&lt;&gt;"111",'152-CT'!$J$8=TH!F880),"x","")</f>
        <v/>
      </c>
      <c r="AC880" s="75" t="str">
        <f>IF(AND(OR(LEFT(TH!N880,2)="15",LEFT(TH!O880,2)="15"),TK!$E$7=TH!F880),"x","")</f>
        <v/>
      </c>
      <c r="AD880" s="75" t="str">
        <f>IF(AND(N880="1521",MONTH(C880)='BK-NL'!$M$11),"x","")</f>
        <v/>
      </c>
      <c r="AF880" s="1054"/>
    </row>
    <row r="881" spans="1:32" ht="16.5" customHeight="1">
      <c r="A881" s="309" t="str">
        <f>IF(B881&lt;&gt;"",IF(AND(B881='IN-TC'!$S$4,OR(TH!N881="1111",TH!O881="1111")),TH!D881,""),"")</f>
        <v/>
      </c>
      <c r="B881" s="1058">
        <f t="shared" si="148"/>
        <v>1</v>
      </c>
      <c r="C881" s="252">
        <f t="shared" si="149"/>
        <v>42766</v>
      </c>
      <c r="D881" s="252" t="s">
        <v>2921</v>
      </c>
      <c r="E881" s="252">
        <v>42766</v>
      </c>
      <c r="F881" s="1055" t="s">
        <v>793</v>
      </c>
      <c r="G881" s="1056" t="s">
        <v>866</v>
      </c>
      <c r="H881" s="73" t="s">
        <v>746</v>
      </c>
      <c r="I881" s="371">
        <v>10000</v>
      </c>
      <c r="J881" s="371">
        <v>168668.7610634164</v>
      </c>
      <c r="K881" s="371"/>
      <c r="L881" s="377"/>
      <c r="M881" s="933">
        <f t="shared" si="150"/>
        <v>1686687611</v>
      </c>
      <c r="N881" s="977" t="s">
        <v>284</v>
      </c>
      <c r="O881" s="977" t="s">
        <v>274</v>
      </c>
      <c r="P881" s="75" t="str">
        <f>IF(AND('331-CT'!$E$7=TH!H881,OR(N881="331",O881="331")),"x","")</f>
        <v/>
      </c>
      <c r="Q881" s="75" t="str">
        <f>IF(AND(B881='111'!$L$11,OR($N881=$Q$7,$O881=$Q$7)),"x","")</f>
        <v/>
      </c>
      <c r="R881" s="75" t="str">
        <f>IF(AND($N881=$Q$7,$B881&lt;'111'!$L$11),"x","")</f>
        <v/>
      </c>
      <c r="S881" s="75" t="str">
        <f>IF(AND($O881=$Q$7,$B881&lt;'111'!$L$11),"x","")</f>
        <v/>
      </c>
      <c r="T881" s="75" t="str">
        <f>IF(ISERROR(FIND('112'!$M$9,G881,1)),"",IF((AND(FIND('112'!$M$9,G881,1)&gt;=1,B881='112'!$K$9,OR($N881='112'!$I$6,$O881='112'!$I$6))),"x",""))</f>
        <v/>
      </c>
      <c r="U881" s="75" t="str">
        <f>IF(ISERROR(FIND('112'!$M$9,G881,1)),"",IF((AND(LEFT(G881,2)=LEFT('112'!$M$9,2),B881&lt;'112'!$K$9,$N881='112'!$I$6)),"x",""))</f>
        <v/>
      </c>
      <c r="V881" s="75" t="str">
        <f>IF(ISERROR(FIND('112'!$M$9,G881,1)),"",IF((AND(RIGHT(G881,2)=RIGHT('112'!$M$9,2),B881&lt;'112'!$K$9,$O881='112'!$I$6)),"x",""))</f>
        <v/>
      </c>
      <c r="W881" s="75" t="str">
        <f>IF(AND('341-CT'!$H$9=H881,OR(LEFT(N881,3)=$W$7,LEFT(O881,3)=$W$7)),"x","")</f>
        <v/>
      </c>
      <c r="X881" s="75" t="str">
        <f>IF(OR(TH!N881=TH!$X$7,O881=TH!$X$7),"x","")</f>
        <v/>
      </c>
      <c r="Y881" s="75" t="str">
        <f>IF(AND(OR(N881="131",O881="131"),H881='131-CT'!$H$9),"x","")</f>
        <v/>
      </c>
      <c r="Z881" s="75"/>
      <c r="AA881" s="75" t="str">
        <f>IF(AND(MONTH(E881)='IN-NX'!$J$5,'IN-NX'!$D$7=D881),"x","")</f>
        <v/>
      </c>
      <c r="AB881" s="75" t="str">
        <f>IF(AND(OR(LEFT(TH!N881,2)="15",LEFT(TH!O881,2)="15"),LEFT(TH!O881,3)&lt;&gt;"111",'152-CT'!$J$8=TH!F881),"x","")</f>
        <v/>
      </c>
      <c r="AC881" s="75" t="str">
        <f>IF(AND(OR(LEFT(TH!N881,2)="15",LEFT(TH!O881,2)="15"),TK!$E$7=TH!F881),"x","")</f>
        <v/>
      </c>
      <c r="AD881" s="75" t="str">
        <f>IF(AND(N881="1521",MONTH(C881)='BK-NL'!$M$11),"x","")</f>
        <v/>
      </c>
      <c r="AF881" s="1054"/>
    </row>
    <row r="882" spans="1:32" ht="16.5" customHeight="1">
      <c r="A882" s="309" t="str">
        <f>IF(B882&lt;&gt;"",IF(AND(B882='IN-TC'!$S$4,OR(TH!N882="1111",TH!O882="1111")),TH!D882,""),"")</f>
        <v/>
      </c>
      <c r="B882" s="1058">
        <f t="shared" si="148"/>
        <v>1</v>
      </c>
      <c r="C882" s="252">
        <f t="shared" si="149"/>
        <v>42766</v>
      </c>
      <c r="D882" s="252" t="s">
        <v>2921</v>
      </c>
      <c r="E882" s="252">
        <v>42766</v>
      </c>
      <c r="F882" s="1055" t="s">
        <v>2477</v>
      </c>
      <c r="G882" s="1056" t="s">
        <v>896</v>
      </c>
      <c r="H882" s="735" t="s">
        <v>802</v>
      </c>
      <c r="I882" s="371">
        <v>130</v>
      </c>
      <c r="J882" s="371">
        <v>147998.69405150515</v>
      </c>
      <c r="K882" s="371"/>
      <c r="L882" s="377"/>
      <c r="M882" s="933">
        <f t="shared" si="150"/>
        <v>19239830</v>
      </c>
      <c r="N882" s="977" t="s">
        <v>284</v>
      </c>
      <c r="O882" s="977" t="s">
        <v>274</v>
      </c>
      <c r="P882" s="75" t="str">
        <f>IF(AND('331-CT'!$E$7=TH!H882,OR(N882="331",O882="331")),"x","")</f>
        <v/>
      </c>
      <c r="Q882" s="75" t="str">
        <f>IF(AND(B882='111'!$L$11,OR($N882=$Q$7,$O882=$Q$7)),"x","")</f>
        <v/>
      </c>
      <c r="R882" s="75" t="str">
        <f>IF(AND($N882=$Q$7,$B882&lt;'111'!$L$11),"x","")</f>
        <v/>
      </c>
      <c r="S882" s="75" t="str">
        <f>IF(AND($O882=$Q$7,$B882&lt;'111'!$L$11),"x","")</f>
        <v/>
      </c>
      <c r="T882" s="75" t="str">
        <f>IF(ISERROR(FIND('112'!$M$9,G882,1)),"",IF((AND(FIND('112'!$M$9,G882,1)&gt;=1,B882='112'!$K$9,OR($N882='112'!$I$6,$O882='112'!$I$6))),"x",""))</f>
        <v/>
      </c>
      <c r="U882" s="75" t="str">
        <f>IF(ISERROR(FIND('112'!$M$9,G882,1)),"",IF((AND(LEFT(G882,2)=LEFT('112'!$M$9,2),B882&lt;'112'!$K$9,$N882='112'!$I$6)),"x",""))</f>
        <v/>
      </c>
      <c r="V882" s="75" t="str">
        <f>IF(ISERROR(FIND('112'!$M$9,G882,1)),"",IF((AND(RIGHT(G882,2)=RIGHT('112'!$M$9,2),B882&lt;'112'!$K$9,$O882='112'!$I$6)),"x",""))</f>
        <v/>
      </c>
      <c r="W882" s="75" t="str">
        <f>IF(AND('341-CT'!$H$9=H882,OR(LEFT(N882,3)=$W$7,LEFT(O882,3)=$W$7)),"x","")</f>
        <v/>
      </c>
      <c r="X882" s="75" t="str">
        <f>IF(OR(TH!N882=TH!$X$7,O882=TH!$X$7),"x","")</f>
        <v/>
      </c>
      <c r="Y882" s="75" t="str">
        <f>IF(AND(OR(N882="131",O882="131"),H882='131-CT'!$H$9),"x","")</f>
        <v/>
      </c>
      <c r="Z882" s="75"/>
      <c r="AA882" s="75" t="str">
        <f>IF(AND(MONTH(E882)='IN-NX'!$J$5,'IN-NX'!$D$7=D882),"x","")</f>
        <v/>
      </c>
      <c r="AB882" s="75" t="str">
        <f>IF(AND(OR(LEFT(TH!N882,2)="15",LEFT(TH!O882,2)="15"),LEFT(TH!O882,3)&lt;&gt;"111",'152-CT'!$J$8=TH!F882),"x","")</f>
        <v/>
      </c>
      <c r="AC882" s="75" t="str">
        <f>IF(AND(OR(LEFT(TH!N882,2)="15",LEFT(TH!O882,2)="15"),TK!$E$7=TH!F882),"x","")</f>
        <v/>
      </c>
      <c r="AD882" s="75" t="str">
        <f>IF(AND(N882="1521",MONTH(C882)='BK-NL'!$M$11),"x","")</f>
        <v/>
      </c>
      <c r="AF882" s="1054"/>
    </row>
    <row r="883" spans="1:32" ht="16.5" customHeight="1">
      <c r="A883" s="309" t="str">
        <f>IF(B883&lt;&gt;"",IF(AND(B883='IN-TC'!$S$4,OR(TH!N883="1111",TH!O883="1111")),TH!D883,""),"")</f>
        <v/>
      </c>
      <c r="B883" s="1058">
        <f t="shared" si="148"/>
        <v>1</v>
      </c>
      <c r="C883" s="252">
        <f t="shared" si="149"/>
        <v>42766</v>
      </c>
      <c r="D883" s="252" t="s">
        <v>2921</v>
      </c>
      <c r="E883" s="252">
        <v>42766</v>
      </c>
      <c r="F883" s="1082" t="s">
        <v>799</v>
      </c>
      <c r="G883" s="1056" t="s">
        <v>896</v>
      </c>
      <c r="H883" s="735" t="s">
        <v>802</v>
      </c>
      <c r="I883" s="371">
        <v>50</v>
      </c>
      <c r="J883" s="371">
        <v>216224.5286564955</v>
      </c>
      <c r="K883" s="371"/>
      <c r="L883" s="377"/>
      <c r="M883" s="933">
        <f t="shared" si="150"/>
        <v>10811226</v>
      </c>
      <c r="N883" s="977" t="s">
        <v>284</v>
      </c>
      <c r="O883" s="977" t="s">
        <v>274</v>
      </c>
      <c r="P883" s="75" t="str">
        <f>IF(AND('331-CT'!$E$7=TH!H883,OR(N883="331",O883="331")),"x","")</f>
        <v/>
      </c>
      <c r="Q883" s="75" t="str">
        <f>IF(AND(B883='111'!$L$11,OR($N883=$Q$7,$O883=$Q$7)),"x","")</f>
        <v/>
      </c>
      <c r="R883" s="75" t="str">
        <f>IF(AND($N883=$Q$7,$B883&lt;'111'!$L$11),"x","")</f>
        <v/>
      </c>
      <c r="S883" s="75" t="str">
        <f>IF(AND($O883=$Q$7,$B883&lt;'111'!$L$11),"x","")</f>
        <v/>
      </c>
      <c r="T883" s="75" t="str">
        <f>IF(ISERROR(FIND('112'!$M$9,G883,1)),"",IF((AND(FIND('112'!$M$9,G883,1)&gt;=1,B883='112'!$K$9,OR($N883='112'!$I$6,$O883='112'!$I$6))),"x",""))</f>
        <v/>
      </c>
      <c r="U883" s="75" t="str">
        <f>IF(ISERROR(FIND('112'!$M$9,G883,1)),"",IF((AND(LEFT(G883,2)=LEFT('112'!$M$9,2),B883&lt;'112'!$K$9,$N883='112'!$I$6)),"x",""))</f>
        <v/>
      </c>
      <c r="V883" s="75" t="str">
        <f>IF(ISERROR(FIND('112'!$M$9,G883,1)),"",IF((AND(RIGHT(G883,2)=RIGHT('112'!$M$9,2),B883&lt;'112'!$K$9,$O883='112'!$I$6)),"x",""))</f>
        <v/>
      </c>
      <c r="W883" s="75" t="str">
        <f>IF(AND('341-CT'!$H$9=H883,OR(LEFT(N883,3)=$W$7,LEFT(O883,3)=$W$7)),"x","")</f>
        <v/>
      </c>
      <c r="X883" s="75" t="str">
        <f>IF(OR(TH!N883=TH!$X$7,O883=TH!$X$7),"x","")</f>
        <v/>
      </c>
      <c r="Y883" s="75" t="str">
        <f>IF(AND(OR(N883="131",O883="131"),H883='131-CT'!$H$9),"x","")</f>
        <v/>
      </c>
      <c r="Z883" s="75"/>
      <c r="AA883" s="75" t="str">
        <f>IF(AND(MONTH(E883)='IN-NX'!$J$5,'IN-NX'!$D$7=D883),"x","")</f>
        <v/>
      </c>
      <c r="AB883" s="75" t="str">
        <f>IF(AND(OR(LEFT(TH!N883,2)="15",LEFT(TH!O883,2)="15"),LEFT(TH!O883,3)&lt;&gt;"111",'152-CT'!$J$8=TH!F883),"x","")</f>
        <v/>
      </c>
      <c r="AC883" s="75" t="str">
        <f>IF(AND(OR(LEFT(TH!N883,2)="15",LEFT(TH!O883,2)="15"),TK!$E$7=TH!F883),"x","")</f>
        <v/>
      </c>
      <c r="AD883" s="75" t="str">
        <f>IF(AND(N883="1521",MONTH(C883)='BK-NL'!$M$11),"x","")</f>
        <v/>
      </c>
      <c r="AF883" s="1054"/>
    </row>
    <row r="884" spans="1:32" ht="16.5" customHeight="1">
      <c r="A884" s="309" t="str">
        <f>IF(B884&lt;&gt;"",IF(AND(B884='IN-TC'!$S$4,OR(TH!N884="1111",TH!O884="1111")),TH!D884,""),"")</f>
        <v/>
      </c>
      <c r="B884" s="1058">
        <f t="shared" si="148"/>
        <v>1</v>
      </c>
      <c r="C884" s="252">
        <f t="shared" si="149"/>
        <v>42766</v>
      </c>
      <c r="D884" s="252" t="s">
        <v>2921</v>
      </c>
      <c r="E884" s="252">
        <v>42766</v>
      </c>
      <c r="F884" s="1082" t="s">
        <v>800</v>
      </c>
      <c r="G884" s="1056" t="s">
        <v>896</v>
      </c>
      <c r="H884" s="735" t="s">
        <v>802</v>
      </c>
      <c r="I884" s="371">
        <v>10</v>
      </c>
      <c r="J884" s="371">
        <v>198224.52865649556</v>
      </c>
      <c r="K884" s="371"/>
      <c r="L884" s="377"/>
      <c r="M884" s="933">
        <f t="shared" si="150"/>
        <v>1982245</v>
      </c>
      <c r="N884" s="977" t="s">
        <v>284</v>
      </c>
      <c r="O884" s="977" t="s">
        <v>274</v>
      </c>
      <c r="P884" s="75" t="str">
        <f>IF(AND('331-CT'!$E$7=TH!H884,OR(N884="331",O884="331")),"x","")</f>
        <v/>
      </c>
      <c r="Q884" s="75" t="str">
        <f>IF(AND(B884='111'!$L$11,OR($N884=$Q$7,$O884=$Q$7)),"x","")</f>
        <v/>
      </c>
      <c r="R884" s="75" t="str">
        <f>IF(AND($N884=$Q$7,$B884&lt;'111'!$L$11),"x","")</f>
        <v/>
      </c>
      <c r="S884" s="75" t="str">
        <f>IF(AND($O884=$Q$7,$B884&lt;'111'!$L$11),"x","")</f>
        <v/>
      </c>
      <c r="T884" s="75" t="str">
        <f>IF(ISERROR(FIND('112'!$M$9,G884,1)),"",IF((AND(FIND('112'!$M$9,G884,1)&gt;=1,B884='112'!$K$9,OR($N884='112'!$I$6,$O884='112'!$I$6))),"x",""))</f>
        <v/>
      </c>
      <c r="U884" s="75" t="str">
        <f>IF(ISERROR(FIND('112'!$M$9,G884,1)),"",IF((AND(LEFT(G884,2)=LEFT('112'!$M$9,2),B884&lt;'112'!$K$9,$N884='112'!$I$6)),"x",""))</f>
        <v/>
      </c>
      <c r="V884" s="75" t="str">
        <f>IF(ISERROR(FIND('112'!$M$9,G884,1)),"",IF((AND(RIGHT(G884,2)=RIGHT('112'!$M$9,2),B884&lt;'112'!$K$9,$O884='112'!$I$6)),"x",""))</f>
        <v/>
      </c>
      <c r="W884" s="75" t="str">
        <f>IF(AND('341-CT'!$H$9=H884,OR(LEFT(N884,3)=$W$7,LEFT(O884,3)=$W$7)),"x","")</f>
        <v/>
      </c>
      <c r="X884" s="75" t="str">
        <f>IF(OR(TH!N884=TH!$X$7,O884=TH!$X$7),"x","")</f>
        <v/>
      </c>
      <c r="Y884" s="75" t="str">
        <f>IF(AND(OR(N884="131",O884="131"),H884='131-CT'!$H$9),"x","")</f>
        <v/>
      </c>
      <c r="Z884" s="75"/>
      <c r="AA884" s="75" t="str">
        <f>IF(AND(MONTH(E884)='IN-NX'!$J$5,'IN-NX'!$D$7=D884),"x","")</f>
        <v/>
      </c>
      <c r="AB884" s="75" t="str">
        <f>IF(AND(OR(LEFT(TH!N884,2)="15",LEFT(TH!O884,2)="15"),LEFT(TH!O884,3)&lt;&gt;"111",'152-CT'!$J$8=TH!F884),"x","")</f>
        <v/>
      </c>
      <c r="AC884" s="75" t="str">
        <f>IF(AND(OR(LEFT(TH!N884,2)="15",LEFT(TH!O884,2)="15"),TK!$E$7=TH!F884),"x","")</f>
        <v/>
      </c>
      <c r="AD884" s="75" t="str">
        <f>IF(AND(N884="1521",MONTH(C884)='BK-NL'!$M$11),"x","")</f>
        <v/>
      </c>
      <c r="AF884" s="1054"/>
    </row>
    <row r="885" spans="1:32" ht="16.5" customHeight="1">
      <c r="A885" s="309" t="str">
        <f>IF(B885&lt;&gt;"",IF(AND(B885='IN-TC'!$S$4,OR(TH!N885="1111",TH!O885="1111")),TH!D885,""),"")</f>
        <v/>
      </c>
      <c r="B885" s="1058">
        <f t="shared" si="148"/>
        <v>1</v>
      </c>
      <c r="C885" s="252">
        <f t="shared" si="149"/>
        <v>42766</v>
      </c>
      <c r="D885" s="252" t="s">
        <v>2921</v>
      </c>
      <c r="E885" s="252">
        <v>42766</v>
      </c>
      <c r="F885" s="1082" t="s">
        <v>801</v>
      </c>
      <c r="G885" s="1056" t="s">
        <v>896</v>
      </c>
      <c r="H885" s="735" t="s">
        <v>802</v>
      </c>
      <c r="I885" s="371">
        <v>120</v>
      </c>
      <c r="J885" s="371">
        <v>156255.10005828401</v>
      </c>
      <c r="K885" s="371"/>
      <c r="L885" s="377"/>
      <c r="M885" s="933">
        <f t="shared" si="150"/>
        <v>18750612</v>
      </c>
      <c r="N885" s="977" t="s">
        <v>284</v>
      </c>
      <c r="O885" s="977" t="s">
        <v>274</v>
      </c>
      <c r="P885" s="75" t="str">
        <f>IF(AND('331-CT'!$E$7=TH!H885,OR(N885="331",O885="331")),"x","")</f>
        <v/>
      </c>
      <c r="Q885" s="75" t="str">
        <f>IF(AND(B885='111'!$L$11,OR($N885=$Q$7,$O885=$Q$7)),"x","")</f>
        <v/>
      </c>
      <c r="R885" s="75" t="str">
        <f>IF(AND($N885=$Q$7,$B885&lt;'111'!$L$11),"x","")</f>
        <v/>
      </c>
      <c r="S885" s="75" t="str">
        <f>IF(AND($O885=$Q$7,$B885&lt;'111'!$L$11),"x","")</f>
        <v/>
      </c>
      <c r="T885" s="75" t="str">
        <f>IF(ISERROR(FIND('112'!$M$9,G885,1)),"",IF((AND(FIND('112'!$M$9,G885,1)&gt;=1,B885='112'!$K$9,OR($N885='112'!$I$6,$O885='112'!$I$6))),"x",""))</f>
        <v/>
      </c>
      <c r="U885" s="75" t="str">
        <f>IF(ISERROR(FIND('112'!$M$9,G885,1)),"",IF((AND(LEFT(G885,2)=LEFT('112'!$M$9,2),B885&lt;'112'!$K$9,$N885='112'!$I$6)),"x",""))</f>
        <v/>
      </c>
      <c r="V885" s="75" t="str">
        <f>IF(ISERROR(FIND('112'!$M$9,G885,1)),"",IF((AND(RIGHT(G885,2)=RIGHT('112'!$M$9,2),B885&lt;'112'!$K$9,$O885='112'!$I$6)),"x",""))</f>
        <v/>
      </c>
      <c r="W885" s="75" t="str">
        <f>IF(AND('341-CT'!$H$9=H885,OR(LEFT(N885,3)=$W$7,LEFT(O885,3)=$W$7)),"x","")</f>
        <v/>
      </c>
      <c r="X885" s="75" t="str">
        <f>IF(OR(TH!N885=TH!$X$7,O885=TH!$X$7),"x","")</f>
        <v/>
      </c>
      <c r="Y885" s="75" t="str">
        <f>IF(AND(OR(N885="131",O885="131"),H885='131-CT'!$H$9),"x","")</f>
        <v/>
      </c>
      <c r="Z885" s="75"/>
      <c r="AA885" s="75" t="str">
        <f>IF(AND(MONTH(E885)='IN-NX'!$J$5,'IN-NX'!$D$7=D885),"x","")</f>
        <v/>
      </c>
      <c r="AB885" s="75" t="str">
        <f>IF(AND(OR(LEFT(TH!N885,2)="15",LEFT(TH!O885,2)="15"),LEFT(TH!O885,3)&lt;&gt;"111",'152-CT'!$J$8=TH!F885),"x","")</f>
        <v/>
      </c>
      <c r="AC885" s="75" t="str">
        <f>IF(AND(OR(LEFT(TH!N885,2)="15",LEFT(TH!O885,2)="15"),TK!$E$7=TH!F885),"x","")</f>
        <v/>
      </c>
      <c r="AD885" s="75" t="str">
        <f>IF(AND(N885="1521",MONTH(C885)='BK-NL'!$M$11),"x","")</f>
        <v/>
      </c>
      <c r="AF885" s="1054"/>
    </row>
    <row r="886" spans="1:32" ht="16.5" customHeight="1">
      <c r="A886" s="309" t="str">
        <f>IF(B886&lt;&gt;"",IF(AND(B886='IN-TC'!$S$4,OR(TH!N886="1111",TH!O886="1111")),TH!D886,""),"")</f>
        <v/>
      </c>
      <c r="B886" s="1058">
        <f t="shared" ref="B886:B910" si="151">IF(C886&lt;&gt;"",MONTH(C886),"")</f>
        <v>1</v>
      </c>
      <c r="C886" s="292">
        <v>42738</v>
      </c>
      <c r="D886" s="292" t="s">
        <v>829</v>
      </c>
      <c r="E886" s="292">
        <f t="shared" ref="E886:E910" si="152">C886</f>
        <v>42738</v>
      </c>
      <c r="F886" s="67" t="s">
        <v>795</v>
      </c>
      <c r="G886" s="925" t="s">
        <v>1144</v>
      </c>
      <c r="H886" s="294" t="s">
        <v>796</v>
      </c>
      <c r="I886" s="373">
        <v>2026</v>
      </c>
      <c r="J886" s="926">
        <v>8500</v>
      </c>
      <c r="K886" s="373"/>
      <c r="L886" s="379"/>
      <c r="M886" s="927">
        <f>I886*J886</f>
        <v>17221000</v>
      </c>
      <c r="N886" s="295" t="s">
        <v>266</v>
      </c>
      <c r="O886" s="295" t="s">
        <v>8</v>
      </c>
      <c r="P886" s="75" t="str">
        <f>IF(AND('331-CT'!$E$7=TH!H886,OR(N886="331",O886="331")),"x","")</f>
        <v/>
      </c>
      <c r="Q886" s="75" t="str">
        <f>IF(AND(B886='111'!$L$11,OR($N886=$Q$7,$O886=$Q$7)),"x","")</f>
        <v/>
      </c>
      <c r="R886" s="75" t="str">
        <f>IF(AND($N886=$Q$7,$B886&lt;'111'!$L$11),"x","")</f>
        <v/>
      </c>
      <c r="S886" s="75" t="str">
        <f>IF(AND($O886=$Q$7,$B886&lt;'111'!$L$11),"x","")</f>
        <v/>
      </c>
      <c r="T886" s="75" t="str">
        <f>IF(ISERROR(FIND('112'!$M$9,G886,1)),"",IF((AND(FIND('112'!$M$9,G886,1)&gt;=1,B886='112'!$K$9,OR($N886='112'!$I$6,$O886='112'!$I$6))),"x",""))</f>
        <v/>
      </c>
      <c r="U886" s="75" t="str">
        <f>IF(ISERROR(FIND('112'!$M$9,G886,1)),"",IF((AND(LEFT(G886,2)=LEFT('112'!$M$9,2),B886&lt;'112'!$K$9,$N886='112'!$I$6)),"x",""))</f>
        <v/>
      </c>
      <c r="V886" s="75" t="str">
        <f>IF(ISERROR(FIND('112'!$M$9,G886,1)),"",IF((AND(RIGHT(G886,2)=RIGHT('112'!$M$9,2),B886&lt;'112'!$K$9,$O886='112'!$I$6)),"x",""))</f>
        <v/>
      </c>
      <c r="W886" s="75" t="str">
        <f>IF(AND('341-CT'!$H$9=H886,OR(LEFT(N886,3)=$W$7,LEFT(O886,3)=$W$7)),"x","")</f>
        <v/>
      </c>
      <c r="X886" s="75" t="str">
        <f>IF(OR(TH!N886=TH!$X$7,O886=TH!$X$7),"x","")</f>
        <v/>
      </c>
      <c r="Y886" s="75" t="str">
        <f>IF(AND(OR(N886="131",O886="131"),H886='131-CT'!$H$9),"x","")</f>
        <v/>
      </c>
      <c r="Z886" s="75"/>
      <c r="AA886" s="75" t="str">
        <f>IF(AND(MONTH(E886)='IN-NX'!$J$5,'IN-NX'!$D$7=D886),"x","")</f>
        <v>x</v>
      </c>
      <c r="AB886" s="75" t="str">
        <f>IF(AND(OR(LEFT(TH!N886,2)="15",LEFT(TH!O886,2)="15"),LEFT(TH!O886,3)&lt;&gt;"111",'152-CT'!$J$8=TH!F886),"x","")</f>
        <v/>
      </c>
      <c r="AC886" s="75" t="str">
        <f>IF(AND(OR(LEFT(TH!N886,2)="15",LEFT(TH!O886,2)="15"),TK!$E$7=TH!F886),"x","")</f>
        <v/>
      </c>
      <c r="AD886" s="75" t="str">
        <f>IF(AND(N886="1521",MONTH(C886)='BK-NL'!$M$11),"x","")</f>
        <v/>
      </c>
    </row>
    <row r="887" spans="1:32" ht="16.5" customHeight="1">
      <c r="A887" s="309" t="str">
        <f>IF(B887&lt;&gt;"",IF(AND(B887='IN-TC'!$S$4,OR(TH!N887="1111",TH!O887="1111")),TH!D887,""),"")</f>
        <v/>
      </c>
      <c r="B887" s="1058">
        <f t="shared" si="151"/>
        <v>1</v>
      </c>
      <c r="C887" s="292">
        <v>42738</v>
      </c>
      <c r="D887" s="292" t="s">
        <v>829</v>
      </c>
      <c r="E887" s="292">
        <f t="shared" si="152"/>
        <v>42738</v>
      </c>
      <c r="F887" s="67" t="s">
        <v>1143</v>
      </c>
      <c r="G887" s="925" t="s">
        <v>1144</v>
      </c>
      <c r="H887" s="294" t="s">
        <v>796</v>
      </c>
      <c r="I887" s="373"/>
      <c r="J887" s="926"/>
      <c r="K887" s="373"/>
      <c r="L887" s="379"/>
      <c r="M887" s="927">
        <v>1722100</v>
      </c>
      <c r="N887" s="295" t="s">
        <v>9</v>
      </c>
      <c r="O887" s="295" t="s">
        <v>8</v>
      </c>
      <c r="P887" s="75" t="str">
        <f>IF(AND('331-CT'!$E$7=TH!H887,OR(N887="331",O887="331")),"x","")</f>
        <v/>
      </c>
      <c r="Q887" s="75" t="str">
        <f>IF(AND(B887='111'!$L$11,OR($N887=$Q$7,$O887=$Q$7)),"x","")</f>
        <v/>
      </c>
      <c r="R887" s="75" t="str">
        <f>IF(AND($N887=$Q$7,$B887&lt;'111'!$L$11),"x","")</f>
        <v/>
      </c>
      <c r="S887" s="75" t="str">
        <f>IF(AND($O887=$Q$7,$B887&lt;'111'!$L$11),"x","")</f>
        <v/>
      </c>
      <c r="T887" s="75" t="str">
        <f>IF(ISERROR(FIND('112'!$M$9,G887,1)),"",IF((AND(FIND('112'!$M$9,G887,1)&gt;=1,B887='112'!$K$9,OR($N887='112'!$I$6,$O887='112'!$I$6))),"x",""))</f>
        <v/>
      </c>
      <c r="U887" s="75" t="str">
        <f>IF(ISERROR(FIND('112'!$M$9,G887,1)),"",IF((AND(LEFT(G887,2)=LEFT('112'!$M$9,2),B887&lt;'112'!$K$9,$N887='112'!$I$6)),"x",""))</f>
        <v/>
      </c>
      <c r="V887" s="75" t="str">
        <f>IF(ISERROR(FIND('112'!$M$9,G887,1)),"",IF((AND(RIGHT(G887,2)=RIGHT('112'!$M$9,2),B887&lt;'112'!$K$9,$O887='112'!$I$6)),"x",""))</f>
        <v/>
      </c>
      <c r="W887" s="75" t="str">
        <f>IF(AND('341-CT'!$H$9=H887,OR(LEFT(N887,3)=$W$7,LEFT(O887,3)=$W$7)),"x","")</f>
        <v/>
      </c>
      <c r="X887" s="75" t="str">
        <f>IF(OR(TH!N887=TH!$X$7,O887=TH!$X$7),"x","")</f>
        <v/>
      </c>
      <c r="Y887" s="75" t="str">
        <f>IF(AND(OR(N887="131",O887="131"),H887='131-CT'!$H$9),"x","")</f>
        <v/>
      </c>
      <c r="Z887" s="75"/>
      <c r="AA887" s="75" t="str">
        <f>IF(AND(MONTH(E887)='IN-NX'!$J$5,'IN-NX'!$D$7=D887),"x","")</f>
        <v>x</v>
      </c>
      <c r="AB887" s="75" t="str">
        <f>IF(AND(OR(LEFT(TH!N887,2)="15",LEFT(TH!O887,2)="15"),LEFT(TH!O887,3)&lt;&gt;"111",'152-CT'!$J$8=TH!F887),"x","")</f>
        <v/>
      </c>
      <c r="AC887" s="75" t="str">
        <f>IF(AND(OR(LEFT(TH!N887,2)="15",LEFT(TH!O887,2)="15"),TK!$E$7=TH!F887),"x","")</f>
        <v/>
      </c>
      <c r="AD887" s="75" t="str">
        <f>IF(AND(N887="1521",MONTH(C887)='BK-NL'!$M$11),"x","")</f>
        <v/>
      </c>
    </row>
    <row r="888" spans="1:32" ht="16.5" customHeight="1">
      <c r="A888" s="309" t="str">
        <f>IF(B888&lt;&gt;"",IF(AND(B888='IN-TC'!$S$4,OR(TH!N888="1111",TH!O888="1111")),TH!D888,""),"")</f>
        <v/>
      </c>
      <c r="B888" s="1058">
        <f t="shared" si="151"/>
        <v>1</v>
      </c>
      <c r="C888" s="292">
        <v>42739</v>
      </c>
      <c r="D888" s="292" t="s">
        <v>840</v>
      </c>
      <c r="E888" s="292">
        <f t="shared" si="152"/>
        <v>42739</v>
      </c>
      <c r="F888" s="67" t="s">
        <v>795</v>
      </c>
      <c r="G888" s="925" t="s">
        <v>1100</v>
      </c>
      <c r="H888" s="294" t="s">
        <v>796</v>
      </c>
      <c r="I888" s="373">
        <v>2027</v>
      </c>
      <c r="J888" s="926">
        <v>8500</v>
      </c>
      <c r="K888" s="373"/>
      <c r="L888" s="379"/>
      <c r="M888" s="927">
        <f>I888*J888</f>
        <v>17229500</v>
      </c>
      <c r="N888" s="295" t="s">
        <v>266</v>
      </c>
      <c r="O888" s="295" t="s">
        <v>8</v>
      </c>
      <c r="P888" s="75" t="str">
        <f>IF(AND('331-CT'!$E$7=TH!H888,OR(N888="331",O888="331")),"x","")</f>
        <v/>
      </c>
      <c r="Q888" s="75" t="str">
        <f>IF(AND(B888='111'!$L$11,OR($N888=$Q$7,$O888=$Q$7)),"x","")</f>
        <v/>
      </c>
      <c r="R888" s="75" t="str">
        <f>IF(AND($N888=$Q$7,$B888&lt;'111'!$L$11),"x","")</f>
        <v/>
      </c>
      <c r="S888" s="75" t="str">
        <f>IF(AND($O888=$Q$7,$B888&lt;'111'!$L$11),"x","")</f>
        <v/>
      </c>
      <c r="T888" s="75" t="str">
        <f>IF(ISERROR(FIND('112'!$M$9,G888,1)),"",IF((AND(FIND('112'!$M$9,G888,1)&gt;=1,B888='112'!$K$9,OR($N888='112'!$I$6,$O888='112'!$I$6))),"x",""))</f>
        <v/>
      </c>
      <c r="U888" s="75" t="str">
        <f>IF(ISERROR(FIND('112'!$M$9,G888,1)),"",IF((AND(LEFT(G888,2)=LEFT('112'!$M$9,2),B888&lt;'112'!$K$9,$N888='112'!$I$6)),"x",""))</f>
        <v/>
      </c>
      <c r="V888" s="75" t="str">
        <f>IF(ISERROR(FIND('112'!$M$9,G888,1)),"",IF((AND(RIGHT(G888,2)=RIGHT('112'!$M$9,2),B888&lt;'112'!$K$9,$O888='112'!$I$6)),"x",""))</f>
        <v/>
      </c>
      <c r="W888" s="75" t="str">
        <f>IF(AND('341-CT'!$H$9=H888,OR(LEFT(N888,3)=$W$7,LEFT(O888,3)=$W$7)),"x","")</f>
        <v/>
      </c>
      <c r="X888" s="75" t="str">
        <f>IF(OR(TH!N888=TH!$X$7,O888=TH!$X$7),"x","")</f>
        <v/>
      </c>
      <c r="Y888" s="75" t="str">
        <f>IF(AND(OR(N888="131",O888="131"),H888='131-CT'!$H$9),"x","")</f>
        <v/>
      </c>
      <c r="Z888" s="75"/>
      <c r="AA888" s="75" t="str">
        <f>IF(AND(MONTH(E888)='IN-NX'!$J$5,'IN-NX'!$D$7=D888),"x","")</f>
        <v/>
      </c>
      <c r="AB888" s="75" t="str">
        <f>IF(AND(OR(LEFT(TH!N888,2)="15",LEFT(TH!O888,2)="15"),LEFT(TH!O888,3)&lt;&gt;"111",'152-CT'!$J$8=TH!F888),"x","")</f>
        <v/>
      </c>
      <c r="AC888" s="75" t="str">
        <f>IF(AND(OR(LEFT(TH!N888,2)="15",LEFT(TH!O888,2)="15"),TK!$E$7=TH!F888),"x","")</f>
        <v/>
      </c>
      <c r="AD888" s="75" t="str">
        <f>IF(AND(N888="1521",MONTH(C888)='BK-NL'!$M$11),"x","")</f>
        <v/>
      </c>
    </row>
    <row r="889" spans="1:32" ht="16.5" customHeight="1">
      <c r="A889" s="309" t="str">
        <f>IF(B889&lt;&gt;"",IF(AND(B889='IN-TC'!$S$4,OR(TH!N889="1111",TH!O889="1111")),TH!D889,""),"")</f>
        <v/>
      </c>
      <c r="B889" s="1058">
        <f t="shared" si="151"/>
        <v>1</v>
      </c>
      <c r="C889" s="292">
        <v>42739</v>
      </c>
      <c r="D889" s="292" t="s">
        <v>840</v>
      </c>
      <c r="E889" s="292">
        <f t="shared" si="152"/>
        <v>42739</v>
      </c>
      <c r="F889" s="67" t="s">
        <v>1143</v>
      </c>
      <c r="G889" s="925" t="s">
        <v>1100</v>
      </c>
      <c r="H889" s="294" t="s">
        <v>796</v>
      </c>
      <c r="I889" s="373"/>
      <c r="J889" s="926"/>
      <c r="K889" s="373"/>
      <c r="L889" s="379"/>
      <c r="M889" s="927">
        <v>1722950</v>
      </c>
      <c r="N889" s="295" t="s">
        <v>9</v>
      </c>
      <c r="O889" s="295" t="s">
        <v>8</v>
      </c>
      <c r="P889" s="75" t="str">
        <f>IF(AND('331-CT'!$E$7=TH!H889,OR(N889="331",O889="331")),"x","")</f>
        <v/>
      </c>
      <c r="Q889" s="75" t="str">
        <f>IF(AND(B889='111'!$L$11,OR($N889=$Q$7,$O889=$Q$7)),"x","")</f>
        <v/>
      </c>
      <c r="R889" s="75" t="str">
        <f>IF(AND($N889=$Q$7,$B889&lt;'111'!$L$11),"x","")</f>
        <v/>
      </c>
      <c r="S889" s="75" t="str">
        <f>IF(AND($O889=$Q$7,$B889&lt;'111'!$L$11),"x","")</f>
        <v/>
      </c>
      <c r="T889" s="75" t="str">
        <f>IF(ISERROR(FIND('112'!$M$9,G889,1)),"",IF((AND(FIND('112'!$M$9,G889,1)&gt;=1,B889='112'!$K$9,OR($N889='112'!$I$6,$O889='112'!$I$6))),"x",""))</f>
        <v/>
      </c>
      <c r="U889" s="75" t="str">
        <f>IF(ISERROR(FIND('112'!$M$9,G889,1)),"",IF((AND(LEFT(G889,2)=LEFT('112'!$M$9,2),B889&lt;'112'!$K$9,$N889='112'!$I$6)),"x",""))</f>
        <v/>
      </c>
      <c r="V889" s="75" t="str">
        <f>IF(ISERROR(FIND('112'!$M$9,G889,1)),"",IF((AND(RIGHT(G889,2)=RIGHT('112'!$M$9,2),B889&lt;'112'!$K$9,$O889='112'!$I$6)),"x",""))</f>
        <v/>
      </c>
      <c r="W889" s="75" t="str">
        <f>IF(AND('341-CT'!$H$9=H889,OR(LEFT(N889,3)=$W$7,LEFT(O889,3)=$W$7)),"x","")</f>
        <v/>
      </c>
      <c r="X889" s="75" t="str">
        <f>IF(OR(TH!N889=TH!$X$7,O889=TH!$X$7),"x","")</f>
        <v/>
      </c>
      <c r="Y889" s="75" t="str">
        <f>IF(AND(OR(N889="131",O889="131"),H889='131-CT'!$H$9),"x","")</f>
        <v/>
      </c>
      <c r="Z889" s="75"/>
      <c r="AA889" s="75" t="str">
        <f>IF(AND(MONTH(E889)='IN-NX'!$J$5,'IN-NX'!$D$7=D889),"x","")</f>
        <v/>
      </c>
      <c r="AB889" s="75" t="str">
        <f>IF(AND(OR(LEFT(TH!N889,2)="15",LEFT(TH!O889,2)="15"),LEFT(TH!O889,3)&lt;&gt;"111",'152-CT'!$J$8=TH!F889),"x","")</f>
        <v/>
      </c>
      <c r="AC889" s="75" t="str">
        <f>IF(AND(OR(LEFT(TH!N889,2)="15",LEFT(TH!O889,2)="15"),TK!$E$7=TH!F889),"x","")</f>
        <v/>
      </c>
      <c r="AD889" s="75" t="str">
        <f>IF(AND(N889="1521",MONTH(C889)='BK-NL'!$M$11),"x","")</f>
        <v/>
      </c>
    </row>
    <row r="890" spans="1:32" ht="16.5" customHeight="1">
      <c r="A890" s="309" t="str">
        <f>IF(B890&lt;&gt;"",IF(AND(B890='IN-TC'!$S$4,OR(TH!N890="1111",TH!O890="1111")),TH!D890,""),"")</f>
        <v/>
      </c>
      <c r="B890" s="1058">
        <f t="shared" si="151"/>
        <v>1</v>
      </c>
      <c r="C890" s="292">
        <v>42740</v>
      </c>
      <c r="D890" s="292" t="s">
        <v>847</v>
      </c>
      <c r="E890" s="292">
        <f t="shared" si="152"/>
        <v>42740</v>
      </c>
      <c r="F890" s="67" t="s">
        <v>795</v>
      </c>
      <c r="G890" s="925" t="s">
        <v>1103</v>
      </c>
      <c r="H890" s="294" t="s">
        <v>796</v>
      </c>
      <c r="I890" s="373">
        <v>2027</v>
      </c>
      <c r="J890" s="926">
        <v>8500</v>
      </c>
      <c r="K890" s="373"/>
      <c r="L890" s="379"/>
      <c r="M890" s="927">
        <f>I890*J890</f>
        <v>17229500</v>
      </c>
      <c r="N890" s="295" t="s">
        <v>266</v>
      </c>
      <c r="O890" s="295" t="s">
        <v>8</v>
      </c>
      <c r="P890" s="75" t="str">
        <f>IF(AND('331-CT'!$E$7=TH!H890,OR(N890="331",O890="331")),"x","")</f>
        <v/>
      </c>
      <c r="Q890" s="75" t="str">
        <f>IF(AND(B890='111'!$L$11,OR($N890=$Q$7,$O890=$Q$7)),"x","")</f>
        <v/>
      </c>
      <c r="R890" s="75" t="str">
        <f>IF(AND($N890=$Q$7,$B890&lt;'111'!$L$11),"x","")</f>
        <v/>
      </c>
      <c r="S890" s="75" t="str">
        <f>IF(AND($O890=$Q$7,$B890&lt;'111'!$L$11),"x","")</f>
        <v/>
      </c>
      <c r="T890" s="75" t="str">
        <f>IF(ISERROR(FIND('112'!$M$9,G890,1)),"",IF((AND(FIND('112'!$M$9,G890,1)&gt;=1,B890='112'!$K$9,OR($N890='112'!$I$6,$O890='112'!$I$6))),"x",""))</f>
        <v/>
      </c>
      <c r="U890" s="75" t="str">
        <f>IF(ISERROR(FIND('112'!$M$9,G890,1)),"",IF((AND(LEFT(G890,2)=LEFT('112'!$M$9,2),B890&lt;'112'!$K$9,$N890='112'!$I$6)),"x",""))</f>
        <v/>
      </c>
      <c r="V890" s="75" t="str">
        <f>IF(ISERROR(FIND('112'!$M$9,G890,1)),"",IF((AND(RIGHT(G890,2)=RIGHT('112'!$M$9,2),B890&lt;'112'!$K$9,$O890='112'!$I$6)),"x",""))</f>
        <v/>
      </c>
      <c r="W890" s="75" t="str">
        <f>IF(AND('341-CT'!$H$9=H890,OR(LEFT(N890,3)=$W$7,LEFT(O890,3)=$W$7)),"x","")</f>
        <v/>
      </c>
      <c r="X890" s="75" t="str">
        <f>IF(OR(TH!N890=TH!$X$7,O890=TH!$X$7),"x","")</f>
        <v/>
      </c>
      <c r="Y890" s="75" t="str">
        <f>IF(AND(OR(N890="131",O890="131"),H890='131-CT'!$H$9),"x","")</f>
        <v/>
      </c>
      <c r="Z890" s="75"/>
      <c r="AA890" s="75" t="str">
        <f>IF(AND(MONTH(E890)='IN-NX'!$J$5,'IN-NX'!$D$7=D890),"x","")</f>
        <v/>
      </c>
      <c r="AB890" s="75" t="str">
        <f>IF(AND(OR(LEFT(TH!N890,2)="15",LEFT(TH!O890,2)="15"),LEFT(TH!O890,3)&lt;&gt;"111",'152-CT'!$J$8=TH!F890),"x","")</f>
        <v/>
      </c>
      <c r="AC890" s="75" t="str">
        <f>IF(AND(OR(LEFT(TH!N890,2)="15",LEFT(TH!O890,2)="15"),TK!$E$7=TH!F890),"x","")</f>
        <v/>
      </c>
      <c r="AD890" s="75" t="str">
        <f>IF(AND(N890="1521",MONTH(C890)='BK-NL'!$M$11),"x","")</f>
        <v/>
      </c>
    </row>
    <row r="891" spans="1:32" ht="16.5" customHeight="1">
      <c r="A891" s="309" t="str">
        <f>IF(B891&lt;&gt;"",IF(AND(B891='IN-TC'!$S$4,OR(TH!N891="1111",TH!O891="1111")),TH!D891,""),"")</f>
        <v/>
      </c>
      <c r="B891" s="1058">
        <f t="shared" si="151"/>
        <v>1</v>
      </c>
      <c r="C891" s="292">
        <v>42740</v>
      </c>
      <c r="D891" s="292" t="s">
        <v>847</v>
      </c>
      <c r="E891" s="292">
        <f t="shared" si="152"/>
        <v>42740</v>
      </c>
      <c r="F891" s="67" t="s">
        <v>1143</v>
      </c>
      <c r="G891" s="925" t="s">
        <v>1103</v>
      </c>
      <c r="H891" s="294" t="s">
        <v>796</v>
      </c>
      <c r="I891" s="373"/>
      <c r="J891" s="926"/>
      <c r="K891" s="373"/>
      <c r="L891" s="379"/>
      <c r="M891" s="927">
        <v>1722950</v>
      </c>
      <c r="N891" s="295" t="s">
        <v>9</v>
      </c>
      <c r="O891" s="295" t="s">
        <v>8</v>
      </c>
      <c r="P891" s="75" t="str">
        <f>IF(AND('331-CT'!$E$7=TH!H891,OR(N891="331",O891="331")),"x","")</f>
        <v/>
      </c>
      <c r="Q891" s="75" t="str">
        <f>IF(AND(B891='111'!$L$11,OR($N891=$Q$7,$O891=$Q$7)),"x","")</f>
        <v/>
      </c>
      <c r="R891" s="75" t="str">
        <f>IF(AND($N891=$Q$7,$B891&lt;'111'!$L$11),"x","")</f>
        <v/>
      </c>
      <c r="S891" s="75" t="str">
        <f>IF(AND($O891=$Q$7,$B891&lt;'111'!$L$11),"x","")</f>
        <v/>
      </c>
      <c r="T891" s="75" t="str">
        <f>IF(ISERROR(FIND('112'!$M$9,G891,1)),"",IF((AND(FIND('112'!$M$9,G891,1)&gt;=1,B891='112'!$K$9,OR($N891='112'!$I$6,$O891='112'!$I$6))),"x",""))</f>
        <v/>
      </c>
      <c r="U891" s="75" t="str">
        <f>IF(ISERROR(FIND('112'!$M$9,G891,1)),"",IF((AND(LEFT(G891,2)=LEFT('112'!$M$9,2),B891&lt;'112'!$K$9,$N891='112'!$I$6)),"x",""))</f>
        <v/>
      </c>
      <c r="V891" s="75" t="str">
        <f>IF(ISERROR(FIND('112'!$M$9,G891,1)),"",IF((AND(RIGHT(G891,2)=RIGHT('112'!$M$9,2),B891&lt;'112'!$K$9,$O891='112'!$I$6)),"x",""))</f>
        <v/>
      </c>
      <c r="W891" s="75" t="str">
        <f>IF(AND('341-CT'!$H$9=H891,OR(LEFT(N891,3)=$W$7,LEFT(O891,3)=$W$7)),"x","")</f>
        <v/>
      </c>
      <c r="X891" s="75" t="str">
        <f>IF(OR(TH!N891=TH!$X$7,O891=TH!$X$7),"x","")</f>
        <v/>
      </c>
      <c r="Y891" s="75" t="str">
        <f>IF(AND(OR(N891="131",O891="131"),H891='131-CT'!$H$9),"x","")</f>
        <v/>
      </c>
      <c r="Z891" s="75"/>
      <c r="AA891" s="75" t="str">
        <f>IF(AND(MONTH(E891)='IN-NX'!$J$5,'IN-NX'!$D$7=D891),"x","")</f>
        <v/>
      </c>
      <c r="AB891" s="75" t="str">
        <f>IF(AND(OR(LEFT(TH!N891,2)="15",LEFT(TH!O891,2)="15"),LEFT(TH!O891,3)&lt;&gt;"111",'152-CT'!$J$8=TH!F891),"x","")</f>
        <v/>
      </c>
      <c r="AC891" s="75" t="str">
        <f>IF(AND(OR(LEFT(TH!N891,2)="15",LEFT(TH!O891,2)="15"),TK!$E$7=TH!F891),"x","")</f>
        <v/>
      </c>
      <c r="AD891" s="75" t="str">
        <f>IF(AND(N891="1521",MONTH(C891)='BK-NL'!$M$11),"x","")</f>
        <v/>
      </c>
    </row>
    <row r="892" spans="1:32" ht="16.5" customHeight="1">
      <c r="A892" s="309" t="str">
        <f>IF(B892&lt;&gt;"",IF(AND(B892='IN-TC'!$S$4,OR(TH!N892="1111",TH!O892="1111")),TH!D892,""),"")</f>
        <v/>
      </c>
      <c r="B892" s="1058">
        <f t="shared" si="151"/>
        <v>1</v>
      </c>
      <c r="C892" s="292">
        <v>42742</v>
      </c>
      <c r="D892" s="292" t="s">
        <v>867</v>
      </c>
      <c r="E892" s="292">
        <f t="shared" si="152"/>
        <v>42742</v>
      </c>
      <c r="F892" s="67" t="s">
        <v>381</v>
      </c>
      <c r="G892" s="925" t="s">
        <v>831</v>
      </c>
      <c r="H892" s="294" t="s">
        <v>558</v>
      </c>
      <c r="I892" s="373">
        <v>1311</v>
      </c>
      <c r="J892" s="926">
        <v>18200</v>
      </c>
      <c r="K892" s="373"/>
      <c r="L892" s="379"/>
      <c r="M892" s="927">
        <f>I892*J892</f>
        <v>23860200</v>
      </c>
      <c r="N892" s="295" t="s">
        <v>266</v>
      </c>
      <c r="O892" s="295" t="s">
        <v>8</v>
      </c>
      <c r="P892" s="75" t="str">
        <f>IF(AND('331-CT'!$E$7=TH!H892,OR(N892="331",O892="331")),"x","")</f>
        <v/>
      </c>
      <c r="Q892" s="75" t="str">
        <f>IF(AND(B892='111'!$L$11,OR($N892=$Q$7,$O892=$Q$7)),"x","")</f>
        <v/>
      </c>
      <c r="R892" s="75" t="str">
        <f>IF(AND($N892=$Q$7,$B892&lt;'111'!$L$11),"x","")</f>
        <v/>
      </c>
      <c r="S892" s="75" t="str">
        <f>IF(AND($O892=$Q$7,$B892&lt;'111'!$L$11),"x","")</f>
        <v/>
      </c>
      <c r="T892" s="75" t="str">
        <f>IF(ISERROR(FIND('112'!$M$9,G892,1)),"",IF((AND(FIND('112'!$M$9,G892,1)&gt;=1,B892='112'!$K$9,OR($N892='112'!$I$6,$O892='112'!$I$6))),"x",""))</f>
        <v/>
      </c>
      <c r="U892" s="75" t="str">
        <f>IF(ISERROR(FIND('112'!$M$9,G892,1)),"",IF((AND(LEFT(G892,2)=LEFT('112'!$M$9,2),B892&lt;'112'!$K$9,$N892='112'!$I$6)),"x",""))</f>
        <v/>
      </c>
      <c r="V892" s="75" t="str">
        <f>IF(ISERROR(FIND('112'!$M$9,G892,1)),"",IF((AND(RIGHT(G892,2)=RIGHT('112'!$M$9,2),B892&lt;'112'!$K$9,$O892='112'!$I$6)),"x",""))</f>
        <v/>
      </c>
      <c r="W892" s="75" t="str">
        <f>IF(AND('341-CT'!$H$9=H892,OR(LEFT(N892,3)=$W$7,LEFT(O892,3)=$W$7)),"x","")</f>
        <v/>
      </c>
      <c r="X892" s="75" t="str">
        <f>IF(OR(TH!N892=TH!$X$7,O892=TH!$X$7),"x","")</f>
        <v/>
      </c>
      <c r="Y892" s="75" t="str">
        <f>IF(AND(OR(N892="131",O892="131"),H892='131-CT'!$H$9),"x","")</f>
        <v/>
      </c>
      <c r="Z892" s="75"/>
      <c r="AA892" s="75" t="str">
        <f>IF(AND(MONTH(E892)='IN-NX'!$J$5,'IN-NX'!$D$7=D892),"x","")</f>
        <v/>
      </c>
      <c r="AB892" s="75" t="str">
        <f>IF(AND(OR(LEFT(TH!N892,2)="15",LEFT(TH!O892,2)="15"),LEFT(TH!O892,3)&lt;&gt;"111",'152-CT'!$J$8=TH!F892),"x","")</f>
        <v/>
      </c>
      <c r="AC892" s="75" t="str">
        <f>IF(AND(OR(LEFT(TH!N892,2)="15",LEFT(TH!O892,2)="15"),TK!$E$7=TH!F892),"x","")</f>
        <v/>
      </c>
      <c r="AD892" s="75" t="str">
        <f>IF(AND(N892="1521",MONTH(C892)='BK-NL'!$M$11),"x","")</f>
        <v/>
      </c>
    </row>
    <row r="893" spans="1:32" ht="16.5" customHeight="1">
      <c r="A893" s="309" t="str">
        <f>IF(B893&lt;&gt;"",IF(AND(B893='IN-TC'!$S$4,OR(TH!N893="1111",TH!O893="1111")),TH!D893,""),"")</f>
        <v/>
      </c>
      <c r="B893" s="1058">
        <f t="shared" si="151"/>
        <v>1</v>
      </c>
      <c r="C893" s="292">
        <v>42742</v>
      </c>
      <c r="D893" s="292" t="s">
        <v>867</v>
      </c>
      <c r="E893" s="292">
        <f t="shared" si="152"/>
        <v>42742</v>
      </c>
      <c r="F893" s="67" t="s">
        <v>375</v>
      </c>
      <c r="G893" s="925" t="s">
        <v>831</v>
      </c>
      <c r="H893" s="294" t="s">
        <v>558</v>
      </c>
      <c r="I893" s="373">
        <v>424</v>
      </c>
      <c r="J893" s="926">
        <v>18000</v>
      </c>
      <c r="K893" s="373"/>
      <c r="L893" s="379"/>
      <c r="M893" s="927">
        <f>I893*J893</f>
        <v>7632000</v>
      </c>
      <c r="N893" s="295" t="s">
        <v>266</v>
      </c>
      <c r="O893" s="295" t="s">
        <v>8</v>
      </c>
      <c r="P893" s="75" t="str">
        <f>IF(AND('331-CT'!$E$7=TH!H893,OR(N893="331",O893="331")),"x","")</f>
        <v/>
      </c>
      <c r="Q893" s="75" t="str">
        <f>IF(AND(B893='111'!$L$11,OR($N893=$Q$7,$O893=$Q$7)),"x","")</f>
        <v/>
      </c>
      <c r="R893" s="75" t="str">
        <f>IF(AND($N893=$Q$7,$B893&lt;'111'!$L$11),"x","")</f>
        <v/>
      </c>
      <c r="S893" s="75" t="str">
        <f>IF(AND($O893=$Q$7,$B893&lt;'111'!$L$11),"x","")</f>
        <v/>
      </c>
      <c r="T893" s="75" t="str">
        <f>IF(ISERROR(FIND('112'!$M$9,G893,1)),"",IF((AND(FIND('112'!$M$9,G893,1)&gt;=1,B893='112'!$K$9,OR($N893='112'!$I$6,$O893='112'!$I$6))),"x",""))</f>
        <v/>
      </c>
      <c r="U893" s="75" t="str">
        <f>IF(ISERROR(FIND('112'!$M$9,G893,1)),"",IF((AND(LEFT(G893,2)=LEFT('112'!$M$9,2),B893&lt;'112'!$K$9,$N893='112'!$I$6)),"x",""))</f>
        <v/>
      </c>
      <c r="V893" s="75" t="str">
        <f>IF(ISERROR(FIND('112'!$M$9,G893,1)),"",IF((AND(RIGHT(G893,2)=RIGHT('112'!$M$9,2),B893&lt;'112'!$K$9,$O893='112'!$I$6)),"x",""))</f>
        <v/>
      </c>
      <c r="W893" s="75" t="str">
        <f>IF(AND('341-CT'!$H$9=H893,OR(LEFT(N893,3)=$W$7,LEFT(O893,3)=$W$7)),"x","")</f>
        <v/>
      </c>
      <c r="X893" s="75" t="str">
        <f>IF(OR(TH!N893=TH!$X$7,O893=TH!$X$7),"x","")</f>
        <v/>
      </c>
      <c r="Y893" s="75" t="str">
        <f>IF(AND(OR(N893="131",O893="131"),H893='131-CT'!$H$9),"x","")</f>
        <v/>
      </c>
      <c r="Z893" s="75"/>
      <c r="AA893" s="75" t="str">
        <f>IF(AND(MONTH(E893)='IN-NX'!$J$5,'IN-NX'!$D$7=D893),"x","")</f>
        <v/>
      </c>
      <c r="AB893" s="75" t="str">
        <f>IF(AND(OR(LEFT(TH!N893,2)="15",LEFT(TH!O893,2)="15"),LEFT(TH!O893,3)&lt;&gt;"111",'152-CT'!$J$8=TH!F893),"x","")</f>
        <v/>
      </c>
      <c r="AC893" s="75" t="str">
        <f>IF(AND(OR(LEFT(TH!N893,2)="15",LEFT(TH!O893,2)="15"),TK!$E$7=TH!F893),"x","")</f>
        <v/>
      </c>
      <c r="AD893" s="75" t="str">
        <f>IF(AND(N893="1521",MONTH(C893)='BK-NL'!$M$11),"x","")</f>
        <v/>
      </c>
    </row>
    <row r="894" spans="1:32" ht="16.5" customHeight="1">
      <c r="A894" s="309" t="str">
        <f>IF(B894&lt;&gt;"",IF(AND(B894='IN-TC'!$S$4,OR(TH!N894="1111",TH!O894="1111")),TH!D894,""),"")</f>
        <v/>
      </c>
      <c r="B894" s="1058">
        <f t="shared" si="151"/>
        <v>1</v>
      </c>
      <c r="C894" s="292">
        <v>42742</v>
      </c>
      <c r="D894" s="292" t="s">
        <v>867</v>
      </c>
      <c r="E894" s="292">
        <f t="shared" si="152"/>
        <v>42742</v>
      </c>
      <c r="F894" s="67" t="s">
        <v>368</v>
      </c>
      <c r="G894" s="925" t="s">
        <v>831</v>
      </c>
      <c r="H894" s="294" t="s">
        <v>558</v>
      </c>
      <c r="I894" s="373">
        <v>140</v>
      </c>
      <c r="J894" s="926">
        <v>6000</v>
      </c>
      <c r="K894" s="373"/>
      <c r="L894" s="379"/>
      <c r="M894" s="927">
        <f>I894*J894</f>
        <v>840000</v>
      </c>
      <c r="N894" s="295" t="s">
        <v>266</v>
      </c>
      <c r="O894" s="295" t="s">
        <v>8</v>
      </c>
      <c r="P894" s="75" t="str">
        <f>IF(AND('331-CT'!$E$7=TH!H894,OR(N894="331",O894="331")),"x","")</f>
        <v/>
      </c>
      <c r="Q894" s="75" t="str">
        <f>IF(AND(B894='111'!$L$11,OR($N894=$Q$7,$O894=$Q$7)),"x","")</f>
        <v/>
      </c>
      <c r="R894" s="75" t="str">
        <f>IF(AND($N894=$Q$7,$B894&lt;'111'!$L$11),"x","")</f>
        <v/>
      </c>
      <c r="S894" s="75" t="str">
        <f>IF(AND($O894=$Q$7,$B894&lt;'111'!$L$11),"x","")</f>
        <v/>
      </c>
      <c r="T894" s="75" t="str">
        <f>IF(ISERROR(FIND('112'!$M$9,G894,1)),"",IF((AND(FIND('112'!$M$9,G894,1)&gt;=1,B894='112'!$K$9,OR($N894='112'!$I$6,$O894='112'!$I$6))),"x",""))</f>
        <v/>
      </c>
      <c r="U894" s="75" t="str">
        <f>IF(ISERROR(FIND('112'!$M$9,G894,1)),"",IF((AND(LEFT(G894,2)=LEFT('112'!$M$9,2),B894&lt;'112'!$K$9,$N894='112'!$I$6)),"x",""))</f>
        <v/>
      </c>
      <c r="V894" s="75" t="str">
        <f>IF(ISERROR(FIND('112'!$M$9,G894,1)),"",IF((AND(RIGHT(G894,2)=RIGHT('112'!$M$9,2),B894&lt;'112'!$K$9,$O894='112'!$I$6)),"x",""))</f>
        <v/>
      </c>
      <c r="W894" s="75" t="str">
        <f>IF(AND('341-CT'!$H$9=H894,OR(LEFT(N894,3)=$W$7,LEFT(O894,3)=$W$7)),"x","")</f>
        <v/>
      </c>
      <c r="X894" s="75" t="str">
        <f>IF(OR(TH!N894=TH!$X$7,O894=TH!$X$7),"x","")</f>
        <v/>
      </c>
      <c r="Y894" s="75" t="str">
        <f>IF(AND(OR(N894="131",O894="131"),H894='131-CT'!$H$9),"x","")</f>
        <v/>
      </c>
      <c r="Z894" s="75"/>
      <c r="AA894" s="75" t="str">
        <f>IF(AND(MONTH(E894)='IN-NX'!$J$5,'IN-NX'!$D$7=D894),"x","")</f>
        <v/>
      </c>
      <c r="AB894" s="75" t="str">
        <f>IF(AND(OR(LEFT(TH!N894,2)="15",LEFT(TH!O894,2)="15"),LEFT(TH!O894,3)&lt;&gt;"111",'152-CT'!$J$8=TH!F894),"x","")</f>
        <v/>
      </c>
      <c r="AC894" s="75" t="str">
        <f>IF(AND(OR(LEFT(TH!N894,2)="15",LEFT(TH!O894,2)="15"),TK!$E$7=TH!F894),"x","")</f>
        <v/>
      </c>
      <c r="AD894" s="75" t="str">
        <f>IF(AND(N894="1521",MONTH(C894)='BK-NL'!$M$11),"x","")</f>
        <v/>
      </c>
    </row>
    <row r="895" spans="1:32" ht="16.5" customHeight="1">
      <c r="A895" s="309" t="str">
        <f>IF(B895&lt;&gt;"",IF(AND(B895='IN-TC'!$S$4,OR(TH!N895="1111",TH!O895="1111")),TH!D895,""),"")</f>
        <v/>
      </c>
      <c r="B895" s="1058">
        <f t="shared" si="151"/>
        <v>1</v>
      </c>
      <c r="C895" s="292">
        <v>42742</v>
      </c>
      <c r="D895" s="292" t="s">
        <v>867</v>
      </c>
      <c r="E895" s="292">
        <f t="shared" si="152"/>
        <v>42742</v>
      </c>
      <c r="F895" s="67" t="s">
        <v>830</v>
      </c>
      <c r="G895" s="925" t="s">
        <v>831</v>
      </c>
      <c r="H895" s="294" t="s">
        <v>558</v>
      </c>
      <c r="I895" s="373">
        <v>450</v>
      </c>
      <c r="J895" s="926">
        <v>2400</v>
      </c>
      <c r="K895" s="373"/>
      <c r="L895" s="379"/>
      <c r="M895" s="927">
        <f>I895*J895</f>
        <v>1080000</v>
      </c>
      <c r="N895" s="295" t="s">
        <v>266</v>
      </c>
      <c r="O895" s="295" t="s">
        <v>8</v>
      </c>
      <c r="P895" s="75" t="str">
        <f>IF(AND('331-CT'!$E$7=TH!H895,OR(N895="331",O895="331")),"x","")</f>
        <v/>
      </c>
      <c r="Q895" s="75" t="str">
        <f>IF(AND(B895='111'!$L$11,OR($N895=$Q$7,$O895=$Q$7)),"x","")</f>
        <v/>
      </c>
      <c r="R895" s="75" t="str">
        <f>IF(AND($N895=$Q$7,$B895&lt;'111'!$L$11),"x","")</f>
        <v/>
      </c>
      <c r="S895" s="75" t="str">
        <f>IF(AND($O895=$Q$7,$B895&lt;'111'!$L$11),"x","")</f>
        <v/>
      </c>
      <c r="T895" s="75" t="str">
        <f>IF(ISERROR(FIND('112'!$M$9,G895,1)),"",IF((AND(FIND('112'!$M$9,G895,1)&gt;=1,B895='112'!$K$9,OR($N895='112'!$I$6,$O895='112'!$I$6))),"x",""))</f>
        <v/>
      </c>
      <c r="U895" s="75" t="str">
        <f>IF(ISERROR(FIND('112'!$M$9,G895,1)),"",IF((AND(LEFT(G895,2)=LEFT('112'!$M$9,2),B895&lt;'112'!$K$9,$N895='112'!$I$6)),"x",""))</f>
        <v/>
      </c>
      <c r="V895" s="75" t="str">
        <f>IF(ISERROR(FIND('112'!$M$9,G895,1)),"",IF((AND(RIGHT(G895,2)=RIGHT('112'!$M$9,2),B895&lt;'112'!$K$9,$O895='112'!$I$6)),"x",""))</f>
        <v/>
      </c>
      <c r="W895" s="75" t="str">
        <f>IF(AND('341-CT'!$H$9=H895,OR(LEFT(N895,3)=$W$7,LEFT(O895,3)=$W$7)),"x","")</f>
        <v/>
      </c>
      <c r="X895" s="75" t="str">
        <f>IF(OR(TH!N895=TH!$X$7,O895=TH!$X$7),"x","")</f>
        <v/>
      </c>
      <c r="Y895" s="75" t="str">
        <f>IF(AND(OR(N895="131",O895="131"),H895='131-CT'!$H$9),"x","")</f>
        <v/>
      </c>
      <c r="Z895" s="75"/>
      <c r="AA895" s="75" t="str">
        <f>IF(AND(MONTH(E895)='IN-NX'!$J$5,'IN-NX'!$D$7=D895),"x","")</f>
        <v/>
      </c>
      <c r="AB895" s="75" t="str">
        <f>IF(AND(OR(LEFT(TH!N895,2)="15",LEFT(TH!O895,2)="15"),LEFT(TH!O895,3)&lt;&gt;"111",'152-CT'!$J$8=TH!F895),"x","")</f>
        <v/>
      </c>
      <c r="AC895" s="75" t="str">
        <f>IF(AND(OR(LEFT(TH!N895,2)="15",LEFT(TH!O895,2)="15"),TK!$E$7=TH!F895),"x","")</f>
        <v/>
      </c>
      <c r="AD895" s="75" t="str">
        <f>IF(AND(N895="1521",MONTH(C895)='BK-NL'!$M$11),"x","")</f>
        <v/>
      </c>
    </row>
    <row r="896" spans="1:32" ht="16.5" customHeight="1">
      <c r="A896" s="309" t="str">
        <f>IF(B896&lt;&gt;"",IF(AND(B896='IN-TC'!$S$4,OR(TH!N896="1111",TH!O896="1111")),TH!D896,""),"")</f>
        <v/>
      </c>
      <c r="B896" s="1058">
        <f t="shared" si="151"/>
        <v>1</v>
      </c>
      <c r="C896" s="292">
        <v>42742</v>
      </c>
      <c r="D896" s="292" t="s">
        <v>867</v>
      </c>
      <c r="E896" s="292">
        <f t="shared" si="152"/>
        <v>42742</v>
      </c>
      <c r="F896" s="67" t="s">
        <v>832</v>
      </c>
      <c r="G896" s="925" t="s">
        <v>831</v>
      </c>
      <c r="H896" s="294" t="s">
        <v>558</v>
      </c>
      <c r="I896" s="373"/>
      <c r="J896" s="926"/>
      <c r="K896" s="373"/>
      <c r="L896" s="379"/>
      <c r="M896" s="927">
        <v>3341220</v>
      </c>
      <c r="N896" s="295" t="s">
        <v>9</v>
      </c>
      <c r="O896" s="295" t="s">
        <v>8</v>
      </c>
      <c r="P896" s="75" t="str">
        <f>IF(AND('331-CT'!$E$7=TH!H896,OR(N896="331",O896="331")),"x","")</f>
        <v/>
      </c>
      <c r="Q896" s="75" t="str">
        <f>IF(AND(B896='111'!$L$11,OR($N896=$Q$7,$O896=$Q$7)),"x","")</f>
        <v/>
      </c>
      <c r="R896" s="75" t="str">
        <f>IF(AND($N896=$Q$7,$B896&lt;'111'!$L$11),"x","")</f>
        <v/>
      </c>
      <c r="S896" s="75" t="str">
        <f>IF(AND($O896=$Q$7,$B896&lt;'111'!$L$11),"x","")</f>
        <v/>
      </c>
      <c r="T896" s="75" t="str">
        <f>IF(ISERROR(FIND('112'!$M$9,G896,1)),"",IF((AND(FIND('112'!$M$9,G896,1)&gt;=1,B896='112'!$K$9,OR($N896='112'!$I$6,$O896='112'!$I$6))),"x",""))</f>
        <v/>
      </c>
      <c r="U896" s="75" t="str">
        <f>IF(ISERROR(FIND('112'!$M$9,G896,1)),"",IF((AND(LEFT(G896,2)=LEFT('112'!$M$9,2),B896&lt;'112'!$K$9,$N896='112'!$I$6)),"x",""))</f>
        <v/>
      </c>
      <c r="V896" s="75" t="str">
        <f>IF(ISERROR(FIND('112'!$M$9,G896,1)),"",IF((AND(RIGHT(G896,2)=RIGHT('112'!$M$9,2),B896&lt;'112'!$K$9,$O896='112'!$I$6)),"x",""))</f>
        <v/>
      </c>
      <c r="W896" s="75" t="str">
        <f>IF(AND('341-CT'!$H$9=H896,OR(LEFT(N896,3)=$W$7,LEFT(O896,3)=$W$7)),"x","")</f>
        <v/>
      </c>
      <c r="X896" s="75" t="str">
        <f>IF(OR(TH!N896=TH!$X$7,O896=TH!$X$7),"x","")</f>
        <v/>
      </c>
      <c r="Y896" s="75" t="str">
        <f>IF(AND(OR(N896="131",O896="131"),H896='131-CT'!$H$9),"x","")</f>
        <v/>
      </c>
      <c r="Z896" s="75"/>
      <c r="AA896" s="75" t="str">
        <f>IF(AND(MONTH(E896)='IN-NX'!$J$5,'IN-NX'!$D$7=D896),"x","")</f>
        <v/>
      </c>
      <c r="AB896" s="75" t="str">
        <f>IF(AND(OR(LEFT(TH!N896,2)="15",LEFT(TH!O896,2)="15"),LEFT(TH!O896,3)&lt;&gt;"111",'152-CT'!$J$8=TH!F896),"x","")</f>
        <v/>
      </c>
      <c r="AC896" s="75" t="str">
        <f>IF(AND(OR(LEFT(TH!N896,2)="15",LEFT(TH!O896,2)="15"),TK!$E$7=TH!F896),"x","")</f>
        <v/>
      </c>
      <c r="AD896" s="75" t="str">
        <f>IF(AND(N896="1521",MONTH(C896)='BK-NL'!$M$11),"x","")</f>
        <v/>
      </c>
    </row>
    <row r="897" spans="1:30" ht="16.5" customHeight="1">
      <c r="A897" s="309" t="str">
        <f>IF(B897&lt;&gt;"",IF(AND(B897='IN-TC'!$S$4,OR(TH!N897="1111",TH!O897="1111")),TH!D897,""),"")</f>
        <v/>
      </c>
      <c r="B897" s="1058">
        <f t="shared" si="151"/>
        <v>1</v>
      </c>
      <c r="C897" s="292">
        <v>42744</v>
      </c>
      <c r="D897" s="292" t="s">
        <v>1352</v>
      </c>
      <c r="E897" s="292">
        <f t="shared" si="152"/>
        <v>42744</v>
      </c>
      <c r="F897" s="67" t="s">
        <v>795</v>
      </c>
      <c r="G897" s="925" t="s">
        <v>1145</v>
      </c>
      <c r="H897" s="294" t="s">
        <v>796</v>
      </c>
      <c r="I897" s="373">
        <v>2027</v>
      </c>
      <c r="J897" s="926">
        <v>8500</v>
      </c>
      <c r="K897" s="373"/>
      <c r="L897" s="379"/>
      <c r="M897" s="927">
        <f>I897*J897</f>
        <v>17229500</v>
      </c>
      <c r="N897" s="295" t="s">
        <v>266</v>
      </c>
      <c r="O897" s="295" t="s">
        <v>8</v>
      </c>
      <c r="P897" s="75" t="str">
        <f>IF(AND('331-CT'!$E$7=TH!H897,OR(N897="331",O897="331")),"x","")</f>
        <v/>
      </c>
      <c r="Q897" s="75" t="str">
        <f>IF(AND(B897='111'!$L$11,OR($N897=$Q$7,$O897=$Q$7)),"x","")</f>
        <v/>
      </c>
      <c r="R897" s="75" t="str">
        <f>IF(AND($N897=$Q$7,$B897&lt;'111'!$L$11),"x","")</f>
        <v/>
      </c>
      <c r="S897" s="75" t="str">
        <f>IF(AND($O897=$Q$7,$B897&lt;'111'!$L$11),"x","")</f>
        <v/>
      </c>
      <c r="T897" s="75" t="str">
        <f>IF(ISERROR(FIND('112'!$M$9,G897,1)),"",IF((AND(FIND('112'!$M$9,G897,1)&gt;=1,B897='112'!$K$9,OR($N897='112'!$I$6,$O897='112'!$I$6))),"x",""))</f>
        <v/>
      </c>
      <c r="U897" s="75" t="str">
        <f>IF(ISERROR(FIND('112'!$M$9,G897,1)),"",IF((AND(LEFT(G897,2)=LEFT('112'!$M$9,2),B897&lt;'112'!$K$9,$N897='112'!$I$6)),"x",""))</f>
        <v/>
      </c>
      <c r="V897" s="75" t="str">
        <f>IF(ISERROR(FIND('112'!$M$9,G897,1)),"",IF((AND(RIGHT(G897,2)=RIGHT('112'!$M$9,2),B897&lt;'112'!$K$9,$O897='112'!$I$6)),"x",""))</f>
        <v/>
      </c>
      <c r="W897" s="75" t="str">
        <f>IF(AND('341-CT'!$H$9=H897,OR(LEFT(N897,3)=$W$7,LEFT(O897,3)=$W$7)),"x","")</f>
        <v/>
      </c>
      <c r="X897" s="75" t="str">
        <f>IF(OR(TH!N897=TH!$X$7,O897=TH!$X$7),"x","")</f>
        <v/>
      </c>
      <c r="Y897" s="75" t="str">
        <f>IF(AND(OR(N897="131",O897="131"),H897='131-CT'!$H$9),"x","")</f>
        <v/>
      </c>
      <c r="Z897" s="75"/>
      <c r="AA897" s="75" t="str">
        <f>IF(AND(MONTH(E897)='IN-NX'!$J$5,'IN-NX'!$D$7=D897),"x","")</f>
        <v/>
      </c>
      <c r="AB897" s="75" t="str">
        <f>IF(AND(OR(LEFT(TH!N897,2)="15",LEFT(TH!O897,2)="15"),LEFT(TH!O897,3)&lt;&gt;"111",'152-CT'!$J$8=TH!F897),"x","")</f>
        <v/>
      </c>
      <c r="AC897" s="75" t="str">
        <f>IF(AND(OR(LEFT(TH!N897,2)="15",LEFT(TH!O897,2)="15"),TK!$E$7=TH!F897),"x","")</f>
        <v/>
      </c>
      <c r="AD897" s="75" t="str">
        <f>IF(AND(N897="1521",MONTH(C897)='BK-NL'!$M$11),"x","")</f>
        <v/>
      </c>
    </row>
    <row r="898" spans="1:30" ht="16.5" customHeight="1">
      <c r="A898" s="309" t="str">
        <f>IF(B898&lt;&gt;"",IF(AND(B898='IN-TC'!$S$4,OR(TH!N898="1111",TH!O898="1111")),TH!D898,""),"")</f>
        <v/>
      </c>
      <c r="B898" s="1058">
        <f t="shared" si="151"/>
        <v>1</v>
      </c>
      <c r="C898" s="292">
        <v>42744</v>
      </c>
      <c r="D898" s="292" t="s">
        <v>1352</v>
      </c>
      <c r="E898" s="292">
        <f t="shared" si="152"/>
        <v>42744</v>
      </c>
      <c r="F898" s="67" t="s">
        <v>1143</v>
      </c>
      <c r="G898" s="925" t="s">
        <v>1145</v>
      </c>
      <c r="H898" s="294" t="s">
        <v>796</v>
      </c>
      <c r="I898" s="373"/>
      <c r="J898" s="926"/>
      <c r="K898" s="373"/>
      <c r="L898" s="379"/>
      <c r="M898" s="927">
        <v>1722950</v>
      </c>
      <c r="N898" s="295" t="s">
        <v>9</v>
      </c>
      <c r="O898" s="295" t="s">
        <v>8</v>
      </c>
      <c r="P898" s="75" t="str">
        <f>IF(AND('331-CT'!$E$7=TH!H898,OR(N898="331",O898="331")),"x","")</f>
        <v/>
      </c>
      <c r="Q898" s="75" t="str">
        <f>IF(AND(B898='111'!$L$11,OR($N898=$Q$7,$O898=$Q$7)),"x","")</f>
        <v/>
      </c>
      <c r="R898" s="75" t="str">
        <f>IF(AND($N898=$Q$7,$B898&lt;'111'!$L$11),"x","")</f>
        <v/>
      </c>
      <c r="S898" s="75" t="str">
        <f>IF(AND($O898=$Q$7,$B898&lt;'111'!$L$11),"x","")</f>
        <v/>
      </c>
      <c r="T898" s="75" t="str">
        <f>IF(ISERROR(FIND('112'!$M$9,G898,1)),"",IF((AND(FIND('112'!$M$9,G898,1)&gt;=1,B898='112'!$K$9,OR($N898='112'!$I$6,$O898='112'!$I$6))),"x",""))</f>
        <v/>
      </c>
      <c r="U898" s="75" t="str">
        <f>IF(ISERROR(FIND('112'!$M$9,G898,1)),"",IF((AND(LEFT(G898,2)=LEFT('112'!$M$9,2),B898&lt;'112'!$K$9,$N898='112'!$I$6)),"x",""))</f>
        <v/>
      </c>
      <c r="V898" s="75" t="str">
        <f>IF(ISERROR(FIND('112'!$M$9,G898,1)),"",IF((AND(RIGHT(G898,2)=RIGHT('112'!$M$9,2),B898&lt;'112'!$K$9,$O898='112'!$I$6)),"x",""))</f>
        <v/>
      </c>
      <c r="W898" s="75" t="str">
        <f>IF(AND('341-CT'!$H$9=H898,OR(LEFT(N898,3)=$W$7,LEFT(O898,3)=$W$7)),"x","")</f>
        <v/>
      </c>
      <c r="X898" s="75" t="str">
        <f>IF(OR(TH!N898=TH!$X$7,O898=TH!$X$7),"x","")</f>
        <v/>
      </c>
      <c r="Y898" s="75" t="str">
        <f>IF(AND(OR(N898="131",O898="131"),H898='131-CT'!$H$9),"x","")</f>
        <v/>
      </c>
      <c r="Z898" s="75"/>
      <c r="AA898" s="75" t="str">
        <f>IF(AND(MONTH(E898)='IN-NX'!$J$5,'IN-NX'!$D$7=D898),"x","")</f>
        <v/>
      </c>
      <c r="AB898" s="75" t="str">
        <f>IF(AND(OR(LEFT(TH!N898,2)="15",LEFT(TH!O898,2)="15"),LEFT(TH!O898,3)&lt;&gt;"111",'152-CT'!$J$8=TH!F898),"x","")</f>
        <v/>
      </c>
      <c r="AC898" s="75" t="str">
        <f>IF(AND(OR(LEFT(TH!N898,2)="15",LEFT(TH!O898,2)="15"),TK!$E$7=TH!F898),"x","")</f>
        <v/>
      </c>
      <c r="AD898" s="75" t="str">
        <f>IF(AND(N898="1521",MONTH(C898)='BK-NL'!$M$11),"x","")</f>
        <v/>
      </c>
    </row>
    <row r="899" spans="1:30" ht="16.5" customHeight="1">
      <c r="A899" s="309" t="str">
        <f>IF(B899&lt;&gt;"",IF(AND(B899='IN-TC'!$S$4,OR(TH!N899="1111",TH!O899="1111")),TH!D899,""),"")</f>
        <v/>
      </c>
      <c r="B899" s="1058">
        <f t="shared" si="151"/>
        <v>1</v>
      </c>
      <c r="C899" s="292">
        <v>42746</v>
      </c>
      <c r="D899" s="292" t="s">
        <v>1353</v>
      </c>
      <c r="E899" s="292">
        <f t="shared" si="152"/>
        <v>42746</v>
      </c>
      <c r="F899" s="432" t="s">
        <v>346</v>
      </c>
      <c r="G899" s="925" t="s">
        <v>842</v>
      </c>
      <c r="H899" s="311" t="s">
        <v>555</v>
      </c>
      <c r="I899" s="373">
        <v>600</v>
      </c>
      <c r="J899" s="926">
        <v>8700</v>
      </c>
      <c r="K899" s="373"/>
      <c r="L899" s="379"/>
      <c r="M899" s="927">
        <f>I899*J899</f>
        <v>5220000</v>
      </c>
      <c r="N899" s="295" t="s">
        <v>266</v>
      </c>
      <c r="O899" s="295" t="s">
        <v>8</v>
      </c>
      <c r="P899" s="75" t="str">
        <f>IF(AND('331-CT'!$E$7=TH!H899,OR(N899="331",O899="331")),"x","")</f>
        <v/>
      </c>
      <c r="Q899" s="75" t="str">
        <f>IF(AND(B899='111'!$L$11,OR($N899=$Q$7,$O899=$Q$7)),"x","")</f>
        <v/>
      </c>
      <c r="R899" s="75" t="str">
        <f>IF(AND($N899=$Q$7,$B899&lt;'111'!$L$11),"x","")</f>
        <v/>
      </c>
      <c r="S899" s="75" t="str">
        <f>IF(AND($O899=$Q$7,$B899&lt;'111'!$L$11),"x","")</f>
        <v/>
      </c>
      <c r="T899" s="75" t="str">
        <f>IF(ISERROR(FIND('112'!$M$9,G899,1)),"",IF((AND(FIND('112'!$M$9,G899,1)&gt;=1,B899='112'!$K$9,OR($N899='112'!$I$6,$O899='112'!$I$6))),"x",""))</f>
        <v/>
      </c>
      <c r="U899" s="75" t="str">
        <f>IF(ISERROR(FIND('112'!$M$9,G899,1)),"",IF((AND(LEFT(G899,2)=LEFT('112'!$M$9,2),B899&lt;'112'!$K$9,$N899='112'!$I$6)),"x",""))</f>
        <v/>
      </c>
      <c r="V899" s="75" t="str">
        <f>IF(ISERROR(FIND('112'!$M$9,G899,1)),"",IF((AND(RIGHT(G899,2)=RIGHT('112'!$M$9,2),B899&lt;'112'!$K$9,$O899='112'!$I$6)),"x",""))</f>
        <v/>
      </c>
      <c r="W899" s="75" t="str">
        <f>IF(AND('341-CT'!$H$9=H899,OR(LEFT(N899,3)=$W$7,LEFT(O899,3)=$W$7)),"x","")</f>
        <v/>
      </c>
      <c r="X899" s="75" t="str">
        <f>IF(OR(TH!N899=TH!$X$7,O899=TH!$X$7),"x","")</f>
        <v/>
      </c>
      <c r="Y899" s="75" t="str">
        <f>IF(AND(OR(N899="131",O899="131"),H899='131-CT'!$H$9),"x","")</f>
        <v/>
      </c>
      <c r="Z899" s="75"/>
      <c r="AA899" s="75" t="str">
        <f>IF(AND(MONTH(E899)='IN-NX'!$J$5,'IN-NX'!$D$7=D899),"x","")</f>
        <v/>
      </c>
      <c r="AB899" s="75" t="str">
        <f>IF(AND(OR(LEFT(TH!N899,2)="15",LEFT(TH!O899,2)="15"),LEFT(TH!O899,3)&lt;&gt;"111",'152-CT'!$J$8=TH!F899),"x","")</f>
        <v/>
      </c>
      <c r="AC899" s="75" t="str">
        <f>IF(AND(OR(LEFT(TH!N899,2)="15",LEFT(TH!O899,2)="15"),TK!$E$7=TH!F899),"x","")</f>
        <v/>
      </c>
      <c r="AD899" s="75" t="str">
        <f>IF(AND(N899="1521",MONTH(C899)='BK-NL'!$M$11),"x","")</f>
        <v/>
      </c>
    </row>
    <row r="900" spans="1:30" ht="16.5" customHeight="1">
      <c r="A900" s="309" t="str">
        <f>IF(B900&lt;&gt;"",IF(AND(B900='IN-TC'!$S$4,OR(TH!N900="1111",TH!O900="1111")),TH!D900,""),"")</f>
        <v/>
      </c>
      <c r="B900" s="1058">
        <f t="shared" si="151"/>
        <v>1</v>
      </c>
      <c r="C900" s="292">
        <v>42746</v>
      </c>
      <c r="D900" s="292" t="s">
        <v>1353</v>
      </c>
      <c r="E900" s="292">
        <f t="shared" si="152"/>
        <v>42746</v>
      </c>
      <c r="F900" s="432" t="s">
        <v>841</v>
      </c>
      <c r="G900" s="925" t="s">
        <v>842</v>
      </c>
      <c r="H900" s="311" t="s">
        <v>555</v>
      </c>
      <c r="I900" s="373"/>
      <c r="J900" s="926"/>
      <c r="K900" s="373"/>
      <c r="L900" s="379"/>
      <c r="M900" s="927">
        <v>522000</v>
      </c>
      <c r="N900" s="295" t="s">
        <v>9</v>
      </c>
      <c r="O900" s="295" t="s">
        <v>8</v>
      </c>
      <c r="P900" s="75" t="str">
        <f>IF(AND('331-CT'!$E$7=TH!H900,OR(N900="331",O900="331")),"x","")</f>
        <v/>
      </c>
      <c r="Q900" s="75" t="str">
        <f>IF(AND(B900='111'!$L$11,OR($N900=$Q$7,$O900=$Q$7)),"x","")</f>
        <v/>
      </c>
      <c r="R900" s="75" t="str">
        <f>IF(AND($N900=$Q$7,$B900&lt;'111'!$L$11),"x","")</f>
        <v/>
      </c>
      <c r="S900" s="75" t="str">
        <f>IF(AND($O900=$Q$7,$B900&lt;'111'!$L$11),"x","")</f>
        <v/>
      </c>
      <c r="T900" s="75" t="str">
        <f>IF(ISERROR(FIND('112'!$M$9,G900,1)),"",IF((AND(FIND('112'!$M$9,G900,1)&gt;=1,B900='112'!$K$9,OR($N900='112'!$I$6,$O900='112'!$I$6))),"x",""))</f>
        <v/>
      </c>
      <c r="U900" s="75" t="str">
        <f>IF(ISERROR(FIND('112'!$M$9,G900,1)),"",IF((AND(LEFT(G900,2)=LEFT('112'!$M$9,2),B900&lt;'112'!$K$9,$N900='112'!$I$6)),"x",""))</f>
        <v/>
      </c>
      <c r="V900" s="75" t="str">
        <f>IF(ISERROR(FIND('112'!$M$9,G900,1)),"",IF((AND(RIGHT(G900,2)=RIGHT('112'!$M$9,2),B900&lt;'112'!$K$9,$O900='112'!$I$6)),"x",""))</f>
        <v/>
      </c>
      <c r="W900" s="75" t="str">
        <f>IF(AND('341-CT'!$H$9=H900,OR(LEFT(N900,3)=$W$7,LEFT(O900,3)=$W$7)),"x","")</f>
        <v/>
      </c>
      <c r="X900" s="75" t="str">
        <f>IF(OR(TH!N900=TH!$X$7,O900=TH!$X$7),"x","")</f>
        <v/>
      </c>
      <c r="Y900" s="75" t="str">
        <f>IF(AND(OR(N900="131",O900="131"),H900='131-CT'!$H$9),"x","")</f>
        <v/>
      </c>
      <c r="Z900" s="75"/>
      <c r="AA900" s="75" t="str">
        <f>IF(AND(MONTH(E900)='IN-NX'!$J$5,'IN-NX'!$D$7=D900),"x","")</f>
        <v/>
      </c>
      <c r="AB900" s="75" t="str">
        <f>IF(AND(OR(LEFT(TH!N900,2)="15",LEFT(TH!O900,2)="15"),LEFT(TH!O900,3)&lt;&gt;"111",'152-CT'!$J$8=TH!F900),"x","")</f>
        <v/>
      </c>
      <c r="AC900" s="75" t="str">
        <f>IF(AND(OR(LEFT(TH!N900,2)="15",LEFT(TH!O900,2)="15"),TK!$E$7=TH!F900),"x","")</f>
        <v/>
      </c>
      <c r="AD900" s="75" t="str">
        <f>IF(AND(N900="1521",MONTH(C900)='BK-NL'!$M$11),"x","")</f>
        <v/>
      </c>
    </row>
    <row r="901" spans="1:30" ht="16.5" customHeight="1">
      <c r="A901" s="309" t="str">
        <f>IF(B901&lt;&gt;"",IF(AND(B901='IN-TC'!$S$4,OR(TH!N901="1111",TH!O901="1111")),TH!D901,""),"")</f>
        <v/>
      </c>
      <c r="B901" s="1058">
        <f t="shared" si="151"/>
        <v>1</v>
      </c>
      <c r="C901" s="292">
        <v>42749</v>
      </c>
      <c r="D901" s="292" t="s">
        <v>1354</v>
      </c>
      <c r="E901" s="292">
        <f t="shared" si="152"/>
        <v>42749</v>
      </c>
      <c r="F901" s="67" t="s">
        <v>795</v>
      </c>
      <c r="G901" s="925" t="s">
        <v>1146</v>
      </c>
      <c r="H901" s="294" t="s">
        <v>796</v>
      </c>
      <c r="I901" s="373">
        <v>2027</v>
      </c>
      <c r="J901" s="926">
        <v>8500</v>
      </c>
      <c r="K901" s="373"/>
      <c r="L901" s="379"/>
      <c r="M901" s="927">
        <f>I901*J901</f>
        <v>17229500</v>
      </c>
      <c r="N901" s="295" t="s">
        <v>266</v>
      </c>
      <c r="O901" s="295" t="s">
        <v>8</v>
      </c>
      <c r="P901" s="75" t="str">
        <f>IF(AND('331-CT'!$E$7=TH!H901,OR(N901="331",O901="331")),"x","")</f>
        <v/>
      </c>
      <c r="Q901" s="75" t="str">
        <f>IF(AND(B901='111'!$L$11,OR($N901=$Q$7,$O901=$Q$7)),"x","")</f>
        <v/>
      </c>
      <c r="R901" s="75" t="str">
        <f>IF(AND($N901=$Q$7,$B901&lt;'111'!$L$11),"x","")</f>
        <v/>
      </c>
      <c r="S901" s="75" t="str">
        <f>IF(AND($O901=$Q$7,$B901&lt;'111'!$L$11),"x","")</f>
        <v/>
      </c>
      <c r="T901" s="75" t="str">
        <f>IF(ISERROR(FIND('112'!$M$9,G901,1)),"",IF((AND(FIND('112'!$M$9,G901,1)&gt;=1,B901='112'!$K$9,OR($N901='112'!$I$6,$O901='112'!$I$6))),"x",""))</f>
        <v/>
      </c>
      <c r="U901" s="75" t="str">
        <f>IF(ISERROR(FIND('112'!$M$9,G901,1)),"",IF((AND(LEFT(G901,2)=LEFT('112'!$M$9,2),B901&lt;'112'!$K$9,$N901='112'!$I$6)),"x",""))</f>
        <v/>
      </c>
      <c r="V901" s="75" t="str">
        <f>IF(ISERROR(FIND('112'!$M$9,G901,1)),"",IF((AND(RIGHT(G901,2)=RIGHT('112'!$M$9,2),B901&lt;'112'!$K$9,$O901='112'!$I$6)),"x",""))</f>
        <v/>
      </c>
      <c r="W901" s="75" t="str">
        <f>IF(AND('341-CT'!$H$9=H901,OR(LEFT(N901,3)=$W$7,LEFT(O901,3)=$W$7)),"x","")</f>
        <v/>
      </c>
      <c r="X901" s="75" t="str">
        <f>IF(OR(TH!N901=TH!$X$7,O901=TH!$X$7),"x","")</f>
        <v/>
      </c>
      <c r="Y901" s="75" t="str">
        <f>IF(AND(OR(N901="131",O901="131"),H901='131-CT'!$H$9),"x","")</f>
        <v/>
      </c>
      <c r="Z901" s="75"/>
      <c r="AA901" s="75" t="str">
        <f>IF(AND(MONTH(E901)='IN-NX'!$J$5,'IN-NX'!$D$7=D901),"x","")</f>
        <v/>
      </c>
      <c r="AB901" s="75" t="str">
        <f>IF(AND(OR(LEFT(TH!N901,2)="15",LEFT(TH!O901,2)="15"),LEFT(TH!O901,3)&lt;&gt;"111",'152-CT'!$J$8=TH!F901),"x","")</f>
        <v/>
      </c>
      <c r="AC901" s="75" t="str">
        <f>IF(AND(OR(LEFT(TH!N901,2)="15",LEFT(TH!O901,2)="15"),TK!$E$7=TH!F901),"x","")</f>
        <v/>
      </c>
      <c r="AD901" s="75" t="str">
        <f>IF(AND(N901="1521",MONTH(C901)='BK-NL'!$M$11),"x","")</f>
        <v/>
      </c>
    </row>
    <row r="902" spans="1:30" ht="16.5" customHeight="1">
      <c r="A902" s="309" t="str">
        <f>IF(B902&lt;&gt;"",IF(AND(B902='IN-TC'!$S$4,OR(TH!N902="1111",TH!O902="1111")),TH!D902,""),"")</f>
        <v/>
      </c>
      <c r="B902" s="1058">
        <f t="shared" si="151"/>
        <v>1</v>
      </c>
      <c r="C902" s="292">
        <v>42749</v>
      </c>
      <c r="D902" s="292" t="s">
        <v>1354</v>
      </c>
      <c r="E902" s="292">
        <f t="shared" si="152"/>
        <v>42749</v>
      </c>
      <c r="F902" s="67" t="s">
        <v>1143</v>
      </c>
      <c r="G902" s="925" t="s">
        <v>1146</v>
      </c>
      <c r="H902" s="294" t="s">
        <v>796</v>
      </c>
      <c r="I902" s="373"/>
      <c r="J902" s="926"/>
      <c r="K902" s="373"/>
      <c r="L902" s="379"/>
      <c r="M902" s="927">
        <v>1722950</v>
      </c>
      <c r="N902" s="295" t="s">
        <v>9</v>
      </c>
      <c r="O902" s="295" t="s">
        <v>8</v>
      </c>
      <c r="P902" s="75" t="str">
        <f>IF(AND('331-CT'!$E$7=TH!H902,OR(N902="331",O902="331")),"x","")</f>
        <v/>
      </c>
      <c r="Q902" s="75" t="str">
        <f>IF(AND(B902='111'!$L$11,OR($N902=$Q$7,$O902=$Q$7)),"x","")</f>
        <v/>
      </c>
      <c r="R902" s="75" t="str">
        <f>IF(AND($N902=$Q$7,$B902&lt;'111'!$L$11),"x","")</f>
        <v/>
      </c>
      <c r="S902" s="75" t="str">
        <f>IF(AND($O902=$Q$7,$B902&lt;'111'!$L$11),"x","")</f>
        <v/>
      </c>
      <c r="T902" s="75" t="str">
        <f>IF(ISERROR(FIND('112'!$M$9,G902,1)),"",IF((AND(FIND('112'!$M$9,G902,1)&gt;=1,B902='112'!$K$9,OR($N902='112'!$I$6,$O902='112'!$I$6))),"x",""))</f>
        <v/>
      </c>
      <c r="U902" s="75" t="str">
        <f>IF(ISERROR(FIND('112'!$M$9,G902,1)),"",IF((AND(LEFT(G902,2)=LEFT('112'!$M$9,2),B902&lt;'112'!$K$9,$N902='112'!$I$6)),"x",""))</f>
        <v/>
      </c>
      <c r="V902" s="75" t="str">
        <f>IF(ISERROR(FIND('112'!$M$9,G902,1)),"",IF((AND(RIGHT(G902,2)=RIGHT('112'!$M$9,2),B902&lt;'112'!$K$9,$O902='112'!$I$6)),"x",""))</f>
        <v/>
      </c>
      <c r="W902" s="75" t="str">
        <f>IF(AND('341-CT'!$H$9=H902,OR(LEFT(N902,3)=$W$7,LEFT(O902,3)=$W$7)),"x","")</f>
        <v/>
      </c>
      <c r="X902" s="75" t="str">
        <f>IF(OR(TH!N902=TH!$X$7,O902=TH!$X$7),"x","")</f>
        <v/>
      </c>
      <c r="Y902" s="75" t="str">
        <f>IF(AND(OR(N902="131",O902="131"),H902='131-CT'!$H$9),"x","")</f>
        <v/>
      </c>
      <c r="Z902" s="75"/>
      <c r="AA902" s="75" t="str">
        <f>IF(AND(MONTH(E902)='IN-NX'!$J$5,'IN-NX'!$D$7=D902),"x","")</f>
        <v/>
      </c>
      <c r="AB902" s="75" t="str">
        <f>IF(AND(OR(LEFT(TH!N902,2)="15",LEFT(TH!O902,2)="15"),LEFT(TH!O902,3)&lt;&gt;"111",'152-CT'!$J$8=TH!F902),"x","")</f>
        <v/>
      </c>
      <c r="AC902" s="75" t="str">
        <f>IF(AND(OR(LEFT(TH!N902,2)="15",LEFT(TH!O902,2)="15"),TK!$E$7=TH!F902),"x","")</f>
        <v/>
      </c>
      <c r="AD902" s="75" t="str">
        <f>IF(AND(N902="1521",MONTH(C902)='BK-NL'!$M$11),"x","")</f>
        <v/>
      </c>
    </row>
    <row r="903" spans="1:30" ht="16.5" customHeight="1">
      <c r="A903" s="309" t="str">
        <f>IF(B903&lt;&gt;"",IF(AND(B903='IN-TC'!$S$4,OR(TH!N903="1111",TH!O903="1111")),TH!D903,""),"")</f>
        <v/>
      </c>
      <c r="B903" s="1058">
        <f t="shared" si="151"/>
        <v>1</v>
      </c>
      <c r="C903" s="292">
        <v>42751</v>
      </c>
      <c r="D903" s="292" t="s">
        <v>1355</v>
      </c>
      <c r="E903" s="292">
        <f t="shared" si="152"/>
        <v>42751</v>
      </c>
      <c r="F903" s="67" t="s">
        <v>795</v>
      </c>
      <c r="G903" s="925" t="s">
        <v>1147</v>
      </c>
      <c r="H903" s="294" t="s">
        <v>796</v>
      </c>
      <c r="I903" s="373">
        <v>2027</v>
      </c>
      <c r="J903" s="926">
        <v>8500</v>
      </c>
      <c r="K903" s="373"/>
      <c r="L903" s="379"/>
      <c r="M903" s="927">
        <f>I903*J903</f>
        <v>17229500</v>
      </c>
      <c r="N903" s="295" t="s">
        <v>266</v>
      </c>
      <c r="O903" s="295" t="s">
        <v>8</v>
      </c>
      <c r="P903" s="75" t="str">
        <f>IF(AND('331-CT'!$E$7=TH!H903,OR(N903="331",O903="331")),"x","")</f>
        <v/>
      </c>
      <c r="Q903" s="75" t="str">
        <f>IF(AND(B903='111'!$L$11,OR($N903=$Q$7,$O903=$Q$7)),"x","")</f>
        <v/>
      </c>
      <c r="R903" s="75" t="str">
        <f>IF(AND($N903=$Q$7,$B903&lt;'111'!$L$11),"x","")</f>
        <v/>
      </c>
      <c r="S903" s="75" t="str">
        <f>IF(AND($O903=$Q$7,$B903&lt;'111'!$L$11),"x","")</f>
        <v/>
      </c>
      <c r="T903" s="75" t="str">
        <f>IF(ISERROR(FIND('112'!$M$9,G903,1)),"",IF((AND(FIND('112'!$M$9,G903,1)&gt;=1,B903='112'!$K$9,OR($N903='112'!$I$6,$O903='112'!$I$6))),"x",""))</f>
        <v/>
      </c>
      <c r="U903" s="75" t="str">
        <f>IF(ISERROR(FIND('112'!$M$9,G903,1)),"",IF((AND(LEFT(G903,2)=LEFT('112'!$M$9,2),B903&lt;'112'!$K$9,$N903='112'!$I$6)),"x",""))</f>
        <v/>
      </c>
      <c r="V903" s="75" t="str">
        <f>IF(ISERROR(FIND('112'!$M$9,G903,1)),"",IF((AND(RIGHT(G903,2)=RIGHT('112'!$M$9,2),B903&lt;'112'!$K$9,$O903='112'!$I$6)),"x",""))</f>
        <v/>
      </c>
      <c r="W903" s="75" t="str">
        <f>IF(AND('341-CT'!$H$9=H903,OR(LEFT(N903,3)=$W$7,LEFT(O903,3)=$W$7)),"x","")</f>
        <v/>
      </c>
      <c r="X903" s="75" t="str">
        <f>IF(OR(TH!N903=TH!$X$7,O903=TH!$X$7),"x","")</f>
        <v/>
      </c>
      <c r="Y903" s="75" t="str">
        <f>IF(AND(OR(N903="131",O903="131"),H903='131-CT'!$H$9),"x","")</f>
        <v/>
      </c>
      <c r="Z903" s="75"/>
      <c r="AA903" s="75" t="str">
        <f>IF(AND(MONTH(E903)='IN-NX'!$J$5,'IN-NX'!$D$7=D903),"x","")</f>
        <v/>
      </c>
      <c r="AB903" s="75" t="str">
        <f>IF(AND(OR(LEFT(TH!N903,2)="15",LEFT(TH!O903,2)="15"),LEFT(TH!O903,3)&lt;&gt;"111",'152-CT'!$J$8=TH!F903),"x","")</f>
        <v/>
      </c>
      <c r="AC903" s="75" t="str">
        <f>IF(AND(OR(LEFT(TH!N903,2)="15",LEFT(TH!O903,2)="15"),TK!$E$7=TH!F903),"x","")</f>
        <v/>
      </c>
      <c r="AD903" s="75" t="str">
        <f>IF(AND(N903="1521",MONTH(C903)='BK-NL'!$M$11),"x","")</f>
        <v/>
      </c>
    </row>
    <row r="904" spans="1:30" ht="16.5" customHeight="1">
      <c r="A904" s="309" t="str">
        <f>IF(B904&lt;&gt;"",IF(AND(B904='IN-TC'!$S$4,OR(TH!N904="1111",TH!O904="1111")),TH!D904,""),"")</f>
        <v/>
      </c>
      <c r="B904" s="1058">
        <f t="shared" si="151"/>
        <v>1</v>
      </c>
      <c r="C904" s="292">
        <v>42751</v>
      </c>
      <c r="D904" s="292" t="s">
        <v>1355</v>
      </c>
      <c r="E904" s="292">
        <f t="shared" si="152"/>
        <v>42751</v>
      </c>
      <c r="F904" s="67" t="s">
        <v>1143</v>
      </c>
      <c r="G904" s="925" t="s">
        <v>1147</v>
      </c>
      <c r="H904" s="294" t="s">
        <v>796</v>
      </c>
      <c r="I904" s="373"/>
      <c r="J904" s="926"/>
      <c r="K904" s="373"/>
      <c r="L904" s="379"/>
      <c r="M904" s="927">
        <v>1722950</v>
      </c>
      <c r="N904" s="295" t="s">
        <v>9</v>
      </c>
      <c r="O904" s="295" t="s">
        <v>8</v>
      </c>
      <c r="P904" s="75" t="str">
        <f>IF(AND('331-CT'!$E$7=TH!H904,OR(N904="331",O904="331")),"x","")</f>
        <v/>
      </c>
      <c r="Q904" s="75" t="str">
        <f>IF(AND(B904='111'!$L$11,OR($N904=$Q$7,$O904=$Q$7)),"x","")</f>
        <v/>
      </c>
      <c r="R904" s="75" t="str">
        <f>IF(AND($N904=$Q$7,$B904&lt;'111'!$L$11),"x","")</f>
        <v/>
      </c>
      <c r="S904" s="75" t="str">
        <f>IF(AND($O904=$Q$7,$B904&lt;'111'!$L$11),"x","")</f>
        <v/>
      </c>
      <c r="T904" s="75" t="str">
        <f>IF(ISERROR(FIND('112'!$M$9,G904,1)),"",IF((AND(FIND('112'!$M$9,G904,1)&gt;=1,B904='112'!$K$9,OR($N904='112'!$I$6,$O904='112'!$I$6))),"x",""))</f>
        <v/>
      </c>
      <c r="U904" s="75" t="str">
        <f>IF(ISERROR(FIND('112'!$M$9,G904,1)),"",IF((AND(LEFT(G904,2)=LEFT('112'!$M$9,2),B904&lt;'112'!$K$9,$N904='112'!$I$6)),"x",""))</f>
        <v/>
      </c>
      <c r="V904" s="75" t="str">
        <f>IF(ISERROR(FIND('112'!$M$9,G904,1)),"",IF((AND(RIGHT(G904,2)=RIGHT('112'!$M$9,2),B904&lt;'112'!$K$9,$O904='112'!$I$6)),"x",""))</f>
        <v/>
      </c>
      <c r="W904" s="75" t="str">
        <f>IF(AND('341-CT'!$H$9=H904,OR(LEFT(N904,3)=$W$7,LEFT(O904,3)=$W$7)),"x","")</f>
        <v/>
      </c>
      <c r="X904" s="75" t="str">
        <f>IF(OR(TH!N904=TH!$X$7,O904=TH!$X$7),"x","")</f>
        <v/>
      </c>
      <c r="Y904" s="75" t="str">
        <f>IF(AND(OR(N904="131",O904="131"),H904='131-CT'!$H$9),"x","")</f>
        <v/>
      </c>
      <c r="Z904" s="75"/>
      <c r="AA904" s="75" t="str">
        <f>IF(AND(MONTH(E904)='IN-NX'!$J$5,'IN-NX'!$D$7=D904),"x","")</f>
        <v/>
      </c>
      <c r="AB904" s="75" t="str">
        <f>IF(AND(OR(LEFT(TH!N904,2)="15",LEFT(TH!O904,2)="15"),LEFT(TH!O904,3)&lt;&gt;"111",'152-CT'!$J$8=TH!F904),"x","")</f>
        <v/>
      </c>
      <c r="AC904" s="75" t="str">
        <f>IF(AND(OR(LEFT(TH!N904,2)="15",LEFT(TH!O904,2)="15"),TK!$E$7=TH!F904),"x","")</f>
        <v/>
      </c>
      <c r="AD904" s="75" t="str">
        <f>IF(AND(N904="1521",MONTH(C904)='BK-NL'!$M$11),"x","")</f>
        <v/>
      </c>
    </row>
    <row r="905" spans="1:30" ht="16.5" customHeight="1">
      <c r="A905" s="309" t="str">
        <f>IF(B905&lt;&gt;"",IF(AND(B905='IN-TC'!$S$4,OR(TH!N905="1111",TH!O905="1111")),TH!D905,""),"")</f>
        <v/>
      </c>
      <c r="B905" s="1058">
        <f t="shared" si="151"/>
        <v>1</v>
      </c>
      <c r="C905" s="292">
        <v>42751</v>
      </c>
      <c r="D905" s="292" t="s">
        <v>1356</v>
      </c>
      <c r="E905" s="292">
        <f t="shared" si="152"/>
        <v>42751</v>
      </c>
      <c r="F905" s="432" t="s">
        <v>564</v>
      </c>
      <c r="G905" s="925" t="s">
        <v>849</v>
      </c>
      <c r="H905" s="67" t="s">
        <v>740</v>
      </c>
      <c r="I905" s="373">
        <v>4700</v>
      </c>
      <c r="J905" s="926">
        <v>14000</v>
      </c>
      <c r="K905" s="373"/>
      <c r="L905" s="379"/>
      <c r="M905" s="927">
        <f>I905*J905</f>
        <v>65800000</v>
      </c>
      <c r="N905" s="295" t="s">
        <v>266</v>
      </c>
      <c r="O905" s="295" t="s">
        <v>8</v>
      </c>
      <c r="P905" s="75" t="str">
        <f>IF(AND('331-CT'!$E$7=TH!H905,OR(N905="331",O905="331")),"x","")</f>
        <v/>
      </c>
      <c r="Q905" s="75" t="str">
        <f>IF(AND(B905='111'!$L$11,OR($N905=$Q$7,$O905=$Q$7)),"x","")</f>
        <v/>
      </c>
      <c r="R905" s="75" t="str">
        <f>IF(AND($N905=$Q$7,$B905&lt;'111'!$L$11),"x","")</f>
        <v/>
      </c>
      <c r="S905" s="75" t="str">
        <f>IF(AND($O905=$Q$7,$B905&lt;'111'!$L$11),"x","")</f>
        <v/>
      </c>
      <c r="T905" s="75" t="str">
        <f>IF(ISERROR(FIND('112'!$M$9,G905,1)),"",IF((AND(FIND('112'!$M$9,G905,1)&gt;=1,B905='112'!$K$9,OR($N905='112'!$I$6,$O905='112'!$I$6))),"x",""))</f>
        <v/>
      </c>
      <c r="U905" s="75" t="str">
        <f>IF(ISERROR(FIND('112'!$M$9,G905,1)),"",IF((AND(LEFT(G905,2)=LEFT('112'!$M$9,2),B905&lt;'112'!$K$9,$N905='112'!$I$6)),"x",""))</f>
        <v/>
      </c>
      <c r="V905" s="75" t="str">
        <f>IF(ISERROR(FIND('112'!$M$9,G905,1)),"",IF((AND(RIGHT(G905,2)=RIGHT('112'!$M$9,2),B905&lt;'112'!$K$9,$O905='112'!$I$6)),"x",""))</f>
        <v/>
      </c>
      <c r="W905" s="75" t="str">
        <f>IF(AND('341-CT'!$H$9=H905,OR(LEFT(N905,3)=$W$7,LEFT(O905,3)=$W$7)),"x","")</f>
        <v/>
      </c>
      <c r="X905" s="75" t="str">
        <f>IF(OR(TH!N905=TH!$X$7,O905=TH!$X$7),"x","")</f>
        <v/>
      </c>
      <c r="Y905" s="75" t="str">
        <f>IF(AND(OR(N905="131",O905="131"),H905='131-CT'!$H$9),"x","")</f>
        <v/>
      </c>
      <c r="Z905" s="75"/>
      <c r="AA905" s="75" t="str">
        <f>IF(AND(MONTH(E905)='IN-NX'!$J$5,'IN-NX'!$D$7=D905),"x","")</f>
        <v/>
      </c>
      <c r="AB905" s="75" t="str">
        <f>IF(AND(OR(LEFT(TH!N905,2)="15",LEFT(TH!O905,2)="15"),LEFT(TH!O905,3)&lt;&gt;"111",'152-CT'!$J$8=TH!F905),"x","")</f>
        <v/>
      </c>
      <c r="AC905" s="75" t="str">
        <f>IF(AND(OR(LEFT(TH!N905,2)="15",LEFT(TH!O905,2)="15"),TK!$E$7=TH!F905),"x","")</f>
        <v/>
      </c>
      <c r="AD905" s="75" t="str">
        <f>IF(AND(N905="1521",MONTH(C905)='BK-NL'!$M$11),"x","")</f>
        <v/>
      </c>
    </row>
    <row r="906" spans="1:30" ht="16.5" customHeight="1">
      <c r="A906" s="309" t="str">
        <f>IF(B906&lt;&gt;"",IF(AND(B906='IN-TC'!$S$4,OR(TH!N906="1111",TH!O906="1111")),TH!D906,""),"")</f>
        <v/>
      </c>
      <c r="B906" s="1058">
        <f t="shared" si="151"/>
        <v>1</v>
      </c>
      <c r="C906" s="292">
        <v>42751</v>
      </c>
      <c r="D906" s="292" t="s">
        <v>1356</v>
      </c>
      <c r="E906" s="292">
        <f t="shared" si="152"/>
        <v>42751</v>
      </c>
      <c r="F906" s="432" t="s">
        <v>848</v>
      </c>
      <c r="G906" s="925" t="s">
        <v>849</v>
      </c>
      <c r="H906" s="67" t="s">
        <v>740</v>
      </c>
      <c r="I906" s="373"/>
      <c r="J906" s="926"/>
      <c r="K906" s="373"/>
      <c r="L906" s="379"/>
      <c r="M906" s="927">
        <v>6580000</v>
      </c>
      <c r="N906" s="295" t="s">
        <v>9</v>
      </c>
      <c r="O906" s="295" t="s">
        <v>8</v>
      </c>
      <c r="P906" s="75" t="str">
        <f>IF(AND('331-CT'!$E$7=TH!H906,OR(N906="331",O906="331")),"x","")</f>
        <v/>
      </c>
      <c r="Q906" s="75" t="str">
        <f>IF(AND(B906='111'!$L$11,OR($N906=$Q$7,$O906=$Q$7)),"x","")</f>
        <v/>
      </c>
      <c r="R906" s="75" t="str">
        <f>IF(AND($N906=$Q$7,$B906&lt;'111'!$L$11),"x","")</f>
        <v/>
      </c>
      <c r="S906" s="75" t="str">
        <f>IF(AND($O906=$Q$7,$B906&lt;'111'!$L$11),"x","")</f>
        <v/>
      </c>
      <c r="T906" s="75" t="str">
        <f>IF(ISERROR(FIND('112'!$M$9,G906,1)),"",IF((AND(FIND('112'!$M$9,G906,1)&gt;=1,B906='112'!$K$9,OR($N906='112'!$I$6,$O906='112'!$I$6))),"x",""))</f>
        <v/>
      </c>
      <c r="U906" s="75" t="str">
        <f>IF(ISERROR(FIND('112'!$M$9,G906,1)),"",IF((AND(LEFT(G906,2)=LEFT('112'!$M$9,2),B906&lt;'112'!$K$9,$N906='112'!$I$6)),"x",""))</f>
        <v/>
      </c>
      <c r="V906" s="75" t="str">
        <f>IF(ISERROR(FIND('112'!$M$9,G906,1)),"",IF((AND(RIGHT(G906,2)=RIGHT('112'!$M$9,2),B906&lt;'112'!$K$9,$O906='112'!$I$6)),"x",""))</f>
        <v/>
      </c>
      <c r="W906" s="75" t="str">
        <f>IF(AND('341-CT'!$H$9=H906,OR(LEFT(N906,3)=$W$7,LEFT(O906,3)=$W$7)),"x","")</f>
        <v/>
      </c>
      <c r="X906" s="75" t="str">
        <f>IF(OR(TH!N906=TH!$X$7,O906=TH!$X$7),"x","")</f>
        <v/>
      </c>
      <c r="Y906" s="75" t="str">
        <f>IF(AND(OR(N906="131",O906="131"),H906='131-CT'!$H$9),"x","")</f>
        <v/>
      </c>
      <c r="Z906" s="75"/>
      <c r="AA906" s="75" t="str">
        <f>IF(AND(MONTH(E906)='IN-NX'!$J$5,'IN-NX'!$D$7=D906),"x","")</f>
        <v/>
      </c>
      <c r="AB906" s="75" t="str">
        <f>IF(AND(OR(LEFT(TH!N906,2)="15",LEFT(TH!O906,2)="15"),LEFT(TH!O906,3)&lt;&gt;"111",'152-CT'!$J$8=TH!F906),"x","")</f>
        <v/>
      </c>
      <c r="AC906" s="75" t="str">
        <f>IF(AND(OR(LEFT(TH!N906,2)="15",LEFT(TH!O906,2)="15"),TK!$E$7=TH!F906),"x","")</f>
        <v/>
      </c>
      <c r="AD906" s="75" t="str">
        <f>IF(AND(N906="1521",MONTH(C906)='BK-NL'!$M$11),"x","")</f>
        <v/>
      </c>
    </row>
    <row r="907" spans="1:30" ht="16.5" customHeight="1">
      <c r="A907" s="309" t="str">
        <f>IF(B907&lt;&gt;"",IF(AND(B907='IN-TC'!$S$4,OR(TH!N907="1111",TH!O907="1111")),TH!D907,""),"")</f>
        <v/>
      </c>
      <c r="B907" s="1058">
        <f t="shared" si="151"/>
        <v>1</v>
      </c>
      <c r="C907" s="292">
        <v>42753</v>
      </c>
      <c r="D907" s="292" t="s">
        <v>1357</v>
      </c>
      <c r="E907" s="292">
        <f t="shared" si="152"/>
        <v>42753</v>
      </c>
      <c r="F907" s="67" t="s">
        <v>795</v>
      </c>
      <c r="G907" s="925" t="s">
        <v>1148</v>
      </c>
      <c r="H907" s="294" t="s">
        <v>796</v>
      </c>
      <c r="I907" s="373">
        <v>2022</v>
      </c>
      <c r="J907" s="926">
        <v>8500</v>
      </c>
      <c r="K907" s="373"/>
      <c r="L907" s="379"/>
      <c r="M907" s="927">
        <f>I907*J907</f>
        <v>17187000</v>
      </c>
      <c r="N907" s="295" t="s">
        <v>266</v>
      </c>
      <c r="O907" s="295" t="s">
        <v>8</v>
      </c>
      <c r="P907" s="75" t="str">
        <f>IF(AND('331-CT'!$E$7=TH!H907,OR(N907="331",O907="331")),"x","")</f>
        <v/>
      </c>
      <c r="Q907" s="75" t="str">
        <f>IF(AND(B907='111'!$L$11,OR($N907=$Q$7,$O907=$Q$7)),"x","")</f>
        <v/>
      </c>
      <c r="R907" s="75" t="str">
        <f>IF(AND($N907=$Q$7,$B907&lt;'111'!$L$11),"x","")</f>
        <v/>
      </c>
      <c r="S907" s="75" t="str">
        <f>IF(AND($O907=$Q$7,$B907&lt;'111'!$L$11),"x","")</f>
        <v/>
      </c>
      <c r="T907" s="75" t="str">
        <f>IF(ISERROR(FIND('112'!$M$9,G907,1)),"",IF((AND(FIND('112'!$M$9,G907,1)&gt;=1,B907='112'!$K$9,OR($N907='112'!$I$6,$O907='112'!$I$6))),"x",""))</f>
        <v/>
      </c>
      <c r="U907" s="75" t="str">
        <f>IF(ISERROR(FIND('112'!$M$9,G907,1)),"",IF((AND(LEFT(G907,2)=LEFT('112'!$M$9,2),B907&lt;'112'!$K$9,$N907='112'!$I$6)),"x",""))</f>
        <v/>
      </c>
      <c r="V907" s="75" t="str">
        <f>IF(ISERROR(FIND('112'!$M$9,G907,1)),"",IF((AND(RIGHT(G907,2)=RIGHT('112'!$M$9,2),B907&lt;'112'!$K$9,$O907='112'!$I$6)),"x",""))</f>
        <v/>
      </c>
      <c r="W907" s="75" t="str">
        <f>IF(AND('341-CT'!$H$9=H907,OR(LEFT(N907,3)=$W$7,LEFT(O907,3)=$W$7)),"x","")</f>
        <v/>
      </c>
      <c r="X907" s="75" t="str">
        <f>IF(OR(TH!N907=TH!$X$7,O907=TH!$X$7),"x","")</f>
        <v/>
      </c>
      <c r="Y907" s="75" t="str">
        <f>IF(AND(OR(N907="131",O907="131"),H907='131-CT'!$H$9),"x","")</f>
        <v/>
      </c>
      <c r="Z907" s="75"/>
      <c r="AA907" s="75" t="str">
        <f>IF(AND(MONTH(E907)='IN-NX'!$J$5,'IN-NX'!$D$7=D907),"x","")</f>
        <v/>
      </c>
      <c r="AB907" s="75" t="str">
        <f>IF(AND(OR(LEFT(TH!N907,2)="15",LEFT(TH!O907,2)="15"),LEFT(TH!O907,3)&lt;&gt;"111",'152-CT'!$J$8=TH!F907),"x","")</f>
        <v/>
      </c>
      <c r="AC907" s="75" t="str">
        <f>IF(AND(OR(LEFT(TH!N907,2)="15",LEFT(TH!O907,2)="15"),TK!$E$7=TH!F907),"x","")</f>
        <v/>
      </c>
      <c r="AD907" s="75" t="str">
        <f>IF(AND(N907="1521",MONTH(C907)='BK-NL'!$M$11),"x","")</f>
        <v/>
      </c>
    </row>
    <row r="908" spans="1:30" ht="16.5" customHeight="1">
      <c r="A908" s="309" t="str">
        <f>IF(B908&lt;&gt;"",IF(AND(B908='IN-TC'!$S$4,OR(TH!N908="1111",TH!O908="1111")),TH!D908,""),"")</f>
        <v/>
      </c>
      <c r="B908" s="1058">
        <f t="shared" si="151"/>
        <v>1</v>
      </c>
      <c r="C908" s="292">
        <v>42753</v>
      </c>
      <c r="D908" s="292" t="s">
        <v>1357</v>
      </c>
      <c r="E908" s="292">
        <f t="shared" si="152"/>
        <v>42753</v>
      </c>
      <c r="F908" s="67" t="s">
        <v>1143</v>
      </c>
      <c r="G908" s="925" t="s">
        <v>1148</v>
      </c>
      <c r="H908" s="294" t="s">
        <v>796</v>
      </c>
      <c r="I908" s="373"/>
      <c r="J908" s="926"/>
      <c r="K908" s="373"/>
      <c r="L908" s="379"/>
      <c r="M908" s="927">
        <v>1718700</v>
      </c>
      <c r="N908" s="295" t="s">
        <v>9</v>
      </c>
      <c r="O908" s="295" t="s">
        <v>8</v>
      </c>
      <c r="P908" s="75" t="str">
        <f>IF(AND('331-CT'!$E$7=TH!H908,OR(N908="331",O908="331")),"x","")</f>
        <v/>
      </c>
      <c r="Q908" s="75" t="str">
        <f>IF(AND(B908='111'!$L$11,OR($N908=$Q$7,$O908=$Q$7)),"x","")</f>
        <v/>
      </c>
      <c r="R908" s="75" t="str">
        <f>IF(AND($N908=$Q$7,$B908&lt;'111'!$L$11),"x","")</f>
        <v/>
      </c>
      <c r="S908" s="75" t="str">
        <f>IF(AND($O908=$Q$7,$B908&lt;'111'!$L$11),"x","")</f>
        <v/>
      </c>
      <c r="T908" s="75" t="str">
        <f>IF(ISERROR(FIND('112'!$M$9,G908,1)),"",IF((AND(FIND('112'!$M$9,G908,1)&gt;=1,B908='112'!$K$9,OR($N908='112'!$I$6,$O908='112'!$I$6))),"x",""))</f>
        <v/>
      </c>
      <c r="U908" s="75" t="str">
        <f>IF(ISERROR(FIND('112'!$M$9,G908,1)),"",IF((AND(LEFT(G908,2)=LEFT('112'!$M$9,2),B908&lt;'112'!$K$9,$N908='112'!$I$6)),"x",""))</f>
        <v/>
      </c>
      <c r="V908" s="75" t="str">
        <f>IF(ISERROR(FIND('112'!$M$9,G908,1)),"",IF((AND(RIGHT(G908,2)=RIGHT('112'!$M$9,2),B908&lt;'112'!$K$9,$O908='112'!$I$6)),"x",""))</f>
        <v/>
      </c>
      <c r="W908" s="75" t="str">
        <f>IF(AND('341-CT'!$H$9=H908,OR(LEFT(N908,3)=$W$7,LEFT(O908,3)=$W$7)),"x","")</f>
        <v/>
      </c>
      <c r="X908" s="75" t="str">
        <f>IF(OR(TH!N908=TH!$X$7,O908=TH!$X$7),"x","")</f>
        <v/>
      </c>
      <c r="Y908" s="75" t="str">
        <f>IF(AND(OR(N908="131",O908="131"),H908='131-CT'!$H$9),"x","")</f>
        <v/>
      </c>
      <c r="Z908" s="75"/>
      <c r="AA908" s="75" t="str">
        <f>IF(AND(MONTH(E908)='IN-NX'!$J$5,'IN-NX'!$D$7=D908),"x","")</f>
        <v/>
      </c>
      <c r="AB908" s="75" t="str">
        <f>IF(AND(OR(LEFT(TH!N908,2)="15",LEFT(TH!O908,2)="15"),LEFT(TH!O908,3)&lt;&gt;"111",'152-CT'!$J$8=TH!F908),"x","")</f>
        <v/>
      </c>
      <c r="AC908" s="75" t="str">
        <f>IF(AND(OR(LEFT(TH!N908,2)="15",LEFT(TH!O908,2)="15"),TK!$E$7=TH!F908),"x","")</f>
        <v/>
      </c>
      <c r="AD908" s="75" t="str">
        <f>IF(AND(N908="1521",MONTH(C908)='BK-NL'!$M$11),"x","")</f>
        <v/>
      </c>
    </row>
    <row r="909" spans="1:30" ht="16.5" customHeight="1">
      <c r="A909" s="309" t="str">
        <f>IF(B909&lt;&gt;"",IF(AND(B909='IN-TC'!$S$4,OR(TH!N909="1111",TH!O909="1111")),TH!D909,""),"")</f>
        <v/>
      </c>
      <c r="B909" s="1058">
        <f t="shared" si="151"/>
        <v>1</v>
      </c>
      <c r="C909" s="292">
        <v>42755</v>
      </c>
      <c r="D909" s="292" t="s">
        <v>1358</v>
      </c>
      <c r="E909" s="292">
        <f t="shared" si="152"/>
        <v>42755</v>
      </c>
      <c r="F909" s="432" t="s">
        <v>368</v>
      </c>
      <c r="G909" s="925" t="s">
        <v>868</v>
      </c>
      <c r="H909" s="311" t="s">
        <v>558</v>
      </c>
      <c r="I909" s="373">
        <v>279</v>
      </c>
      <c r="J909" s="926">
        <v>6000</v>
      </c>
      <c r="K909" s="373"/>
      <c r="L909" s="379"/>
      <c r="M909" s="927">
        <f>I909*J909</f>
        <v>1674000</v>
      </c>
      <c r="N909" s="295" t="s">
        <v>266</v>
      </c>
      <c r="O909" s="295" t="s">
        <v>8</v>
      </c>
      <c r="P909" s="75" t="str">
        <f>IF(AND('331-CT'!$E$7=TH!H909,OR(N909="331",O909="331")),"x","")</f>
        <v/>
      </c>
      <c r="Q909" s="75" t="str">
        <f>IF(AND(B909='111'!$L$11,OR($N909=$Q$7,$O909=$Q$7)),"x","")</f>
        <v/>
      </c>
      <c r="R909" s="75" t="str">
        <f>IF(AND($N909=$Q$7,$B909&lt;'111'!$L$11),"x","")</f>
        <v/>
      </c>
      <c r="S909" s="75" t="str">
        <f>IF(AND($O909=$Q$7,$B909&lt;'111'!$L$11),"x","")</f>
        <v/>
      </c>
      <c r="T909" s="75" t="str">
        <f>IF(ISERROR(FIND('112'!$M$9,G909,1)),"",IF((AND(FIND('112'!$M$9,G909,1)&gt;=1,B909='112'!$K$9,OR($N909='112'!$I$6,$O909='112'!$I$6))),"x",""))</f>
        <v/>
      </c>
      <c r="U909" s="75" t="str">
        <f>IF(ISERROR(FIND('112'!$M$9,G909,1)),"",IF((AND(LEFT(G909,2)=LEFT('112'!$M$9,2),B909&lt;'112'!$K$9,$N909='112'!$I$6)),"x",""))</f>
        <v/>
      </c>
      <c r="V909" s="75" t="str">
        <f>IF(ISERROR(FIND('112'!$M$9,G909,1)),"",IF((AND(RIGHT(G909,2)=RIGHT('112'!$M$9,2),B909&lt;'112'!$K$9,$O909='112'!$I$6)),"x",""))</f>
        <v/>
      </c>
      <c r="W909" s="75" t="str">
        <f>IF(AND('341-CT'!$H$9=H909,OR(LEFT(N909,3)=$W$7,LEFT(O909,3)=$W$7)),"x","")</f>
        <v/>
      </c>
      <c r="X909" s="75" t="str">
        <f>IF(OR(TH!N909=TH!$X$7,O909=TH!$X$7),"x","")</f>
        <v/>
      </c>
      <c r="Y909" s="75" t="str">
        <f>IF(AND(OR(N909="131",O909="131"),H909='131-CT'!$H$9),"x","")</f>
        <v/>
      </c>
      <c r="Z909" s="75"/>
      <c r="AA909" s="75" t="str">
        <f>IF(AND(MONTH(E909)='IN-NX'!$J$5,'IN-NX'!$D$7=D909),"x","")</f>
        <v/>
      </c>
      <c r="AB909" s="75" t="str">
        <f>IF(AND(OR(LEFT(TH!N909,2)="15",LEFT(TH!O909,2)="15"),LEFT(TH!O909,3)&lt;&gt;"111",'152-CT'!$J$8=TH!F909),"x","")</f>
        <v/>
      </c>
      <c r="AC909" s="75" t="str">
        <f>IF(AND(OR(LEFT(TH!N909,2)="15",LEFT(TH!O909,2)="15"),TK!$E$7=TH!F909),"x","")</f>
        <v/>
      </c>
      <c r="AD909" s="75" t="str">
        <f>IF(AND(N909="1521",MONTH(C909)='BK-NL'!$M$11),"x","")</f>
        <v/>
      </c>
    </row>
    <row r="910" spans="1:30" ht="16.5" customHeight="1">
      <c r="A910" s="309" t="str">
        <f>IF(B910&lt;&gt;"",IF(AND(B910='IN-TC'!$S$4,OR(TH!N910="1111",TH!O910="1111")),TH!D910,""),"")</f>
        <v/>
      </c>
      <c r="B910" s="1058">
        <f t="shared" si="151"/>
        <v>1</v>
      </c>
      <c r="C910" s="292">
        <v>42755</v>
      </c>
      <c r="D910" s="292" t="s">
        <v>1358</v>
      </c>
      <c r="E910" s="292">
        <f t="shared" si="152"/>
        <v>42755</v>
      </c>
      <c r="F910" s="67" t="s">
        <v>832</v>
      </c>
      <c r="G910" s="925" t="s">
        <v>868</v>
      </c>
      <c r="H910" s="311" t="s">
        <v>558</v>
      </c>
      <c r="I910" s="373"/>
      <c r="J910" s="926"/>
      <c r="K910" s="373"/>
      <c r="L910" s="379"/>
      <c r="M910" s="927">
        <v>167400</v>
      </c>
      <c r="N910" s="295" t="s">
        <v>9</v>
      </c>
      <c r="O910" s="295" t="s">
        <v>8</v>
      </c>
      <c r="P910" s="75" t="str">
        <f>IF(AND('331-CT'!$E$7=TH!H910,OR(N910="331",O910="331")),"x","")</f>
        <v/>
      </c>
      <c r="Q910" s="75" t="str">
        <f>IF(AND(B910='111'!$L$11,OR($N910=$Q$7,$O910=$Q$7)),"x","")</f>
        <v/>
      </c>
      <c r="R910" s="75" t="str">
        <f>IF(AND($N910=$Q$7,$B910&lt;'111'!$L$11),"x","")</f>
        <v/>
      </c>
      <c r="S910" s="75" t="str">
        <f>IF(AND($O910=$Q$7,$B910&lt;'111'!$L$11),"x","")</f>
        <v/>
      </c>
      <c r="T910" s="75" t="str">
        <f>IF(ISERROR(FIND('112'!$M$9,G910,1)),"",IF((AND(FIND('112'!$M$9,G910,1)&gt;=1,B910='112'!$K$9,OR($N910='112'!$I$6,$O910='112'!$I$6))),"x",""))</f>
        <v/>
      </c>
      <c r="U910" s="75" t="str">
        <f>IF(ISERROR(FIND('112'!$M$9,G910,1)),"",IF((AND(LEFT(G910,2)=LEFT('112'!$M$9,2),B910&lt;'112'!$K$9,$N910='112'!$I$6)),"x",""))</f>
        <v/>
      </c>
      <c r="V910" s="75" t="str">
        <f>IF(ISERROR(FIND('112'!$M$9,G910,1)),"",IF((AND(RIGHT(G910,2)=RIGHT('112'!$M$9,2),B910&lt;'112'!$K$9,$O910='112'!$I$6)),"x",""))</f>
        <v/>
      </c>
      <c r="W910" s="75" t="str">
        <f>IF(AND('341-CT'!$H$9=H910,OR(LEFT(N910,3)=$W$7,LEFT(O910,3)=$W$7)),"x","")</f>
        <v/>
      </c>
      <c r="X910" s="75" t="str">
        <f>IF(OR(TH!N910=TH!$X$7,O910=TH!$X$7),"x","")</f>
        <v/>
      </c>
      <c r="Y910" s="75" t="str">
        <f>IF(AND(OR(N910="131",O910="131"),H910='131-CT'!$H$9),"x","")</f>
        <v/>
      </c>
      <c r="Z910" s="75"/>
      <c r="AA910" s="75" t="str">
        <f>IF(AND(MONTH(E910)='IN-NX'!$J$5,'IN-NX'!$D$7=D910),"x","")</f>
        <v/>
      </c>
      <c r="AB910" s="75" t="str">
        <f>IF(AND(OR(LEFT(TH!N910,2)="15",LEFT(TH!O910,2)="15"),LEFT(TH!O910,3)&lt;&gt;"111",'152-CT'!$J$8=TH!F910),"x","")</f>
        <v/>
      </c>
      <c r="AC910" s="75" t="str">
        <f>IF(AND(OR(LEFT(TH!N910,2)="15",LEFT(TH!O910,2)="15"),TK!$E$7=TH!F910),"x","")</f>
        <v/>
      </c>
      <c r="AD910" s="75" t="str">
        <f>IF(AND(N910="1521",MONTH(C910)='BK-NL'!$M$11),"x","")</f>
        <v/>
      </c>
    </row>
    <row r="911" spans="1:30" ht="16.5" customHeight="1">
      <c r="A911" s="309" t="str">
        <f>IF(B911&lt;&gt;"",IF(AND(B911='IN-TC'!$S$4,OR(TH!N911="1111",TH!O911="1111")),TH!D911,""),"")</f>
        <v/>
      </c>
      <c r="B911" s="1058">
        <f t="shared" ref="B911:B917" si="153">IF(C911&lt;&gt;"",MONTH(C911),"")</f>
        <v>1</v>
      </c>
      <c r="C911" s="929">
        <f>E911</f>
        <v>42740</v>
      </c>
      <c r="D911" s="929" t="s">
        <v>2951</v>
      </c>
      <c r="E911" s="929">
        <v>42740</v>
      </c>
      <c r="F911" s="1082" t="s">
        <v>327</v>
      </c>
      <c r="G911" s="931"/>
      <c r="H911" s="735" t="s">
        <v>424</v>
      </c>
      <c r="I911" s="371">
        <v>150</v>
      </c>
      <c r="J911" s="377">
        <v>32200</v>
      </c>
      <c r="K911" s="371"/>
      <c r="L911" s="377"/>
      <c r="M911" s="933">
        <f t="shared" ref="M911:M962" si="154">ROUND(I911*J911,0)</f>
        <v>4830000</v>
      </c>
      <c r="N911" s="934" t="s">
        <v>272</v>
      </c>
      <c r="O911" s="934" t="s">
        <v>266</v>
      </c>
      <c r="P911" s="75" t="str">
        <f>IF(AND('331-CT'!$E$7=TH!H911,OR(N911="331",O911="331")),"x","")</f>
        <v/>
      </c>
      <c r="Q911" s="75" t="str">
        <f>IF(AND(B911='111'!$L$11,OR($N911=$Q$7,$O911=$Q$7)),"x","")</f>
        <v/>
      </c>
      <c r="R911" s="75" t="str">
        <f>IF(AND($N911=$Q$7,$B911&lt;'111'!$L$11),"x","")</f>
        <v/>
      </c>
      <c r="S911" s="75" t="str">
        <f>IF(AND($O911=$Q$7,$B911&lt;'111'!$L$11),"x","")</f>
        <v/>
      </c>
      <c r="T911" s="75" t="str">
        <f>IF(ISERROR(FIND('112'!$M$9,G911,1)),"",IF((AND(FIND('112'!$M$9,G911,1)&gt;=1,B911='112'!$K$9,OR($N911='112'!$I$6,$O911='112'!$I$6))),"x",""))</f>
        <v/>
      </c>
      <c r="U911" s="75" t="str">
        <f>IF(ISERROR(FIND('112'!$M$9,G911,1)),"",IF((AND(LEFT(G911,2)=LEFT('112'!$M$9,2),B911&lt;'112'!$K$9,$N911='112'!$I$6)),"x",""))</f>
        <v/>
      </c>
      <c r="V911" s="75" t="str">
        <f>IF(ISERROR(FIND('112'!$M$9,G911,1)),"",IF((AND(RIGHT(G911,2)=RIGHT('112'!$M$9,2),B911&lt;'112'!$K$9,$O911='112'!$I$6)),"x",""))</f>
        <v/>
      </c>
      <c r="W911" s="75" t="str">
        <f>IF(AND('341-CT'!$H$9=H911,OR(LEFT(N911,3)=$W$7,LEFT(O911,3)=$W$7)),"x","")</f>
        <v/>
      </c>
      <c r="X911" s="75" t="str">
        <f>IF(OR(TH!N911=TH!$X$7,O911=TH!$X$7),"x","")</f>
        <v/>
      </c>
      <c r="Y911" s="75" t="str">
        <f>IF(AND(OR(N911="131",O911="131"),H911='131-CT'!$H$9),"x","")</f>
        <v/>
      </c>
      <c r="Z911" s="75"/>
      <c r="AA911" s="75" t="str">
        <f>IF(AND(MONTH(E911)='IN-NX'!$J$5,'IN-NX'!$D$7=D911),"x","")</f>
        <v/>
      </c>
      <c r="AB911" s="75" t="str">
        <f>IF(AND(OR(LEFT(TH!N911,2)="15",LEFT(TH!O911,2)="15"),LEFT(TH!O911,3)&lt;&gt;"111",'152-CT'!$J$8=TH!F911),"x","")</f>
        <v/>
      </c>
      <c r="AC911" s="75" t="str">
        <f>IF(AND(OR(LEFT(TH!N911,2)="15",LEFT(TH!O911,2)="15"),TK!$E$7=TH!F911),"x","")</f>
        <v/>
      </c>
      <c r="AD911" s="75" t="str">
        <f>IF(AND(N911="1521",MONTH(C911)='BK-NL'!$M$11),"x","")</f>
        <v/>
      </c>
    </row>
    <row r="912" spans="1:30" ht="16.5" customHeight="1">
      <c r="A912" s="309" t="str">
        <f>IF(B912&lt;&gt;"",IF(AND(B912='IN-TC'!$S$4,OR(TH!N912="1111",TH!O912="1111")),TH!D912,""),"")</f>
        <v/>
      </c>
      <c r="B912" s="1058">
        <f t="shared" si="153"/>
        <v>1</v>
      </c>
      <c r="C912" s="929">
        <f t="shared" ref="C912:C917" si="155">E912</f>
        <v>42740</v>
      </c>
      <c r="D912" s="929" t="s">
        <v>2951</v>
      </c>
      <c r="E912" s="929">
        <v>42740</v>
      </c>
      <c r="F912" s="1082" t="s">
        <v>333</v>
      </c>
      <c r="G912" s="931"/>
      <c r="H912" s="735" t="s">
        <v>424</v>
      </c>
      <c r="I912" s="371">
        <v>135</v>
      </c>
      <c r="J912" s="377">
        <v>49027</v>
      </c>
      <c r="K912" s="371"/>
      <c r="L912" s="377"/>
      <c r="M912" s="933">
        <f t="shared" si="154"/>
        <v>6618645</v>
      </c>
      <c r="N912" s="934" t="s">
        <v>272</v>
      </c>
      <c r="O912" s="934" t="s">
        <v>266</v>
      </c>
      <c r="P912" s="75" t="str">
        <f>IF(AND('331-CT'!$E$7=TH!H912,OR(N912="331",O912="331")),"x","")</f>
        <v/>
      </c>
      <c r="Q912" s="75" t="str">
        <f>IF(AND(B912='111'!$L$11,OR($N912=$Q$7,$O912=$Q$7)),"x","")</f>
        <v/>
      </c>
      <c r="R912" s="75" t="str">
        <f>IF(AND($N912=$Q$7,$B912&lt;'111'!$L$11),"x","")</f>
        <v/>
      </c>
      <c r="S912" s="75" t="str">
        <f>IF(AND($O912=$Q$7,$B912&lt;'111'!$L$11),"x","")</f>
        <v/>
      </c>
      <c r="T912" s="75" t="str">
        <f>IF(ISERROR(FIND('112'!$M$9,G912,1)),"",IF((AND(FIND('112'!$M$9,G912,1)&gt;=1,B912='112'!$K$9,OR($N912='112'!$I$6,$O912='112'!$I$6))),"x",""))</f>
        <v/>
      </c>
      <c r="U912" s="75" t="str">
        <f>IF(ISERROR(FIND('112'!$M$9,G912,1)),"",IF((AND(LEFT(G912,2)=LEFT('112'!$M$9,2),B912&lt;'112'!$K$9,$N912='112'!$I$6)),"x",""))</f>
        <v/>
      </c>
      <c r="V912" s="75" t="str">
        <f>IF(ISERROR(FIND('112'!$M$9,G912,1)),"",IF((AND(RIGHT(G912,2)=RIGHT('112'!$M$9,2),B912&lt;'112'!$K$9,$O912='112'!$I$6)),"x",""))</f>
        <v/>
      </c>
      <c r="W912" s="75" t="str">
        <f>IF(AND('341-CT'!$H$9=H912,OR(LEFT(N912,3)=$W$7,LEFT(O912,3)=$W$7)),"x","")</f>
        <v/>
      </c>
      <c r="X912" s="75" t="str">
        <f>IF(OR(TH!N912=TH!$X$7,O912=TH!$X$7),"x","")</f>
        <v/>
      </c>
      <c r="Y912" s="75" t="str">
        <f>IF(AND(OR(N912="131",O912="131"),H912='131-CT'!$H$9),"x","")</f>
        <v/>
      </c>
      <c r="Z912" s="75"/>
      <c r="AA912" s="75" t="str">
        <f>IF(AND(MONTH(E912)='IN-NX'!$J$5,'IN-NX'!$D$7=D912),"x","")</f>
        <v/>
      </c>
      <c r="AB912" s="75" t="str">
        <f>IF(AND(OR(LEFT(TH!N912,2)="15",LEFT(TH!O912,2)="15"),LEFT(TH!O912,3)&lt;&gt;"111",'152-CT'!$J$8=TH!F912),"x","")</f>
        <v/>
      </c>
      <c r="AC912" s="75" t="str">
        <f>IF(AND(OR(LEFT(TH!N912,2)="15",LEFT(TH!O912,2)="15"),TK!$E$7=TH!F912),"x","")</f>
        <v/>
      </c>
      <c r="AD912" s="75" t="str">
        <f>IF(AND(N912="1521",MONTH(C912)='BK-NL'!$M$11),"x","")</f>
        <v/>
      </c>
    </row>
    <row r="913" spans="1:30" ht="16.5" customHeight="1">
      <c r="A913" s="309" t="str">
        <f>IF(B913&lt;&gt;"",IF(AND(B913='IN-TC'!$S$4,OR(TH!N913="1111",TH!O913="1111")),TH!D913,""),"")</f>
        <v/>
      </c>
      <c r="B913" s="1058">
        <f t="shared" si="153"/>
        <v>1</v>
      </c>
      <c r="C913" s="929">
        <f t="shared" si="155"/>
        <v>42740</v>
      </c>
      <c r="D913" s="929" t="s">
        <v>2951</v>
      </c>
      <c r="E913" s="929">
        <v>42740</v>
      </c>
      <c r="F913" s="296" t="s">
        <v>336</v>
      </c>
      <c r="G913" s="931"/>
      <c r="H913" s="735" t="s">
        <v>424</v>
      </c>
      <c r="I913" s="371">
        <v>420</v>
      </c>
      <c r="J913" s="377">
        <v>15836.734761904761</v>
      </c>
      <c r="K913" s="371"/>
      <c r="L913" s="377"/>
      <c r="M913" s="933">
        <f t="shared" si="154"/>
        <v>6651429</v>
      </c>
      <c r="N913" s="934" t="s">
        <v>272</v>
      </c>
      <c r="O913" s="934" t="s">
        <v>266</v>
      </c>
      <c r="P913" s="75" t="str">
        <f>IF(AND('331-CT'!$E$7=TH!H913,OR(N913="331",O913="331")),"x","")</f>
        <v/>
      </c>
      <c r="Q913" s="75" t="str">
        <f>IF(AND(B913='111'!$L$11,OR($N913=$Q$7,$O913=$Q$7)),"x","")</f>
        <v/>
      </c>
      <c r="R913" s="75" t="str">
        <f>IF(AND($N913=$Q$7,$B913&lt;'111'!$L$11),"x","")</f>
        <v/>
      </c>
      <c r="S913" s="75" t="str">
        <f>IF(AND($O913=$Q$7,$B913&lt;'111'!$L$11),"x","")</f>
        <v/>
      </c>
      <c r="T913" s="75" t="str">
        <f>IF(ISERROR(FIND('112'!$M$9,G913,1)),"",IF((AND(FIND('112'!$M$9,G913,1)&gt;=1,B913='112'!$K$9,OR($N913='112'!$I$6,$O913='112'!$I$6))),"x",""))</f>
        <v/>
      </c>
      <c r="U913" s="75" t="str">
        <f>IF(ISERROR(FIND('112'!$M$9,G913,1)),"",IF((AND(LEFT(G913,2)=LEFT('112'!$M$9,2),B913&lt;'112'!$K$9,$N913='112'!$I$6)),"x",""))</f>
        <v/>
      </c>
      <c r="V913" s="75" t="str">
        <f>IF(ISERROR(FIND('112'!$M$9,G913,1)),"",IF((AND(RIGHT(G913,2)=RIGHT('112'!$M$9,2),B913&lt;'112'!$K$9,$O913='112'!$I$6)),"x",""))</f>
        <v/>
      </c>
      <c r="W913" s="75" t="str">
        <f>IF(AND('341-CT'!$H$9=H913,OR(LEFT(N913,3)=$W$7,LEFT(O913,3)=$W$7)),"x","")</f>
        <v/>
      </c>
      <c r="X913" s="75" t="str">
        <f>IF(OR(TH!N913=TH!$X$7,O913=TH!$X$7),"x","")</f>
        <v/>
      </c>
      <c r="Y913" s="75" t="str">
        <f>IF(AND(OR(N913="131",O913="131"),H913='131-CT'!$H$9),"x","")</f>
        <v/>
      </c>
      <c r="Z913" s="75"/>
      <c r="AA913" s="75" t="str">
        <f>IF(AND(MONTH(E913)='IN-NX'!$J$5,'IN-NX'!$D$7=D913),"x","")</f>
        <v/>
      </c>
      <c r="AB913" s="75" t="str">
        <f>IF(AND(OR(LEFT(TH!N913,2)="15",LEFT(TH!O913,2)="15"),LEFT(TH!O913,3)&lt;&gt;"111",'152-CT'!$J$8=TH!F913),"x","")</f>
        <v/>
      </c>
      <c r="AC913" s="75" t="str">
        <f>IF(AND(OR(LEFT(TH!N913,2)="15",LEFT(TH!O913,2)="15"),TK!$E$7=TH!F913),"x","")</f>
        <v>x</v>
      </c>
      <c r="AD913" s="75" t="str">
        <f>IF(AND(N913="1521",MONTH(C913)='BK-NL'!$M$11),"x","")</f>
        <v/>
      </c>
    </row>
    <row r="914" spans="1:30" ht="16.5" customHeight="1">
      <c r="A914" s="309" t="str">
        <f>IF(B914&lt;&gt;"",IF(AND(B914='IN-TC'!$S$4,OR(TH!N914="1111",TH!O914="1111")),TH!D914,""),"")</f>
        <v/>
      </c>
      <c r="B914" s="1058">
        <f t="shared" si="153"/>
        <v>1</v>
      </c>
      <c r="C914" s="929">
        <f t="shared" si="155"/>
        <v>42740</v>
      </c>
      <c r="D914" s="929" t="s">
        <v>2951</v>
      </c>
      <c r="E914" s="929">
        <v>42740</v>
      </c>
      <c r="F914" s="296" t="s">
        <v>804</v>
      </c>
      <c r="G914" s="931"/>
      <c r="H914" s="735" t="s">
        <v>424</v>
      </c>
      <c r="I914" s="371">
        <v>40</v>
      </c>
      <c r="J914" s="377">
        <v>53000</v>
      </c>
      <c r="K914" s="371"/>
      <c r="L914" s="377"/>
      <c r="M914" s="933">
        <f t="shared" si="154"/>
        <v>2120000</v>
      </c>
      <c r="N914" s="934" t="s">
        <v>272</v>
      </c>
      <c r="O914" s="934" t="s">
        <v>266</v>
      </c>
      <c r="P914" s="75" t="str">
        <f>IF(AND('331-CT'!$E$7=TH!H914,OR(N914="331",O914="331")),"x","")</f>
        <v/>
      </c>
      <c r="Q914" s="75" t="str">
        <f>IF(AND(B914='111'!$L$11,OR($N914=$Q$7,$O914=$Q$7)),"x","")</f>
        <v/>
      </c>
      <c r="R914" s="75" t="str">
        <f>IF(AND($N914=$Q$7,$B914&lt;'111'!$L$11),"x","")</f>
        <v/>
      </c>
      <c r="S914" s="75" t="str">
        <f>IF(AND($O914=$Q$7,$B914&lt;'111'!$L$11),"x","")</f>
        <v/>
      </c>
      <c r="T914" s="75" t="str">
        <f>IF(ISERROR(FIND('112'!$M$9,G914,1)),"",IF((AND(FIND('112'!$M$9,G914,1)&gt;=1,B914='112'!$K$9,OR($N914='112'!$I$6,$O914='112'!$I$6))),"x",""))</f>
        <v/>
      </c>
      <c r="U914" s="75" t="str">
        <f>IF(ISERROR(FIND('112'!$M$9,G914,1)),"",IF((AND(LEFT(G914,2)=LEFT('112'!$M$9,2),B914&lt;'112'!$K$9,$N914='112'!$I$6)),"x",""))</f>
        <v/>
      </c>
      <c r="V914" s="75" t="str">
        <f>IF(ISERROR(FIND('112'!$M$9,G914,1)),"",IF((AND(RIGHT(G914,2)=RIGHT('112'!$M$9,2),B914&lt;'112'!$K$9,$O914='112'!$I$6)),"x",""))</f>
        <v/>
      </c>
      <c r="W914" s="75" t="str">
        <f>IF(AND('341-CT'!$H$9=H914,OR(LEFT(N914,3)=$W$7,LEFT(O914,3)=$W$7)),"x","")</f>
        <v/>
      </c>
      <c r="X914" s="75" t="str">
        <f>IF(OR(TH!N914=TH!$X$7,O914=TH!$X$7),"x","")</f>
        <v/>
      </c>
      <c r="Y914" s="75" t="str">
        <f>IF(AND(OR(N914="131",O914="131"),H914='131-CT'!$H$9),"x","")</f>
        <v/>
      </c>
      <c r="Z914" s="75"/>
      <c r="AA914" s="75" t="str">
        <f>IF(AND(MONTH(E914)='IN-NX'!$J$5,'IN-NX'!$D$7=D914),"x","")</f>
        <v/>
      </c>
      <c r="AB914" s="75" t="str">
        <f>IF(AND(OR(LEFT(TH!N914,2)="15",LEFT(TH!O914,2)="15"),LEFT(TH!O914,3)&lt;&gt;"111",'152-CT'!$J$8=TH!F914),"x","")</f>
        <v/>
      </c>
      <c r="AC914" s="75" t="str">
        <f>IF(AND(OR(LEFT(TH!N914,2)="15",LEFT(TH!O914,2)="15"),TK!$E$7=TH!F914),"x","")</f>
        <v/>
      </c>
      <c r="AD914" s="75" t="str">
        <f>IF(AND(N914="1521",MONTH(C914)='BK-NL'!$M$11),"x","")</f>
        <v/>
      </c>
    </row>
    <row r="915" spans="1:30" ht="16.5" customHeight="1">
      <c r="A915" s="309" t="str">
        <f>IF(B915&lt;&gt;"",IF(AND(B915='IN-TC'!$S$4,OR(TH!N915="1111",TH!O915="1111")),TH!D915,""),"")</f>
        <v/>
      </c>
      <c r="B915" s="1058">
        <f t="shared" si="153"/>
        <v>1</v>
      </c>
      <c r="C915" s="929">
        <f t="shared" si="155"/>
        <v>42740</v>
      </c>
      <c r="D915" s="929" t="s">
        <v>2951</v>
      </c>
      <c r="E915" s="929">
        <v>42740</v>
      </c>
      <c r="F915" s="1082" t="s">
        <v>341</v>
      </c>
      <c r="G915" s="931"/>
      <c r="H915" s="735" t="s">
        <v>424</v>
      </c>
      <c r="I915" s="371">
        <v>500</v>
      </c>
      <c r="J915" s="377">
        <v>3000</v>
      </c>
      <c r="K915" s="371"/>
      <c r="L915" s="377"/>
      <c r="M915" s="933">
        <f t="shared" si="154"/>
        <v>1500000</v>
      </c>
      <c r="N915" s="934" t="s">
        <v>272</v>
      </c>
      <c r="O915" s="934" t="s">
        <v>266</v>
      </c>
      <c r="P915" s="75" t="str">
        <f>IF(AND('331-CT'!$E$7=TH!H915,OR(N915="331",O915="331")),"x","")</f>
        <v/>
      </c>
      <c r="Q915" s="75" t="str">
        <f>IF(AND(B915='111'!$L$11,OR($N915=$Q$7,$O915=$Q$7)),"x","")</f>
        <v/>
      </c>
      <c r="R915" s="75" t="str">
        <f>IF(AND($N915=$Q$7,$B915&lt;'111'!$L$11),"x","")</f>
        <v/>
      </c>
      <c r="S915" s="75" t="str">
        <f>IF(AND($O915=$Q$7,$B915&lt;'111'!$L$11),"x","")</f>
        <v/>
      </c>
      <c r="T915" s="75" t="str">
        <f>IF(ISERROR(FIND('112'!$M$9,G915,1)),"",IF((AND(FIND('112'!$M$9,G915,1)&gt;=1,B915='112'!$K$9,OR($N915='112'!$I$6,$O915='112'!$I$6))),"x",""))</f>
        <v/>
      </c>
      <c r="U915" s="75" t="str">
        <f>IF(ISERROR(FIND('112'!$M$9,G915,1)),"",IF((AND(LEFT(G915,2)=LEFT('112'!$M$9,2),B915&lt;'112'!$K$9,$N915='112'!$I$6)),"x",""))</f>
        <v/>
      </c>
      <c r="V915" s="75" t="str">
        <f>IF(ISERROR(FIND('112'!$M$9,G915,1)),"",IF((AND(RIGHT(G915,2)=RIGHT('112'!$M$9,2),B915&lt;'112'!$K$9,$O915='112'!$I$6)),"x",""))</f>
        <v/>
      </c>
      <c r="W915" s="75" t="str">
        <f>IF(AND('341-CT'!$H$9=H915,OR(LEFT(N915,3)=$W$7,LEFT(O915,3)=$W$7)),"x","")</f>
        <v/>
      </c>
      <c r="X915" s="75" t="str">
        <f>IF(OR(TH!N915=TH!$X$7,O915=TH!$X$7),"x","")</f>
        <v/>
      </c>
      <c r="Y915" s="75" t="str">
        <f>IF(AND(OR(N915="131",O915="131"),H915='131-CT'!$H$9),"x","")</f>
        <v/>
      </c>
      <c r="Z915" s="75"/>
      <c r="AA915" s="75" t="str">
        <f>IF(AND(MONTH(E915)='IN-NX'!$J$5,'IN-NX'!$D$7=D915),"x","")</f>
        <v/>
      </c>
      <c r="AB915" s="75" t="str">
        <f>IF(AND(OR(LEFT(TH!N915,2)="15",LEFT(TH!O915,2)="15"),LEFT(TH!O915,3)&lt;&gt;"111",'152-CT'!$J$8=TH!F915),"x","")</f>
        <v/>
      </c>
      <c r="AC915" s="75" t="str">
        <f>IF(AND(OR(LEFT(TH!N915,2)="15",LEFT(TH!O915,2)="15"),TK!$E$7=TH!F915),"x","")</f>
        <v/>
      </c>
      <c r="AD915" s="75" t="str">
        <f>IF(AND(N915="1521",MONTH(C915)='BK-NL'!$M$11),"x","")</f>
        <v/>
      </c>
    </row>
    <row r="916" spans="1:30" ht="16.5" customHeight="1">
      <c r="A916" s="309" t="str">
        <f>IF(B916&lt;&gt;"",IF(AND(B916='IN-TC'!$S$4,OR(TH!N916="1111",TH!O916="1111")),TH!D916,""),"")</f>
        <v/>
      </c>
      <c r="B916" s="1058">
        <f t="shared" si="153"/>
        <v>1</v>
      </c>
      <c r="C916" s="929">
        <f t="shared" si="155"/>
        <v>42740</v>
      </c>
      <c r="D916" s="929" t="s">
        <v>2951</v>
      </c>
      <c r="E916" s="929">
        <v>42740</v>
      </c>
      <c r="F916" s="1082" t="s">
        <v>1257</v>
      </c>
      <c r="G916" s="931"/>
      <c r="H916" s="735" t="s">
        <v>424</v>
      </c>
      <c r="I916" s="371">
        <v>1440</v>
      </c>
      <c r="J916" s="377">
        <v>14728</v>
      </c>
      <c r="K916" s="371"/>
      <c r="L916" s="377"/>
      <c r="M916" s="933">
        <f t="shared" si="154"/>
        <v>21208320</v>
      </c>
      <c r="N916" s="934" t="s">
        <v>272</v>
      </c>
      <c r="O916" s="934" t="s">
        <v>266</v>
      </c>
      <c r="P916" s="75" t="str">
        <f>IF(AND('331-CT'!$E$7=TH!H916,OR(N916="331",O916="331")),"x","")</f>
        <v/>
      </c>
      <c r="Q916" s="75" t="str">
        <f>IF(AND(B916='111'!$L$11,OR($N916=$Q$7,$O916=$Q$7)),"x","")</f>
        <v/>
      </c>
      <c r="R916" s="75" t="str">
        <f>IF(AND($N916=$Q$7,$B916&lt;'111'!$L$11),"x","")</f>
        <v/>
      </c>
      <c r="S916" s="75" t="str">
        <f>IF(AND($O916=$Q$7,$B916&lt;'111'!$L$11),"x","")</f>
        <v/>
      </c>
      <c r="T916" s="75" t="str">
        <f>IF(ISERROR(FIND('112'!$M$9,G916,1)),"",IF((AND(FIND('112'!$M$9,G916,1)&gt;=1,B916='112'!$K$9,OR($N916='112'!$I$6,$O916='112'!$I$6))),"x",""))</f>
        <v/>
      </c>
      <c r="U916" s="75" t="str">
        <f>IF(ISERROR(FIND('112'!$M$9,G916,1)),"",IF((AND(LEFT(G916,2)=LEFT('112'!$M$9,2),B916&lt;'112'!$K$9,$N916='112'!$I$6)),"x",""))</f>
        <v/>
      </c>
      <c r="V916" s="75" t="str">
        <f>IF(ISERROR(FIND('112'!$M$9,G916,1)),"",IF((AND(RIGHT(G916,2)=RIGHT('112'!$M$9,2),B916&lt;'112'!$K$9,$O916='112'!$I$6)),"x",""))</f>
        <v/>
      </c>
      <c r="W916" s="75" t="str">
        <f>IF(AND('341-CT'!$H$9=H916,OR(LEFT(N916,3)=$W$7,LEFT(O916,3)=$W$7)),"x","")</f>
        <v/>
      </c>
      <c r="X916" s="75" t="str">
        <f>IF(OR(TH!N916=TH!$X$7,O916=TH!$X$7),"x","")</f>
        <v/>
      </c>
      <c r="Y916" s="75" t="str">
        <f>IF(AND(OR(N916="131",O916="131"),H916='131-CT'!$H$9),"x","")</f>
        <v/>
      </c>
      <c r="Z916" s="75"/>
      <c r="AA916" s="75" t="str">
        <f>IF(AND(MONTH(E916)='IN-NX'!$J$5,'IN-NX'!$D$7=D916),"x","")</f>
        <v/>
      </c>
      <c r="AB916" s="75" t="str">
        <f>IF(AND(OR(LEFT(TH!N916,2)="15",LEFT(TH!O916,2)="15"),LEFT(TH!O916,3)&lt;&gt;"111",'152-CT'!$J$8=TH!F916),"x","")</f>
        <v/>
      </c>
      <c r="AC916" s="75" t="str">
        <f>IF(AND(OR(LEFT(TH!N916,2)="15",LEFT(TH!O916,2)="15"),TK!$E$7=TH!F916),"x","")</f>
        <v/>
      </c>
      <c r="AD916" s="75" t="str">
        <f>IF(AND(N916="1521",MONTH(C916)='BK-NL'!$M$11),"x","")</f>
        <v/>
      </c>
    </row>
    <row r="917" spans="1:30" ht="16.5" customHeight="1">
      <c r="A917" s="309" t="str">
        <f>IF(B917&lt;&gt;"",IF(AND(B917='IN-TC'!$S$4,OR(TH!N917="1111",TH!O917="1111")),TH!D917,""),"")</f>
        <v/>
      </c>
      <c r="B917" s="1058">
        <f t="shared" si="153"/>
        <v>1</v>
      </c>
      <c r="C917" s="929">
        <f t="shared" si="155"/>
        <v>42740</v>
      </c>
      <c r="D917" s="929" t="s">
        <v>2951</v>
      </c>
      <c r="E917" s="929">
        <v>42740</v>
      </c>
      <c r="F917" s="1082" t="s">
        <v>346</v>
      </c>
      <c r="G917" s="931"/>
      <c r="H917" s="735" t="s">
        <v>424</v>
      </c>
      <c r="I917" s="371">
        <v>200</v>
      </c>
      <c r="J917" s="377">
        <v>8000</v>
      </c>
      <c r="K917" s="371"/>
      <c r="L917" s="377"/>
      <c r="M917" s="933">
        <f t="shared" si="154"/>
        <v>1600000</v>
      </c>
      <c r="N917" s="934" t="s">
        <v>272</v>
      </c>
      <c r="O917" s="934" t="s">
        <v>266</v>
      </c>
      <c r="P917" s="75" t="str">
        <f>IF(AND('331-CT'!$E$7=TH!H917,OR(N917="331",O917="331")),"x","")</f>
        <v/>
      </c>
      <c r="Q917" s="75" t="str">
        <f>IF(AND(B917='111'!$L$11,OR($N917=$Q$7,$O917=$Q$7)),"x","")</f>
        <v/>
      </c>
      <c r="R917" s="75" t="str">
        <f>IF(AND($N917=$Q$7,$B917&lt;'111'!$L$11),"x","")</f>
        <v/>
      </c>
      <c r="S917" s="75" t="str">
        <f>IF(AND($O917=$Q$7,$B917&lt;'111'!$L$11),"x","")</f>
        <v/>
      </c>
      <c r="T917" s="75" t="str">
        <f>IF(ISERROR(FIND('112'!$M$9,G917,1)),"",IF((AND(FIND('112'!$M$9,G917,1)&gt;=1,B917='112'!$K$9,OR($N917='112'!$I$6,$O917='112'!$I$6))),"x",""))</f>
        <v/>
      </c>
      <c r="U917" s="75" t="str">
        <f>IF(ISERROR(FIND('112'!$M$9,G917,1)),"",IF((AND(LEFT(G917,2)=LEFT('112'!$M$9,2),B917&lt;'112'!$K$9,$N917='112'!$I$6)),"x",""))</f>
        <v/>
      </c>
      <c r="V917" s="75" t="str">
        <f>IF(ISERROR(FIND('112'!$M$9,G917,1)),"",IF((AND(RIGHT(G917,2)=RIGHT('112'!$M$9,2),B917&lt;'112'!$K$9,$O917='112'!$I$6)),"x",""))</f>
        <v/>
      </c>
      <c r="W917" s="75" t="str">
        <f>IF(AND('341-CT'!$H$9=H917,OR(LEFT(N917,3)=$W$7,LEFT(O917,3)=$W$7)),"x","")</f>
        <v/>
      </c>
      <c r="X917" s="75" t="str">
        <f>IF(OR(TH!N917=TH!$X$7,O917=TH!$X$7),"x","")</f>
        <v/>
      </c>
      <c r="Y917" s="75" t="str">
        <f>IF(AND(OR(N917="131",O917="131"),H917='131-CT'!$H$9),"x","")</f>
        <v/>
      </c>
      <c r="Z917" s="75"/>
      <c r="AA917" s="75" t="str">
        <f>IF(AND(MONTH(E917)='IN-NX'!$J$5,'IN-NX'!$D$7=D917),"x","")</f>
        <v/>
      </c>
      <c r="AB917" s="75" t="str">
        <f>IF(AND(OR(LEFT(TH!N917,2)="15",LEFT(TH!O917,2)="15"),LEFT(TH!O917,3)&lt;&gt;"111",'152-CT'!$J$8=TH!F917),"x","")</f>
        <v/>
      </c>
      <c r="AC917" s="75" t="str">
        <f>IF(AND(OR(LEFT(TH!N917,2)="15",LEFT(TH!O917,2)="15"),TK!$E$7=TH!F917),"x","")</f>
        <v/>
      </c>
      <c r="AD917" s="75" t="str">
        <f>IF(AND(N917="1521",MONTH(C917)='BK-NL'!$M$11),"x","")</f>
        <v/>
      </c>
    </row>
    <row r="918" spans="1:30" ht="16.5" customHeight="1">
      <c r="A918" s="309" t="str">
        <f>IF(B918&lt;&gt;"",IF(AND(B918='IN-TC'!$S$4,OR(TH!N918="1111",TH!O918="1111")),TH!D918,""),"")</f>
        <v/>
      </c>
      <c r="B918" s="1058">
        <f>IF(C918&lt;&gt;"",MONTH(C918),"")</f>
        <v>1</v>
      </c>
      <c r="C918" s="929">
        <f>E918</f>
        <v>42745</v>
      </c>
      <c r="D918" s="929" t="s">
        <v>2951</v>
      </c>
      <c r="E918" s="929">
        <v>42745</v>
      </c>
      <c r="F918" s="1082" t="s">
        <v>564</v>
      </c>
      <c r="G918" s="931"/>
      <c r="H918" s="735" t="s">
        <v>424</v>
      </c>
      <c r="I918" s="371">
        <v>4700</v>
      </c>
      <c r="J918" s="377">
        <v>14000</v>
      </c>
      <c r="K918" s="371"/>
      <c r="L918" s="377"/>
      <c r="M918" s="933">
        <f t="shared" si="154"/>
        <v>65800000</v>
      </c>
      <c r="N918" s="934" t="s">
        <v>272</v>
      </c>
      <c r="O918" s="934" t="s">
        <v>266</v>
      </c>
      <c r="P918" s="75" t="str">
        <f>IF(AND('331-CT'!$E$7=TH!H918,OR(N918="331",O918="331")),"x","")</f>
        <v/>
      </c>
      <c r="Q918" s="75" t="str">
        <f>IF(AND(B918='111'!$L$11,OR($N918=$Q$7,$O918=$Q$7)),"x","")</f>
        <v/>
      </c>
      <c r="R918" s="75" t="str">
        <f>IF(AND($N918=$Q$7,$B918&lt;'111'!$L$11),"x","")</f>
        <v/>
      </c>
      <c r="S918" s="75" t="str">
        <f>IF(AND($O918=$Q$7,$B918&lt;'111'!$L$11),"x","")</f>
        <v/>
      </c>
      <c r="T918" s="75" t="str">
        <f>IF(ISERROR(FIND('112'!$M$9,G918,1)),"",IF((AND(FIND('112'!$M$9,G918,1)&gt;=1,B918='112'!$K$9,OR($N918='112'!$I$6,$O918='112'!$I$6))),"x",""))</f>
        <v/>
      </c>
      <c r="U918" s="75" t="str">
        <f>IF(ISERROR(FIND('112'!$M$9,G918,1)),"",IF((AND(LEFT(G918,2)=LEFT('112'!$M$9,2),B918&lt;'112'!$K$9,$N918='112'!$I$6)),"x",""))</f>
        <v/>
      </c>
      <c r="V918" s="75" t="str">
        <f>IF(ISERROR(FIND('112'!$M$9,G918,1)),"",IF((AND(RIGHT(G918,2)=RIGHT('112'!$M$9,2),B918&lt;'112'!$K$9,$O918='112'!$I$6)),"x",""))</f>
        <v/>
      </c>
      <c r="W918" s="75" t="str">
        <f>IF(AND('341-CT'!$H$9=H918,OR(LEFT(N918,3)=$W$7,LEFT(O918,3)=$W$7)),"x","")</f>
        <v/>
      </c>
      <c r="X918" s="75" t="str">
        <f>IF(OR(TH!N918=TH!$X$7,O918=TH!$X$7),"x","")</f>
        <v/>
      </c>
      <c r="Y918" s="75" t="str">
        <f>IF(AND(OR(N918="131",O918="131"),H918='131-CT'!$H$9),"x","")</f>
        <v/>
      </c>
      <c r="Z918" s="75"/>
      <c r="AA918" s="75" t="str">
        <f>IF(AND(MONTH(E918)='IN-NX'!$J$5,'IN-NX'!$D$7=D918),"x","")</f>
        <v/>
      </c>
      <c r="AB918" s="75" t="str">
        <f>IF(AND(OR(LEFT(TH!N918,2)="15",LEFT(TH!O918,2)="15"),LEFT(TH!O918,3)&lt;&gt;"111",'152-CT'!$J$8=TH!F918),"x","")</f>
        <v/>
      </c>
      <c r="AC918" s="75" t="str">
        <f>IF(AND(OR(LEFT(TH!N918,2)="15",LEFT(TH!O918,2)="15"),TK!$E$7=TH!F918),"x","")</f>
        <v/>
      </c>
      <c r="AD918" s="75" t="str">
        <f>IF(AND(N918="1521",MONTH(C918)='BK-NL'!$M$11),"x","")</f>
        <v/>
      </c>
    </row>
    <row r="919" spans="1:30" ht="16.5" customHeight="1">
      <c r="A919" s="309" t="str">
        <f>IF(B919&lt;&gt;"",IF(AND(B919='IN-TC'!$S$4,OR(TH!N919="1111",TH!O919="1111")),TH!D919,""),"")</f>
        <v/>
      </c>
      <c r="B919" s="1058">
        <f>IF(C919&lt;&gt;"",MONTH(C919),"")</f>
        <v>1</v>
      </c>
      <c r="C919" s="929">
        <f t="shared" ref="C919:C923" si="156">E919</f>
        <v>42745</v>
      </c>
      <c r="D919" s="929" t="s">
        <v>2951</v>
      </c>
      <c r="E919" s="929">
        <v>42745</v>
      </c>
      <c r="F919" s="1082" t="s">
        <v>381</v>
      </c>
      <c r="G919" s="931"/>
      <c r="H919" s="735" t="s">
        <v>424</v>
      </c>
      <c r="I919" s="371">
        <v>1311</v>
      </c>
      <c r="J919" s="377">
        <v>18200</v>
      </c>
      <c r="K919" s="371"/>
      <c r="L919" s="377"/>
      <c r="M919" s="933">
        <f t="shared" si="154"/>
        <v>23860200</v>
      </c>
      <c r="N919" s="934" t="s">
        <v>272</v>
      </c>
      <c r="O919" s="934" t="s">
        <v>266</v>
      </c>
      <c r="P919" s="75" t="str">
        <f>IF(AND('331-CT'!$E$7=TH!H919,OR(N919="331",O919="331")),"x","")</f>
        <v/>
      </c>
      <c r="Q919" s="75" t="str">
        <f>IF(AND(B919='111'!$L$11,OR($N919=$Q$7,$O919=$Q$7)),"x","")</f>
        <v/>
      </c>
      <c r="R919" s="75" t="str">
        <f>IF(AND($N919=$Q$7,$B919&lt;'111'!$L$11),"x","")</f>
        <v/>
      </c>
      <c r="S919" s="75" t="str">
        <f>IF(AND($O919=$Q$7,$B919&lt;'111'!$L$11),"x","")</f>
        <v/>
      </c>
      <c r="T919" s="75" t="str">
        <f>IF(ISERROR(FIND('112'!$M$9,G919,1)),"",IF((AND(FIND('112'!$M$9,G919,1)&gt;=1,B919='112'!$K$9,OR($N919='112'!$I$6,$O919='112'!$I$6))),"x",""))</f>
        <v/>
      </c>
      <c r="U919" s="75" t="str">
        <f>IF(ISERROR(FIND('112'!$M$9,G919,1)),"",IF((AND(LEFT(G919,2)=LEFT('112'!$M$9,2),B919&lt;'112'!$K$9,$N919='112'!$I$6)),"x",""))</f>
        <v/>
      </c>
      <c r="V919" s="75" t="str">
        <f>IF(ISERROR(FIND('112'!$M$9,G919,1)),"",IF((AND(RIGHT(G919,2)=RIGHT('112'!$M$9,2),B919&lt;'112'!$K$9,$O919='112'!$I$6)),"x",""))</f>
        <v/>
      </c>
      <c r="W919" s="75" t="str">
        <f>IF(AND('341-CT'!$H$9=H919,OR(LEFT(N919,3)=$W$7,LEFT(O919,3)=$W$7)),"x","")</f>
        <v/>
      </c>
      <c r="X919" s="75" t="str">
        <f>IF(OR(TH!N919=TH!$X$7,O919=TH!$X$7),"x","")</f>
        <v/>
      </c>
      <c r="Y919" s="75" t="str">
        <f>IF(AND(OR(N919="131",O919="131"),H919='131-CT'!$H$9),"x","")</f>
        <v/>
      </c>
      <c r="Z919" s="75"/>
      <c r="AA919" s="75" t="str">
        <f>IF(AND(MONTH(E919)='IN-NX'!$J$5,'IN-NX'!$D$7=D919),"x","")</f>
        <v/>
      </c>
      <c r="AB919" s="75" t="str">
        <f>IF(AND(OR(LEFT(TH!N919,2)="15",LEFT(TH!O919,2)="15"),LEFT(TH!O919,3)&lt;&gt;"111",'152-CT'!$J$8=TH!F919),"x","")</f>
        <v/>
      </c>
      <c r="AC919" s="75" t="str">
        <f>IF(AND(OR(LEFT(TH!N919,2)="15",LEFT(TH!O919,2)="15"),TK!$E$7=TH!F919),"x","")</f>
        <v/>
      </c>
      <c r="AD919" s="75" t="str">
        <f>IF(AND(N919="1521",MONTH(C919)='BK-NL'!$M$11),"x","")</f>
        <v/>
      </c>
    </row>
    <row r="920" spans="1:30" ht="16.5" customHeight="1">
      <c r="A920" s="309" t="str">
        <f>IF(B920&lt;&gt;"",IF(AND(B920='IN-TC'!$S$4,OR(TH!N920="1111",TH!O920="1111")),TH!D920,""),"")</f>
        <v/>
      </c>
      <c r="B920" s="1058">
        <f>IF(C920&lt;&gt;"",MONTH(C920),"")</f>
        <v>1</v>
      </c>
      <c r="C920" s="929">
        <f t="shared" si="156"/>
        <v>42745</v>
      </c>
      <c r="D920" s="929" t="s">
        <v>2951</v>
      </c>
      <c r="E920" s="929">
        <v>42745</v>
      </c>
      <c r="F920" s="296" t="s">
        <v>381</v>
      </c>
      <c r="G920" s="931"/>
      <c r="H920" s="735" t="s">
        <v>424</v>
      </c>
      <c r="I920" s="371">
        <v>1076</v>
      </c>
      <c r="J920" s="377">
        <v>13500</v>
      </c>
      <c r="K920" s="371"/>
      <c r="L920" s="377"/>
      <c r="M920" s="933">
        <f t="shared" si="154"/>
        <v>14526000</v>
      </c>
      <c r="N920" s="934" t="s">
        <v>272</v>
      </c>
      <c r="O920" s="934" t="s">
        <v>266</v>
      </c>
      <c r="P920" s="75" t="str">
        <f>IF(AND('331-CT'!$E$7=TH!H920,OR(N920="331",O920="331")),"x","")</f>
        <v/>
      </c>
      <c r="Q920" s="75" t="str">
        <f>IF(AND(B920='111'!$L$11,OR($N920=$Q$7,$O920=$Q$7)),"x","")</f>
        <v/>
      </c>
      <c r="R920" s="75" t="str">
        <f>IF(AND($N920=$Q$7,$B920&lt;'111'!$L$11),"x","")</f>
        <v/>
      </c>
      <c r="S920" s="75" t="str">
        <f>IF(AND($O920=$Q$7,$B920&lt;'111'!$L$11),"x","")</f>
        <v/>
      </c>
      <c r="T920" s="75" t="str">
        <f>IF(ISERROR(FIND('112'!$M$9,G920,1)),"",IF((AND(FIND('112'!$M$9,G920,1)&gt;=1,B920='112'!$K$9,OR($N920='112'!$I$6,$O920='112'!$I$6))),"x",""))</f>
        <v/>
      </c>
      <c r="U920" s="75" t="str">
        <f>IF(ISERROR(FIND('112'!$M$9,G920,1)),"",IF((AND(LEFT(G920,2)=LEFT('112'!$M$9,2),B920&lt;'112'!$K$9,$N920='112'!$I$6)),"x",""))</f>
        <v/>
      </c>
      <c r="V920" s="75" t="str">
        <f>IF(ISERROR(FIND('112'!$M$9,G920,1)),"",IF((AND(RIGHT(G920,2)=RIGHT('112'!$M$9,2),B920&lt;'112'!$K$9,$O920='112'!$I$6)),"x",""))</f>
        <v/>
      </c>
      <c r="W920" s="75" t="str">
        <f>IF(AND('341-CT'!$H$9=H920,OR(LEFT(N920,3)=$W$7,LEFT(O920,3)=$W$7)),"x","")</f>
        <v/>
      </c>
      <c r="X920" s="75" t="str">
        <f>IF(OR(TH!N920=TH!$X$7,O920=TH!$X$7),"x","")</f>
        <v/>
      </c>
      <c r="Y920" s="75" t="str">
        <f>IF(AND(OR(N920="131",O920="131"),H920='131-CT'!$H$9),"x","")</f>
        <v/>
      </c>
      <c r="Z920" s="75"/>
      <c r="AA920" s="75" t="str">
        <f>IF(AND(MONTH(E920)='IN-NX'!$J$5,'IN-NX'!$D$7=D920),"x","")</f>
        <v/>
      </c>
      <c r="AB920" s="75" t="str">
        <f>IF(AND(OR(LEFT(TH!N920,2)="15",LEFT(TH!O920,2)="15"),LEFT(TH!O920,3)&lt;&gt;"111",'152-CT'!$J$8=TH!F920),"x","")</f>
        <v/>
      </c>
      <c r="AC920" s="75" t="str">
        <f>IF(AND(OR(LEFT(TH!N920,2)="15",LEFT(TH!O920,2)="15"),TK!$E$7=TH!F920),"x","")</f>
        <v/>
      </c>
      <c r="AD920" s="75" t="str">
        <f>IF(AND(N920="1521",MONTH(C920)='BK-NL'!$M$11),"x","")</f>
        <v/>
      </c>
    </row>
    <row r="921" spans="1:30" ht="16.5" customHeight="1">
      <c r="A921" s="309" t="str">
        <f>IF(B921&lt;&gt;"",IF(AND(B921='IN-TC'!$S$4,OR(TH!N921="1111",TH!O921="1111")),TH!D921,""),"")</f>
        <v/>
      </c>
      <c r="B921" s="1058">
        <f>IF(C921&lt;&gt;"",MONTH(C921),"")</f>
        <v>1</v>
      </c>
      <c r="C921" s="929">
        <f t="shared" si="156"/>
        <v>42745</v>
      </c>
      <c r="D921" s="929" t="s">
        <v>2951</v>
      </c>
      <c r="E921" s="929">
        <v>42745</v>
      </c>
      <c r="F921" s="296" t="s">
        <v>780</v>
      </c>
      <c r="G921" s="931"/>
      <c r="H921" s="735" t="s">
        <v>424</v>
      </c>
      <c r="I921" s="371">
        <v>1200</v>
      </c>
      <c r="J921" s="377">
        <v>10300</v>
      </c>
      <c r="K921" s="371"/>
      <c r="L921" s="377"/>
      <c r="M921" s="933">
        <f t="shared" si="154"/>
        <v>12360000</v>
      </c>
      <c r="N921" s="934" t="s">
        <v>272</v>
      </c>
      <c r="O921" s="934" t="s">
        <v>266</v>
      </c>
      <c r="P921" s="75" t="str">
        <f>IF(AND('331-CT'!$E$7=TH!H921,OR(N921="331",O921="331")),"x","")</f>
        <v/>
      </c>
      <c r="Q921" s="75" t="str">
        <f>IF(AND(B921='111'!$L$11,OR($N921=$Q$7,$O921=$Q$7)),"x","")</f>
        <v/>
      </c>
      <c r="R921" s="75" t="str">
        <f>IF(AND($N921=$Q$7,$B921&lt;'111'!$L$11),"x","")</f>
        <v/>
      </c>
      <c r="S921" s="75" t="str">
        <f>IF(AND($O921=$Q$7,$B921&lt;'111'!$L$11),"x","")</f>
        <v/>
      </c>
      <c r="T921" s="75" t="str">
        <f>IF(ISERROR(FIND('112'!$M$9,G921,1)),"",IF((AND(FIND('112'!$M$9,G921,1)&gt;=1,B921='112'!$K$9,OR($N921='112'!$I$6,$O921='112'!$I$6))),"x",""))</f>
        <v/>
      </c>
      <c r="U921" s="75" t="str">
        <f>IF(ISERROR(FIND('112'!$M$9,G921,1)),"",IF((AND(LEFT(G921,2)=LEFT('112'!$M$9,2),B921&lt;'112'!$K$9,$N921='112'!$I$6)),"x",""))</f>
        <v/>
      </c>
      <c r="V921" s="75" t="str">
        <f>IF(ISERROR(FIND('112'!$M$9,G921,1)),"",IF((AND(RIGHT(G921,2)=RIGHT('112'!$M$9,2),B921&lt;'112'!$K$9,$O921='112'!$I$6)),"x",""))</f>
        <v/>
      </c>
      <c r="W921" s="75" t="str">
        <f>IF(AND('341-CT'!$H$9=H921,OR(LEFT(N921,3)=$W$7,LEFT(O921,3)=$W$7)),"x","")</f>
        <v/>
      </c>
      <c r="X921" s="75" t="str">
        <f>IF(OR(TH!N921=TH!$X$7,O921=TH!$X$7),"x","")</f>
        <v/>
      </c>
      <c r="Y921" s="75" t="str">
        <f>IF(AND(OR(N921="131",O921="131"),H921='131-CT'!$H$9),"x","")</f>
        <v/>
      </c>
      <c r="Z921" s="75"/>
      <c r="AA921" s="75" t="str">
        <f>IF(AND(MONTH(E921)='IN-NX'!$J$5,'IN-NX'!$D$7=D921),"x","")</f>
        <v/>
      </c>
      <c r="AB921" s="75" t="str">
        <f>IF(AND(OR(LEFT(TH!N921,2)="15",LEFT(TH!O921,2)="15"),LEFT(TH!O921,3)&lt;&gt;"111",'152-CT'!$J$8=TH!F921),"x","")</f>
        <v/>
      </c>
      <c r="AC921" s="75" t="str">
        <f>IF(AND(OR(LEFT(TH!N921,2)="15",LEFT(TH!O921,2)="15"),TK!$E$7=TH!F921),"x","")</f>
        <v/>
      </c>
      <c r="AD921" s="75" t="str">
        <f>IF(AND(N921="1521",MONTH(C921)='BK-NL'!$M$11),"x","")</f>
        <v/>
      </c>
    </row>
    <row r="922" spans="1:30" ht="16.5" customHeight="1">
      <c r="A922" s="309" t="str">
        <f>IF(B922&lt;&gt;"",IF(AND(B922='IN-TC'!$S$4,OR(TH!N922="1111",TH!O922="1111")),TH!D922,""),"")</f>
        <v/>
      </c>
      <c r="B922" s="1058">
        <f t="shared" ref="B922:B961" si="157">IF(C922&lt;&gt;"",MONTH(C922),"")</f>
        <v>1</v>
      </c>
      <c r="C922" s="929">
        <f t="shared" si="156"/>
        <v>42745</v>
      </c>
      <c r="D922" s="929" t="s">
        <v>2951</v>
      </c>
      <c r="E922" s="929">
        <v>42745</v>
      </c>
      <c r="F922" s="1082" t="s">
        <v>781</v>
      </c>
      <c r="G922" s="931"/>
      <c r="H922" s="735" t="s">
        <v>424</v>
      </c>
      <c r="I922" s="371">
        <v>1040</v>
      </c>
      <c r="J922" s="377">
        <v>13500</v>
      </c>
      <c r="K922" s="371"/>
      <c r="L922" s="377"/>
      <c r="M922" s="933">
        <f t="shared" si="154"/>
        <v>14040000</v>
      </c>
      <c r="N922" s="934" t="s">
        <v>272</v>
      </c>
      <c r="O922" s="934" t="s">
        <v>266</v>
      </c>
      <c r="P922" s="75" t="str">
        <f>IF(AND('331-CT'!$E$7=TH!H922,OR(N922="331",O922="331")),"x","")</f>
        <v/>
      </c>
      <c r="Q922" s="75" t="str">
        <f>IF(AND(B922='111'!$L$11,OR($N922=$Q$7,$O922=$Q$7)),"x","")</f>
        <v/>
      </c>
      <c r="R922" s="75" t="str">
        <f>IF(AND($N922=$Q$7,$B922&lt;'111'!$L$11),"x","")</f>
        <v/>
      </c>
      <c r="S922" s="75" t="str">
        <f>IF(AND($O922=$Q$7,$B922&lt;'111'!$L$11),"x","")</f>
        <v/>
      </c>
      <c r="T922" s="75" t="str">
        <f>IF(ISERROR(FIND('112'!$M$9,G922,1)),"",IF((AND(FIND('112'!$M$9,G922,1)&gt;=1,B922='112'!$K$9,OR($N922='112'!$I$6,$O922='112'!$I$6))),"x",""))</f>
        <v/>
      </c>
      <c r="U922" s="75" t="str">
        <f>IF(ISERROR(FIND('112'!$M$9,G922,1)),"",IF((AND(LEFT(G922,2)=LEFT('112'!$M$9,2),B922&lt;'112'!$K$9,$N922='112'!$I$6)),"x",""))</f>
        <v/>
      </c>
      <c r="V922" s="75" t="str">
        <f>IF(ISERROR(FIND('112'!$M$9,G922,1)),"",IF((AND(RIGHT(G922,2)=RIGHT('112'!$M$9,2),B922&lt;'112'!$K$9,$O922='112'!$I$6)),"x",""))</f>
        <v/>
      </c>
      <c r="W922" s="75" t="str">
        <f>IF(AND('341-CT'!$H$9=H922,OR(LEFT(N922,3)=$W$7,LEFT(O922,3)=$W$7)),"x","")</f>
        <v/>
      </c>
      <c r="X922" s="75" t="str">
        <f>IF(OR(TH!N922=TH!$X$7,O922=TH!$X$7),"x","")</f>
        <v/>
      </c>
      <c r="Y922" s="75" t="str">
        <f>IF(AND(OR(N922="131",O922="131"),H922='131-CT'!$H$9),"x","")</f>
        <v/>
      </c>
      <c r="Z922" s="75"/>
      <c r="AA922" s="75" t="str">
        <f>IF(AND(MONTH(E922)='IN-NX'!$J$5,'IN-NX'!$D$7=D922),"x","")</f>
        <v/>
      </c>
      <c r="AB922" s="75" t="str">
        <f>IF(AND(OR(LEFT(TH!N922,2)="15",LEFT(TH!O922,2)="15"),LEFT(TH!O922,3)&lt;&gt;"111",'152-CT'!$J$8=TH!F922),"x","")</f>
        <v/>
      </c>
      <c r="AC922" s="75" t="str">
        <f>IF(AND(OR(LEFT(TH!N922,2)="15",LEFT(TH!O922,2)="15"),TK!$E$7=TH!F922),"x","")</f>
        <v/>
      </c>
      <c r="AD922" s="75" t="str">
        <f>IF(AND(N922="1521",MONTH(C922)='BK-NL'!$M$11),"x","")</f>
        <v/>
      </c>
    </row>
    <row r="923" spans="1:30" ht="16.5" customHeight="1">
      <c r="A923" s="309" t="str">
        <f>IF(B923&lt;&gt;"",IF(AND(B923='IN-TC'!$S$4,OR(TH!N923="1111",TH!O923="1111")),TH!D923,""),"")</f>
        <v/>
      </c>
      <c r="B923" s="1058">
        <f t="shared" si="157"/>
        <v>1</v>
      </c>
      <c r="C923" s="929">
        <f t="shared" si="156"/>
        <v>42745</v>
      </c>
      <c r="D923" s="929" t="s">
        <v>2951</v>
      </c>
      <c r="E923" s="929">
        <v>42745</v>
      </c>
      <c r="F923" s="1082" t="s">
        <v>779</v>
      </c>
      <c r="G923" s="931"/>
      <c r="H923" s="735" t="s">
        <v>424</v>
      </c>
      <c r="I923" s="371">
        <v>109</v>
      </c>
      <c r="J923" s="377">
        <v>13500</v>
      </c>
      <c r="K923" s="371"/>
      <c r="L923" s="377"/>
      <c r="M923" s="933">
        <f t="shared" si="154"/>
        <v>1471500</v>
      </c>
      <c r="N923" s="934" t="s">
        <v>272</v>
      </c>
      <c r="O923" s="934" t="s">
        <v>266</v>
      </c>
      <c r="P923" s="75" t="str">
        <f>IF(AND('331-CT'!$E$7=TH!H923,OR(N923="331",O923="331")),"x","")</f>
        <v/>
      </c>
      <c r="Q923" s="75" t="str">
        <f>IF(AND(B923='111'!$L$11,OR($N923=$Q$7,$O923=$Q$7)),"x","")</f>
        <v/>
      </c>
      <c r="R923" s="75" t="str">
        <f>IF(AND($N923=$Q$7,$B923&lt;'111'!$L$11),"x","")</f>
        <v/>
      </c>
      <c r="S923" s="75" t="str">
        <f>IF(AND($O923=$Q$7,$B923&lt;'111'!$L$11),"x","")</f>
        <v/>
      </c>
      <c r="T923" s="75" t="str">
        <f>IF(ISERROR(FIND('112'!$M$9,G923,1)),"",IF((AND(FIND('112'!$M$9,G923,1)&gt;=1,B923='112'!$K$9,OR($N923='112'!$I$6,$O923='112'!$I$6))),"x",""))</f>
        <v/>
      </c>
      <c r="U923" s="75" t="str">
        <f>IF(ISERROR(FIND('112'!$M$9,G923,1)),"",IF((AND(LEFT(G923,2)=LEFT('112'!$M$9,2),B923&lt;'112'!$K$9,$N923='112'!$I$6)),"x",""))</f>
        <v/>
      </c>
      <c r="V923" s="75" t="str">
        <f>IF(ISERROR(FIND('112'!$M$9,G923,1)),"",IF((AND(RIGHT(G923,2)=RIGHT('112'!$M$9,2),B923&lt;'112'!$K$9,$O923='112'!$I$6)),"x",""))</f>
        <v/>
      </c>
      <c r="W923" s="75" t="str">
        <f>IF(AND('341-CT'!$H$9=H923,OR(LEFT(N923,3)=$W$7,LEFT(O923,3)=$W$7)),"x","")</f>
        <v/>
      </c>
      <c r="X923" s="75" t="str">
        <f>IF(OR(TH!N923=TH!$X$7,O923=TH!$X$7),"x","")</f>
        <v/>
      </c>
      <c r="Y923" s="75" t="str">
        <f>IF(AND(OR(N923="131",O923="131"),H923='131-CT'!$H$9),"x","")</f>
        <v/>
      </c>
      <c r="Z923" s="75"/>
      <c r="AA923" s="75" t="str">
        <f>IF(AND(MONTH(E923)='IN-NX'!$J$5,'IN-NX'!$D$7=D923),"x","")</f>
        <v/>
      </c>
      <c r="AB923" s="75" t="str">
        <f>IF(AND(OR(LEFT(TH!N923,2)="15",LEFT(TH!O923,2)="15"),LEFT(TH!O923,3)&lt;&gt;"111",'152-CT'!$J$8=TH!F923),"x","")</f>
        <v/>
      </c>
      <c r="AC923" s="75" t="str">
        <f>IF(AND(OR(LEFT(TH!N923,2)="15",LEFT(TH!O923,2)="15"),TK!$E$7=TH!F923),"x","")</f>
        <v/>
      </c>
      <c r="AD923" s="75" t="str">
        <f>IF(AND(N923="1521",MONTH(C923)='BK-NL'!$M$11),"x","")</f>
        <v/>
      </c>
    </row>
    <row r="924" spans="1:30" ht="16.5" customHeight="1">
      <c r="A924" s="309" t="str">
        <f>IF(B924&lt;&gt;"",IF(AND(B924='IN-TC'!$S$4,OR(TH!N924="1111",TH!O924="1111")),TH!D924,""),"")</f>
        <v/>
      </c>
      <c r="B924" s="1058">
        <f t="shared" ref="B924:B930" si="158">IF(C924&lt;&gt;"",MONTH(C924),"")</f>
        <v>1</v>
      </c>
      <c r="C924" s="292">
        <f t="shared" ref="C924:C930" si="159">E924</f>
        <v>42737</v>
      </c>
      <c r="D924" s="292" t="s">
        <v>2957</v>
      </c>
      <c r="E924" s="292">
        <v>42737</v>
      </c>
      <c r="F924" s="67" t="s">
        <v>565</v>
      </c>
      <c r="G924" s="925"/>
      <c r="H924" s="429" t="s">
        <v>342</v>
      </c>
      <c r="I924" s="373">
        <v>12010</v>
      </c>
      <c r="J924" s="379">
        <v>17500</v>
      </c>
      <c r="K924" s="373"/>
      <c r="L924" s="379"/>
      <c r="M924" s="927">
        <f t="shared" ref="M924:M930" si="160">ROUND(I924*J924,0)</f>
        <v>210175000</v>
      </c>
      <c r="N924" s="295" t="s">
        <v>264</v>
      </c>
      <c r="O924" s="295" t="s">
        <v>8</v>
      </c>
      <c r="P924" s="75" t="str">
        <f>IF(AND('331-CT'!$E$7=TH!H924,OR(N924="331",O924="331")),"x","")</f>
        <v/>
      </c>
      <c r="Q924" s="75" t="str">
        <f>IF(AND(B924='111'!$L$11,OR($N924=$Q$7,$O924=$Q$7)),"x","")</f>
        <v/>
      </c>
      <c r="R924" s="75" t="str">
        <f>IF(AND($N924=$Q$7,$B924&lt;'111'!$L$11),"x","")</f>
        <v/>
      </c>
      <c r="S924" s="75" t="str">
        <f>IF(AND($O924=$Q$7,$B924&lt;'111'!$L$11),"x","")</f>
        <v/>
      </c>
      <c r="T924" s="75" t="str">
        <f>IF(ISERROR(FIND('112'!$M$9,G924,1)),"",IF((AND(FIND('112'!$M$9,G924,1)&gt;=1,B924='112'!$K$9,OR($N924='112'!$I$6,$O924='112'!$I$6))),"x",""))</f>
        <v/>
      </c>
      <c r="U924" s="75" t="str">
        <f>IF(ISERROR(FIND('112'!$M$9,G924,1)),"",IF((AND(LEFT(G924,2)=LEFT('112'!$M$9,2),B924&lt;'112'!$K$9,$N924='112'!$I$6)),"x",""))</f>
        <v/>
      </c>
      <c r="V924" s="75" t="str">
        <f>IF(ISERROR(FIND('112'!$M$9,G924,1)),"",IF((AND(RIGHT(G924,2)=RIGHT('112'!$M$9,2),B924&lt;'112'!$K$9,$O924='112'!$I$6)),"x",""))</f>
        <v/>
      </c>
      <c r="W924" s="75" t="str">
        <f>IF(AND('341-CT'!$H$9=H924,OR(LEFT(N924,3)=$W$7,LEFT(O924,3)=$W$7)),"x","")</f>
        <v/>
      </c>
      <c r="X924" s="75" t="str">
        <f>IF(OR(TH!N924=TH!$X$7,O924=TH!$X$7),"x","")</f>
        <v/>
      </c>
      <c r="Y924" s="75" t="str">
        <f>IF(AND(OR(N924="131",O924="131"),H924='131-CT'!$H$9),"x","")</f>
        <v/>
      </c>
      <c r="Z924" s="75"/>
      <c r="AA924" s="75" t="str">
        <f>IF(AND(MONTH(E924)='IN-NX'!$J$5,'IN-NX'!$D$7=D924),"x","")</f>
        <v/>
      </c>
      <c r="AB924" s="75" t="str">
        <f>IF(AND(OR(LEFT(TH!N924,2)="15",LEFT(TH!O924,2)="15"),LEFT(TH!O924,3)&lt;&gt;"111",'152-CT'!$J$8=TH!F924),"x","")</f>
        <v/>
      </c>
      <c r="AC924" s="75" t="str">
        <f>IF(AND(OR(LEFT(TH!N924,2)="15",LEFT(TH!O924,2)="15"),TK!$E$7=TH!F924),"x","")</f>
        <v/>
      </c>
      <c r="AD924" s="75" t="str">
        <f>IF(AND(N924="1521",MONTH(C924)='BK-NL'!$M$11),"x","")</f>
        <v/>
      </c>
    </row>
    <row r="925" spans="1:30" ht="16.5" customHeight="1">
      <c r="A925" s="309" t="str">
        <f>IF(B925&lt;&gt;"",IF(AND(B925='IN-TC'!$S$4,OR(TH!N925="1111",TH!O925="1111")),TH!D925,""),"")</f>
        <v/>
      </c>
      <c r="B925" s="1058">
        <f t="shared" si="158"/>
        <v>1</v>
      </c>
      <c r="C925" s="292">
        <f t="shared" si="159"/>
        <v>42737</v>
      </c>
      <c r="D925" s="292" t="s">
        <v>2958</v>
      </c>
      <c r="E925" s="292">
        <v>42737</v>
      </c>
      <c r="F925" s="67" t="s">
        <v>565</v>
      </c>
      <c r="G925" s="925"/>
      <c r="H925" s="429" t="s">
        <v>344</v>
      </c>
      <c r="I925" s="373">
        <v>12450</v>
      </c>
      <c r="J925" s="379">
        <v>17500</v>
      </c>
      <c r="K925" s="373"/>
      <c r="L925" s="379"/>
      <c r="M925" s="927">
        <f t="shared" si="160"/>
        <v>217875000</v>
      </c>
      <c r="N925" s="295" t="s">
        <v>264</v>
      </c>
      <c r="O925" s="295" t="s">
        <v>8</v>
      </c>
      <c r="P925" s="75" t="str">
        <f>IF(AND('331-CT'!$E$7=TH!H925,OR(N925="331",O925="331")),"x","")</f>
        <v/>
      </c>
      <c r="Q925" s="75" t="str">
        <f>IF(AND(B925='111'!$L$11,OR($N925=$Q$7,$O925=$Q$7)),"x","")</f>
        <v/>
      </c>
      <c r="R925" s="75" t="str">
        <f>IF(AND($N925=$Q$7,$B925&lt;'111'!$L$11),"x","")</f>
        <v/>
      </c>
      <c r="S925" s="75" t="str">
        <f>IF(AND($O925=$Q$7,$B925&lt;'111'!$L$11),"x","")</f>
        <v/>
      </c>
      <c r="T925" s="75" t="str">
        <f>IF(ISERROR(FIND('112'!$M$9,G925,1)),"",IF((AND(FIND('112'!$M$9,G925,1)&gt;=1,B925='112'!$K$9,OR($N925='112'!$I$6,$O925='112'!$I$6))),"x",""))</f>
        <v/>
      </c>
      <c r="U925" s="75" t="str">
        <f>IF(ISERROR(FIND('112'!$M$9,G925,1)),"",IF((AND(LEFT(G925,2)=LEFT('112'!$M$9,2),B925&lt;'112'!$K$9,$N925='112'!$I$6)),"x",""))</f>
        <v/>
      </c>
      <c r="V925" s="75" t="str">
        <f>IF(ISERROR(FIND('112'!$M$9,G925,1)),"",IF((AND(RIGHT(G925,2)=RIGHT('112'!$M$9,2),B925&lt;'112'!$K$9,$O925='112'!$I$6)),"x",""))</f>
        <v/>
      </c>
      <c r="W925" s="75" t="str">
        <f>IF(AND('341-CT'!$H$9=H925,OR(LEFT(N925,3)=$W$7,LEFT(O925,3)=$W$7)),"x","")</f>
        <v/>
      </c>
      <c r="X925" s="75" t="str">
        <f>IF(OR(TH!N925=TH!$X$7,O925=TH!$X$7),"x","")</f>
        <v/>
      </c>
      <c r="Y925" s="75" t="str">
        <f>IF(AND(OR(N925="131",O925="131"),H925='131-CT'!$H$9),"x","")</f>
        <v/>
      </c>
      <c r="Z925" s="75"/>
      <c r="AA925" s="75" t="str">
        <f>IF(AND(MONTH(E925)='IN-NX'!$J$5,'IN-NX'!$D$7=D925),"x","")</f>
        <v/>
      </c>
      <c r="AB925" s="75" t="str">
        <f>IF(AND(OR(LEFT(TH!N925,2)="15",LEFT(TH!O925,2)="15"),LEFT(TH!O925,3)&lt;&gt;"111",'152-CT'!$J$8=TH!F925),"x","")</f>
        <v/>
      </c>
      <c r="AC925" s="75" t="str">
        <f>IF(AND(OR(LEFT(TH!N925,2)="15",LEFT(TH!O925,2)="15"),TK!$E$7=TH!F925),"x","")</f>
        <v/>
      </c>
      <c r="AD925" s="75" t="str">
        <f>IF(AND(N925="1521",MONTH(C925)='BK-NL'!$M$11),"x","")</f>
        <v/>
      </c>
    </row>
    <row r="926" spans="1:30" ht="16.5" customHeight="1">
      <c r="A926" s="309" t="str">
        <f>IF(B926&lt;&gt;"",IF(AND(B926='IN-TC'!$S$4,OR(TH!N926="1111",TH!O926="1111")),TH!D926,""),"")</f>
        <v/>
      </c>
      <c r="B926" s="1058">
        <f t="shared" si="158"/>
        <v>1</v>
      </c>
      <c r="C926" s="292">
        <f t="shared" si="159"/>
        <v>42737</v>
      </c>
      <c r="D926" s="292" t="s">
        <v>2959</v>
      </c>
      <c r="E926" s="292">
        <v>42737</v>
      </c>
      <c r="F926" s="67" t="s">
        <v>565</v>
      </c>
      <c r="G926" s="925"/>
      <c r="H926" s="429" t="s">
        <v>348</v>
      </c>
      <c r="I926" s="373">
        <v>12630</v>
      </c>
      <c r="J926" s="379">
        <v>17500</v>
      </c>
      <c r="K926" s="373"/>
      <c r="L926" s="379"/>
      <c r="M926" s="927">
        <f t="shared" si="160"/>
        <v>221025000</v>
      </c>
      <c r="N926" s="295" t="s">
        <v>264</v>
      </c>
      <c r="O926" s="295" t="s">
        <v>8</v>
      </c>
      <c r="P926" s="75" t="str">
        <f>IF(AND('331-CT'!$E$7=TH!H926,OR(N926="331",O926="331")),"x","")</f>
        <v/>
      </c>
      <c r="Q926" s="75" t="str">
        <f>IF(AND(B926='111'!$L$11,OR($N926=$Q$7,$O926=$Q$7)),"x","")</f>
        <v/>
      </c>
      <c r="R926" s="75" t="str">
        <f>IF(AND($N926=$Q$7,$B926&lt;'111'!$L$11),"x","")</f>
        <v/>
      </c>
      <c r="S926" s="75" t="str">
        <f>IF(AND($O926=$Q$7,$B926&lt;'111'!$L$11),"x","")</f>
        <v/>
      </c>
      <c r="T926" s="75" t="str">
        <f>IF(ISERROR(FIND('112'!$M$9,G926,1)),"",IF((AND(FIND('112'!$M$9,G926,1)&gt;=1,B926='112'!$K$9,OR($N926='112'!$I$6,$O926='112'!$I$6))),"x",""))</f>
        <v/>
      </c>
      <c r="U926" s="75" t="str">
        <f>IF(ISERROR(FIND('112'!$M$9,G926,1)),"",IF((AND(LEFT(G926,2)=LEFT('112'!$M$9,2),B926&lt;'112'!$K$9,$N926='112'!$I$6)),"x",""))</f>
        <v/>
      </c>
      <c r="V926" s="75" t="str">
        <f>IF(ISERROR(FIND('112'!$M$9,G926,1)),"",IF((AND(RIGHT(G926,2)=RIGHT('112'!$M$9,2),B926&lt;'112'!$K$9,$O926='112'!$I$6)),"x",""))</f>
        <v/>
      </c>
      <c r="W926" s="75" t="str">
        <f>IF(AND('341-CT'!$H$9=H926,OR(LEFT(N926,3)=$W$7,LEFT(O926,3)=$W$7)),"x","")</f>
        <v/>
      </c>
      <c r="X926" s="75" t="str">
        <f>IF(OR(TH!N926=TH!$X$7,O926=TH!$X$7),"x","")</f>
        <v/>
      </c>
      <c r="Y926" s="75" t="str">
        <f>IF(AND(OR(N926="131",O926="131"),H926='131-CT'!$H$9),"x","")</f>
        <v/>
      </c>
      <c r="Z926" s="75"/>
      <c r="AA926" s="75" t="str">
        <f>IF(AND(MONTH(E926)='IN-NX'!$J$5,'IN-NX'!$D$7=D926),"x","")</f>
        <v/>
      </c>
      <c r="AB926" s="75" t="str">
        <f>IF(AND(OR(LEFT(TH!N926,2)="15",LEFT(TH!O926,2)="15"),LEFT(TH!O926,3)&lt;&gt;"111",'152-CT'!$J$8=TH!F926),"x","")</f>
        <v/>
      </c>
      <c r="AC926" s="75" t="str">
        <f>IF(AND(OR(LEFT(TH!N926,2)="15",LEFT(TH!O926,2)="15"),TK!$E$7=TH!F926),"x","")</f>
        <v/>
      </c>
      <c r="AD926" s="75" t="str">
        <f>IF(AND(N926="1521",MONTH(C926)='BK-NL'!$M$11),"x","")</f>
        <v/>
      </c>
    </row>
    <row r="927" spans="1:30" ht="16.5" customHeight="1">
      <c r="A927" s="309" t="str">
        <f>IF(B927&lt;&gt;"",IF(AND(B927='IN-TC'!$S$4,OR(TH!N927="1111",TH!O927="1111")),TH!D927,""),"")</f>
        <v/>
      </c>
      <c r="B927" s="1058">
        <f t="shared" si="158"/>
        <v>1</v>
      </c>
      <c r="C927" s="292">
        <f t="shared" si="159"/>
        <v>42743</v>
      </c>
      <c r="D927" s="292" t="s">
        <v>2974</v>
      </c>
      <c r="E927" s="292">
        <v>42743</v>
      </c>
      <c r="F927" s="67" t="s">
        <v>565</v>
      </c>
      <c r="G927" s="925"/>
      <c r="H927" s="429" t="s">
        <v>350</v>
      </c>
      <c r="I927" s="373">
        <v>12400</v>
      </c>
      <c r="J927" s="379">
        <v>17500</v>
      </c>
      <c r="K927" s="373"/>
      <c r="L927" s="379"/>
      <c r="M927" s="927">
        <f t="shared" si="160"/>
        <v>217000000</v>
      </c>
      <c r="N927" s="295" t="s">
        <v>264</v>
      </c>
      <c r="O927" s="295" t="s">
        <v>8</v>
      </c>
      <c r="P927" s="75" t="str">
        <f>IF(AND('331-CT'!$E$7=TH!H927,OR(N927="331",O927="331")),"x","")</f>
        <v/>
      </c>
      <c r="Q927" s="75" t="str">
        <f>IF(AND(B927='111'!$L$11,OR($N927=$Q$7,$O927=$Q$7)),"x","")</f>
        <v/>
      </c>
      <c r="R927" s="75" t="str">
        <f>IF(AND($N927=$Q$7,$B927&lt;'111'!$L$11),"x","")</f>
        <v/>
      </c>
      <c r="S927" s="75" t="str">
        <f>IF(AND($O927=$Q$7,$B927&lt;'111'!$L$11),"x","")</f>
        <v/>
      </c>
      <c r="T927" s="75" t="str">
        <f>IF(ISERROR(FIND('112'!$M$9,G927,1)),"",IF((AND(FIND('112'!$M$9,G927,1)&gt;=1,B927='112'!$K$9,OR($N927='112'!$I$6,$O927='112'!$I$6))),"x",""))</f>
        <v/>
      </c>
      <c r="U927" s="75" t="str">
        <f>IF(ISERROR(FIND('112'!$M$9,G927,1)),"",IF((AND(LEFT(G927,2)=LEFT('112'!$M$9,2),B927&lt;'112'!$K$9,$N927='112'!$I$6)),"x",""))</f>
        <v/>
      </c>
      <c r="V927" s="75" t="str">
        <f>IF(ISERROR(FIND('112'!$M$9,G927,1)),"",IF((AND(RIGHT(G927,2)=RIGHT('112'!$M$9,2),B927&lt;'112'!$K$9,$O927='112'!$I$6)),"x",""))</f>
        <v/>
      </c>
      <c r="W927" s="75" t="str">
        <f>IF(AND('341-CT'!$H$9=H927,OR(LEFT(N927,3)=$W$7,LEFT(O927,3)=$W$7)),"x","")</f>
        <v/>
      </c>
      <c r="X927" s="75" t="str">
        <f>IF(OR(TH!N927=TH!$X$7,O927=TH!$X$7),"x","")</f>
        <v/>
      </c>
      <c r="Y927" s="75" t="str">
        <f>IF(AND(OR(N927="131",O927="131"),H927='131-CT'!$H$9),"x","")</f>
        <v/>
      </c>
      <c r="Z927" s="75"/>
      <c r="AA927" s="75" t="str">
        <f>IF(AND(MONTH(E927)='IN-NX'!$J$5,'IN-NX'!$D$7=D927),"x","")</f>
        <v/>
      </c>
      <c r="AB927" s="75" t="str">
        <f>IF(AND(OR(LEFT(TH!N927,2)="15",LEFT(TH!O927,2)="15"),LEFT(TH!O927,3)&lt;&gt;"111",'152-CT'!$J$8=TH!F927),"x","")</f>
        <v/>
      </c>
      <c r="AC927" s="75" t="str">
        <f>IF(AND(OR(LEFT(TH!N927,2)="15",LEFT(TH!O927,2)="15"),TK!$E$7=TH!F927),"x","")</f>
        <v/>
      </c>
      <c r="AD927" s="75" t="str">
        <f>IF(AND(N927="1521",MONTH(C927)='BK-NL'!$M$11),"x","")</f>
        <v/>
      </c>
    </row>
    <row r="928" spans="1:30" ht="16.5" customHeight="1">
      <c r="A928" s="309" t="str">
        <f>IF(B928&lt;&gt;"",IF(AND(B928='IN-TC'!$S$4,OR(TH!N928="1111",TH!O928="1111")),TH!D928,""),"")</f>
        <v/>
      </c>
      <c r="B928" s="1058">
        <f t="shared" si="158"/>
        <v>1</v>
      </c>
      <c r="C928" s="292">
        <f t="shared" si="159"/>
        <v>42743</v>
      </c>
      <c r="D928" s="292" t="s">
        <v>2975</v>
      </c>
      <c r="E928" s="292">
        <v>42743</v>
      </c>
      <c r="F928" s="67" t="s">
        <v>565</v>
      </c>
      <c r="G928" s="925"/>
      <c r="H928" s="429" t="s">
        <v>342</v>
      </c>
      <c r="I928" s="373">
        <v>12430</v>
      </c>
      <c r="J928" s="379">
        <v>17500</v>
      </c>
      <c r="K928" s="373"/>
      <c r="L928" s="379"/>
      <c r="M928" s="927">
        <f t="shared" si="160"/>
        <v>217525000</v>
      </c>
      <c r="N928" s="295" t="s">
        <v>264</v>
      </c>
      <c r="O928" s="295" t="s">
        <v>8</v>
      </c>
      <c r="P928" s="75" t="str">
        <f>IF(AND('331-CT'!$E$7=TH!H928,OR(N928="331",O928="331")),"x","")</f>
        <v/>
      </c>
      <c r="Q928" s="75" t="str">
        <f>IF(AND(B928='111'!$L$11,OR($N928=$Q$7,$O928=$Q$7)),"x","")</f>
        <v/>
      </c>
      <c r="R928" s="75" t="str">
        <f>IF(AND($N928=$Q$7,$B928&lt;'111'!$L$11),"x","")</f>
        <v/>
      </c>
      <c r="S928" s="75" t="str">
        <f>IF(AND($O928=$Q$7,$B928&lt;'111'!$L$11),"x","")</f>
        <v/>
      </c>
      <c r="T928" s="75" t="str">
        <f>IF(ISERROR(FIND('112'!$M$9,G928,1)),"",IF((AND(FIND('112'!$M$9,G928,1)&gt;=1,B928='112'!$K$9,OR($N928='112'!$I$6,$O928='112'!$I$6))),"x",""))</f>
        <v/>
      </c>
      <c r="U928" s="75" t="str">
        <f>IF(ISERROR(FIND('112'!$M$9,G928,1)),"",IF((AND(LEFT(G928,2)=LEFT('112'!$M$9,2),B928&lt;'112'!$K$9,$N928='112'!$I$6)),"x",""))</f>
        <v/>
      </c>
      <c r="V928" s="75" t="str">
        <f>IF(ISERROR(FIND('112'!$M$9,G928,1)),"",IF((AND(RIGHT(G928,2)=RIGHT('112'!$M$9,2),B928&lt;'112'!$K$9,$O928='112'!$I$6)),"x",""))</f>
        <v/>
      </c>
      <c r="W928" s="75" t="str">
        <f>IF(AND('341-CT'!$H$9=H928,OR(LEFT(N928,3)=$W$7,LEFT(O928,3)=$W$7)),"x","")</f>
        <v/>
      </c>
      <c r="X928" s="75" t="str">
        <f>IF(OR(TH!N928=TH!$X$7,O928=TH!$X$7),"x","")</f>
        <v/>
      </c>
      <c r="Y928" s="75" t="str">
        <f>IF(AND(OR(N928="131",O928="131"),H928='131-CT'!$H$9),"x","")</f>
        <v/>
      </c>
      <c r="Z928" s="75"/>
      <c r="AA928" s="75" t="str">
        <f>IF(AND(MONTH(E928)='IN-NX'!$J$5,'IN-NX'!$D$7=D928),"x","")</f>
        <v/>
      </c>
      <c r="AB928" s="75" t="str">
        <f>IF(AND(OR(LEFT(TH!N928,2)="15",LEFT(TH!O928,2)="15"),LEFT(TH!O928,3)&lt;&gt;"111",'152-CT'!$J$8=TH!F928),"x","")</f>
        <v/>
      </c>
      <c r="AC928" s="75" t="str">
        <f>IF(AND(OR(LEFT(TH!N928,2)="15",LEFT(TH!O928,2)="15"),TK!$E$7=TH!F928),"x","")</f>
        <v/>
      </c>
      <c r="AD928" s="75" t="str">
        <f>IF(AND(N928="1521",MONTH(C928)='BK-NL'!$M$11),"x","")</f>
        <v/>
      </c>
    </row>
    <row r="929" spans="1:30" ht="16.5" customHeight="1">
      <c r="A929" s="309" t="str">
        <f>IF(B929&lt;&gt;"",IF(AND(B929='IN-TC'!$S$4,OR(TH!N929="1111",TH!O929="1111")),TH!D929,""),"")</f>
        <v/>
      </c>
      <c r="B929" s="1058">
        <f t="shared" si="158"/>
        <v>1</v>
      </c>
      <c r="C929" s="292">
        <f t="shared" si="159"/>
        <v>42743</v>
      </c>
      <c r="D929" s="292" t="s">
        <v>2976</v>
      </c>
      <c r="E929" s="292">
        <v>42743</v>
      </c>
      <c r="F929" s="67" t="s">
        <v>565</v>
      </c>
      <c r="G929" s="925"/>
      <c r="H929" s="429" t="s">
        <v>344</v>
      </c>
      <c r="I929" s="373">
        <v>12420</v>
      </c>
      <c r="J929" s="379">
        <v>17500</v>
      </c>
      <c r="K929" s="373"/>
      <c r="L929" s="379"/>
      <c r="M929" s="927">
        <f t="shared" si="160"/>
        <v>217350000</v>
      </c>
      <c r="N929" s="295" t="s">
        <v>264</v>
      </c>
      <c r="O929" s="295" t="s">
        <v>8</v>
      </c>
      <c r="P929" s="75" t="str">
        <f>IF(AND('331-CT'!$E$7=TH!H929,OR(N929="331",O929="331")),"x","")</f>
        <v/>
      </c>
      <c r="Q929" s="75" t="str">
        <f>IF(AND(B929='111'!$L$11,OR($N929=$Q$7,$O929=$Q$7)),"x","")</f>
        <v/>
      </c>
      <c r="R929" s="75" t="str">
        <f>IF(AND($N929=$Q$7,$B929&lt;'111'!$L$11),"x","")</f>
        <v/>
      </c>
      <c r="S929" s="75" t="str">
        <f>IF(AND($O929=$Q$7,$B929&lt;'111'!$L$11),"x","")</f>
        <v/>
      </c>
      <c r="T929" s="75" t="str">
        <f>IF(ISERROR(FIND('112'!$M$9,G929,1)),"",IF((AND(FIND('112'!$M$9,G929,1)&gt;=1,B929='112'!$K$9,OR($N929='112'!$I$6,$O929='112'!$I$6))),"x",""))</f>
        <v/>
      </c>
      <c r="U929" s="75" t="str">
        <f>IF(ISERROR(FIND('112'!$M$9,G929,1)),"",IF((AND(LEFT(G929,2)=LEFT('112'!$M$9,2),B929&lt;'112'!$K$9,$N929='112'!$I$6)),"x",""))</f>
        <v/>
      </c>
      <c r="V929" s="75" t="str">
        <f>IF(ISERROR(FIND('112'!$M$9,G929,1)),"",IF((AND(RIGHT(G929,2)=RIGHT('112'!$M$9,2),B929&lt;'112'!$K$9,$O929='112'!$I$6)),"x",""))</f>
        <v/>
      </c>
      <c r="W929" s="75" t="str">
        <f>IF(AND('341-CT'!$H$9=H929,OR(LEFT(N929,3)=$W$7,LEFT(O929,3)=$W$7)),"x","")</f>
        <v/>
      </c>
      <c r="X929" s="75" t="str">
        <f>IF(OR(TH!N929=TH!$X$7,O929=TH!$X$7),"x","")</f>
        <v/>
      </c>
      <c r="Y929" s="75" t="str">
        <f>IF(AND(OR(N929="131",O929="131"),H929='131-CT'!$H$9),"x","")</f>
        <v/>
      </c>
      <c r="Z929" s="75"/>
      <c r="AA929" s="75" t="str">
        <f>IF(AND(MONTH(E929)='IN-NX'!$J$5,'IN-NX'!$D$7=D929),"x","")</f>
        <v/>
      </c>
      <c r="AB929" s="75" t="str">
        <f>IF(AND(OR(LEFT(TH!N929,2)="15",LEFT(TH!O929,2)="15"),LEFT(TH!O929,3)&lt;&gt;"111",'152-CT'!$J$8=TH!F929),"x","")</f>
        <v/>
      </c>
      <c r="AC929" s="75" t="str">
        <f>IF(AND(OR(LEFT(TH!N929,2)="15",LEFT(TH!O929,2)="15"),TK!$E$7=TH!F929),"x","")</f>
        <v/>
      </c>
      <c r="AD929" s="75" t="str">
        <f>IF(AND(N929="1521",MONTH(C929)='BK-NL'!$M$11),"x","")</f>
        <v/>
      </c>
    </row>
    <row r="930" spans="1:30" ht="16.5" customHeight="1">
      <c r="A930" s="309" t="str">
        <f>IF(B930&lt;&gt;"",IF(AND(B930='IN-TC'!$S$4,OR(TH!N930="1111",TH!O930="1111")),TH!D930,""),"")</f>
        <v/>
      </c>
      <c r="B930" s="1058">
        <f t="shared" si="158"/>
        <v>1</v>
      </c>
      <c r="C930" s="292">
        <f t="shared" si="159"/>
        <v>42746</v>
      </c>
      <c r="D930" s="292" t="s">
        <v>2980</v>
      </c>
      <c r="E930" s="292">
        <v>42746</v>
      </c>
      <c r="F930" s="67" t="s">
        <v>565</v>
      </c>
      <c r="G930" s="925"/>
      <c r="H930" s="429" t="s">
        <v>348</v>
      </c>
      <c r="I930" s="373">
        <v>12470</v>
      </c>
      <c r="J930" s="379">
        <v>17500</v>
      </c>
      <c r="K930" s="373"/>
      <c r="L930" s="379"/>
      <c r="M930" s="927">
        <f t="shared" si="160"/>
        <v>218225000</v>
      </c>
      <c r="N930" s="295" t="s">
        <v>264</v>
      </c>
      <c r="O930" s="295" t="s">
        <v>8</v>
      </c>
      <c r="P930" s="75" t="str">
        <f>IF(AND('331-CT'!$E$7=TH!H930,OR(N930="331",O930="331")),"x","")</f>
        <v/>
      </c>
      <c r="Q930" s="75" t="str">
        <f>IF(AND(B930='111'!$L$11,OR($N930=$Q$7,$O930=$Q$7)),"x","")</f>
        <v/>
      </c>
      <c r="R930" s="75" t="str">
        <f>IF(AND($N930=$Q$7,$B930&lt;'111'!$L$11),"x","")</f>
        <v/>
      </c>
      <c r="S930" s="75" t="str">
        <f>IF(AND($O930=$Q$7,$B930&lt;'111'!$L$11),"x","")</f>
        <v/>
      </c>
      <c r="T930" s="75" t="str">
        <f>IF(ISERROR(FIND('112'!$M$9,G930,1)),"",IF((AND(FIND('112'!$M$9,G930,1)&gt;=1,B930='112'!$K$9,OR($N930='112'!$I$6,$O930='112'!$I$6))),"x",""))</f>
        <v/>
      </c>
      <c r="U930" s="75" t="str">
        <f>IF(ISERROR(FIND('112'!$M$9,G930,1)),"",IF((AND(LEFT(G930,2)=LEFT('112'!$M$9,2),B930&lt;'112'!$K$9,$N930='112'!$I$6)),"x",""))</f>
        <v/>
      </c>
      <c r="V930" s="75" t="str">
        <f>IF(ISERROR(FIND('112'!$M$9,G930,1)),"",IF((AND(RIGHT(G930,2)=RIGHT('112'!$M$9,2),B930&lt;'112'!$K$9,$O930='112'!$I$6)),"x",""))</f>
        <v/>
      </c>
      <c r="W930" s="75" t="str">
        <f>IF(AND('341-CT'!$H$9=H930,OR(LEFT(N930,3)=$W$7,LEFT(O930,3)=$W$7)),"x","")</f>
        <v/>
      </c>
      <c r="X930" s="75" t="str">
        <f>IF(OR(TH!N930=TH!$X$7,O930=TH!$X$7),"x","")</f>
        <v/>
      </c>
      <c r="Y930" s="75" t="str">
        <f>IF(AND(OR(N930="131",O930="131"),H930='131-CT'!$H$9),"x","")</f>
        <v/>
      </c>
      <c r="Z930" s="75"/>
      <c r="AA930" s="75" t="str">
        <f>IF(AND(MONTH(E930)='IN-NX'!$J$5,'IN-NX'!$D$7=D930),"x","")</f>
        <v/>
      </c>
      <c r="AB930" s="75" t="str">
        <f>IF(AND(OR(LEFT(TH!N930,2)="15",LEFT(TH!O930,2)="15"),LEFT(TH!O930,3)&lt;&gt;"111",'152-CT'!$J$8=TH!F930),"x","")</f>
        <v/>
      </c>
      <c r="AC930" s="75" t="str">
        <f>IF(AND(OR(LEFT(TH!N930,2)="15",LEFT(TH!O930,2)="15"),TK!$E$7=TH!F930),"x","")</f>
        <v/>
      </c>
      <c r="AD930" s="75" t="str">
        <f>IF(AND(N930="1521",MONTH(C930)='BK-NL'!$M$11),"x","")</f>
        <v/>
      </c>
    </row>
    <row r="931" spans="1:30" ht="16.5" customHeight="1">
      <c r="A931" s="309" t="str">
        <f>IF(B931&lt;&gt;"",IF(AND(B931='IN-TC'!$S$4,OR(TH!N931="1111",TH!O931="1111")),TH!D931,""),"")</f>
        <v/>
      </c>
      <c r="B931" s="1058">
        <f t="shared" si="157"/>
        <v>1</v>
      </c>
      <c r="C931" s="292">
        <f t="shared" ref="C931:C953" si="161">E931</f>
        <v>42746</v>
      </c>
      <c r="D931" s="292" t="s">
        <v>2981</v>
      </c>
      <c r="E931" s="292">
        <v>42746</v>
      </c>
      <c r="F931" s="67" t="s">
        <v>565</v>
      </c>
      <c r="G931" s="925"/>
      <c r="H931" s="429" t="s">
        <v>342</v>
      </c>
      <c r="I931" s="373">
        <v>12980</v>
      </c>
      <c r="J931" s="379">
        <v>17500</v>
      </c>
      <c r="K931" s="373"/>
      <c r="L931" s="379"/>
      <c r="M931" s="927">
        <f t="shared" ref="M931:M953" si="162">ROUND(I931*J931,0)</f>
        <v>227150000</v>
      </c>
      <c r="N931" s="295" t="s">
        <v>264</v>
      </c>
      <c r="O931" s="295" t="s">
        <v>8</v>
      </c>
      <c r="P931" s="75" t="str">
        <f>IF(AND('331-CT'!$E$7=TH!H931,OR(N931="331",O931="331")),"x","")</f>
        <v/>
      </c>
      <c r="Q931" s="75" t="str">
        <f>IF(AND(B931='111'!$L$11,OR($N931=$Q$7,$O931=$Q$7)),"x","")</f>
        <v/>
      </c>
      <c r="R931" s="75" t="str">
        <f>IF(AND($N931=$Q$7,$B931&lt;'111'!$L$11),"x","")</f>
        <v/>
      </c>
      <c r="S931" s="75" t="str">
        <f>IF(AND($O931=$Q$7,$B931&lt;'111'!$L$11),"x","")</f>
        <v/>
      </c>
      <c r="T931" s="75" t="str">
        <f>IF(ISERROR(FIND('112'!$M$9,G931,1)),"",IF((AND(FIND('112'!$M$9,G931,1)&gt;=1,B931='112'!$K$9,OR($N931='112'!$I$6,$O931='112'!$I$6))),"x",""))</f>
        <v/>
      </c>
      <c r="U931" s="75" t="str">
        <f>IF(ISERROR(FIND('112'!$M$9,G931,1)),"",IF((AND(LEFT(G931,2)=LEFT('112'!$M$9,2),B931&lt;'112'!$K$9,$N931='112'!$I$6)),"x",""))</f>
        <v/>
      </c>
      <c r="V931" s="75" t="str">
        <f>IF(ISERROR(FIND('112'!$M$9,G931,1)),"",IF((AND(RIGHT(G931,2)=RIGHT('112'!$M$9,2),B931&lt;'112'!$K$9,$O931='112'!$I$6)),"x",""))</f>
        <v/>
      </c>
      <c r="W931" s="75" t="str">
        <f>IF(AND('341-CT'!$H$9=H931,OR(LEFT(N931,3)=$W$7,LEFT(O931,3)=$W$7)),"x","")</f>
        <v/>
      </c>
      <c r="X931" s="75" t="str">
        <f>IF(OR(TH!N931=TH!$X$7,O931=TH!$X$7),"x","")</f>
        <v/>
      </c>
      <c r="Y931" s="75" t="str">
        <f>IF(AND(OR(N931="131",O931="131"),H931='131-CT'!$H$9),"x","")</f>
        <v/>
      </c>
      <c r="Z931" s="75"/>
      <c r="AA931" s="75" t="str">
        <f>IF(AND(MONTH(E931)='IN-NX'!$J$5,'IN-NX'!$D$7=D931),"x","")</f>
        <v/>
      </c>
      <c r="AB931" s="75" t="str">
        <f>IF(AND(OR(LEFT(TH!N931,2)="15",LEFT(TH!O931,2)="15"),LEFT(TH!O931,3)&lt;&gt;"111",'152-CT'!$J$8=TH!F931),"x","")</f>
        <v/>
      </c>
      <c r="AC931" s="75" t="str">
        <f>IF(AND(OR(LEFT(TH!N931,2)="15",LEFT(TH!O931,2)="15"),TK!$E$7=TH!F931),"x","")</f>
        <v/>
      </c>
      <c r="AD931" s="75" t="str">
        <f>IF(AND(N931="1521",MONTH(C931)='BK-NL'!$M$11),"x","")</f>
        <v/>
      </c>
    </row>
    <row r="932" spans="1:30" ht="16.5" customHeight="1">
      <c r="A932" s="309" t="str">
        <f>IF(B932&lt;&gt;"",IF(AND(B932='IN-TC'!$S$4,OR(TH!N932="1111",TH!O932="1111")),TH!D932,""),"")</f>
        <v/>
      </c>
      <c r="B932" s="1058">
        <f t="shared" si="157"/>
        <v>1</v>
      </c>
      <c r="C932" s="292">
        <f t="shared" si="161"/>
        <v>42750</v>
      </c>
      <c r="D932" s="292" t="s">
        <v>2986</v>
      </c>
      <c r="E932" s="292">
        <v>42750</v>
      </c>
      <c r="F932" s="67" t="s">
        <v>565</v>
      </c>
      <c r="G932" s="925"/>
      <c r="H932" s="429" t="s">
        <v>350</v>
      </c>
      <c r="I932" s="373">
        <v>12790</v>
      </c>
      <c r="J932" s="379">
        <v>17500</v>
      </c>
      <c r="K932" s="373"/>
      <c r="L932" s="379"/>
      <c r="M932" s="927">
        <f t="shared" si="162"/>
        <v>223825000</v>
      </c>
      <c r="N932" s="295" t="s">
        <v>264</v>
      </c>
      <c r="O932" s="295" t="s">
        <v>8</v>
      </c>
      <c r="P932" s="75" t="str">
        <f>IF(AND('331-CT'!$E$7=TH!H932,OR(N932="331",O932="331")),"x","")</f>
        <v/>
      </c>
      <c r="Q932" s="75" t="str">
        <f>IF(AND(B932='111'!$L$11,OR($N932=$Q$7,$O932=$Q$7)),"x","")</f>
        <v/>
      </c>
      <c r="R932" s="75" t="str">
        <f>IF(AND($N932=$Q$7,$B932&lt;'111'!$L$11),"x","")</f>
        <v/>
      </c>
      <c r="S932" s="75" t="str">
        <f>IF(AND($O932=$Q$7,$B932&lt;'111'!$L$11),"x","")</f>
        <v/>
      </c>
      <c r="T932" s="75" t="str">
        <f>IF(ISERROR(FIND('112'!$M$9,G932,1)),"",IF((AND(FIND('112'!$M$9,G932,1)&gt;=1,B932='112'!$K$9,OR($N932='112'!$I$6,$O932='112'!$I$6))),"x",""))</f>
        <v/>
      </c>
      <c r="U932" s="75" t="str">
        <f>IF(ISERROR(FIND('112'!$M$9,G932,1)),"",IF((AND(LEFT(G932,2)=LEFT('112'!$M$9,2),B932&lt;'112'!$K$9,$N932='112'!$I$6)),"x",""))</f>
        <v/>
      </c>
      <c r="V932" s="75" t="str">
        <f>IF(ISERROR(FIND('112'!$M$9,G932,1)),"",IF((AND(RIGHT(G932,2)=RIGHT('112'!$M$9,2),B932&lt;'112'!$K$9,$O932='112'!$I$6)),"x",""))</f>
        <v/>
      </c>
      <c r="W932" s="75" t="str">
        <f>IF(AND('341-CT'!$H$9=H932,OR(LEFT(N932,3)=$W$7,LEFT(O932,3)=$W$7)),"x","")</f>
        <v/>
      </c>
      <c r="X932" s="75" t="str">
        <f>IF(OR(TH!N932=TH!$X$7,O932=TH!$X$7),"x","")</f>
        <v/>
      </c>
      <c r="Y932" s="75" t="str">
        <f>IF(AND(OR(N932="131",O932="131"),H932='131-CT'!$H$9),"x","")</f>
        <v/>
      </c>
      <c r="Z932" s="75"/>
      <c r="AA932" s="75" t="str">
        <f>IF(AND(MONTH(E932)='IN-NX'!$J$5,'IN-NX'!$D$7=D932),"x","")</f>
        <v/>
      </c>
      <c r="AB932" s="75" t="str">
        <f>IF(AND(OR(LEFT(TH!N932,2)="15",LEFT(TH!O932,2)="15"),LEFT(TH!O932,3)&lt;&gt;"111",'152-CT'!$J$8=TH!F932),"x","")</f>
        <v/>
      </c>
      <c r="AC932" s="75" t="str">
        <f>IF(AND(OR(LEFT(TH!N932,2)="15",LEFT(TH!O932,2)="15"),TK!$E$7=TH!F932),"x","")</f>
        <v/>
      </c>
      <c r="AD932" s="75" t="str">
        <f>IF(AND(N932="1521",MONTH(C932)='BK-NL'!$M$11),"x","")</f>
        <v/>
      </c>
    </row>
    <row r="933" spans="1:30" ht="16.5" customHeight="1">
      <c r="A933" s="309" t="str">
        <f>IF(B933&lt;&gt;"",IF(AND(B933='IN-TC'!$S$4,OR(TH!N933="1111",TH!O933="1111")),TH!D933,""),"")</f>
        <v/>
      </c>
      <c r="B933" s="1058">
        <f t="shared" si="157"/>
        <v>1</v>
      </c>
      <c r="C933" s="292">
        <f t="shared" si="161"/>
        <v>42750</v>
      </c>
      <c r="D933" s="292" t="s">
        <v>2987</v>
      </c>
      <c r="E933" s="292">
        <v>42750</v>
      </c>
      <c r="F933" s="67" t="s">
        <v>565</v>
      </c>
      <c r="G933" s="925"/>
      <c r="H933" s="429" t="s">
        <v>342</v>
      </c>
      <c r="I933" s="373">
        <f>(100800+24640)-SUM(I924:I932)</f>
        <v>12860</v>
      </c>
      <c r="J933" s="379">
        <v>17500</v>
      </c>
      <c r="K933" s="373"/>
      <c r="L933" s="379"/>
      <c r="M933" s="927">
        <f t="shared" si="162"/>
        <v>225050000</v>
      </c>
      <c r="N933" s="295" t="s">
        <v>264</v>
      </c>
      <c r="O933" s="295" t="s">
        <v>8</v>
      </c>
      <c r="P933" s="75" t="str">
        <f>IF(AND('331-CT'!$E$7=TH!H933,OR(N933="331",O933="331")),"x","")</f>
        <v/>
      </c>
      <c r="Q933" s="75" t="str">
        <f>IF(AND(B933='111'!$L$11,OR($N933=$Q$7,$O933=$Q$7)),"x","")</f>
        <v/>
      </c>
      <c r="R933" s="75" t="str">
        <f>IF(AND($N933=$Q$7,$B933&lt;'111'!$L$11),"x","")</f>
        <v/>
      </c>
      <c r="S933" s="75" t="str">
        <f>IF(AND($O933=$Q$7,$B933&lt;'111'!$L$11),"x","")</f>
        <v/>
      </c>
      <c r="T933" s="75" t="str">
        <f>IF(ISERROR(FIND('112'!$M$9,G933,1)),"",IF((AND(FIND('112'!$M$9,G933,1)&gt;=1,B933='112'!$K$9,OR($N933='112'!$I$6,$O933='112'!$I$6))),"x",""))</f>
        <v/>
      </c>
      <c r="U933" s="75" t="str">
        <f>IF(ISERROR(FIND('112'!$M$9,G933,1)),"",IF((AND(LEFT(G933,2)=LEFT('112'!$M$9,2),B933&lt;'112'!$K$9,$N933='112'!$I$6)),"x",""))</f>
        <v/>
      </c>
      <c r="V933" s="75" t="str">
        <f>IF(ISERROR(FIND('112'!$M$9,G933,1)),"",IF((AND(RIGHT(G933,2)=RIGHT('112'!$M$9,2),B933&lt;'112'!$K$9,$O933='112'!$I$6)),"x",""))</f>
        <v/>
      </c>
      <c r="W933" s="75" t="str">
        <f>IF(AND('341-CT'!$H$9=H933,OR(LEFT(N933,3)=$W$7,LEFT(O933,3)=$W$7)),"x","")</f>
        <v/>
      </c>
      <c r="X933" s="75" t="str">
        <f>IF(OR(TH!N933=TH!$X$7,O933=TH!$X$7),"x","")</f>
        <v/>
      </c>
      <c r="Y933" s="75" t="str">
        <f>IF(AND(OR(N933="131",O933="131"),H933='131-CT'!$H$9),"x","")</f>
        <v/>
      </c>
      <c r="Z933" s="75"/>
      <c r="AA933" s="75" t="str">
        <f>IF(AND(MONTH(E933)='IN-NX'!$J$5,'IN-NX'!$D$7=D933),"x","")</f>
        <v/>
      </c>
      <c r="AB933" s="75" t="str">
        <f>IF(AND(OR(LEFT(TH!N933,2)="15",LEFT(TH!O933,2)="15"),LEFT(TH!O933,3)&lt;&gt;"111",'152-CT'!$J$8=TH!F933),"x","")</f>
        <v/>
      </c>
      <c r="AC933" s="75" t="str">
        <f>IF(AND(OR(LEFT(TH!N933,2)="15",LEFT(TH!O933,2)="15"),TK!$E$7=TH!F933),"x","")</f>
        <v/>
      </c>
      <c r="AD933" s="75" t="str">
        <f>IF(AND(N933="1521",MONTH(C933)='BK-NL'!$M$11),"x","")</f>
        <v/>
      </c>
    </row>
    <row r="934" spans="1:30" ht="16.5" customHeight="1">
      <c r="A934" s="309" t="str">
        <f>IF(B934&lt;&gt;"",IF(AND(B934='IN-TC'!$S$4,OR(TH!N934="1111",TH!O934="1111")),TH!D934,""),"")</f>
        <v/>
      </c>
      <c r="B934" s="1058">
        <f t="shared" si="157"/>
        <v>1</v>
      </c>
      <c r="C934" s="292">
        <f t="shared" si="161"/>
        <v>42738</v>
      </c>
      <c r="D934" s="292" t="s">
        <v>2960</v>
      </c>
      <c r="E934" s="292">
        <v>42738</v>
      </c>
      <c r="F934" s="67" t="s">
        <v>566</v>
      </c>
      <c r="G934" s="925"/>
      <c r="H934" s="67" t="s">
        <v>403</v>
      </c>
      <c r="I934" s="373">
        <v>14860</v>
      </c>
      <c r="J934" s="379">
        <v>16700</v>
      </c>
      <c r="K934" s="373"/>
      <c r="L934" s="379"/>
      <c r="M934" s="927">
        <f t="shared" si="162"/>
        <v>248162000</v>
      </c>
      <c r="N934" s="295" t="s">
        <v>264</v>
      </c>
      <c r="O934" s="295" t="s">
        <v>8</v>
      </c>
      <c r="P934" s="75" t="str">
        <f>IF(AND('331-CT'!$E$7=TH!H934,OR(N934="331",O934="331")),"x","")</f>
        <v/>
      </c>
      <c r="Q934" s="75" t="str">
        <f>IF(AND(B934='111'!$L$11,OR($N934=$Q$7,$O934=$Q$7)),"x","")</f>
        <v/>
      </c>
      <c r="R934" s="75" t="str">
        <f>IF(AND($N934=$Q$7,$B934&lt;'111'!$L$11),"x","")</f>
        <v/>
      </c>
      <c r="S934" s="75" t="str">
        <f>IF(AND($O934=$Q$7,$B934&lt;'111'!$L$11),"x","")</f>
        <v/>
      </c>
      <c r="T934" s="75" t="str">
        <f>IF(ISERROR(FIND('112'!$M$9,G934,1)),"",IF((AND(FIND('112'!$M$9,G934,1)&gt;=1,B934='112'!$K$9,OR($N934='112'!$I$6,$O934='112'!$I$6))),"x",""))</f>
        <v/>
      </c>
      <c r="U934" s="75" t="str">
        <f>IF(ISERROR(FIND('112'!$M$9,G934,1)),"",IF((AND(LEFT(G934,2)=LEFT('112'!$M$9,2),B934&lt;'112'!$K$9,$N934='112'!$I$6)),"x",""))</f>
        <v/>
      </c>
      <c r="V934" s="75" t="str">
        <f>IF(ISERROR(FIND('112'!$M$9,G934,1)),"",IF((AND(RIGHT(G934,2)=RIGHT('112'!$M$9,2),B934&lt;'112'!$K$9,$O934='112'!$I$6)),"x",""))</f>
        <v/>
      </c>
      <c r="W934" s="75" t="str">
        <f>IF(AND('341-CT'!$H$9=H934,OR(LEFT(N934,3)=$W$7,LEFT(O934,3)=$W$7)),"x","")</f>
        <v/>
      </c>
      <c r="X934" s="75" t="str">
        <f>IF(OR(TH!N934=TH!$X$7,O934=TH!$X$7),"x","")</f>
        <v/>
      </c>
      <c r="Y934" s="75" t="str">
        <f>IF(AND(OR(N934="131",O934="131"),H934='131-CT'!$H$9),"x","")</f>
        <v/>
      </c>
      <c r="Z934" s="75"/>
      <c r="AA934" s="75" t="str">
        <f>IF(AND(MONTH(E934)='IN-NX'!$J$5,'IN-NX'!$D$7=D934),"x","")</f>
        <v/>
      </c>
      <c r="AB934" s="75" t="str">
        <f>IF(AND(OR(LEFT(TH!N934,2)="15",LEFT(TH!O934,2)="15"),LEFT(TH!O934,3)&lt;&gt;"111",'152-CT'!$J$8=TH!F934),"x","")</f>
        <v/>
      </c>
      <c r="AC934" s="75" t="str">
        <f>IF(AND(OR(LEFT(TH!N934,2)="15",LEFT(TH!O934,2)="15"),TK!$E$7=TH!F934),"x","")</f>
        <v/>
      </c>
      <c r="AD934" s="75" t="str">
        <f>IF(AND(N934="1521",MONTH(C934)='BK-NL'!$M$11),"x","")</f>
        <v/>
      </c>
    </row>
    <row r="935" spans="1:30" ht="16.5" customHeight="1">
      <c r="A935" s="309" t="str">
        <f>IF(B935&lt;&gt;"",IF(AND(B935='IN-TC'!$S$4,OR(TH!N935="1111",TH!O935="1111")),TH!D935,""),"")</f>
        <v/>
      </c>
      <c r="B935" s="1058">
        <f t="shared" si="157"/>
        <v>1</v>
      </c>
      <c r="C935" s="292">
        <f t="shared" si="161"/>
        <v>42738</v>
      </c>
      <c r="D935" s="292" t="s">
        <v>2961</v>
      </c>
      <c r="E935" s="292">
        <v>42738</v>
      </c>
      <c r="F935" s="67" t="s">
        <v>566</v>
      </c>
      <c r="G935" s="925"/>
      <c r="H935" s="294" t="s">
        <v>404</v>
      </c>
      <c r="I935" s="373">
        <v>15890</v>
      </c>
      <c r="J935" s="379">
        <v>16700</v>
      </c>
      <c r="K935" s="373"/>
      <c r="L935" s="379"/>
      <c r="M935" s="927">
        <f t="shared" si="162"/>
        <v>265363000</v>
      </c>
      <c r="N935" s="295" t="s">
        <v>264</v>
      </c>
      <c r="O935" s="295" t="s">
        <v>8</v>
      </c>
      <c r="P935" s="75" t="str">
        <f>IF(AND('331-CT'!$E$7=TH!H935,OR(N935="331",O935="331")),"x","")</f>
        <v/>
      </c>
      <c r="Q935" s="75" t="str">
        <f>IF(AND(B935='111'!$L$11,OR($N935=$Q$7,$O935=$Q$7)),"x","")</f>
        <v/>
      </c>
      <c r="R935" s="75" t="str">
        <f>IF(AND($N935=$Q$7,$B935&lt;'111'!$L$11),"x","")</f>
        <v/>
      </c>
      <c r="S935" s="75" t="str">
        <f>IF(AND($O935=$Q$7,$B935&lt;'111'!$L$11),"x","")</f>
        <v/>
      </c>
      <c r="T935" s="75" t="str">
        <f>IF(ISERROR(FIND('112'!$M$9,G935,1)),"",IF((AND(FIND('112'!$M$9,G935,1)&gt;=1,B935='112'!$K$9,OR($N935='112'!$I$6,$O935='112'!$I$6))),"x",""))</f>
        <v/>
      </c>
      <c r="U935" s="75" t="str">
        <f>IF(ISERROR(FIND('112'!$M$9,G935,1)),"",IF((AND(LEFT(G935,2)=LEFT('112'!$M$9,2),B935&lt;'112'!$K$9,$N935='112'!$I$6)),"x",""))</f>
        <v/>
      </c>
      <c r="V935" s="75" t="str">
        <f>IF(ISERROR(FIND('112'!$M$9,G935,1)),"",IF((AND(RIGHT(G935,2)=RIGHT('112'!$M$9,2),B935&lt;'112'!$K$9,$O935='112'!$I$6)),"x",""))</f>
        <v/>
      </c>
      <c r="W935" s="75" t="str">
        <f>IF(AND('341-CT'!$H$9=H935,OR(LEFT(N935,3)=$W$7,LEFT(O935,3)=$W$7)),"x","")</f>
        <v/>
      </c>
      <c r="X935" s="75" t="str">
        <f>IF(OR(TH!N935=TH!$X$7,O935=TH!$X$7),"x","")</f>
        <v/>
      </c>
      <c r="Y935" s="75" t="str">
        <f>IF(AND(OR(N935="131",O935="131"),H935='131-CT'!$H$9),"x","")</f>
        <v/>
      </c>
      <c r="Z935" s="75"/>
      <c r="AA935" s="75" t="str">
        <f>IF(AND(MONTH(E935)='IN-NX'!$J$5,'IN-NX'!$D$7=D935),"x","")</f>
        <v/>
      </c>
      <c r="AB935" s="75" t="str">
        <f>IF(AND(OR(LEFT(TH!N935,2)="15",LEFT(TH!O935,2)="15"),LEFT(TH!O935,3)&lt;&gt;"111",'152-CT'!$J$8=TH!F935),"x","")</f>
        <v/>
      </c>
      <c r="AC935" s="75" t="str">
        <f>IF(AND(OR(LEFT(TH!N935,2)="15",LEFT(TH!O935,2)="15"),TK!$E$7=TH!F935),"x","")</f>
        <v/>
      </c>
      <c r="AD935" s="75" t="str">
        <f>IF(AND(N935="1521",MONTH(C935)='BK-NL'!$M$11),"x","")</f>
        <v/>
      </c>
    </row>
    <row r="936" spans="1:30" ht="16.5" customHeight="1">
      <c r="A936" s="309" t="str">
        <f>IF(B936&lt;&gt;"",IF(AND(B936='IN-TC'!$S$4,OR(TH!N936="1111",TH!O936="1111")),TH!D936,""),"")</f>
        <v/>
      </c>
      <c r="B936" s="1058">
        <f t="shared" si="157"/>
        <v>1</v>
      </c>
      <c r="C936" s="292">
        <f t="shared" si="161"/>
        <v>42738</v>
      </c>
      <c r="D936" s="292" t="s">
        <v>2962</v>
      </c>
      <c r="E936" s="292">
        <v>42738</v>
      </c>
      <c r="F936" s="67" t="s">
        <v>566</v>
      </c>
      <c r="G936" s="925"/>
      <c r="H936" s="294" t="s">
        <v>405</v>
      </c>
      <c r="I936" s="373">
        <v>14560</v>
      </c>
      <c r="J936" s="379">
        <v>16700</v>
      </c>
      <c r="K936" s="373"/>
      <c r="L936" s="379"/>
      <c r="M936" s="927">
        <f t="shared" si="162"/>
        <v>243152000</v>
      </c>
      <c r="N936" s="295" t="s">
        <v>264</v>
      </c>
      <c r="O936" s="295" t="s">
        <v>8</v>
      </c>
      <c r="P936" s="75" t="str">
        <f>IF(AND('331-CT'!$E$7=TH!H936,OR(N936="331",O936="331")),"x","")</f>
        <v/>
      </c>
      <c r="Q936" s="75" t="str">
        <f>IF(AND(B936='111'!$L$11,OR($N936=$Q$7,$O936=$Q$7)),"x","")</f>
        <v/>
      </c>
      <c r="R936" s="75" t="str">
        <f>IF(AND($N936=$Q$7,$B936&lt;'111'!$L$11),"x","")</f>
        <v/>
      </c>
      <c r="S936" s="75" t="str">
        <f>IF(AND($O936=$Q$7,$B936&lt;'111'!$L$11),"x","")</f>
        <v/>
      </c>
      <c r="T936" s="75" t="str">
        <f>IF(ISERROR(FIND('112'!$M$9,G936,1)),"",IF((AND(FIND('112'!$M$9,G936,1)&gt;=1,B936='112'!$K$9,OR($N936='112'!$I$6,$O936='112'!$I$6))),"x",""))</f>
        <v/>
      </c>
      <c r="U936" s="75" t="str">
        <f>IF(ISERROR(FIND('112'!$M$9,G936,1)),"",IF((AND(LEFT(G936,2)=LEFT('112'!$M$9,2),B936&lt;'112'!$K$9,$N936='112'!$I$6)),"x",""))</f>
        <v/>
      </c>
      <c r="V936" s="75" t="str">
        <f>IF(ISERROR(FIND('112'!$M$9,G936,1)),"",IF((AND(RIGHT(G936,2)=RIGHT('112'!$M$9,2),B936&lt;'112'!$K$9,$O936='112'!$I$6)),"x",""))</f>
        <v/>
      </c>
      <c r="W936" s="75" t="str">
        <f>IF(AND('341-CT'!$H$9=H936,OR(LEFT(N936,3)=$W$7,LEFT(O936,3)=$W$7)),"x","")</f>
        <v/>
      </c>
      <c r="X936" s="75" t="str">
        <f>IF(OR(TH!N936=TH!$X$7,O936=TH!$X$7),"x","")</f>
        <v/>
      </c>
      <c r="Y936" s="75" t="str">
        <f>IF(AND(OR(N936="131",O936="131"),H936='131-CT'!$H$9),"x","")</f>
        <v/>
      </c>
      <c r="Z936" s="75"/>
      <c r="AA936" s="75" t="str">
        <f>IF(AND(MONTH(E936)='IN-NX'!$J$5,'IN-NX'!$D$7=D936),"x","")</f>
        <v/>
      </c>
      <c r="AB936" s="75" t="str">
        <f>IF(AND(OR(LEFT(TH!N936,2)="15",LEFT(TH!O936,2)="15"),LEFT(TH!O936,3)&lt;&gt;"111",'152-CT'!$J$8=TH!F936),"x","")</f>
        <v/>
      </c>
      <c r="AC936" s="75" t="str">
        <f>IF(AND(OR(LEFT(TH!N936,2)="15",LEFT(TH!O936,2)="15"),TK!$E$7=TH!F936),"x","")</f>
        <v/>
      </c>
      <c r="AD936" s="75" t="str">
        <f>IF(AND(N936="1521",MONTH(C936)='BK-NL'!$M$11),"x","")</f>
        <v/>
      </c>
    </row>
    <row r="937" spans="1:30" ht="16.5" customHeight="1">
      <c r="A937" s="309" t="str">
        <f>IF(B937&lt;&gt;"",IF(AND(B937='IN-TC'!$S$4,OR(TH!N937="1111",TH!O937="1111")),TH!D937,""),"")</f>
        <v/>
      </c>
      <c r="B937" s="1058">
        <f t="shared" si="157"/>
        <v>1</v>
      </c>
      <c r="C937" s="292">
        <f t="shared" si="161"/>
        <v>42742</v>
      </c>
      <c r="D937" s="292" t="s">
        <v>2967</v>
      </c>
      <c r="E937" s="292">
        <v>42742</v>
      </c>
      <c r="F937" s="67" t="s">
        <v>566</v>
      </c>
      <c r="G937" s="925"/>
      <c r="H937" s="311" t="s">
        <v>408</v>
      </c>
      <c r="I937" s="373">
        <v>15980</v>
      </c>
      <c r="J937" s="379">
        <v>16700</v>
      </c>
      <c r="K937" s="373"/>
      <c r="L937" s="379"/>
      <c r="M937" s="927">
        <f t="shared" si="162"/>
        <v>266866000</v>
      </c>
      <c r="N937" s="295" t="s">
        <v>264</v>
      </c>
      <c r="O937" s="295" t="s">
        <v>8</v>
      </c>
      <c r="P937" s="75" t="str">
        <f>IF(AND('331-CT'!$E$7=TH!H937,OR(N937="331",O937="331")),"x","")</f>
        <v/>
      </c>
      <c r="Q937" s="75" t="str">
        <f>IF(AND(B937='111'!$L$11,OR($N937=$Q$7,$O937=$Q$7)),"x","")</f>
        <v/>
      </c>
      <c r="R937" s="75" t="str">
        <f>IF(AND($N937=$Q$7,$B937&lt;'111'!$L$11),"x","")</f>
        <v/>
      </c>
      <c r="S937" s="75" t="str">
        <f>IF(AND($O937=$Q$7,$B937&lt;'111'!$L$11),"x","")</f>
        <v/>
      </c>
      <c r="T937" s="75" t="str">
        <f>IF(ISERROR(FIND('112'!$M$9,G937,1)),"",IF((AND(FIND('112'!$M$9,G937,1)&gt;=1,B937='112'!$K$9,OR($N937='112'!$I$6,$O937='112'!$I$6))),"x",""))</f>
        <v/>
      </c>
      <c r="U937" s="75" t="str">
        <f>IF(ISERROR(FIND('112'!$M$9,G937,1)),"",IF((AND(LEFT(G937,2)=LEFT('112'!$M$9,2),B937&lt;'112'!$K$9,$N937='112'!$I$6)),"x",""))</f>
        <v/>
      </c>
      <c r="V937" s="75" t="str">
        <f>IF(ISERROR(FIND('112'!$M$9,G937,1)),"",IF((AND(RIGHT(G937,2)=RIGHT('112'!$M$9,2),B937&lt;'112'!$K$9,$O937='112'!$I$6)),"x",""))</f>
        <v/>
      </c>
      <c r="W937" s="75" t="str">
        <f>IF(AND('341-CT'!$H$9=H937,OR(LEFT(N937,3)=$W$7,LEFT(O937,3)=$W$7)),"x","")</f>
        <v/>
      </c>
      <c r="X937" s="75" t="str">
        <f>IF(OR(TH!N937=TH!$X$7,O937=TH!$X$7),"x","")</f>
        <v/>
      </c>
      <c r="Y937" s="75" t="str">
        <f>IF(AND(OR(N937="131",O937="131"),H937='131-CT'!$H$9),"x","")</f>
        <v/>
      </c>
      <c r="Z937" s="75"/>
      <c r="AA937" s="75" t="str">
        <f>IF(AND(MONTH(E937)='IN-NX'!$J$5,'IN-NX'!$D$7=D937),"x","")</f>
        <v/>
      </c>
      <c r="AB937" s="75" t="str">
        <f>IF(AND(OR(LEFT(TH!N937,2)="15",LEFT(TH!O937,2)="15"),LEFT(TH!O937,3)&lt;&gt;"111",'152-CT'!$J$8=TH!F937),"x","")</f>
        <v/>
      </c>
      <c r="AC937" s="75" t="str">
        <f>IF(AND(OR(LEFT(TH!N937,2)="15",LEFT(TH!O937,2)="15"),TK!$E$7=TH!F937),"x","")</f>
        <v/>
      </c>
      <c r="AD937" s="75" t="str">
        <f>IF(AND(N937="1521",MONTH(C937)='BK-NL'!$M$11),"x","")</f>
        <v/>
      </c>
    </row>
    <row r="938" spans="1:30" ht="16.5" customHeight="1">
      <c r="A938" s="309" t="str">
        <f>IF(B938&lt;&gt;"",IF(AND(B938='IN-TC'!$S$4,OR(TH!N938="1111",TH!O938="1111")),TH!D938,""),"")</f>
        <v/>
      </c>
      <c r="B938" s="1058">
        <f t="shared" si="157"/>
        <v>1</v>
      </c>
      <c r="C938" s="292">
        <f t="shared" si="161"/>
        <v>42742</v>
      </c>
      <c r="D938" s="292" t="s">
        <v>2968</v>
      </c>
      <c r="E938" s="292">
        <v>42742</v>
      </c>
      <c r="F938" s="67" t="s">
        <v>566</v>
      </c>
      <c r="G938" s="925"/>
      <c r="H938" s="294" t="s">
        <v>404</v>
      </c>
      <c r="I938" s="373">
        <v>14860</v>
      </c>
      <c r="J938" s="379">
        <v>16700</v>
      </c>
      <c r="K938" s="373"/>
      <c r="L938" s="379"/>
      <c r="M938" s="927">
        <f t="shared" si="162"/>
        <v>248162000</v>
      </c>
      <c r="N938" s="295" t="s">
        <v>264</v>
      </c>
      <c r="O938" s="295" t="s">
        <v>8</v>
      </c>
      <c r="P938" s="75" t="str">
        <f>IF(AND('331-CT'!$E$7=TH!H938,OR(N938="331",O938="331")),"x","")</f>
        <v/>
      </c>
      <c r="Q938" s="75" t="str">
        <f>IF(AND(B938='111'!$L$11,OR($N938=$Q$7,$O938=$Q$7)),"x","")</f>
        <v/>
      </c>
      <c r="R938" s="75" t="str">
        <f>IF(AND($N938=$Q$7,$B938&lt;'111'!$L$11),"x","")</f>
        <v/>
      </c>
      <c r="S938" s="75" t="str">
        <f>IF(AND($O938=$Q$7,$B938&lt;'111'!$L$11),"x","")</f>
        <v/>
      </c>
      <c r="T938" s="75" t="str">
        <f>IF(ISERROR(FIND('112'!$M$9,G938,1)),"",IF((AND(FIND('112'!$M$9,G938,1)&gt;=1,B938='112'!$K$9,OR($N938='112'!$I$6,$O938='112'!$I$6))),"x",""))</f>
        <v/>
      </c>
      <c r="U938" s="75" t="str">
        <f>IF(ISERROR(FIND('112'!$M$9,G938,1)),"",IF((AND(LEFT(G938,2)=LEFT('112'!$M$9,2),B938&lt;'112'!$K$9,$N938='112'!$I$6)),"x",""))</f>
        <v/>
      </c>
      <c r="V938" s="75" t="str">
        <f>IF(ISERROR(FIND('112'!$M$9,G938,1)),"",IF((AND(RIGHT(G938,2)=RIGHT('112'!$M$9,2),B938&lt;'112'!$K$9,$O938='112'!$I$6)),"x",""))</f>
        <v/>
      </c>
      <c r="W938" s="75" t="str">
        <f>IF(AND('341-CT'!$H$9=H938,OR(LEFT(N938,3)=$W$7,LEFT(O938,3)=$W$7)),"x","")</f>
        <v/>
      </c>
      <c r="X938" s="75" t="str">
        <f>IF(OR(TH!N938=TH!$X$7,O938=TH!$X$7),"x","")</f>
        <v/>
      </c>
      <c r="Y938" s="75" t="str">
        <f>IF(AND(OR(N938="131",O938="131"),H938='131-CT'!$H$9),"x","")</f>
        <v/>
      </c>
      <c r="Z938" s="75"/>
      <c r="AA938" s="75" t="str">
        <f>IF(AND(MONTH(E938)='IN-NX'!$J$5,'IN-NX'!$D$7=D938),"x","")</f>
        <v/>
      </c>
      <c r="AB938" s="75" t="str">
        <f>IF(AND(OR(LEFT(TH!N938,2)="15",LEFT(TH!O938,2)="15"),LEFT(TH!O938,3)&lt;&gt;"111",'152-CT'!$J$8=TH!F938),"x","")</f>
        <v/>
      </c>
      <c r="AC938" s="75" t="str">
        <f>IF(AND(OR(LEFT(TH!N938,2)="15",LEFT(TH!O938,2)="15"),TK!$E$7=TH!F938),"x","")</f>
        <v/>
      </c>
      <c r="AD938" s="75" t="str">
        <f>IF(AND(N938="1521",MONTH(C938)='BK-NL'!$M$11),"x","")</f>
        <v/>
      </c>
    </row>
    <row r="939" spans="1:30" ht="16.5" customHeight="1">
      <c r="A939" s="309" t="str">
        <f>IF(B939&lt;&gt;"",IF(AND(B939='IN-TC'!$S$4,OR(TH!N939="1111",TH!O939="1111")),TH!D939,""),"")</f>
        <v/>
      </c>
      <c r="B939" s="1058">
        <f t="shared" ref="B939:B949" si="163">IF(C939&lt;&gt;"",MONTH(C939),"")</f>
        <v>1</v>
      </c>
      <c r="C939" s="292">
        <f t="shared" ref="C939:C949" si="164">E939</f>
        <v>42742</v>
      </c>
      <c r="D939" s="292" t="s">
        <v>2973</v>
      </c>
      <c r="E939" s="292">
        <v>42742</v>
      </c>
      <c r="F939" s="67" t="s">
        <v>566</v>
      </c>
      <c r="G939" s="925"/>
      <c r="H939" s="294" t="s">
        <v>405</v>
      </c>
      <c r="I939" s="373">
        <v>15860</v>
      </c>
      <c r="J939" s="379">
        <v>16700</v>
      </c>
      <c r="K939" s="373"/>
      <c r="L939" s="379"/>
      <c r="M939" s="927">
        <f t="shared" ref="M939:M949" si="165">ROUND(I939*J939,0)</f>
        <v>264862000</v>
      </c>
      <c r="N939" s="295" t="s">
        <v>264</v>
      </c>
      <c r="O939" s="295" t="s">
        <v>8</v>
      </c>
      <c r="P939" s="75" t="str">
        <f>IF(AND('331-CT'!$E$7=TH!H939,OR(N939="331",O939="331")),"x","")</f>
        <v/>
      </c>
      <c r="Q939" s="75" t="str">
        <f>IF(AND(B939='111'!$L$11,OR($N939=$Q$7,$O939=$Q$7)),"x","")</f>
        <v/>
      </c>
      <c r="R939" s="75" t="str">
        <f>IF(AND($N939=$Q$7,$B939&lt;'111'!$L$11),"x","")</f>
        <v/>
      </c>
      <c r="S939" s="75" t="str">
        <f>IF(AND($O939=$Q$7,$B939&lt;'111'!$L$11),"x","")</f>
        <v/>
      </c>
      <c r="T939" s="75" t="str">
        <f>IF(ISERROR(FIND('112'!$M$9,G939,1)),"",IF((AND(FIND('112'!$M$9,G939,1)&gt;=1,B939='112'!$K$9,OR($N939='112'!$I$6,$O939='112'!$I$6))),"x",""))</f>
        <v/>
      </c>
      <c r="U939" s="75" t="str">
        <f>IF(ISERROR(FIND('112'!$M$9,G939,1)),"",IF((AND(LEFT(G939,2)=LEFT('112'!$M$9,2),B939&lt;'112'!$K$9,$N939='112'!$I$6)),"x",""))</f>
        <v/>
      </c>
      <c r="V939" s="75" t="str">
        <f>IF(ISERROR(FIND('112'!$M$9,G939,1)),"",IF((AND(RIGHT(G939,2)=RIGHT('112'!$M$9,2),B939&lt;'112'!$K$9,$O939='112'!$I$6)),"x",""))</f>
        <v/>
      </c>
      <c r="W939" s="75" t="str">
        <f>IF(AND('341-CT'!$H$9=H939,OR(LEFT(N939,3)=$W$7,LEFT(O939,3)=$W$7)),"x","")</f>
        <v/>
      </c>
      <c r="X939" s="75" t="str">
        <f>IF(OR(TH!N939=TH!$X$7,O939=TH!$X$7),"x","")</f>
        <v/>
      </c>
      <c r="Y939" s="75" t="str">
        <f>IF(AND(OR(N939="131",O939="131"),H939='131-CT'!$H$9),"x","")</f>
        <v/>
      </c>
      <c r="Z939" s="75"/>
      <c r="AA939" s="75" t="str">
        <f>IF(AND(MONTH(E939)='IN-NX'!$J$5,'IN-NX'!$D$7=D939),"x","")</f>
        <v/>
      </c>
      <c r="AB939" s="75" t="str">
        <f>IF(AND(OR(LEFT(TH!N939,2)="15",LEFT(TH!O939,2)="15"),LEFT(TH!O939,3)&lt;&gt;"111",'152-CT'!$J$8=TH!F939),"x","")</f>
        <v/>
      </c>
      <c r="AC939" s="75" t="str">
        <f>IF(AND(OR(LEFT(TH!N939,2)="15",LEFT(TH!O939,2)="15"),TK!$E$7=TH!F939),"x","")</f>
        <v/>
      </c>
      <c r="AD939" s="75" t="str">
        <f>IF(AND(N939="1521",MONTH(C939)='BK-NL'!$M$11),"x","")</f>
        <v/>
      </c>
    </row>
    <row r="940" spans="1:30" ht="16.5" customHeight="1">
      <c r="A940" s="309" t="str">
        <f>IF(B940&lt;&gt;"",IF(AND(B940='IN-TC'!$S$4,OR(TH!N940="1111",TH!O940="1111")),TH!D940,""),"")</f>
        <v/>
      </c>
      <c r="B940" s="1058">
        <f t="shared" si="163"/>
        <v>1</v>
      </c>
      <c r="C940" s="292">
        <f t="shared" si="164"/>
        <v>42744</v>
      </c>
      <c r="D940" s="292" t="s">
        <v>2977</v>
      </c>
      <c r="E940" s="292">
        <v>42744</v>
      </c>
      <c r="F940" s="67" t="s">
        <v>566</v>
      </c>
      <c r="G940" s="925"/>
      <c r="H940" s="67" t="s">
        <v>403</v>
      </c>
      <c r="I940" s="373">
        <v>15784</v>
      </c>
      <c r="J940" s="379">
        <v>16700</v>
      </c>
      <c r="K940" s="373"/>
      <c r="L940" s="379"/>
      <c r="M940" s="927">
        <f t="shared" si="165"/>
        <v>263592800</v>
      </c>
      <c r="N940" s="295" t="s">
        <v>264</v>
      </c>
      <c r="O940" s="295" t="s">
        <v>8</v>
      </c>
      <c r="P940" s="75" t="str">
        <f>IF(AND('331-CT'!$E$7=TH!H940,OR(N940="331",O940="331")),"x","")</f>
        <v/>
      </c>
      <c r="Q940" s="75" t="str">
        <f>IF(AND(B940='111'!$L$11,OR($N940=$Q$7,$O940=$Q$7)),"x","")</f>
        <v/>
      </c>
      <c r="R940" s="75" t="str">
        <f>IF(AND($N940=$Q$7,$B940&lt;'111'!$L$11),"x","")</f>
        <v/>
      </c>
      <c r="S940" s="75" t="str">
        <f>IF(AND($O940=$Q$7,$B940&lt;'111'!$L$11),"x","")</f>
        <v/>
      </c>
      <c r="T940" s="75" t="str">
        <f>IF(ISERROR(FIND('112'!$M$9,G940,1)),"",IF((AND(FIND('112'!$M$9,G940,1)&gt;=1,B940='112'!$K$9,OR($N940='112'!$I$6,$O940='112'!$I$6))),"x",""))</f>
        <v/>
      </c>
      <c r="U940" s="75" t="str">
        <f>IF(ISERROR(FIND('112'!$M$9,G940,1)),"",IF((AND(LEFT(G940,2)=LEFT('112'!$M$9,2),B940&lt;'112'!$K$9,$N940='112'!$I$6)),"x",""))</f>
        <v/>
      </c>
      <c r="V940" s="75" t="str">
        <f>IF(ISERROR(FIND('112'!$M$9,G940,1)),"",IF((AND(RIGHT(G940,2)=RIGHT('112'!$M$9,2),B940&lt;'112'!$K$9,$O940='112'!$I$6)),"x",""))</f>
        <v/>
      </c>
      <c r="W940" s="75" t="str">
        <f>IF(AND('341-CT'!$H$9=H940,OR(LEFT(N940,3)=$W$7,LEFT(O940,3)=$W$7)),"x","")</f>
        <v/>
      </c>
      <c r="X940" s="75" t="str">
        <f>IF(OR(TH!N940=TH!$X$7,O940=TH!$X$7),"x","")</f>
        <v/>
      </c>
      <c r="Y940" s="75" t="str">
        <f>IF(AND(OR(N940="131",O940="131"),H940='131-CT'!$H$9),"x","")</f>
        <v/>
      </c>
      <c r="Z940" s="75"/>
      <c r="AA940" s="75" t="str">
        <f>IF(AND(MONTH(E940)='IN-NX'!$J$5,'IN-NX'!$D$7=D940),"x","")</f>
        <v/>
      </c>
      <c r="AB940" s="75" t="str">
        <f>IF(AND(OR(LEFT(TH!N940,2)="15",LEFT(TH!O940,2)="15"),LEFT(TH!O940,3)&lt;&gt;"111",'152-CT'!$J$8=TH!F940),"x","")</f>
        <v/>
      </c>
      <c r="AC940" s="75" t="str">
        <f>IF(AND(OR(LEFT(TH!N940,2)="15",LEFT(TH!O940,2)="15"),TK!$E$7=TH!F940),"x","")</f>
        <v/>
      </c>
      <c r="AD940" s="75" t="str">
        <f>IF(AND(N940="1521",MONTH(C940)='BK-NL'!$M$11),"x","")</f>
        <v/>
      </c>
    </row>
    <row r="941" spans="1:30" ht="16.5" customHeight="1">
      <c r="A941" s="309" t="str">
        <f>IF(B941&lt;&gt;"",IF(AND(B941='IN-TC'!$S$4,OR(TH!N941="1111",TH!O941="1111")),TH!D941,""),"")</f>
        <v/>
      </c>
      <c r="B941" s="1058">
        <f t="shared" si="163"/>
        <v>1</v>
      </c>
      <c r="C941" s="292">
        <f t="shared" si="164"/>
        <v>42744</v>
      </c>
      <c r="D941" s="292" t="s">
        <v>2978</v>
      </c>
      <c r="E941" s="292">
        <v>42744</v>
      </c>
      <c r="F941" s="67" t="s">
        <v>566</v>
      </c>
      <c r="G941" s="925"/>
      <c r="H941" s="311" t="s">
        <v>408</v>
      </c>
      <c r="I941" s="373">
        <v>15960</v>
      </c>
      <c r="J941" s="379">
        <v>16700</v>
      </c>
      <c r="K941" s="373"/>
      <c r="L941" s="379"/>
      <c r="M941" s="927">
        <f t="shared" si="165"/>
        <v>266532000</v>
      </c>
      <c r="N941" s="295" t="s">
        <v>264</v>
      </c>
      <c r="O941" s="295" t="s">
        <v>8</v>
      </c>
      <c r="P941" s="75" t="str">
        <f>IF(AND('331-CT'!$E$7=TH!H941,OR(N941="331",O941="331")),"x","")</f>
        <v/>
      </c>
      <c r="Q941" s="75" t="str">
        <f>IF(AND(B941='111'!$L$11,OR($N941=$Q$7,$O941=$Q$7)),"x","")</f>
        <v/>
      </c>
      <c r="R941" s="75" t="str">
        <f>IF(AND($N941=$Q$7,$B941&lt;'111'!$L$11),"x","")</f>
        <v/>
      </c>
      <c r="S941" s="75" t="str">
        <f>IF(AND($O941=$Q$7,$B941&lt;'111'!$L$11),"x","")</f>
        <v/>
      </c>
      <c r="T941" s="75" t="str">
        <f>IF(ISERROR(FIND('112'!$M$9,G941,1)),"",IF((AND(FIND('112'!$M$9,G941,1)&gt;=1,B941='112'!$K$9,OR($N941='112'!$I$6,$O941='112'!$I$6))),"x",""))</f>
        <v/>
      </c>
      <c r="U941" s="75" t="str">
        <f>IF(ISERROR(FIND('112'!$M$9,G941,1)),"",IF((AND(LEFT(G941,2)=LEFT('112'!$M$9,2),B941&lt;'112'!$K$9,$N941='112'!$I$6)),"x",""))</f>
        <v/>
      </c>
      <c r="V941" s="75" t="str">
        <f>IF(ISERROR(FIND('112'!$M$9,G941,1)),"",IF((AND(RIGHT(G941,2)=RIGHT('112'!$M$9,2),B941&lt;'112'!$K$9,$O941='112'!$I$6)),"x",""))</f>
        <v/>
      </c>
      <c r="W941" s="75" t="str">
        <f>IF(AND('341-CT'!$H$9=H941,OR(LEFT(N941,3)=$W$7,LEFT(O941,3)=$W$7)),"x","")</f>
        <v/>
      </c>
      <c r="X941" s="75" t="str">
        <f>IF(OR(TH!N941=TH!$X$7,O941=TH!$X$7),"x","")</f>
        <v/>
      </c>
      <c r="Y941" s="75" t="str">
        <f>IF(AND(OR(N941="131",O941="131"),H941='131-CT'!$H$9),"x","")</f>
        <v/>
      </c>
      <c r="Z941" s="75"/>
      <c r="AA941" s="75" t="str">
        <f>IF(AND(MONTH(E941)='IN-NX'!$J$5,'IN-NX'!$D$7=D941),"x","")</f>
        <v/>
      </c>
      <c r="AB941" s="75" t="str">
        <f>IF(AND(OR(LEFT(TH!N941,2)="15",LEFT(TH!O941,2)="15"),LEFT(TH!O941,3)&lt;&gt;"111",'152-CT'!$J$8=TH!F941),"x","")</f>
        <v/>
      </c>
      <c r="AC941" s="75" t="str">
        <f>IF(AND(OR(LEFT(TH!N941,2)="15",LEFT(TH!O941,2)="15"),TK!$E$7=TH!F941),"x","")</f>
        <v/>
      </c>
      <c r="AD941" s="75" t="str">
        <f>IF(AND(N941="1521",MONTH(C941)='BK-NL'!$M$11),"x","")</f>
        <v/>
      </c>
    </row>
    <row r="942" spans="1:30" ht="16.5" customHeight="1">
      <c r="A942" s="309" t="str">
        <f>IF(B942&lt;&gt;"",IF(AND(B942='IN-TC'!$S$4,OR(TH!N942="1111",TH!O942="1111")),TH!D942,""),"")</f>
        <v/>
      </c>
      <c r="B942" s="1058">
        <f t="shared" si="163"/>
        <v>1</v>
      </c>
      <c r="C942" s="292">
        <f t="shared" si="164"/>
        <v>42744</v>
      </c>
      <c r="D942" s="292" t="s">
        <v>2979</v>
      </c>
      <c r="E942" s="292">
        <v>42744</v>
      </c>
      <c r="F942" s="67" t="s">
        <v>566</v>
      </c>
      <c r="G942" s="925"/>
      <c r="H942" s="294" t="s">
        <v>405</v>
      </c>
      <c r="I942" s="373">
        <f>138000-SUM(I934:I941)</f>
        <v>14246</v>
      </c>
      <c r="J942" s="379">
        <v>16700</v>
      </c>
      <c r="K942" s="373"/>
      <c r="L942" s="379"/>
      <c r="M942" s="927">
        <f t="shared" si="165"/>
        <v>237908200</v>
      </c>
      <c r="N942" s="295" t="s">
        <v>264</v>
      </c>
      <c r="O942" s="295" t="s">
        <v>8</v>
      </c>
      <c r="P942" s="75" t="str">
        <f>IF(AND('331-CT'!$E$7=TH!H942,OR(N942="331",O942="331")),"x","")</f>
        <v/>
      </c>
      <c r="Q942" s="75" t="str">
        <f>IF(AND(B942='111'!$L$11,OR($N942=$Q$7,$O942=$Q$7)),"x","")</f>
        <v/>
      </c>
      <c r="R942" s="75" t="str">
        <f>IF(AND($N942=$Q$7,$B942&lt;'111'!$L$11),"x","")</f>
        <v/>
      </c>
      <c r="S942" s="75" t="str">
        <f>IF(AND($O942=$Q$7,$B942&lt;'111'!$L$11),"x","")</f>
        <v/>
      </c>
      <c r="T942" s="75" t="str">
        <f>IF(ISERROR(FIND('112'!$M$9,G942,1)),"",IF((AND(FIND('112'!$M$9,G942,1)&gt;=1,B942='112'!$K$9,OR($N942='112'!$I$6,$O942='112'!$I$6))),"x",""))</f>
        <v/>
      </c>
      <c r="U942" s="75" t="str">
        <f>IF(ISERROR(FIND('112'!$M$9,G942,1)),"",IF((AND(LEFT(G942,2)=LEFT('112'!$M$9,2),B942&lt;'112'!$K$9,$N942='112'!$I$6)),"x",""))</f>
        <v/>
      </c>
      <c r="V942" s="75" t="str">
        <f>IF(ISERROR(FIND('112'!$M$9,G942,1)),"",IF((AND(RIGHT(G942,2)=RIGHT('112'!$M$9,2),B942&lt;'112'!$K$9,$O942='112'!$I$6)),"x",""))</f>
        <v/>
      </c>
      <c r="W942" s="75" t="str">
        <f>IF(AND('341-CT'!$H$9=H942,OR(LEFT(N942,3)=$W$7,LEFT(O942,3)=$W$7)),"x","")</f>
        <v/>
      </c>
      <c r="X942" s="75" t="str">
        <f>IF(OR(TH!N942=TH!$X$7,O942=TH!$X$7),"x","")</f>
        <v/>
      </c>
      <c r="Y942" s="75" t="str">
        <f>IF(AND(OR(N942="131",O942="131"),H942='131-CT'!$H$9),"x","")</f>
        <v/>
      </c>
      <c r="Z942" s="75"/>
      <c r="AA942" s="75" t="str">
        <f>IF(AND(MONTH(E942)='IN-NX'!$J$5,'IN-NX'!$D$7=D942),"x","")</f>
        <v/>
      </c>
      <c r="AB942" s="75" t="str">
        <f>IF(AND(OR(LEFT(TH!N942,2)="15",LEFT(TH!O942,2)="15"),LEFT(TH!O942,3)&lt;&gt;"111",'152-CT'!$J$8=TH!F942),"x","")</f>
        <v/>
      </c>
      <c r="AC942" s="75" t="str">
        <f>IF(AND(OR(LEFT(TH!N942,2)="15",LEFT(TH!O942,2)="15"),TK!$E$7=TH!F942),"x","")</f>
        <v/>
      </c>
      <c r="AD942" s="75" t="str">
        <f>IF(AND(N942="1521",MONTH(C942)='BK-NL'!$M$11),"x","")</f>
        <v/>
      </c>
    </row>
    <row r="943" spans="1:30" ht="16.5" customHeight="1">
      <c r="A943" s="309" t="str">
        <f>IF(B943&lt;&gt;"",IF(AND(B943='IN-TC'!$S$4,OR(TH!N943="1111",TH!O943="1111")),TH!D943,""),"")</f>
        <v/>
      </c>
      <c r="B943" s="1058">
        <f t="shared" ref="B943:B948" si="166">IF(C943&lt;&gt;"",MONTH(C943),"")</f>
        <v>1</v>
      </c>
      <c r="C943" s="292">
        <f t="shared" ref="C943:C948" si="167">E943</f>
        <v>42740</v>
      </c>
      <c r="D943" s="292" t="s">
        <v>2963</v>
      </c>
      <c r="E943" s="292">
        <v>42740</v>
      </c>
      <c r="F943" s="67" t="s">
        <v>764</v>
      </c>
      <c r="G943" s="925"/>
      <c r="H943" s="67" t="s">
        <v>369</v>
      </c>
      <c r="I943" s="373">
        <v>14780</v>
      </c>
      <c r="J943" s="379">
        <v>18500</v>
      </c>
      <c r="K943" s="373"/>
      <c r="L943" s="379"/>
      <c r="M943" s="927">
        <f t="shared" ref="M943:M948" si="168">ROUND(I943*J943,0)</f>
        <v>273430000</v>
      </c>
      <c r="N943" s="295" t="s">
        <v>264</v>
      </c>
      <c r="O943" s="295" t="s">
        <v>8</v>
      </c>
      <c r="P943" s="75" t="str">
        <f>IF(AND('331-CT'!$E$7=TH!H943,OR(N943="331",O943="331")),"x","")</f>
        <v/>
      </c>
      <c r="Q943" s="75" t="str">
        <f>IF(AND(B943='111'!$L$11,OR($N943=$Q$7,$O943=$Q$7)),"x","")</f>
        <v/>
      </c>
      <c r="R943" s="75" t="str">
        <f>IF(AND($N943=$Q$7,$B943&lt;'111'!$L$11),"x","")</f>
        <v/>
      </c>
      <c r="S943" s="75" t="str">
        <f>IF(AND($O943=$Q$7,$B943&lt;'111'!$L$11),"x","")</f>
        <v/>
      </c>
      <c r="T943" s="75" t="str">
        <f>IF(ISERROR(FIND('112'!$M$9,G943,1)),"",IF((AND(FIND('112'!$M$9,G943,1)&gt;=1,B943='112'!$K$9,OR($N943='112'!$I$6,$O943='112'!$I$6))),"x",""))</f>
        <v/>
      </c>
      <c r="U943" s="75" t="str">
        <f>IF(ISERROR(FIND('112'!$M$9,G943,1)),"",IF((AND(LEFT(G943,2)=LEFT('112'!$M$9,2),B943&lt;'112'!$K$9,$N943='112'!$I$6)),"x",""))</f>
        <v/>
      </c>
      <c r="V943" s="75" t="str">
        <f>IF(ISERROR(FIND('112'!$M$9,G943,1)),"",IF((AND(RIGHT(G943,2)=RIGHT('112'!$M$9,2),B943&lt;'112'!$K$9,$O943='112'!$I$6)),"x",""))</f>
        <v/>
      </c>
      <c r="W943" s="75" t="str">
        <f>IF(AND('341-CT'!$H$9=H943,OR(LEFT(N943,3)=$W$7,LEFT(O943,3)=$W$7)),"x","")</f>
        <v/>
      </c>
      <c r="X943" s="75" t="str">
        <f>IF(OR(TH!N943=TH!$X$7,O943=TH!$X$7),"x","")</f>
        <v/>
      </c>
      <c r="Y943" s="75" t="str">
        <f>IF(AND(OR(N943="131",O943="131"),H943='131-CT'!$H$9),"x","")</f>
        <v/>
      </c>
      <c r="Z943" s="75"/>
      <c r="AA943" s="75" t="str">
        <f>IF(AND(MONTH(E943)='IN-NX'!$J$5,'IN-NX'!$D$7=D943),"x","")</f>
        <v/>
      </c>
      <c r="AB943" s="75" t="str">
        <f>IF(AND(OR(LEFT(TH!N943,2)="15",LEFT(TH!O943,2)="15"),LEFT(TH!O943,3)&lt;&gt;"111",'152-CT'!$J$8=TH!F943),"x","")</f>
        <v/>
      </c>
      <c r="AC943" s="75" t="str">
        <f>IF(AND(OR(LEFT(TH!N943,2)="15",LEFT(TH!O943,2)="15"),TK!$E$7=TH!F943),"x","")</f>
        <v/>
      </c>
      <c r="AD943" s="75" t="str">
        <f>IF(AND(N943="1521",MONTH(C943)='BK-NL'!$M$11),"x","")</f>
        <v/>
      </c>
    </row>
    <row r="944" spans="1:30" ht="16.5" customHeight="1">
      <c r="A944" s="309" t="str">
        <f>IF(B944&lt;&gt;"",IF(AND(B944='IN-TC'!$S$4,OR(TH!N944="1111",TH!O944="1111")),TH!D944,""),"")</f>
        <v/>
      </c>
      <c r="B944" s="1058">
        <f t="shared" si="166"/>
        <v>1</v>
      </c>
      <c r="C944" s="292">
        <f t="shared" si="167"/>
        <v>42740</v>
      </c>
      <c r="D944" s="292" t="s">
        <v>2964</v>
      </c>
      <c r="E944" s="292">
        <v>42740</v>
      </c>
      <c r="F944" s="67" t="s">
        <v>764</v>
      </c>
      <c r="G944" s="925"/>
      <c r="H944" s="67" t="s">
        <v>372</v>
      </c>
      <c r="I944" s="373">
        <v>14120</v>
      </c>
      <c r="J944" s="379">
        <v>18500</v>
      </c>
      <c r="K944" s="373"/>
      <c r="L944" s="379"/>
      <c r="M944" s="927">
        <f t="shared" si="168"/>
        <v>261220000</v>
      </c>
      <c r="N944" s="295" t="s">
        <v>264</v>
      </c>
      <c r="O944" s="295" t="s">
        <v>8</v>
      </c>
      <c r="P944" s="75" t="str">
        <f>IF(AND('331-CT'!$E$7=TH!H944,OR(N944="331",O944="331")),"x","")</f>
        <v/>
      </c>
      <c r="Q944" s="75" t="str">
        <f>IF(AND(B944='111'!$L$11,OR($N944=$Q$7,$O944=$Q$7)),"x","")</f>
        <v/>
      </c>
      <c r="R944" s="75" t="str">
        <f>IF(AND($N944=$Q$7,$B944&lt;'111'!$L$11),"x","")</f>
        <v/>
      </c>
      <c r="S944" s="75" t="str">
        <f>IF(AND($O944=$Q$7,$B944&lt;'111'!$L$11),"x","")</f>
        <v/>
      </c>
      <c r="T944" s="75" t="str">
        <f>IF(ISERROR(FIND('112'!$M$9,G944,1)),"",IF((AND(FIND('112'!$M$9,G944,1)&gt;=1,B944='112'!$K$9,OR($N944='112'!$I$6,$O944='112'!$I$6))),"x",""))</f>
        <v/>
      </c>
      <c r="U944" s="75" t="str">
        <f>IF(ISERROR(FIND('112'!$M$9,G944,1)),"",IF((AND(LEFT(G944,2)=LEFT('112'!$M$9,2),B944&lt;'112'!$K$9,$N944='112'!$I$6)),"x",""))</f>
        <v/>
      </c>
      <c r="V944" s="75" t="str">
        <f>IF(ISERROR(FIND('112'!$M$9,G944,1)),"",IF((AND(RIGHT(G944,2)=RIGHT('112'!$M$9,2),B944&lt;'112'!$K$9,$O944='112'!$I$6)),"x",""))</f>
        <v/>
      </c>
      <c r="W944" s="75" t="str">
        <f>IF(AND('341-CT'!$H$9=H944,OR(LEFT(N944,3)=$W$7,LEFT(O944,3)=$W$7)),"x","")</f>
        <v/>
      </c>
      <c r="X944" s="75" t="str">
        <f>IF(OR(TH!N944=TH!$X$7,O944=TH!$X$7),"x","")</f>
        <v/>
      </c>
      <c r="Y944" s="75" t="str">
        <f>IF(AND(OR(N944="131",O944="131"),H944='131-CT'!$H$9),"x","")</f>
        <v/>
      </c>
      <c r="Z944" s="75"/>
      <c r="AA944" s="75" t="str">
        <f>IF(AND(MONTH(E944)='IN-NX'!$J$5,'IN-NX'!$D$7=D944),"x","")</f>
        <v/>
      </c>
      <c r="AB944" s="75" t="str">
        <f>IF(AND(OR(LEFT(TH!N944,2)="15",LEFT(TH!O944,2)="15"),LEFT(TH!O944,3)&lt;&gt;"111",'152-CT'!$J$8=TH!F944),"x","")</f>
        <v/>
      </c>
      <c r="AC944" s="75" t="str">
        <f>IF(AND(OR(LEFT(TH!N944,2)="15",LEFT(TH!O944,2)="15"),TK!$E$7=TH!F944),"x","")</f>
        <v/>
      </c>
      <c r="AD944" s="75" t="str">
        <f>IF(AND(N944="1521",MONTH(C944)='BK-NL'!$M$11),"x","")</f>
        <v/>
      </c>
    </row>
    <row r="945" spans="1:30" ht="16.5" customHeight="1">
      <c r="A945" s="309" t="str">
        <f>IF(B945&lt;&gt;"",IF(AND(B945='IN-TC'!$S$4,OR(TH!N945="1111",TH!O945="1111")),TH!D945,""),"")</f>
        <v/>
      </c>
      <c r="B945" s="1058">
        <f t="shared" si="166"/>
        <v>1</v>
      </c>
      <c r="C945" s="292">
        <f t="shared" si="167"/>
        <v>42740</v>
      </c>
      <c r="D945" s="292" t="s">
        <v>2965</v>
      </c>
      <c r="E945" s="292">
        <v>42740</v>
      </c>
      <c r="F945" s="67" t="s">
        <v>764</v>
      </c>
      <c r="G945" s="925"/>
      <c r="H945" s="67" t="s">
        <v>374</v>
      </c>
      <c r="I945" s="373">
        <v>14760</v>
      </c>
      <c r="J945" s="379">
        <v>18500</v>
      </c>
      <c r="K945" s="373"/>
      <c r="L945" s="379"/>
      <c r="M945" s="927">
        <f t="shared" si="168"/>
        <v>273060000</v>
      </c>
      <c r="N945" s="295" t="s">
        <v>264</v>
      </c>
      <c r="O945" s="295" t="s">
        <v>8</v>
      </c>
      <c r="P945" s="75" t="str">
        <f>IF(AND('331-CT'!$E$7=TH!H945,OR(N945="331",O945="331")),"x","")</f>
        <v/>
      </c>
      <c r="Q945" s="75" t="str">
        <f>IF(AND(B945='111'!$L$11,OR($N945=$Q$7,$O945=$Q$7)),"x","")</f>
        <v/>
      </c>
      <c r="R945" s="75" t="str">
        <f>IF(AND($N945=$Q$7,$B945&lt;'111'!$L$11),"x","")</f>
        <v/>
      </c>
      <c r="S945" s="75" t="str">
        <f>IF(AND($O945=$Q$7,$B945&lt;'111'!$L$11),"x","")</f>
        <v/>
      </c>
      <c r="T945" s="75" t="str">
        <f>IF(ISERROR(FIND('112'!$M$9,G945,1)),"",IF((AND(FIND('112'!$M$9,G945,1)&gt;=1,B945='112'!$K$9,OR($N945='112'!$I$6,$O945='112'!$I$6))),"x",""))</f>
        <v/>
      </c>
      <c r="U945" s="75" t="str">
        <f>IF(ISERROR(FIND('112'!$M$9,G945,1)),"",IF((AND(LEFT(G945,2)=LEFT('112'!$M$9,2),B945&lt;'112'!$K$9,$N945='112'!$I$6)),"x",""))</f>
        <v/>
      </c>
      <c r="V945" s="75" t="str">
        <f>IF(ISERROR(FIND('112'!$M$9,G945,1)),"",IF((AND(RIGHT(G945,2)=RIGHT('112'!$M$9,2),B945&lt;'112'!$K$9,$O945='112'!$I$6)),"x",""))</f>
        <v/>
      </c>
      <c r="W945" s="75" t="str">
        <f>IF(AND('341-CT'!$H$9=H945,OR(LEFT(N945,3)=$W$7,LEFT(O945,3)=$W$7)),"x","")</f>
        <v/>
      </c>
      <c r="X945" s="75" t="str">
        <f>IF(OR(TH!N945=TH!$X$7,O945=TH!$X$7),"x","")</f>
        <v/>
      </c>
      <c r="Y945" s="75" t="str">
        <f>IF(AND(OR(N945="131",O945="131"),H945='131-CT'!$H$9),"x","")</f>
        <v/>
      </c>
      <c r="Z945" s="75"/>
      <c r="AA945" s="75" t="str">
        <f>IF(AND(MONTH(E945)='IN-NX'!$J$5,'IN-NX'!$D$7=D945),"x","")</f>
        <v/>
      </c>
      <c r="AB945" s="75" t="str">
        <f>IF(AND(OR(LEFT(TH!N945,2)="15",LEFT(TH!O945,2)="15"),LEFT(TH!O945,3)&lt;&gt;"111",'152-CT'!$J$8=TH!F945),"x","")</f>
        <v/>
      </c>
      <c r="AC945" s="75" t="str">
        <f>IF(AND(OR(LEFT(TH!N945,2)="15",LEFT(TH!O945,2)="15"),TK!$E$7=TH!F945),"x","")</f>
        <v/>
      </c>
      <c r="AD945" s="75" t="str">
        <f>IF(AND(N945="1521",MONTH(C945)='BK-NL'!$M$11),"x","")</f>
        <v/>
      </c>
    </row>
    <row r="946" spans="1:30" ht="16.5" customHeight="1">
      <c r="A946" s="309" t="str">
        <f>IF(B946&lt;&gt;"",IF(AND(B946='IN-TC'!$S$4,OR(TH!N946="1111",TH!O946="1111")),TH!D946,""),"")</f>
        <v/>
      </c>
      <c r="B946" s="1058">
        <f t="shared" si="166"/>
        <v>1</v>
      </c>
      <c r="C946" s="292">
        <f t="shared" si="167"/>
        <v>42748</v>
      </c>
      <c r="D946" s="292" t="s">
        <v>2983</v>
      </c>
      <c r="E946" s="292">
        <v>42748</v>
      </c>
      <c r="F946" s="67" t="s">
        <v>764</v>
      </c>
      <c r="G946" s="925"/>
      <c r="H946" s="67" t="s">
        <v>376</v>
      </c>
      <c r="I946" s="373">
        <v>14750</v>
      </c>
      <c r="J946" s="379">
        <v>18500</v>
      </c>
      <c r="K946" s="373"/>
      <c r="L946" s="379"/>
      <c r="M946" s="927">
        <f t="shared" si="168"/>
        <v>272875000</v>
      </c>
      <c r="N946" s="295" t="s">
        <v>264</v>
      </c>
      <c r="O946" s="295" t="s">
        <v>8</v>
      </c>
      <c r="P946" s="75" t="str">
        <f>IF(AND('331-CT'!$E$7=TH!H946,OR(N946="331",O946="331")),"x","")</f>
        <v/>
      </c>
      <c r="Q946" s="75" t="str">
        <f>IF(AND(B946='111'!$L$11,OR($N946=$Q$7,$O946=$Q$7)),"x","")</f>
        <v/>
      </c>
      <c r="R946" s="75" t="str">
        <f>IF(AND($N946=$Q$7,$B946&lt;'111'!$L$11),"x","")</f>
        <v/>
      </c>
      <c r="S946" s="75" t="str">
        <f>IF(AND($O946=$Q$7,$B946&lt;'111'!$L$11),"x","")</f>
        <v/>
      </c>
      <c r="T946" s="75" t="str">
        <f>IF(ISERROR(FIND('112'!$M$9,G946,1)),"",IF((AND(FIND('112'!$M$9,G946,1)&gt;=1,B946='112'!$K$9,OR($N946='112'!$I$6,$O946='112'!$I$6))),"x",""))</f>
        <v/>
      </c>
      <c r="U946" s="75" t="str">
        <f>IF(ISERROR(FIND('112'!$M$9,G946,1)),"",IF((AND(LEFT(G946,2)=LEFT('112'!$M$9,2),B946&lt;'112'!$K$9,$N946='112'!$I$6)),"x",""))</f>
        <v/>
      </c>
      <c r="V946" s="75" t="str">
        <f>IF(ISERROR(FIND('112'!$M$9,G946,1)),"",IF((AND(RIGHT(G946,2)=RIGHT('112'!$M$9,2),B946&lt;'112'!$K$9,$O946='112'!$I$6)),"x",""))</f>
        <v/>
      </c>
      <c r="W946" s="75" t="str">
        <f>IF(AND('341-CT'!$H$9=H946,OR(LEFT(N946,3)=$W$7,LEFT(O946,3)=$W$7)),"x","")</f>
        <v/>
      </c>
      <c r="X946" s="75" t="str">
        <f>IF(OR(TH!N946=TH!$X$7,O946=TH!$X$7),"x","")</f>
        <v/>
      </c>
      <c r="Y946" s="75" t="str">
        <f>IF(AND(OR(N946="131",O946="131"),H946='131-CT'!$H$9),"x","")</f>
        <v/>
      </c>
      <c r="Z946" s="75"/>
      <c r="AA946" s="75" t="str">
        <f>IF(AND(MONTH(E946)='IN-NX'!$J$5,'IN-NX'!$D$7=D946),"x","")</f>
        <v/>
      </c>
      <c r="AB946" s="75" t="str">
        <f>IF(AND(OR(LEFT(TH!N946,2)="15",LEFT(TH!O946,2)="15"),LEFT(TH!O946,3)&lt;&gt;"111",'152-CT'!$J$8=TH!F946),"x","")</f>
        <v/>
      </c>
      <c r="AC946" s="75" t="str">
        <f>IF(AND(OR(LEFT(TH!N946,2)="15",LEFT(TH!O946,2)="15"),TK!$E$7=TH!F946),"x","")</f>
        <v/>
      </c>
      <c r="AD946" s="75" t="str">
        <f>IF(AND(N946="1521",MONTH(C946)='BK-NL'!$M$11),"x","")</f>
        <v/>
      </c>
    </row>
    <row r="947" spans="1:30" ht="16.5" customHeight="1">
      <c r="A947" s="309" t="str">
        <f>IF(B947&lt;&gt;"",IF(AND(B947='IN-TC'!$S$4,OR(TH!N947="1111",TH!O947="1111")),TH!D947,""),"")</f>
        <v/>
      </c>
      <c r="B947" s="1058">
        <f t="shared" si="166"/>
        <v>1</v>
      </c>
      <c r="C947" s="292">
        <f t="shared" si="167"/>
        <v>42748</v>
      </c>
      <c r="D947" s="292" t="s">
        <v>2984</v>
      </c>
      <c r="E947" s="292">
        <v>42748</v>
      </c>
      <c r="F947" s="67" t="s">
        <v>764</v>
      </c>
      <c r="G947" s="925"/>
      <c r="H947" s="67" t="s">
        <v>372</v>
      </c>
      <c r="I947" s="373">
        <v>14201</v>
      </c>
      <c r="J947" s="379">
        <v>18500</v>
      </c>
      <c r="K947" s="373"/>
      <c r="L947" s="379"/>
      <c r="M947" s="927">
        <f t="shared" si="168"/>
        <v>262718500</v>
      </c>
      <c r="N947" s="295" t="s">
        <v>264</v>
      </c>
      <c r="O947" s="295" t="s">
        <v>8</v>
      </c>
      <c r="P947" s="75" t="str">
        <f>IF(AND('331-CT'!$E$7=TH!H947,OR(N947="331",O947="331")),"x","")</f>
        <v/>
      </c>
      <c r="Q947" s="75" t="str">
        <f>IF(AND(B947='111'!$L$11,OR($N947=$Q$7,$O947=$Q$7)),"x","")</f>
        <v/>
      </c>
      <c r="R947" s="75" t="str">
        <f>IF(AND($N947=$Q$7,$B947&lt;'111'!$L$11),"x","")</f>
        <v/>
      </c>
      <c r="S947" s="75" t="str">
        <f>IF(AND($O947=$Q$7,$B947&lt;'111'!$L$11),"x","")</f>
        <v/>
      </c>
      <c r="T947" s="75" t="str">
        <f>IF(ISERROR(FIND('112'!$M$9,G947,1)),"",IF((AND(FIND('112'!$M$9,G947,1)&gt;=1,B947='112'!$K$9,OR($N947='112'!$I$6,$O947='112'!$I$6))),"x",""))</f>
        <v/>
      </c>
      <c r="U947" s="75" t="str">
        <f>IF(ISERROR(FIND('112'!$M$9,G947,1)),"",IF((AND(LEFT(G947,2)=LEFT('112'!$M$9,2),B947&lt;'112'!$K$9,$N947='112'!$I$6)),"x",""))</f>
        <v/>
      </c>
      <c r="V947" s="75" t="str">
        <f>IF(ISERROR(FIND('112'!$M$9,G947,1)),"",IF((AND(RIGHT(G947,2)=RIGHT('112'!$M$9,2),B947&lt;'112'!$K$9,$O947='112'!$I$6)),"x",""))</f>
        <v/>
      </c>
      <c r="W947" s="75" t="str">
        <f>IF(AND('341-CT'!$H$9=H947,OR(LEFT(N947,3)=$W$7,LEFT(O947,3)=$W$7)),"x","")</f>
        <v/>
      </c>
      <c r="X947" s="75" t="str">
        <f>IF(OR(TH!N947=TH!$X$7,O947=TH!$X$7),"x","")</f>
        <v/>
      </c>
      <c r="Y947" s="75" t="str">
        <f>IF(AND(OR(N947="131",O947="131"),H947='131-CT'!$H$9),"x","")</f>
        <v/>
      </c>
      <c r="Z947" s="75"/>
      <c r="AA947" s="75" t="str">
        <f>IF(AND(MONTH(E947)='IN-NX'!$J$5,'IN-NX'!$D$7=D947),"x","")</f>
        <v/>
      </c>
      <c r="AB947" s="75" t="str">
        <f>IF(AND(OR(LEFT(TH!N947,2)="15",LEFT(TH!O947,2)="15"),LEFT(TH!O947,3)&lt;&gt;"111",'152-CT'!$J$8=TH!F947),"x","")</f>
        <v/>
      </c>
      <c r="AC947" s="75" t="str">
        <f>IF(AND(OR(LEFT(TH!N947,2)="15",LEFT(TH!O947,2)="15"),TK!$E$7=TH!F947),"x","")</f>
        <v/>
      </c>
      <c r="AD947" s="75" t="str">
        <f>IF(AND(N947="1521",MONTH(C947)='BK-NL'!$M$11),"x","")</f>
        <v/>
      </c>
    </row>
    <row r="948" spans="1:30" ht="16.5" customHeight="1">
      <c r="A948" s="309" t="str">
        <f>IF(B948&lt;&gt;"",IF(AND(B948='IN-TC'!$S$4,OR(TH!N948="1111",TH!O948="1111")),TH!D948,""),"")</f>
        <v/>
      </c>
      <c r="B948" s="1058">
        <f t="shared" si="166"/>
        <v>1</v>
      </c>
      <c r="C948" s="292">
        <f t="shared" si="167"/>
        <v>42748</v>
      </c>
      <c r="D948" s="292" t="s">
        <v>2985</v>
      </c>
      <c r="E948" s="292">
        <v>42748</v>
      </c>
      <c r="F948" s="67" t="s">
        <v>764</v>
      </c>
      <c r="G948" s="925"/>
      <c r="H948" s="67" t="s">
        <v>374</v>
      </c>
      <c r="I948" s="373">
        <f>87000-SUM(I943:I947)</f>
        <v>14389</v>
      </c>
      <c r="J948" s="379">
        <v>18500</v>
      </c>
      <c r="K948" s="373"/>
      <c r="L948" s="379"/>
      <c r="M948" s="927">
        <f t="shared" si="168"/>
        <v>266196500</v>
      </c>
      <c r="N948" s="295" t="s">
        <v>264</v>
      </c>
      <c r="O948" s="295" t="s">
        <v>8</v>
      </c>
      <c r="P948" s="75" t="str">
        <f>IF(AND('331-CT'!$E$7=TH!H948,OR(N948="331",O948="331")),"x","")</f>
        <v/>
      </c>
      <c r="Q948" s="75" t="str">
        <f>IF(AND(B948='111'!$L$11,OR($N948=$Q$7,$O948=$Q$7)),"x","")</f>
        <v/>
      </c>
      <c r="R948" s="75" t="str">
        <f>IF(AND($N948=$Q$7,$B948&lt;'111'!$L$11),"x","")</f>
        <v/>
      </c>
      <c r="S948" s="75" t="str">
        <f>IF(AND($O948=$Q$7,$B948&lt;'111'!$L$11),"x","")</f>
        <v/>
      </c>
      <c r="T948" s="75" t="str">
        <f>IF(ISERROR(FIND('112'!$M$9,G948,1)),"",IF((AND(FIND('112'!$M$9,G948,1)&gt;=1,B948='112'!$K$9,OR($N948='112'!$I$6,$O948='112'!$I$6))),"x",""))</f>
        <v/>
      </c>
      <c r="U948" s="75" t="str">
        <f>IF(ISERROR(FIND('112'!$M$9,G948,1)),"",IF((AND(LEFT(G948,2)=LEFT('112'!$M$9,2),B948&lt;'112'!$K$9,$N948='112'!$I$6)),"x",""))</f>
        <v/>
      </c>
      <c r="V948" s="75" t="str">
        <f>IF(ISERROR(FIND('112'!$M$9,G948,1)),"",IF((AND(RIGHT(G948,2)=RIGHT('112'!$M$9,2),B948&lt;'112'!$K$9,$O948='112'!$I$6)),"x",""))</f>
        <v/>
      </c>
      <c r="W948" s="75" t="str">
        <f>IF(AND('341-CT'!$H$9=H948,OR(LEFT(N948,3)=$W$7,LEFT(O948,3)=$W$7)),"x","")</f>
        <v/>
      </c>
      <c r="X948" s="75" t="str">
        <f>IF(OR(TH!N948=TH!$X$7,O948=TH!$X$7),"x","")</f>
        <v/>
      </c>
      <c r="Y948" s="75" t="str">
        <f>IF(AND(OR(N948="131",O948="131"),H948='131-CT'!$H$9),"x","")</f>
        <v/>
      </c>
      <c r="Z948" s="75"/>
      <c r="AA948" s="75" t="str">
        <f>IF(AND(MONTH(E948)='IN-NX'!$J$5,'IN-NX'!$D$7=D948),"x","")</f>
        <v/>
      </c>
      <c r="AB948" s="75" t="str">
        <f>IF(AND(OR(LEFT(TH!N948,2)="15",LEFT(TH!O948,2)="15"),LEFT(TH!O948,3)&lt;&gt;"111",'152-CT'!$J$8=TH!F948),"x","")</f>
        <v/>
      </c>
      <c r="AC948" s="75" t="str">
        <f>IF(AND(OR(LEFT(TH!N948,2)="15",LEFT(TH!O948,2)="15"),TK!$E$7=TH!F948),"x","")</f>
        <v/>
      </c>
      <c r="AD948" s="75" t="str">
        <f>IF(AND(N948="1521",MONTH(C948)='BK-NL'!$M$11),"x","")</f>
        <v/>
      </c>
    </row>
    <row r="949" spans="1:30" ht="16.5" customHeight="1">
      <c r="A949" s="309" t="str">
        <f>IF(B949&lt;&gt;"",IF(AND(B949='IN-TC'!$S$4,OR(TH!N949="1111",TH!O949="1111")),TH!D949,""),"")</f>
        <v/>
      </c>
      <c r="B949" s="1058">
        <f t="shared" si="163"/>
        <v>1</v>
      </c>
      <c r="C949" s="292">
        <f t="shared" si="164"/>
        <v>42741</v>
      </c>
      <c r="D949" s="292" t="s">
        <v>2966</v>
      </c>
      <c r="E949" s="292">
        <v>42741</v>
      </c>
      <c r="F949" s="67" t="s">
        <v>763</v>
      </c>
      <c r="G949" s="925"/>
      <c r="H949" s="429" t="s">
        <v>382</v>
      </c>
      <c r="I949" s="373">
        <v>13585</v>
      </c>
      <c r="J949" s="926">
        <v>37000</v>
      </c>
      <c r="K949" s="373"/>
      <c r="L949" s="379"/>
      <c r="M949" s="927">
        <f t="shared" si="165"/>
        <v>502645000</v>
      </c>
      <c r="N949" s="295" t="s">
        <v>264</v>
      </c>
      <c r="O949" s="295" t="s">
        <v>8</v>
      </c>
      <c r="P949" s="75" t="str">
        <f>IF(AND('331-CT'!$E$7=TH!H949,OR(N949="331",O949="331")),"x","")</f>
        <v/>
      </c>
      <c r="Q949" s="75" t="str">
        <f>IF(AND(B949='111'!$L$11,OR($N949=$Q$7,$O949=$Q$7)),"x","")</f>
        <v/>
      </c>
      <c r="R949" s="75" t="str">
        <f>IF(AND($N949=$Q$7,$B949&lt;'111'!$L$11),"x","")</f>
        <v/>
      </c>
      <c r="S949" s="75" t="str">
        <f>IF(AND($O949=$Q$7,$B949&lt;'111'!$L$11),"x","")</f>
        <v/>
      </c>
      <c r="T949" s="75" t="str">
        <f>IF(ISERROR(FIND('112'!$M$9,G949,1)),"",IF((AND(FIND('112'!$M$9,G949,1)&gt;=1,B949='112'!$K$9,OR($N949='112'!$I$6,$O949='112'!$I$6))),"x",""))</f>
        <v/>
      </c>
      <c r="U949" s="75" t="str">
        <f>IF(ISERROR(FIND('112'!$M$9,G949,1)),"",IF((AND(LEFT(G949,2)=LEFT('112'!$M$9,2),B949&lt;'112'!$K$9,$N949='112'!$I$6)),"x",""))</f>
        <v/>
      </c>
      <c r="V949" s="75" t="str">
        <f>IF(ISERROR(FIND('112'!$M$9,G949,1)),"",IF((AND(RIGHT(G949,2)=RIGHT('112'!$M$9,2),B949&lt;'112'!$K$9,$O949='112'!$I$6)),"x",""))</f>
        <v/>
      </c>
      <c r="W949" s="75" t="str">
        <f>IF(AND('341-CT'!$H$9=H949,OR(LEFT(N949,3)=$W$7,LEFT(O949,3)=$W$7)),"x","")</f>
        <v/>
      </c>
      <c r="X949" s="75" t="str">
        <f>IF(OR(TH!N949=TH!$X$7,O949=TH!$X$7),"x","")</f>
        <v/>
      </c>
      <c r="Y949" s="75" t="str">
        <f>IF(AND(OR(N949="131",O949="131"),H949='131-CT'!$H$9),"x","")</f>
        <v/>
      </c>
      <c r="Z949" s="75"/>
      <c r="AA949" s="75" t="str">
        <f>IF(AND(MONTH(E949)='IN-NX'!$J$5,'IN-NX'!$D$7=D949),"x","")</f>
        <v/>
      </c>
      <c r="AB949" s="75" t="str">
        <f>IF(AND(OR(LEFT(TH!N949,2)="15",LEFT(TH!O949,2)="15"),LEFT(TH!O949,3)&lt;&gt;"111",'152-CT'!$J$8=TH!F949),"x","")</f>
        <v/>
      </c>
      <c r="AC949" s="75" t="str">
        <f>IF(AND(OR(LEFT(TH!N949,2)="15",LEFT(TH!O949,2)="15"),TK!$E$7=TH!F949),"x","")</f>
        <v/>
      </c>
      <c r="AD949" s="75" t="str">
        <f>IF(AND(N949="1521",MONTH(C949)='BK-NL'!$M$11),"x","")</f>
        <v/>
      </c>
    </row>
    <row r="950" spans="1:30" ht="16.5" customHeight="1">
      <c r="A950" s="309" t="str">
        <f>IF(B950&lt;&gt;"",IF(AND(B950='IN-TC'!$S$4,OR(TH!N950="1111",TH!O950="1111")),TH!D950,""),"")</f>
        <v/>
      </c>
      <c r="B950" s="1058">
        <f t="shared" si="157"/>
        <v>1</v>
      </c>
      <c r="C950" s="292">
        <f t="shared" si="161"/>
        <v>42741</v>
      </c>
      <c r="D950" s="292" t="s">
        <v>2966</v>
      </c>
      <c r="E950" s="292">
        <v>42741</v>
      </c>
      <c r="F950" s="67" t="s">
        <v>790</v>
      </c>
      <c r="G950" s="925"/>
      <c r="H950" s="429" t="s">
        <v>382</v>
      </c>
      <c r="I950" s="373">
        <v>1000</v>
      </c>
      <c r="J950" s="379">
        <v>28500</v>
      </c>
      <c r="K950" s="373"/>
      <c r="L950" s="379"/>
      <c r="M950" s="927">
        <f t="shared" si="162"/>
        <v>28500000</v>
      </c>
      <c r="N950" s="295" t="s">
        <v>264</v>
      </c>
      <c r="O950" s="295" t="s">
        <v>8</v>
      </c>
      <c r="P950" s="75" t="str">
        <f>IF(AND('331-CT'!$E$7=TH!H950,OR(N950="331",O950="331")),"x","")</f>
        <v/>
      </c>
      <c r="Q950" s="75" t="str">
        <f>IF(AND(B950='111'!$L$11,OR($N950=$Q$7,$O950=$Q$7)),"x","")</f>
        <v/>
      </c>
      <c r="R950" s="75" t="str">
        <f>IF(AND($N950=$Q$7,$B950&lt;'111'!$L$11),"x","")</f>
        <v/>
      </c>
      <c r="S950" s="75" t="str">
        <f>IF(AND($O950=$Q$7,$B950&lt;'111'!$L$11),"x","")</f>
        <v/>
      </c>
      <c r="T950" s="75" t="str">
        <f>IF(ISERROR(FIND('112'!$M$9,G950,1)),"",IF((AND(FIND('112'!$M$9,G950,1)&gt;=1,B950='112'!$K$9,OR($N950='112'!$I$6,$O950='112'!$I$6))),"x",""))</f>
        <v/>
      </c>
      <c r="U950" s="75" t="str">
        <f>IF(ISERROR(FIND('112'!$M$9,G950,1)),"",IF((AND(LEFT(G950,2)=LEFT('112'!$M$9,2),B950&lt;'112'!$K$9,$N950='112'!$I$6)),"x",""))</f>
        <v/>
      </c>
      <c r="V950" s="75" t="str">
        <f>IF(ISERROR(FIND('112'!$M$9,G950,1)),"",IF((AND(RIGHT(G950,2)=RIGHT('112'!$M$9,2),B950&lt;'112'!$K$9,$O950='112'!$I$6)),"x",""))</f>
        <v/>
      </c>
      <c r="W950" s="75" t="str">
        <f>IF(AND('341-CT'!$H$9=H950,OR(LEFT(N950,3)=$W$7,LEFT(O950,3)=$W$7)),"x","")</f>
        <v/>
      </c>
      <c r="X950" s="75" t="str">
        <f>IF(OR(TH!N950=TH!$X$7,O950=TH!$X$7),"x","")</f>
        <v/>
      </c>
      <c r="Y950" s="75" t="str">
        <f>IF(AND(OR(N950="131",O950="131"),H950='131-CT'!$H$9),"x","")</f>
        <v/>
      </c>
      <c r="Z950" s="75"/>
      <c r="AA950" s="75" t="str">
        <f>IF(AND(MONTH(E950)='IN-NX'!$J$5,'IN-NX'!$D$7=D950),"x","")</f>
        <v/>
      </c>
      <c r="AB950" s="75" t="str">
        <f>IF(AND(OR(LEFT(TH!N950,2)="15",LEFT(TH!O950,2)="15"),LEFT(TH!O950,3)&lt;&gt;"111",'152-CT'!$J$8=TH!F950),"x","")</f>
        <v/>
      </c>
      <c r="AC950" s="75" t="str">
        <f>IF(AND(OR(LEFT(TH!N950,2)="15",LEFT(TH!O950,2)="15"),TK!$E$7=TH!F950),"x","")</f>
        <v/>
      </c>
      <c r="AD950" s="75" t="str">
        <f>IF(AND(N950="1521",MONTH(C950)='BK-NL'!$M$11),"x","")</f>
        <v/>
      </c>
    </row>
    <row r="951" spans="1:30" ht="16.5" customHeight="1">
      <c r="A951" s="309" t="str">
        <f>IF(B951&lt;&gt;"",IF(AND(B951='IN-TC'!$S$4,OR(TH!N951="1111",TH!O951="1111")),TH!D951,""),"")</f>
        <v/>
      </c>
      <c r="B951" s="1058">
        <f t="shared" si="157"/>
        <v>1</v>
      </c>
      <c r="C951" s="292">
        <f t="shared" si="161"/>
        <v>42741</v>
      </c>
      <c r="D951" s="292" t="s">
        <v>2966</v>
      </c>
      <c r="E951" s="292">
        <v>42741</v>
      </c>
      <c r="F951" s="67" t="s">
        <v>1121</v>
      </c>
      <c r="G951" s="925"/>
      <c r="H951" s="429" t="s">
        <v>382</v>
      </c>
      <c r="I951" s="373">
        <v>963</v>
      </c>
      <c r="J951" s="379">
        <v>35000</v>
      </c>
      <c r="K951" s="373"/>
      <c r="L951" s="379"/>
      <c r="M951" s="927">
        <f t="shared" si="162"/>
        <v>33705000</v>
      </c>
      <c r="N951" s="295" t="s">
        <v>264</v>
      </c>
      <c r="O951" s="295" t="s">
        <v>8</v>
      </c>
      <c r="P951" s="75" t="str">
        <f>IF(AND('331-CT'!$E$7=TH!H951,OR(N951="331",O951="331")),"x","")</f>
        <v/>
      </c>
      <c r="Q951" s="75" t="str">
        <f>IF(AND(B951='111'!$L$11,OR($N951=$Q$7,$O951=$Q$7)),"x","")</f>
        <v/>
      </c>
      <c r="R951" s="75" t="str">
        <f>IF(AND($N951=$Q$7,$B951&lt;'111'!$L$11),"x","")</f>
        <v/>
      </c>
      <c r="S951" s="75" t="str">
        <f>IF(AND($O951=$Q$7,$B951&lt;'111'!$L$11),"x","")</f>
        <v/>
      </c>
      <c r="T951" s="75" t="str">
        <f>IF(ISERROR(FIND('112'!$M$9,G951,1)),"",IF((AND(FIND('112'!$M$9,G951,1)&gt;=1,B951='112'!$K$9,OR($N951='112'!$I$6,$O951='112'!$I$6))),"x",""))</f>
        <v/>
      </c>
      <c r="U951" s="75" t="str">
        <f>IF(ISERROR(FIND('112'!$M$9,G951,1)),"",IF((AND(LEFT(G951,2)=LEFT('112'!$M$9,2),B951&lt;'112'!$K$9,$N951='112'!$I$6)),"x",""))</f>
        <v/>
      </c>
      <c r="V951" s="75" t="str">
        <f>IF(ISERROR(FIND('112'!$M$9,G951,1)),"",IF((AND(RIGHT(G951,2)=RIGHT('112'!$M$9,2),B951&lt;'112'!$K$9,$O951='112'!$I$6)),"x",""))</f>
        <v/>
      </c>
      <c r="W951" s="75" t="str">
        <f>IF(AND('341-CT'!$H$9=H951,OR(LEFT(N951,3)=$W$7,LEFT(O951,3)=$W$7)),"x","")</f>
        <v/>
      </c>
      <c r="X951" s="75" t="str">
        <f>IF(OR(TH!N951=TH!$X$7,O951=TH!$X$7),"x","")</f>
        <v/>
      </c>
      <c r="Y951" s="75" t="str">
        <f>IF(AND(OR(N951="131",O951="131"),H951='131-CT'!$H$9),"x","")</f>
        <v/>
      </c>
      <c r="Z951" s="75"/>
      <c r="AA951" s="75" t="str">
        <f>IF(AND(MONTH(E951)='IN-NX'!$J$5,'IN-NX'!$D$7=D951),"x","")</f>
        <v/>
      </c>
      <c r="AB951" s="75" t="str">
        <f>IF(AND(OR(LEFT(TH!N951,2)="15",LEFT(TH!O951,2)="15"),LEFT(TH!O951,3)&lt;&gt;"111",'152-CT'!$J$8=TH!F951),"x","")</f>
        <v/>
      </c>
      <c r="AC951" s="75" t="str">
        <f>IF(AND(OR(LEFT(TH!N951,2)="15",LEFT(TH!O951,2)="15"),TK!$E$7=TH!F951),"x","")</f>
        <v/>
      </c>
      <c r="AD951" s="75" t="str">
        <f>IF(AND(N951="1521",MONTH(C951)='BK-NL'!$M$11),"x","")</f>
        <v/>
      </c>
    </row>
    <row r="952" spans="1:30" ht="16.5" customHeight="1">
      <c r="A952" s="309" t="str">
        <f>IF(B952&lt;&gt;"",IF(AND(B952='IN-TC'!$S$4,OR(TH!N952="1111",TH!O952="1111")),TH!D952,""),"")</f>
        <v/>
      </c>
      <c r="B952" s="1058">
        <f t="shared" si="157"/>
        <v>1</v>
      </c>
      <c r="C952" s="292">
        <f t="shared" si="161"/>
        <v>42741</v>
      </c>
      <c r="D952" s="292" t="s">
        <v>2966</v>
      </c>
      <c r="E952" s="292">
        <v>42741</v>
      </c>
      <c r="F952" s="67" t="s">
        <v>1120</v>
      </c>
      <c r="G952" s="925"/>
      <c r="H952" s="429" t="s">
        <v>382</v>
      </c>
      <c r="I952" s="373">
        <v>540</v>
      </c>
      <c r="J952" s="379">
        <v>32000</v>
      </c>
      <c r="K952" s="373"/>
      <c r="L952" s="379"/>
      <c r="M952" s="927">
        <f t="shared" si="162"/>
        <v>17280000</v>
      </c>
      <c r="N952" s="295" t="s">
        <v>264</v>
      </c>
      <c r="O952" s="295" t="s">
        <v>8</v>
      </c>
      <c r="P952" s="75" t="str">
        <f>IF(AND('331-CT'!$E$7=TH!H952,OR(N952="331",O952="331")),"x","")</f>
        <v/>
      </c>
      <c r="Q952" s="75" t="str">
        <f>IF(AND(B952='111'!$L$11,OR($N952=$Q$7,$O952=$Q$7)),"x","")</f>
        <v/>
      </c>
      <c r="R952" s="75" t="str">
        <f>IF(AND($N952=$Q$7,$B952&lt;'111'!$L$11),"x","")</f>
        <v/>
      </c>
      <c r="S952" s="75" t="str">
        <f>IF(AND($O952=$Q$7,$B952&lt;'111'!$L$11),"x","")</f>
        <v/>
      </c>
      <c r="T952" s="75" t="str">
        <f>IF(ISERROR(FIND('112'!$M$9,G952,1)),"",IF((AND(FIND('112'!$M$9,G952,1)&gt;=1,B952='112'!$K$9,OR($N952='112'!$I$6,$O952='112'!$I$6))),"x",""))</f>
        <v/>
      </c>
      <c r="U952" s="75" t="str">
        <f>IF(ISERROR(FIND('112'!$M$9,G952,1)),"",IF((AND(LEFT(G952,2)=LEFT('112'!$M$9,2),B952&lt;'112'!$K$9,$N952='112'!$I$6)),"x",""))</f>
        <v/>
      </c>
      <c r="V952" s="75" t="str">
        <f>IF(ISERROR(FIND('112'!$M$9,G952,1)),"",IF((AND(RIGHT(G952,2)=RIGHT('112'!$M$9,2),B952&lt;'112'!$K$9,$O952='112'!$I$6)),"x",""))</f>
        <v/>
      </c>
      <c r="W952" s="75" t="str">
        <f>IF(AND('341-CT'!$H$9=H952,OR(LEFT(N952,3)=$W$7,LEFT(O952,3)=$W$7)),"x","")</f>
        <v/>
      </c>
      <c r="X952" s="75" t="str">
        <f>IF(OR(TH!N952=TH!$X$7,O952=TH!$X$7),"x","")</f>
        <v/>
      </c>
      <c r="Y952" s="75" t="str">
        <f>IF(AND(OR(N952="131",O952="131"),H952='131-CT'!$H$9),"x","")</f>
        <v/>
      </c>
      <c r="Z952" s="75"/>
      <c r="AA952" s="75" t="str">
        <f>IF(AND(MONTH(E952)='IN-NX'!$J$5,'IN-NX'!$D$7=D952),"x","")</f>
        <v/>
      </c>
      <c r="AB952" s="75" t="str">
        <f>IF(AND(OR(LEFT(TH!N952,2)="15",LEFT(TH!O952,2)="15"),LEFT(TH!O952,3)&lt;&gt;"111",'152-CT'!$J$8=TH!F952),"x","")</f>
        <v/>
      </c>
      <c r="AC952" s="75" t="str">
        <f>IF(AND(OR(LEFT(TH!N952,2)="15",LEFT(TH!O952,2)="15"),TK!$E$7=TH!F952),"x","")</f>
        <v/>
      </c>
      <c r="AD952" s="75" t="str">
        <f>IF(AND(N952="1521",MONTH(C952)='BK-NL'!$M$11),"x","")</f>
        <v/>
      </c>
    </row>
    <row r="953" spans="1:30" ht="16.5" customHeight="1">
      <c r="A953" s="309" t="str">
        <f>IF(B953&lt;&gt;"",IF(AND(B953='IN-TC'!$S$4,OR(TH!N953="1111",TH!O953="1111")),TH!D953,""),"")</f>
        <v/>
      </c>
      <c r="B953" s="1058">
        <f t="shared" si="157"/>
        <v>1</v>
      </c>
      <c r="C953" s="292">
        <f t="shared" si="161"/>
        <v>42741</v>
      </c>
      <c r="D953" s="292" t="s">
        <v>2966</v>
      </c>
      <c r="E953" s="292">
        <v>42741</v>
      </c>
      <c r="F953" s="67" t="s">
        <v>2982</v>
      </c>
      <c r="G953" s="925"/>
      <c r="H953" s="429" t="s">
        <v>382</v>
      </c>
      <c r="I953" s="373">
        <v>2020</v>
      </c>
      <c r="J953" s="926">
        <v>25000</v>
      </c>
      <c r="K953" s="373"/>
      <c r="L953" s="379"/>
      <c r="M953" s="927">
        <f t="shared" si="162"/>
        <v>50500000</v>
      </c>
      <c r="N953" s="295" t="s">
        <v>264</v>
      </c>
      <c r="O953" s="295" t="s">
        <v>8</v>
      </c>
      <c r="P953" s="75" t="str">
        <f>IF(AND('331-CT'!$E$7=TH!H953,OR(N953="331",O953="331")),"x","")</f>
        <v/>
      </c>
      <c r="Q953" s="75" t="str">
        <f>IF(AND(B953='111'!$L$11,OR($N953=$Q$7,$O953=$Q$7)),"x","")</f>
        <v/>
      </c>
      <c r="R953" s="75" t="str">
        <f>IF(AND($N953=$Q$7,$B953&lt;'111'!$L$11),"x","")</f>
        <v/>
      </c>
      <c r="S953" s="75" t="str">
        <f>IF(AND($O953=$Q$7,$B953&lt;'111'!$L$11),"x","")</f>
        <v/>
      </c>
      <c r="T953" s="75" t="str">
        <f>IF(ISERROR(FIND('112'!$M$9,G953,1)),"",IF((AND(FIND('112'!$M$9,G953,1)&gt;=1,B953='112'!$K$9,OR($N953='112'!$I$6,$O953='112'!$I$6))),"x",""))</f>
        <v/>
      </c>
      <c r="U953" s="75" t="str">
        <f>IF(ISERROR(FIND('112'!$M$9,G953,1)),"",IF((AND(LEFT(G953,2)=LEFT('112'!$M$9,2),B953&lt;'112'!$K$9,$N953='112'!$I$6)),"x",""))</f>
        <v/>
      </c>
      <c r="V953" s="75" t="str">
        <f>IF(ISERROR(FIND('112'!$M$9,G953,1)),"",IF((AND(RIGHT(G953,2)=RIGHT('112'!$M$9,2),B953&lt;'112'!$K$9,$O953='112'!$I$6)),"x",""))</f>
        <v/>
      </c>
      <c r="W953" s="75" t="str">
        <f>IF(AND('341-CT'!$H$9=H953,OR(LEFT(N953,3)=$W$7,LEFT(O953,3)=$W$7)),"x","")</f>
        <v/>
      </c>
      <c r="X953" s="75" t="str">
        <f>IF(OR(TH!N953=TH!$X$7,O953=TH!$X$7),"x","")</f>
        <v/>
      </c>
      <c r="Y953" s="75" t="str">
        <f>IF(AND(OR(N953="131",O953="131"),H953='131-CT'!$H$9),"x","")</f>
        <v/>
      </c>
      <c r="Z953" s="75"/>
      <c r="AA953" s="75" t="str">
        <f>IF(AND(MONTH(E953)='IN-NX'!$J$5,'IN-NX'!$D$7=D953),"x","")</f>
        <v/>
      </c>
      <c r="AB953" s="75" t="str">
        <f>IF(AND(OR(LEFT(TH!N953,2)="15",LEFT(TH!O953,2)="15"),LEFT(TH!O953,3)&lt;&gt;"111",'152-CT'!$J$8=TH!F953),"x","")</f>
        <v/>
      </c>
      <c r="AC953" s="75" t="str">
        <f>IF(AND(OR(LEFT(TH!N953,2)="15",LEFT(TH!O953,2)="15"),TK!$E$7=TH!F953),"x","")</f>
        <v/>
      </c>
      <c r="AD953" s="75" t="str">
        <f>IF(AND(N953="1521",MONTH(C953)='BK-NL'!$M$11),"x","")</f>
        <v/>
      </c>
    </row>
    <row r="954" spans="1:30" ht="16.5" customHeight="1">
      <c r="A954" s="309" t="str">
        <f>IF(B954&lt;&gt;"",IF(AND(B954='IN-TC'!$S$4,OR(TH!N954="1111",TH!O954="1111")),TH!D954,""),"")</f>
        <v/>
      </c>
      <c r="B954" s="1058">
        <f t="shared" si="157"/>
        <v>1</v>
      </c>
      <c r="C954" s="929">
        <f t="shared" ref="C954:C961" si="169">E954</f>
        <v>42765</v>
      </c>
      <c r="D954" s="929" t="s">
        <v>2956</v>
      </c>
      <c r="E954" s="929">
        <v>42765</v>
      </c>
      <c r="F954" s="1082" t="s">
        <v>565</v>
      </c>
      <c r="G954" s="931"/>
      <c r="H954" s="735" t="s">
        <v>424</v>
      </c>
      <c r="I954" s="371">
        <f>(100800+24640)</f>
        <v>125440</v>
      </c>
      <c r="J954" s="377">
        <v>17500</v>
      </c>
      <c r="K954" s="371"/>
      <c r="L954" s="377"/>
      <c r="M954" s="933">
        <f t="shared" ref="M954:M961" si="170">ROUND(I954*J954,0)</f>
        <v>2195200000</v>
      </c>
      <c r="N954" s="934" t="s">
        <v>272</v>
      </c>
      <c r="O954" s="934" t="s">
        <v>264</v>
      </c>
      <c r="P954" s="75" t="str">
        <f>IF(AND('331-CT'!$E$7=TH!H954,OR(N954="331",O954="331")),"x","")</f>
        <v/>
      </c>
      <c r="Q954" s="75" t="str">
        <f>IF(AND(B954='111'!$L$11,OR($N954=$Q$7,$O954=$Q$7)),"x","")</f>
        <v/>
      </c>
      <c r="R954" s="75" t="str">
        <f>IF(AND($N954=$Q$7,$B954&lt;'111'!$L$11),"x","")</f>
        <v/>
      </c>
      <c r="S954" s="75" t="str">
        <f>IF(AND($O954=$Q$7,$B954&lt;'111'!$L$11),"x","")</f>
        <v/>
      </c>
      <c r="T954" s="75" t="str">
        <f>IF(ISERROR(FIND('112'!$M$9,G954,1)),"",IF((AND(FIND('112'!$M$9,G954,1)&gt;=1,B954='112'!$K$9,OR($N954='112'!$I$6,$O954='112'!$I$6))),"x",""))</f>
        <v/>
      </c>
      <c r="U954" s="75" t="str">
        <f>IF(ISERROR(FIND('112'!$M$9,G954,1)),"",IF((AND(LEFT(G954,2)=LEFT('112'!$M$9,2),B954&lt;'112'!$K$9,$N954='112'!$I$6)),"x",""))</f>
        <v/>
      </c>
      <c r="V954" s="75" t="str">
        <f>IF(ISERROR(FIND('112'!$M$9,G954,1)),"",IF((AND(RIGHT(G954,2)=RIGHT('112'!$M$9,2),B954&lt;'112'!$K$9,$O954='112'!$I$6)),"x",""))</f>
        <v/>
      </c>
      <c r="W954" s="75" t="str">
        <f>IF(AND('341-CT'!$H$9=H954,OR(LEFT(N954,3)=$W$7,LEFT(O954,3)=$W$7)),"x","")</f>
        <v/>
      </c>
      <c r="X954" s="75" t="str">
        <f>IF(OR(TH!N954=TH!$X$7,O954=TH!$X$7),"x","")</f>
        <v/>
      </c>
      <c r="Y954" s="75" t="str">
        <f>IF(AND(OR(N954="131",O954="131"),H954='131-CT'!$H$9),"x","")</f>
        <v/>
      </c>
      <c r="Z954" s="75"/>
      <c r="AA954" s="75" t="str">
        <f>IF(AND(MONTH(E954)='IN-NX'!$J$5,'IN-NX'!$D$7=D954),"x","")</f>
        <v/>
      </c>
      <c r="AB954" s="75" t="str">
        <f>IF(AND(OR(LEFT(TH!N954,2)="15",LEFT(TH!O954,2)="15"),LEFT(TH!O954,3)&lt;&gt;"111",'152-CT'!$J$8=TH!F954),"x","")</f>
        <v/>
      </c>
      <c r="AC954" s="75" t="str">
        <f>IF(AND(OR(LEFT(TH!N954,2)="15",LEFT(TH!O954,2)="15"),TK!$E$7=TH!F954),"x","")</f>
        <v/>
      </c>
      <c r="AD954" s="75" t="str">
        <f>IF(AND(N954="1521",MONTH(C954)='BK-NL'!$M$11),"x","")</f>
        <v/>
      </c>
    </row>
    <row r="955" spans="1:30" ht="16.5" customHeight="1">
      <c r="A955" s="309" t="str">
        <f>IF(B955&lt;&gt;"",IF(AND(B955='IN-TC'!$S$4,OR(TH!N955="1111",TH!O955="1111")),TH!D955,""),"")</f>
        <v/>
      </c>
      <c r="B955" s="1058">
        <f t="shared" si="157"/>
        <v>1</v>
      </c>
      <c r="C955" s="929">
        <f t="shared" si="169"/>
        <v>42765</v>
      </c>
      <c r="D955" s="929" t="s">
        <v>2956</v>
      </c>
      <c r="E955" s="929">
        <v>42765</v>
      </c>
      <c r="F955" s="296" t="s">
        <v>566</v>
      </c>
      <c r="G955" s="931"/>
      <c r="H955" s="735" t="s">
        <v>424</v>
      </c>
      <c r="I955" s="371">
        <v>138000</v>
      </c>
      <c r="J955" s="377">
        <v>16700</v>
      </c>
      <c r="K955" s="371"/>
      <c r="L955" s="377"/>
      <c r="M955" s="933">
        <f t="shared" si="170"/>
        <v>2304600000</v>
      </c>
      <c r="N955" s="934" t="s">
        <v>272</v>
      </c>
      <c r="O955" s="934" t="s">
        <v>264</v>
      </c>
      <c r="P955" s="75" t="str">
        <f>IF(AND('331-CT'!$E$7=TH!H955,OR(N955="331",O955="331")),"x","")</f>
        <v/>
      </c>
      <c r="Q955" s="75" t="str">
        <f>IF(AND(B955='111'!$L$11,OR($N955=$Q$7,$O955=$Q$7)),"x","")</f>
        <v/>
      </c>
      <c r="R955" s="75" t="str">
        <f>IF(AND($N955=$Q$7,$B955&lt;'111'!$L$11),"x","")</f>
        <v/>
      </c>
      <c r="S955" s="75" t="str">
        <f>IF(AND($O955=$Q$7,$B955&lt;'111'!$L$11),"x","")</f>
        <v/>
      </c>
      <c r="T955" s="75" t="str">
        <f>IF(ISERROR(FIND('112'!$M$9,G955,1)),"",IF((AND(FIND('112'!$M$9,G955,1)&gt;=1,B955='112'!$K$9,OR($N955='112'!$I$6,$O955='112'!$I$6))),"x",""))</f>
        <v/>
      </c>
      <c r="U955" s="75" t="str">
        <f>IF(ISERROR(FIND('112'!$M$9,G955,1)),"",IF((AND(LEFT(G955,2)=LEFT('112'!$M$9,2),B955&lt;'112'!$K$9,$N955='112'!$I$6)),"x",""))</f>
        <v/>
      </c>
      <c r="V955" s="75" t="str">
        <f>IF(ISERROR(FIND('112'!$M$9,G955,1)),"",IF((AND(RIGHT(G955,2)=RIGHT('112'!$M$9,2),B955&lt;'112'!$K$9,$O955='112'!$I$6)),"x",""))</f>
        <v/>
      </c>
      <c r="W955" s="75" t="str">
        <f>IF(AND('341-CT'!$H$9=H955,OR(LEFT(N955,3)=$W$7,LEFT(O955,3)=$W$7)),"x","")</f>
        <v/>
      </c>
      <c r="X955" s="75" t="str">
        <f>IF(OR(TH!N955=TH!$X$7,O955=TH!$X$7),"x","")</f>
        <v/>
      </c>
      <c r="Y955" s="75" t="str">
        <f>IF(AND(OR(N955="131",O955="131"),H955='131-CT'!$H$9),"x","")</f>
        <v/>
      </c>
      <c r="Z955" s="75"/>
      <c r="AA955" s="75" t="str">
        <f>IF(AND(MONTH(E955)='IN-NX'!$J$5,'IN-NX'!$D$7=D955),"x","")</f>
        <v/>
      </c>
      <c r="AB955" s="75" t="str">
        <f>IF(AND(OR(LEFT(TH!N955,2)="15",LEFT(TH!O955,2)="15"),LEFT(TH!O955,3)&lt;&gt;"111",'152-CT'!$J$8=TH!F955),"x","")</f>
        <v/>
      </c>
      <c r="AC955" s="75" t="str">
        <f>IF(AND(OR(LEFT(TH!N955,2)="15",LEFT(TH!O955,2)="15"),TK!$E$7=TH!F955),"x","")</f>
        <v/>
      </c>
      <c r="AD955" s="75" t="str">
        <f>IF(AND(N955="1521",MONTH(C955)='BK-NL'!$M$11),"x","")</f>
        <v/>
      </c>
    </row>
    <row r="956" spans="1:30" ht="16.5" customHeight="1">
      <c r="A956" s="309" t="str">
        <f>IF(B956&lt;&gt;"",IF(AND(B956='IN-TC'!$S$4,OR(TH!N956="1111",TH!O956="1111")),TH!D956,""),"")</f>
        <v/>
      </c>
      <c r="B956" s="1058">
        <f t="shared" si="157"/>
        <v>1</v>
      </c>
      <c r="C956" s="929">
        <f t="shared" si="169"/>
        <v>42765</v>
      </c>
      <c r="D956" s="929" t="s">
        <v>2956</v>
      </c>
      <c r="E956" s="929">
        <v>42765</v>
      </c>
      <c r="F956" s="296" t="s">
        <v>764</v>
      </c>
      <c r="G956" s="931"/>
      <c r="H956" s="735" t="s">
        <v>424</v>
      </c>
      <c r="I956" s="371">
        <v>87000</v>
      </c>
      <c r="J956" s="377">
        <v>18500</v>
      </c>
      <c r="K956" s="371"/>
      <c r="L956" s="377"/>
      <c r="M956" s="933">
        <f t="shared" si="170"/>
        <v>1609500000</v>
      </c>
      <c r="N956" s="934" t="s">
        <v>272</v>
      </c>
      <c r="O956" s="934" t="s">
        <v>264</v>
      </c>
      <c r="P956" s="75" t="str">
        <f>IF(AND('331-CT'!$E$7=TH!H956,OR(N956="331",O956="331")),"x","")</f>
        <v/>
      </c>
      <c r="Q956" s="75" t="str">
        <f>IF(AND(B956='111'!$L$11,OR($N956=$Q$7,$O956=$Q$7)),"x","")</f>
        <v/>
      </c>
      <c r="R956" s="75" t="str">
        <f>IF(AND($N956=$Q$7,$B956&lt;'111'!$L$11),"x","")</f>
        <v/>
      </c>
      <c r="S956" s="75" t="str">
        <f>IF(AND($O956=$Q$7,$B956&lt;'111'!$L$11),"x","")</f>
        <v/>
      </c>
      <c r="T956" s="75" t="str">
        <f>IF(ISERROR(FIND('112'!$M$9,G956,1)),"",IF((AND(FIND('112'!$M$9,G956,1)&gt;=1,B956='112'!$K$9,OR($N956='112'!$I$6,$O956='112'!$I$6))),"x",""))</f>
        <v/>
      </c>
      <c r="U956" s="75" t="str">
        <f>IF(ISERROR(FIND('112'!$M$9,G956,1)),"",IF((AND(LEFT(G956,2)=LEFT('112'!$M$9,2),B956&lt;'112'!$K$9,$N956='112'!$I$6)),"x",""))</f>
        <v/>
      </c>
      <c r="V956" s="75" t="str">
        <f>IF(ISERROR(FIND('112'!$M$9,G956,1)),"",IF((AND(RIGHT(G956,2)=RIGHT('112'!$M$9,2),B956&lt;'112'!$K$9,$O956='112'!$I$6)),"x",""))</f>
        <v/>
      </c>
      <c r="W956" s="75" t="str">
        <f>IF(AND('341-CT'!$H$9=H956,OR(LEFT(N956,3)=$W$7,LEFT(O956,3)=$W$7)),"x","")</f>
        <v/>
      </c>
      <c r="X956" s="75" t="str">
        <f>IF(OR(TH!N956=TH!$X$7,O956=TH!$X$7),"x","")</f>
        <v/>
      </c>
      <c r="Y956" s="75" t="str">
        <f>IF(AND(OR(N956="131",O956="131"),H956='131-CT'!$H$9),"x","")</f>
        <v/>
      </c>
      <c r="Z956" s="75"/>
      <c r="AA956" s="75" t="str">
        <f>IF(AND(MONTH(E956)='IN-NX'!$J$5,'IN-NX'!$D$7=D956),"x","")</f>
        <v/>
      </c>
      <c r="AB956" s="75" t="str">
        <f>IF(AND(OR(LEFT(TH!N956,2)="15",LEFT(TH!O956,2)="15"),LEFT(TH!O956,3)&lt;&gt;"111",'152-CT'!$J$8=TH!F956),"x","")</f>
        <v/>
      </c>
      <c r="AC956" s="75" t="str">
        <f>IF(AND(OR(LEFT(TH!N956,2)="15",LEFT(TH!O956,2)="15"),TK!$E$7=TH!F956),"x","")</f>
        <v/>
      </c>
      <c r="AD956" s="75" t="str">
        <f>IF(AND(N956="1521",MONTH(C956)='BK-NL'!$M$11),"x","")</f>
        <v/>
      </c>
    </row>
    <row r="957" spans="1:30" ht="16.5" customHeight="1">
      <c r="A957" s="309" t="str">
        <f>IF(B957&lt;&gt;"",IF(AND(B957='IN-TC'!$S$4,OR(TH!N957="1111",TH!O957="1111")),TH!D957,""),"")</f>
        <v/>
      </c>
      <c r="B957" s="1058">
        <f t="shared" si="157"/>
        <v>1</v>
      </c>
      <c r="C957" s="929">
        <f t="shared" si="169"/>
        <v>42765</v>
      </c>
      <c r="D957" s="929" t="s">
        <v>2956</v>
      </c>
      <c r="E957" s="929">
        <v>42765</v>
      </c>
      <c r="F957" s="1082" t="s">
        <v>763</v>
      </c>
      <c r="G957" s="931"/>
      <c r="H957" s="735" t="s">
        <v>424</v>
      </c>
      <c r="I957" s="371">
        <v>13585</v>
      </c>
      <c r="J957" s="377">
        <v>37000</v>
      </c>
      <c r="K957" s="371"/>
      <c r="L957" s="377"/>
      <c r="M957" s="933">
        <f t="shared" si="170"/>
        <v>502645000</v>
      </c>
      <c r="N957" s="934" t="s">
        <v>272</v>
      </c>
      <c r="O957" s="934" t="s">
        <v>264</v>
      </c>
      <c r="P957" s="75" t="str">
        <f>IF(AND('331-CT'!$E$7=TH!H957,OR(N957="331",O957="331")),"x","")</f>
        <v/>
      </c>
      <c r="Q957" s="75" t="str">
        <f>IF(AND(B957='111'!$L$11,OR($N957=$Q$7,$O957=$Q$7)),"x","")</f>
        <v/>
      </c>
      <c r="R957" s="75" t="str">
        <f>IF(AND($N957=$Q$7,$B957&lt;'111'!$L$11),"x","")</f>
        <v/>
      </c>
      <c r="S957" s="75" t="str">
        <f>IF(AND($O957=$Q$7,$B957&lt;'111'!$L$11),"x","")</f>
        <v/>
      </c>
      <c r="T957" s="75" t="str">
        <f>IF(ISERROR(FIND('112'!$M$9,G957,1)),"",IF((AND(FIND('112'!$M$9,G957,1)&gt;=1,B957='112'!$K$9,OR($N957='112'!$I$6,$O957='112'!$I$6))),"x",""))</f>
        <v/>
      </c>
      <c r="U957" s="75" t="str">
        <f>IF(ISERROR(FIND('112'!$M$9,G957,1)),"",IF((AND(LEFT(G957,2)=LEFT('112'!$M$9,2),B957&lt;'112'!$K$9,$N957='112'!$I$6)),"x",""))</f>
        <v/>
      </c>
      <c r="V957" s="75" t="str">
        <f>IF(ISERROR(FIND('112'!$M$9,G957,1)),"",IF((AND(RIGHT(G957,2)=RIGHT('112'!$M$9,2),B957&lt;'112'!$K$9,$O957='112'!$I$6)),"x",""))</f>
        <v/>
      </c>
      <c r="W957" s="75" t="str">
        <f>IF(AND('341-CT'!$H$9=H957,OR(LEFT(N957,3)=$W$7,LEFT(O957,3)=$W$7)),"x","")</f>
        <v/>
      </c>
      <c r="X957" s="75" t="str">
        <f>IF(OR(TH!N957=TH!$X$7,O957=TH!$X$7),"x","")</f>
        <v/>
      </c>
      <c r="Y957" s="75" t="str">
        <f>IF(AND(OR(N957="131",O957="131"),H957='131-CT'!$H$9),"x","")</f>
        <v/>
      </c>
      <c r="Z957" s="75"/>
      <c r="AA957" s="75" t="str">
        <f>IF(AND(MONTH(E957)='IN-NX'!$J$5,'IN-NX'!$D$7=D957),"x","")</f>
        <v/>
      </c>
      <c r="AB957" s="75" t="str">
        <f>IF(AND(OR(LEFT(TH!N957,2)="15",LEFT(TH!O957,2)="15"),LEFT(TH!O957,3)&lt;&gt;"111",'152-CT'!$J$8=TH!F957),"x","")</f>
        <v/>
      </c>
      <c r="AC957" s="75" t="str">
        <f>IF(AND(OR(LEFT(TH!N957,2)="15",LEFT(TH!O957,2)="15"),TK!$E$7=TH!F957),"x","")</f>
        <v/>
      </c>
      <c r="AD957" s="75" t="str">
        <f>IF(AND(N957="1521",MONTH(C957)='BK-NL'!$M$11),"x","")</f>
        <v/>
      </c>
    </row>
    <row r="958" spans="1:30" ht="16.5" customHeight="1">
      <c r="A958" s="309" t="str">
        <f>IF(B958&lt;&gt;"",IF(AND(B958='IN-TC'!$S$4,OR(TH!N958="1111",TH!O958="1111")),TH!D958,""),"")</f>
        <v/>
      </c>
      <c r="B958" s="1058">
        <f t="shared" ref="B958:B959" si="171">IF(C958&lt;&gt;"",MONTH(C958),"")</f>
        <v>1</v>
      </c>
      <c r="C958" s="929">
        <f t="shared" ref="C958:C959" si="172">E958</f>
        <v>42765</v>
      </c>
      <c r="D958" s="929" t="s">
        <v>2956</v>
      </c>
      <c r="E958" s="929">
        <v>42765</v>
      </c>
      <c r="F958" s="296" t="s">
        <v>790</v>
      </c>
      <c r="G958" s="931"/>
      <c r="H958" s="735" t="s">
        <v>424</v>
      </c>
      <c r="I958" s="371">
        <v>1000</v>
      </c>
      <c r="J958" s="377">
        <v>28500</v>
      </c>
      <c r="K958" s="371"/>
      <c r="L958" s="377"/>
      <c r="M958" s="933">
        <f t="shared" ref="M958:M959" si="173">ROUND(I958*J958,0)</f>
        <v>28500000</v>
      </c>
      <c r="N958" s="934" t="s">
        <v>272</v>
      </c>
      <c r="O958" s="934" t="s">
        <v>264</v>
      </c>
      <c r="P958" s="75" t="str">
        <f>IF(AND('331-CT'!$E$7=TH!H958,OR(N958="331",O958="331")),"x","")</f>
        <v/>
      </c>
      <c r="Q958" s="75" t="str">
        <f>IF(AND(B958='111'!$L$11,OR($N958=$Q$7,$O958=$Q$7)),"x","")</f>
        <v/>
      </c>
      <c r="R958" s="75" t="str">
        <f>IF(AND($N958=$Q$7,$B958&lt;'111'!$L$11),"x","")</f>
        <v/>
      </c>
      <c r="S958" s="75" t="str">
        <f>IF(AND($O958=$Q$7,$B958&lt;'111'!$L$11),"x","")</f>
        <v/>
      </c>
      <c r="T958" s="75" t="str">
        <f>IF(ISERROR(FIND('112'!$M$9,G958,1)),"",IF((AND(FIND('112'!$M$9,G958,1)&gt;=1,B958='112'!$K$9,OR($N958='112'!$I$6,$O958='112'!$I$6))),"x",""))</f>
        <v/>
      </c>
      <c r="U958" s="75" t="str">
        <f>IF(ISERROR(FIND('112'!$M$9,G958,1)),"",IF((AND(LEFT(G958,2)=LEFT('112'!$M$9,2),B958&lt;'112'!$K$9,$N958='112'!$I$6)),"x",""))</f>
        <v/>
      </c>
      <c r="V958" s="75" t="str">
        <f>IF(ISERROR(FIND('112'!$M$9,G958,1)),"",IF((AND(RIGHT(G958,2)=RIGHT('112'!$M$9,2),B958&lt;'112'!$K$9,$O958='112'!$I$6)),"x",""))</f>
        <v/>
      </c>
      <c r="W958" s="75" t="str">
        <f>IF(AND('341-CT'!$H$9=H958,OR(LEFT(N958,3)=$W$7,LEFT(O958,3)=$W$7)),"x","")</f>
        <v/>
      </c>
      <c r="X958" s="75" t="str">
        <f>IF(OR(TH!N958=TH!$X$7,O958=TH!$X$7),"x","")</f>
        <v/>
      </c>
      <c r="Y958" s="75" t="str">
        <f>IF(AND(OR(N958="131",O958="131"),H958='131-CT'!$H$9),"x","")</f>
        <v/>
      </c>
      <c r="Z958" s="75"/>
      <c r="AA958" s="75" t="str">
        <f>IF(AND(MONTH(E958)='IN-NX'!$J$5,'IN-NX'!$D$7=D958),"x","")</f>
        <v/>
      </c>
      <c r="AB958" s="75" t="str">
        <f>IF(AND(OR(LEFT(TH!N958,2)="15",LEFT(TH!O958,2)="15"),LEFT(TH!O958,3)&lt;&gt;"111",'152-CT'!$J$8=TH!F958),"x","")</f>
        <v/>
      </c>
      <c r="AC958" s="75" t="str">
        <f>IF(AND(OR(LEFT(TH!N958,2)="15",LEFT(TH!O958,2)="15"),TK!$E$7=TH!F958),"x","")</f>
        <v/>
      </c>
      <c r="AD958" s="75" t="str">
        <f>IF(AND(N958="1521",MONTH(C958)='BK-NL'!$M$11),"x","")</f>
        <v/>
      </c>
    </row>
    <row r="959" spans="1:30" ht="16.5" customHeight="1">
      <c r="A959" s="309" t="str">
        <f>IF(B959&lt;&gt;"",IF(AND(B959='IN-TC'!$S$4,OR(TH!N959="1111",TH!O959="1111")),TH!D959,""),"")</f>
        <v/>
      </c>
      <c r="B959" s="1058">
        <f t="shared" si="171"/>
        <v>1</v>
      </c>
      <c r="C959" s="929">
        <f t="shared" si="172"/>
        <v>42765</v>
      </c>
      <c r="D959" s="929" t="s">
        <v>2956</v>
      </c>
      <c r="E959" s="929">
        <v>42765</v>
      </c>
      <c r="F959" s="1082" t="s">
        <v>1121</v>
      </c>
      <c r="G959" s="931"/>
      <c r="H959" s="735" t="s">
        <v>424</v>
      </c>
      <c r="I959" s="371">
        <v>963</v>
      </c>
      <c r="J959" s="377">
        <v>35000</v>
      </c>
      <c r="K959" s="371"/>
      <c r="L959" s="377"/>
      <c r="M959" s="933">
        <f t="shared" si="173"/>
        <v>33705000</v>
      </c>
      <c r="N959" s="934" t="s">
        <v>272</v>
      </c>
      <c r="O959" s="934" t="s">
        <v>264</v>
      </c>
      <c r="P959" s="75" t="str">
        <f>IF(AND('331-CT'!$E$7=TH!H959,OR(N959="331",O959="331")),"x","")</f>
        <v/>
      </c>
      <c r="Q959" s="75" t="str">
        <f>IF(AND(B959='111'!$L$11,OR($N959=$Q$7,$O959=$Q$7)),"x","")</f>
        <v/>
      </c>
      <c r="R959" s="75" t="str">
        <f>IF(AND($N959=$Q$7,$B959&lt;'111'!$L$11),"x","")</f>
        <v/>
      </c>
      <c r="S959" s="75" t="str">
        <f>IF(AND($O959=$Q$7,$B959&lt;'111'!$L$11),"x","")</f>
        <v/>
      </c>
      <c r="T959" s="75" t="str">
        <f>IF(ISERROR(FIND('112'!$M$9,G959,1)),"",IF((AND(FIND('112'!$M$9,G959,1)&gt;=1,B959='112'!$K$9,OR($N959='112'!$I$6,$O959='112'!$I$6))),"x",""))</f>
        <v/>
      </c>
      <c r="U959" s="75" t="str">
        <f>IF(ISERROR(FIND('112'!$M$9,G959,1)),"",IF((AND(LEFT(G959,2)=LEFT('112'!$M$9,2),B959&lt;'112'!$K$9,$N959='112'!$I$6)),"x",""))</f>
        <v/>
      </c>
      <c r="V959" s="75" t="str">
        <f>IF(ISERROR(FIND('112'!$M$9,G959,1)),"",IF((AND(RIGHT(G959,2)=RIGHT('112'!$M$9,2),B959&lt;'112'!$K$9,$O959='112'!$I$6)),"x",""))</f>
        <v/>
      </c>
      <c r="W959" s="75" t="str">
        <f>IF(AND('341-CT'!$H$9=H959,OR(LEFT(N959,3)=$W$7,LEFT(O959,3)=$W$7)),"x","")</f>
        <v/>
      </c>
      <c r="X959" s="75" t="str">
        <f>IF(OR(TH!N959=TH!$X$7,O959=TH!$X$7),"x","")</f>
        <v/>
      </c>
      <c r="Y959" s="75" t="str">
        <f>IF(AND(OR(N959="131",O959="131"),H959='131-CT'!$H$9),"x","")</f>
        <v/>
      </c>
      <c r="Z959" s="75"/>
      <c r="AA959" s="75" t="str">
        <f>IF(AND(MONTH(E959)='IN-NX'!$J$5,'IN-NX'!$D$7=D959),"x","")</f>
        <v/>
      </c>
      <c r="AB959" s="75" t="str">
        <f>IF(AND(OR(LEFT(TH!N959,2)="15",LEFT(TH!O959,2)="15"),LEFT(TH!O959,3)&lt;&gt;"111",'152-CT'!$J$8=TH!F959),"x","")</f>
        <v/>
      </c>
      <c r="AC959" s="75" t="str">
        <f>IF(AND(OR(LEFT(TH!N959,2)="15",LEFT(TH!O959,2)="15"),TK!$E$7=TH!F959),"x","")</f>
        <v/>
      </c>
      <c r="AD959" s="75" t="str">
        <f>IF(AND(N959="1521",MONTH(C959)='BK-NL'!$M$11),"x","")</f>
        <v/>
      </c>
    </row>
    <row r="960" spans="1:30" ht="16.5" customHeight="1">
      <c r="A960" s="309" t="str">
        <f>IF(B960&lt;&gt;"",IF(AND(B960='IN-TC'!$S$4,OR(TH!N960="1111",TH!O960="1111")),TH!D960,""),"")</f>
        <v/>
      </c>
      <c r="B960" s="1058">
        <f t="shared" si="157"/>
        <v>1</v>
      </c>
      <c r="C960" s="929">
        <f t="shared" si="169"/>
        <v>42765</v>
      </c>
      <c r="D960" s="929" t="s">
        <v>2956</v>
      </c>
      <c r="E960" s="929">
        <v>42765</v>
      </c>
      <c r="F960" s="296" t="s">
        <v>1120</v>
      </c>
      <c r="G960" s="931"/>
      <c r="H960" s="735" t="s">
        <v>424</v>
      </c>
      <c r="I960" s="371">
        <v>540</v>
      </c>
      <c r="J960" s="377">
        <v>32000</v>
      </c>
      <c r="K960" s="371"/>
      <c r="L960" s="377"/>
      <c r="M960" s="933">
        <f t="shared" si="170"/>
        <v>17280000</v>
      </c>
      <c r="N960" s="934" t="s">
        <v>272</v>
      </c>
      <c r="O960" s="934" t="s">
        <v>264</v>
      </c>
      <c r="P960" s="75" t="str">
        <f>IF(AND('331-CT'!$E$7=TH!H960,OR(N960="331",O960="331")),"x","")</f>
        <v/>
      </c>
      <c r="Q960" s="75" t="str">
        <f>IF(AND(B960='111'!$L$11,OR($N960=$Q$7,$O960=$Q$7)),"x","")</f>
        <v/>
      </c>
      <c r="R960" s="75" t="str">
        <f>IF(AND($N960=$Q$7,$B960&lt;'111'!$L$11),"x","")</f>
        <v/>
      </c>
      <c r="S960" s="75" t="str">
        <f>IF(AND($O960=$Q$7,$B960&lt;'111'!$L$11),"x","")</f>
        <v/>
      </c>
      <c r="T960" s="75" t="str">
        <f>IF(ISERROR(FIND('112'!$M$9,G960,1)),"",IF((AND(FIND('112'!$M$9,G960,1)&gt;=1,B960='112'!$K$9,OR($N960='112'!$I$6,$O960='112'!$I$6))),"x",""))</f>
        <v/>
      </c>
      <c r="U960" s="75" t="str">
        <f>IF(ISERROR(FIND('112'!$M$9,G960,1)),"",IF((AND(LEFT(G960,2)=LEFT('112'!$M$9,2),B960&lt;'112'!$K$9,$N960='112'!$I$6)),"x",""))</f>
        <v/>
      </c>
      <c r="V960" s="75" t="str">
        <f>IF(ISERROR(FIND('112'!$M$9,G960,1)),"",IF((AND(RIGHT(G960,2)=RIGHT('112'!$M$9,2),B960&lt;'112'!$K$9,$O960='112'!$I$6)),"x",""))</f>
        <v/>
      </c>
      <c r="W960" s="75" t="str">
        <f>IF(AND('341-CT'!$H$9=H960,OR(LEFT(N960,3)=$W$7,LEFT(O960,3)=$W$7)),"x","")</f>
        <v/>
      </c>
      <c r="X960" s="75" t="str">
        <f>IF(OR(TH!N960=TH!$X$7,O960=TH!$X$7),"x","")</f>
        <v/>
      </c>
      <c r="Y960" s="75" t="str">
        <f>IF(AND(OR(N960="131",O960="131"),H960='131-CT'!$H$9),"x","")</f>
        <v/>
      </c>
      <c r="Z960" s="75"/>
      <c r="AA960" s="75" t="str">
        <f>IF(AND(MONTH(E960)='IN-NX'!$J$5,'IN-NX'!$D$7=D960),"x","")</f>
        <v/>
      </c>
      <c r="AB960" s="75" t="str">
        <f>IF(AND(OR(LEFT(TH!N960,2)="15",LEFT(TH!O960,2)="15"),LEFT(TH!O960,3)&lt;&gt;"111",'152-CT'!$J$8=TH!F960),"x","")</f>
        <v/>
      </c>
      <c r="AC960" s="75" t="str">
        <f>IF(AND(OR(LEFT(TH!N960,2)="15",LEFT(TH!O960,2)="15"),TK!$E$7=TH!F960),"x","")</f>
        <v/>
      </c>
      <c r="AD960" s="75" t="str">
        <f>IF(AND(N960="1521",MONTH(C960)='BK-NL'!$M$11),"x","")</f>
        <v/>
      </c>
    </row>
    <row r="961" spans="1:32" ht="16.5" customHeight="1">
      <c r="A961" s="309" t="str">
        <f>IF(B961&lt;&gt;"",IF(AND(B961='IN-TC'!$S$4,OR(TH!N961="1111",TH!O961="1111")),TH!D961,""),"")</f>
        <v/>
      </c>
      <c r="B961" s="1058">
        <f t="shared" si="157"/>
        <v>1</v>
      </c>
      <c r="C961" s="929">
        <f t="shared" si="169"/>
        <v>42765</v>
      </c>
      <c r="D961" s="929" t="s">
        <v>2956</v>
      </c>
      <c r="E961" s="929">
        <v>42765</v>
      </c>
      <c r="F961" s="1082" t="s">
        <v>2982</v>
      </c>
      <c r="G961" s="931"/>
      <c r="H961" s="735" t="s">
        <v>424</v>
      </c>
      <c r="I961" s="371">
        <v>2020</v>
      </c>
      <c r="J961" s="377">
        <v>25000</v>
      </c>
      <c r="K961" s="371"/>
      <c r="L961" s="377"/>
      <c r="M961" s="933">
        <f t="shared" si="170"/>
        <v>50500000</v>
      </c>
      <c r="N961" s="934" t="s">
        <v>272</v>
      </c>
      <c r="O961" s="934" t="s">
        <v>264</v>
      </c>
      <c r="P961" s="75" t="str">
        <f>IF(AND('331-CT'!$E$7=TH!H961,OR(N961="331",O961="331")),"x","")</f>
        <v/>
      </c>
      <c r="Q961" s="75" t="str">
        <f>IF(AND(B961='111'!$L$11,OR($N961=$Q$7,$O961=$Q$7)),"x","")</f>
        <v/>
      </c>
      <c r="R961" s="75" t="str">
        <f>IF(AND($N961=$Q$7,$B961&lt;'111'!$L$11),"x","")</f>
        <v/>
      </c>
      <c r="S961" s="75" t="str">
        <f>IF(AND($O961=$Q$7,$B961&lt;'111'!$L$11),"x","")</f>
        <v/>
      </c>
      <c r="T961" s="75" t="str">
        <f>IF(ISERROR(FIND('112'!$M$9,G961,1)),"",IF((AND(FIND('112'!$M$9,G961,1)&gt;=1,B961='112'!$K$9,OR($N961='112'!$I$6,$O961='112'!$I$6))),"x",""))</f>
        <v/>
      </c>
      <c r="U961" s="75" t="str">
        <f>IF(ISERROR(FIND('112'!$M$9,G961,1)),"",IF((AND(LEFT(G961,2)=LEFT('112'!$M$9,2),B961&lt;'112'!$K$9,$N961='112'!$I$6)),"x",""))</f>
        <v/>
      </c>
      <c r="V961" s="75" t="str">
        <f>IF(ISERROR(FIND('112'!$M$9,G961,1)),"",IF((AND(RIGHT(G961,2)=RIGHT('112'!$M$9,2),B961&lt;'112'!$K$9,$O961='112'!$I$6)),"x",""))</f>
        <v/>
      </c>
      <c r="W961" s="75" t="str">
        <f>IF(AND('341-CT'!$H$9=H961,OR(LEFT(N961,3)=$W$7,LEFT(O961,3)=$W$7)),"x","")</f>
        <v/>
      </c>
      <c r="X961" s="75" t="str">
        <f>IF(OR(TH!N961=TH!$X$7,O961=TH!$X$7),"x","")</f>
        <v/>
      </c>
      <c r="Y961" s="75" t="str">
        <f>IF(AND(OR(N961="131",O961="131"),H961='131-CT'!$H$9),"x","")</f>
        <v/>
      </c>
      <c r="Z961" s="75"/>
      <c r="AA961" s="75" t="str">
        <f>IF(AND(MONTH(E961)='IN-NX'!$J$5,'IN-NX'!$D$7=D961),"x","")</f>
        <v/>
      </c>
      <c r="AB961" s="75" t="str">
        <f>IF(AND(OR(LEFT(TH!N961,2)="15",LEFT(TH!O961,2)="15"),LEFT(TH!O961,3)&lt;&gt;"111",'152-CT'!$J$8=TH!F961),"x","")</f>
        <v/>
      </c>
      <c r="AC961" s="75" t="str">
        <f>IF(AND(OR(LEFT(TH!N961,2)="15",LEFT(TH!O961,2)="15"),TK!$E$7=TH!F961),"x","")</f>
        <v/>
      </c>
      <c r="AD961" s="75" t="str">
        <f>IF(AND(N961="1521",MONTH(C961)='BK-NL'!$M$11),"x","")</f>
        <v/>
      </c>
    </row>
    <row r="962" spans="1:32" s="1054" customFormat="1" ht="16.5" customHeight="1">
      <c r="A962" s="309" t="str">
        <f>IF(B962&lt;&gt;"",IF(AND(B962='IN-TC'!$S$4,OR(TH!N962="1111",TH!O962="1111")),TH!D962,""),"")</f>
        <v/>
      </c>
      <c r="B962" s="1294">
        <f t="shared" si="128"/>
        <v>2</v>
      </c>
      <c r="C962" s="936">
        <v>42775</v>
      </c>
      <c r="D962" s="936" t="s">
        <v>818</v>
      </c>
      <c r="E962" s="936">
        <f t="shared" si="138"/>
        <v>42775</v>
      </c>
      <c r="F962" s="959" t="s">
        <v>801</v>
      </c>
      <c r="G962" s="942" t="s">
        <v>1100</v>
      </c>
      <c r="H962" s="946" t="s">
        <v>1101</v>
      </c>
      <c r="I962" s="939">
        <v>10</v>
      </c>
      <c r="J962" s="939">
        <v>160000</v>
      </c>
      <c r="K962" s="939"/>
      <c r="L962" s="938"/>
      <c r="M962" s="940">
        <f t="shared" si="154"/>
        <v>1600000</v>
      </c>
      <c r="N962" s="941" t="s">
        <v>536</v>
      </c>
      <c r="O962" s="941" t="s">
        <v>286</v>
      </c>
      <c r="P962" s="1295" t="str">
        <f>IF(AND('331-CT'!$E$7=TH!H962,OR(N962="331",O962="331")),"x","")</f>
        <v/>
      </c>
      <c r="Q962" s="1295" t="str">
        <f>IF(AND(B962='111'!$L$11,OR($N962=$Q$7,$O962=$Q$7)),"x","")</f>
        <v/>
      </c>
      <c r="R962" s="1295" t="str">
        <f>IF(AND($N962=$Q$7,$B962&lt;'111'!$L$11),"x","")</f>
        <v/>
      </c>
      <c r="S962" s="1295" t="str">
        <f>IF(AND($O962=$Q$7,$B962&lt;'111'!$L$11),"x","")</f>
        <v/>
      </c>
      <c r="T962" s="1295" t="str">
        <f>IF(ISERROR(FIND('112'!$M$9,G962,1)),"",IF((AND(FIND('112'!$M$9,G962,1)&gt;=1,B962='112'!$K$9,OR($N962='112'!$I$6,$O962='112'!$I$6))),"x",""))</f>
        <v/>
      </c>
      <c r="U962" s="1295" t="str">
        <f>IF(ISERROR(FIND('112'!$M$9,G962,1)),"",IF((AND(LEFT(G962,2)=LEFT('112'!$M$9,2),B962&lt;'112'!$K$9,$N962='112'!$I$6)),"x",""))</f>
        <v/>
      </c>
      <c r="V962" s="1295" t="str">
        <f>IF(ISERROR(FIND('112'!$M$9,G962,1)),"",IF((AND(RIGHT(G962,2)=RIGHT('112'!$M$9,2),B962&lt;'112'!$K$9,$O962='112'!$I$6)),"x",""))</f>
        <v/>
      </c>
      <c r="W962" s="1295" t="str">
        <f>IF(AND('341-CT'!$H$9=H962,OR(LEFT(N962,3)=$W$7,LEFT(O962,3)=$W$7)),"x","")</f>
        <v/>
      </c>
      <c r="X962" s="1295" t="str">
        <f>IF(OR(TH!N962=TH!$X$7,O962=TH!$X$7),"x","")</f>
        <v/>
      </c>
      <c r="Y962" s="1295" t="str">
        <f>IF(AND(OR(N962="131",O962="131"),H962='131-CT'!$H$9),"x","")</f>
        <v/>
      </c>
      <c r="Z962" s="1295"/>
      <c r="AA962" s="1295" t="str">
        <f>IF(AND(MONTH(E962)='IN-NX'!$J$5,'IN-NX'!$D$7=D962),"x","")</f>
        <v/>
      </c>
      <c r="AB962" s="1295" t="str">
        <f>IF(AND(OR(LEFT(TH!N962,2)="15",LEFT(TH!O962,2)="15"),LEFT(TH!O962,3)&lt;&gt;"111",'152-CT'!$J$8=TH!F962),"x","")</f>
        <v/>
      </c>
      <c r="AC962" s="1295" t="str">
        <f>IF(AND(OR(LEFT(TH!N962,2)="15",LEFT(TH!O962,2)="15"),TK!$E$7=TH!F962),"x","")</f>
        <v/>
      </c>
      <c r="AD962" s="1295" t="str">
        <f>IF(AND(N962="1521",MONTH(C962)='BK-NL'!$M$11),"x","")</f>
        <v/>
      </c>
    </row>
    <row r="963" spans="1:32" ht="16.5" customHeight="1">
      <c r="A963" s="309" t="str">
        <f>IF(B963&lt;&gt;"",IF(AND(B963='IN-TC'!$S$4,OR(TH!N963="1111",TH!O963="1111")),TH!D963,""),"")</f>
        <v/>
      </c>
      <c r="B963" s="1131">
        <f t="shared" si="128"/>
        <v>2</v>
      </c>
      <c r="C963" s="252">
        <v>42775</v>
      </c>
      <c r="D963" s="252" t="s">
        <v>818</v>
      </c>
      <c r="E963" s="252">
        <f t="shared" si="138"/>
        <v>42775</v>
      </c>
      <c r="F963" s="1082" t="s">
        <v>1099</v>
      </c>
      <c r="G963" s="1056" t="s">
        <v>1100</v>
      </c>
      <c r="H963" s="735" t="s">
        <v>1101</v>
      </c>
      <c r="I963" s="371"/>
      <c r="J963" s="371"/>
      <c r="K963" s="371"/>
      <c r="L963" s="377"/>
      <c r="M963" s="933">
        <v>160000</v>
      </c>
      <c r="N963" s="977" t="s">
        <v>536</v>
      </c>
      <c r="O963" s="977" t="s">
        <v>595</v>
      </c>
      <c r="P963" s="75" t="str">
        <f>IF(AND('331-CT'!$E$7=TH!H963,OR(N963="331",O963="331")),"x","")</f>
        <v/>
      </c>
      <c r="Q963" s="75" t="str">
        <f>IF(AND(B963='111'!$L$11,OR($N963=$Q$7,$O963=$Q$7)),"x","")</f>
        <v/>
      </c>
      <c r="R963" s="75" t="str">
        <f>IF(AND($N963=$Q$7,$B963&lt;'111'!$L$11),"x","")</f>
        <v/>
      </c>
      <c r="S963" s="75" t="str">
        <f>IF(AND($O963=$Q$7,$B963&lt;'111'!$L$11),"x","")</f>
        <v/>
      </c>
      <c r="T963" s="75" t="str">
        <f>IF(ISERROR(FIND('112'!$M$9,G963,1)),"",IF((AND(FIND('112'!$M$9,G963,1)&gt;=1,B963='112'!$K$9,OR($N963='112'!$I$6,$O963='112'!$I$6))),"x",""))</f>
        <v/>
      </c>
      <c r="U963" s="75" t="str">
        <f>IF(ISERROR(FIND('112'!$M$9,G963,1)),"",IF((AND(LEFT(G963,2)=LEFT('112'!$M$9,2),B963&lt;'112'!$K$9,$N963='112'!$I$6)),"x",""))</f>
        <v/>
      </c>
      <c r="V963" s="75" t="str">
        <f>IF(ISERROR(FIND('112'!$M$9,G963,1)),"",IF((AND(RIGHT(G963,2)=RIGHT('112'!$M$9,2),B963&lt;'112'!$K$9,$O963='112'!$I$6)),"x",""))</f>
        <v/>
      </c>
      <c r="W963" s="75" t="str">
        <f>IF(AND('341-CT'!$H$9=H963,OR(LEFT(N963,3)=$W$7,LEFT(O963,3)=$W$7)),"x","")</f>
        <v/>
      </c>
      <c r="X963" s="75" t="str">
        <f>IF(OR(TH!N963=TH!$X$7,O963=TH!$X$7),"x","")</f>
        <v/>
      </c>
      <c r="Y963" s="75" t="str">
        <f>IF(AND(OR(N963="131",O963="131"),H963='131-CT'!$H$9),"x","")</f>
        <v/>
      </c>
      <c r="Z963" s="75"/>
      <c r="AA963" s="75" t="str">
        <f>IF(AND(MONTH(E963)='IN-NX'!$J$5,'IN-NX'!$D$7=D963),"x","")</f>
        <v/>
      </c>
      <c r="AB963" s="75" t="str">
        <f>IF(AND(OR(LEFT(TH!N963,2)="15",LEFT(TH!O963,2)="15"),LEFT(TH!O963,3)&lt;&gt;"111",'152-CT'!$J$8=TH!F963),"x","")</f>
        <v/>
      </c>
      <c r="AC963" s="75" t="str">
        <f>IF(AND(OR(LEFT(TH!N963,2)="15",LEFT(TH!O963,2)="15"),TK!$E$7=TH!F963),"x","")</f>
        <v/>
      </c>
      <c r="AD963" s="75" t="str">
        <f>IF(AND(N963="1521",MONTH(C963)='BK-NL'!$M$11),"x","")</f>
        <v/>
      </c>
    </row>
    <row r="964" spans="1:32" ht="16.5" customHeight="1">
      <c r="A964" s="309" t="str">
        <f>IF(B964&lt;&gt;"",IF(AND(B964='IN-TC'!$S$4,OR(TH!N964="1111",TH!O964="1111")),TH!D964,""),"")</f>
        <v/>
      </c>
      <c r="B964" s="1131">
        <f t="shared" si="128"/>
        <v>2</v>
      </c>
      <c r="C964" s="252">
        <v>42777</v>
      </c>
      <c r="D964" s="252" t="s">
        <v>819</v>
      </c>
      <c r="E964" s="252">
        <f t="shared" si="138"/>
        <v>42777</v>
      </c>
      <c r="F964" s="730" t="s">
        <v>421</v>
      </c>
      <c r="G964" s="1056" t="s">
        <v>1102</v>
      </c>
      <c r="H964" s="735" t="s">
        <v>792</v>
      </c>
      <c r="I964" s="371">
        <v>7272</v>
      </c>
      <c r="J964" s="371">
        <v>120566</v>
      </c>
      <c r="K964" s="371"/>
      <c r="L964" s="377"/>
      <c r="M964" s="933">
        <f t="shared" ref="M964:M965" si="174">ROUND(I964*J964,0)</f>
        <v>876755952</v>
      </c>
      <c r="N964" s="977" t="s">
        <v>536</v>
      </c>
      <c r="O964" s="977" t="s">
        <v>286</v>
      </c>
      <c r="P964" s="75" t="str">
        <f>IF(AND('331-CT'!$E$7=TH!H964,OR(N964="331",O964="331")),"x","")</f>
        <v/>
      </c>
      <c r="Q964" s="75" t="str">
        <f>IF(AND(B964='111'!$L$11,OR($N964=$Q$7,$O964=$Q$7)),"x","")</f>
        <v/>
      </c>
      <c r="R964" s="75" t="str">
        <f>IF(AND($N964=$Q$7,$B964&lt;'111'!$L$11),"x","")</f>
        <v/>
      </c>
      <c r="S964" s="75" t="str">
        <f>IF(AND($O964=$Q$7,$B964&lt;'111'!$L$11),"x","")</f>
        <v/>
      </c>
      <c r="T964" s="75" t="str">
        <f>IF(ISERROR(FIND('112'!$M$9,G964,1)),"",IF((AND(FIND('112'!$M$9,G964,1)&gt;=1,B964='112'!$K$9,OR($N964='112'!$I$6,$O964='112'!$I$6))),"x",""))</f>
        <v/>
      </c>
      <c r="U964" s="75" t="str">
        <f>IF(ISERROR(FIND('112'!$M$9,G964,1)),"",IF((AND(LEFT(G964,2)=LEFT('112'!$M$9,2),B964&lt;'112'!$K$9,$N964='112'!$I$6)),"x",""))</f>
        <v/>
      </c>
      <c r="V964" s="75" t="str">
        <f>IF(ISERROR(FIND('112'!$M$9,G964,1)),"",IF((AND(RIGHT(G964,2)=RIGHT('112'!$M$9,2),B964&lt;'112'!$K$9,$O964='112'!$I$6)),"x",""))</f>
        <v/>
      </c>
      <c r="W964" s="75" t="str">
        <f>IF(AND('341-CT'!$H$9=H964,OR(LEFT(N964,3)=$W$7,LEFT(O964,3)=$W$7)),"x","")</f>
        <v/>
      </c>
      <c r="X964" s="75" t="str">
        <f>IF(OR(TH!N964=TH!$X$7,O964=TH!$X$7),"x","")</f>
        <v/>
      </c>
      <c r="Y964" s="75" t="str">
        <f>IF(AND(OR(N964="131",O964="131"),H964='131-CT'!$H$9),"x","")</f>
        <v/>
      </c>
      <c r="Z964" s="75"/>
      <c r="AA964" s="75" t="str">
        <f>IF(AND(MONTH(E964)='IN-NX'!$J$5,'IN-NX'!$D$7=D964),"x","")</f>
        <v/>
      </c>
      <c r="AB964" s="75" t="str">
        <f>IF(AND(OR(LEFT(TH!N964,2)="15",LEFT(TH!O964,2)="15"),LEFT(TH!O964,3)&lt;&gt;"111",'152-CT'!$J$8=TH!F964),"x","")</f>
        <v/>
      </c>
      <c r="AC964" s="75" t="str">
        <f>IF(AND(OR(LEFT(TH!N964,2)="15",LEFT(TH!O964,2)="15"),TK!$E$7=TH!F964),"x","")</f>
        <v/>
      </c>
      <c r="AD964" s="75" t="str">
        <f>IF(AND(N964="1521",MONTH(C964)='BK-NL'!$M$11),"x","")</f>
        <v/>
      </c>
    </row>
    <row r="965" spans="1:32" ht="16.5" customHeight="1">
      <c r="A965" s="309" t="str">
        <f>IF(B965&lt;&gt;"",IF(AND(B965='IN-TC'!$S$4,OR(TH!N965="1111",TH!O965="1111")),TH!D965,""),"")</f>
        <v/>
      </c>
      <c r="B965" s="1131">
        <f t="shared" si="128"/>
        <v>2</v>
      </c>
      <c r="C965" s="252">
        <v>42791</v>
      </c>
      <c r="D965" s="252" t="s">
        <v>836</v>
      </c>
      <c r="E965" s="252">
        <f t="shared" si="138"/>
        <v>42791</v>
      </c>
      <c r="F965" s="730" t="s">
        <v>421</v>
      </c>
      <c r="G965" s="1056" t="s">
        <v>1103</v>
      </c>
      <c r="H965" s="735" t="s">
        <v>792</v>
      </c>
      <c r="I965" s="371">
        <v>6103</v>
      </c>
      <c r="J965" s="371">
        <v>120758</v>
      </c>
      <c r="K965" s="371"/>
      <c r="L965" s="377"/>
      <c r="M965" s="933">
        <f t="shared" si="174"/>
        <v>736986074</v>
      </c>
      <c r="N965" s="977" t="s">
        <v>536</v>
      </c>
      <c r="O965" s="977" t="s">
        <v>286</v>
      </c>
      <c r="P965" s="75" t="str">
        <f>IF(AND('331-CT'!$E$7=TH!H965,OR(N965="331",O965="331")),"x","")</f>
        <v/>
      </c>
      <c r="Q965" s="75" t="str">
        <f>IF(AND(B965='111'!$L$11,OR($N965=$Q$7,$O965=$Q$7)),"x","")</f>
        <v/>
      </c>
      <c r="R965" s="75" t="str">
        <f>IF(AND($N965=$Q$7,$B965&lt;'111'!$L$11),"x","")</f>
        <v/>
      </c>
      <c r="S965" s="75" t="str">
        <f>IF(AND($O965=$Q$7,$B965&lt;'111'!$L$11),"x","")</f>
        <v/>
      </c>
      <c r="T965" s="75" t="str">
        <f>IF(ISERROR(FIND('112'!$M$9,G965,1)),"",IF((AND(FIND('112'!$M$9,G965,1)&gt;=1,B965='112'!$K$9,OR($N965='112'!$I$6,$O965='112'!$I$6))),"x",""))</f>
        <v/>
      </c>
      <c r="U965" s="75" t="str">
        <f>IF(ISERROR(FIND('112'!$M$9,G965,1)),"",IF((AND(LEFT(G965,2)=LEFT('112'!$M$9,2),B965&lt;'112'!$K$9,$N965='112'!$I$6)),"x",""))</f>
        <v/>
      </c>
      <c r="V965" s="75" t="str">
        <f>IF(ISERROR(FIND('112'!$M$9,G965,1)),"",IF((AND(RIGHT(G965,2)=RIGHT('112'!$M$9,2),B965&lt;'112'!$K$9,$O965='112'!$I$6)),"x",""))</f>
        <v/>
      </c>
      <c r="W965" s="75" t="str">
        <f>IF(AND('341-CT'!$H$9=H965,OR(LEFT(N965,3)=$W$7,LEFT(O965,3)=$W$7)),"x","")</f>
        <v/>
      </c>
      <c r="X965" s="75" t="str">
        <f>IF(OR(TH!N965=TH!$X$7,O965=TH!$X$7),"x","")</f>
        <v/>
      </c>
      <c r="Y965" s="75" t="str">
        <f>IF(AND(OR(N965="131",O965="131"),H965='131-CT'!$H$9),"x","")</f>
        <v/>
      </c>
      <c r="Z965" s="75"/>
      <c r="AA965" s="75" t="str">
        <f>IF(AND(MONTH(E965)='IN-NX'!$J$5,'IN-NX'!$D$7=D965),"x","")</f>
        <v/>
      </c>
      <c r="AB965" s="75" t="str">
        <f>IF(AND(OR(LEFT(TH!N965,2)="15",LEFT(TH!O965,2)="15"),LEFT(TH!O965,3)&lt;&gt;"111",'152-CT'!$J$8=TH!F965),"x","")</f>
        <v/>
      </c>
      <c r="AC965" s="75" t="str">
        <f>IF(AND(OR(LEFT(TH!N965,2)="15",LEFT(TH!O965,2)="15"),TK!$E$7=TH!F965),"x","")</f>
        <v/>
      </c>
      <c r="AD965" s="75" t="str">
        <f>IF(AND(N965="1521",MONTH(C965)='BK-NL'!$M$11),"x","")</f>
        <v/>
      </c>
    </row>
    <row r="966" spans="1:32" s="1054" customFormat="1" ht="16.5" customHeight="1">
      <c r="A966" s="309" t="str">
        <f>IF(B966&lt;&gt;"",IF(AND(B966='IN-TC'!$S$4,OR(TH!N966="1111",TH!O966="1111")),TH!D966,""),"")</f>
        <v/>
      </c>
      <c r="B966" s="1131">
        <f t="shared" ref="B966:B967" si="175">IF(C966&lt;&gt;"",MONTH(C966),"")</f>
        <v>2</v>
      </c>
      <c r="C966" s="217">
        <v>42788</v>
      </c>
      <c r="D966" s="217" t="s">
        <v>815</v>
      </c>
      <c r="E966" s="217">
        <f t="shared" ref="E966" si="176">C966</f>
        <v>42788</v>
      </c>
      <c r="F966" s="960" t="s">
        <v>429</v>
      </c>
      <c r="G966" s="739" t="s">
        <v>1172</v>
      </c>
      <c r="H966" s="67" t="s">
        <v>623</v>
      </c>
      <c r="I966" s="373">
        <v>26351</v>
      </c>
      <c r="J966" s="379">
        <v>58500</v>
      </c>
      <c r="K966" s="373"/>
      <c r="L966" s="379"/>
      <c r="M966" s="927">
        <f t="shared" ref="M966:M967" si="177">ROUND(I966*J966,0)</f>
        <v>1541533500</v>
      </c>
      <c r="N966" s="935" t="s">
        <v>274</v>
      </c>
      <c r="O966" s="935" t="s">
        <v>8</v>
      </c>
      <c r="P966" s="75" t="str">
        <f>IF(AND('331-CT'!$E$7=TH!H966,OR(N966="331",O966="331")),"x","")</f>
        <v/>
      </c>
      <c r="Q966" s="75" t="str">
        <f>IF(AND(B966='111'!$L$11,OR($N966=$Q$7,$O966=$Q$7)),"x","")</f>
        <v/>
      </c>
      <c r="R966" s="75" t="str">
        <f>IF(AND($N966=$Q$7,$B966&lt;'111'!$L$11),"x","")</f>
        <v/>
      </c>
      <c r="S966" s="75" t="str">
        <f>IF(AND($O966=$Q$7,$B966&lt;'111'!$L$11),"x","")</f>
        <v/>
      </c>
      <c r="T966" s="75" t="str">
        <f>IF(ISERROR(FIND('112'!$M$9,G966,1)),"",IF((AND(FIND('112'!$M$9,G966,1)&gt;=1,B966='112'!$K$9,OR($N966='112'!$I$6,$O966='112'!$I$6))),"x",""))</f>
        <v/>
      </c>
      <c r="U966" s="75" t="str">
        <f>IF(ISERROR(FIND('112'!$M$9,G966,1)),"",IF((AND(LEFT(G966,2)=LEFT('112'!$M$9,2),B966&lt;'112'!$K$9,$N966='112'!$I$6)),"x",""))</f>
        <v/>
      </c>
      <c r="V966" s="75" t="str">
        <f>IF(ISERROR(FIND('112'!$M$9,G966,1)),"",IF((AND(RIGHT(G966,2)=RIGHT('112'!$M$9,2),B966&lt;'112'!$K$9,$O966='112'!$I$6)),"x",""))</f>
        <v/>
      </c>
      <c r="W966" s="75" t="str">
        <f>IF(AND('341-CT'!$H$9=H966,OR(LEFT(N966,3)=$W$7,LEFT(O966,3)=$W$7)),"x","")</f>
        <v/>
      </c>
      <c r="X966" s="75" t="str">
        <f>IF(OR(TH!N966=TH!$X$7,O966=TH!$X$7),"x","")</f>
        <v/>
      </c>
      <c r="Y966" s="75" t="str">
        <f>IF(AND(OR(N966="131",O966="131"),H966='131-CT'!$H$9),"x","")</f>
        <v/>
      </c>
      <c r="Z966" s="75"/>
      <c r="AA966" s="75" t="str">
        <f>IF(AND(MONTH(E966)='IN-NX'!$J$5,'IN-NX'!$D$7=D966),"x","")</f>
        <v/>
      </c>
      <c r="AB966" s="75" t="str">
        <f>IF(AND(OR(LEFT(TH!N966,2)="15",LEFT(TH!O966,2)="15"),LEFT(TH!O966,3)&lt;&gt;"111",'152-CT'!$J$8=TH!F966),"x","")</f>
        <v/>
      </c>
      <c r="AC966" s="75" t="str">
        <f>IF(AND(OR(LEFT(TH!N966,2)="15",LEFT(TH!O966,2)="15"),TK!$E$7=TH!F966),"x","")</f>
        <v/>
      </c>
      <c r="AD966" s="75" t="str">
        <f>IF(AND(N966="1521",MONTH(C966)='BK-NL'!$M$11),"x","")</f>
        <v/>
      </c>
    </row>
    <row r="967" spans="1:32" s="1054" customFormat="1" ht="16.5" customHeight="1">
      <c r="A967" s="309" t="str">
        <f>IF(B967&lt;&gt;"",IF(AND(B967='IN-TC'!$S$4,OR(TH!N967="1111",TH!O967="1111")),TH!D967,""),"")</f>
        <v/>
      </c>
      <c r="B967" s="1131">
        <f t="shared" si="175"/>
        <v>2</v>
      </c>
      <c r="C967" s="217">
        <v>42791</v>
      </c>
      <c r="D967" s="217" t="s">
        <v>997</v>
      </c>
      <c r="E967" s="217">
        <f t="shared" ref="E967:E970" si="178">C967</f>
        <v>42791</v>
      </c>
      <c r="F967" s="960" t="s">
        <v>429</v>
      </c>
      <c r="G967" s="739" t="s">
        <v>1173</v>
      </c>
      <c r="H967" s="67" t="s">
        <v>623</v>
      </c>
      <c r="I967" s="373">
        <v>26351</v>
      </c>
      <c r="J967" s="379">
        <v>58500</v>
      </c>
      <c r="K967" s="373"/>
      <c r="L967" s="379"/>
      <c r="M967" s="927">
        <f t="shared" si="177"/>
        <v>1541533500</v>
      </c>
      <c r="N967" s="935" t="s">
        <v>274</v>
      </c>
      <c r="O967" s="935" t="s">
        <v>8</v>
      </c>
      <c r="P967" s="75" t="str">
        <f>IF(AND('331-CT'!$E$7=TH!H967,OR(N967="331",O967="331")),"x","")</f>
        <v/>
      </c>
      <c r="Q967" s="75" t="str">
        <f>IF(AND(B967='111'!$L$11,OR($N967=$Q$7,$O967=$Q$7)),"x","")</f>
        <v/>
      </c>
      <c r="R967" s="75" t="str">
        <f>IF(AND($N967=$Q$7,$B967&lt;'111'!$L$11),"x","")</f>
        <v/>
      </c>
      <c r="S967" s="75" t="str">
        <f>IF(AND($O967=$Q$7,$B967&lt;'111'!$L$11),"x","")</f>
        <v/>
      </c>
      <c r="T967" s="75" t="str">
        <f>IF(ISERROR(FIND('112'!$M$9,G967,1)),"",IF((AND(FIND('112'!$M$9,G967,1)&gt;=1,B967='112'!$K$9,OR($N967='112'!$I$6,$O967='112'!$I$6))),"x",""))</f>
        <v/>
      </c>
      <c r="U967" s="75" t="str">
        <f>IF(ISERROR(FIND('112'!$M$9,G967,1)),"",IF((AND(LEFT(G967,2)=LEFT('112'!$M$9,2),B967&lt;'112'!$K$9,$N967='112'!$I$6)),"x",""))</f>
        <v/>
      </c>
      <c r="V967" s="75" t="str">
        <f>IF(ISERROR(FIND('112'!$M$9,G967,1)),"",IF((AND(RIGHT(G967,2)=RIGHT('112'!$M$9,2),B967&lt;'112'!$K$9,$O967='112'!$I$6)),"x",""))</f>
        <v/>
      </c>
      <c r="W967" s="75" t="str">
        <f>IF(AND('341-CT'!$H$9=H967,OR(LEFT(N967,3)=$W$7,LEFT(O967,3)=$W$7)),"x","")</f>
        <v/>
      </c>
      <c r="X967" s="75" t="str">
        <f>IF(OR(TH!N967=TH!$X$7,O967=TH!$X$7),"x","")</f>
        <v/>
      </c>
      <c r="Y967" s="75" t="str">
        <f>IF(AND(OR(N967="131",O967="131"),H967='131-CT'!$H$9),"x","")</f>
        <v/>
      </c>
      <c r="Z967" s="75"/>
      <c r="AA967" s="75" t="str">
        <f>IF(AND(MONTH(E967)='IN-NX'!$J$5,'IN-NX'!$D$7=D967),"x","")</f>
        <v/>
      </c>
      <c r="AB967" s="75" t="str">
        <f>IF(AND(OR(LEFT(TH!N967,2)="15",LEFT(TH!O967,2)="15"),LEFT(TH!O967,3)&lt;&gt;"111",'152-CT'!$J$8=TH!F967),"x","")</f>
        <v/>
      </c>
      <c r="AC967" s="75" t="str">
        <f>IF(AND(OR(LEFT(TH!N967,2)="15",LEFT(TH!O967,2)="15"),TK!$E$7=TH!F967),"x","")</f>
        <v/>
      </c>
      <c r="AD967" s="75" t="str">
        <f>IF(AND(N967="1521",MONTH(C967)='BK-NL'!$M$11),"x","")</f>
        <v/>
      </c>
    </row>
    <row r="968" spans="1:32" s="1054" customFormat="1" ht="16.5" customHeight="1">
      <c r="A968" s="309" t="str">
        <f>IF(B968&lt;&gt;"",IF(AND(B968='IN-TC'!$S$4,OR(TH!N968="1111",TH!O968="1111")),TH!D968,""),"")</f>
        <v/>
      </c>
      <c r="B968" s="1131">
        <f t="shared" ref="B968" si="179">IF(C968&lt;&gt;"",MONTH(C968),"")</f>
        <v>2</v>
      </c>
      <c r="C968" s="936">
        <v>42791</v>
      </c>
      <c r="D968" s="936" t="s">
        <v>838</v>
      </c>
      <c r="E968" s="936">
        <f t="shared" ref="E968" si="180">C968</f>
        <v>42791</v>
      </c>
      <c r="F968" s="958" t="s">
        <v>429</v>
      </c>
      <c r="G968" s="942"/>
      <c r="H968" s="80" t="s">
        <v>424</v>
      </c>
      <c r="I968" s="939">
        <v>52702</v>
      </c>
      <c r="J968" s="938">
        <v>58500</v>
      </c>
      <c r="K968" s="939"/>
      <c r="L968" s="938"/>
      <c r="M968" s="940">
        <f t="shared" ref="M968" si="181">ROUND(I968*J968,0)</f>
        <v>3083067000</v>
      </c>
      <c r="N968" s="941" t="s">
        <v>272</v>
      </c>
      <c r="O968" s="941" t="s">
        <v>274</v>
      </c>
      <c r="P968" s="75" t="str">
        <f>IF(AND('331-CT'!$E$7=TH!H968,OR(N968="331",O968="331")),"x","")</f>
        <v/>
      </c>
      <c r="Q968" s="75" t="str">
        <f>IF(AND(B968='111'!$L$11,OR($N968=$Q$7,$O968=$Q$7)),"x","")</f>
        <v/>
      </c>
      <c r="R968" s="75" t="str">
        <f>IF(AND($N968=$Q$7,$B968&lt;'111'!$L$11),"x","")</f>
        <v/>
      </c>
      <c r="S968" s="75" t="str">
        <f>IF(AND($O968=$Q$7,$B968&lt;'111'!$L$11),"x","")</f>
        <v/>
      </c>
      <c r="T968" s="75" t="str">
        <f>IF(ISERROR(FIND('112'!$M$9,G968,1)),"",IF((AND(FIND('112'!$M$9,G968,1)&gt;=1,B968='112'!$K$9,OR($N968='112'!$I$6,$O968='112'!$I$6))),"x",""))</f>
        <v/>
      </c>
      <c r="U968" s="75" t="str">
        <f>IF(ISERROR(FIND('112'!$M$9,G968,1)),"",IF((AND(LEFT(G968,2)=LEFT('112'!$M$9,2),B968&lt;'112'!$K$9,$N968='112'!$I$6)),"x",""))</f>
        <v/>
      </c>
      <c r="V968" s="75" t="str">
        <f>IF(ISERROR(FIND('112'!$M$9,G968,1)),"",IF((AND(RIGHT(G968,2)=RIGHT('112'!$M$9,2),B968&lt;'112'!$K$9,$O968='112'!$I$6)),"x",""))</f>
        <v/>
      </c>
      <c r="W968" s="75" t="str">
        <f>IF(AND('341-CT'!$H$9=H968,OR(LEFT(N968,3)=$W$7,LEFT(O968,3)=$W$7)),"x","")</f>
        <v/>
      </c>
      <c r="X968" s="75" t="str">
        <f>IF(OR(TH!N968=TH!$X$7,O968=TH!$X$7),"x","")</f>
        <v/>
      </c>
      <c r="Y968" s="75" t="str">
        <f>IF(AND(OR(N968="131",O968="131"),H968='131-CT'!$H$9),"x","")</f>
        <v/>
      </c>
      <c r="Z968" s="75"/>
      <c r="AA968" s="75" t="str">
        <f>IF(AND(MONTH(E968)='IN-NX'!$J$5,'IN-NX'!$D$7=D968),"x","")</f>
        <v/>
      </c>
      <c r="AB968" s="75" t="str">
        <f>IF(AND(OR(LEFT(TH!N968,2)="15",LEFT(TH!O968,2)="15"),LEFT(TH!O968,3)&lt;&gt;"111",'152-CT'!$J$8=TH!F968),"x","")</f>
        <v/>
      </c>
      <c r="AC968" s="75" t="str">
        <f>IF(AND(OR(LEFT(TH!N968,2)="15",LEFT(TH!O968,2)="15"),TK!$E$7=TH!F968),"x","")</f>
        <v/>
      </c>
      <c r="AD968" s="75" t="str">
        <f>IF(AND(N968="1521",MONTH(C968)='BK-NL'!$M$11),"x","")</f>
        <v/>
      </c>
    </row>
    <row r="969" spans="1:32" s="1054" customFormat="1" ht="16.5" customHeight="1">
      <c r="A969" s="309" t="str">
        <f>IF(B969&lt;&gt;"",IF(AND(B969='IN-TC'!$S$4,OR(TH!N969="1111",TH!O969="1111")),TH!D969,""),"")</f>
        <v/>
      </c>
      <c r="B969" s="1131">
        <f t="shared" ref="B969:B970" si="182">IF(C969&lt;&gt;"",MONTH(C969),"")</f>
        <v>2</v>
      </c>
      <c r="C969" s="217">
        <v>42793</v>
      </c>
      <c r="D969" s="217" t="s">
        <v>999</v>
      </c>
      <c r="E969" s="217">
        <f t="shared" si="178"/>
        <v>42793</v>
      </c>
      <c r="F969" s="960" t="s">
        <v>429</v>
      </c>
      <c r="G969" s="739"/>
      <c r="H969" s="294" t="s">
        <v>2919</v>
      </c>
      <c r="I969" s="381">
        <v>97807</v>
      </c>
      <c r="J969" s="379">
        <v>58409.659450256608</v>
      </c>
      <c r="K969" s="373"/>
      <c r="L969" s="379"/>
      <c r="M969" s="927">
        <f t="shared" ref="M969:M970" si="183">ROUND(I969*J969,0)</f>
        <v>5712873562</v>
      </c>
      <c r="N969" s="935" t="s">
        <v>274</v>
      </c>
      <c r="O969" s="935" t="s">
        <v>272</v>
      </c>
      <c r="P969" s="75" t="str">
        <f>IF(AND('331-CT'!$E$7=TH!H969,OR(N969="331",O969="331")),"x","")</f>
        <v/>
      </c>
      <c r="Q969" s="75" t="str">
        <f>IF(AND(B969='111'!$L$11,OR($N969=$Q$7,$O969=$Q$7)),"x","")</f>
        <v/>
      </c>
      <c r="R969" s="75" t="str">
        <f>IF(AND($N969=$Q$7,$B969&lt;'111'!$L$11),"x","")</f>
        <v/>
      </c>
      <c r="S969" s="75" t="str">
        <f>IF(AND($O969=$Q$7,$B969&lt;'111'!$L$11),"x","")</f>
        <v/>
      </c>
      <c r="T969" s="75" t="str">
        <f>IF(ISERROR(FIND('112'!$M$9,G969,1)),"",IF((AND(FIND('112'!$M$9,G969,1)&gt;=1,B969='112'!$K$9,OR($N969='112'!$I$6,$O969='112'!$I$6))),"x",""))</f>
        <v/>
      </c>
      <c r="U969" s="75" t="str">
        <f>IF(ISERROR(FIND('112'!$M$9,G969,1)),"",IF((AND(LEFT(G969,2)=LEFT('112'!$M$9,2),B969&lt;'112'!$K$9,$N969='112'!$I$6)),"x",""))</f>
        <v/>
      </c>
      <c r="V969" s="75" t="str">
        <f>IF(ISERROR(FIND('112'!$M$9,G969,1)),"",IF((AND(RIGHT(G969,2)=RIGHT('112'!$M$9,2),B969&lt;'112'!$K$9,$O969='112'!$I$6)),"x",""))</f>
        <v/>
      </c>
      <c r="W969" s="75" t="str">
        <f>IF(AND('341-CT'!$H$9=H969,OR(LEFT(N969,3)=$W$7,LEFT(O969,3)=$W$7)),"x","")</f>
        <v/>
      </c>
      <c r="X969" s="75" t="str">
        <f>IF(OR(TH!N969=TH!$X$7,O969=TH!$X$7),"x","")</f>
        <v/>
      </c>
      <c r="Y969" s="75" t="str">
        <f>IF(AND(OR(N969="131",O969="131"),H969='131-CT'!$H$9),"x","")</f>
        <v/>
      </c>
      <c r="Z969" s="75"/>
      <c r="AA969" s="75" t="str">
        <f>IF(AND(MONTH(E969)='IN-NX'!$J$5,'IN-NX'!$D$7=D969),"x","")</f>
        <v/>
      </c>
      <c r="AB969" s="75" t="str">
        <f>IF(AND(OR(LEFT(TH!N969,2)="15",LEFT(TH!O969,2)="15"),LEFT(TH!O969,3)&lt;&gt;"111",'152-CT'!$J$8=TH!F969),"x","")</f>
        <v/>
      </c>
      <c r="AC969" s="75" t="str">
        <f>IF(AND(OR(LEFT(TH!N969,2)="15",LEFT(TH!O969,2)="15"),TK!$E$7=TH!F969),"x","")</f>
        <v/>
      </c>
      <c r="AD969" s="75" t="str">
        <f>IF(AND(N969="1521",MONTH(C969)='BK-NL'!$M$11),"x","")</f>
        <v/>
      </c>
    </row>
    <row r="970" spans="1:32" s="1054" customFormat="1" ht="16.5" customHeight="1">
      <c r="A970" s="309" t="str">
        <f>IF(B970&lt;&gt;"",IF(AND(B970='IN-TC'!$S$4,OR(TH!N970="1111",TH!O970="1111")),TH!D970,""),"")</f>
        <v/>
      </c>
      <c r="B970" s="1131">
        <f t="shared" si="182"/>
        <v>2</v>
      </c>
      <c r="C970" s="217">
        <v>42794</v>
      </c>
      <c r="D970" s="217" t="s">
        <v>1002</v>
      </c>
      <c r="E970" s="217">
        <f t="shared" si="178"/>
        <v>42794</v>
      </c>
      <c r="F970" s="960" t="s">
        <v>429</v>
      </c>
      <c r="G970" s="739"/>
      <c r="H970" s="294" t="s">
        <v>2919</v>
      </c>
      <c r="I970" s="381">
        <v>52702</v>
      </c>
      <c r="J970" s="379">
        <v>59189.197926999965</v>
      </c>
      <c r="K970" s="373"/>
      <c r="L970" s="379"/>
      <c r="M970" s="927">
        <f t="shared" si="183"/>
        <v>3119389109</v>
      </c>
      <c r="N970" s="935" t="s">
        <v>274</v>
      </c>
      <c r="O970" s="935" t="s">
        <v>272</v>
      </c>
      <c r="P970" s="75" t="str">
        <f>IF(AND('331-CT'!$E$7=TH!H970,OR(N970="331",O970="331")),"x","")</f>
        <v/>
      </c>
      <c r="Q970" s="75" t="str">
        <f>IF(AND(B970='111'!$L$11,OR($N970=$Q$7,$O970=$Q$7)),"x","")</f>
        <v/>
      </c>
      <c r="R970" s="75" t="str">
        <f>IF(AND($N970=$Q$7,$B970&lt;'111'!$L$11),"x","")</f>
        <v/>
      </c>
      <c r="S970" s="75" t="str">
        <f>IF(AND($O970=$Q$7,$B970&lt;'111'!$L$11),"x","")</f>
        <v/>
      </c>
      <c r="T970" s="75" t="str">
        <f>IF(ISERROR(FIND('112'!$M$9,G970,1)),"",IF((AND(FIND('112'!$M$9,G970,1)&gt;=1,B970='112'!$K$9,OR($N970='112'!$I$6,$O970='112'!$I$6))),"x",""))</f>
        <v/>
      </c>
      <c r="U970" s="75" t="str">
        <f>IF(ISERROR(FIND('112'!$M$9,G970,1)),"",IF((AND(LEFT(G970,2)=LEFT('112'!$M$9,2),B970&lt;'112'!$K$9,$N970='112'!$I$6)),"x",""))</f>
        <v/>
      </c>
      <c r="V970" s="75" t="str">
        <f>IF(ISERROR(FIND('112'!$M$9,G970,1)),"",IF((AND(RIGHT(G970,2)=RIGHT('112'!$M$9,2),B970&lt;'112'!$K$9,$O970='112'!$I$6)),"x",""))</f>
        <v/>
      </c>
      <c r="W970" s="75" t="str">
        <f>IF(AND('341-CT'!$H$9=H970,OR(LEFT(N970,3)=$W$7,LEFT(O970,3)=$W$7)),"x","")</f>
        <v/>
      </c>
      <c r="X970" s="75" t="str">
        <f>IF(OR(TH!N970=TH!$X$7,O970=TH!$X$7),"x","")</f>
        <v/>
      </c>
      <c r="Y970" s="75" t="str">
        <f>IF(AND(OR(N970="131",O970="131"),H970='131-CT'!$H$9),"x","")</f>
        <v/>
      </c>
      <c r="Z970" s="75"/>
      <c r="AA970" s="75" t="str">
        <f>IF(AND(MONTH(E970)='IN-NX'!$J$5,'IN-NX'!$D$7=D970),"x","")</f>
        <v/>
      </c>
      <c r="AB970" s="75" t="str">
        <f>IF(AND(OR(LEFT(TH!N970,2)="15",LEFT(TH!O970,2)="15"),LEFT(TH!O970,3)&lt;&gt;"111",'152-CT'!$J$8=TH!F970),"x","")</f>
        <v/>
      </c>
      <c r="AC970" s="75" t="str">
        <f>IF(AND(OR(LEFT(TH!N970,2)="15",LEFT(TH!O970,2)="15"),TK!$E$7=TH!F970),"x","")</f>
        <v/>
      </c>
      <c r="AD970" s="75" t="str">
        <f>IF(AND(N970="1521",MONTH(C970)='BK-NL'!$M$11),"x","")</f>
        <v/>
      </c>
    </row>
    <row r="971" spans="1:32" s="1054" customFormat="1" ht="16.5" customHeight="1">
      <c r="A971" s="309" t="str">
        <f>IF(B971&lt;&gt;"",IF(AND(B971='IN-TC'!$S$4,OR(TH!N971="1111",TH!O971="1111")),TH!D971,""),"")</f>
        <v/>
      </c>
      <c r="B971" s="1131">
        <f t="shared" ref="B971:B988" si="184">IF(C971&lt;&gt;"",MONTH(C971),"")</f>
        <v>2</v>
      </c>
      <c r="C971" s="252">
        <f>E971</f>
        <v>42775</v>
      </c>
      <c r="D971" s="252" t="s">
        <v>2921</v>
      </c>
      <c r="E971" s="252">
        <v>42775</v>
      </c>
      <c r="F971" s="1082" t="s">
        <v>801</v>
      </c>
      <c r="G971" s="1056" t="s">
        <v>1100</v>
      </c>
      <c r="H971" s="735" t="s">
        <v>1101</v>
      </c>
      <c r="I971" s="371">
        <v>10</v>
      </c>
      <c r="J971" s="371">
        <v>156255.10005828401</v>
      </c>
      <c r="K971" s="371"/>
      <c r="L971" s="377"/>
      <c r="M971" s="933">
        <f>ROUND(I971*J971,0)</f>
        <v>1562551</v>
      </c>
      <c r="N971" s="977" t="s">
        <v>284</v>
      </c>
      <c r="O971" s="977" t="s">
        <v>274</v>
      </c>
      <c r="P971" s="75" t="str">
        <f>IF(AND('331-CT'!$E$7=TH!H971,OR(N971="331",O971="331")),"x","")</f>
        <v/>
      </c>
      <c r="Q971" s="75" t="str">
        <f>IF(AND(B971='111'!$L$11,OR($N971=$Q$7,$O971=$Q$7)),"x","")</f>
        <v/>
      </c>
      <c r="R971" s="75" t="str">
        <f>IF(AND($N971=$Q$7,$B971&lt;'111'!$L$11),"x","")</f>
        <v/>
      </c>
      <c r="S971" s="75" t="str">
        <f>IF(AND($O971=$Q$7,$B971&lt;'111'!$L$11),"x","")</f>
        <v/>
      </c>
      <c r="T971" s="75" t="str">
        <f>IF(ISERROR(FIND('112'!$M$9,G971,1)),"",IF((AND(FIND('112'!$M$9,G971,1)&gt;=1,B971='112'!$K$9,OR($N971='112'!$I$6,$O971='112'!$I$6))),"x",""))</f>
        <v/>
      </c>
      <c r="U971" s="75" t="str">
        <f>IF(ISERROR(FIND('112'!$M$9,G971,1)),"",IF((AND(LEFT(G971,2)=LEFT('112'!$M$9,2),B971&lt;'112'!$K$9,$N971='112'!$I$6)),"x",""))</f>
        <v/>
      </c>
      <c r="V971" s="75" t="str">
        <f>IF(ISERROR(FIND('112'!$M$9,G971,1)),"",IF((AND(RIGHT(G971,2)=RIGHT('112'!$M$9,2),B971&lt;'112'!$K$9,$O971='112'!$I$6)),"x",""))</f>
        <v/>
      </c>
      <c r="W971" s="75" t="str">
        <f>IF(AND('341-CT'!$H$9=H971,OR(LEFT(N971,3)=$W$7,LEFT(O971,3)=$W$7)),"x","")</f>
        <v/>
      </c>
      <c r="X971" s="75" t="str">
        <f>IF(OR(TH!N971=TH!$X$7,O971=TH!$X$7),"x","")</f>
        <v/>
      </c>
      <c r="Y971" s="75" t="str">
        <f>IF(AND(OR(N971="131",O971="131"),H971='131-CT'!$H$9),"x","")</f>
        <v/>
      </c>
      <c r="Z971" s="75"/>
      <c r="AA971" s="75" t="str">
        <f>IF(AND(MONTH(E971)='IN-NX'!$J$5,'IN-NX'!$D$7=D971),"x","")</f>
        <v/>
      </c>
      <c r="AB971" s="75" t="str">
        <f>IF(AND(OR(LEFT(TH!N971,2)="15",LEFT(TH!O971,2)="15"),LEFT(TH!O971,3)&lt;&gt;"111",'152-CT'!$J$8=TH!F971),"x","")</f>
        <v/>
      </c>
      <c r="AC971" s="75" t="str">
        <f>IF(AND(OR(LEFT(TH!N971,2)="15",LEFT(TH!O971,2)="15"),TK!$E$7=TH!F971),"x","")</f>
        <v/>
      </c>
      <c r="AD971" s="75" t="str">
        <f>IF(AND(N971="1521",MONTH(C971)='BK-NL'!$M$11),"x","")</f>
        <v/>
      </c>
    </row>
    <row r="972" spans="1:32" ht="16.5" customHeight="1">
      <c r="A972" s="309" t="str">
        <f>IF(B972&lt;&gt;"",IF(AND(B972='IN-TC'!$S$4,OR(TH!N972="1111",TH!O972="1111")),TH!D972,""),"")</f>
        <v/>
      </c>
      <c r="B972" s="1131">
        <f t="shared" si="184"/>
        <v>2</v>
      </c>
      <c r="C972" s="252">
        <f>E972</f>
        <v>42777</v>
      </c>
      <c r="D972" s="252" t="s">
        <v>2921</v>
      </c>
      <c r="E972" s="252">
        <v>42777</v>
      </c>
      <c r="F972" s="730" t="s">
        <v>421</v>
      </c>
      <c r="G972" s="1056" t="s">
        <v>1102</v>
      </c>
      <c r="H972" s="735" t="s">
        <v>792</v>
      </c>
      <c r="I972" s="371">
        <v>7272</v>
      </c>
      <c r="J972" s="371">
        <v>141769.70706046809</v>
      </c>
      <c r="K972" s="371"/>
      <c r="L972" s="377"/>
      <c r="M972" s="933">
        <f>ROUND(I972*J972,0)</f>
        <v>1030949310</v>
      </c>
      <c r="N972" s="977" t="s">
        <v>284</v>
      </c>
      <c r="O972" s="977" t="s">
        <v>274</v>
      </c>
      <c r="P972" s="75" t="str">
        <f>IF(AND('331-CT'!$E$7=TH!H972,OR(N972="331",O972="331")),"x","")</f>
        <v/>
      </c>
      <c r="Q972" s="75" t="str">
        <f>IF(AND(B972='111'!$L$11,OR($N972=$Q$7,$O972=$Q$7)),"x","")</f>
        <v/>
      </c>
      <c r="R972" s="75" t="str">
        <f>IF(AND($N972=$Q$7,$B972&lt;'111'!$L$11),"x","")</f>
        <v/>
      </c>
      <c r="S972" s="75" t="str">
        <f>IF(AND($O972=$Q$7,$B972&lt;'111'!$L$11),"x","")</f>
        <v/>
      </c>
      <c r="T972" s="75" t="str">
        <f>IF(ISERROR(FIND('112'!$M$9,G972,1)),"",IF((AND(FIND('112'!$M$9,G972,1)&gt;=1,B972='112'!$K$9,OR($N972='112'!$I$6,$O972='112'!$I$6))),"x",""))</f>
        <v/>
      </c>
      <c r="U972" s="75" t="str">
        <f>IF(ISERROR(FIND('112'!$M$9,G972,1)),"",IF((AND(LEFT(G972,2)=LEFT('112'!$M$9,2),B972&lt;'112'!$K$9,$N972='112'!$I$6)),"x",""))</f>
        <v/>
      </c>
      <c r="V972" s="75" t="str">
        <f>IF(ISERROR(FIND('112'!$M$9,G972,1)),"",IF((AND(RIGHT(G972,2)=RIGHT('112'!$M$9,2),B972&lt;'112'!$K$9,$O972='112'!$I$6)),"x",""))</f>
        <v/>
      </c>
      <c r="W972" s="75" t="str">
        <f>IF(AND('341-CT'!$H$9=H972,OR(LEFT(N972,3)=$W$7,LEFT(O972,3)=$W$7)),"x","")</f>
        <v/>
      </c>
      <c r="X972" s="75" t="str">
        <f>IF(OR(TH!N972=TH!$X$7,O972=TH!$X$7),"x","")</f>
        <v/>
      </c>
      <c r="Y972" s="75" t="str">
        <f>IF(AND(OR(N972="131",O972="131"),H972='131-CT'!$H$9),"x","")</f>
        <v/>
      </c>
      <c r="Z972" s="75"/>
      <c r="AA972" s="75" t="str">
        <f>IF(AND(MONTH(E972)='IN-NX'!$J$5,'IN-NX'!$D$7=D972),"x","")</f>
        <v/>
      </c>
      <c r="AB972" s="75" t="str">
        <f>IF(AND(OR(LEFT(TH!N972,2)="15",LEFT(TH!O972,2)="15"),LEFT(TH!O972,3)&lt;&gt;"111",'152-CT'!$J$8=TH!F972),"x","")</f>
        <v/>
      </c>
      <c r="AC972" s="75" t="str">
        <f>IF(AND(OR(LEFT(TH!N972,2)="15",LEFT(TH!O972,2)="15"),TK!$E$7=TH!F972),"x","")</f>
        <v/>
      </c>
      <c r="AD972" s="75" t="str">
        <f>IF(AND(N972="1521",MONTH(C972)='BK-NL'!$M$11),"x","")</f>
        <v/>
      </c>
      <c r="AF972" s="1054"/>
    </row>
    <row r="973" spans="1:32" ht="16.5" customHeight="1">
      <c r="A973" s="309" t="str">
        <f>IF(B973&lt;&gt;"",IF(AND(B973='IN-TC'!$S$4,OR(TH!N973="1111",TH!O973="1111")),TH!D973,""),"")</f>
        <v/>
      </c>
      <c r="B973" s="1131">
        <f t="shared" si="184"/>
        <v>2</v>
      </c>
      <c r="C973" s="252">
        <f>E973</f>
        <v>42791</v>
      </c>
      <c r="D973" s="252" t="s">
        <v>2921</v>
      </c>
      <c r="E973" s="252">
        <v>42791</v>
      </c>
      <c r="F973" s="730" t="s">
        <v>421</v>
      </c>
      <c r="G973" s="1056" t="s">
        <v>1103</v>
      </c>
      <c r="H973" s="735" t="s">
        <v>792</v>
      </c>
      <c r="I973" s="371">
        <v>6103</v>
      </c>
      <c r="J973" s="371">
        <v>141769.70706046809</v>
      </c>
      <c r="K973" s="371"/>
      <c r="L973" s="377"/>
      <c r="M973" s="933">
        <f>ROUND(I973*J973,0)</f>
        <v>865220522</v>
      </c>
      <c r="N973" s="977" t="s">
        <v>284</v>
      </c>
      <c r="O973" s="977" t="s">
        <v>274</v>
      </c>
      <c r="P973" s="75" t="str">
        <f>IF(AND('331-CT'!$E$7=TH!H973,OR(N973="331",O973="331")),"x","")</f>
        <v/>
      </c>
      <c r="Q973" s="75" t="str">
        <f>IF(AND(B973='111'!$L$11,OR($N973=$Q$7,$O973=$Q$7)),"x","")</f>
        <v/>
      </c>
      <c r="R973" s="75" t="str">
        <f>IF(AND($N973=$Q$7,$B973&lt;'111'!$L$11),"x","")</f>
        <v/>
      </c>
      <c r="S973" s="75" t="str">
        <f>IF(AND($O973=$Q$7,$B973&lt;'111'!$L$11),"x","")</f>
        <v/>
      </c>
      <c r="T973" s="75" t="str">
        <f>IF(ISERROR(FIND('112'!$M$9,G973,1)),"",IF((AND(FIND('112'!$M$9,G973,1)&gt;=1,B973='112'!$K$9,OR($N973='112'!$I$6,$O973='112'!$I$6))),"x",""))</f>
        <v/>
      </c>
      <c r="U973" s="75" t="str">
        <f>IF(ISERROR(FIND('112'!$M$9,G973,1)),"",IF((AND(LEFT(G973,2)=LEFT('112'!$M$9,2),B973&lt;'112'!$K$9,$N973='112'!$I$6)),"x",""))</f>
        <v/>
      </c>
      <c r="V973" s="75" t="str">
        <f>IF(ISERROR(FIND('112'!$M$9,G973,1)),"",IF((AND(RIGHT(G973,2)=RIGHT('112'!$M$9,2),B973&lt;'112'!$K$9,$O973='112'!$I$6)),"x",""))</f>
        <v/>
      </c>
      <c r="W973" s="75" t="str">
        <f>IF(AND('341-CT'!$H$9=H973,OR(LEFT(N973,3)=$W$7,LEFT(O973,3)=$W$7)),"x","")</f>
        <v/>
      </c>
      <c r="X973" s="75" t="str">
        <f>IF(OR(TH!N973=TH!$X$7,O973=TH!$X$7),"x","")</f>
        <v/>
      </c>
      <c r="Y973" s="75" t="str">
        <f>IF(AND(OR(N973="131",O973="131"),H973='131-CT'!$H$9),"x","")</f>
        <v/>
      </c>
      <c r="Z973" s="75"/>
      <c r="AA973" s="75" t="str">
        <f>IF(AND(MONTH(E973)='IN-NX'!$J$5,'IN-NX'!$D$7=D973),"x","")</f>
        <v/>
      </c>
      <c r="AB973" s="75" t="str">
        <f>IF(AND(OR(LEFT(TH!N973,2)="15",LEFT(TH!O973,2)="15"),LEFT(TH!O973,3)&lt;&gt;"111",'152-CT'!$J$8=TH!F973),"x","")</f>
        <v/>
      </c>
      <c r="AC973" s="75" t="str">
        <f>IF(AND(OR(LEFT(TH!N973,2)="15",LEFT(TH!O973,2)="15"),TK!$E$7=TH!F973),"x","")</f>
        <v/>
      </c>
      <c r="AD973" s="75" t="str">
        <f>IF(AND(N973="1521",MONTH(C973)='BK-NL'!$M$11),"x","")</f>
        <v/>
      </c>
      <c r="AF973" s="1054"/>
    </row>
    <row r="974" spans="1:32" s="1053" customFormat="1" ht="16.5" customHeight="1">
      <c r="A974" s="309" t="str">
        <f>IF(B974&lt;&gt;"",IF(AND(B974='IN-TC'!$S$4,OR(TH!N974="1111",TH!O974="1111")),TH!D974,""),"")</f>
        <v/>
      </c>
      <c r="B974" s="1131">
        <f t="shared" si="184"/>
        <v>2</v>
      </c>
      <c r="C974" s="292">
        <v>42767</v>
      </c>
      <c r="D974" s="292" t="s">
        <v>829</v>
      </c>
      <c r="E974" s="292">
        <f t="shared" ref="E974:E984" si="185">C974</f>
        <v>42767</v>
      </c>
      <c r="F974" s="67" t="s">
        <v>795</v>
      </c>
      <c r="G974" s="925" t="s">
        <v>1149</v>
      </c>
      <c r="H974" s="294" t="s">
        <v>796</v>
      </c>
      <c r="I974" s="373">
        <v>2022</v>
      </c>
      <c r="J974" s="926">
        <v>8500</v>
      </c>
      <c r="K974" s="373"/>
      <c r="L974" s="379"/>
      <c r="M974" s="927">
        <f>I974*J974</f>
        <v>17187000</v>
      </c>
      <c r="N974" s="295" t="s">
        <v>266</v>
      </c>
      <c r="O974" s="295" t="s">
        <v>8</v>
      </c>
      <c r="P974" s="75" t="str">
        <f>IF(AND('331-CT'!$E$7=TH!H974,OR(N974="331",O974="331")),"x","")</f>
        <v/>
      </c>
      <c r="Q974" s="75" t="str">
        <f>IF(AND(B974='111'!$L$11,OR($N974=$Q$7,$O974=$Q$7)),"x","")</f>
        <v/>
      </c>
      <c r="R974" s="75" t="str">
        <f>IF(AND($N974=$Q$7,$B974&lt;'111'!$L$11),"x","")</f>
        <v/>
      </c>
      <c r="S974" s="75" t="str">
        <f>IF(AND($O974=$Q$7,$B974&lt;'111'!$L$11),"x","")</f>
        <v/>
      </c>
      <c r="T974" s="75" t="str">
        <f>IF(ISERROR(FIND('112'!$M$9,G974,1)),"",IF((AND(FIND('112'!$M$9,G974,1)&gt;=1,B974='112'!$K$9,OR($N974='112'!$I$6,$O974='112'!$I$6))),"x",""))</f>
        <v/>
      </c>
      <c r="U974" s="75" t="str">
        <f>IF(ISERROR(FIND('112'!$M$9,G974,1)),"",IF((AND(LEFT(G974,2)=LEFT('112'!$M$9,2),B974&lt;'112'!$K$9,$N974='112'!$I$6)),"x",""))</f>
        <v/>
      </c>
      <c r="V974" s="75" t="str">
        <f>IF(ISERROR(FIND('112'!$M$9,G974,1)),"",IF((AND(RIGHT(G974,2)=RIGHT('112'!$M$9,2),B974&lt;'112'!$K$9,$O974='112'!$I$6)),"x",""))</f>
        <v/>
      </c>
      <c r="W974" s="75" t="str">
        <f>IF(AND('341-CT'!$H$9=H974,OR(LEFT(N974,3)=$W$7,LEFT(O974,3)=$W$7)),"x","")</f>
        <v/>
      </c>
      <c r="X974" s="75" t="str">
        <f>IF(OR(TH!N974=TH!$X$7,O974=TH!$X$7),"x","")</f>
        <v/>
      </c>
      <c r="Y974" s="75" t="str">
        <f>IF(AND(OR(N974="131",O974="131"),H974='131-CT'!$H$9),"x","")</f>
        <v/>
      </c>
      <c r="Z974" s="75"/>
      <c r="AA974" s="75" t="str">
        <f>IF(AND(MONTH(E974)='IN-NX'!$J$5,'IN-NX'!$D$7=D974),"x","")</f>
        <v/>
      </c>
      <c r="AB974" s="75" t="str">
        <f>IF(AND(OR(LEFT(TH!N974,2)="15",LEFT(TH!O974,2)="15"),LEFT(TH!O974,3)&lt;&gt;"111",'152-CT'!$J$8=TH!F974),"x","")</f>
        <v/>
      </c>
      <c r="AC974" s="75" t="str">
        <f>IF(AND(OR(LEFT(TH!N974,2)="15",LEFT(TH!O974,2)="15"),TK!$E$7=TH!F974),"x","")</f>
        <v/>
      </c>
      <c r="AD974" s="75" t="str">
        <f>IF(AND(N974="1521",MONTH(C974)='BK-NL'!$M$11),"x","")</f>
        <v/>
      </c>
    </row>
    <row r="975" spans="1:32" s="1053" customFormat="1" ht="16.5" customHeight="1">
      <c r="A975" s="309" t="str">
        <f>IF(B975&lt;&gt;"",IF(AND(B975='IN-TC'!$S$4,OR(TH!N975="1111",TH!O975="1111")),TH!D975,""),"")</f>
        <v/>
      </c>
      <c r="B975" s="1131">
        <f t="shared" si="184"/>
        <v>2</v>
      </c>
      <c r="C975" s="292">
        <v>42767</v>
      </c>
      <c r="D975" s="292" t="s">
        <v>829</v>
      </c>
      <c r="E975" s="292">
        <f t="shared" si="185"/>
        <v>42767</v>
      </c>
      <c r="F975" s="67" t="s">
        <v>1143</v>
      </c>
      <c r="G975" s="925" t="s">
        <v>1149</v>
      </c>
      <c r="H975" s="294" t="s">
        <v>796</v>
      </c>
      <c r="I975" s="373"/>
      <c r="J975" s="926"/>
      <c r="K975" s="373"/>
      <c r="L975" s="379"/>
      <c r="M975" s="927">
        <v>1718700</v>
      </c>
      <c r="N975" s="295" t="s">
        <v>9</v>
      </c>
      <c r="O975" s="295" t="s">
        <v>8</v>
      </c>
      <c r="P975" s="75" t="str">
        <f>IF(AND('331-CT'!$E$7=TH!H975,OR(N975="331",O975="331")),"x","")</f>
        <v/>
      </c>
      <c r="Q975" s="75" t="str">
        <f>IF(AND(B975='111'!$L$11,OR($N975=$Q$7,$O975=$Q$7)),"x","")</f>
        <v/>
      </c>
      <c r="R975" s="75" t="str">
        <f>IF(AND($N975=$Q$7,$B975&lt;'111'!$L$11),"x","")</f>
        <v/>
      </c>
      <c r="S975" s="75" t="str">
        <f>IF(AND($O975=$Q$7,$B975&lt;'111'!$L$11),"x","")</f>
        <v/>
      </c>
      <c r="T975" s="75" t="str">
        <f>IF(ISERROR(FIND('112'!$M$9,G975,1)),"",IF((AND(FIND('112'!$M$9,G975,1)&gt;=1,B975='112'!$K$9,OR($N975='112'!$I$6,$O975='112'!$I$6))),"x",""))</f>
        <v/>
      </c>
      <c r="U975" s="75" t="str">
        <f>IF(ISERROR(FIND('112'!$M$9,G975,1)),"",IF((AND(LEFT(G975,2)=LEFT('112'!$M$9,2),B975&lt;'112'!$K$9,$N975='112'!$I$6)),"x",""))</f>
        <v/>
      </c>
      <c r="V975" s="75" t="str">
        <f>IF(ISERROR(FIND('112'!$M$9,G975,1)),"",IF((AND(RIGHT(G975,2)=RIGHT('112'!$M$9,2),B975&lt;'112'!$K$9,$O975='112'!$I$6)),"x",""))</f>
        <v/>
      </c>
      <c r="W975" s="75" t="str">
        <f>IF(AND('341-CT'!$H$9=H975,OR(LEFT(N975,3)=$W$7,LEFT(O975,3)=$W$7)),"x","")</f>
        <v/>
      </c>
      <c r="X975" s="75" t="str">
        <f>IF(OR(TH!N975=TH!$X$7,O975=TH!$X$7),"x","")</f>
        <v/>
      </c>
      <c r="Y975" s="75" t="str">
        <f>IF(AND(OR(N975="131",O975="131"),H975='131-CT'!$H$9),"x","")</f>
        <v/>
      </c>
      <c r="Z975" s="75"/>
      <c r="AA975" s="75" t="str">
        <f>IF(AND(MONTH(E975)='IN-NX'!$J$5,'IN-NX'!$D$7=D975),"x","")</f>
        <v/>
      </c>
      <c r="AB975" s="75" t="str">
        <f>IF(AND(OR(LEFT(TH!N975,2)="15",LEFT(TH!O975,2)="15"),LEFT(TH!O975,3)&lt;&gt;"111",'152-CT'!$J$8=TH!F975),"x","")</f>
        <v/>
      </c>
      <c r="AC975" s="75" t="str">
        <f>IF(AND(OR(LEFT(TH!N975,2)="15",LEFT(TH!O975,2)="15"),TK!$E$7=TH!F975),"x","")</f>
        <v/>
      </c>
      <c r="AD975" s="75" t="str">
        <f>IF(AND(N975="1521",MONTH(C975)='BK-NL'!$M$11),"x","")</f>
        <v/>
      </c>
    </row>
    <row r="976" spans="1:32" s="1053" customFormat="1" ht="16.5" customHeight="1">
      <c r="A976" s="309" t="str">
        <f>IF(B976&lt;&gt;"",IF(AND(B976='IN-TC'!$S$4,OR(TH!N976="1111",TH!O976="1111")),TH!D976,""),"")</f>
        <v/>
      </c>
      <c r="B976" s="1131">
        <f t="shared" si="184"/>
        <v>2</v>
      </c>
      <c r="C976" s="292">
        <v>42784</v>
      </c>
      <c r="D976" s="292" t="s">
        <v>840</v>
      </c>
      <c r="E976" s="292">
        <f t="shared" si="185"/>
        <v>42784</v>
      </c>
      <c r="F976" s="67" t="s">
        <v>795</v>
      </c>
      <c r="G976" s="925" t="s">
        <v>1150</v>
      </c>
      <c r="H976" s="294" t="s">
        <v>796</v>
      </c>
      <c r="I976" s="373">
        <v>2022</v>
      </c>
      <c r="J976" s="926">
        <v>8500</v>
      </c>
      <c r="K976" s="373"/>
      <c r="L976" s="379"/>
      <c r="M976" s="927">
        <f>I976*J976</f>
        <v>17187000</v>
      </c>
      <c r="N976" s="295" t="s">
        <v>266</v>
      </c>
      <c r="O976" s="295" t="s">
        <v>8</v>
      </c>
      <c r="P976" s="75" t="str">
        <f>IF(AND('331-CT'!$E$7=TH!H976,OR(N976="331",O976="331")),"x","")</f>
        <v/>
      </c>
      <c r="Q976" s="75" t="str">
        <f>IF(AND(B976='111'!$L$11,OR($N976=$Q$7,$O976=$Q$7)),"x","")</f>
        <v/>
      </c>
      <c r="R976" s="75" t="str">
        <f>IF(AND($N976=$Q$7,$B976&lt;'111'!$L$11),"x","")</f>
        <v/>
      </c>
      <c r="S976" s="75" t="str">
        <f>IF(AND($O976=$Q$7,$B976&lt;'111'!$L$11),"x","")</f>
        <v/>
      </c>
      <c r="T976" s="75" t="str">
        <f>IF(ISERROR(FIND('112'!$M$9,G976,1)),"",IF((AND(FIND('112'!$M$9,G976,1)&gt;=1,B976='112'!$K$9,OR($N976='112'!$I$6,$O976='112'!$I$6))),"x",""))</f>
        <v/>
      </c>
      <c r="U976" s="75" t="str">
        <f>IF(ISERROR(FIND('112'!$M$9,G976,1)),"",IF((AND(LEFT(G976,2)=LEFT('112'!$M$9,2),B976&lt;'112'!$K$9,$N976='112'!$I$6)),"x",""))</f>
        <v/>
      </c>
      <c r="V976" s="75" t="str">
        <f>IF(ISERROR(FIND('112'!$M$9,G976,1)),"",IF((AND(RIGHT(G976,2)=RIGHT('112'!$M$9,2),B976&lt;'112'!$K$9,$O976='112'!$I$6)),"x",""))</f>
        <v/>
      </c>
      <c r="W976" s="75" t="str">
        <f>IF(AND('341-CT'!$H$9=H976,OR(LEFT(N976,3)=$W$7,LEFT(O976,3)=$W$7)),"x","")</f>
        <v/>
      </c>
      <c r="X976" s="75" t="str">
        <f>IF(OR(TH!N976=TH!$X$7,O976=TH!$X$7),"x","")</f>
        <v/>
      </c>
      <c r="Y976" s="75" t="str">
        <f>IF(AND(OR(N976="131",O976="131"),H976='131-CT'!$H$9),"x","")</f>
        <v/>
      </c>
      <c r="Z976" s="75"/>
      <c r="AA976" s="75" t="str">
        <f>IF(AND(MONTH(E976)='IN-NX'!$J$5,'IN-NX'!$D$7=D976),"x","")</f>
        <v/>
      </c>
      <c r="AB976" s="75" t="str">
        <f>IF(AND(OR(LEFT(TH!N976,2)="15",LEFT(TH!O976,2)="15"),LEFT(TH!O976,3)&lt;&gt;"111",'152-CT'!$J$8=TH!F976),"x","")</f>
        <v/>
      </c>
      <c r="AC976" s="75" t="str">
        <f>IF(AND(OR(LEFT(TH!N976,2)="15",LEFT(TH!O976,2)="15"),TK!$E$7=TH!F976),"x","")</f>
        <v/>
      </c>
      <c r="AD976" s="75" t="str">
        <f>IF(AND(N976="1521",MONTH(C976)='BK-NL'!$M$11),"x","")</f>
        <v/>
      </c>
    </row>
    <row r="977" spans="1:30" s="1053" customFormat="1" ht="16.5" customHeight="1">
      <c r="A977" s="309" t="str">
        <f>IF(B977&lt;&gt;"",IF(AND(B977='IN-TC'!$S$4,OR(TH!N977="1111",TH!O977="1111")),TH!D977,""),"")</f>
        <v/>
      </c>
      <c r="B977" s="1131">
        <f t="shared" si="184"/>
        <v>2</v>
      </c>
      <c r="C977" s="292">
        <v>42784</v>
      </c>
      <c r="D977" s="292" t="s">
        <v>840</v>
      </c>
      <c r="E977" s="292">
        <f t="shared" si="185"/>
        <v>42784</v>
      </c>
      <c r="F977" s="67" t="s">
        <v>1143</v>
      </c>
      <c r="G977" s="925" t="s">
        <v>1150</v>
      </c>
      <c r="H977" s="294" t="s">
        <v>796</v>
      </c>
      <c r="I977" s="373"/>
      <c r="J977" s="926"/>
      <c r="K977" s="373"/>
      <c r="L977" s="379"/>
      <c r="M977" s="927">
        <v>1718700</v>
      </c>
      <c r="N977" s="295" t="s">
        <v>9</v>
      </c>
      <c r="O977" s="295" t="s">
        <v>8</v>
      </c>
      <c r="P977" s="75" t="str">
        <f>IF(AND('331-CT'!$E$7=TH!H977,OR(N977="331",O977="331")),"x","")</f>
        <v/>
      </c>
      <c r="Q977" s="75" t="str">
        <f>IF(AND(B977='111'!$L$11,OR($N977=$Q$7,$O977=$Q$7)),"x","")</f>
        <v/>
      </c>
      <c r="R977" s="75" t="str">
        <f>IF(AND($N977=$Q$7,$B977&lt;'111'!$L$11),"x","")</f>
        <v/>
      </c>
      <c r="S977" s="75" t="str">
        <f>IF(AND($O977=$Q$7,$B977&lt;'111'!$L$11),"x","")</f>
        <v/>
      </c>
      <c r="T977" s="75" t="str">
        <f>IF(ISERROR(FIND('112'!$M$9,G977,1)),"",IF((AND(FIND('112'!$M$9,G977,1)&gt;=1,B977='112'!$K$9,OR($N977='112'!$I$6,$O977='112'!$I$6))),"x",""))</f>
        <v/>
      </c>
      <c r="U977" s="75" t="str">
        <f>IF(ISERROR(FIND('112'!$M$9,G977,1)),"",IF((AND(LEFT(G977,2)=LEFT('112'!$M$9,2),B977&lt;'112'!$K$9,$N977='112'!$I$6)),"x",""))</f>
        <v/>
      </c>
      <c r="V977" s="75" t="str">
        <f>IF(ISERROR(FIND('112'!$M$9,G977,1)),"",IF((AND(RIGHT(G977,2)=RIGHT('112'!$M$9,2),B977&lt;'112'!$K$9,$O977='112'!$I$6)),"x",""))</f>
        <v/>
      </c>
      <c r="W977" s="75" t="str">
        <f>IF(AND('341-CT'!$H$9=H977,OR(LEFT(N977,3)=$W$7,LEFT(O977,3)=$W$7)),"x","")</f>
        <v/>
      </c>
      <c r="X977" s="75" t="str">
        <f>IF(OR(TH!N977=TH!$X$7,O977=TH!$X$7),"x","")</f>
        <v/>
      </c>
      <c r="Y977" s="75" t="str">
        <f>IF(AND(OR(N977="131",O977="131"),H977='131-CT'!$H$9),"x","")</f>
        <v/>
      </c>
      <c r="Z977" s="75"/>
      <c r="AA977" s="75" t="str">
        <f>IF(AND(MONTH(E977)='IN-NX'!$J$5,'IN-NX'!$D$7=D977),"x","")</f>
        <v/>
      </c>
      <c r="AB977" s="75" t="str">
        <f>IF(AND(OR(LEFT(TH!N977,2)="15",LEFT(TH!O977,2)="15"),LEFT(TH!O977,3)&lt;&gt;"111",'152-CT'!$J$8=TH!F977),"x","")</f>
        <v/>
      </c>
      <c r="AC977" s="75" t="str">
        <f>IF(AND(OR(LEFT(TH!N977,2)="15",LEFT(TH!O977,2)="15"),TK!$E$7=TH!F977),"x","")</f>
        <v/>
      </c>
      <c r="AD977" s="75" t="str">
        <f>IF(AND(N977="1521",MONTH(C977)='BK-NL'!$M$11),"x","")</f>
        <v/>
      </c>
    </row>
    <row r="978" spans="1:30" s="1053" customFormat="1" ht="16.5" customHeight="1">
      <c r="A978" s="309" t="str">
        <f>IF(B978&lt;&gt;"",IF(AND(B978='IN-TC'!$S$4,OR(TH!N978="1111",TH!O978="1111")),TH!D978,""),"")</f>
        <v/>
      </c>
      <c r="B978" s="1131">
        <f t="shared" si="184"/>
        <v>2</v>
      </c>
      <c r="C978" s="292">
        <v>42787</v>
      </c>
      <c r="D978" s="292" t="s">
        <v>847</v>
      </c>
      <c r="E978" s="292">
        <f t="shared" si="185"/>
        <v>42787</v>
      </c>
      <c r="F978" s="67" t="s">
        <v>795</v>
      </c>
      <c r="G978" s="925" t="s">
        <v>1151</v>
      </c>
      <c r="H978" s="294" t="s">
        <v>796</v>
      </c>
      <c r="I978" s="373">
        <v>2022</v>
      </c>
      <c r="J978" s="926">
        <v>8500</v>
      </c>
      <c r="K978" s="373"/>
      <c r="L978" s="379"/>
      <c r="M978" s="927">
        <f>I978*J978</f>
        <v>17187000</v>
      </c>
      <c r="N978" s="295" t="s">
        <v>266</v>
      </c>
      <c r="O978" s="295" t="s">
        <v>8</v>
      </c>
      <c r="P978" s="75" t="str">
        <f>IF(AND('331-CT'!$E$7=TH!H978,OR(N978="331",O978="331")),"x","")</f>
        <v/>
      </c>
      <c r="Q978" s="75" t="str">
        <f>IF(AND(B978='111'!$L$11,OR($N978=$Q$7,$O978=$Q$7)),"x","")</f>
        <v/>
      </c>
      <c r="R978" s="75" t="str">
        <f>IF(AND($N978=$Q$7,$B978&lt;'111'!$L$11),"x","")</f>
        <v/>
      </c>
      <c r="S978" s="75" t="str">
        <f>IF(AND($O978=$Q$7,$B978&lt;'111'!$L$11),"x","")</f>
        <v/>
      </c>
      <c r="T978" s="75" t="str">
        <f>IF(ISERROR(FIND('112'!$M$9,G978,1)),"",IF((AND(FIND('112'!$M$9,G978,1)&gt;=1,B978='112'!$K$9,OR($N978='112'!$I$6,$O978='112'!$I$6))),"x",""))</f>
        <v/>
      </c>
      <c r="U978" s="75" t="str">
        <f>IF(ISERROR(FIND('112'!$M$9,G978,1)),"",IF((AND(LEFT(G978,2)=LEFT('112'!$M$9,2),B978&lt;'112'!$K$9,$N978='112'!$I$6)),"x",""))</f>
        <v/>
      </c>
      <c r="V978" s="75" t="str">
        <f>IF(ISERROR(FIND('112'!$M$9,G978,1)),"",IF((AND(RIGHT(G978,2)=RIGHT('112'!$M$9,2),B978&lt;'112'!$K$9,$O978='112'!$I$6)),"x",""))</f>
        <v/>
      </c>
      <c r="W978" s="75" t="str">
        <f>IF(AND('341-CT'!$H$9=H978,OR(LEFT(N978,3)=$W$7,LEFT(O978,3)=$W$7)),"x","")</f>
        <v/>
      </c>
      <c r="X978" s="75" t="str">
        <f>IF(OR(TH!N978=TH!$X$7,O978=TH!$X$7),"x","")</f>
        <v/>
      </c>
      <c r="Y978" s="75" t="str">
        <f>IF(AND(OR(N978="131",O978="131"),H978='131-CT'!$H$9),"x","")</f>
        <v/>
      </c>
      <c r="Z978" s="75"/>
      <c r="AA978" s="75" t="str">
        <f>IF(AND(MONTH(E978)='IN-NX'!$J$5,'IN-NX'!$D$7=D978),"x","")</f>
        <v/>
      </c>
      <c r="AB978" s="75" t="str">
        <f>IF(AND(OR(LEFT(TH!N978,2)="15",LEFT(TH!O978,2)="15"),LEFT(TH!O978,3)&lt;&gt;"111",'152-CT'!$J$8=TH!F978),"x","")</f>
        <v/>
      </c>
      <c r="AC978" s="75" t="str">
        <f>IF(AND(OR(LEFT(TH!N978,2)="15",LEFT(TH!O978,2)="15"),TK!$E$7=TH!F978),"x","")</f>
        <v/>
      </c>
      <c r="AD978" s="75" t="str">
        <f>IF(AND(N978="1521",MONTH(C978)='BK-NL'!$M$11),"x","")</f>
        <v/>
      </c>
    </row>
    <row r="979" spans="1:30" s="1053" customFormat="1" ht="16.5" customHeight="1">
      <c r="A979" s="309" t="str">
        <f>IF(B979&lt;&gt;"",IF(AND(B979='IN-TC'!$S$4,OR(TH!N979="1111",TH!O979="1111")),TH!D979,""),"")</f>
        <v/>
      </c>
      <c r="B979" s="1131">
        <f t="shared" si="184"/>
        <v>2</v>
      </c>
      <c r="C979" s="292">
        <v>42787</v>
      </c>
      <c r="D979" s="292" t="s">
        <v>847</v>
      </c>
      <c r="E979" s="292">
        <f t="shared" si="185"/>
        <v>42787</v>
      </c>
      <c r="F979" s="67" t="s">
        <v>1143</v>
      </c>
      <c r="G979" s="925" t="s">
        <v>1151</v>
      </c>
      <c r="H979" s="294" t="s">
        <v>796</v>
      </c>
      <c r="I979" s="373"/>
      <c r="J979" s="926"/>
      <c r="K979" s="373"/>
      <c r="L979" s="379"/>
      <c r="M979" s="927">
        <v>1718700</v>
      </c>
      <c r="N979" s="295" t="s">
        <v>9</v>
      </c>
      <c r="O979" s="295" t="s">
        <v>8</v>
      </c>
      <c r="P979" s="75" t="str">
        <f>IF(AND('331-CT'!$E$7=TH!H979,OR(N979="331",O979="331")),"x","")</f>
        <v/>
      </c>
      <c r="Q979" s="75" t="str">
        <f>IF(AND(B979='111'!$L$11,OR($N979=$Q$7,$O979=$Q$7)),"x","")</f>
        <v/>
      </c>
      <c r="R979" s="75" t="str">
        <f>IF(AND($N979=$Q$7,$B979&lt;'111'!$L$11),"x","")</f>
        <v/>
      </c>
      <c r="S979" s="75" t="str">
        <f>IF(AND($O979=$Q$7,$B979&lt;'111'!$L$11),"x","")</f>
        <v/>
      </c>
      <c r="T979" s="75" t="str">
        <f>IF(ISERROR(FIND('112'!$M$9,G979,1)),"",IF((AND(FIND('112'!$M$9,G979,1)&gt;=1,B979='112'!$K$9,OR($N979='112'!$I$6,$O979='112'!$I$6))),"x",""))</f>
        <v/>
      </c>
      <c r="U979" s="75" t="str">
        <f>IF(ISERROR(FIND('112'!$M$9,G979,1)),"",IF((AND(LEFT(G979,2)=LEFT('112'!$M$9,2),B979&lt;'112'!$K$9,$N979='112'!$I$6)),"x",""))</f>
        <v/>
      </c>
      <c r="V979" s="75" t="str">
        <f>IF(ISERROR(FIND('112'!$M$9,G979,1)),"",IF((AND(RIGHT(G979,2)=RIGHT('112'!$M$9,2),B979&lt;'112'!$K$9,$O979='112'!$I$6)),"x",""))</f>
        <v/>
      </c>
      <c r="W979" s="75" t="str">
        <f>IF(AND('341-CT'!$H$9=H979,OR(LEFT(N979,3)=$W$7,LEFT(O979,3)=$W$7)),"x","")</f>
        <v/>
      </c>
      <c r="X979" s="75" t="str">
        <f>IF(OR(TH!N979=TH!$X$7,O979=TH!$X$7),"x","")</f>
        <v/>
      </c>
      <c r="Y979" s="75" t="str">
        <f>IF(AND(OR(N979="131",O979="131"),H979='131-CT'!$H$9),"x","")</f>
        <v/>
      </c>
      <c r="Z979" s="75"/>
      <c r="AA979" s="75" t="str">
        <f>IF(AND(MONTH(E979)='IN-NX'!$J$5,'IN-NX'!$D$7=D979),"x","")</f>
        <v/>
      </c>
      <c r="AB979" s="75" t="str">
        <f>IF(AND(OR(LEFT(TH!N979,2)="15",LEFT(TH!O979,2)="15"),LEFT(TH!O979,3)&lt;&gt;"111",'152-CT'!$J$8=TH!F979),"x","")</f>
        <v/>
      </c>
      <c r="AC979" s="75" t="str">
        <f>IF(AND(OR(LEFT(TH!N979,2)="15",LEFT(TH!O979,2)="15"),TK!$E$7=TH!F979),"x","")</f>
        <v/>
      </c>
      <c r="AD979" s="75" t="str">
        <f>IF(AND(N979="1521",MONTH(C979)='BK-NL'!$M$11),"x","")</f>
        <v/>
      </c>
    </row>
    <row r="980" spans="1:30" s="1053" customFormat="1" ht="16.5" customHeight="1">
      <c r="A980" s="309" t="str">
        <f>IF(B980&lt;&gt;"",IF(AND(B980='IN-TC'!$S$4,OR(TH!N980="1111",TH!O980="1111")),TH!D980,""),"")</f>
        <v/>
      </c>
      <c r="B980" s="1131">
        <f t="shared" si="184"/>
        <v>2</v>
      </c>
      <c r="C980" s="292">
        <v>42790</v>
      </c>
      <c r="D980" s="292" t="s">
        <v>867</v>
      </c>
      <c r="E980" s="292">
        <f t="shared" si="185"/>
        <v>42790</v>
      </c>
      <c r="F980" s="67" t="s">
        <v>795</v>
      </c>
      <c r="G980" s="925" t="s">
        <v>1152</v>
      </c>
      <c r="H980" s="294" t="s">
        <v>796</v>
      </c>
      <c r="I980" s="373">
        <v>2021</v>
      </c>
      <c r="J980" s="926">
        <v>8500</v>
      </c>
      <c r="K980" s="373"/>
      <c r="L980" s="379"/>
      <c r="M980" s="927">
        <f>I980*J980</f>
        <v>17178500</v>
      </c>
      <c r="N980" s="295" t="s">
        <v>266</v>
      </c>
      <c r="O980" s="295" t="s">
        <v>8</v>
      </c>
      <c r="P980" s="75" t="str">
        <f>IF(AND('331-CT'!$E$7=TH!H980,OR(N980="331",O980="331")),"x","")</f>
        <v/>
      </c>
      <c r="Q980" s="75" t="str">
        <f>IF(AND(B980='111'!$L$11,OR($N980=$Q$7,$O980=$Q$7)),"x","")</f>
        <v/>
      </c>
      <c r="R980" s="75" t="str">
        <f>IF(AND($N980=$Q$7,$B980&lt;'111'!$L$11),"x","")</f>
        <v/>
      </c>
      <c r="S980" s="75" t="str">
        <f>IF(AND($O980=$Q$7,$B980&lt;'111'!$L$11),"x","")</f>
        <v/>
      </c>
      <c r="T980" s="75" t="str">
        <f>IF(ISERROR(FIND('112'!$M$9,G980,1)),"",IF((AND(FIND('112'!$M$9,G980,1)&gt;=1,B980='112'!$K$9,OR($N980='112'!$I$6,$O980='112'!$I$6))),"x",""))</f>
        <v/>
      </c>
      <c r="U980" s="75" t="str">
        <f>IF(ISERROR(FIND('112'!$M$9,G980,1)),"",IF((AND(LEFT(G980,2)=LEFT('112'!$M$9,2),B980&lt;'112'!$K$9,$N980='112'!$I$6)),"x",""))</f>
        <v/>
      </c>
      <c r="V980" s="75" t="str">
        <f>IF(ISERROR(FIND('112'!$M$9,G980,1)),"",IF((AND(RIGHT(G980,2)=RIGHT('112'!$M$9,2),B980&lt;'112'!$K$9,$O980='112'!$I$6)),"x",""))</f>
        <v/>
      </c>
      <c r="W980" s="75" t="str">
        <f>IF(AND('341-CT'!$H$9=H980,OR(LEFT(N980,3)=$W$7,LEFT(O980,3)=$W$7)),"x","")</f>
        <v/>
      </c>
      <c r="X980" s="75" t="str">
        <f>IF(OR(TH!N980=TH!$X$7,O980=TH!$X$7),"x","")</f>
        <v/>
      </c>
      <c r="Y980" s="75" t="str">
        <f>IF(AND(OR(N980="131",O980="131"),H980='131-CT'!$H$9),"x","")</f>
        <v/>
      </c>
      <c r="Z980" s="75"/>
      <c r="AA980" s="75" t="str">
        <f>IF(AND(MONTH(E980)='IN-NX'!$J$5,'IN-NX'!$D$7=D980),"x","")</f>
        <v/>
      </c>
      <c r="AB980" s="75" t="str">
        <f>IF(AND(OR(LEFT(TH!N980,2)="15",LEFT(TH!O980,2)="15"),LEFT(TH!O980,3)&lt;&gt;"111",'152-CT'!$J$8=TH!F980),"x","")</f>
        <v/>
      </c>
      <c r="AC980" s="75" t="str">
        <f>IF(AND(OR(LEFT(TH!N980,2)="15",LEFT(TH!O980,2)="15"),TK!$E$7=TH!F980),"x","")</f>
        <v/>
      </c>
      <c r="AD980" s="75" t="str">
        <f>IF(AND(N980="1521",MONTH(C980)='BK-NL'!$M$11),"x","")</f>
        <v/>
      </c>
    </row>
    <row r="981" spans="1:30" s="1053" customFormat="1" ht="16.5" customHeight="1">
      <c r="A981" s="309" t="str">
        <f>IF(B981&lt;&gt;"",IF(AND(B981='IN-TC'!$S$4,OR(TH!N981="1111",TH!O981="1111")),TH!D981,""),"")</f>
        <v/>
      </c>
      <c r="B981" s="1131">
        <f t="shared" si="184"/>
        <v>2</v>
      </c>
      <c r="C981" s="292">
        <v>42790</v>
      </c>
      <c r="D981" s="292" t="s">
        <v>867</v>
      </c>
      <c r="E981" s="292">
        <f t="shared" si="185"/>
        <v>42790</v>
      </c>
      <c r="F981" s="67" t="s">
        <v>1143</v>
      </c>
      <c r="G981" s="925" t="s">
        <v>1152</v>
      </c>
      <c r="H981" s="294" t="s">
        <v>796</v>
      </c>
      <c r="I981" s="373"/>
      <c r="J981" s="926"/>
      <c r="K981" s="373"/>
      <c r="L981" s="379"/>
      <c r="M981" s="927">
        <v>1717850</v>
      </c>
      <c r="N981" s="295" t="s">
        <v>9</v>
      </c>
      <c r="O981" s="295" t="s">
        <v>8</v>
      </c>
      <c r="P981" s="75" t="str">
        <f>IF(AND('331-CT'!$E$7=TH!H981,OR(N981="331",O981="331")),"x","")</f>
        <v/>
      </c>
      <c r="Q981" s="75" t="str">
        <f>IF(AND(B981='111'!$L$11,OR($N981=$Q$7,$O981=$Q$7)),"x","")</f>
        <v/>
      </c>
      <c r="R981" s="75" t="str">
        <f>IF(AND($N981=$Q$7,$B981&lt;'111'!$L$11),"x","")</f>
        <v/>
      </c>
      <c r="S981" s="75" t="str">
        <f>IF(AND($O981=$Q$7,$B981&lt;'111'!$L$11),"x","")</f>
        <v/>
      </c>
      <c r="T981" s="75" t="str">
        <f>IF(ISERROR(FIND('112'!$M$9,G981,1)),"",IF((AND(FIND('112'!$M$9,G981,1)&gt;=1,B981='112'!$K$9,OR($N981='112'!$I$6,$O981='112'!$I$6))),"x",""))</f>
        <v/>
      </c>
      <c r="U981" s="75" t="str">
        <f>IF(ISERROR(FIND('112'!$M$9,G981,1)),"",IF((AND(LEFT(G981,2)=LEFT('112'!$M$9,2),B981&lt;'112'!$K$9,$N981='112'!$I$6)),"x",""))</f>
        <v/>
      </c>
      <c r="V981" s="75" t="str">
        <f>IF(ISERROR(FIND('112'!$M$9,G981,1)),"",IF((AND(RIGHT(G981,2)=RIGHT('112'!$M$9,2),B981&lt;'112'!$K$9,$O981='112'!$I$6)),"x",""))</f>
        <v/>
      </c>
      <c r="W981" s="75" t="str">
        <f>IF(AND('341-CT'!$H$9=H981,OR(LEFT(N981,3)=$W$7,LEFT(O981,3)=$W$7)),"x","")</f>
        <v/>
      </c>
      <c r="X981" s="75" t="str">
        <f>IF(OR(TH!N981=TH!$X$7,O981=TH!$X$7),"x","")</f>
        <v/>
      </c>
      <c r="Y981" s="75" t="str">
        <f>IF(AND(OR(N981="131",O981="131"),H981='131-CT'!$H$9),"x","")</f>
        <v/>
      </c>
      <c r="Z981" s="75"/>
      <c r="AA981" s="75" t="str">
        <f>IF(AND(MONTH(E981)='IN-NX'!$J$5,'IN-NX'!$D$7=D981),"x","")</f>
        <v/>
      </c>
      <c r="AB981" s="75" t="str">
        <f>IF(AND(OR(LEFT(TH!N981,2)="15",LEFT(TH!O981,2)="15"),LEFT(TH!O981,3)&lt;&gt;"111",'152-CT'!$J$8=TH!F981),"x","")</f>
        <v/>
      </c>
      <c r="AC981" s="75" t="str">
        <f>IF(AND(OR(LEFT(TH!N981,2)="15",LEFT(TH!O981,2)="15"),TK!$E$7=TH!F981),"x","")</f>
        <v/>
      </c>
      <c r="AD981" s="75" t="str">
        <f>IF(AND(N981="1521",MONTH(C981)='BK-NL'!$M$11),"x","")</f>
        <v/>
      </c>
    </row>
    <row r="982" spans="1:30" s="1053" customFormat="1" ht="16.5" customHeight="1">
      <c r="A982" s="309" t="str">
        <f>IF(B982&lt;&gt;"",IF(AND(B982='IN-TC'!$S$4,OR(TH!N982="1111",TH!O982="1111")),TH!D982,""),"")</f>
        <v/>
      </c>
      <c r="B982" s="1131">
        <f t="shared" si="184"/>
        <v>2</v>
      </c>
      <c r="C982" s="292">
        <v>42793</v>
      </c>
      <c r="D982" s="292" t="s">
        <v>1352</v>
      </c>
      <c r="E982" s="292">
        <f t="shared" si="185"/>
        <v>42793</v>
      </c>
      <c r="F982" s="432" t="s">
        <v>368</v>
      </c>
      <c r="G982" s="925" t="s">
        <v>1098</v>
      </c>
      <c r="H982" s="311" t="s">
        <v>558</v>
      </c>
      <c r="I982" s="373">
        <v>1000</v>
      </c>
      <c r="J982" s="926">
        <v>6000</v>
      </c>
      <c r="K982" s="373"/>
      <c r="L982" s="379"/>
      <c r="M982" s="927">
        <f>I982*J982</f>
        <v>6000000</v>
      </c>
      <c r="N982" s="295" t="s">
        <v>266</v>
      </c>
      <c r="O982" s="295" t="s">
        <v>8</v>
      </c>
      <c r="P982" s="75" t="str">
        <f>IF(AND('331-CT'!$E$7=TH!H982,OR(N982="331",O982="331")),"x","")</f>
        <v/>
      </c>
      <c r="Q982" s="75" t="str">
        <f>IF(AND(B982='111'!$L$11,OR($N982=$Q$7,$O982=$Q$7)),"x","")</f>
        <v/>
      </c>
      <c r="R982" s="75" t="str">
        <f>IF(AND($N982=$Q$7,$B982&lt;'111'!$L$11),"x","")</f>
        <v/>
      </c>
      <c r="S982" s="75" t="str">
        <f>IF(AND($O982=$Q$7,$B982&lt;'111'!$L$11),"x","")</f>
        <v/>
      </c>
      <c r="T982" s="75" t="str">
        <f>IF(ISERROR(FIND('112'!$M$9,G982,1)),"",IF((AND(FIND('112'!$M$9,G982,1)&gt;=1,B982='112'!$K$9,OR($N982='112'!$I$6,$O982='112'!$I$6))),"x",""))</f>
        <v/>
      </c>
      <c r="U982" s="75" t="str">
        <f>IF(ISERROR(FIND('112'!$M$9,G982,1)),"",IF((AND(LEFT(G982,2)=LEFT('112'!$M$9,2),B982&lt;'112'!$K$9,$N982='112'!$I$6)),"x",""))</f>
        <v/>
      </c>
      <c r="V982" s="75" t="str">
        <f>IF(ISERROR(FIND('112'!$M$9,G982,1)),"",IF((AND(RIGHT(G982,2)=RIGHT('112'!$M$9,2),B982&lt;'112'!$K$9,$O982='112'!$I$6)),"x",""))</f>
        <v/>
      </c>
      <c r="W982" s="75" t="str">
        <f>IF(AND('341-CT'!$H$9=H982,OR(LEFT(N982,3)=$W$7,LEFT(O982,3)=$W$7)),"x","")</f>
        <v/>
      </c>
      <c r="X982" s="75" t="str">
        <f>IF(OR(TH!N982=TH!$X$7,O982=TH!$X$7),"x","")</f>
        <v/>
      </c>
      <c r="Y982" s="75" t="str">
        <f>IF(AND(OR(N982="131",O982="131"),H982='131-CT'!$H$9),"x","")</f>
        <v/>
      </c>
      <c r="Z982" s="75"/>
      <c r="AA982" s="75" t="str">
        <f>IF(AND(MONTH(E982)='IN-NX'!$J$5,'IN-NX'!$D$7=D982),"x","")</f>
        <v/>
      </c>
      <c r="AB982" s="75" t="str">
        <f>IF(AND(OR(LEFT(TH!N982,2)="15",LEFT(TH!O982,2)="15"),LEFT(TH!O982,3)&lt;&gt;"111",'152-CT'!$J$8=TH!F982),"x","")</f>
        <v/>
      </c>
      <c r="AC982" s="75" t="str">
        <f>IF(AND(OR(LEFT(TH!N982,2)="15",LEFT(TH!O982,2)="15"),TK!$E$7=TH!F982),"x","")</f>
        <v/>
      </c>
      <c r="AD982" s="75" t="str">
        <f>IF(AND(N982="1521",MONTH(C982)='BK-NL'!$M$11),"x","")</f>
        <v/>
      </c>
    </row>
    <row r="983" spans="1:30" s="1053" customFormat="1" ht="16.5" customHeight="1">
      <c r="A983" s="309" t="str">
        <f>IF(B983&lt;&gt;"",IF(AND(B983='IN-TC'!$S$4,OR(TH!N983="1111",TH!O983="1111")),TH!D983,""),"")</f>
        <v/>
      </c>
      <c r="B983" s="1131">
        <f t="shared" si="184"/>
        <v>2</v>
      </c>
      <c r="C983" s="292">
        <v>42793</v>
      </c>
      <c r="D983" s="292" t="s">
        <v>1352</v>
      </c>
      <c r="E983" s="292">
        <f t="shared" si="185"/>
        <v>42793</v>
      </c>
      <c r="F983" s="432" t="s">
        <v>781</v>
      </c>
      <c r="G983" s="925" t="s">
        <v>1098</v>
      </c>
      <c r="H983" s="311" t="s">
        <v>558</v>
      </c>
      <c r="I983" s="373">
        <v>1020</v>
      </c>
      <c r="J983" s="926">
        <v>14200</v>
      </c>
      <c r="K983" s="373"/>
      <c r="L983" s="379"/>
      <c r="M983" s="927">
        <f>I983*J983</f>
        <v>14484000</v>
      </c>
      <c r="N983" s="295" t="s">
        <v>266</v>
      </c>
      <c r="O983" s="295" t="s">
        <v>8</v>
      </c>
      <c r="P983" s="75" t="str">
        <f>IF(AND('331-CT'!$E$7=TH!H983,OR(N983="331",O983="331")),"x","")</f>
        <v/>
      </c>
      <c r="Q983" s="75" t="str">
        <f>IF(AND(B983='111'!$L$11,OR($N983=$Q$7,$O983=$Q$7)),"x","")</f>
        <v/>
      </c>
      <c r="R983" s="75" t="str">
        <f>IF(AND($N983=$Q$7,$B983&lt;'111'!$L$11),"x","")</f>
        <v/>
      </c>
      <c r="S983" s="75" t="str">
        <f>IF(AND($O983=$Q$7,$B983&lt;'111'!$L$11),"x","")</f>
        <v/>
      </c>
      <c r="T983" s="75" t="str">
        <f>IF(ISERROR(FIND('112'!$M$9,G983,1)),"",IF((AND(FIND('112'!$M$9,G983,1)&gt;=1,B983='112'!$K$9,OR($N983='112'!$I$6,$O983='112'!$I$6))),"x",""))</f>
        <v/>
      </c>
      <c r="U983" s="75" t="str">
        <f>IF(ISERROR(FIND('112'!$M$9,G983,1)),"",IF((AND(LEFT(G983,2)=LEFT('112'!$M$9,2),B983&lt;'112'!$K$9,$N983='112'!$I$6)),"x",""))</f>
        <v/>
      </c>
      <c r="V983" s="75" t="str">
        <f>IF(ISERROR(FIND('112'!$M$9,G983,1)),"",IF((AND(RIGHT(G983,2)=RIGHT('112'!$M$9,2),B983&lt;'112'!$K$9,$O983='112'!$I$6)),"x",""))</f>
        <v/>
      </c>
      <c r="W983" s="75" t="str">
        <f>IF(AND('341-CT'!$H$9=H983,OR(LEFT(N983,3)=$W$7,LEFT(O983,3)=$W$7)),"x","")</f>
        <v/>
      </c>
      <c r="X983" s="75" t="str">
        <f>IF(OR(TH!N983=TH!$X$7,O983=TH!$X$7),"x","")</f>
        <v/>
      </c>
      <c r="Y983" s="75" t="str">
        <f>IF(AND(OR(N983="131",O983="131"),H983='131-CT'!$H$9),"x","")</f>
        <v/>
      </c>
      <c r="Z983" s="75"/>
      <c r="AA983" s="75" t="str">
        <f>IF(AND(MONTH(E983)='IN-NX'!$J$5,'IN-NX'!$D$7=D983),"x","")</f>
        <v/>
      </c>
      <c r="AB983" s="75" t="str">
        <f>IF(AND(OR(LEFT(TH!N983,2)="15",LEFT(TH!O983,2)="15"),LEFT(TH!O983,3)&lt;&gt;"111",'152-CT'!$J$8=TH!F983),"x","")</f>
        <v/>
      </c>
      <c r="AC983" s="75" t="str">
        <f>IF(AND(OR(LEFT(TH!N983,2)="15",LEFT(TH!O983,2)="15"),TK!$E$7=TH!F983),"x","")</f>
        <v/>
      </c>
      <c r="AD983" s="75" t="str">
        <f>IF(AND(N983="1521",MONTH(C983)='BK-NL'!$M$11),"x","")</f>
        <v/>
      </c>
    </row>
    <row r="984" spans="1:30" s="1053" customFormat="1" ht="16.5" customHeight="1">
      <c r="A984" s="309" t="str">
        <f>IF(B984&lt;&gt;"",IF(AND(B984='IN-TC'!$S$4,OR(TH!N984="1111",TH!O984="1111")),TH!D984,""),"")</f>
        <v/>
      </c>
      <c r="B984" s="1131">
        <f t="shared" si="184"/>
        <v>2</v>
      </c>
      <c r="C984" s="292">
        <v>42793</v>
      </c>
      <c r="D984" s="292" t="s">
        <v>1352</v>
      </c>
      <c r="E984" s="292">
        <f t="shared" si="185"/>
        <v>42793</v>
      </c>
      <c r="F984" s="67" t="s">
        <v>832</v>
      </c>
      <c r="G984" s="925" t="s">
        <v>1098</v>
      </c>
      <c r="H984" s="311" t="s">
        <v>558</v>
      </c>
      <c r="I984" s="373"/>
      <c r="J984" s="379"/>
      <c r="K984" s="373"/>
      <c r="L984" s="379"/>
      <c r="M984" s="927">
        <v>2048400</v>
      </c>
      <c r="N984" s="295" t="s">
        <v>9</v>
      </c>
      <c r="O984" s="295" t="s">
        <v>8</v>
      </c>
      <c r="P984" s="75" t="str">
        <f>IF(AND('331-CT'!$E$7=TH!H984,OR(N984="331",O984="331")),"x","")</f>
        <v/>
      </c>
      <c r="Q984" s="75" t="str">
        <f>IF(AND(B984='111'!$L$11,OR($N984=$Q$7,$O984=$Q$7)),"x","")</f>
        <v/>
      </c>
      <c r="R984" s="75" t="str">
        <f>IF(AND($N984=$Q$7,$B984&lt;'111'!$L$11),"x","")</f>
        <v/>
      </c>
      <c r="S984" s="75" t="str">
        <f>IF(AND($O984=$Q$7,$B984&lt;'111'!$L$11),"x","")</f>
        <v/>
      </c>
      <c r="T984" s="75" t="str">
        <f>IF(ISERROR(FIND('112'!$M$9,G984,1)),"",IF((AND(FIND('112'!$M$9,G984,1)&gt;=1,B984='112'!$K$9,OR($N984='112'!$I$6,$O984='112'!$I$6))),"x",""))</f>
        <v/>
      </c>
      <c r="U984" s="75" t="str">
        <f>IF(ISERROR(FIND('112'!$M$9,G984,1)),"",IF((AND(LEFT(G984,2)=LEFT('112'!$M$9,2),B984&lt;'112'!$K$9,$N984='112'!$I$6)),"x",""))</f>
        <v/>
      </c>
      <c r="V984" s="75" t="str">
        <f>IF(ISERROR(FIND('112'!$M$9,G984,1)),"",IF((AND(RIGHT(G984,2)=RIGHT('112'!$M$9,2),B984&lt;'112'!$K$9,$O984='112'!$I$6)),"x",""))</f>
        <v/>
      </c>
      <c r="W984" s="75" t="str">
        <f>IF(AND('341-CT'!$H$9=H984,OR(LEFT(N984,3)=$W$7,LEFT(O984,3)=$W$7)),"x","")</f>
        <v/>
      </c>
      <c r="X984" s="75" t="str">
        <f>IF(OR(TH!N984=TH!$X$7,O984=TH!$X$7),"x","")</f>
        <v/>
      </c>
      <c r="Y984" s="75" t="str">
        <f>IF(AND(OR(N984="131",O984="131"),H984='131-CT'!$H$9),"x","")</f>
        <v/>
      </c>
      <c r="Z984" s="75"/>
      <c r="AA984" s="75" t="str">
        <f>IF(AND(MONTH(E984)='IN-NX'!$J$5,'IN-NX'!$D$7=D984),"x","")</f>
        <v/>
      </c>
      <c r="AB984" s="75" t="str">
        <f>IF(AND(OR(LEFT(TH!N984,2)="15",LEFT(TH!O984,2)="15"),LEFT(TH!O984,3)&lt;&gt;"111",'152-CT'!$J$8=TH!F984),"x","")</f>
        <v/>
      </c>
      <c r="AC984" s="75" t="str">
        <f>IF(AND(OR(LEFT(TH!N984,2)="15",LEFT(TH!O984,2)="15"),TK!$E$7=TH!F984),"x","")</f>
        <v/>
      </c>
      <c r="AD984" s="75" t="str">
        <f>IF(AND(N984="1521",MONTH(C984)='BK-NL'!$M$11),"x","")</f>
        <v/>
      </c>
    </row>
    <row r="985" spans="1:30" ht="16.5" customHeight="1">
      <c r="A985" s="309" t="str">
        <f>IF(B985&lt;&gt;"",IF(AND(B985='IN-TC'!$S$4,OR(TH!N985="1111",TH!O985="1111")),TH!D985,""),"")</f>
        <v/>
      </c>
      <c r="B985" s="1131">
        <f t="shared" si="184"/>
        <v>2</v>
      </c>
      <c r="C985" s="929">
        <f t="shared" ref="C985:C994" si="186">E985</f>
        <v>42767</v>
      </c>
      <c r="D985" s="929" t="s">
        <v>2951</v>
      </c>
      <c r="E985" s="929">
        <v>42767</v>
      </c>
      <c r="F985" s="1082" t="s">
        <v>341</v>
      </c>
      <c r="G985" s="931"/>
      <c r="H985" s="735" t="s">
        <v>424</v>
      </c>
      <c r="I985" s="371">
        <v>500</v>
      </c>
      <c r="J985" s="377">
        <v>3000</v>
      </c>
      <c r="K985" s="371"/>
      <c r="L985" s="377"/>
      <c r="M985" s="933">
        <f t="shared" ref="M985:M994" si="187">ROUND(I985*J985,0)</f>
        <v>1500000</v>
      </c>
      <c r="N985" s="934" t="s">
        <v>272</v>
      </c>
      <c r="O985" s="934" t="s">
        <v>266</v>
      </c>
      <c r="P985" s="75" t="str">
        <f>IF(AND('331-CT'!$E$7=TH!H985,OR(N985="331",O985="331")),"x","")</f>
        <v/>
      </c>
      <c r="Q985" s="75" t="str">
        <f>IF(AND(B985='111'!$L$11,OR($N985=$Q$7,$O985=$Q$7)),"x","")</f>
        <v/>
      </c>
      <c r="R985" s="75" t="str">
        <f>IF(AND($N985=$Q$7,$B985&lt;'111'!$L$11),"x","")</f>
        <v/>
      </c>
      <c r="S985" s="75" t="str">
        <f>IF(AND($O985=$Q$7,$B985&lt;'111'!$L$11),"x","")</f>
        <v/>
      </c>
      <c r="T985" s="75" t="str">
        <f>IF(ISERROR(FIND('112'!$M$9,G985,1)),"",IF((AND(FIND('112'!$M$9,G985,1)&gt;=1,B985='112'!$K$9,OR($N985='112'!$I$6,$O985='112'!$I$6))),"x",""))</f>
        <v/>
      </c>
      <c r="U985" s="75" t="str">
        <f>IF(ISERROR(FIND('112'!$M$9,G985,1)),"",IF((AND(LEFT(G985,2)=LEFT('112'!$M$9,2),B985&lt;'112'!$K$9,$N985='112'!$I$6)),"x",""))</f>
        <v/>
      </c>
      <c r="V985" s="75" t="str">
        <f>IF(ISERROR(FIND('112'!$M$9,G985,1)),"",IF((AND(RIGHT(G985,2)=RIGHT('112'!$M$9,2),B985&lt;'112'!$K$9,$O985='112'!$I$6)),"x",""))</f>
        <v/>
      </c>
      <c r="W985" s="75" t="str">
        <f>IF(AND('341-CT'!$H$9=H985,OR(LEFT(N985,3)=$W$7,LEFT(O985,3)=$W$7)),"x","")</f>
        <v/>
      </c>
      <c r="X985" s="75" t="str">
        <f>IF(OR(TH!N985=TH!$X$7,O985=TH!$X$7),"x","")</f>
        <v/>
      </c>
      <c r="Y985" s="75" t="str">
        <f>IF(AND(OR(N985="131",O985="131"),H985='131-CT'!$H$9),"x","")</f>
        <v/>
      </c>
      <c r="Z985" s="75"/>
      <c r="AA985" s="75" t="str">
        <f>IF(AND(MONTH(E985)='IN-NX'!$J$5,'IN-NX'!$D$7=D985),"x","")</f>
        <v/>
      </c>
      <c r="AB985" s="75" t="str">
        <f>IF(AND(OR(LEFT(TH!N985,2)="15",LEFT(TH!O985,2)="15"),LEFT(TH!O985,3)&lt;&gt;"111",'152-CT'!$J$8=TH!F985),"x","")</f>
        <v/>
      </c>
      <c r="AC985" s="75" t="str">
        <f>IF(AND(OR(LEFT(TH!N985,2)="15",LEFT(TH!O985,2)="15"),TK!$E$7=TH!F985),"x","")</f>
        <v/>
      </c>
      <c r="AD985" s="75" t="str">
        <f>IF(AND(N985="1521",MONTH(C985)='BK-NL'!$M$11),"x","")</f>
        <v/>
      </c>
    </row>
    <row r="986" spans="1:30" ht="16.5" customHeight="1">
      <c r="A986" s="309" t="str">
        <f>IF(B986&lt;&gt;"",IF(AND(B986='IN-TC'!$S$4,OR(TH!N986="1111",TH!O986="1111")),TH!D986,""),"")</f>
        <v/>
      </c>
      <c r="B986" s="1131">
        <f t="shared" si="184"/>
        <v>2</v>
      </c>
      <c r="C986" s="929">
        <f t="shared" si="186"/>
        <v>42767</v>
      </c>
      <c r="D986" s="929" t="s">
        <v>2951</v>
      </c>
      <c r="E986" s="929">
        <v>42767</v>
      </c>
      <c r="F986" s="296" t="s">
        <v>346</v>
      </c>
      <c r="G986" s="931"/>
      <c r="H986" s="735" t="s">
        <v>424</v>
      </c>
      <c r="I986" s="371">
        <v>200</v>
      </c>
      <c r="J986" s="377">
        <v>8700</v>
      </c>
      <c r="K986" s="371"/>
      <c r="L986" s="377"/>
      <c r="M986" s="933">
        <f t="shared" si="187"/>
        <v>1740000</v>
      </c>
      <c r="N986" s="934" t="s">
        <v>272</v>
      </c>
      <c r="O986" s="934" t="s">
        <v>266</v>
      </c>
      <c r="P986" s="75" t="str">
        <f>IF(AND('331-CT'!$E$7=TH!H986,OR(N986="331",O986="331")),"x","")</f>
        <v/>
      </c>
      <c r="Q986" s="75" t="str">
        <f>IF(AND(B986='111'!$L$11,OR($N986=$Q$7,$O986=$Q$7)),"x","")</f>
        <v/>
      </c>
      <c r="R986" s="75" t="str">
        <f>IF(AND($N986=$Q$7,$B986&lt;'111'!$L$11),"x","")</f>
        <v/>
      </c>
      <c r="S986" s="75" t="str">
        <f>IF(AND($O986=$Q$7,$B986&lt;'111'!$L$11),"x","")</f>
        <v/>
      </c>
      <c r="T986" s="75" t="str">
        <f>IF(ISERROR(FIND('112'!$M$9,G986,1)),"",IF((AND(FIND('112'!$M$9,G986,1)&gt;=1,B986='112'!$K$9,OR($N986='112'!$I$6,$O986='112'!$I$6))),"x",""))</f>
        <v/>
      </c>
      <c r="U986" s="75" t="str">
        <f>IF(ISERROR(FIND('112'!$M$9,G986,1)),"",IF((AND(LEFT(G986,2)=LEFT('112'!$M$9,2),B986&lt;'112'!$K$9,$N986='112'!$I$6)),"x",""))</f>
        <v/>
      </c>
      <c r="V986" s="75" t="str">
        <f>IF(ISERROR(FIND('112'!$M$9,G986,1)),"",IF((AND(RIGHT(G986,2)=RIGHT('112'!$M$9,2),B986&lt;'112'!$K$9,$O986='112'!$I$6)),"x",""))</f>
        <v/>
      </c>
      <c r="W986" s="75" t="str">
        <f>IF(AND('341-CT'!$H$9=H986,OR(LEFT(N986,3)=$W$7,LEFT(O986,3)=$W$7)),"x","")</f>
        <v/>
      </c>
      <c r="X986" s="75" t="str">
        <f>IF(OR(TH!N986=TH!$X$7,O986=TH!$X$7),"x","")</f>
        <v/>
      </c>
      <c r="Y986" s="75" t="str">
        <f>IF(AND(OR(N986="131",O986="131"),H986='131-CT'!$H$9),"x","")</f>
        <v/>
      </c>
      <c r="Z986" s="75"/>
      <c r="AA986" s="75" t="str">
        <f>IF(AND(MONTH(E986)='IN-NX'!$J$5,'IN-NX'!$D$7=D986),"x","")</f>
        <v/>
      </c>
      <c r="AB986" s="75" t="str">
        <f>IF(AND(OR(LEFT(TH!N986,2)="15",LEFT(TH!O986,2)="15"),LEFT(TH!O986,3)&lt;&gt;"111",'152-CT'!$J$8=TH!F986),"x","")</f>
        <v/>
      </c>
      <c r="AC986" s="75" t="str">
        <f>IF(AND(OR(LEFT(TH!N986,2)="15",LEFT(TH!O986,2)="15"),TK!$E$7=TH!F986),"x","")</f>
        <v/>
      </c>
      <c r="AD986" s="75" t="str">
        <f>IF(AND(N986="1521",MONTH(C986)='BK-NL'!$M$11),"x","")</f>
        <v/>
      </c>
    </row>
    <row r="987" spans="1:30" ht="16.5" customHeight="1">
      <c r="A987" s="309" t="str">
        <f>IF(B987&lt;&gt;"",IF(AND(B987='IN-TC'!$S$4,OR(TH!N987="1111",TH!O987="1111")),TH!D987,""),"")</f>
        <v/>
      </c>
      <c r="B987" s="1131">
        <f t="shared" si="184"/>
        <v>2</v>
      </c>
      <c r="C987" s="929">
        <f t="shared" si="186"/>
        <v>42781</v>
      </c>
      <c r="D987" s="929" t="s">
        <v>2951</v>
      </c>
      <c r="E987" s="929">
        <v>42781</v>
      </c>
      <c r="F987" s="296" t="s">
        <v>795</v>
      </c>
      <c r="G987" s="931"/>
      <c r="H987" s="735" t="s">
        <v>424</v>
      </c>
      <c r="I987" s="371">
        <v>1835</v>
      </c>
      <c r="J987" s="377">
        <v>7500</v>
      </c>
      <c r="K987" s="371"/>
      <c r="L987" s="377"/>
      <c r="M987" s="933">
        <f t="shared" si="187"/>
        <v>13762500</v>
      </c>
      <c r="N987" s="934" t="s">
        <v>272</v>
      </c>
      <c r="O987" s="934" t="s">
        <v>266</v>
      </c>
      <c r="P987" s="75" t="str">
        <f>IF(AND('331-CT'!$E$7=TH!H987,OR(N987="331",O987="331")),"x","")</f>
        <v/>
      </c>
      <c r="Q987" s="75" t="str">
        <f>IF(AND(B987='111'!$L$11,OR($N987=$Q$7,$O987=$Q$7)),"x","")</f>
        <v/>
      </c>
      <c r="R987" s="75" t="str">
        <f>IF(AND($N987=$Q$7,$B987&lt;'111'!$L$11),"x","")</f>
        <v/>
      </c>
      <c r="S987" s="75" t="str">
        <f>IF(AND($O987=$Q$7,$B987&lt;'111'!$L$11),"x","")</f>
        <v/>
      </c>
      <c r="T987" s="75" t="str">
        <f>IF(ISERROR(FIND('112'!$M$9,G987,1)),"",IF((AND(FIND('112'!$M$9,G987,1)&gt;=1,B987='112'!$K$9,OR($N987='112'!$I$6,$O987='112'!$I$6))),"x",""))</f>
        <v/>
      </c>
      <c r="U987" s="75" t="str">
        <f>IF(ISERROR(FIND('112'!$M$9,G987,1)),"",IF((AND(LEFT(G987,2)=LEFT('112'!$M$9,2),B987&lt;'112'!$K$9,$N987='112'!$I$6)),"x",""))</f>
        <v/>
      </c>
      <c r="V987" s="75" t="str">
        <f>IF(ISERROR(FIND('112'!$M$9,G987,1)),"",IF((AND(RIGHT(G987,2)=RIGHT('112'!$M$9,2),B987&lt;'112'!$K$9,$O987='112'!$I$6)),"x",""))</f>
        <v/>
      </c>
      <c r="W987" s="75" t="str">
        <f>IF(AND('341-CT'!$H$9=H987,OR(LEFT(N987,3)=$W$7,LEFT(O987,3)=$W$7)),"x","")</f>
        <v/>
      </c>
      <c r="X987" s="75" t="str">
        <f>IF(OR(TH!N987=TH!$X$7,O987=TH!$X$7),"x","")</f>
        <v/>
      </c>
      <c r="Y987" s="75" t="str">
        <f>IF(AND(OR(N987="131",O987="131"),H987='131-CT'!$H$9),"x","")</f>
        <v/>
      </c>
      <c r="Z987" s="75"/>
      <c r="AA987" s="75" t="str">
        <f>IF(AND(MONTH(E987)='IN-NX'!$J$5,'IN-NX'!$D$7=D987),"x","")</f>
        <v/>
      </c>
      <c r="AB987" s="75" t="str">
        <f>IF(AND(OR(LEFT(TH!N987,2)="15",LEFT(TH!O987,2)="15"),LEFT(TH!O987,3)&lt;&gt;"111",'152-CT'!$J$8=TH!F987),"x","")</f>
        <v/>
      </c>
      <c r="AC987" s="75" t="str">
        <f>IF(AND(OR(LEFT(TH!N987,2)="15",LEFT(TH!O987,2)="15"),TK!$E$7=TH!F987),"x","")</f>
        <v/>
      </c>
      <c r="AD987" s="75" t="str">
        <f>IF(AND(N987="1521",MONTH(C987)='BK-NL'!$M$11),"x","")</f>
        <v/>
      </c>
    </row>
    <row r="988" spans="1:30" ht="16.5" customHeight="1">
      <c r="A988" s="309" t="str">
        <f>IF(B988&lt;&gt;"",IF(AND(B988='IN-TC'!$S$4,OR(TH!N988="1111",TH!O988="1111")),TH!D988,""),"")</f>
        <v/>
      </c>
      <c r="B988" s="1131">
        <f t="shared" si="184"/>
        <v>2</v>
      </c>
      <c r="C988" s="929">
        <f t="shared" si="186"/>
        <v>42781</v>
      </c>
      <c r="D988" s="929" t="s">
        <v>2951</v>
      </c>
      <c r="E988" s="929">
        <v>42781</v>
      </c>
      <c r="F988" s="1082" t="s">
        <v>795</v>
      </c>
      <c r="G988" s="931"/>
      <c r="H988" s="735" t="s">
        <v>424</v>
      </c>
      <c r="I988" s="371">
        <v>9743</v>
      </c>
      <c r="J988" s="377">
        <v>8500</v>
      </c>
      <c r="K988" s="371"/>
      <c r="L988" s="377"/>
      <c r="M988" s="933">
        <f t="shared" si="187"/>
        <v>82815500</v>
      </c>
      <c r="N988" s="934" t="s">
        <v>272</v>
      </c>
      <c r="O988" s="934" t="s">
        <v>266</v>
      </c>
      <c r="P988" s="75" t="str">
        <f>IF(AND('331-CT'!$E$7=TH!H988,OR(N988="331",O988="331")),"x","")</f>
        <v/>
      </c>
      <c r="Q988" s="75" t="str">
        <f>IF(AND(B988='111'!$L$11,OR($N988=$Q$7,$O988=$Q$7)),"x","")</f>
        <v/>
      </c>
      <c r="R988" s="75" t="str">
        <f>IF(AND($N988=$Q$7,$B988&lt;'111'!$L$11),"x","")</f>
        <v/>
      </c>
      <c r="S988" s="75" t="str">
        <f>IF(AND($O988=$Q$7,$B988&lt;'111'!$L$11),"x","")</f>
        <v/>
      </c>
      <c r="T988" s="75" t="str">
        <f>IF(ISERROR(FIND('112'!$M$9,G988,1)),"",IF((AND(FIND('112'!$M$9,G988,1)&gt;=1,B988='112'!$K$9,OR($N988='112'!$I$6,$O988='112'!$I$6))),"x",""))</f>
        <v/>
      </c>
      <c r="U988" s="75" t="str">
        <f>IF(ISERROR(FIND('112'!$M$9,G988,1)),"",IF((AND(LEFT(G988,2)=LEFT('112'!$M$9,2),B988&lt;'112'!$K$9,$N988='112'!$I$6)),"x",""))</f>
        <v/>
      </c>
      <c r="V988" s="75" t="str">
        <f>IF(ISERROR(FIND('112'!$M$9,G988,1)),"",IF((AND(RIGHT(G988,2)=RIGHT('112'!$M$9,2),B988&lt;'112'!$K$9,$O988='112'!$I$6)),"x",""))</f>
        <v/>
      </c>
      <c r="W988" s="75" t="str">
        <f>IF(AND('341-CT'!$H$9=H988,OR(LEFT(N988,3)=$W$7,LEFT(O988,3)=$W$7)),"x","")</f>
        <v/>
      </c>
      <c r="X988" s="75" t="str">
        <f>IF(OR(TH!N988=TH!$X$7,O988=TH!$X$7),"x","")</f>
        <v/>
      </c>
      <c r="Y988" s="75" t="str">
        <f>IF(AND(OR(N988="131",O988="131"),H988='131-CT'!$H$9),"x","")</f>
        <v/>
      </c>
      <c r="Z988" s="75"/>
      <c r="AA988" s="75" t="str">
        <f>IF(AND(MONTH(E988)='IN-NX'!$J$5,'IN-NX'!$D$7=D988),"x","")</f>
        <v/>
      </c>
      <c r="AB988" s="75" t="str">
        <f>IF(AND(OR(LEFT(TH!N988,2)="15",LEFT(TH!O988,2)="15"),LEFT(TH!O988,3)&lt;&gt;"111",'152-CT'!$J$8=TH!F988),"x","")</f>
        <v/>
      </c>
      <c r="AC988" s="75" t="str">
        <f>IF(AND(OR(LEFT(TH!N988,2)="15",LEFT(TH!O988,2)="15"),TK!$E$7=TH!F988),"x","")</f>
        <v/>
      </c>
      <c r="AD988" s="75" t="str">
        <f>IF(AND(N988="1521",MONTH(C988)='BK-NL'!$M$11),"x","")</f>
        <v/>
      </c>
    </row>
    <row r="989" spans="1:30" ht="16.5" customHeight="1">
      <c r="A989" s="309" t="str">
        <f>IF(B989&lt;&gt;"",IF(AND(B989='IN-TC'!$S$4,OR(TH!N989="1111",TH!O989="1111")),TH!D989,""),"")</f>
        <v/>
      </c>
      <c r="B989" s="1131">
        <f t="shared" ref="B989:B994" si="188">IF(C989&lt;&gt;"",MONTH(C989),"")</f>
        <v>2</v>
      </c>
      <c r="C989" s="292">
        <f t="shared" si="186"/>
        <v>42767</v>
      </c>
      <c r="D989" s="292" t="s">
        <v>2957</v>
      </c>
      <c r="E989" s="292">
        <v>42767</v>
      </c>
      <c r="F989" s="429" t="s">
        <v>771</v>
      </c>
      <c r="G989" s="925"/>
      <c r="H989" s="67" t="s">
        <v>1887</v>
      </c>
      <c r="I989" s="373">
        <v>15570</v>
      </c>
      <c r="J989" s="379">
        <v>17500</v>
      </c>
      <c r="K989" s="373"/>
      <c r="L989" s="379"/>
      <c r="M989" s="927">
        <f t="shared" si="187"/>
        <v>272475000</v>
      </c>
      <c r="N989" s="295" t="s">
        <v>264</v>
      </c>
      <c r="O989" s="295" t="s">
        <v>8</v>
      </c>
      <c r="P989" s="75" t="str">
        <f>IF(AND('331-CT'!$E$7=TH!H989,OR(N989="331",O989="331")),"x","")</f>
        <v/>
      </c>
      <c r="Q989" s="75" t="str">
        <f>IF(AND(B989='111'!$L$11,OR($N989=$Q$7,$O989=$Q$7)),"x","")</f>
        <v/>
      </c>
      <c r="R989" s="75" t="str">
        <f>IF(AND($N989=$Q$7,$B989&lt;'111'!$L$11),"x","")</f>
        <v/>
      </c>
      <c r="S989" s="75" t="str">
        <f>IF(AND($O989=$Q$7,$B989&lt;'111'!$L$11),"x","")</f>
        <v/>
      </c>
      <c r="T989" s="75" t="str">
        <f>IF(ISERROR(FIND('112'!$M$9,G989,1)),"",IF((AND(FIND('112'!$M$9,G989,1)&gt;=1,B989='112'!$K$9,OR($N989='112'!$I$6,$O989='112'!$I$6))),"x",""))</f>
        <v/>
      </c>
      <c r="U989" s="75" t="str">
        <f>IF(ISERROR(FIND('112'!$M$9,G989,1)),"",IF((AND(LEFT(G989,2)=LEFT('112'!$M$9,2),B989&lt;'112'!$K$9,$N989='112'!$I$6)),"x",""))</f>
        <v/>
      </c>
      <c r="V989" s="75" t="str">
        <f>IF(ISERROR(FIND('112'!$M$9,G989,1)),"",IF((AND(RIGHT(G989,2)=RIGHT('112'!$M$9,2),B989&lt;'112'!$K$9,$O989='112'!$I$6)),"x",""))</f>
        <v/>
      </c>
      <c r="W989" s="75" t="str">
        <f>IF(AND('341-CT'!$H$9=H989,OR(LEFT(N989,3)=$W$7,LEFT(O989,3)=$W$7)),"x","")</f>
        <v/>
      </c>
      <c r="X989" s="75" t="str">
        <f>IF(OR(TH!N989=TH!$X$7,O989=TH!$X$7),"x","")</f>
        <v/>
      </c>
      <c r="Y989" s="75" t="str">
        <f>IF(AND(OR(N989="131",O989="131"),H989='131-CT'!$H$9),"x","")</f>
        <v/>
      </c>
      <c r="Z989" s="75"/>
      <c r="AA989" s="75" t="str">
        <f>IF(AND(MONTH(E989)='IN-NX'!$J$5,'IN-NX'!$D$7=D989),"x","")</f>
        <v/>
      </c>
      <c r="AB989" s="75" t="str">
        <f>IF(AND(OR(LEFT(TH!N989,2)="15",LEFT(TH!O989,2)="15"),LEFT(TH!O989,3)&lt;&gt;"111",'152-CT'!$J$8=TH!F989),"x","")</f>
        <v/>
      </c>
      <c r="AC989" s="75" t="str">
        <f>IF(AND(OR(LEFT(TH!N989,2)="15",LEFT(TH!O989,2)="15"),TK!$E$7=TH!F989),"x","")</f>
        <v/>
      </c>
      <c r="AD989" s="75" t="str">
        <f>IF(AND(N989="1521",MONTH(C989)='BK-NL'!$M$11),"x","")</f>
        <v/>
      </c>
    </row>
    <row r="990" spans="1:30" ht="16.5" customHeight="1">
      <c r="A990" s="309" t="str">
        <f>IF(B990&lt;&gt;"",IF(AND(B990='IN-TC'!$S$4,OR(TH!N990="1111",TH!O990="1111")),TH!D990,""),"")</f>
        <v/>
      </c>
      <c r="B990" s="1131">
        <f t="shared" si="188"/>
        <v>2</v>
      </c>
      <c r="C990" s="292">
        <f t="shared" si="186"/>
        <v>42767</v>
      </c>
      <c r="D990" s="292" t="s">
        <v>2958</v>
      </c>
      <c r="E990" s="292">
        <v>42767</v>
      </c>
      <c r="F990" s="429" t="s">
        <v>771</v>
      </c>
      <c r="G990" s="925"/>
      <c r="H990" s="67" t="s">
        <v>1886</v>
      </c>
      <c r="I990" s="373">
        <v>15680</v>
      </c>
      <c r="J990" s="379">
        <v>17500</v>
      </c>
      <c r="K990" s="373"/>
      <c r="L990" s="379"/>
      <c r="M990" s="927">
        <f t="shared" si="187"/>
        <v>274400000</v>
      </c>
      <c r="N990" s="295" t="s">
        <v>264</v>
      </c>
      <c r="O990" s="295" t="s">
        <v>8</v>
      </c>
      <c r="P990" s="75" t="str">
        <f>IF(AND('331-CT'!$E$7=TH!H990,OR(N990="331",O990="331")),"x","")</f>
        <v>x</v>
      </c>
      <c r="Q990" s="75" t="str">
        <f>IF(AND(B990='111'!$L$11,OR($N990=$Q$7,$O990=$Q$7)),"x","")</f>
        <v/>
      </c>
      <c r="R990" s="75" t="str">
        <f>IF(AND($N990=$Q$7,$B990&lt;'111'!$L$11),"x","")</f>
        <v/>
      </c>
      <c r="S990" s="75" t="str">
        <f>IF(AND($O990=$Q$7,$B990&lt;'111'!$L$11),"x","")</f>
        <v/>
      </c>
      <c r="T990" s="75" t="str">
        <f>IF(ISERROR(FIND('112'!$M$9,G990,1)),"",IF((AND(FIND('112'!$M$9,G990,1)&gt;=1,B990='112'!$K$9,OR($N990='112'!$I$6,$O990='112'!$I$6))),"x",""))</f>
        <v/>
      </c>
      <c r="U990" s="75" t="str">
        <f>IF(ISERROR(FIND('112'!$M$9,G990,1)),"",IF((AND(LEFT(G990,2)=LEFT('112'!$M$9,2),B990&lt;'112'!$K$9,$N990='112'!$I$6)),"x",""))</f>
        <v/>
      </c>
      <c r="V990" s="75" t="str">
        <f>IF(ISERROR(FIND('112'!$M$9,G990,1)),"",IF((AND(RIGHT(G990,2)=RIGHT('112'!$M$9,2),B990&lt;'112'!$K$9,$O990='112'!$I$6)),"x",""))</f>
        <v/>
      </c>
      <c r="W990" s="75" t="str">
        <f>IF(AND('341-CT'!$H$9=H990,OR(LEFT(N990,3)=$W$7,LEFT(O990,3)=$W$7)),"x","")</f>
        <v/>
      </c>
      <c r="X990" s="75" t="str">
        <f>IF(OR(TH!N990=TH!$X$7,O990=TH!$X$7),"x","")</f>
        <v/>
      </c>
      <c r="Y990" s="75" t="str">
        <f>IF(AND(OR(N990="131",O990="131"),H990='131-CT'!$H$9),"x","")</f>
        <v/>
      </c>
      <c r="Z990" s="75"/>
      <c r="AA990" s="75" t="str">
        <f>IF(AND(MONTH(E990)='IN-NX'!$J$5,'IN-NX'!$D$7=D990),"x","")</f>
        <v/>
      </c>
      <c r="AB990" s="75" t="str">
        <f>IF(AND(OR(LEFT(TH!N990,2)="15",LEFT(TH!O990,2)="15"),LEFT(TH!O990,3)&lt;&gt;"111",'152-CT'!$J$8=TH!F990),"x","")</f>
        <v/>
      </c>
      <c r="AC990" s="75" t="str">
        <f>IF(AND(OR(LEFT(TH!N990,2)="15",LEFT(TH!O990,2)="15"),TK!$E$7=TH!F990),"x","")</f>
        <v/>
      </c>
      <c r="AD990" s="75" t="str">
        <f>IF(AND(N990="1521",MONTH(C990)='BK-NL'!$M$11),"x","")</f>
        <v/>
      </c>
    </row>
    <row r="991" spans="1:30" ht="16.5" customHeight="1">
      <c r="A991" s="309" t="str">
        <f>IF(B991&lt;&gt;"",IF(AND(B991='IN-TC'!$S$4,OR(TH!N991="1111",TH!O991="1111")),TH!D991,""),"")</f>
        <v/>
      </c>
      <c r="B991" s="1131">
        <f t="shared" si="188"/>
        <v>2</v>
      </c>
      <c r="C991" s="292">
        <f t="shared" si="186"/>
        <v>42767</v>
      </c>
      <c r="D991" s="292" t="s">
        <v>2959</v>
      </c>
      <c r="E991" s="292">
        <v>42767</v>
      </c>
      <c r="F991" s="429" t="s">
        <v>771</v>
      </c>
      <c r="G991" s="925"/>
      <c r="H991" s="67" t="s">
        <v>1890</v>
      </c>
      <c r="I991" s="373">
        <v>15478</v>
      </c>
      <c r="J991" s="379">
        <v>17500</v>
      </c>
      <c r="K991" s="373"/>
      <c r="L991" s="379"/>
      <c r="M991" s="927">
        <f t="shared" si="187"/>
        <v>270865000</v>
      </c>
      <c r="N991" s="295" t="s">
        <v>264</v>
      </c>
      <c r="O991" s="295" t="s">
        <v>8</v>
      </c>
      <c r="P991" s="75" t="str">
        <f>IF(AND('331-CT'!$E$7=TH!H991,OR(N991="331",O991="331")),"x","")</f>
        <v/>
      </c>
      <c r="Q991" s="75" t="str">
        <f>IF(AND(B991='111'!$L$11,OR($N991=$Q$7,$O991=$Q$7)),"x","")</f>
        <v/>
      </c>
      <c r="R991" s="75" t="str">
        <f>IF(AND($N991=$Q$7,$B991&lt;'111'!$L$11),"x","")</f>
        <v/>
      </c>
      <c r="S991" s="75" t="str">
        <f>IF(AND($O991=$Q$7,$B991&lt;'111'!$L$11),"x","")</f>
        <v/>
      </c>
      <c r="T991" s="75" t="str">
        <f>IF(ISERROR(FIND('112'!$M$9,G991,1)),"",IF((AND(FIND('112'!$M$9,G991,1)&gt;=1,B991='112'!$K$9,OR($N991='112'!$I$6,$O991='112'!$I$6))),"x",""))</f>
        <v/>
      </c>
      <c r="U991" s="75" t="str">
        <f>IF(ISERROR(FIND('112'!$M$9,G991,1)),"",IF((AND(LEFT(G991,2)=LEFT('112'!$M$9,2),B991&lt;'112'!$K$9,$N991='112'!$I$6)),"x",""))</f>
        <v/>
      </c>
      <c r="V991" s="75" t="str">
        <f>IF(ISERROR(FIND('112'!$M$9,G991,1)),"",IF((AND(RIGHT(G991,2)=RIGHT('112'!$M$9,2),B991&lt;'112'!$K$9,$O991='112'!$I$6)),"x",""))</f>
        <v/>
      </c>
      <c r="W991" s="75" t="str">
        <f>IF(AND('341-CT'!$H$9=H991,OR(LEFT(N991,3)=$W$7,LEFT(O991,3)=$W$7)),"x","")</f>
        <v/>
      </c>
      <c r="X991" s="75" t="str">
        <f>IF(OR(TH!N991=TH!$X$7,O991=TH!$X$7),"x","")</f>
        <v/>
      </c>
      <c r="Y991" s="75" t="str">
        <f>IF(AND(OR(N991="131",O991="131"),H991='131-CT'!$H$9),"x","")</f>
        <v/>
      </c>
      <c r="Z991" s="75"/>
      <c r="AA991" s="75" t="str">
        <f>IF(AND(MONTH(E991)='IN-NX'!$J$5,'IN-NX'!$D$7=D991),"x","")</f>
        <v/>
      </c>
      <c r="AB991" s="75" t="str">
        <f>IF(AND(OR(LEFT(TH!N991,2)="15",LEFT(TH!O991,2)="15"),LEFT(TH!O991,3)&lt;&gt;"111",'152-CT'!$J$8=TH!F991),"x","")</f>
        <v/>
      </c>
      <c r="AC991" s="75" t="str">
        <f>IF(AND(OR(LEFT(TH!N991,2)="15",LEFT(TH!O991,2)="15"),TK!$E$7=TH!F991),"x","")</f>
        <v/>
      </c>
      <c r="AD991" s="75" t="str">
        <f>IF(AND(N991="1521",MONTH(C991)='BK-NL'!$M$11),"x","")</f>
        <v/>
      </c>
    </row>
    <row r="992" spans="1:30" ht="16.5" customHeight="1">
      <c r="A992" s="309" t="str">
        <f>IF(B992&lt;&gt;"",IF(AND(B992='IN-TC'!$S$4,OR(TH!N992="1111",TH!O992="1111")),TH!D992,""),"")</f>
        <v/>
      </c>
      <c r="B992" s="1131">
        <f t="shared" si="188"/>
        <v>2</v>
      </c>
      <c r="C992" s="292">
        <f t="shared" si="186"/>
        <v>42767</v>
      </c>
      <c r="D992" s="292" t="s">
        <v>2960</v>
      </c>
      <c r="E992" s="292">
        <v>42767</v>
      </c>
      <c r="F992" s="429" t="s">
        <v>771</v>
      </c>
      <c r="G992" s="925"/>
      <c r="H992" s="67" t="s">
        <v>1882</v>
      </c>
      <c r="I992" s="373">
        <v>15742</v>
      </c>
      <c r="J992" s="379">
        <v>17500</v>
      </c>
      <c r="K992" s="373"/>
      <c r="L992" s="379"/>
      <c r="M992" s="927">
        <f t="shared" si="187"/>
        <v>275485000</v>
      </c>
      <c r="N992" s="295" t="s">
        <v>264</v>
      </c>
      <c r="O992" s="295" t="s">
        <v>8</v>
      </c>
      <c r="P992" s="75" t="str">
        <f>IF(AND('331-CT'!$E$7=TH!H992,OR(N992="331",O992="331")),"x","")</f>
        <v/>
      </c>
      <c r="Q992" s="75" t="str">
        <f>IF(AND(B992='111'!$L$11,OR($N992=$Q$7,$O992=$Q$7)),"x","")</f>
        <v/>
      </c>
      <c r="R992" s="75" t="str">
        <f>IF(AND($N992=$Q$7,$B992&lt;'111'!$L$11),"x","")</f>
        <v/>
      </c>
      <c r="S992" s="75" t="str">
        <f>IF(AND($O992=$Q$7,$B992&lt;'111'!$L$11),"x","")</f>
        <v/>
      </c>
      <c r="T992" s="75" t="str">
        <f>IF(ISERROR(FIND('112'!$M$9,G992,1)),"",IF((AND(FIND('112'!$M$9,G992,1)&gt;=1,B992='112'!$K$9,OR($N992='112'!$I$6,$O992='112'!$I$6))),"x",""))</f>
        <v/>
      </c>
      <c r="U992" s="75" t="str">
        <f>IF(ISERROR(FIND('112'!$M$9,G992,1)),"",IF((AND(LEFT(G992,2)=LEFT('112'!$M$9,2),B992&lt;'112'!$K$9,$N992='112'!$I$6)),"x",""))</f>
        <v/>
      </c>
      <c r="V992" s="75" t="str">
        <f>IF(ISERROR(FIND('112'!$M$9,G992,1)),"",IF((AND(RIGHT(G992,2)=RIGHT('112'!$M$9,2),B992&lt;'112'!$K$9,$O992='112'!$I$6)),"x",""))</f>
        <v/>
      </c>
      <c r="W992" s="75" t="str">
        <f>IF(AND('341-CT'!$H$9=H992,OR(LEFT(N992,3)=$W$7,LEFT(O992,3)=$W$7)),"x","")</f>
        <v/>
      </c>
      <c r="X992" s="75" t="str">
        <f>IF(OR(TH!N992=TH!$X$7,O992=TH!$X$7),"x","")</f>
        <v/>
      </c>
      <c r="Y992" s="75" t="str">
        <f>IF(AND(OR(N992="131",O992="131"),H992='131-CT'!$H$9),"x","")</f>
        <v/>
      </c>
      <c r="Z992" s="75"/>
      <c r="AA992" s="75" t="str">
        <f>IF(AND(MONTH(E992)='IN-NX'!$J$5,'IN-NX'!$D$7=D992),"x","")</f>
        <v/>
      </c>
      <c r="AB992" s="75" t="str">
        <f>IF(AND(OR(LEFT(TH!N992,2)="15",LEFT(TH!O992,2)="15"),LEFT(TH!O992,3)&lt;&gt;"111",'152-CT'!$J$8=TH!F992),"x","")</f>
        <v/>
      </c>
      <c r="AC992" s="75" t="str">
        <f>IF(AND(OR(LEFT(TH!N992,2)="15",LEFT(TH!O992,2)="15"),TK!$E$7=TH!F992),"x","")</f>
        <v/>
      </c>
      <c r="AD992" s="75" t="str">
        <f>IF(AND(N992="1521",MONTH(C992)='BK-NL'!$M$11),"x","")</f>
        <v/>
      </c>
    </row>
    <row r="993" spans="1:30" ht="16.5" customHeight="1">
      <c r="A993" s="309" t="str">
        <f>IF(B993&lt;&gt;"",IF(AND(B993='IN-TC'!$S$4,OR(TH!N993="1111",TH!O993="1111")),TH!D993,""),"")</f>
        <v/>
      </c>
      <c r="B993" s="1131">
        <f t="shared" si="188"/>
        <v>2</v>
      </c>
      <c r="C993" s="292">
        <f t="shared" si="186"/>
        <v>42773</v>
      </c>
      <c r="D993" s="292" t="s">
        <v>2961</v>
      </c>
      <c r="E993" s="292">
        <v>42773</v>
      </c>
      <c r="F993" s="429" t="s">
        <v>771</v>
      </c>
      <c r="G993" s="925"/>
      <c r="H993" s="67" t="s">
        <v>1891</v>
      </c>
      <c r="I993" s="373">
        <v>15860</v>
      </c>
      <c r="J993" s="379">
        <v>17500</v>
      </c>
      <c r="K993" s="373"/>
      <c r="L993" s="379"/>
      <c r="M993" s="927">
        <f t="shared" si="187"/>
        <v>277550000</v>
      </c>
      <c r="N993" s="295" t="s">
        <v>264</v>
      </c>
      <c r="O993" s="295" t="s">
        <v>8</v>
      </c>
      <c r="P993" s="75" t="str">
        <f>IF(AND('331-CT'!$E$7=TH!H993,OR(N993="331",O993="331")),"x","")</f>
        <v/>
      </c>
      <c r="Q993" s="75" t="str">
        <f>IF(AND(B993='111'!$L$11,OR($N993=$Q$7,$O993=$Q$7)),"x","")</f>
        <v/>
      </c>
      <c r="R993" s="75" t="str">
        <f>IF(AND($N993=$Q$7,$B993&lt;'111'!$L$11),"x","")</f>
        <v/>
      </c>
      <c r="S993" s="75" t="str">
        <f>IF(AND($O993=$Q$7,$B993&lt;'111'!$L$11),"x","")</f>
        <v/>
      </c>
      <c r="T993" s="75" t="str">
        <f>IF(ISERROR(FIND('112'!$M$9,G993,1)),"",IF((AND(FIND('112'!$M$9,G993,1)&gt;=1,B993='112'!$K$9,OR($N993='112'!$I$6,$O993='112'!$I$6))),"x",""))</f>
        <v/>
      </c>
      <c r="U993" s="75" t="str">
        <f>IF(ISERROR(FIND('112'!$M$9,G993,1)),"",IF((AND(LEFT(G993,2)=LEFT('112'!$M$9,2),B993&lt;'112'!$K$9,$N993='112'!$I$6)),"x",""))</f>
        <v/>
      </c>
      <c r="V993" s="75" t="str">
        <f>IF(ISERROR(FIND('112'!$M$9,G993,1)),"",IF((AND(RIGHT(G993,2)=RIGHT('112'!$M$9,2),B993&lt;'112'!$K$9,$O993='112'!$I$6)),"x",""))</f>
        <v/>
      </c>
      <c r="W993" s="75" t="str">
        <f>IF(AND('341-CT'!$H$9=H993,OR(LEFT(N993,3)=$W$7,LEFT(O993,3)=$W$7)),"x","")</f>
        <v/>
      </c>
      <c r="X993" s="75" t="str">
        <f>IF(OR(TH!N993=TH!$X$7,O993=TH!$X$7),"x","")</f>
        <v/>
      </c>
      <c r="Y993" s="75" t="str">
        <f>IF(AND(OR(N993="131",O993="131"),H993='131-CT'!$H$9),"x","")</f>
        <v/>
      </c>
      <c r="Z993" s="75"/>
      <c r="AA993" s="75" t="str">
        <f>IF(AND(MONTH(E993)='IN-NX'!$J$5,'IN-NX'!$D$7=D993),"x","")</f>
        <v/>
      </c>
      <c r="AB993" s="75" t="str">
        <f>IF(AND(OR(LEFT(TH!N993,2)="15",LEFT(TH!O993,2)="15"),LEFT(TH!O993,3)&lt;&gt;"111",'152-CT'!$J$8=TH!F993),"x","")</f>
        <v/>
      </c>
      <c r="AC993" s="75" t="str">
        <f>IF(AND(OR(LEFT(TH!N993,2)="15",LEFT(TH!O993,2)="15"),TK!$E$7=TH!F993),"x","")</f>
        <v/>
      </c>
      <c r="AD993" s="75" t="str">
        <f>IF(AND(N993="1521",MONTH(C993)='BK-NL'!$M$11),"x","")</f>
        <v/>
      </c>
    </row>
    <row r="994" spans="1:30" ht="16.5" customHeight="1">
      <c r="A994" s="309" t="str">
        <f>IF(B994&lt;&gt;"",IF(AND(B994='IN-TC'!$S$4,OR(TH!N994="1111",TH!O994="1111")),TH!D994,""),"")</f>
        <v/>
      </c>
      <c r="B994" s="1131">
        <f t="shared" si="188"/>
        <v>2</v>
      </c>
      <c r="C994" s="292">
        <f t="shared" si="186"/>
        <v>42773</v>
      </c>
      <c r="D994" s="292" t="s">
        <v>2962</v>
      </c>
      <c r="E994" s="292">
        <v>42773</v>
      </c>
      <c r="F994" s="429" t="s">
        <v>771</v>
      </c>
      <c r="G994" s="925"/>
      <c r="H994" s="67" t="s">
        <v>1893</v>
      </c>
      <c r="I994" s="373">
        <v>15368</v>
      </c>
      <c r="J994" s="379">
        <v>17500</v>
      </c>
      <c r="K994" s="373"/>
      <c r="L994" s="379"/>
      <c r="M994" s="927">
        <f t="shared" si="187"/>
        <v>268940000</v>
      </c>
      <c r="N994" s="295" t="s">
        <v>264</v>
      </c>
      <c r="O994" s="295" t="s">
        <v>8</v>
      </c>
      <c r="P994" s="75" t="str">
        <f>IF(AND('331-CT'!$E$7=TH!H994,OR(N994="331",O994="331")),"x","")</f>
        <v/>
      </c>
      <c r="Q994" s="75" t="str">
        <f>IF(AND(B994='111'!$L$11,OR($N994=$Q$7,$O994=$Q$7)),"x","")</f>
        <v/>
      </c>
      <c r="R994" s="75" t="str">
        <f>IF(AND($N994=$Q$7,$B994&lt;'111'!$L$11),"x","")</f>
        <v/>
      </c>
      <c r="S994" s="75" t="str">
        <f>IF(AND($O994=$Q$7,$B994&lt;'111'!$L$11),"x","")</f>
        <v/>
      </c>
      <c r="T994" s="75" t="str">
        <f>IF(ISERROR(FIND('112'!$M$9,G994,1)),"",IF((AND(FIND('112'!$M$9,G994,1)&gt;=1,B994='112'!$K$9,OR($N994='112'!$I$6,$O994='112'!$I$6))),"x",""))</f>
        <v/>
      </c>
      <c r="U994" s="75" t="str">
        <f>IF(ISERROR(FIND('112'!$M$9,G994,1)),"",IF((AND(LEFT(G994,2)=LEFT('112'!$M$9,2),B994&lt;'112'!$K$9,$N994='112'!$I$6)),"x",""))</f>
        <v/>
      </c>
      <c r="V994" s="75" t="str">
        <f>IF(ISERROR(FIND('112'!$M$9,G994,1)),"",IF((AND(RIGHT(G994,2)=RIGHT('112'!$M$9,2),B994&lt;'112'!$K$9,$O994='112'!$I$6)),"x",""))</f>
        <v/>
      </c>
      <c r="W994" s="75" t="str">
        <f>IF(AND('341-CT'!$H$9=H994,OR(LEFT(N994,3)=$W$7,LEFT(O994,3)=$W$7)),"x","")</f>
        <v/>
      </c>
      <c r="X994" s="75" t="str">
        <f>IF(OR(TH!N994=TH!$X$7,O994=TH!$X$7),"x","")</f>
        <v/>
      </c>
      <c r="Y994" s="75" t="str">
        <f>IF(AND(OR(N994="131",O994="131"),H994='131-CT'!$H$9),"x","")</f>
        <v/>
      </c>
      <c r="Z994" s="75"/>
      <c r="AA994" s="75" t="str">
        <f>IF(AND(MONTH(E994)='IN-NX'!$J$5,'IN-NX'!$D$7=D994),"x","")</f>
        <v/>
      </c>
      <c r="AB994" s="75" t="str">
        <f>IF(AND(OR(LEFT(TH!N994,2)="15",LEFT(TH!O994,2)="15"),LEFT(TH!O994,3)&lt;&gt;"111",'152-CT'!$J$8=TH!F994),"x","")</f>
        <v/>
      </c>
      <c r="AC994" s="75" t="str">
        <f>IF(AND(OR(LEFT(TH!N994,2)="15",LEFT(TH!O994,2)="15"),TK!$E$7=TH!F994),"x","")</f>
        <v/>
      </c>
      <c r="AD994" s="75" t="str">
        <f>IF(AND(N994="1521",MONTH(C994)='BK-NL'!$M$11),"x","")</f>
        <v/>
      </c>
    </row>
    <row r="995" spans="1:30" ht="16.5" customHeight="1">
      <c r="A995" s="309" t="str">
        <f>IF(B995&lt;&gt;"",IF(AND(B995='IN-TC'!$S$4,OR(TH!N995="1111",TH!O995="1111")),TH!D995,""),"")</f>
        <v/>
      </c>
      <c r="B995" s="1131">
        <f t="shared" ref="B995:B1009" si="189">IF(C995&lt;&gt;"",MONTH(C995),"")</f>
        <v>2</v>
      </c>
      <c r="C995" s="292">
        <f t="shared" ref="C995:C1009" si="190">E995</f>
        <v>42773</v>
      </c>
      <c r="D995" s="292" t="s">
        <v>2963</v>
      </c>
      <c r="E995" s="292">
        <v>42773</v>
      </c>
      <c r="F995" s="429" t="s">
        <v>771</v>
      </c>
      <c r="G995" s="925"/>
      <c r="H995" s="67" t="s">
        <v>1894</v>
      </c>
      <c r="I995" s="373">
        <v>15690</v>
      </c>
      <c r="J995" s="379">
        <v>17500</v>
      </c>
      <c r="K995" s="373"/>
      <c r="L995" s="379"/>
      <c r="M995" s="927">
        <f t="shared" ref="M995:M1009" si="191">ROUND(I995*J995,0)</f>
        <v>274575000</v>
      </c>
      <c r="N995" s="295" t="s">
        <v>264</v>
      </c>
      <c r="O995" s="295" t="s">
        <v>8</v>
      </c>
      <c r="P995" s="75" t="str">
        <f>IF(AND('331-CT'!$E$7=TH!H995,OR(N995="331",O995="331")),"x","")</f>
        <v/>
      </c>
      <c r="Q995" s="75" t="str">
        <f>IF(AND(B995='111'!$L$11,OR($N995=$Q$7,$O995=$Q$7)),"x","")</f>
        <v/>
      </c>
      <c r="R995" s="75" t="str">
        <f>IF(AND($N995=$Q$7,$B995&lt;'111'!$L$11),"x","")</f>
        <v/>
      </c>
      <c r="S995" s="75" t="str">
        <f>IF(AND($O995=$Q$7,$B995&lt;'111'!$L$11),"x","")</f>
        <v/>
      </c>
      <c r="T995" s="75" t="str">
        <f>IF(ISERROR(FIND('112'!$M$9,G995,1)),"",IF((AND(FIND('112'!$M$9,G995,1)&gt;=1,B995='112'!$K$9,OR($N995='112'!$I$6,$O995='112'!$I$6))),"x",""))</f>
        <v/>
      </c>
      <c r="U995" s="75" t="str">
        <f>IF(ISERROR(FIND('112'!$M$9,G995,1)),"",IF((AND(LEFT(G995,2)=LEFT('112'!$M$9,2),B995&lt;'112'!$K$9,$N995='112'!$I$6)),"x",""))</f>
        <v/>
      </c>
      <c r="V995" s="75" t="str">
        <f>IF(ISERROR(FIND('112'!$M$9,G995,1)),"",IF((AND(RIGHT(G995,2)=RIGHT('112'!$M$9,2),B995&lt;'112'!$K$9,$O995='112'!$I$6)),"x",""))</f>
        <v/>
      </c>
      <c r="W995" s="75" t="str">
        <f>IF(AND('341-CT'!$H$9=H995,OR(LEFT(N995,3)=$W$7,LEFT(O995,3)=$W$7)),"x","")</f>
        <v/>
      </c>
      <c r="X995" s="75" t="str">
        <f>IF(OR(TH!N995=TH!$X$7,O995=TH!$X$7),"x","")</f>
        <v/>
      </c>
      <c r="Y995" s="75" t="str">
        <f>IF(AND(OR(N995="131",O995="131"),H995='131-CT'!$H$9),"x","")</f>
        <v/>
      </c>
      <c r="Z995" s="75"/>
      <c r="AA995" s="75" t="str">
        <f>IF(AND(MONTH(E995)='IN-NX'!$J$5,'IN-NX'!$D$7=D995),"x","")</f>
        <v/>
      </c>
      <c r="AB995" s="75" t="str">
        <f>IF(AND(OR(LEFT(TH!N995,2)="15",LEFT(TH!O995,2)="15"),LEFT(TH!O995,3)&lt;&gt;"111",'152-CT'!$J$8=TH!F995),"x","")</f>
        <v/>
      </c>
      <c r="AC995" s="75" t="str">
        <f>IF(AND(OR(LEFT(TH!N995,2)="15",LEFT(TH!O995,2)="15"),TK!$E$7=TH!F995),"x","")</f>
        <v/>
      </c>
      <c r="AD995" s="75" t="str">
        <f>IF(AND(N995="1521",MONTH(C995)='BK-NL'!$M$11),"x","")</f>
        <v/>
      </c>
    </row>
    <row r="996" spans="1:30" ht="16.5" customHeight="1">
      <c r="A996" s="309" t="str">
        <f>IF(B996&lt;&gt;"",IF(AND(B996='IN-TC'!$S$4,OR(TH!N996="1111",TH!O996="1111")),TH!D996,""),"")</f>
        <v/>
      </c>
      <c r="B996" s="1131">
        <f t="shared" si="189"/>
        <v>2</v>
      </c>
      <c r="C996" s="292">
        <f t="shared" si="190"/>
        <v>42773</v>
      </c>
      <c r="D996" s="292" t="s">
        <v>2964</v>
      </c>
      <c r="E996" s="292">
        <v>42773</v>
      </c>
      <c r="F996" s="429" t="s">
        <v>771</v>
      </c>
      <c r="G996" s="925"/>
      <c r="H996" s="67" t="s">
        <v>1892</v>
      </c>
      <c r="I996" s="373">
        <v>16850</v>
      </c>
      <c r="J996" s="379">
        <v>17500</v>
      </c>
      <c r="K996" s="373"/>
      <c r="L996" s="379"/>
      <c r="M996" s="927">
        <f t="shared" si="191"/>
        <v>294875000</v>
      </c>
      <c r="N996" s="295" t="s">
        <v>264</v>
      </c>
      <c r="O996" s="295" t="s">
        <v>8</v>
      </c>
      <c r="P996" s="75" t="str">
        <f>IF(AND('331-CT'!$E$7=TH!H996,OR(N996="331",O996="331")),"x","")</f>
        <v/>
      </c>
      <c r="Q996" s="75" t="str">
        <f>IF(AND(B996='111'!$L$11,OR($N996=$Q$7,$O996=$Q$7)),"x","")</f>
        <v/>
      </c>
      <c r="R996" s="75" t="str">
        <f>IF(AND($N996=$Q$7,$B996&lt;'111'!$L$11),"x","")</f>
        <v/>
      </c>
      <c r="S996" s="75" t="str">
        <f>IF(AND($O996=$Q$7,$B996&lt;'111'!$L$11),"x","")</f>
        <v/>
      </c>
      <c r="T996" s="75" t="str">
        <f>IF(ISERROR(FIND('112'!$M$9,G996,1)),"",IF((AND(FIND('112'!$M$9,G996,1)&gt;=1,B996='112'!$K$9,OR($N996='112'!$I$6,$O996='112'!$I$6))),"x",""))</f>
        <v/>
      </c>
      <c r="U996" s="75" t="str">
        <f>IF(ISERROR(FIND('112'!$M$9,G996,1)),"",IF((AND(LEFT(G996,2)=LEFT('112'!$M$9,2),B996&lt;'112'!$K$9,$N996='112'!$I$6)),"x",""))</f>
        <v/>
      </c>
      <c r="V996" s="75" t="str">
        <f>IF(ISERROR(FIND('112'!$M$9,G996,1)),"",IF((AND(RIGHT(G996,2)=RIGHT('112'!$M$9,2),B996&lt;'112'!$K$9,$O996='112'!$I$6)),"x",""))</f>
        <v/>
      </c>
      <c r="W996" s="75" t="str">
        <f>IF(AND('341-CT'!$H$9=H996,OR(LEFT(N996,3)=$W$7,LEFT(O996,3)=$W$7)),"x","")</f>
        <v/>
      </c>
      <c r="X996" s="75" t="str">
        <f>IF(OR(TH!N996=TH!$X$7,O996=TH!$X$7),"x","")</f>
        <v/>
      </c>
      <c r="Y996" s="75" t="str">
        <f>IF(AND(OR(N996="131",O996="131"),H996='131-CT'!$H$9),"x","")</f>
        <v/>
      </c>
      <c r="Z996" s="75"/>
      <c r="AA996" s="75" t="str">
        <f>IF(AND(MONTH(E996)='IN-NX'!$J$5,'IN-NX'!$D$7=D996),"x","")</f>
        <v/>
      </c>
      <c r="AB996" s="75" t="str">
        <f>IF(AND(OR(LEFT(TH!N996,2)="15",LEFT(TH!O996,2)="15"),LEFT(TH!O996,3)&lt;&gt;"111",'152-CT'!$J$8=TH!F996),"x","")</f>
        <v/>
      </c>
      <c r="AC996" s="75" t="str">
        <f>IF(AND(OR(LEFT(TH!N996,2)="15",LEFT(TH!O996,2)="15"),TK!$E$7=TH!F996),"x","")</f>
        <v/>
      </c>
      <c r="AD996" s="75" t="str">
        <f>IF(AND(N996="1521",MONTH(C996)='BK-NL'!$M$11),"x","")</f>
        <v/>
      </c>
    </row>
    <row r="997" spans="1:30" ht="16.5" customHeight="1">
      <c r="A997" s="309" t="str">
        <f>IF(B997&lt;&gt;"",IF(AND(B997='IN-TC'!$S$4,OR(TH!N997="1111",TH!O997="1111")),TH!D997,""),"")</f>
        <v/>
      </c>
      <c r="B997" s="1131">
        <f t="shared" si="189"/>
        <v>2</v>
      </c>
      <c r="C997" s="292">
        <f t="shared" si="190"/>
        <v>42778</v>
      </c>
      <c r="D997" s="292" t="s">
        <v>2965</v>
      </c>
      <c r="E997" s="292">
        <v>42778</v>
      </c>
      <c r="F997" s="429" t="s">
        <v>771</v>
      </c>
      <c r="G997" s="925"/>
      <c r="H997" s="67" t="s">
        <v>1886</v>
      </c>
      <c r="I997" s="373">
        <v>15780</v>
      </c>
      <c r="J997" s="379">
        <v>17500</v>
      </c>
      <c r="K997" s="373"/>
      <c r="L997" s="379"/>
      <c r="M997" s="927">
        <f t="shared" si="191"/>
        <v>276150000</v>
      </c>
      <c r="N997" s="295" t="s">
        <v>264</v>
      </c>
      <c r="O997" s="295" t="s">
        <v>8</v>
      </c>
      <c r="P997" s="75" t="str">
        <f>IF(AND('331-CT'!$E$7=TH!H997,OR(N997="331",O997="331")),"x","")</f>
        <v>x</v>
      </c>
      <c r="Q997" s="75" t="str">
        <f>IF(AND(B997='111'!$L$11,OR($N997=$Q$7,$O997=$Q$7)),"x","")</f>
        <v/>
      </c>
      <c r="R997" s="75" t="str">
        <f>IF(AND($N997=$Q$7,$B997&lt;'111'!$L$11),"x","")</f>
        <v/>
      </c>
      <c r="S997" s="75" t="str">
        <f>IF(AND($O997=$Q$7,$B997&lt;'111'!$L$11),"x","")</f>
        <v/>
      </c>
      <c r="T997" s="75" t="str">
        <f>IF(ISERROR(FIND('112'!$M$9,G997,1)),"",IF((AND(FIND('112'!$M$9,G997,1)&gt;=1,B997='112'!$K$9,OR($N997='112'!$I$6,$O997='112'!$I$6))),"x",""))</f>
        <v/>
      </c>
      <c r="U997" s="75" t="str">
        <f>IF(ISERROR(FIND('112'!$M$9,G997,1)),"",IF((AND(LEFT(G997,2)=LEFT('112'!$M$9,2),B997&lt;'112'!$K$9,$N997='112'!$I$6)),"x",""))</f>
        <v/>
      </c>
      <c r="V997" s="75" t="str">
        <f>IF(ISERROR(FIND('112'!$M$9,G997,1)),"",IF((AND(RIGHT(G997,2)=RIGHT('112'!$M$9,2),B997&lt;'112'!$K$9,$O997='112'!$I$6)),"x",""))</f>
        <v/>
      </c>
      <c r="W997" s="75" t="str">
        <f>IF(AND('341-CT'!$H$9=H997,OR(LEFT(N997,3)=$W$7,LEFT(O997,3)=$W$7)),"x","")</f>
        <v/>
      </c>
      <c r="X997" s="75" t="str">
        <f>IF(OR(TH!N997=TH!$X$7,O997=TH!$X$7),"x","")</f>
        <v/>
      </c>
      <c r="Y997" s="75" t="str">
        <f>IF(AND(OR(N997="131",O997="131"),H997='131-CT'!$H$9),"x","")</f>
        <v/>
      </c>
      <c r="Z997" s="75"/>
      <c r="AA997" s="75" t="str">
        <f>IF(AND(MONTH(E997)='IN-NX'!$J$5,'IN-NX'!$D$7=D997),"x","")</f>
        <v/>
      </c>
      <c r="AB997" s="75" t="str">
        <f>IF(AND(OR(LEFT(TH!N997,2)="15",LEFT(TH!O997,2)="15"),LEFT(TH!O997,3)&lt;&gt;"111",'152-CT'!$J$8=TH!F997),"x","")</f>
        <v/>
      </c>
      <c r="AC997" s="75" t="str">
        <f>IF(AND(OR(LEFT(TH!N997,2)="15",LEFT(TH!O997,2)="15"),TK!$E$7=TH!F997),"x","")</f>
        <v/>
      </c>
      <c r="AD997" s="75" t="str">
        <f>IF(AND(N997="1521",MONTH(C997)='BK-NL'!$M$11),"x","")</f>
        <v/>
      </c>
    </row>
    <row r="998" spans="1:30" ht="16.5" customHeight="1">
      <c r="A998" s="309" t="str">
        <f>IF(B998&lt;&gt;"",IF(AND(B998='IN-TC'!$S$4,OR(TH!N998="1111",TH!O998="1111")),TH!D998,""),"")</f>
        <v/>
      </c>
      <c r="B998" s="1131">
        <f t="shared" si="189"/>
        <v>2</v>
      </c>
      <c r="C998" s="292">
        <f t="shared" si="190"/>
        <v>42778</v>
      </c>
      <c r="D998" s="292" t="s">
        <v>2966</v>
      </c>
      <c r="E998" s="292">
        <v>42778</v>
      </c>
      <c r="F998" s="429" t="s">
        <v>771</v>
      </c>
      <c r="G998" s="925"/>
      <c r="H998" s="67" t="s">
        <v>1884</v>
      </c>
      <c r="I998" s="373">
        <v>15460</v>
      </c>
      <c r="J998" s="379">
        <v>17500</v>
      </c>
      <c r="K998" s="373"/>
      <c r="L998" s="379"/>
      <c r="M998" s="927">
        <f t="shared" si="191"/>
        <v>270550000</v>
      </c>
      <c r="N998" s="295" t="s">
        <v>264</v>
      </c>
      <c r="O998" s="295" t="s">
        <v>8</v>
      </c>
      <c r="P998" s="75" t="str">
        <f>IF(AND('331-CT'!$E$7=TH!H998,OR(N998="331",O998="331")),"x","")</f>
        <v/>
      </c>
      <c r="Q998" s="75" t="str">
        <f>IF(AND(B998='111'!$L$11,OR($N998=$Q$7,$O998=$Q$7)),"x","")</f>
        <v/>
      </c>
      <c r="R998" s="75" t="str">
        <f>IF(AND($N998=$Q$7,$B998&lt;'111'!$L$11),"x","")</f>
        <v/>
      </c>
      <c r="S998" s="75" t="str">
        <f>IF(AND($O998=$Q$7,$B998&lt;'111'!$L$11),"x","")</f>
        <v/>
      </c>
      <c r="T998" s="75" t="str">
        <f>IF(ISERROR(FIND('112'!$M$9,G998,1)),"",IF((AND(FIND('112'!$M$9,G998,1)&gt;=1,B998='112'!$K$9,OR($N998='112'!$I$6,$O998='112'!$I$6))),"x",""))</f>
        <v/>
      </c>
      <c r="U998" s="75" t="str">
        <f>IF(ISERROR(FIND('112'!$M$9,G998,1)),"",IF((AND(LEFT(G998,2)=LEFT('112'!$M$9,2),B998&lt;'112'!$K$9,$N998='112'!$I$6)),"x",""))</f>
        <v/>
      </c>
      <c r="V998" s="75" t="str">
        <f>IF(ISERROR(FIND('112'!$M$9,G998,1)),"",IF((AND(RIGHT(G998,2)=RIGHT('112'!$M$9,2),B998&lt;'112'!$K$9,$O998='112'!$I$6)),"x",""))</f>
        <v/>
      </c>
      <c r="W998" s="75" t="str">
        <f>IF(AND('341-CT'!$H$9=H998,OR(LEFT(N998,3)=$W$7,LEFT(O998,3)=$W$7)),"x","")</f>
        <v/>
      </c>
      <c r="X998" s="75" t="str">
        <f>IF(OR(TH!N998=TH!$X$7,O998=TH!$X$7),"x","")</f>
        <v/>
      </c>
      <c r="Y998" s="75" t="str">
        <f>IF(AND(OR(N998="131",O998="131"),H998='131-CT'!$H$9),"x","")</f>
        <v/>
      </c>
      <c r="Z998" s="75"/>
      <c r="AA998" s="75" t="str">
        <f>IF(AND(MONTH(E998)='IN-NX'!$J$5,'IN-NX'!$D$7=D998),"x","")</f>
        <v/>
      </c>
      <c r="AB998" s="75" t="str">
        <f>IF(AND(OR(LEFT(TH!N998,2)="15",LEFT(TH!O998,2)="15"),LEFT(TH!O998,3)&lt;&gt;"111",'152-CT'!$J$8=TH!F998),"x","")</f>
        <v/>
      </c>
      <c r="AC998" s="75" t="str">
        <f>IF(AND(OR(LEFT(TH!N998,2)="15",LEFT(TH!O998,2)="15"),TK!$E$7=TH!F998),"x","")</f>
        <v/>
      </c>
      <c r="AD998" s="75" t="str">
        <f>IF(AND(N998="1521",MONTH(C998)='BK-NL'!$M$11),"x","")</f>
        <v/>
      </c>
    </row>
    <row r="999" spans="1:30" ht="16.5" customHeight="1">
      <c r="A999" s="309" t="str">
        <f>IF(B999&lt;&gt;"",IF(AND(B999='IN-TC'!$S$4,OR(TH!N999="1111",TH!O999="1111")),TH!D999,""),"")</f>
        <v/>
      </c>
      <c r="B999" s="1131">
        <f t="shared" si="189"/>
        <v>2</v>
      </c>
      <c r="C999" s="292">
        <f t="shared" si="190"/>
        <v>42778</v>
      </c>
      <c r="D999" s="292" t="s">
        <v>2967</v>
      </c>
      <c r="E999" s="292">
        <v>42778</v>
      </c>
      <c r="F999" s="429" t="s">
        <v>771</v>
      </c>
      <c r="G999" s="925"/>
      <c r="H999" s="67" t="s">
        <v>1893</v>
      </c>
      <c r="I999" s="373">
        <v>15380</v>
      </c>
      <c r="J999" s="379">
        <v>17500</v>
      </c>
      <c r="K999" s="373"/>
      <c r="L999" s="379"/>
      <c r="M999" s="927">
        <f t="shared" si="191"/>
        <v>269150000</v>
      </c>
      <c r="N999" s="295" t="s">
        <v>264</v>
      </c>
      <c r="O999" s="295" t="s">
        <v>8</v>
      </c>
      <c r="P999" s="75" t="str">
        <f>IF(AND('331-CT'!$E$7=TH!H999,OR(N999="331",O999="331")),"x","")</f>
        <v/>
      </c>
      <c r="Q999" s="75" t="str">
        <f>IF(AND(B999='111'!$L$11,OR($N999=$Q$7,$O999=$Q$7)),"x","")</f>
        <v/>
      </c>
      <c r="R999" s="75" t="str">
        <f>IF(AND($N999=$Q$7,$B999&lt;'111'!$L$11),"x","")</f>
        <v/>
      </c>
      <c r="S999" s="75" t="str">
        <f>IF(AND($O999=$Q$7,$B999&lt;'111'!$L$11),"x","")</f>
        <v/>
      </c>
      <c r="T999" s="75" t="str">
        <f>IF(ISERROR(FIND('112'!$M$9,G999,1)),"",IF((AND(FIND('112'!$M$9,G999,1)&gt;=1,B999='112'!$K$9,OR($N999='112'!$I$6,$O999='112'!$I$6))),"x",""))</f>
        <v/>
      </c>
      <c r="U999" s="75" t="str">
        <f>IF(ISERROR(FIND('112'!$M$9,G999,1)),"",IF((AND(LEFT(G999,2)=LEFT('112'!$M$9,2),B999&lt;'112'!$K$9,$N999='112'!$I$6)),"x",""))</f>
        <v/>
      </c>
      <c r="V999" s="75" t="str">
        <f>IF(ISERROR(FIND('112'!$M$9,G999,1)),"",IF((AND(RIGHT(G999,2)=RIGHT('112'!$M$9,2),B999&lt;'112'!$K$9,$O999='112'!$I$6)),"x",""))</f>
        <v/>
      </c>
      <c r="W999" s="75" t="str">
        <f>IF(AND('341-CT'!$H$9=H999,OR(LEFT(N999,3)=$W$7,LEFT(O999,3)=$W$7)),"x","")</f>
        <v/>
      </c>
      <c r="X999" s="75" t="str">
        <f>IF(OR(TH!N999=TH!$X$7,O999=TH!$X$7),"x","")</f>
        <v/>
      </c>
      <c r="Y999" s="75" t="str">
        <f>IF(AND(OR(N999="131",O999="131"),H999='131-CT'!$H$9),"x","")</f>
        <v/>
      </c>
      <c r="Z999" s="75"/>
      <c r="AA999" s="75" t="str">
        <f>IF(AND(MONTH(E999)='IN-NX'!$J$5,'IN-NX'!$D$7=D999),"x","")</f>
        <v/>
      </c>
      <c r="AB999" s="75" t="str">
        <f>IF(AND(OR(LEFT(TH!N999,2)="15",LEFT(TH!O999,2)="15"),LEFT(TH!O999,3)&lt;&gt;"111",'152-CT'!$J$8=TH!F999),"x","")</f>
        <v/>
      </c>
      <c r="AC999" s="75" t="str">
        <f>IF(AND(OR(LEFT(TH!N999,2)="15",LEFT(TH!O999,2)="15"),TK!$E$7=TH!F999),"x","")</f>
        <v/>
      </c>
      <c r="AD999" s="75" t="str">
        <f>IF(AND(N999="1521",MONTH(C999)='BK-NL'!$M$11),"x","")</f>
        <v/>
      </c>
    </row>
    <row r="1000" spans="1:30" ht="16.5" customHeight="1">
      <c r="A1000" s="309" t="str">
        <f>IF(B1000&lt;&gt;"",IF(AND(B1000='IN-TC'!$S$4,OR(TH!N1000="1111",TH!O1000="1111")),TH!D1000,""),"")</f>
        <v/>
      </c>
      <c r="B1000" s="1131">
        <f t="shared" si="189"/>
        <v>2</v>
      </c>
      <c r="C1000" s="292">
        <f t="shared" si="190"/>
        <v>42778</v>
      </c>
      <c r="D1000" s="292" t="s">
        <v>2968</v>
      </c>
      <c r="E1000" s="292">
        <v>42778</v>
      </c>
      <c r="F1000" s="429" t="s">
        <v>771</v>
      </c>
      <c r="G1000" s="925"/>
      <c r="H1000" s="67" t="s">
        <v>1894</v>
      </c>
      <c r="I1000" s="373">
        <v>15480</v>
      </c>
      <c r="J1000" s="379">
        <v>17500</v>
      </c>
      <c r="K1000" s="373"/>
      <c r="L1000" s="379"/>
      <c r="M1000" s="927">
        <f t="shared" si="191"/>
        <v>270900000</v>
      </c>
      <c r="N1000" s="295" t="s">
        <v>264</v>
      </c>
      <c r="O1000" s="295" t="s">
        <v>8</v>
      </c>
      <c r="P1000" s="75" t="str">
        <f>IF(AND('331-CT'!$E$7=TH!H1000,OR(N1000="331",O1000="331")),"x","")</f>
        <v/>
      </c>
      <c r="Q1000" s="75" t="str">
        <f>IF(AND(B1000='111'!$L$11,OR($N1000=$Q$7,$O1000=$Q$7)),"x","")</f>
        <v/>
      </c>
      <c r="R1000" s="75" t="str">
        <f>IF(AND($N1000=$Q$7,$B1000&lt;'111'!$L$11),"x","")</f>
        <v/>
      </c>
      <c r="S1000" s="75" t="str">
        <f>IF(AND($O1000=$Q$7,$B1000&lt;'111'!$L$11),"x","")</f>
        <v/>
      </c>
      <c r="T1000" s="75" t="str">
        <f>IF(ISERROR(FIND('112'!$M$9,G1000,1)),"",IF((AND(FIND('112'!$M$9,G1000,1)&gt;=1,B1000='112'!$K$9,OR($N1000='112'!$I$6,$O1000='112'!$I$6))),"x",""))</f>
        <v/>
      </c>
      <c r="U1000" s="75" t="str">
        <f>IF(ISERROR(FIND('112'!$M$9,G1000,1)),"",IF((AND(LEFT(G1000,2)=LEFT('112'!$M$9,2),B1000&lt;'112'!$K$9,$N1000='112'!$I$6)),"x",""))</f>
        <v/>
      </c>
      <c r="V1000" s="75" t="str">
        <f>IF(ISERROR(FIND('112'!$M$9,G1000,1)),"",IF((AND(RIGHT(G1000,2)=RIGHT('112'!$M$9,2),B1000&lt;'112'!$K$9,$O1000='112'!$I$6)),"x",""))</f>
        <v/>
      </c>
      <c r="W1000" s="75" t="str">
        <f>IF(AND('341-CT'!$H$9=H1000,OR(LEFT(N1000,3)=$W$7,LEFT(O1000,3)=$W$7)),"x","")</f>
        <v/>
      </c>
      <c r="X1000" s="75" t="str">
        <f>IF(OR(TH!N1000=TH!$X$7,O1000=TH!$X$7),"x","")</f>
        <v/>
      </c>
      <c r="Y1000" s="75" t="str">
        <f>IF(AND(OR(N1000="131",O1000="131"),H1000='131-CT'!$H$9),"x","")</f>
        <v/>
      </c>
      <c r="Z1000" s="75"/>
      <c r="AA1000" s="75" t="str">
        <f>IF(AND(MONTH(E1000)='IN-NX'!$J$5,'IN-NX'!$D$7=D1000),"x","")</f>
        <v/>
      </c>
      <c r="AB1000" s="75" t="str">
        <f>IF(AND(OR(LEFT(TH!N1000,2)="15",LEFT(TH!O1000,2)="15"),LEFT(TH!O1000,3)&lt;&gt;"111",'152-CT'!$J$8=TH!F1000),"x","")</f>
        <v/>
      </c>
      <c r="AC1000" s="75" t="str">
        <f>IF(AND(OR(LEFT(TH!N1000,2)="15",LEFT(TH!O1000,2)="15"),TK!$E$7=TH!F1000),"x","")</f>
        <v/>
      </c>
      <c r="AD1000" s="75" t="str">
        <f>IF(AND(N1000="1521",MONTH(C1000)='BK-NL'!$M$11),"x","")</f>
        <v/>
      </c>
    </row>
    <row r="1001" spans="1:30" ht="16.5" customHeight="1">
      <c r="A1001" s="309" t="str">
        <f>IF(B1001&lt;&gt;"",IF(AND(B1001='IN-TC'!$S$4,OR(TH!N1001="1111",TH!O1001="1111")),TH!D1001,""),"")</f>
        <v/>
      </c>
      <c r="B1001" s="1131">
        <f t="shared" si="189"/>
        <v>2</v>
      </c>
      <c r="C1001" s="292">
        <f t="shared" si="190"/>
        <v>42787</v>
      </c>
      <c r="D1001" s="292" t="s">
        <v>2973</v>
      </c>
      <c r="E1001" s="292">
        <v>42787</v>
      </c>
      <c r="F1001" s="429" t="s">
        <v>771</v>
      </c>
      <c r="G1001" s="925"/>
      <c r="H1001" s="67" t="s">
        <v>1886</v>
      </c>
      <c r="I1001" s="373">
        <v>15620</v>
      </c>
      <c r="J1001" s="379">
        <v>17500</v>
      </c>
      <c r="K1001" s="373"/>
      <c r="L1001" s="379"/>
      <c r="M1001" s="927">
        <f t="shared" si="191"/>
        <v>273350000</v>
      </c>
      <c r="N1001" s="295" t="s">
        <v>264</v>
      </c>
      <c r="O1001" s="295" t="s">
        <v>8</v>
      </c>
      <c r="P1001" s="75" t="str">
        <f>IF(AND('331-CT'!$E$7=TH!H1001,OR(N1001="331",O1001="331")),"x","")</f>
        <v>x</v>
      </c>
      <c r="Q1001" s="75" t="str">
        <f>IF(AND(B1001='111'!$L$11,OR($N1001=$Q$7,$O1001=$Q$7)),"x","")</f>
        <v/>
      </c>
      <c r="R1001" s="75" t="str">
        <f>IF(AND($N1001=$Q$7,$B1001&lt;'111'!$L$11),"x","")</f>
        <v/>
      </c>
      <c r="S1001" s="75" t="str">
        <f>IF(AND($O1001=$Q$7,$B1001&lt;'111'!$L$11),"x","")</f>
        <v/>
      </c>
      <c r="T1001" s="75" t="str">
        <f>IF(ISERROR(FIND('112'!$M$9,G1001,1)),"",IF((AND(FIND('112'!$M$9,G1001,1)&gt;=1,B1001='112'!$K$9,OR($N1001='112'!$I$6,$O1001='112'!$I$6))),"x",""))</f>
        <v/>
      </c>
      <c r="U1001" s="75" t="str">
        <f>IF(ISERROR(FIND('112'!$M$9,G1001,1)),"",IF((AND(LEFT(G1001,2)=LEFT('112'!$M$9,2),B1001&lt;'112'!$K$9,$N1001='112'!$I$6)),"x",""))</f>
        <v/>
      </c>
      <c r="V1001" s="75" t="str">
        <f>IF(ISERROR(FIND('112'!$M$9,G1001,1)),"",IF((AND(RIGHT(G1001,2)=RIGHT('112'!$M$9,2),B1001&lt;'112'!$K$9,$O1001='112'!$I$6)),"x",""))</f>
        <v/>
      </c>
      <c r="W1001" s="75" t="str">
        <f>IF(AND('341-CT'!$H$9=H1001,OR(LEFT(N1001,3)=$W$7,LEFT(O1001,3)=$W$7)),"x","")</f>
        <v/>
      </c>
      <c r="X1001" s="75" t="str">
        <f>IF(OR(TH!N1001=TH!$X$7,O1001=TH!$X$7),"x","")</f>
        <v/>
      </c>
      <c r="Y1001" s="75" t="str">
        <f>IF(AND(OR(N1001="131",O1001="131"),H1001='131-CT'!$H$9),"x","")</f>
        <v/>
      </c>
      <c r="Z1001" s="75"/>
      <c r="AA1001" s="75" t="str">
        <f>IF(AND(MONTH(E1001)='IN-NX'!$J$5,'IN-NX'!$D$7=D1001),"x","")</f>
        <v/>
      </c>
      <c r="AB1001" s="75" t="str">
        <f>IF(AND(OR(LEFT(TH!N1001,2)="15",LEFT(TH!O1001,2)="15"),LEFT(TH!O1001,3)&lt;&gt;"111",'152-CT'!$J$8=TH!F1001),"x","")</f>
        <v/>
      </c>
      <c r="AC1001" s="75" t="str">
        <f>IF(AND(OR(LEFT(TH!N1001,2)="15",LEFT(TH!O1001,2)="15"),TK!$E$7=TH!F1001),"x","")</f>
        <v/>
      </c>
      <c r="AD1001" s="75" t="str">
        <f>IF(AND(N1001="1521",MONTH(C1001)='BK-NL'!$M$11),"x","")</f>
        <v/>
      </c>
    </row>
    <row r="1002" spans="1:30" ht="16.5" customHeight="1">
      <c r="A1002" s="309" t="str">
        <f>IF(B1002&lt;&gt;"",IF(AND(B1002='IN-TC'!$S$4,OR(TH!N1002="1111",TH!O1002="1111")),TH!D1002,""),"")</f>
        <v/>
      </c>
      <c r="B1002" s="1131">
        <f t="shared" si="189"/>
        <v>2</v>
      </c>
      <c r="C1002" s="292">
        <f t="shared" si="190"/>
        <v>42787</v>
      </c>
      <c r="D1002" s="292" t="s">
        <v>2974</v>
      </c>
      <c r="E1002" s="292">
        <v>42787</v>
      </c>
      <c r="F1002" s="429" t="s">
        <v>771</v>
      </c>
      <c r="G1002" s="925"/>
      <c r="H1002" s="67" t="s">
        <v>1882</v>
      </c>
      <c r="I1002" s="373">
        <v>15340</v>
      </c>
      <c r="J1002" s="379">
        <v>17500</v>
      </c>
      <c r="K1002" s="373"/>
      <c r="L1002" s="379"/>
      <c r="M1002" s="927">
        <f t="shared" si="191"/>
        <v>268450000</v>
      </c>
      <c r="N1002" s="295" t="s">
        <v>264</v>
      </c>
      <c r="O1002" s="295" t="s">
        <v>8</v>
      </c>
      <c r="P1002" s="75" t="str">
        <f>IF(AND('331-CT'!$E$7=TH!H1002,OR(N1002="331",O1002="331")),"x","")</f>
        <v/>
      </c>
      <c r="Q1002" s="75" t="str">
        <f>IF(AND(B1002='111'!$L$11,OR($N1002=$Q$7,$O1002=$Q$7)),"x","")</f>
        <v/>
      </c>
      <c r="R1002" s="75" t="str">
        <f>IF(AND($N1002=$Q$7,$B1002&lt;'111'!$L$11),"x","")</f>
        <v/>
      </c>
      <c r="S1002" s="75" t="str">
        <f>IF(AND($O1002=$Q$7,$B1002&lt;'111'!$L$11),"x","")</f>
        <v/>
      </c>
      <c r="T1002" s="75" t="str">
        <f>IF(ISERROR(FIND('112'!$M$9,G1002,1)),"",IF((AND(FIND('112'!$M$9,G1002,1)&gt;=1,B1002='112'!$K$9,OR($N1002='112'!$I$6,$O1002='112'!$I$6))),"x",""))</f>
        <v/>
      </c>
      <c r="U1002" s="75" t="str">
        <f>IF(ISERROR(FIND('112'!$M$9,G1002,1)),"",IF((AND(LEFT(G1002,2)=LEFT('112'!$M$9,2),B1002&lt;'112'!$K$9,$N1002='112'!$I$6)),"x",""))</f>
        <v/>
      </c>
      <c r="V1002" s="75" t="str">
        <f>IF(ISERROR(FIND('112'!$M$9,G1002,1)),"",IF((AND(RIGHT(G1002,2)=RIGHT('112'!$M$9,2),B1002&lt;'112'!$K$9,$O1002='112'!$I$6)),"x",""))</f>
        <v/>
      </c>
      <c r="W1002" s="75" t="str">
        <f>IF(AND('341-CT'!$H$9=H1002,OR(LEFT(N1002,3)=$W$7,LEFT(O1002,3)=$W$7)),"x","")</f>
        <v/>
      </c>
      <c r="X1002" s="75" t="str">
        <f>IF(OR(TH!N1002=TH!$X$7,O1002=TH!$X$7),"x","")</f>
        <v/>
      </c>
      <c r="Y1002" s="75" t="str">
        <f>IF(AND(OR(N1002="131",O1002="131"),H1002='131-CT'!$H$9),"x","")</f>
        <v/>
      </c>
      <c r="Z1002" s="75"/>
      <c r="AA1002" s="75" t="str">
        <f>IF(AND(MONTH(E1002)='IN-NX'!$J$5,'IN-NX'!$D$7=D1002),"x","")</f>
        <v/>
      </c>
      <c r="AB1002" s="75" t="str">
        <f>IF(AND(OR(LEFT(TH!N1002,2)="15",LEFT(TH!O1002,2)="15"),LEFT(TH!O1002,3)&lt;&gt;"111",'152-CT'!$J$8=TH!F1002),"x","")</f>
        <v/>
      </c>
      <c r="AC1002" s="75" t="str">
        <f>IF(AND(OR(LEFT(TH!N1002,2)="15",LEFT(TH!O1002,2)="15"),TK!$E$7=TH!F1002),"x","")</f>
        <v/>
      </c>
      <c r="AD1002" s="75" t="str">
        <f>IF(AND(N1002="1521",MONTH(C1002)='BK-NL'!$M$11),"x","")</f>
        <v/>
      </c>
    </row>
    <row r="1003" spans="1:30" ht="16.5" customHeight="1">
      <c r="A1003" s="309" t="str">
        <f>IF(B1003&lt;&gt;"",IF(AND(B1003='IN-TC'!$S$4,OR(TH!N1003="1111",TH!O1003="1111")),TH!D1003,""),"")</f>
        <v/>
      </c>
      <c r="B1003" s="1131">
        <f t="shared" si="189"/>
        <v>2</v>
      </c>
      <c r="C1003" s="292">
        <f t="shared" si="190"/>
        <v>42787</v>
      </c>
      <c r="D1003" s="292" t="s">
        <v>2975</v>
      </c>
      <c r="E1003" s="292">
        <v>42787</v>
      </c>
      <c r="F1003" s="429" t="s">
        <v>771</v>
      </c>
      <c r="G1003" s="925"/>
      <c r="H1003" s="67" t="s">
        <v>1890</v>
      </c>
      <c r="I1003" s="373">
        <v>15780</v>
      </c>
      <c r="J1003" s="379">
        <v>17500</v>
      </c>
      <c r="K1003" s="373"/>
      <c r="L1003" s="379"/>
      <c r="M1003" s="927">
        <f t="shared" si="191"/>
        <v>276150000</v>
      </c>
      <c r="N1003" s="295" t="s">
        <v>264</v>
      </c>
      <c r="O1003" s="295" t="s">
        <v>8</v>
      </c>
      <c r="P1003" s="75" t="str">
        <f>IF(AND('331-CT'!$E$7=TH!H1003,OR(N1003="331",O1003="331")),"x","")</f>
        <v/>
      </c>
      <c r="Q1003" s="75" t="str">
        <f>IF(AND(B1003='111'!$L$11,OR($N1003=$Q$7,$O1003=$Q$7)),"x","")</f>
        <v/>
      </c>
      <c r="R1003" s="75" t="str">
        <f>IF(AND($N1003=$Q$7,$B1003&lt;'111'!$L$11),"x","")</f>
        <v/>
      </c>
      <c r="S1003" s="75" t="str">
        <f>IF(AND($O1003=$Q$7,$B1003&lt;'111'!$L$11),"x","")</f>
        <v/>
      </c>
      <c r="T1003" s="75" t="str">
        <f>IF(ISERROR(FIND('112'!$M$9,G1003,1)),"",IF((AND(FIND('112'!$M$9,G1003,1)&gt;=1,B1003='112'!$K$9,OR($N1003='112'!$I$6,$O1003='112'!$I$6))),"x",""))</f>
        <v/>
      </c>
      <c r="U1003" s="75" t="str">
        <f>IF(ISERROR(FIND('112'!$M$9,G1003,1)),"",IF((AND(LEFT(G1003,2)=LEFT('112'!$M$9,2),B1003&lt;'112'!$K$9,$N1003='112'!$I$6)),"x",""))</f>
        <v/>
      </c>
      <c r="V1003" s="75" t="str">
        <f>IF(ISERROR(FIND('112'!$M$9,G1003,1)),"",IF((AND(RIGHT(G1003,2)=RIGHT('112'!$M$9,2),B1003&lt;'112'!$K$9,$O1003='112'!$I$6)),"x",""))</f>
        <v/>
      </c>
      <c r="W1003" s="75" t="str">
        <f>IF(AND('341-CT'!$H$9=H1003,OR(LEFT(N1003,3)=$W$7,LEFT(O1003,3)=$W$7)),"x","")</f>
        <v/>
      </c>
      <c r="X1003" s="75" t="str">
        <f>IF(OR(TH!N1003=TH!$X$7,O1003=TH!$X$7),"x","")</f>
        <v/>
      </c>
      <c r="Y1003" s="75" t="str">
        <f>IF(AND(OR(N1003="131",O1003="131"),H1003='131-CT'!$H$9),"x","")</f>
        <v/>
      </c>
      <c r="Z1003" s="75"/>
      <c r="AA1003" s="75" t="str">
        <f>IF(AND(MONTH(E1003)='IN-NX'!$J$5,'IN-NX'!$D$7=D1003),"x","")</f>
        <v/>
      </c>
      <c r="AB1003" s="75" t="str">
        <f>IF(AND(OR(LEFT(TH!N1003,2)="15",LEFT(TH!O1003,2)="15"),LEFT(TH!O1003,3)&lt;&gt;"111",'152-CT'!$J$8=TH!F1003),"x","")</f>
        <v/>
      </c>
      <c r="AC1003" s="75" t="str">
        <f>IF(AND(OR(LEFT(TH!N1003,2)="15",LEFT(TH!O1003,2)="15"),TK!$E$7=TH!F1003),"x","")</f>
        <v/>
      </c>
      <c r="AD1003" s="75" t="str">
        <f>IF(AND(N1003="1521",MONTH(C1003)='BK-NL'!$M$11),"x","")</f>
        <v/>
      </c>
    </row>
    <row r="1004" spans="1:30" ht="16.5" customHeight="1">
      <c r="A1004" s="309" t="str">
        <f>IF(B1004&lt;&gt;"",IF(AND(B1004='IN-TC'!$S$4,OR(TH!N1004="1111",TH!O1004="1111")),TH!D1004,""),"")</f>
        <v/>
      </c>
      <c r="B1004" s="1131">
        <f t="shared" si="189"/>
        <v>2</v>
      </c>
      <c r="C1004" s="292">
        <f t="shared" si="190"/>
        <v>42787</v>
      </c>
      <c r="D1004" s="292" t="s">
        <v>2976</v>
      </c>
      <c r="E1004" s="292">
        <v>42787</v>
      </c>
      <c r="F1004" s="429" t="s">
        <v>771</v>
      </c>
      <c r="G1004" s="925"/>
      <c r="H1004" s="67" t="s">
        <v>1884</v>
      </c>
      <c r="I1004" s="373">
        <v>15960</v>
      </c>
      <c r="J1004" s="379">
        <v>17500</v>
      </c>
      <c r="K1004" s="373"/>
      <c r="L1004" s="379"/>
      <c r="M1004" s="927">
        <f t="shared" si="191"/>
        <v>279300000</v>
      </c>
      <c r="N1004" s="295" t="s">
        <v>264</v>
      </c>
      <c r="O1004" s="295" t="s">
        <v>8</v>
      </c>
      <c r="P1004" s="75" t="str">
        <f>IF(AND('331-CT'!$E$7=TH!H1004,OR(N1004="331",O1004="331")),"x","")</f>
        <v/>
      </c>
      <c r="Q1004" s="75" t="str">
        <f>IF(AND(B1004='111'!$L$11,OR($N1004=$Q$7,$O1004=$Q$7)),"x","")</f>
        <v/>
      </c>
      <c r="R1004" s="75" t="str">
        <f>IF(AND($N1004=$Q$7,$B1004&lt;'111'!$L$11),"x","")</f>
        <v/>
      </c>
      <c r="S1004" s="75" t="str">
        <f>IF(AND($O1004=$Q$7,$B1004&lt;'111'!$L$11),"x","")</f>
        <v/>
      </c>
      <c r="T1004" s="75" t="str">
        <f>IF(ISERROR(FIND('112'!$M$9,G1004,1)),"",IF((AND(FIND('112'!$M$9,G1004,1)&gt;=1,B1004='112'!$K$9,OR($N1004='112'!$I$6,$O1004='112'!$I$6))),"x",""))</f>
        <v/>
      </c>
      <c r="U1004" s="75" t="str">
        <f>IF(ISERROR(FIND('112'!$M$9,G1004,1)),"",IF((AND(LEFT(G1004,2)=LEFT('112'!$M$9,2),B1004&lt;'112'!$K$9,$N1004='112'!$I$6)),"x",""))</f>
        <v/>
      </c>
      <c r="V1004" s="75" t="str">
        <f>IF(ISERROR(FIND('112'!$M$9,G1004,1)),"",IF((AND(RIGHT(G1004,2)=RIGHT('112'!$M$9,2),B1004&lt;'112'!$K$9,$O1004='112'!$I$6)),"x",""))</f>
        <v/>
      </c>
      <c r="W1004" s="75" t="str">
        <f>IF(AND('341-CT'!$H$9=H1004,OR(LEFT(N1004,3)=$W$7,LEFT(O1004,3)=$W$7)),"x","")</f>
        <v/>
      </c>
      <c r="X1004" s="75" t="str">
        <f>IF(OR(TH!N1004=TH!$X$7,O1004=TH!$X$7),"x","")</f>
        <v/>
      </c>
      <c r="Y1004" s="75" t="str">
        <f>IF(AND(OR(N1004="131",O1004="131"),H1004='131-CT'!$H$9),"x","")</f>
        <v/>
      </c>
      <c r="Z1004" s="75"/>
      <c r="AA1004" s="75" t="str">
        <f>IF(AND(MONTH(E1004)='IN-NX'!$J$5,'IN-NX'!$D$7=D1004),"x","")</f>
        <v/>
      </c>
      <c r="AB1004" s="75" t="str">
        <f>IF(AND(OR(LEFT(TH!N1004,2)="15",LEFT(TH!O1004,2)="15"),LEFT(TH!O1004,3)&lt;&gt;"111",'152-CT'!$J$8=TH!F1004),"x","")</f>
        <v/>
      </c>
      <c r="AC1004" s="75" t="str">
        <f>IF(AND(OR(LEFT(TH!N1004,2)="15",LEFT(TH!O1004,2)="15"),TK!$E$7=TH!F1004),"x","")</f>
        <v/>
      </c>
      <c r="AD1004" s="75" t="str">
        <f>IF(AND(N1004="1521",MONTH(C1004)='BK-NL'!$M$11),"x","")</f>
        <v/>
      </c>
    </row>
    <row r="1005" spans="1:30" ht="16.5" customHeight="1">
      <c r="A1005" s="309" t="str">
        <f>IF(B1005&lt;&gt;"",IF(AND(B1005='IN-TC'!$S$4,OR(TH!N1005="1111",TH!O1005="1111")),TH!D1005,""),"")</f>
        <v/>
      </c>
      <c r="B1005" s="1131">
        <f t="shared" si="189"/>
        <v>2</v>
      </c>
      <c r="C1005" s="292">
        <f t="shared" si="190"/>
        <v>42791</v>
      </c>
      <c r="D1005" s="292" t="s">
        <v>2977</v>
      </c>
      <c r="E1005" s="292">
        <v>42791</v>
      </c>
      <c r="F1005" s="429" t="s">
        <v>771</v>
      </c>
      <c r="G1005" s="925"/>
      <c r="H1005" s="67" t="s">
        <v>1886</v>
      </c>
      <c r="I1005" s="373">
        <v>15389</v>
      </c>
      <c r="J1005" s="379">
        <v>17500</v>
      </c>
      <c r="K1005" s="373"/>
      <c r="L1005" s="379"/>
      <c r="M1005" s="927">
        <f t="shared" si="191"/>
        <v>269307500</v>
      </c>
      <c r="N1005" s="295" t="s">
        <v>264</v>
      </c>
      <c r="O1005" s="295" t="s">
        <v>8</v>
      </c>
      <c r="P1005" s="75" t="str">
        <f>IF(AND('331-CT'!$E$7=TH!H1005,OR(N1005="331",O1005="331")),"x","")</f>
        <v>x</v>
      </c>
      <c r="Q1005" s="75" t="str">
        <f>IF(AND(B1005='111'!$L$11,OR($N1005=$Q$7,$O1005=$Q$7)),"x","")</f>
        <v/>
      </c>
      <c r="R1005" s="75" t="str">
        <f>IF(AND($N1005=$Q$7,$B1005&lt;'111'!$L$11),"x","")</f>
        <v/>
      </c>
      <c r="S1005" s="75" t="str">
        <f>IF(AND($O1005=$Q$7,$B1005&lt;'111'!$L$11),"x","")</f>
        <v/>
      </c>
      <c r="T1005" s="75" t="str">
        <f>IF(ISERROR(FIND('112'!$M$9,G1005,1)),"",IF((AND(FIND('112'!$M$9,G1005,1)&gt;=1,B1005='112'!$K$9,OR($N1005='112'!$I$6,$O1005='112'!$I$6))),"x",""))</f>
        <v/>
      </c>
      <c r="U1005" s="75" t="str">
        <f>IF(ISERROR(FIND('112'!$M$9,G1005,1)),"",IF((AND(LEFT(G1005,2)=LEFT('112'!$M$9,2),B1005&lt;'112'!$K$9,$N1005='112'!$I$6)),"x",""))</f>
        <v/>
      </c>
      <c r="V1005" s="75" t="str">
        <f>IF(ISERROR(FIND('112'!$M$9,G1005,1)),"",IF((AND(RIGHT(G1005,2)=RIGHT('112'!$M$9,2),B1005&lt;'112'!$K$9,$O1005='112'!$I$6)),"x",""))</f>
        <v/>
      </c>
      <c r="W1005" s="75" t="str">
        <f>IF(AND('341-CT'!$H$9=H1005,OR(LEFT(N1005,3)=$W$7,LEFT(O1005,3)=$W$7)),"x","")</f>
        <v/>
      </c>
      <c r="X1005" s="75" t="str">
        <f>IF(OR(TH!N1005=TH!$X$7,O1005=TH!$X$7),"x","")</f>
        <v/>
      </c>
      <c r="Y1005" s="75" t="str">
        <f>IF(AND(OR(N1005="131",O1005="131"),H1005='131-CT'!$H$9),"x","")</f>
        <v/>
      </c>
      <c r="Z1005" s="75"/>
      <c r="AA1005" s="75" t="str">
        <f>IF(AND(MONTH(E1005)='IN-NX'!$J$5,'IN-NX'!$D$7=D1005),"x","")</f>
        <v/>
      </c>
      <c r="AB1005" s="75" t="str">
        <f>IF(AND(OR(LEFT(TH!N1005,2)="15",LEFT(TH!O1005,2)="15"),LEFT(TH!O1005,3)&lt;&gt;"111",'152-CT'!$J$8=TH!F1005),"x","")</f>
        <v/>
      </c>
      <c r="AC1005" s="75" t="str">
        <f>IF(AND(OR(LEFT(TH!N1005,2)="15",LEFT(TH!O1005,2)="15"),TK!$E$7=TH!F1005),"x","")</f>
        <v/>
      </c>
      <c r="AD1005" s="75" t="str">
        <f>IF(AND(N1005="1521",MONTH(C1005)='BK-NL'!$M$11),"x","")</f>
        <v/>
      </c>
    </row>
    <row r="1006" spans="1:30" ht="16.5" customHeight="1">
      <c r="A1006" s="309" t="str">
        <f>IF(B1006&lt;&gt;"",IF(AND(B1006='IN-TC'!$S$4,OR(TH!N1006="1111",TH!O1006="1111")),TH!D1006,""),"")</f>
        <v/>
      </c>
      <c r="B1006" s="1131">
        <f t="shared" ref="B1006:B1008" si="192">IF(C1006&lt;&gt;"",MONTH(C1006),"")</f>
        <v>2</v>
      </c>
      <c r="C1006" s="292">
        <f t="shared" ref="C1006:C1008" si="193">E1006</f>
        <v>42791</v>
      </c>
      <c r="D1006" s="292" t="s">
        <v>2978</v>
      </c>
      <c r="E1006" s="292">
        <v>42791</v>
      </c>
      <c r="F1006" s="429" t="s">
        <v>771</v>
      </c>
      <c r="G1006" s="925"/>
      <c r="H1006" s="67" t="s">
        <v>1894</v>
      </c>
      <c r="I1006" s="373">
        <v>15680</v>
      </c>
      <c r="J1006" s="379">
        <v>17500</v>
      </c>
      <c r="K1006" s="373"/>
      <c r="L1006" s="379"/>
      <c r="M1006" s="927">
        <f t="shared" ref="M1006:M1008" si="194">ROUND(I1006*J1006,0)</f>
        <v>274400000</v>
      </c>
      <c r="N1006" s="295" t="s">
        <v>264</v>
      </c>
      <c r="O1006" s="295" t="s">
        <v>8</v>
      </c>
      <c r="P1006" s="75" t="str">
        <f>IF(AND('331-CT'!$E$7=TH!H1006,OR(N1006="331",O1006="331")),"x","")</f>
        <v/>
      </c>
      <c r="Q1006" s="75" t="str">
        <f>IF(AND(B1006='111'!$L$11,OR($N1006=$Q$7,$O1006=$Q$7)),"x","")</f>
        <v/>
      </c>
      <c r="R1006" s="75" t="str">
        <f>IF(AND($N1006=$Q$7,$B1006&lt;'111'!$L$11),"x","")</f>
        <v/>
      </c>
      <c r="S1006" s="75" t="str">
        <f>IF(AND($O1006=$Q$7,$B1006&lt;'111'!$L$11),"x","")</f>
        <v/>
      </c>
      <c r="T1006" s="75" t="str">
        <f>IF(ISERROR(FIND('112'!$M$9,G1006,1)),"",IF((AND(FIND('112'!$M$9,G1006,1)&gt;=1,B1006='112'!$K$9,OR($N1006='112'!$I$6,$O1006='112'!$I$6))),"x",""))</f>
        <v/>
      </c>
      <c r="U1006" s="75" t="str">
        <f>IF(ISERROR(FIND('112'!$M$9,G1006,1)),"",IF((AND(LEFT(G1006,2)=LEFT('112'!$M$9,2),B1006&lt;'112'!$K$9,$N1006='112'!$I$6)),"x",""))</f>
        <v/>
      </c>
      <c r="V1006" s="75" t="str">
        <f>IF(ISERROR(FIND('112'!$M$9,G1006,1)),"",IF((AND(RIGHT(G1006,2)=RIGHT('112'!$M$9,2),B1006&lt;'112'!$K$9,$O1006='112'!$I$6)),"x",""))</f>
        <v/>
      </c>
      <c r="W1006" s="75" t="str">
        <f>IF(AND('341-CT'!$H$9=H1006,OR(LEFT(N1006,3)=$W$7,LEFT(O1006,3)=$W$7)),"x","")</f>
        <v/>
      </c>
      <c r="X1006" s="75" t="str">
        <f>IF(OR(TH!N1006=TH!$X$7,O1006=TH!$X$7),"x","")</f>
        <v/>
      </c>
      <c r="Y1006" s="75" t="str">
        <f>IF(AND(OR(N1006="131",O1006="131"),H1006='131-CT'!$H$9),"x","")</f>
        <v/>
      </c>
      <c r="Z1006" s="75"/>
      <c r="AA1006" s="75" t="str">
        <f>IF(AND(MONTH(E1006)='IN-NX'!$J$5,'IN-NX'!$D$7=D1006),"x","")</f>
        <v/>
      </c>
      <c r="AB1006" s="75" t="str">
        <f>IF(AND(OR(LEFT(TH!N1006,2)="15",LEFT(TH!O1006,2)="15"),LEFT(TH!O1006,3)&lt;&gt;"111",'152-CT'!$J$8=TH!F1006),"x","")</f>
        <v/>
      </c>
      <c r="AC1006" s="75" t="str">
        <f>IF(AND(OR(LEFT(TH!N1006,2)="15",LEFT(TH!O1006,2)="15"),TK!$E$7=TH!F1006),"x","")</f>
        <v/>
      </c>
      <c r="AD1006" s="75" t="str">
        <f>IF(AND(N1006="1521",MONTH(C1006)='BK-NL'!$M$11),"x","")</f>
        <v/>
      </c>
    </row>
    <row r="1007" spans="1:30" ht="16.5" customHeight="1">
      <c r="A1007" s="309" t="str">
        <f>IF(B1007&lt;&gt;"",IF(AND(B1007='IN-TC'!$S$4,OR(TH!N1007="1111",TH!O1007="1111")),TH!D1007,""),"")</f>
        <v/>
      </c>
      <c r="B1007" s="1131">
        <f t="shared" si="192"/>
        <v>2</v>
      </c>
      <c r="C1007" s="292">
        <f t="shared" si="193"/>
        <v>42791</v>
      </c>
      <c r="D1007" s="292" t="s">
        <v>2979</v>
      </c>
      <c r="E1007" s="292">
        <v>42791</v>
      </c>
      <c r="F1007" s="429" t="s">
        <v>771</v>
      </c>
      <c r="G1007" s="925"/>
      <c r="H1007" s="67" t="s">
        <v>1891</v>
      </c>
      <c r="I1007" s="373">
        <v>15760</v>
      </c>
      <c r="J1007" s="379">
        <v>17500</v>
      </c>
      <c r="K1007" s="373"/>
      <c r="L1007" s="379"/>
      <c r="M1007" s="927">
        <f t="shared" si="194"/>
        <v>275800000</v>
      </c>
      <c r="N1007" s="295" t="s">
        <v>264</v>
      </c>
      <c r="O1007" s="295" t="s">
        <v>8</v>
      </c>
      <c r="P1007" s="75" t="str">
        <f>IF(AND('331-CT'!$E$7=TH!H1007,OR(N1007="331",O1007="331")),"x","")</f>
        <v/>
      </c>
      <c r="Q1007" s="75" t="str">
        <f>IF(AND(B1007='111'!$L$11,OR($N1007=$Q$7,$O1007=$Q$7)),"x","")</f>
        <v/>
      </c>
      <c r="R1007" s="75" t="str">
        <f>IF(AND($N1007=$Q$7,$B1007&lt;'111'!$L$11),"x","")</f>
        <v/>
      </c>
      <c r="S1007" s="75" t="str">
        <f>IF(AND($O1007=$Q$7,$B1007&lt;'111'!$L$11),"x","")</f>
        <v/>
      </c>
      <c r="T1007" s="75" t="str">
        <f>IF(ISERROR(FIND('112'!$M$9,G1007,1)),"",IF((AND(FIND('112'!$M$9,G1007,1)&gt;=1,B1007='112'!$K$9,OR($N1007='112'!$I$6,$O1007='112'!$I$6))),"x",""))</f>
        <v/>
      </c>
      <c r="U1007" s="75" t="str">
        <f>IF(ISERROR(FIND('112'!$M$9,G1007,1)),"",IF((AND(LEFT(G1007,2)=LEFT('112'!$M$9,2),B1007&lt;'112'!$K$9,$N1007='112'!$I$6)),"x",""))</f>
        <v/>
      </c>
      <c r="V1007" s="75" t="str">
        <f>IF(ISERROR(FIND('112'!$M$9,G1007,1)),"",IF((AND(RIGHT(G1007,2)=RIGHT('112'!$M$9,2),B1007&lt;'112'!$K$9,$O1007='112'!$I$6)),"x",""))</f>
        <v/>
      </c>
      <c r="W1007" s="75" t="str">
        <f>IF(AND('341-CT'!$H$9=H1007,OR(LEFT(N1007,3)=$W$7,LEFT(O1007,3)=$W$7)),"x","")</f>
        <v/>
      </c>
      <c r="X1007" s="75" t="str">
        <f>IF(OR(TH!N1007=TH!$X$7,O1007=TH!$X$7),"x","")</f>
        <v/>
      </c>
      <c r="Y1007" s="75" t="str">
        <f>IF(AND(OR(N1007="131",O1007="131"),H1007='131-CT'!$H$9),"x","")</f>
        <v/>
      </c>
      <c r="Z1007" s="75"/>
      <c r="AA1007" s="75" t="str">
        <f>IF(AND(MONTH(E1007)='IN-NX'!$J$5,'IN-NX'!$D$7=D1007),"x","")</f>
        <v/>
      </c>
      <c r="AB1007" s="75" t="str">
        <f>IF(AND(OR(LEFT(TH!N1007,2)="15",LEFT(TH!O1007,2)="15"),LEFT(TH!O1007,3)&lt;&gt;"111",'152-CT'!$J$8=TH!F1007),"x","")</f>
        <v/>
      </c>
      <c r="AC1007" s="75" t="str">
        <f>IF(AND(OR(LEFT(TH!N1007,2)="15",LEFT(TH!O1007,2)="15"),TK!$E$7=TH!F1007),"x","")</f>
        <v/>
      </c>
      <c r="AD1007" s="75" t="str">
        <f>IF(AND(N1007="1521",MONTH(C1007)='BK-NL'!$M$11),"x","")</f>
        <v/>
      </c>
    </row>
    <row r="1008" spans="1:30" ht="16.5" customHeight="1">
      <c r="A1008" s="309" t="str">
        <f>IF(B1008&lt;&gt;"",IF(AND(B1008='IN-TC'!$S$4,OR(TH!N1008="1111",TH!O1008="1111")),TH!D1008,""),"")</f>
        <v/>
      </c>
      <c r="B1008" s="1131">
        <f t="shared" si="192"/>
        <v>2</v>
      </c>
      <c r="C1008" s="292">
        <f t="shared" si="193"/>
        <v>42791</v>
      </c>
      <c r="D1008" s="292" t="s">
        <v>2980</v>
      </c>
      <c r="E1008" s="292">
        <v>42791</v>
      </c>
      <c r="F1008" s="429" t="s">
        <v>771</v>
      </c>
      <c r="G1008" s="925"/>
      <c r="H1008" s="67" t="s">
        <v>1893</v>
      </c>
      <c r="I1008" s="373">
        <f>312982-SUM(I989:I1007)</f>
        <v>15115</v>
      </c>
      <c r="J1008" s="379">
        <v>17500</v>
      </c>
      <c r="K1008" s="373"/>
      <c r="L1008" s="379"/>
      <c r="M1008" s="927">
        <f t="shared" si="194"/>
        <v>264512500</v>
      </c>
      <c r="N1008" s="295" t="s">
        <v>264</v>
      </c>
      <c r="O1008" s="295" t="s">
        <v>8</v>
      </c>
      <c r="P1008" s="75" t="str">
        <f>IF(AND('331-CT'!$E$7=TH!H1008,OR(N1008="331",O1008="331")),"x","")</f>
        <v/>
      </c>
      <c r="Q1008" s="75" t="str">
        <f>IF(AND(B1008='111'!$L$11,OR($N1008=$Q$7,$O1008=$Q$7)),"x","")</f>
        <v/>
      </c>
      <c r="R1008" s="75" t="str">
        <f>IF(AND($N1008=$Q$7,$B1008&lt;'111'!$L$11),"x","")</f>
        <v/>
      </c>
      <c r="S1008" s="75" t="str">
        <f>IF(AND($O1008=$Q$7,$B1008&lt;'111'!$L$11),"x","")</f>
        <v/>
      </c>
      <c r="T1008" s="75" t="str">
        <f>IF(ISERROR(FIND('112'!$M$9,G1008,1)),"",IF((AND(FIND('112'!$M$9,G1008,1)&gt;=1,B1008='112'!$K$9,OR($N1008='112'!$I$6,$O1008='112'!$I$6))),"x",""))</f>
        <v/>
      </c>
      <c r="U1008" s="75" t="str">
        <f>IF(ISERROR(FIND('112'!$M$9,G1008,1)),"",IF((AND(LEFT(G1008,2)=LEFT('112'!$M$9,2),B1008&lt;'112'!$K$9,$N1008='112'!$I$6)),"x",""))</f>
        <v/>
      </c>
      <c r="V1008" s="75" t="str">
        <f>IF(ISERROR(FIND('112'!$M$9,G1008,1)),"",IF((AND(RIGHT(G1008,2)=RIGHT('112'!$M$9,2),B1008&lt;'112'!$K$9,$O1008='112'!$I$6)),"x",""))</f>
        <v/>
      </c>
      <c r="W1008" s="75" t="str">
        <f>IF(AND('341-CT'!$H$9=H1008,OR(LEFT(N1008,3)=$W$7,LEFT(O1008,3)=$W$7)),"x","")</f>
        <v/>
      </c>
      <c r="X1008" s="75" t="str">
        <f>IF(OR(TH!N1008=TH!$X$7,O1008=TH!$X$7),"x","")</f>
        <v/>
      </c>
      <c r="Y1008" s="75" t="str">
        <f>IF(AND(OR(N1008="131",O1008="131"),H1008='131-CT'!$H$9),"x","")</f>
        <v/>
      </c>
      <c r="Z1008" s="75"/>
      <c r="AA1008" s="75" t="str">
        <f>IF(AND(MONTH(E1008)='IN-NX'!$J$5,'IN-NX'!$D$7=D1008),"x","")</f>
        <v/>
      </c>
      <c r="AB1008" s="75" t="str">
        <f>IF(AND(OR(LEFT(TH!N1008,2)="15",LEFT(TH!O1008,2)="15"),LEFT(TH!O1008,3)&lt;&gt;"111",'152-CT'!$J$8=TH!F1008),"x","")</f>
        <v/>
      </c>
      <c r="AC1008" s="75" t="str">
        <f>IF(AND(OR(LEFT(TH!N1008,2)="15",LEFT(TH!O1008,2)="15"),TK!$E$7=TH!F1008),"x","")</f>
        <v/>
      </c>
      <c r="AD1008" s="75" t="str">
        <f>IF(AND(N1008="1521",MONTH(C1008)='BK-NL'!$M$11),"x","")</f>
        <v/>
      </c>
    </row>
    <row r="1009" spans="1:30" ht="16.5" customHeight="1">
      <c r="A1009" s="309" t="str">
        <f>IF(B1009&lt;&gt;"",IF(AND(B1009='IN-TC'!$S$4,OR(TH!N1009="1111",TH!O1009="1111")),TH!D1009,""),"")</f>
        <v/>
      </c>
      <c r="B1009" s="1131">
        <f t="shared" si="189"/>
        <v>2</v>
      </c>
      <c r="C1009" s="929">
        <f t="shared" si="190"/>
        <v>42794</v>
      </c>
      <c r="D1009" s="929" t="s">
        <v>2956</v>
      </c>
      <c r="E1009" s="929">
        <v>42794</v>
      </c>
      <c r="F1009" s="1082" t="s">
        <v>771</v>
      </c>
      <c r="G1009" s="931"/>
      <c r="H1009" s="1082" t="s">
        <v>424</v>
      </c>
      <c r="I1009" s="371">
        <v>312982</v>
      </c>
      <c r="J1009" s="377">
        <v>17500</v>
      </c>
      <c r="K1009" s="371"/>
      <c r="L1009" s="377"/>
      <c r="M1009" s="933">
        <f t="shared" si="191"/>
        <v>5477185000</v>
      </c>
      <c r="N1009" s="934" t="s">
        <v>272</v>
      </c>
      <c r="O1009" s="934" t="s">
        <v>264</v>
      </c>
      <c r="P1009" s="75" t="str">
        <f>IF(AND('331-CT'!$E$7=TH!H1009,OR(N1009="331",O1009="331")),"x","")</f>
        <v/>
      </c>
      <c r="Q1009" s="75" t="str">
        <f>IF(AND(B1009='111'!$L$11,OR($N1009=$Q$7,$O1009=$Q$7)),"x","")</f>
        <v/>
      </c>
      <c r="R1009" s="75" t="str">
        <f>IF(AND($N1009=$Q$7,$B1009&lt;'111'!$L$11),"x","")</f>
        <v/>
      </c>
      <c r="S1009" s="75" t="str">
        <f>IF(AND($O1009=$Q$7,$B1009&lt;'111'!$L$11),"x","")</f>
        <v/>
      </c>
      <c r="T1009" s="75" t="str">
        <f>IF(ISERROR(FIND('112'!$M$9,G1009,1)),"",IF((AND(FIND('112'!$M$9,G1009,1)&gt;=1,B1009='112'!$K$9,OR($N1009='112'!$I$6,$O1009='112'!$I$6))),"x",""))</f>
        <v/>
      </c>
      <c r="U1009" s="75" t="str">
        <f>IF(ISERROR(FIND('112'!$M$9,G1009,1)),"",IF((AND(LEFT(G1009,2)=LEFT('112'!$M$9,2),B1009&lt;'112'!$K$9,$N1009='112'!$I$6)),"x",""))</f>
        <v/>
      </c>
      <c r="V1009" s="75" t="str">
        <f>IF(ISERROR(FIND('112'!$M$9,G1009,1)),"",IF((AND(RIGHT(G1009,2)=RIGHT('112'!$M$9,2),B1009&lt;'112'!$K$9,$O1009='112'!$I$6)),"x",""))</f>
        <v/>
      </c>
      <c r="W1009" s="75" t="str">
        <f>IF(AND('341-CT'!$H$9=H1009,OR(LEFT(N1009,3)=$W$7,LEFT(O1009,3)=$W$7)),"x","")</f>
        <v/>
      </c>
      <c r="X1009" s="75" t="str">
        <f>IF(OR(TH!N1009=TH!$X$7,O1009=TH!$X$7),"x","")</f>
        <v/>
      </c>
      <c r="Y1009" s="75" t="str">
        <f>IF(AND(OR(N1009="131",O1009="131"),H1009='131-CT'!$H$9),"x","")</f>
        <v/>
      </c>
      <c r="Z1009" s="75"/>
      <c r="AA1009" s="75" t="str">
        <f>IF(AND(MONTH(E1009)='IN-NX'!$J$5,'IN-NX'!$D$7=D1009),"x","")</f>
        <v/>
      </c>
      <c r="AB1009" s="75" t="str">
        <f>IF(AND(OR(LEFT(TH!N1009,2)="15",LEFT(TH!O1009,2)="15"),LEFT(TH!O1009,3)&lt;&gt;"111",'152-CT'!$J$8=TH!F1009),"x","")</f>
        <v/>
      </c>
      <c r="AC1009" s="75" t="str">
        <f>IF(AND(OR(LEFT(TH!N1009,2)="15",LEFT(TH!O1009,2)="15"),TK!$E$7=TH!F1009),"x","")</f>
        <v/>
      </c>
      <c r="AD1009" s="75" t="str">
        <f>IF(AND(N1009="1521",MONTH(C1009)='BK-NL'!$M$11),"x","")</f>
        <v/>
      </c>
    </row>
    <row r="1010" spans="1:30" s="1054" customFormat="1" ht="16.5" customHeight="1">
      <c r="A1010" s="309" t="str">
        <f>IF(B1010&lt;&gt;"",IF(AND(B1010='IN-TC'!$S$4,OR(TH!N1010="1111",TH!O1010="1111")),TH!D1010,""),"")</f>
        <v/>
      </c>
      <c r="B1010" s="1276">
        <f t="shared" si="128"/>
        <v>3</v>
      </c>
      <c r="C1010" s="936">
        <v>42802</v>
      </c>
      <c r="D1010" s="936" t="s">
        <v>818</v>
      </c>
      <c r="E1010" s="936">
        <f t="shared" si="138"/>
        <v>42802</v>
      </c>
      <c r="F1010" s="1055" t="s">
        <v>1584</v>
      </c>
      <c r="G1010" s="942" t="s">
        <v>1097</v>
      </c>
      <c r="H1010" s="946" t="s">
        <v>546</v>
      </c>
      <c r="I1010" s="939">
        <v>2880</v>
      </c>
      <c r="J1010" s="939">
        <v>8.6999999999999993</v>
      </c>
      <c r="K1010" s="939">
        <f t="shared" ref="K1010" si="195">I1010*J1010</f>
        <v>25055.999999999996</v>
      </c>
      <c r="L1010" s="938">
        <v>22795</v>
      </c>
      <c r="M1010" s="940">
        <f>ROUND(K1010*L1010,0)</f>
        <v>571151520</v>
      </c>
      <c r="N1010" s="941" t="s">
        <v>536</v>
      </c>
      <c r="O1010" s="941" t="s">
        <v>288</v>
      </c>
      <c r="P1010" s="75" t="str">
        <f>IF(AND('331-CT'!$E$7=TH!H1010,OR(N1010="331",O1010="331")),"x","")</f>
        <v/>
      </c>
      <c r="Q1010" s="75" t="str">
        <f>IF(AND(B1010='111'!$L$11,OR($N1010=$Q$7,$O1010=$Q$7)),"x","")</f>
        <v/>
      </c>
      <c r="R1010" s="75" t="str">
        <f>IF(AND($N1010=$Q$7,$B1010&lt;'111'!$L$11),"x","")</f>
        <v/>
      </c>
      <c r="S1010" s="75" t="str">
        <f>IF(AND($O1010=$Q$7,$B1010&lt;'111'!$L$11),"x","")</f>
        <v/>
      </c>
      <c r="T1010" s="75" t="str">
        <f>IF(ISERROR(FIND('112'!$M$9,G1010,1)),"",IF((AND(FIND('112'!$M$9,G1010,1)&gt;=1,B1010='112'!$K$9,OR($N1010='112'!$I$6,$O1010='112'!$I$6))),"x",""))</f>
        <v/>
      </c>
      <c r="U1010" s="75" t="str">
        <f>IF(ISERROR(FIND('112'!$M$9,G1010,1)),"",IF((AND(LEFT(G1010,2)=LEFT('112'!$M$9,2),B1010&lt;'112'!$K$9,$N1010='112'!$I$6)),"x",""))</f>
        <v/>
      </c>
      <c r="V1010" s="75" t="str">
        <f>IF(ISERROR(FIND('112'!$M$9,G1010,1)),"",IF((AND(RIGHT(G1010,2)=RIGHT('112'!$M$9,2),B1010&lt;'112'!$K$9,$O1010='112'!$I$6)),"x",""))</f>
        <v/>
      </c>
      <c r="W1010" s="75" t="str">
        <f>IF(AND('341-CT'!$H$9=H1010,OR(LEFT(N1010,3)=$W$7,LEFT(O1010,3)=$W$7)),"x","")</f>
        <v/>
      </c>
      <c r="X1010" s="75" t="str">
        <f>IF(OR(TH!N1010=TH!$X$7,O1010=TH!$X$7),"x","")</f>
        <v/>
      </c>
      <c r="Y1010" s="75" t="str">
        <f>IF(AND(OR(N1010="131",O1010="131"),H1010='131-CT'!$H$9),"x","")</f>
        <v/>
      </c>
      <c r="Z1010" s="75"/>
      <c r="AA1010" s="75" t="str">
        <f>IF(AND(MONTH(E1010)='IN-NX'!$J$5,'IN-NX'!$D$7=D1010),"x","")</f>
        <v/>
      </c>
      <c r="AB1010" s="75" t="str">
        <f>IF(AND(OR(LEFT(TH!N1010,2)="15",LEFT(TH!O1010,2)="15"),LEFT(TH!O1010,3)&lt;&gt;"111",'152-CT'!$J$8=TH!F1010),"x","")</f>
        <v/>
      </c>
      <c r="AC1010" s="75" t="str">
        <f>IF(AND(OR(LEFT(TH!N1010,2)="15",LEFT(TH!O1010,2)="15"),TK!$E$7=TH!F1010),"x","")</f>
        <v/>
      </c>
      <c r="AD1010" s="75" t="str">
        <f>IF(AND(N1010="1521",MONTH(C1010)='BK-NL'!$M$11),"x","")</f>
        <v/>
      </c>
    </row>
    <row r="1011" spans="1:30" ht="16.5" customHeight="1">
      <c r="A1011" s="309" t="str">
        <f>IF(B1011&lt;&gt;"",IF(AND(B1011='IN-TC'!$S$4,OR(TH!N1011="1111",TH!O1011="1111")),TH!D1011,""),"")</f>
        <v/>
      </c>
      <c r="B1011" s="1169">
        <f t="shared" si="128"/>
        <v>3</v>
      </c>
      <c r="C1011" s="252">
        <v>42810</v>
      </c>
      <c r="D1011" s="252" t="s">
        <v>819</v>
      </c>
      <c r="E1011" s="252">
        <f t="shared" ref="E1011" si="196">C1011</f>
        <v>42810</v>
      </c>
      <c r="F1011" s="730" t="s">
        <v>1406</v>
      </c>
      <c r="G1011" s="1056" t="s">
        <v>1113</v>
      </c>
      <c r="H1011" s="735" t="s">
        <v>805</v>
      </c>
      <c r="I1011" s="371">
        <v>1311</v>
      </c>
      <c r="J1011" s="371">
        <v>120000</v>
      </c>
      <c r="K1011" s="377"/>
      <c r="L1011" s="377"/>
      <c r="M1011" s="933">
        <f t="shared" ref="M1011:M1012" si="197">ROUND(I1011*J1011,0)</f>
        <v>157320000</v>
      </c>
      <c r="N1011" s="977" t="s">
        <v>536</v>
      </c>
      <c r="O1011" s="977" t="s">
        <v>286</v>
      </c>
      <c r="P1011" s="75" t="str">
        <f>IF(AND('331-CT'!$E$7=TH!H1011,OR(N1011="331",O1011="331")),"x","")</f>
        <v/>
      </c>
      <c r="Q1011" s="75" t="str">
        <f>IF(AND(B1011='111'!$L$11,OR($N1011=$Q$7,$O1011=$Q$7)),"x","")</f>
        <v/>
      </c>
      <c r="R1011" s="75" t="str">
        <f>IF(AND($N1011=$Q$7,$B1011&lt;'111'!$L$11),"x","")</f>
        <v/>
      </c>
      <c r="S1011" s="75" t="str">
        <f>IF(AND($O1011=$Q$7,$B1011&lt;'111'!$L$11),"x","")</f>
        <v/>
      </c>
      <c r="T1011" s="75" t="str">
        <f>IF(ISERROR(FIND('112'!$M$9,G1011,1)),"",IF((AND(FIND('112'!$M$9,G1011,1)&gt;=1,B1011='112'!$K$9,OR($N1011='112'!$I$6,$O1011='112'!$I$6))),"x",""))</f>
        <v/>
      </c>
      <c r="U1011" s="75" t="str">
        <f>IF(ISERROR(FIND('112'!$M$9,G1011,1)),"",IF((AND(LEFT(G1011,2)=LEFT('112'!$M$9,2),B1011&lt;'112'!$K$9,$N1011='112'!$I$6)),"x",""))</f>
        <v/>
      </c>
      <c r="V1011" s="75" t="str">
        <f>IF(ISERROR(FIND('112'!$M$9,G1011,1)),"",IF((AND(RIGHT(G1011,2)=RIGHT('112'!$M$9,2),B1011&lt;'112'!$K$9,$O1011='112'!$I$6)),"x",""))</f>
        <v/>
      </c>
      <c r="W1011" s="75" t="str">
        <f>IF(AND('341-CT'!$H$9=H1011,OR(LEFT(N1011,3)=$W$7,LEFT(O1011,3)=$W$7)),"x","")</f>
        <v/>
      </c>
      <c r="X1011" s="75" t="str">
        <f>IF(OR(TH!N1011=TH!$X$7,O1011=TH!$X$7),"x","")</f>
        <v/>
      </c>
      <c r="Y1011" s="75" t="str">
        <f>IF(AND(OR(N1011="131",O1011="131"),H1011='131-CT'!$H$9),"x","")</f>
        <v/>
      </c>
      <c r="Z1011" s="75"/>
      <c r="AA1011" s="75" t="str">
        <f>IF(AND(MONTH(E1011)='IN-NX'!$J$5,'IN-NX'!$D$7=D1011),"x","")</f>
        <v/>
      </c>
      <c r="AB1011" s="75" t="str">
        <f>IF(AND(OR(LEFT(TH!N1011,2)="15",LEFT(TH!O1011,2)="15"),LEFT(TH!O1011,3)&lt;&gt;"111",'152-CT'!$J$8=TH!F1011),"x","")</f>
        <v/>
      </c>
      <c r="AC1011" s="75" t="str">
        <f>IF(AND(OR(LEFT(TH!N1011,2)="15",LEFT(TH!O1011,2)="15"),TK!$E$7=TH!F1011),"x","")</f>
        <v/>
      </c>
      <c r="AD1011" s="75" t="str">
        <f>IF(AND(N1011="1521",MONTH(C1011)='BK-NL'!$M$11),"x","")</f>
        <v/>
      </c>
    </row>
    <row r="1012" spans="1:30" ht="16.5" customHeight="1">
      <c r="A1012" s="309" t="str">
        <f>IF(B1012&lt;&gt;"",IF(AND(B1012='IN-TC'!$S$4,OR(TH!N1012="1111",TH!O1012="1111")),TH!D1012,""),"")</f>
        <v/>
      </c>
      <c r="B1012" s="1169">
        <f t="shared" si="128"/>
        <v>3</v>
      </c>
      <c r="C1012" s="252">
        <v>42810</v>
      </c>
      <c r="D1012" s="252" t="s">
        <v>819</v>
      </c>
      <c r="E1012" s="252">
        <f t="shared" ref="E1012" si="198">C1012</f>
        <v>42810</v>
      </c>
      <c r="F1012" s="730" t="s">
        <v>421</v>
      </c>
      <c r="G1012" s="1056" t="s">
        <v>1113</v>
      </c>
      <c r="H1012" s="735" t="s">
        <v>805</v>
      </c>
      <c r="I1012" s="371">
        <v>2711.2</v>
      </c>
      <c r="J1012" s="371">
        <v>124732</v>
      </c>
      <c r="K1012" s="377"/>
      <c r="L1012" s="377"/>
      <c r="M1012" s="933">
        <f t="shared" si="197"/>
        <v>338173398</v>
      </c>
      <c r="N1012" s="977" t="s">
        <v>536</v>
      </c>
      <c r="O1012" s="977" t="s">
        <v>286</v>
      </c>
      <c r="P1012" s="75" t="str">
        <f>IF(AND('331-CT'!$E$7=TH!H1012,OR(N1012="331",O1012="331")),"x","")</f>
        <v/>
      </c>
      <c r="Q1012" s="75" t="str">
        <f>IF(AND(B1012='111'!$L$11,OR($N1012=$Q$7,$O1012=$Q$7)),"x","")</f>
        <v/>
      </c>
      <c r="R1012" s="75" t="str">
        <f>IF(AND($N1012=$Q$7,$B1012&lt;'111'!$L$11),"x","")</f>
        <v/>
      </c>
      <c r="S1012" s="75" t="str">
        <f>IF(AND($O1012=$Q$7,$B1012&lt;'111'!$L$11),"x","")</f>
        <v/>
      </c>
      <c r="T1012" s="75" t="str">
        <f>IF(ISERROR(FIND('112'!$M$9,G1012,1)),"",IF((AND(FIND('112'!$M$9,G1012,1)&gt;=1,B1012='112'!$K$9,OR($N1012='112'!$I$6,$O1012='112'!$I$6))),"x",""))</f>
        <v/>
      </c>
      <c r="U1012" s="75" t="str">
        <f>IF(ISERROR(FIND('112'!$M$9,G1012,1)),"",IF((AND(LEFT(G1012,2)=LEFT('112'!$M$9,2),B1012&lt;'112'!$K$9,$N1012='112'!$I$6)),"x",""))</f>
        <v/>
      </c>
      <c r="V1012" s="75" t="str">
        <f>IF(ISERROR(FIND('112'!$M$9,G1012,1)),"",IF((AND(RIGHT(G1012,2)=RIGHT('112'!$M$9,2),B1012&lt;'112'!$K$9,$O1012='112'!$I$6)),"x",""))</f>
        <v/>
      </c>
      <c r="W1012" s="75" t="str">
        <f>IF(AND('341-CT'!$H$9=H1012,OR(LEFT(N1012,3)=$W$7,LEFT(O1012,3)=$W$7)),"x","")</f>
        <v/>
      </c>
      <c r="X1012" s="75" t="str">
        <f>IF(OR(TH!N1012=TH!$X$7,O1012=TH!$X$7),"x","")</f>
        <v/>
      </c>
      <c r="Y1012" s="75" t="str">
        <f>IF(AND(OR(N1012="131",O1012="131"),H1012='131-CT'!$H$9),"x","")</f>
        <v/>
      </c>
      <c r="Z1012" s="75"/>
      <c r="AA1012" s="75" t="str">
        <f>IF(AND(MONTH(E1012)='IN-NX'!$J$5,'IN-NX'!$D$7=D1012),"x","")</f>
        <v/>
      </c>
      <c r="AB1012" s="75" t="str">
        <f>IF(AND(OR(LEFT(TH!N1012,2)="15",LEFT(TH!O1012,2)="15"),LEFT(TH!O1012,3)&lt;&gt;"111",'152-CT'!$J$8=TH!F1012),"x","")</f>
        <v/>
      </c>
      <c r="AC1012" s="75" t="str">
        <f>IF(AND(OR(LEFT(TH!N1012,2)="15",LEFT(TH!O1012,2)="15"),TK!$E$7=TH!F1012),"x","")</f>
        <v/>
      </c>
      <c r="AD1012" s="75" t="str">
        <f>IF(AND(N1012="1521",MONTH(C1012)='BK-NL'!$M$11),"x","")</f>
        <v/>
      </c>
    </row>
    <row r="1013" spans="1:30" ht="16.5" customHeight="1">
      <c r="A1013" s="309" t="str">
        <f>IF(B1013&lt;&gt;"",IF(AND(B1013='IN-TC'!$S$4,OR(TH!N1013="1111",TH!O1013="1111")),TH!D1013,""),"")</f>
        <v/>
      </c>
      <c r="B1013" s="1169">
        <f t="shared" si="128"/>
        <v>3</v>
      </c>
      <c r="C1013" s="252">
        <v>42810</v>
      </c>
      <c r="D1013" s="252" t="s">
        <v>836</v>
      </c>
      <c r="E1013" s="252">
        <f t="shared" ref="E1013" si="199">C1013</f>
        <v>42810</v>
      </c>
      <c r="F1013" s="730" t="s">
        <v>1140</v>
      </c>
      <c r="G1013" s="1056" t="s">
        <v>1138</v>
      </c>
      <c r="H1013" s="735" t="s">
        <v>1139</v>
      </c>
      <c r="I1013" s="371">
        <v>120</v>
      </c>
      <c r="J1013" s="371">
        <v>12.2</v>
      </c>
      <c r="K1013" s="377">
        <f>I1013*J1013</f>
        <v>1464</v>
      </c>
      <c r="L1013" s="377">
        <v>22795</v>
      </c>
      <c r="M1013" s="933">
        <f t="shared" ref="M1013:M1018" si="200">ROUND(K1013*L1013,0)</f>
        <v>33371880</v>
      </c>
      <c r="N1013" s="977" t="s">
        <v>536</v>
      </c>
      <c r="O1013" s="977" t="s">
        <v>288</v>
      </c>
      <c r="P1013" s="75" t="str">
        <f>IF(AND('331-CT'!$E$7=TH!H1013,OR(N1013="331",O1013="331")),"x","")</f>
        <v/>
      </c>
      <c r="Q1013" s="75" t="str">
        <f>IF(AND(B1013='111'!$L$11,OR($N1013=$Q$7,$O1013=$Q$7)),"x","")</f>
        <v/>
      </c>
      <c r="R1013" s="75" t="str">
        <f>IF(AND($N1013=$Q$7,$B1013&lt;'111'!$L$11),"x","")</f>
        <v/>
      </c>
      <c r="S1013" s="75" t="str">
        <f>IF(AND($O1013=$Q$7,$B1013&lt;'111'!$L$11),"x","")</f>
        <v/>
      </c>
      <c r="T1013" s="75" t="str">
        <f>IF(ISERROR(FIND('112'!$M$9,G1013,1)),"",IF((AND(FIND('112'!$M$9,G1013,1)&gt;=1,B1013='112'!$K$9,OR($N1013='112'!$I$6,$O1013='112'!$I$6))),"x",""))</f>
        <v/>
      </c>
      <c r="U1013" s="75" t="str">
        <f>IF(ISERROR(FIND('112'!$M$9,G1013,1)),"",IF((AND(LEFT(G1013,2)=LEFT('112'!$M$9,2),B1013&lt;'112'!$K$9,$N1013='112'!$I$6)),"x",""))</f>
        <v/>
      </c>
      <c r="V1013" s="75" t="str">
        <f>IF(ISERROR(FIND('112'!$M$9,G1013,1)),"",IF((AND(RIGHT(G1013,2)=RIGHT('112'!$M$9,2),B1013&lt;'112'!$K$9,$O1013='112'!$I$6)),"x",""))</f>
        <v/>
      </c>
      <c r="W1013" s="75" t="str">
        <f>IF(AND('341-CT'!$H$9=H1013,OR(LEFT(N1013,3)=$W$7,LEFT(O1013,3)=$W$7)),"x","")</f>
        <v/>
      </c>
      <c r="X1013" s="75" t="str">
        <f>IF(OR(TH!N1013=TH!$X$7,O1013=TH!$X$7),"x","")</f>
        <v/>
      </c>
      <c r="Y1013" s="75" t="str">
        <f>IF(AND(OR(N1013="131",O1013="131"),H1013='131-CT'!$H$9),"x","")</f>
        <v/>
      </c>
      <c r="Z1013" s="75"/>
      <c r="AA1013" s="75" t="str">
        <f>IF(AND(MONTH(E1013)='IN-NX'!$J$5,'IN-NX'!$D$7=D1013),"x","")</f>
        <v/>
      </c>
      <c r="AB1013" s="75" t="str">
        <f>IF(AND(OR(LEFT(TH!N1013,2)="15",LEFT(TH!O1013,2)="15"),LEFT(TH!O1013,3)&lt;&gt;"111",'152-CT'!$J$8=TH!F1013),"x","")</f>
        <v/>
      </c>
      <c r="AC1013" s="75" t="str">
        <f>IF(AND(OR(LEFT(TH!N1013,2)="15",LEFT(TH!O1013,2)="15"),TK!$E$7=TH!F1013),"x","")</f>
        <v/>
      </c>
      <c r="AD1013" s="75" t="str">
        <f>IF(AND(N1013="1521",MONTH(C1013)='BK-NL'!$M$11),"x","")</f>
        <v/>
      </c>
    </row>
    <row r="1014" spans="1:30" ht="16.5" customHeight="1">
      <c r="A1014" s="309" t="str">
        <f>IF(B1014&lt;&gt;"",IF(AND(B1014='IN-TC'!$S$4,OR(TH!N1014="1111",TH!O1014="1111")),TH!D1014,""),"")</f>
        <v/>
      </c>
      <c r="B1014" s="1169">
        <f t="shared" si="128"/>
        <v>3</v>
      </c>
      <c r="C1014" s="252">
        <v>42810</v>
      </c>
      <c r="D1014" s="252" t="s">
        <v>836</v>
      </c>
      <c r="E1014" s="252">
        <f t="shared" ref="E1014:E1015" si="201">C1014</f>
        <v>42810</v>
      </c>
      <c r="F1014" s="730" t="s">
        <v>1141</v>
      </c>
      <c r="G1014" s="1056" t="s">
        <v>1138</v>
      </c>
      <c r="H1014" s="735" t="s">
        <v>1139</v>
      </c>
      <c r="I1014" s="371">
        <v>160</v>
      </c>
      <c r="J1014" s="371">
        <v>12.3</v>
      </c>
      <c r="K1014" s="377">
        <f t="shared" ref="K1014:K1015" si="202">I1014*J1014</f>
        <v>1968</v>
      </c>
      <c r="L1014" s="377">
        <v>22795</v>
      </c>
      <c r="M1014" s="933">
        <f t="shared" si="200"/>
        <v>44860560</v>
      </c>
      <c r="N1014" s="977" t="s">
        <v>536</v>
      </c>
      <c r="O1014" s="977" t="s">
        <v>288</v>
      </c>
      <c r="P1014" s="75" t="str">
        <f>IF(AND('331-CT'!$E$7=TH!H1014,OR(N1014="331",O1014="331")),"x","")</f>
        <v/>
      </c>
      <c r="Q1014" s="75" t="str">
        <f>IF(AND(B1014='111'!$L$11,OR($N1014=$Q$7,$O1014=$Q$7)),"x","")</f>
        <v/>
      </c>
      <c r="R1014" s="75" t="str">
        <f>IF(AND($N1014=$Q$7,$B1014&lt;'111'!$L$11),"x","")</f>
        <v/>
      </c>
      <c r="S1014" s="75" t="str">
        <f>IF(AND($O1014=$Q$7,$B1014&lt;'111'!$L$11),"x","")</f>
        <v/>
      </c>
      <c r="T1014" s="75" t="str">
        <f>IF(ISERROR(FIND('112'!$M$9,G1014,1)),"",IF((AND(FIND('112'!$M$9,G1014,1)&gt;=1,B1014='112'!$K$9,OR($N1014='112'!$I$6,$O1014='112'!$I$6))),"x",""))</f>
        <v/>
      </c>
      <c r="U1014" s="75" t="str">
        <f>IF(ISERROR(FIND('112'!$M$9,G1014,1)),"",IF((AND(LEFT(G1014,2)=LEFT('112'!$M$9,2),B1014&lt;'112'!$K$9,$N1014='112'!$I$6)),"x",""))</f>
        <v/>
      </c>
      <c r="V1014" s="75" t="str">
        <f>IF(ISERROR(FIND('112'!$M$9,G1014,1)),"",IF((AND(RIGHT(G1014,2)=RIGHT('112'!$M$9,2),B1014&lt;'112'!$K$9,$O1014='112'!$I$6)),"x",""))</f>
        <v/>
      </c>
      <c r="W1014" s="75" t="str">
        <f>IF(AND('341-CT'!$H$9=H1014,OR(LEFT(N1014,3)=$W$7,LEFT(O1014,3)=$W$7)),"x","")</f>
        <v/>
      </c>
      <c r="X1014" s="75" t="str">
        <f>IF(OR(TH!N1014=TH!$X$7,O1014=TH!$X$7),"x","")</f>
        <v/>
      </c>
      <c r="Y1014" s="75" t="str">
        <f>IF(AND(OR(N1014="131",O1014="131"),H1014='131-CT'!$H$9),"x","")</f>
        <v/>
      </c>
      <c r="Z1014" s="75"/>
      <c r="AA1014" s="75" t="str">
        <f>IF(AND(MONTH(E1014)='IN-NX'!$J$5,'IN-NX'!$D$7=D1014),"x","")</f>
        <v/>
      </c>
      <c r="AB1014" s="75" t="str">
        <f>IF(AND(OR(LEFT(TH!N1014,2)="15",LEFT(TH!O1014,2)="15"),LEFT(TH!O1014,3)&lt;&gt;"111",'152-CT'!$J$8=TH!F1014),"x","")</f>
        <v/>
      </c>
      <c r="AC1014" s="75" t="str">
        <f>IF(AND(OR(LEFT(TH!N1014,2)="15",LEFT(TH!O1014,2)="15"),TK!$E$7=TH!F1014),"x","")</f>
        <v/>
      </c>
      <c r="AD1014" s="75" t="str">
        <f>IF(AND(N1014="1521",MONTH(C1014)='BK-NL'!$M$11),"x","")</f>
        <v/>
      </c>
    </row>
    <row r="1015" spans="1:30" ht="16.5" customHeight="1">
      <c r="A1015" s="309" t="str">
        <f>IF(B1015&lt;&gt;"",IF(AND(B1015='IN-TC'!$S$4,OR(TH!N1015="1111",TH!O1015="1111")),TH!D1015,""),"")</f>
        <v/>
      </c>
      <c r="B1015" s="1169">
        <f t="shared" si="128"/>
        <v>3</v>
      </c>
      <c r="C1015" s="252">
        <v>42810</v>
      </c>
      <c r="D1015" s="252" t="s">
        <v>836</v>
      </c>
      <c r="E1015" s="252">
        <f t="shared" si="201"/>
        <v>42810</v>
      </c>
      <c r="F1015" s="730" t="s">
        <v>1137</v>
      </c>
      <c r="G1015" s="1056" t="s">
        <v>1138</v>
      </c>
      <c r="H1015" s="735" t="s">
        <v>1139</v>
      </c>
      <c r="I1015" s="371">
        <v>160</v>
      </c>
      <c r="J1015" s="371">
        <v>12.3</v>
      </c>
      <c r="K1015" s="377">
        <f t="shared" si="202"/>
        <v>1968</v>
      </c>
      <c r="L1015" s="377">
        <v>22795</v>
      </c>
      <c r="M1015" s="933">
        <f t="shared" si="200"/>
        <v>44860560</v>
      </c>
      <c r="N1015" s="977" t="s">
        <v>536</v>
      </c>
      <c r="O1015" s="977" t="s">
        <v>288</v>
      </c>
      <c r="P1015" s="75" t="str">
        <f>IF(AND('331-CT'!$E$7=TH!H1015,OR(N1015="331",O1015="331")),"x","")</f>
        <v/>
      </c>
      <c r="Q1015" s="75" t="str">
        <f>IF(AND(B1015='111'!$L$11,OR($N1015=$Q$7,$O1015=$Q$7)),"x","")</f>
        <v/>
      </c>
      <c r="R1015" s="75" t="str">
        <f>IF(AND($N1015=$Q$7,$B1015&lt;'111'!$L$11),"x","")</f>
        <v/>
      </c>
      <c r="S1015" s="75" t="str">
        <f>IF(AND($O1015=$Q$7,$B1015&lt;'111'!$L$11),"x","")</f>
        <v/>
      </c>
      <c r="T1015" s="75" t="str">
        <f>IF(ISERROR(FIND('112'!$M$9,G1015,1)),"",IF((AND(FIND('112'!$M$9,G1015,1)&gt;=1,B1015='112'!$K$9,OR($N1015='112'!$I$6,$O1015='112'!$I$6))),"x",""))</f>
        <v/>
      </c>
      <c r="U1015" s="75" t="str">
        <f>IF(ISERROR(FIND('112'!$M$9,G1015,1)),"",IF((AND(LEFT(G1015,2)=LEFT('112'!$M$9,2),B1015&lt;'112'!$K$9,$N1015='112'!$I$6)),"x",""))</f>
        <v/>
      </c>
      <c r="V1015" s="75" t="str">
        <f>IF(ISERROR(FIND('112'!$M$9,G1015,1)),"",IF((AND(RIGHT(G1015,2)=RIGHT('112'!$M$9,2),B1015&lt;'112'!$K$9,$O1015='112'!$I$6)),"x",""))</f>
        <v/>
      </c>
      <c r="W1015" s="75" t="str">
        <f>IF(AND('341-CT'!$H$9=H1015,OR(LEFT(N1015,3)=$W$7,LEFT(O1015,3)=$W$7)),"x","")</f>
        <v/>
      </c>
      <c r="X1015" s="75" t="str">
        <f>IF(OR(TH!N1015=TH!$X$7,O1015=TH!$X$7),"x","")</f>
        <v/>
      </c>
      <c r="Y1015" s="75" t="str">
        <f>IF(AND(OR(N1015="131",O1015="131"),H1015='131-CT'!$H$9),"x","")</f>
        <v/>
      </c>
      <c r="Z1015" s="75"/>
      <c r="AA1015" s="75" t="str">
        <f>IF(AND(MONTH(E1015)='IN-NX'!$J$5,'IN-NX'!$D$7=D1015),"x","")</f>
        <v/>
      </c>
      <c r="AB1015" s="75" t="str">
        <f>IF(AND(OR(LEFT(TH!N1015,2)="15",LEFT(TH!O1015,2)="15"),LEFT(TH!O1015,3)&lt;&gt;"111",'152-CT'!$J$8=TH!F1015),"x","")</f>
        <v/>
      </c>
      <c r="AC1015" s="75" t="str">
        <f>IF(AND(OR(LEFT(TH!N1015,2)="15",LEFT(TH!O1015,2)="15"),TK!$E$7=TH!F1015),"x","")</f>
        <v/>
      </c>
      <c r="AD1015" s="75" t="str">
        <f>IF(AND(N1015="1521",MONTH(C1015)='BK-NL'!$M$11),"x","")</f>
        <v/>
      </c>
    </row>
    <row r="1016" spans="1:30" ht="16.5" customHeight="1">
      <c r="A1016" s="309" t="str">
        <f>IF(B1016&lt;&gt;"",IF(AND(B1016='IN-TC'!$S$4,OR(TH!N1016="1111",TH!O1016="1111")),TH!D1016,""),"")</f>
        <v/>
      </c>
      <c r="B1016" s="1169">
        <f t="shared" si="128"/>
        <v>3</v>
      </c>
      <c r="C1016" s="252">
        <v>42811</v>
      </c>
      <c r="D1016" s="252" t="s">
        <v>838</v>
      </c>
      <c r="E1016" s="252">
        <f t="shared" ref="E1016" si="203">C1016</f>
        <v>42811</v>
      </c>
      <c r="F1016" s="1055" t="s">
        <v>429</v>
      </c>
      <c r="G1016" s="1056" t="s">
        <v>1112</v>
      </c>
      <c r="H1016" s="296" t="s">
        <v>759</v>
      </c>
      <c r="I1016" s="371">
        <v>158093</v>
      </c>
      <c r="J1016" s="932">
        <v>2.65</v>
      </c>
      <c r="K1016" s="932">
        <f>I1016*J1016</f>
        <v>418946.45</v>
      </c>
      <c r="L1016" s="377">
        <v>22780</v>
      </c>
      <c r="M1016" s="933">
        <f t="shared" si="200"/>
        <v>9543600131</v>
      </c>
      <c r="N1016" s="977" t="s">
        <v>536</v>
      </c>
      <c r="O1016" s="977" t="s">
        <v>288</v>
      </c>
      <c r="P1016" s="75" t="str">
        <f>IF(AND('331-CT'!$E$7=TH!H1016,OR(N1016="331",O1016="331")),"x","")</f>
        <v/>
      </c>
      <c r="Q1016" s="75" t="str">
        <f>IF(AND(B1016='111'!$L$11,OR($N1016=$Q$7,$O1016=$Q$7)),"x","")</f>
        <v/>
      </c>
      <c r="R1016" s="75" t="str">
        <f>IF(AND($N1016=$Q$7,$B1016&lt;'111'!$L$11),"x","")</f>
        <v/>
      </c>
      <c r="S1016" s="75" t="str">
        <f>IF(AND($O1016=$Q$7,$B1016&lt;'111'!$L$11),"x","")</f>
        <v/>
      </c>
      <c r="T1016" s="75" t="str">
        <f>IF(ISERROR(FIND('112'!$M$9,G1016,1)),"",IF((AND(FIND('112'!$M$9,G1016,1)&gt;=1,B1016='112'!$K$9,OR($N1016='112'!$I$6,$O1016='112'!$I$6))),"x",""))</f>
        <v/>
      </c>
      <c r="U1016" s="75" t="str">
        <f>IF(ISERROR(FIND('112'!$M$9,G1016,1)),"",IF((AND(LEFT(G1016,2)=LEFT('112'!$M$9,2),B1016&lt;'112'!$K$9,$N1016='112'!$I$6)),"x",""))</f>
        <v/>
      </c>
      <c r="V1016" s="75" t="str">
        <f>IF(ISERROR(FIND('112'!$M$9,G1016,1)),"",IF((AND(RIGHT(G1016,2)=RIGHT('112'!$M$9,2),B1016&lt;'112'!$K$9,$O1016='112'!$I$6)),"x",""))</f>
        <v/>
      </c>
      <c r="W1016" s="75" t="str">
        <f>IF(AND('341-CT'!$H$9=H1016,OR(LEFT(N1016,3)=$W$7,LEFT(O1016,3)=$W$7)),"x","")</f>
        <v/>
      </c>
      <c r="X1016" s="75" t="str">
        <f>IF(OR(TH!N1016=TH!$X$7,O1016=TH!$X$7),"x","")</f>
        <v/>
      </c>
      <c r="Y1016" s="75" t="str">
        <f>IF(AND(OR(N1016="131",O1016="131"),H1016='131-CT'!$H$9),"x","")</f>
        <v/>
      </c>
      <c r="Z1016" s="75"/>
      <c r="AA1016" s="75" t="str">
        <f>IF(AND(MONTH(E1016)='IN-NX'!$J$5,'IN-NX'!$D$7=D1016),"x","")</f>
        <v/>
      </c>
      <c r="AB1016" s="75" t="str">
        <f>IF(AND(OR(LEFT(TH!N1016,2)="15",LEFT(TH!O1016,2)="15"),LEFT(TH!O1016,3)&lt;&gt;"111",'152-CT'!$J$8=TH!F1016),"x","")</f>
        <v/>
      </c>
      <c r="AC1016" s="75" t="str">
        <f>IF(AND(OR(LEFT(TH!N1016,2)="15",LEFT(TH!O1016,2)="15"),TK!$E$7=TH!F1016),"x","")</f>
        <v/>
      </c>
      <c r="AD1016" s="75" t="str">
        <f>IF(AND(N1016="1521",MONTH(C1016)='BK-NL'!$M$11),"x","")</f>
        <v/>
      </c>
    </row>
    <row r="1017" spans="1:30" ht="16.5" customHeight="1">
      <c r="A1017" s="309" t="str">
        <f>IF(B1017&lt;&gt;"",IF(AND(B1017='IN-TC'!$S$4,OR(TH!N1017="1111",TH!O1017="1111")),TH!D1017,""),"")</f>
        <v/>
      </c>
      <c r="B1017" s="1169">
        <f t="shared" si="128"/>
        <v>3</v>
      </c>
      <c r="C1017" s="252">
        <v>42817</v>
      </c>
      <c r="D1017" s="252" t="s">
        <v>863</v>
      </c>
      <c r="E1017" s="252">
        <f t="shared" ref="E1017" si="204">C1017</f>
        <v>42817</v>
      </c>
      <c r="F1017" s="1055" t="s">
        <v>429</v>
      </c>
      <c r="G1017" s="1056" t="s">
        <v>1119</v>
      </c>
      <c r="H1017" s="296" t="s">
        <v>759</v>
      </c>
      <c r="I1017" s="371">
        <v>131417</v>
      </c>
      <c r="J1017" s="932">
        <v>2.65</v>
      </c>
      <c r="K1017" s="932">
        <f>I1017*J1017</f>
        <v>348255.05</v>
      </c>
      <c r="L1017" s="377">
        <v>22740</v>
      </c>
      <c r="M1017" s="933">
        <f t="shared" si="200"/>
        <v>7919319837</v>
      </c>
      <c r="N1017" s="977" t="s">
        <v>536</v>
      </c>
      <c r="O1017" s="977" t="s">
        <v>288</v>
      </c>
      <c r="P1017" s="75" t="str">
        <f>IF(AND('331-CT'!$E$7=TH!H1017,OR(N1017="331",O1017="331")),"x","")</f>
        <v/>
      </c>
      <c r="Q1017" s="75" t="str">
        <f>IF(AND(B1017='111'!$L$11,OR($N1017=$Q$7,$O1017=$Q$7)),"x","")</f>
        <v/>
      </c>
      <c r="R1017" s="75" t="str">
        <f>IF(AND($N1017=$Q$7,$B1017&lt;'111'!$L$11),"x","")</f>
        <v/>
      </c>
      <c r="S1017" s="75" t="str">
        <f>IF(AND($O1017=$Q$7,$B1017&lt;'111'!$L$11),"x","")</f>
        <v/>
      </c>
      <c r="T1017" s="75" t="str">
        <f>IF(ISERROR(FIND('112'!$M$9,G1017,1)),"",IF((AND(FIND('112'!$M$9,G1017,1)&gt;=1,B1017='112'!$K$9,OR($N1017='112'!$I$6,$O1017='112'!$I$6))),"x",""))</f>
        <v/>
      </c>
      <c r="U1017" s="75" t="str">
        <f>IF(ISERROR(FIND('112'!$M$9,G1017,1)),"",IF((AND(LEFT(G1017,2)=LEFT('112'!$M$9,2),B1017&lt;'112'!$K$9,$N1017='112'!$I$6)),"x",""))</f>
        <v/>
      </c>
      <c r="V1017" s="75" t="str">
        <f>IF(ISERROR(FIND('112'!$M$9,G1017,1)),"",IF((AND(RIGHT(G1017,2)=RIGHT('112'!$M$9,2),B1017&lt;'112'!$K$9,$O1017='112'!$I$6)),"x",""))</f>
        <v/>
      </c>
      <c r="W1017" s="75" t="str">
        <f>IF(AND('341-CT'!$H$9=H1017,OR(LEFT(N1017,3)=$W$7,LEFT(O1017,3)=$W$7)),"x","")</f>
        <v/>
      </c>
      <c r="X1017" s="75" t="str">
        <f>IF(OR(TH!N1017=TH!$X$7,O1017=TH!$X$7),"x","")</f>
        <v/>
      </c>
      <c r="Y1017" s="75" t="str">
        <f>IF(AND(OR(N1017="131",O1017="131"),H1017='131-CT'!$H$9),"x","")</f>
        <v/>
      </c>
      <c r="Z1017" s="75"/>
      <c r="AA1017" s="75" t="str">
        <f>IF(AND(MONTH(E1017)='IN-NX'!$J$5,'IN-NX'!$D$7=D1017),"x","")</f>
        <v/>
      </c>
      <c r="AB1017" s="75" t="str">
        <f>IF(AND(OR(LEFT(TH!N1017,2)="15",LEFT(TH!O1017,2)="15"),LEFT(TH!O1017,3)&lt;&gt;"111",'152-CT'!$J$8=TH!F1017),"x","")</f>
        <v/>
      </c>
      <c r="AC1017" s="75" t="str">
        <f>IF(AND(OR(LEFT(TH!N1017,2)="15",LEFT(TH!O1017,2)="15"),TK!$E$7=TH!F1017),"x","")</f>
        <v/>
      </c>
      <c r="AD1017" s="75" t="str">
        <f>IF(AND(N1017="1521",MONTH(C1017)='BK-NL'!$M$11),"x","")</f>
        <v/>
      </c>
    </row>
    <row r="1018" spans="1:30" ht="16.5" customHeight="1">
      <c r="A1018" s="309" t="str">
        <f>IF(B1018&lt;&gt;"",IF(AND(B1018='IN-TC'!$S$4,OR(TH!N1018="1111",TH!O1018="1111")),TH!D1018,""),"")</f>
        <v/>
      </c>
      <c r="B1018" s="1169">
        <f t="shared" si="128"/>
        <v>3</v>
      </c>
      <c r="C1018" s="252">
        <v>42821</v>
      </c>
      <c r="D1018" s="252" t="s">
        <v>864</v>
      </c>
      <c r="E1018" s="252">
        <f t="shared" ref="E1018:E1024" si="205">C1018</f>
        <v>42821</v>
      </c>
      <c r="F1018" s="1055" t="s">
        <v>429</v>
      </c>
      <c r="G1018" s="1056" t="s">
        <v>1129</v>
      </c>
      <c r="H1018" s="296" t="s">
        <v>759</v>
      </c>
      <c r="I1018" s="371">
        <v>158340</v>
      </c>
      <c r="J1018" s="932">
        <v>2.84</v>
      </c>
      <c r="K1018" s="932">
        <f>I1018*J1018</f>
        <v>449685.6</v>
      </c>
      <c r="L1018" s="377">
        <v>22750</v>
      </c>
      <c r="M1018" s="933">
        <f t="shared" si="200"/>
        <v>10230347400</v>
      </c>
      <c r="N1018" s="977" t="s">
        <v>536</v>
      </c>
      <c r="O1018" s="977" t="s">
        <v>288</v>
      </c>
      <c r="P1018" s="75" t="str">
        <f>IF(AND('331-CT'!$E$7=TH!H1018,OR(N1018="331",O1018="331")),"x","")</f>
        <v/>
      </c>
      <c r="Q1018" s="75" t="str">
        <f>IF(AND(B1018='111'!$L$11,OR($N1018=$Q$7,$O1018=$Q$7)),"x","")</f>
        <v/>
      </c>
      <c r="R1018" s="75" t="str">
        <f>IF(AND($N1018=$Q$7,$B1018&lt;'111'!$L$11),"x","")</f>
        <v/>
      </c>
      <c r="S1018" s="75" t="str">
        <f>IF(AND($O1018=$Q$7,$B1018&lt;'111'!$L$11),"x","")</f>
        <v/>
      </c>
      <c r="T1018" s="75" t="str">
        <f>IF(ISERROR(FIND('112'!$M$9,G1018,1)),"",IF((AND(FIND('112'!$M$9,G1018,1)&gt;=1,B1018='112'!$K$9,OR($N1018='112'!$I$6,$O1018='112'!$I$6))),"x",""))</f>
        <v/>
      </c>
      <c r="U1018" s="75" t="str">
        <f>IF(ISERROR(FIND('112'!$M$9,G1018,1)),"",IF((AND(LEFT(G1018,2)=LEFT('112'!$M$9,2),B1018&lt;'112'!$K$9,$N1018='112'!$I$6)),"x",""))</f>
        <v/>
      </c>
      <c r="V1018" s="75" t="str">
        <f>IF(ISERROR(FIND('112'!$M$9,G1018,1)),"",IF((AND(RIGHT(G1018,2)=RIGHT('112'!$M$9,2),B1018&lt;'112'!$K$9,$O1018='112'!$I$6)),"x",""))</f>
        <v/>
      </c>
      <c r="W1018" s="75" t="str">
        <f>IF(AND('341-CT'!$H$9=H1018,OR(LEFT(N1018,3)=$W$7,LEFT(O1018,3)=$W$7)),"x","")</f>
        <v/>
      </c>
      <c r="X1018" s="75" t="str">
        <f>IF(OR(TH!N1018=TH!$X$7,O1018=TH!$X$7),"x","")</f>
        <v/>
      </c>
      <c r="Y1018" s="75" t="str">
        <f>IF(AND(OR(N1018="131",O1018="131"),H1018='131-CT'!$H$9),"x","")</f>
        <v/>
      </c>
      <c r="Z1018" s="75"/>
      <c r="AA1018" s="75" t="str">
        <f>IF(AND(MONTH(E1018)='IN-NX'!$J$5,'IN-NX'!$D$7=D1018),"x","")</f>
        <v/>
      </c>
      <c r="AB1018" s="75" t="str">
        <f>IF(AND(OR(LEFT(TH!N1018,2)="15",LEFT(TH!O1018,2)="15"),LEFT(TH!O1018,3)&lt;&gt;"111",'152-CT'!$J$8=TH!F1018),"x","")</f>
        <v/>
      </c>
      <c r="AC1018" s="75" t="str">
        <f>IF(AND(OR(LEFT(TH!N1018,2)="15",LEFT(TH!O1018,2)="15"),TK!$E$7=TH!F1018),"x","")</f>
        <v/>
      </c>
      <c r="AD1018" s="75" t="str">
        <f>IF(AND(N1018="1521",MONTH(C1018)='BK-NL'!$M$11),"x","")</f>
        <v/>
      </c>
    </row>
    <row r="1019" spans="1:30" ht="16.5" customHeight="1">
      <c r="A1019" s="309" t="str">
        <f>IF(B1019&lt;&gt;"",IF(AND(B1019='IN-TC'!$S$4,OR(TH!N1019="1111",TH!O1019="1111")),TH!D1019,""),"")</f>
        <v/>
      </c>
      <c r="B1019" s="1169">
        <f t="shared" si="128"/>
        <v>3</v>
      </c>
      <c r="C1019" s="252">
        <v>42822</v>
      </c>
      <c r="D1019" s="252" t="s">
        <v>894</v>
      </c>
      <c r="E1019" s="252">
        <f t="shared" si="205"/>
        <v>42822</v>
      </c>
      <c r="F1019" s="1082" t="s">
        <v>799</v>
      </c>
      <c r="G1019" s="1056" t="s">
        <v>1145</v>
      </c>
      <c r="H1019" s="735" t="s">
        <v>802</v>
      </c>
      <c r="I1019" s="371">
        <v>60</v>
      </c>
      <c r="J1019" s="932">
        <v>220000</v>
      </c>
      <c r="K1019" s="932"/>
      <c r="L1019" s="377"/>
      <c r="M1019" s="933">
        <f t="shared" ref="M1019:M1023" si="206">ROUND(I1019*J1019,0)</f>
        <v>13200000</v>
      </c>
      <c r="N1019" s="977" t="s">
        <v>536</v>
      </c>
      <c r="O1019" s="977" t="s">
        <v>286</v>
      </c>
      <c r="P1019" s="75" t="str">
        <f>IF(AND('331-CT'!$E$7=TH!H1019,OR(N1019="331",O1019="331")),"x","")</f>
        <v/>
      </c>
      <c r="Q1019" s="75" t="str">
        <f>IF(AND(B1019='111'!$L$11,OR($N1019=$Q$7,$O1019=$Q$7)),"x","")</f>
        <v/>
      </c>
      <c r="R1019" s="75" t="str">
        <f>IF(AND($N1019=$Q$7,$B1019&lt;'111'!$L$11),"x","")</f>
        <v/>
      </c>
      <c r="S1019" s="75" t="str">
        <f>IF(AND($O1019=$Q$7,$B1019&lt;'111'!$L$11),"x","")</f>
        <v/>
      </c>
      <c r="T1019" s="75" t="str">
        <f>IF(ISERROR(FIND('112'!$M$9,G1019,1)),"",IF((AND(FIND('112'!$M$9,G1019,1)&gt;=1,B1019='112'!$K$9,OR($N1019='112'!$I$6,$O1019='112'!$I$6))),"x",""))</f>
        <v/>
      </c>
      <c r="U1019" s="75" t="str">
        <f>IF(ISERROR(FIND('112'!$M$9,G1019,1)),"",IF((AND(LEFT(G1019,2)=LEFT('112'!$M$9,2),B1019&lt;'112'!$K$9,$N1019='112'!$I$6)),"x",""))</f>
        <v/>
      </c>
      <c r="V1019" s="75" t="str">
        <f>IF(ISERROR(FIND('112'!$M$9,G1019,1)),"",IF((AND(RIGHT(G1019,2)=RIGHT('112'!$M$9,2),B1019&lt;'112'!$K$9,$O1019='112'!$I$6)),"x",""))</f>
        <v/>
      </c>
      <c r="W1019" s="75" t="str">
        <f>IF(AND('341-CT'!$H$9=H1019,OR(LEFT(N1019,3)=$W$7,LEFT(O1019,3)=$W$7)),"x","")</f>
        <v/>
      </c>
      <c r="X1019" s="75" t="str">
        <f>IF(OR(TH!N1019=TH!$X$7,O1019=TH!$X$7),"x","")</f>
        <v/>
      </c>
      <c r="Y1019" s="75" t="str">
        <f>IF(AND(OR(N1019="131",O1019="131"),H1019='131-CT'!$H$9),"x","")</f>
        <v/>
      </c>
      <c r="Z1019" s="75"/>
      <c r="AA1019" s="75" t="str">
        <f>IF(AND(MONTH(E1019)='IN-NX'!$J$5,'IN-NX'!$D$7=D1019),"x","")</f>
        <v/>
      </c>
      <c r="AB1019" s="75" t="str">
        <f>IF(AND(OR(LEFT(TH!N1019,2)="15",LEFT(TH!O1019,2)="15"),LEFT(TH!O1019,3)&lt;&gt;"111",'152-CT'!$J$8=TH!F1019),"x","")</f>
        <v/>
      </c>
      <c r="AC1019" s="75" t="str">
        <f>IF(AND(OR(LEFT(TH!N1019,2)="15",LEFT(TH!O1019,2)="15"),TK!$E$7=TH!F1019),"x","")</f>
        <v/>
      </c>
      <c r="AD1019" s="75" t="str">
        <f>IF(AND(N1019="1521",MONTH(C1019)='BK-NL'!$M$11),"x","")</f>
        <v/>
      </c>
    </row>
    <row r="1020" spans="1:30" ht="16.5" customHeight="1">
      <c r="A1020" s="309" t="str">
        <f>IF(B1020&lt;&gt;"",IF(AND(B1020='IN-TC'!$S$4,OR(TH!N1020="1111",TH!O1020="1111")),TH!D1020,""),"")</f>
        <v/>
      </c>
      <c r="B1020" s="1169">
        <f t="shared" si="128"/>
        <v>3</v>
      </c>
      <c r="C1020" s="252">
        <v>42822</v>
      </c>
      <c r="D1020" s="252" t="s">
        <v>894</v>
      </c>
      <c r="E1020" s="252">
        <f t="shared" si="205"/>
        <v>42822</v>
      </c>
      <c r="F1020" s="1082" t="s">
        <v>800</v>
      </c>
      <c r="G1020" s="1056" t="s">
        <v>1145</v>
      </c>
      <c r="H1020" s="735" t="s">
        <v>802</v>
      </c>
      <c r="I1020" s="371">
        <v>40</v>
      </c>
      <c r="J1020" s="932">
        <v>200000</v>
      </c>
      <c r="K1020" s="932"/>
      <c r="L1020" s="377"/>
      <c r="M1020" s="933">
        <f t="shared" si="206"/>
        <v>8000000</v>
      </c>
      <c r="N1020" s="977" t="s">
        <v>536</v>
      </c>
      <c r="O1020" s="977" t="s">
        <v>286</v>
      </c>
      <c r="P1020" s="75" t="str">
        <f>IF(AND('331-CT'!$E$7=TH!H1020,OR(N1020="331",O1020="331")),"x","")</f>
        <v/>
      </c>
      <c r="Q1020" s="75" t="str">
        <f>IF(AND(B1020='111'!$L$11,OR($N1020=$Q$7,$O1020=$Q$7)),"x","")</f>
        <v/>
      </c>
      <c r="R1020" s="75" t="str">
        <f>IF(AND($N1020=$Q$7,$B1020&lt;'111'!$L$11),"x","")</f>
        <v/>
      </c>
      <c r="S1020" s="75" t="str">
        <f>IF(AND($O1020=$Q$7,$B1020&lt;'111'!$L$11),"x","")</f>
        <v/>
      </c>
      <c r="T1020" s="75" t="str">
        <f>IF(ISERROR(FIND('112'!$M$9,G1020,1)),"",IF((AND(FIND('112'!$M$9,G1020,1)&gt;=1,B1020='112'!$K$9,OR($N1020='112'!$I$6,$O1020='112'!$I$6))),"x",""))</f>
        <v/>
      </c>
      <c r="U1020" s="75" t="str">
        <f>IF(ISERROR(FIND('112'!$M$9,G1020,1)),"",IF((AND(LEFT(G1020,2)=LEFT('112'!$M$9,2),B1020&lt;'112'!$K$9,$N1020='112'!$I$6)),"x",""))</f>
        <v/>
      </c>
      <c r="V1020" s="75" t="str">
        <f>IF(ISERROR(FIND('112'!$M$9,G1020,1)),"",IF((AND(RIGHT(G1020,2)=RIGHT('112'!$M$9,2),B1020&lt;'112'!$K$9,$O1020='112'!$I$6)),"x",""))</f>
        <v/>
      </c>
      <c r="W1020" s="75" t="str">
        <f>IF(AND('341-CT'!$H$9=H1020,OR(LEFT(N1020,3)=$W$7,LEFT(O1020,3)=$W$7)),"x","")</f>
        <v/>
      </c>
      <c r="X1020" s="75" t="str">
        <f>IF(OR(TH!N1020=TH!$X$7,O1020=TH!$X$7),"x","")</f>
        <v/>
      </c>
      <c r="Y1020" s="75" t="str">
        <f>IF(AND(OR(N1020="131",O1020="131"),H1020='131-CT'!$H$9),"x","")</f>
        <v/>
      </c>
      <c r="Z1020" s="75"/>
      <c r="AA1020" s="75" t="str">
        <f>IF(AND(MONTH(E1020)='IN-NX'!$J$5,'IN-NX'!$D$7=D1020),"x","")</f>
        <v/>
      </c>
      <c r="AB1020" s="75" t="str">
        <f>IF(AND(OR(LEFT(TH!N1020,2)="15",LEFT(TH!O1020,2)="15"),LEFT(TH!O1020,3)&lt;&gt;"111",'152-CT'!$J$8=TH!F1020),"x","")</f>
        <v/>
      </c>
      <c r="AC1020" s="75" t="str">
        <f>IF(AND(OR(LEFT(TH!N1020,2)="15",LEFT(TH!O1020,2)="15"),TK!$E$7=TH!F1020),"x","")</f>
        <v/>
      </c>
      <c r="AD1020" s="75" t="str">
        <f>IF(AND(N1020="1521",MONTH(C1020)='BK-NL'!$M$11),"x","")</f>
        <v/>
      </c>
    </row>
    <row r="1021" spans="1:30" ht="16.5" customHeight="1">
      <c r="A1021" s="309" t="str">
        <f>IF(B1021&lt;&gt;"",IF(AND(B1021='IN-TC'!$S$4,OR(TH!N1021="1111",TH!O1021="1111")),TH!D1021,""),"")</f>
        <v/>
      </c>
      <c r="B1021" s="1169">
        <f t="shared" si="128"/>
        <v>3</v>
      </c>
      <c r="C1021" s="252">
        <v>42822</v>
      </c>
      <c r="D1021" s="252" t="s">
        <v>894</v>
      </c>
      <c r="E1021" s="252">
        <f t="shared" si="205"/>
        <v>42822</v>
      </c>
      <c r="F1021" s="1082" t="s">
        <v>801</v>
      </c>
      <c r="G1021" s="1056" t="s">
        <v>1145</v>
      </c>
      <c r="H1021" s="735" t="s">
        <v>802</v>
      </c>
      <c r="I1021" s="371">
        <v>46.6</v>
      </c>
      <c r="J1021" s="932">
        <v>160000</v>
      </c>
      <c r="K1021" s="932"/>
      <c r="L1021" s="377"/>
      <c r="M1021" s="933">
        <f t="shared" si="206"/>
        <v>7456000</v>
      </c>
      <c r="N1021" s="977" t="s">
        <v>536</v>
      </c>
      <c r="O1021" s="977" t="s">
        <v>286</v>
      </c>
      <c r="P1021" s="75" t="str">
        <f>IF(AND('331-CT'!$E$7=TH!H1021,OR(N1021="331",O1021="331")),"x","")</f>
        <v/>
      </c>
      <c r="Q1021" s="75" t="str">
        <f>IF(AND(B1021='111'!$L$11,OR($N1021=$Q$7,$O1021=$Q$7)),"x","")</f>
        <v/>
      </c>
      <c r="R1021" s="75" t="str">
        <f>IF(AND($N1021=$Q$7,$B1021&lt;'111'!$L$11),"x","")</f>
        <v/>
      </c>
      <c r="S1021" s="75" t="str">
        <f>IF(AND($O1021=$Q$7,$B1021&lt;'111'!$L$11),"x","")</f>
        <v/>
      </c>
      <c r="T1021" s="75" t="str">
        <f>IF(ISERROR(FIND('112'!$M$9,G1021,1)),"",IF((AND(FIND('112'!$M$9,G1021,1)&gt;=1,B1021='112'!$K$9,OR($N1021='112'!$I$6,$O1021='112'!$I$6))),"x",""))</f>
        <v/>
      </c>
      <c r="U1021" s="75" t="str">
        <f>IF(ISERROR(FIND('112'!$M$9,G1021,1)),"",IF((AND(LEFT(G1021,2)=LEFT('112'!$M$9,2),B1021&lt;'112'!$K$9,$N1021='112'!$I$6)),"x",""))</f>
        <v/>
      </c>
      <c r="V1021" s="75" t="str">
        <f>IF(ISERROR(FIND('112'!$M$9,G1021,1)),"",IF((AND(RIGHT(G1021,2)=RIGHT('112'!$M$9,2),B1021&lt;'112'!$K$9,$O1021='112'!$I$6)),"x",""))</f>
        <v/>
      </c>
      <c r="W1021" s="75" t="str">
        <f>IF(AND('341-CT'!$H$9=H1021,OR(LEFT(N1021,3)=$W$7,LEFT(O1021,3)=$W$7)),"x","")</f>
        <v/>
      </c>
      <c r="X1021" s="75" t="str">
        <f>IF(OR(TH!N1021=TH!$X$7,O1021=TH!$X$7),"x","")</f>
        <v/>
      </c>
      <c r="Y1021" s="75" t="str">
        <f>IF(AND(OR(N1021="131",O1021="131"),H1021='131-CT'!$H$9),"x","")</f>
        <v/>
      </c>
      <c r="Z1021" s="75"/>
      <c r="AA1021" s="75" t="str">
        <f>IF(AND(MONTH(E1021)='IN-NX'!$J$5,'IN-NX'!$D$7=D1021),"x","")</f>
        <v/>
      </c>
      <c r="AB1021" s="75" t="str">
        <f>IF(AND(OR(LEFT(TH!N1021,2)="15",LEFT(TH!O1021,2)="15"),LEFT(TH!O1021,3)&lt;&gt;"111",'152-CT'!$J$8=TH!F1021),"x","")</f>
        <v/>
      </c>
      <c r="AC1021" s="75" t="str">
        <f>IF(AND(OR(LEFT(TH!N1021,2)="15",LEFT(TH!O1021,2)="15"),TK!$E$7=TH!F1021),"x","")</f>
        <v/>
      </c>
      <c r="AD1021" s="75" t="str">
        <f>IF(AND(N1021="1521",MONTH(C1021)='BK-NL'!$M$11),"x","")</f>
        <v/>
      </c>
    </row>
    <row r="1022" spans="1:30" ht="16.5" customHeight="1">
      <c r="A1022" s="309" t="str">
        <f>IF(B1022&lt;&gt;"",IF(AND(B1022='IN-TC'!$S$4,OR(TH!N1022="1111",TH!O1022="1111")),TH!D1022,""),"")</f>
        <v/>
      </c>
      <c r="B1022" s="1169">
        <f t="shared" si="128"/>
        <v>3</v>
      </c>
      <c r="C1022" s="252">
        <v>42822</v>
      </c>
      <c r="D1022" s="252" t="s">
        <v>894</v>
      </c>
      <c r="E1022" s="252">
        <f t="shared" si="205"/>
        <v>42822</v>
      </c>
      <c r="F1022" s="1055" t="s">
        <v>2477</v>
      </c>
      <c r="G1022" s="1056" t="s">
        <v>1145</v>
      </c>
      <c r="H1022" s="735" t="s">
        <v>802</v>
      </c>
      <c r="I1022" s="371">
        <v>20</v>
      </c>
      <c r="J1022" s="932">
        <v>155000</v>
      </c>
      <c r="K1022" s="932"/>
      <c r="L1022" s="377"/>
      <c r="M1022" s="933">
        <f t="shared" si="206"/>
        <v>3100000</v>
      </c>
      <c r="N1022" s="977" t="s">
        <v>536</v>
      </c>
      <c r="O1022" s="977" t="s">
        <v>286</v>
      </c>
      <c r="P1022" s="75" t="str">
        <f>IF(AND('331-CT'!$E$7=TH!H1022,OR(N1022="331",O1022="331")),"x","")</f>
        <v/>
      </c>
      <c r="Q1022" s="75" t="str">
        <f>IF(AND(B1022='111'!$L$11,OR($N1022=$Q$7,$O1022=$Q$7)),"x","")</f>
        <v/>
      </c>
      <c r="R1022" s="75" t="str">
        <f>IF(AND($N1022=$Q$7,$B1022&lt;'111'!$L$11),"x","")</f>
        <v/>
      </c>
      <c r="S1022" s="75" t="str">
        <f>IF(AND($O1022=$Q$7,$B1022&lt;'111'!$L$11),"x","")</f>
        <v/>
      </c>
      <c r="T1022" s="75" t="str">
        <f>IF(ISERROR(FIND('112'!$M$9,G1022,1)),"",IF((AND(FIND('112'!$M$9,G1022,1)&gt;=1,B1022='112'!$K$9,OR($N1022='112'!$I$6,$O1022='112'!$I$6))),"x",""))</f>
        <v/>
      </c>
      <c r="U1022" s="75" t="str">
        <f>IF(ISERROR(FIND('112'!$M$9,G1022,1)),"",IF((AND(LEFT(G1022,2)=LEFT('112'!$M$9,2),B1022&lt;'112'!$K$9,$N1022='112'!$I$6)),"x",""))</f>
        <v/>
      </c>
      <c r="V1022" s="75" t="str">
        <f>IF(ISERROR(FIND('112'!$M$9,G1022,1)),"",IF((AND(RIGHT(G1022,2)=RIGHT('112'!$M$9,2),B1022&lt;'112'!$K$9,$O1022='112'!$I$6)),"x",""))</f>
        <v/>
      </c>
      <c r="W1022" s="75" t="str">
        <f>IF(AND('341-CT'!$H$9=H1022,OR(LEFT(N1022,3)=$W$7,LEFT(O1022,3)=$W$7)),"x","")</f>
        <v/>
      </c>
      <c r="X1022" s="75" t="str">
        <f>IF(OR(TH!N1022=TH!$X$7,O1022=TH!$X$7),"x","")</f>
        <v/>
      </c>
      <c r="Y1022" s="75" t="str">
        <f>IF(AND(OR(N1022="131",O1022="131"),H1022='131-CT'!$H$9),"x","")</f>
        <v/>
      </c>
      <c r="Z1022" s="75"/>
      <c r="AA1022" s="75" t="str">
        <f>IF(AND(MONTH(E1022)='IN-NX'!$J$5,'IN-NX'!$D$7=D1022),"x","")</f>
        <v/>
      </c>
      <c r="AB1022" s="75" t="str">
        <f>IF(AND(OR(LEFT(TH!N1022,2)="15",LEFT(TH!O1022,2)="15"),LEFT(TH!O1022,3)&lt;&gt;"111",'152-CT'!$J$8=TH!F1022),"x","")</f>
        <v/>
      </c>
      <c r="AC1022" s="75" t="str">
        <f>IF(AND(OR(LEFT(TH!N1022,2)="15",LEFT(TH!O1022,2)="15"),TK!$E$7=TH!F1022),"x","")</f>
        <v/>
      </c>
      <c r="AD1022" s="75" t="str">
        <f>IF(AND(N1022="1521",MONTH(C1022)='BK-NL'!$M$11),"x","")</f>
        <v/>
      </c>
    </row>
    <row r="1023" spans="1:30" ht="16.5" customHeight="1">
      <c r="A1023" s="309" t="str">
        <f>IF(B1023&lt;&gt;"",IF(AND(B1023='IN-TC'!$S$4,OR(TH!N1023="1111",TH!O1023="1111")),TH!D1023,""),"")</f>
        <v/>
      </c>
      <c r="B1023" s="1169">
        <f t="shared" si="128"/>
        <v>3</v>
      </c>
      <c r="C1023" s="252">
        <v>42822</v>
      </c>
      <c r="D1023" s="252" t="s">
        <v>894</v>
      </c>
      <c r="E1023" s="252">
        <f t="shared" ref="E1023" si="207">C1023</f>
        <v>42822</v>
      </c>
      <c r="F1023" s="1055" t="s">
        <v>1256</v>
      </c>
      <c r="G1023" s="1056" t="s">
        <v>1145</v>
      </c>
      <c r="H1023" s="735" t="s">
        <v>802</v>
      </c>
      <c r="I1023" s="371">
        <v>20</v>
      </c>
      <c r="J1023" s="932">
        <v>147000</v>
      </c>
      <c r="K1023" s="932"/>
      <c r="L1023" s="377"/>
      <c r="M1023" s="933">
        <f t="shared" si="206"/>
        <v>2940000</v>
      </c>
      <c r="N1023" s="977" t="s">
        <v>536</v>
      </c>
      <c r="O1023" s="977" t="s">
        <v>286</v>
      </c>
      <c r="P1023" s="75" t="str">
        <f>IF(AND('331-CT'!$E$7=TH!H1023,OR(N1023="331",O1023="331")),"x","")</f>
        <v/>
      </c>
      <c r="Q1023" s="75" t="str">
        <f>IF(AND(B1023='111'!$L$11,OR($N1023=$Q$7,$O1023=$Q$7)),"x","")</f>
        <v/>
      </c>
      <c r="R1023" s="75" t="str">
        <f>IF(AND($N1023=$Q$7,$B1023&lt;'111'!$L$11),"x","")</f>
        <v/>
      </c>
      <c r="S1023" s="75" t="str">
        <f>IF(AND($O1023=$Q$7,$B1023&lt;'111'!$L$11),"x","")</f>
        <v/>
      </c>
      <c r="T1023" s="75" t="str">
        <f>IF(ISERROR(FIND('112'!$M$9,G1023,1)),"",IF((AND(FIND('112'!$M$9,G1023,1)&gt;=1,B1023='112'!$K$9,OR($N1023='112'!$I$6,$O1023='112'!$I$6))),"x",""))</f>
        <v/>
      </c>
      <c r="U1023" s="75" t="str">
        <f>IF(ISERROR(FIND('112'!$M$9,G1023,1)),"",IF((AND(LEFT(G1023,2)=LEFT('112'!$M$9,2),B1023&lt;'112'!$K$9,$N1023='112'!$I$6)),"x",""))</f>
        <v/>
      </c>
      <c r="V1023" s="75" t="str">
        <f>IF(ISERROR(FIND('112'!$M$9,G1023,1)),"",IF((AND(RIGHT(G1023,2)=RIGHT('112'!$M$9,2),B1023&lt;'112'!$K$9,$O1023='112'!$I$6)),"x",""))</f>
        <v/>
      </c>
      <c r="W1023" s="75" t="str">
        <f>IF(AND('341-CT'!$H$9=H1023,OR(LEFT(N1023,3)=$W$7,LEFT(O1023,3)=$W$7)),"x","")</f>
        <v/>
      </c>
      <c r="X1023" s="75" t="str">
        <f>IF(OR(TH!N1023=TH!$X$7,O1023=TH!$X$7),"x","")</f>
        <v/>
      </c>
      <c r="Y1023" s="75" t="str">
        <f>IF(AND(OR(N1023="131",O1023="131"),H1023='131-CT'!$H$9),"x","")</f>
        <v/>
      </c>
      <c r="Z1023" s="75"/>
      <c r="AA1023" s="75" t="str">
        <f>IF(AND(MONTH(E1023)='IN-NX'!$J$5,'IN-NX'!$D$7=D1023),"x","")</f>
        <v/>
      </c>
      <c r="AB1023" s="75" t="str">
        <f>IF(AND(OR(LEFT(TH!N1023,2)="15",LEFT(TH!O1023,2)="15"),LEFT(TH!O1023,3)&lt;&gt;"111",'152-CT'!$J$8=TH!F1023),"x","")</f>
        <v/>
      </c>
      <c r="AC1023" s="75" t="str">
        <f>IF(AND(OR(LEFT(TH!N1023,2)="15",LEFT(TH!O1023,2)="15"),TK!$E$7=TH!F1023),"x","")</f>
        <v/>
      </c>
      <c r="AD1023" s="75" t="str">
        <f>IF(AND(N1023="1521",MONTH(C1023)='BK-NL'!$M$11),"x","")</f>
        <v/>
      </c>
    </row>
    <row r="1024" spans="1:30" ht="16.5" customHeight="1">
      <c r="A1024" s="309" t="str">
        <f>IF(B1024&lt;&gt;"",IF(AND(B1024='IN-TC'!$S$4,OR(TH!N1024="1111",TH!O1024="1111")),TH!D1024,""),"")</f>
        <v/>
      </c>
      <c r="B1024" s="1169">
        <f t="shared" si="128"/>
        <v>3</v>
      </c>
      <c r="C1024" s="252">
        <v>42822</v>
      </c>
      <c r="D1024" s="252" t="s">
        <v>894</v>
      </c>
      <c r="E1024" s="252">
        <f t="shared" si="205"/>
        <v>42822</v>
      </c>
      <c r="F1024" s="1082" t="s">
        <v>895</v>
      </c>
      <c r="G1024" s="1056" t="s">
        <v>1145</v>
      </c>
      <c r="H1024" s="735" t="s">
        <v>802</v>
      </c>
      <c r="I1024" s="371"/>
      <c r="J1024" s="932"/>
      <c r="K1024" s="932"/>
      <c r="L1024" s="377"/>
      <c r="M1024" s="933">
        <v>3469600</v>
      </c>
      <c r="N1024" s="977" t="s">
        <v>536</v>
      </c>
      <c r="O1024" s="977" t="s">
        <v>595</v>
      </c>
      <c r="P1024" s="75" t="str">
        <f>IF(AND('331-CT'!$E$7=TH!H1024,OR(N1024="331",O1024="331")),"x","")</f>
        <v/>
      </c>
      <c r="Q1024" s="75" t="str">
        <f>IF(AND(B1024='111'!$L$11,OR($N1024=$Q$7,$O1024=$Q$7)),"x","")</f>
        <v/>
      </c>
      <c r="R1024" s="75" t="str">
        <f>IF(AND($N1024=$Q$7,$B1024&lt;'111'!$L$11),"x","")</f>
        <v/>
      </c>
      <c r="S1024" s="75" t="str">
        <f>IF(AND($O1024=$Q$7,$B1024&lt;'111'!$L$11),"x","")</f>
        <v/>
      </c>
      <c r="T1024" s="75" t="str">
        <f>IF(ISERROR(FIND('112'!$M$9,G1024,1)),"",IF((AND(FIND('112'!$M$9,G1024,1)&gt;=1,B1024='112'!$K$9,OR($N1024='112'!$I$6,$O1024='112'!$I$6))),"x",""))</f>
        <v/>
      </c>
      <c r="U1024" s="75" t="str">
        <f>IF(ISERROR(FIND('112'!$M$9,G1024,1)),"",IF((AND(LEFT(G1024,2)=LEFT('112'!$M$9,2),B1024&lt;'112'!$K$9,$N1024='112'!$I$6)),"x",""))</f>
        <v/>
      </c>
      <c r="V1024" s="75" t="str">
        <f>IF(ISERROR(FIND('112'!$M$9,G1024,1)),"",IF((AND(RIGHT(G1024,2)=RIGHT('112'!$M$9,2),B1024&lt;'112'!$K$9,$O1024='112'!$I$6)),"x",""))</f>
        <v/>
      </c>
      <c r="W1024" s="75" t="str">
        <f>IF(AND('341-CT'!$H$9=H1024,OR(LEFT(N1024,3)=$W$7,LEFT(O1024,3)=$W$7)),"x","")</f>
        <v/>
      </c>
      <c r="X1024" s="75" t="str">
        <f>IF(OR(TH!N1024=TH!$X$7,O1024=TH!$X$7),"x","")</f>
        <v/>
      </c>
      <c r="Y1024" s="75" t="str">
        <f>IF(AND(OR(N1024="131",O1024="131"),H1024='131-CT'!$H$9),"x","")</f>
        <v/>
      </c>
      <c r="Z1024" s="75"/>
      <c r="AA1024" s="75" t="str">
        <f>IF(AND(MONTH(E1024)='IN-NX'!$J$5,'IN-NX'!$D$7=D1024),"x","")</f>
        <v/>
      </c>
      <c r="AB1024" s="75" t="str">
        <f>IF(AND(OR(LEFT(TH!N1024,2)="15",LEFT(TH!O1024,2)="15"),LEFT(TH!O1024,3)&lt;&gt;"111",'152-CT'!$J$8=TH!F1024),"x","")</f>
        <v/>
      </c>
      <c r="AC1024" s="75" t="str">
        <f>IF(AND(OR(LEFT(TH!N1024,2)="15",LEFT(TH!O1024,2)="15"),TK!$E$7=TH!F1024),"x","")</f>
        <v/>
      </c>
      <c r="AD1024" s="75" t="str">
        <f>IF(AND(N1024="1521",MONTH(C1024)='BK-NL'!$M$11),"x","")</f>
        <v/>
      </c>
    </row>
    <row r="1025" spans="1:32" s="1054" customFormat="1" ht="16.5" customHeight="1">
      <c r="A1025" s="309" t="str">
        <f>IF(B1025&lt;&gt;"",IF(AND(B1025='IN-TC'!$S$4,OR(TH!N1025="1111",TH!O1025="1111")),TH!D1025,""),"")</f>
        <v/>
      </c>
      <c r="B1025" s="1169">
        <f>IF(C1025&lt;&gt;"",MONTH(C1025),"")</f>
        <v>3</v>
      </c>
      <c r="C1025" s="217">
        <v>42817</v>
      </c>
      <c r="D1025" s="217" t="s">
        <v>815</v>
      </c>
      <c r="E1025" s="217">
        <f>C1025</f>
        <v>42817</v>
      </c>
      <c r="F1025" s="960" t="s">
        <v>429</v>
      </c>
      <c r="G1025" s="739" t="s">
        <v>1116</v>
      </c>
      <c r="H1025" s="67" t="s">
        <v>791</v>
      </c>
      <c r="I1025" s="373">
        <v>26286</v>
      </c>
      <c r="J1025" s="373">
        <v>57500</v>
      </c>
      <c r="K1025" s="373"/>
      <c r="L1025" s="379"/>
      <c r="M1025" s="927">
        <f>ROUND(I1025*J1025,0)</f>
        <v>1511445000</v>
      </c>
      <c r="N1025" s="935" t="s">
        <v>274</v>
      </c>
      <c r="O1025" s="935" t="s">
        <v>8</v>
      </c>
      <c r="P1025" s="75" t="str">
        <f>IF(AND('331-CT'!$E$7=TH!H1025,OR(N1025="331",O1025="331")),"x","")</f>
        <v/>
      </c>
      <c r="Q1025" s="75" t="str">
        <f>IF(AND(B1025='111'!$L$11,OR($N1025=$Q$7,$O1025=$Q$7)),"x","")</f>
        <v/>
      </c>
      <c r="R1025" s="75" t="str">
        <f>IF(AND($N1025=$Q$7,$B1025&lt;'111'!$L$11),"x","")</f>
        <v/>
      </c>
      <c r="S1025" s="75" t="str">
        <f>IF(AND($O1025=$Q$7,$B1025&lt;'111'!$L$11),"x","")</f>
        <v/>
      </c>
      <c r="T1025" s="75" t="str">
        <f>IF(ISERROR(FIND('112'!$M$9,G1025,1)),"",IF((AND(FIND('112'!$M$9,G1025,1)&gt;=1,B1025='112'!$K$9,OR($N1025='112'!$I$6,$O1025='112'!$I$6))),"x",""))</f>
        <v/>
      </c>
      <c r="U1025" s="75" t="str">
        <f>IF(ISERROR(FIND('112'!$M$9,G1025,1)),"",IF((AND(LEFT(G1025,2)=LEFT('112'!$M$9,2),B1025&lt;'112'!$K$9,$N1025='112'!$I$6)),"x",""))</f>
        <v/>
      </c>
      <c r="V1025" s="75" t="str">
        <f>IF(ISERROR(FIND('112'!$M$9,G1025,1)),"",IF((AND(RIGHT(G1025,2)=RIGHT('112'!$M$9,2),B1025&lt;'112'!$K$9,$O1025='112'!$I$6)),"x",""))</f>
        <v/>
      </c>
      <c r="W1025" s="75" t="str">
        <f>IF(AND('341-CT'!$H$9=H1025,OR(LEFT(N1025,3)=$W$7,LEFT(O1025,3)=$W$7)),"x","")</f>
        <v/>
      </c>
      <c r="X1025" s="75" t="str">
        <f>IF(OR(TH!N1025=TH!$X$7,O1025=TH!$X$7),"x","")</f>
        <v/>
      </c>
      <c r="Y1025" s="75" t="str">
        <f>IF(AND(OR(N1025="131",O1025="131"),H1025='131-CT'!$H$9),"x","")</f>
        <v/>
      </c>
      <c r="Z1025" s="75"/>
      <c r="AA1025" s="75" t="str">
        <f>IF(AND(MONTH(E1025)='IN-NX'!$J$5,'IN-NX'!$D$7=D1025),"x","")</f>
        <v/>
      </c>
      <c r="AB1025" s="75" t="str">
        <f>IF(AND(OR(LEFT(TH!N1025,2)="15",LEFT(TH!O1025,2)="15"),LEFT(TH!O1025,3)&lt;&gt;"111",'152-CT'!$J$8=TH!F1025),"x","")</f>
        <v/>
      </c>
      <c r="AC1025" s="75" t="str">
        <f>IF(AND(OR(LEFT(TH!N1025,2)="15",LEFT(TH!O1025,2)="15"),TK!$E$7=TH!F1025),"x","")</f>
        <v/>
      </c>
      <c r="AD1025" s="75" t="str">
        <f>IF(AND(N1025="1521",MONTH(C1025)='BK-NL'!$M$11),"x","")</f>
        <v/>
      </c>
    </row>
    <row r="1026" spans="1:32" s="1054" customFormat="1" ht="16.5" customHeight="1">
      <c r="A1026" s="309" t="str">
        <f>IF(B1026&lt;&gt;"",IF(AND(B1026='IN-TC'!$S$4,OR(TH!N1026="1111",TH!O1026="1111")),TH!D1026,""),"")</f>
        <v/>
      </c>
      <c r="B1026" s="1169">
        <f>IF(C1026&lt;&gt;"",MONTH(C1026),"")</f>
        <v>3</v>
      </c>
      <c r="C1026" s="217">
        <v>42817</v>
      </c>
      <c r="D1026" s="217" t="s">
        <v>997</v>
      </c>
      <c r="E1026" s="217">
        <f>C1026</f>
        <v>42817</v>
      </c>
      <c r="F1026" s="960" t="s">
        <v>429</v>
      </c>
      <c r="G1026" s="739" t="s">
        <v>1117</v>
      </c>
      <c r="H1026" s="67" t="s">
        <v>791</v>
      </c>
      <c r="I1026" s="373">
        <v>26286</v>
      </c>
      <c r="J1026" s="373">
        <v>57500</v>
      </c>
      <c r="K1026" s="373"/>
      <c r="L1026" s="379"/>
      <c r="M1026" s="927">
        <f>ROUND(I1026*J1026,0)</f>
        <v>1511445000</v>
      </c>
      <c r="N1026" s="935" t="s">
        <v>274</v>
      </c>
      <c r="O1026" s="935" t="s">
        <v>8</v>
      </c>
      <c r="P1026" s="75" t="str">
        <f>IF(AND('331-CT'!$E$7=TH!H1026,OR(N1026="331",O1026="331")),"x","")</f>
        <v/>
      </c>
      <c r="Q1026" s="75" t="str">
        <f>IF(AND(B1026='111'!$L$11,OR($N1026=$Q$7,$O1026=$Q$7)),"x","")</f>
        <v/>
      </c>
      <c r="R1026" s="75" t="str">
        <f>IF(AND($N1026=$Q$7,$B1026&lt;'111'!$L$11),"x","")</f>
        <v/>
      </c>
      <c r="S1026" s="75" t="str">
        <f>IF(AND($O1026=$Q$7,$B1026&lt;'111'!$L$11),"x","")</f>
        <v/>
      </c>
      <c r="T1026" s="75" t="str">
        <f>IF(ISERROR(FIND('112'!$M$9,G1026,1)),"",IF((AND(FIND('112'!$M$9,G1026,1)&gt;=1,B1026='112'!$K$9,OR($N1026='112'!$I$6,$O1026='112'!$I$6))),"x",""))</f>
        <v/>
      </c>
      <c r="U1026" s="75" t="str">
        <f>IF(ISERROR(FIND('112'!$M$9,G1026,1)),"",IF((AND(LEFT(G1026,2)=LEFT('112'!$M$9,2),B1026&lt;'112'!$K$9,$N1026='112'!$I$6)),"x",""))</f>
        <v/>
      </c>
      <c r="V1026" s="75" t="str">
        <f>IF(ISERROR(FIND('112'!$M$9,G1026,1)),"",IF((AND(RIGHT(G1026,2)=RIGHT('112'!$M$9,2),B1026&lt;'112'!$K$9,$O1026='112'!$I$6)),"x",""))</f>
        <v/>
      </c>
      <c r="W1026" s="75" t="str">
        <f>IF(AND('341-CT'!$H$9=H1026,OR(LEFT(N1026,3)=$W$7,LEFT(O1026,3)=$W$7)),"x","")</f>
        <v/>
      </c>
      <c r="X1026" s="75" t="str">
        <f>IF(OR(TH!N1026=TH!$X$7,O1026=TH!$X$7),"x","")</f>
        <v/>
      </c>
      <c r="Y1026" s="75" t="str">
        <f>IF(AND(OR(N1026="131",O1026="131"),H1026='131-CT'!$H$9),"x","")</f>
        <v/>
      </c>
      <c r="Z1026" s="75"/>
      <c r="AA1026" s="75" t="str">
        <f>IF(AND(MONTH(E1026)='IN-NX'!$J$5,'IN-NX'!$D$7=D1026),"x","")</f>
        <v/>
      </c>
      <c r="AB1026" s="75" t="str">
        <f>IF(AND(OR(LEFT(TH!N1026,2)="15",LEFT(TH!O1026,2)="15"),LEFT(TH!O1026,3)&lt;&gt;"111",'152-CT'!$J$8=TH!F1026),"x","")</f>
        <v/>
      </c>
      <c r="AC1026" s="75" t="str">
        <f>IF(AND(OR(LEFT(TH!N1026,2)="15",LEFT(TH!O1026,2)="15"),TK!$E$7=TH!F1026),"x","")</f>
        <v/>
      </c>
      <c r="AD1026" s="75" t="str">
        <f>IF(AND(N1026="1521",MONTH(C1026)='BK-NL'!$M$11),"x","")</f>
        <v/>
      </c>
    </row>
    <row r="1027" spans="1:32" s="1054" customFormat="1" ht="16.5" customHeight="1">
      <c r="A1027" s="309" t="str">
        <f>IF(B1027&lt;&gt;"",IF(AND(B1027='IN-TC'!$S$4,OR(TH!N1027="1111",TH!O1027="1111")),TH!D1027,""),"")</f>
        <v/>
      </c>
      <c r="B1027" s="1169">
        <f>IF(C1027&lt;&gt;"",MONTH(C1027),"")</f>
        <v>3</v>
      </c>
      <c r="C1027" s="217">
        <v>42817</v>
      </c>
      <c r="D1027" s="217" t="s">
        <v>999</v>
      </c>
      <c r="E1027" s="217">
        <f>C1027</f>
        <v>42817</v>
      </c>
      <c r="F1027" s="960" t="s">
        <v>429</v>
      </c>
      <c r="G1027" s="739" t="s">
        <v>1118</v>
      </c>
      <c r="H1027" s="67" t="s">
        <v>791</v>
      </c>
      <c r="I1027" s="373">
        <v>21943</v>
      </c>
      <c r="J1027" s="373">
        <v>57500</v>
      </c>
      <c r="K1027" s="373"/>
      <c r="L1027" s="379"/>
      <c r="M1027" s="927">
        <f>ROUND(I1027*J1027,0)</f>
        <v>1261722500</v>
      </c>
      <c r="N1027" s="935" t="s">
        <v>274</v>
      </c>
      <c r="O1027" s="935" t="s">
        <v>8</v>
      </c>
      <c r="P1027" s="75" t="str">
        <f>IF(AND('331-CT'!$E$7=TH!H1027,OR(N1027="331",O1027="331")),"x","")</f>
        <v/>
      </c>
      <c r="Q1027" s="75" t="str">
        <f>IF(AND(B1027='111'!$L$11,OR($N1027=$Q$7,$O1027=$Q$7)),"x","")</f>
        <v/>
      </c>
      <c r="R1027" s="75" t="str">
        <f>IF(AND($N1027=$Q$7,$B1027&lt;'111'!$L$11),"x","")</f>
        <v/>
      </c>
      <c r="S1027" s="75" t="str">
        <f>IF(AND($O1027=$Q$7,$B1027&lt;'111'!$L$11),"x","")</f>
        <v/>
      </c>
      <c r="T1027" s="75" t="str">
        <f>IF(ISERROR(FIND('112'!$M$9,G1027,1)),"",IF((AND(FIND('112'!$M$9,G1027,1)&gt;=1,B1027='112'!$K$9,OR($N1027='112'!$I$6,$O1027='112'!$I$6))),"x",""))</f>
        <v/>
      </c>
      <c r="U1027" s="75" t="str">
        <f>IF(ISERROR(FIND('112'!$M$9,G1027,1)),"",IF((AND(LEFT(G1027,2)=LEFT('112'!$M$9,2),B1027&lt;'112'!$K$9,$N1027='112'!$I$6)),"x",""))</f>
        <v/>
      </c>
      <c r="V1027" s="75" t="str">
        <f>IF(ISERROR(FIND('112'!$M$9,G1027,1)),"",IF((AND(RIGHT(G1027,2)=RIGHT('112'!$M$9,2),B1027&lt;'112'!$K$9,$O1027='112'!$I$6)),"x",""))</f>
        <v/>
      </c>
      <c r="W1027" s="75" t="str">
        <f>IF(AND('341-CT'!$H$9=H1027,OR(LEFT(N1027,3)=$W$7,LEFT(O1027,3)=$W$7)),"x","")</f>
        <v/>
      </c>
      <c r="X1027" s="75" t="str">
        <f>IF(OR(TH!N1027=TH!$X$7,O1027=TH!$X$7),"x","")</f>
        <v/>
      </c>
      <c r="Y1027" s="75" t="str">
        <f>IF(AND(OR(N1027="131",O1027="131"),H1027='131-CT'!$H$9),"x","")</f>
        <v/>
      </c>
      <c r="Z1027" s="75"/>
      <c r="AA1027" s="75" t="str">
        <f>IF(AND(MONTH(E1027)='IN-NX'!$J$5,'IN-NX'!$D$7=D1027),"x","")</f>
        <v/>
      </c>
      <c r="AB1027" s="75" t="str">
        <f>IF(AND(OR(LEFT(TH!N1027,2)="15",LEFT(TH!O1027,2)="15"),LEFT(TH!O1027,3)&lt;&gt;"111",'152-CT'!$J$8=TH!F1027),"x","")</f>
        <v/>
      </c>
      <c r="AC1027" s="75" t="str">
        <f>IF(AND(OR(LEFT(TH!N1027,2)="15",LEFT(TH!O1027,2)="15"),TK!$E$7=TH!F1027),"x","")</f>
        <v/>
      </c>
      <c r="AD1027" s="75" t="str">
        <f>IF(AND(N1027="1521",MONTH(C1027)='BK-NL'!$M$11),"x","")</f>
        <v/>
      </c>
    </row>
    <row r="1028" spans="1:32" s="1054" customFormat="1" ht="16.5" customHeight="1">
      <c r="A1028" s="309" t="str">
        <f>IF(B1028&lt;&gt;"",IF(AND(B1028='IN-TC'!$S$4,OR(TH!N1028="1111",TH!O1028="1111")),TH!D1028,""),"")</f>
        <v/>
      </c>
      <c r="B1028" s="1169">
        <f>IF(C1028&lt;&gt;"",MONTH(C1028),"")</f>
        <v>3</v>
      </c>
      <c r="C1028" s="217">
        <v>42817</v>
      </c>
      <c r="D1028" s="217" t="s">
        <v>1002</v>
      </c>
      <c r="E1028" s="217">
        <f>C1028</f>
        <v>42817</v>
      </c>
      <c r="F1028" s="960" t="s">
        <v>429</v>
      </c>
      <c r="G1028" s="739" t="s">
        <v>1174</v>
      </c>
      <c r="H1028" s="67" t="s">
        <v>623</v>
      </c>
      <c r="I1028" s="373">
        <v>26390</v>
      </c>
      <c r="J1028" s="373">
        <v>62000</v>
      </c>
      <c r="K1028" s="373"/>
      <c r="L1028" s="379"/>
      <c r="M1028" s="927">
        <f>ROUND(I1028*J1028,0)</f>
        <v>1636180000</v>
      </c>
      <c r="N1028" s="935" t="s">
        <v>274</v>
      </c>
      <c r="O1028" s="935" t="s">
        <v>8</v>
      </c>
      <c r="P1028" s="75" t="str">
        <f>IF(AND('331-CT'!$E$7=TH!H1028,OR(N1028="331",O1028="331")),"x","")</f>
        <v/>
      </c>
      <c r="Q1028" s="75" t="str">
        <f>IF(AND(B1028='111'!$L$11,OR($N1028=$Q$7,$O1028=$Q$7)),"x","")</f>
        <v/>
      </c>
      <c r="R1028" s="75" t="str">
        <f>IF(AND($N1028=$Q$7,$B1028&lt;'111'!$L$11),"x","")</f>
        <v/>
      </c>
      <c r="S1028" s="75" t="str">
        <f>IF(AND($O1028=$Q$7,$B1028&lt;'111'!$L$11),"x","")</f>
        <v/>
      </c>
      <c r="T1028" s="75" t="str">
        <f>IF(ISERROR(FIND('112'!$M$9,G1028,1)),"",IF((AND(FIND('112'!$M$9,G1028,1)&gt;=1,B1028='112'!$K$9,OR($N1028='112'!$I$6,$O1028='112'!$I$6))),"x",""))</f>
        <v/>
      </c>
      <c r="U1028" s="75" t="str">
        <f>IF(ISERROR(FIND('112'!$M$9,G1028,1)),"",IF((AND(LEFT(G1028,2)=LEFT('112'!$M$9,2),B1028&lt;'112'!$K$9,$N1028='112'!$I$6)),"x",""))</f>
        <v/>
      </c>
      <c r="V1028" s="75" t="str">
        <f>IF(ISERROR(FIND('112'!$M$9,G1028,1)),"",IF((AND(RIGHT(G1028,2)=RIGHT('112'!$M$9,2),B1028&lt;'112'!$K$9,$O1028='112'!$I$6)),"x",""))</f>
        <v/>
      </c>
      <c r="W1028" s="75" t="str">
        <f>IF(AND('341-CT'!$H$9=H1028,OR(LEFT(N1028,3)=$W$7,LEFT(O1028,3)=$W$7)),"x","")</f>
        <v/>
      </c>
      <c r="X1028" s="75" t="str">
        <f>IF(OR(TH!N1028=TH!$X$7,O1028=TH!$X$7),"x","")</f>
        <v/>
      </c>
      <c r="Y1028" s="75" t="str">
        <f>IF(AND(OR(N1028="131",O1028="131"),H1028='131-CT'!$H$9),"x","")</f>
        <v/>
      </c>
      <c r="Z1028" s="75"/>
      <c r="AA1028" s="75" t="str">
        <f>IF(AND(MONTH(E1028)='IN-NX'!$J$5,'IN-NX'!$D$7=D1028),"x","")</f>
        <v/>
      </c>
      <c r="AB1028" s="75" t="str">
        <f>IF(AND(OR(LEFT(TH!N1028,2)="15",LEFT(TH!O1028,2)="15"),LEFT(TH!O1028,3)&lt;&gt;"111",'152-CT'!$J$8=TH!F1028),"x","")</f>
        <v/>
      </c>
      <c r="AC1028" s="75" t="str">
        <f>IF(AND(OR(LEFT(TH!N1028,2)="15",LEFT(TH!O1028,2)="15"),TK!$E$7=TH!F1028),"x","")</f>
        <v/>
      </c>
      <c r="AD1028" s="75" t="str">
        <f>IF(AND(N1028="1521",MONTH(C1028)='BK-NL'!$M$11),"x","")</f>
        <v/>
      </c>
    </row>
    <row r="1029" spans="1:32" s="1054" customFormat="1" ht="16.5" customHeight="1">
      <c r="A1029" s="309" t="str">
        <f>IF(B1029&lt;&gt;"",IF(AND(B1029='IN-TC'!$S$4,OR(TH!N1029="1111",TH!O1029="1111")),TH!D1029,""),"")</f>
        <v/>
      </c>
      <c r="B1029" s="1169">
        <f>IF(C1029&lt;&gt;"",MONTH(C1029),"")</f>
        <v>3</v>
      </c>
      <c r="C1029" s="217">
        <v>42818</v>
      </c>
      <c r="D1029" s="217" t="s">
        <v>1084</v>
      </c>
      <c r="E1029" s="217">
        <f>C1029</f>
        <v>42818</v>
      </c>
      <c r="F1029" s="960" t="s">
        <v>429</v>
      </c>
      <c r="G1029" s="739" t="s">
        <v>1175</v>
      </c>
      <c r="H1029" s="67" t="s">
        <v>623</v>
      </c>
      <c r="I1029" s="373">
        <v>26390</v>
      </c>
      <c r="J1029" s="373">
        <v>62000</v>
      </c>
      <c r="K1029" s="373"/>
      <c r="L1029" s="379"/>
      <c r="M1029" s="927">
        <f>ROUND(I1029*J1029,0)</f>
        <v>1636180000</v>
      </c>
      <c r="N1029" s="935" t="s">
        <v>274</v>
      </c>
      <c r="O1029" s="935" t="s">
        <v>8</v>
      </c>
      <c r="P1029" s="75" t="str">
        <f>IF(AND('331-CT'!$E$7=TH!H1029,OR(N1029="331",O1029="331")),"x","")</f>
        <v/>
      </c>
      <c r="Q1029" s="75" t="str">
        <f>IF(AND(B1029='111'!$L$11,OR($N1029=$Q$7,$O1029=$Q$7)),"x","")</f>
        <v/>
      </c>
      <c r="R1029" s="75" t="str">
        <f>IF(AND($N1029=$Q$7,$B1029&lt;'111'!$L$11),"x","")</f>
        <v/>
      </c>
      <c r="S1029" s="75" t="str">
        <f>IF(AND($O1029=$Q$7,$B1029&lt;'111'!$L$11),"x","")</f>
        <v/>
      </c>
      <c r="T1029" s="75" t="str">
        <f>IF(ISERROR(FIND('112'!$M$9,G1029,1)),"",IF((AND(FIND('112'!$M$9,G1029,1)&gt;=1,B1029='112'!$K$9,OR($N1029='112'!$I$6,$O1029='112'!$I$6))),"x",""))</f>
        <v/>
      </c>
      <c r="U1029" s="75" t="str">
        <f>IF(ISERROR(FIND('112'!$M$9,G1029,1)),"",IF((AND(LEFT(G1029,2)=LEFT('112'!$M$9,2),B1029&lt;'112'!$K$9,$N1029='112'!$I$6)),"x",""))</f>
        <v/>
      </c>
      <c r="V1029" s="75" t="str">
        <f>IF(ISERROR(FIND('112'!$M$9,G1029,1)),"",IF((AND(RIGHT(G1029,2)=RIGHT('112'!$M$9,2),B1029&lt;'112'!$K$9,$O1029='112'!$I$6)),"x",""))</f>
        <v/>
      </c>
      <c r="W1029" s="75" t="str">
        <f>IF(AND('341-CT'!$H$9=H1029,OR(LEFT(N1029,3)=$W$7,LEFT(O1029,3)=$W$7)),"x","")</f>
        <v/>
      </c>
      <c r="X1029" s="75" t="str">
        <f>IF(OR(TH!N1029=TH!$X$7,O1029=TH!$X$7),"x","")</f>
        <v/>
      </c>
      <c r="Y1029" s="75" t="str">
        <f>IF(AND(OR(N1029="131",O1029="131"),H1029='131-CT'!$H$9),"x","")</f>
        <v/>
      </c>
      <c r="Z1029" s="75"/>
      <c r="AA1029" s="75" t="str">
        <f>IF(AND(MONTH(E1029)='IN-NX'!$J$5,'IN-NX'!$D$7=D1029),"x","")</f>
        <v/>
      </c>
      <c r="AB1029" s="75" t="str">
        <f>IF(AND(OR(LEFT(TH!N1029,2)="15",LEFT(TH!O1029,2)="15"),LEFT(TH!O1029,3)&lt;&gt;"111",'152-CT'!$J$8=TH!F1029),"x","")</f>
        <v/>
      </c>
      <c r="AC1029" s="75" t="str">
        <f>IF(AND(OR(LEFT(TH!N1029,2)="15",LEFT(TH!O1029,2)="15"),TK!$E$7=TH!F1029),"x","")</f>
        <v/>
      </c>
      <c r="AD1029" s="75" t="str">
        <f>IF(AND(N1029="1521",MONTH(C1029)='BK-NL'!$M$11),"x","")</f>
        <v/>
      </c>
    </row>
    <row r="1030" spans="1:32" s="1054" customFormat="1" ht="16.5" customHeight="1">
      <c r="A1030" s="309" t="str">
        <f>IF(B1030&lt;&gt;"",IF(AND(B1030='IN-TC'!$S$4,OR(TH!N1030="1111",TH!O1030="1111")),TH!D1030,""),"")</f>
        <v/>
      </c>
      <c r="B1030" s="1169">
        <f t="shared" ref="B1030:B1035" si="208">IF(C1030&lt;&gt;"",MONTH(C1030),"")</f>
        <v>3</v>
      </c>
      <c r="C1030" s="217">
        <f t="shared" ref="C1030:C1035" si="209">E1030</f>
        <v>42802</v>
      </c>
      <c r="D1030" s="217" t="s">
        <v>2950</v>
      </c>
      <c r="E1030" s="217">
        <v>42802</v>
      </c>
      <c r="F1030" s="429" t="s">
        <v>429</v>
      </c>
      <c r="G1030" s="739"/>
      <c r="H1030" s="294" t="s">
        <v>2919</v>
      </c>
      <c r="I1030" s="373">
        <v>101378</v>
      </c>
      <c r="J1030" s="373">
        <v>69854.034581563261</v>
      </c>
      <c r="K1030" s="373"/>
      <c r="L1030" s="379"/>
      <c r="M1030" s="927">
        <f t="shared" ref="M1030:M1035" si="210">ROUND(I1030*J1030,0)</f>
        <v>7081662318</v>
      </c>
      <c r="N1030" s="935" t="s">
        <v>274</v>
      </c>
      <c r="O1030" s="935" t="s">
        <v>272</v>
      </c>
      <c r="P1030" s="75" t="str">
        <f>IF(AND('331-CT'!$E$7=TH!H1030,OR(N1030="331",O1030="331")),"x","")</f>
        <v/>
      </c>
      <c r="Q1030" s="75" t="str">
        <f>IF(AND(B1030='111'!$L$11,OR($N1030=$Q$7,$O1030=$Q$7)),"x","")</f>
        <v/>
      </c>
      <c r="R1030" s="75" t="str">
        <f>IF(AND($N1030=$Q$7,$B1030&lt;'111'!$L$11),"x","")</f>
        <v/>
      </c>
      <c r="S1030" s="75" t="str">
        <f>IF(AND($O1030=$Q$7,$B1030&lt;'111'!$L$11),"x","")</f>
        <v/>
      </c>
      <c r="T1030" s="75" t="str">
        <f>IF(ISERROR(FIND('112'!$M$9,G1030,1)),"",IF((AND(FIND('112'!$M$9,G1030,1)&gt;=1,B1030='112'!$K$9,OR($N1030='112'!$I$6,$O1030='112'!$I$6))),"x",""))</f>
        <v/>
      </c>
      <c r="U1030" s="75" t="str">
        <f>IF(ISERROR(FIND('112'!$M$9,G1030,1)),"",IF((AND(LEFT(G1030,2)=LEFT('112'!$M$9,2),B1030&lt;'112'!$K$9,$N1030='112'!$I$6)),"x",""))</f>
        <v/>
      </c>
      <c r="V1030" s="75" t="str">
        <f>IF(ISERROR(FIND('112'!$M$9,G1030,1)),"",IF((AND(RIGHT(G1030,2)=RIGHT('112'!$M$9,2),B1030&lt;'112'!$K$9,$O1030='112'!$I$6)),"x",""))</f>
        <v/>
      </c>
      <c r="W1030" s="75" t="str">
        <f>IF(AND('341-CT'!$H$9=H1030,OR(LEFT(N1030,3)=$W$7,LEFT(O1030,3)=$W$7)),"x","")</f>
        <v/>
      </c>
      <c r="X1030" s="75" t="str">
        <f>IF(OR(TH!N1030=TH!$X$7,O1030=TH!$X$7),"x","")</f>
        <v/>
      </c>
      <c r="Y1030" s="75" t="str">
        <f>IF(AND(OR(N1030="131",O1030="131"),H1030='131-CT'!$H$9),"x","")</f>
        <v/>
      </c>
      <c r="Z1030" s="75"/>
      <c r="AA1030" s="75" t="str">
        <f>IF(AND(MONTH(E1030)='IN-NX'!$J$5,'IN-NX'!$D$7=D1030),"x","")</f>
        <v/>
      </c>
      <c r="AB1030" s="75" t="str">
        <f>IF(AND(OR(LEFT(TH!N1030,2)="15",LEFT(TH!O1030,2)="15"),LEFT(TH!O1030,3)&lt;&gt;"111",'152-CT'!$J$8=TH!F1030),"x","")</f>
        <v/>
      </c>
      <c r="AC1030" s="75" t="str">
        <f>IF(AND(OR(LEFT(TH!N1030,2)="15",LEFT(TH!O1030,2)="15"),TK!$E$7=TH!F1030),"x","")</f>
        <v/>
      </c>
      <c r="AD1030" s="75" t="str">
        <f>IF(AND(N1030="1521",MONTH(C1030)='BK-NL'!$M$11),"x","")</f>
        <v/>
      </c>
    </row>
    <row r="1031" spans="1:32" ht="16.5" customHeight="1">
      <c r="A1031" s="309" t="str">
        <f>IF(B1031&lt;&gt;"",IF(AND(B1031='IN-TC'!$S$4,OR(TH!N1031="1111",TH!O1031="1111")),TH!D1031,""),"")</f>
        <v/>
      </c>
      <c r="B1031" s="1169">
        <f t="shared" si="208"/>
        <v>3</v>
      </c>
      <c r="C1031" s="217">
        <f t="shared" si="209"/>
        <v>42810</v>
      </c>
      <c r="D1031" s="217" t="s">
        <v>2950</v>
      </c>
      <c r="E1031" s="217">
        <v>42810</v>
      </c>
      <c r="F1031" s="429" t="s">
        <v>429</v>
      </c>
      <c r="G1031" s="739"/>
      <c r="H1031" s="294" t="s">
        <v>2919</v>
      </c>
      <c r="I1031" s="373">
        <v>113864</v>
      </c>
      <c r="J1031" s="373">
        <v>61790.930584109941</v>
      </c>
      <c r="K1031" s="379"/>
      <c r="L1031" s="379"/>
      <c r="M1031" s="927">
        <f t="shared" si="210"/>
        <v>7035762520</v>
      </c>
      <c r="N1031" s="935" t="s">
        <v>274</v>
      </c>
      <c r="O1031" s="935" t="s">
        <v>272</v>
      </c>
      <c r="P1031" s="75" t="str">
        <f>IF(AND('331-CT'!$E$7=TH!H1031,OR(N1031="331",O1031="331")),"x","")</f>
        <v/>
      </c>
      <c r="Q1031" s="75" t="str">
        <f>IF(AND(B1031='111'!$L$11,OR($N1031=$Q$7,$O1031=$Q$7)),"x","")</f>
        <v/>
      </c>
      <c r="R1031" s="75" t="str">
        <f>IF(AND($N1031=$Q$7,$B1031&lt;'111'!$L$11),"x","")</f>
        <v/>
      </c>
      <c r="S1031" s="75" t="str">
        <f>IF(AND($O1031=$Q$7,$B1031&lt;'111'!$L$11),"x","")</f>
        <v/>
      </c>
      <c r="T1031" s="75" t="str">
        <f>IF(ISERROR(FIND('112'!$M$9,G1031,1)),"",IF((AND(FIND('112'!$M$9,G1031,1)&gt;=1,B1031='112'!$K$9,OR($N1031='112'!$I$6,$O1031='112'!$I$6))),"x",""))</f>
        <v/>
      </c>
      <c r="U1031" s="75" t="str">
        <f>IF(ISERROR(FIND('112'!$M$9,G1031,1)),"",IF((AND(LEFT(G1031,2)=LEFT('112'!$M$9,2),B1031&lt;'112'!$K$9,$N1031='112'!$I$6)),"x",""))</f>
        <v/>
      </c>
      <c r="V1031" s="75" t="str">
        <f>IF(ISERROR(FIND('112'!$M$9,G1031,1)),"",IF((AND(RIGHT(G1031,2)=RIGHT('112'!$M$9,2),B1031&lt;'112'!$K$9,$O1031='112'!$I$6)),"x",""))</f>
        <v/>
      </c>
      <c r="W1031" s="75" t="str">
        <f>IF(AND('341-CT'!$H$9=H1031,OR(LEFT(N1031,3)=$W$7,LEFT(O1031,3)=$W$7)),"x","")</f>
        <v/>
      </c>
      <c r="X1031" s="75" t="str">
        <f>IF(OR(TH!N1031=TH!$X$7,O1031=TH!$X$7),"x","")</f>
        <v/>
      </c>
      <c r="Y1031" s="75" t="str">
        <f>IF(AND(OR(N1031="131",O1031="131"),H1031='131-CT'!$H$9),"x","")</f>
        <v/>
      </c>
      <c r="Z1031" s="75"/>
      <c r="AA1031" s="75" t="str">
        <f>IF(AND(MONTH(E1031)='IN-NX'!$J$5,'IN-NX'!$D$7=D1031),"x","")</f>
        <v/>
      </c>
      <c r="AB1031" s="75" t="str">
        <f>IF(AND(OR(LEFT(TH!N1031,2)="15",LEFT(TH!O1031,2)="15"),LEFT(TH!O1031,3)&lt;&gt;"111",'152-CT'!$J$8=TH!F1031),"x","")</f>
        <v/>
      </c>
      <c r="AC1031" s="75" t="str">
        <f>IF(AND(OR(LEFT(TH!N1031,2)="15",LEFT(TH!O1031,2)="15"),TK!$E$7=TH!F1031),"x","")</f>
        <v/>
      </c>
      <c r="AD1031" s="75" t="str">
        <f>IF(AND(N1031="1521",MONTH(C1031)='BK-NL'!$M$11),"x","")</f>
        <v/>
      </c>
      <c r="AF1031" s="1054"/>
    </row>
    <row r="1032" spans="1:32" ht="16.5" customHeight="1">
      <c r="A1032" s="309" t="str">
        <f>IF(B1032&lt;&gt;"",IF(AND(B1032='IN-TC'!$S$4,OR(TH!N1032="1111",TH!O1032="1111")),TH!D1032,""),"")</f>
        <v/>
      </c>
      <c r="B1032" s="1169">
        <f t="shared" si="208"/>
        <v>3</v>
      </c>
      <c r="C1032" s="217">
        <f t="shared" si="209"/>
        <v>42810</v>
      </c>
      <c r="D1032" s="217" t="s">
        <v>2950</v>
      </c>
      <c r="E1032" s="217">
        <v>42810</v>
      </c>
      <c r="F1032" s="429" t="s">
        <v>1584</v>
      </c>
      <c r="G1032" s="739"/>
      <c r="H1032" s="294" t="s">
        <v>2919</v>
      </c>
      <c r="I1032" s="373">
        <v>2880</v>
      </c>
      <c r="J1032" s="373">
        <v>186936.34057017544</v>
      </c>
      <c r="K1032" s="379"/>
      <c r="L1032" s="379"/>
      <c r="M1032" s="927">
        <f t="shared" si="210"/>
        <v>538376661</v>
      </c>
      <c r="N1032" s="935" t="s">
        <v>274</v>
      </c>
      <c r="O1032" s="935" t="s">
        <v>272</v>
      </c>
      <c r="P1032" s="75" t="str">
        <f>IF(AND('331-CT'!$E$7=TH!H1032,OR(N1032="331",O1032="331")),"x","")</f>
        <v/>
      </c>
      <c r="Q1032" s="75" t="str">
        <f>IF(AND(B1032='111'!$L$11,OR($N1032=$Q$7,$O1032=$Q$7)),"x","")</f>
        <v/>
      </c>
      <c r="R1032" s="75" t="str">
        <f>IF(AND($N1032=$Q$7,$B1032&lt;'111'!$L$11),"x","")</f>
        <v/>
      </c>
      <c r="S1032" s="75" t="str">
        <f>IF(AND($O1032=$Q$7,$B1032&lt;'111'!$L$11),"x","")</f>
        <v/>
      </c>
      <c r="T1032" s="75" t="str">
        <f>IF(ISERROR(FIND('112'!$M$9,G1032,1)),"",IF((AND(FIND('112'!$M$9,G1032,1)&gt;=1,B1032='112'!$K$9,OR($N1032='112'!$I$6,$O1032='112'!$I$6))),"x",""))</f>
        <v/>
      </c>
      <c r="U1032" s="75" t="str">
        <f>IF(ISERROR(FIND('112'!$M$9,G1032,1)),"",IF((AND(LEFT(G1032,2)=LEFT('112'!$M$9,2),B1032&lt;'112'!$K$9,$N1032='112'!$I$6)),"x",""))</f>
        <v/>
      </c>
      <c r="V1032" s="75" t="str">
        <f>IF(ISERROR(FIND('112'!$M$9,G1032,1)),"",IF((AND(RIGHT(G1032,2)=RIGHT('112'!$M$9,2),B1032&lt;'112'!$K$9,$O1032='112'!$I$6)),"x",""))</f>
        <v/>
      </c>
      <c r="W1032" s="75" t="str">
        <f>IF(AND('341-CT'!$H$9=H1032,OR(LEFT(N1032,3)=$W$7,LEFT(O1032,3)=$W$7)),"x","")</f>
        <v/>
      </c>
      <c r="X1032" s="75" t="str">
        <f>IF(OR(TH!N1032=TH!$X$7,O1032=TH!$X$7),"x","")</f>
        <v/>
      </c>
      <c r="Y1032" s="75" t="str">
        <f>IF(AND(OR(N1032="131",O1032="131"),H1032='131-CT'!$H$9),"x","")</f>
        <v/>
      </c>
      <c r="Z1032" s="75"/>
      <c r="AA1032" s="75" t="str">
        <f>IF(AND(MONTH(E1032)='IN-NX'!$J$5,'IN-NX'!$D$7=D1032),"x","")</f>
        <v/>
      </c>
      <c r="AB1032" s="75" t="str">
        <f>IF(AND(OR(LEFT(TH!N1032,2)="15",LEFT(TH!O1032,2)="15"),LEFT(TH!O1032,3)&lt;&gt;"111",'152-CT'!$J$8=TH!F1032),"x","")</f>
        <v/>
      </c>
      <c r="AC1032" s="75" t="str">
        <f>IF(AND(OR(LEFT(TH!N1032,2)="15",LEFT(TH!O1032,2)="15"),TK!$E$7=TH!F1032),"x","")</f>
        <v/>
      </c>
      <c r="AD1032" s="75" t="str">
        <f>IF(AND(N1032="1521",MONTH(C1032)='BK-NL'!$M$11),"x","")</f>
        <v/>
      </c>
      <c r="AF1032" s="1054"/>
    </row>
    <row r="1033" spans="1:32" ht="16.5" customHeight="1">
      <c r="A1033" s="309" t="str">
        <f>IF(B1033&lt;&gt;"",IF(AND(B1033='IN-TC'!$S$4,OR(TH!N1033="1111",TH!O1033="1111")),TH!D1033,""),"")</f>
        <v/>
      </c>
      <c r="B1033" s="1169">
        <f t="shared" si="208"/>
        <v>3</v>
      </c>
      <c r="C1033" s="217">
        <f t="shared" si="209"/>
        <v>42822</v>
      </c>
      <c r="D1033" s="217" t="s">
        <v>2950</v>
      </c>
      <c r="E1033" s="217">
        <v>42822</v>
      </c>
      <c r="F1033" s="960" t="s">
        <v>1406</v>
      </c>
      <c r="G1033" s="739"/>
      <c r="H1033" s="294" t="s">
        <v>2919</v>
      </c>
      <c r="I1033" s="373">
        <v>1311</v>
      </c>
      <c r="J1033" s="926">
        <v>114627.47712253979</v>
      </c>
      <c r="K1033" s="926"/>
      <c r="L1033" s="379"/>
      <c r="M1033" s="927">
        <f t="shared" si="210"/>
        <v>150276623</v>
      </c>
      <c r="N1033" s="935" t="s">
        <v>274</v>
      </c>
      <c r="O1033" s="935" t="s">
        <v>272</v>
      </c>
      <c r="P1033" s="75" t="str">
        <f>IF(AND('331-CT'!$E$7=TH!H1033,OR(N1033="331",O1033="331")),"x","")</f>
        <v/>
      </c>
      <c r="Q1033" s="75" t="str">
        <f>IF(AND(B1033='111'!$L$11,OR($N1033=$Q$7,$O1033=$Q$7)),"x","")</f>
        <v/>
      </c>
      <c r="R1033" s="75" t="str">
        <f>IF(AND($N1033=$Q$7,$B1033&lt;'111'!$L$11),"x","")</f>
        <v/>
      </c>
      <c r="S1033" s="75" t="str">
        <f>IF(AND($O1033=$Q$7,$B1033&lt;'111'!$L$11),"x","")</f>
        <v/>
      </c>
      <c r="T1033" s="75" t="str">
        <f>IF(ISERROR(FIND('112'!$M$9,G1033,1)),"",IF((AND(FIND('112'!$M$9,G1033,1)&gt;=1,B1033='112'!$K$9,OR($N1033='112'!$I$6,$O1033='112'!$I$6))),"x",""))</f>
        <v/>
      </c>
      <c r="U1033" s="75" t="str">
        <f>IF(ISERROR(FIND('112'!$M$9,G1033,1)),"",IF((AND(LEFT(G1033,2)=LEFT('112'!$M$9,2),B1033&lt;'112'!$K$9,$N1033='112'!$I$6)),"x",""))</f>
        <v/>
      </c>
      <c r="V1033" s="75" t="str">
        <f>IF(ISERROR(FIND('112'!$M$9,G1033,1)),"",IF((AND(RIGHT(G1033,2)=RIGHT('112'!$M$9,2),B1033&lt;'112'!$K$9,$O1033='112'!$I$6)),"x",""))</f>
        <v/>
      </c>
      <c r="W1033" s="75" t="str">
        <f>IF(AND('341-CT'!$H$9=H1033,OR(LEFT(N1033,3)=$W$7,LEFT(O1033,3)=$W$7)),"x","")</f>
        <v/>
      </c>
      <c r="X1033" s="75" t="str">
        <f>IF(OR(TH!N1033=TH!$X$7,O1033=TH!$X$7),"x","")</f>
        <v/>
      </c>
      <c r="Y1033" s="75" t="str">
        <f>IF(AND(OR(N1033="131",O1033="131"),H1033='131-CT'!$H$9),"x","")</f>
        <v/>
      </c>
      <c r="Z1033" s="75"/>
      <c r="AA1033" s="75" t="str">
        <f>IF(AND(MONTH(E1033)='IN-NX'!$J$5,'IN-NX'!$D$7=D1033),"x","")</f>
        <v/>
      </c>
      <c r="AB1033" s="75" t="str">
        <f>IF(AND(OR(LEFT(TH!N1033,2)="15",LEFT(TH!O1033,2)="15"),LEFT(TH!O1033,3)&lt;&gt;"111",'152-CT'!$J$8=TH!F1033),"x","")</f>
        <v/>
      </c>
      <c r="AC1033" s="75" t="str">
        <f>IF(AND(OR(LEFT(TH!N1033,2)="15",LEFT(TH!O1033,2)="15"),TK!$E$7=TH!F1033),"x","")</f>
        <v/>
      </c>
      <c r="AD1033" s="75" t="str">
        <f>IF(AND(N1033="1521",MONTH(C1033)='BK-NL'!$M$11),"x","")</f>
        <v/>
      </c>
      <c r="AF1033" s="1054"/>
    </row>
    <row r="1034" spans="1:32" ht="16.5" customHeight="1">
      <c r="A1034" s="309" t="str">
        <f>IF(B1034&lt;&gt;"",IF(AND(B1034='IN-TC'!$S$4,OR(TH!N1034="1111",TH!O1034="1111")),TH!D1034,""),"")</f>
        <v/>
      </c>
      <c r="B1034" s="1169">
        <f t="shared" si="208"/>
        <v>3</v>
      </c>
      <c r="C1034" s="217">
        <f t="shared" si="209"/>
        <v>42817</v>
      </c>
      <c r="D1034" s="217" t="s">
        <v>2950</v>
      </c>
      <c r="E1034" s="217">
        <v>42817</v>
      </c>
      <c r="F1034" s="960" t="s">
        <v>2387</v>
      </c>
      <c r="G1034" s="739"/>
      <c r="H1034" s="294" t="s">
        <v>2919</v>
      </c>
      <c r="I1034" s="373">
        <v>440</v>
      </c>
      <c r="J1034" s="926">
        <v>244732.76944710119</v>
      </c>
      <c r="K1034" s="926"/>
      <c r="L1034" s="379"/>
      <c r="M1034" s="927">
        <f t="shared" si="210"/>
        <v>107682419</v>
      </c>
      <c r="N1034" s="935" t="s">
        <v>274</v>
      </c>
      <c r="O1034" s="935" t="s">
        <v>272</v>
      </c>
      <c r="P1034" s="75" t="str">
        <f>IF(AND('331-CT'!$E$7=TH!H1034,OR(N1034="331",O1034="331")),"x","")</f>
        <v/>
      </c>
      <c r="Q1034" s="75" t="str">
        <f>IF(AND(B1034='111'!$L$11,OR($N1034=$Q$7,$O1034=$Q$7)),"x","")</f>
        <v/>
      </c>
      <c r="R1034" s="75" t="str">
        <f>IF(AND($N1034=$Q$7,$B1034&lt;'111'!$L$11),"x","")</f>
        <v/>
      </c>
      <c r="S1034" s="75" t="str">
        <f>IF(AND($O1034=$Q$7,$B1034&lt;'111'!$L$11),"x","")</f>
        <v/>
      </c>
      <c r="T1034" s="75" t="str">
        <f>IF(ISERROR(FIND('112'!$M$9,G1034,1)),"",IF((AND(FIND('112'!$M$9,G1034,1)&gt;=1,B1034='112'!$K$9,OR($N1034='112'!$I$6,$O1034='112'!$I$6))),"x",""))</f>
        <v/>
      </c>
      <c r="U1034" s="75" t="str">
        <f>IF(ISERROR(FIND('112'!$M$9,G1034,1)),"",IF((AND(LEFT(G1034,2)=LEFT('112'!$M$9,2),B1034&lt;'112'!$K$9,$N1034='112'!$I$6)),"x",""))</f>
        <v/>
      </c>
      <c r="V1034" s="75" t="str">
        <f>IF(ISERROR(FIND('112'!$M$9,G1034,1)),"",IF((AND(RIGHT(G1034,2)=RIGHT('112'!$M$9,2),B1034&lt;'112'!$K$9,$O1034='112'!$I$6)),"x",""))</f>
        <v/>
      </c>
      <c r="W1034" s="75" t="str">
        <f>IF(AND('341-CT'!$H$9=H1034,OR(LEFT(N1034,3)=$W$7,LEFT(O1034,3)=$W$7)),"x","")</f>
        <v/>
      </c>
      <c r="X1034" s="75" t="str">
        <f>IF(OR(TH!N1034=TH!$X$7,O1034=TH!$X$7),"x","")</f>
        <v/>
      </c>
      <c r="Y1034" s="75" t="str">
        <f>IF(AND(OR(N1034="131",O1034="131"),H1034='131-CT'!$H$9),"x","")</f>
        <v/>
      </c>
      <c r="Z1034" s="75"/>
      <c r="AA1034" s="75" t="str">
        <f>IF(AND(MONTH(E1034)='IN-NX'!$J$5,'IN-NX'!$D$7=D1034),"x","")</f>
        <v/>
      </c>
      <c r="AB1034" s="75" t="str">
        <f>IF(AND(OR(LEFT(TH!N1034,2)="15",LEFT(TH!O1034,2)="15"),LEFT(TH!O1034,3)&lt;&gt;"111",'152-CT'!$J$8=TH!F1034),"x","")</f>
        <v/>
      </c>
      <c r="AC1034" s="75" t="str">
        <f>IF(AND(OR(LEFT(TH!N1034,2)="15",LEFT(TH!O1034,2)="15"),TK!$E$7=TH!F1034),"x","")</f>
        <v/>
      </c>
      <c r="AD1034" s="75" t="str">
        <f>IF(AND(N1034="1521",MONTH(C1034)='BK-NL'!$M$11),"x","")</f>
        <v/>
      </c>
      <c r="AF1034" s="1054"/>
    </row>
    <row r="1035" spans="1:32" ht="16.5" customHeight="1">
      <c r="A1035" s="309" t="str">
        <f>IF(B1035&lt;&gt;"",IF(AND(B1035='IN-TC'!$S$4,OR(TH!N1035="1111",TH!O1035="1111")),TH!D1035,""),"")</f>
        <v/>
      </c>
      <c r="B1035" s="1169">
        <f t="shared" si="208"/>
        <v>3</v>
      </c>
      <c r="C1035" s="217">
        <f t="shared" si="209"/>
        <v>42821</v>
      </c>
      <c r="D1035" s="217" t="s">
        <v>2950</v>
      </c>
      <c r="E1035" s="217">
        <v>42821</v>
      </c>
      <c r="F1035" s="429" t="s">
        <v>1621</v>
      </c>
      <c r="G1035" s="739"/>
      <c r="H1035" s="294" t="s">
        <v>2919</v>
      </c>
      <c r="I1035" s="373">
        <v>120</v>
      </c>
      <c r="J1035" s="926">
        <v>146627.47712253977</v>
      </c>
      <c r="K1035" s="926"/>
      <c r="L1035" s="379"/>
      <c r="M1035" s="927">
        <f t="shared" si="210"/>
        <v>17595297</v>
      </c>
      <c r="N1035" s="935" t="s">
        <v>274</v>
      </c>
      <c r="O1035" s="935" t="s">
        <v>272</v>
      </c>
      <c r="P1035" s="75" t="str">
        <f>IF(AND('331-CT'!$E$7=TH!H1035,OR(N1035="331",O1035="331")),"x","")</f>
        <v/>
      </c>
      <c r="Q1035" s="75" t="str">
        <f>IF(AND(B1035='111'!$L$11,OR($N1035=$Q$7,$O1035=$Q$7)),"x","")</f>
        <v/>
      </c>
      <c r="R1035" s="75" t="str">
        <f>IF(AND($N1035=$Q$7,$B1035&lt;'111'!$L$11),"x","")</f>
        <v/>
      </c>
      <c r="S1035" s="75" t="str">
        <f>IF(AND($O1035=$Q$7,$B1035&lt;'111'!$L$11),"x","")</f>
        <v/>
      </c>
      <c r="T1035" s="75" t="str">
        <f>IF(ISERROR(FIND('112'!$M$9,G1035,1)),"",IF((AND(FIND('112'!$M$9,G1035,1)&gt;=1,B1035='112'!$K$9,OR($N1035='112'!$I$6,$O1035='112'!$I$6))),"x",""))</f>
        <v/>
      </c>
      <c r="U1035" s="75" t="str">
        <f>IF(ISERROR(FIND('112'!$M$9,G1035,1)),"",IF((AND(LEFT(G1035,2)=LEFT('112'!$M$9,2),B1035&lt;'112'!$K$9,$N1035='112'!$I$6)),"x",""))</f>
        <v/>
      </c>
      <c r="V1035" s="75" t="str">
        <f>IF(ISERROR(FIND('112'!$M$9,G1035,1)),"",IF((AND(RIGHT(G1035,2)=RIGHT('112'!$M$9,2),B1035&lt;'112'!$K$9,$O1035='112'!$I$6)),"x",""))</f>
        <v/>
      </c>
      <c r="W1035" s="75" t="str">
        <f>IF(AND('341-CT'!$H$9=H1035,OR(LEFT(N1035,3)=$W$7,LEFT(O1035,3)=$W$7)),"x","")</f>
        <v/>
      </c>
      <c r="X1035" s="75" t="str">
        <f>IF(OR(TH!N1035=TH!$X$7,O1035=TH!$X$7),"x","")</f>
        <v/>
      </c>
      <c r="Y1035" s="75" t="str">
        <f>IF(AND(OR(N1035="131",O1035="131"),H1035='131-CT'!$H$9),"x","")</f>
        <v/>
      </c>
      <c r="Z1035" s="75"/>
      <c r="AA1035" s="75" t="str">
        <f>IF(AND(MONTH(E1035)='IN-NX'!$J$5,'IN-NX'!$D$7=D1035),"x","")</f>
        <v/>
      </c>
      <c r="AB1035" s="75" t="str">
        <f>IF(AND(OR(LEFT(TH!N1035,2)="15",LEFT(TH!O1035,2)="15"),LEFT(TH!O1035,3)&lt;&gt;"111",'152-CT'!$J$8=TH!F1035),"x","")</f>
        <v/>
      </c>
      <c r="AC1035" s="75" t="str">
        <f>IF(AND(OR(LEFT(TH!N1035,2)="15",LEFT(TH!O1035,2)="15"),TK!$E$7=TH!F1035),"x","")</f>
        <v/>
      </c>
      <c r="AD1035" s="75" t="str">
        <f>IF(AND(N1035="1521",MONTH(C1035)='BK-NL'!$M$11),"x","")</f>
        <v/>
      </c>
      <c r="AF1035" s="1054"/>
    </row>
    <row r="1036" spans="1:32" s="1053" customFormat="1" ht="16.5" customHeight="1">
      <c r="A1036" s="309" t="str">
        <f>IF(B1036&lt;&gt;"",IF(AND(B1036='IN-TC'!$S$4,OR(TH!N1036="1111",TH!O1036="1111")),TH!D1036,""),"")</f>
        <v/>
      </c>
      <c r="B1036" s="1169">
        <f t="shared" ref="B1036:B1042" si="211">IF(C1036&lt;&gt;"",MONTH(C1036),"")</f>
        <v>3</v>
      </c>
      <c r="C1036" s="252">
        <f t="shared" ref="C1036:C1042" si="212">E1036</f>
        <v>42811</v>
      </c>
      <c r="D1036" s="252" t="s">
        <v>2921</v>
      </c>
      <c r="E1036" s="252">
        <v>42811</v>
      </c>
      <c r="F1036" s="1055" t="s">
        <v>429</v>
      </c>
      <c r="G1036" s="1056"/>
      <c r="H1036" s="296"/>
      <c r="I1036" s="371">
        <v>7584</v>
      </c>
      <c r="J1036" s="371">
        <v>60914.422735346358</v>
      </c>
      <c r="K1036" s="371"/>
      <c r="L1036" s="377"/>
      <c r="M1036" s="933">
        <f t="shared" ref="M1036:M1042" si="213">ROUND(I1036*J1036,0)</f>
        <v>461974982</v>
      </c>
      <c r="N1036" s="977" t="s">
        <v>284</v>
      </c>
      <c r="O1036" s="977" t="s">
        <v>274</v>
      </c>
      <c r="P1036" s="75" t="str">
        <f>IF(AND('331-CT'!$E$7=TH!H1036,OR(N1036="331",O1036="331")),"x","")</f>
        <v/>
      </c>
      <c r="Q1036" s="75" t="str">
        <f>IF(AND(B1036='111'!$L$11,OR($N1036=$Q$7,$O1036=$Q$7)),"x","")</f>
        <v/>
      </c>
      <c r="R1036" s="75" t="str">
        <f>IF(AND($N1036=$Q$7,$B1036&lt;'111'!$L$11),"x","")</f>
        <v/>
      </c>
      <c r="S1036" s="75" t="str">
        <f>IF(AND($O1036=$Q$7,$B1036&lt;'111'!$L$11),"x","")</f>
        <v/>
      </c>
      <c r="T1036" s="75" t="str">
        <f>IF(ISERROR(FIND('112'!$M$9,G1036,1)),"",IF((AND(FIND('112'!$M$9,G1036,1)&gt;=1,B1036='112'!$K$9,OR($N1036='112'!$I$6,$O1036='112'!$I$6))),"x",""))</f>
        <v/>
      </c>
      <c r="U1036" s="75" t="str">
        <f>IF(ISERROR(FIND('112'!$M$9,G1036,1)),"",IF((AND(LEFT(G1036,2)=LEFT('112'!$M$9,2),B1036&lt;'112'!$K$9,$N1036='112'!$I$6)),"x",""))</f>
        <v/>
      </c>
      <c r="V1036" s="75" t="str">
        <f>IF(ISERROR(FIND('112'!$M$9,G1036,1)),"",IF((AND(RIGHT(G1036,2)=RIGHT('112'!$M$9,2),B1036&lt;'112'!$K$9,$O1036='112'!$I$6)),"x",""))</f>
        <v/>
      </c>
      <c r="W1036" s="75" t="str">
        <f>IF(AND('341-CT'!$H$9=H1036,OR(LEFT(N1036,3)=$W$7,LEFT(O1036,3)=$W$7)),"x","")</f>
        <v/>
      </c>
      <c r="X1036" s="75" t="str">
        <f>IF(OR(TH!N1036=TH!$X$7,O1036=TH!$X$7),"x","")</f>
        <v/>
      </c>
      <c r="Y1036" s="75" t="str">
        <f>IF(AND(OR(N1036="131",O1036="131"),H1036='131-CT'!$H$9),"x","")</f>
        <v/>
      </c>
      <c r="Z1036" s="75"/>
      <c r="AA1036" s="75" t="str">
        <f>IF(AND(MONTH(E1036)='IN-NX'!$J$5,'IN-NX'!$D$7=D1036),"x","")</f>
        <v/>
      </c>
      <c r="AB1036" s="75" t="str">
        <f>IF(AND(OR(LEFT(TH!N1036,2)="15",LEFT(TH!O1036,2)="15"),LEFT(TH!O1036,3)&lt;&gt;"111",'152-CT'!$J$8=TH!F1036),"x","")</f>
        <v/>
      </c>
      <c r="AC1036" s="75" t="str">
        <f>IF(AND(OR(LEFT(TH!N1036,2)="15",LEFT(TH!O1036,2)="15"),TK!$E$7=TH!F1036),"x","")</f>
        <v/>
      </c>
      <c r="AD1036" s="75" t="str">
        <f>IF(AND(N1036="1521",MONTH(C1036)='BK-NL'!$M$11),"x","")</f>
        <v/>
      </c>
      <c r="AF1036" s="1054"/>
    </row>
    <row r="1037" spans="1:32" s="1054" customFormat="1" ht="16.5" customHeight="1">
      <c r="A1037" s="309" t="str">
        <f>IF(B1037&lt;&gt;"",IF(AND(B1037='IN-TC'!$S$4,OR(TH!N1037="1111",TH!O1037="1111")),TH!D1037,""),"")</f>
        <v/>
      </c>
      <c r="B1037" s="1169">
        <f t="shared" si="211"/>
        <v>3</v>
      </c>
      <c r="C1037" s="252">
        <f t="shared" si="212"/>
        <v>42811</v>
      </c>
      <c r="D1037" s="252" t="s">
        <v>2921</v>
      </c>
      <c r="E1037" s="252">
        <v>42811</v>
      </c>
      <c r="F1037" s="1055" t="s">
        <v>429</v>
      </c>
      <c r="G1037" s="1056"/>
      <c r="H1037" s="73"/>
      <c r="I1037" s="371">
        <v>97807</v>
      </c>
      <c r="J1037" s="377">
        <v>58409.659450256608</v>
      </c>
      <c r="K1037" s="371"/>
      <c r="L1037" s="377"/>
      <c r="M1037" s="933">
        <f t="shared" si="213"/>
        <v>5712873562</v>
      </c>
      <c r="N1037" s="977" t="s">
        <v>284</v>
      </c>
      <c r="O1037" s="977" t="s">
        <v>274</v>
      </c>
      <c r="P1037" s="75" t="str">
        <f>IF(AND('331-CT'!$E$7=TH!H1037,OR(N1037="331",O1037="331")),"x","")</f>
        <v/>
      </c>
      <c r="Q1037" s="75" t="str">
        <f>IF(AND(B1037='111'!$L$11,OR($N1037=$Q$7,$O1037=$Q$7)),"x","")</f>
        <v/>
      </c>
      <c r="R1037" s="75" t="str">
        <f>IF(AND($N1037=$Q$7,$B1037&lt;'111'!$L$11),"x","")</f>
        <v/>
      </c>
      <c r="S1037" s="75" t="str">
        <f>IF(AND($O1037=$Q$7,$B1037&lt;'111'!$L$11),"x","")</f>
        <v/>
      </c>
      <c r="T1037" s="75" t="str">
        <f>IF(ISERROR(FIND('112'!$M$9,G1037,1)),"",IF((AND(FIND('112'!$M$9,G1037,1)&gt;=1,B1037='112'!$K$9,OR($N1037='112'!$I$6,$O1037='112'!$I$6))),"x",""))</f>
        <v/>
      </c>
      <c r="U1037" s="75" t="str">
        <f>IF(ISERROR(FIND('112'!$M$9,G1037,1)),"",IF((AND(LEFT(G1037,2)=LEFT('112'!$M$9,2),B1037&lt;'112'!$K$9,$N1037='112'!$I$6)),"x",""))</f>
        <v/>
      </c>
      <c r="V1037" s="75" t="str">
        <f>IF(ISERROR(FIND('112'!$M$9,G1037,1)),"",IF((AND(RIGHT(G1037,2)=RIGHT('112'!$M$9,2),B1037&lt;'112'!$K$9,$O1037='112'!$I$6)),"x",""))</f>
        <v/>
      </c>
      <c r="W1037" s="75" t="str">
        <f>IF(AND('341-CT'!$H$9=H1037,OR(LEFT(N1037,3)=$W$7,LEFT(O1037,3)=$W$7)),"x","")</f>
        <v/>
      </c>
      <c r="X1037" s="75" t="str">
        <f>IF(OR(TH!N1037=TH!$X$7,O1037=TH!$X$7),"x","")</f>
        <v/>
      </c>
      <c r="Y1037" s="75" t="str">
        <f>IF(AND(OR(N1037="131",O1037="131"),H1037='131-CT'!$H$9),"x","")</f>
        <v/>
      </c>
      <c r="Z1037" s="75"/>
      <c r="AA1037" s="75" t="str">
        <f>IF(AND(MONTH(E1037)='IN-NX'!$J$5,'IN-NX'!$D$7=D1037),"x","")</f>
        <v/>
      </c>
      <c r="AB1037" s="75" t="str">
        <f>IF(AND(OR(LEFT(TH!N1037,2)="15",LEFT(TH!O1037,2)="15"),LEFT(TH!O1037,3)&lt;&gt;"111",'152-CT'!$J$8=TH!F1037),"x","")</f>
        <v/>
      </c>
      <c r="AC1037" s="75" t="str">
        <f>IF(AND(OR(LEFT(TH!N1037,2)="15",LEFT(TH!O1037,2)="15"),TK!$E$7=TH!F1037),"x","")</f>
        <v/>
      </c>
      <c r="AD1037" s="75" t="str">
        <f>IF(AND(N1037="1521",MONTH(C1037)='BK-NL'!$M$11),"x","")</f>
        <v/>
      </c>
    </row>
    <row r="1038" spans="1:32" s="1054" customFormat="1" ht="16.5" customHeight="1">
      <c r="A1038" s="309" t="str">
        <f>IF(B1038&lt;&gt;"",IF(AND(B1038='IN-TC'!$S$4,OR(TH!N1038="1111",TH!O1038="1111")),TH!D1038,""),"")</f>
        <v/>
      </c>
      <c r="B1038" s="1169">
        <f t="shared" si="211"/>
        <v>3</v>
      </c>
      <c r="C1038" s="252">
        <f t="shared" si="212"/>
        <v>42811</v>
      </c>
      <c r="D1038" s="252" t="s">
        <v>2921</v>
      </c>
      <c r="E1038" s="252">
        <v>42811</v>
      </c>
      <c r="F1038" s="1055" t="s">
        <v>429</v>
      </c>
      <c r="G1038" s="1056"/>
      <c r="H1038" s="73"/>
      <c r="I1038" s="371">
        <v>52702</v>
      </c>
      <c r="J1038" s="377">
        <v>59189.197926999965</v>
      </c>
      <c r="K1038" s="371"/>
      <c r="L1038" s="377"/>
      <c r="M1038" s="933">
        <f t="shared" si="213"/>
        <v>3119389109</v>
      </c>
      <c r="N1038" s="977" t="s">
        <v>284</v>
      </c>
      <c r="O1038" s="977" t="s">
        <v>274</v>
      </c>
      <c r="P1038" s="75" t="str">
        <f>IF(AND('331-CT'!$E$7=TH!H1038,OR(N1038="331",O1038="331")),"x","")</f>
        <v/>
      </c>
      <c r="Q1038" s="75" t="str">
        <f>IF(AND(B1038='111'!$L$11,OR($N1038=$Q$7,$O1038=$Q$7)),"x","")</f>
        <v/>
      </c>
      <c r="R1038" s="75" t="str">
        <f>IF(AND($N1038=$Q$7,$B1038&lt;'111'!$L$11),"x","")</f>
        <v/>
      </c>
      <c r="S1038" s="75" t="str">
        <f>IF(AND($O1038=$Q$7,$B1038&lt;'111'!$L$11),"x","")</f>
        <v/>
      </c>
      <c r="T1038" s="75" t="str">
        <f>IF(ISERROR(FIND('112'!$M$9,G1038,1)),"",IF((AND(FIND('112'!$M$9,G1038,1)&gt;=1,B1038='112'!$K$9,OR($N1038='112'!$I$6,$O1038='112'!$I$6))),"x",""))</f>
        <v/>
      </c>
      <c r="U1038" s="75" t="str">
        <f>IF(ISERROR(FIND('112'!$M$9,G1038,1)),"",IF((AND(LEFT(G1038,2)=LEFT('112'!$M$9,2),B1038&lt;'112'!$K$9,$N1038='112'!$I$6)),"x",""))</f>
        <v/>
      </c>
      <c r="V1038" s="75" t="str">
        <f>IF(ISERROR(FIND('112'!$M$9,G1038,1)),"",IF((AND(RIGHT(G1038,2)=RIGHT('112'!$M$9,2),B1038&lt;'112'!$K$9,$O1038='112'!$I$6)),"x",""))</f>
        <v/>
      </c>
      <c r="W1038" s="75" t="str">
        <f>IF(AND('341-CT'!$H$9=H1038,OR(LEFT(N1038,3)=$W$7,LEFT(O1038,3)=$W$7)),"x","")</f>
        <v/>
      </c>
      <c r="X1038" s="75" t="str">
        <f>IF(OR(TH!N1038=TH!$X$7,O1038=TH!$X$7),"x","")</f>
        <v/>
      </c>
      <c r="Y1038" s="75" t="str">
        <f>IF(AND(OR(N1038="131",O1038="131"),H1038='131-CT'!$H$9),"x","")</f>
        <v/>
      </c>
      <c r="Z1038" s="75"/>
      <c r="AA1038" s="75" t="str">
        <f>IF(AND(MONTH(E1038)='IN-NX'!$J$5,'IN-NX'!$D$7=D1038),"x","")</f>
        <v/>
      </c>
      <c r="AB1038" s="75" t="str">
        <f>IF(AND(OR(LEFT(TH!N1038,2)="15",LEFT(TH!O1038,2)="15"),LEFT(TH!O1038,3)&lt;&gt;"111",'152-CT'!$J$8=TH!F1038),"x","")</f>
        <v/>
      </c>
      <c r="AC1038" s="75" t="str">
        <f>IF(AND(OR(LEFT(TH!N1038,2)="15",LEFT(TH!O1038,2)="15"),TK!$E$7=TH!F1038),"x","")</f>
        <v/>
      </c>
      <c r="AD1038" s="75" t="str">
        <f>IF(AND(N1038="1521",MONTH(C1038)='BK-NL'!$M$11),"x","")</f>
        <v/>
      </c>
    </row>
    <row r="1039" spans="1:32" s="1054" customFormat="1" ht="16.5" customHeight="1">
      <c r="A1039" s="309" t="str">
        <f>IF(B1039&lt;&gt;"",IF(AND(B1039='IN-TC'!$S$4,OR(TH!N1039="1111",TH!O1039="1111")),TH!D1039,""),"")</f>
        <v/>
      </c>
      <c r="B1039" s="1169">
        <f t="shared" si="211"/>
        <v>3</v>
      </c>
      <c r="C1039" s="252">
        <f t="shared" si="212"/>
        <v>42821</v>
      </c>
      <c r="D1039" s="252" t="s">
        <v>2921</v>
      </c>
      <c r="E1039" s="252">
        <v>42821</v>
      </c>
      <c r="F1039" s="1055" t="s">
        <v>429</v>
      </c>
      <c r="G1039" s="1056" t="s">
        <v>2929</v>
      </c>
      <c r="H1039" s="73" t="s">
        <v>791</v>
      </c>
      <c r="I1039" s="371">
        <v>74515</v>
      </c>
      <c r="J1039" s="371">
        <v>57500</v>
      </c>
      <c r="K1039" s="371"/>
      <c r="L1039" s="377"/>
      <c r="M1039" s="933">
        <f t="shared" si="213"/>
        <v>4284612500</v>
      </c>
      <c r="N1039" s="977" t="s">
        <v>284</v>
      </c>
      <c r="O1039" s="977" t="s">
        <v>274</v>
      </c>
      <c r="P1039" s="75" t="str">
        <f>IF(AND('331-CT'!$E$7=TH!H1039,OR(N1039="331",O1039="331")),"x","")</f>
        <v/>
      </c>
      <c r="Q1039" s="75" t="str">
        <f>IF(AND(B1039='111'!$L$11,OR($N1039=$Q$7,$O1039=$Q$7)),"x","")</f>
        <v/>
      </c>
      <c r="R1039" s="75" t="str">
        <f>IF(AND($N1039=$Q$7,$B1039&lt;'111'!$L$11),"x","")</f>
        <v/>
      </c>
      <c r="S1039" s="75" t="str">
        <f>IF(AND($O1039=$Q$7,$B1039&lt;'111'!$L$11),"x","")</f>
        <v/>
      </c>
      <c r="T1039" s="75" t="str">
        <f>IF(ISERROR(FIND('112'!$M$9,G1039,1)),"",IF((AND(FIND('112'!$M$9,G1039,1)&gt;=1,B1039='112'!$K$9,OR($N1039='112'!$I$6,$O1039='112'!$I$6))),"x",""))</f>
        <v/>
      </c>
      <c r="U1039" s="75" t="str">
        <f>IF(ISERROR(FIND('112'!$M$9,G1039,1)),"",IF((AND(LEFT(G1039,2)=LEFT('112'!$M$9,2),B1039&lt;'112'!$K$9,$N1039='112'!$I$6)),"x",""))</f>
        <v/>
      </c>
      <c r="V1039" s="75" t="str">
        <f>IF(ISERROR(FIND('112'!$M$9,G1039,1)),"",IF((AND(RIGHT(G1039,2)=RIGHT('112'!$M$9,2),B1039&lt;'112'!$K$9,$O1039='112'!$I$6)),"x",""))</f>
        <v/>
      </c>
      <c r="W1039" s="75" t="str">
        <f>IF(AND('341-CT'!$H$9=H1039,OR(LEFT(N1039,3)=$W$7,LEFT(O1039,3)=$W$7)),"x","")</f>
        <v/>
      </c>
      <c r="X1039" s="75" t="str">
        <f>IF(OR(TH!N1039=TH!$X$7,O1039=TH!$X$7),"x","")</f>
        <v/>
      </c>
      <c r="Y1039" s="75" t="str">
        <f>IF(AND(OR(N1039="131",O1039="131"),H1039='131-CT'!$H$9),"x","")</f>
        <v/>
      </c>
      <c r="Z1039" s="75"/>
      <c r="AA1039" s="75" t="str">
        <f>IF(AND(MONTH(E1039)='IN-NX'!$J$5,'IN-NX'!$D$7=D1039),"x","")</f>
        <v/>
      </c>
      <c r="AB1039" s="75" t="str">
        <f>IF(AND(OR(LEFT(TH!N1039,2)="15",LEFT(TH!O1039,2)="15"),LEFT(TH!O1039,3)&lt;&gt;"111",'152-CT'!$J$8=TH!F1039),"x","")</f>
        <v/>
      </c>
      <c r="AC1039" s="75" t="str">
        <f>IF(AND(OR(LEFT(TH!N1039,2)="15",LEFT(TH!O1039,2)="15"),TK!$E$7=TH!F1039),"x","")</f>
        <v/>
      </c>
      <c r="AD1039" s="75" t="str">
        <f>IF(AND(N1039="1521",MONTH(C1039)='BK-NL'!$M$11),"x","")</f>
        <v/>
      </c>
    </row>
    <row r="1040" spans="1:32" s="1054" customFormat="1" ht="16.5" customHeight="1">
      <c r="A1040" s="309" t="str">
        <f>IF(B1040&lt;&gt;"",IF(AND(B1040='IN-TC'!$S$4,OR(TH!N1040="1111",TH!O1040="1111")),TH!D1040,""),"")</f>
        <v/>
      </c>
      <c r="B1040" s="1169">
        <f t="shared" si="211"/>
        <v>3</v>
      </c>
      <c r="C1040" s="252">
        <f t="shared" si="212"/>
        <v>42821</v>
      </c>
      <c r="D1040" s="252" t="s">
        <v>2921</v>
      </c>
      <c r="E1040" s="252">
        <v>42821</v>
      </c>
      <c r="F1040" s="1055" t="s">
        <v>429</v>
      </c>
      <c r="G1040" s="1056" t="s">
        <v>2930</v>
      </c>
      <c r="H1040" s="73" t="s">
        <v>623</v>
      </c>
      <c r="I1040" s="371">
        <v>52780</v>
      </c>
      <c r="J1040" s="371">
        <v>62000</v>
      </c>
      <c r="K1040" s="371"/>
      <c r="L1040" s="377"/>
      <c r="M1040" s="933">
        <f t="shared" si="213"/>
        <v>3272360000</v>
      </c>
      <c r="N1040" s="977" t="s">
        <v>284</v>
      </c>
      <c r="O1040" s="977" t="s">
        <v>274</v>
      </c>
      <c r="P1040" s="75" t="str">
        <f>IF(AND('331-CT'!$E$7=TH!H1040,OR(N1040="331",O1040="331")),"x","")</f>
        <v/>
      </c>
      <c r="Q1040" s="75" t="str">
        <f>IF(AND(B1040='111'!$L$11,OR($N1040=$Q$7,$O1040=$Q$7)),"x","")</f>
        <v/>
      </c>
      <c r="R1040" s="75" t="str">
        <f>IF(AND($N1040=$Q$7,$B1040&lt;'111'!$L$11),"x","")</f>
        <v/>
      </c>
      <c r="S1040" s="75" t="str">
        <f>IF(AND($O1040=$Q$7,$B1040&lt;'111'!$L$11),"x","")</f>
        <v/>
      </c>
      <c r="T1040" s="75" t="str">
        <f>IF(ISERROR(FIND('112'!$M$9,G1040,1)),"",IF((AND(FIND('112'!$M$9,G1040,1)&gt;=1,B1040='112'!$K$9,OR($N1040='112'!$I$6,$O1040='112'!$I$6))),"x",""))</f>
        <v/>
      </c>
      <c r="U1040" s="75" t="str">
        <f>IF(ISERROR(FIND('112'!$M$9,G1040,1)),"",IF((AND(LEFT(G1040,2)=LEFT('112'!$M$9,2),B1040&lt;'112'!$K$9,$N1040='112'!$I$6)),"x",""))</f>
        <v/>
      </c>
      <c r="V1040" s="75" t="str">
        <f>IF(ISERROR(FIND('112'!$M$9,G1040,1)),"",IF((AND(RIGHT(G1040,2)=RIGHT('112'!$M$9,2),B1040&lt;'112'!$K$9,$O1040='112'!$I$6)),"x",""))</f>
        <v/>
      </c>
      <c r="W1040" s="75" t="str">
        <f>IF(AND('341-CT'!$H$9=H1040,OR(LEFT(N1040,3)=$W$7,LEFT(O1040,3)=$W$7)),"x","")</f>
        <v/>
      </c>
      <c r="X1040" s="75" t="str">
        <f>IF(OR(TH!N1040=TH!$X$7,O1040=TH!$X$7),"x","")</f>
        <v/>
      </c>
      <c r="Y1040" s="75" t="str">
        <f>IF(AND(OR(N1040="131",O1040="131"),H1040='131-CT'!$H$9),"x","")</f>
        <v/>
      </c>
      <c r="Z1040" s="75"/>
      <c r="AA1040" s="75" t="str">
        <f>IF(AND(MONTH(E1040)='IN-NX'!$J$5,'IN-NX'!$D$7=D1040),"x","")</f>
        <v/>
      </c>
      <c r="AB1040" s="75" t="str">
        <f>IF(AND(OR(LEFT(TH!N1040,2)="15",LEFT(TH!O1040,2)="15"),LEFT(TH!O1040,3)&lt;&gt;"111",'152-CT'!$J$8=TH!F1040),"x","")</f>
        <v/>
      </c>
      <c r="AC1040" s="75" t="str">
        <f>IF(AND(OR(LEFT(TH!N1040,2)="15",LEFT(TH!O1040,2)="15"),TK!$E$7=TH!F1040),"x","")</f>
        <v/>
      </c>
      <c r="AD1040" s="75" t="str">
        <f>IF(AND(N1040="1521",MONTH(C1040)='BK-NL'!$M$11),"x","")</f>
        <v/>
      </c>
    </row>
    <row r="1041" spans="1:32" s="1053" customFormat="1" ht="16.5" customHeight="1">
      <c r="A1041" s="309" t="str">
        <f>IF(B1041&lt;&gt;"",IF(AND(B1041='IN-TC'!$S$4,OR(TH!N1041="1111",TH!O1041="1111")),TH!D1041,""),"")</f>
        <v/>
      </c>
      <c r="B1041" s="1169">
        <f t="shared" si="211"/>
        <v>3</v>
      </c>
      <c r="C1041" s="252">
        <f t="shared" si="212"/>
        <v>42821</v>
      </c>
      <c r="D1041" s="252" t="s">
        <v>2921</v>
      </c>
      <c r="E1041" s="252">
        <v>42821</v>
      </c>
      <c r="F1041" s="1055" t="s">
        <v>429</v>
      </c>
      <c r="G1041" s="1056"/>
      <c r="H1041" s="296"/>
      <c r="I1041" s="371">
        <v>101378</v>
      </c>
      <c r="J1041" s="371">
        <v>69854.034581563261</v>
      </c>
      <c r="K1041" s="371"/>
      <c r="L1041" s="377"/>
      <c r="M1041" s="933">
        <f t="shared" si="213"/>
        <v>7081662318</v>
      </c>
      <c r="N1041" s="977" t="s">
        <v>284</v>
      </c>
      <c r="O1041" s="977" t="s">
        <v>274</v>
      </c>
      <c r="P1041" s="75" t="str">
        <f>IF(AND('331-CT'!$E$7=TH!H1041,OR(N1041="331",O1041="331")),"x","")</f>
        <v/>
      </c>
      <c r="Q1041" s="75" t="str">
        <f>IF(AND(B1041='111'!$L$11,OR($N1041=$Q$7,$O1041=$Q$7)),"x","")</f>
        <v/>
      </c>
      <c r="R1041" s="75" t="str">
        <f>IF(AND($N1041=$Q$7,$B1041&lt;'111'!$L$11),"x","")</f>
        <v/>
      </c>
      <c r="S1041" s="75" t="str">
        <f>IF(AND($O1041=$Q$7,$B1041&lt;'111'!$L$11),"x","")</f>
        <v/>
      </c>
      <c r="T1041" s="75" t="str">
        <f>IF(ISERROR(FIND('112'!$M$9,G1041,1)),"",IF((AND(FIND('112'!$M$9,G1041,1)&gt;=1,B1041='112'!$K$9,OR($N1041='112'!$I$6,$O1041='112'!$I$6))),"x",""))</f>
        <v/>
      </c>
      <c r="U1041" s="75" t="str">
        <f>IF(ISERROR(FIND('112'!$M$9,G1041,1)),"",IF((AND(LEFT(G1041,2)=LEFT('112'!$M$9,2),B1041&lt;'112'!$K$9,$N1041='112'!$I$6)),"x",""))</f>
        <v/>
      </c>
      <c r="V1041" s="75" t="str">
        <f>IF(ISERROR(FIND('112'!$M$9,G1041,1)),"",IF((AND(RIGHT(G1041,2)=RIGHT('112'!$M$9,2),B1041&lt;'112'!$K$9,$O1041='112'!$I$6)),"x",""))</f>
        <v/>
      </c>
      <c r="W1041" s="75" t="str">
        <f>IF(AND('341-CT'!$H$9=H1041,OR(LEFT(N1041,3)=$W$7,LEFT(O1041,3)=$W$7)),"x","")</f>
        <v/>
      </c>
      <c r="X1041" s="75" t="str">
        <f>IF(OR(TH!N1041=TH!$X$7,O1041=TH!$X$7),"x","")</f>
        <v/>
      </c>
      <c r="Y1041" s="75" t="str">
        <f>IF(AND(OR(N1041="131",O1041="131"),H1041='131-CT'!$H$9),"x","")</f>
        <v/>
      </c>
      <c r="Z1041" s="75"/>
      <c r="AA1041" s="75" t="str">
        <f>IF(AND(MONTH(E1041)='IN-NX'!$J$5,'IN-NX'!$D$7=D1041),"x","")</f>
        <v/>
      </c>
      <c r="AB1041" s="75" t="str">
        <f>IF(AND(OR(LEFT(TH!N1041,2)="15",LEFT(TH!O1041,2)="15"),LEFT(TH!O1041,3)&lt;&gt;"111",'152-CT'!$J$8=TH!F1041),"x","")</f>
        <v/>
      </c>
      <c r="AC1041" s="75" t="str">
        <f>IF(AND(OR(LEFT(TH!N1041,2)="15",LEFT(TH!O1041,2)="15"),TK!$E$7=TH!F1041),"x","")</f>
        <v/>
      </c>
      <c r="AD1041" s="75" t="str">
        <f>IF(AND(N1041="1521",MONTH(C1041)='BK-NL'!$M$11),"x","")</f>
        <v/>
      </c>
      <c r="AF1041" s="1054"/>
    </row>
    <row r="1042" spans="1:32" ht="16.5" customHeight="1">
      <c r="A1042" s="309" t="str">
        <f>IF(B1042&lt;&gt;"",IF(AND(B1042='IN-TC'!$S$4,OR(TH!N1042="1111",TH!O1042="1111")),TH!D1042,""),"")</f>
        <v/>
      </c>
      <c r="B1042" s="1169">
        <f t="shared" si="211"/>
        <v>3</v>
      </c>
      <c r="C1042" s="252">
        <f t="shared" si="212"/>
        <v>42821</v>
      </c>
      <c r="D1042" s="252" t="s">
        <v>2921</v>
      </c>
      <c r="E1042" s="252">
        <v>42821</v>
      </c>
      <c r="F1042" s="1055" t="s">
        <v>429</v>
      </c>
      <c r="G1042" s="1056" t="s">
        <v>2931</v>
      </c>
      <c r="H1042" s="296" t="s">
        <v>759</v>
      </c>
      <c r="I1042" s="371">
        <f>158093+131417+158340-SUM(I1036:I1041)</f>
        <v>61084</v>
      </c>
      <c r="J1042" s="932">
        <v>61790.930584109941</v>
      </c>
      <c r="K1042" s="932"/>
      <c r="L1042" s="377"/>
      <c r="M1042" s="933">
        <f t="shared" si="213"/>
        <v>3774437204</v>
      </c>
      <c r="N1042" s="977" t="s">
        <v>284</v>
      </c>
      <c r="O1042" s="977" t="s">
        <v>274</v>
      </c>
      <c r="P1042" s="75" t="str">
        <f>IF(AND('331-CT'!$E$7=TH!H1042,OR(N1042="331",O1042="331")),"x","")</f>
        <v/>
      </c>
      <c r="Q1042" s="75" t="str">
        <f>IF(AND(B1042='111'!$L$11,OR($N1042=$Q$7,$O1042=$Q$7)),"x","")</f>
        <v/>
      </c>
      <c r="R1042" s="75" t="str">
        <f>IF(AND($N1042=$Q$7,$B1042&lt;'111'!$L$11),"x","")</f>
        <v/>
      </c>
      <c r="S1042" s="75" t="str">
        <f>IF(AND($O1042=$Q$7,$B1042&lt;'111'!$L$11),"x","")</f>
        <v/>
      </c>
      <c r="T1042" s="75" t="str">
        <f>IF(ISERROR(FIND('112'!$M$9,G1042,1)),"",IF((AND(FIND('112'!$M$9,G1042,1)&gt;=1,B1042='112'!$K$9,OR($N1042='112'!$I$6,$O1042='112'!$I$6))),"x",""))</f>
        <v/>
      </c>
      <c r="U1042" s="75" t="str">
        <f>IF(ISERROR(FIND('112'!$M$9,G1042,1)),"",IF((AND(LEFT(G1042,2)=LEFT('112'!$M$9,2),B1042&lt;'112'!$K$9,$N1042='112'!$I$6)),"x",""))</f>
        <v/>
      </c>
      <c r="V1042" s="75" t="str">
        <f>IF(ISERROR(FIND('112'!$M$9,G1042,1)),"",IF((AND(RIGHT(G1042,2)=RIGHT('112'!$M$9,2),B1042&lt;'112'!$K$9,$O1042='112'!$I$6)),"x",""))</f>
        <v/>
      </c>
      <c r="W1042" s="75" t="str">
        <f>IF(AND('341-CT'!$H$9=H1042,OR(LEFT(N1042,3)=$W$7,LEFT(O1042,3)=$W$7)),"x","")</f>
        <v/>
      </c>
      <c r="X1042" s="75" t="str">
        <f>IF(OR(TH!N1042=TH!$X$7,O1042=TH!$X$7),"x","")</f>
        <v/>
      </c>
      <c r="Y1042" s="75" t="str">
        <f>IF(AND(OR(N1042="131",O1042="131"),H1042='131-CT'!$H$9),"x","")</f>
        <v/>
      </c>
      <c r="Z1042" s="75"/>
      <c r="AA1042" s="75" t="str">
        <f>IF(AND(MONTH(E1042)='IN-NX'!$J$5,'IN-NX'!$D$7=D1042),"x","")</f>
        <v/>
      </c>
      <c r="AB1042" s="75" t="str">
        <f>IF(AND(OR(LEFT(TH!N1042,2)="15",LEFT(TH!O1042,2)="15"),LEFT(TH!O1042,3)&lt;&gt;"111",'152-CT'!$J$8=TH!F1042),"x","")</f>
        <v/>
      </c>
      <c r="AC1042" s="75" t="str">
        <f>IF(AND(OR(LEFT(TH!N1042,2)="15",LEFT(TH!O1042,2)="15"),TK!$E$7=TH!F1042),"x","")</f>
        <v/>
      </c>
      <c r="AD1042" s="75" t="str">
        <f>IF(AND(N1042="1521",MONTH(C1042)='BK-NL'!$M$11),"x","")</f>
        <v/>
      </c>
      <c r="AF1042" s="1054"/>
    </row>
    <row r="1043" spans="1:32" s="1054" customFormat="1" ht="16.5" customHeight="1">
      <c r="A1043" s="309" t="str">
        <f>IF(B1043&lt;&gt;"",IF(AND(B1043='IN-TC'!$S$4,OR(TH!N1043="1111",TH!O1043="1111")),TH!D1043,""),"")</f>
        <v/>
      </c>
      <c r="B1043" s="1169">
        <f t="shared" ref="B1043:B1048" si="214">IF(C1043&lt;&gt;"",MONTH(C1043),"")</f>
        <v>3</v>
      </c>
      <c r="C1043" s="252">
        <f t="shared" ref="C1043:C1047" si="215">E1043</f>
        <v>42802</v>
      </c>
      <c r="D1043" s="252" t="s">
        <v>2921</v>
      </c>
      <c r="E1043" s="252">
        <v>42802</v>
      </c>
      <c r="F1043" s="1055" t="s">
        <v>1584</v>
      </c>
      <c r="G1043" s="1056" t="s">
        <v>1097</v>
      </c>
      <c r="H1043" s="735" t="s">
        <v>546</v>
      </c>
      <c r="I1043" s="371">
        <v>2880</v>
      </c>
      <c r="J1043" s="371">
        <v>186936.34057017544</v>
      </c>
      <c r="K1043" s="371"/>
      <c r="L1043" s="377"/>
      <c r="M1043" s="933">
        <f t="shared" ref="M1043:M1047" si="216">ROUND(I1043*J1043,0)</f>
        <v>538376661</v>
      </c>
      <c r="N1043" s="977" t="s">
        <v>284</v>
      </c>
      <c r="O1043" s="977" t="s">
        <v>274</v>
      </c>
      <c r="P1043" s="75" t="str">
        <f>IF(AND('331-CT'!$E$7=TH!H1043,OR(N1043="331",O1043="331")),"x","")</f>
        <v/>
      </c>
      <c r="Q1043" s="75" t="str">
        <f>IF(AND(B1043='111'!$L$11,OR($N1043=$Q$7,$O1043=$Q$7)),"x","")</f>
        <v/>
      </c>
      <c r="R1043" s="75" t="str">
        <f>IF(AND($N1043=$Q$7,$B1043&lt;'111'!$L$11),"x","")</f>
        <v/>
      </c>
      <c r="S1043" s="75" t="str">
        <f>IF(AND($O1043=$Q$7,$B1043&lt;'111'!$L$11),"x","")</f>
        <v/>
      </c>
      <c r="T1043" s="75" t="str">
        <f>IF(ISERROR(FIND('112'!$M$9,G1043,1)),"",IF((AND(FIND('112'!$M$9,G1043,1)&gt;=1,B1043='112'!$K$9,OR($N1043='112'!$I$6,$O1043='112'!$I$6))),"x",""))</f>
        <v/>
      </c>
      <c r="U1043" s="75" t="str">
        <f>IF(ISERROR(FIND('112'!$M$9,G1043,1)),"",IF((AND(LEFT(G1043,2)=LEFT('112'!$M$9,2),B1043&lt;'112'!$K$9,$N1043='112'!$I$6)),"x",""))</f>
        <v/>
      </c>
      <c r="V1043" s="75" t="str">
        <f>IF(ISERROR(FIND('112'!$M$9,G1043,1)),"",IF((AND(RIGHT(G1043,2)=RIGHT('112'!$M$9,2),B1043&lt;'112'!$K$9,$O1043='112'!$I$6)),"x",""))</f>
        <v/>
      </c>
      <c r="W1043" s="75" t="str">
        <f>IF(AND('341-CT'!$H$9=H1043,OR(LEFT(N1043,3)=$W$7,LEFT(O1043,3)=$W$7)),"x","")</f>
        <v/>
      </c>
      <c r="X1043" s="75" t="str">
        <f>IF(OR(TH!N1043=TH!$X$7,O1043=TH!$X$7),"x","")</f>
        <v/>
      </c>
      <c r="Y1043" s="75" t="str">
        <f>IF(AND(OR(N1043="131",O1043="131"),H1043='131-CT'!$H$9),"x","")</f>
        <v/>
      </c>
      <c r="Z1043" s="75"/>
      <c r="AA1043" s="75" t="str">
        <f>IF(AND(MONTH(E1043)='IN-NX'!$J$5,'IN-NX'!$D$7=D1043),"x","")</f>
        <v/>
      </c>
      <c r="AB1043" s="75" t="str">
        <f>IF(AND(OR(LEFT(TH!N1043,2)="15",LEFT(TH!O1043,2)="15"),LEFT(TH!O1043,3)&lt;&gt;"111",'152-CT'!$J$8=TH!F1043),"x","")</f>
        <v/>
      </c>
      <c r="AC1043" s="75" t="str">
        <f>IF(AND(OR(LEFT(TH!N1043,2)="15",LEFT(TH!O1043,2)="15"),TK!$E$7=TH!F1043),"x","")</f>
        <v/>
      </c>
      <c r="AD1043" s="75" t="str">
        <f>IF(AND(N1043="1521",MONTH(C1043)='BK-NL'!$M$11),"x","")</f>
        <v/>
      </c>
    </row>
    <row r="1044" spans="1:32" ht="16.5" customHeight="1">
      <c r="A1044" s="309" t="str">
        <f>IF(B1044&lt;&gt;"",IF(AND(B1044='IN-TC'!$S$4,OR(TH!N1044="1111",TH!O1044="1111")),TH!D1044,""),"")</f>
        <v/>
      </c>
      <c r="B1044" s="1169">
        <f t="shared" si="214"/>
        <v>3</v>
      </c>
      <c r="C1044" s="252">
        <f t="shared" si="215"/>
        <v>42810</v>
      </c>
      <c r="D1044" s="252" t="s">
        <v>2921</v>
      </c>
      <c r="E1044" s="252">
        <v>42810</v>
      </c>
      <c r="F1044" s="730" t="s">
        <v>1406</v>
      </c>
      <c r="G1044" s="1056" t="s">
        <v>1113</v>
      </c>
      <c r="H1044" s="735" t="s">
        <v>805</v>
      </c>
      <c r="I1044" s="371">
        <v>1311</v>
      </c>
      <c r="J1044" s="371">
        <v>114627.47712253979</v>
      </c>
      <c r="K1044" s="377"/>
      <c r="L1044" s="377"/>
      <c r="M1044" s="933">
        <f t="shared" si="216"/>
        <v>150276623</v>
      </c>
      <c r="N1044" s="977" t="s">
        <v>284</v>
      </c>
      <c r="O1044" s="977" t="s">
        <v>274</v>
      </c>
      <c r="P1044" s="75" t="str">
        <f>IF(AND('331-CT'!$E$7=TH!H1044,OR(N1044="331",O1044="331")),"x","")</f>
        <v/>
      </c>
      <c r="Q1044" s="75" t="str">
        <f>IF(AND(B1044='111'!$L$11,OR($N1044=$Q$7,$O1044=$Q$7)),"x","")</f>
        <v/>
      </c>
      <c r="R1044" s="75" t="str">
        <f>IF(AND($N1044=$Q$7,$B1044&lt;'111'!$L$11),"x","")</f>
        <v/>
      </c>
      <c r="S1044" s="75" t="str">
        <f>IF(AND($O1044=$Q$7,$B1044&lt;'111'!$L$11),"x","")</f>
        <v/>
      </c>
      <c r="T1044" s="75" t="str">
        <f>IF(ISERROR(FIND('112'!$M$9,G1044,1)),"",IF((AND(FIND('112'!$M$9,G1044,1)&gt;=1,B1044='112'!$K$9,OR($N1044='112'!$I$6,$O1044='112'!$I$6))),"x",""))</f>
        <v/>
      </c>
      <c r="U1044" s="75" t="str">
        <f>IF(ISERROR(FIND('112'!$M$9,G1044,1)),"",IF((AND(LEFT(G1044,2)=LEFT('112'!$M$9,2),B1044&lt;'112'!$K$9,$N1044='112'!$I$6)),"x",""))</f>
        <v/>
      </c>
      <c r="V1044" s="75" t="str">
        <f>IF(ISERROR(FIND('112'!$M$9,G1044,1)),"",IF((AND(RIGHT(G1044,2)=RIGHT('112'!$M$9,2),B1044&lt;'112'!$K$9,$O1044='112'!$I$6)),"x",""))</f>
        <v/>
      </c>
      <c r="W1044" s="75" t="str">
        <f>IF(AND('341-CT'!$H$9=H1044,OR(LEFT(N1044,3)=$W$7,LEFT(O1044,3)=$W$7)),"x","")</f>
        <v/>
      </c>
      <c r="X1044" s="75" t="str">
        <f>IF(OR(TH!N1044=TH!$X$7,O1044=TH!$X$7),"x","")</f>
        <v/>
      </c>
      <c r="Y1044" s="75" t="str">
        <f>IF(AND(OR(N1044="131",O1044="131"),H1044='131-CT'!$H$9),"x","")</f>
        <v/>
      </c>
      <c r="Z1044" s="75"/>
      <c r="AA1044" s="75" t="str">
        <f>IF(AND(MONTH(E1044)='IN-NX'!$J$5,'IN-NX'!$D$7=D1044),"x","")</f>
        <v/>
      </c>
      <c r="AB1044" s="75" t="str">
        <f>IF(AND(OR(LEFT(TH!N1044,2)="15",LEFT(TH!O1044,2)="15"),LEFT(TH!O1044,3)&lt;&gt;"111",'152-CT'!$J$8=TH!F1044),"x","")</f>
        <v/>
      </c>
      <c r="AC1044" s="75" t="str">
        <f>IF(AND(OR(LEFT(TH!N1044,2)="15",LEFT(TH!O1044,2)="15"),TK!$E$7=TH!F1044),"x","")</f>
        <v/>
      </c>
      <c r="AD1044" s="75" t="str">
        <f>IF(AND(N1044="1521",MONTH(C1044)='BK-NL'!$M$11),"x","")</f>
        <v/>
      </c>
      <c r="AF1044" s="1054"/>
    </row>
    <row r="1045" spans="1:32" ht="16.5" customHeight="1">
      <c r="A1045" s="309" t="str">
        <f>IF(B1045&lt;&gt;"",IF(AND(B1045='IN-TC'!$S$4,OR(TH!N1045="1111",TH!O1045="1111")),TH!D1045,""),"")</f>
        <v/>
      </c>
      <c r="B1045" s="1169">
        <f>IF(C1045&lt;&gt;"",MONTH(C1045),"")</f>
        <v>3</v>
      </c>
      <c r="C1045" s="252">
        <f>E1045</f>
        <v>42810</v>
      </c>
      <c r="D1045" s="252" t="s">
        <v>2921</v>
      </c>
      <c r="E1045" s="252">
        <v>42810</v>
      </c>
      <c r="F1045" s="730" t="s">
        <v>2387</v>
      </c>
      <c r="G1045" s="1056" t="s">
        <v>1138</v>
      </c>
      <c r="H1045" s="735" t="s">
        <v>1139</v>
      </c>
      <c r="I1045" s="371">
        <v>440</v>
      </c>
      <c r="J1045" s="371">
        <v>244732.76944710119</v>
      </c>
      <c r="K1045" s="377"/>
      <c r="L1045" s="377"/>
      <c r="M1045" s="933">
        <f>ROUND(I1045*J1045,0)</f>
        <v>107682419</v>
      </c>
      <c r="N1045" s="977" t="s">
        <v>284</v>
      </c>
      <c r="O1045" s="977" t="s">
        <v>274</v>
      </c>
      <c r="P1045" s="75" t="str">
        <f>IF(AND('331-CT'!$E$7=TH!H1045,OR(N1045="331",O1045="331")),"x","")</f>
        <v/>
      </c>
      <c r="Q1045" s="75" t="str">
        <f>IF(AND(B1045='111'!$L$11,OR($N1045=$Q$7,$O1045=$Q$7)),"x","")</f>
        <v/>
      </c>
      <c r="R1045" s="75" t="str">
        <f>IF(AND($N1045=$Q$7,$B1045&lt;'111'!$L$11),"x","")</f>
        <v/>
      </c>
      <c r="S1045" s="75" t="str">
        <f>IF(AND($O1045=$Q$7,$B1045&lt;'111'!$L$11),"x","")</f>
        <v/>
      </c>
      <c r="T1045" s="75" t="str">
        <f>IF(ISERROR(FIND('112'!$M$9,G1045,1)),"",IF((AND(FIND('112'!$M$9,G1045,1)&gt;=1,B1045='112'!$K$9,OR($N1045='112'!$I$6,$O1045='112'!$I$6))),"x",""))</f>
        <v/>
      </c>
      <c r="U1045" s="75" t="str">
        <f>IF(ISERROR(FIND('112'!$M$9,G1045,1)),"",IF((AND(LEFT(G1045,2)=LEFT('112'!$M$9,2),B1045&lt;'112'!$K$9,$N1045='112'!$I$6)),"x",""))</f>
        <v/>
      </c>
      <c r="V1045" s="75" t="str">
        <f>IF(ISERROR(FIND('112'!$M$9,G1045,1)),"",IF((AND(RIGHT(G1045,2)=RIGHT('112'!$M$9,2),B1045&lt;'112'!$K$9,$O1045='112'!$I$6)),"x",""))</f>
        <v/>
      </c>
      <c r="W1045" s="75" t="str">
        <f>IF(AND('341-CT'!$H$9=H1045,OR(LEFT(N1045,3)=$W$7,LEFT(O1045,3)=$W$7)),"x","")</f>
        <v/>
      </c>
      <c r="X1045" s="75" t="str">
        <f>IF(OR(TH!N1045=TH!$X$7,O1045=TH!$X$7),"x","")</f>
        <v/>
      </c>
      <c r="Y1045" s="75" t="str">
        <f>IF(AND(OR(N1045="131",O1045="131"),H1045='131-CT'!$H$9),"x","")</f>
        <v/>
      </c>
      <c r="Z1045" s="75"/>
      <c r="AA1045" s="75" t="str">
        <f>IF(AND(MONTH(E1045)='IN-NX'!$J$5,'IN-NX'!$D$7=D1045),"x","")</f>
        <v/>
      </c>
      <c r="AB1045" s="75" t="str">
        <f>IF(AND(OR(LEFT(TH!N1045,2)="15",LEFT(TH!O1045,2)="15"),LEFT(TH!O1045,3)&lt;&gt;"111",'152-CT'!$J$8=TH!F1045),"x","")</f>
        <v/>
      </c>
      <c r="AC1045" s="75" t="str">
        <f>IF(AND(OR(LEFT(TH!N1045,2)="15",LEFT(TH!O1045,2)="15"),TK!$E$7=TH!F1045),"x","")</f>
        <v/>
      </c>
      <c r="AD1045" s="75" t="str">
        <f>IF(AND(N1045="1521",MONTH(C1045)='BK-NL'!$M$11),"x","")</f>
        <v/>
      </c>
      <c r="AF1045" s="1054"/>
    </row>
    <row r="1046" spans="1:32" ht="16.5" customHeight="1">
      <c r="A1046" s="309" t="str">
        <f>IF(B1046&lt;&gt;"",IF(AND(B1046='IN-TC'!$S$4,OR(TH!N1046="1111",TH!O1046="1111")),TH!D1046,""),"")</f>
        <v/>
      </c>
      <c r="B1046" s="1169">
        <f>IF(C1046&lt;&gt;"",MONTH(C1046),"")</f>
        <v>3</v>
      </c>
      <c r="C1046" s="252">
        <f>E1046</f>
        <v>42822</v>
      </c>
      <c r="D1046" s="252" t="s">
        <v>2921</v>
      </c>
      <c r="E1046" s="252">
        <v>42822</v>
      </c>
      <c r="F1046" s="1055" t="s">
        <v>1621</v>
      </c>
      <c r="G1046" s="1056" t="s">
        <v>1145</v>
      </c>
      <c r="H1046" s="735" t="s">
        <v>802</v>
      </c>
      <c r="I1046" s="371">
        <v>20</v>
      </c>
      <c r="J1046" s="932">
        <v>146627.47712253977</v>
      </c>
      <c r="K1046" s="932"/>
      <c r="L1046" s="377"/>
      <c r="M1046" s="933">
        <f>ROUND(I1046*J1046,0)</f>
        <v>2932550</v>
      </c>
      <c r="N1046" s="977" t="s">
        <v>284</v>
      </c>
      <c r="O1046" s="977" t="s">
        <v>274</v>
      </c>
      <c r="P1046" s="75" t="str">
        <f>IF(AND('331-CT'!$E$7=TH!H1046,OR(N1046="331",O1046="331")),"x","")</f>
        <v/>
      </c>
      <c r="Q1046" s="75" t="str">
        <f>IF(AND(B1046='111'!$L$11,OR($N1046=$Q$7,$O1046=$Q$7)),"x","")</f>
        <v/>
      </c>
      <c r="R1046" s="75" t="str">
        <f>IF(AND($N1046=$Q$7,$B1046&lt;'111'!$L$11),"x","")</f>
        <v/>
      </c>
      <c r="S1046" s="75" t="str">
        <f>IF(AND($O1046=$Q$7,$B1046&lt;'111'!$L$11),"x","")</f>
        <v/>
      </c>
      <c r="T1046" s="75" t="str">
        <f>IF(ISERROR(FIND('112'!$M$9,G1046,1)),"",IF((AND(FIND('112'!$M$9,G1046,1)&gt;=1,B1046='112'!$K$9,OR($N1046='112'!$I$6,$O1046='112'!$I$6))),"x",""))</f>
        <v/>
      </c>
      <c r="U1046" s="75" t="str">
        <f>IF(ISERROR(FIND('112'!$M$9,G1046,1)),"",IF((AND(LEFT(G1046,2)=LEFT('112'!$M$9,2),B1046&lt;'112'!$K$9,$N1046='112'!$I$6)),"x",""))</f>
        <v/>
      </c>
      <c r="V1046" s="75" t="str">
        <f>IF(ISERROR(FIND('112'!$M$9,G1046,1)),"",IF((AND(RIGHT(G1046,2)=RIGHT('112'!$M$9,2),B1046&lt;'112'!$K$9,$O1046='112'!$I$6)),"x",""))</f>
        <v/>
      </c>
      <c r="W1046" s="75" t="str">
        <f>IF(AND('341-CT'!$H$9=H1046,OR(LEFT(N1046,3)=$W$7,LEFT(O1046,3)=$W$7)),"x","")</f>
        <v/>
      </c>
      <c r="X1046" s="75" t="str">
        <f>IF(OR(TH!N1046=TH!$X$7,O1046=TH!$X$7),"x","")</f>
        <v/>
      </c>
      <c r="Y1046" s="75" t="str">
        <f>IF(AND(OR(N1046="131",O1046="131"),H1046='131-CT'!$H$9),"x","")</f>
        <v/>
      </c>
      <c r="Z1046" s="75"/>
      <c r="AA1046" s="75" t="str">
        <f>IF(AND(MONTH(E1046)='IN-NX'!$J$5,'IN-NX'!$D$7=D1046),"x","")</f>
        <v/>
      </c>
      <c r="AB1046" s="75" t="str">
        <f>IF(AND(OR(LEFT(TH!N1046,2)="15",LEFT(TH!O1046,2)="15"),LEFT(TH!O1046,3)&lt;&gt;"111",'152-CT'!$J$8=TH!F1046),"x","")</f>
        <v/>
      </c>
      <c r="AC1046" s="75" t="str">
        <f>IF(AND(OR(LEFT(TH!N1046,2)="15",LEFT(TH!O1046,2)="15"),TK!$E$7=TH!F1046),"x","")</f>
        <v/>
      </c>
      <c r="AD1046" s="75" t="str">
        <f>IF(AND(N1046="1521",MONTH(C1046)='BK-NL'!$M$11),"x","")</f>
        <v/>
      </c>
      <c r="AF1046" s="1054"/>
    </row>
    <row r="1047" spans="1:32" ht="16.5" customHeight="1">
      <c r="A1047" s="309" t="str">
        <f>IF(B1047&lt;&gt;"",IF(AND(B1047='IN-TC'!$S$4,OR(TH!N1047="1111",TH!O1047="1111")),TH!D1047,""),"")</f>
        <v/>
      </c>
      <c r="B1047" s="1169">
        <f t="shared" si="214"/>
        <v>3</v>
      </c>
      <c r="C1047" s="252">
        <f t="shared" si="215"/>
        <v>42810</v>
      </c>
      <c r="D1047" s="252" t="s">
        <v>2921</v>
      </c>
      <c r="E1047" s="252">
        <v>42810</v>
      </c>
      <c r="F1047" s="730" t="s">
        <v>421</v>
      </c>
      <c r="G1047" s="1056" t="s">
        <v>1113</v>
      </c>
      <c r="H1047" s="735" t="s">
        <v>805</v>
      </c>
      <c r="I1047" s="371">
        <v>2711.2</v>
      </c>
      <c r="J1047" s="371">
        <v>141769.70706046809</v>
      </c>
      <c r="K1047" s="377"/>
      <c r="L1047" s="377"/>
      <c r="M1047" s="933">
        <f t="shared" si="216"/>
        <v>384366030</v>
      </c>
      <c r="N1047" s="977" t="s">
        <v>284</v>
      </c>
      <c r="O1047" s="977" t="s">
        <v>274</v>
      </c>
      <c r="P1047" s="75" t="str">
        <f>IF(AND('331-CT'!$E$7=TH!H1047,OR(N1047="331",O1047="331")),"x","")</f>
        <v/>
      </c>
      <c r="Q1047" s="75" t="str">
        <f>IF(AND(B1047='111'!$L$11,OR($N1047=$Q$7,$O1047=$Q$7)),"x","")</f>
        <v/>
      </c>
      <c r="R1047" s="75" t="str">
        <f>IF(AND($N1047=$Q$7,$B1047&lt;'111'!$L$11),"x","")</f>
        <v/>
      </c>
      <c r="S1047" s="75" t="str">
        <f>IF(AND($O1047=$Q$7,$B1047&lt;'111'!$L$11),"x","")</f>
        <v/>
      </c>
      <c r="T1047" s="75" t="str">
        <f>IF(ISERROR(FIND('112'!$M$9,G1047,1)),"",IF((AND(FIND('112'!$M$9,G1047,1)&gt;=1,B1047='112'!$K$9,OR($N1047='112'!$I$6,$O1047='112'!$I$6))),"x",""))</f>
        <v/>
      </c>
      <c r="U1047" s="75" t="str">
        <f>IF(ISERROR(FIND('112'!$M$9,G1047,1)),"",IF((AND(LEFT(G1047,2)=LEFT('112'!$M$9,2),B1047&lt;'112'!$K$9,$N1047='112'!$I$6)),"x",""))</f>
        <v/>
      </c>
      <c r="V1047" s="75" t="str">
        <f>IF(ISERROR(FIND('112'!$M$9,G1047,1)),"",IF((AND(RIGHT(G1047,2)=RIGHT('112'!$M$9,2),B1047&lt;'112'!$K$9,$O1047='112'!$I$6)),"x",""))</f>
        <v/>
      </c>
      <c r="W1047" s="75" t="str">
        <f>IF(AND('341-CT'!$H$9=H1047,OR(LEFT(N1047,3)=$W$7,LEFT(O1047,3)=$W$7)),"x","")</f>
        <v/>
      </c>
      <c r="X1047" s="75" t="str">
        <f>IF(OR(TH!N1047=TH!$X$7,O1047=TH!$X$7),"x","")</f>
        <v/>
      </c>
      <c r="Y1047" s="75" t="str">
        <f>IF(AND(OR(N1047="131",O1047="131"),H1047='131-CT'!$H$9),"x","")</f>
        <v/>
      </c>
      <c r="Z1047" s="75"/>
      <c r="AA1047" s="75" t="str">
        <f>IF(AND(MONTH(E1047)='IN-NX'!$J$5,'IN-NX'!$D$7=D1047),"x","")</f>
        <v/>
      </c>
      <c r="AB1047" s="75" t="str">
        <f>IF(AND(OR(LEFT(TH!N1047,2)="15",LEFT(TH!O1047,2)="15"),LEFT(TH!O1047,3)&lt;&gt;"111",'152-CT'!$J$8=TH!F1047),"x","")</f>
        <v/>
      </c>
      <c r="AC1047" s="75" t="str">
        <f>IF(AND(OR(LEFT(TH!N1047,2)="15",LEFT(TH!O1047,2)="15"),TK!$E$7=TH!F1047),"x","")</f>
        <v/>
      </c>
      <c r="AD1047" s="75" t="str">
        <f>IF(AND(N1047="1521",MONTH(C1047)='BK-NL'!$M$11),"x","")</f>
        <v/>
      </c>
      <c r="AF1047" s="1054"/>
    </row>
    <row r="1048" spans="1:32" ht="16.5" customHeight="1">
      <c r="A1048" s="309" t="str">
        <f>IF(B1048&lt;&gt;"",IF(AND(B1048='IN-TC'!$S$4,OR(TH!N1048="1111",TH!O1048="1111")),TH!D1048,""),"")</f>
        <v/>
      </c>
      <c r="B1048" s="1169">
        <f t="shared" si="214"/>
        <v>3</v>
      </c>
      <c r="C1048" s="252">
        <f t="shared" ref="C1048:C1051" si="217">E1048</f>
        <v>42822</v>
      </c>
      <c r="D1048" s="252" t="s">
        <v>2921</v>
      </c>
      <c r="E1048" s="252">
        <v>42822</v>
      </c>
      <c r="F1048" s="1082" t="s">
        <v>799</v>
      </c>
      <c r="G1048" s="1056" t="s">
        <v>1145</v>
      </c>
      <c r="H1048" s="735" t="s">
        <v>802</v>
      </c>
      <c r="I1048" s="371">
        <v>60</v>
      </c>
      <c r="J1048" s="371">
        <v>216224.5286564955</v>
      </c>
      <c r="K1048" s="932"/>
      <c r="L1048" s="377"/>
      <c r="M1048" s="933">
        <f t="shared" ref="M1048:M1051" si="218">ROUND(I1048*J1048,0)</f>
        <v>12973472</v>
      </c>
      <c r="N1048" s="977" t="s">
        <v>284</v>
      </c>
      <c r="O1048" s="977" t="s">
        <v>274</v>
      </c>
      <c r="P1048" s="75" t="str">
        <f>IF(AND('331-CT'!$E$7=TH!H1048,OR(N1048="331",O1048="331")),"x","")</f>
        <v/>
      </c>
      <c r="Q1048" s="75" t="str">
        <f>IF(AND(B1048='111'!$L$11,OR($N1048=$Q$7,$O1048=$Q$7)),"x","")</f>
        <v/>
      </c>
      <c r="R1048" s="75" t="str">
        <f>IF(AND($N1048=$Q$7,$B1048&lt;'111'!$L$11),"x","")</f>
        <v/>
      </c>
      <c r="S1048" s="75" t="str">
        <f>IF(AND($O1048=$Q$7,$B1048&lt;'111'!$L$11),"x","")</f>
        <v/>
      </c>
      <c r="T1048" s="75" t="str">
        <f>IF(ISERROR(FIND('112'!$M$9,G1048,1)),"",IF((AND(FIND('112'!$M$9,G1048,1)&gt;=1,B1048='112'!$K$9,OR($N1048='112'!$I$6,$O1048='112'!$I$6))),"x",""))</f>
        <v/>
      </c>
      <c r="U1048" s="75" t="str">
        <f>IF(ISERROR(FIND('112'!$M$9,G1048,1)),"",IF((AND(LEFT(G1048,2)=LEFT('112'!$M$9,2),B1048&lt;'112'!$K$9,$N1048='112'!$I$6)),"x",""))</f>
        <v/>
      </c>
      <c r="V1048" s="75" t="str">
        <f>IF(ISERROR(FIND('112'!$M$9,G1048,1)),"",IF((AND(RIGHT(G1048,2)=RIGHT('112'!$M$9,2),B1048&lt;'112'!$K$9,$O1048='112'!$I$6)),"x",""))</f>
        <v/>
      </c>
      <c r="W1048" s="75" t="str">
        <f>IF(AND('341-CT'!$H$9=H1048,OR(LEFT(N1048,3)=$W$7,LEFT(O1048,3)=$W$7)),"x","")</f>
        <v/>
      </c>
      <c r="X1048" s="75" t="str">
        <f>IF(OR(TH!N1048=TH!$X$7,O1048=TH!$X$7),"x","")</f>
        <v/>
      </c>
      <c r="Y1048" s="75" t="str">
        <f>IF(AND(OR(N1048="131",O1048="131"),H1048='131-CT'!$H$9),"x","")</f>
        <v/>
      </c>
      <c r="Z1048" s="75"/>
      <c r="AA1048" s="75" t="str">
        <f>IF(AND(MONTH(E1048)='IN-NX'!$J$5,'IN-NX'!$D$7=D1048),"x","")</f>
        <v/>
      </c>
      <c r="AB1048" s="75" t="str">
        <f>IF(AND(OR(LEFT(TH!N1048,2)="15",LEFT(TH!O1048,2)="15"),LEFT(TH!O1048,3)&lt;&gt;"111",'152-CT'!$J$8=TH!F1048),"x","")</f>
        <v/>
      </c>
      <c r="AC1048" s="75" t="str">
        <f>IF(AND(OR(LEFT(TH!N1048,2)="15",LEFT(TH!O1048,2)="15"),TK!$E$7=TH!F1048),"x","")</f>
        <v/>
      </c>
      <c r="AD1048" s="75" t="str">
        <f>IF(AND(N1048="1521",MONTH(C1048)='BK-NL'!$M$11),"x","")</f>
        <v/>
      </c>
      <c r="AF1048" s="1054"/>
    </row>
    <row r="1049" spans="1:32" ht="16.5" customHeight="1">
      <c r="A1049" s="309" t="str">
        <f>IF(B1049&lt;&gt;"",IF(AND(B1049='IN-TC'!$S$4,OR(TH!N1049="1111",TH!O1049="1111")),TH!D1049,""),"")</f>
        <v/>
      </c>
      <c r="B1049" s="1169">
        <f>IF(C1049&lt;&gt;"",MONTH(C1049),"")</f>
        <v>3</v>
      </c>
      <c r="C1049" s="252">
        <f t="shared" si="217"/>
        <v>42822</v>
      </c>
      <c r="D1049" s="252" t="s">
        <v>2921</v>
      </c>
      <c r="E1049" s="252">
        <v>42822</v>
      </c>
      <c r="F1049" s="1082" t="s">
        <v>800</v>
      </c>
      <c r="G1049" s="1056" t="s">
        <v>1145</v>
      </c>
      <c r="H1049" s="735" t="s">
        <v>802</v>
      </c>
      <c r="I1049" s="371">
        <v>40</v>
      </c>
      <c r="J1049" s="371">
        <v>198224.52865649556</v>
      </c>
      <c r="K1049" s="932"/>
      <c r="L1049" s="377"/>
      <c r="M1049" s="933">
        <f t="shared" si="218"/>
        <v>7928981</v>
      </c>
      <c r="N1049" s="977" t="s">
        <v>284</v>
      </c>
      <c r="O1049" s="977" t="s">
        <v>274</v>
      </c>
      <c r="P1049" s="75" t="str">
        <f>IF(AND('331-CT'!$E$7=TH!H1049,OR(N1049="331",O1049="331")),"x","")</f>
        <v/>
      </c>
      <c r="Q1049" s="75" t="str">
        <f>IF(AND(B1049='111'!$L$11,OR($N1049=$Q$7,$O1049=$Q$7)),"x","")</f>
        <v/>
      </c>
      <c r="R1049" s="75" t="str">
        <f>IF(AND($N1049=$Q$7,$B1049&lt;'111'!$L$11),"x","")</f>
        <v/>
      </c>
      <c r="S1049" s="75" t="str">
        <f>IF(AND($O1049=$Q$7,$B1049&lt;'111'!$L$11),"x","")</f>
        <v/>
      </c>
      <c r="T1049" s="75" t="str">
        <f>IF(ISERROR(FIND('112'!$M$9,G1049,1)),"",IF((AND(FIND('112'!$M$9,G1049,1)&gt;=1,B1049='112'!$K$9,OR($N1049='112'!$I$6,$O1049='112'!$I$6))),"x",""))</f>
        <v/>
      </c>
      <c r="U1049" s="75" t="str">
        <f>IF(ISERROR(FIND('112'!$M$9,G1049,1)),"",IF((AND(LEFT(G1049,2)=LEFT('112'!$M$9,2),B1049&lt;'112'!$K$9,$N1049='112'!$I$6)),"x",""))</f>
        <v/>
      </c>
      <c r="V1049" s="75" t="str">
        <f>IF(ISERROR(FIND('112'!$M$9,G1049,1)),"",IF((AND(RIGHT(G1049,2)=RIGHT('112'!$M$9,2),B1049&lt;'112'!$K$9,$O1049='112'!$I$6)),"x",""))</f>
        <v/>
      </c>
      <c r="W1049" s="75" t="str">
        <f>IF(AND('341-CT'!$H$9=H1049,OR(LEFT(N1049,3)=$W$7,LEFT(O1049,3)=$W$7)),"x","")</f>
        <v/>
      </c>
      <c r="X1049" s="75" t="str">
        <f>IF(OR(TH!N1049=TH!$X$7,O1049=TH!$X$7),"x","")</f>
        <v/>
      </c>
      <c r="Y1049" s="75" t="str">
        <f>IF(AND(OR(N1049="131",O1049="131"),H1049='131-CT'!$H$9),"x","")</f>
        <v/>
      </c>
      <c r="Z1049" s="75"/>
      <c r="AA1049" s="75" t="str">
        <f>IF(AND(MONTH(E1049)='IN-NX'!$J$5,'IN-NX'!$D$7=D1049),"x","")</f>
        <v/>
      </c>
      <c r="AB1049" s="75" t="str">
        <f>IF(AND(OR(LEFT(TH!N1049,2)="15",LEFT(TH!O1049,2)="15"),LEFT(TH!O1049,3)&lt;&gt;"111",'152-CT'!$J$8=TH!F1049),"x","")</f>
        <v/>
      </c>
      <c r="AC1049" s="75" t="str">
        <f>IF(AND(OR(LEFT(TH!N1049,2)="15",LEFT(TH!O1049,2)="15"),TK!$E$7=TH!F1049),"x","")</f>
        <v/>
      </c>
      <c r="AD1049" s="75" t="str">
        <f>IF(AND(N1049="1521",MONTH(C1049)='BK-NL'!$M$11),"x","")</f>
        <v/>
      </c>
      <c r="AF1049" s="1054"/>
    </row>
    <row r="1050" spans="1:32" ht="16.5" customHeight="1">
      <c r="A1050" s="309" t="str">
        <f>IF(B1050&lt;&gt;"",IF(AND(B1050='IN-TC'!$S$4,OR(TH!N1050="1111",TH!O1050="1111")),TH!D1050,""),"")</f>
        <v/>
      </c>
      <c r="B1050" s="1169">
        <f>IF(C1050&lt;&gt;"",MONTH(C1050),"")</f>
        <v>3</v>
      </c>
      <c r="C1050" s="252">
        <f t="shared" si="217"/>
        <v>42822</v>
      </c>
      <c r="D1050" s="252" t="s">
        <v>2921</v>
      </c>
      <c r="E1050" s="252">
        <v>42822</v>
      </c>
      <c r="F1050" s="1082" t="s">
        <v>801</v>
      </c>
      <c r="G1050" s="1056" t="s">
        <v>1145</v>
      </c>
      <c r="H1050" s="735" t="s">
        <v>802</v>
      </c>
      <c r="I1050" s="371">
        <v>46.6</v>
      </c>
      <c r="J1050" s="371">
        <v>156255.10005828401</v>
      </c>
      <c r="K1050" s="932"/>
      <c r="L1050" s="377"/>
      <c r="M1050" s="933">
        <f t="shared" si="218"/>
        <v>7281488</v>
      </c>
      <c r="N1050" s="977" t="s">
        <v>284</v>
      </c>
      <c r="O1050" s="977" t="s">
        <v>274</v>
      </c>
      <c r="P1050" s="75" t="str">
        <f>IF(AND('331-CT'!$E$7=TH!H1050,OR(N1050="331",O1050="331")),"x","")</f>
        <v/>
      </c>
      <c r="Q1050" s="75" t="str">
        <f>IF(AND(B1050='111'!$L$11,OR($N1050=$Q$7,$O1050=$Q$7)),"x","")</f>
        <v/>
      </c>
      <c r="R1050" s="75" t="str">
        <f>IF(AND($N1050=$Q$7,$B1050&lt;'111'!$L$11),"x","")</f>
        <v/>
      </c>
      <c r="S1050" s="75" t="str">
        <f>IF(AND($O1050=$Q$7,$B1050&lt;'111'!$L$11),"x","")</f>
        <v/>
      </c>
      <c r="T1050" s="75" t="str">
        <f>IF(ISERROR(FIND('112'!$M$9,G1050,1)),"",IF((AND(FIND('112'!$M$9,G1050,1)&gt;=1,B1050='112'!$K$9,OR($N1050='112'!$I$6,$O1050='112'!$I$6))),"x",""))</f>
        <v/>
      </c>
      <c r="U1050" s="75" t="str">
        <f>IF(ISERROR(FIND('112'!$M$9,G1050,1)),"",IF((AND(LEFT(G1050,2)=LEFT('112'!$M$9,2),B1050&lt;'112'!$K$9,$N1050='112'!$I$6)),"x",""))</f>
        <v/>
      </c>
      <c r="V1050" s="75" t="str">
        <f>IF(ISERROR(FIND('112'!$M$9,G1050,1)),"",IF((AND(RIGHT(G1050,2)=RIGHT('112'!$M$9,2),B1050&lt;'112'!$K$9,$O1050='112'!$I$6)),"x",""))</f>
        <v/>
      </c>
      <c r="W1050" s="75" t="str">
        <f>IF(AND('341-CT'!$H$9=H1050,OR(LEFT(N1050,3)=$W$7,LEFT(O1050,3)=$W$7)),"x","")</f>
        <v/>
      </c>
      <c r="X1050" s="75" t="str">
        <f>IF(OR(TH!N1050=TH!$X$7,O1050=TH!$X$7),"x","")</f>
        <v/>
      </c>
      <c r="Y1050" s="75" t="str">
        <f>IF(AND(OR(N1050="131",O1050="131"),H1050='131-CT'!$H$9),"x","")</f>
        <v/>
      </c>
      <c r="Z1050" s="75"/>
      <c r="AA1050" s="75" t="str">
        <f>IF(AND(MONTH(E1050)='IN-NX'!$J$5,'IN-NX'!$D$7=D1050),"x","")</f>
        <v/>
      </c>
      <c r="AB1050" s="75" t="str">
        <f>IF(AND(OR(LEFT(TH!N1050,2)="15",LEFT(TH!O1050,2)="15"),LEFT(TH!O1050,3)&lt;&gt;"111",'152-CT'!$J$8=TH!F1050),"x","")</f>
        <v/>
      </c>
      <c r="AC1050" s="75" t="str">
        <f>IF(AND(OR(LEFT(TH!N1050,2)="15",LEFT(TH!O1050,2)="15"),TK!$E$7=TH!F1050),"x","")</f>
        <v/>
      </c>
      <c r="AD1050" s="75" t="str">
        <f>IF(AND(N1050="1521",MONTH(C1050)='BK-NL'!$M$11),"x","")</f>
        <v/>
      </c>
      <c r="AF1050" s="1054"/>
    </row>
    <row r="1051" spans="1:32" ht="16.5" customHeight="1">
      <c r="A1051" s="309" t="str">
        <f>IF(B1051&lt;&gt;"",IF(AND(B1051='IN-TC'!$S$4,OR(TH!N1051="1111",TH!O1051="1111")),TH!D1051,""),"")</f>
        <v/>
      </c>
      <c r="B1051" s="1169">
        <f>IF(C1051&lt;&gt;"",MONTH(C1051),"")</f>
        <v>3</v>
      </c>
      <c r="C1051" s="252">
        <f t="shared" si="217"/>
        <v>42822</v>
      </c>
      <c r="D1051" s="252" t="s">
        <v>2921</v>
      </c>
      <c r="E1051" s="252">
        <v>42822</v>
      </c>
      <c r="F1051" s="1055" t="s">
        <v>2477</v>
      </c>
      <c r="G1051" s="1056" t="s">
        <v>1145</v>
      </c>
      <c r="H1051" s="735" t="s">
        <v>802</v>
      </c>
      <c r="I1051" s="371">
        <v>20</v>
      </c>
      <c r="J1051" s="371">
        <v>147998.69405150515</v>
      </c>
      <c r="K1051" s="932"/>
      <c r="L1051" s="377"/>
      <c r="M1051" s="933">
        <f t="shared" si="218"/>
        <v>2959974</v>
      </c>
      <c r="N1051" s="977" t="s">
        <v>284</v>
      </c>
      <c r="O1051" s="977" t="s">
        <v>274</v>
      </c>
      <c r="P1051" s="75" t="str">
        <f>IF(AND('331-CT'!$E$7=TH!H1051,OR(N1051="331",O1051="331")),"x","")</f>
        <v/>
      </c>
      <c r="Q1051" s="75" t="str">
        <f>IF(AND(B1051='111'!$L$11,OR($N1051=$Q$7,$O1051=$Q$7)),"x","")</f>
        <v/>
      </c>
      <c r="R1051" s="75" t="str">
        <f>IF(AND($N1051=$Q$7,$B1051&lt;'111'!$L$11),"x","")</f>
        <v/>
      </c>
      <c r="S1051" s="75" t="str">
        <f>IF(AND($O1051=$Q$7,$B1051&lt;'111'!$L$11),"x","")</f>
        <v/>
      </c>
      <c r="T1051" s="75" t="str">
        <f>IF(ISERROR(FIND('112'!$M$9,G1051,1)),"",IF((AND(FIND('112'!$M$9,G1051,1)&gt;=1,B1051='112'!$K$9,OR($N1051='112'!$I$6,$O1051='112'!$I$6))),"x",""))</f>
        <v/>
      </c>
      <c r="U1051" s="75" t="str">
        <f>IF(ISERROR(FIND('112'!$M$9,G1051,1)),"",IF((AND(LEFT(G1051,2)=LEFT('112'!$M$9,2),B1051&lt;'112'!$K$9,$N1051='112'!$I$6)),"x",""))</f>
        <v/>
      </c>
      <c r="V1051" s="75" t="str">
        <f>IF(ISERROR(FIND('112'!$M$9,G1051,1)),"",IF((AND(RIGHT(G1051,2)=RIGHT('112'!$M$9,2),B1051&lt;'112'!$K$9,$O1051='112'!$I$6)),"x",""))</f>
        <v/>
      </c>
      <c r="W1051" s="75" t="str">
        <f>IF(AND('341-CT'!$H$9=H1051,OR(LEFT(N1051,3)=$W$7,LEFT(O1051,3)=$W$7)),"x","")</f>
        <v/>
      </c>
      <c r="X1051" s="75" t="str">
        <f>IF(OR(TH!N1051=TH!$X$7,O1051=TH!$X$7),"x","")</f>
        <v/>
      </c>
      <c r="Y1051" s="75" t="str">
        <f>IF(AND(OR(N1051="131",O1051="131"),H1051='131-CT'!$H$9),"x","")</f>
        <v/>
      </c>
      <c r="Z1051" s="75"/>
      <c r="AA1051" s="75" t="str">
        <f>IF(AND(MONTH(E1051)='IN-NX'!$J$5,'IN-NX'!$D$7=D1051),"x","")</f>
        <v/>
      </c>
      <c r="AB1051" s="75" t="str">
        <f>IF(AND(OR(LEFT(TH!N1051,2)="15",LEFT(TH!O1051,2)="15"),LEFT(TH!O1051,3)&lt;&gt;"111",'152-CT'!$J$8=TH!F1051),"x","")</f>
        <v/>
      </c>
      <c r="AC1051" s="75" t="str">
        <f>IF(AND(OR(LEFT(TH!N1051,2)="15",LEFT(TH!O1051,2)="15"),TK!$E$7=TH!F1051),"x","")</f>
        <v/>
      </c>
      <c r="AD1051" s="75" t="str">
        <f>IF(AND(N1051="1521",MONTH(C1051)='BK-NL'!$M$11),"x","")</f>
        <v/>
      </c>
      <c r="AF1051" s="1054"/>
    </row>
    <row r="1052" spans="1:32" s="1053" customFormat="1" ht="16.5" customHeight="1">
      <c r="A1052" s="309" t="str">
        <f>IF(B1052&lt;&gt;"",IF(AND(B1052='IN-TC'!$S$4,OR(TH!N1052="1111",TH!O1052="1111")),TH!D1052,""),"")</f>
        <v/>
      </c>
      <c r="B1052" s="1169">
        <f t="shared" ref="B1052:B1079" si="219">IF(C1052&lt;&gt;"",MONTH(C1052),"")</f>
        <v>3</v>
      </c>
      <c r="C1052" s="292">
        <v>42795</v>
      </c>
      <c r="D1052" s="292" t="s">
        <v>829</v>
      </c>
      <c r="E1052" s="292">
        <f t="shared" ref="E1052:E1079" si="220">C1052</f>
        <v>42795</v>
      </c>
      <c r="F1052" s="67" t="s">
        <v>795</v>
      </c>
      <c r="G1052" s="925" t="s">
        <v>1153</v>
      </c>
      <c r="H1052" s="294" t="s">
        <v>796</v>
      </c>
      <c r="I1052" s="373">
        <v>2030</v>
      </c>
      <c r="J1052" s="926">
        <v>8500</v>
      </c>
      <c r="K1052" s="373"/>
      <c r="L1052" s="379"/>
      <c r="M1052" s="927">
        <f>I1052*J1052</f>
        <v>17255000</v>
      </c>
      <c r="N1052" s="295" t="s">
        <v>266</v>
      </c>
      <c r="O1052" s="295" t="s">
        <v>8</v>
      </c>
      <c r="P1052" s="75" t="str">
        <f>IF(AND('331-CT'!$E$7=TH!H1052,OR(N1052="331",O1052="331")),"x","")</f>
        <v/>
      </c>
      <c r="Q1052" s="75" t="str">
        <f>IF(AND(B1052='111'!$L$11,OR($N1052=$Q$7,$O1052=$Q$7)),"x","")</f>
        <v/>
      </c>
      <c r="R1052" s="75" t="str">
        <f>IF(AND($N1052=$Q$7,$B1052&lt;'111'!$L$11),"x","")</f>
        <v/>
      </c>
      <c r="S1052" s="75" t="str">
        <f>IF(AND($O1052=$Q$7,$B1052&lt;'111'!$L$11),"x","")</f>
        <v/>
      </c>
      <c r="T1052" s="75" t="str">
        <f>IF(ISERROR(FIND('112'!$M$9,G1052,1)),"",IF((AND(FIND('112'!$M$9,G1052,1)&gt;=1,B1052='112'!$K$9,OR($N1052='112'!$I$6,$O1052='112'!$I$6))),"x",""))</f>
        <v/>
      </c>
      <c r="U1052" s="75" t="str">
        <f>IF(ISERROR(FIND('112'!$M$9,G1052,1)),"",IF((AND(LEFT(G1052,2)=LEFT('112'!$M$9,2),B1052&lt;'112'!$K$9,$N1052='112'!$I$6)),"x",""))</f>
        <v/>
      </c>
      <c r="V1052" s="75" t="str">
        <f>IF(ISERROR(FIND('112'!$M$9,G1052,1)),"",IF((AND(RIGHT(G1052,2)=RIGHT('112'!$M$9,2),B1052&lt;'112'!$K$9,$O1052='112'!$I$6)),"x",""))</f>
        <v/>
      </c>
      <c r="W1052" s="75" t="str">
        <f>IF(AND('341-CT'!$H$9=H1052,OR(LEFT(N1052,3)=$W$7,LEFT(O1052,3)=$W$7)),"x","")</f>
        <v/>
      </c>
      <c r="X1052" s="75" t="str">
        <f>IF(OR(TH!N1052=TH!$X$7,O1052=TH!$X$7),"x","")</f>
        <v/>
      </c>
      <c r="Y1052" s="75" t="str">
        <f>IF(AND(OR(N1052="131",O1052="131"),H1052='131-CT'!$H$9),"x","")</f>
        <v/>
      </c>
      <c r="Z1052" s="75"/>
      <c r="AA1052" s="75" t="str">
        <f>IF(AND(MONTH(E1052)='IN-NX'!$J$5,'IN-NX'!$D$7=D1052),"x","")</f>
        <v/>
      </c>
      <c r="AB1052" s="75" t="str">
        <f>IF(AND(OR(LEFT(TH!N1052,2)="15",LEFT(TH!O1052,2)="15"),LEFT(TH!O1052,3)&lt;&gt;"111",'152-CT'!$J$8=TH!F1052),"x","")</f>
        <v/>
      </c>
      <c r="AC1052" s="75" t="str">
        <f>IF(AND(OR(LEFT(TH!N1052,2)="15",LEFT(TH!O1052,2)="15"),TK!$E$7=TH!F1052),"x","")</f>
        <v/>
      </c>
      <c r="AD1052" s="75" t="str">
        <f>IF(AND(N1052="1521",MONTH(C1052)='BK-NL'!$M$11),"x","")</f>
        <v/>
      </c>
    </row>
    <row r="1053" spans="1:32" s="1053" customFormat="1" ht="16.5" customHeight="1">
      <c r="A1053" s="309" t="str">
        <f>IF(B1053&lt;&gt;"",IF(AND(B1053='IN-TC'!$S$4,OR(TH!N1053="1111",TH!O1053="1111")),TH!D1053,""),"")</f>
        <v/>
      </c>
      <c r="B1053" s="1169">
        <f t="shared" si="219"/>
        <v>3</v>
      </c>
      <c r="C1053" s="292">
        <v>42795</v>
      </c>
      <c r="D1053" s="292" t="s">
        <v>829</v>
      </c>
      <c r="E1053" s="292">
        <f t="shared" si="220"/>
        <v>42795</v>
      </c>
      <c r="F1053" s="67" t="s">
        <v>1143</v>
      </c>
      <c r="G1053" s="925" t="s">
        <v>1153</v>
      </c>
      <c r="H1053" s="294" t="s">
        <v>796</v>
      </c>
      <c r="I1053" s="373"/>
      <c r="J1053" s="926"/>
      <c r="K1053" s="373"/>
      <c r="L1053" s="379"/>
      <c r="M1053" s="927">
        <v>1725500</v>
      </c>
      <c r="N1053" s="295" t="s">
        <v>9</v>
      </c>
      <c r="O1053" s="295" t="s">
        <v>8</v>
      </c>
      <c r="P1053" s="75" t="str">
        <f>IF(AND('331-CT'!$E$7=TH!H1053,OR(N1053="331",O1053="331")),"x","")</f>
        <v/>
      </c>
      <c r="Q1053" s="75" t="str">
        <f>IF(AND(B1053='111'!$L$11,OR($N1053=$Q$7,$O1053=$Q$7)),"x","")</f>
        <v/>
      </c>
      <c r="R1053" s="75" t="str">
        <f>IF(AND($N1053=$Q$7,$B1053&lt;'111'!$L$11),"x","")</f>
        <v/>
      </c>
      <c r="S1053" s="75" t="str">
        <f>IF(AND($O1053=$Q$7,$B1053&lt;'111'!$L$11),"x","")</f>
        <v/>
      </c>
      <c r="T1053" s="75" t="str">
        <f>IF(ISERROR(FIND('112'!$M$9,G1053,1)),"",IF((AND(FIND('112'!$M$9,G1053,1)&gt;=1,B1053='112'!$K$9,OR($N1053='112'!$I$6,$O1053='112'!$I$6))),"x",""))</f>
        <v/>
      </c>
      <c r="U1053" s="75" t="str">
        <f>IF(ISERROR(FIND('112'!$M$9,G1053,1)),"",IF((AND(LEFT(G1053,2)=LEFT('112'!$M$9,2),B1053&lt;'112'!$K$9,$N1053='112'!$I$6)),"x",""))</f>
        <v/>
      </c>
      <c r="V1053" s="75" t="str">
        <f>IF(ISERROR(FIND('112'!$M$9,G1053,1)),"",IF((AND(RIGHT(G1053,2)=RIGHT('112'!$M$9,2),B1053&lt;'112'!$K$9,$O1053='112'!$I$6)),"x",""))</f>
        <v/>
      </c>
      <c r="W1053" s="75" t="str">
        <f>IF(AND('341-CT'!$H$9=H1053,OR(LEFT(N1053,3)=$W$7,LEFT(O1053,3)=$W$7)),"x","")</f>
        <v/>
      </c>
      <c r="X1053" s="75" t="str">
        <f>IF(OR(TH!N1053=TH!$X$7,O1053=TH!$X$7),"x","")</f>
        <v/>
      </c>
      <c r="Y1053" s="75" t="str">
        <f>IF(AND(OR(N1053="131",O1053="131"),H1053='131-CT'!$H$9),"x","")</f>
        <v/>
      </c>
      <c r="Z1053" s="75"/>
      <c r="AA1053" s="75" t="str">
        <f>IF(AND(MONTH(E1053)='IN-NX'!$J$5,'IN-NX'!$D$7=D1053),"x","")</f>
        <v/>
      </c>
      <c r="AB1053" s="75" t="str">
        <f>IF(AND(OR(LEFT(TH!N1053,2)="15",LEFT(TH!O1053,2)="15"),LEFT(TH!O1053,3)&lt;&gt;"111",'152-CT'!$J$8=TH!F1053),"x","")</f>
        <v/>
      </c>
      <c r="AC1053" s="75" t="str">
        <f>IF(AND(OR(LEFT(TH!N1053,2)="15",LEFT(TH!O1053,2)="15"),TK!$E$7=TH!F1053),"x","")</f>
        <v/>
      </c>
      <c r="AD1053" s="75" t="str">
        <f>IF(AND(N1053="1521",MONTH(C1053)='BK-NL'!$M$11),"x","")</f>
        <v/>
      </c>
    </row>
    <row r="1054" spans="1:32" s="1053" customFormat="1" ht="16.5" customHeight="1">
      <c r="A1054" s="309" t="str">
        <f>IF(B1054&lt;&gt;"",IF(AND(B1054='IN-TC'!$S$4,OR(TH!N1054="1111",TH!O1054="1111")),TH!D1054,""),"")</f>
        <v/>
      </c>
      <c r="B1054" s="1169">
        <f t="shared" si="219"/>
        <v>3</v>
      </c>
      <c r="C1054" s="292">
        <v>42801</v>
      </c>
      <c r="D1054" s="292" t="s">
        <v>840</v>
      </c>
      <c r="E1054" s="292">
        <f t="shared" si="220"/>
        <v>42801</v>
      </c>
      <c r="F1054" s="67" t="s">
        <v>795</v>
      </c>
      <c r="G1054" s="925" t="s">
        <v>1154</v>
      </c>
      <c r="H1054" s="294" t="s">
        <v>796</v>
      </c>
      <c r="I1054" s="373">
        <v>2030</v>
      </c>
      <c r="J1054" s="926">
        <v>8500</v>
      </c>
      <c r="K1054" s="373"/>
      <c r="L1054" s="379"/>
      <c r="M1054" s="927">
        <f>I1054*J1054</f>
        <v>17255000</v>
      </c>
      <c r="N1054" s="295" t="s">
        <v>266</v>
      </c>
      <c r="O1054" s="295" t="s">
        <v>8</v>
      </c>
      <c r="P1054" s="75" t="str">
        <f>IF(AND('331-CT'!$E$7=TH!H1054,OR(N1054="331",O1054="331")),"x","")</f>
        <v/>
      </c>
      <c r="Q1054" s="75" t="str">
        <f>IF(AND(B1054='111'!$L$11,OR($N1054=$Q$7,$O1054=$Q$7)),"x","")</f>
        <v/>
      </c>
      <c r="R1054" s="75" t="str">
        <f>IF(AND($N1054=$Q$7,$B1054&lt;'111'!$L$11),"x","")</f>
        <v/>
      </c>
      <c r="S1054" s="75" t="str">
        <f>IF(AND($O1054=$Q$7,$B1054&lt;'111'!$L$11),"x","")</f>
        <v/>
      </c>
      <c r="T1054" s="75" t="str">
        <f>IF(ISERROR(FIND('112'!$M$9,G1054,1)),"",IF((AND(FIND('112'!$M$9,G1054,1)&gt;=1,B1054='112'!$K$9,OR($N1054='112'!$I$6,$O1054='112'!$I$6))),"x",""))</f>
        <v/>
      </c>
      <c r="U1054" s="75" t="str">
        <f>IF(ISERROR(FIND('112'!$M$9,G1054,1)),"",IF((AND(LEFT(G1054,2)=LEFT('112'!$M$9,2),B1054&lt;'112'!$K$9,$N1054='112'!$I$6)),"x",""))</f>
        <v/>
      </c>
      <c r="V1054" s="75" t="str">
        <f>IF(ISERROR(FIND('112'!$M$9,G1054,1)),"",IF((AND(RIGHT(G1054,2)=RIGHT('112'!$M$9,2),B1054&lt;'112'!$K$9,$O1054='112'!$I$6)),"x",""))</f>
        <v/>
      </c>
      <c r="W1054" s="75" t="str">
        <f>IF(AND('341-CT'!$H$9=H1054,OR(LEFT(N1054,3)=$W$7,LEFT(O1054,3)=$W$7)),"x","")</f>
        <v/>
      </c>
      <c r="X1054" s="75" t="str">
        <f>IF(OR(TH!N1054=TH!$X$7,O1054=TH!$X$7),"x","")</f>
        <v/>
      </c>
      <c r="Y1054" s="75" t="str">
        <f>IF(AND(OR(N1054="131",O1054="131"),H1054='131-CT'!$H$9),"x","")</f>
        <v/>
      </c>
      <c r="Z1054" s="75"/>
      <c r="AA1054" s="75" t="str">
        <f>IF(AND(MONTH(E1054)='IN-NX'!$J$5,'IN-NX'!$D$7=D1054),"x","")</f>
        <v/>
      </c>
      <c r="AB1054" s="75" t="str">
        <f>IF(AND(OR(LEFT(TH!N1054,2)="15",LEFT(TH!O1054,2)="15"),LEFT(TH!O1054,3)&lt;&gt;"111",'152-CT'!$J$8=TH!F1054),"x","")</f>
        <v/>
      </c>
      <c r="AC1054" s="75" t="str">
        <f>IF(AND(OR(LEFT(TH!N1054,2)="15",LEFT(TH!O1054,2)="15"),TK!$E$7=TH!F1054),"x","")</f>
        <v/>
      </c>
      <c r="AD1054" s="75" t="str">
        <f>IF(AND(N1054="1521",MONTH(C1054)='BK-NL'!$M$11),"x","")</f>
        <v/>
      </c>
    </row>
    <row r="1055" spans="1:32" s="1053" customFormat="1" ht="16.5" customHeight="1">
      <c r="A1055" s="309" t="str">
        <f>IF(B1055&lt;&gt;"",IF(AND(B1055='IN-TC'!$S$4,OR(TH!N1055="1111",TH!O1055="1111")),TH!D1055,""),"")</f>
        <v/>
      </c>
      <c r="B1055" s="1169">
        <f t="shared" si="219"/>
        <v>3</v>
      </c>
      <c r="C1055" s="292">
        <v>42801</v>
      </c>
      <c r="D1055" s="292" t="s">
        <v>840</v>
      </c>
      <c r="E1055" s="292">
        <f t="shared" si="220"/>
        <v>42801</v>
      </c>
      <c r="F1055" s="67" t="s">
        <v>1143</v>
      </c>
      <c r="G1055" s="925" t="s">
        <v>1154</v>
      </c>
      <c r="H1055" s="294" t="s">
        <v>796</v>
      </c>
      <c r="I1055" s="373"/>
      <c r="J1055" s="926"/>
      <c r="K1055" s="373"/>
      <c r="L1055" s="379"/>
      <c r="M1055" s="927">
        <v>1725500</v>
      </c>
      <c r="N1055" s="295" t="s">
        <v>9</v>
      </c>
      <c r="O1055" s="295" t="s">
        <v>8</v>
      </c>
      <c r="P1055" s="75" t="str">
        <f>IF(AND('331-CT'!$E$7=TH!H1055,OR(N1055="331",O1055="331")),"x","")</f>
        <v/>
      </c>
      <c r="Q1055" s="75" t="str">
        <f>IF(AND(B1055='111'!$L$11,OR($N1055=$Q$7,$O1055=$Q$7)),"x","")</f>
        <v/>
      </c>
      <c r="R1055" s="75" t="str">
        <f>IF(AND($N1055=$Q$7,$B1055&lt;'111'!$L$11),"x","")</f>
        <v/>
      </c>
      <c r="S1055" s="75" t="str">
        <f>IF(AND($O1055=$Q$7,$B1055&lt;'111'!$L$11),"x","")</f>
        <v/>
      </c>
      <c r="T1055" s="75" t="str">
        <f>IF(ISERROR(FIND('112'!$M$9,G1055,1)),"",IF((AND(FIND('112'!$M$9,G1055,1)&gt;=1,B1055='112'!$K$9,OR($N1055='112'!$I$6,$O1055='112'!$I$6))),"x",""))</f>
        <v/>
      </c>
      <c r="U1055" s="75" t="str">
        <f>IF(ISERROR(FIND('112'!$M$9,G1055,1)),"",IF((AND(LEFT(G1055,2)=LEFT('112'!$M$9,2),B1055&lt;'112'!$K$9,$N1055='112'!$I$6)),"x",""))</f>
        <v/>
      </c>
      <c r="V1055" s="75" t="str">
        <f>IF(ISERROR(FIND('112'!$M$9,G1055,1)),"",IF((AND(RIGHT(G1055,2)=RIGHT('112'!$M$9,2),B1055&lt;'112'!$K$9,$O1055='112'!$I$6)),"x",""))</f>
        <v/>
      </c>
      <c r="W1055" s="75" t="str">
        <f>IF(AND('341-CT'!$H$9=H1055,OR(LEFT(N1055,3)=$W$7,LEFT(O1055,3)=$W$7)),"x","")</f>
        <v/>
      </c>
      <c r="X1055" s="75" t="str">
        <f>IF(OR(TH!N1055=TH!$X$7,O1055=TH!$X$7),"x","")</f>
        <v/>
      </c>
      <c r="Y1055" s="75" t="str">
        <f>IF(AND(OR(N1055="131",O1055="131"),H1055='131-CT'!$H$9),"x","")</f>
        <v/>
      </c>
      <c r="Z1055" s="75"/>
      <c r="AA1055" s="75" t="str">
        <f>IF(AND(MONTH(E1055)='IN-NX'!$J$5,'IN-NX'!$D$7=D1055),"x","")</f>
        <v/>
      </c>
      <c r="AB1055" s="75" t="str">
        <f>IF(AND(OR(LEFT(TH!N1055,2)="15",LEFT(TH!O1055,2)="15"),LEFT(TH!O1055,3)&lt;&gt;"111",'152-CT'!$J$8=TH!F1055),"x","")</f>
        <v/>
      </c>
      <c r="AC1055" s="75" t="str">
        <f>IF(AND(OR(LEFT(TH!N1055,2)="15",LEFT(TH!O1055,2)="15"),TK!$E$7=TH!F1055),"x","")</f>
        <v/>
      </c>
      <c r="AD1055" s="75" t="str">
        <f>IF(AND(N1055="1521",MONTH(C1055)='BK-NL'!$M$11),"x","")</f>
        <v/>
      </c>
    </row>
    <row r="1056" spans="1:32" s="1053" customFormat="1" ht="16.5" customHeight="1">
      <c r="A1056" s="309" t="str">
        <f>IF(B1056&lt;&gt;"",IF(AND(B1056='IN-TC'!$S$4,OR(TH!N1056="1111",TH!O1056="1111")),TH!D1056,""),"")</f>
        <v/>
      </c>
      <c r="B1056" s="1169">
        <f t="shared" si="219"/>
        <v>3</v>
      </c>
      <c r="C1056" s="292">
        <v>42804</v>
      </c>
      <c r="D1056" s="292" t="s">
        <v>847</v>
      </c>
      <c r="E1056" s="292">
        <f t="shared" si="220"/>
        <v>42804</v>
      </c>
      <c r="F1056" s="67" t="s">
        <v>795</v>
      </c>
      <c r="G1056" s="925" t="s">
        <v>1155</v>
      </c>
      <c r="H1056" s="294" t="s">
        <v>796</v>
      </c>
      <c r="I1056" s="373">
        <v>2030</v>
      </c>
      <c r="J1056" s="926">
        <v>8500</v>
      </c>
      <c r="K1056" s="373"/>
      <c r="L1056" s="379"/>
      <c r="M1056" s="927">
        <f>I1056*J1056</f>
        <v>17255000</v>
      </c>
      <c r="N1056" s="295" t="s">
        <v>266</v>
      </c>
      <c r="O1056" s="295" t="s">
        <v>8</v>
      </c>
      <c r="P1056" s="75" t="str">
        <f>IF(AND('331-CT'!$E$7=TH!H1056,OR(N1056="331",O1056="331")),"x","")</f>
        <v/>
      </c>
      <c r="Q1056" s="75" t="str">
        <f>IF(AND(B1056='111'!$L$11,OR($N1056=$Q$7,$O1056=$Q$7)),"x","")</f>
        <v/>
      </c>
      <c r="R1056" s="75" t="str">
        <f>IF(AND($N1056=$Q$7,$B1056&lt;'111'!$L$11),"x","")</f>
        <v/>
      </c>
      <c r="S1056" s="75" t="str">
        <f>IF(AND($O1056=$Q$7,$B1056&lt;'111'!$L$11),"x","")</f>
        <v/>
      </c>
      <c r="T1056" s="75" t="str">
        <f>IF(ISERROR(FIND('112'!$M$9,G1056,1)),"",IF((AND(FIND('112'!$M$9,G1056,1)&gt;=1,B1056='112'!$K$9,OR($N1056='112'!$I$6,$O1056='112'!$I$6))),"x",""))</f>
        <v/>
      </c>
      <c r="U1056" s="75" t="str">
        <f>IF(ISERROR(FIND('112'!$M$9,G1056,1)),"",IF((AND(LEFT(G1056,2)=LEFT('112'!$M$9,2),B1056&lt;'112'!$K$9,$N1056='112'!$I$6)),"x",""))</f>
        <v/>
      </c>
      <c r="V1056" s="75" t="str">
        <f>IF(ISERROR(FIND('112'!$M$9,G1056,1)),"",IF((AND(RIGHT(G1056,2)=RIGHT('112'!$M$9,2),B1056&lt;'112'!$K$9,$O1056='112'!$I$6)),"x",""))</f>
        <v/>
      </c>
      <c r="W1056" s="75" t="str">
        <f>IF(AND('341-CT'!$H$9=H1056,OR(LEFT(N1056,3)=$W$7,LEFT(O1056,3)=$W$7)),"x","")</f>
        <v/>
      </c>
      <c r="X1056" s="75" t="str">
        <f>IF(OR(TH!N1056=TH!$X$7,O1056=TH!$X$7),"x","")</f>
        <v/>
      </c>
      <c r="Y1056" s="75" t="str">
        <f>IF(AND(OR(N1056="131",O1056="131"),H1056='131-CT'!$H$9),"x","")</f>
        <v/>
      </c>
      <c r="Z1056" s="75"/>
      <c r="AA1056" s="75" t="str">
        <f>IF(AND(MONTH(E1056)='IN-NX'!$J$5,'IN-NX'!$D$7=D1056),"x","")</f>
        <v/>
      </c>
      <c r="AB1056" s="75" t="str">
        <f>IF(AND(OR(LEFT(TH!N1056,2)="15",LEFT(TH!O1056,2)="15"),LEFT(TH!O1056,3)&lt;&gt;"111",'152-CT'!$J$8=TH!F1056),"x","")</f>
        <v/>
      </c>
      <c r="AC1056" s="75" t="str">
        <f>IF(AND(OR(LEFT(TH!N1056,2)="15",LEFT(TH!O1056,2)="15"),TK!$E$7=TH!F1056),"x","")</f>
        <v/>
      </c>
      <c r="AD1056" s="75" t="str">
        <f>IF(AND(N1056="1521",MONTH(C1056)='BK-NL'!$M$11),"x","")</f>
        <v/>
      </c>
    </row>
    <row r="1057" spans="1:31" s="1053" customFormat="1" ht="16.5" customHeight="1">
      <c r="A1057" s="309" t="str">
        <f>IF(B1057&lt;&gt;"",IF(AND(B1057='IN-TC'!$S$4,OR(TH!N1057="1111",TH!O1057="1111")),TH!D1057,""),"")</f>
        <v/>
      </c>
      <c r="B1057" s="1169">
        <f t="shared" si="219"/>
        <v>3</v>
      </c>
      <c r="C1057" s="292">
        <v>42804</v>
      </c>
      <c r="D1057" s="292" t="s">
        <v>847</v>
      </c>
      <c r="E1057" s="292">
        <f t="shared" si="220"/>
        <v>42804</v>
      </c>
      <c r="F1057" s="67" t="s">
        <v>1143</v>
      </c>
      <c r="G1057" s="925" t="s">
        <v>1155</v>
      </c>
      <c r="H1057" s="294" t="s">
        <v>796</v>
      </c>
      <c r="I1057" s="373"/>
      <c r="J1057" s="926"/>
      <c r="K1057" s="373"/>
      <c r="L1057" s="379"/>
      <c r="M1057" s="927">
        <v>1725500</v>
      </c>
      <c r="N1057" s="295" t="s">
        <v>9</v>
      </c>
      <c r="O1057" s="295" t="s">
        <v>8</v>
      </c>
      <c r="P1057" s="75" t="str">
        <f>IF(AND('331-CT'!$E$7=TH!H1057,OR(N1057="331",O1057="331")),"x","")</f>
        <v/>
      </c>
      <c r="Q1057" s="75" t="str">
        <f>IF(AND(B1057='111'!$L$11,OR($N1057=$Q$7,$O1057=$Q$7)),"x","")</f>
        <v/>
      </c>
      <c r="R1057" s="75" t="str">
        <f>IF(AND($N1057=$Q$7,$B1057&lt;'111'!$L$11),"x","")</f>
        <v/>
      </c>
      <c r="S1057" s="75" t="str">
        <f>IF(AND($O1057=$Q$7,$B1057&lt;'111'!$L$11),"x","")</f>
        <v/>
      </c>
      <c r="T1057" s="75" t="str">
        <f>IF(ISERROR(FIND('112'!$M$9,G1057,1)),"",IF((AND(FIND('112'!$M$9,G1057,1)&gt;=1,B1057='112'!$K$9,OR($N1057='112'!$I$6,$O1057='112'!$I$6))),"x",""))</f>
        <v/>
      </c>
      <c r="U1057" s="75" t="str">
        <f>IF(ISERROR(FIND('112'!$M$9,G1057,1)),"",IF((AND(LEFT(G1057,2)=LEFT('112'!$M$9,2),B1057&lt;'112'!$K$9,$N1057='112'!$I$6)),"x",""))</f>
        <v/>
      </c>
      <c r="V1057" s="75" t="str">
        <f>IF(ISERROR(FIND('112'!$M$9,G1057,1)),"",IF((AND(RIGHT(G1057,2)=RIGHT('112'!$M$9,2),B1057&lt;'112'!$K$9,$O1057='112'!$I$6)),"x",""))</f>
        <v/>
      </c>
      <c r="W1057" s="75" t="str">
        <f>IF(AND('341-CT'!$H$9=H1057,OR(LEFT(N1057,3)=$W$7,LEFT(O1057,3)=$W$7)),"x","")</f>
        <v/>
      </c>
      <c r="X1057" s="75" t="str">
        <f>IF(OR(TH!N1057=TH!$X$7,O1057=TH!$X$7),"x","")</f>
        <v/>
      </c>
      <c r="Y1057" s="75" t="str">
        <f>IF(AND(OR(N1057="131",O1057="131"),H1057='131-CT'!$H$9),"x","")</f>
        <v/>
      </c>
      <c r="Z1057" s="75"/>
      <c r="AA1057" s="75" t="str">
        <f>IF(AND(MONTH(E1057)='IN-NX'!$J$5,'IN-NX'!$D$7=D1057),"x","")</f>
        <v/>
      </c>
      <c r="AB1057" s="75" t="str">
        <f>IF(AND(OR(LEFT(TH!N1057,2)="15",LEFT(TH!O1057,2)="15"),LEFT(TH!O1057,3)&lt;&gt;"111",'152-CT'!$J$8=TH!F1057),"x","")</f>
        <v/>
      </c>
      <c r="AC1057" s="75" t="str">
        <f>IF(AND(OR(LEFT(TH!N1057,2)="15",LEFT(TH!O1057,2)="15"),TK!$E$7=TH!F1057),"x","")</f>
        <v/>
      </c>
      <c r="AD1057" s="75" t="str">
        <f>IF(AND(N1057="1521",MONTH(C1057)='BK-NL'!$M$11),"x","")</f>
        <v/>
      </c>
    </row>
    <row r="1058" spans="1:31" s="1053" customFormat="1" ht="16.5" customHeight="1">
      <c r="A1058" s="309" t="str">
        <f>IF(B1058&lt;&gt;"",IF(AND(B1058='IN-TC'!$S$4,OR(TH!N1058="1111",TH!O1058="1111")),TH!D1058,""),"")</f>
        <v/>
      </c>
      <c r="B1058" s="1169">
        <f t="shared" si="219"/>
        <v>3</v>
      </c>
      <c r="C1058" s="292">
        <v>42804</v>
      </c>
      <c r="D1058" s="292" t="s">
        <v>867</v>
      </c>
      <c r="E1058" s="292">
        <f t="shared" si="220"/>
        <v>42804</v>
      </c>
      <c r="F1058" s="67" t="s">
        <v>336</v>
      </c>
      <c r="G1058" s="925" t="s">
        <v>2132</v>
      </c>
      <c r="H1058" s="294" t="s">
        <v>2133</v>
      </c>
      <c r="I1058" s="373">
        <v>1000</v>
      </c>
      <c r="J1058" s="926">
        <v>16476.189999999999</v>
      </c>
      <c r="K1058" s="373"/>
      <c r="L1058" s="379"/>
      <c r="M1058" s="927">
        <f>I1058*J1058</f>
        <v>16476189.999999998</v>
      </c>
      <c r="N1058" s="295" t="s">
        <v>266</v>
      </c>
      <c r="O1058" s="295" t="s">
        <v>8</v>
      </c>
      <c r="P1058" s="75" t="str">
        <f>IF(AND('331-CT'!$E$7=TH!H1058,OR(N1058="331",O1058="331")),"x","")</f>
        <v/>
      </c>
      <c r="Q1058" s="75" t="str">
        <f>IF(AND(B1058='111'!$L$11,OR($N1058=$Q$7,$O1058=$Q$7)),"x","")</f>
        <v/>
      </c>
      <c r="R1058" s="75" t="str">
        <f>IF(AND($N1058=$Q$7,$B1058&lt;'111'!$L$11),"x","")</f>
        <v/>
      </c>
      <c r="S1058" s="75" t="str">
        <f>IF(AND($O1058=$Q$7,$B1058&lt;'111'!$L$11),"x","")</f>
        <v/>
      </c>
      <c r="T1058" s="75" t="str">
        <f>IF(ISERROR(FIND('112'!$M$9,G1058,1)),"",IF((AND(FIND('112'!$M$9,G1058,1)&gt;=1,B1058='112'!$K$9,OR($N1058='112'!$I$6,$O1058='112'!$I$6))),"x",""))</f>
        <v/>
      </c>
      <c r="U1058" s="75" t="str">
        <f>IF(ISERROR(FIND('112'!$M$9,G1058,1)),"",IF((AND(LEFT(G1058,2)=LEFT('112'!$M$9,2),B1058&lt;'112'!$K$9,$N1058='112'!$I$6)),"x",""))</f>
        <v/>
      </c>
      <c r="V1058" s="75" t="str">
        <f>IF(ISERROR(FIND('112'!$M$9,G1058,1)),"",IF((AND(RIGHT(G1058,2)=RIGHT('112'!$M$9,2),B1058&lt;'112'!$K$9,$O1058='112'!$I$6)),"x",""))</f>
        <v/>
      </c>
      <c r="W1058" s="75" t="str">
        <f>IF(AND('341-CT'!$H$9=H1058,OR(LEFT(N1058,3)=$W$7,LEFT(O1058,3)=$W$7)),"x","")</f>
        <v/>
      </c>
      <c r="X1058" s="75" t="str">
        <f>IF(OR(TH!N1058=TH!$X$7,O1058=TH!$X$7),"x","")</f>
        <v/>
      </c>
      <c r="Y1058" s="75" t="str">
        <f>IF(AND(OR(N1058="131",O1058="131"),H1058='131-CT'!$H$9),"x","")</f>
        <v/>
      </c>
      <c r="Z1058" s="75"/>
      <c r="AA1058" s="75" t="str">
        <f>IF(AND(MONTH(E1058)='IN-NX'!$J$5,'IN-NX'!$D$7=D1058),"x","")</f>
        <v/>
      </c>
      <c r="AB1058" s="75" t="str">
        <f>IF(AND(OR(LEFT(TH!N1058,2)="15",LEFT(TH!O1058,2)="15"),LEFT(TH!O1058,3)&lt;&gt;"111",'152-CT'!$J$8=TH!F1058),"x","")</f>
        <v/>
      </c>
      <c r="AC1058" s="75" t="str">
        <f>IF(AND(OR(LEFT(TH!N1058,2)="15",LEFT(TH!O1058,2)="15"),TK!$E$7=TH!F1058),"x","")</f>
        <v>x</v>
      </c>
      <c r="AD1058" s="75" t="str">
        <f>IF(AND(N1058="1521",MONTH(C1058)='BK-NL'!$M$11),"x","")</f>
        <v/>
      </c>
      <c r="AE1058" s="1053">
        <v>9</v>
      </c>
    </row>
    <row r="1059" spans="1:31" s="1053" customFormat="1" ht="16.5" customHeight="1">
      <c r="A1059" s="309" t="str">
        <f>IF(B1059&lt;&gt;"",IF(AND(B1059='IN-TC'!$S$4,OR(TH!N1059="1111",TH!O1059="1111")),TH!D1059,""),"")</f>
        <v/>
      </c>
      <c r="B1059" s="1169">
        <f t="shared" si="219"/>
        <v>3</v>
      </c>
      <c r="C1059" s="292">
        <v>42804</v>
      </c>
      <c r="D1059" s="292" t="s">
        <v>867</v>
      </c>
      <c r="E1059" s="292">
        <f t="shared" si="220"/>
        <v>42804</v>
      </c>
      <c r="F1059" s="67" t="s">
        <v>2131</v>
      </c>
      <c r="G1059" s="925" t="s">
        <v>2132</v>
      </c>
      <c r="H1059" s="294" t="s">
        <v>2133</v>
      </c>
      <c r="I1059" s="373"/>
      <c r="J1059" s="926"/>
      <c r="K1059" s="373"/>
      <c r="L1059" s="379"/>
      <c r="M1059" s="927">
        <v>823810</v>
      </c>
      <c r="N1059" s="295" t="s">
        <v>9</v>
      </c>
      <c r="O1059" s="295" t="s">
        <v>8</v>
      </c>
      <c r="P1059" s="75" t="str">
        <f>IF(AND('331-CT'!$E$7=TH!H1059,OR(N1059="331",O1059="331")),"x","")</f>
        <v/>
      </c>
      <c r="Q1059" s="75" t="str">
        <f>IF(AND(B1059='111'!$L$11,OR($N1059=$Q$7,$O1059=$Q$7)),"x","")</f>
        <v/>
      </c>
      <c r="R1059" s="75" t="str">
        <f>IF(AND($N1059=$Q$7,$B1059&lt;'111'!$L$11),"x","")</f>
        <v/>
      </c>
      <c r="S1059" s="75" t="str">
        <f>IF(AND($O1059=$Q$7,$B1059&lt;'111'!$L$11),"x","")</f>
        <v/>
      </c>
      <c r="T1059" s="75" t="str">
        <f>IF(ISERROR(FIND('112'!$M$9,G1059,1)),"",IF((AND(FIND('112'!$M$9,G1059,1)&gt;=1,B1059='112'!$K$9,OR($N1059='112'!$I$6,$O1059='112'!$I$6))),"x",""))</f>
        <v/>
      </c>
      <c r="U1059" s="75" t="str">
        <f>IF(ISERROR(FIND('112'!$M$9,G1059,1)),"",IF((AND(LEFT(G1059,2)=LEFT('112'!$M$9,2),B1059&lt;'112'!$K$9,$N1059='112'!$I$6)),"x",""))</f>
        <v/>
      </c>
      <c r="V1059" s="75" t="str">
        <f>IF(ISERROR(FIND('112'!$M$9,G1059,1)),"",IF((AND(RIGHT(G1059,2)=RIGHT('112'!$M$9,2),B1059&lt;'112'!$K$9,$O1059='112'!$I$6)),"x",""))</f>
        <v/>
      </c>
      <c r="W1059" s="75" t="str">
        <f>IF(AND('341-CT'!$H$9=H1059,OR(LEFT(N1059,3)=$W$7,LEFT(O1059,3)=$W$7)),"x","")</f>
        <v/>
      </c>
      <c r="X1059" s="75" t="str">
        <f>IF(OR(TH!N1059=TH!$X$7,O1059=TH!$X$7),"x","")</f>
        <v/>
      </c>
      <c r="Y1059" s="75" t="str">
        <f>IF(AND(OR(N1059="131",O1059="131"),H1059='131-CT'!$H$9),"x","")</f>
        <v/>
      </c>
      <c r="Z1059" s="75"/>
      <c r="AA1059" s="75" t="str">
        <f>IF(AND(MONTH(E1059)='IN-NX'!$J$5,'IN-NX'!$D$7=D1059),"x","")</f>
        <v/>
      </c>
      <c r="AB1059" s="75" t="str">
        <f>IF(AND(OR(LEFT(TH!N1059,2)="15",LEFT(TH!O1059,2)="15"),LEFT(TH!O1059,3)&lt;&gt;"111",'152-CT'!$J$8=TH!F1059),"x","")</f>
        <v/>
      </c>
      <c r="AC1059" s="75" t="str">
        <f>IF(AND(OR(LEFT(TH!N1059,2)="15",LEFT(TH!O1059,2)="15"),TK!$E$7=TH!F1059),"x","")</f>
        <v/>
      </c>
      <c r="AD1059" s="75" t="str">
        <f>IF(AND(N1059="1521",MONTH(C1059)='BK-NL'!$M$11),"x","")</f>
        <v/>
      </c>
      <c r="AE1059" s="1053">
        <v>9</v>
      </c>
    </row>
    <row r="1060" spans="1:31" s="1053" customFormat="1" ht="16.5" customHeight="1">
      <c r="A1060" s="309" t="str">
        <f>IF(B1060&lt;&gt;"",IF(AND(B1060='IN-TC'!$S$4,OR(TH!N1060="1111",TH!O1060="1111")),TH!D1060,""),"")</f>
        <v/>
      </c>
      <c r="B1060" s="1169">
        <f t="shared" si="219"/>
        <v>3</v>
      </c>
      <c r="C1060" s="292">
        <v>42805</v>
      </c>
      <c r="D1060" s="292" t="s">
        <v>1352</v>
      </c>
      <c r="E1060" s="292">
        <f t="shared" si="220"/>
        <v>42805</v>
      </c>
      <c r="F1060" s="67" t="s">
        <v>336</v>
      </c>
      <c r="G1060" s="925" t="s">
        <v>2134</v>
      </c>
      <c r="H1060" s="294" t="s">
        <v>2133</v>
      </c>
      <c r="I1060" s="373">
        <v>1000</v>
      </c>
      <c r="J1060" s="926">
        <v>16476.189999999999</v>
      </c>
      <c r="K1060" s="373"/>
      <c r="L1060" s="379"/>
      <c r="M1060" s="927">
        <f>I1060*J1060</f>
        <v>16476189.999999998</v>
      </c>
      <c r="N1060" s="295" t="s">
        <v>266</v>
      </c>
      <c r="O1060" s="295" t="s">
        <v>8</v>
      </c>
      <c r="P1060" s="75" t="str">
        <f>IF(AND('331-CT'!$E$7=TH!H1060,OR(N1060="331",O1060="331")),"x","")</f>
        <v/>
      </c>
      <c r="Q1060" s="75" t="str">
        <f>IF(AND(B1060='111'!$L$11,OR($N1060=$Q$7,$O1060=$Q$7)),"x","")</f>
        <v/>
      </c>
      <c r="R1060" s="75" t="str">
        <f>IF(AND($N1060=$Q$7,$B1060&lt;'111'!$L$11),"x","")</f>
        <v/>
      </c>
      <c r="S1060" s="75" t="str">
        <f>IF(AND($O1060=$Q$7,$B1060&lt;'111'!$L$11),"x","")</f>
        <v/>
      </c>
      <c r="T1060" s="75" t="str">
        <f>IF(ISERROR(FIND('112'!$M$9,G1060,1)),"",IF((AND(FIND('112'!$M$9,G1060,1)&gt;=1,B1060='112'!$K$9,OR($N1060='112'!$I$6,$O1060='112'!$I$6))),"x",""))</f>
        <v/>
      </c>
      <c r="U1060" s="75" t="str">
        <f>IF(ISERROR(FIND('112'!$M$9,G1060,1)),"",IF((AND(LEFT(G1060,2)=LEFT('112'!$M$9,2),B1060&lt;'112'!$K$9,$N1060='112'!$I$6)),"x",""))</f>
        <v/>
      </c>
      <c r="V1060" s="75" t="str">
        <f>IF(ISERROR(FIND('112'!$M$9,G1060,1)),"",IF((AND(RIGHT(G1060,2)=RIGHT('112'!$M$9,2),B1060&lt;'112'!$K$9,$O1060='112'!$I$6)),"x",""))</f>
        <v/>
      </c>
      <c r="W1060" s="75" t="str">
        <f>IF(AND('341-CT'!$H$9=H1060,OR(LEFT(N1060,3)=$W$7,LEFT(O1060,3)=$W$7)),"x","")</f>
        <v/>
      </c>
      <c r="X1060" s="75" t="str">
        <f>IF(OR(TH!N1060=TH!$X$7,O1060=TH!$X$7),"x","")</f>
        <v/>
      </c>
      <c r="Y1060" s="75" t="str">
        <f>IF(AND(OR(N1060="131",O1060="131"),H1060='131-CT'!$H$9),"x","")</f>
        <v/>
      </c>
      <c r="Z1060" s="75"/>
      <c r="AA1060" s="75" t="str">
        <f>IF(AND(MONTH(E1060)='IN-NX'!$J$5,'IN-NX'!$D$7=D1060),"x","")</f>
        <v/>
      </c>
      <c r="AB1060" s="75" t="str">
        <f>IF(AND(OR(LEFT(TH!N1060,2)="15",LEFT(TH!O1060,2)="15"),LEFT(TH!O1060,3)&lt;&gt;"111",'152-CT'!$J$8=TH!F1060),"x","")</f>
        <v/>
      </c>
      <c r="AC1060" s="75" t="str">
        <f>IF(AND(OR(LEFT(TH!N1060,2)="15",LEFT(TH!O1060,2)="15"),TK!$E$7=TH!F1060),"x","")</f>
        <v>x</v>
      </c>
      <c r="AD1060" s="75" t="str">
        <f>IF(AND(N1060="1521",MONTH(C1060)='BK-NL'!$M$11),"x","")</f>
        <v/>
      </c>
      <c r="AE1060" s="1053">
        <v>9</v>
      </c>
    </row>
    <row r="1061" spans="1:31" s="1053" customFormat="1" ht="16.5" customHeight="1">
      <c r="A1061" s="309" t="str">
        <f>IF(B1061&lt;&gt;"",IF(AND(B1061='IN-TC'!$S$4,OR(TH!N1061="1111",TH!O1061="1111")),TH!D1061,""),"")</f>
        <v/>
      </c>
      <c r="B1061" s="1169">
        <f t="shared" si="219"/>
        <v>3</v>
      </c>
      <c r="C1061" s="292">
        <v>42805</v>
      </c>
      <c r="D1061" s="292" t="s">
        <v>1352</v>
      </c>
      <c r="E1061" s="292">
        <f t="shared" si="220"/>
        <v>42805</v>
      </c>
      <c r="F1061" s="67" t="s">
        <v>2131</v>
      </c>
      <c r="G1061" s="925" t="s">
        <v>2134</v>
      </c>
      <c r="H1061" s="294" t="s">
        <v>2133</v>
      </c>
      <c r="I1061" s="373"/>
      <c r="J1061" s="926"/>
      <c r="K1061" s="373"/>
      <c r="L1061" s="379"/>
      <c r="M1061" s="927">
        <v>823810</v>
      </c>
      <c r="N1061" s="295" t="s">
        <v>9</v>
      </c>
      <c r="O1061" s="295" t="s">
        <v>8</v>
      </c>
      <c r="P1061" s="75" t="str">
        <f>IF(AND('331-CT'!$E$7=TH!H1061,OR(N1061="331",O1061="331")),"x","")</f>
        <v/>
      </c>
      <c r="Q1061" s="75" t="str">
        <f>IF(AND(B1061='111'!$L$11,OR($N1061=$Q$7,$O1061=$Q$7)),"x","")</f>
        <v/>
      </c>
      <c r="R1061" s="75" t="str">
        <f>IF(AND($N1061=$Q$7,$B1061&lt;'111'!$L$11),"x","")</f>
        <v/>
      </c>
      <c r="S1061" s="75" t="str">
        <f>IF(AND($O1061=$Q$7,$B1061&lt;'111'!$L$11),"x","")</f>
        <v/>
      </c>
      <c r="T1061" s="75" t="str">
        <f>IF(ISERROR(FIND('112'!$M$9,G1061,1)),"",IF((AND(FIND('112'!$M$9,G1061,1)&gt;=1,B1061='112'!$K$9,OR($N1061='112'!$I$6,$O1061='112'!$I$6))),"x",""))</f>
        <v/>
      </c>
      <c r="U1061" s="75" t="str">
        <f>IF(ISERROR(FIND('112'!$M$9,G1061,1)),"",IF((AND(LEFT(G1061,2)=LEFT('112'!$M$9,2),B1061&lt;'112'!$K$9,$N1061='112'!$I$6)),"x",""))</f>
        <v/>
      </c>
      <c r="V1061" s="75" t="str">
        <f>IF(ISERROR(FIND('112'!$M$9,G1061,1)),"",IF((AND(RIGHT(G1061,2)=RIGHT('112'!$M$9,2),B1061&lt;'112'!$K$9,$O1061='112'!$I$6)),"x",""))</f>
        <v/>
      </c>
      <c r="W1061" s="75" t="str">
        <f>IF(AND('341-CT'!$H$9=H1061,OR(LEFT(N1061,3)=$W$7,LEFT(O1061,3)=$W$7)),"x","")</f>
        <v/>
      </c>
      <c r="X1061" s="75" t="str">
        <f>IF(OR(TH!N1061=TH!$X$7,O1061=TH!$X$7),"x","")</f>
        <v/>
      </c>
      <c r="Y1061" s="75" t="str">
        <f>IF(AND(OR(N1061="131",O1061="131"),H1061='131-CT'!$H$9),"x","")</f>
        <v/>
      </c>
      <c r="Z1061" s="75"/>
      <c r="AA1061" s="75" t="str">
        <f>IF(AND(MONTH(E1061)='IN-NX'!$J$5,'IN-NX'!$D$7=D1061),"x","")</f>
        <v/>
      </c>
      <c r="AB1061" s="75" t="str">
        <f>IF(AND(OR(LEFT(TH!N1061,2)="15",LEFT(TH!O1061,2)="15"),LEFT(TH!O1061,3)&lt;&gt;"111",'152-CT'!$J$8=TH!F1061),"x","")</f>
        <v/>
      </c>
      <c r="AC1061" s="75" t="str">
        <f>IF(AND(OR(LEFT(TH!N1061,2)="15",LEFT(TH!O1061,2)="15"),TK!$E$7=TH!F1061),"x","")</f>
        <v/>
      </c>
      <c r="AD1061" s="75" t="str">
        <f>IF(AND(N1061="1521",MONTH(C1061)='BK-NL'!$M$11),"x","")</f>
        <v/>
      </c>
      <c r="AE1061" s="1053">
        <v>9</v>
      </c>
    </row>
    <row r="1062" spans="1:31" s="1053" customFormat="1" ht="16.5" customHeight="1">
      <c r="A1062" s="309" t="str">
        <f>IF(B1062&lt;&gt;"",IF(AND(B1062='IN-TC'!$S$4,OR(TH!N1062="1111",TH!O1062="1111")),TH!D1062,""),"")</f>
        <v/>
      </c>
      <c r="B1062" s="1169">
        <f t="shared" si="219"/>
        <v>3</v>
      </c>
      <c r="C1062" s="292">
        <v>42805</v>
      </c>
      <c r="D1062" s="292" t="s">
        <v>1353</v>
      </c>
      <c r="E1062" s="292">
        <f t="shared" si="220"/>
        <v>42805</v>
      </c>
      <c r="F1062" s="67" t="s">
        <v>327</v>
      </c>
      <c r="G1062" s="925" t="s">
        <v>2135</v>
      </c>
      <c r="H1062" s="294" t="s">
        <v>803</v>
      </c>
      <c r="I1062" s="373">
        <v>550</v>
      </c>
      <c r="J1062" s="926">
        <v>32200</v>
      </c>
      <c r="K1062" s="373"/>
      <c r="L1062" s="379"/>
      <c r="M1062" s="927">
        <f>I1062*J1062</f>
        <v>17710000</v>
      </c>
      <c r="N1062" s="295" t="s">
        <v>266</v>
      </c>
      <c r="O1062" s="295" t="s">
        <v>8</v>
      </c>
      <c r="P1062" s="75" t="str">
        <f>IF(AND('331-CT'!$E$7=TH!H1062,OR(N1062="331",O1062="331")),"x","")</f>
        <v/>
      </c>
      <c r="Q1062" s="75" t="str">
        <f>IF(AND(B1062='111'!$L$11,OR($N1062=$Q$7,$O1062=$Q$7)),"x","")</f>
        <v/>
      </c>
      <c r="R1062" s="75" t="str">
        <f>IF(AND($N1062=$Q$7,$B1062&lt;'111'!$L$11),"x","")</f>
        <v/>
      </c>
      <c r="S1062" s="75" t="str">
        <f>IF(AND($O1062=$Q$7,$B1062&lt;'111'!$L$11),"x","")</f>
        <v/>
      </c>
      <c r="T1062" s="75" t="str">
        <f>IF(ISERROR(FIND('112'!$M$9,G1062,1)),"",IF((AND(FIND('112'!$M$9,G1062,1)&gt;=1,B1062='112'!$K$9,OR($N1062='112'!$I$6,$O1062='112'!$I$6))),"x",""))</f>
        <v/>
      </c>
      <c r="U1062" s="75" t="str">
        <f>IF(ISERROR(FIND('112'!$M$9,G1062,1)),"",IF((AND(LEFT(G1062,2)=LEFT('112'!$M$9,2),B1062&lt;'112'!$K$9,$N1062='112'!$I$6)),"x",""))</f>
        <v/>
      </c>
      <c r="V1062" s="75" t="str">
        <f>IF(ISERROR(FIND('112'!$M$9,G1062,1)),"",IF((AND(RIGHT(G1062,2)=RIGHT('112'!$M$9,2),B1062&lt;'112'!$K$9,$O1062='112'!$I$6)),"x",""))</f>
        <v/>
      </c>
      <c r="W1062" s="75" t="str">
        <f>IF(AND('341-CT'!$H$9=H1062,OR(LEFT(N1062,3)=$W$7,LEFT(O1062,3)=$W$7)),"x","")</f>
        <v/>
      </c>
      <c r="X1062" s="75" t="str">
        <f>IF(OR(TH!N1062=TH!$X$7,O1062=TH!$X$7),"x","")</f>
        <v/>
      </c>
      <c r="Y1062" s="75" t="str">
        <f>IF(AND(OR(N1062="131",O1062="131"),H1062='131-CT'!$H$9),"x","")</f>
        <v/>
      </c>
      <c r="Z1062" s="75"/>
      <c r="AA1062" s="75" t="str">
        <f>IF(AND(MONTH(E1062)='IN-NX'!$J$5,'IN-NX'!$D$7=D1062),"x","")</f>
        <v/>
      </c>
      <c r="AB1062" s="75" t="str">
        <f>IF(AND(OR(LEFT(TH!N1062,2)="15",LEFT(TH!O1062,2)="15"),LEFT(TH!O1062,3)&lt;&gt;"111",'152-CT'!$J$8=TH!F1062),"x","")</f>
        <v/>
      </c>
      <c r="AC1062" s="75" t="str">
        <f>IF(AND(OR(LEFT(TH!N1062,2)="15",LEFT(TH!O1062,2)="15"),TK!$E$7=TH!F1062),"x","")</f>
        <v/>
      </c>
      <c r="AD1062" s="75" t="str">
        <f>IF(AND(N1062="1521",MONTH(C1062)='BK-NL'!$M$11),"x","")</f>
        <v/>
      </c>
      <c r="AE1062" s="1053">
        <v>9</v>
      </c>
    </row>
    <row r="1063" spans="1:31" s="1053" customFormat="1" ht="16.5" customHeight="1">
      <c r="A1063" s="309" t="str">
        <f>IF(B1063&lt;&gt;"",IF(AND(B1063='IN-TC'!$S$4,OR(TH!N1063="1111",TH!O1063="1111")),TH!D1063,""),"")</f>
        <v/>
      </c>
      <c r="B1063" s="1169">
        <f t="shared" si="219"/>
        <v>3</v>
      </c>
      <c r="C1063" s="292">
        <v>42805</v>
      </c>
      <c r="D1063" s="292" t="s">
        <v>1353</v>
      </c>
      <c r="E1063" s="292">
        <f t="shared" si="220"/>
        <v>42805</v>
      </c>
      <c r="F1063" s="67" t="s">
        <v>2136</v>
      </c>
      <c r="G1063" s="925" t="s">
        <v>2135</v>
      </c>
      <c r="H1063" s="294" t="s">
        <v>803</v>
      </c>
      <c r="I1063" s="373"/>
      <c r="J1063" s="926"/>
      <c r="K1063" s="373"/>
      <c r="L1063" s="379"/>
      <c r="M1063" s="927">
        <v>1771000</v>
      </c>
      <c r="N1063" s="295" t="s">
        <v>9</v>
      </c>
      <c r="O1063" s="295" t="s">
        <v>8</v>
      </c>
      <c r="P1063" s="75" t="str">
        <f>IF(AND('331-CT'!$E$7=TH!H1063,OR(N1063="331",O1063="331")),"x","")</f>
        <v/>
      </c>
      <c r="Q1063" s="75" t="str">
        <f>IF(AND(B1063='111'!$L$11,OR($N1063=$Q$7,$O1063=$Q$7)),"x","")</f>
        <v/>
      </c>
      <c r="R1063" s="75" t="str">
        <f>IF(AND($N1063=$Q$7,$B1063&lt;'111'!$L$11),"x","")</f>
        <v/>
      </c>
      <c r="S1063" s="75" t="str">
        <f>IF(AND($O1063=$Q$7,$B1063&lt;'111'!$L$11),"x","")</f>
        <v/>
      </c>
      <c r="T1063" s="75" t="str">
        <f>IF(ISERROR(FIND('112'!$M$9,G1063,1)),"",IF((AND(FIND('112'!$M$9,G1063,1)&gt;=1,B1063='112'!$K$9,OR($N1063='112'!$I$6,$O1063='112'!$I$6))),"x",""))</f>
        <v/>
      </c>
      <c r="U1063" s="75" t="str">
        <f>IF(ISERROR(FIND('112'!$M$9,G1063,1)),"",IF((AND(LEFT(G1063,2)=LEFT('112'!$M$9,2),B1063&lt;'112'!$K$9,$N1063='112'!$I$6)),"x",""))</f>
        <v/>
      </c>
      <c r="V1063" s="75" t="str">
        <f>IF(ISERROR(FIND('112'!$M$9,G1063,1)),"",IF((AND(RIGHT(G1063,2)=RIGHT('112'!$M$9,2),B1063&lt;'112'!$K$9,$O1063='112'!$I$6)),"x",""))</f>
        <v/>
      </c>
      <c r="W1063" s="75" t="str">
        <f>IF(AND('341-CT'!$H$9=H1063,OR(LEFT(N1063,3)=$W$7,LEFT(O1063,3)=$W$7)),"x","")</f>
        <v/>
      </c>
      <c r="X1063" s="75" t="str">
        <f>IF(OR(TH!N1063=TH!$X$7,O1063=TH!$X$7),"x","")</f>
        <v/>
      </c>
      <c r="Y1063" s="75" t="str">
        <f>IF(AND(OR(N1063="131",O1063="131"),H1063='131-CT'!$H$9),"x","")</f>
        <v/>
      </c>
      <c r="Z1063" s="75"/>
      <c r="AA1063" s="75" t="str">
        <f>IF(AND(MONTH(E1063)='IN-NX'!$J$5,'IN-NX'!$D$7=D1063),"x","")</f>
        <v/>
      </c>
      <c r="AB1063" s="75" t="str">
        <f>IF(AND(OR(LEFT(TH!N1063,2)="15",LEFT(TH!O1063,2)="15"),LEFT(TH!O1063,3)&lt;&gt;"111",'152-CT'!$J$8=TH!F1063),"x","")</f>
        <v/>
      </c>
      <c r="AC1063" s="75" t="str">
        <f>IF(AND(OR(LEFT(TH!N1063,2)="15",LEFT(TH!O1063,2)="15"),TK!$E$7=TH!F1063),"x","")</f>
        <v/>
      </c>
      <c r="AD1063" s="75" t="str">
        <f>IF(AND(N1063="1521",MONTH(C1063)='BK-NL'!$M$11),"x","")</f>
        <v/>
      </c>
      <c r="AE1063" s="1053">
        <v>9</v>
      </c>
    </row>
    <row r="1064" spans="1:31" s="1053" customFormat="1" ht="16.5" customHeight="1">
      <c r="A1064" s="309" t="str">
        <f>IF(B1064&lt;&gt;"",IF(AND(B1064='IN-TC'!$S$4,OR(TH!N1064="1111",TH!O1064="1111")),TH!D1064,""),"")</f>
        <v/>
      </c>
      <c r="B1064" s="1169">
        <f t="shared" si="219"/>
        <v>3</v>
      </c>
      <c r="C1064" s="292">
        <v>42807</v>
      </c>
      <c r="D1064" s="292" t="s">
        <v>1354</v>
      </c>
      <c r="E1064" s="292">
        <f t="shared" si="220"/>
        <v>42807</v>
      </c>
      <c r="F1064" s="67" t="s">
        <v>795</v>
      </c>
      <c r="G1064" s="925" t="s">
        <v>1156</v>
      </c>
      <c r="H1064" s="294" t="s">
        <v>796</v>
      </c>
      <c r="I1064" s="373">
        <v>2030</v>
      </c>
      <c r="J1064" s="926">
        <v>8500</v>
      </c>
      <c r="K1064" s="373"/>
      <c r="L1064" s="379"/>
      <c r="M1064" s="927">
        <f>I1064*J1064</f>
        <v>17255000</v>
      </c>
      <c r="N1064" s="295" t="s">
        <v>266</v>
      </c>
      <c r="O1064" s="295" t="s">
        <v>8</v>
      </c>
      <c r="P1064" s="75" t="str">
        <f>IF(AND('331-CT'!$E$7=TH!H1064,OR(N1064="331",O1064="331")),"x","")</f>
        <v/>
      </c>
      <c r="Q1064" s="75" t="str">
        <f>IF(AND(B1064='111'!$L$11,OR($N1064=$Q$7,$O1064=$Q$7)),"x","")</f>
        <v/>
      </c>
      <c r="R1064" s="75" t="str">
        <f>IF(AND($N1064=$Q$7,$B1064&lt;'111'!$L$11),"x","")</f>
        <v/>
      </c>
      <c r="S1064" s="75" t="str">
        <f>IF(AND($O1064=$Q$7,$B1064&lt;'111'!$L$11),"x","")</f>
        <v/>
      </c>
      <c r="T1064" s="75" t="str">
        <f>IF(ISERROR(FIND('112'!$M$9,G1064,1)),"",IF((AND(FIND('112'!$M$9,G1064,1)&gt;=1,B1064='112'!$K$9,OR($N1064='112'!$I$6,$O1064='112'!$I$6))),"x",""))</f>
        <v/>
      </c>
      <c r="U1064" s="75" t="str">
        <f>IF(ISERROR(FIND('112'!$M$9,G1064,1)),"",IF((AND(LEFT(G1064,2)=LEFT('112'!$M$9,2),B1064&lt;'112'!$K$9,$N1064='112'!$I$6)),"x",""))</f>
        <v/>
      </c>
      <c r="V1064" s="75" t="str">
        <f>IF(ISERROR(FIND('112'!$M$9,G1064,1)),"",IF((AND(RIGHT(G1064,2)=RIGHT('112'!$M$9,2),B1064&lt;'112'!$K$9,$O1064='112'!$I$6)),"x",""))</f>
        <v/>
      </c>
      <c r="W1064" s="75" t="str">
        <f>IF(AND('341-CT'!$H$9=H1064,OR(LEFT(N1064,3)=$W$7,LEFT(O1064,3)=$W$7)),"x","")</f>
        <v/>
      </c>
      <c r="X1064" s="75" t="str">
        <f>IF(OR(TH!N1064=TH!$X$7,O1064=TH!$X$7),"x","")</f>
        <v/>
      </c>
      <c r="Y1064" s="75" t="str">
        <f>IF(AND(OR(N1064="131",O1064="131"),H1064='131-CT'!$H$9),"x","")</f>
        <v/>
      </c>
      <c r="Z1064" s="75"/>
      <c r="AA1064" s="75" t="str">
        <f>IF(AND(MONTH(E1064)='IN-NX'!$J$5,'IN-NX'!$D$7=D1064),"x","")</f>
        <v/>
      </c>
      <c r="AB1064" s="75" t="str">
        <f>IF(AND(OR(LEFT(TH!N1064,2)="15",LEFT(TH!O1064,2)="15"),LEFT(TH!O1064,3)&lt;&gt;"111",'152-CT'!$J$8=TH!F1064),"x","")</f>
        <v/>
      </c>
      <c r="AC1064" s="75" t="str">
        <f>IF(AND(OR(LEFT(TH!N1064,2)="15",LEFT(TH!O1064,2)="15"),TK!$E$7=TH!F1064),"x","")</f>
        <v/>
      </c>
      <c r="AD1064" s="75" t="str">
        <f>IF(AND(N1064="1521",MONTH(C1064)='BK-NL'!$M$11),"x","")</f>
        <v/>
      </c>
    </row>
    <row r="1065" spans="1:31" s="1053" customFormat="1" ht="16.5" customHeight="1">
      <c r="A1065" s="309" t="str">
        <f>IF(B1065&lt;&gt;"",IF(AND(B1065='IN-TC'!$S$4,OR(TH!N1065="1111",TH!O1065="1111")),TH!D1065,""),"")</f>
        <v/>
      </c>
      <c r="B1065" s="1169">
        <f t="shared" si="219"/>
        <v>3</v>
      </c>
      <c r="C1065" s="292">
        <v>42807</v>
      </c>
      <c r="D1065" s="292" t="s">
        <v>1354</v>
      </c>
      <c r="E1065" s="292">
        <f t="shared" si="220"/>
        <v>42807</v>
      </c>
      <c r="F1065" s="67" t="s">
        <v>1143</v>
      </c>
      <c r="G1065" s="925" t="s">
        <v>1156</v>
      </c>
      <c r="H1065" s="294" t="s">
        <v>796</v>
      </c>
      <c r="I1065" s="373"/>
      <c r="J1065" s="926"/>
      <c r="K1065" s="373"/>
      <c r="L1065" s="379"/>
      <c r="M1065" s="927">
        <v>1725500</v>
      </c>
      <c r="N1065" s="295" t="s">
        <v>9</v>
      </c>
      <c r="O1065" s="295" t="s">
        <v>8</v>
      </c>
      <c r="P1065" s="75" t="str">
        <f>IF(AND('331-CT'!$E$7=TH!H1065,OR(N1065="331",O1065="331")),"x","")</f>
        <v/>
      </c>
      <c r="Q1065" s="75" t="str">
        <f>IF(AND(B1065='111'!$L$11,OR($N1065=$Q$7,$O1065=$Q$7)),"x","")</f>
        <v/>
      </c>
      <c r="R1065" s="75" t="str">
        <f>IF(AND($N1065=$Q$7,$B1065&lt;'111'!$L$11),"x","")</f>
        <v/>
      </c>
      <c r="S1065" s="75" t="str">
        <f>IF(AND($O1065=$Q$7,$B1065&lt;'111'!$L$11),"x","")</f>
        <v/>
      </c>
      <c r="T1065" s="75" t="str">
        <f>IF(ISERROR(FIND('112'!$M$9,G1065,1)),"",IF((AND(FIND('112'!$M$9,G1065,1)&gt;=1,B1065='112'!$K$9,OR($N1065='112'!$I$6,$O1065='112'!$I$6))),"x",""))</f>
        <v/>
      </c>
      <c r="U1065" s="75" t="str">
        <f>IF(ISERROR(FIND('112'!$M$9,G1065,1)),"",IF((AND(LEFT(G1065,2)=LEFT('112'!$M$9,2),B1065&lt;'112'!$K$9,$N1065='112'!$I$6)),"x",""))</f>
        <v/>
      </c>
      <c r="V1065" s="75" t="str">
        <f>IF(ISERROR(FIND('112'!$M$9,G1065,1)),"",IF((AND(RIGHT(G1065,2)=RIGHT('112'!$M$9,2),B1065&lt;'112'!$K$9,$O1065='112'!$I$6)),"x",""))</f>
        <v/>
      </c>
      <c r="W1065" s="75" t="str">
        <f>IF(AND('341-CT'!$H$9=H1065,OR(LEFT(N1065,3)=$W$7,LEFT(O1065,3)=$W$7)),"x","")</f>
        <v/>
      </c>
      <c r="X1065" s="75" t="str">
        <f>IF(OR(TH!N1065=TH!$X$7,O1065=TH!$X$7),"x","")</f>
        <v/>
      </c>
      <c r="Y1065" s="75" t="str">
        <f>IF(AND(OR(N1065="131",O1065="131"),H1065='131-CT'!$H$9),"x","")</f>
        <v/>
      </c>
      <c r="Z1065" s="75"/>
      <c r="AA1065" s="75" t="str">
        <f>IF(AND(MONTH(E1065)='IN-NX'!$J$5,'IN-NX'!$D$7=D1065),"x","")</f>
        <v/>
      </c>
      <c r="AB1065" s="75" t="str">
        <f>IF(AND(OR(LEFT(TH!N1065,2)="15",LEFT(TH!O1065,2)="15"),LEFT(TH!O1065,3)&lt;&gt;"111",'152-CT'!$J$8=TH!F1065),"x","")</f>
        <v/>
      </c>
      <c r="AC1065" s="75" t="str">
        <f>IF(AND(OR(LEFT(TH!N1065,2)="15",LEFT(TH!O1065,2)="15"),TK!$E$7=TH!F1065),"x","")</f>
        <v/>
      </c>
      <c r="AD1065" s="75" t="str">
        <f>IF(AND(N1065="1521",MONTH(C1065)='BK-NL'!$M$11),"x","")</f>
        <v/>
      </c>
    </row>
    <row r="1066" spans="1:31" s="1053" customFormat="1" ht="16.5" customHeight="1">
      <c r="A1066" s="309" t="str">
        <f>IF(B1066&lt;&gt;"",IF(AND(B1066='IN-TC'!$S$4,OR(TH!N1066="1111",TH!O1066="1111")),TH!D1066,""),"")</f>
        <v/>
      </c>
      <c r="B1066" s="1169">
        <f t="shared" si="219"/>
        <v>3</v>
      </c>
      <c r="C1066" s="292">
        <v>42808</v>
      </c>
      <c r="D1066" s="292" t="s">
        <v>1355</v>
      </c>
      <c r="E1066" s="292">
        <f t="shared" si="220"/>
        <v>42808</v>
      </c>
      <c r="F1066" s="67" t="s">
        <v>341</v>
      </c>
      <c r="G1066" s="925" t="s">
        <v>1111</v>
      </c>
      <c r="H1066" s="311" t="s">
        <v>557</v>
      </c>
      <c r="I1066" s="373">
        <v>3000</v>
      </c>
      <c r="J1066" s="926">
        <v>3200</v>
      </c>
      <c r="K1066" s="373"/>
      <c r="L1066" s="379"/>
      <c r="M1066" s="927">
        <f>I1066*J1066</f>
        <v>9600000</v>
      </c>
      <c r="N1066" s="295" t="s">
        <v>266</v>
      </c>
      <c r="O1066" s="295" t="s">
        <v>8</v>
      </c>
      <c r="P1066" s="75" t="str">
        <f>IF(AND('331-CT'!$E$7=TH!H1066,OR(N1066="331",O1066="331")),"x","")</f>
        <v/>
      </c>
      <c r="Q1066" s="75" t="str">
        <f>IF(AND(B1066='111'!$L$11,OR($N1066=$Q$7,$O1066=$Q$7)),"x","")</f>
        <v/>
      </c>
      <c r="R1066" s="75" t="str">
        <f>IF(AND($N1066=$Q$7,$B1066&lt;'111'!$L$11),"x","")</f>
        <v/>
      </c>
      <c r="S1066" s="75" t="str">
        <f>IF(AND($O1066=$Q$7,$B1066&lt;'111'!$L$11),"x","")</f>
        <v/>
      </c>
      <c r="T1066" s="75" t="str">
        <f>IF(ISERROR(FIND('112'!$M$9,G1066,1)),"",IF((AND(FIND('112'!$M$9,G1066,1)&gt;=1,B1066='112'!$K$9,OR($N1066='112'!$I$6,$O1066='112'!$I$6))),"x",""))</f>
        <v/>
      </c>
      <c r="U1066" s="75" t="str">
        <f>IF(ISERROR(FIND('112'!$M$9,G1066,1)),"",IF((AND(LEFT(G1066,2)=LEFT('112'!$M$9,2),B1066&lt;'112'!$K$9,$N1066='112'!$I$6)),"x",""))</f>
        <v/>
      </c>
      <c r="V1066" s="75" t="str">
        <f>IF(ISERROR(FIND('112'!$M$9,G1066,1)),"",IF((AND(RIGHT(G1066,2)=RIGHT('112'!$M$9,2),B1066&lt;'112'!$K$9,$O1066='112'!$I$6)),"x",""))</f>
        <v/>
      </c>
      <c r="W1066" s="75" t="str">
        <f>IF(AND('341-CT'!$H$9=H1066,OR(LEFT(N1066,3)=$W$7,LEFT(O1066,3)=$W$7)),"x","")</f>
        <v/>
      </c>
      <c r="X1066" s="75" t="str">
        <f>IF(OR(TH!N1066=TH!$X$7,O1066=TH!$X$7),"x","")</f>
        <v/>
      </c>
      <c r="Y1066" s="75" t="str">
        <f>IF(AND(OR(N1066="131",O1066="131"),H1066='131-CT'!$H$9),"x","")</f>
        <v/>
      </c>
      <c r="Z1066" s="75"/>
      <c r="AA1066" s="75" t="str">
        <f>IF(AND(MONTH(E1066)='IN-NX'!$J$5,'IN-NX'!$D$7=D1066),"x","")</f>
        <v/>
      </c>
      <c r="AB1066" s="75" t="str">
        <f>IF(AND(OR(LEFT(TH!N1066,2)="15",LEFT(TH!O1066,2)="15"),LEFT(TH!O1066,3)&lt;&gt;"111",'152-CT'!$J$8=TH!F1066),"x","")</f>
        <v/>
      </c>
      <c r="AC1066" s="75" t="str">
        <f>IF(AND(OR(LEFT(TH!N1066,2)="15",LEFT(TH!O1066,2)="15"),TK!$E$7=TH!F1066),"x","")</f>
        <v/>
      </c>
      <c r="AD1066" s="75" t="str">
        <f>IF(AND(N1066="1521",MONTH(C1066)='BK-NL'!$M$11),"x","")</f>
        <v/>
      </c>
    </row>
    <row r="1067" spans="1:31" s="1053" customFormat="1" ht="16.5" customHeight="1">
      <c r="A1067" s="309" t="str">
        <f>IF(B1067&lt;&gt;"",IF(AND(B1067='IN-TC'!$S$4,OR(TH!N1067="1111",TH!O1067="1111")),TH!D1067,""),"")</f>
        <v/>
      </c>
      <c r="B1067" s="1169">
        <f t="shared" si="219"/>
        <v>3</v>
      </c>
      <c r="C1067" s="292">
        <v>42809</v>
      </c>
      <c r="D1067" s="292" t="s">
        <v>1356</v>
      </c>
      <c r="E1067" s="292">
        <f t="shared" si="220"/>
        <v>42809</v>
      </c>
      <c r="F1067" s="67" t="s">
        <v>795</v>
      </c>
      <c r="G1067" s="925" t="s">
        <v>1157</v>
      </c>
      <c r="H1067" s="294" t="s">
        <v>796</v>
      </c>
      <c r="I1067" s="373">
        <v>2030</v>
      </c>
      <c r="J1067" s="926">
        <v>8500</v>
      </c>
      <c r="K1067" s="373"/>
      <c r="L1067" s="379"/>
      <c r="M1067" s="927">
        <f>I1067*J1067</f>
        <v>17255000</v>
      </c>
      <c r="N1067" s="295" t="s">
        <v>266</v>
      </c>
      <c r="O1067" s="295" t="s">
        <v>8</v>
      </c>
      <c r="P1067" s="75" t="str">
        <f>IF(AND('331-CT'!$E$7=TH!H1067,OR(N1067="331",O1067="331")),"x","")</f>
        <v/>
      </c>
      <c r="Q1067" s="75" t="str">
        <f>IF(AND(B1067='111'!$L$11,OR($N1067=$Q$7,$O1067=$Q$7)),"x","")</f>
        <v/>
      </c>
      <c r="R1067" s="75" t="str">
        <f>IF(AND($N1067=$Q$7,$B1067&lt;'111'!$L$11),"x","")</f>
        <v/>
      </c>
      <c r="S1067" s="75" t="str">
        <f>IF(AND($O1067=$Q$7,$B1067&lt;'111'!$L$11),"x","")</f>
        <v/>
      </c>
      <c r="T1067" s="75" t="str">
        <f>IF(ISERROR(FIND('112'!$M$9,G1067,1)),"",IF((AND(FIND('112'!$M$9,G1067,1)&gt;=1,B1067='112'!$K$9,OR($N1067='112'!$I$6,$O1067='112'!$I$6))),"x",""))</f>
        <v/>
      </c>
      <c r="U1067" s="75" t="str">
        <f>IF(ISERROR(FIND('112'!$M$9,G1067,1)),"",IF((AND(LEFT(G1067,2)=LEFT('112'!$M$9,2),B1067&lt;'112'!$K$9,$N1067='112'!$I$6)),"x",""))</f>
        <v/>
      </c>
      <c r="V1067" s="75" t="str">
        <f>IF(ISERROR(FIND('112'!$M$9,G1067,1)),"",IF((AND(RIGHT(G1067,2)=RIGHT('112'!$M$9,2),B1067&lt;'112'!$K$9,$O1067='112'!$I$6)),"x",""))</f>
        <v/>
      </c>
      <c r="W1067" s="75" t="str">
        <f>IF(AND('341-CT'!$H$9=H1067,OR(LEFT(N1067,3)=$W$7,LEFT(O1067,3)=$W$7)),"x","")</f>
        <v/>
      </c>
      <c r="X1067" s="75" t="str">
        <f>IF(OR(TH!N1067=TH!$X$7,O1067=TH!$X$7),"x","")</f>
        <v/>
      </c>
      <c r="Y1067" s="75" t="str">
        <f>IF(AND(OR(N1067="131",O1067="131"),H1067='131-CT'!$H$9),"x","")</f>
        <v/>
      </c>
      <c r="Z1067" s="75"/>
      <c r="AA1067" s="75" t="str">
        <f>IF(AND(MONTH(E1067)='IN-NX'!$J$5,'IN-NX'!$D$7=D1067),"x","")</f>
        <v/>
      </c>
      <c r="AB1067" s="75" t="str">
        <f>IF(AND(OR(LEFT(TH!N1067,2)="15",LEFT(TH!O1067,2)="15"),LEFT(TH!O1067,3)&lt;&gt;"111",'152-CT'!$J$8=TH!F1067),"x","")</f>
        <v/>
      </c>
      <c r="AC1067" s="75" t="str">
        <f>IF(AND(OR(LEFT(TH!N1067,2)="15",LEFT(TH!O1067,2)="15"),TK!$E$7=TH!F1067),"x","")</f>
        <v/>
      </c>
      <c r="AD1067" s="75" t="str">
        <f>IF(AND(N1067="1521",MONTH(C1067)='BK-NL'!$M$11),"x","")</f>
        <v/>
      </c>
    </row>
    <row r="1068" spans="1:31" s="1053" customFormat="1" ht="16.5" customHeight="1">
      <c r="A1068" s="309" t="str">
        <f>IF(B1068&lt;&gt;"",IF(AND(B1068='IN-TC'!$S$4,OR(TH!N1068="1111",TH!O1068="1111")),TH!D1068,""),"")</f>
        <v/>
      </c>
      <c r="B1068" s="1169">
        <f t="shared" si="219"/>
        <v>3</v>
      </c>
      <c r="C1068" s="292">
        <v>42809</v>
      </c>
      <c r="D1068" s="292" t="s">
        <v>1356</v>
      </c>
      <c r="E1068" s="292">
        <f t="shared" si="220"/>
        <v>42809</v>
      </c>
      <c r="F1068" s="67" t="s">
        <v>1143</v>
      </c>
      <c r="G1068" s="925" t="s">
        <v>1157</v>
      </c>
      <c r="H1068" s="294" t="s">
        <v>796</v>
      </c>
      <c r="I1068" s="373"/>
      <c r="J1068" s="926"/>
      <c r="K1068" s="373"/>
      <c r="L1068" s="379"/>
      <c r="M1068" s="927">
        <v>1725500</v>
      </c>
      <c r="N1068" s="295" t="s">
        <v>9</v>
      </c>
      <c r="O1068" s="295" t="s">
        <v>8</v>
      </c>
      <c r="P1068" s="75" t="str">
        <f>IF(AND('331-CT'!$E$7=TH!H1068,OR(N1068="331",O1068="331")),"x","")</f>
        <v/>
      </c>
      <c r="Q1068" s="75" t="str">
        <f>IF(AND(B1068='111'!$L$11,OR($N1068=$Q$7,$O1068=$Q$7)),"x","")</f>
        <v/>
      </c>
      <c r="R1068" s="75" t="str">
        <f>IF(AND($N1068=$Q$7,$B1068&lt;'111'!$L$11),"x","")</f>
        <v/>
      </c>
      <c r="S1068" s="75" t="str">
        <f>IF(AND($O1068=$Q$7,$B1068&lt;'111'!$L$11),"x","")</f>
        <v/>
      </c>
      <c r="T1068" s="75" t="str">
        <f>IF(ISERROR(FIND('112'!$M$9,G1068,1)),"",IF((AND(FIND('112'!$M$9,G1068,1)&gt;=1,B1068='112'!$K$9,OR($N1068='112'!$I$6,$O1068='112'!$I$6))),"x",""))</f>
        <v/>
      </c>
      <c r="U1068" s="75" t="str">
        <f>IF(ISERROR(FIND('112'!$M$9,G1068,1)),"",IF((AND(LEFT(G1068,2)=LEFT('112'!$M$9,2),B1068&lt;'112'!$K$9,$N1068='112'!$I$6)),"x",""))</f>
        <v/>
      </c>
      <c r="V1068" s="75" t="str">
        <f>IF(ISERROR(FIND('112'!$M$9,G1068,1)),"",IF((AND(RIGHT(G1068,2)=RIGHT('112'!$M$9,2),B1068&lt;'112'!$K$9,$O1068='112'!$I$6)),"x",""))</f>
        <v/>
      </c>
      <c r="W1068" s="75" t="str">
        <f>IF(AND('341-CT'!$H$9=H1068,OR(LEFT(N1068,3)=$W$7,LEFT(O1068,3)=$W$7)),"x","")</f>
        <v/>
      </c>
      <c r="X1068" s="75" t="str">
        <f>IF(OR(TH!N1068=TH!$X$7,O1068=TH!$X$7),"x","")</f>
        <v/>
      </c>
      <c r="Y1068" s="75" t="str">
        <f>IF(AND(OR(N1068="131",O1068="131"),H1068='131-CT'!$H$9),"x","")</f>
        <v/>
      </c>
      <c r="Z1068" s="75"/>
      <c r="AA1068" s="75" t="str">
        <f>IF(AND(MONTH(E1068)='IN-NX'!$J$5,'IN-NX'!$D$7=D1068),"x","")</f>
        <v/>
      </c>
      <c r="AB1068" s="75" t="str">
        <f>IF(AND(OR(LEFT(TH!N1068,2)="15",LEFT(TH!O1068,2)="15"),LEFT(TH!O1068,3)&lt;&gt;"111",'152-CT'!$J$8=TH!F1068),"x","")</f>
        <v/>
      </c>
      <c r="AC1068" s="75" t="str">
        <f>IF(AND(OR(LEFT(TH!N1068,2)="15",LEFT(TH!O1068,2)="15"),TK!$E$7=TH!F1068),"x","")</f>
        <v/>
      </c>
      <c r="AD1068" s="75" t="str">
        <f>IF(AND(N1068="1521",MONTH(C1068)='BK-NL'!$M$11),"x","")</f>
        <v/>
      </c>
    </row>
    <row r="1069" spans="1:31" s="1053" customFormat="1" ht="16.5" customHeight="1">
      <c r="A1069" s="309" t="str">
        <f>IF(B1069&lt;&gt;"",IF(AND(B1069='IN-TC'!$S$4,OR(TH!N1069="1111",TH!O1069="1111")),TH!D1069,""),"")</f>
        <v/>
      </c>
      <c r="B1069" s="1169">
        <f t="shared" si="219"/>
        <v>3</v>
      </c>
      <c r="C1069" s="292">
        <v>42810</v>
      </c>
      <c r="D1069" s="292" t="s">
        <v>1357</v>
      </c>
      <c r="E1069" s="292">
        <f t="shared" si="220"/>
        <v>42810</v>
      </c>
      <c r="F1069" s="67" t="s">
        <v>795</v>
      </c>
      <c r="G1069" s="925" t="s">
        <v>1158</v>
      </c>
      <c r="H1069" s="294" t="s">
        <v>796</v>
      </c>
      <c r="I1069" s="373">
        <v>2030</v>
      </c>
      <c r="J1069" s="926">
        <v>8500</v>
      </c>
      <c r="K1069" s="373"/>
      <c r="L1069" s="379"/>
      <c r="M1069" s="927">
        <f>I1069*J1069</f>
        <v>17255000</v>
      </c>
      <c r="N1069" s="295" t="s">
        <v>266</v>
      </c>
      <c r="O1069" s="295" t="s">
        <v>8</v>
      </c>
      <c r="P1069" s="75" t="str">
        <f>IF(AND('331-CT'!$E$7=TH!H1069,OR(N1069="331",O1069="331")),"x","")</f>
        <v/>
      </c>
      <c r="Q1069" s="75" t="str">
        <f>IF(AND(B1069='111'!$L$11,OR($N1069=$Q$7,$O1069=$Q$7)),"x","")</f>
        <v/>
      </c>
      <c r="R1069" s="75" t="str">
        <f>IF(AND($N1069=$Q$7,$B1069&lt;'111'!$L$11),"x","")</f>
        <v/>
      </c>
      <c r="S1069" s="75" t="str">
        <f>IF(AND($O1069=$Q$7,$B1069&lt;'111'!$L$11),"x","")</f>
        <v/>
      </c>
      <c r="T1069" s="75" t="str">
        <f>IF(ISERROR(FIND('112'!$M$9,G1069,1)),"",IF((AND(FIND('112'!$M$9,G1069,1)&gt;=1,B1069='112'!$K$9,OR($N1069='112'!$I$6,$O1069='112'!$I$6))),"x",""))</f>
        <v/>
      </c>
      <c r="U1069" s="75" t="str">
        <f>IF(ISERROR(FIND('112'!$M$9,G1069,1)),"",IF((AND(LEFT(G1069,2)=LEFT('112'!$M$9,2),B1069&lt;'112'!$K$9,$N1069='112'!$I$6)),"x",""))</f>
        <v/>
      </c>
      <c r="V1069" s="75" t="str">
        <f>IF(ISERROR(FIND('112'!$M$9,G1069,1)),"",IF((AND(RIGHT(G1069,2)=RIGHT('112'!$M$9,2),B1069&lt;'112'!$K$9,$O1069='112'!$I$6)),"x",""))</f>
        <v/>
      </c>
      <c r="W1069" s="75" t="str">
        <f>IF(AND('341-CT'!$H$9=H1069,OR(LEFT(N1069,3)=$W$7,LEFT(O1069,3)=$W$7)),"x","")</f>
        <v/>
      </c>
      <c r="X1069" s="75" t="str">
        <f>IF(OR(TH!N1069=TH!$X$7,O1069=TH!$X$7),"x","")</f>
        <v/>
      </c>
      <c r="Y1069" s="75" t="str">
        <f>IF(AND(OR(N1069="131",O1069="131"),H1069='131-CT'!$H$9),"x","")</f>
        <v/>
      </c>
      <c r="Z1069" s="75"/>
      <c r="AA1069" s="75" t="str">
        <f>IF(AND(MONTH(E1069)='IN-NX'!$J$5,'IN-NX'!$D$7=D1069),"x","")</f>
        <v/>
      </c>
      <c r="AB1069" s="75" t="str">
        <f>IF(AND(OR(LEFT(TH!N1069,2)="15",LEFT(TH!O1069,2)="15"),LEFT(TH!O1069,3)&lt;&gt;"111",'152-CT'!$J$8=TH!F1069),"x","")</f>
        <v/>
      </c>
      <c r="AC1069" s="75" t="str">
        <f>IF(AND(OR(LEFT(TH!N1069,2)="15",LEFT(TH!O1069,2)="15"),TK!$E$7=TH!F1069),"x","")</f>
        <v/>
      </c>
      <c r="AD1069" s="75" t="str">
        <f>IF(AND(N1069="1521",MONTH(C1069)='BK-NL'!$M$11),"x","")</f>
        <v/>
      </c>
    </row>
    <row r="1070" spans="1:31" s="1053" customFormat="1" ht="16.5" customHeight="1">
      <c r="A1070" s="309" t="str">
        <f>IF(B1070&lt;&gt;"",IF(AND(B1070='IN-TC'!$S$4,OR(TH!N1070="1111",TH!O1070="1111")),TH!D1070,""),"")</f>
        <v/>
      </c>
      <c r="B1070" s="1169">
        <f t="shared" si="219"/>
        <v>3</v>
      </c>
      <c r="C1070" s="292">
        <v>42810</v>
      </c>
      <c r="D1070" s="292" t="s">
        <v>1357</v>
      </c>
      <c r="E1070" s="292">
        <f t="shared" si="220"/>
        <v>42810</v>
      </c>
      <c r="F1070" s="67" t="s">
        <v>1143</v>
      </c>
      <c r="G1070" s="925" t="s">
        <v>1158</v>
      </c>
      <c r="H1070" s="294" t="s">
        <v>796</v>
      </c>
      <c r="I1070" s="373"/>
      <c r="J1070" s="926"/>
      <c r="K1070" s="373"/>
      <c r="L1070" s="379"/>
      <c r="M1070" s="927">
        <v>1725500</v>
      </c>
      <c r="N1070" s="295" t="s">
        <v>9</v>
      </c>
      <c r="O1070" s="295" t="s">
        <v>8</v>
      </c>
      <c r="P1070" s="75" t="str">
        <f>IF(AND('331-CT'!$E$7=TH!H1070,OR(N1070="331",O1070="331")),"x","")</f>
        <v/>
      </c>
      <c r="Q1070" s="75" t="str">
        <f>IF(AND(B1070='111'!$L$11,OR($N1070=$Q$7,$O1070=$Q$7)),"x","")</f>
        <v/>
      </c>
      <c r="R1070" s="75" t="str">
        <f>IF(AND($N1070=$Q$7,$B1070&lt;'111'!$L$11),"x","")</f>
        <v/>
      </c>
      <c r="S1070" s="75" t="str">
        <f>IF(AND($O1070=$Q$7,$B1070&lt;'111'!$L$11),"x","")</f>
        <v/>
      </c>
      <c r="T1070" s="75" t="str">
        <f>IF(ISERROR(FIND('112'!$M$9,G1070,1)),"",IF((AND(FIND('112'!$M$9,G1070,1)&gt;=1,B1070='112'!$K$9,OR($N1070='112'!$I$6,$O1070='112'!$I$6))),"x",""))</f>
        <v/>
      </c>
      <c r="U1070" s="75" t="str">
        <f>IF(ISERROR(FIND('112'!$M$9,G1070,1)),"",IF((AND(LEFT(G1070,2)=LEFT('112'!$M$9,2),B1070&lt;'112'!$K$9,$N1070='112'!$I$6)),"x",""))</f>
        <v/>
      </c>
      <c r="V1070" s="75" t="str">
        <f>IF(ISERROR(FIND('112'!$M$9,G1070,1)),"",IF((AND(RIGHT(G1070,2)=RIGHT('112'!$M$9,2),B1070&lt;'112'!$K$9,$O1070='112'!$I$6)),"x",""))</f>
        <v/>
      </c>
      <c r="W1070" s="75" t="str">
        <f>IF(AND('341-CT'!$H$9=H1070,OR(LEFT(N1070,3)=$W$7,LEFT(O1070,3)=$W$7)),"x","")</f>
        <v/>
      </c>
      <c r="X1070" s="75" t="str">
        <f>IF(OR(TH!N1070=TH!$X$7,O1070=TH!$X$7),"x","")</f>
        <v/>
      </c>
      <c r="Y1070" s="75" t="str">
        <f>IF(AND(OR(N1070="131",O1070="131"),H1070='131-CT'!$H$9),"x","")</f>
        <v/>
      </c>
      <c r="Z1070" s="75"/>
      <c r="AA1070" s="75" t="str">
        <f>IF(AND(MONTH(E1070)='IN-NX'!$J$5,'IN-NX'!$D$7=D1070),"x","")</f>
        <v/>
      </c>
      <c r="AB1070" s="75" t="str">
        <f>IF(AND(OR(LEFT(TH!N1070,2)="15",LEFT(TH!O1070,2)="15"),LEFT(TH!O1070,3)&lt;&gt;"111",'152-CT'!$J$8=TH!F1070),"x","")</f>
        <v/>
      </c>
      <c r="AC1070" s="75" t="str">
        <f>IF(AND(OR(LEFT(TH!N1070,2)="15",LEFT(TH!O1070,2)="15"),TK!$E$7=TH!F1070),"x","")</f>
        <v/>
      </c>
      <c r="AD1070" s="75" t="str">
        <f>IF(AND(N1070="1521",MONTH(C1070)='BK-NL'!$M$11),"x","")</f>
        <v/>
      </c>
    </row>
    <row r="1071" spans="1:31" s="1053" customFormat="1" ht="16.5" customHeight="1">
      <c r="A1071" s="309" t="str">
        <f>IF(B1071&lt;&gt;"",IF(AND(B1071='IN-TC'!$S$4,OR(TH!N1071="1111",TH!O1071="1111")),TH!D1071,""),"")</f>
        <v/>
      </c>
      <c r="B1071" s="1169">
        <f t="shared" si="219"/>
        <v>3</v>
      </c>
      <c r="C1071" s="292">
        <v>42810</v>
      </c>
      <c r="D1071" s="292" t="s">
        <v>1358</v>
      </c>
      <c r="E1071" s="292">
        <f t="shared" si="220"/>
        <v>42810</v>
      </c>
      <c r="F1071" s="67" t="s">
        <v>795</v>
      </c>
      <c r="G1071" s="925" t="s">
        <v>1376</v>
      </c>
      <c r="H1071" s="294" t="s">
        <v>797</v>
      </c>
      <c r="I1071" s="373">
        <v>2030</v>
      </c>
      <c r="J1071" s="926">
        <v>8500</v>
      </c>
      <c r="K1071" s="373"/>
      <c r="L1071" s="379"/>
      <c r="M1071" s="927">
        <f>I1071*J1071</f>
        <v>17255000</v>
      </c>
      <c r="N1071" s="295" t="s">
        <v>266</v>
      </c>
      <c r="O1071" s="295" t="s">
        <v>8</v>
      </c>
      <c r="P1071" s="75" t="str">
        <f>IF(AND('331-CT'!$E$7=TH!H1071,OR(N1071="331",O1071="331")),"x","")</f>
        <v/>
      </c>
      <c r="Q1071" s="75" t="str">
        <f>IF(AND(B1071='111'!$L$11,OR($N1071=$Q$7,$O1071=$Q$7)),"x","")</f>
        <v/>
      </c>
      <c r="R1071" s="75" t="str">
        <f>IF(AND($N1071=$Q$7,$B1071&lt;'111'!$L$11),"x","")</f>
        <v/>
      </c>
      <c r="S1071" s="75" t="str">
        <f>IF(AND($O1071=$Q$7,$B1071&lt;'111'!$L$11),"x","")</f>
        <v/>
      </c>
      <c r="T1071" s="75" t="str">
        <f>IF(ISERROR(FIND('112'!$M$9,G1071,1)),"",IF((AND(FIND('112'!$M$9,G1071,1)&gt;=1,B1071='112'!$K$9,OR($N1071='112'!$I$6,$O1071='112'!$I$6))),"x",""))</f>
        <v/>
      </c>
      <c r="U1071" s="75" t="str">
        <f>IF(ISERROR(FIND('112'!$M$9,G1071,1)),"",IF((AND(LEFT(G1071,2)=LEFT('112'!$M$9,2),B1071&lt;'112'!$K$9,$N1071='112'!$I$6)),"x",""))</f>
        <v/>
      </c>
      <c r="V1071" s="75" t="str">
        <f>IF(ISERROR(FIND('112'!$M$9,G1071,1)),"",IF((AND(RIGHT(G1071,2)=RIGHT('112'!$M$9,2),B1071&lt;'112'!$K$9,$O1071='112'!$I$6)),"x",""))</f>
        <v/>
      </c>
      <c r="W1071" s="75" t="str">
        <f>IF(AND('341-CT'!$H$9=H1071,OR(LEFT(N1071,3)=$W$7,LEFT(O1071,3)=$W$7)),"x","")</f>
        <v/>
      </c>
      <c r="X1071" s="75" t="str">
        <f>IF(OR(TH!N1071=TH!$X$7,O1071=TH!$X$7),"x","")</f>
        <v/>
      </c>
      <c r="Y1071" s="75" t="str">
        <f>IF(AND(OR(N1071="131",O1071="131"),H1071='131-CT'!$H$9),"x","")</f>
        <v/>
      </c>
      <c r="Z1071" s="75"/>
      <c r="AA1071" s="75" t="str">
        <f>IF(AND(MONTH(E1071)='IN-NX'!$J$5,'IN-NX'!$D$7=D1071),"x","")</f>
        <v/>
      </c>
      <c r="AB1071" s="75" t="str">
        <f>IF(AND(OR(LEFT(TH!N1071,2)="15",LEFT(TH!O1071,2)="15"),LEFT(TH!O1071,3)&lt;&gt;"111",'152-CT'!$J$8=TH!F1071),"x","")</f>
        <v/>
      </c>
      <c r="AC1071" s="75" t="str">
        <f>IF(AND(OR(LEFT(TH!N1071,2)="15",LEFT(TH!O1071,2)="15"),TK!$E$7=TH!F1071),"x","")</f>
        <v/>
      </c>
      <c r="AD1071" s="75" t="str">
        <f>IF(AND(N1071="1521",MONTH(C1071)='BK-NL'!$M$11),"x","")</f>
        <v/>
      </c>
    </row>
    <row r="1072" spans="1:31" s="1053" customFormat="1" ht="16.5" customHeight="1">
      <c r="A1072" s="309" t="str">
        <f>IF(B1072&lt;&gt;"",IF(AND(B1072='IN-TC'!$S$4,OR(TH!N1072="1111",TH!O1072="1111")),TH!D1072,""),"")</f>
        <v/>
      </c>
      <c r="B1072" s="1169">
        <f t="shared" si="219"/>
        <v>3</v>
      </c>
      <c r="C1072" s="292">
        <v>42810</v>
      </c>
      <c r="D1072" s="292" t="s">
        <v>1358</v>
      </c>
      <c r="E1072" s="292">
        <f t="shared" si="220"/>
        <v>42810</v>
      </c>
      <c r="F1072" s="67" t="s">
        <v>1143</v>
      </c>
      <c r="G1072" s="925" t="s">
        <v>1376</v>
      </c>
      <c r="H1072" s="294" t="s">
        <v>797</v>
      </c>
      <c r="I1072" s="373"/>
      <c r="J1072" s="926"/>
      <c r="K1072" s="373"/>
      <c r="L1072" s="379"/>
      <c r="M1072" s="927">
        <v>1725500</v>
      </c>
      <c r="N1072" s="295" t="s">
        <v>9</v>
      </c>
      <c r="O1072" s="295" t="s">
        <v>8</v>
      </c>
      <c r="P1072" s="75" t="str">
        <f>IF(AND('331-CT'!$E$7=TH!H1072,OR(N1072="331",O1072="331")),"x","")</f>
        <v/>
      </c>
      <c r="Q1072" s="75" t="str">
        <f>IF(AND(B1072='111'!$L$11,OR($N1072=$Q$7,$O1072=$Q$7)),"x","")</f>
        <v/>
      </c>
      <c r="R1072" s="75" t="str">
        <f>IF(AND($N1072=$Q$7,$B1072&lt;'111'!$L$11),"x","")</f>
        <v/>
      </c>
      <c r="S1072" s="75" t="str">
        <f>IF(AND($O1072=$Q$7,$B1072&lt;'111'!$L$11),"x","")</f>
        <v/>
      </c>
      <c r="T1072" s="75" t="str">
        <f>IF(ISERROR(FIND('112'!$M$9,G1072,1)),"",IF((AND(FIND('112'!$M$9,G1072,1)&gt;=1,B1072='112'!$K$9,OR($N1072='112'!$I$6,$O1072='112'!$I$6))),"x",""))</f>
        <v/>
      </c>
      <c r="U1072" s="75" t="str">
        <f>IF(ISERROR(FIND('112'!$M$9,G1072,1)),"",IF((AND(LEFT(G1072,2)=LEFT('112'!$M$9,2),B1072&lt;'112'!$K$9,$N1072='112'!$I$6)),"x",""))</f>
        <v/>
      </c>
      <c r="V1072" s="75" t="str">
        <f>IF(ISERROR(FIND('112'!$M$9,G1072,1)),"",IF((AND(RIGHT(G1072,2)=RIGHT('112'!$M$9,2),B1072&lt;'112'!$K$9,$O1072='112'!$I$6)),"x",""))</f>
        <v/>
      </c>
      <c r="W1072" s="75" t="str">
        <f>IF(AND('341-CT'!$H$9=H1072,OR(LEFT(N1072,3)=$W$7,LEFT(O1072,3)=$W$7)),"x","")</f>
        <v/>
      </c>
      <c r="X1072" s="75" t="str">
        <f>IF(OR(TH!N1072=TH!$X$7,O1072=TH!$X$7),"x","")</f>
        <v/>
      </c>
      <c r="Y1072" s="75" t="str">
        <f>IF(AND(OR(N1072="131",O1072="131"),H1072='131-CT'!$H$9),"x","")</f>
        <v/>
      </c>
      <c r="Z1072" s="75"/>
      <c r="AA1072" s="75" t="str">
        <f>IF(AND(MONTH(E1072)='IN-NX'!$J$5,'IN-NX'!$D$7=D1072),"x","")</f>
        <v/>
      </c>
      <c r="AB1072" s="75" t="str">
        <f>IF(AND(OR(LEFT(TH!N1072,2)="15",LEFT(TH!O1072,2)="15"),LEFT(TH!O1072,3)&lt;&gt;"111",'152-CT'!$J$8=TH!F1072),"x","")</f>
        <v/>
      </c>
      <c r="AC1072" s="75" t="str">
        <f>IF(AND(OR(LEFT(TH!N1072,2)="15",LEFT(TH!O1072,2)="15"),TK!$E$7=TH!F1072),"x","")</f>
        <v/>
      </c>
      <c r="AD1072" s="75" t="str">
        <f>IF(AND(N1072="1521",MONTH(C1072)='BK-NL'!$M$11),"x","")</f>
        <v/>
      </c>
    </row>
    <row r="1073" spans="1:30" s="1053" customFormat="1" ht="16.5" customHeight="1">
      <c r="A1073" s="309" t="str">
        <f>IF(B1073&lt;&gt;"",IF(AND(B1073='IN-TC'!$S$4,OR(TH!N1073="1111",TH!O1073="1111")),TH!D1073,""),"")</f>
        <v/>
      </c>
      <c r="B1073" s="1169">
        <f t="shared" si="219"/>
        <v>3</v>
      </c>
      <c r="C1073" s="292">
        <v>42811</v>
      </c>
      <c r="D1073" s="292" t="s">
        <v>1359</v>
      </c>
      <c r="E1073" s="292">
        <f t="shared" si="220"/>
        <v>42811</v>
      </c>
      <c r="F1073" s="67" t="s">
        <v>795</v>
      </c>
      <c r="G1073" s="925" t="s">
        <v>1377</v>
      </c>
      <c r="H1073" s="294" t="s">
        <v>797</v>
      </c>
      <c r="I1073" s="373">
        <v>2030</v>
      </c>
      <c r="J1073" s="926">
        <v>8500</v>
      </c>
      <c r="K1073" s="373"/>
      <c r="L1073" s="379"/>
      <c r="M1073" s="927">
        <f>I1073*J1073</f>
        <v>17255000</v>
      </c>
      <c r="N1073" s="295" t="s">
        <v>266</v>
      </c>
      <c r="O1073" s="295" t="s">
        <v>8</v>
      </c>
      <c r="P1073" s="75" t="str">
        <f>IF(AND('331-CT'!$E$7=TH!H1073,OR(N1073="331",O1073="331")),"x","")</f>
        <v/>
      </c>
      <c r="Q1073" s="75" t="str">
        <f>IF(AND(B1073='111'!$L$11,OR($N1073=$Q$7,$O1073=$Q$7)),"x","")</f>
        <v/>
      </c>
      <c r="R1073" s="75" t="str">
        <f>IF(AND($N1073=$Q$7,$B1073&lt;'111'!$L$11),"x","")</f>
        <v/>
      </c>
      <c r="S1073" s="75" t="str">
        <f>IF(AND($O1073=$Q$7,$B1073&lt;'111'!$L$11),"x","")</f>
        <v/>
      </c>
      <c r="T1073" s="75" t="str">
        <f>IF(ISERROR(FIND('112'!$M$9,G1073,1)),"",IF((AND(FIND('112'!$M$9,G1073,1)&gt;=1,B1073='112'!$K$9,OR($N1073='112'!$I$6,$O1073='112'!$I$6))),"x",""))</f>
        <v/>
      </c>
      <c r="U1073" s="75" t="str">
        <f>IF(ISERROR(FIND('112'!$M$9,G1073,1)),"",IF((AND(LEFT(G1073,2)=LEFT('112'!$M$9,2),B1073&lt;'112'!$K$9,$N1073='112'!$I$6)),"x",""))</f>
        <v/>
      </c>
      <c r="V1073" s="75" t="str">
        <f>IF(ISERROR(FIND('112'!$M$9,G1073,1)),"",IF((AND(RIGHT(G1073,2)=RIGHT('112'!$M$9,2),B1073&lt;'112'!$K$9,$O1073='112'!$I$6)),"x",""))</f>
        <v/>
      </c>
      <c r="W1073" s="75" t="str">
        <f>IF(AND('341-CT'!$H$9=H1073,OR(LEFT(N1073,3)=$W$7,LEFT(O1073,3)=$W$7)),"x","")</f>
        <v/>
      </c>
      <c r="X1073" s="75" t="str">
        <f>IF(OR(TH!N1073=TH!$X$7,O1073=TH!$X$7),"x","")</f>
        <v/>
      </c>
      <c r="Y1073" s="75" t="str">
        <f>IF(AND(OR(N1073="131",O1073="131"),H1073='131-CT'!$H$9),"x","")</f>
        <v/>
      </c>
      <c r="Z1073" s="75"/>
      <c r="AA1073" s="75" t="str">
        <f>IF(AND(MONTH(E1073)='IN-NX'!$J$5,'IN-NX'!$D$7=D1073),"x","")</f>
        <v/>
      </c>
      <c r="AB1073" s="75" t="str">
        <f>IF(AND(OR(LEFT(TH!N1073,2)="15",LEFT(TH!O1073,2)="15"),LEFT(TH!O1073,3)&lt;&gt;"111",'152-CT'!$J$8=TH!F1073),"x","")</f>
        <v/>
      </c>
      <c r="AC1073" s="75" t="str">
        <f>IF(AND(OR(LEFT(TH!N1073,2)="15",LEFT(TH!O1073,2)="15"),TK!$E$7=TH!F1073),"x","")</f>
        <v/>
      </c>
      <c r="AD1073" s="75" t="str">
        <f>IF(AND(N1073="1521",MONTH(C1073)='BK-NL'!$M$11),"x","")</f>
        <v/>
      </c>
    </row>
    <row r="1074" spans="1:30" s="1053" customFormat="1" ht="16.5" customHeight="1">
      <c r="A1074" s="309" t="str">
        <f>IF(B1074&lt;&gt;"",IF(AND(B1074='IN-TC'!$S$4,OR(TH!N1074="1111",TH!O1074="1111")),TH!D1074,""),"")</f>
        <v/>
      </c>
      <c r="B1074" s="1169">
        <f t="shared" si="219"/>
        <v>3</v>
      </c>
      <c r="C1074" s="292">
        <v>42811</v>
      </c>
      <c r="D1074" s="292" t="s">
        <v>1359</v>
      </c>
      <c r="E1074" s="292">
        <f t="shared" si="220"/>
        <v>42811</v>
      </c>
      <c r="F1074" s="67" t="s">
        <v>1143</v>
      </c>
      <c r="G1074" s="925" t="s">
        <v>1377</v>
      </c>
      <c r="H1074" s="294" t="s">
        <v>797</v>
      </c>
      <c r="I1074" s="373"/>
      <c r="J1074" s="926"/>
      <c r="K1074" s="373"/>
      <c r="L1074" s="379"/>
      <c r="M1074" s="927">
        <v>1725500</v>
      </c>
      <c r="N1074" s="295" t="s">
        <v>9</v>
      </c>
      <c r="O1074" s="295" t="s">
        <v>8</v>
      </c>
      <c r="P1074" s="75" t="str">
        <f>IF(AND('331-CT'!$E$7=TH!H1074,OR(N1074="331",O1074="331")),"x","")</f>
        <v/>
      </c>
      <c r="Q1074" s="75" t="str">
        <f>IF(AND(B1074='111'!$L$11,OR($N1074=$Q$7,$O1074=$Q$7)),"x","")</f>
        <v/>
      </c>
      <c r="R1074" s="75" t="str">
        <f>IF(AND($N1074=$Q$7,$B1074&lt;'111'!$L$11),"x","")</f>
        <v/>
      </c>
      <c r="S1074" s="75" t="str">
        <f>IF(AND($O1074=$Q$7,$B1074&lt;'111'!$L$11),"x","")</f>
        <v/>
      </c>
      <c r="T1074" s="75" t="str">
        <f>IF(ISERROR(FIND('112'!$M$9,G1074,1)),"",IF((AND(FIND('112'!$M$9,G1074,1)&gt;=1,B1074='112'!$K$9,OR($N1074='112'!$I$6,$O1074='112'!$I$6))),"x",""))</f>
        <v/>
      </c>
      <c r="U1074" s="75" t="str">
        <f>IF(ISERROR(FIND('112'!$M$9,G1074,1)),"",IF((AND(LEFT(G1074,2)=LEFT('112'!$M$9,2),B1074&lt;'112'!$K$9,$N1074='112'!$I$6)),"x",""))</f>
        <v/>
      </c>
      <c r="V1074" s="75" t="str">
        <f>IF(ISERROR(FIND('112'!$M$9,G1074,1)),"",IF((AND(RIGHT(G1074,2)=RIGHT('112'!$M$9,2),B1074&lt;'112'!$K$9,$O1074='112'!$I$6)),"x",""))</f>
        <v/>
      </c>
      <c r="W1074" s="75" t="str">
        <f>IF(AND('341-CT'!$H$9=H1074,OR(LEFT(N1074,3)=$W$7,LEFT(O1074,3)=$W$7)),"x","")</f>
        <v/>
      </c>
      <c r="X1074" s="75" t="str">
        <f>IF(OR(TH!N1074=TH!$X$7,O1074=TH!$X$7),"x","")</f>
        <v/>
      </c>
      <c r="Y1074" s="75" t="str">
        <f>IF(AND(OR(N1074="131",O1074="131"),H1074='131-CT'!$H$9),"x","")</f>
        <v/>
      </c>
      <c r="Z1074" s="75"/>
      <c r="AA1074" s="75" t="str">
        <f>IF(AND(MONTH(E1074)='IN-NX'!$J$5,'IN-NX'!$D$7=D1074),"x","")</f>
        <v/>
      </c>
      <c r="AB1074" s="75" t="str">
        <f>IF(AND(OR(LEFT(TH!N1074,2)="15",LEFT(TH!O1074,2)="15"),LEFT(TH!O1074,3)&lt;&gt;"111",'152-CT'!$J$8=TH!F1074),"x","")</f>
        <v/>
      </c>
      <c r="AC1074" s="75" t="str">
        <f>IF(AND(OR(LEFT(TH!N1074,2)="15",LEFT(TH!O1074,2)="15"),TK!$E$7=TH!F1074),"x","")</f>
        <v/>
      </c>
      <c r="AD1074" s="75" t="str">
        <f>IF(AND(N1074="1521",MONTH(C1074)='BK-NL'!$M$11),"x","")</f>
        <v/>
      </c>
    </row>
    <row r="1075" spans="1:30" s="1053" customFormat="1" ht="16.5" customHeight="1">
      <c r="A1075" s="309" t="str">
        <f>IF(B1075&lt;&gt;"",IF(AND(B1075='IN-TC'!$S$4,OR(TH!N1075="1111",TH!O1075="1111")),TH!D1075,""),"")</f>
        <v/>
      </c>
      <c r="B1075" s="1169">
        <f t="shared" si="219"/>
        <v>3</v>
      </c>
      <c r="C1075" s="292">
        <v>42812</v>
      </c>
      <c r="D1075" s="292" t="s">
        <v>1360</v>
      </c>
      <c r="E1075" s="292">
        <f t="shared" si="220"/>
        <v>42812</v>
      </c>
      <c r="F1075" s="67" t="s">
        <v>795</v>
      </c>
      <c r="G1075" s="925" t="s">
        <v>1159</v>
      </c>
      <c r="H1075" s="294" t="s">
        <v>796</v>
      </c>
      <c r="I1075" s="373">
        <v>2030</v>
      </c>
      <c r="J1075" s="926">
        <v>8500</v>
      </c>
      <c r="K1075" s="373"/>
      <c r="L1075" s="379"/>
      <c r="M1075" s="927">
        <f>I1075*J1075</f>
        <v>17255000</v>
      </c>
      <c r="N1075" s="295" t="s">
        <v>266</v>
      </c>
      <c r="O1075" s="295" t="s">
        <v>8</v>
      </c>
      <c r="P1075" s="75" t="str">
        <f>IF(AND('331-CT'!$E$7=TH!H1075,OR(N1075="331",O1075="331")),"x","")</f>
        <v/>
      </c>
      <c r="Q1075" s="75" t="str">
        <f>IF(AND(B1075='111'!$L$11,OR($N1075=$Q$7,$O1075=$Q$7)),"x","")</f>
        <v/>
      </c>
      <c r="R1075" s="75" t="str">
        <f>IF(AND($N1075=$Q$7,$B1075&lt;'111'!$L$11),"x","")</f>
        <v/>
      </c>
      <c r="S1075" s="75" t="str">
        <f>IF(AND($O1075=$Q$7,$B1075&lt;'111'!$L$11),"x","")</f>
        <v/>
      </c>
      <c r="T1075" s="75" t="str">
        <f>IF(ISERROR(FIND('112'!$M$9,G1075,1)),"",IF((AND(FIND('112'!$M$9,G1075,1)&gt;=1,B1075='112'!$K$9,OR($N1075='112'!$I$6,$O1075='112'!$I$6))),"x",""))</f>
        <v/>
      </c>
      <c r="U1075" s="75" t="str">
        <f>IF(ISERROR(FIND('112'!$M$9,G1075,1)),"",IF((AND(LEFT(G1075,2)=LEFT('112'!$M$9,2),B1075&lt;'112'!$K$9,$N1075='112'!$I$6)),"x",""))</f>
        <v/>
      </c>
      <c r="V1075" s="75" t="str">
        <f>IF(ISERROR(FIND('112'!$M$9,G1075,1)),"",IF((AND(RIGHT(G1075,2)=RIGHT('112'!$M$9,2),B1075&lt;'112'!$K$9,$O1075='112'!$I$6)),"x",""))</f>
        <v/>
      </c>
      <c r="W1075" s="75" t="str">
        <f>IF(AND('341-CT'!$H$9=H1075,OR(LEFT(N1075,3)=$W$7,LEFT(O1075,3)=$W$7)),"x","")</f>
        <v/>
      </c>
      <c r="X1075" s="75" t="str">
        <f>IF(OR(TH!N1075=TH!$X$7,O1075=TH!$X$7),"x","")</f>
        <v/>
      </c>
      <c r="Y1075" s="75" t="str">
        <f>IF(AND(OR(N1075="131",O1075="131"),H1075='131-CT'!$H$9),"x","")</f>
        <v/>
      </c>
      <c r="Z1075" s="75"/>
      <c r="AA1075" s="75" t="str">
        <f>IF(AND(MONTH(E1075)='IN-NX'!$J$5,'IN-NX'!$D$7=D1075),"x","")</f>
        <v/>
      </c>
      <c r="AB1075" s="75" t="str">
        <f>IF(AND(OR(LEFT(TH!N1075,2)="15",LEFT(TH!O1075,2)="15"),LEFT(TH!O1075,3)&lt;&gt;"111",'152-CT'!$J$8=TH!F1075),"x","")</f>
        <v/>
      </c>
      <c r="AC1075" s="75" t="str">
        <f>IF(AND(OR(LEFT(TH!N1075,2)="15",LEFT(TH!O1075,2)="15"),TK!$E$7=TH!F1075),"x","")</f>
        <v/>
      </c>
      <c r="AD1075" s="75" t="str">
        <f>IF(AND(N1075="1521",MONTH(C1075)='BK-NL'!$M$11),"x","")</f>
        <v/>
      </c>
    </row>
    <row r="1076" spans="1:30" s="1053" customFormat="1" ht="16.5" customHeight="1">
      <c r="A1076" s="309" t="str">
        <f>IF(B1076&lt;&gt;"",IF(AND(B1076='IN-TC'!$S$4,OR(TH!N1076="1111",TH!O1076="1111")),TH!D1076,""),"")</f>
        <v/>
      </c>
      <c r="B1076" s="1169">
        <f t="shared" si="219"/>
        <v>3</v>
      </c>
      <c r="C1076" s="292">
        <v>42812</v>
      </c>
      <c r="D1076" s="292" t="s">
        <v>1360</v>
      </c>
      <c r="E1076" s="292">
        <f t="shared" si="220"/>
        <v>42812</v>
      </c>
      <c r="F1076" s="67" t="s">
        <v>1143</v>
      </c>
      <c r="G1076" s="925" t="s">
        <v>1159</v>
      </c>
      <c r="H1076" s="294" t="s">
        <v>796</v>
      </c>
      <c r="I1076" s="373"/>
      <c r="J1076" s="926"/>
      <c r="K1076" s="373"/>
      <c r="L1076" s="379"/>
      <c r="M1076" s="927">
        <v>1725500</v>
      </c>
      <c r="N1076" s="295" t="s">
        <v>9</v>
      </c>
      <c r="O1076" s="295" t="s">
        <v>8</v>
      </c>
      <c r="P1076" s="75" t="str">
        <f>IF(AND('331-CT'!$E$7=TH!H1076,OR(N1076="331",O1076="331")),"x","")</f>
        <v/>
      </c>
      <c r="Q1076" s="75" t="str">
        <f>IF(AND(B1076='111'!$L$11,OR($N1076=$Q$7,$O1076=$Q$7)),"x","")</f>
        <v/>
      </c>
      <c r="R1076" s="75" t="str">
        <f>IF(AND($N1076=$Q$7,$B1076&lt;'111'!$L$11),"x","")</f>
        <v/>
      </c>
      <c r="S1076" s="75" t="str">
        <f>IF(AND($O1076=$Q$7,$B1076&lt;'111'!$L$11),"x","")</f>
        <v/>
      </c>
      <c r="T1076" s="75" t="str">
        <f>IF(ISERROR(FIND('112'!$M$9,G1076,1)),"",IF((AND(FIND('112'!$M$9,G1076,1)&gt;=1,B1076='112'!$K$9,OR($N1076='112'!$I$6,$O1076='112'!$I$6))),"x",""))</f>
        <v/>
      </c>
      <c r="U1076" s="75" t="str">
        <f>IF(ISERROR(FIND('112'!$M$9,G1076,1)),"",IF((AND(LEFT(G1076,2)=LEFT('112'!$M$9,2),B1076&lt;'112'!$K$9,$N1076='112'!$I$6)),"x",""))</f>
        <v/>
      </c>
      <c r="V1076" s="75" t="str">
        <f>IF(ISERROR(FIND('112'!$M$9,G1076,1)),"",IF((AND(RIGHT(G1076,2)=RIGHT('112'!$M$9,2),B1076&lt;'112'!$K$9,$O1076='112'!$I$6)),"x",""))</f>
        <v/>
      </c>
      <c r="W1076" s="75" t="str">
        <f>IF(AND('341-CT'!$H$9=H1076,OR(LEFT(N1076,3)=$W$7,LEFT(O1076,3)=$W$7)),"x","")</f>
        <v/>
      </c>
      <c r="X1076" s="75" t="str">
        <f>IF(OR(TH!N1076=TH!$X$7,O1076=TH!$X$7),"x","")</f>
        <v/>
      </c>
      <c r="Y1076" s="75" t="str">
        <f>IF(AND(OR(N1076="131",O1076="131"),H1076='131-CT'!$H$9),"x","")</f>
        <v/>
      </c>
      <c r="Z1076" s="75"/>
      <c r="AA1076" s="75" t="str">
        <f>IF(AND(MONTH(E1076)='IN-NX'!$J$5,'IN-NX'!$D$7=D1076),"x","")</f>
        <v/>
      </c>
      <c r="AB1076" s="75" t="str">
        <f>IF(AND(OR(LEFT(TH!N1076,2)="15",LEFT(TH!O1076,2)="15"),LEFT(TH!O1076,3)&lt;&gt;"111",'152-CT'!$J$8=TH!F1076),"x","")</f>
        <v/>
      </c>
      <c r="AC1076" s="75" t="str">
        <f>IF(AND(OR(LEFT(TH!N1076,2)="15",LEFT(TH!O1076,2)="15"),TK!$E$7=TH!F1076),"x","")</f>
        <v/>
      </c>
      <c r="AD1076" s="75" t="str">
        <f>IF(AND(N1076="1521",MONTH(C1076)='BK-NL'!$M$11),"x","")</f>
        <v/>
      </c>
    </row>
    <row r="1077" spans="1:30" s="1053" customFormat="1" ht="16.5" customHeight="1">
      <c r="A1077" s="309" t="str">
        <f>IF(B1077&lt;&gt;"",IF(AND(B1077='IN-TC'!$S$4,OR(TH!N1077="1111",TH!O1077="1111")),TH!D1077,""),"")</f>
        <v/>
      </c>
      <c r="B1077" s="1169">
        <f t="shared" si="219"/>
        <v>3</v>
      </c>
      <c r="C1077" s="292">
        <v>42816</v>
      </c>
      <c r="D1077" s="292" t="s">
        <v>1361</v>
      </c>
      <c r="E1077" s="292">
        <f t="shared" si="220"/>
        <v>42816</v>
      </c>
      <c r="F1077" s="67" t="s">
        <v>795</v>
      </c>
      <c r="G1077" s="925" t="s">
        <v>1160</v>
      </c>
      <c r="H1077" s="294" t="s">
        <v>796</v>
      </c>
      <c r="I1077" s="373">
        <v>2030</v>
      </c>
      <c r="J1077" s="926">
        <v>8500</v>
      </c>
      <c r="K1077" s="373"/>
      <c r="L1077" s="379"/>
      <c r="M1077" s="927">
        <f>I1077*J1077</f>
        <v>17255000</v>
      </c>
      <c r="N1077" s="295" t="s">
        <v>266</v>
      </c>
      <c r="O1077" s="295" t="s">
        <v>8</v>
      </c>
      <c r="P1077" s="75" t="str">
        <f>IF(AND('331-CT'!$E$7=TH!H1077,OR(N1077="331",O1077="331")),"x","")</f>
        <v/>
      </c>
      <c r="Q1077" s="75" t="str">
        <f>IF(AND(B1077='111'!$L$11,OR($N1077=$Q$7,$O1077=$Q$7)),"x","")</f>
        <v/>
      </c>
      <c r="R1077" s="75" t="str">
        <f>IF(AND($N1077=$Q$7,$B1077&lt;'111'!$L$11),"x","")</f>
        <v/>
      </c>
      <c r="S1077" s="75" t="str">
        <f>IF(AND($O1077=$Q$7,$B1077&lt;'111'!$L$11),"x","")</f>
        <v/>
      </c>
      <c r="T1077" s="75" t="str">
        <f>IF(ISERROR(FIND('112'!$M$9,G1077,1)),"",IF((AND(FIND('112'!$M$9,G1077,1)&gt;=1,B1077='112'!$K$9,OR($N1077='112'!$I$6,$O1077='112'!$I$6))),"x",""))</f>
        <v/>
      </c>
      <c r="U1077" s="75" t="str">
        <f>IF(ISERROR(FIND('112'!$M$9,G1077,1)),"",IF((AND(LEFT(G1077,2)=LEFT('112'!$M$9,2),B1077&lt;'112'!$K$9,$N1077='112'!$I$6)),"x",""))</f>
        <v/>
      </c>
      <c r="V1077" s="75" t="str">
        <f>IF(ISERROR(FIND('112'!$M$9,G1077,1)),"",IF((AND(RIGHT(G1077,2)=RIGHT('112'!$M$9,2),B1077&lt;'112'!$K$9,$O1077='112'!$I$6)),"x",""))</f>
        <v/>
      </c>
      <c r="W1077" s="75" t="str">
        <f>IF(AND('341-CT'!$H$9=H1077,OR(LEFT(N1077,3)=$W$7,LEFT(O1077,3)=$W$7)),"x","")</f>
        <v/>
      </c>
      <c r="X1077" s="75" t="str">
        <f>IF(OR(TH!N1077=TH!$X$7,O1077=TH!$X$7),"x","")</f>
        <v/>
      </c>
      <c r="Y1077" s="75" t="str">
        <f>IF(AND(OR(N1077="131",O1077="131"),H1077='131-CT'!$H$9),"x","")</f>
        <v/>
      </c>
      <c r="Z1077" s="75"/>
      <c r="AA1077" s="75" t="str">
        <f>IF(AND(MONTH(E1077)='IN-NX'!$J$5,'IN-NX'!$D$7=D1077),"x","")</f>
        <v/>
      </c>
      <c r="AB1077" s="75" t="str">
        <f>IF(AND(OR(LEFT(TH!N1077,2)="15",LEFT(TH!O1077,2)="15"),LEFT(TH!O1077,3)&lt;&gt;"111",'152-CT'!$J$8=TH!F1077),"x","")</f>
        <v/>
      </c>
      <c r="AC1077" s="75" t="str">
        <f>IF(AND(OR(LEFT(TH!N1077,2)="15",LEFT(TH!O1077,2)="15"),TK!$E$7=TH!F1077),"x","")</f>
        <v/>
      </c>
      <c r="AD1077" s="75" t="str">
        <f>IF(AND(N1077="1521",MONTH(C1077)='BK-NL'!$M$11),"x","")</f>
        <v/>
      </c>
    </row>
    <row r="1078" spans="1:30" s="1053" customFormat="1" ht="16.5" customHeight="1">
      <c r="A1078" s="309" t="str">
        <f>IF(B1078&lt;&gt;"",IF(AND(B1078='IN-TC'!$S$4,OR(TH!N1078="1111",TH!O1078="1111")),TH!D1078,""),"")</f>
        <v/>
      </c>
      <c r="B1078" s="1169">
        <f t="shared" si="219"/>
        <v>3</v>
      </c>
      <c r="C1078" s="292">
        <v>42816</v>
      </c>
      <c r="D1078" s="292" t="s">
        <v>1361</v>
      </c>
      <c r="E1078" s="292">
        <f t="shared" si="220"/>
        <v>42816</v>
      </c>
      <c r="F1078" s="67" t="s">
        <v>1143</v>
      </c>
      <c r="G1078" s="925" t="s">
        <v>1160</v>
      </c>
      <c r="H1078" s="294" t="s">
        <v>796</v>
      </c>
      <c r="I1078" s="373"/>
      <c r="J1078" s="926"/>
      <c r="K1078" s="373"/>
      <c r="L1078" s="379"/>
      <c r="M1078" s="927">
        <v>1725500</v>
      </c>
      <c r="N1078" s="295" t="s">
        <v>9</v>
      </c>
      <c r="O1078" s="295" t="s">
        <v>8</v>
      </c>
      <c r="P1078" s="75" t="str">
        <f>IF(AND('331-CT'!$E$7=TH!H1078,OR(N1078="331",O1078="331")),"x","")</f>
        <v/>
      </c>
      <c r="Q1078" s="75" t="str">
        <f>IF(AND(B1078='111'!$L$11,OR($N1078=$Q$7,$O1078=$Q$7)),"x","")</f>
        <v/>
      </c>
      <c r="R1078" s="75" t="str">
        <f>IF(AND($N1078=$Q$7,$B1078&lt;'111'!$L$11),"x","")</f>
        <v/>
      </c>
      <c r="S1078" s="75" t="str">
        <f>IF(AND($O1078=$Q$7,$B1078&lt;'111'!$L$11),"x","")</f>
        <v/>
      </c>
      <c r="T1078" s="75" t="str">
        <f>IF(ISERROR(FIND('112'!$M$9,G1078,1)),"",IF((AND(FIND('112'!$M$9,G1078,1)&gt;=1,B1078='112'!$K$9,OR($N1078='112'!$I$6,$O1078='112'!$I$6))),"x",""))</f>
        <v/>
      </c>
      <c r="U1078" s="75" t="str">
        <f>IF(ISERROR(FIND('112'!$M$9,G1078,1)),"",IF((AND(LEFT(G1078,2)=LEFT('112'!$M$9,2),B1078&lt;'112'!$K$9,$N1078='112'!$I$6)),"x",""))</f>
        <v/>
      </c>
      <c r="V1078" s="75" t="str">
        <f>IF(ISERROR(FIND('112'!$M$9,G1078,1)),"",IF((AND(RIGHT(G1078,2)=RIGHT('112'!$M$9,2),B1078&lt;'112'!$K$9,$O1078='112'!$I$6)),"x",""))</f>
        <v/>
      </c>
      <c r="W1078" s="75" t="str">
        <f>IF(AND('341-CT'!$H$9=H1078,OR(LEFT(N1078,3)=$W$7,LEFT(O1078,3)=$W$7)),"x","")</f>
        <v/>
      </c>
      <c r="X1078" s="75" t="str">
        <f>IF(OR(TH!N1078=TH!$X$7,O1078=TH!$X$7),"x","")</f>
        <v/>
      </c>
      <c r="Y1078" s="75" t="str">
        <f>IF(AND(OR(N1078="131",O1078="131"),H1078='131-CT'!$H$9),"x","")</f>
        <v/>
      </c>
      <c r="Z1078" s="75"/>
      <c r="AA1078" s="75" t="str">
        <f>IF(AND(MONTH(E1078)='IN-NX'!$J$5,'IN-NX'!$D$7=D1078),"x","")</f>
        <v/>
      </c>
      <c r="AB1078" s="75" t="str">
        <f>IF(AND(OR(LEFT(TH!N1078,2)="15",LEFT(TH!O1078,2)="15"),LEFT(TH!O1078,3)&lt;&gt;"111",'152-CT'!$J$8=TH!F1078),"x","")</f>
        <v/>
      </c>
      <c r="AC1078" s="75" t="str">
        <f>IF(AND(OR(LEFT(TH!N1078,2)="15",LEFT(TH!O1078,2)="15"),TK!$E$7=TH!F1078),"x","")</f>
        <v/>
      </c>
      <c r="AD1078" s="75" t="str">
        <f>IF(AND(N1078="1521",MONTH(C1078)='BK-NL'!$M$11),"x","")</f>
        <v/>
      </c>
    </row>
    <row r="1079" spans="1:30" s="1053" customFormat="1" ht="16.5" customHeight="1">
      <c r="A1079" s="309" t="str">
        <f>IF(B1079&lt;&gt;"",IF(AND(B1079='IN-TC'!$S$4,OR(TH!N1079="1111",TH!O1079="1111")),TH!D1079,""),"")</f>
        <v/>
      </c>
      <c r="B1079" s="1169">
        <f t="shared" si="219"/>
        <v>3</v>
      </c>
      <c r="C1079" s="292">
        <v>42818</v>
      </c>
      <c r="D1079" s="292" t="s">
        <v>1389</v>
      </c>
      <c r="E1079" s="292">
        <f t="shared" si="220"/>
        <v>42818</v>
      </c>
      <c r="F1079" s="67" t="s">
        <v>795</v>
      </c>
      <c r="G1079" s="925" t="s">
        <v>1161</v>
      </c>
      <c r="H1079" s="294" t="s">
        <v>796</v>
      </c>
      <c r="I1079" s="373">
        <v>2030</v>
      </c>
      <c r="J1079" s="926">
        <v>8500</v>
      </c>
      <c r="K1079" s="373"/>
      <c r="L1079" s="379"/>
      <c r="M1079" s="927">
        <f>I1079*J1079</f>
        <v>17255000</v>
      </c>
      <c r="N1079" s="295" t="s">
        <v>266</v>
      </c>
      <c r="O1079" s="295" t="s">
        <v>8</v>
      </c>
      <c r="P1079" s="75" t="str">
        <f>IF(AND('331-CT'!$E$7=TH!H1079,OR(N1079="331",O1079="331")),"x","")</f>
        <v/>
      </c>
      <c r="Q1079" s="75" t="str">
        <f>IF(AND(B1079='111'!$L$11,OR($N1079=$Q$7,$O1079=$Q$7)),"x","")</f>
        <v/>
      </c>
      <c r="R1079" s="75" t="str">
        <f>IF(AND($N1079=$Q$7,$B1079&lt;'111'!$L$11),"x","")</f>
        <v/>
      </c>
      <c r="S1079" s="75" t="str">
        <f>IF(AND($O1079=$Q$7,$B1079&lt;'111'!$L$11),"x","")</f>
        <v/>
      </c>
      <c r="T1079" s="75" t="str">
        <f>IF(ISERROR(FIND('112'!$M$9,G1079,1)),"",IF((AND(FIND('112'!$M$9,G1079,1)&gt;=1,B1079='112'!$K$9,OR($N1079='112'!$I$6,$O1079='112'!$I$6))),"x",""))</f>
        <v/>
      </c>
      <c r="U1079" s="75" t="str">
        <f>IF(ISERROR(FIND('112'!$M$9,G1079,1)),"",IF((AND(LEFT(G1079,2)=LEFT('112'!$M$9,2),B1079&lt;'112'!$K$9,$N1079='112'!$I$6)),"x",""))</f>
        <v/>
      </c>
      <c r="V1079" s="75" t="str">
        <f>IF(ISERROR(FIND('112'!$M$9,G1079,1)),"",IF((AND(RIGHT(G1079,2)=RIGHT('112'!$M$9,2),B1079&lt;'112'!$K$9,$O1079='112'!$I$6)),"x",""))</f>
        <v/>
      </c>
      <c r="W1079" s="75" t="str">
        <f>IF(AND('341-CT'!$H$9=H1079,OR(LEFT(N1079,3)=$W$7,LEFT(O1079,3)=$W$7)),"x","")</f>
        <v/>
      </c>
      <c r="X1079" s="75" t="str">
        <f>IF(OR(TH!N1079=TH!$X$7,O1079=TH!$X$7),"x","")</f>
        <v/>
      </c>
      <c r="Y1079" s="75" t="str">
        <f>IF(AND(OR(N1079="131",O1079="131"),H1079='131-CT'!$H$9),"x","")</f>
        <v/>
      </c>
      <c r="Z1079" s="75"/>
      <c r="AA1079" s="75" t="str">
        <f>IF(AND(MONTH(E1079)='IN-NX'!$J$5,'IN-NX'!$D$7=D1079),"x","")</f>
        <v/>
      </c>
      <c r="AB1079" s="75" t="str">
        <f>IF(AND(OR(LEFT(TH!N1079,2)="15",LEFT(TH!O1079,2)="15"),LEFT(TH!O1079,3)&lt;&gt;"111",'152-CT'!$J$8=TH!F1079),"x","")</f>
        <v/>
      </c>
      <c r="AC1079" s="75" t="str">
        <f>IF(AND(OR(LEFT(TH!N1079,2)="15",LEFT(TH!O1079,2)="15"),TK!$E$7=TH!F1079),"x","")</f>
        <v/>
      </c>
      <c r="AD1079" s="75" t="str">
        <f>IF(AND(N1079="1521",MONTH(C1079)='BK-NL'!$M$11),"x","")</f>
        <v/>
      </c>
    </row>
    <row r="1080" spans="1:30" s="1053" customFormat="1" ht="16.5" customHeight="1">
      <c r="A1080" s="309" t="str">
        <f>IF(B1080&lt;&gt;"",IF(AND(B1080='IN-TC'!$S$4,OR(TH!N1080="1111",TH!O1080="1111")),TH!D1080,""),"")</f>
        <v/>
      </c>
      <c r="B1080" s="1169">
        <f t="shared" ref="B1080:B1094" si="221">IF(C1080&lt;&gt;"",MONTH(C1080),"")</f>
        <v>3</v>
      </c>
      <c r="C1080" s="292">
        <v>42818</v>
      </c>
      <c r="D1080" s="292" t="s">
        <v>1389</v>
      </c>
      <c r="E1080" s="292">
        <f t="shared" ref="E1080:E1093" si="222">C1080</f>
        <v>42818</v>
      </c>
      <c r="F1080" s="67" t="s">
        <v>1143</v>
      </c>
      <c r="G1080" s="925" t="s">
        <v>1161</v>
      </c>
      <c r="H1080" s="294" t="s">
        <v>796</v>
      </c>
      <c r="I1080" s="373"/>
      <c r="J1080" s="926"/>
      <c r="K1080" s="373"/>
      <c r="L1080" s="379"/>
      <c r="M1080" s="927">
        <v>1725500</v>
      </c>
      <c r="N1080" s="295" t="s">
        <v>9</v>
      </c>
      <c r="O1080" s="295" t="s">
        <v>8</v>
      </c>
      <c r="P1080" s="75" t="str">
        <f>IF(AND('331-CT'!$E$7=TH!H1080,OR(N1080="331",O1080="331")),"x","")</f>
        <v/>
      </c>
      <c r="Q1080" s="75" t="str">
        <f>IF(AND(B1080='111'!$L$11,OR($N1080=$Q$7,$O1080=$Q$7)),"x","")</f>
        <v/>
      </c>
      <c r="R1080" s="75" t="str">
        <f>IF(AND($N1080=$Q$7,$B1080&lt;'111'!$L$11),"x","")</f>
        <v/>
      </c>
      <c r="S1080" s="75" t="str">
        <f>IF(AND($O1080=$Q$7,$B1080&lt;'111'!$L$11),"x","")</f>
        <v/>
      </c>
      <c r="T1080" s="75" t="str">
        <f>IF(ISERROR(FIND('112'!$M$9,G1080,1)),"",IF((AND(FIND('112'!$M$9,G1080,1)&gt;=1,B1080='112'!$K$9,OR($N1080='112'!$I$6,$O1080='112'!$I$6))),"x",""))</f>
        <v/>
      </c>
      <c r="U1080" s="75" t="str">
        <f>IF(ISERROR(FIND('112'!$M$9,G1080,1)),"",IF((AND(LEFT(G1080,2)=LEFT('112'!$M$9,2),B1080&lt;'112'!$K$9,$N1080='112'!$I$6)),"x",""))</f>
        <v/>
      </c>
      <c r="V1080" s="75" t="str">
        <f>IF(ISERROR(FIND('112'!$M$9,G1080,1)),"",IF((AND(RIGHT(G1080,2)=RIGHT('112'!$M$9,2),B1080&lt;'112'!$K$9,$O1080='112'!$I$6)),"x",""))</f>
        <v/>
      </c>
      <c r="W1080" s="75" t="str">
        <f>IF(AND('341-CT'!$H$9=H1080,OR(LEFT(N1080,3)=$W$7,LEFT(O1080,3)=$W$7)),"x","")</f>
        <v/>
      </c>
      <c r="X1080" s="75" t="str">
        <f>IF(OR(TH!N1080=TH!$X$7,O1080=TH!$X$7),"x","")</f>
        <v/>
      </c>
      <c r="Y1080" s="75" t="str">
        <f>IF(AND(OR(N1080="131",O1080="131"),H1080='131-CT'!$H$9),"x","")</f>
        <v/>
      </c>
      <c r="Z1080" s="75"/>
      <c r="AA1080" s="75" t="str">
        <f>IF(AND(MONTH(E1080)='IN-NX'!$J$5,'IN-NX'!$D$7=D1080),"x","")</f>
        <v/>
      </c>
      <c r="AB1080" s="75" t="str">
        <f>IF(AND(OR(LEFT(TH!N1080,2)="15",LEFT(TH!O1080,2)="15"),LEFT(TH!O1080,3)&lt;&gt;"111",'152-CT'!$J$8=TH!F1080),"x","")</f>
        <v/>
      </c>
      <c r="AC1080" s="75" t="str">
        <f>IF(AND(OR(LEFT(TH!N1080,2)="15",LEFT(TH!O1080,2)="15"),TK!$E$7=TH!F1080),"x","")</f>
        <v/>
      </c>
      <c r="AD1080" s="75" t="str">
        <f>IF(AND(N1080="1521",MONTH(C1080)='BK-NL'!$M$11),"x","")</f>
        <v/>
      </c>
    </row>
    <row r="1081" spans="1:30" s="1053" customFormat="1" ht="16.5" customHeight="1">
      <c r="A1081" s="309" t="str">
        <f>IF(B1081&lt;&gt;"",IF(AND(B1081='IN-TC'!$S$4,OR(TH!N1081="1111",TH!O1081="1111")),TH!D1081,""),"")</f>
        <v/>
      </c>
      <c r="B1081" s="1169">
        <f t="shared" si="221"/>
        <v>3</v>
      </c>
      <c r="C1081" s="292">
        <v>42821</v>
      </c>
      <c r="D1081" s="292" t="s">
        <v>1390</v>
      </c>
      <c r="E1081" s="292">
        <f t="shared" si="222"/>
        <v>42821</v>
      </c>
      <c r="F1081" s="67" t="s">
        <v>795</v>
      </c>
      <c r="G1081" s="925" t="s">
        <v>1378</v>
      </c>
      <c r="H1081" s="294" t="s">
        <v>797</v>
      </c>
      <c r="I1081" s="373">
        <v>2030</v>
      </c>
      <c r="J1081" s="926">
        <v>8500</v>
      </c>
      <c r="K1081" s="373"/>
      <c r="L1081" s="379"/>
      <c r="M1081" s="927">
        <f>I1081*J1081</f>
        <v>17255000</v>
      </c>
      <c r="N1081" s="295" t="s">
        <v>266</v>
      </c>
      <c r="O1081" s="295" t="s">
        <v>8</v>
      </c>
      <c r="P1081" s="75" t="str">
        <f>IF(AND('331-CT'!$E$7=TH!H1081,OR(N1081="331",O1081="331")),"x","")</f>
        <v/>
      </c>
      <c r="Q1081" s="75" t="str">
        <f>IF(AND(B1081='111'!$L$11,OR($N1081=$Q$7,$O1081=$Q$7)),"x","")</f>
        <v/>
      </c>
      <c r="R1081" s="75" t="str">
        <f>IF(AND($N1081=$Q$7,$B1081&lt;'111'!$L$11),"x","")</f>
        <v/>
      </c>
      <c r="S1081" s="75" t="str">
        <f>IF(AND($O1081=$Q$7,$B1081&lt;'111'!$L$11),"x","")</f>
        <v/>
      </c>
      <c r="T1081" s="75" t="str">
        <f>IF(ISERROR(FIND('112'!$M$9,G1081,1)),"",IF((AND(FIND('112'!$M$9,G1081,1)&gt;=1,B1081='112'!$K$9,OR($N1081='112'!$I$6,$O1081='112'!$I$6))),"x",""))</f>
        <v/>
      </c>
      <c r="U1081" s="75" t="str">
        <f>IF(ISERROR(FIND('112'!$M$9,G1081,1)),"",IF((AND(LEFT(G1081,2)=LEFT('112'!$M$9,2),B1081&lt;'112'!$K$9,$N1081='112'!$I$6)),"x",""))</f>
        <v/>
      </c>
      <c r="V1081" s="75" t="str">
        <f>IF(ISERROR(FIND('112'!$M$9,G1081,1)),"",IF((AND(RIGHT(G1081,2)=RIGHT('112'!$M$9,2),B1081&lt;'112'!$K$9,$O1081='112'!$I$6)),"x",""))</f>
        <v/>
      </c>
      <c r="W1081" s="75" t="str">
        <f>IF(AND('341-CT'!$H$9=H1081,OR(LEFT(N1081,3)=$W$7,LEFT(O1081,3)=$W$7)),"x","")</f>
        <v/>
      </c>
      <c r="X1081" s="75" t="str">
        <f>IF(OR(TH!N1081=TH!$X$7,O1081=TH!$X$7),"x","")</f>
        <v/>
      </c>
      <c r="Y1081" s="75" t="str">
        <f>IF(AND(OR(N1081="131",O1081="131"),H1081='131-CT'!$H$9),"x","")</f>
        <v/>
      </c>
      <c r="Z1081" s="75"/>
      <c r="AA1081" s="75" t="str">
        <f>IF(AND(MONTH(E1081)='IN-NX'!$J$5,'IN-NX'!$D$7=D1081),"x","")</f>
        <v/>
      </c>
      <c r="AB1081" s="75" t="str">
        <f>IF(AND(OR(LEFT(TH!N1081,2)="15",LEFT(TH!O1081,2)="15"),LEFT(TH!O1081,3)&lt;&gt;"111",'152-CT'!$J$8=TH!F1081),"x","")</f>
        <v/>
      </c>
      <c r="AC1081" s="75" t="str">
        <f>IF(AND(OR(LEFT(TH!N1081,2)="15",LEFT(TH!O1081,2)="15"),TK!$E$7=TH!F1081),"x","")</f>
        <v/>
      </c>
      <c r="AD1081" s="75" t="str">
        <f>IF(AND(N1081="1521",MONTH(C1081)='BK-NL'!$M$11),"x","")</f>
        <v/>
      </c>
    </row>
    <row r="1082" spans="1:30" s="1053" customFormat="1" ht="16.5" customHeight="1">
      <c r="A1082" s="309" t="str">
        <f>IF(B1082&lt;&gt;"",IF(AND(B1082='IN-TC'!$S$4,OR(TH!N1082="1111",TH!O1082="1111")),TH!D1082,""),"")</f>
        <v/>
      </c>
      <c r="B1082" s="1169">
        <f t="shared" si="221"/>
        <v>3</v>
      </c>
      <c r="C1082" s="292">
        <v>42821</v>
      </c>
      <c r="D1082" s="292" t="s">
        <v>1390</v>
      </c>
      <c r="E1082" s="292">
        <f t="shared" si="222"/>
        <v>42821</v>
      </c>
      <c r="F1082" s="67" t="s">
        <v>1143</v>
      </c>
      <c r="G1082" s="925" t="s">
        <v>1378</v>
      </c>
      <c r="H1082" s="294" t="s">
        <v>797</v>
      </c>
      <c r="I1082" s="373"/>
      <c r="J1082" s="926"/>
      <c r="K1082" s="373"/>
      <c r="L1082" s="379"/>
      <c r="M1082" s="927">
        <v>1725500</v>
      </c>
      <c r="N1082" s="295" t="s">
        <v>9</v>
      </c>
      <c r="O1082" s="295" t="s">
        <v>8</v>
      </c>
      <c r="P1082" s="75" t="str">
        <f>IF(AND('331-CT'!$E$7=TH!H1082,OR(N1082="331",O1082="331")),"x","")</f>
        <v/>
      </c>
      <c r="Q1082" s="75" t="str">
        <f>IF(AND(B1082='111'!$L$11,OR($N1082=$Q$7,$O1082=$Q$7)),"x","")</f>
        <v/>
      </c>
      <c r="R1082" s="75" t="str">
        <f>IF(AND($N1082=$Q$7,$B1082&lt;'111'!$L$11),"x","")</f>
        <v/>
      </c>
      <c r="S1082" s="75" t="str">
        <f>IF(AND($O1082=$Q$7,$B1082&lt;'111'!$L$11),"x","")</f>
        <v/>
      </c>
      <c r="T1082" s="75" t="str">
        <f>IF(ISERROR(FIND('112'!$M$9,G1082,1)),"",IF((AND(FIND('112'!$M$9,G1082,1)&gt;=1,B1082='112'!$K$9,OR($N1082='112'!$I$6,$O1082='112'!$I$6))),"x",""))</f>
        <v/>
      </c>
      <c r="U1082" s="75" t="str">
        <f>IF(ISERROR(FIND('112'!$M$9,G1082,1)),"",IF((AND(LEFT(G1082,2)=LEFT('112'!$M$9,2),B1082&lt;'112'!$K$9,$N1082='112'!$I$6)),"x",""))</f>
        <v/>
      </c>
      <c r="V1082" s="75" t="str">
        <f>IF(ISERROR(FIND('112'!$M$9,G1082,1)),"",IF((AND(RIGHT(G1082,2)=RIGHT('112'!$M$9,2),B1082&lt;'112'!$K$9,$O1082='112'!$I$6)),"x",""))</f>
        <v/>
      </c>
      <c r="W1082" s="75" t="str">
        <f>IF(AND('341-CT'!$H$9=H1082,OR(LEFT(N1082,3)=$W$7,LEFT(O1082,3)=$W$7)),"x","")</f>
        <v/>
      </c>
      <c r="X1082" s="75" t="str">
        <f>IF(OR(TH!N1082=TH!$X$7,O1082=TH!$X$7),"x","")</f>
        <v/>
      </c>
      <c r="Y1082" s="75" t="str">
        <f>IF(AND(OR(N1082="131",O1082="131"),H1082='131-CT'!$H$9),"x","")</f>
        <v/>
      </c>
      <c r="Z1082" s="75"/>
      <c r="AA1082" s="75" t="str">
        <f>IF(AND(MONTH(E1082)='IN-NX'!$J$5,'IN-NX'!$D$7=D1082),"x","")</f>
        <v/>
      </c>
      <c r="AB1082" s="75" t="str">
        <f>IF(AND(OR(LEFT(TH!N1082,2)="15",LEFT(TH!O1082,2)="15"),LEFT(TH!O1082,3)&lt;&gt;"111",'152-CT'!$J$8=TH!F1082),"x","")</f>
        <v/>
      </c>
      <c r="AC1082" s="75" t="str">
        <f>IF(AND(OR(LEFT(TH!N1082,2)="15",LEFT(TH!O1082,2)="15"),TK!$E$7=TH!F1082),"x","")</f>
        <v/>
      </c>
      <c r="AD1082" s="75" t="str">
        <f>IF(AND(N1082="1521",MONTH(C1082)='BK-NL'!$M$11),"x","")</f>
        <v/>
      </c>
    </row>
    <row r="1083" spans="1:30" s="1053" customFormat="1" ht="16.5" customHeight="1">
      <c r="A1083" s="309" t="str">
        <f>IF(B1083&lt;&gt;"",IF(AND(B1083='IN-TC'!$S$4,OR(TH!N1083="1111",TH!O1083="1111")),TH!D1083,""),"")</f>
        <v/>
      </c>
      <c r="B1083" s="1169">
        <f t="shared" si="221"/>
        <v>3</v>
      </c>
      <c r="C1083" s="292">
        <v>42822</v>
      </c>
      <c r="D1083" s="292" t="s">
        <v>1391</v>
      </c>
      <c r="E1083" s="292">
        <f t="shared" si="222"/>
        <v>42822</v>
      </c>
      <c r="F1083" s="67" t="s">
        <v>795</v>
      </c>
      <c r="G1083" s="925" t="s">
        <v>1379</v>
      </c>
      <c r="H1083" s="294" t="s">
        <v>797</v>
      </c>
      <c r="I1083" s="373">
        <v>2030</v>
      </c>
      <c r="J1083" s="926">
        <v>8500</v>
      </c>
      <c r="K1083" s="373"/>
      <c r="L1083" s="379"/>
      <c r="M1083" s="927">
        <f>I1083*J1083</f>
        <v>17255000</v>
      </c>
      <c r="N1083" s="295" t="s">
        <v>266</v>
      </c>
      <c r="O1083" s="295" t="s">
        <v>8</v>
      </c>
      <c r="P1083" s="75" t="str">
        <f>IF(AND('331-CT'!$E$7=TH!H1083,OR(N1083="331",O1083="331")),"x","")</f>
        <v/>
      </c>
      <c r="Q1083" s="75" t="str">
        <f>IF(AND(B1083='111'!$L$11,OR($N1083=$Q$7,$O1083=$Q$7)),"x","")</f>
        <v/>
      </c>
      <c r="R1083" s="75" t="str">
        <f>IF(AND($N1083=$Q$7,$B1083&lt;'111'!$L$11),"x","")</f>
        <v/>
      </c>
      <c r="S1083" s="75" t="str">
        <f>IF(AND($O1083=$Q$7,$B1083&lt;'111'!$L$11),"x","")</f>
        <v/>
      </c>
      <c r="T1083" s="75" t="str">
        <f>IF(ISERROR(FIND('112'!$M$9,G1083,1)),"",IF((AND(FIND('112'!$M$9,G1083,1)&gt;=1,B1083='112'!$K$9,OR($N1083='112'!$I$6,$O1083='112'!$I$6))),"x",""))</f>
        <v/>
      </c>
      <c r="U1083" s="75" t="str">
        <f>IF(ISERROR(FIND('112'!$M$9,G1083,1)),"",IF((AND(LEFT(G1083,2)=LEFT('112'!$M$9,2),B1083&lt;'112'!$K$9,$N1083='112'!$I$6)),"x",""))</f>
        <v/>
      </c>
      <c r="V1083" s="75" t="str">
        <f>IF(ISERROR(FIND('112'!$M$9,G1083,1)),"",IF((AND(RIGHT(G1083,2)=RIGHT('112'!$M$9,2),B1083&lt;'112'!$K$9,$O1083='112'!$I$6)),"x",""))</f>
        <v/>
      </c>
      <c r="W1083" s="75" t="str">
        <f>IF(AND('341-CT'!$H$9=H1083,OR(LEFT(N1083,3)=$W$7,LEFT(O1083,3)=$W$7)),"x","")</f>
        <v/>
      </c>
      <c r="X1083" s="75" t="str">
        <f>IF(OR(TH!N1083=TH!$X$7,O1083=TH!$X$7),"x","")</f>
        <v/>
      </c>
      <c r="Y1083" s="75" t="str">
        <f>IF(AND(OR(N1083="131",O1083="131"),H1083='131-CT'!$H$9),"x","")</f>
        <v/>
      </c>
      <c r="Z1083" s="75"/>
      <c r="AA1083" s="75" t="str">
        <f>IF(AND(MONTH(E1083)='IN-NX'!$J$5,'IN-NX'!$D$7=D1083),"x","")</f>
        <v/>
      </c>
      <c r="AB1083" s="75" t="str">
        <f>IF(AND(OR(LEFT(TH!N1083,2)="15",LEFT(TH!O1083,2)="15"),LEFT(TH!O1083,3)&lt;&gt;"111",'152-CT'!$J$8=TH!F1083),"x","")</f>
        <v/>
      </c>
      <c r="AC1083" s="75" t="str">
        <f>IF(AND(OR(LEFT(TH!N1083,2)="15",LEFT(TH!O1083,2)="15"),TK!$E$7=TH!F1083),"x","")</f>
        <v/>
      </c>
      <c r="AD1083" s="75" t="str">
        <f>IF(AND(N1083="1521",MONTH(C1083)='BK-NL'!$M$11),"x","")</f>
        <v/>
      </c>
    </row>
    <row r="1084" spans="1:30" s="1053" customFormat="1" ht="16.5" customHeight="1">
      <c r="A1084" s="309" t="str">
        <f>IF(B1084&lt;&gt;"",IF(AND(B1084='IN-TC'!$S$4,OR(TH!N1084="1111",TH!O1084="1111")),TH!D1084,""),"")</f>
        <v/>
      </c>
      <c r="B1084" s="1169">
        <f t="shared" si="221"/>
        <v>3</v>
      </c>
      <c r="C1084" s="292">
        <v>42822</v>
      </c>
      <c r="D1084" s="292" t="s">
        <v>1391</v>
      </c>
      <c r="E1084" s="292">
        <f t="shared" si="222"/>
        <v>42822</v>
      </c>
      <c r="F1084" s="67" t="s">
        <v>1143</v>
      </c>
      <c r="G1084" s="925" t="s">
        <v>1379</v>
      </c>
      <c r="H1084" s="294" t="s">
        <v>797</v>
      </c>
      <c r="I1084" s="373"/>
      <c r="J1084" s="926"/>
      <c r="K1084" s="373"/>
      <c r="L1084" s="379"/>
      <c r="M1084" s="927">
        <v>1725500</v>
      </c>
      <c r="N1084" s="295" t="s">
        <v>9</v>
      </c>
      <c r="O1084" s="295" t="s">
        <v>8</v>
      </c>
      <c r="P1084" s="75" t="str">
        <f>IF(AND('331-CT'!$E$7=TH!H1084,OR(N1084="331",O1084="331")),"x","")</f>
        <v/>
      </c>
      <c r="Q1084" s="75" t="str">
        <f>IF(AND(B1084='111'!$L$11,OR($N1084=$Q$7,$O1084=$Q$7)),"x","")</f>
        <v/>
      </c>
      <c r="R1084" s="75" t="str">
        <f>IF(AND($N1084=$Q$7,$B1084&lt;'111'!$L$11),"x","")</f>
        <v/>
      </c>
      <c r="S1084" s="75" t="str">
        <f>IF(AND($O1084=$Q$7,$B1084&lt;'111'!$L$11),"x","")</f>
        <v/>
      </c>
      <c r="T1084" s="75" t="str">
        <f>IF(ISERROR(FIND('112'!$M$9,G1084,1)),"",IF((AND(FIND('112'!$M$9,G1084,1)&gt;=1,B1084='112'!$K$9,OR($N1084='112'!$I$6,$O1084='112'!$I$6))),"x",""))</f>
        <v/>
      </c>
      <c r="U1084" s="75" t="str">
        <f>IF(ISERROR(FIND('112'!$M$9,G1084,1)),"",IF((AND(LEFT(G1084,2)=LEFT('112'!$M$9,2),B1084&lt;'112'!$K$9,$N1084='112'!$I$6)),"x",""))</f>
        <v/>
      </c>
      <c r="V1084" s="75" t="str">
        <f>IF(ISERROR(FIND('112'!$M$9,G1084,1)),"",IF((AND(RIGHT(G1084,2)=RIGHT('112'!$M$9,2),B1084&lt;'112'!$K$9,$O1084='112'!$I$6)),"x",""))</f>
        <v/>
      </c>
      <c r="W1084" s="75" t="str">
        <f>IF(AND('341-CT'!$H$9=H1084,OR(LEFT(N1084,3)=$W$7,LEFT(O1084,3)=$W$7)),"x","")</f>
        <v/>
      </c>
      <c r="X1084" s="75" t="str">
        <f>IF(OR(TH!N1084=TH!$X$7,O1084=TH!$X$7),"x","")</f>
        <v/>
      </c>
      <c r="Y1084" s="75" t="str">
        <f>IF(AND(OR(N1084="131",O1084="131"),H1084='131-CT'!$H$9),"x","")</f>
        <v/>
      </c>
      <c r="Z1084" s="75"/>
      <c r="AA1084" s="75" t="str">
        <f>IF(AND(MONTH(E1084)='IN-NX'!$J$5,'IN-NX'!$D$7=D1084),"x","")</f>
        <v/>
      </c>
      <c r="AB1084" s="75" t="str">
        <f>IF(AND(OR(LEFT(TH!N1084,2)="15",LEFT(TH!O1084,2)="15"),LEFT(TH!O1084,3)&lt;&gt;"111",'152-CT'!$J$8=TH!F1084),"x","")</f>
        <v/>
      </c>
      <c r="AC1084" s="75" t="str">
        <f>IF(AND(OR(LEFT(TH!N1084,2)="15",LEFT(TH!O1084,2)="15"),TK!$E$7=TH!F1084),"x","")</f>
        <v/>
      </c>
      <c r="AD1084" s="75" t="str">
        <f>IF(AND(N1084="1521",MONTH(C1084)='BK-NL'!$M$11),"x","")</f>
        <v/>
      </c>
    </row>
    <row r="1085" spans="1:30" s="1053" customFormat="1" ht="16.5" customHeight="1">
      <c r="A1085" s="309" t="str">
        <f>IF(B1085&lt;&gt;"",IF(AND(B1085='IN-TC'!$S$4,OR(TH!N1085="1111",TH!O1085="1111")),TH!D1085,""),"")</f>
        <v/>
      </c>
      <c r="B1085" s="1169">
        <f t="shared" si="221"/>
        <v>3</v>
      </c>
      <c r="C1085" s="292">
        <v>42822</v>
      </c>
      <c r="D1085" s="292" t="s">
        <v>1392</v>
      </c>
      <c r="E1085" s="292">
        <f t="shared" si="222"/>
        <v>42822</v>
      </c>
      <c r="F1085" s="67" t="s">
        <v>795</v>
      </c>
      <c r="G1085" s="925" t="s">
        <v>1162</v>
      </c>
      <c r="H1085" s="294" t="s">
        <v>796</v>
      </c>
      <c r="I1085" s="373">
        <v>2030</v>
      </c>
      <c r="J1085" s="926">
        <v>8500</v>
      </c>
      <c r="K1085" s="373"/>
      <c r="L1085" s="379"/>
      <c r="M1085" s="927">
        <f>I1085*J1085</f>
        <v>17255000</v>
      </c>
      <c r="N1085" s="295" t="s">
        <v>266</v>
      </c>
      <c r="O1085" s="295" t="s">
        <v>8</v>
      </c>
      <c r="P1085" s="75" t="str">
        <f>IF(AND('331-CT'!$E$7=TH!H1085,OR(N1085="331",O1085="331")),"x","")</f>
        <v/>
      </c>
      <c r="Q1085" s="75" t="str">
        <f>IF(AND(B1085='111'!$L$11,OR($N1085=$Q$7,$O1085=$Q$7)),"x","")</f>
        <v/>
      </c>
      <c r="R1085" s="75" t="str">
        <f>IF(AND($N1085=$Q$7,$B1085&lt;'111'!$L$11),"x","")</f>
        <v/>
      </c>
      <c r="S1085" s="75" t="str">
        <f>IF(AND($O1085=$Q$7,$B1085&lt;'111'!$L$11),"x","")</f>
        <v/>
      </c>
      <c r="T1085" s="75" t="str">
        <f>IF(ISERROR(FIND('112'!$M$9,G1085,1)),"",IF((AND(FIND('112'!$M$9,G1085,1)&gt;=1,B1085='112'!$K$9,OR($N1085='112'!$I$6,$O1085='112'!$I$6))),"x",""))</f>
        <v/>
      </c>
      <c r="U1085" s="75" t="str">
        <f>IF(ISERROR(FIND('112'!$M$9,G1085,1)),"",IF((AND(LEFT(G1085,2)=LEFT('112'!$M$9,2),B1085&lt;'112'!$K$9,$N1085='112'!$I$6)),"x",""))</f>
        <v/>
      </c>
      <c r="V1085" s="75" t="str">
        <f>IF(ISERROR(FIND('112'!$M$9,G1085,1)),"",IF((AND(RIGHT(G1085,2)=RIGHT('112'!$M$9,2),B1085&lt;'112'!$K$9,$O1085='112'!$I$6)),"x",""))</f>
        <v/>
      </c>
      <c r="W1085" s="75" t="str">
        <f>IF(AND('341-CT'!$H$9=H1085,OR(LEFT(N1085,3)=$W$7,LEFT(O1085,3)=$W$7)),"x","")</f>
        <v/>
      </c>
      <c r="X1085" s="75" t="str">
        <f>IF(OR(TH!N1085=TH!$X$7,O1085=TH!$X$7),"x","")</f>
        <v/>
      </c>
      <c r="Y1085" s="75" t="str">
        <f>IF(AND(OR(N1085="131",O1085="131"),H1085='131-CT'!$H$9),"x","")</f>
        <v/>
      </c>
      <c r="Z1085" s="75"/>
      <c r="AA1085" s="75" t="str">
        <f>IF(AND(MONTH(E1085)='IN-NX'!$J$5,'IN-NX'!$D$7=D1085),"x","")</f>
        <v/>
      </c>
      <c r="AB1085" s="75" t="str">
        <f>IF(AND(OR(LEFT(TH!N1085,2)="15",LEFT(TH!O1085,2)="15"),LEFT(TH!O1085,3)&lt;&gt;"111",'152-CT'!$J$8=TH!F1085),"x","")</f>
        <v/>
      </c>
      <c r="AC1085" s="75" t="str">
        <f>IF(AND(OR(LEFT(TH!N1085,2)="15",LEFT(TH!O1085,2)="15"),TK!$E$7=TH!F1085),"x","")</f>
        <v/>
      </c>
      <c r="AD1085" s="75" t="str">
        <f>IF(AND(N1085="1521",MONTH(C1085)='BK-NL'!$M$11),"x","")</f>
        <v/>
      </c>
    </row>
    <row r="1086" spans="1:30" s="1053" customFormat="1" ht="16.5" customHeight="1">
      <c r="A1086" s="309" t="str">
        <f>IF(B1086&lt;&gt;"",IF(AND(B1086='IN-TC'!$S$4,OR(TH!N1086="1111",TH!O1086="1111")),TH!D1086,""),"")</f>
        <v/>
      </c>
      <c r="B1086" s="1169">
        <f t="shared" si="221"/>
        <v>3</v>
      </c>
      <c r="C1086" s="292">
        <v>42822</v>
      </c>
      <c r="D1086" s="292" t="s">
        <v>1392</v>
      </c>
      <c r="E1086" s="292">
        <f t="shared" si="222"/>
        <v>42822</v>
      </c>
      <c r="F1086" s="67" t="s">
        <v>1143</v>
      </c>
      <c r="G1086" s="925" t="s">
        <v>1162</v>
      </c>
      <c r="H1086" s="294" t="s">
        <v>796</v>
      </c>
      <c r="I1086" s="373"/>
      <c r="J1086" s="926"/>
      <c r="K1086" s="373"/>
      <c r="L1086" s="379"/>
      <c r="M1086" s="927">
        <v>1725500</v>
      </c>
      <c r="N1086" s="295" t="s">
        <v>9</v>
      </c>
      <c r="O1086" s="295" t="s">
        <v>8</v>
      </c>
      <c r="P1086" s="75" t="str">
        <f>IF(AND('331-CT'!$E$7=TH!H1086,OR(N1086="331",O1086="331")),"x","")</f>
        <v/>
      </c>
      <c r="Q1086" s="75" t="str">
        <f>IF(AND(B1086='111'!$L$11,OR($N1086=$Q$7,$O1086=$Q$7)),"x","")</f>
        <v/>
      </c>
      <c r="R1086" s="75" t="str">
        <f>IF(AND($N1086=$Q$7,$B1086&lt;'111'!$L$11),"x","")</f>
        <v/>
      </c>
      <c r="S1086" s="75" t="str">
        <f>IF(AND($O1086=$Q$7,$B1086&lt;'111'!$L$11),"x","")</f>
        <v/>
      </c>
      <c r="T1086" s="75" t="str">
        <f>IF(ISERROR(FIND('112'!$M$9,G1086,1)),"",IF((AND(FIND('112'!$M$9,G1086,1)&gt;=1,B1086='112'!$K$9,OR($N1086='112'!$I$6,$O1086='112'!$I$6))),"x",""))</f>
        <v/>
      </c>
      <c r="U1086" s="75" t="str">
        <f>IF(ISERROR(FIND('112'!$M$9,G1086,1)),"",IF((AND(LEFT(G1086,2)=LEFT('112'!$M$9,2),B1086&lt;'112'!$K$9,$N1086='112'!$I$6)),"x",""))</f>
        <v/>
      </c>
      <c r="V1086" s="75" t="str">
        <f>IF(ISERROR(FIND('112'!$M$9,G1086,1)),"",IF((AND(RIGHT(G1086,2)=RIGHT('112'!$M$9,2),B1086&lt;'112'!$K$9,$O1086='112'!$I$6)),"x",""))</f>
        <v/>
      </c>
      <c r="W1086" s="75" t="str">
        <f>IF(AND('341-CT'!$H$9=H1086,OR(LEFT(N1086,3)=$W$7,LEFT(O1086,3)=$W$7)),"x","")</f>
        <v/>
      </c>
      <c r="X1086" s="75" t="str">
        <f>IF(OR(TH!N1086=TH!$X$7,O1086=TH!$X$7),"x","")</f>
        <v/>
      </c>
      <c r="Y1086" s="75" t="str">
        <f>IF(AND(OR(N1086="131",O1086="131"),H1086='131-CT'!$H$9),"x","")</f>
        <v/>
      </c>
      <c r="Z1086" s="75"/>
      <c r="AA1086" s="75" t="str">
        <f>IF(AND(MONTH(E1086)='IN-NX'!$J$5,'IN-NX'!$D$7=D1086),"x","")</f>
        <v/>
      </c>
      <c r="AB1086" s="75" t="str">
        <f>IF(AND(OR(LEFT(TH!N1086,2)="15",LEFT(TH!O1086,2)="15"),LEFT(TH!O1086,3)&lt;&gt;"111",'152-CT'!$J$8=TH!F1086),"x","")</f>
        <v/>
      </c>
      <c r="AC1086" s="75" t="str">
        <f>IF(AND(OR(LEFT(TH!N1086,2)="15",LEFT(TH!O1086,2)="15"),TK!$E$7=TH!F1086),"x","")</f>
        <v/>
      </c>
      <c r="AD1086" s="75" t="str">
        <f>IF(AND(N1086="1521",MONTH(C1086)='BK-NL'!$M$11),"x","")</f>
        <v/>
      </c>
    </row>
    <row r="1087" spans="1:30" s="1053" customFormat="1" ht="16.5" customHeight="1">
      <c r="A1087" s="309" t="str">
        <f>IF(B1087&lt;&gt;"",IF(AND(B1087='IN-TC'!$S$4,OR(TH!N1087="1111",TH!O1087="1111")),TH!D1087,""),"")</f>
        <v/>
      </c>
      <c r="B1087" s="1169">
        <f t="shared" si="221"/>
        <v>3</v>
      </c>
      <c r="C1087" s="292">
        <v>42823</v>
      </c>
      <c r="D1087" s="292" t="s">
        <v>1533</v>
      </c>
      <c r="E1087" s="292">
        <f t="shared" si="222"/>
        <v>42823</v>
      </c>
      <c r="F1087" s="67" t="s">
        <v>817</v>
      </c>
      <c r="G1087" s="925" t="s">
        <v>1176</v>
      </c>
      <c r="H1087" s="294" t="s">
        <v>558</v>
      </c>
      <c r="I1087" s="373">
        <v>638</v>
      </c>
      <c r="J1087" s="926">
        <v>9660</v>
      </c>
      <c r="K1087" s="373"/>
      <c r="L1087" s="379"/>
      <c r="M1087" s="927">
        <f>I1087*J1087</f>
        <v>6163080</v>
      </c>
      <c r="N1087" s="295" t="s">
        <v>266</v>
      </c>
      <c r="O1087" s="295" t="s">
        <v>8</v>
      </c>
      <c r="P1087" s="75" t="str">
        <f>IF(AND('331-CT'!$E$7=TH!H1087,OR(N1087="331",O1087="331")),"x","")</f>
        <v/>
      </c>
      <c r="Q1087" s="75" t="str">
        <f>IF(AND(B1087='111'!$L$11,OR($N1087=$Q$7,$O1087=$Q$7)),"x","")</f>
        <v/>
      </c>
      <c r="R1087" s="75" t="str">
        <f>IF(AND($N1087=$Q$7,$B1087&lt;'111'!$L$11),"x","")</f>
        <v/>
      </c>
      <c r="S1087" s="75" t="str">
        <f>IF(AND($O1087=$Q$7,$B1087&lt;'111'!$L$11),"x","")</f>
        <v/>
      </c>
      <c r="T1087" s="75" t="str">
        <f>IF(ISERROR(FIND('112'!$M$9,G1087,1)),"",IF((AND(FIND('112'!$M$9,G1087,1)&gt;=1,B1087='112'!$K$9,OR($N1087='112'!$I$6,$O1087='112'!$I$6))),"x",""))</f>
        <v/>
      </c>
      <c r="U1087" s="75" t="str">
        <f>IF(ISERROR(FIND('112'!$M$9,G1087,1)),"",IF((AND(LEFT(G1087,2)=LEFT('112'!$M$9,2),B1087&lt;'112'!$K$9,$N1087='112'!$I$6)),"x",""))</f>
        <v/>
      </c>
      <c r="V1087" s="75" t="str">
        <f>IF(ISERROR(FIND('112'!$M$9,G1087,1)),"",IF((AND(RIGHT(G1087,2)=RIGHT('112'!$M$9,2),B1087&lt;'112'!$K$9,$O1087='112'!$I$6)),"x",""))</f>
        <v/>
      </c>
      <c r="W1087" s="75" t="str">
        <f>IF(AND('341-CT'!$H$9=H1087,OR(LEFT(N1087,3)=$W$7,LEFT(O1087,3)=$W$7)),"x","")</f>
        <v/>
      </c>
      <c r="X1087" s="75" t="str">
        <f>IF(OR(TH!N1087=TH!$X$7,O1087=TH!$X$7),"x","")</f>
        <v/>
      </c>
      <c r="Y1087" s="75" t="str">
        <f>IF(AND(OR(N1087="131",O1087="131"),H1087='131-CT'!$H$9),"x","")</f>
        <v/>
      </c>
      <c r="Z1087" s="75"/>
      <c r="AA1087" s="75" t="str">
        <f>IF(AND(MONTH(E1087)='IN-NX'!$J$5,'IN-NX'!$D$7=D1087),"x","")</f>
        <v/>
      </c>
      <c r="AB1087" s="75" t="str">
        <f>IF(AND(OR(LEFT(TH!N1087,2)="15",LEFT(TH!O1087,2)="15"),LEFT(TH!O1087,3)&lt;&gt;"111",'152-CT'!$J$8=TH!F1087),"x","")</f>
        <v/>
      </c>
      <c r="AC1087" s="75" t="str">
        <f>IF(AND(OR(LEFT(TH!N1087,2)="15",LEFT(TH!O1087,2)="15"),TK!$E$7=TH!F1087),"x","")</f>
        <v/>
      </c>
      <c r="AD1087" s="75" t="str">
        <f>IF(AND(N1087="1521",MONTH(C1087)='BK-NL'!$M$11),"x","")</f>
        <v/>
      </c>
    </row>
    <row r="1088" spans="1:30" s="1053" customFormat="1" ht="16.5" customHeight="1">
      <c r="A1088" s="309" t="str">
        <f>IF(B1088&lt;&gt;"",IF(AND(B1088='IN-TC'!$S$4,OR(TH!N1088="1111",TH!O1088="1111")),TH!D1088,""),"")</f>
        <v/>
      </c>
      <c r="B1088" s="1169">
        <f t="shared" si="221"/>
        <v>3</v>
      </c>
      <c r="C1088" s="292">
        <v>42823</v>
      </c>
      <c r="D1088" s="292" t="s">
        <v>1533</v>
      </c>
      <c r="E1088" s="292">
        <f t="shared" si="222"/>
        <v>42823</v>
      </c>
      <c r="F1088" s="67" t="s">
        <v>368</v>
      </c>
      <c r="G1088" s="925" t="s">
        <v>1176</v>
      </c>
      <c r="H1088" s="294" t="s">
        <v>558</v>
      </c>
      <c r="I1088" s="373">
        <v>680</v>
      </c>
      <c r="J1088" s="926">
        <v>6300</v>
      </c>
      <c r="K1088" s="373"/>
      <c r="L1088" s="379"/>
      <c r="M1088" s="927">
        <f>I1088*J1088</f>
        <v>4284000</v>
      </c>
      <c r="N1088" s="295" t="s">
        <v>266</v>
      </c>
      <c r="O1088" s="295" t="s">
        <v>8</v>
      </c>
      <c r="P1088" s="75" t="str">
        <f>IF(AND('331-CT'!$E$7=TH!H1088,OR(N1088="331",O1088="331")),"x","")</f>
        <v/>
      </c>
      <c r="Q1088" s="75" t="str">
        <f>IF(AND(B1088='111'!$L$11,OR($N1088=$Q$7,$O1088=$Q$7)),"x","")</f>
        <v/>
      </c>
      <c r="R1088" s="75" t="str">
        <f>IF(AND($N1088=$Q$7,$B1088&lt;'111'!$L$11),"x","")</f>
        <v/>
      </c>
      <c r="S1088" s="75" t="str">
        <f>IF(AND($O1088=$Q$7,$B1088&lt;'111'!$L$11),"x","")</f>
        <v/>
      </c>
      <c r="T1088" s="75" t="str">
        <f>IF(ISERROR(FIND('112'!$M$9,G1088,1)),"",IF((AND(FIND('112'!$M$9,G1088,1)&gt;=1,B1088='112'!$K$9,OR($N1088='112'!$I$6,$O1088='112'!$I$6))),"x",""))</f>
        <v/>
      </c>
      <c r="U1088" s="75" t="str">
        <f>IF(ISERROR(FIND('112'!$M$9,G1088,1)),"",IF((AND(LEFT(G1088,2)=LEFT('112'!$M$9,2),B1088&lt;'112'!$K$9,$N1088='112'!$I$6)),"x",""))</f>
        <v/>
      </c>
      <c r="V1088" s="75" t="str">
        <f>IF(ISERROR(FIND('112'!$M$9,G1088,1)),"",IF((AND(RIGHT(G1088,2)=RIGHT('112'!$M$9,2),B1088&lt;'112'!$K$9,$O1088='112'!$I$6)),"x",""))</f>
        <v/>
      </c>
      <c r="W1088" s="75" t="str">
        <f>IF(AND('341-CT'!$H$9=H1088,OR(LEFT(N1088,3)=$W$7,LEFT(O1088,3)=$W$7)),"x","")</f>
        <v/>
      </c>
      <c r="X1088" s="75" t="str">
        <f>IF(OR(TH!N1088=TH!$X$7,O1088=TH!$X$7),"x","")</f>
        <v/>
      </c>
      <c r="Y1088" s="75" t="str">
        <f>IF(AND(OR(N1088="131",O1088="131"),H1088='131-CT'!$H$9),"x","")</f>
        <v/>
      </c>
      <c r="Z1088" s="75"/>
      <c r="AA1088" s="75" t="str">
        <f>IF(AND(MONTH(E1088)='IN-NX'!$J$5,'IN-NX'!$D$7=D1088),"x","")</f>
        <v/>
      </c>
      <c r="AB1088" s="75" t="str">
        <f>IF(AND(OR(LEFT(TH!N1088,2)="15",LEFT(TH!O1088,2)="15"),LEFT(TH!O1088,3)&lt;&gt;"111",'152-CT'!$J$8=TH!F1088),"x","")</f>
        <v/>
      </c>
      <c r="AC1088" s="75" t="str">
        <f>IF(AND(OR(LEFT(TH!N1088,2)="15",LEFT(TH!O1088,2)="15"),TK!$E$7=TH!F1088),"x","")</f>
        <v/>
      </c>
      <c r="AD1088" s="75" t="str">
        <f>IF(AND(N1088="1521",MONTH(C1088)='BK-NL'!$M$11),"x","")</f>
        <v/>
      </c>
    </row>
    <row r="1089" spans="1:30" s="1053" customFormat="1" ht="16.5" customHeight="1">
      <c r="A1089" s="309" t="str">
        <f>IF(B1089&lt;&gt;"",IF(AND(B1089='IN-TC'!$S$4,OR(TH!N1089="1111",TH!O1089="1111")),TH!D1089,""),"")</f>
        <v/>
      </c>
      <c r="B1089" s="1169">
        <f t="shared" si="221"/>
        <v>3</v>
      </c>
      <c r="C1089" s="292">
        <v>42823</v>
      </c>
      <c r="D1089" s="292" t="s">
        <v>1533</v>
      </c>
      <c r="E1089" s="292">
        <f t="shared" si="222"/>
        <v>42823</v>
      </c>
      <c r="F1089" s="67" t="s">
        <v>832</v>
      </c>
      <c r="G1089" s="925" t="s">
        <v>1176</v>
      </c>
      <c r="H1089" s="294" t="s">
        <v>558</v>
      </c>
      <c r="I1089" s="373"/>
      <c r="J1089" s="926"/>
      <c r="K1089" s="373"/>
      <c r="L1089" s="379"/>
      <c r="M1089" s="927">
        <v>1044708</v>
      </c>
      <c r="N1089" s="295" t="s">
        <v>9</v>
      </c>
      <c r="O1089" s="295" t="s">
        <v>8</v>
      </c>
      <c r="P1089" s="75" t="str">
        <f>IF(AND('331-CT'!$E$7=TH!H1089,OR(N1089="331",O1089="331")),"x","")</f>
        <v/>
      </c>
      <c r="Q1089" s="75" t="str">
        <f>IF(AND(B1089='111'!$L$11,OR($N1089=$Q$7,$O1089=$Q$7)),"x","")</f>
        <v/>
      </c>
      <c r="R1089" s="75" t="str">
        <f>IF(AND($N1089=$Q$7,$B1089&lt;'111'!$L$11),"x","")</f>
        <v/>
      </c>
      <c r="S1089" s="75" t="str">
        <f>IF(AND($O1089=$Q$7,$B1089&lt;'111'!$L$11),"x","")</f>
        <v/>
      </c>
      <c r="T1089" s="75" t="str">
        <f>IF(ISERROR(FIND('112'!$M$9,G1089,1)),"",IF((AND(FIND('112'!$M$9,G1089,1)&gt;=1,B1089='112'!$K$9,OR($N1089='112'!$I$6,$O1089='112'!$I$6))),"x",""))</f>
        <v/>
      </c>
      <c r="U1089" s="75" t="str">
        <f>IF(ISERROR(FIND('112'!$M$9,G1089,1)),"",IF((AND(LEFT(G1089,2)=LEFT('112'!$M$9,2),B1089&lt;'112'!$K$9,$N1089='112'!$I$6)),"x",""))</f>
        <v/>
      </c>
      <c r="V1089" s="75" t="str">
        <f>IF(ISERROR(FIND('112'!$M$9,G1089,1)),"",IF((AND(RIGHT(G1089,2)=RIGHT('112'!$M$9,2),B1089&lt;'112'!$K$9,$O1089='112'!$I$6)),"x",""))</f>
        <v/>
      </c>
      <c r="W1089" s="75" t="str">
        <f>IF(AND('341-CT'!$H$9=H1089,OR(LEFT(N1089,3)=$W$7,LEFT(O1089,3)=$W$7)),"x","")</f>
        <v/>
      </c>
      <c r="X1089" s="75" t="str">
        <f>IF(OR(TH!N1089=TH!$X$7,O1089=TH!$X$7),"x","")</f>
        <v/>
      </c>
      <c r="Y1089" s="75" t="str">
        <f>IF(AND(OR(N1089="131",O1089="131"),H1089='131-CT'!$H$9),"x","")</f>
        <v/>
      </c>
      <c r="Z1089" s="75"/>
      <c r="AA1089" s="75" t="str">
        <f>IF(AND(MONTH(E1089)='IN-NX'!$J$5,'IN-NX'!$D$7=D1089),"x","")</f>
        <v/>
      </c>
      <c r="AB1089" s="75" t="str">
        <f>IF(AND(OR(LEFT(TH!N1089,2)="15",LEFT(TH!O1089,2)="15"),LEFT(TH!O1089,3)&lt;&gt;"111",'152-CT'!$J$8=TH!F1089),"x","")</f>
        <v/>
      </c>
      <c r="AC1089" s="75" t="str">
        <f>IF(AND(OR(LEFT(TH!N1089,2)="15",LEFT(TH!O1089,2)="15"),TK!$E$7=TH!F1089),"x","")</f>
        <v/>
      </c>
      <c r="AD1089" s="75" t="str">
        <f>IF(AND(N1089="1521",MONTH(C1089)='BK-NL'!$M$11),"x","")</f>
        <v/>
      </c>
    </row>
    <row r="1090" spans="1:30" s="1053" customFormat="1" ht="16.5" customHeight="1">
      <c r="A1090" s="309" t="str">
        <f>IF(B1090&lt;&gt;"",IF(AND(B1090='IN-TC'!$S$4,OR(TH!N1090="1111",TH!O1090="1111")),TH!D1090,""),"")</f>
        <v/>
      </c>
      <c r="B1090" s="1169">
        <f t="shared" si="221"/>
        <v>3</v>
      </c>
      <c r="C1090" s="292">
        <v>42825</v>
      </c>
      <c r="D1090" s="292" t="s">
        <v>1534</v>
      </c>
      <c r="E1090" s="292">
        <f t="shared" si="222"/>
        <v>42825</v>
      </c>
      <c r="F1090" s="67" t="s">
        <v>795</v>
      </c>
      <c r="G1090" s="925" t="s">
        <v>1163</v>
      </c>
      <c r="H1090" s="294" t="s">
        <v>796</v>
      </c>
      <c r="I1090" s="373">
        <v>2030</v>
      </c>
      <c r="J1090" s="926">
        <v>8500</v>
      </c>
      <c r="K1090" s="373"/>
      <c r="L1090" s="379"/>
      <c r="M1090" s="927">
        <f>I1090*J1090</f>
        <v>17255000</v>
      </c>
      <c r="N1090" s="295" t="s">
        <v>266</v>
      </c>
      <c r="O1090" s="295" t="s">
        <v>8</v>
      </c>
      <c r="P1090" s="75" t="str">
        <f>IF(AND('331-CT'!$E$7=TH!H1090,OR(N1090="331",O1090="331")),"x","")</f>
        <v/>
      </c>
      <c r="Q1090" s="75" t="str">
        <f>IF(AND(B1090='111'!$L$11,OR($N1090=$Q$7,$O1090=$Q$7)),"x","")</f>
        <v/>
      </c>
      <c r="R1090" s="75" t="str">
        <f>IF(AND($N1090=$Q$7,$B1090&lt;'111'!$L$11),"x","")</f>
        <v/>
      </c>
      <c r="S1090" s="75" t="str">
        <f>IF(AND($O1090=$Q$7,$B1090&lt;'111'!$L$11),"x","")</f>
        <v/>
      </c>
      <c r="T1090" s="75" t="str">
        <f>IF(ISERROR(FIND('112'!$M$9,G1090,1)),"",IF((AND(FIND('112'!$M$9,G1090,1)&gt;=1,B1090='112'!$K$9,OR($N1090='112'!$I$6,$O1090='112'!$I$6))),"x",""))</f>
        <v/>
      </c>
      <c r="U1090" s="75" t="str">
        <f>IF(ISERROR(FIND('112'!$M$9,G1090,1)),"",IF((AND(LEFT(G1090,2)=LEFT('112'!$M$9,2),B1090&lt;'112'!$K$9,$N1090='112'!$I$6)),"x",""))</f>
        <v/>
      </c>
      <c r="V1090" s="75" t="str">
        <f>IF(ISERROR(FIND('112'!$M$9,G1090,1)),"",IF((AND(RIGHT(G1090,2)=RIGHT('112'!$M$9,2),B1090&lt;'112'!$K$9,$O1090='112'!$I$6)),"x",""))</f>
        <v/>
      </c>
      <c r="W1090" s="75" t="str">
        <f>IF(AND('341-CT'!$H$9=H1090,OR(LEFT(N1090,3)=$W$7,LEFT(O1090,3)=$W$7)),"x","")</f>
        <v/>
      </c>
      <c r="X1090" s="75" t="str">
        <f>IF(OR(TH!N1090=TH!$X$7,O1090=TH!$X$7),"x","")</f>
        <v/>
      </c>
      <c r="Y1090" s="75" t="str">
        <f>IF(AND(OR(N1090="131",O1090="131"),H1090='131-CT'!$H$9),"x","")</f>
        <v/>
      </c>
      <c r="Z1090" s="75"/>
      <c r="AA1090" s="75" t="str">
        <f>IF(AND(MONTH(E1090)='IN-NX'!$J$5,'IN-NX'!$D$7=D1090),"x","")</f>
        <v/>
      </c>
      <c r="AB1090" s="75" t="str">
        <f>IF(AND(OR(LEFT(TH!N1090,2)="15",LEFT(TH!O1090,2)="15"),LEFT(TH!O1090,3)&lt;&gt;"111",'152-CT'!$J$8=TH!F1090),"x","")</f>
        <v/>
      </c>
      <c r="AC1090" s="75" t="str">
        <f>IF(AND(OR(LEFT(TH!N1090,2)="15",LEFT(TH!O1090,2)="15"),TK!$E$7=TH!F1090),"x","")</f>
        <v/>
      </c>
      <c r="AD1090" s="75" t="str">
        <f>IF(AND(N1090="1521",MONTH(C1090)='BK-NL'!$M$11),"x","")</f>
        <v/>
      </c>
    </row>
    <row r="1091" spans="1:30" s="1053" customFormat="1" ht="16.5" customHeight="1">
      <c r="A1091" s="309" t="str">
        <f>IF(B1091&lt;&gt;"",IF(AND(B1091='IN-TC'!$S$4,OR(TH!N1091="1111",TH!O1091="1111")),TH!D1091,""),"")</f>
        <v/>
      </c>
      <c r="B1091" s="1169">
        <f t="shared" si="221"/>
        <v>3</v>
      </c>
      <c r="C1091" s="292">
        <v>42825</v>
      </c>
      <c r="D1091" s="292" t="s">
        <v>1534</v>
      </c>
      <c r="E1091" s="292">
        <f t="shared" si="222"/>
        <v>42825</v>
      </c>
      <c r="F1091" s="67" t="s">
        <v>1143</v>
      </c>
      <c r="G1091" s="925" t="s">
        <v>1163</v>
      </c>
      <c r="H1091" s="294" t="s">
        <v>796</v>
      </c>
      <c r="I1091" s="373"/>
      <c r="J1091" s="926"/>
      <c r="K1091" s="373"/>
      <c r="L1091" s="379"/>
      <c r="M1091" s="927">
        <v>1725500</v>
      </c>
      <c r="N1091" s="295" t="s">
        <v>9</v>
      </c>
      <c r="O1091" s="295" t="s">
        <v>8</v>
      </c>
      <c r="P1091" s="75" t="str">
        <f>IF(AND('331-CT'!$E$7=TH!H1091,OR(N1091="331",O1091="331")),"x","")</f>
        <v/>
      </c>
      <c r="Q1091" s="75" t="str">
        <f>IF(AND(B1091='111'!$L$11,OR($N1091=$Q$7,$O1091=$Q$7)),"x","")</f>
        <v/>
      </c>
      <c r="R1091" s="75" t="str">
        <f>IF(AND($N1091=$Q$7,$B1091&lt;'111'!$L$11),"x","")</f>
        <v/>
      </c>
      <c r="S1091" s="75" t="str">
        <f>IF(AND($O1091=$Q$7,$B1091&lt;'111'!$L$11),"x","")</f>
        <v/>
      </c>
      <c r="T1091" s="75" t="str">
        <f>IF(ISERROR(FIND('112'!$M$9,G1091,1)),"",IF((AND(FIND('112'!$M$9,G1091,1)&gt;=1,B1091='112'!$K$9,OR($N1091='112'!$I$6,$O1091='112'!$I$6))),"x",""))</f>
        <v/>
      </c>
      <c r="U1091" s="75" t="str">
        <f>IF(ISERROR(FIND('112'!$M$9,G1091,1)),"",IF((AND(LEFT(G1091,2)=LEFT('112'!$M$9,2),B1091&lt;'112'!$K$9,$N1091='112'!$I$6)),"x",""))</f>
        <v/>
      </c>
      <c r="V1091" s="75" t="str">
        <f>IF(ISERROR(FIND('112'!$M$9,G1091,1)),"",IF((AND(RIGHT(G1091,2)=RIGHT('112'!$M$9,2),B1091&lt;'112'!$K$9,$O1091='112'!$I$6)),"x",""))</f>
        <v/>
      </c>
      <c r="W1091" s="75" t="str">
        <f>IF(AND('341-CT'!$H$9=H1091,OR(LEFT(N1091,3)=$W$7,LEFT(O1091,3)=$W$7)),"x","")</f>
        <v/>
      </c>
      <c r="X1091" s="75" t="str">
        <f>IF(OR(TH!N1091=TH!$X$7,O1091=TH!$X$7),"x","")</f>
        <v/>
      </c>
      <c r="Y1091" s="75" t="str">
        <f>IF(AND(OR(N1091="131",O1091="131"),H1091='131-CT'!$H$9),"x","")</f>
        <v/>
      </c>
      <c r="Z1091" s="75"/>
      <c r="AA1091" s="75" t="str">
        <f>IF(AND(MONTH(E1091)='IN-NX'!$J$5,'IN-NX'!$D$7=D1091),"x","")</f>
        <v/>
      </c>
      <c r="AB1091" s="75" t="str">
        <f>IF(AND(OR(LEFT(TH!N1091,2)="15",LEFT(TH!O1091,2)="15"),LEFT(TH!O1091,3)&lt;&gt;"111",'152-CT'!$J$8=TH!F1091),"x","")</f>
        <v/>
      </c>
      <c r="AC1091" s="75" t="str">
        <f>IF(AND(OR(LEFT(TH!N1091,2)="15",LEFT(TH!O1091,2)="15"),TK!$E$7=TH!F1091),"x","")</f>
        <v/>
      </c>
      <c r="AD1091" s="75" t="str">
        <f>IF(AND(N1091="1521",MONTH(C1091)='BK-NL'!$M$11),"x","")</f>
        <v/>
      </c>
    </row>
    <row r="1092" spans="1:30" s="1053" customFormat="1" ht="16.5" customHeight="1">
      <c r="A1092" s="309" t="str">
        <f>IF(B1092&lt;&gt;"",IF(AND(B1092='IN-TC'!$S$4,OR(TH!N1092="1111",TH!O1092="1111")),TH!D1092,""),"")</f>
        <v/>
      </c>
      <c r="B1092" s="1169">
        <f t="shared" si="221"/>
        <v>3</v>
      </c>
      <c r="C1092" s="292">
        <v>42825</v>
      </c>
      <c r="D1092" s="292" t="s">
        <v>1535</v>
      </c>
      <c r="E1092" s="292">
        <f t="shared" si="222"/>
        <v>42825</v>
      </c>
      <c r="F1092" s="67" t="s">
        <v>795</v>
      </c>
      <c r="G1092" s="925" t="s">
        <v>1343</v>
      </c>
      <c r="H1092" s="294" t="s">
        <v>797</v>
      </c>
      <c r="I1092" s="373">
        <v>1907</v>
      </c>
      <c r="J1092" s="926">
        <v>8500</v>
      </c>
      <c r="K1092" s="373"/>
      <c r="L1092" s="379"/>
      <c r="M1092" s="927">
        <f>I1092*J1092</f>
        <v>16209500</v>
      </c>
      <c r="N1092" s="295" t="s">
        <v>266</v>
      </c>
      <c r="O1092" s="295" t="s">
        <v>8</v>
      </c>
      <c r="P1092" s="75" t="str">
        <f>IF(AND('331-CT'!$E$7=TH!H1092,OR(N1092="331",O1092="331")),"x","")</f>
        <v/>
      </c>
      <c r="Q1092" s="75" t="str">
        <f>IF(AND(B1092='111'!$L$11,OR($N1092=$Q$7,$O1092=$Q$7)),"x","")</f>
        <v/>
      </c>
      <c r="R1092" s="75" t="str">
        <f>IF(AND($N1092=$Q$7,$B1092&lt;'111'!$L$11),"x","")</f>
        <v/>
      </c>
      <c r="S1092" s="75" t="str">
        <f>IF(AND($O1092=$Q$7,$B1092&lt;'111'!$L$11),"x","")</f>
        <v/>
      </c>
      <c r="T1092" s="75" t="str">
        <f>IF(ISERROR(FIND('112'!$M$9,G1092,1)),"",IF((AND(FIND('112'!$M$9,G1092,1)&gt;=1,B1092='112'!$K$9,OR($N1092='112'!$I$6,$O1092='112'!$I$6))),"x",""))</f>
        <v/>
      </c>
      <c r="U1092" s="75" t="str">
        <f>IF(ISERROR(FIND('112'!$M$9,G1092,1)),"",IF((AND(LEFT(G1092,2)=LEFT('112'!$M$9,2),B1092&lt;'112'!$K$9,$N1092='112'!$I$6)),"x",""))</f>
        <v/>
      </c>
      <c r="V1092" s="75" t="str">
        <f>IF(ISERROR(FIND('112'!$M$9,G1092,1)),"",IF((AND(RIGHT(G1092,2)=RIGHT('112'!$M$9,2),B1092&lt;'112'!$K$9,$O1092='112'!$I$6)),"x",""))</f>
        <v/>
      </c>
      <c r="W1092" s="75" t="str">
        <f>IF(AND('341-CT'!$H$9=H1092,OR(LEFT(N1092,3)=$W$7,LEFT(O1092,3)=$W$7)),"x","")</f>
        <v/>
      </c>
      <c r="X1092" s="75" t="str">
        <f>IF(OR(TH!N1092=TH!$X$7,O1092=TH!$X$7),"x","")</f>
        <v/>
      </c>
      <c r="Y1092" s="75" t="str">
        <f>IF(AND(OR(N1092="131",O1092="131"),H1092='131-CT'!$H$9),"x","")</f>
        <v/>
      </c>
      <c r="Z1092" s="75"/>
      <c r="AA1092" s="75" t="str">
        <f>IF(AND(MONTH(E1092)='IN-NX'!$J$5,'IN-NX'!$D$7=D1092),"x","")</f>
        <v/>
      </c>
      <c r="AB1092" s="75" t="str">
        <f>IF(AND(OR(LEFT(TH!N1092,2)="15",LEFT(TH!O1092,2)="15"),LEFT(TH!O1092,3)&lt;&gt;"111",'152-CT'!$J$8=TH!F1092),"x","")</f>
        <v/>
      </c>
      <c r="AC1092" s="75" t="str">
        <f>IF(AND(OR(LEFT(TH!N1092,2)="15",LEFT(TH!O1092,2)="15"),TK!$E$7=TH!F1092),"x","")</f>
        <v/>
      </c>
      <c r="AD1092" s="75" t="str">
        <f>IF(AND(N1092="1521",MONTH(C1092)='BK-NL'!$M$11),"x","")</f>
        <v/>
      </c>
    </row>
    <row r="1093" spans="1:30" s="1053" customFormat="1" ht="16.5" customHeight="1">
      <c r="A1093" s="309" t="str">
        <f>IF(B1093&lt;&gt;"",IF(AND(B1093='IN-TC'!$S$4,OR(TH!N1093="1111",TH!O1093="1111")),TH!D1093,""),"")</f>
        <v/>
      </c>
      <c r="B1093" s="1169">
        <f t="shared" si="221"/>
        <v>3</v>
      </c>
      <c r="C1093" s="292">
        <v>42825</v>
      </c>
      <c r="D1093" s="292" t="s">
        <v>1535</v>
      </c>
      <c r="E1093" s="292">
        <f t="shared" si="222"/>
        <v>42825</v>
      </c>
      <c r="F1093" s="67" t="s">
        <v>1143</v>
      </c>
      <c r="G1093" s="925" t="s">
        <v>1343</v>
      </c>
      <c r="H1093" s="294" t="s">
        <v>797</v>
      </c>
      <c r="I1093" s="373"/>
      <c r="J1093" s="926"/>
      <c r="K1093" s="373"/>
      <c r="L1093" s="379"/>
      <c r="M1093" s="927">
        <v>1620950</v>
      </c>
      <c r="N1093" s="295" t="s">
        <v>9</v>
      </c>
      <c r="O1093" s="295" t="s">
        <v>8</v>
      </c>
      <c r="P1093" s="75" t="str">
        <f>IF(AND('331-CT'!$E$7=TH!H1093,OR(N1093="331",O1093="331")),"x","")</f>
        <v/>
      </c>
      <c r="Q1093" s="75" t="str">
        <f>IF(AND(B1093='111'!$L$11,OR($N1093=$Q$7,$O1093=$Q$7)),"x","")</f>
        <v/>
      </c>
      <c r="R1093" s="75" t="str">
        <f>IF(AND($N1093=$Q$7,$B1093&lt;'111'!$L$11),"x","")</f>
        <v/>
      </c>
      <c r="S1093" s="75" t="str">
        <f>IF(AND($O1093=$Q$7,$B1093&lt;'111'!$L$11),"x","")</f>
        <v/>
      </c>
      <c r="T1093" s="75" t="str">
        <f>IF(ISERROR(FIND('112'!$M$9,G1093,1)),"",IF((AND(FIND('112'!$M$9,G1093,1)&gt;=1,B1093='112'!$K$9,OR($N1093='112'!$I$6,$O1093='112'!$I$6))),"x",""))</f>
        <v/>
      </c>
      <c r="U1093" s="75" t="str">
        <f>IF(ISERROR(FIND('112'!$M$9,G1093,1)),"",IF((AND(LEFT(G1093,2)=LEFT('112'!$M$9,2),B1093&lt;'112'!$K$9,$N1093='112'!$I$6)),"x",""))</f>
        <v/>
      </c>
      <c r="V1093" s="75" t="str">
        <f>IF(ISERROR(FIND('112'!$M$9,G1093,1)),"",IF((AND(RIGHT(G1093,2)=RIGHT('112'!$M$9,2),B1093&lt;'112'!$K$9,$O1093='112'!$I$6)),"x",""))</f>
        <v/>
      </c>
      <c r="W1093" s="75" t="str">
        <f>IF(AND('341-CT'!$H$9=H1093,OR(LEFT(N1093,3)=$W$7,LEFT(O1093,3)=$W$7)),"x","")</f>
        <v/>
      </c>
      <c r="X1093" s="75" t="str">
        <f>IF(OR(TH!N1093=TH!$X$7,O1093=TH!$X$7),"x","")</f>
        <v/>
      </c>
      <c r="Y1093" s="75" t="str">
        <f>IF(AND(OR(N1093="131",O1093="131"),H1093='131-CT'!$H$9),"x","")</f>
        <v/>
      </c>
      <c r="Z1093" s="75"/>
      <c r="AA1093" s="75" t="str">
        <f>IF(AND(MONTH(E1093)='IN-NX'!$J$5,'IN-NX'!$D$7=D1093),"x","")</f>
        <v/>
      </c>
      <c r="AB1093" s="75" t="str">
        <f>IF(AND(OR(LEFT(TH!N1093,2)="15",LEFT(TH!O1093,2)="15"),LEFT(TH!O1093,3)&lt;&gt;"111",'152-CT'!$J$8=TH!F1093),"x","")</f>
        <v/>
      </c>
      <c r="AC1093" s="75" t="str">
        <f>IF(AND(OR(LEFT(TH!N1093,2)="15",LEFT(TH!O1093,2)="15"),TK!$E$7=TH!F1093),"x","")</f>
        <v/>
      </c>
      <c r="AD1093" s="75" t="str">
        <f>IF(AND(N1093="1521",MONTH(C1093)='BK-NL'!$M$11),"x","")</f>
        <v/>
      </c>
    </row>
    <row r="1094" spans="1:30" ht="16.5" customHeight="1">
      <c r="A1094" s="309" t="str">
        <f>IF(B1094&lt;&gt;"",IF(AND(B1094='IN-TC'!$S$4,OR(TH!N1094="1111",TH!O1094="1111")),TH!D1094,""),"")</f>
        <v/>
      </c>
      <c r="B1094" s="1169">
        <f t="shared" si="221"/>
        <v>3</v>
      </c>
      <c r="C1094" s="929">
        <f t="shared" ref="C1094:C1100" si="223">E1094</f>
        <v>42796</v>
      </c>
      <c r="D1094" s="929" t="s">
        <v>2951</v>
      </c>
      <c r="E1094" s="929">
        <v>42796</v>
      </c>
      <c r="F1094" s="1082" t="s">
        <v>327</v>
      </c>
      <c r="G1094" s="931"/>
      <c r="H1094" s="735" t="s">
        <v>424</v>
      </c>
      <c r="I1094" s="371">
        <v>150</v>
      </c>
      <c r="J1094" s="377">
        <v>32200</v>
      </c>
      <c r="K1094" s="371"/>
      <c r="L1094" s="377"/>
      <c r="M1094" s="933">
        <f>ROUND(I1094*J1094,0)</f>
        <v>4830000</v>
      </c>
      <c r="N1094" s="934" t="s">
        <v>272</v>
      </c>
      <c r="O1094" s="934" t="s">
        <v>266</v>
      </c>
      <c r="P1094" s="75" t="str">
        <f>IF(AND('331-CT'!$E$7=TH!H1094,OR(N1094="331",O1094="331")),"x","")</f>
        <v/>
      </c>
      <c r="Q1094" s="75" t="str">
        <f>IF(AND(B1094='111'!$L$11,OR($N1094=$Q$7,$O1094=$Q$7)),"x","")</f>
        <v/>
      </c>
      <c r="R1094" s="75" t="str">
        <f>IF(AND($N1094=$Q$7,$B1094&lt;'111'!$L$11),"x","")</f>
        <v/>
      </c>
      <c r="S1094" s="75" t="str">
        <f>IF(AND($O1094=$Q$7,$B1094&lt;'111'!$L$11),"x","")</f>
        <v/>
      </c>
      <c r="T1094" s="75" t="str">
        <f>IF(ISERROR(FIND('112'!$M$9,G1094,1)),"",IF((AND(FIND('112'!$M$9,G1094,1)&gt;=1,B1094='112'!$K$9,OR($N1094='112'!$I$6,$O1094='112'!$I$6))),"x",""))</f>
        <v/>
      </c>
      <c r="U1094" s="75" t="str">
        <f>IF(ISERROR(FIND('112'!$M$9,G1094,1)),"",IF((AND(LEFT(G1094,2)=LEFT('112'!$M$9,2),B1094&lt;'112'!$K$9,$N1094='112'!$I$6)),"x",""))</f>
        <v/>
      </c>
      <c r="V1094" s="75" t="str">
        <f>IF(ISERROR(FIND('112'!$M$9,G1094,1)),"",IF((AND(RIGHT(G1094,2)=RIGHT('112'!$M$9,2),B1094&lt;'112'!$K$9,$O1094='112'!$I$6)),"x",""))</f>
        <v/>
      </c>
      <c r="W1094" s="75" t="str">
        <f>IF(AND('341-CT'!$H$9=H1094,OR(LEFT(N1094,3)=$W$7,LEFT(O1094,3)=$W$7)),"x","")</f>
        <v/>
      </c>
      <c r="X1094" s="75" t="str">
        <f>IF(OR(TH!N1094=TH!$X$7,O1094=TH!$X$7),"x","")</f>
        <v/>
      </c>
      <c r="Y1094" s="75" t="str">
        <f>IF(AND(OR(N1094="131",O1094="131"),H1094='131-CT'!$H$9),"x","")</f>
        <v/>
      </c>
      <c r="Z1094" s="75"/>
      <c r="AA1094" s="75" t="str">
        <f>IF(AND(MONTH(E1094)='IN-NX'!$J$5,'IN-NX'!$D$7=D1094),"x","")</f>
        <v/>
      </c>
      <c r="AB1094" s="75" t="str">
        <f>IF(AND(OR(LEFT(TH!N1094,2)="15",LEFT(TH!O1094,2)="15"),LEFT(TH!O1094,3)&lt;&gt;"111",'152-CT'!$J$8=TH!F1094),"x","")</f>
        <v/>
      </c>
      <c r="AC1094" s="75" t="str">
        <f>IF(AND(OR(LEFT(TH!N1094,2)="15",LEFT(TH!O1094,2)="15"),TK!$E$7=TH!F1094),"x","")</f>
        <v/>
      </c>
      <c r="AD1094" s="75" t="str">
        <f>IF(AND(N1094="1521",MONTH(C1094)='BK-NL'!$M$11),"x","")</f>
        <v/>
      </c>
    </row>
    <row r="1095" spans="1:30" ht="16.5" customHeight="1">
      <c r="A1095" s="309" t="str">
        <f>IF(B1095&lt;&gt;"",IF(AND(B1095='IN-TC'!$S$4,OR(TH!N1095="1111",TH!O1095="1111")),TH!D1095,""),"")</f>
        <v/>
      </c>
      <c r="B1095" s="1169">
        <f t="shared" ref="B1095:B1100" si="224">IF(C1095&lt;&gt;"",MONTH(C1095),"")</f>
        <v>3</v>
      </c>
      <c r="C1095" s="929">
        <f t="shared" si="223"/>
        <v>42796</v>
      </c>
      <c r="D1095" s="929" t="s">
        <v>2951</v>
      </c>
      <c r="E1095" s="929">
        <v>42796</v>
      </c>
      <c r="F1095" s="1082" t="s">
        <v>333</v>
      </c>
      <c r="G1095" s="931"/>
      <c r="H1095" s="735" t="s">
        <v>424</v>
      </c>
      <c r="I1095" s="371">
        <v>130</v>
      </c>
      <c r="J1095" s="377">
        <v>49027</v>
      </c>
      <c r="K1095" s="371"/>
      <c r="L1095" s="377"/>
      <c r="M1095" s="933">
        <f t="shared" ref="M1095:M1100" si="225">ROUND(I1095*J1095,0)</f>
        <v>6373510</v>
      </c>
      <c r="N1095" s="934" t="s">
        <v>272</v>
      </c>
      <c r="O1095" s="934" t="s">
        <v>266</v>
      </c>
      <c r="P1095" s="75" t="str">
        <f>IF(AND('331-CT'!$E$7=TH!H1095,OR(N1095="331",O1095="331")),"x","")</f>
        <v/>
      </c>
      <c r="Q1095" s="75" t="str">
        <f>IF(AND(B1095='111'!$L$11,OR($N1095=$Q$7,$O1095=$Q$7)),"x","")</f>
        <v/>
      </c>
      <c r="R1095" s="75" t="str">
        <f>IF(AND($N1095=$Q$7,$B1095&lt;'111'!$L$11),"x","")</f>
        <v/>
      </c>
      <c r="S1095" s="75" t="str">
        <f>IF(AND($O1095=$Q$7,$B1095&lt;'111'!$L$11),"x","")</f>
        <v/>
      </c>
      <c r="T1095" s="75" t="str">
        <f>IF(ISERROR(FIND('112'!$M$9,G1095,1)),"",IF((AND(FIND('112'!$M$9,G1095,1)&gt;=1,B1095='112'!$K$9,OR($N1095='112'!$I$6,$O1095='112'!$I$6))),"x",""))</f>
        <v/>
      </c>
      <c r="U1095" s="75" t="str">
        <f>IF(ISERROR(FIND('112'!$M$9,G1095,1)),"",IF((AND(LEFT(G1095,2)=LEFT('112'!$M$9,2),B1095&lt;'112'!$K$9,$N1095='112'!$I$6)),"x",""))</f>
        <v/>
      </c>
      <c r="V1095" s="75" t="str">
        <f>IF(ISERROR(FIND('112'!$M$9,G1095,1)),"",IF((AND(RIGHT(G1095,2)=RIGHT('112'!$M$9,2),B1095&lt;'112'!$K$9,$O1095='112'!$I$6)),"x",""))</f>
        <v/>
      </c>
      <c r="W1095" s="75" t="str">
        <f>IF(AND('341-CT'!$H$9=H1095,OR(LEFT(N1095,3)=$W$7,LEFT(O1095,3)=$W$7)),"x","")</f>
        <v/>
      </c>
      <c r="X1095" s="75" t="str">
        <f>IF(OR(TH!N1095=TH!$X$7,O1095=TH!$X$7),"x","")</f>
        <v/>
      </c>
      <c r="Y1095" s="75" t="str">
        <f>IF(AND(OR(N1095="131",O1095="131"),H1095='131-CT'!$H$9),"x","")</f>
        <v/>
      </c>
      <c r="Z1095" s="75"/>
      <c r="AA1095" s="75" t="str">
        <f>IF(AND(MONTH(E1095)='IN-NX'!$J$5,'IN-NX'!$D$7=D1095),"x","")</f>
        <v/>
      </c>
      <c r="AB1095" s="75" t="str">
        <f>IF(AND(OR(LEFT(TH!N1095,2)="15",LEFT(TH!O1095,2)="15"),LEFT(TH!O1095,3)&lt;&gt;"111",'152-CT'!$J$8=TH!F1095),"x","")</f>
        <v/>
      </c>
      <c r="AC1095" s="75" t="str">
        <f>IF(AND(OR(LEFT(TH!N1095,2)="15",LEFT(TH!O1095,2)="15"),TK!$E$7=TH!F1095),"x","")</f>
        <v/>
      </c>
      <c r="AD1095" s="75" t="str">
        <f>IF(AND(N1095="1521",MONTH(C1095)='BK-NL'!$M$11),"x","")</f>
        <v/>
      </c>
    </row>
    <row r="1096" spans="1:30" ht="16.5" customHeight="1">
      <c r="A1096" s="309" t="str">
        <f>IF(B1096&lt;&gt;"",IF(AND(B1096='IN-TC'!$S$4,OR(TH!N1096="1111",TH!O1096="1111")),TH!D1096,""),"")</f>
        <v/>
      </c>
      <c r="B1096" s="1169">
        <f t="shared" si="224"/>
        <v>3</v>
      </c>
      <c r="C1096" s="929">
        <f t="shared" si="223"/>
        <v>42796</v>
      </c>
      <c r="D1096" s="929" t="s">
        <v>2951</v>
      </c>
      <c r="E1096" s="929">
        <v>42796</v>
      </c>
      <c r="F1096" s="296" t="s">
        <v>336</v>
      </c>
      <c r="G1096" s="931"/>
      <c r="H1096" s="735" t="s">
        <v>424</v>
      </c>
      <c r="I1096" s="371">
        <v>420</v>
      </c>
      <c r="J1096" s="377">
        <v>15836.734761904761</v>
      </c>
      <c r="K1096" s="371"/>
      <c r="L1096" s="377"/>
      <c r="M1096" s="933">
        <f t="shared" si="225"/>
        <v>6651429</v>
      </c>
      <c r="N1096" s="934" t="s">
        <v>272</v>
      </c>
      <c r="O1096" s="934" t="s">
        <v>266</v>
      </c>
      <c r="P1096" s="75" t="str">
        <f>IF(AND('331-CT'!$E$7=TH!H1096,OR(N1096="331",O1096="331")),"x","")</f>
        <v/>
      </c>
      <c r="Q1096" s="75" t="str">
        <f>IF(AND(B1096='111'!$L$11,OR($N1096=$Q$7,$O1096=$Q$7)),"x","")</f>
        <v/>
      </c>
      <c r="R1096" s="75" t="str">
        <f>IF(AND($N1096=$Q$7,$B1096&lt;'111'!$L$11),"x","")</f>
        <v/>
      </c>
      <c r="S1096" s="75" t="str">
        <f>IF(AND($O1096=$Q$7,$B1096&lt;'111'!$L$11),"x","")</f>
        <v/>
      </c>
      <c r="T1096" s="75" t="str">
        <f>IF(ISERROR(FIND('112'!$M$9,G1096,1)),"",IF((AND(FIND('112'!$M$9,G1096,1)&gt;=1,B1096='112'!$K$9,OR($N1096='112'!$I$6,$O1096='112'!$I$6))),"x",""))</f>
        <v/>
      </c>
      <c r="U1096" s="75" t="str">
        <f>IF(ISERROR(FIND('112'!$M$9,G1096,1)),"",IF((AND(LEFT(G1096,2)=LEFT('112'!$M$9,2),B1096&lt;'112'!$K$9,$N1096='112'!$I$6)),"x",""))</f>
        <v/>
      </c>
      <c r="V1096" s="75" t="str">
        <f>IF(ISERROR(FIND('112'!$M$9,G1096,1)),"",IF((AND(RIGHT(G1096,2)=RIGHT('112'!$M$9,2),B1096&lt;'112'!$K$9,$O1096='112'!$I$6)),"x",""))</f>
        <v/>
      </c>
      <c r="W1096" s="75" t="str">
        <f>IF(AND('341-CT'!$H$9=H1096,OR(LEFT(N1096,3)=$W$7,LEFT(O1096,3)=$W$7)),"x","")</f>
        <v/>
      </c>
      <c r="X1096" s="75" t="str">
        <f>IF(OR(TH!N1096=TH!$X$7,O1096=TH!$X$7),"x","")</f>
        <v/>
      </c>
      <c r="Y1096" s="75" t="str">
        <f>IF(AND(OR(N1096="131",O1096="131"),H1096='131-CT'!$H$9),"x","")</f>
        <v/>
      </c>
      <c r="Z1096" s="75"/>
      <c r="AA1096" s="75" t="str">
        <f>IF(AND(MONTH(E1096)='IN-NX'!$J$5,'IN-NX'!$D$7=D1096),"x","")</f>
        <v/>
      </c>
      <c r="AB1096" s="75" t="str">
        <f>IF(AND(OR(LEFT(TH!N1096,2)="15",LEFT(TH!O1096,2)="15"),LEFT(TH!O1096,3)&lt;&gt;"111",'152-CT'!$J$8=TH!F1096),"x","")</f>
        <v/>
      </c>
      <c r="AC1096" s="75" t="str">
        <f>IF(AND(OR(LEFT(TH!N1096,2)="15",LEFT(TH!O1096,2)="15"),TK!$E$7=TH!F1096),"x","")</f>
        <v>x</v>
      </c>
      <c r="AD1096" s="75" t="str">
        <f>IF(AND(N1096="1521",MONTH(C1096)='BK-NL'!$M$11),"x","")</f>
        <v/>
      </c>
    </row>
    <row r="1097" spans="1:30" ht="16.5" customHeight="1">
      <c r="A1097" s="309" t="str">
        <f>IF(B1097&lt;&gt;"",IF(AND(B1097='IN-TC'!$S$4,OR(TH!N1097="1111",TH!O1097="1111")),TH!D1097,""),"")</f>
        <v/>
      </c>
      <c r="B1097" s="1169">
        <f t="shared" si="224"/>
        <v>3</v>
      </c>
      <c r="C1097" s="929">
        <f t="shared" si="223"/>
        <v>42796</v>
      </c>
      <c r="D1097" s="929" t="s">
        <v>2951</v>
      </c>
      <c r="E1097" s="929">
        <v>42796</v>
      </c>
      <c r="F1097" s="296" t="s">
        <v>804</v>
      </c>
      <c r="G1097" s="931"/>
      <c r="H1097" s="735" t="s">
        <v>424</v>
      </c>
      <c r="I1097" s="371">
        <v>40</v>
      </c>
      <c r="J1097" s="377">
        <v>53000</v>
      </c>
      <c r="K1097" s="371"/>
      <c r="L1097" s="377"/>
      <c r="M1097" s="933">
        <f t="shared" si="225"/>
        <v>2120000</v>
      </c>
      <c r="N1097" s="934" t="s">
        <v>272</v>
      </c>
      <c r="O1097" s="934" t="s">
        <v>266</v>
      </c>
      <c r="P1097" s="75" t="str">
        <f>IF(AND('331-CT'!$E$7=TH!H1097,OR(N1097="331",O1097="331")),"x","")</f>
        <v/>
      </c>
      <c r="Q1097" s="75" t="str">
        <f>IF(AND(B1097='111'!$L$11,OR($N1097=$Q$7,$O1097=$Q$7)),"x","")</f>
        <v/>
      </c>
      <c r="R1097" s="75" t="str">
        <f>IF(AND($N1097=$Q$7,$B1097&lt;'111'!$L$11),"x","")</f>
        <v/>
      </c>
      <c r="S1097" s="75" t="str">
        <f>IF(AND($O1097=$Q$7,$B1097&lt;'111'!$L$11),"x","")</f>
        <v/>
      </c>
      <c r="T1097" s="75" t="str">
        <f>IF(ISERROR(FIND('112'!$M$9,G1097,1)),"",IF((AND(FIND('112'!$M$9,G1097,1)&gt;=1,B1097='112'!$K$9,OR($N1097='112'!$I$6,$O1097='112'!$I$6))),"x",""))</f>
        <v/>
      </c>
      <c r="U1097" s="75" t="str">
        <f>IF(ISERROR(FIND('112'!$M$9,G1097,1)),"",IF((AND(LEFT(G1097,2)=LEFT('112'!$M$9,2),B1097&lt;'112'!$K$9,$N1097='112'!$I$6)),"x",""))</f>
        <v/>
      </c>
      <c r="V1097" s="75" t="str">
        <f>IF(ISERROR(FIND('112'!$M$9,G1097,1)),"",IF((AND(RIGHT(G1097,2)=RIGHT('112'!$M$9,2),B1097&lt;'112'!$K$9,$O1097='112'!$I$6)),"x",""))</f>
        <v/>
      </c>
      <c r="W1097" s="75" t="str">
        <f>IF(AND('341-CT'!$H$9=H1097,OR(LEFT(N1097,3)=$W$7,LEFT(O1097,3)=$W$7)),"x","")</f>
        <v/>
      </c>
      <c r="X1097" s="75" t="str">
        <f>IF(OR(TH!N1097=TH!$X$7,O1097=TH!$X$7),"x","")</f>
        <v/>
      </c>
      <c r="Y1097" s="75" t="str">
        <f>IF(AND(OR(N1097="131",O1097="131"),H1097='131-CT'!$H$9),"x","")</f>
        <v/>
      </c>
      <c r="Z1097" s="75"/>
      <c r="AA1097" s="75" t="str">
        <f>IF(AND(MONTH(E1097)='IN-NX'!$J$5,'IN-NX'!$D$7=D1097),"x","")</f>
        <v/>
      </c>
      <c r="AB1097" s="75" t="str">
        <f>IF(AND(OR(LEFT(TH!N1097,2)="15",LEFT(TH!O1097,2)="15"),LEFT(TH!O1097,3)&lt;&gt;"111",'152-CT'!$J$8=TH!F1097),"x","")</f>
        <v/>
      </c>
      <c r="AC1097" s="75" t="str">
        <f>IF(AND(OR(LEFT(TH!N1097,2)="15",LEFT(TH!O1097,2)="15"),TK!$E$7=TH!F1097),"x","")</f>
        <v/>
      </c>
      <c r="AD1097" s="75" t="str">
        <f>IF(AND(N1097="1521",MONTH(C1097)='BK-NL'!$M$11),"x","")</f>
        <v/>
      </c>
    </row>
    <row r="1098" spans="1:30" ht="16.5" customHeight="1">
      <c r="A1098" s="309" t="str">
        <f>IF(B1098&lt;&gt;"",IF(AND(B1098='IN-TC'!$S$4,OR(TH!N1098="1111",TH!O1098="1111")),TH!D1098,""),"")</f>
        <v/>
      </c>
      <c r="B1098" s="1169">
        <f t="shared" si="224"/>
        <v>3</v>
      </c>
      <c r="C1098" s="929">
        <f t="shared" si="223"/>
        <v>42796</v>
      </c>
      <c r="D1098" s="929" t="s">
        <v>2951</v>
      </c>
      <c r="E1098" s="929">
        <v>42796</v>
      </c>
      <c r="F1098" s="1082" t="s">
        <v>341</v>
      </c>
      <c r="G1098" s="931"/>
      <c r="H1098" s="735" t="s">
        <v>424</v>
      </c>
      <c r="I1098" s="371">
        <v>500</v>
      </c>
      <c r="J1098" s="377">
        <v>3000</v>
      </c>
      <c r="K1098" s="371"/>
      <c r="L1098" s="377"/>
      <c r="M1098" s="933">
        <f t="shared" si="225"/>
        <v>1500000</v>
      </c>
      <c r="N1098" s="934" t="s">
        <v>272</v>
      </c>
      <c r="O1098" s="934" t="s">
        <v>266</v>
      </c>
      <c r="P1098" s="75" t="str">
        <f>IF(AND('331-CT'!$E$7=TH!H1098,OR(N1098="331",O1098="331")),"x","")</f>
        <v/>
      </c>
      <c r="Q1098" s="75" t="str">
        <f>IF(AND(B1098='111'!$L$11,OR($N1098=$Q$7,$O1098=$Q$7)),"x","")</f>
        <v/>
      </c>
      <c r="R1098" s="75" t="str">
        <f>IF(AND($N1098=$Q$7,$B1098&lt;'111'!$L$11),"x","")</f>
        <v/>
      </c>
      <c r="S1098" s="75" t="str">
        <f>IF(AND($O1098=$Q$7,$B1098&lt;'111'!$L$11),"x","")</f>
        <v/>
      </c>
      <c r="T1098" s="75" t="str">
        <f>IF(ISERROR(FIND('112'!$M$9,G1098,1)),"",IF((AND(FIND('112'!$M$9,G1098,1)&gt;=1,B1098='112'!$K$9,OR($N1098='112'!$I$6,$O1098='112'!$I$6))),"x",""))</f>
        <v/>
      </c>
      <c r="U1098" s="75" t="str">
        <f>IF(ISERROR(FIND('112'!$M$9,G1098,1)),"",IF((AND(LEFT(G1098,2)=LEFT('112'!$M$9,2),B1098&lt;'112'!$K$9,$N1098='112'!$I$6)),"x",""))</f>
        <v/>
      </c>
      <c r="V1098" s="75" t="str">
        <f>IF(ISERROR(FIND('112'!$M$9,G1098,1)),"",IF((AND(RIGHT(G1098,2)=RIGHT('112'!$M$9,2),B1098&lt;'112'!$K$9,$O1098='112'!$I$6)),"x",""))</f>
        <v/>
      </c>
      <c r="W1098" s="75" t="str">
        <f>IF(AND('341-CT'!$H$9=H1098,OR(LEFT(N1098,3)=$W$7,LEFT(O1098,3)=$W$7)),"x","")</f>
        <v/>
      </c>
      <c r="X1098" s="75" t="str">
        <f>IF(OR(TH!N1098=TH!$X$7,O1098=TH!$X$7),"x","")</f>
        <v/>
      </c>
      <c r="Y1098" s="75" t="str">
        <f>IF(AND(OR(N1098="131",O1098="131"),H1098='131-CT'!$H$9),"x","")</f>
        <v/>
      </c>
      <c r="Z1098" s="75"/>
      <c r="AA1098" s="75" t="str">
        <f>IF(AND(MONTH(E1098)='IN-NX'!$J$5,'IN-NX'!$D$7=D1098),"x","")</f>
        <v/>
      </c>
      <c r="AB1098" s="75" t="str">
        <f>IF(AND(OR(LEFT(TH!N1098,2)="15",LEFT(TH!O1098,2)="15"),LEFT(TH!O1098,3)&lt;&gt;"111",'152-CT'!$J$8=TH!F1098),"x","")</f>
        <v/>
      </c>
      <c r="AC1098" s="75" t="str">
        <f>IF(AND(OR(LEFT(TH!N1098,2)="15",LEFT(TH!O1098,2)="15"),TK!$E$7=TH!F1098),"x","")</f>
        <v/>
      </c>
      <c r="AD1098" s="75" t="str">
        <f>IF(AND(N1098="1521",MONTH(C1098)='BK-NL'!$M$11),"x","")</f>
        <v/>
      </c>
    </row>
    <row r="1099" spans="1:30" ht="16.5" customHeight="1">
      <c r="A1099" s="309" t="str">
        <f>IF(B1099&lt;&gt;"",IF(AND(B1099='IN-TC'!$S$4,OR(TH!N1099="1111",TH!O1099="1111")),TH!D1099,""),"")</f>
        <v/>
      </c>
      <c r="B1099" s="1169">
        <f t="shared" si="224"/>
        <v>3</v>
      </c>
      <c r="C1099" s="929">
        <f t="shared" si="223"/>
        <v>42796</v>
      </c>
      <c r="D1099" s="929" t="s">
        <v>2951</v>
      </c>
      <c r="E1099" s="929">
        <v>42796</v>
      </c>
      <c r="F1099" s="1082" t="s">
        <v>1257</v>
      </c>
      <c r="G1099" s="931"/>
      <c r="H1099" s="735" t="s">
        <v>424</v>
      </c>
      <c r="I1099" s="371">
        <v>1440</v>
      </c>
      <c r="J1099" s="377">
        <v>14728</v>
      </c>
      <c r="K1099" s="371"/>
      <c r="L1099" s="377"/>
      <c r="M1099" s="933">
        <f t="shared" si="225"/>
        <v>21208320</v>
      </c>
      <c r="N1099" s="934" t="s">
        <v>272</v>
      </c>
      <c r="O1099" s="934" t="s">
        <v>266</v>
      </c>
      <c r="P1099" s="75" t="str">
        <f>IF(AND('331-CT'!$E$7=TH!H1099,OR(N1099="331",O1099="331")),"x","")</f>
        <v/>
      </c>
      <c r="Q1099" s="75" t="str">
        <f>IF(AND(B1099='111'!$L$11,OR($N1099=$Q$7,$O1099=$Q$7)),"x","")</f>
        <v/>
      </c>
      <c r="R1099" s="75" t="str">
        <f>IF(AND($N1099=$Q$7,$B1099&lt;'111'!$L$11),"x","")</f>
        <v/>
      </c>
      <c r="S1099" s="75" t="str">
        <f>IF(AND($O1099=$Q$7,$B1099&lt;'111'!$L$11),"x","")</f>
        <v/>
      </c>
      <c r="T1099" s="75" t="str">
        <f>IF(ISERROR(FIND('112'!$M$9,G1099,1)),"",IF((AND(FIND('112'!$M$9,G1099,1)&gt;=1,B1099='112'!$K$9,OR($N1099='112'!$I$6,$O1099='112'!$I$6))),"x",""))</f>
        <v/>
      </c>
      <c r="U1099" s="75" t="str">
        <f>IF(ISERROR(FIND('112'!$M$9,G1099,1)),"",IF((AND(LEFT(G1099,2)=LEFT('112'!$M$9,2),B1099&lt;'112'!$K$9,$N1099='112'!$I$6)),"x",""))</f>
        <v/>
      </c>
      <c r="V1099" s="75" t="str">
        <f>IF(ISERROR(FIND('112'!$M$9,G1099,1)),"",IF((AND(RIGHT(G1099,2)=RIGHT('112'!$M$9,2),B1099&lt;'112'!$K$9,$O1099='112'!$I$6)),"x",""))</f>
        <v/>
      </c>
      <c r="W1099" s="75" t="str">
        <f>IF(AND('341-CT'!$H$9=H1099,OR(LEFT(N1099,3)=$W$7,LEFT(O1099,3)=$W$7)),"x","")</f>
        <v/>
      </c>
      <c r="X1099" s="75" t="str">
        <f>IF(OR(TH!N1099=TH!$X$7,O1099=TH!$X$7),"x","")</f>
        <v/>
      </c>
      <c r="Y1099" s="75" t="str">
        <f>IF(AND(OR(N1099="131",O1099="131"),H1099='131-CT'!$H$9),"x","")</f>
        <v/>
      </c>
      <c r="Z1099" s="75"/>
      <c r="AA1099" s="75" t="str">
        <f>IF(AND(MONTH(E1099)='IN-NX'!$J$5,'IN-NX'!$D$7=D1099),"x","")</f>
        <v/>
      </c>
      <c r="AB1099" s="75" t="str">
        <f>IF(AND(OR(LEFT(TH!N1099,2)="15",LEFT(TH!O1099,2)="15"),LEFT(TH!O1099,3)&lt;&gt;"111",'152-CT'!$J$8=TH!F1099),"x","")</f>
        <v/>
      </c>
      <c r="AC1099" s="75" t="str">
        <f>IF(AND(OR(LEFT(TH!N1099,2)="15",LEFT(TH!O1099,2)="15"),TK!$E$7=TH!F1099),"x","")</f>
        <v/>
      </c>
      <c r="AD1099" s="75" t="str">
        <f>IF(AND(N1099="1521",MONTH(C1099)='BK-NL'!$M$11),"x","")</f>
        <v/>
      </c>
    </row>
    <row r="1100" spans="1:30" ht="16.5" customHeight="1">
      <c r="A1100" s="309" t="str">
        <f>IF(B1100&lt;&gt;"",IF(AND(B1100='IN-TC'!$S$4,OR(TH!N1100="1111",TH!O1100="1111")),TH!D1100,""),"")</f>
        <v/>
      </c>
      <c r="B1100" s="1169">
        <f t="shared" si="224"/>
        <v>3</v>
      </c>
      <c r="C1100" s="929">
        <f t="shared" si="223"/>
        <v>42796</v>
      </c>
      <c r="D1100" s="929" t="s">
        <v>2951</v>
      </c>
      <c r="E1100" s="929">
        <v>42796</v>
      </c>
      <c r="F1100" s="1082" t="s">
        <v>346</v>
      </c>
      <c r="G1100" s="931"/>
      <c r="H1100" s="735" t="s">
        <v>424</v>
      </c>
      <c r="I1100" s="371">
        <v>200</v>
      </c>
      <c r="J1100" s="377">
        <v>8700</v>
      </c>
      <c r="K1100" s="371"/>
      <c r="L1100" s="377"/>
      <c r="M1100" s="933">
        <f t="shared" si="225"/>
        <v>1740000</v>
      </c>
      <c r="N1100" s="934" t="s">
        <v>272</v>
      </c>
      <c r="O1100" s="934" t="s">
        <v>266</v>
      </c>
      <c r="P1100" s="75" t="str">
        <f>IF(AND('331-CT'!$E$7=TH!H1100,OR(N1100="331",O1100="331")),"x","")</f>
        <v/>
      </c>
      <c r="Q1100" s="75" t="str">
        <f>IF(AND(B1100='111'!$L$11,OR($N1100=$Q$7,$O1100=$Q$7)),"x","")</f>
        <v/>
      </c>
      <c r="R1100" s="75" t="str">
        <f>IF(AND($N1100=$Q$7,$B1100&lt;'111'!$L$11),"x","")</f>
        <v/>
      </c>
      <c r="S1100" s="75" t="str">
        <f>IF(AND($O1100=$Q$7,$B1100&lt;'111'!$L$11),"x","")</f>
        <v/>
      </c>
      <c r="T1100" s="75" t="str">
        <f>IF(ISERROR(FIND('112'!$M$9,G1100,1)),"",IF((AND(FIND('112'!$M$9,G1100,1)&gt;=1,B1100='112'!$K$9,OR($N1100='112'!$I$6,$O1100='112'!$I$6))),"x",""))</f>
        <v/>
      </c>
      <c r="U1100" s="75" t="str">
        <f>IF(ISERROR(FIND('112'!$M$9,G1100,1)),"",IF((AND(LEFT(G1100,2)=LEFT('112'!$M$9,2),B1100&lt;'112'!$K$9,$N1100='112'!$I$6)),"x",""))</f>
        <v/>
      </c>
      <c r="V1100" s="75" t="str">
        <f>IF(ISERROR(FIND('112'!$M$9,G1100,1)),"",IF((AND(RIGHT(G1100,2)=RIGHT('112'!$M$9,2),B1100&lt;'112'!$K$9,$O1100='112'!$I$6)),"x",""))</f>
        <v/>
      </c>
      <c r="W1100" s="75" t="str">
        <f>IF(AND('341-CT'!$H$9=H1100,OR(LEFT(N1100,3)=$W$7,LEFT(O1100,3)=$W$7)),"x","")</f>
        <v/>
      </c>
      <c r="X1100" s="75" t="str">
        <f>IF(OR(TH!N1100=TH!$X$7,O1100=TH!$X$7),"x","")</f>
        <v/>
      </c>
      <c r="Y1100" s="75" t="str">
        <f>IF(AND(OR(N1100="131",O1100="131"),H1100='131-CT'!$H$9),"x","")</f>
        <v/>
      </c>
      <c r="Z1100" s="75"/>
      <c r="AA1100" s="75" t="str">
        <f>IF(AND(MONTH(E1100)='IN-NX'!$J$5,'IN-NX'!$D$7=D1100),"x","")</f>
        <v/>
      </c>
      <c r="AB1100" s="75" t="str">
        <f>IF(AND(OR(LEFT(TH!N1100,2)="15",LEFT(TH!O1100,2)="15"),LEFT(TH!O1100,3)&lt;&gt;"111",'152-CT'!$J$8=TH!F1100),"x","")</f>
        <v/>
      </c>
      <c r="AC1100" s="75" t="str">
        <f>IF(AND(OR(LEFT(TH!N1100,2)="15",LEFT(TH!O1100,2)="15"),TK!$E$7=TH!F1100),"x","")</f>
        <v/>
      </c>
      <c r="AD1100" s="75" t="str">
        <f>IF(AND(N1100="1521",MONTH(C1100)='BK-NL'!$M$11),"x","")</f>
        <v/>
      </c>
    </row>
    <row r="1101" spans="1:30" ht="16.5" customHeight="1">
      <c r="A1101" s="309" t="str">
        <f>IF(B1101&lt;&gt;"",IF(AND(B1101='IN-TC'!$S$4,OR(TH!N1101="1111",TH!O1101="1111")),TH!D1101,""),"")</f>
        <v/>
      </c>
      <c r="B1101" s="1169">
        <f>IF(C1101&lt;&gt;"",MONTH(C1101),"")</f>
        <v>3</v>
      </c>
      <c r="C1101" s="929">
        <f>E1101</f>
        <v>42809</v>
      </c>
      <c r="D1101" s="929" t="s">
        <v>2951</v>
      </c>
      <c r="E1101" s="929">
        <v>42809</v>
      </c>
      <c r="F1101" s="1082" t="s">
        <v>795</v>
      </c>
      <c r="G1101" s="931"/>
      <c r="H1101" s="735" t="s">
        <v>424</v>
      </c>
      <c r="I1101" s="371">
        <v>16560</v>
      </c>
      <c r="J1101" s="377">
        <v>8500</v>
      </c>
      <c r="K1101" s="371"/>
      <c r="L1101" s="377"/>
      <c r="M1101" s="933">
        <f>ROUND(I1101*J1101,0)</f>
        <v>140760000</v>
      </c>
      <c r="N1101" s="934" t="s">
        <v>272</v>
      </c>
      <c r="O1101" s="934" t="s">
        <v>266</v>
      </c>
      <c r="P1101" s="75" t="str">
        <f>IF(AND('331-CT'!$E$7=TH!H1101,OR(N1101="331",O1101="331")),"x","")</f>
        <v/>
      </c>
      <c r="Q1101" s="75" t="str">
        <f>IF(AND(B1101='111'!$L$11,OR($N1101=$Q$7,$O1101=$Q$7)),"x","")</f>
        <v/>
      </c>
      <c r="R1101" s="75" t="str">
        <f>IF(AND($N1101=$Q$7,$B1101&lt;'111'!$L$11),"x","")</f>
        <v/>
      </c>
      <c r="S1101" s="75" t="str">
        <f>IF(AND($O1101=$Q$7,$B1101&lt;'111'!$L$11),"x","")</f>
        <v/>
      </c>
      <c r="T1101" s="75" t="str">
        <f>IF(ISERROR(FIND('112'!$M$9,G1101,1)),"",IF((AND(FIND('112'!$M$9,G1101,1)&gt;=1,B1101='112'!$K$9,OR($N1101='112'!$I$6,$O1101='112'!$I$6))),"x",""))</f>
        <v/>
      </c>
      <c r="U1101" s="75" t="str">
        <f>IF(ISERROR(FIND('112'!$M$9,G1101,1)),"",IF((AND(LEFT(G1101,2)=LEFT('112'!$M$9,2),B1101&lt;'112'!$K$9,$N1101='112'!$I$6)),"x",""))</f>
        <v/>
      </c>
      <c r="V1101" s="75" t="str">
        <f>IF(ISERROR(FIND('112'!$M$9,G1101,1)),"",IF((AND(RIGHT(G1101,2)=RIGHT('112'!$M$9,2),B1101&lt;'112'!$K$9,$O1101='112'!$I$6)),"x",""))</f>
        <v/>
      </c>
      <c r="W1101" s="75" t="str">
        <f>IF(AND('341-CT'!$H$9=H1101,OR(LEFT(N1101,3)=$W$7,LEFT(O1101,3)=$W$7)),"x","")</f>
        <v/>
      </c>
      <c r="X1101" s="75" t="str">
        <f>IF(OR(TH!N1101=TH!$X$7,O1101=TH!$X$7),"x","")</f>
        <v/>
      </c>
      <c r="Y1101" s="75" t="str">
        <f>IF(AND(OR(N1101="131",O1101="131"),H1101='131-CT'!$H$9),"x","")</f>
        <v/>
      </c>
      <c r="Z1101" s="75"/>
      <c r="AA1101" s="75" t="str">
        <f>IF(AND(MONTH(E1101)='IN-NX'!$J$5,'IN-NX'!$D$7=D1101),"x","")</f>
        <v/>
      </c>
      <c r="AB1101" s="75" t="str">
        <f>IF(AND(OR(LEFT(TH!N1101,2)="15",LEFT(TH!O1101,2)="15"),LEFT(TH!O1101,3)&lt;&gt;"111",'152-CT'!$J$8=TH!F1101),"x","")</f>
        <v/>
      </c>
      <c r="AC1101" s="75" t="str">
        <f>IF(AND(OR(LEFT(TH!N1101,2)="15",LEFT(TH!O1101,2)="15"),TK!$E$7=TH!F1101),"x","")</f>
        <v/>
      </c>
      <c r="AD1101" s="75" t="str">
        <f>IF(AND(N1101="1521",MONTH(C1101)='BK-NL'!$M$11),"x","")</f>
        <v/>
      </c>
    </row>
    <row r="1102" spans="1:30" ht="16.5" customHeight="1">
      <c r="A1102" s="309" t="str">
        <f>IF(B1102&lt;&gt;"",IF(AND(B1102='IN-TC'!$S$4,OR(TH!N1102="1111",TH!O1102="1111")),TH!D1102,""),"")</f>
        <v/>
      </c>
      <c r="B1102" s="1169">
        <f>IF(C1102&lt;&gt;"",MONTH(C1102),"")</f>
        <v>3</v>
      </c>
      <c r="C1102" s="929">
        <f>E1102</f>
        <v>42809</v>
      </c>
      <c r="D1102" s="929" t="s">
        <v>2951</v>
      </c>
      <c r="E1102" s="929">
        <v>42809</v>
      </c>
      <c r="F1102" s="296" t="s">
        <v>373</v>
      </c>
      <c r="G1102" s="931"/>
      <c r="H1102" s="735" t="s">
        <v>424</v>
      </c>
      <c r="I1102" s="371">
        <v>630</v>
      </c>
      <c r="J1102" s="377">
        <v>9500</v>
      </c>
      <c r="K1102" s="371"/>
      <c r="L1102" s="377"/>
      <c r="M1102" s="933">
        <f>ROUND(I1102*J1102,0)</f>
        <v>5985000</v>
      </c>
      <c r="N1102" s="934" t="s">
        <v>272</v>
      </c>
      <c r="O1102" s="934" t="s">
        <v>266</v>
      </c>
      <c r="P1102" s="75" t="str">
        <f>IF(AND('331-CT'!$E$7=TH!H1102,OR(N1102="331",O1102="331")),"x","")</f>
        <v/>
      </c>
      <c r="Q1102" s="75" t="str">
        <f>IF(AND(B1102='111'!$L$11,OR($N1102=$Q$7,$O1102=$Q$7)),"x","")</f>
        <v/>
      </c>
      <c r="R1102" s="75" t="str">
        <f>IF(AND($N1102=$Q$7,$B1102&lt;'111'!$L$11),"x","")</f>
        <v/>
      </c>
      <c r="S1102" s="75" t="str">
        <f>IF(AND($O1102=$Q$7,$B1102&lt;'111'!$L$11),"x","")</f>
        <v/>
      </c>
      <c r="T1102" s="75" t="str">
        <f>IF(ISERROR(FIND('112'!$M$9,G1102,1)),"",IF((AND(FIND('112'!$M$9,G1102,1)&gt;=1,B1102='112'!$K$9,OR($N1102='112'!$I$6,$O1102='112'!$I$6))),"x",""))</f>
        <v/>
      </c>
      <c r="U1102" s="75" t="str">
        <f>IF(ISERROR(FIND('112'!$M$9,G1102,1)),"",IF((AND(LEFT(G1102,2)=LEFT('112'!$M$9,2),B1102&lt;'112'!$K$9,$N1102='112'!$I$6)),"x",""))</f>
        <v/>
      </c>
      <c r="V1102" s="75" t="str">
        <f>IF(ISERROR(FIND('112'!$M$9,G1102,1)),"",IF((AND(RIGHT(G1102,2)=RIGHT('112'!$M$9,2),B1102&lt;'112'!$K$9,$O1102='112'!$I$6)),"x",""))</f>
        <v/>
      </c>
      <c r="W1102" s="75" t="str">
        <f>IF(AND('341-CT'!$H$9=H1102,OR(LEFT(N1102,3)=$W$7,LEFT(O1102,3)=$W$7)),"x","")</f>
        <v/>
      </c>
      <c r="X1102" s="75" t="str">
        <f>IF(OR(TH!N1102=TH!$X$7,O1102=TH!$X$7),"x","")</f>
        <v/>
      </c>
      <c r="Y1102" s="75" t="str">
        <f>IF(AND(OR(N1102="131",O1102="131"),H1102='131-CT'!$H$9),"x","")</f>
        <v/>
      </c>
      <c r="Z1102" s="75"/>
      <c r="AA1102" s="75" t="str">
        <f>IF(AND(MONTH(E1102)='IN-NX'!$J$5,'IN-NX'!$D$7=D1102),"x","")</f>
        <v/>
      </c>
      <c r="AB1102" s="75" t="str">
        <f>IF(AND(OR(LEFT(TH!N1102,2)="15",LEFT(TH!O1102,2)="15"),LEFT(TH!O1102,3)&lt;&gt;"111",'152-CT'!$J$8=TH!F1102),"x","")</f>
        <v/>
      </c>
      <c r="AC1102" s="75" t="str">
        <f>IF(AND(OR(LEFT(TH!N1102,2)="15",LEFT(TH!O1102,2)="15"),TK!$E$7=TH!F1102),"x","")</f>
        <v/>
      </c>
      <c r="AD1102" s="75" t="str">
        <f>IF(AND(N1102="1521",MONTH(C1102)='BK-NL'!$M$11),"x","")</f>
        <v/>
      </c>
    </row>
    <row r="1103" spans="1:30" ht="16.5" customHeight="1">
      <c r="A1103" s="309" t="str">
        <f>IF(B1103&lt;&gt;"",IF(AND(B1103='IN-TC'!$S$4,OR(TH!N1103="1111",TH!O1103="1111")),TH!D1103,""),"")</f>
        <v/>
      </c>
      <c r="B1103" s="1169">
        <f>IF(C1103&lt;&gt;"",MONTH(C1103),"")</f>
        <v>3</v>
      </c>
      <c r="C1103" s="929">
        <f>E1103</f>
        <v>42809</v>
      </c>
      <c r="D1103" s="929" t="s">
        <v>2951</v>
      </c>
      <c r="E1103" s="929">
        <v>42809</v>
      </c>
      <c r="F1103" s="296" t="s">
        <v>780</v>
      </c>
      <c r="G1103" s="931"/>
      <c r="H1103" s="735" t="s">
        <v>424</v>
      </c>
      <c r="I1103" s="371">
        <v>200</v>
      </c>
      <c r="J1103" s="377">
        <v>10300</v>
      </c>
      <c r="K1103" s="371"/>
      <c r="L1103" s="377"/>
      <c r="M1103" s="933">
        <f>ROUND(I1103*J1103,0)</f>
        <v>2060000</v>
      </c>
      <c r="N1103" s="934" t="s">
        <v>272</v>
      </c>
      <c r="O1103" s="934" t="s">
        <v>266</v>
      </c>
      <c r="P1103" s="75" t="str">
        <f>IF(AND('331-CT'!$E$7=TH!H1103,OR(N1103="331",O1103="331")),"x","")</f>
        <v/>
      </c>
      <c r="Q1103" s="75" t="str">
        <f>IF(AND(B1103='111'!$L$11,OR($N1103=$Q$7,$O1103=$Q$7)),"x","")</f>
        <v/>
      </c>
      <c r="R1103" s="75" t="str">
        <f>IF(AND($N1103=$Q$7,$B1103&lt;'111'!$L$11),"x","")</f>
        <v/>
      </c>
      <c r="S1103" s="75" t="str">
        <f>IF(AND($O1103=$Q$7,$B1103&lt;'111'!$L$11),"x","")</f>
        <v/>
      </c>
      <c r="T1103" s="75" t="str">
        <f>IF(ISERROR(FIND('112'!$M$9,G1103,1)),"",IF((AND(FIND('112'!$M$9,G1103,1)&gt;=1,B1103='112'!$K$9,OR($N1103='112'!$I$6,$O1103='112'!$I$6))),"x",""))</f>
        <v/>
      </c>
      <c r="U1103" s="75" t="str">
        <f>IF(ISERROR(FIND('112'!$M$9,G1103,1)),"",IF((AND(LEFT(G1103,2)=LEFT('112'!$M$9,2),B1103&lt;'112'!$K$9,$N1103='112'!$I$6)),"x",""))</f>
        <v/>
      </c>
      <c r="V1103" s="75" t="str">
        <f>IF(ISERROR(FIND('112'!$M$9,G1103,1)),"",IF((AND(RIGHT(G1103,2)=RIGHT('112'!$M$9,2),B1103&lt;'112'!$K$9,$O1103='112'!$I$6)),"x",""))</f>
        <v/>
      </c>
      <c r="W1103" s="75" t="str">
        <f>IF(AND('341-CT'!$H$9=H1103,OR(LEFT(N1103,3)=$W$7,LEFT(O1103,3)=$W$7)),"x","")</f>
        <v/>
      </c>
      <c r="X1103" s="75" t="str">
        <f>IF(OR(TH!N1103=TH!$X$7,O1103=TH!$X$7),"x","")</f>
        <v/>
      </c>
      <c r="Y1103" s="75" t="str">
        <f>IF(AND(OR(N1103="131",O1103="131"),H1103='131-CT'!$H$9),"x","")</f>
        <v/>
      </c>
      <c r="Z1103" s="75"/>
      <c r="AA1103" s="75" t="str">
        <f>IF(AND(MONTH(E1103)='IN-NX'!$J$5,'IN-NX'!$D$7=D1103),"x","")</f>
        <v/>
      </c>
      <c r="AB1103" s="75" t="str">
        <f>IF(AND(OR(LEFT(TH!N1103,2)="15",LEFT(TH!O1103,2)="15"),LEFT(TH!O1103,3)&lt;&gt;"111",'152-CT'!$J$8=TH!F1103),"x","")</f>
        <v/>
      </c>
      <c r="AC1103" s="75" t="str">
        <f>IF(AND(OR(LEFT(TH!N1103,2)="15",LEFT(TH!O1103,2)="15"),TK!$E$7=TH!F1103),"x","")</f>
        <v/>
      </c>
      <c r="AD1103" s="75" t="str">
        <f>IF(AND(N1103="1521",MONTH(C1103)='BK-NL'!$M$11),"x","")</f>
        <v/>
      </c>
    </row>
    <row r="1104" spans="1:30" ht="16.5" customHeight="1">
      <c r="A1104" s="309" t="str">
        <f>IF(B1104&lt;&gt;"",IF(AND(B1104='IN-TC'!$S$4,OR(TH!N1104="1111",TH!O1104="1111")),TH!D1104,""),"")</f>
        <v/>
      </c>
      <c r="B1104" s="1169">
        <f t="shared" ref="B1104:B1141" si="226">IF(C1104&lt;&gt;"",MONTH(C1104),"")</f>
        <v>3</v>
      </c>
      <c r="C1104" s="292">
        <f t="shared" ref="C1104:C1141" si="227">E1104</f>
        <v>42795</v>
      </c>
      <c r="D1104" s="292" t="s">
        <v>2957</v>
      </c>
      <c r="E1104" s="292">
        <v>42795</v>
      </c>
      <c r="F1104" s="429" t="s">
        <v>771</v>
      </c>
      <c r="G1104" s="925"/>
      <c r="H1104" s="429" t="s">
        <v>1882</v>
      </c>
      <c r="I1104" s="373">
        <v>22450</v>
      </c>
      <c r="J1104" s="379">
        <v>18500</v>
      </c>
      <c r="K1104" s="373"/>
      <c r="L1104" s="379"/>
      <c r="M1104" s="927">
        <f t="shared" ref="M1104:M1141" si="228">ROUND(I1104*J1104,0)</f>
        <v>415325000</v>
      </c>
      <c r="N1104" s="295" t="s">
        <v>264</v>
      </c>
      <c r="O1104" s="295" t="s">
        <v>8</v>
      </c>
      <c r="P1104" s="75" t="str">
        <f>IF(AND('331-CT'!$E$7=TH!H1104,OR(N1104="331",O1104="331")),"x","")</f>
        <v/>
      </c>
      <c r="Q1104" s="75" t="str">
        <f>IF(AND(B1104='111'!$L$11,OR($N1104=$Q$7,$O1104=$Q$7)),"x","")</f>
        <v/>
      </c>
      <c r="R1104" s="75" t="str">
        <f>IF(AND($N1104=$Q$7,$B1104&lt;'111'!$L$11),"x","")</f>
        <v/>
      </c>
      <c r="S1104" s="75" t="str">
        <f>IF(AND($O1104=$Q$7,$B1104&lt;'111'!$L$11),"x","")</f>
        <v/>
      </c>
      <c r="T1104" s="75" t="str">
        <f>IF(ISERROR(FIND('112'!$M$9,G1104,1)),"",IF((AND(FIND('112'!$M$9,G1104,1)&gt;=1,B1104='112'!$K$9,OR($N1104='112'!$I$6,$O1104='112'!$I$6))),"x",""))</f>
        <v/>
      </c>
      <c r="U1104" s="75" t="str">
        <f>IF(ISERROR(FIND('112'!$M$9,G1104,1)),"",IF((AND(LEFT(G1104,2)=LEFT('112'!$M$9,2),B1104&lt;'112'!$K$9,$N1104='112'!$I$6)),"x",""))</f>
        <v/>
      </c>
      <c r="V1104" s="75" t="str">
        <f>IF(ISERROR(FIND('112'!$M$9,G1104,1)),"",IF((AND(RIGHT(G1104,2)=RIGHT('112'!$M$9,2),B1104&lt;'112'!$K$9,$O1104='112'!$I$6)),"x",""))</f>
        <v/>
      </c>
      <c r="W1104" s="75" t="str">
        <f>IF(AND('341-CT'!$H$9=H1104,OR(LEFT(N1104,3)=$W$7,LEFT(O1104,3)=$W$7)),"x","")</f>
        <v/>
      </c>
      <c r="X1104" s="75" t="str">
        <f>IF(OR(TH!N1104=TH!$X$7,O1104=TH!$X$7),"x","")</f>
        <v/>
      </c>
      <c r="Y1104" s="75" t="str">
        <f>IF(AND(OR(N1104="131",O1104="131"),H1104='131-CT'!$H$9),"x","")</f>
        <v/>
      </c>
      <c r="Z1104" s="75"/>
      <c r="AA1104" s="75" t="str">
        <f>IF(AND(MONTH(E1104)='IN-NX'!$J$5,'IN-NX'!$D$7=D1104),"x","")</f>
        <v/>
      </c>
      <c r="AB1104" s="75" t="str">
        <f>IF(AND(OR(LEFT(TH!N1104,2)="15",LEFT(TH!O1104,2)="15"),LEFT(TH!O1104,3)&lt;&gt;"111",'152-CT'!$J$8=TH!F1104),"x","")</f>
        <v/>
      </c>
      <c r="AC1104" s="75" t="str">
        <f>IF(AND(OR(LEFT(TH!N1104,2)="15",LEFT(TH!O1104,2)="15"),TK!$E$7=TH!F1104),"x","")</f>
        <v/>
      </c>
      <c r="AD1104" s="75" t="str">
        <f>IF(AND(N1104="1521",MONTH(C1104)='BK-NL'!$M$11),"x","")</f>
        <v/>
      </c>
    </row>
    <row r="1105" spans="1:30" ht="16.5" customHeight="1">
      <c r="A1105" s="309" t="str">
        <f>IF(B1105&lt;&gt;"",IF(AND(B1105='IN-TC'!$S$4,OR(TH!N1105="1111",TH!O1105="1111")),TH!D1105,""),"")</f>
        <v/>
      </c>
      <c r="B1105" s="1169">
        <f t="shared" si="226"/>
        <v>3</v>
      </c>
      <c r="C1105" s="292">
        <f t="shared" si="227"/>
        <v>42795</v>
      </c>
      <c r="D1105" s="292" t="s">
        <v>2958</v>
      </c>
      <c r="E1105" s="292">
        <v>42795</v>
      </c>
      <c r="F1105" s="429" t="s">
        <v>771</v>
      </c>
      <c r="G1105" s="925"/>
      <c r="H1105" s="429" t="s">
        <v>1890</v>
      </c>
      <c r="I1105" s="373">
        <v>22860</v>
      </c>
      <c r="J1105" s="379">
        <v>18500</v>
      </c>
      <c r="K1105" s="373"/>
      <c r="L1105" s="379"/>
      <c r="M1105" s="927">
        <f t="shared" si="228"/>
        <v>422910000</v>
      </c>
      <c r="N1105" s="295" t="s">
        <v>264</v>
      </c>
      <c r="O1105" s="295" t="s">
        <v>8</v>
      </c>
      <c r="P1105" s="75" t="str">
        <f>IF(AND('331-CT'!$E$7=TH!H1105,OR(N1105="331",O1105="331")),"x","")</f>
        <v/>
      </c>
      <c r="Q1105" s="75" t="str">
        <f>IF(AND(B1105='111'!$L$11,OR($N1105=$Q$7,$O1105=$Q$7)),"x","")</f>
        <v/>
      </c>
      <c r="R1105" s="75" t="str">
        <f>IF(AND($N1105=$Q$7,$B1105&lt;'111'!$L$11),"x","")</f>
        <v/>
      </c>
      <c r="S1105" s="75" t="str">
        <f>IF(AND($O1105=$Q$7,$B1105&lt;'111'!$L$11),"x","")</f>
        <v/>
      </c>
      <c r="T1105" s="75" t="str">
        <f>IF(ISERROR(FIND('112'!$M$9,G1105,1)),"",IF((AND(FIND('112'!$M$9,G1105,1)&gt;=1,B1105='112'!$K$9,OR($N1105='112'!$I$6,$O1105='112'!$I$6))),"x",""))</f>
        <v/>
      </c>
      <c r="U1105" s="75" t="str">
        <f>IF(ISERROR(FIND('112'!$M$9,G1105,1)),"",IF((AND(LEFT(G1105,2)=LEFT('112'!$M$9,2),B1105&lt;'112'!$K$9,$N1105='112'!$I$6)),"x",""))</f>
        <v/>
      </c>
      <c r="V1105" s="75" t="str">
        <f>IF(ISERROR(FIND('112'!$M$9,G1105,1)),"",IF((AND(RIGHT(G1105,2)=RIGHT('112'!$M$9,2),B1105&lt;'112'!$K$9,$O1105='112'!$I$6)),"x",""))</f>
        <v/>
      </c>
      <c r="W1105" s="75" t="str">
        <f>IF(AND('341-CT'!$H$9=H1105,OR(LEFT(N1105,3)=$W$7,LEFT(O1105,3)=$W$7)),"x","")</f>
        <v/>
      </c>
      <c r="X1105" s="75" t="str">
        <f>IF(OR(TH!N1105=TH!$X$7,O1105=TH!$X$7),"x","")</f>
        <v/>
      </c>
      <c r="Y1105" s="75" t="str">
        <f>IF(AND(OR(N1105="131",O1105="131"),H1105='131-CT'!$H$9),"x","")</f>
        <v/>
      </c>
      <c r="Z1105" s="75"/>
      <c r="AA1105" s="75" t="str">
        <f>IF(AND(MONTH(E1105)='IN-NX'!$J$5,'IN-NX'!$D$7=D1105),"x","")</f>
        <v/>
      </c>
      <c r="AB1105" s="75" t="str">
        <f>IF(AND(OR(LEFT(TH!N1105,2)="15",LEFT(TH!O1105,2)="15"),LEFT(TH!O1105,3)&lt;&gt;"111",'152-CT'!$J$8=TH!F1105),"x","")</f>
        <v/>
      </c>
      <c r="AC1105" s="75" t="str">
        <f>IF(AND(OR(LEFT(TH!N1105,2)="15",LEFT(TH!O1105,2)="15"),TK!$E$7=TH!F1105),"x","")</f>
        <v/>
      </c>
      <c r="AD1105" s="75" t="str">
        <f>IF(AND(N1105="1521",MONTH(C1105)='BK-NL'!$M$11),"x","")</f>
        <v/>
      </c>
    </row>
    <row r="1106" spans="1:30" ht="16.5" customHeight="1">
      <c r="A1106" s="309" t="str">
        <f>IF(B1106&lt;&gt;"",IF(AND(B1106='IN-TC'!$S$4,OR(TH!N1106="1111",TH!O1106="1111")),TH!D1106,""),"")</f>
        <v/>
      </c>
      <c r="B1106" s="1169">
        <f t="shared" si="226"/>
        <v>3</v>
      </c>
      <c r="C1106" s="292">
        <f t="shared" si="227"/>
        <v>42795</v>
      </c>
      <c r="D1106" s="292" t="s">
        <v>2959</v>
      </c>
      <c r="E1106" s="292">
        <v>42795</v>
      </c>
      <c r="F1106" s="429" t="s">
        <v>771</v>
      </c>
      <c r="G1106" s="925"/>
      <c r="H1106" s="429" t="s">
        <v>1884</v>
      </c>
      <c r="I1106" s="373">
        <v>25780</v>
      </c>
      <c r="J1106" s="379">
        <v>18500</v>
      </c>
      <c r="K1106" s="373"/>
      <c r="L1106" s="379"/>
      <c r="M1106" s="927">
        <f t="shared" si="228"/>
        <v>476930000</v>
      </c>
      <c r="N1106" s="295" t="s">
        <v>264</v>
      </c>
      <c r="O1106" s="295" t="s">
        <v>8</v>
      </c>
      <c r="P1106" s="75" t="str">
        <f>IF(AND('331-CT'!$E$7=TH!H1106,OR(N1106="331",O1106="331")),"x","")</f>
        <v/>
      </c>
      <c r="Q1106" s="75" t="str">
        <f>IF(AND(B1106='111'!$L$11,OR($N1106=$Q$7,$O1106=$Q$7)),"x","")</f>
        <v/>
      </c>
      <c r="R1106" s="75" t="str">
        <f>IF(AND($N1106=$Q$7,$B1106&lt;'111'!$L$11),"x","")</f>
        <v/>
      </c>
      <c r="S1106" s="75" t="str">
        <f>IF(AND($O1106=$Q$7,$B1106&lt;'111'!$L$11),"x","")</f>
        <v/>
      </c>
      <c r="T1106" s="75" t="str">
        <f>IF(ISERROR(FIND('112'!$M$9,G1106,1)),"",IF((AND(FIND('112'!$M$9,G1106,1)&gt;=1,B1106='112'!$K$9,OR($N1106='112'!$I$6,$O1106='112'!$I$6))),"x",""))</f>
        <v/>
      </c>
      <c r="U1106" s="75" t="str">
        <f>IF(ISERROR(FIND('112'!$M$9,G1106,1)),"",IF((AND(LEFT(G1106,2)=LEFT('112'!$M$9,2),B1106&lt;'112'!$K$9,$N1106='112'!$I$6)),"x",""))</f>
        <v/>
      </c>
      <c r="V1106" s="75" t="str">
        <f>IF(ISERROR(FIND('112'!$M$9,G1106,1)),"",IF((AND(RIGHT(G1106,2)=RIGHT('112'!$M$9,2),B1106&lt;'112'!$K$9,$O1106='112'!$I$6)),"x",""))</f>
        <v/>
      </c>
      <c r="W1106" s="75" t="str">
        <f>IF(AND('341-CT'!$H$9=H1106,OR(LEFT(N1106,3)=$W$7,LEFT(O1106,3)=$W$7)),"x","")</f>
        <v/>
      </c>
      <c r="X1106" s="75" t="str">
        <f>IF(OR(TH!N1106=TH!$X$7,O1106=TH!$X$7),"x","")</f>
        <v/>
      </c>
      <c r="Y1106" s="75" t="str">
        <f>IF(AND(OR(N1106="131",O1106="131"),H1106='131-CT'!$H$9),"x","")</f>
        <v/>
      </c>
      <c r="Z1106" s="75"/>
      <c r="AA1106" s="75" t="str">
        <f>IF(AND(MONTH(E1106)='IN-NX'!$J$5,'IN-NX'!$D$7=D1106),"x","")</f>
        <v/>
      </c>
      <c r="AB1106" s="75" t="str">
        <f>IF(AND(OR(LEFT(TH!N1106,2)="15",LEFT(TH!O1106,2)="15"),LEFT(TH!O1106,3)&lt;&gt;"111",'152-CT'!$J$8=TH!F1106),"x","")</f>
        <v/>
      </c>
      <c r="AC1106" s="75" t="str">
        <f>IF(AND(OR(LEFT(TH!N1106,2)="15",LEFT(TH!O1106,2)="15"),TK!$E$7=TH!F1106),"x","")</f>
        <v/>
      </c>
      <c r="AD1106" s="75" t="str">
        <f>IF(AND(N1106="1521",MONTH(C1106)='BK-NL'!$M$11),"x","")</f>
        <v/>
      </c>
    </row>
    <row r="1107" spans="1:30" ht="16.5" customHeight="1">
      <c r="A1107" s="309" t="str">
        <f>IF(B1107&lt;&gt;"",IF(AND(B1107='IN-TC'!$S$4,OR(TH!N1107="1111",TH!O1107="1111")),TH!D1107,""),"")</f>
        <v/>
      </c>
      <c r="B1107" s="1169">
        <f t="shared" si="226"/>
        <v>3</v>
      </c>
      <c r="C1107" s="292">
        <f t="shared" si="227"/>
        <v>42795</v>
      </c>
      <c r="D1107" s="292" t="s">
        <v>2960</v>
      </c>
      <c r="E1107" s="292">
        <v>42795</v>
      </c>
      <c r="F1107" s="429" t="s">
        <v>771</v>
      </c>
      <c r="G1107" s="925"/>
      <c r="H1107" s="429" t="s">
        <v>1894</v>
      </c>
      <c r="I1107" s="373">
        <v>25740</v>
      </c>
      <c r="J1107" s="379">
        <v>18500</v>
      </c>
      <c r="K1107" s="373"/>
      <c r="L1107" s="379"/>
      <c r="M1107" s="927">
        <f t="shared" si="228"/>
        <v>476190000</v>
      </c>
      <c r="N1107" s="295" t="s">
        <v>264</v>
      </c>
      <c r="O1107" s="295" t="s">
        <v>8</v>
      </c>
      <c r="P1107" s="75" t="str">
        <f>IF(AND('331-CT'!$E$7=TH!H1107,OR(N1107="331",O1107="331")),"x","")</f>
        <v/>
      </c>
      <c r="Q1107" s="75" t="str">
        <f>IF(AND(B1107='111'!$L$11,OR($N1107=$Q$7,$O1107=$Q$7)),"x","")</f>
        <v/>
      </c>
      <c r="R1107" s="75" t="str">
        <f>IF(AND($N1107=$Q$7,$B1107&lt;'111'!$L$11),"x","")</f>
        <v/>
      </c>
      <c r="S1107" s="75" t="str">
        <f>IF(AND($O1107=$Q$7,$B1107&lt;'111'!$L$11),"x","")</f>
        <v/>
      </c>
      <c r="T1107" s="75" t="str">
        <f>IF(ISERROR(FIND('112'!$M$9,G1107,1)),"",IF((AND(FIND('112'!$M$9,G1107,1)&gt;=1,B1107='112'!$K$9,OR($N1107='112'!$I$6,$O1107='112'!$I$6))),"x",""))</f>
        <v/>
      </c>
      <c r="U1107" s="75" t="str">
        <f>IF(ISERROR(FIND('112'!$M$9,G1107,1)),"",IF((AND(LEFT(G1107,2)=LEFT('112'!$M$9,2),B1107&lt;'112'!$K$9,$N1107='112'!$I$6)),"x",""))</f>
        <v/>
      </c>
      <c r="V1107" s="75" t="str">
        <f>IF(ISERROR(FIND('112'!$M$9,G1107,1)),"",IF((AND(RIGHT(G1107,2)=RIGHT('112'!$M$9,2),B1107&lt;'112'!$K$9,$O1107='112'!$I$6)),"x",""))</f>
        <v/>
      </c>
      <c r="W1107" s="75" t="str">
        <f>IF(AND('341-CT'!$H$9=H1107,OR(LEFT(N1107,3)=$W$7,LEFT(O1107,3)=$W$7)),"x","")</f>
        <v/>
      </c>
      <c r="X1107" s="75" t="str">
        <f>IF(OR(TH!N1107=TH!$X$7,O1107=TH!$X$7),"x","")</f>
        <v/>
      </c>
      <c r="Y1107" s="75" t="str">
        <f>IF(AND(OR(N1107="131",O1107="131"),H1107='131-CT'!$H$9),"x","")</f>
        <v/>
      </c>
      <c r="Z1107" s="75"/>
      <c r="AA1107" s="75" t="str">
        <f>IF(AND(MONTH(E1107)='IN-NX'!$J$5,'IN-NX'!$D$7=D1107),"x","")</f>
        <v/>
      </c>
      <c r="AB1107" s="75" t="str">
        <f>IF(AND(OR(LEFT(TH!N1107,2)="15",LEFT(TH!O1107,2)="15"),LEFT(TH!O1107,3)&lt;&gt;"111",'152-CT'!$J$8=TH!F1107),"x","")</f>
        <v/>
      </c>
      <c r="AC1107" s="75" t="str">
        <f>IF(AND(OR(LEFT(TH!N1107,2)="15",LEFT(TH!O1107,2)="15"),TK!$E$7=TH!F1107),"x","")</f>
        <v/>
      </c>
      <c r="AD1107" s="75" t="str">
        <f>IF(AND(N1107="1521",MONTH(C1107)='BK-NL'!$M$11),"x","")</f>
        <v/>
      </c>
    </row>
    <row r="1108" spans="1:30" ht="16.5" customHeight="1">
      <c r="A1108" s="309" t="str">
        <f>IF(B1108&lt;&gt;"",IF(AND(B1108='IN-TC'!$S$4,OR(TH!N1108="1111",TH!O1108="1111")),TH!D1108,""),"")</f>
        <v/>
      </c>
      <c r="B1108" s="1169">
        <f t="shared" si="226"/>
        <v>3</v>
      </c>
      <c r="C1108" s="292">
        <f t="shared" si="227"/>
        <v>42795</v>
      </c>
      <c r="D1108" s="292" t="s">
        <v>2961</v>
      </c>
      <c r="E1108" s="292">
        <v>42795</v>
      </c>
      <c r="F1108" s="429" t="s">
        <v>771</v>
      </c>
      <c r="G1108" s="925"/>
      <c r="H1108" s="429" t="s">
        <v>1889</v>
      </c>
      <c r="I1108" s="373">
        <v>25960</v>
      </c>
      <c r="J1108" s="379">
        <v>18500</v>
      </c>
      <c r="K1108" s="373"/>
      <c r="L1108" s="379"/>
      <c r="M1108" s="927">
        <f t="shared" si="228"/>
        <v>480260000</v>
      </c>
      <c r="N1108" s="295" t="s">
        <v>264</v>
      </c>
      <c r="O1108" s="295" t="s">
        <v>8</v>
      </c>
      <c r="P1108" s="75" t="str">
        <f>IF(AND('331-CT'!$E$7=TH!H1108,OR(N1108="331",O1108="331")),"x","")</f>
        <v/>
      </c>
      <c r="Q1108" s="75" t="str">
        <f>IF(AND(B1108='111'!$L$11,OR($N1108=$Q$7,$O1108=$Q$7)),"x","")</f>
        <v/>
      </c>
      <c r="R1108" s="75" t="str">
        <f>IF(AND($N1108=$Q$7,$B1108&lt;'111'!$L$11),"x","")</f>
        <v/>
      </c>
      <c r="S1108" s="75" t="str">
        <f>IF(AND($O1108=$Q$7,$B1108&lt;'111'!$L$11),"x","")</f>
        <v/>
      </c>
      <c r="T1108" s="75" t="str">
        <f>IF(ISERROR(FIND('112'!$M$9,G1108,1)),"",IF((AND(FIND('112'!$M$9,G1108,1)&gt;=1,B1108='112'!$K$9,OR($N1108='112'!$I$6,$O1108='112'!$I$6))),"x",""))</f>
        <v/>
      </c>
      <c r="U1108" s="75" t="str">
        <f>IF(ISERROR(FIND('112'!$M$9,G1108,1)),"",IF((AND(LEFT(G1108,2)=LEFT('112'!$M$9,2),B1108&lt;'112'!$K$9,$N1108='112'!$I$6)),"x",""))</f>
        <v/>
      </c>
      <c r="V1108" s="75" t="str">
        <f>IF(ISERROR(FIND('112'!$M$9,G1108,1)),"",IF((AND(RIGHT(G1108,2)=RIGHT('112'!$M$9,2),B1108&lt;'112'!$K$9,$O1108='112'!$I$6)),"x",""))</f>
        <v/>
      </c>
      <c r="W1108" s="75" t="str">
        <f>IF(AND('341-CT'!$H$9=H1108,OR(LEFT(N1108,3)=$W$7,LEFT(O1108,3)=$W$7)),"x","")</f>
        <v/>
      </c>
      <c r="X1108" s="75" t="str">
        <f>IF(OR(TH!N1108=TH!$X$7,O1108=TH!$X$7),"x","")</f>
        <v/>
      </c>
      <c r="Y1108" s="75" t="str">
        <f>IF(AND(OR(N1108="131",O1108="131"),H1108='131-CT'!$H$9),"x","")</f>
        <v/>
      </c>
      <c r="Z1108" s="75"/>
      <c r="AA1108" s="75" t="str">
        <f>IF(AND(MONTH(E1108)='IN-NX'!$J$5,'IN-NX'!$D$7=D1108),"x","")</f>
        <v/>
      </c>
      <c r="AB1108" s="75" t="str">
        <f>IF(AND(OR(LEFT(TH!N1108,2)="15",LEFT(TH!O1108,2)="15"),LEFT(TH!O1108,3)&lt;&gt;"111",'152-CT'!$J$8=TH!F1108),"x","")</f>
        <v/>
      </c>
      <c r="AC1108" s="75" t="str">
        <f>IF(AND(OR(LEFT(TH!N1108,2)="15",LEFT(TH!O1108,2)="15"),TK!$E$7=TH!F1108),"x","")</f>
        <v/>
      </c>
      <c r="AD1108" s="75" t="str">
        <f>IF(AND(N1108="1521",MONTH(C1108)='BK-NL'!$M$11),"x","")</f>
        <v/>
      </c>
    </row>
    <row r="1109" spans="1:30" ht="16.5" customHeight="1">
      <c r="A1109" s="309" t="str">
        <f>IF(B1109&lt;&gt;"",IF(AND(B1109='IN-TC'!$S$4,OR(TH!N1109="1111",TH!O1109="1111")),TH!D1109,""),"")</f>
        <v/>
      </c>
      <c r="B1109" s="1169">
        <f t="shared" si="226"/>
        <v>3</v>
      </c>
      <c r="C1109" s="292">
        <f t="shared" si="227"/>
        <v>42797</v>
      </c>
      <c r="D1109" s="292" t="s">
        <v>2965</v>
      </c>
      <c r="E1109" s="292">
        <v>42797</v>
      </c>
      <c r="F1109" s="429" t="s">
        <v>771</v>
      </c>
      <c r="G1109" s="925"/>
      <c r="H1109" s="429" t="s">
        <v>1887</v>
      </c>
      <c r="I1109" s="373">
        <v>25480</v>
      </c>
      <c r="J1109" s="379">
        <v>18500</v>
      </c>
      <c r="K1109" s="373"/>
      <c r="L1109" s="379"/>
      <c r="M1109" s="927">
        <f t="shared" si="228"/>
        <v>471380000</v>
      </c>
      <c r="N1109" s="295" t="s">
        <v>264</v>
      </c>
      <c r="O1109" s="295" t="s">
        <v>8</v>
      </c>
      <c r="P1109" s="75" t="str">
        <f>IF(AND('331-CT'!$E$7=TH!H1109,OR(N1109="331",O1109="331")),"x","")</f>
        <v/>
      </c>
      <c r="Q1109" s="75" t="str">
        <f>IF(AND(B1109='111'!$L$11,OR($N1109=$Q$7,$O1109=$Q$7)),"x","")</f>
        <v/>
      </c>
      <c r="R1109" s="75" t="str">
        <f>IF(AND($N1109=$Q$7,$B1109&lt;'111'!$L$11),"x","")</f>
        <v/>
      </c>
      <c r="S1109" s="75" t="str">
        <f>IF(AND($O1109=$Q$7,$B1109&lt;'111'!$L$11),"x","")</f>
        <v/>
      </c>
      <c r="T1109" s="75" t="str">
        <f>IF(ISERROR(FIND('112'!$M$9,G1109,1)),"",IF((AND(FIND('112'!$M$9,G1109,1)&gt;=1,B1109='112'!$K$9,OR($N1109='112'!$I$6,$O1109='112'!$I$6))),"x",""))</f>
        <v/>
      </c>
      <c r="U1109" s="75" t="str">
        <f>IF(ISERROR(FIND('112'!$M$9,G1109,1)),"",IF((AND(LEFT(G1109,2)=LEFT('112'!$M$9,2),B1109&lt;'112'!$K$9,$N1109='112'!$I$6)),"x",""))</f>
        <v/>
      </c>
      <c r="V1109" s="75" t="str">
        <f>IF(ISERROR(FIND('112'!$M$9,G1109,1)),"",IF((AND(RIGHT(G1109,2)=RIGHT('112'!$M$9,2),B1109&lt;'112'!$K$9,$O1109='112'!$I$6)),"x",""))</f>
        <v/>
      </c>
      <c r="W1109" s="75" t="str">
        <f>IF(AND('341-CT'!$H$9=H1109,OR(LEFT(N1109,3)=$W$7,LEFT(O1109,3)=$W$7)),"x","")</f>
        <v/>
      </c>
      <c r="X1109" s="75" t="str">
        <f>IF(OR(TH!N1109=TH!$X$7,O1109=TH!$X$7),"x","")</f>
        <v/>
      </c>
      <c r="Y1109" s="75" t="str">
        <f>IF(AND(OR(N1109="131",O1109="131"),H1109='131-CT'!$H$9),"x","")</f>
        <v/>
      </c>
      <c r="Z1109" s="75"/>
      <c r="AA1109" s="75" t="str">
        <f>IF(AND(MONTH(E1109)='IN-NX'!$J$5,'IN-NX'!$D$7=D1109),"x","")</f>
        <v/>
      </c>
      <c r="AB1109" s="75" t="str">
        <f>IF(AND(OR(LEFT(TH!N1109,2)="15",LEFT(TH!O1109,2)="15"),LEFT(TH!O1109,3)&lt;&gt;"111",'152-CT'!$J$8=TH!F1109),"x","")</f>
        <v/>
      </c>
      <c r="AC1109" s="75" t="str">
        <f>IF(AND(OR(LEFT(TH!N1109,2)="15",LEFT(TH!O1109,2)="15"),TK!$E$7=TH!F1109),"x","")</f>
        <v/>
      </c>
      <c r="AD1109" s="75" t="str">
        <f>IF(AND(N1109="1521",MONTH(C1109)='BK-NL'!$M$11),"x","")</f>
        <v/>
      </c>
    </row>
    <row r="1110" spans="1:30" ht="16.5" customHeight="1">
      <c r="A1110" s="309" t="str">
        <f>IF(B1110&lt;&gt;"",IF(AND(B1110='IN-TC'!$S$4,OR(TH!N1110="1111",TH!O1110="1111")),TH!D1110,""),"")</f>
        <v/>
      </c>
      <c r="B1110" s="1169">
        <f t="shared" si="226"/>
        <v>3</v>
      </c>
      <c r="C1110" s="292">
        <f t="shared" si="227"/>
        <v>42797</v>
      </c>
      <c r="D1110" s="292" t="s">
        <v>2966</v>
      </c>
      <c r="E1110" s="292">
        <v>42797</v>
      </c>
      <c r="F1110" s="429" t="s">
        <v>771</v>
      </c>
      <c r="G1110" s="925"/>
      <c r="H1110" s="429" t="s">
        <v>1886</v>
      </c>
      <c r="I1110" s="373">
        <v>25406</v>
      </c>
      <c r="J1110" s="379">
        <v>18500</v>
      </c>
      <c r="K1110" s="373"/>
      <c r="L1110" s="379"/>
      <c r="M1110" s="927">
        <f t="shared" si="228"/>
        <v>470011000</v>
      </c>
      <c r="N1110" s="295" t="s">
        <v>264</v>
      </c>
      <c r="O1110" s="295" t="s">
        <v>8</v>
      </c>
      <c r="P1110" s="75" t="str">
        <f>IF(AND('331-CT'!$E$7=TH!H1110,OR(N1110="331",O1110="331")),"x","")</f>
        <v>x</v>
      </c>
      <c r="Q1110" s="75" t="str">
        <f>IF(AND(B1110='111'!$L$11,OR($N1110=$Q$7,$O1110=$Q$7)),"x","")</f>
        <v/>
      </c>
      <c r="R1110" s="75" t="str">
        <f>IF(AND($N1110=$Q$7,$B1110&lt;'111'!$L$11),"x","")</f>
        <v/>
      </c>
      <c r="S1110" s="75" t="str">
        <f>IF(AND($O1110=$Q$7,$B1110&lt;'111'!$L$11),"x","")</f>
        <v/>
      </c>
      <c r="T1110" s="75" t="str">
        <f>IF(ISERROR(FIND('112'!$M$9,G1110,1)),"",IF((AND(FIND('112'!$M$9,G1110,1)&gt;=1,B1110='112'!$K$9,OR($N1110='112'!$I$6,$O1110='112'!$I$6))),"x",""))</f>
        <v/>
      </c>
      <c r="U1110" s="75" t="str">
        <f>IF(ISERROR(FIND('112'!$M$9,G1110,1)),"",IF((AND(LEFT(G1110,2)=LEFT('112'!$M$9,2),B1110&lt;'112'!$K$9,$N1110='112'!$I$6)),"x",""))</f>
        <v/>
      </c>
      <c r="V1110" s="75" t="str">
        <f>IF(ISERROR(FIND('112'!$M$9,G1110,1)),"",IF((AND(RIGHT(G1110,2)=RIGHT('112'!$M$9,2),B1110&lt;'112'!$K$9,$O1110='112'!$I$6)),"x",""))</f>
        <v/>
      </c>
      <c r="W1110" s="75" t="str">
        <f>IF(AND('341-CT'!$H$9=H1110,OR(LEFT(N1110,3)=$W$7,LEFT(O1110,3)=$W$7)),"x","")</f>
        <v/>
      </c>
      <c r="X1110" s="75" t="str">
        <f>IF(OR(TH!N1110=TH!$X$7,O1110=TH!$X$7),"x","")</f>
        <v/>
      </c>
      <c r="Y1110" s="75" t="str">
        <f>IF(AND(OR(N1110="131",O1110="131"),H1110='131-CT'!$H$9),"x","")</f>
        <v/>
      </c>
      <c r="Z1110" s="75"/>
      <c r="AA1110" s="75" t="str">
        <f>IF(AND(MONTH(E1110)='IN-NX'!$J$5,'IN-NX'!$D$7=D1110),"x","")</f>
        <v/>
      </c>
      <c r="AB1110" s="75" t="str">
        <f>IF(AND(OR(LEFT(TH!N1110,2)="15",LEFT(TH!O1110,2)="15"),LEFT(TH!O1110,3)&lt;&gt;"111",'152-CT'!$J$8=TH!F1110),"x","")</f>
        <v/>
      </c>
      <c r="AC1110" s="75" t="str">
        <f>IF(AND(OR(LEFT(TH!N1110,2)="15",LEFT(TH!O1110,2)="15"),TK!$E$7=TH!F1110),"x","")</f>
        <v/>
      </c>
      <c r="AD1110" s="75" t="str">
        <f>IF(AND(N1110="1521",MONTH(C1110)='BK-NL'!$M$11),"x","")</f>
        <v/>
      </c>
    </row>
    <row r="1111" spans="1:30" ht="16.5" customHeight="1">
      <c r="A1111" s="309" t="str">
        <f>IF(B1111&lt;&gt;"",IF(AND(B1111='IN-TC'!$S$4,OR(TH!N1111="1111",TH!O1111="1111")),TH!D1111,""),"")</f>
        <v/>
      </c>
      <c r="B1111" s="1169">
        <f t="shared" si="226"/>
        <v>3</v>
      </c>
      <c r="C1111" s="292">
        <f t="shared" si="227"/>
        <v>42797</v>
      </c>
      <c r="D1111" s="292" t="s">
        <v>2967</v>
      </c>
      <c r="E1111" s="292">
        <v>42797</v>
      </c>
      <c r="F1111" s="429" t="s">
        <v>771</v>
      </c>
      <c r="G1111" s="925"/>
      <c r="H1111" s="429" t="s">
        <v>1882</v>
      </c>
      <c r="I1111" s="373">
        <v>25860</v>
      </c>
      <c r="J1111" s="379">
        <v>18500</v>
      </c>
      <c r="K1111" s="373"/>
      <c r="L1111" s="379"/>
      <c r="M1111" s="927">
        <f t="shared" si="228"/>
        <v>478410000</v>
      </c>
      <c r="N1111" s="295" t="s">
        <v>264</v>
      </c>
      <c r="O1111" s="295" t="s">
        <v>8</v>
      </c>
      <c r="P1111" s="75" t="str">
        <f>IF(AND('331-CT'!$E$7=TH!H1111,OR(N1111="331",O1111="331")),"x","")</f>
        <v/>
      </c>
      <c r="Q1111" s="75" t="str">
        <f>IF(AND(B1111='111'!$L$11,OR($N1111=$Q$7,$O1111=$Q$7)),"x","")</f>
        <v/>
      </c>
      <c r="R1111" s="75" t="str">
        <f>IF(AND($N1111=$Q$7,$B1111&lt;'111'!$L$11),"x","")</f>
        <v/>
      </c>
      <c r="S1111" s="75" t="str">
        <f>IF(AND($O1111=$Q$7,$B1111&lt;'111'!$L$11),"x","")</f>
        <v/>
      </c>
      <c r="T1111" s="75" t="str">
        <f>IF(ISERROR(FIND('112'!$M$9,G1111,1)),"",IF((AND(FIND('112'!$M$9,G1111,1)&gt;=1,B1111='112'!$K$9,OR($N1111='112'!$I$6,$O1111='112'!$I$6))),"x",""))</f>
        <v/>
      </c>
      <c r="U1111" s="75" t="str">
        <f>IF(ISERROR(FIND('112'!$M$9,G1111,1)),"",IF((AND(LEFT(G1111,2)=LEFT('112'!$M$9,2),B1111&lt;'112'!$K$9,$N1111='112'!$I$6)),"x",""))</f>
        <v/>
      </c>
      <c r="V1111" s="75" t="str">
        <f>IF(ISERROR(FIND('112'!$M$9,G1111,1)),"",IF((AND(RIGHT(G1111,2)=RIGHT('112'!$M$9,2),B1111&lt;'112'!$K$9,$O1111='112'!$I$6)),"x",""))</f>
        <v/>
      </c>
      <c r="W1111" s="75" t="str">
        <f>IF(AND('341-CT'!$H$9=H1111,OR(LEFT(N1111,3)=$W$7,LEFT(O1111,3)=$W$7)),"x","")</f>
        <v/>
      </c>
      <c r="X1111" s="75" t="str">
        <f>IF(OR(TH!N1111=TH!$X$7,O1111=TH!$X$7),"x","")</f>
        <v/>
      </c>
      <c r="Y1111" s="75" t="str">
        <f>IF(AND(OR(N1111="131",O1111="131"),H1111='131-CT'!$H$9),"x","")</f>
        <v/>
      </c>
      <c r="Z1111" s="75"/>
      <c r="AA1111" s="75" t="str">
        <f>IF(AND(MONTH(E1111)='IN-NX'!$J$5,'IN-NX'!$D$7=D1111),"x","")</f>
        <v/>
      </c>
      <c r="AB1111" s="75" t="str">
        <f>IF(AND(OR(LEFT(TH!N1111,2)="15",LEFT(TH!O1111,2)="15"),LEFT(TH!O1111,3)&lt;&gt;"111",'152-CT'!$J$8=TH!F1111),"x","")</f>
        <v/>
      </c>
      <c r="AC1111" s="75" t="str">
        <f>IF(AND(OR(LEFT(TH!N1111,2)="15",LEFT(TH!O1111,2)="15"),TK!$E$7=TH!F1111),"x","")</f>
        <v/>
      </c>
      <c r="AD1111" s="75" t="str">
        <f>IF(AND(N1111="1521",MONTH(C1111)='BK-NL'!$M$11),"x","")</f>
        <v/>
      </c>
    </row>
    <row r="1112" spans="1:30" ht="16.5" customHeight="1">
      <c r="A1112" s="309" t="str">
        <f>IF(B1112&lt;&gt;"",IF(AND(B1112='IN-TC'!$S$4,OR(TH!N1112="1111",TH!O1112="1111")),TH!D1112,""),"")</f>
        <v/>
      </c>
      <c r="B1112" s="1169">
        <f t="shared" si="226"/>
        <v>3</v>
      </c>
      <c r="C1112" s="292">
        <f t="shared" si="227"/>
        <v>42797</v>
      </c>
      <c r="D1112" s="292" t="s">
        <v>2968</v>
      </c>
      <c r="E1112" s="292">
        <v>42797</v>
      </c>
      <c r="F1112" s="429" t="s">
        <v>771</v>
      </c>
      <c r="G1112" s="925"/>
      <c r="H1112" s="429" t="s">
        <v>1884</v>
      </c>
      <c r="I1112" s="373">
        <v>24860</v>
      </c>
      <c r="J1112" s="379">
        <v>18500</v>
      </c>
      <c r="K1112" s="373"/>
      <c r="L1112" s="379"/>
      <c r="M1112" s="927">
        <f t="shared" si="228"/>
        <v>459910000</v>
      </c>
      <c r="N1112" s="295" t="s">
        <v>264</v>
      </c>
      <c r="O1112" s="295" t="s">
        <v>8</v>
      </c>
      <c r="P1112" s="75" t="str">
        <f>IF(AND('331-CT'!$E$7=TH!H1112,OR(N1112="331",O1112="331")),"x","")</f>
        <v/>
      </c>
      <c r="Q1112" s="75" t="str">
        <f>IF(AND(B1112='111'!$L$11,OR($N1112=$Q$7,$O1112=$Q$7)),"x","")</f>
        <v/>
      </c>
      <c r="R1112" s="75" t="str">
        <f>IF(AND($N1112=$Q$7,$B1112&lt;'111'!$L$11),"x","")</f>
        <v/>
      </c>
      <c r="S1112" s="75" t="str">
        <f>IF(AND($O1112=$Q$7,$B1112&lt;'111'!$L$11),"x","")</f>
        <v/>
      </c>
      <c r="T1112" s="75" t="str">
        <f>IF(ISERROR(FIND('112'!$M$9,G1112,1)),"",IF((AND(FIND('112'!$M$9,G1112,1)&gt;=1,B1112='112'!$K$9,OR($N1112='112'!$I$6,$O1112='112'!$I$6))),"x",""))</f>
        <v/>
      </c>
      <c r="U1112" s="75" t="str">
        <f>IF(ISERROR(FIND('112'!$M$9,G1112,1)),"",IF((AND(LEFT(G1112,2)=LEFT('112'!$M$9,2),B1112&lt;'112'!$K$9,$N1112='112'!$I$6)),"x",""))</f>
        <v/>
      </c>
      <c r="V1112" s="75" t="str">
        <f>IF(ISERROR(FIND('112'!$M$9,G1112,1)),"",IF((AND(RIGHT(G1112,2)=RIGHT('112'!$M$9,2),B1112&lt;'112'!$K$9,$O1112='112'!$I$6)),"x",""))</f>
        <v/>
      </c>
      <c r="W1112" s="75" t="str">
        <f>IF(AND('341-CT'!$H$9=H1112,OR(LEFT(N1112,3)=$W$7,LEFT(O1112,3)=$W$7)),"x","")</f>
        <v/>
      </c>
      <c r="X1112" s="75" t="str">
        <f>IF(OR(TH!N1112=TH!$X$7,O1112=TH!$X$7),"x","")</f>
        <v/>
      </c>
      <c r="Y1112" s="75" t="str">
        <f>IF(AND(OR(N1112="131",O1112="131"),H1112='131-CT'!$H$9),"x","")</f>
        <v/>
      </c>
      <c r="Z1112" s="75"/>
      <c r="AA1112" s="75" t="str">
        <f>IF(AND(MONTH(E1112)='IN-NX'!$J$5,'IN-NX'!$D$7=D1112),"x","")</f>
        <v/>
      </c>
      <c r="AB1112" s="75" t="str">
        <f>IF(AND(OR(LEFT(TH!N1112,2)="15",LEFT(TH!O1112,2)="15"),LEFT(TH!O1112,3)&lt;&gt;"111",'152-CT'!$J$8=TH!F1112),"x","")</f>
        <v/>
      </c>
      <c r="AC1112" s="75" t="str">
        <f>IF(AND(OR(LEFT(TH!N1112,2)="15",LEFT(TH!O1112,2)="15"),TK!$E$7=TH!F1112),"x","")</f>
        <v/>
      </c>
      <c r="AD1112" s="75" t="str">
        <f>IF(AND(N1112="1521",MONTH(C1112)='BK-NL'!$M$11),"x","")</f>
        <v/>
      </c>
    </row>
    <row r="1113" spans="1:30" ht="16.5" customHeight="1">
      <c r="A1113" s="309" t="str">
        <f>IF(B1113&lt;&gt;"",IF(AND(B1113='IN-TC'!$S$4,OR(TH!N1113="1111",TH!O1113="1111")),TH!D1113,""),"")</f>
        <v/>
      </c>
      <c r="B1113" s="1169">
        <f t="shared" si="226"/>
        <v>3</v>
      </c>
      <c r="C1113" s="292">
        <f t="shared" si="227"/>
        <v>42797</v>
      </c>
      <c r="D1113" s="292" t="s">
        <v>2973</v>
      </c>
      <c r="E1113" s="292">
        <v>42797</v>
      </c>
      <c r="F1113" s="429" t="s">
        <v>771</v>
      </c>
      <c r="G1113" s="925"/>
      <c r="H1113" s="429" t="s">
        <v>1894</v>
      </c>
      <c r="I1113" s="373">
        <v>25740</v>
      </c>
      <c r="J1113" s="379">
        <v>18500</v>
      </c>
      <c r="K1113" s="373"/>
      <c r="L1113" s="379"/>
      <c r="M1113" s="927">
        <f t="shared" si="228"/>
        <v>476190000</v>
      </c>
      <c r="N1113" s="295" t="s">
        <v>264</v>
      </c>
      <c r="O1113" s="295" t="s">
        <v>8</v>
      </c>
      <c r="P1113" s="75" t="str">
        <f>IF(AND('331-CT'!$E$7=TH!H1113,OR(N1113="331",O1113="331")),"x","")</f>
        <v/>
      </c>
      <c r="Q1113" s="75" t="str">
        <f>IF(AND(B1113='111'!$L$11,OR($N1113=$Q$7,$O1113=$Q$7)),"x","")</f>
        <v/>
      </c>
      <c r="R1113" s="75" t="str">
        <f>IF(AND($N1113=$Q$7,$B1113&lt;'111'!$L$11),"x","")</f>
        <v/>
      </c>
      <c r="S1113" s="75" t="str">
        <f>IF(AND($O1113=$Q$7,$B1113&lt;'111'!$L$11),"x","")</f>
        <v/>
      </c>
      <c r="T1113" s="75" t="str">
        <f>IF(ISERROR(FIND('112'!$M$9,G1113,1)),"",IF((AND(FIND('112'!$M$9,G1113,1)&gt;=1,B1113='112'!$K$9,OR($N1113='112'!$I$6,$O1113='112'!$I$6))),"x",""))</f>
        <v/>
      </c>
      <c r="U1113" s="75" t="str">
        <f>IF(ISERROR(FIND('112'!$M$9,G1113,1)),"",IF((AND(LEFT(G1113,2)=LEFT('112'!$M$9,2),B1113&lt;'112'!$K$9,$N1113='112'!$I$6)),"x",""))</f>
        <v/>
      </c>
      <c r="V1113" s="75" t="str">
        <f>IF(ISERROR(FIND('112'!$M$9,G1113,1)),"",IF((AND(RIGHT(G1113,2)=RIGHT('112'!$M$9,2),B1113&lt;'112'!$K$9,$O1113='112'!$I$6)),"x",""))</f>
        <v/>
      </c>
      <c r="W1113" s="75" t="str">
        <f>IF(AND('341-CT'!$H$9=H1113,OR(LEFT(N1113,3)=$W$7,LEFT(O1113,3)=$W$7)),"x","")</f>
        <v/>
      </c>
      <c r="X1113" s="75" t="str">
        <f>IF(OR(TH!N1113=TH!$X$7,O1113=TH!$X$7),"x","")</f>
        <v/>
      </c>
      <c r="Y1113" s="75" t="str">
        <f>IF(AND(OR(N1113="131",O1113="131"),H1113='131-CT'!$H$9),"x","")</f>
        <v/>
      </c>
      <c r="Z1113" s="75"/>
      <c r="AA1113" s="75" t="str">
        <f>IF(AND(MONTH(E1113)='IN-NX'!$J$5,'IN-NX'!$D$7=D1113),"x","")</f>
        <v/>
      </c>
      <c r="AB1113" s="75" t="str">
        <f>IF(AND(OR(LEFT(TH!N1113,2)="15",LEFT(TH!O1113,2)="15"),LEFT(TH!O1113,3)&lt;&gt;"111",'152-CT'!$J$8=TH!F1113),"x","")</f>
        <v/>
      </c>
      <c r="AC1113" s="75" t="str">
        <f>IF(AND(OR(LEFT(TH!N1113,2)="15",LEFT(TH!O1113,2)="15"),TK!$E$7=TH!F1113),"x","")</f>
        <v/>
      </c>
      <c r="AD1113" s="75" t="str">
        <f>IF(AND(N1113="1521",MONTH(C1113)='BK-NL'!$M$11),"x","")</f>
        <v/>
      </c>
    </row>
    <row r="1114" spans="1:30" ht="16.5" customHeight="1">
      <c r="A1114" s="309" t="str">
        <f>IF(B1114&lt;&gt;"",IF(AND(B1114='IN-TC'!$S$4,OR(TH!N1114="1111",TH!O1114="1111")),TH!D1114,""),"")</f>
        <v/>
      </c>
      <c r="B1114" s="1169">
        <f t="shared" si="226"/>
        <v>3</v>
      </c>
      <c r="C1114" s="292">
        <f t="shared" si="227"/>
        <v>42800</v>
      </c>
      <c r="D1114" s="292" t="s">
        <v>2974</v>
      </c>
      <c r="E1114" s="292">
        <v>42800</v>
      </c>
      <c r="F1114" s="429" t="s">
        <v>771</v>
      </c>
      <c r="G1114" s="925"/>
      <c r="H1114" s="429" t="s">
        <v>1889</v>
      </c>
      <c r="I1114" s="373">
        <v>25630</v>
      </c>
      <c r="J1114" s="379">
        <v>18500</v>
      </c>
      <c r="K1114" s="373"/>
      <c r="L1114" s="379"/>
      <c r="M1114" s="927">
        <f t="shared" si="228"/>
        <v>474155000</v>
      </c>
      <c r="N1114" s="295" t="s">
        <v>264</v>
      </c>
      <c r="O1114" s="295" t="s">
        <v>8</v>
      </c>
      <c r="P1114" s="75" t="str">
        <f>IF(AND('331-CT'!$E$7=TH!H1114,OR(N1114="331",O1114="331")),"x","")</f>
        <v/>
      </c>
      <c r="Q1114" s="75" t="str">
        <f>IF(AND(B1114='111'!$L$11,OR($N1114=$Q$7,$O1114=$Q$7)),"x","")</f>
        <v/>
      </c>
      <c r="R1114" s="75" t="str">
        <f>IF(AND($N1114=$Q$7,$B1114&lt;'111'!$L$11),"x","")</f>
        <v/>
      </c>
      <c r="S1114" s="75" t="str">
        <f>IF(AND($O1114=$Q$7,$B1114&lt;'111'!$L$11),"x","")</f>
        <v/>
      </c>
      <c r="T1114" s="75" t="str">
        <f>IF(ISERROR(FIND('112'!$M$9,G1114,1)),"",IF((AND(FIND('112'!$M$9,G1114,1)&gt;=1,B1114='112'!$K$9,OR($N1114='112'!$I$6,$O1114='112'!$I$6))),"x",""))</f>
        <v/>
      </c>
      <c r="U1114" s="75" t="str">
        <f>IF(ISERROR(FIND('112'!$M$9,G1114,1)),"",IF((AND(LEFT(G1114,2)=LEFT('112'!$M$9,2),B1114&lt;'112'!$K$9,$N1114='112'!$I$6)),"x",""))</f>
        <v/>
      </c>
      <c r="V1114" s="75" t="str">
        <f>IF(ISERROR(FIND('112'!$M$9,G1114,1)),"",IF((AND(RIGHT(G1114,2)=RIGHT('112'!$M$9,2),B1114&lt;'112'!$K$9,$O1114='112'!$I$6)),"x",""))</f>
        <v/>
      </c>
      <c r="W1114" s="75" t="str">
        <f>IF(AND('341-CT'!$H$9=H1114,OR(LEFT(N1114,3)=$W$7,LEFT(O1114,3)=$W$7)),"x","")</f>
        <v/>
      </c>
      <c r="X1114" s="75" t="str">
        <f>IF(OR(TH!N1114=TH!$X$7,O1114=TH!$X$7),"x","")</f>
        <v/>
      </c>
      <c r="Y1114" s="75" t="str">
        <f>IF(AND(OR(N1114="131",O1114="131"),H1114='131-CT'!$H$9),"x","")</f>
        <v/>
      </c>
      <c r="Z1114" s="75"/>
      <c r="AA1114" s="75" t="str">
        <f>IF(AND(MONTH(E1114)='IN-NX'!$J$5,'IN-NX'!$D$7=D1114),"x","")</f>
        <v/>
      </c>
      <c r="AB1114" s="75" t="str">
        <f>IF(AND(OR(LEFT(TH!N1114,2)="15",LEFT(TH!O1114,2)="15"),LEFT(TH!O1114,3)&lt;&gt;"111",'152-CT'!$J$8=TH!F1114),"x","")</f>
        <v/>
      </c>
      <c r="AC1114" s="75" t="str">
        <f>IF(AND(OR(LEFT(TH!N1114,2)="15",LEFT(TH!O1114,2)="15"),TK!$E$7=TH!F1114),"x","")</f>
        <v/>
      </c>
      <c r="AD1114" s="75" t="str">
        <f>IF(AND(N1114="1521",MONTH(C1114)='BK-NL'!$M$11),"x","")</f>
        <v/>
      </c>
    </row>
    <row r="1115" spans="1:30" ht="16.5" customHeight="1">
      <c r="A1115" s="309" t="str">
        <f>IF(B1115&lt;&gt;"",IF(AND(B1115='IN-TC'!$S$4,OR(TH!N1115="1111",TH!O1115="1111")),TH!D1115,""),"")</f>
        <v/>
      </c>
      <c r="B1115" s="1169">
        <f t="shared" ref="B1115:B1128" si="229">IF(C1115&lt;&gt;"",MONTH(C1115),"")</f>
        <v>3</v>
      </c>
      <c r="C1115" s="292">
        <f t="shared" ref="C1115:C1128" si="230">E1115</f>
        <v>42800</v>
      </c>
      <c r="D1115" s="292" t="s">
        <v>2975</v>
      </c>
      <c r="E1115" s="292">
        <v>42800</v>
      </c>
      <c r="F1115" s="429" t="s">
        <v>771</v>
      </c>
      <c r="G1115" s="925"/>
      <c r="H1115" s="429" t="s">
        <v>1882</v>
      </c>
      <c r="I1115" s="373">
        <v>25864</v>
      </c>
      <c r="J1115" s="379">
        <v>18500</v>
      </c>
      <c r="K1115" s="373"/>
      <c r="L1115" s="379"/>
      <c r="M1115" s="927">
        <f t="shared" ref="M1115:M1128" si="231">ROUND(I1115*J1115,0)</f>
        <v>478484000</v>
      </c>
      <c r="N1115" s="295" t="s">
        <v>264</v>
      </c>
      <c r="O1115" s="295" t="s">
        <v>8</v>
      </c>
      <c r="P1115" s="75" t="str">
        <f>IF(AND('331-CT'!$E$7=TH!H1115,OR(N1115="331",O1115="331")),"x","")</f>
        <v/>
      </c>
      <c r="Q1115" s="75" t="str">
        <f>IF(AND(B1115='111'!$L$11,OR($N1115=$Q$7,$O1115=$Q$7)),"x","")</f>
        <v/>
      </c>
      <c r="R1115" s="75" t="str">
        <f>IF(AND($N1115=$Q$7,$B1115&lt;'111'!$L$11),"x","")</f>
        <v/>
      </c>
      <c r="S1115" s="75" t="str">
        <f>IF(AND($O1115=$Q$7,$B1115&lt;'111'!$L$11),"x","")</f>
        <v/>
      </c>
      <c r="T1115" s="75" t="str">
        <f>IF(ISERROR(FIND('112'!$M$9,G1115,1)),"",IF((AND(FIND('112'!$M$9,G1115,1)&gt;=1,B1115='112'!$K$9,OR($N1115='112'!$I$6,$O1115='112'!$I$6))),"x",""))</f>
        <v/>
      </c>
      <c r="U1115" s="75" t="str">
        <f>IF(ISERROR(FIND('112'!$M$9,G1115,1)),"",IF((AND(LEFT(G1115,2)=LEFT('112'!$M$9,2),B1115&lt;'112'!$K$9,$N1115='112'!$I$6)),"x",""))</f>
        <v/>
      </c>
      <c r="V1115" s="75" t="str">
        <f>IF(ISERROR(FIND('112'!$M$9,G1115,1)),"",IF((AND(RIGHT(G1115,2)=RIGHT('112'!$M$9,2),B1115&lt;'112'!$K$9,$O1115='112'!$I$6)),"x",""))</f>
        <v/>
      </c>
      <c r="W1115" s="75" t="str">
        <f>IF(AND('341-CT'!$H$9=H1115,OR(LEFT(N1115,3)=$W$7,LEFT(O1115,3)=$W$7)),"x","")</f>
        <v/>
      </c>
      <c r="X1115" s="75" t="str">
        <f>IF(OR(TH!N1115=TH!$X$7,O1115=TH!$X$7),"x","")</f>
        <v/>
      </c>
      <c r="Y1115" s="75" t="str">
        <f>IF(AND(OR(N1115="131",O1115="131"),H1115='131-CT'!$H$9),"x","")</f>
        <v/>
      </c>
      <c r="Z1115" s="75"/>
      <c r="AA1115" s="75" t="str">
        <f>IF(AND(MONTH(E1115)='IN-NX'!$J$5,'IN-NX'!$D$7=D1115),"x","")</f>
        <v/>
      </c>
      <c r="AB1115" s="75" t="str">
        <f>IF(AND(OR(LEFT(TH!N1115,2)="15",LEFT(TH!O1115,2)="15"),LEFT(TH!O1115,3)&lt;&gt;"111",'152-CT'!$J$8=TH!F1115),"x","")</f>
        <v/>
      </c>
      <c r="AC1115" s="75" t="str">
        <f>IF(AND(OR(LEFT(TH!N1115,2)="15",LEFT(TH!O1115,2)="15"),TK!$E$7=TH!F1115),"x","")</f>
        <v/>
      </c>
      <c r="AD1115" s="75" t="str">
        <f>IF(AND(N1115="1521",MONTH(C1115)='BK-NL'!$M$11),"x","")</f>
        <v/>
      </c>
    </row>
    <row r="1116" spans="1:30" ht="16.5" customHeight="1">
      <c r="A1116" s="309" t="str">
        <f>IF(B1116&lt;&gt;"",IF(AND(B1116='IN-TC'!$S$4,OR(TH!N1116="1111",TH!O1116="1111")),TH!D1116,""),"")</f>
        <v/>
      </c>
      <c r="B1116" s="1169">
        <f t="shared" si="229"/>
        <v>3</v>
      </c>
      <c r="C1116" s="292">
        <f t="shared" si="230"/>
        <v>42800</v>
      </c>
      <c r="D1116" s="292" t="s">
        <v>2976</v>
      </c>
      <c r="E1116" s="292">
        <v>42800</v>
      </c>
      <c r="F1116" s="429" t="s">
        <v>771</v>
      </c>
      <c r="G1116" s="925"/>
      <c r="H1116" s="429" t="s">
        <v>1886</v>
      </c>
      <c r="I1116" s="373">
        <v>25780</v>
      </c>
      <c r="J1116" s="379">
        <v>18500</v>
      </c>
      <c r="K1116" s="373"/>
      <c r="L1116" s="379"/>
      <c r="M1116" s="927">
        <f t="shared" si="231"/>
        <v>476930000</v>
      </c>
      <c r="N1116" s="295" t="s">
        <v>264</v>
      </c>
      <c r="O1116" s="295" t="s">
        <v>8</v>
      </c>
      <c r="P1116" s="75" t="str">
        <f>IF(AND('331-CT'!$E$7=TH!H1116,OR(N1116="331",O1116="331")),"x","")</f>
        <v>x</v>
      </c>
      <c r="Q1116" s="75" t="str">
        <f>IF(AND(B1116='111'!$L$11,OR($N1116=$Q$7,$O1116=$Q$7)),"x","")</f>
        <v/>
      </c>
      <c r="R1116" s="75" t="str">
        <f>IF(AND($N1116=$Q$7,$B1116&lt;'111'!$L$11),"x","")</f>
        <v/>
      </c>
      <c r="S1116" s="75" t="str">
        <f>IF(AND($O1116=$Q$7,$B1116&lt;'111'!$L$11),"x","")</f>
        <v/>
      </c>
      <c r="T1116" s="75" t="str">
        <f>IF(ISERROR(FIND('112'!$M$9,G1116,1)),"",IF((AND(FIND('112'!$M$9,G1116,1)&gt;=1,B1116='112'!$K$9,OR($N1116='112'!$I$6,$O1116='112'!$I$6))),"x",""))</f>
        <v/>
      </c>
      <c r="U1116" s="75" t="str">
        <f>IF(ISERROR(FIND('112'!$M$9,G1116,1)),"",IF((AND(LEFT(G1116,2)=LEFT('112'!$M$9,2),B1116&lt;'112'!$K$9,$N1116='112'!$I$6)),"x",""))</f>
        <v/>
      </c>
      <c r="V1116" s="75" t="str">
        <f>IF(ISERROR(FIND('112'!$M$9,G1116,1)),"",IF((AND(RIGHT(G1116,2)=RIGHT('112'!$M$9,2),B1116&lt;'112'!$K$9,$O1116='112'!$I$6)),"x",""))</f>
        <v/>
      </c>
      <c r="W1116" s="75" t="str">
        <f>IF(AND('341-CT'!$H$9=H1116,OR(LEFT(N1116,3)=$W$7,LEFT(O1116,3)=$W$7)),"x","")</f>
        <v/>
      </c>
      <c r="X1116" s="75" t="str">
        <f>IF(OR(TH!N1116=TH!$X$7,O1116=TH!$X$7),"x","")</f>
        <v/>
      </c>
      <c r="Y1116" s="75" t="str">
        <f>IF(AND(OR(N1116="131",O1116="131"),H1116='131-CT'!$H$9),"x","")</f>
        <v/>
      </c>
      <c r="Z1116" s="75"/>
      <c r="AA1116" s="75" t="str">
        <f>IF(AND(MONTH(E1116)='IN-NX'!$J$5,'IN-NX'!$D$7=D1116),"x","")</f>
        <v/>
      </c>
      <c r="AB1116" s="75" t="str">
        <f>IF(AND(OR(LEFT(TH!N1116,2)="15",LEFT(TH!O1116,2)="15"),LEFT(TH!O1116,3)&lt;&gt;"111",'152-CT'!$J$8=TH!F1116),"x","")</f>
        <v/>
      </c>
      <c r="AC1116" s="75" t="str">
        <f>IF(AND(OR(LEFT(TH!N1116,2)="15",LEFT(TH!O1116,2)="15"),TK!$E$7=TH!F1116),"x","")</f>
        <v/>
      </c>
      <c r="AD1116" s="75" t="str">
        <f>IF(AND(N1116="1521",MONTH(C1116)='BK-NL'!$M$11),"x","")</f>
        <v/>
      </c>
    </row>
    <row r="1117" spans="1:30" ht="16.5" customHeight="1">
      <c r="A1117" s="309" t="str">
        <f>IF(B1117&lt;&gt;"",IF(AND(B1117='IN-TC'!$S$4,OR(TH!N1117="1111",TH!O1117="1111")),TH!D1117,""),"")</f>
        <v/>
      </c>
      <c r="B1117" s="1169">
        <f t="shared" si="229"/>
        <v>3</v>
      </c>
      <c r="C1117" s="292">
        <f t="shared" si="230"/>
        <v>42803</v>
      </c>
      <c r="D1117" s="292" t="s">
        <v>2977</v>
      </c>
      <c r="E1117" s="292">
        <v>42803</v>
      </c>
      <c r="F1117" s="429" t="s">
        <v>771</v>
      </c>
      <c r="G1117" s="925"/>
      <c r="H1117" s="429" t="s">
        <v>1882</v>
      </c>
      <c r="I1117" s="373">
        <v>25690</v>
      </c>
      <c r="J1117" s="379">
        <v>18500</v>
      </c>
      <c r="K1117" s="373"/>
      <c r="L1117" s="379"/>
      <c r="M1117" s="927">
        <f t="shared" si="231"/>
        <v>475265000</v>
      </c>
      <c r="N1117" s="295" t="s">
        <v>264</v>
      </c>
      <c r="O1117" s="295" t="s">
        <v>8</v>
      </c>
      <c r="P1117" s="75" t="str">
        <f>IF(AND('331-CT'!$E$7=TH!H1117,OR(N1117="331",O1117="331")),"x","")</f>
        <v/>
      </c>
      <c r="Q1117" s="75" t="str">
        <f>IF(AND(B1117='111'!$L$11,OR($N1117=$Q$7,$O1117=$Q$7)),"x","")</f>
        <v/>
      </c>
      <c r="R1117" s="75" t="str">
        <f>IF(AND($N1117=$Q$7,$B1117&lt;'111'!$L$11),"x","")</f>
        <v/>
      </c>
      <c r="S1117" s="75" t="str">
        <f>IF(AND($O1117=$Q$7,$B1117&lt;'111'!$L$11),"x","")</f>
        <v/>
      </c>
      <c r="T1117" s="75" t="str">
        <f>IF(ISERROR(FIND('112'!$M$9,G1117,1)),"",IF((AND(FIND('112'!$M$9,G1117,1)&gt;=1,B1117='112'!$K$9,OR($N1117='112'!$I$6,$O1117='112'!$I$6))),"x",""))</f>
        <v/>
      </c>
      <c r="U1117" s="75" t="str">
        <f>IF(ISERROR(FIND('112'!$M$9,G1117,1)),"",IF((AND(LEFT(G1117,2)=LEFT('112'!$M$9,2),B1117&lt;'112'!$K$9,$N1117='112'!$I$6)),"x",""))</f>
        <v/>
      </c>
      <c r="V1117" s="75" t="str">
        <f>IF(ISERROR(FIND('112'!$M$9,G1117,1)),"",IF((AND(RIGHT(G1117,2)=RIGHT('112'!$M$9,2),B1117&lt;'112'!$K$9,$O1117='112'!$I$6)),"x",""))</f>
        <v/>
      </c>
      <c r="W1117" s="75" t="str">
        <f>IF(AND('341-CT'!$H$9=H1117,OR(LEFT(N1117,3)=$W$7,LEFT(O1117,3)=$W$7)),"x","")</f>
        <v/>
      </c>
      <c r="X1117" s="75" t="str">
        <f>IF(OR(TH!N1117=TH!$X$7,O1117=TH!$X$7),"x","")</f>
        <v/>
      </c>
      <c r="Y1117" s="75" t="str">
        <f>IF(AND(OR(N1117="131",O1117="131"),H1117='131-CT'!$H$9),"x","")</f>
        <v/>
      </c>
      <c r="Z1117" s="75"/>
      <c r="AA1117" s="75" t="str">
        <f>IF(AND(MONTH(E1117)='IN-NX'!$J$5,'IN-NX'!$D$7=D1117),"x","")</f>
        <v/>
      </c>
      <c r="AB1117" s="75" t="str">
        <f>IF(AND(OR(LEFT(TH!N1117,2)="15",LEFT(TH!O1117,2)="15"),LEFT(TH!O1117,3)&lt;&gt;"111",'152-CT'!$J$8=TH!F1117),"x","")</f>
        <v/>
      </c>
      <c r="AC1117" s="75" t="str">
        <f>IF(AND(OR(LEFT(TH!N1117,2)="15",LEFT(TH!O1117,2)="15"),TK!$E$7=TH!F1117),"x","")</f>
        <v/>
      </c>
      <c r="AD1117" s="75" t="str">
        <f>IF(AND(N1117="1521",MONTH(C1117)='BK-NL'!$M$11),"x","")</f>
        <v/>
      </c>
    </row>
    <row r="1118" spans="1:30" ht="16.5" customHeight="1">
      <c r="A1118" s="309" t="str">
        <f>IF(B1118&lt;&gt;"",IF(AND(B1118='IN-TC'!$S$4,OR(TH!N1118="1111",TH!O1118="1111")),TH!D1118,""),"")</f>
        <v/>
      </c>
      <c r="B1118" s="1169">
        <f t="shared" si="229"/>
        <v>3</v>
      </c>
      <c r="C1118" s="292">
        <f t="shared" si="230"/>
        <v>42803</v>
      </c>
      <c r="D1118" s="292" t="s">
        <v>2978</v>
      </c>
      <c r="E1118" s="292">
        <v>42803</v>
      </c>
      <c r="F1118" s="429" t="s">
        <v>771</v>
      </c>
      <c r="G1118" s="925"/>
      <c r="H1118" s="429" t="s">
        <v>1884</v>
      </c>
      <c r="I1118" s="373">
        <v>25430</v>
      </c>
      <c r="J1118" s="379">
        <v>18500</v>
      </c>
      <c r="K1118" s="373"/>
      <c r="L1118" s="379"/>
      <c r="M1118" s="927">
        <f t="shared" si="231"/>
        <v>470455000</v>
      </c>
      <c r="N1118" s="295" t="s">
        <v>264</v>
      </c>
      <c r="O1118" s="295" t="s">
        <v>8</v>
      </c>
      <c r="P1118" s="75" t="str">
        <f>IF(AND('331-CT'!$E$7=TH!H1118,OR(N1118="331",O1118="331")),"x","")</f>
        <v/>
      </c>
      <c r="Q1118" s="75" t="str">
        <f>IF(AND(B1118='111'!$L$11,OR($N1118=$Q$7,$O1118=$Q$7)),"x","")</f>
        <v/>
      </c>
      <c r="R1118" s="75" t="str">
        <f>IF(AND($N1118=$Q$7,$B1118&lt;'111'!$L$11),"x","")</f>
        <v/>
      </c>
      <c r="S1118" s="75" t="str">
        <f>IF(AND($O1118=$Q$7,$B1118&lt;'111'!$L$11),"x","")</f>
        <v/>
      </c>
      <c r="T1118" s="75" t="str">
        <f>IF(ISERROR(FIND('112'!$M$9,G1118,1)),"",IF((AND(FIND('112'!$M$9,G1118,1)&gt;=1,B1118='112'!$K$9,OR($N1118='112'!$I$6,$O1118='112'!$I$6))),"x",""))</f>
        <v/>
      </c>
      <c r="U1118" s="75" t="str">
        <f>IF(ISERROR(FIND('112'!$M$9,G1118,1)),"",IF((AND(LEFT(G1118,2)=LEFT('112'!$M$9,2),B1118&lt;'112'!$K$9,$N1118='112'!$I$6)),"x",""))</f>
        <v/>
      </c>
      <c r="V1118" s="75" t="str">
        <f>IF(ISERROR(FIND('112'!$M$9,G1118,1)),"",IF((AND(RIGHT(G1118,2)=RIGHT('112'!$M$9,2),B1118&lt;'112'!$K$9,$O1118='112'!$I$6)),"x",""))</f>
        <v/>
      </c>
      <c r="W1118" s="75" t="str">
        <f>IF(AND('341-CT'!$H$9=H1118,OR(LEFT(N1118,3)=$W$7,LEFT(O1118,3)=$W$7)),"x","")</f>
        <v/>
      </c>
      <c r="X1118" s="75" t="str">
        <f>IF(OR(TH!N1118=TH!$X$7,O1118=TH!$X$7),"x","")</f>
        <v/>
      </c>
      <c r="Y1118" s="75" t="str">
        <f>IF(AND(OR(N1118="131",O1118="131"),H1118='131-CT'!$H$9),"x","")</f>
        <v/>
      </c>
      <c r="Z1118" s="75"/>
      <c r="AA1118" s="75" t="str">
        <f>IF(AND(MONTH(E1118)='IN-NX'!$J$5,'IN-NX'!$D$7=D1118),"x","")</f>
        <v/>
      </c>
      <c r="AB1118" s="75" t="str">
        <f>IF(AND(OR(LEFT(TH!N1118,2)="15",LEFT(TH!O1118,2)="15"),LEFT(TH!O1118,3)&lt;&gt;"111",'152-CT'!$J$8=TH!F1118),"x","")</f>
        <v/>
      </c>
      <c r="AC1118" s="75" t="str">
        <f>IF(AND(OR(LEFT(TH!N1118,2)="15",LEFT(TH!O1118,2)="15"),TK!$E$7=TH!F1118),"x","")</f>
        <v/>
      </c>
      <c r="AD1118" s="75" t="str">
        <f>IF(AND(N1118="1521",MONTH(C1118)='BK-NL'!$M$11),"x","")</f>
        <v/>
      </c>
    </row>
    <row r="1119" spans="1:30" ht="16.5" customHeight="1">
      <c r="A1119" s="309" t="str">
        <f>IF(B1119&lt;&gt;"",IF(AND(B1119='IN-TC'!$S$4,OR(TH!N1119="1111",TH!O1119="1111")),TH!D1119,""),"")</f>
        <v/>
      </c>
      <c r="B1119" s="1169">
        <f t="shared" si="229"/>
        <v>3</v>
      </c>
      <c r="C1119" s="292">
        <f t="shared" si="230"/>
        <v>42805</v>
      </c>
      <c r="D1119" s="292" t="s">
        <v>2979</v>
      </c>
      <c r="E1119" s="292">
        <v>42805</v>
      </c>
      <c r="F1119" s="429" t="s">
        <v>771</v>
      </c>
      <c r="G1119" s="925"/>
      <c r="H1119" s="429" t="s">
        <v>1882</v>
      </c>
      <c r="I1119" s="373">
        <v>25640</v>
      </c>
      <c r="J1119" s="379">
        <v>18500</v>
      </c>
      <c r="K1119" s="373"/>
      <c r="L1119" s="379"/>
      <c r="M1119" s="927">
        <f t="shared" si="231"/>
        <v>474340000</v>
      </c>
      <c r="N1119" s="295" t="s">
        <v>264</v>
      </c>
      <c r="O1119" s="295" t="s">
        <v>8</v>
      </c>
      <c r="P1119" s="75" t="str">
        <f>IF(AND('331-CT'!$E$7=TH!H1119,OR(N1119="331",O1119="331")),"x","")</f>
        <v/>
      </c>
      <c r="Q1119" s="75" t="str">
        <f>IF(AND(B1119='111'!$L$11,OR($N1119=$Q$7,$O1119=$Q$7)),"x","")</f>
        <v/>
      </c>
      <c r="R1119" s="75" t="str">
        <f>IF(AND($N1119=$Q$7,$B1119&lt;'111'!$L$11),"x","")</f>
        <v/>
      </c>
      <c r="S1119" s="75" t="str">
        <f>IF(AND($O1119=$Q$7,$B1119&lt;'111'!$L$11),"x","")</f>
        <v/>
      </c>
      <c r="T1119" s="75" t="str">
        <f>IF(ISERROR(FIND('112'!$M$9,G1119,1)),"",IF((AND(FIND('112'!$M$9,G1119,1)&gt;=1,B1119='112'!$K$9,OR($N1119='112'!$I$6,$O1119='112'!$I$6))),"x",""))</f>
        <v/>
      </c>
      <c r="U1119" s="75" t="str">
        <f>IF(ISERROR(FIND('112'!$M$9,G1119,1)),"",IF((AND(LEFT(G1119,2)=LEFT('112'!$M$9,2),B1119&lt;'112'!$K$9,$N1119='112'!$I$6)),"x",""))</f>
        <v/>
      </c>
      <c r="V1119" s="75" t="str">
        <f>IF(ISERROR(FIND('112'!$M$9,G1119,1)),"",IF((AND(RIGHT(G1119,2)=RIGHT('112'!$M$9,2),B1119&lt;'112'!$K$9,$O1119='112'!$I$6)),"x",""))</f>
        <v/>
      </c>
      <c r="W1119" s="75" t="str">
        <f>IF(AND('341-CT'!$H$9=H1119,OR(LEFT(N1119,3)=$W$7,LEFT(O1119,3)=$W$7)),"x","")</f>
        <v/>
      </c>
      <c r="X1119" s="75" t="str">
        <f>IF(OR(TH!N1119=TH!$X$7,O1119=TH!$X$7),"x","")</f>
        <v/>
      </c>
      <c r="Y1119" s="75" t="str">
        <f>IF(AND(OR(N1119="131",O1119="131"),H1119='131-CT'!$H$9),"x","")</f>
        <v/>
      </c>
      <c r="Z1119" s="75"/>
      <c r="AA1119" s="75" t="str">
        <f>IF(AND(MONTH(E1119)='IN-NX'!$J$5,'IN-NX'!$D$7=D1119),"x","")</f>
        <v/>
      </c>
      <c r="AB1119" s="75" t="str">
        <f>IF(AND(OR(LEFT(TH!N1119,2)="15",LEFT(TH!O1119,2)="15"),LEFT(TH!O1119,3)&lt;&gt;"111",'152-CT'!$J$8=TH!F1119),"x","")</f>
        <v/>
      </c>
      <c r="AC1119" s="75" t="str">
        <f>IF(AND(OR(LEFT(TH!N1119,2)="15",LEFT(TH!O1119,2)="15"),TK!$E$7=TH!F1119),"x","")</f>
        <v/>
      </c>
      <c r="AD1119" s="75" t="str">
        <f>IF(AND(N1119="1521",MONTH(C1119)='BK-NL'!$M$11),"x","")</f>
        <v/>
      </c>
    </row>
    <row r="1120" spans="1:30" ht="16.5" customHeight="1">
      <c r="A1120" s="309" t="str">
        <f>IF(B1120&lt;&gt;"",IF(AND(B1120='IN-TC'!$S$4,OR(TH!N1120="1111",TH!O1120="1111")),TH!D1120,""),"")</f>
        <v/>
      </c>
      <c r="B1120" s="1169">
        <f t="shared" si="229"/>
        <v>3</v>
      </c>
      <c r="C1120" s="292">
        <f t="shared" si="230"/>
        <v>42805</v>
      </c>
      <c r="D1120" s="292" t="s">
        <v>2980</v>
      </c>
      <c r="E1120" s="292">
        <v>42805</v>
      </c>
      <c r="F1120" s="429" t="s">
        <v>771</v>
      </c>
      <c r="G1120" s="925"/>
      <c r="H1120" s="429" t="s">
        <v>1889</v>
      </c>
      <c r="I1120" s="373">
        <v>25860</v>
      </c>
      <c r="J1120" s="379">
        <v>18500</v>
      </c>
      <c r="K1120" s="373"/>
      <c r="L1120" s="379"/>
      <c r="M1120" s="927">
        <f t="shared" si="231"/>
        <v>478410000</v>
      </c>
      <c r="N1120" s="295" t="s">
        <v>264</v>
      </c>
      <c r="O1120" s="295" t="s">
        <v>8</v>
      </c>
      <c r="P1120" s="75" t="str">
        <f>IF(AND('331-CT'!$E$7=TH!H1120,OR(N1120="331",O1120="331")),"x","")</f>
        <v/>
      </c>
      <c r="Q1120" s="75" t="str">
        <f>IF(AND(B1120='111'!$L$11,OR($N1120=$Q$7,$O1120=$Q$7)),"x","")</f>
        <v/>
      </c>
      <c r="R1120" s="75" t="str">
        <f>IF(AND($N1120=$Q$7,$B1120&lt;'111'!$L$11),"x","")</f>
        <v/>
      </c>
      <c r="S1120" s="75" t="str">
        <f>IF(AND($O1120=$Q$7,$B1120&lt;'111'!$L$11),"x","")</f>
        <v/>
      </c>
      <c r="T1120" s="75" t="str">
        <f>IF(ISERROR(FIND('112'!$M$9,G1120,1)),"",IF((AND(FIND('112'!$M$9,G1120,1)&gt;=1,B1120='112'!$K$9,OR($N1120='112'!$I$6,$O1120='112'!$I$6))),"x",""))</f>
        <v/>
      </c>
      <c r="U1120" s="75" t="str">
        <f>IF(ISERROR(FIND('112'!$M$9,G1120,1)),"",IF((AND(LEFT(G1120,2)=LEFT('112'!$M$9,2),B1120&lt;'112'!$K$9,$N1120='112'!$I$6)),"x",""))</f>
        <v/>
      </c>
      <c r="V1120" s="75" t="str">
        <f>IF(ISERROR(FIND('112'!$M$9,G1120,1)),"",IF((AND(RIGHT(G1120,2)=RIGHT('112'!$M$9,2),B1120&lt;'112'!$K$9,$O1120='112'!$I$6)),"x",""))</f>
        <v/>
      </c>
      <c r="W1120" s="75" t="str">
        <f>IF(AND('341-CT'!$H$9=H1120,OR(LEFT(N1120,3)=$W$7,LEFT(O1120,3)=$W$7)),"x","")</f>
        <v/>
      </c>
      <c r="X1120" s="75" t="str">
        <f>IF(OR(TH!N1120=TH!$X$7,O1120=TH!$X$7),"x","")</f>
        <v/>
      </c>
      <c r="Y1120" s="75" t="str">
        <f>IF(AND(OR(N1120="131",O1120="131"),H1120='131-CT'!$H$9),"x","")</f>
        <v/>
      </c>
      <c r="Z1120" s="75"/>
      <c r="AA1120" s="75" t="str">
        <f>IF(AND(MONTH(E1120)='IN-NX'!$J$5,'IN-NX'!$D$7=D1120),"x","")</f>
        <v/>
      </c>
      <c r="AB1120" s="75" t="str">
        <f>IF(AND(OR(LEFT(TH!N1120,2)="15",LEFT(TH!O1120,2)="15"),LEFT(TH!O1120,3)&lt;&gt;"111",'152-CT'!$J$8=TH!F1120),"x","")</f>
        <v/>
      </c>
      <c r="AC1120" s="75" t="str">
        <f>IF(AND(OR(LEFT(TH!N1120,2)="15",LEFT(TH!O1120,2)="15"),TK!$E$7=TH!F1120),"x","")</f>
        <v/>
      </c>
      <c r="AD1120" s="75" t="str">
        <f>IF(AND(N1120="1521",MONTH(C1120)='BK-NL'!$M$11),"x","")</f>
        <v/>
      </c>
    </row>
    <row r="1121" spans="1:30" ht="16.5" customHeight="1">
      <c r="A1121" s="309" t="str">
        <f>IF(B1121&lt;&gt;"",IF(AND(B1121='IN-TC'!$S$4,OR(TH!N1121="1111",TH!O1121="1111")),TH!D1121,""),"")</f>
        <v/>
      </c>
      <c r="B1121" s="1169">
        <f t="shared" si="229"/>
        <v>3</v>
      </c>
      <c r="C1121" s="292">
        <f t="shared" si="230"/>
        <v>42805</v>
      </c>
      <c r="D1121" s="292" t="s">
        <v>2981</v>
      </c>
      <c r="E1121" s="292">
        <v>42805</v>
      </c>
      <c r="F1121" s="429" t="s">
        <v>771</v>
      </c>
      <c r="G1121" s="925"/>
      <c r="H1121" s="429" t="s">
        <v>1887</v>
      </c>
      <c r="I1121" s="373">
        <v>25410</v>
      </c>
      <c r="J1121" s="379">
        <v>18500</v>
      </c>
      <c r="K1121" s="373"/>
      <c r="L1121" s="379"/>
      <c r="M1121" s="927">
        <f t="shared" si="231"/>
        <v>470085000</v>
      </c>
      <c r="N1121" s="295" t="s">
        <v>264</v>
      </c>
      <c r="O1121" s="295" t="s">
        <v>8</v>
      </c>
      <c r="P1121" s="75" t="str">
        <f>IF(AND('331-CT'!$E$7=TH!H1121,OR(N1121="331",O1121="331")),"x","")</f>
        <v/>
      </c>
      <c r="Q1121" s="75" t="str">
        <f>IF(AND(B1121='111'!$L$11,OR($N1121=$Q$7,$O1121=$Q$7)),"x","")</f>
        <v/>
      </c>
      <c r="R1121" s="75" t="str">
        <f>IF(AND($N1121=$Q$7,$B1121&lt;'111'!$L$11),"x","")</f>
        <v/>
      </c>
      <c r="S1121" s="75" t="str">
        <f>IF(AND($O1121=$Q$7,$B1121&lt;'111'!$L$11),"x","")</f>
        <v/>
      </c>
      <c r="T1121" s="75" t="str">
        <f>IF(ISERROR(FIND('112'!$M$9,G1121,1)),"",IF((AND(FIND('112'!$M$9,G1121,1)&gt;=1,B1121='112'!$K$9,OR($N1121='112'!$I$6,$O1121='112'!$I$6))),"x",""))</f>
        <v/>
      </c>
      <c r="U1121" s="75" t="str">
        <f>IF(ISERROR(FIND('112'!$M$9,G1121,1)),"",IF((AND(LEFT(G1121,2)=LEFT('112'!$M$9,2),B1121&lt;'112'!$K$9,$N1121='112'!$I$6)),"x",""))</f>
        <v/>
      </c>
      <c r="V1121" s="75" t="str">
        <f>IF(ISERROR(FIND('112'!$M$9,G1121,1)),"",IF((AND(RIGHT(G1121,2)=RIGHT('112'!$M$9,2),B1121&lt;'112'!$K$9,$O1121='112'!$I$6)),"x",""))</f>
        <v/>
      </c>
      <c r="W1121" s="75" t="str">
        <f>IF(AND('341-CT'!$H$9=H1121,OR(LEFT(N1121,3)=$W$7,LEFT(O1121,3)=$W$7)),"x","")</f>
        <v/>
      </c>
      <c r="X1121" s="75" t="str">
        <f>IF(OR(TH!N1121=TH!$X$7,O1121=TH!$X$7),"x","")</f>
        <v/>
      </c>
      <c r="Y1121" s="75" t="str">
        <f>IF(AND(OR(N1121="131",O1121="131"),H1121='131-CT'!$H$9),"x","")</f>
        <v/>
      </c>
      <c r="Z1121" s="75"/>
      <c r="AA1121" s="75" t="str">
        <f>IF(AND(MONTH(E1121)='IN-NX'!$J$5,'IN-NX'!$D$7=D1121),"x","")</f>
        <v/>
      </c>
      <c r="AB1121" s="75" t="str">
        <f>IF(AND(OR(LEFT(TH!N1121,2)="15",LEFT(TH!O1121,2)="15"),LEFT(TH!O1121,3)&lt;&gt;"111",'152-CT'!$J$8=TH!F1121),"x","")</f>
        <v/>
      </c>
      <c r="AC1121" s="75" t="str">
        <f>IF(AND(OR(LEFT(TH!N1121,2)="15",LEFT(TH!O1121,2)="15"),TK!$E$7=TH!F1121),"x","")</f>
        <v/>
      </c>
      <c r="AD1121" s="75" t="str">
        <f>IF(AND(N1121="1521",MONTH(C1121)='BK-NL'!$M$11),"x","")</f>
        <v/>
      </c>
    </row>
    <row r="1122" spans="1:30" ht="16.5" customHeight="1">
      <c r="A1122" s="309" t="str">
        <f>IF(B1122&lt;&gt;"",IF(AND(B1122='IN-TC'!$S$4,OR(TH!N1122="1111",TH!O1122="1111")),TH!D1122,""),"")</f>
        <v/>
      </c>
      <c r="B1122" s="1169">
        <f t="shared" si="229"/>
        <v>3</v>
      </c>
      <c r="C1122" s="292">
        <f t="shared" si="230"/>
        <v>42805</v>
      </c>
      <c r="D1122" s="292" t="s">
        <v>2983</v>
      </c>
      <c r="E1122" s="292">
        <v>42805</v>
      </c>
      <c r="F1122" s="429" t="s">
        <v>771</v>
      </c>
      <c r="G1122" s="925"/>
      <c r="H1122" s="429" t="s">
        <v>1886</v>
      </c>
      <c r="I1122" s="373">
        <v>25630</v>
      </c>
      <c r="J1122" s="379">
        <v>18500</v>
      </c>
      <c r="K1122" s="373"/>
      <c r="L1122" s="379"/>
      <c r="M1122" s="927">
        <f t="shared" si="231"/>
        <v>474155000</v>
      </c>
      <c r="N1122" s="295" t="s">
        <v>264</v>
      </c>
      <c r="O1122" s="295" t="s">
        <v>8</v>
      </c>
      <c r="P1122" s="75" t="str">
        <f>IF(AND('331-CT'!$E$7=TH!H1122,OR(N1122="331",O1122="331")),"x","")</f>
        <v>x</v>
      </c>
      <c r="Q1122" s="75" t="str">
        <f>IF(AND(B1122='111'!$L$11,OR($N1122=$Q$7,$O1122=$Q$7)),"x","")</f>
        <v/>
      </c>
      <c r="R1122" s="75" t="str">
        <f>IF(AND($N1122=$Q$7,$B1122&lt;'111'!$L$11),"x","")</f>
        <v/>
      </c>
      <c r="S1122" s="75" t="str">
        <f>IF(AND($O1122=$Q$7,$B1122&lt;'111'!$L$11),"x","")</f>
        <v/>
      </c>
      <c r="T1122" s="75" t="str">
        <f>IF(ISERROR(FIND('112'!$M$9,G1122,1)),"",IF((AND(FIND('112'!$M$9,G1122,1)&gt;=1,B1122='112'!$K$9,OR($N1122='112'!$I$6,$O1122='112'!$I$6))),"x",""))</f>
        <v/>
      </c>
      <c r="U1122" s="75" t="str">
        <f>IF(ISERROR(FIND('112'!$M$9,G1122,1)),"",IF((AND(LEFT(G1122,2)=LEFT('112'!$M$9,2),B1122&lt;'112'!$K$9,$N1122='112'!$I$6)),"x",""))</f>
        <v/>
      </c>
      <c r="V1122" s="75" t="str">
        <f>IF(ISERROR(FIND('112'!$M$9,G1122,1)),"",IF((AND(RIGHT(G1122,2)=RIGHT('112'!$M$9,2),B1122&lt;'112'!$K$9,$O1122='112'!$I$6)),"x",""))</f>
        <v/>
      </c>
      <c r="W1122" s="75" t="str">
        <f>IF(AND('341-CT'!$H$9=H1122,OR(LEFT(N1122,3)=$W$7,LEFT(O1122,3)=$W$7)),"x","")</f>
        <v/>
      </c>
      <c r="X1122" s="75" t="str">
        <f>IF(OR(TH!N1122=TH!$X$7,O1122=TH!$X$7),"x","")</f>
        <v/>
      </c>
      <c r="Y1122" s="75" t="str">
        <f>IF(AND(OR(N1122="131",O1122="131"),H1122='131-CT'!$H$9),"x","")</f>
        <v/>
      </c>
      <c r="Z1122" s="75"/>
      <c r="AA1122" s="75" t="str">
        <f>IF(AND(MONTH(E1122)='IN-NX'!$J$5,'IN-NX'!$D$7=D1122),"x","")</f>
        <v/>
      </c>
      <c r="AB1122" s="75" t="str">
        <f>IF(AND(OR(LEFT(TH!N1122,2)="15",LEFT(TH!O1122,2)="15"),LEFT(TH!O1122,3)&lt;&gt;"111",'152-CT'!$J$8=TH!F1122),"x","")</f>
        <v/>
      </c>
      <c r="AC1122" s="75" t="str">
        <f>IF(AND(OR(LEFT(TH!N1122,2)="15",LEFT(TH!O1122,2)="15"),TK!$E$7=TH!F1122),"x","")</f>
        <v/>
      </c>
      <c r="AD1122" s="75" t="str">
        <f>IF(AND(N1122="1521",MONTH(C1122)='BK-NL'!$M$11),"x","")</f>
        <v/>
      </c>
    </row>
    <row r="1123" spans="1:30" ht="16.5" customHeight="1">
      <c r="A1123" s="309" t="str">
        <f>IF(B1123&lt;&gt;"",IF(AND(B1123='IN-TC'!$S$4,OR(TH!N1123="1111",TH!O1123="1111")),TH!D1123,""),"")</f>
        <v/>
      </c>
      <c r="B1123" s="1169">
        <f t="shared" si="229"/>
        <v>3</v>
      </c>
      <c r="C1123" s="292">
        <f t="shared" si="230"/>
        <v>42805</v>
      </c>
      <c r="D1123" s="292" t="s">
        <v>2984</v>
      </c>
      <c r="E1123" s="292">
        <v>42805</v>
      </c>
      <c r="F1123" s="429" t="s">
        <v>771</v>
      </c>
      <c r="G1123" s="925"/>
      <c r="H1123" s="429" t="s">
        <v>1890</v>
      </c>
      <c r="I1123" s="373">
        <v>26840</v>
      </c>
      <c r="J1123" s="379">
        <v>18500</v>
      </c>
      <c r="K1123" s="373"/>
      <c r="L1123" s="379"/>
      <c r="M1123" s="927">
        <f t="shared" si="231"/>
        <v>496540000</v>
      </c>
      <c r="N1123" s="295" t="s">
        <v>264</v>
      </c>
      <c r="O1123" s="295" t="s">
        <v>8</v>
      </c>
      <c r="P1123" s="75" t="str">
        <f>IF(AND('331-CT'!$E$7=TH!H1123,OR(N1123="331",O1123="331")),"x","")</f>
        <v/>
      </c>
      <c r="Q1123" s="75" t="str">
        <f>IF(AND(B1123='111'!$L$11,OR($N1123=$Q$7,$O1123=$Q$7)),"x","")</f>
        <v/>
      </c>
      <c r="R1123" s="75" t="str">
        <f>IF(AND($N1123=$Q$7,$B1123&lt;'111'!$L$11),"x","")</f>
        <v/>
      </c>
      <c r="S1123" s="75" t="str">
        <f>IF(AND($O1123=$Q$7,$B1123&lt;'111'!$L$11),"x","")</f>
        <v/>
      </c>
      <c r="T1123" s="75" t="str">
        <f>IF(ISERROR(FIND('112'!$M$9,G1123,1)),"",IF((AND(FIND('112'!$M$9,G1123,1)&gt;=1,B1123='112'!$K$9,OR($N1123='112'!$I$6,$O1123='112'!$I$6))),"x",""))</f>
        <v/>
      </c>
      <c r="U1123" s="75" t="str">
        <f>IF(ISERROR(FIND('112'!$M$9,G1123,1)),"",IF((AND(LEFT(G1123,2)=LEFT('112'!$M$9,2),B1123&lt;'112'!$K$9,$N1123='112'!$I$6)),"x",""))</f>
        <v/>
      </c>
      <c r="V1123" s="75" t="str">
        <f>IF(ISERROR(FIND('112'!$M$9,G1123,1)),"",IF((AND(RIGHT(G1123,2)=RIGHT('112'!$M$9,2),B1123&lt;'112'!$K$9,$O1123='112'!$I$6)),"x",""))</f>
        <v/>
      </c>
      <c r="W1123" s="75" t="str">
        <f>IF(AND('341-CT'!$H$9=H1123,OR(LEFT(N1123,3)=$W$7,LEFT(O1123,3)=$W$7)),"x","")</f>
        <v/>
      </c>
      <c r="X1123" s="75" t="str">
        <f>IF(OR(TH!N1123=TH!$X$7,O1123=TH!$X$7),"x","")</f>
        <v/>
      </c>
      <c r="Y1123" s="75" t="str">
        <f>IF(AND(OR(N1123="131",O1123="131"),H1123='131-CT'!$H$9),"x","")</f>
        <v/>
      </c>
      <c r="Z1123" s="75"/>
      <c r="AA1123" s="75" t="str">
        <f>IF(AND(MONTH(E1123)='IN-NX'!$J$5,'IN-NX'!$D$7=D1123),"x","")</f>
        <v/>
      </c>
      <c r="AB1123" s="75" t="str">
        <f>IF(AND(OR(LEFT(TH!N1123,2)="15",LEFT(TH!O1123,2)="15"),LEFT(TH!O1123,3)&lt;&gt;"111",'152-CT'!$J$8=TH!F1123),"x","")</f>
        <v/>
      </c>
      <c r="AC1123" s="75" t="str">
        <f>IF(AND(OR(LEFT(TH!N1123,2)="15",LEFT(TH!O1123,2)="15"),TK!$E$7=TH!F1123),"x","")</f>
        <v/>
      </c>
      <c r="AD1123" s="75" t="str">
        <f>IF(AND(N1123="1521",MONTH(C1123)='BK-NL'!$M$11),"x","")</f>
        <v/>
      </c>
    </row>
    <row r="1124" spans="1:30" ht="16.5" customHeight="1">
      <c r="A1124" s="309" t="str">
        <f>IF(B1124&lt;&gt;"",IF(AND(B1124='IN-TC'!$S$4,OR(TH!N1124="1111",TH!O1124="1111")),TH!D1124,""),"")</f>
        <v/>
      </c>
      <c r="B1124" s="1169">
        <f t="shared" ref="B1124:B1125" si="232">IF(C1124&lt;&gt;"",MONTH(C1124),"")</f>
        <v>3</v>
      </c>
      <c r="C1124" s="292">
        <f t="shared" ref="C1124:C1125" si="233">E1124</f>
        <v>42809</v>
      </c>
      <c r="D1124" s="292" t="s">
        <v>2985</v>
      </c>
      <c r="E1124" s="292">
        <v>42809</v>
      </c>
      <c r="F1124" s="429" t="s">
        <v>771</v>
      </c>
      <c r="G1124" s="925"/>
      <c r="H1124" s="429" t="s">
        <v>1886</v>
      </c>
      <c r="I1124" s="373">
        <v>25930</v>
      </c>
      <c r="J1124" s="379">
        <v>18500</v>
      </c>
      <c r="K1124" s="373"/>
      <c r="L1124" s="379"/>
      <c r="M1124" s="927">
        <f t="shared" ref="M1124:M1125" si="234">ROUND(I1124*J1124,0)</f>
        <v>479705000</v>
      </c>
      <c r="N1124" s="295" t="s">
        <v>264</v>
      </c>
      <c r="O1124" s="295" t="s">
        <v>8</v>
      </c>
      <c r="P1124" s="75" t="str">
        <f>IF(AND('331-CT'!$E$7=TH!H1124,OR(N1124="331",O1124="331")),"x","")</f>
        <v>x</v>
      </c>
      <c r="Q1124" s="75" t="str">
        <f>IF(AND(B1124='111'!$L$11,OR($N1124=$Q$7,$O1124=$Q$7)),"x","")</f>
        <v/>
      </c>
      <c r="R1124" s="75" t="str">
        <f>IF(AND($N1124=$Q$7,$B1124&lt;'111'!$L$11),"x","")</f>
        <v/>
      </c>
      <c r="S1124" s="75" t="str">
        <f>IF(AND($O1124=$Q$7,$B1124&lt;'111'!$L$11),"x","")</f>
        <v/>
      </c>
      <c r="T1124" s="75" t="str">
        <f>IF(ISERROR(FIND('112'!$M$9,G1124,1)),"",IF((AND(FIND('112'!$M$9,G1124,1)&gt;=1,B1124='112'!$K$9,OR($N1124='112'!$I$6,$O1124='112'!$I$6))),"x",""))</f>
        <v/>
      </c>
      <c r="U1124" s="75" t="str">
        <f>IF(ISERROR(FIND('112'!$M$9,G1124,1)),"",IF((AND(LEFT(G1124,2)=LEFT('112'!$M$9,2),B1124&lt;'112'!$K$9,$N1124='112'!$I$6)),"x",""))</f>
        <v/>
      </c>
      <c r="V1124" s="75" t="str">
        <f>IF(ISERROR(FIND('112'!$M$9,G1124,1)),"",IF((AND(RIGHT(G1124,2)=RIGHT('112'!$M$9,2),B1124&lt;'112'!$K$9,$O1124='112'!$I$6)),"x",""))</f>
        <v/>
      </c>
      <c r="W1124" s="75" t="str">
        <f>IF(AND('341-CT'!$H$9=H1124,OR(LEFT(N1124,3)=$W$7,LEFT(O1124,3)=$W$7)),"x","")</f>
        <v/>
      </c>
      <c r="X1124" s="75" t="str">
        <f>IF(OR(TH!N1124=TH!$X$7,O1124=TH!$X$7),"x","")</f>
        <v/>
      </c>
      <c r="Y1124" s="75" t="str">
        <f>IF(AND(OR(N1124="131",O1124="131"),H1124='131-CT'!$H$9),"x","")</f>
        <v/>
      </c>
      <c r="Z1124" s="75"/>
      <c r="AA1124" s="75" t="str">
        <f>IF(AND(MONTH(E1124)='IN-NX'!$J$5,'IN-NX'!$D$7=D1124),"x","")</f>
        <v/>
      </c>
      <c r="AB1124" s="75" t="str">
        <f>IF(AND(OR(LEFT(TH!N1124,2)="15",LEFT(TH!O1124,2)="15"),LEFT(TH!O1124,3)&lt;&gt;"111",'152-CT'!$J$8=TH!F1124),"x","")</f>
        <v/>
      </c>
      <c r="AC1124" s="75" t="str">
        <f>IF(AND(OR(LEFT(TH!N1124,2)="15",LEFT(TH!O1124,2)="15"),TK!$E$7=TH!F1124),"x","")</f>
        <v/>
      </c>
      <c r="AD1124" s="75" t="str">
        <f>IF(AND(N1124="1521",MONTH(C1124)='BK-NL'!$M$11),"x","")</f>
        <v/>
      </c>
    </row>
    <row r="1125" spans="1:30" ht="16.5" customHeight="1">
      <c r="A1125" s="309" t="str">
        <f>IF(B1125&lt;&gt;"",IF(AND(B1125='IN-TC'!$S$4,OR(TH!N1125="1111",TH!O1125="1111")),TH!D1125,""),"")</f>
        <v/>
      </c>
      <c r="B1125" s="1169">
        <f t="shared" si="232"/>
        <v>3</v>
      </c>
      <c r="C1125" s="292">
        <f t="shared" si="233"/>
        <v>42809</v>
      </c>
      <c r="D1125" s="292" t="s">
        <v>2986</v>
      </c>
      <c r="E1125" s="292">
        <v>42809</v>
      </c>
      <c r="F1125" s="429" t="s">
        <v>771</v>
      </c>
      <c r="G1125" s="925"/>
      <c r="H1125" s="429" t="s">
        <v>1882</v>
      </c>
      <c r="I1125" s="373">
        <v>26870</v>
      </c>
      <c r="J1125" s="379">
        <v>18500</v>
      </c>
      <c r="K1125" s="373"/>
      <c r="L1125" s="379"/>
      <c r="M1125" s="927">
        <f t="shared" si="234"/>
        <v>497095000</v>
      </c>
      <c r="N1125" s="295" t="s">
        <v>264</v>
      </c>
      <c r="O1125" s="295" t="s">
        <v>8</v>
      </c>
      <c r="P1125" s="75" t="str">
        <f>IF(AND('331-CT'!$E$7=TH!H1125,OR(N1125="331",O1125="331")),"x","")</f>
        <v/>
      </c>
      <c r="Q1125" s="75" t="str">
        <f>IF(AND(B1125='111'!$L$11,OR($N1125=$Q$7,$O1125=$Q$7)),"x","")</f>
        <v/>
      </c>
      <c r="R1125" s="75" t="str">
        <f>IF(AND($N1125=$Q$7,$B1125&lt;'111'!$L$11),"x","")</f>
        <v/>
      </c>
      <c r="S1125" s="75" t="str">
        <f>IF(AND($O1125=$Q$7,$B1125&lt;'111'!$L$11),"x","")</f>
        <v/>
      </c>
      <c r="T1125" s="75" t="str">
        <f>IF(ISERROR(FIND('112'!$M$9,G1125,1)),"",IF((AND(FIND('112'!$M$9,G1125,1)&gt;=1,B1125='112'!$K$9,OR($N1125='112'!$I$6,$O1125='112'!$I$6))),"x",""))</f>
        <v/>
      </c>
      <c r="U1125" s="75" t="str">
        <f>IF(ISERROR(FIND('112'!$M$9,G1125,1)),"",IF((AND(LEFT(G1125,2)=LEFT('112'!$M$9,2),B1125&lt;'112'!$K$9,$N1125='112'!$I$6)),"x",""))</f>
        <v/>
      </c>
      <c r="V1125" s="75" t="str">
        <f>IF(ISERROR(FIND('112'!$M$9,G1125,1)),"",IF((AND(RIGHT(G1125,2)=RIGHT('112'!$M$9,2),B1125&lt;'112'!$K$9,$O1125='112'!$I$6)),"x",""))</f>
        <v/>
      </c>
      <c r="W1125" s="75" t="str">
        <f>IF(AND('341-CT'!$H$9=H1125,OR(LEFT(N1125,3)=$W$7,LEFT(O1125,3)=$W$7)),"x","")</f>
        <v/>
      </c>
      <c r="X1125" s="75" t="str">
        <f>IF(OR(TH!N1125=TH!$X$7,O1125=TH!$X$7),"x","")</f>
        <v/>
      </c>
      <c r="Y1125" s="75" t="str">
        <f>IF(AND(OR(N1125="131",O1125="131"),H1125='131-CT'!$H$9),"x","")</f>
        <v/>
      </c>
      <c r="Z1125" s="75"/>
      <c r="AA1125" s="75" t="str">
        <f>IF(AND(MONTH(E1125)='IN-NX'!$J$5,'IN-NX'!$D$7=D1125),"x","")</f>
        <v/>
      </c>
      <c r="AB1125" s="75" t="str">
        <f>IF(AND(OR(LEFT(TH!N1125,2)="15",LEFT(TH!O1125,2)="15"),LEFT(TH!O1125,3)&lt;&gt;"111",'152-CT'!$J$8=TH!F1125),"x","")</f>
        <v/>
      </c>
      <c r="AC1125" s="75" t="str">
        <f>IF(AND(OR(LEFT(TH!N1125,2)="15",LEFT(TH!O1125,2)="15"),TK!$E$7=TH!F1125),"x","")</f>
        <v/>
      </c>
      <c r="AD1125" s="75" t="str">
        <f>IF(AND(N1125="1521",MONTH(C1125)='BK-NL'!$M$11),"x","")</f>
        <v/>
      </c>
    </row>
    <row r="1126" spans="1:30" ht="16.5" customHeight="1">
      <c r="A1126" s="309" t="str">
        <f>IF(B1126&lt;&gt;"",IF(AND(B1126='IN-TC'!$S$4,OR(TH!N1126="1111",TH!O1126="1111")),TH!D1126,""),"")</f>
        <v/>
      </c>
      <c r="B1126" s="1169">
        <f t="shared" si="229"/>
        <v>3</v>
      </c>
      <c r="C1126" s="292">
        <f t="shared" si="230"/>
        <v>42809</v>
      </c>
      <c r="D1126" s="292" t="s">
        <v>2987</v>
      </c>
      <c r="E1126" s="292">
        <v>42809</v>
      </c>
      <c r="F1126" s="429" t="s">
        <v>771</v>
      </c>
      <c r="G1126" s="925"/>
      <c r="H1126" s="429" t="s">
        <v>1890</v>
      </c>
      <c r="I1126" s="373">
        <v>25710</v>
      </c>
      <c r="J1126" s="379">
        <v>18500</v>
      </c>
      <c r="K1126" s="373"/>
      <c r="L1126" s="379"/>
      <c r="M1126" s="927">
        <f t="shared" si="231"/>
        <v>475635000</v>
      </c>
      <c r="N1126" s="295" t="s">
        <v>264</v>
      </c>
      <c r="O1126" s="295" t="s">
        <v>8</v>
      </c>
      <c r="P1126" s="75" t="str">
        <f>IF(AND('331-CT'!$E$7=TH!H1126,OR(N1126="331",O1126="331")),"x","")</f>
        <v/>
      </c>
      <c r="Q1126" s="75" t="str">
        <f>IF(AND(B1126='111'!$L$11,OR($N1126=$Q$7,$O1126=$Q$7)),"x","")</f>
        <v/>
      </c>
      <c r="R1126" s="75" t="str">
        <f>IF(AND($N1126=$Q$7,$B1126&lt;'111'!$L$11),"x","")</f>
        <v/>
      </c>
      <c r="S1126" s="75" t="str">
        <f>IF(AND($O1126=$Q$7,$B1126&lt;'111'!$L$11),"x","")</f>
        <v/>
      </c>
      <c r="T1126" s="75" t="str">
        <f>IF(ISERROR(FIND('112'!$M$9,G1126,1)),"",IF((AND(FIND('112'!$M$9,G1126,1)&gt;=1,B1126='112'!$K$9,OR($N1126='112'!$I$6,$O1126='112'!$I$6))),"x",""))</f>
        <v/>
      </c>
      <c r="U1126" s="75" t="str">
        <f>IF(ISERROR(FIND('112'!$M$9,G1126,1)),"",IF((AND(LEFT(G1126,2)=LEFT('112'!$M$9,2),B1126&lt;'112'!$K$9,$N1126='112'!$I$6)),"x",""))</f>
        <v/>
      </c>
      <c r="V1126" s="75" t="str">
        <f>IF(ISERROR(FIND('112'!$M$9,G1126,1)),"",IF((AND(RIGHT(G1126,2)=RIGHT('112'!$M$9,2),B1126&lt;'112'!$K$9,$O1126='112'!$I$6)),"x",""))</f>
        <v/>
      </c>
      <c r="W1126" s="75" t="str">
        <f>IF(AND('341-CT'!$H$9=H1126,OR(LEFT(N1126,3)=$W$7,LEFT(O1126,3)=$W$7)),"x","")</f>
        <v/>
      </c>
      <c r="X1126" s="75" t="str">
        <f>IF(OR(TH!N1126=TH!$X$7,O1126=TH!$X$7),"x","")</f>
        <v/>
      </c>
      <c r="Y1126" s="75" t="str">
        <f>IF(AND(OR(N1126="131",O1126="131"),H1126='131-CT'!$H$9),"x","")</f>
        <v/>
      </c>
      <c r="Z1126" s="75"/>
      <c r="AA1126" s="75" t="str">
        <f>IF(AND(MONTH(E1126)='IN-NX'!$J$5,'IN-NX'!$D$7=D1126),"x","")</f>
        <v/>
      </c>
      <c r="AB1126" s="75" t="str">
        <f>IF(AND(OR(LEFT(TH!N1126,2)="15",LEFT(TH!O1126,2)="15"),LEFT(TH!O1126,3)&lt;&gt;"111",'152-CT'!$J$8=TH!F1126),"x","")</f>
        <v/>
      </c>
      <c r="AC1126" s="75" t="str">
        <f>IF(AND(OR(LEFT(TH!N1126,2)="15",LEFT(TH!O1126,2)="15"),TK!$E$7=TH!F1126),"x","")</f>
        <v/>
      </c>
      <c r="AD1126" s="75" t="str">
        <f>IF(AND(N1126="1521",MONTH(C1126)='BK-NL'!$M$11),"x","")</f>
        <v/>
      </c>
    </row>
    <row r="1127" spans="1:30" ht="16.5" customHeight="1">
      <c r="A1127" s="309" t="str">
        <f>IF(B1127&lt;&gt;"",IF(AND(B1127='IN-TC'!$S$4,OR(TH!N1127="1111",TH!O1127="1111")),TH!D1127,""),"")</f>
        <v/>
      </c>
      <c r="B1127" s="1169">
        <f t="shared" si="229"/>
        <v>3</v>
      </c>
      <c r="C1127" s="292">
        <f t="shared" si="230"/>
        <v>42812</v>
      </c>
      <c r="D1127" s="292" t="s">
        <v>2991</v>
      </c>
      <c r="E1127" s="292">
        <v>42812</v>
      </c>
      <c r="F1127" s="429" t="s">
        <v>771</v>
      </c>
      <c r="G1127" s="925"/>
      <c r="H1127" s="429" t="s">
        <v>1882</v>
      </c>
      <c r="I1127" s="373">
        <v>25630</v>
      </c>
      <c r="J1127" s="379">
        <v>18500</v>
      </c>
      <c r="K1127" s="373"/>
      <c r="L1127" s="379"/>
      <c r="M1127" s="927">
        <f t="shared" si="231"/>
        <v>474155000</v>
      </c>
      <c r="N1127" s="295" t="s">
        <v>264</v>
      </c>
      <c r="O1127" s="295" t="s">
        <v>8</v>
      </c>
      <c r="P1127" s="75" t="str">
        <f>IF(AND('331-CT'!$E$7=TH!H1127,OR(N1127="331",O1127="331")),"x","")</f>
        <v/>
      </c>
      <c r="Q1127" s="75" t="str">
        <f>IF(AND(B1127='111'!$L$11,OR($N1127=$Q$7,$O1127=$Q$7)),"x","")</f>
        <v/>
      </c>
      <c r="R1127" s="75" t="str">
        <f>IF(AND($N1127=$Q$7,$B1127&lt;'111'!$L$11),"x","")</f>
        <v/>
      </c>
      <c r="S1127" s="75" t="str">
        <f>IF(AND($O1127=$Q$7,$B1127&lt;'111'!$L$11),"x","")</f>
        <v/>
      </c>
      <c r="T1127" s="75" t="str">
        <f>IF(ISERROR(FIND('112'!$M$9,G1127,1)),"",IF((AND(FIND('112'!$M$9,G1127,1)&gt;=1,B1127='112'!$K$9,OR($N1127='112'!$I$6,$O1127='112'!$I$6))),"x",""))</f>
        <v/>
      </c>
      <c r="U1127" s="75" t="str">
        <f>IF(ISERROR(FIND('112'!$M$9,G1127,1)),"",IF((AND(LEFT(G1127,2)=LEFT('112'!$M$9,2),B1127&lt;'112'!$K$9,$N1127='112'!$I$6)),"x",""))</f>
        <v/>
      </c>
      <c r="V1127" s="75" t="str">
        <f>IF(ISERROR(FIND('112'!$M$9,G1127,1)),"",IF((AND(RIGHT(G1127,2)=RIGHT('112'!$M$9,2),B1127&lt;'112'!$K$9,$O1127='112'!$I$6)),"x",""))</f>
        <v/>
      </c>
      <c r="W1127" s="75" t="str">
        <f>IF(AND('341-CT'!$H$9=H1127,OR(LEFT(N1127,3)=$W$7,LEFT(O1127,3)=$W$7)),"x","")</f>
        <v/>
      </c>
      <c r="X1127" s="75" t="str">
        <f>IF(OR(TH!N1127=TH!$X$7,O1127=TH!$X$7),"x","")</f>
        <v/>
      </c>
      <c r="Y1127" s="75" t="str">
        <f>IF(AND(OR(N1127="131",O1127="131"),H1127='131-CT'!$H$9),"x","")</f>
        <v/>
      </c>
      <c r="Z1127" s="75"/>
      <c r="AA1127" s="75" t="str">
        <f>IF(AND(MONTH(E1127)='IN-NX'!$J$5,'IN-NX'!$D$7=D1127),"x","")</f>
        <v/>
      </c>
      <c r="AB1127" s="75" t="str">
        <f>IF(AND(OR(LEFT(TH!N1127,2)="15",LEFT(TH!O1127,2)="15"),LEFT(TH!O1127,3)&lt;&gt;"111",'152-CT'!$J$8=TH!F1127),"x","")</f>
        <v/>
      </c>
      <c r="AC1127" s="75" t="str">
        <f>IF(AND(OR(LEFT(TH!N1127,2)="15",LEFT(TH!O1127,2)="15"),TK!$E$7=TH!F1127),"x","")</f>
        <v/>
      </c>
      <c r="AD1127" s="75" t="str">
        <f>IF(AND(N1127="1521",MONTH(C1127)='BK-NL'!$M$11),"x","")</f>
        <v/>
      </c>
    </row>
    <row r="1128" spans="1:30" ht="16.5" customHeight="1">
      <c r="A1128" s="309" t="str">
        <f>IF(B1128&lt;&gt;"",IF(AND(B1128='IN-TC'!$S$4,OR(TH!N1128="1111",TH!O1128="1111")),TH!D1128,""),"")</f>
        <v/>
      </c>
      <c r="B1128" s="1169">
        <f t="shared" si="229"/>
        <v>3</v>
      </c>
      <c r="C1128" s="292">
        <f t="shared" si="230"/>
        <v>42812</v>
      </c>
      <c r="D1128" s="292" t="s">
        <v>2992</v>
      </c>
      <c r="E1128" s="292">
        <v>42812</v>
      </c>
      <c r="F1128" s="429" t="s">
        <v>771</v>
      </c>
      <c r="G1128" s="925"/>
      <c r="H1128" s="429" t="s">
        <v>1888</v>
      </c>
      <c r="I1128" s="373">
        <v>25740</v>
      </c>
      <c r="J1128" s="379">
        <v>18500</v>
      </c>
      <c r="K1128" s="373"/>
      <c r="L1128" s="379"/>
      <c r="M1128" s="927">
        <f t="shared" si="231"/>
        <v>476190000</v>
      </c>
      <c r="N1128" s="295" t="s">
        <v>264</v>
      </c>
      <c r="O1128" s="295" t="s">
        <v>8</v>
      </c>
      <c r="P1128" s="75" t="str">
        <f>IF(AND('331-CT'!$E$7=TH!H1128,OR(N1128="331",O1128="331")),"x","")</f>
        <v/>
      </c>
      <c r="Q1128" s="75" t="str">
        <f>IF(AND(B1128='111'!$L$11,OR($N1128=$Q$7,$O1128=$Q$7)),"x","")</f>
        <v/>
      </c>
      <c r="R1128" s="75" t="str">
        <f>IF(AND($N1128=$Q$7,$B1128&lt;'111'!$L$11),"x","")</f>
        <v/>
      </c>
      <c r="S1128" s="75" t="str">
        <f>IF(AND($O1128=$Q$7,$B1128&lt;'111'!$L$11),"x","")</f>
        <v/>
      </c>
      <c r="T1128" s="75" t="str">
        <f>IF(ISERROR(FIND('112'!$M$9,G1128,1)),"",IF((AND(FIND('112'!$M$9,G1128,1)&gt;=1,B1128='112'!$K$9,OR($N1128='112'!$I$6,$O1128='112'!$I$6))),"x",""))</f>
        <v/>
      </c>
      <c r="U1128" s="75" t="str">
        <f>IF(ISERROR(FIND('112'!$M$9,G1128,1)),"",IF((AND(LEFT(G1128,2)=LEFT('112'!$M$9,2),B1128&lt;'112'!$K$9,$N1128='112'!$I$6)),"x",""))</f>
        <v/>
      </c>
      <c r="V1128" s="75" t="str">
        <f>IF(ISERROR(FIND('112'!$M$9,G1128,1)),"",IF((AND(RIGHT(G1128,2)=RIGHT('112'!$M$9,2),B1128&lt;'112'!$K$9,$O1128='112'!$I$6)),"x",""))</f>
        <v/>
      </c>
      <c r="W1128" s="75" t="str">
        <f>IF(AND('341-CT'!$H$9=H1128,OR(LEFT(N1128,3)=$W$7,LEFT(O1128,3)=$W$7)),"x","")</f>
        <v/>
      </c>
      <c r="X1128" s="75" t="str">
        <f>IF(OR(TH!N1128=TH!$X$7,O1128=TH!$X$7),"x","")</f>
        <v/>
      </c>
      <c r="Y1128" s="75" t="str">
        <f>IF(AND(OR(N1128="131",O1128="131"),H1128='131-CT'!$H$9),"x","")</f>
        <v/>
      </c>
      <c r="Z1128" s="75"/>
      <c r="AA1128" s="75" t="str">
        <f>IF(AND(MONTH(E1128)='IN-NX'!$J$5,'IN-NX'!$D$7=D1128),"x","")</f>
        <v/>
      </c>
      <c r="AB1128" s="75" t="str">
        <f>IF(AND(OR(LEFT(TH!N1128,2)="15",LEFT(TH!O1128,2)="15"),LEFT(TH!O1128,3)&lt;&gt;"111",'152-CT'!$J$8=TH!F1128),"x","")</f>
        <v/>
      </c>
      <c r="AC1128" s="75" t="str">
        <f>IF(AND(OR(LEFT(TH!N1128,2)="15",LEFT(TH!O1128,2)="15"),TK!$E$7=TH!F1128),"x","")</f>
        <v/>
      </c>
      <c r="AD1128" s="75" t="str">
        <f>IF(AND(N1128="1521",MONTH(C1128)='BK-NL'!$M$11),"x","")</f>
        <v/>
      </c>
    </row>
    <row r="1129" spans="1:30" ht="16.5" customHeight="1">
      <c r="A1129" s="309" t="str">
        <f>IF(B1129&lt;&gt;"",IF(AND(B1129='IN-TC'!$S$4,OR(TH!N1129="1111",TH!O1129="1111")),TH!D1129,""),"")</f>
        <v/>
      </c>
      <c r="B1129" s="1169">
        <f t="shared" si="226"/>
        <v>3</v>
      </c>
      <c r="C1129" s="292">
        <f t="shared" si="227"/>
        <v>42813</v>
      </c>
      <c r="D1129" s="292" t="s">
        <v>2993</v>
      </c>
      <c r="E1129" s="292">
        <v>42813</v>
      </c>
      <c r="F1129" s="429" t="s">
        <v>771</v>
      </c>
      <c r="G1129" s="925"/>
      <c r="H1129" s="429" t="s">
        <v>1886</v>
      </c>
      <c r="I1129" s="373">
        <v>25630</v>
      </c>
      <c r="J1129" s="379">
        <v>18500</v>
      </c>
      <c r="K1129" s="373"/>
      <c r="L1129" s="379"/>
      <c r="M1129" s="927">
        <f t="shared" si="228"/>
        <v>474155000</v>
      </c>
      <c r="N1129" s="295" t="s">
        <v>264</v>
      </c>
      <c r="O1129" s="295" t="s">
        <v>8</v>
      </c>
      <c r="P1129" s="75" t="str">
        <f>IF(AND('331-CT'!$E$7=TH!H1129,OR(N1129="331",O1129="331")),"x","")</f>
        <v>x</v>
      </c>
      <c r="Q1129" s="75" t="str">
        <f>IF(AND(B1129='111'!$L$11,OR($N1129=$Q$7,$O1129=$Q$7)),"x","")</f>
        <v/>
      </c>
      <c r="R1129" s="75" t="str">
        <f>IF(AND($N1129=$Q$7,$B1129&lt;'111'!$L$11),"x","")</f>
        <v/>
      </c>
      <c r="S1129" s="75" t="str">
        <f>IF(AND($O1129=$Q$7,$B1129&lt;'111'!$L$11),"x","")</f>
        <v/>
      </c>
      <c r="T1129" s="75" t="str">
        <f>IF(ISERROR(FIND('112'!$M$9,G1129,1)),"",IF((AND(FIND('112'!$M$9,G1129,1)&gt;=1,B1129='112'!$K$9,OR($N1129='112'!$I$6,$O1129='112'!$I$6))),"x",""))</f>
        <v/>
      </c>
      <c r="U1129" s="75" t="str">
        <f>IF(ISERROR(FIND('112'!$M$9,G1129,1)),"",IF((AND(LEFT(G1129,2)=LEFT('112'!$M$9,2),B1129&lt;'112'!$K$9,$N1129='112'!$I$6)),"x",""))</f>
        <v/>
      </c>
      <c r="V1129" s="75" t="str">
        <f>IF(ISERROR(FIND('112'!$M$9,G1129,1)),"",IF((AND(RIGHT(G1129,2)=RIGHT('112'!$M$9,2),B1129&lt;'112'!$K$9,$O1129='112'!$I$6)),"x",""))</f>
        <v/>
      </c>
      <c r="W1129" s="75" t="str">
        <f>IF(AND('341-CT'!$H$9=H1129,OR(LEFT(N1129,3)=$W$7,LEFT(O1129,3)=$W$7)),"x","")</f>
        <v/>
      </c>
      <c r="X1129" s="75" t="str">
        <f>IF(OR(TH!N1129=TH!$X$7,O1129=TH!$X$7),"x","")</f>
        <v/>
      </c>
      <c r="Y1129" s="75" t="str">
        <f>IF(AND(OR(N1129="131",O1129="131"),H1129='131-CT'!$H$9),"x","")</f>
        <v/>
      </c>
      <c r="Z1129" s="75"/>
      <c r="AA1129" s="75" t="str">
        <f>IF(AND(MONTH(E1129)='IN-NX'!$J$5,'IN-NX'!$D$7=D1129),"x","")</f>
        <v/>
      </c>
      <c r="AB1129" s="75" t="str">
        <f>IF(AND(OR(LEFT(TH!N1129,2)="15",LEFT(TH!O1129,2)="15"),LEFT(TH!O1129,3)&lt;&gt;"111",'152-CT'!$J$8=TH!F1129),"x","")</f>
        <v/>
      </c>
      <c r="AC1129" s="75" t="str">
        <f>IF(AND(OR(LEFT(TH!N1129,2)="15",LEFT(TH!O1129,2)="15"),TK!$E$7=TH!F1129),"x","")</f>
        <v/>
      </c>
      <c r="AD1129" s="75" t="str">
        <f>IF(AND(N1129="1521",MONTH(C1129)='BK-NL'!$M$11),"x","")</f>
        <v/>
      </c>
    </row>
    <row r="1130" spans="1:30" ht="16.5" customHeight="1">
      <c r="A1130" s="309" t="str">
        <f>IF(B1130&lt;&gt;"",IF(AND(B1130='IN-TC'!$S$4,OR(TH!N1130="1111",TH!O1130="1111")),TH!D1130,""),"")</f>
        <v/>
      </c>
      <c r="B1130" s="1169">
        <f t="shared" si="226"/>
        <v>3</v>
      </c>
      <c r="C1130" s="292">
        <f t="shared" si="227"/>
        <v>42813</v>
      </c>
      <c r="D1130" s="292" t="s">
        <v>2994</v>
      </c>
      <c r="E1130" s="292">
        <v>42813</v>
      </c>
      <c r="F1130" s="429" t="s">
        <v>771</v>
      </c>
      <c r="G1130" s="925"/>
      <c r="H1130" s="429" t="s">
        <v>1882</v>
      </c>
      <c r="I1130" s="373">
        <f>688775-SUM(I1104:I1129)</f>
        <v>25355</v>
      </c>
      <c r="J1130" s="379">
        <v>18500</v>
      </c>
      <c r="K1130" s="373"/>
      <c r="L1130" s="379"/>
      <c r="M1130" s="927">
        <f t="shared" si="228"/>
        <v>469067500</v>
      </c>
      <c r="N1130" s="295" t="s">
        <v>264</v>
      </c>
      <c r="O1130" s="295" t="s">
        <v>8</v>
      </c>
      <c r="P1130" s="75" t="str">
        <f>IF(AND('331-CT'!$E$7=TH!H1130,OR(N1130="331",O1130="331")),"x","")</f>
        <v/>
      </c>
      <c r="Q1130" s="75" t="str">
        <f>IF(AND(B1130='111'!$L$11,OR($N1130=$Q$7,$O1130=$Q$7)),"x","")</f>
        <v/>
      </c>
      <c r="R1130" s="75" t="str">
        <f>IF(AND($N1130=$Q$7,$B1130&lt;'111'!$L$11),"x","")</f>
        <v/>
      </c>
      <c r="S1130" s="75" t="str">
        <f>IF(AND($O1130=$Q$7,$B1130&lt;'111'!$L$11),"x","")</f>
        <v/>
      </c>
      <c r="T1130" s="75" t="str">
        <f>IF(ISERROR(FIND('112'!$M$9,G1130,1)),"",IF((AND(FIND('112'!$M$9,G1130,1)&gt;=1,B1130='112'!$K$9,OR($N1130='112'!$I$6,$O1130='112'!$I$6))),"x",""))</f>
        <v/>
      </c>
      <c r="U1130" s="75" t="str">
        <f>IF(ISERROR(FIND('112'!$M$9,G1130,1)),"",IF((AND(LEFT(G1130,2)=LEFT('112'!$M$9,2),B1130&lt;'112'!$K$9,$N1130='112'!$I$6)),"x",""))</f>
        <v/>
      </c>
      <c r="V1130" s="75" t="str">
        <f>IF(ISERROR(FIND('112'!$M$9,G1130,1)),"",IF((AND(RIGHT(G1130,2)=RIGHT('112'!$M$9,2),B1130&lt;'112'!$K$9,$O1130='112'!$I$6)),"x",""))</f>
        <v/>
      </c>
      <c r="W1130" s="75" t="str">
        <f>IF(AND('341-CT'!$H$9=H1130,OR(LEFT(N1130,3)=$W$7,LEFT(O1130,3)=$W$7)),"x","")</f>
        <v/>
      </c>
      <c r="X1130" s="75" t="str">
        <f>IF(OR(TH!N1130=TH!$X$7,O1130=TH!$X$7),"x","")</f>
        <v/>
      </c>
      <c r="Y1130" s="75" t="str">
        <f>IF(AND(OR(N1130="131",O1130="131"),H1130='131-CT'!$H$9),"x","")</f>
        <v/>
      </c>
      <c r="Z1130" s="75"/>
      <c r="AA1130" s="75" t="str">
        <f>IF(AND(MONTH(E1130)='IN-NX'!$J$5,'IN-NX'!$D$7=D1130),"x","")</f>
        <v/>
      </c>
      <c r="AB1130" s="75" t="str">
        <f>IF(AND(OR(LEFT(TH!N1130,2)="15",LEFT(TH!O1130,2)="15"),LEFT(TH!O1130,3)&lt;&gt;"111",'152-CT'!$J$8=TH!F1130),"x","")</f>
        <v/>
      </c>
      <c r="AC1130" s="75" t="str">
        <f>IF(AND(OR(LEFT(TH!N1130,2)="15",LEFT(TH!O1130,2)="15"),TK!$E$7=TH!F1130),"x","")</f>
        <v/>
      </c>
      <c r="AD1130" s="75" t="str">
        <f>IF(AND(N1130="1521",MONTH(C1130)='BK-NL'!$M$11),"x","")</f>
        <v/>
      </c>
    </row>
    <row r="1131" spans="1:30" ht="16.5" customHeight="1">
      <c r="A1131" s="309" t="str">
        <f>IF(B1131&lt;&gt;"",IF(AND(B1131='IN-TC'!$S$4,OR(TH!N1131="1111",TH!O1131="1111")),TH!D1131,""),"")</f>
        <v/>
      </c>
      <c r="B1131" s="1169">
        <f t="shared" si="226"/>
        <v>3</v>
      </c>
      <c r="C1131" s="292">
        <f t="shared" si="227"/>
        <v>42796</v>
      </c>
      <c r="D1131" s="292" t="s">
        <v>2962</v>
      </c>
      <c r="E1131" s="292">
        <v>42796</v>
      </c>
      <c r="F1131" s="425" t="s">
        <v>565</v>
      </c>
      <c r="G1131" s="925"/>
      <c r="H1131" s="429" t="s">
        <v>348</v>
      </c>
      <c r="I1131" s="373">
        <v>10540</v>
      </c>
      <c r="J1131" s="379">
        <v>16200</v>
      </c>
      <c r="K1131" s="373"/>
      <c r="L1131" s="379"/>
      <c r="M1131" s="927">
        <f t="shared" si="228"/>
        <v>170748000</v>
      </c>
      <c r="N1131" s="295" t="s">
        <v>264</v>
      </c>
      <c r="O1131" s="295" t="s">
        <v>8</v>
      </c>
      <c r="P1131" s="75" t="str">
        <f>IF(AND('331-CT'!$E$7=TH!H1131,OR(N1131="331",O1131="331")),"x","")</f>
        <v/>
      </c>
      <c r="Q1131" s="75" t="str">
        <f>IF(AND(B1131='111'!$L$11,OR($N1131=$Q$7,$O1131=$Q$7)),"x","")</f>
        <v/>
      </c>
      <c r="R1131" s="75" t="str">
        <f>IF(AND($N1131=$Q$7,$B1131&lt;'111'!$L$11),"x","")</f>
        <v/>
      </c>
      <c r="S1131" s="75" t="str">
        <f>IF(AND($O1131=$Q$7,$B1131&lt;'111'!$L$11),"x","")</f>
        <v/>
      </c>
      <c r="T1131" s="75" t="str">
        <f>IF(ISERROR(FIND('112'!$M$9,G1131,1)),"",IF((AND(FIND('112'!$M$9,G1131,1)&gt;=1,B1131='112'!$K$9,OR($N1131='112'!$I$6,$O1131='112'!$I$6))),"x",""))</f>
        <v/>
      </c>
      <c r="U1131" s="75" t="str">
        <f>IF(ISERROR(FIND('112'!$M$9,G1131,1)),"",IF((AND(LEFT(G1131,2)=LEFT('112'!$M$9,2),B1131&lt;'112'!$K$9,$N1131='112'!$I$6)),"x",""))</f>
        <v/>
      </c>
      <c r="V1131" s="75" t="str">
        <f>IF(ISERROR(FIND('112'!$M$9,G1131,1)),"",IF((AND(RIGHT(G1131,2)=RIGHT('112'!$M$9,2),B1131&lt;'112'!$K$9,$O1131='112'!$I$6)),"x",""))</f>
        <v/>
      </c>
      <c r="W1131" s="75" t="str">
        <f>IF(AND('341-CT'!$H$9=H1131,OR(LEFT(N1131,3)=$W$7,LEFT(O1131,3)=$W$7)),"x","")</f>
        <v/>
      </c>
      <c r="X1131" s="75" t="str">
        <f>IF(OR(TH!N1131=TH!$X$7,O1131=TH!$X$7),"x","")</f>
        <v/>
      </c>
      <c r="Y1131" s="75" t="str">
        <f>IF(AND(OR(N1131="131",O1131="131"),H1131='131-CT'!$H$9),"x","")</f>
        <v/>
      </c>
      <c r="Z1131" s="75"/>
      <c r="AA1131" s="75" t="str">
        <f>IF(AND(MONTH(E1131)='IN-NX'!$J$5,'IN-NX'!$D$7=D1131),"x","")</f>
        <v/>
      </c>
      <c r="AB1131" s="75" t="str">
        <f>IF(AND(OR(LEFT(TH!N1131,2)="15",LEFT(TH!O1131,2)="15"),LEFT(TH!O1131,3)&lt;&gt;"111",'152-CT'!$J$8=TH!F1131),"x","")</f>
        <v/>
      </c>
      <c r="AC1131" s="75" t="str">
        <f>IF(AND(OR(LEFT(TH!N1131,2)="15",LEFT(TH!O1131,2)="15"),TK!$E$7=TH!F1131),"x","")</f>
        <v/>
      </c>
      <c r="AD1131" s="75" t="str">
        <f>IF(AND(N1131="1521",MONTH(C1131)='BK-NL'!$M$11),"x","")</f>
        <v/>
      </c>
    </row>
    <row r="1132" spans="1:30" ht="16.5" customHeight="1">
      <c r="A1132" s="309" t="str">
        <f>IF(B1132&lt;&gt;"",IF(AND(B1132='IN-TC'!$S$4,OR(TH!N1132="1111",TH!O1132="1111")),TH!D1132,""),"")</f>
        <v/>
      </c>
      <c r="B1132" s="1169">
        <f t="shared" si="226"/>
        <v>3</v>
      </c>
      <c r="C1132" s="292">
        <f t="shared" si="227"/>
        <v>42796</v>
      </c>
      <c r="D1132" s="292" t="s">
        <v>2963</v>
      </c>
      <c r="E1132" s="292">
        <v>42796</v>
      </c>
      <c r="F1132" s="425" t="s">
        <v>565</v>
      </c>
      <c r="G1132" s="925"/>
      <c r="H1132" s="429" t="s">
        <v>350</v>
      </c>
      <c r="I1132" s="373">
        <v>10450</v>
      </c>
      <c r="J1132" s="379">
        <v>16200</v>
      </c>
      <c r="K1132" s="373"/>
      <c r="L1132" s="379"/>
      <c r="M1132" s="927">
        <f t="shared" si="228"/>
        <v>169290000</v>
      </c>
      <c r="N1132" s="295" t="s">
        <v>264</v>
      </c>
      <c r="O1132" s="295" t="s">
        <v>8</v>
      </c>
      <c r="P1132" s="75" t="str">
        <f>IF(AND('331-CT'!$E$7=TH!H1132,OR(N1132="331",O1132="331")),"x","")</f>
        <v/>
      </c>
      <c r="Q1132" s="75" t="str">
        <f>IF(AND(B1132='111'!$L$11,OR($N1132=$Q$7,$O1132=$Q$7)),"x","")</f>
        <v/>
      </c>
      <c r="R1132" s="75" t="str">
        <f>IF(AND($N1132=$Q$7,$B1132&lt;'111'!$L$11),"x","")</f>
        <v/>
      </c>
      <c r="S1132" s="75" t="str">
        <f>IF(AND($O1132=$Q$7,$B1132&lt;'111'!$L$11),"x","")</f>
        <v/>
      </c>
      <c r="T1132" s="75" t="str">
        <f>IF(ISERROR(FIND('112'!$M$9,G1132,1)),"",IF((AND(FIND('112'!$M$9,G1132,1)&gt;=1,B1132='112'!$K$9,OR($N1132='112'!$I$6,$O1132='112'!$I$6))),"x",""))</f>
        <v/>
      </c>
      <c r="U1132" s="75" t="str">
        <f>IF(ISERROR(FIND('112'!$M$9,G1132,1)),"",IF((AND(LEFT(G1132,2)=LEFT('112'!$M$9,2),B1132&lt;'112'!$K$9,$N1132='112'!$I$6)),"x",""))</f>
        <v/>
      </c>
      <c r="V1132" s="75" t="str">
        <f>IF(ISERROR(FIND('112'!$M$9,G1132,1)),"",IF((AND(RIGHT(G1132,2)=RIGHT('112'!$M$9,2),B1132&lt;'112'!$K$9,$O1132='112'!$I$6)),"x",""))</f>
        <v/>
      </c>
      <c r="W1132" s="75" t="str">
        <f>IF(AND('341-CT'!$H$9=H1132,OR(LEFT(N1132,3)=$W$7,LEFT(O1132,3)=$W$7)),"x","")</f>
        <v/>
      </c>
      <c r="X1132" s="75" t="str">
        <f>IF(OR(TH!N1132=TH!$X$7,O1132=TH!$X$7),"x","")</f>
        <v/>
      </c>
      <c r="Y1132" s="75" t="str">
        <f>IF(AND(OR(N1132="131",O1132="131"),H1132='131-CT'!$H$9),"x","")</f>
        <v/>
      </c>
      <c r="Z1132" s="75"/>
      <c r="AA1132" s="75" t="str">
        <f>IF(AND(MONTH(E1132)='IN-NX'!$J$5,'IN-NX'!$D$7=D1132),"x","")</f>
        <v/>
      </c>
      <c r="AB1132" s="75" t="str">
        <f>IF(AND(OR(LEFT(TH!N1132,2)="15",LEFT(TH!O1132,2)="15"),LEFT(TH!O1132,3)&lt;&gt;"111",'152-CT'!$J$8=TH!F1132),"x","")</f>
        <v/>
      </c>
      <c r="AC1132" s="75" t="str">
        <f>IF(AND(OR(LEFT(TH!N1132,2)="15",LEFT(TH!O1132,2)="15"),TK!$E$7=TH!F1132),"x","")</f>
        <v/>
      </c>
      <c r="AD1132" s="75" t="str">
        <f>IF(AND(N1132="1521",MONTH(C1132)='BK-NL'!$M$11),"x","")</f>
        <v/>
      </c>
    </row>
    <row r="1133" spans="1:30" ht="16.5" customHeight="1">
      <c r="A1133" s="309" t="str">
        <f>IF(B1133&lt;&gt;"",IF(AND(B1133='IN-TC'!$S$4,OR(TH!N1133="1111",TH!O1133="1111")),TH!D1133,""),"")</f>
        <v/>
      </c>
      <c r="B1133" s="1169">
        <f t="shared" si="226"/>
        <v>3</v>
      </c>
      <c r="C1133" s="292">
        <f t="shared" si="227"/>
        <v>42796</v>
      </c>
      <c r="D1133" s="292" t="s">
        <v>2964</v>
      </c>
      <c r="E1133" s="292">
        <v>42796</v>
      </c>
      <c r="F1133" s="425" t="s">
        <v>565</v>
      </c>
      <c r="G1133" s="925"/>
      <c r="H1133" s="429" t="s">
        <v>342</v>
      </c>
      <c r="I1133" s="373">
        <f>31680-SUM(I1131:I1132)</f>
        <v>10690</v>
      </c>
      <c r="J1133" s="379">
        <v>16200</v>
      </c>
      <c r="K1133" s="373"/>
      <c r="L1133" s="379"/>
      <c r="M1133" s="927">
        <f t="shared" si="228"/>
        <v>173178000</v>
      </c>
      <c r="N1133" s="295" t="s">
        <v>264</v>
      </c>
      <c r="O1133" s="295" t="s">
        <v>8</v>
      </c>
      <c r="P1133" s="75" t="str">
        <f>IF(AND('331-CT'!$E$7=TH!H1133,OR(N1133="331",O1133="331")),"x","")</f>
        <v/>
      </c>
      <c r="Q1133" s="75" t="str">
        <f>IF(AND(B1133='111'!$L$11,OR($N1133=$Q$7,$O1133=$Q$7)),"x","")</f>
        <v/>
      </c>
      <c r="R1133" s="75" t="str">
        <f>IF(AND($N1133=$Q$7,$B1133&lt;'111'!$L$11),"x","")</f>
        <v/>
      </c>
      <c r="S1133" s="75" t="str">
        <f>IF(AND($O1133=$Q$7,$B1133&lt;'111'!$L$11),"x","")</f>
        <v/>
      </c>
      <c r="T1133" s="75" t="str">
        <f>IF(ISERROR(FIND('112'!$M$9,G1133,1)),"",IF((AND(FIND('112'!$M$9,G1133,1)&gt;=1,B1133='112'!$K$9,OR($N1133='112'!$I$6,$O1133='112'!$I$6))),"x",""))</f>
        <v/>
      </c>
      <c r="U1133" s="75" t="str">
        <f>IF(ISERROR(FIND('112'!$M$9,G1133,1)),"",IF((AND(LEFT(G1133,2)=LEFT('112'!$M$9,2),B1133&lt;'112'!$K$9,$N1133='112'!$I$6)),"x",""))</f>
        <v/>
      </c>
      <c r="V1133" s="75" t="str">
        <f>IF(ISERROR(FIND('112'!$M$9,G1133,1)),"",IF((AND(RIGHT(G1133,2)=RIGHT('112'!$M$9,2),B1133&lt;'112'!$K$9,$O1133='112'!$I$6)),"x",""))</f>
        <v/>
      </c>
      <c r="W1133" s="75" t="str">
        <f>IF(AND('341-CT'!$H$9=H1133,OR(LEFT(N1133,3)=$W$7,LEFT(O1133,3)=$W$7)),"x","")</f>
        <v/>
      </c>
      <c r="X1133" s="75" t="str">
        <f>IF(OR(TH!N1133=TH!$X$7,O1133=TH!$X$7),"x","")</f>
        <v/>
      </c>
      <c r="Y1133" s="75" t="str">
        <f>IF(AND(OR(N1133="131",O1133="131"),H1133='131-CT'!$H$9),"x","")</f>
        <v/>
      </c>
      <c r="Z1133" s="75"/>
      <c r="AA1133" s="75" t="str">
        <f>IF(AND(MONTH(E1133)='IN-NX'!$J$5,'IN-NX'!$D$7=D1133),"x","")</f>
        <v/>
      </c>
      <c r="AB1133" s="75" t="str">
        <f>IF(AND(OR(LEFT(TH!N1133,2)="15",LEFT(TH!O1133,2)="15"),LEFT(TH!O1133,3)&lt;&gt;"111",'152-CT'!$J$8=TH!F1133),"x","")</f>
        <v/>
      </c>
      <c r="AC1133" s="75" t="str">
        <f>IF(AND(OR(LEFT(TH!N1133,2)="15",LEFT(TH!O1133,2)="15"),TK!$E$7=TH!F1133),"x","")</f>
        <v/>
      </c>
      <c r="AD1133" s="75" t="str">
        <f>IF(AND(N1133="1521",MONTH(C1133)='BK-NL'!$M$11),"x","")</f>
        <v/>
      </c>
    </row>
    <row r="1134" spans="1:30" ht="16.5" customHeight="1">
      <c r="A1134" s="309" t="str">
        <f>IF(B1134&lt;&gt;"",IF(AND(B1134='IN-TC'!$S$4,OR(TH!N1134="1111",TH!O1134="1111")),TH!D1134,""),"")</f>
        <v/>
      </c>
      <c r="B1134" s="1169">
        <f t="shared" si="226"/>
        <v>3</v>
      </c>
      <c r="C1134" s="292">
        <f t="shared" si="227"/>
        <v>42809</v>
      </c>
      <c r="D1134" s="292" t="s">
        <v>2990</v>
      </c>
      <c r="E1134" s="292">
        <v>42809</v>
      </c>
      <c r="F1134" s="67" t="s">
        <v>2998</v>
      </c>
      <c r="G1134" s="925"/>
      <c r="H1134" s="429" t="s">
        <v>382</v>
      </c>
      <c r="I1134" s="373">
        <v>6555</v>
      </c>
      <c r="J1134" s="379">
        <v>22100</v>
      </c>
      <c r="K1134" s="373"/>
      <c r="L1134" s="379"/>
      <c r="M1134" s="927">
        <f t="shared" si="228"/>
        <v>144865500</v>
      </c>
      <c r="N1134" s="295" t="s">
        <v>264</v>
      </c>
      <c r="O1134" s="295" t="s">
        <v>8</v>
      </c>
      <c r="P1134" s="75" t="str">
        <f>IF(AND('331-CT'!$E$7=TH!H1134,OR(N1134="331",O1134="331")),"x","")</f>
        <v/>
      </c>
      <c r="Q1134" s="75" t="str">
        <f>IF(AND(B1134='111'!$L$11,OR($N1134=$Q$7,$O1134=$Q$7)),"x","")</f>
        <v/>
      </c>
      <c r="R1134" s="75" t="str">
        <f>IF(AND($N1134=$Q$7,$B1134&lt;'111'!$L$11),"x","")</f>
        <v/>
      </c>
      <c r="S1134" s="75" t="str">
        <f>IF(AND($O1134=$Q$7,$B1134&lt;'111'!$L$11),"x","")</f>
        <v/>
      </c>
      <c r="T1134" s="75" t="str">
        <f>IF(ISERROR(FIND('112'!$M$9,G1134,1)),"",IF((AND(FIND('112'!$M$9,G1134,1)&gt;=1,B1134='112'!$K$9,OR($N1134='112'!$I$6,$O1134='112'!$I$6))),"x",""))</f>
        <v/>
      </c>
      <c r="U1134" s="75" t="str">
        <f>IF(ISERROR(FIND('112'!$M$9,G1134,1)),"",IF((AND(LEFT(G1134,2)=LEFT('112'!$M$9,2),B1134&lt;'112'!$K$9,$N1134='112'!$I$6)),"x",""))</f>
        <v/>
      </c>
      <c r="V1134" s="75" t="str">
        <f>IF(ISERROR(FIND('112'!$M$9,G1134,1)),"",IF((AND(RIGHT(G1134,2)=RIGHT('112'!$M$9,2),B1134&lt;'112'!$K$9,$O1134='112'!$I$6)),"x",""))</f>
        <v/>
      </c>
      <c r="W1134" s="75" t="str">
        <f>IF(AND('341-CT'!$H$9=H1134,OR(LEFT(N1134,3)=$W$7,LEFT(O1134,3)=$W$7)),"x","")</f>
        <v/>
      </c>
      <c r="X1134" s="75" t="str">
        <f>IF(OR(TH!N1134=TH!$X$7,O1134=TH!$X$7),"x","")</f>
        <v/>
      </c>
      <c r="Y1134" s="75" t="str">
        <f>IF(AND(OR(N1134="131",O1134="131"),H1134='131-CT'!$H$9),"x","")</f>
        <v/>
      </c>
      <c r="Z1134" s="75"/>
      <c r="AA1134" s="75" t="str">
        <f>IF(AND(MONTH(E1134)='IN-NX'!$J$5,'IN-NX'!$D$7=D1134),"x","")</f>
        <v/>
      </c>
      <c r="AB1134" s="75" t="str">
        <f>IF(AND(OR(LEFT(TH!N1134,2)="15",LEFT(TH!O1134,2)="15"),LEFT(TH!O1134,3)&lt;&gt;"111",'152-CT'!$J$8=TH!F1134),"x","")</f>
        <v/>
      </c>
      <c r="AC1134" s="75" t="str">
        <f>IF(AND(OR(LEFT(TH!N1134,2)="15",LEFT(TH!O1134,2)="15"),TK!$E$7=TH!F1134),"x","")</f>
        <v/>
      </c>
      <c r="AD1134" s="75" t="str">
        <f>IF(AND(N1134="1521",MONTH(C1134)='BK-NL'!$M$11),"x","")</f>
        <v/>
      </c>
    </row>
    <row r="1135" spans="1:30" ht="16.5" customHeight="1">
      <c r="A1135" s="309" t="str">
        <f>IF(B1135&lt;&gt;"",IF(AND(B1135='IN-TC'!$S$4,OR(TH!N1135="1111",TH!O1135="1111")),TH!D1135,""),"")</f>
        <v/>
      </c>
      <c r="B1135" s="1169">
        <f t="shared" si="226"/>
        <v>3</v>
      </c>
      <c r="C1135" s="292">
        <f t="shared" si="227"/>
        <v>42809</v>
      </c>
      <c r="D1135" s="292" t="s">
        <v>2990</v>
      </c>
      <c r="E1135" s="292">
        <v>42809</v>
      </c>
      <c r="F1135" s="429" t="s">
        <v>2999</v>
      </c>
      <c r="G1135" s="925"/>
      <c r="H1135" s="429" t="s">
        <v>382</v>
      </c>
      <c r="I1135" s="373">
        <v>2640</v>
      </c>
      <c r="J1135" s="379">
        <v>40000</v>
      </c>
      <c r="K1135" s="373"/>
      <c r="L1135" s="379"/>
      <c r="M1135" s="927">
        <f t="shared" si="228"/>
        <v>105600000</v>
      </c>
      <c r="N1135" s="295" t="s">
        <v>264</v>
      </c>
      <c r="O1135" s="295" t="s">
        <v>8</v>
      </c>
      <c r="P1135" s="75" t="str">
        <f>IF(AND('331-CT'!$E$7=TH!H1135,OR(N1135="331",O1135="331")),"x","")</f>
        <v/>
      </c>
      <c r="Q1135" s="75" t="str">
        <f>IF(AND(B1135='111'!$L$11,OR($N1135=$Q$7,$O1135=$Q$7)),"x","")</f>
        <v/>
      </c>
      <c r="R1135" s="75" t="str">
        <f>IF(AND($N1135=$Q$7,$B1135&lt;'111'!$L$11),"x","")</f>
        <v/>
      </c>
      <c r="S1135" s="75" t="str">
        <f>IF(AND($O1135=$Q$7,$B1135&lt;'111'!$L$11),"x","")</f>
        <v/>
      </c>
      <c r="T1135" s="75" t="str">
        <f>IF(ISERROR(FIND('112'!$M$9,G1135,1)),"",IF((AND(FIND('112'!$M$9,G1135,1)&gt;=1,B1135='112'!$K$9,OR($N1135='112'!$I$6,$O1135='112'!$I$6))),"x",""))</f>
        <v/>
      </c>
      <c r="U1135" s="75" t="str">
        <f>IF(ISERROR(FIND('112'!$M$9,G1135,1)),"",IF((AND(LEFT(G1135,2)=LEFT('112'!$M$9,2),B1135&lt;'112'!$K$9,$N1135='112'!$I$6)),"x",""))</f>
        <v/>
      </c>
      <c r="V1135" s="75" t="str">
        <f>IF(ISERROR(FIND('112'!$M$9,G1135,1)),"",IF((AND(RIGHT(G1135,2)=RIGHT('112'!$M$9,2),B1135&lt;'112'!$K$9,$O1135='112'!$I$6)),"x",""))</f>
        <v/>
      </c>
      <c r="W1135" s="75" t="str">
        <f>IF(AND('341-CT'!$H$9=H1135,OR(LEFT(N1135,3)=$W$7,LEFT(O1135,3)=$W$7)),"x","")</f>
        <v/>
      </c>
      <c r="X1135" s="75" t="str">
        <f>IF(OR(TH!N1135=TH!$X$7,O1135=TH!$X$7),"x","")</f>
        <v/>
      </c>
      <c r="Y1135" s="75" t="str">
        <f>IF(AND(OR(N1135="131",O1135="131"),H1135='131-CT'!$H$9),"x","")</f>
        <v/>
      </c>
      <c r="Z1135" s="75"/>
      <c r="AA1135" s="75" t="str">
        <f>IF(AND(MONTH(E1135)='IN-NX'!$J$5,'IN-NX'!$D$7=D1135),"x","")</f>
        <v/>
      </c>
      <c r="AB1135" s="75" t="str">
        <f>IF(AND(OR(LEFT(TH!N1135,2)="15",LEFT(TH!O1135,2)="15"),LEFT(TH!O1135,3)&lt;&gt;"111",'152-CT'!$J$8=TH!F1135),"x","")</f>
        <v/>
      </c>
      <c r="AC1135" s="75" t="str">
        <f>IF(AND(OR(LEFT(TH!N1135,2)="15",LEFT(TH!O1135,2)="15"),TK!$E$7=TH!F1135),"x","")</f>
        <v/>
      </c>
      <c r="AD1135" s="75" t="str">
        <f>IF(AND(N1135="1521",MONTH(C1135)='BK-NL'!$M$11),"x","")</f>
        <v/>
      </c>
    </row>
    <row r="1136" spans="1:30" ht="16.5" customHeight="1">
      <c r="A1136" s="309" t="str">
        <f>IF(B1136&lt;&gt;"",IF(AND(B1136='IN-TC'!$S$4,OR(TH!N1136="1111",TH!O1136="1111")),TH!D1136,""),"")</f>
        <v/>
      </c>
      <c r="B1136" s="1169">
        <f t="shared" si="226"/>
        <v>3</v>
      </c>
      <c r="C1136" s="292">
        <f t="shared" si="227"/>
        <v>42809</v>
      </c>
      <c r="D1136" s="292" t="s">
        <v>2990</v>
      </c>
      <c r="E1136" s="292">
        <v>42809</v>
      </c>
      <c r="F1136" s="67" t="s">
        <v>790</v>
      </c>
      <c r="G1136" s="925"/>
      <c r="H1136" s="429" t="s">
        <v>382</v>
      </c>
      <c r="I1136" s="373">
        <v>600</v>
      </c>
      <c r="J1136" s="379">
        <v>28500</v>
      </c>
      <c r="K1136" s="373"/>
      <c r="L1136" s="379"/>
      <c r="M1136" s="927">
        <f t="shared" si="228"/>
        <v>17100000</v>
      </c>
      <c r="N1136" s="295" t="s">
        <v>264</v>
      </c>
      <c r="O1136" s="295" t="s">
        <v>8</v>
      </c>
      <c r="P1136" s="75" t="str">
        <f>IF(AND('331-CT'!$E$7=TH!H1136,OR(N1136="331",O1136="331")),"x","")</f>
        <v/>
      </c>
      <c r="Q1136" s="75" t="str">
        <f>IF(AND(B1136='111'!$L$11,OR($N1136=$Q$7,$O1136=$Q$7)),"x","")</f>
        <v/>
      </c>
      <c r="R1136" s="75" t="str">
        <f>IF(AND($N1136=$Q$7,$B1136&lt;'111'!$L$11),"x","")</f>
        <v/>
      </c>
      <c r="S1136" s="75" t="str">
        <f>IF(AND($O1136=$Q$7,$B1136&lt;'111'!$L$11),"x","")</f>
        <v/>
      </c>
      <c r="T1136" s="75" t="str">
        <f>IF(ISERROR(FIND('112'!$M$9,G1136,1)),"",IF((AND(FIND('112'!$M$9,G1136,1)&gt;=1,B1136='112'!$K$9,OR($N1136='112'!$I$6,$O1136='112'!$I$6))),"x",""))</f>
        <v/>
      </c>
      <c r="U1136" s="75" t="str">
        <f>IF(ISERROR(FIND('112'!$M$9,G1136,1)),"",IF((AND(LEFT(G1136,2)=LEFT('112'!$M$9,2),B1136&lt;'112'!$K$9,$N1136='112'!$I$6)),"x",""))</f>
        <v/>
      </c>
      <c r="V1136" s="75" t="str">
        <f>IF(ISERROR(FIND('112'!$M$9,G1136,1)),"",IF((AND(RIGHT(G1136,2)=RIGHT('112'!$M$9,2),B1136&lt;'112'!$K$9,$O1136='112'!$I$6)),"x",""))</f>
        <v/>
      </c>
      <c r="W1136" s="75" t="str">
        <f>IF(AND('341-CT'!$H$9=H1136,OR(LEFT(N1136,3)=$W$7,LEFT(O1136,3)=$W$7)),"x","")</f>
        <v/>
      </c>
      <c r="X1136" s="75" t="str">
        <f>IF(OR(TH!N1136=TH!$X$7,O1136=TH!$X$7),"x","")</f>
        <v/>
      </c>
      <c r="Y1136" s="75" t="str">
        <f>IF(AND(OR(N1136="131",O1136="131"),H1136='131-CT'!$H$9),"x","")</f>
        <v/>
      </c>
      <c r="Z1136" s="75"/>
      <c r="AA1136" s="75" t="str">
        <f>IF(AND(MONTH(E1136)='IN-NX'!$J$5,'IN-NX'!$D$7=D1136),"x","")</f>
        <v/>
      </c>
      <c r="AB1136" s="75" t="str">
        <f>IF(AND(OR(LEFT(TH!N1136,2)="15",LEFT(TH!O1136,2)="15"),LEFT(TH!O1136,3)&lt;&gt;"111",'152-CT'!$J$8=TH!F1136),"x","")</f>
        <v/>
      </c>
      <c r="AC1136" s="75" t="str">
        <f>IF(AND(OR(LEFT(TH!N1136,2)="15",LEFT(TH!O1136,2)="15"),TK!$E$7=TH!F1136),"x","")</f>
        <v/>
      </c>
      <c r="AD1136" s="75" t="str">
        <f>IF(AND(N1136="1521",MONTH(C1136)='BK-NL'!$M$11),"x","")</f>
        <v/>
      </c>
    </row>
    <row r="1137" spans="1:30" ht="16.5" customHeight="1">
      <c r="A1137" s="309" t="str">
        <f>IF(B1137&lt;&gt;"",IF(AND(B1137='IN-TC'!$S$4,OR(TH!N1137="1111",TH!O1137="1111")),TH!D1137,""),"")</f>
        <v/>
      </c>
      <c r="B1137" s="1169">
        <f t="shared" ref="B1137:B1140" si="235">IF(C1137&lt;&gt;"",MONTH(C1137),"")</f>
        <v>3</v>
      </c>
      <c r="C1137" s="929">
        <f t="shared" ref="C1137:C1140" si="236">E1137</f>
        <v>42825</v>
      </c>
      <c r="D1137" s="929" t="s">
        <v>2956</v>
      </c>
      <c r="E1137" s="929">
        <v>42825</v>
      </c>
      <c r="F1137" s="1082" t="s">
        <v>771</v>
      </c>
      <c r="G1137" s="931"/>
      <c r="H1137" s="1082" t="s">
        <v>2989</v>
      </c>
      <c r="I1137" s="371">
        <v>324410</v>
      </c>
      <c r="J1137" s="377">
        <v>18500</v>
      </c>
      <c r="K1137" s="371"/>
      <c r="L1137" s="377"/>
      <c r="M1137" s="933">
        <f t="shared" ref="M1137:M1140" si="237">ROUND(I1137*J1137,0)</f>
        <v>6001585000</v>
      </c>
      <c r="N1137" s="934" t="s">
        <v>272</v>
      </c>
      <c r="O1137" s="934" t="s">
        <v>264</v>
      </c>
      <c r="P1137" s="75" t="str">
        <f>IF(AND('331-CT'!$E$7=TH!H1137,OR(N1137="331",O1137="331")),"x","")</f>
        <v/>
      </c>
      <c r="Q1137" s="75" t="str">
        <f>IF(AND(B1137='111'!$L$11,OR($N1137=$Q$7,$O1137=$Q$7)),"x","")</f>
        <v/>
      </c>
      <c r="R1137" s="75" t="str">
        <f>IF(AND($N1137=$Q$7,$B1137&lt;'111'!$L$11),"x","")</f>
        <v/>
      </c>
      <c r="S1137" s="75" t="str">
        <f>IF(AND($O1137=$Q$7,$B1137&lt;'111'!$L$11),"x","")</f>
        <v/>
      </c>
      <c r="T1137" s="75" t="str">
        <f>IF(ISERROR(FIND('112'!$M$9,G1137,1)),"",IF((AND(FIND('112'!$M$9,G1137,1)&gt;=1,B1137='112'!$K$9,OR($N1137='112'!$I$6,$O1137='112'!$I$6))),"x",""))</f>
        <v/>
      </c>
      <c r="U1137" s="75" t="str">
        <f>IF(ISERROR(FIND('112'!$M$9,G1137,1)),"",IF((AND(LEFT(G1137,2)=LEFT('112'!$M$9,2),B1137&lt;'112'!$K$9,$N1137='112'!$I$6)),"x",""))</f>
        <v/>
      </c>
      <c r="V1137" s="75" t="str">
        <f>IF(ISERROR(FIND('112'!$M$9,G1137,1)),"",IF((AND(RIGHT(G1137,2)=RIGHT('112'!$M$9,2),B1137&lt;'112'!$K$9,$O1137='112'!$I$6)),"x",""))</f>
        <v/>
      </c>
      <c r="W1137" s="75" t="str">
        <f>IF(AND('341-CT'!$H$9=H1137,OR(LEFT(N1137,3)=$W$7,LEFT(O1137,3)=$W$7)),"x","")</f>
        <v/>
      </c>
      <c r="X1137" s="75" t="str">
        <f>IF(OR(TH!N1137=TH!$X$7,O1137=TH!$X$7),"x","")</f>
        <v/>
      </c>
      <c r="Y1137" s="75" t="str">
        <f>IF(AND(OR(N1137="131",O1137="131"),H1137='131-CT'!$H$9),"x","")</f>
        <v/>
      </c>
      <c r="Z1137" s="75"/>
      <c r="AA1137" s="75" t="str">
        <f>IF(AND(MONTH(E1137)='IN-NX'!$J$5,'IN-NX'!$D$7=D1137),"x","")</f>
        <v/>
      </c>
      <c r="AB1137" s="75" t="str">
        <f>IF(AND(OR(LEFT(TH!N1137,2)="15",LEFT(TH!O1137,2)="15"),LEFT(TH!O1137,3)&lt;&gt;"111",'152-CT'!$J$8=TH!F1137),"x","")</f>
        <v/>
      </c>
      <c r="AC1137" s="75" t="str">
        <f>IF(AND(OR(LEFT(TH!N1137,2)="15",LEFT(TH!O1137,2)="15"),TK!$E$7=TH!F1137),"x","")</f>
        <v/>
      </c>
      <c r="AD1137" s="75" t="str">
        <f>IF(AND(N1137="1521",MONTH(C1137)='BK-NL'!$M$11),"x","")</f>
        <v/>
      </c>
    </row>
    <row r="1138" spans="1:30" ht="16.5" customHeight="1">
      <c r="A1138" s="309" t="str">
        <f>IF(B1138&lt;&gt;"",IF(AND(B1138='IN-TC'!$S$4,OR(TH!N1138="1111",TH!O1138="1111")),TH!D1138,""),"")</f>
        <v/>
      </c>
      <c r="B1138" s="1169">
        <f t="shared" si="235"/>
        <v>3</v>
      </c>
      <c r="C1138" s="929">
        <f t="shared" si="236"/>
        <v>42825</v>
      </c>
      <c r="D1138" s="929" t="s">
        <v>2956</v>
      </c>
      <c r="E1138" s="929">
        <v>42825</v>
      </c>
      <c r="F1138" s="1082" t="s">
        <v>771</v>
      </c>
      <c r="G1138" s="931"/>
      <c r="H1138" s="1082" t="s">
        <v>424</v>
      </c>
      <c r="I1138" s="371">
        <v>364365</v>
      </c>
      <c r="J1138" s="377">
        <v>18500</v>
      </c>
      <c r="K1138" s="371"/>
      <c r="L1138" s="377"/>
      <c r="M1138" s="933">
        <f t="shared" si="237"/>
        <v>6740752500</v>
      </c>
      <c r="N1138" s="934" t="s">
        <v>272</v>
      </c>
      <c r="O1138" s="934" t="s">
        <v>264</v>
      </c>
      <c r="P1138" s="75" t="str">
        <f>IF(AND('331-CT'!$E$7=TH!H1138,OR(N1138="331",O1138="331")),"x","")</f>
        <v/>
      </c>
      <c r="Q1138" s="75" t="str">
        <f>IF(AND(B1138='111'!$L$11,OR($N1138=$Q$7,$O1138=$Q$7)),"x","")</f>
        <v/>
      </c>
      <c r="R1138" s="75" t="str">
        <f>IF(AND($N1138=$Q$7,$B1138&lt;'111'!$L$11),"x","")</f>
        <v/>
      </c>
      <c r="S1138" s="75" t="str">
        <f>IF(AND($O1138=$Q$7,$B1138&lt;'111'!$L$11),"x","")</f>
        <v/>
      </c>
      <c r="T1138" s="75" t="str">
        <f>IF(ISERROR(FIND('112'!$M$9,G1138,1)),"",IF((AND(FIND('112'!$M$9,G1138,1)&gt;=1,B1138='112'!$K$9,OR($N1138='112'!$I$6,$O1138='112'!$I$6))),"x",""))</f>
        <v/>
      </c>
      <c r="U1138" s="75" t="str">
        <f>IF(ISERROR(FIND('112'!$M$9,G1138,1)),"",IF((AND(LEFT(G1138,2)=LEFT('112'!$M$9,2),B1138&lt;'112'!$K$9,$N1138='112'!$I$6)),"x",""))</f>
        <v/>
      </c>
      <c r="V1138" s="75" t="str">
        <f>IF(ISERROR(FIND('112'!$M$9,G1138,1)),"",IF((AND(RIGHT(G1138,2)=RIGHT('112'!$M$9,2),B1138&lt;'112'!$K$9,$O1138='112'!$I$6)),"x",""))</f>
        <v/>
      </c>
      <c r="W1138" s="75" t="str">
        <f>IF(AND('341-CT'!$H$9=H1138,OR(LEFT(N1138,3)=$W$7,LEFT(O1138,3)=$W$7)),"x","")</f>
        <v/>
      </c>
      <c r="X1138" s="75" t="str">
        <f>IF(OR(TH!N1138=TH!$X$7,O1138=TH!$X$7),"x","")</f>
        <v/>
      </c>
      <c r="Y1138" s="75" t="str">
        <f>IF(AND(OR(N1138="131",O1138="131"),H1138='131-CT'!$H$9),"x","")</f>
        <v/>
      </c>
      <c r="Z1138" s="75"/>
      <c r="AA1138" s="75" t="str">
        <f>IF(AND(MONTH(E1138)='IN-NX'!$J$5,'IN-NX'!$D$7=D1138),"x","")</f>
        <v/>
      </c>
      <c r="AB1138" s="75" t="str">
        <f>IF(AND(OR(LEFT(TH!N1138,2)="15",LEFT(TH!O1138,2)="15"),LEFT(TH!O1138,3)&lt;&gt;"111",'152-CT'!$J$8=TH!F1138),"x","")</f>
        <v/>
      </c>
      <c r="AC1138" s="75" t="str">
        <f>IF(AND(OR(LEFT(TH!N1138,2)="15",LEFT(TH!O1138,2)="15"),TK!$E$7=TH!F1138),"x","")</f>
        <v/>
      </c>
      <c r="AD1138" s="75" t="str">
        <f>IF(AND(N1138="1521",MONTH(C1138)='BK-NL'!$M$11),"x","")</f>
        <v/>
      </c>
    </row>
    <row r="1139" spans="1:30" ht="16.5" customHeight="1">
      <c r="A1139" s="309" t="str">
        <f>IF(B1139&lt;&gt;"",IF(AND(B1139='IN-TC'!$S$4,OR(TH!N1139="1111",TH!O1139="1111")),TH!D1139,""),"")</f>
        <v/>
      </c>
      <c r="B1139" s="1169">
        <f t="shared" si="235"/>
        <v>3</v>
      </c>
      <c r="C1139" s="929">
        <f t="shared" si="236"/>
        <v>42825</v>
      </c>
      <c r="D1139" s="929" t="s">
        <v>2956</v>
      </c>
      <c r="E1139" s="929">
        <v>42825</v>
      </c>
      <c r="F1139" s="1082" t="s">
        <v>565</v>
      </c>
      <c r="G1139" s="931"/>
      <c r="H1139" s="1082" t="s">
        <v>424</v>
      </c>
      <c r="I1139" s="371">
        <v>31680</v>
      </c>
      <c r="J1139" s="377">
        <v>16200</v>
      </c>
      <c r="K1139" s="371"/>
      <c r="L1139" s="377"/>
      <c r="M1139" s="933">
        <f t="shared" si="237"/>
        <v>513216000</v>
      </c>
      <c r="N1139" s="934" t="s">
        <v>272</v>
      </c>
      <c r="O1139" s="934" t="s">
        <v>264</v>
      </c>
      <c r="P1139" s="75" t="str">
        <f>IF(AND('331-CT'!$E$7=TH!H1139,OR(N1139="331",O1139="331")),"x","")</f>
        <v/>
      </c>
      <c r="Q1139" s="75" t="str">
        <f>IF(AND(B1139='111'!$L$11,OR($N1139=$Q$7,$O1139=$Q$7)),"x","")</f>
        <v/>
      </c>
      <c r="R1139" s="75" t="str">
        <f>IF(AND($N1139=$Q$7,$B1139&lt;'111'!$L$11),"x","")</f>
        <v/>
      </c>
      <c r="S1139" s="75" t="str">
        <f>IF(AND($O1139=$Q$7,$B1139&lt;'111'!$L$11),"x","")</f>
        <v/>
      </c>
      <c r="T1139" s="75" t="str">
        <f>IF(ISERROR(FIND('112'!$M$9,G1139,1)),"",IF((AND(FIND('112'!$M$9,G1139,1)&gt;=1,B1139='112'!$K$9,OR($N1139='112'!$I$6,$O1139='112'!$I$6))),"x",""))</f>
        <v/>
      </c>
      <c r="U1139" s="75" t="str">
        <f>IF(ISERROR(FIND('112'!$M$9,G1139,1)),"",IF((AND(LEFT(G1139,2)=LEFT('112'!$M$9,2),B1139&lt;'112'!$K$9,$N1139='112'!$I$6)),"x",""))</f>
        <v/>
      </c>
      <c r="V1139" s="75" t="str">
        <f>IF(ISERROR(FIND('112'!$M$9,G1139,1)),"",IF((AND(RIGHT(G1139,2)=RIGHT('112'!$M$9,2),B1139&lt;'112'!$K$9,$O1139='112'!$I$6)),"x",""))</f>
        <v/>
      </c>
      <c r="W1139" s="75" t="str">
        <f>IF(AND('341-CT'!$H$9=H1139,OR(LEFT(N1139,3)=$W$7,LEFT(O1139,3)=$W$7)),"x","")</f>
        <v/>
      </c>
      <c r="X1139" s="75" t="str">
        <f>IF(OR(TH!N1139=TH!$X$7,O1139=TH!$X$7),"x","")</f>
        <v/>
      </c>
      <c r="Y1139" s="75" t="str">
        <f>IF(AND(OR(N1139="131",O1139="131"),H1139='131-CT'!$H$9),"x","")</f>
        <v/>
      </c>
      <c r="Z1139" s="75"/>
      <c r="AA1139" s="75" t="str">
        <f>IF(AND(MONTH(E1139)='IN-NX'!$J$5,'IN-NX'!$D$7=D1139),"x","")</f>
        <v/>
      </c>
      <c r="AB1139" s="75" t="str">
        <f>IF(AND(OR(LEFT(TH!N1139,2)="15",LEFT(TH!O1139,2)="15"),LEFT(TH!O1139,3)&lt;&gt;"111",'152-CT'!$J$8=TH!F1139),"x","")</f>
        <v/>
      </c>
      <c r="AC1139" s="75" t="str">
        <f>IF(AND(OR(LEFT(TH!N1139,2)="15",LEFT(TH!O1139,2)="15"),TK!$E$7=TH!F1139),"x","")</f>
        <v/>
      </c>
      <c r="AD1139" s="75" t="str">
        <f>IF(AND(N1139="1521",MONTH(C1139)='BK-NL'!$M$11),"x","")</f>
        <v/>
      </c>
    </row>
    <row r="1140" spans="1:30" ht="16.5" customHeight="1">
      <c r="A1140" s="309" t="str">
        <f>IF(B1140&lt;&gt;"",IF(AND(B1140='IN-TC'!$S$4,OR(TH!N1140="1111",TH!O1140="1111")),TH!D1140,""),"")</f>
        <v/>
      </c>
      <c r="B1140" s="1169">
        <f t="shared" si="235"/>
        <v>3</v>
      </c>
      <c r="C1140" s="929">
        <f t="shared" si="236"/>
        <v>42825</v>
      </c>
      <c r="D1140" s="929" t="s">
        <v>2956</v>
      </c>
      <c r="E1140" s="929">
        <v>42825</v>
      </c>
      <c r="F1140" s="1082" t="s">
        <v>2998</v>
      </c>
      <c r="G1140" s="931"/>
      <c r="H1140" s="1082" t="s">
        <v>424</v>
      </c>
      <c r="I1140" s="371">
        <v>6555</v>
      </c>
      <c r="J1140" s="377">
        <v>22100</v>
      </c>
      <c r="K1140" s="371"/>
      <c r="L1140" s="377"/>
      <c r="M1140" s="933">
        <f t="shared" si="237"/>
        <v>144865500</v>
      </c>
      <c r="N1140" s="934" t="s">
        <v>272</v>
      </c>
      <c r="O1140" s="934" t="s">
        <v>264</v>
      </c>
      <c r="P1140" s="75" t="str">
        <f>IF(AND('331-CT'!$E$7=TH!H1140,OR(N1140="331",O1140="331")),"x","")</f>
        <v/>
      </c>
      <c r="Q1140" s="75" t="str">
        <f>IF(AND(B1140='111'!$L$11,OR($N1140=$Q$7,$O1140=$Q$7)),"x","")</f>
        <v/>
      </c>
      <c r="R1140" s="75" t="str">
        <f>IF(AND($N1140=$Q$7,$B1140&lt;'111'!$L$11),"x","")</f>
        <v/>
      </c>
      <c r="S1140" s="75" t="str">
        <f>IF(AND($O1140=$Q$7,$B1140&lt;'111'!$L$11),"x","")</f>
        <v/>
      </c>
      <c r="T1140" s="75" t="str">
        <f>IF(ISERROR(FIND('112'!$M$9,G1140,1)),"",IF((AND(FIND('112'!$M$9,G1140,1)&gt;=1,B1140='112'!$K$9,OR($N1140='112'!$I$6,$O1140='112'!$I$6))),"x",""))</f>
        <v/>
      </c>
      <c r="U1140" s="75" t="str">
        <f>IF(ISERROR(FIND('112'!$M$9,G1140,1)),"",IF((AND(LEFT(G1140,2)=LEFT('112'!$M$9,2),B1140&lt;'112'!$K$9,$N1140='112'!$I$6)),"x",""))</f>
        <v/>
      </c>
      <c r="V1140" s="75" t="str">
        <f>IF(ISERROR(FIND('112'!$M$9,G1140,1)),"",IF((AND(RIGHT(G1140,2)=RIGHT('112'!$M$9,2),B1140&lt;'112'!$K$9,$O1140='112'!$I$6)),"x",""))</f>
        <v/>
      </c>
      <c r="W1140" s="75" t="str">
        <f>IF(AND('341-CT'!$H$9=H1140,OR(LEFT(N1140,3)=$W$7,LEFT(O1140,3)=$W$7)),"x","")</f>
        <v/>
      </c>
      <c r="X1140" s="75" t="str">
        <f>IF(OR(TH!N1140=TH!$X$7,O1140=TH!$X$7),"x","")</f>
        <v/>
      </c>
      <c r="Y1140" s="75" t="str">
        <f>IF(AND(OR(N1140="131",O1140="131"),H1140='131-CT'!$H$9),"x","")</f>
        <v/>
      </c>
      <c r="Z1140" s="75"/>
      <c r="AA1140" s="75" t="str">
        <f>IF(AND(MONTH(E1140)='IN-NX'!$J$5,'IN-NX'!$D$7=D1140),"x","")</f>
        <v/>
      </c>
      <c r="AB1140" s="75" t="str">
        <f>IF(AND(OR(LEFT(TH!N1140,2)="15",LEFT(TH!O1140,2)="15"),LEFT(TH!O1140,3)&lt;&gt;"111",'152-CT'!$J$8=TH!F1140),"x","")</f>
        <v/>
      </c>
      <c r="AC1140" s="75" t="str">
        <f>IF(AND(OR(LEFT(TH!N1140,2)="15",LEFT(TH!O1140,2)="15"),TK!$E$7=TH!F1140),"x","")</f>
        <v/>
      </c>
      <c r="AD1140" s="75" t="str">
        <f>IF(AND(N1140="1521",MONTH(C1140)='BK-NL'!$M$11),"x","")</f>
        <v/>
      </c>
    </row>
    <row r="1141" spans="1:30" ht="16.5" customHeight="1">
      <c r="A1141" s="309" t="str">
        <f>IF(B1141&lt;&gt;"",IF(AND(B1141='IN-TC'!$S$4,OR(TH!N1141="1111",TH!O1141="1111")),TH!D1141,""),"")</f>
        <v/>
      </c>
      <c r="B1141" s="1169">
        <f t="shared" si="226"/>
        <v>3</v>
      </c>
      <c r="C1141" s="929">
        <f t="shared" si="227"/>
        <v>42825</v>
      </c>
      <c r="D1141" s="929" t="s">
        <v>2956</v>
      </c>
      <c r="E1141" s="929">
        <v>42825</v>
      </c>
      <c r="F1141" s="1082" t="s">
        <v>2999</v>
      </c>
      <c r="G1141" s="931"/>
      <c r="H1141" s="1082" t="s">
        <v>424</v>
      </c>
      <c r="I1141" s="371">
        <v>2640</v>
      </c>
      <c r="J1141" s="377">
        <v>40000</v>
      </c>
      <c r="K1141" s="371"/>
      <c r="L1141" s="377"/>
      <c r="M1141" s="933">
        <f t="shared" si="228"/>
        <v>105600000</v>
      </c>
      <c r="N1141" s="934" t="s">
        <v>272</v>
      </c>
      <c r="O1141" s="934" t="s">
        <v>264</v>
      </c>
      <c r="P1141" s="75" t="str">
        <f>IF(AND('331-CT'!$E$7=TH!H1141,OR(N1141="331",O1141="331")),"x","")</f>
        <v/>
      </c>
      <c r="Q1141" s="75" t="str">
        <f>IF(AND(B1141='111'!$L$11,OR($N1141=$Q$7,$O1141=$Q$7)),"x","")</f>
        <v/>
      </c>
      <c r="R1141" s="75" t="str">
        <f>IF(AND($N1141=$Q$7,$B1141&lt;'111'!$L$11),"x","")</f>
        <v/>
      </c>
      <c r="S1141" s="75" t="str">
        <f>IF(AND($O1141=$Q$7,$B1141&lt;'111'!$L$11),"x","")</f>
        <v/>
      </c>
      <c r="T1141" s="75" t="str">
        <f>IF(ISERROR(FIND('112'!$M$9,G1141,1)),"",IF((AND(FIND('112'!$M$9,G1141,1)&gt;=1,B1141='112'!$K$9,OR($N1141='112'!$I$6,$O1141='112'!$I$6))),"x",""))</f>
        <v/>
      </c>
      <c r="U1141" s="75" t="str">
        <f>IF(ISERROR(FIND('112'!$M$9,G1141,1)),"",IF((AND(LEFT(G1141,2)=LEFT('112'!$M$9,2),B1141&lt;'112'!$K$9,$N1141='112'!$I$6)),"x",""))</f>
        <v/>
      </c>
      <c r="V1141" s="75" t="str">
        <f>IF(ISERROR(FIND('112'!$M$9,G1141,1)),"",IF((AND(RIGHT(G1141,2)=RIGHT('112'!$M$9,2),B1141&lt;'112'!$K$9,$O1141='112'!$I$6)),"x",""))</f>
        <v/>
      </c>
      <c r="W1141" s="75" t="str">
        <f>IF(AND('341-CT'!$H$9=H1141,OR(LEFT(N1141,3)=$W$7,LEFT(O1141,3)=$W$7)),"x","")</f>
        <v/>
      </c>
      <c r="X1141" s="75" t="str">
        <f>IF(OR(TH!N1141=TH!$X$7,O1141=TH!$X$7),"x","")</f>
        <v/>
      </c>
      <c r="Y1141" s="75" t="str">
        <f>IF(AND(OR(N1141="131",O1141="131"),H1141='131-CT'!$H$9),"x","")</f>
        <v/>
      </c>
      <c r="Z1141" s="75"/>
      <c r="AA1141" s="75" t="str">
        <f>IF(AND(MONTH(E1141)='IN-NX'!$J$5,'IN-NX'!$D$7=D1141),"x","")</f>
        <v/>
      </c>
      <c r="AB1141" s="75" t="str">
        <f>IF(AND(OR(LEFT(TH!N1141,2)="15",LEFT(TH!O1141,2)="15"),LEFT(TH!O1141,3)&lt;&gt;"111",'152-CT'!$J$8=TH!F1141),"x","")</f>
        <v/>
      </c>
      <c r="AC1141" s="75" t="str">
        <f>IF(AND(OR(LEFT(TH!N1141,2)="15",LEFT(TH!O1141,2)="15"),TK!$E$7=TH!F1141),"x","")</f>
        <v/>
      </c>
      <c r="AD1141" s="75" t="str">
        <f>IF(AND(N1141="1521",MONTH(C1141)='BK-NL'!$M$11),"x","")</f>
        <v/>
      </c>
    </row>
    <row r="1142" spans="1:30" ht="16.5" customHeight="1">
      <c r="A1142" s="309" t="str">
        <f>IF(B1142&lt;&gt;"",IF(AND(B1142='IN-TC'!$S$4,OR(TH!N1142="1111",TH!O1142="1111")),TH!D1142,""),"")</f>
        <v/>
      </c>
      <c r="B1142" s="1169">
        <f t="shared" ref="B1142" si="238">IF(C1142&lt;&gt;"",MONTH(C1142),"")</f>
        <v>3</v>
      </c>
      <c r="C1142" s="929">
        <f t="shared" ref="C1142" si="239">E1142</f>
        <v>42825</v>
      </c>
      <c r="D1142" s="929" t="s">
        <v>2956</v>
      </c>
      <c r="E1142" s="929">
        <v>42825</v>
      </c>
      <c r="F1142" s="1082" t="s">
        <v>790</v>
      </c>
      <c r="G1142" s="931"/>
      <c r="H1142" s="1082" t="s">
        <v>424</v>
      </c>
      <c r="I1142" s="371">
        <v>600</v>
      </c>
      <c r="J1142" s="377">
        <v>28500</v>
      </c>
      <c r="K1142" s="371"/>
      <c r="L1142" s="377"/>
      <c r="M1142" s="933">
        <f t="shared" ref="M1142" si="240">ROUND(I1142*J1142,0)</f>
        <v>17100000</v>
      </c>
      <c r="N1142" s="934" t="s">
        <v>272</v>
      </c>
      <c r="O1142" s="934" t="s">
        <v>264</v>
      </c>
      <c r="P1142" s="75" t="str">
        <f>IF(AND('331-CT'!$E$7=TH!H1142,OR(N1142="331",O1142="331")),"x","")</f>
        <v/>
      </c>
      <c r="Q1142" s="75" t="str">
        <f>IF(AND(B1142='111'!$L$11,OR($N1142=$Q$7,$O1142=$Q$7)),"x","")</f>
        <v/>
      </c>
      <c r="R1142" s="75" t="str">
        <f>IF(AND($N1142=$Q$7,$B1142&lt;'111'!$L$11),"x","")</f>
        <v/>
      </c>
      <c r="S1142" s="75" t="str">
        <f>IF(AND($O1142=$Q$7,$B1142&lt;'111'!$L$11),"x","")</f>
        <v/>
      </c>
      <c r="T1142" s="75" t="str">
        <f>IF(ISERROR(FIND('112'!$M$9,G1142,1)),"",IF((AND(FIND('112'!$M$9,G1142,1)&gt;=1,B1142='112'!$K$9,OR($N1142='112'!$I$6,$O1142='112'!$I$6))),"x",""))</f>
        <v/>
      </c>
      <c r="U1142" s="75" t="str">
        <f>IF(ISERROR(FIND('112'!$M$9,G1142,1)),"",IF((AND(LEFT(G1142,2)=LEFT('112'!$M$9,2),B1142&lt;'112'!$K$9,$N1142='112'!$I$6)),"x",""))</f>
        <v/>
      </c>
      <c r="V1142" s="75" t="str">
        <f>IF(ISERROR(FIND('112'!$M$9,G1142,1)),"",IF((AND(RIGHT(G1142,2)=RIGHT('112'!$M$9,2),B1142&lt;'112'!$K$9,$O1142='112'!$I$6)),"x",""))</f>
        <v/>
      </c>
      <c r="W1142" s="75" t="str">
        <f>IF(AND('341-CT'!$H$9=H1142,OR(LEFT(N1142,3)=$W$7,LEFT(O1142,3)=$W$7)),"x","")</f>
        <v/>
      </c>
      <c r="X1142" s="75" t="str">
        <f>IF(OR(TH!N1142=TH!$X$7,O1142=TH!$X$7),"x","")</f>
        <v/>
      </c>
      <c r="Y1142" s="75" t="str">
        <f>IF(AND(OR(N1142="131",O1142="131"),H1142='131-CT'!$H$9),"x","")</f>
        <v/>
      </c>
      <c r="Z1142" s="75"/>
      <c r="AA1142" s="75" t="str">
        <f>IF(AND(MONTH(E1142)='IN-NX'!$J$5,'IN-NX'!$D$7=D1142),"x","")</f>
        <v/>
      </c>
      <c r="AB1142" s="75" t="str">
        <f>IF(AND(OR(LEFT(TH!N1142,2)="15",LEFT(TH!O1142,2)="15"),LEFT(TH!O1142,3)&lt;&gt;"111",'152-CT'!$J$8=TH!F1142),"x","")</f>
        <v/>
      </c>
      <c r="AC1142" s="75" t="str">
        <f>IF(AND(OR(LEFT(TH!N1142,2)="15",LEFT(TH!O1142,2)="15"),TK!$E$7=TH!F1142),"x","")</f>
        <v/>
      </c>
      <c r="AD1142" s="75" t="str">
        <f>IF(AND(N1142="1521",MONTH(C1142)='BK-NL'!$M$11),"x","")</f>
        <v/>
      </c>
    </row>
    <row r="1143" spans="1:30" s="1054" customFormat="1" ht="16.5" customHeight="1">
      <c r="A1143" s="309" t="str">
        <f>IF(B1143&lt;&gt;"",IF(AND(B1143='IN-TC'!$S$4,OR(TH!N1143="1111",TH!O1143="1111")),TH!D1143,""),"")</f>
        <v/>
      </c>
      <c r="B1143" s="1241">
        <f t="shared" si="128"/>
        <v>4</v>
      </c>
      <c r="C1143" s="936">
        <v>42828</v>
      </c>
      <c r="D1143" s="936" t="s">
        <v>818</v>
      </c>
      <c r="E1143" s="936">
        <f t="shared" ref="E1143" si="241">C1143</f>
        <v>42828</v>
      </c>
      <c r="F1143" s="958" t="s">
        <v>429</v>
      </c>
      <c r="G1143" s="942" t="s">
        <v>1142</v>
      </c>
      <c r="H1143" s="937" t="s">
        <v>759</v>
      </c>
      <c r="I1143" s="939">
        <v>158340</v>
      </c>
      <c r="J1143" s="949">
        <v>2.81</v>
      </c>
      <c r="K1143" s="949">
        <f>I1143*J1143</f>
        <v>444935.4</v>
      </c>
      <c r="L1143" s="938">
        <v>22720</v>
      </c>
      <c r="M1143" s="940">
        <f t="shared" ref="M1143" si="242">ROUND(K1143*L1143,0)</f>
        <v>10108932288</v>
      </c>
      <c r="N1143" s="941" t="s">
        <v>536</v>
      </c>
      <c r="O1143" s="941" t="s">
        <v>288</v>
      </c>
      <c r="P1143" s="75" t="str">
        <f>IF(AND('331-CT'!$E$7=TH!H1143,OR(N1143="331",O1143="331")),"x","")</f>
        <v/>
      </c>
      <c r="Q1143" s="75" t="str">
        <f>IF(AND(B1143='111'!$L$11,OR($N1143=$Q$7,$O1143=$Q$7)),"x","")</f>
        <v/>
      </c>
      <c r="R1143" s="75" t="str">
        <f>IF(AND($N1143=$Q$7,$B1143&lt;'111'!$L$11),"x","")</f>
        <v/>
      </c>
      <c r="S1143" s="75" t="str">
        <f>IF(AND($O1143=$Q$7,$B1143&lt;'111'!$L$11),"x","")</f>
        <v/>
      </c>
      <c r="T1143" s="75" t="str">
        <f>IF(ISERROR(FIND('112'!$M$9,G1143,1)),"",IF((AND(FIND('112'!$M$9,G1143,1)&gt;=1,B1143='112'!$K$9,OR($N1143='112'!$I$6,$O1143='112'!$I$6))),"x",""))</f>
        <v/>
      </c>
      <c r="U1143" s="75" t="str">
        <f>IF(ISERROR(FIND('112'!$M$9,G1143,1)),"",IF((AND(LEFT(G1143,2)=LEFT('112'!$M$9,2),B1143&lt;'112'!$K$9,$N1143='112'!$I$6)),"x",""))</f>
        <v/>
      </c>
      <c r="V1143" s="75" t="str">
        <f>IF(ISERROR(FIND('112'!$M$9,G1143,1)),"",IF((AND(RIGHT(G1143,2)=RIGHT('112'!$M$9,2),B1143&lt;'112'!$K$9,$O1143='112'!$I$6)),"x",""))</f>
        <v/>
      </c>
      <c r="W1143" s="75" t="str">
        <f>IF(AND('341-CT'!$H$9=H1143,OR(LEFT(N1143,3)=$W$7,LEFT(O1143,3)=$W$7)),"x","")</f>
        <v/>
      </c>
      <c r="X1143" s="75" t="str">
        <f>IF(OR(TH!N1143=TH!$X$7,O1143=TH!$X$7),"x","")</f>
        <v/>
      </c>
      <c r="Y1143" s="75" t="str">
        <f>IF(AND(OR(N1143="131",O1143="131"),H1143='131-CT'!$H$9),"x","")</f>
        <v/>
      </c>
      <c r="Z1143" s="75"/>
      <c r="AA1143" s="75" t="str">
        <f>IF(AND(MONTH(E1143)='IN-NX'!$J$5,'IN-NX'!$D$7=D1143),"x","")</f>
        <v/>
      </c>
      <c r="AB1143" s="75" t="str">
        <f>IF(AND(OR(LEFT(TH!N1143,2)="15",LEFT(TH!O1143,2)="15"),LEFT(TH!O1143,3)&lt;&gt;"111",'152-CT'!$J$8=TH!F1143),"x","")</f>
        <v/>
      </c>
      <c r="AC1143" s="75" t="str">
        <f>IF(AND(OR(LEFT(TH!N1143,2)="15",LEFT(TH!O1143,2)="15"),TK!$E$7=TH!F1143),"x","")</f>
        <v/>
      </c>
      <c r="AD1143" s="75" t="str">
        <f>IF(AND(N1143="1521",MONTH(C1143)='BK-NL'!$M$11),"x","")</f>
        <v/>
      </c>
    </row>
    <row r="1144" spans="1:30" ht="16.5" customHeight="1">
      <c r="A1144" s="309" t="str">
        <f>IF(B1144&lt;&gt;"",IF(AND(B1144='IN-TC'!$S$4,OR(TH!N1144="1111",TH!O1144="1111")),TH!D1144,""),"")</f>
        <v/>
      </c>
      <c r="B1144" s="1241">
        <f t="shared" si="128"/>
        <v>4</v>
      </c>
      <c r="C1144" s="252">
        <v>42832</v>
      </c>
      <c r="D1144" s="252" t="s">
        <v>819</v>
      </c>
      <c r="E1144" s="252">
        <f t="shared" ref="E1144:E1267" si="243">C1144</f>
        <v>42832</v>
      </c>
      <c r="F1144" s="1082" t="s">
        <v>799</v>
      </c>
      <c r="G1144" s="1056" t="s">
        <v>1262</v>
      </c>
      <c r="H1144" s="735" t="s">
        <v>802</v>
      </c>
      <c r="I1144" s="371">
        <v>50.5</v>
      </c>
      <c r="J1144" s="932">
        <v>210000</v>
      </c>
      <c r="K1144" s="932"/>
      <c r="L1144" s="377"/>
      <c r="M1144" s="933">
        <f t="shared" ref="M1144:M1148" si="244">ROUND(I1144*J1144,0)</f>
        <v>10605000</v>
      </c>
      <c r="N1144" s="977" t="s">
        <v>536</v>
      </c>
      <c r="O1144" s="977" t="s">
        <v>286</v>
      </c>
      <c r="P1144" s="75" t="str">
        <f>IF(AND('331-CT'!$E$7=TH!H1144,OR(N1144="331",O1144="331")),"x","")</f>
        <v/>
      </c>
      <c r="Q1144" s="75" t="str">
        <f>IF(AND(B1144='111'!$L$11,OR($N1144=$Q$7,$O1144=$Q$7)),"x","")</f>
        <v/>
      </c>
      <c r="R1144" s="75" t="str">
        <f>IF(AND($N1144=$Q$7,$B1144&lt;'111'!$L$11),"x","")</f>
        <v/>
      </c>
      <c r="S1144" s="75" t="str">
        <f>IF(AND($O1144=$Q$7,$B1144&lt;'111'!$L$11),"x","")</f>
        <v/>
      </c>
      <c r="T1144" s="75" t="str">
        <f>IF(ISERROR(FIND('112'!$M$9,G1144,1)),"",IF((AND(FIND('112'!$M$9,G1144,1)&gt;=1,B1144='112'!$K$9,OR($N1144='112'!$I$6,$O1144='112'!$I$6))),"x",""))</f>
        <v/>
      </c>
      <c r="U1144" s="75" t="str">
        <f>IF(ISERROR(FIND('112'!$M$9,G1144,1)),"",IF((AND(LEFT(G1144,2)=LEFT('112'!$M$9,2),B1144&lt;'112'!$K$9,$N1144='112'!$I$6)),"x",""))</f>
        <v/>
      </c>
      <c r="V1144" s="75" t="str">
        <f>IF(ISERROR(FIND('112'!$M$9,G1144,1)),"",IF((AND(RIGHT(G1144,2)=RIGHT('112'!$M$9,2),B1144&lt;'112'!$K$9,$O1144='112'!$I$6)),"x",""))</f>
        <v/>
      </c>
      <c r="W1144" s="75" t="str">
        <f>IF(AND('341-CT'!$H$9=H1144,OR(LEFT(N1144,3)=$W$7,LEFT(O1144,3)=$W$7)),"x","")</f>
        <v/>
      </c>
      <c r="X1144" s="75" t="str">
        <f>IF(OR(TH!N1144=TH!$X$7,O1144=TH!$X$7),"x","")</f>
        <v/>
      </c>
      <c r="Y1144" s="75" t="str">
        <f>IF(AND(OR(N1144="131",O1144="131"),H1144='131-CT'!$H$9),"x","")</f>
        <v/>
      </c>
      <c r="Z1144" s="75"/>
      <c r="AA1144" s="75" t="str">
        <f>IF(AND(MONTH(E1144)='IN-NX'!$J$5,'IN-NX'!$D$7=D1144),"x","")</f>
        <v/>
      </c>
      <c r="AB1144" s="75" t="str">
        <f>IF(AND(OR(LEFT(TH!N1144,2)="15",LEFT(TH!O1144,2)="15"),LEFT(TH!O1144,3)&lt;&gt;"111",'152-CT'!$J$8=TH!F1144),"x","")</f>
        <v/>
      </c>
      <c r="AC1144" s="75" t="str">
        <f>IF(AND(OR(LEFT(TH!N1144,2)="15",LEFT(TH!O1144,2)="15"),TK!$E$7=TH!F1144),"x","")</f>
        <v/>
      </c>
      <c r="AD1144" s="75" t="str">
        <f>IF(AND(N1144="1521",MONTH(C1144)='BK-NL'!$M$11),"x","")</f>
        <v/>
      </c>
    </row>
    <row r="1145" spans="1:30" ht="16.5" customHeight="1">
      <c r="A1145" s="309" t="str">
        <f>IF(B1145&lt;&gt;"",IF(AND(B1145='IN-TC'!$S$4,OR(TH!N1145="1111",TH!O1145="1111")),TH!D1145,""),"")</f>
        <v/>
      </c>
      <c r="B1145" s="1241">
        <f t="shared" si="128"/>
        <v>4</v>
      </c>
      <c r="C1145" s="252">
        <v>42832</v>
      </c>
      <c r="D1145" s="252" t="s">
        <v>819</v>
      </c>
      <c r="E1145" s="252">
        <f t="shared" si="243"/>
        <v>42832</v>
      </c>
      <c r="F1145" s="1082" t="s">
        <v>800</v>
      </c>
      <c r="G1145" s="1056" t="s">
        <v>1262</v>
      </c>
      <c r="H1145" s="735" t="s">
        <v>802</v>
      </c>
      <c r="I1145" s="371">
        <v>40</v>
      </c>
      <c r="J1145" s="932">
        <v>170000</v>
      </c>
      <c r="K1145" s="932"/>
      <c r="L1145" s="377"/>
      <c r="M1145" s="933">
        <f t="shared" si="244"/>
        <v>6800000</v>
      </c>
      <c r="N1145" s="977" t="s">
        <v>536</v>
      </c>
      <c r="O1145" s="977" t="s">
        <v>286</v>
      </c>
      <c r="P1145" s="75" t="str">
        <f>IF(AND('331-CT'!$E$7=TH!H1145,OR(N1145="331",O1145="331")),"x","")</f>
        <v/>
      </c>
      <c r="Q1145" s="75" t="str">
        <f>IF(AND(B1145='111'!$L$11,OR($N1145=$Q$7,$O1145=$Q$7)),"x","")</f>
        <v/>
      </c>
      <c r="R1145" s="75" t="str">
        <f>IF(AND($N1145=$Q$7,$B1145&lt;'111'!$L$11),"x","")</f>
        <v/>
      </c>
      <c r="S1145" s="75" t="str">
        <f>IF(AND($O1145=$Q$7,$B1145&lt;'111'!$L$11),"x","")</f>
        <v/>
      </c>
      <c r="T1145" s="75" t="str">
        <f>IF(ISERROR(FIND('112'!$M$9,G1145,1)),"",IF((AND(FIND('112'!$M$9,G1145,1)&gt;=1,B1145='112'!$K$9,OR($N1145='112'!$I$6,$O1145='112'!$I$6))),"x",""))</f>
        <v/>
      </c>
      <c r="U1145" s="75" t="str">
        <f>IF(ISERROR(FIND('112'!$M$9,G1145,1)),"",IF((AND(LEFT(G1145,2)=LEFT('112'!$M$9,2),B1145&lt;'112'!$K$9,$N1145='112'!$I$6)),"x",""))</f>
        <v/>
      </c>
      <c r="V1145" s="75" t="str">
        <f>IF(ISERROR(FIND('112'!$M$9,G1145,1)),"",IF((AND(RIGHT(G1145,2)=RIGHT('112'!$M$9,2),B1145&lt;'112'!$K$9,$O1145='112'!$I$6)),"x",""))</f>
        <v/>
      </c>
      <c r="W1145" s="75" t="str">
        <f>IF(AND('341-CT'!$H$9=H1145,OR(LEFT(N1145,3)=$W$7,LEFT(O1145,3)=$W$7)),"x","")</f>
        <v/>
      </c>
      <c r="X1145" s="75" t="str">
        <f>IF(OR(TH!N1145=TH!$X$7,O1145=TH!$X$7),"x","")</f>
        <v/>
      </c>
      <c r="Y1145" s="75" t="str">
        <f>IF(AND(OR(N1145="131",O1145="131"),H1145='131-CT'!$H$9),"x","")</f>
        <v/>
      </c>
      <c r="Z1145" s="75"/>
      <c r="AA1145" s="75" t="str">
        <f>IF(AND(MONTH(E1145)='IN-NX'!$J$5,'IN-NX'!$D$7=D1145),"x","")</f>
        <v/>
      </c>
      <c r="AB1145" s="75" t="str">
        <f>IF(AND(OR(LEFT(TH!N1145,2)="15",LEFT(TH!O1145,2)="15"),LEFT(TH!O1145,3)&lt;&gt;"111",'152-CT'!$J$8=TH!F1145),"x","")</f>
        <v/>
      </c>
      <c r="AC1145" s="75" t="str">
        <f>IF(AND(OR(LEFT(TH!N1145,2)="15",LEFT(TH!O1145,2)="15"),TK!$E$7=TH!F1145),"x","")</f>
        <v/>
      </c>
      <c r="AD1145" s="75" t="str">
        <f>IF(AND(N1145="1521",MONTH(C1145)='BK-NL'!$M$11),"x","")</f>
        <v/>
      </c>
    </row>
    <row r="1146" spans="1:30" ht="16.5" customHeight="1">
      <c r="A1146" s="309" t="str">
        <f>IF(B1146&lt;&gt;"",IF(AND(B1146='IN-TC'!$S$4,OR(TH!N1146="1111",TH!O1146="1111")),TH!D1146,""),"")</f>
        <v/>
      </c>
      <c r="B1146" s="1241">
        <f t="shared" si="128"/>
        <v>4</v>
      </c>
      <c r="C1146" s="252">
        <v>42832</v>
      </c>
      <c r="D1146" s="252" t="s">
        <v>819</v>
      </c>
      <c r="E1146" s="252">
        <f>C1146</f>
        <v>42832</v>
      </c>
      <c r="F1146" s="1055" t="s">
        <v>2477</v>
      </c>
      <c r="G1146" s="1056" t="s">
        <v>1262</v>
      </c>
      <c r="H1146" s="735" t="s">
        <v>802</v>
      </c>
      <c r="I1146" s="371">
        <v>50</v>
      </c>
      <c r="J1146" s="932">
        <v>150000</v>
      </c>
      <c r="K1146" s="932"/>
      <c r="L1146" s="377"/>
      <c r="M1146" s="933">
        <f t="shared" si="244"/>
        <v>7500000</v>
      </c>
      <c r="N1146" s="977" t="s">
        <v>536</v>
      </c>
      <c r="O1146" s="977" t="s">
        <v>286</v>
      </c>
      <c r="P1146" s="75" t="str">
        <f>IF(AND('331-CT'!$E$7=TH!H1146,OR(N1146="331",O1146="331")),"x","")</f>
        <v/>
      </c>
      <c r="Q1146" s="75" t="str">
        <f>IF(AND(B1146='111'!$L$11,OR($N1146=$Q$7,$O1146=$Q$7)),"x","")</f>
        <v/>
      </c>
      <c r="R1146" s="75" t="str">
        <f>IF(AND($N1146=$Q$7,$B1146&lt;'111'!$L$11),"x","")</f>
        <v/>
      </c>
      <c r="S1146" s="75" t="str">
        <f>IF(AND($O1146=$Q$7,$B1146&lt;'111'!$L$11),"x","")</f>
        <v/>
      </c>
      <c r="T1146" s="75" t="str">
        <f>IF(ISERROR(FIND('112'!$M$9,G1146,1)),"",IF((AND(FIND('112'!$M$9,G1146,1)&gt;=1,B1146='112'!$K$9,OR($N1146='112'!$I$6,$O1146='112'!$I$6))),"x",""))</f>
        <v/>
      </c>
      <c r="U1146" s="75" t="str">
        <f>IF(ISERROR(FIND('112'!$M$9,G1146,1)),"",IF((AND(LEFT(G1146,2)=LEFT('112'!$M$9,2),B1146&lt;'112'!$K$9,$N1146='112'!$I$6)),"x",""))</f>
        <v/>
      </c>
      <c r="V1146" s="75" t="str">
        <f>IF(ISERROR(FIND('112'!$M$9,G1146,1)),"",IF((AND(RIGHT(G1146,2)=RIGHT('112'!$M$9,2),B1146&lt;'112'!$K$9,$O1146='112'!$I$6)),"x",""))</f>
        <v/>
      </c>
      <c r="W1146" s="75" t="str">
        <f>IF(AND('341-CT'!$H$9=H1146,OR(LEFT(N1146,3)=$W$7,LEFT(O1146,3)=$W$7)),"x","")</f>
        <v/>
      </c>
      <c r="X1146" s="75" t="str">
        <f>IF(OR(TH!N1146=TH!$X$7,O1146=TH!$X$7),"x","")</f>
        <v/>
      </c>
      <c r="Y1146" s="75" t="str">
        <f>IF(AND(OR(N1146="131",O1146="131"),H1146='131-CT'!$H$9),"x","")</f>
        <v/>
      </c>
      <c r="Z1146" s="75"/>
      <c r="AA1146" s="75" t="str">
        <f>IF(AND(MONTH(E1146)='IN-NX'!$J$5,'IN-NX'!$D$7=D1146),"x","")</f>
        <v/>
      </c>
      <c r="AB1146" s="75" t="str">
        <f>IF(AND(OR(LEFT(TH!N1146,2)="15",LEFT(TH!O1146,2)="15"),LEFT(TH!O1146,3)&lt;&gt;"111",'152-CT'!$J$8=TH!F1146),"x","")</f>
        <v/>
      </c>
      <c r="AC1146" s="75" t="str">
        <f>IF(AND(OR(LEFT(TH!N1146,2)="15",LEFT(TH!O1146,2)="15"),TK!$E$7=TH!F1146),"x","")</f>
        <v/>
      </c>
      <c r="AD1146" s="75" t="str">
        <f>IF(AND(N1146="1521",MONTH(C1146)='BK-NL'!$M$11),"x","")</f>
        <v/>
      </c>
    </row>
    <row r="1147" spans="1:30" ht="16.5" customHeight="1">
      <c r="A1147" s="309" t="str">
        <f>IF(B1147&lt;&gt;"",IF(AND(B1147='IN-TC'!$S$4,OR(TH!N1147="1111",TH!O1147="1111")),TH!D1147,""),"")</f>
        <v/>
      </c>
      <c r="B1147" s="1241">
        <f t="shared" si="128"/>
        <v>4</v>
      </c>
      <c r="C1147" s="252">
        <v>42832</v>
      </c>
      <c r="D1147" s="252" t="s">
        <v>819</v>
      </c>
      <c r="E1147" s="252">
        <f>C1147</f>
        <v>42832</v>
      </c>
      <c r="F1147" s="1055" t="s">
        <v>1256</v>
      </c>
      <c r="G1147" s="1056" t="s">
        <v>1262</v>
      </c>
      <c r="H1147" s="735" t="s">
        <v>802</v>
      </c>
      <c r="I1147" s="371">
        <v>100</v>
      </c>
      <c r="J1147" s="932">
        <v>147000</v>
      </c>
      <c r="K1147" s="932"/>
      <c r="L1147" s="377"/>
      <c r="M1147" s="933">
        <f t="shared" si="244"/>
        <v>14700000</v>
      </c>
      <c r="N1147" s="977" t="s">
        <v>536</v>
      </c>
      <c r="O1147" s="977" t="s">
        <v>286</v>
      </c>
      <c r="P1147" s="75" t="str">
        <f>IF(AND('331-CT'!$E$7=TH!H1147,OR(N1147="331",O1147="331")),"x","")</f>
        <v/>
      </c>
      <c r="Q1147" s="75" t="str">
        <f>IF(AND(B1147='111'!$L$11,OR($N1147=$Q$7,$O1147=$Q$7)),"x","")</f>
        <v/>
      </c>
      <c r="R1147" s="75" t="str">
        <f>IF(AND($N1147=$Q$7,$B1147&lt;'111'!$L$11),"x","")</f>
        <v/>
      </c>
      <c r="S1147" s="75" t="str">
        <f>IF(AND($O1147=$Q$7,$B1147&lt;'111'!$L$11),"x","")</f>
        <v/>
      </c>
      <c r="T1147" s="75" t="str">
        <f>IF(ISERROR(FIND('112'!$M$9,G1147,1)),"",IF((AND(FIND('112'!$M$9,G1147,1)&gt;=1,B1147='112'!$K$9,OR($N1147='112'!$I$6,$O1147='112'!$I$6))),"x",""))</f>
        <v/>
      </c>
      <c r="U1147" s="75" t="str">
        <f>IF(ISERROR(FIND('112'!$M$9,G1147,1)),"",IF((AND(LEFT(G1147,2)=LEFT('112'!$M$9,2),B1147&lt;'112'!$K$9,$N1147='112'!$I$6)),"x",""))</f>
        <v/>
      </c>
      <c r="V1147" s="75" t="str">
        <f>IF(ISERROR(FIND('112'!$M$9,G1147,1)),"",IF((AND(RIGHT(G1147,2)=RIGHT('112'!$M$9,2),B1147&lt;'112'!$K$9,$O1147='112'!$I$6)),"x",""))</f>
        <v/>
      </c>
      <c r="W1147" s="75" t="str">
        <f>IF(AND('341-CT'!$H$9=H1147,OR(LEFT(N1147,3)=$W$7,LEFT(O1147,3)=$W$7)),"x","")</f>
        <v/>
      </c>
      <c r="X1147" s="75" t="str">
        <f>IF(OR(TH!N1147=TH!$X$7,O1147=TH!$X$7),"x","")</f>
        <v/>
      </c>
      <c r="Y1147" s="75" t="str">
        <f>IF(AND(OR(N1147="131",O1147="131"),H1147='131-CT'!$H$9),"x","")</f>
        <v/>
      </c>
      <c r="Z1147" s="75"/>
      <c r="AA1147" s="75" t="str">
        <f>IF(AND(MONTH(E1147)='IN-NX'!$J$5,'IN-NX'!$D$7=D1147),"x","")</f>
        <v/>
      </c>
      <c r="AB1147" s="75" t="str">
        <f>IF(AND(OR(LEFT(TH!N1147,2)="15",LEFT(TH!O1147,2)="15"),LEFT(TH!O1147,3)&lt;&gt;"111",'152-CT'!$J$8=TH!F1147),"x","")</f>
        <v/>
      </c>
      <c r="AC1147" s="75" t="str">
        <f>IF(AND(OR(LEFT(TH!N1147,2)="15",LEFT(TH!O1147,2)="15"),TK!$E$7=TH!F1147),"x","")</f>
        <v/>
      </c>
      <c r="AD1147" s="75" t="str">
        <f>IF(AND(N1147="1521",MONTH(C1147)='BK-NL'!$M$11),"x","")</f>
        <v/>
      </c>
    </row>
    <row r="1148" spans="1:30" ht="16.5" customHeight="1">
      <c r="A1148" s="309" t="str">
        <f>IF(B1148&lt;&gt;"",IF(AND(B1148='IN-TC'!$S$4,OR(TH!N1148="1111",TH!O1148="1111")),TH!D1148,""),"")</f>
        <v/>
      </c>
      <c r="B1148" s="1241">
        <f t="shared" si="128"/>
        <v>4</v>
      </c>
      <c r="C1148" s="252">
        <v>42832</v>
      </c>
      <c r="D1148" s="252" t="s">
        <v>819</v>
      </c>
      <c r="E1148" s="252">
        <f t="shared" si="243"/>
        <v>42832</v>
      </c>
      <c r="F1148" s="1082" t="s">
        <v>801</v>
      </c>
      <c r="G1148" s="1056" t="s">
        <v>1262</v>
      </c>
      <c r="H1148" s="735" t="s">
        <v>802</v>
      </c>
      <c r="I1148" s="371">
        <v>150</v>
      </c>
      <c r="J1148" s="932">
        <v>160000</v>
      </c>
      <c r="K1148" s="932"/>
      <c r="L1148" s="377"/>
      <c r="M1148" s="933">
        <f t="shared" si="244"/>
        <v>24000000</v>
      </c>
      <c r="N1148" s="977" t="s">
        <v>536</v>
      </c>
      <c r="O1148" s="977" t="s">
        <v>286</v>
      </c>
      <c r="P1148" s="75" t="str">
        <f>IF(AND('331-CT'!$E$7=TH!H1148,OR(N1148="331",O1148="331")),"x","")</f>
        <v/>
      </c>
      <c r="Q1148" s="75" t="str">
        <f>IF(AND(B1148='111'!$L$11,OR($N1148=$Q$7,$O1148=$Q$7)),"x","")</f>
        <v/>
      </c>
      <c r="R1148" s="75" t="str">
        <f>IF(AND($N1148=$Q$7,$B1148&lt;'111'!$L$11),"x","")</f>
        <v/>
      </c>
      <c r="S1148" s="75" t="str">
        <f>IF(AND($O1148=$Q$7,$B1148&lt;'111'!$L$11),"x","")</f>
        <v/>
      </c>
      <c r="T1148" s="75" t="str">
        <f>IF(ISERROR(FIND('112'!$M$9,G1148,1)),"",IF((AND(FIND('112'!$M$9,G1148,1)&gt;=1,B1148='112'!$K$9,OR($N1148='112'!$I$6,$O1148='112'!$I$6))),"x",""))</f>
        <v/>
      </c>
      <c r="U1148" s="75" t="str">
        <f>IF(ISERROR(FIND('112'!$M$9,G1148,1)),"",IF((AND(LEFT(G1148,2)=LEFT('112'!$M$9,2),B1148&lt;'112'!$K$9,$N1148='112'!$I$6)),"x",""))</f>
        <v/>
      </c>
      <c r="V1148" s="75" t="str">
        <f>IF(ISERROR(FIND('112'!$M$9,G1148,1)),"",IF((AND(RIGHT(G1148,2)=RIGHT('112'!$M$9,2),B1148&lt;'112'!$K$9,$O1148='112'!$I$6)),"x",""))</f>
        <v/>
      </c>
      <c r="W1148" s="75" t="str">
        <f>IF(AND('341-CT'!$H$9=H1148,OR(LEFT(N1148,3)=$W$7,LEFT(O1148,3)=$W$7)),"x","")</f>
        <v/>
      </c>
      <c r="X1148" s="75" t="str">
        <f>IF(OR(TH!N1148=TH!$X$7,O1148=TH!$X$7),"x","")</f>
        <v/>
      </c>
      <c r="Y1148" s="75" t="str">
        <f>IF(AND(OR(N1148="131",O1148="131"),H1148='131-CT'!$H$9),"x","")</f>
        <v/>
      </c>
      <c r="Z1148" s="75"/>
      <c r="AA1148" s="75" t="str">
        <f>IF(AND(MONTH(E1148)='IN-NX'!$J$5,'IN-NX'!$D$7=D1148),"x","")</f>
        <v/>
      </c>
      <c r="AB1148" s="75" t="str">
        <f>IF(AND(OR(LEFT(TH!N1148,2)="15",LEFT(TH!O1148,2)="15"),LEFT(TH!O1148,3)&lt;&gt;"111",'152-CT'!$J$8=TH!F1148),"x","")</f>
        <v/>
      </c>
      <c r="AC1148" s="75" t="str">
        <f>IF(AND(OR(LEFT(TH!N1148,2)="15",LEFT(TH!O1148,2)="15"),TK!$E$7=TH!F1148),"x","")</f>
        <v/>
      </c>
      <c r="AD1148" s="75" t="str">
        <f>IF(AND(N1148="1521",MONTH(C1148)='BK-NL'!$M$11),"x","")</f>
        <v/>
      </c>
    </row>
    <row r="1149" spans="1:30" ht="16.5" customHeight="1">
      <c r="A1149" s="309" t="str">
        <f>IF(B1149&lt;&gt;"",IF(AND(B1149='IN-TC'!$S$4,OR(TH!N1149="1111",TH!O1149="1111")),TH!D1149,""),"")</f>
        <v/>
      </c>
      <c r="B1149" s="1241">
        <f t="shared" si="128"/>
        <v>4</v>
      </c>
      <c r="C1149" s="252">
        <v>42832</v>
      </c>
      <c r="D1149" s="252" t="s">
        <v>819</v>
      </c>
      <c r="E1149" s="252">
        <f t="shared" si="243"/>
        <v>42832</v>
      </c>
      <c r="F1149" s="1082" t="s">
        <v>895</v>
      </c>
      <c r="G1149" s="1056" t="s">
        <v>1262</v>
      </c>
      <c r="H1149" s="735" t="s">
        <v>802</v>
      </c>
      <c r="I1149" s="371"/>
      <c r="J1149" s="932"/>
      <c r="K1149" s="932"/>
      <c r="L1149" s="377"/>
      <c r="M1149" s="933">
        <v>6360500</v>
      </c>
      <c r="N1149" s="977" t="s">
        <v>536</v>
      </c>
      <c r="O1149" s="977" t="s">
        <v>595</v>
      </c>
      <c r="P1149" s="75" t="str">
        <f>IF(AND('331-CT'!$E$7=TH!H1149,OR(N1149="331",O1149="331")),"x","")</f>
        <v/>
      </c>
      <c r="Q1149" s="75" t="str">
        <f>IF(AND(B1149='111'!$L$11,OR($N1149=$Q$7,$O1149=$Q$7)),"x","")</f>
        <v/>
      </c>
      <c r="R1149" s="75" t="str">
        <f>IF(AND($N1149=$Q$7,$B1149&lt;'111'!$L$11),"x","")</f>
        <v/>
      </c>
      <c r="S1149" s="75" t="str">
        <f>IF(AND($O1149=$Q$7,$B1149&lt;'111'!$L$11),"x","")</f>
        <v/>
      </c>
      <c r="T1149" s="75" t="str">
        <f>IF(ISERROR(FIND('112'!$M$9,G1149,1)),"",IF((AND(FIND('112'!$M$9,G1149,1)&gt;=1,B1149='112'!$K$9,OR($N1149='112'!$I$6,$O1149='112'!$I$6))),"x",""))</f>
        <v/>
      </c>
      <c r="U1149" s="75" t="str">
        <f>IF(ISERROR(FIND('112'!$M$9,G1149,1)),"",IF((AND(LEFT(G1149,2)=LEFT('112'!$M$9,2),B1149&lt;'112'!$K$9,$N1149='112'!$I$6)),"x",""))</f>
        <v/>
      </c>
      <c r="V1149" s="75" t="str">
        <f>IF(ISERROR(FIND('112'!$M$9,G1149,1)),"",IF((AND(RIGHT(G1149,2)=RIGHT('112'!$M$9,2),B1149&lt;'112'!$K$9,$O1149='112'!$I$6)),"x",""))</f>
        <v/>
      </c>
      <c r="W1149" s="75" t="str">
        <f>IF(AND('341-CT'!$H$9=H1149,OR(LEFT(N1149,3)=$W$7,LEFT(O1149,3)=$W$7)),"x","")</f>
        <v/>
      </c>
      <c r="X1149" s="75" t="str">
        <f>IF(OR(TH!N1149=TH!$X$7,O1149=TH!$X$7),"x","")</f>
        <v/>
      </c>
      <c r="Y1149" s="75" t="str">
        <f>IF(AND(OR(N1149="131",O1149="131"),H1149='131-CT'!$H$9),"x","")</f>
        <v/>
      </c>
      <c r="Z1149" s="75"/>
      <c r="AA1149" s="75" t="str">
        <f>IF(AND(MONTH(E1149)='IN-NX'!$J$5,'IN-NX'!$D$7=D1149),"x","")</f>
        <v/>
      </c>
      <c r="AB1149" s="75" t="str">
        <f>IF(AND(OR(LEFT(TH!N1149,2)="15",LEFT(TH!O1149,2)="15"),LEFT(TH!O1149,3)&lt;&gt;"111",'152-CT'!$J$8=TH!F1149),"x","")</f>
        <v/>
      </c>
      <c r="AC1149" s="75" t="str">
        <f>IF(AND(OR(LEFT(TH!N1149,2)="15",LEFT(TH!O1149,2)="15"),TK!$E$7=TH!F1149),"x","")</f>
        <v/>
      </c>
      <c r="AD1149" s="75" t="str">
        <f>IF(AND(N1149="1521",MONTH(C1149)='BK-NL'!$M$11),"x","")</f>
        <v/>
      </c>
    </row>
    <row r="1150" spans="1:30" ht="16.5" customHeight="1">
      <c r="A1150" s="309" t="str">
        <f>IF(B1150&lt;&gt;"",IF(AND(B1150='IN-TC'!$S$4,OR(TH!N1150="1111",TH!O1150="1111")),TH!D1150,""),"")</f>
        <v/>
      </c>
      <c r="B1150" s="1241">
        <f t="shared" si="128"/>
        <v>4</v>
      </c>
      <c r="C1150" s="252">
        <v>42832</v>
      </c>
      <c r="D1150" s="252" t="s">
        <v>836</v>
      </c>
      <c r="E1150" s="252">
        <f>C1150</f>
        <v>42832</v>
      </c>
      <c r="F1150" s="1055" t="s">
        <v>429</v>
      </c>
      <c r="G1150" s="1056" t="s">
        <v>1263</v>
      </c>
      <c r="H1150" s="296" t="s">
        <v>759</v>
      </c>
      <c r="I1150" s="371">
        <v>158340</v>
      </c>
      <c r="J1150" s="932">
        <v>2.81</v>
      </c>
      <c r="K1150" s="932">
        <f>I1150*J1150</f>
        <v>444935.4</v>
      </c>
      <c r="L1150" s="377">
        <v>22720</v>
      </c>
      <c r="M1150" s="933">
        <f t="shared" ref="M1150:M1155" si="245">ROUND(K1150*L1150,0)</f>
        <v>10108932288</v>
      </c>
      <c r="N1150" s="977" t="s">
        <v>536</v>
      </c>
      <c r="O1150" s="977" t="s">
        <v>288</v>
      </c>
      <c r="P1150" s="75" t="str">
        <f>IF(AND('331-CT'!$E$7=TH!H1150,OR(N1150="331",O1150="331")),"x","")</f>
        <v/>
      </c>
      <c r="Q1150" s="75" t="str">
        <f>IF(AND(B1150='111'!$L$11,OR($N1150=$Q$7,$O1150=$Q$7)),"x","")</f>
        <v/>
      </c>
      <c r="R1150" s="75" t="str">
        <f>IF(AND($N1150=$Q$7,$B1150&lt;'111'!$L$11),"x","")</f>
        <v/>
      </c>
      <c r="S1150" s="75" t="str">
        <f>IF(AND($O1150=$Q$7,$B1150&lt;'111'!$L$11),"x","")</f>
        <v/>
      </c>
      <c r="T1150" s="75" t="str">
        <f>IF(ISERROR(FIND('112'!$M$9,G1150,1)),"",IF((AND(FIND('112'!$M$9,G1150,1)&gt;=1,B1150='112'!$K$9,OR($N1150='112'!$I$6,$O1150='112'!$I$6))),"x",""))</f>
        <v/>
      </c>
      <c r="U1150" s="75" t="str">
        <f>IF(ISERROR(FIND('112'!$M$9,G1150,1)),"",IF((AND(LEFT(G1150,2)=LEFT('112'!$M$9,2),B1150&lt;'112'!$K$9,$N1150='112'!$I$6)),"x",""))</f>
        <v/>
      </c>
      <c r="V1150" s="75" t="str">
        <f>IF(ISERROR(FIND('112'!$M$9,G1150,1)),"",IF((AND(RIGHT(G1150,2)=RIGHT('112'!$M$9,2),B1150&lt;'112'!$K$9,$O1150='112'!$I$6)),"x",""))</f>
        <v/>
      </c>
      <c r="W1150" s="75" t="str">
        <f>IF(AND('341-CT'!$H$9=H1150,OR(LEFT(N1150,3)=$W$7,LEFT(O1150,3)=$W$7)),"x","")</f>
        <v/>
      </c>
      <c r="X1150" s="75" t="str">
        <f>IF(OR(TH!N1150=TH!$X$7,O1150=TH!$X$7),"x","")</f>
        <v/>
      </c>
      <c r="Y1150" s="75" t="str">
        <f>IF(AND(OR(N1150="131",O1150="131"),H1150='131-CT'!$H$9),"x","")</f>
        <v/>
      </c>
      <c r="Z1150" s="75"/>
      <c r="AA1150" s="75" t="str">
        <f>IF(AND(MONTH(E1150)='IN-NX'!$J$5,'IN-NX'!$D$7=D1150),"x","")</f>
        <v/>
      </c>
      <c r="AB1150" s="75" t="str">
        <f>IF(AND(OR(LEFT(TH!N1150,2)="15",LEFT(TH!O1150,2)="15"),LEFT(TH!O1150,3)&lt;&gt;"111",'152-CT'!$J$8=TH!F1150),"x","")</f>
        <v/>
      </c>
      <c r="AC1150" s="75" t="str">
        <f>IF(AND(OR(LEFT(TH!N1150,2)="15",LEFT(TH!O1150,2)="15"),TK!$E$7=TH!F1150),"x","")</f>
        <v/>
      </c>
      <c r="AD1150" s="75" t="str">
        <f>IF(AND(N1150="1521",MONTH(C1150)='BK-NL'!$M$11),"x","")</f>
        <v/>
      </c>
    </row>
    <row r="1151" spans="1:30" ht="16.5" customHeight="1">
      <c r="A1151" s="309" t="str">
        <f>IF(B1151&lt;&gt;"",IF(AND(B1151='IN-TC'!$S$4,OR(TH!N1151="1111",TH!O1151="1111")),TH!D1151,""),"")</f>
        <v/>
      </c>
      <c r="B1151" s="1241">
        <f t="shared" si="128"/>
        <v>4</v>
      </c>
      <c r="C1151" s="252">
        <v>42839</v>
      </c>
      <c r="D1151" s="252" t="s">
        <v>838</v>
      </c>
      <c r="E1151" s="252">
        <f t="shared" si="243"/>
        <v>42839</v>
      </c>
      <c r="F1151" s="1055" t="s">
        <v>429</v>
      </c>
      <c r="G1151" s="1056" t="s">
        <v>1259</v>
      </c>
      <c r="H1151" s="296" t="s">
        <v>759</v>
      </c>
      <c r="I1151" s="371">
        <v>105560</v>
      </c>
      <c r="J1151" s="932">
        <v>2.71</v>
      </c>
      <c r="K1151" s="932">
        <f t="shared" ref="K1151:K1155" si="246">I1151*J1151</f>
        <v>286067.59999999998</v>
      </c>
      <c r="L1151" s="377">
        <v>22640</v>
      </c>
      <c r="M1151" s="933">
        <f t="shared" si="245"/>
        <v>6476570464</v>
      </c>
      <c r="N1151" s="977" t="s">
        <v>536</v>
      </c>
      <c r="O1151" s="977" t="s">
        <v>288</v>
      </c>
      <c r="P1151" s="75" t="str">
        <f>IF(AND('331-CT'!$E$7=TH!H1151,OR(N1151="331",O1151="331")),"x","")</f>
        <v/>
      </c>
      <c r="Q1151" s="75" t="str">
        <f>IF(AND(B1151='111'!$L$11,OR($N1151=$Q$7,$O1151=$Q$7)),"x","")</f>
        <v/>
      </c>
      <c r="R1151" s="75" t="str">
        <f>IF(AND($N1151=$Q$7,$B1151&lt;'111'!$L$11),"x","")</f>
        <v/>
      </c>
      <c r="S1151" s="75" t="str">
        <f>IF(AND($O1151=$Q$7,$B1151&lt;'111'!$L$11),"x","")</f>
        <v/>
      </c>
      <c r="T1151" s="75" t="str">
        <f>IF(ISERROR(FIND('112'!$M$9,G1151,1)),"",IF((AND(FIND('112'!$M$9,G1151,1)&gt;=1,B1151='112'!$K$9,OR($N1151='112'!$I$6,$O1151='112'!$I$6))),"x",""))</f>
        <v/>
      </c>
      <c r="U1151" s="75" t="str">
        <f>IF(ISERROR(FIND('112'!$M$9,G1151,1)),"",IF((AND(LEFT(G1151,2)=LEFT('112'!$M$9,2),B1151&lt;'112'!$K$9,$N1151='112'!$I$6)),"x",""))</f>
        <v/>
      </c>
      <c r="V1151" s="75" t="str">
        <f>IF(ISERROR(FIND('112'!$M$9,G1151,1)),"",IF((AND(RIGHT(G1151,2)=RIGHT('112'!$M$9,2),B1151&lt;'112'!$K$9,$O1151='112'!$I$6)),"x",""))</f>
        <v/>
      </c>
      <c r="W1151" s="75" t="str">
        <f>IF(AND('341-CT'!$H$9=H1151,OR(LEFT(N1151,3)=$W$7,LEFT(O1151,3)=$W$7)),"x","")</f>
        <v/>
      </c>
      <c r="X1151" s="75" t="str">
        <f>IF(OR(TH!N1151=TH!$X$7,O1151=TH!$X$7),"x","")</f>
        <v/>
      </c>
      <c r="Y1151" s="75" t="str">
        <f>IF(AND(OR(N1151="131",O1151="131"),H1151='131-CT'!$H$9),"x","")</f>
        <v/>
      </c>
      <c r="Z1151" s="75"/>
      <c r="AA1151" s="75" t="str">
        <f>IF(AND(MONTH(E1151)='IN-NX'!$J$5,'IN-NX'!$D$7=D1151),"x","")</f>
        <v/>
      </c>
      <c r="AB1151" s="75" t="str">
        <f>IF(AND(OR(LEFT(TH!N1151,2)="15",LEFT(TH!O1151,2)="15"),LEFT(TH!O1151,3)&lt;&gt;"111",'152-CT'!$J$8=TH!F1151),"x","")</f>
        <v/>
      </c>
      <c r="AC1151" s="75" t="str">
        <f>IF(AND(OR(LEFT(TH!N1151,2)="15",LEFT(TH!O1151,2)="15"),TK!$E$7=TH!F1151),"x","")</f>
        <v/>
      </c>
      <c r="AD1151" s="75" t="str">
        <f>IF(AND(N1151="1521",MONTH(C1151)='BK-NL'!$M$11),"x","")</f>
        <v/>
      </c>
    </row>
    <row r="1152" spans="1:30" ht="16.5" customHeight="1">
      <c r="A1152" s="309" t="str">
        <f>IF(B1152&lt;&gt;"",IF(AND(B1152='IN-TC'!$S$4,OR(TH!N1152="1111",TH!O1152="1111")),TH!D1152,""),"")</f>
        <v/>
      </c>
      <c r="B1152" s="1241">
        <f t="shared" si="128"/>
        <v>4</v>
      </c>
      <c r="C1152" s="252">
        <v>42840</v>
      </c>
      <c r="D1152" s="252" t="s">
        <v>863</v>
      </c>
      <c r="E1152" s="252">
        <f t="shared" si="243"/>
        <v>42840</v>
      </c>
      <c r="F1152" s="1055" t="s">
        <v>1588</v>
      </c>
      <c r="G1152" s="1056" t="s">
        <v>1260</v>
      </c>
      <c r="H1152" s="296" t="s">
        <v>822</v>
      </c>
      <c r="I1152" s="371">
        <v>12000</v>
      </c>
      <c r="J1152" s="932">
        <v>9.65</v>
      </c>
      <c r="K1152" s="932">
        <f t="shared" si="246"/>
        <v>115800</v>
      </c>
      <c r="L1152" s="377">
        <v>22640</v>
      </c>
      <c r="M1152" s="933">
        <f t="shared" si="245"/>
        <v>2621712000</v>
      </c>
      <c r="N1152" s="977" t="s">
        <v>536</v>
      </c>
      <c r="O1152" s="977" t="s">
        <v>288</v>
      </c>
      <c r="P1152" s="75" t="str">
        <f>IF(AND('331-CT'!$E$7=TH!H1152,OR(N1152="331",O1152="331")),"x","")</f>
        <v/>
      </c>
      <c r="Q1152" s="75" t="str">
        <f>IF(AND(B1152='111'!$L$11,OR($N1152=$Q$7,$O1152=$Q$7)),"x","")</f>
        <v/>
      </c>
      <c r="R1152" s="75" t="str">
        <f>IF(AND($N1152=$Q$7,$B1152&lt;'111'!$L$11),"x","")</f>
        <v/>
      </c>
      <c r="S1152" s="75" t="str">
        <f>IF(AND($O1152=$Q$7,$B1152&lt;'111'!$L$11),"x","")</f>
        <v/>
      </c>
      <c r="T1152" s="75" t="str">
        <f>IF(ISERROR(FIND('112'!$M$9,G1152,1)),"",IF((AND(FIND('112'!$M$9,G1152,1)&gt;=1,B1152='112'!$K$9,OR($N1152='112'!$I$6,$O1152='112'!$I$6))),"x",""))</f>
        <v/>
      </c>
      <c r="U1152" s="75" t="str">
        <f>IF(ISERROR(FIND('112'!$M$9,G1152,1)),"",IF((AND(LEFT(G1152,2)=LEFT('112'!$M$9,2),B1152&lt;'112'!$K$9,$N1152='112'!$I$6)),"x",""))</f>
        <v/>
      </c>
      <c r="V1152" s="75" t="str">
        <f>IF(ISERROR(FIND('112'!$M$9,G1152,1)),"",IF((AND(RIGHT(G1152,2)=RIGHT('112'!$M$9,2),B1152&lt;'112'!$K$9,$O1152='112'!$I$6)),"x",""))</f>
        <v/>
      </c>
      <c r="W1152" s="75" t="str">
        <f>IF(AND('341-CT'!$H$9=H1152,OR(LEFT(N1152,3)=$W$7,LEFT(O1152,3)=$W$7)),"x","")</f>
        <v/>
      </c>
      <c r="X1152" s="75" t="str">
        <f>IF(OR(TH!N1152=TH!$X$7,O1152=TH!$X$7),"x","")</f>
        <v/>
      </c>
      <c r="Y1152" s="75" t="str">
        <f>IF(AND(OR(N1152="131",O1152="131"),H1152='131-CT'!$H$9),"x","")</f>
        <v/>
      </c>
      <c r="Z1152" s="75"/>
      <c r="AA1152" s="75" t="str">
        <f>IF(AND(MONTH(E1152)='IN-NX'!$J$5,'IN-NX'!$D$7=D1152),"x","")</f>
        <v/>
      </c>
      <c r="AB1152" s="75" t="str">
        <f>IF(AND(OR(LEFT(TH!N1152,2)="15",LEFT(TH!O1152,2)="15"),LEFT(TH!O1152,3)&lt;&gt;"111",'152-CT'!$J$8=TH!F1152),"x","")</f>
        <v/>
      </c>
      <c r="AC1152" s="75" t="str">
        <f>IF(AND(OR(LEFT(TH!N1152,2)="15",LEFT(TH!O1152,2)="15"),TK!$E$7=TH!F1152),"x","")</f>
        <v/>
      </c>
      <c r="AD1152" s="75" t="str">
        <f>IF(AND(N1152="1521",MONTH(C1152)='BK-NL'!$M$11),"x","")</f>
        <v/>
      </c>
    </row>
    <row r="1153" spans="1:32" ht="16.5" customHeight="1">
      <c r="A1153" s="309" t="str">
        <f>IF(B1153&lt;&gt;"",IF(AND(B1153='IN-TC'!$S$4,OR(TH!N1153="1111",TH!O1153="1111")),TH!D1153,""),"")</f>
        <v/>
      </c>
      <c r="B1153" s="1241">
        <f t="shared" si="128"/>
        <v>4</v>
      </c>
      <c r="C1153" s="252">
        <v>42846</v>
      </c>
      <c r="D1153" s="252" t="s">
        <v>864</v>
      </c>
      <c r="E1153" s="252">
        <f t="shared" si="243"/>
        <v>42846</v>
      </c>
      <c r="F1153" s="1055" t="s">
        <v>2949</v>
      </c>
      <c r="G1153" s="1056" t="s">
        <v>1261</v>
      </c>
      <c r="H1153" s="296" t="s">
        <v>759</v>
      </c>
      <c r="I1153" s="371">
        <v>26390</v>
      </c>
      <c r="J1153" s="932">
        <v>1.9</v>
      </c>
      <c r="K1153" s="932">
        <f t="shared" si="246"/>
        <v>50141</v>
      </c>
      <c r="L1153" s="377">
        <v>22640</v>
      </c>
      <c r="M1153" s="933">
        <f t="shared" si="245"/>
        <v>1135192240</v>
      </c>
      <c r="N1153" s="977" t="s">
        <v>536</v>
      </c>
      <c r="O1153" s="977" t="s">
        <v>288</v>
      </c>
      <c r="P1153" s="75" t="str">
        <f>IF(AND('331-CT'!$E$7=TH!H1153,OR(N1153="331",O1153="331")),"x","")</f>
        <v/>
      </c>
      <c r="Q1153" s="75" t="str">
        <f>IF(AND(B1153='111'!$L$11,OR($N1153=$Q$7,$O1153=$Q$7)),"x","")</f>
        <v/>
      </c>
      <c r="R1153" s="75" t="str">
        <f>IF(AND($N1153=$Q$7,$B1153&lt;'111'!$L$11),"x","")</f>
        <v/>
      </c>
      <c r="S1153" s="75" t="str">
        <f>IF(AND($O1153=$Q$7,$B1153&lt;'111'!$L$11),"x","")</f>
        <v/>
      </c>
      <c r="T1153" s="75" t="str">
        <f>IF(ISERROR(FIND('112'!$M$9,G1153,1)),"",IF((AND(FIND('112'!$M$9,G1153,1)&gt;=1,B1153='112'!$K$9,OR($N1153='112'!$I$6,$O1153='112'!$I$6))),"x",""))</f>
        <v/>
      </c>
      <c r="U1153" s="75" t="str">
        <f>IF(ISERROR(FIND('112'!$M$9,G1153,1)),"",IF((AND(LEFT(G1153,2)=LEFT('112'!$M$9,2),B1153&lt;'112'!$K$9,$N1153='112'!$I$6)),"x",""))</f>
        <v/>
      </c>
      <c r="V1153" s="75" t="str">
        <f>IF(ISERROR(FIND('112'!$M$9,G1153,1)),"",IF((AND(RIGHT(G1153,2)=RIGHT('112'!$M$9,2),B1153&lt;'112'!$K$9,$O1153='112'!$I$6)),"x",""))</f>
        <v/>
      </c>
      <c r="W1153" s="75" t="str">
        <f>IF(AND('341-CT'!$H$9=H1153,OR(LEFT(N1153,3)=$W$7,LEFT(O1153,3)=$W$7)),"x","")</f>
        <v/>
      </c>
      <c r="X1153" s="75" t="str">
        <f>IF(OR(TH!N1153=TH!$X$7,O1153=TH!$X$7),"x","")</f>
        <v/>
      </c>
      <c r="Y1153" s="75" t="str">
        <f>IF(AND(OR(N1153="131",O1153="131"),H1153='131-CT'!$H$9),"x","")</f>
        <v/>
      </c>
      <c r="Z1153" s="75"/>
      <c r="AA1153" s="75" t="str">
        <f>IF(AND(MONTH(E1153)='IN-NX'!$J$5,'IN-NX'!$D$7=D1153),"x","")</f>
        <v/>
      </c>
      <c r="AB1153" s="75" t="str">
        <f>IF(AND(OR(LEFT(TH!N1153,2)="15",LEFT(TH!O1153,2)="15"),LEFT(TH!O1153,3)&lt;&gt;"111",'152-CT'!$J$8=TH!F1153),"x","")</f>
        <v/>
      </c>
      <c r="AC1153" s="75" t="str">
        <f>IF(AND(OR(LEFT(TH!N1153,2)="15",LEFT(TH!O1153,2)="15"),TK!$E$7=TH!F1153),"x","")</f>
        <v/>
      </c>
      <c r="AD1153" s="75" t="str">
        <f>IF(AND(N1153="1521",MONTH(C1153)='BK-NL'!$M$11),"x","")</f>
        <v/>
      </c>
    </row>
    <row r="1154" spans="1:32" ht="16.5" customHeight="1">
      <c r="A1154" s="309" t="str">
        <f>IF(B1154&lt;&gt;"",IF(AND(B1154='IN-TC'!$S$4,OR(TH!N1154="1111",TH!O1154="1111")),TH!D1154,""),"")</f>
        <v/>
      </c>
      <c r="B1154" s="1241">
        <f t="shared" si="128"/>
        <v>4</v>
      </c>
      <c r="C1154" s="252">
        <v>42846</v>
      </c>
      <c r="D1154" s="252" t="s">
        <v>864</v>
      </c>
      <c r="E1154" s="252">
        <f t="shared" si="243"/>
        <v>42846</v>
      </c>
      <c r="F1154" s="1055" t="s">
        <v>2949</v>
      </c>
      <c r="G1154" s="1056" t="s">
        <v>1261</v>
      </c>
      <c r="H1154" s="296" t="s">
        <v>759</v>
      </c>
      <c r="I1154" s="371">
        <v>26698</v>
      </c>
      <c r="J1154" s="932">
        <v>1.9</v>
      </c>
      <c r="K1154" s="932">
        <f t="shared" si="246"/>
        <v>50726.2</v>
      </c>
      <c r="L1154" s="377">
        <v>22640</v>
      </c>
      <c r="M1154" s="933">
        <f t="shared" si="245"/>
        <v>1148441168</v>
      </c>
      <c r="N1154" s="977" t="s">
        <v>536</v>
      </c>
      <c r="O1154" s="977" t="s">
        <v>288</v>
      </c>
      <c r="P1154" s="75" t="str">
        <f>IF(AND('331-CT'!$E$7=TH!H1154,OR(N1154="331",O1154="331")),"x","")</f>
        <v/>
      </c>
      <c r="Q1154" s="75" t="str">
        <f>IF(AND(B1154='111'!$L$11,OR($N1154=$Q$7,$O1154=$Q$7)),"x","")</f>
        <v/>
      </c>
      <c r="R1154" s="75" t="str">
        <f>IF(AND($N1154=$Q$7,$B1154&lt;'111'!$L$11),"x","")</f>
        <v/>
      </c>
      <c r="S1154" s="75" t="str">
        <f>IF(AND($O1154=$Q$7,$B1154&lt;'111'!$L$11),"x","")</f>
        <v/>
      </c>
      <c r="T1154" s="75" t="str">
        <f>IF(ISERROR(FIND('112'!$M$9,G1154,1)),"",IF((AND(FIND('112'!$M$9,G1154,1)&gt;=1,B1154='112'!$K$9,OR($N1154='112'!$I$6,$O1154='112'!$I$6))),"x",""))</f>
        <v/>
      </c>
      <c r="U1154" s="75" t="str">
        <f>IF(ISERROR(FIND('112'!$M$9,G1154,1)),"",IF((AND(LEFT(G1154,2)=LEFT('112'!$M$9,2),B1154&lt;'112'!$K$9,$N1154='112'!$I$6)),"x",""))</f>
        <v/>
      </c>
      <c r="V1154" s="75" t="str">
        <f>IF(ISERROR(FIND('112'!$M$9,G1154,1)),"",IF((AND(RIGHT(G1154,2)=RIGHT('112'!$M$9,2),B1154&lt;'112'!$K$9,$O1154='112'!$I$6)),"x",""))</f>
        <v/>
      </c>
      <c r="W1154" s="75" t="str">
        <f>IF(AND('341-CT'!$H$9=H1154,OR(LEFT(N1154,3)=$W$7,LEFT(O1154,3)=$W$7)),"x","")</f>
        <v/>
      </c>
      <c r="X1154" s="75" t="str">
        <f>IF(OR(TH!N1154=TH!$X$7,O1154=TH!$X$7),"x","")</f>
        <v/>
      </c>
      <c r="Y1154" s="75" t="str">
        <f>IF(AND(OR(N1154="131",O1154="131"),H1154='131-CT'!$H$9),"x","")</f>
        <v/>
      </c>
      <c r="Z1154" s="75"/>
      <c r="AA1154" s="75" t="str">
        <f>IF(AND(MONTH(E1154)='IN-NX'!$J$5,'IN-NX'!$D$7=D1154),"x","")</f>
        <v/>
      </c>
      <c r="AB1154" s="75" t="str">
        <f>IF(AND(OR(LEFT(TH!N1154,2)="15",LEFT(TH!O1154,2)="15"),LEFT(TH!O1154,3)&lt;&gt;"111",'152-CT'!$J$8=TH!F1154),"x","")</f>
        <v/>
      </c>
      <c r="AC1154" s="75" t="str">
        <f>IF(AND(OR(LEFT(TH!N1154,2)="15",LEFT(TH!O1154,2)="15"),TK!$E$7=TH!F1154),"x","")</f>
        <v/>
      </c>
      <c r="AD1154" s="75" t="str">
        <f>IF(AND(N1154="1521",MONTH(C1154)='BK-NL'!$M$11),"x","")</f>
        <v/>
      </c>
    </row>
    <row r="1155" spans="1:32" ht="16.5" customHeight="1">
      <c r="A1155" s="309" t="str">
        <f>IF(B1155&lt;&gt;"",IF(AND(B1155='IN-TC'!$S$4,OR(TH!N1155="1111",TH!O1155="1111")),TH!D1155,""),"")</f>
        <v/>
      </c>
      <c r="B1155" s="1241">
        <f t="shared" si="128"/>
        <v>4</v>
      </c>
      <c r="C1155" s="252">
        <v>42846</v>
      </c>
      <c r="D1155" s="252" t="s">
        <v>864</v>
      </c>
      <c r="E1155" s="252">
        <f t="shared" si="243"/>
        <v>42846</v>
      </c>
      <c r="F1155" s="1055" t="s">
        <v>429</v>
      </c>
      <c r="G1155" s="1056" t="s">
        <v>1261</v>
      </c>
      <c r="H1155" s="296" t="s">
        <v>759</v>
      </c>
      <c r="I1155" s="371">
        <v>158340</v>
      </c>
      <c r="J1155" s="932">
        <v>2.8</v>
      </c>
      <c r="K1155" s="932">
        <f t="shared" si="246"/>
        <v>443352</v>
      </c>
      <c r="L1155" s="377">
        <v>22640</v>
      </c>
      <c r="M1155" s="933">
        <f t="shared" si="245"/>
        <v>10037489280</v>
      </c>
      <c r="N1155" s="977" t="s">
        <v>536</v>
      </c>
      <c r="O1155" s="977" t="s">
        <v>288</v>
      </c>
      <c r="P1155" s="75" t="str">
        <f>IF(AND('331-CT'!$E$7=TH!H1155,OR(N1155="331",O1155="331")),"x","")</f>
        <v/>
      </c>
      <c r="Q1155" s="75" t="str">
        <f>IF(AND(B1155='111'!$L$11,OR($N1155=$Q$7,$O1155=$Q$7)),"x","")</f>
        <v/>
      </c>
      <c r="R1155" s="75" t="str">
        <f>IF(AND($N1155=$Q$7,$B1155&lt;'111'!$L$11),"x","")</f>
        <v/>
      </c>
      <c r="S1155" s="75" t="str">
        <f>IF(AND($O1155=$Q$7,$B1155&lt;'111'!$L$11),"x","")</f>
        <v/>
      </c>
      <c r="T1155" s="75" t="str">
        <f>IF(ISERROR(FIND('112'!$M$9,G1155,1)),"",IF((AND(FIND('112'!$M$9,G1155,1)&gt;=1,B1155='112'!$K$9,OR($N1155='112'!$I$6,$O1155='112'!$I$6))),"x",""))</f>
        <v/>
      </c>
      <c r="U1155" s="75" t="str">
        <f>IF(ISERROR(FIND('112'!$M$9,G1155,1)),"",IF((AND(LEFT(G1155,2)=LEFT('112'!$M$9,2),B1155&lt;'112'!$K$9,$N1155='112'!$I$6)),"x",""))</f>
        <v/>
      </c>
      <c r="V1155" s="75" t="str">
        <f>IF(ISERROR(FIND('112'!$M$9,G1155,1)),"",IF((AND(RIGHT(G1155,2)=RIGHT('112'!$M$9,2),B1155&lt;'112'!$K$9,$O1155='112'!$I$6)),"x",""))</f>
        <v/>
      </c>
      <c r="W1155" s="75" t="str">
        <f>IF(AND('341-CT'!$H$9=H1155,OR(LEFT(N1155,3)=$W$7,LEFT(O1155,3)=$W$7)),"x","")</f>
        <v/>
      </c>
      <c r="X1155" s="75" t="str">
        <f>IF(OR(TH!N1155=TH!$X$7,O1155=TH!$X$7),"x","")</f>
        <v/>
      </c>
      <c r="Y1155" s="75" t="str">
        <f>IF(AND(OR(N1155="131",O1155="131"),H1155='131-CT'!$H$9),"x","")</f>
        <v/>
      </c>
      <c r="Z1155" s="75"/>
      <c r="AA1155" s="75" t="str">
        <f>IF(AND(MONTH(E1155)='IN-NX'!$J$5,'IN-NX'!$D$7=D1155),"x","")</f>
        <v/>
      </c>
      <c r="AB1155" s="75" t="str">
        <f>IF(AND(OR(LEFT(TH!N1155,2)="15",LEFT(TH!O1155,2)="15"),LEFT(TH!O1155,3)&lt;&gt;"111",'152-CT'!$J$8=TH!F1155),"x","")</f>
        <v/>
      </c>
      <c r="AC1155" s="75" t="str">
        <f>IF(AND(OR(LEFT(TH!N1155,2)="15",LEFT(TH!O1155,2)="15"),TK!$E$7=TH!F1155),"x","")</f>
        <v/>
      </c>
      <c r="AD1155" s="75" t="str">
        <f>IF(AND(N1155="1521",MONTH(C1155)='BK-NL'!$M$11),"x","")</f>
        <v/>
      </c>
    </row>
    <row r="1156" spans="1:32" ht="16.5" customHeight="1">
      <c r="A1156" s="309" t="str">
        <f>IF(B1156&lt;&gt;"",IF(AND(B1156='IN-TC'!$S$4,OR(TH!N1156="1111",TH!O1156="1111")),TH!D1156,""),"")</f>
        <v/>
      </c>
      <c r="B1156" s="1241">
        <f t="shared" si="128"/>
        <v>4</v>
      </c>
      <c r="C1156" s="252">
        <v>42850</v>
      </c>
      <c r="D1156" s="252" t="s">
        <v>894</v>
      </c>
      <c r="E1156" s="252">
        <f t="shared" si="243"/>
        <v>42850</v>
      </c>
      <c r="F1156" s="730" t="s">
        <v>421</v>
      </c>
      <c r="G1156" s="1056" t="s">
        <v>1147</v>
      </c>
      <c r="H1156" s="735" t="s">
        <v>792</v>
      </c>
      <c r="I1156" s="371">
        <v>480</v>
      </c>
      <c r="J1156" s="371">
        <v>130000</v>
      </c>
      <c r="K1156" s="377"/>
      <c r="L1156" s="377"/>
      <c r="M1156" s="933">
        <f t="shared" ref="M1156:M1157" si="247">ROUND(I1156*J1156,0)</f>
        <v>62400000</v>
      </c>
      <c r="N1156" s="977" t="s">
        <v>536</v>
      </c>
      <c r="O1156" s="977" t="s">
        <v>286</v>
      </c>
      <c r="P1156" s="75" t="str">
        <f>IF(AND('331-CT'!$E$7=TH!H1156,OR(N1156="331",O1156="331")),"x","")</f>
        <v/>
      </c>
      <c r="Q1156" s="75" t="str">
        <f>IF(AND(B1156='111'!$L$11,OR($N1156=$Q$7,$O1156=$Q$7)),"x","")</f>
        <v/>
      </c>
      <c r="R1156" s="75" t="str">
        <f>IF(AND($N1156=$Q$7,$B1156&lt;'111'!$L$11),"x","")</f>
        <v/>
      </c>
      <c r="S1156" s="75" t="str">
        <f>IF(AND($O1156=$Q$7,$B1156&lt;'111'!$L$11),"x","")</f>
        <v/>
      </c>
      <c r="T1156" s="75" t="str">
        <f>IF(ISERROR(FIND('112'!$M$9,G1156,1)),"",IF((AND(FIND('112'!$M$9,G1156,1)&gt;=1,B1156='112'!$K$9,OR($N1156='112'!$I$6,$O1156='112'!$I$6))),"x",""))</f>
        <v/>
      </c>
      <c r="U1156" s="75" t="str">
        <f>IF(ISERROR(FIND('112'!$M$9,G1156,1)),"",IF((AND(LEFT(G1156,2)=LEFT('112'!$M$9,2),B1156&lt;'112'!$K$9,$N1156='112'!$I$6)),"x",""))</f>
        <v/>
      </c>
      <c r="V1156" s="75" t="str">
        <f>IF(ISERROR(FIND('112'!$M$9,G1156,1)),"",IF((AND(RIGHT(G1156,2)=RIGHT('112'!$M$9,2),B1156&lt;'112'!$K$9,$O1156='112'!$I$6)),"x",""))</f>
        <v/>
      </c>
      <c r="W1156" s="75" t="str">
        <f>IF(AND('341-CT'!$H$9=H1156,OR(LEFT(N1156,3)=$W$7,LEFT(O1156,3)=$W$7)),"x","")</f>
        <v/>
      </c>
      <c r="X1156" s="75" t="str">
        <f>IF(OR(TH!N1156=TH!$X$7,O1156=TH!$X$7),"x","")</f>
        <v/>
      </c>
      <c r="Y1156" s="75" t="str">
        <f>IF(AND(OR(N1156="131",O1156="131"),H1156='131-CT'!$H$9),"x","")</f>
        <v/>
      </c>
      <c r="Z1156" s="75"/>
      <c r="AA1156" s="75" t="str">
        <f>IF(AND(MONTH(E1156)='IN-NX'!$J$5,'IN-NX'!$D$7=D1156),"x","")</f>
        <v/>
      </c>
      <c r="AB1156" s="75" t="str">
        <f>IF(AND(OR(LEFT(TH!N1156,2)="15",LEFT(TH!O1156,2)="15"),LEFT(TH!O1156,3)&lt;&gt;"111",'152-CT'!$J$8=TH!F1156),"x","")</f>
        <v/>
      </c>
      <c r="AC1156" s="75" t="str">
        <f>IF(AND(OR(LEFT(TH!N1156,2)="15",LEFT(TH!O1156,2)="15"),TK!$E$7=TH!F1156),"x","")</f>
        <v/>
      </c>
      <c r="AD1156" s="75" t="str">
        <f>IF(AND(N1156="1521",MONTH(C1156)='BK-NL'!$M$11),"x","")</f>
        <v/>
      </c>
    </row>
    <row r="1157" spans="1:32" ht="16.5" customHeight="1">
      <c r="A1157" s="309" t="str">
        <f>IF(B1157&lt;&gt;"",IF(AND(B1157='IN-TC'!$S$4,OR(TH!N1157="1111",TH!O1157="1111")),TH!D1157,""),"")</f>
        <v/>
      </c>
      <c r="B1157" s="1241">
        <f t="shared" si="128"/>
        <v>4</v>
      </c>
      <c r="C1157" s="252">
        <v>42850</v>
      </c>
      <c r="D1157" s="252" t="s">
        <v>894</v>
      </c>
      <c r="E1157" s="252">
        <f t="shared" si="243"/>
        <v>42850</v>
      </c>
      <c r="F1157" s="730" t="s">
        <v>1406</v>
      </c>
      <c r="G1157" s="1056" t="s">
        <v>1147</v>
      </c>
      <c r="H1157" s="735" t="s">
        <v>792</v>
      </c>
      <c r="I1157" s="371">
        <v>3908.6</v>
      </c>
      <c r="J1157" s="371">
        <v>118000</v>
      </c>
      <c r="K1157" s="377"/>
      <c r="L1157" s="377"/>
      <c r="M1157" s="933">
        <f t="shared" si="247"/>
        <v>461214800</v>
      </c>
      <c r="N1157" s="977" t="s">
        <v>536</v>
      </c>
      <c r="O1157" s="977" t="s">
        <v>286</v>
      </c>
      <c r="P1157" s="75" t="str">
        <f>IF(AND('331-CT'!$E$7=TH!H1157,OR(N1157="331",O1157="331")),"x","")</f>
        <v/>
      </c>
      <c r="Q1157" s="75" t="str">
        <f>IF(AND(B1157='111'!$L$11,OR($N1157=$Q$7,$O1157=$Q$7)),"x","")</f>
        <v/>
      </c>
      <c r="R1157" s="75" t="str">
        <f>IF(AND($N1157=$Q$7,$B1157&lt;'111'!$L$11),"x","")</f>
        <v/>
      </c>
      <c r="S1157" s="75" t="str">
        <f>IF(AND($O1157=$Q$7,$B1157&lt;'111'!$L$11),"x","")</f>
        <v/>
      </c>
      <c r="T1157" s="75" t="str">
        <f>IF(ISERROR(FIND('112'!$M$9,G1157,1)),"",IF((AND(FIND('112'!$M$9,G1157,1)&gt;=1,B1157='112'!$K$9,OR($N1157='112'!$I$6,$O1157='112'!$I$6))),"x",""))</f>
        <v/>
      </c>
      <c r="U1157" s="75" t="str">
        <f>IF(ISERROR(FIND('112'!$M$9,G1157,1)),"",IF((AND(LEFT(G1157,2)=LEFT('112'!$M$9,2),B1157&lt;'112'!$K$9,$N1157='112'!$I$6)),"x",""))</f>
        <v/>
      </c>
      <c r="V1157" s="75" t="str">
        <f>IF(ISERROR(FIND('112'!$M$9,G1157,1)),"",IF((AND(RIGHT(G1157,2)=RIGHT('112'!$M$9,2),B1157&lt;'112'!$K$9,$O1157='112'!$I$6)),"x",""))</f>
        <v/>
      </c>
      <c r="W1157" s="75" t="str">
        <f>IF(AND('341-CT'!$H$9=H1157,OR(LEFT(N1157,3)=$W$7,LEFT(O1157,3)=$W$7)),"x","")</f>
        <v/>
      </c>
      <c r="X1157" s="75" t="str">
        <f>IF(OR(TH!N1157=TH!$X$7,O1157=TH!$X$7),"x","")</f>
        <v/>
      </c>
      <c r="Y1157" s="75" t="str">
        <f>IF(AND(OR(N1157="131",O1157="131"),H1157='131-CT'!$H$9),"x","")</f>
        <v/>
      </c>
      <c r="Z1157" s="75"/>
      <c r="AA1157" s="75" t="str">
        <f>IF(AND(MONTH(E1157)='IN-NX'!$J$5,'IN-NX'!$D$7=D1157),"x","")</f>
        <v/>
      </c>
      <c r="AB1157" s="75" t="str">
        <f>IF(AND(OR(LEFT(TH!N1157,2)="15",LEFT(TH!O1157,2)="15"),LEFT(TH!O1157,3)&lt;&gt;"111",'152-CT'!$J$8=TH!F1157),"x","")</f>
        <v/>
      </c>
      <c r="AC1157" s="75" t="str">
        <f>IF(AND(OR(LEFT(TH!N1157,2)="15",LEFT(TH!O1157,2)="15"),TK!$E$7=TH!F1157),"x","")</f>
        <v/>
      </c>
      <c r="AD1157" s="75" t="str">
        <f>IF(AND(N1157="1521",MONTH(C1157)='BK-NL'!$M$11),"x","")</f>
        <v/>
      </c>
    </row>
    <row r="1158" spans="1:32" s="1054" customFormat="1" ht="16.5" customHeight="1">
      <c r="A1158" s="309" t="str">
        <f>IF(B1158&lt;&gt;"",IF(AND(B1158='IN-TC'!$S$4,OR(TH!N1158="1111",TH!O1158="1111")),TH!D1158,""),"")</f>
        <v/>
      </c>
      <c r="B1158" s="1241">
        <f>IF(C1158&lt;&gt;"",MONTH(C1158),"")</f>
        <v>4</v>
      </c>
      <c r="C1158" s="217">
        <v>42826</v>
      </c>
      <c r="D1158" s="217" t="s">
        <v>815</v>
      </c>
      <c r="E1158" s="217">
        <f>C1158</f>
        <v>42826</v>
      </c>
      <c r="F1158" s="960" t="s">
        <v>429</v>
      </c>
      <c r="G1158" s="739" t="s">
        <v>1363</v>
      </c>
      <c r="H1158" s="311" t="s">
        <v>623</v>
      </c>
      <c r="I1158" s="373">
        <v>52780</v>
      </c>
      <c r="J1158" s="373">
        <v>63000</v>
      </c>
      <c r="K1158" s="373"/>
      <c r="L1158" s="379"/>
      <c r="M1158" s="927">
        <f t="shared" ref="M1158:M1163" si="248">ROUND(I1158*J1158,0)</f>
        <v>3325140000</v>
      </c>
      <c r="N1158" s="935" t="s">
        <v>274</v>
      </c>
      <c r="O1158" s="935" t="s">
        <v>8</v>
      </c>
      <c r="P1158" s="75" t="str">
        <f>IF(AND('331-CT'!$E$7=TH!H1158,OR(N1158="331",O1158="331")),"x","")</f>
        <v/>
      </c>
      <c r="Q1158" s="75" t="str">
        <f>IF(AND(B1158='111'!$L$11,OR($N1158=$Q$7,$O1158=$Q$7)),"x","")</f>
        <v/>
      </c>
      <c r="R1158" s="75" t="str">
        <f>IF(AND($N1158=$Q$7,$B1158&lt;'111'!$L$11),"x","")</f>
        <v/>
      </c>
      <c r="S1158" s="75" t="str">
        <f>IF(AND($O1158=$Q$7,$B1158&lt;'111'!$L$11),"x","")</f>
        <v/>
      </c>
      <c r="T1158" s="75" t="str">
        <f>IF(ISERROR(FIND('112'!$M$9,G1158,1)),"",IF((AND(FIND('112'!$M$9,G1158,1)&gt;=1,B1158='112'!$K$9,OR($N1158='112'!$I$6,$O1158='112'!$I$6))),"x",""))</f>
        <v/>
      </c>
      <c r="U1158" s="75" t="str">
        <f>IF(ISERROR(FIND('112'!$M$9,G1158,1)),"",IF((AND(LEFT(G1158,2)=LEFT('112'!$M$9,2),B1158&lt;'112'!$K$9,$N1158='112'!$I$6)),"x",""))</f>
        <v/>
      </c>
      <c r="V1158" s="75" t="str">
        <f>IF(ISERROR(FIND('112'!$M$9,G1158,1)),"",IF((AND(RIGHT(G1158,2)=RIGHT('112'!$M$9,2),B1158&lt;'112'!$K$9,$O1158='112'!$I$6)),"x",""))</f>
        <v/>
      </c>
      <c r="W1158" s="75" t="str">
        <f>IF(AND('341-CT'!$H$9=H1158,OR(LEFT(N1158,3)=$W$7,LEFT(O1158,3)=$W$7)),"x","")</f>
        <v/>
      </c>
      <c r="X1158" s="75" t="str">
        <f>IF(OR(TH!N1158=TH!$X$7,O1158=TH!$X$7),"x","")</f>
        <v/>
      </c>
      <c r="Y1158" s="75" t="str">
        <f>IF(AND(OR(N1158="131",O1158="131"),H1158='131-CT'!$H$9),"x","")</f>
        <v/>
      </c>
      <c r="Z1158" s="75"/>
      <c r="AA1158" s="75" t="str">
        <f>IF(AND(MONTH(E1158)='IN-NX'!$J$5,'IN-NX'!$D$7=D1158),"x","")</f>
        <v/>
      </c>
      <c r="AB1158" s="75" t="str">
        <f>IF(AND(OR(LEFT(TH!N1158,2)="15",LEFT(TH!O1158,2)="15"),LEFT(TH!O1158,3)&lt;&gt;"111",'152-CT'!$J$8=TH!F1158),"x","")</f>
        <v/>
      </c>
      <c r="AC1158" s="75" t="str">
        <f>IF(AND(OR(LEFT(TH!N1158,2)="15",LEFT(TH!O1158,2)="15"),TK!$E$7=TH!F1158),"x","")</f>
        <v/>
      </c>
      <c r="AD1158" s="75" t="str">
        <f>IF(AND(N1158="1521",MONTH(C1158)='BK-NL'!$M$11),"x","")</f>
        <v/>
      </c>
    </row>
    <row r="1159" spans="1:32" s="1054" customFormat="1" ht="16.5" customHeight="1">
      <c r="A1159" s="309" t="str">
        <f>IF(B1159&lt;&gt;"",IF(AND(B1159='IN-TC'!$S$4,OR(TH!N1159="1111",TH!O1159="1111")),TH!D1159,""),"")</f>
        <v/>
      </c>
      <c r="B1159" s="1241">
        <f>IF(C1159&lt;&gt;"",MONTH(C1159),"")</f>
        <v>4</v>
      </c>
      <c r="C1159" s="217">
        <v>42828</v>
      </c>
      <c r="D1159" s="217" t="s">
        <v>997</v>
      </c>
      <c r="E1159" s="217">
        <f>C1159</f>
        <v>42828</v>
      </c>
      <c r="F1159" s="960" t="s">
        <v>429</v>
      </c>
      <c r="G1159" s="739" t="s">
        <v>1364</v>
      </c>
      <c r="H1159" s="311" t="s">
        <v>623</v>
      </c>
      <c r="I1159" s="373">
        <v>52780</v>
      </c>
      <c r="J1159" s="373">
        <v>63000</v>
      </c>
      <c r="K1159" s="373"/>
      <c r="L1159" s="379"/>
      <c r="M1159" s="927">
        <f t="shared" si="248"/>
        <v>3325140000</v>
      </c>
      <c r="N1159" s="935" t="s">
        <v>274</v>
      </c>
      <c r="O1159" s="935" t="s">
        <v>8</v>
      </c>
      <c r="P1159" s="75" t="str">
        <f>IF(AND('331-CT'!$E$7=TH!H1159,OR(N1159="331",O1159="331")),"x","")</f>
        <v/>
      </c>
      <c r="Q1159" s="75" t="str">
        <f>IF(AND(B1159='111'!$L$11,OR($N1159=$Q$7,$O1159=$Q$7)),"x","")</f>
        <v/>
      </c>
      <c r="R1159" s="75" t="str">
        <f>IF(AND($N1159=$Q$7,$B1159&lt;'111'!$L$11),"x","")</f>
        <v/>
      </c>
      <c r="S1159" s="75" t="str">
        <f>IF(AND($O1159=$Q$7,$B1159&lt;'111'!$L$11),"x","")</f>
        <v/>
      </c>
      <c r="T1159" s="75" t="str">
        <f>IF(ISERROR(FIND('112'!$M$9,G1159,1)),"",IF((AND(FIND('112'!$M$9,G1159,1)&gt;=1,B1159='112'!$K$9,OR($N1159='112'!$I$6,$O1159='112'!$I$6))),"x",""))</f>
        <v/>
      </c>
      <c r="U1159" s="75" t="str">
        <f>IF(ISERROR(FIND('112'!$M$9,G1159,1)),"",IF((AND(LEFT(G1159,2)=LEFT('112'!$M$9,2),B1159&lt;'112'!$K$9,$N1159='112'!$I$6)),"x",""))</f>
        <v/>
      </c>
      <c r="V1159" s="75" t="str">
        <f>IF(ISERROR(FIND('112'!$M$9,G1159,1)),"",IF((AND(RIGHT(G1159,2)=RIGHT('112'!$M$9,2),B1159&lt;'112'!$K$9,$O1159='112'!$I$6)),"x",""))</f>
        <v/>
      </c>
      <c r="W1159" s="75" t="str">
        <f>IF(AND('341-CT'!$H$9=H1159,OR(LEFT(N1159,3)=$W$7,LEFT(O1159,3)=$W$7)),"x","")</f>
        <v/>
      </c>
      <c r="X1159" s="75" t="str">
        <f>IF(OR(TH!N1159=TH!$X$7,O1159=TH!$X$7),"x","")</f>
        <v/>
      </c>
      <c r="Y1159" s="75" t="str">
        <f>IF(AND(OR(N1159="131",O1159="131"),H1159='131-CT'!$H$9),"x","")</f>
        <v/>
      </c>
      <c r="Z1159" s="75"/>
      <c r="AA1159" s="75" t="str">
        <f>IF(AND(MONTH(E1159)='IN-NX'!$J$5,'IN-NX'!$D$7=D1159),"x","")</f>
        <v/>
      </c>
      <c r="AB1159" s="75" t="str">
        <f>IF(AND(OR(LEFT(TH!N1159,2)="15",LEFT(TH!O1159,2)="15"),LEFT(TH!O1159,3)&lt;&gt;"111",'152-CT'!$J$8=TH!F1159),"x","")</f>
        <v/>
      </c>
      <c r="AC1159" s="75" t="str">
        <f>IF(AND(OR(LEFT(TH!N1159,2)="15",LEFT(TH!O1159,2)="15"),TK!$E$7=TH!F1159),"x","")</f>
        <v/>
      </c>
      <c r="AD1159" s="75" t="str">
        <f>IF(AND(N1159="1521",MONTH(C1159)='BK-NL'!$M$11),"x","")</f>
        <v/>
      </c>
    </row>
    <row r="1160" spans="1:32" s="1054" customFormat="1" ht="16.5" customHeight="1">
      <c r="A1160" s="309" t="str">
        <f>IF(B1160&lt;&gt;"",IF(AND(B1160='IN-TC'!$S$4,OR(TH!N1160="1111",TH!O1160="1111")),TH!D1160,""),"")</f>
        <v/>
      </c>
      <c r="B1160" s="1241">
        <f>IF(C1160&lt;&gt;"",MONTH(C1160),"")</f>
        <v>4</v>
      </c>
      <c r="C1160" s="217">
        <v>42830</v>
      </c>
      <c r="D1160" s="217" t="s">
        <v>999</v>
      </c>
      <c r="E1160" s="217">
        <f>C1160</f>
        <v>42830</v>
      </c>
      <c r="F1160" s="960" t="s">
        <v>429</v>
      </c>
      <c r="G1160" s="739" t="s">
        <v>1365</v>
      </c>
      <c r="H1160" s="311" t="s">
        <v>623</v>
      </c>
      <c r="I1160" s="373">
        <v>26390</v>
      </c>
      <c r="J1160" s="373">
        <v>63000</v>
      </c>
      <c r="K1160" s="373"/>
      <c r="L1160" s="379"/>
      <c r="M1160" s="927">
        <f t="shared" si="248"/>
        <v>1662570000</v>
      </c>
      <c r="N1160" s="935" t="s">
        <v>274</v>
      </c>
      <c r="O1160" s="935" t="s">
        <v>8</v>
      </c>
      <c r="P1160" s="75" t="str">
        <f>IF(AND('331-CT'!$E$7=TH!H1160,OR(N1160="331",O1160="331")),"x","")</f>
        <v/>
      </c>
      <c r="Q1160" s="75" t="str">
        <f>IF(AND(B1160='111'!$L$11,OR($N1160=$Q$7,$O1160=$Q$7)),"x","")</f>
        <v/>
      </c>
      <c r="R1160" s="75" t="str">
        <f>IF(AND($N1160=$Q$7,$B1160&lt;'111'!$L$11),"x","")</f>
        <v/>
      </c>
      <c r="S1160" s="75" t="str">
        <f>IF(AND($O1160=$Q$7,$B1160&lt;'111'!$L$11),"x","")</f>
        <v/>
      </c>
      <c r="T1160" s="75" t="str">
        <f>IF(ISERROR(FIND('112'!$M$9,G1160,1)),"",IF((AND(FIND('112'!$M$9,G1160,1)&gt;=1,B1160='112'!$K$9,OR($N1160='112'!$I$6,$O1160='112'!$I$6))),"x",""))</f>
        <v/>
      </c>
      <c r="U1160" s="75" t="str">
        <f>IF(ISERROR(FIND('112'!$M$9,G1160,1)),"",IF((AND(LEFT(G1160,2)=LEFT('112'!$M$9,2),B1160&lt;'112'!$K$9,$N1160='112'!$I$6)),"x",""))</f>
        <v/>
      </c>
      <c r="V1160" s="75" t="str">
        <f>IF(ISERROR(FIND('112'!$M$9,G1160,1)),"",IF((AND(RIGHT(G1160,2)=RIGHT('112'!$M$9,2),B1160&lt;'112'!$K$9,$O1160='112'!$I$6)),"x",""))</f>
        <v/>
      </c>
      <c r="W1160" s="75" t="str">
        <f>IF(AND('341-CT'!$H$9=H1160,OR(LEFT(N1160,3)=$W$7,LEFT(O1160,3)=$W$7)),"x","")</f>
        <v/>
      </c>
      <c r="X1160" s="75" t="str">
        <f>IF(OR(TH!N1160=TH!$X$7,O1160=TH!$X$7),"x","")</f>
        <v/>
      </c>
      <c r="Y1160" s="75" t="str">
        <f>IF(AND(OR(N1160="131",O1160="131"),H1160='131-CT'!$H$9),"x","")</f>
        <v/>
      </c>
      <c r="Z1160" s="75"/>
      <c r="AA1160" s="75" t="str">
        <f>IF(AND(MONTH(E1160)='IN-NX'!$J$5,'IN-NX'!$D$7=D1160),"x","")</f>
        <v/>
      </c>
      <c r="AB1160" s="75" t="str">
        <f>IF(AND(OR(LEFT(TH!N1160,2)="15",LEFT(TH!O1160,2)="15"),LEFT(TH!O1160,3)&lt;&gt;"111",'152-CT'!$J$8=TH!F1160),"x","")</f>
        <v/>
      </c>
      <c r="AC1160" s="75" t="str">
        <f>IF(AND(OR(LEFT(TH!N1160,2)="15",LEFT(TH!O1160,2)="15"),TK!$E$7=TH!F1160),"x","")</f>
        <v/>
      </c>
      <c r="AD1160" s="75" t="str">
        <f>IF(AND(N1160="1521",MONTH(C1160)='BK-NL'!$M$11),"x","")</f>
        <v/>
      </c>
    </row>
    <row r="1161" spans="1:32" s="1054" customFormat="1" ht="16.5" customHeight="1">
      <c r="A1161" s="309" t="str">
        <f>IF(B1161&lt;&gt;"",IF(AND(B1161='IN-TC'!$S$4,OR(TH!N1161="1111",TH!O1161="1111")),TH!D1161,""),"")</f>
        <v/>
      </c>
      <c r="B1161" s="1241">
        <f>IF(C1161&lt;&gt;"",MONTH(C1161),"")</f>
        <v>4</v>
      </c>
      <c r="C1161" s="217">
        <v>42832</v>
      </c>
      <c r="D1161" s="217" t="s">
        <v>1002</v>
      </c>
      <c r="E1161" s="217">
        <f>C1161</f>
        <v>42832</v>
      </c>
      <c r="F1161" s="960" t="s">
        <v>429</v>
      </c>
      <c r="G1161" s="739" t="s">
        <v>1366</v>
      </c>
      <c r="H1161" s="311" t="s">
        <v>623</v>
      </c>
      <c r="I1161" s="373">
        <v>52780</v>
      </c>
      <c r="J1161" s="373">
        <v>63000</v>
      </c>
      <c r="K1161" s="373"/>
      <c r="L1161" s="379"/>
      <c r="M1161" s="927">
        <f t="shared" si="248"/>
        <v>3325140000</v>
      </c>
      <c r="N1161" s="935" t="s">
        <v>274</v>
      </c>
      <c r="O1161" s="935" t="s">
        <v>8</v>
      </c>
      <c r="P1161" s="75" t="str">
        <f>IF(AND('331-CT'!$E$7=TH!H1161,OR(N1161="331",O1161="331")),"x","")</f>
        <v/>
      </c>
      <c r="Q1161" s="75" t="str">
        <f>IF(AND(B1161='111'!$L$11,OR($N1161=$Q$7,$O1161=$Q$7)),"x","")</f>
        <v/>
      </c>
      <c r="R1161" s="75" t="str">
        <f>IF(AND($N1161=$Q$7,$B1161&lt;'111'!$L$11),"x","")</f>
        <v/>
      </c>
      <c r="S1161" s="75" t="str">
        <f>IF(AND($O1161=$Q$7,$B1161&lt;'111'!$L$11),"x","")</f>
        <v/>
      </c>
      <c r="T1161" s="75" t="str">
        <f>IF(ISERROR(FIND('112'!$M$9,G1161,1)),"",IF((AND(FIND('112'!$M$9,G1161,1)&gt;=1,B1161='112'!$K$9,OR($N1161='112'!$I$6,$O1161='112'!$I$6))),"x",""))</f>
        <v/>
      </c>
      <c r="U1161" s="75" t="str">
        <f>IF(ISERROR(FIND('112'!$M$9,G1161,1)),"",IF((AND(LEFT(G1161,2)=LEFT('112'!$M$9,2),B1161&lt;'112'!$K$9,$N1161='112'!$I$6)),"x",""))</f>
        <v/>
      </c>
      <c r="V1161" s="75" t="str">
        <f>IF(ISERROR(FIND('112'!$M$9,G1161,1)),"",IF((AND(RIGHT(G1161,2)=RIGHT('112'!$M$9,2),B1161&lt;'112'!$K$9,$O1161='112'!$I$6)),"x",""))</f>
        <v/>
      </c>
      <c r="W1161" s="75" t="str">
        <f>IF(AND('341-CT'!$H$9=H1161,OR(LEFT(N1161,3)=$W$7,LEFT(O1161,3)=$W$7)),"x","")</f>
        <v/>
      </c>
      <c r="X1161" s="75" t="str">
        <f>IF(OR(TH!N1161=TH!$X$7,O1161=TH!$X$7),"x","")</f>
        <v/>
      </c>
      <c r="Y1161" s="75" t="str">
        <f>IF(AND(OR(N1161="131",O1161="131"),H1161='131-CT'!$H$9),"x","")</f>
        <v/>
      </c>
      <c r="Z1161" s="75"/>
      <c r="AA1161" s="75" t="str">
        <f>IF(AND(MONTH(E1161)='IN-NX'!$J$5,'IN-NX'!$D$7=D1161),"x","")</f>
        <v/>
      </c>
      <c r="AB1161" s="75" t="str">
        <f>IF(AND(OR(LEFT(TH!N1161,2)="15",LEFT(TH!O1161,2)="15"),LEFT(TH!O1161,3)&lt;&gt;"111",'152-CT'!$J$8=TH!F1161),"x","")</f>
        <v/>
      </c>
      <c r="AC1161" s="75" t="str">
        <f>IF(AND(OR(LEFT(TH!N1161,2)="15",LEFT(TH!O1161,2)="15"),TK!$E$7=TH!F1161),"x","")</f>
        <v/>
      </c>
      <c r="AD1161" s="75" t="str">
        <f>IF(AND(N1161="1521",MONTH(C1161)='BK-NL'!$M$11),"x","")</f>
        <v/>
      </c>
    </row>
    <row r="1162" spans="1:32" s="1054" customFormat="1" ht="16.5" customHeight="1">
      <c r="A1162" s="309" t="str">
        <f>IF(B1162&lt;&gt;"",IF(AND(B1162='IN-TC'!$S$4,OR(TH!N1162="1111",TH!O1162="1111")),TH!D1162,""),"")</f>
        <v/>
      </c>
      <c r="B1162" s="1241">
        <f>IF(C1162&lt;&gt;"",MONTH(C1162),"")</f>
        <v>4</v>
      </c>
      <c r="C1162" s="217">
        <v>42838</v>
      </c>
      <c r="D1162" s="217" t="s">
        <v>1084</v>
      </c>
      <c r="E1162" s="217">
        <f>C1162</f>
        <v>42838</v>
      </c>
      <c r="F1162" s="960" t="s">
        <v>429</v>
      </c>
      <c r="G1162" s="739" t="s">
        <v>1367</v>
      </c>
      <c r="H1162" s="311" t="s">
        <v>623</v>
      </c>
      <c r="I1162" s="373">
        <v>52780</v>
      </c>
      <c r="J1162" s="373">
        <v>63000</v>
      </c>
      <c r="K1162" s="373"/>
      <c r="L1162" s="379"/>
      <c r="M1162" s="927">
        <f t="shared" si="248"/>
        <v>3325140000</v>
      </c>
      <c r="N1162" s="935" t="s">
        <v>274</v>
      </c>
      <c r="O1162" s="935" t="s">
        <v>8</v>
      </c>
      <c r="P1162" s="75" t="str">
        <f>IF(AND('331-CT'!$E$7=TH!H1162,OR(N1162="331",O1162="331")),"x","")</f>
        <v/>
      </c>
      <c r="Q1162" s="75" t="str">
        <f>IF(AND(B1162='111'!$L$11,OR($N1162=$Q$7,$O1162=$Q$7)),"x","")</f>
        <v/>
      </c>
      <c r="R1162" s="75" t="str">
        <f>IF(AND($N1162=$Q$7,$B1162&lt;'111'!$L$11),"x","")</f>
        <v/>
      </c>
      <c r="S1162" s="75" t="str">
        <f>IF(AND($O1162=$Q$7,$B1162&lt;'111'!$L$11),"x","")</f>
        <v/>
      </c>
      <c r="T1162" s="75" t="str">
        <f>IF(ISERROR(FIND('112'!$M$9,G1162,1)),"",IF((AND(FIND('112'!$M$9,G1162,1)&gt;=1,B1162='112'!$K$9,OR($N1162='112'!$I$6,$O1162='112'!$I$6))),"x",""))</f>
        <v/>
      </c>
      <c r="U1162" s="75" t="str">
        <f>IF(ISERROR(FIND('112'!$M$9,G1162,1)),"",IF((AND(LEFT(G1162,2)=LEFT('112'!$M$9,2),B1162&lt;'112'!$K$9,$N1162='112'!$I$6)),"x",""))</f>
        <v/>
      </c>
      <c r="V1162" s="75" t="str">
        <f>IF(ISERROR(FIND('112'!$M$9,G1162,1)),"",IF((AND(RIGHT(G1162,2)=RIGHT('112'!$M$9,2),B1162&lt;'112'!$K$9,$O1162='112'!$I$6)),"x",""))</f>
        <v/>
      </c>
      <c r="W1162" s="75" t="str">
        <f>IF(AND('341-CT'!$H$9=H1162,OR(LEFT(N1162,3)=$W$7,LEFT(O1162,3)=$W$7)),"x","")</f>
        <v/>
      </c>
      <c r="X1162" s="75" t="str">
        <f>IF(OR(TH!N1162=TH!$X$7,O1162=TH!$X$7),"x","")</f>
        <v/>
      </c>
      <c r="Y1162" s="75" t="str">
        <f>IF(AND(OR(N1162="131",O1162="131"),H1162='131-CT'!$H$9),"x","")</f>
        <v/>
      </c>
      <c r="Z1162" s="75"/>
      <c r="AA1162" s="75" t="str">
        <f>IF(AND(MONTH(E1162)='IN-NX'!$J$5,'IN-NX'!$D$7=D1162),"x","")</f>
        <v/>
      </c>
      <c r="AB1162" s="75" t="str">
        <f>IF(AND(OR(LEFT(TH!N1162,2)="15",LEFT(TH!O1162,2)="15"),LEFT(TH!O1162,3)&lt;&gt;"111",'152-CT'!$J$8=TH!F1162),"x","")</f>
        <v/>
      </c>
      <c r="AC1162" s="75" t="str">
        <f>IF(AND(OR(LEFT(TH!N1162,2)="15",LEFT(TH!O1162,2)="15"),TK!$E$7=TH!F1162),"x","")</f>
        <v/>
      </c>
      <c r="AD1162" s="75" t="str">
        <f>IF(AND(N1162="1521",MONTH(C1162)='BK-NL'!$M$11),"x","")</f>
        <v/>
      </c>
    </row>
    <row r="1163" spans="1:32" s="1054" customFormat="1" ht="16.5" customHeight="1">
      <c r="A1163" s="309" t="str">
        <f>IF(B1163&lt;&gt;"",IF(AND(B1163='IN-TC'!$S$4,OR(TH!N1163="1111",TH!O1163="1111")),TH!D1163,""),"")</f>
        <v/>
      </c>
      <c r="B1163" s="1241">
        <f t="shared" ref="B1163:B1172" si="249">IF(C1163&lt;&gt;"",MONTH(C1163),"")</f>
        <v>4</v>
      </c>
      <c r="C1163" s="217">
        <v>42844</v>
      </c>
      <c r="D1163" s="217" t="s">
        <v>1122</v>
      </c>
      <c r="E1163" s="217">
        <f t="shared" ref="E1163:E1164" si="250">C1163</f>
        <v>42844</v>
      </c>
      <c r="F1163" s="960" t="s">
        <v>429</v>
      </c>
      <c r="G1163" s="739" t="s">
        <v>1253</v>
      </c>
      <c r="H1163" s="67" t="s">
        <v>789</v>
      </c>
      <c r="I1163" s="373">
        <v>28609</v>
      </c>
      <c r="J1163" s="373">
        <v>57800</v>
      </c>
      <c r="K1163" s="373"/>
      <c r="L1163" s="379"/>
      <c r="M1163" s="927">
        <f t="shared" si="248"/>
        <v>1653600200</v>
      </c>
      <c r="N1163" s="935" t="s">
        <v>274</v>
      </c>
      <c r="O1163" s="935" t="s">
        <v>8</v>
      </c>
      <c r="P1163" s="75" t="str">
        <f>IF(AND('331-CT'!$E$7=TH!H1163,OR(N1163="331",O1163="331")),"x","")</f>
        <v/>
      </c>
      <c r="Q1163" s="75" t="str">
        <f>IF(AND(B1163='111'!$L$11,OR($N1163=$Q$7,$O1163=$Q$7)),"x","")</f>
        <v/>
      </c>
      <c r="R1163" s="75" t="str">
        <f>IF(AND($N1163=$Q$7,$B1163&lt;'111'!$L$11),"x","")</f>
        <v/>
      </c>
      <c r="S1163" s="75" t="str">
        <f>IF(AND($O1163=$Q$7,$B1163&lt;'111'!$L$11),"x","")</f>
        <v/>
      </c>
      <c r="T1163" s="75" t="str">
        <f>IF(ISERROR(FIND('112'!$M$9,G1163,1)),"",IF((AND(FIND('112'!$M$9,G1163,1)&gt;=1,B1163='112'!$K$9,OR($N1163='112'!$I$6,$O1163='112'!$I$6))),"x",""))</f>
        <v/>
      </c>
      <c r="U1163" s="75" t="str">
        <f>IF(ISERROR(FIND('112'!$M$9,G1163,1)),"",IF((AND(LEFT(G1163,2)=LEFT('112'!$M$9,2),B1163&lt;'112'!$K$9,$N1163='112'!$I$6)),"x",""))</f>
        <v/>
      </c>
      <c r="V1163" s="75" t="str">
        <f>IF(ISERROR(FIND('112'!$M$9,G1163,1)),"",IF((AND(RIGHT(G1163,2)=RIGHT('112'!$M$9,2),B1163&lt;'112'!$K$9,$O1163='112'!$I$6)),"x",""))</f>
        <v/>
      </c>
      <c r="W1163" s="75" t="str">
        <f>IF(AND('341-CT'!$H$9=H1163,OR(LEFT(N1163,3)=$W$7,LEFT(O1163,3)=$W$7)),"x","")</f>
        <v/>
      </c>
      <c r="X1163" s="75" t="str">
        <f>IF(OR(TH!N1163=TH!$X$7,O1163=TH!$X$7),"x","")</f>
        <v/>
      </c>
      <c r="Y1163" s="75" t="str">
        <f>IF(AND(OR(N1163="131",O1163="131"),H1163='131-CT'!$H$9),"x","")</f>
        <v/>
      </c>
      <c r="Z1163" s="75"/>
      <c r="AA1163" s="75" t="str">
        <f>IF(AND(MONTH(E1163)='IN-NX'!$J$5,'IN-NX'!$D$7=D1163),"x","")</f>
        <v/>
      </c>
      <c r="AB1163" s="75" t="str">
        <f>IF(AND(OR(LEFT(TH!N1163,2)="15",LEFT(TH!O1163,2)="15"),LEFT(TH!O1163,3)&lt;&gt;"111",'152-CT'!$J$8=TH!F1163),"x","")</f>
        <v/>
      </c>
      <c r="AC1163" s="75" t="str">
        <f>IF(AND(OR(LEFT(TH!N1163,2)="15",LEFT(TH!O1163,2)="15"),TK!$E$7=TH!F1163),"x","")</f>
        <v/>
      </c>
      <c r="AD1163" s="75" t="str">
        <f>IF(AND(N1163="1521",MONTH(C1163)='BK-NL'!$M$11),"x","")</f>
        <v/>
      </c>
    </row>
    <row r="1164" spans="1:32" s="1054" customFormat="1" ht="16.5" customHeight="1">
      <c r="A1164" s="309" t="str">
        <f>IF(B1164&lt;&gt;"",IF(AND(B1164='IN-TC'!$S$4,OR(TH!N1164="1111",TH!O1164="1111")),TH!D1164,""),"")</f>
        <v/>
      </c>
      <c r="B1164" s="1241">
        <f t="shared" si="249"/>
        <v>4</v>
      </c>
      <c r="C1164" s="936">
        <v>42844</v>
      </c>
      <c r="D1164" s="936" t="s">
        <v>2920</v>
      </c>
      <c r="E1164" s="936">
        <f t="shared" si="250"/>
        <v>42844</v>
      </c>
      <c r="F1164" s="958" t="s">
        <v>429</v>
      </c>
      <c r="G1164" s="942"/>
      <c r="H1164" s="80" t="s">
        <v>424</v>
      </c>
      <c r="I1164" s="939">
        <v>266119</v>
      </c>
      <c r="J1164" s="938">
        <v>62440.976405292371</v>
      </c>
      <c r="K1164" s="939"/>
      <c r="L1164" s="938"/>
      <c r="M1164" s="940">
        <f t="shared" ref="M1164" si="251">ROUND(I1164*J1164,0)</f>
        <v>16616730200</v>
      </c>
      <c r="N1164" s="941" t="s">
        <v>272</v>
      </c>
      <c r="O1164" s="941" t="s">
        <v>274</v>
      </c>
      <c r="P1164" s="75" t="str">
        <f>IF(AND('331-CT'!$E$7=TH!H1164,OR(N1164="331",O1164="331")),"x","")</f>
        <v/>
      </c>
      <c r="Q1164" s="75" t="str">
        <f>IF(AND(B1164='111'!$L$11,OR($N1164=$Q$7,$O1164=$Q$7)),"x","")</f>
        <v/>
      </c>
      <c r="R1164" s="75" t="str">
        <f>IF(AND($N1164=$Q$7,$B1164&lt;'111'!$L$11),"x","")</f>
        <v/>
      </c>
      <c r="S1164" s="75" t="str">
        <f>IF(AND($O1164=$Q$7,$B1164&lt;'111'!$L$11),"x","")</f>
        <v/>
      </c>
      <c r="T1164" s="75" t="str">
        <f>IF(ISERROR(FIND('112'!$M$9,G1164,1)),"",IF((AND(FIND('112'!$M$9,G1164,1)&gt;=1,B1164='112'!$K$9,OR($N1164='112'!$I$6,$O1164='112'!$I$6))),"x",""))</f>
        <v/>
      </c>
      <c r="U1164" s="75" t="str">
        <f>IF(ISERROR(FIND('112'!$M$9,G1164,1)),"",IF((AND(LEFT(G1164,2)=LEFT('112'!$M$9,2),B1164&lt;'112'!$K$9,$N1164='112'!$I$6)),"x",""))</f>
        <v/>
      </c>
      <c r="V1164" s="75" t="str">
        <f>IF(ISERROR(FIND('112'!$M$9,G1164,1)),"",IF((AND(RIGHT(G1164,2)=RIGHT('112'!$M$9,2),B1164&lt;'112'!$K$9,$O1164='112'!$I$6)),"x",""))</f>
        <v/>
      </c>
      <c r="W1164" s="75" t="str">
        <f>IF(AND('341-CT'!$H$9=H1164,OR(LEFT(N1164,3)=$W$7,LEFT(O1164,3)=$W$7)),"x","")</f>
        <v/>
      </c>
      <c r="X1164" s="75" t="str">
        <f>IF(OR(TH!N1164=TH!$X$7,O1164=TH!$X$7),"x","")</f>
        <v/>
      </c>
      <c r="Y1164" s="75" t="str">
        <f>IF(AND(OR(N1164="131",O1164="131"),H1164='131-CT'!$H$9),"x","")</f>
        <v/>
      </c>
      <c r="Z1164" s="75"/>
      <c r="AA1164" s="75" t="str">
        <f>IF(AND(MONTH(E1164)='IN-NX'!$J$5,'IN-NX'!$D$7=D1164),"x","")</f>
        <v/>
      </c>
      <c r="AB1164" s="75" t="str">
        <f>IF(AND(OR(LEFT(TH!N1164,2)="15",LEFT(TH!O1164,2)="15"),LEFT(TH!O1164,3)&lt;&gt;"111",'152-CT'!$J$8=TH!F1164),"x","")</f>
        <v/>
      </c>
      <c r="AC1164" s="75" t="str">
        <f>IF(AND(OR(LEFT(TH!N1164,2)="15",LEFT(TH!O1164,2)="15"),TK!$E$7=TH!F1164),"x","")</f>
        <v/>
      </c>
      <c r="AD1164" s="75" t="str">
        <f>IF(AND(N1164="1521",MONTH(C1164)='BK-NL'!$M$11),"x","")</f>
        <v/>
      </c>
    </row>
    <row r="1165" spans="1:32" s="1054" customFormat="1" ht="16.5" customHeight="1">
      <c r="A1165" s="309" t="str">
        <f>IF(B1165&lt;&gt;"",IF(AND(B1165='IN-TC'!$S$4,OR(TH!N1165="1111",TH!O1165="1111")),TH!D1165,""),"")</f>
        <v/>
      </c>
      <c r="B1165" s="1241">
        <f t="shared" si="249"/>
        <v>4</v>
      </c>
      <c r="C1165" s="217">
        <v>42852</v>
      </c>
      <c r="D1165" s="217" t="s">
        <v>1128</v>
      </c>
      <c r="E1165" s="217">
        <f>C1165</f>
        <v>42852</v>
      </c>
      <c r="F1165" s="960" t="s">
        <v>429</v>
      </c>
      <c r="G1165" s="739" t="s">
        <v>1368</v>
      </c>
      <c r="H1165" s="311" t="s">
        <v>623</v>
      </c>
      <c r="I1165" s="373">
        <v>26390</v>
      </c>
      <c r="J1165" s="373">
        <v>63000</v>
      </c>
      <c r="K1165" s="373"/>
      <c r="L1165" s="379"/>
      <c r="M1165" s="927">
        <f>ROUND(I1165*J1165,0)</f>
        <v>1662570000</v>
      </c>
      <c r="N1165" s="935" t="s">
        <v>274</v>
      </c>
      <c r="O1165" s="935" t="s">
        <v>8</v>
      </c>
      <c r="P1165" s="75" t="str">
        <f>IF(AND('331-CT'!$E$7=TH!H1165,OR(N1165="331",O1165="331")),"x","")</f>
        <v/>
      </c>
      <c r="Q1165" s="75" t="str">
        <f>IF(AND(B1165='111'!$L$11,OR($N1165=$Q$7,$O1165=$Q$7)),"x","")</f>
        <v/>
      </c>
      <c r="R1165" s="75" t="str">
        <f>IF(AND($N1165=$Q$7,$B1165&lt;'111'!$L$11),"x","")</f>
        <v/>
      </c>
      <c r="S1165" s="75" t="str">
        <f>IF(AND($O1165=$Q$7,$B1165&lt;'111'!$L$11),"x","")</f>
        <v/>
      </c>
      <c r="T1165" s="75" t="str">
        <f>IF(ISERROR(FIND('112'!$M$9,G1165,1)),"",IF((AND(FIND('112'!$M$9,G1165,1)&gt;=1,B1165='112'!$K$9,OR($N1165='112'!$I$6,$O1165='112'!$I$6))),"x",""))</f>
        <v/>
      </c>
      <c r="U1165" s="75" t="str">
        <f>IF(ISERROR(FIND('112'!$M$9,G1165,1)),"",IF((AND(LEFT(G1165,2)=LEFT('112'!$M$9,2),B1165&lt;'112'!$K$9,$N1165='112'!$I$6)),"x",""))</f>
        <v/>
      </c>
      <c r="V1165" s="75" t="str">
        <f>IF(ISERROR(FIND('112'!$M$9,G1165,1)),"",IF((AND(RIGHT(G1165,2)=RIGHT('112'!$M$9,2),B1165&lt;'112'!$K$9,$O1165='112'!$I$6)),"x",""))</f>
        <v/>
      </c>
      <c r="W1165" s="75" t="str">
        <f>IF(AND('341-CT'!$H$9=H1165,OR(LEFT(N1165,3)=$W$7,LEFT(O1165,3)=$W$7)),"x","")</f>
        <v/>
      </c>
      <c r="X1165" s="75" t="str">
        <f>IF(OR(TH!N1165=TH!$X$7,O1165=TH!$X$7),"x","")</f>
        <v/>
      </c>
      <c r="Y1165" s="75" t="str">
        <f>IF(AND(OR(N1165="131",O1165="131"),H1165='131-CT'!$H$9),"x","")</f>
        <v/>
      </c>
      <c r="Z1165" s="75"/>
      <c r="AA1165" s="75" t="str">
        <f>IF(AND(MONTH(E1165)='IN-NX'!$J$5,'IN-NX'!$D$7=D1165),"x","")</f>
        <v/>
      </c>
      <c r="AB1165" s="75" t="str">
        <f>IF(AND(OR(LEFT(TH!N1165,2)="15",LEFT(TH!O1165,2)="15"),LEFT(TH!O1165,3)&lt;&gt;"111",'152-CT'!$J$8=TH!F1165),"x","")</f>
        <v/>
      </c>
      <c r="AC1165" s="75" t="str">
        <f>IF(AND(OR(LEFT(TH!N1165,2)="15",LEFT(TH!O1165,2)="15"),TK!$E$7=TH!F1165),"x","")</f>
        <v/>
      </c>
      <c r="AD1165" s="75" t="str">
        <f>IF(AND(N1165="1521",MONTH(C1165)='BK-NL'!$M$11),"x","")</f>
        <v/>
      </c>
    </row>
    <row r="1166" spans="1:32" s="1054" customFormat="1" ht="16.5" customHeight="1">
      <c r="A1166" s="309" t="str">
        <f>IF(B1166&lt;&gt;"",IF(AND(B1166='IN-TC'!$S$4,OR(TH!N1166="1111",TH!O1166="1111")),TH!D1166,""),"")</f>
        <v/>
      </c>
      <c r="B1166" s="1241">
        <f t="shared" si="249"/>
        <v>4</v>
      </c>
      <c r="C1166" s="217">
        <v>42853</v>
      </c>
      <c r="D1166" s="217" t="s">
        <v>1805</v>
      </c>
      <c r="E1166" s="217">
        <f>C1166</f>
        <v>42853</v>
      </c>
      <c r="F1166" s="960" t="s">
        <v>429</v>
      </c>
      <c r="G1166" s="739" t="s">
        <v>1369</v>
      </c>
      <c r="H1166" s="311" t="s">
        <v>623</v>
      </c>
      <c r="I1166" s="373">
        <v>52780</v>
      </c>
      <c r="J1166" s="373">
        <v>63000</v>
      </c>
      <c r="K1166" s="373"/>
      <c r="L1166" s="379"/>
      <c r="M1166" s="927">
        <f>ROUND(I1166*J1166,0)</f>
        <v>3325140000</v>
      </c>
      <c r="N1166" s="935" t="s">
        <v>274</v>
      </c>
      <c r="O1166" s="935" t="s">
        <v>8</v>
      </c>
      <c r="P1166" s="75" t="str">
        <f>IF(AND('331-CT'!$E$7=TH!H1166,OR(N1166="331",O1166="331")),"x","")</f>
        <v/>
      </c>
      <c r="Q1166" s="75" t="str">
        <f>IF(AND(B1166='111'!$L$11,OR($N1166=$Q$7,$O1166=$Q$7)),"x","")</f>
        <v/>
      </c>
      <c r="R1166" s="75" t="str">
        <f>IF(AND($N1166=$Q$7,$B1166&lt;'111'!$L$11),"x","")</f>
        <v/>
      </c>
      <c r="S1166" s="75" t="str">
        <f>IF(AND($O1166=$Q$7,$B1166&lt;'111'!$L$11),"x","")</f>
        <v/>
      </c>
      <c r="T1166" s="75" t="str">
        <f>IF(ISERROR(FIND('112'!$M$9,G1166,1)),"",IF((AND(FIND('112'!$M$9,G1166,1)&gt;=1,B1166='112'!$K$9,OR($N1166='112'!$I$6,$O1166='112'!$I$6))),"x",""))</f>
        <v/>
      </c>
      <c r="U1166" s="75" t="str">
        <f>IF(ISERROR(FIND('112'!$M$9,G1166,1)),"",IF((AND(LEFT(G1166,2)=LEFT('112'!$M$9,2),B1166&lt;'112'!$K$9,$N1166='112'!$I$6)),"x",""))</f>
        <v/>
      </c>
      <c r="V1166" s="75" t="str">
        <f>IF(ISERROR(FIND('112'!$M$9,G1166,1)),"",IF((AND(RIGHT(G1166,2)=RIGHT('112'!$M$9,2),B1166&lt;'112'!$K$9,$O1166='112'!$I$6)),"x",""))</f>
        <v/>
      </c>
      <c r="W1166" s="75" t="str">
        <f>IF(AND('341-CT'!$H$9=H1166,OR(LEFT(N1166,3)=$W$7,LEFT(O1166,3)=$W$7)),"x","")</f>
        <v/>
      </c>
      <c r="X1166" s="75" t="str">
        <f>IF(OR(TH!N1166=TH!$X$7,O1166=TH!$X$7),"x","")</f>
        <v/>
      </c>
      <c r="Y1166" s="75" t="str">
        <f>IF(AND(OR(N1166="131",O1166="131"),H1166='131-CT'!$H$9),"x","")</f>
        <v/>
      </c>
      <c r="Z1166" s="75"/>
      <c r="AA1166" s="75" t="str">
        <f>IF(AND(MONTH(E1166)='IN-NX'!$J$5,'IN-NX'!$D$7=D1166),"x","")</f>
        <v/>
      </c>
      <c r="AB1166" s="75" t="str">
        <f>IF(AND(OR(LEFT(TH!N1166,2)="15",LEFT(TH!O1166,2)="15"),LEFT(TH!O1166,3)&lt;&gt;"111",'152-CT'!$J$8=TH!F1166),"x","")</f>
        <v/>
      </c>
      <c r="AC1166" s="75" t="str">
        <f>IF(AND(OR(LEFT(TH!N1166,2)="15",LEFT(TH!O1166,2)="15"),TK!$E$7=TH!F1166),"x","")</f>
        <v/>
      </c>
      <c r="AD1166" s="75" t="str">
        <f>IF(AND(N1166="1521",MONTH(C1166)='BK-NL'!$M$11),"x","")</f>
        <v/>
      </c>
    </row>
    <row r="1167" spans="1:32" s="1053" customFormat="1" ht="16.5" customHeight="1">
      <c r="A1167" s="309" t="str">
        <f>IF(B1167&lt;&gt;"",IF(AND(B1167='IN-TC'!$S$4,OR(TH!N1167="1111",TH!O1167="1111")),TH!D1167,""),"")</f>
        <v/>
      </c>
      <c r="B1167" s="1241">
        <f t="shared" si="249"/>
        <v>4</v>
      </c>
      <c r="C1167" s="217">
        <f t="shared" ref="C1167:C1172" si="252">E1167</f>
        <v>42844</v>
      </c>
      <c r="D1167" s="217" t="s">
        <v>2950</v>
      </c>
      <c r="E1167" s="217">
        <v>42844</v>
      </c>
      <c r="F1167" s="960" t="s">
        <v>429</v>
      </c>
      <c r="G1167" s="739"/>
      <c r="H1167" s="294" t="s">
        <v>2919</v>
      </c>
      <c r="I1167" s="373">
        <v>105560</v>
      </c>
      <c r="J1167" s="926">
        <v>68253.846153846156</v>
      </c>
      <c r="K1167" s="926"/>
      <c r="L1167" s="379"/>
      <c r="M1167" s="927">
        <f t="shared" ref="M1167:M1172" si="253">ROUND(I1167*J1167,0)</f>
        <v>7204876000</v>
      </c>
      <c r="N1167" s="935" t="s">
        <v>274</v>
      </c>
      <c r="O1167" s="935" t="s">
        <v>272</v>
      </c>
      <c r="P1167" s="75" t="str">
        <f>IF(AND('331-CT'!$E$7=TH!H1167,OR(N1167="331",O1167="331")),"x","")</f>
        <v/>
      </c>
      <c r="Q1167" s="75" t="str">
        <f>IF(AND(B1167='111'!$L$11,OR($N1167=$Q$7,$O1167=$Q$7)),"x","")</f>
        <v/>
      </c>
      <c r="R1167" s="75" t="str">
        <f>IF(AND($N1167=$Q$7,$B1167&lt;'111'!$L$11),"x","")</f>
        <v/>
      </c>
      <c r="S1167" s="75" t="str">
        <f>IF(AND($O1167=$Q$7,$B1167&lt;'111'!$L$11),"x","")</f>
        <v/>
      </c>
      <c r="T1167" s="75" t="str">
        <f>IF(ISERROR(FIND('112'!$M$9,G1167,1)),"",IF((AND(FIND('112'!$M$9,G1167,1)&gt;=1,B1167='112'!$K$9,OR($N1167='112'!$I$6,$O1167='112'!$I$6))),"x",""))</f>
        <v/>
      </c>
      <c r="U1167" s="75" t="str">
        <f>IF(ISERROR(FIND('112'!$M$9,G1167,1)),"",IF((AND(LEFT(G1167,2)=LEFT('112'!$M$9,2),B1167&lt;'112'!$K$9,$N1167='112'!$I$6)),"x",""))</f>
        <v/>
      </c>
      <c r="V1167" s="75" t="str">
        <f>IF(ISERROR(FIND('112'!$M$9,G1167,1)),"",IF((AND(RIGHT(G1167,2)=RIGHT('112'!$M$9,2),B1167&lt;'112'!$K$9,$O1167='112'!$I$6)),"x",""))</f>
        <v/>
      </c>
      <c r="W1167" s="75" t="str">
        <f>IF(AND('341-CT'!$H$9=H1167,OR(LEFT(N1167,3)=$W$7,LEFT(O1167,3)=$W$7)),"x","")</f>
        <v/>
      </c>
      <c r="X1167" s="75" t="str">
        <f>IF(OR(TH!N1167=TH!$X$7,O1167=TH!$X$7),"x","")</f>
        <v/>
      </c>
      <c r="Y1167" s="75" t="str">
        <f>IF(AND(OR(N1167="131",O1167="131"),H1167='131-CT'!$H$9),"x","")</f>
        <v/>
      </c>
      <c r="Z1167" s="75"/>
      <c r="AA1167" s="75" t="str">
        <f>IF(AND(MONTH(E1167)='IN-NX'!$J$5,'IN-NX'!$D$7=D1167),"x","")</f>
        <v/>
      </c>
      <c r="AB1167" s="75" t="str">
        <f>IF(AND(OR(LEFT(TH!N1167,2)="15",LEFT(TH!O1167,2)="15"),LEFT(TH!O1167,3)&lt;&gt;"111",'152-CT'!$J$8=TH!F1167),"x","")</f>
        <v/>
      </c>
      <c r="AC1167" s="75" t="str">
        <f>IF(AND(OR(LEFT(TH!N1167,2)="15",LEFT(TH!O1167,2)="15"),TK!$E$7=TH!F1167),"x","")</f>
        <v/>
      </c>
      <c r="AD1167" s="75" t="str">
        <f>IF(AND(N1167="1521",MONTH(C1167)='BK-NL'!$M$11),"x","")</f>
        <v/>
      </c>
      <c r="AF1167" s="1054"/>
    </row>
    <row r="1168" spans="1:32" ht="16.5" customHeight="1">
      <c r="A1168" s="309" t="str">
        <f>IF(B1168&lt;&gt;"",IF(AND(B1168='IN-TC'!$S$4,OR(TH!N1168="1111",TH!O1168="1111")),TH!D1168,""),"")</f>
        <v/>
      </c>
      <c r="B1168" s="1241">
        <f t="shared" si="249"/>
        <v>4</v>
      </c>
      <c r="C1168" s="217">
        <f t="shared" si="252"/>
        <v>42845</v>
      </c>
      <c r="D1168" s="217" t="s">
        <v>2950</v>
      </c>
      <c r="E1168" s="217">
        <v>42845</v>
      </c>
      <c r="F1168" s="960" t="s">
        <v>429</v>
      </c>
      <c r="G1168" s="739"/>
      <c r="H1168" s="294" t="s">
        <v>2919</v>
      </c>
      <c r="I1168" s="373">
        <v>266119</v>
      </c>
      <c r="J1168" s="926">
        <v>63124.431829369569</v>
      </c>
      <c r="K1168" s="926"/>
      <c r="L1168" s="379"/>
      <c r="M1168" s="927">
        <f>ROUND(I1168*J1168,0)</f>
        <v>16798610674</v>
      </c>
      <c r="N1168" s="935" t="s">
        <v>274</v>
      </c>
      <c r="O1168" s="935" t="s">
        <v>272</v>
      </c>
      <c r="P1168" s="75" t="str">
        <f>IF(AND('331-CT'!$E$7=TH!H1168,OR(N1168="331",O1168="331")),"x","")</f>
        <v/>
      </c>
      <c r="Q1168" s="75" t="str">
        <f>IF(AND(B1168='111'!$L$11,OR($N1168=$Q$7,$O1168=$Q$7)),"x","")</f>
        <v/>
      </c>
      <c r="R1168" s="75" t="str">
        <f>IF(AND($N1168=$Q$7,$B1168&lt;'111'!$L$11),"x","")</f>
        <v/>
      </c>
      <c r="S1168" s="75" t="str">
        <f>IF(AND($O1168=$Q$7,$B1168&lt;'111'!$L$11),"x","")</f>
        <v/>
      </c>
      <c r="T1168" s="75" t="str">
        <f>IF(ISERROR(FIND('112'!$M$9,G1168,1)),"",IF((AND(FIND('112'!$M$9,G1168,1)&gt;=1,B1168='112'!$K$9,OR($N1168='112'!$I$6,$O1168='112'!$I$6))),"x",""))</f>
        <v/>
      </c>
      <c r="U1168" s="75" t="str">
        <f>IF(ISERROR(FIND('112'!$M$9,G1168,1)),"",IF((AND(LEFT(G1168,2)=LEFT('112'!$M$9,2),B1168&lt;'112'!$K$9,$N1168='112'!$I$6)),"x",""))</f>
        <v/>
      </c>
      <c r="V1168" s="75" t="str">
        <f>IF(ISERROR(FIND('112'!$M$9,G1168,1)),"",IF((AND(RIGHT(G1168,2)=RIGHT('112'!$M$9,2),B1168&lt;'112'!$K$9,$O1168='112'!$I$6)),"x",""))</f>
        <v/>
      </c>
      <c r="W1168" s="75" t="str">
        <f>IF(AND('341-CT'!$H$9=H1168,OR(LEFT(N1168,3)=$W$7,LEFT(O1168,3)=$W$7)),"x","")</f>
        <v/>
      </c>
      <c r="X1168" s="75" t="str">
        <f>IF(OR(TH!N1168=TH!$X$7,O1168=TH!$X$7),"x","")</f>
        <v/>
      </c>
      <c r="Y1168" s="75" t="str">
        <f>IF(AND(OR(N1168="131",O1168="131"),H1168='131-CT'!$H$9),"x","")</f>
        <v/>
      </c>
      <c r="Z1168" s="75"/>
      <c r="AA1168" s="75" t="str">
        <f>IF(AND(MONTH(E1168)='IN-NX'!$J$5,'IN-NX'!$D$7=D1168),"x","")</f>
        <v/>
      </c>
      <c r="AB1168" s="75" t="str">
        <f>IF(AND(OR(LEFT(TH!N1168,2)="15",LEFT(TH!O1168,2)="15"),LEFT(TH!O1168,3)&lt;&gt;"111",'152-CT'!$J$8=TH!F1168),"x","")</f>
        <v/>
      </c>
      <c r="AC1168" s="75" t="str">
        <f>IF(AND(OR(LEFT(TH!N1168,2)="15",LEFT(TH!O1168,2)="15"),TK!$E$7=TH!F1168),"x","")</f>
        <v/>
      </c>
      <c r="AD1168" s="75" t="str">
        <f>IF(AND(N1168="1521",MONTH(C1168)='BK-NL'!$M$11),"x","")</f>
        <v/>
      </c>
      <c r="AF1168" s="1054"/>
    </row>
    <row r="1169" spans="1:32" ht="16.5" customHeight="1">
      <c r="A1169" s="309" t="str">
        <f>IF(B1169&lt;&gt;"",IF(AND(B1169='IN-TC'!$S$4,OR(TH!N1169="1111",TH!O1169="1111")),TH!D1169,""),"")</f>
        <v/>
      </c>
      <c r="B1169" s="1241">
        <f t="shared" si="249"/>
        <v>4</v>
      </c>
      <c r="C1169" s="217">
        <f t="shared" si="252"/>
        <v>42846</v>
      </c>
      <c r="D1169" s="217" t="s">
        <v>2950</v>
      </c>
      <c r="E1169" s="217">
        <v>42846</v>
      </c>
      <c r="F1169" s="960" t="s">
        <v>429</v>
      </c>
      <c r="G1169" s="739"/>
      <c r="H1169" s="294" t="s">
        <v>2919</v>
      </c>
      <c r="I1169" s="373">
        <v>76951</v>
      </c>
      <c r="J1169" s="926">
        <v>61448.596587438762</v>
      </c>
      <c r="K1169" s="926"/>
      <c r="L1169" s="379"/>
      <c r="M1169" s="927">
        <f>ROUND(I1169*J1169,0)</f>
        <v>4728530956</v>
      </c>
      <c r="N1169" s="935" t="s">
        <v>274</v>
      </c>
      <c r="O1169" s="935" t="s">
        <v>272</v>
      </c>
      <c r="P1169" s="75" t="str">
        <f>IF(AND('331-CT'!$E$7=TH!H1169,OR(N1169="331",O1169="331")),"x","")</f>
        <v/>
      </c>
      <c r="Q1169" s="75" t="str">
        <f>IF(AND(B1169='111'!$L$11,OR($N1169=$Q$7,$O1169=$Q$7)),"x","")</f>
        <v/>
      </c>
      <c r="R1169" s="75" t="str">
        <f>IF(AND($N1169=$Q$7,$B1169&lt;'111'!$L$11),"x","")</f>
        <v/>
      </c>
      <c r="S1169" s="75" t="str">
        <f>IF(AND($O1169=$Q$7,$B1169&lt;'111'!$L$11),"x","")</f>
        <v/>
      </c>
      <c r="T1169" s="75" t="str">
        <f>IF(ISERROR(FIND('112'!$M$9,G1169,1)),"",IF((AND(FIND('112'!$M$9,G1169,1)&gt;=1,B1169='112'!$K$9,OR($N1169='112'!$I$6,$O1169='112'!$I$6))),"x",""))</f>
        <v/>
      </c>
      <c r="U1169" s="75" t="str">
        <f>IF(ISERROR(FIND('112'!$M$9,G1169,1)),"",IF((AND(LEFT(G1169,2)=LEFT('112'!$M$9,2),B1169&lt;'112'!$K$9,$N1169='112'!$I$6)),"x",""))</f>
        <v/>
      </c>
      <c r="V1169" s="75" t="str">
        <f>IF(ISERROR(FIND('112'!$M$9,G1169,1)),"",IF((AND(RIGHT(G1169,2)=RIGHT('112'!$M$9,2),B1169&lt;'112'!$K$9,$O1169='112'!$I$6)),"x",""))</f>
        <v/>
      </c>
      <c r="W1169" s="75" t="str">
        <f>IF(AND('341-CT'!$H$9=H1169,OR(LEFT(N1169,3)=$W$7,LEFT(O1169,3)=$W$7)),"x","")</f>
        <v/>
      </c>
      <c r="X1169" s="75" t="str">
        <f>IF(OR(TH!N1169=TH!$X$7,O1169=TH!$X$7),"x","")</f>
        <v/>
      </c>
      <c r="Y1169" s="75" t="str">
        <f>IF(AND(OR(N1169="131",O1169="131"),H1169='131-CT'!$H$9),"x","")</f>
        <v/>
      </c>
      <c r="Z1169" s="75"/>
      <c r="AA1169" s="75" t="str">
        <f>IF(AND(MONTH(E1169)='IN-NX'!$J$5,'IN-NX'!$D$7=D1169),"x","")</f>
        <v/>
      </c>
      <c r="AB1169" s="75" t="str">
        <f>IF(AND(OR(LEFT(TH!N1169,2)="15",LEFT(TH!O1169,2)="15"),LEFT(TH!O1169,3)&lt;&gt;"111",'152-CT'!$J$8=TH!F1169),"x","")</f>
        <v/>
      </c>
      <c r="AC1169" s="75" t="str">
        <f>IF(AND(OR(LEFT(TH!N1169,2)="15",LEFT(TH!O1169,2)="15"),TK!$E$7=TH!F1169),"x","")</f>
        <v/>
      </c>
      <c r="AD1169" s="75" t="str">
        <f>IF(AND(N1169="1521",MONTH(C1169)='BK-NL'!$M$11),"x","")</f>
        <v/>
      </c>
      <c r="AF1169" s="1054"/>
    </row>
    <row r="1170" spans="1:32" ht="16.5" customHeight="1">
      <c r="A1170" s="309" t="str">
        <f>IF(B1170&lt;&gt;"",IF(AND(B1170='IN-TC'!$S$4,OR(TH!N1170="1111",TH!O1170="1111")),TH!D1170,""),"")</f>
        <v/>
      </c>
      <c r="B1170" s="1241">
        <f t="shared" si="249"/>
        <v>4</v>
      </c>
      <c r="C1170" s="217">
        <f t="shared" si="252"/>
        <v>42846</v>
      </c>
      <c r="D1170" s="217" t="s">
        <v>2950</v>
      </c>
      <c r="E1170" s="217">
        <v>42846</v>
      </c>
      <c r="F1170" s="960" t="s">
        <v>2949</v>
      </c>
      <c r="G1170" s="739"/>
      <c r="H1170" s="294" t="s">
        <v>2919</v>
      </c>
      <c r="I1170" s="373">
        <v>53088</v>
      </c>
      <c r="J1170" s="926">
        <v>43159.855748945149</v>
      </c>
      <c r="K1170" s="926"/>
      <c r="L1170" s="379"/>
      <c r="M1170" s="927">
        <f t="shared" si="253"/>
        <v>2291270422</v>
      </c>
      <c r="N1170" s="935" t="s">
        <v>274</v>
      </c>
      <c r="O1170" s="935" t="s">
        <v>272</v>
      </c>
      <c r="P1170" s="75" t="str">
        <f>IF(AND('331-CT'!$E$7=TH!H1170,OR(N1170="331",O1170="331")),"x","")</f>
        <v/>
      </c>
      <c r="Q1170" s="75" t="str">
        <f>IF(AND(B1170='111'!$L$11,OR($N1170=$Q$7,$O1170=$Q$7)),"x","")</f>
        <v/>
      </c>
      <c r="R1170" s="75" t="str">
        <f>IF(AND($N1170=$Q$7,$B1170&lt;'111'!$L$11),"x","")</f>
        <v/>
      </c>
      <c r="S1170" s="75" t="str">
        <f>IF(AND($O1170=$Q$7,$B1170&lt;'111'!$L$11),"x","")</f>
        <v/>
      </c>
      <c r="T1170" s="75" t="str">
        <f>IF(ISERROR(FIND('112'!$M$9,G1170,1)),"",IF((AND(FIND('112'!$M$9,G1170,1)&gt;=1,B1170='112'!$K$9,OR($N1170='112'!$I$6,$O1170='112'!$I$6))),"x",""))</f>
        <v/>
      </c>
      <c r="U1170" s="75" t="str">
        <f>IF(ISERROR(FIND('112'!$M$9,G1170,1)),"",IF((AND(LEFT(G1170,2)=LEFT('112'!$M$9,2),B1170&lt;'112'!$K$9,$N1170='112'!$I$6)),"x",""))</f>
        <v/>
      </c>
      <c r="V1170" s="75" t="str">
        <f>IF(ISERROR(FIND('112'!$M$9,G1170,1)),"",IF((AND(RIGHT(G1170,2)=RIGHT('112'!$M$9,2),B1170&lt;'112'!$K$9,$O1170='112'!$I$6)),"x",""))</f>
        <v/>
      </c>
      <c r="W1170" s="75" t="str">
        <f>IF(AND('341-CT'!$H$9=H1170,OR(LEFT(N1170,3)=$W$7,LEFT(O1170,3)=$W$7)),"x","")</f>
        <v/>
      </c>
      <c r="X1170" s="75" t="str">
        <f>IF(OR(TH!N1170=TH!$X$7,O1170=TH!$X$7),"x","")</f>
        <v/>
      </c>
      <c r="Y1170" s="75" t="str">
        <f>IF(AND(OR(N1170="131",O1170="131"),H1170='131-CT'!$H$9),"x","")</f>
        <v/>
      </c>
      <c r="Z1170" s="75"/>
      <c r="AA1170" s="75" t="str">
        <f>IF(AND(MONTH(E1170)='IN-NX'!$J$5,'IN-NX'!$D$7=D1170),"x","")</f>
        <v/>
      </c>
      <c r="AB1170" s="75" t="str">
        <f>IF(AND(OR(LEFT(TH!N1170,2)="15",LEFT(TH!O1170,2)="15"),LEFT(TH!O1170,3)&lt;&gt;"111",'152-CT'!$J$8=TH!F1170),"x","")</f>
        <v/>
      </c>
      <c r="AC1170" s="75" t="str">
        <f>IF(AND(OR(LEFT(TH!N1170,2)="15",LEFT(TH!O1170,2)="15"),TK!$E$7=TH!F1170),"x","")</f>
        <v/>
      </c>
      <c r="AD1170" s="75" t="str">
        <f>IF(AND(N1170="1521",MONTH(C1170)='BK-NL'!$M$11),"x","")</f>
        <v/>
      </c>
      <c r="AF1170" s="1054"/>
    </row>
    <row r="1171" spans="1:32" ht="16.5" customHeight="1">
      <c r="A1171" s="309" t="str">
        <f>IF(B1171&lt;&gt;"",IF(AND(B1171='IN-TC'!$S$4,OR(TH!N1171="1111",TH!O1171="1111")),TH!D1171,""),"")</f>
        <v/>
      </c>
      <c r="B1171" s="1241">
        <f t="shared" si="249"/>
        <v>4</v>
      </c>
      <c r="C1171" s="217">
        <f t="shared" si="252"/>
        <v>42840</v>
      </c>
      <c r="D1171" s="217" t="s">
        <v>2950</v>
      </c>
      <c r="E1171" s="217">
        <v>42840</v>
      </c>
      <c r="F1171" s="960" t="s">
        <v>1588</v>
      </c>
      <c r="G1171" s="739"/>
      <c r="H1171" s="294" t="s">
        <v>2919</v>
      </c>
      <c r="I1171" s="373">
        <v>12000</v>
      </c>
      <c r="J1171" s="926">
        <v>216524.4785</v>
      </c>
      <c r="K1171" s="926"/>
      <c r="L1171" s="379"/>
      <c r="M1171" s="927">
        <f t="shared" si="253"/>
        <v>2598293742</v>
      </c>
      <c r="N1171" s="935" t="s">
        <v>274</v>
      </c>
      <c r="O1171" s="935" t="s">
        <v>272</v>
      </c>
      <c r="P1171" s="75" t="str">
        <f>IF(AND('331-CT'!$E$7=TH!H1171,OR(N1171="331",O1171="331")),"x","")</f>
        <v/>
      </c>
      <c r="Q1171" s="75" t="str">
        <f>IF(AND(B1171='111'!$L$11,OR($N1171=$Q$7,$O1171=$Q$7)),"x","")</f>
        <v/>
      </c>
      <c r="R1171" s="75" t="str">
        <f>IF(AND($N1171=$Q$7,$B1171&lt;'111'!$L$11),"x","")</f>
        <v/>
      </c>
      <c r="S1171" s="75" t="str">
        <f>IF(AND($O1171=$Q$7,$B1171&lt;'111'!$L$11),"x","")</f>
        <v/>
      </c>
      <c r="T1171" s="75" t="str">
        <f>IF(ISERROR(FIND('112'!$M$9,G1171,1)),"",IF((AND(FIND('112'!$M$9,G1171,1)&gt;=1,B1171='112'!$K$9,OR($N1171='112'!$I$6,$O1171='112'!$I$6))),"x",""))</f>
        <v/>
      </c>
      <c r="U1171" s="75" t="str">
        <f>IF(ISERROR(FIND('112'!$M$9,G1171,1)),"",IF((AND(LEFT(G1171,2)=LEFT('112'!$M$9,2),B1171&lt;'112'!$K$9,$N1171='112'!$I$6)),"x",""))</f>
        <v/>
      </c>
      <c r="V1171" s="75" t="str">
        <f>IF(ISERROR(FIND('112'!$M$9,G1171,1)),"",IF((AND(RIGHT(G1171,2)=RIGHT('112'!$M$9,2),B1171&lt;'112'!$K$9,$O1171='112'!$I$6)),"x",""))</f>
        <v/>
      </c>
      <c r="W1171" s="75" t="str">
        <f>IF(AND('341-CT'!$H$9=H1171,OR(LEFT(N1171,3)=$W$7,LEFT(O1171,3)=$W$7)),"x","")</f>
        <v/>
      </c>
      <c r="X1171" s="75" t="str">
        <f>IF(OR(TH!N1171=TH!$X$7,O1171=TH!$X$7),"x","")</f>
        <v/>
      </c>
      <c r="Y1171" s="75" t="str">
        <f>IF(AND(OR(N1171="131",O1171="131"),H1171='131-CT'!$H$9),"x","")</f>
        <v/>
      </c>
      <c r="Z1171" s="75"/>
      <c r="AA1171" s="75" t="str">
        <f>IF(AND(MONTH(E1171)='IN-NX'!$J$5,'IN-NX'!$D$7=D1171),"x","")</f>
        <v/>
      </c>
      <c r="AB1171" s="75" t="str">
        <f>IF(AND(OR(LEFT(TH!N1171,2)="15",LEFT(TH!O1171,2)="15"),LEFT(TH!O1171,3)&lt;&gt;"111",'152-CT'!$J$8=TH!F1171),"x","")</f>
        <v/>
      </c>
      <c r="AC1171" s="75" t="str">
        <f>IF(AND(OR(LEFT(TH!N1171,2)="15",LEFT(TH!O1171,2)="15"),TK!$E$7=TH!F1171),"x","")</f>
        <v/>
      </c>
      <c r="AD1171" s="75" t="str">
        <f>IF(AND(N1171="1521",MONTH(C1171)='BK-NL'!$M$11),"x","")</f>
        <v/>
      </c>
      <c r="AF1171" s="1054"/>
    </row>
    <row r="1172" spans="1:32" ht="16.5" customHeight="1">
      <c r="A1172" s="309" t="str">
        <f>IF(B1172&lt;&gt;"",IF(AND(B1172='IN-TC'!$S$4,OR(TH!N1172="1111",TH!O1172="1111")),TH!D1172,""),"")</f>
        <v/>
      </c>
      <c r="B1172" s="1241">
        <f t="shared" si="249"/>
        <v>4</v>
      </c>
      <c r="C1172" s="217">
        <f t="shared" si="252"/>
        <v>42850</v>
      </c>
      <c r="D1172" s="217" t="s">
        <v>2950</v>
      </c>
      <c r="E1172" s="217">
        <v>42850</v>
      </c>
      <c r="F1172" s="429" t="s">
        <v>1406</v>
      </c>
      <c r="G1172" s="739"/>
      <c r="H1172" s="294" t="s">
        <v>2919</v>
      </c>
      <c r="I1172" s="373">
        <v>3908.6</v>
      </c>
      <c r="J1172" s="373">
        <v>118553.86609016017</v>
      </c>
      <c r="K1172" s="379"/>
      <c r="L1172" s="379"/>
      <c r="M1172" s="927">
        <f t="shared" si="253"/>
        <v>463379641</v>
      </c>
      <c r="N1172" s="935" t="s">
        <v>274</v>
      </c>
      <c r="O1172" s="935" t="s">
        <v>272</v>
      </c>
      <c r="P1172" s="75" t="str">
        <f>IF(AND('331-CT'!$E$7=TH!H1172,OR(N1172="331",O1172="331")),"x","")</f>
        <v/>
      </c>
      <c r="Q1172" s="75" t="str">
        <f>IF(AND(B1172='111'!$L$11,OR($N1172=$Q$7,$O1172=$Q$7)),"x","")</f>
        <v/>
      </c>
      <c r="R1172" s="75" t="str">
        <f>IF(AND($N1172=$Q$7,$B1172&lt;'111'!$L$11),"x","")</f>
        <v/>
      </c>
      <c r="S1172" s="75" t="str">
        <f>IF(AND($O1172=$Q$7,$B1172&lt;'111'!$L$11),"x","")</f>
        <v/>
      </c>
      <c r="T1172" s="75" t="str">
        <f>IF(ISERROR(FIND('112'!$M$9,G1172,1)),"",IF((AND(FIND('112'!$M$9,G1172,1)&gt;=1,B1172='112'!$K$9,OR($N1172='112'!$I$6,$O1172='112'!$I$6))),"x",""))</f>
        <v/>
      </c>
      <c r="U1172" s="75" t="str">
        <f>IF(ISERROR(FIND('112'!$M$9,G1172,1)),"",IF((AND(LEFT(G1172,2)=LEFT('112'!$M$9,2),B1172&lt;'112'!$K$9,$N1172='112'!$I$6)),"x",""))</f>
        <v/>
      </c>
      <c r="V1172" s="75" t="str">
        <f>IF(ISERROR(FIND('112'!$M$9,G1172,1)),"",IF((AND(RIGHT(G1172,2)=RIGHT('112'!$M$9,2),B1172&lt;'112'!$K$9,$O1172='112'!$I$6)),"x",""))</f>
        <v/>
      </c>
      <c r="W1172" s="75" t="str">
        <f>IF(AND('341-CT'!$H$9=H1172,OR(LEFT(N1172,3)=$W$7,LEFT(O1172,3)=$W$7)),"x","")</f>
        <v/>
      </c>
      <c r="X1172" s="75" t="str">
        <f>IF(OR(TH!N1172=TH!$X$7,O1172=TH!$X$7),"x","")</f>
        <v/>
      </c>
      <c r="Y1172" s="75" t="str">
        <f>IF(AND(OR(N1172="131",O1172="131"),H1172='131-CT'!$H$9),"x","")</f>
        <v/>
      </c>
      <c r="Z1172" s="75"/>
      <c r="AA1172" s="75" t="str">
        <f>IF(AND(MONTH(E1172)='IN-NX'!$J$5,'IN-NX'!$D$7=D1172),"x","")</f>
        <v/>
      </c>
      <c r="AB1172" s="75" t="str">
        <f>IF(AND(OR(LEFT(TH!N1172,2)="15",LEFT(TH!O1172,2)="15"),LEFT(TH!O1172,3)&lt;&gt;"111",'152-CT'!$J$8=TH!F1172),"x","")</f>
        <v/>
      </c>
      <c r="AC1172" s="75" t="str">
        <f>IF(AND(OR(LEFT(TH!N1172,2)="15",LEFT(TH!O1172,2)="15"),TK!$E$7=TH!F1172),"x","")</f>
        <v/>
      </c>
      <c r="AD1172" s="75" t="str">
        <f>IF(AND(N1172="1521",MONTH(C1172)='BK-NL'!$M$11),"x","")</f>
        <v/>
      </c>
      <c r="AF1172" s="1054"/>
    </row>
    <row r="1173" spans="1:32" s="1053" customFormat="1" ht="16.5" customHeight="1">
      <c r="A1173" s="309" t="str">
        <f>IF(B1173&lt;&gt;"",IF(AND(B1173='IN-TC'!$S$4,OR(TH!N1173="1111",TH!O1173="1111")),TH!D1173,""),"")</f>
        <v/>
      </c>
      <c r="B1173" s="1241">
        <f>IF(C1173&lt;&gt;"",MONTH(C1173),"")</f>
        <v>4</v>
      </c>
      <c r="C1173" s="252">
        <f>E1173</f>
        <v>42828</v>
      </c>
      <c r="D1173" s="252" t="s">
        <v>2921</v>
      </c>
      <c r="E1173" s="252">
        <v>42828</v>
      </c>
      <c r="F1173" s="1055" t="s">
        <v>429</v>
      </c>
      <c r="G1173" s="1056"/>
      <c r="H1173" s="296"/>
      <c r="I1173" s="371">
        <v>52780</v>
      </c>
      <c r="J1173" s="932">
        <v>61790.930584109941</v>
      </c>
      <c r="K1173" s="932"/>
      <c r="L1173" s="377"/>
      <c r="M1173" s="933">
        <f>ROUND(I1173*J1173,0)</f>
        <v>3261325316</v>
      </c>
      <c r="N1173" s="977" t="s">
        <v>284</v>
      </c>
      <c r="O1173" s="977" t="s">
        <v>274</v>
      </c>
      <c r="P1173" s="75" t="str">
        <f>IF(AND('331-CT'!$E$7=TH!H1173,OR(N1173="331",O1173="331")),"x","")</f>
        <v/>
      </c>
      <c r="Q1173" s="75" t="str">
        <f>IF(AND(B1173='111'!$L$11,OR($N1173=$Q$7,$O1173=$Q$7)),"x","")</f>
        <v/>
      </c>
      <c r="R1173" s="75" t="str">
        <f>IF(AND($N1173=$Q$7,$B1173&lt;'111'!$L$11),"x","")</f>
        <v/>
      </c>
      <c r="S1173" s="75" t="str">
        <f>IF(AND($O1173=$Q$7,$B1173&lt;'111'!$L$11),"x","")</f>
        <v/>
      </c>
      <c r="T1173" s="75" t="str">
        <f>IF(ISERROR(FIND('112'!$M$9,G1173,1)),"",IF((AND(FIND('112'!$M$9,G1173,1)&gt;=1,B1173='112'!$K$9,OR($N1173='112'!$I$6,$O1173='112'!$I$6))),"x",""))</f>
        <v/>
      </c>
      <c r="U1173" s="75" t="str">
        <f>IF(ISERROR(FIND('112'!$M$9,G1173,1)),"",IF((AND(LEFT(G1173,2)=LEFT('112'!$M$9,2),B1173&lt;'112'!$K$9,$N1173='112'!$I$6)),"x",""))</f>
        <v/>
      </c>
      <c r="V1173" s="75" t="str">
        <f>IF(ISERROR(FIND('112'!$M$9,G1173,1)),"",IF((AND(RIGHT(G1173,2)=RIGHT('112'!$M$9,2),B1173&lt;'112'!$K$9,$O1173='112'!$I$6)),"x",""))</f>
        <v/>
      </c>
      <c r="W1173" s="75" t="str">
        <f>IF(AND('341-CT'!$H$9=H1173,OR(LEFT(N1173,3)=$W$7,LEFT(O1173,3)=$W$7)),"x","")</f>
        <v/>
      </c>
      <c r="X1173" s="75" t="str">
        <f>IF(OR(TH!N1173=TH!$X$7,O1173=TH!$X$7),"x","")</f>
        <v/>
      </c>
      <c r="Y1173" s="75" t="str">
        <f>IF(AND(OR(N1173="131",O1173="131"),H1173='131-CT'!$H$9),"x","")</f>
        <v/>
      </c>
      <c r="Z1173" s="75"/>
      <c r="AA1173" s="75" t="str">
        <f>IF(AND(MONTH(E1173)='IN-NX'!$J$5,'IN-NX'!$D$7=D1173),"x","")</f>
        <v/>
      </c>
      <c r="AB1173" s="75" t="str">
        <f>IF(AND(OR(LEFT(TH!N1173,2)="15",LEFT(TH!O1173,2)="15"),LEFT(TH!O1173,3)&lt;&gt;"111",'152-CT'!$J$8=TH!F1173),"x","")</f>
        <v/>
      </c>
      <c r="AC1173" s="75" t="str">
        <f>IF(AND(OR(LEFT(TH!N1173,2)="15",LEFT(TH!O1173,2)="15"),TK!$E$7=TH!F1173),"x","")</f>
        <v/>
      </c>
      <c r="AD1173" s="75" t="str">
        <f>IF(AND(N1173="1521",MONTH(C1173)='BK-NL'!$M$11),"x","")</f>
        <v/>
      </c>
      <c r="AF1173" s="1054"/>
    </row>
    <row r="1174" spans="1:32" s="1053" customFormat="1" ht="16.5" customHeight="1">
      <c r="A1174" s="309" t="str">
        <f>IF(B1174&lt;&gt;"",IF(AND(B1174='IN-TC'!$S$4,OR(TH!N1174="1111",TH!O1174="1111")),TH!D1174,""),"")</f>
        <v/>
      </c>
      <c r="B1174" s="1241">
        <f t="shared" ref="B1174" si="254">IF(C1174&lt;&gt;"",MONTH(C1174),"")</f>
        <v>4</v>
      </c>
      <c r="C1174" s="252">
        <f t="shared" ref="C1174" si="255">E1174</f>
        <v>42828</v>
      </c>
      <c r="D1174" s="252" t="s">
        <v>2921</v>
      </c>
      <c r="E1174" s="252">
        <v>42828</v>
      </c>
      <c r="F1174" s="1055" t="s">
        <v>429</v>
      </c>
      <c r="G1174" s="1056"/>
      <c r="H1174" s="296"/>
      <c r="I1174" s="371">
        <v>105560</v>
      </c>
      <c r="J1174" s="932">
        <v>68253.846153846156</v>
      </c>
      <c r="K1174" s="932"/>
      <c r="L1174" s="377"/>
      <c r="M1174" s="933">
        <f t="shared" ref="M1174" si="256">ROUND(I1174*J1174,0)</f>
        <v>7204876000</v>
      </c>
      <c r="N1174" s="977" t="s">
        <v>284</v>
      </c>
      <c r="O1174" s="977" t="s">
        <v>274</v>
      </c>
      <c r="P1174" s="75" t="str">
        <f>IF(AND('331-CT'!$E$7=TH!H1174,OR(N1174="331",O1174="331")),"x","")</f>
        <v/>
      </c>
      <c r="Q1174" s="75" t="str">
        <f>IF(AND(B1174='111'!$L$11,OR($N1174=$Q$7,$O1174=$Q$7)),"x","")</f>
        <v/>
      </c>
      <c r="R1174" s="75" t="str">
        <f>IF(AND($N1174=$Q$7,$B1174&lt;'111'!$L$11),"x","")</f>
        <v/>
      </c>
      <c r="S1174" s="75" t="str">
        <f>IF(AND($O1174=$Q$7,$B1174&lt;'111'!$L$11),"x","")</f>
        <v/>
      </c>
      <c r="T1174" s="75" t="str">
        <f>IF(ISERROR(FIND('112'!$M$9,G1174,1)),"",IF((AND(FIND('112'!$M$9,G1174,1)&gt;=1,B1174='112'!$K$9,OR($N1174='112'!$I$6,$O1174='112'!$I$6))),"x",""))</f>
        <v/>
      </c>
      <c r="U1174" s="75" t="str">
        <f>IF(ISERROR(FIND('112'!$M$9,G1174,1)),"",IF((AND(LEFT(G1174,2)=LEFT('112'!$M$9,2),B1174&lt;'112'!$K$9,$N1174='112'!$I$6)),"x",""))</f>
        <v/>
      </c>
      <c r="V1174" s="75" t="str">
        <f>IF(ISERROR(FIND('112'!$M$9,G1174,1)),"",IF((AND(RIGHT(G1174,2)=RIGHT('112'!$M$9,2),B1174&lt;'112'!$K$9,$O1174='112'!$I$6)),"x",""))</f>
        <v/>
      </c>
      <c r="W1174" s="75" t="str">
        <f>IF(AND('341-CT'!$H$9=H1174,OR(LEFT(N1174,3)=$W$7,LEFT(O1174,3)=$W$7)),"x","")</f>
        <v/>
      </c>
      <c r="X1174" s="75" t="str">
        <f>IF(OR(TH!N1174=TH!$X$7,O1174=TH!$X$7),"x","")</f>
        <v/>
      </c>
      <c r="Y1174" s="75" t="str">
        <f>IF(AND(OR(N1174="131",O1174="131"),H1174='131-CT'!$H$9),"x","")</f>
        <v/>
      </c>
      <c r="Z1174" s="75"/>
      <c r="AA1174" s="75" t="str">
        <f>IF(AND(MONTH(E1174)='IN-NX'!$J$5,'IN-NX'!$D$7=D1174),"x","")</f>
        <v/>
      </c>
      <c r="AB1174" s="75" t="str">
        <f>IF(AND(OR(LEFT(TH!N1174,2)="15",LEFT(TH!O1174,2)="15"),LEFT(TH!O1174,3)&lt;&gt;"111",'152-CT'!$J$8=TH!F1174),"x","")</f>
        <v/>
      </c>
      <c r="AC1174" s="75" t="str">
        <f>IF(AND(OR(LEFT(TH!N1174,2)="15",LEFT(TH!O1174,2)="15"),TK!$E$7=TH!F1174),"x","")</f>
        <v/>
      </c>
      <c r="AD1174" s="75" t="str">
        <f>IF(AND(N1174="1521",MONTH(C1174)='BK-NL'!$M$11),"x","")</f>
        <v/>
      </c>
      <c r="AF1174" s="1054"/>
    </row>
    <row r="1175" spans="1:32" ht="16.5" customHeight="1">
      <c r="A1175" s="309" t="str">
        <f>IF(B1175&lt;&gt;"",IF(AND(B1175='IN-TC'!$S$4,OR(TH!N1175="1111",TH!O1175="1111")),TH!D1175,""),"")</f>
        <v/>
      </c>
      <c r="B1175" s="1241">
        <f>IF(C1175&lt;&gt;"",MONTH(C1175),"")</f>
        <v>4</v>
      </c>
      <c r="C1175" s="252">
        <f>E1175</f>
        <v>42846</v>
      </c>
      <c r="D1175" s="252" t="s">
        <v>2921</v>
      </c>
      <c r="E1175" s="252">
        <v>42846</v>
      </c>
      <c r="F1175" s="1055" t="s">
        <v>429</v>
      </c>
      <c r="G1175" s="1056"/>
      <c r="H1175" s="296"/>
      <c r="I1175" s="371">
        <v>266119</v>
      </c>
      <c r="J1175" s="932">
        <v>63124.431829369569</v>
      </c>
      <c r="K1175" s="932"/>
      <c r="L1175" s="377"/>
      <c r="M1175" s="933">
        <f>ROUND(I1175*J1175,0)</f>
        <v>16798610674</v>
      </c>
      <c r="N1175" s="977" t="s">
        <v>284</v>
      </c>
      <c r="O1175" s="977" t="s">
        <v>274</v>
      </c>
      <c r="P1175" s="75" t="str">
        <f>IF(AND('331-CT'!$E$7=TH!H1175,OR(N1175="331",O1175="331")),"x","")</f>
        <v/>
      </c>
      <c r="Q1175" s="75" t="str">
        <f>IF(AND(B1175='111'!$L$11,OR($N1175=$Q$7,$O1175=$Q$7)),"x","")</f>
        <v/>
      </c>
      <c r="R1175" s="75" t="str">
        <f>IF(AND($N1175=$Q$7,$B1175&lt;'111'!$L$11),"x","")</f>
        <v/>
      </c>
      <c r="S1175" s="75" t="str">
        <f>IF(AND($O1175=$Q$7,$B1175&lt;'111'!$L$11),"x","")</f>
        <v/>
      </c>
      <c r="T1175" s="75" t="str">
        <f>IF(ISERROR(FIND('112'!$M$9,G1175,1)),"",IF((AND(FIND('112'!$M$9,G1175,1)&gt;=1,B1175='112'!$K$9,OR($N1175='112'!$I$6,$O1175='112'!$I$6))),"x",""))</f>
        <v/>
      </c>
      <c r="U1175" s="75" t="str">
        <f>IF(ISERROR(FIND('112'!$M$9,G1175,1)),"",IF((AND(LEFT(G1175,2)=LEFT('112'!$M$9,2),B1175&lt;'112'!$K$9,$N1175='112'!$I$6)),"x",""))</f>
        <v/>
      </c>
      <c r="V1175" s="75" t="str">
        <f>IF(ISERROR(FIND('112'!$M$9,G1175,1)),"",IF((AND(RIGHT(G1175,2)=RIGHT('112'!$M$9,2),B1175&lt;'112'!$K$9,$O1175='112'!$I$6)),"x",""))</f>
        <v/>
      </c>
      <c r="W1175" s="75" t="str">
        <f>IF(AND('341-CT'!$H$9=H1175,OR(LEFT(N1175,3)=$W$7,LEFT(O1175,3)=$W$7)),"x","")</f>
        <v/>
      </c>
      <c r="X1175" s="75" t="str">
        <f>IF(OR(TH!N1175=TH!$X$7,O1175=TH!$X$7),"x","")</f>
        <v/>
      </c>
      <c r="Y1175" s="75" t="str">
        <f>IF(AND(OR(N1175="131",O1175="131"),H1175='131-CT'!$H$9),"x","")</f>
        <v/>
      </c>
      <c r="Z1175" s="75"/>
      <c r="AA1175" s="75" t="str">
        <f>IF(AND(MONTH(E1175)='IN-NX'!$J$5,'IN-NX'!$D$7=D1175),"x","")</f>
        <v/>
      </c>
      <c r="AB1175" s="75" t="str">
        <f>IF(AND(OR(LEFT(TH!N1175,2)="15",LEFT(TH!O1175,2)="15"),LEFT(TH!O1175,3)&lt;&gt;"111",'152-CT'!$J$8=TH!F1175),"x","")</f>
        <v/>
      </c>
      <c r="AC1175" s="75" t="str">
        <f>IF(AND(OR(LEFT(TH!N1175,2)="15",LEFT(TH!O1175,2)="15"),TK!$E$7=TH!F1175),"x","")</f>
        <v/>
      </c>
      <c r="AD1175" s="75" t="str">
        <f>IF(AND(N1175="1521",MONTH(C1175)='BK-NL'!$M$11),"x","")</f>
        <v/>
      </c>
      <c r="AF1175" s="1054"/>
    </row>
    <row r="1176" spans="1:32" ht="16.5" customHeight="1">
      <c r="A1176" s="309" t="str">
        <f>IF(B1176&lt;&gt;"",IF(AND(B1176='IN-TC'!$S$4,OR(TH!N1176="1111",TH!O1176="1111")),TH!D1176,""),"")</f>
        <v/>
      </c>
      <c r="B1176" s="1241">
        <f>IF(C1176&lt;&gt;"",MONTH(C1176),"")</f>
        <v>4</v>
      </c>
      <c r="C1176" s="252">
        <f>E1176</f>
        <v>42846</v>
      </c>
      <c r="D1176" s="252" t="s">
        <v>2921</v>
      </c>
      <c r="E1176" s="252">
        <v>42846</v>
      </c>
      <c r="F1176" s="1055" t="s">
        <v>429</v>
      </c>
      <c r="G1176" s="1056" t="s">
        <v>2922</v>
      </c>
      <c r="H1176" s="296" t="s">
        <v>759</v>
      </c>
      <c r="I1176" s="371">
        <v>76951</v>
      </c>
      <c r="J1176" s="932">
        <v>61448.596587438762</v>
      </c>
      <c r="K1176" s="932"/>
      <c r="L1176" s="377"/>
      <c r="M1176" s="933">
        <f>ROUND(I1176*J1176,0)</f>
        <v>4728530956</v>
      </c>
      <c r="N1176" s="977" t="s">
        <v>284</v>
      </c>
      <c r="O1176" s="977" t="s">
        <v>274</v>
      </c>
      <c r="P1176" s="75" t="str">
        <f>IF(AND('331-CT'!$E$7=TH!H1176,OR(N1176="331",O1176="331")),"x","")</f>
        <v/>
      </c>
      <c r="Q1176" s="75" t="str">
        <f>IF(AND(B1176='111'!$L$11,OR($N1176=$Q$7,$O1176=$Q$7)),"x","")</f>
        <v/>
      </c>
      <c r="R1176" s="75" t="str">
        <f>IF(AND($N1176=$Q$7,$B1176&lt;'111'!$L$11),"x","")</f>
        <v/>
      </c>
      <c r="S1176" s="75" t="str">
        <f>IF(AND($O1176=$Q$7,$B1176&lt;'111'!$L$11),"x","")</f>
        <v/>
      </c>
      <c r="T1176" s="75" t="str">
        <f>IF(ISERROR(FIND('112'!$M$9,G1176,1)),"",IF((AND(FIND('112'!$M$9,G1176,1)&gt;=1,B1176='112'!$K$9,OR($N1176='112'!$I$6,$O1176='112'!$I$6))),"x",""))</f>
        <v/>
      </c>
      <c r="U1176" s="75" t="str">
        <f>IF(ISERROR(FIND('112'!$M$9,G1176,1)),"",IF((AND(LEFT(G1176,2)=LEFT('112'!$M$9,2),B1176&lt;'112'!$K$9,$N1176='112'!$I$6)),"x",""))</f>
        <v/>
      </c>
      <c r="V1176" s="75" t="str">
        <f>IF(ISERROR(FIND('112'!$M$9,G1176,1)),"",IF((AND(RIGHT(G1176,2)=RIGHT('112'!$M$9,2),B1176&lt;'112'!$K$9,$O1176='112'!$I$6)),"x",""))</f>
        <v/>
      </c>
      <c r="W1176" s="75" t="str">
        <f>IF(AND('341-CT'!$H$9=H1176,OR(LEFT(N1176,3)=$W$7,LEFT(O1176,3)=$W$7)),"x","")</f>
        <v/>
      </c>
      <c r="X1176" s="75" t="str">
        <f>IF(OR(TH!N1176=TH!$X$7,O1176=TH!$X$7),"x","")</f>
        <v/>
      </c>
      <c r="Y1176" s="75" t="str">
        <f>IF(AND(OR(N1176="131",O1176="131"),H1176='131-CT'!$H$9),"x","")</f>
        <v/>
      </c>
      <c r="Z1176" s="75"/>
      <c r="AA1176" s="75" t="str">
        <f>IF(AND(MONTH(E1176)='IN-NX'!$J$5,'IN-NX'!$D$7=D1176),"x","")</f>
        <v/>
      </c>
      <c r="AB1176" s="75" t="str">
        <f>IF(AND(OR(LEFT(TH!N1176,2)="15",LEFT(TH!O1176,2)="15"),LEFT(TH!O1176,3)&lt;&gt;"111",'152-CT'!$J$8=TH!F1176),"x","")</f>
        <v/>
      </c>
      <c r="AC1176" s="75" t="str">
        <f>IF(AND(OR(LEFT(TH!N1176,2)="15",LEFT(TH!O1176,2)="15"),TK!$E$7=TH!F1176),"x","")</f>
        <v/>
      </c>
      <c r="AD1176" s="75" t="str">
        <f>IF(AND(N1176="1521",MONTH(C1176)='BK-NL'!$M$11),"x","")</f>
        <v/>
      </c>
      <c r="AF1176" s="1054"/>
    </row>
    <row r="1177" spans="1:32" ht="16.5" customHeight="1">
      <c r="A1177" s="309" t="str">
        <f>IF(B1177&lt;&gt;"",IF(AND(B1177='IN-TC'!$S$4,OR(TH!N1177="1111",TH!O1177="1111")),TH!D1177,""),"")</f>
        <v/>
      </c>
      <c r="B1177" s="1241">
        <f t="shared" ref="B1177:B1185" si="257">IF(C1177&lt;&gt;"",MONTH(C1177),"")</f>
        <v>4</v>
      </c>
      <c r="C1177" s="252">
        <f t="shared" ref="C1177:C1185" si="258">E1177</f>
        <v>42846</v>
      </c>
      <c r="D1177" s="252" t="s">
        <v>2921</v>
      </c>
      <c r="E1177" s="252">
        <v>42846</v>
      </c>
      <c r="F1177" s="1055" t="s">
        <v>2949</v>
      </c>
      <c r="G1177" s="1056" t="s">
        <v>2932</v>
      </c>
      <c r="H1177" s="296" t="s">
        <v>759</v>
      </c>
      <c r="I1177" s="371">
        <f>26390+26698</f>
        <v>53088</v>
      </c>
      <c r="J1177" s="932">
        <v>43159.855748945149</v>
      </c>
      <c r="K1177" s="932"/>
      <c r="L1177" s="377"/>
      <c r="M1177" s="933">
        <f t="shared" ref="M1177:M1185" si="259">ROUND(I1177*J1177,0)</f>
        <v>2291270422</v>
      </c>
      <c r="N1177" s="977" t="s">
        <v>284</v>
      </c>
      <c r="O1177" s="977" t="s">
        <v>274</v>
      </c>
      <c r="P1177" s="75" t="str">
        <f>IF(AND('331-CT'!$E$7=TH!H1177,OR(N1177="331",O1177="331")),"x","")</f>
        <v/>
      </c>
      <c r="Q1177" s="75" t="str">
        <f>IF(AND(B1177='111'!$L$11,OR($N1177=$Q$7,$O1177=$Q$7)),"x","")</f>
        <v/>
      </c>
      <c r="R1177" s="75" t="str">
        <f>IF(AND($N1177=$Q$7,$B1177&lt;'111'!$L$11),"x","")</f>
        <v/>
      </c>
      <c r="S1177" s="75" t="str">
        <f>IF(AND($O1177=$Q$7,$B1177&lt;'111'!$L$11),"x","")</f>
        <v/>
      </c>
      <c r="T1177" s="75" t="str">
        <f>IF(ISERROR(FIND('112'!$M$9,G1177,1)),"",IF((AND(FIND('112'!$M$9,G1177,1)&gt;=1,B1177='112'!$K$9,OR($N1177='112'!$I$6,$O1177='112'!$I$6))),"x",""))</f>
        <v/>
      </c>
      <c r="U1177" s="75" t="str">
        <f>IF(ISERROR(FIND('112'!$M$9,G1177,1)),"",IF((AND(LEFT(G1177,2)=LEFT('112'!$M$9,2),B1177&lt;'112'!$K$9,$N1177='112'!$I$6)),"x",""))</f>
        <v/>
      </c>
      <c r="V1177" s="75" t="str">
        <f>IF(ISERROR(FIND('112'!$M$9,G1177,1)),"",IF((AND(RIGHT(G1177,2)=RIGHT('112'!$M$9,2),B1177&lt;'112'!$K$9,$O1177='112'!$I$6)),"x",""))</f>
        <v/>
      </c>
      <c r="W1177" s="75" t="str">
        <f>IF(AND('341-CT'!$H$9=H1177,OR(LEFT(N1177,3)=$W$7,LEFT(O1177,3)=$W$7)),"x","")</f>
        <v/>
      </c>
      <c r="X1177" s="75" t="str">
        <f>IF(OR(TH!N1177=TH!$X$7,O1177=TH!$X$7),"x","")</f>
        <v/>
      </c>
      <c r="Y1177" s="75" t="str">
        <f>IF(AND(OR(N1177="131",O1177="131"),H1177='131-CT'!$H$9),"x","")</f>
        <v/>
      </c>
      <c r="Z1177" s="75"/>
      <c r="AA1177" s="75" t="str">
        <f>IF(AND(MONTH(E1177)='IN-NX'!$J$5,'IN-NX'!$D$7=D1177),"x","")</f>
        <v/>
      </c>
      <c r="AB1177" s="75" t="str">
        <f>IF(AND(OR(LEFT(TH!N1177,2)="15",LEFT(TH!O1177,2)="15"),LEFT(TH!O1177,3)&lt;&gt;"111",'152-CT'!$J$8=TH!F1177),"x","")</f>
        <v/>
      </c>
      <c r="AC1177" s="75" t="str">
        <f>IF(AND(OR(LEFT(TH!N1177,2)="15",LEFT(TH!O1177,2)="15"),TK!$E$7=TH!F1177),"x","")</f>
        <v/>
      </c>
      <c r="AD1177" s="75" t="str">
        <f>IF(AND(N1177="1521",MONTH(C1177)='BK-NL'!$M$11),"x","")</f>
        <v/>
      </c>
      <c r="AF1177" s="1054"/>
    </row>
    <row r="1178" spans="1:32" ht="16.5" customHeight="1">
      <c r="A1178" s="309" t="str">
        <f>IF(B1178&lt;&gt;"",IF(AND(B1178='IN-TC'!$S$4,OR(TH!N1178="1111",TH!O1178="1111")),TH!D1178,""),"")</f>
        <v/>
      </c>
      <c r="B1178" s="1241">
        <f>IF(C1178&lt;&gt;"",MONTH(C1178),"")</f>
        <v>4</v>
      </c>
      <c r="C1178" s="252">
        <f>E1178</f>
        <v>42840</v>
      </c>
      <c r="D1178" s="252" t="s">
        <v>2921</v>
      </c>
      <c r="E1178" s="252">
        <v>42840</v>
      </c>
      <c r="F1178" s="1055" t="s">
        <v>1588</v>
      </c>
      <c r="G1178" s="1056" t="s">
        <v>1260</v>
      </c>
      <c r="H1178" s="296" t="s">
        <v>822</v>
      </c>
      <c r="I1178" s="371">
        <v>12000</v>
      </c>
      <c r="J1178" s="932">
        <v>216524.4785</v>
      </c>
      <c r="K1178" s="932"/>
      <c r="L1178" s="377"/>
      <c r="M1178" s="933">
        <f>ROUND(I1178*J1178,0)</f>
        <v>2598293742</v>
      </c>
      <c r="N1178" s="977" t="s">
        <v>284</v>
      </c>
      <c r="O1178" s="977" t="s">
        <v>274</v>
      </c>
      <c r="P1178" s="75" t="str">
        <f>IF(AND('331-CT'!$E$7=TH!H1178,OR(N1178="331",O1178="331")),"x","")</f>
        <v/>
      </c>
      <c r="Q1178" s="75" t="str">
        <f>IF(AND(B1178='111'!$L$11,OR($N1178=$Q$7,$O1178=$Q$7)),"x","")</f>
        <v/>
      </c>
      <c r="R1178" s="75" t="str">
        <f>IF(AND($N1178=$Q$7,$B1178&lt;'111'!$L$11),"x","")</f>
        <v/>
      </c>
      <c r="S1178" s="75" t="str">
        <f>IF(AND($O1178=$Q$7,$B1178&lt;'111'!$L$11),"x","")</f>
        <v/>
      </c>
      <c r="T1178" s="75" t="str">
        <f>IF(ISERROR(FIND('112'!$M$9,G1178,1)),"",IF((AND(FIND('112'!$M$9,G1178,1)&gt;=1,B1178='112'!$K$9,OR($N1178='112'!$I$6,$O1178='112'!$I$6))),"x",""))</f>
        <v/>
      </c>
      <c r="U1178" s="75" t="str">
        <f>IF(ISERROR(FIND('112'!$M$9,G1178,1)),"",IF((AND(LEFT(G1178,2)=LEFT('112'!$M$9,2),B1178&lt;'112'!$K$9,$N1178='112'!$I$6)),"x",""))</f>
        <v/>
      </c>
      <c r="V1178" s="75" t="str">
        <f>IF(ISERROR(FIND('112'!$M$9,G1178,1)),"",IF((AND(RIGHT(G1178,2)=RIGHT('112'!$M$9,2),B1178&lt;'112'!$K$9,$O1178='112'!$I$6)),"x",""))</f>
        <v/>
      </c>
      <c r="W1178" s="75" t="str">
        <f>IF(AND('341-CT'!$H$9=H1178,OR(LEFT(N1178,3)=$W$7,LEFT(O1178,3)=$W$7)),"x","")</f>
        <v/>
      </c>
      <c r="X1178" s="75" t="str">
        <f>IF(OR(TH!N1178=TH!$X$7,O1178=TH!$X$7),"x","")</f>
        <v/>
      </c>
      <c r="Y1178" s="75" t="str">
        <f>IF(AND(OR(N1178="131",O1178="131"),H1178='131-CT'!$H$9),"x","")</f>
        <v/>
      </c>
      <c r="Z1178" s="75"/>
      <c r="AA1178" s="75" t="str">
        <f>IF(AND(MONTH(E1178)='IN-NX'!$J$5,'IN-NX'!$D$7=D1178),"x","")</f>
        <v/>
      </c>
      <c r="AB1178" s="75" t="str">
        <f>IF(AND(OR(LEFT(TH!N1178,2)="15",LEFT(TH!O1178,2)="15"),LEFT(TH!O1178,3)&lt;&gt;"111",'152-CT'!$J$8=TH!F1178),"x","")</f>
        <v/>
      </c>
      <c r="AC1178" s="75" t="str">
        <f>IF(AND(OR(LEFT(TH!N1178,2)="15",LEFT(TH!O1178,2)="15"),TK!$E$7=TH!F1178),"x","")</f>
        <v/>
      </c>
      <c r="AD1178" s="75" t="str">
        <f>IF(AND(N1178="1521",MONTH(C1178)='BK-NL'!$M$11),"x","")</f>
        <v/>
      </c>
      <c r="AF1178" s="1054"/>
    </row>
    <row r="1179" spans="1:32" ht="16.5" customHeight="1">
      <c r="A1179" s="309" t="str">
        <f>IF(B1179&lt;&gt;"",IF(AND(B1179='IN-TC'!$S$4,OR(TH!N1179="1111",TH!O1179="1111")),TH!D1179,""),"")</f>
        <v/>
      </c>
      <c r="B1179" s="1241">
        <f>IF(C1179&lt;&gt;"",MONTH(C1179),"")</f>
        <v>4</v>
      </c>
      <c r="C1179" s="252">
        <f>E1179</f>
        <v>42850</v>
      </c>
      <c r="D1179" s="252" t="s">
        <v>2921</v>
      </c>
      <c r="E1179" s="252">
        <v>42850</v>
      </c>
      <c r="F1179" s="730" t="s">
        <v>1406</v>
      </c>
      <c r="G1179" s="1056" t="s">
        <v>1147</v>
      </c>
      <c r="H1179" s="735" t="s">
        <v>792</v>
      </c>
      <c r="I1179" s="371">
        <v>3908.6</v>
      </c>
      <c r="J1179" s="371">
        <v>118553.86609016017</v>
      </c>
      <c r="K1179" s="377"/>
      <c r="L1179" s="377"/>
      <c r="M1179" s="933">
        <f>ROUND(I1179*J1179,0)</f>
        <v>463379641</v>
      </c>
      <c r="N1179" s="977" t="s">
        <v>284</v>
      </c>
      <c r="O1179" s="977" t="s">
        <v>274</v>
      </c>
      <c r="P1179" s="75" t="str">
        <f>IF(AND('331-CT'!$E$7=TH!H1179,OR(N1179="331",O1179="331")),"x","")</f>
        <v/>
      </c>
      <c r="Q1179" s="75" t="str">
        <f>IF(AND(B1179='111'!$L$11,OR($N1179=$Q$7,$O1179=$Q$7)),"x","")</f>
        <v/>
      </c>
      <c r="R1179" s="75" t="str">
        <f>IF(AND($N1179=$Q$7,$B1179&lt;'111'!$L$11),"x","")</f>
        <v/>
      </c>
      <c r="S1179" s="75" t="str">
        <f>IF(AND($O1179=$Q$7,$B1179&lt;'111'!$L$11),"x","")</f>
        <v/>
      </c>
      <c r="T1179" s="75" t="str">
        <f>IF(ISERROR(FIND('112'!$M$9,G1179,1)),"",IF((AND(FIND('112'!$M$9,G1179,1)&gt;=1,B1179='112'!$K$9,OR($N1179='112'!$I$6,$O1179='112'!$I$6))),"x",""))</f>
        <v/>
      </c>
      <c r="U1179" s="75" t="str">
        <f>IF(ISERROR(FIND('112'!$M$9,G1179,1)),"",IF((AND(LEFT(G1179,2)=LEFT('112'!$M$9,2),B1179&lt;'112'!$K$9,$N1179='112'!$I$6)),"x",""))</f>
        <v/>
      </c>
      <c r="V1179" s="75" t="str">
        <f>IF(ISERROR(FIND('112'!$M$9,G1179,1)),"",IF((AND(RIGHT(G1179,2)=RIGHT('112'!$M$9,2),B1179&lt;'112'!$K$9,$O1179='112'!$I$6)),"x",""))</f>
        <v/>
      </c>
      <c r="W1179" s="75" t="str">
        <f>IF(AND('341-CT'!$H$9=H1179,OR(LEFT(N1179,3)=$W$7,LEFT(O1179,3)=$W$7)),"x","")</f>
        <v/>
      </c>
      <c r="X1179" s="75" t="str">
        <f>IF(OR(TH!N1179=TH!$X$7,O1179=TH!$X$7),"x","")</f>
        <v/>
      </c>
      <c r="Y1179" s="75" t="str">
        <f>IF(AND(OR(N1179="131",O1179="131"),H1179='131-CT'!$H$9),"x","")</f>
        <v/>
      </c>
      <c r="Z1179" s="75"/>
      <c r="AA1179" s="75" t="str">
        <f>IF(AND(MONTH(E1179)='IN-NX'!$J$5,'IN-NX'!$D$7=D1179),"x","")</f>
        <v/>
      </c>
      <c r="AB1179" s="75" t="str">
        <f>IF(AND(OR(LEFT(TH!N1179,2)="15",LEFT(TH!O1179,2)="15"),LEFT(TH!O1179,3)&lt;&gt;"111",'152-CT'!$J$8=TH!F1179),"x","")</f>
        <v/>
      </c>
      <c r="AC1179" s="75" t="str">
        <f>IF(AND(OR(LEFT(TH!N1179,2)="15",LEFT(TH!O1179,2)="15"),TK!$E$7=TH!F1179),"x","")</f>
        <v/>
      </c>
      <c r="AD1179" s="75" t="str">
        <f>IF(AND(N1179="1521",MONTH(C1179)='BK-NL'!$M$11),"x","")</f>
        <v/>
      </c>
      <c r="AF1179" s="1054"/>
    </row>
    <row r="1180" spans="1:32" ht="16.5" customHeight="1">
      <c r="A1180" s="309" t="str">
        <f>IF(B1180&lt;&gt;"",IF(AND(B1180='IN-TC'!$S$4,OR(TH!N1180="1111",TH!O1180="1111")),TH!D1180,""),"")</f>
        <v/>
      </c>
      <c r="B1180" s="1241">
        <f>IF(C1180&lt;&gt;"",MONTH(C1180),"")</f>
        <v>4</v>
      </c>
      <c r="C1180" s="252">
        <f>E1180</f>
        <v>42850</v>
      </c>
      <c r="D1180" s="252" t="s">
        <v>2921</v>
      </c>
      <c r="E1180" s="252">
        <v>42850</v>
      </c>
      <c r="F1180" s="730" t="s">
        <v>421</v>
      </c>
      <c r="G1180" s="1056" t="s">
        <v>1147</v>
      </c>
      <c r="H1180" s="735" t="s">
        <v>792</v>
      </c>
      <c r="I1180" s="371">
        <v>480</v>
      </c>
      <c r="J1180" s="371">
        <v>141769.70706046809</v>
      </c>
      <c r="K1180" s="377"/>
      <c r="L1180" s="377"/>
      <c r="M1180" s="933">
        <f>ROUND(I1180*J1180,0)</f>
        <v>68049459</v>
      </c>
      <c r="N1180" s="977" t="s">
        <v>284</v>
      </c>
      <c r="O1180" s="977" t="s">
        <v>274</v>
      </c>
      <c r="P1180" s="75" t="str">
        <f>IF(AND('331-CT'!$E$7=TH!H1180,OR(N1180="331",O1180="331")),"x","")</f>
        <v/>
      </c>
      <c r="Q1180" s="75" t="str">
        <f>IF(AND(B1180='111'!$L$11,OR($N1180=$Q$7,$O1180=$Q$7)),"x","")</f>
        <v/>
      </c>
      <c r="R1180" s="75" t="str">
        <f>IF(AND($N1180=$Q$7,$B1180&lt;'111'!$L$11),"x","")</f>
        <v/>
      </c>
      <c r="S1180" s="75" t="str">
        <f>IF(AND($O1180=$Q$7,$B1180&lt;'111'!$L$11),"x","")</f>
        <v/>
      </c>
      <c r="T1180" s="75" t="str">
        <f>IF(ISERROR(FIND('112'!$M$9,G1180,1)),"",IF((AND(FIND('112'!$M$9,G1180,1)&gt;=1,B1180='112'!$K$9,OR($N1180='112'!$I$6,$O1180='112'!$I$6))),"x",""))</f>
        <v/>
      </c>
      <c r="U1180" s="75" t="str">
        <f>IF(ISERROR(FIND('112'!$M$9,G1180,1)),"",IF((AND(LEFT(G1180,2)=LEFT('112'!$M$9,2),B1180&lt;'112'!$K$9,$N1180='112'!$I$6)),"x",""))</f>
        <v/>
      </c>
      <c r="V1180" s="75" t="str">
        <f>IF(ISERROR(FIND('112'!$M$9,G1180,1)),"",IF((AND(RIGHT(G1180,2)=RIGHT('112'!$M$9,2),B1180&lt;'112'!$K$9,$O1180='112'!$I$6)),"x",""))</f>
        <v/>
      </c>
      <c r="W1180" s="75" t="str">
        <f>IF(AND('341-CT'!$H$9=H1180,OR(LEFT(N1180,3)=$W$7,LEFT(O1180,3)=$W$7)),"x","")</f>
        <v/>
      </c>
      <c r="X1180" s="75" t="str">
        <f>IF(OR(TH!N1180=TH!$X$7,O1180=TH!$X$7),"x","")</f>
        <v/>
      </c>
      <c r="Y1180" s="75" t="str">
        <f>IF(AND(OR(N1180="131",O1180="131"),H1180='131-CT'!$H$9),"x","")</f>
        <v/>
      </c>
      <c r="Z1180" s="75"/>
      <c r="AA1180" s="75" t="str">
        <f>IF(AND(MONTH(E1180)='IN-NX'!$J$5,'IN-NX'!$D$7=D1180),"x","")</f>
        <v/>
      </c>
      <c r="AB1180" s="75" t="str">
        <f>IF(AND(OR(LEFT(TH!N1180,2)="15",LEFT(TH!O1180,2)="15"),LEFT(TH!O1180,3)&lt;&gt;"111",'152-CT'!$J$8=TH!F1180),"x","")</f>
        <v/>
      </c>
      <c r="AC1180" s="75" t="str">
        <f>IF(AND(OR(LEFT(TH!N1180,2)="15",LEFT(TH!O1180,2)="15"),TK!$E$7=TH!F1180),"x","")</f>
        <v/>
      </c>
      <c r="AD1180" s="75" t="str">
        <f>IF(AND(N1180="1521",MONTH(C1180)='BK-NL'!$M$11),"x","")</f>
        <v/>
      </c>
      <c r="AF1180" s="1054"/>
    </row>
    <row r="1181" spans="1:32" ht="16.5" customHeight="1">
      <c r="A1181" s="309" t="str">
        <f>IF(B1181&lt;&gt;"",IF(AND(B1181='IN-TC'!$S$4,OR(TH!N1181="1111",TH!O1181="1111")),TH!D1181,""),"")</f>
        <v/>
      </c>
      <c r="B1181" s="1241">
        <f t="shared" si="257"/>
        <v>4</v>
      </c>
      <c r="C1181" s="252">
        <f t="shared" si="258"/>
        <v>42832</v>
      </c>
      <c r="D1181" s="252" t="s">
        <v>2921</v>
      </c>
      <c r="E1181" s="252">
        <v>42832</v>
      </c>
      <c r="F1181" s="1082" t="s">
        <v>799</v>
      </c>
      <c r="G1181" s="1056" t="s">
        <v>1262</v>
      </c>
      <c r="H1181" s="735" t="s">
        <v>802</v>
      </c>
      <c r="I1181" s="371">
        <v>50.5</v>
      </c>
      <c r="J1181" s="371">
        <v>216224.5286564955</v>
      </c>
      <c r="K1181" s="932"/>
      <c r="L1181" s="377"/>
      <c r="M1181" s="933">
        <f t="shared" si="259"/>
        <v>10919339</v>
      </c>
      <c r="N1181" s="977" t="s">
        <v>284</v>
      </c>
      <c r="O1181" s="977" t="s">
        <v>274</v>
      </c>
      <c r="P1181" s="75" t="str">
        <f>IF(AND('331-CT'!$E$7=TH!H1181,OR(N1181="331",O1181="331")),"x","")</f>
        <v/>
      </c>
      <c r="Q1181" s="75" t="str">
        <f>IF(AND(B1181='111'!$L$11,OR($N1181=$Q$7,$O1181=$Q$7)),"x","")</f>
        <v/>
      </c>
      <c r="R1181" s="75" t="str">
        <f>IF(AND($N1181=$Q$7,$B1181&lt;'111'!$L$11),"x","")</f>
        <v/>
      </c>
      <c r="S1181" s="75" t="str">
        <f>IF(AND($O1181=$Q$7,$B1181&lt;'111'!$L$11),"x","")</f>
        <v/>
      </c>
      <c r="T1181" s="75" t="str">
        <f>IF(ISERROR(FIND('112'!$M$9,G1181,1)),"",IF((AND(FIND('112'!$M$9,G1181,1)&gt;=1,B1181='112'!$K$9,OR($N1181='112'!$I$6,$O1181='112'!$I$6))),"x",""))</f>
        <v/>
      </c>
      <c r="U1181" s="75" t="str">
        <f>IF(ISERROR(FIND('112'!$M$9,G1181,1)),"",IF((AND(LEFT(G1181,2)=LEFT('112'!$M$9,2),B1181&lt;'112'!$K$9,$N1181='112'!$I$6)),"x",""))</f>
        <v/>
      </c>
      <c r="V1181" s="75" t="str">
        <f>IF(ISERROR(FIND('112'!$M$9,G1181,1)),"",IF((AND(RIGHT(G1181,2)=RIGHT('112'!$M$9,2),B1181&lt;'112'!$K$9,$O1181='112'!$I$6)),"x",""))</f>
        <v/>
      </c>
      <c r="W1181" s="75" t="str">
        <f>IF(AND('341-CT'!$H$9=H1181,OR(LEFT(N1181,3)=$W$7,LEFT(O1181,3)=$W$7)),"x","")</f>
        <v/>
      </c>
      <c r="X1181" s="75" t="str">
        <f>IF(OR(TH!N1181=TH!$X$7,O1181=TH!$X$7),"x","")</f>
        <v/>
      </c>
      <c r="Y1181" s="75" t="str">
        <f>IF(AND(OR(N1181="131",O1181="131"),H1181='131-CT'!$H$9),"x","")</f>
        <v/>
      </c>
      <c r="Z1181" s="75"/>
      <c r="AA1181" s="75" t="str">
        <f>IF(AND(MONTH(E1181)='IN-NX'!$J$5,'IN-NX'!$D$7=D1181),"x","")</f>
        <v/>
      </c>
      <c r="AB1181" s="75" t="str">
        <f>IF(AND(OR(LEFT(TH!N1181,2)="15",LEFT(TH!O1181,2)="15"),LEFT(TH!O1181,3)&lt;&gt;"111",'152-CT'!$J$8=TH!F1181),"x","")</f>
        <v/>
      </c>
      <c r="AC1181" s="75" t="str">
        <f>IF(AND(OR(LEFT(TH!N1181,2)="15",LEFT(TH!O1181,2)="15"),TK!$E$7=TH!F1181),"x","")</f>
        <v/>
      </c>
      <c r="AD1181" s="75" t="str">
        <f>IF(AND(N1181="1521",MONTH(C1181)='BK-NL'!$M$11),"x","")</f>
        <v/>
      </c>
      <c r="AF1181" s="1054"/>
    </row>
    <row r="1182" spans="1:32" ht="16.5" customHeight="1">
      <c r="A1182" s="309" t="str">
        <f>IF(B1182&lt;&gt;"",IF(AND(B1182='IN-TC'!$S$4,OR(TH!N1182="1111",TH!O1182="1111")),TH!D1182,""),"")</f>
        <v/>
      </c>
      <c r="B1182" s="1241">
        <f t="shared" si="257"/>
        <v>4</v>
      </c>
      <c r="C1182" s="252">
        <f t="shared" si="258"/>
        <v>42832</v>
      </c>
      <c r="D1182" s="252" t="s">
        <v>2921</v>
      </c>
      <c r="E1182" s="252">
        <v>42832</v>
      </c>
      <c r="F1182" s="1082" t="s">
        <v>800</v>
      </c>
      <c r="G1182" s="1056" t="s">
        <v>1262</v>
      </c>
      <c r="H1182" s="735" t="s">
        <v>802</v>
      </c>
      <c r="I1182" s="371">
        <v>40</v>
      </c>
      <c r="J1182" s="371">
        <v>198224.52865649556</v>
      </c>
      <c r="K1182" s="932"/>
      <c r="L1182" s="377"/>
      <c r="M1182" s="933">
        <f t="shared" si="259"/>
        <v>7928981</v>
      </c>
      <c r="N1182" s="977" t="s">
        <v>284</v>
      </c>
      <c r="O1182" s="977" t="s">
        <v>274</v>
      </c>
      <c r="P1182" s="75" t="str">
        <f>IF(AND('331-CT'!$E$7=TH!H1182,OR(N1182="331",O1182="331")),"x","")</f>
        <v/>
      </c>
      <c r="Q1182" s="75" t="str">
        <f>IF(AND(B1182='111'!$L$11,OR($N1182=$Q$7,$O1182=$Q$7)),"x","")</f>
        <v/>
      </c>
      <c r="R1182" s="75" t="str">
        <f>IF(AND($N1182=$Q$7,$B1182&lt;'111'!$L$11),"x","")</f>
        <v/>
      </c>
      <c r="S1182" s="75" t="str">
        <f>IF(AND($O1182=$Q$7,$B1182&lt;'111'!$L$11),"x","")</f>
        <v/>
      </c>
      <c r="T1182" s="75" t="str">
        <f>IF(ISERROR(FIND('112'!$M$9,G1182,1)),"",IF((AND(FIND('112'!$M$9,G1182,1)&gt;=1,B1182='112'!$K$9,OR($N1182='112'!$I$6,$O1182='112'!$I$6))),"x",""))</f>
        <v/>
      </c>
      <c r="U1182" s="75" t="str">
        <f>IF(ISERROR(FIND('112'!$M$9,G1182,1)),"",IF((AND(LEFT(G1182,2)=LEFT('112'!$M$9,2),B1182&lt;'112'!$K$9,$N1182='112'!$I$6)),"x",""))</f>
        <v/>
      </c>
      <c r="V1182" s="75" t="str">
        <f>IF(ISERROR(FIND('112'!$M$9,G1182,1)),"",IF((AND(RIGHT(G1182,2)=RIGHT('112'!$M$9,2),B1182&lt;'112'!$K$9,$O1182='112'!$I$6)),"x",""))</f>
        <v/>
      </c>
      <c r="W1182" s="75" t="str">
        <f>IF(AND('341-CT'!$H$9=H1182,OR(LEFT(N1182,3)=$W$7,LEFT(O1182,3)=$W$7)),"x","")</f>
        <v/>
      </c>
      <c r="X1182" s="75" t="str">
        <f>IF(OR(TH!N1182=TH!$X$7,O1182=TH!$X$7),"x","")</f>
        <v/>
      </c>
      <c r="Y1182" s="75" t="str">
        <f>IF(AND(OR(N1182="131",O1182="131"),H1182='131-CT'!$H$9),"x","")</f>
        <v/>
      </c>
      <c r="Z1182" s="75"/>
      <c r="AA1182" s="75" t="str">
        <f>IF(AND(MONTH(E1182)='IN-NX'!$J$5,'IN-NX'!$D$7=D1182),"x","")</f>
        <v/>
      </c>
      <c r="AB1182" s="75" t="str">
        <f>IF(AND(OR(LEFT(TH!N1182,2)="15",LEFT(TH!O1182,2)="15"),LEFT(TH!O1182,3)&lt;&gt;"111",'152-CT'!$J$8=TH!F1182),"x","")</f>
        <v/>
      </c>
      <c r="AC1182" s="75" t="str">
        <f>IF(AND(OR(LEFT(TH!N1182,2)="15",LEFT(TH!O1182,2)="15"),TK!$E$7=TH!F1182),"x","")</f>
        <v/>
      </c>
      <c r="AD1182" s="75" t="str">
        <f>IF(AND(N1182="1521",MONTH(C1182)='BK-NL'!$M$11),"x","")</f>
        <v/>
      </c>
      <c r="AF1182" s="1054"/>
    </row>
    <row r="1183" spans="1:32" ht="16.5" customHeight="1">
      <c r="A1183" s="309" t="str">
        <f>IF(B1183&lt;&gt;"",IF(AND(B1183='IN-TC'!$S$4,OR(TH!N1183="1111",TH!O1183="1111")),TH!D1183,""),"")</f>
        <v/>
      </c>
      <c r="B1183" s="1241">
        <f t="shared" si="257"/>
        <v>4</v>
      </c>
      <c r="C1183" s="252">
        <f t="shared" si="258"/>
        <v>42832</v>
      </c>
      <c r="D1183" s="252" t="s">
        <v>2921</v>
      </c>
      <c r="E1183" s="252">
        <v>42832</v>
      </c>
      <c r="F1183" s="1055" t="s">
        <v>2477</v>
      </c>
      <c r="G1183" s="1056" t="s">
        <v>1262</v>
      </c>
      <c r="H1183" s="735" t="s">
        <v>802</v>
      </c>
      <c r="I1183" s="371">
        <v>50</v>
      </c>
      <c r="J1183" s="371">
        <v>147998.69405150515</v>
      </c>
      <c r="K1183" s="932"/>
      <c r="L1183" s="377"/>
      <c r="M1183" s="933">
        <f t="shared" si="259"/>
        <v>7399935</v>
      </c>
      <c r="N1183" s="977" t="s">
        <v>284</v>
      </c>
      <c r="O1183" s="977" t="s">
        <v>274</v>
      </c>
      <c r="P1183" s="75" t="str">
        <f>IF(AND('331-CT'!$E$7=TH!H1183,OR(N1183="331",O1183="331")),"x","")</f>
        <v/>
      </c>
      <c r="Q1183" s="75" t="str">
        <f>IF(AND(B1183='111'!$L$11,OR($N1183=$Q$7,$O1183=$Q$7)),"x","")</f>
        <v/>
      </c>
      <c r="R1183" s="75" t="str">
        <f>IF(AND($N1183=$Q$7,$B1183&lt;'111'!$L$11),"x","")</f>
        <v/>
      </c>
      <c r="S1183" s="75" t="str">
        <f>IF(AND($O1183=$Q$7,$B1183&lt;'111'!$L$11),"x","")</f>
        <v/>
      </c>
      <c r="T1183" s="75" t="str">
        <f>IF(ISERROR(FIND('112'!$M$9,G1183,1)),"",IF((AND(FIND('112'!$M$9,G1183,1)&gt;=1,B1183='112'!$K$9,OR($N1183='112'!$I$6,$O1183='112'!$I$6))),"x",""))</f>
        <v/>
      </c>
      <c r="U1183" s="75" t="str">
        <f>IF(ISERROR(FIND('112'!$M$9,G1183,1)),"",IF((AND(LEFT(G1183,2)=LEFT('112'!$M$9,2),B1183&lt;'112'!$K$9,$N1183='112'!$I$6)),"x",""))</f>
        <v/>
      </c>
      <c r="V1183" s="75" t="str">
        <f>IF(ISERROR(FIND('112'!$M$9,G1183,1)),"",IF((AND(RIGHT(G1183,2)=RIGHT('112'!$M$9,2),B1183&lt;'112'!$K$9,$O1183='112'!$I$6)),"x",""))</f>
        <v/>
      </c>
      <c r="W1183" s="75" t="str">
        <f>IF(AND('341-CT'!$H$9=H1183,OR(LEFT(N1183,3)=$W$7,LEFT(O1183,3)=$W$7)),"x","")</f>
        <v/>
      </c>
      <c r="X1183" s="75" t="str">
        <f>IF(OR(TH!N1183=TH!$X$7,O1183=TH!$X$7),"x","")</f>
        <v/>
      </c>
      <c r="Y1183" s="75" t="str">
        <f>IF(AND(OR(N1183="131",O1183="131"),H1183='131-CT'!$H$9),"x","")</f>
        <v/>
      </c>
      <c r="Z1183" s="75"/>
      <c r="AA1183" s="75" t="str">
        <f>IF(AND(MONTH(E1183)='IN-NX'!$J$5,'IN-NX'!$D$7=D1183),"x","")</f>
        <v/>
      </c>
      <c r="AB1183" s="75" t="str">
        <f>IF(AND(OR(LEFT(TH!N1183,2)="15",LEFT(TH!O1183,2)="15"),LEFT(TH!O1183,3)&lt;&gt;"111",'152-CT'!$J$8=TH!F1183),"x","")</f>
        <v/>
      </c>
      <c r="AC1183" s="75" t="str">
        <f>IF(AND(OR(LEFT(TH!N1183,2)="15",LEFT(TH!O1183,2)="15"),TK!$E$7=TH!F1183),"x","")</f>
        <v/>
      </c>
      <c r="AD1183" s="75" t="str">
        <f>IF(AND(N1183="1521",MONTH(C1183)='BK-NL'!$M$11),"x","")</f>
        <v/>
      </c>
      <c r="AF1183" s="1054"/>
    </row>
    <row r="1184" spans="1:32" ht="16.5" customHeight="1">
      <c r="A1184" s="309" t="str">
        <f>IF(B1184&lt;&gt;"",IF(AND(B1184='IN-TC'!$S$4,OR(TH!N1184="1111",TH!O1184="1111")),TH!D1184,""),"")</f>
        <v/>
      </c>
      <c r="B1184" s="1241">
        <f t="shared" si="257"/>
        <v>4</v>
      </c>
      <c r="C1184" s="252">
        <f t="shared" si="258"/>
        <v>42832</v>
      </c>
      <c r="D1184" s="252" t="s">
        <v>2921</v>
      </c>
      <c r="E1184" s="252">
        <v>42832</v>
      </c>
      <c r="F1184" s="1055" t="s">
        <v>1621</v>
      </c>
      <c r="G1184" s="1056" t="s">
        <v>1262</v>
      </c>
      <c r="H1184" s="735" t="s">
        <v>802</v>
      </c>
      <c r="I1184" s="371">
        <v>100</v>
      </c>
      <c r="J1184" s="932">
        <v>146627.47712253977</v>
      </c>
      <c r="K1184" s="932"/>
      <c r="L1184" s="377"/>
      <c r="M1184" s="933">
        <f t="shared" si="259"/>
        <v>14662748</v>
      </c>
      <c r="N1184" s="977" t="s">
        <v>284</v>
      </c>
      <c r="O1184" s="977" t="s">
        <v>274</v>
      </c>
      <c r="P1184" s="75" t="str">
        <f>IF(AND('331-CT'!$E$7=TH!H1184,OR(N1184="331",O1184="331")),"x","")</f>
        <v/>
      </c>
      <c r="Q1184" s="75" t="str">
        <f>IF(AND(B1184='111'!$L$11,OR($N1184=$Q$7,$O1184=$Q$7)),"x","")</f>
        <v/>
      </c>
      <c r="R1184" s="75" t="str">
        <f>IF(AND($N1184=$Q$7,$B1184&lt;'111'!$L$11),"x","")</f>
        <v/>
      </c>
      <c r="S1184" s="75" t="str">
        <f>IF(AND($O1184=$Q$7,$B1184&lt;'111'!$L$11),"x","")</f>
        <v/>
      </c>
      <c r="T1184" s="75" t="str">
        <f>IF(ISERROR(FIND('112'!$M$9,G1184,1)),"",IF((AND(FIND('112'!$M$9,G1184,1)&gt;=1,B1184='112'!$K$9,OR($N1184='112'!$I$6,$O1184='112'!$I$6))),"x",""))</f>
        <v/>
      </c>
      <c r="U1184" s="75" t="str">
        <f>IF(ISERROR(FIND('112'!$M$9,G1184,1)),"",IF((AND(LEFT(G1184,2)=LEFT('112'!$M$9,2),B1184&lt;'112'!$K$9,$N1184='112'!$I$6)),"x",""))</f>
        <v/>
      </c>
      <c r="V1184" s="75" t="str">
        <f>IF(ISERROR(FIND('112'!$M$9,G1184,1)),"",IF((AND(RIGHT(G1184,2)=RIGHT('112'!$M$9,2),B1184&lt;'112'!$K$9,$O1184='112'!$I$6)),"x",""))</f>
        <v/>
      </c>
      <c r="W1184" s="75" t="str">
        <f>IF(AND('341-CT'!$H$9=H1184,OR(LEFT(N1184,3)=$W$7,LEFT(O1184,3)=$W$7)),"x","")</f>
        <v/>
      </c>
      <c r="X1184" s="75" t="str">
        <f>IF(OR(TH!N1184=TH!$X$7,O1184=TH!$X$7),"x","")</f>
        <v/>
      </c>
      <c r="Y1184" s="75" t="str">
        <f>IF(AND(OR(N1184="131",O1184="131"),H1184='131-CT'!$H$9),"x","")</f>
        <v/>
      </c>
      <c r="Z1184" s="75"/>
      <c r="AA1184" s="75" t="str">
        <f>IF(AND(MONTH(E1184)='IN-NX'!$J$5,'IN-NX'!$D$7=D1184),"x","")</f>
        <v/>
      </c>
      <c r="AB1184" s="75" t="str">
        <f>IF(AND(OR(LEFT(TH!N1184,2)="15",LEFT(TH!O1184,2)="15"),LEFT(TH!O1184,3)&lt;&gt;"111",'152-CT'!$J$8=TH!F1184),"x","")</f>
        <v/>
      </c>
      <c r="AC1184" s="75" t="str">
        <f>IF(AND(OR(LEFT(TH!N1184,2)="15",LEFT(TH!O1184,2)="15"),TK!$E$7=TH!F1184),"x","")</f>
        <v/>
      </c>
      <c r="AD1184" s="75" t="str">
        <f>IF(AND(N1184="1521",MONTH(C1184)='BK-NL'!$M$11),"x","")</f>
        <v/>
      </c>
      <c r="AF1184" s="1054"/>
    </row>
    <row r="1185" spans="1:32" ht="16.5" customHeight="1">
      <c r="A1185" s="309" t="str">
        <f>IF(B1185&lt;&gt;"",IF(AND(B1185='IN-TC'!$S$4,OR(TH!N1185="1111",TH!O1185="1111")),TH!D1185,""),"")</f>
        <v/>
      </c>
      <c r="B1185" s="1241">
        <f t="shared" si="257"/>
        <v>4</v>
      </c>
      <c r="C1185" s="252">
        <f t="shared" si="258"/>
        <v>42832</v>
      </c>
      <c r="D1185" s="252" t="s">
        <v>2921</v>
      </c>
      <c r="E1185" s="252">
        <v>42832</v>
      </c>
      <c r="F1185" s="1082" t="s">
        <v>801</v>
      </c>
      <c r="G1185" s="1056" t="s">
        <v>1262</v>
      </c>
      <c r="H1185" s="735" t="s">
        <v>802</v>
      </c>
      <c r="I1185" s="371">
        <v>150</v>
      </c>
      <c r="J1185" s="371">
        <v>156255.10005828401</v>
      </c>
      <c r="K1185" s="932"/>
      <c r="L1185" s="377"/>
      <c r="M1185" s="933">
        <f t="shared" si="259"/>
        <v>23438265</v>
      </c>
      <c r="N1185" s="977" t="s">
        <v>284</v>
      </c>
      <c r="O1185" s="977" t="s">
        <v>274</v>
      </c>
      <c r="P1185" s="75" t="str">
        <f>IF(AND('331-CT'!$E$7=TH!H1185,OR(N1185="331",O1185="331")),"x","")</f>
        <v/>
      </c>
      <c r="Q1185" s="75" t="str">
        <f>IF(AND(B1185='111'!$L$11,OR($N1185=$Q$7,$O1185=$Q$7)),"x","")</f>
        <v/>
      </c>
      <c r="R1185" s="75" t="str">
        <f>IF(AND($N1185=$Q$7,$B1185&lt;'111'!$L$11),"x","")</f>
        <v/>
      </c>
      <c r="S1185" s="75" t="str">
        <f>IF(AND($O1185=$Q$7,$B1185&lt;'111'!$L$11),"x","")</f>
        <v/>
      </c>
      <c r="T1185" s="75" t="str">
        <f>IF(ISERROR(FIND('112'!$M$9,G1185,1)),"",IF((AND(FIND('112'!$M$9,G1185,1)&gt;=1,B1185='112'!$K$9,OR($N1185='112'!$I$6,$O1185='112'!$I$6))),"x",""))</f>
        <v/>
      </c>
      <c r="U1185" s="75" t="str">
        <f>IF(ISERROR(FIND('112'!$M$9,G1185,1)),"",IF((AND(LEFT(G1185,2)=LEFT('112'!$M$9,2),B1185&lt;'112'!$K$9,$N1185='112'!$I$6)),"x",""))</f>
        <v/>
      </c>
      <c r="V1185" s="75" t="str">
        <f>IF(ISERROR(FIND('112'!$M$9,G1185,1)),"",IF((AND(RIGHT(G1185,2)=RIGHT('112'!$M$9,2),B1185&lt;'112'!$K$9,$O1185='112'!$I$6)),"x",""))</f>
        <v/>
      </c>
      <c r="W1185" s="75" t="str">
        <f>IF(AND('341-CT'!$H$9=H1185,OR(LEFT(N1185,3)=$W$7,LEFT(O1185,3)=$W$7)),"x","")</f>
        <v/>
      </c>
      <c r="X1185" s="75" t="str">
        <f>IF(OR(TH!N1185=TH!$X$7,O1185=TH!$X$7),"x","")</f>
        <v/>
      </c>
      <c r="Y1185" s="75" t="str">
        <f>IF(AND(OR(N1185="131",O1185="131"),H1185='131-CT'!$H$9),"x","")</f>
        <v/>
      </c>
      <c r="Z1185" s="75"/>
      <c r="AA1185" s="75" t="str">
        <f>IF(AND(MONTH(E1185)='IN-NX'!$J$5,'IN-NX'!$D$7=D1185),"x","")</f>
        <v/>
      </c>
      <c r="AB1185" s="75" t="str">
        <f>IF(AND(OR(LEFT(TH!N1185,2)="15",LEFT(TH!O1185,2)="15"),LEFT(TH!O1185,3)&lt;&gt;"111",'152-CT'!$J$8=TH!F1185),"x","")</f>
        <v/>
      </c>
      <c r="AC1185" s="75" t="str">
        <f>IF(AND(OR(LEFT(TH!N1185,2)="15",LEFT(TH!O1185,2)="15"),TK!$E$7=TH!F1185),"x","")</f>
        <v/>
      </c>
      <c r="AD1185" s="75" t="str">
        <f>IF(AND(N1185="1521",MONTH(C1185)='BK-NL'!$M$11),"x","")</f>
        <v/>
      </c>
      <c r="AF1185" s="1054"/>
    </row>
    <row r="1186" spans="1:32" s="1053" customFormat="1" ht="16.5" customHeight="1">
      <c r="A1186" s="309" t="str">
        <f>IF(B1186&lt;&gt;"",IF(AND(B1186='IN-TC'!$S$4,OR(TH!N1186="1111",TH!O1186="1111")),TH!D1186,""),"")</f>
        <v/>
      </c>
      <c r="B1186" s="1241">
        <f t="shared" ref="B1186:B1266" si="260">IF(C1186&lt;&gt;"",MONTH(C1186),"")</f>
        <v>4</v>
      </c>
      <c r="C1186" s="292">
        <v>42826</v>
      </c>
      <c r="D1186" s="292" t="s">
        <v>829</v>
      </c>
      <c r="E1186" s="292">
        <f t="shared" ref="E1186:E1215" si="261">C1186</f>
        <v>42826</v>
      </c>
      <c r="F1186" s="67" t="s">
        <v>795</v>
      </c>
      <c r="G1186" s="925" t="s">
        <v>1164</v>
      </c>
      <c r="H1186" s="294" t="s">
        <v>796</v>
      </c>
      <c r="I1186" s="373">
        <v>2030</v>
      </c>
      <c r="J1186" s="926">
        <v>8500</v>
      </c>
      <c r="K1186" s="373"/>
      <c r="L1186" s="379"/>
      <c r="M1186" s="927">
        <f>I1186*J1186</f>
        <v>17255000</v>
      </c>
      <c r="N1186" s="295" t="s">
        <v>266</v>
      </c>
      <c r="O1186" s="295" t="s">
        <v>8</v>
      </c>
      <c r="P1186" s="75" t="str">
        <f>IF(AND('331-CT'!$E$7=TH!H1186,OR(N1186="331",O1186="331")),"x","")</f>
        <v/>
      </c>
      <c r="Q1186" s="75" t="str">
        <f>IF(AND(B1186='111'!$L$11,OR($N1186=$Q$7,$O1186=$Q$7)),"x","")</f>
        <v/>
      </c>
      <c r="R1186" s="75" t="str">
        <f>IF(AND($N1186=$Q$7,$B1186&lt;'111'!$L$11),"x","")</f>
        <v/>
      </c>
      <c r="S1186" s="75" t="str">
        <f>IF(AND($O1186=$Q$7,$B1186&lt;'111'!$L$11),"x","")</f>
        <v/>
      </c>
      <c r="T1186" s="75" t="str">
        <f>IF(ISERROR(FIND('112'!$M$9,G1186,1)),"",IF((AND(FIND('112'!$M$9,G1186,1)&gt;=1,B1186='112'!$K$9,OR($N1186='112'!$I$6,$O1186='112'!$I$6))),"x",""))</f>
        <v/>
      </c>
      <c r="U1186" s="75" t="str">
        <f>IF(ISERROR(FIND('112'!$M$9,G1186,1)),"",IF((AND(LEFT(G1186,2)=LEFT('112'!$M$9,2),B1186&lt;'112'!$K$9,$N1186='112'!$I$6)),"x",""))</f>
        <v/>
      </c>
      <c r="V1186" s="75" t="str">
        <f>IF(ISERROR(FIND('112'!$M$9,G1186,1)),"",IF((AND(RIGHT(G1186,2)=RIGHT('112'!$M$9,2),B1186&lt;'112'!$K$9,$O1186='112'!$I$6)),"x",""))</f>
        <v/>
      </c>
      <c r="W1186" s="75" t="str">
        <f>IF(AND('341-CT'!$H$9=H1186,OR(LEFT(N1186,3)=$W$7,LEFT(O1186,3)=$W$7)),"x","")</f>
        <v/>
      </c>
      <c r="X1186" s="75" t="str">
        <f>IF(OR(TH!N1186=TH!$X$7,O1186=TH!$X$7),"x","")</f>
        <v/>
      </c>
      <c r="Y1186" s="75" t="str">
        <f>IF(AND(OR(N1186="131",O1186="131"),H1186='131-CT'!$H$9),"x","")</f>
        <v/>
      </c>
      <c r="Z1186" s="75"/>
      <c r="AA1186" s="75" t="str">
        <f>IF(AND(MONTH(E1186)='IN-NX'!$J$5,'IN-NX'!$D$7=D1186),"x","")</f>
        <v/>
      </c>
      <c r="AB1186" s="75" t="str">
        <f>IF(AND(OR(LEFT(TH!N1186,2)="15",LEFT(TH!O1186,2)="15"),LEFT(TH!O1186,3)&lt;&gt;"111",'152-CT'!$J$8=TH!F1186),"x","")</f>
        <v/>
      </c>
      <c r="AC1186" s="75" t="str">
        <f>IF(AND(OR(LEFT(TH!N1186,2)="15",LEFT(TH!O1186,2)="15"),TK!$E$7=TH!F1186),"x","")</f>
        <v/>
      </c>
      <c r="AD1186" s="75" t="str">
        <f>IF(AND(N1186="1521",MONTH(C1186)='BK-NL'!$M$11),"x","")</f>
        <v/>
      </c>
    </row>
    <row r="1187" spans="1:32" s="1053" customFormat="1" ht="16.5" customHeight="1">
      <c r="A1187" s="309" t="str">
        <f>IF(B1187&lt;&gt;"",IF(AND(B1187='IN-TC'!$S$4,OR(TH!N1187="1111",TH!O1187="1111")),TH!D1187,""),"")</f>
        <v/>
      </c>
      <c r="B1187" s="1241">
        <f t="shared" si="260"/>
        <v>4</v>
      </c>
      <c r="C1187" s="292">
        <v>42826</v>
      </c>
      <c r="D1187" s="292" t="s">
        <v>829</v>
      </c>
      <c r="E1187" s="292">
        <f t="shared" si="261"/>
        <v>42826</v>
      </c>
      <c r="F1187" s="67" t="s">
        <v>1143</v>
      </c>
      <c r="G1187" s="925" t="s">
        <v>1164</v>
      </c>
      <c r="H1187" s="294" t="s">
        <v>796</v>
      </c>
      <c r="I1187" s="373"/>
      <c r="J1187" s="926"/>
      <c r="K1187" s="373"/>
      <c r="L1187" s="379"/>
      <c r="M1187" s="927">
        <v>1725500</v>
      </c>
      <c r="N1187" s="295" t="s">
        <v>9</v>
      </c>
      <c r="O1187" s="295" t="s">
        <v>8</v>
      </c>
      <c r="P1187" s="75" t="str">
        <f>IF(AND('331-CT'!$E$7=TH!H1187,OR(N1187="331",O1187="331")),"x","")</f>
        <v/>
      </c>
      <c r="Q1187" s="75" t="str">
        <f>IF(AND(B1187='111'!$L$11,OR($N1187=$Q$7,$O1187=$Q$7)),"x","")</f>
        <v/>
      </c>
      <c r="R1187" s="75" t="str">
        <f>IF(AND($N1187=$Q$7,$B1187&lt;'111'!$L$11),"x","")</f>
        <v/>
      </c>
      <c r="S1187" s="75" t="str">
        <f>IF(AND($O1187=$Q$7,$B1187&lt;'111'!$L$11),"x","")</f>
        <v/>
      </c>
      <c r="T1187" s="75" t="str">
        <f>IF(ISERROR(FIND('112'!$M$9,G1187,1)),"",IF((AND(FIND('112'!$M$9,G1187,1)&gt;=1,B1187='112'!$K$9,OR($N1187='112'!$I$6,$O1187='112'!$I$6))),"x",""))</f>
        <v/>
      </c>
      <c r="U1187" s="75" t="str">
        <f>IF(ISERROR(FIND('112'!$M$9,G1187,1)),"",IF((AND(LEFT(G1187,2)=LEFT('112'!$M$9,2),B1187&lt;'112'!$K$9,$N1187='112'!$I$6)),"x",""))</f>
        <v/>
      </c>
      <c r="V1187" s="75" t="str">
        <f>IF(ISERROR(FIND('112'!$M$9,G1187,1)),"",IF((AND(RIGHT(G1187,2)=RIGHT('112'!$M$9,2),B1187&lt;'112'!$K$9,$O1187='112'!$I$6)),"x",""))</f>
        <v/>
      </c>
      <c r="W1187" s="75" t="str">
        <f>IF(AND('341-CT'!$H$9=H1187,OR(LEFT(N1187,3)=$W$7,LEFT(O1187,3)=$W$7)),"x","")</f>
        <v/>
      </c>
      <c r="X1187" s="75" t="str">
        <f>IF(OR(TH!N1187=TH!$X$7,O1187=TH!$X$7),"x","")</f>
        <v/>
      </c>
      <c r="Y1187" s="75" t="str">
        <f>IF(AND(OR(N1187="131",O1187="131"),H1187='131-CT'!$H$9),"x","")</f>
        <v/>
      </c>
      <c r="Z1187" s="75"/>
      <c r="AA1187" s="75" t="str">
        <f>IF(AND(MONTH(E1187)='IN-NX'!$J$5,'IN-NX'!$D$7=D1187),"x","")</f>
        <v/>
      </c>
      <c r="AB1187" s="75" t="str">
        <f>IF(AND(OR(LEFT(TH!N1187,2)="15",LEFT(TH!O1187,2)="15"),LEFT(TH!O1187,3)&lt;&gt;"111",'152-CT'!$J$8=TH!F1187),"x","")</f>
        <v/>
      </c>
      <c r="AC1187" s="75" t="str">
        <f>IF(AND(OR(LEFT(TH!N1187,2)="15",LEFT(TH!O1187,2)="15"),TK!$E$7=TH!F1187),"x","")</f>
        <v/>
      </c>
      <c r="AD1187" s="75" t="str">
        <f>IF(AND(N1187="1521",MONTH(C1187)='BK-NL'!$M$11),"x","")</f>
        <v/>
      </c>
    </row>
    <row r="1188" spans="1:32" s="1053" customFormat="1" ht="16.5" customHeight="1">
      <c r="A1188" s="309" t="str">
        <f>IF(B1188&lt;&gt;"",IF(AND(B1188='IN-TC'!$S$4,OR(TH!N1188="1111",TH!O1188="1111")),TH!D1188,""),"")</f>
        <v/>
      </c>
      <c r="B1188" s="1241">
        <f t="shared" si="260"/>
        <v>4</v>
      </c>
      <c r="C1188" s="292">
        <v>42826</v>
      </c>
      <c r="D1188" s="292" t="s">
        <v>840</v>
      </c>
      <c r="E1188" s="292">
        <f t="shared" si="261"/>
        <v>42826</v>
      </c>
      <c r="F1188" s="67" t="s">
        <v>795</v>
      </c>
      <c r="G1188" s="925" t="s">
        <v>1344</v>
      </c>
      <c r="H1188" s="294" t="s">
        <v>797</v>
      </c>
      <c r="I1188" s="373">
        <v>2030</v>
      </c>
      <c r="J1188" s="379">
        <v>8500</v>
      </c>
      <c r="K1188" s="373"/>
      <c r="L1188" s="379"/>
      <c r="M1188" s="927">
        <f>I1188*J1188</f>
        <v>17255000</v>
      </c>
      <c r="N1188" s="295" t="s">
        <v>266</v>
      </c>
      <c r="O1188" s="295" t="s">
        <v>8</v>
      </c>
      <c r="P1188" s="75" t="str">
        <f>IF(AND('331-CT'!$E$7=TH!H1188,OR(N1188="331",O1188="331")),"x","")</f>
        <v/>
      </c>
      <c r="Q1188" s="75" t="str">
        <f>IF(AND(B1188='111'!$L$11,OR($N1188=$Q$7,$O1188=$Q$7)),"x","")</f>
        <v/>
      </c>
      <c r="R1188" s="75" t="str">
        <f>IF(AND($N1188=$Q$7,$B1188&lt;'111'!$L$11),"x","")</f>
        <v/>
      </c>
      <c r="S1188" s="75" t="str">
        <f>IF(AND($O1188=$Q$7,$B1188&lt;'111'!$L$11),"x","")</f>
        <v/>
      </c>
      <c r="T1188" s="75" t="str">
        <f>IF(ISERROR(FIND('112'!$M$9,G1188,1)),"",IF((AND(FIND('112'!$M$9,G1188,1)&gt;=1,B1188='112'!$K$9,OR($N1188='112'!$I$6,$O1188='112'!$I$6))),"x",""))</f>
        <v/>
      </c>
      <c r="U1188" s="75" t="str">
        <f>IF(ISERROR(FIND('112'!$M$9,G1188,1)),"",IF((AND(LEFT(G1188,2)=LEFT('112'!$M$9,2),B1188&lt;'112'!$K$9,$N1188='112'!$I$6)),"x",""))</f>
        <v/>
      </c>
      <c r="V1188" s="75" t="str">
        <f>IF(ISERROR(FIND('112'!$M$9,G1188,1)),"",IF((AND(RIGHT(G1188,2)=RIGHT('112'!$M$9,2),B1188&lt;'112'!$K$9,$O1188='112'!$I$6)),"x",""))</f>
        <v/>
      </c>
      <c r="W1188" s="75" t="str">
        <f>IF(AND('341-CT'!$H$9=H1188,OR(LEFT(N1188,3)=$W$7,LEFT(O1188,3)=$W$7)),"x","")</f>
        <v/>
      </c>
      <c r="X1188" s="75" t="str">
        <f>IF(OR(TH!N1188=TH!$X$7,O1188=TH!$X$7),"x","")</f>
        <v/>
      </c>
      <c r="Y1188" s="75" t="str">
        <f>IF(AND(OR(N1188="131",O1188="131"),H1188='131-CT'!$H$9),"x","")</f>
        <v/>
      </c>
      <c r="Z1188" s="75"/>
      <c r="AA1188" s="75" t="str">
        <f>IF(AND(MONTH(E1188)='IN-NX'!$J$5,'IN-NX'!$D$7=D1188),"x","")</f>
        <v/>
      </c>
      <c r="AB1188" s="75" t="str">
        <f>IF(AND(OR(LEFT(TH!N1188,2)="15",LEFT(TH!O1188,2)="15"),LEFT(TH!O1188,3)&lt;&gt;"111",'152-CT'!$J$8=TH!F1188),"x","")</f>
        <v/>
      </c>
      <c r="AC1188" s="75" t="str">
        <f>IF(AND(OR(LEFT(TH!N1188,2)="15",LEFT(TH!O1188,2)="15"),TK!$E$7=TH!F1188),"x","")</f>
        <v/>
      </c>
      <c r="AD1188" s="75" t="str">
        <f>IF(AND(N1188="1521",MONTH(C1188)='BK-NL'!$M$11),"x","")</f>
        <v/>
      </c>
    </row>
    <row r="1189" spans="1:32" s="1053" customFormat="1" ht="16.5" customHeight="1">
      <c r="A1189" s="309" t="str">
        <f>IF(B1189&lt;&gt;"",IF(AND(B1189='IN-TC'!$S$4,OR(TH!N1189="1111",TH!O1189="1111")),TH!D1189,""),"")</f>
        <v/>
      </c>
      <c r="B1189" s="1241">
        <f t="shared" si="260"/>
        <v>4</v>
      </c>
      <c r="C1189" s="292">
        <v>42826</v>
      </c>
      <c r="D1189" s="292" t="s">
        <v>840</v>
      </c>
      <c r="E1189" s="292">
        <f t="shared" si="261"/>
        <v>42826</v>
      </c>
      <c r="F1189" s="67" t="s">
        <v>1143</v>
      </c>
      <c r="G1189" s="925" t="s">
        <v>1344</v>
      </c>
      <c r="H1189" s="294" t="s">
        <v>797</v>
      </c>
      <c r="I1189" s="373"/>
      <c r="J1189" s="379"/>
      <c r="K1189" s="373"/>
      <c r="L1189" s="379"/>
      <c r="M1189" s="927">
        <v>1725500</v>
      </c>
      <c r="N1189" s="295" t="s">
        <v>9</v>
      </c>
      <c r="O1189" s="295" t="s">
        <v>8</v>
      </c>
      <c r="P1189" s="75" t="str">
        <f>IF(AND('331-CT'!$E$7=TH!H1189,OR(N1189="331",O1189="331")),"x","")</f>
        <v/>
      </c>
      <c r="Q1189" s="75" t="str">
        <f>IF(AND(B1189='111'!$L$11,OR($N1189=$Q$7,$O1189=$Q$7)),"x","")</f>
        <v/>
      </c>
      <c r="R1189" s="75" t="str">
        <f>IF(AND($N1189=$Q$7,$B1189&lt;'111'!$L$11),"x","")</f>
        <v/>
      </c>
      <c r="S1189" s="75" t="str">
        <f>IF(AND($O1189=$Q$7,$B1189&lt;'111'!$L$11),"x","")</f>
        <v/>
      </c>
      <c r="T1189" s="75" t="str">
        <f>IF(ISERROR(FIND('112'!$M$9,G1189,1)),"",IF((AND(FIND('112'!$M$9,G1189,1)&gt;=1,B1189='112'!$K$9,OR($N1189='112'!$I$6,$O1189='112'!$I$6))),"x",""))</f>
        <v/>
      </c>
      <c r="U1189" s="75" t="str">
        <f>IF(ISERROR(FIND('112'!$M$9,G1189,1)),"",IF((AND(LEFT(G1189,2)=LEFT('112'!$M$9,2),B1189&lt;'112'!$K$9,$N1189='112'!$I$6)),"x",""))</f>
        <v/>
      </c>
      <c r="V1189" s="75" t="str">
        <f>IF(ISERROR(FIND('112'!$M$9,G1189,1)),"",IF((AND(RIGHT(G1189,2)=RIGHT('112'!$M$9,2),B1189&lt;'112'!$K$9,$O1189='112'!$I$6)),"x",""))</f>
        <v/>
      </c>
      <c r="W1189" s="75" t="str">
        <f>IF(AND('341-CT'!$H$9=H1189,OR(LEFT(N1189,3)=$W$7,LEFT(O1189,3)=$W$7)),"x","")</f>
        <v/>
      </c>
      <c r="X1189" s="75" t="str">
        <f>IF(OR(TH!N1189=TH!$X$7,O1189=TH!$X$7),"x","")</f>
        <v/>
      </c>
      <c r="Y1189" s="75" t="str">
        <f>IF(AND(OR(N1189="131",O1189="131"),H1189='131-CT'!$H$9),"x","")</f>
        <v/>
      </c>
      <c r="Z1189" s="75"/>
      <c r="AA1189" s="75" t="str">
        <f>IF(AND(MONTH(E1189)='IN-NX'!$J$5,'IN-NX'!$D$7=D1189),"x","")</f>
        <v/>
      </c>
      <c r="AB1189" s="75" t="str">
        <f>IF(AND(OR(LEFT(TH!N1189,2)="15",LEFT(TH!O1189,2)="15"),LEFT(TH!O1189,3)&lt;&gt;"111",'152-CT'!$J$8=TH!F1189),"x","")</f>
        <v/>
      </c>
      <c r="AC1189" s="75" t="str">
        <f>IF(AND(OR(LEFT(TH!N1189,2)="15",LEFT(TH!O1189,2)="15"),TK!$E$7=TH!F1189),"x","")</f>
        <v/>
      </c>
      <c r="AD1189" s="75" t="str">
        <f>IF(AND(N1189="1521",MONTH(C1189)='BK-NL'!$M$11),"x","")</f>
        <v/>
      </c>
    </row>
    <row r="1190" spans="1:32" s="1053" customFormat="1" ht="16.5" customHeight="1">
      <c r="A1190" s="309" t="str">
        <f>IF(B1190&lt;&gt;"",IF(AND(B1190='IN-TC'!$S$4,OR(TH!N1190="1111",TH!O1190="1111")),TH!D1190,""),"")</f>
        <v/>
      </c>
      <c r="B1190" s="1241">
        <f t="shared" si="260"/>
        <v>4</v>
      </c>
      <c r="C1190" s="292">
        <v>42828</v>
      </c>
      <c r="D1190" s="292" t="s">
        <v>847</v>
      </c>
      <c r="E1190" s="292">
        <f t="shared" si="261"/>
        <v>42828</v>
      </c>
      <c r="F1190" s="67" t="s">
        <v>795</v>
      </c>
      <c r="G1190" s="925" t="s">
        <v>1345</v>
      </c>
      <c r="H1190" s="294" t="s">
        <v>797</v>
      </c>
      <c r="I1190" s="373">
        <v>2030</v>
      </c>
      <c r="J1190" s="379">
        <v>8500</v>
      </c>
      <c r="K1190" s="373"/>
      <c r="L1190" s="379"/>
      <c r="M1190" s="927">
        <f>I1190*J1190</f>
        <v>17255000</v>
      </c>
      <c r="N1190" s="295" t="s">
        <v>266</v>
      </c>
      <c r="O1190" s="295" t="s">
        <v>8</v>
      </c>
      <c r="P1190" s="75" t="str">
        <f>IF(AND('331-CT'!$E$7=TH!H1190,OR(N1190="331",O1190="331")),"x","")</f>
        <v/>
      </c>
      <c r="Q1190" s="75" t="str">
        <f>IF(AND(B1190='111'!$L$11,OR($N1190=$Q$7,$O1190=$Q$7)),"x","")</f>
        <v/>
      </c>
      <c r="R1190" s="75" t="str">
        <f>IF(AND($N1190=$Q$7,$B1190&lt;'111'!$L$11),"x","")</f>
        <v/>
      </c>
      <c r="S1190" s="75" t="str">
        <f>IF(AND($O1190=$Q$7,$B1190&lt;'111'!$L$11),"x","")</f>
        <v/>
      </c>
      <c r="T1190" s="75" t="str">
        <f>IF(ISERROR(FIND('112'!$M$9,G1190,1)),"",IF((AND(FIND('112'!$M$9,G1190,1)&gt;=1,B1190='112'!$K$9,OR($N1190='112'!$I$6,$O1190='112'!$I$6))),"x",""))</f>
        <v/>
      </c>
      <c r="U1190" s="75" t="str">
        <f>IF(ISERROR(FIND('112'!$M$9,G1190,1)),"",IF((AND(LEFT(G1190,2)=LEFT('112'!$M$9,2),B1190&lt;'112'!$K$9,$N1190='112'!$I$6)),"x",""))</f>
        <v/>
      </c>
      <c r="V1190" s="75" t="str">
        <f>IF(ISERROR(FIND('112'!$M$9,G1190,1)),"",IF((AND(RIGHT(G1190,2)=RIGHT('112'!$M$9,2),B1190&lt;'112'!$K$9,$O1190='112'!$I$6)),"x",""))</f>
        <v/>
      </c>
      <c r="W1190" s="75" t="str">
        <f>IF(AND('341-CT'!$H$9=H1190,OR(LEFT(N1190,3)=$W$7,LEFT(O1190,3)=$W$7)),"x","")</f>
        <v/>
      </c>
      <c r="X1190" s="75" t="str">
        <f>IF(OR(TH!N1190=TH!$X$7,O1190=TH!$X$7),"x","")</f>
        <v/>
      </c>
      <c r="Y1190" s="75" t="str">
        <f>IF(AND(OR(N1190="131",O1190="131"),H1190='131-CT'!$H$9),"x","")</f>
        <v/>
      </c>
      <c r="Z1190" s="75"/>
      <c r="AA1190" s="75" t="str">
        <f>IF(AND(MONTH(E1190)='IN-NX'!$J$5,'IN-NX'!$D$7=D1190),"x","")</f>
        <v/>
      </c>
      <c r="AB1190" s="75" t="str">
        <f>IF(AND(OR(LEFT(TH!N1190,2)="15",LEFT(TH!O1190,2)="15"),LEFT(TH!O1190,3)&lt;&gt;"111",'152-CT'!$J$8=TH!F1190),"x","")</f>
        <v/>
      </c>
      <c r="AC1190" s="75" t="str">
        <f>IF(AND(OR(LEFT(TH!N1190,2)="15",LEFT(TH!O1190,2)="15"),TK!$E$7=TH!F1190),"x","")</f>
        <v/>
      </c>
      <c r="AD1190" s="75" t="str">
        <f>IF(AND(N1190="1521",MONTH(C1190)='BK-NL'!$M$11),"x","")</f>
        <v/>
      </c>
    </row>
    <row r="1191" spans="1:32" s="1053" customFormat="1" ht="16.5" customHeight="1">
      <c r="A1191" s="309" t="str">
        <f>IF(B1191&lt;&gt;"",IF(AND(B1191='IN-TC'!$S$4,OR(TH!N1191="1111",TH!O1191="1111")),TH!D1191,""),"")</f>
        <v/>
      </c>
      <c r="B1191" s="1241">
        <f t="shared" si="260"/>
        <v>4</v>
      </c>
      <c r="C1191" s="292">
        <v>42828</v>
      </c>
      <c r="D1191" s="292" t="s">
        <v>847</v>
      </c>
      <c r="E1191" s="292">
        <f t="shared" si="261"/>
        <v>42828</v>
      </c>
      <c r="F1191" s="67" t="s">
        <v>1143</v>
      </c>
      <c r="G1191" s="925" t="s">
        <v>1345</v>
      </c>
      <c r="H1191" s="294" t="s">
        <v>797</v>
      </c>
      <c r="I1191" s="373"/>
      <c r="J1191" s="379"/>
      <c r="K1191" s="373"/>
      <c r="L1191" s="379"/>
      <c r="M1191" s="927">
        <v>1725500</v>
      </c>
      <c r="N1191" s="295" t="s">
        <v>9</v>
      </c>
      <c r="O1191" s="295" t="s">
        <v>8</v>
      </c>
      <c r="P1191" s="75" t="str">
        <f>IF(AND('331-CT'!$E$7=TH!H1191,OR(N1191="331",O1191="331")),"x","")</f>
        <v/>
      </c>
      <c r="Q1191" s="75" t="str">
        <f>IF(AND(B1191='111'!$L$11,OR($N1191=$Q$7,$O1191=$Q$7)),"x","")</f>
        <v/>
      </c>
      <c r="R1191" s="75" t="str">
        <f>IF(AND($N1191=$Q$7,$B1191&lt;'111'!$L$11),"x","")</f>
        <v/>
      </c>
      <c r="S1191" s="75" t="str">
        <f>IF(AND($O1191=$Q$7,$B1191&lt;'111'!$L$11),"x","")</f>
        <v/>
      </c>
      <c r="T1191" s="75" t="str">
        <f>IF(ISERROR(FIND('112'!$M$9,G1191,1)),"",IF((AND(FIND('112'!$M$9,G1191,1)&gt;=1,B1191='112'!$K$9,OR($N1191='112'!$I$6,$O1191='112'!$I$6))),"x",""))</f>
        <v/>
      </c>
      <c r="U1191" s="75" t="str">
        <f>IF(ISERROR(FIND('112'!$M$9,G1191,1)),"",IF((AND(LEFT(G1191,2)=LEFT('112'!$M$9,2),B1191&lt;'112'!$K$9,$N1191='112'!$I$6)),"x",""))</f>
        <v/>
      </c>
      <c r="V1191" s="75" t="str">
        <f>IF(ISERROR(FIND('112'!$M$9,G1191,1)),"",IF((AND(RIGHT(G1191,2)=RIGHT('112'!$M$9,2),B1191&lt;'112'!$K$9,$O1191='112'!$I$6)),"x",""))</f>
        <v/>
      </c>
      <c r="W1191" s="75" t="str">
        <f>IF(AND('341-CT'!$H$9=H1191,OR(LEFT(N1191,3)=$W$7,LEFT(O1191,3)=$W$7)),"x","")</f>
        <v/>
      </c>
      <c r="X1191" s="75" t="str">
        <f>IF(OR(TH!N1191=TH!$X$7,O1191=TH!$X$7),"x","")</f>
        <v/>
      </c>
      <c r="Y1191" s="75" t="str">
        <f>IF(AND(OR(N1191="131",O1191="131"),H1191='131-CT'!$H$9),"x","")</f>
        <v/>
      </c>
      <c r="Z1191" s="75"/>
      <c r="AA1191" s="75" t="str">
        <f>IF(AND(MONTH(E1191)='IN-NX'!$J$5,'IN-NX'!$D$7=D1191),"x","")</f>
        <v/>
      </c>
      <c r="AB1191" s="75" t="str">
        <f>IF(AND(OR(LEFT(TH!N1191,2)="15",LEFT(TH!O1191,2)="15"),LEFT(TH!O1191,3)&lt;&gt;"111",'152-CT'!$J$8=TH!F1191),"x","")</f>
        <v/>
      </c>
      <c r="AC1191" s="75" t="str">
        <f>IF(AND(OR(LEFT(TH!N1191,2)="15",LEFT(TH!O1191,2)="15"),TK!$E$7=TH!F1191),"x","")</f>
        <v/>
      </c>
      <c r="AD1191" s="75" t="str">
        <f>IF(AND(N1191="1521",MONTH(C1191)='BK-NL'!$M$11),"x","")</f>
        <v/>
      </c>
    </row>
    <row r="1192" spans="1:32" s="1053" customFormat="1" ht="16.5" customHeight="1">
      <c r="A1192" s="309" t="str">
        <f>IF(B1192&lt;&gt;"",IF(AND(B1192='IN-TC'!$S$4,OR(TH!N1192="1111",TH!O1192="1111")),TH!D1192,""),"")</f>
        <v/>
      </c>
      <c r="B1192" s="1241">
        <f t="shared" si="260"/>
        <v>4</v>
      </c>
      <c r="C1192" s="292">
        <v>42829</v>
      </c>
      <c r="D1192" s="292" t="s">
        <v>867</v>
      </c>
      <c r="E1192" s="292">
        <f t="shared" si="261"/>
        <v>42829</v>
      </c>
      <c r="F1192" s="67" t="s">
        <v>795</v>
      </c>
      <c r="G1192" s="925" t="s">
        <v>1683</v>
      </c>
      <c r="H1192" s="294" t="s">
        <v>1684</v>
      </c>
      <c r="I1192" s="373">
        <v>2030</v>
      </c>
      <c r="J1192" s="379">
        <v>8800</v>
      </c>
      <c r="K1192" s="373"/>
      <c r="L1192" s="379"/>
      <c r="M1192" s="927">
        <f>I1192*J1192</f>
        <v>17864000</v>
      </c>
      <c r="N1192" s="295" t="s">
        <v>266</v>
      </c>
      <c r="O1192" s="295" t="s">
        <v>8</v>
      </c>
      <c r="P1192" s="75" t="str">
        <f>IF(AND('331-CT'!$E$7=TH!H1192,OR(N1192="331",O1192="331")),"x","")</f>
        <v/>
      </c>
      <c r="Q1192" s="75" t="str">
        <f>IF(AND(B1192='111'!$L$11,OR($N1192=$Q$7,$O1192=$Q$7)),"x","")</f>
        <v/>
      </c>
      <c r="R1192" s="75" t="str">
        <f>IF(AND($N1192=$Q$7,$B1192&lt;'111'!$L$11),"x","")</f>
        <v/>
      </c>
      <c r="S1192" s="75" t="str">
        <f>IF(AND($O1192=$Q$7,$B1192&lt;'111'!$L$11),"x","")</f>
        <v/>
      </c>
      <c r="T1192" s="75" t="str">
        <f>IF(ISERROR(FIND('112'!$M$9,G1192,1)),"",IF((AND(FIND('112'!$M$9,G1192,1)&gt;=1,B1192='112'!$K$9,OR($N1192='112'!$I$6,$O1192='112'!$I$6))),"x",""))</f>
        <v/>
      </c>
      <c r="U1192" s="75" t="str">
        <f>IF(ISERROR(FIND('112'!$M$9,G1192,1)),"",IF((AND(LEFT(G1192,2)=LEFT('112'!$M$9,2),B1192&lt;'112'!$K$9,$N1192='112'!$I$6)),"x",""))</f>
        <v/>
      </c>
      <c r="V1192" s="75" t="str">
        <f>IF(ISERROR(FIND('112'!$M$9,G1192,1)),"",IF((AND(RIGHT(G1192,2)=RIGHT('112'!$M$9,2),B1192&lt;'112'!$K$9,$O1192='112'!$I$6)),"x",""))</f>
        <v/>
      </c>
      <c r="W1192" s="75" t="str">
        <f>IF(AND('341-CT'!$H$9=H1192,OR(LEFT(N1192,3)=$W$7,LEFT(O1192,3)=$W$7)),"x","")</f>
        <v/>
      </c>
      <c r="X1192" s="75" t="str">
        <f>IF(OR(TH!N1192=TH!$X$7,O1192=TH!$X$7),"x","")</f>
        <v/>
      </c>
      <c r="Y1192" s="75" t="str">
        <f>IF(AND(OR(N1192="131",O1192="131"),H1192='131-CT'!$H$9),"x","")</f>
        <v/>
      </c>
      <c r="Z1192" s="75"/>
      <c r="AA1192" s="75" t="str">
        <f>IF(AND(MONTH(E1192)='IN-NX'!$J$5,'IN-NX'!$D$7=D1192),"x","")</f>
        <v/>
      </c>
      <c r="AB1192" s="75" t="str">
        <f>IF(AND(OR(LEFT(TH!N1192,2)="15",LEFT(TH!O1192,2)="15"),LEFT(TH!O1192,3)&lt;&gt;"111",'152-CT'!$J$8=TH!F1192),"x","")</f>
        <v/>
      </c>
      <c r="AC1192" s="75" t="str">
        <f>IF(AND(OR(LEFT(TH!N1192,2)="15",LEFT(TH!O1192,2)="15"),TK!$E$7=TH!F1192),"x","")</f>
        <v/>
      </c>
      <c r="AD1192" s="75" t="str">
        <f>IF(AND(N1192="1521",MONTH(C1192)='BK-NL'!$M$11),"x","")</f>
        <v/>
      </c>
    </row>
    <row r="1193" spans="1:32" s="1053" customFormat="1" ht="16.5" customHeight="1">
      <c r="A1193" s="309" t="str">
        <f>IF(B1193&lt;&gt;"",IF(AND(B1193='IN-TC'!$S$4,OR(TH!N1193="1111",TH!O1193="1111")),TH!D1193,""),"")</f>
        <v/>
      </c>
      <c r="B1193" s="1241">
        <f t="shared" si="260"/>
        <v>4</v>
      </c>
      <c r="C1193" s="292">
        <v>42829</v>
      </c>
      <c r="D1193" s="292" t="s">
        <v>867</v>
      </c>
      <c r="E1193" s="292">
        <f t="shared" si="261"/>
        <v>42829</v>
      </c>
      <c r="F1193" s="67" t="s">
        <v>1143</v>
      </c>
      <c r="G1193" s="925" t="s">
        <v>1683</v>
      </c>
      <c r="H1193" s="294" t="s">
        <v>1684</v>
      </c>
      <c r="I1193" s="373"/>
      <c r="J1193" s="379"/>
      <c r="K1193" s="373"/>
      <c r="L1193" s="379"/>
      <c r="M1193" s="927">
        <v>1786400</v>
      </c>
      <c r="N1193" s="295" t="s">
        <v>9</v>
      </c>
      <c r="O1193" s="295" t="s">
        <v>8</v>
      </c>
      <c r="P1193" s="75" t="str">
        <f>IF(AND('331-CT'!$E$7=TH!H1193,OR(N1193="331",O1193="331")),"x","")</f>
        <v/>
      </c>
      <c r="Q1193" s="75" t="str">
        <f>IF(AND(B1193='111'!$L$11,OR($N1193=$Q$7,$O1193=$Q$7)),"x","")</f>
        <v/>
      </c>
      <c r="R1193" s="75" t="str">
        <f>IF(AND($N1193=$Q$7,$B1193&lt;'111'!$L$11),"x","")</f>
        <v/>
      </c>
      <c r="S1193" s="75" t="str">
        <f>IF(AND($O1193=$Q$7,$B1193&lt;'111'!$L$11),"x","")</f>
        <v/>
      </c>
      <c r="T1193" s="75" t="str">
        <f>IF(ISERROR(FIND('112'!$M$9,G1193,1)),"",IF((AND(FIND('112'!$M$9,G1193,1)&gt;=1,B1193='112'!$K$9,OR($N1193='112'!$I$6,$O1193='112'!$I$6))),"x",""))</f>
        <v/>
      </c>
      <c r="U1193" s="75" t="str">
        <f>IF(ISERROR(FIND('112'!$M$9,G1193,1)),"",IF((AND(LEFT(G1193,2)=LEFT('112'!$M$9,2),B1193&lt;'112'!$K$9,$N1193='112'!$I$6)),"x",""))</f>
        <v/>
      </c>
      <c r="V1193" s="75" t="str">
        <f>IF(ISERROR(FIND('112'!$M$9,G1193,1)),"",IF((AND(RIGHT(G1193,2)=RIGHT('112'!$M$9,2),B1193&lt;'112'!$K$9,$O1193='112'!$I$6)),"x",""))</f>
        <v/>
      </c>
      <c r="W1193" s="75" t="str">
        <f>IF(AND('341-CT'!$H$9=H1193,OR(LEFT(N1193,3)=$W$7,LEFT(O1193,3)=$W$7)),"x","")</f>
        <v/>
      </c>
      <c r="X1193" s="75" t="str">
        <f>IF(OR(TH!N1193=TH!$X$7,O1193=TH!$X$7),"x","")</f>
        <v/>
      </c>
      <c r="Y1193" s="75" t="str">
        <f>IF(AND(OR(N1193="131",O1193="131"),H1193='131-CT'!$H$9),"x","")</f>
        <v/>
      </c>
      <c r="Z1193" s="75"/>
      <c r="AA1193" s="75" t="str">
        <f>IF(AND(MONTH(E1193)='IN-NX'!$J$5,'IN-NX'!$D$7=D1193),"x","")</f>
        <v/>
      </c>
      <c r="AB1193" s="75" t="str">
        <f>IF(AND(OR(LEFT(TH!N1193,2)="15",LEFT(TH!O1193,2)="15"),LEFT(TH!O1193,3)&lt;&gt;"111",'152-CT'!$J$8=TH!F1193),"x","")</f>
        <v/>
      </c>
      <c r="AC1193" s="75" t="str">
        <f>IF(AND(OR(LEFT(TH!N1193,2)="15",LEFT(TH!O1193,2)="15"),TK!$E$7=TH!F1193),"x","")</f>
        <v/>
      </c>
      <c r="AD1193" s="75" t="str">
        <f>IF(AND(N1193="1521",MONTH(C1193)='BK-NL'!$M$11),"x","")</f>
        <v/>
      </c>
    </row>
    <row r="1194" spans="1:32" s="1053" customFormat="1" ht="16.5" customHeight="1">
      <c r="A1194" s="309" t="str">
        <f>IF(B1194&lt;&gt;"",IF(AND(B1194='IN-TC'!$S$4,OR(TH!N1194="1111",TH!O1194="1111")),TH!D1194,""),"")</f>
        <v/>
      </c>
      <c r="B1194" s="1241">
        <f t="shared" si="260"/>
        <v>4</v>
      </c>
      <c r="C1194" s="292">
        <v>42830</v>
      </c>
      <c r="D1194" s="292" t="s">
        <v>1352</v>
      </c>
      <c r="E1194" s="292">
        <f t="shared" si="261"/>
        <v>42830</v>
      </c>
      <c r="F1194" s="67" t="s">
        <v>327</v>
      </c>
      <c r="G1194" s="925" t="s">
        <v>2137</v>
      </c>
      <c r="H1194" s="294" t="s">
        <v>803</v>
      </c>
      <c r="I1194" s="373">
        <v>500</v>
      </c>
      <c r="J1194" s="379">
        <v>32200</v>
      </c>
      <c r="K1194" s="373"/>
      <c r="L1194" s="379"/>
      <c r="M1194" s="927">
        <f>I1194*J1194</f>
        <v>16100000</v>
      </c>
      <c r="N1194" s="295" t="s">
        <v>266</v>
      </c>
      <c r="O1194" s="295" t="s">
        <v>8</v>
      </c>
      <c r="P1194" s="75" t="str">
        <f>IF(AND('331-CT'!$E$7=TH!H1194,OR(N1194="331",O1194="331")),"x","")</f>
        <v/>
      </c>
      <c r="Q1194" s="75" t="str">
        <f>IF(AND(B1194='111'!$L$11,OR($N1194=$Q$7,$O1194=$Q$7)),"x","")</f>
        <v/>
      </c>
      <c r="R1194" s="75" t="str">
        <f>IF(AND($N1194=$Q$7,$B1194&lt;'111'!$L$11),"x","")</f>
        <v/>
      </c>
      <c r="S1194" s="75" t="str">
        <f>IF(AND($O1194=$Q$7,$B1194&lt;'111'!$L$11),"x","")</f>
        <v/>
      </c>
      <c r="T1194" s="75" t="str">
        <f>IF(ISERROR(FIND('112'!$M$9,G1194,1)),"",IF((AND(FIND('112'!$M$9,G1194,1)&gt;=1,B1194='112'!$K$9,OR($N1194='112'!$I$6,$O1194='112'!$I$6))),"x",""))</f>
        <v/>
      </c>
      <c r="U1194" s="75" t="str">
        <f>IF(ISERROR(FIND('112'!$M$9,G1194,1)),"",IF((AND(LEFT(G1194,2)=LEFT('112'!$M$9,2),B1194&lt;'112'!$K$9,$N1194='112'!$I$6)),"x",""))</f>
        <v/>
      </c>
      <c r="V1194" s="75" t="str">
        <f>IF(ISERROR(FIND('112'!$M$9,G1194,1)),"",IF((AND(RIGHT(G1194,2)=RIGHT('112'!$M$9,2),B1194&lt;'112'!$K$9,$O1194='112'!$I$6)),"x",""))</f>
        <v/>
      </c>
      <c r="W1194" s="75" t="str">
        <f>IF(AND('341-CT'!$H$9=H1194,OR(LEFT(N1194,3)=$W$7,LEFT(O1194,3)=$W$7)),"x","")</f>
        <v/>
      </c>
      <c r="X1194" s="75" t="str">
        <f>IF(OR(TH!N1194=TH!$X$7,O1194=TH!$X$7),"x","")</f>
        <v/>
      </c>
      <c r="Y1194" s="75" t="str">
        <f>IF(AND(OR(N1194="131",O1194="131"),H1194='131-CT'!$H$9),"x","")</f>
        <v/>
      </c>
      <c r="Z1194" s="75"/>
      <c r="AA1194" s="75" t="str">
        <f>IF(AND(MONTH(E1194)='IN-NX'!$J$5,'IN-NX'!$D$7=D1194),"x","")</f>
        <v/>
      </c>
      <c r="AB1194" s="75" t="str">
        <f>IF(AND(OR(LEFT(TH!N1194,2)="15",LEFT(TH!O1194,2)="15"),LEFT(TH!O1194,3)&lt;&gt;"111",'152-CT'!$J$8=TH!F1194),"x","")</f>
        <v/>
      </c>
      <c r="AC1194" s="75" t="str">
        <f>IF(AND(OR(LEFT(TH!N1194,2)="15",LEFT(TH!O1194,2)="15"),TK!$E$7=TH!F1194),"x","")</f>
        <v/>
      </c>
      <c r="AD1194" s="75" t="str">
        <f>IF(AND(N1194="1521",MONTH(C1194)='BK-NL'!$M$11),"x","")</f>
        <v/>
      </c>
      <c r="AE1194" s="1053">
        <v>9</v>
      </c>
    </row>
    <row r="1195" spans="1:32" s="1053" customFormat="1" ht="16.5" customHeight="1">
      <c r="A1195" s="309" t="str">
        <f>IF(B1195&lt;&gt;"",IF(AND(B1195='IN-TC'!$S$4,OR(TH!N1195="1111",TH!O1195="1111")),TH!D1195,""),"")</f>
        <v/>
      </c>
      <c r="B1195" s="1241">
        <f t="shared" si="260"/>
        <v>4</v>
      </c>
      <c r="C1195" s="292">
        <v>42830</v>
      </c>
      <c r="D1195" s="292" t="s">
        <v>1352</v>
      </c>
      <c r="E1195" s="292">
        <f t="shared" si="261"/>
        <v>42830</v>
      </c>
      <c r="F1195" s="67" t="s">
        <v>2136</v>
      </c>
      <c r="G1195" s="925" t="s">
        <v>2137</v>
      </c>
      <c r="H1195" s="294" t="s">
        <v>803</v>
      </c>
      <c r="I1195" s="373"/>
      <c r="J1195" s="379"/>
      <c r="K1195" s="373"/>
      <c r="L1195" s="379"/>
      <c r="M1195" s="927">
        <v>1610000</v>
      </c>
      <c r="N1195" s="295" t="s">
        <v>9</v>
      </c>
      <c r="O1195" s="295" t="s">
        <v>8</v>
      </c>
      <c r="P1195" s="75" t="str">
        <f>IF(AND('331-CT'!$E$7=TH!H1195,OR(N1195="331",O1195="331")),"x","")</f>
        <v/>
      </c>
      <c r="Q1195" s="75" t="str">
        <f>IF(AND(B1195='111'!$L$11,OR($N1195=$Q$7,$O1195=$Q$7)),"x","")</f>
        <v/>
      </c>
      <c r="R1195" s="75" t="str">
        <f>IF(AND($N1195=$Q$7,$B1195&lt;'111'!$L$11),"x","")</f>
        <v/>
      </c>
      <c r="S1195" s="75" t="str">
        <f>IF(AND($O1195=$Q$7,$B1195&lt;'111'!$L$11),"x","")</f>
        <v/>
      </c>
      <c r="T1195" s="75" t="str">
        <f>IF(ISERROR(FIND('112'!$M$9,G1195,1)),"",IF((AND(FIND('112'!$M$9,G1195,1)&gt;=1,B1195='112'!$K$9,OR($N1195='112'!$I$6,$O1195='112'!$I$6))),"x",""))</f>
        <v/>
      </c>
      <c r="U1195" s="75" t="str">
        <f>IF(ISERROR(FIND('112'!$M$9,G1195,1)),"",IF((AND(LEFT(G1195,2)=LEFT('112'!$M$9,2),B1195&lt;'112'!$K$9,$N1195='112'!$I$6)),"x",""))</f>
        <v/>
      </c>
      <c r="V1195" s="75" t="str">
        <f>IF(ISERROR(FIND('112'!$M$9,G1195,1)),"",IF((AND(RIGHT(G1195,2)=RIGHT('112'!$M$9,2),B1195&lt;'112'!$K$9,$O1195='112'!$I$6)),"x",""))</f>
        <v/>
      </c>
      <c r="W1195" s="75" t="str">
        <f>IF(AND('341-CT'!$H$9=H1195,OR(LEFT(N1195,3)=$W$7,LEFT(O1195,3)=$W$7)),"x","")</f>
        <v/>
      </c>
      <c r="X1195" s="75" t="str">
        <f>IF(OR(TH!N1195=TH!$X$7,O1195=TH!$X$7),"x","")</f>
        <v/>
      </c>
      <c r="Y1195" s="75" t="str">
        <f>IF(AND(OR(N1195="131",O1195="131"),H1195='131-CT'!$H$9),"x","")</f>
        <v/>
      </c>
      <c r="Z1195" s="75"/>
      <c r="AA1195" s="75" t="str">
        <f>IF(AND(MONTH(E1195)='IN-NX'!$J$5,'IN-NX'!$D$7=D1195),"x","")</f>
        <v/>
      </c>
      <c r="AB1195" s="75" t="str">
        <f>IF(AND(OR(LEFT(TH!N1195,2)="15",LEFT(TH!O1195,2)="15"),LEFT(TH!O1195,3)&lt;&gt;"111",'152-CT'!$J$8=TH!F1195),"x","")</f>
        <v/>
      </c>
      <c r="AC1195" s="75" t="str">
        <f>IF(AND(OR(LEFT(TH!N1195,2)="15",LEFT(TH!O1195,2)="15"),TK!$E$7=TH!F1195),"x","")</f>
        <v/>
      </c>
      <c r="AD1195" s="75" t="str">
        <f>IF(AND(N1195="1521",MONTH(C1195)='BK-NL'!$M$11),"x","")</f>
        <v/>
      </c>
      <c r="AE1195" s="1053">
        <v>9</v>
      </c>
    </row>
    <row r="1196" spans="1:32" s="1053" customFormat="1" ht="16.5" customHeight="1">
      <c r="A1196" s="309" t="str">
        <f>IF(B1196&lt;&gt;"",IF(AND(B1196='IN-TC'!$S$4,OR(TH!N1196="1111",TH!O1196="1111")),TH!D1196,""),"")</f>
        <v/>
      </c>
      <c r="B1196" s="1241">
        <f t="shared" si="260"/>
        <v>4</v>
      </c>
      <c r="C1196" s="292">
        <v>42835</v>
      </c>
      <c r="D1196" s="292" t="s">
        <v>1353</v>
      </c>
      <c r="E1196" s="292">
        <f t="shared" si="261"/>
        <v>42835</v>
      </c>
      <c r="F1196" s="432" t="s">
        <v>564</v>
      </c>
      <c r="G1196" s="925" t="s">
        <v>1252</v>
      </c>
      <c r="H1196" s="294" t="s">
        <v>740</v>
      </c>
      <c r="I1196" s="373">
        <v>2250</v>
      </c>
      <c r="J1196" s="926">
        <v>14000</v>
      </c>
      <c r="K1196" s="373"/>
      <c r="L1196" s="379"/>
      <c r="M1196" s="927">
        <f>I1196*J1196</f>
        <v>31500000</v>
      </c>
      <c r="N1196" s="295" t="s">
        <v>266</v>
      </c>
      <c r="O1196" s="295" t="s">
        <v>8</v>
      </c>
      <c r="P1196" s="75" t="str">
        <f>IF(AND('331-CT'!$E$7=TH!H1196,OR(N1196="331",O1196="331")),"x","")</f>
        <v/>
      </c>
      <c r="Q1196" s="75" t="str">
        <f>IF(AND(B1196='111'!$L$11,OR($N1196=$Q$7,$O1196=$Q$7)),"x","")</f>
        <v/>
      </c>
      <c r="R1196" s="75" t="str">
        <f>IF(AND($N1196=$Q$7,$B1196&lt;'111'!$L$11),"x","")</f>
        <v/>
      </c>
      <c r="S1196" s="75" t="str">
        <f>IF(AND($O1196=$Q$7,$B1196&lt;'111'!$L$11),"x","")</f>
        <v/>
      </c>
      <c r="T1196" s="75" t="str">
        <f>IF(ISERROR(FIND('112'!$M$9,G1196,1)),"",IF((AND(FIND('112'!$M$9,G1196,1)&gt;=1,B1196='112'!$K$9,OR($N1196='112'!$I$6,$O1196='112'!$I$6))),"x",""))</f>
        <v/>
      </c>
      <c r="U1196" s="75" t="str">
        <f>IF(ISERROR(FIND('112'!$M$9,G1196,1)),"",IF((AND(LEFT(G1196,2)=LEFT('112'!$M$9,2),B1196&lt;'112'!$K$9,$N1196='112'!$I$6)),"x",""))</f>
        <v/>
      </c>
      <c r="V1196" s="75" t="str">
        <f>IF(ISERROR(FIND('112'!$M$9,G1196,1)),"",IF((AND(RIGHT(G1196,2)=RIGHT('112'!$M$9,2),B1196&lt;'112'!$K$9,$O1196='112'!$I$6)),"x",""))</f>
        <v/>
      </c>
      <c r="W1196" s="75" t="str">
        <f>IF(AND('341-CT'!$H$9=H1196,OR(LEFT(N1196,3)=$W$7,LEFT(O1196,3)=$W$7)),"x","")</f>
        <v/>
      </c>
      <c r="X1196" s="75" t="str">
        <f>IF(OR(TH!N1196=TH!$X$7,O1196=TH!$X$7),"x","")</f>
        <v/>
      </c>
      <c r="Y1196" s="75" t="str">
        <f>IF(AND(OR(N1196="131",O1196="131"),H1196='131-CT'!$H$9),"x","")</f>
        <v/>
      </c>
      <c r="Z1196" s="75"/>
      <c r="AA1196" s="75" t="str">
        <f>IF(AND(MONTH(E1196)='IN-NX'!$J$5,'IN-NX'!$D$7=D1196),"x","")</f>
        <v/>
      </c>
      <c r="AB1196" s="75" t="str">
        <f>IF(AND(OR(LEFT(TH!N1196,2)="15",LEFT(TH!O1196,2)="15"),LEFT(TH!O1196,3)&lt;&gt;"111",'152-CT'!$J$8=TH!F1196),"x","")</f>
        <v/>
      </c>
      <c r="AC1196" s="75" t="str">
        <f>IF(AND(OR(LEFT(TH!N1196,2)="15",LEFT(TH!O1196,2)="15"),TK!$E$7=TH!F1196),"x","")</f>
        <v/>
      </c>
      <c r="AD1196" s="75" t="str">
        <f>IF(AND(N1196="1521",MONTH(C1196)='BK-NL'!$M$11),"x","")</f>
        <v/>
      </c>
    </row>
    <row r="1197" spans="1:32" s="1053" customFormat="1" ht="16.5" customHeight="1">
      <c r="A1197" s="309" t="str">
        <f>IF(B1197&lt;&gt;"",IF(AND(B1197='IN-TC'!$S$4,OR(TH!N1197="1111",TH!O1197="1111")),TH!D1197,""),"")</f>
        <v/>
      </c>
      <c r="B1197" s="1241">
        <f t="shared" si="260"/>
        <v>4</v>
      </c>
      <c r="C1197" s="292">
        <v>42835</v>
      </c>
      <c r="D1197" s="292" t="s">
        <v>1353</v>
      </c>
      <c r="E1197" s="292">
        <f t="shared" si="261"/>
        <v>42835</v>
      </c>
      <c r="F1197" s="432" t="s">
        <v>848</v>
      </c>
      <c r="G1197" s="925" t="s">
        <v>1252</v>
      </c>
      <c r="H1197" s="294" t="s">
        <v>740</v>
      </c>
      <c r="I1197" s="373"/>
      <c r="J1197" s="926"/>
      <c r="K1197" s="373"/>
      <c r="L1197" s="379"/>
      <c r="M1197" s="927">
        <v>3150000</v>
      </c>
      <c r="N1197" s="295" t="s">
        <v>9</v>
      </c>
      <c r="O1197" s="295" t="s">
        <v>8</v>
      </c>
      <c r="P1197" s="75" t="str">
        <f>IF(AND('331-CT'!$E$7=TH!H1197,OR(N1197="331",O1197="331")),"x","")</f>
        <v/>
      </c>
      <c r="Q1197" s="75" t="str">
        <f>IF(AND(B1197='111'!$L$11,OR($N1197=$Q$7,$O1197=$Q$7)),"x","")</f>
        <v/>
      </c>
      <c r="R1197" s="75" t="str">
        <f>IF(AND($N1197=$Q$7,$B1197&lt;'111'!$L$11),"x","")</f>
        <v/>
      </c>
      <c r="S1197" s="75" t="str">
        <f>IF(AND($O1197=$Q$7,$B1197&lt;'111'!$L$11),"x","")</f>
        <v/>
      </c>
      <c r="T1197" s="75" t="str">
        <f>IF(ISERROR(FIND('112'!$M$9,G1197,1)),"",IF((AND(FIND('112'!$M$9,G1197,1)&gt;=1,B1197='112'!$K$9,OR($N1197='112'!$I$6,$O1197='112'!$I$6))),"x",""))</f>
        <v/>
      </c>
      <c r="U1197" s="75" t="str">
        <f>IF(ISERROR(FIND('112'!$M$9,G1197,1)),"",IF((AND(LEFT(G1197,2)=LEFT('112'!$M$9,2),B1197&lt;'112'!$K$9,$N1197='112'!$I$6)),"x",""))</f>
        <v/>
      </c>
      <c r="V1197" s="75" t="str">
        <f>IF(ISERROR(FIND('112'!$M$9,G1197,1)),"",IF((AND(RIGHT(G1197,2)=RIGHT('112'!$M$9,2),B1197&lt;'112'!$K$9,$O1197='112'!$I$6)),"x",""))</f>
        <v/>
      </c>
      <c r="W1197" s="75" t="str">
        <f>IF(AND('341-CT'!$H$9=H1197,OR(LEFT(N1197,3)=$W$7,LEFT(O1197,3)=$W$7)),"x","")</f>
        <v/>
      </c>
      <c r="X1197" s="75" t="str">
        <f>IF(OR(TH!N1197=TH!$X$7,O1197=TH!$X$7),"x","")</f>
        <v/>
      </c>
      <c r="Y1197" s="75" t="str">
        <f>IF(AND(OR(N1197="131",O1197="131"),H1197='131-CT'!$H$9),"x","")</f>
        <v/>
      </c>
      <c r="Z1197" s="75"/>
      <c r="AA1197" s="75" t="str">
        <f>IF(AND(MONTH(E1197)='IN-NX'!$J$5,'IN-NX'!$D$7=D1197),"x","")</f>
        <v/>
      </c>
      <c r="AB1197" s="75" t="str">
        <f>IF(AND(OR(LEFT(TH!N1197,2)="15",LEFT(TH!O1197,2)="15"),LEFT(TH!O1197,3)&lt;&gt;"111",'152-CT'!$J$8=TH!F1197),"x","")</f>
        <v/>
      </c>
      <c r="AC1197" s="75" t="str">
        <f>IF(AND(OR(LEFT(TH!N1197,2)="15",LEFT(TH!O1197,2)="15"),TK!$E$7=TH!F1197),"x","")</f>
        <v/>
      </c>
      <c r="AD1197" s="75" t="str">
        <f>IF(AND(N1197="1521",MONTH(C1197)='BK-NL'!$M$11),"x","")</f>
        <v/>
      </c>
    </row>
    <row r="1198" spans="1:32" s="1053" customFormat="1" ht="16.5" customHeight="1">
      <c r="A1198" s="309" t="str">
        <f>IF(B1198&lt;&gt;"",IF(AND(B1198='IN-TC'!$S$4,OR(TH!N1198="1111",TH!O1198="1111")),TH!D1198,""),"")</f>
        <v/>
      </c>
      <c r="B1198" s="1241">
        <f t="shared" si="260"/>
        <v>4</v>
      </c>
      <c r="C1198" s="292">
        <v>42840</v>
      </c>
      <c r="D1198" s="292" t="s">
        <v>1354</v>
      </c>
      <c r="E1198" s="292">
        <f t="shared" si="261"/>
        <v>42840</v>
      </c>
      <c r="F1198" s="67" t="s">
        <v>795</v>
      </c>
      <c r="G1198" s="925" t="s">
        <v>1346</v>
      </c>
      <c r="H1198" s="294" t="s">
        <v>796</v>
      </c>
      <c r="I1198" s="373">
        <v>2030</v>
      </c>
      <c r="J1198" s="379">
        <v>8500</v>
      </c>
      <c r="K1198" s="373"/>
      <c r="L1198" s="379"/>
      <c r="M1198" s="927">
        <f>I1198*J1198</f>
        <v>17255000</v>
      </c>
      <c r="N1198" s="295" t="s">
        <v>266</v>
      </c>
      <c r="O1198" s="295" t="s">
        <v>8</v>
      </c>
      <c r="P1198" s="75" t="str">
        <f>IF(AND('331-CT'!$E$7=TH!H1198,OR(N1198="331",O1198="331")),"x","")</f>
        <v/>
      </c>
      <c r="Q1198" s="75" t="str">
        <f>IF(AND(B1198='111'!$L$11,OR($N1198=$Q$7,$O1198=$Q$7)),"x","")</f>
        <v/>
      </c>
      <c r="R1198" s="75" t="str">
        <f>IF(AND($N1198=$Q$7,$B1198&lt;'111'!$L$11),"x","")</f>
        <v/>
      </c>
      <c r="S1198" s="75" t="str">
        <f>IF(AND($O1198=$Q$7,$B1198&lt;'111'!$L$11),"x","")</f>
        <v/>
      </c>
      <c r="T1198" s="75" t="str">
        <f>IF(ISERROR(FIND('112'!$M$9,G1198,1)),"",IF((AND(FIND('112'!$M$9,G1198,1)&gt;=1,B1198='112'!$K$9,OR($N1198='112'!$I$6,$O1198='112'!$I$6))),"x",""))</f>
        <v/>
      </c>
      <c r="U1198" s="75" t="str">
        <f>IF(ISERROR(FIND('112'!$M$9,G1198,1)),"",IF((AND(LEFT(G1198,2)=LEFT('112'!$M$9,2),B1198&lt;'112'!$K$9,$N1198='112'!$I$6)),"x",""))</f>
        <v/>
      </c>
      <c r="V1198" s="75" t="str">
        <f>IF(ISERROR(FIND('112'!$M$9,G1198,1)),"",IF((AND(RIGHT(G1198,2)=RIGHT('112'!$M$9,2),B1198&lt;'112'!$K$9,$O1198='112'!$I$6)),"x",""))</f>
        <v/>
      </c>
      <c r="W1198" s="75" t="str">
        <f>IF(AND('341-CT'!$H$9=H1198,OR(LEFT(N1198,3)=$W$7,LEFT(O1198,3)=$W$7)),"x","")</f>
        <v/>
      </c>
      <c r="X1198" s="75" t="str">
        <f>IF(OR(TH!N1198=TH!$X$7,O1198=TH!$X$7),"x","")</f>
        <v/>
      </c>
      <c r="Y1198" s="75" t="str">
        <f>IF(AND(OR(N1198="131",O1198="131"),H1198='131-CT'!$H$9),"x","")</f>
        <v/>
      </c>
      <c r="Z1198" s="75"/>
      <c r="AA1198" s="75" t="str">
        <f>IF(AND(MONTH(E1198)='IN-NX'!$J$5,'IN-NX'!$D$7=D1198),"x","")</f>
        <v/>
      </c>
      <c r="AB1198" s="75" t="str">
        <f>IF(AND(OR(LEFT(TH!N1198,2)="15",LEFT(TH!O1198,2)="15"),LEFT(TH!O1198,3)&lt;&gt;"111",'152-CT'!$J$8=TH!F1198),"x","")</f>
        <v/>
      </c>
      <c r="AC1198" s="75" t="str">
        <f>IF(AND(OR(LEFT(TH!N1198,2)="15",LEFT(TH!O1198,2)="15"),TK!$E$7=TH!F1198),"x","")</f>
        <v/>
      </c>
      <c r="AD1198" s="75" t="str">
        <f>IF(AND(N1198="1521",MONTH(C1198)='BK-NL'!$M$11),"x","")</f>
        <v/>
      </c>
    </row>
    <row r="1199" spans="1:32" s="1053" customFormat="1" ht="16.5" customHeight="1">
      <c r="A1199" s="309" t="str">
        <f>IF(B1199&lt;&gt;"",IF(AND(B1199='IN-TC'!$S$4,OR(TH!N1199="1111",TH!O1199="1111")),TH!D1199,""),"")</f>
        <v/>
      </c>
      <c r="B1199" s="1241">
        <f t="shared" si="260"/>
        <v>4</v>
      </c>
      <c r="C1199" s="292">
        <v>42840</v>
      </c>
      <c r="D1199" s="292" t="s">
        <v>1354</v>
      </c>
      <c r="E1199" s="292">
        <f t="shared" si="261"/>
        <v>42840</v>
      </c>
      <c r="F1199" s="67" t="s">
        <v>1143</v>
      </c>
      <c r="G1199" s="925" t="s">
        <v>1346</v>
      </c>
      <c r="H1199" s="294" t="s">
        <v>796</v>
      </c>
      <c r="I1199" s="373"/>
      <c r="J1199" s="379"/>
      <c r="K1199" s="373"/>
      <c r="L1199" s="379"/>
      <c r="M1199" s="927">
        <v>1725500</v>
      </c>
      <c r="N1199" s="295" t="s">
        <v>9</v>
      </c>
      <c r="O1199" s="295" t="s">
        <v>8</v>
      </c>
      <c r="P1199" s="75" t="str">
        <f>IF(AND('331-CT'!$E$7=TH!H1199,OR(N1199="331",O1199="331")),"x","")</f>
        <v/>
      </c>
      <c r="Q1199" s="75" t="str">
        <f>IF(AND(B1199='111'!$L$11,OR($N1199=$Q$7,$O1199=$Q$7)),"x","")</f>
        <v/>
      </c>
      <c r="R1199" s="75" t="str">
        <f>IF(AND($N1199=$Q$7,$B1199&lt;'111'!$L$11),"x","")</f>
        <v/>
      </c>
      <c r="S1199" s="75" t="str">
        <f>IF(AND($O1199=$Q$7,$B1199&lt;'111'!$L$11),"x","")</f>
        <v/>
      </c>
      <c r="T1199" s="75" t="str">
        <f>IF(ISERROR(FIND('112'!$M$9,G1199,1)),"",IF((AND(FIND('112'!$M$9,G1199,1)&gt;=1,B1199='112'!$K$9,OR($N1199='112'!$I$6,$O1199='112'!$I$6))),"x",""))</f>
        <v/>
      </c>
      <c r="U1199" s="75" t="str">
        <f>IF(ISERROR(FIND('112'!$M$9,G1199,1)),"",IF((AND(LEFT(G1199,2)=LEFT('112'!$M$9,2),B1199&lt;'112'!$K$9,$N1199='112'!$I$6)),"x",""))</f>
        <v/>
      </c>
      <c r="V1199" s="75" t="str">
        <f>IF(ISERROR(FIND('112'!$M$9,G1199,1)),"",IF((AND(RIGHT(G1199,2)=RIGHT('112'!$M$9,2),B1199&lt;'112'!$K$9,$O1199='112'!$I$6)),"x",""))</f>
        <v/>
      </c>
      <c r="W1199" s="75" t="str">
        <f>IF(AND('341-CT'!$H$9=H1199,OR(LEFT(N1199,3)=$W$7,LEFT(O1199,3)=$W$7)),"x","")</f>
        <v/>
      </c>
      <c r="X1199" s="75" t="str">
        <f>IF(OR(TH!N1199=TH!$X$7,O1199=TH!$X$7),"x","")</f>
        <v/>
      </c>
      <c r="Y1199" s="75" t="str">
        <f>IF(AND(OR(N1199="131",O1199="131"),H1199='131-CT'!$H$9),"x","")</f>
        <v/>
      </c>
      <c r="Z1199" s="75"/>
      <c r="AA1199" s="75" t="str">
        <f>IF(AND(MONTH(E1199)='IN-NX'!$J$5,'IN-NX'!$D$7=D1199),"x","")</f>
        <v/>
      </c>
      <c r="AB1199" s="75" t="str">
        <f>IF(AND(OR(LEFT(TH!N1199,2)="15",LEFT(TH!O1199,2)="15"),LEFT(TH!O1199,3)&lt;&gt;"111",'152-CT'!$J$8=TH!F1199),"x","")</f>
        <v/>
      </c>
      <c r="AC1199" s="75" t="str">
        <f>IF(AND(OR(LEFT(TH!N1199,2)="15",LEFT(TH!O1199,2)="15"),TK!$E$7=TH!F1199),"x","")</f>
        <v/>
      </c>
      <c r="AD1199" s="75" t="str">
        <f>IF(AND(N1199="1521",MONTH(C1199)='BK-NL'!$M$11),"x","")</f>
        <v/>
      </c>
    </row>
    <row r="1200" spans="1:32" s="1053" customFormat="1" ht="16.5" customHeight="1">
      <c r="A1200" s="309" t="str">
        <f>IF(B1200&lt;&gt;"",IF(AND(B1200='IN-TC'!$S$4,OR(TH!N1200="1111",TH!O1200="1111")),TH!D1200,""),"")</f>
        <v/>
      </c>
      <c r="B1200" s="1241">
        <f t="shared" si="260"/>
        <v>4</v>
      </c>
      <c r="C1200" s="292">
        <v>42841</v>
      </c>
      <c r="D1200" s="292" t="s">
        <v>1355</v>
      </c>
      <c r="E1200" s="292">
        <f t="shared" si="261"/>
        <v>42841</v>
      </c>
      <c r="F1200" s="67" t="s">
        <v>795</v>
      </c>
      <c r="G1200" s="925" t="s">
        <v>1347</v>
      </c>
      <c r="H1200" s="294" t="s">
        <v>796</v>
      </c>
      <c r="I1200" s="373">
        <v>2030</v>
      </c>
      <c r="J1200" s="379">
        <v>8500</v>
      </c>
      <c r="K1200" s="373"/>
      <c r="L1200" s="379"/>
      <c r="M1200" s="927">
        <f>I1200*J1200</f>
        <v>17255000</v>
      </c>
      <c r="N1200" s="295" t="s">
        <v>266</v>
      </c>
      <c r="O1200" s="295" t="s">
        <v>8</v>
      </c>
      <c r="P1200" s="75" t="str">
        <f>IF(AND('331-CT'!$E$7=TH!H1200,OR(N1200="331",O1200="331")),"x","")</f>
        <v/>
      </c>
      <c r="Q1200" s="75" t="str">
        <f>IF(AND(B1200='111'!$L$11,OR($N1200=$Q$7,$O1200=$Q$7)),"x","")</f>
        <v/>
      </c>
      <c r="R1200" s="75" t="str">
        <f>IF(AND($N1200=$Q$7,$B1200&lt;'111'!$L$11),"x","")</f>
        <v/>
      </c>
      <c r="S1200" s="75" t="str">
        <f>IF(AND($O1200=$Q$7,$B1200&lt;'111'!$L$11),"x","")</f>
        <v/>
      </c>
      <c r="T1200" s="75" t="str">
        <f>IF(ISERROR(FIND('112'!$M$9,G1200,1)),"",IF((AND(FIND('112'!$M$9,G1200,1)&gt;=1,B1200='112'!$K$9,OR($N1200='112'!$I$6,$O1200='112'!$I$6))),"x",""))</f>
        <v/>
      </c>
      <c r="U1200" s="75" t="str">
        <f>IF(ISERROR(FIND('112'!$M$9,G1200,1)),"",IF((AND(LEFT(G1200,2)=LEFT('112'!$M$9,2),B1200&lt;'112'!$K$9,$N1200='112'!$I$6)),"x",""))</f>
        <v/>
      </c>
      <c r="V1200" s="75" t="str">
        <f>IF(ISERROR(FIND('112'!$M$9,G1200,1)),"",IF((AND(RIGHT(G1200,2)=RIGHT('112'!$M$9,2),B1200&lt;'112'!$K$9,$O1200='112'!$I$6)),"x",""))</f>
        <v/>
      </c>
      <c r="W1200" s="75" t="str">
        <f>IF(AND('341-CT'!$H$9=H1200,OR(LEFT(N1200,3)=$W$7,LEFT(O1200,3)=$W$7)),"x","")</f>
        <v/>
      </c>
      <c r="X1200" s="75" t="str">
        <f>IF(OR(TH!N1200=TH!$X$7,O1200=TH!$X$7),"x","")</f>
        <v/>
      </c>
      <c r="Y1200" s="75" t="str">
        <f>IF(AND(OR(N1200="131",O1200="131"),H1200='131-CT'!$H$9),"x","")</f>
        <v/>
      </c>
      <c r="Z1200" s="75"/>
      <c r="AA1200" s="75" t="str">
        <f>IF(AND(MONTH(E1200)='IN-NX'!$J$5,'IN-NX'!$D$7=D1200),"x","")</f>
        <v/>
      </c>
      <c r="AB1200" s="75" t="str">
        <f>IF(AND(OR(LEFT(TH!N1200,2)="15",LEFT(TH!O1200,2)="15"),LEFT(TH!O1200,3)&lt;&gt;"111",'152-CT'!$J$8=TH!F1200),"x","")</f>
        <v/>
      </c>
      <c r="AC1200" s="75" t="str">
        <f>IF(AND(OR(LEFT(TH!N1200,2)="15",LEFT(TH!O1200,2)="15"),TK!$E$7=TH!F1200),"x","")</f>
        <v/>
      </c>
      <c r="AD1200" s="75" t="str">
        <f>IF(AND(N1200="1521",MONTH(C1200)='BK-NL'!$M$11),"x","")</f>
        <v/>
      </c>
    </row>
    <row r="1201" spans="1:30" s="1053" customFormat="1" ht="16.5" customHeight="1">
      <c r="A1201" s="309" t="str">
        <f>IF(B1201&lt;&gt;"",IF(AND(B1201='IN-TC'!$S$4,OR(TH!N1201="1111",TH!O1201="1111")),TH!D1201,""),"")</f>
        <v/>
      </c>
      <c r="B1201" s="1241">
        <f t="shared" si="260"/>
        <v>4</v>
      </c>
      <c r="C1201" s="292">
        <v>42841</v>
      </c>
      <c r="D1201" s="292" t="s">
        <v>1355</v>
      </c>
      <c r="E1201" s="292">
        <f t="shared" si="261"/>
        <v>42841</v>
      </c>
      <c r="F1201" s="67" t="s">
        <v>1143</v>
      </c>
      <c r="G1201" s="925" t="s">
        <v>1347</v>
      </c>
      <c r="H1201" s="294" t="s">
        <v>796</v>
      </c>
      <c r="I1201" s="373"/>
      <c r="J1201" s="379"/>
      <c r="K1201" s="373"/>
      <c r="L1201" s="379"/>
      <c r="M1201" s="927">
        <v>1725500</v>
      </c>
      <c r="N1201" s="295" t="s">
        <v>9</v>
      </c>
      <c r="O1201" s="295" t="s">
        <v>8</v>
      </c>
      <c r="P1201" s="75" t="str">
        <f>IF(AND('331-CT'!$E$7=TH!H1201,OR(N1201="331",O1201="331")),"x","")</f>
        <v/>
      </c>
      <c r="Q1201" s="75" t="str">
        <f>IF(AND(B1201='111'!$L$11,OR($N1201=$Q$7,$O1201=$Q$7)),"x","")</f>
        <v/>
      </c>
      <c r="R1201" s="75" t="str">
        <f>IF(AND($N1201=$Q$7,$B1201&lt;'111'!$L$11),"x","")</f>
        <v/>
      </c>
      <c r="S1201" s="75" t="str">
        <f>IF(AND($O1201=$Q$7,$B1201&lt;'111'!$L$11),"x","")</f>
        <v/>
      </c>
      <c r="T1201" s="75" t="str">
        <f>IF(ISERROR(FIND('112'!$M$9,G1201,1)),"",IF((AND(FIND('112'!$M$9,G1201,1)&gt;=1,B1201='112'!$K$9,OR($N1201='112'!$I$6,$O1201='112'!$I$6))),"x",""))</f>
        <v/>
      </c>
      <c r="U1201" s="75" t="str">
        <f>IF(ISERROR(FIND('112'!$M$9,G1201,1)),"",IF((AND(LEFT(G1201,2)=LEFT('112'!$M$9,2),B1201&lt;'112'!$K$9,$N1201='112'!$I$6)),"x",""))</f>
        <v/>
      </c>
      <c r="V1201" s="75" t="str">
        <f>IF(ISERROR(FIND('112'!$M$9,G1201,1)),"",IF((AND(RIGHT(G1201,2)=RIGHT('112'!$M$9,2),B1201&lt;'112'!$K$9,$O1201='112'!$I$6)),"x",""))</f>
        <v/>
      </c>
      <c r="W1201" s="75" t="str">
        <f>IF(AND('341-CT'!$H$9=H1201,OR(LEFT(N1201,3)=$W$7,LEFT(O1201,3)=$W$7)),"x","")</f>
        <v/>
      </c>
      <c r="X1201" s="75" t="str">
        <f>IF(OR(TH!N1201=TH!$X$7,O1201=TH!$X$7),"x","")</f>
        <v/>
      </c>
      <c r="Y1201" s="75" t="str">
        <f>IF(AND(OR(N1201="131",O1201="131"),H1201='131-CT'!$H$9),"x","")</f>
        <v/>
      </c>
      <c r="Z1201" s="75"/>
      <c r="AA1201" s="75" t="str">
        <f>IF(AND(MONTH(E1201)='IN-NX'!$J$5,'IN-NX'!$D$7=D1201),"x","")</f>
        <v/>
      </c>
      <c r="AB1201" s="75" t="str">
        <f>IF(AND(OR(LEFT(TH!N1201,2)="15",LEFT(TH!O1201,2)="15"),LEFT(TH!O1201,3)&lt;&gt;"111",'152-CT'!$J$8=TH!F1201),"x","")</f>
        <v/>
      </c>
      <c r="AC1201" s="75" t="str">
        <f>IF(AND(OR(LEFT(TH!N1201,2)="15",LEFT(TH!O1201,2)="15"),TK!$E$7=TH!F1201),"x","")</f>
        <v/>
      </c>
      <c r="AD1201" s="75" t="str">
        <f>IF(AND(N1201="1521",MONTH(C1201)='BK-NL'!$M$11),"x","")</f>
        <v/>
      </c>
    </row>
    <row r="1202" spans="1:30" s="1053" customFormat="1" ht="16.5" customHeight="1">
      <c r="A1202" s="309" t="str">
        <f>IF(B1202&lt;&gt;"",IF(AND(B1202='IN-TC'!$S$4,OR(TH!N1202="1111",TH!O1202="1111")),TH!D1202,""),"")</f>
        <v/>
      </c>
      <c r="B1202" s="1241">
        <f t="shared" si="260"/>
        <v>4</v>
      </c>
      <c r="C1202" s="59">
        <v>42846</v>
      </c>
      <c r="D1202" s="292" t="s">
        <v>1356</v>
      </c>
      <c r="E1202" s="59">
        <f t="shared" si="261"/>
        <v>42846</v>
      </c>
      <c r="F1202" s="62" t="s">
        <v>333</v>
      </c>
      <c r="G1202" s="62" t="s">
        <v>2191</v>
      </c>
      <c r="H1202" s="311" t="s">
        <v>776</v>
      </c>
      <c r="I1202" s="373">
        <v>3000</v>
      </c>
      <c r="J1202" s="379">
        <f>2.2*L1202</f>
        <v>49808.000000000007</v>
      </c>
      <c r="K1202" s="373">
        <v>6600</v>
      </c>
      <c r="L1202" s="379">
        <v>22640</v>
      </c>
      <c r="M1202" s="60">
        <f>K1202*L1202</f>
        <v>149424000</v>
      </c>
      <c r="N1202" s="61" t="s">
        <v>266</v>
      </c>
      <c r="O1202" s="295" t="s">
        <v>8</v>
      </c>
      <c r="P1202" s="75" t="str">
        <f>IF(AND('331-CT'!$E$7=TH!H1202,OR(N1202="331",O1202="331")),"x","")</f>
        <v/>
      </c>
      <c r="Q1202" s="75" t="str">
        <f>IF(AND(B1202='111'!$L$11,OR($N1202=$Q$7,$O1202=$Q$7)),"x","")</f>
        <v/>
      </c>
      <c r="R1202" s="75" t="str">
        <f>IF(AND($N1202=$Q$7,$B1202&lt;'111'!$L$11),"x","")</f>
        <v/>
      </c>
      <c r="S1202" s="75" t="str">
        <f>IF(AND($O1202=$Q$7,$B1202&lt;'111'!$L$11),"x","")</f>
        <v/>
      </c>
      <c r="T1202" s="75" t="str">
        <f>IF(ISERROR(FIND('112'!$M$9,G1202,1)),"",IF((AND(FIND('112'!$M$9,G1202,1)&gt;=1,B1202='112'!$K$9,OR($N1202='112'!$I$6,$O1202='112'!$I$6))),"x",""))</f>
        <v/>
      </c>
      <c r="U1202" s="75" t="str">
        <f>IF(ISERROR(FIND('112'!$M$9,G1202,1)),"",IF((AND(LEFT(G1202,2)=LEFT('112'!$M$9,2),B1202&lt;'112'!$K$9,$N1202='112'!$I$6)),"x",""))</f>
        <v/>
      </c>
      <c r="V1202" s="75" t="str">
        <f>IF(ISERROR(FIND('112'!$M$9,G1202,1)),"",IF((AND(RIGHT(G1202,2)=RIGHT('112'!$M$9,2),B1202&lt;'112'!$K$9,$O1202='112'!$I$6)),"x",""))</f>
        <v/>
      </c>
      <c r="W1202" s="75" t="str">
        <f>IF(AND('341-CT'!$H$9=H1202,OR(LEFT(N1202,3)=$W$7,LEFT(O1202,3)=$W$7)),"x","")</f>
        <v/>
      </c>
      <c r="X1202" s="75" t="str">
        <f>IF(OR(TH!N1202=TH!$X$7,O1202=TH!$X$7),"x","")</f>
        <v/>
      </c>
      <c r="Y1202" s="75" t="str">
        <f>IF(AND(OR(N1202="131",O1202="131"),H1202='131-CT'!$H$9),"x","")</f>
        <v/>
      </c>
      <c r="Z1202" s="75"/>
      <c r="AA1202" s="75" t="str">
        <f>IF(AND(MONTH(E1202)='IN-NX'!$J$5,'IN-NX'!$D$7=D1202),"x","")</f>
        <v/>
      </c>
      <c r="AB1202" s="75" t="str">
        <f>IF(AND(OR(LEFT(TH!N1202,2)="15",LEFT(TH!O1202,2)="15"),LEFT(TH!O1202,3)&lt;&gt;"111",'152-CT'!$J$8=TH!F1202),"x","")</f>
        <v/>
      </c>
      <c r="AC1202" s="75" t="str">
        <f>IF(AND(OR(LEFT(TH!N1202,2)="15",LEFT(TH!O1202,2)="15"),TK!$E$7=TH!F1202),"x","")</f>
        <v/>
      </c>
      <c r="AD1202" s="75" t="str">
        <f>IF(AND(N1202="1521",MONTH(C1202)='BK-NL'!$M$11),"x","")</f>
        <v/>
      </c>
    </row>
    <row r="1203" spans="1:30" s="1053" customFormat="1" ht="16.5" customHeight="1">
      <c r="A1203" s="309" t="str">
        <f>IF(B1203&lt;&gt;"",IF(AND(B1203='IN-TC'!$S$4,OR(TH!N1203="1111",TH!O1203="1111")),TH!D1203,""),"")</f>
        <v/>
      </c>
      <c r="B1203" s="1241">
        <f t="shared" si="260"/>
        <v>4</v>
      </c>
      <c r="C1203" s="59">
        <v>42847</v>
      </c>
      <c r="D1203" s="292" t="s">
        <v>1356</v>
      </c>
      <c r="E1203" s="59">
        <f t="shared" si="261"/>
        <v>42847</v>
      </c>
      <c r="F1203" s="62" t="s">
        <v>2190</v>
      </c>
      <c r="G1203" s="742" t="s">
        <v>1421</v>
      </c>
      <c r="H1203" s="311" t="s">
        <v>1422</v>
      </c>
      <c r="I1203" s="373"/>
      <c r="J1203" s="379"/>
      <c r="K1203" s="373"/>
      <c r="L1203" s="379"/>
      <c r="M1203" s="60">
        <v>14942400</v>
      </c>
      <c r="N1203" s="61" t="s">
        <v>9</v>
      </c>
      <c r="O1203" s="295" t="s">
        <v>748</v>
      </c>
      <c r="P1203" s="75" t="str">
        <f>IF(AND('331-CT'!$E$7=TH!H1203,OR(N1203="331",O1203="331")),"x","")</f>
        <v/>
      </c>
      <c r="Q1203" s="75" t="str">
        <f>IF(AND(B1203='111'!$L$11,OR($N1203=$Q$7,$O1203=$Q$7)),"x","")</f>
        <v/>
      </c>
      <c r="R1203" s="75" t="str">
        <f>IF(AND($N1203=$Q$7,$B1203&lt;'111'!$L$11),"x","")</f>
        <v/>
      </c>
      <c r="S1203" s="75" t="str">
        <f>IF(AND($O1203=$Q$7,$B1203&lt;'111'!$L$11),"x","")</f>
        <v/>
      </c>
      <c r="T1203" s="75" t="str">
        <f>IF(ISERROR(FIND('112'!$M$9,G1203,1)),"",IF((AND(FIND('112'!$M$9,G1203,1)&gt;=1,B1203='112'!$K$9,OR($N1203='112'!$I$6,$O1203='112'!$I$6))),"x",""))</f>
        <v/>
      </c>
      <c r="U1203" s="75" t="str">
        <f>IF(ISERROR(FIND('112'!$M$9,G1203,1)),"",IF((AND(LEFT(G1203,2)=LEFT('112'!$M$9,2),B1203&lt;'112'!$K$9,$N1203='112'!$I$6)),"x",""))</f>
        <v/>
      </c>
      <c r="V1203" s="75" t="str">
        <f>IF(ISERROR(FIND('112'!$M$9,G1203,1)),"",IF((AND(RIGHT(G1203,2)=RIGHT('112'!$M$9,2),B1203&lt;'112'!$K$9,$O1203='112'!$I$6)),"x",""))</f>
        <v/>
      </c>
      <c r="W1203" s="75" t="str">
        <f>IF(AND('341-CT'!$H$9=H1203,OR(LEFT(N1203,3)=$W$7,LEFT(O1203,3)=$W$7)),"x","")</f>
        <v/>
      </c>
      <c r="X1203" s="75" t="str">
        <f>IF(OR(TH!N1203=TH!$X$7,O1203=TH!$X$7),"x","")</f>
        <v/>
      </c>
      <c r="Y1203" s="75" t="str">
        <f>IF(AND(OR(N1203="131",O1203="131"),H1203='131-CT'!$H$9),"x","")</f>
        <v/>
      </c>
      <c r="Z1203" s="75"/>
      <c r="AA1203" s="75" t="str">
        <f>IF(AND(MONTH(E1203)='IN-NX'!$J$5,'IN-NX'!$D$7=D1203),"x","")</f>
        <v/>
      </c>
      <c r="AB1203" s="75" t="str">
        <f>IF(AND(OR(LEFT(TH!N1203,2)="15",LEFT(TH!O1203,2)="15"),LEFT(TH!O1203,3)&lt;&gt;"111",'152-CT'!$J$8=TH!F1203),"x","")</f>
        <v/>
      </c>
      <c r="AC1203" s="75" t="str">
        <f>IF(AND(OR(LEFT(TH!N1203,2)="15",LEFT(TH!O1203,2)="15"),TK!$E$7=TH!F1203),"x","")</f>
        <v/>
      </c>
      <c r="AD1203" s="75" t="str">
        <f>IF(AND(N1203="1521",MONTH(C1203)='BK-NL'!$M$11),"x","")</f>
        <v/>
      </c>
    </row>
    <row r="1204" spans="1:30" s="1053" customFormat="1" ht="16.5" customHeight="1">
      <c r="A1204" s="309" t="str">
        <f>IF(B1204&lt;&gt;"",IF(AND(B1204='IN-TC'!$S$4,OR(TH!N1204="1111",TH!O1204="1111")),TH!D1204,""),"")</f>
        <v/>
      </c>
      <c r="B1204" s="1241">
        <f t="shared" si="260"/>
        <v>4</v>
      </c>
      <c r="C1204" s="292">
        <v>42849</v>
      </c>
      <c r="D1204" s="292" t="s">
        <v>1357</v>
      </c>
      <c r="E1204" s="292">
        <f t="shared" si="261"/>
        <v>42849</v>
      </c>
      <c r="F1204" s="432" t="s">
        <v>368</v>
      </c>
      <c r="G1204" s="925" t="s">
        <v>1274</v>
      </c>
      <c r="H1204" s="311" t="s">
        <v>558</v>
      </c>
      <c r="I1204" s="373">
        <v>268</v>
      </c>
      <c r="J1204" s="926">
        <v>6900</v>
      </c>
      <c r="K1204" s="373"/>
      <c r="L1204" s="379"/>
      <c r="M1204" s="927">
        <f t="shared" ref="M1204:M1210" si="262">I1204*J1204</f>
        <v>1849200</v>
      </c>
      <c r="N1204" s="295" t="s">
        <v>266</v>
      </c>
      <c r="O1204" s="295" t="s">
        <v>8</v>
      </c>
      <c r="P1204" s="75" t="str">
        <f>IF(AND('331-CT'!$E$7=TH!H1204,OR(N1204="331",O1204="331")),"x","")</f>
        <v/>
      </c>
      <c r="Q1204" s="75" t="str">
        <f>IF(AND(B1204='111'!$L$11,OR($N1204=$Q$7,$O1204=$Q$7)),"x","")</f>
        <v/>
      </c>
      <c r="R1204" s="75" t="str">
        <f>IF(AND($N1204=$Q$7,$B1204&lt;'111'!$L$11),"x","")</f>
        <v/>
      </c>
      <c r="S1204" s="75" t="str">
        <f>IF(AND($O1204=$Q$7,$B1204&lt;'111'!$L$11),"x","")</f>
        <v/>
      </c>
      <c r="T1204" s="75" t="str">
        <f>IF(ISERROR(FIND('112'!$M$9,G1204,1)),"",IF((AND(FIND('112'!$M$9,G1204,1)&gt;=1,B1204='112'!$K$9,OR($N1204='112'!$I$6,$O1204='112'!$I$6))),"x",""))</f>
        <v/>
      </c>
      <c r="U1204" s="75" t="str">
        <f>IF(ISERROR(FIND('112'!$M$9,G1204,1)),"",IF((AND(LEFT(G1204,2)=LEFT('112'!$M$9,2),B1204&lt;'112'!$K$9,$N1204='112'!$I$6)),"x",""))</f>
        <v/>
      </c>
      <c r="V1204" s="75" t="str">
        <f>IF(ISERROR(FIND('112'!$M$9,G1204,1)),"",IF((AND(RIGHT(G1204,2)=RIGHT('112'!$M$9,2),B1204&lt;'112'!$K$9,$O1204='112'!$I$6)),"x",""))</f>
        <v/>
      </c>
      <c r="W1204" s="75" t="str">
        <f>IF(AND('341-CT'!$H$9=H1204,OR(LEFT(N1204,3)=$W$7,LEFT(O1204,3)=$W$7)),"x","")</f>
        <v/>
      </c>
      <c r="X1204" s="75" t="str">
        <f>IF(OR(TH!N1204=TH!$X$7,O1204=TH!$X$7),"x","")</f>
        <v/>
      </c>
      <c r="Y1204" s="75" t="str">
        <f>IF(AND(OR(N1204="131",O1204="131"),H1204='131-CT'!$H$9),"x","")</f>
        <v/>
      </c>
      <c r="Z1204" s="75"/>
      <c r="AA1204" s="75" t="str">
        <f>IF(AND(MONTH(E1204)='IN-NX'!$J$5,'IN-NX'!$D$7=D1204),"x","")</f>
        <v/>
      </c>
      <c r="AB1204" s="75" t="str">
        <f>IF(AND(OR(LEFT(TH!N1204,2)="15",LEFT(TH!O1204,2)="15"),LEFT(TH!O1204,3)&lt;&gt;"111",'152-CT'!$J$8=TH!F1204),"x","")</f>
        <v/>
      </c>
      <c r="AC1204" s="75" t="str">
        <f>IF(AND(OR(LEFT(TH!N1204,2)="15",LEFT(TH!O1204,2)="15"),TK!$E$7=TH!F1204),"x","")</f>
        <v/>
      </c>
      <c r="AD1204" s="75" t="str">
        <f>IF(AND(N1204="1521",MONTH(C1204)='BK-NL'!$M$11),"x","")</f>
        <v/>
      </c>
    </row>
    <row r="1205" spans="1:30" s="1053" customFormat="1" ht="16.5" customHeight="1">
      <c r="A1205" s="309" t="str">
        <f>IF(B1205&lt;&gt;"",IF(AND(B1205='IN-TC'!$S$4,OR(TH!N1205="1111",TH!O1205="1111")),TH!D1205,""),"")</f>
        <v/>
      </c>
      <c r="B1205" s="1241">
        <f t="shared" si="260"/>
        <v>4</v>
      </c>
      <c r="C1205" s="292">
        <v>42849</v>
      </c>
      <c r="D1205" s="292" t="s">
        <v>1357</v>
      </c>
      <c r="E1205" s="292">
        <f t="shared" si="261"/>
        <v>42849</v>
      </c>
      <c r="F1205" s="432" t="s">
        <v>1273</v>
      </c>
      <c r="G1205" s="925" t="s">
        <v>1274</v>
      </c>
      <c r="H1205" s="311" t="s">
        <v>558</v>
      </c>
      <c r="I1205" s="373">
        <v>302</v>
      </c>
      <c r="J1205" s="926">
        <v>13200</v>
      </c>
      <c r="K1205" s="373"/>
      <c r="L1205" s="379"/>
      <c r="M1205" s="927">
        <f t="shared" si="262"/>
        <v>3986400</v>
      </c>
      <c r="N1205" s="295" t="s">
        <v>266</v>
      </c>
      <c r="O1205" s="295" t="s">
        <v>8</v>
      </c>
      <c r="P1205" s="75" t="str">
        <f>IF(AND('331-CT'!$E$7=TH!H1205,OR(N1205="331",O1205="331")),"x","")</f>
        <v/>
      </c>
      <c r="Q1205" s="75" t="str">
        <f>IF(AND(B1205='111'!$L$11,OR($N1205=$Q$7,$O1205=$Q$7)),"x","")</f>
        <v/>
      </c>
      <c r="R1205" s="75" t="str">
        <f>IF(AND($N1205=$Q$7,$B1205&lt;'111'!$L$11),"x","")</f>
        <v/>
      </c>
      <c r="S1205" s="75" t="str">
        <f>IF(AND($O1205=$Q$7,$B1205&lt;'111'!$L$11),"x","")</f>
        <v/>
      </c>
      <c r="T1205" s="75" t="str">
        <f>IF(ISERROR(FIND('112'!$M$9,G1205,1)),"",IF((AND(FIND('112'!$M$9,G1205,1)&gt;=1,B1205='112'!$K$9,OR($N1205='112'!$I$6,$O1205='112'!$I$6))),"x",""))</f>
        <v/>
      </c>
      <c r="U1205" s="75" t="str">
        <f>IF(ISERROR(FIND('112'!$M$9,G1205,1)),"",IF((AND(LEFT(G1205,2)=LEFT('112'!$M$9,2),B1205&lt;'112'!$K$9,$N1205='112'!$I$6)),"x",""))</f>
        <v/>
      </c>
      <c r="V1205" s="75" t="str">
        <f>IF(ISERROR(FIND('112'!$M$9,G1205,1)),"",IF((AND(RIGHT(G1205,2)=RIGHT('112'!$M$9,2),B1205&lt;'112'!$K$9,$O1205='112'!$I$6)),"x",""))</f>
        <v/>
      </c>
      <c r="W1205" s="75" t="str">
        <f>IF(AND('341-CT'!$H$9=H1205,OR(LEFT(N1205,3)=$W$7,LEFT(O1205,3)=$W$7)),"x","")</f>
        <v/>
      </c>
      <c r="X1205" s="75" t="str">
        <f>IF(OR(TH!N1205=TH!$X$7,O1205=TH!$X$7),"x","")</f>
        <v/>
      </c>
      <c r="Y1205" s="75" t="str">
        <f>IF(AND(OR(N1205="131",O1205="131"),H1205='131-CT'!$H$9),"x","")</f>
        <v/>
      </c>
      <c r="Z1205" s="75"/>
      <c r="AA1205" s="75" t="str">
        <f>IF(AND(MONTH(E1205)='IN-NX'!$J$5,'IN-NX'!$D$7=D1205),"x","")</f>
        <v/>
      </c>
      <c r="AB1205" s="75" t="str">
        <f>IF(AND(OR(LEFT(TH!N1205,2)="15",LEFT(TH!O1205,2)="15"),LEFT(TH!O1205,3)&lt;&gt;"111",'152-CT'!$J$8=TH!F1205),"x","")</f>
        <v/>
      </c>
      <c r="AC1205" s="75" t="str">
        <f>IF(AND(OR(LEFT(TH!N1205,2)="15",LEFT(TH!O1205,2)="15"),TK!$E$7=TH!F1205),"x","")</f>
        <v/>
      </c>
      <c r="AD1205" s="75" t="str">
        <f>IF(AND(N1205="1521",MONTH(C1205)='BK-NL'!$M$11),"x","")</f>
        <v/>
      </c>
    </row>
    <row r="1206" spans="1:30" s="1053" customFormat="1" ht="16.5" customHeight="1">
      <c r="A1206" s="309" t="str">
        <f>IF(B1206&lt;&gt;"",IF(AND(B1206='IN-TC'!$S$4,OR(TH!N1206="1111",TH!O1206="1111")),TH!D1206,""),"")</f>
        <v/>
      </c>
      <c r="B1206" s="1241">
        <f t="shared" si="260"/>
        <v>4</v>
      </c>
      <c r="C1206" s="292">
        <v>42849</v>
      </c>
      <c r="D1206" s="292" t="s">
        <v>1357</v>
      </c>
      <c r="E1206" s="292">
        <f t="shared" si="261"/>
        <v>42849</v>
      </c>
      <c r="F1206" s="432" t="s">
        <v>1275</v>
      </c>
      <c r="G1206" s="925" t="s">
        <v>1274</v>
      </c>
      <c r="H1206" s="311" t="s">
        <v>558</v>
      </c>
      <c r="I1206" s="373">
        <v>100</v>
      </c>
      <c r="J1206" s="926">
        <v>15000</v>
      </c>
      <c r="K1206" s="373"/>
      <c r="L1206" s="379"/>
      <c r="M1206" s="927">
        <f t="shared" si="262"/>
        <v>1500000</v>
      </c>
      <c r="N1206" s="295" t="s">
        <v>266</v>
      </c>
      <c r="O1206" s="295" t="s">
        <v>8</v>
      </c>
      <c r="P1206" s="75" t="str">
        <f>IF(AND('331-CT'!$E$7=TH!H1206,OR(N1206="331",O1206="331")),"x","")</f>
        <v/>
      </c>
      <c r="Q1206" s="75" t="str">
        <f>IF(AND(B1206='111'!$L$11,OR($N1206=$Q$7,$O1206=$Q$7)),"x","")</f>
        <v/>
      </c>
      <c r="R1206" s="75" t="str">
        <f>IF(AND($N1206=$Q$7,$B1206&lt;'111'!$L$11),"x","")</f>
        <v/>
      </c>
      <c r="S1206" s="75" t="str">
        <f>IF(AND($O1206=$Q$7,$B1206&lt;'111'!$L$11),"x","")</f>
        <v/>
      </c>
      <c r="T1206" s="75" t="str">
        <f>IF(ISERROR(FIND('112'!$M$9,G1206,1)),"",IF((AND(FIND('112'!$M$9,G1206,1)&gt;=1,B1206='112'!$K$9,OR($N1206='112'!$I$6,$O1206='112'!$I$6))),"x",""))</f>
        <v/>
      </c>
      <c r="U1206" s="75" t="str">
        <f>IF(ISERROR(FIND('112'!$M$9,G1206,1)),"",IF((AND(LEFT(G1206,2)=LEFT('112'!$M$9,2),B1206&lt;'112'!$K$9,$N1206='112'!$I$6)),"x",""))</f>
        <v/>
      </c>
      <c r="V1206" s="75" t="str">
        <f>IF(ISERROR(FIND('112'!$M$9,G1206,1)),"",IF((AND(RIGHT(G1206,2)=RIGHT('112'!$M$9,2),B1206&lt;'112'!$K$9,$O1206='112'!$I$6)),"x",""))</f>
        <v/>
      </c>
      <c r="W1206" s="75" t="str">
        <f>IF(AND('341-CT'!$H$9=H1206,OR(LEFT(N1206,3)=$W$7,LEFT(O1206,3)=$W$7)),"x","")</f>
        <v/>
      </c>
      <c r="X1206" s="75" t="str">
        <f>IF(OR(TH!N1206=TH!$X$7,O1206=TH!$X$7),"x","")</f>
        <v/>
      </c>
      <c r="Y1206" s="75" t="str">
        <f>IF(AND(OR(N1206="131",O1206="131"),H1206='131-CT'!$H$9),"x","")</f>
        <v/>
      </c>
      <c r="Z1206" s="75"/>
      <c r="AA1206" s="75" t="str">
        <f>IF(AND(MONTH(E1206)='IN-NX'!$J$5,'IN-NX'!$D$7=D1206),"x","")</f>
        <v/>
      </c>
      <c r="AB1206" s="75" t="str">
        <f>IF(AND(OR(LEFT(TH!N1206,2)="15",LEFT(TH!O1206,2)="15"),LEFT(TH!O1206,3)&lt;&gt;"111",'152-CT'!$J$8=TH!F1206),"x","")</f>
        <v/>
      </c>
      <c r="AC1206" s="75" t="str">
        <f>IF(AND(OR(LEFT(TH!N1206,2)="15",LEFT(TH!O1206,2)="15"),TK!$E$7=TH!F1206),"x","")</f>
        <v/>
      </c>
      <c r="AD1206" s="75" t="str">
        <f>IF(AND(N1206="1521",MONTH(C1206)='BK-NL'!$M$11),"x","")</f>
        <v/>
      </c>
    </row>
    <row r="1207" spans="1:30" s="1053" customFormat="1" ht="16.5" customHeight="1">
      <c r="A1207" s="309" t="str">
        <f>IF(B1207&lt;&gt;"",IF(AND(B1207='IN-TC'!$S$4,OR(TH!N1207="1111",TH!O1207="1111")),TH!D1207,""),"")</f>
        <v/>
      </c>
      <c r="B1207" s="1241">
        <f t="shared" si="260"/>
        <v>4</v>
      </c>
      <c r="C1207" s="292">
        <v>42849</v>
      </c>
      <c r="D1207" s="292" t="s">
        <v>1357</v>
      </c>
      <c r="E1207" s="292">
        <f t="shared" si="261"/>
        <v>42849</v>
      </c>
      <c r="F1207" s="432" t="s">
        <v>1276</v>
      </c>
      <c r="G1207" s="925" t="s">
        <v>1274</v>
      </c>
      <c r="H1207" s="311" t="s">
        <v>558</v>
      </c>
      <c r="I1207" s="373">
        <v>102</v>
      </c>
      <c r="J1207" s="926">
        <v>15000</v>
      </c>
      <c r="K1207" s="373"/>
      <c r="L1207" s="379"/>
      <c r="M1207" s="927">
        <f t="shared" si="262"/>
        <v>1530000</v>
      </c>
      <c r="N1207" s="295" t="s">
        <v>266</v>
      </c>
      <c r="O1207" s="295" t="s">
        <v>8</v>
      </c>
      <c r="P1207" s="75" t="str">
        <f>IF(AND('331-CT'!$E$7=TH!H1207,OR(N1207="331",O1207="331")),"x","")</f>
        <v/>
      </c>
      <c r="Q1207" s="75" t="str">
        <f>IF(AND(B1207='111'!$L$11,OR($N1207=$Q$7,$O1207=$Q$7)),"x","")</f>
        <v/>
      </c>
      <c r="R1207" s="75" t="str">
        <f>IF(AND($N1207=$Q$7,$B1207&lt;'111'!$L$11),"x","")</f>
        <v/>
      </c>
      <c r="S1207" s="75" t="str">
        <f>IF(AND($O1207=$Q$7,$B1207&lt;'111'!$L$11),"x","")</f>
        <v/>
      </c>
      <c r="T1207" s="75" t="str">
        <f>IF(ISERROR(FIND('112'!$M$9,G1207,1)),"",IF((AND(FIND('112'!$M$9,G1207,1)&gt;=1,B1207='112'!$K$9,OR($N1207='112'!$I$6,$O1207='112'!$I$6))),"x",""))</f>
        <v/>
      </c>
      <c r="U1207" s="75" t="str">
        <f>IF(ISERROR(FIND('112'!$M$9,G1207,1)),"",IF((AND(LEFT(G1207,2)=LEFT('112'!$M$9,2),B1207&lt;'112'!$K$9,$N1207='112'!$I$6)),"x",""))</f>
        <v/>
      </c>
      <c r="V1207" s="75" t="str">
        <f>IF(ISERROR(FIND('112'!$M$9,G1207,1)),"",IF((AND(RIGHT(G1207,2)=RIGHT('112'!$M$9,2),B1207&lt;'112'!$K$9,$O1207='112'!$I$6)),"x",""))</f>
        <v/>
      </c>
      <c r="W1207" s="75" t="str">
        <f>IF(AND('341-CT'!$H$9=H1207,OR(LEFT(N1207,3)=$W$7,LEFT(O1207,3)=$W$7)),"x","")</f>
        <v/>
      </c>
      <c r="X1207" s="75" t="str">
        <f>IF(OR(TH!N1207=TH!$X$7,O1207=TH!$X$7),"x","")</f>
        <v/>
      </c>
      <c r="Y1207" s="75" t="str">
        <f>IF(AND(OR(N1207="131",O1207="131"),H1207='131-CT'!$H$9),"x","")</f>
        <v/>
      </c>
      <c r="Z1207" s="75"/>
      <c r="AA1207" s="75" t="str">
        <f>IF(AND(MONTH(E1207)='IN-NX'!$J$5,'IN-NX'!$D$7=D1207),"x","")</f>
        <v/>
      </c>
      <c r="AB1207" s="75" t="str">
        <f>IF(AND(OR(LEFT(TH!N1207,2)="15",LEFT(TH!O1207,2)="15"),LEFT(TH!O1207,3)&lt;&gt;"111",'152-CT'!$J$8=TH!F1207),"x","")</f>
        <v/>
      </c>
      <c r="AC1207" s="75" t="str">
        <f>IF(AND(OR(LEFT(TH!N1207,2)="15",LEFT(TH!O1207,2)="15"),TK!$E$7=TH!F1207),"x","")</f>
        <v/>
      </c>
      <c r="AD1207" s="75" t="str">
        <f>IF(AND(N1207="1521",MONTH(C1207)='BK-NL'!$M$11),"x","")</f>
        <v/>
      </c>
    </row>
    <row r="1208" spans="1:30" s="1053" customFormat="1" ht="16.5" customHeight="1">
      <c r="A1208" s="309" t="str">
        <f>IF(B1208&lt;&gt;"",IF(AND(B1208='IN-TC'!$S$4,OR(TH!N1208="1111",TH!O1208="1111")),TH!D1208,""),"")</f>
        <v/>
      </c>
      <c r="B1208" s="1241">
        <f t="shared" si="260"/>
        <v>4</v>
      </c>
      <c r="C1208" s="292">
        <v>42849</v>
      </c>
      <c r="D1208" s="292" t="s">
        <v>1357</v>
      </c>
      <c r="E1208" s="292">
        <f t="shared" si="261"/>
        <v>42849</v>
      </c>
      <c r="F1208" s="432" t="s">
        <v>371</v>
      </c>
      <c r="G1208" s="925" t="s">
        <v>1274</v>
      </c>
      <c r="H1208" s="311" t="s">
        <v>558</v>
      </c>
      <c r="I1208" s="373">
        <v>1156</v>
      </c>
      <c r="J1208" s="926">
        <v>15500</v>
      </c>
      <c r="K1208" s="373"/>
      <c r="L1208" s="379"/>
      <c r="M1208" s="927">
        <f t="shared" si="262"/>
        <v>17918000</v>
      </c>
      <c r="N1208" s="295" t="s">
        <v>266</v>
      </c>
      <c r="O1208" s="295" t="s">
        <v>8</v>
      </c>
      <c r="P1208" s="75" t="str">
        <f>IF(AND('331-CT'!$E$7=TH!H1208,OR(N1208="331",O1208="331")),"x","")</f>
        <v/>
      </c>
      <c r="Q1208" s="75" t="str">
        <f>IF(AND(B1208='111'!$L$11,OR($N1208=$Q$7,$O1208=$Q$7)),"x","")</f>
        <v/>
      </c>
      <c r="R1208" s="75" t="str">
        <f>IF(AND($N1208=$Q$7,$B1208&lt;'111'!$L$11),"x","")</f>
        <v/>
      </c>
      <c r="S1208" s="75" t="str">
        <f>IF(AND($O1208=$Q$7,$B1208&lt;'111'!$L$11),"x","")</f>
        <v/>
      </c>
      <c r="T1208" s="75" t="str">
        <f>IF(ISERROR(FIND('112'!$M$9,G1208,1)),"",IF((AND(FIND('112'!$M$9,G1208,1)&gt;=1,B1208='112'!$K$9,OR($N1208='112'!$I$6,$O1208='112'!$I$6))),"x",""))</f>
        <v/>
      </c>
      <c r="U1208" s="75" t="str">
        <f>IF(ISERROR(FIND('112'!$M$9,G1208,1)),"",IF((AND(LEFT(G1208,2)=LEFT('112'!$M$9,2),B1208&lt;'112'!$K$9,$N1208='112'!$I$6)),"x",""))</f>
        <v/>
      </c>
      <c r="V1208" s="75" t="str">
        <f>IF(ISERROR(FIND('112'!$M$9,G1208,1)),"",IF((AND(RIGHT(G1208,2)=RIGHT('112'!$M$9,2),B1208&lt;'112'!$K$9,$O1208='112'!$I$6)),"x",""))</f>
        <v/>
      </c>
      <c r="W1208" s="75" t="str">
        <f>IF(AND('341-CT'!$H$9=H1208,OR(LEFT(N1208,3)=$W$7,LEFT(O1208,3)=$W$7)),"x","")</f>
        <v/>
      </c>
      <c r="X1208" s="75" t="str">
        <f>IF(OR(TH!N1208=TH!$X$7,O1208=TH!$X$7),"x","")</f>
        <v/>
      </c>
      <c r="Y1208" s="75" t="str">
        <f>IF(AND(OR(N1208="131",O1208="131"),H1208='131-CT'!$H$9),"x","")</f>
        <v/>
      </c>
      <c r="Z1208" s="75"/>
      <c r="AA1208" s="75" t="str">
        <f>IF(AND(MONTH(E1208)='IN-NX'!$J$5,'IN-NX'!$D$7=D1208),"x","")</f>
        <v/>
      </c>
      <c r="AB1208" s="75" t="str">
        <f>IF(AND(OR(LEFT(TH!N1208,2)="15",LEFT(TH!O1208,2)="15"),LEFT(TH!O1208,3)&lt;&gt;"111",'152-CT'!$J$8=TH!F1208),"x","")</f>
        <v/>
      </c>
      <c r="AC1208" s="75" t="str">
        <f>IF(AND(OR(LEFT(TH!N1208,2)="15",LEFT(TH!O1208,2)="15"),TK!$E$7=TH!F1208),"x","")</f>
        <v/>
      </c>
      <c r="AD1208" s="75" t="str">
        <f>IF(AND(N1208="1521",MONTH(C1208)='BK-NL'!$M$11),"x","")</f>
        <v/>
      </c>
    </row>
    <row r="1209" spans="1:30" s="1053" customFormat="1" ht="16.5" customHeight="1">
      <c r="A1209" s="309" t="str">
        <f>IF(B1209&lt;&gt;"",IF(AND(B1209='IN-TC'!$S$4,OR(TH!N1209="1111",TH!O1209="1111")),TH!D1209,""),"")</f>
        <v/>
      </c>
      <c r="B1209" s="1241">
        <f t="shared" si="260"/>
        <v>4</v>
      </c>
      <c r="C1209" s="292">
        <v>42849</v>
      </c>
      <c r="D1209" s="292" t="s">
        <v>1357</v>
      </c>
      <c r="E1209" s="292">
        <f t="shared" si="261"/>
        <v>42849</v>
      </c>
      <c r="F1209" s="432" t="s">
        <v>381</v>
      </c>
      <c r="G1209" s="925" t="s">
        <v>1274</v>
      </c>
      <c r="H1209" s="311" t="s">
        <v>558</v>
      </c>
      <c r="I1209" s="373">
        <v>410</v>
      </c>
      <c r="J1209" s="926">
        <v>20900</v>
      </c>
      <c r="K1209" s="373"/>
      <c r="L1209" s="379"/>
      <c r="M1209" s="927">
        <f t="shared" si="262"/>
        <v>8569000</v>
      </c>
      <c r="N1209" s="295" t="s">
        <v>266</v>
      </c>
      <c r="O1209" s="295" t="s">
        <v>8</v>
      </c>
      <c r="P1209" s="75" t="str">
        <f>IF(AND('331-CT'!$E$7=TH!H1209,OR(N1209="331",O1209="331")),"x","")</f>
        <v/>
      </c>
      <c r="Q1209" s="75" t="str">
        <f>IF(AND(B1209='111'!$L$11,OR($N1209=$Q$7,$O1209=$Q$7)),"x","")</f>
        <v/>
      </c>
      <c r="R1209" s="75" t="str">
        <f>IF(AND($N1209=$Q$7,$B1209&lt;'111'!$L$11),"x","")</f>
        <v/>
      </c>
      <c r="S1209" s="75" t="str">
        <f>IF(AND($O1209=$Q$7,$B1209&lt;'111'!$L$11),"x","")</f>
        <v/>
      </c>
      <c r="T1209" s="75" t="str">
        <f>IF(ISERROR(FIND('112'!$M$9,G1209,1)),"",IF((AND(FIND('112'!$M$9,G1209,1)&gt;=1,B1209='112'!$K$9,OR($N1209='112'!$I$6,$O1209='112'!$I$6))),"x",""))</f>
        <v/>
      </c>
      <c r="U1209" s="75" t="str">
        <f>IF(ISERROR(FIND('112'!$M$9,G1209,1)),"",IF((AND(LEFT(G1209,2)=LEFT('112'!$M$9,2),B1209&lt;'112'!$K$9,$N1209='112'!$I$6)),"x",""))</f>
        <v/>
      </c>
      <c r="V1209" s="75" t="str">
        <f>IF(ISERROR(FIND('112'!$M$9,G1209,1)),"",IF((AND(RIGHT(G1209,2)=RIGHT('112'!$M$9,2),B1209&lt;'112'!$K$9,$O1209='112'!$I$6)),"x",""))</f>
        <v/>
      </c>
      <c r="W1209" s="75" t="str">
        <f>IF(AND('341-CT'!$H$9=H1209,OR(LEFT(N1209,3)=$W$7,LEFT(O1209,3)=$W$7)),"x","")</f>
        <v/>
      </c>
      <c r="X1209" s="75" t="str">
        <f>IF(OR(TH!N1209=TH!$X$7,O1209=TH!$X$7),"x","")</f>
        <v/>
      </c>
      <c r="Y1209" s="75" t="str">
        <f>IF(AND(OR(N1209="131",O1209="131"),H1209='131-CT'!$H$9),"x","")</f>
        <v/>
      </c>
      <c r="Z1209" s="75"/>
      <c r="AA1209" s="75" t="str">
        <f>IF(AND(MONTH(E1209)='IN-NX'!$J$5,'IN-NX'!$D$7=D1209),"x","")</f>
        <v/>
      </c>
      <c r="AB1209" s="75" t="str">
        <f>IF(AND(OR(LEFT(TH!N1209,2)="15",LEFT(TH!O1209,2)="15"),LEFT(TH!O1209,3)&lt;&gt;"111",'152-CT'!$J$8=TH!F1209),"x","")</f>
        <v/>
      </c>
      <c r="AC1209" s="75" t="str">
        <f>IF(AND(OR(LEFT(TH!N1209,2)="15",LEFT(TH!O1209,2)="15"),TK!$E$7=TH!F1209),"x","")</f>
        <v/>
      </c>
      <c r="AD1209" s="75" t="str">
        <f>IF(AND(N1209="1521",MONTH(C1209)='BK-NL'!$M$11),"x","")</f>
        <v/>
      </c>
    </row>
    <row r="1210" spans="1:30" s="1053" customFormat="1" ht="16.5" customHeight="1">
      <c r="A1210" s="309" t="str">
        <f>IF(B1210&lt;&gt;"",IF(AND(B1210='IN-TC'!$S$4,OR(TH!N1210="1111",TH!O1210="1111")),TH!D1210,""),"")</f>
        <v/>
      </c>
      <c r="B1210" s="1241">
        <f t="shared" si="260"/>
        <v>4</v>
      </c>
      <c r="C1210" s="292">
        <v>42849</v>
      </c>
      <c r="D1210" s="292" t="s">
        <v>1357</v>
      </c>
      <c r="E1210" s="292">
        <f t="shared" si="261"/>
        <v>42849</v>
      </c>
      <c r="F1210" s="432" t="s">
        <v>745</v>
      </c>
      <c r="G1210" s="925" t="s">
        <v>1274</v>
      </c>
      <c r="H1210" s="311" t="s">
        <v>558</v>
      </c>
      <c r="I1210" s="373">
        <v>320</v>
      </c>
      <c r="J1210" s="926">
        <v>21850</v>
      </c>
      <c r="K1210" s="373"/>
      <c r="L1210" s="379"/>
      <c r="M1210" s="927">
        <f t="shared" si="262"/>
        <v>6992000</v>
      </c>
      <c r="N1210" s="295" t="s">
        <v>266</v>
      </c>
      <c r="O1210" s="295" t="s">
        <v>8</v>
      </c>
      <c r="P1210" s="75" t="str">
        <f>IF(AND('331-CT'!$E$7=TH!H1210,OR(N1210="331",O1210="331")),"x","")</f>
        <v/>
      </c>
      <c r="Q1210" s="75" t="str">
        <f>IF(AND(B1210='111'!$L$11,OR($N1210=$Q$7,$O1210=$Q$7)),"x","")</f>
        <v/>
      </c>
      <c r="R1210" s="75" t="str">
        <f>IF(AND($N1210=$Q$7,$B1210&lt;'111'!$L$11),"x","")</f>
        <v/>
      </c>
      <c r="S1210" s="75" t="str">
        <f>IF(AND($O1210=$Q$7,$B1210&lt;'111'!$L$11),"x","")</f>
        <v/>
      </c>
      <c r="T1210" s="75" t="str">
        <f>IF(ISERROR(FIND('112'!$M$9,G1210,1)),"",IF((AND(FIND('112'!$M$9,G1210,1)&gt;=1,B1210='112'!$K$9,OR($N1210='112'!$I$6,$O1210='112'!$I$6))),"x",""))</f>
        <v/>
      </c>
      <c r="U1210" s="75" t="str">
        <f>IF(ISERROR(FIND('112'!$M$9,G1210,1)),"",IF((AND(LEFT(G1210,2)=LEFT('112'!$M$9,2),B1210&lt;'112'!$K$9,$N1210='112'!$I$6)),"x",""))</f>
        <v/>
      </c>
      <c r="V1210" s="75" t="str">
        <f>IF(ISERROR(FIND('112'!$M$9,G1210,1)),"",IF((AND(RIGHT(G1210,2)=RIGHT('112'!$M$9,2),B1210&lt;'112'!$K$9,$O1210='112'!$I$6)),"x",""))</f>
        <v/>
      </c>
      <c r="W1210" s="75" t="str">
        <f>IF(AND('341-CT'!$H$9=H1210,OR(LEFT(N1210,3)=$W$7,LEFT(O1210,3)=$W$7)),"x","")</f>
        <v/>
      </c>
      <c r="X1210" s="75" t="str">
        <f>IF(OR(TH!N1210=TH!$X$7,O1210=TH!$X$7),"x","")</f>
        <v/>
      </c>
      <c r="Y1210" s="75" t="str">
        <f>IF(AND(OR(N1210="131",O1210="131"),H1210='131-CT'!$H$9),"x","")</f>
        <v/>
      </c>
      <c r="Z1210" s="75"/>
      <c r="AA1210" s="75" t="str">
        <f>IF(AND(MONTH(E1210)='IN-NX'!$J$5,'IN-NX'!$D$7=D1210),"x","")</f>
        <v/>
      </c>
      <c r="AB1210" s="75" t="str">
        <f>IF(AND(OR(LEFT(TH!N1210,2)="15",LEFT(TH!O1210,2)="15"),LEFT(TH!O1210,3)&lt;&gt;"111",'152-CT'!$J$8=TH!F1210),"x","")</f>
        <v/>
      </c>
      <c r="AC1210" s="75" t="str">
        <f>IF(AND(OR(LEFT(TH!N1210,2)="15",LEFT(TH!O1210,2)="15"),TK!$E$7=TH!F1210),"x","")</f>
        <v/>
      </c>
      <c r="AD1210" s="75" t="str">
        <f>IF(AND(N1210="1521",MONTH(C1210)='BK-NL'!$M$11),"x","")</f>
        <v/>
      </c>
    </row>
    <row r="1211" spans="1:30" s="1053" customFormat="1" ht="16.5" customHeight="1">
      <c r="A1211" s="309" t="str">
        <f>IF(B1211&lt;&gt;"",IF(AND(B1211='IN-TC'!$S$4,OR(TH!N1211="1111",TH!O1211="1111")),TH!D1211,""),"")</f>
        <v/>
      </c>
      <c r="B1211" s="1241">
        <f t="shared" si="260"/>
        <v>4</v>
      </c>
      <c r="C1211" s="292">
        <v>42849</v>
      </c>
      <c r="D1211" s="292" t="s">
        <v>1357</v>
      </c>
      <c r="E1211" s="292">
        <f t="shared" si="261"/>
        <v>42849</v>
      </c>
      <c r="F1211" s="432" t="s">
        <v>832</v>
      </c>
      <c r="G1211" s="925" t="s">
        <v>1274</v>
      </c>
      <c r="H1211" s="311" t="s">
        <v>558</v>
      </c>
      <c r="I1211" s="373"/>
      <c r="J1211" s="379"/>
      <c r="K1211" s="373"/>
      <c r="L1211" s="379"/>
      <c r="M1211" s="927">
        <v>4234460</v>
      </c>
      <c r="N1211" s="295" t="s">
        <v>9</v>
      </c>
      <c r="O1211" s="295" t="s">
        <v>8</v>
      </c>
      <c r="P1211" s="75" t="str">
        <f>IF(AND('331-CT'!$E$7=TH!H1211,OR(N1211="331",O1211="331")),"x","")</f>
        <v/>
      </c>
      <c r="Q1211" s="75" t="str">
        <f>IF(AND(B1211='111'!$L$11,OR($N1211=$Q$7,$O1211=$Q$7)),"x","")</f>
        <v/>
      </c>
      <c r="R1211" s="75" t="str">
        <f>IF(AND($N1211=$Q$7,$B1211&lt;'111'!$L$11),"x","")</f>
        <v/>
      </c>
      <c r="S1211" s="75" t="str">
        <f>IF(AND($O1211=$Q$7,$B1211&lt;'111'!$L$11),"x","")</f>
        <v/>
      </c>
      <c r="T1211" s="75" t="str">
        <f>IF(ISERROR(FIND('112'!$M$9,G1211,1)),"",IF((AND(FIND('112'!$M$9,G1211,1)&gt;=1,B1211='112'!$K$9,OR($N1211='112'!$I$6,$O1211='112'!$I$6))),"x",""))</f>
        <v/>
      </c>
      <c r="U1211" s="75" t="str">
        <f>IF(ISERROR(FIND('112'!$M$9,G1211,1)),"",IF((AND(LEFT(G1211,2)=LEFT('112'!$M$9,2),B1211&lt;'112'!$K$9,$N1211='112'!$I$6)),"x",""))</f>
        <v/>
      </c>
      <c r="V1211" s="75" t="str">
        <f>IF(ISERROR(FIND('112'!$M$9,G1211,1)),"",IF((AND(RIGHT(G1211,2)=RIGHT('112'!$M$9,2),B1211&lt;'112'!$K$9,$O1211='112'!$I$6)),"x",""))</f>
        <v/>
      </c>
      <c r="W1211" s="75" t="str">
        <f>IF(AND('341-CT'!$H$9=H1211,OR(LEFT(N1211,3)=$W$7,LEFT(O1211,3)=$W$7)),"x","")</f>
        <v/>
      </c>
      <c r="X1211" s="75" t="str">
        <f>IF(OR(TH!N1211=TH!$X$7,O1211=TH!$X$7),"x","")</f>
        <v/>
      </c>
      <c r="Y1211" s="75" t="str">
        <f>IF(AND(OR(N1211="131",O1211="131"),H1211='131-CT'!$H$9),"x","")</f>
        <v/>
      </c>
      <c r="Z1211" s="75"/>
      <c r="AA1211" s="75" t="str">
        <f>IF(AND(MONTH(E1211)='IN-NX'!$J$5,'IN-NX'!$D$7=D1211),"x","")</f>
        <v/>
      </c>
      <c r="AB1211" s="75" t="str">
        <f>IF(AND(OR(LEFT(TH!N1211,2)="15",LEFT(TH!O1211,2)="15"),LEFT(TH!O1211,3)&lt;&gt;"111",'152-CT'!$J$8=TH!F1211),"x","")</f>
        <v/>
      </c>
      <c r="AC1211" s="75" t="str">
        <f>IF(AND(OR(LEFT(TH!N1211,2)="15",LEFT(TH!O1211,2)="15"),TK!$E$7=TH!F1211),"x","")</f>
        <v/>
      </c>
      <c r="AD1211" s="75" t="str">
        <f>IF(AND(N1211="1521",MONTH(C1211)='BK-NL'!$M$11),"x","")</f>
        <v/>
      </c>
    </row>
    <row r="1212" spans="1:30" s="1053" customFormat="1" ht="16.5" customHeight="1">
      <c r="A1212" s="309" t="str">
        <f>IF(B1212&lt;&gt;"",IF(AND(B1212='IN-TC'!$S$4,OR(TH!N1212="1111",TH!O1212="1111")),TH!D1212,""),"")</f>
        <v/>
      </c>
      <c r="B1212" s="1241">
        <f t="shared" si="260"/>
        <v>4</v>
      </c>
      <c r="C1212" s="292">
        <v>42852</v>
      </c>
      <c r="D1212" s="292" t="s">
        <v>1358</v>
      </c>
      <c r="E1212" s="292">
        <f t="shared" si="261"/>
        <v>42852</v>
      </c>
      <c r="F1212" s="67" t="s">
        <v>795</v>
      </c>
      <c r="G1212" s="925" t="s">
        <v>1348</v>
      </c>
      <c r="H1212" s="294" t="s">
        <v>797</v>
      </c>
      <c r="I1212" s="373">
        <v>2030</v>
      </c>
      <c r="J1212" s="379">
        <v>8500</v>
      </c>
      <c r="K1212" s="373"/>
      <c r="L1212" s="379"/>
      <c r="M1212" s="927">
        <f>I1212*J1212</f>
        <v>17255000</v>
      </c>
      <c r="N1212" s="295" t="s">
        <v>266</v>
      </c>
      <c r="O1212" s="295" t="s">
        <v>8</v>
      </c>
      <c r="P1212" s="75" t="str">
        <f>IF(AND('331-CT'!$E$7=TH!H1212,OR(N1212="331",O1212="331")),"x","")</f>
        <v/>
      </c>
      <c r="Q1212" s="75" t="str">
        <f>IF(AND(B1212='111'!$L$11,OR($N1212=$Q$7,$O1212=$Q$7)),"x","")</f>
        <v/>
      </c>
      <c r="R1212" s="75" t="str">
        <f>IF(AND($N1212=$Q$7,$B1212&lt;'111'!$L$11),"x","")</f>
        <v/>
      </c>
      <c r="S1212" s="75" t="str">
        <f>IF(AND($O1212=$Q$7,$B1212&lt;'111'!$L$11),"x","")</f>
        <v/>
      </c>
      <c r="T1212" s="75" t="str">
        <f>IF(ISERROR(FIND('112'!$M$9,G1212,1)),"",IF((AND(FIND('112'!$M$9,G1212,1)&gt;=1,B1212='112'!$K$9,OR($N1212='112'!$I$6,$O1212='112'!$I$6))),"x",""))</f>
        <v/>
      </c>
      <c r="U1212" s="75" t="str">
        <f>IF(ISERROR(FIND('112'!$M$9,G1212,1)),"",IF((AND(LEFT(G1212,2)=LEFT('112'!$M$9,2),B1212&lt;'112'!$K$9,$N1212='112'!$I$6)),"x",""))</f>
        <v/>
      </c>
      <c r="V1212" s="75" t="str">
        <f>IF(ISERROR(FIND('112'!$M$9,G1212,1)),"",IF((AND(RIGHT(G1212,2)=RIGHT('112'!$M$9,2),B1212&lt;'112'!$K$9,$O1212='112'!$I$6)),"x",""))</f>
        <v/>
      </c>
      <c r="W1212" s="75" t="str">
        <f>IF(AND('341-CT'!$H$9=H1212,OR(LEFT(N1212,3)=$W$7,LEFT(O1212,3)=$W$7)),"x","")</f>
        <v/>
      </c>
      <c r="X1212" s="75" t="str">
        <f>IF(OR(TH!N1212=TH!$X$7,O1212=TH!$X$7),"x","")</f>
        <v/>
      </c>
      <c r="Y1212" s="75" t="str">
        <f>IF(AND(OR(N1212="131",O1212="131"),H1212='131-CT'!$H$9),"x","")</f>
        <v/>
      </c>
      <c r="Z1212" s="75"/>
      <c r="AA1212" s="75" t="str">
        <f>IF(AND(MONTH(E1212)='IN-NX'!$J$5,'IN-NX'!$D$7=D1212),"x","")</f>
        <v/>
      </c>
      <c r="AB1212" s="75" t="str">
        <f>IF(AND(OR(LEFT(TH!N1212,2)="15",LEFT(TH!O1212,2)="15"),LEFT(TH!O1212,3)&lt;&gt;"111",'152-CT'!$J$8=TH!F1212),"x","")</f>
        <v/>
      </c>
      <c r="AC1212" s="75" t="str">
        <f>IF(AND(OR(LEFT(TH!N1212,2)="15",LEFT(TH!O1212,2)="15"),TK!$E$7=TH!F1212),"x","")</f>
        <v/>
      </c>
      <c r="AD1212" s="75" t="str">
        <f>IF(AND(N1212="1521",MONTH(C1212)='BK-NL'!$M$11),"x","")</f>
        <v/>
      </c>
    </row>
    <row r="1213" spans="1:30" s="1053" customFormat="1" ht="16.5" customHeight="1">
      <c r="A1213" s="309" t="str">
        <f>IF(B1213&lt;&gt;"",IF(AND(B1213='IN-TC'!$S$4,OR(TH!N1213="1111",TH!O1213="1111")),TH!D1213,""),"")</f>
        <v/>
      </c>
      <c r="B1213" s="1241">
        <f t="shared" si="260"/>
        <v>4</v>
      </c>
      <c r="C1213" s="292">
        <v>42852</v>
      </c>
      <c r="D1213" s="292" t="s">
        <v>1358</v>
      </c>
      <c r="E1213" s="292">
        <f t="shared" si="261"/>
        <v>42852</v>
      </c>
      <c r="F1213" s="67" t="s">
        <v>1143</v>
      </c>
      <c r="G1213" s="925" t="s">
        <v>1348</v>
      </c>
      <c r="H1213" s="294" t="s">
        <v>797</v>
      </c>
      <c r="I1213" s="373"/>
      <c r="J1213" s="379"/>
      <c r="K1213" s="373"/>
      <c r="L1213" s="379"/>
      <c r="M1213" s="927">
        <v>1725500</v>
      </c>
      <c r="N1213" s="295" t="s">
        <v>9</v>
      </c>
      <c r="O1213" s="295" t="s">
        <v>8</v>
      </c>
      <c r="P1213" s="75" t="str">
        <f>IF(AND('331-CT'!$E$7=TH!H1213,OR(N1213="331",O1213="331")),"x","")</f>
        <v/>
      </c>
      <c r="Q1213" s="75" t="str">
        <f>IF(AND(B1213='111'!$L$11,OR($N1213=$Q$7,$O1213=$Q$7)),"x","")</f>
        <v/>
      </c>
      <c r="R1213" s="75" t="str">
        <f>IF(AND($N1213=$Q$7,$B1213&lt;'111'!$L$11),"x","")</f>
        <v/>
      </c>
      <c r="S1213" s="75" t="str">
        <f>IF(AND($O1213=$Q$7,$B1213&lt;'111'!$L$11),"x","")</f>
        <v/>
      </c>
      <c r="T1213" s="75" t="str">
        <f>IF(ISERROR(FIND('112'!$M$9,G1213,1)),"",IF((AND(FIND('112'!$M$9,G1213,1)&gt;=1,B1213='112'!$K$9,OR($N1213='112'!$I$6,$O1213='112'!$I$6))),"x",""))</f>
        <v/>
      </c>
      <c r="U1213" s="75" t="str">
        <f>IF(ISERROR(FIND('112'!$M$9,G1213,1)),"",IF((AND(LEFT(G1213,2)=LEFT('112'!$M$9,2),B1213&lt;'112'!$K$9,$N1213='112'!$I$6)),"x",""))</f>
        <v/>
      </c>
      <c r="V1213" s="75" t="str">
        <f>IF(ISERROR(FIND('112'!$M$9,G1213,1)),"",IF((AND(RIGHT(G1213,2)=RIGHT('112'!$M$9,2),B1213&lt;'112'!$K$9,$O1213='112'!$I$6)),"x",""))</f>
        <v/>
      </c>
      <c r="W1213" s="75" t="str">
        <f>IF(AND('341-CT'!$H$9=H1213,OR(LEFT(N1213,3)=$W$7,LEFT(O1213,3)=$W$7)),"x","")</f>
        <v/>
      </c>
      <c r="X1213" s="75" t="str">
        <f>IF(OR(TH!N1213=TH!$X$7,O1213=TH!$X$7),"x","")</f>
        <v/>
      </c>
      <c r="Y1213" s="75" t="str">
        <f>IF(AND(OR(N1213="131",O1213="131"),H1213='131-CT'!$H$9),"x","")</f>
        <v/>
      </c>
      <c r="Z1213" s="75"/>
      <c r="AA1213" s="75" t="str">
        <f>IF(AND(MONTH(E1213)='IN-NX'!$J$5,'IN-NX'!$D$7=D1213),"x","")</f>
        <v/>
      </c>
      <c r="AB1213" s="75" t="str">
        <f>IF(AND(OR(LEFT(TH!N1213,2)="15",LEFT(TH!O1213,2)="15"),LEFT(TH!O1213,3)&lt;&gt;"111",'152-CT'!$J$8=TH!F1213),"x","")</f>
        <v/>
      </c>
      <c r="AC1213" s="75" t="str">
        <f>IF(AND(OR(LEFT(TH!N1213,2)="15",LEFT(TH!O1213,2)="15"),TK!$E$7=TH!F1213),"x","")</f>
        <v/>
      </c>
      <c r="AD1213" s="75" t="str">
        <f>IF(AND(N1213="1521",MONTH(C1213)='BK-NL'!$M$11),"x","")</f>
        <v/>
      </c>
    </row>
    <row r="1214" spans="1:30" s="1053" customFormat="1" ht="16.5" customHeight="1">
      <c r="A1214" s="309" t="str">
        <f>IF(B1214&lt;&gt;"",IF(AND(B1214='IN-TC'!$S$4,OR(TH!N1214="1111",TH!O1214="1111")),TH!D1214,""),"")</f>
        <v/>
      </c>
      <c r="B1214" s="1241">
        <f t="shared" si="260"/>
        <v>4</v>
      </c>
      <c r="C1214" s="292">
        <v>42853</v>
      </c>
      <c r="D1214" s="292" t="s">
        <v>1359</v>
      </c>
      <c r="E1214" s="292">
        <f t="shared" si="261"/>
        <v>42853</v>
      </c>
      <c r="F1214" s="67" t="s">
        <v>795</v>
      </c>
      <c r="G1214" s="925" t="s">
        <v>1349</v>
      </c>
      <c r="H1214" s="294" t="s">
        <v>796</v>
      </c>
      <c r="I1214" s="373">
        <v>2030</v>
      </c>
      <c r="J1214" s="379">
        <v>8500</v>
      </c>
      <c r="K1214" s="373"/>
      <c r="L1214" s="379"/>
      <c r="M1214" s="927">
        <f>I1214*J1214</f>
        <v>17255000</v>
      </c>
      <c r="N1214" s="295" t="s">
        <v>266</v>
      </c>
      <c r="O1214" s="295" t="s">
        <v>8</v>
      </c>
      <c r="P1214" s="75" t="str">
        <f>IF(AND('331-CT'!$E$7=TH!H1214,OR(N1214="331",O1214="331")),"x","")</f>
        <v/>
      </c>
      <c r="Q1214" s="75" t="str">
        <f>IF(AND(B1214='111'!$L$11,OR($N1214=$Q$7,$O1214=$Q$7)),"x","")</f>
        <v/>
      </c>
      <c r="R1214" s="75" t="str">
        <f>IF(AND($N1214=$Q$7,$B1214&lt;'111'!$L$11),"x","")</f>
        <v/>
      </c>
      <c r="S1214" s="75" t="str">
        <f>IF(AND($O1214=$Q$7,$B1214&lt;'111'!$L$11),"x","")</f>
        <v/>
      </c>
      <c r="T1214" s="75" t="str">
        <f>IF(ISERROR(FIND('112'!$M$9,G1214,1)),"",IF((AND(FIND('112'!$M$9,G1214,1)&gt;=1,B1214='112'!$K$9,OR($N1214='112'!$I$6,$O1214='112'!$I$6))),"x",""))</f>
        <v/>
      </c>
      <c r="U1214" s="75" t="str">
        <f>IF(ISERROR(FIND('112'!$M$9,G1214,1)),"",IF((AND(LEFT(G1214,2)=LEFT('112'!$M$9,2),B1214&lt;'112'!$K$9,$N1214='112'!$I$6)),"x",""))</f>
        <v/>
      </c>
      <c r="V1214" s="75" t="str">
        <f>IF(ISERROR(FIND('112'!$M$9,G1214,1)),"",IF((AND(RIGHT(G1214,2)=RIGHT('112'!$M$9,2),B1214&lt;'112'!$K$9,$O1214='112'!$I$6)),"x",""))</f>
        <v/>
      </c>
      <c r="W1214" s="75" t="str">
        <f>IF(AND('341-CT'!$H$9=H1214,OR(LEFT(N1214,3)=$W$7,LEFT(O1214,3)=$W$7)),"x","")</f>
        <v/>
      </c>
      <c r="X1214" s="75" t="str">
        <f>IF(OR(TH!N1214=TH!$X$7,O1214=TH!$X$7),"x","")</f>
        <v/>
      </c>
      <c r="Y1214" s="75" t="str">
        <f>IF(AND(OR(N1214="131",O1214="131"),H1214='131-CT'!$H$9),"x","")</f>
        <v/>
      </c>
      <c r="Z1214" s="75"/>
      <c r="AA1214" s="75" t="str">
        <f>IF(AND(MONTH(E1214)='IN-NX'!$J$5,'IN-NX'!$D$7=D1214),"x","")</f>
        <v/>
      </c>
      <c r="AB1214" s="75" t="str">
        <f>IF(AND(OR(LEFT(TH!N1214,2)="15",LEFT(TH!O1214,2)="15"),LEFT(TH!O1214,3)&lt;&gt;"111",'152-CT'!$J$8=TH!F1214),"x","")</f>
        <v/>
      </c>
      <c r="AC1214" s="75" t="str">
        <f>IF(AND(OR(LEFT(TH!N1214,2)="15",LEFT(TH!O1214,2)="15"),TK!$E$7=TH!F1214),"x","")</f>
        <v/>
      </c>
      <c r="AD1214" s="75" t="str">
        <f>IF(AND(N1214="1521",MONTH(C1214)='BK-NL'!$M$11),"x","")</f>
        <v/>
      </c>
    </row>
    <row r="1215" spans="1:30" s="1053" customFormat="1" ht="16.5" customHeight="1">
      <c r="A1215" s="309" t="str">
        <f>IF(B1215&lt;&gt;"",IF(AND(B1215='IN-TC'!$S$4,OR(TH!N1215="1111",TH!O1215="1111")),TH!D1215,""),"")</f>
        <v/>
      </c>
      <c r="B1215" s="1241">
        <f t="shared" si="260"/>
        <v>4</v>
      </c>
      <c r="C1215" s="292">
        <v>42853</v>
      </c>
      <c r="D1215" s="292" t="s">
        <v>1359</v>
      </c>
      <c r="E1215" s="292">
        <f t="shared" si="261"/>
        <v>42853</v>
      </c>
      <c r="F1215" s="67" t="s">
        <v>1143</v>
      </c>
      <c r="G1215" s="925" t="s">
        <v>1349</v>
      </c>
      <c r="H1215" s="294" t="s">
        <v>796</v>
      </c>
      <c r="I1215" s="373"/>
      <c r="J1215" s="379"/>
      <c r="K1215" s="373"/>
      <c r="L1215" s="379"/>
      <c r="M1215" s="927">
        <v>1725500</v>
      </c>
      <c r="N1215" s="295" t="s">
        <v>9</v>
      </c>
      <c r="O1215" s="295" t="s">
        <v>8</v>
      </c>
      <c r="P1215" s="75" t="str">
        <f>IF(AND('331-CT'!$E$7=TH!H1215,OR(N1215="331",O1215="331")),"x","")</f>
        <v/>
      </c>
      <c r="Q1215" s="75" t="str">
        <f>IF(AND(B1215='111'!$L$11,OR($N1215=$Q$7,$O1215=$Q$7)),"x","")</f>
        <v/>
      </c>
      <c r="R1215" s="75" t="str">
        <f>IF(AND($N1215=$Q$7,$B1215&lt;'111'!$L$11),"x","")</f>
        <v/>
      </c>
      <c r="S1215" s="75" t="str">
        <f>IF(AND($O1215=$Q$7,$B1215&lt;'111'!$L$11),"x","")</f>
        <v/>
      </c>
      <c r="T1215" s="75" t="str">
        <f>IF(ISERROR(FIND('112'!$M$9,G1215,1)),"",IF((AND(FIND('112'!$M$9,G1215,1)&gt;=1,B1215='112'!$K$9,OR($N1215='112'!$I$6,$O1215='112'!$I$6))),"x",""))</f>
        <v/>
      </c>
      <c r="U1215" s="75" t="str">
        <f>IF(ISERROR(FIND('112'!$M$9,G1215,1)),"",IF((AND(LEFT(G1215,2)=LEFT('112'!$M$9,2),B1215&lt;'112'!$K$9,$N1215='112'!$I$6)),"x",""))</f>
        <v/>
      </c>
      <c r="V1215" s="75" t="str">
        <f>IF(ISERROR(FIND('112'!$M$9,G1215,1)),"",IF((AND(RIGHT(G1215,2)=RIGHT('112'!$M$9,2),B1215&lt;'112'!$K$9,$O1215='112'!$I$6)),"x",""))</f>
        <v/>
      </c>
      <c r="W1215" s="75" t="str">
        <f>IF(AND('341-CT'!$H$9=H1215,OR(LEFT(N1215,3)=$W$7,LEFT(O1215,3)=$W$7)),"x","")</f>
        <v/>
      </c>
      <c r="X1215" s="75" t="str">
        <f>IF(OR(TH!N1215=TH!$X$7,O1215=TH!$X$7),"x","")</f>
        <v/>
      </c>
      <c r="Y1215" s="75" t="str">
        <f>IF(AND(OR(N1215="131",O1215="131"),H1215='131-CT'!$H$9),"x","")</f>
        <v/>
      </c>
      <c r="Z1215" s="75"/>
      <c r="AA1215" s="75" t="str">
        <f>IF(AND(MONTH(E1215)='IN-NX'!$J$5,'IN-NX'!$D$7=D1215),"x","")</f>
        <v/>
      </c>
      <c r="AB1215" s="75" t="str">
        <f>IF(AND(OR(LEFT(TH!N1215,2)="15",LEFT(TH!O1215,2)="15"),LEFT(TH!O1215,3)&lt;&gt;"111",'152-CT'!$J$8=TH!F1215),"x","")</f>
        <v/>
      </c>
      <c r="AC1215" s="75" t="str">
        <f>IF(AND(OR(LEFT(TH!N1215,2)="15",LEFT(TH!O1215,2)="15"),TK!$E$7=TH!F1215),"x","")</f>
        <v/>
      </c>
      <c r="AD1215" s="75" t="str">
        <f>IF(AND(N1215="1521",MONTH(C1215)='BK-NL'!$M$11),"x","")</f>
        <v/>
      </c>
    </row>
    <row r="1216" spans="1:30" ht="16.5" customHeight="1">
      <c r="A1216" s="309" t="str">
        <f>IF(B1216&lt;&gt;"",IF(AND(B1216='IN-TC'!$S$4,OR(TH!N1216="1111",TH!O1216="1111")),TH!D1216,""),"")</f>
        <v/>
      </c>
      <c r="B1216" s="1241">
        <f t="shared" si="260"/>
        <v>4</v>
      </c>
      <c r="C1216" s="929">
        <f t="shared" ref="C1216:C1266" si="263">E1216</f>
        <v>42826</v>
      </c>
      <c r="D1216" s="929" t="s">
        <v>2951</v>
      </c>
      <c r="E1216" s="929">
        <v>42826</v>
      </c>
      <c r="F1216" s="1082" t="s">
        <v>327</v>
      </c>
      <c r="G1216" s="931"/>
      <c r="H1216" s="735" t="s">
        <v>424</v>
      </c>
      <c r="I1216" s="371">
        <v>150</v>
      </c>
      <c r="J1216" s="377">
        <v>32200</v>
      </c>
      <c r="K1216" s="371"/>
      <c r="L1216" s="377"/>
      <c r="M1216" s="933">
        <f t="shared" ref="M1216:M1266" si="264">ROUND(I1216*J1216,0)</f>
        <v>4830000</v>
      </c>
      <c r="N1216" s="934" t="s">
        <v>272</v>
      </c>
      <c r="O1216" s="934" t="s">
        <v>266</v>
      </c>
      <c r="P1216" s="75" t="str">
        <f>IF(AND('331-CT'!$E$7=TH!H1216,OR(N1216="331",O1216="331")),"x","")</f>
        <v/>
      </c>
      <c r="Q1216" s="75" t="str">
        <f>IF(AND(B1216='111'!$L$11,OR($N1216=$Q$7,$O1216=$Q$7)),"x","")</f>
        <v/>
      </c>
      <c r="R1216" s="75" t="str">
        <f>IF(AND($N1216=$Q$7,$B1216&lt;'111'!$L$11),"x","")</f>
        <v/>
      </c>
      <c r="S1216" s="75" t="str">
        <f>IF(AND($O1216=$Q$7,$B1216&lt;'111'!$L$11),"x","")</f>
        <v/>
      </c>
      <c r="T1216" s="75" t="str">
        <f>IF(ISERROR(FIND('112'!$M$9,G1216,1)),"",IF((AND(FIND('112'!$M$9,G1216,1)&gt;=1,B1216='112'!$K$9,OR($N1216='112'!$I$6,$O1216='112'!$I$6))),"x",""))</f>
        <v/>
      </c>
      <c r="U1216" s="75" t="str">
        <f>IF(ISERROR(FIND('112'!$M$9,G1216,1)),"",IF((AND(LEFT(G1216,2)=LEFT('112'!$M$9,2),B1216&lt;'112'!$K$9,$N1216='112'!$I$6)),"x",""))</f>
        <v/>
      </c>
      <c r="V1216" s="75" t="str">
        <f>IF(ISERROR(FIND('112'!$M$9,G1216,1)),"",IF((AND(RIGHT(G1216,2)=RIGHT('112'!$M$9,2),B1216&lt;'112'!$K$9,$O1216='112'!$I$6)),"x",""))</f>
        <v/>
      </c>
      <c r="W1216" s="75" t="str">
        <f>IF(AND('341-CT'!$H$9=H1216,OR(LEFT(N1216,3)=$W$7,LEFT(O1216,3)=$W$7)),"x","")</f>
        <v/>
      </c>
      <c r="X1216" s="75" t="str">
        <f>IF(OR(TH!N1216=TH!$X$7,O1216=TH!$X$7),"x","")</f>
        <v/>
      </c>
      <c r="Y1216" s="75" t="str">
        <f>IF(AND(OR(N1216="131",O1216="131"),H1216='131-CT'!$H$9),"x","")</f>
        <v/>
      </c>
      <c r="Z1216" s="75"/>
      <c r="AA1216" s="75" t="str">
        <f>IF(AND(MONTH(E1216)='IN-NX'!$J$5,'IN-NX'!$D$7=D1216),"x","")</f>
        <v/>
      </c>
      <c r="AB1216" s="75" t="str">
        <f>IF(AND(OR(LEFT(TH!N1216,2)="15",LEFT(TH!O1216,2)="15"),LEFT(TH!O1216,3)&lt;&gt;"111",'152-CT'!$J$8=TH!F1216),"x","")</f>
        <v/>
      </c>
      <c r="AC1216" s="75" t="str">
        <f>IF(AND(OR(LEFT(TH!N1216,2)="15",LEFT(TH!O1216,2)="15"),TK!$E$7=TH!F1216),"x","")</f>
        <v/>
      </c>
      <c r="AD1216" s="75" t="str">
        <f>IF(AND(N1216="1521",MONTH(C1216)='BK-NL'!$M$11),"x","")</f>
        <v/>
      </c>
    </row>
    <row r="1217" spans="1:30" ht="16.5" customHeight="1">
      <c r="A1217" s="309" t="str">
        <f>IF(B1217&lt;&gt;"",IF(AND(B1217='IN-TC'!$S$4,OR(TH!N1217="1111",TH!O1217="1111")),TH!D1217,""),"")</f>
        <v/>
      </c>
      <c r="B1217" s="1241">
        <f t="shared" si="260"/>
        <v>4</v>
      </c>
      <c r="C1217" s="929">
        <f t="shared" si="263"/>
        <v>42826</v>
      </c>
      <c r="D1217" s="929" t="s">
        <v>2951</v>
      </c>
      <c r="E1217" s="929">
        <v>42826</v>
      </c>
      <c r="F1217" s="1082" t="s">
        <v>333</v>
      </c>
      <c r="G1217" s="931"/>
      <c r="H1217" s="735" t="s">
        <v>424</v>
      </c>
      <c r="I1217" s="371">
        <v>135</v>
      </c>
      <c r="J1217" s="377">
        <v>49027</v>
      </c>
      <c r="K1217" s="371"/>
      <c r="L1217" s="377"/>
      <c r="M1217" s="933">
        <f t="shared" si="264"/>
        <v>6618645</v>
      </c>
      <c r="N1217" s="934" t="s">
        <v>272</v>
      </c>
      <c r="O1217" s="934" t="s">
        <v>266</v>
      </c>
      <c r="P1217" s="75" t="str">
        <f>IF(AND('331-CT'!$E$7=TH!H1217,OR(N1217="331",O1217="331")),"x","")</f>
        <v/>
      </c>
      <c r="Q1217" s="75" t="str">
        <f>IF(AND(B1217='111'!$L$11,OR($N1217=$Q$7,$O1217=$Q$7)),"x","")</f>
        <v/>
      </c>
      <c r="R1217" s="75" t="str">
        <f>IF(AND($N1217=$Q$7,$B1217&lt;'111'!$L$11),"x","")</f>
        <v/>
      </c>
      <c r="S1217" s="75" t="str">
        <f>IF(AND($O1217=$Q$7,$B1217&lt;'111'!$L$11),"x","")</f>
        <v/>
      </c>
      <c r="T1217" s="75" t="str">
        <f>IF(ISERROR(FIND('112'!$M$9,G1217,1)),"",IF((AND(FIND('112'!$M$9,G1217,1)&gt;=1,B1217='112'!$K$9,OR($N1217='112'!$I$6,$O1217='112'!$I$6))),"x",""))</f>
        <v/>
      </c>
      <c r="U1217" s="75" t="str">
        <f>IF(ISERROR(FIND('112'!$M$9,G1217,1)),"",IF((AND(LEFT(G1217,2)=LEFT('112'!$M$9,2),B1217&lt;'112'!$K$9,$N1217='112'!$I$6)),"x",""))</f>
        <v/>
      </c>
      <c r="V1217" s="75" t="str">
        <f>IF(ISERROR(FIND('112'!$M$9,G1217,1)),"",IF((AND(RIGHT(G1217,2)=RIGHT('112'!$M$9,2),B1217&lt;'112'!$K$9,$O1217='112'!$I$6)),"x",""))</f>
        <v/>
      </c>
      <c r="W1217" s="75" t="str">
        <f>IF(AND('341-CT'!$H$9=H1217,OR(LEFT(N1217,3)=$W$7,LEFT(O1217,3)=$W$7)),"x","")</f>
        <v/>
      </c>
      <c r="X1217" s="75" t="str">
        <f>IF(OR(TH!N1217=TH!$X$7,O1217=TH!$X$7),"x","")</f>
        <v/>
      </c>
      <c r="Y1217" s="75" t="str">
        <f>IF(AND(OR(N1217="131",O1217="131"),H1217='131-CT'!$H$9),"x","")</f>
        <v/>
      </c>
      <c r="Z1217" s="75"/>
      <c r="AA1217" s="75" t="str">
        <f>IF(AND(MONTH(E1217)='IN-NX'!$J$5,'IN-NX'!$D$7=D1217),"x","")</f>
        <v/>
      </c>
      <c r="AB1217" s="75" t="str">
        <f>IF(AND(OR(LEFT(TH!N1217,2)="15",LEFT(TH!O1217,2)="15"),LEFT(TH!O1217,3)&lt;&gt;"111",'152-CT'!$J$8=TH!F1217),"x","")</f>
        <v/>
      </c>
      <c r="AC1217" s="75" t="str">
        <f>IF(AND(OR(LEFT(TH!N1217,2)="15",LEFT(TH!O1217,2)="15"),TK!$E$7=TH!F1217),"x","")</f>
        <v/>
      </c>
      <c r="AD1217" s="75" t="str">
        <f>IF(AND(N1217="1521",MONTH(C1217)='BK-NL'!$M$11),"x","")</f>
        <v/>
      </c>
    </row>
    <row r="1218" spans="1:30" ht="16.5" customHeight="1">
      <c r="A1218" s="309" t="str">
        <f>IF(B1218&lt;&gt;"",IF(AND(B1218='IN-TC'!$S$4,OR(TH!N1218="1111",TH!O1218="1111")),TH!D1218,""),"")</f>
        <v/>
      </c>
      <c r="B1218" s="1241">
        <f t="shared" si="260"/>
        <v>4</v>
      </c>
      <c r="C1218" s="929">
        <f t="shared" si="263"/>
        <v>42826</v>
      </c>
      <c r="D1218" s="929" t="s">
        <v>2951</v>
      </c>
      <c r="E1218" s="929">
        <v>42826</v>
      </c>
      <c r="F1218" s="1082" t="s">
        <v>336</v>
      </c>
      <c r="G1218" s="931"/>
      <c r="H1218" s="735" t="s">
        <v>424</v>
      </c>
      <c r="I1218" s="371">
        <v>420</v>
      </c>
      <c r="J1218" s="377">
        <v>15836.734761904761</v>
      </c>
      <c r="K1218" s="371"/>
      <c r="L1218" s="377"/>
      <c r="M1218" s="933">
        <f t="shared" si="264"/>
        <v>6651429</v>
      </c>
      <c r="N1218" s="934" t="s">
        <v>272</v>
      </c>
      <c r="O1218" s="934" t="s">
        <v>266</v>
      </c>
      <c r="P1218" s="75" t="str">
        <f>IF(AND('331-CT'!$E$7=TH!H1218,OR(N1218="331",O1218="331")),"x","")</f>
        <v/>
      </c>
      <c r="Q1218" s="75" t="str">
        <f>IF(AND(B1218='111'!$L$11,OR($N1218=$Q$7,$O1218=$Q$7)),"x","")</f>
        <v/>
      </c>
      <c r="R1218" s="75" t="str">
        <f>IF(AND($N1218=$Q$7,$B1218&lt;'111'!$L$11),"x","")</f>
        <v/>
      </c>
      <c r="S1218" s="75" t="str">
        <f>IF(AND($O1218=$Q$7,$B1218&lt;'111'!$L$11),"x","")</f>
        <v/>
      </c>
      <c r="T1218" s="75" t="str">
        <f>IF(ISERROR(FIND('112'!$M$9,G1218,1)),"",IF((AND(FIND('112'!$M$9,G1218,1)&gt;=1,B1218='112'!$K$9,OR($N1218='112'!$I$6,$O1218='112'!$I$6))),"x",""))</f>
        <v/>
      </c>
      <c r="U1218" s="75" t="str">
        <f>IF(ISERROR(FIND('112'!$M$9,G1218,1)),"",IF((AND(LEFT(G1218,2)=LEFT('112'!$M$9,2),B1218&lt;'112'!$K$9,$N1218='112'!$I$6)),"x",""))</f>
        <v/>
      </c>
      <c r="V1218" s="75" t="str">
        <f>IF(ISERROR(FIND('112'!$M$9,G1218,1)),"",IF((AND(RIGHT(G1218,2)=RIGHT('112'!$M$9,2),B1218&lt;'112'!$K$9,$O1218='112'!$I$6)),"x",""))</f>
        <v/>
      </c>
      <c r="W1218" s="75" t="str">
        <f>IF(AND('341-CT'!$H$9=H1218,OR(LEFT(N1218,3)=$W$7,LEFT(O1218,3)=$W$7)),"x","")</f>
        <v/>
      </c>
      <c r="X1218" s="75" t="str">
        <f>IF(OR(TH!N1218=TH!$X$7,O1218=TH!$X$7),"x","")</f>
        <v/>
      </c>
      <c r="Y1218" s="75" t="str">
        <f>IF(AND(OR(N1218="131",O1218="131"),H1218='131-CT'!$H$9),"x","")</f>
        <v/>
      </c>
      <c r="Z1218" s="75"/>
      <c r="AA1218" s="75" t="str">
        <f>IF(AND(MONTH(E1218)='IN-NX'!$J$5,'IN-NX'!$D$7=D1218),"x","")</f>
        <v/>
      </c>
      <c r="AB1218" s="75" t="str">
        <f>IF(AND(OR(LEFT(TH!N1218,2)="15",LEFT(TH!O1218,2)="15"),LEFT(TH!O1218,3)&lt;&gt;"111",'152-CT'!$J$8=TH!F1218),"x","")</f>
        <v/>
      </c>
      <c r="AC1218" s="75" t="str">
        <f>IF(AND(OR(LEFT(TH!N1218,2)="15",LEFT(TH!O1218,2)="15"),TK!$E$7=TH!F1218),"x","")</f>
        <v>x</v>
      </c>
      <c r="AD1218" s="75" t="str">
        <f>IF(AND(N1218="1521",MONTH(C1218)='BK-NL'!$M$11),"x","")</f>
        <v/>
      </c>
    </row>
    <row r="1219" spans="1:30" ht="16.5" customHeight="1">
      <c r="A1219" s="309" t="str">
        <f>IF(B1219&lt;&gt;"",IF(AND(B1219='IN-TC'!$S$4,OR(TH!N1219="1111",TH!O1219="1111")),TH!D1219,""),"")</f>
        <v/>
      </c>
      <c r="B1219" s="1241">
        <f t="shared" si="260"/>
        <v>4</v>
      </c>
      <c r="C1219" s="929">
        <f t="shared" si="263"/>
        <v>42826</v>
      </c>
      <c r="D1219" s="929" t="s">
        <v>2951</v>
      </c>
      <c r="E1219" s="929">
        <v>42826</v>
      </c>
      <c r="F1219" s="296" t="s">
        <v>804</v>
      </c>
      <c r="G1219" s="931"/>
      <c r="H1219" s="735" t="s">
        <v>424</v>
      </c>
      <c r="I1219" s="371">
        <v>40</v>
      </c>
      <c r="J1219" s="377">
        <v>53000</v>
      </c>
      <c r="K1219" s="371"/>
      <c r="L1219" s="377"/>
      <c r="M1219" s="933">
        <f t="shared" si="264"/>
        <v>2120000</v>
      </c>
      <c r="N1219" s="934" t="s">
        <v>272</v>
      </c>
      <c r="O1219" s="934" t="s">
        <v>266</v>
      </c>
      <c r="P1219" s="75" t="str">
        <f>IF(AND('331-CT'!$E$7=TH!H1219,OR(N1219="331",O1219="331")),"x","")</f>
        <v/>
      </c>
      <c r="Q1219" s="75" t="str">
        <f>IF(AND(B1219='111'!$L$11,OR($N1219=$Q$7,$O1219=$Q$7)),"x","")</f>
        <v/>
      </c>
      <c r="R1219" s="75" t="str">
        <f>IF(AND($N1219=$Q$7,$B1219&lt;'111'!$L$11),"x","")</f>
        <v/>
      </c>
      <c r="S1219" s="75" t="str">
        <f>IF(AND($O1219=$Q$7,$B1219&lt;'111'!$L$11),"x","")</f>
        <v/>
      </c>
      <c r="T1219" s="75" t="str">
        <f>IF(ISERROR(FIND('112'!$M$9,G1219,1)),"",IF((AND(FIND('112'!$M$9,G1219,1)&gt;=1,B1219='112'!$K$9,OR($N1219='112'!$I$6,$O1219='112'!$I$6))),"x",""))</f>
        <v/>
      </c>
      <c r="U1219" s="75" t="str">
        <f>IF(ISERROR(FIND('112'!$M$9,G1219,1)),"",IF((AND(LEFT(G1219,2)=LEFT('112'!$M$9,2),B1219&lt;'112'!$K$9,$N1219='112'!$I$6)),"x",""))</f>
        <v/>
      </c>
      <c r="V1219" s="75" t="str">
        <f>IF(ISERROR(FIND('112'!$M$9,G1219,1)),"",IF((AND(RIGHT(G1219,2)=RIGHT('112'!$M$9,2),B1219&lt;'112'!$K$9,$O1219='112'!$I$6)),"x",""))</f>
        <v/>
      </c>
      <c r="W1219" s="75" t="str">
        <f>IF(AND('341-CT'!$H$9=H1219,OR(LEFT(N1219,3)=$W$7,LEFT(O1219,3)=$W$7)),"x","")</f>
        <v/>
      </c>
      <c r="X1219" s="75" t="str">
        <f>IF(OR(TH!N1219=TH!$X$7,O1219=TH!$X$7),"x","")</f>
        <v/>
      </c>
      <c r="Y1219" s="75" t="str">
        <f>IF(AND(OR(N1219="131",O1219="131"),H1219='131-CT'!$H$9),"x","")</f>
        <v/>
      </c>
      <c r="Z1219" s="75"/>
      <c r="AA1219" s="75" t="str">
        <f>IF(AND(MONTH(E1219)='IN-NX'!$J$5,'IN-NX'!$D$7=D1219),"x","")</f>
        <v/>
      </c>
      <c r="AB1219" s="75" t="str">
        <f>IF(AND(OR(LEFT(TH!N1219,2)="15",LEFT(TH!O1219,2)="15"),LEFT(TH!O1219,3)&lt;&gt;"111",'152-CT'!$J$8=TH!F1219),"x","")</f>
        <v/>
      </c>
      <c r="AC1219" s="75" t="str">
        <f>IF(AND(OR(LEFT(TH!N1219,2)="15",LEFT(TH!O1219,2)="15"),TK!$E$7=TH!F1219),"x","")</f>
        <v/>
      </c>
      <c r="AD1219" s="75" t="str">
        <f>IF(AND(N1219="1521",MONTH(C1219)='BK-NL'!$M$11),"x","")</f>
        <v/>
      </c>
    </row>
    <row r="1220" spans="1:30" ht="16.5" customHeight="1">
      <c r="A1220" s="309" t="str">
        <f>IF(B1220&lt;&gt;"",IF(AND(B1220='IN-TC'!$S$4,OR(TH!N1220="1111",TH!O1220="1111")),TH!D1220,""),"")</f>
        <v/>
      </c>
      <c r="B1220" s="1241">
        <f t="shared" si="260"/>
        <v>4</v>
      </c>
      <c r="C1220" s="929">
        <f t="shared" si="263"/>
        <v>42826</v>
      </c>
      <c r="D1220" s="929" t="s">
        <v>2951</v>
      </c>
      <c r="E1220" s="929">
        <v>42826</v>
      </c>
      <c r="F1220" s="296" t="s">
        <v>341</v>
      </c>
      <c r="G1220" s="931"/>
      <c r="H1220" s="735" t="s">
        <v>424</v>
      </c>
      <c r="I1220" s="371">
        <v>500</v>
      </c>
      <c r="J1220" s="377">
        <v>3000</v>
      </c>
      <c r="K1220" s="371"/>
      <c r="L1220" s="377"/>
      <c r="M1220" s="933">
        <f t="shared" si="264"/>
        <v>1500000</v>
      </c>
      <c r="N1220" s="934" t="s">
        <v>272</v>
      </c>
      <c r="O1220" s="934" t="s">
        <v>266</v>
      </c>
      <c r="P1220" s="75" t="str">
        <f>IF(AND('331-CT'!$E$7=TH!H1220,OR(N1220="331",O1220="331")),"x","")</f>
        <v/>
      </c>
      <c r="Q1220" s="75" t="str">
        <f>IF(AND(B1220='111'!$L$11,OR($N1220=$Q$7,$O1220=$Q$7)),"x","")</f>
        <v/>
      </c>
      <c r="R1220" s="75" t="str">
        <f>IF(AND($N1220=$Q$7,$B1220&lt;'111'!$L$11),"x","")</f>
        <v/>
      </c>
      <c r="S1220" s="75" t="str">
        <f>IF(AND($O1220=$Q$7,$B1220&lt;'111'!$L$11),"x","")</f>
        <v/>
      </c>
      <c r="T1220" s="75" t="str">
        <f>IF(ISERROR(FIND('112'!$M$9,G1220,1)),"",IF((AND(FIND('112'!$M$9,G1220,1)&gt;=1,B1220='112'!$K$9,OR($N1220='112'!$I$6,$O1220='112'!$I$6))),"x",""))</f>
        <v/>
      </c>
      <c r="U1220" s="75" t="str">
        <f>IF(ISERROR(FIND('112'!$M$9,G1220,1)),"",IF((AND(LEFT(G1220,2)=LEFT('112'!$M$9,2),B1220&lt;'112'!$K$9,$N1220='112'!$I$6)),"x",""))</f>
        <v/>
      </c>
      <c r="V1220" s="75" t="str">
        <f>IF(ISERROR(FIND('112'!$M$9,G1220,1)),"",IF((AND(RIGHT(G1220,2)=RIGHT('112'!$M$9,2),B1220&lt;'112'!$K$9,$O1220='112'!$I$6)),"x",""))</f>
        <v/>
      </c>
      <c r="W1220" s="75" t="str">
        <f>IF(AND('341-CT'!$H$9=H1220,OR(LEFT(N1220,3)=$W$7,LEFT(O1220,3)=$W$7)),"x","")</f>
        <v/>
      </c>
      <c r="X1220" s="75" t="str">
        <f>IF(OR(TH!N1220=TH!$X$7,O1220=TH!$X$7),"x","")</f>
        <v/>
      </c>
      <c r="Y1220" s="75" t="str">
        <f>IF(AND(OR(N1220="131",O1220="131"),H1220='131-CT'!$H$9),"x","")</f>
        <v/>
      </c>
      <c r="Z1220" s="75"/>
      <c r="AA1220" s="75" t="str">
        <f>IF(AND(MONTH(E1220)='IN-NX'!$J$5,'IN-NX'!$D$7=D1220),"x","")</f>
        <v/>
      </c>
      <c r="AB1220" s="75" t="str">
        <f>IF(AND(OR(LEFT(TH!N1220,2)="15",LEFT(TH!O1220,2)="15"),LEFT(TH!O1220,3)&lt;&gt;"111",'152-CT'!$J$8=TH!F1220),"x","")</f>
        <v/>
      </c>
      <c r="AC1220" s="75" t="str">
        <f>IF(AND(OR(LEFT(TH!N1220,2)="15",LEFT(TH!O1220,2)="15"),TK!$E$7=TH!F1220),"x","")</f>
        <v/>
      </c>
      <c r="AD1220" s="75" t="str">
        <f>IF(AND(N1220="1521",MONTH(C1220)='BK-NL'!$M$11),"x","")</f>
        <v/>
      </c>
    </row>
    <row r="1221" spans="1:30" ht="16.5" customHeight="1">
      <c r="A1221" s="309" t="str">
        <f>IF(B1221&lt;&gt;"",IF(AND(B1221='IN-TC'!$S$4,OR(TH!N1221="1111",TH!O1221="1111")),TH!D1221,""),"")</f>
        <v/>
      </c>
      <c r="B1221" s="1241">
        <f t="shared" si="260"/>
        <v>4</v>
      </c>
      <c r="C1221" s="929">
        <f t="shared" si="263"/>
        <v>42826</v>
      </c>
      <c r="D1221" s="929" t="s">
        <v>2951</v>
      </c>
      <c r="E1221" s="929">
        <v>42826</v>
      </c>
      <c r="F1221" s="1082" t="s">
        <v>1257</v>
      </c>
      <c r="G1221" s="931"/>
      <c r="H1221" s="735" t="s">
        <v>424</v>
      </c>
      <c r="I1221" s="371">
        <v>1430</v>
      </c>
      <c r="J1221" s="377">
        <v>14728</v>
      </c>
      <c r="K1221" s="371"/>
      <c r="L1221" s="377"/>
      <c r="M1221" s="933">
        <f t="shared" si="264"/>
        <v>21061040</v>
      </c>
      <c r="N1221" s="934" t="s">
        <v>272</v>
      </c>
      <c r="O1221" s="934" t="s">
        <v>266</v>
      </c>
      <c r="P1221" s="75" t="str">
        <f>IF(AND('331-CT'!$E$7=TH!H1221,OR(N1221="331",O1221="331")),"x","")</f>
        <v/>
      </c>
      <c r="Q1221" s="75" t="str">
        <f>IF(AND(B1221='111'!$L$11,OR($N1221=$Q$7,$O1221=$Q$7)),"x","")</f>
        <v/>
      </c>
      <c r="R1221" s="75" t="str">
        <f>IF(AND($N1221=$Q$7,$B1221&lt;'111'!$L$11),"x","")</f>
        <v/>
      </c>
      <c r="S1221" s="75" t="str">
        <f>IF(AND($O1221=$Q$7,$B1221&lt;'111'!$L$11),"x","")</f>
        <v/>
      </c>
      <c r="T1221" s="75" t="str">
        <f>IF(ISERROR(FIND('112'!$M$9,G1221,1)),"",IF((AND(FIND('112'!$M$9,G1221,1)&gt;=1,B1221='112'!$K$9,OR($N1221='112'!$I$6,$O1221='112'!$I$6))),"x",""))</f>
        <v/>
      </c>
      <c r="U1221" s="75" t="str">
        <f>IF(ISERROR(FIND('112'!$M$9,G1221,1)),"",IF((AND(LEFT(G1221,2)=LEFT('112'!$M$9,2),B1221&lt;'112'!$K$9,$N1221='112'!$I$6)),"x",""))</f>
        <v/>
      </c>
      <c r="V1221" s="75" t="str">
        <f>IF(ISERROR(FIND('112'!$M$9,G1221,1)),"",IF((AND(RIGHT(G1221,2)=RIGHT('112'!$M$9,2),B1221&lt;'112'!$K$9,$O1221='112'!$I$6)),"x",""))</f>
        <v/>
      </c>
      <c r="W1221" s="75" t="str">
        <f>IF(AND('341-CT'!$H$9=H1221,OR(LEFT(N1221,3)=$W$7,LEFT(O1221,3)=$W$7)),"x","")</f>
        <v/>
      </c>
      <c r="X1221" s="75" t="str">
        <f>IF(OR(TH!N1221=TH!$X$7,O1221=TH!$X$7),"x","")</f>
        <v/>
      </c>
      <c r="Y1221" s="75" t="str">
        <f>IF(AND(OR(N1221="131",O1221="131"),H1221='131-CT'!$H$9),"x","")</f>
        <v/>
      </c>
      <c r="Z1221" s="75"/>
      <c r="AA1221" s="75" t="str">
        <f>IF(AND(MONTH(E1221)='IN-NX'!$J$5,'IN-NX'!$D$7=D1221),"x","")</f>
        <v/>
      </c>
      <c r="AB1221" s="75" t="str">
        <f>IF(AND(OR(LEFT(TH!N1221,2)="15",LEFT(TH!O1221,2)="15"),LEFT(TH!O1221,3)&lt;&gt;"111",'152-CT'!$J$8=TH!F1221),"x","")</f>
        <v/>
      </c>
      <c r="AC1221" s="75" t="str">
        <f>IF(AND(OR(LEFT(TH!N1221,2)="15",LEFT(TH!O1221,2)="15"),TK!$E$7=TH!F1221),"x","")</f>
        <v/>
      </c>
      <c r="AD1221" s="75" t="str">
        <f>IF(AND(N1221="1521",MONTH(C1221)='BK-NL'!$M$11),"x","")</f>
        <v/>
      </c>
    </row>
    <row r="1222" spans="1:30" ht="16.5" customHeight="1">
      <c r="A1222" s="309" t="str">
        <f>IF(B1222&lt;&gt;"",IF(AND(B1222='IN-TC'!$S$4,OR(TH!N1222="1111",TH!O1222="1111")),TH!D1222,""),"")</f>
        <v/>
      </c>
      <c r="B1222" s="1241">
        <f t="shared" si="260"/>
        <v>4</v>
      </c>
      <c r="C1222" s="929">
        <f t="shared" si="263"/>
        <v>42826</v>
      </c>
      <c r="D1222" s="929" t="s">
        <v>2951</v>
      </c>
      <c r="E1222" s="929">
        <v>42826</v>
      </c>
      <c r="F1222" s="1082" t="s">
        <v>346</v>
      </c>
      <c r="G1222" s="931"/>
      <c r="H1222" s="735" t="s">
        <v>424</v>
      </c>
      <c r="I1222" s="371">
        <v>200</v>
      </c>
      <c r="J1222" s="377">
        <v>8700</v>
      </c>
      <c r="K1222" s="371"/>
      <c r="L1222" s="377"/>
      <c r="M1222" s="933">
        <f t="shared" si="264"/>
        <v>1740000</v>
      </c>
      <c r="N1222" s="934" t="s">
        <v>272</v>
      </c>
      <c r="O1222" s="934" t="s">
        <v>266</v>
      </c>
      <c r="P1222" s="75" t="str">
        <f>IF(AND('331-CT'!$E$7=TH!H1222,OR(N1222="331",O1222="331")),"x","")</f>
        <v/>
      </c>
      <c r="Q1222" s="75" t="str">
        <f>IF(AND(B1222='111'!$L$11,OR($N1222=$Q$7,$O1222=$Q$7)),"x","")</f>
        <v/>
      </c>
      <c r="R1222" s="75" t="str">
        <f>IF(AND($N1222=$Q$7,$B1222&lt;'111'!$L$11),"x","")</f>
        <v/>
      </c>
      <c r="S1222" s="75" t="str">
        <f>IF(AND($O1222=$Q$7,$B1222&lt;'111'!$L$11),"x","")</f>
        <v/>
      </c>
      <c r="T1222" s="75" t="str">
        <f>IF(ISERROR(FIND('112'!$M$9,G1222,1)),"",IF((AND(FIND('112'!$M$9,G1222,1)&gt;=1,B1222='112'!$K$9,OR($N1222='112'!$I$6,$O1222='112'!$I$6))),"x",""))</f>
        <v/>
      </c>
      <c r="U1222" s="75" t="str">
        <f>IF(ISERROR(FIND('112'!$M$9,G1222,1)),"",IF((AND(LEFT(G1222,2)=LEFT('112'!$M$9,2),B1222&lt;'112'!$K$9,$N1222='112'!$I$6)),"x",""))</f>
        <v/>
      </c>
      <c r="V1222" s="75" t="str">
        <f>IF(ISERROR(FIND('112'!$M$9,G1222,1)),"",IF((AND(RIGHT(G1222,2)=RIGHT('112'!$M$9,2),B1222&lt;'112'!$K$9,$O1222='112'!$I$6)),"x",""))</f>
        <v/>
      </c>
      <c r="W1222" s="75" t="str">
        <f>IF(AND('341-CT'!$H$9=H1222,OR(LEFT(N1222,3)=$W$7,LEFT(O1222,3)=$W$7)),"x","")</f>
        <v/>
      </c>
      <c r="X1222" s="75" t="str">
        <f>IF(OR(TH!N1222=TH!$X$7,O1222=TH!$X$7),"x","")</f>
        <v/>
      </c>
      <c r="Y1222" s="75" t="str">
        <f>IF(AND(OR(N1222="131",O1222="131"),H1222='131-CT'!$H$9),"x","")</f>
        <v/>
      </c>
      <c r="Z1222" s="75"/>
      <c r="AA1222" s="75" t="str">
        <f>IF(AND(MONTH(E1222)='IN-NX'!$J$5,'IN-NX'!$D$7=D1222),"x","")</f>
        <v/>
      </c>
      <c r="AB1222" s="75" t="str">
        <f>IF(AND(OR(LEFT(TH!N1222,2)="15",LEFT(TH!O1222,2)="15"),LEFT(TH!O1222,3)&lt;&gt;"111",'152-CT'!$J$8=TH!F1222),"x","")</f>
        <v/>
      </c>
      <c r="AC1222" s="75" t="str">
        <f>IF(AND(OR(LEFT(TH!N1222,2)="15",LEFT(TH!O1222,2)="15"),TK!$E$7=TH!F1222),"x","")</f>
        <v/>
      </c>
      <c r="AD1222" s="75" t="str">
        <f>IF(AND(N1222="1521",MONTH(C1222)='BK-NL'!$M$11),"x","")</f>
        <v/>
      </c>
    </row>
    <row r="1223" spans="1:30" ht="16.5" customHeight="1">
      <c r="A1223" s="309" t="str">
        <f>IF(B1223&lt;&gt;"",IF(AND(B1223='IN-TC'!$S$4,OR(TH!N1223="1111",TH!O1223="1111")),TH!D1223,""),"")</f>
        <v/>
      </c>
      <c r="B1223" s="1241">
        <f t="shared" si="260"/>
        <v>4</v>
      </c>
      <c r="C1223" s="929">
        <f t="shared" si="263"/>
        <v>42826</v>
      </c>
      <c r="D1223" s="929" t="s">
        <v>2951</v>
      </c>
      <c r="E1223" s="929">
        <v>42826</v>
      </c>
      <c r="F1223" s="1082" t="s">
        <v>795</v>
      </c>
      <c r="G1223" s="931"/>
      <c r="H1223" s="735" t="s">
        <v>424</v>
      </c>
      <c r="I1223" s="371">
        <v>34510</v>
      </c>
      <c r="J1223" s="377">
        <v>8500</v>
      </c>
      <c r="K1223" s="371"/>
      <c r="L1223" s="377"/>
      <c r="M1223" s="933">
        <f t="shared" si="264"/>
        <v>293335000</v>
      </c>
      <c r="N1223" s="934" t="s">
        <v>272</v>
      </c>
      <c r="O1223" s="934" t="s">
        <v>266</v>
      </c>
      <c r="P1223" s="75" t="str">
        <f>IF(AND('331-CT'!$E$7=TH!H1223,OR(N1223="331",O1223="331")),"x","")</f>
        <v/>
      </c>
      <c r="Q1223" s="75" t="str">
        <f>IF(AND(B1223='111'!$L$11,OR($N1223=$Q$7,$O1223=$Q$7)),"x","")</f>
        <v/>
      </c>
      <c r="R1223" s="75" t="str">
        <f>IF(AND($N1223=$Q$7,$B1223&lt;'111'!$L$11),"x","")</f>
        <v/>
      </c>
      <c r="S1223" s="75" t="str">
        <f>IF(AND($O1223=$Q$7,$B1223&lt;'111'!$L$11),"x","")</f>
        <v/>
      </c>
      <c r="T1223" s="75" t="str">
        <f>IF(ISERROR(FIND('112'!$M$9,G1223,1)),"",IF((AND(FIND('112'!$M$9,G1223,1)&gt;=1,B1223='112'!$K$9,OR($N1223='112'!$I$6,$O1223='112'!$I$6))),"x",""))</f>
        <v/>
      </c>
      <c r="U1223" s="75" t="str">
        <f>IF(ISERROR(FIND('112'!$M$9,G1223,1)),"",IF((AND(LEFT(G1223,2)=LEFT('112'!$M$9,2),B1223&lt;'112'!$K$9,$N1223='112'!$I$6)),"x",""))</f>
        <v/>
      </c>
      <c r="V1223" s="75" t="str">
        <f>IF(ISERROR(FIND('112'!$M$9,G1223,1)),"",IF((AND(RIGHT(G1223,2)=RIGHT('112'!$M$9,2),B1223&lt;'112'!$K$9,$O1223='112'!$I$6)),"x",""))</f>
        <v/>
      </c>
      <c r="W1223" s="75" t="str">
        <f>IF(AND('341-CT'!$H$9=H1223,OR(LEFT(N1223,3)=$W$7,LEFT(O1223,3)=$W$7)),"x","")</f>
        <v/>
      </c>
      <c r="X1223" s="75" t="str">
        <f>IF(OR(TH!N1223=TH!$X$7,O1223=TH!$X$7),"x","")</f>
        <v/>
      </c>
      <c r="Y1223" s="75" t="str">
        <f>IF(AND(OR(N1223="131",O1223="131"),H1223='131-CT'!$H$9),"x","")</f>
        <v/>
      </c>
      <c r="Z1223" s="75"/>
      <c r="AA1223" s="75" t="str">
        <f>IF(AND(MONTH(E1223)='IN-NX'!$J$5,'IN-NX'!$D$7=D1223),"x","")</f>
        <v/>
      </c>
      <c r="AB1223" s="75" t="str">
        <f>IF(AND(OR(LEFT(TH!N1223,2)="15",LEFT(TH!O1223,2)="15"),LEFT(TH!O1223,3)&lt;&gt;"111",'152-CT'!$J$8=TH!F1223),"x","")</f>
        <v/>
      </c>
      <c r="AC1223" s="75" t="str">
        <f>IF(AND(OR(LEFT(TH!N1223,2)="15",LEFT(TH!O1223,2)="15"),TK!$E$7=TH!F1223),"x","")</f>
        <v/>
      </c>
      <c r="AD1223" s="75" t="str">
        <f>IF(AND(N1223="1521",MONTH(C1223)='BK-NL'!$M$11),"x","")</f>
        <v/>
      </c>
    </row>
    <row r="1224" spans="1:30" ht="16.5" customHeight="1">
      <c r="A1224" s="309" t="str">
        <f>IF(B1224&lt;&gt;"",IF(AND(B1224='IN-TC'!$S$4,OR(TH!N1224="1111",TH!O1224="1111")),TH!D1224,""),"")</f>
        <v/>
      </c>
      <c r="B1224" s="1241">
        <f t="shared" si="260"/>
        <v>4</v>
      </c>
      <c r="C1224" s="929">
        <f t="shared" si="263"/>
        <v>42844</v>
      </c>
      <c r="D1224" s="929" t="s">
        <v>2951</v>
      </c>
      <c r="E1224" s="929">
        <v>42844</v>
      </c>
      <c r="F1224" s="1082" t="s">
        <v>752</v>
      </c>
      <c r="G1224" s="931"/>
      <c r="H1224" s="735" t="s">
        <v>424</v>
      </c>
      <c r="I1224" s="371">
        <v>3427</v>
      </c>
      <c r="J1224" s="377">
        <v>10284.82637875693</v>
      </c>
      <c r="K1224" s="371"/>
      <c r="L1224" s="377"/>
      <c r="M1224" s="933">
        <f t="shared" si="264"/>
        <v>35246100</v>
      </c>
      <c r="N1224" s="934" t="s">
        <v>272</v>
      </c>
      <c r="O1224" s="934" t="s">
        <v>266</v>
      </c>
      <c r="P1224" s="75" t="str">
        <f>IF(AND('331-CT'!$E$7=TH!H1224,OR(N1224="331",O1224="331")),"x","")</f>
        <v/>
      </c>
      <c r="Q1224" s="75" t="str">
        <f>IF(AND(B1224='111'!$L$11,OR($N1224=$Q$7,$O1224=$Q$7)),"x","")</f>
        <v/>
      </c>
      <c r="R1224" s="75" t="str">
        <f>IF(AND($N1224=$Q$7,$B1224&lt;'111'!$L$11),"x","")</f>
        <v/>
      </c>
      <c r="S1224" s="75" t="str">
        <f>IF(AND($O1224=$Q$7,$B1224&lt;'111'!$L$11),"x","")</f>
        <v/>
      </c>
      <c r="T1224" s="75" t="str">
        <f>IF(ISERROR(FIND('112'!$M$9,G1224,1)),"",IF((AND(FIND('112'!$M$9,G1224,1)&gt;=1,B1224='112'!$K$9,OR($N1224='112'!$I$6,$O1224='112'!$I$6))),"x",""))</f>
        <v/>
      </c>
      <c r="U1224" s="75" t="str">
        <f>IF(ISERROR(FIND('112'!$M$9,G1224,1)),"",IF((AND(LEFT(G1224,2)=LEFT('112'!$M$9,2),B1224&lt;'112'!$K$9,$N1224='112'!$I$6)),"x",""))</f>
        <v/>
      </c>
      <c r="V1224" s="75" t="str">
        <f>IF(ISERROR(FIND('112'!$M$9,G1224,1)),"",IF((AND(RIGHT(G1224,2)=RIGHT('112'!$M$9,2),B1224&lt;'112'!$K$9,$O1224='112'!$I$6)),"x",""))</f>
        <v/>
      </c>
      <c r="W1224" s="75" t="str">
        <f>IF(AND('341-CT'!$H$9=H1224,OR(LEFT(N1224,3)=$W$7,LEFT(O1224,3)=$W$7)),"x","")</f>
        <v/>
      </c>
      <c r="X1224" s="75" t="str">
        <f>IF(OR(TH!N1224=TH!$X$7,O1224=TH!$X$7),"x","")</f>
        <v/>
      </c>
      <c r="Y1224" s="75" t="str">
        <f>IF(AND(OR(N1224="131",O1224="131"),H1224='131-CT'!$H$9),"x","")</f>
        <v/>
      </c>
      <c r="Z1224" s="75"/>
      <c r="AA1224" s="75" t="str">
        <f>IF(AND(MONTH(E1224)='IN-NX'!$J$5,'IN-NX'!$D$7=D1224),"x","")</f>
        <v/>
      </c>
      <c r="AB1224" s="75" t="str">
        <f>IF(AND(OR(LEFT(TH!N1224,2)="15",LEFT(TH!O1224,2)="15"),LEFT(TH!O1224,3)&lt;&gt;"111",'152-CT'!$J$8=TH!F1224),"x","")</f>
        <v/>
      </c>
      <c r="AC1224" s="75" t="str">
        <f>IF(AND(OR(LEFT(TH!N1224,2)="15",LEFT(TH!O1224,2)="15"),TK!$E$7=TH!F1224),"x","")</f>
        <v/>
      </c>
      <c r="AD1224" s="75" t="str">
        <f>IF(AND(N1224="1521",MONTH(C1224)='BK-NL'!$M$11),"x","")</f>
        <v/>
      </c>
    </row>
    <row r="1225" spans="1:30" ht="16.5" customHeight="1">
      <c r="A1225" s="309" t="str">
        <f>IF(B1225&lt;&gt;"",IF(AND(B1225='IN-TC'!$S$4,OR(TH!N1225="1111",TH!O1225="1111")),TH!D1225,""),"")</f>
        <v/>
      </c>
      <c r="B1225" s="1241">
        <f t="shared" si="260"/>
        <v>4</v>
      </c>
      <c r="C1225" s="929">
        <f t="shared" si="263"/>
        <v>42839</v>
      </c>
      <c r="D1225" s="929" t="s">
        <v>2951</v>
      </c>
      <c r="E1225" s="929">
        <v>42839</v>
      </c>
      <c r="F1225" s="1082" t="s">
        <v>371</v>
      </c>
      <c r="G1225" s="931"/>
      <c r="H1225" s="735" t="s">
        <v>424</v>
      </c>
      <c r="I1225" s="371">
        <v>1156</v>
      </c>
      <c r="J1225" s="377">
        <v>15500</v>
      </c>
      <c r="K1225" s="371"/>
      <c r="L1225" s="377"/>
      <c r="M1225" s="933">
        <f t="shared" si="264"/>
        <v>17918000</v>
      </c>
      <c r="N1225" s="934" t="s">
        <v>272</v>
      </c>
      <c r="O1225" s="934" t="s">
        <v>266</v>
      </c>
      <c r="P1225" s="75" t="str">
        <f>IF(AND('331-CT'!$E$7=TH!H1225,OR(N1225="331",O1225="331")),"x","")</f>
        <v/>
      </c>
      <c r="Q1225" s="75" t="str">
        <f>IF(AND(B1225='111'!$L$11,OR($N1225=$Q$7,$O1225=$Q$7)),"x","")</f>
        <v/>
      </c>
      <c r="R1225" s="75" t="str">
        <f>IF(AND($N1225=$Q$7,$B1225&lt;'111'!$L$11),"x","")</f>
        <v/>
      </c>
      <c r="S1225" s="75" t="str">
        <f>IF(AND($O1225=$Q$7,$B1225&lt;'111'!$L$11),"x","")</f>
        <v/>
      </c>
      <c r="T1225" s="75" t="str">
        <f>IF(ISERROR(FIND('112'!$M$9,G1225,1)),"",IF((AND(FIND('112'!$M$9,G1225,1)&gt;=1,B1225='112'!$K$9,OR($N1225='112'!$I$6,$O1225='112'!$I$6))),"x",""))</f>
        <v/>
      </c>
      <c r="U1225" s="75" t="str">
        <f>IF(ISERROR(FIND('112'!$M$9,G1225,1)),"",IF((AND(LEFT(G1225,2)=LEFT('112'!$M$9,2),B1225&lt;'112'!$K$9,$N1225='112'!$I$6)),"x",""))</f>
        <v/>
      </c>
      <c r="V1225" s="75" t="str">
        <f>IF(ISERROR(FIND('112'!$M$9,G1225,1)),"",IF((AND(RIGHT(G1225,2)=RIGHT('112'!$M$9,2),B1225&lt;'112'!$K$9,$O1225='112'!$I$6)),"x",""))</f>
        <v/>
      </c>
      <c r="W1225" s="75" t="str">
        <f>IF(AND('341-CT'!$H$9=H1225,OR(LEFT(N1225,3)=$W$7,LEFT(O1225,3)=$W$7)),"x","")</f>
        <v/>
      </c>
      <c r="X1225" s="75" t="str">
        <f>IF(OR(TH!N1225=TH!$X$7,O1225=TH!$X$7),"x","")</f>
        <v/>
      </c>
      <c r="Y1225" s="75" t="str">
        <f>IF(AND(OR(N1225="131",O1225="131"),H1225='131-CT'!$H$9),"x","")</f>
        <v/>
      </c>
      <c r="Z1225" s="75"/>
      <c r="AA1225" s="75" t="str">
        <f>IF(AND(MONTH(E1225)='IN-NX'!$J$5,'IN-NX'!$D$7=D1225),"x","")</f>
        <v/>
      </c>
      <c r="AB1225" s="75" t="str">
        <f>IF(AND(OR(LEFT(TH!N1225,2)="15",LEFT(TH!O1225,2)="15"),LEFT(TH!O1225,3)&lt;&gt;"111",'152-CT'!$J$8=TH!F1225),"x","")</f>
        <v/>
      </c>
      <c r="AC1225" s="75" t="str">
        <f>IF(AND(OR(LEFT(TH!N1225,2)="15",LEFT(TH!O1225,2)="15"),TK!$E$7=TH!F1225),"x","")</f>
        <v/>
      </c>
      <c r="AD1225" s="75" t="str">
        <f>IF(AND(N1225="1521",MONTH(C1225)='BK-NL'!$M$11),"x","")</f>
        <v/>
      </c>
    </row>
    <row r="1226" spans="1:30" ht="16.5" customHeight="1">
      <c r="A1226" s="309" t="str">
        <f>IF(B1226&lt;&gt;"",IF(AND(B1226='IN-TC'!$S$4,OR(TH!N1226="1111",TH!O1226="1111")),TH!D1226,""),"")</f>
        <v/>
      </c>
      <c r="B1226" s="1241">
        <f t="shared" si="260"/>
        <v>4</v>
      </c>
      <c r="C1226" s="929">
        <f t="shared" si="263"/>
        <v>42849</v>
      </c>
      <c r="D1226" s="929" t="s">
        <v>2951</v>
      </c>
      <c r="E1226" s="929">
        <v>42849</v>
      </c>
      <c r="F1226" s="1082" t="s">
        <v>780</v>
      </c>
      <c r="G1226" s="931"/>
      <c r="H1226" s="735" t="s">
        <v>424</v>
      </c>
      <c r="I1226" s="371">
        <v>403</v>
      </c>
      <c r="J1226" s="377">
        <v>10300</v>
      </c>
      <c r="K1226" s="371"/>
      <c r="L1226" s="377"/>
      <c r="M1226" s="933">
        <f t="shared" si="264"/>
        <v>4150900</v>
      </c>
      <c r="N1226" s="934" t="s">
        <v>272</v>
      </c>
      <c r="O1226" s="934" t="s">
        <v>266</v>
      </c>
      <c r="P1226" s="75" t="str">
        <f>IF(AND('331-CT'!$E$7=TH!H1226,OR(N1226="331",O1226="331")),"x","")</f>
        <v/>
      </c>
      <c r="Q1226" s="75" t="str">
        <f>IF(AND(B1226='111'!$L$11,OR($N1226=$Q$7,$O1226=$Q$7)),"x","")</f>
        <v/>
      </c>
      <c r="R1226" s="75" t="str">
        <f>IF(AND($N1226=$Q$7,$B1226&lt;'111'!$L$11),"x","")</f>
        <v/>
      </c>
      <c r="S1226" s="75" t="str">
        <f>IF(AND($O1226=$Q$7,$B1226&lt;'111'!$L$11),"x","")</f>
        <v/>
      </c>
      <c r="T1226" s="75" t="str">
        <f>IF(ISERROR(FIND('112'!$M$9,G1226,1)),"",IF((AND(FIND('112'!$M$9,G1226,1)&gt;=1,B1226='112'!$K$9,OR($N1226='112'!$I$6,$O1226='112'!$I$6))),"x",""))</f>
        <v/>
      </c>
      <c r="U1226" s="75" t="str">
        <f>IF(ISERROR(FIND('112'!$M$9,G1226,1)),"",IF((AND(LEFT(G1226,2)=LEFT('112'!$M$9,2),B1226&lt;'112'!$K$9,$N1226='112'!$I$6)),"x",""))</f>
        <v/>
      </c>
      <c r="V1226" s="75" t="str">
        <f>IF(ISERROR(FIND('112'!$M$9,G1226,1)),"",IF((AND(RIGHT(G1226,2)=RIGHT('112'!$M$9,2),B1226&lt;'112'!$K$9,$O1226='112'!$I$6)),"x",""))</f>
        <v/>
      </c>
      <c r="W1226" s="75" t="str">
        <f>IF(AND('341-CT'!$H$9=H1226,OR(LEFT(N1226,3)=$W$7,LEFT(O1226,3)=$W$7)),"x","")</f>
        <v/>
      </c>
      <c r="X1226" s="75" t="str">
        <f>IF(OR(TH!N1226=TH!$X$7,O1226=TH!$X$7),"x","")</f>
        <v/>
      </c>
      <c r="Y1226" s="75" t="str">
        <f>IF(AND(OR(N1226="131",O1226="131"),H1226='131-CT'!$H$9),"x","")</f>
        <v/>
      </c>
      <c r="Z1226" s="75"/>
      <c r="AA1226" s="75" t="str">
        <f>IF(AND(MONTH(E1226)='IN-NX'!$J$5,'IN-NX'!$D$7=D1226),"x","")</f>
        <v/>
      </c>
      <c r="AB1226" s="75" t="str">
        <f>IF(AND(OR(LEFT(TH!N1226,2)="15",LEFT(TH!O1226,2)="15"),LEFT(TH!O1226,3)&lt;&gt;"111",'152-CT'!$J$8=TH!F1226),"x","")</f>
        <v/>
      </c>
      <c r="AC1226" s="75" t="str">
        <f>IF(AND(OR(LEFT(TH!N1226,2)="15",LEFT(TH!O1226,2)="15"),TK!$E$7=TH!F1226),"x","")</f>
        <v/>
      </c>
      <c r="AD1226" s="75" t="str">
        <f>IF(AND(N1226="1521",MONTH(C1226)='BK-NL'!$M$11),"x","")</f>
        <v/>
      </c>
    </row>
    <row r="1227" spans="1:30" ht="16.5" customHeight="1">
      <c r="A1227" s="309" t="str">
        <f>IF(B1227&lt;&gt;"",IF(AND(B1227='IN-TC'!$S$4,OR(TH!N1227="1111",TH!O1227="1111")),TH!D1227,""),"")</f>
        <v/>
      </c>
      <c r="B1227" s="1241">
        <f t="shared" si="260"/>
        <v>4</v>
      </c>
      <c r="C1227" s="292">
        <f t="shared" si="263"/>
        <v>42827</v>
      </c>
      <c r="D1227" s="292" t="s">
        <v>2957</v>
      </c>
      <c r="E1227" s="292">
        <v>42827</v>
      </c>
      <c r="F1227" s="429" t="s">
        <v>771</v>
      </c>
      <c r="G1227" s="925"/>
      <c r="H1227" s="429" t="s">
        <v>1882</v>
      </c>
      <c r="I1227" s="373">
        <v>25740</v>
      </c>
      <c r="J1227" s="379">
        <v>18000</v>
      </c>
      <c r="K1227" s="373"/>
      <c r="L1227" s="379"/>
      <c r="M1227" s="927">
        <f t="shared" si="264"/>
        <v>463320000</v>
      </c>
      <c r="N1227" s="295" t="s">
        <v>264</v>
      </c>
      <c r="O1227" s="295" t="s">
        <v>8</v>
      </c>
      <c r="P1227" s="75" t="str">
        <f>IF(AND('331-CT'!$E$7=TH!H1227,OR(N1227="331",O1227="331")),"x","")</f>
        <v/>
      </c>
      <c r="Q1227" s="75" t="str">
        <f>IF(AND(B1227='111'!$L$11,OR($N1227=$Q$7,$O1227=$Q$7)),"x","")</f>
        <v/>
      </c>
      <c r="R1227" s="75" t="str">
        <f>IF(AND($N1227=$Q$7,$B1227&lt;'111'!$L$11),"x","")</f>
        <v/>
      </c>
      <c r="S1227" s="75" t="str">
        <f>IF(AND($O1227=$Q$7,$B1227&lt;'111'!$L$11),"x","")</f>
        <v/>
      </c>
      <c r="T1227" s="75" t="str">
        <f>IF(ISERROR(FIND('112'!$M$9,G1227,1)),"",IF((AND(FIND('112'!$M$9,G1227,1)&gt;=1,B1227='112'!$K$9,OR($N1227='112'!$I$6,$O1227='112'!$I$6))),"x",""))</f>
        <v/>
      </c>
      <c r="U1227" s="75" t="str">
        <f>IF(ISERROR(FIND('112'!$M$9,G1227,1)),"",IF((AND(LEFT(G1227,2)=LEFT('112'!$M$9,2),B1227&lt;'112'!$K$9,$N1227='112'!$I$6)),"x",""))</f>
        <v/>
      </c>
      <c r="V1227" s="75" t="str">
        <f>IF(ISERROR(FIND('112'!$M$9,G1227,1)),"",IF((AND(RIGHT(G1227,2)=RIGHT('112'!$M$9,2),B1227&lt;'112'!$K$9,$O1227='112'!$I$6)),"x",""))</f>
        <v/>
      </c>
      <c r="W1227" s="75" t="str">
        <f>IF(AND('341-CT'!$H$9=H1227,OR(LEFT(N1227,3)=$W$7,LEFT(O1227,3)=$W$7)),"x","")</f>
        <v/>
      </c>
      <c r="X1227" s="75" t="str">
        <f>IF(OR(TH!N1227=TH!$X$7,O1227=TH!$X$7),"x","")</f>
        <v/>
      </c>
      <c r="Y1227" s="75" t="str">
        <f>IF(AND(OR(N1227="131",O1227="131"),H1227='131-CT'!$H$9),"x","")</f>
        <v/>
      </c>
      <c r="Z1227" s="75"/>
      <c r="AA1227" s="75" t="str">
        <f>IF(AND(MONTH(E1227)='IN-NX'!$J$5,'IN-NX'!$D$7=D1227),"x","")</f>
        <v/>
      </c>
      <c r="AB1227" s="75" t="str">
        <f>IF(AND(OR(LEFT(TH!N1227,2)="15",LEFT(TH!O1227,2)="15"),LEFT(TH!O1227,3)&lt;&gt;"111",'152-CT'!$J$8=TH!F1227),"x","")</f>
        <v/>
      </c>
      <c r="AC1227" s="75" t="str">
        <f>IF(AND(OR(LEFT(TH!N1227,2)="15",LEFT(TH!O1227,2)="15"),TK!$E$7=TH!F1227),"x","")</f>
        <v/>
      </c>
      <c r="AD1227" s="75" t="str">
        <f>IF(AND(N1227="1521",MONTH(C1227)='BK-NL'!$M$11),"x","")</f>
        <v>x</v>
      </c>
    </row>
    <row r="1228" spans="1:30" ht="16.5" customHeight="1">
      <c r="A1228" s="309" t="str">
        <f>IF(B1228&lt;&gt;"",IF(AND(B1228='IN-TC'!$S$4,OR(TH!N1228="1111",TH!O1228="1111")),TH!D1228,""),"")</f>
        <v/>
      </c>
      <c r="B1228" s="1241">
        <f t="shared" si="260"/>
        <v>4</v>
      </c>
      <c r="C1228" s="292">
        <f t="shared" si="263"/>
        <v>42827</v>
      </c>
      <c r="D1228" s="292" t="s">
        <v>2958</v>
      </c>
      <c r="E1228" s="292">
        <v>42827</v>
      </c>
      <c r="F1228" s="429" t="s">
        <v>771</v>
      </c>
      <c r="G1228" s="925"/>
      <c r="H1228" s="429" t="s">
        <v>1890</v>
      </c>
      <c r="I1228" s="373">
        <v>25630</v>
      </c>
      <c r="J1228" s="379">
        <v>18000</v>
      </c>
      <c r="K1228" s="373"/>
      <c r="L1228" s="379"/>
      <c r="M1228" s="927">
        <f t="shared" si="264"/>
        <v>461340000</v>
      </c>
      <c r="N1228" s="295" t="s">
        <v>264</v>
      </c>
      <c r="O1228" s="295" t="s">
        <v>8</v>
      </c>
      <c r="P1228" s="75" t="str">
        <f>IF(AND('331-CT'!$E$7=TH!H1228,OR(N1228="331",O1228="331")),"x","")</f>
        <v/>
      </c>
      <c r="Q1228" s="75" t="str">
        <f>IF(AND(B1228='111'!$L$11,OR($N1228=$Q$7,$O1228=$Q$7)),"x","")</f>
        <v/>
      </c>
      <c r="R1228" s="75" t="str">
        <f>IF(AND($N1228=$Q$7,$B1228&lt;'111'!$L$11),"x","")</f>
        <v/>
      </c>
      <c r="S1228" s="75" t="str">
        <f>IF(AND($O1228=$Q$7,$B1228&lt;'111'!$L$11),"x","")</f>
        <v/>
      </c>
      <c r="T1228" s="75" t="str">
        <f>IF(ISERROR(FIND('112'!$M$9,G1228,1)),"",IF((AND(FIND('112'!$M$9,G1228,1)&gt;=1,B1228='112'!$K$9,OR($N1228='112'!$I$6,$O1228='112'!$I$6))),"x",""))</f>
        <v/>
      </c>
      <c r="U1228" s="75" t="str">
        <f>IF(ISERROR(FIND('112'!$M$9,G1228,1)),"",IF((AND(LEFT(G1228,2)=LEFT('112'!$M$9,2),B1228&lt;'112'!$K$9,$N1228='112'!$I$6)),"x",""))</f>
        <v/>
      </c>
      <c r="V1228" s="75" t="str">
        <f>IF(ISERROR(FIND('112'!$M$9,G1228,1)),"",IF((AND(RIGHT(G1228,2)=RIGHT('112'!$M$9,2),B1228&lt;'112'!$K$9,$O1228='112'!$I$6)),"x",""))</f>
        <v/>
      </c>
      <c r="W1228" s="75" t="str">
        <f>IF(AND('341-CT'!$H$9=H1228,OR(LEFT(N1228,3)=$W$7,LEFT(O1228,3)=$W$7)),"x","")</f>
        <v/>
      </c>
      <c r="X1228" s="75" t="str">
        <f>IF(OR(TH!N1228=TH!$X$7,O1228=TH!$X$7),"x","")</f>
        <v/>
      </c>
      <c r="Y1228" s="75" t="str">
        <f>IF(AND(OR(N1228="131",O1228="131"),H1228='131-CT'!$H$9),"x","")</f>
        <v/>
      </c>
      <c r="Z1228" s="75"/>
      <c r="AA1228" s="75" t="str">
        <f>IF(AND(MONTH(E1228)='IN-NX'!$J$5,'IN-NX'!$D$7=D1228),"x","")</f>
        <v/>
      </c>
      <c r="AB1228" s="75" t="str">
        <f>IF(AND(OR(LEFT(TH!N1228,2)="15",LEFT(TH!O1228,2)="15"),LEFT(TH!O1228,3)&lt;&gt;"111",'152-CT'!$J$8=TH!F1228),"x","")</f>
        <v/>
      </c>
      <c r="AC1228" s="75" t="str">
        <f>IF(AND(OR(LEFT(TH!N1228,2)="15",LEFT(TH!O1228,2)="15"),TK!$E$7=TH!F1228),"x","")</f>
        <v/>
      </c>
      <c r="AD1228" s="75" t="str">
        <f>IF(AND(N1228="1521",MONTH(C1228)='BK-NL'!$M$11),"x","")</f>
        <v>x</v>
      </c>
    </row>
    <row r="1229" spans="1:30" ht="16.5" customHeight="1">
      <c r="A1229" s="309" t="str">
        <f>IF(B1229&lt;&gt;"",IF(AND(B1229='IN-TC'!$S$4,OR(TH!N1229="1111",TH!O1229="1111")),TH!D1229,""),"")</f>
        <v/>
      </c>
      <c r="B1229" s="1241">
        <f t="shared" si="260"/>
        <v>4</v>
      </c>
      <c r="C1229" s="292">
        <f t="shared" si="263"/>
        <v>42827</v>
      </c>
      <c r="D1229" s="292" t="s">
        <v>2959</v>
      </c>
      <c r="E1229" s="292">
        <v>42827</v>
      </c>
      <c r="F1229" s="429" t="s">
        <v>771</v>
      </c>
      <c r="G1229" s="925"/>
      <c r="H1229" s="429" t="s">
        <v>1884</v>
      </c>
      <c r="I1229" s="373">
        <v>25860</v>
      </c>
      <c r="J1229" s="379">
        <v>18000</v>
      </c>
      <c r="K1229" s="373"/>
      <c r="L1229" s="379"/>
      <c r="M1229" s="927">
        <f t="shared" si="264"/>
        <v>465480000</v>
      </c>
      <c r="N1229" s="295" t="s">
        <v>264</v>
      </c>
      <c r="O1229" s="295" t="s">
        <v>8</v>
      </c>
      <c r="P1229" s="75" t="str">
        <f>IF(AND('331-CT'!$E$7=TH!H1229,OR(N1229="331",O1229="331")),"x","")</f>
        <v/>
      </c>
      <c r="Q1229" s="75" t="str">
        <f>IF(AND(B1229='111'!$L$11,OR($N1229=$Q$7,$O1229=$Q$7)),"x","")</f>
        <v/>
      </c>
      <c r="R1229" s="75" t="str">
        <f>IF(AND($N1229=$Q$7,$B1229&lt;'111'!$L$11),"x","")</f>
        <v/>
      </c>
      <c r="S1229" s="75" t="str">
        <f>IF(AND($O1229=$Q$7,$B1229&lt;'111'!$L$11),"x","")</f>
        <v/>
      </c>
      <c r="T1229" s="75" t="str">
        <f>IF(ISERROR(FIND('112'!$M$9,G1229,1)),"",IF((AND(FIND('112'!$M$9,G1229,1)&gt;=1,B1229='112'!$K$9,OR($N1229='112'!$I$6,$O1229='112'!$I$6))),"x",""))</f>
        <v/>
      </c>
      <c r="U1229" s="75" t="str">
        <f>IF(ISERROR(FIND('112'!$M$9,G1229,1)),"",IF((AND(LEFT(G1229,2)=LEFT('112'!$M$9,2),B1229&lt;'112'!$K$9,$N1229='112'!$I$6)),"x",""))</f>
        <v/>
      </c>
      <c r="V1229" s="75" t="str">
        <f>IF(ISERROR(FIND('112'!$M$9,G1229,1)),"",IF((AND(RIGHT(G1229,2)=RIGHT('112'!$M$9,2),B1229&lt;'112'!$K$9,$O1229='112'!$I$6)),"x",""))</f>
        <v/>
      </c>
      <c r="W1229" s="75" t="str">
        <f>IF(AND('341-CT'!$H$9=H1229,OR(LEFT(N1229,3)=$W$7,LEFT(O1229,3)=$W$7)),"x","")</f>
        <v/>
      </c>
      <c r="X1229" s="75" t="str">
        <f>IF(OR(TH!N1229=TH!$X$7,O1229=TH!$X$7),"x","")</f>
        <v/>
      </c>
      <c r="Y1229" s="75" t="str">
        <f>IF(AND(OR(N1229="131",O1229="131"),H1229='131-CT'!$H$9),"x","")</f>
        <v/>
      </c>
      <c r="Z1229" s="75"/>
      <c r="AA1229" s="75" t="str">
        <f>IF(AND(MONTH(E1229)='IN-NX'!$J$5,'IN-NX'!$D$7=D1229),"x","")</f>
        <v/>
      </c>
      <c r="AB1229" s="75" t="str">
        <f>IF(AND(OR(LEFT(TH!N1229,2)="15",LEFT(TH!O1229,2)="15"),LEFT(TH!O1229,3)&lt;&gt;"111",'152-CT'!$J$8=TH!F1229),"x","")</f>
        <v/>
      </c>
      <c r="AC1229" s="75" t="str">
        <f>IF(AND(OR(LEFT(TH!N1229,2)="15",LEFT(TH!O1229,2)="15"),TK!$E$7=TH!F1229),"x","")</f>
        <v/>
      </c>
      <c r="AD1229" s="75" t="str">
        <f>IF(AND(N1229="1521",MONTH(C1229)='BK-NL'!$M$11),"x","")</f>
        <v>x</v>
      </c>
    </row>
    <row r="1230" spans="1:30" ht="16.5" customHeight="1">
      <c r="A1230" s="309" t="str">
        <f>IF(B1230&lt;&gt;"",IF(AND(B1230='IN-TC'!$S$4,OR(TH!N1230="1111",TH!O1230="1111")),TH!D1230,""),"")</f>
        <v/>
      </c>
      <c r="B1230" s="1241">
        <f t="shared" si="260"/>
        <v>4</v>
      </c>
      <c r="C1230" s="292">
        <f t="shared" si="263"/>
        <v>42832</v>
      </c>
      <c r="D1230" s="292" t="s">
        <v>2968</v>
      </c>
      <c r="E1230" s="292">
        <v>42832</v>
      </c>
      <c r="F1230" s="429" t="s">
        <v>771</v>
      </c>
      <c r="G1230" s="925"/>
      <c r="H1230" s="429" t="s">
        <v>1882</v>
      </c>
      <c r="I1230" s="373">
        <v>26570</v>
      </c>
      <c r="J1230" s="379">
        <v>18000</v>
      </c>
      <c r="K1230" s="373"/>
      <c r="L1230" s="379"/>
      <c r="M1230" s="927">
        <f t="shared" si="264"/>
        <v>478260000</v>
      </c>
      <c r="N1230" s="295" t="s">
        <v>264</v>
      </c>
      <c r="O1230" s="295" t="s">
        <v>8</v>
      </c>
      <c r="P1230" s="75" t="str">
        <f>IF(AND('331-CT'!$E$7=TH!H1230,OR(N1230="331",O1230="331")),"x","")</f>
        <v/>
      </c>
      <c r="Q1230" s="75" t="str">
        <f>IF(AND(B1230='111'!$L$11,OR($N1230=$Q$7,$O1230=$Q$7)),"x","")</f>
        <v/>
      </c>
      <c r="R1230" s="75" t="str">
        <f>IF(AND($N1230=$Q$7,$B1230&lt;'111'!$L$11),"x","")</f>
        <v/>
      </c>
      <c r="S1230" s="75" t="str">
        <f>IF(AND($O1230=$Q$7,$B1230&lt;'111'!$L$11),"x","")</f>
        <v/>
      </c>
      <c r="T1230" s="75" t="str">
        <f>IF(ISERROR(FIND('112'!$M$9,G1230,1)),"",IF((AND(FIND('112'!$M$9,G1230,1)&gt;=1,B1230='112'!$K$9,OR($N1230='112'!$I$6,$O1230='112'!$I$6))),"x",""))</f>
        <v/>
      </c>
      <c r="U1230" s="75" t="str">
        <f>IF(ISERROR(FIND('112'!$M$9,G1230,1)),"",IF((AND(LEFT(G1230,2)=LEFT('112'!$M$9,2),B1230&lt;'112'!$K$9,$N1230='112'!$I$6)),"x",""))</f>
        <v/>
      </c>
      <c r="V1230" s="75" t="str">
        <f>IF(ISERROR(FIND('112'!$M$9,G1230,1)),"",IF((AND(RIGHT(G1230,2)=RIGHT('112'!$M$9,2),B1230&lt;'112'!$K$9,$O1230='112'!$I$6)),"x",""))</f>
        <v/>
      </c>
      <c r="W1230" s="75" t="str">
        <f>IF(AND('341-CT'!$H$9=H1230,OR(LEFT(N1230,3)=$W$7,LEFT(O1230,3)=$W$7)),"x","")</f>
        <v/>
      </c>
      <c r="X1230" s="75" t="str">
        <f>IF(OR(TH!N1230=TH!$X$7,O1230=TH!$X$7),"x","")</f>
        <v/>
      </c>
      <c r="Y1230" s="75" t="str">
        <f>IF(AND(OR(N1230="131",O1230="131"),H1230='131-CT'!$H$9),"x","")</f>
        <v/>
      </c>
      <c r="Z1230" s="75"/>
      <c r="AA1230" s="75" t="str">
        <f>IF(AND(MONTH(E1230)='IN-NX'!$J$5,'IN-NX'!$D$7=D1230),"x","")</f>
        <v/>
      </c>
      <c r="AB1230" s="75" t="str">
        <f>IF(AND(OR(LEFT(TH!N1230,2)="15",LEFT(TH!O1230,2)="15"),LEFT(TH!O1230,3)&lt;&gt;"111",'152-CT'!$J$8=TH!F1230),"x","")</f>
        <v/>
      </c>
      <c r="AC1230" s="75" t="str">
        <f>IF(AND(OR(LEFT(TH!N1230,2)="15",LEFT(TH!O1230,2)="15"),TK!$E$7=TH!F1230),"x","")</f>
        <v/>
      </c>
      <c r="AD1230" s="75" t="str">
        <f>IF(AND(N1230="1521",MONTH(C1230)='BK-NL'!$M$11),"x","")</f>
        <v>x</v>
      </c>
    </row>
    <row r="1231" spans="1:30" ht="16.5" customHeight="1">
      <c r="A1231" s="309" t="str">
        <f>IF(B1231&lt;&gt;"",IF(AND(B1231='IN-TC'!$S$4,OR(TH!N1231="1111",TH!O1231="1111")),TH!D1231,""),"")</f>
        <v/>
      </c>
      <c r="B1231" s="1241">
        <f t="shared" si="260"/>
        <v>4</v>
      </c>
      <c r="C1231" s="292">
        <f t="shared" si="263"/>
        <v>42832</v>
      </c>
      <c r="D1231" s="292" t="s">
        <v>2973</v>
      </c>
      <c r="E1231" s="292">
        <v>42832</v>
      </c>
      <c r="F1231" s="429" t="s">
        <v>771</v>
      </c>
      <c r="G1231" s="925"/>
      <c r="H1231" s="429" t="s">
        <v>1892</v>
      </c>
      <c r="I1231" s="373">
        <v>25631</v>
      </c>
      <c r="J1231" s="379">
        <v>18000</v>
      </c>
      <c r="K1231" s="373"/>
      <c r="L1231" s="379"/>
      <c r="M1231" s="927">
        <f t="shared" si="264"/>
        <v>461358000</v>
      </c>
      <c r="N1231" s="295" t="s">
        <v>264</v>
      </c>
      <c r="O1231" s="295" t="s">
        <v>8</v>
      </c>
      <c r="P1231" s="75" t="str">
        <f>IF(AND('331-CT'!$E$7=TH!H1231,OR(N1231="331",O1231="331")),"x","")</f>
        <v/>
      </c>
      <c r="Q1231" s="75" t="str">
        <f>IF(AND(B1231='111'!$L$11,OR($N1231=$Q$7,$O1231=$Q$7)),"x","")</f>
        <v/>
      </c>
      <c r="R1231" s="75" t="str">
        <f>IF(AND($N1231=$Q$7,$B1231&lt;'111'!$L$11),"x","")</f>
        <v/>
      </c>
      <c r="S1231" s="75" t="str">
        <f>IF(AND($O1231=$Q$7,$B1231&lt;'111'!$L$11),"x","")</f>
        <v/>
      </c>
      <c r="T1231" s="75" t="str">
        <f>IF(ISERROR(FIND('112'!$M$9,G1231,1)),"",IF((AND(FIND('112'!$M$9,G1231,1)&gt;=1,B1231='112'!$K$9,OR($N1231='112'!$I$6,$O1231='112'!$I$6))),"x",""))</f>
        <v/>
      </c>
      <c r="U1231" s="75" t="str">
        <f>IF(ISERROR(FIND('112'!$M$9,G1231,1)),"",IF((AND(LEFT(G1231,2)=LEFT('112'!$M$9,2),B1231&lt;'112'!$K$9,$N1231='112'!$I$6)),"x",""))</f>
        <v/>
      </c>
      <c r="V1231" s="75" t="str">
        <f>IF(ISERROR(FIND('112'!$M$9,G1231,1)),"",IF((AND(RIGHT(G1231,2)=RIGHT('112'!$M$9,2),B1231&lt;'112'!$K$9,$O1231='112'!$I$6)),"x",""))</f>
        <v/>
      </c>
      <c r="W1231" s="75" t="str">
        <f>IF(AND('341-CT'!$H$9=H1231,OR(LEFT(N1231,3)=$W$7,LEFT(O1231,3)=$W$7)),"x","")</f>
        <v/>
      </c>
      <c r="X1231" s="75" t="str">
        <f>IF(OR(TH!N1231=TH!$X$7,O1231=TH!$X$7),"x","")</f>
        <v/>
      </c>
      <c r="Y1231" s="75" t="str">
        <f>IF(AND(OR(N1231="131",O1231="131"),H1231='131-CT'!$H$9),"x","")</f>
        <v/>
      </c>
      <c r="Z1231" s="75"/>
      <c r="AA1231" s="75" t="str">
        <f>IF(AND(MONTH(E1231)='IN-NX'!$J$5,'IN-NX'!$D$7=D1231),"x","")</f>
        <v/>
      </c>
      <c r="AB1231" s="75" t="str">
        <f>IF(AND(OR(LEFT(TH!N1231,2)="15",LEFT(TH!O1231,2)="15"),LEFT(TH!O1231,3)&lt;&gt;"111",'152-CT'!$J$8=TH!F1231),"x","")</f>
        <v/>
      </c>
      <c r="AC1231" s="75" t="str">
        <f>IF(AND(OR(LEFT(TH!N1231,2)="15",LEFT(TH!O1231,2)="15"),TK!$E$7=TH!F1231),"x","")</f>
        <v/>
      </c>
      <c r="AD1231" s="75" t="str">
        <f>IF(AND(N1231="1521",MONTH(C1231)='BK-NL'!$M$11),"x","")</f>
        <v>x</v>
      </c>
    </row>
    <row r="1232" spans="1:30" ht="16.5" customHeight="1">
      <c r="A1232" s="309" t="str">
        <f>IF(B1232&lt;&gt;"",IF(AND(B1232='IN-TC'!$S$4,OR(TH!N1232="1111",TH!O1232="1111")),TH!D1232,""),"")</f>
        <v/>
      </c>
      <c r="B1232" s="1241">
        <f t="shared" si="260"/>
        <v>4</v>
      </c>
      <c r="C1232" s="292">
        <f t="shared" si="263"/>
        <v>42832</v>
      </c>
      <c r="D1232" s="292" t="s">
        <v>2974</v>
      </c>
      <c r="E1232" s="292">
        <v>42832</v>
      </c>
      <c r="F1232" s="429" t="s">
        <v>771</v>
      </c>
      <c r="G1232" s="925"/>
      <c r="H1232" s="429" t="s">
        <v>1888</v>
      </c>
      <c r="I1232" s="373">
        <v>25740</v>
      </c>
      <c r="J1232" s="379">
        <v>18000</v>
      </c>
      <c r="K1232" s="373"/>
      <c r="L1232" s="379"/>
      <c r="M1232" s="927">
        <f t="shared" si="264"/>
        <v>463320000</v>
      </c>
      <c r="N1232" s="295" t="s">
        <v>264</v>
      </c>
      <c r="O1232" s="295" t="s">
        <v>8</v>
      </c>
      <c r="P1232" s="75" t="str">
        <f>IF(AND('331-CT'!$E$7=TH!H1232,OR(N1232="331",O1232="331")),"x","")</f>
        <v/>
      </c>
      <c r="Q1232" s="75" t="str">
        <f>IF(AND(B1232='111'!$L$11,OR($N1232=$Q$7,$O1232=$Q$7)),"x","")</f>
        <v/>
      </c>
      <c r="R1232" s="75" t="str">
        <f>IF(AND($N1232=$Q$7,$B1232&lt;'111'!$L$11),"x","")</f>
        <v/>
      </c>
      <c r="S1232" s="75" t="str">
        <f>IF(AND($O1232=$Q$7,$B1232&lt;'111'!$L$11),"x","")</f>
        <v/>
      </c>
      <c r="T1232" s="75" t="str">
        <f>IF(ISERROR(FIND('112'!$M$9,G1232,1)),"",IF((AND(FIND('112'!$M$9,G1232,1)&gt;=1,B1232='112'!$K$9,OR($N1232='112'!$I$6,$O1232='112'!$I$6))),"x",""))</f>
        <v/>
      </c>
      <c r="U1232" s="75" t="str">
        <f>IF(ISERROR(FIND('112'!$M$9,G1232,1)),"",IF((AND(LEFT(G1232,2)=LEFT('112'!$M$9,2),B1232&lt;'112'!$K$9,$N1232='112'!$I$6)),"x",""))</f>
        <v/>
      </c>
      <c r="V1232" s="75" t="str">
        <f>IF(ISERROR(FIND('112'!$M$9,G1232,1)),"",IF((AND(RIGHT(G1232,2)=RIGHT('112'!$M$9,2),B1232&lt;'112'!$K$9,$O1232='112'!$I$6)),"x",""))</f>
        <v/>
      </c>
      <c r="W1232" s="75" t="str">
        <f>IF(AND('341-CT'!$H$9=H1232,OR(LEFT(N1232,3)=$W$7,LEFT(O1232,3)=$W$7)),"x","")</f>
        <v/>
      </c>
      <c r="X1232" s="75" t="str">
        <f>IF(OR(TH!N1232=TH!$X$7,O1232=TH!$X$7),"x","")</f>
        <v/>
      </c>
      <c r="Y1232" s="75" t="str">
        <f>IF(AND(OR(N1232="131",O1232="131"),H1232='131-CT'!$H$9),"x","")</f>
        <v/>
      </c>
      <c r="Z1232" s="75"/>
      <c r="AA1232" s="75" t="str">
        <f>IF(AND(MONTH(E1232)='IN-NX'!$J$5,'IN-NX'!$D$7=D1232),"x","")</f>
        <v/>
      </c>
      <c r="AB1232" s="75" t="str">
        <f>IF(AND(OR(LEFT(TH!N1232,2)="15",LEFT(TH!O1232,2)="15"),LEFT(TH!O1232,3)&lt;&gt;"111",'152-CT'!$J$8=TH!F1232),"x","")</f>
        <v/>
      </c>
      <c r="AC1232" s="75" t="str">
        <f>IF(AND(OR(LEFT(TH!N1232,2)="15",LEFT(TH!O1232,2)="15"),TK!$E$7=TH!F1232),"x","")</f>
        <v/>
      </c>
      <c r="AD1232" s="75" t="str">
        <f>IF(AND(N1232="1521",MONTH(C1232)='BK-NL'!$M$11),"x","")</f>
        <v>x</v>
      </c>
    </row>
    <row r="1233" spans="1:30" ht="16.5" customHeight="1">
      <c r="A1233" s="309" t="str">
        <f>IF(B1233&lt;&gt;"",IF(AND(B1233='IN-TC'!$S$4,OR(TH!N1233="1111",TH!O1233="1111")),TH!D1233,""),"")</f>
        <v/>
      </c>
      <c r="B1233" s="1241">
        <f t="shared" si="260"/>
        <v>4</v>
      </c>
      <c r="C1233" s="292">
        <f t="shared" si="263"/>
        <v>42832</v>
      </c>
      <c r="D1233" s="292" t="s">
        <v>2975</v>
      </c>
      <c r="E1233" s="292">
        <v>42832</v>
      </c>
      <c r="F1233" s="429" t="s">
        <v>771</v>
      </c>
      <c r="G1233" s="925"/>
      <c r="H1233" s="429" t="s">
        <v>1887</v>
      </c>
      <c r="I1233" s="373">
        <v>25980</v>
      </c>
      <c r="J1233" s="379">
        <v>18000</v>
      </c>
      <c r="K1233" s="373"/>
      <c r="L1233" s="379"/>
      <c r="M1233" s="927">
        <f t="shared" si="264"/>
        <v>467640000</v>
      </c>
      <c r="N1233" s="295" t="s">
        <v>264</v>
      </c>
      <c r="O1233" s="295" t="s">
        <v>8</v>
      </c>
      <c r="P1233" s="75" t="str">
        <f>IF(AND('331-CT'!$E$7=TH!H1233,OR(N1233="331",O1233="331")),"x","")</f>
        <v/>
      </c>
      <c r="Q1233" s="75" t="str">
        <f>IF(AND(B1233='111'!$L$11,OR($N1233=$Q$7,$O1233=$Q$7)),"x","")</f>
        <v/>
      </c>
      <c r="R1233" s="75" t="str">
        <f>IF(AND($N1233=$Q$7,$B1233&lt;'111'!$L$11),"x","")</f>
        <v/>
      </c>
      <c r="S1233" s="75" t="str">
        <f>IF(AND($O1233=$Q$7,$B1233&lt;'111'!$L$11),"x","")</f>
        <v/>
      </c>
      <c r="T1233" s="75" t="str">
        <f>IF(ISERROR(FIND('112'!$M$9,G1233,1)),"",IF((AND(FIND('112'!$M$9,G1233,1)&gt;=1,B1233='112'!$K$9,OR($N1233='112'!$I$6,$O1233='112'!$I$6))),"x",""))</f>
        <v/>
      </c>
      <c r="U1233" s="75" t="str">
        <f>IF(ISERROR(FIND('112'!$M$9,G1233,1)),"",IF((AND(LEFT(G1233,2)=LEFT('112'!$M$9,2),B1233&lt;'112'!$K$9,$N1233='112'!$I$6)),"x",""))</f>
        <v/>
      </c>
      <c r="V1233" s="75" t="str">
        <f>IF(ISERROR(FIND('112'!$M$9,G1233,1)),"",IF((AND(RIGHT(G1233,2)=RIGHT('112'!$M$9,2),B1233&lt;'112'!$K$9,$O1233='112'!$I$6)),"x",""))</f>
        <v/>
      </c>
      <c r="W1233" s="75" t="str">
        <f>IF(AND('341-CT'!$H$9=H1233,OR(LEFT(N1233,3)=$W$7,LEFT(O1233,3)=$W$7)),"x","")</f>
        <v/>
      </c>
      <c r="X1233" s="75" t="str">
        <f>IF(OR(TH!N1233=TH!$X$7,O1233=TH!$X$7),"x","")</f>
        <v/>
      </c>
      <c r="Y1233" s="75" t="str">
        <f>IF(AND(OR(N1233="131",O1233="131"),H1233='131-CT'!$H$9),"x","")</f>
        <v/>
      </c>
      <c r="Z1233" s="75"/>
      <c r="AA1233" s="75" t="str">
        <f>IF(AND(MONTH(E1233)='IN-NX'!$J$5,'IN-NX'!$D$7=D1233),"x","")</f>
        <v/>
      </c>
      <c r="AB1233" s="75" t="str">
        <f>IF(AND(OR(LEFT(TH!N1233,2)="15",LEFT(TH!O1233,2)="15"),LEFT(TH!O1233,3)&lt;&gt;"111",'152-CT'!$J$8=TH!F1233),"x","")</f>
        <v/>
      </c>
      <c r="AC1233" s="75" t="str">
        <f>IF(AND(OR(LEFT(TH!N1233,2)="15",LEFT(TH!O1233,2)="15"),TK!$E$7=TH!F1233),"x","")</f>
        <v/>
      </c>
      <c r="AD1233" s="75" t="str">
        <f>IF(AND(N1233="1521",MONTH(C1233)='BK-NL'!$M$11),"x","")</f>
        <v>x</v>
      </c>
    </row>
    <row r="1234" spans="1:30" ht="16.5" customHeight="1">
      <c r="A1234" s="309" t="str">
        <f>IF(B1234&lt;&gt;"",IF(AND(B1234='IN-TC'!$S$4,OR(TH!N1234="1111",TH!O1234="1111")),TH!D1234,""),"")</f>
        <v/>
      </c>
      <c r="B1234" s="1241">
        <f t="shared" ref="B1234:B1244" si="265">IF(C1234&lt;&gt;"",MONTH(C1234),"")</f>
        <v>4</v>
      </c>
      <c r="C1234" s="292">
        <f t="shared" ref="C1234:C1244" si="266">E1234</f>
        <v>42832</v>
      </c>
      <c r="D1234" s="292" t="s">
        <v>2976</v>
      </c>
      <c r="E1234" s="292">
        <v>42832</v>
      </c>
      <c r="F1234" s="429" t="s">
        <v>771</v>
      </c>
      <c r="G1234" s="925"/>
      <c r="H1234" s="429" t="s">
        <v>1891</v>
      </c>
      <c r="I1234" s="373">
        <v>26750</v>
      </c>
      <c r="J1234" s="379">
        <v>18000</v>
      </c>
      <c r="K1234" s="373"/>
      <c r="L1234" s="379"/>
      <c r="M1234" s="927">
        <f t="shared" ref="M1234:M1244" si="267">ROUND(I1234*J1234,0)</f>
        <v>481500000</v>
      </c>
      <c r="N1234" s="295" t="s">
        <v>264</v>
      </c>
      <c r="O1234" s="295" t="s">
        <v>8</v>
      </c>
      <c r="P1234" s="75" t="str">
        <f>IF(AND('331-CT'!$E$7=TH!H1234,OR(N1234="331",O1234="331")),"x","")</f>
        <v/>
      </c>
      <c r="Q1234" s="75" t="str">
        <f>IF(AND(B1234='111'!$L$11,OR($N1234=$Q$7,$O1234=$Q$7)),"x","")</f>
        <v/>
      </c>
      <c r="R1234" s="75" t="str">
        <f>IF(AND($N1234=$Q$7,$B1234&lt;'111'!$L$11),"x","")</f>
        <v/>
      </c>
      <c r="S1234" s="75" t="str">
        <f>IF(AND($O1234=$Q$7,$B1234&lt;'111'!$L$11),"x","")</f>
        <v/>
      </c>
      <c r="T1234" s="75" t="str">
        <f>IF(ISERROR(FIND('112'!$M$9,G1234,1)),"",IF((AND(FIND('112'!$M$9,G1234,1)&gt;=1,B1234='112'!$K$9,OR($N1234='112'!$I$6,$O1234='112'!$I$6))),"x",""))</f>
        <v/>
      </c>
      <c r="U1234" s="75" t="str">
        <f>IF(ISERROR(FIND('112'!$M$9,G1234,1)),"",IF((AND(LEFT(G1234,2)=LEFT('112'!$M$9,2),B1234&lt;'112'!$K$9,$N1234='112'!$I$6)),"x",""))</f>
        <v/>
      </c>
      <c r="V1234" s="75" t="str">
        <f>IF(ISERROR(FIND('112'!$M$9,G1234,1)),"",IF((AND(RIGHT(G1234,2)=RIGHT('112'!$M$9,2),B1234&lt;'112'!$K$9,$O1234='112'!$I$6)),"x",""))</f>
        <v/>
      </c>
      <c r="W1234" s="75" t="str">
        <f>IF(AND('341-CT'!$H$9=H1234,OR(LEFT(N1234,3)=$W$7,LEFT(O1234,3)=$W$7)),"x","")</f>
        <v/>
      </c>
      <c r="X1234" s="75" t="str">
        <f>IF(OR(TH!N1234=TH!$X$7,O1234=TH!$X$7),"x","")</f>
        <v/>
      </c>
      <c r="Y1234" s="75" t="str">
        <f>IF(AND(OR(N1234="131",O1234="131"),H1234='131-CT'!$H$9),"x","")</f>
        <v/>
      </c>
      <c r="Z1234" s="75"/>
      <c r="AA1234" s="75" t="str">
        <f>IF(AND(MONTH(E1234)='IN-NX'!$J$5,'IN-NX'!$D$7=D1234),"x","")</f>
        <v/>
      </c>
      <c r="AB1234" s="75" t="str">
        <f>IF(AND(OR(LEFT(TH!N1234,2)="15",LEFT(TH!O1234,2)="15"),LEFT(TH!O1234,3)&lt;&gt;"111",'152-CT'!$J$8=TH!F1234),"x","")</f>
        <v/>
      </c>
      <c r="AC1234" s="75" t="str">
        <f>IF(AND(OR(LEFT(TH!N1234,2)="15",LEFT(TH!O1234,2)="15"),TK!$E$7=TH!F1234),"x","")</f>
        <v/>
      </c>
      <c r="AD1234" s="75" t="str">
        <f>IF(AND(N1234="1521",MONTH(C1234)='BK-NL'!$M$11),"x","")</f>
        <v>x</v>
      </c>
    </row>
    <row r="1235" spans="1:30" ht="16.5" customHeight="1">
      <c r="A1235" s="309" t="str">
        <f>IF(B1235&lt;&gt;"",IF(AND(B1235='IN-TC'!$S$4,OR(TH!N1235="1111",TH!O1235="1111")),TH!D1235,""),"")</f>
        <v/>
      </c>
      <c r="B1235" s="1241">
        <f t="shared" si="265"/>
        <v>4</v>
      </c>
      <c r="C1235" s="292">
        <f t="shared" si="266"/>
        <v>42836</v>
      </c>
      <c r="D1235" s="292" t="s">
        <v>2980</v>
      </c>
      <c r="E1235" s="292">
        <v>42836</v>
      </c>
      <c r="F1235" s="429" t="s">
        <v>771</v>
      </c>
      <c r="G1235" s="925"/>
      <c r="H1235" s="429" t="s">
        <v>1893</v>
      </c>
      <c r="I1235" s="373">
        <v>25780</v>
      </c>
      <c r="J1235" s="379">
        <v>18000</v>
      </c>
      <c r="K1235" s="373"/>
      <c r="L1235" s="379"/>
      <c r="M1235" s="927">
        <f t="shared" si="267"/>
        <v>464040000</v>
      </c>
      <c r="N1235" s="295" t="s">
        <v>264</v>
      </c>
      <c r="O1235" s="295" t="s">
        <v>8</v>
      </c>
      <c r="P1235" s="75" t="str">
        <f>IF(AND('331-CT'!$E$7=TH!H1235,OR(N1235="331",O1235="331")),"x","")</f>
        <v/>
      </c>
      <c r="Q1235" s="75" t="str">
        <f>IF(AND(B1235='111'!$L$11,OR($N1235=$Q$7,$O1235=$Q$7)),"x","")</f>
        <v/>
      </c>
      <c r="R1235" s="75" t="str">
        <f>IF(AND($N1235=$Q$7,$B1235&lt;'111'!$L$11),"x","")</f>
        <v/>
      </c>
      <c r="S1235" s="75" t="str">
        <f>IF(AND($O1235=$Q$7,$B1235&lt;'111'!$L$11),"x","")</f>
        <v/>
      </c>
      <c r="T1235" s="75" t="str">
        <f>IF(ISERROR(FIND('112'!$M$9,G1235,1)),"",IF((AND(FIND('112'!$M$9,G1235,1)&gt;=1,B1235='112'!$K$9,OR($N1235='112'!$I$6,$O1235='112'!$I$6))),"x",""))</f>
        <v/>
      </c>
      <c r="U1235" s="75" t="str">
        <f>IF(ISERROR(FIND('112'!$M$9,G1235,1)),"",IF((AND(LEFT(G1235,2)=LEFT('112'!$M$9,2),B1235&lt;'112'!$K$9,$N1235='112'!$I$6)),"x",""))</f>
        <v/>
      </c>
      <c r="V1235" s="75" t="str">
        <f>IF(ISERROR(FIND('112'!$M$9,G1235,1)),"",IF((AND(RIGHT(G1235,2)=RIGHT('112'!$M$9,2),B1235&lt;'112'!$K$9,$O1235='112'!$I$6)),"x",""))</f>
        <v/>
      </c>
      <c r="W1235" s="75" t="str">
        <f>IF(AND('341-CT'!$H$9=H1235,OR(LEFT(N1235,3)=$W$7,LEFT(O1235,3)=$W$7)),"x","")</f>
        <v/>
      </c>
      <c r="X1235" s="75" t="str">
        <f>IF(OR(TH!N1235=TH!$X$7,O1235=TH!$X$7),"x","")</f>
        <v/>
      </c>
      <c r="Y1235" s="75" t="str">
        <f>IF(AND(OR(N1235="131",O1235="131"),H1235='131-CT'!$H$9),"x","")</f>
        <v/>
      </c>
      <c r="Z1235" s="75"/>
      <c r="AA1235" s="75" t="str">
        <f>IF(AND(MONTH(E1235)='IN-NX'!$J$5,'IN-NX'!$D$7=D1235),"x","")</f>
        <v/>
      </c>
      <c r="AB1235" s="75" t="str">
        <f>IF(AND(OR(LEFT(TH!N1235,2)="15",LEFT(TH!O1235,2)="15"),LEFT(TH!O1235,3)&lt;&gt;"111",'152-CT'!$J$8=TH!F1235),"x","")</f>
        <v/>
      </c>
      <c r="AC1235" s="75" t="str">
        <f>IF(AND(OR(LEFT(TH!N1235,2)="15",LEFT(TH!O1235,2)="15"),TK!$E$7=TH!F1235),"x","")</f>
        <v/>
      </c>
      <c r="AD1235" s="75" t="str">
        <f>IF(AND(N1235="1521",MONTH(C1235)='BK-NL'!$M$11),"x","")</f>
        <v>x</v>
      </c>
    </row>
    <row r="1236" spans="1:30" ht="16.5" customHeight="1">
      <c r="A1236" s="309" t="str">
        <f>IF(B1236&lt;&gt;"",IF(AND(B1236='IN-TC'!$S$4,OR(TH!N1236="1111",TH!O1236="1111")),TH!D1236,""),"")</f>
        <v/>
      </c>
      <c r="B1236" s="1241">
        <f t="shared" si="265"/>
        <v>4</v>
      </c>
      <c r="C1236" s="292">
        <f t="shared" si="266"/>
        <v>42836</v>
      </c>
      <c r="D1236" s="292" t="s">
        <v>2981</v>
      </c>
      <c r="E1236" s="292">
        <v>42836</v>
      </c>
      <c r="F1236" s="429" t="s">
        <v>771</v>
      </c>
      <c r="G1236" s="925"/>
      <c r="H1236" s="429" t="s">
        <v>1892</v>
      </c>
      <c r="I1236" s="373">
        <v>25640</v>
      </c>
      <c r="J1236" s="379">
        <v>18000</v>
      </c>
      <c r="K1236" s="373"/>
      <c r="L1236" s="379"/>
      <c r="M1236" s="927">
        <f t="shared" si="267"/>
        <v>461520000</v>
      </c>
      <c r="N1236" s="295" t="s">
        <v>264</v>
      </c>
      <c r="O1236" s="295" t="s">
        <v>8</v>
      </c>
      <c r="P1236" s="75" t="str">
        <f>IF(AND('331-CT'!$E$7=TH!H1236,OR(N1236="331",O1236="331")),"x","")</f>
        <v/>
      </c>
      <c r="Q1236" s="75" t="str">
        <f>IF(AND(B1236='111'!$L$11,OR($N1236=$Q$7,$O1236=$Q$7)),"x","")</f>
        <v/>
      </c>
      <c r="R1236" s="75" t="str">
        <f>IF(AND($N1236=$Q$7,$B1236&lt;'111'!$L$11),"x","")</f>
        <v/>
      </c>
      <c r="S1236" s="75" t="str">
        <f>IF(AND($O1236=$Q$7,$B1236&lt;'111'!$L$11),"x","")</f>
        <v/>
      </c>
      <c r="T1236" s="75" t="str">
        <f>IF(ISERROR(FIND('112'!$M$9,G1236,1)),"",IF((AND(FIND('112'!$M$9,G1236,1)&gt;=1,B1236='112'!$K$9,OR($N1236='112'!$I$6,$O1236='112'!$I$6))),"x",""))</f>
        <v/>
      </c>
      <c r="U1236" s="75" t="str">
        <f>IF(ISERROR(FIND('112'!$M$9,G1236,1)),"",IF((AND(LEFT(G1236,2)=LEFT('112'!$M$9,2),B1236&lt;'112'!$K$9,$N1236='112'!$I$6)),"x",""))</f>
        <v/>
      </c>
      <c r="V1236" s="75" t="str">
        <f>IF(ISERROR(FIND('112'!$M$9,G1236,1)),"",IF((AND(RIGHT(G1236,2)=RIGHT('112'!$M$9,2),B1236&lt;'112'!$K$9,$O1236='112'!$I$6)),"x",""))</f>
        <v/>
      </c>
      <c r="W1236" s="75" t="str">
        <f>IF(AND('341-CT'!$H$9=H1236,OR(LEFT(N1236,3)=$W$7,LEFT(O1236,3)=$W$7)),"x","")</f>
        <v/>
      </c>
      <c r="X1236" s="75" t="str">
        <f>IF(OR(TH!N1236=TH!$X$7,O1236=TH!$X$7),"x","")</f>
        <v/>
      </c>
      <c r="Y1236" s="75" t="str">
        <f>IF(AND(OR(N1236="131",O1236="131"),H1236='131-CT'!$H$9),"x","")</f>
        <v/>
      </c>
      <c r="Z1236" s="75"/>
      <c r="AA1236" s="75" t="str">
        <f>IF(AND(MONTH(E1236)='IN-NX'!$J$5,'IN-NX'!$D$7=D1236),"x","")</f>
        <v/>
      </c>
      <c r="AB1236" s="75" t="str">
        <f>IF(AND(OR(LEFT(TH!N1236,2)="15",LEFT(TH!O1236,2)="15"),LEFT(TH!O1236,3)&lt;&gt;"111",'152-CT'!$J$8=TH!F1236),"x","")</f>
        <v/>
      </c>
      <c r="AC1236" s="75" t="str">
        <f>IF(AND(OR(LEFT(TH!N1236,2)="15",LEFT(TH!O1236,2)="15"),TK!$E$7=TH!F1236),"x","")</f>
        <v/>
      </c>
      <c r="AD1236" s="75" t="str">
        <f>IF(AND(N1236="1521",MONTH(C1236)='BK-NL'!$M$11),"x","")</f>
        <v>x</v>
      </c>
    </row>
    <row r="1237" spans="1:30" ht="16.5" customHeight="1">
      <c r="A1237" s="309" t="str">
        <f>IF(B1237&lt;&gt;"",IF(AND(B1237='IN-TC'!$S$4,OR(TH!N1237="1111",TH!O1237="1111")),TH!D1237,""),"")</f>
        <v/>
      </c>
      <c r="B1237" s="1241">
        <f t="shared" si="265"/>
        <v>4</v>
      </c>
      <c r="C1237" s="292">
        <f t="shared" si="266"/>
        <v>42836</v>
      </c>
      <c r="D1237" s="292" t="s">
        <v>2983</v>
      </c>
      <c r="E1237" s="292">
        <v>42836</v>
      </c>
      <c r="F1237" s="429" t="s">
        <v>771</v>
      </c>
      <c r="G1237" s="925"/>
      <c r="H1237" s="311" t="s">
        <v>1886</v>
      </c>
      <c r="I1237" s="373">
        <v>26540</v>
      </c>
      <c r="J1237" s="379">
        <v>18000</v>
      </c>
      <c r="K1237" s="373"/>
      <c r="L1237" s="379"/>
      <c r="M1237" s="927">
        <f t="shared" si="267"/>
        <v>477720000</v>
      </c>
      <c r="N1237" s="295" t="s">
        <v>264</v>
      </c>
      <c r="O1237" s="295" t="s">
        <v>8</v>
      </c>
      <c r="P1237" s="75" t="str">
        <f>IF(AND('331-CT'!$E$7=TH!H1237,OR(N1237="331",O1237="331")),"x","")</f>
        <v>x</v>
      </c>
      <c r="Q1237" s="75" t="str">
        <f>IF(AND(B1237='111'!$L$11,OR($N1237=$Q$7,$O1237=$Q$7)),"x","")</f>
        <v/>
      </c>
      <c r="R1237" s="75" t="str">
        <f>IF(AND($N1237=$Q$7,$B1237&lt;'111'!$L$11),"x","")</f>
        <v/>
      </c>
      <c r="S1237" s="75" t="str">
        <f>IF(AND($O1237=$Q$7,$B1237&lt;'111'!$L$11),"x","")</f>
        <v/>
      </c>
      <c r="T1237" s="75" t="str">
        <f>IF(ISERROR(FIND('112'!$M$9,G1237,1)),"",IF((AND(FIND('112'!$M$9,G1237,1)&gt;=1,B1237='112'!$K$9,OR($N1237='112'!$I$6,$O1237='112'!$I$6))),"x",""))</f>
        <v/>
      </c>
      <c r="U1237" s="75" t="str">
        <f>IF(ISERROR(FIND('112'!$M$9,G1237,1)),"",IF((AND(LEFT(G1237,2)=LEFT('112'!$M$9,2),B1237&lt;'112'!$K$9,$N1237='112'!$I$6)),"x",""))</f>
        <v/>
      </c>
      <c r="V1237" s="75" t="str">
        <f>IF(ISERROR(FIND('112'!$M$9,G1237,1)),"",IF((AND(RIGHT(G1237,2)=RIGHT('112'!$M$9,2),B1237&lt;'112'!$K$9,$O1237='112'!$I$6)),"x",""))</f>
        <v/>
      </c>
      <c r="W1237" s="75" t="str">
        <f>IF(AND('341-CT'!$H$9=H1237,OR(LEFT(N1237,3)=$W$7,LEFT(O1237,3)=$W$7)),"x","")</f>
        <v/>
      </c>
      <c r="X1237" s="75" t="str">
        <f>IF(OR(TH!N1237=TH!$X$7,O1237=TH!$X$7),"x","")</f>
        <v/>
      </c>
      <c r="Y1237" s="75" t="str">
        <f>IF(AND(OR(N1237="131",O1237="131"),H1237='131-CT'!$H$9),"x","")</f>
        <v/>
      </c>
      <c r="Z1237" s="75"/>
      <c r="AA1237" s="75" t="str">
        <f>IF(AND(MONTH(E1237)='IN-NX'!$J$5,'IN-NX'!$D$7=D1237),"x","")</f>
        <v/>
      </c>
      <c r="AB1237" s="75" t="str">
        <f>IF(AND(OR(LEFT(TH!N1237,2)="15",LEFT(TH!O1237,2)="15"),LEFT(TH!O1237,3)&lt;&gt;"111",'152-CT'!$J$8=TH!F1237),"x","")</f>
        <v/>
      </c>
      <c r="AC1237" s="75" t="str">
        <f>IF(AND(OR(LEFT(TH!N1237,2)="15",LEFT(TH!O1237,2)="15"),TK!$E$7=TH!F1237),"x","")</f>
        <v/>
      </c>
      <c r="AD1237" s="75" t="str">
        <f>IF(AND(N1237="1521",MONTH(C1237)='BK-NL'!$M$11),"x","")</f>
        <v>x</v>
      </c>
    </row>
    <row r="1238" spans="1:30" ht="16.5" customHeight="1">
      <c r="A1238" s="309" t="str">
        <f>IF(B1238&lt;&gt;"",IF(AND(B1238='IN-TC'!$S$4,OR(TH!N1238="1111",TH!O1238="1111")),TH!D1238,""),"")</f>
        <v/>
      </c>
      <c r="B1238" s="1241">
        <f t="shared" si="265"/>
        <v>4</v>
      </c>
      <c r="C1238" s="292">
        <f t="shared" si="266"/>
        <v>42836</v>
      </c>
      <c r="D1238" s="292" t="s">
        <v>2984</v>
      </c>
      <c r="E1238" s="292">
        <v>42836</v>
      </c>
      <c r="F1238" s="429" t="s">
        <v>771</v>
      </c>
      <c r="G1238" s="925"/>
      <c r="H1238" s="429" t="s">
        <v>1890</v>
      </c>
      <c r="I1238" s="373">
        <v>25790</v>
      </c>
      <c r="J1238" s="379">
        <v>18000</v>
      </c>
      <c r="K1238" s="373"/>
      <c r="L1238" s="379"/>
      <c r="M1238" s="927">
        <f t="shared" si="267"/>
        <v>464220000</v>
      </c>
      <c r="N1238" s="295" t="s">
        <v>264</v>
      </c>
      <c r="O1238" s="295" t="s">
        <v>8</v>
      </c>
      <c r="P1238" s="75" t="str">
        <f>IF(AND('331-CT'!$E$7=TH!H1238,OR(N1238="331",O1238="331")),"x","")</f>
        <v/>
      </c>
      <c r="Q1238" s="75" t="str">
        <f>IF(AND(B1238='111'!$L$11,OR($N1238=$Q$7,$O1238=$Q$7)),"x","")</f>
        <v/>
      </c>
      <c r="R1238" s="75" t="str">
        <f>IF(AND($N1238=$Q$7,$B1238&lt;'111'!$L$11),"x","")</f>
        <v/>
      </c>
      <c r="S1238" s="75" t="str">
        <f>IF(AND($O1238=$Q$7,$B1238&lt;'111'!$L$11),"x","")</f>
        <v/>
      </c>
      <c r="T1238" s="75" t="str">
        <f>IF(ISERROR(FIND('112'!$M$9,G1238,1)),"",IF((AND(FIND('112'!$M$9,G1238,1)&gt;=1,B1238='112'!$K$9,OR($N1238='112'!$I$6,$O1238='112'!$I$6))),"x",""))</f>
        <v/>
      </c>
      <c r="U1238" s="75" t="str">
        <f>IF(ISERROR(FIND('112'!$M$9,G1238,1)),"",IF((AND(LEFT(G1238,2)=LEFT('112'!$M$9,2),B1238&lt;'112'!$K$9,$N1238='112'!$I$6)),"x",""))</f>
        <v/>
      </c>
      <c r="V1238" s="75" t="str">
        <f>IF(ISERROR(FIND('112'!$M$9,G1238,1)),"",IF((AND(RIGHT(G1238,2)=RIGHT('112'!$M$9,2),B1238&lt;'112'!$K$9,$O1238='112'!$I$6)),"x",""))</f>
        <v/>
      </c>
      <c r="W1238" s="75" t="str">
        <f>IF(AND('341-CT'!$H$9=H1238,OR(LEFT(N1238,3)=$W$7,LEFT(O1238,3)=$W$7)),"x","")</f>
        <v/>
      </c>
      <c r="X1238" s="75" t="str">
        <f>IF(OR(TH!N1238=TH!$X$7,O1238=TH!$X$7),"x","")</f>
        <v/>
      </c>
      <c r="Y1238" s="75" t="str">
        <f>IF(AND(OR(N1238="131",O1238="131"),H1238='131-CT'!$H$9),"x","")</f>
        <v/>
      </c>
      <c r="Z1238" s="75"/>
      <c r="AA1238" s="75" t="str">
        <f>IF(AND(MONTH(E1238)='IN-NX'!$J$5,'IN-NX'!$D$7=D1238),"x","")</f>
        <v/>
      </c>
      <c r="AB1238" s="75" t="str">
        <f>IF(AND(OR(LEFT(TH!N1238,2)="15",LEFT(TH!O1238,2)="15"),LEFT(TH!O1238,3)&lt;&gt;"111",'152-CT'!$J$8=TH!F1238),"x","")</f>
        <v/>
      </c>
      <c r="AC1238" s="75" t="str">
        <f>IF(AND(OR(LEFT(TH!N1238,2)="15",LEFT(TH!O1238,2)="15"),TK!$E$7=TH!F1238),"x","")</f>
        <v/>
      </c>
      <c r="AD1238" s="75" t="str">
        <f>IF(AND(N1238="1521",MONTH(C1238)='BK-NL'!$M$11),"x","")</f>
        <v>x</v>
      </c>
    </row>
    <row r="1239" spans="1:30" ht="16.5" customHeight="1">
      <c r="A1239" s="309" t="str">
        <f>IF(B1239&lt;&gt;"",IF(AND(B1239='IN-TC'!$S$4,OR(TH!N1239="1111",TH!O1239="1111")),TH!D1239,""),"")</f>
        <v/>
      </c>
      <c r="B1239" s="1241">
        <f t="shared" si="265"/>
        <v>4</v>
      </c>
      <c r="C1239" s="292">
        <f t="shared" si="266"/>
        <v>42836</v>
      </c>
      <c r="D1239" s="292" t="s">
        <v>2985</v>
      </c>
      <c r="E1239" s="292">
        <v>42836</v>
      </c>
      <c r="F1239" s="429" t="s">
        <v>771</v>
      </c>
      <c r="G1239" s="925"/>
      <c r="H1239" s="429" t="s">
        <v>1882</v>
      </c>
      <c r="I1239" s="373">
        <f>337792-SUM(I1227:I1238)</f>
        <v>26141</v>
      </c>
      <c r="J1239" s="379">
        <v>18000</v>
      </c>
      <c r="K1239" s="373"/>
      <c r="L1239" s="379"/>
      <c r="M1239" s="927">
        <f t="shared" si="267"/>
        <v>470538000</v>
      </c>
      <c r="N1239" s="295" t="s">
        <v>264</v>
      </c>
      <c r="O1239" s="295" t="s">
        <v>8</v>
      </c>
      <c r="P1239" s="75" t="str">
        <f>IF(AND('331-CT'!$E$7=TH!H1239,OR(N1239="331",O1239="331")),"x","")</f>
        <v/>
      </c>
      <c r="Q1239" s="75" t="str">
        <f>IF(AND(B1239='111'!$L$11,OR($N1239=$Q$7,$O1239=$Q$7)),"x","")</f>
        <v/>
      </c>
      <c r="R1239" s="75" t="str">
        <f>IF(AND($N1239=$Q$7,$B1239&lt;'111'!$L$11),"x","")</f>
        <v/>
      </c>
      <c r="S1239" s="75" t="str">
        <f>IF(AND($O1239=$Q$7,$B1239&lt;'111'!$L$11),"x","")</f>
        <v/>
      </c>
      <c r="T1239" s="75" t="str">
        <f>IF(ISERROR(FIND('112'!$M$9,G1239,1)),"",IF((AND(FIND('112'!$M$9,G1239,1)&gt;=1,B1239='112'!$K$9,OR($N1239='112'!$I$6,$O1239='112'!$I$6))),"x",""))</f>
        <v/>
      </c>
      <c r="U1239" s="75" t="str">
        <f>IF(ISERROR(FIND('112'!$M$9,G1239,1)),"",IF((AND(LEFT(G1239,2)=LEFT('112'!$M$9,2),B1239&lt;'112'!$K$9,$N1239='112'!$I$6)),"x",""))</f>
        <v/>
      </c>
      <c r="V1239" s="75" t="str">
        <f>IF(ISERROR(FIND('112'!$M$9,G1239,1)),"",IF((AND(RIGHT(G1239,2)=RIGHT('112'!$M$9,2),B1239&lt;'112'!$K$9,$O1239='112'!$I$6)),"x",""))</f>
        <v/>
      </c>
      <c r="W1239" s="75" t="str">
        <f>IF(AND('341-CT'!$H$9=H1239,OR(LEFT(N1239,3)=$W$7,LEFT(O1239,3)=$W$7)),"x","")</f>
        <v/>
      </c>
      <c r="X1239" s="75" t="str">
        <f>IF(OR(TH!N1239=TH!$X$7,O1239=TH!$X$7),"x","")</f>
        <v/>
      </c>
      <c r="Y1239" s="75" t="str">
        <f>IF(AND(OR(N1239="131",O1239="131"),H1239='131-CT'!$H$9),"x","")</f>
        <v/>
      </c>
      <c r="Z1239" s="75"/>
      <c r="AA1239" s="75" t="str">
        <f>IF(AND(MONTH(E1239)='IN-NX'!$J$5,'IN-NX'!$D$7=D1239),"x","")</f>
        <v/>
      </c>
      <c r="AB1239" s="75" t="str">
        <f>IF(AND(OR(LEFT(TH!N1239,2)="15",LEFT(TH!O1239,2)="15"),LEFT(TH!O1239,3)&lt;&gt;"111",'152-CT'!$J$8=TH!F1239),"x","")</f>
        <v/>
      </c>
      <c r="AC1239" s="75" t="str">
        <f>IF(AND(OR(LEFT(TH!N1239,2)="15",LEFT(TH!O1239,2)="15"),TK!$E$7=TH!F1239),"x","")</f>
        <v/>
      </c>
      <c r="AD1239" s="75" t="str">
        <f>IF(AND(N1239="1521",MONTH(C1239)='BK-NL'!$M$11),"x","")</f>
        <v>x</v>
      </c>
    </row>
    <row r="1240" spans="1:30" ht="16.5" customHeight="1">
      <c r="A1240" s="309" t="str">
        <f>IF(B1240&lt;&gt;"",IF(AND(B1240='IN-TC'!$S$4,OR(TH!N1240="1111",TH!O1240="1111")),TH!D1240,""),"")</f>
        <v/>
      </c>
      <c r="B1240" s="1241">
        <f t="shared" si="265"/>
        <v>4</v>
      </c>
      <c r="C1240" s="292">
        <f t="shared" si="266"/>
        <v>42830</v>
      </c>
      <c r="D1240" s="292" t="s">
        <v>2963</v>
      </c>
      <c r="E1240" s="292">
        <v>42830</v>
      </c>
      <c r="F1240" s="429" t="s">
        <v>771</v>
      </c>
      <c r="G1240" s="925"/>
      <c r="H1240" s="429" t="s">
        <v>1890</v>
      </c>
      <c r="I1240" s="373">
        <v>24750</v>
      </c>
      <c r="J1240" s="379">
        <v>18500</v>
      </c>
      <c r="K1240" s="373"/>
      <c r="L1240" s="379"/>
      <c r="M1240" s="927">
        <f t="shared" si="267"/>
        <v>457875000</v>
      </c>
      <c r="N1240" s="295" t="s">
        <v>264</v>
      </c>
      <c r="O1240" s="295" t="s">
        <v>8</v>
      </c>
      <c r="P1240" s="75" t="str">
        <f>IF(AND('331-CT'!$E$7=TH!H1240,OR(N1240="331",O1240="331")),"x","")</f>
        <v/>
      </c>
      <c r="Q1240" s="75" t="str">
        <f>IF(AND(B1240='111'!$L$11,OR($N1240=$Q$7,$O1240=$Q$7)),"x","")</f>
        <v/>
      </c>
      <c r="R1240" s="75" t="str">
        <f>IF(AND($N1240=$Q$7,$B1240&lt;'111'!$L$11),"x","")</f>
        <v/>
      </c>
      <c r="S1240" s="75" t="str">
        <f>IF(AND($O1240=$Q$7,$B1240&lt;'111'!$L$11),"x","")</f>
        <v/>
      </c>
      <c r="T1240" s="75" t="str">
        <f>IF(ISERROR(FIND('112'!$M$9,G1240,1)),"",IF((AND(FIND('112'!$M$9,G1240,1)&gt;=1,B1240='112'!$K$9,OR($N1240='112'!$I$6,$O1240='112'!$I$6))),"x",""))</f>
        <v/>
      </c>
      <c r="U1240" s="75" t="str">
        <f>IF(ISERROR(FIND('112'!$M$9,G1240,1)),"",IF((AND(LEFT(G1240,2)=LEFT('112'!$M$9,2),B1240&lt;'112'!$K$9,$N1240='112'!$I$6)),"x",""))</f>
        <v/>
      </c>
      <c r="V1240" s="75" t="str">
        <f>IF(ISERROR(FIND('112'!$M$9,G1240,1)),"",IF((AND(RIGHT(G1240,2)=RIGHT('112'!$M$9,2),B1240&lt;'112'!$K$9,$O1240='112'!$I$6)),"x",""))</f>
        <v/>
      </c>
      <c r="W1240" s="75" t="str">
        <f>IF(AND('341-CT'!$H$9=H1240,OR(LEFT(N1240,3)=$W$7,LEFT(O1240,3)=$W$7)),"x","")</f>
        <v/>
      </c>
      <c r="X1240" s="75" t="str">
        <f>IF(OR(TH!N1240=TH!$X$7,O1240=TH!$X$7),"x","")</f>
        <v/>
      </c>
      <c r="Y1240" s="75" t="str">
        <f>IF(AND(OR(N1240="131",O1240="131"),H1240='131-CT'!$H$9),"x","")</f>
        <v/>
      </c>
      <c r="Z1240" s="75"/>
      <c r="AA1240" s="75" t="str">
        <f>IF(AND(MONTH(E1240)='IN-NX'!$J$5,'IN-NX'!$D$7=D1240),"x","")</f>
        <v/>
      </c>
      <c r="AB1240" s="75" t="str">
        <f>IF(AND(OR(LEFT(TH!N1240,2)="15",LEFT(TH!O1240,2)="15"),LEFT(TH!O1240,3)&lt;&gt;"111",'152-CT'!$J$8=TH!F1240),"x","")</f>
        <v/>
      </c>
      <c r="AC1240" s="75" t="str">
        <f>IF(AND(OR(LEFT(TH!N1240,2)="15",LEFT(TH!O1240,2)="15"),TK!$E$7=TH!F1240),"x","")</f>
        <v/>
      </c>
      <c r="AD1240" s="75" t="str">
        <f>IF(AND(N1240="1521",MONTH(C1240)='BK-NL'!$M$11),"x","")</f>
        <v>x</v>
      </c>
    </row>
    <row r="1241" spans="1:30" ht="16.5" customHeight="1">
      <c r="A1241" s="309" t="str">
        <f>IF(B1241&lt;&gt;"",IF(AND(B1241='IN-TC'!$S$4,OR(TH!N1241="1111",TH!O1241="1111")),TH!D1241,""),"")</f>
        <v/>
      </c>
      <c r="B1241" s="1241">
        <f t="shared" si="265"/>
        <v>4</v>
      </c>
      <c r="C1241" s="292">
        <f t="shared" si="266"/>
        <v>42830</v>
      </c>
      <c r="D1241" s="292" t="s">
        <v>2964</v>
      </c>
      <c r="E1241" s="292">
        <v>42830</v>
      </c>
      <c r="F1241" s="429" t="s">
        <v>771</v>
      </c>
      <c r="G1241" s="925"/>
      <c r="H1241" s="429" t="s">
        <v>1892</v>
      </c>
      <c r="I1241" s="373">
        <v>24760</v>
      </c>
      <c r="J1241" s="379">
        <v>18500</v>
      </c>
      <c r="K1241" s="373"/>
      <c r="L1241" s="379"/>
      <c r="M1241" s="927">
        <f t="shared" si="267"/>
        <v>458060000</v>
      </c>
      <c r="N1241" s="295" t="s">
        <v>264</v>
      </c>
      <c r="O1241" s="295" t="s">
        <v>8</v>
      </c>
      <c r="P1241" s="75" t="str">
        <f>IF(AND('331-CT'!$E$7=TH!H1241,OR(N1241="331",O1241="331")),"x","")</f>
        <v/>
      </c>
      <c r="Q1241" s="75" t="str">
        <f>IF(AND(B1241='111'!$L$11,OR($N1241=$Q$7,$O1241=$Q$7)),"x","")</f>
        <v/>
      </c>
      <c r="R1241" s="75" t="str">
        <f>IF(AND($N1241=$Q$7,$B1241&lt;'111'!$L$11),"x","")</f>
        <v/>
      </c>
      <c r="S1241" s="75" t="str">
        <f>IF(AND($O1241=$Q$7,$B1241&lt;'111'!$L$11),"x","")</f>
        <v/>
      </c>
      <c r="T1241" s="75" t="str">
        <f>IF(ISERROR(FIND('112'!$M$9,G1241,1)),"",IF((AND(FIND('112'!$M$9,G1241,1)&gt;=1,B1241='112'!$K$9,OR($N1241='112'!$I$6,$O1241='112'!$I$6))),"x",""))</f>
        <v/>
      </c>
      <c r="U1241" s="75" t="str">
        <f>IF(ISERROR(FIND('112'!$M$9,G1241,1)),"",IF((AND(LEFT(G1241,2)=LEFT('112'!$M$9,2),B1241&lt;'112'!$K$9,$N1241='112'!$I$6)),"x",""))</f>
        <v/>
      </c>
      <c r="V1241" s="75" t="str">
        <f>IF(ISERROR(FIND('112'!$M$9,G1241,1)),"",IF((AND(RIGHT(G1241,2)=RIGHT('112'!$M$9,2),B1241&lt;'112'!$K$9,$O1241='112'!$I$6)),"x",""))</f>
        <v/>
      </c>
      <c r="W1241" s="75" t="str">
        <f>IF(AND('341-CT'!$H$9=H1241,OR(LEFT(N1241,3)=$W$7,LEFT(O1241,3)=$W$7)),"x","")</f>
        <v/>
      </c>
      <c r="X1241" s="75" t="str">
        <f>IF(OR(TH!N1241=TH!$X$7,O1241=TH!$X$7),"x","")</f>
        <v/>
      </c>
      <c r="Y1241" s="75" t="str">
        <f>IF(AND(OR(N1241="131",O1241="131"),H1241='131-CT'!$H$9),"x","")</f>
        <v/>
      </c>
      <c r="Z1241" s="75"/>
      <c r="AA1241" s="75" t="str">
        <f>IF(AND(MONTH(E1241)='IN-NX'!$J$5,'IN-NX'!$D$7=D1241),"x","")</f>
        <v/>
      </c>
      <c r="AB1241" s="75" t="str">
        <f>IF(AND(OR(LEFT(TH!N1241,2)="15",LEFT(TH!O1241,2)="15"),LEFT(TH!O1241,3)&lt;&gt;"111",'152-CT'!$J$8=TH!F1241),"x","")</f>
        <v/>
      </c>
      <c r="AC1241" s="75" t="str">
        <f>IF(AND(OR(LEFT(TH!N1241,2)="15",LEFT(TH!O1241,2)="15"),TK!$E$7=TH!F1241),"x","")</f>
        <v/>
      </c>
      <c r="AD1241" s="75" t="str">
        <f>IF(AND(N1241="1521",MONTH(C1241)='BK-NL'!$M$11),"x","")</f>
        <v>x</v>
      </c>
    </row>
    <row r="1242" spans="1:30" ht="16.5" customHeight="1">
      <c r="A1242" s="309" t="str">
        <f>IF(B1242&lt;&gt;"",IF(AND(B1242='IN-TC'!$S$4,OR(TH!N1242="1111",TH!O1242="1111")),TH!D1242,""),"")</f>
        <v/>
      </c>
      <c r="B1242" s="1241">
        <f t="shared" si="265"/>
        <v>4</v>
      </c>
      <c r="C1242" s="292">
        <f t="shared" si="266"/>
        <v>42830</v>
      </c>
      <c r="D1242" s="292" t="s">
        <v>2965</v>
      </c>
      <c r="E1242" s="292">
        <v>42830</v>
      </c>
      <c r="F1242" s="429" t="s">
        <v>771</v>
      </c>
      <c r="G1242" s="925"/>
      <c r="H1242" s="429" t="s">
        <v>1887</v>
      </c>
      <c r="I1242" s="373">
        <v>24860</v>
      </c>
      <c r="J1242" s="379">
        <v>18500</v>
      </c>
      <c r="K1242" s="373"/>
      <c r="L1242" s="379"/>
      <c r="M1242" s="927">
        <f t="shared" si="267"/>
        <v>459910000</v>
      </c>
      <c r="N1242" s="295" t="s">
        <v>264</v>
      </c>
      <c r="O1242" s="295" t="s">
        <v>8</v>
      </c>
      <c r="P1242" s="75" t="str">
        <f>IF(AND('331-CT'!$E$7=TH!H1242,OR(N1242="331",O1242="331")),"x","")</f>
        <v/>
      </c>
      <c r="Q1242" s="75" t="str">
        <f>IF(AND(B1242='111'!$L$11,OR($N1242=$Q$7,$O1242=$Q$7)),"x","")</f>
        <v/>
      </c>
      <c r="R1242" s="75" t="str">
        <f>IF(AND($N1242=$Q$7,$B1242&lt;'111'!$L$11),"x","")</f>
        <v/>
      </c>
      <c r="S1242" s="75" t="str">
        <f>IF(AND($O1242=$Q$7,$B1242&lt;'111'!$L$11),"x","")</f>
        <v/>
      </c>
      <c r="T1242" s="75" t="str">
        <f>IF(ISERROR(FIND('112'!$M$9,G1242,1)),"",IF((AND(FIND('112'!$M$9,G1242,1)&gt;=1,B1242='112'!$K$9,OR($N1242='112'!$I$6,$O1242='112'!$I$6))),"x",""))</f>
        <v/>
      </c>
      <c r="U1242" s="75" t="str">
        <f>IF(ISERROR(FIND('112'!$M$9,G1242,1)),"",IF((AND(LEFT(G1242,2)=LEFT('112'!$M$9,2),B1242&lt;'112'!$K$9,$N1242='112'!$I$6)),"x",""))</f>
        <v/>
      </c>
      <c r="V1242" s="75" t="str">
        <f>IF(ISERROR(FIND('112'!$M$9,G1242,1)),"",IF((AND(RIGHT(G1242,2)=RIGHT('112'!$M$9,2),B1242&lt;'112'!$K$9,$O1242='112'!$I$6)),"x",""))</f>
        <v/>
      </c>
      <c r="W1242" s="75" t="str">
        <f>IF(AND('341-CT'!$H$9=H1242,OR(LEFT(N1242,3)=$W$7,LEFT(O1242,3)=$W$7)),"x","")</f>
        <v/>
      </c>
      <c r="X1242" s="75" t="str">
        <f>IF(OR(TH!N1242=TH!$X$7,O1242=TH!$X$7),"x","")</f>
        <v/>
      </c>
      <c r="Y1242" s="75" t="str">
        <f>IF(AND(OR(N1242="131",O1242="131"),H1242='131-CT'!$H$9),"x","")</f>
        <v/>
      </c>
      <c r="Z1242" s="75"/>
      <c r="AA1242" s="75" t="str">
        <f>IF(AND(MONTH(E1242)='IN-NX'!$J$5,'IN-NX'!$D$7=D1242),"x","")</f>
        <v/>
      </c>
      <c r="AB1242" s="75" t="str">
        <f>IF(AND(OR(LEFT(TH!N1242,2)="15",LEFT(TH!O1242,2)="15"),LEFT(TH!O1242,3)&lt;&gt;"111",'152-CT'!$J$8=TH!F1242),"x","")</f>
        <v/>
      </c>
      <c r="AC1242" s="75" t="str">
        <f>IF(AND(OR(LEFT(TH!N1242,2)="15",LEFT(TH!O1242,2)="15"),TK!$E$7=TH!F1242),"x","")</f>
        <v/>
      </c>
      <c r="AD1242" s="75" t="str">
        <f>IF(AND(N1242="1521",MONTH(C1242)='BK-NL'!$M$11),"x","")</f>
        <v>x</v>
      </c>
    </row>
    <row r="1243" spans="1:30" ht="16.5" customHeight="1">
      <c r="A1243" s="309" t="str">
        <f>IF(B1243&lt;&gt;"",IF(AND(B1243='IN-TC'!$S$4,OR(TH!N1243="1111",TH!O1243="1111")),TH!D1243,""),"")</f>
        <v/>
      </c>
      <c r="B1243" s="1241">
        <f t="shared" si="265"/>
        <v>4</v>
      </c>
      <c r="C1243" s="292">
        <f t="shared" si="266"/>
        <v>42830</v>
      </c>
      <c r="D1243" s="292" t="s">
        <v>2966</v>
      </c>
      <c r="E1243" s="292">
        <v>42830</v>
      </c>
      <c r="F1243" s="429" t="s">
        <v>771</v>
      </c>
      <c r="G1243" s="925"/>
      <c r="H1243" s="429" t="s">
        <v>1890</v>
      </c>
      <c r="I1243" s="373">
        <v>24860</v>
      </c>
      <c r="J1243" s="379">
        <v>18500</v>
      </c>
      <c r="K1243" s="373"/>
      <c r="L1243" s="379"/>
      <c r="M1243" s="927">
        <f t="shared" si="267"/>
        <v>459910000</v>
      </c>
      <c r="N1243" s="295" t="s">
        <v>264</v>
      </c>
      <c r="O1243" s="295" t="s">
        <v>8</v>
      </c>
      <c r="P1243" s="75" t="str">
        <f>IF(AND('331-CT'!$E$7=TH!H1243,OR(N1243="331",O1243="331")),"x","")</f>
        <v/>
      </c>
      <c r="Q1243" s="75" t="str">
        <f>IF(AND(B1243='111'!$L$11,OR($N1243=$Q$7,$O1243=$Q$7)),"x","")</f>
        <v/>
      </c>
      <c r="R1243" s="75" t="str">
        <f>IF(AND($N1243=$Q$7,$B1243&lt;'111'!$L$11),"x","")</f>
        <v/>
      </c>
      <c r="S1243" s="75" t="str">
        <f>IF(AND($O1243=$Q$7,$B1243&lt;'111'!$L$11),"x","")</f>
        <v/>
      </c>
      <c r="T1243" s="75" t="str">
        <f>IF(ISERROR(FIND('112'!$M$9,G1243,1)),"",IF((AND(FIND('112'!$M$9,G1243,1)&gt;=1,B1243='112'!$K$9,OR($N1243='112'!$I$6,$O1243='112'!$I$6))),"x",""))</f>
        <v/>
      </c>
      <c r="U1243" s="75" t="str">
        <f>IF(ISERROR(FIND('112'!$M$9,G1243,1)),"",IF((AND(LEFT(G1243,2)=LEFT('112'!$M$9,2),B1243&lt;'112'!$K$9,$N1243='112'!$I$6)),"x",""))</f>
        <v/>
      </c>
      <c r="V1243" s="75" t="str">
        <f>IF(ISERROR(FIND('112'!$M$9,G1243,1)),"",IF((AND(RIGHT(G1243,2)=RIGHT('112'!$M$9,2),B1243&lt;'112'!$K$9,$O1243='112'!$I$6)),"x",""))</f>
        <v/>
      </c>
      <c r="W1243" s="75" t="str">
        <f>IF(AND('341-CT'!$H$9=H1243,OR(LEFT(N1243,3)=$W$7,LEFT(O1243,3)=$W$7)),"x","")</f>
        <v/>
      </c>
      <c r="X1243" s="75" t="str">
        <f>IF(OR(TH!N1243=TH!$X$7,O1243=TH!$X$7),"x","")</f>
        <v/>
      </c>
      <c r="Y1243" s="75" t="str">
        <f>IF(AND(OR(N1243="131",O1243="131"),H1243='131-CT'!$H$9),"x","")</f>
        <v/>
      </c>
      <c r="Z1243" s="75"/>
      <c r="AA1243" s="75" t="str">
        <f>IF(AND(MONTH(E1243)='IN-NX'!$J$5,'IN-NX'!$D$7=D1243),"x","")</f>
        <v/>
      </c>
      <c r="AB1243" s="75" t="str">
        <f>IF(AND(OR(LEFT(TH!N1243,2)="15",LEFT(TH!O1243,2)="15"),LEFT(TH!O1243,3)&lt;&gt;"111",'152-CT'!$J$8=TH!F1243),"x","")</f>
        <v/>
      </c>
      <c r="AC1243" s="75" t="str">
        <f>IF(AND(OR(LEFT(TH!N1243,2)="15",LEFT(TH!O1243,2)="15"),TK!$E$7=TH!F1243),"x","")</f>
        <v/>
      </c>
      <c r="AD1243" s="75" t="str">
        <f>IF(AND(N1243="1521",MONTH(C1243)='BK-NL'!$M$11),"x","")</f>
        <v>x</v>
      </c>
    </row>
    <row r="1244" spans="1:30" ht="16.5" customHeight="1">
      <c r="A1244" s="309" t="str">
        <f>IF(B1244&lt;&gt;"",IF(AND(B1244='IN-TC'!$S$4,OR(TH!N1244="1111",TH!O1244="1111")),TH!D1244,""),"")</f>
        <v/>
      </c>
      <c r="B1244" s="1241">
        <f t="shared" si="265"/>
        <v>4</v>
      </c>
      <c r="C1244" s="292">
        <f t="shared" si="266"/>
        <v>42837</v>
      </c>
      <c r="D1244" s="292" t="s">
        <v>2986</v>
      </c>
      <c r="E1244" s="292">
        <v>42837</v>
      </c>
      <c r="F1244" s="429" t="s">
        <v>771</v>
      </c>
      <c r="G1244" s="925"/>
      <c r="H1244" s="429" t="s">
        <v>1889</v>
      </c>
      <c r="I1244" s="373">
        <v>24530</v>
      </c>
      <c r="J1244" s="379">
        <v>18500</v>
      </c>
      <c r="K1244" s="373"/>
      <c r="L1244" s="379"/>
      <c r="M1244" s="927">
        <f t="shared" si="267"/>
        <v>453805000</v>
      </c>
      <c r="N1244" s="295" t="s">
        <v>264</v>
      </c>
      <c r="O1244" s="295" t="s">
        <v>8</v>
      </c>
      <c r="P1244" s="75" t="str">
        <f>IF(AND('331-CT'!$E$7=TH!H1244,OR(N1244="331",O1244="331")),"x","")</f>
        <v/>
      </c>
      <c r="Q1244" s="75" t="str">
        <f>IF(AND(B1244='111'!$L$11,OR($N1244=$Q$7,$O1244=$Q$7)),"x","")</f>
        <v/>
      </c>
      <c r="R1244" s="75" t="str">
        <f>IF(AND($N1244=$Q$7,$B1244&lt;'111'!$L$11),"x","")</f>
        <v/>
      </c>
      <c r="S1244" s="75" t="str">
        <f>IF(AND($O1244=$Q$7,$B1244&lt;'111'!$L$11),"x","")</f>
        <v/>
      </c>
      <c r="T1244" s="75" t="str">
        <f>IF(ISERROR(FIND('112'!$M$9,G1244,1)),"",IF((AND(FIND('112'!$M$9,G1244,1)&gt;=1,B1244='112'!$K$9,OR($N1244='112'!$I$6,$O1244='112'!$I$6))),"x",""))</f>
        <v/>
      </c>
      <c r="U1244" s="75" t="str">
        <f>IF(ISERROR(FIND('112'!$M$9,G1244,1)),"",IF((AND(LEFT(G1244,2)=LEFT('112'!$M$9,2),B1244&lt;'112'!$K$9,$N1244='112'!$I$6)),"x",""))</f>
        <v/>
      </c>
      <c r="V1244" s="75" t="str">
        <f>IF(ISERROR(FIND('112'!$M$9,G1244,1)),"",IF((AND(RIGHT(G1244,2)=RIGHT('112'!$M$9,2),B1244&lt;'112'!$K$9,$O1244='112'!$I$6)),"x",""))</f>
        <v/>
      </c>
      <c r="W1244" s="75" t="str">
        <f>IF(AND('341-CT'!$H$9=H1244,OR(LEFT(N1244,3)=$W$7,LEFT(O1244,3)=$W$7)),"x","")</f>
        <v/>
      </c>
      <c r="X1244" s="75" t="str">
        <f>IF(OR(TH!N1244=TH!$X$7,O1244=TH!$X$7),"x","")</f>
        <v/>
      </c>
      <c r="Y1244" s="75" t="str">
        <f>IF(AND(OR(N1244="131",O1244="131"),H1244='131-CT'!$H$9),"x","")</f>
        <v/>
      </c>
      <c r="Z1244" s="75"/>
      <c r="AA1244" s="75" t="str">
        <f>IF(AND(MONTH(E1244)='IN-NX'!$J$5,'IN-NX'!$D$7=D1244),"x","")</f>
        <v/>
      </c>
      <c r="AB1244" s="75" t="str">
        <f>IF(AND(OR(LEFT(TH!N1244,2)="15",LEFT(TH!O1244,2)="15"),LEFT(TH!O1244,3)&lt;&gt;"111",'152-CT'!$J$8=TH!F1244),"x","")</f>
        <v/>
      </c>
      <c r="AC1244" s="75" t="str">
        <f>IF(AND(OR(LEFT(TH!N1244,2)="15",LEFT(TH!O1244,2)="15"),TK!$E$7=TH!F1244),"x","")</f>
        <v/>
      </c>
      <c r="AD1244" s="75" t="str">
        <f>IF(AND(N1244="1521",MONTH(C1244)='BK-NL'!$M$11),"x","")</f>
        <v>x</v>
      </c>
    </row>
    <row r="1245" spans="1:30" ht="16.5" customHeight="1">
      <c r="A1245" s="309" t="str">
        <f>IF(B1245&lt;&gt;"",IF(AND(B1245='IN-TC'!$S$4,OR(TH!N1245="1111",TH!O1245="1111")),TH!D1245,""),"")</f>
        <v/>
      </c>
      <c r="B1245" s="1241">
        <f t="shared" si="260"/>
        <v>4</v>
      </c>
      <c r="C1245" s="292">
        <f t="shared" si="263"/>
        <v>42837</v>
      </c>
      <c r="D1245" s="292" t="s">
        <v>2987</v>
      </c>
      <c r="E1245" s="292">
        <v>42837</v>
      </c>
      <c r="F1245" s="429" t="s">
        <v>771</v>
      </c>
      <c r="G1245" s="925"/>
      <c r="H1245" s="429" t="s">
        <v>1882</v>
      </c>
      <c r="I1245" s="373">
        <v>24790</v>
      </c>
      <c r="J1245" s="379">
        <v>18500</v>
      </c>
      <c r="K1245" s="373"/>
      <c r="L1245" s="379"/>
      <c r="M1245" s="927">
        <f t="shared" si="264"/>
        <v>458615000</v>
      </c>
      <c r="N1245" s="295" t="s">
        <v>264</v>
      </c>
      <c r="O1245" s="295" t="s">
        <v>8</v>
      </c>
      <c r="P1245" s="75" t="str">
        <f>IF(AND('331-CT'!$E$7=TH!H1245,OR(N1245="331",O1245="331")),"x","")</f>
        <v/>
      </c>
      <c r="Q1245" s="75" t="str">
        <f>IF(AND(B1245='111'!$L$11,OR($N1245=$Q$7,$O1245=$Q$7)),"x","")</f>
        <v/>
      </c>
      <c r="R1245" s="75" t="str">
        <f>IF(AND($N1245=$Q$7,$B1245&lt;'111'!$L$11),"x","")</f>
        <v/>
      </c>
      <c r="S1245" s="75" t="str">
        <f>IF(AND($O1245=$Q$7,$B1245&lt;'111'!$L$11),"x","")</f>
        <v/>
      </c>
      <c r="T1245" s="75" t="str">
        <f>IF(ISERROR(FIND('112'!$M$9,G1245,1)),"",IF((AND(FIND('112'!$M$9,G1245,1)&gt;=1,B1245='112'!$K$9,OR($N1245='112'!$I$6,$O1245='112'!$I$6))),"x",""))</f>
        <v/>
      </c>
      <c r="U1245" s="75" t="str">
        <f>IF(ISERROR(FIND('112'!$M$9,G1245,1)),"",IF((AND(LEFT(G1245,2)=LEFT('112'!$M$9,2),B1245&lt;'112'!$K$9,$N1245='112'!$I$6)),"x",""))</f>
        <v/>
      </c>
      <c r="V1245" s="75" t="str">
        <f>IF(ISERROR(FIND('112'!$M$9,G1245,1)),"",IF((AND(RIGHT(G1245,2)=RIGHT('112'!$M$9,2),B1245&lt;'112'!$K$9,$O1245='112'!$I$6)),"x",""))</f>
        <v/>
      </c>
      <c r="W1245" s="75" t="str">
        <f>IF(AND('341-CT'!$H$9=H1245,OR(LEFT(N1245,3)=$W$7,LEFT(O1245,3)=$W$7)),"x","")</f>
        <v/>
      </c>
      <c r="X1245" s="75" t="str">
        <f>IF(OR(TH!N1245=TH!$X$7,O1245=TH!$X$7),"x","")</f>
        <v/>
      </c>
      <c r="Y1245" s="75" t="str">
        <f>IF(AND(OR(N1245="131",O1245="131"),H1245='131-CT'!$H$9),"x","")</f>
        <v/>
      </c>
      <c r="Z1245" s="75"/>
      <c r="AA1245" s="75" t="str">
        <f>IF(AND(MONTH(E1245)='IN-NX'!$J$5,'IN-NX'!$D$7=D1245),"x","")</f>
        <v/>
      </c>
      <c r="AB1245" s="75" t="str">
        <f>IF(AND(OR(LEFT(TH!N1245,2)="15",LEFT(TH!O1245,2)="15"),LEFT(TH!O1245,3)&lt;&gt;"111",'152-CT'!$J$8=TH!F1245),"x","")</f>
        <v/>
      </c>
      <c r="AC1245" s="75" t="str">
        <f>IF(AND(OR(LEFT(TH!N1245,2)="15",LEFT(TH!O1245,2)="15"),TK!$E$7=TH!F1245),"x","")</f>
        <v/>
      </c>
      <c r="AD1245" s="75" t="str">
        <f>IF(AND(N1245="1521",MONTH(C1245)='BK-NL'!$M$11),"x","")</f>
        <v>x</v>
      </c>
    </row>
    <row r="1246" spans="1:30" ht="16.5" customHeight="1">
      <c r="A1246" s="309" t="str">
        <f>IF(B1246&lt;&gt;"",IF(AND(B1246='IN-TC'!$S$4,OR(TH!N1246="1111",TH!O1246="1111")),TH!D1246,""),"")</f>
        <v/>
      </c>
      <c r="B1246" s="1241">
        <f t="shared" si="260"/>
        <v>4</v>
      </c>
      <c r="C1246" s="292">
        <f t="shared" si="263"/>
        <v>42837</v>
      </c>
      <c r="D1246" s="292" t="s">
        <v>2990</v>
      </c>
      <c r="E1246" s="292">
        <v>42837</v>
      </c>
      <c r="F1246" s="429" t="s">
        <v>771</v>
      </c>
      <c r="G1246" s="925"/>
      <c r="H1246" s="429" t="s">
        <v>1892</v>
      </c>
      <c r="I1246" s="373">
        <v>24130</v>
      </c>
      <c r="J1246" s="379">
        <v>18500</v>
      </c>
      <c r="K1246" s="373"/>
      <c r="L1246" s="379"/>
      <c r="M1246" s="927">
        <f t="shared" si="264"/>
        <v>446405000</v>
      </c>
      <c r="N1246" s="295" t="s">
        <v>264</v>
      </c>
      <c r="O1246" s="295" t="s">
        <v>8</v>
      </c>
      <c r="P1246" s="75" t="str">
        <f>IF(AND('331-CT'!$E$7=TH!H1246,OR(N1246="331",O1246="331")),"x","")</f>
        <v/>
      </c>
      <c r="Q1246" s="75" t="str">
        <f>IF(AND(B1246='111'!$L$11,OR($N1246=$Q$7,$O1246=$Q$7)),"x","")</f>
        <v/>
      </c>
      <c r="R1246" s="75" t="str">
        <f>IF(AND($N1246=$Q$7,$B1246&lt;'111'!$L$11),"x","")</f>
        <v/>
      </c>
      <c r="S1246" s="75" t="str">
        <f>IF(AND($O1246=$Q$7,$B1246&lt;'111'!$L$11),"x","")</f>
        <v/>
      </c>
      <c r="T1246" s="75" t="str">
        <f>IF(ISERROR(FIND('112'!$M$9,G1246,1)),"",IF((AND(FIND('112'!$M$9,G1246,1)&gt;=1,B1246='112'!$K$9,OR($N1246='112'!$I$6,$O1246='112'!$I$6))),"x",""))</f>
        <v/>
      </c>
      <c r="U1246" s="75" t="str">
        <f>IF(ISERROR(FIND('112'!$M$9,G1246,1)),"",IF((AND(LEFT(G1246,2)=LEFT('112'!$M$9,2),B1246&lt;'112'!$K$9,$N1246='112'!$I$6)),"x",""))</f>
        <v/>
      </c>
      <c r="V1246" s="75" t="str">
        <f>IF(ISERROR(FIND('112'!$M$9,G1246,1)),"",IF((AND(RIGHT(G1246,2)=RIGHT('112'!$M$9,2),B1246&lt;'112'!$K$9,$O1246='112'!$I$6)),"x",""))</f>
        <v/>
      </c>
      <c r="W1246" s="75" t="str">
        <f>IF(AND('341-CT'!$H$9=H1246,OR(LEFT(N1246,3)=$W$7,LEFT(O1246,3)=$W$7)),"x","")</f>
        <v/>
      </c>
      <c r="X1246" s="75" t="str">
        <f>IF(OR(TH!N1246=TH!$X$7,O1246=TH!$X$7),"x","")</f>
        <v/>
      </c>
      <c r="Y1246" s="75" t="str">
        <f>IF(AND(OR(N1246="131",O1246="131"),H1246='131-CT'!$H$9),"x","")</f>
        <v/>
      </c>
      <c r="Z1246" s="75"/>
      <c r="AA1246" s="75" t="str">
        <f>IF(AND(MONTH(E1246)='IN-NX'!$J$5,'IN-NX'!$D$7=D1246),"x","")</f>
        <v/>
      </c>
      <c r="AB1246" s="75" t="str">
        <f>IF(AND(OR(LEFT(TH!N1246,2)="15",LEFT(TH!O1246,2)="15"),LEFT(TH!O1246,3)&lt;&gt;"111",'152-CT'!$J$8=TH!F1246),"x","")</f>
        <v/>
      </c>
      <c r="AC1246" s="75" t="str">
        <f>IF(AND(OR(LEFT(TH!N1246,2)="15",LEFT(TH!O1246,2)="15"),TK!$E$7=TH!F1246),"x","")</f>
        <v/>
      </c>
      <c r="AD1246" s="75" t="str">
        <f>IF(AND(N1246="1521",MONTH(C1246)='BK-NL'!$M$11),"x","")</f>
        <v>x</v>
      </c>
    </row>
    <row r="1247" spans="1:30" ht="16.5" customHeight="1">
      <c r="A1247" s="309" t="str">
        <f>IF(B1247&lt;&gt;"",IF(AND(B1247='IN-TC'!$S$4,OR(TH!N1247="1111",TH!O1247="1111")),TH!D1247,""),"")</f>
        <v/>
      </c>
      <c r="B1247" s="1241">
        <f t="shared" ref="B1247" si="268">IF(C1247&lt;&gt;"",MONTH(C1247),"")</f>
        <v>4</v>
      </c>
      <c r="C1247" s="292">
        <f t="shared" ref="C1247" si="269">E1247</f>
        <v>42842</v>
      </c>
      <c r="D1247" s="292" t="s">
        <v>2991</v>
      </c>
      <c r="E1247" s="292">
        <v>42842</v>
      </c>
      <c r="F1247" s="429" t="s">
        <v>771</v>
      </c>
      <c r="G1247" s="925"/>
      <c r="H1247" s="311" t="s">
        <v>1886</v>
      </c>
      <c r="I1247" s="373">
        <v>24150</v>
      </c>
      <c r="J1247" s="379">
        <v>18500</v>
      </c>
      <c r="K1247" s="373"/>
      <c r="L1247" s="379"/>
      <c r="M1247" s="927">
        <f t="shared" ref="M1247" si="270">ROUND(I1247*J1247,0)</f>
        <v>446775000</v>
      </c>
      <c r="N1247" s="295" t="s">
        <v>264</v>
      </c>
      <c r="O1247" s="295" t="s">
        <v>8</v>
      </c>
      <c r="P1247" s="75" t="str">
        <f>IF(AND('331-CT'!$E$7=TH!H1247,OR(N1247="331",O1247="331")),"x","")</f>
        <v>x</v>
      </c>
      <c r="Q1247" s="75" t="str">
        <f>IF(AND(B1247='111'!$L$11,OR($N1247=$Q$7,$O1247=$Q$7)),"x","")</f>
        <v/>
      </c>
      <c r="R1247" s="75" t="str">
        <f>IF(AND($N1247=$Q$7,$B1247&lt;'111'!$L$11),"x","")</f>
        <v/>
      </c>
      <c r="S1247" s="75" t="str">
        <f>IF(AND($O1247=$Q$7,$B1247&lt;'111'!$L$11),"x","")</f>
        <v/>
      </c>
      <c r="T1247" s="75" t="str">
        <f>IF(ISERROR(FIND('112'!$M$9,G1247,1)),"",IF((AND(FIND('112'!$M$9,G1247,1)&gt;=1,B1247='112'!$K$9,OR($N1247='112'!$I$6,$O1247='112'!$I$6))),"x",""))</f>
        <v/>
      </c>
      <c r="U1247" s="75" t="str">
        <f>IF(ISERROR(FIND('112'!$M$9,G1247,1)),"",IF((AND(LEFT(G1247,2)=LEFT('112'!$M$9,2),B1247&lt;'112'!$K$9,$N1247='112'!$I$6)),"x",""))</f>
        <v/>
      </c>
      <c r="V1247" s="75" t="str">
        <f>IF(ISERROR(FIND('112'!$M$9,G1247,1)),"",IF((AND(RIGHT(G1247,2)=RIGHT('112'!$M$9,2),B1247&lt;'112'!$K$9,$O1247='112'!$I$6)),"x",""))</f>
        <v/>
      </c>
      <c r="W1247" s="75" t="str">
        <f>IF(AND('341-CT'!$H$9=H1247,OR(LEFT(N1247,3)=$W$7,LEFT(O1247,3)=$W$7)),"x","")</f>
        <v/>
      </c>
      <c r="X1247" s="75" t="str">
        <f>IF(OR(TH!N1247=TH!$X$7,O1247=TH!$X$7),"x","")</f>
        <v/>
      </c>
      <c r="Y1247" s="75" t="str">
        <f>IF(AND(OR(N1247="131",O1247="131"),H1247='131-CT'!$H$9),"x","")</f>
        <v/>
      </c>
      <c r="Z1247" s="75"/>
      <c r="AA1247" s="75" t="str">
        <f>IF(AND(MONTH(E1247)='IN-NX'!$J$5,'IN-NX'!$D$7=D1247),"x","")</f>
        <v/>
      </c>
      <c r="AB1247" s="75" t="str">
        <f>IF(AND(OR(LEFT(TH!N1247,2)="15",LEFT(TH!O1247,2)="15"),LEFT(TH!O1247,3)&lt;&gt;"111",'152-CT'!$J$8=TH!F1247),"x","")</f>
        <v/>
      </c>
      <c r="AC1247" s="75" t="str">
        <f>IF(AND(OR(LEFT(TH!N1247,2)="15",LEFT(TH!O1247,2)="15"),TK!$E$7=TH!F1247),"x","")</f>
        <v/>
      </c>
      <c r="AD1247" s="75" t="str">
        <f>IF(AND(N1247="1521",MONTH(C1247)='BK-NL'!$M$11),"x","")</f>
        <v>x</v>
      </c>
    </row>
    <row r="1248" spans="1:30" ht="16.5" customHeight="1">
      <c r="A1248" s="309" t="str">
        <f>IF(B1248&lt;&gt;"",IF(AND(B1248='IN-TC'!$S$4,OR(TH!N1248="1111",TH!O1248="1111")),TH!D1248,""),"")</f>
        <v/>
      </c>
      <c r="B1248" s="1241">
        <f t="shared" si="260"/>
        <v>4</v>
      </c>
      <c r="C1248" s="292">
        <f t="shared" si="263"/>
        <v>42842</v>
      </c>
      <c r="D1248" s="292" t="s">
        <v>2992</v>
      </c>
      <c r="E1248" s="292">
        <v>42842</v>
      </c>
      <c r="F1248" s="429" t="s">
        <v>771</v>
      </c>
      <c r="G1248" s="925"/>
      <c r="H1248" s="429" t="s">
        <v>1888</v>
      </c>
      <c r="I1248" s="373">
        <v>24560</v>
      </c>
      <c r="J1248" s="379">
        <v>18500</v>
      </c>
      <c r="K1248" s="373"/>
      <c r="L1248" s="379"/>
      <c r="M1248" s="927">
        <f t="shared" si="264"/>
        <v>454360000</v>
      </c>
      <c r="N1248" s="295" t="s">
        <v>264</v>
      </c>
      <c r="O1248" s="295" t="s">
        <v>8</v>
      </c>
      <c r="P1248" s="75" t="str">
        <f>IF(AND('331-CT'!$E$7=TH!H1248,OR(N1248="331",O1248="331")),"x","")</f>
        <v/>
      </c>
      <c r="Q1248" s="75" t="str">
        <f>IF(AND(B1248='111'!$L$11,OR($N1248=$Q$7,$O1248=$Q$7)),"x","")</f>
        <v/>
      </c>
      <c r="R1248" s="75" t="str">
        <f>IF(AND($N1248=$Q$7,$B1248&lt;'111'!$L$11),"x","")</f>
        <v/>
      </c>
      <c r="S1248" s="75" t="str">
        <f>IF(AND($O1248=$Q$7,$B1248&lt;'111'!$L$11),"x","")</f>
        <v/>
      </c>
      <c r="T1248" s="75" t="str">
        <f>IF(ISERROR(FIND('112'!$M$9,G1248,1)),"",IF((AND(FIND('112'!$M$9,G1248,1)&gt;=1,B1248='112'!$K$9,OR($N1248='112'!$I$6,$O1248='112'!$I$6))),"x",""))</f>
        <v/>
      </c>
      <c r="U1248" s="75" t="str">
        <f>IF(ISERROR(FIND('112'!$M$9,G1248,1)),"",IF((AND(LEFT(G1248,2)=LEFT('112'!$M$9,2),B1248&lt;'112'!$K$9,$N1248='112'!$I$6)),"x",""))</f>
        <v/>
      </c>
      <c r="V1248" s="75" t="str">
        <f>IF(ISERROR(FIND('112'!$M$9,G1248,1)),"",IF((AND(RIGHT(G1248,2)=RIGHT('112'!$M$9,2),B1248&lt;'112'!$K$9,$O1248='112'!$I$6)),"x",""))</f>
        <v/>
      </c>
      <c r="W1248" s="75" t="str">
        <f>IF(AND('341-CT'!$H$9=H1248,OR(LEFT(N1248,3)=$W$7,LEFT(O1248,3)=$W$7)),"x","")</f>
        <v/>
      </c>
      <c r="X1248" s="75" t="str">
        <f>IF(OR(TH!N1248=TH!$X$7,O1248=TH!$X$7),"x","")</f>
        <v/>
      </c>
      <c r="Y1248" s="75" t="str">
        <f>IF(AND(OR(N1248="131",O1248="131"),H1248='131-CT'!$H$9),"x","")</f>
        <v/>
      </c>
      <c r="Z1248" s="75"/>
      <c r="AA1248" s="75" t="str">
        <f>IF(AND(MONTH(E1248)='IN-NX'!$J$5,'IN-NX'!$D$7=D1248),"x","")</f>
        <v/>
      </c>
      <c r="AB1248" s="75" t="str">
        <f>IF(AND(OR(LEFT(TH!N1248,2)="15",LEFT(TH!O1248,2)="15"),LEFT(TH!O1248,3)&lt;&gt;"111",'152-CT'!$J$8=TH!F1248),"x","")</f>
        <v/>
      </c>
      <c r="AC1248" s="75" t="str">
        <f>IF(AND(OR(LEFT(TH!N1248,2)="15",LEFT(TH!O1248,2)="15"),TK!$E$7=TH!F1248),"x","")</f>
        <v/>
      </c>
      <c r="AD1248" s="75" t="str">
        <f>IF(AND(N1248="1521",MONTH(C1248)='BK-NL'!$M$11),"x","")</f>
        <v>x</v>
      </c>
    </row>
    <row r="1249" spans="1:30" ht="16.5" customHeight="1">
      <c r="A1249" s="309" t="str">
        <f>IF(B1249&lt;&gt;"",IF(AND(B1249='IN-TC'!$S$4,OR(TH!N1249="1111",TH!O1249="1111")),TH!D1249,""),"")</f>
        <v/>
      </c>
      <c r="B1249" s="1241">
        <f t="shared" si="260"/>
        <v>4</v>
      </c>
      <c r="C1249" s="292">
        <f t="shared" si="263"/>
        <v>42842</v>
      </c>
      <c r="D1249" s="292" t="s">
        <v>2993</v>
      </c>
      <c r="E1249" s="292">
        <v>42842</v>
      </c>
      <c r="F1249" s="429" t="s">
        <v>771</v>
      </c>
      <c r="G1249" s="925"/>
      <c r="H1249" s="429" t="s">
        <v>1887</v>
      </c>
      <c r="I1249" s="373">
        <f>246243-SUM(I1240:I1248)</f>
        <v>24853</v>
      </c>
      <c r="J1249" s="379">
        <v>18500</v>
      </c>
      <c r="K1249" s="373"/>
      <c r="L1249" s="379"/>
      <c r="M1249" s="927">
        <f t="shared" si="264"/>
        <v>459780500</v>
      </c>
      <c r="N1249" s="295" t="s">
        <v>264</v>
      </c>
      <c r="O1249" s="295" t="s">
        <v>8</v>
      </c>
      <c r="P1249" s="75" t="str">
        <f>IF(AND('331-CT'!$E$7=TH!H1249,OR(N1249="331",O1249="331")),"x","")</f>
        <v/>
      </c>
      <c r="Q1249" s="75" t="str">
        <f>IF(AND(B1249='111'!$L$11,OR($N1249=$Q$7,$O1249=$Q$7)),"x","")</f>
        <v/>
      </c>
      <c r="R1249" s="75" t="str">
        <f>IF(AND($N1249=$Q$7,$B1249&lt;'111'!$L$11),"x","")</f>
        <v/>
      </c>
      <c r="S1249" s="75" t="str">
        <f>IF(AND($O1249=$Q$7,$B1249&lt;'111'!$L$11),"x","")</f>
        <v/>
      </c>
      <c r="T1249" s="75" t="str">
        <f>IF(ISERROR(FIND('112'!$M$9,G1249,1)),"",IF((AND(FIND('112'!$M$9,G1249,1)&gt;=1,B1249='112'!$K$9,OR($N1249='112'!$I$6,$O1249='112'!$I$6))),"x",""))</f>
        <v/>
      </c>
      <c r="U1249" s="75" t="str">
        <f>IF(ISERROR(FIND('112'!$M$9,G1249,1)),"",IF((AND(LEFT(G1249,2)=LEFT('112'!$M$9,2),B1249&lt;'112'!$K$9,$N1249='112'!$I$6)),"x",""))</f>
        <v/>
      </c>
      <c r="V1249" s="75" t="str">
        <f>IF(ISERROR(FIND('112'!$M$9,G1249,1)),"",IF((AND(RIGHT(G1249,2)=RIGHT('112'!$M$9,2),B1249&lt;'112'!$K$9,$O1249='112'!$I$6)),"x",""))</f>
        <v/>
      </c>
      <c r="W1249" s="75" t="str">
        <f>IF(AND('341-CT'!$H$9=H1249,OR(LEFT(N1249,3)=$W$7,LEFT(O1249,3)=$W$7)),"x","")</f>
        <v/>
      </c>
      <c r="X1249" s="75" t="str">
        <f>IF(OR(TH!N1249=TH!$X$7,O1249=TH!$X$7),"x","")</f>
        <v/>
      </c>
      <c r="Y1249" s="75" t="str">
        <f>IF(AND(OR(N1249="131",O1249="131"),H1249='131-CT'!$H$9),"x","")</f>
        <v/>
      </c>
      <c r="Z1249" s="75"/>
      <c r="AA1249" s="75" t="str">
        <f>IF(AND(MONTH(E1249)='IN-NX'!$J$5,'IN-NX'!$D$7=D1249),"x","")</f>
        <v/>
      </c>
      <c r="AB1249" s="75" t="str">
        <f>IF(AND(OR(LEFT(TH!N1249,2)="15",LEFT(TH!O1249,2)="15"),LEFT(TH!O1249,3)&lt;&gt;"111",'152-CT'!$J$8=TH!F1249),"x","")</f>
        <v/>
      </c>
      <c r="AC1249" s="75" t="str">
        <f>IF(AND(OR(LEFT(TH!N1249,2)="15",LEFT(TH!O1249,2)="15"),TK!$E$7=TH!F1249),"x","")</f>
        <v/>
      </c>
      <c r="AD1249" s="75" t="str">
        <f>IF(AND(N1249="1521",MONTH(C1249)='BK-NL'!$M$11),"x","")</f>
        <v>x</v>
      </c>
    </row>
    <row r="1250" spans="1:30" ht="16.5" customHeight="1">
      <c r="A1250" s="309" t="str">
        <f>IF(B1250&lt;&gt;"",IF(AND(B1250='IN-TC'!$S$4,OR(TH!N1250="1111",TH!O1250="1111")),TH!D1250,""),"")</f>
        <v/>
      </c>
      <c r="B1250" s="1241">
        <f t="shared" ref="B1250:B1256" si="271">IF(C1250&lt;&gt;"",MONTH(C1250),"")</f>
        <v>4</v>
      </c>
      <c r="C1250" s="292">
        <f t="shared" ref="C1250:C1256" si="272">E1250</f>
        <v>42830</v>
      </c>
      <c r="D1250" s="292" t="s">
        <v>2967</v>
      </c>
      <c r="E1250" s="292">
        <v>42830</v>
      </c>
      <c r="F1250" s="429" t="s">
        <v>3000</v>
      </c>
      <c r="G1250" s="925"/>
      <c r="H1250" s="429" t="s">
        <v>1882</v>
      </c>
      <c r="I1250" s="373">
        <v>26750</v>
      </c>
      <c r="J1250" s="379">
        <v>16500</v>
      </c>
      <c r="K1250" s="373"/>
      <c r="L1250" s="379"/>
      <c r="M1250" s="927">
        <f t="shared" ref="M1250:M1256" si="273">ROUND(I1250*J1250,0)</f>
        <v>441375000</v>
      </c>
      <c r="N1250" s="295" t="s">
        <v>264</v>
      </c>
      <c r="O1250" s="295" t="s">
        <v>8</v>
      </c>
      <c r="P1250" s="75" t="str">
        <f>IF(AND('331-CT'!$E$7=TH!H1250,OR(N1250="331",O1250="331")),"x","")</f>
        <v/>
      </c>
      <c r="Q1250" s="75" t="str">
        <f>IF(AND(B1250='111'!$L$11,OR($N1250=$Q$7,$O1250=$Q$7)),"x","")</f>
        <v/>
      </c>
      <c r="R1250" s="75" t="str">
        <f>IF(AND($N1250=$Q$7,$B1250&lt;'111'!$L$11),"x","")</f>
        <v/>
      </c>
      <c r="S1250" s="75" t="str">
        <f>IF(AND($O1250=$Q$7,$B1250&lt;'111'!$L$11),"x","")</f>
        <v/>
      </c>
      <c r="T1250" s="75" t="str">
        <f>IF(ISERROR(FIND('112'!$M$9,G1250,1)),"",IF((AND(FIND('112'!$M$9,G1250,1)&gt;=1,B1250='112'!$K$9,OR($N1250='112'!$I$6,$O1250='112'!$I$6))),"x",""))</f>
        <v/>
      </c>
      <c r="U1250" s="75" t="str">
        <f>IF(ISERROR(FIND('112'!$M$9,G1250,1)),"",IF((AND(LEFT(G1250,2)=LEFT('112'!$M$9,2),B1250&lt;'112'!$K$9,$N1250='112'!$I$6)),"x",""))</f>
        <v/>
      </c>
      <c r="V1250" s="75" t="str">
        <f>IF(ISERROR(FIND('112'!$M$9,G1250,1)),"",IF((AND(RIGHT(G1250,2)=RIGHT('112'!$M$9,2),B1250&lt;'112'!$K$9,$O1250='112'!$I$6)),"x",""))</f>
        <v/>
      </c>
      <c r="W1250" s="75" t="str">
        <f>IF(AND('341-CT'!$H$9=H1250,OR(LEFT(N1250,3)=$W$7,LEFT(O1250,3)=$W$7)),"x","")</f>
        <v/>
      </c>
      <c r="X1250" s="75" t="str">
        <f>IF(OR(TH!N1250=TH!$X$7,O1250=TH!$X$7),"x","")</f>
        <v/>
      </c>
      <c r="Y1250" s="75" t="str">
        <f>IF(AND(OR(N1250="131",O1250="131"),H1250='131-CT'!$H$9),"x","")</f>
        <v/>
      </c>
      <c r="Z1250" s="75"/>
      <c r="AA1250" s="75" t="str">
        <f>IF(AND(MONTH(E1250)='IN-NX'!$J$5,'IN-NX'!$D$7=D1250),"x","")</f>
        <v/>
      </c>
      <c r="AB1250" s="75" t="str">
        <f>IF(AND(OR(LEFT(TH!N1250,2)="15",LEFT(TH!O1250,2)="15"),LEFT(TH!O1250,3)&lt;&gt;"111",'152-CT'!$J$8=TH!F1250),"x","")</f>
        <v/>
      </c>
      <c r="AC1250" s="75" t="str">
        <f>IF(AND(OR(LEFT(TH!N1250,2)="15",LEFT(TH!O1250,2)="15"),TK!$E$7=TH!F1250),"x","")</f>
        <v/>
      </c>
      <c r="AD1250" s="75" t="str">
        <f>IF(AND(N1250="1521",MONTH(C1250)='BK-NL'!$M$11),"x","")</f>
        <v>x</v>
      </c>
    </row>
    <row r="1251" spans="1:30" ht="16.5" customHeight="1">
      <c r="A1251" s="309" t="str">
        <f>IF(B1251&lt;&gt;"",IF(AND(B1251='IN-TC'!$S$4,OR(TH!N1251="1111",TH!O1251="1111")),TH!D1251,""),"")</f>
        <v/>
      </c>
      <c r="B1251" s="1241">
        <f t="shared" si="271"/>
        <v>4</v>
      </c>
      <c r="C1251" s="292">
        <f t="shared" si="272"/>
        <v>42830</v>
      </c>
      <c r="D1251" s="292" t="s">
        <v>2963</v>
      </c>
      <c r="E1251" s="292">
        <v>42830</v>
      </c>
      <c r="F1251" s="429" t="s">
        <v>3000</v>
      </c>
      <c r="G1251" s="925"/>
      <c r="H1251" s="429" t="s">
        <v>1890</v>
      </c>
      <c r="I1251" s="373">
        <v>26850</v>
      </c>
      <c r="J1251" s="379">
        <v>16500</v>
      </c>
      <c r="K1251" s="373"/>
      <c r="L1251" s="379"/>
      <c r="M1251" s="927">
        <f t="shared" si="273"/>
        <v>443025000</v>
      </c>
      <c r="N1251" s="295" t="s">
        <v>264</v>
      </c>
      <c r="O1251" s="295" t="s">
        <v>8</v>
      </c>
      <c r="P1251" s="75" t="str">
        <f>IF(AND('331-CT'!$E$7=TH!H1251,OR(N1251="331",O1251="331")),"x","")</f>
        <v/>
      </c>
      <c r="Q1251" s="75" t="str">
        <f>IF(AND(B1251='111'!$L$11,OR($N1251=$Q$7,$O1251=$Q$7)),"x","")</f>
        <v/>
      </c>
      <c r="R1251" s="75" t="str">
        <f>IF(AND($N1251=$Q$7,$B1251&lt;'111'!$L$11),"x","")</f>
        <v/>
      </c>
      <c r="S1251" s="75" t="str">
        <f>IF(AND($O1251=$Q$7,$B1251&lt;'111'!$L$11),"x","")</f>
        <v/>
      </c>
      <c r="T1251" s="75" t="str">
        <f>IF(ISERROR(FIND('112'!$M$9,G1251,1)),"",IF((AND(FIND('112'!$M$9,G1251,1)&gt;=1,B1251='112'!$K$9,OR($N1251='112'!$I$6,$O1251='112'!$I$6))),"x",""))</f>
        <v/>
      </c>
      <c r="U1251" s="75" t="str">
        <f>IF(ISERROR(FIND('112'!$M$9,G1251,1)),"",IF((AND(LEFT(G1251,2)=LEFT('112'!$M$9,2),B1251&lt;'112'!$K$9,$N1251='112'!$I$6)),"x",""))</f>
        <v/>
      </c>
      <c r="V1251" s="75" t="str">
        <f>IF(ISERROR(FIND('112'!$M$9,G1251,1)),"",IF((AND(RIGHT(G1251,2)=RIGHT('112'!$M$9,2),B1251&lt;'112'!$K$9,$O1251='112'!$I$6)),"x",""))</f>
        <v/>
      </c>
      <c r="W1251" s="75" t="str">
        <f>IF(AND('341-CT'!$H$9=H1251,OR(LEFT(N1251,3)=$W$7,LEFT(O1251,3)=$W$7)),"x","")</f>
        <v/>
      </c>
      <c r="X1251" s="75" t="str">
        <f>IF(OR(TH!N1251=TH!$X$7,O1251=TH!$X$7),"x","")</f>
        <v/>
      </c>
      <c r="Y1251" s="75" t="str">
        <f>IF(AND(OR(N1251="131",O1251="131"),H1251='131-CT'!$H$9),"x","")</f>
        <v/>
      </c>
      <c r="Z1251" s="75"/>
      <c r="AA1251" s="75" t="str">
        <f>IF(AND(MONTH(E1251)='IN-NX'!$J$5,'IN-NX'!$D$7=D1251),"x","")</f>
        <v/>
      </c>
      <c r="AB1251" s="75" t="str">
        <f>IF(AND(OR(LEFT(TH!N1251,2)="15",LEFT(TH!O1251,2)="15"),LEFT(TH!O1251,3)&lt;&gt;"111",'152-CT'!$J$8=TH!F1251),"x","")</f>
        <v/>
      </c>
      <c r="AC1251" s="75" t="str">
        <f>IF(AND(OR(LEFT(TH!N1251,2)="15",LEFT(TH!O1251,2)="15"),TK!$E$7=TH!F1251),"x","")</f>
        <v/>
      </c>
      <c r="AD1251" s="75" t="str">
        <f>IF(AND(N1251="1521",MONTH(C1251)='BK-NL'!$M$11),"x","")</f>
        <v>x</v>
      </c>
    </row>
    <row r="1252" spans="1:30" ht="16.5" customHeight="1">
      <c r="A1252" s="309" t="str">
        <f>IF(B1252&lt;&gt;"",IF(AND(B1252='IN-TC'!$S$4,OR(TH!N1252="1111",TH!O1252="1111")),TH!D1252,""),"")</f>
        <v/>
      </c>
      <c r="B1252" s="1241">
        <f t="shared" si="271"/>
        <v>4</v>
      </c>
      <c r="C1252" s="292">
        <f t="shared" si="272"/>
        <v>42837</v>
      </c>
      <c r="D1252" s="292" t="s">
        <v>2986</v>
      </c>
      <c r="E1252" s="292">
        <v>42837</v>
      </c>
      <c r="F1252" s="429" t="s">
        <v>3000</v>
      </c>
      <c r="G1252" s="925"/>
      <c r="H1252" s="429" t="s">
        <v>1889</v>
      </c>
      <c r="I1252" s="373">
        <v>26954</v>
      </c>
      <c r="J1252" s="379">
        <v>16500</v>
      </c>
      <c r="K1252" s="373"/>
      <c r="L1252" s="379"/>
      <c r="M1252" s="927">
        <f t="shared" si="273"/>
        <v>444741000</v>
      </c>
      <c r="N1252" s="295" t="s">
        <v>264</v>
      </c>
      <c r="O1252" s="295" t="s">
        <v>8</v>
      </c>
      <c r="P1252" s="75" t="str">
        <f>IF(AND('331-CT'!$E$7=TH!H1252,OR(N1252="331",O1252="331")),"x","")</f>
        <v/>
      </c>
      <c r="Q1252" s="75" t="str">
        <f>IF(AND(B1252='111'!$L$11,OR($N1252=$Q$7,$O1252=$Q$7)),"x","")</f>
        <v/>
      </c>
      <c r="R1252" s="75" t="str">
        <f>IF(AND($N1252=$Q$7,$B1252&lt;'111'!$L$11),"x","")</f>
        <v/>
      </c>
      <c r="S1252" s="75" t="str">
        <f>IF(AND($O1252=$Q$7,$B1252&lt;'111'!$L$11),"x","")</f>
        <v/>
      </c>
      <c r="T1252" s="75" t="str">
        <f>IF(ISERROR(FIND('112'!$M$9,G1252,1)),"",IF((AND(FIND('112'!$M$9,G1252,1)&gt;=1,B1252='112'!$K$9,OR($N1252='112'!$I$6,$O1252='112'!$I$6))),"x",""))</f>
        <v/>
      </c>
      <c r="U1252" s="75" t="str">
        <f>IF(ISERROR(FIND('112'!$M$9,G1252,1)),"",IF((AND(LEFT(G1252,2)=LEFT('112'!$M$9,2),B1252&lt;'112'!$K$9,$N1252='112'!$I$6)),"x",""))</f>
        <v/>
      </c>
      <c r="V1252" s="75" t="str">
        <f>IF(ISERROR(FIND('112'!$M$9,G1252,1)),"",IF((AND(RIGHT(G1252,2)=RIGHT('112'!$M$9,2),B1252&lt;'112'!$K$9,$O1252='112'!$I$6)),"x",""))</f>
        <v/>
      </c>
      <c r="W1252" s="75" t="str">
        <f>IF(AND('341-CT'!$H$9=H1252,OR(LEFT(N1252,3)=$W$7,LEFT(O1252,3)=$W$7)),"x","")</f>
        <v/>
      </c>
      <c r="X1252" s="75" t="str">
        <f>IF(OR(TH!N1252=TH!$X$7,O1252=TH!$X$7),"x","")</f>
        <v/>
      </c>
      <c r="Y1252" s="75" t="str">
        <f>IF(AND(OR(N1252="131",O1252="131"),H1252='131-CT'!$H$9),"x","")</f>
        <v/>
      </c>
      <c r="Z1252" s="75"/>
      <c r="AA1252" s="75" t="str">
        <f>IF(AND(MONTH(E1252)='IN-NX'!$J$5,'IN-NX'!$D$7=D1252),"x","")</f>
        <v/>
      </c>
      <c r="AB1252" s="75" t="str">
        <f>IF(AND(OR(LEFT(TH!N1252,2)="15",LEFT(TH!O1252,2)="15"),LEFT(TH!O1252,3)&lt;&gt;"111",'152-CT'!$J$8=TH!F1252),"x","")</f>
        <v/>
      </c>
      <c r="AC1252" s="75" t="str">
        <f>IF(AND(OR(LEFT(TH!N1252,2)="15",LEFT(TH!O1252,2)="15"),TK!$E$7=TH!F1252),"x","")</f>
        <v/>
      </c>
      <c r="AD1252" s="75" t="str">
        <f>IF(AND(N1252="1521",MONTH(C1252)='BK-NL'!$M$11),"x","")</f>
        <v>x</v>
      </c>
    </row>
    <row r="1253" spans="1:30" ht="16.5" customHeight="1">
      <c r="A1253" s="309" t="str">
        <f>IF(B1253&lt;&gt;"",IF(AND(B1253='IN-TC'!$S$4,OR(TH!N1253="1111",TH!O1253="1111")),TH!D1253,""),"")</f>
        <v/>
      </c>
      <c r="B1253" s="1241">
        <f t="shared" si="271"/>
        <v>4</v>
      </c>
      <c r="C1253" s="292">
        <f t="shared" si="272"/>
        <v>42837</v>
      </c>
      <c r="D1253" s="292" t="s">
        <v>2987</v>
      </c>
      <c r="E1253" s="292">
        <v>42837</v>
      </c>
      <c r="F1253" s="429" t="s">
        <v>3000</v>
      </c>
      <c r="G1253" s="925"/>
      <c r="H1253" s="429" t="s">
        <v>1882</v>
      </c>
      <c r="I1253" s="373">
        <v>25630</v>
      </c>
      <c r="J1253" s="379">
        <v>16500</v>
      </c>
      <c r="K1253" s="373"/>
      <c r="L1253" s="379"/>
      <c r="M1253" s="927">
        <f t="shared" si="273"/>
        <v>422895000</v>
      </c>
      <c r="N1253" s="295" t="s">
        <v>264</v>
      </c>
      <c r="O1253" s="295" t="s">
        <v>8</v>
      </c>
      <c r="P1253" s="75" t="str">
        <f>IF(AND('331-CT'!$E$7=TH!H1253,OR(N1253="331",O1253="331")),"x","")</f>
        <v/>
      </c>
      <c r="Q1253" s="75" t="str">
        <f>IF(AND(B1253='111'!$L$11,OR($N1253=$Q$7,$O1253=$Q$7)),"x","")</f>
        <v/>
      </c>
      <c r="R1253" s="75" t="str">
        <f>IF(AND($N1253=$Q$7,$B1253&lt;'111'!$L$11),"x","")</f>
        <v/>
      </c>
      <c r="S1253" s="75" t="str">
        <f>IF(AND($O1253=$Q$7,$B1253&lt;'111'!$L$11),"x","")</f>
        <v/>
      </c>
      <c r="T1253" s="75" t="str">
        <f>IF(ISERROR(FIND('112'!$M$9,G1253,1)),"",IF((AND(FIND('112'!$M$9,G1253,1)&gt;=1,B1253='112'!$K$9,OR($N1253='112'!$I$6,$O1253='112'!$I$6))),"x",""))</f>
        <v/>
      </c>
      <c r="U1253" s="75" t="str">
        <f>IF(ISERROR(FIND('112'!$M$9,G1253,1)),"",IF((AND(LEFT(G1253,2)=LEFT('112'!$M$9,2),B1253&lt;'112'!$K$9,$N1253='112'!$I$6)),"x",""))</f>
        <v/>
      </c>
      <c r="V1253" s="75" t="str">
        <f>IF(ISERROR(FIND('112'!$M$9,G1253,1)),"",IF((AND(RIGHT(G1253,2)=RIGHT('112'!$M$9,2),B1253&lt;'112'!$K$9,$O1253='112'!$I$6)),"x",""))</f>
        <v/>
      </c>
      <c r="W1253" s="75" t="str">
        <f>IF(AND('341-CT'!$H$9=H1253,OR(LEFT(N1253,3)=$W$7,LEFT(O1253,3)=$W$7)),"x","")</f>
        <v/>
      </c>
      <c r="X1253" s="75" t="str">
        <f>IF(OR(TH!N1253=TH!$X$7,O1253=TH!$X$7),"x","")</f>
        <v/>
      </c>
      <c r="Y1253" s="75" t="str">
        <f>IF(AND(OR(N1253="131",O1253="131"),H1253='131-CT'!$H$9),"x","")</f>
        <v/>
      </c>
      <c r="Z1253" s="75"/>
      <c r="AA1253" s="75" t="str">
        <f>IF(AND(MONTH(E1253)='IN-NX'!$J$5,'IN-NX'!$D$7=D1253),"x","")</f>
        <v/>
      </c>
      <c r="AB1253" s="75" t="str">
        <f>IF(AND(OR(LEFT(TH!N1253,2)="15",LEFT(TH!O1253,2)="15"),LEFT(TH!O1253,3)&lt;&gt;"111",'152-CT'!$J$8=TH!F1253),"x","")</f>
        <v/>
      </c>
      <c r="AC1253" s="75" t="str">
        <f>IF(AND(OR(LEFT(TH!N1253,2)="15",LEFT(TH!O1253,2)="15"),TK!$E$7=TH!F1253),"x","")</f>
        <v/>
      </c>
      <c r="AD1253" s="75" t="str">
        <f>IF(AND(N1253="1521",MONTH(C1253)='BK-NL'!$M$11),"x","")</f>
        <v>x</v>
      </c>
    </row>
    <row r="1254" spans="1:30" ht="16.5" customHeight="1">
      <c r="A1254" s="309" t="str">
        <f>IF(B1254&lt;&gt;"",IF(AND(B1254='IN-TC'!$S$4,OR(TH!N1254="1111",TH!O1254="1111")),TH!D1254,""),"")</f>
        <v/>
      </c>
      <c r="B1254" s="1241">
        <f t="shared" si="271"/>
        <v>4</v>
      </c>
      <c r="C1254" s="292">
        <f t="shared" si="272"/>
        <v>42837</v>
      </c>
      <c r="D1254" s="292" t="s">
        <v>2990</v>
      </c>
      <c r="E1254" s="292">
        <v>42837</v>
      </c>
      <c r="F1254" s="429" t="s">
        <v>3000</v>
      </c>
      <c r="G1254" s="925"/>
      <c r="H1254" s="429" t="s">
        <v>1890</v>
      </c>
      <c r="I1254" s="373">
        <f>132720-SUM(I1250:I1253)</f>
        <v>26536</v>
      </c>
      <c r="J1254" s="379">
        <v>16500</v>
      </c>
      <c r="K1254" s="373"/>
      <c r="L1254" s="379"/>
      <c r="M1254" s="927">
        <f t="shared" si="273"/>
        <v>437844000</v>
      </c>
      <c r="N1254" s="295" t="s">
        <v>264</v>
      </c>
      <c r="O1254" s="295" t="s">
        <v>8</v>
      </c>
      <c r="P1254" s="75" t="str">
        <f>IF(AND('331-CT'!$E$7=TH!H1254,OR(N1254="331",O1254="331")),"x","")</f>
        <v/>
      </c>
      <c r="Q1254" s="75" t="str">
        <f>IF(AND(B1254='111'!$L$11,OR($N1254=$Q$7,$O1254=$Q$7)),"x","")</f>
        <v/>
      </c>
      <c r="R1254" s="75" t="str">
        <f>IF(AND($N1254=$Q$7,$B1254&lt;'111'!$L$11),"x","")</f>
        <v/>
      </c>
      <c r="S1254" s="75" t="str">
        <f>IF(AND($O1254=$Q$7,$B1254&lt;'111'!$L$11),"x","")</f>
        <v/>
      </c>
      <c r="T1254" s="75" t="str">
        <f>IF(ISERROR(FIND('112'!$M$9,G1254,1)),"",IF((AND(FIND('112'!$M$9,G1254,1)&gt;=1,B1254='112'!$K$9,OR($N1254='112'!$I$6,$O1254='112'!$I$6))),"x",""))</f>
        <v/>
      </c>
      <c r="U1254" s="75" t="str">
        <f>IF(ISERROR(FIND('112'!$M$9,G1254,1)),"",IF((AND(LEFT(G1254,2)=LEFT('112'!$M$9,2),B1254&lt;'112'!$K$9,$N1254='112'!$I$6)),"x",""))</f>
        <v/>
      </c>
      <c r="V1254" s="75" t="str">
        <f>IF(ISERROR(FIND('112'!$M$9,G1254,1)),"",IF((AND(RIGHT(G1254,2)=RIGHT('112'!$M$9,2),B1254&lt;'112'!$K$9,$O1254='112'!$I$6)),"x",""))</f>
        <v/>
      </c>
      <c r="W1254" s="75" t="str">
        <f>IF(AND('341-CT'!$H$9=H1254,OR(LEFT(N1254,3)=$W$7,LEFT(O1254,3)=$W$7)),"x","")</f>
        <v/>
      </c>
      <c r="X1254" s="75" t="str">
        <f>IF(OR(TH!N1254=TH!$X$7,O1254=TH!$X$7),"x","")</f>
        <v/>
      </c>
      <c r="Y1254" s="75" t="str">
        <f>IF(AND(OR(N1254="131",O1254="131"),H1254='131-CT'!$H$9),"x","")</f>
        <v/>
      </c>
      <c r="Z1254" s="75"/>
      <c r="AA1254" s="75" t="str">
        <f>IF(AND(MONTH(E1254)='IN-NX'!$J$5,'IN-NX'!$D$7=D1254),"x","")</f>
        <v/>
      </c>
      <c r="AB1254" s="75" t="str">
        <f>IF(AND(OR(LEFT(TH!N1254,2)="15",LEFT(TH!O1254,2)="15"),LEFT(TH!O1254,3)&lt;&gt;"111",'152-CT'!$J$8=TH!F1254),"x","")</f>
        <v/>
      </c>
      <c r="AC1254" s="75" t="str">
        <f>IF(AND(OR(LEFT(TH!N1254,2)="15",LEFT(TH!O1254,2)="15"),TK!$E$7=TH!F1254),"x","")</f>
        <v/>
      </c>
      <c r="AD1254" s="75" t="str">
        <f>IF(AND(N1254="1521",MONTH(C1254)='BK-NL'!$M$11),"x","")</f>
        <v>x</v>
      </c>
    </row>
    <row r="1255" spans="1:30" ht="16.5" customHeight="1">
      <c r="A1255" s="309" t="str">
        <f>IF(B1255&lt;&gt;"",IF(AND(B1255='IN-TC'!$S$4,OR(TH!N1255="1111",TH!O1255="1111")),TH!D1255,""),"")</f>
        <v/>
      </c>
      <c r="B1255" s="1241">
        <f t="shared" si="271"/>
        <v>4</v>
      </c>
      <c r="C1255" s="292">
        <f t="shared" si="272"/>
        <v>42829</v>
      </c>
      <c r="D1255" s="292" t="s">
        <v>2960</v>
      </c>
      <c r="E1255" s="292">
        <v>42829</v>
      </c>
      <c r="F1255" s="429" t="s">
        <v>566</v>
      </c>
      <c r="G1255" s="925"/>
      <c r="H1255" s="67" t="s">
        <v>403</v>
      </c>
      <c r="I1255" s="373">
        <v>23010</v>
      </c>
      <c r="J1255" s="379">
        <v>18200</v>
      </c>
      <c r="K1255" s="373"/>
      <c r="L1255" s="379"/>
      <c r="M1255" s="927">
        <f t="shared" si="273"/>
        <v>418782000</v>
      </c>
      <c r="N1255" s="295" t="s">
        <v>264</v>
      </c>
      <c r="O1255" s="295" t="s">
        <v>8</v>
      </c>
      <c r="P1255" s="75" t="str">
        <f>IF(AND('331-CT'!$E$7=TH!H1255,OR(N1255="331",O1255="331")),"x","")</f>
        <v/>
      </c>
      <c r="Q1255" s="75" t="str">
        <f>IF(AND(B1255='111'!$L$11,OR($N1255=$Q$7,$O1255=$Q$7)),"x","")</f>
        <v/>
      </c>
      <c r="R1255" s="75" t="str">
        <f>IF(AND($N1255=$Q$7,$B1255&lt;'111'!$L$11),"x","")</f>
        <v/>
      </c>
      <c r="S1255" s="75" t="str">
        <f>IF(AND($O1255=$Q$7,$B1255&lt;'111'!$L$11),"x","")</f>
        <v/>
      </c>
      <c r="T1255" s="75" t="str">
        <f>IF(ISERROR(FIND('112'!$M$9,G1255,1)),"",IF((AND(FIND('112'!$M$9,G1255,1)&gt;=1,B1255='112'!$K$9,OR($N1255='112'!$I$6,$O1255='112'!$I$6))),"x",""))</f>
        <v/>
      </c>
      <c r="U1255" s="75" t="str">
        <f>IF(ISERROR(FIND('112'!$M$9,G1255,1)),"",IF((AND(LEFT(G1255,2)=LEFT('112'!$M$9,2),B1255&lt;'112'!$K$9,$N1255='112'!$I$6)),"x",""))</f>
        <v/>
      </c>
      <c r="V1255" s="75" t="str">
        <f>IF(ISERROR(FIND('112'!$M$9,G1255,1)),"",IF((AND(RIGHT(G1255,2)=RIGHT('112'!$M$9,2),B1255&lt;'112'!$K$9,$O1255='112'!$I$6)),"x",""))</f>
        <v/>
      </c>
      <c r="W1255" s="75" t="str">
        <f>IF(AND('341-CT'!$H$9=H1255,OR(LEFT(N1255,3)=$W$7,LEFT(O1255,3)=$W$7)),"x","")</f>
        <v/>
      </c>
      <c r="X1255" s="75" t="str">
        <f>IF(OR(TH!N1255=TH!$X$7,O1255=TH!$X$7),"x","")</f>
        <v/>
      </c>
      <c r="Y1255" s="75" t="str">
        <f>IF(AND(OR(N1255="131",O1255="131"),H1255='131-CT'!$H$9),"x","")</f>
        <v/>
      </c>
      <c r="Z1255" s="75"/>
      <c r="AA1255" s="75" t="str">
        <f>IF(AND(MONTH(E1255)='IN-NX'!$J$5,'IN-NX'!$D$7=D1255),"x","")</f>
        <v/>
      </c>
      <c r="AB1255" s="75" t="str">
        <f>IF(AND(OR(LEFT(TH!N1255,2)="15",LEFT(TH!O1255,2)="15"),LEFT(TH!O1255,3)&lt;&gt;"111",'152-CT'!$J$8=TH!F1255),"x","")</f>
        <v/>
      </c>
      <c r="AC1255" s="75" t="str">
        <f>IF(AND(OR(LEFT(TH!N1255,2)="15",LEFT(TH!O1255,2)="15"),TK!$E$7=TH!F1255),"x","")</f>
        <v/>
      </c>
      <c r="AD1255" s="75" t="str">
        <f>IF(AND(N1255="1521",MONTH(C1255)='BK-NL'!$M$11),"x","")</f>
        <v>x</v>
      </c>
    </row>
    <row r="1256" spans="1:30" ht="16.5" customHeight="1">
      <c r="A1256" s="309" t="str">
        <f>IF(B1256&lt;&gt;"",IF(AND(B1256='IN-TC'!$S$4,OR(TH!N1256="1111",TH!O1256="1111")),TH!D1256,""),"")</f>
        <v/>
      </c>
      <c r="B1256" s="1241">
        <f t="shared" si="271"/>
        <v>4</v>
      </c>
      <c r="C1256" s="292">
        <f t="shared" si="272"/>
        <v>42829</v>
      </c>
      <c r="D1256" s="292" t="s">
        <v>2961</v>
      </c>
      <c r="E1256" s="292">
        <v>42829</v>
      </c>
      <c r="F1256" s="429" t="s">
        <v>566</v>
      </c>
      <c r="G1256" s="925"/>
      <c r="H1256" s="294" t="s">
        <v>404</v>
      </c>
      <c r="I1256" s="373">
        <v>23045</v>
      </c>
      <c r="J1256" s="379">
        <v>18200</v>
      </c>
      <c r="K1256" s="373"/>
      <c r="L1256" s="379"/>
      <c r="M1256" s="927">
        <f t="shared" si="273"/>
        <v>419419000</v>
      </c>
      <c r="N1256" s="295" t="s">
        <v>264</v>
      </c>
      <c r="O1256" s="295" t="s">
        <v>8</v>
      </c>
      <c r="P1256" s="75" t="str">
        <f>IF(AND('331-CT'!$E$7=TH!H1256,OR(N1256="331",O1256="331")),"x","")</f>
        <v/>
      </c>
      <c r="Q1256" s="75" t="str">
        <f>IF(AND(B1256='111'!$L$11,OR($N1256=$Q$7,$O1256=$Q$7)),"x","")</f>
        <v/>
      </c>
      <c r="R1256" s="75" t="str">
        <f>IF(AND($N1256=$Q$7,$B1256&lt;'111'!$L$11),"x","")</f>
        <v/>
      </c>
      <c r="S1256" s="75" t="str">
        <f>IF(AND($O1256=$Q$7,$B1256&lt;'111'!$L$11),"x","")</f>
        <v/>
      </c>
      <c r="T1256" s="75" t="str">
        <f>IF(ISERROR(FIND('112'!$M$9,G1256,1)),"",IF((AND(FIND('112'!$M$9,G1256,1)&gt;=1,B1256='112'!$K$9,OR($N1256='112'!$I$6,$O1256='112'!$I$6))),"x",""))</f>
        <v/>
      </c>
      <c r="U1256" s="75" t="str">
        <f>IF(ISERROR(FIND('112'!$M$9,G1256,1)),"",IF((AND(LEFT(G1256,2)=LEFT('112'!$M$9,2),B1256&lt;'112'!$K$9,$N1256='112'!$I$6)),"x",""))</f>
        <v/>
      </c>
      <c r="V1256" s="75" t="str">
        <f>IF(ISERROR(FIND('112'!$M$9,G1256,1)),"",IF((AND(RIGHT(G1256,2)=RIGHT('112'!$M$9,2),B1256&lt;'112'!$K$9,$O1256='112'!$I$6)),"x",""))</f>
        <v/>
      </c>
      <c r="W1256" s="75" t="str">
        <f>IF(AND('341-CT'!$H$9=H1256,OR(LEFT(N1256,3)=$W$7,LEFT(O1256,3)=$W$7)),"x","")</f>
        <v/>
      </c>
      <c r="X1256" s="75" t="str">
        <f>IF(OR(TH!N1256=TH!$X$7,O1256=TH!$X$7),"x","")</f>
        <v/>
      </c>
      <c r="Y1256" s="75" t="str">
        <f>IF(AND(OR(N1256="131",O1256="131"),H1256='131-CT'!$H$9),"x","")</f>
        <v/>
      </c>
      <c r="Z1256" s="75"/>
      <c r="AA1256" s="75" t="str">
        <f>IF(AND(MONTH(E1256)='IN-NX'!$J$5,'IN-NX'!$D$7=D1256),"x","")</f>
        <v/>
      </c>
      <c r="AB1256" s="75" t="str">
        <f>IF(AND(OR(LEFT(TH!N1256,2)="15",LEFT(TH!O1256,2)="15"),LEFT(TH!O1256,3)&lt;&gt;"111",'152-CT'!$J$8=TH!F1256),"x","")</f>
        <v/>
      </c>
      <c r="AC1256" s="75" t="str">
        <f>IF(AND(OR(LEFT(TH!N1256,2)="15",LEFT(TH!O1256,2)="15"),TK!$E$7=TH!F1256),"x","")</f>
        <v/>
      </c>
      <c r="AD1256" s="75" t="str">
        <f>IF(AND(N1256="1521",MONTH(C1256)='BK-NL'!$M$11),"x","")</f>
        <v>x</v>
      </c>
    </row>
    <row r="1257" spans="1:30" ht="16.5" customHeight="1">
      <c r="A1257" s="309" t="str">
        <f>IF(B1257&lt;&gt;"",IF(AND(B1257='IN-TC'!$S$4,OR(TH!N1257="1111",TH!O1257="1111")),TH!D1257,""),"")</f>
        <v/>
      </c>
      <c r="B1257" s="1241">
        <f t="shared" si="260"/>
        <v>4</v>
      </c>
      <c r="C1257" s="292">
        <f t="shared" si="263"/>
        <v>42829</v>
      </c>
      <c r="D1257" s="292" t="s">
        <v>2962</v>
      </c>
      <c r="E1257" s="292">
        <v>42829</v>
      </c>
      <c r="F1257" s="429" t="s">
        <v>566</v>
      </c>
      <c r="G1257" s="925"/>
      <c r="H1257" s="294" t="s">
        <v>405</v>
      </c>
      <c r="I1257" s="373">
        <v>23015</v>
      </c>
      <c r="J1257" s="379">
        <v>18200</v>
      </c>
      <c r="K1257" s="373"/>
      <c r="L1257" s="379"/>
      <c r="M1257" s="927">
        <f t="shared" si="264"/>
        <v>418873000</v>
      </c>
      <c r="N1257" s="295" t="s">
        <v>264</v>
      </c>
      <c r="O1257" s="295" t="s">
        <v>8</v>
      </c>
      <c r="P1257" s="75" t="str">
        <f>IF(AND('331-CT'!$E$7=TH!H1257,OR(N1257="331",O1257="331")),"x","")</f>
        <v/>
      </c>
      <c r="Q1257" s="75" t="str">
        <f>IF(AND(B1257='111'!$L$11,OR($N1257=$Q$7,$O1257=$Q$7)),"x","")</f>
        <v/>
      </c>
      <c r="R1257" s="75" t="str">
        <f>IF(AND($N1257=$Q$7,$B1257&lt;'111'!$L$11),"x","")</f>
        <v/>
      </c>
      <c r="S1257" s="75" t="str">
        <f>IF(AND($O1257=$Q$7,$B1257&lt;'111'!$L$11),"x","")</f>
        <v/>
      </c>
      <c r="T1257" s="75" t="str">
        <f>IF(ISERROR(FIND('112'!$M$9,G1257,1)),"",IF((AND(FIND('112'!$M$9,G1257,1)&gt;=1,B1257='112'!$K$9,OR($N1257='112'!$I$6,$O1257='112'!$I$6))),"x",""))</f>
        <v/>
      </c>
      <c r="U1257" s="75" t="str">
        <f>IF(ISERROR(FIND('112'!$M$9,G1257,1)),"",IF((AND(LEFT(G1257,2)=LEFT('112'!$M$9,2),B1257&lt;'112'!$K$9,$N1257='112'!$I$6)),"x",""))</f>
        <v/>
      </c>
      <c r="V1257" s="75" t="str">
        <f>IF(ISERROR(FIND('112'!$M$9,G1257,1)),"",IF((AND(RIGHT(G1257,2)=RIGHT('112'!$M$9,2),B1257&lt;'112'!$K$9,$O1257='112'!$I$6)),"x",""))</f>
        <v/>
      </c>
      <c r="W1257" s="75" t="str">
        <f>IF(AND('341-CT'!$H$9=H1257,OR(LEFT(N1257,3)=$W$7,LEFT(O1257,3)=$W$7)),"x","")</f>
        <v/>
      </c>
      <c r="X1257" s="75" t="str">
        <f>IF(OR(TH!N1257=TH!$X$7,O1257=TH!$X$7),"x","")</f>
        <v/>
      </c>
      <c r="Y1257" s="75" t="str">
        <f>IF(AND(OR(N1257="131",O1257="131"),H1257='131-CT'!$H$9),"x","")</f>
        <v/>
      </c>
      <c r="Z1257" s="75"/>
      <c r="AA1257" s="75" t="str">
        <f>IF(AND(MONTH(E1257)='IN-NX'!$J$5,'IN-NX'!$D$7=D1257),"x","")</f>
        <v/>
      </c>
      <c r="AB1257" s="75" t="str">
        <f>IF(AND(OR(LEFT(TH!N1257,2)="15",LEFT(TH!O1257,2)="15"),LEFT(TH!O1257,3)&lt;&gt;"111",'152-CT'!$J$8=TH!F1257),"x","")</f>
        <v/>
      </c>
      <c r="AC1257" s="75" t="str">
        <f>IF(AND(OR(LEFT(TH!N1257,2)="15",LEFT(TH!O1257,2)="15"),TK!$E$7=TH!F1257),"x","")</f>
        <v/>
      </c>
      <c r="AD1257" s="75" t="str">
        <f>IF(AND(N1257="1521",MONTH(C1257)='BK-NL'!$M$11),"x","")</f>
        <v>x</v>
      </c>
    </row>
    <row r="1258" spans="1:30" ht="16.5" customHeight="1">
      <c r="A1258" s="309" t="str">
        <f>IF(B1258&lt;&gt;"",IF(AND(B1258='IN-TC'!$S$4,OR(TH!N1258="1111",TH!O1258="1111")),TH!D1258,""),"")</f>
        <v/>
      </c>
      <c r="B1258" s="1241">
        <f t="shared" si="260"/>
        <v>4</v>
      </c>
      <c r="C1258" s="292">
        <f t="shared" si="263"/>
        <v>42832</v>
      </c>
      <c r="D1258" s="292" t="s">
        <v>2977</v>
      </c>
      <c r="E1258" s="292">
        <v>42832</v>
      </c>
      <c r="F1258" s="429" t="s">
        <v>566</v>
      </c>
      <c r="G1258" s="925"/>
      <c r="H1258" s="311" t="s">
        <v>408</v>
      </c>
      <c r="I1258" s="373">
        <v>23474</v>
      </c>
      <c r="J1258" s="379">
        <v>18200</v>
      </c>
      <c r="K1258" s="373"/>
      <c r="L1258" s="379"/>
      <c r="M1258" s="927">
        <f t="shared" si="264"/>
        <v>427226800</v>
      </c>
      <c r="N1258" s="295" t="s">
        <v>264</v>
      </c>
      <c r="O1258" s="295" t="s">
        <v>8</v>
      </c>
      <c r="P1258" s="75" t="str">
        <f>IF(AND('331-CT'!$E$7=TH!H1258,OR(N1258="331",O1258="331")),"x","")</f>
        <v/>
      </c>
      <c r="Q1258" s="75" t="str">
        <f>IF(AND(B1258='111'!$L$11,OR($N1258=$Q$7,$O1258=$Q$7)),"x","")</f>
        <v/>
      </c>
      <c r="R1258" s="75" t="str">
        <f>IF(AND($N1258=$Q$7,$B1258&lt;'111'!$L$11),"x","")</f>
        <v/>
      </c>
      <c r="S1258" s="75" t="str">
        <f>IF(AND($O1258=$Q$7,$B1258&lt;'111'!$L$11),"x","")</f>
        <v/>
      </c>
      <c r="T1258" s="75" t="str">
        <f>IF(ISERROR(FIND('112'!$M$9,G1258,1)),"",IF((AND(FIND('112'!$M$9,G1258,1)&gt;=1,B1258='112'!$K$9,OR($N1258='112'!$I$6,$O1258='112'!$I$6))),"x",""))</f>
        <v/>
      </c>
      <c r="U1258" s="75" t="str">
        <f>IF(ISERROR(FIND('112'!$M$9,G1258,1)),"",IF((AND(LEFT(G1258,2)=LEFT('112'!$M$9,2),B1258&lt;'112'!$K$9,$N1258='112'!$I$6)),"x",""))</f>
        <v/>
      </c>
      <c r="V1258" s="75" t="str">
        <f>IF(ISERROR(FIND('112'!$M$9,G1258,1)),"",IF((AND(RIGHT(G1258,2)=RIGHT('112'!$M$9,2),B1258&lt;'112'!$K$9,$O1258='112'!$I$6)),"x",""))</f>
        <v/>
      </c>
      <c r="W1258" s="75" t="str">
        <f>IF(AND('341-CT'!$H$9=H1258,OR(LEFT(N1258,3)=$W$7,LEFT(O1258,3)=$W$7)),"x","")</f>
        <v/>
      </c>
      <c r="X1258" s="75" t="str">
        <f>IF(OR(TH!N1258=TH!$X$7,O1258=TH!$X$7),"x","")</f>
        <v/>
      </c>
      <c r="Y1258" s="75" t="str">
        <f>IF(AND(OR(N1258="131",O1258="131"),H1258='131-CT'!$H$9),"x","")</f>
        <v/>
      </c>
      <c r="Z1258" s="75"/>
      <c r="AA1258" s="75" t="str">
        <f>IF(AND(MONTH(E1258)='IN-NX'!$J$5,'IN-NX'!$D$7=D1258),"x","")</f>
        <v/>
      </c>
      <c r="AB1258" s="75" t="str">
        <f>IF(AND(OR(LEFT(TH!N1258,2)="15",LEFT(TH!O1258,2)="15"),LEFT(TH!O1258,3)&lt;&gt;"111",'152-CT'!$J$8=TH!F1258),"x","")</f>
        <v/>
      </c>
      <c r="AC1258" s="75" t="str">
        <f>IF(AND(OR(LEFT(TH!N1258,2)="15",LEFT(TH!O1258,2)="15"),TK!$E$7=TH!F1258),"x","")</f>
        <v/>
      </c>
      <c r="AD1258" s="75" t="str">
        <f>IF(AND(N1258="1521",MONTH(C1258)='BK-NL'!$M$11),"x","")</f>
        <v>x</v>
      </c>
    </row>
    <row r="1259" spans="1:30" ht="16.5" customHeight="1">
      <c r="A1259" s="309" t="str">
        <f>IF(B1259&lt;&gt;"",IF(AND(B1259='IN-TC'!$S$4,OR(TH!N1259="1111",TH!O1259="1111")),TH!D1259,""),"")</f>
        <v/>
      </c>
      <c r="B1259" s="1241">
        <f t="shared" ref="B1259:B1260" si="274">IF(C1259&lt;&gt;"",MONTH(C1259),"")</f>
        <v>4</v>
      </c>
      <c r="C1259" s="292">
        <f t="shared" ref="C1259:C1260" si="275">E1259</f>
        <v>42832</v>
      </c>
      <c r="D1259" s="292" t="s">
        <v>2978</v>
      </c>
      <c r="E1259" s="292">
        <v>42832</v>
      </c>
      <c r="F1259" s="429" t="s">
        <v>566</v>
      </c>
      <c r="G1259" s="925"/>
      <c r="H1259" s="294" t="s">
        <v>404</v>
      </c>
      <c r="I1259" s="373">
        <v>22560</v>
      </c>
      <c r="J1259" s="379">
        <v>18200</v>
      </c>
      <c r="K1259" s="373"/>
      <c r="L1259" s="379"/>
      <c r="M1259" s="927">
        <f t="shared" ref="M1259:M1260" si="276">ROUND(I1259*J1259,0)</f>
        <v>410592000</v>
      </c>
      <c r="N1259" s="295" t="s">
        <v>264</v>
      </c>
      <c r="O1259" s="295" t="s">
        <v>8</v>
      </c>
      <c r="P1259" s="75" t="str">
        <f>IF(AND('331-CT'!$E$7=TH!H1259,OR(N1259="331",O1259="331")),"x","")</f>
        <v/>
      </c>
      <c r="Q1259" s="75" t="str">
        <f>IF(AND(B1259='111'!$L$11,OR($N1259=$Q$7,$O1259=$Q$7)),"x","")</f>
        <v/>
      </c>
      <c r="R1259" s="75" t="str">
        <f>IF(AND($N1259=$Q$7,$B1259&lt;'111'!$L$11),"x","")</f>
        <v/>
      </c>
      <c r="S1259" s="75" t="str">
        <f>IF(AND($O1259=$Q$7,$B1259&lt;'111'!$L$11),"x","")</f>
        <v/>
      </c>
      <c r="T1259" s="75" t="str">
        <f>IF(ISERROR(FIND('112'!$M$9,G1259,1)),"",IF((AND(FIND('112'!$M$9,G1259,1)&gt;=1,B1259='112'!$K$9,OR($N1259='112'!$I$6,$O1259='112'!$I$6))),"x",""))</f>
        <v/>
      </c>
      <c r="U1259" s="75" t="str">
        <f>IF(ISERROR(FIND('112'!$M$9,G1259,1)),"",IF((AND(LEFT(G1259,2)=LEFT('112'!$M$9,2),B1259&lt;'112'!$K$9,$N1259='112'!$I$6)),"x",""))</f>
        <v/>
      </c>
      <c r="V1259" s="75" t="str">
        <f>IF(ISERROR(FIND('112'!$M$9,G1259,1)),"",IF((AND(RIGHT(G1259,2)=RIGHT('112'!$M$9,2),B1259&lt;'112'!$K$9,$O1259='112'!$I$6)),"x",""))</f>
        <v/>
      </c>
      <c r="W1259" s="75" t="str">
        <f>IF(AND('341-CT'!$H$9=H1259,OR(LEFT(N1259,3)=$W$7,LEFT(O1259,3)=$W$7)),"x","")</f>
        <v/>
      </c>
      <c r="X1259" s="75" t="str">
        <f>IF(OR(TH!N1259=TH!$X$7,O1259=TH!$X$7),"x","")</f>
        <v/>
      </c>
      <c r="Y1259" s="75" t="str">
        <f>IF(AND(OR(N1259="131",O1259="131"),H1259='131-CT'!$H$9),"x","")</f>
        <v/>
      </c>
      <c r="Z1259" s="75"/>
      <c r="AA1259" s="75" t="str">
        <f>IF(AND(MONTH(E1259)='IN-NX'!$J$5,'IN-NX'!$D$7=D1259),"x","")</f>
        <v/>
      </c>
      <c r="AB1259" s="75" t="str">
        <f>IF(AND(OR(LEFT(TH!N1259,2)="15",LEFT(TH!O1259,2)="15"),LEFT(TH!O1259,3)&lt;&gt;"111",'152-CT'!$J$8=TH!F1259),"x","")</f>
        <v/>
      </c>
      <c r="AC1259" s="75" t="str">
        <f>IF(AND(OR(LEFT(TH!N1259,2)="15",LEFT(TH!O1259,2)="15"),TK!$E$7=TH!F1259),"x","")</f>
        <v/>
      </c>
      <c r="AD1259" s="75" t="str">
        <f>IF(AND(N1259="1521",MONTH(C1259)='BK-NL'!$M$11),"x","")</f>
        <v>x</v>
      </c>
    </row>
    <row r="1260" spans="1:30" ht="16.5" customHeight="1">
      <c r="A1260" s="309" t="str">
        <f>IF(B1260&lt;&gt;"",IF(AND(B1260='IN-TC'!$S$4,OR(TH!N1260="1111",TH!O1260="1111")),TH!D1260,""),"")</f>
        <v/>
      </c>
      <c r="B1260" s="1241">
        <f t="shared" si="274"/>
        <v>4</v>
      </c>
      <c r="C1260" s="292">
        <f t="shared" si="275"/>
        <v>42832</v>
      </c>
      <c r="D1260" s="292" t="s">
        <v>2979</v>
      </c>
      <c r="E1260" s="292">
        <v>42832</v>
      </c>
      <c r="F1260" s="429" t="s">
        <v>566</v>
      </c>
      <c r="G1260" s="925"/>
      <c r="H1260" s="294" t="s">
        <v>405</v>
      </c>
      <c r="I1260" s="373">
        <f>138000-SUM(I1255:I1259)</f>
        <v>22896</v>
      </c>
      <c r="J1260" s="379">
        <v>18200</v>
      </c>
      <c r="K1260" s="373"/>
      <c r="L1260" s="379"/>
      <c r="M1260" s="927">
        <f t="shared" si="276"/>
        <v>416707200</v>
      </c>
      <c r="N1260" s="295" t="s">
        <v>264</v>
      </c>
      <c r="O1260" s="295" t="s">
        <v>8</v>
      </c>
      <c r="P1260" s="75" t="str">
        <f>IF(AND('331-CT'!$E$7=TH!H1260,OR(N1260="331",O1260="331")),"x","")</f>
        <v/>
      </c>
      <c r="Q1260" s="75" t="str">
        <f>IF(AND(B1260='111'!$L$11,OR($N1260=$Q$7,$O1260=$Q$7)),"x","")</f>
        <v/>
      </c>
      <c r="R1260" s="75" t="str">
        <f>IF(AND($N1260=$Q$7,$B1260&lt;'111'!$L$11),"x","")</f>
        <v/>
      </c>
      <c r="S1260" s="75" t="str">
        <f>IF(AND($O1260=$Q$7,$B1260&lt;'111'!$L$11),"x","")</f>
        <v/>
      </c>
      <c r="T1260" s="75" t="str">
        <f>IF(ISERROR(FIND('112'!$M$9,G1260,1)),"",IF((AND(FIND('112'!$M$9,G1260,1)&gt;=1,B1260='112'!$K$9,OR($N1260='112'!$I$6,$O1260='112'!$I$6))),"x",""))</f>
        <v/>
      </c>
      <c r="U1260" s="75" t="str">
        <f>IF(ISERROR(FIND('112'!$M$9,G1260,1)),"",IF((AND(LEFT(G1260,2)=LEFT('112'!$M$9,2),B1260&lt;'112'!$K$9,$N1260='112'!$I$6)),"x",""))</f>
        <v/>
      </c>
      <c r="V1260" s="75" t="str">
        <f>IF(ISERROR(FIND('112'!$M$9,G1260,1)),"",IF((AND(RIGHT(G1260,2)=RIGHT('112'!$M$9,2),B1260&lt;'112'!$K$9,$O1260='112'!$I$6)),"x",""))</f>
        <v/>
      </c>
      <c r="W1260" s="75" t="str">
        <f>IF(AND('341-CT'!$H$9=H1260,OR(LEFT(N1260,3)=$W$7,LEFT(O1260,3)=$W$7)),"x","")</f>
        <v/>
      </c>
      <c r="X1260" s="75" t="str">
        <f>IF(OR(TH!N1260=TH!$X$7,O1260=TH!$X$7),"x","")</f>
        <v/>
      </c>
      <c r="Y1260" s="75" t="str">
        <f>IF(AND(OR(N1260="131",O1260="131"),H1260='131-CT'!$H$9),"x","")</f>
        <v/>
      </c>
      <c r="Z1260" s="75"/>
      <c r="AA1260" s="75" t="str">
        <f>IF(AND(MONTH(E1260)='IN-NX'!$J$5,'IN-NX'!$D$7=D1260),"x","")</f>
        <v/>
      </c>
      <c r="AB1260" s="75" t="str">
        <f>IF(AND(OR(LEFT(TH!N1260,2)="15",LEFT(TH!O1260,2)="15"),LEFT(TH!O1260,3)&lt;&gt;"111",'152-CT'!$J$8=TH!F1260),"x","")</f>
        <v/>
      </c>
      <c r="AC1260" s="75" t="str">
        <f>IF(AND(OR(LEFT(TH!N1260,2)="15",LEFT(TH!O1260,2)="15"),TK!$E$7=TH!F1260),"x","")</f>
        <v/>
      </c>
      <c r="AD1260" s="75" t="str">
        <f>IF(AND(N1260="1521",MONTH(C1260)='BK-NL'!$M$11),"x","")</f>
        <v>x</v>
      </c>
    </row>
    <row r="1261" spans="1:30" ht="16.5" customHeight="1">
      <c r="A1261" s="309" t="str">
        <f>IF(B1261&lt;&gt;"",IF(AND(B1261='IN-TC'!$S$4,OR(TH!N1261="1111",TH!O1261="1111")),TH!D1261,""),"")</f>
        <v/>
      </c>
      <c r="B1261" s="1241">
        <f t="shared" ref="B1261" si="277">IF(C1261&lt;&gt;"",MONTH(C1261),"")</f>
        <v>4</v>
      </c>
      <c r="C1261" s="292">
        <f t="shared" ref="C1261" si="278">E1261</f>
        <v>42832</v>
      </c>
      <c r="D1261" s="292" t="s">
        <v>2979</v>
      </c>
      <c r="E1261" s="292">
        <v>42832</v>
      </c>
      <c r="F1261" s="429" t="s">
        <v>2998</v>
      </c>
      <c r="G1261" s="925"/>
      <c r="H1261" s="294" t="s">
        <v>405</v>
      </c>
      <c r="I1261" s="373">
        <v>19543</v>
      </c>
      <c r="J1261" s="379">
        <v>23000</v>
      </c>
      <c r="K1261" s="373"/>
      <c r="L1261" s="379"/>
      <c r="M1261" s="927">
        <f t="shared" ref="M1261" si="279">ROUND(I1261*J1261,0)</f>
        <v>449489000</v>
      </c>
      <c r="N1261" s="295" t="s">
        <v>264</v>
      </c>
      <c r="O1261" s="295" t="s">
        <v>8</v>
      </c>
      <c r="P1261" s="75" t="str">
        <f>IF(AND('331-CT'!$E$7=TH!H1261,OR(N1261="331",O1261="331")),"x","")</f>
        <v/>
      </c>
      <c r="Q1261" s="75" t="str">
        <f>IF(AND(B1261='111'!$L$11,OR($N1261=$Q$7,$O1261=$Q$7)),"x","")</f>
        <v/>
      </c>
      <c r="R1261" s="75" t="str">
        <f>IF(AND($N1261=$Q$7,$B1261&lt;'111'!$L$11),"x","")</f>
        <v/>
      </c>
      <c r="S1261" s="75" t="str">
        <f>IF(AND($O1261=$Q$7,$B1261&lt;'111'!$L$11),"x","")</f>
        <v/>
      </c>
      <c r="T1261" s="75" t="str">
        <f>IF(ISERROR(FIND('112'!$M$9,G1261,1)),"",IF((AND(FIND('112'!$M$9,G1261,1)&gt;=1,B1261='112'!$K$9,OR($N1261='112'!$I$6,$O1261='112'!$I$6))),"x",""))</f>
        <v/>
      </c>
      <c r="U1261" s="75" t="str">
        <f>IF(ISERROR(FIND('112'!$M$9,G1261,1)),"",IF((AND(LEFT(G1261,2)=LEFT('112'!$M$9,2),B1261&lt;'112'!$K$9,$N1261='112'!$I$6)),"x",""))</f>
        <v/>
      </c>
      <c r="V1261" s="75" t="str">
        <f>IF(ISERROR(FIND('112'!$M$9,G1261,1)),"",IF((AND(RIGHT(G1261,2)=RIGHT('112'!$M$9,2),B1261&lt;'112'!$K$9,$O1261='112'!$I$6)),"x",""))</f>
        <v/>
      </c>
      <c r="W1261" s="75" t="str">
        <f>IF(AND('341-CT'!$H$9=H1261,OR(LEFT(N1261,3)=$W$7,LEFT(O1261,3)=$W$7)),"x","")</f>
        <v/>
      </c>
      <c r="X1261" s="75" t="str">
        <f>IF(OR(TH!N1261=TH!$X$7,O1261=TH!$X$7),"x","")</f>
        <v/>
      </c>
      <c r="Y1261" s="75" t="str">
        <f>IF(AND(OR(N1261="131",O1261="131"),H1261='131-CT'!$H$9),"x","")</f>
        <v/>
      </c>
      <c r="Z1261" s="75"/>
      <c r="AA1261" s="75" t="str">
        <f>IF(AND(MONTH(E1261)='IN-NX'!$J$5,'IN-NX'!$D$7=D1261),"x","")</f>
        <v/>
      </c>
      <c r="AB1261" s="75" t="str">
        <f>IF(AND(OR(LEFT(TH!N1261,2)="15",LEFT(TH!O1261,2)="15"),LEFT(TH!O1261,3)&lt;&gt;"111",'152-CT'!$J$8=TH!F1261),"x","")</f>
        <v/>
      </c>
      <c r="AC1261" s="75" t="str">
        <f>IF(AND(OR(LEFT(TH!N1261,2)="15",LEFT(TH!O1261,2)="15"),TK!$E$7=TH!F1261),"x","")</f>
        <v/>
      </c>
      <c r="AD1261" s="75" t="str">
        <f>IF(AND(N1261="1521",MONTH(C1261)='BK-NL'!$M$11),"x","")</f>
        <v>x</v>
      </c>
    </row>
    <row r="1262" spans="1:30" ht="16.5" customHeight="1">
      <c r="A1262" s="309" t="str">
        <f>IF(B1262&lt;&gt;"",IF(AND(B1262='IN-TC'!$S$4,OR(TH!N1262="1111",TH!O1262="1111")),TH!D1262,""),"")</f>
        <v/>
      </c>
      <c r="B1262" s="1241">
        <f t="shared" si="260"/>
        <v>4</v>
      </c>
      <c r="C1262" s="929">
        <f t="shared" si="263"/>
        <v>42855</v>
      </c>
      <c r="D1262" s="929" t="s">
        <v>2956</v>
      </c>
      <c r="E1262" s="929">
        <v>42855</v>
      </c>
      <c r="F1262" s="1082" t="s">
        <v>771</v>
      </c>
      <c r="G1262" s="931"/>
      <c r="H1262" s="1082" t="s">
        <v>2989</v>
      </c>
      <c r="I1262" s="371">
        <v>337792</v>
      </c>
      <c r="J1262" s="377">
        <v>18000</v>
      </c>
      <c r="K1262" s="371"/>
      <c r="L1262" s="377"/>
      <c r="M1262" s="933">
        <f t="shared" si="264"/>
        <v>6080256000</v>
      </c>
      <c r="N1262" s="934" t="s">
        <v>272</v>
      </c>
      <c r="O1262" s="934" t="s">
        <v>264</v>
      </c>
      <c r="P1262" s="75" t="str">
        <f>IF(AND('331-CT'!$E$7=TH!H1262,OR(N1262="331",O1262="331")),"x","")</f>
        <v/>
      </c>
      <c r="Q1262" s="75" t="str">
        <f>IF(AND(B1262='111'!$L$11,OR($N1262=$Q$7,$O1262=$Q$7)),"x","")</f>
        <v/>
      </c>
      <c r="R1262" s="75" t="str">
        <f>IF(AND($N1262=$Q$7,$B1262&lt;'111'!$L$11),"x","")</f>
        <v/>
      </c>
      <c r="S1262" s="75" t="str">
        <f>IF(AND($O1262=$Q$7,$B1262&lt;'111'!$L$11),"x","")</f>
        <v/>
      </c>
      <c r="T1262" s="75" t="str">
        <f>IF(ISERROR(FIND('112'!$M$9,G1262,1)),"",IF((AND(FIND('112'!$M$9,G1262,1)&gt;=1,B1262='112'!$K$9,OR($N1262='112'!$I$6,$O1262='112'!$I$6))),"x",""))</f>
        <v/>
      </c>
      <c r="U1262" s="75" t="str">
        <f>IF(ISERROR(FIND('112'!$M$9,G1262,1)),"",IF((AND(LEFT(G1262,2)=LEFT('112'!$M$9,2),B1262&lt;'112'!$K$9,$N1262='112'!$I$6)),"x",""))</f>
        <v/>
      </c>
      <c r="V1262" s="75" t="str">
        <f>IF(ISERROR(FIND('112'!$M$9,G1262,1)),"",IF((AND(RIGHT(G1262,2)=RIGHT('112'!$M$9,2),B1262&lt;'112'!$K$9,$O1262='112'!$I$6)),"x",""))</f>
        <v/>
      </c>
      <c r="W1262" s="75" t="str">
        <f>IF(AND('341-CT'!$H$9=H1262,OR(LEFT(N1262,3)=$W$7,LEFT(O1262,3)=$W$7)),"x","")</f>
        <v/>
      </c>
      <c r="X1262" s="75" t="str">
        <f>IF(OR(TH!N1262=TH!$X$7,O1262=TH!$X$7),"x","")</f>
        <v/>
      </c>
      <c r="Y1262" s="75" t="str">
        <f>IF(AND(OR(N1262="131",O1262="131"),H1262='131-CT'!$H$9),"x","")</f>
        <v/>
      </c>
      <c r="Z1262" s="75"/>
      <c r="AA1262" s="75" t="str">
        <f>IF(AND(MONTH(E1262)='IN-NX'!$J$5,'IN-NX'!$D$7=D1262),"x","")</f>
        <v/>
      </c>
      <c r="AB1262" s="75" t="str">
        <f>IF(AND(OR(LEFT(TH!N1262,2)="15",LEFT(TH!O1262,2)="15"),LEFT(TH!O1262,3)&lt;&gt;"111",'152-CT'!$J$8=TH!F1262),"x","")</f>
        <v/>
      </c>
      <c r="AC1262" s="75" t="str">
        <f>IF(AND(OR(LEFT(TH!N1262,2)="15",LEFT(TH!O1262,2)="15"),TK!$E$7=TH!F1262),"x","")</f>
        <v/>
      </c>
      <c r="AD1262" s="75" t="str">
        <f>IF(AND(N1262="1521",MONTH(C1262)='BK-NL'!$M$11),"x","")</f>
        <v/>
      </c>
    </row>
    <row r="1263" spans="1:30" ht="16.5" customHeight="1">
      <c r="A1263" s="309" t="str">
        <f>IF(B1263&lt;&gt;"",IF(AND(B1263='IN-TC'!$S$4,OR(TH!N1263="1111",TH!O1263="1111")),TH!D1263,""),"")</f>
        <v/>
      </c>
      <c r="B1263" s="1241">
        <f t="shared" si="260"/>
        <v>4</v>
      </c>
      <c r="C1263" s="929">
        <f t="shared" si="263"/>
        <v>42855</v>
      </c>
      <c r="D1263" s="929" t="s">
        <v>2956</v>
      </c>
      <c r="E1263" s="929">
        <v>42855</v>
      </c>
      <c r="F1263" s="1082" t="s">
        <v>771</v>
      </c>
      <c r="G1263" s="931"/>
      <c r="H1263" s="1082" t="s">
        <v>424</v>
      </c>
      <c r="I1263" s="371">
        <v>246243</v>
      </c>
      <c r="J1263" s="377">
        <v>18500</v>
      </c>
      <c r="K1263" s="371"/>
      <c r="L1263" s="377"/>
      <c r="M1263" s="933">
        <f t="shared" si="264"/>
        <v>4555495500</v>
      </c>
      <c r="N1263" s="934" t="s">
        <v>272</v>
      </c>
      <c r="O1263" s="934" t="s">
        <v>264</v>
      </c>
      <c r="P1263" s="75" t="str">
        <f>IF(AND('331-CT'!$E$7=TH!H1263,OR(N1263="331",O1263="331")),"x","")</f>
        <v/>
      </c>
      <c r="Q1263" s="75" t="str">
        <f>IF(AND(B1263='111'!$L$11,OR($N1263=$Q$7,$O1263=$Q$7)),"x","")</f>
        <v/>
      </c>
      <c r="R1263" s="75" t="str">
        <f>IF(AND($N1263=$Q$7,$B1263&lt;'111'!$L$11),"x","")</f>
        <v/>
      </c>
      <c r="S1263" s="75" t="str">
        <f>IF(AND($O1263=$Q$7,$B1263&lt;'111'!$L$11),"x","")</f>
        <v/>
      </c>
      <c r="T1263" s="75" t="str">
        <f>IF(ISERROR(FIND('112'!$M$9,G1263,1)),"",IF((AND(FIND('112'!$M$9,G1263,1)&gt;=1,B1263='112'!$K$9,OR($N1263='112'!$I$6,$O1263='112'!$I$6))),"x",""))</f>
        <v/>
      </c>
      <c r="U1263" s="75" t="str">
        <f>IF(ISERROR(FIND('112'!$M$9,G1263,1)),"",IF((AND(LEFT(G1263,2)=LEFT('112'!$M$9,2),B1263&lt;'112'!$K$9,$N1263='112'!$I$6)),"x",""))</f>
        <v/>
      </c>
      <c r="V1263" s="75" t="str">
        <f>IF(ISERROR(FIND('112'!$M$9,G1263,1)),"",IF((AND(RIGHT(G1263,2)=RIGHT('112'!$M$9,2),B1263&lt;'112'!$K$9,$O1263='112'!$I$6)),"x",""))</f>
        <v/>
      </c>
      <c r="W1263" s="75" t="str">
        <f>IF(AND('341-CT'!$H$9=H1263,OR(LEFT(N1263,3)=$W$7,LEFT(O1263,3)=$W$7)),"x","")</f>
        <v/>
      </c>
      <c r="X1263" s="75" t="str">
        <f>IF(OR(TH!N1263=TH!$X$7,O1263=TH!$X$7),"x","")</f>
        <v/>
      </c>
      <c r="Y1263" s="75" t="str">
        <f>IF(AND(OR(N1263="131",O1263="131"),H1263='131-CT'!$H$9),"x","")</f>
        <v/>
      </c>
      <c r="Z1263" s="75"/>
      <c r="AA1263" s="75" t="str">
        <f>IF(AND(MONTH(E1263)='IN-NX'!$J$5,'IN-NX'!$D$7=D1263),"x","")</f>
        <v/>
      </c>
      <c r="AB1263" s="75" t="str">
        <f>IF(AND(OR(LEFT(TH!N1263,2)="15",LEFT(TH!O1263,2)="15"),LEFT(TH!O1263,3)&lt;&gt;"111",'152-CT'!$J$8=TH!F1263),"x","")</f>
        <v/>
      </c>
      <c r="AC1263" s="75" t="str">
        <f>IF(AND(OR(LEFT(TH!N1263,2)="15",LEFT(TH!O1263,2)="15"),TK!$E$7=TH!F1263),"x","")</f>
        <v/>
      </c>
      <c r="AD1263" s="75" t="str">
        <f>IF(AND(N1263="1521",MONTH(C1263)='BK-NL'!$M$11),"x","")</f>
        <v/>
      </c>
    </row>
    <row r="1264" spans="1:30" ht="16.5" customHeight="1">
      <c r="A1264" s="309" t="str">
        <f>IF(B1264&lt;&gt;"",IF(AND(B1264='IN-TC'!$S$4,OR(TH!N1264="1111",TH!O1264="1111")),TH!D1264,""),"")</f>
        <v/>
      </c>
      <c r="B1264" s="1241">
        <f t="shared" si="260"/>
        <v>4</v>
      </c>
      <c r="C1264" s="929">
        <f t="shared" si="263"/>
        <v>42855</v>
      </c>
      <c r="D1264" s="929" t="s">
        <v>2956</v>
      </c>
      <c r="E1264" s="929">
        <v>42855</v>
      </c>
      <c r="F1264" s="1082" t="s">
        <v>3000</v>
      </c>
      <c r="G1264" s="931"/>
      <c r="H1264" s="1082" t="s">
        <v>424</v>
      </c>
      <c r="I1264" s="371">
        <v>132720</v>
      </c>
      <c r="J1264" s="377">
        <v>16500</v>
      </c>
      <c r="K1264" s="371"/>
      <c r="L1264" s="377"/>
      <c r="M1264" s="933">
        <f t="shared" si="264"/>
        <v>2189880000</v>
      </c>
      <c r="N1264" s="934" t="s">
        <v>272</v>
      </c>
      <c r="O1264" s="934" t="s">
        <v>264</v>
      </c>
      <c r="P1264" s="75" t="str">
        <f>IF(AND('331-CT'!$E$7=TH!H1264,OR(N1264="331",O1264="331")),"x","")</f>
        <v/>
      </c>
      <c r="Q1264" s="75" t="str">
        <f>IF(AND(B1264='111'!$L$11,OR($N1264=$Q$7,$O1264=$Q$7)),"x","")</f>
        <v/>
      </c>
      <c r="R1264" s="75" t="str">
        <f>IF(AND($N1264=$Q$7,$B1264&lt;'111'!$L$11),"x","")</f>
        <v/>
      </c>
      <c r="S1264" s="75" t="str">
        <f>IF(AND($O1264=$Q$7,$B1264&lt;'111'!$L$11),"x","")</f>
        <v/>
      </c>
      <c r="T1264" s="75" t="str">
        <f>IF(ISERROR(FIND('112'!$M$9,G1264,1)),"",IF((AND(FIND('112'!$M$9,G1264,1)&gt;=1,B1264='112'!$K$9,OR($N1264='112'!$I$6,$O1264='112'!$I$6))),"x",""))</f>
        <v/>
      </c>
      <c r="U1264" s="75" t="str">
        <f>IF(ISERROR(FIND('112'!$M$9,G1264,1)),"",IF((AND(LEFT(G1264,2)=LEFT('112'!$M$9,2),B1264&lt;'112'!$K$9,$N1264='112'!$I$6)),"x",""))</f>
        <v/>
      </c>
      <c r="V1264" s="75" t="str">
        <f>IF(ISERROR(FIND('112'!$M$9,G1264,1)),"",IF((AND(RIGHT(G1264,2)=RIGHT('112'!$M$9,2),B1264&lt;'112'!$K$9,$O1264='112'!$I$6)),"x",""))</f>
        <v/>
      </c>
      <c r="W1264" s="75" t="str">
        <f>IF(AND('341-CT'!$H$9=H1264,OR(LEFT(N1264,3)=$W$7,LEFT(O1264,3)=$W$7)),"x","")</f>
        <v/>
      </c>
      <c r="X1264" s="75" t="str">
        <f>IF(OR(TH!N1264=TH!$X$7,O1264=TH!$X$7),"x","")</f>
        <v/>
      </c>
      <c r="Y1264" s="75" t="str">
        <f>IF(AND(OR(N1264="131",O1264="131"),H1264='131-CT'!$H$9),"x","")</f>
        <v/>
      </c>
      <c r="Z1264" s="75"/>
      <c r="AA1264" s="75" t="str">
        <f>IF(AND(MONTH(E1264)='IN-NX'!$J$5,'IN-NX'!$D$7=D1264),"x","")</f>
        <v/>
      </c>
      <c r="AB1264" s="75" t="str">
        <f>IF(AND(OR(LEFT(TH!N1264,2)="15",LEFT(TH!O1264,2)="15"),LEFT(TH!O1264,3)&lt;&gt;"111",'152-CT'!$J$8=TH!F1264),"x","")</f>
        <v/>
      </c>
      <c r="AC1264" s="75" t="str">
        <f>IF(AND(OR(LEFT(TH!N1264,2)="15",LEFT(TH!O1264,2)="15"),TK!$E$7=TH!F1264),"x","")</f>
        <v/>
      </c>
      <c r="AD1264" s="75" t="str">
        <f>IF(AND(N1264="1521",MONTH(C1264)='BK-NL'!$M$11),"x","")</f>
        <v/>
      </c>
    </row>
    <row r="1265" spans="1:30" ht="16.5" customHeight="1">
      <c r="A1265" s="309" t="str">
        <f>IF(B1265&lt;&gt;"",IF(AND(B1265='IN-TC'!$S$4,OR(TH!N1265="1111",TH!O1265="1111")),TH!D1265,""),"")</f>
        <v/>
      </c>
      <c r="B1265" s="1241">
        <f t="shared" si="260"/>
        <v>4</v>
      </c>
      <c r="C1265" s="929">
        <f t="shared" si="263"/>
        <v>42855</v>
      </c>
      <c r="D1265" s="929" t="s">
        <v>2956</v>
      </c>
      <c r="E1265" s="929">
        <v>42855</v>
      </c>
      <c r="F1265" s="1082" t="s">
        <v>566</v>
      </c>
      <c r="G1265" s="931"/>
      <c r="H1265" s="1082" t="s">
        <v>424</v>
      </c>
      <c r="I1265" s="371">
        <v>138000</v>
      </c>
      <c r="J1265" s="377">
        <v>18200</v>
      </c>
      <c r="K1265" s="371"/>
      <c r="L1265" s="377"/>
      <c r="M1265" s="933">
        <f t="shared" si="264"/>
        <v>2511600000</v>
      </c>
      <c r="N1265" s="934" t="s">
        <v>272</v>
      </c>
      <c r="O1265" s="934" t="s">
        <v>264</v>
      </c>
      <c r="P1265" s="75" t="str">
        <f>IF(AND('331-CT'!$E$7=TH!H1265,OR(N1265="331",O1265="331")),"x","")</f>
        <v/>
      </c>
      <c r="Q1265" s="75" t="str">
        <f>IF(AND(B1265='111'!$L$11,OR($N1265=$Q$7,$O1265=$Q$7)),"x","")</f>
        <v/>
      </c>
      <c r="R1265" s="75" t="str">
        <f>IF(AND($N1265=$Q$7,$B1265&lt;'111'!$L$11),"x","")</f>
        <v/>
      </c>
      <c r="S1265" s="75" t="str">
        <f>IF(AND($O1265=$Q$7,$B1265&lt;'111'!$L$11),"x","")</f>
        <v/>
      </c>
      <c r="T1265" s="75" t="str">
        <f>IF(ISERROR(FIND('112'!$M$9,G1265,1)),"",IF((AND(FIND('112'!$M$9,G1265,1)&gt;=1,B1265='112'!$K$9,OR($N1265='112'!$I$6,$O1265='112'!$I$6))),"x",""))</f>
        <v/>
      </c>
      <c r="U1265" s="75" t="str">
        <f>IF(ISERROR(FIND('112'!$M$9,G1265,1)),"",IF((AND(LEFT(G1265,2)=LEFT('112'!$M$9,2),B1265&lt;'112'!$K$9,$N1265='112'!$I$6)),"x",""))</f>
        <v/>
      </c>
      <c r="V1265" s="75" t="str">
        <f>IF(ISERROR(FIND('112'!$M$9,G1265,1)),"",IF((AND(RIGHT(G1265,2)=RIGHT('112'!$M$9,2),B1265&lt;'112'!$K$9,$O1265='112'!$I$6)),"x",""))</f>
        <v/>
      </c>
      <c r="W1265" s="75" t="str">
        <f>IF(AND('341-CT'!$H$9=H1265,OR(LEFT(N1265,3)=$W$7,LEFT(O1265,3)=$W$7)),"x","")</f>
        <v/>
      </c>
      <c r="X1265" s="75" t="str">
        <f>IF(OR(TH!N1265=TH!$X$7,O1265=TH!$X$7),"x","")</f>
        <v/>
      </c>
      <c r="Y1265" s="75" t="str">
        <f>IF(AND(OR(N1265="131",O1265="131"),H1265='131-CT'!$H$9),"x","")</f>
        <v/>
      </c>
      <c r="Z1265" s="75"/>
      <c r="AA1265" s="75" t="str">
        <f>IF(AND(MONTH(E1265)='IN-NX'!$J$5,'IN-NX'!$D$7=D1265),"x","")</f>
        <v/>
      </c>
      <c r="AB1265" s="75" t="str">
        <f>IF(AND(OR(LEFT(TH!N1265,2)="15",LEFT(TH!O1265,2)="15"),LEFT(TH!O1265,3)&lt;&gt;"111",'152-CT'!$J$8=TH!F1265),"x","")</f>
        <v/>
      </c>
      <c r="AC1265" s="75" t="str">
        <f>IF(AND(OR(LEFT(TH!N1265,2)="15",LEFT(TH!O1265,2)="15"),TK!$E$7=TH!F1265),"x","")</f>
        <v/>
      </c>
      <c r="AD1265" s="75" t="str">
        <f>IF(AND(N1265="1521",MONTH(C1265)='BK-NL'!$M$11),"x","")</f>
        <v/>
      </c>
    </row>
    <row r="1266" spans="1:30" ht="16.5" customHeight="1">
      <c r="A1266" s="309" t="str">
        <f>IF(B1266&lt;&gt;"",IF(AND(B1266='IN-TC'!$S$4,OR(TH!N1266="1111",TH!O1266="1111")),TH!D1266,""),"")</f>
        <v/>
      </c>
      <c r="B1266" s="1241">
        <f t="shared" si="260"/>
        <v>4</v>
      </c>
      <c r="C1266" s="929">
        <f t="shared" si="263"/>
        <v>42855</v>
      </c>
      <c r="D1266" s="929" t="s">
        <v>2956</v>
      </c>
      <c r="E1266" s="929">
        <v>42855</v>
      </c>
      <c r="F1266" s="1082" t="s">
        <v>2998</v>
      </c>
      <c r="G1266" s="931"/>
      <c r="H1266" s="1082" t="s">
        <v>424</v>
      </c>
      <c r="I1266" s="371">
        <v>19543</v>
      </c>
      <c r="J1266" s="377">
        <v>23000</v>
      </c>
      <c r="K1266" s="371"/>
      <c r="L1266" s="377"/>
      <c r="M1266" s="933">
        <f t="shared" si="264"/>
        <v>449489000</v>
      </c>
      <c r="N1266" s="934" t="s">
        <v>272</v>
      </c>
      <c r="O1266" s="934" t="s">
        <v>264</v>
      </c>
      <c r="P1266" s="75" t="str">
        <f>IF(AND('331-CT'!$E$7=TH!H1266,OR(N1266="331",O1266="331")),"x","")</f>
        <v/>
      </c>
      <c r="Q1266" s="75" t="str">
        <f>IF(AND(B1266='111'!$L$11,OR($N1266=$Q$7,$O1266=$Q$7)),"x","")</f>
        <v/>
      </c>
      <c r="R1266" s="75" t="str">
        <f>IF(AND($N1266=$Q$7,$B1266&lt;'111'!$L$11),"x","")</f>
        <v/>
      </c>
      <c r="S1266" s="75" t="str">
        <f>IF(AND($O1266=$Q$7,$B1266&lt;'111'!$L$11),"x","")</f>
        <v/>
      </c>
      <c r="T1266" s="75" t="str">
        <f>IF(ISERROR(FIND('112'!$M$9,G1266,1)),"",IF((AND(FIND('112'!$M$9,G1266,1)&gt;=1,B1266='112'!$K$9,OR($N1266='112'!$I$6,$O1266='112'!$I$6))),"x",""))</f>
        <v/>
      </c>
      <c r="U1266" s="75" t="str">
        <f>IF(ISERROR(FIND('112'!$M$9,G1266,1)),"",IF((AND(LEFT(G1266,2)=LEFT('112'!$M$9,2),B1266&lt;'112'!$K$9,$N1266='112'!$I$6)),"x",""))</f>
        <v/>
      </c>
      <c r="V1266" s="75" t="str">
        <f>IF(ISERROR(FIND('112'!$M$9,G1266,1)),"",IF((AND(RIGHT(G1266,2)=RIGHT('112'!$M$9,2),B1266&lt;'112'!$K$9,$O1266='112'!$I$6)),"x",""))</f>
        <v/>
      </c>
      <c r="W1266" s="75" t="str">
        <f>IF(AND('341-CT'!$H$9=H1266,OR(LEFT(N1266,3)=$W$7,LEFT(O1266,3)=$W$7)),"x","")</f>
        <v/>
      </c>
      <c r="X1266" s="75" t="str">
        <f>IF(OR(TH!N1266=TH!$X$7,O1266=TH!$X$7),"x","")</f>
        <v/>
      </c>
      <c r="Y1266" s="75" t="str">
        <f>IF(AND(OR(N1266="131",O1266="131"),H1266='131-CT'!$H$9),"x","")</f>
        <v/>
      </c>
      <c r="Z1266" s="75"/>
      <c r="AA1266" s="75" t="str">
        <f>IF(AND(MONTH(E1266)='IN-NX'!$J$5,'IN-NX'!$D$7=D1266),"x","")</f>
        <v/>
      </c>
      <c r="AB1266" s="75" t="str">
        <f>IF(AND(OR(LEFT(TH!N1266,2)="15",LEFT(TH!O1266,2)="15"),LEFT(TH!O1266,3)&lt;&gt;"111",'152-CT'!$J$8=TH!F1266),"x","")</f>
        <v/>
      </c>
      <c r="AC1266" s="75" t="str">
        <f>IF(AND(OR(LEFT(TH!N1266,2)="15",LEFT(TH!O1266,2)="15"),TK!$E$7=TH!F1266),"x","")</f>
        <v/>
      </c>
      <c r="AD1266" s="75" t="str">
        <f>IF(AND(N1266="1521",MONTH(C1266)='BK-NL'!$M$11),"x","")</f>
        <v/>
      </c>
    </row>
    <row r="1267" spans="1:30" s="1054" customFormat="1" ht="16.5" customHeight="1">
      <c r="A1267" s="309" t="str">
        <f>IF(B1267&lt;&gt;"",IF(AND(B1267='IN-TC'!$S$4,OR(TH!N1267="1111",TH!O1267="1111")),TH!D1267,""),"")</f>
        <v/>
      </c>
      <c r="B1267" s="1242">
        <f t="shared" si="128"/>
        <v>5</v>
      </c>
      <c r="C1267" s="936">
        <v>42860</v>
      </c>
      <c r="D1267" s="936" t="s">
        <v>818</v>
      </c>
      <c r="E1267" s="936">
        <f t="shared" si="243"/>
        <v>42860</v>
      </c>
      <c r="F1267" s="958" t="s">
        <v>429</v>
      </c>
      <c r="G1267" s="942" t="s">
        <v>1398</v>
      </c>
      <c r="H1267" s="946" t="s">
        <v>759</v>
      </c>
      <c r="I1267" s="939">
        <v>158340</v>
      </c>
      <c r="J1267" s="939">
        <v>2.8</v>
      </c>
      <c r="K1267" s="939">
        <f t="shared" ref="K1267" si="280">I1267*J1267</f>
        <v>443352</v>
      </c>
      <c r="L1267" s="938">
        <v>22690</v>
      </c>
      <c r="M1267" s="940">
        <f t="shared" ref="M1267:M1278" si="281">ROUND(K1267*L1267,0)</f>
        <v>10059656880</v>
      </c>
      <c r="N1267" s="941" t="s">
        <v>536</v>
      </c>
      <c r="O1267" s="941" t="s">
        <v>288</v>
      </c>
      <c r="P1267" s="75" t="str">
        <f>IF(AND('331-CT'!$E$7=TH!H1267,OR(N1267="331",O1267="331")),"x","")</f>
        <v/>
      </c>
      <c r="Q1267" s="75" t="str">
        <f>IF(AND(B1267='111'!$L$11,OR($N1267=$Q$7,$O1267=$Q$7)),"x","")</f>
        <v/>
      </c>
      <c r="R1267" s="75" t="str">
        <f>IF(AND($N1267=$Q$7,$B1267&lt;'111'!$L$11),"x","")</f>
        <v/>
      </c>
      <c r="S1267" s="75" t="str">
        <f>IF(AND($O1267=$Q$7,$B1267&lt;'111'!$L$11),"x","")</f>
        <v/>
      </c>
      <c r="T1267" s="75" t="str">
        <f>IF(ISERROR(FIND('112'!$M$9,G1267,1)),"",IF((AND(FIND('112'!$M$9,G1267,1)&gt;=1,B1267='112'!$K$9,OR($N1267='112'!$I$6,$O1267='112'!$I$6))),"x",""))</f>
        <v/>
      </c>
      <c r="U1267" s="75" t="str">
        <f>IF(ISERROR(FIND('112'!$M$9,G1267,1)),"",IF((AND(LEFT(G1267,2)=LEFT('112'!$M$9,2),B1267&lt;'112'!$K$9,$N1267='112'!$I$6)),"x",""))</f>
        <v/>
      </c>
      <c r="V1267" s="75" t="str">
        <f>IF(ISERROR(FIND('112'!$M$9,G1267,1)),"",IF((AND(RIGHT(G1267,2)=RIGHT('112'!$M$9,2),B1267&lt;'112'!$K$9,$O1267='112'!$I$6)),"x",""))</f>
        <v/>
      </c>
      <c r="W1267" s="75" t="str">
        <f>IF(AND('341-CT'!$H$9=H1267,OR(LEFT(N1267,3)=$W$7,LEFT(O1267,3)=$W$7)),"x","")</f>
        <v/>
      </c>
      <c r="X1267" s="75" t="str">
        <f>IF(OR(TH!N1267=TH!$X$7,O1267=TH!$X$7),"x","")</f>
        <v/>
      </c>
      <c r="Y1267" s="75" t="str">
        <f>IF(AND(OR(N1267="131",O1267="131"),H1267='131-CT'!$H$9),"x","")</f>
        <v/>
      </c>
      <c r="Z1267" s="75"/>
      <c r="AA1267" s="75" t="str">
        <f>IF(AND(MONTH(E1267)='IN-NX'!$J$5,'IN-NX'!$D$7=D1267),"x","")</f>
        <v/>
      </c>
      <c r="AB1267" s="75" t="str">
        <f>IF(AND(OR(LEFT(TH!N1267,2)="15",LEFT(TH!O1267,2)="15"),LEFT(TH!O1267,3)&lt;&gt;"111",'152-CT'!$J$8=TH!F1267),"x","")</f>
        <v/>
      </c>
      <c r="AC1267" s="75" t="str">
        <f>IF(AND(OR(LEFT(TH!N1267,2)="15",LEFT(TH!O1267,2)="15"),TK!$E$7=TH!F1267),"x","")</f>
        <v/>
      </c>
      <c r="AD1267" s="75" t="str">
        <f>IF(AND(N1267="1521",MONTH(C1267)='BK-NL'!$M$11),"x","")</f>
        <v/>
      </c>
    </row>
    <row r="1268" spans="1:30" ht="16.5" customHeight="1">
      <c r="A1268" s="309" t="str">
        <f>IF(B1268&lt;&gt;"",IF(AND(B1268='IN-TC'!$S$4,OR(TH!N1268="1111",TH!O1268="1111")),TH!D1268,""),"")</f>
        <v/>
      </c>
      <c r="B1268" s="1242">
        <f t="shared" si="128"/>
        <v>5</v>
      </c>
      <c r="C1268" s="252">
        <v>42866</v>
      </c>
      <c r="D1268" s="252" t="s">
        <v>819</v>
      </c>
      <c r="E1268" s="252">
        <f t="shared" ref="E1268:E1277" si="282">C1268</f>
        <v>42866</v>
      </c>
      <c r="F1268" s="730" t="s">
        <v>425</v>
      </c>
      <c r="G1268" s="1056" t="s">
        <v>1382</v>
      </c>
      <c r="H1268" s="735" t="s">
        <v>1387</v>
      </c>
      <c r="I1268" s="371">
        <v>1000</v>
      </c>
      <c r="J1268" s="371">
        <v>30.7</v>
      </c>
      <c r="K1268" s="371">
        <f>I1268*J1268</f>
        <v>30700</v>
      </c>
      <c r="L1268" s="377">
        <v>22715</v>
      </c>
      <c r="M1268" s="933">
        <f t="shared" si="281"/>
        <v>697350500</v>
      </c>
      <c r="N1268" s="977" t="s">
        <v>536</v>
      </c>
      <c r="O1268" s="977" t="s">
        <v>288</v>
      </c>
      <c r="P1268" s="75" t="str">
        <f>IF(AND('331-CT'!$E$7=TH!H1268,OR(N1268="331",O1268="331")),"x","")</f>
        <v/>
      </c>
      <c r="Q1268" s="75" t="str">
        <f>IF(AND(B1268='111'!$L$11,OR($N1268=$Q$7,$O1268=$Q$7)),"x","")</f>
        <v/>
      </c>
      <c r="R1268" s="75" t="str">
        <f>IF(AND($N1268=$Q$7,$B1268&lt;'111'!$L$11),"x","")</f>
        <v/>
      </c>
      <c r="S1268" s="75" t="str">
        <f>IF(AND($O1268=$Q$7,$B1268&lt;'111'!$L$11),"x","")</f>
        <v/>
      </c>
      <c r="T1268" s="75" t="str">
        <f>IF(ISERROR(FIND('112'!$M$9,G1268,1)),"",IF((AND(FIND('112'!$M$9,G1268,1)&gt;=1,B1268='112'!$K$9,OR($N1268='112'!$I$6,$O1268='112'!$I$6))),"x",""))</f>
        <v/>
      </c>
      <c r="U1268" s="75" t="str">
        <f>IF(ISERROR(FIND('112'!$M$9,G1268,1)),"",IF((AND(LEFT(G1268,2)=LEFT('112'!$M$9,2),B1268&lt;'112'!$K$9,$N1268='112'!$I$6)),"x",""))</f>
        <v/>
      </c>
      <c r="V1268" s="75" t="str">
        <f>IF(ISERROR(FIND('112'!$M$9,G1268,1)),"",IF((AND(RIGHT(G1268,2)=RIGHT('112'!$M$9,2),B1268&lt;'112'!$K$9,$O1268='112'!$I$6)),"x",""))</f>
        <v/>
      </c>
      <c r="W1268" s="75" t="str">
        <f>IF(AND('341-CT'!$H$9=H1268,OR(LEFT(N1268,3)=$W$7,LEFT(O1268,3)=$W$7)),"x","")</f>
        <v/>
      </c>
      <c r="X1268" s="75" t="str">
        <f>IF(OR(TH!N1268=TH!$X$7,O1268=TH!$X$7),"x","")</f>
        <v/>
      </c>
      <c r="Y1268" s="75" t="str">
        <f>IF(AND(OR(N1268="131",O1268="131"),H1268='131-CT'!$H$9),"x","")</f>
        <v/>
      </c>
      <c r="Z1268" s="75"/>
      <c r="AA1268" s="75" t="str">
        <f>IF(AND(MONTH(E1268)='IN-NX'!$J$5,'IN-NX'!$D$7=D1268),"x","")</f>
        <v/>
      </c>
      <c r="AB1268" s="75" t="str">
        <f>IF(AND(OR(LEFT(TH!N1268,2)="15",LEFT(TH!O1268,2)="15"),LEFT(TH!O1268,3)&lt;&gt;"111",'152-CT'!$J$8=TH!F1268),"x","")</f>
        <v/>
      </c>
      <c r="AC1268" s="75" t="str">
        <f>IF(AND(OR(LEFT(TH!N1268,2)="15",LEFT(TH!O1268,2)="15"),TK!$E$7=TH!F1268),"x","")</f>
        <v/>
      </c>
      <c r="AD1268" s="75" t="str">
        <f>IF(AND(N1268="1521",MONTH(C1268)='BK-NL'!$M$11),"x","")</f>
        <v/>
      </c>
    </row>
    <row r="1269" spans="1:30" ht="16.5" customHeight="1">
      <c r="A1269" s="309" t="str">
        <f>IF(B1269&lt;&gt;"",IF(AND(B1269='IN-TC'!$S$4,OR(TH!N1269="1111",TH!O1269="1111")),TH!D1269,""),"")</f>
        <v/>
      </c>
      <c r="B1269" s="1242">
        <f t="shared" ref="B1269:B1461" si="283">IF(C1269&lt;&gt;"",MONTH(C1269),"")</f>
        <v>5</v>
      </c>
      <c r="C1269" s="252">
        <v>42866</v>
      </c>
      <c r="D1269" s="252" t="s">
        <v>819</v>
      </c>
      <c r="E1269" s="252">
        <f t="shared" si="282"/>
        <v>42866</v>
      </c>
      <c r="F1269" s="1055" t="s">
        <v>1588</v>
      </c>
      <c r="G1269" s="1056" t="s">
        <v>1382</v>
      </c>
      <c r="H1269" s="735" t="s">
        <v>1387</v>
      </c>
      <c r="I1269" s="371">
        <v>2000</v>
      </c>
      <c r="J1269" s="371">
        <v>9.5</v>
      </c>
      <c r="K1269" s="371">
        <f t="shared" ref="K1269:K1277" si="284">I1269*J1269</f>
        <v>19000</v>
      </c>
      <c r="L1269" s="377">
        <v>22715</v>
      </c>
      <c r="M1269" s="933">
        <f t="shared" si="281"/>
        <v>431585000</v>
      </c>
      <c r="N1269" s="977" t="s">
        <v>536</v>
      </c>
      <c r="O1269" s="977" t="s">
        <v>288</v>
      </c>
      <c r="P1269" s="75" t="str">
        <f>IF(AND('331-CT'!$E$7=TH!H1269,OR(N1269="331",O1269="331")),"x","")</f>
        <v/>
      </c>
      <c r="Q1269" s="75" t="str">
        <f>IF(AND(B1269='111'!$L$11,OR($N1269=$Q$7,$O1269=$Q$7)),"x","")</f>
        <v/>
      </c>
      <c r="R1269" s="75" t="str">
        <f>IF(AND($N1269=$Q$7,$B1269&lt;'111'!$L$11),"x","")</f>
        <v/>
      </c>
      <c r="S1269" s="75" t="str">
        <f>IF(AND($O1269=$Q$7,$B1269&lt;'111'!$L$11),"x","")</f>
        <v/>
      </c>
      <c r="T1269" s="75" t="str">
        <f>IF(ISERROR(FIND('112'!$M$9,G1269,1)),"",IF((AND(FIND('112'!$M$9,G1269,1)&gt;=1,B1269='112'!$K$9,OR($N1269='112'!$I$6,$O1269='112'!$I$6))),"x",""))</f>
        <v/>
      </c>
      <c r="U1269" s="75" t="str">
        <f>IF(ISERROR(FIND('112'!$M$9,G1269,1)),"",IF((AND(LEFT(G1269,2)=LEFT('112'!$M$9,2),B1269&lt;'112'!$K$9,$N1269='112'!$I$6)),"x",""))</f>
        <v/>
      </c>
      <c r="V1269" s="75" t="str">
        <f>IF(ISERROR(FIND('112'!$M$9,G1269,1)),"",IF((AND(RIGHT(G1269,2)=RIGHT('112'!$M$9,2),B1269&lt;'112'!$K$9,$O1269='112'!$I$6)),"x",""))</f>
        <v/>
      </c>
      <c r="W1269" s="75" t="str">
        <f>IF(AND('341-CT'!$H$9=H1269,OR(LEFT(N1269,3)=$W$7,LEFT(O1269,3)=$W$7)),"x","")</f>
        <v/>
      </c>
      <c r="X1269" s="75" t="str">
        <f>IF(OR(TH!N1269=TH!$X$7,O1269=TH!$X$7),"x","")</f>
        <v/>
      </c>
      <c r="Y1269" s="75" t="str">
        <f>IF(AND(OR(N1269="131",O1269="131"),H1269='131-CT'!$H$9),"x","")</f>
        <v/>
      </c>
      <c r="Z1269" s="75"/>
      <c r="AA1269" s="75" t="str">
        <f>IF(AND(MONTH(E1269)='IN-NX'!$J$5,'IN-NX'!$D$7=D1269),"x","")</f>
        <v/>
      </c>
      <c r="AB1269" s="75" t="str">
        <f>IF(AND(OR(LEFT(TH!N1269,2)="15",LEFT(TH!O1269,2)="15"),LEFT(TH!O1269,3)&lt;&gt;"111",'152-CT'!$J$8=TH!F1269),"x","")</f>
        <v/>
      </c>
      <c r="AC1269" s="75" t="str">
        <f>IF(AND(OR(LEFT(TH!N1269,2)="15",LEFT(TH!O1269,2)="15"),TK!$E$7=TH!F1269),"x","")</f>
        <v/>
      </c>
      <c r="AD1269" s="75" t="str">
        <f>IF(AND(N1269="1521",MONTH(C1269)='BK-NL'!$M$11),"x","")</f>
        <v/>
      </c>
    </row>
    <row r="1270" spans="1:30" ht="16.5" customHeight="1">
      <c r="A1270" s="309" t="str">
        <f>IF(B1270&lt;&gt;"",IF(AND(B1270='IN-TC'!$S$4,OR(TH!N1270="1111",TH!O1270="1111")),TH!D1270,""),"")</f>
        <v/>
      </c>
      <c r="B1270" s="1242">
        <f t="shared" si="283"/>
        <v>5</v>
      </c>
      <c r="C1270" s="252">
        <v>42870</v>
      </c>
      <c r="D1270" s="252" t="s">
        <v>836</v>
      </c>
      <c r="E1270" s="252">
        <f t="shared" si="282"/>
        <v>42870</v>
      </c>
      <c r="F1270" s="1055" t="s">
        <v>793</v>
      </c>
      <c r="G1270" s="1056" t="s">
        <v>1383</v>
      </c>
      <c r="H1270" s="735" t="s">
        <v>746</v>
      </c>
      <c r="I1270" s="371">
        <v>6000</v>
      </c>
      <c r="J1270" s="371">
        <v>7.3</v>
      </c>
      <c r="K1270" s="371">
        <f t="shared" si="284"/>
        <v>43800</v>
      </c>
      <c r="L1270" s="377">
        <v>22675</v>
      </c>
      <c r="M1270" s="933">
        <f t="shared" si="281"/>
        <v>993165000</v>
      </c>
      <c r="N1270" s="977" t="s">
        <v>536</v>
      </c>
      <c r="O1270" s="977" t="s">
        <v>288</v>
      </c>
      <c r="P1270" s="75" t="str">
        <f>IF(AND('331-CT'!$E$7=TH!H1270,OR(N1270="331",O1270="331")),"x","")</f>
        <v/>
      </c>
      <c r="Q1270" s="75" t="str">
        <f>IF(AND(B1270='111'!$L$11,OR($N1270=$Q$7,$O1270=$Q$7)),"x","")</f>
        <v/>
      </c>
      <c r="R1270" s="75" t="str">
        <f>IF(AND($N1270=$Q$7,$B1270&lt;'111'!$L$11),"x","")</f>
        <v/>
      </c>
      <c r="S1270" s="75" t="str">
        <f>IF(AND($O1270=$Q$7,$B1270&lt;'111'!$L$11),"x","")</f>
        <v/>
      </c>
      <c r="T1270" s="75" t="str">
        <f>IF(ISERROR(FIND('112'!$M$9,G1270,1)),"",IF((AND(FIND('112'!$M$9,G1270,1)&gt;=1,B1270='112'!$K$9,OR($N1270='112'!$I$6,$O1270='112'!$I$6))),"x",""))</f>
        <v/>
      </c>
      <c r="U1270" s="75" t="str">
        <f>IF(ISERROR(FIND('112'!$M$9,G1270,1)),"",IF((AND(LEFT(G1270,2)=LEFT('112'!$M$9,2),B1270&lt;'112'!$K$9,$N1270='112'!$I$6)),"x",""))</f>
        <v/>
      </c>
      <c r="V1270" s="75" t="str">
        <f>IF(ISERROR(FIND('112'!$M$9,G1270,1)),"",IF((AND(RIGHT(G1270,2)=RIGHT('112'!$M$9,2),B1270&lt;'112'!$K$9,$O1270='112'!$I$6)),"x",""))</f>
        <v/>
      </c>
      <c r="W1270" s="75" t="str">
        <f>IF(AND('341-CT'!$H$9=H1270,OR(LEFT(N1270,3)=$W$7,LEFT(O1270,3)=$W$7)),"x","")</f>
        <v/>
      </c>
      <c r="X1270" s="75" t="str">
        <f>IF(OR(TH!N1270=TH!$X$7,O1270=TH!$X$7),"x","")</f>
        <v/>
      </c>
      <c r="Y1270" s="75" t="str">
        <f>IF(AND(OR(N1270="131",O1270="131"),H1270='131-CT'!$H$9),"x","")</f>
        <v/>
      </c>
      <c r="Z1270" s="75"/>
      <c r="AA1270" s="75" t="str">
        <f>IF(AND(MONTH(E1270)='IN-NX'!$J$5,'IN-NX'!$D$7=D1270),"x","")</f>
        <v/>
      </c>
      <c r="AB1270" s="75" t="str">
        <f>IF(AND(OR(LEFT(TH!N1270,2)="15",LEFT(TH!O1270,2)="15"),LEFT(TH!O1270,3)&lt;&gt;"111",'152-CT'!$J$8=TH!F1270),"x","")</f>
        <v/>
      </c>
      <c r="AC1270" s="75" t="str">
        <f>IF(AND(OR(LEFT(TH!N1270,2)="15",LEFT(TH!O1270,2)="15"),TK!$E$7=TH!F1270),"x","")</f>
        <v/>
      </c>
      <c r="AD1270" s="75" t="str">
        <f>IF(AND(N1270="1521",MONTH(C1270)='BK-NL'!$M$11),"x","")</f>
        <v/>
      </c>
    </row>
    <row r="1271" spans="1:30" ht="16.5" customHeight="1">
      <c r="A1271" s="309" t="str">
        <f>IF(B1271&lt;&gt;"",IF(AND(B1271='IN-TC'!$S$4,OR(TH!N1271="1111",TH!O1271="1111")),TH!D1271,""),"")</f>
        <v/>
      </c>
      <c r="B1271" s="1242">
        <f t="shared" si="283"/>
        <v>5</v>
      </c>
      <c r="C1271" s="252">
        <v>42870</v>
      </c>
      <c r="D1271" s="252" t="s">
        <v>836</v>
      </c>
      <c r="E1271" s="252">
        <f t="shared" si="282"/>
        <v>42870</v>
      </c>
      <c r="F1271" s="1055" t="s">
        <v>1588</v>
      </c>
      <c r="G1271" s="1056" t="s">
        <v>1383</v>
      </c>
      <c r="H1271" s="735" t="s">
        <v>746</v>
      </c>
      <c r="I1271" s="371">
        <v>4000</v>
      </c>
      <c r="J1271" s="371">
        <v>9.75</v>
      </c>
      <c r="K1271" s="371">
        <f t="shared" si="284"/>
        <v>39000</v>
      </c>
      <c r="L1271" s="377">
        <v>22675</v>
      </c>
      <c r="M1271" s="933">
        <f t="shared" si="281"/>
        <v>884325000</v>
      </c>
      <c r="N1271" s="977" t="s">
        <v>536</v>
      </c>
      <c r="O1271" s="977" t="s">
        <v>288</v>
      </c>
      <c r="P1271" s="75" t="str">
        <f>IF(AND('331-CT'!$E$7=TH!H1271,OR(N1271="331",O1271="331")),"x","")</f>
        <v/>
      </c>
      <c r="Q1271" s="75" t="str">
        <f>IF(AND(B1271='111'!$L$11,OR($N1271=$Q$7,$O1271=$Q$7)),"x","")</f>
        <v/>
      </c>
      <c r="R1271" s="75" t="str">
        <f>IF(AND($N1271=$Q$7,$B1271&lt;'111'!$L$11),"x","")</f>
        <v/>
      </c>
      <c r="S1271" s="75" t="str">
        <f>IF(AND($O1271=$Q$7,$B1271&lt;'111'!$L$11),"x","")</f>
        <v/>
      </c>
      <c r="T1271" s="75" t="str">
        <f>IF(ISERROR(FIND('112'!$M$9,G1271,1)),"",IF((AND(FIND('112'!$M$9,G1271,1)&gt;=1,B1271='112'!$K$9,OR($N1271='112'!$I$6,$O1271='112'!$I$6))),"x",""))</f>
        <v/>
      </c>
      <c r="U1271" s="75" t="str">
        <f>IF(ISERROR(FIND('112'!$M$9,G1271,1)),"",IF((AND(LEFT(G1271,2)=LEFT('112'!$M$9,2),B1271&lt;'112'!$K$9,$N1271='112'!$I$6)),"x",""))</f>
        <v/>
      </c>
      <c r="V1271" s="75" t="str">
        <f>IF(ISERROR(FIND('112'!$M$9,G1271,1)),"",IF((AND(RIGHT(G1271,2)=RIGHT('112'!$M$9,2),B1271&lt;'112'!$K$9,$O1271='112'!$I$6)),"x",""))</f>
        <v/>
      </c>
      <c r="W1271" s="75" t="str">
        <f>IF(AND('341-CT'!$H$9=H1271,OR(LEFT(N1271,3)=$W$7,LEFT(O1271,3)=$W$7)),"x","")</f>
        <v/>
      </c>
      <c r="X1271" s="75" t="str">
        <f>IF(OR(TH!N1271=TH!$X$7,O1271=TH!$X$7),"x","")</f>
        <v/>
      </c>
      <c r="Y1271" s="75" t="str">
        <f>IF(AND(OR(N1271="131",O1271="131"),H1271='131-CT'!$H$9),"x","")</f>
        <v/>
      </c>
      <c r="Z1271" s="75"/>
      <c r="AA1271" s="75" t="str">
        <f>IF(AND(MONTH(E1271)='IN-NX'!$J$5,'IN-NX'!$D$7=D1271),"x","")</f>
        <v/>
      </c>
      <c r="AB1271" s="75" t="str">
        <f>IF(AND(OR(LEFT(TH!N1271,2)="15",LEFT(TH!O1271,2)="15"),LEFT(TH!O1271,3)&lt;&gt;"111",'152-CT'!$J$8=TH!F1271),"x","")</f>
        <v/>
      </c>
      <c r="AC1271" s="75" t="str">
        <f>IF(AND(OR(LEFT(TH!N1271,2)="15",LEFT(TH!O1271,2)="15"),TK!$E$7=TH!F1271),"x","")</f>
        <v/>
      </c>
      <c r="AD1271" s="75" t="str">
        <f>IF(AND(N1271="1521",MONTH(C1271)='BK-NL'!$M$11),"x","")</f>
        <v/>
      </c>
    </row>
    <row r="1272" spans="1:30" ht="16.5" customHeight="1">
      <c r="A1272" s="309" t="str">
        <f>IF(B1272&lt;&gt;"",IF(AND(B1272='IN-TC'!$S$4,OR(TH!N1272="1111",TH!O1272="1111")),TH!D1272,""),"")</f>
        <v/>
      </c>
      <c r="B1272" s="1242">
        <f t="shared" si="283"/>
        <v>5</v>
      </c>
      <c r="C1272" s="252">
        <v>42870</v>
      </c>
      <c r="D1272" s="252" t="s">
        <v>838</v>
      </c>
      <c r="E1272" s="252">
        <f t="shared" si="282"/>
        <v>42870</v>
      </c>
      <c r="F1272" s="1055" t="s">
        <v>429</v>
      </c>
      <c r="G1272" s="1056" t="s">
        <v>1384</v>
      </c>
      <c r="H1272" s="735" t="s">
        <v>759</v>
      </c>
      <c r="I1272" s="371">
        <v>158340</v>
      </c>
      <c r="J1272" s="371">
        <v>2.65</v>
      </c>
      <c r="K1272" s="371">
        <f t="shared" si="284"/>
        <v>419601</v>
      </c>
      <c r="L1272" s="377">
        <v>22675</v>
      </c>
      <c r="M1272" s="933">
        <f t="shared" si="281"/>
        <v>9514452675</v>
      </c>
      <c r="N1272" s="977" t="s">
        <v>536</v>
      </c>
      <c r="O1272" s="977" t="s">
        <v>288</v>
      </c>
      <c r="P1272" s="75" t="str">
        <f>IF(AND('331-CT'!$E$7=TH!H1272,OR(N1272="331",O1272="331")),"x","")</f>
        <v/>
      </c>
      <c r="Q1272" s="75" t="str">
        <f>IF(AND(B1272='111'!$L$11,OR($N1272=$Q$7,$O1272=$Q$7)),"x","")</f>
        <v/>
      </c>
      <c r="R1272" s="75" t="str">
        <f>IF(AND($N1272=$Q$7,$B1272&lt;'111'!$L$11),"x","")</f>
        <v/>
      </c>
      <c r="S1272" s="75" t="str">
        <f>IF(AND($O1272=$Q$7,$B1272&lt;'111'!$L$11),"x","")</f>
        <v/>
      </c>
      <c r="T1272" s="75" t="str">
        <f>IF(ISERROR(FIND('112'!$M$9,G1272,1)),"",IF((AND(FIND('112'!$M$9,G1272,1)&gt;=1,B1272='112'!$K$9,OR($N1272='112'!$I$6,$O1272='112'!$I$6))),"x",""))</f>
        <v/>
      </c>
      <c r="U1272" s="75" t="str">
        <f>IF(ISERROR(FIND('112'!$M$9,G1272,1)),"",IF((AND(LEFT(G1272,2)=LEFT('112'!$M$9,2),B1272&lt;'112'!$K$9,$N1272='112'!$I$6)),"x",""))</f>
        <v/>
      </c>
      <c r="V1272" s="75" t="str">
        <f>IF(ISERROR(FIND('112'!$M$9,G1272,1)),"",IF((AND(RIGHT(G1272,2)=RIGHT('112'!$M$9,2),B1272&lt;'112'!$K$9,$O1272='112'!$I$6)),"x",""))</f>
        <v/>
      </c>
      <c r="W1272" s="75" t="str">
        <f>IF(AND('341-CT'!$H$9=H1272,OR(LEFT(N1272,3)=$W$7,LEFT(O1272,3)=$W$7)),"x","")</f>
        <v/>
      </c>
      <c r="X1272" s="75" t="str">
        <f>IF(OR(TH!N1272=TH!$X$7,O1272=TH!$X$7),"x","")</f>
        <v/>
      </c>
      <c r="Y1272" s="75" t="str">
        <f>IF(AND(OR(N1272="131",O1272="131"),H1272='131-CT'!$H$9),"x","")</f>
        <v/>
      </c>
      <c r="Z1272" s="75"/>
      <c r="AA1272" s="75" t="str">
        <f>IF(AND(MONTH(E1272)='IN-NX'!$J$5,'IN-NX'!$D$7=D1272),"x","")</f>
        <v/>
      </c>
      <c r="AB1272" s="75" t="str">
        <f>IF(AND(OR(LEFT(TH!N1272,2)="15",LEFT(TH!O1272,2)="15"),LEFT(TH!O1272,3)&lt;&gt;"111",'152-CT'!$J$8=TH!F1272),"x","")</f>
        <v/>
      </c>
      <c r="AC1272" s="75" t="str">
        <f>IF(AND(OR(LEFT(TH!N1272,2)="15",LEFT(TH!O1272,2)="15"),TK!$E$7=TH!F1272),"x","")</f>
        <v/>
      </c>
      <c r="AD1272" s="75" t="str">
        <f>IF(AND(N1272="1521",MONTH(C1272)='BK-NL'!$M$11),"x","")</f>
        <v/>
      </c>
    </row>
    <row r="1273" spans="1:30" ht="16.5" customHeight="1">
      <c r="A1273" s="309" t="str">
        <f>IF(B1273&lt;&gt;"",IF(AND(B1273='IN-TC'!$S$4,OR(TH!N1273="1111",TH!O1273="1111")),TH!D1273,""),"")</f>
        <v/>
      </c>
      <c r="B1273" s="1242">
        <f t="shared" si="283"/>
        <v>5</v>
      </c>
      <c r="C1273" s="252">
        <v>42870</v>
      </c>
      <c r="D1273" s="252" t="s">
        <v>863</v>
      </c>
      <c r="E1273" s="252">
        <f t="shared" si="282"/>
        <v>42870</v>
      </c>
      <c r="F1273" s="1082" t="s">
        <v>426</v>
      </c>
      <c r="G1273" s="1056" t="s">
        <v>1385</v>
      </c>
      <c r="H1273" s="1185" t="s">
        <v>544</v>
      </c>
      <c r="I1273" s="371">
        <v>4312</v>
      </c>
      <c r="J1273" s="371">
        <v>8.8000000000000007</v>
      </c>
      <c r="K1273" s="371">
        <f t="shared" si="284"/>
        <v>37945.600000000006</v>
      </c>
      <c r="L1273" s="377">
        <v>22675</v>
      </c>
      <c r="M1273" s="933">
        <f t="shared" si="281"/>
        <v>860416480</v>
      </c>
      <c r="N1273" s="977" t="s">
        <v>536</v>
      </c>
      <c r="O1273" s="977" t="s">
        <v>288</v>
      </c>
      <c r="P1273" s="75" t="str">
        <f>IF(AND('331-CT'!$E$7=TH!H1273,OR(N1273="331",O1273="331")),"x","")</f>
        <v/>
      </c>
      <c r="Q1273" s="75" t="str">
        <f>IF(AND(B1273='111'!$L$11,OR($N1273=$Q$7,$O1273=$Q$7)),"x","")</f>
        <v/>
      </c>
      <c r="R1273" s="75" t="str">
        <f>IF(AND($N1273=$Q$7,$B1273&lt;'111'!$L$11),"x","")</f>
        <v/>
      </c>
      <c r="S1273" s="75" t="str">
        <f>IF(AND($O1273=$Q$7,$B1273&lt;'111'!$L$11),"x","")</f>
        <v/>
      </c>
      <c r="T1273" s="75" t="str">
        <f>IF(ISERROR(FIND('112'!$M$9,G1273,1)),"",IF((AND(FIND('112'!$M$9,G1273,1)&gt;=1,B1273='112'!$K$9,OR($N1273='112'!$I$6,$O1273='112'!$I$6))),"x",""))</f>
        <v/>
      </c>
      <c r="U1273" s="75" t="str">
        <f>IF(ISERROR(FIND('112'!$M$9,G1273,1)),"",IF((AND(LEFT(G1273,2)=LEFT('112'!$M$9,2),B1273&lt;'112'!$K$9,$N1273='112'!$I$6)),"x",""))</f>
        <v/>
      </c>
      <c r="V1273" s="75" t="str">
        <f>IF(ISERROR(FIND('112'!$M$9,G1273,1)),"",IF((AND(RIGHT(G1273,2)=RIGHT('112'!$M$9,2),B1273&lt;'112'!$K$9,$O1273='112'!$I$6)),"x",""))</f>
        <v/>
      </c>
      <c r="W1273" s="75" t="str">
        <f>IF(AND('341-CT'!$H$9=H1273,OR(LEFT(N1273,3)=$W$7,LEFT(O1273,3)=$W$7)),"x","")</f>
        <v/>
      </c>
      <c r="X1273" s="75" t="str">
        <f>IF(OR(TH!N1273=TH!$X$7,O1273=TH!$X$7),"x","")</f>
        <v/>
      </c>
      <c r="Y1273" s="75" t="str">
        <f>IF(AND(OR(N1273="131",O1273="131"),H1273='131-CT'!$H$9),"x","")</f>
        <v/>
      </c>
      <c r="Z1273" s="75"/>
      <c r="AA1273" s="75" t="str">
        <f>IF(AND(MONTH(E1273)='IN-NX'!$J$5,'IN-NX'!$D$7=D1273),"x","")</f>
        <v/>
      </c>
      <c r="AB1273" s="75" t="str">
        <f>IF(AND(OR(LEFT(TH!N1273,2)="15",LEFT(TH!O1273,2)="15"),LEFT(TH!O1273,3)&lt;&gt;"111",'152-CT'!$J$8=TH!F1273),"x","")</f>
        <v/>
      </c>
      <c r="AC1273" s="75" t="str">
        <f>IF(AND(OR(LEFT(TH!N1273,2)="15",LEFT(TH!O1273,2)="15"),TK!$E$7=TH!F1273),"x","")</f>
        <v/>
      </c>
      <c r="AD1273" s="75" t="str">
        <f>IF(AND(N1273="1521",MONTH(C1273)='BK-NL'!$M$11),"x","")</f>
        <v/>
      </c>
    </row>
    <row r="1274" spans="1:30" ht="16.5" customHeight="1">
      <c r="A1274" s="309" t="str">
        <f>IF(B1274&lt;&gt;"",IF(AND(B1274='IN-TC'!$S$4,OR(TH!N1274="1111",TH!O1274="1111")),TH!D1274,""),"")</f>
        <v/>
      </c>
      <c r="B1274" s="1242">
        <f t="shared" si="283"/>
        <v>5</v>
      </c>
      <c r="C1274" s="252">
        <v>42870</v>
      </c>
      <c r="D1274" s="252" t="s">
        <v>864</v>
      </c>
      <c r="E1274" s="252">
        <f t="shared" si="282"/>
        <v>42870</v>
      </c>
      <c r="F1274" s="1055" t="s">
        <v>429</v>
      </c>
      <c r="G1274" s="1056" t="s">
        <v>1386</v>
      </c>
      <c r="H1274" s="735" t="s">
        <v>759</v>
      </c>
      <c r="I1274" s="371">
        <v>158340</v>
      </c>
      <c r="J1274" s="371">
        <v>2.65</v>
      </c>
      <c r="K1274" s="371">
        <f t="shared" si="284"/>
        <v>419601</v>
      </c>
      <c r="L1274" s="377">
        <v>22675</v>
      </c>
      <c r="M1274" s="933">
        <f t="shared" si="281"/>
        <v>9514452675</v>
      </c>
      <c r="N1274" s="977" t="s">
        <v>536</v>
      </c>
      <c r="O1274" s="977" t="s">
        <v>288</v>
      </c>
      <c r="P1274" s="75" t="str">
        <f>IF(AND('331-CT'!$E$7=TH!H1274,OR(N1274="331",O1274="331")),"x","")</f>
        <v/>
      </c>
      <c r="Q1274" s="75" t="str">
        <f>IF(AND(B1274='111'!$L$11,OR($N1274=$Q$7,$O1274=$Q$7)),"x","")</f>
        <v/>
      </c>
      <c r="R1274" s="75" t="str">
        <f>IF(AND($N1274=$Q$7,$B1274&lt;'111'!$L$11),"x","")</f>
        <v/>
      </c>
      <c r="S1274" s="75" t="str">
        <f>IF(AND($O1274=$Q$7,$B1274&lt;'111'!$L$11),"x","")</f>
        <v/>
      </c>
      <c r="T1274" s="75" t="str">
        <f>IF(ISERROR(FIND('112'!$M$9,G1274,1)),"",IF((AND(FIND('112'!$M$9,G1274,1)&gt;=1,B1274='112'!$K$9,OR($N1274='112'!$I$6,$O1274='112'!$I$6))),"x",""))</f>
        <v/>
      </c>
      <c r="U1274" s="75" t="str">
        <f>IF(ISERROR(FIND('112'!$M$9,G1274,1)),"",IF((AND(LEFT(G1274,2)=LEFT('112'!$M$9,2),B1274&lt;'112'!$K$9,$N1274='112'!$I$6)),"x",""))</f>
        <v/>
      </c>
      <c r="V1274" s="75" t="str">
        <f>IF(ISERROR(FIND('112'!$M$9,G1274,1)),"",IF((AND(RIGHT(G1274,2)=RIGHT('112'!$M$9,2),B1274&lt;'112'!$K$9,$O1274='112'!$I$6)),"x",""))</f>
        <v/>
      </c>
      <c r="W1274" s="75" t="str">
        <f>IF(AND('341-CT'!$H$9=H1274,OR(LEFT(N1274,3)=$W$7,LEFT(O1274,3)=$W$7)),"x","")</f>
        <v/>
      </c>
      <c r="X1274" s="75" t="str">
        <f>IF(OR(TH!N1274=TH!$X$7,O1274=TH!$X$7),"x","")</f>
        <v/>
      </c>
      <c r="Y1274" s="75" t="str">
        <f>IF(AND(OR(N1274="131",O1274="131"),H1274='131-CT'!$H$9),"x","")</f>
        <v/>
      </c>
      <c r="Z1274" s="75"/>
      <c r="AA1274" s="75" t="str">
        <f>IF(AND(MONTH(E1274)='IN-NX'!$J$5,'IN-NX'!$D$7=D1274),"x","")</f>
        <v/>
      </c>
      <c r="AB1274" s="75" t="str">
        <f>IF(AND(OR(LEFT(TH!N1274,2)="15",LEFT(TH!O1274,2)="15"),LEFT(TH!O1274,3)&lt;&gt;"111",'152-CT'!$J$8=TH!F1274),"x","")</f>
        <v/>
      </c>
      <c r="AC1274" s="75" t="str">
        <f>IF(AND(OR(LEFT(TH!N1274,2)="15",LEFT(TH!O1274,2)="15"),TK!$E$7=TH!F1274),"x","")</f>
        <v/>
      </c>
      <c r="AD1274" s="75" t="str">
        <f>IF(AND(N1274="1521",MONTH(C1274)='BK-NL'!$M$11),"x","")</f>
        <v/>
      </c>
    </row>
    <row r="1275" spans="1:30" ht="16.5" customHeight="1">
      <c r="A1275" s="309" t="str">
        <f>IF(B1275&lt;&gt;"",IF(AND(B1275='IN-TC'!$S$4,OR(TH!N1275="1111",TH!O1275="1111")),TH!D1275,""),"")</f>
        <v/>
      </c>
      <c r="B1275" s="1242">
        <f t="shared" si="283"/>
        <v>5</v>
      </c>
      <c r="C1275" s="252">
        <v>42875</v>
      </c>
      <c r="D1275" s="252" t="s">
        <v>894</v>
      </c>
      <c r="E1275" s="252">
        <f t="shared" si="282"/>
        <v>42875</v>
      </c>
      <c r="F1275" s="1055" t="s">
        <v>429</v>
      </c>
      <c r="G1275" s="1056" t="s">
        <v>1399</v>
      </c>
      <c r="H1275" s="735" t="s">
        <v>759</v>
      </c>
      <c r="I1275" s="371">
        <v>158340</v>
      </c>
      <c r="J1275" s="371">
        <v>2.65</v>
      </c>
      <c r="K1275" s="371">
        <f t="shared" si="284"/>
        <v>419601</v>
      </c>
      <c r="L1275" s="377">
        <v>22675</v>
      </c>
      <c r="M1275" s="933">
        <f t="shared" si="281"/>
        <v>9514452675</v>
      </c>
      <c r="N1275" s="977" t="s">
        <v>536</v>
      </c>
      <c r="O1275" s="977" t="s">
        <v>288</v>
      </c>
      <c r="P1275" s="75" t="str">
        <f>IF(AND('331-CT'!$E$7=TH!H1275,OR(N1275="331",O1275="331")),"x","")</f>
        <v/>
      </c>
      <c r="Q1275" s="75" t="str">
        <f>IF(AND(B1275='111'!$L$11,OR($N1275=$Q$7,$O1275=$Q$7)),"x","")</f>
        <v/>
      </c>
      <c r="R1275" s="75" t="str">
        <f>IF(AND($N1275=$Q$7,$B1275&lt;'111'!$L$11),"x","")</f>
        <v/>
      </c>
      <c r="S1275" s="75" t="str">
        <f>IF(AND($O1275=$Q$7,$B1275&lt;'111'!$L$11),"x","")</f>
        <v/>
      </c>
      <c r="T1275" s="75" t="str">
        <f>IF(ISERROR(FIND('112'!$M$9,G1275,1)),"",IF((AND(FIND('112'!$M$9,G1275,1)&gt;=1,B1275='112'!$K$9,OR($N1275='112'!$I$6,$O1275='112'!$I$6))),"x",""))</f>
        <v/>
      </c>
      <c r="U1275" s="75" t="str">
        <f>IF(ISERROR(FIND('112'!$M$9,G1275,1)),"",IF((AND(LEFT(G1275,2)=LEFT('112'!$M$9,2),B1275&lt;'112'!$K$9,$N1275='112'!$I$6)),"x",""))</f>
        <v/>
      </c>
      <c r="V1275" s="75" t="str">
        <f>IF(ISERROR(FIND('112'!$M$9,G1275,1)),"",IF((AND(RIGHT(G1275,2)=RIGHT('112'!$M$9,2),B1275&lt;'112'!$K$9,$O1275='112'!$I$6)),"x",""))</f>
        <v/>
      </c>
      <c r="W1275" s="75" t="str">
        <f>IF(AND('341-CT'!$H$9=H1275,OR(LEFT(N1275,3)=$W$7,LEFT(O1275,3)=$W$7)),"x","")</f>
        <v/>
      </c>
      <c r="X1275" s="75" t="str">
        <f>IF(OR(TH!N1275=TH!$X$7,O1275=TH!$X$7),"x","")</f>
        <v/>
      </c>
      <c r="Y1275" s="75" t="str">
        <f>IF(AND(OR(N1275="131",O1275="131"),H1275='131-CT'!$H$9),"x","")</f>
        <v/>
      </c>
      <c r="Z1275" s="75"/>
      <c r="AA1275" s="75" t="str">
        <f>IF(AND(MONTH(E1275)='IN-NX'!$J$5,'IN-NX'!$D$7=D1275),"x","")</f>
        <v/>
      </c>
      <c r="AB1275" s="75" t="str">
        <f>IF(AND(OR(LEFT(TH!N1275,2)="15",LEFT(TH!O1275,2)="15"),LEFT(TH!O1275,3)&lt;&gt;"111",'152-CT'!$J$8=TH!F1275),"x","")</f>
        <v/>
      </c>
      <c r="AC1275" s="75" t="str">
        <f>IF(AND(OR(LEFT(TH!N1275,2)="15",LEFT(TH!O1275,2)="15"),TK!$E$7=TH!F1275),"x","")</f>
        <v/>
      </c>
      <c r="AD1275" s="75" t="str">
        <f>IF(AND(N1275="1521",MONTH(C1275)='BK-NL'!$M$11),"x","")</f>
        <v/>
      </c>
    </row>
    <row r="1276" spans="1:30" ht="16.5" customHeight="1">
      <c r="A1276" s="309" t="str">
        <f>IF(B1276&lt;&gt;"",IF(AND(B1276='IN-TC'!$S$4,OR(TH!N1276="1111",TH!O1276="1111")),TH!D1276,""),"")</f>
        <v/>
      </c>
      <c r="B1276" s="1242">
        <f t="shared" si="283"/>
        <v>5</v>
      </c>
      <c r="C1276" s="252">
        <v>42877</v>
      </c>
      <c r="D1276" s="252" t="s">
        <v>1404</v>
      </c>
      <c r="E1276" s="252">
        <f t="shared" si="282"/>
        <v>42877</v>
      </c>
      <c r="F1276" s="1055" t="s">
        <v>429</v>
      </c>
      <c r="G1276" s="1056" t="s">
        <v>1400</v>
      </c>
      <c r="H1276" s="735" t="s">
        <v>759</v>
      </c>
      <c r="I1276" s="371">
        <v>158340</v>
      </c>
      <c r="J1276" s="371">
        <v>2.65</v>
      </c>
      <c r="K1276" s="371">
        <f t="shared" si="284"/>
        <v>419601</v>
      </c>
      <c r="L1276" s="377">
        <v>22661</v>
      </c>
      <c r="M1276" s="933">
        <f t="shared" si="281"/>
        <v>9508578261</v>
      </c>
      <c r="N1276" s="977" t="s">
        <v>536</v>
      </c>
      <c r="O1276" s="977" t="s">
        <v>288</v>
      </c>
      <c r="P1276" s="75" t="str">
        <f>IF(AND('331-CT'!$E$7=TH!H1276,OR(N1276="331",O1276="331")),"x","")</f>
        <v/>
      </c>
      <c r="Q1276" s="75" t="str">
        <f>IF(AND(B1276='111'!$L$11,OR($N1276=$Q$7,$O1276=$Q$7)),"x","")</f>
        <v/>
      </c>
      <c r="R1276" s="75" t="str">
        <f>IF(AND($N1276=$Q$7,$B1276&lt;'111'!$L$11),"x","")</f>
        <v/>
      </c>
      <c r="S1276" s="75" t="str">
        <f>IF(AND($O1276=$Q$7,$B1276&lt;'111'!$L$11),"x","")</f>
        <v/>
      </c>
      <c r="T1276" s="75" t="str">
        <f>IF(ISERROR(FIND('112'!$M$9,G1276,1)),"",IF((AND(FIND('112'!$M$9,G1276,1)&gt;=1,B1276='112'!$K$9,OR($N1276='112'!$I$6,$O1276='112'!$I$6))),"x",""))</f>
        <v/>
      </c>
      <c r="U1276" s="75" t="str">
        <f>IF(ISERROR(FIND('112'!$M$9,G1276,1)),"",IF((AND(LEFT(G1276,2)=LEFT('112'!$M$9,2),B1276&lt;'112'!$K$9,$N1276='112'!$I$6)),"x",""))</f>
        <v/>
      </c>
      <c r="V1276" s="75" t="str">
        <f>IF(ISERROR(FIND('112'!$M$9,G1276,1)),"",IF((AND(RIGHT(G1276,2)=RIGHT('112'!$M$9,2),B1276&lt;'112'!$K$9,$O1276='112'!$I$6)),"x",""))</f>
        <v/>
      </c>
      <c r="W1276" s="75" t="str">
        <f>IF(AND('341-CT'!$H$9=H1276,OR(LEFT(N1276,3)=$W$7,LEFT(O1276,3)=$W$7)),"x","")</f>
        <v/>
      </c>
      <c r="X1276" s="75" t="str">
        <f>IF(OR(TH!N1276=TH!$X$7,O1276=TH!$X$7),"x","")</f>
        <v/>
      </c>
      <c r="Y1276" s="75" t="str">
        <f>IF(AND(OR(N1276="131",O1276="131"),H1276='131-CT'!$H$9),"x","")</f>
        <v/>
      </c>
      <c r="Z1276" s="75"/>
      <c r="AA1276" s="75" t="str">
        <f>IF(AND(MONTH(E1276)='IN-NX'!$J$5,'IN-NX'!$D$7=D1276),"x","")</f>
        <v/>
      </c>
      <c r="AB1276" s="75" t="str">
        <f>IF(AND(OR(LEFT(TH!N1276,2)="15",LEFT(TH!O1276,2)="15"),LEFT(TH!O1276,3)&lt;&gt;"111",'152-CT'!$J$8=TH!F1276),"x","")</f>
        <v/>
      </c>
      <c r="AC1276" s="75" t="str">
        <f>IF(AND(OR(LEFT(TH!N1276,2)="15",LEFT(TH!O1276,2)="15"),TK!$E$7=TH!F1276),"x","")</f>
        <v/>
      </c>
      <c r="AD1276" s="75" t="str">
        <f>IF(AND(N1276="1521",MONTH(C1276)='BK-NL'!$M$11),"x","")</f>
        <v/>
      </c>
    </row>
    <row r="1277" spans="1:30" ht="16.5" customHeight="1">
      <c r="A1277" s="309" t="str">
        <f>IF(B1277&lt;&gt;"",IF(AND(B1277='IN-TC'!$S$4,OR(TH!N1277="1111",TH!O1277="1111")),TH!D1277,""),"")</f>
        <v/>
      </c>
      <c r="B1277" s="1242">
        <f t="shared" si="283"/>
        <v>5</v>
      </c>
      <c r="C1277" s="252">
        <v>42878</v>
      </c>
      <c r="D1277" s="252" t="s">
        <v>1405</v>
      </c>
      <c r="E1277" s="252">
        <f t="shared" si="282"/>
        <v>42878</v>
      </c>
      <c r="F1277" s="1055" t="s">
        <v>1401</v>
      </c>
      <c r="G1277" s="1056" t="s">
        <v>1402</v>
      </c>
      <c r="H1277" s="735" t="s">
        <v>1403</v>
      </c>
      <c r="I1277" s="371">
        <v>2500</v>
      </c>
      <c r="J1277" s="371">
        <v>9.6</v>
      </c>
      <c r="K1277" s="371">
        <f t="shared" si="284"/>
        <v>24000</v>
      </c>
      <c r="L1277" s="377">
        <v>22661</v>
      </c>
      <c r="M1277" s="933">
        <f t="shared" si="281"/>
        <v>543864000</v>
      </c>
      <c r="N1277" s="977" t="s">
        <v>536</v>
      </c>
      <c r="O1277" s="977" t="s">
        <v>288</v>
      </c>
      <c r="P1277" s="75" t="str">
        <f>IF(AND('331-CT'!$E$7=TH!H1277,OR(N1277="331",O1277="331")),"x","")</f>
        <v/>
      </c>
      <c r="Q1277" s="75" t="str">
        <f>IF(AND(B1277='111'!$L$11,OR($N1277=$Q$7,$O1277=$Q$7)),"x","")</f>
        <v/>
      </c>
      <c r="R1277" s="75" t="str">
        <f>IF(AND($N1277=$Q$7,$B1277&lt;'111'!$L$11),"x","")</f>
        <v/>
      </c>
      <c r="S1277" s="75" t="str">
        <f>IF(AND($O1277=$Q$7,$B1277&lt;'111'!$L$11),"x","")</f>
        <v/>
      </c>
      <c r="T1277" s="75" t="str">
        <f>IF(ISERROR(FIND('112'!$M$9,G1277,1)),"",IF((AND(FIND('112'!$M$9,G1277,1)&gt;=1,B1277='112'!$K$9,OR($N1277='112'!$I$6,$O1277='112'!$I$6))),"x",""))</f>
        <v/>
      </c>
      <c r="U1277" s="75" t="str">
        <f>IF(ISERROR(FIND('112'!$M$9,G1277,1)),"",IF((AND(LEFT(G1277,2)=LEFT('112'!$M$9,2),B1277&lt;'112'!$K$9,$N1277='112'!$I$6)),"x",""))</f>
        <v/>
      </c>
      <c r="V1277" s="75" t="str">
        <f>IF(ISERROR(FIND('112'!$M$9,G1277,1)),"",IF((AND(RIGHT(G1277,2)=RIGHT('112'!$M$9,2),B1277&lt;'112'!$K$9,$O1277='112'!$I$6)),"x",""))</f>
        <v/>
      </c>
      <c r="W1277" s="75" t="str">
        <f>IF(AND('341-CT'!$H$9=H1277,OR(LEFT(N1277,3)=$W$7,LEFT(O1277,3)=$W$7)),"x","")</f>
        <v/>
      </c>
      <c r="X1277" s="75" t="str">
        <f>IF(OR(TH!N1277=TH!$X$7,O1277=TH!$X$7),"x","")</f>
        <v/>
      </c>
      <c r="Y1277" s="75" t="str">
        <f>IF(AND(OR(N1277="131",O1277="131"),H1277='131-CT'!$H$9),"x","")</f>
        <v/>
      </c>
      <c r="Z1277" s="75"/>
      <c r="AA1277" s="75" t="str">
        <f>IF(AND(MONTH(E1277)='IN-NX'!$J$5,'IN-NX'!$D$7=D1277),"x","")</f>
        <v/>
      </c>
      <c r="AB1277" s="75" t="str">
        <f>IF(AND(OR(LEFT(TH!N1277,2)="15",LEFT(TH!O1277,2)="15"),LEFT(TH!O1277,3)&lt;&gt;"111",'152-CT'!$J$8=TH!F1277),"x","")</f>
        <v/>
      </c>
      <c r="AC1277" s="75" t="str">
        <f>IF(AND(OR(LEFT(TH!N1277,2)="15",LEFT(TH!O1277,2)="15"),TK!$E$7=TH!F1277),"x","")</f>
        <v/>
      </c>
      <c r="AD1277" s="75" t="str">
        <f>IF(AND(N1277="1521",MONTH(C1277)='BK-NL'!$M$11),"x","")</f>
        <v/>
      </c>
    </row>
    <row r="1278" spans="1:30" ht="16.5" customHeight="1">
      <c r="A1278" s="309" t="str">
        <f>IF(B1278&lt;&gt;"",IF(AND(B1278='IN-TC'!$S$4,OR(TH!N1278="1111",TH!O1278="1111")),TH!D1278,""),"")</f>
        <v/>
      </c>
      <c r="B1278" s="1242">
        <f t="shared" si="283"/>
        <v>5</v>
      </c>
      <c r="C1278" s="252">
        <v>42878</v>
      </c>
      <c r="D1278" s="252" t="s">
        <v>1405</v>
      </c>
      <c r="E1278" s="252">
        <f t="shared" ref="E1278" si="285">C1278</f>
        <v>42878</v>
      </c>
      <c r="F1278" s="1055" t="s">
        <v>1588</v>
      </c>
      <c r="G1278" s="1056" t="s">
        <v>1402</v>
      </c>
      <c r="H1278" s="735" t="s">
        <v>1403</v>
      </c>
      <c r="I1278" s="371">
        <v>3000</v>
      </c>
      <c r="J1278" s="371">
        <v>9.5500000000000007</v>
      </c>
      <c r="K1278" s="371">
        <f t="shared" ref="K1278" si="286">I1278*J1278</f>
        <v>28650.000000000004</v>
      </c>
      <c r="L1278" s="377">
        <v>22661</v>
      </c>
      <c r="M1278" s="933">
        <f t="shared" si="281"/>
        <v>649237650</v>
      </c>
      <c r="N1278" s="977" t="s">
        <v>536</v>
      </c>
      <c r="O1278" s="977" t="s">
        <v>288</v>
      </c>
      <c r="P1278" s="75" t="str">
        <f>IF(AND('331-CT'!$E$7=TH!H1278,OR(N1278="331",O1278="331")),"x","")</f>
        <v/>
      </c>
      <c r="Q1278" s="75" t="str">
        <f>IF(AND(B1278='111'!$L$11,OR($N1278=$Q$7,$O1278=$Q$7)),"x","")</f>
        <v/>
      </c>
      <c r="R1278" s="75" t="str">
        <f>IF(AND($N1278=$Q$7,$B1278&lt;'111'!$L$11),"x","")</f>
        <v/>
      </c>
      <c r="S1278" s="75" t="str">
        <f>IF(AND($O1278=$Q$7,$B1278&lt;'111'!$L$11),"x","")</f>
        <v/>
      </c>
      <c r="T1278" s="75" t="str">
        <f>IF(ISERROR(FIND('112'!$M$9,G1278,1)),"",IF((AND(FIND('112'!$M$9,G1278,1)&gt;=1,B1278='112'!$K$9,OR($N1278='112'!$I$6,$O1278='112'!$I$6))),"x",""))</f>
        <v/>
      </c>
      <c r="U1278" s="75" t="str">
        <f>IF(ISERROR(FIND('112'!$M$9,G1278,1)),"",IF((AND(LEFT(G1278,2)=LEFT('112'!$M$9,2),B1278&lt;'112'!$K$9,$N1278='112'!$I$6)),"x",""))</f>
        <v/>
      </c>
      <c r="V1278" s="75" t="str">
        <f>IF(ISERROR(FIND('112'!$M$9,G1278,1)),"",IF((AND(RIGHT(G1278,2)=RIGHT('112'!$M$9,2),B1278&lt;'112'!$K$9,$O1278='112'!$I$6)),"x",""))</f>
        <v/>
      </c>
      <c r="W1278" s="75" t="str">
        <f>IF(AND('341-CT'!$H$9=H1278,OR(LEFT(N1278,3)=$W$7,LEFT(O1278,3)=$W$7)),"x","")</f>
        <v/>
      </c>
      <c r="X1278" s="75" t="str">
        <f>IF(OR(TH!N1278=TH!$X$7,O1278=TH!$X$7),"x","")</f>
        <v/>
      </c>
      <c r="Y1278" s="75" t="str">
        <f>IF(AND(OR(N1278="131",O1278="131"),H1278='131-CT'!$H$9),"x","")</f>
        <v/>
      </c>
      <c r="Z1278" s="75"/>
      <c r="AA1278" s="75" t="str">
        <f>IF(AND(MONTH(E1278)='IN-NX'!$J$5,'IN-NX'!$D$7=D1278),"x","")</f>
        <v/>
      </c>
      <c r="AB1278" s="75" t="str">
        <f>IF(AND(OR(LEFT(TH!N1278,2)="15",LEFT(TH!O1278,2)="15"),LEFT(TH!O1278,3)&lt;&gt;"111",'152-CT'!$J$8=TH!F1278),"x","")</f>
        <v/>
      </c>
      <c r="AC1278" s="75" t="str">
        <f>IF(AND(OR(LEFT(TH!N1278,2)="15",LEFT(TH!O1278,2)="15"),TK!$E$7=TH!F1278),"x","")</f>
        <v/>
      </c>
      <c r="AD1278" s="75" t="str">
        <f>IF(AND(N1278="1521",MONTH(C1278)='BK-NL'!$M$11),"x","")</f>
        <v/>
      </c>
    </row>
    <row r="1279" spans="1:30" ht="16.5" customHeight="1">
      <c r="A1279" s="309" t="str">
        <f>IF(B1279&lt;&gt;"",IF(AND(B1279='IN-TC'!$S$4,OR(TH!N1279="1111",TH!O1279="1111")),TH!D1279,""),"")</f>
        <v/>
      </c>
      <c r="B1279" s="1242">
        <f t="shared" si="283"/>
        <v>5</v>
      </c>
      <c r="C1279" s="252">
        <v>42881</v>
      </c>
      <c r="D1279" s="252" t="s">
        <v>1417</v>
      </c>
      <c r="E1279" s="252">
        <f>C1279</f>
        <v>42881</v>
      </c>
      <c r="F1279" s="1082" t="s">
        <v>801</v>
      </c>
      <c r="G1279" s="1056" t="s">
        <v>1418</v>
      </c>
      <c r="H1279" s="735" t="s">
        <v>1101</v>
      </c>
      <c r="I1279" s="371">
        <v>10</v>
      </c>
      <c r="J1279" s="371">
        <v>160000</v>
      </c>
      <c r="K1279" s="371"/>
      <c r="L1279" s="377"/>
      <c r="M1279" s="933">
        <f>ROUND(I1279*J1279,0)</f>
        <v>1600000</v>
      </c>
      <c r="N1279" s="977" t="s">
        <v>536</v>
      </c>
      <c r="O1279" s="977" t="s">
        <v>286</v>
      </c>
      <c r="P1279" s="75" t="str">
        <f>IF(AND('331-CT'!$E$7=TH!H1279,OR(N1279="331",O1279="331")),"x","")</f>
        <v/>
      </c>
      <c r="Q1279" s="75" t="str">
        <f>IF(AND(B1279='111'!$L$11,OR($N1279=$Q$7,$O1279=$Q$7)),"x","")</f>
        <v/>
      </c>
      <c r="R1279" s="75" t="str">
        <f>IF(AND($N1279=$Q$7,$B1279&lt;'111'!$L$11),"x","")</f>
        <v/>
      </c>
      <c r="S1279" s="75" t="str">
        <f>IF(AND($O1279=$Q$7,$B1279&lt;'111'!$L$11),"x","")</f>
        <v/>
      </c>
      <c r="T1279" s="75" t="str">
        <f>IF(ISERROR(FIND('112'!$M$9,G1279,1)),"",IF((AND(FIND('112'!$M$9,G1279,1)&gt;=1,B1279='112'!$K$9,OR($N1279='112'!$I$6,$O1279='112'!$I$6))),"x",""))</f>
        <v/>
      </c>
      <c r="U1279" s="75" t="str">
        <f>IF(ISERROR(FIND('112'!$M$9,G1279,1)),"",IF((AND(LEFT(G1279,2)=LEFT('112'!$M$9,2),B1279&lt;'112'!$K$9,$N1279='112'!$I$6)),"x",""))</f>
        <v/>
      </c>
      <c r="V1279" s="75" t="str">
        <f>IF(ISERROR(FIND('112'!$M$9,G1279,1)),"",IF((AND(RIGHT(G1279,2)=RIGHT('112'!$M$9,2),B1279&lt;'112'!$K$9,$O1279='112'!$I$6)),"x",""))</f>
        <v/>
      </c>
      <c r="W1279" s="75" t="str">
        <f>IF(AND('341-CT'!$H$9=H1279,OR(LEFT(N1279,3)=$W$7,LEFT(O1279,3)=$W$7)),"x","")</f>
        <v/>
      </c>
      <c r="X1279" s="75" t="str">
        <f>IF(OR(TH!N1279=TH!$X$7,O1279=TH!$X$7),"x","")</f>
        <v/>
      </c>
      <c r="Y1279" s="75" t="str">
        <f>IF(AND(OR(N1279="131",O1279="131"),H1279='131-CT'!$H$9),"x","")</f>
        <v/>
      </c>
      <c r="Z1279" s="75"/>
      <c r="AA1279" s="75" t="str">
        <f>IF(AND(MONTH(E1279)='IN-NX'!$J$5,'IN-NX'!$D$7=D1279),"x","")</f>
        <v/>
      </c>
      <c r="AB1279" s="75" t="str">
        <f>IF(AND(OR(LEFT(TH!N1279,2)="15",LEFT(TH!O1279,2)="15"),LEFT(TH!O1279,3)&lt;&gt;"111",'152-CT'!$J$8=TH!F1279),"x","")</f>
        <v/>
      </c>
      <c r="AC1279" s="75" t="str">
        <f>IF(AND(OR(LEFT(TH!N1279,2)="15",LEFT(TH!O1279,2)="15"),TK!$E$7=TH!F1279),"x","")</f>
        <v/>
      </c>
      <c r="AD1279" s="75" t="str">
        <f>IF(AND(N1279="1521",MONTH(C1279)='BK-NL'!$M$11),"x","")</f>
        <v/>
      </c>
    </row>
    <row r="1280" spans="1:30" ht="16.5" customHeight="1">
      <c r="A1280" s="309" t="str">
        <f>IF(B1280&lt;&gt;"",IF(AND(B1280='IN-TC'!$S$4,OR(TH!N1280="1111",TH!O1280="1111")),TH!D1280,""),"")</f>
        <v/>
      </c>
      <c r="B1280" s="1242">
        <f t="shared" si="283"/>
        <v>5</v>
      </c>
      <c r="C1280" s="252">
        <v>42881</v>
      </c>
      <c r="D1280" s="252" t="s">
        <v>1417</v>
      </c>
      <c r="E1280" s="252">
        <f>C1280</f>
        <v>42881</v>
      </c>
      <c r="F1280" s="1082" t="s">
        <v>1099</v>
      </c>
      <c r="G1280" s="1056" t="s">
        <v>1418</v>
      </c>
      <c r="H1280" s="735" t="s">
        <v>1101</v>
      </c>
      <c r="I1280" s="371"/>
      <c r="J1280" s="371"/>
      <c r="K1280" s="371"/>
      <c r="L1280" s="377"/>
      <c r="M1280" s="933">
        <v>160000</v>
      </c>
      <c r="N1280" s="977" t="s">
        <v>536</v>
      </c>
      <c r="O1280" s="977" t="s">
        <v>595</v>
      </c>
      <c r="P1280" s="75" t="str">
        <f>IF(AND('331-CT'!$E$7=TH!H1280,OR(N1280="331",O1280="331")),"x","")</f>
        <v/>
      </c>
      <c r="Q1280" s="75" t="str">
        <f>IF(AND(B1280='111'!$L$11,OR($N1280=$Q$7,$O1280=$Q$7)),"x","")</f>
        <v/>
      </c>
      <c r="R1280" s="75" t="str">
        <f>IF(AND($N1280=$Q$7,$B1280&lt;'111'!$L$11),"x","")</f>
        <v/>
      </c>
      <c r="S1280" s="75" t="str">
        <f>IF(AND($O1280=$Q$7,$B1280&lt;'111'!$L$11),"x","")</f>
        <v/>
      </c>
      <c r="T1280" s="75" t="str">
        <f>IF(ISERROR(FIND('112'!$M$9,G1280,1)),"",IF((AND(FIND('112'!$M$9,G1280,1)&gt;=1,B1280='112'!$K$9,OR($N1280='112'!$I$6,$O1280='112'!$I$6))),"x",""))</f>
        <v/>
      </c>
      <c r="U1280" s="75" t="str">
        <f>IF(ISERROR(FIND('112'!$M$9,G1280,1)),"",IF((AND(LEFT(G1280,2)=LEFT('112'!$M$9,2),B1280&lt;'112'!$K$9,$N1280='112'!$I$6)),"x",""))</f>
        <v/>
      </c>
      <c r="V1280" s="75" t="str">
        <f>IF(ISERROR(FIND('112'!$M$9,G1280,1)),"",IF((AND(RIGHT(G1280,2)=RIGHT('112'!$M$9,2),B1280&lt;'112'!$K$9,$O1280='112'!$I$6)),"x",""))</f>
        <v/>
      </c>
      <c r="W1280" s="75" t="str">
        <f>IF(AND('341-CT'!$H$9=H1280,OR(LEFT(N1280,3)=$W$7,LEFT(O1280,3)=$W$7)),"x","")</f>
        <v/>
      </c>
      <c r="X1280" s="75" t="str">
        <f>IF(OR(TH!N1280=TH!$X$7,O1280=TH!$X$7),"x","")</f>
        <v/>
      </c>
      <c r="Y1280" s="75" t="str">
        <f>IF(AND(OR(N1280="131",O1280="131"),H1280='131-CT'!$H$9),"x","")</f>
        <v/>
      </c>
      <c r="Z1280" s="75"/>
      <c r="AA1280" s="75" t="str">
        <f>IF(AND(MONTH(E1280)='IN-NX'!$J$5,'IN-NX'!$D$7=D1280),"x","")</f>
        <v/>
      </c>
      <c r="AB1280" s="75" t="str">
        <f>IF(AND(OR(LEFT(TH!N1280,2)="15",LEFT(TH!O1280,2)="15"),LEFT(TH!O1280,3)&lt;&gt;"111",'152-CT'!$J$8=TH!F1280),"x","")</f>
        <v/>
      </c>
      <c r="AC1280" s="75" t="str">
        <f>IF(AND(OR(LEFT(TH!N1280,2)="15",LEFT(TH!O1280,2)="15"),TK!$E$7=TH!F1280),"x","")</f>
        <v/>
      </c>
      <c r="AD1280" s="75" t="str">
        <f>IF(AND(N1280="1521",MONTH(C1280)='BK-NL'!$M$11),"x","")</f>
        <v/>
      </c>
    </row>
    <row r="1281" spans="1:32" ht="16.5" customHeight="1">
      <c r="A1281" s="309" t="str">
        <f>IF(B1281&lt;&gt;"",IF(AND(B1281='IN-TC'!$S$4,OR(TH!N1281="1111",TH!O1281="1111")),TH!D1281,""),"")</f>
        <v/>
      </c>
      <c r="B1281" s="1242">
        <f t="shared" si="283"/>
        <v>5</v>
      </c>
      <c r="C1281" s="252">
        <v>42881</v>
      </c>
      <c r="D1281" s="252" t="s">
        <v>1451</v>
      </c>
      <c r="E1281" s="252">
        <f t="shared" ref="E1281:E1282" si="287">C1281</f>
        <v>42881</v>
      </c>
      <c r="F1281" s="1055" t="s">
        <v>429</v>
      </c>
      <c r="G1281" s="1056" t="s">
        <v>1453</v>
      </c>
      <c r="H1281" s="735" t="s">
        <v>759</v>
      </c>
      <c r="I1281" s="371">
        <v>158340</v>
      </c>
      <c r="J1281" s="371">
        <v>2.65</v>
      </c>
      <c r="K1281" s="371">
        <f t="shared" ref="K1281:K1282" si="288">I1281*J1281</f>
        <v>419601</v>
      </c>
      <c r="L1281" s="377">
        <v>22661</v>
      </c>
      <c r="M1281" s="933">
        <f t="shared" ref="M1281:M1435" si="289">ROUND(K1281*L1281,0)</f>
        <v>9508578261</v>
      </c>
      <c r="N1281" s="977" t="s">
        <v>536</v>
      </c>
      <c r="O1281" s="977" t="s">
        <v>288</v>
      </c>
      <c r="P1281" s="75" t="str">
        <f>IF(AND('331-CT'!$E$7=TH!H1281,OR(N1281="331",O1281="331")),"x","")</f>
        <v/>
      </c>
      <c r="Q1281" s="75" t="str">
        <f>IF(AND(B1281='111'!$L$11,OR($N1281=$Q$7,$O1281=$Q$7)),"x","")</f>
        <v/>
      </c>
      <c r="R1281" s="75" t="str">
        <f>IF(AND($N1281=$Q$7,$B1281&lt;'111'!$L$11),"x","")</f>
        <v/>
      </c>
      <c r="S1281" s="75" t="str">
        <f>IF(AND($O1281=$Q$7,$B1281&lt;'111'!$L$11),"x","")</f>
        <v/>
      </c>
      <c r="T1281" s="75" t="str">
        <f>IF(ISERROR(FIND('112'!$M$9,G1281,1)),"",IF((AND(FIND('112'!$M$9,G1281,1)&gt;=1,B1281='112'!$K$9,OR($N1281='112'!$I$6,$O1281='112'!$I$6))),"x",""))</f>
        <v/>
      </c>
      <c r="U1281" s="75" t="str">
        <f>IF(ISERROR(FIND('112'!$M$9,G1281,1)),"",IF((AND(LEFT(G1281,2)=LEFT('112'!$M$9,2),B1281&lt;'112'!$K$9,$N1281='112'!$I$6)),"x",""))</f>
        <v/>
      </c>
      <c r="V1281" s="75" t="str">
        <f>IF(ISERROR(FIND('112'!$M$9,G1281,1)),"",IF((AND(RIGHT(G1281,2)=RIGHT('112'!$M$9,2),B1281&lt;'112'!$K$9,$O1281='112'!$I$6)),"x",""))</f>
        <v/>
      </c>
      <c r="W1281" s="75" t="str">
        <f>IF(AND('341-CT'!$H$9=H1281,OR(LEFT(N1281,3)=$W$7,LEFT(O1281,3)=$W$7)),"x","")</f>
        <v/>
      </c>
      <c r="X1281" s="75" t="str">
        <f>IF(OR(TH!N1281=TH!$X$7,O1281=TH!$X$7),"x","")</f>
        <v/>
      </c>
      <c r="Y1281" s="75" t="str">
        <f>IF(AND(OR(N1281="131",O1281="131"),H1281='131-CT'!$H$9),"x","")</f>
        <v/>
      </c>
      <c r="Z1281" s="75"/>
      <c r="AA1281" s="75" t="str">
        <f>IF(AND(MONTH(E1281)='IN-NX'!$J$5,'IN-NX'!$D$7=D1281),"x","")</f>
        <v/>
      </c>
      <c r="AB1281" s="75" t="str">
        <f>IF(AND(OR(LEFT(TH!N1281,2)="15",LEFT(TH!O1281,2)="15"),LEFT(TH!O1281,3)&lt;&gt;"111",'152-CT'!$J$8=TH!F1281),"x","")</f>
        <v/>
      </c>
      <c r="AC1281" s="75" t="str">
        <f>IF(AND(OR(LEFT(TH!N1281,2)="15",LEFT(TH!O1281,2)="15"),TK!$E$7=TH!F1281),"x","")</f>
        <v/>
      </c>
      <c r="AD1281" s="75" t="str">
        <f>IF(AND(N1281="1521",MONTH(C1281)='BK-NL'!$M$11),"x","")</f>
        <v/>
      </c>
    </row>
    <row r="1282" spans="1:32" ht="16.5" customHeight="1">
      <c r="A1282" s="309" t="str">
        <f>IF(B1282&lt;&gt;"",IF(AND(B1282='IN-TC'!$S$4,OR(TH!N1282="1111",TH!O1282="1111")),TH!D1282,""),"")</f>
        <v/>
      </c>
      <c r="B1282" s="1242">
        <f t="shared" si="283"/>
        <v>5</v>
      </c>
      <c r="C1282" s="252">
        <v>42882</v>
      </c>
      <c r="D1282" s="252" t="s">
        <v>1452</v>
      </c>
      <c r="E1282" s="252">
        <f t="shared" si="287"/>
        <v>42882</v>
      </c>
      <c r="F1282" s="1055" t="s">
        <v>429</v>
      </c>
      <c r="G1282" s="1056" t="s">
        <v>1454</v>
      </c>
      <c r="H1282" s="735" t="s">
        <v>759</v>
      </c>
      <c r="I1282" s="371">
        <v>105560</v>
      </c>
      <c r="J1282" s="371">
        <v>2.65</v>
      </c>
      <c r="K1282" s="371">
        <f t="shared" si="288"/>
        <v>279734</v>
      </c>
      <c r="L1282" s="377">
        <v>22661</v>
      </c>
      <c r="M1282" s="933">
        <f t="shared" si="289"/>
        <v>6339052174</v>
      </c>
      <c r="N1282" s="977" t="s">
        <v>536</v>
      </c>
      <c r="O1282" s="977" t="s">
        <v>288</v>
      </c>
      <c r="P1282" s="75" t="str">
        <f>IF(AND('331-CT'!$E$7=TH!H1282,OR(N1282="331",O1282="331")),"x","")</f>
        <v/>
      </c>
      <c r="Q1282" s="75" t="str">
        <f>IF(AND(B1282='111'!$L$11,OR($N1282=$Q$7,$O1282=$Q$7)),"x","")</f>
        <v/>
      </c>
      <c r="R1282" s="75" t="str">
        <f>IF(AND($N1282=$Q$7,$B1282&lt;'111'!$L$11),"x","")</f>
        <v/>
      </c>
      <c r="S1282" s="75" t="str">
        <f>IF(AND($O1282=$Q$7,$B1282&lt;'111'!$L$11),"x","")</f>
        <v/>
      </c>
      <c r="T1282" s="75" t="str">
        <f>IF(ISERROR(FIND('112'!$M$9,G1282,1)),"",IF((AND(FIND('112'!$M$9,G1282,1)&gt;=1,B1282='112'!$K$9,OR($N1282='112'!$I$6,$O1282='112'!$I$6))),"x",""))</f>
        <v/>
      </c>
      <c r="U1282" s="75" t="str">
        <f>IF(ISERROR(FIND('112'!$M$9,G1282,1)),"",IF((AND(LEFT(G1282,2)=LEFT('112'!$M$9,2),B1282&lt;'112'!$K$9,$N1282='112'!$I$6)),"x",""))</f>
        <v/>
      </c>
      <c r="V1282" s="75" t="str">
        <f>IF(ISERROR(FIND('112'!$M$9,G1282,1)),"",IF((AND(RIGHT(G1282,2)=RIGHT('112'!$M$9,2),B1282&lt;'112'!$K$9,$O1282='112'!$I$6)),"x",""))</f>
        <v/>
      </c>
      <c r="W1282" s="75" t="str">
        <f>IF(AND('341-CT'!$H$9=H1282,OR(LEFT(N1282,3)=$W$7,LEFT(O1282,3)=$W$7)),"x","")</f>
        <v/>
      </c>
      <c r="X1282" s="75" t="str">
        <f>IF(OR(TH!N1282=TH!$X$7,O1282=TH!$X$7),"x","")</f>
        <v/>
      </c>
      <c r="Y1282" s="75" t="str">
        <f>IF(AND(OR(N1282="131",O1282="131"),H1282='131-CT'!$H$9),"x","")</f>
        <v/>
      </c>
      <c r="Z1282" s="75"/>
      <c r="AA1282" s="75" t="str">
        <f>IF(AND(MONTH(E1282)='IN-NX'!$J$5,'IN-NX'!$D$7=D1282),"x","")</f>
        <v/>
      </c>
      <c r="AB1282" s="75" t="str">
        <f>IF(AND(OR(LEFT(TH!N1282,2)="15",LEFT(TH!O1282,2)="15"),LEFT(TH!O1282,3)&lt;&gt;"111",'152-CT'!$J$8=TH!F1282),"x","")</f>
        <v/>
      </c>
      <c r="AC1282" s="75" t="str">
        <f>IF(AND(OR(LEFT(TH!N1282,2)="15",LEFT(TH!O1282,2)="15"),TK!$E$7=TH!F1282),"x","")</f>
        <v/>
      </c>
      <c r="AD1282" s="75" t="str">
        <f>IF(AND(N1282="1521",MONTH(C1282)='BK-NL'!$M$11),"x","")</f>
        <v/>
      </c>
    </row>
    <row r="1283" spans="1:32" s="1053" customFormat="1" ht="16.5" customHeight="1">
      <c r="A1283" s="309" t="str">
        <f>IF(B1283&lt;&gt;"",IF(AND(B1283='IN-TC'!$S$4,OR(TH!N1283="1111",TH!O1283="1111")),TH!D1283,""),"")</f>
        <v/>
      </c>
      <c r="B1283" s="1242">
        <f t="shared" ref="B1283:B1289" si="290">IF(C1283&lt;&gt;"",MONTH(C1283),"")</f>
        <v>5</v>
      </c>
      <c r="C1283" s="217">
        <v>42860</v>
      </c>
      <c r="D1283" s="217" t="s">
        <v>815</v>
      </c>
      <c r="E1283" s="217">
        <f t="shared" ref="E1283" si="291">C1283</f>
        <v>42860</v>
      </c>
      <c r="F1283" s="960" t="s">
        <v>429</v>
      </c>
      <c r="G1283" s="739" t="s">
        <v>1592</v>
      </c>
      <c r="H1283" s="311" t="s">
        <v>623</v>
      </c>
      <c r="I1283" s="373">
        <v>79170</v>
      </c>
      <c r="J1283" s="373">
        <v>59500</v>
      </c>
      <c r="K1283" s="373"/>
      <c r="L1283" s="379"/>
      <c r="M1283" s="927">
        <f t="shared" ref="M1283:M1294" si="292">ROUND(I1283*J1283,0)</f>
        <v>4710615000</v>
      </c>
      <c r="N1283" s="935" t="s">
        <v>274</v>
      </c>
      <c r="O1283" s="935" t="s">
        <v>8</v>
      </c>
      <c r="P1283" s="75" t="str">
        <f>IF(AND('331-CT'!$E$7=TH!H1283,OR(N1283="331",O1283="331")),"x","")</f>
        <v/>
      </c>
      <c r="Q1283" s="75" t="str">
        <f>IF(AND(B1283='111'!$L$11,OR($N1283=$Q$7,$O1283=$Q$7)),"x","")</f>
        <v/>
      </c>
      <c r="R1283" s="75" t="str">
        <f>IF(AND($N1283=$Q$7,$B1283&lt;'111'!$L$11),"x","")</f>
        <v/>
      </c>
      <c r="S1283" s="75" t="str">
        <f>IF(AND($O1283=$Q$7,$B1283&lt;'111'!$L$11),"x","")</f>
        <v/>
      </c>
      <c r="T1283" s="75" t="str">
        <f>IF(ISERROR(FIND('112'!$M$9,G1283,1)),"",IF((AND(FIND('112'!$M$9,G1283,1)&gt;=1,B1283='112'!$K$9,OR($N1283='112'!$I$6,$O1283='112'!$I$6))),"x",""))</f>
        <v/>
      </c>
      <c r="U1283" s="75" t="str">
        <f>IF(ISERROR(FIND('112'!$M$9,G1283,1)),"",IF((AND(LEFT(G1283,2)=LEFT('112'!$M$9,2),B1283&lt;'112'!$K$9,$N1283='112'!$I$6)),"x",""))</f>
        <v/>
      </c>
      <c r="V1283" s="75" t="str">
        <f>IF(ISERROR(FIND('112'!$M$9,G1283,1)),"",IF((AND(RIGHT(G1283,2)=RIGHT('112'!$M$9,2),B1283&lt;'112'!$K$9,$O1283='112'!$I$6)),"x",""))</f>
        <v/>
      </c>
      <c r="W1283" s="75" t="str">
        <f>IF(AND('341-CT'!$H$9=H1283,OR(LEFT(N1283,3)=$W$7,LEFT(O1283,3)=$W$7)),"x","")</f>
        <v/>
      </c>
      <c r="X1283" s="75" t="str">
        <f>IF(OR(TH!N1283=TH!$X$7,O1283=TH!$X$7),"x","")</f>
        <v/>
      </c>
      <c r="Y1283" s="75" t="str">
        <f>IF(AND(OR(N1283="131",O1283="131"),H1283='131-CT'!$H$9),"x","")</f>
        <v/>
      </c>
      <c r="Z1283" s="75"/>
      <c r="AA1283" s="75" t="str">
        <f>IF(AND(MONTH(E1283)='IN-NX'!$J$5,'IN-NX'!$D$7=D1283),"x","")</f>
        <v/>
      </c>
      <c r="AB1283" s="75" t="str">
        <f>IF(AND(OR(LEFT(TH!N1283,2)="15",LEFT(TH!O1283,2)="15"),LEFT(TH!O1283,3)&lt;&gt;"111",'152-CT'!$J$8=TH!F1283),"x","")</f>
        <v/>
      </c>
      <c r="AC1283" s="75" t="str">
        <f>IF(AND(OR(LEFT(TH!N1283,2)="15",LEFT(TH!O1283,2)="15"),TK!$E$7=TH!F1283),"x","")</f>
        <v/>
      </c>
      <c r="AD1283" s="75" t="str">
        <f>IF(AND(N1283="1521",MONTH(C1283)='BK-NL'!$M$11),"x","")</f>
        <v/>
      </c>
      <c r="AF1283" s="1054"/>
    </row>
    <row r="1284" spans="1:32" s="1053" customFormat="1" ht="16.5" customHeight="1">
      <c r="A1284" s="309" t="str">
        <f>IF(B1284&lt;&gt;"",IF(AND(B1284='IN-TC'!$S$4,OR(TH!N1284="1111",TH!O1284="1111")),TH!D1284,""),"")</f>
        <v/>
      </c>
      <c r="B1284" s="1242">
        <f t="shared" si="290"/>
        <v>5</v>
      </c>
      <c r="C1284" s="217">
        <v>42865</v>
      </c>
      <c r="D1284" s="217" t="s">
        <v>997</v>
      </c>
      <c r="E1284" s="217">
        <f t="shared" ref="E1284:E1289" si="293">C1284</f>
        <v>42865</v>
      </c>
      <c r="F1284" s="960" t="s">
        <v>429</v>
      </c>
      <c r="G1284" s="739" t="s">
        <v>1593</v>
      </c>
      <c r="H1284" s="311" t="s">
        <v>623</v>
      </c>
      <c r="I1284" s="373">
        <v>79170</v>
      </c>
      <c r="J1284" s="373">
        <v>59500</v>
      </c>
      <c r="K1284" s="373"/>
      <c r="L1284" s="379"/>
      <c r="M1284" s="927">
        <f t="shared" si="292"/>
        <v>4710615000</v>
      </c>
      <c r="N1284" s="935" t="s">
        <v>274</v>
      </c>
      <c r="O1284" s="935" t="s">
        <v>8</v>
      </c>
      <c r="P1284" s="75" t="str">
        <f>IF(AND('331-CT'!$E$7=TH!H1284,OR(N1284="331",O1284="331")),"x","")</f>
        <v/>
      </c>
      <c r="Q1284" s="75" t="str">
        <f>IF(AND(B1284='111'!$L$11,OR($N1284=$Q$7,$O1284=$Q$7)),"x","")</f>
        <v/>
      </c>
      <c r="R1284" s="75" t="str">
        <f>IF(AND($N1284=$Q$7,$B1284&lt;'111'!$L$11),"x","")</f>
        <v/>
      </c>
      <c r="S1284" s="75" t="str">
        <f>IF(AND($O1284=$Q$7,$B1284&lt;'111'!$L$11),"x","")</f>
        <v/>
      </c>
      <c r="T1284" s="75" t="str">
        <f>IF(ISERROR(FIND('112'!$M$9,G1284,1)),"",IF((AND(FIND('112'!$M$9,G1284,1)&gt;=1,B1284='112'!$K$9,OR($N1284='112'!$I$6,$O1284='112'!$I$6))),"x",""))</f>
        <v/>
      </c>
      <c r="U1284" s="75" t="str">
        <f>IF(ISERROR(FIND('112'!$M$9,G1284,1)),"",IF((AND(LEFT(G1284,2)=LEFT('112'!$M$9,2),B1284&lt;'112'!$K$9,$N1284='112'!$I$6)),"x",""))</f>
        <v/>
      </c>
      <c r="V1284" s="75" t="str">
        <f>IF(ISERROR(FIND('112'!$M$9,G1284,1)),"",IF((AND(RIGHT(G1284,2)=RIGHT('112'!$M$9,2),B1284&lt;'112'!$K$9,$O1284='112'!$I$6)),"x",""))</f>
        <v/>
      </c>
      <c r="W1284" s="75" t="str">
        <f>IF(AND('341-CT'!$H$9=H1284,OR(LEFT(N1284,3)=$W$7,LEFT(O1284,3)=$W$7)),"x","")</f>
        <v/>
      </c>
      <c r="X1284" s="75" t="str">
        <f>IF(OR(TH!N1284=TH!$X$7,O1284=TH!$X$7),"x","")</f>
        <v/>
      </c>
      <c r="Y1284" s="75" t="str">
        <f>IF(AND(OR(N1284="131",O1284="131"),H1284='131-CT'!$H$9),"x","")</f>
        <v/>
      </c>
      <c r="Z1284" s="75"/>
      <c r="AA1284" s="75" t="str">
        <f>IF(AND(MONTH(E1284)='IN-NX'!$J$5,'IN-NX'!$D$7=D1284),"x","")</f>
        <v/>
      </c>
      <c r="AB1284" s="75" t="str">
        <f>IF(AND(OR(LEFT(TH!N1284,2)="15",LEFT(TH!O1284,2)="15"),LEFT(TH!O1284,3)&lt;&gt;"111",'152-CT'!$J$8=TH!F1284),"x","")</f>
        <v/>
      </c>
      <c r="AC1284" s="75" t="str">
        <f>IF(AND(OR(LEFT(TH!N1284,2)="15",LEFT(TH!O1284,2)="15"),TK!$E$7=TH!F1284),"x","")</f>
        <v/>
      </c>
      <c r="AD1284" s="75" t="str">
        <f>IF(AND(N1284="1521",MONTH(C1284)='BK-NL'!$M$11),"x","")</f>
        <v/>
      </c>
      <c r="AF1284" s="1054"/>
    </row>
    <row r="1285" spans="1:32" s="1053" customFormat="1" ht="16.5" customHeight="1">
      <c r="A1285" s="309" t="str">
        <f>IF(B1285&lt;&gt;"",IF(AND(B1285='IN-TC'!$S$4,OR(TH!N1285="1111",TH!O1285="1111")),TH!D1285,""),"")</f>
        <v/>
      </c>
      <c r="B1285" s="1242">
        <f t="shared" si="290"/>
        <v>5</v>
      </c>
      <c r="C1285" s="217">
        <v>42870</v>
      </c>
      <c r="D1285" s="217" t="s">
        <v>1123</v>
      </c>
      <c r="E1285" s="217">
        <f t="shared" si="293"/>
        <v>42870</v>
      </c>
      <c r="F1285" s="960" t="s">
        <v>429</v>
      </c>
      <c r="G1285" s="739" t="s">
        <v>1594</v>
      </c>
      <c r="H1285" s="311" t="s">
        <v>623</v>
      </c>
      <c r="I1285" s="373">
        <v>79170</v>
      </c>
      <c r="J1285" s="373">
        <v>59500</v>
      </c>
      <c r="K1285" s="373"/>
      <c r="L1285" s="379"/>
      <c r="M1285" s="927">
        <f t="shared" si="292"/>
        <v>4710615000</v>
      </c>
      <c r="N1285" s="935" t="s">
        <v>274</v>
      </c>
      <c r="O1285" s="935" t="s">
        <v>8</v>
      </c>
      <c r="P1285" s="75" t="str">
        <f>IF(AND('331-CT'!$E$7=TH!H1285,OR(N1285="331",O1285="331")),"x","")</f>
        <v/>
      </c>
      <c r="Q1285" s="75" t="str">
        <f>IF(AND(B1285='111'!$L$11,OR($N1285=$Q$7,$O1285=$Q$7)),"x","")</f>
        <v/>
      </c>
      <c r="R1285" s="75" t="str">
        <f>IF(AND($N1285=$Q$7,$B1285&lt;'111'!$L$11),"x","")</f>
        <v/>
      </c>
      <c r="S1285" s="75" t="str">
        <f>IF(AND($O1285=$Q$7,$B1285&lt;'111'!$L$11),"x","")</f>
        <v/>
      </c>
      <c r="T1285" s="75" t="str">
        <f>IF(ISERROR(FIND('112'!$M$9,G1285,1)),"",IF((AND(FIND('112'!$M$9,G1285,1)&gt;=1,B1285='112'!$K$9,OR($N1285='112'!$I$6,$O1285='112'!$I$6))),"x",""))</f>
        <v/>
      </c>
      <c r="U1285" s="75" t="str">
        <f>IF(ISERROR(FIND('112'!$M$9,G1285,1)),"",IF((AND(LEFT(G1285,2)=LEFT('112'!$M$9,2),B1285&lt;'112'!$K$9,$N1285='112'!$I$6)),"x",""))</f>
        <v/>
      </c>
      <c r="V1285" s="75" t="str">
        <f>IF(ISERROR(FIND('112'!$M$9,G1285,1)),"",IF((AND(RIGHT(G1285,2)=RIGHT('112'!$M$9,2),B1285&lt;'112'!$K$9,$O1285='112'!$I$6)),"x",""))</f>
        <v/>
      </c>
      <c r="W1285" s="75" t="str">
        <f>IF(AND('341-CT'!$H$9=H1285,OR(LEFT(N1285,3)=$W$7,LEFT(O1285,3)=$W$7)),"x","")</f>
        <v/>
      </c>
      <c r="X1285" s="75" t="str">
        <f>IF(OR(TH!N1285=TH!$X$7,O1285=TH!$X$7),"x","")</f>
        <v/>
      </c>
      <c r="Y1285" s="75" t="str">
        <f>IF(AND(OR(N1285="131",O1285="131"),H1285='131-CT'!$H$9),"x","")</f>
        <v/>
      </c>
      <c r="Z1285" s="75"/>
      <c r="AA1285" s="75" t="str">
        <f>IF(AND(MONTH(E1285)='IN-NX'!$J$5,'IN-NX'!$D$7=D1285),"x","")</f>
        <v/>
      </c>
      <c r="AB1285" s="75" t="str">
        <f>IF(AND(OR(LEFT(TH!N1285,2)="15",LEFT(TH!O1285,2)="15"),LEFT(TH!O1285,3)&lt;&gt;"111",'152-CT'!$J$8=TH!F1285),"x","")</f>
        <v/>
      </c>
      <c r="AC1285" s="75" t="str">
        <f>IF(AND(OR(LEFT(TH!N1285,2)="15",LEFT(TH!O1285,2)="15"),TK!$E$7=TH!F1285),"x","")</f>
        <v/>
      </c>
      <c r="AD1285" s="75" t="str">
        <f>IF(AND(N1285="1521",MONTH(C1285)='BK-NL'!$M$11),"x","")</f>
        <v/>
      </c>
      <c r="AF1285" s="1054"/>
    </row>
    <row r="1286" spans="1:32" s="1053" customFormat="1" ht="16.5" customHeight="1">
      <c r="A1286" s="309" t="str">
        <f>IF(B1286&lt;&gt;"",IF(AND(B1286='IN-TC'!$S$4,OR(TH!N1286="1111",TH!O1286="1111")),TH!D1286,""),"")</f>
        <v/>
      </c>
      <c r="B1286" s="1242">
        <f t="shared" si="290"/>
        <v>5</v>
      </c>
      <c r="C1286" s="217">
        <v>42874</v>
      </c>
      <c r="D1286" s="217" t="s">
        <v>1124</v>
      </c>
      <c r="E1286" s="217">
        <f t="shared" si="293"/>
        <v>42874</v>
      </c>
      <c r="F1286" s="960" t="s">
        <v>429</v>
      </c>
      <c r="G1286" s="739" t="s">
        <v>1595</v>
      </c>
      <c r="H1286" s="311" t="s">
        <v>623</v>
      </c>
      <c r="I1286" s="373">
        <v>79170</v>
      </c>
      <c r="J1286" s="373">
        <v>59500</v>
      </c>
      <c r="K1286" s="373"/>
      <c r="L1286" s="379"/>
      <c r="M1286" s="927">
        <f t="shared" si="292"/>
        <v>4710615000</v>
      </c>
      <c r="N1286" s="935" t="s">
        <v>274</v>
      </c>
      <c r="O1286" s="935" t="s">
        <v>8</v>
      </c>
      <c r="P1286" s="75" t="str">
        <f>IF(AND('331-CT'!$E$7=TH!H1286,OR(N1286="331",O1286="331")),"x","")</f>
        <v/>
      </c>
      <c r="Q1286" s="75" t="str">
        <f>IF(AND(B1286='111'!$L$11,OR($N1286=$Q$7,$O1286=$Q$7)),"x","")</f>
        <v/>
      </c>
      <c r="R1286" s="75" t="str">
        <f>IF(AND($N1286=$Q$7,$B1286&lt;'111'!$L$11),"x","")</f>
        <v/>
      </c>
      <c r="S1286" s="75" t="str">
        <f>IF(AND($O1286=$Q$7,$B1286&lt;'111'!$L$11),"x","")</f>
        <v/>
      </c>
      <c r="T1286" s="75" t="str">
        <f>IF(ISERROR(FIND('112'!$M$9,G1286,1)),"",IF((AND(FIND('112'!$M$9,G1286,1)&gt;=1,B1286='112'!$K$9,OR($N1286='112'!$I$6,$O1286='112'!$I$6))),"x",""))</f>
        <v/>
      </c>
      <c r="U1286" s="75" t="str">
        <f>IF(ISERROR(FIND('112'!$M$9,G1286,1)),"",IF((AND(LEFT(G1286,2)=LEFT('112'!$M$9,2),B1286&lt;'112'!$K$9,$N1286='112'!$I$6)),"x",""))</f>
        <v/>
      </c>
      <c r="V1286" s="75" t="str">
        <f>IF(ISERROR(FIND('112'!$M$9,G1286,1)),"",IF((AND(RIGHT(G1286,2)=RIGHT('112'!$M$9,2),B1286&lt;'112'!$K$9,$O1286='112'!$I$6)),"x",""))</f>
        <v/>
      </c>
      <c r="W1286" s="75" t="str">
        <f>IF(AND('341-CT'!$H$9=H1286,OR(LEFT(N1286,3)=$W$7,LEFT(O1286,3)=$W$7)),"x","")</f>
        <v/>
      </c>
      <c r="X1286" s="75" t="str">
        <f>IF(OR(TH!N1286=TH!$X$7,O1286=TH!$X$7),"x","")</f>
        <v/>
      </c>
      <c r="Y1286" s="75" t="str">
        <f>IF(AND(OR(N1286="131",O1286="131"),H1286='131-CT'!$H$9),"x","")</f>
        <v/>
      </c>
      <c r="Z1286" s="75"/>
      <c r="AA1286" s="75" t="str">
        <f>IF(AND(MONTH(E1286)='IN-NX'!$J$5,'IN-NX'!$D$7=D1286),"x","")</f>
        <v/>
      </c>
      <c r="AB1286" s="75" t="str">
        <f>IF(AND(OR(LEFT(TH!N1286,2)="15",LEFT(TH!O1286,2)="15"),LEFT(TH!O1286,3)&lt;&gt;"111",'152-CT'!$J$8=TH!F1286),"x","")</f>
        <v/>
      </c>
      <c r="AC1286" s="75" t="str">
        <f>IF(AND(OR(LEFT(TH!N1286,2)="15",LEFT(TH!O1286,2)="15"),TK!$E$7=TH!F1286),"x","")</f>
        <v/>
      </c>
      <c r="AD1286" s="75" t="str">
        <f>IF(AND(N1286="1521",MONTH(C1286)='BK-NL'!$M$11),"x","")</f>
        <v/>
      </c>
      <c r="AF1286" s="1054"/>
    </row>
    <row r="1287" spans="1:32" s="1053" customFormat="1" ht="16.5" customHeight="1">
      <c r="A1287" s="309" t="str">
        <f>IF(B1287&lt;&gt;"",IF(AND(B1287='IN-TC'!$S$4,OR(TH!N1287="1111",TH!O1287="1111")),TH!D1287,""),"")</f>
        <v/>
      </c>
      <c r="B1287" s="1242">
        <f t="shared" si="290"/>
        <v>5</v>
      </c>
      <c r="C1287" s="217">
        <v>42877</v>
      </c>
      <c r="D1287" s="217" t="s">
        <v>1127</v>
      </c>
      <c r="E1287" s="217">
        <f t="shared" si="293"/>
        <v>42877</v>
      </c>
      <c r="F1287" s="960" t="s">
        <v>429</v>
      </c>
      <c r="G1287" s="739" t="s">
        <v>1596</v>
      </c>
      <c r="H1287" s="311" t="s">
        <v>623</v>
      </c>
      <c r="I1287" s="373">
        <v>79170</v>
      </c>
      <c r="J1287" s="373">
        <v>59500</v>
      </c>
      <c r="K1287" s="373"/>
      <c r="L1287" s="379"/>
      <c r="M1287" s="927">
        <f t="shared" si="292"/>
        <v>4710615000</v>
      </c>
      <c r="N1287" s="935" t="s">
        <v>274</v>
      </c>
      <c r="O1287" s="935" t="s">
        <v>8</v>
      </c>
      <c r="P1287" s="75" t="str">
        <f>IF(AND('331-CT'!$E$7=TH!H1287,OR(N1287="331",O1287="331")),"x","")</f>
        <v/>
      </c>
      <c r="Q1287" s="75" t="str">
        <f>IF(AND(B1287='111'!$L$11,OR($N1287=$Q$7,$O1287=$Q$7)),"x","")</f>
        <v/>
      </c>
      <c r="R1287" s="75" t="str">
        <f>IF(AND($N1287=$Q$7,$B1287&lt;'111'!$L$11),"x","")</f>
        <v/>
      </c>
      <c r="S1287" s="75" t="str">
        <f>IF(AND($O1287=$Q$7,$B1287&lt;'111'!$L$11),"x","")</f>
        <v/>
      </c>
      <c r="T1287" s="75" t="str">
        <f>IF(ISERROR(FIND('112'!$M$9,G1287,1)),"",IF((AND(FIND('112'!$M$9,G1287,1)&gt;=1,B1287='112'!$K$9,OR($N1287='112'!$I$6,$O1287='112'!$I$6))),"x",""))</f>
        <v/>
      </c>
      <c r="U1287" s="75" t="str">
        <f>IF(ISERROR(FIND('112'!$M$9,G1287,1)),"",IF((AND(LEFT(G1287,2)=LEFT('112'!$M$9,2),B1287&lt;'112'!$K$9,$N1287='112'!$I$6)),"x",""))</f>
        <v/>
      </c>
      <c r="V1287" s="75" t="str">
        <f>IF(ISERROR(FIND('112'!$M$9,G1287,1)),"",IF((AND(RIGHT(G1287,2)=RIGHT('112'!$M$9,2),B1287&lt;'112'!$K$9,$O1287='112'!$I$6)),"x",""))</f>
        <v/>
      </c>
      <c r="W1287" s="75" t="str">
        <f>IF(AND('341-CT'!$H$9=H1287,OR(LEFT(N1287,3)=$W$7,LEFT(O1287,3)=$W$7)),"x","")</f>
        <v/>
      </c>
      <c r="X1287" s="75" t="str">
        <f>IF(OR(TH!N1287=TH!$X$7,O1287=TH!$X$7),"x","")</f>
        <v/>
      </c>
      <c r="Y1287" s="75" t="str">
        <f>IF(AND(OR(N1287="131",O1287="131"),H1287='131-CT'!$H$9),"x","")</f>
        <v/>
      </c>
      <c r="Z1287" s="75"/>
      <c r="AA1287" s="75" t="str">
        <f>IF(AND(MONTH(E1287)='IN-NX'!$J$5,'IN-NX'!$D$7=D1287),"x","")</f>
        <v/>
      </c>
      <c r="AB1287" s="75" t="str">
        <f>IF(AND(OR(LEFT(TH!N1287,2)="15",LEFT(TH!O1287,2)="15"),LEFT(TH!O1287,3)&lt;&gt;"111",'152-CT'!$J$8=TH!F1287),"x","")</f>
        <v/>
      </c>
      <c r="AC1287" s="75" t="str">
        <f>IF(AND(OR(LEFT(TH!N1287,2)="15",LEFT(TH!O1287,2)="15"),TK!$E$7=TH!F1287),"x","")</f>
        <v/>
      </c>
      <c r="AD1287" s="75" t="str">
        <f>IF(AND(N1287="1521",MONTH(C1287)='BK-NL'!$M$11),"x","")</f>
        <v/>
      </c>
      <c r="AF1287" s="1054"/>
    </row>
    <row r="1288" spans="1:32" s="1053" customFormat="1" ht="16.5" customHeight="1">
      <c r="A1288" s="309" t="str">
        <f>IF(B1288&lt;&gt;"",IF(AND(B1288='IN-TC'!$S$4,OR(TH!N1288="1111",TH!O1288="1111")),TH!D1288,""),"")</f>
        <v/>
      </c>
      <c r="B1288" s="1242">
        <f t="shared" si="290"/>
        <v>5</v>
      </c>
      <c r="C1288" s="217">
        <v>42880</v>
      </c>
      <c r="D1288" s="217" t="s">
        <v>1806</v>
      </c>
      <c r="E1288" s="217">
        <f t="shared" si="293"/>
        <v>42880</v>
      </c>
      <c r="F1288" s="960" t="s">
        <v>429</v>
      </c>
      <c r="G1288" s="739" t="s">
        <v>1597</v>
      </c>
      <c r="H1288" s="311" t="s">
        <v>623</v>
      </c>
      <c r="I1288" s="373">
        <v>52780</v>
      </c>
      <c r="J1288" s="373">
        <v>59500</v>
      </c>
      <c r="K1288" s="373"/>
      <c r="L1288" s="379"/>
      <c r="M1288" s="927">
        <f t="shared" si="292"/>
        <v>3140410000</v>
      </c>
      <c r="N1288" s="935" t="s">
        <v>274</v>
      </c>
      <c r="O1288" s="935" t="s">
        <v>8</v>
      </c>
      <c r="P1288" s="75" t="str">
        <f>IF(AND('331-CT'!$E$7=TH!H1288,OR(N1288="331",O1288="331")),"x","")</f>
        <v/>
      </c>
      <c r="Q1288" s="75" t="str">
        <f>IF(AND(B1288='111'!$L$11,OR($N1288=$Q$7,$O1288=$Q$7)),"x","")</f>
        <v/>
      </c>
      <c r="R1288" s="75" t="str">
        <f>IF(AND($N1288=$Q$7,$B1288&lt;'111'!$L$11),"x","")</f>
        <v/>
      </c>
      <c r="S1288" s="75" t="str">
        <f>IF(AND($O1288=$Q$7,$B1288&lt;'111'!$L$11),"x","")</f>
        <v/>
      </c>
      <c r="T1288" s="75" t="str">
        <f>IF(ISERROR(FIND('112'!$M$9,G1288,1)),"",IF((AND(FIND('112'!$M$9,G1288,1)&gt;=1,B1288='112'!$K$9,OR($N1288='112'!$I$6,$O1288='112'!$I$6))),"x",""))</f>
        <v/>
      </c>
      <c r="U1288" s="75" t="str">
        <f>IF(ISERROR(FIND('112'!$M$9,G1288,1)),"",IF((AND(LEFT(G1288,2)=LEFT('112'!$M$9,2),B1288&lt;'112'!$K$9,$N1288='112'!$I$6)),"x",""))</f>
        <v/>
      </c>
      <c r="V1288" s="75" t="str">
        <f>IF(ISERROR(FIND('112'!$M$9,G1288,1)),"",IF((AND(RIGHT(G1288,2)=RIGHT('112'!$M$9,2),B1288&lt;'112'!$K$9,$O1288='112'!$I$6)),"x",""))</f>
        <v/>
      </c>
      <c r="W1288" s="75" t="str">
        <f>IF(AND('341-CT'!$H$9=H1288,OR(LEFT(N1288,3)=$W$7,LEFT(O1288,3)=$W$7)),"x","")</f>
        <v/>
      </c>
      <c r="X1288" s="75" t="str">
        <f>IF(OR(TH!N1288=TH!$X$7,O1288=TH!$X$7),"x","")</f>
        <v/>
      </c>
      <c r="Y1288" s="75" t="str">
        <f>IF(AND(OR(N1288="131",O1288="131"),H1288='131-CT'!$H$9),"x","")</f>
        <v/>
      </c>
      <c r="Z1288" s="75"/>
      <c r="AA1288" s="75" t="str">
        <f>IF(AND(MONTH(E1288)='IN-NX'!$J$5,'IN-NX'!$D$7=D1288),"x","")</f>
        <v/>
      </c>
      <c r="AB1288" s="75" t="str">
        <f>IF(AND(OR(LEFT(TH!N1288,2)="15",LEFT(TH!O1288,2)="15"),LEFT(TH!O1288,3)&lt;&gt;"111",'152-CT'!$J$8=TH!F1288),"x","")</f>
        <v/>
      </c>
      <c r="AC1288" s="75" t="str">
        <f>IF(AND(OR(LEFT(TH!N1288,2)="15",LEFT(TH!O1288,2)="15"),TK!$E$7=TH!F1288),"x","")</f>
        <v/>
      </c>
      <c r="AD1288" s="75" t="str">
        <f>IF(AND(N1288="1521",MONTH(C1288)='BK-NL'!$M$11),"x","")</f>
        <v/>
      </c>
      <c r="AF1288" s="1054"/>
    </row>
    <row r="1289" spans="1:32" s="1053" customFormat="1" ht="16.5" customHeight="1">
      <c r="A1289" s="309" t="str">
        <f>IF(B1289&lt;&gt;"",IF(AND(B1289='IN-TC'!$S$4,OR(TH!N1289="1111",TH!O1289="1111")),TH!D1289,""),"")</f>
        <v/>
      </c>
      <c r="B1289" s="1242">
        <f t="shared" si="290"/>
        <v>5</v>
      </c>
      <c r="C1289" s="217">
        <v>42881</v>
      </c>
      <c r="D1289" s="217" t="s">
        <v>1850</v>
      </c>
      <c r="E1289" s="217">
        <f t="shared" si="293"/>
        <v>42881</v>
      </c>
      <c r="F1289" s="960" t="s">
        <v>429</v>
      </c>
      <c r="G1289" s="739" t="s">
        <v>1598</v>
      </c>
      <c r="H1289" s="311" t="s">
        <v>623</v>
      </c>
      <c r="I1289" s="373">
        <v>52780</v>
      </c>
      <c r="J1289" s="373">
        <v>59500</v>
      </c>
      <c r="K1289" s="373"/>
      <c r="L1289" s="379"/>
      <c r="M1289" s="927">
        <f t="shared" si="292"/>
        <v>3140410000</v>
      </c>
      <c r="N1289" s="935" t="s">
        <v>274</v>
      </c>
      <c r="O1289" s="935" t="s">
        <v>8</v>
      </c>
      <c r="P1289" s="75" t="str">
        <f>IF(AND('331-CT'!$E$7=TH!H1289,OR(N1289="331",O1289="331")),"x","")</f>
        <v/>
      </c>
      <c r="Q1289" s="75" t="str">
        <f>IF(AND(B1289='111'!$L$11,OR($N1289=$Q$7,$O1289=$Q$7)),"x","")</f>
        <v/>
      </c>
      <c r="R1289" s="75" t="str">
        <f>IF(AND($N1289=$Q$7,$B1289&lt;'111'!$L$11),"x","")</f>
        <v/>
      </c>
      <c r="S1289" s="75" t="str">
        <f>IF(AND($O1289=$Q$7,$B1289&lt;'111'!$L$11),"x","")</f>
        <v/>
      </c>
      <c r="T1289" s="75" t="str">
        <f>IF(ISERROR(FIND('112'!$M$9,G1289,1)),"",IF((AND(FIND('112'!$M$9,G1289,1)&gt;=1,B1289='112'!$K$9,OR($N1289='112'!$I$6,$O1289='112'!$I$6))),"x",""))</f>
        <v/>
      </c>
      <c r="U1289" s="75" t="str">
        <f>IF(ISERROR(FIND('112'!$M$9,G1289,1)),"",IF((AND(LEFT(G1289,2)=LEFT('112'!$M$9,2),B1289&lt;'112'!$K$9,$N1289='112'!$I$6)),"x",""))</f>
        <v/>
      </c>
      <c r="V1289" s="75" t="str">
        <f>IF(ISERROR(FIND('112'!$M$9,G1289,1)),"",IF((AND(RIGHT(G1289,2)=RIGHT('112'!$M$9,2),B1289&lt;'112'!$K$9,$O1289='112'!$I$6)),"x",""))</f>
        <v/>
      </c>
      <c r="W1289" s="75" t="str">
        <f>IF(AND('341-CT'!$H$9=H1289,OR(LEFT(N1289,3)=$W$7,LEFT(O1289,3)=$W$7)),"x","")</f>
        <v/>
      </c>
      <c r="X1289" s="75" t="str">
        <f>IF(OR(TH!N1289=TH!$X$7,O1289=TH!$X$7),"x","")</f>
        <v/>
      </c>
      <c r="Y1289" s="75" t="str">
        <f>IF(AND(OR(N1289="131",O1289="131"),H1289='131-CT'!$H$9),"x","")</f>
        <v/>
      </c>
      <c r="Z1289" s="75"/>
      <c r="AA1289" s="75" t="str">
        <f>IF(AND(MONTH(E1289)='IN-NX'!$J$5,'IN-NX'!$D$7=D1289),"x","")</f>
        <v/>
      </c>
      <c r="AB1289" s="75" t="str">
        <f>IF(AND(OR(LEFT(TH!N1289,2)="15",LEFT(TH!O1289,2)="15"),LEFT(TH!O1289,3)&lt;&gt;"111",'152-CT'!$J$8=TH!F1289),"x","")</f>
        <v/>
      </c>
      <c r="AC1289" s="75" t="str">
        <f>IF(AND(OR(LEFT(TH!N1289,2)="15",LEFT(TH!O1289,2)="15"),TK!$E$7=TH!F1289),"x","")</f>
        <v/>
      </c>
      <c r="AD1289" s="75" t="str">
        <f>IF(AND(N1289="1521",MONTH(C1289)='BK-NL'!$M$11),"x","")</f>
        <v/>
      </c>
      <c r="AF1289" s="1054"/>
    </row>
    <row r="1290" spans="1:32" s="1053" customFormat="1" ht="16.5" customHeight="1">
      <c r="A1290" s="309" t="str">
        <f>IF(B1290&lt;&gt;"",IF(AND(B1290='IN-TC'!$S$4,OR(TH!N1290="1111",TH!O1290="1111")),TH!D1290,""),"")</f>
        <v/>
      </c>
      <c r="B1290" s="1242">
        <f t="shared" ref="B1290:B1305" si="294">IF(C1290&lt;&gt;"",MONTH(C1290),"")</f>
        <v>5</v>
      </c>
      <c r="C1290" s="217">
        <v>42885</v>
      </c>
      <c r="D1290" s="217" t="s">
        <v>1852</v>
      </c>
      <c r="E1290" s="217">
        <f t="shared" ref="E1290" si="295">C1290</f>
        <v>42885</v>
      </c>
      <c r="F1290" s="960" t="s">
        <v>429</v>
      </c>
      <c r="G1290" s="739" t="s">
        <v>1574</v>
      </c>
      <c r="H1290" s="67" t="s">
        <v>789</v>
      </c>
      <c r="I1290" s="373">
        <v>26390</v>
      </c>
      <c r="J1290" s="373">
        <v>57000</v>
      </c>
      <c r="K1290" s="373"/>
      <c r="L1290" s="379"/>
      <c r="M1290" s="927">
        <f t="shared" si="292"/>
        <v>1504230000</v>
      </c>
      <c r="N1290" s="935" t="s">
        <v>274</v>
      </c>
      <c r="O1290" s="935" t="s">
        <v>8</v>
      </c>
      <c r="P1290" s="75" t="str">
        <f>IF(AND('331-CT'!$E$7=TH!H1290,OR(N1290="331",O1290="331")),"x","")</f>
        <v/>
      </c>
      <c r="Q1290" s="75" t="str">
        <f>IF(AND(B1290='111'!$L$11,OR($N1290=$Q$7,$O1290=$Q$7)),"x","")</f>
        <v/>
      </c>
      <c r="R1290" s="75" t="str">
        <f>IF(AND($N1290=$Q$7,$B1290&lt;'111'!$L$11),"x","")</f>
        <v/>
      </c>
      <c r="S1290" s="75" t="str">
        <f>IF(AND($O1290=$Q$7,$B1290&lt;'111'!$L$11),"x","")</f>
        <v/>
      </c>
      <c r="T1290" s="75" t="str">
        <f>IF(ISERROR(FIND('112'!$M$9,G1290,1)),"",IF((AND(FIND('112'!$M$9,G1290,1)&gt;=1,B1290='112'!$K$9,OR($N1290='112'!$I$6,$O1290='112'!$I$6))),"x",""))</f>
        <v/>
      </c>
      <c r="U1290" s="75" t="str">
        <f>IF(ISERROR(FIND('112'!$M$9,G1290,1)),"",IF((AND(LEFT(G1290,2)=LEFT('112'!$M$9,2),B1290&lt;'112'!$K$9,$N1290='112'!$I$6)),"x",""))</f>
        <v/>
      </c>
      <c r="V1290" s="75" t="str">
        <f>IF(ISERROR(FIND('112'!$M$9,G1290,1)),"",IF((AND(RIGHT(G1290,2)=RIGHT('112'!$M$9,2),B1290&lt;'112'!$K$9,$O1290='112'!$I$6)),"x",""))</f>
        <v/>
      </c>
      <c r="W1290" s="75" t="str">
        <f>IF(AND('341-CT'!$H$9=H1290,OR(LEFT(N1290,3)=$W$7,LEFT(O1290,3)=$W$7)),"x","")</f>
        <v/>
      </c>
      <c r="X1290" s="75" t="str">
        <f>IF(OR(TH!N1290=TH!$X$7,O1290=TH!$X$7),"x","")</f>
        <v/>
      </c>
      <c r="Y1290" s="75" t="str">
        <f>IF(AND(OR(N1290="131",O1290="131"),H1290='131-CT'!$H$9),"x","")</f>
        <v/>
      </c>
      <c r="Z1290" s="75"/>
      <c r="AA1290" s="75" t="str">
        <f>IF(AND(MONTH(E1290)='IN-NX'!$J$5,'IN-NX'!$D$7=D1290),"x","")</f>
        <v/>
      </c>
      <c r="AB1290" s="75" t="str">
        <f>IF(AND(OR(LEFT(TH!N1290,2)="15",LEFT(TH!O1290,2)="15"),LEFT(TH!O1290,3)&lt;&gt;"111",'152-CT'!$J$8=TH!F1290),"x","")</f>
        <v/>
      </c>
      <c r="AC1290" s="75" t="str">
        <f>IF(AND(OR(LEFT(TH!N1290,2)="15",LEFT(TH!O1290,2)="15"),TK!$E$7=TH!F1290),"x","")</f>
        <v/>
      </c>
      <c r="AD1290" s="75" t="str">
        <f>IF(AND(N1290="1521",MONTH(C1290)='BK-NL'!$M$11),"x","")</f>
        <v/>
      </c>
      <c r="AF1290" s="1054"/>
    </row>
    <row r="1291" spans="1:32" s="1053" customFormat="1" ht="16.5" customHeight="1">
      <c r="A1291" s="309" t="str">
        <f>IF(B1291&lt;&gt;"",IF(AND(B1291='IN-TC'!$S$4,OR(TH!N1291="1111",TH!O1291="1111")),TH!D1291,""),"")</f>
        <v/>
      </c>
      <c r="B1291" s="1242">
        <f t="shared" si="294"/>
        <v>5</v>
      </c>
      <c r="C1291" s="217">
        <v>42885</v>
      </c>
      <c r="D1291" s="217" t="s">
        <v>1852</v>
      </c>
      <c r="E1291" s="217">
        <f>C1291</f>
        <v>42885</v>
      </c>
      <c r="F1291" s="960" t="s">
        <v>429</v>
      </c>
      <c r="G1291" s="739" t="s">
        <v>1113</v>
      </c>
      <c r="H1291" s="67" t="s">
        <v>789</v>
      </c>
      <c r="I1291" s="373">
        <v>26390</v>
      </c>
      <c r="J1291" s="373">
        <v>57000</v>
      </c>
      <c r="K1291" s="373"/>
      <c r="L1291" s="379"/>
      <c r="M1291" s="927">
        <f t="shared" si="292"/>
        <v>1504230000</v>
      </c>
      <c r="N1291" s="935" t="s">
        <v>274</v>
      </c>
      <c r="O1291" s="935" t="s">
        <v>8</v>
      </c>
      <c r="P1291" s="75" t="str">
        <f>IF(AND('331-CT'!$E$7=TH!H1291,OR(N1291="331",O1291="331")),"x","")</f>
        <v/>
      </c>
      <c r="Q1291" s="75" t="str">
        <f>IF(AND(B1291='111'!$L$11,OR($N1291=$Q$7,$O1291=$Q$7)),"x","")</f>
        <v/>
      </c>
      <c r="R1291" s="75" t="str">
        <f>IF(AND($N1291=$Q$7,$B1291&lt;'111'!$L$11),"x","")</f>
        <v/>
      </c>
      <c r="S1291" s="75" t="str">
        <f>IF(AND($O1291=$Q$7,$B1291&lt;'111'!$L$11),"x","")</f>
        <v/>
      </c>
      <c r="T1291" s="75" t="str">
        <f>IF(ISERROR(FIND('112'!$M$9,G1291,1)),"",IF((AND(FIND('112'!$M$9,G1291,1)&gt;=1,B1291='112'!$K$9,OR($N1291='112'!$I$6,$O1291='112'!$I$6))),"x",""))</f>
        <v/>
      </c>
      <c r="U1291" s="75" t="str">
        <f>IF(ISERROR(FIND('112'!$M$9,G1291,1)),"",IF((AND(LEFT(G1291,2)=LEFT('112'!$M$9,2),B1291&lt;'112'!$K$9,$N1291='112'!$I$6)),"x",""))</f>
        <v/>
      </c>
      <c r="V1291" s="75" t="str">
        <f>IF(ISERROR(FIND('112'!$M$9,G1291,1)),"",IF((AND(RIGHT(G1291,2)=RIGHT('112'!$M$9,2),B1291&lt;'112'!$K$9,$O1291='112'!$I$6)),"x",""))</f>
        <v/>
      </c>
      <c r="W1291" s="75" t="str">
        <f>IF(AND('341-CT'!$H$9=H1291,OR(LEFT(N1291,3)=$W$7,LEFT(O1291,3)=$W$7)),"x","")</f>
        <v/>
      </c>
      <c r="X1291" s="75" t="str">
        <f>IF(OR(TH!N1291=TH!$X$7,O1291=TH!$X$7),"x","")</f>
        <v/>
      </c>
      <c r="Y1291" s="75" t="str">
        <f>IF(AND(OR(N1291="131",O1291="131"),H1291='131-CT'!$H$9),"x","")</f>
        <v/>
      </c>
      <c r="Z1291" s="75"/>
      <c r="AA1291" s="75" t="str">
        <f>IF(AND(MONTH(E1291)='IN-NX'!$J$5,'IN-NX'!$D$7=D1291),"x","")</f>
        <v/>
      </c>
      <c r="AB1291" s="75" t="str">
        <f>IF(AND(OR(LEFT(TH!N1291,2)="15",LEFT(TH!O1291,2)="15"),LEFT(TH!O1291,3)&lt;&gt;"111",'152-CT'!$J$8=TH!F1291),"x","")</f>
        <v/>
      </c>
      <c r="AC1291" s="75" t="str">
        <f>IF(AND(OR(LEFT(TH!N1291,2)="15",LEFT(TH!O1291,2)="15"),TK!$E$7=TH!F1291),"x","")</f>
        <v/>
      </c>
      <c r="AD1291" s="75" t="str">
        <f>IF(AND(N1291="1521",MONTH(C1291)='BK-NL'!$M$11),"x","")</f>
        <v/>
      </c>
      <c r="AF1291" s="1054"/>
    </row>
    <row r="1292" spans="1:32" s="1053" customFormat="1" ht="16.5" customHeight="1">
      <c r="A1292" s="309" t="str">
        <f>IF(B1292&lt;&gt;"",IF(AND(B1292='IN-TC'!$S$4,OR(TH!N1292="1111",TH!O1292="1111")),TH!D1292,""),"")</f>
        <v/>
      </c>
      <c r="B1292" s="1242">
        <f t="shared" si="294"/>
        <v>5</v>
      </c>
      <c r="C1292" s="217">
        <f t="shared" ref="C1292:C1293" si="296">E1292</f>
        <v>42881</v>
      </c>
      <c r="D1292" s="217" t="s">
        <v>2950</v>
      </c>
      <c r="E1292" s="217">
        <v>42881</v>
      </c>
      <c r="F1292" s="1031" t="s">
        <v>429</v>
      </c>
      <c r="G1292" s="739"/>
      <c r="H1292" s="294" t="s">
        <v>2919</v>
      </c>
      <c r="I1292" s="373">
        <v>475020</v>
      </c>
      <c r="J1292" s="926">
        <v>60427.12846406467</v>
      </c>
      <c r="K1292" s="926"/>
      <c r="L1292" s="379"/>
      <c r="M1292" s="927">
        <f t="shared" ref="M1292" si="297">ROUND(I1292*J1292,0)</f>
        <v>28704094563</v>
      </c>
      <c r="N1292" s="935" t="s">
        <v>274</v>
      </c>
      <c r="O1292" s="935" t="s">
        <v>272</v>
      </c>
      <c r="P1292" s="75" t="str">
        <f>IF(AND('331-CT'!$E$7=TH!H1292,OR(N1292="331",O1292="331")),"x","")</f>
        <v/>
      </c>
      <c r="Q1292" s="75" t="str">
        <f>IF(AND(B1292='111'!$L$11,OR($N1292=$Q$7,$O1292=$Q$7)),"x","")</f>
        <v/>
      </c>
      <c r="R1292" s="75" t="str">
        <f>IF(AND($N1292=$Q$7,$B1292&lt;'111'!$L$11),"x","")</f>
        <v/>
      </c>
      <c r="S1292" s="75" t="str">
        <f>IF(AND($O1292=$Q$7,$B1292&lt;'111'!$L$11),"x","")</f>
        <v/>
      </c>
      <c r="T1292" s="75" t="str">
        <f>IF(ISERROR(FIND('112'!$M$9,G1292,1)),"",IF((AND(FIND('112'!$M$9,G1292,1)&gt;=1,B1292='112'!$K$9,OR($N1292='112'!$I$6,$O1292='112'!$I$6))),"x",""))</f>
        <v/>
      </c>
      <c r="U1292" s="75" t="str">
        <f>IF(ISERROR(FIND('112'!$M$9,G1292,1)),"",IF((AND(LEFT(G1292,2)=LEFT('112'!$M$9,2),B1292&lt;'112'!$K$9,$N1292='112'!$I$6)),"x",""))</f>
        <v/>
      </c>
      <c r="V1292" s="75" t="str">
        <f>IF(ISERROR(FIND('112'!$M$9,G1292,1)),"",IF((AND(RIGHT(G1292,2)=RIGHT('112'!$M$9,2),B1292&lt;'112'!$K$9,$O1292='112'!$I$6)),"x",""))</f>
        <v/>
      </c>
      <c r="W1292" s="75" t="str">
        <f>IF(AND('341-CT'!$H$9=H1292,OR(LEFT(N1292,3)=$W$7,LEFT(O1292,3)=$W$7)),"x","")</f>
        <v/>
      </c>
      <c r="X1292" s="75" t="str">
        <f>IF(OR(TH!N1292=TH!$X$7,O1292=TH!$X$7),"x","")</f>
        <v/>
      </c>
      <c r="Y1292" s="75" t="str">
        <f>IF(AND(OR(N1292="131",O1292="131"),H1292='131-CT'!$H$9),"x","")</f>
        <v/>
      </c>
      <c r="Z1292" s="75"/>
      <c r="AA1292" s="75" t="str">
        <f>IF(AND(MONTH(E1292)='IN-NX'!$J$5,'IN-NX'!$D$7=D1292),"x","")</f>
        <v/>
      </c>
      <c r="AB1292" s="75" t="str">
        <f>IF(AND(OR(LEFT(TH!N1292,2)="15",LEFT(TH!O1292,2)="15"),LEFT(TH!O1292,3)&lt;&gt;"111",'152-CT'!$J$8=TH!F1292),"x","")</f>
        <v/>
      </c>
      <c r="AC1292" s="75" t="str">
        <f>IF(AND(OR(LEFT(TH!N1292,2)="15",LEFT(TH!O1292,2)="15"),TK!$E$7=TH!F1292),"x","")</f>
        <v/>
      </c>
      <c r="AD1292" s="75" t="str">
        <f>IF(AND(N1292="1521",MONTH(C1292)='BK-NL'!$M$11),"x","")</f>
        <v/>
      </c>
      <c r="AF1292" s="1054"/>
    </row>
    <row r="1293" spans="1:32" ht="16.5" customHeight="1">
      <c r="A1293" s="309" t="str">
        <f>IF(B1293&lt;&gt;"",IF(AND(B1293='IN-TC'!$S$4,OR(TH!N1293="1111",TH!O1293="1111")),TH!D1293,""),"")</f>
        <v/>
      </c>
      <c r="B1293" s="1242">
        <f t="shared" si="294"/>
        <v>5</v>
      </c>
      <c r="C1293" s="217">
        <f t="shared" si="296"/>
        <v>42866</v>
      </c>
      <c r="D1293" s="217" t="s">
        <v>2950</v>
      </c>
      <c r="E1293" s="217">
        <v>42866</v>
      </c>
      <c r="F1293" s="429" t="s">
        <v>425</v>
      </c>
      <c r="G1293" s="739"/>
      <c r="H1293" s="294" t="s">
        <v>2919</v>
      </c>
      <c r="I1293" s="373">
        <v>1000</v>
      </c>
      <c r="J1293" s="926">
        <v>634437.39599999995</v>
      </c>
      <c r="K1293" s="926"/>
      <c r="L1293" s="379"/>
      <c r="M1293" s="927">
        <f>ROUND(I1293*J1293,0)</f>
        <v>634437396</v>
      </c>
      <c r="N1293" s="935" t="s">
        <v>274</v>
      </c>
      <c r="O1293" s="935" t="s">
        <v>272</v>
      </c>
      <c r="P1293" s="75" t="str">
        <f>IF(AND('331-CT'!$E$7=TH!H1293,OR(N1293="331",O1293="331")),"x","")</f>
        <v/>
      </c>
      <c r="Q1293" s="75" t="str">
        <f>IF(AND(B1293='111'!$L$11,OR($N1293=$Q$7,$O1293=$Q$7)),"x","")</f>
        <v/>
      </c>
      <c r="R1293" s="75" t="str">
        <f>IF(AND($N1293=$Q$7,$B1293&lt;'111'!$L$11),"x","")</f>
        <v/>
      </c>
      <c r="S1293" s="75" t="str">
        <f>IF(AND($O1293=$Q$7,$B1293&lt;'111'!$L$11),"x","")</f>
        <v/>
      </c>
      <c r="T1293" s="75" t="str">
        <f>IF(ISERROR(FIND('112'!$M$9,G1293,1)),"",IF((AND(FIND('112'!$M$9,G1293,1)&gt;=1,B1293='112'!$K$9,OR($N1293='112'!$I$6,$O1293='112'!$I$6))),"x",""))</f>
        <v/>
      </c>
      <c r="U1293" s="75" t="str">
        <f>IF(ISERROR(FIND('112'!$M$9,G1293,1)),"",IF((AND(LEFT(G1293,2)=LEFT('112'!$M$9,2),B1293&lt;'112'!$K$9,$N1293='112'!$I$6)),"x",""))</f>
        <v/>
      </c>
      <c r="V1293" s="75" t="str">
        <f>IF(ISERROR(FIND('112'!$M$9,G1293,1)),"",IF((AND(RIGHT(G1293,2)=RIGHT('112'!$M$9,2),B1293&lt;'112'!$K$9,$O1293='112'!$I$6)),"x",""))</f>
        <v/>
      </c>
      <c r="W1293" s="75" t="str">
        <f>IF(AND('341-CT'!$H$9=H1293,OR(LEFT(N1293,3)=$W$7,LEFT(O1293,3)=$W$7)),"x","")</f>
        <v/>
      </c>
      <c r="X1293" s="75" t="str">
        <f>IF(OR(TH!N1293=TH!$X$7,O1293=TH!$X$7),"x","")</f>
        <v/>
      </c>
      <c r="Y1293" s="75" t="str">
        <f>IF(AND(OR(N1293="131",O1293="131"),H1293='131-CT'!$H$9),"x","")</f>
        <v/>
      </c>
      <c r="Z1293" s="75"/>
      <c r="AA1293" s="75" t="str">
        <f>IF(AND(MONTH(E1293)='IN-NX'!$J$5,'IN-NX'!$D$7=D1293),"x","")</f>
        <v/>
      </c>
      <c r="AB1293" s="75" t="str">
        <f>IF(AND(OR(LEFT(TH!N1293,2)="15",LEFT(TH!O1293,2)="15"),LEFT(TH!O1293,3)&lt;&gt;"111",'152-CT'!$J$8=TH!F1293),"x","")</f>
        <v/>
      </c>
      <c r="AC1293" s="75" t="str">
        <f>IF(AND(OR(LEFT(TH!N1293,2)="15",LEFT(TH!O1293,2)="15"),TK!$E$7=TH!F1293),"x","")</f>
        <v/>
      </c>
      <c r="AD1293" s="75" t="str">
        <f>IF(AND(N1293="1521",MONTH(C1293)='BK-NL'!$M$11),"x","")</f>
        <v/>
      </c>
      <c r="AF1293" s="1054"/>
    </row>
    <row r="1294" spans="1:32" s="1053" customFormat="1" ht="16.5" customHeight="1">
      <c r="A1294" s="309" t="str">
        <f>IF(B1294&lt;&gt;"",IF(AND(B1294='IN-TC'!$S$4,OR(TH!N1294="1111",TH!O1294="1111")),TH!D1294,""),"")</f>
        <v/>
      </c>
      <c r="B1294" s="1242">
        <f t="shared" si="294"/>
        <v>5</v>
      </c>
      <c r="C1294" s="217">
        <f t="shared" ref="C1294:C1299" si="298">E1294</f>
        <v>42866</v>
      </c>
      <c r="D1294" s="217" t="s">
        <v>2950</v>
      </c>
      <c r="E1294" s="217">
        <v>42866</v>
      </c>
      <c r="F1294" s="429" t="s">
        <v>1588</v>
      </c>
      <c r="G1294" s="739"/>
      <c r="H1294" s="294" t="s">
        <v>2919</v>
      </c>
      <c r="I1294" s="373">
        <v>2000</v>
      </c>
      <c r="J1294" s="926">
        <v>212923.2285</v>
      </c>
      <c r="K1294" s="926"/>
      <c r="L1294" s="379"/>
      <c r="M1294" s="927">
        <f t="shared" si="292"/>
        <v>425846457</v>
      </c>
      <c r="N1294" s="935" t="s">
        <v>274</v>
      </c>
      <c r="O1294" s="935" t="s">
        <v>272</v>
      </c>
      <c r="P1294" s="75" t="str">
        <f>IF(AND('331-CT'!$E$7=TH!H1294,OR(N1294="331",O1294="331")),"x","")</f>
        <v/>
      </c>
      <c r="Q1294" s="75" t="str">
        <f>IF(AND(B1294='111'!$L$11,OR($N1294=$Q$7,$O1294=$Q$7)),"x","")</f>
        <v/>
      </c>
      <c r="R1294" s="75" t="str">
        <f>IF(AND($N1294=$Q$7,$B1294&lt;'111'!$L$11),"x","")</f>
        <v/>
      </c>
      <c r="S1294" s="75" t="str">
        <f>IF(AND($O1294=$Q$7,$B1294&lt;'111'!$L$11),"x","")</f>
        <v/>
      </c>
      <c r="T1294" s="75" t="str">
        <f>IF(ISERROR(FIND('112'!$M$9,G1294,1)),"",IF((AND(FIND('112'!$M$9,G1294,1)&gt;=1,B1294='112'!$K$9,OR($N1294='112'!$I$6,$O1294='112'!$I$6))),"x",""))</f>
        <v/>
      </c>
      <c r="U1294" s="75" t="str">
        <f>IF(ISERROR(FIND('112'!$M$9,G1294,1)),"",IF((AND(LEFT(G1294,2)=LEFT('112'!$M$9,2),B1294&lt;'112'!$K$9,$N1294='112'!$I$6)),"x",""))</f>
        <v/>
      </c>
      <c r="V1294" s="75" t="str">
        <f>IF(ISERROR(FIND('112'!$M$9,G1294,1)),"",IF((AND(RIGHT(G1294,2)=RIGHT('112'!$M$9,2),B1294&lt;'112'!$K$9,$O1294='112'!$I$6)),"x",""))</f>
        <v/>
      </c>
      <c r="W1294" s="75" t="str">
        <f>IF(AND('341-CT'!$H$9=H1294,OR(LEFT(N1294,3)=$W$7,LEFT(O1294,3)=$W$7)),"x","")</f>
        <v/>
      </c>
      <c r="X1294" s="75" t="str">
        <f>IF(OR(TH!N1294=TH!$X$7,O1294=TH!$X$7),"x","")</f>
        <v/>
      </c>
      <c r="Y1294" s="75" t="str">
        <f>IF(AND(OR(N1294="131",O1294="131"),H1294='131-CT'!$H$9),"x","")</f>
        <v/>
      </c>
      <c r="Z1294" s="75"/>
      <c r="AA1294" s="75" t="str">
        <f>IF(AND(MONTH(E1294)='IN-NX'!$J$5,'IN-NX'!$D$7=D1294),"x","")</f>
        <v/>
      </c>
      <c r="AB1294" s="75" t="str">
        <f>IF(AND(OR(LEFT(TH!N1294,2)="15",LEFT(TH!O1294,2)="15"),LEFT(TH!O1294,3)&lt;&gt;"111",'152-CT'!$J$8=TH!F1294),"x","")</f>
        <v/>
      </c>
      <c r="AC1294" s="75" t="str">
        <f>IF(AND(OR(LEFT(TH!N1294,2)="15",LEFT(TH!O1294,2)="15"),TK!$E$7=TH!F1294),"x","")</f>
        <v/>
      </c>
      <c r="AD1294" s="75" t="str">
        <f>IF(AND(N1294="1521",MONTH(C1294)='BK-NL'!$M$11),"x","")</f>
        <v/>
      </c>
      <c r="AF1294" s="1054"/>
    </row>
    <row r="1295" spans="1:32" ht="16.5" customHeight="1">
      <c r="A1295" s="309" t="str">
        <f>IF(B1295&lt;&gt;"",IF(AND(B1295='IN-TC'!$S$4,OR(TH!N1295="1111",TH!O1295="1111")),TH!D1295,""),"")</f>
        <v/>
      </c>
      <c r="B1295" s="1242">
        <f t="shared" si="294"/>
        <v>5</v>
      </c>
      <c r="C1295" s="217">
        <f t="shared" si="298"/>
        <v>42870</v>
      </c>
      <c r="D1295" s="217" t="s">
        <v>2950</v>
      </c>
      <c r="E1295" s="217">
        <v>42870</v>
      </c>
      <c r="F1295" s="429" t="s">
        <v>793</v>
      </c>
      <c r="G1295" s="739"/>
      <c r="H1295" s="294" t="s">
        <v>2919</v>
      </c>
      <c r="I1295" s="373">
        <v>6000</v>
      </c>
      <c r="J1295" s="926">
        <v>164077.26850000001</v>
      </c>
      <c r="K1295" s="926"/>
      <c r="L1295" s="379"/>
      <c r="M1295" s="927">
        <f>ROUND(I1295*J1295,0)</f>
        <v>984463611</v>
      </c>
      <c r="N1295" s="935" t="s">
        <v>274</v>
      </c>
      <c r="O1295" s="935" t="s">
        <v>272</v>
      </c>
      <c r="P1295" s="75" t="str">
        <f>IF(AND('331-CT'!$E$7=TH!H1295,OR(N1295="331",O1295="331")),"x","")</f>
        <v/>
      </c>
      <c r="Q1295" s="75" t="str">
        <f>IF(AND(B1295='111'!$L$11,OR($N1295=$Q$7,$O1295=$Q$7)),"x","")</f>
        <v/>
      </c>
      <c r="R1295" s="75" t="str">
        <f>IF(AND($N1295=$Q$7,$B1295&lt;'111'!$L$11),"x","")</f>
        <v/>
      </c>
      <c r="S1295" s="75" t="str">
        <f>IF(AND($O1295=$Q$7,$B1295&lt;'111'!$L$11),"x","")</f>
        <v/>
      </c>
      <c r="T1295" s="75" t="str">
        <f>IF(ISERROR(FIND('112'!$M$9,G1295,1)),"",IF((AND(FIND('112'!$M$9,G1295,1)&gt;=1,B1295='112'!$K$9,OR($N1295='112'!$I$6,$O1295='112'!$I$6))),"x",""))</f>
        <v/>
      </c>
      <c r="U1295" s="75" t="str">
        <f>IF(ISERROR(FIND('112'!$M$9,G1295,1)),"",IF((AND(LEFT(G1295,2)=LEFT('112'!$M$9,2),B1295&lt;'112'!$K$9,$N1295='112'!$I$6)),"x",""))</f>
        <v/>
      </c>
      <c r="V1295" s="75" t="str">
        <f>IF(ISERROR(FIND('112'!$M$9,G1295,1)),"",IF((AND(RIGHT(G1295,2)=RIGHT('112'!$M$9,2),B1295&lt;'112'!$K$9,$O1295='112'!$I$6)),"x",""))</f>
        <v/>
      </c>
      <c r="W1295" s="75" t="str">
        <f>IF(AND('341-CT'!$H$9=H1295,OR(LEFT(N1295,3)=$W$7,LEFT(O1295,3)=$W$7)),"x","")</f>
        <v/>
      </c>
      <c r="X1295" s="75" t="str">
        <f>IF(OR(TH!N1295=TH!$X$7,O1295=TH!$X$7),"x","")</f>
        <v/>
      </c>
      <c r="Y1295" s="75" t="str">
        <f>IF(AND(OR(N1295="131",O1295="131"),H1295='131-CT'!$H$9),"x","")</f>
        <v/>
      </c>
      <c r="Z1295" s="75"/>
      <c r="AA1295" s="75" t="str">
        <f>IF(AND(MONTH(E1295)='IN-NX'!$J$5,'IN-NX'!$D$7=D1295),"x","")</f>
        <v/>
      </c>
      <c r="AB1295" s="75" t="str">
        <f>IF(AND(OR(LEFT(TH!N1295,2)="15",LEFT(TH!O1295,2)="15"),LEFT(TH!O1295,3)&lt;&gt;"111",'152-CT'!$J$8=TH!F1295),"x","")</f>
        <v/>
      </c>
      <c r="AC1295" s="75" t="str">
        <f>IF(AND(OR(LEFT(TH!N1295,2)="15",LEFT(TH!O1295,2)="15"),TK!$E$7=TH!F1295),"x","")</f>
        <v/>
      </c>
      <c r="AD1295" s="75" t="str">
        <f>IF(AND(N1295="1521",MONTH(C1295)='BK-NL'!$M$11),"x","")</f>
        <v/>
      </c>
      <c r="AF1295" s="1054"/>
    </row>
    <row r="1296" spans="1:32" ht="16.5" customHeight="1">
      <c r="A1296" s="309" t="str">
        <f>IF(B1296&lt;&gt;"",IF(AND(B1296='IN-TC'!$S$4,OR(TH!N1296="1111",TH!O1296="1111")),TH!D1296,""),"")</f>
        <v/>
      </c>
      <c r="B1296" s="1242">
        <f t="shared" si="294"/>
        <v>5</v>
      </c>
      <c r="C1296" s="217">
        <f t="shared" si="298"/>
        <v>42870</v>
      </c>
      <c r="D1296" s="217" t="s">
        <v>2950</v>
      </c>
      <c r="E1296" s="217">
        <v>42870</v>
      </c>
      <c r="F1296" s="429" t="s">
        <v>1588</v>
      </c>
      <c r="G1296" s="739"/>
      <c r="H1296" s="294" t="s">
        <v>2919</v>
      </c>
      <c r="I1296" s="373">
        <v>4000</v>
      </c>
      <c r="J1296" s="926">
        <v>213418.2285</v>
      </c>
      <c r="K1296" s="926"/>
      <c r="L1296" s="379"/>
      <c r="M1296" s="927">
        <f>ROUND(I1296*J1296,0)</f>
        <v>853672914</v>
      </c>
      <c r="N1296" s="935" t="s">
        <v>274</v>
      </c>
      <c r="O1296" s="935" t="s">
        <v>272</v>
      </c>
      <c r="P1296" s="75" t="str">
        <f>IF(AND('331-CT'!$E$7=TH!H1296,OR(N1296="331",O1296="331")),"x","")</f>
        <v/>
      </c>
      <c r="Q1296" s="75" t="str">
        <f>IF(AND(B1296='111'!$L$11,OR($N1296=$Q$7,$O1296=$Q$7)),"x","")</f>
        <v/>
      </c>
      <c r="R1296" s="75" t="str">
        <f>IF(AND($N1296=$Q$7,$B1296&lt;'111'!$L$11),"x","")</f>
        <v/>
      </c>
      <c r="S1296" s="75" t="str">
        <f>IF(AND($O1296=$Q$7,$B1296&lt;'111'!$L$11),"x","")</f>
        <v/>
      </c>
      <c r="T1296" s="75" t="str">
        <f>IF(ISERROR(FIND('112'!$M$9,G1296,1)),"",IF((AND(FIND('112'!$M$9,G1296,1)&gt;=1,B1296='112'!$K$9,OR($N1296='112'!$I$6,$O1296='112'!$I$6))),"x",""))</f>
        <v/>
      </c>
      <c r="U1296" s="75" t="str">
        <f>IF(ISERROR(FIND('112'!$M$9,G1296,1)),"",IF((AND(LEFT(G1296,2)=LEFT('112'!$M$9,2),B1296&lt;'112'!$K$9,$N1296='112'!$I$6)),"x",""))</f>
        <v/>
      </c>
      <c r="V1296" s="75" t="str">
        <f>IF(ISERROR(FIND('112'!$M$9,G1296,1)),"",IF((AND(RIGHT(G1296,2)=RIGHT('112'!$M$9,2),B1296&lt;'112'!$K$9,$O1296='112'!$I$6)),"x",""))</f>
        <v/>
      </c>
      <c r="W1296" s="75" t="str">
        <f>IF(AND('341-CT'!$H$9=H1296,OR(LEFT(N1296,3)=$W$7,LEFT(O1296,3)=$W$7)),"x","")</f>
        <v/>
      </c>
      <c r="X1296" s="75" t="str">
        <f>IF(OR(TH!N1296=TH!$X$7,O1296=TH!$X$7),"x","")</f>
        <v/>
      </c>
      <c r="Y1296" s="75" t="str">
        <f>IF(AND(OR(N1296="131",O1296="131"),H1296='131-CT'!$H$9),"x","")</f>
        <v/>
      </c>
      <c r="Z1296" s="75"/>
      <c r="AA1296" s="75" t="str">
        <f>IF(AND(MONTH(E1296)='IN-NX'!$J$5,'IN-NX'!$D$7=D1296),"x","")</f>
        <v/>
      </c>
      <c r="AB1296" s="75" t="str">
        <f>IF(AND(OR(LEFT(TH!N1296,2)="15",LEFT(TH!O1296,2)="15"),LEFT(TH!O1296,3)&lt;&gt;"111",'152-CT'!$J$8=TH!F1296),"x","")</f>
        <v/>
      </c>
      <c r="AC1296" s="75" t="str">
        <f>IF(AND(OR(LEFT(TH!N1296,2)="15",LEFT(TH!O1296,2)="15"),TK!$E$7=TH!F1296),"x","")</f>
        <v/>
      </c>
      <c r="AD1296" s="75" t="str">
        <f>IF(AND(N1296="1521",MONTH(C1296)='BK-NL'!$M$11),"x","")</f>
        <v/>
      </c>
      <c r="AF1296" s="1054"/>
    </row>
    <row r="1297" spans="1:32" ht="16.5" customHeight="1">
      <c r="A1297" s="309" t="str">
        <f>IF(B1297&lt;&gt;"",IF(AND(B1297='IN-TC'!$S$4,OR(TH!N1297="1111",TH!O1297="1111")),TH!D1297,""),"")</f>
        <v/>
      </c>
      <c r="B1297" s="1242">
        <f t="shared" si="294"/>
        <v>5</v>
      </c>
      <c r="C1297" s="217">
        <f t="shared" si="298"/>
        <v>42870</v>
      </c>
      <c r="D1297" s="217" t="s">
        <v>2950</v>
      </c>
      <c r="E1297" s="217">
        <v>42870</v>
      </c>
      <c r="F1297" s="429" t="s">
        <v>426</v>
      </c>
      <c r="G1297" s="739"/>
      <c r="H1297" s="294" t="s">
        <v>2919</v>
      </c>
      <c r="I1297" s="373">
        <v>4312</v>
      </c>
      <c r="J1297" s="926">
        <v>205402.28965677181</v>
      </c>
      <c r="K1297" s="926"/>
      <c r="L1297" s="379"/>
      <c r="M1297" s="927">
        <f t="shared" ref="M1297:M1299" si="299">ROUND(I1297*J1297,0)</f>
        <v>885694673</v>
      </c>
      <c r="N1297" s="935" t="s">
        <v>274</v>
      </c>
      <c r="O1297" s="935" t="s">
        <v>272</v>
      </c>
      <c r="P1297" s="75" t="str">
        <f>IF(AND('331-CT'!$E$7=TH!H1297,OR(N1297="331",O1297="331")),"x","")</f>
        <v/>
      </c>
      <c r="Q1297" s="75" t="str">
        <f>IF(AND(B1297='111'!$L$11,OR($N1297=$Q$7,$O1297=$Q$7)),"x","")</f>
        <v/>
      </c>
      <c r="R1297" s="75" t="str">
        <f>IF(AND($N1297=$Q$7,$B1297&lt;'111'!$L$11),"x","")</f>
        <v/>
      </c>
      <c r="S1297" s="75" t="str">
        <f>IF(AND($O1297=$Q$7,$B1297&lt;'111'!$L$11),"x","")</f>
        <v/>
      </c>
      <c r="T1297" s="75" t="str">
        <f>IF(ISERROR(FIND('112'!$M$9,G1297,1)),"",IF((AND(FIND('112'!$M$9,G1297,1)&gt;=1,B1297='112'!$K$9,OR($N1297='112'!$I$6,$O1297='112'!$I$6))),"x",""))</f>
        <v/>
      </c>
      <c r="U1297" s="75" t="str">
        <f>IF(ISERROR(FIND('112'!$M$9,G1297,1)),"",IF((AND(LEFT(G1297,2)=LEFT('112'!$M$9,2),B1297&lt;'112'!$K$9,$N1297='112'!$I$6)),"x",""))</f>
        <v/>
      </c>
      <c r="V1297" s="75" t="str">
        <f>IF(ISERROR(FIND('112'!$M$9,G1297,1)),"",IF((AND(RIGHT(G1297,2)=RIGHT('112'!$M$9,2),B1297&lt;'112'!$K$9,$O1297='112'!$I$6)),"x",""))</f>
        <v/>
      </c>
      <c r="W1297" s="75" t="str">
        <f>IF(AND('341-CT'!$H$9=H1297,OR(LEFT(N1297,3)=$W$7,LEFT(O1297,3)=$W$7)),"x","")</f>
        <v/>
      </c>
      <c r="X1297" s="75" t="str">
        <f>IF(OR(TH!N1297=TH!$X$7,O1297=TH!$X$7),"x","")</f>
        <v/>
      </c>
      <c r="Y1297" s="75" t="str">
        <f>IF(AND(OR(N1297="131",O1297="131"),H1297='131-CT'!$H$9),"x","")</f>
        <v/>
      </c>
      <c r="Z1297" s="75"/>
      <c r="AA1297" s="75" t="str">
        <f>IF(AND(MONTH(E1297)='IN-NX'!$J$5,'IN-NX'!$D$7=D1297),"x","")</f>
        <v/>
      </c>
      <c r="AB1297" s="75" t="str">
        <f>IF(AND(OR(LEFT(TH!N1297,2)="15",LEFT(TH!O1297,2)="15"),LEFT(TH!O1297,3)&lt;&gt;"111",'152-CT'!$J$8=TH!F1297),"x","")</f>
        <v/>
      </c>
      <c r="AC1297" s="75" t="str">
        <f>IF(AND(OR(LEFT(TH!N1297,2)="15",LEFT(TH!O1297,2)="15"),TK!$E$7=TH!F1297),"x","")</f>
        <v/>
      </c>
      <c r="AD1297" s="75" t="str">
        <f>IF(AND(N1297="1521",MONTH(C1297)='BK-NL'!$M$11),"x","")</f>
        <v/>
      </c>
      <c r="AF1297" s="1054"/>
    </row>
    <row r="1298" spans="1:32" ht="16.5" customHeight="1">
      <c r="A1298" s="309" t="str">
        <f>IF(B1298&lt;&gt;"",IF(AND(B1298='IN-TC'!$S$4,OR(TH!N1298="1111",TH!O1298="1111")),TH!D1298,""),"")</f>
        <v/>
      </c>
      <c r="B1298" s="1242">
        <f t="shared" si="294"/>
        <v>5</v>
      </c>
      <c r="C1298" s="217">
        <f t="shared" si="298"/>
        <v>42878</v>
      </c>
      <c r="D1298" s="217" t="s">
        <v>2950</v>
      </c>
      <c r="E1298" s="217">
        <v>42878</v>
      </c>
      <c r="F1298" s="429" t="s">
        <v>1401</v>
      </c>
      <c r="G1298" s="739"/>
      <c r="H1298" s="294" t="s">
        <v>2919</v>
      </c>
      <c r="I1298" s="373">
        <v>2500</v>
      </c>
      <c r="J1298" s="926">
        <v>215799.1128</v>
      </c>
      <c r="K1298" s="926"/>
      <c r="L1298" s="379"/>
      <c r="M1298" s="927">
        <f t="shared" si="299"/>
        <v>539497782</v>
      </c>
      <c r="N1298" s="935" t="s">
        <v>274</v>
      </c>
      <c r="O1298" s="935" t="s">
        <v>272</v>
      </c>
      <c r="P1298" s="75" t="str">
        <f>IF(AND('331-CT'!$E$7=TH!H1298,OR(N1298="331",O1298="331")),"x","")</f>
        <v/>
      </c>
      <c r="Q1298" s="75" t="str">
        <f>IF(AND(B1298='111'!$L$11,OR($N1298=$Q$7,$O1298=$Q$7)),"x","")</f>
        <v/>
      </c>
      <c r="R1298" s="75" t="str">
        <f>IF(AND($N1298=$Q$7,$B1298&lt;'111'!$L$11),"x","")</f>
        <v/>
      </c>
      <c r="S1298" s="75" t="str">
        <f>IF(AND($O1298=$Q$7,$B1298&lt;'111'!$L$11),"x","")</f>
        <v/>
      </c>
      <c r="T1298" s="75" t="str">
        <f>IF(ISERROR(FIND('112'!$M$9,G1298,1)),"",IF((AND(FIND('112'!$M$9,G1298,1)&gt;=1,B1298='112'!$K$9,OR($N1298='112'!$I$6,$O1298='112'!$I$6))),"x",""))</f>
        <v/>
      </c>
      <c r="U1298" s="75" t="str">
        <f>IF(ISERROR(FIND('112'!$M$9,G1298,1)),"",IF((AND(LEFT(G1298,2)=LEFT('112'!$M$9,2),B1298&lt;'112'!$K$9,$N1298='112'!$I$6)),"x",""))</f>
        <v/>
      </c>
      <c r="V1298" s="75" t="str">
        <f>IF(ISERROR(FIND('112'!$M$9,G1298,1)),"",IF((AND(RIGHT(G1298,2)=RIGHT('112'!$M$9,2),B1298&lt;'112'!$K$9,$O1298='112'!$I$6)),"x",""))</f>
        <v/>
      </c>
      <c r="W1298" s="75" t="str">
        <f>IF(AND('341-CT'!$H$9=H1298,OR(LEFT(N1298,3)=$W$7,LEFT(O1298,3)=$W$7)),"x","")</f>
        <v/>
      </c>
      <c r="X1298" s="75" t="str">
        <f>IF(OR(TH!N1298=TH!$X$7,O1298=TH!$X$7),"x","")</f>
        <v/>
      </c>
      <c r="Y1298" s="75" t="str">
        <f>IF(AND(OR(N1298="131",O1298="131"),H1298='131-CT'!$H$9),"x","")</f>
        <v/>
      </c>
      <c r="Z1298" s="75"/>
      <c r="AA1298" s="75" t="str">
        <f>IF(AND(MONTH(E1298)='IN-NX'!$J$5,'IN-NX'!$D$7=D1298),"x","")</f>
        <v/>
      </c>
      <c r="AB1298" s="75" t="str">
        <f>IF(AND(OR(LEFT(TH!N1298,2)="15",LEFT(TH!O1298,2)="15"),LEFT(TH!O1298,3)&lt;&gt;"111",'152-CT'!$J$8=TH!F1298),"x","")</f>
        <v/>
      </c>
      <c r="AC1298" s="75" t="str">
        <f>IF(AND(OR(LEFT(TH!N1298,2)="15",LEFT(TH!O1298,2)="15"),TK!$E$7=TH!F1298),"x","")</f>
        <v/>
      </c>
      <c r="AD1298" s="75" t="str">
        <f>IF(AND(N1298="1521",MONTH(C1298)='BK-NL'!$M$11),"x","")</f>
        <v/>
      </c>
      <c r="AF1298" s="1054"/>
    </row>
    <row r="1299" spans="1:32" ht="16.5" customHeight="1">
      <c r="A1299" s="309" t="str">
        <f>IF(B1299&lt;&gt;"",IF(AND(B1299='IN-TC'!$S$4,OR(TH!N1299="1111",TH!O1299="1111")),TH!D1299,""),"")</f>
        <v/>
      </c>
      <c r="B1299" s="1242">
        <f t="shared" si="294"/>
        <v>5</v>
      </c>
      <c r="C1299" s="217">
        <f t="shared" si="298"/>
        <v>42878</v>
      </c>
      <c r="D1299" s="217" t="s">
        <v>2950</v>
      </c>
      <c r="E1299" s="217">
        <v>42878</v>
      </c>
      <c r="F1299" s="429" t="s">
        <v>1588</v>
      </c>
      <c r="G1299" s="739"/>
      <c r="H1299" s="294" t="s">
        <v>2919</v>
      </c>
      <c r="I1299" s="373">
        <v>3000</v>
      </c>
      <c r="J1299" s="373">
        <v>212665.77866666668</v>
      </c>
      <c r="K1299" s="379"/>
      <c r="L1299" s="379"/>
      <c r="M1299" s="927">
        <f t="shared" si="299"/>
        <v>637997336</v>
      </c>
      <c r="N1299" s="935" t="s">
        <v>274</v>
      </c>
      <c r="O1299" s="935" t="s">
        <v>272</v>
      </c>
      <c r="P1299" s="75" t="str">
        <f>IF(AND('331-CT'!$E$7=TH!H1299,OR(N1299="331",O1299="331")),"x","")</f>
        <v/>
      </c>
      <c r="Q1299" s="75" t="str">
        <f>IF(AND(B1299='111'!$L$11,OR($N1299=$Q$7,$O1299=$Q$7)),"x","")</f>
        <v/>
      </c>
      <c r="R1299" s="75" t="str">
        <f>IF(AND($N1299=$Q$7,$B1299&lt;'111'!$L$11),"x","")</f>
        <v/>
      </c>
      <c r="S1299" s="75" t="str">
        <f>IF(AND($O1299=$Q$7,$B1299&lt;'111'!$L$11),"x","")</f>
        <v/>
      </c>
      <c r="T1299" s="75" t="str">
        <f>IF(ISERROR(FIND('112'!$M$9,G1299,1)),"",IF((AND(FIND('112'!$M$9,G1299,1)&gt;=1,B1299='112'!$K$9,OR($N1299='112'!$I$6,$O1299='112'!$I$6))),"x",""))</f>
        <v/>
      </c>
      <c r="U1299" s="75" t="str">
        <f>IF(ISERROR(FIND('112'!$M$9,G1299,1)),"",IF((AND(LEFT(G1299,2)=LEFT('112'!$M$9,2),B1299&lt;'112'!$K$9,$N1299='112'!$I$6)),"x",""))</f>
        <v/>
      </c>
      <c r="V1299" s="75" t="str">
        <f>IF(ISERROR(FIND('112'!$M$9,G1299,1)),"",IF((AND(RIGHT(G1299,2)=RIGHT('112'!$M$9,2),B1299&lt;'112'!$K$9,$O1299='112'!$I$6)),"x",""))</f>
        <v/>
      </c>
      <c r="W1299" s="75" t="str">
        <f>IF(AND('341-CT'!$H$9=H1299,OR(LEFT(N1299,3)=$W$7,LEFT(O1299,3)=$W$7)),"x","")</f>
        <v/>
      </c>
      <c r="X1299" s="75" t="str">
        <f>IF(OR(TH!N1299=TH!$X$7,O1299=TH!$X$7),"x","")</f>
        <v/>
      </c>
      <c r="Y1299" s="75" t="str">
        <f>IF(AND(OR(N1299="131",O1299="131"),H1299='131-CT'!$H$9),"x","")</f>
        <v/>
      </c>
      <c r="Z1299" s="75"/>
      <c r="AA1299" s="75" t="str">
        <f>IF(AND(MONTH(E1299)='IN-NX'!$J$5,'IN-NX'!$D$7=D1299),"x","")</f>
        <v/>
      </c>
      <c r="AB1299" s="75" t="str">
        <f>IF(AND(OR(LEFT(TH!N1299,2)="15",LEFT(TH!O1299,2)="15"),LEFT(TH!O1299,3)&lt;&gt;"111",'152-CT'!$J$8=TH!F1299),"x","")</f>
        <v/>
      </c>
      <c r="AC1299" s="75" t="str">
        <f>IF(AND(OR(LEFT(TH!N1299,2)="15",LEFT(TH!O1299,2)="15"),TK!$E$7=TH!F1299),"x","")</f>
        <v/>
      </c>
      <c r="AD1299" s="75" t="str">
        <f>IF(AND(N1299="1521",MONTH(C1299)='BK-NL'!$M$11),"x","")</f>
        <v/>
      </c>
      <c r="AF1299" s="1054"/>
    </row>
    <row r="1300" spans="1:32" s="1264" customFormat="1" ht="16.5" customHeight="1">
      <c r="A1300" s="309" t="str">
        <f>IF(B1300&lt;&gt;"",IF(AND(B1300='IN-TC'!$S$4,OR(TH!N1300="1111",TH!O1300="1111")),TH!D1300,""),"")</f>
        <v/>
      </c>
      <c r="B1300" s="1242">
        <f t="shared" si="294"/>
        <v>5</v>
      </c>
      <c r="C1300" s="252">
        <f>E1300</f>
        <v>42860</v>
      </c>
      <c r="D1300" s="252" t="s">
        <v>2921</v>
      </c>
      <c r="E1300" s="252">
        <v>42860</v>
      </c>
      <c r="F1300" s="1055" t="s">
        <v>429</v>
      </c>
      <c r="G1300" s="1056" t="s">
        <v>2933</v>
      </c>
      <c r="H1300" s="735" t="s">
        <v>623</v>
      </c>
      <c r="I1300" s="371">
        <v>79170</v>
      </c>
      <c r="J1300" s="371">
        <v>63000</v>
      </c>
      <c r="K1300" s="371"/>
      <c r="L1300" s="377"/>
      <c r="M1300" s="933">
        <f>ROUND(I1300*J1300,0)</f>
        <v>4987710000</v>
      </c>
      <c r="N1300" s="977" t="s">
        <v>284</v>
      </c>
      <c r="O1300" s="977" t="s">
        <v>274</v>
      </c>
      <c r="P1300" s="75" t="str">
        <f>IF(AND('331-CT'!$E$7=TH!H1300,OR(N1300="331",O1300="331")),"x","")</f>
        <v/>
      </c>
      <c r="Q1300" s="75" t="str">
        <f>IF(AND(B1300='111'!$L$11,OR($N1300=$Q$7,$O1300=$Q$7)),"x","")</f>
        <v/>
      </c>
      <c r="R1300" s="75" t="str">
        <f>IF(AND($N1300=$Q$7,$B1300&lt;'111'!$L$11),"x","")</f>
        <v/>
      </c>
      <c r="S1300" s="75" t="str">
        <f>IF(AND($O1300=$Q$7,$B1300&lt;'111'!$L$11),"x","")</f>
        <v/>
      </c>
      <c r="T1300" s="75" t="str">
        <f>IF(ISERROR(FIND('112'!$M$9,G1300,1)),"",IF((AND(FIND('112'!$M$9,G1300,1)&gt;=1,B1300='112'!$K$9,OR($N1300='112'!$I$6,$O1300='112'!$I$6))),"x",""))</f>
        <v/>
      </c>
      <c r="U1300" s="75" t="str">
        <f>IF(ISERROR(FIND('112'!$M$9,G1300,1)),"",IF((AND(LEFT(G1300,2)=LEFT('112'!$M$9,2),B1300&lt;'112'!$K$9,$N1300='112'!$I$6)),"x",""))</f>
        <v/>
      </c>
      <c r="V1300" s="75" t="str">
        <f>IF(ISERROR(FIND('112'!$M$9,G1300,1)),"",IF((AND(RIGHT(G1300,2)=RIGHT('112'!$M$9,2),B1300&lt;'112'!$K$9,$O1300='112'!$I$6)),"x",""))</f>
        <v/>
      </c>
      <c r="W1300" s="75" t="str">
        <f>IF(AND('341-CT'!$H$9=H1300,OR(LEFT(N1300,3)=$W$7,LEFT(O1300,3)=$W$7)),"x","")</f>
        <v/>
      </c>
      <c r="X1300" s="75" t="str">
        <f>IF(OR(TH!N1300=TH!$X$7,O1300=TH!$X$7),"x","")</f>
        <v/>
      </c>
      <c r="Y1300" s="75" t="str">
        <f>IF(AND(OR(N1300="131",O1300="131"),H1300='131-CT'!$H$9),"x","")</f>
        <v/>
      </c>
      <c r="Z1300" s="75"/>
      <c r="AA1300" s="75" t="str">
        <f>IF(AND(MONTH(E1300)='IN-NX'!$J$5,'IN-NX'!$D$7=D1300),"x","")</f>
        <v/>
      </c>
      <c r="AB1300" s="75" t="str">
        <f>IF(AND(OR(LEFT(TH!N1300,2)="15",LEFT(TH!O1300,2)="15"),LEFT(TH!O1300,3)&lt;&gt;"111",'152-CT'!$J$8=TH!F1300),"x","")</f>
        <v/>
      </c>
      <c r="AC1300" s="75" t="str">
        <f>IF(AND(OR(LEFT(TH!N1300,2)="15",LEFT(TH!O1300,2)="15"),TK!$E$7=TH!F1300),"x","")</f>
        <v/>
      </c>
      <c r="AD1300" s="75" t="str">
        <f>IF(AND(N1300="1521",MONTH(C1300)='BK-NL'!$M$11),"x","")</f>
        <v/>
      </c>
      <c r="AF1300" s="1054"/>
    </row>
    <row r="1301" spans="1:32" s="1264" customFormat="1" ht="16.5" customHeight="1">
      <c r="A1301" s="309" t="str">
        <f>IF(B1301&lt;&gt;"",IF(AND(B1301='IN-TC'!$S$4,OR(TH!N1301="1111",TH!O1301="1111")),TH!D1301,""),"")</f>
        <v/>
      </c>
      <c r="B1301" s="1275">
        <f>IF(C1301&lt;&gt;"",MONTH(C1301),"")</f>
        <v>5</v>
      </c>
      <c r="C1301" s="252">
        <f>E1301</f>
        <v>42870</v>
      </c>
      <c r="D1301" s="252" t="s">
        <v>2921</v>
      </c>
      <c r="E1301" s="252">
        <v>42870</v>
      </c>
      <c r="F1301" s="1055" t="s">
        <v>429</v>
      </c>
      <c r="G1301" s="1056" t="s">
        <v>2923</v>
      </c>
      <c r="H1301" s="735" t="s">
        <v>623</v>
      </c>
      <c r="I1301" s="371">
        <f>79170*5+52780*2</f>
        <v>501410</v>
      </c>
      <c r="J1301" s="371">
        <v>59500</v>
      </c>
      <c r="K1301" s="371"/>
      <c r="L1301" s="377"/>
      <c r="M1301" s="933">
        <f>ROUND(I1301*J1301,0)</f>
        <v>29833895000</v>
      </c>
      <c r="N1301" s="977" t="s">
        <v>284</v>
      </c>
      <c r="O1301" s="977" t="s">
        <v>274</v>
      </c>
      <c r="P1301" s="75" t="str">
        <f>IF(AND('331-CT'!$E$7=TH!H1301,OR(N1301="331",O1301="331")),"x","")</f>
        <v/>
      </c>
      <c r="Q1301" s="75" t="str">
        <f>IF(AND(B1301='111'!$L$11,OR($N1301=$Q$7,$O1301=$Q$7)),"x","")</f>
        <v/>
      </c>
      <c r="R1301" s="75" t="str">
        <f>IF(AND($N1301=$Q$7,$B1301&lt;'111'!$L$11),"x","")</f>
        <v/>
      </c>
      <c r="S1301" s="75" t="str">
        <f>IF(AND($O1301=$Q$7,$B1301&lt;'111'!$L$11),"x","")</f>
        <v/>
      </c>
      <c r="T1301" s="75" t="str">
        <f>IF(ISERROR(FIND('112'!$M$9,G1301,1)),"",IF((AND(FIND('112'!$M$9,G1301,1)&gt;=1,B1301='112'!$K$9,OR($N1301='112'!$I$6,$O1301='112'!$I$6))),"x",""))</f>
        <v/>
      </c>
      <c r="U1301" s="75" t="str">
        <f>IF(ISERROR(FIND('112'!$M$9,G1301,1)),"",IF((AND(LEFT(G1301,2)=LEFT('112'!$M$9,2),B1301&lt;'112'!$K$9,$N1301='112'!$I$6)),"x",""))</f>
        <v/>
      </c>
      <c r="V1301" s="75" t="str">
        <f>IF(ISERROR(FIND('112'!$M$9,G1301,1)),"",IF((AND(RIGHT(G1301,2)=RIGHT('112'!$M$9,2),B1301&lt;'112'!$K$9,$O1301='112'!$I$6)),"x",""))</f>
        <v/>
      </c>
      <c r="W1301" s="75" t="str">
        <f>IF(AND('341-CT'!$H$9=H1301,OR(LEFT(N1301,3)=$W$7,LEFT(O1301,3)=$W$7)),"x","")</f>
        <v/>
      </c>
      <c r="X1301" s="75" t="str">
        <f>IF(OR(TH!N1301=TH!$X$7,O1301=TH!$X$7),"x","")</f>
        <v/>
      </c>
      <c r="Y1301" s="75" t="str">
        <f>IF(AND(OR(N1301="131",O1301="131"),H1301='131-CT'!$H$9),"x","")</f>
        <v/>
      </c>
      <c r="Z1301" s="75"/>
      <c r="AA1301" s="75" t="str">
        <f>IF(AND(MONTH(E1301)='IN-NX'!$J$5,'IN-NX'!$D$7=D1301),"x","")</f>
        <v/>
      </c>
      <c r="AB1301" s="75" t="str">
        <f>IF(AND(OR(LEFT(TH!N1301,2)="15",LEFT(TH!O1301,2)="15"),LEFT(TH!O1301,3)&lt;&gt;"111",'152-CT'!$J$8=TH!F1301),"x","")</f>
        <v/>
      </c>
      <c r="AC1301" s="75" t="str">
        <f>IF(AND(OR(LEFT(TH!N1301,2)="15",LEFT(TH!O1301,2)="15"),TK!$E$7=TH!F1301),"x","")</f>
        <v/>
      </c>
      <c r="AD1301" s="75" t="str">
        <f>IF(AND(N1301="1521",MONTH(C1301)='BK-NL'!$M$11),"x","")</f>
        <v/>
      </c>
      <c r="AF1301" s="1054"/>
    </row>
    <row r="1302" spans="1:32" s="1264" customFormat="1" ht="16.5" customHeight="1">
      <c r="A1302" s="309" t="str">
        <f>IF(B1302&lt;&gt;"",IF(AND(B1302='IN-TC'!$S$4,OR(TH!N1302="1111",TH!O1302="1111")),TH!D1302,""),"")</f>
        <v/>
      </c>
      <c r="B1302" s="1275">
        <f>IF(C1302&lt;&gt;"",MONTH(C1302),"")</f>
        <v>5</v>
      </c>
      <c r="C1302" s="252">
        <f>E1302</f>
        <v>42882</v>
      </c>
      <c r="D1302" s="252" t="s">
        <v>2921</v>
      </c>
      <c r="E1302" s="252">
        <v>42882</v>
      </c>
      <c r="F1302" s="1055" t="s">
        <v>429</v>
      </c>
      <c r="G1302" s="1056" t="s">
        <v>2924</v>
      </c>
      <c r="H1302" s="735" t="s">
        <v>759</v>
      </c>
      <c r="I1302" s="371">
        <f>158340*6+105560-SUM(I1300:I1301)</f>
        <v>475020</v>
      </c>
      <c r="J1302" s="371">
        <v>60427.12846406467</v>
      </c>
      <c r="K1302" s="371"/>
      <c r="L1302" s="377"/>
      <c r="M1302" s="933">
        <f>ROUND(I1302*J1302,0)</f>
        <v>28704094563</v>
      </c>
      <c r="N1302" s="977" t="s">
        <v>284</v>
      </c>
      <c r="O1302" s="977" t="s">
        <v>274</v>
      </c>
      <c r="P1302" s="75" t="str">
        <f>IF(AND('331-CT'!$E$7=TH!H1302,OR(N1302="331",O1302="331")),"x","")</f>
        <v/>
      </c>
      <c r="Q1302" s="75" t="str">
        <f>IF(AND(B1302='111'!$L$11,OR($N1302=$Q$7,$O1302=$Q$7)),"x","")</f>
        <v/>
      </c>
      <c r="R1302" s="75" t="str">
        <f>IF(AND($N1302=$Q$7,$B1302&lt;'111'!$L$11),"x","")</f>
        <v/>
      </c>
      <c r="S1302" s="75" t="str">
        <f>IF(AND($O1302=$Q$7,$B1302&lt;'111'!$L$11),"x","")</f>
        <v/>
      </c>
      <c r="T1302" s="75" t="str">
        <f>IF(ISERROR(FIND('112'!$M$9,G1302,1)),"",IF((AND(FIND('112'!$M$9,G1302,1)&gt;=1,B1302='112'!$K$9,OR($N1302='112'!$I$6,$O1302='112'!$I$6))),"x",""))</f>
        <v/>
      </c>
      <c r="U1302" s="75" t="str">
        <f>IF(ISERROR(FIND('112'!$M$9,G1302,1)),"",IF((AND(LEFT(G1302,2)=LEFT('112'!$M$9,2),B1302&lt;'112'!$K$9,$N1302='112'!$I$6)),"x",""))</f>
        <v/>
      </c>
      <c r="V1302" s="75" t="str">
        <f>IF(ISERROR(FIND('112'!$M$9,G1302,1)),"",IF((AND(RIGHT(G1302,2)=RIGHT('112'!$M$9,2),B1302&lt;'112'!$K$9,$O1302='112'!$I$6)),"x",""))</f>
        <v/>
      </c>
      <c r="W1302" s="75" t="str">
        <f>IF(AND('341-CT'!$H$9=H1302,OR(LEFT(N1302,3)=$W$7,LEFT(O1302,3)=$W$7)),"x","")</f>
        <v/>
      </c>
      <c r="X1302" s="75" t="str">
        <f>IF(OR(TH!N1302=TH!$X$7,O1302=TH!$X$7),"x","")</f>
        <v/>
      </c>
      <c r="Y1302" s="75" t="str">
        <f>IF(AND(OR(N1302="131",O1302="131"),H1302='131-CT'!$H$9),"x","")</f>
        <v/>
      </c>
      <c r="Z1302" s="75"/>
      <c r="AA1302" s="75" t="str">
        <f>IF(AND(MONTH(E1302)='IN-NX'!$J$5,'IN-NX'!$D$7=D1302),"x","")</f>
        <v/>
      </c>
      <c r="AB1302" s="75" t="str">
        <f>IF(AND(OR(LEFT(TH!N1302,2)="15",LEFT(TH!O1302,2)="15"),LEFT(TH!O1302,3)&lt;&gt;"111",'152-CT'!$J$8=TH!F1302),"x","")</f>
        <v/>
      </c>
      <c r="AC1302" s="75" t="str">
        <f>IF(AND(OR(LEFT(TH!N1302,2)="15",LEFT(TH!O1302,2)="15"),TK!$E$7=TH!F1302),"x","")</f>
        <v/>
      </c>
      <c r="AD1302" s="75" t="str">
        <f>IF(AND(N1302="1521",MONTH(C1302)='BK-NL'!$M$11),"x","")</f>
        <v/>
      </c>
      <c r="AF1302" s="1054"/>
    </row>
    <row r="1303" spans="1:32" s="1264" customFormat="1" ht="16.5" customHeight="1">
      <c r="A1303" s="309" t="str">
        <f>IF(B1303&lt;&gt;"",IF(AND(B1303='IN-TC'!$S$4,OR(TH!N1303="1111",TH!O1303="1111")),TH!D1303,""),"")</f>
        <v/>
      </c>
      <c r="B1303" s="1242">
        <f t="shared" si="294"/>
        <v>5</v>
      </c>
      <c r="C1303" s="252">
        <f t="shared" ref="C1303:C1306" si="300">E1303</f>
        <v>42866</v>
      </c>
      <c r="D1303" s="252" t="s">
        <v>2921</v>
      </c>
      <c r="E1303" s="252">
        <v>42866</v>
      </c>
      <c r="F1303" s="730" t="s">
        <v>425</v>
      </c>
      <c r="G1303" s="1056" t="s">
        <v>1382</v>
      </c>
      <c r="H1303" s="735" t="s">
        <v>1387</v>
      </c>
      <c r="I1303" s="371">
        <v>1000</v>
      </c>
      <c r="J1303" s="371">
        <v>634437.39599999995</v>
      </c>
      <c r="K1303" s="371"/>
      <c r="L1303" s="377"/>
      <c r="M1303" s="933">
        <f t="shared" ref="M1303:M1306" si="301">ROUND(I1303*J1303,0)</f>
        <v>634437396</v>
      </c>
      <c r="N1303" s="977" t="s">
        <v>284</v>
      </c>
      <c r="O1303" s="977" t="s">
        <v>274</v>
      </c>
      <c r="P1303" s="75" t="str">
        <f>IF(AND('331-CT'!$E$7=TH!H1303,OR(N1303="331",O1303="331")),"x","")</f>
        <v/>
      </c>
      <c r="Q1303" s="75" t="str">
        <f>IF(AND(B1303='111'!$L$11,OR($N1303=$Q$7,$O1303=$Q$7)),"x","")</f>
        <v/>
      </c>
      <c r="R1303" s="75" t="str">
        <f>IF(AND($N1303=$Q$7,$B1303&lt;'111'!$L$11),"x","")</f>
        <v/>
      </c>
      <c r="S1303" s="75" t="str">
        <f>IF(AND($O1303=$Q$7,$B1303&lt;'111'!$L$11),"x","")</f>
        <v/>
      </c>
      <c r="T1303" s="75" t="str">
        <f>IF(ISERROR(FIND('112'!$M$9,G1303,1)),"",IF((AND(FIND('112'!$M$9,G1303,1)&gt;=1,B1303='112'!$K$9,OR($N1303='112'!$I$6,$O1303='112'!$I$6))),"x",""))</f>
        <v/>
      </c>
      <c r="U1303" s="75" t="str">
        <f>IF(ISERROR(FIND('112'!$M$9,G1303,1)),"",IF((AND(LEFT(G1303,2)=LEFT('112'!$M$9,2),B1303&lt;'112'!$K$9,$N1303='112'!$I$6)),"x",""))</f>
        <v/>
      </c>
      <c r="V1303" s="75" t="str">
        <f>IF(ISERROR(FIND('112'!$M$9,G1303,1)),"",IF((AND(RIGHT(G1303,2)=RIGHT('112'!$M$9,2),B1303&lt;'112'!$K$9,$O1303='112'!$I$6)),"x",""))</f>
        <v/>
      </c>
      <c r="W1303" s="75" t="str">
        <f>IF(AND('341-CT'!$H$9=H1303,OR(LEFT(N1303,3)=$W$7,LEFT(O1303,3)=$W$7)),"x","")</f>
        <v/>
      </c>
      <c r="X1303" s="75" t="str">
        <f>IF(OR(TH!N1303=TH!$X$7,O1303=TH!$X$7),"x","")</f>
        <v/>
      </c>
      <c r="Y1303" s="75" t="str">
        <f>IF(AND(OR(N1303="131",O1303="131"),H1303='131-CT'!$H$9),"x","")</f>
        <v/>
      </c>
      <c r="Z1303" s="75"/>
      <c r="AA1303" s="75" t="str">
        <f>IF(AND(MONTH(E1303)='IN-NX'!$J$5,'IN-NX'!$D$7=D1303),"x","")</f>
        <v/>
      </c>
      <c r="AB1303" s="75" t="str">
        <f>IF(AND(OR(LEFT(TH!N1303,2)="15",LEFT(TH!O1303,2)="15"),LEFT(TH!O1303,3)&lt;&gt;"111",'152-CT'!$J$8=TH!F1303),"x","")</f>
        <v/>
      </c>
      <c r="AC1303" s="75" t="str">
        <f>IF(AND(OR(LEFT(TH!N1303,2)="15",LEFT(TH!O1303,2)="15"),TK!$E$7=TH!F1303),"x","")</f>
        <v/>
      </c>
      <c r="AD1303" s="75" t="str">
        <f>IF(AND(N1303="1521",MONTH(C1303)='BK-NL'!$M$11),"x","")</f>
        <v/>
      </c>
      <c r="AF1303" s="1054"/>
    </row>
    <row r="1304" spans="1:32" s="1264" customFormat="1" ht="16.5" customHeight="1">
      <c r="A1304" s="309" t="str">
        <f>IF(B1304&lt;&gt;"",IF(AND(B1304='IN-TC'!$S$4,OR(TH!N1304="1111",TH!O1304="1111")),TH!D1304,""),"")</f>
        <v/>
      </c>
      <c r="B1304" s="1242">
        <f t="shared" si="294"/>
        <v>5</v>
      </c>
      <c r="C1304" s="252">
        <f t="shared" si="300"/>
        <v>42866</v>
      </c>
      <c r="D1304" s="252" t="s">
        <v>2921</v>
      </c>
      <c r="E1304" s="252">
        <v>42866</v>
      </c>
      <c r="F1304" s="730" t="s">
        <v>1588</v>
      </c>
      <c r="G1304" s="1056" t="s">
        <v>1382</v>
      </c>
      <c r="H1304" s="735" t="s">
        <v>1387</v>
      </c>
      <c r="I1304" s="371">
        <v>2000</v>
      </c>
      <c r="J1304" s="371">
        <v>212923.2285</v>
      </c>
      <c r="K1304" s="371"/>
      <c r="L1304" s="377"/>
      <c r="M1304" s="933">
        <f t="shared" si="301"/>
        <v>425846457</v>
      </c>
      <c r="N1304" s="977" t="s">
        <v>284</v>
      </c>
      <c r="O1304" s="977" t="s">
        <v>274</v>
      </c>
      <c r="P1304" s="75" t="str">
        <f>IF(AND('331-CT'!$E$7=TH!H1304,OR(N1304="331",O1304="331")),"x","")</f>
        <v/>
      </c>
      <c r="Q1304" s="75" t="str">
        <f>IF(AND(B1304='111'!$L$11,OR($N1304=$Q$7,$O1304=$Q$7)),"x","")</f>
        <v/>
      </c>
      <c r="R1304" s="75" t="str">
        <f>IF(AND($N1304=$Q$7,$B1304&lt;'111'!$L$11),"x","")</f>
        <v/>
      </c>
      <c r="S1304" s="75" t="str">
        <f>IF(AND($O1304=$Q$7,$B1304&lt;'111'!$L$11),"x","")</f>
        <v/>
      </c>
      <c r="T1304" s="75" t="str">
        <f>IF(ISERROR(FIND('112'!$M$9,G1304,1)),"",IF((AND(FIND('112'!$M$9,G1304,1)&gt;=1,B1304='112'!$K$9,OR($N1304='112'!$I$6,$O1304='112'!$I$6))),"x",""))</f>
        <v/>
      </c>
      <c r="U1304" s="75" t="str">
        <f>IF(ISERROR(FIND('112'!$M$9,G1304,1)),"",IF((AND(LEFT(G1304,2)=LEFT('112'!$M$9,2),B1304&lt;'112'!$K$9,$N1304='112'!$I$6)),"x",""))</f>
        <v/>
      </c>
      <c r="V1304" s="75" t="str">
        <f>IF(ISERROR(FIND('112'!$M$9,G1304,1)),"",IF((AND(RIGHT(G1304,2)=RIGHT('112'!$M$9,2),B1304&lt;'112'!$K$9,$O1304='112'!$I$6)),"x",""))</f>
        <v/>
      </c>
      <c r="W1304" s="75" t="str">
        <f>IF(AND('341-CT'!$H$9=H1304,OR(LEFT(N1304,3)=$W$7,LEFT(O1304,3)=$W$7)),"x","")</f>
        <v/>
      </c>
      <c r="X1304" s="75" t="str">
        <f>IF(OR(TH!N1304=TH!$X$7,O1304=TH!$X$7),"x","")</f>
        <v/>
      </c>
      <c r="Y1304" s="75" t="str">
        <f>IF(AND(OR(N1304="131",O1304="131"),H1304='131-CT'!$H$9),"x","")</f>
        <v/>
      </c>
      <c r="Z1304" s="75"/>
      <c r="AA1304" s="75" t="str">
        <f>IF(AND(MONTH(E1304)='IN-NX'!$J$5,'IN-NX'!$D$7=D1304),"x","")</f>
        <v/>
      </c>
      <c r="AB1304" s="75" t="str">
        <f>IF(AND(OR(LEFT(TH!N1304,2)="15",LEFT(TH!O1304,2)="15"),LEFT(TH!O1304,3)&lt;&gt;"111",'152-CT'!$J$8=TH!F1304),"x","")</f>
        <v/>
      </c>
      <c r="AC1304" s="75" t="str">
        <f>IF(AND(OR(LEFT(TH!N1304,2)="15",LEFT(TH!O1304,2)="15"),TK!$E$7=TH!F1304),"x","")</f>
        <v/>
      </c>
      <c r="AD1304" s="75" t="str">
        <f>IF(AND(N1304="1521",MONTH(C1304)='BK-NL'!$M$11),"x","")</f>
        <v/>
      </c>
      <c r="AF1304" s="1054"/>
    </row>
    <row r="1305" spans="1:32" s="1264" customFormat="1" ht="16.5" customHeight="1">
      <c r="A1305" s="309" t="str">
        <f>IF(B1305&lt;&gt;"",IF(AND(B1305='IN-TC'!$S$4,OR(TH!N1305="1111",TH!O1305="1111")),TH!D1305,""),"")</f>
        <v/>
      </c>
      <c r="B1305" s="1242">
        <f t="shared" si="294"/>
        <v>5</v>
      </c>
      <c r="C1305" s="252">
        <f t="shared" si="300"/>
        <v>42870</v>
      </c>
      <c r="D1305" s="252" t="s">
        <v>2921</v>
      </c>
      <c r="E1305" s="252">
        <v>42870</v>
      </c>
      <c r="F1305" s="1055" t="s">
        <v>793</v>
      </c>
      <c r="G1305" s="1056" t="s">
        <v>1383</v>
      </c>
      <c r="H1305" s="735" t="s">
        <v>746</v>
      </c>
      <c r="I1305" s="371">
        <v>6000</v>
      </c>
      <c r="J1305" s="371">
        <v>164077.26850000001</v>
      </c>
      <c r="K1305" s="371"/>
      <c r="L1305" s="377"/>
      <c r="M1305" s="933">
        <f t="shared" si="301"/>
        <v>984463611</v>
      </c>
      <c r="N1305" s="977" t="s">
        <v>284</v>
      </c>
      <c r="O1305" s="977" t="s">
        <v>274</v>
      </c>
      <c r="P1305" s="75" t="str">
        <f>IF(AND('331-CT'!$E$7=TH!H1305,OR(N1305="331",O1305="331")),"x","")</f>
        <v/>
      </c>
      <c r="Q1305" s="75" t="str">
        <f>IF(AND(B1305='111'!$L$11,OR($N1305=$Q$7,$O1305=$Q$7)),"x","")</f>
        <v/>
      </c>
      <c r="R1305" s="75" t="str">
        <f>IF(AND($N1305=$Q$7,$B1305&lt;'111'!$L$11),"x","")</f>
        <v/>
      </c>
      <c r="S1305" s="75" t="str">
        <f>IF(AND($O1305=$Q$7,$B1305&lt;'111'!$L$11),"x","")</f>
        <v/>
      </c>
      <c r="T1305" s="75" t="str">
        <f>IF(ISERROR(FIND('112'!$M$9,G1305,1)),"",IF((AND(FIND('112'!$M$9,G1305,1)&gt;=1,B1305='112'!$K$9,OR($N1305='112'!$I$6,$O1305='112'!$I$6))),"x",""))</f>
        <v/>
      </c>
      <c r="U1305" s="75" t="str">
        <f>IF(ISERROR(FIND('112'!$M$9,G1305,1)),"",IF((AND(LEFT(G1305,2)=LEFT('112'!$M$9,2),B1305&lt;'112'!$K$9,$N1305='112'!$I$6)),"x",""))</f>
        <v/>
      </c>
      <c r="V1305" s="75" t="str">
        <f>IF(ISERROR(FIND('112'!$M$9,G1305,1)),"",IF((AND(RIGHT(G1305,2)=RIGHT('112'!$M$9,2),B1305&lt;'112'!$K$9,$O1305='112'!$I$6)),"x",""))</f>
        <v/>
      </c>
      <c r="W1305" s="75" t="str">
        <f>IF(AND('341-CT'!$H$9=H1305,OR(LEFT(N1305,3)=$W$7,LEFT(O1305,3)=$W$7)),"x","")</f>
        <v/>
      </c>
      <c r="X1305" s="75" t="str">
        <f>IF(OR(TH!N1305=TH!$X$7,O1305=TH!$X$7),"x","")</f>
        <v/>
      </c>
      <c r="Y1305" s="75" t="str">
        <f>IF(AND(OR(N1305="131",O1305="131"),H1305='131-CT'!$H$9),"x","")</f>
        <v/>
      </c>
      <c r="Z1305" s="75"/>
      <c r="AA1305" s="75" t="str">
        <f>IF(AND(MONTH(E1305)='IN-NX'!$J$5,'IN-NX'!$D$7=D1305),"x","")</f>
        <v/>
      </c>
      <c r="AB1305" s="75" t="str">
        <f>IF(AND(OR(LEFT(TH!N1305,2)="15",LEFT(TH!O1305,2)="15"),LEFT(TH!O1305,3)&lt;&gt;"111",'152-CT'!$J$8=TH!F1305),"x","")</f>
        <v/>
      </c>
      <c r="AC1305" s="75" t="str">
        <f>IF(AND(OR(LEFT(TH!N1305,2)="15",LEFT(TH!O1305,2)="15"),TK!$E$7=TH!F1305),"x","")</f>
        <v/>
      </c>
      <c r="AD1305" s="75" t="str">
        <f>IF(AND(N1305="1521",MONTH(C1305)='BK-NL'!$M$11),"x","")</f>
        <v/>
      </c>
      <c r="AF1305" s="1054"/>
    </row>
    <row r="1306" spans="1:32" s="1264" customFormat="1" ht="16.5" customHeight="1">
      <c r="A1306" s="309" t="str">
        <f>IF(B1306&lt;&gt;"",IF(AND(B1306='IN-TC'!$S$4,OR(TH!N1306="1111",TH!O1306="1111")),TH!D1306,""),"")</f>
        <v/>
      </c>
      <c r="B1306" s="1275">
        <f t="shared" ref="B1306:B1310" si="302">IF(C1306&lt;&gt;"",MONTH(C1306),"")</f>
        <v>5</v>
      </c>
      <c r="C1306" s="252">
        <f t="shared" si="300"/>
        <v>42870</v>
      </c>
      <c r="D1306" s="252" t="s">
        <v>2921</v>
      </c>
      <c r="E1306" s="252">
        <v>42870</v>
      </c>
      <c r="F1306" s="730" t="s">
        <v>1588</v>
      </c>
      <c r="G1306" s="1056" t="s">
        <v>1383</v>
      </c>
      <c r="H1306" s="735" t="s">
        <v>746</v>
      </c>
      <c r="I1306" s="371">
        <v>4000</v>
      </c>
      <c r="J1306" s="371">
        <v>213418.2285</v>
      </c>
      <c r="K1306" s="371"/>
      <c r="L1306" s="377"/>
      <c r="M1306" s="933">
        <f t="shared" si="301"/>
        <v>853672914</v>
      </c>
      <c r="N1306" s="977" t="s">
        <v>284</v>
      </c>
      <c r="O1306" s="977" t="s">
        <v>274</v>
      </c>
      <c r="P1306" s="75" t="str">
        <f>IF(AND('331-CT'!$E$7=TH!H1306,OR(N1306="331",O1306="331")),"x","")</f>
        <v/>
      </c>
      <c r="Q1306" s="75" t="str">
        <f>IF(AND(B1306='111'!$L$11,OR($N1306=$Q$7,$O1306=$Q$7)),"x","")</f>
        <v/>
      </c>
      <c r="R1306" s="75" t="str">
        <f>IF(AND($N1306=$Q$7,$B1306&lt;'111'!$L$11),"x","")</f>
        <v/>
      </c>
      <c r="S1306" s="75" t="str">
        <f>IF(AND($O1306=$Q$7,$B1306&lt;'111'!$L$11),"x","")</f>
        <v/>
      </c>
      <c r="T1306" s="75" t="str">
        <f>IF(ISERROR(FIND('112'!$M$9,G1306,1)),"",IF((AND(FIND('112'!$M$9,G1306,1)&gt;=1,B1306='112'!$K$9,OR($N1306='112'!$I$6,$O1306='112'!$I$6))),"x",""))</f>
        <v/>
      </c>
      <c r="U1306" s="75" t="str">
        <f>IF(ISERROR(FIND('112'!$M$9,G1306,1)),"",IF((AND(LEFT(G1306,2)=LEFT('112'!$M$9,2),B1306&lt;'112'!$K$9,$N1306='112'!$I$6)),"x",""))</f>
        <v/>
      </c>
      <c r="V1306" s="75" t="str">
        <f>IF(ISERROR(FIND('112'!$M$9,G1306,1)),"",IF((AND(RIGHT(G1306,2)=RIGHT('112'!$M$9,2),B1306&lt;'112'!$K$9,$O1306='112'!$I$6)),"x",""))</f>
        <v/>
      </c>
      <c r="W1306" s="75" t="str">
        <f>IF(AND('341-CT'!$H$9=H1306,OR(LEFT(N1306,3)=$W$7,LEFT(O1306,3)=$W$7)),"x","")</f>
        <v/>
      </c>
      <c r="X1306" s="75" t="str">
        <f>IF(OR(TH!N1306=TH!$X$7,O1306=TH!$X$7),"x","")</f>
        <v/>
      </c>
      <c r="Y1306" s="75" t="str">
        <f>IF(AND(OR(N1306="131",O1306="131"),H1306='131-CT'!$H$9),"x","")</f>
        <v/>
      </c>
      <c r="Z1306" s="75"/>
      <c r="AA1306" s="75" t="str">
        <f>IF(AND(MONTH(E1306)='IN-NX'!$J$5,'IN-NX'!$D$7=D1306),"x","")</f>
        <v/>
      </c>
      <c r="AB1306" s="75" t="str">
        <f>IF(AND(OR(LEFT(TH!N1306,2)="15",LEFT(TH!O1306,2)="15"),LEFT(TH!O1306,3)&lt;&gt;"111",'152-CT'!$J$8=TH!F1306),"x","")</f>
        <v/>
      </c>
      <c r="AC1306" s="75" t="str">
        <f>IF(AND(OR(LEFT(TH!N1306,2)="15",LEFT(TH!O1306,2)="15"),TK!$E$7=TH!F1306),"x","")</f>
        <v/>
      </c>
      <c r="AD1306" s="75" t="str">
        <f>IF(AND(N1306="1521",MONTH(C1306)='BK-NL'!$M$11),"x","")</f>
        <v/>
      </c>
      <c r="AF1306" s="1054"/>
    </row>
    <row r="1307" spans="1:32" s="1264" customFormat="1" ht="16.5" customHeight="1">
      <c r="A1307" s="309" t="str">
        <f>IF(B1307&lt;&gt;"",IF(AND(B1307='IN-TC'!$S$4,OR(TH!N1307="1111",TH!O1307="1111")),TH!D1307,""),"")</f>
        <v/>
      </c>
      <c r="B1307" s="1275">
        <f t="shared" si="302"/>
        <v>5</v>
      </c>
      <c r="C1307" s="252">
        <f t="shared" ref="C1307:C1310" si="303">E1307</f>
        <v>42870</v>
      </c>
      <c r="D1307" s="252" t="s">
        <v>2921</v>
      </c>
      <c r="E1307" s="252">
        <v>42870</v>
      </c>
      <c r="F1307" s="730" t="s">
        <v>426</v>
      </c>
      <c r="G1307" s="1056" t="s">
        <v>1385</v>
      </c>
      <c r="H1307" s="1185" t="s">
        <v>544</v>
      </c>
      <c r="I1307" s="371">
        <v>4312</v>
      </c>
      <c r="J1307" s="371">
        <v>205402.28965677181</v>
      </c>
      <c r="K1307" s="371"/>
      <c r="L1307" s="377"/>
      <c r="M1307" s="933">
        <f t="shared" ref="M1307:M1310" si="304">ROUND(I1307*J1307,0)</f>
        <v>885694673</v>
      </c>
      <c r="N1307" s="977" t="s">
        <v>284</v>
      </c>
      <c r="O1307" s="977" t="s">
        <v>274</v>
      </c>
      <c r="P1307" s="75" t="str">
        <f>IF(AND('331-CT'!$E$7=TH!H1307,OR(N1307="331",O1307="331")),"x","")</f>
        <v/>
      </c>
      <c r="Q1307" s="75" t="str">
        <f>IF(AND(B1307='111'!$L$11,OR($N1307=$Q$7,$O1307=$Q$7)),"x","")</f>
        <v/>
      </c>
      <c r="R1307" s="75" t="str">
        <f>IF(AND($N1307=$Q$7,$B1307&lt;'111'!$L$11),"x","")</f>
        <v/>
      </c>
      <c r="S1307" s="75" t="str">
        <f>IF(AND($O1307=$Q$7,$B1307&lt;'111'!$L$11),"x","")</f>
        <v/>
      </c>
      <c r="T1307" s="75" t="str">
        <f>IF(ISERROR(FIND('112'!$M$9,G1307,1)),"",IF((AND(FIND('112'!$M$9,G1307,1)&gt;=1,B1307='112'!$K$9,OR($N1307='112'!$I$6,$O1307='112'!$I$6))),"x",""))</f>
        <v/>
      </c>
      <c r="U1307" s="75" t="str">
        <f>IF(ISERROR(FIND('112'!$M$9,G1307,1)),"",IF((AND(LEFT(G1307,2)=LEFT('112'!$M$9,2),B1307&lt;'112'!$K$9,$N1307='112'!$I$6)),"x",""))</f>
        <v/>
      </c>
      <c r="V1307" s="75" t="str">
        <f>IF(ISERROR(FIND('112'!$M$9,G1307,1)),"",IF((AND(RIGHT(G1307,2)=RIGHT('112'!$M$9,2),B1307&lt;'112'!$K$9,$O1307='112'!$I$6)),"x",""))</f>
        <v/>
      </c>
      <c r="W1307" s="75" t="str">
        <f>IF(AND('341-CT'!$H$9=H1307,OR(LEFT(N1307,3)=$W$7,LEFT(O1307,3)=$W$7)),"x","")</f>
        <v/>
      </c>
      <c r="X1307" s="75" t="str">
        <f>IF(OR(TH!N1307=TH!$X$7,O1307=TH!$X$7),"x","")</f>
        <v/>
      </c>
      <c r="Y1307" s="75" t="str">
        <f>IF(AND(OR(N1307="131",O1307="131"),H1307='131-CT'!$H$9),"x","")</f>
        <v/>
      </c>
      <c r="Z1307" s="75"/>
      <c r="AA1307" s="75" t="str">
        <f>IF(AND(MONTH(E1307)='IN-NX'!$J$5,'IN-NX'!$D$7=D1307),"x","")</f>
        <v/>
      </c>
      <c r="AB1307" s="75" t="str">
        <f>IF(AND(OR(LEFT(TH!N1307,2)="15",LEFT(TH!O1307,2)="15"),LEFT(TH!O1307,3)&lt;&gt;"111",'152-CT'!$J$8=TH!F1307),"x","")</f>
        <v/>
      </c>
      <c r="AC1307" s="75" t="str">
        <f>IF(AND(OR(LEFT(TH!N1307,2)="15",LEFT(TH!O1307,2)="15"),TK!$E$7=TH!F1307),"x","")</f>
        <v/>
      </c>
      <c r="AD1307" s="75" t="str">
        <f>IF(AND(N1307="1521",MONTH(C1307)='BK-NL'!$M$11),"x","")</f>
        <v/>
      </c>
      <c r="AF1307" s="1054"/>
    </row>
    <row r="1308" spans="1:32" s="1264" customFormat="1" ht="16.5" customHeight="1">
      <c r="A1308" s="309" t="str">
        <f>IF(B1308&lt;&gt;"",IF(AND(B1308='IN-TC'!$S$4,OR(TH!N1308="1111",TH!O1308="1111")),TH!D1308,""),"")</f>
        <v/>
      </c>
      <c r="B1308" s="1275">
        <f t="shared" si="302"/>
        <v>5</v>
      </c>
      <c r="C1308" s="252">
        <f t="shared" si="303"/>
        <v>42878</v>
      </c>
      <c r="D1308" s="252" t="s">
        <v>2921</v>
      </c>
      <c r="E1308" s="252">
        <v>42878</v>
      </c>
      <c r="F1308" s="1055" t="s">
        <v>1401</v>
      </c>
      <c r="G1308" s="1056" t="s">
        <v>1402</v>
      </c>
      <c r="H1308" s="735" t="s">
        <v>1403</v>
      </c>
      <c r="I1308" s="371">
        <v>2500</v>
      </c>
      <c r="J1308" s="371">
        <v>215799.1128</v>
      </c>
      <c r="K1308" s="371"/>
      <c r="L1308" s="377"/>
      <c r="M1308" s="933">
        <f t="shared" si="304"/>
        <v>539497782</v>
      </c>
      <c r="N1308" s="977" t="s">
        <v>284</v>
      </c>
      <c r="O1308" s="977" t="s">
        <v>274</v>
      </c>
      <c r="P1308" s="75" t="str">
        <f>IF(AND('331-CT'!$E$7=TH!H1308,OR(N1308="331",O1308="331")),"x","")</f>
        <v/>
      </c>
      <c r="Q1308" s="75" t="str">
        <f>IF(AND(B1308='111'!$L$11,OR($N1308=$Q$7,$O1308=$Q$7)),"x","")</f>
        <v/>
      </c>
      <c r="R1308" s="75" t="str">
        <f>IF(AND($N1308=$Q$7,$B1308&lt;'111'!$L$11),"x","")</f>
        <v/>
      </c>
      <c r="S1308" s="75" t="str">
        <f>IF(AND($O1308=$Q$7,$B1308&lt;'111'!$L$11),"x","")</f>
        <v/>
      </c>
      <c r="T1308" s="75" t="str">
        <f>IF(ISERROR(FIND('112'!$M$9,G1308,1)),"",IF((AND(FIND('112'!$M$9,G1308,1)&gt;=1,B1308='112'!$K$9,OR($N1308='112'!$I$6,$O1308='112'!$I$6))),"x",""))</f>
        <v/>
      </c>
      <c r="U1308" s="75" t="str">
        <f>IF(ISERROR(FIND('112'!$M$9,G1308,1)),"",IF((AND(LEFT(G1308,2)=LEFT('112'!$M$9,2),B1308&lt;'112'!$K$9,$N1308='112'!$I$6)),"x",""))</f>
        <v/>
      </c>
      <c r="V1308" s="75" t="str">
        <f>IF(ISERROR(FIND('112'!$M$9,G1308,1)),"",IF((AND(RIGHT(G1308,2)=RIGHT('112'!$M$9,2),B1308&lt;'112'!$K$9,$O1308='112'!$I$6)),"x",""))</f>
        <v/>
      </c>
      <c r="W1308" s="75" t="str">
        <f>IF(AND('341-CT'!$H$9=H1308,OR(LEFT(N1308,3)=$W$7,LEFT(O1308,3)=$W$7)),"x","")</f>
        <v/>
      </c>
      <c r="X1308" s="75" t="str">
        <f>IF(OR(TH!N1308=TH!$X$7,O1308=TH!$X$7),"x","")</f>
        <v/>
      </c>
      <c r="Y1308" s="75" t="str">
        <f>IF(AND(OR(N1308="131",O1308="131"),H1308='131-CT'!$H$9),"x","")</f>
        <v/>
      </c>
      <c r="Z1308" s="75"/>
      <c r="AA1308" s="75" t="str">
        <f>IF(AND(MONTH(E1308)='IN-NX'!$J$5,'IN-NX'!$D$7=D1308),"x","")</f>
        <v/>
      </c>
      <c r="AB1308" s="75" t="str">
        <f>IF(AND(OR(LEFT(TH!N1308,2)="15",LEFT(TH!O1308,2)="15"),LEFT(TH!O1308,3)&lt;&gt;"111",'152-CT'!$J$8=TH!F1308),"x","")</f>
        <v/>
      </c>
      <c r="AC1308" s="75" t="str">
        <f>IF(AND(OR(LEFT(TH!N1308,2)="15",LEFT(TH!O1308,2)="15"),TK!$E$7=TH!F1308),"x","")</f>
        <v/>
      </c>
      <c r="AD1308" s="75" t="str">
        <f>IF(AND(N1308="1521",MONTH(C1308)='BK-NL'!$M$11),"x","")</f>
        <v/>
      </c>
      <c r="AF1308" s="1054"/>
    </row>
    <row r="1309" spans="1:32" s="1264" customFormat="1" ht="16.5" customHeight="1">
      <c r="A1309" s="309" t="str">
        <f>IF(B1309&lt;&gt;"",IF(AND(B1309='IN-TC'!$S$4,OR(TH!N1309="1111",TH!O1309="1111")),TH!D1309,""),"")</f>
        <v/>
      </c>
      <c r="B1309" s="1275">
        <f t="shared" si="302"/>
        <v>5</v>
      </c>
      <c r="C1309" s="252">
        <f t="shared" si="303"/>
        <v>42878</v>
      </c>
      <c r="D1309" s="252" t="s">
        <v>2921</v>
      </c>
      <c r="E1309" s="252">
        <v>42878</v>
      </c>
      <c r="F1309" s="730" t="s">
        <v>1588</v>
      </c>
      <c r="G1309" s="1056" t="s">
        <v>1402</v>
      </c>
      <c r="H1309" s="735" t="s">
        <v>1403</v>
      </c>
      <c r="I1309" s="371">
        <v>3000</v>
      </c>
      <c r="J1309" s="371">
        <v>212665.77866666668</v>
      </c>
      <c r="K1309" s="371"/>
      <c r="L1309" s="377"/>
      <c r="M1309" s="933">
        <f t="shared" si="304"/>
        <v>637997336</v>
      </c>
      <c r="N1309" s="977" t="s">
        <v>284</v>
      </c>
      <c r="O1309" s="977" t="s">
        <v>274</v>
      </c>
      <c r="P1309" s="75" t="str">
        <f>IF(AND('331-CT'!$E$7=TH!H1309,OR(N1309="331",O1309="331")),"x","")</f>
        <v/>
      </c>
      <c r="Q1309" s="75" t="str">
        <f>IF(AND(B1309='111'!$L$11,OR($N1309=$Q$7,$O1309=$Q$7)),"x","")</f>
        <v/>
      </c>
      <c r="R1309" s="75" t="str">
        <f>IF(AND($N1309=$Q$7,$B1309&lt;'111'!$L$11),"x","")</f>
        <v/>
      </c>
      <c r="S1309" s="75" t="str">
        <f>IF(AND($O1309=$Q$7,$B1309&lt;'111'!$L$11),"x","")</f>
        <v/>
      </c>
      <c r="T1309" s="75" t="str">
        <f>IF(ISERROR(FIND('112'!$M$9,G1309,1)),"",IF((AND(FIND('112'!$M$9,G1309,1)&gt;=1,B1309='112'!$K$9,OR($N1309='112'!$I$6,$O1309='112'!$I$6))),"x",""))</f>
        <v/>
      </c>
      <c r="U1309" s="75" t="str">
        <f>IF(ISERROR(FIND('112'!$M$9,G1309,1)),"",IF((AND(LEFT(G1309,2)=LEFT('112'!$M$9,2),B1309&lt;'112'!$K$9,$N1309='112'!$I$6)),"x",""))</f>
        <v/>
      </c>
      <c r="V1309" s="75" t="str">
        <f>IF(ISERROR(FIND('112'!$M$9,G1309,1)),"",IF((AND(RIGHT(G1309,2)=RIGHT('112'!$M$9,2),B1309&lt;'112'!$K$9,$O1309='112'!$I$6)),"x",""))</f>
        <v/>
      </c>
      <c r="W1309" s="75" t="str">
        <f>IF(AND('341-CT'!$H$9=H1309,OR(LEFT(N1309,3)=$W$7,LEFT(O1309,3)=$W$7)),"x","")</f>
        <v/>
      </c>
      <c r="X1309" s="75" t="str">
        <f>IF(OR(TH!N1309=TH!$X$7,O1309=TH!$X$7),"x","")</f>
        <v/>
      </c>
      <c r="Y1309" s="75" t="str">
        <f>IF(AND(OR(N1309="131",O1309="131"),H1309='131-CT'!$H$9),"x","")</f>
        <v/>
      </c>
      <c r="Z1309" s="75"/>
      <c r="AA1309" s="75" t="str">
        <f>IF(AND(MONTH(E1309)='IN-NX'!$J$5,'IN-NX'!$D$7=D1309),"x","")</f>
        <v/>
      </c>
      <c r="AB1309" s="75" t="str">
        <f>IF(AND(OR(LEFT(TH!N1309,2)="15",LEFT(TH!O1309,2)="15"),LEFT(TH!O1309,3)&lt;&gt;"111",'152-CT'!$J$8=TH!F1309),"x","")</f>
        <v/>
      </c>
      <c r="AC1309" s="75" t="str">
        <f>IF(AND(OR(LEFT(TH!N1309,2)="15",LEFT(TH!O1309,2)="15"),TK!$E$7=TH!F1309),"x","")</f>
        <v/>
      </c>
      <c r="AD1309" s="75" t="str">
        <f>IF(AND(N1309="1521",MONTH(C1309)='BK-NL'!$M$11),"x","")</f>
        <v/>
      </c>
      <c r="AF1309" s="1054"/>
    </row>
    <row r="1310" spans="1:32" s="1264" customFormat="1" ht="16.5" customHeight="1">
      <c r="A1310" s="309" t="str">
        <f>IF(B1310&lt;&gt;"",IF(AND(B1310='IN-TC'!$S$4,OR(TH!N1310="1111",TH!O1310="1111")),TH!D1310,""),"")</f>
        <v/>
      </c>
      <c r="B1310" s="1275">
        <f t="shared" si="302"/>
        <v>5</v>
      </c>
      <c r="C1310" s="252">
        <f t="shared" si="303"/>
        <v>42881</v>
      </c>
      <c r="D1310" s="252" t="s">
        <v>2921</v>
      </c>
      <c r="E1310" s="252">
        <v>42881</v>
      </c>
      <c r="F1310" s="1082" t="s">
        <v>801</v>
      </c>
      <c r="G1310" s="1056" t="s">
        <v>1418</v>
      </c>
      <c r="H1310" s="735" t="s">
        <v>1101</v>
      </c>
      <c r="I1310" s="371">
        <v>10</v>
      </c>
      <c r="J1310" s="371">
        <v>156255.10005828401</v>
      </c>
      <c r="K1310" s="371"/>
      <c r="L1310" s="377"/>
      <c r="M1310" s="933">
        <f t="shared" si="304"/>
        <v>1562551</v>
      </c>
      <c r="N1310" s="977" t="s">
        <v>284</v>
      </c>
      <c r="O1310" s="977" t="s">
        <v>274</v>
      </c>
      <c r="P1310" s="75" t="str">
        <f>IF(AND('331-CT'!$E$7=TH!H1310,OR(N1310="331",O1310="331")),"x","")</f>
        <v/>
      </c>
      <c r="Q1310" s="75" t="str">
        <f>IF(AND(B1310='111'!$L$11,OR($N1310=$Q$7,$O1310=$Q$7)),"x","")</f>
        <v/>
      </c>
      <c r="R1310" s="75" t="str">
        <f>IF(AND($N1310=$Q$7,$B1310&lt;'111'!$L$11),"x","")</f>
        <v/>
      </c>
      <c r="S1310" s="75" t="str">
        <f>IF(AND($O1310=$Q$7,$B1310&lt;'111'!$L$11),"x","")</f>
        <v/>
      </c>
      <c r="T1310" s="75" t="str">
        <f>IF(ISERROR(FIND('112'!$M$9,G1310,1)),"",IF((AND(FIND('112'!$M$9,G1310,1)&gt;=1,B1310='112'!$K$9,OR($N1310='112'!$I$6,$O1310='112'!$I$6))),"x",""))</f>
        <v/>
      </c>
      <c r="U1310" s="75" t="str">
        <f>IF(ISERROR(FIND('112'!$M$9,G1310,1)),"",IF((AND(LEFT(G1310,2)=LEFT('112'!$M$9,2),B1310&lt;'112'!$K$9,$N1310='112'!$I$6)),"x",""))</f>
        <v/>
      </c>
      <c r="V1310" s="75" t="str">
        <f>IF(ISERROR(FIND('112'!$M$9,G1310,1)),"",IF((AND(RIGHT(G1310,2)=RIGHT('112'!$M$9,2),B1310&lt;'112'!$K$9,$O1310='112'!$I$6)),"x",""))</f>
        <v/>
      </c>
      <c r="W1310" s="75" t="str">
        <f>IF(AND('341-CT'!$H$9=H1310,OR(LEFT(N1310,3)=$W$7,LEFT(O1310,3)=$W$7)),"x","")</f>
        <v/>
      </c>
      <c r="X1310" s="75" t="str">
        <f>IF(OR(TH!N1310=TH!$X$7,O1310=TH!$X$7),"x","")</f>
        <v/>
      </c>
      <c r="Y1310" s="75" t="str">
        <f>IF(AND(OR(N1310="131",O1310="131"),H1310='131-CT'!$H$9),"x","")</f>
        <v/>
      </c>
      <c r="Z1310" s="75"/>
      <c r="AA1310" s="75" t="str">
        <f>IF(AND(MONTH(E1310)='IN-NX'!$J$5,'IN-NX'!$D$7=D1310),"x","")</f>
        <v/>
      </c>
      <c r="AB1310" s="75" t="str">
        <f>IF(AND(OR(LEFT(TH!N1310,2)="15",LEFT(TH!O1310,2)="15"),LEFT(TH!O1310,3)&lt;&gt;"111",'152-CT'!$J$8=TH!F1310),"x","")</f>
        <v/>
      </c>
      <c r="AC1310" s="75" t="str">
        <f>IF(AND(OR(LEFT(TH!N1310,2)="15",LEFT(TH!O1310,2)="15"),TK!$E$7=TH!F1310),"x","")</f>
        <v/>
      </c>
      <c r="AD1310" s="75" t="str">
        <f>IF(AND(N1310="1521",MONTH(C1310)='BK-NL'!$M$11),"x","")</f>
        <v/>
      </c>
      <c r="AF1310" s="1054"/>
    </row>
    <row r="1311" spans="1:32" s="1053" customFormat="1" ht="16.5" customHeight="1">
      <c r="A1311" s="309" t="str">
        <f>IF(B1311&lt;&gt;"",IF(AND(B1311='IN-TC'!$S$4,OR(TH!N1311="1111",TH!O1311="1111")),TH!D1311,""),"")</f>
        <v/>
      </c>
      <c r="B1311" s="1242">
        <f t="shared" ref="B1311:B1330" si="305">IF(C1311&lt;&gt;"",MONTH(C1311),"")</f>
        <v>5</v>
      </c>
      <c r="C1311" s="292">
        <v>42859</v>
      </c>
      <c r="D1311" s="292" t="s">
        <v>829</v>
      </c>
      <c r="E1311" s="292">
        <f t="shared" ref="E1311:E1330" si="306">C1311</f>
        <v>42859</v>
      </c>
      <c r="F1311" s="67" t="s">
        <v>795</v>
      </c>
      <c r="G1311" s="925" t="s">
        <v>1350</v>
      </c>
      <c r="H1311" s="294" t="s">
        <v>796</v>
      </c>
      <c r="I1311" s="373">
        <v>2030</v>
      </c>
      <c r="J1311" s="379">
        <v>8500</v>
      </c>
      <c r="K1311" s="373"/>
      <c r="L1311" s="379"/>
      <c r="M1311" s="927">
        <f>I1311*J1311</f>
        <v>17255000</v>
      </c>
      <c r="N1311" s="295" t="s">
        <v>266</v>
      </c>
      <c r="O1311" s="295" t="s">
        <v>8</v>
      </c>
      <c r="P1311" s="75" t="str">
        <f>IF(AND('331-CT'!$E$7=TH!H1311,OR(N1311="331",O1311="331")),"x","")</f>
        <v/>
      </c>
      <c r="Q1311" s="75" t="str">
        <f>IF(AND(B1311='111'!$L$11,OR($N1311=$Q$7,$O1311=$Q$7)),"x","")</f>
        <v/>
      </c>
      <c r="R1311" s="75" t="str">
        <f>IF(AND($N1311=$Q$7,$B1311&lt;'111'!$L$11),"x","")</f>
        <v/>
      </c>
      <c r="S1311" s="75" t="str">
        <f>IF(AND($O1311=$Q$7,$B1311&lt;'111'!$L$11),"x","")</f>
        <v/>
      </c>
      <c r="T1311" s="75" t="str">
        <f>IF(ISERROR(FIND('112'!$M$9,G1311,1)),"",IF((AND(FIND('112'!$M$9,G1311,1)&gt;=1,B1311='112'!$K$9,OR($N1311='112'!$I$6,$O1311='112'!$I$6))),"x",""))</f>
        <v/>
      </c>
      <c r="U1311" s="75" t="str">
        <f>IF(ISERROR(FIND('112'!$M$9,G1311,1)),"",IF((AND(LEFT(G1311,2)=LEFT('112'!$M$9,2),B1311&lt;'112'!$K$9,$N1311='112'!$I$6)),"x",""))</f>
        <v/>
      </c>
      <c r="V1311" s="75" t="str">
        <f>IF(ISERROR(FIND('112'!$M$9,G1311,1)),"",IF((AND(RIGHT(G1311,2)=RIGHT('112'!$M$9,2),B1311&lt;'112'!$K$9,$O1311='112'!$I$6)),"x",""))</f>
        <v/>
      </c>
      <c r="W1311" s="75" t="str">
        <f>IF(AND('341-CT'!$H$9=H1311,OR(LEFT(N1311,3)=$W$7,LEFT(O1311,3)=$W$7)),"x","")</f>
        <v/>
      </c>
      <c r="X1311" s="75" t="str">
        <f>IF(OR(TH!N1311=TH!$X$7,O1311=TH!$X$7),"x","")</f>
        <v/>
      </c>
      <c r="Y1311" s="75" t="str">
        <f>IF(AND(OR(N1311="131",O1311="131"),H1311='131-CT'!$H$9),"x","")</f>
        <v/>
      </c>
      <c r="Z1311" s="75"/>
      <c r="AA1311" s="75" t="str">
        <f>IF(AND(MONTH(E1311)='IN-NX'!$J$5,'IN-NX'!$D$7=D1311),"x","")</f>
        <v/>
      </c>
      <c r="AB1311" s="75" t="str">
        <f>IF(AND(OR(LEFT(TH!N1311,2)="15",LEFT(TH!O1311,2)="15"),LEFT(TH!O1311,3)&lt;&gt;"111",'152-CT'!$J$8=TH!F1311),"x","")</f>
        <v/>
      </c>
      <c r="AC1311" s="75" t="str">
        <f>IF(AND(OR(LEFT(TH!N1311,2)="15",LEFT(TH!O1311,2)="15"),TK!$E$7=TH!F1311),"x","")</f>
        <v/>
      </c>
      <c r="AD1311" s="75" t="str">
        <f>IF(AND(N1311="1521",MONTH(C1311)='BK-NL'!$M$11),"x","")</f>
        <v/>
      </c>
    </row>
    <row r="1312" spans="1:32" s="1053" customFormat="1" ht="16.5" customHeight="1">
      <c r="A1312" s="309" t="str">
        <f>IF(B1312&lt;&gt;"",IF(AND(B1312='IN-TC'!$S$4,OR(TH!N1312="1111",TH!O1312="1111")),TH!D1312,""),"")</f>
        <v/>
      </c>
      <c r="B1312" s="1242">
        <f t="shared" si="305"/>
        <v>5</v>
      </c>
      <c r="C1312" s="292">
        <v>42859</v>
      </c>
      <c r="D1312" s="292" t="s">
        <v>829</v>
      </c>
      <c r="E1312" s="292">
        <f t="shared" si="306"/>
        <v>42859</v>
      </c>
      <c r="F1312" s="67" t="s">
        <v>1143</v>
      </c>
      <c r="G1312" s="925" t="s">
        <v>1350</v>
      </c>
      <c r="H1312" s="294" t="s">
        <v>796</v>
      </c>
      <c r="I1312" s="373"/>
      <c r="J1312" s="379"/>
      <c r="K1312" s="373"/>
      <c r="L1312" s="379"/>
      <c r="M1312" s="927">
        <v>1725500</v>
      </c>
      <c r="N1312" s="295" t="s">
        <v>9</v>
      </c>
      <c r="O1312" s="295" t="s">
        <v>8</v>
      </c>
      <c r="P1312" s="75" t="str">
        <f>IF(AND('331-CT'!$E$7=TH!H1312,OR(N1312="331",O1312="331")),"x","")</f>
        <v/>
      </c>
      <c r="Q1312" s="75" t="str">
        <f>IF(AND(B1312='111'!$L$11,OR($N1312=$Q$7,$O1312=$Q$7)),"x","")</f>
        <v/>
      </c>
      <c r="R1312" s="75" t="str">
        <f>IF(AND($N1312=$Q$7,$B1312&lt;'111'!$L$11),"x","")</f>
        <v/>
      </c>
      <c r="S1312" s="75" t="str">
        <f>IF(AND($O1312=$Q$7,$B1312&lt;'111'!$L$11),"x","")</f>
        <v/>
      </c>
      <c r="T1312" s="75" t="str">
        <f>IF(ISERROR(FIND('112'!$M$9,G1312,1)),"",IF((AND(FIND('112'!$M$9,G1312,1)&gt;=1,B1312='112'!$K$9,OR($N1312='112'!$I$6,$O1312='112'!$I$6))),"x",""))</f>
        <v/>
      </c>
      <c r="U1312" s="75" t="str">
        <f>IF(ISERROR(FIND('112'!$M$9,G1312,1)),"",IF((AND(LEFT(G1312,2)=LEFT('112'!$M$9,2),B1312&lt;'112'!$K$9,$N1312='112'!$I$6)),"x",""))</f>
        <v/>
      </c>
      <c r="V1312" s="75" t="str">
        <f>IF(ISERROR(FIND('112'!$M$9,G1312,1)),"",IF((AND(RIGHT(G1312,2)=RIGHT('112'!$M$9,2),B1312&lt;'112'!$K$9,$O1312='112'!$I$6)),"x",""))</f>
        <v/>
      </c>
      <c r="W1312" s="75" t="str">
        <f>IF(AND('341-CT'!$H$9=H1312,OR(LEFT(N1312,3)=$W$7,LEFT(O1312,3)=$W$7)),"x","")</f>
        <v/>
      </c>
      <c r="X1312" s="75" t="str">
        <f>IF(OR(TH!N1312=TH!$X$7,O1312=TH!$X$7),"x","")</f>
        <v/>
      </c>
      <c r="Y1312" s="75" t="str">
        <f>IF(AND(OR(N1312="131",O1312="131"),H1312='131-CT'!$H$9),"x","")</f>
        <v/>
      </c>
      <c r="Z1312" s="75"/>
      <c r="AA1312" s="75" t="str">
        <f>IF(AND(MONTH(E1312)='IN-NX'!$J$5,'IN-NX'!$D$7=D1312),"x","")</f>
        <v/>
      </c>
      <c r="AB1312" s="75" t="str">
        <f>IF(AND(OR(LEFT(TH!N1312,2)="15",LEFT(TH!O1312,2)="15"),LEFT(TH!O1312,3)&lt;&gt;"111",'152-CT'!$J$8=TH!F1312),"x","")</f>
        <v/>
      </c>
      <c r="AC1312" s="75" t="str">
        <f>IF(AND(OR(LEFT(TH!N1312,2)="15",LEFT(TH!O1312,2)="15"),TK!$E$7=TH!F1312),"x","")</f>
        <v/>
      </c>
      <c r="AD1312" s="75" t="str">
        <f>IF(AND(N1312="1521",MONTH(C1312)='BK-NL'!$M$11),"x","")</f>
        <v/>
      </c>
    </row>
    <row r="1313" spans="1:30" s="1053" customFormat="1" ht="16.5" customHeight="1">
      <c r="A1313" s="309" t="str">
        <f>IF(B1313&lt;&gt;"",IF(AND(B1313='IN-TC'!$S$4,OR(TH!N1313="1111",TH!O1313="1111")),TH!D1313,""),"")</f>
        <v/>
      </c>
      <c r="B1313" s="1242">
        <f t="shared" si="305"/>
        <v>5</v>
      </c>
      <c r="C1313" s="292">
        <v>42859</v>
      </c>
      <c r="D1313" s="292" t="s">
        <v>840</v>
      </c>
      <c r="E1313" s="292">
        <f t="shared" si="306"/>
        <v>42859</v>
      </c>
      <c r="F1313" s="432" t="s">
        <v>346</v>
      </c>
      <c r="G1313" s="925" t="s">
        <v>1269</v>
      </c>
      <c r="H1313" s="294" t="s">
        <v>555</v>
      </c>
      <c r="I1313" s="373">
        <v>600</v>
      </c>
      <c r="J1313" s="926">
        <v>8500</v>
      </c>
      <c r="K1313" s="373"/>
      <c r="L1313" s="379"/>
      <c r="M1313" s="927">
        <f>I1313*J1313</f>
        <v>5100000</v>
      </c>
      <c r="N1313" s="295" t="s">
        <v>266</v>
      </c>
      <c r="O1313" s="295" t="s">
        <v>8</v>
      </c>
      <c r="P1313" s="75" t="str">
        <f>IF(AND('331-CT'!$E$7=TH!H1313,OR(N1313="331",O1313="331")),"x","")</f>
        <v/>
      </c>
      <c r="Q1313" s="75" t="str">
        <f>IF(AND(B1313='111'!$L$11,OR($N1313=$Q$7,$O1313=$Q$7)),"x","")</f>
        <v/>
      </c>
      <c r="R1313" s="75" t="str">
        <f>IF(AND($N1313=$Q$7,$B1313&lt;'111'!$L$11),"x","")</f>
        <v/>
      </c>
      <c r="S1313" s="75" t="str">
        <f>IF(AND($O1313=$Q$7,$B1313&lt;'111'!$L$11),"x","")</f>
        <v/>
      </c>
      <c r="T1313" s="75" t="str">
        <f>IF(ISERROR(FIND('112'!$M$9,G1313,1)),"",IF((AND(FIND('112'!$M$9,G1313,1)&gt;=1,B1313='112'!$K$9,OR($N1313='112'!$I$6,$O1313='112'!$I$6))),"x",""))</f>
        <v/>
      </c>
      <c r="U1313" s="75" t="str">
        <f>IF(ISERROR(FIND('112'!$M$9,G1313,1)),"",IF((AND(LEFT(G1313,2)=LEFT('112'!$M$9,2),B1313&lt;'112'!$K$9,$N1313='112'!$I$6)),"x",""))</f>
        <v/>
      </c>
      <c r="V1313" s="75" t="str">
        <f>IF(ISERROR(FIND('112'!$M$9,G1313,1)),"",IF((AND(RIGHT(G1313,2)=RIGHT('112'!$M$9,2),B1313&lt;'112'!$K$9,$O1313='112'!$I$6)),"x",""))</f>
        <v/>
      </c>
      <c r="W1313" s="75" t="str">
        <f>IF(AND('341-CT'!$H$9=H1313,OR(LEFT(N1313,3)=$W$7,LEFT(O1313,3)=$W$7)),"x","")</f>
        <v/>
      </c>
      <c r="X1313" s="75" t="str">
        <f>IF(OR(TH!N1313=TH!$X$7,O1313=TH!$X$7),"x","")</f>
        <v/>
      </c>
      <c r="Y1313" s="75" t="str">
        <f>IF(AND(OR(N1313="131",O1313="131"),H1313='131-CT'!$H$9),"x","")</f>
        <v/>
      </c>
      <c r="Z1313" s="75"/>
      <c r="AA1313" s="75" t="str">
        <f>IF(AND(MONTH(E1313)='IN-NX'!$J$5,'IN-NX'!$D$7=D1313),"x","")</f>
        <v/>
      </c>
      <c r="AB1313" s="75" t="str">
        <f>IF(AND(OR(LEFT(TH!N1313,2)="15",LEFT(TH!O1313,2)="15"),LEFT(TH!O1313,3)&lt;&gt;"111",'152-CT'!$J$8=TH!F1313),"x","")</f>
        <v/>
      </c>
      <c r="AC1313" s="75" t="str">
        <f>IF(AND(OR(LEFT(TH!N1313,2)="15",LEFT(TH!O1313,2)="15"),TK!$E$7=TH!F1313),"x","")</f>
        <v/>
      </c>
      <c r="AD1313" s="75" t="str">
        <f>IF(AND(N1313="1521",MONTH(C1313)='BK-NL'!$M$11),"x","")</f>
        <v/>
      </c>
    </row>
    <row r="1314" spans="1:30" s="1053" customFormat="1" ht="16.5" customHeight="1">
      <c r="A1314" s="309" t="str">
        <f>IF(B1314&lt;&gt;"",IF(AND(B1314='IN-TC'!$S$4,OR(TH!N1314="1111",TH!O1314="1111")),TH!D1314,""),"")</f>
        <v/>
      </c>
      <c r="B1314" s="1242">
        <f t="shared" si="305"/>
        <v>5</v>
      </c>
      <c r="C1314" s="292">
        <v>42859</v>
      </c>
      <c r="D1314" s="292" t="s">
        <v>840</v>
      </c>
      <c r="E1314" s="292">
        <f t="shared" si="306"/>
        <v>42859</v>
      </c>
      <c r="F1314" s="432" t="s">
        <v>841</v>
      </c>
      <c r="G1314" s="925" t="s">
        <v>1269</v>
      </c>
      <c r="H1314" s="67" t="s">
        <v>555</v>
      </c>
      <c r="I1314" s="373"/>
      <c r="J1314" s="926"/>
      <c r="K1314" s="373"/>
      <c r="L1314" s="379"/>
      <c r="M1314" s="927">
        <v>510000</v>
      </c>
      <c r="N1314" s="295" t="s">
        <v>9</v>
      </c>
      <c r="O1314" s="295" t="s">
        <v>8</v>
      </c>
      <c r="P1314" s="75" t="str">
        <f>IF(AND('331-CT'!$E$7=TH!H1314,OR(N1314="331",O1314="331")),"x","")</f>
        <v/>
      </c>
      <c r="Q1314" s="75" t="str">
        <f>IF(AND(B1314='111'!$L$11,OR($N1314=$Q$7,$O1314=$Q$7)),"x","")</f>
        <v/>
      </c>
      <c r="R1314" s="75" t="str">
        <f>IF(AND($N1314=$Q$7,$B1314&lt;'111'!$L$11),"x","")</f>
        <v/>
      </c>
      <c r="S1314" s="75" t="str">
        <f>IF(AND($O1314=$Q$7,$B1314&lt;'111'!$L$11),"x","")</f>
        <v/>
      </c>
      <c r="T1314" s="75" t="str">
        <f>IF(ISERROR(FIND('112'!$M$9,G1314,1)),"",IF((AND(FIND('112'!$M$9,G1314,1)&gt;=1,B1314='112'!$K$9,OR($N1314='112'!$I$6,$O1314='112'!$I$6))),"x",""))</f>
        <v/>
      </c>
      <c r="U1314" s="75" t="str">
        <f>IF(ISERROR(FIND('112'!$M$9,G1314,1)),"",IF((AND(LEFT(G1314,2)=LEFT('112'!$M$9,2),B1314&lt;'112'!$K$9,$N1314='112'!$I$6)),"x",""))</f>
        <v/>
      </c>
      <c r="V1314" s="75" t="str">
        <f>IF(ISERROR(FIND('112'!$M$9,G1314,1)),"",IF((AND(RIGHT(G1314,2)=RIGHT('112'!$M$9,2),B1314&lt;'112'!$K$9,$O1314='112'!$I$6)),"x",""))</f>
        <v/>
      </c>
      <c r="W1314" s="75" t="str">
        <f>IF(AND('341-CT'!$H$9=H1314,OR(LEFT(N1314,3)=$W$7,LEFT(O1314,3)=$W$7)),"x","")</f>
        <v/>
      </c>
      <c r="X1314" s="75" t="str">
        <f>IF(OR(TH!N1314=TH!$X$7,O1314=TH!$X$7),"x","")</f>
        <v/>
      </c>
      <c r="Y1314" s="75" t="str">
        <f>IF(AND(OR(N1314="131",O1314="131"),H1314='131-CT'!$H$9),"x","")</f>
        <v/>
      </c>
      <c r="Z1314" s="75"/>
      <c r="AA1314" s="75" t="str">
        <f>IF(AND(MONTH(E1314)='IN-NX'!$J$5,'IN-NX'!$D$7=D1314),"x","")</f>
        <v/>
      </c>
      <c r="AB1314" s="75" t="str">
        <f>IF(AND(OR(LEFT(TH!N1314,2)="15",LEFT(TH!O1314,2)="15"),LEFT(TH!O1314,3)&lt;&gt;"111",'152-CT'!$J$8=TH!F1314),"x","")</f>
        <v/>
      </c>
      <c r="AC1314" s="75" t="str">
        <f>IF(AND(OR(LEFT(TH!N1314,2)="15",LEFT(TH!O1314,2)="15"),TK!$E$7=TH!F1314),"x","")</f>
        <v/>
      </c>
      <c r="AD1314" s="75" t="str">
        <f>IF(AND(N1314="1521",MONTH(C1314)='BK-NL'!$M$11),"x","")</f>
        <v/>
      </c>
    </row>
    <row r="1315" spans="1:30" s="1053" customFormat="1" ht="16.5" customHeight="1">
      <c r="A1315" s="309" t="str">
        <f>IF(B1315&lt;&gt;"",IF(AND(B1315='IN-TC'!$S$4,OR(TH!N1315="1111",TH!O1315="1111")),TH!D1315,""),"")</f>
        <v/>
      </c>
      <c r="B1315" s="1242">
        <f t="shared" si="305"/>
        <v>5</v>
      </c>
      <c r="C1315" s="292">
        <v>42860</v>
      </c>
      <c r="D1315" s="292" t="s">
        <v>847</v>
      </c>
      <c r="E1315" s="292">
        <f t="shared" si="306"/>
        <v>42860</v>
      </c>
      <c r="F1315" s="67" t="s">
        <v>795</v>
      </c>
      <c r="G1315" s="925" t="s">
        <v>1351</v>
      </c>
      <c r="H1315" s="294" t="s">
        <v>796</v>
      </c>
      <c r="I1315" s="373">
        <v>2030</v>
      </c>
      <c r="J1315" s="379">
        <v>8500</v>
      </c>
      <c r="K1315" s="373"/>
      <c r="L1315" s="379"/>
      <c r="M1315" s="927">
        <f>I1315*J1315</f>
        <v>17255000</v>
      </c>
      <c r="N1315" s="295" t="s">
        <v>266</v>
      </c>
      <c r="O1315" s="295" t="s">
        <v>8</v>
      </c>
      <c r="P1315" s="75" t="str">
        <f>IF(AND('331-CT'!$E$7=TH!H1315,OR(N1315="331",O1315="331")),"x","")</f>
        <v/>
      </c>
      <c r="Q1315" s="75" t="str">
        <f>IF(AND(B1315='111'!$L$11,OR($N1315=$Q$7,$O1315=$Q$7)),"x","")</f>
        <v/>
      </c>
      <c r="R1315" s="75" t="str">
        <f>IF(AND($N1315=$Q$7,$B1315&lt;'111'!$L$11),"x","")</f>
        <v/>
      </c>
      <c r="S1315" s="75" t="str">
        <f>IF(AND($O1315=$Q$7,$B1315&lt;'111'!$L$11),"x","")</f>
        <v/>
      </c>
      <c r="T1315" s="75" t="str">
        <f>IF(ISERROR(FIND('112'!$M$9,G1315,1)),"",IF((AND(FIND('112'!$M$9,G1315,1)&gt;=1,B1315='112'!$K$9,OR($N1315='112'!$I$6,$O1315='112'!$I$6))),"x",""))</f>
        <v/>
      </c>
      <c r="U1315" s="75" t="str">
        <f>IF(ISERROR(FIND('112'!$M$9,G1315,1)),"",IF((AND(LEFT(G1315,2)=LEFT('112'!$M$9,2),B1315&lt;'112'!$K$9,$N1315='112'!$I$6)),"x",""))</f>
        <v/>
      </c>
      <c r="V1315" s="75" t="str">
        <f>IF(ISERROR(FIND('112'!$M$9,G1315,1)),"",IF((AND(RIGHT(G1315,2)=RIGHT('112'!$M$9,2),B1315&lt;'112'!$K$9,$O1315='112'!$I$6)),"x",""))</f>
        <v/>
      </c>
      <c r="W1315" s="75" t="str">
        <f>IF(AND('341-CT'!$H$9=H1315,OR(LEFT(N1315,3)=$W$7,LEFT(O1315,3)=$W$7)),"x","")</f>
        <v/>
      </c>
      <c r="X1315" s="75" t="str">
        <f>IF(OR(TH!N1315=TH!$X$7,O1315=TH!$X$7),"x","")</f>
        <v/>
      </c>
      <c r="Y1315" s="75" t="str">
        <f>IF(AND(OR(N1315="131",O1315="131"),H1315='131-CT'!$H$9),"x","")</f>
        <v/>
      </c>
      <c r="Z1315" s="75"/>
      <c r="AA1315" s="75" t="str">
        <f>IF(AND(MONTH(E1315)='IN-NX'!$J$5,'IN-NX'!$D$7=D1315),"x","")</f>
        <v/>
      </c>
      <c r="AB1315" s="75" t="str">
        <f>IF(AND(OR(LEFT(TH!N1315,2)="15",LEFT(TH!O1315,2)="15"),LEFT(TH!O1315,3)&lt;&gt;"111",'152-CT'!$J$8=TH!F1315),"x","")</f>
        <v/>
      </c>
      <c r="AC1315" s="75" t="str">
        <f>IF(AND(OR(LEFT(TH!N1315,2)="15",LEFT(TH!O1315,2)="15"),TK!$E$7=TH!F1315),"x","")</f>
        <v/>
      </c>
      <c r="AD1315" s="75" t="str">
        <f>IF(AND(N1315="1521",MONTH(C1315)='BK-NL'!$M$11),"x","")</f>
        <v/>
      </c>
    </row>
    <row r="1316" spans="1:30" s="1053" customFormat="1" ht="16.5" customHeight="1">
      <c r="A1316" s="309" t="str">
        <f>IF(B1316&lt;&gt;"",IF(AND(B1316='IN-TC'!$S$4,OR(TH!N1316="1111",TH!O1316="1111")),TH!D1316,""),"")</f>
        <v/>
      </c>
      <c r="B1316" s="1242">
        <f t="shared" si="305"/>
        <v>5</v>
      </c>
      <c r="C1316" s="292">
        <v>42860</v>
      </c>
      <c r="D1316" s="292" t="s">
        <v>847</v>
      </c>
      <c r="E1316" s="292">
        <f t="shared" si="306"/>
        <v>42860</v>
      </c>
      <c r="F1316" s="67" t="s">
        <v>1143</v>
      </c>
      <c r="G1316" s="925" t="s">
        <v>1351</v>
      </c>
      <c r="H1316" s="294" t="s">
        <v>796</v>
      </c>
      <c r="I1316" s="373"/>
      <c r="J1316" s="379"/>
      <c r="K1316" s="373"/>
      <c r="L1316" s="379"/>
      <c r="M1316" s="927">
        <v>1725500</v>
      </c>
      <c r="N1316" s="295" t="s">
        <v>9</v>
      </c>
      <c r="O1316" s="295" t="s">
        <v>8</v>
      </c>
      <c r="P1316" s="75" t="str">
        <f>IF(AND('331-CT'!$E$7=TH!H1316,OR(N1316="331",O1316="331")),"x","")</f>
        <v/>
      </c>
      <c r="Q1316" s="75" t="str">
        <f>IF(AND(B1316='111'!$L$11,OR($N1316=$Q$7,$O1316=$Q$7)),"x","")</f>
        <v/>
      </c>
      <c r="R1316" s="75" t="str">
        <f>IF(AND($N1316=$Q$7,$B1316&lt;'111'!$L$11),"x","")</f>
        <v/>
      </c>
      <c r="S1316" s="75" t="str">
        <f>IF(AND($O1316=$Q$7,$B1316&lt;'111'!$L$11),"x","")</f>
        <v/>
      </c>
      <c r="T1316" s="75" t="str">
        <f>IF(ISERROR(FIND('112'!$M$9,G1316,1)),"",IF((AND(FIND('112'!$M$9,G1316,1)&gt;=1,B1316='112'!$K$9,OR($N1316='112'!$I$6,$O1316='112'!$I$6))),"x",""))</f>
        <v/>
      </c>
      <c r="U1316" s="75" t="str">
        <f>IF(ISERROR(FIND('112'!$M$9,G1316,1)),"",IF((AND(LEFT(G1316,2)=LEFT('112'!$M$9,2),B1316&lt;'112'!$K$9,$N1316='112'!$I$6)),"x",""))</f>
        <v/>
      </c>
      <c r="V1316" s="75" t="str">
        <f>IF(ISERROR(FIND('112'!$M$9,G1316,1)),"",IF((AND(RIGHT(G1316,2)=RIGHT('112'!$M$9,2),B1316&lt;'112'!$K$9,$O1316='112'!$I$6)),"x",""))</f>
        <v/>
      </c>
      <c r="W1316" s="75" t="str">
        <f>IF(AND('341-CT'!$H$9=H1316,OR(LEFT(N1316,3)=$W$7,LEFT(O1316,3)=$W$7)),"x","")</f>
        <v/>
      </c>
      <c r="X1316" s="75" t="str">
        <f>IF(OR(TH!N1316=TH!$X$7,O1316=TH!$X$7),"x","")</f>
        <v/>
      </c>
      <c r="Y1316" s="75" t="str">
        <f>IF(AND(OR(N1316="131",O1316="131"),H1316='131-CT'!$H$9),"x","")</f>
        <v/>
      </c>
      <c r="Z1316" s="75"/>
      <c r="AA1316" s="75" t="str">
        <f>IF(AND(MONTH(E1316)='IN-NX'!$J$5,'IN-NX'!$D$7=D1316),"x","")</f>
        <v/>
      </c>
      <c r="AB1316" s="75" t="str">
        <f>IF(AND(OR(LEFT(TH!N1316,2)="15",LEFT(TH!O1316,2)="15"),LEFT(TH!O1316,3)&lt;&gt;"111",'152-CT'!$J$8=TH!F1316),"x","")</f>
        <v/>
      </c>
      <c r="AC1316" s="75" t="str">
        <f>IF(AND(OR(LEFT(TH!N1316,2)="15",LEFT(TH!O1316,2)="15"),TK!$E$7=TH!F1316),"x","")</f>
        <v/>
      </c>
      <c r="AD1316" s="75" t="str">
        <f>IF(AND(N1316="1521",MONTH(C1316)='BK-NL'!$M$11),"x","")</f>
        <v/>
      </c>
    </row>
    <row r="1317" spans="1:30" s="1053" customFormat="1" ht="16.5" customHeight="1">
      <c r="A1317" s="309" t="str">
        <f>IF(B1317&lt;&gt;"",IF(AND(B1317='IN-TC'!$S$4,OR(TH!N1317="1111",TH!O1317="1111")),TH!D1317,""),"")</f>
        <v/>
      </c>
      <c r="B1317" s="1242">
        <f t="shared" si="305"/>
        <v>5</v>
      </c>
      <c r="C1317" s="292">
        <v>42863</v>
      </c>
      <c r="D1317" s="292" t="s">
        <v>867</v>
      </c>
      <c r="E1317" s="292">
        <f t="shared" si="306"/>
        <v>42863</v>
      </c>
      <c r="F1317" s="67" t="s">
        <v>795</v>
      </c>
      <c r="G1317" s="925" t="s">
        <v>1372</v>
      </c>
      <c r="H1317" s="294" t="s">
        <v>796</v>
      </c>
      <c r="I1317" s="373">
        <v>2030</v>
      </c>
      <c r="J1317" s="379">
        <v>8500</v>
      </c>
      <c r="K1317" s="373"/>
      <c r="L1317" s="379"/>
      <c r="M1317" s="927">
        <f>I1317*J1317</f>
        <v>17255000</v>
      </c>
      <c r="N1317" s="295" t="s">
        <v>266</v>
      </c>
      <c r="O1317" s="295" t="s">
        <v>8</v>
      </c>
      <c r="P1317" s="75" t="str">
        <f>IF(AND('331-CT'!$E$7=TH!H1317,OR(N1317="331",O1317="331")),"x","")</f>
        <v/>
      </c>
      <c r="Q1317" s="75" t="str">
        <f>IF(AND(B1317='111'!$L$11,OR($N1317=$Q$7,$O1317=$Q$7)),"x","")</f>
        <v/>
      </c>
      <c r="R1317" s="75" t="str">
        <f>IF(AND($N1317=$Q$7,$B1317&lt;'111'!$L$11),"x","")</f>
        <v/>
      </c>
      <c r="S1317" s="75" t="str">
        <f>IF(AND($O1317=$Q$7,$B1317&lt;'111'!$L$11),"x","")</f>
        <v/>
      </c>
      <c r="T1317" s="75" t="str">
        <f>IF(ISERROR(FIND('112'!$M$9,G1317,1)),"",IF((AND(FIND('112'!$M$9,G1317,1)&gt;=1,B1317='112'!$K$9,OR($N1317='112'!$I$6,$O1317='112'!$I$6))),"x",""))</f>
        <v/>
      </c>
      <c r="U1317" s="75" t="str">
        <f>IF(ISERROR(FIND('112'!$M$9,G1317,1)),"",IF((AND(LEFT(G1317,2)=LEFT('112'!$M$9,2),B1317&lt;'112'!$K$9,$N1317='112'!$I$6)),"x",""))</f>
        <v/>
      </c>
      <c r="V1317" s="75" t="str">
        <f>IF(ISERROR(FIND('112'!$M$9,G1317,1)),"",IF((AND(RIGHT(G1317,2)=RIGHT('112'!$M$9,2),B1317&lt;'112'!$K$9,$O1317='112'!$I$6)),"x",""))</f>
        <v/>
      </c>
      <c r="W1317" s="75" t="str">
        <f>IF(AND('341-CT'!$H$9=H1317,OR(LEFT(N1317,3)=$W$7,LEFT(O1317,3)=$W$7)),"x","")</f>
        <v/>
      </c>
      <c r="X1317" s="75" t="str">
        <f>IF(OR(TH!N1317=TH!$X$7,O1317=TH!$X$7),"x","")</f>
        <v/>
      </c>
      <c r="Y1317" s="75" t="str">
        <f>IF(AND(OR(N1317="131",O1317="131"),H1317='131-CT'!$H$9),"x","")</f>
        <v/>
      </c>
      <c r="Z1317" s="75"/>
      <c r="AA1317" s="75" t="str">
        <f>IF(AND(MONTH(E1317)='IN-NX'!$J$5,'IN-NX'!$D$7=D1317),"x","")</f>
        <v/>
      </c>
      <c r="AB1317" s="75" t="str">
        <f>IF(AND(OR(LEFT(TH!N1317,2)="15",LEFT(TH!O1317,2)="15"),LEFT(TH!O1317,3)&lt;&gt;"111",'152-CT'!$J$8=TH!F1317),"x","")</f>
        <v/>
      </c>
      <c r="AC1317" s="75" t="str">
        <f>IF(AND(OR(LEFT(TH!N1317,2)="15",LEFT(TH!O1317,2)="15"),TK!$E$7=TH!F1317),"x","")</f>
        <v/>
      </c>
      <c r="AD1317" s="75" t="str">
        <f>IF(AND(N1317="1521",MONTH(C1317)='BK-NL'!$M$11),"x","")</f>
        <v/>
      </c>
    </row>
    <row r="1318" spans="1:30" s="1053" customFormat="1" ht="16.5" customHeight="1">
      <c r="A1318" s="309" t="str">
        <f>IF(B1318&lt;&gt;"",IF(AND(B1318='IN-TC'!$S$4,OR(TH!N1318="1111",TH!O1318="1111")),TH!D1318,""),"")</f>
        <v/>
      </c>
      <c r="B1318" s="1242">
        <f t="shared" si="305"/>
        <v>5</v>
      </c>
      <c r="C1318" s="292">
        <v>42863</v>
      </c>
      <c r="D1318" s="292" t="s">
        <v>867</v>
      </c>
      <c r="E1318" s="292">
        <f t="shared" si="306"/>
        <v>42863</v>
      </c>
      <c r="F1318" s="67" t="s">
        <v>1143</v>
      </c>
      <c r="G1318" s="925" t="s">
        <v>1372</v>
      </c>
      <c r="H1318" s="294" t="s">
        <v>796</v>
      </c>
      <c r="I1318" s="373"/>
      <c r="J1318" s="379"/>
      <c r="K1318" s="373"/>
      <c r="L1318" s="379"/>
      <c r="M1318" s="927">
        <v>1725500</v>
      </c>
      <c r="N1318" s="295" t="s">
        <v>9</v>
      </c>
      <c r="O1318" s="295" t="s">
        <v>8</v>
      </c>
      <c r="P1318" s="75" t="str">
        <f>IF(AND('331-CT'!$E$7=TH!H1318,OR(N1318="331",O1318="331")),"x","")</f>
        <v/>
      </c>
      <c r="Q1318" s="75" t="str">
        <f>IF(AND(B1318='111'!$L$11,OR($N1318=$Q$7,$O1318=$Q$7)),"x","")</f>
        <v/>
      </c>
      <c r="R1318" s="75" t="str">
        <f>IF(AND($N1318=$Q$7,$B1318&lt;'111'!$L$11),"x","")</f>
        <v/>
      </c>
      <c r="S1318" s="75" t="str">
        <f>IF(AND($O1318=$Q$7,$B1318&lt;'111'!$L$11),"x","")</f>
        <v/>
      </c>
      <c r="T1318" s="75" t="str">
        <f>IF(ISERROR(FIND('112'!$M$9,G1318,1)),"",IF((AND(FIND('112'!$M$9,G1318,1)&gt;=1,B1318='112'!$K$9,OR($N1318='112'!$I$6,$O1318='112'!$I$6))),"x",""))</f>
        <v/>
      </c>
      <c r="U1318" s="75" t="str">
        <f>IF(ISERROR(FIND('112'!$M$9,G1318,1)),"",IF((AND(LEFT(G1318,2)=LEFT('112'!$M$9,2),B1318&lt;'112'!$K$9,$N1318='112'!$I$6)),"x",""))</f>
        <v/>
      </c>
      <c r="V1318" s="75" t="str">
        <f>IF(ISERROR(FIND('112'!$M$9,G1318,1)),"",IF((AND(RIGHT(G1318,2)=RIGHT('112'!$M$9,2),B1318&lt;'112'!$K$9,$O1318='112'!$I$6)),"x",""))</f>
        <v/>
      </c>
      <c r="W1318" s="75" t="str">
        <f>IF(AND('341-CT'!$H$9=H1318,OR(LEFT(N1318,3)=$W$7,LEFT(O1318,3)=$W$7)),"x","")</f>
        <v/>
      </c>
      <c r="X1318" s="75" t="str">
        <f>IF(OR(TH!N1318=TH!$X$7,O1318=TH!$X$7),"x","")</f>
        <v/>
      </c>
      <c r="Y1318" s="75" t="str">
        <f>IF(AND(OR(N1318="131",O1318="131"),H1318='131-CT'!$H$9),"x","")</f>
        <v/>
      </c>
      <c r="Z1318" s="75"/>
      <c r="AA1318" s="75" t="str">
        <f>IF(AND(MONTH(E1318)='IN-NX'!$J$5,'IN-NX'!$D$7=D1318),"x","")</f>
        <v/>
      </c>
      <c r="AB1318" s="75" t="str">
        <f>IF(AND(OR(LEFT(TH!N1318,2)="15",LEFT(TH!O1318,2)="15"),LEFT(TH!O1318,3)&lt;&gt;"111",'152-CT'!$J$8=TH!F1318),"x","")</f>
        <v/>
      </c>
      <c r="AC1318" s="75" t="str">
        <f>IF(AND(OR(LEFT(TH!N1318,2)="15",LEFT(TH!O1318,2)="15"),TK!$E$7=TH!F1318),"x","")</f>
        <v/>
      </c>
      <c r="AD1318" s="75" t="str">
        <f>IF(AND(N1318="1521",MONTH(C1318)='BK-NL'!$M$11),"x","")</f>
        <v/>
      </c>
    </row>
    <row r="1319" spans="1:30" s="1053" customFormat="1" ht="16.5" customHeight="1">
      <c r="A1319" s="309" t="str">
        <f>IF(B1319&lt;&gt;"",IF(AND(B1319='IN-TC'!$S$4,OR(TH!N1319="1111",TH!O1319="1111")),TH!D1319,""),"")</f>
        <v/>
      </c>
      <c r="B1319" s="1242">
        <f t="shared" si="305"/>
        <v>5</v>
      </c>
      <c r="C1319" s="292">
        <v>42864</v>
      </c>
      <c r="D1319" s="292" t="s">
        <v>1352</v>
      </c>
      <c r="E1319" s="292">
        <f t="shared" si="306"/>
        <v>42864</v>
      </c>
      <c r="F1319" s="67" t="s">
        <v>795</v>
      </c>
      <c r="G1319" s="925" t="s">
        <v>875</v>
      </c>
      <c r="H1319" s="294" t="s">
        <v>796</v>
      </c>
      <c r="I1319" s="373">
        <v>2030</v>
      </c>
      <c r="J1319" s="379">
        <v>8500</v>
      </c>
      <c r="K1319" s="373"/>
      <c r="L1319" s="379"/>
      <c r="M1319" s="927">
        <f>I1319*J1319</f>
        <v>17255000</v>
      </c>
      <c r="N1319" s="295" t="s">
        <v>266</v>
      </c>
      <c r="O1319" s="295" t="s">
        <v>8</v>
      </c>
      <c r="P1319" s="75" t="str">
        <f>IF(AND('331-CT'!$E$7=TH!H1319,OR(N1319="331",O1319="331")),"x","")</f>
        <v/>
      </c>
      <c r="Q1319" s="75" t="str">
        <f>IF(AND(B1319='111'!$L$11,OR($N1319=$Q$7,$O1319=$Q$7)),"x","")</f>
        <v/>
      </c>
      <c r="R1319" s="75" t="str">
        <f>IF(AND($N1319=$Q$7,$B1319&lt;'111'!$L$11),"x","")</f>
        <v/>
      </c>
      <c r="S1319" s="75" t="str">
        <f>IF(AND($O1319=$Q$7,$B1319&lt;'111'!$L$11),"x","")</f>
        <v/>
      </c>
      <c r="T1319" s="75" t="str">
        <f>IF(ISERROR(FIND('112'!$M$9,G1319,1)),"",IF((AND(FIND('112'!$M$9,G1319,1)&gt;=1,B1319='112'!$K$9,OR($N1319='112'!$I$6,$O1319='112'!$I$6))),"x",""))</f>
        <v/>
      </c>
      <c r="U1319" s="75" t="str">
        <f>IF(ISERROR(FIND('112'!$M$9,G1319,1)),"",IF((AND(LEFT(G1319,2)=LEFT('112'!$M$9,2),B1319&lt;'112'!$K$9,$N1319='112'!$I$6)),"x",""))</f>
        <v/>
      </c>
      <c r="V1319" s="75" t="str">
        <f>IF(ISERROR(FIND('112'!$M$9,G1319,1)),"",IF((AND(RIGHT(G1319,2)=RIGHT('112'!$M$9,2),B1319&lt;'112'!$K$9,$O1319='112'!$I$6)),"x",""))</f>
        <v/>
      </c>
      <c r="W1319" s="75" t="str">
        <f>IF(AND('341-CT'!$H$9=H1319,OR(LEFT(N1319,3)=$W$7,LEFT(O1319,3)=$W$7)),"x","")</f>
        <v/>
      </c>
      <c r="X1319" s="75" t="str">
        <f>IF(OR(TH!N1319=TH!$X$7,O1319=TH!$X$7),"x","")</f>
        <v/>
      </c>
      <c r="Y1319" s="75" t="str">
        <f>IF(AND(OR(N1319="131",O1319="131"),H1319='131-CT'!$H$9),"x","")</f>
        <v/>
      </c>
      <c r="Z1319" s="75"/>
      <c r="AA1319" s="75" t="str">
        <f>IF(AND(MONTH(E1319)='IN-NX'!$J$5,'IN-NX'!$D$7=D1319),"x","")</f>
        <v/>
      </c>
      <c r="AB1319" s="75" t="str">
        <f>IF(AND(OR(LEFT(TH!N1319,2)="15",LEFT(TH!O1319,2)="15"),LEFT(TH!O1319,3)&lt;&gt;"111",'152-CT'!$J$8=TH!F1319),"x","")</f>
        <v/>
      </c>
      <c r="AC1319" s="75" t="str">
        <f>IF(AND(OR(LEFT(TH!N1319,2)="15",LEFT(TH!O1319,2)="15"),TK!$E$7=TH!F1319),"x","")</f>
        <v/>
      </c>
      <c r="AD1319" s="75" t="str">
        <f>IF(AND(N1319="1521",MONTH(C1319)='BK-NL'!$M$11),"x","")</f>
        <v/>
      </c>
    </row>
    <row r="1320" spans="1:30" s="1053" customFormat="1" ht="16.5" customHeight="1">
      <c r="A1320" s="309" t="str">
        <f>IF(B1320&lt;&gt;"",IF(AND(B1320='IN-TC'!$S$4,OR(TH!N1320="1111",TH!O1320="1111")),TH!D1320,""),"")</f>
        <v/>
      </c>
      <c r="B1320" s="1242">
        <f t="shared" si="305"/>
        <v>5</v>
      </c>
      <c r="C1320" s="292">
        <v>42864</v>
      </c>
      <c r="D1320" s="292" t="s">
        <v>1352</v>
      </c>
      <c r="E1320" s="292">
        <f t="shared" si="306"/>
        <v>42864</v>
      </c>
      <c r="F1320" s="67" t="s">
        <v>1143</v>
      </c>
      <c r="G1320" s="925" t="s">
        <v>875</v>
      </c>
      <c r="H1320" s="294" t="s">
        <v>796</v>
      </c>
      <c r="I1320" s="373"/>
      <c r="J1320" s="379"/>
      <c r="K1320" s="373"/>
      <c r="L1320" s="379"/>
      <c r="M1320" s="927">
        <v>1725500</v>
      </c>
      <c r="N1320" s="295" t="s">
        <v>9</v>
      </c>
      <c r="O1320" s="295" t="s">
        <v>8</v>
      </c>
      <c r="P1320" s="75" t="str">
        <f>IF(AND('331-CT'!$E$7=TH!H1320,OR(N1320="331",O1320="331")),"x","")</f>
        <v/>
      </c>
      <c r="Q1320" s="75" t="str">
        <f>IF(AND(B1320='111'!$L$11,OR($N1320=$Q$7,$O1320=$Q$7)),"x","")</f>
        <v/>
      </c>
      <c r="R1320" s="75" t="str">
        <f>IF(AND($N1320=$Q$7,$B1320&lt;'111'!$L$11),"x","")</f>
        <v/>
      </c>
      <c r="S1320" s="75" t="str">
        <f>IF(AND($O1320=$Q$7,$B1320&lt;'111'!$L$11),"x","")</f>
        <v/>
      </c>
      <c r="T1320" s="75" t="str">
        <f>IF(ISERROR(FIND('112'!$M$9,G1320,1)),"",IF((AND(FIND('112'!$M$9,G1320,1)&gt;=1,B1320='112'!$K$9,OR($N1320='112'!$I$6,$O1320='112'!$I$6))),"x",""))</f>
        <v/>
      </c>
      <c r="U1320" s="75" t="str">
        <f>IF(ISERROR(FIND('112'!$M$9,G1320,1)),"",IF((AND(LEFT(G1320,2)=LEFT('112'!$M$9,2),B1320&lt;'112'!$K$9,$N1320='112'!$I$6)),"x",""))</f>
        <v/>
      </c>
      <c r="V1320" s="75" t="str">
        <f>IF(ISERROR(FIND('112'!$M$9,G1320,1)),"",IF((AND(RIGHT(G1320,2)=RIGHT('112'!$M$9,2),B1320&lt;'112'!$K$9,$O1320='112'!$I$6)),"x",""))</f>
        <v/>
      </c>
      <c r="W1320" s="75" t="str">
        <f>IF(AND('341-CT'!$H$9=H1320,OR(LEFT(N1320,3)=$W$7,LEFT(O1320,3)=$W$7)),"x","")</f>
        <v/>
      </c>
      <c r="X1320" s="75" t="str">
        <f>IF(OR(TH!N1320=TH!$X$7,O1320=TH!$X$7),"x","")</f>
        <v/>
      </c>
      <c r="Y1320" s="75" t="str">
        <f>IF(AND(OR(N1320="131",O1320="131"),H1320='131-CT'!$H$9),"x","")</f>
        <v/>
      </c>
      <c r="Z1320" s="75"/>
      <c r="AA1320" s="75" t="str">
        <f>IF(AND(MONTH(E1320)='IN-NX'!$J$5,'IN-NX'!$D$7=D1320),"x","")</f>
        <v/>
      </c>
      <c r="AB1320" s="75" t="str">
        <f>IF(AND(OR(LEFT(TH!N1320,2)="15",LEFT(TH!O1320,2)="15"),LEFT(TH!O1320,3)&lt;&gt;"111",'152-CT'!$J$8=TH!F1320),"x","")</f>
        <v/>
      </c>
      <c r="AC1320" s="75" t="str">
        <f>IF(AND(OR(LEFT(TH!N1320,2)="15",LEFT(TH!O1320,2)="15"),TK!$E$7=TH!F1320),"x","")</f>
        <v/>
      </c>
      <c r="AD1320" s="75" t="str">
        <f>IF(AND(N1320="1521",MONTH(C1320)='BK-NL'!$M$11),"x","")</f>
        <v/>
      </c>
    </row>
    <row r="1321" spans="1:30" s="1053" customFormat="1" ht="16.5" customHeight="1">
      <c r="A1321" s="309" t="str">
        <f>IF(B1321&lt;&gt;"",IF(AND(B1321='IN-TC'!$S$4,OR(TH!N1321="1111",TH!O1321="1111")),TH!D1321,""),"")</f>
        <v/>
      </c>
      <c r="B1321" s="1242">
        <f t="shared" si="305"/>
        <v>5</v>
      </c>
      <c r="C1321" s="292">
        <v>42866</v>
      </c>
      <c r="D1321" s="292" t="s">
        <v>1353</v>
      </c>
      <c r="E1321" s="292">
        <f t="shared" si="306"/>
        <v>42866</v>
      </c>
      <c r="F1321" s="67" t="s">
        <v>795</v>
      </c>
      <c r="G1321" s="925" t="s">
        <v>1373</v>
      </c>
      <c r="H1321" s="294" t="s">
        <v>796</v>
      </c>
      <c r="I1321" s="373">
        <v>2030</v>
      </c>
      <c r="J1321" s="379">
        <v>8500</v>
      </c>
      <c r="K1321" s="373"/>
      <c r="L1321" s="379"/>
      <c r="M1321" s="927">
        <f>I1321*J1321</f>
        <v>17255000</v>
      </c>
      <c r="N1321" s="295" t="s">
        <v>266</v>
      </c>
      <c r="O1321" s="295" t="s">
        <v>8</v>
      </c>
      <c r="P1321" s="75" t="str">
        <f>IF(AND('331-CT'!$E$7=TH!H1321,OR(N1321="331",O1321="331")),"x","")</f>
        <v/>
      </c>
      <c r="Q1321" s="75" t="str">
        <f>IF(AND(B1321='111'!$L$11,OR($N1321=$Q$7,$O1321=$Q$7)),"x","")</f>
        <v/>
      </c>
      <c r="R1321" s="75" t="str">
        <f>IF(AND($N1321=$Q$7,$B1321&lt;'111'!$L$11),"x","")</f>
        <v/>
      </c>
      <c r="S1321" s="75" t="str">
        <f>IF(AND($O1321=$Q$7,$B1321&lt;'111'!$L$11),"x","")</f>
        <v/>
      </c>
      <c r="T1321" s="75" t="str">
        <f>IF(ISERROR(FIND('112'!$M$9,G1321,1)),"",IF((AND(FIND('112'!$M$9,G1321,1)&gt;=1,B1321='112'!$K$9,OR($N1321='112'!$I$6,$O1321='112'!$I$6))),"x",""))</f>
        <v/>
      </c>
      <c r="U1321" s="75" t="str">
        <f>IF(ISERROR(FIND('112'!$M$9,G1321,1)),"",IF((AND(LEFT(G1321,2)=LEFT('112'!$M$9,2),B1321&lt;'112'!$K$9,$N1321='112'!$I$6)),"x",""))</f>
        <v/>
      </c>
      <c r="V1321" s="75" t="str">
        <f>IF(ISERROR(FIND('112'!$M$9,G1321,1)),"",IF((AND(RIGHT(G1321,2)=RIGHT('112'!$M$9,2),B1321&lt;'112'!$K$9,$O1321='112'!$I$6)),"x",""))</f>
        <v/>
      </c>
      <c r="W1321" s="75" t="str">
        <f>IF(AND('341-CT'!$H$9=H1321,OR(LEFT(N1321,3)=$W$7,LEFT(O1321,3)=$W$7)),"x","")</f>
        <v/>
      </c>
      <c r="X1321" s="75" t="str">
        <f>IF(OR(TH!N1321=TH!$X$7,O1321=TH!$X$7),"x","")</f>
        <v/>
      </c>
      <c r="Y1321" s="75" t="str">
        <f>IF(AND(OR(N1321="131",O1321="131"),H1321='131-CT'!$H$9),"x","")</f>
        <v/>
      </c>
      <c r="Z1321" s="75"/>
      <c r="AA1321" s="75" t="str">
        <f>IF(AND(MONTH(E1321)='IN-NX'!$J$5,'IN-NX'!$D$7=D1321),"x","")</f>
        <v/>
      </c>
      <c r="AB1321" s="75" t="str">
        <f>IF(AND(OR(LEFT(TH!N1321,2)="15",LEFT(TH!O1321,2)="15"),LEFT(TH!O1321,3)&lt;&gt;"111",'152-CT'!$J$8=TH!F1321),"x","")</f>
        <v/>
      </c>
      <c r="AC1321" s="75" t="str">
        <f>IF(AND(OR(LEFT(TH!N1321,2)="15",LEFT(TH!O1321,2)="15"),TK!$E$7=TH!F1321),"x","")</f>
        <v/>
      </c>
      <c r="AD1321" s="75" t="str">
        <f>IF(AND(N1321="1521",MONTH(C1321)='BK-NL'!$M$11),"x","")</f>
        <v/>
      </c>
    </row>
    <row r="1322" spans="1:30" s="1053" customFormat="1" ht="16.5" customHeight="1">
      <c r="A1322" s="309" t="str">
        <f>IF(B1322&lt;&gt;"",IF(AND(B1322='IN-TC'!$S$4,OR(TH!N1322="1111",TH!O1322="1111")),TH!D1322,""),"")</f>
        <v/>
      </c>
      <c r="B1322" s="1242">
        <f t="shared" si="305"/>
        <v>5</v>
      </c>
      <c r="C1322" s="292">
        <v>42866</v>
      </c>
      <c r="D1322" s="292" t="s">
        <v>1353</v>
      </c>
      <c r="E1322" s="292">
        <f t="shared" si="306"/>
        <v>42866</v>
      </c>
      <c r="F1322" s="67" t="s">
        <v>1143</v>
      </c>
      <c r="G1322" s="925" t="s">
        <v>1373</v>
      </c>
      <c r="H1322" s="294" t="s">
        <v>796</v>
      </c>
      <c r="I1322" s="373"/>
      <c r="J1322" s="379"/>
      <c r="K1322" s="373"/>
      <c r="L1322" s="379"/>
      <c r="M1322" s="927">
        <v>1725500</v>
      </c>
      <c r="N1322" s="295" t="s">
        <v>9</v>
      </c>
      <c r="O1322" s="295" t="s">
        <v>8</v>
      </c>
      <c r="P1322" s="75" t="str">
        <f>IF(AND('331-CT'!$E$7=TH!H1322,OR(N1322="331",O1322="331")),"x","")</f>
        <v/>
      </c>
      <c r="Q1322" s="75" t="str">
        <f>IF(AND(B1322='111'!$L$11,OR($N1322=$Q$7,$O1322=$Q$7)),"x","")</f>
        <v/>
      </c>
      <c r="R1322" s="75" t="str">
        <f>IF(AND($N1322=$Q$7,$B1322&lt;'111'!$L$11),"x","")</f>
        <v/>
      </c>
      <c r="S1322" s="75" t="str">
        <f>IF(AND($O1322=$Q$7,$B1322&lt;'111'!$L$11),"x","")</f>
        <v/>
      </c>
      <c r="T1322" s="75" t="str">
        <f>IF(ISERROR(FIND('112'!$M$9,G1322,1)),"",IF((AND(FIND('112'!$M$9,G1322,1)&gt;=1,B1322='112'!$K$9,OR($N1322='112'!$I$6,$O1322='112'!$I$6))),"x",""))</f>
        <v/>
      </c>
      <c r="U1322" s="75" t="str">
        <f>IF(ISERROR(FIND('112'!$M$9,G1322,1)),"",IF((AND(LEFT(G1322,2)=LEFT('112'!$M$9,2),B1322&lt;'112'!$K$9,$N1322='112'!$I$6)),"x",""))</f>
        <v/>
      </c>
      <c r="V1322" s="75" t="str">
        <f>IF(ISERROR(FIND('112'!$M$9,G1322,1)),"",IF((AND(RIGHT(G1322,2)=RIGHT('112'!$M$9,2),B1322&lt;'112'!$K$9,$O1322='112'!$I$6)),"x",""))</f>
        <v/>
      </c>
      <c r="W1322" s="75" t="str">
        <f>IF(AND('341-CT'!$H$9=H1322,OR(LEFT(N1322,3)=$W$7,LEFT(O1322,3)=$W$7)),"x","")</f>
        <v/>
      </c>
      <c r="X1322" s="75" t="str">
        <f>IF(OR(TH!N1322=TH!$X$7,O1322=TH!$X$7),"x","")</f>
        <v/>
      </c>
      <c r="Y1322" s="75" t="str">
        <f>IF(AND(OR(N1322="131",O1322="131"),H1322='131-CT'!$H$9),"x","")</f>
        <v/>
      </c>
      <c r="Z1322" s="75"/>
      <c r="AA1322" s="75" t="str">
        <f>IF(AND(MONTH(E1322)='IN-NX'!$J$5,'IN-NX'!$D$7=D1322),"x","")</f>
        <v/>
      </c>
      <c r="AB1322" s="75" t="str">
        <f>IF(AND(OR(LEFT(TH!N1322,2)="15",LEFT(TH!O1322,2)="15"),LEFT(TH!O1322,3)&lt;&gt;"111",'152-CT'!$J$8=TH!F1322),"x","")</f>
        <v/>
      </c>
      <c r="AC1322" s="75" t="str">
        <f>IF(AND(OR(LEFT(TH!N1322,2)="15",LEFT(TH!O1322,2)="15"),TK!$E$7=TH!F1322),"x","")</f>
        <v/>
      </c>
      <c r="AD1322" s="75" t="str">
        <f>IF(AND(N1322="1521",MONTH(C1322)='BK-NL'!$M$11),"x","")</f>
        <v/>
      </c>
    </row>
    <row r="1323" spans="1:30" s="1053" customFormat="1" ht="16.5" customHeight="1">
      <c r="A1323" s="309" t="str">
        <f>IF(B1323&lt;&gt;"",IF(AND(B1323='IN-TC'!$S$4,OR(TH!N1323="1111",TH!O1323="1111")),TH!D1323,""),"")</f>
        <v/>
      </c>
      <c r="B1323" s="1242">
        <f t="shared" si="305"/>
        <v>5</v>
      </c>
      <c r="C1323" s="292">
        <v>42869</v>
      </c>
      <c r="D1323" s="292" t="s">
        <v>1355</v>
      </c>
      <c r="E1323" s="292">
        <f t="shared" si="306"/>
        <v>42869</v>
      </c>
      <c r="F1323" s="67" t="s">
        <v>795</v>
      </c>
      <c r="G1323" s="925" t="s">
        <v>1375</v>
      </c>
      <c r="H1323" s="294" t="s">
        <v>797</v>
      </c>
      <c r="I1323" s="373">
        <v>2030</v>
      </c>
      <c r="J1323" s="379">
        <v>8500</v>
      </c>
      <c r="K1323" s="373"/>
      <c r="L1323" s="379"/>
      <c r="M1323" s="927">
        <f>I1323*J1323</f>
        <v>17255000</v>
      </c>
      <c r="N1323" s="295" t="s">
        <v>266</v>
      </c>
      <c r="O1323" s="295" t="s">
        <v>8</v>
      </c>
      <c r="P1323" s="75" t="str">
        <f>IF(AND('331-CT'!$E$7=TH!H1323,OR(N1323="331",O1323="331")),"x","")</f>
        <v/>
      </c>
      <c r="Q1323" s="75" t="str">
        <f>IF(AND(B1323='111'!$L$11,OR($N1323=$Q$7,$O1323=$Q$7)),"x","")</f>
        <v/>
      </c>
      <c r="R1323" s="75" t="str">
        <f>IF(AND($N1323=$Q$7,$B1323&lt;'111'!$L$11),"x","")</f>
        <v/>
      </c>
      <c r="S1323" s="75" t="str">
        <f>IF(AND($O1323=$Q$7,$B1323&lt;'111'!$L$11),"x","")</f>
        <v/>
      </c>
      <c r="T1323" s="75" t="str">
        <f>IF(ISERROR(FIND('112'!$M$9,G1323,1)),"",IF((AND(FIND('112'!$M$9,G1323,1)&gt;=1,B1323='112'!$K$9,OR($N1323='112'!$I$6,$O1323='112'!$I$6))),"x",""))</f>
        <v/>
      </c>
      <c r="U1323" s="75" t="str">
        <f>IF(ISERROR(FIND('112'!$M$9,G1323,1)),"",IF((AND(LEFT(G1323,2)=LEFT('112'!$M$9,2),B1323&lt;'112'!$K$9,$N1323='112'!$I$6)),"x",""))</f>
        <v/>
      </c>
      <c r="V1323" s="75" t="str">
        <f>IF(ISERROR(FIND('112'!$M$9,G1323,1)),"",IF((AND(RIGHT(G1323,2)=RIGHT('112'!$M$9,2),B1323&lt;'112'!$K$9,$O1323='112'!$I$6)),"x",""))</f>
        <v/>
      </c>
      <c r="W1323" s="75" t="str">
        <f>IF(AND('341-CT'!$H$9=H1323,OR(LEFT(N1323,3)=$W$7,LEFT(O1323,3)=$W$7)),"x","")</f>
        <v/>
      </c>
      <c r="X1323" s="75" t="str">
        <f>IF(OR(TH!N1323=TH!$X$7,O1323=TH!$X$7),"x","")</f>
        <v/>
      </c>
      <c r="Y1323" s="75" t="str">
        <f>IF(AND(OR(N1323="131",O1323="131"),H1323='131-CT'!$H$9),"x","")</f>
        <v/>
      </c>
      <c r="Z1323" s="75"/>
      <c r="AA1323" s="75" t="str">
        <f>IF(AND(MONTH(E1323)='IN-NX'!$J$5,'IN-NX'!$D$7=D1323),"x","")</f>
        <v/>
      </c>
      <c r="AB1323" s="75" t="str">
        <f>IF(AND(OR(LEFT(TH!N1323,2)="15",LEFT(TH!O1323,2)="15"),LEFT(TH!O1323,3)&lt;&gt;"111",'152-CT'!$J$8=TH!F1323),"x","")</f>
        <v/>
      </c>
      <c r="AC1323" s="75" t="str">
        <f>IF(AND(OR(LEFT(TH!N1323,2)="15",LEFT(TH!O1323,2)="15"),TK!$E$7=TH!F1323),"x","")</f>
        <v/>
      </c>
      <c r="AD1323" s="75" t="str">
        <f>IF(AND(N1323="1521",MONTH(C1323)='BK-NL'!$M$11),"x","")</f>
        <v/>
      </c>
    </row>
    <row r="1324" spans="1:30" s="1053" customFormat="1" ht="16.5" customHeight="1">
      <c r="A1324" s="309" t="str">
        <f>IF(B1324&lt;&gt;"",IF(AND(B1324='IN-TC'!$S$4,OR(TH!N1324="1111",TH!O1324="1111")),TH!D1324,""),"")</f>
        <v/>
      </c>
      <c r="B1324" s="1242">
        <f t="shared" si="305"/>
        <v>5</v>
      </c>
      <c r="C1324" s="292">
        <v>42869</v>
      </c>
      <c r="D1324" s="292" t="s">
        <v>1355</v>
      </c>
      <c r="E1324" s="292">
        <f t="shared" si="306"/>
        <v>42869</v>
      </c>
      <c r="F1324" s="67" t="s">
        <v>1143</v>
      </c>
      <c r="G1324" s="925" t="s">
        <v>1375</v>
      </c>
      <c r="H1324" s="294" t="s">
        <v>797</v>
      </c>
      <c r="I1324" s="373"/>
      <c r="J1324" s="379"/>
      <c r="K1324" s="373"/>
      <c r="L1324" s="379"/>
      <c r="M1324" s="927">
        <v>1725500</v>
      </c>
      <c r="N1324" s="295" t="s">
        <v>9</v>
      </c>
      <c r="O1324" s="295" t="s">
        <v>8</v>
      </c>
      <c r="P1324" s="75" t="str">
        <f>IF(AND('331-CT'!$E$7=TH!H1324,OR(N1324="331",O1324="331")),"x","")</f>
        <v/>
      </c>
      <c r="Q1324" s="75" t="str">
        <f>IF(AND(B1324='111'!$L$11,OR($N1324=$Q$7,$O1324=$Q$7)),"x","")</f>
        <v/>
      </c>
      <c r="R1324" s="75" t="str">
        <f>IF(AND($N1324=$Q$7,$B1324&lt;'111'!$L$11),"x","")</f>
        <v/>
      </c>
      <c r="S1324" s="75" t="str">
        <f>IF(AND($O1324=$Q$7,$B1324&lt;'111'!$L$11),"x","")</f>
        <v/>
      </c>
      <c r="T1324" s="75" t="str">
        <f>IF(ISERROR(FIND('112'!$M$9,G1324,1)),"",IF((AND(FIND('112'!$M$9,G1324,1)&gt;=1,B1324='112'!$K$9,OR($N1324='112'!$I$6,$O1324='112'!$I$6))),"x",""))</f>
        <v/>
      </c>
      <c r="U1324" s="75" t="str">
        <f>IF(ISERROR(FIND('112'!$M$9,G1324,1)),"",IF((AND(LEFT(G1324,2)=LEFT('112'!$M$9,2),B1324&lt;'112'!$K$9,$N1324='112'!$I$6)),"x",""))</f>
        <v/>
      </c>
      <c r="V1324" s="75" t="str">
        <f>IF(ISERROR(FIND('112'!$M$9,G1324,1)),"",IF((AND(RIGHT(G1324,2)=RIGHT('112'!$M$9,2),B1324&lt;'112'!$K$9,$O1324='112'!$I$6)),"x",""))</f>
        <v/>
      </c>
      <c r="W1324" s="75" t="str">
        <f>IF(AND('341-CT'!$H$9=H1324,OR(LEFT(N1324,3)=$W$7,LEFT(O1324,3)=$W$7)),"x","")</f>
        <v/>
      </c>
      <c r="X1324" s="75" t="str">
        <f>IF(OR(TH!N1324=TH!$X$7,O1324=TH!$X$7),"x","")</f>
        <v/>
      </c>
      <c r="Y1324" s="75" t="str">
        <f>IF(AND(OR(N1324="131",O1324="131"),H1324='131-CT'!$H$9),"x","")</f>
        <v/>
      </c>
      <c r="Z1324" s="75"/>
      <c r="AA1324" s="75" t="str">
        <f>IF(AND(MONTH(E1324)='IN-NX'!$J$5,'IN-NX'!$D$7=D1324),"x","")</f>
        <v/>
      </c>
      <c r="AB1324" s="75" t="str">
        <f>IF(AND(OR(LEFT(TH!N1324,2)="15",LEFT(TH!O1324,2)="15"),LEFT(TH!O1324,3)&lt;&gt;"111",'152-CT'!$J$8=TH!F1324),"x","")</f>
        <v/>
      </c>
      <c r="AC1324" s="75" t="str">
        <f>IF(AND(OR(LEFT(TH!N1324,2)="15",LEFT(TH!O1324,2)="15"),TK!$E$7=TH!F1324),"x","")</f>
        <v/>
      </c>
      <c r="AD1324" s="75" t="str">
        <f>IF(AND(N1324="1521",MONTH(C1324)='BK-NL'!$M$11),"x","")</f>
        <v/>
      </c>
    </row>
    <row r="1325" spans="1:30" s="1053" customFormat="1" ht="16.5" customHeight="1">
      <c r="A1325" s="309" t="str">
        <f>IF(B1325&lt;&gt;"",IF(AND(B1325='IN-TC'!$S$4,OR(TH!N1325="1111",TH!O1325="1111")),TH!D1325,""),"")</f>
        <v/>
      </c>
      <c r="B1325" s="1242">
        <f t="shared" si="305"/>
        <v>5</v>
      </c>
      <c r="C1325" s="292">
        <v>42870</v>
      </c>
      <c r="D1325" s="292" t="s">
        <v>1354</v>
      </c>
      <c r="E1325" s="292">
        <f t="shared" si="306"/>
        <v>42870</v>
      </c>
      <c r="F1325" s="67" t="s">
        <v>795</v>
      </c>
      <c r="G1325" s="925" t="s">
        <v>1374</v>
      </c>
      <c r="H1325" s="294" t="s">
        <v>796</v>
      </c>
      <c r="I1325" s="373">
        <v>2030</v>
      </c>
      <c r="J1325" s="379">
        <v>8500</v>
      </c>
      <c r="K1325" s="373"/>
      <c r="L1325" s="379"/>
      <c r="M1325" s="927">
        <f>I1325*J1325</f>
        <v>17255000</v>
      </c>
      <c r="N1325" s="295" t="s">
        <v>266</v>
      </c>
      <c r="O1325" s="295" t="s">
        <v>8</v>
      </c>
      <c r="P1325" s="75" t="str">
        <f>IF(AND('331-CT'!$E$7=TH!H1325,OR(N1325="331",O1325="331")),"x","")</f>
        <v/>
      </c>
      <c r="Q1325" s="75" t="str">
        <f>IF(AND(B1325='111'!$L$11,OR($N1325=$Q$7,$O1325=$Q$7)),"x","")</f>
        <v/>
      </c>
      <c r="R1325" s="75" t="str">
        <f>IF(AND($N1325=$Q$7,$B1325&lt;'111'!$L$11),"x","")</f>
        <v/>
      </c>
      <c r="S1325" s="75" t="str">
        <f>IF(AND($O1325=$Q$7,$B1325&lt;'111'!$L$11),"x","")</f>
        <v/>
      </c>
      <c r="T1325" s="75" t="str">
        <f>IF(ISERROR(FIND('112'!$M$9,G1325,1)),"",IF((AND(FIND('112'!$M$9,G1325,1)&gt;=1,B1325='112'!$K$9,OR($N1325='112'!$I$6,$O1325='112'!$I$6))),"x",""))</f>
        <v/>
      </c>
      <c r="U1325" s="75" t="str">
        <f>IF(ISERROR(FIND('112'!$M$9,G1325,1)),"",IF((AND(LEFT(G1325,2)=LEFT('112'!$M$9,2),B1325&lt;'112'!$K$9,$N1325='112'!$I$6)),"x",""))</f>
        <v/>
      </c>
      <c r="V1325" s="75" t="str">
        <f>IF(ISERROR(FIND('112'!$M$9,G1325,1)),"",IF((AND(RIGHT(G1325,2)=RIGHT('112'!$M$9,2),B1325&lt;'112'!$K$9,$O1325='112'!$I$6)),"x",""))</f>
        <v/>
      </c>
      <c r="W1325" s="75" t="str">
        <f>IF(AND('341-CT'!$H$9=H1325,OR(LEFT(N1325,3)=$W$7,LEFT(O1325,3)=$W$7)),"x","")</f>
        <v/>
      </c>
      <c r="X1325" s="75" t="str">
        <f>IF(OR(TH!N1325=TH!$X$7,O1325=TH!$X$7),"x","")</f>
        <v/>
      </c>
      <c r="Y1325" s="75" t="str">
        <f>IF(AND(OR(N1325="131",O1325="131"),H1325='131-CT'!$H$9),"x","")</f>
        <v/>
      </c>
      <c r="Z1325" s="75"/>
      <c r="AA1325" s="75" t="str">
        <f>IF(AND(MONTH(E1325)='IN-NX'!$J$5,'IN-NX'!$D$7=D1325),"x","")</f>
        <v/>
      </c>
      <c r="AB1325" s="75" t="str">
        <f>IF(AND(OR(LEFT(TH!N1325,2)="15",LEFT(TH!O1325,2)="15"),LEFT(TH!O1325,3)&lt;&gt;"111",'152-CT'!$J$8=TH!F1325),"x","")</f>
        <v/>
      </c>
      <c r="AC1325" s="75" t="str">
        <f>IF(AND(OR(LEFT(TH!N1325,2)="15",LEFT(TH!O1325,2)="15"),TK!$E$7=TH!F1325),"x","")</f>
        <v/>
      </c>
      <c r="AD1325" s="75" t="str">
        <f>IF(AND(N1325="1521",MONTH(C1325)='BK-NL'!$M$11),"x","")</f>
        <v/>
      </c>
    </row>
    <row r="1326" spans="1:30" s="1053" customFormat="1" ht="16.5" customHeight="1">
      <c r="A1326" s="309" t="str">
        <f>IF(B1326&lt;&gt;"",IF(AND(B1326='IN-TC'!$S$4,OR(TH!N1326="1111",TH!O1326="1111")),TH!D1326,""),"")</f>
        <v/>
      </c>
      <c r="B1326" s="1242">
        <f t="shared" si="305"/>
        <v>5</v>
      </c>
      <c r="C1326" s="292">
        <v>42870</v>
      </c>
      <c r="D1326" s="292" t="s">
        <v>1354</v>
      </c>
      <c r="E1326" s="292">
        <f t="shared" si="306"/>
        <v>42870</v>
      </c>
      <c r="F1326" s="67" t="s">
        <v>1143</v>
      </c>
      <c r="G1326" s="925" t="s">
        <v>1374</v>
      </c>
      <c r="H1326" s="294" t="s">
        <v>796</v>
      </c>
      <c r="I1326" s="373"/>
      <c r="J1326" s="379"/>
      <c r="K1326" s="373"/>
      <c r="L1326" s="379"/>
      <c r="M1326" s="927">
        <v>1725500</v>
      </c>
      <c r="N1326" s="295" t="s">
        <v>9</v>
      </c>
      <c r="O1326" s="295" t="s">
        <v>8</v>
      </c>
      <c r="P1326" s="75" t="str">
        <f>IF(AND('331-CT'!$E$7=TH!H1326,OR(N1326="331",O1326="331")),"x","")</f>
        <v/>
      </c>
      <c r="Q1326" s="75" t="str">
        <f>IF(AND(B1326='111'!$L$11,OR($N1326=$Q$7,$O1326=$Q$7)),"x","")</f>
        <v/>
      </c>
      <c r="R1326" s="75" t="str">
        <f>IF(AND($N1326=$Q$7,$B1326&lt;'111'!$L$11),"x","")</f>
        <v/>
      </c>
      <c r="S1326" s="75" t="str">
        <f>IF(AND($O1326=$Q$7,$B1326&lt;'111'!$L$11),"x","")</f>
        <v/>
      </c>
      <c r="T1326" s="75" t="str">
        <f>IF(ISERROR(FIND('112'!$M$9,G1326,1)),"",IF((AND(FIND('112'!$M$9,G1326,1)&gt;=1,B1326='112'!$K$9,OR($N1326='112'!$I$6,$O1326='112'!$I$6))),"x",""))</f>
        <v/>
      </c>
      <c r="U1326" s="75" t="str">
        <f>IF(ISERROR(FIND('112'!$M$9,G1326,1)),"",IF((AND(LEFT(G1326,2)=LEFT('112'!$M$9,2),B1326&lt;'112'!$K$9,$N1326='112'!$I$6)),"x",""))</f>
        <v/>
      </c>
      <c r="V1326" s="75" t="str">
        <f>IF(ISERROR(FIND('112'!$M$9,G1326,1)),"",IF((AND(RIGHT(G1326,2)=RIGHT('112'!$M$9,2),B1326&lt;'112'!$K$9,$O1326='112'!$I$6)),"x",""))</f>
        <v/>
      </c>
      <c r="W1326" s="75" t="str">
        <f>IF(AND('341-CT'!$H$9=H1326,OR(LEFT(N1326,3)=$W$7,LEFT(O1326,3)=$W$7)),"x","")</f>
        <v/>
      </c>
      <c r="X1326" s="75" t="str">
        <f>IF(OR(TH!N1326=TH!$X$7,O1326=TH!$X$7),"x","")</f>
        <v/>
      </c>
      <c r="Y1326" s="75" t="str">
        <f>IF(AND(OR(N1326="131",O1326="131"),H1326='131-CT'!$H$9),"x","")</f>
        <v/>
      </c>
      <c r="Z1326" s="75"/>
      <c r="AA1326" s="75" t="str">
        <f>IF(AND(MONTH(E1326)='IN-NX'!$J$5,'IN-NX'!$D$7=D1326),"x","")</f>
        <v/>
      </c>
      <c r="AB1326" s="75" t="str">
        <f>IF(AND(OR(LEFT(TH!N1326,2)="15",LEFT(TH!O1326,2)="15"),LEFT(TH!O1326,3)&lt;&gt;"111",'152-CT'!$J$8=TH!F1326),"x","")</f>
        <v/>
      </c>
      <c r="AC1326" s="75" t="str">
        <f>IF(AND(OR(LEFT(TH!N1326,2)="15",LEFT(TH!O1326,2)="15"),TK!$E$7=TH!F1326),"x","")</f>
        <v/>
      </c>
      <c r="AD1326" s="75" t="str">
        <f>IF(AND(N1326="1521",MONTH(C1326)='BK-NL'!$M$11),"x","")</f>
        <v/>
      </c>
    </row>
    <row r="1327" spans="1:30" s="1053" customFormat="1" ht="16.5" customHeight="1">
      <c r="A1327" s="309" t="str">
        <f>IF(B1327&lt;&gt;"",IF(AND(B1327='IN-TC'!$S$4,OR(TH!N1327="1111",TH!O1327="1111")),TH!D1327,""),"")</f>
        <v/>
      </c>
      <c r="B1327" s="1242">
        <f t="shared" si="305"/>
        <v>5</v>
      </c>
      <c r="C1327" s="292">
        <v>42870</v>
      </c>
      <c r="D1327" s="292" t="s">
        <v>1356</v>
      </c>
      <c r="E1327" s="292">
        <f t="shared" si="306"/>
        <v>42870</v>
      </c>
      <c r="F1327" s="67" t="s">
        <v>795</v>
      </c>
      <c r="G1327" s="925" t="s">
        <v>1388</v>
      </c>
      <c r="H1327" s="294" t="s">
        <v>797</v>
      </c>
      <c r="I1327" s="373">
        <v>2030</v>
      </c>
      <c r="J1327" s="379">
        <v>8500</v>
      </c>
      <c r="K1327" s="373"/>
      <c r="L1327" s="379"/>
      <c r="M1327" s="927">
        <f>I1327*J1327</f>
        <v>17255000</v>
      </c>
      <c r="N1327" s="295" t="s">
        <v>266</v>
      </c>
      <c r="O1327" s="295" t="s">
        <v>8</v>
      </c>
      <c r="P1327" s="75" t="str">
        <f>IF(AND('331-CT'!$E$7=TH!H1327,OR(N1327="331",O1327="331")),"x","")</f>
        <v/>
      </c>
      <c r="Q1327" s="75" t="str">
        <f>IF(AND(B1327='111'!$L$11,OR($N1327=$Q$7,$O1327=$Q$7)),"x","")</f>
        <v/>
      </c>
      <c r="R1327" s="75" t="str">
        <f>IF(AND($N1327=$Q$7,$B1327&lt;'111'!$L$11),"x","")</f>
        <v/>
      </c>
      <c r="S1327" s="75" t="str">
        <f>IF(AND($O1327=$Q$7,$B1327&lt;'111'!$L$11),"x","")</f>
        <v/>
      </c>
      <c r="T1327" s="75" t="str">
        <f>IF(ISERROR(FIND('112'!$M$9,G1327,1)),"",IF((AND(FIND('112'!$M$9,G1327,1)&gt;=1,B1327='112'!$K$9,OR($N1327='112'!$I$6,$O1327='112'!$I$6))),"x",""))</f>
        <v/>
      </c>
      <c r="U1327" s="75" t="str">
        <f>IF(ISERROR(FIND('112'!$M$9,G1327,1)),"",IF((AND(LEFT(G1327,2)=LEFT('112'!$M$9,2),B1327&lt;'112'!$K$9,$N1327='112'!$I$6)),"x",""))</f>
        <v/>
      </c>
      <c r="V1327" s="75" t="str">
        <f>IF(ISERROR(FIND('112'!$M$9,G1327,1)),"",IF((AND(RIGHT(G1327,2)=RIGHT('112'!$M$9,2),B1327&lt;'112'!$K$9,$O1327='112'!$I$6)),"x",""))</f>
        <v/>
      </c>
      <c r="W1327" s="75" t="str">
        <f>IF(AND('341-CT'!$H$9=H1327,OR(LEFT(N1327,3)=$W$7,LEFT(O1327,3)=$W$7)),"x","")</f>
        <v/>
      </c>
      <c r="X1327" s="75" t="str">
        <f>IF(OR(TH!N1327=TH!$X$7,O1327=TH!$X$7),"x","")</f>
        <v/>
      </c>
      <c r="Y1327" s="75" t="str">
        <f>IF(AND(OR(N1327="131",O1327="131"),H1327='131-CT'!$H$9),"x","")</f>
        <v/>
      </c>
      <c r="Z1327" s="75"/>
      <c r="AA1327" s="75" t="str">
        <f>IF(AND(MONTH(E1327)='IN-NX'!$J$5,'IN-NX'!$D$7=D1327),"x","")</f>
        <v/>
      </c>
      <c r="AB1327" s="75" t="str">
        <f>IF(AND(OR(LEFT(TH!N1327,2)="15",LEFT(TH!O1327,2)="15"),LEFT(TH!O1327,3)&lt;&gt;"111",'152-CT'!$J$8=TH!F1327),"x","")</f>
        <v/>
      </c>
      <c r="AC1327" s="75" t="str">
        <f>IF(AND(OR(LEFT(TH!N1327,2)="15",LEFT(TH!O1327,2)="15"),TK!$E$7=TH!F1327),"x","")</f>
        <v/>
      </c>
      <c r="AD1327" s="75" t="str">
        <f>IF(AND(N1327="1521",MONTH(C1327)='BK-NL'!$M$11),"x","")</f>
        <v/>
      </c>
    </row>
    <row r="1328" spans="1:30" s="1053" customFormat="1" ht="16.5" customHeight="1">
      <c r="A1328" s="309" t="str">
        <f>IF(B1328&lt;&gt;"",IF(AND(B1328='IN-TC'!$S$4,OR(TH!N1328="1111",TH!O1328="1111")),TH!D1328,""),"")</f>
        <v/>
      </c>
      <c r="B1328" s="1242">
        <f t="shared" si="305"/>
        <v>5</v>
      </c>
      <c r="C1328" s="292">
        <v>42870</v>
      </c>
      <c r="D1328" s="292" t="s">
        <v>1356</v>
      </c>
      <c r="E1328" s="292">
        <f t="shared" si="306"/>
        <v>42870</v>
      </c>
      <c r="F1328" s="67" t="s">
        <v>1143</v>
      </c>
      <c r="G1328" s="925" t="s">
        <v>1388</v>
      </c>
      <c r="H1328" s="294" t="s">
        <v>797</v>
      </c>
      <c r="I1328" s="373"/>
      <c r="J1328" s="379"/>
      <c r="K1328" s="373"/>
      <c r="L1328" s="379"/>
      <c r="M1328" s="927">
        <v>1725500</v>
      </c>
      <c r="N1328" s="295" t="s">
        <v>9</v>
      </c>
      <c r="O1328" s="295" t="s">
        <v>8</v>
      </c>
      <c r="P1328" s="75" t="str">
        <f>IF(AND('331-CT'!$E$7=TH!H1328,OR(N1328="331",O1328="331")),"x","")</f>
        <v/>
      </c>
      <c r="Q1328" s="75" t="str">
        <f>IF(AND(B1328='111'!$L$11,OR($N1328=$Q$7,$O1328=$Q$7)),"x","")</f>
        <v/>
      </c>
      <c r="R1328" s="75" t="str">
        <f>IF(AND($N1328=$Q$7,$B1328&lt;'111'!$L$11),"x","")</f>
        <v/>
      </c>
      <c r="S1328" s="75" t="str">
        <f>IF(AND($O1328=$Q$7,$B1328&lt;'111'!$L$11),"x","")</f>
        <v/>
      </c>
      <c r="T1328" s="75" t="str">
        <f>IF(ISERROR(FIND('112'!$M$9,G1328,1)),"",IF((AND(FIND('112'!$M$9,G1328,1)&gt;=1,B1328='112'!$K$9,OR($N1328='112'!$I$6,$O1328='112'!$I$6))),"x",""))</f>
        <v/>
      </c>
      <c r="U1328" s="75" t="str">
        <f>IF(ISERROR(FIND('112'!$M$9,G1328,1)),"",IF((AND(LEFT(G1328,2)=LEFT('112'!$M$9,2),B1328&lt;'112'!$K$9,$N1328='112'!$I$6)),"x",""))</f>
        <v/>
      </c>
      <c r="V1328" s="75" t="str">
        <f>IF(ISERROR(FIND('112'!$M$9,G1328,1)),"",IF((AND(RIGHT(G1328,2)=RIGHT('112'!$M$9,2),B1328&lt;'112'!$K$9,$O1328='112'!$I$6)),"x",""))</f>
        <v/>
      </c>
      <c r="W1328" s="75" t="str">
        <f>IF(AND('341-CT'!$H$9=H1328,OR(LEFT(N1328,3)=$W$7,LEFT(O1328,3)=$W$7)),"x","")</f>
        <v/>
      </c>
      <c r="X1328" s="75" t="str">
        <f>IF(OR(TH!N1328=TH!$X$7,O1328=TH!$X$7),"x","")</f>
        <v/>
      </c>
      <c r="Y1328" s="75" t="str">
        <f>IF(AND(OR(N1328="131",O1328="131"),H1328='131-CT'!$H$9),"x","")</f>
        <v/>
      </c>
      <c r="Z1328" s="75"/>
      <c r="AA1328" s="75" t="str">
        <f>IF(AND(MONTH(E1328)='IN-NX'!$J$5,'IN-NX'!$D$7=D1328),"x","")</f>
        <v/>
      </c>
      <c r="AB1328" s="75" t="str">
        <f>IF(AND(OR(LEFT(TH!N1328,2)="15",LEFT(TH!O1328,2)="15"),LEFT(TH!O1328,3)&lt;&gt;"111",'152-CT'!$J$8=TH!F1328),"x","")</f>
        <v/>
      </c>
      <c r="AC1328" s="75" t="str">
        <f>IF(AND(OR(LEFT(TH!N1328,2)="15",LEFT(TH!O1328,2)="15"),TK!$E$7=TH!F1328),"x","")</f>
        <v/>
      </c>
      <c r="AD1328" s="75" t="str">
        <f>IF(AND(N1328="1521",MONTH(C1328)='BK-NL'!$M$11),"x","")</f>
        <v/>
      </c>
    </row>
    <row r="1329" spans="1:30" s="1053" customFormat="1" ht="16.5" customHeight="1">
      <c r="A1329" s="309" t="str">
        <f>IF(B1329&lt;&gt;"",IF(AND(B1329='IN-TC'!$S$4,OR(TH!N1329="1111",TH!O1329="1111")),TH!D1329,""),"")</f>
        <v/>
      </c>
      <c r="B1329" s="1242">
        <f t="shared" si="305"/>
        <v>5</v>
      </c>
      <c r="C1329" s="292">
        <v>42871</v>
      </c>
      <c r="D1329" s="292" t="s">
        <v>1357</v>
      </c>
      <c r="E1329" s="292">
        <f t="shared" si="306"/>
        <v>42871</v>
      </c>
      <c r="F1329" s="67" t="s">
        <v>795</v>
      </c>
      <c r="G1329" s="925" t="s">
        <v>1397</v>
      </c>
      <c r="H1329" s="294" t="s">
        <v>797</v>
      </c>
      <c r="I1329" s="373">
        <v>2030</v>
      </c>
      <c r="J1329" s="379">
        <v>8500</v>
      </c>
      <c r="K1329" s="373"/>
      <c r="L1329" s="379"/>
      <c r="M1329" s="927">
        <f>I1329*J1329</f>
        <v>17255000</v>
      </c>
      <c r="N1329" s="295" t="s">
        <v>266</v>
      </c>
      <c r="O1329" s="295" t="s">
        <v>8</v>
      </c>
      <c r="P1329" s="75" t="str">
        <f>IF(AND('331-CT'!$E$7=TH!H1329,OR(N1329="331",O1329="331")),"x","")</f>
        <v/>
      </c>
      <c r="Q1329" s="75" t="str">
        <f>IF(AND(B1329='111'!$L$11,OR($N1329=$Q$7,$O1329=$Q$7)),"x","")</f>
        <v/>
      </c>
      <c r="R1329" s="75" t="str">
        <f>IF(AND($N1329=$Q$7,$B1329&lt;'111'!$L$11),"x","")</f>
        <v/>
      </c>
      <c r="S1329" s="75" t="str">
        <f>IF(AND($O1329=$Q$7,$B1329&lt;'111'!$L$11),"x","")</f>
        <v/>
      </c>
      <c r="T1329" s="75" t="str">
        <f>IF(ISERROR(FIND('112'!$M$9,G1329,1)),"",IF((AND(FIND('112'!$M$9,G1329,1)&gt;=1,B1329='112'!$K$9,OR($N1329='112'!$I$6,$O1329='112'!$I$6))),"x",""))</f>
        <v/>
      </c>
      <c r="U1329" s="75" t="str">
        <f>IF(ISERROR(FIND('112'!$M$9,G1329,1)),"",IF((AND(LEFT(G1329,2)=LEFT('112'!$M$9,2),B1329&lt;'112'!$K$9,$N1329='112'!$I$6)),"x",""))</f>
        <v/>
      </c>
      <c r="V1329" s="75" t="str">
        <f>IF(ISERROR(FIND('112'!$M$9,G1329,1)),"",IF((AND(RIGHT(G1329,2)=RIGHT('112'!$M$9,2),B1329&lt;'112'!$K$9,$O1329='112'!$I$6)),"x",""))</f>
        <v/>
      </c>
      <c r="W1329" s="75" t="str">
        <f>IF(AND('341-CT'!$H$9=H1329,OR(LEFT(N1329,3)=$W$7,LEFT(O1329,3)=$W$7)),"x","")</f>
        <v/>
      </c>
      <c r="X1329" s="75" t="str">
        <f>IF(OR(TH!N1329=TH!$X$7,O1329=TH!$X$7),"x","")</f>
        <v/>
      </c>
      <c r="Y1329" s="75" t="str">
        <f>IF(AND(OR(N1329="131",O1329="131"),H1329='131-CT'!$H$9),"x","")</f>
        <v/>
      </c>
      <c r="Z1329" s="75"/>
      <c r="AA1329" s="75" t="str">
        <f>IF(AND(MONTH(E1329)='IN-NX'!$J$5,'IN-NX'!$D$7=D1329),"x","")</f>
        <v/>
      </c>
      <c r="AB1329" s="75" t="str">
        <f>IF(AND(OR(LEFT(TH!N1329,2)="15",LEFT(TH!O1329,2)="15"),LEFT(TH!O1329,3)&lt;&gt;"111",'152-CT'!$J$8=TH!F1329),"x","")</f>
        <v/>
      </c>
      <c r="AC1329" s="75" t="str">
        <f>IF(AND(OR(LEFT(TH!N1329,2)="15",LEFT(TH!O1329,2)="15"),TK!$E$7=TH!F1329),"x","")</f>
        <v/>
      </c>
      <c r="AD1329" s="75" t="str">
        <f>IF(AND(N1329="1521",MONTH(C1329)='BK-NL'!$M$11),"x","")</f>
        <v/>
      </c>
    </row>
    <row r="1330" spans="1:30" s="1053" customFormat="1" ht="16.5" customHeight="1">
      <c r="A1330" s="309" t="str">
        <f>IF(B1330&lt;&gt;"",IF(AND(B1330='IN-TC'!$S$4,OR(TH!N1330="1111",TH!O1330="1111")),TH!D1330,""),"")</f>
        <v/>
      </c>
      <c r="B1330" s="1242">
        <f t="shared" si="305"/>
        <v>5</v>
      </c>
      <c r="C1330" s="292">
        <v>42871</v>
      </c>
      <c r="D1330" s="292" t="s">
        <v>1357</v>
      </c>
      <c r="E1330" s="292">
        <f t="shared" si="306"/>
        <v>42871</v>
      </c>
      <c r="F1330" s="67" t="s">
        <v>1143</v>
      </c>
      <c r="G1330" s="925" t="s">
        <v>1397</v>
      </c>
      <c r="H1330" s="294" t="s">
        <v>797</v>
      </c>
      <c r="I1330" s="373"/>
      <c r="J1330" s="379"/>
      <c r="K1330" s="373"/>
      <c r="L1330" s="379"/>
      <c r="M1330" s="927">
        <v>1725500</v>
      </c>
      <c r="N1330" s="295" t="s">
        <v>9</v>
      </c>
      <c r="O1330" s="295" t="s">
        <v>8</v>
      </c>
      <c r="P1330" s="75" t="str">
        <f>IF(AND('331-CT'!$E$7=TH!H1330,OR(N1330="331",O1330="331")),"x","")</f>
        <v/>
      </c>
      <c r="Q1330" s="75" t="str">
        <f>IF(AND(B1330='111'!$L$11,OR($N1330=$Q$7,$O1330=$Q$7)),"x","")</f>
        <v/>
      </c>
      <c r="R1330" s="75" t="str">
        <f>IF(AND($N1330=$Q$7,$B1330&lt;'111'!$L$11),"x","")</f>
        <v/>
      </c>
      <c r="S1330" s="75" t="str">
        <f>IF(AND($O1330=$Q$7,$B1330&lt;'111'!$L$11),"x","")</f>
        <v/>
      </c>
      <c r="T1330" s="75" t="str">
        <f>IF(ISERROR(FIND('112'!$M$9,G1330,1)),"",IF((AND(FIND('112'!$M$9,G1330,1)&gt;=1,B1330='112'!$K$9,OR($N1330='112'!$I$6,$O1330='112'!$I$6))),"x",""))</f>
        <v/>
      </c>
      <c r="U1330" s="75" t="str">
        <f>IF(ISERROR(FIND('112'!$M$9,G1330,1)),"",IF((AND(LEFT(G1330,2)=LEFT('112'!$M$9,2),B1330&lt;'112'!$K$9,$N1330='112'!$I$6)),"x",""))</f>
        <v/>
      </c>
      <c r="V1330" s="75" t="str">
        <f>IF(ISERROR(FIND('112'!$M$9,G1330,1)),"",IF((AND(RIGHT(G1330,2)=RIGHT('112'!$M$9,2),B1330&lt;'112'!$K$9,$O1330='112'!$I$6)),"x",""))</f>
        <v/>
      </c>
      <c r="W1330" s="75" t="str">
        <f>IF(AND('341-CT'!$H$9=H1330,OR(LEFT(N1330,3)=$W$7,LEFT(O1330,3)=$W$7)),"x","")</f>
        <v/>
      </c>
      <c r="X1330" s="75" t="str">
        <f>IF(OR(TH!N1330=TH!$X$7,O1330=TH!$X$7),"x","")</f>
        <v/>
      </c>
      <c r="Y1330" s="75" t="str">
        <f>IF(AND(OR(N1330="131",O1330="131"),H1330='131-CT'!$H$9),"x","")</f>
        <v/>
      </c>
      <c r="Z1330" s="75"/>
      <c r="AA1330" s="75" t="str">
        <f>IF(AND(MONTH(E1330)='IN-NX'!$J$5,'IN-NX'!$D$7=D1330),"x","")</f>
        <v/>
      </c>
      <c r="AB1330" s="75" t="str">
        <f>IF(AND(OR(LEFT(TH!N1330,2)="15",LEFT(TH!O1330,2)="15"),LEFT(TH!O1330,3)&lt;&gt;"111",'152-CT'!$J$8=TH!F1330),"x","")</f>
        <v/>
      </c>
      <c r="AC1330" s="75" t="str">
        <f>IF(AND(OR(LEFT(TH!N1330,2)="15",LEFT(TH!O1330,2)="15"),TK!$E$7=TH!F1330),"x","")</f>
        <v/>
      </c>
      <c r="AD1330" s="75" t="str">
        <f>IF(AND(N1330="1521",MONTH(C1330)='BK-NL'!$M$11),"x","")</f>
        <v/>
      </c>
    </row>
    <row r="1331" spans="1:30" s="1053" customFormat="1" ht="16.5" customHeight="1">
      <c r="A1331" s="309" t="str">
        <f>IF(B1331&lt;&gt;"",IF(AND(B1331='IN-TC'!$S$4,OR(TH!N1331="1111",TH!O1331="1111")),TH!D1331,""),"")</f>
        <v/>
      </c>
      <c r="B1331" s="1242">
        <f t="shared" ref="B1331:B1362" si="307">IF(C1331&lt;&gt;"",MONTH(C1331),"")</f>
        <v>5</v>
      </c>
      <c r="C1331" s="292">
        <v>42872</v>
      </c>
      <c r="D1331" s="292" t="s">
        <v>1358</v>
      </c>
      <c r="E1331" s="292">
        <f t="shared" ref="E1331:E1369" si="308">C1331</f>
        <v>42872</v>
      </c>
      <c r="F1331" s="67" t="s">
        <v>795</v>
      </c>
      <c r="G1331" s="925" t="s">
        <v>1686</v>
      </c>
      <c r="H1331" s="294" t="s">
        <v>1684</v>
      </c>
      <c r="I1331" s="373">
        <v>2030</v>
      </c>
      <c r="J1331" s="379">
        <v>8800</v>
      </c>
      <c r="K1331" s="373"/>
      <c r="L1331" s="379"/>
      <c r="M1331" s="927">
        <f>I1331*J1331</f>
        <v>17864000</v>
      </c>
      <c r="N1331" s="295" t="s">
        <v>266</v>
      </c>
      <c r="O1331" s="295" t="s">
        <v>8</v>
      </c>
      <c r="P1331" s="75" t="str">
        <f>IF(AND('331-CT'!$E$7=TH!H1331,OR(N1331="331",O1331="331")),"x","")</f>
        <v/>
      </c>
      <c r="Q1331" s="75" t="str">
        <f>IF(AND(B1331='111'!$L$11,OR($N1331=$Q$7,$O1331=$Q$7)),"x","")</f>
        <v/>
      </c>
      <c r="R1331" s="75" t="str">
        <f>IF(AND($N1331=$Q$7,$B1331&lt;'111'!$L$11),"x","")</f>
        <v/>
      </c>
      <c r="S1331" s="75" t="str">
        <f>IF(AND($O1331=$Q$7,$B1331&lt;'111'!$L$11),"x","")</f>
        <v/>
      </c>
      <c r="T1331" s="75" t="str">
        <f>IF(ISERROR(FIND('112'!$M$9,G1331,1)),"",IF((AND(FIND('112'!$M$9,G1331,1)&gt;=1,B1331='112'!$K$9,OR($N1331='112'!$I$6,$O1331='112'!$I$6))),"x",""))</f>
        <v/>
      </c>
      <c r="U1331" s="75" t="str">
        <f>IF(ISERROR(FIND('112'!$M$9,G1331,1)),"",IF((AND(LEFT(G1331,2)=LEFT('112'!$M$9,2),B1331&lt;'112'!$K$9,$N1331='112'!$I$6)),"x",""))</f>
        <v/>
      </c>
      <c r="V1331" s="75" t="str">
        <f>IF(ISERROR(FIND('112'!$M$9,G1331,1)),"",IF((AND(RIGHT(G1331,2)=RIGHT('112'!$M$9,2),B1331&lt;'112'!$K$9,$O1331='112'!$I$6)),"x",""))</f>
        <v/>
      </c>
      <c r="W1331" s="75" t="str">
        <f>IF(AND('341-CT'!$H$9=H1331,OR(LEFT(N1331,3)=$W$7,LEFT(O1331,3)=$W$7)),"x","")</f>
        <v/>
      </c>
      <c r="X1331" s="75" t="str">
        <f>IF(OR(TH!N1331=TH!$X$7,O1331=TH!$X$7),"x","")</f>
        <v/>
      </c>
      <c r="Y1331" s="75" t="str">
        <f>IF(AND(OR(N1331="131",O1331="131"),H1331='131-CT'!$H$9),"x","")</f>
        <v/>
      </c>
      <c r="Z1331" s="75"/>
      <c r="AA1331" s="75" t="str">
        <f>IF(AND(MONTH(E1331)='IN-NX'!$J$5,'IN-NX'!$D$7=D1331),"x","")</f>
        <v/>
      </c>
      <c r="AB1331" s="75" t="str">
        <f>IF(AND(OR(LEFT(TH!N1331,2)="15",LEFT(TH!O1331,2)="15"),LEFT(TH!O1331,3)&lt;&gt;"111",'152-CT'!$J$8=TH!F1331),"x","")</f>
        <v/>
      </c>
      <c r="AC1331" s="75" t="str">
        <f>IF(AND(OR(LEFT(TH!N1331,2)="15",LEFT(TH!O1331,2)="15"),TK!$E$7=TH!F1331),"x","")</f>
        <v/>
      </c>
      <c r="AD1331" s="75" t="str">
        <f>IF(AND(N1331="1521",MONTH(C1331)='BK-NL'!$M$11),"x","")</f>
        <v/>
      </c>
    </row>
    <row r="1332" spans="1:30" s="1053" customFormat="1" ht="16.5" customHeight="1">
      <c r="A1332" s="309" t="str">
        <f>IF(B1332&lt;&gt;"",IF(AND(B1332='IN-TC'!$S$4,OR(TH!N1332="1111",TH!O1332="1111")),TH!D1332,""),"")</f>
        <v/>
      </c>
      <c r="B1332" s="1242">
        <f t="shared" si="307"/>
        <v>5</v>
      </c>
      <c r="C1332" s="292">
        <v>42872</v>
      </c>
      <c r="D1332" s="292" t="s">
        <v>1358</v>
      </c>
      <c r="E1332" s="292">
        <f t="shared" si="308"/>
        <v>42872</v>
      </c>
      <c r="F1332" s="67" t="s">
        <v>1143</v>
      </c>
      <c r="G1332" s="925" t="s">
        <v>1686</v>
      </c>
      <c r="H1332" s="294" t="s">
        <v>1684</v>
      </c>
      <c r="I1332" s="373"/>
      <c r="J1332" s="379"/>
      <c r="K1332" s="373"/>
      <c r="L1332" s="379"/>
      <c r="M1332" s="927">
        <v>1786400</v>
      </c>
      <c r="N1332" s="295" t="s">
        <v>9</v>
      </c>
      <c r="O1332" s="295" t="s">
        <v>8</v>
      </c>
      <c r="P1332" s="75" t="str">
        <f>IF(AND('331-CT'!$E$7=TH!H1332,OR(N1332="331",O1332="331")),"x","")</f>
        <v/>
      </c>
      <c r="Q1332" s="75" t="str">
        <f>IF(AND(B1332='111'!$L$11,OR($N1332=$Q$7,$O1332=$Q$7)),"x","")</f>
        <v/>
      </c>
      <c r="R1332" s="75" t="str">
        <f>IF(AND($N1332=$Q$7,$B1332&lt;'111'!$L$11),"x","")</f>
        <v/>
      </c>
      <c r="S1332" s="75" t="str">
        <f>IF(AND($O1332=$Q$7,$B1332&lt;'111'!$L$11),"x","")</f>
        <v/>
      </c>
      <c r="T1332" s="75" t="str">
        <f>IF(ISERROR(FIND('112'!$M$9,G1332,1)),"",IF((AND(FIND('112'!$M$9,G1332,1)&gt;=1,B1332='112'!$K$9,OR($N1332='112'!$I$6,$O1332='112'!$I$6))),"x",""))</f>
        <v/>
      </c>
      <c r="U1332" s="75" t="str">
        <f>IF(ISERROR(FIND('112'!$M$9,G1332,1)),"",IF((AND(LEFT(G1332,2)=LEFT('112'!$M$9,2),B1332&lt;'112'!$K$9,$N1332='112'!$I$6)),"x",""))</f>
        <v/>
      </c>
      <c r="V1332" s="75" t="str">
        <f>IF(ISERROR(FIND('112'!$M$9,G1332,1)),"",IF((AND(RIGHT(G1332,2)=RIGHT('112'!$M$9,2),B1332&lt;'112'!$K$9,$O1332='112'!$I$6)),"x",""))</f>
        <v/>
      </c>
      <c r="W1332" s="75" t="str">
        <f>IF(AND('341-CT'!$H$9=H1332,OR(LEFT(N1332,3)=$W$7,LEFT(O1332,3)=$W$7)),"x","")</f>
        <v/>
      </c>
      <c r="X1332" s="75" t="str">
        <f>IF(OR(TH!N1332=TH!$X$7,O1332=TH!$X$7),"x","")</f>
        <v/>
      </c>
      <c r="Y1332" s="75" t="str">
        <f>IF(AND(OR(N1332="131",O1332="131"),H1332='131-CT'!$H$9),"x","")</f>
        <v/>
      </c>
      <c r="Z1332" s="75"/>
      <c r="AA1332" s="75" t="str">
        <f>IF(AND(MONTH(E1332)='IN-NX'!$J$5,'IN-NX'!$D$7=D1332),"x","")</f>
        <v/>
      </c>
      <c r="AB1332" s="75" t="str">
        <f>IF(AND(OR(LEFT(TH!N1332,2)="15",LEFT(TH!O1332,2)="15"),LEFT(TH!O1332,3)&lt;&gt;"111",'152-CT'!$J$8=TH!F1332),"x","")</f>
        <v/>
      </c>
      <c r="AC1332" s="75" t="str">
        <f>IF(AND(OR(LEFT(TH!N1332,2)="15",LEFT(TH!O1332,2)="15"),TK!$E$7=TH!F1332),"x","")</f>
        <v/>
      </c>
      <c r="AD1332" s="75" t="str">
        <f>IF(AND(N1332="1521",MONTH(C1332)='BK-NL'!$M$11),"x","")</f>
        <v/>
      </c>
    </row>
    <row r="1333" spans="1:30" s="1053" customFormat="1" ht="16.5" customHeight="1">
      <c r="A1333" s="309" t="str">
        <f>IF(B1333&lt;&gt;"",IF(AND(B1333='IN-TC'!$S$4,OR(TH!N1333="1111",TH!O1333="1111")),TH!D1333,""),"")</f>
        <v/>
      </c>
      <c r="B1333" s="1242">
        <f t="shared" si="307"/>
        <v>5</v>
      </c>
      <c r="C1333" s="292">
        <v>42873</v>
      </c>
      <c r="D1333" s="292" t="s">
        <v>1359</v>
      </c>
      <c r="E1333" s="292">
        <f t="shared" si="308"/>
        <v>42873</v>
      </c>
      <c r="F1333" s="67" t="s">
        <v>795</v>
      </c>
      <c r="G1333" s="925" t="s">
        <v>1472</v>
      </c>
      <c r="H1333" s="294" t="s">
        <v>796</v>
      </c>
      <c r="I1333" s="373">
        <v>2030</v>
      </c>
      <c r="J1333" s="379">
        <v>8800</v>
      </c>
      <c r="K1333" s="373"/>
      <c r="L1333" s="379"/>
      <c r="M1333" s="927">
        <f>I1333*J1333</f>
        <v>17864000</v>
      </c>
      <c r="N1333" s="295" t="s">
        <v>266</v>
      </c>
      <c r="O1333" s="295" t="s">
        <v>8</v>
      </c>
      <c r="P1333" s="75" t="str">
        <f>IF(AND('331-CT'!$E$7=TH!H1333,OR(N1333="331",O1333="331")),"x","")</f>
        <v/>
      </c>
      <c r="Q1333" s="75" t="str">
        <f>IF(AND(B1333='111'!$L$11,OR($N1333=$Q$7,$O1333=$Q$7)),"x","")</f>
        <v/>
      </c>
      <c r="R1333" s="75" t="str">
        <f>IF(AND($N1333=$Q$7,$B1333&lt;'111'!$L$11),"x","")</f>
        <v/>
      </c>
      <c r="S1333" s="75" t="str">
        <f>IF(AND($O1333=$Q$7,$B1333&lt;'111'!$L$11),"x","")</f>
        <v/>
      </c>
      <c r="T1333" s="75" t="str">
        <f>IF(ISERROR(FIND('112'!$M$9,G1333,1)),"",IF((AND(FIND('112'!$M$9,G1333,1)&gt;=1,B1333='112'!$K$9,OR($N1333='112'!$I$6,$O1333='112'!$I$6))),"x",""))</f>
        <v/>
      </c>
      <c r="U1333" s="75" t="str">
        <f>IF(ISERROR(FIND('112'!$M$9,G1333,1)),"",IF((AND(LEFT(G1333,2)=LEFT('112'!$M$9,2),B1333&lt;'112'!$K$9,$N1333='112'!$I$6)),"x",""))</f>
        <v/>
      </c>
      <c r="V1333" s="75" t="str">
        <f>IF(ISERROR(FIND('112'!$M$9,G1333,1)),"",IF((AND(RIGHT(G1333,2)=RIGHT('112'!$M$9,2),B1333&lt;'112'!$K$9,$O1333='112'!$I$6)),"x",""))</f>
        <v/>
      </c>
      <c r="W1333" s="75" t="str">
        <f>IF(AND('341-CT'!$H$9=H1333,OR(LEFT(N1333,3)=$W$7,LEFT(O1333,3)=$W$7)),"x","")</f>
        <v/>
      </c>
      <c r="X1333" s="75" t="str">
        <f>IF(OR(TH!N1333=TH!$X$7,O1333=TH!$X$7),"x","")</f>
        <v/>
      </c>
      <c r="Y1333" s="75" t="str">
        <f>IF(AND(OR(N1333="131",O1333="131"),H1333='131-CT'!$H$9),"x","")</f>
        <v/>
      </c>
      <c r="Z1333" s="75"/>
      <c r="AA1333" s="75" t="str">
        <f>IF(AND(MONTH(E1333)='IN-NX'!$J$5,'IN-NX'!$D$7=D1333),"x","")</f>
        <v/>
      </c>
      <c r="AB1333" s="75" t="str">
        <f>IF(AND(OR(LEFT(TH!N1333,2)="15",LEFT(TH!O1333,2)="15"),LEFT(TH!O1333,3)&lt;&gt;"111",'152-CT'!$J$8=TH!F1333),"x","")</f>
        <v/>
      </c>
      <c r="AC1333" s="75" t="str">
        <f>IF(AND(OR(LEFT(TH!N1333,2)="15",LEFT(TH!O1333,2)="15"),TK!$E$7=TH!F1333),"x","")</f>
        <v/>
      </c>
      <c r="AD1333" s="75" t="str">
        <f>IF(AND(N1333="1521",MONTH(C1333)='BK-NL'!$M$11),"x","")</f>
        <v/>
      </c>
    </row>
    <row r="1334" spans="1:30" s="1053" customFormat="1" ht="16.5" customHeight="1">
      <c r="A1334" s="309" t="str">
        <f>IF(B1334&lt;&gt;"",IF(AND(B1334='IN-TC'!$S$4,OR(TH!N1334="1111",TH!O1334="1111")),TH!D1334,""),"")</f>
        <v/>
      </c>
      <c r="B1334" s="1242">
        <f t="shared" si="307"/>
        <v>5</v>
      </c>
      <c r="C1334" s="292">
        <v>42873</v>
      </c>
      <c r="D1334" s="292" t="s">
        <v>1359</v>
      </c>
      <c r="E1334" s="292">
        <f t="shared" si="308"/>
        <v>42873</v>
      </c>
      <c r="F1334" s="67" t="s">
        <v>1143</v>
      </c>
      <c r="G1334" s="925" t="s">
        <v>1472</v>
      </c>
      <c r="H1334" s="294" t="s">
        <v>796</v>
      </c>
      <c r="I1334" s="373"/>
      <c r="J1334" s="379"/>
      <c r="K1334" s="373"/>
      <c r="L1334" s="379"/>
      <c r="M1334" s="927">
        <v>1786400</v>
      </c>
      <c r="N1334" s="295" t="s">
        <v>9</v>
      </c>
      <c r="O1334" s="295" t="s">
        <v>8</v>
      </c>
      <c r="P1334" s="75" t="str">
        <f>IF(AND('331-CT'!$E$7=TH!H1334,OR(N1334="331",O1334="331")),"x","")</f>
        <v/>
      </c>
      <c r="Q1334" s="75" t="str">
        <f>IF(AND(B1334='111'!$L$11,OR($N1334=$Q$7,$O1334=$Q$7)),"x","")</f>
        <v/>
      </c>
      <c r="R1334" s="75" t="str">
        <f>IF(AND($N1334=$Q$7,$B1334&lt;'111'!$L$11),"x","")</f>
        <v/>
      </c>
      <c r="S1334" s="75" t="str">
        <f>IF(AND($O1334=$Q$7,$B1334&lt;'111'!$L$11),"x","")</f>
        <v/>
      </c>
      <c r="T1334" s="75" t="str">
        <f>IF(ISERROR(FIND('112'!$M$9,G1334,1)),"",IF((AND(FIND('112'!$M$9,G1334,1)&gt;=1,B1334='112'!$K$9,OR($N1334='112'!$I$6,$O1334='112'!$I$6))),"x",""))</f>
        <v/>
      </c>
      <c r="U1334" s="75" t="str">
        <f>IF(ISERROR(FIND('112'!$M$9,G1334,1)),"",IF((AND(LEFT(G1334,2)=LEFT('112'!$M$9,2),B1334&lt;'112'!$K$9,$N1334='112'!$I$6)),"x",""))</f>
        <v/>
      </c>
      <c r="V1334" s="75" t="str">
        <f>IF(ISERROR(FIND('112'!$M$9,G1334,1)),"",IF((AND(RIGHT(G1334,2)=RIGHT('112'!$M$9,2),B1334&lt;'112'!$K$9,$O1334='112'!$I$6)),"x",""))</f>
        <v/>
      </c>
      <c r="W1334" s="75" t="str">
        <f>IF(AND('341-CT'!$H$9=H1334,OR(LEFT(N1334,3)=$W$7,LEFT(O1334,3)=$W$7)),"x","")</f>
        <v/>
      </c>
      <c r="X1334" s="75" t="str">
        <f>IF(OR(TH!N1334=TH!$X$7,O1334=TH!$X$7),"x","")</f>
        <v/>
      </c>
      <c r="Y1334" s="75" t="str">
        <f>IF(AND(OR(N1334="131",O1334="131"),H1334='131-CT'!$H$9),"x","")</f>
        <v/>
      </c>
      <c r="Z1334" s="75"/>
      <c r="AA1334" s="75" t="str">
        <f>IF(AND(MONTH(E1334)='IN-NX'!$J$5,'IN-NX'!$D$7=D1334),"x","")</f>
        <v/>
      </c>
      <c r="AB1334" s="75" t="str">
        <f>IF(AND(OR(LEFT(TH!N1334,2)="15",LEFT(TH!O1334,2)="15"),LEFT(TH!O1334,3)&lt;&gt;"111",'152-CT'!$J$8=TH!F1334),"x","")</f>
        <v/>
      </c>
      <c r="AC1334" s="75" t="str">
        <f>IF(AND(OR(LEFT(TH!N1334,2)="15",LEFT(TH!O1334,2)="15"),TK!$E$7=TH!F1334),"x","")</f>
        <v/>
      </c>
      <c r="AD1334" s="75" t="str">
        <f>IF(AND(N1334="1521",MONTH(C1334)='BK-NL'!$M$11),"x","")</f>
        <v/>
      </c>
    </row>
    <row r="1335" spans="1:30" s="1053" customFormat="1" ht="16.5" customHeight="1">
      <c r="A1335" s="309" t="str">
        <f>IF(B1335&lt;&gt;"",IF(AND(B1335='IN-TC'!$S$4,OR(TH!N1335="1111",TH!O1335="1111")),TH!D1335,""),"")</f>
        <v/>
      </c>
      <c r="B1335" s="1242">
        <f t="shared" si="307"/>
        <v>5</v>
      </c>
      <c r="C1335" s="292">
        <v>42875</v>
      </c>
      <c r="D1335" s="292" t="s">
        <v>1359</v>
      </c>
      <c r="E1335" s="292">
        <f t="shared" si="308"/>
        <v>42875</v>
      </c>
      <c r="F1335" s="432" t="s">
        <v>371</v>
      </c>
      <c r="G1335" s="925" t="s">
        <v>1469</v>
      </c>
      <c r="H1335" s="311" t="s">
        <v>558</v>
      </c>
      <c r="I1335" s="373">
        <v>333</v>
      </c>
      <c r="J1335" s="379">
        <v>13500</v>
      </c>
      <c r="K1335" s="373"/>
      <c r="L1335" s="379"/>
      <c r="M1335" s="927">
        <f>I1335*J1335</f>
        <v>4495500</v>
      </c>
      <c r="N1335" s="295" t="s">
        <v>266</v>
      </c>
      <c r="O1335" s="295" t="s">
        <v>8</v>
      </c>
      <c r="P1335" s="75" t="str">
        <f>IF(AND('331-CT'!$E$7=TH!H1335,OR(N1335="331",O1335="331")),"x","")</f>
        <v/>
      </c>
      <c r="Q1335" s="75" t="str">
        <f>IF(AND(B1335='111'!$L$11,OR($N1335=$Q$7,$O1335=$Q$7)),"x","")</f>
        <v/>
      </c>
      <c r="R1335" s="75" t="str">
        <f>IF(AND($N1335=$Q$7,$B1335&lt;'111'!$L$11),"x","")</f>
        <v/>
      </c>
      <c r="S1335" s="75" t="str">
        <f>IF(AND($O1335=$Q$7,$B1335&lt;'111'!$L$11),"x","")</f>
        <v/>
      </c>
      <c r="T1335" s="75" t="str">
        <f>IF(ISERROR(FIND('112'!$M$9,G1335,1)),"",IF((AND(FIND('112'!$M$9,G1335,1)&gt;=1,B1335='112'!$K$9,OR($N1335='112'!$I$6,$O1335='112'!$I$6))),"x",""))</f>
        <v/>
      </c>
      <c r="U1335" s="75" t="str">
        <f>IF(ISERROR(FIND('112'!$M$9,G1335,1)),"",IF((AND(LEFT(G1335,2)=LEFT('112'!$M$9,2),B1335&lt;'112'!$K$9,$N1335='112'!$I$6)),"x",""))</f>
        <v/>
      </c>
      <c r="V1335" s="75" t="str">
        <f>IF(ISERROR(FIND('112'!$M$9,G1335,1)),"",IF((AND(RIGHT(G1335,2)=RIGHT('112'!$M$9,2),B1335&lt;'112'!$K$9,$O1335='112'!$I$6)),"x",""))</f>
        <v/>
      </c>
      <c r="W1335" s="75" t="str">
        <f>IF(AND('341-CT'!$H$9=H1335,OR(LEFT(N1335,3)=$W$7,LEFT(O1335,3)=$W$7)),"x","")</f>
        <v/>
      </c>
      <c r="X1335" s="75" t="str">
        <f>IF(OR(TH!N1335=TH!$X$7,O1335=TH!$X$7),"x","")</f>
        <v/>
      </c>
      <c r="Y1335" s="75" t="str">
        <f>IF(AND(OR(N1335="131",O1335="131"),H1335='131-CT'!$H$9),"x","")</f>
        <v/>
      </c>
      <c r="Z1335" s="75"/>
      <c r="AA1335" s="75" t="str">
        <f>IF(AND(MONTH(E1335)='IN-NX'!$J$5,'IN-NX'!$D$7=D1335),"x","")</f>
        <v/>
      </c>
      <c r="AB1335" s="75" t="str">
        <f>IF(AND(OR(LEFT(TH!N1335,2)="15",LEFT(TH!O1335,2)="15"),LEFT(TH!O1335,3)&lt;&gt;"111",'152-CT'!$J$8=TH!F1335),"x","")</f>
        <v/>
      </c>
      <c r="AC1335" s="75" t="str">
        <f>IF(AND(OR(LEFT(TH!N1335,2)="15",LEFT(TH!O1335,2)="15"),TK!$E$7=TH!F1335),"x","")</f>
        <v/>
      </c>
      <c r="AD1335" s="75" t="str">
        <f>IF(AND(N1335="1521",MONTH(C1335)='BK-NL'!$M$11),"x","")</f>
        <v/>
      </c>
    </row>
    <row r="1336" spans="1:30" s="1053" customFormat="1" ht="16.5" customHeight="1">
      <c r="A1336" s="309" t="str">
        <f>IF(B1336&lt;&gt;"",IF(AND(B1336='IN-TC'!$S$4,OR(TH!N1336="1111",TH!O1336="1111")),TH!D1336,""),"")</f>
        <v/>
      </c>
      <c r="B1336" s="1242">
        <f t="shared" si="307"/>
        <v>5</v>
      </c>
      <c r="C1336" s="292">
        <v>42875</v>
      </c>
      <c r="D1336" s="292" t="s">
        <v>1360</v>
      </c>
      <c r="E1336" s="292">
        <f t="shared" si="308"/>
        <v>42875</v>
      </c>
      <c r="F1336" s="67" t="s">
        <v>1470</v>
      </c>
      <c r="G1336" s="925" t="s">
        <v>1469</v>
      </c>
      <c r="H1336" s="311" t="s">
        <v>558</v>
      </c>
      <c r="I1336" s="373">
        <v>282</v>
      </c>
      <c r="J1336" s="379">
        <v>15900</v>
      </c>
      <c r="K1336" s="373"/>
      <c r="L1336" s="379"/>
      <c r="M1336" s="927">
        <f>I1336*J1336</f>
        <v>4483800</v>
      </c>
      <c r="N1336" s="295" t="s">
        <v>266</v>
      </c>
      <c r="O1336" s="295" t="s">
        <v>8</v>
      </c>
      <c r="P1336" s="75" t="str">
        <f>IF(AND('331-CT'!$E$7=TH!H1336,OR(N1336="331",O1336="331")),"x","")</f>
        <v/>
      </c>
      <c r="Q1336" s="75" t="str">
        <f>IF(AND(B1336='111'!$L$11,OR($N1336=$Q$7,$O1336=$Q$7)),"x","")</f>
        <v/>
      </c>
      <c r="R1336" s="75" t="str">
        <f>IF(AND($N1336=$Q$7,$B1336&lt;'111'!$L$11),"x","")</f>
        <v/>
      </c>
      <c r="S1336" s="75" t="str">
        <f>IF(AND($O1336=$Q$7,$B1336&lt;'111'!$L$11),"x","")</f>
        <v/>
      </c>
      <c r="T1336" s="75" t="str">
        <f>IF(ISERROR(FIND('112'!$M$9,G1336,1)),"",IF((AND(FIND('112'!$M$9,G1336,1)&gt;=1,B1336='112'!$K$9,OR($N1336='112'!$I$6,$O1336='112'!$I$6))),"x",""))</f>
        <v/>
      </c>
      <c r="U1336" s="75" t="str">
        <f>IF(ISERROR(FIND('112'!$M$9,G1336,1)),"",IF((AND(LEFT(G1336,2)=LEFT('112'!$M$9,2),B1336&lt;'112'!$K$9,$N1336='112'!$I$6)),"x",""))</f>
        <v/>
      </c>
      <c r="V1336" s="75" t="str">
        <f>IF(ISERROR(FIND('112'!$M$9,G1336,1)),"",IF((AND(RIGHT(G1336,2)=RIGHT('112'!$M$9,2),B1336&lt;'112'!$K$9,$O1336='112'!$I$6)),"x",""))</f>
        <v/>
      </c>
      <c r="W1336" s="75" t="str">
        <f>IF(AND('341-CT'!$H$9=H1336,OR(LEFT(N1336,3)=$W$7,LEFT(O1336,3)=$W$7)),"x","")</f>
        <v/>
      </c>
      <c r="X1336" s="75" t="str">
        <f>IF(OR(TH!N1336=TH!$X$7,O1336=TH!$X$7),"x","")</f>
        <v/>
      </c>
      <c r="Y1336" s="75" t="str">
        <f>IF(AND(OR(N1336="131",O1336="131"),H1336='131-CT'!$H$9),"x","")</f>
        <v/>
      </c>
      <c r="Z1336" s="75"/>
      <c r="AA1336" s="75" t="str">
        <f>IF(AND(MONTH(E1336)='IN-NX'!$J$5,'IN-NX'!$D$7=D1336),"x","")</f>
        <v/>
      </c>
      <c r="AB1336" s="75" t="str">
        <f>IF(AND(OR(LEFT(TH!N1336,2)="15",LEFT(TH!O1336,2)="15"),LEFT(TH!O1336,3)&lt;&gt;"111",'152-CT'!$J$8=TH!F1336),"x","")</f>
        <v/>
      </c>
      <c r="AC1336" s="75" t="str">
        <f>IF(AND(OR(LEFT(TH!N1336,2)="15",LEFT(TH!O1336,2)="15"),TK!$E$7=TH!F1336),"x","")</f>
        <v/>
      </c>
      <c r="AD1336" s="75" t="str">
        <f>IF(AND(N1336="1521",MONTH(C1336)='BK-NL'!$M$11),"x","")</f>
        <v/>
      </c>
    </row>
    <row r="1337" spans="1:30" s="1053" customFormat="1" ht="16.5" customHeight="1">
      <c r="A1337" s="309" t="str">
        <f>IF(B1337&lt;&gt;"",IF(AND(B1337='IN-TC'!$S$4,OR(TH!N1337="1111",TH!O1337="1111")),TH!D1337,""),"")</f>
        <v/>
      </c>
      <c r="B1337" s="1242">
        <f t="shared" si="307"/>
        <v>5</v>
      </c>
      <c r="C1337" s="292">
        <v>42875</v>
      </c>
      <c r="D1337" s="292" t="s">
        <v>1360</v>
      </c>
      <c r="E1337" s="292">
        <f t="shared" si="308"/>
        <v>42875</v>
      </c>
      <c r="F1337" s="432" t="s">
        <v>832</v>
      </c>
      <c r="G1337" s="925" t="s">
        <v>1469</v>
      </c>
      <c r="H1337" s="311" t="s">
        <v>558</v>
      </c>
      <c r="I1337" s="373"/>
      <c r="J1337" s="379"/>
      <c r="K1337" s="373"/>
      <c r="L1337" s="379"/>
      <c r="M1337" s="927">
        <v>897930</v>
      </c>
      <c r="N1337" s="295" t="s">
        <v>9</v>
      </c>
      <c r="O1337" s="295" t="s">
        <v>8</v>
      </c>
      <c r="P1337" s="75" t="str">
        <f>IF(AND('331-CT'!$E$7=TH!H1337,OR(N1337="331",O1337="331")),"x","")</f>
        <v/>
      </c>
      <c r="Q1337" s="75" t="str">
        <f>IF(AND(B1337='111'!$L$11,OR($N1337=$Q$7,$O1337=$Q$7)),"x","")</f>
        <v/>
      </c>
      <c r="R1337" s="75" t="str">
        <f>IF(AND($N1337=$Q$7,$B1337&lt;'111'!$L$11),"x","")</f>
        <v/>
      </c>
      <c r="S1337" s="75" t="str">
        <f>IF(AND($O1337=$Q$7,$B1337&lt;'111'!$L$11),"x","")</f>
        <v/>
      </c>
      <c r="T1337" s="75" t="str">
        <f>IF(ISERROR(FIND('112'!$M$9,G1337,1)),"",IF((AND(FIND('112'!$M$9,G1337,1)&gt;=1,B1337='112'!$K$9,OR($N1337='112'!$I$6,$O1337='112'!$I$6))),"x",""))</f>
        <v/>
      </c>
      <c r="U1337" s="75" t="str">
        <f>IF(ISERROR(FIND('112'!$M$9,G1337,1)),"",IF((AND(LEFT(G1337,2)=LEFT('112'!$M$9,2),B1337&lt;'112'!$K$9,$N1337='112'!$I$6)),"x",""))</f>
        <v/>
      </c>
      <c r="V1337" s="75" t="str">
        <f>IF(ISERROR(FIND('112'!$M$9,G1337,1)),"",IF((AND(RIGHT(G1337,2)=RIGHT('112'!$M$9,2),B1337&lt;'112'!$K$9,$O1337='112'!$I$6)),"x",""))</f>
        <v/>
      </c>
      <c r="W1337" s="75" t="str">
        <f>IF(AND('341-CT'!$H$9=H1337,OR(LEFT(N1337,3)=$W$7,LEFT(O1337,3)=$W$7)),"x","")</f>
        <v/>
      </c>
      <c r="X1337" s="75" t="str">
        <f>IF(OR(TH!N1337=TH!$X$7,O1337=TH!$X$7),"x","")</f>
        <v/>
      </c>
      <c r="Y1337" s="75" t="str">
        <f>IF(AND(OR(N1337="131",O1337="131"),H1337='131-CT'!$H$9),"x","")</f>
        <v/>
      </c>
      <c r="Z1337" s="75"/>
      <c r="AA1337" s="75" t="str">
        <f>IF(AND(MONTH(E1337)='IN-NX'!$J$5,'IN-NX'!$D$7=D1337),"x","")</f>
        <v/>
      </c>
      <c r="AB1337" s="75" t="str">
        <f>IF(AND(OR(LEFT(TH!N1337,2)="15",LEFT(TH!O1337,2)="15"),LEFT(TH!O1337,3)&lt;&gt;"111",'152-CT'!$J$8=TH!F1337),"x","")</f>
        <v/>
      </c>
      <c r="AC1337" s="75" t="str">
        <f>IF(AND(OR(LEFT(TH!N1337,2)="15",LEFT(TH!O1337,2)="15"),TK!$E$7=TH!F1337),"x","")</f>
        <v/>
      </c>
      <c r="AD1337" s="75" t="str">
        <f>IF(AND(N1337="1521",MONTH(C1337)='BK-NL'!$M$11),"x","")</f>
        <v/>
      </c>
    </row>
    <row r="1338" spans="1:30" s="1053" customFormat="1" ht="16.5" customHeight="1">
      <c r="A1338" s="309" t="str">
        <f>IF(B1338&lt;&gt;"",IF(AND(B1338='IN-TC'!$S$4,OR(TH!N1338="1111",TH!O1338="1111")),TH!D1338,""),"")</f>
        <v/>
      </c>
      <c r="B1338" s="1242">
        <f t="shared" si="307"/>
        <v>5</v>
      </c>
      <c r="C1338" s="292">
        <v>42875</v>
      </c>
      <c r="D1338" s="292" t="s">
        <v>1361</v>
      </c>
      <c r="E1338" s="292">
        <f t="shared" si="308"/>
        <v>42875</v>
      </c>
      <c r="F1338" s="67" t="s">
        <v>795</v>
      </c>
      <c r="G1338" s="925" t="s">
        <v>1473</v>
      </c>
      <c r="H1338" s="294" t="s">
        <v>796</v>
      </c>
      <c r="I1338" s="373">
        <v>2030</v>
      </c>
      <c r="J1338" s="379">
        <v>8800</v>
      </c>
      <c r="K1338" s="373"/>
      <c r="L1338" s="379"/>
      <c r="M1338" s="927">
        <f>I1338*J1338</f>
        <v>17864000</v>
      </c>
      <c r="N1338" s="295" t="s">
        <v>266</v>
      </c>
      <c r="O1338" s="295" t="s">
        <v>8</v>
      </c>
      <c r="P1338" s="75" t="str">
        <f>IF(AND('331-CT'!$E$7=TH!H1338,OR(N1338="331",O1338="331")),"x","")</f>
        <v/>
      </c>
      <c r="Q1338" s="75" t="str">
        <f>IF(AND(B1338='111'!$L$11,OR($N1338=$Q$7,$O1338=$Q$7)),"x","")</f>
        <v/>
      </c>
      <c r="R1338" s="75" t="str">
        <f>IF(AND($N1338=$Q$7,$B1338&lt;'111'!$L$11),"x","")</f>
        <v/>
      </c>
      <c r="S1338" s="75" t="str">
        <f>IF(AND($O1338=$Q$7,$B1338&lt;'111'!$L$11),"x","")</f>
        <v/>
      </c>
      <c r="T1338" s="75" t="str">
        <f>IF(ISERROR(FIND('112'!$M$9,G1338,1)),"",IF((AND(FIND('112'!$M$9,G1338,1)&gt;=1,B1338='112'!$K$9,OR($N1338='112'!$I$6,$O1338='112'!$I$6))),"x",""))</f>
        <v/>
      </c>
      <c r="U1338" s="75" t="str">
        <f>IF(ISERROR(FIND('112'!$M$9,G1338,1)),"",IF((AND(LEFT(G1338,2)=LEFT('112'!$M$9,2),B1338&lt;'112'!$K$9,$N1338='112'!$I$6)),"x",""))</f>
        <v/>
      </c>
      <c r="V1338" s="75" t="str">
        <f>IF(ISERROR(FIND('112'!$M$9,G1338,1)),"",IF((AND(RIGHT(G1338,2)=RIGHT('112'!$M$9,2),B1338&lt;'112'!$K$9,$O1338='112'!$I$6)),"x",""))</f>
        <v/>
      </c>
      <c r="W1338" s="75" t="str">
        <f>IF(AND('341-CT'!$H$9=H1338,OR(LEFT(N1338,3)=$W$7,LEFT(O1338,3)=$W$7)),"x","")</f>
        <v/>
      </c>
      <c r="X1338" s="75" t="str">
        <f>IF(OR(TH!N1338=TH!$X$7,O1338=TH!$X$7),"x","")</f>
        <v/>
      </c>
      <c r="Y1338" s="75" t="str">
        <f>IF(AND(OR(N1338="131",O1338="131"),H1338='131-CT'!$H$9),"x","")</f>
        <v/>
      </c>
      <c r="Z1338" s="75"/>
      <c r="AA1338" s="75" t="str">
        <f>IF(AND(MONTH(E1338)='IN-NX'!$J$5,'IN-NX'!$D$7=D1338),"x","")</f>
        <v/>
      </c>
      <c r="AB1338" s="75" t="str">
        <f>IF(AND(OR(LEFT(TH!N1338,2)="15",LEFT(TH!O1338,2)="15"),LEFT(TH!O1338,3)&lt;&gt;"111",'152-CT'!$J$8=TH!F1338),"x","")</f>
        <v/>
      </c>
      <c r="AC1338" s="75" t="str">
        <f>IF(AND(OR(LEFT(TH!N1338,2)="15",LEFT(TH!O1338,2)="15"),TK!$E$7=TH!F1338),"x","")</f>
        <v/>
      </c>
      <c r="AD1338" s="75" t="str">
        <f>IF(AND(N1338="1521",MONTH(C1338)='BK-NL'!$M$11),"x","")</f>
        <v/>
      </c>
    </row>
    <row r="1339" spans="1:30" s="1053" customFormat="1" ht="16.5" customHeight="1">
      <c r="A1339" s="309" t="str">
        <f>IF(B1339&lt;&gt;"",IF(AND(B1339='IN-TC'!$S$4,OR(TH!N1339="1111",TH!O1339="1111")),TH!D1339,""),"")</f>
        <v/>
      </c>
      <c r="B1339" s="1242">
        <f t="shared" si="307"/>
        <v>5</v>
      </c>
      <c r="C1339" s="292">
        <v>42875</v>
      </c>
      <c r="D1339" s="292" t="s">
        <v>1361</v>
      </c>
      <c r="E1339" s="292">
        <f t="shared" si="308"/>
        <v>42875</v>
      </c>
      <c r="F1339" s="67" t="s">
        <v>1143</v>
      </c>
      <c r="G1339" s="925" t="s">
        <v>1473</v>
      </c>
      <c r="H1339" s="294" t="s">
        <v>796</v>
      </c>
      <c r="I1339" s="373"/>
      <c r="J1339" s="379"/>
      <c r="K1339" s="373"/>
      <c r="L1339" s="379"/>
      <c r="M1339" s="927">
        <v>1786400</v>
      </c>
      <c r="N1339" s="295" t="s">
        <v>9</v>
      </c>
      <c r="O1339" s="295" t="s">
        <v>8</v>
      </c>
      <c r="P1339" s="75" t="str">
        <f>IF(AND('331-CT'!$E$7=TH!H1339,OR(N1339="331",O1339="331")),"x","")</f>
        <v/>
      </c>
      <c r="Q1339" s="75" t="str">
        <f>IF(AND(B1339='111'!$L$11,OR($N1339=$Q$7,$O1339=$Q$7)),"x","")</f>
        <v/>
      </c>
      <c r="R1339" s="75" t="str">
        <f>IF(AND($N1339=$Q$7,$B1339&lt;'111'!$L$11),"x","")</f>
        <v/>
      </c>
      <c r="S1339" s="75" t="str">
        <f>IF(AND($O1339=$Q$7,$B1339&lt;'111'!$L$11),"x","")</f>
        <v/>
      </c>
      <c r="T1339" s="75" t="str">
        <f>IF(ISERROR(FIND('112'!$M$9,G1339,1)),"",IF((AND(FIND('112'!$M$9,G1339,1)&gt;=1,B1339='112'!$K$9,OR($N1339='112'!$I$6,$O1339='112'!$I$6))),"x",""))</f>
        <v/>
      </c>
      <c r="U1339" s="75" t="str">
        <f>IF(ISERROR(FIND('112'!$M$9,G1339,1)),"",IF((AND(LEFT(G1339,2)=LEFT('112'!$M$9,2),B1339&lt;'112'!$K$9,$N1339='112'!$I$6)),"x",""))</f>
        <v/>
      </c>
      <c r="V1339" s="75" t="str">
        <f>IF(ISERROR(FIND('112'!$M$9,G1339,1)),"",IF((AND(RIGHT(G1339,2)=RIGHT('112'!$M$9,2),B1339&lt;'112'!$K$9,$O1339='112'!$I$6)),"x",""))</f>
        <v/>
      </c>
      <c r="W1339" s="75" t="str">
        <f>IF(AND('341-CT'!$H$9=H1339,OR(LEFT(N1339,3)=$W$7,LEFT(O1339,3)=$W$7)),"x","")</f>
        <v/>
      </c>
      <c r="X1339" s="75" t="str">
        <f>IF(OR(TH!N1339=TH!$X$7,O1339=TH!$X$7),"x","")</f>
        <v/>
      </c>
      <c r="Y1339" s="75" t="str">
        <f>IF(AND(OR(N1339="131",O1339="131"),H1339='131-CT'!$H$9),"x","")</f>
        <v/>
      </c>
      <c r="Z1339" s="75"/>
      <c r="AA1339" s="75" t="str">
        <f>IF(AND(MONTH(E1339)='IN-NX'!$J$5,'IN-NX'!$D$7=D1339),"x","")</f>
        <v/>
      </c>
      <c r="AB1339" s="75" t="str">
        <f>IF(AND(OR(LEFT(TH!N1339,2)="15",LEFT(TH!O1339,2)="15"),LEFT(TH!O1339,3)&lt;&gt;"111",'152-CT'!$J$8=TH!F1339),"x","")</f>
        <v/>
      </c>
      <c r="AC1339" s="75" t="str">
        <f>IF(AND(OR(LEFT(TH!N1339,2)="15",LEFT(TH!O1339,2)="15"),TK!$E$7=TH!F1339),"x","")</f>
        <v/>
      </c>
      <c r="AD1339" s="75" t="str">
        <f>IF(AND(N1339="1521",MONTH(C1339)='BK-NL'!$M$11),"x","")</f>
        <v/>
      </c>
    </row>
    <row r="1340" spans="1:30" s="1053" customFormat="1" ht="16.5" customHeight="1">
      <c r="A1340" s="309" t="str">
        <f>IF(B1340&lt;&gt;"",IF(AND(B1340='IN-TC'!$S$4,OR(TH!N1340="1111",TH!O1340="1111")),TH!D1340,""),"")</f>
        <v/>
      </c>
      <c r="B1340" s="1242">
        <f t="shared" si="307"/>
        <v>5</v>
      </c>
      <c r="C1340" s="292">
        <v>42876</v>
      </c>
      <c r="D1340" s="292" t="s">
        <v>1389</v>
      </c>
      <c r="E1340" s="292">
        <f t="shared" si="308"/>
        <v>42876</v>
      </c>
      <c r="F1340" s="67" t="s">
        <v>795</v>
      </c>
      <c r="G1340" s="925" t="s">
        <v>1474</v>
      </c>
      <c r="H1340" s="294" t="s">
        <v>796</v>
      </c>
      <c r="I1340" s="373">
        <v>2030</v>
      </c>
      <c r="J1340" s="379">
        <v>8800</v>
      </c>
      <c r="K1340" s="373"/>
      <c r="L1340" s="379"/>
      <c r="M1340" s="927">
        <f>I1340*J1340</f>
        <v>17864000</v>
      </c>
      <c r="N1340" s="295" t="s">
        <v>266</v>
      </c>
      <c r="O1340" s="295" t="s">
        <v>8</v>
      </c>
      <c r="P1340" s="75" t="str">
        <f>IF(AND('331-CT'!$E$7=TH!H1340,OR(N1340="331",O1340="331")),"x","")</f>
        <v/>
      </c>
      <c r="Q1340" s="75" t="str">
        <f>IF(AND(B1340='111'!$L$11,OR($N1340=$Q$7,$O1340=$Q$7)),"x","")</f>
        <v/>
      </c>
      <c r="R1340" s="75" t="str">
        <f>IF(AND($N1340=$Q$7,$B1340&lt;'111'!$L$11),"x","")</f>
        <v/>
      </c>
      <c r="S1340" s="75" t="str">
        <f>IF(AND($O1340=$Q$7,$B1340&lt;'111'!$L$11),"x","")</f>
        <v/>
      </c>
      <c r="T1340" s="75" t="str">
        <f>IF(ISERROR(FIND('112'!$M$9,G1340,1)),"",IF((AND(FIND('112'!$M$9,G1340,1)&gt;=1,B1340='112'!$K$9,OR($N1340='112'!$I$6,$O1340='112'!$I$6))),"x",""))</f>
        <v/>
      </c>
      <c r="U1340" s="75" t="str">
        <f>IF(ISERROR(FIND('112'!$M$9,G1340,1)),"",IF((AND(LEFT(G1340,2)=LEFT('112'!$M$9,2),B1340&lt;'112'!$K$9,$N1340='112'!$I$6)),"x",""))</f>
        <v/>
      </c>
      <c r="V1340" s="75" t="str">
        <f>IF(ISERROR(FIND('112'!$M$9,G1340,1)),"",IF((AND(RIGHT(G1340,2)=RIGHT('112'!$M$9,2),B1340&lt;'112'!$K$9,$O1340='112'!$I$6)),"x",""))</f>
        <v/>
      </c>
      <c r="W1340" s="75" t="str">
        <f>IF(AND('341-CT'!$H$9=H1340,OR(LEFT(N1340,3)=$W$7,LEFT(O1340,3)=$W$7)),"x","")</f>
        <v/>
      </c>
      <c r="X1340" s="75" t="str">
        <f>IF(OR(TH!N1340=TH!$X$7,O1340=TH!$X$7),"x","")</f>
        <v/>
      </c>
      <c r="Y1340" s="75" t="str">
        <f>IF(AND(OR(N1340="131",O1340="131"),H1340='131-CT'!$H$9),"x","")</f>
        <v/>
      </c>
      <c r="Z1340" s="75"/>
      <c r="AA1340" s="75" t="str">
        <f>IF(AND(MONTH(E1340)='IN-NX'!$J$5,'IN-NX'!$D$7=D1340),"x","")</f>
        <v/>
      </c>
      <c r="AB1340" s="75" t="str">
        <f>IF(AND(OR(LEFT(TH!N1340,2)="15",LEFT(TH!O1340,2)="15"),LEFT(TH!O1340,3)&lt;&gt;"111",'152-CT'!$J$8=TH!F1340),"x","")</f>
        <v/>
      </c>
      <c r="AC1340" s="75" t="str">
        <f>IF(AND(OR(LEFT(TH!N1340,2)="15",LEFT(TH!O1340,2)="15"),TK!$E$7=TH!F1340),"x","")</f>
        <v/>
      </c>
      <c r="AD1340" s="75" t="str">
        <f>IF(AND(N1340="1521",MONTH(C1340)='BK-NL'!$M$11),"x","")</f>
        <v/>
      </c>
    </row>
    <row r="1341" spans="1:30" s="1053" customFormat="1" ht="16.5" customHeight="1">
      <c r="A1341" s="309" t="str">
        <f>IF(B1341&lt;&gt;"",IF(AND(B1341='IN-TC'!$S$4,OR(TH!N1341="1111",TH!O1341="1111")),TH!D1341,""),"")</f>
        <v/>
      </c>
      <c r="B1341" s="1242">
        <f t="shared" si="307"/>
        <v>5</v>
      </c>
      <c r="C1341" s="292">
        <v>42876</v>
      </c>
      <c r="D1341" s="292" t="s">
        <v>1389</v>
      </c>
      <c r="E1341" s="292">
        <f t="shared" si="308"/>
        <v>42876</v>
      </c>
      <c r="F1341" s="67" t="s">
        <v>1143</v>
      </c>
      <c r="G1341" s="925" t="s">
        <v>1474</v>
      </c>
      <c r="H1341" s="294" t="s">
        <v>796</v>
      </c>
      <c r="I1341" s="373"/>
      <c r="J1341" s="379"/>
      <c r="K1341" s="373"/>
      <c r="L1341" s="379"/>
      <c r="M1341" s="927">
        <v>1786400</v>
      </c>
      <c r="N1341" s="295" t="s">
        <v>9</v>
      </c>
      <c r="O1341" s="295" t="s">
        <v>8</v>
      </c>
      <c r="P1341" s="75" t="str">
        <f>IF(AND('331-CT'!$E$7=TH!H1341,OR(N1341="331",O1341="331")),"x","")</f>
        <v/>
      </c>
      <c r="Q1341" s="75" t="str">
        <f>IF(AND(B1341='111'!$L$11,OR($N1341=$Q$7,$O1341=$Q$7)),"x","")</f>
        <v/>
      </c>
      <c r="R1341" s="75" t="str">
        <f>IF(AND($N1341=$Q$7,$B1341&lt;'111'!$L$11),"x","")</f>
        <v/>
      </c>
      <c r="S1341" s="75" t="str">
        <f>IF(AND($O1341=$Q$7,$B1341&lt;'111'!$L$11),"x","")</f>
        <v/>
      </c>
      <c r="T1341" s="75" t="str">
        <f>IF(ISERROR(FIND('112'!$M$9,G1341,1)),"",IF((AND(FIND('112'!$M$9,G1341,1)&gt;=1,B1341='112'!$K$9,OR($N1341='112'!$I$6,$O1341='112'!$I$6))),"x",""))</f>
        <v/>
      </c>
      <c r="U1341" s="75" t="str">
        <f>IF(ISERROR(FIND('112'!$M$9,G1341,1)),"",IF((AND(LEFT(G1341,2)=LEFT('112'!$M$9,2),B1341&lt;'112'!$K$9,$N1341='112'!$I$6)),"x",""))</f>
        <v/>
      </c>
      <c r="V1341" s="75" t="str">
        <f>IF(ISERROR(FIND('112'!$M$9,G1341,1)),"",IF((AND(RIGHT(G1341,2)=RIGHT('112'!$M$9,2),B1341&lt;'112'!$K$9,$O1341='112'!$I$6)),"x",""))</f>
        <v/>
      </c>
      <c r="W1341" s="75" t="str">
        <f>IF(AND('341-CT'!$H$9=H1341,OR(LEFT(N1341,3)=$W$7,LEFT(O1341,3)=$W$7)),"x","")</f>
        <v/>
      </c>
      <c r="X1341" s="75" t="str">
        <f>IF(OR(TH!N1341=TH!$X$7,O1341=TH!$X$7),"x","")</f>
        <v/>
      </c>
      <c r="Y1341" s="75" t="str">
        <f>IF(AND(OR(N1341="131",O1341="131"),H1341='131-CT'!$H$9),"x","")</f>
        <v/>
      </c>
      <c r="Z1341" s="75"/>
      <c r="AA1341" s="75" t="str">
        <f>IF(AND(MONTH(E1341)='IN-NX'!$J$5,'IN-NX'!$D$7=D1341),"x","")</f>
        <v/>
      </c>
      <c r="AB1341" s="75" t="str">
        <f>IF(AND(OR(LEFT(TH!N1341,2)="15",LEFT(TH!O1341,2)="15"),LEFT(TH!O1341,3)&lt;&gt;"111",'152-CT'!$J$8=TH!F1341),"x","")</f>
        <v/>
      </c>
      <c r="AC1341" s="75" t="str">
        <f>IF(AND(OR(LEFT(TH!N1341,2)="15",LEFT(TH!O1341,2)="15"),TK!$E$7=TH!F1341),"x","")</f>
        <v/>
      </c>
      <c r="AD1341" s="75" t="str">
        <f>IF(AND(N1341="1521",MONTH(C1341)='BK-NL'!$M$11),"x","")</f>
        <v/>
      </c>
    </row>
    <row r="1342" spans="1:30" s="1053" customFormat="1" ht="16.5" customHeight="1">
      <c r="A1342" s="309" t="str">
        <f>IF(B1342&lt;&gt;"",IF(AND(B1342='IN-TC'!$S$4,OR(TH!N1342="1111",TH!O1342="1111")),TH!D1342,""),"")</f>
        <v/>
      </c>
      <c r="B1342" s="1242">
        <f t="shared" si="307"/>
        <v>5</v>
      </c>
      <c r="C1342" s="292">
        <v>42877</v>
      </c>
      <c r="D1342" s="292" t="s">
        <v>1390</v>
      </c>
      <c r="E1342" s="292">
        <f t="shared" si="308"/>
        <v>42877</v>
      </c>
      <c r="F1342" s="67" t="s">
        <v>795</v>
      </c>
      <c r="G1342" s="925" t="s">
        <v>1475</v>
      </c>
      <c r="H1342" s="294" t="s">
        <v>796</v>
      </c>
      <c r="I1342" s="373">
        <v>2030</v>
      </c>
      <c r="J1342" s="379">
        <v>8800</v>
      </c>
      <c r="K1342" s="373"/>
      <c r="L1342" s="379"/>
      <c r="M1342" s="927">
        <f>I1342*J1342</f>
        <v>17864000</v>
      </c>
      <c r="N1342" s="295" t="s">
        <v>266</v>
      </c>
      <c r="O1342" s="295" t="s">
        <v>8</v>
      </c>
      <c r="P1342" s="75" t="str">
        <f>IF(AND('331-CT'!$E$7=TH!H1342,OR(N1342="331",O1342="331")),"x","")</f>
        <v/>
      </c>
      <c r="Q1342" s="75" t="str">
        <f>IF(AND(B1342='111'!$L$11,OR($N1342=$Q$7,$O1342=$Q$7)),"x","")</f>
        <v/>
      </c>
      <c r="R1342" s="75" t="str">
        <f>IF(AND($N1342=$Q$7,$B1342&lt;'111'!$L$11),"x","")</f>
        <v/>
      </c>
      <c r="S1342" s="75" t="str">
        <f>IF(AND($O1342=$Q$7,$B1342&lt;'111'!$L$11),"x","")</f>
        <v/>
      </c>
      <c r="T1342" s="75" t="str">
        <f>IF(ISERROR(FIND('112'!$M$9,G1342,1)),"",IF((AND(FIND('112'!$M$9,G1342,1)&gt;=1,B1342='112'!$K$9,OR($N1342='112'!$I$6,$O1342='112'!$I$6))),"x",""))</f>
        <v/>
      </c>
      <c r="U1342" s="75" t="str">
        <f>IF(ISERROR(FIND('112'!$M$9,G1342,1)),"",IF((AND(LEFT(G1342,2)=LEFT('112'!$M$9,2),B1342&lt;'112'!$K$9,$N1342='112'!$I$6)),"x",""))</f>
        <v/>
      </c>
      <c r="V1342" s="75" t="str">
        <f>IF(ISERROR(FIND('112'!$M$9,G1342,1)),"",IF((AND(RIGHT(G1342,2)=RIGHT('112'!$M$9,2),B1342&lt;'112'!$K$9,$O1342='112'!$I$6)),"x",""))</f>
        <v/>
      </c>
      <c r="W1342" s="75" t="str">
        <f>IF(AND('341-CT'!$H$9=H1342,OR(LEFT(N1342,3)=$W$7,LEFT(O1342,3)=$W$7)),"x","")</f>
        <v/>
      </c>
      <c r="X1342" s="75" t="str">
        <f>IF(OR(TH!N1342=TH!$X$7,O1342=TH!$X$7),"x","")</f>
        <v/>
      </c>
      <c r="Y1342" s="75" t="str">
        <f>IF(AND(OR(N1342="131",O1342="131"),H1342='131-CT'!$H$9),"x","")</f>
        <v/>
      </c>
      <c r="Z1342" s="75"/>
      <c r="AA1342" s="75" t="str">
        <f>IF(AND(MONTH(E1342)='IN-NX'!$J$5,'IN-NX'!$D$7=D1342),"x","")</f>
        <v/>
      </c>
      <c r="AB1342" s="75" t="str">
        <f>IF(AND(OR(LEFT(TH!N1342,2)="15",LEFT(TH!O1342,2)="15"),LEFT(TH!O1342,3)&lt;&gt;"111",'152-CT'!$J$8=TH!F1342),"x","")</f>
        <v/>
      </c>
      <c r="AC1342" s="75" t="str">
        <f>IF(AND(OR(LEFT(TH!N1342,2)="15",LEFT(TH!O1342,2)="15"),TK!$E$7=TH!F1342),"x","")</f>
        <v/>
      </c>
      <c r="AD1342" s="75" t="str">
        <f>IF(AND(N1342="1521",MONTH(C1342)='BK-NL'!$M$11),"x","")</f>
        <v/>
      </c>
    </row>
    <row r="1343" spans="1:30" s="1053" customFormat="1" ht="16.5" customHeight="1">
      <c r="A1343" s="309" t="str">
        <f>IF(B1343&lt;&gt;"",IF(AND(B1343='IN-TC'!$S$4,OR(TH!N1343="1111",TH!O1343="1111")),TH!D1343,""),"")</f>
        <v/>
      </c>
      <c r="B1343" s="1242">
        <f t="shared" si="307"/>
        <v>5</v>
      </c>
      <c r="C1343" s="292">
        <v>42877</v>
      </c>
      <c r="D1343" s="292" t="s">
        <v>1390</v>
      </c>
      <c r="E1343" s="292">
        <f t="shared" si="308"/>
        <v>42877</v>
      </c>
      <c r="F1343" s="67" t="s">
        <v>1143</v>
      </c>
      <c r="G1343" s="925" t="s">
        <v>1475</v>
      </c>
      <c r="H1343" s="294" t="s">
        <v>796</v>
      </c>
      <c r="I1343" s="373"/>
      <c r="J1343" s="379"/>
      <c r="K1343" s="373"/>
      <c r="L1343" s="379"/>
      <c r="M1343" s="927">
        <v>1786400</v>
      </c>
      <c r="N1343" s="295" t="s">
        <v>9</v>
      </c>
      <c r="O1343" s="295" t="s">
        <v>8</v>
      </c>
      <c r="P1343" s="75" t="str">
        <f>IF(AND('331-CT'!$E$7=TH!H1343,OR(N1343="331",O1343="331")),"x","")</f>
        <v/>
      </c>
      <c r="Q1343" s="75" t="str">
        <f>IF(AND(B1343='111'!$L$11,OR($N1343=$Q$7,$O1343=$Q$7)),"x","")</f>
        <v/>
      </c>
      <c r="R1343" s="75" t="str">
        <f>IF(AND($N1343=$Q$7,$B1343&lt;'111'!$L$11),"x","")</f>
        <v/>
      </c>
      <c r="S1343" s="75" t="str">
        <f>IF(AND($O1343=$Q$7,$B1343&lt;'111'!$L$11),"x","")</f>
        <v/>
      </c>
      <c r="T1343" s="75" t="str">
        <f>IF(ISERROR(FIND('112'!$M$9,G1343,1)),"",IF((AND(FIND('112'!$M$9,G1343,1)&gt;=1,B1343='112'!$K$9,OR($N1343='112'!$I$6,$O1343='112'!$I$6))),"x",""))</f>
        <v/>
      </c>
      <c r="U1343" s="75" t="str">
        <f>IF(ISERROR(FIND('112'!$M$9,G1343,1)),"",IF((AND(LEFT(G1343,2)=LEFT('112'!$M$9,2),B1343&lt;'112'!$K$9,$N1343='112'!$I$6)),"x",""))</f>
        <v/>
      </c>
      <c r="V1343" s="75" t="str">
        <f>IF(ISERROR(FIND('112'!$M$9,G1343,1)),"",IF((AND(RIGHT(G1343,2)=RIGHT('112'!$M$9,2),B1343&lt;'112'!$K$9,$O1343='112'!$I$6)),"x",""))</f>
        <v/>
      </c>
      <c r="W1343" s="75" t="str">
        <f>IF(AND('341-CT'!$H$9=H1343,OR(LEFT(N1343,3)=$W$7,LEFT(O1343,3)=$W$7)),"x","")</f>
        <v/>
      </c>
      <c r="X1343" s="75" t="str">
        <f>IF(OR(TH!N1343=TH!$X$7,O1343=TH!$X$7),"x","")</f>
        <v/>
      </c>
      <c r="Y1343" s="75" t="str">
        <f>IF(AND(OR(N1343="131",O1343="131"),H1343='131-CT'!$H$9),"x","")</f>
        <v/>
      </c>
      <c r="Z1343" s="75"/>
      <c r="AA1343" s="75" t="str">
        <f>IF(AND(MONTH(E1343)='IN-NX'!$J$5,'IN-NX'!$D$7=D1343),"x","")</f>
        <v/>
      </c>
      <c r="AB1343" s="75" t="str">
        <f>IF(AND(OR(LEFT(TH!N1343,2)="15",LEFT(TH!O1343,2)="15"),LEFT(TH!O1343,3)&lt;&gt;"111",'152-CT'!$J$8=TH!F1343),"x","")</f>
        <v/>
      </c>
      <c r="AC1343" s="75" t="str">
        <f>IF(AND(OR(LEFT(TH!N1343,2)="15",LEFT(TH!O1343,2)="15"),TK!$E$7=TH!F1343),"x","")</f>
        <v/>
      </c>
      <c r="AD1343" s="75" t="str">
        <f>IF(AND(N1343="1521",MONTH(C1343)='BK-NL'!$M$11),"x","")</f>
        <v/>
      </c>
    </row>
    <row r="1344" spans="1:30" s="1053" customFormat="1" ht="16.5" customHeight="1">
      <c r="A1344" s="309" t="str">
        <f>IF(B1344&lt;&gt;"",IF(AND(B1344='IN-TC'!$S$4,OR(TH!N1344="1111",TH!O1344="1111")),TH!D1344,""),"")</f>
        <v/>
      </c>
      <c r="B1344" s="1242">
        <f t="shared" si="307"/>
        <v>5</v>
      </c>
      <c r="C1344" s="292">
        <v>42878</v>
      </c>
      <c r="D1344" s="292" t="s">
        <v>1391</v>
      </c>
      <c r="E1344" s="292">
        <f t="shared" si="308"/>
        <v>42878</v>
      </c>
      <c r="F1344" s="67" t="s">
        <v>795</v>
      </c>
      <c r="G1344" s="925" t="s">
        <v>1476</v>
      </c>
      <c r="H1344" s="294" t="s">
        <v>796</v>
      </c>
      <c r="I1344" s="373">
        <v>2030</v>
      </c>
      <c r="J1344" s="379">
        <v>8800</v>
      </c>
      <c r="K1344" s="373"/>
      <c r="L1344" s="379"/>
      <c r="M1344" s="927">
        <f>I1344*J1344</f>
        <v>17864000</v>
      </c>
      <c r="N1344" s="295" t="s">
        <v>266</v>
      </c>
      <c r="O1344" s="295" t="s">
        <v>8</v>
      </c>
      <c r="P1344" s="75" t="str">
        <f>IF(AND('331-CT'!$E$7=TH!H1344,OR(N1344="331",O1344="331")),"x","")</f>
        <v/>
      </c>
      <c r="Q1344" s="75" t="str">
        <f>IF(AND(B1344='111'!$L$11,OR($N1344=$Q$7,$O1344=$Q$7)),"x","")</f>
        <v/>
      </c>
      <c r="R1344" s="75" t="str">
        <f>IF(AND($N1344=$Q$7,$B1344&lt;'111'!$L$11),"x","")</f>
        <v/>
      </c>
      <c r="S1344" s="75" t="str">
        <f>IF(AND($O1344=$Q$7,$B1344&lt;'111'!$L$11),"x","")</f>
        <v/>
      </c>
      <c r="T1344" s="75" t="str">
        <f>IF(ISERROR(FIND('112'!$M$9,G1344,1)),"",IF((AND(FIND('112'!$M$9,G1344,1)&gt;=1,B1344='112'!$K$9,OR($N1344='112'!$I$6,$O1344='112'!$I$6))),"x",""))</f>
        <v/>
      </c>
      <c r="U1344" s="75" t="str">
        <f>IF(ISERROR(FIND('112'!$M$9,G1344,1)),"",IF((AND(LEFT(G1344,2)=LEFT('112'!$M$9,2),B1344&lt;'112'!$K$9,$N1344='112'!$I$6)),"x",""))</f>
        <v/>
      </c>
      <c r="V1344" s="75" t="str">
        <f>IF(ISERROR(FIND('112'!$M$9,G1344,1)),"",IF((AND(RIGHT(G1344,2)=RIGHT('112'!$M$9,2),B1344&lt;'112'!$K$9,$O1344='112'!$I$6)),"x",""))</f>
        <v/>
      </c>
      <c r="W1344" s="75" t="str">
        <f>IF(AND('341-CT'!$H$9=H1344,OR(LEFT(N1344,3)=$W$7,LEFT(O1344,3)=$W$7)),"x","")</f>
        <v/>
      </c>
      <c r="X1344" s="75" t="str">
        <f>IF(OR(TH!N1344=TH!$X$7,O1344=TH!$X$7),"x","")</f>
        <v/>
      </c>
      <c r="Y1344" s="75" t="str">
        <f>IF(AND(OR(N1344="131",O1344="131"),H1344='131-CT'!$H$9),"x","")</f>
        <v/>
      </c>
      <c r="Z1344" s="75"/>
      <c r="AA1344" s="75" t="str">
        <f>IF(AND(MONTH(E1344)='IN-NX'!$J$5,'IN-NX'!$D$7=D1344),"x","")</f>
        <v/>
      </c>
      <c r="AB1344" s="75" t="str">
        <f>IF(AND(OR(LEFT(TH!N1344,2)="15",LEFT(TH!O1344,2)="15"),LEFT(TH!O1344,3)&lt;&gt;"111",'152-CT'!$J$8=TH!F1344),"x","")</f>
        <v/>
      </c>
      <c r="AC1344" s="75" t="str">
        <f>IF(AND(OR(LEFT(TH!N1344,2)="15",LEFT(TH!O1344,2)="15"),TK!$E$7=TH!F1344),"x","")</f>
        <v/>
      </c>
      <c r="AD1344" s="75" t="str">
        <f>IF(AND(N1344="1521",MONTH(C1344)='BK-NL'!$M$11),"x","")</f>
        <v/>
      </c>
    </row>
    <row r="1345" spans="1:30" s="1053" customFormat="1" ht="16.5" customHeight="1">
      <c r="A1345" s="309" t="str">
        <f>IF(B1345&lt;&gt;"",IF(AND(B1345='IN-TC'!$S$4,OR(TH!N1345="1111",TH!O1345="1111")),TH!D1345,""),"")</f>
        <v/>
      </c>
      <c r="B1345" s="1242">
        <f t="shared" si="307"/>
        <v>5</v>
      </c>
      <c r="C1345" s="292">
        <v>42878</v>
      </c>
      <c r="D1345" s="292" t="s">
        <v>1391</v>
      </c>
      <c r="E1345" s="292">
        <f t="shared" si="308"/>
        <v>42878</v>
      </c>
      <c r="F1345" s="67" t="s">
        <v>1143</v>
      </c>
      <c r="G1345" s="925" t="s">
        <v>1476</v>
      </c>
      <c r="H1345" s="294" t="s">
        <v>796</v>
      </c>
      <c r="I1345" s="373"/>
      <c r="J1345" s="379"/>
      <c r="K1345" s="373"/>
      <c r="L1345" s="379"/>
      <c r="M1345" s="927">
        <v>1786400</v>
      </c>
      <c r="N1345" s="295" t="s">
        <v>9</v>
      </c>
      <c r="O1345" s="295" t="s">
        <v>8</v>
      </c>
      <c r="P1345" s="75" t="str">
        <f>IF(AND('331-CT'!$E$7=TH!H1345,OR(N1345="331",O1345="331")),"x","")</f>
        <v/>
      </c>
      <c r="Q1345" s="75" t="str">
        <f>IF(AND(B1345='111'!$L$11,OR($N1345=$Q$7,$O1345=$Q$7)),"x","")</f>
        <v/>
      </c>
      <c r="R1345" s="75" t="str">
        <f>IF(AND($N1345=$Q$7,$B1345&lt;'111'!$L$11),"x","")</f>
        <v/>
      </c>
      <c r="S1345" s="75" t="str">
        <f>IF(AND($O1345=$Q$7,$B1345&lt;'111'!$L$11),"x","")</f>
        <v/>
      </c>
      <c r="T1345" s="75" t="str">
        <f>IF(ISERROR(FIND('112'!$M$9,G1345,1)),"",IF((AND(FIND('112'!$M$9,G1345,1)&gt;=1,B1345='112'!$K$9,OR($N1345='112'!$I$6,$O1345='112'!$I$6))),"x",""))</f>
        <v/>
      </c>
      <c r="U1345" s="75" t="str">
        <f>IF(ISERROR(FIND('112'!$M$9,G1345,1)),"",IF((AND(LEFT(G1345,2)=LEFT('112'!$M$9,2),B1345&lt;'112'!$K$9,$N1345='112'!$I$6)),"x",""))</f>
        <v/>
      </c>
      <c r="V1345" s="75" t="str">
        <f>IF(ISERROR(FIND('112'!$M$9,G1345,1)),"",IF((AND(RIGHT(G1345,2)=RIGHT('112'!$M$9,2),B1345&lt;'112'!$K$9,$O1345='112'!$I$6)),"x",""))</f>
        <v/>
      </c>
      <c r="W1345" s="75" t="str">
        <f>IF(AND('341-CT'!$H$9=H1345,OR(LEFT(N1345,3)=$W$7,LEFT(O1345,3)=$W$7)),"x","")</f>
        <v/>
      </c>
      <c r="X1345" s="75" t="str">
        <f>IF(OR(TH!N1345=TH!$X$7,O1345=TH!$X$7),"x","")</f>
        <v/>
      </c>
      <c r="Y1345" s="75" t="str">
        <f>IF(AND(OR(N1345="131",O1345="131"),H1345='131-CT'!$H$9),"x","")</f>
        <v/>
      </c>
      <c r="Z1345" s="75"/>
      <c r="AA1345" s="75" t="str">
        <f>IF(AND(MONTH(E1345)='IN-NX'!$J$5,'IN-NX'!$D$7=D1345),"x","")</f>
        <v/>
      </c>
      <c r="AB1345" s="75" t="str">
        <f>IF(AND(OR(LEFT(TH!N1345,2)="15",LEFT(TH!O1345,2)="15"),LEFT(TH!O1345,3)&lt;&gt;"111",'152-CT'!$J$8=TH!F1345),"x","")</f>
        <v/>
      </c>
      <c r="AC1345" s="75" t="str">
        <f>IF(AND(OR(LEFT(TH!N1345,2)="15",LEFT(TH!O1345,2)="15"),TK!$E$7=TH!F1345),"x","")</f>
        <v/>
      </c>
      <c r="AD1345" s="75" t="str">
        <f>IF(AND(N1345="1521",MONTH(C1345)='BK-NL'!$M$11),"x","")</f>
        <v/>
      </c>
    </row>
    <row r="1346" spans="1:30" s="1053" customFormat="1" ht="16.5" customHeight="1">
      <c r="A1346" s="309" t="str">
        <f>IF(B1346&lt;&gt;"",IF(AND(B1346='IN-TC'!$S$4,OR(TH!N1346="1111",TH!O1346="1111")),TH!D1346,""),"")</f>
        <v/>
      </c>
      <c r="B1346" s="1242">
        <f t="shared" si="307"/>
        <v>5</v>
      </c>
      <c r="C1346" s="292">
        <v>42879</v>
      </c>
      <c r="D1346" s="292" t="s">
        <v>1392</v>
      </c>
      <c r="E1346" s="292">
        <f t="shared" si="308"/>
        <v>42879</v>
      </c>
      <c r="F1346" s="67" t="s">
        <v>795</v>
      </c>
      <c r="G1346" s="925" t="s">
        <v>814</v>
      </c>
      <c r="H1346" s="294" t="s">
        <v>796</v>
      </c>
      <c r="I1346" s="373">
        <v>2030</v>
      </c>
      <c r="J1346" s="379">
        <v>8800</v>
      </c>
      <c r="K1346" s="373"/>
      <c r="L1346" s="379"/>
      <c r="M1346" s="927">
        <f>I1346*J1346</f>
        <v>17864000</v>
      </c>
      <c r="N1346" s="295" t="s">
        <v>266</v>
      </c>
      <c r="O1346" s="295" t="s">
        <v>8</v>
      </c>
      <c r="P1346" s="75" t="str">
        <f>IF(AND('331-CT'!$E$7=TH!H1346,OR(N1346="331",O1346="331")),"x","")</f>
        <v/>
      </c>
      <c r="Q1346" s="75" t="str">
        <f>IF(AND(B1346='111'!$L$11,OR($N1346=$Q$7,$O1346=$Q$7)),"x","")</f>
        <v/>
      </c>
      <c r="R1346" s="75" t="str">
        <f>IF(AND($N1346=$Q$7,$B1346&lt;'111'!$L$11),"x","")</f>
        <v/>
      </c>
      <c r="S1346" s="75" t="str">
        <f>IF(AND($O1346=$Q$7,$B1346&lt;'111'!$L$11),"x","")</f>
        <v/>
      </c>
      <c r="T1346" s="75" t="str">
        <f>IF(ISERROR(FIND('112'!$M$9,G1346,1)),"",IF((AND(FIND('112'!$M$9,G1346,1)&gt;=1,B1346='112'!$K$9,OR($N1346='112'!$I$6,$O1346='112'!$I$6))),"x",""))</f>
        <v/>
      </c>
      <c r="U1346" s="75" t="str">
        <f>IF(ISERROR(FIND('112'!$M$9,G1346,1)),"",IF((AND(LEFT(G1346,2)=LEFT('112'!$M$9,2),B1346&lt;'112'!$K$9,$N1346='112'!$I$6)),"x",""))</f>
        <v/>
      </c>
      <c r="V1346" s="75" t="str">
        <f>IF(ISERROR(FIND('112'!$M$9,G1346,1)),"",IF((AND(RIGHT(G1346,2)=RIGHT('112'!$M$9,2),B1346&lt;'112'!$K$9,$O1346='112'!$I$6)),"x",""))</f>
        <v/>
      </c>
      <c r="W1346" s="75" t="str">
        <f>IF(AND('341-CT'!$H$9=H1346,OR(LEFT(N1346,3)=$W$7,LEFT(O1346,3)=$W$7)),"x","")</f>
        <v/>
      </c>
      <c r="X1346" s="75" t="str">
        <f>IF(OR(TH!N1346=TH!$X$7,O1346=TH!$X$7),"x","")</f>
        <v/>
      </c>
      <c r="Y1346" s="75" t="str">
        <f>IF(AND(OR(N1346="131",O1346="131"),H1346='131-CT'!$H$9),"x","")</f>
        <v/>
      </c>
      <c r="Z1346" s="75"/>
      <c r="AA1346" s="75" t="str">
        <f>IF(AND(MONTH(E1346)='IN-NX'!$J$5,'IN-NX'!$D$7=D1346),"x","")</f>
        <v/>
      </c>
      <c r="AB1346" s="75" t="str">
        <f>IF(AND(OR(LEFT(TH!N1346,2)="15",LEFT(TH!O1346,2)="15"),LEFT(TH!O1346,3)&lt;&gt;"111",'152-CT'!$J$8=TH!F1346),"x","")</f>
        <v/>
      </c>
      <c r="AC1346" s="75" t="str">
        <f>IF(AND(OR(LEFT(TH!N1346,2)="15",LEFT(TH!O1346,2)="15"),TK!$E$7=TH!F1346),"x","")</f>
        <v/>
      </c>
      <c r="AD1346" s="75" t="str">
        <f>IF(AND(N1346="1521",MONTH(C1346)='BK-NL'!$M$11),"x","")</f>
        <v/>
      </c>
    </row>
    <row r="1347" spans="1:30" s="1053" customFormat="1" ht="16.5" customHeight="1">
      <c r="A1347" s="309" t="str">
        <f>IF(B1347&lt;&gt;"",IF(AND(B1347='IN-TC'!$S$4,OR(TH!N1347="1111",TH!O1347="1111")),TH!D1347,""),"")</f>
        <v/>
      </c>
      <c r="B1347" s="1242">
        <f t="shared" si="307"/>
        <v>5</v>
      </c>
      <c r="C1347" s="292">
        <v>42879</v>
      </c>
      <c r="D1347" s="292" t="s">
        <v>1392</v>
      </c>
      <c r="E1347" s="292">
        <f t="shared" si="308"/>
        <v>42879</v>
      </c>
      <c r="F1347" s="67" t="s">
        <v>1143</v>
      </c>
      <c r="G1347" s="925" t="s">
        <v>814</v>
      </c>
      <c r="H1347" s="294" t="s">
        <v>796</v>
      </c>
      <c r="I1347" s="373"/>
      <c r="J1347" s="379"/>
      <c r="K1347" s="373"/>
      <c r="L1347" s="379"/>
      <c r="M1347" s="927">
        <v>1786400</v>
      </c>
      <c r="N1347" s="295" t="s">
        <v>9</v>
      </c>
      <c r="O1347" s="295" t="s">
        <v>8</v>
      </c>
      <c r="P1347" s="75" t="str">
        <f>IF(AND('331-CT'!$E$7=TH!H1347,OR(N1347="331",O1347="331")),"x","")</f>
        <v/>
      </c>
      <c r="Q1347" s="75" t="str">
        <f>IF(AND(B1347='111'!$L$11,OR($N1347=$Q$7,$O1347=$Q$7)),"x","")</f>
        <v/>
      </c>
      <c r="R1347" s="75" t="str">
        <f>IF(AND($N1347=$Q$7,$B1347&lt;'111'!$L$11),"x","")</f>
        <v/>
      </c>
      <c r="S1347" s="75" t="str">
        <f>IF(AND($O1347=$Q$7,$B1347&lt;'111'!$L$11),"x","")</f>
        <v/>
      </c>
      <c r="T1347" s="75" t="str">
        <f>IF(ISERROR(FIND('112'!$M$9,G1347,1)),"",IF((AND(FIND('112'!$M$9,G1347,1)&gt;=1,B1347='112'!$K$9,OR($N1347='112'!$I$6,$O1347='112'!$I$6))),"x",""))</f>
        <v/>
      </c>
      <c r="U1347" s="75" t="str">
        <f>IF(ISERROR(FIND('112'!$M$9,G1347,1)),"",IF((AND(LEFT(G1347,2)=LEFT('112'!$M$9,2),B1347&lt;'112'!$K$9,$N1347='112'!$I$6)),"x",""))</f>
        <v/>
      </c>
      <c r="V1347" s="75" t="str">
        <f>IF(ISERROR(FIND('112'!$M$9,G1347,1)),"",IF((AND(RIGHT(G1347,2)=RIGHT('112'!$M$9,2),B1347&lt;'112'!$K$9,$O1347='112'!$I$6)),"x",""))</f>
        <v/>
      </c>
      <c r="W1347" s="75" t="str">
        <f>IF(AND('341-CT'!$H$9=H1347,OR(LEFT(N1347,3)=$W$7,LEFT(O1347,3)=$W$7)),"x","")</f>
        <v/>
      </c>
      <c r="X1347" s="75" t="str">
        <f>IF(OR(TH!N1347=TH!$X$7,O1347=TH!$X$7),"x","")</f>
        <v/>
      </c>
      <c r="Y1347" s="75" t="str">
        <f>IF(AND(OR(N1347="131",O1347="131"),H1347='131-CT'!$H$9),"x","")</f>
        <v/>
      </c>
      <c r="Z1347" s="75"/>
      <c r="AA1347" s="75" t="str">
        <f>IF(AND(MONTH(E1347)='IN-NX'!$J$5,'IN-NX'!$D$7=D1347),"x","")</f>
        <v/>
      </c>
      <c r="AB1347" s="75" t="str">
        <f>IF(AND(OR(LEFT(TH!N1347,2)="15",LEFT(TH!O1347,2)="15"),LEFT(TH!O1347,3)&lt;&gt;"111",'152-CT'!$J$8=TH!F1347),"x","")</f>
        <v/>
      </c>
      <c r="AC1347" s="75" t="str">
        <f>IF(AND(OR(LEFT(TH!N1347,2)="15",LEFT(TH!O1347,2)="15"),TK!$E$7=TH!F1347),"x","")</f>
        <v/>
      </c>
      <c r="AD1347" s="75" t="str">
        <f>IF(AND(N1347="1521",MONTH(C1347)='BK-NL'!$M$11),"x","")</f>
        <v/>
      </c>
    </row>
    <row r="1348" spans="1:30" s="1053" customFormat="1" ht="16.5" customHeight="1">
      <c r="A1348" s="309" t="str">
        <f>IF(B1348&lt;&gt;"",IF(AND(B1348='IN-TC'!$S$4,OR(TH!N1348="1111",TH!O1348="1111")),TH!D1348,""),"")</f>
        <v/>
      </c>
      <c r="B1348" s="1242">
        <f t="shared" si="307"/>
        <v>5</v>
      </c>
      <c r="C1348" s="292">
        <v>42879</v>
      </c>
      <c r="D1348" s="292" t="s">
        <v>1533</v>
      </c>
      <c r="E1348" s="292">
        <f t="shared" si="308"/>
        <v>42879</v>
      </c>
      <c r="F1348" s="67" t="s">
        <v>795</v>
      </c>
      <c r="G1348" s="925" t="s">
        <v>1688</v>
      </c>
      <c r="H1348" s="294" t="s">
        <v>1684</v>
      </c>
      <c r="I1348" s="373">
        <v>2030</v>
      </c>
      <c r="J1348" s="379">
        <v>8800</v>
      </c>
      <c r="K1348" s="373"/>
      <c r="L1348" s="379"/>
      <c r="M1348" s="927">
        <f>I1348*J1348</f>
        <v>17864000</v>
      </c>
      <c r="N1348" s="295" t="s">
        <v>266</v>
      </c>
      <c r="O1348" s="295" t="s">
        <v>8</v>
      </c>
      <c r="P1348" s="75" t="str">
        <f>IF(AND('331-CT'!$E$7=TH!H1348,OR(N1348="331",O1348="331")),"x","")</f>
        <v/>
      </c>
      <c r="Q1348" s="75" t="str">
        <f>IF(AND(B1348='111'!$L$11,OR($N1348=$Q$7,$O1348=$Q$7)),"x","")</f>
        <v/>
      </c>
      <c r="R1348" s="75" t="str">
        <f>IF(AND($N1348=$Q$7,$B1348&lt;'111'!$L$11),"x","")</f>
        <v/>
      </c>
      <c r="S1348" s="75" t="str">
        <f>IF(AND($O1348=$Q$7,$B1348&lt;'111'!$L$11),"x","")</f>
        <v/>
      </c>
      <c r="T1348" s="75" t="str">
        <f>IF(ISERROR(FIND('112'!$M$9,G1348,1)),"",IF((AND(FIND('112'!$M$9,G1348,1)&gt;=1,B1348='112'!$K$9,OR($N1348='112'!$I$6,$O1348='112'!$I$6))),"x",""))</f>
        <v/>
      </c>
      <c r="U1348" s="75" t="str">
        <f>IF(ISERROR(FIND('112'!$M$9,G1348,1)),"",IF((AND(LEFT(G1348,2)=LEFT('112'!$M$9,2),B1348&lt;'112'!$K$9,$N1348='112'!$I$6)),"x",""))</f>
        <v/>
      </c>
      <c r="V1348" s="75" t="str">
        <f>IF(ISERROR(FIND('112'!$M$9,G1348,1)),"",IF((AND(RIGHT(G1348,2)=RIGHT('112'!$M$9,2),B1348&lt;'112'!$K$9,$O1348='112'!$I$6)),"x",""))</f>
        <v/>
      </c>
      <c r="W1348" s="75" t="str">
        <f>IF(AND('341-CT'!$H$9=H1348,OR(LEFT(N1348,3)=$W$7,LEFT(O1348,3)=$W$7)),"x","")</f>
        <v/>
      </c>
      <c r="X1348" s="75" t="str">
        <f>IF(OR(TH!N1348=TH!$X$7,O1348=TH!$X$7),"x","")</f>
        <v/>
      </c>
      <c r="Y1348" s="75" t="str">
        <f>IF(AND(OR(N1348="131",O1348="131"),H1348='131-CT'!$H$9),"x","")</f>
        <v/>
      </c>
      <c r="Z1348" s="75"/>
      <c r="AA1348" s="75" t="str">
        <f>IF(AND(MONTH(E1348)='IN-NX'!$J$5,'IN-NX'!$D$7=D1348),"x","")</f>
        <v/>
      </c>
      <c r="AB1348" s="75" t="str">
        <f>IF(AND(OR(LEFT(TH!N1348,2)="15",LEFT(TH!O1348,2)="15"),LEFT(TH!O1348,3)&lt;&gt;"111",'152-CT'!$J$8=TH!F1348),"x","")</f>
        <v/>
      </c>
      <c r="AC1348" s="75" t="str">
        <f>IF(AND(OR(LEFT(TH!N1348,2)="15",LEFT(TH!O1348,2)="15"),TK!$E$7=TH!F1348),"x","")</f>
        <v/>
      </c>
      <c r="AD1348" s="75" t="str">
        <f>IF(AND(N1348="1521",MONTH(C1348)='BK-NL'!$M$11),"x","")</f>
        <v/>
      </c>
    </row>
    <row r="1349" spans="1:30" s="1053" customFormat="1" ht="16.5" customHeight="1">
      <c r="A1349" s="309" t="str">
        <f>IF(B1349&lt;&gt;"",IF(AND(B1349='IN-TC'!$S$4,OR(TH!N1349="1111",TH!O1349="1111")),TH!D1349,""),"")</f>
        <v/>
      </c>
      <c r="B1349" s="1242">
        <f t="shared" si="307"/>
        <v>5</v>
      </c>
      <c r="C1349" s="292">
        <v>42879</v>
      </c>
      <c r="D1349" s="292" t="s">
        <v>1533</v>
      </c>
      <c r="E1349" s="292">
        <f t="shared" si="308"/>
        <v>42879</v>
      </c>
      <c r="F1349" s="67" t="s">
        <v>1143</v>
      </c>
      <c r="G1349" s="925" t="s">
        <v>1688</v>
      </c>
      <c r="H1349" s="294" t="s">
        <v>1684</v>
      </c>
      <c r="I1349" s="373"/>
      <c r="J1349" s="379"/>
      <c r="K1349" s="373"/>
      <c r="L1349" s="379"/>
      <c r="M1349" s="927">
        <v>1786400</v>
      </c>
      <c r="N1349" s="295" t="s">
        <v>9</v>
      </c>
      <c r="O1349" s="295" t="s">
        <v>8</v>
      </c>
      <c r="P1349" s="75" t="str">
        <f>IF(AND('331-CT'!$E$7=TH!H1349,OR(N1349="331",O1349="331")),"x","")</f>
        <v/>
      </c>
      <c r="Q1349" s="75" t="str">
        <f>IF(AND(B1349='111'!$L$11,OR($N1349=$Q$7,$O1349=$Q$7)),"x","")</f>
        <v/>
      </c>
      <c r="R1349" s="75" t="str">
        <f>IF(AND($N1349=$Q$7,$B1349&lt;'111'!$L$11),"x","")</f>
        <v/>
      </c>
      <c r="S1349" s="75" t="str">
        <f>IF(AND($O1349=$Q$7,$B1349&lt;'111'!$L$11),"x","")</f>
        <v/>
      </c>
      <c r="T1349" s="75" t="str">
        <f>IF(ISERROR(FIND('112'!$M$9,G1349,1)),"",IF((AND(FIND('112'!$M$9,G1349,1)&gt;=1,B1349='112'!$K$9,OR($N1349='112'!$I$6,$O1349='112'!$I$6))),"x",""))</f>
        <v/>
      </c>
      <c r="U1349" s="75" t="str">
        <f>IF(ISERROR(FIND('112'!$M$9,G1349,1)),"",IF((AND(LEFT(G1349,2)=LEFT('112'!$M$9,2),B1349&lt;'112'!$K$9,$N1349='112'!$I$6)),"x",""))</f>
        <v/>
      </c>
      <c r="V1349" s="75" t="str">
        <f>IF(ISERROR(FIND('112'!$M$9,G1349,1)),"",IF((AND(RIGHT(G1349,2)=RIGHT('112'!$M$9,2),B1349&lt;'112'!$K$9,$O1349='112'!$I$6)),"x",""))</f>
        <v/>
      </c>
      <c r="W1349" s="75" t="str">
        <f>IF(AND('341-CT'!$H$9=H1349,OR(LEFT(N1349,3)=$W$7,LEFT(O1349,3)=$W$7)),"x","")</f>
        <v/>
      </c>
      <c r="X1349" s="75" t="str">
        <f>IF(OR(TH!N1349=TH!$X$7,O1349=TH!$X$7),"x","")</f>
        <v/>
      </c>
      <c r="Y1349" s="75" t="str">
        <f>IF(AND(OR(N1349="131",O1349="131"),H1349='131-CT'!$H$9),"x","")</f>
        <v/>
      </c>
      <c r="Z1349" s="75"/>
      <c r="AA1349" s="75" t="str">
        <f>IF(AND(MONTH(E1349)='IN-NX'!$J$5,'IN-NX'!$D$7=D1349),"x","")</f>
        <v/>
      </c>
      <c r="AB1349" s="75" t="str">
        <f>IF(AND(OR(LEFT(TH!N1349,2)="15",LEFT(TH!O1349,2)="15"),LEFT(TH!O1349,3)&lt;&gt;"111",'152-CT'!$J$8=TH!F1349),"x","")</f>
        <v/>
      </c>
      <c r="AC1349" s="75" t="str">
        <f>IF(AND(OR(LEFT(TH!N1349,2)="15",LEFT(TH!O1349,2)="15"),TK!$E$7=TH!F1349),"x","")</f>
        <v/>
      </c>
      <c r="AD1349" s="75" t="str">
        <f>IF(AND(N1349="1521",MONTH(C1349)='BK-NL'!$M$11),"x","")</f>
        <v/>
      </c>
    </row>
    <row r="1350" spans="1:30" s="1053" customFormat="1" ht="16.5" customHeight="1">
      <c r="A1350" s="309" t="str">
        <f>IF(B1350&lt;&gt;"",IF(AND(B1350='IN-TC'!$S$4,OR(TH!N1350="1111",TH!O1350="1111")),TH!D1350,""),"")</f>
        <v/>
      </c>
      <c r="B1350" s="1242">
        <f t="shared" si="307"/>
        <v>5</v>
      </c>
      <c r="C1350" s="292">
        <v>42880</v>
      </c>
      <c r="D1350" s="292" t="s">
        <v>1534</v>
      </c>
      <c r="E1350" s="292">
        <f t="shared" si="308"/>
        <v>42880</v>
      </c>
      <c r="F1350" s="67" t="s">
        <v>795</v>
      </c>
      <c r="G1350" s="925" t="s">
        <v>1477</v>
      </c>
      <c r="H1350" s="294" t="s">
        <v>796</v>
      </c>
      <c r="I1350" s="373">
        <v>2030</v>
      </c>
      <c r="J1350" s="379">
        <v>8800</v>
      </c>
      <c r="K1350" s="373"/>
      <c r="L1350" s="379"/>
      <c r="M1350" s="927">
        <f>I1350*J1350</f>
        <v>17864000</v>
      </c>
      <c r="N1350" s="295" t="s">
        <v>266</v>
      </c>
      <c r="O1350" s="295" t="s">
        <v>8</v>
      </c>
      <c r="P1350" s="75" t="str">
        <f>IF(AND('331-CT'!$E$7=TH!H1350,OR(N1350="331",O1350="331")),"x","")</f>
        <v/>
      </c>
      <c r="Q1350" s="75" t="str">
        <f>IF(AND(B1350='111'!$L$11,OR($N1350=$Q$7,$O1350=$Q$7)),"x","")</f>
        <v/>
      </c>
      <c r="R1350" s="75" t="str">
        <f>IF(AND($N1350=$Q$7,$B1350&lt;'111'!$L$11),"x","")</f>
        <v/>
      </c>
      <c r="S1350" s="75" t="str">
        <f>IF(AND($O1350=$Q$7,$B1350&lt;'111'!$L$11),"x","")</f>
        <v/>
      </c>
      <c r="T1350" s="75" t="str">
        <f>IF(ISERROR(FIND('112'!$M$9,G1350,1)),"",IF((AND(FIND('112'!$M$9,G1350,1)&gt;=1,B1350='112'!$K$9,OR($N1350='112'!$I$6,$O1350='112'!$I$6))),"x",""))</f>
        <v/>
      </c>
      <c r="U1350" s="75" t="str">
        <f>IF(ISERROR(FIND('112'!$M$9,G1350,1)),"",IF((AND(LEFT(G1350,2)=LEFT('112'!$M$9,2),B1350&lt;'112'!$K$9,$N1350='112'!$I$6)),"x",""))</f>
        <v/>
      </c>
      <c r="V1350" s="75" t="str">
        <f>IF(ISERROR(FIND('112'!$M$9,G1350,1)),"",IF((AND(RIGHT(G1350,2)=RIGHT('112'!$M$9,2),B1350&lt;'112'!$K$9,$O1350='112'!$I$6)),"x",""))</f>
        <v/>
      </c>
      <c r="W1350" s="75" t="str">
        <f>IF(AND('341-CT'!$H$9=H1350,OR(LEFT(N1350,3)=$W$7,LEFT(O1350,3)=$W$7)),"x","")</f>
        <v/>
      </c>
      <c r="X1350" s="75" t="str">
        <f>IF(OR(TH!N1350=TH!$X$7,O1350=TH!$X$7),"x","")</f>
        <v/>
      </c>
      <c r="Y1350" s="75" t="str">
        <f>IF(AND(OR(N1350="131",O1350="131"),H1350='131-CT'!$H$9),"x","")</f>
        <v/>
      </c>
      <c r="Z1350" s="75"/>
      <c r="AA1350" s="75" t="str">
        <f>IF(AND(MONTH(E1350)='IN-NX'!$J$5,'IN-NX'!$D$7=D1350),"x","")</f>
        <v/>
      </c>
      <c r="AB1350" s="75" t="str">
        <f>IF(AND(OR(LEFT(TH!N1350,2)="15",LEFT(TH!O1350,2)="15"),LEFT(TH!O1350,3)&lt;&gt;"111",'152-CT'!$J$8=TH!F1350),"x","")</f>
        <v/>
      </c>
      <c r="AC1350" s="75" t="str">
        <f>IF(AND(OR(LEFT(TH!N1350,2)="15",LEFT(TH!O1350,2)="15"),TK!$E$7=TH!F1350),"x","")</f>
        <v/>
      </c>
      <c r="AD1350" s="75" t="str">
        <f>IF(AND(N1350="1521",MONTH(C1350)='BK-NL'!$M$11),"x","")</f>
        <v/>
      </c>
    </row>
    <row r="1351" spans="1:30" s="1053" customFormat="1" ht="16.5" customHeight="1">
      <c r="A1351" s="309" t="str">
        <f>IF(B1351&lt;&gt;"",IF(AND(B1351='IN-TC'!$S$4,OR(TH!N1351="1111",TH!O1351="1111")),TH!D1351,""),"")</f>
        <v/>
      </c>
      <c r="B1351" s="1242">
        <f t="shared" si="307"/>
        <v>5</v>
      </c>
      <c r="C1351" s="292">
        <v>42880</v>
      </c>
      <c r="D1351" s="292" t="s">
        <v>1534</v>
      </c>
      <c r="E1351" s="292">
        <f t="shared" si="308"/>
        <v>42880</v>
      </c>
      <c r="F1351" s="67" t="s">
        <v>1143</v>
      </c>
      <c r="G1351" s="925" t="s">
        <v>1477</v>
      </c>
      <c r="H1351" s="294" t="s">
        <v>796</v>
      </c>
      <c r="I1351" s="373"/>
      <c r="J1351" s="379"/>
      <c r="K1351" s="373"/>
      <c r="L1351" s="379"/>
      <c r="M1351" s="927">
        <v>1786400</v>
      </c>
      <c r="N1351" s="295" t="s">
        <v>9</v>
      </c>
      <c r="O1351" s="295" t="s">
        <v>8</v>
      </c>
      <c r="P1351" s="75" t="str">
        <f>IF(AND('331-CT'!$E$7=TH!H1351,OR(N1351="331",O1351="331")),"x","")</f>
        <v/>
      </c>
      <c r="Q1351" s="75" t="str">
        <f>IF(AND(B1351='111'!$L$11,OR($N1351=$Q$7,$O1351=$Q$7)),"x","")</f>
        <v/>
      </c>
      <c r="R1351" s="75" t="str">
        <f>IF(AND($N1351=$Q$7,$B1351&lt;'111'!$L$11),"x","")</f>
        <v/>
      </c>
      <c r="S1351" s="75" t="str">
        <f>IF(AND($O1351=$Q$7,$B1351&lt;'111'!$L$11),"x","")</f>
        <v/>
      </c>
      <c r="T1351" s="75" t="str">
        <f>IF(ISERROR(FIND('112'!$M$9,G1351,1)),"",IF((AND(FIND('112'!$M$9,G1351,1)&gt;=1,B1351='112'!$K$9,OR($N1351='112'!$I$6,$O1351='112'!$I$6))),"x",""))</f>
        <v/>
      </c>
      <c r="U1351" s="75" t="str">
        <f>IF(ISERROR(FIND('112'!$M$9,G1351,1)),"",IF((AND(LEFT(G1351,2)=LEFT('112'!$M$9,2),B1351&lt;'112'!$K$9,$N1351='112'!$I$6)),"x",""))</f>
        <v/>
      </c>
      <c r="V1351" s="75" t="str">
        <f>IF(ISERROR(FIND('112'!$M$9,G1351,1)),"",IF((AND(RIGHT(G1351,2)=RIGHT('112'!$M$9,2),B1351&lt;'112'!$K$9,$O1351='112'!$I$6)),"x",""))</f>
        <v/>
      </c>
      <c r="W1351" s="75" t="str">
        <f>IF(AND('341-CT'!$H$9=H1351,OR(LEFT(N1351,3)=$W$7,LEFT(O1351,3)=$W$7)),"x","")</f>
        <v/>
      </c>
      <c r="X1351" s="75" t="str">
        <f>IF(OR(TH!N1351=TH!$X$7,O1351=TH!$X$7),"x","")</f>
        <v/>
      </c>
      <c r="Y1351" s="75" t="str">
        <f>IF(AND(OR(N1351="131",O1351="131"),H1351='131-CT'!$H$9),"x","")</f>
        <v/>
      </c>
      <c r="Z1351" s="75"/>
      <c r="AA1351" s="75" t="str">
        <f>IF(AND(MONTH(E1351)='IN-NX'!$J$5,'IN-NX'!$D$7=D1351),"x","")</f>
        <v/>
      </c>
      <c r="AB1351" s="75" t="str">
        <f>IF(AND(OR(LEFT(TH!N1351,2)="15",LEFT(TH!O1351,2)="15"),LEFT(TH!O1351,3)&lt;&gt;"111",'152-CT'!$J$8=TH!F1351),"x","")</f>
        <v/>
      </c>
      <c r="AC1351" s="75" t="str">
        <f>IF(AND(OR(LEFT(TH!N1351,2)="15",LEFT(TH!O1351,2)="15"),TK!$E$7=TH!F1351),"x","")</f>
        <v/>
      </c>
      <c r="AD1351" s="75" t="str">
        <f>IF(AND(N1351="1521",MONTH(C1351)='BK-NL'!$M$11),"x","")</f>
        <v/>
      </c>
    </row>
    <row r="1352" spans="1:30" s="1053" customFormat="1" ht="16.5" customHeight="1">
      <c r="A1352" s="309" t="str">
        <f>IF(B1352&lt;&gt;"",IF(AND(B1352='IN-TC'!$S$4,OR(TH!N1352="1111",TH!O1352="1111")),TH!D1352,""),"")</f>
        <v/>
      </c>
      <c r="B1352" s="1242">
        <f t="shared" si="307"/>
        <v>5</v>
      </c>
      <c r="C1352" s="292">
        <v>42881</v>
      </c>
      <c r="D1352" s="292" t="s">
        <v>1535</v>
      </c>
      <c r="E1352" s="292">
        <f t="shared" si="308"/>
        <v>42881</v>
      </c>
      <c r="F1352" s="432" t="s">
        <v>1257</v>
      </c>
      <c r="G1352" s="925" t="s">
        <v>1445</v>
      </c>
      <c r="H1352" s="68" t="s">
        <v>560</v>
      </c>
      <c r="I1352" s="373">
        <v>6750</v>
      </c>
      <c r="J1352" s="379">
        <v>14728</v>
      </c>
      <c r="K1352" s="373"/>
      <c r="L1352" s="379"/>
      <c r="M1352" s="927">
        <f>I1352*J1352</f>
        <v>99414000</v>
      </c>
      <c r="N1352" s="295" t="s">
        <v>266</v>
      </c>
      <c r="O1352" s="295" t="s">
        <v>8</v>
      </c>
      <c r="P1352" s="75" t="str">
        <f>IF(AND('331-CT'!$E$7=TH!H1352,OR(N1352="331",O1352="331")),"x","")</f>
        <v/>
      </c>
      <c r="Q1352" s="75" t="str">
        <f>IF(AND(B1352='111'!$L$11,OR($N1352=$Q$7,$O1352=$Q$7)),"x","")</f>
        <v/>
      </c>
      <c r="R1352" s="75" t="str">
        <f>IF(AND($N1352=$Q$7,$B1352&lt;'111'!$L$11),"x","")</f>
        <v/>
      </c>
      <c r="S1352" s="75" t="str">
        <f>IF(AND($O1352=$Q$7,$B1352&lt;'111'!$L$11),"x","")</f>
        <v/>
      </c>
      <c r="T1352" s="75" t="str">
        <f>IF(ISERROR(FIND('112'!$M$9,G1352,1)),"",IF((AND(FIND('112'!$M$9,G1352,1)&gt;=1,B1352='112'!$K$9,OR($N1352='112'!$I$6,$O1352='112'!$I$6))),"x",""))</f>
        <v/>
      </c>
      <c r="U1352" s="75" t="str">
        <f>IF(ISERROR(FIND('112'!$M$9,G1352,1)),"",IF((AND(LEFT(G1352,2)=LEFT('112'!$M$9,2),B1352&lt;'112'!$K$9,$N1352='112'!$I$6)),"x",""))</f>
        <v/>
      </c>
      <c r="V1352" s="75" t="str">
        <f>IF(ISERROR(FIND('112'!$M$9,G1352,1)),"",IF((AND(RIGHT(G1352,2)=RIGHT('112'!$M$9,2),B1352&lt;'112'!$K$9,$O1352='112'!$I$6)),"x",""))</f>
        <v/>
      </c>
      <c r="W1352" s="75" t="str">
        <f>IF(AND('341-CT'!$H$9=H1352,OR(LEFT(N1352,3)=$W$7,LEFT(O1352,3)=$W$7)),"x","")</f>
        <v/>
      </c>
      <c r="X1352" s="75" t="str">
        <f>IF(OR(TH!N1352=TH!$X$7,O1352=TH!$X$7),"x","")</f>
        <v/>
      </c>
      <c r="Y1352" s="75" t="str">
        <f>IF(AND(OR(N1352="131",O1352="131"),H1352='131-CT'!$H$9),"x","")</f>
        <v/>
      </c>
      <c r="Z1352" s="75"/>
      <c r="AA1352" s="75" t="str">
        <f>IF(AND(MONTH(E1352)='IN-NX'!$J$5,'IN-NX'!$D$7=D1352),"x","")</f>
        <v/>
      </c>
      <c r="AB1352" s="75" t="str">
        <f>IF(AND(OR(LEFT(TH!N1352,2)="15",LEFT(TH!O1352,2)="15"),LEFT(TH!O1352,3)&lt;&gt;"111",'152-CT'!$J$8=TH!F1352),"x","")</f>
        <v/>
      </c>
      <c r="AC1352" s="75" t="str">
        <f>IF(AND(OR(LEFT(TH!N1352,2)="15",LEFT(TH!O1352,2)="15"),TK!$E$7=TH!F1352),"x","")</f>
        <v/>
      </c>
      <c r="AD1352" s="75" t="str">
        <f>IF(AND(N1352="1521",MONTH(C1352)='BK-NL'!$M$11),"x","")</f>
        <v/>
      </c>
    </row>
    <row r="1353" spans="1:30" s="1053" customFormat="1" ht="16.5" customHeight="1">
      <c r="A1353" s="309" t="str">
        <f>IF(B1353&lt;&gt;"",IF(AND(B1353='IN-TC'!$S$4,OR(TH!N1353="1111",TH!O1353="1111")),TH!D1353,""),"")</f>
        <v/>
      </c>
      <c r="B1353" s="1242">
        <f t="shared" si="307"/>
        <v>5</v>
      </c>
      <c r="C1353" s="292">
        <v>42881</v>
      </c>
      <c r="D1353" s="292" t="s">
        <v>1535</v>
      </c>
      <c r="E1353" s="292">
        <f t="shared" si="308"/>
        <v>42881</v>
      </c>
      <c r="F1353" s="432" t="s">
        <v>1444</v>
      </c>
      <c r="G1353" s="925" t="s">
        <v>1445</v>
      </c>
      <c r="H1353" s="68" t="s">
        <v>560</v>
      </c>
      <c r="I1353" s="373"/>
      <c r="J1353" s="379"/>
      <c r="K1353" s="373"/>
      <c r="L1353" s="379"/>
      <c r="M1353" s="927">
        <v>9941400</v>
      </c>
      <c r="N1353" s="295" t="s">
        <v>9</v>
      </c>
      <c r="O1353" s="295" t="s">
        <v>8</v>
      </c>
      <c r="P1353" s="75" t="str">
        <f>IF(AND('331-CT'!$E$7=TH!H1353,OR(N1353="331",O1353="331")),"x","")</f>
        <v/>
      </c>
      <c r="Q1353" s="75" t="str">
        <f>IF(AND(B1353='111'!$L$11,OR($N1353=$Q$7,$O1353=$Q$7)),"x","")</f>
        <v/>
      </c>
      <c r="R1353" s="75" t="str">
        <f>IF(AND($N1353=$Q$7,$B1353&lt;'111'!$L$11),"x","")</f>
        <v/>
      </c>
      <c r="S1353" s="75" t="str">
        <f>IF(AND($O1353=$Q$7,$B1353&lt;'111'!$L$11),"x","")</f>
        <v/>
      </c>
      <c r="T1353" s="75" t="str">
        <f>IF(ISERROR(FIND('112'!$M$9,G1353,1)),"",IF((AND(FIND('112'!$M$9,G1353,1)&gt;=1,B1353='112'!$K$9,OR($N1353='112'!$I$6,$O1353='112'!$I$6))),"x",""))</f>
        <v/>
      </c>
      <c r="U1353" s="75" t="str">
        <f>IF(ISERROR(FIND('112'!$M$9,G1353,1)),"",IF((AND(LEFT(G1353,2)=LEFT('112'!$M$9,2),B1353&lt;'112'!$K$9,$N1353='112'!$I$6)),"x",""))</f>
        <v/>
      </c>
      <c r="V1353" s="75" t="str">
        <f>IF(ISERROR(FIND('112'!$M$9,G1353,1)),"",IF((AND(RIGHT(G1353,2)=RIGHT('112'!$M$9,2),B1353&lt;'112'!$K$9,$O1353='112'!$I$6)),"x",""))</f>
        <v/>
      </c>
      <c r="W1353" s="75" t="str">
        <f>IF(AND('341-CT'!$H$9=H1353,OR(LEFT(N1353,3)=$W$7,LEFT(O1353,3)=$W$7)),"x","")</f>
        <v/>
      </c>
      <c r="X1353" s="75" t="str">
        <f>IF(OR(TH!N1353=TH!$X$7,O1353=TH!$X$7),"x","")</f>
        <v/>
      </c>
      <c r="Y1353" s="75" t="str">
        <f>IF(AND(OR(N1353="131",O1353="131"),H1353='131-CT'!$H$9),"x","")</f>
        <v/>
      </c>
      <c r="Z1353" s="75"/>
      <c r="AA1353" s="75" t="str">
        <f>IF(AND(MONTH(E1353)='IN-NX'!$J$5,'IN-NX'!$D$7=D1353),"x","")</f>
        <v/>
      </c>
      <c r="AB1353" s="75" t="str">
        <f>IF(AND(OR(LEFT(TH!N1353,2)="15",LEFT(TH!O1353,2)="15"),LEFT(TH!O1353,3)&lt;&gt;"111",'152-CT'!$J$8=TH!F1353),"x","")</f>
        <v/>
      </c>
      <c r="AC1353" s="75" t="str">
        <f>IF(AND(OR(LEFT(TH!N1353,2)="15",LEFT(TH!O1353,2)="15"),TK!$E$7=TH!F1353),"x","")</f>
        <v/>
      </c>
      <c r="AD1353" s="75" t="str">
        <f>IF(AND(N1353="1521",MONTH(C1353)='BK-NL'!$M$11),"x","")</f>
        <v/>
      </c>
    </row>
    <row r="1354" spans="1:30" s="1053" customFormat="1" ht="16.5" customHeight="1">
      <c r="A1354" s="309" t="str">
        <f>IF(B1354&lt;&gt;"",IF(AND(B1354='IN-TC'!$S$4,OR(TH!N1354="1111",TH!O1354="1111")),TH!D1354,""),"")</f>
        <v/>
      </c>
      <c r="B1354" s="1242">
        <f t="shared" si="307"/>
        <v>5</v>
      </c>
      <c r="C1354" s="292">
        <v>42881</v>
      </c>
      <c r="D1354" s="292" t="s">
        <v>1536</v>
      </c>
      <c r="E1354" s="292">
        <f t="shared" si="308"/>
        <v>42881</v>
      </c>
      <c r="F1354" s="67" t="s">
        <v>795</v>
      </c>
      <c r="G1354" s="925" t="s">
        <v>1478</v>
      </c>
      <c r="H1354" s="294" t="s">
        <v>796</v>
      </c>
      <c r="I1354" s="373">
        <v>2030</v>
      </c>
      <c r="J1354" s="379">
        <v>8800</v>
      </c>
      <c r="K1354" s="373"/>
      <c r="L1354" s="379"/>
      <c r="M1354" s="927">
        <f>I1354*J1354</f>
        <v>17864000</v>
      </c>
      <c r="N1354" s="295" t="s">
        <v>266</v>
      </c>
      <c r="O1354" s="295" t="s">
        <v>8</v>
      </c>
      <c r="P1354" s="75" t="str">
        <f>IF(AND('331-CT'!$E$7=TH!H1354,OR(N1354="331",O1354="331")),"x","")</f>
        <v/>
      </c>
      <c r="Q1354" s="75" t="str">
        <f>IF(AND(B1354='111'!$L$11,OR($N1354=$Q$7,$O1354=$Q$7)),"x","")</f>
        <v/>
      </c>
      <c r="R1354" s="75" t="str">
        <f>IF(AND($N1354=$Q$7,$B1354&lt;'111'!$L$11),"x","")</f>
        <v/>
      </c>
      <c r="S1354" s="75" t="str">
        <f>IF(AND($O1354=$Q$7,$B1354&lt;'111'!$L$11),"x","")</f>
        <v/>
      </c>
      <c r="T1354" s="75" t="str">
        <f>IF(ISERROR(FIND('112'!$M$9,G1354,1)),"",IF((AND(FIND('112'!$M$9,G1354,1)&gt;=1,B1354='112'!$K$9,OR($N1354='112'!$I$6,$O1354='112'!$I$6))),"x",""))</f>
        <v/>
      </c>
      <c r="U1354" s="75" t="str">
        <f>IF(ISERROR(FIND('112'!$M$9,G1354,1)),"",IF((AND(LEFT(G1354,2)=LEFT('112'!$M$9,2),B1354&lt;'112'!$K$9,$N1354='112'!$I$6)),"x",""))</f>
        <v/>
      </c>
      <c r="V1354" s="75" t="str">
        <f>IF(ISERROR(FIND('112'!$M$9,G1354,1)),"",IF((AND(RIGHT(G1354,2)=RIGHT('112'!$M$9,2),B1354&lt;'112'!$K$9,$O1354='112'!$I$6)),"x",""))</f>
        <v/>
      </c>
      <c r="W1354" s="75" t="str">
        <f>IF(AND('341-CT'!$H$9=H1354,OR(LEFT(N1354,3)=$W$7,LEFT(O1354,3)=$W$7)),"x","")</f>
        <v/>
      </c>
      <c r="X1354" s="75" t="str">
        <f>IF(OR(TH!N1354=TH!$X$7,O1354=TH!$X$7),"x","")</f>
        <v/>
      </c>
      <c r="Y1354" s="75" t="str">
        <f>IF(AND(OR(N1354="131",O1354="131"),H1354='131-CT'!$H$9),"x","")</f>
        <v/>
      </c>
      <c r="Z1354" s="75"/>
      <c r="AA1354" s="75" t="str">
        <f>IF(AND(MONTH(E1354)='IN-NX'!$J$5,'IN-NX'!$D$7=D1354),"x","")</f>
        <v/>
      </c>
      <c r="AB1354" s="75" t="str">
        <f>IF(AND(OR(LEFT(TH!N1354,2)="15",LEFT(TH!O1354,2)="15"),LEFT(TH!O1354,3)&lt;&gt;"111",'152-CT'!$J$8=TH!F1354),"x","")</f>
        <v/>
      </c>
      <c r="AC1354" s="75" t="str">
        <f>IF(AND(OR(LEFT(TH!N1354,2)="15",LEFT(TH!O1354,2)="15"),TK!$E$7=TH!F1354),"x","")</f>
        <v/>
      </c>
      <c r="AD1354" s="75" t="str">
        <f>IF(AND(N1354="1521",MONTH(C1354)='BK-NL'!$M$11),"x","")</f>
        <v/>
      </c>
    </row>
    <row r="1355" spans="1:30" s="1053" customFormat="1" ht="16.5" customHeight="1">
      <c r="A1355" s="309" t="str">
        <f>IF(B1355&lt;&gt;"",IF(AND(B1355='IN-TC'!$S$4,OR(TH!N1355="1111",TH!O1355="1111")),TH!D1355,""),"")</f>
        <v/>
      </c>
      <c r="B1355" s="1242">
        <f t="shared" si="307"/>
        <v>5</v>
      </c>
      <c r="C1355" s="292">
        <v>42881</v>
      </c>
      <c r="D1355" s="292" t="s">
        <v>1536</v>
      </c>
      <c r="E1355" s="292">
        <f t="shared" si="308"/>
        <v>42881</v>
      </c>
      <c r="F1355" s="67" t="s">
        <v>1143</v>
      </c>
      <c r="G1355" s="925" t="s">
        <v>1478</v>
      </c>
      <c r="H1355" s="294" t="s">
        <v>796</v>
      </c>
      <c r="I1355" s="373"/>
      <c r="J1355" s="379"/>
      <c r="K1355" s="373"/>
      <c r="L1355" s="379"/>
      <c r="M1355" s="927">
        <v>1786400</v>
      </c>
      <c r="N1355" s="295" t="s">
        <v>9</v>
      </c>
      <c r="O1355" s="295" t="s">
        <v>8</v>
      </c>
      <c r="P1355" s="75" t="str">
        <f>IF(AND('331-CT'!$E$7=TH!H1355,OR(N1355="331",O1355="331")),"x","")</f>
        <v/>
      </c>
      <c r="Q1355" s="75" t="str">
        <f>IF(AND(B1355='111'!$L$11,OR($N1355=$Q$7,$O1355=$Q$7)),"x","")</f>
        <v/>
      </c>
      <c r="R1355" s="75" t="str">
        <f>IF(AND($N1355=$Q$7,$B1355&lt;'111'!$L$11),"x","")</f>
        <v/>
      </c>
      <c r="S1355" s="75" t="str">
        <f>IF(AND($O1355=$Q$7,$B1355&lt;'111'!$L$11),"x","")</f>
        <v/>
      </c>
      <c r="T1355" s="75" t="str">
        <f>IF(ISERROR(FIND('112'!$M$9,G1355,1)),"",IF((AND(FIND('112'!$M$9,G1355,1)&gt;=1,B1355='112'!$K$9,OR($N1355='112'!$I$6,$O1355='112'!$I$6))),"x",""))</f>
        <v/>
      </c>
      <c r="U1355" s="75" t="str">
        <f>IF(ISERROR(FIND('112'!$M$9,G1355,1)),"",IF((AND(LEFT(G1355,2)=LEFT('112'!$M$9,2),B1355&lt;'112'!$K$9,$N1355='112'!$I$6)),"x",""))</f>
        <v/>
      </c>
      <c r="V1355" s="75" t="str">
        <f>IF(ISERROR(FIND('112'!$M$9,G1355,1)),"",IF((AND(RIGHT(G1355,2)=RIGHT('112'!$M$9,2),B1355&lt;'112'!$K$9,$O1355='112'!$I$6)),"x",""))</f>
        <v/>
      </c>
      <c r="W1355" s="75" t="str">
        <f>IF(AND('341-CT'!$H$9=H1355,OR(LEFT(N1355,3)=$W$7,LEFT(O1355,3)=$W$7)),"x","")</f>
        <v/>
      </c>
      <c r="X1355" s="75" t="str">
        <f>IF(OR(TH!N1355=TH!$X$7,O1355=TH!$X$7),"x","")</f>
        <v/>
      </c>
      <c r="Y1355" s="75" t="str">
        <f>IF(AND(OR(N1355="131",O1355="131"),H1355='131-CT'!$H$9),"x","")</f>
        <v/>
      </c>
      <c r="Z1355" s="75"/>
      <c r="AA1355" s="75" t="str">
        <f>IF(AND(MONTH(E1355)='IN-NX'!$J$5,'IN-NX'!$D$7=D1355),"x","")</f>
        <v/>
      </c>
      <c r="AB1355" s="75" t="str">
        <f>IF(AND(OR(LEFT(TH!N1355,2)="15",LEFT(TH!O1355,2)="15"),LEFT(TH!O1355,3)&lt;&gt;"111",'152-CT'!$J$8=TH!F1355),"x","")</f>
        <v/>
      </c>
      <c r="AC1355" s="75" t="str">
        <f>IF(AND(OR(LEFT(TH!N1355,2)="15",LEFT(TH!O1355,2)="15"),TK!$E$7=TH!F1355),"x","")</f>
        <v/>
      </c>
      <c r="AD1355" s="75" t="str">
        <f>IF(AND(N1355="1521",MONTH(C1355)='BK-NL'!$M$11),"x","")</f>
        <v/>
      </c>
    </row>
    <row r="1356" spans="1:30" s="1053" customFormat="1" ht="16.5" customHeight="1">
      <c r="A1356" s="309" t="str">
        <f>IF(B1356&lt;&gt;"",IF(AND(B1356='IN-TC'!$S$4,OR(TH!N1356="1111",TH!O1356="1111")),TH!D1356,""),"")</f>
        <v/>
      </c>
      <c r="B1356" s="1242">
        <f t="shared" si="307"/>
        <v>5</v>
      </c>
      <c r="C1356" s="292">
        <v>42882</v>
      </c>
      <c r="D1356" s="292" t="s">
        <v>1537</v>
      </c>
      <c r="E1356" s="292">
        <f t="shared" si="308"/>
        <v>42882</v>
      </c>
      <c r="F1356" s="67" t="s">
        <v>795</v>
      </c>
      <c r="G1356" s="925" t="s">
        <v>1479</v>
      </c>
      <c r="H1356" s="294" t="s">
        <v>796</v>
      </c>
      <c r="I1356" s="373">
        <v>2030</v>
      </c>
      <c r="J1356" s="379">
        <v>8800</v>
      </c>
      <c r="K1356" s="373"/>
      <c r="L1356" s="379"/>
      <c r="M1356" s="927">
        <f>I1356*J1356</f>
        <v>17864000</v>
      </c>
      <c r="N1356" s="295" t="s">
        <v>266</v>
      </c>
      <c r="O1356" s="295" t="s">
        <v>8</v>
      </c>
      <c r="P1356" s="75" t="str">
        <f>IF(AND('331-CT'!$E$7=TH!H1356,OR(N1356="331",O1356="331")),"x","")</f>
        <v/>
      </c>
      <c r="Q1356" s="75" t="str">
        <f>IF(AND(B1356='111'!$L$11,OR($N1356=$Q$7,$O1356=$Q$7)),"x","")</f>
        <v/>
      </c>
      <c r="R1356" s="75" t="str">
        <f>IF(AND($N1356=$Q$7,$B1356&lt;'111'!$L$11),"x","")</f>
        <v/>
      </c>
      <c r="S1356" s="75" t="str">
        <f>IF(AND($O1356=$Q$7,$B1356&lt;'111'!$L$11),"x","")</f>
        <v/>
      </c>
      <c r="T1356" s="75" t="str">
        <f>IF(ISERROR(FIND('112'!$M$9,G1356,1)),"",IF((AND(FIND('112'!$M$9,G1356,1)&gt;=1,B1356='112'!$K$9,OR($N1356='112'!$I$6,$O1356='112'!$I$6))),"x",""))</f>
        <v/>
      </c>
      <c r="U1356" s="75" t="str">
        <f>IF(ISERROR(FIND('112'!$M$9,G1356,1)),"",IF((AND(LEFT(G1356,2)=LEFT('112'!$M$9,2),B1356&lt;'112'!$K$9,$N1356='112'!$I$6)),"x",""))</f>
        <v/>
      </c>
      <c r="V1356" s="75" t="str">
        <f>IF(ISERROR(FIND('112'!$M$9,G1356,1)),"",IF((AND(RIGHT(G1356,2)=RIGHT('112'!$M$9,2),B1356&lt;'112'!$K$9,$O1356='112'!$I$6)),"x",""))</f>
        <v/>
      </c>
      <c r="W1356" s="75" t="str">
        <f>IF(AND('341-CT'!$H$9=H1356,OR(LEFT(N1356,3)=$W$7,LEFT(O1356,3)=$W$7)),"x","")</f>
        <v/>
      </c>
      <c r="X1356" s="75" t="str">
        <f>IF(OR(TH!N1356=TH!$X$7,O1356=TH!$X$7),"x","")</f>
        <v/>
      </c>
      <c r="Y1356" s="75" t="str">
        <f>IF(AND(OR(N1356="131",O1356="131"),H1356='131-CT'!$H$9),"x","")</f>
        <v/>
      </c>
      <c r="Z1356" s="75"/>
      <c r="AA1356" s="75" t="str">
        <f>IF(AND(MONTH(E1356)='IN-NX'!$J$5,'IN-NX'!$D$7=D1356),"x","")</f>
        <v/>
      </c>
      <c r="AB1356" s="75" t="str">
        <f>IF(AND(OR(LEFT(TH!N1356,2)="15",LEFT(TH!O1356,2)="15"),LEFT(TH!O1356,3)&lt;&gt;"111",'152-CT'!$J$8=TH!F1356),"x","")</f>
        <v/>
      </c>
      <c r="AC1356" s="75" t="str">
        <f>IF(AND(OR(LEFT(TH!N1356,2)="15",LEFT(TH!O1356,2)="15"),TK!$E$7=TH!F1356),"x","")</f>
        <v/>
      </c>
      <c r="AD1356" s="75" t="str">
        <f>IF(AND(N1356="1521",MONTH(C1356)='BK-NL'!$M$11),"x","")</f>
        <v/>
      </c>
    </row>
    <row r="1357" spans="1:30" s="1053" customFormat="1" ht="16.5" customHeight="1">
      <c r="A1357" s="309" t="str">
        <f>IF(B1357&lt;&gt;"",IF(AND(B1357='IN-TC'!$S$4,OR(TH!N1357="1111",TH!O1357="1111")),TH!D1357,""),"")</f>
        <v/>
      </c>
      <c r="B1357" s="1242">
        <f t="shared" si="307"/>
        <v>5</v>
      </c>
      <c r="C1357" s="292">
        <v>42882</v>
      </c>
      <c r="D1357" s="292" t="s">
        <v>1537</v>
      </c>
      <c r="E1357" s="292">
        <f t="shared" si="308"/>
        <v>42882</v>
      </c>
      <c r="F1357" s="67" t="s">
        <v>1143</v>
      </c>
      <c r="G1357" s="925" t="s">
        <v>1479</v>
      </c>
      <c r="H1357" s="294" t="s">
        <v>796</v>
      </c>
      <c r="I1357" s="373"/>
      <c r="J1357" s="379"/>
      <c r="K1357" s="373"/>
      <c r="L1357" s="379"/>
      <c r="M1357" s="927">
        <v>1786400</v>
      </c>
      <c r="N1357" s="295" t="s">
        <v>9</v>
      </c>
      <c r="O1357" s="295" t="s">
        <v>8</v>
      </c>
      <c r="P1357" s="75" t="str">
        <f>IF(AND('331-CT'!$E$7=TH!H1357,OR(N1357="331",O1357="331")),"x","")</f>
        <v/>
      </c>
      <c r="Q1357" s="75" t="str">
        <f>IF(AND(B1357='111'!$L$11,OR($N1357=$Q$7,$O1357=$Q$7)),"x","")</f>
        <v/>
      </c>
      <c r="R1357" s="75" t="str">
        <f>IF(AND($N1357=$Q$7,$B1357&lt;'111'!$L$11),"x","")</f>
        <v/>
      </c>
      <c r="S1357" s="75" t="str">
        <f>IF(AND($O1357=$Q$7,$B1357&lt;'111'!$L$11),"x","")</f>
        <v/>
      </c>
      <c r="T1357" s="75" t="str">
        <f>IF(ISERROR(FIND('112'!$M$9,G1357,1)),"",IF((AND(FIND('112'!$M$9,G1357,1)&gt;=1,B1357='112'!$K$9,OR($N1357='112'!$I$6,$O1357='112'!$I$6))),"x",""))</f>
        <v/>
      </c>
      <c r="U1357" s="75" t="str">
        <f>IF(ISERROR(FIND('112'!$M$9,G1357,1)),"",IF((AND(LEFT(G1357,2)=LEFT('112'!$M$9,2),B1357&lt;'112'!$K$9,$N1357='112'!$I$6)),"x",""))</f>
        <v/>
      </c>
      <c r="V1357" s="75" t="str">
        <f>IF(ISERROR(FIND('112'!$M$9,G1357,1)),"",IF((AND(RIGHT(G1357,2)=RIGHT('112'!$M$9,2),B1357&lt;'112'!$K$9,$O1357='112'!$I$6)),"x",""))</f>
        <v/>
      </c>
      <c r="W1357" s="75" t="str">
        <f>IF(AND('341-CT'!$H$9=H1357,OR(LEFT(N1357,3)=$W$7,LEFT(O1357,3)=$W$7)),"x","")</f>
        <v/>
      </c>
      <c r="X1357" s="75" t="str">
        <f>IF(OR(TH!N1357=TH!$X$7,O1357=TH!$X$7),"x","")</f>
        <v/>
      </c>
      <c r="Y1357" s="75" t="str">
        <f>IF(AND(OR(N1357="131",O1357="131"),H1357='131-CT'!$H$9),"x","")</f>
        <v/>
      </c>
      <c r="Z1357" s="75"/>
      <c r="AA1357" s="75" t="str">
        <f>IF(AND(MONTH(E1357)='IN-NX'!$J$5,'IN-NX'!$D$7=D1357),"x","")</f>
        <v/>
      </c>
      <c r="AB1357" s="75" t="str">
        <f>IF(AND(OR(LEFT(TH!N1357,2)="15",LEFT(TH!O1357,2)="15"),LEFT(TH!O1357,3)&lt;&gt;"111",'152-CT'!$J$8=TH!F1357),"x","")</f>
        <v/>
      </c>
      <c r="AC1357" s="75" t="str">
        <f>IF(AND(OR(LEFT(TH!N1357,2)="15",LEFT(TH!O1357,2)="15"),TK!$E$7=TH!F1357),"x","")</f>
        <v/>
      </c>
      <c r="AD1357" s="75" t="str">
        <f>IF(AND(N1357="1521",MONTH(C1357)='BK-NL'!$M$11),"x","")</f>
        <v/>
      </c>
    </row>
    <row r="1358" spans="1:30" s="1053" customFormat="1" ht="16.5" customHeight="1">
      <c r="A1358" s="309" t="str">
        <f>IF(B1358&lt;&gt;"",IF(AND(B1358='IN-TC'!$S$4,OR(TH!N1358="1111",TH!O1358="1111")),TH!D1358,""),"")</f>
        <v/>
      </c>
      <c r="B1358" s="1242">
        <f t="shared" si="307"/>
        <v>5</v>
      </c>
      <c r="C1358" s="292">
        <v>42883</v>
      </c>
      <c r="D1358" s="292" t="s">
        <v>1538</v>
      </c>
      <c r="E1358" s="292">
        <f t="shared" si="308"/>
        <v>42883</v>
      </c>
      <c r="F1358" s="67" t="s">
        <v>795</v>
      </c>
      <c r="G1358" s="925" t="s">
        <v>1480</v>
      </c>
      <c r="H1358" s="294" t="s">
        <v>796</v>
      </c>
      <c r="I1358" s="373">
        <v>2030</v>
      </c>
      <c r="J1358" s="379">
        <v>8800</v>
      </c>
      <c r="K1358" s="373"/>
      <c r="L1358" s="379"/>
      <c r="M1358" s="927">
        <f>I1358*J1358</f>
        <v>17864000</v>
      </c>
      <c r="N1358" s="295" t="s">
        <v>266</v>
      </c>
      <c r="O1358" s="295" t="s">
        <v>8</v>
      </c>
      <c r="P1358" s="75" t="str">
        <f>IF(AND('331-CT'!$E$7=TH!H1358,OR(N1358="331",O1358="331")),"x","")</f>
        <v/>
      </c>
      <c r="Q1358" s="75" t="str">
        <f>IF(AND(B1358='111'!$L$11,OR($N1358=$Q$7,$O1358=$Q$7)),"x","")</f>
        <v/>
      </c>
      <c r="R1358" s="75" t="str">
        <f>IF(AND($N1358=$Q$7,$B1358&lt;'111'!$L$11),"x","")</f>
        <v/>
      </c>
      <c r="S1358" s="75" t="str">
        <f>IF(AND($O1358=$Q$7,$B1358&lt;'111'!$L$11),"x","")</f>
        <v/>
      </c>
      <c r="T1358" s="75" t="str">
        <f>IF(ISERROR(FIND('112'!$M$9,G1358,1)),"",IF((AND(FIND('112'!$M$9,G1358,1)&gt;=1,B1358='112'!$K$9,OR($N1358='112'!$I$6,$O1358='112'!$I$6))),"x",""))</f>
        <v/>
      </c>
      <c r="U1358" s="75" t="str">
        <f>IF(ISERROR(FIND('112'!$M$9,G1358,1)),"",IF((AND(LEFT(G1358,2)=LEFT('112'!$M$9,2),B1358&lt;'112'!$K$9,$N1358='112'!$I$6)),"x",""))</f>
        <v/>
      </c>
      <c r="V1358" s="75" t="str">
        <f>IF(ISERROR(FIND('112'!$M$9,G1358,1)),"",IF((AND(RIGHT(G1358,2)=RIGHT('112'!$M$9,2),B1358&lt;'112'!$K$9,$O1358='112'!$I$6)),"x",""))</f>
        <v/>
      </c>
      <c r="W1358" s="75" t="str">
        <f>IF(AND('341-CT'!$H$9=H1358,OR(LEFT(N1358,3)=$W$7,LEFT(O1358,3)=$W$7)),"x","")</f>
        <v/>
      </c>
      <c r="X1358" s="75" t="str">
        <f>IF(OR(TH!N1358=TH!$X$7,O1358=TH!$X$7),"x","")</f>
        <v/>
      </c>
      <c r="Y1358" s="75" t="str">
        <f>IF(AND(OR(N1358="131",O1358="131"),H1358='131-CT'!$H$9),"x","")</f>
        <v/>
      </c>
      <c r="Z1358" s="75"/>
      <c r="AA1358" s="75" t="str">
        <f>IF(AND(MONTH(E1358)='IN-NX'!$J$5,'IN-NX'!$D$7=D1358),"x","")</f>
        <v/>
      </c>
      <c r="AB1358" s="75" t="str">
        <f>IF(AND(OR(LEFT(TH!N1358,2)="15",LEFT(TH!O1358,2)="15"),LEFT(TH!O1358,3)&lt;&gt;"111",'152-CT'!$J$8=TH!F1358),"x","")</f>
        <v/>
      </c>
      <c r="AC1358" s="75" t="str">
        <f>IF(AND(OR(LEFT(TH!N1358,2)="15",LEFT(TH!O1358,2)="15"),TK!$E$7=TH!F1358),"x","")</f>
        <v/>
      </c>
      <c r="AD1358" s="75" t="str">
        <f>IF(AND(N1358="1521",MONTH(C1358)='BK-NL'!$M$11),"x","")</f>
        <v/>
      </c>
    </row>
    <row r="1359" spans="1:30" s="1053" customFormat="1" ht="16.5" customHeight="1">
      <c r="A1359" s="309" t="str">
        <f>IF(B1359&lt;&gt;"",IF(AND(B1359='IN-TC'!$S$4,OR(TH!N1359="1111",TH!O1359="1111")),TH!D1359,""),"")</f>
        <v/>
      </c>
      <c r="B1359" s="1242">
        <f t="shared" si="307"/>
        <v>5</v>
      </c>
      <c r="C1359" s="292">
        <v>42883</v>
      </c>
      <c r="D1359" s="292" t="s">
        <v>1538</v>
      </c>
      <c r="E1359" s="292">
        <f t="shared" si="308"/>
        <v>42883</v>
      </c>
      <c r="F1359" s="67" t="s">
        <v>1143</v>
      </c>
      <c r="G1359" s="925" t="s">
        <v>1480</v>
      </c>
      <c r="H1359" s="294" t="s">
        <v>796</v>
      </c>
      <c r="I1359" s="373"/>
      <c r="J1359" s="379"/>
      <c r="K1359" s="373"/>
      <c r="L1359" s="379"/>
      <c r="M1359" s="927">
        <v>1786400</v>
      </c>
      <c r="N1359" s="295" t="s">
        <v>9</v>
      </c>
      <c r="O1359" s="295" t="s">
        <v>8</v>
      </c>
      <c r="P1359" s="75" t="str">
        <f>IF(AND('331-CT'!$E$7=TH!H1359,OR(N1359="331",O1359="331")),"x","")</f>
        <v/>
      </c>
      <c r="Q1359" s="75" t="str">
        <f>IF(AND(B1359='111'!$L$11,OR($N1359=$Q$7,$O1359=$Q$7)),"x","")</f>
        <v/>
      </c>
      <c r="R1359" s="75" t="str">
        <f>IF(AND($N1359=$Q$7,$B1359&lt;'111'!$L$11),"x","")</f>
        <v/>
      </c>
      <c r="S1359" s="75" t="str">
        <f>IF(AND($O1359=$Q$7,$B1359&lt;'111'!$L$11),"x","")</f>
        <v/>
      </c>
      <c r="T1359" s="75" t="str">
        <f>IF(ISERROR(FIND('112'!$M$9,G1359,1)),"",IF((AND(FIND('112'!$M$9,G1359,1)&gt;=1,B1359='112'!$K$9,OR($N1359='112'!$I$6,$O1359='112'!$I$6))),"x",""))</f>
        <v/>
      </c>
      <c r="U1359" s="75" t="str">
        <f>IF(ISERROR(FIND('112'!$M$9,G1359,1)),"",IF((AND(LEFT(G1359,2)=LEFT('112'!$M$9,2),B1359&lt;'112'!$K$9,$N1359='112'!$I$6)),"x",""))</f>
        <v/>
      </c>
      <c r="V1359" s="75" t="str">
        <f>IF(ISERROR(FIND('112'!$M$9,G1359,1)),"",IF((AND(RIGHT(G1359,2)=RIGHT('112'!$M$9,2),B1359&lt;'112'!$K$9,$O1359='112'!$I$6)),"x",""))</f>
        <v/>
      </c>
      <c r="W1359" s="75" t="str">
        <f>IF(AND('341-CT'!$H$9=H1359,OR(LEFT(N1359,3)=$W$7,LEFT(O1359,3)=$W$7)),"x","")</f>
        <v/>
      </c>
      <c r="X1359" s="75" t="str">
        <f>IF(OR(TH!N1359=TH!$X$7,O1359=TH!$X$7),"x","")</f>
        <v/>
      </c>
      <c r="Y1359" s="75" t="str">
        <f>IF(AND(OR(N1359="131",O1359="131"),H1359='131-CT'!$H$9),"x","")</f>
        <v/>
      </c>
      <c r="Z1359" s="75"/>
      <c r="AA1359" s="75" t="str">
        <f>IF(AND(MONTH(E1359)='IN-NX'!$J$5,'IN-NX'!$D$7=D1359),"x","")</f>
        <v/>
      </c>
      <c r="AB1359" s="75" t="str">
        <f>IF(AND(OR(LEFT(TH!N1359,2)="15",LEFT(TH!O1359,2)="15"),LEFT(TH!O1359,3)&lt;&gt;"111",'152-CT'!$J$8=TH!F1359),"x","")</f>
        <v/>
      </c>
      <c r="AC1359" s="75" t="str">
        <f>IF(AND(OR(LEFT(TH!N1359,2)="15",LEFT(TH!O1359,2)="15"),TK!$E$7=TH!F1359),"x","")</f>
        <v/>
      </c>
      <c r="AD1359" s="75" t="str">
        <f>IF(AND(N1359="1521",MONTH(C1359)='BK-NL'!$M$11),"x","")</f>
        <v/>
      </c>
    </row>
    <row r="1360" spans="1:30" s="1053" customFormat="1" ht="16.5" customHeight="1">
      <c r="A1360" s="309" t="str">
        <f>IF(B1360&lt;&gt;"",IF(AND(B1360='IN-TC'!$S$4,OR(TH!N1360="1111",TH!O1360="1111")),TH!D1360,""),"")</f>
        <v/>
      </c>
      <c r="B1360" s="1242">
        <f t="shared" si="307"/>
        <v>5</v>
      </c>
      <c r="C1360" s="292">
        <v>42884</v>
      </c>
      <c r="D1360" s="292" t="s">
        <v>1539</v>
      </c>
      <c r="E1360" s="292">
        <f t="shared" si="308"/>
        <v>42884</v>
      </c>
      <c r="F1360" s="432" t="s">
        <v>371</v>
      </c>
      <c r="G1360" s="925" t="s">
        <v>1471</v>
      </c>
      <c r="H1360" s="311" t="s">
        <v>558</v>
      </c>
      <c r="I1360" s="373">
        <v>450</v>
      </c>
      <c r="J1360" s="379">
        <v>18500</v>
      </c>
      <c r="K1360" s="373"/>
      <c r="L1360" s="379"/>
      <c r="M1360" s="927">
        <v>8325000</v>
      </c>
      <c r="N1360" s="295" t="s">
        <v>266</v>
      </c>
      <c r="O1360" s="295" t="s">
        <v>8</v>
      </c>
      <c r="P1360" s="75" t="str">
        <f>IF(AND('331-CT'!$E$7=TH!H1360,OR(N1360="331",O1360="331")),"x","")</f>
        <v/>
      </c>
      <c r="Q1360" s="75" t="str">
        <f>IF(AND(B1360='111'!$L$11,OR($N1360=$Q$7,$O1360=$Q$7)),"x","")</f>
        <v/>
      </c>
      <c r="R1360" s="75" t="str">
        <f>IF(AND($N1360=$Q$7,$B1360&lt;'111'!$L$11),"x","")</f>
        <v/>
      </c>
      <c r="S1360" s="75" t="str">
        <f>IF(AND($O1360=$Q$7,$B1360&lt;'111'!$L$11),"x","")</f>
        <v/>
      </c>
      <c r="T1360" s="75" t="str">
        <f>IF(ISERROR(FIND('112'!$M$9,G1360,1)),"",IF((AND(FIND('112'!$M$9,G1360,1)&gt;=1,B1360='112'!$K$9,OR($N1360='112'!$I$6,$O1360='112'!$I$6))),"x",""))</f>
        <v/>
      </c>
      <c r="U1360" s="75" t="str">
        <f>IF(ISERROR(FIND('112'!$M$9,G1360,1)),"",IF((AND(LEFT(G1360,2)=LEFT('112'!$M$9,2),B1360&lt;'112'!$K$9,$N1360='112'!$I$6)),"x",""))</f>
        <v/>
      </c>
      <c r="V1360" s="75" t="str">
        <f>IF(ISERROR(FIND('112'!$M$9,G1360,1)),"",IF((AND(RIGHT(G1360,2)=RIGHT('112'!$M$9,2),B1360&lt;'112'!$K$9,$O1360='112'!$I$6)),"x",""))</f>
        <v/>
      </c>
      <c r="W1360" s="75" t="str">
        <f>IF(AND('341-CT'!$H$9=H1360,OR(LEFT(N1360,3)=$W$7,LEFT(O1360,3)=$W$7)),"x","")</f>
        <v/>
      </c>
      <c r="X1360" s="75" t="str">
        <f>IF(OR(TH!N1360=TH!$X$7,O1360=TH!$X$7),"x","")</f>
        <v/>
      </c>
      <c r="Y1360" s="75" t="str">
        <f>IF(AND(OR(N1360="131",O1360="131"),H1360='131-CT'!$H$9),"x","")</f>
        <v/>
      </c>
      <c r="Z1360" s="75"/>
      <c r="AA1360" s="75" t="str">
        <f>IF(AND(MONTH(E1360)='IN-NX'!$J$5,'IN-NX'!$D$7=D1360),"x","")</f>
        <v/>
      </c>
      <c r="AB1360" s="75" t="str">
        <f>IF(AND(OR(LEFT(TH!N1360,2)="15",LEFT(TH!O1360,2)="15"),LEFT(TH!O1360,3)&lt;&gt;"111",'152-CT'!$J$8=TH!F1360),"x","")</f>
        <v/>
      </c>
      <c r="AC1360" s="75" t="str">
        <f>IF(AND(OR(LEFT(TH!N1360,2)="15",LEFT(TH!O1360,2)="15"),TK!$E$7=TH!F1360),"x","")</f>
        <v/>
      </c>
      <c r="AD1360" s="75" t="str">
        <f>IF(AND(N1360="1521",MONTH(C1360)='BK-NL'!$M$11),"x","")</f>
        <v/>
      </c>
    </row>
    <row r="1361" spans="1:30" s="1053" customFormat="1" ht="16.5" customHeight="1">
      <c r="A1361" s="309" t="str">
        <f>IF(B1361&lt;&gt;"",IF(AND(B1361='IN-TC'!$S$4,OR(TH!N1361="1111",TH!O1361="1111")),TH!D1361,""),"")</f>
        <v/>
      </c>
      <c r="B1361" s="1242">
        <f t="shared" si="307"/>
        <v>5</v>
      </c>
      <c r="C1361" s="292">
        <v>42884</v>
      </c>
      <c r="D1361" s="292" t="s">
        <v>1539</v>
      </c>
      <c r="E1361" s="292">
        <f t="shared" si="308"/>
        <v>42884</v>
      </c>
      <c r="F1361" s="432" t="s">
        <v>832</v>
      </c>
      <c r="G1361" s="925" t="s">
        <v>1471</v>
      </c>
      <c r="H1361" s="311" t="s">
        <v>558</v>
      </c>
      <c r="I1361" s="373"/>
      <c r="J1361" s="379"/>
      <c r="K1361" s="373"/>
      <c r="L1361" s="379"/>
      <c r="M1361" s="927">
        <v>832500</v>
      </c>
      <c r="N1361" s="295" t="s">
        <v>9</v>
      </c>
      <c r="O1361" s="295" t="s">
        <v>8</v>
      </c>
      <c r="P1361" s="75" t="str">
        <f>IF(AND('331-CT'!$E$7=TH!H1361,OR(N1361="331",O1361="331")),"x","")</f>
        <v/>
      </c>
      <c r="Q1361" s="75" t="str">
        <f>IF(AND(B1361='111'!$L$11,OR($N1361=$Q$7,$O1361=$Q$7)),"x","")</f>
        <v/>
      </c>
      <c r="R1361" s="75" t="str">
        <f>IF(AND($N1361=$Q$7,$B1361&lt;'111'!$L$11),"x","")</f>
        <v/>
      </c>
      <c r="S1361" s="75" t="str">
        <f>IF(AND($O1361=$Q$7,$B1361&lt;'111'!$L$11),"x","")</f>
        <v/>
      </c>
      <c r="T1361" s="75" t="str">
        <f>IF(ISERROR(FIND('112'!$M$9,G1361,1)),"",IF((AND(FIND('112'!$M$9,G1361,1)&gt;=1,B1361='112'!$K$9,OR($N1361='112'!$I$6,$O1361='112'!$I$6))),"x",""))</f>
        <v/>
      </c>
      <c r="U1361" s="75" t="str">
        <f>IF(ISERROR(FIND('112'!$M$9,G1361,1)),"",IF((AND(LEFT(G1361,2)=LEFT('112'!$M$9,2),B1361&lt;'112'!$K$9,$N1361='112'!$I$6)),"x",""))</f>
        <v/>
      </c>
      <c r="V1361" s="75" t="str">
        <f>IF(ISERROR(FIND('112'!$M$9,G1361,1)),"",IF((AND(RIGHT(G1361,2)=RIGHT('112'!$M$9,2),B1361&lt;'112'!$K$9,$O1361='112'!$I$6)),"x",""))</f>
        <v/>
      </c>
      <c r="W1361" s="75" t="str">
        <f>IF(AND('341-CT'!$H$9=H1361,OR(LEFT(N1361,3)=$W$7,LEFT(O1361,3)=$W$7)),"x","")</f>
        <v/>
      </c>
      <c r="X1361" s="75" t="str">
        <f>IF(OR(TH!N1361=TH!$X$7,O1361=TH!$X$7),"x","")</f>
        <v/>
      </c>
      <c r="Y1361" s="75" t="str">
        <f>IF(AND(OR(N1361="131",O1361="131"),H1361='131-CT'!$H$9),"x","")</f>
        <v/>
      </c>
      <c r="Z1361" s="75"/>
      <c r="AA1361" s="75" t="str">
        <f>IF(AND(MONTH(E1361)='IN-NX'!$J$5,'IN-NX'!$D$7=D1361),"x","")</f>
        <v/>
      </c>
      <c r="AB1361" s="75" t="str">
        <f>IF(AND(OR(LEFT(TH!N1361,2)="15",LEFT(TH!O1361,2)="15"),LEFT(TH!O1361,3)&lt;&gt;"111",'152-CT'!$J$8=TH!F1361),"x","")</f>
        <v/>
      </c>
      <c r="AC1361" s="75" t="str">
        <f>IF(AND(OR(LEFT(TH!N1361,2)="15",LEFT(TH!O1361,2)="15"),TK!$E$7=TH!F1361),"x","")</f>
        <v/>
      </c>
      <c r="AD1361" s="75" t="str">
        <f>IF(AND(N1361="1521",MONTH(C1361)='BK-NL'!$M$11),"x","")</f>
        <v/>
      </c>
    </row>
    <row r="1362" spans="1:30" s="1053" customFormat="1" ht="16.5" customHeight="1">
      <c r="A1362" s="309" t="str">
        <f>IF(B1362&lt;&gt;"",IF(AND(B1362='IN-TC'!$S$4,OR(TH!N1362="1111",TH!O1362="1111")),TH!D1362,""),"")</f>
        <v/>
      </c>
      <c r="B1362" s="1242">
        <f t="shared" si="307"/>
        <v>5</v>
      </c>
      <c r="C1362" s="292">
        <v>42884</v>
      </c>
      <c r="D1362" s="292" t="s">
        <v>1540</v>
      </c>
      <c r="E1362" s="292">
        <f t="shared" si="308"/>
        <v>42884</v>
      </c>
      <c r="F1362" s="67" t="s">
        <v>795</v>
      </c>
      <c r="G1362" s="925" t="s">
        <v>1481</v>
      </c>
      <c r="H1362" s="294" t="s">
        <v>796</v>
      </c>
      <c r="I1362" s="373">
        <v>2030</v>
      </c>
      <c r="J1362" s="379">
        <v>8800</v>
      </c>
      <c r="K1362" s="373"/>
      <c r="L1362" s="379"/>
      <c r="M1362" s="927">
        <f>I1362*J1362</f>
        <v>17864000</v>
      </c>
      <c r="N1362" s="295" t="s">
        <v>266</v>
      </c>
      <c r="O1362" s="295" t="s">
        <v>8</v>
      </c>
      <c r="P1362" s="75" t="str">
        <f>IF(AND('331-CT'!$E$7=TH!H1362,OR(N1362="331",O1362="331")),"x","")</f>
        <v/>
      </c>
      <c r="Q1362" s="75" t="str">
        <f>IF(AND(B1362='111'!$L$11,OR($N1362=$Q$7,$O1362=$Q$7)),"x","")</f>
        <v/>
      </c>
      <c r="R1362" s="75" t="str">
        <f>IF(AND($N1362=$Q$7,$B1362&lt;'111'!$L$11),"x","")</f>
        <v/>
      </c>
      <c r="S1362" s="75" t="str">
        <f>IF(AND($O1362=$Q$7,$B1362&lt;'111'!$L$11),"x","")</f>
        <v/>
      </c>
      <c r="T1362" s="75" t="str">
        <f>IF(ISERROR(FIND('112'!$M$9,G1362,1)),"",IF((AND(FIND('112'!$M$9,G1362,1)&gt;=1,B1362='112'!$K$9,OR($N1362='112'!$I$6,$O1362='112'!$I$6))),"x",""))</f>
        <v/>
      </c>
      <c r="U1362" s="75" t="str">
        <f>IF(ISERROR(FIND('112'!$M$9,G1362,1)),"",IF((AND(LEFT(G1362,2)=LEFT('112'!$M$9,2),B1362&lt;'112'!$K$9,$N1362='112'!$I$6)),"x",""))</f>
        <v/>
      </c>
      <c r="V1362" s="75" t="str">
        <f>IF(ISERROR(FIND('112'!$M$9,G1362,1)),"",IF((AND(RIGHT(G1362,2)=RIGHT('112'!$M$9,2),B1362&lt;'112'!$K$9,$O1362='112'!$I$6)),"x",""))</f>
        <v/>
      </c>
      <c r="W1362" s="75" t="str">
        <f>IF(AND('341-CT'!$H$9=H1362,OR(LEFT(N1362,3)=$W$7,LEFT(O1362,3)=$W$7)),"x","")</f>
        <v/>
      </c>
      <c r="X1362" s="75" t="str">
        <f>IF(OR(TH!N1362=TH!$X$7,O1362=TH!$X$7),"x","")</f>
        <v/>
      </c>
      <c r="Y1362" s="75" t="str">
        <f>IF(AND(OR(N1362="131",O1362="131"),H1362='131-CT'!$H$9),"x","")</f>
        <v/>
      </c>
      <c r="Z1362" s="75"/>
      <c r="AA1362" s="75" t="str">
        <f>IF(AND(MONTH(E1362)='IN-NX'!$J$5,'IN-NX'!$D$7=D1362),"x","")</f>
        <v/>
      </c>
      <c r="AB1362" s="75" t="str">
        <f>IF(AND(OR(LEFT(TH!N1362,2)="15",LEFT(TH!O1362,2)="15"),LEFT(TH!O1362,3)&lt;&gt;"111",'152-CT'!$J$8=TH!F1362),"x","")</f>
        <v/>
      </c>
      <c r="AC1362" s="75" t="str">
        <f>IF(AND(OR(LEFT(TH!N1362,2)="15",LEFT(TH!O1362,2)="15"),TK!$E$7=TH!F1362),"x","")</f>
        <v/>
      </c>
      <c r="AD1362" s="75" t="str">
        <f>IF(AND(N1362="1521",MONTH(C1362)='BK-NL'!$M$11),"x","")</f>
        <v/>
      </c>
    </row>
    <row r="1363" spans="1:30" s="1053" customFormat="1" ht="16.5" customHeight="1">
      <c r="A1363" s="309" t="str">
        <f>IF(B1363&lt;&gt;"",IF(AND(B1363='IN-TC'!$S$4,OR(TH!N1363="1111",TH!O1363="1111")),TH!D1363,""),"")</f>
        <v/>
      </c>
      <c r="B1363" s="1242">
        <f t="shared" ref="B1363:B1428" si="309">IF(C1363&lt;&gt;"",MONTH(C1363),"")</f>
        <v>5</v>
      </c>
      <c r="C1363" s="292">
        <v>42884</v>
      </c>
      <c r="D1363" s="292" t="s">
        <v>1540</v>
      </c>
      <c r="E1363" s="292">
        <f t="shared" si="308"/>
        <v>42884</v>
      </c>
      <c r="F1363" s="67" t="s">
        <v>1143</v>
      </c>
      <c r="G1363" s="925" t="s">
        <v>1481</v>
      </c>
      <c r="H1363" s="294" t="s">
        <v>796</v>
      </c>
      <c r="I1363" s="373"/>
      <c r="J1363" s="379"/>
      <c r="K1363" s="373"/>
      <c r="L1363" s="379"/>
      <c r="M1363" s="927">
        <v>1786400</v>
      </c>
      <c r="N1363" s="295" t="s">
        <v>9</v>
      </c>
      <c r="O1363" s="295" t="s">
        <v>8</v>
      </c>
      <c r="P1363" s="75" t="str">
        <f>IF(AND('331-CT'!$E$7=TH!H1363,OR(N1363="331",O1363="331")),"x","")</f>
        <v/>
      </c>
      <c r="Q1363" s="75" t="str">
        <f>IF(AND(B1363='111'!$L$11,OR($N1363=$Q$7,$O1363=$Q$7)),"x","")</f>
        <v/>
      </c>
      <c r="R1363" s="75" t="str">
        <f>IF(AND($N1363=$Q$7,$B1363&lt;'111'!$L$11),"x","")</f>
        <v/>
      </c>
      <c r="S1363" s="75" t="str">
        <f>IF(AND($O1363=$Q$7,$B1363&lt;'111'!$L$11),"x","")</f>
        <v/>
      </c>
      <c r="T1363" s="75" t="str">
        <f>IF(ISERROR(FIND('112'!$M$9,G1363,1)),"",IF((AND(FIND('112'!$M$9,G1363,1)&gt;=1,B1363='112'!$K$9,OR($N1363='112'!$I$6,$O1363='112'!$I$6))),"x",""))</f>
        <v/>
      </c>
      <c r="U1363" s="75" t="str">
        <f>IF(ISERROR(FIND('112'!$M$9,G1363,1)),"",IF((AND(LEFT(G1363,2)=LEFT('112'!$M$9,2),B1363&lt;'112'!$K$9,$N1363='112'!$I$6)),"x",""))</f>
        <v/>
      </c>
      <c r="V1363" s="75" t="str">
        <f>IF(ISERROR(FIND('112'!$M$9,G1363,1)),"",IF((AND(RIGHT(G1363,2)=RIGHT('112'!$M$9,2),B1363&lt;'112'!$K$9,$O1363='112'!$I$6)),"x",""))</f>
        <v/>
      </c>
      <c r="W1363" s="75" t="str">
        <f>IF(AND('341-CT'!$H$9=H1363,OR(LEFT(N1363,3)=$W$7,LEFT(O1363,3)=$W$7)),"x","")</f>
        <v/>
      </c>
      <c r="X1363" s="75" t="str">
        <f>IF(OR(TH!N1363=TH!$X$7,O1363=TH!$X$7),"x","")</f>
        <v/>
      </c>
      <c r="Y1363" s="75" t="str">
        <f>IF(AND(OR(N1363="131",O1363="131"),H1363='131-CT'!$H$9),"x","")</f>
        <v/>
      </c>
      <c r="Z1363" s="75"/>
      <c r="AA1363" s="75" t="str">
        <f>IF(AND(MONTH(E1363)='IN-NX'!$J$5,'IN-NX'!$D$7=D1363),"x","")</f>
        <v/>
      </c>
      <c r="AB1363" s="75" t="str">
        <f>IF(AND(OR(LEFT(TH!N1363,2)="15",LEFT(TH!O1363,2)="15"),LEFT(TH!O1363,3)&lt;&gt;"111",'152-CT'!$J$8=TH!F1363),"x","")</f>
        <v/>
      </c>
      <c r="AC1363" s="75" t="str">
        <f>IF(AND(OR(LEFT(TH!N1363,2)="15",LEFT(TH!O1363,2)="15"),TK!$E$7=TH!F1363),"x","")</f>
        <v/>
      </c>
      <c r="AD1363" s="75" t="str">
        <f>IF(AND(N1363="1521",MONTH(C1363)='BK-NL'!$M$11),"x","")</f>
        <v/>
      </c>
    </row>
    <row r="1364" spans="1:30" s="1053" customFormat="1" ht="16.5" customHeight="1">
      <c r="A1364" s="309" t="str">
        <f>IF(B1364&lt;&gt;"",IF(AND(B1364='IN-TC'!$S$4,OR(TH!N1364="1111",TH!O1364="1111")),TH!D1364,""),"")</f>
        <v/>
      </c>
      <c r="B1364" s="1242">
        <f t="shared" si="309"/>
        <v>5</v>
      </c>
      <c r="C1364" s="292">
        <v>42885</v>
      </c>
      <c r="D1364" s="292" t="s">
        <v>1685</v>
      </c>
      <c r="E1364" s="292">
        <f t="shared" si="308"/>
        <v>42885</v>
      </c>
      <c r="F1364" s="67" t="s">
        <v>795</v>
      </c>
      <c r="G1364" s="925" t="s">
        <v>1482</v>
      </c>
      <c r="H1364" s="294" t="s">
        <v>796</v>
      </c>
      <c r="I1364" s="373">
        <v>2030</v>
      </c>
      <c r="J1364" s="379">
        <v>8800</v>
      </c>
      <c r="K1364" s="373"/>
      <c r="L1364" s="379"/>
      <c r="M1364" s="927">
        <f>I1364*J1364</f>
        <v>17864000</v>
      </c>
      <c r="N1364" s="295" t="s">
        <v>266</v>
      </c>
      <c r="O1364" s="295" t="s">
        <v>8</v>
      </c>
      <c r="P1364" s="75" t="str">
        <f>IF(AND('331-CT'!$E$7=TH!H1364,OR(N1364="331",O1364="331")),"x","")</f>
        <v/>
      </c>
      <c r="Q1364" s="75" t="str">
        <f>IF(AND(B1364='111'!$L$11,OR($N1364=$Q$7,$O1364=$Q$7)),"x","")</f>
        <v/>
      </c>
      <c r="R1364" s="75" t="str">
        <f>IF(AND($N1364=$Q$7,$B1364&lt;'111'!$L$11),"x","")</f>
        <v/>
      </c>
      <c r="S1364" s="75" t="str">
        <f>IF(AND($O1364=$Q$7,$B1364&lt;'111'!$L$11),"x","")</f>
        <v/>
      </c>
      <c r="T1364" s="75" t="str">
        <f>IF(ISERROR(FIND('112'!$M$9,G1364,1)),"",IF((AND(FIND('112'!$M$9,G1364,1)&gt;=1,B1364='112'!$K$9,OR($N1364='112'!$I$6,$O1364='112'!$I$6))),"x",""))</f>
        <v/>
      </c>
      <c r="U1364" s="75" t="str">
        <f>IF(ISERROR(FIND('112'!$M$9,G1364,1)),"",IF((AND(LEFT(G1364,2)=LEFT('112'!$M$9,2),B1364&lt;'112'!$K$9,$N1364='112'!$I$6)),"x",""))</f>
        <v/>
      </c>
      <c r="V1364" s="75" t="str">
        <f>IF(ISERROR(FIND('112'!$M$9,G1364,1)),"",IF((AND(RIGHT(G1364,2)=RIGHT('112'!$M$9,2),B1364&lt;'112'!$K$9,$O1364='112'!$I$6)),"x",""))</f>
        <v/>
      </c>
      <c r="W1364" s="75" t="str">
        <f>IF(AND('341-CT'!$H$9=H1364,OR(LEFT(N1364,3)=$W$7,LEFT(O1364,3)=$W$7)),"x","")</f>
        <v/>
      </c>
      <c r="X1364" s="75" t="str">
        <f>IF(OR(TH!N1364=TH!$X$7,O1364=TH!$X$7),"x","")</f>
        <v/>
      </c>
      <c r="Y1364" s="75" t="str">
        <f>IF(AND(OR(N1364="131",O1364="131"),H1364='131-CT'!$H$9),"x","")</f>
        <v/>
      </c>
      <c r="Z1364" s="75"/>
      <c r="AA1364" s="75" t="str">
        <f>IF(AND(MONTH(E1364)='IN-NX'!$J$5,'IN-NX'!$D$7=D1364),"x","")</f>
        <v/>
      </c>
      <c r="AB1364" s="75" t="str">
        <f>IF(AND(OR(LEFT(TH!N1364,2)="15",LEFT(TH!O1364,2)="15"),LEFT(TH!O1364,3)&lt;&gt;"111",'152-CT'!$J$8=TH!F1364),"x","")</f>
        <v/>
      </c>
      <c r="AC1364" s="75" t="str">
        <f>IF(AND(OR(LEFT(TH!N1364,2)="15",LEFT(TH!O1364,2)="15"),TK!$E$7=TH!F1364),"x","")</f>
        <v/>
      </c>
      <c r="AD1364" s="75" t="str">
        <f>IF(AND(N1364="1521",MONTH(C1364)='BK-NL'!$M$11),"x","")</f>
        <v/>
      </c>
    </row>
    <row r="1365" spans="1:30" s="1053" customFormat="1" ht="16.5" customHeight="1">
      <c r="A1365" s="309" t="str">
        <f>IF(B1365&lt;&gt;"",IF(AND(B1365='IN-TC'!$S$4,OR(TH!N1365="1111",TH!O1365="1111")),TH!D1365,""),"")</f>
        <v/>
      </c>
      <c r="B1365" s="1242">
        <f t="shared" si="309"/>
        <v>5</v>
      </c>
      <c r="C1365" s="292">
        <v>42885</v>
      </c>
      <c r="D1365" s="292" t="s">
        <v>1685</v>
      </c>
      <c r="E1365" s="292">
        <f t="shared" si="308"/>
        <v>42885</v>
      </c>
      <c r="F1365" s="67" t="s">
        <v>1143</v>
      </c>
      <c r="G1365" s="925" t="s">
        <v>1482</v>
      </c>
      <c r="H1365" s="294" t="s">
        <v>796</v>
      </c>
      <c r="I1365" s="373"/>
      <c r="J1365" s="379"/>
      <c r="K1365" s="373"/>
      <c r="L1365" s="379"/>
      <c r="M1365" s="927">
        <v>1786400</v>
      </c>
      <c r="N1365" s="295" t="s">
        <v>9</v>
      </c>
      <c r="O1365" s="295" t="s">
        <v>8</v>
      </c>
      <c r="P1365" s="75" t="str">
        <f>IF(AND('331-CT'!$E$7=TH!H1365,OR(N1365="331",O1365="331")),"x","")</f>
        <v/>
      </c>
      <c r="Q1365" s="75" t="str">
        <f>IF(AND(B1365='111'!$L$11,OR($N1365=$Q$7,$O1365=$Q$7)),"x","")</f>
        <v/>
      </c>
      <c r="R1365" s="75" t="str">
        <f>IF(AND($N1365=$Q$7,$B1365&lt;'111'!$L$11),"x","")</f>
        <v/>
      </c>
      <c r="S1365" s="75" t="str">
        <f>IF(AND($O1365=$Q$7,$B1365&lt;'111'!$L$11),"x","")</f>
        <v/>
      </c>
      <c r="T1365" s="75" t="str">
        <f>IF(ISERROR(FIND('112'!$M$9,G1365,1)),"",IF((AND(FIND('112'!$M$9,G1365,1)&gt;=1,B1365='112'!$K$9,OR($N1365='112'!$I$6,$O1365='112'!$I$6))),"x",""))</f>
        <v/>
      </c>
      <c r="U1365" s="75" t="str">
        <f>IF(ISERROR(FIND('112'!$M$9,G1365,1)),"",IF((AND(LEFT(G1365,2)=LEFT('112'!$M$9,2),B1365&lt;'112'!$K$9,$N1365='112'!$I$6)),"x",""))</f>
        <v/>
      </c>
      <c r="V1365" s="75" t="str">
        <f>IF(ISERROR(FIND('112'!$M$9,G1365,1)),"",IF((AND(RIGHT(G1365,2)=RIGHT('112'!$M$9,2),B1365&lt;'112'!$K$9,$O1365='112'!$I$6)),"x",""))</f>
        <v/>
      </c>
      <c r="W1365" s="75" t="str">
        <f>IF(AND('341-CT'!$H$9=H1365,OR(LEFT(N1365,3)=$W$7,LEFT(O1365,3)=$W$7)),"x","")</f>
        <v/>
      </c>
      <c r="X1365" s="75" t="str">
        <f>IF(OR(TH!N1365=TH!$X$7,O1365=TH!$X$7),"x","")</f>
        <v/>
      </c>
      <c r="Y1365" s="75" t="str">
        <f>IF(AND(OR(N1365="131",O1365="131"),H1365='131-CT'!$H$9),"x","")</f>
        <v/>
      </c>
      <c r="Z1365" s="75"/>
      <c r="AA1365" s="75" t="str">
        <f>IF(AND(MONTH(E1365)='IN-NX'!$J$5,'IN-NX'!$D$7=D1365),"x","")</f>
        <v/>
      </c>
      <c r="AB1365" s="75" t="str">
        <f>IF(AND(OR(LEFT(TH!N1365,2)="15",LEFT(TH!O1365,2)="15"),LEFT(TH!O1365,3)&lt;&gt;"111",'152-CT'!$J$8=TH!F1365),"x","")</f>
        <v/>
      </c>
      <c r="AC1365" s="75" t="str">
        <f>IF(AND(OR(LEFT(TH!N1365,2)="15",LEFT(TH!O1365,2)="15"),TK!$E$7=TH!F1365),"x","")</f>
        <v/>
      </c>
      <c r="AD1365" s="75" t="str">
        <f>IF(AND(N1365="1521",MONTH(C1365)='BK-NL'!$M$11),"x","")</f>
        <v/>
      </c>
    </row>
    <row r="1366" spans="1:30" s="1053" customFormat="1" ht="16.5" customHeight="1">
      <c r="A1366" s="309" t="str">
        <f>IF(B1366&lt;&gt;"",IF(AND(B1366='IN-TC'!$S$4,OR(TH!N1366="1111",TH!O1366="1111")),TH!D1366,""),"")</f>
        <v/>
      </c>
      <c r="B1366" s="1242">
        <f t="shared" si="309"/>
        <v>5</v>
      </c>
      <c r="C1366" s="292">
        <v>42886</v>
      </c>
      <c r="D1366" s="292" t="s">
        <v>1687</v>
      </c>
      <c r="E1366" s="292">
        <f t="shared" si="308"/>
        <v>42886</v>
      </c>
      <c r="F1366" s="67" t="s">
        <v>795</v>
      </c>
      <c r="G1366" s="925" t="s">
        <v>1483</v>
      </c>
      <c r="H1366" s="294" t="s">
        <v>796</v>
      </c>
      <c r="I1366" s="373">
        <v>2030</v>
      </c>
      <c r="J1366" s="379">
        <v>8800</v>
      </c>
      <c r="K1366" s="373"/>
      <c r="L1366" s="379"/>
      <c r="M1366" s="927">
        <f>I1366*J1366</f>
        <v>17864000</v>
      </c>
      <c r="N1366" s="295" t="s">
        <v>266</v>
      </c>
      <c r="O1366" s="295" t="s">
        <v>8</v>
      </c>
      <c r="P1366" s="75" t="str">
        <f>IF(AND('331-CT'!$E$7=TH!H1366,OR(N1366="331",O1366="331")),"x","")</f>
        <v/>
      </c>
      <c r="Q1366" s="75" t="str">
        <f>IF(AND(B1366='111'!$L$11,OR($N1366=$Q$7,$O1366=$Q$7)),"x","")</f>
        <v/>
      </c>
      <c r="R1366" s="75" t="str">
        <f>IF(AND($N1366=$Q$7,$B1366&lt;'111'!$L$11),"x","")</f>
        <v/>
      </c>
      <c r="S1366" s="75" t="str">
        <f>IF(AND($O1366=$Q$7,$B1366&lt;'111'!$L$11),"x","")</f>
        <v/>
      </c>
      <c r="T1366" s="75" t="str">
        <f>IF(ISERROR(FIND('112'!$M$9,G1366,1)),"",IF((AND(FIND('112'!$M$9,G1366,1)&gt;=1,B1366='112'!$K$9,OR($N1366='112'!$I$6,$O1366='112'!$I$6))),"x",""))</f>
        <v/>
      </c>
      <c r="U1366" s="75" t="str">
        <f>IF(ISERROR(FIND('112'!$M$9,G1366,1)),"",IF((AND(LEFT(G1366,2)=LEFT('112'!$M$9,2),B1366&lt;'112'!$K$9,$N1366='112'!$I$6)),"x",""))</f>
        <v/>
      </c>
      <c r="V1366" s="75" t="str">
        <f>IF(ISERROR(FIND('112'!$M$9,G1366,1)),"",IF((AND(RIGHT(G1366,2)=RIGHT('112'!$M$9,2),B1366&lt;'112'!$K$9,$O1366='112'!$I$6)),"x",""))</f>
        <v/>
      </c>
      <c r="W1366" s="75" t="str">
        <f>IF(AND('341-CT'!$H$9=H1366,OR(LEFT(N1366,3)=$W$7,LEFT(O1366,3)=$W$7)),"x","")</f>
        <v/>
      </c>
      <c r="X1366" s="75" t="str">
        <f>IF(OR(TH!N1366=TH!$X$7,O1366=TH!$X$7),"x","")</f>
        <v/>
      </c>
      <c r="Y1366" s="75" t="str">
        <f>IF(AND(OR(N1366="131",O1366="131"),H1366='131-CT'!$H$9),"x","")</f>
        <v/>
      </c>
      <c r="Z1366" s="75"/>
      <c r="AA1366" s="75" t="str">
        <f>IF(AND(MONTH(E1366)='IN-NX'!$J$5,'IN-NX'!$D$7=D1366),"x","")</f>
        <v/>
      </c>
      <c r="AB1366" s="75" t="str">
        <f>IF(AND(OR(LEFT(TH!N1366,2)="15",LEFT(TH!O1366,2)="15"),LEFT(TH!O1366,3)&lt;&gt;"111",'152-CT'!$J$8=TH!F1366),"x","")</f>
        <v/>
      </c>
      <c r="AC1366" s="75" t="str">
        <f>IF(AND(OR(LEFT(TH!N1366,2)="15",LEFT(TH!O1366,2)="15"),TK!$E$7=TH!F1366),"x","")</f>
        <v/>
      </c>
      <c r="AD1366" s="75" t="str">
        <f>IF(AND(N1366="1521",MONTH(C1366)='BK-NL'!$M$11),"x","")</f>
        <v/>
      </c>
    </row>
    <row r="1367" spans="1:30" s="1053" customFormat="1" ht="16.5" customHeight="1">
      <c r="A1367" s="309" t="str">
        <f>IF(B1367&lt;&gt;"",IF(AND(B1367='IN-TC'!$S$4,OR(TH!N1367="1111",TH!O1367="1111")),TH!D1367,""),"")</f>
        <v/>
      </c>
      <c r="B1367" s="1242">
        <f t="shared" si="309"/>
        <v>5</v>
      </c>
      <c r="C1367" s="292">
        <v>42886</v>
      </c>
      <c r="D1367" s="292" t="s">
        <v>1687</v>
      </c>
      <c r="E1367" s="292">
        <f t="shared" si="308"/>
        <v>42886</v>
      </c>
      <c r="F1367" s="67" t="s">
        <v>1143</v>
      </c>
      <c r="G1367" s="925" t="s">
        <v>1483</v>
      </c>
      <c r="H1367" s="294" t="s">
        <v>796</v>
      </c>
      <c r="I1367" s="373"/>
      <c r="J1367" s="379"/>
      <c r="K1367" s="373"/>
      <c r="L1367" s="379"/>
      <c r="M1367" s="927">
        <v>1786400</v>
      </c>
      <c r="N1367" s="295" t="s">
        <v>9</v>
      </c>
      <c r="O1367" s="295" t="s">
        <v>8</v>
      </c>
      <c r="P1367" s="75" t="str">
        <f>IF(AND('331-CT'!$E$7=TH!H1367,OR(N1367="331",O1367="331")),"x","")</f>
        <v/>
      </c>
      <c r="Q1367" s="75" t="str">
        <f>IF(AND(B1367='111'!$L$11,OR($N1367=$Q$7,$O1367=$Q$7)),"x","")</f>
        <v/>
      </c>
      <c r="R1367" s="75" t="str">
        <f>IF(AND($N1367=$Q$7,$B1367&lt;'111'!$L$11),"x","")</f>
        <v/>
      </c>
      <c r="S1367" s="75" t="str">
        <f>IF(AND($O1367=$Q$7,$B1367&lt;'111'!$L$11),"x","")</f>
        <v/>
      </c>
      <c r="T1367" s="75" t="str">
        <f>IF(ISERROR(FIND('112'!$M$9,G1367,1)),"",IF((AND(FIND('112'!$M$9,G1367,1)&gt;=1,B1367='112'!$K$9,OR($N1367='112'!$I$6,$O1367='112'!$I$6))),"x",""))</f>
        <v/>
      </c>
      <c r="U1367" s="75" t="str">
        <f>IF(ISERROR(FIND('112'!$M$9,G1367,1)),"",IF((AND(LEFT(G1367,2)=LEFT('112'!$M$9,2),B1367&lt;'112'!$K$9,$N1367='112'!$I$6)),"x",""))</f>
        <v/>
      </c>
      <c r="V1367" s="75" t="str">
        <f>IF(ISERROR(FIND('112'!$M$9,G1367,1)),"",IF((AND(RIGHT(G1367,2)=RIGHT('112'!$M$9,2),B1367&lt;'112'!$K$9,$O1367='112'!$I$6)),"x",""))</f>
        <v/>
      </c>
      <c r="W1367" s="75" t="str">
        <f>IF(AND('341-CT'!$H$9=H1367,OR(LEFT(N1367,3)=$W$7,LEFT(O1367,3)=$W$7)),"x","")</f>
        <v/>
      </c>
      <c r="X1367" s="75" t="str">
        <f>IF(OR(TH!N1367=TH!$X$7,O1367=TH!$X$7),"x","")</f>
        <v/>
      </c>
      <c r="Y1367" s="75" t="str">
        <f>IF(AND(OR(N1367="131",O1367="131"),H1367='131-CT'!$H$9),"x","")</f>
        <v/>
      </c>
      <c r="Z1367" s="75"/>
      <c r="AA1367" s="75" t="str">
        <f>IF(AND(MONTH(E1367)='IN-NX'!$J$5,'IN-NX'!$D$7=D1367),"x","")</f>
        <v/>
      </c>
      <c r="AB1367" s="75" t="str">
        <f>IF(AND(OR(LEFT(TH!N1367,2)="15",LEFT(TH!O1367,2)="15"),LEFT(TH!O1367,3)&lt;&gt;"111",'152-CT'!$J$8=TH!F1367),"x","")</f>
        <v/>
      </c>
      <c r="AC1367" s="75" t="str">
        <f>IF(AND(OR(LEFT(TH!N1367,2)="15",LEFT(TH!O1367,2)="15"),TK!$E$7=TH!F1367),"x","")</f>
        <v/>
      </c>
      <c r="AD1367" s="75" t="str">
        <f>IF(AND(N1367="1521",MONTH(C1367)='BK-NL'!$M$11),"x","")</f>
        <v/>
      </c>
    </row>
    <row r="1368" spans="1:30" s="1053" customFormat="1" ht="16.5" customHeight="1">
      <c r="A1368" s="309" t="str">
        <f>IF(B1368&lt;&gt;"",IF(AND(B1368='IN-TC'!$S$4,OR(TH!N1368="1111",TH!O1368="1111")),TH!D1368,""),"")</f>
        <v/>
      </c>
      <c r="B1368" s="1242">
        <f t="shared" si="309"/>
        <v>5</v>
      </c>
      <c r="C1368" s="292">
        <v>42886</v>
      </c>
      <c r="D1368" s="292" t="s">
        <v>1689</v>
      </c>
      <c r="E1368" s="292">
        <f t="shared" si="308"/>
        <v>42886</v>
      </c>
      <c r="F1368" s="67" t="s">
        <v>795</v>
      </c>
      <c r="G1368" s="925" t="s">
        <v>1690</v>
      </c>
      <c r="H1368" s="294" t="s">
        <v>1684</v>
      </c>
      <c r="I1368" s="373">
        <v>2030</v>
      </c>
      <c r="J1368" s="379">
        <v>8800</v>
      </c>
      <c r="K1368" s="373"/>
      <c r="L1368" s="379"/>
      <c r="M1368" s="927">
        <f>I1368*J1368</f>
        <v>17864000</v>
      </c>
      <c r="N1368" s="295" t="s">
        <v>266</v>
      </c>
      <c r="O1368" s="295" t="s">
        <v>8</v>
      </c>
      <c r="P1368" s="75" t="str">
        <f>IF(AND('331-CT'!$E$7=TH!H1368,OR(N1368="331",O1368="331")),"x","")</f>
        <v/>
      </c>
      <c r="Q1368" s="75" t="str">
        <f>IF(AND(B1368='111'!$L$11,OR($N1368=$Q$7,$O1368=$Q$7)),"x","")</f>
        <v/>
      </c>
      <c r="R1368" s="75" t="str">
        <f>IF(AND($N1368=$Q$7,$B1368&lt;'111'!$L$11),"x","")</f>
        <v/>
      </c>
      <c r="S1368" s="75" t="str">
        <f>IF(AND($O1368=$Q$7,$B1368&lt;'111'!$L$11),"x","")</f>
        <v/>
      </c>
      <c r="T1368" s="75" t="str">
        <f>IF(ISERROR(FIND('112'!$M$9,G1368,1)),"",IF((AND(FIND('112'!$M$9,G1368,1)&gt;=1,B1368='112'!$K$9,OR($N1368='112'!$I$6,$O1368='112'!$I$6))),"x",""))</f>
        <v/>
      </c>
      <c r="U1368" s="75" t="str">
        <f>IF(ISERROR(FIND('112'!$M$9,G1368,1)),"",IF((AND(LEFT(G1368,2)=LEFT('112'!$M$9,2),B1368&lt;'112'!$K$9,$N1368='112'!$I$6)),"x",""))</f>
        <v/>
      </c>
      <c r="V1368" s="75" t="str">
        <f>IF(ISERROR(FIND('112'!$M$9,G1368,1)),"",IF((AND(RIGHT(G1368,2)=RIGHT('112'!$M$9,2),B1368&lt;'112'!$K$9,$O1368='112'!$I$6)),"x",""))</f>
        <v/>
      </c>
      <c r="W1368" s="75" t="str">
        <f>IF(AND('341-CT'!$H$9=H1368,OR(LEFT(N1368,3)=$W$7,LEFT(O1368,3)=$W$7)),"x","")</f>
        <v/>
      </c>
      <c r="X1368" s="75" t="str">
        <f>IF(OR(TH!N1368=TH!$X$7,O1368=TH!$X$7),"x","")</f>
        <v/>
      </c>
      <c r="Y1368" s="75" t="str">
        <f>IF(AND(OR(N1368="131",O1368="131"),H1368='131-CT'!$H$9),"x","")</f>
        <v/>
      </c>
      <c r="Z1368" s="75"/>
      <c r="AA1368" s="75" t="str">
        <f>IF(AND(MONTH(E1368)='IN-NX'!$J$5,'IN-NX'!$D$7=D1368),"x","")</f>
        <v/>
      </c>
      <c r="AB1368" s="75" t="str">
        <f>IF(AND(OR(LEFT(TH!N1368,2)="15",LEFT(TH!O1368,2)="15"),LEFT(TH!O1368,3)&lt;&gt;"111",'152-CT'!$J$8=TH!F1368),"x","")</f>
        <v/>
      </c>
      <c r="AC1368" s="75" t="str">
        <f>IF(AND(OR(LEFT(TH!N1368,2)="15",LEFT(TH!O1368,2)="15"),TK!$E$7=TH!F1368),"x","")</f>
        <v/>
      </c>
      <c r="AD1368" s="75" t="str">
        <f>IF(AND(N1368="1521",MONTH(C1368)='BK-NL'!$M$11),"x","")</f>
        <v/>
      </c>
    </row>
    <row r="1369" spans="1:30" s="1053" customFormat="1" ht="16.5" customHeight="1">
      <c r="A1369" s="309" t="str">
        <f>IF(B1369&lt;&gt;"",IF(AND(B1369='IN-TC'!$S$4,OR(TH!N1369="1111",TH!O1369="1111")),TH!D1369,""),"")</f>
        <v/>
      </c>
      <c r="B1369" s="1242">
        <f t="shared" si="309"/>
        <v>5</v>
      </c>
      <c r="C1369" s="292">
        <v>42886</v>
      </c>
      <c r="D1369" s="292" t="s">
        <v>1689</v>
      </c>
      <c r="E1369" s="292">
        <f t="shared" si="308"/>
        <v>42886</v>
      </c>
      <c r="F1369" s="67" t="s">
        <v>1143</v>
      </c>
      <c r="G1369" s="925" t="s">
        <v>1690</v>
      </c>
      <c r="H1369" s="294" t="s">
        <v>1684</v>
      </c>
      <c r="I1369" s="373"/>
      <c r="J1369" s="379"/>
      <c r="K1369" s="373"/>
      <c r="L1369" s="379"/>
      <c r="M1369" s="927">
        <v>1786400</v>
      </c>
      <c r="N1369" s="295" t="s">
        <v>9</v>
      </c>
      <c r="O1369" s="295" t="s">
        <v>8</v>
      </c>
      <c r="P1369" s="75" t="str">
        <f>IF(AND('331-CT'!$E$7=TH!H1369,OR(N1369="331",O1369="331")),"x","")</f>
        <v/>
      </c>
      <c r="Q1369" s="75" t="str">
        <f>IF(AND(B1369='111'!$L$11,OR($N1369=$Q$7,$O1369=$Q$7)),"x","")</f>
        <v/>
      </c>
      <c r="R1369" s="75" t="str">
        <f>IF(AND($N1369=$Q$7,$B1369&lt;'111'!$L$11),"x","")</f>
        <v/>
      </c>
      <c r="S1369" s="75" t="str">
        <f>IF(AND($O1369=$Q$7,$B1369&lt;'111'!$L$11),"x","")</f>
        <v/>
      </c>
      <c r="T1369" s="75" t="str">
        <f>IF(ISERROR(FIND('112'!$M$9,G1369,1)),"",IF((AND(FIND('112'!$M$9,G1369,1)&gt;=1,B1369='112'!$K$9,OR($N1369='112'!$I$6,$O1369='112'!$I$6))),"x",""))</f>
        <v/>
      </c>
      <c r="U1369" s="75" t="str">
        <f>IF(ISERROR(FIND('112'!$M$9,G1369,1)),"",IF((AND(LEFT(G1369,2)=LEFT('112'!$M$9,2),B1369&lt;'112'!$K$9,$N1369='112'!$I$6)),"x",""))</f>
        <v/>
      </c>
      <c r="V1369" s="75" t="str">
        <f>IF(ISERROR(FIND('112'!$M$9,G1369,1)),"",IF((AND(RIGHT(G1369,2)=RIGHT('112'!$M$9,2),B1369&lt;'112'!$K$9,$O1369='112'!$I$6)),"x",""))</f>
        <v/>
      </c>
      <c r="W1369" s="75" t="str">
        <f>IF(AND('341-CT'!$H$9=H1369,OR(LEFT(N1369,3)=$W$7,LEFT(O1369,3)=$W$7)),"x","")</f>
        <v/>
      </c>
      <c r="X1369" s="75" t="str">
        <f>IF(OR(TH!N1369=TH!$X$7,O1369=TH!$X$7),"x","")</f>
        <v/>
      </c>
      <c r="Y1369" s="75" t="str">
        <f>IF(AND(OR(N1369="131",O1369="131"),H1369='131-CT'!$H$9),"x","")</f>
        <v/>
      </c>
      <c r="Z1369" s="75"/>
      <c r="AA1369" s="75" t="str">
        <f>IF(AND(MONTH(E1369)='IN-NX'!$J$5,'IN-NX'!$D$7=D1369),"x","")</f>
        <v/>
      </c>
      <c r="AB1369" s="75" t="str">
        <f>IF(AND(OR(LEFT(TH!N1369,2)="15",LEFT(TH!O1369,2)="15"),LEFT(TH!O1369,3)&lt;&gt;"111",'152-CT'!$J$8=TH!F1369),"x","")</f>
        <v/>
      </c>
      <c r="AC1369" s="75" t="str">
        <f>IF(AND(OR(LEFT(TH!N1369,2)="15",LEFT(TH!O1369,2)="15"),TK!$E$7=TH!F1369),"x","")</f>
        <v/>
      </c>
      <c r="AD1369" s="75" t="str">
        <f>IF(AND(N1369="1521",MONTH(C1369)='BK-NL'!$M$11),"x","")</f>
        <v/>
      </c>
    </row>
    <row r="1370" spans="1:30" ht="16.5" customHeight="1">
      <c r="A1370" s="309" t="str">
        <f>IF(B1370&lt;&gt;"",IF(AND(B1370='IN-TC'!$S$4,OR(TH!N1370="1111",TH!O1370="1111")),TH!D1370,""),"")</f>
        <v/>
      </c>
      <c r="B1370" s="1242">
        <f t="shared" si="309"/>
        <v>5</v>
      </c>
      <c r="C1370" s="929">
        <f t="shared" ref="C1370:C1428" si="310">E1370</f>
        <v>42857</v>
      </c>
      <c r="D1370" s="929" t="s">
        <v>2951</v>
      </c>
      <c r="E1370" s="929">
        <v>42857</v>
      </c>
      <c r="F1370" s="1082" t="s">
        <v>327</v>
      </c>
      <c r="G1370" s="931"/>
      <c r="H1370" s="735" t="s">
        <v>424</v>
      </c>
      <c r="I1370" s="371">
        <v>150</v>
      </c>
      <c r="J1370" s="377">
        <v>32200</v>
      </c>
      <c r="K1370" s="371"/>
      <c r="L1370" s="377"/>
      <c r="M1370" s="933">
        <f t="shared" ref="M1370:M1428" si="311">ROUND(I1370*J1370,0)</f>
        <v>4830000</v>
      </c>
      <c r="N1370" s="934" t="s">
        <v>272</v>
      </c>
      <c r="O1370" s="934" t="s">
        <v>266</v>
      </c>
      <c r="P1370" s="75" t="str">
        <f>IF(AND('331-CT'!$E$7=TH!H1370,OR(N1370="331",O1370="331")),"x","")</f>
        <v/>
      </c>
      <c r="Q1370" s="75" t="str">
        <f>IF(AND(B1370='111'!$L$11,OR($N1370=$Q$7,$O1370=$Q$7)),"x","")</f>
        <v/>
      </c>
      <c r="R1370" s="75" t="str">
        <f>IF(AND($N1370=$Q$7,$B1370&lt;'111'!$L$11),"x","")</f>
        <v/>
      </c>
      <c r="S1370" s="75" t="str">
        <f>IF(AND($O1370=$Q$7,$B1370&lt;'111'!$L$11),"x","")</f>
        <v/>
      </c>
      <c r="T1370" s="75" t="str">
        <f>IF(ISERROR(FIND('112'!$M$9,G1370,1)),"",IF((AND(FIND('112'!$M$9,G1370,1)&gt;=1,B1370='112'!$K$9,OR($N1370='112'!$I$6,$O1370='112'!$I$6))),"x",""))</f>
        <v/>
      </c>
      <c r="U1370" s="75" t="str">
        <f>IF(ISERROR(FIND('112'!$M$9,G1370,1)),"",IF((AND(LEFT(G1370,2)=LEFT('112'!$M$9,2),B1370&lt;'112'!$K$9,$N1370='112'!$I$6)),"x",""))</f>
        <v/>
      </c>
      <c r="V1370" s="75" t="str">
        <f>IF(ISERROR(FIND('112'!$M$9,G1370,1)),"",IF((AND(RIGHT(G1370,2)=RIGHT('112'!$M$9,2),B1370&lt;'112'!$K$9,$O1370='112'!$I$6)),"x",""))</f>
        <v/>
      </c>
      <c r="W1370" s="75" t="str">
        <f>IF(AND('341-CT'!$H$9=H1370,OR(LEFT(N1370,3)=$W$7,LEFT(O1370,3)=$W$7)),"x","")</f>
        <v/>
      </c>
      <c r="X1370" s="75" t="str">
        <f>IF(OR(TH!N1370=TH!$X$7,O1370=TH!$X$7),"x","")</f>
        <v/>
      </c>
      <c r="Y1370" s="75" t="str">
        <f>IF(AND(OR(N1370="131",O1370="131"),H1370='131-CT'!$H$9),"x","")</f>
        <v/>
      </c>
      <c r="Z1370" s="75"/>
      <c r="AA1370" s="75" t="str">
        <f>IF(AND(MONTH(E1370)='IN-NX'!$J$5,'IN-NX'!$D$7=D1370),"x","")</f>
        <v/>
      </c>
      <c r="AB1370" s="75" t="str">
        <f>IF(AND(OR(LEFT(TH!N1370,2)="15",LEFT(TH!O1370,2)="15"),LEFT(TH!O1370,3)&lt;&gt;"111",'152-CT'!$J$8=TH!F1370),"x","")</f>
        <v/>
      </c>
      <c r="AC1370" s="75" t="str">
        <f>IF(AND(OR(LEFT(TH!N1370,2)="15",LEFT(TH!O1370,2)="15"),TK!$E$7=TH!F1370),"x","")</f>
        <v/>
      </c>
      <c r="AD1370" s="75" t="str">
        <f>IF(AND(N1370="1521",MONTH(C1370)='BK-NL'!$M$11),"x","")</f>
        <v/>
      </c>
    </row>
    <row r="1371" spans="1:30" ht="16.5" customHeight="1">
      <c r="A1371" s="309" t="str">
        <f>IF(B1371&lt;&gt;"",IF(AND(B1371='IN-TC'!$S$4,OR(TH!N1371="1111",TH!O1371="1111")),TH!D1371,""),"")</f>
        <v/>
      </c>
      <c r="B1371" s="1242">
        <f t="shared" si="309"/>
        <v>5</v>
      </c>
      <c r="C1371" s="929">
        <f t="shared" si="310"/>
        <v>42857</v>
      </c>
      <c r="D1371" s="929" t="s">
        <v>2951</v>
      </c>
      <c r="E1371" s="929">
        <v>42857</v>
      </c>
      <c r="F1371" s="1082" t="s">
        <v>333</v>
      </c>
      <c r="G1371" s="931"/>
      <c r="H1371" s="735" t="s">
        <v>424</v>
      </c>
      <c r="I1371" s="371">
        <v>150</v>
      </c>
      <c r="J1371" s="377">
        <v>49808.000000000007</v>
      </c>
      <c r="K1371" s="371"/>
      <c r="L1371" s="377"/>
      <c r="M1371" s="933">
        <f t="shared" si="311"/>
        <v>7471200</v>
      </c>
      <c r="N1371" s="934" t="s">
        <v>272</v>
      </c>
      <c r="O1371" s="934" t="s">
        <v>266</v>
      </c>
      <c r="P1371" s="75" t="str">
        <f>IF(AND('331-CT'!$E$7=TH!H1371,OR(N1371="331",O1371="331")),"x","")</f>
        <v/>
      </c>
      <c r="Q1371" s="75" t="str">
        <f>IF(AND(B1371='111'!$L$11,OR($N1371=$Q$7,$O1371=$Q$7)),"x","")</f>
        <v/>
      </c>
      <c r="R1371" s="75" t="str">
        <f>IF(AND($N1371=$Q$7,$B1371&lt;'111'!$L$11),"x","")</f>
        <v/>
      </c>
      <c r="S1371" s="75" t="str">
        <f>IF(AND($O1371=$Q$7,$B1371&lt;'111'!$L$11),"x","")</f>
        <v/>
      </c>
      <c r="T1371" s="75" t="str">
        <f>IF(ISERROR(FIND('112'!$M$9,G1371,1)),"",IF((AND(FIND('112'!$M$9,G1371,1)&gt;=1,B1371='112'!$K$9,OR($N1371='112'!$I$6,$O1371='112'!$I$6))),"x",""))</f>
        <v/>
      </c>
      <c r="U1371" s="75" t="str">
        <f>IF(ISERROR(FIND('112'!$M$9,G1371,1)),"",IF((AND(LEFT(G1371,2)=LEFT('112'!$M$9,2),B1371&lt;'112'!$K$9,$N1371='112'!$I$6)),"x",""))</f>
        <v/>
      </c>
      <c r="V1371" s="75" t="str">
        <f>IF(ISERROR(FIND('112'!$M$9,G1371,1)),"",IF((AND(RIGHT(G1371,2)=RIGHT('112'!$M$9,2),B1371&lt;'112'!$K$9,$O1371='112'!$I$6)),"x",""))</f>
        <v/>
      </c>
      <c r="W1371" s="75" t="str">
        <f>IF(AND('341-CT'!$H$9=H1371,OR(LEFT(N1371,3)=$W$7,LEFT(O1371,3)=$W$7)),"x","")</f>
        <v/>
      </c>
      <c r="X1371" s="75" t="str">
        <f>IF(OR(TH!N1371=TH!$X$7,O1371=TH!$X$7),"x","")</f>
        <v/>
      </c>
      <c r="Y1371" s="75" t="str">
        <f>IF(AND(OR(N1371="131",O1371="131"),H1371='131-CT'!$H$9),"x","")</f>
        <v/>
      </c>
      <c r="Z1371" s="75"/>
      <c r="AA1371" s="75" t="str">
        <f>IF(AND(MONTH(E1371)='IN-NX'!$J$5,'IN-NX'!$D$7=D1371),"x","")</f>
        <v/>
      </c>
      <c r="AB1371" s="75" t="str">
        <f>IF(AND(OR(LEFT(TH!N1371,2)="15",LEFT(TH!O1371,2)="15"),LEFT(TH!O1371,3)&lt;&gt;"111",'152-CT'!$J$8=TH!F1371),"x","")</f>
        <v/>
      </c>
      <c r="AC1371" s="75" t="str">
        <f>IF(AND(OR(LEFT(TH!N1371,2)="15",LEFT(TH!O1371,2)="15"),TK!$E$7=TH!F1371),"x","")</f>
        <v/>
      </c>
      <c r="AD1371" s="75" t="str">
        <f>IF(AND(N1371="1521",MONTH(C1371)='BK-NL'!$M$11),"x","")</f>
        <v/>
      </c>
    </row>
    <row r="1372" spans="1:30" ht="16.5" customHeight="1">
      <c r="A1372" s="309" t="str">
        <f>IF(B1372&lt;&gt;"",IF(AND(B1372='IN-TC'!$S$4,OR(TH!N1372="1111",TH!O1372="1111")),TH!D1372,""),"")</f>
        <v/>
      </c>
      <c r="B1372" s="1242">
        <f t="shared" si="309"/>
        <v>5</v>
      </c>
      <c r="C1372" s="929">
        <f t="shared" si="310"/>
        <v>42857</v>
      </c>
      <c r="D1372" s="929" t="s">
        <v>2951</v>
      </c>
      <c r="E1372" s="929">
        <v>42857</v>
      </c>
      <c r="F1372" s="1082" t="s">
        <v>336</v>
      </c>
      <c r="G1372" s="931"/>
      <c r="H1372" s="735" t="s">
        <v>424</v>
      </c>
      <c r="I1372" s="371">
        <v>420</v>
      </c>
      <c r="J1372" s="377">
        <v>15836.734761904761</v>
      </c>
      <c r="K1372" s="371"/>
      <c r="L1372" s="377"/>
      <c r="M1372" s="933">
        <f t="shared" si="311"/>
        <v>6651429</v>
      </c>
      <c r="N1372" s="934" t="s">
        <v>272</v>
      </c>
      <c r="O1372" s="934" t="s">
        <v>266</v>
      </c>
      <c r="P1372" s="75" t="str">
        <f>IF(AND('331-CT'!$E$7=TH!H1372,OR(N1372="331",O1372="331")),"x","")</f>
        <v/>
      </c>
      <c r="Q1372" s="75" t="str">
        <f>IF(AND(B1372='111'!$L$11,OR($N1372=$Q$7,$O1372=$Q$7)),"x","")</f>
        <v/>
      </c>
      <c r="R1372" s="75" t="str">
        <f>IF(AND($N1372=$Q$7,$B1372&lt;'111'!$L$11),"x","")</f>
        <v/>
      </c>
      <c r="S1372" s="75" t="str">
        <f>IF(AND($O1372=$Q$7,$B1372&lt;'111'!$L$11),"x","")</f>
        <v/>
      </c>
      <c r="T1372" s="75" t="str">
        <f>IF(ISERROR(FIND('112'!$M$9,G1372,1)),"",IF((AND(FIND('112'!$M$9,G1372,1)&gt;=1,B1372='112'!$K$9,OR($N1372='112'!$I$6,$O1372='112'!$I$6))),"x",""))</f>
        <v/>
      </c>
      <c r="U1372" s="75" t="str">
        <f>IF(ISERROR(FIND('112'!$M$9,G1372,1)),"",IF((AND(LEFT(G1372,2)=LEFT('112'!$M$9,2),B1372&lt;'112'!$K$9,$N1372='112'!$I$6)),"x",""))</f>
        <v/>
      </c>
      <c r="V1372" s="75" t="str">
        <f>IF(ISERROR(FIND('112'!$M$9,G1372,1)),"",IF((AND(RIGHT(G1372,2)=RIGHT('112'!$M$9,2),B1372&lt;'112'!$K$9,$O1372='112'!$I$6)),"x",""))</f>
        <v/>
      </c>
      <c r="W1372" s="75" t="str">
        <f>IF(AND('341-CT'!$H$9=H1372,OR(LEFT(N1372,3)=$W$7,LEFT(O1372,3)=$W$7)),"x","")</f>
        <v/>
      </c>
      <c r="X1372" s="75" t="str">
        <f>IF(OR(TH!N1372=TH!$X$7,O1372=TH!$X$7),"x","")</f>
        <v/>
      </c>
      <c r="Y1372" s="75" t="str">
        <f>IF(AND(OR(N1372="131",O1372="131"),H1372='131-CT'!$H$9),"x","")</f>
        <v/>
      </c>
      <c r="Z1372" s="75"/>
      <c r="AA1372" s="75" t="str">
        <f>IF(AND(MONTH(E1372)='IN-NX'!$J$5,'IN-NX'!$D$7=D1372),"x","")</f>
        <v/>
      </c>
      <c r="AB1372" s="75" t="str">
        <f>IF(AND(OR(LEFT(TH!N1372,2)="15",LEFT(TH!O1372,2)="15"),LEFT(TH!O1372,3)&lt;&gt;"111",'152-CT'!$J$8=TH!F1372),"x","")</f>
        <v/>
      </c>
      <c r="AC1372" s="75" t="str">
        <f>IF(AND(OR(LEFT(TH!N1372,2)="15",LEFT(TH!O1372,2)="15"),TK!$E$7=TH!F1372),"x","")</f>
        <v>x</v>
      </c>
      <c r="AD1372" s="75" t="str">
        <f>IF(AND(N1372="1521",MONTH(C1372)='BK-NL'!$M$11),"x","")</f>
        <v/>
      </c>
    </row>
    <row r="1373" spans="1:30" ht="16.5" customHeight="1">
      <c r="A1373" s="309" t="str">
        <f>IF(B1373&lt;&gt;"",IF(AND(B1373='IN-TC'!$S$4,OR(TH!N1373="1111",TH!O1373="1111")),TH!D1373,""),"")</f>
        <v/>
      </c>
      <c r="B1373" s="1242">
        <f t="shared" si="309"/>
        <v>5</v>
      </c>
      <c r="C1373" s="929">
        <f t="shared" si="310"/>
        <v>42857</v>
      </c>
      <c r="D1373" s="929" t="s">
        <v>2951</v>
      </c>
      <c r="E1373" s="929">
        <v>42857</v>
      </c>
      <c r="F1373" s="1082" t="s">
        <v>804</v>
      </c>
      <c r="G1373" s="931"/>
      <c r="H1373" s="735" t="s">
        <v>424</v>
      </c>
      <c r="I1373" s="371">
        <v>40</v>
      </c>
      <c r="J1373" s="377">
        <v>53000</v>
      </c>
      <c r="K1373" s="371"/>
      <c r="L1373" s="377"/>
      <c r="M1373" s="933">
        <f t="shared" si="311"/>
        <v>2120000</v>
      </c>
      <c r="N1373" s="934" t="s">
        <v>272</v>
      </c>
      <c r="O1373" s="934" t="s">
        <v>266</v>
      </c>
      <c r="P1373" s="75" t="str">
        <f>IF(AND('331-CT'!$E$7=TH!H1373,OR(N1373="331",O1373="331")),"x","")</f>
        <v/>
      </c>
      <c r="Q1373" s="75" t="str">
        <f>IF(AND(B1373='111'!$L$11,OR($N1373=$Q$7,$O1373=$Q$7)),"x","")</f>
        <v/>
      </c>
      <c r="R1373" s="75" t="str">
        <f>IF(AND($N1373=$Q$7,$B1373&lt;'111'!$L$11),"x","")</f>
        <v/>
      </c>
      <c r="S1373" s="75" t="str">
        <f>IF(AND($O1373=$Q$7,$B1373&lt;'111'!$L$11),"x","")</f>
        <v/>
      </c>
      <c r="T1373" s="75" t="str">
        <f>IF(ISERROR(FIND('112'!$M$9,G1373,1)),"",IF((AND(FIND('112'!$M$9,G1373,1)&gt;=1,B1373='112'!$K$9,OR($N1373='112'!$I$6,$O1373='112'!$I$6))),"x",""))</f>
        <v/>
      </c>
      <c r="U1373" s="75" t="str">
        <f>IF(ISERROR(FIND('112'!$M$9,G1373,1)),"",IF((AND(LEFT(G1373,2)=LEFT('112'!$M$9,2),B1373&lt;'112'!$K$9,$N1373='112'!$I$6)),"x",""))</f>
        <v/>
      </c>
      <c r="V1373" s="75" t="str">
        <f>IF(ISERROR(FIND('112'!$M$9,G1373,1)),"",IF((AND(RIGHT(G1373,2)=RIGHT('112'!$M$9,2),B1373&lt;'112'!$K$9,$O1373='112'!$I$6)),"x",""))</f>
        <v/>
      </c>
      <c r="W1373" s="75" t="str">
        <f>IF(AND('341-CT'!$H$9=H1373,OR(LEFT(N1373,3)=$W$7,LEFT(O1373,3)=$W$7)),"x","")</f>
        <v/>
      </c>
      <c r="X1373" s="75" t="str">
        <f>IF(OR(TH!N1373=TH!$X$7,O1373=TH!$X$7),"x","")</f>
        <v/>
      </c>
      <c r="Y1373" s="75" t="str">
        <f>IF(AND(OR(N1373="131",O1373="131"),H1373='131-CT'!$H$9),"x","")</f>
        <v/>
      </c>
      <c r="Z1373" s="75"/>
      <c r="AA1373" s="75" t="str">
        <f>IF(AND(MONTH(E1373)='IN-NX'!$J$5,'IN-NX'!$D$7=D1373),"x","")</f>
        <v/>
      </c>
      <c r="AB1373" s="75" t="str">
        <f>IF(AND(OR(LEFT(TH!N1373,2)="15",LEFT(TH!O1373,2)="15"),LEFT(TH!O1373,3)&lt;&gt;"111",'152-CT'!$J$8=TH!F1373),"x","")</f>
        <v/>
      </c>
      <c r="AC1373" s="75" t="str">
        <f>IF(AND(OR(LEFT(TH!N1373,2)="15",LEFT(TH!O1373,2)="15"),TK!$E$7=TH!F1373),"x","")</f>
        <v/>
      </c>
      <c r="AD1373" s="75" t="str">
        <f>IF(AND(N1373="1521",MONTH(C1373)='BK-NL'!$M$11),"x","")</f>
        <v/>
      </c>
    </row>
    <row r="1374" spans="1:30" ht="16.5" customHeight="1">
      <c r="A1374" s="309" t="str">
        <f>IF(B1374&lt;&gt;"",IF(AND(B1374='IN-TC'!$S$4,OR(TH!N1374="1111",TH!O1374="1111")),TH!D1374,""),"")</f>
        <v/>
      </c>
      <c r="B1374" s="1242">
        <f t="shared" si="309"/>
        <v>5</v>
      </c>
      <c r="C1374" s="929">
        <f t="shared" si="310"/>
        <v>42857</v>
      </c>
      <c r="D1374" s="929" t="s">
        <v>2951</v>
      </c>
      <c r="E1374" s="929">
        <v>42857</v>
      </c>
      <c r="F1374" s="1082" t="s">
        <v>341</v>
      </c>
      <c r="G1374" s="931"/>
      <c r="H1374" s="735" t="s">
        <v>424</v>
      </c>
      <c r="I1374" s="371">
        <v>600</v>
      </c>
      <c r="J1374" s="377">
        <v>3200</v>
      </c>
      <c r="K1374" s="371"/>
      <c r="L1374" s="377"/>
      <c r="M1374" s="933">
        <f t="shared" si="311"/>
        <v>1920000</v>
      </c>
      <c r="N1374" s="934" t="s">
        <v>272</v>
      </c>
      <c r="O1374" s="934" t="s">
        <v>266</v>
      </c>
      <c r="P1374" s="75" t="str">
        <f>IF(AND('331-CT'!$E$7=TH!H1374,OR(N1374="331",O1374="331")),"x","")</f>
        <v/>
      </c>
      <c r="Q1374" s="75" t="str">
        <f>IF(AND(B1374='111'!$L$11,OR($N1374=$Q$7,$O1374=$Q$7)),"x","")</f>
        <v/>
      </c>
      <c r="R1374" s="75" t="str">
        <f>IF(AND($N1374=$Q$7,$B1374&lt;'111'!$L$11),"x","")</f>
        <v/>
      </c>
      <c r="S1374" s="75" t="str">
        <f>IF(AND($O1374=$Q$7,$B1374&lt;'111'!$L$11),"x","")</f>
        <v/>
      </c>
      <c r="T1374" s="75" t="str">
        <f>IF(ISERROR(FIND('112'!$M$9,G1374,1)),"",IF((AND(FIND('112'!$M$9,G1374,1)&gt;=1,B1374='112'!$K$9,OR($N1374='112'!$I$6,$O1374='112'!$I$6))),"x",""))</f>
        <v/>
      </c>
      <c r="U1374" s="75" t="str">
        <f>IF(ISERROR(FIND('112'!$M$9,G1374,1)),"",IF((AND(LEFT(G1374,2)=LEFT('112'!$M$9,2),B1374&lt;'112'!$K$9,$N1374='112'!$I$6)),"x",""))</f>
        <v/>
      </c>
      <c r="V1374" s="75" t="str">
        <f>IF(ISERROR(FIND('112'!$M$9,G1374,1)),"",IF((AND(RIGHT(G1374,2)=RIGHT('112'!$M$9,2),B1374&lt;'112'!$K$9,$O1374='112'!$I$6)),"x",""))</f>
        <v/>
      </c>
      <c r="W1374" s="75" t="str">
        <f>IF(AND('341-CT'!$H$9=H1374,OR(LEFT(N1374,3)=$W$7,LEFT(O1374,3)=$W$7)),"x","")</f>
        <v/>
      </c>
      <c r="X1374" s="75" t="str">
        <f>IF(OR(TH!N1374=TH!$X$7,O1374=TH!$X$7),"x","")</f>
        <v/>
      </c>
      <c r="Y1374" s="75" t="str">
        <f>IF(AND(OR(N1374="131",O1374="131"),H1374='131-CT'!$H$9),"x","")</f>
        <v/>
      </c>
      <c r="Z1374" s="75"/>
      <c r="AA1374" s="75" t="str">
        <f>IF(AND(MONTH(E1374)='IN-NX'!$J$5,'IN-NX'!$D$7=D1374),"x","")</f>
        <v/>
      </c>
      <c r="AB1374" s="75" t="str">
        <f>IF(AND(OR(LEFT(TH!N1374,2)="15",LEFT(TH!O1374,2)="15"),LEFT(TH!O1374,3)&lt;&gt;"111",'152-CT'!$J$8=TH!F1374),"x","")</f>
        <v/>
      </c>
      <c r="AC1374" s="75" t="str">
        <f>IF(AND(OR(LEFT(TH!N1374,2)="15",LEFT(TH!O1374,2)="15"),TK!$E$7=TH!F1374),"x","")</f>
        <v/>
      </c>
      <c r="AD1374" s="75" t="str">
        <f>IF(AND(N1374="1521",MONTH(C1374)='BK-NL'!$M$11),"x","")</f>
        <v/>
      </c>
    </row>
    <row r="1375" spans="1:30" ht="16.5" customHeight="1">
      <c r="A1375" s="309" t="str">
        <f>IF(B1375&lt;&gt;"",IF(AND(B1375='IN-TC'!$S$4,OR(TH!N1375="1111",TH!O1375="1111")),TH!D1375,""),"")</f>
        <v/>
      </c>
      <c r="B1375" s="1242">
        <f t="shared" si="309"/>
        <v>5</v>
      </c>
      <c r="C1375" s="929">
        <f t="shared" si="310"/>
        <v>42857</v>
      </c>
      <c r="D1375" s="929" t="s">
        <v>2951</v>
      </c>
      <c r="E1375" s="929">
        <v>42857</v>
      </c>
      <c r="F1375" s="1082" t="s">
        <v>1257</v>
      </c>
      <c r="G1375" s="931"/>
      <c r="H1375" s="735" t="s">
        <v>424</v>
      </c>
      <c r="I1375" s="371">
        <v>1440</v>
      </c>
      <c r="J1375" s="377">
        <v>14728</v>
      </c>
      <c r="K1375" s="371"/>
      <c r="L1375" s="377"/>
      <c r="M1375" s="933">
        <f t="shared" si="311"/>
        <v>21208320</v>
      </c>
      <c r="N1375" s="934" t="s">
        <v>272</v>
      </c>
      <c r="O1375" s="934" t="s">
        <v>266</v>
      </c>
      <c r="P1375" s="75" t="str">
        <f>IF(AND('331-CT'!$E$7=TH!H1375,OR(N1375="331",O1375="331")),"x","")</f>
        <v/>
      </c>
      <c r="Q1375" s="75" t="str">
        <f>IF(AND(B1375='111'!$L$11,OR($N1375=$Q$7,$O1375=$Q$7)),"x","")</f>
        <v/>
      </c>
      <c r="R1375" s="75" t="str">
        <f>IF(AND($N1375=$Q$7,$B1375&lt;'111'!$L$11),"x","")</f>
        <v/>
      </c>
      <c r="S1375" s="75" t="str">
        <f>IF(AND($O1375=$Q$7,$B1375&lt;'111'!$L$11),"x","")</f>
        <v/>
      </c>
      <c r="T1375" s="75" t="str">
        <f>IF(ISERROR(FIND('112'!$M$9,G1375,1)),"",IF((AND(FIND('112'!$M$9,G1375,1)&gt;=1,B1375='112'!$K$9,OR($N1375='112'!$I$6,$O1375='112'!$I$6))),"x",""))</f>
        <v/>
      </c>
      <c r="U1375" s="75" t="str">
        <f>IF(ISERROR(FIND('112'!$M$9,G1375,1)),"",IF((AND(LEFT(G1375,2)=LEFT('112'!$M$9,2),B1375&lt;'112'!$K$9,$N1375='112'!$I$6)),"x",""))</f>
        <v/>
      </c>
      <c r="V1375" s="75" t="str">
        <f>IF(ISERROR(FIND('112'!$M$9,G1375,1)),"",IF((AND(RIGHT(G1375,2)=RIGHT('112'!$M$9,2),B1375&lt;'112'!$K$9,$O1375='112'!$I$6)),"x",""))</f>
        <v/>
      </c>
      <c r="W1375" s="75" t="str">
        <f>IF(AND('341-CT'!$H$9=H1375,OR(LEFT(N1375,3)=$W$7,LEFT(O1375,3)=$W$7)),"x","")</f>
        <v/>
      </c>
      <c r="X1375" s="75" t="str">
        <f>IF(OR(TH!N1375=TH!$X$7,O1375=TH!$X$7),"x","")</f>
        <v/>
      </c>
      <c r="Y1375" s="75" t="str">
        <f>IF(AND(OR(N1375="131",O1375="131"),H1375='131-CT'!$H$9),"x","")</f>
        <v/>
      </c>
      <c r="Z1375" s="75"/>
      <c r="AA1375" s="75" t="str">
        <f>IF(AND(MONTH(E1375)='IN-NX'!$J$5,'IN-NX'!$D$7=D1375),"x","")</f>
        <v/>
      </c>
      <c r="AB1375" s="75" t="str">
        <f>IF(AND(OR(LEFT(TH!N1375,2)="15",LEFT(TH!O1375,2)="15"),LEFT(TH!O1375,3)&lt;&gt;"111",'152-CT'!$J$8=TH!F1375),"x","")</f>
        <v/>
      </c>
      <c r="AC1375" s="75" t="str">
        <f>IF(AND(OR(LEFT(TH!N1375,2)="15",LEFT(TH!O1375,2)="15"),TK!$E$7=TH!F1375),"x","")</f>
        <v/>
      </c>
      <c r="AD1375" s="75" t="str">
        <f>IF(AND(N1375="1521",MONTH(C1375)='BK-NL'!$M$11),"x","")</f>
        <v/>
      </c>
    </row>
    <row r="1376" spans="1:30" ht="16.5" customHeight="1">
      <c r="A1376" s="309" t="str">
        <f>IF(B1376&lt;&gt;"",IF(AND(B1376='IN-TC'!$S$4,OR(TH!N1376="1111",TH!O1376="1111")),TH!D1376,""),"")</f>
        <v/>
      </c>
      <c r="B1376" s="1242">
        <f t="shared" si="309"/>
        <v>5</v>
      </c>
      <c r="C1376" s="929">
        <f t="shared" si="310"/>
        <v>42857</v>
      </c>
      <c r="D1376" s="929" t="s">
        <v>2951</v>
      </c>
      <c r="E1376" s="929">
        <v>42857</v>
      </c>
      <c r="F1376" s="296" t="s">
        <v>346</v>
      </c>
      <c r="G1376" s="931"/>
      <c r="H1376" s="735" t="s">
        <v>424</v>
      </c>
      <c r="I1376" s="371">
        <v>200</v>
      </c>
      <c r="J1376" s="377">
        <v>8500</v>
      </c>
      <c r="K1376" s="371"/>
      <c r="L1376" s="377"/>
      <c r="M1376" s="933">
        <f t="shared" si="311"/>
        <v>1700000</v>
      </c>
      <c r="N1376" s="934" t="s">
        <v>272</v>
      </c>
      <c r="O1376" s="934" t="s">
        <v>266</v>
      </c>
      <c r="P1376" s="75" t="str">
        <f>IF(AND('331-CT'!$E$7=TH!H1376,OR(N1376="331",O1376="331")),"x","")</f>
        <v/>
      </c>
      <c r="Q1376" s="75" t="str">
        <f>IF(AND(B1376='111'!$L$11,OR($N1376=$Q$7,$O1376=$Q$7)),"x","")</f>
        <v/>
      </c>
      <c r="R1376" s="75" t="str">
        <f>IF(AND($N1376=$Q$7,$B1376&lt;'111'!$L$11),"x","")</f>
        <v/>
      </c>
      <c r="S1376" s="75" t="str">
        <f>IF(AND($O1376=$Q$7,$B1376&lt;'111'!$L$11),"x","")</f>
        <v/>
      </c>
      <c r="T1376" s="75" t="str">
        <f>IF(ISERROR(FIND('112'!$M$9,G1376,1)),"",IF((AND(FIND('112'!$M$9,G1376,1)&gt;=1,B1376='112'!$K$9,OR($N1376='112'!$I$6,$O1376='112'!$I$6))),"x",""))</f>
        <v/>
      </c>
      <c r="U1376" s="75" t="str">
        <f>IF(ISERROR(FIND('112'!$M$9,G1376,1)),"",IF((AND(LEFT(G1376,2)=LEFT('112'!$M$9,2),B1376&lt;'112'!$K$9,$N1376='112'!$I$6)),"x",""))</f>
        <v/>
      </c>
      <c r="V1376" s="75" t="str">
        <f>IF(ISERROR(FIND('112'!$M$9,G1376,1)),"",IF((AND(RIGHT(G1376,2)=RIGHT('112'!$M$9,2),B1376&lt;'112'!$K$9,$O1376='112'!$I$6)),"x",""))</f>
        <v/>
      </c>
      <c r="W1376" s="75" t="str">
        <f>IF(AND('341-CT'!$H$9=H1376,OR(LEFT(N1376,3)=$W$7,LEFT(O1376,3)=$W$7)),"x","")</f>
        <v/>
      </c>
      <c r="X1376" s="75" t="str">
        <f>IF(OR(TH!N1376=TH!$X$7,O1376=TH!$X$7),"x","")</f>
        <v/>
      </c>
      <c r="Y1376" s="75" t="str">
        <f>IF(AND(OR(N1376="131",O1376="131"),H1376='131-CT'!$H$9),"x","")</f>
        <v/>
      </c>
      <c r="Z1376" s="75"/>
      <c r="AA1376" s="75" t="str">
        <f>IF(AND(MONTH(E1376)='IN-NX'!$J$5,'IN-NX'!$D$7=D1376),"x","")</f>
        <v/>
      </c>
      <c r="AB1376" s="75" t="str">
        <f>IF(AND(OR(LEFT(TH!N1376,2)="15",LEFT(TH!O1376,2)="15"),LEFT(TH!O1376,3)&lt;&gt;"111",'152-CT'!$J$8=TH!F1376),"x","")</f>
        <v/>
      </c>
      <c r="AC1376" s="75" t="str">
        <f>IF(AND(OR(LEFT(TH!N1376,2)="15",LEFT(TH!O1376,2)="15"),TK!$E$7=TH!F1376),"x","")</f>
        <v/>
      </c>
      <c r="AD1376" s="75" t="str">
        <f>IF(AND(N1376="1521",MONTH(C1376)='BK-NL'!$M$11),"x","")</f>
        <v/>
      </c>
    </row>
    <row r="1377" spans="1:30" ht="16.5" customHeight="1">
      <c r="A1377" s="309" t="str">
        <f>IF(B1377&lt;&gt;"",IF(AND(B1377='IN-TC'!$S$4,OR(TH!N1377="1111",TH!O1377="1111")),TH!D1377,""),"")</f>
        <v/>
      </c>
      <c r="B1377" s="1242">
        <f t="shared" si="309"/>
        <v>5</v>
      </c>
      <c r="C1377" s="929">
        <f t="shared" si="310"/>
        <v>42858</v>
      </c>
      <c r="D1377" s="929" t="s">
        <v>2951</v>
      </c>
      <c r="E1377" s="929">
        <v>42858</v>
      </c>
      <c r="F1377" s="296" t="s">
        <v>795</v>
      </c>
      <c r="G1377" s="931"/>
      <c r="H1377" s="735" t="s">
        <v>424</v>
      </c>
      <c r="I1377" s="371">
        <v>26294</v>
      </c>
      <c r="J1377" s="377">
        <v>8500</v>
      </c>
      <c r="K1377" s="371"/>
      <c r="L1377" s="377"/>
      <c r="M1377" s="933">
        <f t="shared" si="311"/>
        <v>223499000</v>
      </c>
      <c r="N1377" s="934" t="s">
        <v>272</v>
      </c>
      <c r="O1377" s="934" t="s">
        <v>266</v>
      </c>
      <c r="P1377" s="75" t="str">
        <f>IF(AND('331-CT'!$E$7=TH!H1377,OR(N1377="331",O1377="331")),"x","")</f>
        <v/>
      </c>
      <c r="Q1377" s="75" t="str">
        <f>IF(AND(B1377='111'!$L$11,OR($N1377=$Q$7,$O1377=$Q$7)),"x","")</f>
        <v/>
      </c>
      <c r="R1377" s="75" t="str">
        <f>IF(AND($N1377=$Q$7,$B1377&lt;'111'!$L$11),"x","")</f>
        <v/>
      </c>
      <c r="S1377" s="75" t="str">
        <f>IF(AND($O1377=$Q$7,$B1377&lt;'111'!$L$11),"x","")</f>
        <v/>
      </c>
      <c r="T1377" s="75" t="str">
        <f>IF(ISERROR(FIND('112'!$M$9,G1377,1)),"",IF((AND(FIND('112'!$M$9,G1377,1)&gt;=1,B1377='112'!$K$9,OR($N1377='112'!$I$6,$O1377='112'!$I$6))),"x",""))</f>
        <v/>
      </c>
      <c r="U1377" s="75" t="str">
        <f>IF(ISERROR(FIND('112'!$M$9,G1377,1)),"",IF((AND(LEFT(G1377,2)=LEFT('112'!$M$9,2),B1377&lt;'112'!$K$9,$N1377='112'!$I$6)),"x",""))</f>
        <v/>
      </c>
      <c r="V1377" s="75" t="str">
        <f>IF(ISERROR(FIND('112'!$M$9,G1377,1)),"",IF((AND(RIGHT(G1377,2)=RIGHT('112'!$M$9,2),B1377&lt;'112'!$K$9,$O1377='112'!$I$6)),"x",""))</f>
        <v/>
      </c>
      <c r="W1377" s="75" t="str">
        <f>IF(AND('341-CT'!$H$9=H1377,OR(LEFT(N1377,3)=$W$7,LEFT(O1377,3)=$W$7)),"x","")</f>
        <v/>
      </c>
      <c r="X1377" s="75" t="str">
        <f>IF(OR(TH!N1377=TH!$X$7,O1377=TH!$X$7),"x","")</f>
        <v/>
      </c>
      <c r="Y1377" s="75" t="str">
        <f>IF(AND(OR(N1377="131",O1377="131"),H1377='131-CT'!$H$9),"x","")</f>
        <v/>
      </c>
      <c r="Z1377" s="75"/>
      <c r="AA1377" s="75" t="str">
        <f>IF(AND(MONTH(E1377)='IN-NX'!$J$5,'IN-NX'!$D$7=D1377),"x","")</f>
        <v/>
      </c>
      <c r="AB1377" s="75" t="str">
        <f>IF(AND(OR(LEFT(TH!N1377,2)="15",LEFT(TH!O1377,2)="15"),LEFT(TH!O1377,3)&lt;&gt;"111",'152-CT'!$J$8=TH!F1377),"x","")</f>
        <v/>
      </c>
      <c r="AC1377" s="75" t="str">
        <f>IF(AND(OR(LEFT(TH!N1377,2)="15",LEFT(TH!O1377,2)="15"),TK!$E$7=TH!F1377),"x","")</f>
        <v/>
      </c>
      <c r="AD1377" s="75" t="str">
        <f>IF(AND(N1377="1521",MONTH(C1377)='BK-NL'!$M$11),"x","")</f>
        <v/>
      </c>
    </row>
    <row r="1378" spans="1:30" ht="16.5" customHeight="1">
      <c r="A1378" s="309" t="str">
        <f>IF(B1378&lt;&gt;"",IF(AND(B1378='IN-TC'!$S$4,OR(TH!N1378="1111",TH!O1378="1111")),TH!D1378,""),"")</f>
        <v/>
      </c>
      <c r="B1378" s="1242">
        <f t="shared" si="309"/>
        <v>5</v>
      </c>
      <c r="C1378" s="929">
        <f t="shared" si="310"/>
        <v>42858</v>
      </c>
      <c r="D1378" s="929" t="s">
        <v>2951</v>
      </c>
      <c r="E1378" s="929">
        <v>42858</v>
      </c>
      <c r="F1378" s="1082" t="s">
        <v>795</v>
      </c>
      <c r="G1378" s="931"/>
      <c r="H1378" s="735" t="s">
        <v>424</v>
      </c>
      <c r="I1378" s="371">
        <v>10246</v>
      </c>
      <c r="J1378" s="377">
        <v>8800</v>
      </c>
      <c r="K1378" s="371"/>
      <c r="L1378" s="377"/>
      <c r="M1378" s="933">
        <f t="shared" si="311"/>
        <v>90164800</v>
      </c>
      <c r="N1378" s="934" t="s">
        <v>272</v>
      </c>
      <c r="O1378" s="934" t="s">
        <v>266</v>
      </c>
      <c r="P1378" s="75" t="str">
        <f>IF(AND('331-CT'!$E$7=TH!H1378,OR(N1378="331",O1378="331")),"x","")</f>
        <v/>
      </c>
      <c r="Q1378" s="75" t="str">
        <f>IF(AND(B1378='111'!$L$11,OR($N1378=$Q$7,$O1378=$Q$7)),"x","")</f>
        <v/>
      </c>
      <c r="R1378" s="75" t="str">
        <f>IF(AND($N1378=$Q$7,$B1378&lt;'111'!$L$11),"x","")</f>
        <v/>
      </c>
      <c r="S1378" s="75" t="str">
        <f>IF(AND($O1378=$Q$7,$B1378&lt;'111'!$L$11),"x","")</f>
        <v/>
      </c>
      <c r="T1378" s="75" t="str">
        <f>IF(ISERROR(FIND('112'!$M$9,G1378,1)),"",IF((AND(FIND('112'!$M$9,G1378,1)&gt;=1,B1378='112'!$K$9,OR($N1378='112'!$I$6,$O1378='112'!$I$6))),"x",""))</f>
        <v/>
      </c>
      <c r="U1378" s="75" t="str">
        <f>IF(ISERROR(FIND('112'!$M$9,G1378,1)),"",IF((AND(LEFT(G1378,2)=LEFT('112'!$M$9,2),B1378&lt;'112'!$K$9,$N1378='112'!$I$6)),"x",""))</f>
        <v/>
      </c>
      <c r="V1378" s="75" t="str">
        <f>IF(ISERROR(FIND('112'!$M$9,G1378,1)),"",IF((AND(RIGHT(G1378,2)=RIGHT('112'!$M$9,2),B1378&lt;'112'!$K$9,$O1378='112'!$I$6)),"x",""))</f>
        <v/>
      </c>
      <c r="W1378" s="75" t="str">
        <f>IF(AND('341-CT'!$H$9=H1378,OR(LEFT(N1378,3)=$W$7,LEFT(O1378,3)=$W$7)),"x","")</f>
        <v/>
      </c>
      <c r="X1378" s="75" t="str">
        <f>IF(OR(TH!N1378=TH!$X$7,O1378=TH!$X$7),"x","")</f>
        <v/>
      </c>
      <c r="Y1378" s="75" t="str">
        <f>IF(AND(OR(N1378="131",O1378="131"),H1378='131-CT'!$H$9),"x","")</f>
        <v/>
      </c>
      <c r="Z1378" s="75"/>
      <c r="AA1378" s="75" t="str">
        <f>IF(AND(MONTH(E1378)='IN-NX'!$J$5,'IN-NX'!$D$7=D1378),"x","")</f>
        <v/>
      </c>
      <c r="AB1378" s="75" t="str">
        <f>IF(AND(OR(LEFT(TH!N1378,2)="15",LEFT(TH!O1378,2)="15"),LEFT(TH!O1378,3)&lt;&gt;"111",'152-CT'!$J$8=TH!F1378),"x","")</f>
        <v/>
      </c>
      <c r="AC1378" s="75" t="str">
        <f>IF(AND(OR(LEFT(TH!N1378,2)="15",LEFT(TH!O1378,2)="15"),TK!$E$7=TH!F1378),"x","")</f>
        <v/>
      </c>
      <c r="AD1378" s="75" t="str">
        <f>IF(AND(N1378="1521",MONTH(C1378)='BK-NL'!$M$11),"x","")</f>
        <v/>
      </c>
    </row>
    <row r="1379" spans="1:30" ht="16.5" customHeight="1">
      <c r="A1379" s="309" t="str">
        <f>IF(B1379&lt;&gt;"",IF(AND(B1379='IN-TC'!$S$4,OR(TH!N1379="1111",TH!O1379="1111")),TH!D1379,""),"")</f>
        <v/>
      </c>
      <c r="B1379" s="1242">
        <f t="shared" si="309"/>
        <v>5</v>
      </c>
      <c r="C1379" s="929">
        <f t="shared" si="310"/>
        <v>42865</v>
      </c>
      <c r="D1379" s="929" t="s">
        <v>2951</v>
      </c>
      <c r="E1379" s="929">
        <v>42865</v>
      </c>
      <c r="F1379" s="1082" t="s">
        <v>1276</v>
      </c>
      <c r="G1379" s="931"/>
      <c r="H1379" s="735" t="s">
        <v>424</v>
      </c>
      <c r="I1379" s="371">
        <v>102</v>
      </c>
      <c r="J1379" s="377">
        <v>15000</v>
      </c>
      <c r="K1379" s="371"/>
      <c r="L1379" s="377"/>
      <c r="M1379" s="933">
        <f t="shared" si="311"/>
        <v>1530000</v>
      </c>
      <c r="N1379" s="934" t="s">
        <v>272</v>
      </c>
      <c r="O1379" s="934" t="s">
        <v>266</v>
      </c>
      <c r="P1379" s="75" t="str">
        <f>IF(AND('331-CT'!$E$7=TH!H1379,OR(N1379="331",O1379="331")),"x","")</f>
        <v/>
      </c>
      <c r="Q1379" s="75" t="str">
        <f>IF(AND(B1379='111'!$L$11,OR($N1379=$Q$7,$O1379=$Q$7)),"x","")</f>
        <v/>
      </c>
      <c r="R1379" s="75" t="str">
        <f>IF(AND($N1379=$Q$7,$B1379&lt;'111'!$L$11),"x","")</f>
        <v/>
      </c>
      <c r="S1379" s="75" t="str">
        <f>IF(AND($O1379=$Q$7,$B1379&lt;'111'!$L$11),"x","")</f>
        <v/>
      </c>
      <c r="T1379" s="75" t="str">
        <f>IF(ISERROR(FIND('112'!$M$9,G1379,1)),"",IF((AND(FIND('112'!$M$9,G1379,1)&gt;=1,B1379='112'!$K$9,OR($N1379='112'!$I$6,$O1379='112'!$I$6))),"x",""))</f>
        <v/>
      </c>
      <c r="U1379" s="75" t="str">
        <f>IF(ISERROR(FIND('112'!$M$9,G1379,1)),"",IF((AND(LEFT(G1379,2)=LEFT('112'!$M$9,2),B1379&lt;'112'!$K$9,$N1379='112'!$I$6)),"x",""))</f>
        <v/>
      </c>
      <c r="V1379" s="75" t="str">
        <f>IF(ISERROR(FIND('112'!$M$9,G1379,1)),"",IF((AND(RIGHT(G1379,2)=RIGHT('112'!$M$9,2),B1379&lt;'112'!$K$9,$O1379='112'!$I$6)),"x",""))</f>
        <v/>
      </c>
      <c r="W1379" s="75" t="str">
        <f>IF(AND('341-CT'!$H$9=H1379,OR(LEFT(N1379,3)=$W$7,LEFT(O1379,3)=$W$7)),"x","")</f>
        <v/>
      </c>
      <c r="X1379" s="75" t="str">
        <f>IF(OR(TH!N1379=TH!$X$7,O1379=TH!$X$7),"x","")</f>
        <v/>
      </c>
      <c r="Y1379" s="75" t="str">
        <f>IF(AND(OR(N1379="131",O1379="131"),H1379='131-CT'!$H$9),"x","")</f>
        <v/>
      </c>
      <c r="Z1379" s="75"/>
      <c r="AA1379" s="75" t="str">
        <f>IF(AND(MONTH(E1379)='IN-NX'!$J$5,'IN-NX'!$D$7=D1379),"x","")</f>
        <v/>
      </c>
      <c r="AB1379" s="75" t="str">
        <f>IF(AND(OR(LEFT(TH!N1379,2)="15",LEFT(TH!O1379,2)="15"),LEFT(TH!O1379,3)&lt;&gt;"111",'152-CT'!$J$8=TH!F1379),"x","")</f>
        <v/>
      </c>
      <c r="AC1379" s="75" t="str">
        <f>IF(AND(OR(LEFT(TH!N1379,2)="15",LEFT(TH!O1379,2)="15"),TK!$E$7=TH!F1379),"x","")</f>
        <v/>
      </c>
      <c r="AD1379" s="75" t="str">
        <f>IF(AND(N1379="1521",MONTH(C1379)='BK-NL'!$M$11),"x","")</f>
        <v/>
      </c>
    </row>
    <row r="1380" spans="1:30" ht="16.5" customHeight="1">
      <c r="A1380" s="309" t="str">
        <f>IF(B1380&lt;&gt;"",IF(AND(B1380='IN-TC'!$S$4,OR(TH!N1380="1111",TH!O1380="1111")),TH!D1380,""),"")</f>
        <v/>
      </c>
      <c r="B1380" s="1242">
        <f t="shared" si="309"/>
        <v>5</v>
      </c>
      <c r="C1380" s="929">
        <f t="shared" si="310"/>
        <v>42865</v>
      </c>
      <c r="D1380" s="929" t="s">
        <v>2951</v>
      </c>
      <c r="E1380" s="929">
        <v>42865</v>
      </c>
      <c r="F1380" s="1082" t="s">
        <v>371</v>
      </c>
      <c r="G1380" s="931"/>
      <c r="H1380" s="735" t="s">
        <v>424</v>
      </c>
      <c r="I1380" s="371">
        <v>940</v>
      </c>
      <c r="J1380" s="377">
        <v>13500</v>
      </c>
      <c r="K1380" s="371"/>
      <c r="L1380" s="377"/>
      <c r="M1380" s="933">
        <f t="shared" si="311"/>
        <v>12690000</v>
      </c>
      <c r="N1380" s="934" t="s">
        <v>272</v>
      </c>
      <c r="O1380" s="934" t="s">
        <v>266</v>
      </c>
      <c r="P1380" s="75" t="str">
        <f>IF(AND('331-CT'!$E$7=TH!H1380,OR(N1380="331",O1380="331")),"x","")</f>
        <v/>
      </c>
      <c r="Q1380" s="75" t="str">
        <f>IF(AND(B1380='111'!$L$11,OR($N1380=$Q$7,$O1380=$Q$7)),"x","")</f>
        <v/>
      </c>
      <c r="R1380" s="75" t="str">
        <f>IF(AND($N1380=$Q$7,$B1380&lt;'111'!$L$11),"x","")</f>
        <v/>
      </c>
      <c r="S1380" s="75" t="str">
        <f>IF(AND($O1380=$Q$7,$B1380&lt;'111'!$L$11),"x","")</f>
        <v/>
      </c>
      <c r="T1380" s="75" t="str">
        <f>IF(ISERROR(FIND('112'!$M$9,G1380,1)),"",IF((AND(FIND('112'!$M$9,G1380,1)&gt;=1,B1380='112'!$K$9,OR($N1380='112'!$I$6,$O1380='112'!$I$6))),"x",""))</f>
        <v/>
      </c>
      <c r="U1380" s="75" t="str">
        <f>IF(ISERROR(FIND('112'!$M$9,G1380,1)),"",IF((AND(LEFT(G1380,2)=LEFT('112'!$M$9,2),B1380&lt;'112'!$K$9,$N1380='112'!$I$6)),"x",""))</f>
        <v/>
      </c>
      <c r="V1380" s="75" t="str">
        <f>IF(ISERROR(FIND('112'!$M$9,G1380,1)),"",IF((AND(RIGHT(G1380,2)=RIGHT('112'!$M$9,2),B1380&lt;'112'!$K$9,$O1380='112'!$I$6)),"x",""))</f>
        <v/>
      </c>
      <c r="W1380" s="75" t="str">
        <f>IF(AND('341-CT'!$H$9=H1380,OR(LEFT(N1380,3)=$W$7,LEFT(O1380,3)=$W$7)),"x","")</f>
        <v/>
      </c>
      <c r="X1380" s="75" t="str">
        <f>IF(OR(TH!N1380=TH!$X$7,O1380=TH!$X$7),"x","")</f>
        <v/>
      </c>
      <c r="Y1380" s="75" t="str">
        <f>IF(AND(OR(N1380="131",O1380="131"),H1380='131-CT'!$H$9),"x","")</f>
        <v/>
      </c>
      <c r="Z1380" s="75"/>
      <c r="AA1380" s="75" t="str">
        <f>IF(AND(MONTH(E1380)='IN-NX'!$J$5,'IN-NX'!$D$7=D1380),"x","")</f>
        <v/>
      </c>
      <c r="AB1380" s="75" t="str">
        <f>IF(AND(OR(LEFT(TH!N1380,2)="15",LEFT(TH!O1380,2)="15"),LEFT(TH!O1380,3)&lt;&gt;"111",'152-CT'!$J$8=TH!F1380),"x","")</f>
        <v/>
      </c>
      <c r="AC1380" s="75" t="str">
        <f>IF(AND(OR(LEFT(TH!N1380,2)="15",LEFT(TH!O1380,2)="15"),TK!$E$7=TH!F1380),"x","")</f>
        <v/>
      </c>
      <c r="AD1380" s="75" t="str">
        <f>IF(AND(N1380="1521",MONTH(C1380)='BK-NL'!$M$11),"x","")</f>
        <v/>
      </c>
    </row>
    <row r="1381" spans="1:30" ht="16.5" customHeight="1">
      <c r="A1381" s="309" t="str">
        <f>IF(B1381&lt;&gt;"",IF(AND(B1381='IN-TC'!$S$4,OR(TH!N1381="1111",TH!O1381="1111")),TH!D1381,""),"")</f>
        <v/>
      </c>
      <c r="B1381" s="1242">
        <f t="shared" si="309"/>
        <v>5</v>
      </c>
      <c r="C1381" s="929">
        <f t="shared" si="310"/>
        <v>42868</v>
      </c>
      <c r="D1381" s="929" t="s">
        <v>2951</v>
      </c>
      <c r="E1381" s="929">
        <v>42868</v>
      </c>
      <c r="F1381" s="1082" t="s">
        <v>371</v>
      </c>
      <c r="G1381" s="931"/>
      <c r="H1381" s="735" t="s">
        <v>424</v>
      </c>
      <c r="I1381" s="371">
        <v>450</v>
      </c>
      <c r="J1381" s="377">
        <v>18500</v>
      </c>
      <c r="K1381" s="371"/>
      <c r="L1381" s="377"/>
      <c r="M1381" s="933">
        <f t="shared" si="311"/>
        <v>8325000</v>
      </c>
      <c r="N1381" s="934" t="s">
        <v>272</v>
      </c>
      <c r="O1381" s="934" t="s">
        <v>266</v>
      </c>
      <c r="P1381" s="75" t="str">
        <f>IF(AND('331-CT'!$E$7=TH!H1381,OR(N1381="331",O1381="331")),"x","")</f>
        <v/>
      </c>
      <c r="Q1381" s="75" t="str">
        <f>IF(AND(B1381='111'!$L$11,OR($N1381=$Q$7,$O1381=$Q$7)),"x","")</f>
        <v/>
      </c>
      <c r="R1381" s="75" t="str">
        <f>IF(AND($N1381=$Q$7,$B1381&lt;'111'!$L$11),"x","")</f>
        <v/>
      </c>
      <c r="S1381" s="75" t="str">
        <f>IF(AND($O1381=$Q$7,$B1381&lt;'111'!$L$11),"x","")</f>
        <v/>
      </c>
      <c r="T1381" s="75" t="str">
        <f>IF(ISERROR(FIND('112'!$M$9,G1381,1)),"",IF((AND(FIND('112'!$M$9,G1381,1)&gt;=1,B1381='112'!$K$9,OR($N1381='112'!$I$6,$O1381='112'!$I$6))),"x",""))</f>
        <v/>
      </c>
      <c r="U1381" s="75" t="str">
        <f>IF(ISERROR(FIND('112'!$M$9,G1381,1)),"",IF((AND(LEFT(G1381,2)=LEFT('112'!$M$9,2),B1381&lt;'112'!$K$9,$N1381='112'!$I$6)),"x",""))</f>
        <v/>
      </c>
      <c r="V1381" s="75" t="str">
        <f>IF(ISERROR(FIND('112'!$M$9,G1381,1)),"",IF((AND(RIGHT(G1381,2)=RIGHT('112'!$M$9,2),B1381&lt;'112'!$K$9,$O1381='112'!$I$6)),"x",""))</f>
        <v/>
      </c>
      <c r="W1381" s="75" t="str">
        <f>IF(AND('341-CT'!$H$9=H1381,OR(LEFT(N1381,3)=$W$7,LEFT(O1381,3)=$W$7)),"x","")</f>
        <v/>
      </c>
      <c r="X1381" s="75" t="str">
        <f>IF(OR(TH!N1381=TH!$X$7,O1381=TH!$X$7),"x","")</f>
        <v/>
      </c>
      <c r="Y1381" s="75" t="str">
        <f>IF(AND(OR(N1381="131",O1381="131"),H1381='131-CT'!$H$9),"x","")</f>
        <v/>
      </c>
      <c r="Z1381" s="75"/>
      <c r="AA1381" s="75" t="str">
        <f>IF(AND(MONTH(E1381)='IN-NX'!$J$5,'IN-NX'!$D$7=D1381),"x","")</f>
        <v/>
      </c>
      <c r="AB1381" s="75" t="str">
        <f>IF(AND(OR(LEFT(TH!N1381,2)="15",LEFT(TH!O1381,2)="15"),LEFT(TH!O1381,3)&lt;&gt;"111",'152-CT'!$J$8=TH!F1381),"x","")</f>
        <v/>
      </c>
      <c r="AC1381" s="75" t="str">
        <f>IF(AND(OR(LEFT(TH!N1381,2)="15",LEFT(TH!O1381,2)="15"),TK!$E$7=TH!F1381),"x","")</f>
        <v/>
      </c>
      <c r="AD1381" s="75" t="str">
        <f>IF(AND(N1381="1521",MONTH(C1381)='BK-NL'!$M$11),"x","")</f>
        <v/>
      </c>
    </row>
    <row r="1382" spans="1:30" ht="16.5" customHeight="1">
      <c r="A1382" s="309" t="str">
        <f>IF(B1382&lt;&gt;"",IF(AND(B1382='IN-TC'!$S$4,OR(TH!N1382="1111",TH!O1382="1111")),TH!D1382,""),"")</f>
        <v/>
      </c>
      <c r="B1382" s="1242">
        <f t="shared" si="309"/>
        <v>5</v>
      </c>
      <c r="C1382" s="929">
        <f t="shared" si="310"/>
        <v>42868</v>
      </c>
      <c r="D1382" s="929" t="s">
        <v>2951</v>
      </c>
      <c r="E1382" s="929">
        <v>42868</v>
      </c>
      <c r="F1382" s="1082" t="s">
        <v>564</v>
      </c>
      <c r="G1382" s="931"/>
      <c r="H1382" s="735" t="s">
        <v>424</v>
      </c>
      <c r="I1382" s="371">
        <v>2250</v>
      </c>
      <c r="J1382" s="377">
        <v>14000</v>
      </c>
      <c r="K1382" s="371"/>
      <c r="L1382" s="377"/>
      <c r="M1382" s="933">
        <f t="shared" si="311"/>
        <v>31500000</v>
      </c>
      <c r="N1382" s="934" t="s">
        <v>272</v>
      </c>
      <c r="O1382" s="934" t="s">
        <v>266</v>
      </c>
      <c r="P1382" s="75" t="str">
        <f>IF(AND('331-CT'!$E$7=TH!H1382,OR(N1382="331",O1382="331")),"x","")</f>
        <v/>
      </c>
      <c r="Q1382" s="75" t="str">
        <f>IF(AND(B1382='111'!$L$11,OR($N1382=$Q$7,$O1382=$Q$7)),"x","")</f>
        <v/>
      </c>
      <c r="R1382" s="75" t="str">
        <f>IF(AND($N1382=$Q$7,$B1382&lt;'111'!$L$11),"x","")</f>
        <v/>
      </c>
      <c r="S1382" s="75" t="str">
        <f>IF(AND($O1382=$Q$7,$B1382&lt;'111'!$L$11),"x","")</f>
        <v/>
      </c>
      <c r="T1382" s="75" t="str">
        <f>IF(ISERROR(FIND('112'!$M$9,G1382,1)),"",IF((AND(FIND('112'!$M$9,G1382,1)&gt;=1,B1382='112'!$K$9,OR($N1382='112'!$I$6,$O1382='112'!$I$6))),"x",""))</f>
        <v/>
      </c>
      <c r="U1382" s="75" t="str">
        <f>IF(ISERROR(FIND('112'!$M$9,G1382,1)),"",IF((AND(LEFT(G1382,2)=LEFT('112'!$M$9,2),B1382&lt;'112'!$K$9,$N1382='112'!$I$6)),"x",""))</f>
        <v/>
      </c>
      <c r="V1382" s="75" t="str">
        <f>IF(ISERROR(FIND('112'!$M$9,G1382,1)),"",IF((AND(RIGHT(G1382,2)=RIGHT('112'!$M$9,2),B1382&lt;'112'!$K$9,$O1382='112'!$I$6)),"x",""))</f>
        <v/>
      </c>
      <c r="W1382" s="75" t="str">
        <f>IF(AND('341-CT'!$H$9=H1382,OR(LEFT(N1382,3)=$W$7,LEFT(O1382,3)=$W$7)),"x","")</f>
        <v/>
      </c>
      <c r="X1382" s="75" t="str">
        <f>IF(OR(TH!N1382=TH!$X$7,O1382=TH!$X$7),"x","")</f>
        <v/>
      </c>
      <c r="Y1382" s="75" t="str">
        <f>IF(AND(OR(N1382="131",O1382="131"),H1382='131-CT'!$H$9),"x","")</f>
        <v/>
      </c>
      <c r="Z1382" s="75"/>
      <c r="AA1382" s="75" t="str">
        <f>IF(AND(MONTH(E1382)='IN-NX'!$J$5,'IN-NX'!$D$7=D1382),"x","")</f>
        <v/>
      </c>
      <c r="AB1382" s="75" t="str">
        <f>IF(AND(OR(LEFT(TH!N1382,2)="15",LEFT(TH!O1382,2)="15"),LEFT(TH!O1382,3)&lt;&gt;"111",'152-CT'!$J$8=TH!F1382),"x","")</f>
        <v/>
      </c>
      <c r="AC1382" s="75" t="str">
        <f>IF(AND(OR(LEFT(TH!N1382,2)="15",LEFT(TH!O1382,2)="15"),TK!$E$7=TH!F1382),"x","")</f>
        <v/>
      </c>
      <c r="AD1382" s="75" t="str">
        <f>IF(AND(N1382="1521",MONTH(C1382)='BK-NL'!$M$11),"x","")</f>
        <v/>
      </c>
    </row>
    <row r="1383" spans="1:30" ht="16.5" customHeight="1">
      <c r="A1383" s="309" t="str">
        <f>IF(B1383&lt;&gt;"",IF(AND(B1383='IN-TC'!$S$4,OR(TH!N1383="1111",TH!O1383="1111")),TH!D1383,""),"")</f>
        <v/>
      </c>
      <c r="B1383" s="1242">
        <f t="shared" si="309"/>
        <v>5</v>
      </c>
      <c r="C1383" s="929">
        <f t="shared" si="310"/>
        <v>42868</v>
      </c>
      <c r="D1383" s="929" t="s">
        <v>2951</v>
      </c>
      <c r="E1383" s="929">
        <v>42868</v>
      </c>
      <c r="F1383" s="1082" t="s">
        <v>381</v>
      </c>
      <c r="G1383" s="931"/>
      <c r="H1383" s="735" t="s">
        <v>424</v>
      </c>
      <c r="I1383" s="371">
        <v>410</v>
      </c>
      <c r="J1383" s="377">
        <v>20900</v>
      </c>
      <c r="K1383" s="371"/>
      <c r="L1383" s="377"/>
      <c r="M1383" s="933">
        <f t="shared" si="311"/>
        <v>8569000</v>
      </c>
      <c r="N1383" s="934" t="s">
        <v>272</v>
      </c>
      <c r="O1383" s="934" t="s">
        <v>266</v>
      </c>
      <c r="P1383" s="75" t="str">
        <f>IF(AND('331-CT'!$E$7=TH!H1383,OR(N1383="331",O1383="331")),"x","")</f>
        <v/>
      </c>
      <c r="Q1383" s="75" t="str">
        <f>IF(AND(B1383='111'!$L$11,OR($N1383=$Q$7,$O1383=$Q$7)),"x","")</f>
        <v/>
      </c>
      <c r="R1383" s="75" t="str">
        <f>IF(AND($N1383=$Q$7,$B1383&lt;'111'!$L$11),"x","")</f>
        <v/>
      </c>
      <c r="S1383" s="75" t="str">
        <f>IF(AND($O1383=$Q$7,$B1383&lt;'111'!$L$11),"x","")</f>
        <v/>
      </c>
      <c r="T1383" s="75" t="str">
        <f>IF(ISERROR(FIND('112'!$M$9,G1383,1)),"",IF((AND(FIND('112'!$M$9,G1383,1)&gt;=1,B1383='112'!$K$9,OR($N1383='112'!$I$6,$O1383='112'!$I$6))),"x",""))</f>
        <v/>
      </c>
      <c r="U1383" s="75" t="str">
        <f>IF(ISERROR(FIND('112'!$M$9,G1383,1)),"",IF((AND(LEFT(G1383,2)=LEFT('112'!$M$9,2),B1383&lt;'112'!$K$9,$N1383='112'!$I$6)),"x",""))</f>
        <v/>
      </c>
      <c r="V1383" s="75" t="str">
        <f>IF(ISERROR(FIND('112'!$M$9,G1383,1)),"",IF((AND(RIGHT(G1383,2)=RIGHT('112'!$M$9,2),B1383&lt;'112'!$K$9,$O1383='112'!$I$6)),"x",""))</f>
        <v/>
      </c>
      <c r="W1383" s="75" t="str">
        <f>IF(AND('341-CT'!$H$9=H1383,OR(LEFT(N1383,3)=$W$7,LEFT(O1383,3)=$W$7)),"x","")</f>
        <v/>
      </c>
      <c r="X1383" s="75" t="str">
        <f>IF(OR(TH!N1383=TH!$X$7,O1383=TH!$X$7),"x","")</f>
        <v/>
      </c>
      <c r="Y1383" s="75" t="str">
        <f>IF(AND(OR(N1383="131",O1383="131"),H1383='131-CT'!$H$9),"x","")</f>
        <v/>
      </c>
      <c r="Z1383" s="75"/>
      <c r="AA1383" s="75" t="str">
        <f>IF(AND(MONTH(E1383)='IN-NX'!$J$5,'IN-NX'!$D$7=D1383),"x","")</f>
        <v/>
      </c>
      <c r="AB1383" s="75" t="str">
        <f>IF(AND(OR(LEFT(TH!N1383,2)="15",LEFT(TH!O1383,2)="15"),LEFT(TH!O1383,3)&lt;&gt;"111",'152-CT'!$J$8=TH!F1383),"x","")</f>
        <v/>
      </c>
      <c r="AC1383" s="75" t="str">
        <f>IF(AND(OR(LEFT(TH!N1383,2)="15",LEFT(TH!O1383,2)="15"),TK!$E$7=TH!F1383),"x","")</f>
        <v/>
      </c>
      <c r="AD1383" s="75" t="str">
        <f>IF(AND(N1383="1521",MONTH(C1383)='BK-NL'!$M$11),"x","")</f>
        <v/>
      </c>
    </row>
    <row r="1384" spans="1:30" ht="16.5" customHeight="1">
      <c r="A1384" s="309" t="str">
        <f>IF(B1384&lt;&gt;"",IF(AND(B1384='IN-TC'!$S$4,OR(TH!N1384="1111",TH!O1384="1111")),TH!D1384,""),"")</f>
        <v/>
      </c>
      <c r="B1384" s="1242">
        <f t="shared" si="309"/>
        <v>5</v>
      </c>
      <c r="C1384" s="929">
        <f t="shared" si="310"/>
        <v>42875</v>
      </c>
      <c r="D1384" s="929" t="s">
        <v>2951</v>
      </c>
      <c r="E1384" s="929">
        <v>42875</v>
      </c>
      <c r="F1384" s="1082" t="s">
        <v>1470</v>
      </c>
      <c r="G1384" s="931"/>
      <c r="H1384" s="735" t="s">
        <v>424</v>
      </c>
      <c r="I1384" s="371">
        <v>282</v>
      </c>
      <c r="J1384" s="377">
        <v>15900</v>
      </c>
      <c r="K1384" s="371"/>
      <c r="L1384" s="377"/>
      <c r="M1384" s="933">
        <f t="shared" si="311"/>
        <v>4483800</v>
      </c>
      <c r="N1384" s="934" t="s">
        <v>272</v>
      </c>
      <c r="O1384" s="934" t="s">
        <v>266</v>
      </c>
      <c r="P1384" s="75" t="str">
        <f>IF(AND('331-CT'!$E$7=TH!H1384,OR(N1384="331",O1384="331")),"x","")</f>
        <v/>
      </c>
      <c r="Q1384" s="75" t="str">
        <f>IF(AND(B1384='111'!$L$11,OR($N1384=$Q$7,$O1384=$Q$7)),"x","")</f>
        <v/>
      </c>
      <c r="R1384" s="75" t="str">
        <f>IF(AND($N1384=$Q$7,$B1384&lt;'111'!$L$11),"x","")</f>
        <v/>
      </c>
      <c r="S1384" s="75" t="str">
        <f>IF(AND($O1384=$Q$7,$B1384&lt;'111'!$L$11),"x","")</f>
        <v/>
      </c>
      <c r="T1384" s="75" t="str">
        <f>IF(ISERROR(FIND('112'!$M$9,G1384,1)),"",IF((AND(FIND('112'!$M$9,G1384,1)&gt;=1,B1384='112'!$K$9,OR($N1384='112'!$I$6,$O1384='112'!$I$6))),"x",""))</f>
        <v/>
      </c>
      <c r="U1384" s="75" t="str">
        <f>IF(ISERROR(FIND('112'!$M$9,G1384,1)),"",IF((AND(LEFT(G1384,2)=LEFT('112'!$M$9,2),B1384&lt;'112'!$K$9,$N1384='112'!$I$6)),"x",""))</f>
        <v/>
      </c>
      <c r="V1384" s="75" t="str">
        <f>IF(ISERROR(FIND('112'!$M$9,G1384,1)),"",IF((AND(RIGHT(G1384,2)=RIGHT('112'!$M$9,2),B1384&lt;'112'!$K$9,$O1384='112'!$I$6)),"x",""))</f>
        <v/>
      </c>
      <c r="W1384" s="75" t="str">
        <f>IF(AND('341-CT'!$H$9=H1384,OR(LEFT(N1384,3)=$W$7,LEFT(O1384,3)=$W$7)),"x","")</f>
        <v/>
      </c>
      <c r="X1384" s="75" t="str">
        <f>IF(OR(TH!N1384=TH!$X$7,O1384=TH!$X$7),"x","")</f>
        <v/>
      </c>
      <c r="Y1384" s="75" t="str">
        <f>IF(AND(OR(N1384="131",O1384="131"),H1384='131-CT'!$H$9),"x","")</f>
        <v/>
      </c>
      <c r="Z1384" s="75"/>
      <c r="AA1384" s="75" t="str">
        <f>IF(AND(MONTH(E1384)='IN-NX'!$J$5,'IN-NX'!$D$7=D1384),"x","")</f>
        <v/>
      </c>
      <c r="AB1384" s="75" t="str">
        <f>IF(AND(OR(LEFT(TH!N1384,2)="15",LEFT(TH!O1384,2)="15"),LEFT(TH!O1384,3)&lt;&gt;"111",'152-CT'!$J$8=TH!F1384),"x","")</f>
        <v/>
      </c>
      <c r="AC1384" s="75" t="str">
        <f>IF(AND(OR(LEFT(TH!N1384,2)="15",LEFT(TH!O1384,2)="15"),TK!$E$7=TH!F1384),"x","")</f>
        <v/>
      </c>
      <c r="AD1384" s="75" t="str">
        <f>IF(AND(N1384="1521",MONTH(C1384)='BK-NL'!$M$11),"x","")</f>
        <v/>
      </c>
    </row>
    <row r="1385" spans="1:30" ht="16.5" customHeight="1">
      <c r="A1385" s="309" t="str">
        <f>IF(B1385&lt;&gt;"",IF(AND(B1385='IN-TC'!$S$4,OR(TH!N1385="1111",TH!O1385="1111")),TH!D1385,""),"")</f>
        <v/>
      </c>
      <c r="B1385" s="1242">
        <f t="shared" si="309"/>
        <v>5</v>
      </c>
      <c r="C1385" s="929">
        <f t="shared" si="310"/>
        <v>42875</v>
      </c>
      <c r="D1385" s="929" t="s">
        <v>2951</v>
      </c>
      <c r="E1385" s="929">
        <v>42875</v>
      </c>
      <c r="F1385" s="1082" t="s">
        <v>1273</v>
      </c>
      <c r="G1385" s="931"/>
      <c r="H1385" s="735" t="s">
        <v>424</v>
      </c>
      <c r="I1385" s="371">
        <v>302</v>
      </c>
      <c r="J1385" s="377">
        <v>13200</v>
      </c>
      <c r="K1385" s="371"/>
      <c r="L1385" s="377"/>
      <c r="M1385" s="933">
        <f t="shared" si="311"/>
        <v>3986400</v>
      </c>
      <c r="N1385" s="934" t="s">
        <v>272</v>
      </c>
      <c r="O1385" s="934" t="s">
        <v>266</v>
      </c>
      <c r="P1385" s="75" t="str">
        <f>IF(AND('331-CT'!$E$7=TH!H1385,OR(N1385="331",O1385="331")),"x","")</f>
        <v/>
      </c>
      <c r="Q1385" s="75" t="str">
        <f>IF(AND(B1385='111'!$L$11,OR($N1385=$Q$7,$O1385=$Q$7)),"x","")</f>
        <v/>
      </c>
      <c r="R1385" s="75" t="str">
        <f>IF(AND($N1385=$Q$7,$B1385&lt;'111'!$L$11),"x","")</f>
        <v/>
      </c>
      <c r="S1385" s="75" t="str">
        <f>IF(AND($O1385=$Q$7,$B1385&lt;'111'!$L$11),"x","")</f>
        <v/>
      </c>
      <c r="T1385" s="75" t="str">
        <f>IF(ISERROR(FIND('112'!$M$9,G1385,1)),"",IF((AND(FIND('112'!$M$9,G1385,1)&gt;=1,B1385='112'!$K$9,OR($N1385='112'!$I$6,$O1385='112'!$I$6))),"x",""))</f>
        <v/>
      </c>
      <c r="U1385" s="75" t="str">
        <f>IF(ISERROR(FIND('112'!$M$9,G1385,1)),"",IF((AND(LEFT(G1385,2)=LEFT('112'!$M$9,2),B1385&lt;'112'!$K$9,$N1385='112'!$I$6)),"x",""))</f>
        <v/>
      </c>
      <c r="V1385" s="75" t="str">
        <f>IF(ISERROR(FIND('112'!$M$9,G1385,1)),"",IF((AND(RIGHT(G1385,2)=RIGHT('112'!$M$9,2),B1385&lt;'112'!$K$9,$O1385='112'!$I$6)),"x",""))</f>
        <v/>
      </c>
      <c r="W1385" s="75" t="str">
        <f>IF(AND('341-CT'!$H$9=H1385,OR(LEFT(N1385,3)=$W$7,LEFT(O1385,3)=$W$7)),"x","")</f>
        <v/>
      </c>
      <c r="X1385" s="75" t="str">
        <f>IF(OR(TH!N1385=TH!$X$7,O1385=TH!$X$7),"x","")</f>
        <v/>
      </c>
      <c r="Y1385" s="75" t="str">
        <f>IF(AND(OR(N1385="131",O1385="131"),H1385='131-CT'!$H$9),"x","")</f>
        <v/>
      </c>
      <c r="Z1385" s="75"/>
      <c r="AA1385" s="75" t="str">
        <f>IF(AND(MONTH(E1385)='IN-NX'!$J$5,'IN-NX'!$D$7=D1385),"x","")</f>
        <v/>
      </c>
      <c r="AB1385" s="75" t="str">
        <f>IF(AND(OR(LEFT(TH!N1385,2)="15",LEFT(TH!O1385,2)="15"),LEFT(TH!O1385,3)&lt;&gt;"111",'152-CT'!$J$8=TH!F1385),"x","")</f>
        <v/>
      </c>
      <c r="AC1385" s="75" t="str">
        <f>IF(AND(OR(LEFT(TH!N1385,2)="15",LEFT(TH!O1385,2)="15"),TK!$E$7=TH!F1385),"x","")</f>
        <v/>
      </c>
      <c r="AD1385" s="75" t="str">
        <f>IF(AND(N1385="1521",MONTH(C1385)='BK-NL'!$M$11),"x","")</f>
        <v/>
      </c>
    </row>
    <row r="1386" spans="1:30" ht="16.5" customHeight="1">
      <c r="A1386" s="309" t="str">
        <f>IF(B1386&lt;&gt;"",IF(AND(B1386='IN-TC'!$S$4,OR(TH!N1386="1111",TH!O1386="1111")),TH!D1386,""),"")</f>
        <v/>
      </c>
      <c r="B1386" s="1242">
        <f t="shared" si="309"/>
        <v>5</v>
      </c>
      <c r="C1386" s="292">
        <f t="shared" si="310"/>
        <v>42857</v>
      </c>
      <c r="D1386" s="292" t="s">
        <v>2957</v>
      </c>
      <c r="E1386" s="292">
        <v>42857</v>
      </c>
      <c r="F1386" s="429" t="s">
        <v>771</v>
      </c>
      <c r="G1386" s="925"/>
      <c r="H1386" s="429" t="s">
        <v>1890</v>
      </c>
      <c r="I1386" s="373">
        <v>59870</v>
      </c>
      <c r="J1386" s="379">
        <v>18500</v>
      </c>
      <c r="K1386" s="373"/>
      <c r="L1386" s="379"/>
      <c r="M1386" s="927">
        <f t="shared" si="311"/>
        <v>1107595000</v>
      </c>
      <c r="N1386" s="295" t="s">
        <v>264</v>
      </c>
      <c r="O1386" s="295" t="s">
        <v>8</v>
      </c>
      <c r="P1386" s="75" t="str">
        <f>IF(AND('331-CT'!$E$7=TH!H1386,OR(N1386="331",O1386="331")),"x","")</f>
        <v/>
      </c>
      <c r="Q1386" s="75" t="str">
        <f>IF(AND(B1386='111'!$L$11,OR($N1386=$Q$7,$O1386=$Q$7)),"x","")</f>
        <v/>
      </c>
      <c r="R1386" s="75" t="str">
        <f>IF(AND($N1386=$Q$7,$B1386&lt;'111'!$L$11),"x","")</f>
        <v/>
      </c>
      <c r="S1386" s="75" t="str">
        <f>IF(AND($O1386=$Q$7,$B1386&lt;'111'!$L$11),"x","")</f>
        <v/>
      </c>
      <c r="T1386" s="75" t="str">
        <f>IF(ISERROR(FIND('112'!$M$9,G1386,1)),"",IF((AND(FIND('112'!$M$9,G1386,1)&gt;=1,B1386='112'!$K$9,OR($N1386='112'!$I$6,$O1386='112'!$I$6))),"x",""))</f>
        <v/>
      </c>
      <c r="U1386" s="75" t="str">
        <f>IF(ISERROR(FIND('112'!$M$9,G1386,1)),"",IF((AND(LEFT(G1386,2)=LEFT('112'!$M$9,2),B1386&lt;'112'!$K$9,$N1386='112'!$I$6)),"x",""))</f>
        <v/>
      </c>
      <c r="V1386" s="75" t="str">
        <f>IF(ISERROR(FIND('112'!$M$9,G1386,1)),"",IF((AND(RIGHT(G1386,2)=RIGHT('112'!$M$9,2),B1386&lt;'112'!$K$9,$O1386='112'!$I$6)),"x",""))</f>
        <v/>
      </c>
      <c r="W1386" s="75" t="str">
        <f>IF(AND('341-CT'!$H$9=H1386,OR(LEFT(N1386,3)=$W$7,LEFT(O1386,3)=$W$7)),"x","")</f>
        <v/>
      </c>
      <c r="X1386" s="75" t="str">
        <f>IF(OR(TH!N1386=TH!$X$7,O1386=TH!$X$7),"x","")</f>
        <v/>
      </c>
      <c r="Y1386" s="75" t="str">
        <f>IF(AND(OR(N1386="131",O1386="131"),H1386='131-CT'!$H$9),"x","")</f>
        <v/>
      </c>
      <c r="Z1386" s="75"/>
      <c r="AA1386" s="75" t="str">
        <f>IF(AND(MONTH(E1386)='IN-NX'!$J$5,'IN-NX'!$D$7=D1386),"x","")</f>
        <v/>
      </c>
      <c r="AB1386" s="75" t="str">
        <f>IF(AND(OR(LEFT(TH!N1386,2)="15",LEFT(TH!O1386,2)="15"),LEFT(TH!O1386,3)&lt;&gt;"111",'152-CT'!$J$8=TH!F1386),"x","")</f>
        <v/>
      </c>
      <c r="AC1386" s="75" t="str">
        <f>IF(AND(OR(LEFT(TH!N1386,2)="15",LEFT(TH!O1386,2)="15"),TK!$E$7=TH!F1386),"x","")</f>
        <v/>
      </c>
      <c r="AD1386" s="75" t="str">
        <f>IF(AND(N1386="1521",MONTH(C1386)='BK-NL'!$M$11),"x","")</f>
        <v/>
      </c>
    </row>
    <row r="1387" spans="1:30" ht="16.5" customHeight="1">
      <c r="A1387" s="309" t="str">
        <f>IF(B1387&lt;&gt;"",IF(AND(B1387='IN-TC'!$S$4,OR(TH!N1387="1111",TH!O1387="1111")),TH!D1387,""),"")</f>
        <v/>
      </c>
      <c r="B1387" s="1242">
        <f t="shared" si="309"/>
        <v>5</v>
      </c>
      <c r="C1387" s="292">
        <f t="shared" si="310"/>
        <v>42857</v>
      </c>
      <c r="D1387" s="292" t="s">
        <v>2958</v>
      </c>
      <c r="E1387" s="292">
        <v>42857</v>
      </c>
      <c r="F1387" s="429" t="s">
        <v>771</v>
      </c>
      <c r="G1387" s="925"/>
      <c r="H1387" s="429" t="s">
        <v>1882</v>
      </c>
      <c r="I1387" s="373">
        <v>59846</v>
      </c>
      <c r="J1387" s="379">
        <v>18500</v>
      </c>
      <c r="K1387" s="373"/>
      <c r="L1387" s="379"/>
      <c r="M1387" s="927">
        <f t="shared" si="311"/>
        <v>1107151000</v>
      </c>
      <c r="N1387" s="295" t="s">
        <v>264</v>
      </c>
      <c r="O1387" s="295" t="s">
        <v>8</v>
      </c>
      <c r="P1387" s="75" t="str">
        <f>IF(AND('331-CT'!$E$7=TH!H1387,OR(N1387="331",O1387="331")),"x","")</f>
        <v/>
      </c>
      <c r="Q1387" s="75" t="str">
        <f>IF(AND(B1387='111'!$L$11,OR($N1387=$Q$7,$O1387=$Q$7)),"x","")</f>
        <v/>
      </c>
      <c r="R1387" s="75" t="str">
        <f>IF(AND($N1387=$Q$7,$B1387&lt;'111'!$L$11),"x","")</f>
        <v/>
      </c>
      <c r="S1387" s="75" t="str">
        <f>IF(AND($O1387=$Q$7,$B1387&lt;'111'!$L$11),"x","")</f>
        <v/>
      </c>
      <c r="T1387" s="75" t="str">
        <f>IF(ISERROR(FIND('112'!$M$9,G1387,1)),"",IF((AND(FIND('112'!$M$9,G1387,1)&gt;=1,B1387='112'!$K$9,OR($N1387='112'!$I$6,$O1387='112'!$I$6))),"x",""))</f>
        <v/>
      </c>
      <c r="U1387" s="75" t="str">
        <f>IF(ISERROR(FIND('112'!$M$9,G1387,1)),"",IF((AND(LEFT(G1387,2)=LEFT('112'!$M$9,2),B1387&lt;'112'!$K$9,$N1387='112'!$I$6)),"x",""))</f>
        <v/>
      </c>
      <c r="V1387" s="75" t="str">
        <f>IF(ISERROR(FIND('112'!$M$9,G1387,1)),"",IF((AND(RIGHT(G1387,2)=RIGHT('112'!$M$9,2),B1387&lt;'112'!$K$9,$O1387='112'!$I$6)),"x",""))</f>
        <v/>
      </c>
      <c r="W1387" s="75" t="str">
        <f>IF(AND('341-CT'!$H$9=H1387,OR(LEFT(N1387,3)=$W$7,LEFT(O1387,3)=$W$7)),"x","")</f>
        <v/>
      </c>
      <c r="X1387" s="75" t="str">
        <f>IF(OR(TH!N1387=TH!$X$7,O1387=TH!$X$7),"x","")</f>
        <v/>
      </c>
      <c r="Y1387" s="75" t="str">
        <f>IF(AND(OR(N1387="131",O1387="131"),H1387='131-CT'!$H$9),"x","")</f>
        <v/>
      </c>
      <c r="Z1387" s="75"/>
      <c r="AA1387" s="75" t="str">
        <f>IF(AND(MONTH(E1387)='IN-NX'!$J$5,'IN-NX'!$D$7=D1387),"x","")</f>
        <v/>
      </c>
      <c r="AB1387" s="75" t="str">
        <f>IF(AND(OR(LEFT(TH!N1387,2)="15",LEFT(TH!O1387,2)="15"),LEFT(TH!O1387,3)&lt;&gt;"111",'152-CT'!$J$8=TH!F1387),"x","")</f>
        <v/>
      </c>
      <c r="AC1387" s="75" t="str">
        <f>IF(AND(OR(LEFT(TH!N1387,2)="15",LEFT(TH!O1387,2)="15"),TK!$E$7=TH!F1387),"x","")</f>
        <v/>
      </c>
      <c r="AD1387" s="75" t="str">
        <f>IF(AND(N1387="1521",MONTH(C1387)='BK-NL'!$M$11),"x","")</f>
        <v/>
      </c>
    </row>
    <row r="1388" spans="1:30" ht="16.5" customHeight="1">
      <c r="A1388" s="309" t="str">
        <f>IF(B1388&lt;&gt;"",IF(AND(B1388='IN-TC'!$S$4,OR(TH!N1388="1111",TH!O1388="1111")),TH!D1388,""),"")</f>
        <v/>
      </c>
      <c r="B1388" s="1242">
        <f t="shared" si="309"/>
        <v>5</v>
      </c>
      <c r="C1388" s="292">
        <f t="shared" si="310"/>
        <v>42857</v>
      </c>
      <c r="D1388" s="292" t="s">
        <v>2959</v>
      </c>
      <c r="E1388" s="292">
        <v>42857</v>
      </c>
      <c r="F1388" s="429" t="s">
        <v>771</v>
      </c>
      <c r="G1388" s="925"/>
      <c r="H1388" s="429" t="s">
        <v>1891</v>
      </c>
      <c r="I1388" s="373">
        <v>58790</v>
      </c>
      <c r="J1388" s="379">
        <v>18500</v>
      </c>
      <c r="K1388" s="373"/>
      <c r="L1388" s="379"/>
      <c r="M1388" s="927">
        <f t="shared" si="311"/>
        <v>1087615000</v>
      </c>
      <c r="N1388" s="295" t="s">
        <v>264</v>
      </c>
      <c r="O1388" s="295" t="s">
        <v>8</v>
      </c>
      <c r="P1388" s="75" t="str">
        <f>IF(AND('331-CT'!$E$7=TH!H1388,OR(N1388="331",O1388="331")),"x","")</f>
        <v/>
      </c>
      <c r="Q1388" s="75" t="str">
        <f>IF(AND(B1388='111'!$L$11,OR($N1388=$Q$7,$O1388=$Q$7)),"x","")</f>
        <v/>
      </c>
      <c r="R1388" s="75" t="str">
        <f>IF(AND($N1388=$Q$7,$B1388&lt;'111'!$L$11),"x","")</f>
        <v/>
      </c>
      <c r="S1388" s="75" t="str">
        <f>IF(AND($O1388=$Q$7,$B1388&lt;'111'!$L$11),"x","")</f>
        <v/>
      </c>
      <c r="T1388" s="75" t="str">
        <f>IF(ISERROR(FIND('112'!$M$9,G1388,1)),"",IF((AND(FIND('112'!$M$9,G1388,1)&gt;=1,B1388='112'!$K$9,OR($N1388='112'!$I$6,$O1388='112'!$I$6))),"x",""))</f>
        <v/>
      </c>
      <c r="U1388" s="75" t="str">
        <f>IF(ISERROR(FIND('112'!$M$9,G1388,1)),"",IF((AND(LEFT(G1388,2)=LEFT('112'!$M$9,2),B1388&lt;'112'!$K$9,$N1388='112'!$I$6)),"x",""))</f>
        <v/>
      </c>
      <c r="V1388" s="75" t="str">
        <f>IF(ISERROR(FIND('112'!$M$9,G1388,1)),"",IF((AND(RIGHT(G1388,2)=RIGHT('112'!$M$9,2),B1388&lt;'112'!$K$9,$O1388='112'!$I$6)),"x",""))</f>
        <v/>
      </c>
      <c r="W1388" s="75" t="str">
        <f>IF(AND('341-CT'!$H$9=H1388,OR(LEFT(N1388,3)=$W$7,LEFT(O1388,3)=$W$7)),"x","")</f>
        <v/>
      </c>
      <c r="X1388" s="75" t="str">
        <f>IF(OR(TH!N1388=TH!$X$7,O1388=TH!$X$7),"x","")</f>
        <v/>
      </c>
      <c r="Y1388" s="75" t="str">
        <f>IF(AND(OR(N1388="131",O1388="131"),H1388='131-CT'!$H$9),"x","")</f>
        <v/>
      </c>
      <c r="Z1388" s="75"/>
      <c r="AA1388" s="75" t="str">
        <f>IF(AND(MONTH(E1388)='IN-NX'!$J$5,'IN-NX'!$D$7=D1388),"x","")</f>
        <v/>
      </c>
      <c r="AB1388" s="75" t="str">
        <f>IF(AND(OR(LEFT(TH!N1388,2)="15",LEFT(TH!O1388,2)="15"),LEFT(TH!O1388,3)&lt;&gt;"111",'152-CT'!$J$8=TH!F1388),"x","")</f>
        <v/>
      </c>
      <c r="AC1388" s="75" t="str">
        <f>IF(AND(OR(LEFT(TH!N1388,2)="15",LEFT(TH!O1388,2)="15"),TK!$E$7=TH!F1388),"x","")</f>
        <v/>
      </c>
      <c r="AD1388" s="75" t="str">
        <f>IF(AND(N1388="1521",MONTH(C1388)='BK-NL'!$M$11),"x","")</f>
        <v/>
      </c>
    </row>
    <row r="1389" spans="1:30" ht="16.5" customHeight="1">
      <c r="A1389" s="309" t="str">
        <f>IF(B1389&lt;&gt;"",IF(AND(B1389='IN-TC'!$S$4,OR(TH!N1389="1111",TH!O1389="1111")),TH!D1389,""),"")</f>
        <v/>
      </c>
      <c r="B1389" s="1242">
        <f t="shared" si="309"/>
        <v>5</v>
      </c>
      <c r="C1389" s="292">
        <f t="shared" si="310"/>
        <v>42857</v>
      </c>
      <c r="D1389" s="292" t="s">
        <v>2960</v>
      </c>
      <c r="E1389" s="292">
        <v>42857</v>
      </c>
      <c r="F1389" s="429" t="s">
        <v>771</v>
      </c>
      <c r="G1389" s="925"/>
      <c r="H1389" s="429" t="s">
        <v>1893</v>
      </c>
      <c r="I1389" s="373">
        <v>59650</v>
      </c>
      <c r="J1389" s="379">
        <v>18500</v>
      </c>
      <c r="K1389" s="373"/>
      <c r="L1389" s="379"/>
      <c r="M1389" s="927">
        <f t="shared" si="311"/>
        <v>1103525000</v>
      </c>
      <c r="N1389" s="295" t="s">
        <v>264</v>
      </c>
      <c r="O1389" s="295" t="s">
        <v>8</v>
      </c>
      <c r="P1389" s="75" t="str">
        <f>IF(AND('331-CT'!$E$7=TH!H1389,OR(N1389="331",O1389="331")),"x","")</f>
        <v/>
      </c>
      <c r="Q1389" s="75" t="str">
        <f>IF(AND(B1389='111'!$L$11,OR($N1389=$Q$7,$O1389=$Q$7)),"x","")</f>
        <v/>
      </c>
      <c r="R1389" s="75" t="str">
        <f>IF(AND($N1389=$Q$7,$B1389&lt;'111'!$L$11),"x","")</f>
        <v/>
      </c>
      <c r="S1389" s="75" t="str">
        <f>IF(AND($O1389=$Q$7,$B1389&lt;'111'!$L$11),"x","")</f>
        <v/>
      </c>
      <c r="T1389" s="75" t="str">
        <f>IF(ISERROR(FIND('112'!$M$9,G1389,1)),"",IF((AND(FIND('112'!$M$9,G1389,1)&gt;=1,B1389='112'!$K$9,OR($N1389='112'!$I$6,$O1389='112'!$I$6))),"x",""))</f>
        <v/>
      </c>
      <c r="U1389" s="75" t="str">
        <f>IF(ISERROR(FIND('112'!$M$9,G1389,1)),"",IF((AND(LEFT(G1389,2)=LEFT('112'!$M$9,2),B1389&lt;'112'!$K$9,$N1389='112'!$I$6)),"x",""))</f>
        <v/>
      </c>
      <c r="V1389" s="75" t="str">
        <f>IF(ISERROR(FIND('112'!$M$9,G1389,1)),"",IF((AND(RIGHT(G1389,2)=RIGHT('112'!$M$9,2),B1389&lt;'112'!$K$9,$O1389='112'!$I$6)),"x",""))</f>
        <v/>
      </c>
      <c r="W1389" s="75" t="str">
        <f>IF(AND('341-CT'!$H$9=H1389,OR(LEFT(N1389,3)=$W$7,LEFT(O1389,3)=$W$7)),"x","")</f>
        <v/>
      </c>
      <c r="X1389" s="75" t="str">
        <f>IF(OR(TH!N1389=TH!$X$7,O1389=TH!$X$7),"x","")</f>
        <v/>
      </c>
      <c r="Y1389" s="75" t="str">
        <f>IF(AND(OR(N1389="131",O1389="131"),H1389='131-CT'!$H$9),"x","")</f>
        <v/>
      </c>
      <c r="Z1389" s="75"/>
      <c r="AA1389" s="75" t="str">
        <f>IF(AND(MONTH(E1389)='IN-NX'!$J$5,'IN-NX'!$D$7=D1389),"x","")</f>
        <v/>
      </c>
      <c r="AB1389" s="75" t="str">
        <f>IF(AND(OR(LEFT(TH!N1389,2)="15",LEFT(TH!O1389,2)="15"),LEFT(TH!O1389,3)&lt;&gt;"111",'152-CT'!$J$8=TH!F1389),"x","")</f>
        <v/>
      </c>
      <c r="AC1389" s="75" t="str">
        <f>IF(AND(OR(LEFT(TH!N1389,2)="15",LEFT(TH!O1389,2)="15"),TK!$E$7=TH!F1389),"x","")</f>
        <v/>
      </c>
      <c r="AD1389" s="75" t="str">
        <f>IF(AND(N1389="1521",MONTH(C1389)='BK-NL'!$M$11),"x","")</f>
        <v/>
      </c>
    </row>
    <row r="1390" spans="1:30" ht="16.5" customHeight="1">
      <c r="A1390" s="309" t="str">
        <f>IF(B1390&lt;&gt;"",IF(AND(B1390='IN-TC'!$S$4,OR(TH!N1390="1111",TH!O1390="1111")),TH!D1390,""),"")</f>
        <v/>
      </c>
      <c r="B1390" s="1242">
        <f t="shared" si="309"/>
        <v>5</v>
      </c>
      <c r="C1390" s="292">
        <f t="shared" si="310"/>
        <v>42861</v>
      </c>
      <c r="D1390" s="292" t="s">
        <v>2966</v>
      </c>
      <c r="E1390" s="292">
        <v>42861</v>
      </c>
      <c r="F1390" s="429" t="s">
        <v>771</v>
      </c>
      <c r="G1390" s="925"/>
      <c r="H1390" s="429" t="s">
        <v>1890</v>
      </c>
      <c r="I1390" s="373">
        <v>59630</v>
      </c>
      <c r="J1390" s="379">
        <v>18500</v>
      </c>
      <c r="K1390" s="373"/>
      <c r="L1390" s="379"/>
      <c r="M1390" s="927">
        <f t="shared" si="311"/>
        <v>1103155000</v>
      </c>
      <c r="N1390" s="295" t="s">
        <v>264</v>
      </c>
      <c r="O1390" s="295" t="s">
        <v>8</v>
      </c>
      <c r="P1390" s="75" t="str">
        <f>IF(AND('331-CT'!$E$7=TH!H1390,OR(N1390="331",O1390="331")),"x","")</f>
        <v/>
      </c>
      <c r="Q1390" s="75" t="str">
        <f>IF(AND(B1390='111'!$L$11,OR($N1390=$Q$7,$O1390=$Q$7)),"x","")</f>
        <v/>
      </c>
      <c r="R1390" s="75" t="str">
        <f>IF(AND($N1390=$Q$7,$B1390&lt;'111'!$L$11),"x","")</f>
        <v/>
      </c>
      <c r="S1390" s="75" t="str">
        <f>IF(AND($O1390=$Q$7,$B1390&lt;'111'!$L$11),"x","")</f>
        <v/>
      </c>
      <c r="T1390" s="75" t="str">
        <f>IF(ISERROR(FIND('112'!$M$9,G1390,1)),"",IF((AND(FIND('112'!$M$9,G1390,1)&gt;=1,B1390='112'!$K$9,OR($N1390='112'!$I$6,$O1390='112'!$I$6))),"x",""))</f>
        <v/>
      </c>
      <c r="U1390" s="75" t="str">
        <f>IF(ISERROR(FIND('112'!$M$9,G1390,1)),"",IF((AND(LEFT(G1390,2)=LEFT('112'!$M$9,2),B1390&lt;'112'!$K$9,$N1390='112'!$I$6)),"x",""))</f>
        <v/>
      </c>
      <c r="V1390" s="75" t="str">
        <f>IF(ISERROR(FIND('112'!$M$9,G1390,1)),"",IF((AND(RIGHT(G1390,2)=RIGHT('112'!$M$9,2),B1390&lt;'112'!$K$9,$O1390='112'!$I$6)),"x",""))</f>
        <v/>
      </c>
      <c r="W1390" s="75" t="str">
        <f>IF(AND('341-CT'!$H$9=H1390,OR(LEFT(N1390,3)=$W$7,LEFT(O1390,3)=$W$7)),"x","")</f>
        <v/>
      </c>
      <c r="X1390" s="75" t="str">
        <f>IF(OR(TH!N1390=TH!$X$7,O1390=TH!$X$7),"x","")</f>
        <v/>
      </c>
      <c r="Y1390" s="75" t="str">
        <f>IF(AND(OR(N1390="131",O1390="131"),H1390='131-CT'!$H$9),"x","")</f>
        <v/>
      </c>
      <c r="Z1390" s="75"/>
      <c r="AA1390" s="75" t="str">
        <f>IF(AND(MONTH(E1390)='IN-NX'!$J$5,'IN-NX'!$D$7=D1390),"x","")</f>
        <v/>
      </c>
      <c r="AB1390" s="75" t="str">
        <f>IF(AND(OR(LEFT(TH!N1390,2)="15",LEFT(TH!O1390,2)="15"),LEFT(TH!O1390,3)&lt;&gt;"111",'152-CT'!$J$8=TH!F1390),"x","")</f>
        <v/>
      </c>
      <c r="AC1390" s="75" t="str">
        <f>IF(AND(OR(LEFT(TH!N1390,2)="15",LEFT(TH!O1390,2)="15"),TK!$E$7=TH!F1390),"x","")</f>
        <v/>
      </c>
      <c r="AD1390" s="75" t="str">
        <f>IF(AND(N1390="1521",MONTH(C1390)='BK-NL'!$M$11),"x","")</f>
        <v/>
      </c>
    </row>
    <row r="1391" spans="1:30" ht="16.5" customHeight="1">
      <c r="A1391" s="309" t="str">
        <f>IF(B1391&lt;&gt;"",IF(AND(B1391='IN-TC'!$S$4,OR(TH!N1391="1111",TH!O1391="1111")),TH!D1391,""),"")</f>
        <v/>
      </c>
      <c r="B1391" s="1242">
        <f t="shared" si="309"/>
        <v>5</v>
      </c>
      <c r="C1391" s="292">
        <f t="shared" si="310"/>
        <v>42861</v>
      </c>
      <c r="D1391" s="292" t="s">
        <v>2967</v>
      </c>
      <c r="E1391" s="292">
        <v>42861</v>
      </c>
      <c r="F1391" s="429" t="s">
        <v>771</v>
      </c>
      <c r="G1391" s="925"/>
      <c r="H1391" s="429" t="s">
        <v>1882</v>
      </c>
      <c r="I1391" s="373">
        <v>57890</v>
      </c>
      <c r="J1391" s="379">
        <v>18500</v>
      </c>
      <c r="K1391" s="373"/>
      <c r="L1391" s="379"/>
      <c r="M1391" s="927">
        <f t="shared" si="311"/>
        <v>1070965000</v>
      </c>
      <c r="N1391" s="295" t="s">
        <v>264</v>
      </c>
      <c r="O1391" s="295" t="s">
        <v>8</v>
      </c>
      <c r="P1391" s="75" t="str">
        <f>IF(AND('331-CT'!$E$7=TH!H1391,OR(N1391="331",O1391="331")),"x","")</f>
        <v/>
      </c>
      <c r="Q1391" s="75" t="str">
        <f>IF(AND(B1391='111'!$L$11,OR($N1391=$Q$7,$O1391=$Q$7)),"x","")</f>
        <v/>
      </c>
      <c r="R1391" s="75" t="str">
        <f>IF(AND($N1391=$Q$7,$B1391&lt;'111'!$L$11),"x","")</f>
        <v/>
      </c>
      <c r="S1391" s="75" t="str">
        <f>IF(AND($O1391=$Q$7,$B1391&lt;'111'!$L$11),"x","")</f>
        <v/>
      </c>
      <c r="T1391" s="75" t="str">
        <f>IF(ISERROR(FIND('112'!$M$9,G1391,1)),"",IF((AND(FIND('112'!$M$9,G1391,1)&gt;=1,B1391='112'!$K$9,OR($N1391='112'!$I$6,$O1391='112'!$I$6))),"x",""))</f>
        <v/>
      </c>
      <c r="U1391" s="75" t="str">
        <f>IF(ISERROR(FIND('112'!$M$9,G1391,1)),"",IF((AND(LEFT(G1391,2)=LEFT('112'!$M$9,2),B1391&lt;'112'!$K$9,$N1391='112'!$I$6)),"x",""))</f>
        <v/>
      </c>
      <c r="V1391" s="75" t="str">
        <f>IF(ISERROR(FIND('112'!$M$9,G1391,1)),"",IF((AND(RIGHT(G1391,2)=RIGHT('112'!$M$9,2),B1391&lt;'112'!$K$9,$O1391='112'!$I$6)),"x",""))</f>
        <v/>
      </c>
      <c r="W1391" s="75" t="str">
        <f>IF(AND('341-CT'!$H$9=H1391,OR(LEFT(N1391,3)=$W$7,LEFT(O1391,3)=$W$7)),"x","")</f>
        <v/>
      </c>
      <c r="X1391" s="75" t="str">
        <f>IF(OR(TH!N1391=TH!$X$7,O1391=TH!$X$7),"x","")</f>
        <v/>
      </c>
      <c r="Y1391" s="75" t="str">
        <f>IF(AND(OR(N1391="131",O1391="131"),H1391='131-CT'!$H$9),"x","")</f>
        <v/>
      </c>
      <c r="Z1391" s="75"/>
      <c r="AA1391" s="75" t="str">
        <f>IF(AND(MONTH(E1391)='IN-NX'!$J$5,'IN-NX'!$D$7=D1391),"x","")</f>
        <v/>
      </c>
      <c r="AB1391" s="75" t="str">
        <f>IF(AND(OR(LEFT(TH!N1391,2)="15",LEFT(TH!O1391,2)="15"),LEFT(TH!O1391,3)&lt;&gt;"111",'152-CT'!$J$8=TH!F1391),"x","")</f>
        <v/>
      </c>
      <c r="AC1391" s="75" t="str">
        <f>IF(AND(OR(LEFT(TH!N1391,2)="15",LEFT(TH!O1391,2)="15"),TK!$E$7=TH!F1391),"x","")</f>
        <v/>
      </c>
      <c r="AD1391" s="75" t="str">
        <f>IF(AND(N1391="1521",MONTH(C1391)='BK-NL'!$M$11),"x","")</f>
        <v/>
      </c>
    </row>
    <row r="1392" spans="1:30" ht="16.5" customHeight="1">
      <c r="A1392" s="309" t="str">
        <f>IF(B1392&lt;&gt;"",IF(AND(B1392='IN-TC'!$S$4,OR(TH!N1392="1111",TH!O1392="1111")),TH!D1392,""),"")</f>
        <v/>
      </c>
      <c r="B1392" s="1242">
        <f t="shared" si="309"/>
        <v>5</v>
      </c>
      <c r="C1392" s="292">
        <f t="shared" si="310"/>
        <v>42861</v>
      </c>
      <c r="D1392" s="292" t="s">
        <v>2968</v>
      </c>
      <c r="E1392" s="292">
        <v>42861</v>
      </c>
      <c r="F1392" s="429" t="s">
        <v>771</v>
      </c>
      <c r="G1392" s="925"/>
      <c r="H1392" s="429" t="s">
        <v>1891</v>
      </c>
      <c r="I1392" s="373">
        <v>58620</v>
      </c>
      <c r="J1392" s="379">
        <v>18500</v>
      </c>
      <c r="K1392" s="373"/>
      <c r="L1392" s="379"/>
      <c r="M1392" s="927">
        <f t="shared" si="311"/>
        <v>1084470000</v>
      </c>
      <c r="N1392" s="295" t="s">
        <v>264</v>
      </c>
      <c r="O1392" s="295" t="s">
        <v>8</v>
      </c>
      <c r="P1392" s="75" t="str">
        <f>IF(AND('331-CT'!$E$7=TH!H1392,OR(N1392="331",O1392="331")),"x","")</f>
        <v/>
      </c>
      <c r="Q1392" s="75" t="str">
        <f>IF(AND(B1392='111'!$L$11,OR($N1392=$Q$7,$O1392=$Q$7)),"x","")</f>
        <v/>
      </c>
      <c r="R1392" s="75" t="str">
        <f>IF(AND($N1392=$Q$7,$B1392&lt;'111'!$L$11),"x","")</f>
        <v/>
      </c>
      <c r="S1392" s="75" t="str">
        <f>IF(AND($O1392=$Q$7,$B1392&lt;'111'!$L$11),"x","")</f>
        <v/>
      </c>
      <c r="T1392" s="75" t="str">
        <f>IF(ISERROR(FIND('112'!$M$9,G1392,1)),"",IF((AND(FIND('112'!$M$9,G1392,1)&gt;=1,B1392='112'!$K$9,OR($N1392='112'!$I$6,$O1392='112'!$I$6))),"x",""))</f>
        <v/>
      </c>
      <c r="U1392" s="75" t="str">
        <f>IF(ISERROR(FIND('112'!$M$9,G1392,1)),"",IF((AND(LEFT(G1392,2)=LEFT('112'!$M$9,2),B1392&lt;'112'!$K$9,$N1392='112'!$I$6)),"x",""))</f>
        <v/>
      </c>
      <c r="V1392" s="75" t="str">
        <f>IF(ISERROR(FIND('112'!$M$9,G1392,1)),"",IF((AND(RIGHT(G1392,2)=RIGHT('112'!$M$9,2),B1392&lt;'112'!$K$9,$O1392='112'!$I$6)),"x",""))</f>
        <v/>
      </c>
      <c r="W1392" s="75" t="str">
        <f>IF(AND('341-CT'!$H$9=H1392,OR(LEFT(N1392,3)=$W$7,LEFT(O1392,3)=$W$7)),"x","")</f>
        <v/>
      </c>
      <c r="X1392" s="75" t="str">
        <f>IF(OR(TH!N1392=TH!$X$7,O1392=TH!$X$7),"x","")</f>
        <v/>
      </c>
      <c r="Y1392" s="75" t="str">
        <f>IF(AND(OR(N1392="131",O1392="131"),H1392='131-CT'!$H$9),"x","")</f>
        <v/>
      </c>
      <c r="Z1392" s="75"/>
      <c r="AA1392" s="75" t="str">
        <f>IF(AND(MONTH(E1392)='IN-NX'!$J$5,'IN-NX'!$D$7=D1392),"x","")</f>
        <v/>
      </c>
      <c r="AB1392" s="75" t="str">
        <f>IF(AND(OR(LEFT(TH!N1392,2)="15",LEFT(TH!O1392,2)="15"),LEFT(TH!O1392,3)&lt;&gt;"111",'152-CT'!$J$8=TH!F1392),"x","")</f>
        <v/>
      </c>
      <c r="AC1392" s="75" t="str">
        <f>IF(AND(OR(LEFT(TH!N1392,2)="15",LEFT(TH!O1392,2)="15"),TK!$E$7=TH!F1392),"x","")</f>
        <v/>
      </c>
      <c r="AD1392" s="75" t="str">
        <f>IF(AND(N1392="1521",MONTH(C1392)='BK-NL'!$M$11),"x","")</f>
        <v/>
      </c>
    </row>
    <row r="1393" spans="1:30" ht="16.5" customHeight="1">
      <c r="A1393" s="309" t="str">
        <f>IF(B1393&lt;&gt;"",IF(AND(B1393='IN-TC'!$S$4,OR(TH!N1393="1111",TH!O1393="1111")),TH!D1393,""),"")</f>
        <v/>
      </c>
      <c r="B1393" s="1242">
        <f t="shared" ref="B1393:B1410" si="312">IF(C1393&lt;&gt;"",MONTH(C1393),"")</f>
        <v>5</v>
      </c>
      <c r="C1393" s="292">
        <f t="shared" ref="C1393:C1410" si="313">E1393</f>
        <v>42861</v>
      </c>
      <c r="D1393" s="292" t="s">
        <v>2973</v>
      </c>
      <c r="E1393" s="292">
        <v>42861</v>
      </c>
      <c r="F1393" s="429" t="s">
        <v>771</v>
      </c>
      <c r="G1393" s="925"/>
      <c r="H1393" s="311" t="s">
        <v>1886</v>
      </c>
      <c r="I1393" s="373">
        <v>58960</v>
      </c>
      <c r="J1393" s="379">
        <v>18500</v>
      </c>
      <c r="K1393" s="373"/>
      <c r="L1393" s="379"/>
      <c r="M1393" s="927">
        <f t="shared" ref="M1393:M1410" si="314">ROUND(I1393*J1393,0)</f>
        <v>1090760000</v>
      </c>
      <c r="N1393" s="295" t="s">
        <v>264</v>
      </c>
      <c r="O1393" s="295" t="s">
        <v>8</v>
      </c>
      <c r="P1393" s="75" t="str">
        <f>IF(AND('331-CT'!$E$7=TH!H1393,OR(N1393="331",O1393="331")),"x","")</f>
        <v>x</v>
      </c>
      <c r="Q1393" s="75" t="str">
        <f>IF(AND(B1393='111'!$L$11,OR($N1393=$Q$7,$O1393=$Q$7)),"x","")</f>
        <v/>
      </c>
      <c r="R1393" s="75" t="str">
        <f>IF(AND($N1393=$Q$7,$B1393&lt;'111'!$L$11),"x","")</f>
        <v/>
      </c>
      <c r="S1393" s="75" t="str">
        <f>IF(AND($O1393=$Q$7,$B1393&lt;'111'!$L$11),"x","")</f>
        <v/>
      </c>
      <c r="T1393" s="75" t="str">
        <f>IF(ISERROR(FIND('112'!$M$9,G1393,1)),"",IF((AND(FIND('112'!$M$9,G1393,1)&gt;=1,B1393='112'!$K$9,OR($N1393='112'!$I$6,$O1393='112'!$I$6))),"x",""))</f>
        <v/>
      </c>
      <c r="U1393" s="75" t="str">
        <f>IF(ISERROR(FIND('112'!$M$9,G1393,1)),"",IF((AND(LEFT(G1393,2)=LEFT('112'!$M$9,2),B1393&lt;'112'!$K$9,$N1393='112'!$I$6)),"x",""))</f>
        <v/>
      </c>
      <c r="V1393" s="75" t="str">
        <f>IF(ISERROR(FIND('112'!$M$9,G1393,1)),"",IF((AND(RIGHT(G1393,2)=RIGHT('112'!$M$9,2),B1393&lt;'112'!$K$9,$O1393='112'!$I$6)),"x",""))</f>
        <v/>
      </c>
      <c r="W1393" s="75" t="str">
        <f>IF(AND('341-CT'!$H$9=H1393,OR(LEFT(N1393,3)=$W$7,LEFT(O1393,3)=$W$7)),"x","")</f>
        <v/>
      </c>
      <c r="X1393" s="75" t="str">
        <f>IF(OR(TH!N1393=TH!$X$7,O1393=TH!$X$7),"x","")</f>
        <v/>
      </c>
      <c r="Y1393" s="75" t="str">
        <f>IF(AND(OR(N1393="131",O1393="131"),H1393='131-CT'!$H$9),"x","")</f>
        <v/>
      </c>
      <c r="Z1393" s="75"/>
      <c r="AA1393" s="75" t="str">
        <f>IF(AND(MONTH(E1393)='IN-NX'!$J$5,'IN-NX'!$D$7=D1393),"x","")</f>
        <v/>
      </c>
      <c r="AB1393" s="75" t="str">
        <f>IF(AND(OR(LEFT(TH!N1393,2)="15",LEFT(TH!O1393,2)="15"),LEFT(TH!O1393,3)&lt;&gt;"111",'152-CT'!$J$8=TH!F1393),"x","")</f>
        <v/>
      </c>
      <c r="AC1393" s="75" t="str">
        <f>IF(AND(OR(LEFT(TH!N1393,2)="15",LEFT(TH!O1393,2)="15"),TK!$E$7=TH!F1393),"x","")</f>
        <v/>
      </c>
      <c r="AD1393" s="75" t="str">
        <f>IF(AND(N1393="1521",MONTH(C1393)='BK-NL'!$M$11),"x","")</f>
        <v/>
      </c>
    </row>
    <row r="1394" spans="1:30" ht="16.5" customHeight="1">
      <c r="A1394" s="309" t="str">
        <f>IF(B1394&lt;&gt;"",IF(AND(B1394='IN-TC'!$S$4,OR(TH!N1394="1111",TH!O1394="1111")),TH!D1394,""),"")</f>
        <v/>
      </c>
      <c r="B1394" s="1242">
        <f t="shared" si="312"/>
        <v>5</v>
      </c>
      <c r="C1394" s="292">
        <f t="shared" si="313"/>
        <v>42864</v>
      </c>
      <c r="D1394" s="292" t="s">
        <v>2974</v>
      </c>
      <c r="E1394" s="292">
        <v>42864</v>
      </c>
      <c r="F1394" s="429" t="s">
        <v>771</v>
      </c>
      <c r="G1394" s="925"/>
      <c r="H1394" s="429" t="s">
        <v>1893</v>
      </c>
      <c r="I1394" s="373">
        <v>58640</v>
      </c>
      <c r="J1394" s="379">
        <v>18500</v>
      </c>
      <c r="K1394" s="373"/>
      <c r="L1394" s="379"/>
      <c r="M1394" s="927">
        <f t="shared" si="314"/>
        <v>1084840000</v>
      </c>
      <c r="N1394" s="295" t="s">
        <v>264</v>
      </c>
      <c r="O1394" s="295" t="s">
        <v>8</v>
      </c>
      <c r="P1394" s="75" t="str">
        <f>IF(AND('331-CT'!$E$7=TH!H1394,OR(N1394="331",O1394="331")),"x","")</f>
        <v/>
      </c>
      <c r="Q1394" s="75" t="str">
        <f>IF(AND(B1394='111'!$L$11,OR($N1394=$Q$7,$O1394=$Q$7)),"x","")</f>
        <v/>
      </c>
      <c r="R1394" s="75" t="str">
        <f>IF(AND($N1394=$Q$7,$B1394&lt;'111'!$L$11),"x","")</f>
        <v/>
      </c>
      <c r="S1394" s="75" t="str">
        <f>IF(AND($O1394=$Q$7,$B1394&lt;'111'!$L$11),"x","")</f>
        <v/>
      </c>
      <c r="T1394" s="75" t="str">
        <f>IF(ISERROR(FIND('112'!$M$9,G1394,1)),"",IF((AND(FIND('112'!$M$9,G1394,1)&gt;=1,B1394='112'!$K$9,OR($N1394='112'!$I$6,$O1394='112'!$I$6))),"x",""))</f>
        <v/>
      </c>
      <c r="U1394" s="75" t="str">
        <f>IF(ISERROR(FIND('112'!$M$9,G1394,1)),"",IF((AND(LEFT(G1394,2)=LEFT('112'!$M$9,2),B1394&lt;'112'!$K$9,$N1394='112'!$I$6)),"x",""))</f>
        <v/>
      </c>
      <c r="V1394" s="75" t="str">
        <f>IF(ISERROR(FIND('112'!$M$9,G1394,1)),"",IF((AND(RIGHT(G1394,2)=RIGHT('112'!$M$9,2),B1394&lt;'112'!$K$9,$O1394='112'!$I$6)),"x",""))</f>
        <v/>
      </c>
      <c r="W1394" s="75" t="str">
        <f>IF(AND('341-CT'!$H$9=H1394,OR(LEFT(N1394,3)=$W$7,LEFT(O1394,3)=$W$7)),"x","")</f>
        <v/>
      </c>
      <c r="X1394" s="75" t="str">
        <f>IF(OR(TH!N1394=TH!$X$7,O1394=TH!$X$7),"x","")</f>
        <v/>
      </c>
      <c r="Y1394" s="75" t="str">
        <f>IF(AND(OR(N1394="131",O1394="131"),H1394='131-CT'!$H$9),"x","")</f>
        <v/>
      </c>
      <c r="Z1394" s="75"/>
      <c r="AA1394" s="75" t="str">
        <f>IF(AND(MONTH(E1394)='IN-NX'!$J$5,'IN-NX'!$D$7=D1394),"x","")</f>
        <v/>
      </c>
      <c r="AB1394" s="75" t="str">
        <f>IF(AND(OR(LEFT(TH!N1394,2)="15",LEFT(TH!O1394,2)="15"),LEFT(TH!O1394,3)&lt;&gt;"111",'152-CT'!$J$8=TH!F1394),"x","")</f>
        <v/>
      </c>
      <c r="AC1394" s="75" t="str">
        <f>IF(AND(OR(LEFT(TH!N1394,2)="15",LEFT(TH!O1394,2)="15"),TK!$E$7=TH!F1394),"x","")</f>
        <v/>
      </c>
      <c r="AD1394" s="75" t="str">
        <f>IF(AND(N1394="1521",MONTH(C1394)='BK-NL'!$M$11),"x","")</f>
        <v/>
      </c>
    </row>
    <row r="1395" spans="1:30" ht="16.5" customHeight="1">
      <c r="A1395" s="309" t="str">
        <f>IF(B1395&lt;&gt;"",IF(AND(B1395='IN-TC'!$S$4,OR(TH!N1395="1111",TH!O1395="1111")),TH!D1395,""),"")</f>
        <v/>
      </c>
      <c r="B1395" s="1242">
        <f t="shared" si="312"/>
        <v>5</v>
      </c>
      <c r="C1395" s="292">
        <f t="shared" si="313"/>
        <v>42864</v>
      </c>
      <c r="D1395" s="292" t="s">
        <v>2975</v>
      </c>
      <c r="E1395" s="292">
        <v>42864</v>
      </c>
      <c r="F1395" s="429" t="s">
        <v>771</v>
      </c>
      <c r="G1395" s="925"/>
      <c r="H1395" s="311" t="s">
        <v>1886</v>
      </c>
      <c r="I1395" s="373">
        <v>57403</v>
      </c>
      <c r="J1395" s="379">
        <v>18500</v>
      </c>
      <c r="K1395" s="373"/>
      <c r="L1395" s="379"/>
      <c r="M1395" s="927">
        <f t="shared" si="314"/>
        <v>1061955500</v>
      </c>
      <c r="N1395" s="295" t="s">
        <v>264</v>
      </c>
      <c r="O1395" s="295" t="s">
        <v>8</v>
      </c>
      <c r="P1395" s="75" t="str">
        <f>IF(AND('331-CT'!$E$7=TH!H1395,OR(N1395="331",O1395="331")),"x","")</f>
        <v>x</v>
      </c>
      <c r="Q1395" s="75" t="str">
        <f>IF(AND(B1395='111'!$L$11,OR($N1395=$Q$7,$O1395=$Q$7)),"x","")</f>
        <v/>
      </c>
      <c r="R1395" s="75" t="str">
        <f>IF(AND($N1395=$Q$7,$B1395&lt;'111'!$L$11),"x","")</f>
        <v/>
      </c>
      <c r="S1395" s="75" t="str">
        <f>IF(AND($O1395=$Q$7,$B1395&lt;'111'!$L$11),"x","")</f>
        <v/>
      </c>
      <c r="T1395" s="75" t="str">
        <f>IF(ISERROR(FIND('112'!$M$9,G1395,1)),"",IF((AND(FIND('112'!$M$9,G1395,1)&gt;=1,B1395='112'!$K$9,OR($N1395='112'!$I$6,$O1395='112'!$I$6))),"x",""))</f>
        <v/>
      </c>
      <c r="U1395" s="75" t="str">
        <f>IF(ISERROR(FIND('112'!$M$9,G1395,1)),"",IF((AND(LEFT(G1395,2)=LEFT('112'!$M$9,2),B1395&lt;'112'!$K$9,$N1395='112'!$I$6)),"x",""))</f>
        <v/>
      </c>
      <c r="V1395" s="75" t="str">
        <f>IF(ISERROR(FIND('112'!$M$9,G1395,1)),"",IF((AND(RIGHT(G1395,2)=RIGHT('112'!$M$9,2),B1395&lt;'112'!$K$9,$O1395='112'!$I$6)),"x",""))</f>
        <v/>
      </c>
      <c r="W1395" s="75" t="str">
        <f>IF(AND('341-CT'!$H$9=H1395,OR(LEFT(N1395,3)=$W$7,LEFT(O1395,3)=$W$7)),"x","")</f>
        <v/>
      </c>
      <c r="X1395" s="75" t="str">
        <f>IF(OR(TH!N1395=TH!$X$7,O1395=TH!$X$7),"x","")</f>
        <v/>
      </c>
      <c r="Y1395" s="75" t="str">
        <f>IF(AND(OR(N1395="131",O1395="131"),H1395='131-CT'!$H$9),"x","")</f>
        <v/>
      </c>
      <c r="Z1395" s="75"/>
      <c r="AA1395" s="75" t="str">
        <f>IF(AND(MONTH(E1395)='IN-NX'!$J$5,'IN-NX'!$D$7=D1395),"x","")</f>
        <v/>
      </c>
      <c r="AB1395" s="75" t="str">
        <f>IF(AND(OR(LEFT(TH!N1395,2)="15",LEFT(TH!O1395,2)="15"),LEFT(TH!O1395,3)&lt;&gt;"111",'152-CT'!$J$8=TH!F1395),"x","")</f>
        <v/>
      </c>
      <c r="AC1395" s="75" t="str">
        <f>IF(AND(OR(LEFT(TH!N1395,2)="15",LEFT(TH!O1395,2)="15"),TK!$E$7=TH!F1395),"x","")</f>
        <v/>
      </c>
      <c r="AD1395" s="75" t="str">
        <f>IF(AND(N1395="1521",MONTH(C1395)='BK-NL'!$M$11),"x","")</f>
        <v/>
      </c>
    </row>
    <row r="1396" spans="1:30" ht="16.5" customHeight="1">
      <c r="A1396" s="309" t="str">
        <f>IF(B1396&lt;&gt;"",IF(AND(B1396='IN-TC'!$S$4,OR(TH!N1396="1111",TH!O1396="1111")),TH!D1396,""),"")</f>
        <v/>
      </c>
      <c r="B1396" s="1242">
        <f t="shared" si="312"/>
        <v>5</v>
      </c>
      <c r="C1396" s="292">
        <f t="shared" si="313"/>
        <v>42864</v>
      </c>
      <c r="D1396" s="292" t="s">
        <v>2976</v>
      </c>
      <c r="E1396" s="292">
        <v>42864</v>
      </c>
      <c r="F1396" s="429" t="s">
        <v>771</v>
      </c>
      <c r="G1396" s="925"/>
      <c r="H1396" s="429" t="s">
        <v>1882</v>
      </c>
      <c r="I1396" s="373">
        <v>58960</v>
      </c>
      <c r="J1396" s="379">
        <v>18500</v>
      </c>
      <c r="K1396" s="373"/>
      <c r="L1396" s="379"/>
      <c r="M1396" s="927">
        <f t="shared" si="314"/>
        <v>1090760000</v>
      </c>
      <c r="N1396" s="295" t="s">
        <v>264</v>
      </c>
      <c r="O1396" s="295" t="s">
        <v>8</v>
      </c>
      <c r="P1396" s="75" t="str">
        <f>IF(AND('331-CT'!$E$7=TH!H1396,OR(N1396="331",O1396="331")),"x","")</f>
        <v/>
      </c>
      <c r="Q1396" s="75" t="str">
        <f>IF(AND(B1396='111'!$L$11,OR($N1396=$Q$7,$O1396=$Q$7)),"x","")</f>
        <v/>
      </c>
      <c r="R1396" s="75" t="str">
        <f>IF(AND($N1396=$Q$7,$B1396&lt;'111'!$L$11),"x","")</f>
        <v/>
      </c>
      <c r="S1396" s="75" t="str">
        <f>IF(AND($O1396=$Q$7,$B1396&lt;'111'!$L$11),"x","")</f>
        <v/>
      </c>
      <c r="T1396" s="75" t="str">
        <f>IF(ISERROR(FIND('112'!$M$9,G1396,1)),"",IF((AND(FIND('112'!$M$9,G1396,1)&gt;=1,B1396='112'!$K$9,OR($N1396='112'!$I$6,$O1396='112'!$I$6))),"x",""))</f>
        <v/>
      </c>
      <c r="U1396" s="75" t="str">
        <f>IF(ISERROR(FIND('112'!$M$9,G1396,1)),"",IF((AND(LEFT(G1396,2)=LEFT('112'!$M$9,2),B1396&lt;'112'!$K$9,$N1396='112'!$I$6)),"x",""))</f>
        <v/>
      </c>
      <c r="V1396" s="75" t="str">
        <f>IF(ISERROR(FIND('112'!$M$9,G1396,1)),"",IF((AND(RIGHT(G1396,2)=RIGHT('112'!$M$9,2),B1396&lt;'112'!$K$9,$O1396='112'!$I$6)),"x",""))</f>
        <v/>
      </c>
      <c r="W1396" s="75" t="str">
        <f>IF(AND('341-CT'!$H$9=H1396,OR(LEFT(N1396,3)=$W$7,LEFT(O1396,3)=$W$7)),"x","")</f>
        <v/>
      </c>
      <c r="X1396" s="75" t="str">
        <f>IF(OR(TH!N1396=TH!$X$7,O1396=TH!$X$7),"x","")</f>
        <v/>
      </c>
      <c r="Y1396" s="75" t="str">
        <f>IF(AND(OR(N1396="131",O1396="131"),H1396='131-CT'!$H$9),"x","")</f>
        <v/>
      </c>
      <c r="Z1396" s="75"/>
      <c r="AA1396" s="75" t="str">
        <f>IF(AND(MONTH(E1396)='IN-NX'!$J$5,'IN-NX'!$D$7=D1396),"x","")</f>
        <v/>
      </c>
      <c r="AB1396" s="75" t="str">
        <f>IF(AND(OR(LEFT(TH!N1396,2)="15",LEFT(TH!O1396,2)="15"),LEFT(TH!O1396,3)&lt;&gt;"111",'152-CT'!$J$8=TH!F1396),"x","")</f>
        <v/>
      </c>
      <c r="AC1396" s="75" t="str">
        <f>IF(AND(OR(LEFT(TH!N1396,2)="15",LEFT(TH!O1396,2)="15"),TK!$E$7=TH!F1396),"x","")</f>
        <v/>
      </c>
      <c r="AD1396" s="75" t="str">
        <f>IF(AND(N1396="1521",MONTH(C1396)='BK-NL'!$M$11),"x","")</f>
        <v/>
      </c>
    </row>
    <row r="1397" spans="1:30" ht="16.5" customHeight="1">
      <c r="A1397" s="309" t="str">
        <f>IF(B1397&lt;&gt;"",IF(AND(B1397='IN-TC'!$S$4,OR(TH!N1397="1111",TH!O1397="1111")),TH!D1397,""),"")</f>
        <v/>
      </c>
      <c r="B1397" s="1242">
        <f t="shared" si="312"/>
        <v>5</v>
      </c>
      <c r="C1397" s="292">
        <f t="shared" si="313"/>
        <v>42864</v>
      </c>
      <c r="D1397" s="292" t="s">
        <v>2977</v>
      </c>
      <c r="E1397" s="292">
        <v>42864</v>
      </c>
      <c r="F1397" s="429" t="s">
        <v>771</v>
      </c>
      <c r="G1397" s="925"/>
      <c r="H1397" s="429" t="s">
        <v>1890</v>
      </c>
      <c r="I1397" s="373">
        <v>58740</v>
      </c>
      <c r="J1397" s="379">
        <v>18500</v>
      </c>
      <c r="K1397" s="373"/>
      <c r="L1397" s="379"/>
      <c r="M1397" s="927">
        <f t="shared" si="314"/>
        <v>1086690000</v>
      </c>
      <c r="N1397" s="295" t="s">
        <v>264</v>
      </c>
      <c r="O1397" s="295" t="s">
        <v>8</v>
      </c>
      <c r="P1397" s="75" t="str">
        <f>IF(AND('331-CT'!$E$7=TH!H1397,OR(N1397="331",O1397="331")),"x","")</f>
        <v/>
      </c>
      <c r="Q1397" s="75" t="str">
        <f>IF(AND(B1397='111'!$L$11,OR($N1397=$Q$7,$O1397=$Q$7)),"x","")</f>
        <v/>
      </c>
      <c r="R1397" s="75" t="str">
        <f>IF(AND($N1397=$Q$7,$B1397&lt;'111'!$L$11),"x","")</f>
        <v/>
      </c>
      <c r="S1397" s="75" t="str">
        <f>IF(AND($O1397=$Q$7,$B1397&lt;'111'!$L$11),"x","")</f>
        <v/>
      </c>
      <c r="T1397" s="75" t="str">
        <f>IF(ISERROR(FIND('112'!$M$9,G1397,1)),"",IF((AND(FIND('112'!$M$9,G1397,1)&gt;=1,B1397='112'!$K$9,OR($N1397='112'!$I$6,$O1397='112'!$I$6))),"x",""))</f>
        <v/>
      </c>
      <c r="U1397" s="75" t="str">
        <f>IF(ISERROR(FIND('112'!$M$9,G1397,1)),"",IF((AND(LEFT(G1397,2)=LEFT('112'!$M$9,2),B1397&lt;'112'!$K$9,$N1397='112'!$I$6)),"x",""))</f>
        <v/>
      </c>
      <c r="V1397" s="75" t="str">
        <f>IF(ISERROR(FIND('112'!$M$9,G1397,1)),"",IF((AND(RIGHT(G1397,2)=RIGHT('112'!$M$9,2),B1397&lt;'112'!$K$9,$O1397='112'!$I$6)),"x",""))</f>
        <v/>
      </c>
      <c r="W1397" s="75" t="str">
        <f>IF(AND('341-CT'!$H$9=H1397,OR(LEFT(N1397,3)=$W$7,LEFT(O1397,3)=$W$7)),"x","")</f>
        <v/>
      </c>
      <c r="X1397" s="75" t="str">
        <f>IF(OR(TH!N1397=TH!$X$7,O1397=TH!$X$7),"x","")</f>
        <v/>
      </c>
      <c r="Y1397" s="75" t="str">
        <f>IF(AND(OR(N1397="131",O1397="131"),H1397='131-CT'!$H$9),"x","")</f>
        <v/>
      </c>
      <c r="Z1397" s="75"/>
      <c r="AA1397" s="75" t="str">
        <f>IF(AND(MONTH(E1397)='IN-NX'!$J$5,'IN-NX'!$D$7=D1397),"x","")</f>
        <v/>
      </c>
      <c r="AB1397" s="75" t="str">
        <f>IF(AND(OR(LEFT(TH!N1397,2)="15",LEFT(TH!O1397,2)="15"),LEFT(TH!O1397,3)&lt;&gt;"111",'152-CT'!$J$8=TH!F1397),"x","")</f>
        <v/>
      </c>
      <c r="AC1397" s="75" t="str">
        <f>IF(AND(OR(LEFT(TH!N1397,2)="15",LEFT(TH!O1397,2)="15"),TK!$E$7=TH!F1397),"x","")</f>
        <v/>
      </c>
      <c r="AD1397" s="75" t="str">
        <f>IF(AND(N1397="1521",MONTH(C1397)='BK-NL'!$M$11),"x","")</f>
        <v/>
      </c>
    </row>
    <row r="1398" spans="1:30" ht="16.5" customHeight="1">
      <c r="A1398" s="309" t="str">
        <f>IF(B1398&lt;&gt;"",IF(AND(B1398='IN-TC'!$S$4,OR(TH!N1398="1111",TH!O1398="1111")),TH!D1398,""),"")</f>
        <v/>
      </c>
      <c r="B1398" s="1242">
        <f t="shared" si="312"/>
        <v>5</v>
      </c>
      <c r="C1398" s="292">
        <f t="shared" si="313"/>
        <v>42866</v>
      </c>
      <c r="D1398" s="292" t="s">
        <v>2983</v>
      </c>
      <c r="E1398" s="292">
        <v>42866</v>
      </c>
      <c r="F1398" s="429" t="s">
        <v>771</v>
      </c>
      <c r="G1398" s="925"/>
      <c r="H1398" s="429" t="s">
        <v>1889</v>
      </c>
      <c r="I1398" s="373">
        <v>56320</v>
      </c>
      <c r="J1398" s="379">
        <v>18500</v>
      </c>
      <c r="K1398" s="373"/>
      <c r="L1398" s="379"/>
      <c r="M1398" s="927">
        <f t="shared" si="314"/>
        <v>1041920000</v>
      </c>
      <c r="N1398" s="295" t="s">
        <v>264</v>
      </c>
      <c r="O1398" s="295" t="s">
        <v>8</v>
      </c>
      <c r="P1398" s="75" t="str">
        <f>IF(AND('331-CT'!$E$7=TH!H1398,OR(N1398="331",O1398="331")),"x","")</f>
        <v/>
      </c>
      <c r="Q1398" s="75" t="str">
        <f>IF(AND(B1398='111'!$L$11,OR($N1398=$Q$7,$O1398=$Q$7)),"x","")</f>
        <v/>
      </c>
      <c r="R1398" s="75" t="str">
        <f>IF(AND($N1398=$Q$7,$B1398&lt;'111'!$L$11),"x","")</f>
        <v/>
      </c>
      <c r="S1398" s="75" t="str">
        <f>IF(AND($O1398=$Q$7,$B1398&lt;'111'!$L$11),"x","")</f>
        <v/>
      </c>
      <c r="T1398" s="75" t="str">
        <f>IF(ISERROR(FIND('112'!$M$9,G1398,1)),"",IF((AND(FIND('112'!$M$9,G1398,1)&gt;=1,B1398='112'!$K$9,OR($N1398='112'!$I$6,$O1398='112'!$I$6))),"x",""))</f>
        <v/>
      </c>
      <c r="U1398" s="75" t="str">
        <f>IF(ISERROR(FIND('112'!$M$9,G1398,1)),"",IF((AND(LEFT(G1398,2)=LEFT('112'!$M$9,2),B1398&lt;'112'!$K$9,$N1398='112'!$I$6)),"x",""))</f>
        <v/>
      </c>
      <c r="V1398" s="75" t="str">
        <f>IF(ISERROR(FIND('112'!$M$9,G1398,1)),"",IF((AND(RIGHT(G1398,2)=RIGHT('112'!$M$9,2),B1398&lt;'112'!$K$9,$O1398='112'!$I$6)),"x",""))</f>
        <v/>
      </c>
      <c r="W1398" s="75" t="str">
        <f>IF(AND('341-CT'!$H$9=H1398,OR(LEFT(N1398,3)=$W$7,LEFT(O1398,3)=$W$7)),"x","")</f>
        <v/>
      </c>
      <c r="X1398" s="75" t="str">
        <f>IF(OR(TH!N1398=TH!$X$7,O1398=TH!$X$7),"x","")</f>
        <v/>
      </c>
      <c r="Y1398" s="75" t="str">
        <f>IF(AND(OR(N1398="131",O1398="131"),H1398='131-CT'!$H$9),"x","")</f>
        <v/>
      </c>
      <c r="Z1398" s="75"/>
      <c r="AA1398" s="75" t="str">
        <f>IF(AND(MONTH(E1398)='IN-NX'!$J$5,'IN-NX'!$D$7=D1398),"x","")</f>
        <v/>
      </c>
      <c r="AB1398" s="75" t="str">
        <f>IF(AND(OR(LEFT(TH!N1398,2)="15",LEFT(TH!O1398,2)="15"),LEFT(TH!O1398,3)&lt;&gt;"111",'152-CT'!$J$8=TH!F1398),"x","")</f>
        <v/>
      </c>
      <c r="AC1398" s="75" t="str">
        <f>IF(AND(OR(LEFT(TH!N1398,2)="15",LEFT(TH!O1398,2)="15"),TK!$E$7=TH!F1398),"x","")</f>
        <v/>
      </c>
      <c r="AD1398" s="75" t="str">
        <f>IF(AND(N1398="1521",MONTH(C1398)='BK-NL'!$M$11),"x","")</f>
        <v/>
      </c>
    </row>
    <row r="1399" spans="1:30" ht="16.5" customHeight="1">
      <c r="A1399" s="309" t="str">
        <f>IF(B1399&lt;&gt;"",IF(AND(B1399='IN-TC'!$S$4,OR(TH!N1399="1111",TH!O1399="1111")),TH!D1399,""),"")</f>
        <v/>
      </c>
      <c r="B1399" s="1242">
        <f t="shared" si="312"/>
        <v>5</v>
      </c>
      <c r="C1399" s="292">
        <f t="shared" si="313"/>
        <v>42866</v>
      </c>
      <c r="D1399" s="292" t="s">
        <v>2984</v>
      </c>
      <c r="E1399" s="292">
        <v>42866</v>
      </c>
      <c r="F1399" s="429" t="s">
        <v>771</v>
      </c>
      <c r="G1399" s="925"/>
      <c r="H1399" s="429" t="s">
        <v>1882</v>
      </c>
      <c r="I1399" s="373">
        <v>54780</v>
      </c>
      <c r="J1399" s="379">
        <v>18500</v>
      </c>
      <c r="K1399" s="373"/>
      <c r="L1399" s="379"/>
      <c r="M1399" s="927">
        <f t="shared" si="314"/>
        <v>1013430000</v>
      </c>
      <c r="N1399" s="295" t="s">
        <v>264</v>
      </c>
      <c r="O1399" s="295" t="s">
        <v>8</v>
      </c>
      <c r="P1399" s="75" t="str">
        <f>IF(AND('331-CT'!$E$7=TH!H1399,OR(N1399="331",O1399="331")),"x","")</f>
        <v/>
      </c>
      <c r="Q1399" s="75" t="str">
        <f>IF(AND(B1399='111'!$L$11,OR($N1399=$Q$7,$O1399=$Q$7)),"x","")</f>
        <v/>
      </c>
      <c r="R1399" s="75" t="str">
        <f>IF(AND($N1399=$Q$7,$B1399&lt;'111'!$L$11),"x","")</f>
        <v/>
      </c>
      <c r="S1399" s="75" t="str">
        <f>IF(AND($O1399=$Q$7,$B1399&lt;'111'!$L$11),"x","")</f>
        <v/>
      </c>
      <c r="T1399" s="75" t="str">
        <f>IF(ISERROR(FIND('112'!$M$9,G1399,1)),"",IF((AND(FIND('112'!$M$9,G1399,1)&gt;=1,B1399='112'!$K$9,OR($N1399='112'!$I$6,$O1399='112'!$I$6))),"x",""))</f>
        <v/>
      </c>
      <c r="U1399" s="75" t="str">
        <f>IF(ISERROR(FIND('112'!$M$9,G1399,1)),"",IF((AND(LEFT(G1399,2)=LEFT('112'!$M$9,2),B1399&lt;'112'!$K$9,$N1399='112'!$I$6)),"x",""))</f>
        <v/>
      </c>
      <c r="V1399" s="75" t="str">
        <f>IF(ISERROR(FIND('112'!$M$9,G1399,1)),"",IF((AND(RIGHT(G1399,2)=RIGHT('112'!$M$9,2),B1399&lt;'112'!$K$9,$O1399='112'!$I$6)),"x",""))</f>
        <v/>
      </c>
      <c r="W1399" s="75" t="str">
        <f>IF(AND('341-CT'!$H$9=H1399,OR(LEFT(N1399,3)=$W$7,LEFT(O1399,3)=$W$7)),"x","")</f>
        <v/>
      </c>
      <c r="X1399" s="75" t="str">
        <f>IF(OR(TH!N1399=TH!$X$7,O1399=TH!$X$7),"x","")</f>
        <v/>
      </c>
      <c r="Y1399" s="75" t="str">
        <f>IF(AND(OR(N1399="131",O1399="131"),H1399='131-CT'!$H$9),"x","")</f>
        <v/>
      </c>
      <c r="Z1399" s="75"/>
      <c r="AA1399" s="75" t="str">
        <f>IF(AND(MONTH(E1399)='IN-NX'!$J$5,'IN-NX'!$D$7=D1399),"x","")</f>
        <v/>
      </c>
      <c r="AB1399" s="75" t="str">
        <f>IF(AND(OR(LEFT(TH!N1399,2)="15",LEFT(TH!O1399,2)="15"),LEFT(TH!O1399,3)&lt;&gt;"111",'152-CT'!$J$8=TH!F1399),"x","")</f>
        <v/>
      </c>
      <c r="AC1399" s="75" t="str">
        <f>IF(AND(OR(LEFT(TH!N1399,2)="15",LEFT(TH!O1399,2)="15"),TK!$E$7=TH!F1399),"x","")</f>
        <v/>
      </c>
      <c r="AD1399" s="75" t="str">
        <f>IF(AND(N1399="1521",MONTH(C1399)='BK-NL'!$M$11),"x","")</f>
        <v/>
      </c>
    </row>
    <row r="1400" spans="1:30" ht="16.5" customHeight="1">
      <c r="A1400" s="309" t="str">
        <f>IF(B1400&lt;&gt;"",IF(AND(B1400='IN-TC'!$S$4,OR(TH!N1400="1111",TH!O1400="1111")),TH!D1400,""),"")</f>
        <v/>
      </c>
      <c r="B1400" s="1242">
        <f t="shared" si="312"/>
        <v>5</v>
      </c>
      <c r="C1400" s="292">
        <f t="shared" si="313"/>
        <v>42866</v>
      </c>
      <c r="D1400" s="292" t="s">
        <v>2985</v>
      </c>
      <c r="E1400" s="292">
        <v>42866</v>
      </c>
      <c r="F1400" s="429" t="s">
        <v>771</v>
      </c>
      <c r="G1400" s="925"/>
      <c r="H1400" s="429" t="s">
        <v>1890</v>
      </c>
      <c r="I1400" s="373">
        <v>59840</v>
      </c>
      <c r="J1400" s="379">
        <v>18500</v>
      </c>
      <c r="K1400" s="373"/>
      <c r="L1400" s="379"/>
      <c r="M1400" s="927">
        <f t="shared" si="314"/>
        <v>1107040000</v>
      </c>
      <c r="N1400" s="295" t="s">
        <v>264</v>
      </c>
      <c r="O1400" s="295" t="s">
        <v>8</v>
      </c>
      <c r="P1400" s="75" t="str">
        <f>IF(AND('331-CT'!$E$7=TH!H1400,OR(N1400="331",O1400="331")),"x","")</f>
        <v/>
      </c>
      <c r="Q1400" s="75" t="str">
        <f>IF(AND(B1400='111'!$L$11,OR($N1400=$Q$7,$O1400=$Q$7)),"x","")</f>
        <v/>
      </c>
      <c r="R1400" s="75" t="str">
        <f>IF(AND($N1400=$Q$7,$B1400&lt;'111'!$L$11),"x","")</f>
        <v/>
      </c>
      <c r="S1400" s="75" t="str">
        <f>IF(AND($O1400=$Q$7,$B1400&lt;'111'!$L$11),"x","")</f>
        <v/>
      </c>
      <c r="T1400" s="75" t="str">
        <f>IF(ISERROR(FIND('112'!$M$9,G1400,1)),"",IF((AND(FIND('112'!$M$9,G1400,1)&gt;=1,B1400='112'!$K$9,OR($N1400='112'!$I$6,$O1400='112'!$I$6))),"x",""))</f>
        <v/>
      </c>
      <c r="U1400" s="75" t="str">
        <f>IF(ISERROR(FIND('112'!$M$9,G1400,1)),"",IF((AND(LEFT(G1400,2)=LEFT('112'!$M$9,2),B1400&lt;'112'!$K$9,$N1400='112'!$I$6)),"x",""))</f>
        <v/>
      </c>
      <c r="V1400" s="75" t="str">
        <f>IF(ISERROR(FIND('112'!$M$9,G1400,1)),"",IF((AND(RIGHT(G1400,2)=RIGHT('112'!$M$9,2),B1400&lt;'112'!$K$9,$O1400='112'!$I$6)),"x",""))</f>
        <v/>
      </c>
      <c r="W1400" s="75" t="str">
        <f>IF(AND('341-CT'!$H$9=H1400,OR(LEFT(N1400,3)=$W$7,LEFT(O1400,3)=$W$7)),"x","")</f>
        <v/>
      </c>
      <c r="X1400" s="75" t="str">
        <f>IF(OR(TH!N1400=TH!$X$7,O1400=TH!$X$7),"x","")</f>
        <v/>
      </c>
      <c r="Y1400" s="75" t="str">
        <f>IF(AND(OR(N1400="131",O1400="131"),H1400='131-CT'!$H$9),"x","")</f>
        <v/>
      </c>
      <c r="Z1400" s="75"/>
      <c r="AA1400" s="75" t="str">
        <f>IF(AND(MONTH(E1400)='IN-NX'!$J$5,'IN-NX'!$D$7=D1400),"x","")</f>
        <v/>
      </c>
      <c r="AB1400" s="75" t="str">
        <f>IF(AND(OR(LEFT(TH!N1400,2)="15",LEFT(TH!O1400,2)="15"),LEFT(TH!O1400,3)&lt;&gt;"111",'152-CT'!$J$8=TH!F1400),"x","")</f>
        <v/>
      </c>
      <c r="AC1400" s="75" t="str">
        <f>IF(AND(OR(LEFT(TH!N1400,2)="15",LEFT(TH!O1400,2)="15"),TK!$E$7=TH!F1400),"x","")</f>
        <v/>
      </c>
      <c r="AD1400" s="75" t="str">
        <f>IF(AND(N1400="1521",MONTH(C1400)='BK-NL'!$M$11),"x","")</f>
        <v/>
      </c>
    </row>
    <row r="1401" spans="1:30" ht="16.5" customHeight="1">
      <c r="A1401" s="309" t="str">
        <f>IF(B1401&lt;&gt;"",IF(AND(B1401='IN-TC'!$S$4,OR(TH!N1401="1111",TH!O1401="1111")),TH!D1401,""),"")</f>
        <v/>
      </c>
      <c r="B1401" s="1242">
        <f t="shared" si="312"/>
        <v>5</v>
      </c>
      <c r="C1401" s="292">
        <f t="shared" si="313"/>
        <v>42868</v>
      </c>
      <c r="D1401" s="292" t="s">
        <v>2986</v>
      </c>
      <c r="E1401" s="292">
        <v>42868</v>
      </c>
      <c r="F1401" s="429" t="s">
        <v>771</v>
      </c>
      <c r="G1401" s="925"/>
      <c r="H1401" s="429" t="s">
        <v>1882</v>
      </c>
      <c r="I1401" s="373">
        <v>58640</v>
      </c>
      <c r="J1401" s="379">
        <v>18500</v>
      </c>
      <c r="K1401" s="373"/>
      <c r="L1401" s="379"/>
      <c r="M1401" s="927">
        <f t="shared" si="314"/>
        <v>1084840000</v>
      </c>
      <c r="N1401" s="295" t="s">
        <v>264</v>
      </c>
      <c r="O1401" s="295" t="s">
        <v>8</v>
      </c>
      <c r="P1401" s="75" t="str">
        <f>IF(AND('331-CT'!$E$7=TH!H1401,OR(N1401="331",O1401="331")),"x","")</f>
        <v/>
      </c>
      <c r="Q1401" s="75" t="str">
        <f>IF(AND(B1401='111'!$L$11,OR($N1401=$Q$7,$O1401=$Q$7)),"x","")</f>
        <v/>
      </c>
      <c r="R1401" s="75" t="str">
        <f>IF(AND($N1401=$Q$7,$B1401&lt;'111'!$L$11),"x","")</f>
        <v/>
      </c>
      <c r="S1401" s="75" t="str">
        <f>IF(AND($O1401=$Q$7,$B1401&lt;'111'!$L$11),"x","")</f>
        <v/>
      </c>
      <c r="T1401" s="75" t="str">
        <f>IF(ISERROR(FIND('112'!$M$9,G1401,1)),"",IF((AND(FIND('112'!$M$9,G1401,1)&gt;=1,B1401='112'!$K$9,OR($N1401='112'!$I$6,$O1401='112'!$I$6))),"x",""))</f>
        <v/>
      </c>
      <c r="U1401" s="75" t="str">
        <f>IF(ISERROR(FIND('112'!$M$9,G1401,1)),"",IF((AND(LEFT(G1401,2)=LEFT('112'!$M$9,2),B1401&lt;'112'!$K$9,$N1401='112'!$I$6)),"x",""))</f>
        <v/>
      </c>
      <c r="V1401" s="75" t="str">
        <f>IF(ISERROR(FIND('112'!$M$9,G1401,1)),"",IF((AND(RIGHT(G1401,2)=RIGHT('112'!$M$9,2),B1401&lt;'112'!$K$9,$O1401='112'!$I$6)),"x",""))</f>
        <v/>
      </c>
      <c r="W1401" s="75" t="str">
        <f>IF(AND('341-CT'!$H$9=H1401,OR(LEFT(N1401,3)=$W$7,LEFT(O1401,3)=$W$7)),"x","")</f>
        <v/>
      </c>
      <c r="X1401" s="75" t="str">
        <f>IF(OR(TH!N1401=TH!$X$7,O1401=TH!$X$7),"x","")</f>
        <v/>
      </c>
      <c r="Y1401" s="75" t="str">
        <f>IF(AND(OR(N1401="131",O1401="131"),H1401='131-CT'!$H$9),"x","")</f>
        <v/>
      </c>
      <c r="Z1401" s="75"/>
      <c r="AA1401" s="75" t="str">
        <f>IF(AND(MONTH(E1401)='IN-NX'!$J$5,'IN-NX'!$D$7=D1401),"x","")</f>
        <v/>
      </c>
      <c r="AB1401" s="75" t="str">
        <f>IF(AND(OR(LEFT(TH!N1401,2)="15",LEFT(TH!O1401,2)="15"),LEFT(TH!O1401,3)&lt;&gt;"111",'152-CT'!$J$8=TH!F1401),"x","")</f>
        <v/>
      </c>
      <c r="AC1401" s="75" t="str">
        <f>IF(AND(OR(LEFT(TH!N1401,2)="15",LEFT(TH!O1401,2)="15"),TK!$E$7=TH!F1401),"x","")</f>
        <v/>
      </c>
      <c r="AD1401" s="75" t="str">
        <f>IF(AND(N1401="1521",MONTH(C1401)='BK-NL'!$M$11),"x","")</f>
        <v/>
      </c>
    </row>
    <row r="1402" spans="1:30" ht="16.5" customHeight="1">
      <c r="A1402" s="309" t="str">
        <f>IF(B1402&lt;&gt;"",IF(AND(B1402='IN-TC'!$S$4,OR(TH!N1402="1111",TH!O1402="1111")),TH!D1402,""),"")</f>
        <v/>
      </c>
      <c r="B1402" s="1242">
        <f t="shared" si="312"/>
        <v>5</v>
      </c>
      <c r="C1402" s="292">
        <f t="shared" si="313"/>
        <v>42868</v>
      </c>
      <c r="D1402" s="292" t="s">
        <v>2987</v>
      </c>
      <c r="E1402" s="292">
        <v>42868</v>
      </c>
      <c r="F1402" s="429" t="s">
        <v>771</v>
      </c>
      <c r="G1402" s="925"/>
      <c r="H1402" s="429" t="s">
        <v>1890</v>
      </c>
      <c r="I1402" s="373">
        <v>57850</v>
      </c>
      <c r="J1402" s="379">
        <v>18500</v>
      </c>
      <c r="K1402" s="373"/>
      <c r="L1402" s="379"/>
      <c r="M1402" s="927">
        <f t="shared" si="314"/>
        <v>1070225000</v>
      </c>
      <c r="N1402" s="295" t="s">
        <v>264</v>
      </c>
      <c r="O1402" s="295" t="s">
        <v>8</v>
      </c>
      <c r="P1402" s="75" t="str">
        <f>IF(AND('331-CT'!$E$7=TH!H1402,OR(N1402="331",O1402="331")),"x","")</f>
        <v/>
      </c>
      <c r="Q1402" s="75" t="str">
        <f>IF(AND(B1402='111'!$L$11,OR($N1402=$Q$7,$O1402=$Q$7)),"x","")</f>
        <v/>
      </c>
      <c r="R1402" s="75" t="str">
        <f>IF(AND($N1402=$Q$7,$B1402&lt;'111'!$L$11),"x","")</f>
        <v/>
      </c>
      <c r="S1402" s="75" t="str">
        <f>IF(AND($O1402=$Q$7,$B1402&lt;'111'!$L$11),"x","")</f>
        <v/>
      </c>
      <c r="T1402" s="75" t="str">
        <f>IF(ISERROR(FIND('112'!$M$9,G1402,1)),"",IF((AND(FIND('112'!$M$9,G1402,1)&gt;=1,B1402='112'!$K$9,OR($N1402='112'!$I$6,$O1402='112'!$I$6))),"x",""))</f>
        <v/>
      </c>
      <c r="U1402" s="75" t="str">
        <f>IF(ISERROR(FIND('112'!$M$9,G1402,1)),"",IF((AND(LEFT(G1402,2)=LEFT('112'!$M$9,2),B1402&lt;'112'!$K$9,$N1402='112'!$I$6)),"x",""))</f>
        <v/>
      </c>
      <c r="V1402" s="75" t="str">
        <f>IF(ISERROR(FIND('112'!$M$9,G1402,1)),"",IF((AND(RIGHT(G1402,2)=RIGHT('112'!$M$9,2),B1402&lt;'112'!$K$9,$O1402='112'!$I$6)),"x",""))</f>
        <v/>
      </c>
      <c r="W1402" s="75" t="str">
        <f>IF(AND('341-CT'!$H$9=H1402,OR(LEFT(N1402,3)=$W$7,LEFT(O1402,3)=$W$7)),"x","")</f>
        <v/>
      </c>
      <c r="X1402" s="75" t="str">
        <f>IF(OR(TH!N1402=TH!$X$7,O1402=TH!$X$7),"x","")</f>
        <v/>
      </c>
      <c r="Y1402" s="75" t="str">
        <f>IF(AND(OR(N1402="131",O1402="131"),H1402='131-CT'!$H$9),"x","")</f>
        <v/>
      </c>
      <c r="Z1402" s="75"/>
      <c r="AA1402" s="75" t="str">
        <f>IF(AND(MONTH(E1402)='IN-NX'!$J$5,'IN-NX'!$D$7=D1402),"x","")</f>
        <v/>
      </c>
      <c r="AB1402" s="75" t="str">
        <f>IF(AND(OR(LEFT(TH!N1402,2)="15",LEFT(TH!O1402,2)="15"),LEFT(TH!O1402,3)&lt;&gt;"111",'152-CT'!$J$8=TH!F1402),"x","")</f>
        <v/>
      </c>
      <c r="AC1402" s="75" t="str">
        <f>IF(AND(OR(LEFT(TH!N1402,2)="15",LEFT(TH!O1402,2)="15"),TK!$E$7=TH!F1402),"x","")</f>
        <v/>
      </c>
      <c r="AD1402" s="75" t="str">
        <f>IF(AND(N1402="1521",MONTH(C1402)='BK-NL'!$M$11),"x","")</f>
        <v/>
      </c>
    </row>
    <row r="1403" spans="1:30" ht="16.5" customHeight="1">
      <c r="A1403" s="309" t="str">
        <f>IF(B1403&lt;&gt;"",IF(AND(B1403='IN-TC'!$S$4,OR(TH!N1403="1111",TH!O1403="1111")),TH!D1403,""),"")</f>
        <v/>
      </c>
      <c r="B1403" s="1242">
        <f t="shared" si="312"/>
        <v>5</v>
      </c>
      <c r="C1403" s="292">
        <f t="shared" si="313"/>
        <v>42868</v>
      </c>
      <c r="D1403" s="292" t="s">
        <v>2990</v>
      </c>
      <c r="E1403" s="292">
        <v>42868</v>
      </c>
      <c r="F1403" s="429" t="s">
        <v>771</v>
      </c>
      <c r="G1403" s="925"/>
      <c r="H1403" s="311" t="s">
        <v>1886</v>
      </c>
      <c r="I1403" s="373">
        <v>58760</v>
      </c>
      <c r="J1403" s="379">
        <v>18500</v>
      </c>
      <c r="K1403" s="373"/>
      <c r="L1403" s="379"/>
      <c r="M1403" s="927">
        <f t="shared" si="314"/>
        <v>1087060000</v>
      </c>
      <c r="N1403" s="295" t="s">
        <v>264</v>
      </c>
      <c r="O1403" s="295" t="s">
        <v>8</v>
      </c>
      <c r="P1403" s="75" t="str">
        <f>IF(AND('331-CT'!$E$7=TH!H1403,OR(N1403="331",O1403="331")),"x","")</f>
        <v>x</v>
      </c>
      <c r="Q1403" s="75" t="str">
        <f>IF(AND(B1403='111'!$L$11,OR($N1403=$Q$7,$O1403=$Q$7)),"x","")</f>
        <v/>
      </c>
      <c r="R1403" s="75" t="str">
        <f>IF(AND($N1403=$Q$7,$B1403&lt;'111'!$L$11),"x","")</f>
        <v/>
      </c>
      <c r="S1403" s="75" t="str">
        <f>IF(AND($O1403=$Q$7,$B1403&lt;'111'!$L$11),"x","")</f>
        <v/>
      </c>
      <c r="T1403" s="75" t="str">
        <f>IF(ISERROR(FIND('112'!$M$9,G1403,1)),"",IF((AND(FIND('112'!$M$9,G1403,1)&gt;=1,B1403='112'!$K$9,OR($N1403='112'!$I$6,$O1403='112'!$I$6))),"x",""))</f>
        <v/>
      </c>
      <c r="U1403" s="75" t="str">
        <f>IF(ISERROR(FIND('112'!$M$9,G1403,1)),"",IF((AND(LEFT(G1403,2)=LEFT('112'!$M$9,2),B1403&lt;'112'!$K$9,$N1403='112'!$I$6)),"x",""))</f>
        <v/>
      </c>
      <c r="V1403" s="75" t="str">
        <f>IF(ISERROR(FIND('112'!$M$9,G1403,1)),"",IF((AND(RIGHT(G1403,2)=RIGHT('112'!$M$9,2),B1403&lt;'112'!$K$9,$O1403='112'!$I$6)),"x",""))</f>
        <v/>
      </c>
      <c r="W1403" s="75" t="str">
        <f>IF(AND('341-CT'!$H$9=H1403,OR(LEFT(N1403,3)=$W$7,LEFT(O1403,3)=$W$7)),"x","")</f>
        <v/>
      </c>
      <c r="X1403" s="75" t="str">
        <f>IF(OR(TH!N1403=TH!$X$7,O1403=TH!$X$7),"x","")</f>
        <v/>
      </c>
      <c r="Y1403" s="75" t="str">
        <f>IF(AND(OR(N1403="131",O1403="131"),H1403='131-CT'!$H$9),"x","")</f>
        <v/>
      </c>
      <c r="Z1403" s="75"/>
      <c r="AA1403" s="75" t="str">
        <f>IF(AND(MONTH(E1403)='IN-NX'!$J$5,'IN-NX'!$D$7=D1403),"x","")</f>
        <v/>
      </c>
      <c r="AB1403" s="75" t="str">
        <f>IF(AND(OR(LEFT(TH!N1403,2)="15",LEFT(TH!O1403,2)="15"),LEFT(TH!O1403,3)&lt;&gt;"111",'152-CT'!$J$8=TH!F1403),"x","")</f>
        <v/>
      </c>
      <c r="AC1403" s="75" t="str">
        <f>IF(AND(OR(LEFT(TH!N1403,2)="15",LEFT(TH!O1403,2)="15"),TK!$E$7=TH!F1403),"x","")</f>
        <v/>
      </c>
      <c r="AD1403" s="75" t="str">
        <f>IF(AND(N1403="1521",MONTH(C1403)='BK-NL'!$M$11),"x","")</f>
        <v/>
      </c>
    </row>
    <row r="1404" spans="1:30" ht="16.5" customHeight="1">
      <c r="A1404" s="309" t="str">
        <f>IF(B1404&lt;&gt;"",IF(AND(B1404='IN-TC'!$S$4,OR(TH!N1404="1111",TH!O1404="1111")),TH!D1404,""),"")</f>
        <v/>
      </c>
      <c r="B1404" s="1242">
        <f t="shared" si="312"/>
        <v>5</v>
      </c>
      <c r="C1404" s="292">
        <f t="shared" si="313"/>
        <v>42870</v>
      </c>
      <c r="D1404" s="292" t="s">
        <v>2991</v>
      </c>
      <c r="E1404" s="292">
        <v>42870</v>
      </c>
      <c r="F1404" s="429" t="s">
        <v>771</v>
      </c>
      <c r="G1404" s="925"/>
      <c r="H1404" s="429" t="s">
        <v>1882</v>
      </c>
      <c r="I1404" s="373">
        <v>57890</v>
      </c>
      <c r="J1404" s="379">
        <v>18500</v>
      </c>
      <c r="K1404" s="373"/>
      <c r="L1404" s="379"/>
      <c r="M1404" s="927">
        <f t="shared" si="314"/>
        <v>1070965000</v>
      </c>
      <c r="N1404" s="295" t="s">
        <v>264</v>
      </c>
      <c r="O1404" s="295" t="s">
        <v>8</v>
      </c>
      <c r="P1404" s="75" t="str">
        <f>IF(AND('331-CT'!$E$7=TH!H1404,OR(N1404="331",O1404="331")),"x","")</f>
        <v/>
      </c>
      <c r="Q1404" s="75" t="str">
        <f>IF(AND(B1404='111'!$L$11,OR($N1404=$Q$7,$O1404=$Q$7)),"x","")</f>
        <v/>
      </c>
      <c r="R1404" s="75" t="str">
        <f>IF(AND($N1404=$Q$7,$B1404&lt;'111'!$L$11),"x","")</f>
        <v/>
      </c>
      <c r="S1404" s="75" t="str">
        <f>IF(AND($O1404=$Q$7,$B1404&lt;'111'!$L$11),"x","")</f>
        <v/>
      </c>
      <c r="T1404" s="75" t="str">
        <f>IF(ISERROR(FIND('112'!$M$9,G1404,1)),"",IF((AND(FIND('112'!$M$9,G1404,1)&gt;=1,B1404='112'!$K$9,OR($N1404='112'!$I$6,$O1404='112'!$I$6))),"x",""))</f>
        <v/>
      </c>
      <c r="U1404" s="75" t="str">
        <f>IF(ISERROR(FIND('112'!$M$9,G1404,1)),"",IF((AND(LEFT(G1404,2)=LEFT('112'!$M$9,2),B1404&lt;'112'!$K$9,$N1404='112'!$I$6)),"x",""))</f>
        <v/>
      </c>
      <c r="V1404" s="75" t="str">
        <f>IF(ISERROR(FIND('112'!$M$9,G1404,1)),"",IF((AND(RIGHT(G1404,2)=RIGHT('112'!$M$9,2),B1404&lt;'112'!$K$9,$O1404='112'!$I$6)),"x",""))</f>
        <v/>
      </c>
      <c r="W1404" s="75" t="str">
        <f>IF(AND('341-CT'!$H$9=H1404,OR(LEFT(N1404,3)=$W$7,LEFT(O1404,3)=$W$7)),"x","")</f>
        <v/>
      </c>
      <c r="X1404" s="75" t="str">
        <f>IF(OR(TH!N1404=TH!$X$7,O1404=TH!$X$7),"x","")</f>
        <v/>
      </c>
      <c r="Y1404" s="75" t="str">
        <f>IF(AND(OR(N1404="131",O1404="131"),H1404='131-CT'!$H$9),"x","")</f>
        <v/>
      </c>
      <c r="Z1404" s="75"/>
      <c r="AA1404" s="75" t="str">
        <f>IF(AND(MONTH(E1404)='IN-NX'!$J$5,'IN-NX'!$D$7=D1404),"x","")</f>
        <v/>
      </c>
      <c r="AB1404" s="75" t="str">
        <f>IF(AND(OR(LEFT(TH!N1404,2)="15",LEFT(TH!O1404,2)="15"),LEFT(TH!O1404,3)&lt;&gt;"111",'152-CT'!$J$8=TH!F1404),"x","")</f>
        <v/>
      </c>
      <c r="AC1404" s="75" t="str">
        <f>IF(AND(OR(LEFT(TH!N1404,2)="15",LEFT(TH!O1404,2)="15"),TK!$E$7=TH!F1404),"x","")</f>
        <v/>
      </c>
      <c r="AD1404" s="75" t="str">
        <f>IF(AND(N1404="1521",MONTH(C1404)='BK-NL'!$M$11),"x","")</f>
        <v/>
      </c>
    </row>
    <row r="1405" spans="1:30" ht="16.5" customHeight="1">
      <c r="A1405" s="309" t="str">
        <f>IF(B1405&lt;&gt;"",IF(AND(B1405='IN-TC'!$S$4,OR(TH!N1405="1111",TH!O1405="1111")),TH!D1405,""),"")</f>
        <v/>
      </c>
      <c r="B1405" s="1242">
        <f t="shared" si="312"/>
        <v>5</v>
      </c>
      <c r="C1405" s="292">
        <f t="shared" si="313"/>
        <v>42870</v>
      </c>
      <c r="D1405" s="292" t="s">
        <v>2992</v>
      </c>
      <c r="E1405" s="292">
        <v>42870</v>
      </c>
      <c r="F1405" s="429" t="s">
        <v>771</v>
      </c>
      <c r="G1405" s="925"/>
      <c r="H1405" s="429" t="s">
        <v>1890</v>
      </c>
      <c r="I1405" s="373">
        <v>59740</v>
      </c>
      <c r="J1405" s="379">
        <v>18500</v>
      </c>
      <c r="K1405" s="373"/>
      <c r="L1405" s="379"/>
      <c r="M1405" s="927">
        <f t="shared" si="314"/>
        <v>1105190000</v>
      </c>
      <c r="N1405" s="295" t="s">
        <v>264</v>
      </c>
      <c r="O1405" s="295" t="s">
        <v>8</v>
      </c>
      <c r="P1405" s="75" t="str">
        <f>IF(AND('331-CT'!$E$7=TH!H1405,OR(N1405="331",O1405="331")),"x","")</f>
        <v/>
      </c>
      <c r="Q1405" s="75" t="str">
        <f>IF(AND(B1405='111'!$L$11,OR($N1405=$Q$7,$O1405=$Q$7)),"x","")</f>
        <v/>
      </c>
      <c r="R1405" s="75" t="str">
        <f>IF(AND($N1405=$Q$7,$B1405&lt;'111'!$L$11),"x","")</f>
        <v/>
      </c>
      <c r="S1405" s="75" t="str">
        <f>IF(AND($O1405=$Q$7,$B1405&lt;'111'!$L$11),"x","")</f>
        <v/>
      </c>
      <c r="T1405" s="75" t="str">
        <f>IF(ISERROR(FIND('112'!$M$9,G1405,1)),"",IF((AND(FIND('112'!$M$9,G1405,1)&gt;=1,B1405='112'!$K$9,OR($N1405='112'!$I$6,$O1405='112'!$I$6))),"x",""))</f>
        <v/>
      </c>
      <c r="U1405" s="75" t="str">
        <f>IF(ISERROR(FIND('112'!$M$9,G1405,1)),"",IF((AND(LEFT(G1405,2)=LEFT('112'!$M$9,2),B1405&lt;'112'!$K$9,$N1405='112'!$I$6)),"x",""))</f>
        <v/>
      </c>
      <c r="V1405" s="75" t="str">
        <f>IF(ISERROR(FIND('112'!$M$9,G1405,1)),"",IF((AND(RIGHT(G1405,2)=RIGHT('112'!$M$9,2),B1405&lt;'112'!$K$9,$O1405='112'!$I$6)),"x",""))</f>
        <v/>
      </c>
      <c r="W1405" s="75" t="str">
        <f>IF(AND('341-CT'!$H$9=H1405,OR(LEFT(N1405,3)=$W$7,LEFT(O1405,3)=$W$7)),"x","")</f>
        <v/>
      </c>
      <c r="X1405" s="75" t="str">
        <f>IF(OR(TH!N1405=TH!$X$7,O1405=TH!$X$7),"x","")</f>
        <v/>
      </c>
      <c r="Y1405" s="75" t="str">
        <f>IF(AND(OR(N1405="131",O1405="131"),H1405='131-CT'!$H$9),"x","")</f>
        <v/>
      </c>
      <c r="Z1405" s="75"/>
      <c r="AA1405" s="75" t="str">
        <f>IF(AND(MONTH(E1405)='IN-NX'!$J$5,'IN-NX'!$D$7=D1405),"x","")</f>
        <v/>
      </c>
      <c r="AB1405" s="75" t="str">
        <f>IF(AND(OR(LEFT(TH!N1405,2)="15",LEFT(TH!O1405,2)="15"),LEFT(TH!O1405,3)&lt;&gt;"111",'152-CT'!$J$8=TH!F1405),"x","")</f>
        <v/>
      </c>
      <c r="AC1405" s="75" t="str">
        <f>IF(AND(OR(LEFT(TH!N1405,2)="15",LEFT(TH!O1405,2)="15"),TK!$E$7=TH!F1405),"x","")</f>
        <v/>
      </c>
      <c r="AD1405" s="75" t="str">
        <f>IF(AND(N1405="1521",MONTH(C1405)='BK-NL'!$M$11),"x","")</f>
        <v/>
      </c>
    </row>
    <row r="1406" spans="1:30" ht="16.5" customHeight="1">
      <c r="A1406" s="309" t="str">
        <f>IF(B1406&lt;&gt;"",IF(AND(B1406='IN-TC'!$S$4,OR(TH!N1406="1111",TH!O1406="1111")),TH!D1406,""),"")</f>
        <v/>
      </c>
      <c r="B1406" s="1242">
        <f t="shared" si="312"/>
        <v>5</v>
      </c>
      <c r="C1406" s="292">
        <f t="shared" si="313"/>
        <v>42873</v>
      </c>
      <c r="D1406" s="292" t="s">
        <v>2993</v>
      </c>
      <c r="E1406" s="292">
        <v>42873</v>
      </c>
      <c r="F1406" s="429" t="s">
        <v>771</v>
      </c>
      <c r="G1406" s="925"/>
      <c r="H1406" s="429" t="s">
        <v>1882</v>
      </c>
      <c r="I1406" s="373">
        <v>56850</v>
      </c>
      <c r="J1406" s="379">
        <v>18500</v>
      </c>
      <c r="K1406" s="373"/>
      <c r="L1406" s="379"/>
      <c r="M1406" s="927">
        <f t="shared" si="314"/>
        <v>1051725000</v>
      </c>
      <c r="N1406" s="295" t="s">
        <v>264</v>
      </c>
      <c r="O1406" s="295" t="s">
        <v>8</v>
      </c>
      <c r="P1406" s="75" t="str">
        <f>IF(AND('331-CT'!$E$7=TH!H1406,OR(N1406="331",O1406="331")),"x","")</f>
        <v/>
      </c>
      <c r="Q1406" s="75" t="str">
        <f>IF(AND(B1406='111'!$L$11,OR($N1406=$Q$7,$O1406=$Q$7)),"x","")</f>
        <v/>
      </c>
      <c r="R1406" s="75" t="str">
        <f>IF(AND($N1406=$Q$7,$B1406&lt;'111'!$L$11),"x","")</f>
        <v/>
      </c>
      <c r="S1406" s="75" t="str">
        <f>IF(AND($O1406=$Q$7,$B1406&lt;'111'!$L$11),"x","")</f>
        <v/>
      </c>
      <c r="T1406" s="75" t="str">
        <f>IF(ISERROR(FIND('112'!$M$9,G1406,1)),"",IF((AND(FIND('112'!$M$9,G1406,1)&gt;=1,B1406='112'!$K$9,OR($N1406='112'!$I$6,$O1406='112'!$I$6))),"x",""))</f>
        <v/>
      </c>
      <c r="U1406" s="75" t="str">
        <f>IF(ISERROR(FIND('112'!$M$9,G1406,1)),"",IF((AND(LEFT(G1406,2)=LEFT('112'!$M$9,2),B1406&lt;'112'!$K$9,$N1406='112'!$I$6)),"x",""))</f>
        <v/>
      </c>
      <c r="V1406" s="75" t="str">
        <f>IF(ISERROR(FIND('112'!$M$9,G1406,1)),"",IF((AND(RIGHT(G1406,2)=RIGHT('112'!$M$9,2),B1406&lt;'112'!$K$9,$O1406='112'!$I$6)),"x",""))</f>
        <v/>
      </c>
      <c r="W1406" s="75" t="str">
        <f>IF(AND('341-CT'!$H$9=H1406,OR(LEFT(N1406,3)=$W$7,LEFT(O1406,3)=$W$7)),"x","")</f>
        <v/>
      </c>
      <c r="X1406" s="75" t="str">
        <f>IF(OR(TH!N1406=TH!$X$7,O1406=TH!$X$7),"x","")</f>
        <v/>
      </c>
      <c r="Y1406" s="75" t="str">
        <f>IF(AND(OR(N1406="131",O1406="131"),H1406='131-CT'!$H$9),"x","")</f>
        <v/>
      </c>
      <c r="Z1406" s="75"/>
      <c r="AA1406" s="75" t="str">
        <f>IF(AND(MONTH(E1406)='IN-NX'!$J$5,'IN-NX'!$D$7=D1406),"x","")</f>
        <v/>
      </c>
      <c r="AB1406" s="75" t="str">
        <f>IF(AND(OR(LEFT(TH!N1406,2)="15",LEFT(TH!O1406,2)="15"),LEFT(TH!O1406,3)&lt;&gt;"111",'152-CT'!$J$8=TH!F1406),"x","")</f>
        <v/>
      </c>
      <c r="AC1406" s="75" t="str">
        <f>IF(AND(OR(LEFT(TH!N1406,2)="15",LEFT(TH!O1406,2)="15"),TK!$E$7=TH!F1406),"x","")</f>
        <v/>
      </c>
      <c r="AD1406" s="75" t="str">
        <f>IF(AND(N1406="1521",MONTH(C1406)='BK-NL'!$M$11),"x","")</f>
        <v/>
      </c>
    </row>
    <row r="1407" spans="1:30" ht="16.5" customHeight="1">
      <c r="A1407" s="309" t="str">
        <f>IF(B1407&lt;&gt;"",IF(AND(B1407='IN-TC'!$S$4,OR(TH!N1407="1111",TH!O1407="1111")),TH!D1407,""),"")</f>
        <v/>
      </c>
      <c r="B1407" s="1242">
        <f t="shared" ref="B1407:B1408" si="315">IF(C1407&lt;&gt;"",MONTH(C1407),"")</f>
        <v>5</v>
      </c>
      <c r="C1407" s="292">
        <f t="shared" ref="C1407:C1408" si="316">E1407</f>
        <v>42873</v>
      </c>
      <c r="D1407" s="292" t="s">
        <v>2994</v>
      </c>
      <c r="E1407" s="292">
        <v>42873</v>
      </c>
      <c r="F1407" s="429" t="s">
        <v>771</v>
      </c>
      <c r="G1407" s="925"/>
      <c r="H1407" s="429" t="s">
        <v>1890</v>
      </c>
      <c r="I1407" s="373">
        <v>58740</v>
      </c>
      <c r="J1407" s="379">
        <v>18500</v>
      </c>
      <c r="K1407" s="373"/>
      <c r="L1407" s="379"/>
      <c r="M1407" s="927">
        <f t="shared" ref="M1407:M1408" si="317">ROUND(I1407*J1407,0)</f>
        <v>1086690000</v>
      </c>
      <c r="N1407" s="295" t="s">
        <v>264</v>
      </c>
      <c r="O1407" s="295" t="s">
        <v>8</v>
      </c>
      <c r="P1407" s="75" t="str">
        <f>IF(AND('331-CT'!$E$7=TH!H1407,OR(N1407="331",O1407="331")),"x","")</f>
        <v/>
      </c>
      <c r="Q1407" s="75" t="str">
        <f>IF(AND(B1407='111'!$L$11,OR($N1407=$Q$7,$O1407=$Q$7)),"x","")</f>
        <v/>
      </c>
      <c r="R1407" s="75" t="str">
        <f>IF(AND($N1407=$Q$7,$B1407&lt;'111'!$L$11),"x","")</f>
        <v/>
      </c>
      <c r="S1407" s="75" t="str">
        <f>IF(AND($O1407=$Q$7,$B1407&lt;'111'!$L$11),"x","")</f>
        <v/>
      </c>
      <c r="T1407" s="75" t="str">
        <f>IF(ISERROR(FIND('112'!$M$9,G1407,1)),"",IF((AND(FIND('112'!$M$9,G1407,1)&gt;=1,B1407='112'!$K$9,OR($N1407='112'!$I$6,$O1407='112'!$I$6))),"x",""))</f>
        <v/>
      </c>
      <c r="U1407" s="75" t="str">
        <f>IF(ISERROR(FIND('112'!$M$9,G1407,1)),"",IF((AND(LEFT(G1407,2)=LEFT('112'!$M$9,2),B1407&lt;'112'!$K$9,$N1407='112'!$I$6)),"x",""))</f>
        <v/>
      </c>
      <c r="V1407" s="75" t="str">
        <f>IF(ISERROR(FIND('112'!$M$9,G1407,1)),"",IF((AND(RIGHT(G1407,2)=RIGHT('112'!$M$9,2),B1407&lt;'112'!$K$9,$O1407='112'!$I$6)),"x",""))</f>
        <v/>
      </c>
      <c r="W1407" s="75" t="str">
        <f>IF(AND('341-CT'!$H$9=H1407,OR(LEFT(N1407,3)=$W$7,LEFT(O1407,3)=$W$7)),"x","")</f>
        <v/>
      </c>
      <c r="X1407" s="75" t="str">
        <f>IF(OR(TH!N1407=TH!$X$7,O1407=TH!$X$7),"x","")</f>
        <v/>
      </c>
      <c r="Y1407" s="75" t="str">
        <f>IF(AND(OR(N1407="131",O1407="131"),H1407='131-CT'!$H$9),"x","")</f>
        <v/>
      </c>
      <c r="Z1407" s="75"/>
      <c r="AA1407" s="75" t="str">
        <f>IF(AND(MONTH(E1407)='IN-NX'!$J$5,'IN-NX'!$D$7=D1407),"x","")</f>
        <v/>
      </c>
      <c r="AB1407" s="75" t="str">
        <f>IF(AND(OR(LEFT(TH!N1407,2)="15",LEFT(TH!O1407,2)="15"),LEFT(TH!O1407,3)&lt;&gt;"111",'152-CT'!$J$8=TH!F1407),"x","")</f>
        <v/>
      </c>
      <c r="AC1407" s="75" t="str">
        <f>IF(AND(OR(LEFT(TH!N1407,2)="15",LEFT(TH!O1407,2)="15"),TK!$E$7=TH!F1407),"x","")</f>
        <v/>
      </c>
      <c r="AD1407" s="75" t="str">
        <f>IF(AND(N1407="1521",MONTH(C1407)='BK-NL'!$M$11),"x","")</f>
        <v/>
      </c>
    </row>
    <row r="1408" spans="1:30" ht="16.5" customHeight="1">
      <c r="A1408" s="309" t="str">
        <f>IF(B1408&lt;&gt;"",IF(AND(B1408='IN-TC'!$S$4,OR(TH!N1408="1111",TH!O1408="1111")),TH!D1408,""),"")</f>
        <v/>
      </c>
      <c r="B1408" s="1242">
        <f t="shared" si="315"/>
        <v>5</v>
      </c>
      <c r="C1408" s="292">
        <f t="shared" si="316"/>
        <v>42873</v>
      </c>
      <c r="D1408" s="292" t="s">
        <v>2995</v>
      </c>
      <c r="E1408" s="292">
        <v>42873</v>
      </c>
      <c r="F1408" s="429" t="s">
        <v>771</v>
      </c>
      <c r="G1408" s="925"/>
      <c r="H1408" s="429" t="s">
        <v>1889</v>
      </c>
      <c r="I1408" s="373">
        <v>58985</v>
      </c>
      <c r="J1408" s="379">
        <v>18500</v>
      </c>
      <c r="K1408" s="373"/>
      <c r="L1408" s="379"/>
      <c r="M1408" s="927">
        <f t="shared" si="317"/>
        <v>1091222500</v>
      </c>
      <c r="N1408" s="295" t="s">
        <v>264</v>
      </c>
      <c r="O1408" s="295" t="s">
        <v>8</v>
      </c>
      <c r="P1408" s="75" t="str">
        <f>IF(AND('331-CT'!$E$7=TH!H1408,OR(N1408="331",O1408="331")),"x","")</f>
        <v/>
      </c>
      <c r="Q1408" s="75" t="str">
        <f>IF(AND(B1408='111'!$L$11,OR($N1408=$Q$7,$O1408=$Q$7)),"x","")</f>
        <v/>
      </c>
      <c r="R1408" s="75" t="str">
        <f>IF(AND($N1408=$Q$7,$B1408&lt;'111'!$L$11),"x","")</f>
        <v/>
      </c>
      <c r="S1408" s="75" t="str">
        <f>IF(AND($O1408=$Q$7,$B1408&lt;'111'!$L$11),"x","")</f>
        <v/>
      </c>
      <c r="T1408" s="75" t="str">
        <f>IF(ISERROR(FIND('112'!$M$9,G1408,1)),"",IF((AND(FIND('112'!$M$9,G1408,1)&gt;=1,B1408='112'!$K$9,OR($N1408='112'!$I$6,$O1408='112'!$I$6))),"x",""))</f>
        <v/>
      </c>
      <c r="U1408" s="75" t="str">
        <f>IF(ISERROR(FIND('112'!$M$9,G1408,1)),"",IF((AND(LEFT(G1408,2)=LEFT('112'!$M$9,2),B1408&lt;'112'!$K$9,$N1408='112'!$I$6)),"x",""))</f>
        <v/>
      </c>
      <c r="V1408" s="75" t="str">
        <f>IF(ISERROR(FIND('112'!$M$9,G1408,1)),"",IF((AND(RIGHT(G1408,2)=RIGHT('112'!$M$9,2),B1408&lt;'112'!$K$9,$O1408='112'!$I$6)),"x",""))</f>
        <v/>
      </c>
      <c r="W1408" s="75" t="str">
        <f>IF(AND('341-CT'!$H$9=H1408,OR(LEFT(N1408,3)=$W$7,LEFT(O1408,3)=$W$7)),"x","")</f>
        <v/>
      </c>
      <c r="X1408" s="75" t="str">
        <f>IF(OR(TH!N1408=TH!$X$7,O1408=TH!$X$7),"x","")</f>
        <v/>
      </c>
      <c r="Y1408" s="75" t="str">
        <f>IF(AND(OR(N1408="131",O1408="131"),H1408='131-CT'!$H$9),"x","")</f>
        <v/>
      </c>
      <c r="Z1408" s="75"/>
      <c r="AA1408" s="75" t="str">
        <f>IF(AND(MONTH(E1408)='IN-NX'!$J$5,'IN-NX'!$D$7=D1408),"x","")</f>
        <v/>
      </c>
      <c r="AB1408" s="75" t="str">
        <f>IF(AND(OR(LEFT(TH!N1408,2)="15",LEFT(TH!O1408,2)="15"),LEFT(TH!O1408,3)&lt;&gt;"111",'152-CT'!$J$8=TH!F1408),"x","")</f>
        <v/>
      </c>
      <c r="AC1408" s="75" t="str">
        <f>IF(AND(OR(LEFT(TH!N1408,2)="15",LEFT(TH!O1408,2)="15"),TK!$E$7=TH!F1408),"x","")</f>
        <v/>
      </c>
      <c r="AD1408" s="75" t="str">
        <f>IF(AND(N1408="1521",MONTH(C1408)='BK-NL'!$M$11),"x","")</f>
        <v/>
      </c>
    </row>
    <row r="1409" spans="1:30" ht="16.5" customHeight="1">
      <c r="A1409" s="309" t="str">
        <f>IF(B1409&lt;&gt;"",IF(AND(B1409='IN-TC'!$S$4,OR(TH!N1409="1111",TH!O1409="1111")),TH!D1409,""),"")</f>
        <v/>
      </c>
      <c r="B1409" s="1242">
        <f t="shared" si="312"/>
        <v>5</v>
      </c>
      <c r="C1409" s="292">
        <f t="shared" si="313"/>
        <v>42876</v>
      </c>
      <c r="D1409" s="292" t="s">
        <v>2996</v>
      </c>
      <c r="E1409" s="292">
        <v>42876</v>
      </c>
      <c r="F1409" s="429" t="s">
        <v>771</v>
      </c>
      <c r="G1409" s="925"/>
      <c r="H1409" s="429" t="s">
        <v>1891</v>
      </c>
      <c r="I1409" s="373">
        <v>56320</v>
      </c>
      <c r="J1409" s="379">
        <v>18500</v>
      </c>
      <c r="K1409" s="373"/>
      <c r="L1409" s="379"/>
      <c r="M1409" s="927">
        <f t="shared" si="314"/>
        <v>1041920000</v>
      </c>
      <c r="N1409" s="295" t="s">
        <v>264</v>
      </c>
      <c r="O1409" s="295" t="s">
        <v>8</v>
      </c>
      <c r="P1409" s="75" t="str">
        <f>IF(AND('331-CT'!$E$7=TH!H1409,OR(N1409="331",O1409="331")),"x","")</f>
        <v/>
      </c>
      <c r="Q1409" s="75" t="str">
        <f>IF(AND(B1409='111'!$L$11,OR($N1409=$Q$7,$O1409=$Q$7)),"x","")</f>
        <v/>
      </c>
      <c r="R1409" s="75" t="str">
        <f>IF(AND($N1409=$Q$7,$B1409&lt;'111'!$L$11),"x","")</f>
        <v/>
      </c>
      <c r="S1409" s="75" t="str">
        <f>IF(AND($O1409=$Q$7,$B1409&lt;'111'!$L$11),"x","")</f>
        <v/>
      </c>
      <c r="T1409" s="75" t="str">
        <f>IF(ISERROR(FIND('112'!$M$9,G1409,1)),"",IF((AND(FIND('112'!$M$9,G1409,1)&gt;=1,B1409='112'!$K$9,OR($N1409='112'!$I$6,$O1409='112'!$I$6))),"x",""))</f>
        <v/>
      </c>
      <c r="U1409" s="75" t="str">
        <f>IF(ISERROR(FIND('112'!$M$9,G1409,1)),"",IF((AND(LEFT(G1409,2)=LEFT('112'!$M$9,2),B1409&lt;'112'!$K$9,$N1409='112'!$I$6)),"x",""))</f>
        <v/>
      </c>
      <c r="V1409" s="75" t="str">
        <f>IF(ISERROR(FIND('112'!$M$9,G1409,1)),"",IF((AND(RIGHT(G1409,2)=RIGHT('112'!$M$9,2),B1409&lt;'112'!$K$9,$O1409='112'!$I$6)),"x",""))</f>
        <v/>
      </c>
      <c r="W1409" s="75" t="str">
        <f>IF(AND('341-CT'!$H$9=H1409,OR(LEFT(N1409,3)=$W$7,LEFT(O1409,3)=$W$7)),"x","")</f>
        <v/>
      </c>
      <c r="X1409" s="75" t="str">
        <f>IF(OR(TH!N1409=TH!$X$7,O1409=TH!$X$7),"x","")</f>
        <v/>
      </c>
      <c r="Y1409" s="75" t="str">
        <f>IF(AND(OR(N1409="131",O1409="131"),H1409='131-CT'!$H$9),"x","")</f>
        <v/>
      </c>
      <c r="Z1409" s="75"/>
      <c r="AA1409" s="75" t="str">
        <f>IF(AND(MONTH(E1409)='IN-NX'!$J$5,'IN-NX'!$D$7=D1409),"x","")</f>
        <v/>
      </c>
      <c r="AB1409" s="75" t="str">
        <f>IF(AND(OR(LEFT(TH!N1409,2)="15",LEFT(TH!O1409,2)="15"),LEFT(TH!O1409,3)&lt;&gt;"111",'152-CT'!$J$8=TH!F1409),"x","")</f>
        <v/>
      </c>
      <c r="AC1409" s="75" t="str">
        <f>IF(AND(OR(LEFT(TH!N1409,2)="15",LEFT(TH!O1409,2)="15"),TK!$E$7=TH!F1409),"x","")</f>
        <v/>
      </c>
      <c r="AD1409" s="75" t="str">
        <f>IF(AND(N1409="1521",MONTH(C1409)='BK-NL'!$M$11),"x","")</f>
        <v/>
      </c>
    </row>
    <row r="1410" spans="1:30" ht="16.5" customHeight="1">
      <c r="A1410" s="309" t="str">
        <f>IF(B1410&lt;&gt;"",IF(AND(B1410='IN-TC'!$S$4,OR(TH!N1410="1111",TH!O1410="1111")),TH!D1410,""),"")</f>
        <v/>
      </c>
      <c r="B1410" s="1242">
        <f t="shared" si="312"/>
        <v>5</v>
      </c>
      <c r="C1410" s="292">
        <f t="shared" si="313"/>
        <v>42876</v>
      </c>
      <c r="D1410" s="292" t="s">
        <v>2997</v>
      </c>
      <c r="E1410" s="292">
        <v>42876</v>
      </c>
      <c r="F1410" s="429" t="s">
        <v>771</v>
      </c>
      <c r="G1410" s="925"/>
      <c r="H1410" s="429" t="s">
        <v>1890</v>
      </c>
      <c r="I1410" s="373">
        <v>58960</v>
      </c>
      <c r="J1410" s="379">
        <v>18500</v>
      </c>
      <c r="K1410" s="373"/>
      <c r="L1410" s="379"/>
      <c r="M1410" s="927">
        <f t="shared" si="314"/>
        <v>1090760000</v>
      </c>
      <c r="N1410" s="295" t="s">
        <v>264</v>
      </c>
      <c r="O1410" s="295" t="s">
        <v>8</v>
      </c>
      <c r="P1410" s="75" t="str">
        <f>IF(AND('331-CT'!$E$7=TH!H1410,OR(N1410="331",O1410="331")),"x","")</f>
        <v/>
      </c>
      <c r="Q1410" s="75" t="str">
        <f>IF(AND(B1410='111'!$L$11,OR($N1410=$Q$7,$O1410=$Q$7)),"x","")</f>
        <v/>
      </c>
      <c r="R1410" s="75" t="str">
        <f>IF(AND($N1410=$Q$7,$B1410&lt;'111'!$L$11),"x","")</f>
        <v/>
      </c>
      <c r="S1410" s="75" t="str">
        <f>IF(AND($O1410=$Q$7,$B1410&lt;'111'!$L$11),"x","")</f>
        <v/>
      </c>
      <c r="T1410" s="75" t="str">
        <f>IF(ISERROR(FIND('112'!$M$9,G1410,1)),"",IF((AND(FIND('112'!$M$9,G1410,1)&gt;=1,B1410='112'!$K$9,OR($N1410='112'!$I$6,$O1410='112'!$I$6))),"x",""))</f>
        <v/>
      </c>
      <c r="U1410" s="75" t="str">
        <f>IF(ISERROR(FIND('112'!$M$9,G1410,1)),"",IF((AND(LEFT(G1410,2)=LEFT('112'!$M$9,2),B1410&lt;'112'!$K$9,$N1410='112'!$I$6)),"x",""))</f>
        <v/>
      </c>
      <c r="V1410" s="75" t="str">
        <f>IF(ISERROR(FIND('112'!$M$9,G1410,1)),"",IF((AND(RIGHT(G1410,2)=RIGHT('112'!$M$9,2),B1410&lt;'112'!$K$9,$O1410='112'!$I$6)),"x",""))</f>
        <v/>
      </c>
      <c r="W1410" s="75" t="str">
        <f>IF(AND('341-CT'!$H$9=H1410,OR(LEFT(N1410,3)=$W$7,LEFT(O1410,3)=$W$7)),"x","")</f>
        <v/>
      </c>
      <c r="X1410" s="75" t="str">
        <f>IF(OR(TH!N1410=TH!$X$7,O1410=TH!$X$7),"x","")</f>
        <v/>
      </c>
      <c r="Y1410" s="75" t="str">
        <f>IF(AND(OR(N1410="131",O1410="131"),H1410='131-CT'!$H$9),"x","")</f>
        <v/>
      </c>
      <c r="Z1410" s="75"/>
      <c r="AA1410" s="75" t="str">
        <f>IF(AND(MONTH(E1410)='IN-NX'!$J$5,'IN-NX'!$D$7=D1410),"x","")</f>
        <v/>
      </c>
      <c r="AB1410" s="75" t="str">
        <f>IF(AND(OR(LEFT(TH!N1410,2)="15",LEFT(TH!O1410,2)="15"),LEFT(TH!O1410,3)&lt;&gt;"111",'152-CT'!$J$8=TH!F1410),"x","")</f>
        <v/>
      </c>
      <c r="AC1410" s="75" t="str">
        <f>IF(AND(OR(LEFT(TH!N1410,2)="15",LEFT(TH!O1410,2)="15"),TK!$E$7=TH!F1410),"x","")</f>
        <v/>
      </c>
      <c r="AD1410" s="75" t="str">
        <f>IF(AND(N1410="1521",MONTH(C1410)='BK-NL'!$M$11),"x","")</f>
        <v/>
      </c>
    </row>
    <row r="1411" spans="1:30" ht="16.5" customHeight="1">
      <c r="A1411" s="309" t="str">
        <f>IF(B1411&lt;&gt;"",IF(AND(B1411='IN-TC'!$S$4,OR(TH!N1411="1111",TH!O1411="1111")),TH!D1411,""),"")</f>
        <v/>
      </c>
      <c r="B1411" s="1242">
        <f t="shared" ref="B1411:B1422" si="318">IF(C1411&lt;&gt;"",MONTH(C1411),"")</f>
        <v>5</v>
      </c>
      <c r="C1411" s="292">
        <f t="shared" ref="C1411:C1422" si="319">E1411</f>
        <v>42876</v>
      </c>
      <c r="D1411" s="292" t="s">
        <v>3001</v>
      </c>
      <c r="E1411" s="292">
        <v>42876</v>
      </c>
      <c r="F1411" s="429" t="s">
        <v>771</v>
      </c>
      <c r="G1411" s="925"/>
      <c r="H1411" s="429" t="s">
        <v>1882</v>
      </c>
      <c r="I1411" s="373">
        <f>1520064-SUM(I1386:I1410)</f>
        <v>59390</v>
      </c>
      <c r="J1411" s="379">
        <v>18500</v>
      </c>
      <c r="K1411" s="373"/>
      <c r="L1411" s="379"/>
      <c r="M1411" s="927">
        <f t="shared" ref="M1411:M1422" si="320">ROUND(I1411*J1411,0)</f>
        <v>1098715000</v>
      </c>
      <c r="N1411" s="295" t="s">
        <v>264</v>
      </c>
      <c r="O1411" s="295" t="s">
        <v>8</v>
      </c>
      <c r="P1411" s="75" t="str">
        <f>IF(AND('331-CT'!$E$7=TH!H1411,OR(N1411="331",O1411="331")),"x","")</f>
        <v/>
      </c>
      <c r="Q1411" s="75" t="str">
        <f>IF(AND(B1411='111'!$L$11,OR($N1411=$Q$7,$O1411=$Q$7)),"x","")</f>
        <v/>
      </c>
      <c r="R1411" s="75" t="str">
        <f>IF(AND($N1411=$Q$7,$B1411&lt;'111'!$L$11),"x","")</f>
        <v/>
      </c>
      <c r="S1411" s="75" t="str">
        <f>IF(AND($O1411=$Q$7,$B1411&lt;'111'!$L$11),"x","")</f>
        <v/>
      </c>
      <c r="T1411" s="75" t="str">
        <f>IF(ISERROR(FIND('112'!$M$9,G1411,1)),"",IF((AND(FIND('112'!$M$9,G1411,1)&gt;=1,B1411='112'!$K$9,OR($N1411='112'!$I$6,$O1411='112'!$I$6))),"x",""))</f>
        <v/>
      </c>
      <c r="U1411" s="75" t="str">
        <f>IF(ISERROR(FIND('112'!$M$9,G1411,1)),"",IF((AND(LEFT(G1411,2)=LEFT('112'!$M$9,2),B1411&lt;'112'!$K$9,$N1411='112'!$I$6)),"x",""))</f>
        <v/>
      </c>
      <c r="V1411" s="75" t="str">
        <f>IF(ISERROR(FIND('112'!$M$9,G1411,1)),"",IF((AND(RIGHT(G1411,2)=RIGHT('112'!$M$9,2),B1411&lt;'112'!$K$9,$O1411='112'!$I$6)),"x",""))</f>
        <v/>
      </c>
      <c r="W1411" s="75" t="str">
        <f>IF(AND('341-CT'!$H$9=H1411,OR(LEFT(N1411,3)=$W$7,LEFT(O1411,3)=$W$7)),"x","")</f>
        <v/>
      </c>
      <c r="X1411" s="75" t="str">
        <f>IF(OR(TH!N1411=TH!$X$7,O1411=TH!$X$7),"x","")</f>
        <v/>
      </c>
      <c r="Y1411" s="75" t="str">
        <f>IF(AND(OR(N1411="131",O1411="131"),H1411='131-CT'!$H$9),"x","")</f>
        <v/>
      </c>
      <c r="Z1411" s="75"/>
      <c r="AA1411" s="75" t="str">
        <f>IF(AND(MONTH(E1411)='IN-NX'!$J$5,'IN-NX'!$D$7=D1411),"x","")</f>
        <v/>
      </c>
      <c r="AB1411" s="75" t="str">
        <f>IF(AND(OR(LEFT(TH!N1411,2)="15",LEFT(TH!O1411,2)="15"),LEFT(TH!O1411,3)&lt;&gt;"111",'152-CT'!$J$8=TH!F1411),"x","")</f>
        <v/>
      </c>
      <c r="AC1411" s="75" t="str">
        <f>IF(AND(OR(LEFT(TH!N1411,2)="15",LEFT(TH!O1411,2)="15"),TK!$E$7=TH!F1411),"x","")</f>
        <v/>
      </c>
      <c r="AD1411" s="75" t="str">
        <f>IF(AND(N1411="1521",MONTH(C1411)='BK-NL'!$M$11),"x","")</f>
        <v/>
      </c>
    </row>
    <row r="1412" spans="1:30" ht="16.5" customHeight="1">
      <c r="A1412" s="309" t="str">
        <f>IF(B1412&lt;&gt;"",IF(AND(B1412='IN-TC'!$S$4,OR(TH!N1412="1111",TH!O1412="1111")),TH!D1412,""),"")</f>
        <v/>
      </c>
      <c r="B1412" s="1242">
        <f t="shared" si="318"/>
        <v>5</v>
      </c>
      <c r="C1412" s="292">
        <f t="shared" si="319"/>
        <v>42858</v>
      </c>
      <c r="D1412" s="292" t="s">
        <v>2962</v>
      </c>
      <c r="E1412" s="292">
        <v>42858</v>
      </c>
      <c r="F1412" s="429" t="s">
        <v>566</v>
      </c>
      <c r="G1412" s="925"/>
      <c r="H1412" s="429" t="s">
        <v>415</v>
      </c>
      <c r="I1412" s="373">
        <v>20950</v>
      </c>
      <c r="J1412" s="379">
        <v>18200</v>
      </c>
      <c r="K1412" s="373"/>
      <c r="L1412" s="379"/>
      <c r="M1412" s="927">
        <f t="shared" si="320"/>
        <v>381290000</v>
      </c>
      <c r="N1412" s="295" t="s">
        <v>264</v>
      </c>
      <c r="O1412" s="295" t="s">
        <v>8</v>
      </c>
      <c r="P1412" s="75" t="str">
        <f>IF(AND('331-CT'!$E$7=TH!H1412,OR(N1412="331",O1412="331")),"x","")</f>
        <v/>
      </c>
      <c r="Q1412" s="75" t="str">
        <f>IF(AND(B1412='111'!$L$11,OR($N1412=$Q$7,$O1412=$Q$7)),"x","")</f>
        <v/>
      </c>
      <c r="R1412" s="75" t="str">
        <f>IF(AND($N1412=$Q$7,$B1412&lt;'111'!$L$11),"x","")</f>
        <v/>
      </c>
      <c r="S1412" s="75" t="str">
        <f>IF(AND($O1412=$Q$7,$B1412&lt;'111'!$L$11),"x","")</f>
        <v/>
      </c>
      <c r="T1412" s="75" t="str">
        <f>IF(ISERROR(FIND('112'!$M$9,G1412,1)),"",IF((AND(FIND('112'!$M$9,G1412,1)&gt;=1,B1412='112'!$K$9,OR($N1412='112'!$I$6,$O1412='112'!$I$6))),"x",""))</f>
        <v/>
      </c>
      <c r="U1412" s="75" t="str">
        <f>IF(ISERROR(FIND('112'!$M$9,G1412,1)),"",IF((AND(LEFT(G1412,2)=LEFT('112'!$M$9,2),B1412&lt;'112'!$K$9,$N1412='112'!$I$6)),"x",""))</f>
        <v/>
      </c>
      <c r="V1412" s="75" t="str">
        <f>IF(ISERROR(FIND('112'!$M$9,G1412,1)),"",IF((AND(RIGHT(G1412,2)=RIGHT('112'!$M$9,2),B1412&lt;'112'!$K$9,$O1412='112'!$I$6)),"x",""))</f>
        <v/>
      </c>
      <c r="W1412" s="75" t="str">
        <f>IF(AND('341-CT'!$H$9=H1412,OR(LEFT(N1412,3)=$W$7,LEFT(O1412,3)=$W$7)),"x","")</f>
        <v/>
      </c>
      <c r="X1412" s="75" t="str">
        <f>IF(OR(TH!N1412=TH!$X$7,O1412=TH!$X$7),"x","")</f>
        <v/>
      </c>
      <c r="Y1412" s="75" t="str">
        <f>IF(AND(OR(N1412="131",O1412="131"),H1412='131-CT'!$H$9),"x","")</f>
        <v/>
      </c>
      <c r="Z1412" s="75"/>
      <c r="AA1412" s="75" t="str">
        <f>IF(AND(MONTH(E1412)='IN-NX'!$J$5,'IN-NX'!$D$7=D1412),"x","")</f>
        <v/>
      </c>
      <c r="AB1412" s="75" t="str">
        <f>IF(AND(OR(LEFT(TH!N1412,2)="15",LEFT(TH!O1412,2)="15"),LEFT(TH!O1412,3)&lt;&gt;"111",'152-CT'!$J$8=TH!F1412),"x","")</f>
        <v/>
      </c>
      <c r="AC1412" s="75" t="str">
        <f>IF(AND(OR(LEFT(TH!N1412,2)="15",LEFT(TH!O1412,2)="15"),TK!$E$7=TH!F1412),"x","")</f>
        <v/>
      </c>
      <c r="AD1412" s="75" t="str">
        <f>IF(AND(N1412="1521",MONTH(C1412)='BK-NL'!$M$11),"x","")</f>
        <v/>
      </c>
    </row>
    <row r="1413" spans="1:30" ht="16.5" customHeight="1">
      <c r="A1413" s="309" t="str">
        <f>IF(B1413&lt;&gt;"",IF(AND(B1413='IN-TC'!$S$4,OR(TH!N1413="1111",TH!O1413="1111")),TH!D1413,""),"")</f>
        <v/>
      </c>
      <c r="B1413" s="1242">
        <f t="shared" ref="B1413:B1417" si="321">IF(C1413&lt;&gt;"",MONTH(C1413),"")</f>
        <v>5</v>
      </c>
      <c r="C1413" s="292">
        <f t="shared" ref="C1413:C1417" si="322">E1413</f>
        <v>42858</v>
      </c>
      <c r="D1413" s="292" t="s">
        <v>2963</v>
      </c>
      <c r="E1413" s="292">
        <v>42858</v>
      </c>
      <c r="F1413" s="429" t="s">
        <v>566</v>
      </c>
      <c r="G1413" s="925"/>
      <c r="H1413" s="429" t="s">
        <v>419</v>
      </c>
      <c r="I1413" s="373">
        <v>20790</v>
      </c>
      <c r="J1413" s="379">
        <v>18200</v>
      </c>
      <c r="K1413" s="373"/>
      <c r="L1413" s="379"/>
      <c r="M1413" s="927">
        <f t="shared" ref="M1413:M1417" si="323">ROUND(I1413*J1413,0)</f>
        <v>378378000</v>
      </c>
      <c r="N1413" s="295" t="s">
        <v>264</v>
      </c>
      <c r="O1413" s="295" t="s">
        <v>8</v>
      </c>
      <c r="P1413" s="75" t="str">
        <f>IF(AND('331-CT'!$E$7=TH!H1413,OR(N1413="331",O1413="331")),"x","")</f>
        <v/>
      </c>
      <c r="Q1413" s="75" t="str">
        <f>IF(AND(B1413='111'!$L$11,OR($N1413=$Q$7,$O1413=$Q$7)),"x","")</f>
        <v/>
      </c>
      <c r="R1413" s="75" t="str">
        <f>IF(AND($N1413=$Q$7,$B1413&lt;'111'!$L$11),"x","")</f>
        <v/>
      </c>
      <c r="S1413" s="75" t="str">
        <f>IF(AND($O1413=$Q$7,$B1413&lt;'111'!$L$11),"x","")</f>
        <v/>
      </c>
      <c r="T1413" s="75" t="str">
        <f>IF(ISERROR(FIND('112'!$M$9,G1413,1)),"",IF((AND(FIND('112'!$M$9,G1413,1)&gt;=1,B1413='112'!$K$9,OR($N1413='112'!$I$6,$O1413='112'!$I$6))),"x",""))</f>
        <v/>
      </c>
      <c r="U1413" s="75" t="str">
        <f>IF(ISERROR(FIND('112'!$M$9,G1413,1)),"",IF((AND(LEFT(G1413,2)=LEFT('112'!$M$9,2),B1413&lt;'112'!$K$9,$N1413='112'!$I$6)),"x",""))</f>
        <v/>
      </c>
      <c r="V1413" s="75" t="str">
        <f>IF(ISERROR(FIND('112'!$M$9,G1413,1)),"",IF((AND(RIGHT(G1413,2)=RIGHT('112'!$M$9,2),B1413&lt;'112'!$K$9,$O1413='112'!$I$6)),"x",""))</f>
        <v/>
      </c>
      <c r="W1413" s="75" t="str">
        <f>IF(AND('341-CT'!$H$9=H1413,OR(LEFT(N1413,3)=$W$7,LEFT(O1413,3)=$W$7)),"x","")</f>
        <v/>
      </c>
      <c r="X1413" s="75" t="str">
        <f>IF(OR(TH!N1413=TH!$X$7,O1413=TH!$X$7),"x","")</f>
        <v/>
      </c>
      <c r="Y1413" s="75" t="str">
        <f>IF(AND(OR(N1413="131",O1413="131"),H1413='131-CT'!$H$9),"x","")</f>
        <v/>
      </c>
      <c r="Z1413" s="75"/>
      <c r="AA1413" s="75" t="str">
        <f>IF(AND(MONTH(E1413)='IN-NX'!$J$5,'IN-NX'!$D$7=D1413),"x","")</f>
        <v/>
      </c>
      <c r="AB1413" s="75" t="str">
        <f>IF(AND(OR(LEFT(TH!N1413,2)="15",LEFT(TH!O1413,2)="15"),LEFT(TH!O1413,3)&lt;&gt;"111",'152-CT'!$J$8=TH!F1413),"x","")</f>
        <v/>
      </c>
      <c r="AC1413" s="75" t="str">
        <f>IF(AND(OR(LEFT(TH!N1413,2)="15",LEFT(TH!O1413,2)="15"),TK!$E$7=TH!F1413),"x","")</f>
        <v/>
      </c>
      <c r="AD1413" s="75" t="str">
        <f>IF(AND(N1413="1521",MONTH(C1413)='BK-NL'!$M$11),"x","")</f>
        <v/>
      </c>
    </row>
    <row r="1414" spans="1:30" ht="16.5" customHeight="1">
      <c r="A1414" s="309" t="str">
        <f>IF(B1414&lt;&gt;"",IF(AND(B1414='IN-TC'!$S$4,OR(TH!N1414="1111",TH!O1414="1111")),TH!D1414,""),"")</f>
        <v/>
      </c>
      <c r="B1414" s="1242">
        <f t="shared" si="321"/>
        <v>5</v>
      </c>
      <c r="C1414" s="292">
        <f t="shared" si="322"/>
        <v>42864</v>
      </c>
      <c r="D1414" s="292" t="s">
        <v>2978</v>
      </c>
      <c r="E1414" s="292">
        <v>42864</v>
      </c>
      <c r="F1414" s="429" t="s">
        <v>566</v>
      </c>
      <c r="G1414" s="925"/>
      <c r="H1414" s="429" t="s">
        <v>420</v>
      </c>
      <c r="I1414" s="373">
        <v>20460</v>
      </c>
      <c r="J1414" s="379">
        <v>18200</v>
      </c>
      <c r="K1414" s="373"/>
      <c r="L1414" s="379"/>
      <c r="M1414" s="927">
        <f t="shared" si="323"/>
        <v>372372000</v>
      </c>
      <c r="N1414" s="295" t="s">
        <v>264</v>
      </c>
      <c r="O1414" s="295" t="s">
        <v>8</v>
      </c>
      <c r="P1414" s="75" t="str">
        <f>IF(AND('331-CT'!$E$7=TH!H1414,OR(N1414="331",O1414="331")),"x","")</f>
        <v/>
      </c>
      <c r="Q1414" s="75" t="str">
        <f>IF(AND(B1414='111'!$L$11,OR($N1414=$Q$7,$O1414=$Q$7)),"x","")</f>
        <v/>
      </c>
      <c r="R1414" s="75" t="str">
        <f>IF(AND($N1414=$Q$7,$B1414&lt;'111'!$L$11),"x","")</f>
        <v/>
      </c>
      <c r="S1414" s="75" t="str">
        <f>IF(AND($O1414=$Q$7,$B1414&lt;'111'!$L$11),"x","")</f>
        <v/>
      </c>
      <c r="T1414" s="75" t="str">
        <f>IF(ISERROR(FIND('112'!$M$9,G1414,1)),"",IF((AND(FIND('112'!$M$9,G1414,1)&gt;=1,B1414='112'!$K$9,OR($N1414='112'!$I$6,$O1414='112'!$I$6))),"x",""))</f>
        <v/>
      </c>
      <c r="U1414" s="75" t="str">
        <f>IF(ISERROR(FIND('112'!$M$9,G1414,1)),"",IF((AND(LEFT(G1414,2)=LEFT('112'!$M$9,2),B1414&lt;'112'!$K$9,$N1414='112'!$I$6)),"x",""))</f>
        <v/>
      </c>
      <c r="V1414" s="75" t="str">
        <f>IF(ISERROR(FIND('112'!$M$9,G1414,1)),"",IF((AND(RIGHT(G1414,2)=RIGHT('112'!$M$9,2),B1414&lt;'112'!$K$9,$O1414='112'!$I$6)),"x",""))</f>
        <v/>
      </c>
      <c r="W1414" s="75" t="str">
        <f>IF(AND('341-CT'!$H$9=H1414,OR(LEFT(N1414,3)=$W$7,LEFT(O1414,3)=$W$7)),"x","")</f>
        <v/>
      </c>
      <c r="X1414" s="75" t="str">
        <f>IF(OR(TH!N1414=TH!$X$7,O1414=TH!$X$7),"x","")</f>
        <v/>
      </c>
      <c r="Y1414" s="75" t="str">
        <f>IF(AND(OR(N1414="131",O1414="131"),H1414='131-CT'!$H$9),"x","")</f>
        <v/>
      </c>
      <c r="Z1414" s="75"/>
      <c r="AA1414" s="75" t="str">
        <f>IF(AND(MONTH(E1414)='IN-NX'!$J$5,'IN-NX'!$D$7=D1414),"x","")</f>
        <v/>
      </c>
      <c r="AB1414" s="75" t="str">
        <f>IF(AND(OR(LEFT(TH!N1414,2)="15",LEFT(TH!O1414,2)="15"),LEFT(TH!O1414,3)&lt;&gt;"111",'152-CT'!$J$8=TH!F1414),"x","")</f>
        <v/>
      </c>
      <c r="AC1414" s="75" t="str">
        <f>IF(AND(OR(LEFT(TH!N1414,2)="15",LEFT(TH!O1414,2)="15"),TK!$E$7=TH!F1414),"x","")</f>
        <v/>
      </c>
      <c r="AD1414" s="75" t="str">
        <f>IF(AND(N1414="1521",MONTH(C1414)='BK-NL'!$M$11),"x","")</f>
        <v/>
      </c>
    </row>
    <row r="1415" spans="1:30" ht="16.5" customHeight="1">
      <c r="A1415" s="309" t="str">
        <f>IF(B1415&lt;&gt;"",IF(AND(B1415='IN-TC'!$S$4,OR(TH!N1415="1111",TH!O1415="1111")),TH!D1415,""),"")</f>
        <v/>
      </c>
      <c r="B1415" s="1242">
        <f t="shared" si="321"/>
        <v>5</v>
      </c>
      <c r="C1415" s="292">
        <f t="shared" si="322"/>
        <v>42864</v>
      </c>
      <c r="D1415" s="292" t="s">
        <v>2979</v>
      </c>
      <c r="E1415" s="292">
        <v>42864</v>
      </c>
      <c r="F1415" s="429" t="s">
        <v>566</v>
      </c>
      <c r="G1415" s="925"/>
      <c r="H1415" s="435" t="s">
        <v>422</v>
      </c>
      <c r="I1415" s="373">
        <v>20480</v>
      </c>
      <c r="J1415" s="379">
        <v>18200</v>
      </c>
      <c r="K1415" s="373"/>
      <c r="L1415" s="379"/>
      <c r="M1415" s="927">
        <f t="shared" si="323"/>
        <v>372736000</v>
      </c>
      <c r="N1415" s="295" t="s">
        <v>264</v>
      </c>
      <c r="O1415" s="295" t="s">
        <v>8</v>
      </c>
      <c r="P1415" s="75" t="str">
        <f>IF(AND('331-CT'!$E$7=TH!H1415,OR(N1415="331",O1415="331")),"x","")</f>
        <v/>
      </c>
      <c r="Q1415" s="75" t="str">
        <f>IF(AND(B1415='111'!$L$11,OR($N1415=$Q$7,$O1415=$Q$7)),"x","")</f>
        <v/>
      </c>
      <c r="R1415" s="75" t="str">
        <f>IF(AND($N1415=$Q$7,$B1415&lt;'111'!$L$11),"x","")</f>
        <v/>
      </c>
      <c r="S1415" s="75" t="str">
        <f>IF(AND($O1415=$Q$7,$B1415&lt;'111'!$L$11),"x","")</f>
        <v/>
      </c>
      <c r="T1415" s="75" t="str">
        <f>IF(ISERROR(FIND('112'!$M$9,G1415,1)),"",IF((AND(FIND('112'!$M$9,G1415,1)&gt;=1,B1415='112'!$K$9,OR($N1415='112'!$I$6,$O1415='112'!$I$6))),"x",""))</f>
        <v/>
      </c>
      <c r="U1415" s="75" t="str">
        <f>IF(ISERROR(FIND('112'!$M$9,G1415,1)),"",IF((AND(LEFT(G1415,2)=LEFT('112'!$M$9,2),B1415&lt;'112'!$K$9,$N1415='112'!$I$6)),"x",""))</f>
        <v/>
      </c>
      <c r="V1415" s="75" t="str">
        <f>IF(ISERROR(FIND('112'!$M$9,G1415,1)),"",IF((AND(RIGHT(G1415,2)=RIGHT('112'!$M$9,2),B1415&lt;'112'!$K$9,$O1415='112'!$I$6)),"x",""))</f>
        <v/>
      </c>
      <c r="W1415" s="75" t="str">
        <f>IF(AND('341-CT'!$H$9=H1415,OR(LEFT(N1415,3)=$W$7,LEFT(O1415,3)=$W$7)),"x","")</f>
        <v/>
      </c>
      <c r="X1415" s="75" t="str">
        <f>IF(OR(TH!N1415=TH!$X$7,O1415=TH!$X$7),"x","")</f>
        <v/>
      </c>
      <c r="Y1415" s="75" t="str">
        <f>IF(AND(OR(N1415="131",O1415="131"),H1415='131-CT'!$H$9),"x","")</f>
        <v/>
      </c>
      <c r="Z1415" s="75"/>
      <c r="AA1415" s="75" t="str">
        <f>IF(AND(MONTH(E1415)='IN-NX'!$J$5,'IN-NX'!$D$7=D1415),"x","")</f>
        <v/>
      </c>
      <c r="AB1415" s="75" t="str">
        <f>IF(AND(OR(LEFT(TH!N1415,2)="15",LEFT(TH!O1415,2)="15"),LEFT(TH!O1415,3)&lt;&gt;"111",'152-CT'!$J$8=TH!F1415),"x","")</f>
        <v/>
      </c>
      <c r="AC1415" s="75" t="str">
        <f>IF(AND(OR(LEFT(TH!N1415,2)="15",LEFT(TH!O1415,2)="15"),TK!$E$7=TH!F1415),"x","")</f>
        <v/>
      </c>
      <c r="AD1415" s="75" t="str">
        <f>IF(AND(N1415="1521",MONTH(C1415)='BK-NL'!$M$11),"x","")</f>
        <v/>
      </c>
    </row>
    <row r="1416" spans="1:30" ht="16.5" customHeight="1">
      <c r="A1416" s="309" t="str">
        <f>IF(B1416&lt;&gt;"",IF(AND(B1416='IN-TC'!$S$4,OR(TH!N1416="1111",TH!O1416="1111")),TH!D1416,""),"")</f>
        <v/>
      </c>
      <c r="B1416" s="1242">
        <f t="shared" si="321"/>
        <v>5</v>
      </c>
      <c r="C1416" s="292">
        <f t="shared" si="322"/>
        <v>42864</v>
      </c>
      <c r="D1416" s="292" t="s">
        <v>2980</v>
      </c>
      <c r="E1416" s="292">
        <v>42864</v>
      </c>
      <c r="F1416" s="429" t="s">
        <v>566</v>
      </c>
      <c r="G1416" s="925"/>
      <c r="H1416" s="429" t="s">
        <v>419</v>
      </c>
      <c r="I1416" s="373">
        <f>103500-SUM(I1412:I1415)</f>
        <v>20820</v>
      </c>
      <c r="J1416" s="379">
        <v>18200</v>
      </c>
      <c r="K1416" s="373"/>
      <c r="L1416" s="379"/>
      <c r="M1416" s="927">
        <f t="shared" si="323"/>
        <v>378924000</v>
      </c>
      <c r="N1416" s="295" t="s">
        <v>264</v>
      </c>
      <c r="O1416" s="295" t="s">
        <v>8</v>
      </c>
      <c r="P1416" s="75" t="str">
        <f>IF(AND('331-CT'!$E$7=TH!H1416,OR(N1416="331",O1416="331")),"x","")</f>
        <v/>
      </c>
      <c r="Q1416" s="75" t="str">
        <f>IF(AND(B1416='111'!$L$11,OR($N1416=$Q$7,$O1416=$Q$7)),"x","")</f>
        <v/>
      </c>
      <c r="R1416" s="75" t="str">
        <f>IF(AND($N1416=$Q$7,$B1416&lt;'111'!$L$11),"x","")</f>
        <v/>
      </c>
      <c r="S1416" s="75" t="str">
        <f>IF(AND($O1416=$Q$7,$B1416&lt;'111'!$L$11),"x","")</f>
        <v/>
      </c>
      <c r="T1416" s="75" t="str">
        <f>IF(ISERROR(FIND('112'!$M$9,G1416,1)),"",IF((AND(FIND('112'!$M$9,G1416,1)&gt;=1,B1416='112'!$K$9,OR($N1416='112'!$I$6,$O1416='112'!$I$6))),"x",""))</f>
        <v/>
      </c>
      <c r="U1416" s="75" t="str">
        <f>IF(ISERROR(FIND('112'!$M$9,G1416,1)),"",IF((AND(LEFT(G1416,2)=LEFT('112'!$M$9,2),B1416&lt;'112'!$K$9,$N1416='112'!$I$6)),"x",""))</f>
        <v/>
      </c>
      <c r="V1416" s="75" t="str">
        <f>IF(ISERROR(FIND('112'!$M$9,G1416,1)),"",IF((AND(RIGHT(G1416,2)=RIGHT('112'!$M$9,2),B1416&lt;'112'!$K$9,$O1416='112'!$I$6)),"x",""))</f>
        <v/>
      </c>
      <c r="W1416" s="75" t="str">
        <f>IF(AND('341-CT'!$H$9=H1416,OR(LEFT(N1416,3)=$W$7,LEFT(O1416,3)=$W$7)),"x","")</f>
        <v/>
      </c>
      <c r="X1416" s="75" t="str">
        <f>IF(OR(TH!N1416=TH!$X$7,O1416=TH!$X$7),"x","")</f>
        <v/>
      </c>
      <c r="Y1416" s="75" t="str">
        <f>IF(AND(OR(N1416="131",O1416="131"),H1416='131-CT'!$H$9),"x","")</f>
        <v/>
      </c>
      <c r="Z1416" s="75"/>
      <c r="AA1416" s="75" t="str">
        <f>IF(AND(MONTH(E1416)='IN-NX'!$J$5,'IN-NX'!$D$7=D1416),"x","")</f>
        <v/>
      </c>
      <c r="AB1416" s="75" t="str">
        <f>IF(AND(OR(LEFT(TH!N1416,2)="15",LEFT(TH!O1416,2)="15"),LEFT(TH!O1416,3)&lt;&gt;"111",'152-CT'!$J$8=TH!F1416),"x","")</f>
        <v/>
      </c>
      <c r="AC1416" s="75" t="str">
        <f>IF(AND(OR(LEFT(TH!N1416,2)="15",LEFT(TH!O1416,2)="15"),TK!$E$7=TH!F1416),"x","")</f>
        <v/>
      </c>
      <c r="AD1416" s="75" t="str">
        <f>IF(AND(N1416="1521",MONTH(C1416)='BK-NL'!$M$11),"x","")</f>
        <v/>
      </c>
    </row>
    <row r="1417" spans="1:30" ht="16.5" customHeight="1">
      <c r="A1417" s="309" t="str">
        <f>IF(B1417&lt;&gt;"",IF(AND(B1417='IN-TC'!$S$4,OR(TH!N1417="1111",TH!O1417="1111")),TH!D1417,""),"")</f>
        <v/>
      </c>
      <c r="B1417" s="1242">
        <f t="shared" si="321"/>
        <v>5</v>
      </c>
      <c r="C1417" s="292">
        <f t="shared" si="322"/>
        <v>42860</v>
      </c>
      <c r="D1417" s="292" t="s">
        <v>2964</v>
      </c>
      <c r="E1417" s="292">
        <v>42860</v>
      </c>
      <c r="F1417" s="429" t="s">
        <v>765</v>
      </c>
      <c r="G1417" s="925"/>
      <c r="H1417" s="429" t="s">
        <v>361</v>
      </c>
      <c r="I1417" s="373">
        <v>2300</v>
      </c>
      <c r="J1417" s="379">
        <v>275000</v>
      </c>
      <c r="K1417" s="373"/>
      <c r="L1417" s="379"/>
      <c r="M1417" s="927">
        <f t="shared" si="323"/>
        <v>632500000</v>
      </c>
      <c r="N1417" s="295" t="s">
        <v>264</v>
      </c>
      <c r="O1417" s="295" t="s">
        <v>8</v>
      </c>
      <c r="P1417" s="75" t="str">
        <f>IF(AND('331-CT'!$E$7=TH!H1417,OR(N1417="331",O1417="331")),"x","")</f>
        <v/>
      </c>
      <c r="Q1417" s="75" t="str">
        <f>IF(AND(B1417='111'!$L$11,OR($N1417=$Q$7,$O1417=$Q$7)),"x","")</f>
        <v/>
      </c>
      <c r="R1417" s="75" t="str">
        <f>IF(AND($N1417=$Q$7,$B1417&lt;'111'!$L$11),"x","")</f>
        <v/>
      </c>
      <c r="S1417" s="75" t="str">
        <f>IF(AND($O1417=$Q$7,$B1417&lt;'111'!$L$11),"x","")</f>
        <v/>
      </c>
      <c r="T1417" s="75" t="str">
        <f>IF(ISERROR(FIND('112'!$M$9,G1417,1)),"",IF((AND(FIND('112'!$M$9,G1417,1)&gt;=1,B1417='112'!$K$9,OR($N1417='112'!$I$6,$O1417='112'!$I$6))),"x",""))</f>
        <v/>
      </c>
      <c r="U1417" s="75" t="str">
        <f>IF(ISERROR(FIND('112'!$M$9,G1417,1)),"",IF((AND(LEFT(G1417,2)=LEFT('112'!$M$9,2),B1417&lt;'112'!$K$9,$N1417='112'!$I$6)),"x",""))</f>
        <v/>
      </c>
      <c r="V1417" s="75" t="str">
        <f>IF(ISERROR(FIND('112'!$M$9,G1417,1)),"",IF((AND(RIGHT(G1417,2)=RIGHT('112'!$M$9,2),B1417&lt;'112'!$K$9,$O1417='112'!$I$6)),"x",""))</f>
        <v/>
      </c>
      <c r="W1417" s="75" t="str">
        <f>IF(AND('341-CT'!$H$9=H1417,OR(LEFT(N1417,3)=$W$7,LEFT(O1417,3)=$W$7)),"x","")</f>
        <v/>
      </c>
      <c r="X1417" s="75" t="str">
        <f>IF(OR(TH!N1417=TH!$X$7,O1417=TH!$X$7),"x","")</f>
        <v/>
      </c>
      <c r="Y1417" s="75" t="str">
        <f>IF(AND(OR(N1417="131",O1417="131"),H1417='131-CT'!$H$9),"x","")</f>
        <v/>
      </c>
      <c r="Z1417" s="75"/>
      <c r="AA1417" s="75" t="str">
        <f>IF(AND(MONTH(E1417)='IN-NX'!$J$5,'IN-NX'!$D$7=D1417),"x","")</f>
        <v/>
      </c>
      <c r="AB1417" s="75" t="str">
        <f>IF(AND(OR(LEFT(TH!N1417,2)="15",LEFT(TH!O1417,2)="15"),LEFT(TH!O1417,3)&lt;&gt;"111",'152-CT'!$J$8=TH!F1417),"x","")</f>
        <v/>
      </c>
      <c r="AC1417" s="75" t="str">
        <f>IF(AND(OR(LEFT(TH!N1417,2)="15",LEFT(TH!O1417,2)="15"),TK!$E$7=TH!F1417),"x","")</f>
        <v/>
      </c>
      <c r="AD1417" s="75" t="str">
        <f>IF(AND(N1417="1521",MONTH(C1417)='BK-NL'!$M$11),"x","")</f>
        <v/>
      </c>
    </row>
    <row r="1418" spans="1:30" ht="16.5" customHeight="1">
      <c r="A1418" s="309" t="str">
        <f>IF(B1418&lt;&gt;"",IF(AND(B1418='IN-TC'!$S$4,OR(TH!N1418="1111",TH!O1418="1111")),TH!D1418,""),"")</f>
        <v/>
      </c>
      <c r="B1418" s="1242">
        <f t="shared" si="318"/>
        <v>5</v>
      </c>
      <c r="C1418" s="292">
        <f t="shared" si="319"/>
        <v>42860</v>
      </c>
      <c r="D1418" s="292" t="s">
        <v>2964</v>
      </c>
      <c r="E1418" s="292">
        <v>42860</v>
      </c>
      <c r="F1418" s="67" t="s">
        <v>764</v>
      </c>
      <c r="G1418" s="925"/>
      <c r="H1418" s="429" t="s">
        <v>361</v>
      </c>
      <c r="I1418" s="373">
        <v>25860</v>
      </c>
      <c r="J1418" s="379">
        <v>18500</v>
      </c>
      <c r="K1418" s="373"/>
      <c r="L1418" s="379"/>
      <c r="M1418" s="927">
        <f t="shared" si="320"/>
        <v>478410000</v>
      </c>
      <c r="N1418" s="295" t="s">
        <v>264</v>
      </c>
      <c r="O1418" s="295" t="s">
        <v>8</v>
      </c>
      <c r="P1418" s="75" t="str">
        <f>IF(AND('331-CT'!$E$7=TH!H1418,OR(N1418="331",O1418="331")),"x","")</f>
        <v/>
      </c>
      <c r="Q1418" s="75" t="str">
        <f>IF(AND(B1418='111'!$L$11,OR($N1418=$Q$7,$O1418=$Q$7)),"x","")</f>
        <v/>
      </c>
      <c r="R1418" s="75" t="str">
        <f>IF(AND($N1418=$Q$7,$B1418&lt;'111'!$L$11),"x","")</f>
        <v/>
      </c>
      <c r="S1418" s="75" t="str">
        <f>IF(AND($O1418=$Q$7,$B1418&lt;'111'!$L$11),"x","")</f>
        <v/>
      </c>
      <c r="T1418" s="75" t="str">
        <f>IF(ISERROR(FIND('112'!$M$9,G1418,1)),"",IF((AND(FIND('112'!$M$9,G1418,1)&gt;=1,B1418='112'!$K$9,OR($N1418='112'!$I$6,$O1418='112'!$I$6))),"x",""))</f>
        <v/>
      </c>
      <c r="U1418" s="75" t="str">
        <f>IF(ISERROR(FIND('112'!$M$9,G1418,1)),"",IF((AND(LEFT(G1418,2)=LEFT('112'!$M$9,2),B1418&lt;'112'!$K$9,$N1418='112'!$I$6)),"x",""))</f>
        <v/>
      </c>
      <c r="V1418" s="75" t="str">
        <f>IF(ISERROR(FIND('112'!$M$9,G1418,1)),"",IF((AND(RIGHT(G1418,2)=RIGHT('112'!$M$9,2),B1418&lt;'112'!$K$9,$O1418='112'!$I$6)),"x",""))</f>
        <v/>
      </c>
      <c r="W1418" s="75" t="str">
        <f>IF(AND('341-CT'!$H$9=H1418,OR(LEFT(N1418,3)=$W$7,LEFT(O1418,3)=$W$7)),"x","")</f>
        <v/>
      </c>
      <c r="X1418" s="75" t="str">
        <f>IF(OR(TH!N1418=TH!$X$7,O1418=TH!$X$7),"x","")</f>
        <v/>
      </c>
      <c r="Y1418" s="75" t="str">
        <f>IF(AND(OR(N1418="131",O1418="131"),H1418='131-CT'!$H$9),"x","")</f>
        <v/>
      </c>
      <c r="Z1418" s="75"/>
      <c r="AA1418" s="75" t="str">
        <f>IF(AND(MONTH(E1418)='IN-NX'!$J$5,'IN-NX'!$D$7=D1418),"x","")</f>
        <v/>
      </c>
      <c r="AB1418" s="75" t="str">
        <f>IF(AND(OR(LEFT(TH!N1418,2)="15",LEFT(TH!O1418,2)="15"),LEFT(TH!O1418,3)&lt;&gt;"111",'152-CT'!$J$8=TH!F1418),"x","")</f>
        <v/>
      </c>
      <c r="AC1418" s="75" t="str">
        <f>IF(AND(OR(LEFT(TH!N1418,2)="15",LEFT(TH!O1418,2)="15"),TK!$E$7=TH!F1418),"x","")</f>
        <v/>
      </c>
      <c r="AD1418" s="75" t="str">
        <f>IF(AND(N1418="1521",MONTH(C1418)='BK-NL'!$M$11),"x","")</f>
        <v/>
      </c>
    </row>
    <row r="1419" spans="1:30" ht="16.5" customHeight="1">
      <c r="A1419" s="309" t="str">
        <f>IF(B1419&lt;&gt;"",IF(AND(B1419='IN-TC'!$S$4,OR(TH!N1419="1111",TH!O1419="1111")),TH!D1419,""),"")</f>
        <v/>
      </c>
      <c r="B1419" s="1242">
        <f t="shared" ref="B1419" si="324">IF(C1419&lt;&gt;"",MONTH(C1419),"")</f>
        <v>5</v>
      </c>
      <c r="C1419" s="292">
        <f t="shared" ref="C1419" si="325">E1419</f>
        <v>42865</v>
      </c>
      <c r="D1419" s="292" t="s">
        <v>2981</v>
      </c>
      <c r="E1419" s="292">
        <v>42865</v>
      </c>
      <c r="F1419" s="67" t="s">
        <v>764</v>
      </c>
      <c r="G1419" s="925"/>
      <c r="H1419" s="429" t="s">
        <v>366</v>
      </c>
      <c r="I1419" s="373">
        <f>52200-I1418</f>
        <v>26340</v>
      </c>
      <c r="J1419" s="379">
        <v>18500</v>
      </c>
      <c r="K1419" s="373"/>
      <c r="L1419" s="379"/>
      <c r="M1419" s="927">
        <f t="shared" ref="M1419" si="326">ROUND(I1419*J1419,0)</f>
        <v>487290000</v>
      </c>
      <c r="N1419" s="295" t="s">
        <v>264</v>
      </c>
      <c r="O1419" s="295" t="s">
        <v>8</v>
      </c>
      <c r="P1419" s="75" t="str">
        <f>IF(AND('331-CT'!$E$7=TH!H1419,OR(N1419="331",O1419="331")),"x","")</f>
        <v/>
      </c>
      <c r="Q1419" s="75" t="str">
        <f>IF(AND(B1419='111'!$L$11,OR($N1419=$Q$7,$O1419=$Q$7)),"x","")</f>
        <v/>
      </c>
      <c r="R1419" s="75" t="str">
        <f>IF(AND($N1419=$Q$7,$B1419&lt;'111'!$L$11),"x","")</f>
        <v/>
      </c>
      <c r="S1419" s="75" t="str">
        <f>IF(AND($O1419=$Q$7,$B1419&lt;'111'!$L$11),"x","")</f>
        <v/>
      </c>
      <c r="T1419" s="75" t="str">
        <f>IF(ISERROR(FIND('112'!$M$9,G1419,1)),"",IF((AND(FIND('112'!$M$9,G1419,1)&gt;=1,B1419='112'!$K$9,OR($N1419='112'!$I$6,$O1419='112'!$I$6))),"x",""))</f>
        <v/>
      </c>
      <c r="U1419" s="75" t="str">
        <f>IF(ISERROR(FIND('112'!$M$9,G1419,1)),"",IF((AND(LEFT(G1419,2)=LEFT('112'!$M$9,2),B1419&lt;'112'!$K$9,$N1419='112'!$I$6)),"x",""))</f>
        <v/>
      </c>
      <c r="V1419" s="75" t="str">
        <f>IF(ISERROR(FIND('112'!$M$9,G1419,1)),"",IF((AND(RIGHT(G1419,2)=RIGHT('112'!$M$9,2),B1419&lt;'112'!$K$9,$O1419='112'!$I$6)),"x",""))</f>
        <v/>
      </c>
      <c r="W1419" s="75" t="str">
        <f>IF(AND('341-CT'!$H$9=H1419,OR(LEFT(N1419,3)=$W$7,LEFT(O1419,3)=$W$7)),"x","")</f>
        <v/>
      </c>
      <c r="X1419" s="75" t="str">
        <f>IF(OR(TH!N1419=TH!$X$7,O1419=TH!$X$7),"x","")</f>
        <v/>
      </c>
      <c r="Y1419" s="75" t="str">
        <f>IF(AND(OR(N1419="131",O1419="131"),H1419='131-CT'!$H$9),"x","")</f>
        <v/>
      </c>
      <c r="Z1419" s="75"/>
      <c r="AA1419" s="75" t="str">
        <f>IF(AND(MONTH(E1419)='IN-NX'!$J$5,'IN-NX'!$D$7=D1419),"x","")</f>
        <v/>
      </c>
      <c r="AB1419" s="75" t="str">
        <f>IF(AND(OR(LEFT(TH!N1419,2)="15",LEFT(TH!O1419,2)="15"),LEFT(TH!O1419,3)&lt;&gt;"111",'152-CT'!$J$8=TH!F1419),"x","")</f>
        <v/>
      </c>
      <c r="AC1419" s="75" t="str">
        <f>IF(AND(OR(LEFT(TH!N1419,2)="15",LEFT(TH!O1419,2)="15"),TK!$E$7=TH!F1419),"x","")</f>
        <v/>
      </c>
      <c r="AD1419" s="75" t="str">
        <f>IF(AND(N1419="1521",MONTH(C1419)='BK-NL'!$M$11),"x","")</f>
        <v/>
      </c>
    </row>
    <row r="1420" spans="1:30" ht="16.5" customHeight="1">
      <c r="A1420" s="309" t="str">
        <f>IF(B1420&lt;&gt;"",IF(AND(B1420='IN-TC'!$S$4,OR(TH!N1420="1111",TH!O1420="1111")),TH!D1420,""),"")</f>
        <v/>
      </c>
      <c r="B1420" s="1242">
        <f t="shared" si="318"/>
        <v>5</v>
      </c>
      <c r="C1420" s="292">
        <f t="shared" si="319"/>
        <v>42857</v>
      </c>
      <c r="D1420" s="292" t="s">
        <v>2961</v>
      </c>
      <c r="E1420" s="292">
        <v>42857</v>
      </c>
      <c r="F1420" s="425" t="s">
        <v>565</v>
      </c>
      <c r="G1420" s="925"/>
      <c r="H1420" s="429" t="s">
        <v>350</v>
      </c>
      <c r="I1420" s="373">
        <v>22560</v>
      </c>
      <c r="J1420" s="379">
        <v>18500</v>
      </c>
      <c r="K1420" s="373"/>
      <c r="L1420" s="379"/>
      <c r="M1420" s="927">
        <f t="shared" si="320"/>
        <v>417360000</v>
      </c>
      <c r="N1420" s="295" t="s">
        <v>264</v>
      </c>
      <c r="O1420" s="295" t="s">
        <v>8</v>
      </c>
      <c r="P1420" s="75" t="str">
        <f>IF(AND('331-CT'!$E$7=TH!H1420,OR(N1420="331",O1420="331")),"x","")</f>
        <v/>
      </c>
      <c r="Q1420" s="75" t="str">
        <f>IF(AND(B1420='111'!$L$11,OR($N1420=$Q$7,$O1420=$Q$7)),"x","")</f>
        <v/>
      </c>
      <c r="R1420" s="75" t="str">
        <f>IF(AND($N1420=$Q$7,$B1420&lt;'111'!$L$11),"x","")</f>
        <v/>
      </c>
      <c r="S1420" s="75" t="str">
        <f>IF(AND($O1420=$Q$7,$B1420&lt;'111'!$L$11),"x","")</f>
        <v/>
      </c>
      <c r="T1420" s="75" t="str">
        <f>IF(ISERROR(FIND('112'!$M$9,G1420,1)),"",IF((AND(FIND('112'!$M$9,G1420,1)&gt;=1,B1420='112'!$K$9,OR($N1420='112'!$I$6,$O1420='112'!$I$6))),"x",""))</f>
        <v/>
      </c>
      <c r="U1420" s="75" t="str">
        <f>IF(ISERROR(FIND('112'!$M$9,G1420,1)),"",IF((AND(LEFT(G1420,2)=LEFT('112'!$M$9,2),B1420&lt;'112'!$K$9,$N1420='112'!$I$6)),"x",""))</f>
        <v/>
      </c>
      <c r="V1420" s="75" t="str">
        <f>IF(ISERROR(FIND('112'!$M$9,G1420,1)),"",IF((AND(RIGHT(G1420,2)=RIGHT('112'!$M$9,2),B1420&lt;'112'!$K$9,$O1420='112'!$I$6)),"x",""))</f>
        <v/>
      </c>
      <c r="W1420" s="75" t="str">
        <f>IF(AND('341-CT'!$H$9=H1420,OR(LEFT(N1420,3)=$W$7,LEFT(O1420,3)=$W$7)),"x","")</f>
        <v/>
      </c>
      <c r="X1420" s="75" t="str">
        <f>IF(OR(TH!N1420=TH!$X$7,O1420=TH!$X$7),"x","")</f>
        <v/>
      </c>
      <c r="Y1420" s="75" t="str">
        <f>IF(AND(OR(N1420="131",O1420="131"),H1420='131-CT'!$H$9),"x","")</f>
        <v/>
      </c>
      <c r="Z1420" s="75"/>
      <c r="AA1420" s="75" t="str">
        <f>IF(AND(MONTH(E1420)='IN-NX'!$J$5,'IN-NX'!$D$7=D1420),"x","")</f>
        <v/>
      </c>
      <c r="AB1420" s="75" t="str">
        <f>IF(AND(OR(LEFT(TH!N1420,2)="15",LEFT(TH!O1420,2)="15"),LEFT(TH!O1420,3)&lt;&gt;"111",'152-CT'!$J$8=TH!F1420),"x","")</f>
        <v/>
      </c>
      <c r="AC1420" s="75" t="str">
        <f>IF(AND(OR(LEFT(TH!N1420,2)="15",LEFT(TH!O1420,2)="15"),TK!$E$7=TH!F1420),"x","")</f>
        <v/>
      </c>
      <c r="AD1420" s="75" t="str">
        <f>IF(AND(N1420="1521",MONTH(C1420)='BK-NL'!$M$11),"x","")</f>
        <v/>
      </c>
    </row>
    <row r="1421" spans="1:30" ht="16.5" customHeight="1">
      <c r="A1421" s="309" t="str">
        <f>IF(B1421&lt;&gt;"",IF(AND(B1421='IN-TC'!$S$4,OR(TH!N1421="1111",TH!O1421="1111")),TH!D1421,""),"")</f>
        <v/>
      </c>
      <c r="B1421" s="1242">
        <f t="shared" si="318"/>
        <v>5</v>
      </c>
      <c r="C1421" s="292">
        <f t="shared" si="319"/>
        <v>42860</v>
      </c>
      <c r="D1421" s="292" t="s">
        <v>2965</v>
      </c>
      <c r="E1421" s="292">
        <v>42860</v>
      </c>
      <c r="F1421" s="425" t="s">
        <v>565</v>
      </c>
      <c r="G1421" s="925"/>
      <c r="H1421" s="429" t="s">
        <v>348</v>
      </c>
      <c r="I1421" s="373">
        <f>45276-I1420</f>
        <v>22716</v>
      </c>
      <c r="J1421" s="379">
        <v>18500</v>
      </c>
      <c r="K1421" s="373"/>
      <c r="L1421" s="379"/>
      <c r="M1421" s="927">
        <f t="shared" si="320"/>
        <v>420246000</v>
      </c>
      <c r="N1421" s="295" t="s">
        <v>264</v>
      </c>
      <c r="O1421" s="295" t="s">
        <v>8</v>
      </c>
      <c r="P1421" s="75" t="str">
        <f>IF(AND('331-CT'!$E$7=TH!H1421,OR(N1421="331",O1421="331")),"x","")</f>
        <v/>
      </c>
      <c r="Q1421" s="75" t="str">
        <f>IF(AND(B1421='111'!$L$11,OR($N1421=$Q$7,$O1421=$Q$7)),"x","")</f>
        <v/>
      </c>
      <c r="R1421" s="75" t="str">
        <f>IF(AND($N1421=$Q$7,$B1421&lt;'111'!$L$11),"x","")</f>
        <v/>
      </c>
      <c r="S1421" s="75" t="str">
        <f>IF(AND($O1421=$Q$7,$B1421&lt;'111'!$L$11),"x","")</f>
        <v/>
      </c>
      <c r="T1421" s="75" t="str">
        <f>IF(ISERROR(FIND('112'!$M$9,G1421,1)),"",IF((AND(FIND('112'!$M$9,G1421,1)&gt;=1,B1421='112'!$K$9,OR($N1421='112'!$I$6,$O1421='112'!$I$6))),"x",""))</f>
        <v/>
      </c>
      <c r="U1421" s="75" t="str">
        <f>IF(ISERROR(FIND('112'!$M$9,G1421,1)),"",IF((AND(LEFT(G1421,2)=LEFT('112'!$M$9,2),B1421&lt;'112'!$K$9,$N1421='112'!$I$6)),"x",""))</f>
        <v/>
      </c>
      <c r="V1421" s="75" t="str">
        <f>IF(ISERROR(FIND('112'!$M$9,G1421,1)),"",IF((AND(RIGHT(G1421,2)=RIGHT('112'!$M$9,2),B1421&lt;'112'!$K$9,$O1421='112'!$I$6)),"x",""))</f>
        <v/>
      </c>
      <c r="W1421" s="75" t="str">
        <f>IF(AND('341-CT'!$H$9=H1421,OR(LEFT(N1421,3)=$W$7,LEFT(O1421,3)=$W$7)),"x","")</f>
        <v/>
      </c>
      <c r="X1421" s="75" t="str">
        <f>IF(OR(TH!N1421=TH!$X$7,O1421=TH!$X$7),"x","")</f>
        <v/>
      </c>
      <c r="Y1421" s="75" t="str">
        <f>IF(AND(OR(N1421="131",O1421="131"),H1421='131-CT'!$H$9),"x","")</f>
        <v/>
      </c>
      <c r="Z1421" s="75"/>
      <c r="AA1421" s="75" t="str">
        <f>IF(AND(MONTH(E1421)='IN-NX'!$J$5,'IN-NX'!$D$7=D1421),"x","")</f>
        <v/>
      </c>
      <c r="AB1421" s="75" t="str">
        <f>IF(AND(OR(LEFT(TH!N1421,2)="15",LEFT(TH!O1421,2)="15"),LEFT(TH!O1421,3)&lt;&gt;"111",'152-CT'!$J$8=TH!F1421),"x","")</f>
        <v/>
      </c>
      <c r="AC1421" s="75" t="str">
        <f>IF(AND(OR(LEFT(TH!N1421,2)="15",LEFT(TH!O1421,2)="15"),TK!$E$7=TH!F1421),"x","")</f>
        <v/>
      </c>
      <c r="AD1421" s="75" t="str">
        <f>IF(AND(N1421="1521",MONTH(C1421)='BK-NL'!$M$11),"x","")</f>
        <v/>
      </c>
    </row>
    <row r="1422" spans="1:30" ht="16.5" customHeight="1">
      <c r="A1422" s="309" t="str">
        <f>IF(B1422&lt;&gt;"",IF(AND(B1422='IN-TC'!$S$4,OR(TH!N1422="1111",TH!O1422="1111")),TH!D1422,""),"")</f>
        <v/>
      </c>
      <c r="B1422" s="1242">
        <f t="shared" si="318"/>
        <v>5</v>
      </c>
      <c r="C1422" s="292">
        <f t="shared" si="319"/>
        <v>42860</v>
      </c>
      <c r="D1422" s="292" t="s">
        <v>2965</v>
      </c>
      <c r="E1422" s="292">
        <v>42860</v>
      </c>
      <c r="F1422" s="429" t="s">
        <v>770</v>
      </c>
      <c r="G1422" s="925"/>
      <c r="H1422" s="429" t="s">
        <v>348</v>
      </c>
      <c r="I1422" s="373">
        <v>21250</v>
      </c>
      <c r="J1422" s="379">
        <v>25000</v>
      </c>
      <c r="K1422" s="373"/>
      <c r="L1422" s="379"/>
      <c r="M1422" s="927">
        <f t="shared" si="320"/>
        <v>531250000</v>
      </c>
      <c r="N1422" s="295" t="s">
        <v>264</v>
      </c>
      <c r="O1422" s="295" t="s">
        <v>8</v>
      </c>
      <c r="P1422" s="75" t="str">
        <f>IF(AND('331-CT'!$E$7=TH!H1422,OR(N1422="331",O1422="331")),"x","")</f>
        <v/>
      </c>
      <c r="Q1422" s="75" t="str">
        <f>IF(AND(B1422='111'!$L$11,OR($N1422=$Q$7,$O1422=$Q$7)),"x","")</f>
        <v/>
      </c>
      <c r="R1422" s="75" t="str">
        <f>IF(AND($N1422=$Q$7,$B1422&lt;'111'!$L$11),"x","")</f>
        <v/>
      </c>
      <c r="S1422" s="75" t="str">
        <f>IF(AND($O1422=$Q$7,$B1422&lt;'111'!$L$11),"x","")</f>
        <v/>
      </c>
      <c r="T1422" s="75" t="str">
        <f>IF(ISERROR(FIND('112'!$M$9,G1422,1)),"",IF((AND(FIND('112'!$M$9,G1422,1)&gt;=1,B1422='112'!$K$9,OR($N1422='112'!$I$6,$O1422='112'!$I$6))),"x",""))</f>
        <v/>
      </c>
      <c r="U1422" s="75" t="str">
        <f>IF(ISERROR(FIND('112'!$M$9,G1422,1)),"",IF((AND(LEFT(G1422,2)=LEFT('112'!$M$9,2),B1422&lt;'112'!$K$9,$N1422='112'!$I$6)),"x",""))</f>
        <v/>
      </c>
      <c r="V1422" s="75" t="str">
        <f>IF(ISERROR(FIND('112'!$M$9,G1422,1)),"",IF((AND(RIGHT(G1422,2)=RIGHT('112'!$M$9,2),B1422&lt;'112'!$K$9,$O1422='112'!$I$6)),"x",""))</f>
        <v/>
      </c>
      <c r="W1422" s="75" t="str">
        <f>IF(AND('341-CT'!$H$9=H1422,OR(LEFT(N1422,3)=$W$7,LEFT(O1422,3)=$W$7)),"x","")</f>
        <v/>
      </c>
      <c r="X1422" s="75" t="str">
        <f>IF(OR(TH!N1422=TH!$X$7,O1422=TH!$X$7),"x","")</f>
        <v/>
      </c>
      <c r="Y1422" s="75" t="str">
        <f>IF(AND(OR(N1422="131",O1422="131"),H1422='131-CT'!$H$9),"x","")</f>
        <v/>
      </c>
      <c r="Z1422" s="75"/>
      <c r="AA1422" s="75" t="str">
        <f>IF(AND(MONTH(E1422)='IN-NX'!$J$5,'IN-NX'!$D$7=D1422),"x","")</f>
        <v/>
      </c>
      <c r="AB1422" s="75" t="str">
        <f>IF(AND(OR(LEFT(TH!N1422,2)="15",LEFT(TH!O1422,2)="15"),LEFT(TH!O1422,3)&lt;&gt;"111",'152-CT'!$J$8=TH!F1422),"x","")</f>
        <v/>
      </c>
      <c r="AC1422" s="75" t="str">
        <f>IF(AND(OR(LEFT(TH!N1422,2)="15",LEFT(TH!O1422,2)="15"),TK!$E$7=TH!F1422),"x","")</f>
        <v/>
      </c>
      <c r="AD1422" s="75" t="str">
        <f>IF(AND(N1422="1521",MONTH(C1422)='BK-NL'!$M$11),"x","")</f>
        <v/>
      </c>
    </row>
    <row r="1423" spans="1:30" ht="16.5" customHeight="1">
      <c r="A1423" s="309" t="str">
        <f>IF(B1423&lt;&gt;"",IF(AND(B1423='IN-TC'!$S$4,OR(TH!N1423="1111",TH!O1423="1111")),TH!D1423,""),"")</f>
        <v/>
      </c>
      <c r="B1423" s="1242">
        <f t="shared" si="309"/>
        <v>5</v>
      </c>
      <c r="C1423" s="929">
        <f t="shared" si="310"/>
        <v>42886</v>
      </c>
      <c r="D1423" s="929" t="s">
        <v>2956</v>
      </c>
      <c r="E1423" s="929">
        <v>42886</v>
      </c>
      <c r="F1423" s="1082" t="s">
        <v>771</v>
      </c>
      <c r="G1423" s="931"/>
      <c r="H1423" s="1082" t="s">
        <v>424</v>
      </c>
      <c r="I1423" s="371">
        <v>1520064</v>
      </c>
      <c r="J1423" s="377">
        <v>18500</v>
      </c>
      <c r="K1423" s="371"/>
      <c r="L1423" s="377"/>
      <c r="M1423" s="933">
        <f t="shared" si="311"/>
        <v>28121184000</v>
      </c>
      <c r="N1423" s="934" t="s">
        <v>272</v>
      </c>
      <c r="O1423" s="934" t="s">
        <v>264</v>
      </c>
      <c r="P1423" s="75" t="str">
        <f>IF(AND('331-CT'!$E$7=TH!H1423,OR(N1423="331",O1423="331")),"x","")</f>
        <v/>
      </c>
      <c r="Q1423" s="75" t="str">
        <f>IF(AND(B1423='111'!$L$11,OR($N1423=$Q$7,$O1423=$Q$7)),"x","")</f>
        <v/>
      </c>
      <c r="R1423" s="75" t="str">
        <f>IF(AND($N1423=$Q$7,$B1423&lt;'111'!$L$11),"x","")</f>
        <v/>
      </c>
      <c r="S1423" s="75" t="str">
        <f>IF(AND($O1423=$Q$7,$B1423&lt;'111'!$L$11),"x","")</f>
        <v/>
      </c>
      <c r="T1423" s="75" t="str">
        <f>IF(ISERROR(FIND('112'!$M$9,G1423,1)),"",IF((AND(FIND('112'!$M$9,G1423,1)&gt;=1,B1423='112'!$K$9,OR($N1423='112'!$I$6,$O1423='112'!$I$6))),"x",""))</f>
        <v/>
      </c>
      <c r="U1423" s="75" t="str">
        <f>IF(ISERROR(FIND('112'!$M$9,G1423,1)),"",IF((AND(LEFT(G1423,2)=LEFT('112'!$M$9,2),B1423&lt;'112'!$K$9,$N1423='112'!$I$6)),"x",""))</f>
        <v/>
      </c>
      <c r="V1423" s="75" t="str">
        <f>IF(ISERROR(FIND('112'!$M$9,G1423,1)),"",IF((AND(RIGHT(G1423,2)=RIGHT('112'!$M$9,2),B1423&lt;'112'!$K$9,$O1423='112'!$I$6)),"x",""))</f>
        <v/>
      </c>
      <c r="W1423" s="75" t="str">
        <f>IF(AND('341-CT'!$H$9=H1423,OR(LEFT(N1423,3)=$W$7,LEFT(O1423,3)=$W$7)),"x","")</f>
        <v/>
      </c>
      <c r="X1423" s="75" t="str">
        <f>IF(OR(TH!N1423=TH!$X$7,O1423=TH!$X$7),"x","")</f>
        <v/>
      </c>
      <c r="Y1423" s="75" t="str">
        <f>IF(AND(OR(N1423="131",O1423="131"),H1423='131-CT'!$H$9),"x","")</f>
        <v/>
      </c>
      <c r="Z1423" s="75"/>
      <c r="AA1423" s="75" t="str">
        <f>IF(AND(MONTH(E1423)='IN-NX'!$J$5,'IN-NX'!$D$7=D1423),"x","")</f>
        <v/>
      </c>
      <c r="AB1423" s="75" t="str">
        <f>IF(AND(OR(LEFT(TH!N1423,2)="15",LEFT(TH!O1423,2)="15"),LEFT(TH!O1423,3)&lt;&gt;"111",'152-CT'!$J$8=TH!F1423),"x","")</f>
        <v/>
      </c>
      <c r="AC1423" s="75" t="str">
        <f>IF(AND(OR(LEFT(TH!N1423,2)="15",LEFT(TH!O1423,2)="15"),TK!$E$7=TH!F1423),"x","")</f>
        <v/>
      </c>
      <c r="AD1423" s="75" t="str">
        <f>IF(AND(N1423="1521",MONTH(C1423)='BK-NL'!$M$11),"x","")</f>
        <v/>
      </c>
    </row>
    <row r="1424" spans="1:30" ht="16.5" customHeight="1">
      <c r="A1424" s="309" t="str">
        <f>IF(B1424&lt;&gt;"",IF(AND(B1424='IN-TC'!$S$4,OR(TH!N1424="1111",TH!O1424="1111")),TH!D1424,""),"")</f>
        <v/>
      </c>
      <c r="B1424" s="1242">
        <f t="shared" si="309"/>
        <v>5</v>
      </c>
      <c r="C1424" s="929">
        <f t="shared" si="310"/>
        <v>42886</v>
      </c>
      <c r="D1424" s="929" t="s">
        <v>2956</v>
      </c>
      <c r="E1424" s="929">
        <v>42886</v>
      </c>
      <c r="F1424" s="1082" t="s">
        <v>566</v>
      </c>
      <c r="G1424" s="931"/>
      <c r="H1424" s="1082" t="s">
        <v>424</v>
      </c>
      <c r="I1424" s="371">
        <v>103500</v>
      </c>
      <c r="J1424" s="377">
        <v>18200</v>
      </c>
      <c r="K1424" s="371"/>
      <c r="L1424" s="377"/>
      <c r="M1424" s="933">
        <f t="shared" si="311"/>
        <v>1883700000</v>
      </c>
      <c r="N1424" s="934" t="s">
        <v>272</v>
      </c>
      <c r="O1424" s="934" t="s">
        <v>264</v>
      </c>
      <c r="P1424" s="75" t="str">
        <f>IF(AND('331-CT'!$E$7=TH!H1424,OR(N1424="331",O1424="331")),"x","")</f>
        <v/>
      </c>
      <c r="Q1424" s="75" t="str">
        <f>IF(AND(B1424='111'!$L$11,OR($N1424=$Q$7,$O1424=$Q$7)),"x","")</f>
        <v/>
      </c>
      <c r="R1424" s="75" t="str">
        <f>IF(AND($N1424=$Q$7,$B1424&lt;'111'!$L$11),"x","")</f>
        <v/>
      </c>
      <c r="S1424" s="75" t="str">
        <f>IF(AND($O1424=$Q$7,$B1424&lt;'111'!$L$11),"x","")</f>
        <v/>
      </c>
      <c r="T1424" s="75" t="str">
        <f>IF(ISERROR(FIND('112'!$M$9,G1424,1)),"",IF((AND(FIND('112'!$M$9,G1424,1)&gt;=1,B1424='112'!$K$9,OR($N1424='112'!$I$6,$O1424='112'!$I$6))),"x",""))</f>
        <v/>
      </c>
      <c r="U1424" s="75" t="str">
        <f>IF(ISERROR(FIND('112'!$M$9,G1424,1)),"",IF((AND(LEFT(G1424,2)=LEFT('112'!$M$9,2),B1424&lt;'112'!$K$9,$N1424='112'!$I$6)),"x",""))</f>
        <v/>
      </c>
      <c r="V1424" s="75" t="str">
        <f>IF(ISERROR(FIND('112'!$M$9,G1424,1)),"",IF((AND(RIGHT(G1424,2)=RIGHT('112'!$M$9,2),B1424&lt;'112'!$K$9,$O1424='112'!$I$6)),"x",""))</f>
        <v/>
      </c>
      <c r="W1424" s="75" t="str">
        <f>IF(AND('341-CT'!$H$9=H1424,OR(LEFT(N1424,3)=$W$7,LEFT(O1424,3)=$W$7)),"x","")</f>
        <v/>
      </c>
      <c r="X1424" s="75" t="str">
        <f>IF(OR(TH!N1424=TH!$X$7,O1424=TH!$X$7),"x","")</f>
        <v/>
      </c>
      <c r="Y1424" s="75" t="str">
        <f>IF(AND(OR(N1424="131",O1424="131"),H1424='131-CT'!$H$9),"x","")</f>
        <v/>
      </c>
      <c r="Z1424" s="75"/>
      <c r="AA1424" s="75" t="str">
        <f>IF(AND(MONTH(E1424)='IN-NX'!$J$5,'IN-NX'!$D$7=D1424),"x","")</f>
        <v/>
      </c>
      <c r="AB1424" s="75" t="str">
        <f>IF(AND(OR(LEFT(TH!N1424,2)="15",LEFT(TH!O1424,2)="15"),LEFT(TH!O1424,3)&lt;&gt;"111",'152-CT'!$J$8=TH!F1424),"x","")</f>
        <v/>
      </c>
      <c r="AC1424" s="75" t="str">
        <f>IF(AND(OR(LEFT(TH!N1424,2)="15",LEFT(TH!O1424,2)="15"),TK!$E$7=TH!F1424),"x","")</f>
        <v/>
      </c>
      <c r="AD1424" s="75" t="str">
        <f>IF(AND(N1424="1521",MONTH(C1424)='BK-NL'!$M$11),"x","")</f>
        <v/>
      </c>
    </row>
    <row r="1425" spans="1:30" ht="16.5" customHeight="1">
      <c r="A1425" s="309" t="str">
        <f>IF(B1425&lt;&gt;"",IF(AND(B1425='IN-TC'!$S$4,OR(TH!N1425="1111",TH!O1425="1111")),TH!D1425,""),"")</f>
        <v/>
      </c>
      <c r="B1425" s="1242">
        <f t="shared" si="309"/>
        <v>5</v>
      </c>
      <c r="C1425" s="929">
        <f t="shared" si="310"/>
        <v>42886</v>
      </c>
      <c r="D1425" s="929" t="s">
        <v>2956</v>
      </c>
      <c r="E1425" s="929">
        <v>42886</v>
      </c>
      <c r="F1425" s="1082" t="s">
        <v>765</v>
      </c>
      <c r="G1425" s="931"/>
      <c r="H1425" s="1082" t="s">
        <v>424</v>
      </c>
      <c r="I1425" s="371">
        <v>2300</v>
      </c>
      <c r="J1425" s="377">
        <v>275000</v>
      </c>
      <c r="K1425" s="371"/>
      <c r="L1425" s="377"/>
      <c r="M1425" s="933">
        <f t="shared" si="311"/>
        <v>632500000</v>
      </c>
      <c r="N1425" s="934" t="s">
        <v>272</v>
      </c>
      <c r="O1425" s="934" t="s">
        <v>264</v>
      </c>
      <c r="P1425" s="75" t="str">
        <f>IF(AND('331-CT'!$E$7=TH!H1425,OR(N1425="331",O1425="331")),"x","")</f>
        <v/>
      </c>
      <c r="Q1425" s="75" t="str">
        <f>IF(AND(B1425='111'!$L$11,OR($N1425=$Q$7,$O1425=$Q$7)),"x","")</f>
        <v/>
      </c>
      <c r="R1425" s="75" t="str">
        <f>IF(AND($N1425=$Q$7,$B1425&lt;'111'!$L$11),"x","")</f>
        <v/>
      </c>
      <c r="S1425" s="75" t="str">
        <f>IF(AND($O1425=$Q$7,$B1425&lt;'111'!$L$11),"x","")</f>
        <v/>
      </c>
      <c r="T1425" s="75" t="str">
        <f>IF(ISERROR(FIND('112'!$M$9,G1425,1)),"",IF((AND(FIND('112'!$M$9,G1425,1)&gt;=1,B1425='112'!$K$9,OR($N1425='112'!$I$6,$O1425='112'!$I$6))),"x",""))</f>
        <v/>
      </c>
      <c r="U1425" s="75" t="str">
        <f>IF(ISERROR(FIND('112'!$M$9,G1425,1)),"",IF((AND(LEFT(G1425,2)=LEFT('112'!$M$9,2),B1425&lt;'112'!$K$9,$N1425='112'!$I$6)),"x",""))</f>
        <v/>
      </c>
      <c r="V1425" s="75" t="str">
        <f>IF(ISERROR(FIND('112'!$M$9,G1425,1)),"",IF((AND(RIGHT(G1425,2)=RIGHT('112'!$M$9,2),B1425&lt;'112'!$K$9,$O1425='112'!$I$6)),"x",""))</f>
        <v/>
      </c>
      <c r="W1425" s="75" t="str">
        <f>IF(AND('341-CT'!$H$9=H1425,OR(LEFT(N1425,3)=$W$7,LEFT(O1425,3)=$W$7)),"x","")</f>
        <v/>
      </c>
      <c r="X1425" s="75" t="str">
        <f>IF(OR(TH!N1425=TH!$X$7,O1425=TH!$X$7),"x","")</f>
        <v/>
      </c>
      <c r="Y1425" s="75" t="str">
        <f>IF(AND(OR(N1425="131",O1425="131"),H1425='131-CT'!$H$9),"x","")</f>
        <v/>
      </c>
      <c r="Z1425" s="75"/>
      <c r="AA1425" s="75" t="str">
        <f>IF(AND(MONTH(E1425)='IN-NX'!$J$5,'IN-NX'!$D$7=D1425),"x","")</f>
        <v/>
      </c>
      <c r="AB1425" s="75" t="str">
        <f>IF(AND(OR(LEFT(TH!N1425,2)="15",LEFT(TH!O1425,2)="15"),LEFT(TH!O1425,3)&lt;&gt;"111",'152-CT'!$J$8=TH!F1425),"x","")</f>
        <v/>
      </c>
      <c r="AC1425" s="75" t="str">
        <f>IF(AND(OR(LEFT(TH!N1425,2)="15",LEFT(TH!O1425,2)="15"),TK!$E$7=TH!F1425),"x","")</f>
        <v/>
      </c>
      <c r="AD1425" s="75" t="str">
        <f>IF(AND(N1425="1521",MONTH(C1425)='BK-NL'!$M$11),"x","")</f>
        <v/>
      </c>
    </row>
    <row r="1426" spans="1:30" ht="16.5" customHeight="1">
      <c r="A1426" s="309" t="str">
        <f>IF(B1426&lt;&gt;"",IF(AND(B1426='IN-TC'!$S$4,OR(TH!N1426="1111",TH!O1426="1111")),TH!D1426,""),"")</f>
        <v/>
      </c>
      <c r="B1426" s="1242">
        <f t="shared" si="309"/>
        <v>5</v>
      </c>
      <c r="C1426" s="929">
        <f t="shared" si="310"/>
        <v>42886</v>
      </c>
      <c r="D1426" s="929" t="s">
        <v>2956</v>
      </c>
      <c r="E1426" s="929">
        <v>42886</v>
      </c>
      <c r="F1426" s="1082" t="s">
        <v>764</v>
      </c>
      <c r="G1426" s="931"/>
      <c r="H1426" s="1082" t="s">
        <v>424</v>
      </c>
      <c r="I1426" s="371">
        <v>52200</v>
      </c>
      <c r="J1426" s="377">
        <v>18500</v>
      </c>
      <c r="K1426" s="371"/>
      <c r="L1426" s="377"/>
      <c r="M1426" s="933">
        <f t="shared" si="311"/>
        <v>965700000</v>
      </c>
      <c r="N1426" s="934" t="s">
        <v>272</v>
      </c>
      <c r="O1426" s="934" t="s">
        <v>264</v>
      </c>
      <c r="P1426" s="75" t="str">
        <f>IF(AND('331-CT'!$E$7=TH!H1426,OR(N1426="331",O1426="331")),"x","")</f>
        <v/>
      </c>
      <c r="Q1426" s="75" t="str">
        <f>IF(AND(B1426='111'!$L$11,OR($N1426=$Q$7,$O1426=$Q$7)),"x","")</f>
        <v/>
      </c>
      <c r="R1426" s="75" t="str">
        <f>IF(AND($N1426=$Q$7,$B1426&lt;'111'!$L$11),"x","")</f>
        <v/>
      </c>
      <c r="S1426" s="75" t="str">
        <f>IF(AND($O1426=$Q$7,$B1426&lt;'111'!$L$11),"x","")</f>
        <v/>
      </c>
      <c r="T1426" s="75" t="str">
        <f>IF(ISERROR(FIND('112'!$M$9,G1426,1)),"",IF((AND(FIND('112'!$M$9,G1426,1)&gt;=1,B1426='112'!$K$9,OR($N1426='112'!$I$6,$O1426='112'!$I$6))),"x",""))</f>
        <v/>
      </c>
      <c r="U1426" s="75" t="str">
        <f>IF(ISERROR(FIND('112'!$M$9,G1426,1)),"",IF((AND(LEFT(G1426,2)=LEFT('112'!$M$9,2),B1426&lt;'112'!$K$9,$N1426='112'!$I$6)),"x",""))</f>
        <v/>
      </c>
      <c r="V1426" s="75" t="str">
        <f>IF(ISERROR(FIND('112'!$M$9,G1426,1)),"",IF((AND(RIGHT(G1426,2)=RIGHT('112'!$M$9,2),B1426&lt;'112'!$K$9,$O1426='112'!$I$6)),"x",""))</f>
        <v/>
      </c>
      <c r="W1426" s="75" t="str">
        <f>IF(AND('341-CT'!$H$9=H1426,OR(LEFT(N1426,3)=$W$7,LEFT(O1426,3)=$W$7)),"x","")</f>
        <v/>
      </c>
      <c r="X1426" s="75" t="str">
        <f>IF(OR(TH!N1426=TH!$X$7,O1426=TH!$X$7),"x","")</f>
        <v/>
      </c>
      <c r="Y1426" s="75" t="str">
        <f>IF(AND(OR(N1426="131",O1426="131"),H1426='131-CT'!$H$9),"x","")</f>
        <v/>
      </c>
      <c r="Z1426" s="75"/>
      <c r="AA1426" s="75" t="str">
        <f>IF(AND(MONTH(E1426)='IN-NX'!$J$5,'IN-NX'!$D$7=D1426),"x","")</f>
        <v/>
      </c>
      <c r="AB1426" s="75" t="str">
        <f>IF(AND(OR(LEFT(TH!N1426,2)="15",LEFT(TH!O1426,2)="15"),LEFT(TH!O1426,3)&lt;&gt;"111",'152-CT'!$J$8=TH!F1426),"x","")</f>
        <v/>
      </c>
      <c r="AC1426" s="75" t="str">
        <f>IF(AND(OR(LEFT(TH!N1426,2)="15",LEFT(TH!O1426,2)="15"),TK!$E$7=TH!F1426),"x","")</f>
        <v/>
      </c>
      <c r="AD1426" s="75" t="str">
        <f>IF(AND(N1426="1521",MONTH(C1426)='BK-NL'!$M$11),"x","")</f>
        <v/>
      </c>
    </row>
    <row r="1427" spans="1:30" ht="16.5" customHeight="1">
      <c r="A1427" s="309" t="str">
        <f>IF(B1427&lt;&gt;"",IF(AND(B1427='IN-TC'!$S$4,OR(TH!N1427="1111",TH!O1427="1111")),TH!D1427,""),"")</f>
        <v/>
      </c>
      <c r="B1427" s="1242">
        <f t="shared" ref="B1427" si="327">IF(C1427&lt;&gt;"",MONTH(C1427),"")</f>
        <v>5</v>
      </c>
      <c r="C1427" s="929">
        <f t="shared" ref="C1427" si="328">E1427</f>
        <v>42886</v>
      </c>
      <c r="D1427" s="929" t="s">
        <v>2956</v>
      </c>
      <c r="E1427" s="929">
        <v>42886</v>
      </c>
      <c r="F1427" s="1082" t="s">
        <v>565</v>
      </c>
      <c r="G1427" s="931"/>
      <c r="H1427" s="1082" t="s">
        <v>424</v>
      </c>
      <c r="I1427" s="371">
        <v>45276</v>
      </c>
      <c r="J1427" s="377">
        <v>18500</v>
      </c>
      <c r="K1427" s="371"/>
      <c r="L1427" s="377"/>
      <c r="M1427" s="933">
        <f t="shared" ref="M1427" si="329">ROUND(I1427*J1427,0)</f>
        <v>837606000</v>
      </c>
      <c r="N1427" s="934" t="s">
        <v>272</v>
      </c>
      <c r="O1427" s="934" t="s">
        <v>264</v>
      </c>
      <c r="P1427" s="75" t="str">
        <f>IF(AND('331-CT'!$E$7=TH!H1427,OR(N1427="331",O1427="331")),"x","")</f>
        <v/>
      </c>
      <c r="Q1427" s="75" t="str">
        <f>IF(AND(B1427='111'!$L$11,OR($N1427=$Q$7,$O1427=$Q$7)),"x","")</f>
        <v/>
      </c>
      <c r="R1427" s="75" t="str">
        <f>IF(AND($N1427=$Q$7,$B1427&lt;'111'!$L$11),"x","")</f>
        <v/>
      </c>
      <c r="S1427" s="75" t="str">
        <f>IF(AND($O1427=$Q$7,$B1427&lt;'111'!$L$11),"x","")</f>
        <v/>
      </c>
      <c r="T1427" s="75" t="str">
        <f>IF(ISERROR(FIND('112'!$M$9,G1427,1)),"",IF((AND(FIND('112'!$M$9,G1427,1)&gt;=1,B1427='112'!$K$9,OR($N1427='112'!$I$6,$O1427='112'!$I$6))),"x",""))</f>
        <v/>
      </c>
      <c r="U1427" s="75" t="str">
        <f>IF(ISERROR(FIND('112'!$M$9,G1427,1)),"",IF((AND(LEFT(G1427,2)=LEFT('112'!$M$9,2),B1427&lt;'112'!$K$9,$N1427='112'!$I$6)),"x",""))</f>
        <v/>
      </c>
      <c r="V1427" s="75" t="str">
        <f>IF(ISERROR(FIND('112'!$M$9,G1427,1)),"",IF((AND(RIGHT(G1427,2)=RIGHT('112'!$M$9,2),B1427&lt;'112'!$K$9,$O1427='112'!$I$6)),"x",""))</f>
        <v/>
      </c>
      <c r="W1427" s="75" t="str">
        <f>IF(AND('341-CT'!$H$9=H1427,OR(LEFT(N1427,3)=$W$7,LEFT(O1427,3)=$W$7)),"x","")</f>
        <v/>
      </c>
      <c r="X1427" s="75" t="str">
        <f>IF(OR(TH!N1427=TH!$X$7,O1427=TH!$X$7),"x","")</f>
        <v/>
      </c>
      <c r="Y1427" s="75" t="str">
        <f>IF(AND(OR(N1427="131",O1427="131"),H1427='131-CT'!$H$9),"x","")</f>
        <v/>
      </c>
      <c r="Z1427" s="75"/>
      <c r="AA1427" s="75" t="str">
        <f>IF(AND(MONTH(E1427)='IN-NX'!$J$5,'IN-NX'!$D$7=D1427),"x","")</f>
        <v/>
      </c>
      <c r="AB1427" s="75" t="str">
        <f>IF(AND(OR(LEFT(TH!N1427,2)="15",LEFT(TH!O1427,2)="15"),LEFT(TH!O1427,3)&lt;&gt;"111",'152-CT'!$J$8=TH!F1427),"x","")</f>
        <v/>
      </c>
      <c r="AC1427" s="75" t="str">
        <f>IF(AND(OR(LEFT(TH!N1427,2)="15",LEFT(TH!O1427,2)="15"),TK!$E$7=TH!F1427),"x","")</f>
        <v/>
      </c>
      <c r="AD1427" s="75" t="str">
        <f>IF(AND(N1427="1521",MONTH(C1427)='BK-NL'!$M$11),"x","")</f>
        <v/>
      </c>
    </row>
    <row r="1428" spans="1:30" ht="16.5" customHeight="1">
      <c r="A1428" s="309" t="str">
        <f>IF(B1428&lt;&gt;"",IF(AND(B1428='IN-TC'!$S$4,OR(TH!N1428="1111",TH!O1428="1111")),TH!D1428,""),"")</f>
        <v/>
      </c>
      <c r="B1428" s="1242">
        <f t="shared" si="309"/>
        <v>5</v>
      </c>
      <c r="C1428" s="929">
        <f t="shared" si="310"/>
        <v>42886</v>
      </c>
      <c r="D1428" s="929" t="s">
        <v>2956</v>
      </c>
      <c r="E1428" s="929">
        <v>42886</v>
      </c>
      <c r="F1428" s="1082" t="s">
        <v>770</v>
      </c>
      <c r="G1428" s="931"/>
      <c r="H1428" s="1082" t="s">
        <v>424</v>
      </c>
      <c r="I1428" s="371">
        <v>21250</v>
      </c>
      <c r="J1428" s="377">
        <v>25000</v>
      </c>
      <c r="K1428" s="371"/>
      <c r="L1428" s="377"/>
      <c r="M1428" s="933">
        <f t="shared" si="311"/>
        <v>531250000</v>
      </c>
      <c r="N1428" s="934" t="s">
        <v>272</v>
      </c>
      <c r="O1428" s="934" t="s">
        <v>264</v>
      </c>
      <c r="P1428" s="75" t="str">
        <f>IF(AND('331-CT'!$E$7=TH!H1428,OR(N1428="331",O1428="331")),"x","")</f>
        <v/>
      </c>
      <c r="Q1428" s="75" t="str">
        <f>IF(AND(B1428='111'!$L$11,OR($N1428=$Q$7,$O1428=$Q$7)),"x","")</f>
        <v/>
      </c>
      <c r="R1428" s="75" t="str">
        <f>IF(AND($N1428=$Q$7,$B1428&lt;'111'!$L$11),"x","")</f>
        <v/>
      </c>
      <c r="S1428" s="75" t="str">
        <f>IF(AND($O1428=$Q$7,$B1428&lt;'111'!$L$11),"x","")</f>
        <v/>
      </c>
      <c r="T1428" s="75" t="str">
        <f>IF(ISERROR(FIND('112'!$M$9,G1428,1)),"",IF((AND(FIND('112'!$M$9,G1428,1)&gt;=1,B1428='112'!$K$9,OR($N1428='112'!$I$6,$O1428='112'!$I$6))),"x",""))</f>
        <v/>
      </c>
      <c r="U1428" s="75" t="str">
        <f>IF(ISERROR(FIND('112'!$M$9,G1428,1)),"",IF((AND(LEFT(G1428,2)=LEFT('112'!$M$9,2),B1428&lt;'112'!$K$9,$N1428='112'!$I$6)),"x",""))</f>
        <v/>
      </c>
      <c r="V1428" s="75" t="str">
        <f>IF(ISERROR(FIND('112'!$M$9,G1428,1)),"",IF((AND(RIGHT(G1428,2)=RIGHT('112'!$M$9,2),B1428&lt;'112'!$K$9,$O1428='112'!$I$6)),"x",""))</f>
        <v/>
      </c>
      <c r="W1428" s="75" t="str">
        <f>IF(AND('341-CT'!$H$9=H1428,OR(LEFT(N1428,3)=$W$7,LEFT(O1428,3)=$W$7)),"x","")</f>
        <v/>
      </c>
      <c r="X1428" s="75" t="str">
        <f>IF(OR(TH!N1428=TH!$X$7,O1428=TH!$X$7),"x","")</f>
        <v/>
      </c>
      <c r="Y1428" s="75" t="str">
        <f>IF(AND(OR(N1428="131",O1428="131"),H1428='131-CT'!$H$9),"x","")</f>
        <v/>
      </c>
      <c r="Z1428" s="75"/>
      <c r="AA1428" s="75" t="str">
        <f>IF(AND(MONTH(E1428)='IN-NX'!$J$5,'IN-NX'!$D$7=D1428),"x","")</f>
        <v/>
      </c>
      <c r="AB1428" s="75" t="str">
        <f>IF(AND(OR(LEFT(TH!N1428,2)="15",LEFT(TH!O1428,2)="15"),LEFT(TH!O1428,3)&lt;&gt;"111",'152-CT'!$J$8=TH!F1428),"x","")</f>
        <v/>
      </c>
      <c r="AC1428" s="75" t="str">
        <f>IF(AND(OR(LEFT(TH!N1428,2)="15",LEFT(TH!O1428,2)="15"),TK!$E$7=TH!F1428),"x","")</f>
        <v/>
      </c>
      <c r="AD1428" s="75" t="str">
        <f>IF(AND(N1428="1521",MONTH(C1428)='BK-NL'!$M$11),"x","")</f>
        <v/>
      </c>
    </row>
    <row r="1429" spans="1:30" s="1054" customFormat="1" ht="16.5" customHeight="1">
      <c r="A1429" s="309" t="str">
        <f>IF(B1429&lt;&gt;"",IF(AND(B1429='IN-TC'!$S$4,OR(TH!N1429="1111",TH!O1429="1111")),TH!D1429,""),"")</f>
        <v/>
      </c>
      <c r="B1429" s="1130">
        <f t="shared" si="283"/>
        <v>6</v>
      </c>
      <c r="C1429" s="936">
        <v>42888</v>
      </c>
      <c r="D1429" s="936" t="s">
        <v>818</v>
      </c>
      <c r="E1429" s="936">
        <f t="shared" ref="E1429:E1432" si="330">C1429</f>
        <v>42888</v>
      </c>
      <c r="F1429" s="958" t="s">
        <v>429</v>
      </c>
      <c r="G1429" s="942" t="s">
        <v>1455</v>
      </c>
      <c r="H1429" s="946" t="s">
        <v>759</v>
      </c>
      <c r="I1429" s="939">
        <v>105560</v>
      </c>
      <c r="J1429" s="939">
        <v>2.65</v>
      </c>
      <c r="K1429" s="939">
        <f t="shared" ref="K1429" si="331">I1429*J1429</f>
        <v>279734</v>
      </c>
      <c r="L1429" s="938">
        <v>22650</v>
      </c>
      <c r="M1429" s="933">
        <f t="shared" si="289"/>
        <v>6335975100</v>
      </c>
      <c r="N1429" s="941" t="s">
        <v>536</v>
      </c>
      <c r="O1429" s="941" t="s">
        <v>288</v>
      </c>
      <c r="P1429" s="75" t="str">
        <f>IF(AND('331-CT'!$E$7=TH!H1429,OR(N1429="331",O1429="331")),"x","")</f>
        <v/>
      </c>
      <c r="Q1429" s="75" t="str">
        <f>IF(AND(B1429='111'!$L$11,OR($N1429=$Q$7,$O1429=$Q$7)),"x","")</f>
        <v/>
      </c>
      <c r="R1429" s="75" t="str">
        <f>IF(AND($N1429=$Q$7,$B1429&lt;'111'!$L$11),"x","")</f>
        <v/>
      </c>
      <c r="S1429" s="75" t="str">
        <f>IF(AND($O1429=$Q$7,$B1429&lt;'111'!$L$11),"x","")</f>
        <v/>
      </c>
      <c r="T1429" s="75" t="str">
        <f>IF(ISERROR(FIND('112'!$M$9,G1429,1)),"",IF((AND(FIND('112'!$M$9,G1429,1)&gt;=1,B1429='112'!$K$9,OR($N1429='112'!$I$6,$O1429='112'!$I$6))),"x",""))</f>
        <v/>
      </c>
      <c r="U1429" s="75" t="str">
        <f>IF(ISERROR(FIND('112'!$M$9,G1429,1)),"",IF((AND(LEFT(G1429,2)=LEFT('112'!$M$9,2),B1429&lt;'112'!$K$9,$N1429='112'!$I$6)),"x",""))</f>
        <v/>
      </c>
      <c r="V1429" s="75" t="str">
        <f>IF(ISERROR(FIND('112'!$M$9,G1429,1)),"",IF((AND(RIGHT(G1429,2)=RIGHT('112'!$M$9,2),B1429&lt;'112'!$K$9,$O1429='112'!$I$6)),"x",""))</f>
        <v/>
      </c>
      <c r="W1429" s="75" t="str">
        <f>IF(AND('341-CT'!$H$9=H1429,OR(LEFT(N1429,3)=$W$7,LEFT(O1429,3)=$W$7)),"x","")</f>
        <v/>
      </c>
      <c r="X1429" s="75" t="str">
        <f>IF(OR(TH!N1429=TH!$X$7,O1429=TH!$X$7),"x","")</f>
        <v/>
      </c>
      <c r="Y1429" s="75" t="str">
        <f>IF(AND(OR(N1429="131",O1429="131"),H1429='131-CT'!$H$9),"x","")</f>
        <v/>
      </c>
      <c r="Z1429" s="75"/>
      <c r="AA1429" s="75" t="str">
        <f>IF(AND(MONTH(E1429)='IN-NX'!$J$5,'IN-NX'!$D$7=D1429),"x","")</f>
        <v/>
      </c>
      <c r="AB1429" s="75" t="str">
        <f>IF(AND(OR(LEFT(TH!N1429,2)="15",LEFT(TH!O1429,2)="15"),LEFT(TH!O1429,3)&lt;&gt;"111",'152-CT'!$J$8=TH!F1429),"x","")</f>
        <v/>
      </c>
      <c r="AC1429" s="75" t="str">
        <f>IF(AND(OR(LEFT(TH!N1429,2)="15",LEFT(TH!O1429,2)="15"),TK!$E$7=TH!F1429),"x","")</f>
        <v/>
      </c>
      <c r="AD1429" s="75" t="str">
        <f>IF(AND(N1429="1521",MONTH(C1429)='BK-NL'!$M$11),"x","")</f>
        <v/>
      </c>
    </row>
    <row r="1430" spans="1:30" ht="16.5" customHeight="1">
      <c r="A1430" s="309" t="str">
        <f>IF(B1430&lt;&gt;"",IF(AND(B1430='IN-TC'!$S$4,OR(TH!N1430="1111",TH!O1430="1111")),TH!D1430,""),"")</f>
        <v/>
      </c>
      <c r="B1430" s="1130">
        <f t="shared" si="283"/>
        <v>6</v>
      </c>
      <c r="C1430" s="252">
        <v>42889</v>
      </c>
      <c r="D1430" s="252" t="s">
        <v>819</v>
      </c>
      <c r="E1430" s="252">
        <f t="shared" si="330"/>
        <v>42889</v>
      </c>
      <c r="F1430" s="1083" t="s">
        <v>1545</v>
      </c>
      <c r="G1430" s="1056" t="s">
        <v>1543</v>
      </c>
      <c r="H1430" s="735" t="s">
        <v>1139</v>
      </c>
      <c r="I1430" s="371">
        <v>240</v>
      </c>
      <c r="J1430" s="371">
        <v>12.5</v>
      </c>
      <c r="K1430" s="377">
        <f>I1430*J1430</f>
        <v>3000</v>
      </c>
      <c r="L1430" s="377">
        <v>22650</v>
      </c>
      <c r="M1430" s="933">
        <f t="shared" si="289"/>
        <v>67950000</v>
      </c>
      <c r="N1430" s="977" t="s">
        <v>536</v>
      </c>
      <c r="O1430" s="977" t="s">
        <v>288</v>
      </c>
      <c r="P1430" s="75" t="str">
        <f>IF(AND('331-CT'!$E$7=TH!H1430,OR(N1430="331",O1430="331")),"x","")</f>
        <v/>
      </c>
      <c r="Q1430" s="75" t="str">
        <f>IF(AND(B1430='111'!$L$11,OR($N1430=$Q$7,$O1430=$Q$7)),"x","")</f>
        <v/>
      </c>
      <c r="R1430" s="75" t="str">
        <f>IF(AND($N1430=$Q$7,$B1430&lt;'111'!$L$11),"x","")</f>
        <v/>
      </c>
      <c r="S1430" s="75" t="str">
        <f>IF(AND($O1430=$Q$7,$B1430&lt;'111'!$L$11),"x","")</f>
        <v/>
      </c>
      <c r="T1430" s="75" t="str">
        <f>IF(ISERROR(FIND('112'!$M$9,G1430,1)),"",IF((AND(FIND('112'!$M$9,G1430,1)&gt;=1,B1430='112'!$K$9,OR($N1430='112'!$I$6,$O1430='112'!$I$6))),"x",""))</f>
        <v/>
      </c>
      <c r="U1430" s="75" t="str">
        <f>IF(ISERROR(FIND('112'!$M$9,G1430,1)),"",IF((AND(LEFT(G1430,2)=LEFT('112'!$M$9,2),B1430&lt;'112'!$K$9,$N1430='112'!$I$6)),"x",""))</f>
        <v/>
      </c>
      <c r="V1430" s="75" t="str">
        <f>IF(ISERROR(FIND('112'!$M$9,G1430,1)),"",IF((AND(RIGHT(G1430,2)=RIGHT('112'!$M$9,2),B1430&lt;'112'!$K$9,$O1430='112'!$I$6)),"x",""))</f>
        <v/>
      </c>
      <c r="W1430" s="75" t="str">
        <f>IF(AND('341-CT'!$H$9=H1430,OR(LEFT(N1430,3)=$W$7,LEFT(O1430,3)=$W$7)),"x","")</f>
        <v/>
      </c>
      <c r="X1430" s="75" t="str">
        <f>IF(OR(TH!N1430=TH!$X$7,O1430=TH!$X$7),"x","")</f>
        <v/>
      </c>
      <c r="Y1430" s="75" t="str">
        <f>IF(AND(OR(N1430="131",O1430="131"),H1430='131-CT'!$H$9),"x","")</f>
        <v/>
      </c>
      <c r="Z1430" s="75"/>
      <c r="AA1430" s="75" t="str">
        <f>IF(AND(MONTH(E1430)='IN-NX'!$J$5,'IN-NX'!$D$7=D1430),"x","")</f>
        <v/>
      </c>
      <c r="AB1430" s="75" t="str">
        <f>IF(AND(OR(LEFT(TH!N1430,2)="15",LEFT(TH!O1430,2)="15"),LEFT(TH!O1430,3)&lt;&gt;"111",'152-CT'!$J$8=TH!F1430),"x","")</f>
        <v/>
      </c>
      <c r="AC1430" s="75" t="str">
        <f>IF(AND(OR(LEFT(TH!N1430,2)="15",LEFT(TH!O1430,2)="15"),TK!$E$7=TH!F1430),"x","")</f>
        <v/>
      </c>
      <c r="AD1430" s="75" t="str">
        <f>IF(AND(N1430="1521",MONTH(C1430)='BK-NL'!$M$11),"x","")</f>
        <v/>
      </c>
    </row>
    <row r="1431" spans="1:30" ht="16.5" customHeight="1">
      <c r="A1431" s="309" t="str">
        <f>IF(B1431&lt;&gt;"",IF(AND(B1431='IN-TC'!$S$4,OR(TH!N1431="1111",TH!O1431="1111")),TH!D1431,""),"")</f>
        <v/>
      </c>
      <c r="B1431" s="1130">
        <f t="shared" si="283"/>
        <v>6</v>
      </c>
      <c r="C1431" s="252">
        <v>42889</v>
      </c>
      <c r="D1431" s="252" t="s">
        <v>819</v>
      </c>
      <c r="E1431" s="252">
        <f t="shared" si="330"/>
        <v>42889</v>
      </c>
      <c r="F1431" s="1055" t="s">
        <v>793</v>
      </c>
      <c r="G1431" s="1056" t="s">
        <v>1543</v>
      </c>
      <c r="H1431" s="735" t="s">
        <v>1139</v>
      </c>
      <c r="I1431" s="371">
        <v>240</v>
      </c>
      <c r="J1431" s="371">
        <v>12.5</v>
      </c>
      <c r="K1431" s="377">
        <f t="shared" ref="K1431:K1433" si="332">I1431*J1431</f>
        <v>3000</v>
      </c>
      <c r="L1431" s="377">
        <v>22650</v>
      </c>
      <c r="M1431" s="933">
        <f t="shared" si="289"/>
        <v>67950000</v>
      </c>
      <c r="N1431" s="977" t="s">
        <v>536</v>
      </c>
      <c r="O1431" s="977" t="s">
        <v>288</v>
      </c>
      <c r="P1431" s="75" t="str">
        <f>IF(AND('331-CT'!$E$7=TH!H1431,OR(N1431="331",O1431="331")),"x","")</f>
        <v/>
      </c>
      <c r="Q1431" s="75" t="str">
        <f>IF(AND(B1431='111'!$L$11,OR($N1431=$Q$7,$O1431=$Q$7)),"x","")</f>
        <v/>
      </c>
      <c r="R1431" s="75" t="str">
        <f>IF(AND($N1431=$Q$7,$B1431&lt;'111'!$L$11),"x","")</f>
        <v/>
      </c>
      <c r="S1431" s="75" t="str">
        <f>IF(AND($O1431=$Q$7,$B1431&lt;'111'!$L$11),"x","")</f>
        <v/>
      </c>
      <c r="T1431" s="75" t="str">
        <f>IF(ISERROR(FIND('112'!$M$9,G1431,1)),"",IF((AND(FIND('112'!$M$9,G1431,1)&gt;=1,B1431='112'!$K$9,OR($N1431='112'!$I$6,$O1431='112'!$I$6))),"x",""))</f>
        <v/>
      </c>
      <c r="U1431" s="75" t="str">
        <f>IF(ISERROR(FIND('112'!$M$9,G1431,1)),"",IF((AND(LEFT(G1431,2)=LEFT('112'!$M$9,2),B1431&lt;'112'!$K$9,$N1431='112'!$I$6)),"x",""))</f>
        <v/>
      </c>
      <c r="V1431" s="75" t="str">
        <f>IF(ISERROR(FIND('112'!$M$9,G1431,1)),"",IF((AND(RIGHT(G1431,2)=RIGHT('112'!$M$9,2),B1431&lt;'112'!$K$9,$O1431='112'!$I$6)),"x",""))</f>
        <v/>
      </c>
      <c r="W1431" s="75" t="str">
        <f>IF(AND('341-CT'!$H$9=H1431,OR(LEFT(N1431,3)=$W$7,LEFT(O1431,3)=$W$7)),"x","")</f>
        <v/>
      </c>
      <c r="X1431" s="75" t="str">
        <f>IF(OR(TH!N1431=TH!$X$7,O1431=TH!$X$7),"x","")</f>
        <v/>
      </c>
      <c r="Y1431" s="75" t="str">
        <f>IF(AND(OR(N1431="131",O1431="131"),H1431='131-CT'!$H$9),"x","")</f>
        <v/>
      </c>
      <c r="Z1431" s="75"/>
      <c r="AA1431" s="75" t="str">
        <f>IF(AND(MONTH(E1431)='IN-NX'!$J$5,'IN-NX'!$D$7=D1431),"x","")</f>
        <v/>
      </c>
      <c r="AB1431" s="75" t="str">
        <f>IF(AND(OR(LEFT(TH!N1431,2)="15",LEFT(TH!O1431,2)="15"),LEFT(TH!O1431,3)&lt;&gt;"111",'152-CT'!$J$8=TH!F1431),"x","")</f>
        <v/>
      </c>
      <c r="AC1431" s="75" t="str">
        <f>IF(AND(OR(LEFT(TH!N1431,2)="15",LEFT(TH!O1431,2)="15"),TK!$E$7=TH!F1431),"x","")</f>
        <v/>
      </c>
      <c r="AD1431" s="75" t="str">
        <f>IF(AND(N1431="1521",MONTH(C1431)='BK-NL'!$M$11),"x","")</f>
        <v/>
      </c>
    </row>
    <row r="1432" spans="1:30" ht="16.5" customHeight="1">
      <c r="A1432" s="309" t="str">
        <f>IF(B1432&lt;&gt;"",IF(AND(B1432='IN-TC'!$S$4,OR(TH!N1432="1111",TH!O1432="1111")),TH!D1432,""),"")</f>
        <v/>
      </c>
      <c r="B1432" s="1130">
        <f t="shared" si="283"/>
        <v>6</v>
      </c>
      <c r="C1432" s="252">
        <v>42889</v>
      </c>
      <c r="D1432" s="252" t="s">
        <v>819</v>
      </c>
      <c r="E1432" s="252">
        <f t="shared" si="330"/>
        <v>42889</v>
      </c>
      <c r="F1432" s="730" t="s">
        <v>1544</v>
      </c>
      <c r="G1432" s="1056" t="s">
        <v>1543</v>
      </c>
      <c r="H1432" s="735" t="s">
        <v>1139</v>
      </c>
      <c r="I1432" s="371">
        <v>240</v>
      </c>
      <c r="J1432" s="371">
        <v>12.5</v>
      </c>
      <c r="K1432" s="377">
        <f t="shared" si="332"/>
        <v>3000</v>
      </c>
      <c r="L1432" s="377">
        <v>22650</v>
      </c>
      <c r="M1432" s="933">
        <f t="shared" si="289"/>
        <v>67950000</v>
      </c>
      <c r="N1432" s="977" t="s">
        <v>536</v>
      </c>
      <c r="O1432" s="977" t="s">
        <v>288</v>
      </c>
      <c r="P1432" s="75" t="str">
        <f>IF(AND('331-CT'!$E$7=TH!H1432,OR(N1432="331",O1432="331")),"x","")</f>
        <v/>
      </c>
      <c r="Q1432" s="75" t="str">
        <f>IF(AND(B1432='111'!$L$11,OR($N1432=$Q$7,$O1432=$Q$7)),"x","")</f>
        <v/>
      </c>
      <c r="R1432" s="75" t="str">
        <f>IF(AND($N1432=$Q$7,$B1432&lt;'111'!$L$11),"x","")</f>
        <v/>
      </c>
      <c r="S1432" s="75" t="str">
        <f>IF(AND($O1432=$Q$7,$B1432&lt;'111'!$L$11),"x","")</f>
        <v/>
      </c>
      <c r="T1432" s="75" t="str">
        <f>IF(ISERROR(FIND('112'!$M$9,G1432,1)),"",IF((AND(FIND('112'!$M$9,G1432,1)&gt;=1,B1432='112'!$K$9,OR($N1432='112'!$I$6,$O1432='112'!$I$6))),"x",""))</f>
        <v/>
      </c>
      <c r="U1432" s="75" t="str">
        <f>IF(ISERROR(FIND('112'!$M$9,G1432,1)),"",IF((AND(LEFT(G1432,2)=LEFT('112'!$M$9,2),B1432&lt;'112'!$K$9,$N1432='112'!$I$6)),"x",""))</f>
        <v/>
      </c>
      <c r="V1432" s="75" t="str">
        <f>IF(ISERROR(FIND('112'!$M$9,G1432,1)),"",IF((AND(RIGHT(G1432,2)=RIGHT('112'!$M$9,2),B1432&lt;'112'!$K$9,$O1432='112'!$I$6)),"x",""))</f>
        <v/>
      </c>
      <c r="W1432" s="75" t="str">
        <f>IF(AND('341-CT'!$H$9=H1432,OR(LEFT(N1432,3)=$W$7,LEFT(O1432,3)=$W$7)),"x","")</f>
        <v/>
      </c>
      <c r="X1432" s="75" t="str">
        <f>IF(OR(TH!N1432=TH!$X$7,O1432=TH!$X$7),"x","")</f>
        <v/>
      </c>
      <c r="Y1432" s="75" t="str">
        <f>IF(AND(OR(N1432="131",O1432="131"),H1432='131-CT'!$H$9),"x","")</f>
        <v/>
      </c>
      <c r="Z1432" s="75"/>
      <c r="AA1432" s="75" t="str">
        <f>IF(AND(MONTH(E1432)='IN-NX'!$J$5,'IN-NX'!$D$7=D1432),"x","")</f>
        <v/>
      </c>
      <c r="AB1432" s="75" t="str">
        <f>IF(AND(OR(LEFT(TH!N1432,2)="15",LEFT(TH!O1432,2)="15"),LEFT(TH!O1432,3)&lt;&gt;"111",'152-CT'!$J$8=TH!F1432),"x","")</f>
        <v/>
      </c>
      <c r="AC1432" s="75" t="str">
        <f>IF(AND(OR(LEFT(TH!N1432,2)="15",LEFT(TH!O1432,2)="15"),TK!$E$7=TH!F1432),"x","")</f>
        <v/>
      </c>
      <c r="AD1432" s="75" t="str">
        <f>IF(AND(N1432="1521",MONTH(C1432)='BK-NL'!$M$11),"x","")</f>
        <v/>
      </c>
    </row>
    <row r="1433" spans="1:30" ht="16.5" customHeight="1">
      <c r="A1433" s="309" t="str">
        <f>IF(B1433&lt;&gt;"",IF(AND(B1433='IN-TC'!$S$4,OR(TH!N1433="1111",TH!O1433="1111")),TH!D1433,""),"")</f>
        <v/>
      </c>
      <c r="B1433" s="1130">
        <f t="shared" si="283"/>
        <v>6</v>
      </c>
      <c r="C1433" s="252">
        <v>42895</v>
      </c>
      <c r="D1433" s="252" t="s">
        <v>836</v>
      </c>
      <c r="E1433" s="252">
        <f t="shared" ref="E1433" si="333">C1433</f>
        <v>42895</v>
      </c>
      <c r="F1433" s="1055" t="s">
        <v>429</v>
      </c>
      <c r="G1433" s="1056" t="s">
        <v>1546</v>
      </c>
      <c r="H1433" s="735" t="s">
        <v>759</v>
      </c>
      <c r="I1433" s="371">
        <v>105560</v>
      </c>
      <c r="J1433" s="371">
        <v>2.65</v>
      </c>
      <c r="K1433" s="371">
        <f t="shared" si="332"/>
        <v>279734</v>
      </c>
      <c r="L1433" s="377">
        <v>22660</v>
      </c>
      <c r="M1433" s="933">
        <f t="shared" si="289"/>
        <v>6338772440</v>
      </c>
      <c r="N1433" s="977" t="s">
        <v>536</v>
      </c>
      <c r="O1433" s="977" t="s">
        <v>288</v>
      </c>
      <c r="P1433" s="75" t="str">
        <f>IF(AND('331-CT'!$E$7=TH!H1433,OR(N1433="331",O1433="331")),"x","")</f>
        <v/>
      </c>
      <c r="Q1433" s="75" t="str">
        <f>IF(AND(B1433='111'!$L$11,OR($N1433=$Q$7,$O1433=$Q$7)),"x","")</f>
        <v/>
      </c>
      <c r="R1433" s="75" t="str">
        <f>IF(AND($N1433=$Q$7,$B1433&lt;'111'!$L$11),"x","")</f>
        <v/>
      </c>
      <c r="S1433" s="75" t="str">
        <f>IF(AND($O1433=$Q$7,$B1433&lt;'111'!$L$11),"x","")</f>
        <v/>
      </c>
      <c r="T1433" s="75" t="str">
        <f>IF(ISERROR(FIND('112'!$M$9,G1433,1)),"",IF((AND(FIND('112'!$M$9,G1433,1)&gt;=1,B1433='112'!$K$9,OR($N1433='112'!$I$6,$O1433='112'!$I$6))),"x",""))</f>
        <v/>
      </c>
      <c r="U1433" s="75" t="str">
        <f>IF(ISERROR(FIND('112'!$M$9,G1433,1)),"",IF((AND(LEFT(G1433,2)=LEFT('112'!$M$9,2),B1433&lt;'112'!$K$9,$N1433='112'!$I$6)),"x",""))</f>
        <v/>
      </c>
      <c r="V1433" s="75" t="str">
        <f>IF(ISERROR(FIND('112'!$M$9,G1433,1)),"",IF((AND(RIGHT(G1433,2)=RIGHT('112'!$M$9,2),B1433&lt;'112'!$K$9,$O1433='112'!$I$6)),"x",""))</f>
        <v/>
      </c>
      <c r="W1433" s="75" t="str">
        <f>IF(AND('341-CT'!$H$9=H1433,OR(LEFT(N1433,3)=$W$7,LEFT(O1433,3)=$W$7)),"x","")</f>
        <v/>
      </c>
      <c r="X1433" s="75" t="str">
        <f>IF(OR(TH!N1433=TH!$X$7,O1433=TH!$X$7),"x","")</f>
        <v/>
      </c>
      <c r="Y1433" s="75" t="str">
        <f>IF(AND(OR(N1433="131",O1433="131"),H1433='131-CT'!$H$9),"x","")</f>
        <v/>
      </c>
      <c r="Z1433" s="75"/>
      <c r="AA1433" s="75" t="str">
        <f>IF(AND(MONTH(E1433)='IN-NX'!$J$5,'IN-NX'!$D$7=D1433),"x","")</f>
        <v/>
      </c>
      <c r="AB1433" s="75" t="str">
        <f>IF(AND(OR(LEFT(TH!N1433,2)="15",LEFT(TH!O1433,2)="15"),LEFT(TH!O1433,3)&lt;&gt;"111",'152-CT'!$J$8=TH!F1433),"x","")</f>
        <v/>
      </c>
      <c r="AC1433" s="75" t="str">
        <f>IF(AND(OR(LEFT(TH!N1433,2)="15",LEFT(TH!O1433,2)="15"),TK!$E$7=TH!F1433),"x","")</f>
        <v/>
      </c>
      <c r="AD1433" s="75" t="str">
        <f>IF(AND(N1433="1521",MONTH(C1433)='BK-NL'!$M$11),"x","")</f>
        <v/>
      </c>
    </row>
    <row r="1434" spans="1:30" ht="16.5" customHeight="1">
      <c r="A1434" s="309" t="str">
        <f>IF(B1434&lt;&gt;"",IF(AND(B1434='IN-TC'!$S$4,OR(TH!N1434="1111",TH!O1434="1111")),TH!D1434,""),"")</f>
        <v/>
      </c>
      <c r="B1434" s="1130">
        <f t="shared" si="283"/>
        <v>6</v>
      </c>
      <c r="C1434" s="252">
        <v>42896</v>
      </c>
      <c r="D1434" s="252" t="s">
        <v>838</v>
      </c>
      <c r="E1434" s="252">
        <f t="shared" ref="E1434:E1449" si="334">C1434</f>
        <v>42896</v>
      </c>
      <c r="F1434" s="1055" t="s">
        <v>1588</v>
      </c>
      <c r="G1434" s="1056" t="s">
        <v>1546</v>
      </c>
      <c r="H1434" s="735" t="s">
        <v>1548</v>
      </c>
      <c r="I1434" s="371">
        <v>7200</v>
      </c>
      <c r="J1434" s="371">
        <v>9.5500000000000007</v>
      </c>
      <c r="K1434" s="371">
        <f t="shared" ref="K1434:K1435" si="335">I1434*J1434</f>
        <v>68760</v>
      </c>
      <c r="L1434" s="377">
        <v>22660</v>
      </c>
      <c r="M1434" s="933">
        <f t="shared" si="289"/>
        <v>1558101600</v>
      </c>
      <c r="N1434" s="977" t="s">
        <v>536</v>
      </c>
      <c r="O1434" s="977" t="s">
        <v>288</v>
      </c>
      <c r="P1434" s="75" t="str">
        <f>IF(AND('331-CT'!$E$7=TH!H1434,OR(N1434="331",O1434="331")),"x","")</f>
        <v/>
      </c>
      <c r="Q1434" s="75" t="str">
        <f>IF(AND(B1434='111'!$L$11,OR($N1434=$Q$7,$O1434=$Q$7)),"x","")</f>
        <v/>
      </c>
      <c r="R1434" s="75" t="str">
        <f>IF(AND($N1434=$Q$7,$B1434&lt;'111'!$L$11),"x","")</f>
        <v/>
      </c>
      <c r="S1434" s="75" t="str">
        <f>IF(AND($O1434=$Q$7,$B1434&lt;'111'!$L$11),"x","")</f>
        <v/>
      </c>
      <c r="T1434" s="75" t="str">
        <f>IF(ISERROR(FIND('112'!$M$9,G1434,1)),"",IF((AND(FIND('112'!$M$9,G1434,1)&gt;=1,B1434='112'!$K$9,OR($N1434='112'!$I$6,$O1434='112'!$I$6))),"x",""))</f>
        <v/>
      </c>
      <c r="U1434" s="75" t="str">
        <f>IF(ISERROR(FIND('112'!$M$9,G1434,1)),"",IF((AND(LEFT(G1434,2)=LEFT('112'!$M$9,2),B1434&lt;'112'!$K$9,$N1434='112'!$I$6)),"x",""))</f>
        <v/>
      </c>
      <c r="V1434" s="75" t="str">
        <f>IF(ISERROR(FIND('112'!$M$9,G1434,1)),"",IF((AND(RIGHT(G1434,2)=RIGHT('112'!$M$9,2),B1434&lt;'112'!$K$9,$O1434='112'!$I$6)),"x",""))</f>
        <v/>
      </c>
      <c r="W1434" s="75" t="str">
        <f>IF(AND('341-CT'!$H$9=H1434,OR(LEFT(N1434,3)=$W$7,LEFT(O1434,3)=$W$7)),"x","")</f>
        <v/>
      </c>
      <c r="X1434" s="75" t="str">
        <f>IF(OR(TH!N1434=TH!$X$7,O1434=TH!$X$7),"x","")</f>
        <v/>
      </c>
      <c r="Y1434" s="75" t="str">
        <f>IF(AND(OR(N1434="131",O1434="131"),H1434='131-CT'!$H$9),"x","")</f>
        <v/>
      </c>
      <c r="Z1434" s="75"/>
      <c r="AA1434" s="75" t="str">
        <f>IF(AND(MONTH(E1434)='IN-NX'!$J$5,'IN-NX'!$D$7=D1434),"x","")</f>
        <v/>
      </c>
      <c r="AB1434" s="75" t="str">
        <f>IF(AND(OR(LEFT(TH!N1434,2)="15",LEFT(TH!O1434,2)="15"),LEFT(TH!O1434,3)&lt;&gt;"111",'152-CT'!$J$8=TH!F1434),"x","")</f>
        <v/>
      </c>
      <c r="AC1434" s="75" t="str">
        <f>IF(AND(OR(LEFT(TH!N1434,2)="15",LEFT(TH!O1434,2)="15"),TK!$E$7=TH!F1434),"x","")</f>
        <v/>
      </c>
      <c r="AD1434" s="75" t="str">
        <f>IF(AND(N1434="1521",MONTH(C1434)='BK-NL'!$M$11),"x","")</f>
        <v/>
      </c>
    </row>
    <row r="1435" spans="1:30" ht="16.5" customHeight="1">
      <c r="A1435" s="309" t="str">
        <f>IF(B1435&lt;&gt;"",IF(AND(B1435='IN-TC'!$S$4,OR(TH!N1435="1111",TH!O1435="1111")),TH!D1435,""),"")</f>
        <v/>
      </c>
      <c r="B1435" s="1130">
        <f t="shared" si="283"/>
        <v>6</v>
      </c>
      <c r="C1435" s="252">
        <v>42896</v>
      </c>
      <c r="D1435" s="252" t="s">
        <v>838</v>
      </c>
      <c r="E1435" s="252">
        <f t="shared" si="334"/>
        <v>42896</v>
      </c>
      <c r="F1435" s="1055" t="s">
        <v>1547</v>
      </c>
      <c r="G1435" s="1056" t="s">
        <v>1546</v>
      </c>
      <c r="H1435" s="735" t="s">
        <v>1548</v>
      </c>
      <c r="I1435" s="371">
        <v>2200</v>
      </c>
      <c r="J1435" s="371">
        <v>7.5</v>
      </c>
      <c r="K1435" s="371">
        <f t="shared" si="335"/>
        <v>16500</v>
      </c>
      <c r="L1435" s="377">
        <v>22660</v>
      </c>
      <c r="M1435" s="933">
        <f t="shared" si="289"/>
        <v>373890000</v>
      </c>
      <c r="N1435" s="977" t="s">
        <v>536</v>
      </c>
      <c r="O1435" s="977" t="s">
        <v>288</v>
      </c>
      <c r="P1435" s="75" t="str">
        <f>IF(AND('331-CT'!$E$7=TH!H1435,OR(N1435="331",O1435="331")),"x","")</f>
        <v/>
      </c>
      <c r="Q1435" s="75" t="str">
        <f>IF(AND(B1435='111'!$L$11,OR($N1435=$Q$7,$O1435=$Q$7)),"x","")</f>
        <v/>
      </c>
      <c r="R1435" s="75" t="str">
        <f>IF(AND($N1435=$Q$7,$B1435&lt;'111'!$L$11),"x","")</f>
        <v/>
      </c>
      <c r="S1435" s="75" t="str">
        <f>IF(AND($O1435=$Q$7,$B1435&lt;'111'!$L$11),"x","")</f>
        <v/>
      </c>
      <c r="T1435" s="75" t="str">
        <f>IF(ISERROR(FIND('112'!$M$9,G1435,1)),"",IF((AND(FIND('112'!$M$9,G1435,1)&gt;=1,B1435='112'!$K$9,OR($N1435='112'!$I$6,$O1435='112'!$I$6))),"x",""))</f>
        <v/>
      </c>
      <c r="U1435" s="75" t="str">
        <f>IF(ISERROR(FIND('112'!$M$9,G1435,1)),"",IF((AND(LEFT(G1435,2)=LEFT('112'!$M$9,2),B1435&lt;'112'!$K$9,$N1435='112'!$I$6)),"x",""))</f>
        <v/>
      </c>
      <c r="V1435" s="75" t="str">
        <f>IF(ISERROR(FIND('112'!$M$9,G1435,1)),"",IF((AND(RIGHT(G1435,2)=RIGHT('112'!$M$9,2),B1435&lt;'112'!$K$9,$O1435='112'!$I$6)),"x",""))</f>
        <v/>
      </c>
      <c r="W1435" s="75" t="str">
        <f>IF(AND('341-CT'!$H$9=H1435,OR(LEFT(N1435,3)=$W$7,LEFT(O1435,3)=$W$7)),"x","")</f>
        <v/>
      </c>
      <c r="X1435" s="75" t="str">
        <f>IF(OR(TH!N1435=TH!$X$7,O1435=TH!$X$7),"x","")</f>
        <v/>
      </c>
      <c r="Y1435" s="75" t="str">
        <f>IF(AND(OR(N1435="131",O1435="131"),H1435='131-CT'!$H$9),"x","")</f>
        <v/>
      </c>
      <c r="Z1435" s="75"/>
      <c r="AA1435" s="75" t="str">
        <f>IF(AND(MONTH(E1435)='IN-NX'!$J$5,'IN-NX'!$D$7=D1435),"x","")</f>
        <v/>
      </c>
      <c r="AB1435" s="75" t="str">
        <f>IF(AND(OR(LEFT(TH!N1435,2)="15",LEFT(TH!O1435,2)="15"),LEFT(TH!O1435,3)&lt;&gt;"111",'152-CT'!$J$8=TH!F1435),"x","")</f>
        <v/>
      </c>
      <c r="AC1435" s="75" t="str">
        <f>IF(AND(OR(LEFT(TH!N1435,2)="15",LEFT(TH!O1435,2)="15"),TK!$E$7=TH!F1435),"x","")</f>
        <v/>
      </c>
      <c r="AD1435" s="75" t="str">
        <f>IF(AND(N1435="1521",MONTH(C1435)='BK-NL'!$M$11),"x","")</f>
        <v/>
      </c>
    </row>
    <row r="1436" spans="1:30" ht="16.5" customHeight="1">
      <c r="A1436" s="309" t="str">
        <f>IF(B1436&lt;&gt;"",IF(AND(B1436='IN-TC'!$S$4,OR(TH!N1436="1111",TH!O1436="1111")),TH!D1436,""),"")</f>
        <v/>
      </c>
      <c r="B1436" s="1130">
        <f>IF(C1436&lt;&gt;"",MONTH(C1436),"")</f>
        <v>6</v>
      </c>
      <c r="C1436" s="252">
        <v>42896</v>
      </c>
      <c r="D1436" s="252" t="s">
        <v>863</v>
      </c>
      <c r="E1436" s="252">
        <f>C1436</f>
        <v>42896</v>
      </c>
      <c r="F1436" s="1055" t="s">
        <v>1620</v>
      </c>
      <c r="G1436" s="1056" t="s">
        <v>1622</v>
      </c>
      <c r="H1436" s="73" t="s">
        <v>802</v>
      </c>
      <c r="I1436" s="371">
        <v>50</v>
      </c>
      <c r="J1436" s="371">
        <v>320000</v>
      </c>
      <c r="K1436" s="371"/>
      <c r="L1436" s="377"/>
      <c r="M1436" s="933">
        <f>ROUND(I1436*J1436,0)</f>
        <v>16000000</v>
      </c>
      <c r="N1436" s="977" t="s">
        <v>536</v>
      </c>
      <c r="O1436" s="977" t="s">
        <v>286</v>
      </c>
      <c r="P1436" s="75" t="str">
        <f>IF(AND('331-CT'!$E$7=TH!H1436,OR(N1436="331",O1436="331")),"x","")</f>
        <v/>
      </c>
      <c r="Q1436" s="75" t="str">
        <f>IF(AND(B1436='111'!$L$11,OR($N1436=$Q$7,$O1436=$Q$7)),"x","")</f>
        <v/>
      </c>
      <c r="R1436" s="75" t="str">
        <f>IF(AND($N1436=$Q$7,$B1436&lt;'111'!$L$11),"x","")</f>
        <v/>
      </c>
      <c r="S1436" s="75" t="str">
        <f>IF(AND($O1436=$Q$7,$B1436&lt;'111'!$L$11),"x","")</f>
        <v/>
      </c>
      <c r="T1436" s="75" t="str">
        <f>IF(ISERROR(FIND('112'!$M$9,G1436,1)),"",IF((AND(FIND('112'!$M$9,G1436,1)&gt;=1,B1436='112'!$K$9,OR($N1436='112'!$I$6,$O1436='112'!$I$6))),"x",""))</f>
        <v/>
      </c>
      <c r="U1436" s="75" t="str">
        <f>IF(ISERROR(FIND('112'!$M$9,G1436,1)),"",IF((AND(LEFT(G1436,2)=LEFT('112'!$M$9,2),B1436&lt;'112'!$K$9,$N1436='112'!$I$6)),"x",""))</f>
        <v/>
      </c>
      <c r="V1436" s="75" t="str">
        <f>IF(ISERROR(FIND('112'!$M$9,G1436,1)),"",IF((AND(RIGHT(G1436,2)=RIGHT('112'!$M$9,2),B1436&lt;'112'!$K$9,$O1436='112'!$I$6)),"x",""))</f>
        <v/>
      </c>
      <c r="W1436" s="75" t="str">
        <f>IF(AND('341-CT'!$H$9=H1436,OR(LEFT(N1436,3)=$W$7,LEFT(O1436,3)=$W$7)),"x","")</f>
        <v/>
      </c>
      <c r="X1436" s="75" t="str">
        <f>IF(OR(TH!N1436=TH!$X$7,O1436=TH!$X$7),"x","")</f>
        <v/>
      </c>
      <c r="Y1436" s="75" t="str">
        <f>IF(AND(OR(N1436="131",O1436="131"),H1436='131-CT'!$H$9),"x","")</f>
        <v/>
      </c>
      <c r="Z1436" s="75"/>
      <c r="AA1436" s="75" t="str">
        <f>IF(AND(MONTH(E1436)='IN-NX'!$J$5,'IN-NX'!$D$7=D1436),"x","")</f>
        <v/>
      </c>
      <c r="AB1436" s="75" t="str">
        <f>IF(AND(OR(LEFT(TH!N1436,2)="15",LEFT(TH!O1436,2)="15"),LEFT(TH!O1436,3)&lt;&gt;"111",'152-CT'!$J$8=TH!F1436),"x","")</f>
        <v/>
      </c>
      <c r="AC1436" s="75" t="str">
        <f>IF(AND(OR(LEFT(TH!N1436,2)="15",LEFT(TH!O1436,2)="15"),TK!$E$7=TH!F1436),"x","")</f>
        <v/>
      </c>
      <c r="AD1436" s="75" t="str">
        <f>IF(AND(N1436="1521",MONTH(C1436)='BK-NL'!$M$11),"x","")</f>
        <v/>
      </c>
    </row>
    <row r="1437" spans="1:30" ht="16.5" customHeight="1">
      <c r="A1437" s="309" t="str">
        <f>IF(B1437&lt;&gt;"",IF(AND(B1437='IN-TC'!$S$4,OR(TH!N1437="1111",TH!O1437="1111")),TH!D1437,""),"")</f>
        <v/>
      </c>
      <c r="B1437" s="1130">
        <f t="shared" si="283"/>
        <v>6</v>
      </c>
      <c r="C1437" s="252">
        <v>42896</v>
      </c>
      <c r="D1437" s="252" t="s">
        <v>863</v>
      </c>
      <c r="E1437" s="252">
        <f t="shared" ref="E1437" si="336">C1437</f>
        <v>42896</v>
      </c>
      <c r="F1437" s="1055" t="s">
        <v>2477</v>
      </c>
      <c r="G1437" s="1056" t="s">
        <v>1622</v>
      </c>
      <c r="H1437" s="73" t="s">
        <v>802</v>
      </c>
      <c r="I1437" s="371">
        <v>50</v>
      </c>
      <c r="J1437" s="371">
        <v>150000</v>
      </c>
      <c r="K1437" s="371"/>
      <c r="L1437" s="377"/>
      <c r="M1437" s="933">
        <f t="shared" ref="M1437:M1447" si="337">ROUND(I1437*J1437,0)</f>
        <v>7500000</v>
      </c>
      <c r="N1437" s="977" t="s">
        <v>536</v>
      </c>
      <c r="O1437" s="977" t="s">
        <v>286</v>
      </c>
      <c r="P1437" s="75" t="str">
        <f>IF(AND('331-CT'!$E$7=TH!H1437,OR(N1437="331",O1437="331")),"x","")</f>
        <v/>
      </c>
      <c r="Q1437" s="75" t="str">
        <f>IF(AND(B1437='111'!$L$11,OR($N1437=$Q$7,$O1437=$Q$7)),"x","")</f>
        <v/>
      </c>
      <c r="R1437" s="75" t="str">
        <f>IF(AND($N1437=$Q$7,$B1437&lt;'111'!$L$11),"x","")</f>
        <v/>
      </c>
      <c r="S1437" s="75" t="str">
        <f>IF(AND($O1437=$Q$7,$B1437&lt;'111'!$L$11),"x","")</f>
        <v/>
      </c>
      <c r="T1437" s="75" t="str">
        <f>IF(ISERROR(FIND('112'!$M$9,G1437,1)),"",IF((AND(FIND('112'!$M$9,G1437,1)&gt;=1,B1437='112'!$K$9,OR($N1437='112'!$I$6,$O1437='112'!$I$6))),"x",""))</f>
        <v/>
      </c>
      <c r="U1437" s="75" t="str">
        <f>IF(ISERROR(FIND('112'!$M$9,G1437,1)),"",IF((AND(LEFT(G1437,2)=LEFT('112'!$M$9,2),B1437&lt;'112'!$K$9,$N1437='112'!$I$6)),"x",""))</f>
        <v/>
      </c>
      <c r="V1437" s="75" t="str">
        <f>IF(ISERROR(FIND('112'!$M$9,G1437,1)),"",IF((AND(RIGHT(G1437,2)=RIGHT('112'!$M$9,2),B1437&lt;'112'!$K$9,$O1437='112'!$I$6)),"x",""))</f>
        <v/>
      </c>
      <c r="W1437" s="75" t="str">
        <f>IF(AND('341-CT'!$H$9=H1437,OR(LEFT(N1437,3)=$W$7,LEFT(O1437,3)=$W$7)),"x","")</f>
        <v/>
      </c>
      <c r="X1437" s="75" t="str">
        <f>IF(OR(TH!N1437=TH!$X$7,O1437=TH!$X$7),"x","")</f>
        <v/>
      </c>
      <c r="Y1437" s="75" t="str">
        <f>IF(AND(OR(N1437="131",O1437="131"),H1437='131-CT'!$H$9),"x","")</f>
        <v/>
      </c>
      <c r="Z1437" s="75"/>
      <c r="AA1437" s="75" t="str">
        <f>IF(AND(MONTH(E1437)='IN-NX'!$J$5,'IN-NX'!$D$7=D1437),"x","")</f>
        <v/>
      </c>
      <c r="AB1437" s="75" t="str">
        <f>IF(AND(OR(LEFT(TH!N1437,2)="15",LEFT(TH!O1437,2)="15"),LEFT(TH!O1437,3)&lt;&gt;"111",'152-CT'!$J$8=TH!F1437),"x","")</f>
        <v/>
      </c>
      <c r="AC1437" s="75" t="str">
        <f>IF(AND(OR(LEFT(TH!N1437,2)="15",LEFT(TH!O1437,2)="15"),TK!$E$7=TH!F1437),"x","")</f>
        <v/>
      </c>
      <c r="AD1437" s="75" t="str">
        <f>IF(AND(N1437="1521",MONTH(C1437)='BK-NL'!$M$11),"x","")</f>
        <v/>
      </c>
    </row>
    <row r="1438" spans="1:30" ht="16.5" customHeight="1">
      <c r="A1438" s="309" t="str">
        <f>IF(B1438&lt;&gt;"",IF(AND(B1438='IN-TC'!$S$4,OR(TH!N1438="1111",TH!O1438="1111")),TH!D1438,""),"")</f>
        <v/>
      </c>
      <c r="B1438" s="1130">
        <f t="shared" si="283"/>
        <v>6</v>
      </c>
      <c r="C1438" s="252">
        <v>42896</v>
      </c>
      <c r="D1438" s="252" t="s">
        <v>863</v>
      </c>
      <c r="E1438" s="252">
        <f t="shared" ref="E1438:E1447" si="338">C1438</f>
        <v>42896</v>
      </c>
      <c r="F1438" s="1055" t="s">
        <v>1621</v>
      </c>
      <c r="G1438" s="1056" t="s">
        <v>1622</v>
      </c>
      <c r="H1438" s="73" t="s">
        <v>802</v>
      </c>
      <c r="I1438" s="371">
        <v>60</v>
      </c>
      <c r="J1438" s="371">
        <v>156000</v>
      </c>
      <c r="K1438" s="371"/>
      <c r="L1438" s="377"/>
      <c r="M1438" s="933">
        <f t="shared" si="337"/>
        <v>9360000</v>
      </c>
      <c r="N1438" s="977" t="s">
        <v>536</v>
      </c>
      <c r="O1438" s="977" t="s">
        <v>286</v>
      </c>
      <c r="P1438" s="75" t="str">
        <f>IF(AND('331-CT'!$E$7=TH!H1438,OR(N1438="331",O1438="331")),"x","")</f>
        <v/>
      </c>
      <c r="Q1438" s="75" t="str">
        <f>IF(AND(B1438='111'!$L$11,OR($N1438=$Q$7,$O1438=$Q$7)),"x","")</f>
        <v/>
      </c>
      <c r="R1438" s="75" t="str">
        <f>IF(AND($N1438=$Q$7,$B1438&lt;'111'!$L$11),"x","")</f>
        <v/>
      </c>
      <c r="S1438" s="75" t="str">
        <f>IF(AND($O1438=$Q$7,$B1438&lt;'111'!$L$11),"x","")</f>
        <v/>
      </c>
      <c r="T1438" s="75" t="str">
        <f>IF(ISERROR(FIND('112'!$M$9,G1438,1)),"",IF((AND(FIND('112'!$M$9,G1438,1)&gt;=1,B1438='112'!$K$9,OR($N1438='112'!$I$6,$O1438='112'!$I$6))),"x",""))</f>
        <v/>
      </c>
      <c r="U1438" s="75" t="str">
        <f>IF(ISERROR(FIND('112'!$M$9,G1438,1)),"",IF((AND(LEFT(G1438,2)=LEFT('112'!$M$9,2),B1438&lt;'112'!$K$9,$N1438='112'!$I$6)),"x",""))</f>
        <v/>
      </c>
      <c r="V1438" s="75" t="str">
        <f>IF(ISERROR(FIND('112'!$M$9,G1438,1)),"",IF((AND(RIGHT(G1438,2)=RIGHT('112'!$M$9,2),B1438&lt;'112'!$K$9,$O1438='112'!$I$6)),"x",""))</f>
        <v/>
      </c>
      <c r="W1438" s="75" t="str">
        <f>IF(AND('341-CT'!$H$9=H1438,OR(LEFT(N1438,3)=$W$7,LEFT(O1438,3)=$W$7)),"x","")</f>
        <v/>
      </c>
      <c r="X1438" s="75" t="str">
        <f>IF(OR(TH!N1438=TH!$X$7,O1438=TH!$X$7),"x","")</f>
        <v/>
      </c>
      <c r="Y1438" s="75" t="str">
        <f>IF(AND(OR(N1438="131",O1438="131"),H1438='131-CT'!$H$9),"x","")</f>
        <v/>
      </c>
      <c r="Z1438" s="75"/>
      <c r="AA1438" s="75" t="str">
        <f>IF(AND(MONTH(E1438)='IN-NX'!$J$5,'IN-NX'!$D$7=D1438),"x","")</f>
        <v/>
      </c>
      <c r="AB1438" s="75" t="str">
        <f>IF(AND(OR(LEFT(TH!N1438,2)="15",LEFT(TH!O1438,2)="15"),LEFT(TH!O1438,3)&lt;&gt;"111",'152-CT'!$J$8=TH!F1438),"x","")</f>
        <v/>
      </c>
      <c r="AC1438" s="75" t="str">
        <f>IF(AND(OR(LEFT(TH!N1438,2)="15",LEFT(TH!O1438,2)="15"),TK!$E$7=TH!F1438),"x","")</f>
        <v/>
      </c>
      <c r="AD1438" s="75" t="str">
        <f>IF(AND(N1438="1521",MONTH(C1438)='BK-NL'!$M$11),"x","")</f>
        <v/>
      </c>
    </row>
    <row r="1439" spans="1:30" ht="16.5" customHeight="1">
      <c r="A1439" s="309" t="str">
        <f>IF(B1439&lt;&gt;"",IF(AND(B1439='IN-TC'!$S$4,OR(TH!N1439="1111",TH!O1439="1111")),TH!D1439,""),"")</f>
        <v/>
      </c>
      <c r="B1439" s="1130">
        <f>IF(C1439&lt;&gt;"",MONTH(C1439),"")</f>
        <v>6</v>
      </c>
      <c r="C1439" s="252">
        <v>42896</v>
      </c>
      <c r="D1439" s="252" t="s">
        <v>863</v>
      </c>
      <c r="E1439" s="252">
        <f>C1439</f>
        <v>42896</v>
      </c>
      <c r="F1439" s="1055" t="s">
        <v>418</v>
      </c>
      <c r="G1439" s="1056" t="s">
        <v>1622</v>
      </c>
      <c r="H1439" s="73" t="s">
        <v>802</v>
      </c>
      <c r="I1439" s="371">
        <v>20</v>
      </c>
      <c r="J1439" s="371">
        <v>100000</v>
      </c>
      <c r="K1439" s="371"/>
      <c r="L1439" s="377"/>
      <c r="M1439" s="933">
        <f>ROUND(I1439*J1439,0)</f>
        <v>2000000</v>
      </c>
      <c r="N1439" s="977" t="s">
        <v>536</v>
      </c>
      <c r="O1439" s="977" t="s">
        <v>286</v>
      </c>
      <c r="P1439" s="75" t="str">
        <f>IF(AND('331-CT'!$E$7=TH!H1439,OR(N1439="331",O1439="331")),"x","")</f>
        <v/>
      </c>
      <c r="Q1439" s="75" t="str">
        <f>IF(AND(B1439='111'!$L$11,OR($N1439=$Q$7,$O1439=$Q$7)),"x","")</f>
        <v/>
      </c>
      <c r="R1439" s="75" t="str">
        <f>IF(AND($N1439=$Q$7,$B1439&lt;'111'!$L$11),"x","")</f>
        <v/>
      </c>
      <c r="S1439" s="75" t="str">
        <f>IF(AND($O1439=$Q$7,$B1439&lt;'111'!$L$11),"x","")</f>
        <v/>
      </c>
      <c r="T1439" s="75" t="str">
        <f>IF(ISERROR(FIND('112'!$M$9,G1439,1)),"",IF((AND(FIND('112'!$M$9,G1439,1)&gt;=1,B1439='112'!$K$9,OR($N1439='112'!$I$6,$O1439='112'!$I$6))),"x",""))</f>
        <v/>
      </c>
      <c r="U1439" s="75" t="str">
        <f>IF(ISERROR(FIND('112'!$M$9,G1439,1)),"",IF((AND(LEFT(G1439,2)=LEFT('112'!$M$9,2),B1439&lt;'112'!$K$9,$N1439='112'!$I$6)),"x",""))</f>
        <v/>
      </c>
      <c r="V1439" s="75" t="str">
        <f>IF(ISERROR(FIND('112'!$M$9,G1439,1)),"",IF((AND(RIGHT(G1439,2)=RIGHT('112'!$M$9,2),B1439&lt;'112'!$K$9,$O1439='112'!$I$6)),"x",""))</f>
        <v/>
      </c>
      <c r="W1439" s="75" t="str">
        <f>IF(AND('341-CT'!$H$9=H1439,OR(LEFT(N1439,3)=$W$7,LEFT(O1439,3)=$W$7)),"x","")</f>
        <v/>
      </c>
      <c r="X1439" s="75" t="str">
        <f>IF(OR(TH!N1439=TH!$X$7,O1439=TH!$X$7),"x","")</f>
        <v/>
      </c>
      <c r="Y1439" s="75" t="str">
        <f>IF(AND(OR(N1439="131",O1439="131"),H1439='131-CT'!$H$9),"x","")</f>
        <v/>
      </c>
      <c r="Z1439" s="75"/>
      <c r="AA1439" s="75" t="str">
        <f>IF(AND(MONTH(E1439)='IN-NX'!$J$5,'IN-NX'!$D$7=D1439),"x","")</f>
        <v/>
      </c>
      <c r="AB1439" s="75" t="str">
        <f>IF(AND(OR(LEFT(TH!N1439,2)="15",LEFT(TH!O1439,2)="15"),LEFT(TH!O1439,3)&lt;&gt;"111",'152-CT'!$J$8=TH!F1439),"x","")</f>
        <v/>
      </c>
      <c r="AC1439" s="75" t="str">
        <f>IF(AND(OR(LEFT(TH!N1439,2)="15",LEFT(TH!O1439,2)="15"),TK!$E$7=TH!F1439),"x","")</f>
        <v/>
      </c>
      <c r="AD1439" s="75" t="str">
        <f>IF(AND(N1439="1521",MONTH(C1439)='BK-NL'!$M$11),"x","")</f>
        <v/>
      </c>
    </row>
    <row r="1440" spans="1:30" ht="16.5" customHeight="1">
      <c r="A1440" s="309" t="str">
        <f>IF(B1440&lt;&gt;"",IF(AND(B1440='IN-TC'!$S$4,OR(TH!N1440="1111",TH!O1440="1111")),TH!D1440,""),"")</f>
        <v/>
      </c>
      <c r="B1440" s="1130">
        <f t="shared" si="283"/>
        <v>6</v>
      </c>
      <c r="C1440" s="252">
        <v>42896</v>
      </c>
      <c r="D1440" s="252" t="s">
        <v>863</v>
      </c>
      <c r="E1440" s="252">
        <f t="shared" si="338"/>
        <v>42896</v>
      </c>
      <c r="F1440" s="1055" t="s">
        <v>1406</v>
      </c>
      <c r="G1440" s="1056" t="s">
        <v>1622</v>
      </c>
      <c r="H1440" s="73" t="s">
        <v>802</v>
      </c>
      <c r="I1440" s="371">
        <v>40</v>
      </c>
      <c r="J1440" s="371">
        <v>150000</v>
      </c>
      <c r="K1440" s="371"/>
      <c r="L1440" s="377"/>
      <c r="M1440" s="933">
        <f t="shared" si="337"/>
        <v>6000000</v>
      </c>
      <c r="N1440" s="977" t="s">
        <v>536</v>
      </c>
      <c r="O1440" s="977" t="s">
        <v>286</v>
      </c>
      <c r="P1440" s="75" t="str">
        <f>IF(AND('331-CT'!$E$7=TH!H1440,OR(N1440="331",O1440="331")),"x","")</f>
        <v/>
      </c>
      <c r="Q1440" s="75" t="str">
        <f>IF(AND(B1440='111'!$L$11,OR($N1440=$Q$7,$O1440=$Q$7)),"x","")</f>
        <v/>
      </c>
      <c r="R1440" s="75" t="str">
        <f>IF(AND($N1440=$Q$7,$B1440&lt;'111'!$L$11),"x","")</f>
        <v/>
      </c>
      <c r="S1440" s="75" t="str">
        <f>IF(AND($O1440=$Q$7,$B1440&lt;'111'!$L$11),"x","")</f>
        <v/>
      </c>
      <c r="T1440" s="75" t="str">
        <f>IF(ISERROR(FIND('112'!$M$9,G1440,1)),"",IF((AND(FIND('112'!$M$9,G1440,1)&gt;=1,B1440='112'!$K$9,OR($N1440='112'!$I$6,$O1440='112'!$I$6))),"x",""))</f>
        <v/>
      </c>
      <c r="U1440" s="75" t="str">
        <f>IF(ISERROR(FIND('112'!$M$9,G1440,1)),"",IF((AND(LEFT(G1440,2)=LEFT('112'!$M$9,2),B1440&lt;'112'!$K$9,$N1440='112'!$I$6)),"x",""))</f>
        <v/>
      </c>
      <c r="V1440" s="75" t="str">
        <f>IF(ISERROR(FIND('112'!$M$9,G1440,1)),"",IF((AND(RIGHT(G1440,2)=RIGHT('112'!$M$9,2),B1440&lt;'112'!$K$9,$O1440='112'!$I$6)),"x",""))</f>
        <v/>
      </c>
      <c r="W1440" s="75" t="str">
        <f>IF(AND('341-CT'!$H$9=H1440,OR(LEFT(N1440,3)=$W$7,LEFT(O1440,3)=$W$7)),"x","")</f>
        <v/>
      </c>
      <c r="X1440" s="75" t="str">
        <f>IF(OR(TH!N1440=TH!$X$7,O1440=TH!$X$7),"x","")</f>
        <v/>
      </c>
      <c r="Y1440" s="75" t="str">
        <f>IF(AND(OR(N1440="131",O1440="131"),H1440='131-CT'!$H$9),"x","")</f>
        <v/>
      </c>
      <c r="Z1440" s="75"/>
      <c r="AA1440" s="75" t="str">
        <f>IF(AND(MONTH(E1440)='IN-NX'!$J$5,'IN-NX'!$D$7=D1440),"x","")</f>
        <v/>
      </c>
      <c r="AB1440" s="75" t="str">
        <f>IF(AND(OR(LEFT(TH!N1440,2)="15",LEFT(TH!O1440,2)="15"),LEFT(TH!O1440,3)&lt;&gt;"111",'152-CT'!$J$8=TH!F1440),"x","")</f>
        <v/>
      </c>
      <c r="AC1440" s="75" t="str">
        <f>IF(AND(OR(LEFT(TH!N1440,2)="15",LEFT(TH!O1440,2)="15"),TK!$E$7=TH!F1440),"x","")</f>
        <v/>
      </c>
      <c r="AD1440" s="75" t="str">
        <f>IF(AND(N1440="1521",MONTH(C1440)='BK-NL'!$M$11),"x","")</f>
        <v/>
      </c>
    </row>
    <row r="1441" spans="1:30" ht="16.5" customHeight="1">
      <c r="A1441" s="309" t="str">
        <f>IF(B1441&lt;&gt;"",IF(AND(B1441='IN-TC'!$S$4,OR(TH!N1441="1111",TH!O1441="1111")),TH!D1441,""),"")</f>
        <v/>
      </c>
      <c r="B1441" s="1130">
        <f>IF(C1441&lt;&gt;"",MONTH(C1441),"")</f>
        <v>6</v>
      </c>
      <c r="C1441" s="252">
        <v>42896</v>
      </c>
      <c r="D1441" s="252" t="s">
        <v>863</v>
      </c>
      <c r="E1441" s="252">
        <f>C1441</f>
        <v>42896</v>
      </c>
      <c r="F1441" s="1055" t="s">
        <v>1107</v>
      </c>
      <c r="G1441" s="1056" t="s">
        <v>1622</v>
      </c>
      <c r="H1441" s="73" t="s">
        <v>802</v>
      </c>
      <c r="I1441" s="371">
        <v>30</v>
      </c>
      <c r="J1441" s="371">
        <v>210000</v>
      </c>
      <c r="K1441" s="371"/>
      <c r="L1441" s="377"/>
      <c r="M1441" s="933">
        <f>ROUND(I1441*J1441,0)</f>
        <v>6300000</v>
      </c>
      <c r="N1441" s="977" t="s">
        <v>536</v>
      </c>
      <c r="O1441" s="977" t="s">
        <v>286</v>
      </c>
      <c r="P1441" s="75" t="str">
        <f>IF(AND('331-CT'!$E$7=TH!H1441,OR(N1441="331",O1441="331")),"x","")</f>
        <v/>
      </c>
      <c r="Q1441" s="75" t="str">
        <f>IF(AND(B1441='111'!$L$11,OR($N1441=$Q$7,$O1441=$Q$7)),"x","")</f>
        <v/>
      </c>
      <c r="R1441" s="75" t="str">
        <f>IF(AND($N1441=$Q$7,$B1441&lt;'111'!$L$11),"x","")</f>
        <v/>
      </c>
      <c r="S1441" s="75" t="str">
        <f>IF(AND($O1441=$Q$7,$B1441&lt;'111'!$L$11),"x","")</f>
        <v/>
      </c>
      <c r="T1441" s="75" t="str">
        <f>IF(ISERROR(FIND('112'!$M$9,G1441,1)),"",IF((AND(FIND('112'!$M$9,G1441,1)&gt;=1,B1441='112'!$K$9,OR($N1441='112'!$I$6,$O1441='112'!$I$6))),"x",""))</f>
        <v/>
      </c>
      <c r="U1441" s="75" t="str">
        <f>IF(ISERROR(FIND('112'!$M$9,G1441,1)),"",IF((AND(LEFT(G1441,2)=LEFT('112'!$M$9,2),B1441&lt;'112'!$K$9,$N1441='112'!$I$6)),"x",""))</f>
        <v/>
      </c>
      <c r="V1441" s="75" t="str">
        <f>IF(ISERROR(FIND('112'!$M$9,G1441,1)),"",IF((AND(RIGHT(G1441,2)=RIGHT('112'!$M$9,2),B1441&lt;'112'!$K$9,$O1441='112'!$I$6)),"x",""))</f>
        <v/>
      </c>
      <c r="W1441" s="75" t="str">
        <f>IF(AND('341-CT'!$H$9=H1441,OR(LEFT(N1441,3)=$W$7,LEFT(O1441,3)=$W$7)),"x","")</f>
        <v/>
      </c>
      <c r="X1441" s="75" t="str">
        <f>IF(OR(TH!N1441=TH!$X$7,O1441=TH!$X$7),"x","")</f>
        <v/>
      </c>
      <c r="Y1441" s="75" t="str">
        <f>IF(AND(OR(N1441="131",O1441="131"),H1441='131-CT'!$H$9),"x","")</f>
        <v/>
      </c>
      <c r="Z1441" s="75"/>
      <c r="AA1441" s="75" t="str">
        <f>IF(AND(MONTH(E1441)='IN-NX'!$J$5,'IN-NX'!$D$7=D1441),"x","")</f>
        <v/>
      </c>
      <c r="AB1441" s="75" t="str">
        <f>IF(AND(OR(LEFT(TH!N1441,2)="15",LEFT(TH!O1441,2)="15"),LEFT(TH!O1441,3)&lt;&gt;"111",'152-CT'!$J$8=TH!F1441),"x","")</f>
        <v/>
      </c>
      <c r="AC1441" s="75" t="str">
        <f>IF(AND(OR(LEFT(TH!N1441,2)="15",LEFT(TH!O1441,2)="15"),TK!$E$7=TH!F1441),"x","")</f>
        <v/>
      </c>
      <c r="AD1441" s="75" t="str">
        <f>IF(AND(N1441="1521",MONTH(C1441)='BK-NL'!$M$11),"x","")</f>
        <v/>
      </c>
    </row>
    <row r="1442" spans="1:30" ht="16.5" customHeight="1">
      <c r="A1442" s="309" t="str">
        <f>IF(B1442&lt;&gt;"",IF(AND(B1442='IN-TC'!$S$4,OR(TH!N1442="1111",TH!O1442="1111")),TH!D1442,""),"")</f>
        <v/>
      </c>
      <c r="B1442" s="1130">
        <f>IF(C1442&lt;&gt;"",MONTH(C1442),"")</f>
        <v>6</v>
      </c>
      <c r="C1442" s="252">
        <v>42896</v>
      </c>
      <c r="D1442" s="252" t="s">
        <v>863</v>
      </c>
      <c r="E1442" s="252">
        <f>C1442</f>
        <v>42896</v>
      </c>
      <c r="F1442" s="1055" t="s">
        <v>799</v>
      </c>
      <c r="G1442" s="1056" t="s">
        <v>1622</v>
      </c>
      <c r="H1442" s="73" t="s">
        <v>802</v>
      </c>
      <c r="I1442" s="371">
        <v>40</v>
      </c>
      <c r="J1442" s="371">
        <v>220000</v>
      </c>
      <c r="K1442" s="371"/>
      <c r="L1442" s="377"/>
      <c r="M1442" s="933">
        <f>ROUND(I1442*J1442,0)</f>
        <v>8800000</v>
      </c>
      <c r="N1442" s="977" t="s">
        <v>536</v>
      </c>
      <c r="O1442" s="977" t="s">
        <v>286</v>
      </c>
      <c r="P1442" s="75" t="str">
        <f>IF(AND('331-CT'!$E$7=TH!H1442,OR(N1442="331",O1442="331")),"x","")</f>
        <v/>
      </c>
      <c r="Q1442" s="75" t="str">
        <f>IF(AND(B1442='111'!$L$11,OR($N1442=$Q$7,$O1442=$Q$7)),"x","")</f>
        <v/>
      </c>
      <c r="R1442" s="75" t="str">
        <f>IF(AND($N1442=$Q$7,$B1442&lt;'111'!$L$11),"x","")</f>
        <v/>
      </c>
      <c r="S1442" s="75" t="str">
        <f>IF(AND($O1442=$Q$7,$B1442&lt;'111'!$L$11),"x","")</f>
        <v/>
      </c>
      <c r="T1442" s="75" t="str">
        <f>IF(ISERROR(FIND('112'!$M$9,G1442,1)),"",IF((AND(FIND('112'!$M$9,G1442,1)&gt;=1,B1442='112'!$K$9,OR($N1442='112'!$I$6,$O1442='112'!$I$6))),"x",""))</f>
        <v/>
      </c>
      <c r="U1442" s="75" t="str">
        <f>IF(ISERROR(FIND('112'!$M$9,G1442,1)),"",IF((AND(LEFT(G1442,2)=LEFT('112'!$M$9,2),B1442&lt;'112'!$K$9,$N1442='112'!$I$6)),"x",""))</f>
        <v/>
      </c>
      <c r="V1442" s="75" t="str">
        <f>IF(ISERROR(FIND('112'!$M$9,G1442,1)),"",IF((AND(RIGHT(G1442,2)=RIGHT('112'!$M$9,2),B1442&lt;'112'!$K$9,$O1442='112'!$I$6)),"x",""))</f>
        <v/>
      </c>
      <c r="W1442" s="75" t="str">
        <f>IF(AND('341-CT'!$H$9=H1442,OR(LEFT(N1442,3)=$W$7,LEFT(O1442,3)=$W$7)),"x","")</f>
        <v/>
      </c>
      <c r="X1442" s="75" t="str">
        <f>IF(OR(TH!N1442=TH!$X$7,O1442=TH!$X$7),"x","")</f>
        <v/>
      </c>
      <c r="Y1442" s="75" t="str">
        <f>IF(AND(OR(N1442="131",O1442="131"),H1442='131-CT'!$H$9),"x","")</f>
        <v/>
      </c>
      <c r="Z1442" s="75"/>
      <c r="AA1442" s="75" t="str">
        <f>IF(AND(MONTH(E1442)='IN-NX'!$J$5,'IN-NX'!$D$7=D1442),"x","")</f>
        <v/>
      </c>
      <c r="AB1442" s="75" t="str">
        <f>IF(AND(OR(LEFT(TH!N1442,2)="15",LEFT(TH!O1442,2)="15"),LEFT(TH!O1442,3)&lt;&gt;"111",'152-CT'!$J$8=TH!F1442),"x","")</f>
        <v/>
      </c>
      <c r="AC1442" s="75" t="str">
        <f>IF(AND(OR(LEFT(TH!N1442,2)="15",LEFT(TH!O1442,2)="15"),TK!$E$7=TH!F1442),"x","")</f>
        <v/>
      </c>
      <c r="AD1442" s="75" t="str">
        <f>IF(AND(N1442="1521",MONTH(C1442)='BK-NL'!$M$11),"x","")</f>
        <v/>
      </c>
    </row>
    <row r="1443" spans="1:30" ht="16.5" customHeight="1">
      <c r="A1443" s="309" t="str">
        <f>IF(B1443&lt;&gt;"",IF(AND(B1443='IN-TC'!$S$4,OR(TH!N1443="1111",TH!O1443="1111")),TH!D1443,""),"")</f>
        <v/>
      </c>
      <c r="B1443" s="1130">
        <f>IF(C1443&lt;&gt;"",MONTH(C1443),"")</f>
        <v>6</v>
      </c>
      <c r="C1443" s="252">
        <v>42896</v>
      </c>
      <c r="D1443" s="252" t="s">
        <v>863</v>
      </c>
      <c r="E1443" s="252">
        <f>C1443</f>
        <v>42896</v>
      </c>
      <c r="F1443" s="1055" t="s">
        <v>800</v>
      </c>
      <c r="G1443" s="1056" t="s">
        <v>1622</v>
      </c>
      <c r="H1443" s="73" t="s">
        <v>802</v>
      </c>
      <c r="I1443" s="371">
        <v>50</v>
      </c>
      <c r="J1443" s="371">
        <v>170000</v>
      </c>
      <c r="K1443" s="371"/>
      <c r="L1443" s="377"/>
      <c r="M1443" s="933">
        <f>ROUND(I1443*J1443,0)</f>
        <v>8500000</v>
      </c>
      <c r="N1443" s="977" t="s">
        <v>536</v>
      </c>
      <c r="O1443" s="977" t="s">
        <v>286</v>
      </c>
      <c r="P1443" s="75" t="str">
        <f>IF(AND('331-CT'!$E$7=TH!H1443,OR(N1443="331",O1443="331")),"x","")</f>
        <v/>
      </c>
      <c r="Q1443" s="75" t="str">
        <f>IF(AND(B1443='111'!$L$11,OR($N1443=$Q$7,$O1443=$Q$7)),"x","")</f>
        <v/>
      </c>
      <c r="R1443" s="75" t="str">
        <f>IF(AND($N1443=$Q$7,$B1443&lt;'111'!$L$11),"x","")</f>
        <v/>
      </c>
      <c r="S1443" s="75" t="str">
        <f>IF(AND($O1443=$Q$7,$B1443&lt;'111'!$L$11),"x","")</f>
        <v/>
      </c>
      <c r="T1443" s="75" t="str">
        <f>IF(ISERROR(FIND('112'!$M$9,G1443,1)),"",IF((AND(FIND('112'!$M$9,G1443,1)&gt;=1,B1443='112'!$K$9,OR($N1443='112'!$I$6,$O1443='112'!$I$6))),"x",""))</f>
        <v/>
      </c>
      <c r="U1443" s="75" t="str">
        <f>IF(ISERROR(FIND('112'!$M$9,G1443,1)),"",IF((AND(LEFT(G1443,2)=LEFT('112'!$M$9,2),B1443&lt;'112'!$K$9,$N1443='112'!$I$6)),"x",""))</f>
        <v/>
      </c>
      <c r="V1443" s="75" t="str">
        <f>IF(ISERROR(FIND('112'!$M$9,G1443,1)),"",IF((AND(RIGHT(G1443,2)=RIGHT('112'!$M$9,2),B1443&lt;'112'!$K$9,$O1443='112'!$I$6)),"x",""))</f>
        <v/>
      </c>
      <c r="W1443" s="75" t="str">
        <f>IF(AND('341-CT'!$H$9=H1443,OR(LEFT(N1443,3)=$W$7,LEFT(O1443,3)=$W$7)),"x","")</f>
        <v/>
      </c>
      <c r="X1443" s="75" t="str">
        <f>IF(OR(TH!N1443=TH!$X$7,O1443=TH!$X$7),"x","")</f>
        <v/>
      </c>
      <c r="Y1443" s="75" t="str">
        <f>IF(AND(OR(N1443="131",O1443="131"),H1443='131-CT'!$H$9),"x","")</f>
        <v/>
      </c>
      <c r="Z1443" s="75"/>
      <c r="AA1443" s="75" t="str">
        <f>IF(AND(MONTH(E1443)='IN-NX'!$J$5,'IN-NX'!$D$7=D1443),"x","")</f>
        <v/>
      </c>
      <c r="AB1443" s="75" t="str">
        <f>IF(AND(OR(LEFT(TH!N1443,2)="15",LEFT(TH!O1443,2)="15"),LEFT(TH!O1443,3)&lt;&gt;"111",'152-CT'!$J$8=TH!F1443),"x","")</f>
        <v/>
      </c>
      <c r="AC1443" s="75" t="str">
        <f>IF(AND(OR(LEFT(TH!N1443,2)="15",LEFT(TH!O1443,2)="15"),TK!$E$7=TH!F1443),"x","")</f>
        <v/>
      </c>
      <c r="AD1443" s="75" t="str">
        <f>IF(AND(N1443="1521",MONTH(C1443)='BK-NL'!$M$11),"x","")</f>
        <v/>
      </c>
    </row>
    <row r="1444" spans="1:30" ht="16.5" customHeight="1">
      <c r="A1444" s="309" t="str">
        <f>IF(B1444&lt;&gt;"",IF(AND(B1444='IN-TC'!$S$4,OR(TH!N1444="1111",TH!O1444="1111")),TH!D1444,""),"")</f>
        <v/>
      </c>
      <c r="B1444" s="1130">
        <f>IF(C1444&lt;&gt;"",MONTH(C1444),"")</f>
        <v>6</v>
      </c>
      <c r="C1444" s="252">
        <v>42896</v>
      </c>
      <c r="D1444" s="252" t="s">
        <v>863</v>
      </c>
      <c r="E1444" s="252">
        <f>C1444</f>
        <v>42896</v>
      </c>
      <c r="F1444" s="1055" t="s">
        <v>1618</v>
      </c>
      <c r="G1444" s="1056" t="s">
        <v>1622</v>
      </c>
      <c r="H1444" s="73" t="s">
        <v>802</v>
      </c>
      <c r="I1444" s="371">
        <v>10</v>
      </c>
      <c r="J1444" s="371">
        <v>570000</v>
      </c>
      <c r="K1444" s="371"/>
      <c r="L1444" s="377"/>
      <c r="M1444" s="933">
        <f>ROUND(I1444*J1444,0)</f>
        <v>5700000</v>
      </c>
      <c r="N1444" s="977" t="s">
        <v>536</v>
      </c>
      <c r="O1444" s="977" t="s">
        <v>286</v>
      </c>
      <c r="P1444" s="75" t="str">
        <f>IF(AND('331-CT'!$E$7=TH!H1444,OR(N1444="331",O1444="331")),"x","")</f>
        <v/>
      </c>
      <c r="Q1444" s="75" t="str">
        <f>IF(AND(B1444='111'!$L$11,OR($N1444=$Q$7,$O1444=$Q$7)),"x","")</f>
        <v/>
      </c>
      <c r="R1444" s="75" t="str">
        <f>IF(AND($N1444=$Q$7,$B1444&lt;'111'!$L$11),"x","")</f>
        <v/>
      </c>
      <c r="S1444" s="75" t="str">
        <f>IF(AND($O1444=$Q$7,$B1444&lt;'111'!$L$11),"x","")</f>
        <v/>
      </c>
      <c r="T1444" s="75" t="str">
        <f>IF(ISERROR(FIND('112'!$M$9,G1444,1)),"",IF((AND(FIND('112'!$M$9,G1444,1)&gt;=1,B1444='112'!$K$9,OR($N1444='112'!$I$6,$O1444='112'!$I$6))),"x",""))</f>
        <v/>
      </c>
      <c r="U1444" s="75" t="str">
        <f>IF(ISERROR(FIND('112'!$M$9,G1444,1)),"",IF((AND(LEFT(G1444,2)=LEFT('112'!$M$9,2),B1444&lt;'112'!$K$9,$N1444='112'!$I$6)),"x",""))</f>
        <v/>
      </c>
      <c r="V1444" s="75" t="str">
        <f>IF(ISERROR(FIND('112'!$M$9,G1444,1)),"",IF((AND(RIGHT(G1444,2)=RIGHT('112'!$M$9,2),B1444&lt;'112'!$K$9,$O1444='112'!$I$6)),"x",""))</f>
        <v/>
      </c>
      <c r="W1444" s="75" t="str">
        <f>IF(AND('341-CT'!$H$9=H1444,OR(LEFT(N1444,3)=$W$7,LEFT(O1444,3)=$W$7)),"x","")</f>
        <v/>
      </c>
      <c r="X1444" s="75" t="str">
        <f>IF(OR(TH!N1444=TH!$X$7,O1444=TH!$X$7),"x","")</f>
        <v/>
      </c>
      <c r="Y1444" s="75" t="str">
        <f>IF(AND(OR(N1444="131",O1444="131"),H1444='131-CT'!$H$9),"x","")</f>
        <v/>
      </c>
      <c r="Z1444" s="75"/>
      <c r="AA1444" s="75" t="str">
        <f>IF(AND(MONTH(E1444)='IN-NX'!$J$5,'IN-NX'!$D$7=D1444),"x","")</f>
        <v/>
      </c>
      <c r="AB1444" s="75" t="str">
        <f>IF(AND(OR(LEFT(TH!N1444,2)="15",LEFT(TH!O1444,2)="15"),LEFT(TH!O1444,3)&lt;&gt;"111",'152-CT'!$J$8=TH!F1444),"x","")</f>
        <v/>
      </c>
      <c r="AC1444" s="75" t="str">
        <f>IF(AND(OR(LEFT(TH!N1444,2)="15",LEFT(TH!O1444,2)="15"),TK!$E$7=TH!F1444),"x","")</f>
        <v/>
      </c>
      <c r="AD1444" s="75" t="str">
        <f>IF(AND(N1444="1521",MONTH(C1444)='BK-NL'!$M$11),"x","")</f>
        <v/>
      </c>
    </row>
    <row r="1445" spans="1:30" ht="16.5" customHeight="1">
      <c r="A1445" s="309" t="str">
        <f>IF(B1445&lt;&gt;"",IF(AND(B1445='IN-TC'!$S$4,OR(TH!N1445="1111",TH!O1445="1111")),TH!D1445,""),"")</f>
        <v/>
      </c>
      <c r="B1445" s="1130">
        <f>IF(C1445&lt;&gt;"",MONTH(C1445),"")</f>
        <v>6</v>
      </c>
      <c r="C1445" s="252">
        <v>42896</v>
      </c>
      <c r="D1445" s="252" t="s">
        <v>863</v>
      </c>
      <c r="E1445" s="252">
        <f>C1445</f>
        <v>42896</v>
      </c>
      <c r="F1445" s="1055" t="s">
        <v>425</v>
      </c>
      <c r="G1445" s="1056" t="s">
        <v>1622</v>
      </c>
      <c r="H1445" s="73" t="s">
        <v>802</v>
      </c>
      <c r="I1445" s="371">
        <v>30</v>
      </c>
      <c r="J1445" s="371">
        <v>690000</v>
      </c>
      <c r="K1445" s="371"/>
      <c r="L1445" s="377"/>
      <c r="M1445" s="933">
        <f>ROUND(I1445*J1445,0)</f>
        <v>20700000</v>
      </c>
      <c r="N1445" s="977" t="s">
        <v>536</v>
      </c>
      <c r="O1445" s="977" t="s">
        <v>286</v>
      </c>
      <c r="P1445" s="75" t="str">
        <f>IF(AND('331-CT'!$E$7=TH!H1445,OR(N1445="331",O1445="331")),"x","")</f>
        <v/>
      </c>
      <c r="Q1445" s="75" t="str">
        <f>IF(AND(B1445='111'!$L$11,OR($N1445=$Q$7,$O1445=$Q$7)),"x","")</f>
        <v/>
      </c>
      <c r="R1445" s="75" t="str">
        <f>IF(AND($N1445=$Q$7,$B1445&lt;'111'!$L$11),"x","")</f>
        <v/>
      </c>
      <c r="S1445" s="75" t="str">
        <f>IF(AND($O1445=$Q$7,$B1445&lt;'111'!$L$11),"x","")</f>
        <v/>
      </c>
      <c r="T1445" s="75" t="str">
        <f>IF(ISERROR(FIND('112'!$M$9,G1445,1)),"",IF((AND(FIND('112'!$M$9,G1445,1)&gt;=1,B1445='112'!$K$9,OR($N1445='112'!$I$6,$O1445='112'!$I$6))),"x",""))</f>
        <v/>
      </c>
      <c r="U1445" s="75" t="str">
        <f>IF(ISERROR(FIND('112'!$M$9,G1445,1)),"",IF((AND(LEFT(G1445,2)=LEFT('112'!$M$9,2),B1445&lt;'112'!$K$9,$N1445='112'!$I$6)),"x",""))</f>
        <v/>
      </c>
      <c r="V1445" s="75" t="str">
        <f>IF(ISERROR(FIND('112'!$M$9,G1445,1)),"",IF((AND(RIGHT(G1445,2)=RIGHT('112'!$M$9,2),B1445&lt;'112'!$K$9,$O1445='112'!$I$6)),"x",""))</f>
        <v/>
      </c>
      <c r="W1445" s="75" t="str">
        <f>IF(AND('341-CT'!$H$9=H1445,OR(LEFT(N1445,3)=$W$7,LEFT(O1445,3)=$W$7)),"x","")</f>
        <v/>
      </c>
      <c r="X1445" s="75" t="str">
        <f>IF(OR(TH!N1445=TH!$X$7,O1445=TH!$X$7),"x","")</f>
        <v/>
      </c>
      <c r="Y1445" s="75" t="str">
        <f>IF(AND(OR(N1445="131",O1445="131"),H1445='131-CT'!$H$9),"x","")</f>
        <v/>
      </c>
      <c r="Z1445" s="75"/>
      <c r="AA1445" s="75" t="str">
        <f>IF(AND(MONTH(E1445)='IN-NX'!$J$5,'IN-NX'!$D$7=D1445),"x","")</f>
        <v/>
      </c>
      <c r="AB1445" s="75" t="str">
        <f>IF(AND(OR(LEFT(TH!N1445,2)="15",LEFT(TH!O1445,2)="15"),LEFT(TH!O1445,3)&lt;&gt;"111",'152-CT'!$J$8=TH!F1445),"x","")</f>
        <v/>
      </c>
      <c r="AC1445" s="75" t="str">
        <f>IF(AND(OR(LEFT(TH!N1445,2)="15",LEFT(TH!O1445,2)="15"),TK!$E$7=TH!F1445),"x","")</f>
        <v/>
      </c>
      <c r="AD1445" s="75" t="str">
        <f>IF(AND(N1445="1521",MONTH(C1445)='BK-NL'!$M$11),"x","")</f>
        <v/>
      </c>
    </row>
    <row r="1446" spans="1:30" ht="16.5" customHeight="1">
      <c r="A1446" s="309" t="str">
        <f>IF(B1446&lt;&gt;"",IF(AND(B1446='IN-TC'!$S$4,OR(TH!N1446="1111",TH!O1446="1111")),TH!D1446,""),"")</f>
        <v/>
      </c>
      <c r="B1446" s="1130">
        <f t="shared" si="283"/>
        <v>6</v>
      </c>
      <c r="C1446" s="252">
        <v>42896</v>
      </c>
      <c r="D1446" s="252" t="s">
        <v>863</v>
      </c>
      <c r="E1446" s="252">
        <f t="shared" si="338"/>
        <v>42896</v>
      </c>
      <c r="F1446" s="1055" t="s">
        <v>1617</v>
      </c>
      <c r="G1446" s="1056" t="s">
        <v>1622</v>
      </c>
      <c r="H1446" s="73" t="s">
        <v>802</v>
      </c>
      <c r="I1446" s="371">
        <v>20</v>
      </c>
      <c r="J1446" s="371">
        <v>700000</v>
      </c>
      <c r="K1446" s="371"/>
      <c r="L1446" s="377"/>
      <c r="M1446" s="933">
        <f t="shared" si="337"/>
        <v>14000000</v>
      </c>
      <c r="N1446" s="977" t="s">
        <v>536</v>
      </c>
      <c r="O1446" s="977" t="s">
        <v>286</v>
      </c>
      <c r="P1446" s="75" t="str">
        <f>IF(AND('331-CT'!$E$7=TH!H1446,OR(N1446="331",O1446="331")),"x","")</f>
        <v/>
      </c>
      <c r="Q1446" s="75" t="str">
        <f>IF(AND(B1446='111'!$L$11,OR($N1446=$Q$7,$O1446=$Q$7)),"x","")</f>
        <v/>
      </c>
      <c r="R1446" s="75" t="str">
        <f>IF(AND($N1446=$Q$7,$B1446&lt;'111'!$L$11),"x","")</f>
        <v/>
      </c>
      <c r="S1446" s="75" t="str">
        <f>IF(AND($O1446=$Q$7,$B1446&lt;'111'!$L$11),"x","")</f>
        <v/>
      </c>
      <c r="T1446" s="75" t="str">
        <f>IF(ISERROR(FIND('112'!$M$9,G1446,1)),"",IF((AND(FIND('112'!$M$9,G1446,1)&gt;=1,B1446='112'!$K$9,OR($N1446='112'!$I$6,$O1446='112'!$I$6))),"x",""))</f>
        <v/>
      </c>
      <c r="U1446" s="75" t="str">
        <f>IF(ISERROR(FIND('112'!$M$9,G1446,1)),"",IF((AND(LEFT(G1446,2)=LEFT('112'!$M$9,2),B1446&lt;'112'!$K$9,$N1446='112'!$I$6)),"x",""))</f>
        <v/>
      </c>
      <c r="V1446" s="75" t="str">
        <f>IF(ISERROR(FIND('112'!$M$9,G1446,1)),"",IF((AND(RIGHT(G1446,2)=RIGHT('112'!$M$9,2),B1446&lt;'112'!$K$9,$O1446='112'!$I$6)),"x",""))</f>
        <v/>
      </c>
      <c r="W1446" s="75" t="str">
        <f>IF(AND('341-CT'!$H$9=H1446,OR(LEFT(N1446,3)=$W$7,LEFT(O1446,3)=$W$7)),"x","")</f>
        <v/>
      </c>
      <c r="X1446" s="75" t="str">
        <f>IF(OR(TH!N1446=TH!$X$7,O1446=TH!$X$7),"x","")</f>
        <v/>
      </c>
      <c r="Y1446" s="75" t="str">
        <f>IF(AND(OR(N1446="131",O1446="131"),H1446='131-CT'!$H$9),"x","")</f>
        <v/>
      </c>
      <c r="Z1446" s="75"/>
      <c r="AA1446" s="75" t="str">
        <f>IF(AND(MONTH(E1446)='IN-NX'!$J$5,'IN-NX'!$D$7=D1446),"x","")</f>
        <v/>
      </c>
      <c r="AB1446" s="75" t="str">
        <f>IF(AND(OR(LEFT(TH!N1446,2)="15",LEFT(TH!O1446,2)="15"),LEFT(TH!O1446,3)&lt;&gt;"111",'152-CT'!$J$8=TH!F1446),"x","")</f>
        <v/>
      </c>
      <c r="AC1446" s="75" t="str">
        <f>IF(AND(OR(LEFT(TH!N1446,2)="15",LEFT(TH!O1446,2)="15"),TK!$E$7=TH!F1446),"x","")</f>
        <v/>
      </c>
      <c r="AD1446" s="75" t="str">
        <f>IF(AND(N1446="1521",MONTH(C1446)='BK-NL'!$M$11),"x","")</f>
        <v/>
      </c>
    </row>
    <row r="1447" spans="1:30" ht="16.5" customHeight="1">
      <c r="A1447" s="309" t="str">
        <f>IF(B1447&lt;&gt;"",IF(AND(B1447='IN-TC'!$S$4,OR(TH!N1447="1111",TH!O1447="1111")),TH!D1447,""),"")</f>
        <v/>
      </c>
      <c r="B1447" s="1130">
        <f t="shared" si="283"/>
        <v>6</v>
      </c>
      <c r="C1447" s="252">
        <v>42896</v>
      </c>
      <c r="D1447" s="252" t="s">
        <v>863</v>
      </c>
      <c r="E1447" s="252">
        <f t="shared" si="338"/>
        <v>42896</v>
      </c>
      <c r="F1447" s="1055" t="s">
        <v>1617</v>
      </c>
      <c r="G1447" s="1056" t="s">
        <v>1622</v>
      </c>
      <c r="H1447" s="73" t="s">
        <v>802</v>
      </c>
      <c r="I1447" s="371">
        <v>2</v>
      </c>
      <c r="J1447" s="371">
        <v>420000</v>
      </c>
      <c r="K1447" s="371"/>
      <c r="L1447" s="377"/>
      <c r="M1447" s="933">
        <f t="shared" si="337"/>
        <v>840000</v>
      </c>
      <c r="N1447" s="977" t="s">
        <v>536</v>
      </c>
      <c r="O1447" s="977" t="s">
        <v>286</v>
      </c>
      <c r="P1447" s="75" t="str">
        <f>IF(AND('331-CT'!$E$7=TH!H1447,OR(N1447="331",O1447="331")),"x","")</f>
        <v/>
      </c>
      <c r="Q1447" s="75" t="str">
        <f>IF(AND(B1447='111'!$L$11,OR($N1447=$Q$7,$O1447=$Q$7)),"x","")</f>
        <v/>
      </c>
      <c r="R1447" s="75" t="str">
        <f>IF(AND($N1447=$Q$7,$B1447&lt;'111'!$L$11),"x","")</f>
        <v/>
      </c>
      <c r="S1447" s="75" t="str">
        <f>IF(AND($O1447=$Q$7,$B1447&lt;'111'!$L$11),"x","")</f>
        <v/>
      </c>
      <c r="T1447" s="75" t="str">
        <f>IF(ISERROR(FIND('112'!$M$9,G1447,1)),"",IF((AND(FIND('112'!$M$9,G1447,1)&gt;=1,B1447='112'!$K$9,OR($N1447='112'!$I$6,$O1447='112'!$I$6))),"x",""))</f>
        <v/>
      </c>
      <c r="U1447" s="75" t="str">
        <f>IF(ISERROR(FIND('112'!$M$9,G1447,1)),"",IF((AND(LEFT(G1447,2)=LEFT('112'!$M$9,2),B1447&lt;'112'!$K$9,$N1447='112'!$I$6)),"x",""))</f>
        <v/>
      </c>
      <c r="V1447" s="75" t="str">
        <f>IF(ISERROR(FIND('112'!$M$9,G1447,1)),"",IF((AND(RIGHT(G1447,2)=RIGHT('112'!$M$9,2),B1447&lt;'112'!$K$9,$O1447='112'!$I$6)),"x",""))</f>
        <v/>
      </c>
      <c r="W1447" s="75" t="str">
        <f>IF(AND('341-CT'!$H$9=H1447,OR(LEFT(N1447,3)=$W$7,LEFT(O1447,3)=$W$7)),"x","")</f>
        <v/>
      </c>
      <c r="X1447" s="75" t="str">
        <f>IF(OR(TH!N1447=TH!$X$7,O1447=TH!$X$7),"x","")</f>
        <v/>
      </c>
      <c r="Y1447" s="75" t="str">
        <f>IF(AND(OR(N1447="131",O1447="131"),H1447='131-CT'!$H$9),"x","")</f>
        <v/>
      </c>
      <c r="Z1447" s="75"/>
      <c r="AA1447" s="75" t="str">
        <f>IF(AND(MONTH(E1447)='IN-NX'!$J$5,'IN-NX'!$D$7=D1447),"x","")</f>
        <v/>
      </c>
      <c r="AB1447" s="75" t="str">
        <f>IF(AND(OR(LEFT(TH!N1447,2)="15",LEFT(TH!O1447,2)="15"),LEFT(TH!O1447,3)&lt;&gt;"111",'152-CT'!$J$8=TH!F1447),"x","")</f>
        <v/>
      </c>
      <c r="AC1447" s="75" t="str">
        <f>IF(AND(OR(LEFT(TH!N1447,2)="15",LEFT(TH!O1447,2)="15"),TK!$E$7=TH!F1447),"x","")</f>
        <v/>
      </c>
      <c r="AD1447" s="75" t="str">
        <f>IF(AND(N1447="1521",MONTH(C1447)='BK-NL'!$M$11),"x","")</f>
        <v/>
      </c>
    </row>
    <row r="1448" spans="1:30" ht="16.5" customHeight="1">
      <c r="A1448" s="309" t="str">
        <f>IF(B1448&lt;&gt;"",IF(AND(B1448='IN-TC'!$S$4,OR(TH!N1448="1111",TH!O1448="1111")),TH!D1448,""),"")</f>
        <v/>
      </c>
      <c r="B1448" s="1130">
        <f t="shared" si="283"/>
        <v>6</v>
      </c>
      <c r="C1448" s="252">
        <v>42896</v>
      </c>
      <c r="D1448" s="252" t="s">
        <v>863</v>
      </c>
      <c r="E1448" s="252">
        <f>C1448</f>
        <v>42896</v>
      </c>
      <c r="F1448" s="1055" t="s">
        <v>895</v>
      </c>
      <c r="G1448" s="1056" t="s">
        <v>1622</v>
      </c>
      <c r="H1448" s="73" t="s">
        <v>802</v>
      </c>
      <c r="I1448" s="371"/>
      <c r="J1448" s="371"/>
      <c r="K1448" s="371"/>
      <c r="L1448" s="377"/>
      <c r="M1448" s="933">
        <v>10570000</v>
      </c>
      <c r="N1448" s="977" t="s">
        <v>536</v>
      </c>
      <c r="O1448" s="977" t="s">
        <v>595</v>
      </c>
      <c r="P1448" s="75" t="str">
        <f>IF(AND('331-CT'!$E$7=TH!H1448,OR(N1448="331",O1448="331")),"x","")</f>
        <v/>
      </c>
      <c r="Q1448" s="75" t="str">
        <f>IF(AND(B1448='111'!$L$11,OR($N1448=$Q$7,$O1448=$Q$7)),"x","")</f>
        <v/>
      </c>
      <c r="R1448" s="75" t="str">
        <f>IF(AND($N1448=$Q$7,$B1448&lt;'111'!$L$11),"x","")</f>
        <v/>
      </c>
      <c r="S1448" s="75" t="str">
        <f>IF(AND($O1448=$Q$7,$B1448&lt;'111'!$L$11),"x","")</f>
        <v/>
      </c>
      <c r="T1448" s="75" t="str">
        <f>IF(ISERROR(FIND('112'!$M$9,G1448,1)),"",IF((AND(FIND('112'!$M$9,G1448,1)&gt;=1,B1448='112'!$K$9,OR($N1448='112'!$I$6,$O1448='112'!$I$6))),"x",""))</f>
        <v/>
      </c>
      <c r="U1448" s="75" t="str">
        <f>IF(ISERROR(FIND('112'!$M$9,G1448,1)),"",IF((AND(LEFT(G1448,2)=LEFT('112'!$M$9,2),B1448&lt;'112'!$K$9,$N1448='112'!$I$6)),"x",""))</f>
        <v/>
      </c>
      <c r="V1448" s="75" t="str">
        <f>IF(ISERROR(FIND('112'!$M$9,G1448,1)),"",IF((AND(RIGHT(G1448,2)=RIGHT('112'!$M$9,2),B1448&lt;'112'!$K$9,$O1448='112'!$I$6)),"x",""))</f>
        <v/>
      </c>
      <c r="W1448" s="75" t="str">
        <f>IF(AND('341-CT'!$H$9=H1448,OR(LEFT(N1448,3)=$W$7,LEFT(O1448,3)=$W$7)),"x","")</f>
        <v/>
      </c>
      <c r="X1448" s="75" t="str">
        <f>IF(OR(TH!N1448=TH!$X$7,O1448=TH!$X$7),"x","")</f>
        <v/>
      </c>
      <c r="Y1448" s="75" t="str">
        <f>IF(AND(OR(N1448="131",O1448="131"),H1448='131-CT'!$H$9),"x","")</f>
        <v/>
      </c>
      <c r="Z1448" s="75"/>
      <c r="AA1448" s="75" t="str">
        <f>IF(AND(MONTH(E1448)='IN-NX'!$J$5,'IN-NX'!$D$7=D1448),"x","")</f>
        <v/>
      </c>
      <c r="AB1448" s="75" t="str">
        <f>IF(AND(OR(LEFT(TH!N1448,2)="15",LEFT(TH!O1448,2)="15"),LEFT(TH!O1448,3)&lt;&gt;"111",'152-CT'!$J$8=TH!F1448),"x","")</f>
        <v/>
      </c>
      <c r="AC1448" s="75" t="str">
        <f>IF(AND(OR(LEFT(TH!N1448,2)="15",LEFT(TH!O1448,2)="15"),TK!$E$7=TH!F1448),"x","")</f>
        <v/>
      </c>
      <c r="AD1448" s="75" t="str">
        <f>IF(AND(N1448="1521",MONTH(C1448)='BK-NL'!$M$11),"x","")</f>
        <v/>
      </c>
    </row>
    <row r="1449" spans="1:30" ht="16.5" customHeight="1">
      <c r="A1449" s="309" t="str">
        <f>IF(B1449&lt;&gt;"",IF(AND(B1449='IN-TC'!$S$4,OR(TH!N1449="1111",TH!O1449="1111")),TH!D1449,""),"")</f>
        <v/>
      </c>
      <c r="B1449" s="1130">
        <f t="shared" si="283"/>
        <v>6</v>
      </c>
      <c r="C1449" s="252">
        <v>42901</v>
      </c>
      <c r="D1449" s="252" t="s">
        <v>864</v>
      </c>
      <c r="E1449" s="252">
        <f t="shared" si="334"/>
        <v>42901</v>
      </c>
      <c r="F1449" s="1055" t="s">
        <v>1585</v>
      </c>
      <c r="G1449" s="1056" t="s">
        <v>1586</v>
      </c>
      <c r="H1449" s="73" t="s">
        <v>751</v>
      </c>
      <c r="I1449" s="371">
        <v>958.5</v>
      </c>
      <c r="J1449" s="371">
        <v>95000</v>
      </c>
      <c r="K1449" s="371"/>
      <c r="L1449" s="377"/>
      <c r="M1449" s="933">
        <f>ROUND(I1449*J1449,0)</f>
        <v>91057500</v>
      </c>
      <c r="N1449" s="977" t="s">
        <v>536</v>
      </c>
      <c r="O1449" s="977" t="s">
        <v>286</v>
      </c>
      <c r="P1449" s="75" t="str">
        <f>IF(AND('331-CT'!$E$7=TH!H1449,OR(N1449="331",O1449="331")),"x","")</f>
        <v/>
      </c>
      <c r="Q1449" s="75" t="str">
        <f>IF(AND(B1449='111'!$L$11,OR($N1449=$Q$7,$O1449=$Q$7)),"x","")</f>
        <v/>
      </c>
      <c r="R1449" s="75" t="str">
        <f>IF(AND($N1449=$Q$7,$B1449&lt;'111'!$L$11),"x","")</f>
        <v/>
      </c>
      <c r="S1449" s="75" t="str">
        <f>IF(AND($O1449=$Q$7,$B1449&lt;'111'!$L$11),"x","")</f>
        <v/>
      </c>
      <c r="T1449" s="75" t="str">
        <f>IF(ISERROR(FIND('112'!$M$9,G1449,1)),"",IF((AND(FIND('112'!$M$9,G1449,1)&gt;=1,B1449='112'!$K$9,OR($N1449='112'!$I$6,$O1449='112'!$I$6))),"x",""))</f>
        <v/>
      </c>
      <c r="U1449" s="75" t="str">
        <f>IF(ISERROR(FIND('112'!$M$9,G1449,1)),"",IF((AND(LEFT(G1449,2)=LEFT('112'!$M$9,2),B1449&lt;'112'!$K$9,$N1449='112'!$I$6)),"x",""))</f>
        <v/>
      </c>
      <c r="V1449" s="75" t="str">
        <f>IF(ISERROR(FIND('112'!$M$9,G1449,1)),"",IF((AND(RIGHT(G1449,2)=RIGHT('112'!$M$9,2),B1449&lt;'112'!$K$9,$O1449='112'!$I$6)),"x",""))</f>
        <v/>
      </c>
      <c r="W1449" s="75" t="str">
        <f>IF(AND('341-CT'!$H$9=H1449,OR(LEFT(N1449,3)=$W$7,LEFT(O1449,3)=$W$7)),"x","")</f>
        <v/>
      </c>
      <c r="X1449" s="75" t="str">
        <f>IF(OR(TH!N1449=TH!$X$7,O1449=TH!$X$7),"x","")</f>
        <v/>
      </c>
      <c r="Y1449" s="75" t="str">
        <f>IF(AND(OR(N1449="131",O1449="131"),H1449='131-CT'!$H$9),"x","")</f>
        <v>x</v>
      </c>
      <c r="Z1449" s="75"/>
      <c r="AA1449" s="75" t="str">
        <f>IF(AND(MONTH(E1449)='IN-NX'!$J$5,'IN-NX'!$D$7=D1449),"x","")</f>
        <v/>
      </c>
      <c r="AB1449" s="75" t="str">
        <f>IF(AND(OR(LEFT(TH!N1449,2)="15",LEFT(TH!O1449,2)="15"),LEFT(TH!O1449,3)&lt;&gt;"111",'152-CT'!$J$8=TH!F1449),"x","")</f>
        <v/>
      </c>
      <c r="AC1449" s="75" t="str">
        <f>IF(AND(OR(LEFT(TH!N1449,2)="15",LEFT(TH!O1449,2)="15"),TK!$E$7=TH!F1449),"x","")</f>
        <v/>
      </c>
      <c r="AD1449" s="75" t="str">
        <f>IF(AND(N1449="1521",MONTH(C1449)='BK-NL'!$M$11),"x","")</f>
        <v/>
      </c>
    </row>
    <row r="1450" spans="1:30" ht="16.5" customHeight="1">
      <c r="A1450" s="309" t="str">
        <f>IF(B1450&lt;&gt;"",IF(AND(B1450='IN-TC'!$S$4,OR(TH!N1450="1111",TH!O1450="1111")),TH!D1450,""),"")</f>
        <v/>
      </c>
      <c r="B1450" s="1130">
        <f t="shared" si="283"/>
        <v>6</v>
      </c>
      <c r="C1450" s="252">
        <v>42901</v>
      </c>
      <c r="D1450" s="252" t="s">
        <v>864</v>
      </c>
      <c r="E1450" s="252">
        <f t="shared" ref="E1450" si="339">C1450</f>
        <v>42901</v>
      </c>
      <c r="F1450" s="1055" t="s">
        <v>1587</v>
      </c>
      <c r="G1450" s="1056" t="s">
        <v>1586</v>
      </c>
      <c r="H1450" s="73" t="s">
        <v>751</v>
      </c>
      <c r="I1450" s="371"/>
      <c r="J1450" s="371"/>
      <c r="K1450" s="371"/>
      <c r="L1450" s="377"/>
      <c r="M1450" s="933">
        <v>9105750</v>
      </c>
      <c r="N1450" s="977" t="s">
        <v>536</v>
      </c>
      <c r="O1450" s="977" t="s">
        <v>595</v>
      </c>
      <c r="P1450" s="75" t="str">
        <f>IF(AND('331-CT'!$E$7=TH!H1450,OR(N1450="331",O1450="331")),"x","")</f>
        <v/>
      </c>
      <c r="Q1450" s="75" t="str">
        <f>IF(AND(B1450='111'!$L$11,OR($N1450=$Q$7,$O1450=$Q$7)),"x","")</f>
        <v/>
      </c>
      <c r="R1450" s="75" t="str">
        <f>IF(AND($N1450=$Q$7,$B1450&lt;'111'!$L$11),"x","")</f>
        <v/>
      </c>
      <c r="S1450" s="75" t="str">
        <f>IF(AND($O1450=$Q$7,$B1450&lt;'111'!$L$11),"x","")</f>
        <v/>
      </c>
      <c r="T1450" s="75" t="str">
        <f>IF(ISERROR(FIND('112'!$M$9,G1450,1)),"",IF((AND(FIND('112'!$M$9,G1450,1)&gt;=1,B1450='112'!$K$9,OR($N1450='112'!$I$6,$O1450='112'!$I$6))),"x",""))</f>
        <v/>
      </c>
      <c r="U1450" s="75" t="str">
        <f>IF(ISERROR(FIND('112'!$M$9,G1450,1)),"",IF((AND(LEFT(G1450,2)=LEFT('112'!$M$9,2),B1450&lt;'112'!$K$9,$N1450='112'!$I$6)),"x",""))</f>
        <v/>
      </c>
      <c r="V1450" s="75" t="str">
        <f>IF(ISERROR(FIND('112'!$M$9,G1450,1)),"",IF((AND(RIGHT(G1450,2)=RIGHT('112'!$M$9,2),B1450&lt;'112'!$K$9,$O1450='112'!$I$6)),"x",""))</f>
        <v/>
      </c>
      <c r="W1450" s="75" t="str">
        <f>IF(AND('341-CT'!$H$9=H1450,OR(LEFT(N1450,3)=$W$7,LEFT(O1450,3)=$W$7)),"x","")</f>
        <v/>
      </c>
      <c r="X1450" s="75" t="str">
        <f>IF(OR(TH!N1450=TH!$X$7,O1450=TH!$X$7),"x","")</f>
        <v/>
      </c>
      <c r="Y1450" s="75" t="str">
        <f>IF(AND(OR(N1450="131",O1450="131"),H1450='131-CT'!$H$9),"x","")</f>
        <v>x</v>
      </c>
      <c r="Z1450" s="75"/>
      <c r="AA1450" s="75" t="str">
        <f>IF(AND(MONTH(E1450)='IN-NX'!$J$5,'IN-NX'!$D$7=D1450),"x","")</f>
        <v/>
      </c>
      <c r="AB1450" s="75" t="str">
        <f>IF(AND(OR(LEFT(TH!N1450,2)="15",LEFT(TH!O1450,2)="15"),LEFT(TH!O1450,3)&lt;&gt;"111",'152-CT'!$J$8=TH!F1450),"x","")</f>
        <v/>
      </c>
      <c r="AC1450" s="75" t="str">
        <f>IF(AND(OR(LEFT(TH!N1450,2)="15",LEFT(TH!O1450,2)="15"),TK!$E$7=TH!F1450),"x","")</f>
        <v/>
      </c>
      <c r="AD1450" s="75" t="str">
        <f>IF(AND(N1450="1521",MONTH(C1450)='BK-NL'!$M$11),"x","")</f>
        <v/>
      </c>
    </row>
    <row r="1451" spans="1:30" ht="16.5" customHeight="1">
      <c r="A1451" s="309" t="str">
        <f>IF(B1451&lt;&gt;"",IF(AND(B1451='IN-TC'!$S$4,OR(TH!N1451="1111",TH!O1451="1111")),TH!D1451,""),"")</f>
        <v/>
      </c>
      <c r="B1451" s="1130">
        <f t="shared" si="283"/>
        <v>6</v>
      </c>
      <c r="C1451" s="252">
        <v>42902</v>
      </c>
      <c r="D1451" s="252" t="s">
        <v>894</v>
      </c>
      <c r="E1451" s="252">
        <f t="shared" ref="E1451" si="340">C1451</f>
        <v>42902</v>
      </c>
      <c r="F1451" s="1055" t="s">
        <v>429</v>
      </c>
      <c r="G1451" s="1056" t="s">
        <v>1578</v>
      </c>
      <c r="H1451" s="735" t="s">
        <v>759</v>
      </c>
      <c r="I1451" s="371">
        <v>52780</v>
      </c>
      <c r="J1451" s="371">
        <v>2.65</v>
      </c>
      <c r="K1451" s="371">
        <f t="shared" ref="K1451" si="341">I1451*J1451</f>
        <v>139867</v>
      </c>
      <c r="L1451" s="377">
        <v>22655</v>
      </c>
      <c r="M1451" s="933">
        <f t="shared" ref="M1451:M1624" si="342">ROUND(K1451*L1451,0)</f>
        <v>3168686885</v>
      </c>
      <c r="N1451" s="977" t="s">
        <v>536</v>
      </c>
      <c r="O1451" s="977" t="s">
        <v>288</v>
      </c>
      <c r="P1451" s="75" t="str">
        <f>IF(AND('331-CT'!$E$7=TH!H1451,OR(N1451="331",O1451="331")),"x","")</f>
        <v/>
      </c>
      <c r="Q1451" s="75" t="str">
        <f>IF(AND(B1451='111'!$L$11,OR($N1451=$Q$7,$O1451=$Q$7)),"x","")</f>
        <v/>
      </c>
      <c r="R1451" s="75" t="str">
        <f>IF(AND($N1451=$Q$7,$B1451&lt;'111'!$L$11),"x","")</f>
        <v/>
      </c>
      <c r="S1451" s="75" t="str">
        <f>IF(AND($O1451=$Q$7,$B1451&lt;'111'!$L$11),"x","")</f>
        <v/>
      </c>
      <c r="T1451" s="75" t="str">
        <f>IF(ISERROR(FIND('112'!$M$9,G1451,1)),"",IF((AND(FIND('112'!$M$9,G1451,1)&gt;=1,B1451='112'!$K$9,OR($N1451='112'!$I$6,$O1451='112'!$I$6))),"x",""))</f>
        <v/>
      </c>
      <c r="U1451" s="75" t="str">
        <f>IF(ISERROR(FIND('112'!$M$9,G1451,1)),"",IF((AND(LEFT(G1451,2)=LEFT('112'!$M$9,2),B1451&lt;'112'!$K$9,$N1451='112'!$I$6)),"x",""))</f>
        <v/>
      </c>
      <c r="V1451" s="75" t="str">
        <f>IF(ISERROR(FIND('112'!$M$9,G1451,1)),"",IF((AND(RIGHT(G1451,2)=RIGHT('112'!$M$9,2),B1451&lt;'112'!$K$9,$O1451='112'!$I$6)),"x",""))</f>
        <v/>
      </c>
      <c r="W1451" s="75" t="str">
        <f>IF(AND('341-CT'!$H$9=H1451,OR(LEFT(N1451,3)=$W$7,LEFT(O1451,3)=$W$7)),"x","")</f>
        <v/>
      </c>
      <c r="X1451" s="75" t="str">
        <f>IF(OR(TH!N1451=TH!$X$7,O1451=TH!$X$7),"x","")</f>
        <v/>
      </c>
      <c r="Y1451" s="75" t="str">
        <f>IF(AND(OR(N1451="131",O1451="131"),H1451='131-CT'!$H$9),"x","")</f>
        <v/>
      </c>
      <c r="Z1451" s="75"/>
      <c r="AA1451" s="75" t="str">
        <f>IF(AND(MONTH(E1451)='IN-NX'!$J$5,'IN-NX'!$D$7=D1451),"x","")</f>
        <v/>
      </c>
      <c r="AB1451" s="75" t="str">
        <f>IF(AND(OR(LEFT(TH!N1451,2)="15",LEFT(TH!O1451,2)="15"),LEFT(TH!O1451,3)&lt;&gt;"111",'152-CT'!$J$8=TH!F1451),"x","")</f>
        <v/>
      </c>
      <c r="AC1451" s="75" t="str">
        <f>IF(AND(OR(LEFT(TH!N1451,2)="15",LEFT(TH!O1451,2)="15"),TK!$E$7=TH!F1451),"x","")</f>
        <v/>
      </c>
      <c r="AD1451" s="75" t="str">
        <f>IF(AND(N1451="1521",MONTH(C1451)='BK-NL'!$M$11),"x","")</f>
        <v/>
      </c>
    </row>
    <row r="1452" spans="1:30" ht="16.5" customHeight="1">
      <c r="A1452" s="309" t="str">
        <f>IF(B1452&lt;&gt;"",IF(AND(B1452='IN-TC'!$S$4,OR(TH!N1452="1111",TH!O1452="1111")),TH!D1452,""),"")</f>
        <v/>
      </c>
      <c r="B1452" s="1130">
        <f t="shared" si="283"/>
        <v>6</v>
      </c>
      <c r="C1452" s="252">
        <v>42903</v>
      </c>
      <c r="D1452" s="252" t="s">
        <v>1404</v>
      </c>
      <c r="E1452" s="252">
        <f t="shared" ref="E1452:E1455" si="343">C1452</f>
        <v>42903</v>
      </c>
      <c r="F1452" s="1055" t="s">
        <v>1582</v>
      </c>
      <c r="G1452" s="1056" t="s">
        <v>1581</v>
      </c>
      <c r="H1452" s="735" t="s">
        <v>546</v>
      </c>
      <c r="I1452" s="371">
        <v>660</v>
      </c>
      <c r="J1452" s="371">
        <v>8.4</v>
      </c>
      <c r="K1452" s="371">
        <f t="shared" ref="K1452:K1455" si="344">I1452*J1452</f>
        <v>5544</v>
      </c>
      <c r="L1452" s="377">
        <v>22655</v>
      </c>
      <c r="M1452" s="933">
        <f t="shared" si="342"/>
        <v>125599320</v>
      </c>
      <c r="N1452" s="977" t="s">
        <v>536</v>
      </c>
      <c r="O1452" s="977" t="s">
        <v>288</v>
      </c>
      <c r="P1452" s="75" t="str">
        <f>IF(AND('331-CT'!$E$7=TH!H1452,OR(N1452="331",O1452="331")),"x","")</f>
        <v/>
      </c>
      <c r="Q1452" s="75" t="str">
        <f>IF(AND(B1452='111'!$L$11,OR($N1452=$Q$7,$O1452=$Q$7)),"x","")</f>
        <v/>
      </c>
      <c r="R1452" s="75" t="str">
        <f>IF(AND($N1452=$Q$7,$B1452&lt;'111'!$L$11),"x","")</f>
        <v/>
      </c>
      <c r="S1452" s="75" t="str">
        <f>IF(AND($O1452=$Q$7,$B1452&lt;'111'!$L$11),"x","")</f>
        <v/>
      </c>
      <c r="T1452" s="75" t="str">
        <f>IF(ISERROR(FIND('112'!$M$9,G1452,1)),"",IF((AND(FIND('112'!$M$9,G1452,1)&gt;=1,B1452='112'!$K$9,OR($N1452='112'!$I$6,$O1452='112'!$I$6))),"x",""))</f>
        <v/>
      </c>
      <c r="U1452" s="75" t="str">
        <f>IF(ISERROR(FIND('112'!$M$9,G1452,1)),"",IF((AND(LEFT(G1452,2)=LEFT('112'!$M$9,2),B1452&lt;'112'!$K$9,$N1452='112'!$I$6)),"x",""))</f>
        <v/>
      </c>
      <c r="V1452" s="75" t="str">
        <f>IF(ISERROR(FIND('112'!$M$9,G1452,1)),"",IF((AND(RIGHT(G1452,2)=RIGHT('112'!$M$9,2),B1452&lt;'112'!$K$9,$O1452='112'!$I$6)),"x",""))</f>
        <v/>
      </c>
      <c r="W1452" s="75" t="str">
        <f>IF(AND('341-CT'!$H$9=H1452,OR(LEFT(N1452,3)=$W$7,LEFT(O1452,3)=$W$7)),"x","")</f>
        <v/>
      </c>
      <c r="X1452" s="75" t="str">
        <f>IF(OR(TH!N1452=TH!$X$7,O1452=TH!$X$7),"x","")</f>
        <v/>
      </c>
      <c r="Y1452" s="75" t="str">
        <f>IF(AND(OR(N1452="131",O1452="131"),H1452='131-CT'!$H$9),"x","")</f>
        <v/>
      </c>
      <c r="Z1452" s="75"/>
      <c r="AA1452" s="75" t="str">
        <f>IF(AND(MONTH(E1452)='IN-NX'!$J$5,'IN-NX'!$D$7=D1452),"x","")</f>
        <v/>
      </c>
      <c r="AB1452" s="75" t="str">
        <f>IF(AND(OR(LEFT(TH!N1452,2)="15",LEFT(TH!O1452,2)="15"),LEFT(TH!O1452,3)&lt;&gt;"111",'152-CT'!$J$8=TH!F1452),"x","")</f>
        <v/>
      </c>
      <c r="AC1452" s="75" t="str">
        <f>IF(AND(OR(LEFT(TH!N1452,2)="15",LEFT(TH!O1452,2)="15"),TK!$E$7=TH!F1452),"x","")</f>
        <v/>
      </c>
      <c r="AD1452" s="75" t="str">
        <f>IF(AND(N1452="1521",MONTH(C1452)='BK-NL'!$M$11),"x","")</f>
        <v/>
      </c>
    </row>
    <row r="1453" spans="1:30" ht="16.5" customHeight="1">
      <c r="A1453" s="309" t="str">
        <f>IF(B1453&lt;&gt;"",IF(AND(B1453='IN-TC'!$S$4,OR(TH!N1453="1111",TH!O1453="1111")),TH!D1453,""),"")</f>
        <v/>
      </c>
      <c r="B1453" s="1130">
        <f t="shared" si="283"/>
        <v>6</v>
      </c>
      <c r="C1453" s="252">
        <v>42903</v>
      </c>
      <c r="D1453" s="252" t="s">
        <v>1404</v>
      </c>
      <c r="E1453" s="252">
        <f t="shared" si="343"/>
        <v>42903</v>
      </c>
      <c r="F1453" s="1055" t="s">
        <v>1107</v>
      </c>
      <c r="G1453" s="1056" t="s">
        <v>1581</v>
      </c>
      <c r="H1453" s="735" t="s">
        <v>546</v>
      </c>
      <c r="I1453" s="371">
        <v>180</v>
      </c>
      <c r="J1453" s="371">
        <v>9.5</v>
      </c>
      <c r="K1453" s="371">
        <f t="shared" si="344"/>
        <v>1710</v>
      </c>
      <c r="L1453" s="377">
        <v>22655</v>
      </c>
      <c r="M1453" s="933">
        <f t="shared" si="342"/>
        <v>38740050</v>
      </c>
      <c r="N1453" s="977" t="s">
        <v>536</v>
      </c>
      <c r="O1453" s="977" t="s">
        <v>288</v>
      </c>
      <c r="P1453" s="75" t="str">
        <f>IF(AND('331-CT'!$E$7=TH!H1453,OR(N1453="331",O1453="331")),"x","")</f>
        <v/>
      </c>
      <c r="Q1453" s="75" t="str">
        <f>IF(AND(B1453='111'!$L$11,OR($N1453=$Q$7,$O1453=$Q$7)),"x","")</f>
        <v/>
      </c>
      <c r="R1453" s="75" t="str">
        <f>IF(AND($N1453=$Q$7,$B1453&lt;'111'!$L$11),"x","")</f>
        <v/>
      </c>
      <c r="S1453" s="75" t="str">
        <f>IF(AND($O1453=$Q$7,$B1453&lt;'111'!$L$11),"x","")</f>
        <v/>
      </c>
      <c r="T1453" s="75" t="str">
        <f>IF(ISERROR(FIND('112'!$M$9,G1453,1)),"",IF((AND(FIND('112'!$M$9,G1453,1)&gt;=1,B1453='112'!$K$9,OR($N1453='112'!$I$6,$O1453='112'!$I$6))),"x",""))</f>
        <v/>
      </c>
      <c r="U1453" s="75" t="str">
        <f>IF(ISERROR(FIND('112'!$M$9,G1453,1)),"",IF((AND(LEFT(G1453,2)=LEFT('112'!$M$9,2),B1453&lt;'112'!$K$9,$N1453='112'!$I$6)),"x",""))</f>
        <v/>
      </c>
      <c r="V1453" s="75" t="str">
        <f>IF(ISERROR(FIND('112'!$M$9,G1453,1)),"",IF((AND(RIGHT(G1453,2)=RIGHT('112'!$M$9,2),B1453&lt;'112'!$K$9,$O1453='112'!$I$6)),"x",""))</f>
        <v/>
      </c>
      <c r="W1453" s="75" t="str">
        <f>IF(AND('341-CT'!$H$9=H1453,OR(LEFT(N1453,3)=$W$7,LEFT(O1453,3)=$W$7)),"x","")</f>
        <v/>
      </c>
      <c r="X1453" s="75" t="str">
        <f>IF(OR(TH!N1453=TH!$X$7,O1453=TH!$X$7),"x","")</f>
        <v/>
      </c>
      <c r="Y1453" s="75" t="str">
        <f>IF(AND(OR(N1453="131",O1453="131"),H1453='131-CT'!$H$9),"x","")</f>
        <v/>
      </c>
      <c r="Z1453" s="75"/>
      <c r="AA1453" s="75" t="str">
        <f>IF(AND(MONTH(E1453)='IN-NX'!$J$5,'IN-NX'!$D$7=D1453),"x","")</f>
        <v/>
      </c>
      <c r="AB1453" s="75" t="str">
        <f>IF(AND(OR(LEFT(TH!N1453,2)="15",LEFT(TH!O1453,2)="15"),LEFT(TH!O1453,3)&lt;&gt;"111",'152-CT'!$J$8=TH!F1453),"x","")</f>
        <v/>
      </c>
      <c r="AC1453" s="75" t="str">
        <f>IF(AND(OR(LEFT(TH!N1453,2)="15",LEFT(TH!O1453,2)="15"),TK!$E$7=TH!F1453),"x","")</f>
        <v/>
      </c>
      <c r="AD1453" s="75" t="str">
        <f>IF(AND(N1453="1521",MONTH(C1453)='BK-NL'!$M$11),"x","")</f>
        <v/>
      </c>
    </row>
    <row r="1454" spans="1:30" ht="16.5" customHeight="1">
      <c r="A1454" s="309" t="str">
        <f>IF(B1454&lt;&gt;"",IF(AND(B1454='IN-TC'!$S$4,OR(TH!N1454="1111",TH!O1454="1111")),TH!D1454,""),"")</f>
        <v/>
      </c>
      <c r="B1454" s="1130">
        <f t="shared" si="283"/>
        <v>6</v>
      </c>
      <c r="C1454" s="252">
        <v>42903</v>
      </c>
      <c r="D1454" s="252" t="s">
        <v>1404</v>
      </c>
      <c r="E1454" s="252">
        <f t="shared" si="343"/>
        <v>42903</v>
      </c>
      <c r="F1454" s="1055" t="s">
        <v>1583</v>
      </c>
      <c r="G1454" s="1056" t="s">
        <v>1581</v>
      </c>
      <c r="H1454" s="735" t="s">
        <v>546</v>
      </c>
      <c r="I1454" s="371">
        <v>420</v>
      </c>
      <c r="J1454" s="371">
        <v>12</v>
      </c>
      <c r="K1454" s="371">
        <f t="shared" si="344"/>
        <v>5040</v>
      </c>
      <c r="L1454" s="377">
        <v>22655</v>
      </c>
      <c r="M1454" s="933">
        <f t="shared" si="342"/>
        <v>114181200</v>
      </c>
      <c r="N1454" s="977" t="s">
        <v>536</v>
      </c>
      <c r="O1454" s="977" t="s">
        <v>288</v>
      </c>
      <c r="P1454" s="75" t="str">
        <f>IF(AND('331-CT'!$E$7=TH!H1454,OR(N1454="331",O1454="331")),"x","")</f>
        <v/>
      </c>
      <c r="Q1454" s="75" t="str">
        <f>IF(AND(B1454='111'!$L$11,OR($N1454=$Q$7,$O1454=$Q$7)),"x","")</f>
        <v/>
      </c>
      <c r="R1454" s="75" t="str">
        <f>IF(AND($N1454=$Q$7,$B1454&lt;'111'!$L$11),"x","")</f>
        <v/>
      </c>
      <c r="S1454" s="75" t="str">
        <f>IF(AND($O1454=$Q$7,$B1454&lt;'111'!$L$11),"x","")</f>
        <v/>
      </c>
      <c r="T1454" s="75" t="str">
        <f>IF(ISERROR(FIND('112'!$M$9,G1454,1)),"",IF((AND(FIND('112'!$M$9,G1454,1)&gt;=1,B1454='112'!$K$9,OR($N1454='112'!$I$6,$O1454='112'!$I$6))),"x",""))</f>
        <v/>
      </c>
      <c r="U1454" s="75" t="str">
        <f>IF(ISERROR(FIND('112'!$M$9,G1454,1)),"",IF((AND(LEFT(G1454,2)=LEFT('112'!$M$9,2),B1454&lt;'112'!$K$9,$N1454='112'!$I$6)),"x",""))</f>
        <v/>
      </c>
      <c r="V1454" s="75" t="str">
        <f>IF(ISERROR(FIND('112'!$M$9,G1454,1)),"",IF((AND(RIGHT(G1454,2)=RIGHT('112'!$M$9,2),B1454&lt;'112'!$K$9,$O1454='112'!$I$6)),"x",""))</f>
        <v/>
      </c>
      <c r="W1454" s="75" t="str">
        <f>IF(AND('341-CT'!$H$9=H1454,OR(LEFT(N1454,3)=$W$7,LEFT(O1454,3)=$W$7)),"x","")</f>
        <v/>
      </c>
      <c r="X1454" s="75" t="str">
        <f>IF(OR(TH!N1454=TH!$X$7,O1454=TH!$X$7),"x","")</f>
        <v/>
      </c>
      <c r="Y1454" s="75" t="str">
        <f>IF(AND(OR(N1454="131",O1454="131"),H1454='131-CT'!$H$9),"x","")</f>
        <v/>
      </c>
      <c r="Z1454" s="75"/>
      <c r="AA1454" s="75" t="str">
        <f>IF(AND(MONTH(E1454)='IN-NX'!$J$5,'IN-NX'!$D$7=D1454),"x","")</f>
        <v/>
      </c>
      <c r="AB1454" s="75" t="str">
        <f>IF(AND(OR(LEFT(TH!N1454,2)="15",LEFT(TH!O1454,2)="15"),LEFT(TH!O1454,3)&lt;&gt;"111",'152-CT'!$J$8=TH!F1454),"x","")</f>
        <v/>
      </c>
      <c r="AC1454" s="75" t="str">
        <f>IF(AND(OR(LEFT(TH!N1454,2)="15",LEFT(TH!O1454,2)="15"),TK!$E$7=TH!F1454),"x","")</f>
        <v/>
      </c>
      <c r="AD1454" s="75" t="str">
        <f>IF(AND(N1454="1521",MONTH(C1454)='BK-NL'!$M$11),"x","")</f>
        <v/>
      </c>
    </row>
    <row r="1455" spans="1:30" ht="16.5" customHeight="1">
      <c r="A1455" s="309" t="str">
        <f>IF(B1455&lt;&gt;"",IF(AND(B1455='IN-TC'!$S$4,OR(TH!N1455="1111",TH!O1455="1111")),TH!D1455,""),"")</f>
        <v/>
      </c>
      <c r="B1455" s="1130">
        <f t="shared" si="283"/>
        <v>6</v>
      </c>
      <c r="C1455" s="252">
        <v>42903</v>
      </c>
      <c r="D1455" s="252" t="s">
        <v>1404</v>
      </c>
      <c r="E1455" s="252">
        <f t="shared" si="343"/>
        <v>42903</v>
      </c>
      <c r="F1455" s="1055" t="s">
        <v>1584</v>
      </c>
      <c r="G1455" s="1056" t="s">
        <v>1581</v>
      </c>
      <c r="H1455" s="735" t="s">
        <v>546</v>
      </c>
      <c r="I1455" s="371">
        <v>1680</v>
      </c>
      <c r="J1455" s="371">
        <v>9.1999999999999993</v>
      </c>
      <c r="K1455" s="371">
        <f t="shared" si="344"/>
        <v>15455.999999999998</v>
      </c>
      <c r="L1455" s="377">
        <v>22655</v>
      </c>
      <c r="M1455" s="933">
        <f t="shared" si="342"/>
        <v>350155680</v>
      </c>
      <c r="N1455" s="977" t="s">
        <v>536</v>
      </c>
      <c r="O1455" s="977" t="s">
        <v>288</v>
      </c>
      <c r="P1455" s="75" t="str">
        <f>IF(AND('331-CT'!$E$7=TH!H1455,OR(N1455="331",O1455="331")),"x","")</f>
        <v/>
      </c>
      <c r="Q1455" s="75" t="str">
        <f>IF(AND(B1455='111'!$L$11,OR($N1455=$Q$7,$O1455=$Q$7)),"x","")</f>
        <v/>
      </c>
      <c r="R1455" s="75" t="str">
        <f>IF(AND($N1455=$Q$7,$B1455&lt;'111'!$L$11),"x","")</f>
        <v/>
      </c>
      <c r="S1455" s="75" t="str">
        <f>IF(AND($O1455=$Q$7,$B1455&lt;'111'!$L$11),"x","")</f>
        <v/>
      </c>
      <c r="T1455" s="75" t="str">
        <f>IF(ISERROR(FIND('112'!$M$9,G1455,1)),"",IF((AND(FIND('112'!$M$9,G1455,1)&gt;=1,B1455='112'!$K$9,OR($N1455='112'!$I$6,$O1455='112'!$I$6))),"x",""))</f>
        <v/>
      </c>
      <c r="U1455" s="75" t="str">
        <f>IF(ISERROR(FIND('112'!$M$9,G1455,1)),"",IF((AND(LEFT(G1455,2)=LEFT('112'!$M$9,2),B1455&lt;'112'!$K$9,$N1455='112'!$I$6)),"x",""))</f>
        <v/>
      </c>
      <c r="V1455" s="75" t="str">
        <f>IF(ISERROR(FIND('112'!$M$9,G1455,1)),"",IF((AND(RIGHT(G1455,2)=RIGHT('112'!$M$9,2),B1455&lt;'112'!$K$9,$O1455='112'!$I$6)),"x",""))</f>
        <v/>
      </c>
      <c r="W1455" s="75" t="str">
        <f>IF(AND('341-CT'!$H$9=H1455,OR(LEFT(N1455,3)=$W$7,LEFT(O1455,3)=$W$7)),"x","")</f>
        <v/>
      </c>
      <c r="X1455" s="75" t="str">
        <f>IF(OR(TH!N1455=TH!$X$7,O1455=TH!$X$7),"x","")</f>
        <v/>
      </c>
      <c r="Y1455" s="75" t="str">
        <f>IF(AND(OR(N1455="131",O1455="131"),H1455='131-CT'!$H$9),"x","")</f>
        <v/>
      </c>
      <c r="Z1455" s="75"/>
      <c r="AA1455" s="75" t="str">
        <f>IF(AND(MONTH(E1455)='IN-NX'!$J$5,'IN-NX'!$D$7=D1455),"x","")</f>
        <v/>
      </c>
      <c r="AB1455" s="75" t="str">
        <f>IF(AND(OR(LEFT(TH!N1455,2)="15",LEFT(TH!O1455,2)="15"),LEFT(TH!O1455,3)&lt;&gt;"111",'152-CT'!$J$8=TH!F1455),"x","")</f>
        <v/>
      </c>
      <c r="AC1455" s="75" t="str">
        <f>IF(AND(OR(LEFT(TH!N1455,2)="15",LEFT(TH!O1455,2)="15"),TK!$E$7=TH!F1455),"x","")</f>
        <v/>
      </c>
      <c r="AD1455" s="75" t="str">
        <f>IF(AND(N1455="1521",MONTH(C1455)='BK-NL'!$M$11),"x","")</f>
        <v/>
      </c>
    </row>
    <row r="1456" spans="1:30" ht="16.5" customHeight="1">
      <c r="A1456" s="309" t="str">
        <f>IF(B1456&lt;&gt;"",IF(AND(B1456='IN-TC'!$S$4,OR(TH!N1456="1111",TH!O1456="1111")),TH!D1456,""),"")</f>
        <v/>
      </c>
      <c r="B1456" s="1130">
        <f t="shared" si="283"/>
        <v>6</v>
      </c>
      <c r="C1456" s="252">
        <v>42908</v>
      </c>
      <c r="D1456" s="252" t="s">
        <v>1405</v>
      </c>
      <c r="E1456" s="252">
        <f t="shared" ref="E1456:E1458" si="345">C1456</f>
        <v>42908</v>
      </c>
      <c r="F1456" s="1055" t="s">
        <v>425</v>
      </c>
      <c r="G1456" s="1056" t="s">
        <v>1602</v>
      </c>
      <c r="H1456" s="735" t="s">
        <v>1601</v>
      </c>
      <c r="I1456" s="371">
        <v>1000</v>
      </c>
      <c r="J1456" s="371">
        <v>30.2</v>
      </c>
      <c r="K1456" s="371">
        <f t="shared" ref="K1456:K1458" si="346">I1456*J1456</f>
        <v>30200</v>
      </c>
      <c r="L1456" s="377">
        <v>22655</v>
      </c>
      <c r="M1456" s="933">
        <f t="shared" si="342"/>
        <v>684181000</v>
      </c>
      <c r="N1456" s="977" t="s">
        <v>536</v>
      </c>
      <c r="O1456" s="977" t="s">
        <v>288</v>
      </c>
      <c r="P1456" s="75" t="str">
        <f>IF(AND('331-CT'!$E$7=TH!H1456,OR(N1456="331",O1456="331")),"x","")</f>
        <v/>
      </c>
      <c r="Q1456" s="75" t="str">
        <f>IF(AND(B1456='111'!$L$11,OR($N1456=$Q$7,$O1456=$Q$7)),"x","")</f>
        <v/>
      </c>
      <c r="R1456" s="75" t="str">
        <f>IF(AND($N1456=$Q$7,$B1456&lt;'111'!$L$11),"x","")</f>
        <v/>
      </c>
      <c r="S1456" s="75" t="str">
        <f>IF(AND($O1456=$Q$7,$B1456&lt;'111'!$L$11),"x","")</f>
        <v/>
      </c>
      <c r="T1456" s="75" t="str">
        <f>IF(ISERROR(FIND('112'!$M$9,G1456,1)),"",IF((AND(FIND('112'!$M$9,G1456,1)&gt;=1,B1456='112'!$K$9,OR($N1456='112'!$I$6,$O1456='112'!$I$6))),"x",""))</f>
        <v/>
      </c>
      <c r="U1456" s="75" t="str">
        <f>IF(ISERROR(FIND('112'!$M$9,G1456,1)),"",IF((AND(LEFT(G1456,2)=LEFT('112'!$M$9,2),B1456&lt;'112'!$K$9,$N1456='112'!$I$6)),"x",""))</f>
        <v/>
      </c>
      <c r="V1456" s="75" t="str">
        <f>IF(ISERROR(FIND('112'!$M$9,G1456,1)),"",IF((AND(RIGHT(G1456,2)=RIGHT('112'!$M$9,2),B1456&lt;'112'!$K$9,$O1456='112'!$I$6)),"x",""))</f>
        <v/>
      </c>
      <c r="W1456" s="75" t="str">
        <f>IF(AND('341-CT'!$H$9=H1456,OR(LEFT(N1456,3)=$W$7,LEFT(O1456,3)=$W$7)),"x","")</f>
        <v/>
      </c>
      <c r="X1456" s="75" t="str">
        <f>IF(OR(TH!N1456=TH!$X$7,O1456=TH!$X$7),"x","")</f>
        <v/>
      </c>
      <c r="Y1456" s="75" t="str">
        <f>IF(AND(OR(N1456="131",O1456="131"),H1456='131-CT'!$H$9),"x","")</f>
        <v/>
      </c>
      <c r="Z1456" s="75"/>
      <c r="AA1456" s="75" t="str">
        <f>IF(AND(MONTH(E1456)='IN-NX'!$J$5,'IN-NX'!$D$7=D1456),"x","")</f>
        <v/>
      </c>
      <c r="AB1456" s="75" t="str">
        <f>IF(AND(OR(LEFT(TH!N1456,2)="15",LEFT(TH!O1456,2)="15"),LEFT(TH!O1456,3)&lt;&gt;"111",'152-CT'!$J$8=TH!F1456),"x","")</f>
        <v/>
      </c>
      <c r="AC1456" s="75" t="str">
        <f>IF(AND(OR(LEFT(TH!N1456,2)="15",LEFT(TH!O1456,2)="15"),TK!$E$7=TH!F1456),"x","")</f>
        <v/>
      </c>
      <c r="AD1456" s="75" t="str">
        <f>IF(AND(N1456="1521",MONTH(C1456)='BK-NL'!$M$11),"x","")</f>
        <v/>
      </c>
    </row>
    <row r="1457" spans="1:32" ht="16.5" customHeight="1">
      <c r="A1457" s="309" t="str">
        <f>IF(B1457&lt;&gt;"",IF(AND(B1457='IN-TC'!$S$4,OR(TH!N1457="1111",TH!O1457="1111")),TH!D1457,""),"")</f>
        <v/>
      </c>
      <c r="B1457" s="1130">
        <f t="shared" si="283"/>
        <v>6</v>
      </c>
      <c r="C1457" s="252">
        <v>42908</v>
      </c>
      <c r="D1457" s="252" t="s">
        <v>1405</v>
      </c>
      <c r="E1457" s="252">
        <f t="shared" si="345"/>
        <v>42908</v>
      </c>
      <c r="F1457" s="1055" t="s">
        <v>425</v>
      </c>
      <c r="G1457" s="1056" t="s">
        <v>1602</v>
      </c>
      <c r="H1457" s="735" t="s">
        <v>1601</v>
      </c>
      <c r="I1457" s="371">
        <v>1000</v>
      </c>
      <c r="J1457" s="371">
        <v>26.3</v>
      </c>
      <c r="K1457" s="371">
        <f t="shared" si="346"/>
        <v>26300</v>
      </c>
      <c r="L1457" s="377">
        <v>22655</v>
      </c>
      <c r="M1457" s="933">
        <f t="shared" si="342"/>
        <v>595826500</v>
      </c>
      <c r="N1457" s="977" t="s">
        <v>536</v>
      </c>
      <c r="O1457" s="977" t="s">
        <v>288</v>
      </c>
      <c r="P1457" s="75" t="str">
        <f>IF(AND('331-CT'!$E$7=TH!H1457,OR(N1457="331",O1457="331")),"x","")</f>
        <v/>
      </c>
      <c r="Q1457" s="75" t="str">
        <f>IF(AND(B1457='111'!$L$11,OR($N1457=$Q$7,$O1457=$Q$7)),"x","")</f>
        <v/>
      </c>
      <c r="R1457" s="75" t="str">
        <f>IF(AND($N1457=$Q$7,$B1457&lt;'111'!$L$11),"x","")</f>
        <v/>
      </c>
      <c r="S1457" s="75" t="str">
        <f>IF(AND($O1457=$Q$7,$B1457&lt;'111'!$L$11),"x","")</f>
        <v/>
      </c>
      <c r="T1457" s="75" t="str">
        <f>IF(ISERROR(FIND('112'!$M$9,G1457,1)),"",IF((AND(FIND('112'!$M$9,G1457,1)&gt;=1,B1457='112'!$K$9,OR($N1457='112'!$I$6,$O1457='112'!$I$6))),"x",""))</f>
        <v/>
      </c>
      <c r="U1457" s="75" t="str">
        <f>IF(ISERROR(FIND('112'!$M$9,G1457,1)),"",IF((AND(LEFT(G1457,2)=LEFT('112'!$M$9,2),B1457&lt;'112'!$K$9,$N1457='112'!$I$6)),"x",""))</f>
        <v/>
      </c>
      <c r="V1457" s="75" t="str">
        <f>IF(ISERROR(FIND('112'!$M$9,G1457,1)),"",IF((AND(RIGHT(G1457,2)=RIGHT('112'!$M$9,2),B1457&lt;'112'!$K$9,$O1457='112'!$I$6)),"x",""))</f>
        <v/>
      </c>
      <c r="W1457" s="75" t="str">
        <f>IF(AND('341-CT'!$H$9=H1457,OR(LEFT(N1457,3)=$W$7,LEFT(O1457,3)=$W$7)),"x","")</f>
        <v/>
      </c>
      <c r="X1457" s="75" t="str">
        <f>IF(OR(TH!N1457=TH!$X$7,O1457=TH!$X$7),"x","")</f>
        <v/>
      </c>
      <c r="Y1457" s="75" t="str">
        <f>IF(AND(OR(N1457="131",O1457="131"),H1457='131-CT'!$H$9),"x","")</f>
        <v/>
      </c>
      <c r="Z1457" s="75"/>
      <c r="AA1457" s="75" t="str">
        <f>IF(AND(MONTH(E1457)='IN-NX'!$J$5,'IN-NX'!$D$7=D1457),"x","")</f>
        <v/>
      </c>
      <c r="AB1457" s="75" t="str">
        <f>IF(AND(OR(LEFT(TH!N1457,2)="15",LEFT(TH!O1457,2)="15"),LEFT(TH!O1457,3)&lt;&gt;"111",'152-CT'!$J$8=TH!F1457),"x","")</f>
        <v/>
      </c>
      <c r="AC1457" s="75" t="str">
        <f>IF(AND(OR(LEFT(TH!N1457,2)="15",LEFT(TH!O1457,2)="15"),TK!$E$7=TH!F1457),"x","")</f>
        <v/>
      </c>
      <c r="AD1457" s="75" t="str">
        <f>IF(AND(N1457="1521",MONTH(C1457)='BK-NL'!$M$11),"x","")</f>
        <v/>
      </c>
    </row>
    <row r="1458" spans="1:32" ht="16.5" customHeight="1">
      <c r="A1458" s="309" t="str">
        <f>IF(B1458&lt;&gt;"",IF(AND(B1458='IN-TC'!$S$4,OR(TH!N1458="1111",TH!O1458="1111")),TH!D1458,""),"")</f>
        <v/>
      </c>
      <c r="B1458" s="1130">
        <f t="shared" si="283"/>
        <v>6</v>
      </c>
      <c r="C1458" s="252">
        <v>42908</v>
      </c>
      <c r="D1458" s="252" t="s">
        <v>1405</v>
      </c>
      <c r="E1458" s="252">
        <f t="shared" si="345"/>
        <v>42908</v>
      </c>
      <c r="F1458" s="1082" t="s">
        <v>426</v>
      </c>
      <c r="G1458" s="1056" t="s">
        <v>1602</v>
      </c>
      <c r="H1458" s="735" t="s">
        <v>1601</v>
      </c>
      <c r="I1458" s="371">
        <v>1600</v>
      </c>
      <c r="J1458" s="371">
        <v>8.9</v>
      </c>
      <c r="K1458" s="371">
        <f t="shared" si="346"/>
        <v>14240</v>
      </c>
      <c r="L1458" s="377">
        <v>22655</v>
      </c>
      <c r="M1458" s="933">
        <f t="shared" si="342"/>
        <v>322607200</v>
      </c>
      <c r="N1458" s="977" t="s">
        <v>536</v>
      </c>
      <c r="O1458" s="977" t="s">
        <v>288</v>
      </c>
      <c r="P1458" s="75" t="str">
        <f>IF(AND('331-CT'!$E$7=TH!H1458,OR(N1458="331",O1458="331")),"x","")</f>
        <v/>
      </c>
      <c r="Q1458" s="75" t="str">
        <f>IF(AND(B1458='111'!$L$11,OR($N1458=$Q$7,$O1458=$Q$7)),"x","")</f>
        <v/>
      </c>
      <c r="R1458" s="75" t="str">
        <f>IF(AND($N1458=$Q$7,$B1458&lt;'111'!$L$11),"x","")</f>
        <v/>
      </c>
      <c r="S1458" s="75" t="str">
        <f>IF(AND($O1458=$Q$7,$B1458&lt;'111'!$L$11),"x","")</f>
        <v/>
      </c>
      <c r="T1458" s="75" t="str">
        <f>IF(ISERROR(FIND('112'!$M$9,G1458,1)),"",IF((AND(FIND('112'!$M$9,G1458,1)&gt;=1,B1458='112'!$K$9,OR($N1458='112'!$I$6,$O1458='112'!$I$6))),"x",""))</f>
        <v/>
      </c>
      <c r="U1458" s="75" t="str">
        <f>IF(ISERROR(FIND('112'!$M$9,G1458,1)),"",IF((AND(LEFT(G1458,2)=LEFT('112'!$M$9,2),B1458&lt;'112'!$K$9,$N1458='112'!$I$6)),"x",""))</f>
        <v/>
      </c>
      <c r="V1458" s="75" t="str">
        <f>IF(ISERROR(FIND('112'!$M$9,G1458,1)),"",IF((AND(RIGHT(G1458,2)=RIGHT('112'!$M$9,2),B1458&lt;'112'!$K$9,$O1458='112'!$I$6)),"x",""))</f>
        <v/>
      </c>
      <c r="W1458" s="75" t="str">
        <f>IF(AND('341-CT'!$H$9=H1458,OR(LEFT(N1458,3)=$W$7,LEFT(O1458,3)=$W$7)),"x","")</f>
        <v/>
      </c>
      <c r="X1458" s="75" t="str">
        <f>IF(OR(TH!N1458=TH!$X$7,O1458=TH!$X$7),"x","")</f>
        <v/>
      </c>
      <c r="Y1458" s="75" t="str">
        <f>IF(AND(OR(N1458="131",O1458="131"),H1458='131-CT'!$H$9),"x","")</f>
        <v/>
      </c>
      <c r="Z1458" s="75"/>
      <c r="AA1458" s="75" t="str">
        <f>IF(AND(MONTH(E1458)='IN-NX'!$J$5,'IN-NX'!$D$7=D1458),"x","")</f>
        <v/>
      </c>
      <c r="AB1458" s="75" t="str">
        <f>IF(AND(OR(LEFT(TH!N1458,2)="15",LEFT(TH!O1458,2)="15"),LEFT(TH!O1458,3)&lt;&gt;"111",'152-CT'!$J$8=TH!F1458),"x","")</f>
        <v/>
      </c>
      <c r="AC1458" s="75" t="str">
        <f>IF(AND(OR(LEFT(TH!N1458,2)="15",LEFT(TH!O1458,2)="15"),TK!$E$7=TH!F1458),"x","")</f>
        <v/>
      </c>
      <c r="AD1458" s="75" t="str">
        <f>IF(AND(N1458="1521",MONTH(C1458)='BK-NL'!$M$11),"x","")</f>
        <v/>
      </c>
    </row>
    <row r="1459" spans="1:32" ht="16.5" customHeight="1">
      <c r="A1459" s="309" t="str">
        <f>IF(B1459&lt;&gt;"",IF(AND(B1459='IN-TC'!$S$4,OR(TH!N1459="1111",TH!O1459="1111")),TH!D1459,""),"")</f>
        <v/>
      </c>
      <c r="B1459" s="1130">
        <f t="shared" si="283"/>
        <v>6</v>
      </c>
      <c r="C1459" s="252">
        <v>42913</v>
      </c>
      <c r="D1459" s="252" t="s">
        <v>1417</v>
      </c>
      <c r="E1459" s="252">
        <f t="shared" ref="E1459:E1616" si="347">C1459</f>
        <v>42913</v>
      </c>
      <c r="F1459" s="1055" t="s">
        <v>1588</v>
      </c>
      <c r="G1459" s="1056" t="s">
        <v>1640</v>
      </c>
      <c r="H1459" s="735" t="s">
        <v>822</v>
      </c>
      <c r="I1459" s="371">
        <v>6000</v>
      </c>
      <c r="J1459" s="371">
        <v>9.85</v>
      </c>
      <c r="K1459" s="371">
        <f t="shared" ref="K1459:K1616" si="348">I1459*J1459</f>
        <v>59100</v>
      </c>
      <c r="L1459" s="377">
        <v>22690</v>
      </c>
      <c r="M1459" s="933">
        <f t="shared" si="342"/>
        <v>1340979000</v>
      </c>
      <c r="N1459" s="977" t="s">
        <v>536</v>
      </c>
      <c r="O1459" s="977" t="s">
        <v>288</v>
      </c>
      <c r="P1459" s="75" t="str">
        <f>IF(AND('331-CT'!$E$7=TH!H1459,OR(N1459="331",O1459="331")),"x","")</f>
        <v/>
      </c>
      <c r="Q1459" s="75" t="str">
        <f>IF(AND(B1459='111'!$L$11,OR($N1459=$Q$7,$O1459=$Q$7)),"x","")</f>
        <v/>
      </c>
      <c r="R1459" s="75" t="str">
        <f>IF(AND($N1459=$Q$7,$B1459&lt;'111'!$L$11),"x","")</f>
        <v/>
      </c>
      <c r="S1459" s="75" t="str">
        <f>IF(AND($O1459=$Q$7,$B1459&lt;'111'!$L$11),"x","")</f>
        <v/>
      </c>
      <c r="T1459" s="75" t="str">
        <f>IF(ISERROR(FIND('112'!$M$9,G1459,1)),"",IF((AND(FIND('112'!$M$9,G1459,1)&gt;=1,B1459='112'!$K$9,OR($N1459='112'!$I$6,$O1459='112'!$I$6))),"x",""))</f>
        <v/>
      </c>
      <c r="U1459" s="75" t="str">
        <f>IF(ISERROR(FIND('112'!$M$9,G1459,1)),"",IF((AND(LEFT(G1459,2)=LEFT('112'!$M$9,2),B1459&lt;'112'!$K$9,$N1459='112'!$I$6)),"x",""))</f>
        <v/>
      </c>
      <c r="V1459" s="75" t="str">
        <f>IF(ISERROR(FIND('112'!$M$9,G1459,1)),"",IF((AND(RIGHT(G1459,2)=RIGHT('112'!$M$9,2),B1459&lt;'112'!$K$9,$O1459='112'!$I$6)),"x",""))</f>
        <v/>
      </c>
      <c r="W1459" s="75" t="str">
        <f>IF(AND('341-CT'!$H$9=H1459,OR(LEFT(N1459,3)=$W$7,LEFT(O1459,3)=$W$7)),"x","")</f>
        <v/>
      </c>
      <c r="X1459" s="75" t="str">
        <f>IF(OR(TH!N1459=TH!$X$7,O1459=TH!$X$7),"x","")</f>
        <v/>
      </c>
      <c r="Y1459" s="75" t="str">
        <f>IF(AND(OR(N1459="131",O1459="131"),H1459='131-CT'!$H$9),"x","")</f>
        <v/>
      </c>
      <c r="Z1459" s="75"/>
      <c r="AA1459" s="75" t="str">
        <f>IF(AND(MONTH(E1459)='IN-NX'!$J$5,'IN-NX'!$D$7=D1459),"x","")</f>
        <v/>
      </c>
      <c r="AB1459" s="75" t="str">
        <f>IF(AND(OR(LEFT(TH!N1459,2)="15",LEFT(TH!O1459,2)="15"),LEFT(TH!O1459,3)&lt;&gt;"111",'152-CT'!$J$8=TH!F1459),"x","")</f>
        <v/>
      </c>
      <c r="AC1459" s="75" t="str">
        <f>IF(AND(OR(LEFT(TH!N1459,2)="15",LEFT(TH!O1459,2)="15"),TK!$E$7=TH!F1459),"x","")</f>
        <v/>
      </c>
      <c r="AD1459" s="75" t="str">
        <f>IF(AND(N1459="1521",MONTH(C1459)='BK-NL'!$M$11),"x","")</f>
        <v/>
      </c>
    </row>
    <row r="1460" spans="1:32" ht="16.5" customHeight="1">
      <c r="A1460" s="309" t="str">
        <f>IF(B1460&lt;&gt;"",IF(AND(B1460='IN-TC'!$S$4,OR(TH!N1460="1111",TH!O1460="1111")),TH!D1460,""),"")</f>
        <v/>
      </c>
      <c r="B1460" s="1130">
        <f t="shared" si="283"/>
        <v>6</v>
      </c>
      <c r="C1460" s="252">
        <v>42913</v>
      </c>
      <c r="D1460" s="252" t="s">
        <v>1451</v>
      </c>
      <c r="E1460" s="252">
        <f t="shared" si="347"/>
        <v>42913</v>
      </c>
      <c r="F1460" s="1055" t="s">
        <v>1639</v>
      </c>
      <c r="G1460" s="1056" t="s">
        <v>1641</v>
      </c>
      <c r="H1460" s="735" t="s">
        <v>1642</v>
      </c>
      <c r="I1460" s="371">
        <v>3000</v>
      </c>
      <c r="J1460" s="371">
        <v>4.55</v>
      </c>
      <c r="K1460" s="371">
        <f t="shared" si="348"/>
        <v>13650</v>
      </c>
      <c r="L1460" s="377">
        <v>22690</v>
      </c>
      <c r="M1460" s="933">
        <f t="shared" si="342"/>
        <v>309718500</v>
      </c>
      <c r="N1460" s="977" t="s">
        <v>536</v>
      </c>
      <c r="O1460" s="977" t="s">
        <v>288</v>
      </c>
      <c r="P1460" s="75" t="str">
        <f>IF(AND('331-CT'!$E$7=TH!H1460,OR(N1460="331",O1460="331")),"x","")</f>
        <v/>
      </c>
      <c r="Q1460" s="75" t="str">
        <f>IF(AND(B1460='111'!$L$11,OR($N1460=$Q$7,$O1460=$Q$7)),"x","")</f>
        <v/>
      </c>
      <c r="R1460" s="75" t="str">
        <f>IF(AND($N1460=$Q$7,$B1460&lt;'111'!$L$11),"x","")</f>
        <v/>
      </c>
      <c r="S1460" s="75" t="str">
        <f>IF(AND($O1460=$Q$7,$B1460&lt;'111'!$L$11),"x","")</f>
        <v/>
      </c>
      <c r="T1460" s="75" t="str">
        <f>IF(ISERROR(FIND('112'!$M$9,G1460,1)),"",IF((AND(FIND('112'!$M$9,G1460,1)&gt;=1,B1460='112'!$K$9,OR($N1460='112'!$I$6,$O1460='112'!$I$6))),"x",""))</f>
        <v/>
      </c>
      <c r="U1460" s="75" t="str">
        <f>IF(ISERROR(FIND('112'!$M$9,G1460,1)),"",IF((AND(LEFT(G1460,2)=LEFT('112'!$M$9,2),B1460&lt;'112'!$K$9,$N1460='112'!$I$6)),"x",""))</f>
        <v/>
      </c>
      <c r="V1460" s="75" t="str">
        <f>IF(ISERROR(FIND('112'!$M$9,G1460,1)),"",IF((AND(RIGHT(G1460,2)=RIGHT('112'!$M$9,2),B1460&lt;'112'!$K$9,$O1460='112'!$I$6)),"x",""))</f>
        <v/>
      </c>
      <c r="W1460" s="75" t="str">
        <f>IF(AND('341-CT'!$H$9=H1460,OR(LEFT(N1460,3)=$W$7,LEFT(O1460,3)=$W$7)),"x","")</f>
        <v/>
      </c>
      <c r="X1460" s="75" t="str">
        <f>IF(OR(TH!N1460=TH!$X$7,O1460=TH!$X$7),"x","")</f>
        <v/>
      </c>
      <c r="Y1460" s="75" t="str">
        <f>IF(AND(OR(N1460="131",O1460="131"),H1460='131-CT'!$H$9),"x","")</f>
        <v/>
      </c>
      <c r="Z1460" s="75"/>
      <c r="AA1460" s="75" t="str">
        <f>IF(AND(MONTH(E1460)='IN-NX'!$J$5,'IN-NX'!$D$7=D1460),"x","")</f>
        <v/>
      </c>
      <c r="AB1460" s="75" t="str">
        <f>IF(AND(OR(LEFT(TH!N1460,2)="15",LEFT(TH!O1460,2)="15"),LEFT(TH!O1460,3)&lt;&gt;"111",'152-CT'!$J$8=TH!F1460),"x","")</f>
        <v/>
      </c>
      <c r="AC1460" s="75" t="str">
        <f>IF(AND(OR(LEFT(TH!N1460,2)="15",LEFT(TH!O1460,2)="15"),TK!$E$7=TH!F1460),"x","")</f>
        <v/>
      </c>
      <c r="AD1460" s="75" t="str">
        <f>IF(AND(N1460="1521",MONTH(C1460)='BK-NL'!$M$11),"x","")</f>
        <v/>
      </c>
    </row>
    <row r="1461" spans="1:32" ht="16.5" customHeight="1">
      <c r="A1461" s="309" t="str">
        <f>IF(B1461&lt;&gt;"",IF(AND(B1461='IN-TC'!$S$4,OR(TH!N1461="1111",TH!O1461="1111")),TH!D1461,""),"")</f>
        <v/>
      </c>
      <c r="B1461" s="1130">
        <f t="shared" si="283"/>
        <v>6</v>
      </c>
      <c r="C1461" s="252">
        <v>42916</v>
      </c>
      <c r="D1461" s="252" t="s">
        <v>1452</v>
      </c>
      <c r="E1461" s="252">
        <f t="shared" si="347"/>
        <v>42916</v>
      </c>
      <c r="F1461" s="1055" t="s">
        <v>429</v>
      </c>
      <c r="G1461" s="1056" t="s">
        <v>1675</v>
      </c>
      <c r="H1461" s="735" t="s">
        <v>759</v>
      </c>
      <c r="I1461" s="371">
        <v>105560</v>
      </c>
      <c r="J1461" s="371">
        <v>2.75</v>
      </c>
      <c r="K1461" s="371">
        <f t="shared" si="348"/>
        <v>290290</v>
      </c>
      <c r="L1461" s="377">
        <v>22690</v>
      </c>
      <c r="M1461" s="933">
        <f t="shared" si="342"/>
        <v>6586680100</v>
      </c>
      <c r="N1461" s="977" t="s">
        <v>536</v>
      </c>
      <c r="O1461" s="977" t="s">
        <v>288</v>
      </c>
      <c r="P1461" s="75" t="str">
        <f>IF(AND('331-CT'!$E$7=TH!H1461,OR(N1461="331",O1461="331")),"x","")</f>
        <v/>
      </c>
      <c r="Q1461" s="75" t="str">
        <f>IF(AND(B1461='111'!$L$11,OR($N1461=$Q$7,$O1461=$Q$7)),"x","")</f>
        <v/>
      </c>
      <c r="R1461" s="75" t="str">
        <f>IF(AND($N1461=$Q$7,$B1461&lt;'111'!$L$11),"x","")</f>
        <v/>
      </c>
      <c r="S1461" s="75" t="str">
        <f>IF(AND($O1461=$Q$7,$B1461&lt;'111'!$L$11),"x","")</f>
        <v/>
      </c>
      <c r="T1461" s="75" t="str">
        <f>IF(ISERROR(FIND('112'!$M$9,G1461,1)),"",IF((AND(FIND('112'!$M$9,G1461,1)&gt;=1,B1461='112'!$K$9,OR($N1461='112'!$I$6,$O1461='112'!$I$6))),"x",""))</f>
        <v/>
      </c>
      <c r="U1461" s="75" t="str">
        <f>IF(ISERROR(FIND('112'!$M$9,G1461,1)),"",IF((AND(LEFT(G1461,2)=LEFT('112'!$M$9,2),B1461&lt;'112'!$K$9,$N1461='112'!$I$6)),"x",""))</f>
        <v/>
      </c>
      <c r="V1461" s="75" t="str">
        <f>IF(ISERROR(FIND('112'!$M$9,G1461,1)),"",IF((AND(RIGHT(G1461,2)=RIGHT('112'!$M$9,2),B1461&lt;'112'!$K$9,$O1461='112'!$I$6)),"x",""))</f>
        <v/>
      </c>
      <c r="W1461" s="75" t="str">
        <f>IF(AND('341-CT'!$H$9=H1461,OR(LEFT(N1461,3)=$W$7,LEFT(O1461,3)=$W$7)),"x","")</f>
        <v/>
      </c>
      <c r="X1461" s="75" t="str">
        <f>IF(OR(TH!N1461=TH!$X$7,O1461=TH!$X$7),"x","")</f>
        <v/>
      </c>
      <c r="Y1461" s="75" t="str">
        <f>IF(AND(OR(N1461="131",O1461="131"),H1461='131-CT'!$H$9),"x","")</f>
        <v/>
      </c>
      <c r="Z1461" s="75"/>
      <c r="AA1461" s="75" t="str">
        <f>IF(AND(MONTH(E1461)='IN-NX'!$J$5,'IN-NX'!$D$7=D1461),"x","")</f>
        <v/>
      </c>
      <c r="AB1461" s="75" t="str">
        <f>IF(AND(OR(LEFT(TH!N1461,2)="15",LEFT(TH!O1461,2)="15"),LEFT(TH!O1461,3)&lt;&gt;"111",'152-CT'!$J$8=TH!F1461),"x","")</f>
        <v/>
      </c>
      <c r="AC1461" s="75" t="str">
        <f>IF(AND(OR(LEFT(TH!N1461,2)="15",LEFT(TH!O1461,2)="15"),TK!$E$7=TH!F1461),"x","")</f>
        <v/>
      </c>
      <c r="AD1461" s="75" t="str">
        <f>IF(AND(N1461="1521",MONTH(C1461)='BK-NL'!$M$11),"x","")</f>
        <v/>
      </c>
    </row>
    <row r="1462" spans="1:32" s="1053" customFormat="1" ht="16.5" customHeight="1">
      <c r="A1462" s="309" t="str">
        <f>IF(B1462&lt;&gt;"",IF(AND(B1462='IN-TC'!$S$4,OR(TH!N1462="1111",TH!O1462="1111")),TH!D1462,""),"")</f>
        <v/>
      </c>
      <c r="B1462" s="1130">
        <f t="shared" ref="B1462:B1510" si="349">IF(C1462&lt;&gt;"",MONTH(C1462),"")</f>
        <v>6</v>
      </c>
      <c r="C1462" s="217">
        <v>42887</v>
      </c>
      <c r="D1462" s="217" t="s">
        <v>815</v>
      </c>
      <c r="E1462" s="217">
        <f t="shared" ref="E1462:E1463" si="350">C1462</f>
        <v>42887</v>
      </c>
      <c r="F1462" s="960" t="s">
        <v>429</v>
      </c>
      <c r="G1462" s="739" t="s">
        <v>1753</v>
      </c>
      <c r="H1462" s="311" t="s">
        <v>623</v>
      </c>
      <c r="I1462" s="373">
        <v>52780</v>
      </c>
      <c r="J1462" s="373">
        <v>59500</v>
      </c>
      <c r="K1462" s="373"/>
      <c r="L1462" s="379"/>
      <c r="M1462" s="927">
        <f t="shared" ref="M1462:M1491" si="351">ROUND(I1462*J1462,0)</f>
        <v>3140410000</v>
      </c>
      <c r="N1462" s="935" t="s">
        <v>274</v>
      </c>
      <c r="O1462" s="935" t="s">
        <v>8</v>
      </c>
      <c r="P1462" s="75" t="str">
        <f>IF(AND('331-CT'!$E$7=TH!H1462,OR(N1462="331",O1462="331")),"x","")</f>
        <v/>
      </c>
      <c r="Q1462" s="75" t="str">
        <f>IF(AND(B1462='111'!$L$11,OR($N1462=$Q$7,$O1462=$Q$7)),"x","")</f>
        <v/>
      </c>
      <c r="R1462" s="75" t="str">
        <f>IF(AND($N1462=$Q$7,$B1462&lt;'111'!$L$11),"x","")</f>
        <v/>
      </c>
      <c r="S1462" s="75" t="str">
        <f>IF(AND($O1462=$Q$7,$B1462&lt;'111'!$L$11),"x","")</f>
        <v/>
      </c>
      <c r="T1462" s="75" t="str">
        <f>IF(ISERROR(FIND('112'!$M$9,G1462,1)),"",IF((AND(FIND('112'!$M$9,G1462,1)&gt;=1,B1462='112'!$K$9,OR($N1462='112'!$I$6,$O1462='112'!$I$6))),"x",""))</f>
        <v/>
      </c>
      <c r="U1462" s="75" t="str">
        <f>IF(ISERROR(FIND('112'!$M$9,G1462,1)),"",IF((AND(LEFT(G1462,2)=LEFT('112'!$M$9,2),B1462&lt;'112'!$K$9,$N1462='112'!$I$6)),"x",""))</f>
        <v/>
      </c>
      <c r="V1462" s="75" t="str">
        <f>IF(ISERROR(FIND('112'!$M$9,G1462,1)),"",IF((AND(RIGHT(G1462,2)=RIGHT('112'!$M$9,2),B1462&lt;'112'!$K$9,$O1462='112'!$I$6)),"x",""))</f>
        <v/>
      </c>
      <c r="W1462" s="75" t="str">
        <f>IF(AND('341-CT'!$H$9=H1462,OR(LEFT(N1462,3)=$W$7,LEFT(O1462,3)=$W$7)),"x","")</f>
        <v/>
      </c>
      <c r="X1462" s="75" t="str">
        <f>IF(OR(TH!N1462=TH!$X$7,O1462=TH!$X$7),"x","")</f>
        <v/>
      </c>
      <c r="Y1462" s="75" t="str">
        <f>IF(AND(OR(N1462="131",O1462="131"),H1462='131-CT'!$H$9),"x","")</f>
        <v/>
      </c>
      <c r="Z1462" s="75"/>
      <c r="AA1462" s="75" t="str">
        <f>IF(AND(MONTH(E1462)='IN-NX'!$J$5,'IN-NX'!$D$7=D1462),"x","")</f>
        <v/>
      </c>
      <c r="AB1462" s="75" t="str">
        <f>IF(AND(OR(LEFT(TH!N1462,2)="15",LEFT(TH!O1462,2)="15"),LEFT(TH!O1462,3)&lt;&gt;"111",'152-CT'!$J$8=TH!F1462),"x","")</f>
        <v/>
      </c>
      <c r="AC1462" s="75" t="str">
        <f>IF(AND(OR(LEFT(TH!N1462,2)="15",LEFT(TH!O1462,2)="15"),TK!$E$7=TH!F1462),"x","")</f>
        <v/>
      </c>
      <c r="AD1462" s="75" t="str">
        <f>IF(AND(N1462="1521",MONTH(C1462)='BK-NL'!$M$11),"x","")</f>
        <v/>
      </c>
      <c r="AF1462" s="1054"/>
    </row>
    <row r="1463" spans="1:32" s="1053" customFormat="1" ht="16.5" customHeight="1">
      <c r="A1463" s="309" t="str">
        <f>IF(B1463&lt;&gt;"",IF(AND(B1463='IN-TC'!$S$4,OR(TH!N1463="1111",TH!O1463="1111")),TH!D1463,""),"")</f>
        <v/>
      </c>
      <c r="B1463" s="1130">
        <f t="shared" si="349"/>
        <v>6</v>
      </c>
      <c r="C1463" s="217">
        <v>42892</v>
      </c>
      <c r="D1463" s="217" t="s">
        <v>997</v>
      </c>
      <c r="E1463" s="217">
        <f t="shared" si="350"/>
        <v>42892</v>
      </c>
      <c r="F1463" s="960" t="s">
        <v>429</v>
      </c>
      <c r="G1463" s="739" t="s">
        <v>1575</v>
      </c>
      <c r="H1463" s="67" t="s">
        <v>789</v>
      </c>
      <c r="I1463" s="373">
        <v>24923.9</v>
      </c>
      <c r="J1463" s="373">
        <v>54000</v>
      </c>
      <c r="K1463" s="373"/>
      <c r="L1463" s="379"/>
      <c r="M1463" s="927">
        <f t="shared" si="351"/>
        <v>1345890600</v>
      </c>
      <c r="N1463" s="935" t="s">
        <v>274</v>
      </c>
      <c r="O1463" s="935" t="s">
        <v>8</v>
      </c>
      <c r="P1463" s="75" t="str">
        <f>IF(AND('331-CT'!$E$7=TH!H1463,OR(N1463="331",O1463="331")),"x","")</f>
        <v/>
      </c>
      <c r="Q1463" s="75" t="str">
        <f>IF(AND(B1463='111'!$L$11,OR($N1463=$Q$7,$O1463=$Q$7)),"x","")</f>
        <v/>
      </c>
      <c r="R1463" s="75" t="str">
        <f>IF(AND($N1463=$Q$7,$B1463&lt;'111'!$L$11),"x","")</f>
        <v/>
      </c>
      <c r="S1463" s="75" t="str">
        <f>IF(AND($O1463=$Q$7,$B1463&lt;'111'!$L$11),"x","")</f>
        <v/>
      </c>
      <c r="T1463" s="75" t="str">
        <f>IF(ISERROR(FIND('112'!$M$9,G1463,1)),"",IF((AND(FIND('112'!$M$9,G1463,1)&gt;=1,B1463='112'!$K$9,OR($N1463='112'!$I$6,$O1463='112'!$I$6))),"x",""))</f>
        <v/>
      </c>
      <c r="U1463" s="75" t="str">
        <f>IF(ISERROR(FIND('112'!$M$9,G1463,1)),"",IF((AND(LEFT(G1463,2)=LEFT('112'!$M$9,2),B1463&lt;'112'!$K$9,$N1463='112'!$I$6)),"x",""))</f>
        <v/>
      </c>
      <c r="V1463" s="75" t="str">
        <f>IF(ISERROR(FIND('112'!$M$9,G1463,1)),"",IF((AND(RIGHT(G1463,2)=RIGHT('112'!$M$9,2),B1463&lt;'112'!$K$9,$O1463='112'!$I$6)),"x",""))</f>
        <v/>
      </c>
      <c r="W1463" s="75" t="str">
        <f>IF(AND('341-CT'!$H$9=H1463,OR(LEFT(N1463,3)=$W$7,LEFT(O1463,3)=$W$7)),"x","")</f>
        <v/>
      </c>
      <c r="X1463" s="75" t="str">
        <f>IF(OR(TH!N1463=TH!$X$7,O1463=TH!$X$7),"x","")</f>
        <v/>
      </c>
      <c r="Y1463" s="75" t="str">
        <f>IF(AND(OR(N1463="131",O1463="131"),H1463='131-CT'!$H$9),"x","")</f>
        <v/>
      </c>
      <c r="Z1463" s="75"/>
      <c r="AA1463" s="75" t="str">
        <f>IF(AND(MONTH(E1463)='IN-NX'!$J$5,'IN-NX'!$D$7=D1463),"x","")</f>
        <v/>
      </c>
      <c r="AB1463" s="75" t="str">
        <f>IF(AND(OR(LEFT(TH!N1463,2)="15",LEFT(TH!O1463,2)="15"),LEFT(TH!O1463,3)&lt;&gt;"111",'152-CT'!$J$8=TH!F1463),"x","")</f>
        <v/>
      </c>
      <c r="AC1463" s="75" t="str">
        <f>IF(AND(OR(LEFT(TH!N1463,2)="15",LEFT(TH!O1463,2)="15"),TK!$E$7=TH!F1463),"x","")</f>
        <v/>
      </c>
      <c r="AD1463" s="75" t="str">
        <f>IF(AND(N1463="1521",MONTH(C1463)='BK-NL'!$M$11),"x","")</f>
        <v/>
      </c>
      <c r="AF1463" s="1054"/>
    </row>
    <row r="1464" spans="1:32" s="1053" customFormat="1" ht="16.5" customHeight="1">
      <c r="A1464" s="309" t="str">
        <f>IF(B1464&lt;&gt;"",IF(AND(B1464='IN-TC'!$S$4,OR(TH!N1464="1111",TH!O1464="1111")),TH!D1464,""),"")</f>
        <v/>
      </c>
      <c r="B1464" s="1130">
        <f t="shared" si="349"/>
        <v>6</v>
      </c>
      <c r="C1464" s="217">
        <v>42893</v>
      </c>
      <c r="D1464" s="217" t="s">
        <v>999</v>
      </c>
      <c r="E1464" s="217">
        <f t="shared" ref="E1464" si="352">C1464</f>
        <v>42893</v>
      </c>
      <c r="F1464" s="960" t="s">
        <v>429</v>
      </c>
      <c r="G1464" s="739" t="s">
        <v>1754</v>
      </c>
      <c r="H1464" s="311" t="s">
        <v>623</v>
      </c>
      <c r="I1464" s="373">
        <v>34030</v>
      </c>
      <c r="J1464" s="373">
        <v>59500</v>
      </c>
      <c r="K1464" s="373"/>
      <c r="L1464" s="379"/>
      <c r="M1464" s="927">
        <f t="shared" si="351"/>
        <v>2024785000</v>
      </c>
      <c r="N1464" s="935" t="s">
        <v>274</v>
      </c>
      <c r="O1464" s="935" t="s">
        <v>8</v>
      </c>
      <c r="P1464" s="75" t="str">
        <f>IF(AND('331-CT'!$E$7=TH!H1464,OR(N1464="331",O1464="331")),"x","")</f>
        <v/>
      </c>
      <c r="Q1464" s="75" t="str">
        <f>IF(AND(B1464='111'!$L$11,OR($N1464=$Q$7,$O1464=$Q$7)),"x","")</f>
        <v/>
      </c>
      <c r="R1464" s="75" t="str">
        <f>IF(AND($N1464=$Q$7,$B1464&lt;'111'!$L$11),"x","")</f>
        <v/>
      </c>
      <c r="S1464" s="75" t="str">
        <f>IF(AND($O1464=$Q$7,$B1464&lt;'111'!$L$11),"x","")</f>
        <v/>
      </c>
      <c r="T1464" s="75" t="str">
        <f>IF(ISERROR(FIND('112'!$M$9,G1464,1)),"",IF((AND(FIND('112'!$M$9,G1464,1)&gt;=1,B1464='112'!$K$9,OR($N1464='112'!$I$6,$O1464='112'!$I$6))),"x",""))</f>
        <v/>
      </c>
      <c r="U1464" s="75" t="str">
        <f>IF(ISERROR(FIND('112'!$M$9,G1464,1)),"",IF((AND(LEFT(G1464,2)=LEFT('112'!$M$9,2),B1464&lt;'112'!$K$9,$N1464='112'!$I$6)),"x",""))</f>
        <v/>
      </c>
      <c r="V1464" s="75" t="str">
        <f>IF(ISERROR(FIND('112'!$M$9,G1464,1)),"",IF((AND(RIGHT(G1464,2)=RIGHT('112'!$M$9,2),B1464&lt;'112'!$K$9,$O1464='112'!$I$6)),"x",""))</f>
        <v/>
      </c>
      <c r="W1464" s="75" t="str">
        <f>IF(AND('341-CT'!$H$9=H1464,OR(LEFT(N1464,3)=$W$7,LEFT(O1464,3)=$W$7)),"x","")</f>
        <v/>
      </c>
      <c r="X1464" s="75" t="str">
        <f>IF(OR(TH!N1464=TH!$X$7,O1464=TH!$X$7),"x","")</f>
        <v/>
      </c>
      <c r="Y1464" s="75" t="str">
        <f>IF(AND(OR(N1464="131",O1464="131"),H1464='131-CT'!$H$9),"x","")</f>
        <v/>
      </c>
      <c r="Z1464" s="75"/>
      <c r="AA1464" s="75" t="str">
        <f>IF(AND(MONTH(E1464)='IN-NX'!$J$5,'IN-NX'!$D$7=D1464),"x","")</f>
        <v/>
      </c>
      <c r="AB1464" s="75" t="str">
        <f>IF(AND(OR(LEFT(TH!N1464,2)="15",LEFT(TH!O1464,2)="15"),LEFT(TH!O1464,3)&lt;&gt;"111",'152-CT'!$J$8=TH!F1464),"x","")</f>
        <v/>
      </c>
      <c r="AC1464" s="75" t="str">
        <f>IF(AND(OR(LEFT(TH!N1464,2)="15",LEFT(TH!O1464,2)="15"),TK!$E$7=TH!F1464),"x","")</f>
        <v/>
      </c>
      <c r="AD1464" s="75" t="str">
        <f>IF(AND(N1464="1521",MONTH(C1464)='BK-NL'!$M$11),"x","")</f>
        <v/>
      </c>
      <c r="AF1464" s="1054"/>
    </row>
    <row r="1465" spans="1:32" s="1053" customFormat="1" ht="16.5" customHeight="1">
      <c r="A1465" s="309" t="str">
        <f>IF(B1465&lt;&gt;"",IF(AND(B1465='IN-TC'!$S$4,OR(TH!N1465="1111",TH!O1465="1111")),TH!D1465,""),"")</f>
        <v/>
      </c>
      <c r="B1465" s="1130">
        <f t="shared" si="349"/>
        <v>6</v>
      </c>
      <c r="C1465" s="217">
        <v>42909</v>
      </c>
      <c r="D1465" s="217" t="s">
        <v>1002</v>
      </c>
      <c r="E1465" s="217">
        <f t="shared" ref="E1465:E1467" si="353">C1465</f>
        <v>42909</v>
      </c>
      <c r="F1465" s="960" t="s">
        <v>429</v>
      </c>
      <c r="G1465" s="739" t="s">
        <v>1726</v>
      </c>
      <c r="H1465" s="67" t="s">
        <v>789</v>
      </c>
      <c r="I1465" s="373">
        <v>24538</v>
      </c>
      <c r="J1465" s="373">
        <v>57000</v>
      </c>
      <c r="K1465" s="373"/>
      <c r="L1465" s="379"/>
      <c r="M1465" s="927">
        <f t="shared" si="351"/>
        <v>1398666000</v>
      </c>
      <c r="N1465" s="935" t="s">
        <v>274</v>
      </c>
      <c r="O1465" s="935" t="s">
        <v>8</v>
      </c>
      <c r="P1465" s="75" t="str">
        <f>IF(AND('331-CT'!$E$7=TH!H1465,OR(N1465="331",O1465="331")),"x","")</f>
        <v/>
      </c>
      <c r="Q1465" s="75" t="str">
        <f>IF(AND(B1465='111'!$L$11,OR($N1465=$Q$7,$O1465=$Q$7)),"x","")</f>
        <v/>
      </c>
      <c r="R1465" s="75" t="str">
        <f>IF(AND($N1465=$Q$7,$B1465&lt;'111'!$L$11),"x","")</f>
        <v/>
      </c>
      <c r="S1465" s="75" t="str">
        <f>IF(AND($O1465=$Q$7,$B1465&lt;'111'!$L$11),"x","")</f>
        <v/>
      </c>
      <c r="T1465" s="75" t="str">
        <f>IF(ISERROR(FIND('112'!$M$9,G1465,1)),"",IF((AND(FIND('112'!$M$9,G1465,1)&gt;=1,B1465='112'!$K$9,OR($N1465='112'!$I$6,$O1465='112'!$I$6))),"x",""))</f>
        <v/>
      </c>
      <c r="U1465" s="75" t="str">
        <f>IF(ISERROR(FIND('112'!$M$9,G1465,1)),"",IF((AND(LEFT(G1465,2)=LEFT('112'!$M$9,2),B1465&lt;'112'!$K$9,$N1465='112'!$I$6)),"x",""))</f>
        <v/>
      </c>
      <c r="V1465" s="75" t="str">
        <f>IF(ISERROR(FIND('112'!$M$9,G1465,1)),"",IF((AND(RIGHT(G1465,2)=RIGHT('112'!$M$9,2),B1465&lt;'112'!$K$9,$O1465='112'!$I$6)),"x",""))</f>
        <v/>
      </c>
      <c r="W1465" s="75" t="str">
        <f>IF(AND('341-CT'!$H$9=H1465,OR(LEFT(N1465,3)=$W$7,LEFT(O1465,3)=$W$7)),"x","")</f>
        <v/>
      </c>
      <c r="X1465" s="75" t="str">
        <f>IF(OR(TH!N1465=TH!$X$7,O1465=TH!$X$7),"x","")</f>
        <v/>
      </c>
      <c r="Y1465" s="75" t="str">
        <f>IF(AND(OR(N1465="131",O1465="131"),H1465='131-CT'!$H$9),"x","")</f>
        <v/>
      </c>
      <c r="Z1465" s="75"/>
      <c r="AA1465" s="75" t="str">
        <f>IF(AND(MONTH(E1465)='IN-NX'!$J$5,'IN-NX'!$D$7=D1465),"x","")</f>
        <v/>
      </c>
      <c r="AB1465" s="75" t="str">
        <f>IF(AND(OR(LEFT(TH!N1465,2)="15",LEFT(TH!O1465,2)="15"),LEFT(TH!O1465,3)&lt;&gt;"111",'152-CT'!$J$8=TH!F1465),"x","")</f>
        <v/>
      </c>
      <c r="AC1465" s="75" t="str">
        <f>IF(AND(OR(LEFT(TH!N1465,2)="15",LEFT(TH!O1465,2)="15"),TK!$E$7=TH!F1465),"x","")</f>
        <v/>
      </c>
      <c r="AD1465" s="75" t="str">
        <f>IF(AND(N1465="1521",MONTH(C1465)='BK-NL'!$M$11),"x","")</f>
        <v/>
      </c>
      <c r="AF1465" s="1054"/>
    </row>
    <row r="1466" spans="1:32" s="1053" customFormat="1" ht="16.5" customHeight="1">
      <c r="A1466" s="309" t="str">
        <f>IF(B1466&lt;&gt;"",IF(AND(B1466='IN-TC'!$S$4,OR(TH!N1466="1111",TH!O1466="1111")),TH!D1466,""),"")</f>
        <v/>
      </c>
      <c r="B1466" s="1130">
        <f t="shared" si="349"/>
        <v>6</v>
      </c>
      <c r="C1466" s="217">
        <v>42912</v>
      </c>
      <c r="D1466" s="217" t="s">
        <v>1084</v>
      </c>
      <c r="E1466" s="217">
        <f t="shared" si="353"/>
        <v>42912</v>
      </c>
      <c r="F1466" s="960" t="s">
        <v>429</v>
      </c>
      <c r="G1466" s="739" t="s">
        <v>1727</v>
      </c>
      <c r="H1466" s="67" t="s">
        <v>789</v>
      </c>
      <c r="I1466" s="373">
        <v>24538</v>
      </c>
      <c r="J1466" s="373">
        <v>57000</v>
      </c>
      <c r="K1466" s="373"/>
      <c r="L1466" s="379"/>
      <c r="M1466" s="927">
        <f t="shared" si="351"/>
        <v>1398666000</v>
      </c>
      <c r="N1466" s="935" t="s">
        <v>274</v>
      </c>
      <c r="O1466" s="935" t="s">
        <v>8</v>
      </c>
      <c r="P1466" s="75" t="str">
        <f>IF(AND('331-CT'!$E$7=TH!H1466,OR(N1466="331",O1466="331")),"x","")</f>
        <v/>
      </c>
      <c r="Q1466" s="75" t="str">
        <f>IF(AND(B1466='111'!$L$11,OR($N1466=$Q$7,$O1466=$Q$7)),"x","")</f>
        <v/>
      </c>
      <c r="R1466" s="75" t="str">
        <f>IF(AND($N1466=$Q$7,$B1466&lt;'111'!$L$11),"x","")</f>
        <v/>
      </c>
      <c r="S1466" s="75" t="str">
        <f>IF(AND($O1466=$Q$7,$B1466&lt;'111'!$L$11),"x","")</f>
        <v/>
      </c>
      <c r="T1466" s="75" t="str">
        <f>IF(ISERROR(FIND('112'!$M$9,G1466,1)),"",IF((AND(FIND('112'!$M$9,G1466,1)&gt;=1,B1466='112'!$K$9,OR($N1466='112'!$I$6,$O1466='112'!$I$6))),"x",""))</f>
        <v/>
      </c>
      <c r="U1466" s="75" t="str">
        <f>IF(ISERROR(FIND('112'!$M$9,G1466,1)),"",IF((AND(LEFT(G1466,2)=LEFT('112'!$M$9,2),B1466&lt;'112'!$K$9,$N1466='112'!$I$6)),"x",""))</f>
        <v/>
      </c>
      <c r="V1466" s="75" t="str">
        <f>IF(ISERROR(FIND('112'!$M$9,G1466,1)),"",IF((AND(RIGHT(G1466,2)=RIGHT('112'!$M$9,2),B1466&lt;'112'!$K$9,$O1466='112'!$I$6)),"x",""))</f>
        <v/>
      </c>
      <c r="W1466" s="75" t="str">
        <f>IF(AND('341-CT'!$H$9=H1466,OR(LEFT(N1466,3)=$W$7,LEFT(O1466,3)=$W$7)),"x","")</f>
        <v/>
      </c>
      <c r="X1466" s="75" t="str">
        <f>IF(OR(TH!N1466=TH!$X$7,O1466=TH!$X$7),"x","")</f>
        <v/>
      </c>
      <c r="Y1466" s="75" t="str">
        <f>IF(AND(OR(N1466="131",O1466="131"),H1466='131-CT'!$H$9),"x","")</f>
        <v/>
      </c>
      <c r="Z1466" s="75"/>
      <c r="AA1466" s="75" t="str">
        <f>IF(AND(MONTH(E1466)='IN-NX'!$J$5,'IN-NX'!$D$7=D1466),"x","")</f>
        <v/>
      </c>
      <c r="AB1466" s="75" t="str">
        <f>IF(AND(OR(LEFT(TH!N1466,2)="15",LEFT(TH!O1466,2)="15"),LEFT(TH!O1466,3)&lt;&gt;"111",'152-CT'!$J$8=TH!F1466),"x","")</f>
        <v/>
      </c>
      <c r="AC1466" s="75" t="str">
        <f>IF(AND(OR(LEFT(TH!N1466,2)="15",LEFT(TH!O1466,2)="15"),TK!$E$7=TH!F1466),"x","")</f>
        <v/>
      </c>
      <c r="AD1466" s="75" t="str">
        <f>IF(AND(N1466="1521",MONTH(C1466)='BK-NL'!$M$11),"x","")</f>
        <v/>
      </c>
      <c r="AF1466" s="1054"/>
    </row>
    <row r="1467" spans="1:32" s="1053" customFormat="1" ht="16.5" customHeight="1">
      <c r="A1467" s="309" t="str">
        <f>IF(B1467&lt;&gt;"",IF(AND(B1467='IN-TC'!$S$4,OR(TH!N1467="1111",TH!O1467="1111")),TH!D1467,""),"")</f>
        <v/>
      </c>
      <c r="B1467" s="1130">
        <f t="shared" si="349"/>
        <v>6</v>
      </c>
      <c r="C1467" s="217">
        <v>42915</v>
      </c>
      <c r="D1467" s="217" t="s">
        <v>1122</v>
      </c>
      <c r="E1467" s="217">
        <f t="shared" si="353"/>
        <v>42915</v>
      </c>
      <c r="F1467" s="960" t="s">
        <v>429</v>
      </c>
      <c r="G1467" s="739" t="s">
        <v>1145</v>
      </c>
      <c r="H1467" s="67" t="s">
        <v>789</v>
      </c>
      <c r="I1467" s="373">
        <v>24538</v>
      </c>
      <c r="J1467" s="373">
        <v>57000</v>
      </c>
      <c r="K1467" s="373"/>
      <c r="L1467" s="379"/>
      <c r="M1467" s="927">
        <f t="shared" si="351"/>
        <v>1398666000</v>
      </c>
      <c r="N1467" s="935" t="s">
        <v>274</v>
      </c>
      <c r="O1467" s="935" t="s">
        <v>8</v>
      </c>
      <c r="P1467" s="75" t="str">
        <f>IF(AND('331-CT'!$E$7=TH!H1467,OR(N1467="331",O1467="331")),"x","")</f>
        <v/>
      </c>
      <c r="Q1467" s="75" t="str">
        <f>IF(AND(B1467='111'!$L$11,OR($N1467=$Q$7,$O1467=$Q$7)),"x","")</f>
        <v/>
      </c>
      <c r="R1467" s="75" t="str">
        <f>IF(AND($N1467=$Q$7,$B1467&lt;'111'!$L$11),"x","")</f>
        <v/>
      </c>
      <c r="S1467" s="75" t="str">
        <f>IF(AND($O1467=$Q$7,$B1467&lt;'111'!$L$11),"x","")</f>
        <v/>
      </c>
      <c r="T1467" s="75" t="str">
        <f>IF(ISERROR(FIND('112'!$M$9,G1467,1)),"",IF((AND(FIND('112'!$M$9,G1467,1)&gt;=1,B1467='112'!$K$9,OR($N1467='112'!$I$6,$O1467='112'!$I$6))),"x",""))</f>
        <v/>
      </c>
      <c r="U1467" s="75" t="str">
        <f>IF(ISERROR(FIND('112'!$M$9,G1467,1)),"",IF((AND(LEFT(G1467,2)=LEFT('112'!$M$9,2),B1467&lt;'112'!$K$9,$N1467='112'!$I$6)),"x",""))</f>
        <v/>
      </c>
      <c r="V1467" s="75" t="str">
        <f>IF(ISERROR(FIND('112'!$M$9,G1467,1)),"",IF((AND(RIGHT(G1467,2)=RIGHT('112'!$M$9,2),B1467&lt;'112'!$K$9,$O1467='112'!$I$6)),"x",""))</f>
        <v/>
      </c>
      <c r="W1467" s="75" t="str">
        <f>IF(AND('341-CT'!$H$9=H1467,OR(LEFT(N1467,3)=$W$7,LEFT(O1467,3)=$W$7)),"x","")</f>
        <v/>
      </c>
      <c r="X1467" s="75" t="str">
        <f>IF(OR(TH!N1467=TH!$X$7,O1467=TH!$X$7),"x","")</f>
        <v/>
      </c>
      <c r="Y1467" s="75" t="str">
        <f>IF(AND(OR(N1467="131",O1467="131"),H1467='131-CT'!$H$9),"x","")</f>
        <v/>
      </c>
      <c r="Z1467" s="75"/>
      <c r="AA1467" s="75" t="str">
        <f>IF(AND(MONTH(E1467)='IN-NX'!$J$5,'IN-NX'!$D$7=D1467),"x","")</f>
        <v/>
      </c>
      <c r="AB1467" s="75" t="str">
        <f>IF(AND(OR(LEFT(TH!N1467,2)="15",LEFT(TH!O1467,2)="15"),LEFT(TH!O1467,3)&lt;&gt;"111",'152-CT'!$J$8=TH!F1467),"x","")</f>
        <v/>
      </c>
      <c r="AC1467" s="75" t="str">
        <f>IF(AND(OR(LEFT(TH!N1467,2)="15",LEFT(TH!O1467,2)="15"),TK!$E$7=TH!F1467),"x","")</f>
        <v/>
      </c>
      <c r="AD1467" s="75" t="str">
        <f>IF(AND(N1467="1521",MONTH(C1467)='BK-NL'!$M$11),"x","")</f>
        <v/>
      </c>
      <c r="AF1467" s="1054"/>
    </row>
    <row r="1468" spans="1:32" s="1053" customFormat="1" ht="16.5" customHeight="1">
      <c r="A1468" s="309" t="str">
        <f>IF(B1468&lt;&gt;"",IF(AND(B1468='IN-TC'!$S$4,OR(TH!N1468="1111",TH!O1468="1111")),TH!D1468,""),"")</f>
        <v/>
      </c>
      <c r="B1468" s="1130">
        <f t="shared" ref="B1468:B1482" si="354">IF(C1468&lt;&gt;"",MONTH(C1468),"")</f>
        <v>6</v>
      </c>
      <c r="C1468" s="217">
        <f t="shared" ref="C1468:C1482" si="355">E1468</f>
        <v>42916</v>
      </c>
      <c r="D1468" s="217" t="s">
        <v>2950</v>
      </c>
      <c r="E1468" s="217">
        <v>42916</v>
      </c>
      <c r="F1468" s="1031" t="s">
        <v>429</v>
      </c>
      <c r="G1468" s="739"/>
      <c r="H1468" s="294" t="s">
        <v>2919</v>
      </c>
      <c r="I1468" s="373">
        <v>18750</v>
      </c>
      <c r="J1468" s="926">
        <v>66677.092640000003</v>
      </c>
      <c r="K1468" s="926"/>
      <c r="L1468" s="379"/>
      <c r="M1468" s="927">
        <f t="shared" si="351"/>
        <v>1250195487</v>
      </c>
      <c r="N1468" s="935" t="s">
        <v>274</v>
      </c>
      <c r="O1468" s="935" t="s">
        <v>272</v>
      </c>
      <c r="P1468" s="75" t="str">
        <f>IF(AND('331-CT'!$E$7=TH!H1468,OR(N1468="331",O1468="331")),"x","")</f>
        <v/>
      </c>
      <c r="Q1468" s="75" t="str">
        <f>IF(AND(B1468='111'!$L$11,OR($N1468=$Q$7,$O1468=$Q$7)),"x","")</f>
        <v/>
      </c>
      <c r="R1468" s="75" t="str">
        <f>IF(AND($N1468=$Q$7,$B1468&lt;'111'!$L$11),"x","")</f>
        <v/>
      </c>
      <c r="S1468" s="75" t="str">
        <f>IF(AND($O1468=$Q$7,$B1468&lt;'111'!$L$11),"x","")</f>
        <v/>
      </c>
      <c r="T1468" s="75" t="str">
        <f>IF(ISERROR(FIND('112'!$M$9,G1468,1)),"",IF((AND(FIND('112'!$M$9,G1468,1)&gt;=1,B1468='112'!$K$9,OR($N1468='112'!$I$6,$O1468='112'!$I$6))),"x",""))</f>
        <v/>
      </c>
      <c r="U1468" s="75" t="str">
        <f>IF(ISERROR(FIND('112'!$M$9,G1468,1)),"",IF((AND(LEFT(G1468,2)=LEFT('112'!$M$9,2),B1468&lt;'112'!$K$9,$N1468='112'!$I$6)),"x",""))</f>
        <v/>
      </c>
      <c r="V1468" s="75" t="str">
        <f>IF(ISERROR(FIND('112'!$M$9,G1468,1)),"",IF((AND(RIGHT(G1468,2)=RIGHT('112'!$M$9,2),B1468&lt;'112'!$K$9,$O1468='112'!$I$6)),"x",""))</f>
        <v/>
      </c>
      <c r="W1468" s="75" t="str">
        <f>IF(AND('341-CT'!$H$9=H1468,OR(LEFT(N1468,3)=$W$7,LEFT(O1468,3)=$W$7)),"x","")</f>
        <v/>
      </c>
      <c r="X1468" s="75" t="str">
        <f>IF(OR(TH!N1468=TH!$X$7,O1468=TH!$X$7),"x","")</f>
        <v/>
      </c>
      <c r="Y1468" s="75" t="str">
        <f>IF(AND(OR(N1468="131",O1468="131"),H1468='131-CT'!$H$9),"x","")</f>
        <v/>
      </c>
      <c r="Z1468" s="75"/>
      <c r="AA1468" s="75" t="str">
        <f>IF(AND(MONTH(E1468)='IN-NX'!$J$5,'IN-NX'!$D$7=D1468),"x","")</f>
        <v/>
      </c>
      <c r="AB1468" s="75" t="str">
        <f>IF(AND(OR(LEFT(TH!N1468,2)="15",LEFT(TH!O1468,2)="15"),LEFT(TH!O1468,3)&lt;&gt;"111",'152-CT'!$J$8=TH!F1468),"x","")</f>
        <v/>
      </c>
      <c r="AC1468" s="75" t="str">
        <f>IF(AND(OR(LEFT(TH!N1468,2)="15",LEFT(TH!O1468,2)="15"),TK!$E$7=TH!F1468),"x","")</f>
        <v/>
      </c>
      <c r="AD1468" s="75" t="str">
        <f>IF(AND(N1468="1521",MONTH(C1468)='BK-NL'!$M$11),"x","")</f>
        <v/>
      </c>
      <c r="AF1468" s="1054"/>
    </row>
    <row r="1469" spans="1:32" ht="16.5" customHeight="1">
      <c r="A1469" s="309" t="str">
        <f>IF(B1469&lt;&gt;"",IF(AND(B1469='IN-TC'!$S$4,OR(TH!N1469="1111",TH!O1469="1111")),TH!D1469,""),"")</f>
        <v/>
      </c>
      <c r="B1469" s="1130">
        <f t="shared" si="354"/>
        <v>6</v>
      </c>
      <c r="C1469" s="217">
        <f t="shared" si="355"/>
        <v>42916</v>
      </c>
      <c r="D1469" s="217" t="s">
        <v>2950</v>
      </c>
      <c r="E1469" s="217">
        <v>42916</v>
      </c>
      <c r="F1469" s="429" t="s">
        <v>429</v>
      </c>
      <c r="G1469" s="739"/>
      <c r="H1469" s="294" t="s">
        <v>2919</v>
      </c>
      <c r="I1469" s="373">
        <v>112582.1</v>
      </c>
      <c r="J1469" s="926">
        <v>61472.818840650507</v>
      </c>
      <c r="K1469" s="926"/>
      <c r="L1469" s="379"/>
      <c r="M1469" s="927">
        <f>ROUND(I1469*J1469,0)</f>
        <v>6920739038</v>
      </c>
      <c r="N1469" s="935" t="s">
        <v>274</v>
      </c>
      <c r="O1469" s="935" t="s">
        <v>272</v>
      </c>
      <c r="P1469" s="75" t="str">
        <f>IF(AND('331-CT'!$E$7=TH!H1469,OR(N1469="331",O1469="331")),"x","")</f>
        <v/>
      </c>
      <c r="Q1469" s="75" t="str">
        <f>IF(AND(B1469='111'!$L$11,OR($N1469=$Q$7,$O1469=$Q$7)),"x","")</f>
        <v/>
      </c>
      <c r="R1469" s="75" t="str">
        <f>IF(AND($N1469=$Q$7,$B1469&lt;'111'!$L$11),"x","")</f>
        <v/>
      </c>
      <c r="S1469" s="75" t="str">
        <f>IF(AND($O1469=$Q$7,$B1469&lt;'111'!$L$11),"x","")</f>
        <v/>
      </c>
      <c r="T1469" s="75" t="str">
        <f>IF(ISERROR(FIND('112'!$M$9,G1469,1)),"",IF((AND(FIND('112'!$M$9,G1469,1)&gt;=1,B1469='112'!$K$9,OR($N1469='112'!$I$6,$O1469='112'!$I$6))),"x",""))</f>
        <v/>
      </c>
      <c r="U1469" s="75" t="str">
        <f>IF(ISERROR(FIND('112'!$M$9,G1469,1)),"",IF((AND(LEFT(G1469,2)=LEFT('112'!$M$9,2),B1469&lt;'112'!$K$9,$N1469='112'!$I$6)),"x",""))</f>
        <v/>
      </c>
      <c r="V1469" s="75" t="str">
        <f>IF(ISERROR(FIND('112'!$M$9,G1469,1)),"",IF((AND(RIGHT(G1469,2)=RIGHT('112'!$M$9,2),B1469&lt;'112'!$K$9,$O1469='112'!$I$6)),"x",""))</f>
        <v/>
      </c>
      <c r="W1469" s="75" t="str">
        <f>IF(AND('341-CT'!$H$9=H1469,OR(LEFT(N1469,3)=$W$7,LEFT(O1469,3)=$W$7)),"x","")</f>
        <v/>
      </c>
      <c r="X1469" s="75" t="str">
        <f>IF(OR(TH!N1469=TH!$X$7,O1469=TH!$X$7),"x","")</f>
        <v/>
      </c>
      <c r="Y1469" s="75" t="str">
        <f>IF(AND(OR(N1469="131",O1469="131"),H1469='131-CT'!$H$9),"x","")</f>
        <v/>
      </c>
      <c r="Z1469" s="75"/>
      <c r="AA1469" s="75" t="str">
        <f>IF(AND(MONTH(E1469)='IN-NX'!$J$5,'IN-NX'!$D$7=D1469),"x","")</f>
        <v/>
      </c>
      <c r="AB1469" s="75" t="str">
        <f>IF(AND(OR(LEFT(TH!N1469,2)="15",LEFT(TH!O1469,2)="15"),LEFT(TH!O1469,3)&lt;&gt;"111",'152-CT'!$J$8=TH!F1469),"x","")</f>
        <v/>
      </c>
      <c r="AC1469" s="75" t="str">
        <f>IF(AND(OR(LEFT(TH!N1469,2)="15",LEFT(TH!O1469,2)="15"),TK!$E$7=TH!F1469),"x","")</f>
        <v/>
      </c>
      <c r="AD1469" s="75" t="str">
        <f>IF(AND(N1469="1521",MONTH(C1469)='BK-NL'!$M$11),"x","")</f>
        <v/>
      </c>
      <c r="AF1469" s="1054"/>
    </row>
    <row r="1470" spans="1:32" ht="16.5" customHeight="1">
      <c r="A1470" s="309" t="str">
        <f>IF(B1470&lt;&gt;"",IF(AND(B1470='IN-TC'!$S$4,OR(TH!N1470="1111",TH!O1470="1111")),TH!D1470,""),"")</f>
        <v/>
      </c>
      <c r="B1470" s="1130">
        <f t="shared" si="354"/>
        <v>6</v>
      </c>
      <c r="C1470" s="217">
        <f t="shared" si="355"/>
        <v>42916</v>
      </c>
      <c r="D1470" s="217" t="s">
        <v>2950</v>
      </c>
      <c r="E1470" s="217">
        <v>42916</v>
      </c>
      <c r="F1470" s="429" t="s">
        <v>1588</v>
      </c>
      <c r="G1470" s="739"/>
      <c r="H1470" s="294" t="s">
        <v>2919</v>
      </c>
      <c r="I1470" s="373">
        <v>13200</v>
      </c>
      <c r="J1470" s="926">
        <v>216405.9484090909</v>
      </c>
      <c r="K1470" s="926"/>
      <c r="L1470" s="379"/>
      <c r="M1470" s="927">
        <f>ROUND(I1470*J1470,0)</f>
        <v>2856558519</v>
      </c>
      <c r="N1470" s="935" t="s">
        <v>274</v>
      </c>
      <c r="O1470" s="935" t="s">
        <v>272</v>
      </c>
      <c r="P1470" s="75" t="str">
        <f>IF(AND('331-CT'!$E$7=TH!H1470,OR(N1470="331",O1470="331")),"x","")</f>
        <v/>
      </c>
      <c r="Q1470" s="75" t="str">
        <f>IF(AND(B1470='111'!$L$11,OR($N1470=$Q$7,$O1470=$Q$7)),"x","")</f>
        <v/>
      </c>
      <c r="R1470" s="75" t="str">
        <f>IF(AND($N1470=$Q$7,$B1470&lt;'111'!$L$11),"x","")</f>
        <v/>
      </c>
      <c r="S1470" s="75" t="str">
        <f>IF(AND($O1470=$Q$7,$B1470&lt;'111'!$L$11),"x","")</f>
        <v/>
      </c>
      <c r="T1470" s="75" t="str">
        <f>IF(ISERROR(FIND('112'!$M$9,G1470,1)),"",IF((AND(FIND('112'!$M$9,G1470,1)&gt;=1,B1470='112'!$K$9,OR($N1470='112'!$I$6,$O1470='112'!$I$6))),"x",""))</f>
        <v/>
      </c>
      <c r="U1470" s="75" t="str">
        <f>IF(ISERROR(FIND('112'!$M$9,G1470,1)),"",IF((AND(LEFT(G1470,2)=LEFT('112'!$M$9,2),B1470&lt;'112'!$K$9,$N1470='112'!$I$6)),"x",""))</f>
        <v/>
      </c>
      <c r="V1470" s="75" t="str">
        <f>IF(ISERROR(FIND('112'!$M$9,G1470,1)),"",IF((AND(RIGHT(G1470,2)=RIGHT('112'!$M$9,2),B1470&lt;'112'!$K$9,$O1470='112'!$I$6)),"x",""))</f>
        <v/>
      </c>
      <c r="W1470" s="75" t="str">
        <f>IF(AND('341-CT'!$H$9=H1470,OR(LEFT(N1470,3)=$W$7,LEFT(O1470,3)=$W$7)),"x","")</f>
        <v/>
      </c>
      <c r="X1470" s="75" t="str">
        <f>IF(OR(TH!N1470=TH!$X$7,O1470=TH!$X$7),"x","")</f>
        <v/>
      </c>
      <c r="Y1470" s="75" t="str">
        <f>IF(AND(OR(N1470="131",O1470="131"),H1470='131-CT'!$H$9),"x","")</f>
        <v/>
      </c>
      <c r="Z1470" s="75"/>
      <c r="AA1470" s="75" t="str">
        <f>IF(AND(MONTH(E1470)='IN-NX'!$J$5,'IN-NX'!$D$7=D1470),"x","")</f>
        <v/>
      </c>
      <c r="AB1470" s="75" t="str">
        <f>IF(AND(OR(LEFT(TH!N1470,2)="15",LEFT(TH!O1470,2)="15"),LEFT(TH!O1470,3)&lt;&gt;"111",'152-CT'!$J$8=TH!F1470),"x","")</f>
        <v/>
      </c>
      <c r="AC1470" s="75" t="str">
        <f>IF(AND(OR(LEFT(TH!N1470,2)="15",LEFT(TH!O1470,2)="15"),TK!$E$7=TH!F1470),"x","")</f>
        <v/>
      </c>
      <c r="AD1470" s="75" t="str">
        <f>IF(AND(N1470="1521",MONTH(C1470)='BK-NL'!$M$11),"x","")</f>
        <v/>
      </c>
      <c r="AF1470" s="1054"/>
    </row>
    <row r="1471" spans="1:32" ht="16.5" customHeight="1">
      <c r="A1471" s="309" t="str">
        <f>IF(B1471&lt;&gt;"",IF(AND(B1471='IN-TC'!$S$4,OR(TH!N1471="1111",TH!O1471="1111")),TH!D1471,""),"")</f>
        <v/>
      </c>
      <c r="B1471" s="1130">
        <f t="shared" si="354"/>
        <v>6</v>
      </c>
      <c r="C1471" s="217">
        <f t="shared" si="355"/>
        <v>42916</v>
      </c>
      <c r="D1471" s="217" t="s">
        <v>2950</v>
      </c>
      <c r="E1471" s="217">
        <v>42916</v>
      </c>
      <c r="F1471" s="429" t="s">
        <v>1545</v>
      </c>
      <c r="G1471" s="739"/>
      <c r="H1471" s="294" t="s">
        <v>2919</v>
      </c>
      <c r="I1471" s="373">
        <v>240</v>
      </c>
      <c r="J1471" s="926">
        <v>178440.61666666667</v>
      </c>
      <c r="K1471" s="926"/>
      <c r="L1471" s="379"/>
      <c r="M1471" s="927">
        <f>ROUND(I1471*J1471,0)</f>
        <v>42825748</v>
      </c>
      <c r="N1471" s="935" t="s">
        <v>274</v>
      </c>
      <c r="O1471" s="935" t="s">
        <v>272</v>
      </c>
      <c r="P1471" s="75" t="str">
        <f>IF(AND('331-CT'!$E$7=TH!H1471,OR(N1471="331",O1471="331")),"x","")</f>
        <v/>
      </c>
      <c r="Q1471" s="75" t="str">
        <f>IF(AND(B1471='111'!$L$11,OR($N1471=$Q$7,$O1471=$Q$7)),"x","")</f>
        <v/>
      </c>
      <c r="R1471" s="75" t="str">
        <f>IF(AND($N1471=$Q$7,$B1471&lt;'111'!$L$11),"x","")</f>
        <v/>
      </c>
      <c r="S1471" s="75" t="str">
        <f>IF(AND($O1471=$Q$7,$B1471&lt;'111'!$L$11),"x","")</f>
        <v/>
      </c>
      <c r="T1471" s="75" t="str">
        <f>IF(ISERROR(FIND('112'!$M$9,G1471,1)),"",IF((AND(FIND('112'!$M$9,G1471,1)&gt;=1,B1471='112'!$K$9,OR($N1471='112'!$I$6,$O1471='112'!$I$6))),"x",""))</f>
        <v/>
      </c>
      <c r="U1471" s="75" t="str">
        <f>IF(ISERROR(FIND('112'!$M$9,G1471,1)),"",IF((AND(LEFT(G1471,2)=LEFT('112'!$M$9,2),B1471&lt;'112'!$K$9,$N1471='112'!$I$6)),"x",""))</f>
        <v/>
      </c>
      <c r="V1471" s="75" t="str">
        <f>IF(ISERROR(FIND('112'!$M$9,G1471,1)),"",IF((AND(RIGHT(G1471,2)=RIGHT('112'!$M$9,2),B1471&lt;'112'!$K$9,$O1471='112'!$I$6)),"x",""))</f>
        <v/>
      </c>
      <c r="W1471" s="75" t="str">
        <f>IF(AND('341-CT'!$H$9=H1471,OR(LEFT(N1471,3)=$W$7,LEFT(O1471,3)=$W$7)),"x","")</f>
        <v/>
      </c>
      <c r="X1471" s="75" t="str">
        <f>IF(OR(TH!N1471=TH!$X$7,O1471=TH!$X$7),"x","")</f>
        <v/>
      </c>
      <c r="Y1471" s="75" t="str">
        <f>IF(AND(OR(N1471="131",O1471="131"),H1471='131-CT'!$H$9),"x","")</f>
        <v/>
      </c>
      <c r="Z1471" s="75"/>
      <c r="AA1471" s="75" t="str">
        <f>IF(AND(MONTH(E1471)='IN-NX'!$J$5,'IN-NX'!$D$7=D1471),"x","")</f>
        <v/>
      </c>
      <c r="AB1471" s="75" t="str">
        <f>IF(AND(OR(LEFT(TH!N1471,2)="15",LEFT(TH!O1471,2)="15"),LEFT(TH!O1471,3)&lt;&gt;"111",'152-CT'!$J$8=TH!F1471),"x","")</f>
        <v/>
      </c>
      <c r="AC1471" s="75" t="str">
        <f>IF(AND(OR(LEFT(TH!N1471,2)="15",LEFT(TH!O1471,2)="15"),TK!$E$7=TH!F1471),"x","")</f>
        <v/>
      </c>
      <c r="AD1471" s="75" t="str">
        <f>IF(AND(N1471="1521",MONTH(C1471)='BK-NL'!$M$11),"x","")</f>
        <v/>
      </c>
      <c r="AF1471" s="1054"/>
    </row>
    <row r="1472" spans="1:32" ht="16.5" customHeight="1">
      <c r="A1472" s="309" t="str">
        <f>IF(B1472&lt;&gt;"",IF(AND(B1472='IN-TC'!$S$4,OR(TH!N1472="1111",TH!O1472="1111")),TH!D1472,""),"")</f>
        <v/>
      </c>
      <c r="B1472" s="1130">
        <f t="shared" si="354"/>
        <v>6</v>
      </c>
      <c r="C1472" s="217">
        <f t="shared" si="355"/>
        <v>42916</v>
      </c>
      <c r="D1472" s="217" t="s">
        <v>2950</v>
      </c>
      <c r="E1472" s="217">
        <v>42916</v>
      </c>
      <c r="F1472" s="429" t="s">
        <v>793</v>
      </c>
      <c r="G1472" s="739"/>
      <c r="H1472" s="294" t="s">
        <v>2919</v>
      </c>
      <c r="I1472" s="373">
        <v>240</v>
      </c>
      <c r="J1472" s="926">
        <v>166235.62083333332</v>
      </c>
      <c r="K1472" s="926"/>
      <c r="L1472" s="379"/>
      <c r="M1472" s="927">
        <f t="shared" ref="M1472:M1475" si="356">ROUND(I1472*J1472,0)</f>
        <v>39896549</v>
      </c>
      <c r="N1472" s="935" t="s">
        <v>274</v>
      </c>
      <c r="O1472" s="935" t="s">
        <v>272</v>
      </c>
      <c r="P1472" s="75" t="str">
        <f>IF(AND('331-CT'!$E$7=TH!H1472,OR(N1472="331",O1472="331")),"x","")</f>
        <v/>
      </c>
      <c r="Q1472" s="75" t="str">
        <f>IF(AND(B1472='111'!$L$11,OR($N1472=$Q$7,$O1472=$Q$7)),"x","")</f>
        <v/>
      </c>
      <c r="R1472" s="75" t="str">
        <f>IF(AND($N1472=$Q$7,$B1472&lt;'111'!$L$11),"x","")</f>
        <v/>
      </c>
      <c r="S1472" s="75" t="str">
        <f>IF(AND($O1472=$Q$7,$B1472&lt;'111'!$L$11),"x","")</f>
        <v/>
      </c>
      <c r="T1472" s="75" t="str">
        <f>IF(ISERROR(FIND('112'!$M$9,G1472,1)),"",IF((AND(FIND('112'!$M$9,G1472,1)&gt;=1,B1472='112'!$K$9,OR($N1472='112'!$I$6,$O1472='112'!$I$6))),"x",""))</f>
        <v/>
      </c>
      <c r="U1472" s="75" t="str">
        <f>IF(ISERROR(FIND('112'!$M$9,G1472,1)),"",IF((AND(LEFT(G1472,2)=LEFT('112'!$M$9,2),B1472&lt;'112'!$K$9,$N1472='112'!$I$6)),"x",""))</f>
        <v/>
      </c>
      <c r="V1472" s="75" t="str">
        <f>IF(ISERROR(FIND('112'!$M$9,G1472,1)),"",IF((AND(RIGHT(G1472,2)=RIGHT('112'!$M$9,2),B1472&lt;'112'!$K$9,$O1472='112'!$I$6)),"x",""))</f>
        <v/>
      </c>
      <c r="W1472" s="75" t="str">
        <f>IF(AND('341-CT'!$H$9=H1472,OR(LEFT(N1472,3)=$W$7,LEFT(O1472,3)=$W$7)),"x","")</f>
        <v/>
      </c>
      <c r="X1472" s="75" t="str">
        <f>IF(OR(TH!N1472=TH!$X$7,O1472=TH!$X$7),"x","")</f>
        <v/>
      </c>
      <c r="Y1472" s="75" t="str">
        <f>IF(AND(OR(N1472="131",O1472="131"),H1472='131-CT'!$H$9),"x","")</f>
        <v/>
      </c>
      <c r="Z1472" s="75"/>
      <c r="AA1472" s="75" t="str">
        <f>IF(AND(MONTH(E1472)='IN-NX'!$J$5,'IN-NX'!$D$7=D1472),"x","")</f>
        <v/>
      </c>
      <c r="AB1472" s="75" t="str">
        <f>IF(AND(OR(LEFT(TH!N1472,2)="15",LEFT(TH!O1472,2)="15"),LEFT(TH!O1472,3)&lt;&gt;"111",'152-CT'!$J$8=TH!F1472),"x","")</f>
        <v/>
      </c>
      <c r="AC1472" s="75" t="str">
        <f>IF(AND(OR(LEFT(TH!N1472,2)="15",LEFT(TH!O1472,2)="15"),TK!$E$7=TH!F1472),"x","")</f>
        <v/>
      </c>
      <c r="AD1472" s="75" t="str">
        <f>IF(AND(N1472="1521",MONTH(C1472)='BK-NL'!$M$11),"x","")</f>
        <v/>
      </c>
      <c r="AF1472" s="1054"/>
    </row>
    <row r="1473" spans="1:32" ht="16.5" customHeight="1">
      <c r="A1473" s="309" t="str">
        <f>IF(B1473&lt;&gt;"",IF(AND(B1473='IN-TC'!$S$4,OR(TH!N1473="1111",TH!O1473="1111")),TH!D1473,""),"")</f>
        <v/>
      </c>
      <c r="B1473" s="1130">
        <f t="shared" si="354"/>
        <v>6</v>
      </c>
      <c r="C1473" s="217">
        <f t="shared" si="355"/>
        <v>42916</v>
      </c>
      <c r="D1473" s="217" t="s">
        <v>2950</v>
      </c>
      <c r="E1473" s="217">
        <v>42916</v>
      </c>
      <c r="F1473" s="429" t="s">
        <v>1544</v>
      </c>
      <c r="G1473" s="739"/>
      <c r="H1473" s="294" t="s">
        <v>2919</v>
      </c>
      <c r="I1473" s="373">
        <v>240</v>
      </c>
      <c r="J1473" s="926">
        <v>153440.61666666667</v>
      </c>
      <c r="K1473" s="926"/>
      <c r="L1473" s="379"/>
      <c r="M1473" s="927">
        <f t="shared" si="356"/>
        <v>36825748</v>
      </c>
      <c r="N1473" s="935" t="s">
        <v>274</v>
      </c>
      <c r="O1473" s="935" t="s">
        <v>272</v>
      </c>
      <c r="P1473" s="75" t="str">
        <f>IF(AND('331-CT'!$E$7=TH!H1473,OR(N1473="331",O1473="331")),"x","")</f>
        <v/>
      </c>
      <c r="Q1473" s="75" t="str">
        <f>IF(AND(B1473='111'!$L$11,OR($N1473=$Q$7,$O1473=$Q$7)),"x","")</f>
        <v/>
      </c>
      <c r="R1473" s="75" t="str">
        <f>IF(AND($N1473=$Q$7,$B1473&lt;'111'!$L$11),"x","")</f>
        <v/>
      </c>
      <c r="S1473" s="75" t="str">
        <f>IF(AND($O1473=$Q$7,$B1473&lt;'111'!$L$11),"x","")</f>
        <v/>
      </c>
      <c r="T1473" s="75" t="str">
        <f>IF(ISERROR(FIND('112'!$M$9,G1473,1)),"",IF((AND(FIND('112'!$M$9,G1473,1)&gt;=1,B1473='112'!$K$9,OR($N1473='112'!$I$6,$O1473='112'!$I$6))),"x",""))</f>
        <v/>
      </c>
      <c r="U1473" s="75" t="str">
        <f>IF(ISERROR(FIND('112'!$M$9,G1473,1)),"",IF((AND(LEFT(G1473,2)=LEFT('112'!$M$9,2),B1473&lt;'112'!$K$9,$N1473='112'!$I$6)),"x",""))</f>
        <v/>
      </c>
      <c r="V1473" s="75" t="str">
        <f>IF(ISERROR(FIND('112'!$M$9,G1473,1)),"",IF((AND(RIGHT(G1473,2)=RIGHT('112'!$M$9,2),B1473&lt;'112'!$K$9,$O1473='112'!$I$6)),"x",""))</f>
        <v/>
      </c>
      <c r="W1473" s="75" t="str">
        <f>IF(AND('341-CT'!$H$9=H1473,OR(LEFT(N1473,3)=$W$7,LEFT(O1473,3)=$W$7)),"x","")</f>
        <v/>
      </c>
      <c r="X1473" s="75" t="str">
        <f>IF(OR(TH!N1473=TH!$X$7,O1473=TH!$X$7),"x","")</f>
        <v/>
      </c>
      <c r="Y1473" s="75" t="str">
        <f>IF(AND(OR(N1473="131",O1473="131"),H1473='131-CT'!$H$9),"x","")</f>
        <v/>
      </c>
      <c r="Z1473" s="75"/>
      <c r="AA1473" s="75" t="str">
        <f>IF(AND(MONTH(E1473)='IN-NX'!$J$5,'IN-NX'!$D$7=D1473),"x","")</f>
        <v/>
      </c>
      <c r="AB1473" s="75" t="str">
        <f>IF(AND(OR(LEFT(TH!N1473,2)="15",LEFT(TH!O1473,2)="15"),LEFT(TH!O1473,3)&lt;&gt;"111",'152-CT'!$J$8=TH!F1473),"x","")</f>
        <v/>
      </c>
      <c r="AC1473" s="75" t="str">
        <f>IF(AND(OR(LEFT(TH!N1473,2)="15",LEFT(TH!O1473,2)="15"),TK!$E$7=TH!F1473),"x","")</f>
        <v/>
      </c>
      <c r="AD1473" s="75" t="str">
        <f>IF(AND(N1473="1521",MONTH(C1473)='BK-NL'!$M$11),"x","")</f>
        <v/>
      </c>
      <c r="AF1473" s="1054"/>
    </row>
    <row r="1474" spans="1:32" ht="16.5" customHeight="1">
      <c r="A1474" s="309" t="str">
        <f>IF(B1474&lt;&gt;"",IF(AND(B1474='IN-TC'!$S$4,OR(TH!N1474="1111",TH!O1474="1111")),TH!D1474,""),"")</f>
        <v/>
      </c>
      <c r="B1474" s="1130">
        <f t="shared" si="354"/>
        <v>6</v>
      </c>
      <c r="C1474" s="217">
        <f t="shared" si="355"/>
        <v>42916</v>
      </c>
      <c r="D1474" s="217" t="s">
        <v>2950</v>
      </c>
      <c r="E1474" s="217">
        <v>42916</v>
      </c>
      <c r="F1474" s="429" t="s">
        <v>1547</v>
      </c>
      <c r="G1474" s="739"/>
      <c r="H1474" s="294" t="s">
        <v>2919</v>
      </c>
      <c r="I1474" s="373">
        <v>2200</v>
      </c>
      <c r="J1474" s="373">
        <v>153440.61681818182</v>
      </c>
      <c r="K1474" s="379"/>
      <c r="L1474" s="379"/>
      <c r="M1474" s="927">
        <f t="shared" si="356"/>
        <v>337569357</v>
      </c>
      <c r="N1474" s="935" t="s">
        <v>274</v>
      </c>
      <c r="O1474" s="935" t="s">
        <v>272</v>
      </c>
      <c r="P1474" s="75" t="str">
        <f>IF(AND('331-CT'!$E$7=TH!H1474,OR(N1474="331",O1474="331")),"x","")</f>
        <v/>
      </c>
      <c r="Q1474" s="75" t="str">
        <f>IF(AND(B1474='111'!$L$11,OR($N1474=$Q$7,$O1474=$Q$7)),"x","")</f>
        <v/>
      </c>
      <c r="R1474" s="75" t="str">
        <f>IF(AND($N1474=$Q$7,$B1474&lt;'111'!$L$11),"x","")</f>
        <v/>
      </c>
      <c r="S1474" s="75" t="str">
        <f>IF(AND($O1474=$Q$7,$B1474&lt;'111'!$L$11),"x","")</f>
        <v/>
      </c>
      <c r="T1474" s="75" t="str">
        <f>IF(ISERROR(FIND('112'!$M$9,G1474,1)),"",IF((AND(FIND('112'!$M$9,G1474,1)&gt;=1,B1474='112'!$K$9,OR($N1474='112'!$I$6,$O1474='112'!$I$6))),"x",""))</f>
        <v/>
      </c>
      <c r="U1474" s="75" t="str">
        <f>IF(ISERROR(FIND('112'!$M$9,G1474,1)),"",IF((AND(LEFT(G1474,2)=LEFT('112'!$M$9,2),B1474&lt;'112'!$K$9,$N1474='112'!$I$6)),"x",""))</f>
        <v/>
      </c>
      <c r="V1474" s="75" t="str">
        <f>IF(ISERROR(FIND('112'!$M$9,G1474,1)),"",IF((AND(RIGHT(G1474,2)=RIGHT('112'!$M$9,2),B1474&lt;'112'!$K$9,$O1474='112'!$I$6)),"x",""))</f>
        <v/>
      </c>
      <c r="W1474" s="75" t="str">
        <f>IF(AND('341-CT'!$H$9=H1474,OR(LEFT(N1474,3)=$W$7,LEFT(O1474,3)=$W$7)),"x","")</f>
        <v/>
      </c>
      <c r="X1474" s="75" t="str">
        <f>IF(OR(TH!N1474=TH!$X$7,O1474=TH!$X$7),"x","")</f>
        <v/>
      </c>
      <c r="Y1474" s="75" t="str">
        <f>IF(AND(OR(N1474="131",O1474="131"),H1474='131-CT'!$H$9),"x","")</f>
        <v/>
      </c>
      <c r="Z1474" s="75"/>
      <c r="AA1474" s="75" t="str">
        <f>IF(AND(MONTH(E1474)='IN-NX'!$J$5,'IN-NX'!$D$7=D1474),"x","")</f>
        <v/>
      </c>
      <c r="AB1474" s="75" t="str">
        <f>IF(AND(OR(LEFT(TH!N1474,2)="15",LEFT(TH!O1474,2)="15"),LEFT(TH!O1474,3)&lt;&gt;"111",'152-CT'!$J$8=TH!F1474),"x","")</f>
        <v/>
      </c>
      <c r="AC1474" s="75" t="str">
        <f>IF(AND(OR(LEFT(TH!N1474,2)="15",LEFT(TH!O1474,2)="15"),TK!$E$7=TH!F1474),"x","")</f>
        <v/>
      </c>
      <c r="AD1474" s="75" t="str">
        <f>IF(AND(N1474="1521",MONTH(C1474)='BK-NL'!$M$11),"x","")</f>
        <v/>
      </c>
      <c r="AF1474" s="1054"/>
    </row>
    <row r="1475" spans="1:32" s="1053" customFormat="1" ht="16.5" customHeight="1">
      <c r="A1475" s="309" t="str">
        <f>IF(B1475&lt;&gt;"",IF(AND(B1475='IN-TC'!$S$4,OR(TH!N1475="1111",TH!O1475="1111")),TH!D1475,""),"")</f>
        <v/>
      </c>
      <c r="B1475" s="1130">
        <f t="shared" si="354"/>
        <v>6</v>
      </c>
      <c r="C1475" s="217">
        <f t="shared" si="355"/>
        <v>42916</v>
      </c>
      <c r="D1475" s="217" t="s">
        <v>2950</v>
      </c>
      <c r="E1475" s="217">
        <v>42916</v>
      </c>
      <c r="F1475" s="1031" t="s">
        <v>1582</v>
      </c>
      <c r="G1475" s="739"/>
      <c r="H1475" s="294" t="s">
        <v>2919</v>
      </c>
      <c r="I1475" s="373">
        <v>660</v>
      </c>
      <c r="J1475" s="926">
        <v>188440.61666666667</v>
      </c>
      <c r="K1475" s="926"/>
      <c r="L1475" s="379"/>
      <c r="M1475" s="927">
        <f t="shared" si="356"/>
        <v>124370807</v>
      </c>
      <c r="N1475" s="935" t="s">
        <v>274</v>
      </c>
      <c r="O1475" s="935" t="s">
        <v>272</v>
      </c>
      <c r="P1475" s="75" t="str">
        <f>IF(AND('331-CT'!$E$7=TH!H1475,OR(N1475="331",O1475="331")),"x","")</f>
        <v/>
      </c>
      <c r="Q1475" s="75" t="str">
        <f>IF(AND(B1475='111'!$L$11,OR($N1475=$Q$7,$O1475=$Q$7)),"x","")</f>
        <v/>
      </c>
      <c r="R1475" s="75" t="str">
        <f>IF(AND($N1475=$Q$7,$B1475&lt;'111'!$L$11),"x","")</f>
        <v/>
      </c>
      <c r="S1475" s="75" t="str">
        <f>IF(AND($O1475=$Q$7,$B1475&lt;'111'!$L$11),"x","")</f>
        <v/>
      </c>
      <c r="T1475" s="75" t="str">
        <f>IF(ISERROR(FIND('112'!$M$9,G1475,1)),"",IF((AND(FIND('112'!$M$9,G1475,1)&gt;=1,B1475='112'!$K$9,OR($N1475='112'!$I$6,$O1475='112'!$I$6))),"x",""))</f>
        <v/>
      </c>
      <c r="U1475" s="75" t="str">
        <f>IF(ISERROR(FIND('112'!$M$9,G1475,1)),"",IF((AND(LEFT(G1475,2)=LEFT('112'!$M$9,2),B1475&lt;'112'!$K$9,$N1475='112'!$I$6)),"x",""))</f>
        <v/>
      </c>
      <c r="V1475" s="75" t="str">
        <f>IF(ISERROR(FIND('112'!$M$9,G1475,1)),"",IF((AND(RIGHT(G1475,2)=RIGHT('112'!$M$9,2),B1475&lt;'112'!$K$9,$O1475='112'!$I$6)),"x",""))</f>
        <v/>
      </c>
      <c r="W1475" s="75" t="str">
        <f>IF(AND('341-CT'!$H$9=H1475,OR(LEFT(N1475,3)=$W$7,LEFT(O1475,3)=$W$7)),"x","")</f>
        <v/>
      </c>
      <c r="X1475" s="75" t="str">
        <f>IF(OR(TH!N1475=TH!$X$7,O1475=TH!$X$7),"x","")</f>
        <v/>
      </c>
      <c r="Y1475" s="75" t="str">
        <f>IF(AND(OR(N1475="131",O1475="131"),H1475='131-CT'!$H$9),"x","")</f>
        <v/>
      </c>
      <c r="Z1475" s="75"/>
      <c r="AA1475" s="75" t="str">
        <f>IF(AND(MONTH(E1475)='IN-NX'!$J$5,'IN-NX'!$D$7=D1475),"x","")</f>
        <v/>
      </c>
      <c r="AB1475" s="75" t="str">
        <f>IF(AND(OR(LEFT(TH!N1475,2)="15",LEFT(TH!O1475,2)="15"),LEFT(TH!O1475,3)&lt;&gt;"111",'152-CT'!$J$8=TH!F1475),"x","")</f>
        <v/>
      </c>
      <c r="AC1475" s="75" t="str">
        <f>IF(AND(OR(LEFT(TH!N1475,2)="15",LEFT(TH!O1475,2)="15"),TK!$E$7=TH!F1475),"x","")</f>
        <v/>
      </c>
      <c r="AD1475" s="75" t="str">
        <f>IF(AND(N1475="1521",MONTH(C1475)='BK-NL'!$M$11),"x","")</f>
        <v/>
      </c>
      <c r="AF1475" s="1054"/>
    </row>
    <row r="1476" spans="1:32" ht="16.5" customHeight="1">
      <c r="A1476" s="309" t="str">
        <f>IF(B1476&lt;&gt;"",IF(AND(B1476='IN-TC'!$S$4,OR(TH!N1476="1111",TH!O1476="1111")),TH!D1476,""),"")</f>
        <v/>
      </c>
      <c r="B1476" s="1130">
        <f t="shared" si="354"/>
        <v>6</v>
      </c>
      <c r="C1476" s="217">
        <f t="shared" si="355"/>
        <v>42916</v>
      </c>
      <c r="D1476" s="217" t="s">
        <v>2950</v>
      </c>
      <c r="E1476" s="217">
        <v>42916</v>
      </c>
      <c r="F1476" s="429" t="s">
        <v>1107</v>
      </c>
      <c r="G1476" s="739"/>
      <c r="H1476" s="294" t="s">
        <v>2919</v>
      </c>
      <c r="I1476" s="373">
        <v>180</v>
      </c>
      <c r="J1476" s="926">
        <v>207189.93888888889</v>
      </c>
      <c r="K1476" s="926"/>
      <c r="L1476" s="379"/>
      <c r="M1476" s="927">
        <f>ROUND(I1476*J1476,0)</f>
        <v>37294189</v>
      </c>
      <c r="N1476" s="935" t="s">
        <v>274</v>
      </c>
      <c r="O1476" s="935" t="s">
        <v>272</v>
      </c>
      <c r="P1476" s="75" t="str">
        <f>IF(AND('331-CT'!$E$7=TH!H1476,OR(N1476="331",O1476="331")),"x","")</f>
        <v/>
      </c>
      <c r="Q1476" s="75" t="str">
        <f>IF(AND(B1476='111'!$L$11,OR($N1476=$Q$7,$O1476=$Q$7)),"x","")</f>
        <v/>
      </c>
      <c r="R1476" s="75" t="str">
        <f>IF(AND($N1476=$Q$7,$B1476&lt;'111'!$L$11),"x","")</f>
        <v/>
      </c>
      <c r="S1476" s="75" t="str">
        <f>IF(AND($O1476=$Q$7,$B1476&lt;'111'!$L$11),"x","")</f>
        <v/>
      </c>
      <c r="T1476" s="75" t="str">
        <f>IF(ISERROR(FIND('112'!$M$9,G1476,1)),"",IF((AND(FIND('112'!$M$9,G1476,1)&gt;=1,B1476='112'!$K$9,OR($N1476='112'!$I$6,$O1476='112'!$I$6))),"x",""))</f>
        <v/>
      </c>
      <c r="U1476" s="75" t="str">
        <f>IF(ISERROR(FIND('112'!$M$9,G1476,1)),"",IF((AND(LEFT(G1476,2)=LEFT('112'!$M$9,2),B1476&lt;'112'!$K$9,$N1476='112'!$I$6)),"x",""))</f>
        <v/>
      </c>
      <c r="V1476" s="75" t="str">
        <f>IF(ISERROR(FIND('112'!$M$9,G1476,1)),"",IF((AND(RIGHT(G1476,2)=RIGHT('112'!$M$9,2),B1476&lt;'112'!$K$9,$O1476='112'!$I$6)),"x",""))</f>
        <v/>
      </c>
      <c r="W1476" s="75" t="str">
        <f>IF(AND('341-CT'!$H$9=H1476,OR(LEFT(N1476,3)=$W$7,LEFT(O1476,3)=$W$7)),"x","")</f>
        <v/>
      </c>
      <c r="X1476" s="75" t="str">
        <f>IF(OR(TH!N1476=TH!$X$7,O1476=TH!$X$7),"x","")</f>
        <v/>
      </c>
      <c r="Y1476" s="75" t="str">
        <f>IF(AND(OR(N1476="131",O1476="131"),H1476='131-CT'!$H$9),"x","")</f>
        <v/>
      </c>
      <c r="Z1476" s="75"/>
      <c r="AA1476" s="75" t="str">
        <f>IF(AND(MONTH(E1476)='IN-NX'!$J$5,'IN-NX'!$D$7=D1476),"x","")</f>
        <v/>
      </c>
      <c r="AB1476" s="75" t="str">
        <f>IF(AND(OR(LEFT(TH!N1476,2)="15",LEFT(TH!O1476,2)="15"),LEFT(TH!O1476,3)&lt;&gt;"111",'152-CT'!$J$8=TH!F1476),"x","")</f>
        <v/>
      </c>
      <c r="AC1476" s="75" t="str">
        <f>IF(AND(OR(LEFT(TH!N1476,2)="15",LEFT(TH!O1476,2)="15"),TK!$E$7=TH!F1476),"x","")</f>
        <v/>
      </c>
      <c r="AD1476" s="75" t="str">
        <f>IF(AND(N1476="1521",MONTH(C1476)='BK-NL'!$M$11),"x","")</f>
        <v/>
      </c>
      <c r="AF1476" s="1054"/>
    </row>
    <row r="1477" spans="1:32" s="1053" customFormat="1" ht="16.5" customHeight="1">
      <c r="A1477" s="309" t="str">
        <f>IF(B1477&lt;&gt;"",IF(AND(B1477='IN-TC'!$S$4,OR(TH!N1477="1111",TH!O1477="1111")),TH!D1477,""),"")</f>
        <v/>
      </c>
      <c r="B1477" s="1130">
        <f t="shared" si="354"/>
        <v>6</v>
      </c>
      <c r="C1477" s="217">
        <f t="shared" si="355"/>
        <v>42916</v>
      </c>
      <c r="D1477" s="217" t="s">
        <v>2950</v>
      </c>
      <c r="E1477" s="217">
        <v>42916</v>
      </c>
      <c r="F1477" s="429" t="s">
        <v>1583</v>
      </c>
      <c r="G1477" s="739"/>
      <c r="H1477" s="294" t="s">
        <v>2919</v>
      </c>
      <c r="I1477" s="373">
        <v>420</v>
      </c>
      <c r="J1477" s="926">
        <v>261941.29285714286</v>
      </c>
      <c r="K1477" s="926"/>
      <c r="L1477" s="379"/>
      <c r="M1477" s="927">
        <f t="shared" ref="M1477" si="357">ROUND(I1477*J1477,0)</f>
        <v>110015343</v>
      </c>
      <c r="N1477" s="935" t="s">
        <v>274</v>
      </c>
      <c r="O1477" s="935" t="s">
        <v>272</v>
      </c>
      <c r="P1477" s="75" t="str">
        <f>IF(AND('331-CT'!$E$7=TH!H1477,OR(N1477="331",O1477="331")),"x","")</f>
        <v/>
      </c>
      <c r="Q1477" s="75" t="str">
        <f>IF(AND(B1477='111'!$L$11,OR($N1477=$Q$7,$O1477=$Q$7)),"x","")</f>
        <v/>
      </c>
      <c r="R1477" s="75" t="str">
        <f>IF(AND($N1477=$Q$7,$B1477&lt;'111'!$L$11),"x","")</f>
        <v/>
      </c>
      <c r="S1477" s="75" t="str">
        <f>IF(AND($O1477=$Q$7,$B1477&lt;'111'!$L$11),"x","")</f>
        <v/>
      </c>
      <c r="T1477" s="75" t="str">
        <f>IF(ISERROR(FIND('112'!$M$9,G1477,1)),"",IF((AND(FIND('112'!$M$9,G1477,1)&gt;=1,B1477='112'!$K$9,OR($N1477='112'!$I$6,$O1477='112'!$I$6))),"x",""))</f>
        <v/>
      </c>
      <c r="U1477" s="75" t="str">
        <f>IF(ISERROR(FIND('112'!$M$9,G1477,1)),"",IF((AND(LEFT(G1477,2)=LEFT('112'!$M$9,2),B1477&lt;'112'!$K$9,$N1477='112'!$I$6)),"x",""))</f>
        <v/>
      </c>
      <c r="V1477" s="75" t="str">
        <f>IF(ISERROR(FIND('112'!$M$9,G1477,1)),"",IF((AND(RIGHT(G1477,2)=RIGHT('112'!$M$9,2),B1477&lt;'112'!$K$9,$O1477='112'!$I$6)),"x",""))</f>
        <v/>
      </c>
      <c r="W1477" s="75" t="str">
        <f>IF(AND('341-CT'!$H$9=H1477,OR(LEFT(N1477,3)=$W$7,LEFT(O1477,3)=$W$7)),"x","")</f>
        <v/>
      </c>
      <c r="X1477" s="75" t="str">
        <f>IF(OR(TH!N1477=TH!$X$7,O1477=TH!$X$7),"x","")</f>
        <v/>
      </c>
      <c r="Y1477" s="75" t="str">
        <f>IF(AND(OR(N1477="131",O1477="131"),H1477='131-CT'!$H$9),"x","")</f>
        <v/>
      </c>
      <c r="Z1477" s="75"/>
      <c r="AA1477" s="75" t="str">
        <f>IF(AND(MONTH(E1477)='IN-NX'!$J$5,'IN-NX'!$D$7=D1477),"x","")</f>
        <v/>
      </c>
      <c r="AB1477" s="75" t="str">
        <f>IF(AND(OR(LEFT(TH!N1477,2)="15",LEFT(TH!O1477,2)="15"),LEFT(TH!O1477,3)&lt;&gt;"111",'152-CT'!$J$8=TH!F1477),"x","")</f>
        <v/>
      </c>
      <c r="AC1477" s="75" t="str">
        <f>IF(AND(OR(LEFT(TH!N1477,2)="15",LEFT(TH!O1477,2)="15"),TK!$E$7=TH!F1477),"x","")</f>
        <v/>
      </c>
      <c r="AD1477" s="75" t="str">
        <f>IF(AND(N1477="1521",MONTH(C1477)='BK-NL'!$M$11),"x","")</f>
        <v/>
      </c>
      <c r="AF1477" s="1054"/>
    </row>
    <row r="1478" spans="1:32" ht="16.5" customHeight="1">
      <c r="A1478" s="309" t="str">
        <f>IF(B1478&lt;&gt;"",IF(AND(B1478='IN-TC'!$S$4,OR(TH!N1478="1111",TH!O1478="1111")),TH!D1478,""),"")</f>
        <v/>
      </c>
      <c r="B1478" s="1130">
        <f t="shared" si="354"/>
        <v>6</v>
      </c>
      <c r="C1478" s="217">
        <f t="shared" si="355"/>
        <v>42916</v>
      </c>
      <c r="D1478" s="217" t="s">
        <v>2950</v>
      </c>
      <c r="E1478" s="217">
        <v>42916</v>
      </c>
      <c r="F1478" s="429" t="s">
        <v>1584</v>
      </c>
      <c r="G1478" s="739"/>
      <c r="H1478" s="294" t="s">
        <v>2919</v>
      </c>
      <c r="I1478" s="373">
        <v>1680</v>
      </c>
      <c r="J1478" s="926">
        <v>199206.34226190476</v>
      </c>
      <c r="K1478" s="926"/>
      <c r="L1478" s="379"/>
      <c r="M1478" s="927">
        <f>ROUND(I1478*J1478,0)</f>
        <v>334666655</v>
      </c>
      <c r="N1478" s="935" t="s">
        <v>274</v>
      </c>
      <c r="O1478" s="935" t="s">
        <v>272</v>
      </c>
      <c r="P1478" s="75" t="str">
        <f>IF(AND('331-CT'!$E$7=TH!H1478,OR(N1478="331",O1478="331")),"x","")</f>
        <v/>
      </c>
      <c r="Q1478" s="75" t="str">
        <f>IF(AND(B1478='111'!$L$11,OR($N1478=$Q$7,$O1478=$Q$7)),"x","")</f>
        <v/>
      </c>
      <c r="R1478" s="75" t="str">
        <f>IF(AND($N1478=$Q$7,$B1478&lt;'111'!$L$11),"x","")</f>
        <v/>
      </c>
      <c r="S1478" s="75" t="str">
        <f>IF(AND($O1478=$Q$7,$B1478&lt;'111'!$L$11),"x","")</f>
        <v/>
      </c>
      <c r="T1478" s="75" t="str">
        <f>IF(ISERROR(FIND('112'!$M$9,G1478,1)),"",IF((AND(FIND('112'!$M$9,G1478,1)&gt;=1,B1478='112'!$K$9,OR($N1478='112'!$I$6,$O1478='112'!$I$6))),"x",""))</f>
        <v/>
      </c>
      <c r="U1478" s="75" t="str">
        <f>IF(ISERROR(FIND('112'!$M$9,G1478,1)),"",IF((AND(LEFT(G1478,2)=LEFT('112'!$M$9,2),B1478&lt;'112'!$K$9,$N1478='112'!$I$6)),"x",""))</f>
        <v/>
      </c>
      <c r="V1478" s="75" t="str">
        <f>IF(ISERROR(FIND('112'!$M$9,G1478,1)),"",IF((AND(RIGHT(G1478,2)=RIGHT('112'!$M$9,2),B1478&lt;'112'!$K$9,$O1478='112'!$I$6)),"x",""))</f>
        <v/>
      </c>
      <c r="W1478" s="75" t="str">
        <f>IF(AND('341-CT'!$H$9=H1478,OR(LEFT(N1478,3)=$W$7,LEFT(O1478,3)=$W$7)),"x","")</f>
        <v/>
      </c>
      <c r="X1478" s="75" t="str">
        <f>IF(OR(TH!N1478=TH!$X$7,O1478=TH!$X$7),"x","")</f>
        <v/>
      </c>
      <c r="Y1478" s="75" t="str">
        <f>IF(AND(OR(N1478="131",O1478="131"),H1478='131-CT'!$H$9),"x","")</f>
        <v/>
      </c>
      <c r="Z1478" s="75"/>
      <c r="AA1478" s="75" t="str">
        <f>IF(AND(MONTH(E1478)='IN-NX'!$J$5,'IN-NX'!$D$7=D1478),"x","")</f>
        <v/>
      </c>
      <c r="AB1478" s="75" t="str">
        <f>IF(AND(OR(LEFT(TH!N1478,2)="15",LEFT(TH!O1478,2)="15"),LEFT(TH!O1478,3)&lt;&gt;"111",'152-CT'!$J$8=TH!F1478),"x","")</f>
        <v/>
      </c>
      <c r="AC1478" s="75" t="str">
        <f>IF(AND(OR(LEFT(TH!N1478,2)="15",LEFT(TH!O1478,2)="15"),TK!$E$7=TH!F1478),"x","")</f>
        <v/>
      </c>
      <c r="AD1478" s="75" t="str">
        <f>IF(AND(N1478="1521",MONTH(C1478)='BK-NL'!$M$11),"x","")</f>
        <v/>
      </c>
      <c r="AF1478" s="1054"/>
    </row>
    <row r="1479" spans="1:32" ht="16.5" customHeight="1">
      <c r="A1479" s="309" t="str">
        <f>IF(B1479&lt;&gt;"",IF(AND(B1479='IN-TC'!$S$4,OR(TH!N1479="1111",TH!O1479="1111")),TH!D1479,""),"")</f>
        <v/>
      </c>
      <c r="B1479" s="1130">
        <f t="shared" si="354"/>
        <v>6</v>
      </c>
      <c r="C1479" s="217">
        <f t="shared" si="355"/>
        <v>42916</v>
      </c>
      <c r="D1479" s="217" t="s">
        <v>2950</v>
      </c>
      <c r="E1479" s="217">
        <v>42916</v>
      </c>
      <c r="F1479" s="429" t="s">
        <v>425</v>
      </c>
      <c r="G1479" s="739"/>
      <c r="H1479" s="294" t="s">
        <v>2919</v>
      </c>
      <c r="I1479" s="373">
        <v>2000</v>
      </c>
      <c r="J1479" s="926">
        <v>634868.09</v>
      </c>
      <c r="K1479" s="926"/>
      <c r="L1479" s="379"/>
      <c r="M1479" s="927">
        <f>ROUND(I1479*J1479,0)</f>
        <v>1269736180</v>
      </c>
      <c r="N1479" s="935" t="s">
        <v>274</v>
      </c>
      <c r="O1479" s="935" t="s">
        <v>272</v>
      </c>
      <c r="P1479" s="75" t="str">
        <f>IF(AND('331-CT'!$E$7=TH!H1479,OR(N1479="331",O1479="331")),"x","")</f>
        <v/>
      </c>
      <c r="Q1479" s="75" t="str">
        <f>IF(AND(B1479='111'!$L$11,OR($N1479=$Q$7,$O1479=$Q$7)),"x","")</f>
        <v/>
      </c>
      <c r="R1479" s="75" t="str">
        <f>IF(AND($N1479=$Q$7,$B1479&lt;'111'!$L$11),"x","")</f>
        <v/>
      </c>
      <c r="S1479" s="75" t="str">
        <f>IF(AND($O1479=$Q$7,$B1479&lt;'111'!$L$11),"x","")</f>
        <v/>
      </c>
      <c r="T1479" s="75" t="str">
        <f>IF(ISERROR(FIND('112'!$M$9,G1479,1)),"",IF((AND(FIND('112'!$M$9,G1479,1)&gt;=1,B1479='112'!$K$9,OR($N1479='112'!$I$6,$O1479='112'!$I$6))),"x",""))</f>
        <v/>
      </c>
      <c r="U1479" s="75" t="str">
        <f>IF(ISERROR(FIND('112'!$M$9,G1479,1)),"",IF((AND(LEFT(G1479,2)=LEFT('112'!$M$9,2),B1479&lt;'112'!$K$9,$N1479='112'!$I$6)),"x",""))</f>
        <v/>
      </c>
      <c r="V1479" s="75" t="str">
        <f>IF(ISERROR(FIND('112'!$M$9,G1479,1)),"",IF((AND(RIGHT(G1479,2)=RIGHT('112'!$M$9,2),B1479&lt;'112'!$K$9,$O1479='112'!$I$6)),"x",""))</f>
        <v/>
      </c>
      <c r="W1479" s="75" t="str">
        <f>IF(AND('341-CT'!$H$9=H1479,OR(LEFT(N1479,3)=$W$7,LEFT(O1479,3)=$W$7)),"x","")</f>
        <v/>
      </c>
      <c r="X1479" s="75" t="str">
        <f>IF(OR(TH!N1479=TH!$X$7,O1479=TH!$X$7),"x","")</f>
        <v/>
      </c>
      <c r="Y1479" s="75" t="str">
        <f>IF(AND(OR(N1479="131",O1479="131"),H1479='131-CT'!$H$9),"x","")</f>
        <v/>
      </c>
      <c r="Z1479" s="75"/>
      <c r="AA1479" s="75" t="str">
        <f>IF(AND(MONTH(E1479)='IN-NX'!$J$5,'IN-NX'!$D$7=D1479),"x","")</f>
        <v/>
      </c>
      <c r="AB1479" s="75" t="str">
        <f>IF(AND(OR(LEFT(TH!N1479,2)="15",LEFT(TH!O1479,2)="15"),LEFT(TH!O1479,3)&lt;&gt;"111",'152-CT'!$J$8=TH!F1479),"x","")</f>
        <v/>
      </c>
      <c r="AC1479" s="75" t="str">
        <f>IF(AND(OR(LEFT(TH!N1479,2)="15",LEFT(TH!O1479,2)="15"),TK!$E$7=TH!F1479),"x","")</f>
        <v/>
      </c>
      <c r="AD1479" s="75" t="str">
        <f>IF(AND(N1479="1521",MONTH(C1479)='BK-NL'!$M$11),"x","")</f>
        <v/>
      </c>
      <c r="AF1479" s="1054"/>
    </row>
    <row r="1480" spans="1:32" ht="16.5" customHeight="1">
      <c r="A1480" s="309" t="str">
        <f>IF(B1480&lt;&gt;"",IF(AND(B1480='IN-TC'!$S$4,OR(TH!N1480="1111",TH!O1480="1111")),TH!D1480,""),"")</f>
        <v/>
      </c>
      <c r="B1480" s="1130">
        <f t="shared" si="354"/>
        <v>6</v>
      </c>
      <c r="C1480" s="217">
        <f t="shared" si="355"/>
        <v>42916</v>
      </c>
      <c r="D1480" s="217" t="s">
        <v>2950</v>
      </c>
      <c r="E1480" s="217">
        <v>42916</v>
      </c>
      <c r="F1480" s="429" t="s">
        <v>426</v>
      </c>
      <c r="G1480" s="739"/>
      <c r="H1480" s="294" t="s">
        <v>2919</v>
      </c>
      <c r="I1480" s="373">
        <v>1600</v>
      </c>
      <c r="J1480" s="926">
        <v>196712.69625000001</v>
      </c>
      <c r="K1480" s="926"/>
      <c r="L1480" s="379"/>
      <c r="M1480" s="927">
        <f t="shared" ref="M1480:M1482" si="358">ROUND(I1480*J1480,0)</f>
        <v>314740314</v>
      </c>
      <c r="N1480" s="935" t="s">
        <v>274</v>
      </c>
      <c r="O1480" s="935" t="s">
        <v>272</v>
      </c>
      <c r="P1480" s="75" t="str">
        <f>IF(AND('331-CT'!$E$7=TH!H1480,OR(N1480="331",O1480="331")),"x","")</f>
        <v/>
      </c>
      <c r="Q1480" s="75" t="str">
        <f>IF(AND(B1480='111'!$L$11,OR($N1480=$Q$7,$O1480=$Q$7)),"x","")</f>
        <v/>
      </c>
      <c r="R1480" s="75" t="str">
        <f>IF(AND($N1480=$Q$7,$B1480&lt;'111'!$L$11),"x","")</f>
        <v/>
      </c>
      <c r="S1480" s="75" t="str">
        <f>IF(AND($O1480=$Q$7,$B1480&lt;'111'!$L$11),"x","")</f>
        <v/>
      </c>
      <c r="T1480" s="75" t="str">
        <f>IF(ISERROR(FIND('112'!$M$9,G1480,1)),"",IF((AND(FIND('112'!$M$9,G1480,1)&gt;=1,B1480='112'!$K$9,OR($N1480='112'!$I$6,$O1480='112'!$I$6))),"x",""))</f>
        <v/>
      </c>
      <c r="U1480" s="75" t="str">
        <f>IF(ISERROR(FIND('112'!$M$9,G1480,1)),"",IF((AND(LEFT(G1480,2)=LEFT('112'!$M$9,2),B1480&lt;'112'!$K$9,$N1480='112'!$I$6)),"x",""))</f>
        <v/>
      </c>
      <c r="V1480" s="75" t="str">
        <f>IF(ISERROR(FIND('112'!$M$9,G1480,1)),"",IF((AND(RIGHT(G1480,2)=RIGHT('112'!$M$9,2),B1480&lt;'112'!$K$9,$O1480='112'!$I$6)),"x",""))</f>
        <v/>
      </c>
      <c r="W1480" s="75" t="str">
        <f>IF(AND('341-CT'!$H$9=H1480,OR(LEFT(N1480,3)=$W$7,LEFT(O1480,3)=$W$7)),"x","")</f>
        <v/>
      </c>
      <c r="X1480" s="75" t="str">
        <f>IF(OR(TH!N1480=TH!$X$7,O1480=TH!$X$7),"x","")</f>
        <v/>
      </c>
      <c r="Y1480" s="75" t="str">
        <f>IF(AND(OR(N1480="131",O1480="131"),H1480='131-CT'!$H$9),"x","")</f>
        <v/>
      </c>
      <c r="Z1480" s="75"/>
      <c r="AA1480" s="75" t="str">
        <f>IF(AND(MONTH(E1480)='IN-NX'!$J$5,'IN-NX'!$D$7=D1480),"x","")</f>
        <v/>
      </c>
      <c r="AB1480" s="75" t="str">
        <f>IF(AND(OR(LEFT(TH!N1480,2)="15",LEFT(TH!O1480,2)="15"),LEFT(TH!O1480,3)&lt;&gt;"111",'152-CT'!$J$8=TH!F1480),"x","")</f>
        <v/>
      </c>
      <c r="AC1480" s="75" t="str">
        <f>IF(AND(OR(LEFT(TH!N1480,2)="15",LEFT(TH!O1480,2)="15"),TK!$E$7=TH!F1480),"x","")</f>
        <v/>
      </c>
      <c r="AD1480" s="75" t="str">
        <f>IF(AND(N1480="1521",MONTH(C1480)='BK-NL'!$M$11),"x","")</f>
        <v/>
      </c>
      <c r="AF1480" s="1054"/>
    </row>
    <row r="1481" spans="1:32" ht="16.5" customHeight="1">
      <c r="A1481" s="309" t="str">
        <f>IF(B1481&lt;&gt;"",IF(AND(B1481='IN-TC'!$S$4,OR(TH!N1481="1111",TH!O1481="1111")),TH!D1481,""),"")</f>
        <v/>
      </c>
      <c r="B1481" s="1130">
        <f t="shared" si="354"/>
        <v>6</v>
      </c>
      <c r="C1481" s="217">
        <f t="shared" si="355"/>
        <v>42916</v>
      </c>
      <c r="D1481" s="217" t="s">
        <v>2950</v>
      </c>
      <c r="E1481" s="217">
        <v>42916</v>
      </c>
      <c r="F1481" s="429" t="s">
        <v>1639</v>
      </c>
      <c r="G1481" s="739"/>
      <c r="H1481" s="294" t="s">
        <v>2919</v>
      </c>
      <c r="I1481" s="373">
        <v>3000</v>
      </c>
      <c r="J1481" s="926">
        <v>102323.91499999999</v>
      </c>
      <c r="K1481" s="926"/>
      <c r="L1481" s="379"/>
      <c r="M1481" s="927">
        <f t="shared" si="358"/>
        <v>306971745</v>
      </c>
      <c r="N1481" s="935" t="s">
        <v>274</v>
      </c>
      <c r="O1481" s="935" t="s">
        <v>272</v>
      </c>
      <c r="P1481" s="75" t="str">
        <f>IF(AND('331-CT'!$E$7=TH!H1481,OR(N1481="331",O1481="331")),"x","")</f>
        <v/>
      </c>
      <c r="Q1481" s="75" t="str">
        <f>IF(AND(B1481='111'!$L$11,OR($N1481=$Q$7,$O1481=$Q$7)),"x","")</f>
        <v/>
      </c>
      <c r="R1481" s="75" t="str">
        <f>IF(AND($N1481=$Q$7,$B1481&lt;'111'!$L$11),"x","")</f>
        <v/>
      </c>
      <c r="S1481" s="75" t="str">
        <f>IF(AND($O1481=$Q$7,$B1481&lt;'111'!$L$11),"x","")</f>
        <v/>
      </c>
      <c r="T1481" s="75" t="str">
        <f>IF(ISERROR(FIND('112'!$M$9,G1481,1)),"",IF((AND(FIND('112'!$M$9,G1481,1)&gt;=1,B1481='112'!$K$9,OR($N1481='112'!$I$6,$O1481='112'!$I$6))),"x",""))</f>
        <v/>
      </c>
      <c r="U1481" s="75" t="str">
        <f>IF(ISERROR(FIND('112'!$M$9,G1481,1)),"",IF((AND(LEFT(G1481,2)=LEFT('112'!$M$9,2),B1481&lt;'112'!$K$9,$N1481='112'!$I$6)),"x",""))</f>
        <v/>
      </c>
      <c r="V1481" s="75" t="str">
        <f>IF(ISERROR(FIND('112'!$M$9,G1481,1)),"",IF((AND(RIGHT(G1481,2)=RIGHT('112'!$M$9,2),B1481&lt;'112'!$K$9,$O1481='112'!$I$6)),"x",""))</f>
        <v/>
      </c>
      <c r="W1481" s="75" t="str">
        <f>IF(AND('341-CT'!$H$9=H1481,OR(LEFT(N1481,3)=$W$7,LEFT(O1481,3)=$W$7)),"x","")</f>
        <v/>
      </c>
      <c r="X1481" s="75" t="str">
        <f>IF(OR(TH!N1481=TH!$X$7,O1481=TH!$X$7),"x","")</f>
        <v/>
      </c>
      <c r="Y1481" s="75" t="str">
        <f>IF(AND(OR(N1481="131",O1481="131"),H1481='131-CT'!$H$9),"x","")</f>
        <v/>
      </c>
      <c r="Z1481" s="75"/>
      <c r="AA1481" s="75" t="str">
        <f>IF(AND(MONTH(E1481)='IN-NX'!$J$5,'IN-NX'!$D$7=D1481),"x","")</f>
        <v/>
      </c>
      <c r="AB1481" s="75" t="str">
        <f>IF(AND(OR(LEFT(TH!N1481,2)="15",LEFT(TH!O1481,2)="15"),LEFT(TH!O1481,3)&lt;&gt;"111",'152-CT'!$J$8=TH!F1481),"x","")</f>
        <v/>
      </c>
      <c r="AC1481" s="75" t="str">
        <f>IF(AND(OR(LEFT(TH!N1481,2)="15",LEFT(TH!O1481,2)="15"),TK!$E$7=TH!F1481),"x","")</f>
        <v/>
      </c>
      <c r="AD1481" s="75" t="str">
        <f>IF(AND(N1481="1521",MONTH(C1481)='BK-NL'!$M$11),"x","")</f>
        <v/>
      </c>
      <c r="AF1481" s="1054"/>
    </row>
    <row r="1482" spans="1:32" ht="16.5" customHeight="1">
      <c r="A1482" s="309" t="str">
        <f>IF(B1482&lt;&gt;"",IF(AND(B1482='IN-TC'!$S$4,OR(TH!N1482="1111",TH!O1482="1111")),TH!D1482,""),"")</f>
        <v/>
      </c>
      <c r="B1482" s="1130">
        <f t="shared" si="354"/>
        <v>6</v>
      </c>
      <c r="C1482" s="217">
        <f t="shared" si="355"/>
        <v>42916</v>
      </c>
      <c r="D1482" s="217" t="s">
        <v>2950</v>
      </c>
      <c r="E1482" s="217">
        <v>42916</v>
      </c>
      <c r="F1482" s="429" t="s">
        <v>1620</v>
      </c>
      <c r="G1482" s="739"/>
      <c r="H1482" s="294" t="s">
        <v>2919</v>
      </c>
      <c r="I1482" s="373">
        <v>90</v>
      </c>
      <c r="J1482" s="373">
        <v>306134.04444444447</v>
      </c>
      <c r="K1482" s="379"/>
      <c r="L1482" s="379"/>
      <c r="M1482" s="927">
        <f t="shared" si="358"/>
        <v>27552064</v>
      </c>
      <c r="N1482" s="935" t="s">
        <v>274</v>
      </c>
      <c r="O1482" s="935" t="s">
        <v>272</v>
      </c>
      <c r="P1482" s="75" t="str">
        <f>IF(AND('331-CT'!$E$7=TH!H1482,OR(N1482="331",O1482="331")),"x","")</f>
        <v/>
      </c>
      <c r="Q1482" s="75" t="str">
        <f>IF(AND(B1482='111'!$L$11,OR($N1482=$Q$7,$O1482=$Q$7)),"x","")</f>
        <v/>
      </c>
      <c r="R1482" s="75" t="str">
        <f>IF(AND($N1482=$Q$7,$B1482&lt;'111'!$L$11),"x","")</f>
        <v/>
      </c>
      <c r="S1482" s="75" t="str">
        <f>IF(AND($O1482=$Q$7,$B1482&lt;'111'!$L$11),"x","")</f>
        <v/>
      </c>
      <c r="T1482" s="75" t="str">
        <f>IF(ISERROR(FIND('112'!$M$9,G1482,1)),"",IF((AND(FIND('112'!$M$9,G1482,1)&gt;=1,B1482='112'!$K$9,OR($N1482='112'!$I$6,$O1482='112'!$I$6))),"x",""))</f>
        <v/>
      </c>
      <c r="U1482" s="75" t="str">
        <f>IF(ISERROR(FIND('112'!$M$9,G1482,1)),"",IF((AND(LEFT(G1482,2)=LEFT('112'!$M$9,2),B1482&lt;'112'!$K$9,$N1482='112'!$I$6)),"x",""))</f>
        <v/>
      </c>
      <c r="V1482" s="75" t="str">
        <f>IF(ISERROR(FIND('112'!$M$9,G1482,1)),"",IF((AND(RIGHT(G1482,2)=RIGHT('112'!$M$9,2),B1482&lt;'112'!$K$9,$O1482='112'!$I$6)),"x",""))</f>
        <v/>
      </c>
      <c r="W1482" s="75" t="str">
        <f>IF(AND('341-CT'!$H$9=H1482,OR(LEFT(N1482,3)=$W$7,LEFT(O1482,3)=$W$7)),"x","")</f>
        <v/>
      </c>
      <c r="X1482" s="75" t="str">
        <f>IF(OR(TH!N1482=TH!$X$7,O1482=TH!$X$7),"x","")</f>
        <v/>
      </c>
      <c r="Y1482" s="75" t="str">
        <f>IF(AND(OR(N1482="131",O1482="131"),H1482='131-CT'!$H$9),"x","")</f>
        <v/>
      </c>
      <c r="Z1482" s="75"/>
      <c r="AA1482" s="75" t="str">
        <f>IF(AND(MONTH(E1482)='IN-NX'!$J$5,'IN-NX'!$D$7=D1482),"x","")</f>
        <v/>
      </c>
      <c r="AB1482" s="75" t="str">
        <f>IF(AND(OR(LEFT(TH!N1482,2)="15",LEFT(TH!O1482,2)="15"),LEFT(TH!O1482,3)&lt;&gt;"111",'152-CT'!$J$8=TH!F1482),"x","")</f>
        <v/>
      </c>
      <c r="AC1482" s="75" t="str">
        <f>IF(AND(OR(LEFT(TH!N1482,2)="15",LEFT(TH!O1482,2)="15"),TK!$E$7=TH!F1482),"x","")</f>
        <v/>
      </c>
      <c r="AD1482" s="75" t="str">
        <f>IF(AND(N1482="1521",MONTH(C1482)='BK-NL'!$M$11),"x","")</f>
        <v/>
      </c>
      <c r="AF1482" s="1054"/>
    </row>
    <row r="1483" spans="1:32" s="1053" customFormat="1" ht="16.5" customHeight="1">
      <c r="A1483" s="309" t="str">
        <f>IF(B1483&lt;&gt;"",IF(AND(B1483='IN-TC'!$S$4,OR(TH!N1483="1111",TH!O1483="1111")),TH!D1483,""),"")</f>
        <v/>
      </c>
      <c r="B1483" s="1130">
        <f t="shared" si="349"/>
        <v>6</v>
      </c>
      <c r="C1483" s="217">
        <f t="shared" ref="C1483:C1490" si="359">E1483</f>
        <v>42916</v>
      </c>
      <c r="D1483" s="217" t="s">
        <v>2950</v>
      </c>
      <c r="E1483" s="217">
        <v>42916</v>
      </c>
      <c r="F1483" s="1031" t="s">
        <v>2477</v>
      </c>
      <c r="G1483" s="739"/>
      <c r="H1483" s="294" t="s">
        <v>2919</v>
      </c>
      <c r="I1483" s="373">
        <v>450</v>
      </c>
      <c r="J1483" s="926">
        <v>148634.04444444444</v>
      </c>
      <c r="K1483" s="926"/>
      <c r="L1483" s="379"/>
      <c r="M1483" s="927">
        <f t="shared" ref="M1483" si="360">ROUND(I1483*J1483,0)</f>
        <v>66885320</v>
      </c>
      <c r="N1483" s="935" t="s">
        <v>274</v>
      </c>
      <c r="O1483" s="935" t="s">
        <v>272</v>
      </c>
      <c r="P1483" s="75" t="str">
        <f>IF(AND('331-CT'!$E$7=TH!H1483,OR(N1483="331",O1483="331")),"x","")</f>
        <v/>
      </c>
      <c r="Q1483" s="75" t="str">
        <f>IF(AND(B1483='111'!$L$11,OR($N1483=$Q$7,$O1483=$Q$7)),"x","")</f>
        <v/>
      </c>
      <c r="R1483" s="75" t="str">
        <f>IF(AND($N1483=$Q$7,$B1483&lt;'111'!$L$11),"x","")</f>
        <v/>
      </c>
      <c r="S1483" s="75" t="str">
        <f>IF(AND($O1483=$Q$7,$B1483&lt;'111'!$L$11),"x","")</f>
        <v/>
      </c>
      <c r="T1483" s="75" t="str">
        <f>IF(ISERROR(FIND('112'!$M$9,G1483,1)),"",IF((AND(FIND('112'!$M$9,G1483,1)&gt;=1,B1483='112'!$K$9,OR($N1483='112'!$I$6,$O1483='112'!$I$6))),"x",""))</f>
        <v/>
      </c>
      <c r="U1483" s="75" t="str">
        <f>IF(ISERROR(FIND('112'!$M$9,G1483,1)),"",IF((AND(LEFT(G1483,2)=LEFT('112'!$M$9,2),B1483&lt;'112'!$K$9,$N1483='112'!$I$6)),"x",""))</f>
        <v/>
      </c>
      <c r="V1483" s="75" t="str">
        <f>IF(ISERROR(FIND('112'!$M$9,G1483,1)),"",IF((AND(RIGHT(G1483,2)=RIGHT('112'!$M$9,2),B1483&lt;'112'!$K$9,$O1483='112'!$I$6)),"x",""))</f>
        <v/>
      </c>
      <c r="W1483" s="75" t="str">
        <f>IF(AND('341-CT'!$H$9=H1483,OR(LEFT(N1483,3)=$W$7,LEFT(O1483,3)=$W$7)),"x","")</f>
        <v/>
      </c>
      <c r="X1483" s="75" t="str">
        <f>IF(OR(TH!N1483=TH!$X$7,O1483=TH!$X$7),"x","")</f>
        <v/>
      </c>
      <c r="Y1483" s="75" t="str">
        <f>IF(AND(OR(N1483="131",O1483="131"),H1483='131-CT'!$H$9),"x","")</f>
        <v/>
      </c>
      <c r="Z1483" s="75"/>
      <c r="AA1483" s="75" t="str">
        <f>IF(AND(MONTH(E1483)='IN-NX'!$J$5,'IN-NX'!$D$7=D1483),"x","")</f>
        <v/>
      </c>
      <c r="AB1483" s="75" t="str">
        <f>IF(AND(OR(LEFT(TH!N1483,2)="15",LEFT(TH!O1483,2)="15"),LEFT(TH!O1483,3)&lt;&gt;"111",'152-CT'!$J$8=TH!F1483),"x","")</f>
        <v/>
      </c>
      <c r="AC1483" s="75" t="str">
        <f>IF(AND(OR(LEFT(TH!N1483,2)="15",LEFT(TH!O1483,2)="15"),TK!$E$7=TH!F1483),"x","")</f>
        <v/>
      </c>
      <c r="AD1483" s="75" t="str">
        <f>IF(AND(N1483="1521",MONTH(C1483)='BK-NL'!$M$11),"x","")</f>
        <v/>
      </c>
      <c r="AF1483" s="1054"/>
    </row>
    <row r="1484" spans="1:32" ht="16.5" customHeight="1">
      <c r="A1484" s="309" t="str">
        <f>IF(B1484&lt;&gt;"",IF(AND(B1484='IN-TC'!$S$4,OR(TH!N1484="1111",TH!O1484="1111")),TH!D1484,""),"")</f>
        <v/>
      </c>
      <c r="B1484" s="1130">
        <f t="shared" si="349"/>
        <v>6</v>
      </c>
      <c r="C1484" s="217">
        <f t="shared" si="359"/>
        <v>42916</v>
      </c>
      <c r="D1484" s="217" t="s">
        <v>2950</v>
      </c>
      <c r="E1484" s="217">
        <v>42916</v>
      </c>
      <c r="F1484" s="429" t="s">
        <v>1621</v>
      </c>
      <c r="G1484" s="739"/>
      <c r="H1484" s="294" t="s">
        <v>2919</v>
      </c>
      <c r="I1484" s="373">
        <v>575</v>
      </c>
      <c r="J1484" s="926">
        <v>148634.04347826086</v>
      </c>
      <c r="K1484" s="926"/>
      <c r="L1484" s="379"/>
      <c r="M1484" s="927">
        <f>ROUND(I1484*J1484,0)</f>
        <v>85464575</v>
      </c>
      <c r="N1484" s="935" t="s">
        <v>274</v>
      </c>
      <c r="O1484" s="935" t="s">
        <v>272</v>
      </c>
      <c r="P1484" s="75" t="str">
        <f>IF(AND('331-CT'!$E$7=TH!H1484,OR(N1484="331",O1484="331")),"x","")</f>
        <v/>
      </c>
      <c r="Q1484" s="75" t="str">
        <f>IF(AND(B1484='111'!$L$11,OR($N1484=$Q$7,$O1484=$Q$7)),"x","")</f>
        <v/>
      </c>
      <c r="R1484" s="75" t="str">
        <f>IF(AND($N1484=$Q$7,$B1484&lt;'111'!$L$11),"x","")</f>
        <v/>
      </c>
      <c r="S1484" s="75" t="str">
        <f>IF(AND($O1484=$Q$7,$B1484&lt;'111'!$L$11),"x","")</f>
        <v/>
      </c>
      <c r="T1484" s="75" t="str">
        <f>IF(ISERROR(FIND('112'!$M$9,G1484,1)),"",IF((AND(FIND('112'!$M$9,G1484,1)&gt;=1,B1484='112'!$K$9,OR($N1484='112'!$I$6,$O1484='112'!$I$6))),"x",""))</f>
        <v/>
      </c>
      <c r="U1484" s="75" t="str">
        <f>IF(ISERROR(FIND('112'!$M$9,G1484,1)),"",IF((AND(LEFT(G1484,2)=LEFT('112'!$M$9,2),B1484&lt;'112'!$K$9,$N1484='112'!$I$6)),"x",""))</f>
        <v/>
      </c>
      <c r="V1484" s="75" t="str">
        <f>IF(ISERROR(FIND('112'!$M$9,G1484,1)),"",IF((AND(RIGHT(G1484,2)=RIGHT('112'!$M$9,2),B1484&lt;'112'!$K$9,$O1484='112'!$I$6)),"x",""))</f>
        <v/>
      </c>
      <c r="W1484" s="75" t="str">
        <f>IF(AND('341-CT'!$H$9=H1484,OR(LEFT(N1484,3)=$W$7,LEFT(O1484,3)=$W$7)),"x","")</f>
        <v/>
      </c>
      <c r="X1484" s="75" t="str">
        <f>IF(OR(TH!N1484=TH!$X$7,O1484=TH!$X$7),"x","")</f>
        <v/>
      </c>
      <c r="Y1484" s="75" t="str">
        <f>IF(AND(OR(N1484="131",O1484="131"),H1484='131-CT'!$H$9),"x","")</f>
        <v/>
      </c>
      <c r="Z1484" s="75"/>
      <c r="AA1484" s="75" t="str">
        <f>IF(AND(MONTH(E1484)='IN-NX'!$J$5,'IN-NX'!$D$7=D1484),"x","")</f>
        <v/>
      </c>
      <c r="AB1484" s="75" t="str">
        <f>IF(AND(OR(LEFT(TH!N1484,2)="15",LEFT(TH!O1484,2)="15"),LEFT(TH!O1484,3)&lt;&gt;"111",'152-CT'!$J$8=TH!F1484),"x","")</f>
        <v/>
      </c>
      <c r="AC1484" s="75" t="str">
        <f>IF(AND(OR(LEFT(TH!N1484,2)="15",LEFT(TH!O1484,2)="15"),TK!$E$7=TH!F1484),"x","")</f>
        <v/>
      </c>
      <c r="AD1484" s="75" t="str">
        <f>IF(AND(N1484="1521",MONTH(C1484)='BK-NL'!$M$11),"x","")</f>
        <v/>
      </c>
      <c r="AF1484" s="1054"/>
    </row>
    <row r="1485" spans="1:32" s="1053" customFormat="1" ht="16.5" customHeight="1">
      <c r="A1485" s="309" t="str">
        <f>IF(B1485&lt;&gt;"",IF(AND(B1485='IN-TC'!$S$4,OR(TH!N1485="1111",TH!O1485="1111")),TH!D1485,""),"")</f>
        <v/>
      </c>
      <c r="B1485" s="1130">
        <f t="shared" si="349"/>
        <v>6</v>
      </c>
      <c r="C1485" s="217">
        <f t="shared" si="359"/>
        <v>42916</v>
      </c>
      <c r="D1485" s="217" t="s">
        <v>2950</v>
      </c>
      <c r="E1485" s="217">
        <v>42916</v>
      </c>
      <c r="F1485" s="429" t="s">
        <v>418</v>
      </c>
      <c r="G1485" s="739"/>
      <c r="H1485" s="294" t="s">
        <v>2919</v>
      </c>
      <c r="I1485" s="373">
        <v>314</v>
      </c>
      <c r="J1485" s="926">
        <v>89134.71974522293</v>
      </c>
      <c r="K1485" s="926"/>
      <c r="L1485" s="379"/>
      <c r="M1485" s="927">
        <f t="shared" ref="M1485" si="361">ROUND(I1485*J1485,0)</f>
        <v>27988302</v>
      </c>
      <c r="N1485" s="935" t="s">
        <v>274</v>
      </c>
      <c r="O1485" s="935" t="s">
        <v>272</v>
      </c>
      <c r="P1485" s="75" t="str">
        <f>IF(AND('331-CT'!$E$7=TH!H1485,OR(N1485="331",O1485="331")),"x","")</f>
        <v/>
      </c>
      <c r="Q1485" s="75" t="str">
        <f>IF(AND(B1485='111'!$L$11,OR($N1485=$Q$7,$O1485=$Q$7)),"x","")</f>
        <v/>
      </c>
      <c r="R1485" s="75" t="str">
        <f>IF(AND($N1485=$Q$7,$B1485&lt;'111'!$L$11),"x","")</f>
        <v/>
      </c>
      <c r="S1485" s="75" t="str">
        <f>IF(AND($O1485=$Q$7,$B1485&lt;'111'!$L$11),"x","")</f>
        <v/>
      </c>
      <c r="T1485" s="75" t="str">
        <f>IF(ISERROR(FIND('112'!$M$9,G1485,1)),"",IF((AND(FIND('112'!$M$9,G1485,1)&gt;=1,B1485='112'!$K$9,OR($N1485='112'!$I$6,$O1485='112'!$I$6))),"x",""))</f>
        <v/>
      </c>
      <c r="U1485" s="75" t="str">
        <f>IF(ISERROR(FIND('112'!$M$9,G1485,1)),"",IF((AND(LEFT(G1485,2)=LEFT('112'!$M$9,2),B1485&lt;'112'!$K$9,$N1485='112'!$I$6)),"x",""))</f>
        <v/>
      </c>
      <c r="V1485" s="75" t="str">
        <f>IF(ISERROR(FIND('112'!$M$9,G1485,1)),"",IF((AND(RIGHT(G1485,2)=RIGHT('112'!$M$9,2),B1485&lt;'112'!$K$9,$O1485='112'!$I$6)),"x",""))</f>
        <v/>
      </c>
      <c r="W1485" s="75" t="str">
        <f>IF(AND('341-CT'!$H$9=H1485,OR(LEFT(N1485,3)=$W$7,LEFT(O1485,3)=$W$7)),"x","")</f>
        <v/>
      </c>
      <c r="X1485" s="75" t="str">
        <f>IF(OR(TH!N1485=TH!$X$7,O1485=TH!$X$7),"x","")</f>
        <v/>
      </c>
      <c r="Y1485" s="75" t="str">
        <f>IF(AND(OR(N1485="131",O1485="131"),H1485='131-CT'!$H$9),"x","")</f>
        <v/>
      </c>
      <c r="Z1485" s="75"/>
      <c r="AA1485" s="75" t="str">
        <f>IF(AND(MONTH(E1485)='IN-NX'!$J$5,'IN-NX'!$D$7=D1485),"x","")</f>
        <v/>
      </c>
      <c r="AB1485" s="75" t="str">
        <f>IF(AND(OR(LEFT(TH!N1485,2)="15",LEFT(TH!O1485,2)="15"),LEFT(TH!O1485,3)&lt;&gt;"111",'152-CT'!$J$8=TH!F1485),"x","")</f>
        <v/>
      </c>
      <c r="AC1485" s="75" t="str">
        <f>IF(AND(OR(LEFT(TH!N1485,2)="15",LEFT(TH!O1485,2)="15"),TK!$E$7=TH!F1485),"x","")</f>
        <v/>
      </c>
      <c r="AD1485" s="75" t="str">
        <f>IF(AND(N1485="1521",MONTH(C1485)='BK-NL'!$M$11),"x","")</f>
        <v/>
      </c>
      <c r="AF1485" s="1054"/>
    </row>
    <row r="1486" spans="1:32" ht="16.5" customHeight="1">
      <c r="A1486" s="309" t="str">
        <f>IF(B1486&lt;&gt;"",IF(AND(B1486='IN-TC'!$S$4,OR(TH!N1486="1111",TH!O1486="1111")),TH!D1486,""),"")</f>
        <v/>
      </c>
      <c r="B1486" s="1130">
        <f t="shared" si="349"/>
        <v>6</v>
      </c>
      <c r="C1486" s="217">
        <f t="shared" si="359"/>
        <v>42916</v>
      </c>
      <c r="D1486" s="217" t="s">
        <v>2950</v>
      </c>
      <c r="E1486" s="217">
        <v>42916</v>
      </c>
      <c r="F1486" s="429" t="s">
        <v>1406</v>
      </c>
      <c r="G1486" s="739"/>
      <c r="H1486" s="294" t="s">
        <v>2919</v>
      </c>
      <c r="I1486" s="373">
        <v>110</v>
      </c>
      <c r="J1486" s="926">
        <v>121134.04545454546</v>
      </c>
      <c r="K1486" s="926"/>
      <c r="L1486" s="379"/>
      <c r="M1486" s="927">
        <f>ROUND(I1486*J1486,0)</f>
        <v>13324745</v>
      </c>
      <c r="N1486" s="935" t="s">
        <v>274</v>
      </c>
      <c r="O1486" s="935" t="s">
        <v>272</v>
      </c>
      <c r="P1486" s="75" t="str">
        <f>IF(AND('331-CT'!$E$7=TH!H1486,OR(N1486="331",O1486="331")),"x","")</f>
        <v/>
      </c>
      <c r="Q1486" s="75" t="str">
        <f>IF(AND(B1486='111'!$L$11,OR($N1486=$Q$7,$O1486=$Q$7)),"x","")</f>
        <v/>
      </c>
      <c r="R1486" s="75" t="str">
        <f>IF(AND($N1486=$Q$7,$B1486&lt;'111'!$L$11),"x","")</f>
        <v/>
      </c>
      <c r="S1486" s="75" t="str">
        <f>IF(AND($O1486=$Q$7,$B1486&lt;'111'!$L$11),"x","")</f>
        <v/>
      </c>
      <c r="T1486" s="75" t="str">
        <f>IF(ISERROR(FIND('112'!$M$9,G1486,1)),"",IF((AND(FIND('112'!$M$9,G1486,1)&gt;=1,B1486='112'!$K$9,OR($N1486='112'!$I$6,$O1486='112'!$I$6))),"x",""))</f>
        <v/>
      </c>
      <c r="U1486" s="75" t="str">
        <f>IF(ISERROR(FIND('112'!$M$9,G1486,1)),"",IF((AND(LEFT(G1486,2)=LEFT('112'!$M$9,2),B1486&lt;'112'!$K$9,$N1486='112'!$I$6)),"x",""))</f>
        <v/>
      </c>
      <c r="V1486" s="75" t="str">
        <f>IF(ISERROR(FIND('112'!$M$9,G1486,1)),"",IF((AND(RIGHT(G1486,2)=RIGHT('112'!$M$9,2),B1486&lt;'112'!$K$9,$O1486='112'!$I$6)),"x",""))</f>
        <v/>
      </c>
      <c r="W1486" s="75" t="str">
        <f>IF(AND('341-CT'!$H$9=H1486,OR(LEFT(N1486,3)=$W$7,LEFT(O1486,3)=$W$7)),"x","")</f>
        <v/>
      </c>
      <c r="X1486" s="75" t="str">
        <f>IF(OR(TH!N1486=TH!$X$7,O1486=TH!$X$7),"x","")</f>
        <v/>
      </c>
      <c r="Y1486" s="75" t="str">
        <f>IF(AND(OR(N1486="131",O1486="131"),H1486='131-CT'!$H$9),"x","")</f>
        <v/>
      </c>
      <c r="Z1486" s="75"/>
      <c r="AA1486" s="75" t="str">
        <f>IF(AND(MONTH(E1486)='IN-NX'!$J$5,'IN-NX'!$D$7=D1486),"x","")</f>
        <v/>
      </c>
      <c r="AB1486" s="75" t="str">
        <f>IF(AND(OR(LEFT(TH!N1486,2)="15",LEFT(TH!O1486,2)="15"),LEFT(TH!O1486,3)&lt;&gt;"111",'152-CT'!$J$8=TH!F1486),"x","")</f>
        <v/>
      </c>
      <c r="AC1486" s="75" t="str">
        <f>IF(AND(OR(LEFT(TH!N1486,2)="15",LEFT(TH!O1486,2)="15"),TK!$E$7=TH!F1486),"x","")</f>
        <v/>
      </c>
      <c r="AD1486" s="75" t="str">
        <f>IF(AND(N1486="1521",MONTH(C1486)='BK-NL'!$M$11),"x","")</f>
        <v/>
      </c>
      <c r="AF1486" s="1054"/>
    </row>
    <row r="1487" spans="1:32" ht="16.5" customHeight="1">
      <c r="A1487" s="309" t="str">
        <f>IF(B1487&lt;&gt;"",IF(AND(B1487='IN-TC'!$S$4,OR(TH!N1487="1111",TH!O1487="1111")),TH!D1487,""),"")</f>
        <v/>
      </c>
      <c r="B1487" s="1130">
        <f t="shared" si="349"/>
        <v>6</v>
      </c>
      <c r="C1487" s="217">
        <f t="shared" si="359"/>
        <v>42916</v>
      </c>
      <c r="D1487" s="217" t="s">
        <v>2950</v>
      </c>
      <c r="E1487" s="217">
        <v>42916</v>
      </c>
      <c r="F1487" s="429" t="s">
        <v>1107</v>
      </c>
      <c r="G1487" s="739"/>
      <c r="H1487" s="294" t="s">
        <v>2919</v>
      </c>
      <c r="I1487" s="373">
        <v>120</v>
      </c>
      <c r="J1487" s="926">
        <v>209883.36666666667</v>
      </c>
      <c r="K1487" s="926"/>
      <c r="L1487" s="379"/>
      <c r="M1487" s="927">
        <f>ROUND(I1487*J1487,0)</f>
        <v>25186004</v>
      </c>
      <c r="N1487" s="935" t="s">
        <v>274</v>
      </c>
      <c r="O1487" s="935" t="s">
        <v>272</v>
      </c>
      <c r="P1487" s="75" t="str">
        <f>IF(AND('331-CT'!$E$7=TH!H1487,OR(N1487="331",O1487="331")),"x","")</f>
        <v/>
      </c>
      <c r="Q1487" s="75" t="str">
        <f>IF(AND(B1487='111'!$L$11,OR($N1487=$Q$7,$O1487=$Q$7)),"x","")</f>
        <v/>
      </c>
      <c r="R1487" s="75" t="str">
        <f>IF(AND($N1487=$Q$7,$B1487&lt;'111'!$L$11),"x","")</f>
        <v/>
      </c>
      <c r="S1487" s="75" t="str">
        <f>IF(AND($O1487=$Q$7,$B1487&lt;'111'!$L$11),"x","")</f>
        <v/>
      </c>
      <c r="T1487" s="75" t="str">
        <f>IF(ISERROR(FIND('112'!$M$9,G1487,1)),"",IF((AND(FIND('112'!$M$9,G1487,1)&gt;=1,B1487='112'!$K$9,OR($N1487='112'!$I$6,$O1487='112'!$I$6))),"x",""))</f>
        <v/>
      </c>
      <c r="U1487" s="75" t="str">
        <f>IF(ISERROR(FIND('112'!$M$9,G1487,1)),"",IF((AND(LEFT(G1487,2)=LEFT('112'!$M$9,2),B1487&lt;'112'!$K$9,$N1487='112'!$I$6)),"x",""))</f>
        <v/>
      </c>
      <c r="V1487" s="75" t="str">
        <f>IF(ISERROR(FIND('112'!$M$9,G1487,1)),"",IF((AND(RIGHT(G1487,2)=RIGHT('112'!$M$9,2),B1487&lt;'112'!$K$9,$O1487='112'!$I$6)),"x",""))</f>
        <v/>
      </c>
      <c r="W1487" s="75" t="str">
        <f>IF(AND('341-CT'!$H$9=H1487,OR(LEFT(N1487,3)=$W$7,LEFT(O1487,3)=$W$7)),"x","")</f>
        <v/>
      </c>
      <c r="X1487" s="75" t="str">
        <f>IF(OR(TH!N1487=TH!$X$7,O1487=TH!$X$7),"x","")</f>
        <v/>
      </c>
      <c r="Y1487" s="75" t="str">
        <f>IF(AND(OR(N1487="131",O1487="131"),H1487='131-CT'!$H$9),"x","")</f>
        <v/>
      </c>
      <c r="Z1487" s="75"/>
      <c r="AA1487" s="75" t="str">
        <f>IF(AND(MONTH(E1487)='IN-NX'!$J$5,'IN-NX'!$D$7=D1487),"x","")</f>
        <v/>
      </c>
      <c r="AB1487" s="75" t="str">
        <f>IF(AND(OR(LEFT(TH!N1487,2)="15",LEFT(TH!O1487,2)="15"),LEFT(TH!O1487,3)&lt;&gt;"111",'152-CT'!$J$8=TH!F1487),"x","")</f>
        <v/>
      </c>
      <c r="AC1487" s="75" t="str">
        <f>IF(AND(OR(LEFT(TH!N1487,2)="15",LEFT(TH!O1487,2)="15"),TK!$E$7=TH!F1487),"x","")</f>
        <v/>
      </c>
      <c r="AD1487" s="75" t="str">
        <f>IF(AND(N1487="1521",MONTH(C1487)='BK-NL'!$M$11),"x","")</f>
        <v/>
      </c>
      <c r="AF1487" s="1054"/>
    </row>
    <row r="1488" spans="1:32" ht="16.5" customHeight="1">
      <c r="A1488" s="309" t="str">
        <f>IF(B1488&lt;&gt;"",IF(AND(B1488='IN-TC'!$S$4,OR(TH!N1488="1111",TH!O1488="1111")),TH!D1488,""),"")</f>
        <v/>
      </c>
      <c r="B1488" s="1130">
        <f t="shared" si="349"/>
        <v>6</v>
      </c>
      <c r="C1488" s="217">
        <f t="shared" si="359"/>
        <v>42916</v>
      </c>
      <c r="D1488" s="217" t="s">
        <v>2950</v>
      </c>
      <c r="E1488" s="217">
        <v>42916</v>
      </c>
      <c r="F1488" s="429" t="s">
        <v>799</v>
      </c>
      <c r="G1488" s="739"/>
      <c r="H1488" s="294" t="s">
        <v>2919</v>
      </c>
      <c r="I1488" s="373">
        <v>165.5</v>
      </c>
      <c r="J1488" s="926">
        <v>114632.69486404833</v>
      </c>
      <c r="K1488" s="926"/>
      <c r="L1488" s="379"/>
      <c r="M1488" s="927">
        <f t="shared" ref="M1488:M1490" si="362">ROUND(I1488*J1488,0)</f>
        <v>18971711</v>
      </c>
      <c r="N1488" s="935" t="s">
        <v>274</v>
      </c>
      <c r="O1488" s="935" t="s">
        <v>272</v>
      </c>
      <c r="P1488" s="75" t="str">
        <f>IF(AND('331-CT'!$E$7=TH!H1488,OR(N1488="331",O1488="331")),"x","")</f>
        <v/>
      </c>
      <c r="Q1488" s="75" t="str">
        <f>IF(AND(B1488='111'!$L$11,OR($N1488=$Q$7,$O1488=$Q$7)),"x","")</f>
        <v/>
      </c>
      <c r="R1488" s="75" t="str">
        <f>IF(AND($N1488=$Q$7,$B1488&lt;'111'!$L$11),"x","")</f>
        <v/>
      </c>
      <c r="S1488" s="75" t="str">
        <f>IF(AND($O1488=$Q$7,$B1488&lt;'111'!$L$11),"x","")</f>
        <v/>
      </c>
      <c r="T1488" s="75" t="str">
        <f>IF(ISERROR(FIND('112'!$M$9,G1488,1)),"",IF((AND(FIND('112'!$M$9,G1488,1)&gt;=1,B1488='112'!$K$9,OR($N1488='112'!$I$6,$O1488='112'!$I$6))),"x",""))</f>
        <v/>
      </c>
      <c r="U1488" s="75" t="str">
        <f>IF(ISERROR(FIND('112'!$M$9,G1488,1)),"",IF((AND(LEFT(G1488,2)=LEFT('112'!$M$9,2),B1488&lt;'112'!$K$9,$N1488='112'!$I$6)),"x",""))</f>
        <v/>
      </c>
      <c r="V1488" s="75" t="str">
        <f>IF(ISERROR(FIND('112'!$M$9,G1488,1)),"",IF((AND(RIGHT(G1488,2)=RIGHT('112'!$M$9,2),B1488&lt;'112'!$K$9,$O1488='112'!$I$6)),"x",""))</f>
        <v/>
      </c>
      <c r="W1488" s="75" t="str">
        <f>IF(AND('341-CT'!$H$9=H1488,OR(LEFT(N1488,3)=$W$7,LEFT(O1488,3)=$W$7)),"x","")</f>
        <v/>
      </c>
      <c r="X1488" s="75" t="str">
        <f>IF(OR(TH!N1488=TH!$X$7,O1488=TH!$X$7),"x","")</f>
        <v/>
      </c>
      <c r="Y1488" s="75" t="str">
        <f>IF(AND(OR(N1488="131",O1488="131"),H1488='131-CT'!$H$9),"x","")</f>
        <v/>
      </c>
      <c r="Z1488" s="75"/>
      <c r="AA1488" s="75" t="str">
        <f>IF(AND(MONTH(E1488)='IN-NX'!$J$5,'IN-NX'!$D$7=D1488),"x","")</f>
        <v/>
      </c>
      <c r="AB1488" s="75" t="str">
        <f>IF(AND(OR(LEFT(TH!N1488,2)="15",LEFT(TH!O1488,2)="15"),LEFT(TH!O1488,3)&lt;&gt;"111",'152-CT'!$J$8=TH!F1488),"x","")</f>
        <v/>
      </c>
      <c r="AC1488" s="75" t="str">
        <f>IF(AND(OR(LEFT(TH!N1488,2)="15",LEFT(TH!O1488,2)="15"),TK!$E$7=TH!F1488),"x","")</f>
        <v/>
      </c>
      <c r="AD1488" s="75" t="str">
        <f>IF(AND(N1488="1521",MONTH(C1488)='BK-NL'!$M$11),"x","")</f>
        <v/>
      </c>
      <c r="AF1488" s="1054"/>
    </row>
    <row r="1489" spans="1:32" ht="16.5" customHeight="1">
      <c r="A1489" s="309" t="str">
        <f>IF(B1489&lt;&gt;"",IF(AND(B1489='IN-TC'!$S$4,OR(TH!N1489="1111",TH!O1489="1111")),TH!D1489,""),"")</f>
        <v/>
      </c>
      <c r="B1489" s="1130">
        <f t="shared" si="349"/>
        <v>6</v>
      </c>
      <c r="C1489" s="217">
        <f t="shared" si="359"/>
        <v>42916</v>
      </c>
      <c r="D1489" s="217" t="s">
        <v>2950</v>
      </c>
      <c r="E1489" s="217">
        <v>42916</v>
      </c>
      <c r="F1489" s="429" t="s">
        <v>800</v>
      </c>
      <c r="G1489" s="739"/>
      <c r="H1489" s="294" t="s">
        <v>2919</v>
      </c>
      <c r="I1489" s="373">
        <v>210</v>
      </c>
      <c r="J1489" s="926">
        <v>198632.69523809524</v>
      </c>
      <c r="K1489" s="926"/>
      <c r="L1489" s="379"/>
      <c r="M1489" s="927">
        <f t="shared" si="362"/>
        <v>41712866</v>
      </c>
      <c r="N1489" s="935" t="s">
        <v>274</v>
      </c>
      <c r="O1489" s="935" t="s">
        <v>272</v>
      </c>
      <c r="P1489" s="75" t="str">
        <f>IF(AND('331-CT'!$E$7=TH!H1489,OR(N1489="331",O1489="331")),"x","")</f>
        <v/>
      </c>
      <c r="Q1489" s="75" t="str">
        <f>IF(AND(B1489='111'!$L$11,OR($N1489=$Q$7,$O1489=$Q$7)),"x","")</f>
        <v/>
      </c>
      <c r="R1489" s="75" t="str">
        <f>IF(AND($N1489=$Q$7,$B1489&lt;'111'!$L$11),"x","")</f>
        <v/>
      </c>
      <c r="S1489" s="75" t="str">
        <f>IF(AND($O1489=$Q$7,$B1489&lt;'111'!$L$11),"x","")</f>
        <v/>
      </c>
      <c r="T1489" s="75" t="str">
        <f>IF(ISERROR(FIND('112'!$M$9,G1489,1)),"",IF((AND(FIND('112'!$M$9,G1489,1)&gt;=1,B1489='112'!$K$9,OR($N1489='112'!$I$6,$O1489='112'!$I$6))),"x",""))</f>
        <v/>
      </c>
      <c r="U1489" s="75" t="str">
        <f>IF(ISERROR(FIND('112'!$M$9,G1489,1)),"",IF((AND(LEFT(G1489,2)=LEFT('112'!$M$9,2),B1489&lt;'112'!$K$9,$N1489='112'!$I$6)),"x",""))</f>
        <v/>
      </c>
      <c r="V1489" s="75" t="str">
        <f>IF(ISERROR(FIND('112'!$M$9,G1489,1)),"",IF((AND(RIGHT(G1489,2)=RIGHT('112'!$M$9,2),B1489&lt;'112'!$K$9,$O1489='112'!$I$6)),"x",""))</f>
        <v/>
      </c>
      <c r="W1489" s="75" t="str">
        <f>IF(AND('341-CT'!$H$9=H1489,OR(LEFT(N1489,3)=$W$7,LEFT(O1489,3)=$W$7)),"x","")</f>
        <v/>
      </c>
      <c r="X1489" s="75" t="str">
        <f>IF(OR(TH!N1489=TH!$X$7,O1489=TH!$X$7),"x","")</f>
        <v/>
      </c>
      <c r="Y1489" s="75" t="str">
        <f>IF(AND(OR(N1489="131",O1489="131"),H1489='131-CT'!$H$9),"x","")</f>
        <v/>
      </c>
      <c r="Z1489" s="75"/>
      <c r="AA1489" s="75" t="str">
        <f>IF(AND(MONTH(E1489)='IN-NX'!$J$5,'IN-NX'!$D$7=D1489),"x","")</f>
        <v/>
      </c>
      <c r="AB1489" s="75" t="str">
        <f>IF(AND(OR(LEFT(TH!N1489,2)="15",LEFT(TH!O1489,2)="15"),LEFT(TH!O1489,3)&lt;&gt;"111",'152-CT'!$J$8=TH!F1489),"x","")</f>
        <v/>
      </c>
      <c r="AC1489" s="75" t="str">
        <f>IF(AND(OR(LEFT(TH!N1489,2)="15",LEFT(TH!O1489,2)="15"),TK!$E$7=TH!F1489),"x","")</f>
        <v/>
      </c>
      <c r="AD1489" s="75" t="str">
        <f>IF(AND(N1489="1521",MONTH(C1489)='BK-NL'!$M$11),"x","")</f>
        <v/>
      </c>
      <c r="AF1489" s="1054"/>
    </row>
    <row r="1490" spans="1:32" ht="16.5" customHeight="1">
      <c r="A1490" s="309" t="str">
        <f>IF(B1490&lt;&gt;"",IF(AND(B1490='IN-TC'!$S$4,OR(TH!N1490="1111",TH!O1490="1111")),TH!D1490,""),"")</f>
        <v/>
      </c>
      <c r="B1490" s="1130">
        <f t="shared" si="349"/>
        <v>6</v>
      </c>
      <c r="C1490" s="217">
        <f t="shared" si="359"/>
        <v>42916</v>
      </c>
      <c r="D1490" s="217" t="s">
        <v>2950</v>
      </c>
      <c r="E1490" s="217">
        <v>42916</v>
      </c>
      <c r="F1490" s="429" t="s">
        <v>1618</v>
      </c>
      <c r="G1490" s="739"/>
      <c r="H1490" s="294" t="s">
        <v>2919</v>
      </c>
      <c r="I1490" s="373">
        <v>30</v>
      </c>
      <c r="J1490" s="373">
        <v>543737.83333333337</v>
      </c>
      <c r="K1490" s="379"/>
      <c r="L1490" s="379"/>
      <c r="M1490" s="927">
        <f t="shared" si="362"/>
        <v>16312135</v>
      </c>
      <c r="N1490" s="935" t="s">
        <v>274</v>
      </c>
      <c r="O1490" s="935" t="s">
        <v>272</v>
      </c>
      <c r="P1490" s="75" t="str">
        <f>IF(AND('331-CT'!$E$7=TH!H1490,OR(N1490="331",O1490="331")),"x","")</f>
        <v/>
      </c>
      <c r="Q1490" s="75" t="str">
        <f>IF(AND(B1490='111'!$L$11,OR($N1490=$Q$7,$O1490=$Q$7)),"x","")</f>
        <v/>
      </c>
      <c r="R1490" s="75" t="str">
        <f>IF(AND($N1490=$Q$7,$B1490&lt;'111'!$L$11),"x","")</f>
        <v/>
      </c>
      <c r="S1490" s="75" t="str">
        <f>IF(AND($O1490=$Q$7,$B1490&lt;'111'!$L$11),"x","")</f>
        <v/>
      </c>
      <c r="T1490" s="75" t="str">
        <f>IF(ISERROR(FIND('112'!$M$9,G1490,1)),"",IF((AND(FIND('112'!$M$9,G1490,1)&gt;=1,B1490='112'!$K$9,OR($N1490='112'!$I$6,$O1490='112'!$I$6))),"x",""))</f>
        <v/>
      </c>
      <c r="U1490" s="75" t="str">
        <f>IF(ISERROR(FIND('112'!$M$9,G1490,1)),"",IF((AND(LEFT(G1490,2)=LEFT('112'!$M$9,2),B1490&lt;'112'!$K$9,$N1490='112'!$I$6)),"x",""))</f>
        <v/>
      </c>
      <c r="V1490" s="75" t="str">
        <f>IF(ISERROR(FIND('112'!$M$9,G1490,1)),"",IF((AND(RIGHT(G1490,2)=RIGHT('112'!$M$9,2),B1490&lt;'112'!$K$9,$O1490='112'!$I$6)),"x",""))</f>
        <v/>
      </c>
      <c r="W1490" s="75" t="str">
        <f>IF(AND('341-CT'!$H$9=H1490,OR(LEFT(N1490,3)=$W$7,LEFT(O1490,3)=$W$7)),"x","")</f>
        <v/>
      </c>
      <c r="X1490" s="75" t="str">
        <f>IF(OR(TH!N1490=TH!$X$7,O1490=TH!$X$7),"x","")</f>
        <v/>
      </c>
      <c r="Y1490" s="75" t="str">
        <f>IF(AND(OR(N1490="131",O1490="131"),H1490='131-CT'!$H$9),"x","")</f>
        <v/>
      </c>
      <c r="Z1490" s="75"/>
      <c r="AA1490" s="75" t="str">
        <f>IF(AND(MONTH(E1490)='IN-NX'!$J$5,'IN-NX'!$D$7=D1490),"x","")</f>
        <v/>
      </c>
      <c r="AB1490" s="75" t="str">
        <f>IF(AND(OR(LEFT(TH!N1490,2)="15",LEFT(TH!O1490,2)="15"),LEFT(TH!O1490,3)&lt;&gt;"111",'152-CT'!$J$8=TH!F1490),"x","")</f>
        <v/>
      </c>
      <c r="AC1490" s="75" t="str">
        <f>IF(AND(OR(LEFT(TH!N1490,2)="15",LEFT(TH!O1490,2)="15"),TK!$E$7=TH!F1490),"x","")</f>
        <v/>
      </c>
      <c r="AD1490" s="75" t="str">
        <f>IF(AND(N1490="1521",MONTH(C1490)='BK-NL'!$M$11),"x","")</f>
        <v/>
      </c>
      <c r="AF1490" s="1054"/>
    </row>
    <row r="1491" spans="1:32" s="1053" customFormat="1" ht="16.5" customHeight="1">
      <c r="A1491" s="309" t="str">
        <f>IF(B1491&lt;&gt;"",IF(AND(B1491='IN-TC'!$S$4,OR(TH!N1491="1111",TH!O1491="1111")),TH!D1491,""),"")</f>
        <v/>
      </c>
      <c r="B1491" s="1130">
        <f t="shared" si="349"/>
        <v>6</v>
      </c>
      <c r="C1491" s="217">
        <f t="shared" ref="C1491:C1493" si="363">E1491</f>
        <v>42916</v>
      </c>
      <c r="D1491" s="217" t="s">
        <v>2950</v>
      </c>
      <c r="E1491" s="217">
        <v>42916</v>
      </c>
      <c r="F1491" s="1031" t="s">
        <v>425</v>
      </c>
      <c r="G1491" s="739"/>
      <c r="H1491" s="294" t="s">
        <v>2919</v>
      </c>
      <c r="I1491" s="373">
        <v>70</v>
      </c>
      <c r="J1491" s="926">
        <v>637287.6857142857</v>
      </c>
      <c r="K1491" s="926"/>
      <c r="L1491" s="379"/>
      <c r="M1491" s="927">
        <f t="shared" si="351"/>
        <v>44610138</v>
      </c>
      <c r="N1491" s="935" t="s">
        <v>274</v>
      </c>
      <c r="O1491" s="935" t="s">
        <v>272</v>
      </c>
      <c r="P1491" s="75" t="str">
        <f>IF(AND('331-CT'!$E$7=TH!H1491,OR(N1491="331",O1491="331")),"x","")</f>
        <v/>
      </c>
      <c r="Q1491" s="75" t="str">
        <f>IF(AND(B1491='111'!$L$11,OR($N1491=$Q$7,$O1491=$Q$7)),"x","")</f>
        <v/>
      </c>
      <c r="R1491" s="75" t="str">
        <f>IF(AND($N1491=$Q$7,$B1491&lt;'111'!$L$11),"x","")</f>
        <v/>
      </c>
      <c r="S1491" s="75" t="str">
        <f>IF(AND($O1491=$Q$7,$B1491&lt;'111'!$L$11),"x","")</f>
        <v/>
      </c>
      <c r="T1491" s="75" t="str">
        <f>IF(ISERROR(FIND('112'!$M$9,G1491,1)),"",IF((AND(FIND('112'!$M$9,G1491,1)&gt;=1,B1491='112'!$K$9,OR($N1491='112'!$I$6,$O1491='112'!$I$6))),"x",""))</f>
        <v/>
      </c>
      <c r="U1491" s="75" t="str">
        <f>IF(ISERROR(FIND('112'!$M$9,G1491,1)),"",IF((AND(LEFT(G1491,2)=LEFT('112'!$M$9,2),B1491&lt;'112'!$K$9,$N1491='112'!$I$6)),"x",""))</f>
        <v/>
      </c>
      <c r="V1491" s="75" t="str">
        <f>IF(ISERROR(FIND('112'!$M$9,G1491,1)),"",IF((AND(RIGHT(G1491,2)=RIGHT('112'!$M$9,2),B1491&lt;'112'!$K$9,$O1491='112'!$I$6)),"x",""))</f>
        <v/>
      </c>
      <c r="W1491" s="75" t="str">
        <f>IF(AND('341-CT'!$H$9=H1491,OR(LEFT(N1491,3)=$W$7,LEFT(O1491,3)=$W$7)),"x","")</f>
        <v/>
      </c>
      <c r="X1491" s="75" t="str">
        <f>IF(OR(TH!N1491=TH!$X$7,O1491=TH!$X$7),"x","")</f>
        <v/>
      </c>
      <c r="Y1491" s="75" t="str">
        <f>IF(AND(OR(N1491="131",O1491="131"),H1491='131-CT'!$H$9),"x","")</f>
        <v/>
      </c>
      <c r="Z1491" s="75"/>
      <c r="AA1491" s="75" t="str">
        <f>IF(AND(MONTH(E1491)='IN-NX'!$J$5,'IN-NX'!$D$7=D1491),"x","")</f>
        <v/>
      </c>
      <c r="AB1491" s="75" t="str">
        <f>IF(AND(OR(LEFT(TH!N1491,2)="15",LEFT(TH!O1491,2)="15"),LEFT(TH!O1491,3)&lt;&gt;"111",'152-CT'!$J$8=TH!F1491),"x","")</f>
        <v/>
      </c>
      <c r="AC1491" s="75" t="str">
        <f>IF(AND(OR(LEFT(TH!N1491,2)="15",LEFT(TH!O1491,2)="15"),TK!$E$7=TH!F1491),"x","")</f>
        <v/>
      </c>
      <c r="AD1491" s="75" t="str">
        <f>IF(AND(N1491="1521",MONTH(C1491)='BK-NL'!$M$11),"x","")</f>
        <v/>
      </c>
      <c r="AF1491" s="1054"/>
    </row>
    <row r="1492" spans="1:32" ht="16.5" customHeight="1">
      <c r="A1492" s="309" t="str">
        <f>IF(B1492&lt;&gt;"",IF(AND(B1492='IN-TC'!$S$4,OR(TH!N1492="1111",TH!O1492="1111")),TH!D1492,""),"")</f>
        <v/>
      </c>
      <c r="B1492" s="1130">
        <f t="shared" si="349"/>
        <v>6</v>
      </c>
      <c r="C1492" s="217">
        <f t="shared" si="363"/>
        <v>42916</v>
      </c>
      <c r="D1492" s="217" t="s">
        <v>2950</v>
      </c>
      <c r="E1492" s="217">
        <v>42916</v>
      </c>
      <c r="F1492" s="429" t="s">
        <v>2198</v>
      </c>
      <c r="G1492" s="739"/>
      <c r="H1492" s="294" t="s">
        <v>2919</v>
      </c>
      <c r="I1492" s="373">
        <v>2</v>
      </c>
      <c r="J1492" s="926">
        <v>207630</v>
      </c>
      <c r="K1492" s="926"/>
      <c r="L1492" s="379"/>
      <c r="M1492" s="927">
        <f>ROUND(I1492*J1492,0)</f>
        <v>415260</v>
      </c>
      <c r="N1492" s="935" t="s">
        <v>274</v>
      </c>
      <c r="O1492" s="935" t="s">
        <v>272</v>
      </c>
      <c r="P1492" s="75" t="str">
        <f>IF(AND('331-CT'!$E$7=TH!H1492,OR(N1492="331",O1492="331")),"x","")</f>
        <v/>
      </c>
      <c r="Q1492" s="75" t="str">
        <f>IF(AND(B1492='111'!$L$11,OR($N1492=$Q$7,$O1492=$Q$7)),"x","")</f>
        <v/>
      </c>
      <c r="R1492" s="75" t="str">
        <f>IF(AND($N1492=$Q$7,$B1492&lt;'111'!$L$11),"x","")</f>
        <v/>
      </c>
      <c r="S1492" s="75" t="str">
        <f>IF(AND($O1492=$Q$7,$B1492&lt;'111'!$L$11),"x","")</f>
        <v/>
      </c>
      <c r="T1492" s="75" t="str">
        <f>IF(ISERROR(FIND('112'!$M$9,G1492,1)),"",IF((AND(FIND('112'!$M$9,G1492,1)&gt;=1,B1492='112'!$K$9,OR($N1492='112'!$I$6,$O1492='112'!$I$6))),"x",""))</f>
        <v/>
      </c>
      <c r="U1492" s="75" t="str">
        <f>IF(ISERROR(FIND('112'!$M$9,G1492,1)),"",IF((AND(LEFT(G1492,2)=LEFT('112'!$M$9,2),B1492&lt;'112'!$K$9,$N1492='112'!$I$6)),"x",""))</f>
        <v/>
      </c>
      <c r="V1492" s="75" t="str">
        <f>IF(ISERROR(FIND('112'!$M$9,G1492,1)),"",IF((AND(RIGHT(G1492,2)=RIGHT('112'!$M$9,2),B1492&lt;'112'!$K$9,$O1492='112'!$I$6)),"x",""))</f>
        <v/>
      </c>
      <c r="W1492" s="75" t="str">
        <f>IF(AND('341-CT'!$H$9=H1492,OR(LEFT(N1492,3)=$W$7,LEFT(O1492,3)=$W$7)),"x","")</f>
        <v/>
      </c>
      <c r="X1492" s="75" t="str">
        <f>IF(OR(TH!N1492=TH!$X$7,O1492=TH!$X$7),"x","")</f>
        <v/>
      </c>
      <c r="Y1492" s="75" t="str">
        <f>IF(AND(OR(N1492="131",O1492="131"),H1492='131-CT'!$H$9),"x","")</f>
        <v/>
      </c>
      <c r="Z1492" s="75"/>
      <c r="AA1492" s="75" t="str">
        <f>IF(AND(MONTH(E1492)='IN-NX'!$J$5,'IN-NX'!$D$7=D1492),"x","")</f>
        <v/>
      </c>
      <c r="AB1492" s="75" t="str">
        <f>IF(AND(OR(LEFT(TH!N1492,2)="15",LEFT(TH!O1492,2)="15"),LEFT(TH!O1492,3)&lt;&gt;"111",'152-CT'!$J$8=TH!F1492),"x","")</f>
        <v/>
      </c>
      <c r="AC1492" s="75" t="str">
        <f>IF(AND(OR(LEFT(TH!N1492,2)="15",LEFT(TH!O1492,2)="15"),TK!$E$7=TH!F1492),"x","")</f>
        <v/>
      </c>
      <c r="AD1492" s="75" t="str">
        <f>IF(AND(N1492="1521",MONTH(C1492)='BK-NL'!$M$11),"x","")</f>
        <v/>
      </c>
      <c r="AF1492" s="1054"/>
    </row>
    <row r="1493" spans="1:32" s="1053" customFormat="1" ht="16.5" customHeight="1">
      <c r="A1493" s="309" t="str">
        <f>IF(B1493&lt;&gt;"",IF(AND(B1493='IN-TC'!$S$4,OR(TH!N1493="1111",TH!O1493="1111")),TH!D1493,""),"")</f>
        <v/>
      </c>
      <c r="B1493" s="1130">
        <f t="shared" si="349"/>
        <v>6</v>
      </c>
      <c r="C1493" s="217">
        <f t="shared" si="363"/>
        <v>42916</v>
      </c>
      <c r="D1493" s="217" t="s">
        <v>2950</v>
      </c>
      <c r="E1493" s="217">
        <v>42916</v>
      </c>
      <c r="F1493" s="429" t="s">
        <v>1617</v>
      </c>
      <c r="G1493" s="739"/>
      <c r="H1493" s="294" t="s">
        <v>2919</v>
      </c>
      <c r="I1493" s="373">
        <v>202</v>
      </c>
      <c r="J1493" s="926">
        <v>681134.04455445544</v>
      </c>
      <c r="K1493" s="926"/>
      <c r="L1493" s="379"/>
      <c r="M1493" s="927">
        <f t="shared" ref="M1493" si="364">ROUND(I1493*J1493,0)</f>
        <v>137589077</v>
      </c>
      <c r="N1493" s="935" t="s">
        <v>274</v>
      </c>
      <c r="O1493" s="935" t="s">
        <v>272</v>
      </c>
      <c r="P1493" s="75" t="str">
        <f>IF(AND('331-CT'!$E$7=TH!H1493,OR(N1493="331",O1493="331")),"x","")</f>
        <v/>
      </c>
      <c r="Q1493" s="75" t="str">
        <f>IF(AND(B1493='111'!$L$11,OR($N1493=$Q$7,$O1493=$Q$7)),"x","")</f>
        <v/>
      </c>
      <c r="R1493" s="75" t="str">
        <f>IF(AND($N1493=$Q$7,$B1493&lt;'111'!$L$11),"x","")</f>
        <v/>
      </c>
      <c r="S1493" s="75" t="str">
        <f>IF(AND($O1493=$Q$7,$B1493&lt;'111'!$L$11),"x","")</f>
        <v/>
      </c>
      <c r="T1493" s="75" t="str">
        <f>IF(ISERROR(FIND('112'!$M$9,G1493,1)),"",IF((AND(FIND('112'!$M$9,G1493,1)&gt;=1,B1493='112'!$K$9,OR($N1493='112'!$I$6,$O1493='112'!$I$6))),"x",""))</f>
        <v/>
      </c>
      <c r="U1493" s="75" t="str">
        <f>IF(ISERROR(FIND('112'!$M$9,G1493,1)),"",IF((AND(LEFT(G1493,2)=LEFT('112'!$M$9,2),B1493&lt;'112'!$K$9,$N1493='112'!$I$6)),"x",""))</f>
        <v/>
      </c>
      <c r="V1493" s="75" t="str">
        <f>IF(ISERROR(FIND('112'!$M$9,G1493,1)),"",IF((AND(RIGHT(G1493,2)=RIGHT('112'!$M$9,2),B1493&lt;'112'!$K$9,$O1493='112'!$I$6)),"x",""))</f>
        <v/>
      </c>
      <c r="W1493" s="75" t="str">
        <f>IF(AND('341-CT'!$H$9=H1493,OR(LEFT(N1493,3)=$W$7,LEFT(O1493,3)=$W$7)),"x","")</f>
        <v/>
      </c>
      <c r="X1493" s="75" t="str">
        <f>IF(OR(TH!N1493=TH!$X$7,O1493=TH!$X$7),"x","")</f>
        <v/>
      </c>
      <c r="Y1493" s="75" t="str">
        <f>IF(AND(OR(N1493="131",O1493="131"),H1493='131-CT'!$H$9),"x","")</f>
        <v/>
      </c>
      <c r="Z1493" s="75"/>
      <c r="AA1493" s="75" t="str">
        <f>IF(AND(MONTH(E1493)='IN-NX'!$J$5,'IN-NX'!$D$7=D1493),"x","")</f>
        <v/>
      </c>
      <c r="AB1493" s="75" t="str">
        <f>IF(AND(OR(LEFT(TH!N1493,2)="15",LEFT(TH!O1493,2)="15"),LEFT(TH!O1493,3)&lt;&gt;"111",'152-CT'!$J$8=TH!F1493),"x","")</f>
        <v/>
      </c>
      <c r="AC1493" s="75" t="str">
        <f>IF(AND(OR(LEFT(TH!N1493,2)="15",LEFT(TH!O1493,2)="15"),TK!$E$7=TH!F1493),"x","")</f>
        <v/>
      </c>
      <c r="AD1493" s="75" t="str">
        <f>IF(AND(N1493="1521",MONTH(C1493)='BK-NL'!$M$11),"x","")</f>
        <v/>
      </c>
      <c r="AF1493" s="1054"/>
    </row>
    <row r="1494" spans="1:32" s="1264" customFormat="1" ht="16.5" customHeight="1">
      <c r="A1494" s="309" t="str">
        <f>IF(B1494&lt;&gt;"",IF(AND(B1494='IN-TC'!$S$4,OR(TH!N1494="1111",TH!O1494="1111")),TH!D1494,""),"")</f>
        <v/>
      </c>
      <c r="B1494" s="1130">
        <f>IF(C1494&lt;&gt;"",MONTH(C1494),"")</f>
        <v>6</v>
      </c>
      <c r="C1494" s="252">
        <f>E1494</f>
        <v>42916</v>
      </c>
      <c r="D1494" s="252" t="s">
        <v>2921</v>
      </c>
      <c r="E1494" s="252">
        <v>42916</v>
      </c>
      <c r="F1494" s="1055" t="s">
        <v>429</v>
      </c>
      <c r="G1494" s="1056" t="s">
        <v>2925</v>
      </c>
      <c r="H1494" s="73" t="s">
        <v>789</v>
      </c>
      <c r="I1494" s="371">
        <f>26390*2+24538*3</f>
        <v>126394</v>
      </c>
      <c r="J1494" s="371">
        <v>57000</v>
      </c>
      <c r="K1494" s="371"/>
      <c r="L1494" s="377"/>
      <c r="M1494" s="933">
        <f>ROUND(I1494*J1494,0)</f>
        <v>7204458000</v>
      </c>
      <c r="N1494" s="977" t="s">
        <v>284</v>
      </c>
      <c r="O1494" s="977" t="s">
        <v>274</v>
      </c>
      <c r="P1494" s="75" t="str">
        <f>IF(AND('331-CT'!$E$7=TH!H1494,OR(N1494="331",O1494="331")),"x","")</f>
        <v/>
      </c>
      <c r="Q1494" s="75" t="str">
        <f>IF(AND(B1494='111'!$L$11,OR($N1494=$Q$7,$O1494=$Q$7)),"x","")</f>
        <v/>
      </c>
      <c r="R1494" s="75" t="str">
        <f>IF(AND($N1494=$Q$7,$B1494&lt;'111'!$L$11),"x","")</f>
        <v/>
      </c>
      <c r="S1494" s="75" t="str">
        <f>IF(AND($O1494=$Q$7,$B1494&lt;'111'!$L$11),"x","")</f>
        <v/>
      </c>
      <c r="T1494" s="75" t="str">
        <f>IF(ISERROR(FIND('112'!$M$9,G1494,1)),"",IF((AND(FIND('112'!$M$9,G1494,1)&gt;=1,B1494='112'!$K$9,OR($N1494='112'!$I$6,$O1494='112'!$I$6))),"x",""))</f>
        <v/>
      </c>
      <c r="U1494" s="75" t="str">
        <f>IF(ISERROR(FIND('112'!$M$9,G1494,1)),"",IF((AND(LEFT(G1494,2)=LEFT('112'!$M$9,2),B1494&lt;'112'!$K$9,$N1494='112'!$I$6)),"x",""))</f>
        <v/>
      </c>
      <c r="V1494" s="75" t="str">
        <f>IF(ISERROR(FIND('112'!$M$9,G1494,1)),"",IF((AND(RIGHT(G1494,2)=RIGHT('112'!$M$9,2),B1494&lt;'112'!$K$9,$O1494='112'!$I$6)),"x",""))</f>
        <v/>
      </c>
      <c r="W1494" s="75" t="str">
        <f>IF(AND('341-CT'!$H$9=H1494,OR(LEFT(N1494,3)=$W$7,LEFT(O1494,3)=$W$7)),"x","")</f>
        <v/>
      </c>
      <c r="X1494" s="75" t="str">
        <f>IF(OR(TH!N1494=TH!$X$7,O1494=TH!$X$7),"x","")</f>
        <v/>
      </c>
      <c r="Y1494" s="75" t="str">
        <f>IF(AND(OR(N1494="131",O1494="131"),H1494='131-CT'!$H$9),"x","")</f>
        <v/>
      </c>
      <c r="Z1494" s="75"/>
      <c r="AA1494" s="75" t="str">
        <f>IF(AND(MONTH(E1494)='IN-NX'!$J$5,'IN-NX'!$D$7=D1494),"x","")</f>
        <v/>
      </c>
      <c r="AB1494" s="75" t="str">
        <f>IF(AND(OR(LEFT(TH!N1494,2)="15",LEFT(TH!O1494,2)="15"),LEFT(TH!O1494,3)&lt;&gt;"111",'152-CT'!$J$8=TH!F1494),"x","")</f>
        <v/>
      </c>
      <c r="AC1494" s="75" t="str">
        <f>IF(AND(OR(LEFT(TH!N1494,2)="15",LEFT(TH!O1494,2)="15"),TK!$E$7=TH!F1494),"x","")</f>
        <v/>
      </c>
      <c r="AD1494" s="75" t="str">
        <f>IF(AND(N1494="1521",MONTH(C1494)='BK-NL'!$M$11),"x","")</f>
        <v/>
      </c>
      <c r="AF1494" s="1054"/>
    </row>
    <row r="1495" spans="1:32" s="1264" customFormat="1" ht="16.5" customHeight="1">
      <c r="A1495" s="309" t="str">
        <f>IF(B1495&lt;&gt;"",IF(AND(B1495='IN-TC'!$S$4,OR(TH!N1495="1111",TH!O1495="1111")),TH!D1495,""),"")</f>
        <v/>
      </c>
      <c r="B1495" s="1130">
        <f>IF(C1495&lt;&gt;"",MONTH(C1495),"")</f>
        <v>6</v>
      </c>
      <c r="C1495" s="252">
        <f>E1495</f>
        <v>42916</v>
      </c>
      <c r="D1495" s="252" t="s">
        <v>2921</v>
      </c>
      <c r="E1495" s="252">
        <v>42916</v>
      </c>
      <c r="F1495" s="1055" t="s">
        <v>429</v>
      </c>
      <c r="G1495" s="1056" t="s">
        <v>1575</v>
      </c>
      <c r="H1495" s="73" t="s">
        <v>789</v>
      </c>
      <c r="I1495" s="371">
        <v>24923.9</v>
      </c>
      <c r="J1495" s="371">
        <v>54000</v>
      </c>
      <c r="K1495" s="371"/>
      <c r="L1495" s="377"/>
      <c r="M1495" s="933">
        <f>ROUND(I1495*J1495,0)</f>
        <v>1345890600</v>
      </c>
      <c r="N1495" s="977" t="s">
        <v>284</v>
      </c>
      <c r="O1495" s="977" t="s">
        <v>274</v>
      </c>
      <c r="P1495" s="75" t="str">
        <f>IF(AND('331-CT'!$E$7=TH!H1495,OR(N1495="331",O1495="331")),"x","")</f>
        <v/>
      </c>
      <c r="Q1495" s="75" t="str">
        <f>IF(AND(B1495='111'!$L$11,OR($N1495=$Q$7,$O1495=$Q$7)),"x","")</f>
        <v/>
      </c>
      <c r="R1495" s="75" t="str">
        <f>IF(AND($N1495=$Q$7,$B1495&lt;'111'!$L$11),"x","")</f>
        <v/>
      </c>
      <c r="S1495" s="75" t="str">
        <f>IF(AND($O1495=$Q$7,$B1495&lt;'111'!$L$11),"x","")</f>
        <v/>
      </c>
      <c r="T1495" s="75" t="str">
        <f>IF(ISERROR(FIND('112'!$M$9,G1495,1)),"",IF((AND(FIND('112'!$M$9,G1495,1)&gt;=1,B1495='112'!$K$9,OR($N1495='112'!$I$6,$O1495='112'!$I$6))),"x",""))</f>
        <v/>
      </c>
      <c r="U1495" s="75" t="str">
        <f>IF(ISERROR(FIND('112'!$M$9,G1495,1)),"",IF((AND(LEFT(G1495,2)=LEFT('112'!$M$9,2),B1495&lt;'112'!$K$9,$N1495='112'!$I$6)),"x",""))</f>
        <v/>
      </c>
      <c r="V1495" s="75" t="str">
        <f>IF(ISERROR(FIND('112'!$M$9,G1495,1)),"",IF((AND(RIGHT(G1495,2)=RIGHT('112'!$M$9,2),B1495&lt;'112'!$K$9,$O1495='112'!$I$6)),"x",""))</f>
        <v/>
      </c>
      <c r="W1495" s="75" t="str">
        <f>IF(AND('341-CT'!$H$9=H1495,OR(LEFT(N1495,3)=$W$7,LEFT(O1495,3)=$W$7)),"x","")</f>
        <v/>
      </c>
      <c r="X1495" s="75" t="str">
        <f>IF(OR(TH!N1495=TH!$X$7,O1495=TH!$X$7),"x","")</f>
        <v/>
      </c>
      <c r="Y1495" s="75" t="str">
        <f>IF(AND(OR(N1495="131",O1495="131"),H1495='131-CT'!$H$9),"x","")</f>
        <v/>
      </c>
      <c r="Z1495" s="75"/>
      <c r="AA1495" s="75" t="str">
        <f>IF(AND(MONTH(E1495)='IN-NX'!$J$5,'IN-NX'!$D$7=D1495),"x","")</f>
        <v/>
      </c>
      <c r="AB1495" s="75" t="str">
        <f>IF(AND(OR(LEFT(TH!N1495,2)="15",LEFT(TH!O1495,2)="15"),LEFT(TH!O1495,3)&lt;&gt;"111",'152-CT'!$J$8=TH!F1495),"x","")</f>
        <v/>
      </c>
      <c r="AC1495" s="75" t="str">
        <f>IF(AND(OR(LEFT(TH!N1495,2)="15",LEFT(TH!O1495,2)="15"),TK!$E$7=TH!F1495),"x","")</f>
        <v/>
      </c>
      <c r="AD1495" s="75" t="str">
        <f>IF(AND(N1495="1521",MONTH(C1495)='BK-NL'!$M$11),"x","")</f>
        <v/>
      </c>
      <c r="AF1495" s="1054"/>
    </row>
    <row r="1496" spans="1:32" s="1264" customFormat="1" ht="16.5" customHeight="1">
      <c r="A1496" s="309" t="str">
        <f>IF(B1496&lt;&gt;"",IF(AND(B1496='IN-TC'!$S$4,OR(TH!N1496="1111",TH!O1496="1111")),TH!D1496,""),"")</f>
        <v/>
      </c>
      <c r="B1496" s="1130">
        <f t="shared" si="349"/>
        <v>6</v>
      </c>
      <c r="C1496" s="252">
        <f t="shared" ref="C1496:C1503" si="365">E1496</f>
        <v>42916</v>
      </c>
      <c r="D1496" s="252" t="s">
        <v>2921</v>
      </c>
      <c r="E1496" s="252">
        <v>42916</v>
      </c>
      <c r="F1496" s="1055" t="s">
        <v>429</v>
      </c>
      <c r="G1496" s="1056" t="s">
        <v>2926</v>
      </c>
      <c r="H1496" s="735" t="s">
        <v>623</v>
      </c>
      <c r="I1496" s="371">
        <f>52780+34030</f>
        <v>86810</v>
      </c>
      <c r="J1496" s="371">
        <v>59500</v>
      </c>
      <c r="K1496" s="371"/>
      <c r="L1496" s="377"/>
      <c r="M1496" s="933">
        <f t="shared" ref="M1496:M1503" si="366">ROUND(I1496*J1496,0)</f>
        <v>5165195000</v>
      </c>
      <c r="N1496" s="977" t="s">
        <v>284</v>
      </c>
      <c r="O1496" s="977" t="s">
        <v>274</v>
      </c>
      <c r="P1496" s="75" t="str">
        <f>IF(AND('331-CT'!$E$7=TH!H1496,OR(N1496="331",O1496="331")),"x","")</f>
        <v/>
      </c>
      <c r="Q1496" s="75" t="str">
        <f>IF(AND(B1496='111'!$L$11,OR($N1496=$Q$7,$O1496=$Q$7)),"x","")</f>
        <v/>
      </c>
      <c r="R1496" s="75" t="str">
        <f>IF(AND($N1496=$Q$7,$B1496&lt;'111'!$L$11),"x","")</f>
        <v/>
      </c>
      <c r="S1496" s="75" t="str">
        <f>IF(AND($O1496=$Q$7,$B1496&lt;'111'!$L$11),"x","")</f>
        <v/>
      </c>
      <c r="T1496" s="75" t="str">
        <f>IF(ISERROR(FIND('112'!$M$9,G1496,1)),"",IF((AND(FIND('112'!$M$9,G1496,1)&gt;=1,B1496='112'!$K$9,OR($N1496='112'!$I$6,$O1496='112'!$I$6))),"x",""))</f>
        <v/>
      </c>
      <c r="U1496" s="75" t="str">
        <f>IF(ISERROR(FIND('112'!$M$9,G1496,1)),"",IF((AND(LEFT(G1496,2)=LEFT('112'!$M$9,2),B1496&lt;'112'!$K$9,$N1496='112'!$I$6)),"x",""))</f>
        <v/>
      </c>
      <c r="V1496" s="75" t="str">
        <f>IF(ISERROR(FIND('112'!$M$9,G1496,1)),"",IF((AND(RIGHT(G1496,2)=RIGHT('112'!$M$9,2),B1496&lt;'112'!$K$9,$O1496='112'!$I$6)),"x",""))</f>
        <v/>
      </c>
      <c r="W1496" s="75" t="str">
        <f>IF(AND('341-CT'!$H$9=H1496,OR(LEFT(N1496,3)=$W$7,LEFT(O1496,3)=$W$7)),"x","")</f>
        <v/>
      </c>
      <c r="X1496" s="75" t="str">
        <f>IF(OR(TH!N1496=TH!$X$7,O1496=TH!$X$7),"x","")</f>
        <v/>
      </c>
      <c r="Y1496" s="75" t="str">
        <f>IF(AND(OR(N1496="131",O1496="131"),H1496='131-CT'!$H$9),"x","")</f>
        <v/>
      </c>
      <c r="Z1496" s="75"/>
      <c r="AA1496" s="75" t="str">
        <f>IF(AND(MONTH(E1496)='IN-NX'!$J$5,'IN-NX'!$D$7=D1496),"x","")</f>
        <v/>
      </c>
      <c r="AB1496" s="75" t="str">
        <f>IF(AND(OR(LEFT(TH!N1496,2)="15",LEFT(TH!O1496,2)="15"),LEFT(TH!O1496,3)&lt;&gt;"111",'152-CT'!$J$8=TH!F1496),"x","")</f>
        <v/>
      </c>
      <c r="AC1496" s="75" t="str">
        <f>IF(AND(OR(LEFT(TH!N1496,2)="15",LEFT(TH!O1496,2)="15"),TK!$E$7=TH!F1496),"x","")</f>
        <v/>
      </c>
      <c r="AD1496" s="75" t="str">
        <f>IF(AND(N1496="1521",MONTH(C1496)='BK-NL'!$M$11),"x","")</f>
        <v/>
      </c>
      <c r="AF1496" s="1054"/>
    </row>
    <row r="1497" spans="1:32" s="1264" customFormat="1" ht="16.5" customHeight="1">
      <c r="A1497" s="309" t="str">
        <f>IF(B1497&lt;&gt;"",IF(AND(B1497='IN-TC'!$S$4,OR(TH!N1497="1111",TH!O1497="1111")),TH!D1497,""),"")</f>
        <v/>
      </c>
      <c r="B1497" s="1130">
        <f>IF(C1497&lt;&gt;"",MONTH(C1497),"")</f>
        <v>6</v>
      </c>
      <c r="C1497" s="252">
        <f>E1497</f>
        <v>42916</v>
      </c>
      <c r="D1497" s="252" t="s">
        <v>2921</v>
      </c>
      <c r="E1497" s="252">
        <v>42916</v>
      </c>
      <c r="F1497" s="1055" t="s">
        <v>429</v>
      </c>
      <c r="G1497" s="1056" t="s">
        <v>2927</v>
      </c>
      <c r="H1497" s="735" t="s">
        <v>759</v>
      </c>
      <c r="I1497" s="371">
        <v>18750</v>
      </c>
      <c r="J1497" s="371">
        <v>66677.092640000003</v>
      </c>
      <c r="K1497" s="371"/>
      <c r="L1497" s="377"/>
      <c r="M1497" s="933">
        <f>ROUND(I1497*J1497,0)</f>
        <v>1250195487</v>
      </c>
      <c r="N1497" s="977" t="s">
        <v>284</v>
      </c>
      <c r="O1497" s="977" t="s">
        <v>274</v>
      </c>
      <c r="P1497" s="75" t="str">
        <f>IF(AND('331-CT'!$E$7=TH!H1497,OR(N1497="331",O1497="331")),"x","")</f>
        <v/>
      </c>
      <c r="Q1497" s="75" t="str">
        <f>IF(AND(B1497='111'!$L$11,OR($N1497=$Q$7,$O1497=$Q$7)),"x","")</f>
        <v/>
      </c>
      <c r="R1497" s="75" t="str">
        <f>IF(AND($N1497=$Q$7,$B1497&lt;'111'!$L$11),"x","")</f>
        <v/>
      </c>
      <c r="S1497" s="75" t="str">
        <f>IF(AND($O1497=$Q$7,$B1497&lt;'111'!$L$11),"x","")</f>
        <v/>
      </c>
      <c r="T1497" s="75" t="str">
        <f>IF(ISERROR(FIND('112'!$M$9,G1497,1)),"",IF((AND(FIND('112'!$M$9,G1497,1)&gt;=1,B1497='112'!$K$9,OR($N1497='112'!$I$6,$O1497='112'!$I$6))),"x",""))</f>
        <v/>
      </c>
      <c r="U1497" s="75" t="str">
        <f>IF(ISERROR(FIND('112'!$M$9,G1497,1)),"",IF((AND(LEFT(G1497,2)=LEFT('112'!$M$9,2),B1497&lt;'112'!$K$9,$N1497='112'!$I$6)),"x",""))</f>
        <v/>
      </c>
      <c r="V1497" s="75" t="str">
        <f>IF(ISERROR(FIND('112'!$M$9,G1497,1)),"",IF((AND(RIGHT(G1497,2)=RIGHT('112'!$M$9,2),B1497&lt;'112'!$K$9,$O1497='112'!$I$6)),"x",""))</f>
        <v/>
      </c>
      <c r="W1497" s="75" t="str">
        <f>IF(AND('341-CT'!$H$9=H1497,OR(LEFT(N1497,3)=$W$7,LEFT(O1497,3)=$W$7)),"x","")</f>
        <v/>
      </c>
      <c r="X1497" s="75" t="str">
        <f>IF(OR(TH!N1497=TH!$X$7,O1497=TH!$X$7),"x","")</f>
        <v/>
      </c>
      <c r="Y1497" s="75" t="str">
        <f>IF(AND(OR(N1497="131",O1497="131"),H1497='131-CT'!$H$9),"x","")</f>
        <v/>
      </c>
      <c r="Z1497" s="75"/>
      <c r="AA1497" s="75" t="str">
        <f>IF(AND(MONTH(E1497)='IN-NX'!$J$5,'IN-NX'!$D$7=D1497),"x","")</f>
        <v/>
      </c>
      <c r="AB1497" s="75" t="str">
        <f>IF(AND(OR(LEFT(TH!N1497,2)="15",LEFT(TH!O1497,2)="15"),LEFT(TH!O1497,3)&lt;&gt;"111",'152-CT'!$J$8=TH!F1497),"x","")</f>
        <v/>
      </c>
      <c r="AC1497" s="75" t="str">
        <f>IF(AND(OR(LEFT(TH!N1497,2)="15",LEFT(TH!O1497,2)="15"),TK!$E$7=TH!F1497),"x","")</f>
        <v/>
      </c>
      <c r="AD1497" s="75" t="str">
        <f>IF(AND(N1497="1521",MONTH(C1497)='BK-NL'!$M$11),"x","")</f>
        <v/>
      </c>
      <c r="AF1497" s="1054"/>
    </row>
    <row r="1498" spans="1:32" s="1264" customFormat="1" ht="16.5" customHeight="1">
      <c r="A1498" s="309" t="str">
        <f>IF(B1498&lt;&gt;"",IF(AND(B1498='IN-TC'!$S$4,OR(TH!N1498="1111",TH!O1498="1111")),TH!D1498,""),"")</f>
        <v/>
      </c>
      <c r="B1498" s="1130">
        <f>IF(C1498&lt;&gt;"",MONTH(C1498),"")</f>
        <v>6</v>
      </c>
      <c r="C1498" s="252">
        <f>E1498</f>
        <v>42916</v>
      </c>
      <c r="D1498" s="252" t="s">
        <v>2921</v>
      </c>
      <c r="E1498" s="252">
        <v>42916</v>
      </c>
      <c r="F1498" s="1055" t="s">
        <v>429</v>
      </c>
      <c r="G1498" s="1056" t="s">
        <v>2927</v>
      </c>
      <c r="H1498" s="735" t="s">
        <v>759</v>
      </c>
      <c r="I1498" s="371">
        <f>105560*2+52780+105560-SUM(I1494:I1497)</f>
        <v>112582.1</v>
      </c>
      <c r="J1498" s="371">
        <v>61472.818840650507</v>
      </c>
      <c r="K1498" s="371"/>
      <c r="L1498" s="377"/>
      <c r="M1498" s="933">
        <f>ROUND(I1498*J1498,0)</f>
        <v>6920739038</v>
      </c>
      <c r="N1498" s="977" t="s">
        <v>284</v>
      </c>
      <c r="O1498" s="977" t="s">
        <v>274</v>
      </c>
      <c r="P1498" s="75" t="str">
        <f>IF(AND('331-CT'!$E$7=TH!H1498,OR(N1498="331",O1498="331")),"x","")</f>
        <v/>
      </c>
      <c r="Q1498" s="75" t="str">
        <f>IF(AND(B1498='111'!$L$11,OR($N1498=$Q$7,$O1498=$Q$7)),"x","")</f>
        <v/>
      </c>
      <c r="R1498" s="75" t="str">
        <f>IF(AND($N1498=$Q$7,$B1498&lt;'111'!$L$11),"x","")</f>
        <v/>
      </c>
      <c r="S1498" s="75" t="str">
        <f>IF(AND($O1498=$Q$7,$B1498&lt;'111'!$L$11),"x","")</f>
        <v/>
      </c>
      <c r="T1498" s="75" t="str">
        <f>IF(ISERROR(FIND('112'!$M$9,G1498,1)),"",IF((AND(FIND('112'!$M$9,G1498,1)&gt;=1,B1498='112'!$K$9,OR($N1498='112'!$I$6,$O1498='112'!$I$6))),"x",""))</f>
        <v/>
      </c>
      <c r="U1498" s="75" t="str">
        <f>IF(ISERROR(FIND('112'!$M$9,G1498,1)),"",IF((AND(LEFT(G1498,2)=LEFT('112'!$M$9,2),B1498&lt;'112'!$K$9,$N1498='112'!$I$6)),"x",""))</f>
        <v/>
      </c>
      <c r="V1498" s="75" t="str">
        <f>IF(ISERROR(FIND('112'!$M$9,G1498,1)),"",IF((AND(RIGHT(G1498,2)=RIGHT('112'!$M$9,2),B1498&lt;'112'!$K$9,$O1498='112'!$I$6)),"x",""))</f>
        <v/>
      </c>
      <c r="W1498" s="75" t="str">
        <f>IF(AND('341-CT'!$H$9=H1498,OR(LEFT(N1498,3)=$W$7,LEFT(O1498,3)=$W$7)),"x","")</f>
        <v/>
      </c>
      <c r="X1498" s="75" t="str">
        <f>IF(OR(TH!N1498=TH!$X$7,O1498=TH!$X$7),"x","")</f>
        <v/>
      </c>
      <c r="Y1498" s="75" t="str">
        <f>IF(AND(OR(N1498="131",O1498="131"),H1498='131-CT'!$H$9),"x","")</f>
        <v/>
      </c>
      <c r="Z1498" s="75"/>
      <c r="AA1498" s="75" t="str">
        <f>IF(AND(MONTH(E1498)='IN-NX'!$J$5,'IN-NX'!$D$7=D1498),"x","")</f>
        <v/>
      </c>
      <c r="AB1498" s="75" t="str">
        <f>IF(AND(OR(LEFT(TH!N1498,2)="15",LEFT(TH!O1498,2)="15"),LEFT(TH!O1498,3)&lt;&gt;"111",'152-CT'!$J$8=TH!F1498),"x","")</f>
        <v/>
      </c>
      <c r="AC1498" s="75" t="str">
        <f>IF(AND(OR(LEFT(TH!N1498,2)="15",LEFT(TH!O1498,2)="15"),TK!$E$7=TH!F1498),"x","")</f>
        <v/>
      </c>
      <c r="AD1498" s="75" t="str">
        <f>IF(AND(N1498="1521",MONTH(C1498)='BK-NL'!$M$11),"x","")</f>
        <v/>
      </c>
      <c r="AF1498" s="1054"/>
    </row>
    <row r="1499" spans="1:32" s="1264" customFormat="1" ht="16.5" customHeight="1">
      <c r="A1499" s="309" t="str">
        <f>IF(B1499&lt;&gt;"",IF(AND(B1499='IN-TC'!$S$4,OR(TH!N1499="1111",TH!O1499="1111")),TH!D1499,""),"")</f>
        <v/>
      </c>
      <c r="B1499" s="1130">
        <f>IF(C1499&lt;&gt;"",MONTH(C1499),"")</f>
        <v>6</v>
      </c>
      <c r="C1499" s="252">
        <f>E1499</f>
        <v>42896</v>
      </c>
      <c r="D1499" s="252" t="s">
        <v>2921</v>
      </c>
      <c r="E1499" s="252">
        <v>42896</v>
      </c>
      <c r="F1499" s="1055" t="s">
        <v>1588</v>
      </c>
      <c r="G1499" s="1056" t="s">
        <v>2954</v>
      </c>
      <c r="H1499" s="735" t="s">
        <v>2955</v>
      </c>
      <c r="I1499" s="371">
        <v>13200</v>
      </c>
      <c r="J1499" s="371">
        <v>216405.9484090909</v>
      </c>
      <c r="K1499" s="371"/>
      <c r="L1499" s="377"/>
      <c r="M1499" s="933">
        <f>ROUND(I1499*J1499,0)</f>
        <v>2856558519</v>
      </c>
      <c r="N1499" s="977" t="s">
        <v>284</v>
      </c>
      <c r="O1499" s="977" t="s">
        <v>274</v>
      </c>
      <c r="P1499" s="75" t="str">
        <f>IF(AND('331-CT'!$E$7=TH!H1499,OR(N1499="331",O1499="331")),"x","")</f>
        <v/>
      </c>
      <c r="Q1499" s="75" t="str">
        <f>IF(AND(B1499='111'!$L$11,OR($N1499=$Q$7,$O1499=$Q$7)),"x","")</f>
        <v/>
      </c>
      <c r="R1499" s="75" t="str">
        <f>IF(AND($N1499=$Q$7,$B1499&lt;'111'!$L$11),"x","")</f>
        <v/>
      </c>
      <c r="S1499" s="75" t="str">
        <f>IF(AND($O1499=$Q$7,$B1499&lt;'111'!$L$11),"x","")</f>
        <v/>
      </c>
      <c r="T1499" s="75" t="str">
        <f>IF(ISERROR(FIND('112'!$M$9,G1499,1)),"",IF((AND(FIND('112'!$M$9,G1499,1)&gt;=1,B1499='112'!$K$9,OR($N1499='112'!$I$6,$O1499='112'!$I$6))),"x",""))</f>
        <v/>
      </c>
      <c r="U1499" s="75" t="str">
        <f>IF(ISERROR(FIND('112'!$M$9,G1499,1)),"",IF((AND(LEFT(G1499,2)=LEFT('112'!$M$9,2),B1499&lt;'112'!$K$9,$N1499='112'!$I$6)),"x",""))</f>
        <v/>
      </c>
      <c r="V1499" s="75" t="str">
        <f>IF(ISERROR(FIND('112'!$M$9,G1499,1)),"",IF((AND(RIGHT(G1499,2)=RIGHT('112'!$M$9,2),B1499&lt;'112'!$K$9,$O1499='112'!$I$6)),"x",""))</f>
        <v/>
      </c>
      <c r="W1499" s="75" t="str">
        <f>IF(AND('341-CT'!$H$9=H1499,OR(LEFT(N1499,3)=$W$7,LEFT(O1499,3)=$W$7)),"x","")</f>
        <v/>
      </c>
      <c r="X1499" s="75" t="str">
        <f>IF(OR(TH!N1499=TH!$X$7,O1499=TH!$X$7),"x","")</f>
        <v/>
      </c>
      <c r="Y1499" s="75" t="str">
        <f>IF(AND(OR(N1499="131",O1499="131"),H1499='131-CT'!$H$9),"x","")</f>
        <v/>
      </c>
      <c r="Z1499" s="75"/>
      <c r="AA1499" s="75" t="str">
        <f>IF(AND(MONTH(E1499)='IN-NX'!$J$5,'IN-NX'!$D$7=D1499),"x","")</f>
        <v/>
      </c>
      <c r="AB1499" s="75" t="str">
        <f>IF(AND(OR(LEFT(TH!N1499,2)="15",LEFT(TH!O1499,2)="15"),LEFT(TH!O1499,3)&lt;&gt;"111",'152-CT'!$J$8=TH!F1499),"x","")</f>
        <v/>
      </c>
      <c r="AC1499" s="75" t="str">
        <f>IF(AND(OR(LEFT(TH!N1499,2)="15",LEFT(TH!O1499,2)="15"),TK!$E$7=TH!F1499),"x","")</f>
        <v/>
      </c>
      <c r="AD1499" s="75" t="str">
        <f>IF(AND(N1499="1521",MONTH(C1499)='BK-NL'!$M$11),"x","")</f>
        <v/>
      </c>
      <c r="AF1499" s="1054"/>
    </row>
    <row r="1500" spans="1:32" s="1264" customFormat="1" ht="16.5" customHeight="1">
      <c r="A1500" s="309" t="str">
        <f>IF(B1500&lt;&gt;"",IF(AND(B1500='IN-TC'!$S$4,OR(TH!N1500="1111",TH!O1500="1111")),TH!D1500,""),"")</f>
        <v/>
      </c>
      <c r="B1500" s="1130">
        <f t="shared" si="349"/>
        <v>6</v>
      </c>
      <c r="C1500" s="252">
        <f t="shared" si="365"/>
        <v>42889</v>
      </c>
      <c r="D1500" s="252" t="s">
        <v>2921</v>
      </c>
      <c r="E1500" s="252">
        <v>42889</v>
      </c>
      <c r="F1500" s="1083" t="s">
        <v>1545</v>
      </c>
      <c r="G1500" s="1056" t="s">
        <v>1543</v>
      </c>
      <c r="H1500" s="735" t="s">
        <v>1139</v>
      </c>
      <c r="I1500" s="371">
        <v>240</v>
      </c>
      <c r="J1500" s="371">
        <v>178440.61666666667</v>
      </c>
      <c r="K1500" s="377"/>
      <c r="L1500" s="377"/>
      <c r="M1500" s="933">
        <f t="shared" si="366"/>
        <v>42825748</v>
      </c>
      <c r="N1500" s="977" t="s">
        <v>284</v>
      </c>
      <c r="O1500" s="977" t="s">
        <v>274</v>
      </c>
      <c r="P1500" s="75" t="str">
        <f>IF(AND('331-CT'!$E$7=TH!H1500,OR(N1500="331",O1500="331")),"x","")</f>
        <v/>
      </c>
      <c r="Q1500" s="75" t="str">
        <f>IF(AND(B1500='111'!$L$11,OR($N1500=$Q$7,$O1500=$Q$7)),"x","")</f>
        <v/>
      </c>
      <c r="R1500" s="75" t="str">
        <f>IF(AND($N1500=$Q$7,$B1500&lt;'111'!$L$11),"x","")</f>
        <v/>
      </c>
      <c r="S1500" s="75" t="str">
        <f>IF(AND($O1500=$Q$7,$B1500&lt;'111'!$L$11),"x","")</f>
        <v/>
      </c>
      <c r="T1500" s="75" t="str">
        <f>IF(ISERROR(FIND('112'!$M$9,G1500,1)),"",IF((AND(FIND('112'!$M$9,G1500,1)&gt;=1,B1500='112'!$K$9,OR($N1500='112'!$I$6,$O1500='112'!$I$6))),"x",""))</f>
        <v/>
      </c>
      <c r="U1500" s="75" t="str">
        <f>IF(ISERROR(FIND('112'!$M$9,G1500,1)),"",IF((AND(LEFT(G1500,2)=LEFT('112'!$M$9,2),B1500&lt;'112'!$K$9,$N1500='112'!$I$6)),"x",""))</f>
        <v/>
      </c>
      <c r="V1500" s="75" t="str">
        <f>IF(ISERROR(FIND('112'!$M$9,G1500,1)),"",IF((AND(RIGHT(G1500,2)=RIGHT('112'!$M$9,2),B1500&lt;'112'!$K$9,$O1500='112'!$I$6)),"x",""))</f>
        <v/>
      </c>
      <c r="W1500" s="75" t="str">
        <f>IF(AND('341-CT'!$H$9=H1500,OR(LEFT(N1500,3)=$W$7,LEFT(O1500,3)=$W$7)),"x","")</f>
        <v/>
      </c>
      <c r="X1500" s="75" t="str">
        <f>IF(OR(TH!N1500=TH!$X$7,O1500=TH!$X$7),"x","")</f>
        <v/>
      </c>
      <c r="Y1500" s="75" t="str">
        <f>IF(AND(OR(N1500="131",O1500="131"),H1500='131-CT'!$H$9),"x","")</f>
        <v/>
      </c>
      <c r="Z1500" s="75"/>
      <c r="AA1500" s="75" t="str">
        <f>IF(AND(MONTH(E1500)='IN-NX'!$J$5,'IN-NX'!$D$7=D1500),"x","")</f>
        <v/>
      </c>
      <c r="AB1500" s="75" t="str">
        <f>IF(AND(OR(LEFT(TH!N1500,2)="15",LEFT(TH!O1500,2)="15"),LEFT(TH!O1500,3)&lt;&gt;"111",'152-CT'!$J$8=TH!F1500),"x","")</f>
        <v/>
      </c>
      <c r="AC1500" s="75" t="str">
        <f>IF(AND(OR(LEFT(TH!N1500,2)="15",LEFT(TH!O1500,2)="15"),TK!$E$7=TH!F1500),"x","")</f>
        <v/>
      </c>
      <c r="AD1500" s="75" t="str">
        <f>IF(AND(N1500="1521",MONTH(C1500)='BK-NL'!$M$11),"x","")</f>
        <v/>
      </c>
      <c r="AF1500" s="1054"/>
    </row>
    <row r="1501" spans="1:32" s="1264" customFormat="1" ht="16.5" customHeight="1">
      <c r="A1501" s="309" t="str">
        <f>IF(B1501&lt;&gt;"",IF(AND(B1501='IN-TC'!$S$4,OR(TH!N1501="1111",TH!O1501="1111")),TH!D1501,""),"")</f>
        <v/>
      </c>
      <c r="B1501" s="1130">
        <f t="shared" si="349"/>
        <v>6</v>
      </c>
      <c r="C1501" s="252">
        <f t="shared" si="365"/>
        <v>42889</v>
      </c>
      <c r="D1501" s="252" t="s">
        <v>2921</v>
      </c>
      <c r="E1501" s="252">
        <v>42889</v>
      </c>
      <c r="F1501" s="1055" t="s">
        <v>793</v>
      </c>
      <c r="G1501" s="1056" t="s">
        <v>1543</v>
      </c>
      <c r="H1501" s="735" t="s">
        <v>1139</v>
      </c>
      <c r="I1501" s="371">
        <v>240</v>
      </c>
      <c r="J1501" s="371">
        <v>166235.62083333332</v>
      </c>
      <c r="K1501" s="377"/>
      <c r="L1501" s="377"/>
      <c r="M1501" s="933">
        <f t="shared" si="366"/>
        <v>39896549</v>
      </c>
      <c r="N1501" s="977" t="s">
        <v>284</v>
      </c>
      <c r="O1501" s="977" t="s">
        <v>274</v>
      </c>
      <c r="P1501" s="75" t="str">
        <f>IF(AND('331-CT'!$E$7=TH!H1501,OR(N1501="331",O1501="331")),"x","")</f>
        <v/>
      </c>
      <c r="Q1501" s="75" t="str">
        <f>IF(AND(B1501='111'!$L$11,OR($N1501=$Q$7,$O1501=$Q$7)),"x","")</f>
        <v/>
      </c>
      <c r="R1501" s="75" t="str">
        <f>IF(AND($N1501=$Q$7,$B1501&lt;'111'!$L$11),"x","")</f>
        <v/>
      </c>
      <c r="S1501" s="75" t="str">
        <f>IF(AND($O1501=$Q$7,$B1501&lt;'111'!$L$11),"x","")</f>
        <v/>
      </c>
      <c r="T1501" s="75" t="str">
        <f>IF(ISERROR(FIND('112'!$M$9,G1501,1)),"",IF((AND(FIND('112'!$M$9,G1501,1)&gt;=1,B1501='112'!$K$9,OR($N1501='112'!$I$6,$O1501='112'!$I$6))),"x",""))</f>
        <v/>
      </c>
      <c r="U1501" s="75" t="str">
        <f>IF(ISERROR(FIND('112'!$M$9,G1501,1)),"",IF((AND(LEFT(G1501,2)=LEFT('112'!$M$9,2),B1501&lt;'112'!$K$9,$N1501='112'!$I$6)),"x",""))</f>
        <v/>
      </c>
      <c r="V1501" s="75" t="str">
        <f>IF(ISERROR(FIND('112'!$M$9,G1501,1)),"",IF((AND(RIGHT(G1501,2)=RIGHT('112'!$M$9,2),B1501&lt;'112'!$K$9,$O1501='112'!$I$6)),"x",""))</f>
        <v/>
      </c>
      <c r="W1501" s="75" t="str">
        <f>IF(AND('341-CT'!$H$9=H1501,OR(LEFT(N1501,3)=$W$7,LEFT(O1501,3)=$W$7)),"x","")</f>
        <v/>
      </c>
      <c r="X1501" s="75" t="str">
        <f>IF(OR(TH!N1501=TH!$X$7,O1501=TH!$X$7),"x","")</f>
        <v/>
      </c>
      <c r="Y1501" s="75" t="str">
        <f>IF(AND(OR(N1501="131",O1501="131"),H1501='131-CT'!$H$9),"x","")</f>
        <v/>
      </c>
      <c r="Z1501" s="75"/>
      <c r="AA1501" s="75" t="str">
        <f>IF(AND(MONTH(E1501)='IN-NX'!$J$5,'IN-NX'!$D$7=D1501),"x","")</f>
        <v/>
      </c>
      <c r="AB1501" s="75" t="str">
        <f>IF(AND(OR(LEFT(TH!N1501,2)="15",LEFT(TH!O1501,2)="15"),LEFT(TH!O1501,3)&lt;&gt;"111",'152-CT'!$J$8=TH!F1501),"x","")</f>
        <v/>
      </c>
      <c r="AC1501" s="75" t="str">
        <f>IF(AND(OR(LEFT(TH!N1501,2)="15",LEFT(TH!O1501,2)="15"),TK!$E$7=TH!F1501),"x","")</f>
        <v/>
      </c>
      <c r="AD1501" s="75" t="str">
        <f>IF(AND(N1501="1521",MONTH(C1501)='BK-NL'!$M$11),"x","")</f>
        <v/>
      </c>
      <c r="AF1501" s="1054"/>
    </row>
    <row r="1502" spans="1:32" s="1264" customFormat="1" ht="16.5" customHeight="1">
      <c r="A1502" s="309" t="str">
        <f>IF(B1502&lt;&gt;"",IF(AND(B1502='IN-TC'!$S$4,OR(TH!N1502="1111",TH!O1502="1111")),TH!D1502,""),"")</f>
        <v/>
      </c>
      <c r="B1502" s="1130">
        <f t="shared" si="349"/>
        <v>6</v>
      </c>
      <c r="C1502" s="252">
        <f t="shared" si="365"/>
        <v>42889</v>
      </c>
      <c r="D1502" s="252" t="s">
        <v>2921</v>
      </c>
      <c r="E1502" s="252">
        <v>42889</v>
      </c>
      <c r="F1502" s="730" t="s">
        <v>1544</v>
      </c>
      <c r="G1502" s="1056" t="s">
        <v>1543</v>
      </c>
      <c r="H1502" s="735" t="s">
        <v>1139</v>
      </c>
      <c r="I1502" s="371">
        <v>240</v>
      </c>
      <c r="J1502" s="371">
        <v>153440.61666666667</v>
      </c>
      <c r="K1502" s="377"/>
      <c r="L1502" s="377"/>
      <c r="M1502" s="933">
        <f t="shared" si="366"/>
        <v>36825748</v>
      </c>
      <c r="N1502" s="977" t="s">
        <v>284</v>
      </c>
      <c r="O1502" s="977" t="s">
        <v>274</v>
      </c>
      <c r="P1502" s="75" t="str">
        <f>IF(AND('331-CT'!$E$7=TH!H1502,OR(N1502="331",O1502="331")),"x","")</f>
        <v/>
      </c>
      <c r="Q1502" s="75" t="str">
        <f>IF(AND(B1502='111'!$L$11,OR($N1502=$Q$7,$O1502=$Q$7)),"x","")</f>
        <v/>
      </c>
      <c r="R1502" s="75" t="str">
        <f>IF(AND($N1502=$Q$7,$B1502&lt;'111'!$L$11),"x","")</f>
        <v/>
      </c>
      <c r="S1502" s="75" t="str">
        <f>IF(AND($O1502=$Q$7,$B1502&lt;'111'!$L$11),"x","")</f>
        <v/>
      </c>
      <c r="T1502" s="75" t="str">
        <f>IF(ISERROR(FIND('112'!$M$9,G1502,1)),"",IF((AND(FIND('112'!$M$9,G1502,1)&gt;=1,B1502='112'!$K$9,OR($N1502='112'!$I$6,$O1502='112'!$I$6))),"x",""))</f>
        <v/>
      </c>
      <c r="U1502" s="75" t="str">
        <f>IF(ISERROR(FIND('112'!$M$9,G1502,1)),"",IF((AND(LEFT(G1502,2)=LEFT('112'!$M$9,2),B1502&lt;'112'!$K$9,$N1502='112'!$I$6)),"x",""))</f>
        <v/>
      </c>
      <c r="V1502" s="75" t="str">
        <f>IF(ISERROR(FIND('112'!$M$9,G1502,1)),"",IF((AND(RIGHT(G1502,2)=RIGHT('112'!$M$9,2),B1502&lt;'112'!$K$9,$O1502='112'!$I$6)),"x",""))</f>
        <v/>
      </c>
      <c r="W1502" s="75" t="str">
        <f>IF(AND('341-CT'!$H$9=H1502,OR(LEFT(N1502,3)=$W$7,LEFT(O1502,3)=$W$7)),"x","")</f>
        <v/>
      </c>
      <c r="X1502" s="75" t="str">
        <f>IF(OR(TH!N1502=TH!$X$7,O1502=TH!$X$7),"x","")</f>
        <v/>
      </c>
      <c r="Y1502" s="75" t="str">
        <f>IF(AND(OR(N1502="131",O1502="131"),H1502='131-CT'!$H$9),"x","")</f>
        <v/>
      </c>
      <c r="Z1502" s="75"/>
      <c r="AA1502" s="75" t="str">
        <f>IF(AND(MONTH(E1502)='IN-NX'!$J$5,'IN-NX'!$D$7=D1502),"x","")</f>
        <v/>
      </c>
      <c r="AB1502" s="75" t="str">
        <f>IF(AND(OR(LEFT(TH!N1502,2)="15",LEFT(TH!O1502,2)="15"),LEFT(TH!O1502,3)&lt;&gt;"111",'152-CT'!$J$8=TH!F1502),"x","")</f>
        <v/>
      </c>
      <c r="AC1502" s="75" t="str">
        <f>IF(AND(OR(LEFT(TH!N1502,2)="15",LEFT(TH!O1502,2)="15"),TK!$E$7=TH!F1502),"x","")</f>
        <v/>
      </c>
      <c r="AD1502" s="75" t="str">
        <f>IF(AND(N1502="1521",MONTH(C1502)='BK-NL'!$M$11),"x","")</f>
        <v/>
      </c>
      <c r="AF1502" s="1054"/>
    </row>
    <row r="1503" spans="1:32" s="1264" customFormat="1" ht="16.5" customHeight="1">
      <c r="A1503" s="309" t="str">
        <f>IF(B1503&lt;&gt;"",IF(AND(B1503='IN-TC'!$S$4,OR(TH!N1503="1111",TH!O1503="1111")),TH!D1503,""),"")</f>
        <v/>
      </c>
      <c r="B1503" s="1130">
        <f t="shared" si="349"/>
        <v>6</v>
      </c>
      <c r="C1503" s="252">
        <f t="shared" si="365"/>
        <v>42896</v>
      </c>
      <c r="D1503" s="252" t="s">
        <v>2921</v>
      </c>
      <c r="E1503" s="252">
        <v>42896</v>
      </c>
      <c r="F1503" s="1055" t="s">
        <v>1547</v>
      </c>
      <c r="G1503" s="1056" t="s">
        <v>1546</v>
      </c>
      <c r="H1503" s="735" t="s">
        <v>1548</v>
      </c>
      <c r="I1503" s="371">
        <v>2200</v>
      </c>
      <c r="J1503" s="371">
        <v>153440.61681818182</v>
      </c>
      <c r="K1503" s="371"/>
      <c r="L1503" s="377"/>
      <c r="M1503" s="933">
        <f t="shared" si="366"/>
        <v>337569357</v>
      </c>
      <c r="N1503" s="977" t="s">
        <v>284</v>
      </c>
      <c r="O1503" s="977" t="s">
        <v>274</v>
      </c>
      <c r="P1503" s="75" t="str">
        <f>IF(AND('331-CT'!$E$7=TH!H1503,OR(N1503="331",O1503="331")),"x","")</f>
        <v/>
      </c>
      <c r="Q1503" s="75" t="str">
        <f>IF(AND(B1503='111'!$L$11,OR($N1503=$Q$7,$O1503=$Q$7)),"x","")</f>
        <v/>
      </c>
      <c r="R1503" s="75" t="str">
        <f>IF(AND($N1503=$Q$7,$B1503&lt;'111'!$L$11),"x","")</f>
        <v/>
      </c>
      <c r="S1503" s="75" t="str">
        <f>IF(AND($O1503=$Q$7,$B1503&lt;'111'!$L$11),"x","")</f>
        <v/>
      </c>
      <c r="T1503" s="75" t="str">
        <f>IF(ISERROR(FIND('112'!$M$9,G1503,1)),"",IF((AND(FIND('112'!$M$9,G1503,1)&gt;=1,B1503='112'!$K$9,OR($N1503='112'!$I$6,$O1503='112'!$I$6))),"x",""))</f>
        <v/>
      </c>
      <c r="U1503" s="75" t="str">
        <f>IF(ISERROR(FIND('112'!$M$9,G1503,1)),"",IF((AND(LEFT(G1503,2)=LEFT('112'!$M$9,2),B1503&lt;'112'!$K$9,$N1503='112'!$I$6)),"x",""))</f>
        <v/>
      </c>
      <c r="V1503" s="75" t="str">
        <f>IF(ISERROR(FIND('112'!$M$9,G1503,1)),"",IF((AND(RIGHT(G1503,2)=RIGHT('112'!$M$9,2),B1503&lt;'112'!$K$9,$O1503='112'!$I$6)),"x",""))</f>
        <v/>
      </c>
      <c r="W1503" s="75" t="str">
        <f>IF(AND('341-CT'!$H$9=H1503,OR(LEFT(N1503,3)=$W$7,LEFT(O1503,3)=$W$7)),"x","")</f>
        <v/>
      </c>
      <c r="X1503" s="75" t="str">
        <f>IF(OR(TH!N1503=TH!$X$7,O1503=TH!$X$7),"x","")</f>
        <v/>
      </c>
      <c r="Y1503" s="75" t="str">
        <f>IF(AND(OR(N1503="131",O1503="131"),H1503='131-CT'!$H$9),"x","")</f>
        <v/>
      </c>
      <c r="Z1503" s="75"/>
      <c r="AA1503" s="75" t="str">
        <f>IF(AND(MONTH(E1503)='IN-NX'!$J$5,'IN-NX'!$D$7=D1503),"x","")</f>
        <v/>
      </c>
      <c r="AB1503" s="75" t="str">
        <f>IF(AND(OR(LEFT(TH!N1503,2)="15",LEFT(TH!O1503,2)="15"),LEFT(TH!O1503,3)&lt;&gt;"111",'152-CT'!$J$8=TH!F1503),"x","")</f>
        <v/>
      </c>
      <c r="AC1503" s="75" t="str">
        <f>IF(AND(OR(LEFT(TH!N1503,2)="15",LEFT(TH!O1503,2)="15"),TK!$E$7=TH!F1503),"x","")</f>
        <v/>
      </c>
      <c r="AD1503" s="75" t="str">
        <f>IF(AND(N1503="1521",MONTH(C1503)='BK-NL'!$M$11),"x","")</f>
        <v/>
      </c>
      <c r="AF1503" s="1054"/>
    </row>
    <row r="1504" spans="1:32" s="1264" customFormat="1" ht="16.5" customHeight="1">
      <c r="A1504" s="309" t="str">
        <f>IF(B1504&lt;&gt;"",IF(AND(B1504='IN-TC'!$S$4,OR(TH!N1504="1111",TH!O1504="1111")),TH!D1504,""),"")</f>
        <v/>
      </c>
      <c r="B1504" s="1130">
        <f t="shared" si="349"/>
        <v>6</v>
      </c>
      <c r="C1504" s="252">
        <f t="shared" ref="C1504:C1510" si="367">E1504</f>
        <v>42903</v>
      </c>
      <c r="D1504" s="252" t="s">
        <v>2921</v>
      </c>
      <c r="E1504" s="252">
        <v>42903</v>
      </c>
      <c r="F1504" s="1055" t="s">
        <v>1582</v>
      </c>
      <c r="G1504" s="1056" t="s">
        <v>1581</v>
      </c>
      <c r="H1504" s="735" t="s">
        <v>546</v>
      </c>
      <c r="I1504" s="371">
        <v>660</v>
      </c>
      <c r="J1504" s="371">
        <v>188440.61666666667</v>
      </c>
      <c r="K1504" s="371"/>
      <c r="L1504" s="377"/>
      <c r="M1504" s="933">
        <f t="shared" ref="M1504:M1510" si="368">ROUND(I1504*J1504,0)</f>
        <v>124370807</v>
      </c>
      <c r="N1504" s="977" t="s">
        <v>284</v>
      </c>
      <c r="O1504" s="977" t="s">
        <v>274</v>
      </c>
      <c r="P1504" s="75" t="str">
        <f>IF(AND('331-CT'!$E$7=TH!H1504,OR(N1504="331",O1504="331")),"x","")</f>
        <v/>
      </c>
      <c r="Q1504" s="75" t="str">
        <f>IF(AND(B1504='111'!$L$11,OR($N1504=$Q$7,$O1504=$Q$7)),"x","")</f>
        <v/>
      </c>
      <c r="R1504" s="75" t="str">
        <f>IF(AND($N1504=$Q$7,$B1504&lt;'111'!$L$11),"x","")</f>
        <v/>
      </c>
      <c r="S1504" s="75" t="str">
        <f>IF(AND($O1504=$Q$7,$B1504&lt;'111'!$L$11),"x","")</f>
        <v/>
      </c>
      <c r="T1504" s="75" t="str">
        <f>IF(ISERROR(FIND('112'!$M$9,G1504,1)),"",IF((AND(FIND('112'!$M$9,G1504,1)&gt;=1,B1504='112'!$K$9,OR($N1504='112'!$I$6,$O1504='112'!$I$6))),"x",""))</f>
        <v/>
      </c>
      <c r="U1504" s="75" t="str">
        <f>IF(ISERROR(FIND('112'!$M$9,G1504,1)),"",IF((AND(LEFT(G1504,2)=LEFT('112'!$M$9,2),B1504&lt;'112'!$K$9,$N1504='112'!$I$6)),"x",""))</f>
        <v/>
      </c>
      <c r="V1504" s="75" t="str">
        <f>IF(ISERROR(FIND('112'!$M$9,G1504,1)),"",IF((AND(RIGHT(G1504,2)=RIGHT('112'!$M$9,2),B1504&lt;'112'!$K$9,$O1504='112'!$I$6)),"x",""))</f>
        <v/>
      </c>
      <c r="W1504" s="75" t="str">
        <f>IF(AND('341-CT'!$H$9=H1504,OR(LEFT(N1504,3)=$W$7,LEFT(O1504,3)=$W$7)),"x","")</f>
        <v/>
      </c>
      <c r="X1504" s="75" t="str">
        <f>IF(OR(TH!N1504=TH!$X$7,O1504=TH!$X$7),"x","")</f>
        <v/>
      </c>
      <c r="Y1504" s="75" t="str">
        <f>IF(AND(OR(N1504="131",O1504="131"),H1504='131-CT'!$H$9),"x","")</f>
        <v/>
      </c>
      <c r="Z1504" s="75"/>
      <c r="AA1504" s="75" t="str">
        <f>IF(AND(MONTH(E1504)='IN-NX'!$J$5,'IN-NX'!$D$7=D1504),"x","")</f>
        <v/>
      </c>
      <c r="AB1504" s="75" t="str">
        <f>IF(AND(OR(LEFT(TH!N1504,2)="15",LEFT(TH!O1504,2)="15"),LEFT(TH!O1504,3)&lt;&gt;"111",'152-CT'!$J$8=TH!F1504),"x","")</f>
        <v/>
      </c>
      <c r="AC1504" s="75" t="str">
        <f>IF(AND(OR(LEFT(TH!N1504,2)="15",LEFT(TH!O1504,2)="15"),TK!$E$7=TH!F1504),"x","")</f>
        <v/>
      </c>
      <c r="AD1504" s="75" t="str">
        <f>IF(AND(N1504="1521",MONTH(C1504)='BK-NL'!$M$11),"x","")</f>
        <v/>
      </c>
      <c r="AF1504" s="1054"/>
    </row>
    <row r="1505" spans="1:32" s="1264" customFormat="1" ht="16.5" customHeight="1">
      <c r="A1505" s="309" t="str">
        <f>IF(B1505&lt;&gt;"",IF(AND(B1505='IN-TC'!$S$4,OR(TH!N1505="1111",TH!O1505="1111")),TH!D1505,""),"")</f>
        <v/>
      </c>
      <c r="B1505" s="1130">
        <f t="shared" si="349"/>
        <v>6</v>
      </c>
      <c r="C1505" s="252">
        <f t="shared" si="367"/>
        <v>42903</v>
      </c>
      <c r="D1505" s="252" t="s">
        <v>2921</v>
      </c>
      <c r="E1505" s="252">
        <v>42903</v>
      </c>
      <c r="F1505" s="1055" t="s">
        <v>1107</v>
      </c>
      <c r="G1505" s="1056" t="s">
        <v>1581</v>
      </c>
      <c r="H1505" s="735" t="s">
        <v>546</v>
      </c>
      <c r="I1505" s="371">
        <v>180</v>
      </c>
      <c r="J1505" s="371">
        <v>207189.93888888889</v>
      </c>
      <c r="K1505" s="371"/>
      <c r="L1505" s="377"/>
      <c r="M1505" s="933">
        <f t="shared" si="368"/>
        <v>37294189</v>
      </c>
      <c r="N1505" s="977" t="s">
        <v>284</v>
      </c>
      <c r="O1505" s="977" t="s">
        <v>274</v>
      </c>
      <c r="P1505" s="75" t="str">
        <f>IF(AND('331-CT'!$E$7=TH!H1505,OR(N1505="331",O1505="331")),"x","")</f>
        <v/>
      </c>
      <c r="Q1505" s="75" t="str">
        <f>IF(AND(B1505='111'!$L$11,OR($N1505=$Q$7,$O1505=$Q$7)),"x","")</f>
        <v/>
      </c>
      <c r="R1505" s="75" t="str">
        <f>IF(AND($N1505=$Q$7,$B1505&lt;'111'!$L$11),"x","")</f>
        <v/>
      </c>
      <c r="S1505" s="75" t="str">
        <f>IF(AND($O1505=$Q$7,$B1505&lt;'111'!$L$11),"x","")</f>
        <v/>
      </c>
      <c r="T1505" s="75" t="str">
        <f>IF(ISERROR(FIND('112'!$M$9,G1505,1)),"",IF((AND(FIND('112'!$M$9,G1505,1)&gt;=1,B1505='112'!$K$9,OR($N1505='112'!$I$6,$O1505='112'!$I$6))),"x",""))</f>
        <v/>
      </c>
      <c r="U1505" s="75" t="str">
        <f>IF(ISERROR(FIND('112'!$M$9,G1505,1)),"",IF((AND(LEFT(G1505,2)=LEFT('112'!$M$9,2),B1505&lt;'112'!$K$9,$N1505='112'!$I$6)),"x",""))</f>
        <v/>
      </c>
      <c r="V1505" s="75" t="str">
        <f>IF(ISERROR(FIND('112'!$M$9,G1505,1)),"",IF((AND(RIGHT(G1505,2)=RIGHT('112'!$M$9,2),B1505&lt;'112'!$K$9,$O1505='112'!$I$6)),"x",""))</f>
        <v/>
      </c>
      <c r="W1505" s="75" t="str">
        <f>IF(AND('341-CT'!$H$9=H1505,OR(LEFT(N1505,3)=$W$7,LEFT(O1505,3)=$W$7)),"x","")</f>
        <v/>
      </c>
      <c r="X1505" s="75" t="str">
        <f>IF(OR(TH!N1505=TH!$X$7,O1505=TH!$X$7),"x","")</f>
        <v/>
      </c>
      <c r="Y1505" s="75" t="str">
        <f>IF(AND(OR(N1505="131",O1505="131"),H1505='131-CT'!$H$9),"x","")</f>
        <v/>
      </c>
      <c r="Z1505" s="75"/>
      <c r="AA1505" s="75" t="str">
        <f>IF(AND(MONTH(E1505)='IN-NX'!$J$5,'IN-NX'!$D$7=D1505),"x","")</f>
        <v/>
      </c>
      <c r="AB1505" s="75" t="str">
        <f>IF(AND(OR(LEFT(TH!N1505,2)="15",LEFT(TH!O1505,2)="15"),LEFT(TH!O1505,3)&lt;&gt;"111",'152-CT'!$J$8=TH!F1505),"x","")</f>
        <v/>
      </c>
      <c r="AC1505" s="75" t="str">
        <f>IF(AND(OR(LEFT(TH!N1505,2)="15",LEFT(TH!O1505,2)="15"),TK!$E$7=TH!F1505),"x","")</f>
        <v/>
      </c>
      <c r="AD1505" s="75" t="str">
        <f>IF(AND(N1505="1521",MONTH(C1505)='BK-NL'!$M$11),"x","")</f>
        <v/>
      </c>
      <c r="AF1505" s="1054"/>
    </row>
    <row r="1506" spans="1:32" s="1264" customFormat="1" ht="16.5" customHeight="1">
      <c r="A1506" s="309" t="str">
        <f>IF(B1506&lt;&gt;"",IF(AND(B1506='IN-TC'!$S$4,OR(TH!N1506="1111",TH!O1506="1111")),TH!D1506,""),"")</f>
        <v/>
      </c>
      <c r="B1506" s="1130">
        <f t="shared" si="349"/>
        <v>6</v>
      </c>
      <c r="C1506" s="252">
        <f t="shared" si="367"/>
        <v>42903</v>
      </c>
      <c r="D1506" s="252" t="s">
        <v>2921</v>
      </c>
      <c r="E1506" s="252">
        <v>42903</v>
      </c>
      <c r="F1506" s="1055" t="s">
        <v>1583</v>
      </c>
      <c r="G1506" s="1056" t="s">
        <v>1581</v>
      </c>
      <c r="H1506" s="735" t="s">
        <v>546</v>
      </c>
      <c r="I1506" s="371">
        <v>420</v>
      </c>
      <c r="J1506" s="371">
        <v>261941.29285714286</v>
      </c>
      <c r="K1506" s="371"/>
      <c r="L1506" s="377"/>
      <c r="M1506" s="933">
        <f t="shared" si="368"/>
        <v>110015343</v>
      </c>
      <c r="N1506" s="977" t="s">
        <v>284</v>
      </c>
      <c r="O1506" s="977" t="s">
        <v>274</v>
      </c>
      <c r="P1506" s="75" t="str">
        <f>IF(AND('331-CT'!$E$7=TH!H1506,OR(N1506="331",O1506="331")),"x","")</f>
        <v/>
      </c>
      <c r="Q1506" s="75" t="str">
        <f>IF(AND(B1506='111'!$L$11,OR($N1506=$Q$7,$O1506=$Q$7)),"x","")</f>
        <v/>
      </c>
      <c r="R1506" s="75" t="str">
        <f>IF(AND($N1506=$Q$7,$B1506&lt;'111'!$L$11),"x","")</f>
        <v/>
      </c>
      <c r="S1506" s="75" t="str">
        <f>IF(AND($O1506=$Q$7,$B1506&lt;'111'!$L$11),"x","")</f>
        <v/>
      </c>
      <c r="T1506" s="75" t="str">
        <f>IF(ISERROR(FIND('112'!$M$9,G1506,1)),"",IF((AND(FIND('112'!$M$9,G1506,1)&gt;=1,B1506='112'!$K$9,OR($N1506='112'!$I$6,$O1506='112'!$I$6))),"x",""))</f>
        <v/>
      </c>
      <c r="U1506" s="75" t="str">
        <f>IF(ISERROR(FIND('112'!$M$9,G1506,1)),"",IF((AND(LEFT(G1506,2)=LEFT('112'!$M$9,2),B1506&lt;'112'!$K$9,$N1506='112'!$I$6)),"x",""))</f>
        <v/>
      </c>
      <c r="V1506" s="75" t="str">
        <f>IF(ISERROR(FIND('112'!$M$9,G1506,1)),"",IF((AND(RIGHT(G1506,2)=RIGHT('112'!$M$9,2),B1506&lt;'112'!$K$9,$O1506='112'!$I$6)),"x",""))</f>
        <v/>
      </c>
      <c r="W1506" s="75" t="str">
        <f>IF(AND('341-CT'!$H$9=H1506,OR(LEFT(N1506,3)=$W$7,LEFT(O1506,3)=$W$7)),"x","")</f>
        <v/>
      </c>
      <c r="X1506" s="75" t="str">
        <f>IF(OR(TH!N1506=TH!$X$7,O1506=TH!$X$7),"x","")</f>
        <v/>
      </c>
      <c r="Y1506" s="75" t="str">
        <f>IF(AND(OR(N1506="131",O1506="131"),H1506='131-CT'!$H$9),"x","")</f>
        <v/>
      </c>
      <c r="Z1506" s="75"/>
      <c r="AA1506" s="75" t="str">
        <f>IF(AND(MONTH(E1506)='IN-NX'!$J$5,'IN-NX'!$D$7=D1506),"x","")</f>
        <v/>
      </c>
      <c r="AB1506" s="75" t="str">
        <f>IF(AND(OR(LEFT(TH!N1506,2)="15",LEFT(TH!O1506,2)="15"),LEFT(TH!O1506,3)&lt;&gt;"111",'152-CT'!$J$8=TH!F1506),"x","")</f>
        <v/>
      </c>
      <c r="AC1506" s="75" t="str">
        <f>IF(AND(OR(LEFT(TH!N1506,2)="15",LEFT(TH!O1506,2)="15"),TK!$E$7=TH!F1506),"x","")</f>
        <v/>
      </c>
      <c r="AD1506" s="75" t="str">
        <f>IF(AND(N1506="1521",MONTH(C1506)='BK-NL'!$M$11),"x","")</f>
        <v/>
      </c>
      <c r="AF1506" s="1054"/>
    </row>
    <row r="1507" spans="1:32" s="1264" customFormat="1" ht="16.5" customHeight="1">
      <c r="A1507" s="309" t="str">
        <f>IF(B1507&lt;&gt;"",IF(AND(B1507='IN-TC'!$S$4,OR(TH!N1507="1111",TH!O1507="1111")),TH!D1507,""),"")</f>
        <v/>
      </c>
      <c r="B1507" s="1130">
        <f t="shared" si="349"/>
        <v>6</v>
      </c>
      <c r="C1507" s="252">
        <f t="shared" si="367"/>
        <v>42903</v>
      </c>
      <c r="D1507" s="252" t="s">
        <v>2921</v>
      </c>
      <c r="E1507" s="252">
        <v>42903</v>
      </c>
      <c r="F1507" s="1055" t="s">
        <v>1584</v>
      </c>
      <c r="G1507" s="1056" t="s">
        <v>1581</v>
      </c>
      <c r="H1507" s="735" t="s">
        <v>546</v>
      </c>
      <c r="I1507" s="371">
        <v>1680</v>
      </c>
      <c r="J1507" s="371">
        <v>199206.34226190476</v>
      </c>
      <c r="K1507" s="371"/>
      <c r="L1507" s="377"/>
      <c r="M1507" s="933">
        <f t="shared" si="368"/>
        <v>334666655</v>
      </c>
      <c r="N1507" s="977" t="s">
        <v>284</v>
      </c>
      <c r="O1507" s="977" t="s">
        <v>274</v>
      </c>
      <c r="P1507" s="75" t="str">
        <f>IF(AND('331-CT'!$E$7=TH!H1507,OR(N1507="331",O1507="331")),"x","")</f>
        <v/>
      </c>
      <c r="Q1507" s="75" t="str">
        <f>IF(AND(B1507='111'!$L$11,OR($N1507=$Q$7,$O1507=$Q$7)),"x","")</f>
        <v/>
      </c>
      <c r="R1507" s="75" t="str">
        <f>IF(AND($N1507=$Q$7,$B1507&lt;'111'!$L$11),"x","")</f>
        <v/>
      </c>
      <c r="S1507" s="75" t="str">
        <f>IF(AND($O1507=$Q$7,$B1507&lt;'111'!$L$11),"x","")</f>
        <v/>
      </c>
      <c r="T1507" s="75" t="str">
        <f>IF(ISERROR(FIND('112'!$M$9,G1507,1)),"",IF((AND(FIND('112'!$M$9,G1507,1)&gt;=1,B1507='112'!$K$9,OR($N1507='112'!$I$6,$O1507='112'!$I$6))),"x",""))</f>
        <v/>
      </c>
      <c r="U1507" s="75" t="str">
        <f>IF(ISERROR(FIND('112'!$M$9,G1507,1)),"",IF((AND(LEFT(G1507,2)=LEFT('112'!$M$9,2),B1507&lt;'112'!$K$9,$N1507='112'!$I$6)),"x",""))</f>
        <v/>
      </c>
      <c r="V1507" s="75" t="str">
        <f>IF(ISERROR(FIND('112'!$M$9,G1507,1)),"",IF((AND(RIGHT(G1507,2)=RIGHT('112'!$M$9,2),B1507&lt;'112'!$K$9,$O1507='112'!$I$6)),"x",""))</f>
        <v/>
      </c>
      <c r="W1507" s="75" t="str">
        <f>IF(AND('341-CT'!$H$9=H1507,OR(LEFT(N1507,3)=$W$7,LEFT(O1507,3)=$W$7)),"x","")</f>
        <v/>
      </c>
      <c r="X1507" s="75" t="str">
        <f>IF(OR(TH!N1507=TH!$X$7,O1507=TH!$X$7),"x","")</f>
        <v/>
      </c>
      <c r="Y1507" s="75" t="str">
        <f>IF(AND(OR(N1507="131",O1507="131"),H1507='131-CT'!$H$9),"x","")</f>
        <v/>
      </c>
      <c r="Z1507" s="75"/>
      <c r="AA1507" s="75" t="str">
        <f>IF(AND(MONTH(E1507)='IN-NX'!$J$5,'IN-NX'!$D$7=D1507),"x","")</f>
        <v/>
      </c>
      <c r="AB1507" s="75" t="str">
        <f>IF(AND(OR(LEFT(TH!N1507,2)="15",LEFT(TH!O1507,2)="15"),LEFT(TH!O1507,3)&lt;&gt;"111",'152-CT'!$J$8=TH!F1507),"x","")</f>
        <v/>
      </c>
      <c r="AC1507" s="75" t="str">
        <f>IF(AND(OR(LEFT(TH!N1507,2)="15",LEFT(TH!O1507,2)="15"),TK!$E$7=TH!F1507),"x","")</f>
        <v/>
      </c>
      <c r="AD1507" s="75" t="str">
        <f>IF(AND(N1507="1521",MONTH(C1507)='BK-NL'!$M$11),"x","")</f>
        <v/>
      </c>
      <c r="AF1507" s="1054"/>
    </row>
    <row r="1508" spans="1:32" s="1264" customFormat="1" ht="16.5" customHeight="1">
      <c r="A1508" s="309" t="str">
        <f>IF(B1508&lt;&gt;"",IF(AND(B1508='IN-TC'!$S$4,OR(TH!N1508="1111",TH!O1508="1111")),TH!D1508,""),"")</f>
        <v/>
      </c>
      <c r="B1508" s="1130">
        <f t="shared" si="349"/>
        <v>6</v>
      </c>
      <c r="C1508" s="252">
        <f t="shared" si="367"/>
        <v>42908</v>
      </c>
      <c r="D1508" s="252" t="s">
        <v>2921</v>
      </c>
      <c r="E1508" s="252">
        <v>42908</v>
      </c>
      <c r="F1508" s="1055" t="s">
        <v>425</v>
      </c>
      <c r="G1508" s="1056" t="s">
        <v>1602</v>
      </c>
      <c r="H1508" s="735" t="s">
        <v>1601</v>
      </c>
      <c r="I1508" s="371">
        <v>2000</v>
      </c>
      <c r="J1508" s="371">
        <v>634868.09</v>
      </c>
      <c r="K1508" s="371"/>
      <c r="L1508" s="377"/>
      <c r="M1508" s="933">
        <f t="shared" si="368"/>
        <v>1269736180</v>
      </c>
      <c r="N1508" s="977" t="s">
        <v>284</v>
      </c>
      <c r="O1508" s="977" t="s">
        <v>274</v>
      </c>
      <c r="P1508" s="75" t="str">
        <f>IF(AND('331-CT'!$E$7=TH!H1508,OR(N1508="331",O1508="331")),"x","")</f>
        <v/>
      </c>
      <c r="Q1508" s="75" t="str">
        <f>IF(AND(B1508='111'!$L$11,OR($N1508=$Q$7,$O1508=$Q$7)),"x","")</f>
        <v/>
      </c>
      <c r="R1508" s="75" t="str">
        <f>IF(AND($N1508=$Q$7,$B1508&lt;'111'!$L$11),"x","")</f>
        <v/>
      </c>
      <c r="S1508" s="75" t="str">
        <f>IF(AND($O1508=$Q$7,$B1508&lt;'111'!$L$11),"x","")</f>
        <v/>
      </c>
      <c r="T1508" s="75" t="str">
        <f>IF(ISERROR(FIND('112'!$M$9,G1508,1)),"",IF((AND(FIND('112'!$M$9,G1508,1)&gt;=1,B1508='112'!$K$9,OR($N1508='112'!$I$6,$O1508='112'!$I$6))),"x",""))</f>
        <v/>
      </c>
      <c r="U1508" s="75" t="str">
        <f>IF(ISERROR(FIND('112'!$M$9,G1508,1)),"",IF((AND(LEFT(G1508,2)=LEFT('112'!$M$9,2),B1508&lt;'112'!$K$9,$N1508='112'!$I$6)),"x",""))</f>
        <v/>
      </c>
      <c r="V1508" s="75" t="str">
        <f>IF(ISERROR(FIND('112'!$M$9,G1508,1)),"",IF((AND(RIGHT(G1508,2)=RIGHT('112'!$M$9,2),B1508&lt;'112'!$K$9,$O1508='112'!$I$6)),"x",""))</f>
        <v/>
      </c>
      <c r="W1508" s="75" t="str">
        <f>IF(AND('341-CT'!$H$9=H1508,OR(LEFT(N1508,3)=$W$7,LEFT(O1508,3)=$W$7)),"x","")</f>
        <v/>
      </c>
      <c r="X1508" s="75" t="str">
        <f>IF(OR(TH!N1508=TH!$X$7,O1508=TH!$X$7),"x","")</f>
        <v/>
      </c>
      <c r="Y1508" s="75" t="str">
        <f>IF(AND(OR(N1508="131",O1508="131"),H1508='131-CT'!$H$9),"x","")</f>
        <v/>
      </c>
      <c r="Z1508" s="75"/>
      <c r="AA1508" s="75" t="str">
        <f>IF(AND(MONTH(E1508)='IN-NX'!$J$5,'IN-NX'!$D$7=D1508),"x","")</f>
        <v/>
      </c>
      <c r="AB1508" s="75" t="str">
        <f>IF(AND(OR(LEFT(TH!N1508,2)="15",LEFT(TH!O1508,2)="15"),LEFT(TH!O1508,3)&lt;&gt;"111",'152-CT'!$J$8=TH!F1508),"x","")</f>
        <v/>
      </c>
      <c r="AC1508" s="75" t="str">
        <f>IF(AND(OR(LEFT(TH!N1508,2)="15",LEFT(TH!O1508,2)="15"),TK!$E$7=TH!F1508),"x","")</f>
        <v/>
      </c>
      <c r="AD1508" s="75" t="str">
        <f>IF(AND(N1508="1521",MONTH(C1508)='BK-NL'!$M$11),"x","")</f>
        <v/>
      </c>
      <c r="AF1508" s="1054"/>
    </row>
    <row r="1509" spans="1:32" s="1264" customFormat="1" ht="16.5" customHeight="1">
      <c r="A1509" s="309" t="str">
        <f>IF(B1509&lt;&gt;"",IF(AND(B1509='IN-TC'!$S$4,OR(TH!N1509="1111",TH!O1509="1111")),TH!D1509,""),"")</f>
        <v/>
      </c>
      <c r="B1509" s="1130">
        <f t="shared" si="349"/>
        <v>6</v>
      </c>
      <c r="C1509" s="252">
        <f t="shared" si="367"/>
        <v>42908</v>
      </c>
      <c r="D1509" s="252" t="s">
        <v>2921</v>
      </c>
      <c r="E1509" s="252">
        <v>42908</v>
      </c>
      <c r="F1509" s="1055" t="s">
        <v>426</v>
      </c>
      <c r="G1509" s="1056" t="s">
        <v>1602</v>
      </c>
      <c r="H1509" s="735" t="s">
        <v>1601</v>
      </c>
      <c r="I1509" s="371">
        <v>1600</v>
      </c>
      <c r="J1509" s="371">
        <v>196712.69625000001</v>
      </c>
      <c r="K1509" s="371"/>
      <c r="L1509" s="377"/>
      <c r="M1509" s="933">
        <f t="shared" si="368"/>
        <v>314740314</v>
      </c>
      <c r="N1509" s="977" t="s">
        <v>284</v>
      </c>
      <c r="O1509" s="977" t="s">
        <v>274</v>
      </c>
      <c r="P1509" s="75" t="str">
        <f>IF(AND('331-CT'!$E$7=TH!H1509,OR(N1509="331",O1509="331")),"x","")</f>
        <v/>
      </c>
      <c r="Q1509" s="75" t="str">
        <f>IF(AND(B1509='111'!$L$11,OR($N1509=$Q$7,$O1509=$Q$7)),"x","")</f>
        <v/>
      </c>
      <c r="R1509" s="75" t="str">
        <f>IF(AND($N1509=$Q$7,$B1509&lt;'111'!$L$11),"x","")</f>
        <v/>
      </c>
      <c r="S1509" s="75" t="str">
        <f>IF(AND($O1509=$Q$7,$B1509&lt;'111'!$L$11),"x","")</f>
        <v/>
      </c>
      <c r="T1509" s="75" t="str">
        <f>IF(ISERROR(FIND('112'!$M$9,G1509,1)),"",IF((AND(FIND('112'!$M$9,G1509,1)&gt;=1,B1509='112'!$K$9,OR($N1509='112'!$I$6,$O1509='112'!$I$6))),"x",""))</f>
        <v/>
      </c>
      <c r="U1509" s="75" t="str">
        <f>IF(ISERROR(FIND('112'!$M$9,G1509,1)),"",IF((AND(LEFT(G1509,2)=LEFT('112'!$M$9,2),B1509&lt;'112'!$K$9,$N1509='112'!$I$6)),"x",""))</f>
        <v/>
      </c>
      <c r="V1509" s="75" t="str">
        <f>IF(ISERROR(FIND('112'!$M$9,G1509,1)),"",IF((AND(RIGHT(G1509,2)=RIGHT('112'!$M$9,2),B1509&lt;'112'!$K$9,$O1509='112'!$I$6)),"x",""))</f>
        <v/>
      </c>
      <c r="W1509" s="75" t="str">
        <f>IF(AND('341-CT'!$H$9=H1509,OR(LEFT(N1509,3)=$W$7,LEFT(O1509,3)=$W$7)),"x","")</f>
        <v/>
      </c>
      <c r="X1509" s="75" t="str">
        <f>IF(OR(TH!N1509=TH!$X$7,O1509=TH!$X$7),"x","")</f>
        <v/>
      </c>
      <c r="Y1509" s="75" t="str">
        <f>IF(AND(OR(N1509="131",O1509="131"),H1509='131-CT'!$H$9),"x","")</f>
        <v/>
      </c>
      <c r="Z1509" s="75"/>
      <c r="AA1509" s="75" t="str">
        <f>IF(AND(MONTH(E1509)='IN-NX'!$J$5,'IN-NX'!$D$7=D1509),"x","")</f>
        <v/>
      </c>
      <c r="AB1509" s="75" t="str">
        <f>IF(AND(OR(LEFT(TH!N1509,2)="15",LEFT(TH!O1509,2)="15"),LEFT(TH!O1509,3)&lt;&gt;"111",'152-CT'!$J$8=TH!F1509),"x","")</f>
        <v/>
      </c>
      <c r="AC1509" s="75" t="str">
        <f>IF(AND(OR(LEFT(TH!N1509,2)="15",LEFT(TH!O1509,2)="15"),TK!$E$7=TH!F1509),"x","")</f>
        <v/>
      </c>
      <c r="AD1509" s="75" t="str">
        <f>IF(AND(N1509="1521",MONTH(C1509)='BK-NL'!$M$11),"x","")</f>
        <v/>
      </c>
      <c r="AF1509" s="1054"/>
    </row>
    <row r="1510" spans="1:32" s="1264" customFormat="1" ht="16.5" customHeight="1">
      <c r="A1510" s="309" t="str">
        <f>IF(B1510&lt;&gt;"",IF(AND(B1510='IN-TC'!$S$4,OR(TH!N1510="1111",TH!O1510="1111")),TH!D1510,""),"")</f>
        <v/>
      </c>
      <c r="B1510" s="1130">
        <f t="shared" si="349"/>
        <v>6</v>
      </c>
      <c r="C1510" s="252">
        <f t="shared" si="367"/>
        <v>42913</v>
      </c>
      <c r="D1510" s="252" t="s">
        <v>2921</v>
      </c>
      <c r="E1510" s="252">
        <v>42913</v>
      </c>
      <c r="F1510" s="1055" t="s">
        <v>1639</v>
      </c>
      <c r="G1510" s="1056" t="s">
        <v>1641</v>
      </c>
      <c r="H1510" s="735" t="s">
        <v>1642</v>
      </c>
      <c r="I1510" s="371">
        <v>3000</v>
      </c>
      <c r="J1510" s="371">
        <v>102323.91499999999</v>
      </c>
      <c r="K1510" s="371"/>
      <c r="L1510" s="377"/>
      <c r="M1510" s="933">
        <f t="shared" si="368"/>
        <v>306971745</v>
      </c>
      <c r="N1510" s="977" t="s">
        <v>284</v>
      </c>
      <c r="O1510" s="977" t="s">
        <v>274</v>
      </c>
      <c r="P1510" s="75" t="str">
        <f>IF(AND('331-CT'!$E$7=TH!H1510,OR(N1510="331",O1510="331")),"x","")</f>
        <v/>
      </c>
      <c r="Q1510" s="75" t="str">
        <f>IF(AND(B1510='111'!$L$11,OR($N1510=$Q$7,$O1510=$Q$7)),"x","")</f>
        <v/>
      </c>
      <c r="R1510" s="75" t="str">
        <f>IF(AND($N1510=$Q$7,$B1510&lt;'111'!$L$11),"x","")</f>
        <v/>
      </c>
      <c r="S1510" s="75" t="str">
        <f>IF(AND($O1510=$Q$7,$B1510&lt;'111'!$L$11),"x","")</f>
        <v/>
      </c>
      <c r="T1510" s="75" t="str">
        <f>IF(ISERROR(FIND('112'!$M$9,G1510,1)),"",IF((AND(FIND('112'!$M$9,G1510,1)&gt;=1,B1510='112'!$K$9,OR($N1510='112'!$I$6,$O1510='112'!$I$6))),"x",""))</f>
        <v/>
      </c>
      <c r="U1510" s="75" t="str">
        <f>IF(ISERROR(FIND('112'!$M$9,G1510,1)),"",IF((AND(LEFT(G1510,2)=LEFT('112'!$M$9,2),B1510&lt;'112'!$K$9,$N1510='112'!$I$6)),"x",""))</f>
        <v/>
      </c>
      <c r="V1510" s="75" t="str">
        <f>IF(ISERROR(FIND('112'!$M$9,G1510,1)),"",IF((AND(RIGHT(G1510,2)=RIGHT('112'!$M$9,2),B1510&lt;'112'!$K$9,$O1510='112'!$I$6)),"x",""))</f>
        <v/>
      </c>
      <c r="W1510" s="75" t="str">
        <f>IF(AND('341-CT'!$H$9=H1510,OR(LEFT(N1510,3)=$W$7,LEFT(O1510,3)=$W$7)),"x","")</f>
        <v/>
      </c>
      <c r="X1510" s="75" t="str">
        <f>IF(OR(TH!N1510=TH!$X$7,O1510=TH!$X$7),"x","")</f>
        <v/>
      </c>
      <c r="Y1510" s="75" t="str">
        <f>IF(AND(OR(N1510="131",O1510="131"),H1510='131-CT'!$H$9),"x","")</f>
        <v/>
      </c>
      <c r="Z1510" s="75"/>
      <c r="AA1510" s="75" t="str">
        <f>IF(AND(MONTH(E1510)='IN-NX'!$J$5,'IN-NX'!$D$7=D1510),"x","")</f>
        <v/>
      </c>
      <c r="AB1510" s="75" t="str">
        <f>IF(AND(OR(LEFT(TH!N1510,2)="15",LEFT(TH!O1510,2)="15"),LEFT(TH!O1510,3)&lt;&gt;"111",'152-CT'!$J$8=TH!F1510),"x","")</f>
        <v/>
      </c>
      <c r="AC1510" s="75" t="str">
        <f>IF(AND(OR(LEFT(TH!N1510,2)="15",LEFT(TH!O1510,2)="15"),TK!$E$7=TH!F1510),"x","")</f>
        <v/>
      </c>
      <c r="AD1510" s="75" t="str">
        <f>IF(AND(N1510="1521",MONTH(C1510)='BK-NL'!$M$11),"x","")</f>
        <v/>
      </c>
      <c r="AF1510" s="1054"/>
    </row>
    <row r="1511" spans="1:32" s="1264" customFormat="1" ht="16.5" customHeight="1">
      <c r="A1511" s="309" t="str">
        <f>IF(B1511&lt;&gt;"",IF(AND(B1511='IN-TC'!$S$4,OR(TH!N1511="1111",TH!O1511="1111")),TH!D1511,""),"")</f>
        <v/>
      </c>
      <c r="B1511" s="1130">
        <f>IF(C1511&lt;&gt;"",MONTH(C1511),"")</f>
        <v>6</v>
      </c>
      <c r="C1511" s="252">
        <f>E1511</f>
        <v>42896</v>
      </c>
      <c r="D1511" s="252" t="s">
        <v>2921</v>
      </c>
      <c r="E1511" s="252">
        <v>42896</v>
      </c>
      <c r="F1511" s="1055" t="s">
        <v>1620</v>
      </c>
      <c r="G1511" s="1056" t="s">
        <v>1622</v>
      </c>
      <c r="H1511" s="73" t="s">
        <v>802</v>
      </c>
      <c r="I1511" s="371">
        <v>50</v>
      </c>
      <c r="J1511" s="371">
        <v>306134.04444444447</v>
      </c>
      <c r="K1511" s="371"/>
      <c r="L1511" s="377"/>
      <c r="M1511" s="933">
        <f>ROUND(I1511*J1511,0)</f>
        <v>15306702</v>
      </c>
      <c r="N1511" s="977" t="s">
        <v>284</v>
      </c>
      <c r="O1511" s="977" t="s">
        <v>274</v>
      </c>
      <c r="P1511" s="75" t="str">
        <f>IF(AND('331-CT'!$E$7=TH!H1511,OR(N1511="331",O1511="331")),"x","")</f>
        <v/>
      </c>
      <c r="Q1511" s="75" t="str">
        <f>IF(AND(B1511='111'!$L$11,OR($N1511=$Q$7,$O1511=$Q$7)),"x","")</f>
        <v/>
      </c>
      <c r="R1511" s="75" t="str">
        <f>IF(AND($N1511=$Q$7,$B1511&lt;'111'!$L$11),"x","")</f>
        <v/>
      </c>
      <c r="S1511" s="75" t="str">
        <f>IF(AND($O1511=$Q$7,$B1511&lt;'111'!$L$11),"x","")</f>
        <v/>
      </c>
      <c r="T1511" s="75" t="str">
        <f>IF(ISERROR(FIND('112'!$M$9,G1511,1)),"",IF((AND(FIND('112'!$M$9,G1511,1)&gt;=1,B1511='112'!$K$9,OR($N1511='112'!$I$6,$O1511='112'!$I$6))),"x",""))</f>
        <v/>
      </c>
      <c r="U1511" s="75" t="str">
        <f>IF(ISERROR(FIND('112'!$M$9,G1511,1)),"",IF((AND(LEFT(G1511,2)=LEFT('112'!$M$9,2),B1511&lt;'112'!$K$9,$N1511='112'!$I$6)),"x",""))</f>
        <v/>
      </c>
      <c r="V1511" s="75" t="str">
        <f>IF(ISERROR(FIND('112'!$M$9,G1511,1)),"",IF((AND(RIGHT(G1511,2)=RIGHT('112'!$M$9,2),B1511&lt;'112'!$K$9,$O1511='112'!$I$6)),"x",""))</f>
        <v/>
      </c>
      <c r="W1511" s="75" t="str">
        <f>IF(AND('341-CT'!$H$9=H1511,OR(LEFT(N1511,3)=$W$7,LEFT(O1511,3)=$W$7)),"x","")</f>
        <v/>
      </c>
      <c r="X1511" s="75" t="str">
        <f>IF(OR(TH!N1511=TH!$X$7,O1511=TH!$X$7),"x","")</f>
        <v/>
      </c>
      <c r="Y1511" s="75" t="str">
        <f>IF(AND(OR(N1511="131",O1511="131"),H1511='131-CT'!$H$9),"x","")</f>
        <v/>
      </c>
      <c r="Z1511" s="75"/>
      <c r="AA1511" s="75" t="str">
        <f>IF(AND(MONTH(E1511)='IN-NX'!$J$5,'IN-NX'!$D$7=D1511),"x","")</f>
        <v/>
      </c>
      <c r="AB1511" s="75" t="str">
        <f>IF(AND(OR(LEFT(TH!N1511,2)="15",LEFT(TH!O1511,2)="15"),LEFT(TH!O1511,3)&lt;&gt;"111",'152-CT'!$J$8=TH!F1511),"x","")</f>
        <v/>
      </c>
      <c r="AC1511" s="75" t="str">
        <f>IF(AND(OR(LEFT(TH!N1511,2)="15",LEFT(TH!O1511,2)="15"),TK!$E$7=TH!F1511),"x","")</f>
        <v/>
      </c>
      <c r="AD1511" s="75" t="str">
        <f>IF(AND(N1511="1521",MONTH(C1511)='BK-NL'!$M$11),"x","")</f>
        <v/>
      </c>
      <c r="AF1511" s="1054"/>
    </row>
    <row r="1512" spans="1:32" s="1264" customFormat="1" ht="16.5" customHeight="1">
      <c r="A1512" s="309" t="str">
        <f>IF(B1512&lt;&gt;"",IF(AND(B1512='IN-TC'!$S$4,OR(TH!N1512="1111",TH!O1512="1111")),TH!D1512,""),"")</f>
        <v/>
      </c>
      <c r="B1512" s="1130">
        <f t="shared" ref="B1512:B1522" si="369">IF(C1512&lt;&gt;"",MONTH(C1512),"")</f>
        <v>6</v>
      </c>
      <c r="C1512" s="252">
        <f t="shared" ref="C1512:C1522" si="370">E1512</f>
        <v>42896</v>
      </c>
      <c r="D1512" s="252" t="s">
        <v>2921</v>
      </c>
      <c r="E1512" s="252">
        <v>42896</v>
      </c>
      <c r="F1512" s="1055" t="s">
        <v>2477</v>
      </c>
      <c r="G1512" s="1056" t="s">
        <v>1622</v>
      </c>
      <c r="H1512" s="73" t="s">
        <v>802</v>
      </c>
      <c r="I1512" s="371">
        <v>50</v>
      </c>
      <c r="J1512" s="371">
        <v>148634.04444444444</v>
      </c>
      <c r="K1512" s="371"/>
      <c r="L1512" s="377"/>
      <c r="M1512" s="933">
        <f t="shared" ref="M1512:M1522" si="371">ROUND(I1512*J1512,0)</f>
        <v>7431702</v>
      </c>
      <c r="N1512" s="977" t="s">
        <v>284</v>
      </c>
      <c r="O1512" s="977" t="s">
        <v>274</v>
      </c>
      <c r="P1512" s="75" t="str">
        <f>IF(AND('331-CT'!$E$7=TH!H1512,OR(N1512="331",O1512="331")),"x","")</f>
        <v/>
      </c>
      <c r="Q1512" s="75" t="str">
        <f>IF(AND(B1512='111'!$L$11,OR($N1512=$Q$7,$O1512=$Q$7)),"x","")</f>
        <v/>
      </c>
      <c r="R1512" s="75" t="str">
        <f>IF(AND($N1512=$Q$7,$B1512&lt;'111'!$L$11),"x","")</f>
        <v/>
      </c>
      <c r="S1512" s="75" t="str">
        <f>IF(AND($O1512=$Q$7,$B1512&lt;'111'!$L$11),"x","")</f>
        <v/>
      </c>
      <c r="T1512" s="75" t="str">
        <f>IF(ISERROR(FIND('112'!$M$9,G1512,1)),"",IF((AND(FIND('112'!$M$9,G1512,1)&gt;=1,B1512='112'!$K$9,OR($N1512='112'!$I$6,$O1512='112'!$I$6))),"x",""))</f>
        <v/>
      </c>
      <c r="U1512" s="75" t="str">
        <f>IF(ISERROR(FIND('112'!$M$9,G1512,1)),"",IF((AND(LEFT(G1512,2)=LEFT('112'!$M$9,2),B1512&lt;'112'!$K$9,$N1512='112'!$I$6)),"x",""))</f>
        <v/>
      </c>
      <c r="V1512" s="75" t="str">
        <f>IF(ISERROR(FIND('112'!$M$9,G1512,1)),"",IF((AND(RIGHT(G1512,2)=RIGHT('112'!$M$9,2),B1512&lt;'112'!$K$9,$O1512='112'!$I$6)),"x",""))</f>
        <v/>
      </c>
      <c r="W1512" s="75" t="str">
        <f>IF(AND('341-CT'!$H$9=H1512,OR(LEFT(N1512,3)=$W$7,LEFT(O1512,3)=$W$7)),"x","")</f>
        <v/>
      </c>
      <c r="X1512" s="75" t="str">
        <f>IF(OR(TH!N1512=TH!$X$7,O1512=TH!$X$7),"x","")</f>
        <v/>
      </c>
      <c r="Y1512" s="75" t="str">
        <f>IF(AND(OR(N1512="131",O1512="131"),H1512='131-CT'!$H$9),"x","")</f>
        <v/>
      </c>
      <c r="Z1512" s="75"/>
      <c r="AA1512" s="75" t="str">
        <f>IF(AND(MONTH(E1512)='IN-NX'!$J$5,'IN-NX'!$D$7=D1512),"x","")</f>
        <v/>
      </c>
      <c r="AB1512" s="75" t="str">
        <f>IF(AND(OR(LEFT(TH!N1512,2)="15",LEFT(TH!O1512,2)="15"),LEFT(TH!O1512,3)&lt;&gt;"111",'152-CT'!$J$8=TH!F1512),"x","")</f>
        <v/>
      </c>
      <c r="AC1512" s="75" t="str">
        <f>IF(AND(OR(LEFT(TH!N1512,2)="15",LEFT(TH!O1512,2)="15"),TK!$E$7=TH!F1512),"x","")</f>
        <v/>
      </c>
      <c r="AD1512" s="75" t="str">
        <f>IF(AND(N1512="1521",MONTH(C1512)='BK-NL'!$M$11),"x","")</f>
        <v/>
      </c>
      <c r="AF1512" s="1054"/>
    </row>
    <row r="1513" spans="1:32" s="1264" customFormat="1" ht="16.5" customHeight="1">
      <c r="A1513" s="309" t="str">
        <f>IF(B1513&lt;&gt;"",IF(AND(B1513='IN-TC'!$S$4,OR(TH!N1513="1111",TH!O1513="1111")),TH!D1513,""),"")</f>
        <v/>
      </c>
      <c r="B1513" s="1130">
        <f t="shared" si="369"/>
        <v>6</v>
      </c>
      <c r="C1513" s="252">
        <f t="shared" si="370"/>
        <v>42896</v>
      </c>
      <c r="D1513" s="252" t="s">
        <v>2921</v>
      </c>
      <c r="E1513" s="252">
        <v>42896</v>
      </c>
      <c r="F1513" s="1055" t="s">
        <v>1621</v>
      </c>
      <c r="G1513" s="1056" t="s">
        <v>1622</v>
      </c>
      <c r="H1513" s="73" t="s">
        <v>802</v>
      </c>
      <c r="I1513" s="371">
        <v>60</v>
      </c>
      <c r="J1513" s="371">
        <v>148634.04347826086</v>
      </c>
      <c r="K1513" s="371"/>
      <c r="L1513" s="377"/>
      <c r="M1513" s="933">
        <f t="shared" si="371"/>
        <v>8918043</v>
      </c>
      <c r="N1513" s="977" t="s">
        <v>284</v>
      </c>
      <c r="O1513" s="977" t="s">
        <v>274</v>
      </c>
      <c r="P1513" s="75" t="str">
        <f>IF(AND('331-CT'!$E$7=TH!H1513,OR(N1513="331",O1513="331")),"x","")</f>
        <v/>
      </c>
      <c r="Q1513" s="75" t="str">
        <f>IF(AND(B1513='111'!$L$11,OR($N1513=$Q$7,$O1513=$Q$7)),"x","")</f>
        <v/>
      </c>
      <c r="R1513" s="75" t="str">
        <f>IF(AND($N1513=$Q$7,$B1513&lt;'111'!$L$11),"x","")</f>
        <v/>
      </c>
      <c r="S1513" s="75" t="str">
        <f>IF(AND($O1513=$Q$7,$B1513&lt;'111'!$L$11),"x","")</f>
        <v/>
      </c>
      <c r="T1513" s="75" t="str">
        <f>IF(ISERROR(FIND('112'!$M$9,G1513,1)),"",IF((AND(FIND('112'!$M$9,G1513,1)&gt;=1,B1513='112'!$K$9,OR($N1513='112'!$I$6,$O1513='112'!$I$6))),"x",""))</f>
        <v/>
      </c>
      <c r="U1513" s="75" t="str">
        <f>IF(ISERROR(FIND('112'!$M$9,G1513,1)),"",IF((AND(LEFT(G1513,2)=LEFT('112'!$M$9,2),B1513&lt;'112'!$K$9,$N1513='112'!$I$6)),"x",""))</f>
        <v/>
      </c>
      <c r="V1513" s="75" t="str">
        <f>IF(ISERROR(FIND('112'!$M$9,G1513,1)),"",IF((AND(RIGHT(G1513,2)=RIGHT('112'!$M$9,2),B1513&lt;'112'!$K$9,$O1513='112'!$I$6)),"x",""))</f>
        <v/>
      </c>
      <c r="W1513" s="75" t="str">
        <f>IF(AND('341-CT'!$H$9=H1513,OR(LEFT(N1513,3)=$W$7,LEFT(O1513,3)=$W$7)),"x","")</f>
        <v/>
      </c>
      <c r="X1513" s="75" t="str">
        <f>IF(OR(TH!N1513=TH!$X$7,O1513=TH!$X$7),"x","")</f>
        <v/>
      </c>
      <c r="Y1513" s="75" t="str">
        <f>IF(AND(OR(N1513="131",O1513="131"),H1513='131-CT'!$H$9),"x","")</f>
        <v/>
      </c>
      <c r="Z1513" s="75"/>
      <c r="AA1513" s="75" t="str">
        <f>IF(AND(MONTH(E1513)='IN-NX'!$J$5,'IN-NX'!$D$7=D1513),"x","")</f>
        <v/>
      </c>
      <c r="AB1513" s="75" t="str">
        <f>IF(AND(OR(LEFT(TH!N1513,2)="15",LEFT(TH!O1513,2)="15"),LEFT(TH!O1513,3)&lt;&gt;"111",'152-CT'!$J$8=TH!F1513),"x","")</f>
        <v/>
      </c>
      <c r="AC1513" s="75" t="str">
        <f>IF(AND(OR(LEFT(TH!N1513,2)="15",LEFT(TH!O1513,2)="15"),TK!$E$7=TH!F1513),"x","")</f>
        <v/>
      </c>
      <c r="AD1513" s="75" t="str">
        <f>IF(AND(N1513="1521",MONTH(C1513)='BK-NL'!$M$11),"x","")</f>
        <v/>
      </c>
      <c r="AF1513" s="1054"/>
    </row>
    <row r="1514" spans="1:32" s="1264" customFormat="1" ht="16.5" customHeight="1">
      <c r="A1514" s="309" t="str">
        <f>IF(B1514&lt;&gt;"",IF(AND(B1514='IN-TC'!$S$4,OR(TH!N1514="1111",TH!O1514="1111")),TH!D1514,""),"")</f>
        <v/>
      </c>
      <c r="B1514" s="1130">
        <f t="shared" si="369"/>
        <v>6</v>
      </c>
      <c r="C1514" s="252">
        <f t="shared" si="370"/>
        <v>42896</v>
      </c>
      <c r="D1514" s="252" t="s">
        <v>2921</v>
      </c>
      <c r="E1514" s="252">
        <v>42896</v>
      </c>
      <c r="F1514" s="1055" t="s">
        <v>418</v>
      </c>
      <c r="G1514" s="1056" t="s">
        <v>1622</v>
      </c>
      <c r="H1514" s="73" t="s">
        <v>802</v>
      </c>
      <c r="I1514" s="371">
        <v>20</v>
      </c>
      <c r="J1514" s="371">
        <v>89134.71974522293</v>
      </c>
      <c r="K1514" s="371"/>
      <c r="L1514" s="377"/>
      <c r="M1514" s="933">
        <f t="shared" si="371"/>
        <v>1782694</v>
      </c>
      <c r="N1514" s="977" t="s">
        <v>284</v>
      </c>
      <c r="O1514" s="977" t="s">
        <v>274</v>
      </c>
      <c r="P1514" s="75" t="str">
        <f>IF(AND('331-CT'!$E$7=TH!H1514,OR(N1514="331",O1514="331")),"x","")</f>
        <v/>
      </c>
      <c r="Q1514" s="75" t="str">
        <f>IF(AND(B1514='111'!$L$11,OR($N1514=$Q$7,$O1514=$Q$7)),"x","")</f>
        <v/>
      </c>
      <c r="R1514" s="75" t="str">
        <f>IF(AND($N1514=$Q$7,$B1514&lt;'111'!$L$11),"x","")</f>
        <v/>
      </c>
      <c r="S1514" s="75" t="str">
        <f>IF(AND($O1514=$Q$7,$B1514&lt;'111'!$L$11),"x","")</f>
        <v/>
      </c>
      <c r="T1514" s="75" t="str">
        <f>IF(ISERROR(FIND('112'!$M$9,G1514,1)),"",IF((AND(FIND('112'!$M$9,G1514,1)&gt;=1,B1514='112'!$K$9,OR($N1514='112'!$I$6,$O1514='112'!$I$6))),"x",""))</f>
        <v/>
      </c>
      <c r="U1514" s="75" t="str">
        <f>IF(ISERROR(FIND('112'!$M$9,G1514,1)),"",IF((AND(LEFT(G1514,2)=LEFT('112'!$M$9,2),B1514&lt;'112'!$K$9,$N1514='112'!$I$6)),"x",""))</f>
        <v/>
      </c>
      <c r="V1514" s="75" t="str">
        <f>IF(ISERROR(FIND('112'!$M$9,G1514,1)),"",IF((AND(RIGHT(G1514,2)=RIGHT('112'!$M$9,2),B1514&lt;'112'!$K$9,$O1514='112'!$I$6)),"x",""))</f>
        <v/>
      </c>
      <c r="W1514" s="75" t="str">
        <f>IF(AND('341-CT'!$H$9=H1514,OR(LEFT(N1514,3)=$W$7,LEFT(O1514,3)=$W$7)),"x","")</f>
        <v/>
      </c>
      <c r="X1514" s="75" t="str">
        <f>IF(OR(TH!N1514=TH!$X$7,O1514=TH!$X$7),"x","")</f>
        <v/>
      </c>
      <c r="Y1514" s="75" t="str">
        <f>IF(AND(OR(N1514="131",O1514="131"),H1514='131-CT'!$H$9),"x","")</f>
        <v/>
      </c>
      <c r="Z1514" s="75"/>
      <c r="AA1514" s="75" t="str">
        <f>IF(AND(MONTH(E1514)='IN-NX'!$J$5,'IN-NX'!$D$7=D1514),"x","")</f>
        <v/>
      </c>
      <c r="AB1514" s="75" t="str">
        <f>IF(AND(OR(LEFT(TH!N1514,2)="15",LEFT(TH!O1514,2)="15"),LEFT(TH!O1514,3)&lt;&gt;"111",'152-CT'!$J$8=TH!F1514),"x","")</f>
        <v/>
      </c>
      <c r="AC1514" s="75" t="str">
        <f>IF(AND(OR(LEFT(TH!N1514,2)="15",LEFT(TH!O1514,2)="15"),TK!$E$7=TH!F1514),"x","")</f>
        <v/>
      </c>
      <c r="AD1514" s="75" t="str">
        <f>IF(AND(N1514="1521",MONTH(C1514)='BK-NL'!$M$11),"x","")</f>
        <v/>
      </c>
      <c r="AF1514" s="1054"/>
    </row>
    <row r="1515" spans="1:32" s="1264" customFormat="1" ht="16.5" customHeight="1">
      <c r="A1515" s="309" t="str">
        <f>IF(B1515&lt;&gt;"",IF(AND(B1515='IN-TC'!$S$4,OR(TH!N1515="1111",TH!O1515="1111")),TH!D1515,""),"")</f>
        <v/>
      </c>
      <c r="B1515" s="1130">
        <f t="shared" si="369"/>
        <v>6</v>
      </c>
      <c r="C1515" s="252">
        <f t="shared" si="370"/>
        <v>42896</v>
      </c>
      <c r="D1515" s="252" t="s">
        <v>2921</v>
      </c>
      <c r="E1515" s="252">
        <v>42896</v>
      </c>
      <c r="F1515" s="1055" t="s">
        <v>1406</v>
      </c>
      <c r="G1515" s="1056" t="s">
        <v>1622</v>
      </c>
      <c r="H1515" s="73" t="s">
        <v>802</v>
      </c>
      <c r="I1515" s="371">
        <v>40</v>
      </c>
      <c r="J1515" s="371">
        <v>121134.04545454546</v>
      </c>
      <c r="K1515" s="371"/>
      <c r="L1515" s="377"/>
      <c r="M1515" s="933">
        <f t="shared" si="371"/>
        <v>4845362</v>
      </c>
      <c r="N1515" s="977" t="s">
        <v>284</v>
      </c>
      <c r="O1515" s="977" t="s">
        <v>274</v>
      </c>
      <c r="P1515" s="75" t="str">
        <f>IF(AND('331-CT'!$E$7=TH!H1515,OR(N1515="331",O1515="331")),"x","")</f>
        <v/>
      </c>
      <c r="Q1515" s="75" t="str">
        <f>IF(AND(B1515='111'!$L$11,OR($N1515=$Q$7,$O1515=$Q$7)),"x","")</f>
        <v/>
      </c>
      <c r="R1515" s="75" t="str">
        <f>IF(AND($N1515=$Q$7,$B1515&lt;'111'!$L$11),"x","")</f>
        <v/>
      </c>
      <c r="S1515" s="75" t="str">
        <f>IF(AND($O1515=$Q$7,$B1515&lt;'111'!$L$11),"x","")</f>
        <v/>
      </c>
      <c r="T1515" s="75" t="str">
        <f>IF(ISERROR(FIND('112'!$M$9,G1515,1)),"",IF((AND(FIND('112'!$M$9,G1515,1)&gt;=1,B1515='112'!$K$9,OR($N1515='112'!$I$6,$O1515='112'!$I$6))),"x",""))</f>
        <v/>
      </c>
      <c r="U1515" s="75" t="str">
        <f>IF(ISERROR(FIND('112'!$M$9,G1515,1)),"",IF((AND(LEFT(G1515,2)=LEFT('112'!$M$9,2),B1515&lt;'112'!$K$9,$N1515='112'!$I$6)),"x",""))</f>
        <v/>
      </c>
      <c r="V1515" s="75" t="str">
        <f>IF(ISERROR(FIND('112'!$M$9,G1515,1)),"",IF((AND(RIGHT(G1515,2)=RIGHT('112'!$M$9,2),B1515&lt;'112'!$K$9,$O1515='112'!$I$6)),"x",""))</f>
        <v/>
      </c>
      <c r="W1515" s="75" t="str">
        <f>IF(AND('341-CT'!$H$9=H1515,OR(LEFT(N1515,3)=$W$7,LEFT(O1515,3)=$W$7)),"x","")</f>
        <v/>
      </c>
      <c r="X1515" s="75" t="str">
        <f>IF(OR(TH!N1515=TH!$X$7,O1515=TH!$X$7),"x","")</f>
        <v/>
      </c>
      <c r="Y1515" s="75" t="str">
        <f>IF(AND(OR(N1515="131",O1515="131"),H1515='131-CT'!$H$9),"x","")</f>
        <v/>
      </c>
      <c r="Z1515" s="75"/>
      <c r="AA1515" s="75" t="str">
        <f>IF(AND(MONTH(E1515)='IN-NX'!$J$5,'IN-NX'!$D$7=D1515),"x","")</f>
        <v/>
      </c>
      <c r="AB1515" s="75" t="str">
        <f>IF(AND(OR(LEFT(TH!N1515,2)="15",LEFT(TH!O1515,2)="15"),LEFT(TH!O1515,3)&lt;&gt;"111",'152-CT'!$J$8=TH!F1515),"x","")</f>
        <v/>
      </c>
      <c r="AC1515" s="75" t="str">
        <f>IF(AND(OR(LEFT(TH!N1515,2)="15",LEFT(TH!O1515,2)="15"),TK!$E$7=TH!F1515),"x","")</f>
        <v/>
      </c>
      <c r="AD1515" s="75" t="str">
        <f>IF(AND(N1515="1521",MONTH(C1515)='BK-NL'!$M$11),"x","")</f>
        <v/>
      </c>
      <c r="AF1515" s="1054"/>
    </row>
    <row r="1516" spans="1:32" s="1264" customFormat="1" ht="16.5" customHeight="1">
      <c r="A1516" s="309" t="str">
        <f>IF(B1516&lt;&gt;"",IF(AND(B1516='IN-TC'!$S$4,OR(TH!N1516="1111",TH!O1516="1111")),TH!D1516,""),"")</f>
        <v/>
      </c>
      <c r="B1516" s="1130">
        <f t="shared" si="369"/>
        <v>6</v>
      </c>
      <c r="C1516" s="252">
        <f t="shared" si="370"/>
        <v>42896</v>
      </c>
      <c r="D1516" s="252" t="s">
        <v>2921</v>
      </c>
      <c r="E1516" s="252">
        <v>42896</v>
      </c>
      <c r="F1516" s="1055" t="s">
        <v>1107</v>
      </c>
      <c r="G1516" s="1056" t="s">
        <v>1622</v>
      </c>
      <c r="H1516" s="73" t="s">
        <v>802</v>
      </c>
      <c r="I1516" s="371">
        <v>30</v>
      </c>
      <c r="J1516" s="371">
        <v>209883.36666666667</v>
      </c>
      <c r="K1516" s="371"/>
      <c r="L1516" s="377"/>
      <c r="M1516" s="933">
        <f t="shared" si="371"/>
        <v>6296501</v>
      </c>
      <c r="N1516" s="977" t="s">
        <v>284</v>
      </c>
      <c r="O1516" s="977" t="s">
        <v>274</v>
      </c>
      <c r="P1516" s="75" t="str">
        <f>IF(AND('331-CT'!$E$7=TH!H1516,OR(N1516="331",O1516="331")),"x","")</f>
        <v/>
      </c>
      <c r="Q1516" s="75" t="str">
        <f>IF(AND(B1516='111'!$L$11,OR($N1516=$Q$7,$O1516=$Q$7)),"x","")</f>
        <v/>
      </c>
      <c r="R1516" s="75" t="str">
        <f>IF(AND($N1516=$Q$7,$B1516&lt;'111'!$L$11),"x","")</f>
        <v/>
      </c>
      <c r="S1516" s="75" t="str">
        <f>IF(AND($O1516=$Q$7,$B1516&lt;'111'!$L$11),"x","")</f>
        <v/>
      </c>
      <c r="T1516" s="75" t="str">
        <f>IF(ISERROR(FIND('112'!$M$9,G1516,1)),"",IF((AND(FIND('112'!$M$9,G1516,1)&gt;=1,B1516='112'!$K$9,OR($N1516='112'!$I$6,$O1516='112'!$I$6))),"x",""))</f>
        <v/>
      </c>
      <c r="U1516" s="75" t="str">
        <f>IF(ISERROR(FIND('112'!$M$9,G1516,1)),"",IF((AND(LEFT(G1516,2)=LEFT('112'!$M$9,2),B1516&lt;'112'!$K$9,$N1516='112'!$I$6)),"x",""))</f>
        <v/>
      </c>
      <c r="V1516" s="75" t="str">
        <f>IF(ISERROR(FIND('112'!$M$9,G1516,1)),"",IF((AND(RIGHT(G1516,2)=RIGHT('112'!$M$9,2),B1516&lt;'112'!$K$9,$O1516='112'!$I$6)),"x",""))</f>
        <v/>
      </c>
      <c r="W1516" s="75" t="str">
        <f>IF(AND('341-CT'!$H$9=H1516,OR(LEFT(N1516,3)=$W$7,LEFT(O1516,3)=$W$7)),"x","")</f>
        <v/>
      </c>
      <c r="X1516" s="75" t="str">
        <f>IF(OR(TH!N1516=TH!$X$7,O1516=TH!$X$7),"x","")</f>
        <v/>
      </c>
      <c r="Y1516" s="75" t="str">
        <f>IF(AND(OR(N1516="131",O1516="131"),H1516='131-CT'!$H$9),"x","")</f>
        <v/>
      </c>
      <c r="Z1516" s="75"/>
      <c r="AA1516" s="75" t="str">
        <f>IF(AND(MONTH(E1516)='IN-NX'!$J$5,'IN-NX'!$D$7=D1516),"x","")</f>
        <v/>
      </c>
      <c r="AB1516" s="75" t="str">
        <f>IF(AND(OR(LEFT(TH!N1516,2)="15",LEFT(TH!O1516,2)="15"),LEFT(TH!O1516,3)&lt;&gt;"111",'152-CT'!$J$8=TH!F1516),"x","")</f>
        <v/>
      </c>
      <c r="AC1516" s="75" t="str">
        <f>IF(AND(OR(LEFT(TH!N1516,2)="15",LEFT(TH!O1516,2)="15"),TK!$E$7=TH!F1516),"x","")</f>
        <v/>
      </c>
      <c r="AD1516" s="75" t="str">
        <f>IF(AND(N1516="1521",MONTH(C1516)='BK-NL'!$M$11),"x","")</f>
        <v/>
      </c>
      <c r="AF1516" s="1054"/>
    </row>
    <row r="1517" spans="1:32" s="1264" customFormat="1" ht="16.5" customHeight="1">
      <c r="A1517" s="309" t="str">
        <f>IF(B1517&lt;&gt;"",IF(AND(B1517='IN-TC'!$S$4,OR(TH!N1517="1111",TH!O1517="1111")),TH!D1517,""),"")</f>
        <v/>
      </c>
      <c r="B1517" s="1130">
        <f t="shared" si="369"/>
        <v>6</v>
      </c>
      <c r="C1517" s="252">
        <f t="shared" si="370"/>
        <v>42896</v>
      </c>
      <c r="D1517" s="252" t="s">
        <v>2921</v>
      </c>
      <c r="E1517" s="252">
        <v>42896</v>
      </c>
      <c r="F1517" s="1055" t="s">
        <v>799</v>
      </c>
      <c r="G1517" s="1056" t="s">
        <v>1622</v>
      </c>
      <c r="H1517" s="73" t="s">
        <v>802</v>
      </c>
      <c r="I1517" s="371">
        <v>40</v>
      </c>
      <c r="J1517" s="371">
        <v>114632.69486404833</v>
      </c>
      <c r="K1517" s="371"/>
      <c r="L1517" s="377"/>
      <c r="M1517" s="933">
        <f t="shared" si="371"/>
        <v>4585308</v>
      </c>
      <c r="N1517" s="977" t="s">
        <v>284</v>
      </c>
      <c r="O1517" s="977" t="s">
        <v>274</v>
      </c>
      <c r="P1517" s="75" t="str">
        <f>IF(AND('331-CT'!$E$7=TH!H1517,OR(N1517="331",O1517="331")),"x","")</f>
        <v/>
      </c>
      <c r="Q1517" s="75" t="str">
        <f>IF(AND(B1517='111'!$L$11,OR($N1517=$Q$7,$O1517=$Q$7)),"x","")</f>
        <v/>
      </c>
      <c r="R1517" s="75" t="str">
        <f>IF(AND($N1517=$Q$7,$B1517&lt;'111'!$L$11),"x","")</f>
        <v/>
      </c>
      <c r="S1517" s="75" t="str">
        <f>IF(AND($O1517=$Q$7,$B1517&lt;'111'!$L$11),"x","")</f>
        <v/>
      </c>
      <c r="T1517" s="75" t="str">
        <f>IF(ISERROR(FIND('112'!$M$9,G1517,1)),"",IF((AND(FIND('112'!$M$9,G1517,1)&gt;=1,B1517='112'!$K$9,OR($N1517='112'!$I$6,$O1517='112'!$I$6))),"x",""))</f>
        <v/>
      </c>
      <c r="U1517" s="75" t="str">
        <f>IF(ISERROR(FIND('112'!$M$9,G1517,1)),"",IF((AND(LEFT(G1517,2)=LEFT('112'!$M$9,2),B1517&lt;'112'!$K$9,$N1517='112'!$I$6)),"x",""))</f>
        <v/>
      </c>
      <c r="V1517" s="75" t="str">
        <f>IF(ISERROR(FIND('112'!$M$9,G1517,1)),"",IF((AND(RIGHT(G1517,2)=RIGHT('112'!$M$9,2),B1517&lt;'112'!$K$9,$O1517='112'!$I$6)),"x",""))</f>
        <v/>
      </c>
      <c r="W1517" s="75" t="str">
        <f>IF(AND('341-CT'!$H$9=H1517,OR(LEFT(N1517,3)=$W$7,LEFT(O1517,3)=$W$7)),"x","")</f>
        <v/>
      </c>
      <c r="X1517" s="75" t="str">
        <f>IF(OR(TH!N1517=TH!$X$7,O1517=TH!$X$7),"x","")</f>
        <v/>
      </c>
      <c r="Y1517" s="75" t="str">
        <f>IF(AND(OR(N1517="131",O1517="131"),H1517='131-CT'!$H$9),"x","")</f>
        <v/>
      </c>
      <c r="Z1517" s="75"/>
      <c r="AA1517" s="75" t="str">
        <f>IF(AND(MONTH(E1517)='IN-NX'!$J$5,'IN-NX'!$D$7=D1517),"x","")</f>
        <v/>
      </c>
      <c r="AB1517" s="75" t="str">
        <f>IF(AND(OR(LEFT(TH!N1517,2)="15",LEFT(TH!O1517,2)="15"),LEFT(TH!O1517,3)&lt;&gt;"111",'152-CT'!$J$8=TH!F1517),"x","")</f>
        <v/>
      </c>
      <c r="AC1517" s="75" t="str">
        <f>IF(AND(OR(LEFT(TH!N1517,2)="15",LEFT(TH!O1517,2)="15"),TK!$E$7=TH!F1517),"x","")</f>
        <v/>
      </c>
      <c r="AD1517" s="75" t="str">
        <f>IF(AND(N1517="1521",MONTH(C1517)='BK-NL'!$M$11),"x","")</f>
        <v/>
      </c>
      <c r="AF1517" s="1054"/>
    </row>
    <row r="1518" spans="1:32" s="1264" customFormat="1" ht="16.5" customHeight="1">
      <c r="A1518" s="309" t="str">
        <f>IF(B1518&lt;&gt;"",IF(AND(B1518='IN-TC'!$S$4,OR(TH!N1518="1111",TH!O1518="1111")),TH!D1518,""),"")</f>
        <v/>
      </c>
      <c r="B1518" s="1130">
        <f t="shared" si="369"/>
        <v>6</v>
      </c>
      <c r="C1518" s="252">
        <f t="shared" si="370"/>
        <v>42896</v>
      </c>
      <c r="D1518" s="252" t="s">
        <v>2921</v>
      </c>
      <c r="E1518" s="252">
        <v>42896</v>
      </c>
      <c r="F1518" s="1055" t="s">
        <v>800</v>
      </c>
      <c r="G1518" s="1056" t="s">
        <v>1622</v>
      </c>
      <c r="H1518" s="73" t="s">
        <v>802</v>
      </c>
      <c r="I1518" s="371">
        <v>50</v>
      </c>
      <c r="J1518" s="371">
        <v>198632.69523809524</v>
      </c>
      <c r="K1518" s="371"/>
      <c r="L1518" s="377"/>
      <c r="M1518" s="933">
        <f t="shared" si="371"/>
        <v>9931635</v>
      </c>
      <c r="N1518" s="977" t="s">
        <v>284</v>
      </c>
      <c r="O1518" s="977" t="s">
        <v>274</v>
      </c>
      <c r="P1518" s="75" t="str">
        <f>IF(AND('331-CT'!$E$7=TH!H1518,OR(N1518="331",O1518="331")),"x","")</f>
        <v/>
      </c>
      <c r="Q1518" s="75" t="str">
        <f>IF(AND(B1518='111'!$L$11,OR($N1518=$Q$7,$O1518=$Q$7)),"x","")</f>
        <v/>
      </c>
      <c r="R1518" s="75" t="str">
        <f>IF(AND($N1518=$Q$7,$B1518&lt;'111'!$L$11),"x","")</f>
        <v/>
      </c>
      <c r="S1518" s="75" t="str">
        <f>IF(AND($O1518=$Q$7,$B1518&lt;'111'!$L$11),"x","")</f>
        <v/>
      </c>
      <c r="T1518" s="75" t="str">
        <f>IF(ISERROR(FIND('112'!$M$9,G1518,1)),"",IF((AND(FIND('112'!$M$9,G1518,1)&gt;=1,B1518='112'!$K$9,OR($N1518='112'!$I$6,$O1518='112'!$I$6))),"x",""))</f>
        <v/>
      </c>
      <c r="U1518" s="75" t="str">
        <f>IF(ISERROR(FIND('112'!$M$9,G1518,1)),"",IF((AND(LEFT(G1518,2)=LEFT('112'!$M$9,2),B1518&lt;'112'!$K$9,$N1518='112'!$I$6)),"x",""))</f>
        <v/>
      </c>
      <c r="V1518" s="75" t="str">
        <f>IF(ISERROR(FIND('112'!$M$9,G1518,1)),"",IF((AND(RIGHT(G1518,2)=RIGHT('112'!$M$9,2),B1518&lt;'112'!$K$9,$O1518='112'!$I$6)),"x",""))</f>
        <v/>
      </c>
      <c r="W1518" s="75" t="str">
        <f>IF(AND('341-CT'!$H$9=H1518,OR(LEFT(N1518,3)=$W$7,LEFT(O1518,3)=$W$7)),"x","")</f>
        <v/>
      </c>
      <c r="X1518" s="75" t="str">
        <f>IF(OR(TH!N1518=TH!$X$7,O1518=TH!$X$7),"x","")</f>
        <v/>
      </c>
      <c r="Y1518" s="75" t="str">
        <f>IF(AND(OR(N1518="131",O1518="131"),H1518='131-CT'!$H$9),"x","")</f>
        <v/>
      </c>
      <c r="Z1518" s="75"/>
      <c r="AA1518" s="75" t="str">
        <f>IF(AND(MONTH(E1518)='IN-NX'!$J$5,'IN-NX'!$D$7=D1518),"x","")</f>
        <v/>
      </c>
      <c r="AB1518" s="75" t="str">
        <f>IF(AND(OR(LEFT(TH!N1518,2)="15",LEFT(TH!O1518,2)="15"),LEFT(TH!O1518,3)&lt;&gt;"111",'152-CT'!$J$8=TH!F1518),"x","")</f>
        <v/>
      </c>
      <c r="AC1518" s="75" t="str">
        <f>IF(AND(OR(LEFT(TH!N1518,2)="15",LEFT(TH!O1518,2)="15"),TK!$E$7=TH!F1518),"x","")</f>
        <v/>
      </c>
      <c r="AD1518" s="75" t="str">
        <f>IF(AND(N1518="1521",MONTH(C1518)='BK-NL'!$M$11),"x","")</f>
        <v/>
      </c>
      <c r="AF1518" s="1054"/>
    </row>
    <row r="1519" spans="1:32" s="1264" customFormat="1" ht="16.5" customHeight="1">
      <c r="A1519" s="309" t="str">
        <f>IF(B1519&lt;&gt;"",IF(AND(B1519='IN-TC'!$S$4,OR(TH!N1519="1111",TH!O1519="1111")),TH!D1519,""),"")</f>
        <v/>
      </c>
      <c r="B1519" s="1130">
        <f t="shared" si="369"/>
        <v>6</v>
      </c>
      <c r="C1519" s="252">
        <f t="shared" si="370"/>
        <v>42896</v>
      </c>
      <c r="D1519" s="252" t="s">
        <v>2921</v>
      </c>
      <c r="E1519" s="252">
        <v>42896</v>
      </c>
      <c r="F1519" s="1055" t="s">
        <v>1618</v>
      </c>
      <c r="G1519" s="1056" t="s">
        <v>1622</v>
      </c>
      <c r="H1519" s="73" t="s">
        <v>802</v>
      </c>
      <c r="I1519" s="371">
        <v>10</v>
      </c>
      <c r="J1519" s="371">
        <v>543737.83333333337</v>
      </c>
      <c r="K1519" s="371"/>
      <c r="L1519" s="377"/>
      <c r="M1519" s="933">
        <f t="shared" si="371"/>
        <v>5437378</v>
      </c>
      <c r="N1519" s="977" t="s">
        <v>284</v>
      </c>
      <c r="O1519" s="977" t="s">
        <v>274</v>
      </c>
      <c r="P1519" s="75" t="str">
        <f>IF(AND('331-CT'!$E$7=TH!H1519,OR(N1519="331",O1519="331")),"x","")</f>
        <v/>
      </c>
      <c r="Q1519" s="75" t="str">
        <f>IF(AND(B1519='111'!$L$11,OR($N1519=$Q$7,$O1519=$Q$7)),"x","")</f>
        <v/>
      </c>
      <c r="R1519" s="75" t="str">
        <f>IF(AND($N1519=$Q$7,$B1519&lt;'111'!$L$11),"x","")</f>
        <v/>
      </c>
      <c r="S1519" s="75" t="str">
        <f>IF(AND($O1519=$Q$7,$B1519&lt;'111'!$L$11),"x","")</f>
        <v/>
      </c>
      <c r="T1519" s="75" t="str">
        <f>IF(ISERROR(FIND('112'!$M$9,G1519,1)),"",IF((AND(FIND('112'!$M$9,G1519,1)&gt;=1,B1519='112'!$K$9,OR($N1519='112'!$I$6,$O1519='112'!$I$6))),"x",""))</f>
        <v/>
      </c>
      <c r="U1519" s="75" t="str">
        <f>IF(ISERROR(FIND('112'!$M$9,G1519,1)),"",IF((AND(LEFT(G1519,2)=LEFT('112'!$M$9,2),B1519&lt;'112'!$K$9,$N1519='112'!$I$6)),"x",""))</f>
        <v/>
      </c>
      <c r="V1519" s="75" t="str">
        <f>IF(ISERROR(FIND('112'!$M$9,G1519,1)),"",IF((AND(RIGHT(G1519,2)=RIGHT('112'!$M$9,2),B1519&lt;'112'!$K$9,$O1519='112'!$I$6)),"x",""))</f>
        <v/>
      </c>
      <c r="W1519" s="75" t="str">
        <f>IF(AND('341-CT'!$H$9=H1519,OR(LEFT(N1519,3)=$W$7,LEFT(O1519,3)=$W$7)),"x","")</f>
        <v/>
      </c>
      <c r="X1519" s="75" t="str">
        <f>IF(OR(TH!N1519=TH!$X$7,O1519=TH!$X$7),"x","")</f>
        <v/>
      </c>
      <c r="Y1519" s="75" t="str">
        <f>IF(AND(OR(N1519="131",O1519="131"),H1519='131-CT'!$H$9),"x","")</f>
        <v/>
      </c>
      <c r="Z1519" s="75"/>
      <c r="AA1519" s="75" t="str">
        <f>IF(AND(MONTH(E1519)='IN-NX'!$J$5,'IN-NX'!$D$7=D1519),"x","")</f>
        <v/>
      </c>
      <c r="AB1519" s="75" t="str">
        <f>IF(AND(OR(LEFT(TH!N1519,2)="15",LEFT(TH!O1519,2)="15"),LEFT(TH!O1519,3)&lt;&gt;"111",'152-CT'!$J$8=TH!F1519),"x","")</f>
        <v/>
      </c>
      <c r="AC1519" s="75" t="str">
        <f>IF(AND(OR(LEFT(TH!N1519,2)="15",LEFT(TH!O1519,2)="15"),TK!$E$7=TH!F1519),"x","")</f>
        <v/>
      </c>
      <c r="AD1519" s="75" t="str">
        <f>IF(AND(N1519="1521",MONTH(C1519)='BK-NL'!$M$11),"x","")</f>
        <v/>
      </c>
      <c r="AF1519" s="1054"/>
    </row>
    <row r="1520" spans="1:32" s="1264" customFormat="1" ht="16.5" customHeight="1">
      <c r="A1520" s="309" t="str">
        <f>IF(B1520&lt;&gt;"",IF(AND(B1520='IN-TC'!$S$4,OR(TH!N1520="1111",TH!O1520="1111")),TH!D1520,""),"")</f>
        <v/>
      </c>
      <c r="B1520" s="1130">
        <f t="shared" si="369"/>
        <v>6</v>
      </c>
      <c r="C1520" s="252">
        <f t="shared" si="370"/>
        <v>42896</v>
      </c>
      <c r="D1520" s="252" t="s">
        <v>2921</v>
      </c>
      <c r="E1520" s="252">
        <v>42896</v>
      </c>
      <c r="F1520" s="1055" t="s">
        <v>425</v>
      </c>
      <c r="G1520" s="1056" t="s">
        <v>1622</v>
      </c>
      <c r="H1520" s="73" t="s">
        <v>802</v>
      </c>
      <c r="I1520" s="371">
        <v>30</v>
      </c>
      <c r="J1520" s="371">
        <v>637287.6857142857</v>
      </c>
      <c r="K1520" s="371"/>
      <c r="L1520" s="377"/>
      <c r="M1520" s="933">
        <f t="shared" si="371"/>
        <v>19118631</v>
      </c>
      <c r="N1520" s="977" t="s">
        <v>284</v>
      </c>
      <c r="O1520" s="977" t="s">
        <v>274</v>
      </c>
      <c r="P1520" s="75" t="str">
        <f>IF(AND('331-CT'!$E$7=TH!H1520,OR(N1520="331",O1520="331")),"x","")</f>
        <v/>
      </c>
      <c r="Q1520" s="75" t="str">
        <f>IF(AND(B1520='111'!$L$11,OR($N1520=$Q$7,$O1520=$Q$7)),"x","")</f>
        <v/>
      </c>
      <c r="R1520" s="75" t="str">
        <f>IF(AND($N1520=$Q$7,$B1520&lt;'111'!$L$11),"x","")</f>
        <v/>
      </c>
      <c r="S1520" s="75" t="str">
        <f>IF(AND($O1520=$Q$7,$B1520&lt;'111'!$L$11),"x","")</f>
        <v/>
      </c>
      <c r="T1520" s="75" t="str">
        <f>IF(ISERROR(FIND('112'!$M$9,G1520,1)),"",IF((AND(FIND('112'!$M$9,G1520,1)&gt;=1,B1520='112'!$K$9,OR($N1520='112'!$I$6,$O1520='112'!$I$6))),"x",""))</f>
        <v/>
      </c>
      <c r="U1520" s="75" t="str">
        <f>IF(ISERROR(FIND('112'!$M$9,G1520,1)),"",IF((AND(LEFT(G1520,2)=LEFT('112'!$M$9,2),B1520&lt;'112'!$K$9,$N1520='112'!$I$6)),"x",""))</f>
        <v/>
      </c>
      <c r="V1520" s="75" t="str">
        <f>IF(ISERROR(FIND('112'!$M$9,G1520,1)),"",IF((AND(RIGHT(G1520,2)=RIGHT('112'!$M$9,2),B1520&lt;'112'!$K$9,$O1520='112'!$I$6)),"x",""))</f>
        <v/>
      </c>
      <c r="W1520" s="75" t="str">
        <f>IF(AND('341-CT'!$H$9=H1520,OR(LEFT(N1520,3)=$W$7,LEFT(O1520,3)=$W$7)),"x","")</f>
        <v/>
      </c>
      <c r="X1520" s="75" t="str">
        <f>IF(OR(TH!N1520=TH!$X$7,O1520=TH!$X$7),"x","")</f>
        <v/>
      </c>
      <c r="Y1520" s="75" t="str">
        <f>IF(AND(OR(N1520="131",O1520="131"),H1520='131-CT'!$H$9),"x","")</f>
        <v/>
      </c>
      <c r="Z1520" s="75"/>
      <c r="AA1520" s="75" t="str">
        <f>IF(AND(MONTH(E1520)='IN-NX'!$J$5,'IN-NX'!$D$7=D1520),"x","")</f>
        <v/>
      </c>
      <c r="AB1520" s="75" t="str">
        <f>IF(AND(OR(LEFT(TH!N1520,2)="15",LEFT(TH!O1520,2)="15"),LEFT(TH!O1520,3)&lt;&gt;"111",'152-CT'!$J$8=TH!F1520),"x","")</f>
        <v/>
      </c>
      <c r="AC1520" s="75" t="str">
        <f>IF(AND(OR(LEFT(TH!N1520,2)="15",LEFT(TH!O1520,2)="15"),TK!$E$7=TH!F1520),"x","")</f>
        <v/>
      </c>
      <c r="AD1520" s="75" t="str">
        <f>IF(AND(N1520="1521",MONTH(C1520)='BK-NL'!$M$11),"x","")</f>
        <v/>
      </c>
      <c r="AF1520" s="1054"/>
    </row>
    <row r="1521" spans="1:32" s="1264" customFormat="1" ht="16.5" customHeight="1">
      <c r="A1521" s="309" t="str">
        <f>IF(B1521&lt;&gt;"",IF(AND(B1521='IN-TC'!$S$4,OR(TH!N1521="1111",TH!O1521="1111")),TH!D1521,""),"")</f>
        <v/>
      </c>
      <c r="B1521" s="1130">
        <f t="shared" si="369"/>
        <v>6</v>
      </c>
      <c r="C1521" s="252">
        <f t="shared" si="370"/>
        <v>42896</v>
      </c>
      <c r="D1521" s="252" t="s">
        <v>2921</v>
      </c>
      <c r="E1521" s="252">
        <v>42896</v>
      </c>
      <c r="F1521" s="1055" t="s">
        <v>1617</v>
      </c>
      <c r="G1521" s="1056" t="s">
        <v>1622</v>
      </c>
      <c r="H1521" s="73" t="s">
        <v>802</v>
      </c>
      <c r="I1521" s="371">
        <v>20</v>
      </c>
      <c r="J1521" s="371">
        <v>681134.04455445544</v>
      </c>
      <c r="K1521" s="371"/>
      <c r="L1521" s="377"/>
      <c r="M1521" s="933">
        <f t="shared" si="371"/>
        <v>13622681</v>
      </c>
      <c r="N1521" s="977" t="s">
        <v>284</v>
      </c>
      <c r="O1521" s="977" t="s">
        <v>274</v>
      </c>
      <c r="P1521" s="75" t="str">
        <f>IF(AND('331-CT'!$E$7=TH!H1521,OR(N1521="331",O1521="331")),"x","")</f>
        <v/>
      </c>
      <c r="Q1521" s="75" t="str">
        <f>IF(AND(B1521='111'!$L$11,OR($N1521=$Q$7,$O1521=$Q$7)),"x","")</f>
        <v/>
      </c>
      <c r="R1521" s="75" t="str">
        <f>IF(AND($N1521=$Q$7,$B1521&lt;'111'!$L$11),"x","")</f>
        <v/>
      </c>
      <c r="S1521" s="75" t="str">
        <f>IF(AND($O1521=$Q$7,$B1521&lt;'111'!$L$11),"x","")</f>
        <v/>
      </c>
      <c r="T1521" s="75" t="str">
        <f>IF(ISERROR(FIND('112'!$M$9,G1521,1)),"",IF((AND(FIND('112'!$M$9,G1521,1)&gt;=1,B1521='112'!$K$9,OR($N1521='112'!$I$6,$O1521='112'!$I$6))),"x",""))</f>
        <v/>
      </c>
      <c r="U1521" s="75" t="str">
        <f>IF(ISERROR(FIND('112'!$M$9,G1521,1)),"",IF((AND(LEFT(G1521,2)=LEFT('112'!$M$9,2),B1521&lt;'112'!$K$9,$N1521='112'!$I$6)),"x",""))</f>
        <v/>
      </c>
      <c r="V1521" s="75" t="str">
        <f>IF(ISERROR(FIND('112'!$M$9,G1521,1)),"",IF((AND(RIGHT(G1521,2)=RIGHT('112'!$M$9,2),B1521&lt;'112'!$K$9,$O1521='112'!$I$6)),"x",""))</f>
        <v/>
      </c>
      <c r="W1521" s="75" t="str">
        <f>IF(AND('341-CT'!$H$9=H1521,OR(LEFT(N1521,3)=$W$7,LEFT(O1521,3)=$W$7)),"x","")</f>
        <v/>
      </c>
      <c r="X1521" s="75" t="str">
        <f>IF(OR(TH!N1521=TH!$X$7,O1521=TH!$X$7),"x","")</f>
        <v/>
      </c>
      <c r="Y1521" s="75" t="str">
        <f>IF(AND(OR(N1521="131",O1521="131"),H1521='131-CT'!$H$9),"x","")</f>
        <v/>
      </c>
      <c r="Z1521" s="75"/>
      <c r="AA1521" s="75" t="str">
        <f>IF(AND(MONTH(E1521)='IN-NX'!$J$5,'IN-NX'!$D$7=D1521),"x","")</f>
        <v/>
      </c>
      <c r="AB1521" s="75" t="str">
        <f>IF(AND(OR(LEFT(TH!N1521,2)="15",LEFT(TH!O1521,2)="15"),LEFT(TH!O1521,3)&lt;&gt;"111",'152-CT'!$J$8=TH!F1521),"x","")</f>
        <v/>
      </c>
      <c r="AC1521" s="75" t="str">
        <f>IF(AND(OR(LEFT(TH!N1521,2)="15",LEFT(TH!O1521,2)="15"),TK!$E$7=TH!F1521),"x","")</f>
        <v/>
      </c>
      <c r="AD1521" s="75" t="str">
        <f>IF(AND(N1521="1521",MONTH(C1521)='BK-NL'!$M$11),"x","")</f>
        <v/>
      </c>
      <c r="AF1521" s="1054"/>
    </row>
    <row r="1522" spans="1:32" s="1264" customFormat="1" ht="16.5" customHeight="1">
      <c r="A1522" s="309" t="str">
        <f>IF(B1522&lt;&gt;"",IF(AND(B1522='IN-TC'!$S$4,OR(TH!N1522="1111",TH!O1522="1111")),TH!D1522,""),"")</f>
        <v/>
      </c>
      <c r="B1522" s="1130">
        <f t="shared" si="369"/>
        <v>6</v>
      </c>
      <c r="C1522" s="252">
        <f t="shared" si="370"/>
        <v>42896</v>
      </c>
      <c r="D1522" s="252" t="s">
        <v>2921</v>
      </c>
      <c r="E1522" s="252">
        <v>42896</v>
      </c>
      <c r="F1522" s="1055" t="s">
        <v>1617</v>
      </c>
      <c r="G1522" s="1056" t="s">
        <v>1622</v>
      </c>
      <c r="H1522" s="73" t="s">
        <v>802</v>
      </c>
      <c r="I1522" s="371">
        <v>2</v>
      </c>
      <c r="J1522" s="371">
        <v>681134.04455445544</v>
      </c>
      <c r="K1522" s="371"/>
      <c r="L1522" s="377"/>
      <c r="M1522" s="933">
        <f t="shared" si="371"/>
        <v>1362268</v>
      </c>
      <c r="N1522" s="977" t="s">
        <v>284</v>
      </c>
      <c r="O1522" s="977" t="s">
        <v>274</v>
      </c>
      <c r="P1522" s="75" t="str">
        <f>IF(AND('331-CT'!$E$7=TH!H1522,OR(N1522="331",O1522="331")),"x","")</f>
        <v/>
      </c>
      <c r="Q1522" s="75" t="str">
        <f>IF(AND(B1522='111'!$L$11,OR($N1522=$Q$7,$O1522=$Q$7)),"x","")</f>
        <v/>
      </c>
      <c r="R1522" s="75" t="str">
        <f>IF(AND($N1522=$Q$7,$B1522&lt;'111'!$L$11),"x","")</f>
        <v/>
      </c>
      <c r="S1522" s="75" t="str">
        <f>IF(AND($O1522=$Q$7,$B1522&lt;'111'!$L$11),"x","")</f>
        <v/>
      </c>
      <c r="T1522" s="75" t="str">
        <f>IF(ISERROR(FIND('112'!$M$9,G1522,1)),"",IF((AND(FIND('112'!$M$9,G1522,1)&gt;=1,B1522='112'!$K$9,OR($N1522='112'!$I$6,$O1522='112'!$I$6))),"x",""))</f>
        <v/>
      </c>
      <c r="U1522" s="75" t="str">
        <f>IF(ISERROR(FIND('112'!$M$9,G1522,1)),"",IF((AND(LEFT(G1522,2)=LEFT('112'!$M$9,2),B1522&lt;'112'!$K$9,$N1522='112'!$I$6)),"x",""))</f>
        <v/>
      </c>
      <c r="V1522" s="75" t="str">
        <f>IF(ISERROR(FIND('112'!$M$9,G1522,1)),"",IF((AND(RIGHT(G1522,2)=RIGHT('112'!$M$9,2),B1522&lt;'112'!$K$9,$O1522='112'!$I$6)),"x",""))</f>
        <v/>
      </c>
      <c r="W1522" s="75" t="str">
        <f>IF(AND('341-CT'!$H$9=H1522,OR(LEFT(N1522,3)=$W$7,LEFT(O1522,3)=$W$7)),"x","")</f>
        <v/>
      </c>
      <c r="X1522" s="75" t="str">
        <f>IF(OR(TH!N1522=TH!$X$7,O1522=TH!$X$7),"x","")</f>
        <v/>
      </c>
      <c r="Y1522" s="75" t="str">
        <f>IF(AND(OR(N1522="131",O1522="131"),H1522='131-CT'!$H$9),"x","")</f>
        <v/>
      </c>
      <c r="Z1522" s="75"/>
      <c r="AA1522" s="75" t="str">
        <f>IF(AND(MONTH(E1522)='IN-NX'!$J$5,'IN-NX'!$D$7=D1522),"x","")</f>
        <v/>
      </c>
      <c r="AB1522" s="75" t="str">
        <f>IF(AND(OR(LEFT(TH!N1522,2)="15",LEFT(TH!O1522,2)="15"),LEFT(TH!O1522,3)&lt;&gt;"111",'152-CT'!$J$8=TH!F1522),"x","")</f>
        <v/>
      </c>
      <c r="AC1522" s="75" t="str">
        <f>IF(AND(OR(LEFT(TH!N1522,2)="15",LEFT(TH!O1522,2)="15"),TK!$E$7=TH!F1522),"x","")</f>
        <v/>
      </c>
      <c r="AD1522" s="75" t="str">
        <f>IF(AND(N1522="1521",MONTH(C1522)='BK-NL'!$M$11),"x","")</f>
        <v/>
      </c>
      <c r="AF1522" s="1054"/>
    </row>
    <row r="1523" spans="1:32" s="1053" customFormat="1" ht="16.5" customHeight="1">
      <c r="A1523" s="309" t="str">
        <f>IF(B1523&lt;&gt;"",IF(AND(B1523='IN-TC'!$S$4,OR(TH!N1523="1111",TH!O1523="1111")),TH!D1523,""),"")</f>
        <v/>
      </c>
      <c r="B1523" s="1130">
        <f t="shared" ref="B1523:B1543" si="372">IF(C1523&lt;&gt;"",MONTH(C1523),"")</f>
        <v>6</v>
      </c>
      <c r="C1523" s="292">
        <v>42887</v>
      </c>
      <c r="D1523" s="292" t="s">
        <v>829</v>
      </c>
      <c r="E1523" s="292">
        <f t="shared" ref="E1523:E1543" si="373">C1523</f>
        <v>42887</v>
      </c>
      <c r="F1523" s="67" t="s">
        <v>795</v>
      </c>
      <c r="G1523" s="925" t="s">
        <v>1484</v>
      </c>
      <c r="H1523" s="294" t="s">
        <v>796</v>
      </c>
      <c r="I1523" s="373">
        <v>2030</v>
      </c>
      <c r="J1523" s="379">
        <v>8800</v>
      </c>
      <c r="K1523" s="373"/>
      <c r="L1523" s="379"/>
      <c r="M1523" s="927">
        <f>I1523*J1523</f>
        <v>17864000</v>
      </c>
      <c r="N1523" s="295" t="s">
        <v>266</v>
      </c>
      <c r="O1523" s="295" t="s">
        <v>8</v>
      </c>
      <c r="P1523" s="75" t="str">
        <f>IF(AND('331-CT'!$E$7=TH!H1523,OR(N1523="331",O1523="331")),"x","")</f>
        <v/>
      </c>
      <c r="Q1523" s="75" t="str">
        <f>IF(AND(B1523='111'!$L$11,OR($N1523=$Q$7,$O1523=$Q$7)),"x","")</f>
        <v/>
      </c>
      <c r="R1523" s="75" t="str">
        <f>IF(AND($N1523=$Q$7,$B1523&lt;'111'!$L$11),"x","")</f>
        <v/>
      </c>
      <c r="S1523" s="75" t="str">
        <f>IF(AND($O1523=$Q$7,$B1523&lt;'111'!$L$11),"x","")</f>
        <v/>
      </c>
      <c r="T1523" s="75" t="str">
        <f>IF(ISERROR(FIND('112'!$M$9,G1523,1)),"",IF((AND(FIND('112'!$M$9,G1523,1)&gt;=1,B1523='112'!$K$9,OR($N1523='112'!$I$6,$O1523='112'!$I$6))),"x",""))</f>
        <v/>
      </c>
      <c r="U1523" s="75" t="str">
        <f>IF(ISERROR(FIND('112'!$M$9,G1523,1)),"",IF((AND(LEFT(G1523,2)=LEFT('112'!$M$9,2),B1523&lt;'112'!$K$9,$N1523='112'!$I$6)),"x",""))</f>
        <v/>
      </c>
      <c r="V1523" s="75" t="str">
        <f>IF(ISERROR(FIND('112'!$M$9,G1523,1)),"",IF((AND(RIGHT(G1523,2)=RIGHT('112'!$M$9,2),B1523&lt;'112'!$K$9,$O1523='112'!$I$6)),"x",""))</f>
        <v/>
      </c>
      <c r="W1523" s="75" t="str">
        <f>IF(AND('341-CT'!$H$9=H1523,OR(LEFT(N1523,3)=$W$7,LEFT(O1523,3)=$W$7)),"x","")</f>
        <v/>
      </c>
      <c r="X1523" s="75" t="str">
        <f>IF(OR(TH!N1523=TH!$X$7,O1523=TH!$X$7),"x","")</f>
        <v/>
      </c>
      <c r="Y1523" s="75" t="str">
        <f>IF(AND(OR(N1523="131",O1523="131"),H1523='131-CT'!$H$9),"x","")</f>
        <v/>
      </c>
      <c r="Z1523" s="75"/>
      <c r="AA1523" s="75" t="str">
        <f>IF(AND(MONTH(E1523)='IN-NX'!$J$5,'IN-NX'!$D$7=D1523),"x","")</f>
        <v/>
      </c>
      <c r="AB1523" s="75" t="str">
        <f>IF(AND(OR(LEFT(TH!N1523,2)="15",LEFT(TH!O1523,2)="15"),LEFT(TH!O1523,3)&lt;&gt;"111",'152-CT'!$J$8=TH!F1523),"x","")</f>
        <v/>
      </c>
      <c r="AC1523" s="75" t="str">
        <f>IF(AND(OR(LEFT(TH!N1523,2)="15",LEFT(TH!O1523,2)="15"),TK!$E$7=TH!F1523),"x","")</f>
        <v/>
      </c>
      <c r="AD1523" s="75" t="str">
        <f>IF(AND(N1523="1521",MONTH(C1523)='BK-NL'!$M$11),"x","")</f>
        <v/>
      </c>
    </row>
    <row r="1524" spans="1:32" s="1053" customFormat="1" ht="16.5" customHeight="1">
      <c r="A1524" s="309" t="str">
        <f>IF(B1524&lt;&gt;"",IF(AND(B1524='IN-TC'!$S$4,OR(TH!N1524="1111",TH!O1524="1111")),TH!D1524,""),"")</f>
        <v/>
      </c>
      <c r="B1524" s="1130">
        <f t="shared" si="372"/>
        <v>6</v>
      </c>
      <c r="C1524" s="292">
        <v>42887</v>
      </c>
      <c r="D1524" s="292" t="s">
        <v>829</v>
      </c>
      <c r="E1524" s="292">
        <f t="shared" si="373"/>
        <v>42887</v>
      </c>
      <c r="F1524" s="67" t="s">
        <v>1143</v>
      </c>
      <c r="G1524" s="925" t="s">
        <v>1484</v>
      </c>
      <c r="H1524" s="294" t="s">
        <v>796</v>
      </c>
      <c r="I1524" s="373"/>
      <c r="J1524" s="379"/>
      <c r="K1524" s="373"/>
      <c r="L1524" s="379"/>
      <c r="M1524" s="927">
        <v>1786400</v>
      </c>
      <c r="N1524" s="295" t="s">
        <v>9</v>
      </c>
      <c r="O1524" s="295" t="s">
        <v>8</v>
      </c>
      <c r="P1524" s="75" t="str">
        <f>IF(AND('331-CT'!$E$7=TH!H1524,OR(N1524="331",O1524="331")),"x","")</f>
        <v/>
      </c>
      <c r="Q1524" s="75" t="str">
        <f>IF(AND(B1524='111'!$L$11,OR($N1524=$Q$7,$O1524=$Q$7)),"x","")</f>
        <v/>
      </c>
      <c r="R1524" s="75" t="str">
        <f>IF(AND($N1524=$Q$7,$B1524&lt;'111'!$L$11),"x","")</f>
        <v/>
      </c>
      <c r="S1524" s="75" t="str">
        <f>IF(AND($O1524=$Q$7,$B1524&lt;'111'!$L$11),"x","")</f>
        <v/>
      </c>
      <c r="T1524" s="75" t="str">
        <f>IF(ISERROR(FIND('112'!$M$9,G1524,1)),"",IF((AND(FIND('112'!$M$9,G1524,1)&gt;=1,B1524='112'!$K$9,OR($N1524='112'!$I$6,$O1524='112'!$I$6))),"x",""))</f>
        <v/>
      </c>
      <c r="U1524" s="75" t="str">
        <f>IF(ISERROR(FIND('112'!$M$9,G1524,1)),"",IF((AND(LEFT(G1524,2)=LEFT('112'!$M$9,2),B1524&lt;'112'!$K$9,$N1524='112'!$I$6)),"x",""))</f>
        <v/>
      </c>
      <c r="V1524" s="75" t="str">
        <f>IF(ISERROR(FIND('112'!$M$9,G1524,1)),"",IF((AND(RIGHT(G1524,2)=RIGHT('112'!$M$9,2),B1524&lt;'112'!$K$9,$O1524='112'!$I$6)),"x",""))</f>
        <v/>
      </c>
      <c r="W1524" s="75" t="str">
        <f>IF(AND('341-CT'!$H$9=H1524,OR(LEFT(N1524,3)=$W$7,LEFT(O1524,3)=$W$7)),"x","")</f>
        <v/>
      </c>
      <c r="X1524" s="75" t="str">
        <f>IF(OR(TH!N1524=TH!$X$7,O1524=TH!$X$7),"x","")</f>
        <v/>
      </c>
      <c r="Y1524" s="75" t="str">
        <f>IF(AND(OR(N1524="131",O1524="131"),H1524='131-CT'!$H$9),"x","")</f>
        <v/>
      </c>
      <c r="Z1524" s="75"/>
      <c r="AA1524" s="75" t="str">
        <f>IF(AND(MONTH(E1524)='IN-NX'!$J$5,'IN-NX'!$D$7=D1524),"x","")</f>
        <v/>
      </c>
      <c r="AB1524" s="75" t="str">
        <f>IF(AND(OR(LEFT(TH!N1524,2)="15",LEFT(TH!O1524,2)="15"),LEFT(TH!O1524,3)&lt;&gt;"111",'152-CT'!$J$8=TH!F1524),"x","")</f>
        <v/>
      </c>
      <c r="AC1524" s="75" t="str">
        <f>IF(AND(OR(LEFT(TH!N1524,2)="15",LEFT(TH!O1524,2)="15"),TK!$E$7=TH!F1524),"x","")</f>
        <v/>
      </c>
      <c r="AD1524" s="75" t="str">
        <f>IF(AND(N1524="1521",MONTH(C1524)='BK-NL'!$M$11),"x","")</f>
        <v/>
      </c>
    </row>
    <row r="1525" spans="1:32" s="1053" customFormat="1" ht="16.5" customHeight="1">
      <c r="A1525" s="309" t="str">
        <f>IF(B1525&lt;&gt;"",IF(AND(B1525='IN-TC'!$S$4,OR(TH!N1525="1111",TH!O1525="1111")),TH!D1525,""),"")</f>
        <v/>
      </c>
      <c r="B1525" s="1130">
        <f t="shared" si="372"/>
        <v>6</v>
      </c>
      <c r="C1525" s="292">
        <v>42888</v>
      </c>
      <c r="D1525" s="292" t="s">
        <v>840</v>
      </c>
      <c r="E1525" s="292">
        <f t="shared" si="373"/>
        <v>42888</v>
      </c>
      <c r="F1525" s="432" t="s">
        <v>371</v>
      </c>
      <c r="G1525" s="925" t="s">
        <v>1672</v>
      </c>
      <c r="H1525" s="311" t="s">
        <v>558</v>
      </c>
      <c r="I1525" s="373">
        <v>1341</v>
      </c>
      <c r="J1525" s="379">
        <v>13500</v>
      </c>
      <c r="K1525" s="373"/>
      <c r="L1525" s="379"/>
      <c r="M1525" s="927">
        <f>I1525*J1525</f>
        <v>18103500</v>
      </c>
      <c r="N1525" s="295" t="s">
        <v>266</v>
      </c>
      <c r="O1525" s="295" t="s">
        <v>8</v>
      </c>
      <c r="P1525" s="75" t="str">
        <f>IF(AND('331-CT'!$E$7=TH!H1525,OR(N1525="331",O1525="331")),"x","")</f>
        <v/>
      </c>
      <c r="Q1525" s="75" t="str">
        <f>IF(AND(B1525='111'!$L$11,OR($N1525=$Q$7,$O1525=$Q$7)),"x","")</f>
        <v/>
      </c>
      <c r="R1525" s="75" t="str">
        <f>IF(AND($N1525=$Q$7,$B1525&lt;'111'!$L$11),"x","")</f>
        <v/>
      </c>
      <c r="S1525" s="75" t="str">
        <f>IF(AND($O1525=$Q$7,$B1525&lt;'111'!$L$11),"x","")</f>
        <v/>
      </c>
      <c r="T1525" s="75" t="str">
        <f>IF(ISERROR(FIND('112'!$M$9,G1525,1)),"",IF((AND(FIND('112'!$M$9,G1525,1)&gt;=1,B1525='112'!$K$9,OR($N1525='112'!$I$6,$O1525='112'!$I$6))),"x",""))</f>
        <v/>
      </c>
      <c r="U1525" s="75" t="str">
        <f>IF(ISERROR(FIND('112'!$M$9,G1525,1)),"",IF((AND(LEFT(G1525,2)=LEFT('112'!$M$9,2),B1525&lt;'112'!$K$9,$N1525='112'!$I$6)),"x",""))</f>
        <v/>
      </c>
      <c r="V1525" s="75" t="str">
        <f>IF(ISERROR(FIND('112'!$M$9,G1525,1)),"",IF((AND(RIGHT(G1525,2)=RIGHT('112'!$M$9,2),B1525&lt;'112'!$K$9,$O1525='112'!$I$6)),"x",""))</f>
        <v/>
      </c>
      <c r="W1525" s="75" t="str">
        <f>IF(AND('341-CT'!$H$9=H1525,OR(LEFT(N1525,3)=$W$7,LEFT(O1525,3)=$W$7)),"x","")</f>
        <v/>
      </c>
      <c r="X1525" s="75" t="str">
        <f>IF(OR(TH!N1525=TH!$X$7,O1525=TH!$X$7),"x","")</f>
        <v/>
      </c>
      <c r="Y1525" s="75" t="str">
        <f>IF(AND(OR(N1525="131",O1525="131"),H1525='131-CT'!$H$9),"x","")</f>
        <v/>
      </c>
      <c r="Z1525" s="75"/>
      <c r="AA1525" s="75" t="str">
        <f>IF(AND(MONTH(E1525)='IN-NX'!$J$5,'IN-NX'!$D$7=D1525),"x","")</f>
        <v/>
      </c>
      <c r="AB1525" s="75" t="str">
        <f>IF(AND(OR(LEFT(TH!N1525,2)="15",LEFT(TH!O1525,2)="15"),LEFT(TH!O1525,3)&lt;&gt;"111",'152-CT'!$J$8=TH!F1525),"x","")</f>
        <v/>
      </c>
      <c r="AC1525" s="75" t="str">
        <f>IF(AND(OR(LEFT(TH!N1525,2)="15",LEFT(TH!O1525,2)="15"),TK!$E$7=TH!F1525),"x","")</f>
        <v/>
      </c>
      <c r="AD1525" s="75" t="str">
        <f>IF(AND(N1525="1521",MONTH(C1525)='BK-NL'!$M$11),"x","")</f>
        <v/>
      </c>
    </row>
    <row r="1526" spans="1:32" s="1053" customFormat="1" ht="16.5" customHeight="1">
      <c r="A1526" s="309" t="str">
        <f>IF(B1526&lt;&gt;"",IF(AND(B1526='IN-TC'!$S$4,OR(TH!N1526="1111",TH!O1526="1111")),TH!D1526,""),"")</f>
        <v/>
      </c>
      <c r="B1526" s="1130">
        <f t="shared" si="372"/>
        <v>6</v>
      </c>
      <c r="C1526" s="292">
        <v>42888</v>
      </c>
      <c r="D1526" s="292" t="s">
        <v>840</v>
      </c>
      <c r="E1526" s="292">
        <f t="shared" si="373"/>
        <v>42888</v>
      </c>
      <c r="F1526" s="432" t="s">
        <v>745</v>
      </c>
      <c r="G1526" s="925" t="s">
        <v>1672</v>
      </c>
      <c r="H1526" s="311" t="s">
        <v>558</v>
      </c>
      <c r="I1526" s="373">
        <v>321</v>
      </c>
      <c r="J1526" s="379">
        <v>14000</v>
      </c>
      <c r="K1526" s="373"/>
      <c r="L1526" s="379"/>
      <c r="M1526" s="927">
        <f>I1526*J1526</f>
        <v>4494000</v>
      </c>
      <c r="N1526" s="295" t="s">
        <v>266</v>
      </c>
      <c r="O1526" s="295" t="s">
        <v>8</v>
      </c>
      <c r="P1526" s="75" t="str">
        <f>IF(AND('331-CT'!$E$7=TH!H1526,OR(N1526="331",O1526="331")),"x","")</f>
        <v/>
      </c>
      <c r="Q1526" s="75" t="str">
        <f>IF(AND(B1526='111'!$L$11,OR($N1526=$Q$7,$O1526=$Q$7)),"x","")</f>
        <v/>
      </c>
      <c r="R1526" s="75" t="str">
        <f>IF(AND($N1526=$Q$7,$B1526&lt;'111'!$L$11),"x","")</f>
        <v/>
      </c>
      <c r="S1526" s="75" t="str">
        <f>IF(AND($O1526=$Q$7,$B1526&lt;'111'!$L$11),"x","")</f>
        <v/>
      </c>
      <c r="T1526" s="75" t="str">
        <f>IF(ISERROR(FIND('112'!$M$9,G1526,1)),"",IF((AND(FIND('112'!$M$9,G1526,1)&gt;=1,B1526='112'!$K$9,OR($N1526='112'!$I$6,$O1526='112'!$I$6))),"x",""))</f>
        <v/>
      </c>
      <c r="U1526" s="75" t="str">
        <f>IF(ISERROR(FIND('112'!$M$9,G1526,1)),"",IF((AND(LEFT(G1526,2)=LEFT('112'!$M$9,2),B1526&lt;'112'!$K$9,$N1526='112'!$I$6)),"x",""))</f>
        <v/>
      </c>
      <c r="V1526" s="75" t="str">
        <f>IF(ISERROR(FIND('112'!$M$9,G1526,1)),"",IF((AND(RIGHT(G1526,2)=RIGHT('112'!$M$9,2),B1526&lt;'112'!$K$9,$O1526='112'!$I$6)),"x",""))</f>
        <v/>
      </c>
      <c r="W1526" s="75" t="str">
        <f>IF(AND('341-CT'!$H$9=H1526,OR(LEFT(N1526,3)=$W$7,LEFT(O1526,3)=$W$7)),"x","")</f>
        <v/>
      </c>
      <c r="X1526" s="75" t="str">
        <f>IF(OR(TH!N1526=TH!$X$7,O1526=TH!$X$7),"x","")</f>
        <v/>
      </c>
      <c r="Y1526" s="75" t="str">
        <f>IF(AND(OR(N1526="131",O1526="131"),H1526='131-CT'!$H$9),"x","")</f>
        <v/>
      </c>
      <c r="Z1526" s="75"/>
      <c r="AA1526" s="75" t="str">
        <f>IF(AND(MONTH(E1526)='IN-NX'!$J$5,'IN-NX'!$D$7=D1526),"x","")</f>
        <v/>
      </c>
      <c r="AB1526" s="75" t="str">
        <f>IF(AND(OR(LEFT(TH!N1526,2)="15",LEFT(TH!O1526,2)="15"),LEFT(TH!O1526,3)&lt;&gt;"111",'152-CT'!$J$8=TH!F1526),"x","")</f>
        <v/>
      </c>
      <c r="AC1526" s="75" t="str">
        <f>IF(AND(OR(LEFT(TH!N1526,2)="15",LEFT(TH!O1526,2)="15"),TK!$E$7=TH!F1526),"x","")</f>
        <v/>
      </c>
      <c r="AD1526" s="75" t="str">
        <f>IF(AND(N1526="1521",MONTH(C1526)='BK-NL'!$M$11),"x","")</f>
        <v/>
      </c>
    </row>
    <row r="1527" spans="1:32" s="1053" customFormat="1" ht="16.5" customHeight="1">
      <c r="A1527" s="309" t="str">
        <f>IF(B1527&lt;&gt;"",IF(AND(B1527='IN-TC'!$S$4,OR(TH!N1527="1111",TH!O1527="1111")),TH!D1527,""),"")</f>
        <v/>
      </c>
      <c r="B1527" s="1130">
        <f t="shared" si="372"/>
        <v>6</v>
      </c>
      <c r="C1527" s="292">
        <v>42888</v>
      </c>
      <c r="D1527" s="292" t="s">
        <v>840</v>
      </c>
      <c r="E1527" s="292">
        <f t="shared" si="373"/>
        <v>42888</v>
      </c>
      <c r="F1527" s="432" t="s">
        <v>368</v>
      </c>
      <c r="G1527" s="925" t="s">
        <v>1672</v>
      </c>
      <c r="H1527" s="311" t="s">
        <v>558</v>
      </c>
      <c r="I1527" s="373">
        <v>322</v>
      </c>
      <c r="J1527" s="379">
        <v>16000</v>
      </c>
      <c r="K1527" s="373"/>
      <c r="L1527" s="379"/>
      <c r="M1527" s="927">
        <f>I1527*J1527</f>
        <v>5152000</v>
      </c>
      <c r="N1527" s="295" t="s">
        <v>266</v>
      </c>
      <c r="O1527" s="295" t="s">
        <v>8</v>
      </c>
      <c r="P1527" s="75" t="str">
        <f>IF(AND('331-CT'!$E$7=TH!H1527,OR(N1527="331",O1527="331")),"x","")</f>
        <v/>
      </c>
      <c r="Q1527" s="75" t="str">
        <f>IF(AND(B1527='111'!$L$11,OR($N1527=$Q$7,$O1527=$Q$7)),"x","")</f>
        <v/>
      </c>
      <c r="R1527" s="75" t="str">
        <f>IF(AND($N1527=$Q$7,$B1527&lt;'111'!$L$11),"x","")</f>
        <v/>
      </c>
      <c r="S1527" s="75" t="str">
        <f>IF(AND($O1527=$Q$7,$B1527&lt;'111'!$L$11),"x","")</f>
        <v/>
      </c>
      <c r="T1527" s="75" t="str">
        <f>IF(ISERROR(FIND('112'!$M$9,G1527,1)),"",IF((AND(FIND('112'!$M$9,G1527,1)&gt;=1,B1527='112'!$K$9,OR($N1527='112'!$I$6,$O1527='112'!$I$6))),"x",""))</f>
        <v/>
      </c>
      <c r="U1527" s="75" t="str">
        <f>IF(ISERROR(FIND('112'!$M$9,G1527,1)),"",IF((AND(LEFT(G1527,2)=LEFT('112'!$M$9,2),B1527&lt;'112'!$K$9,$N1527='112'!$I$6)),"x",""))</f>
        <v/>
      </c>
      <c r="V1527" s="75" t="str">
        <f>IF(ISERROR(FIND('112'!$M$9,G1527,1)),"",IF((AND(RIGHT(G1527,2)=RIGHT('112'!$M$9,2),B1527&lt;'112'!$K$9,$O1527='112'!$I$6)),"x",""))</f>
        <v/>
      </c>
      <c r="W1527" s="75" t="str">
        <f>IF(AND('341-CT'!$H$9=H1527,OR(LEFT(N1527,3)=$W$7,LEFT(O1527,3)=$W$7)),"x","")</f>
        <v/>
      </c>
      <c r="X1527" s="75" t="str">
        <f>IF(OR(TH!N1527=TH!$X$7,O1527=TH!$X$7),"x","")</f>
        <v/>
      </c>
      <c r="Y1527" s="75" t="str">
        <f>IF(AND(OR(N1527="131",O1527="131"),H1527='131-CT'!$H$9),"x","")</f>
        <v/>
      </c>
      <c r="Z1527" s="75"/>
      <c r="AA1527" s="75" t="str">
        <f>IF(AND(MONTH(E1527)='IN-NX'!$J$5,'IN-NX'!$D$7=D1527),"x","")</f>
        <v/>
      </c>
      <c r="AB1527" s="75" t="str">
        <f>IF(AND(OR(LEFT(TH!N1527,2)="15",LEFT(TH!O1527,2)="15"),LEFT(TH!O1527,3)&lt;&gt;"111",'152-CT'!$J$8=TH!F1527),"x","")</f>
        <v/>
      </c>
      <c r="AC1527" s="75" t="str">
        <f>IF(AND(OR(LEFT(TH!N1527,2)="15",LEFT(TH!O1527,2)="15"),TK!$E$7=TH!F1527),"x","")</f>
        <v/>
      </c>
      <c r="AD1527" s="75" t="str">
        <f>IF(AND(N1527="1521",MONTH(C1527)='BK-NL'!$M$11),"x","")</f>
        <v/>
      </c>
    </row>
    <row r="1528" spans="1:32" s="1053" customFormat="1" ht="16.5" customHeight="1">
      <c r="A1528" s="309" t="str">
        <f>IF(B1528&lt;&gt;"",IF(AND(B1528='IN-TC'!$S$4,OR(TH!N1528="1111",TH!O1528="1111")),TH!D1528,""),"")</f>
        <v/>
      </c>
      <c r="B1528" s="1130">
        <f t="shared" si="372"/>
        <v>6</v>
      </c>
      <c r="C1528" s="292">
        <v>42888</v>
      </c>
      <c r="D1528" s="292" t="s">
        <v>840</v>
      </c>
      <c r="E1528" s="292">
        <f t="shared" si="373"/>
        <v>42888</v>
      </c>
      <c r="F1528" s="432" t="s">
        <v>1671</v>
      </c>
      <c r="G1528" s="925" t="s">
        <v>1672</v>
      </c>
      <c r="H1528" s="311" t="s">
        <v>558</v>
      </c>
      <c r="I1528" s="373">
        <v>221</v>
      </c>
      <c r="J1528" s="379">
        <v>11000</v>
      </c>
      <c r="K1528" s="373"/>
      <c r="L1528" s="379"/>
      <c r="M1528" s="927">
        <f>I1528*J1528</f>
        <v>2431000</v>
      </c>
      <c r="N1528" s="295" t="s">
        <v>266</v>
      </c>
      <c r="O1528" s="295" t="s">
        <v>8</v>
      </c>
      <c r="P1528" s="75" t="str">
        <f>IF(AND('331-CT'!$E$7=TH!H1528,OR(N1528="331",O1528="331")),"x","")</f>
        <v/>
      </c>
      <c r="Q1528" s="75" t="str">
        <f>IF(AND(B1528='111'!$L$11,OR($N1528=$Q$7,$O1528=$Q$7)),"x","")</f>
        <v/>
      </c>
      <c r="R1528" s="75" t="str">
        <f>IF(AND($N1528=$Q$7,$B1528&lt;'111'!$L$11),"x","")</f>
        <v/>
      </c>
      <c r="S1528" s="75" t="str">
        <f>IF(AND($O1528=$Q$7,$B1528&lt;'111'!$L$11),"x","")</f>
        <v/>
      </c>
      <c r="T1528" s="75" t="str">
        <f>IF(ISERROR(FIND('112'!$M$9,G1528,1)),"",IF((AND(FIND('112'!$M$9,G1528,1)&gt;=1,B1528='112'!$K$9,OR($N1528='112'!$I$6,$O1528='112'!$I$6))),"x",""))</f>
        <v/>
      </c>
      <c r="U1528" s="75" t="str">
        <f>IF(ISERROR(FIND('112'!$M$9,G1528,1)),"",IF((AND(LEFT(G1528,2)=LEFT('112'!$M$9,2),B1528&lt;'112'!$K$9,$N1528='112'!$I$6)),"x",""))</f>
        <v/>
      </c>
      <c r="V1528" s="75" t="str">
        <f>IF(ISERROR(FIND('112'!$M$9,G1528,1)),"",IF((AND(RIGHT(G1528,2)=RIGHT('112'!$M$9,2),B1528&lt;'112'!$K$9,$O1528='112'!$I$6)),"x",""))</f>
        <v/>
      </c>
      <c r="W1528" s="75" t="str">
        <f>IF(AND('341-CT'!$H$9=H1528,OR(LEFT(N1528,3)=$W$7,LEFT(O1528,3)=$W$7)),"x","")</f>
        <v/>
      </c>
      <c r="X1528" s="75" t="str">
        <f>IF(OR(TH!N1528=TH!$X$7,O1528=TH!$X$7),"x","")</f>
        <v/>
      </c>
      <c r="Y1528" s="75" t="str">
        <f>IF(AND(OR(N1528="131",O1528="131"),H1528='131-CT'!$H$9),"x","")</f>
        <v/>
      </c>
      <c r="Z1528" s="75"/>
      <c r="AA1528" s="75" t="str">
        <f>IF(AND(MONTH(E1528)='IN-NX'!$J$5,'IN-NX'!$D$7=D1528),"x","")</f>
        <v/>
      </c>
      <c r="AB1528" s="75" t="str">
        <f>IF(AND(OR(LEFT(TH!N1528,2)="15",LEFT(TH!O1528,2)="15"),LEFT(TH!O1528,3)&lt;&gt;"111",'152-CT'!$J$8=TH!F1528),"x","")</f>
        <v/>
      </c>
      <c r="AC1528" s="75" t="str">
        <f>IF(AND(OR(LEFT(TH!N1528,2)="15",LEFT(TH!O1528,2)="15"),TK!$E$7=TH!F1528),"x","")</f>
        <v/>
      </c>
      <c r="AD1528" s="75" t="str">
        <f>IF(AND(N1528="1521",MONTH(C1528)='BK-NL'!$M$11),"x","")</f>
        <v/>
      </c>
    </row>
    <row r="1529" spans="1:32" s="1053" customFormat="1" ht="16.5" customHeight="1">
      <c r="A1529" s="309" t="str">
        <f>IF(B1529&lt;&gt;"",IF(AND(B1529='IN-TC'!$S$4,OR(TH!N1529="1111",TH!O1529="1111")),TH!D1529,""),"")</f>
        <v/>
      </c>
      <c r="B1529" s="1130">
        <f t="shared" si="372"/>
        <v>6</v>
      </c>
      <c r="C1529" s="292">
        <v>42888</v>
      </c>
      <c r="D1529" s="292" t="s">
        <v>840</v>
      </c>
      <c r="E1529" s="292">
        <f t="shared" si="373"/>
        <v>42888</v>
      </c>
      <c r="F1529" s="432" t="s">
        <v>832</v>
      </c>
      <c r="G1529" s="925" t="s">
        <v>1672</v>
      </c>
      <c r="H1529" s="311" t="s">
        <v>558</v>
      </c>
      <c r="I1529" s="373"/>
      <c r="J1529" s="379"/>
      <c r="K1529" s="373"/>
      <c r="L1529" s="379"/>
      <c r="M1529" s="927">
        <v>3018050</v>
      </c>
      <c r="N1529" s="295" t="s">
        <v>9</v>
      </c>
      <c r="O1529" s="295" t="s">
        <v>8</v>
      </c>
      <c r="P1529" s="75" t="str">
        <f>IF(AND('331-CT'!$E$7=TH!H1529,OR(N1529="331",O1529="331")),"x","")</f>
        <v/>
      </c>
      <c r="Q1529" s="75" t="str">
        <f>IF(AND(B1529='111'!$L$11,OR($N1529=$Q$7,$O1529=$Q$7)),"x","")</f>
        <v/>
      </c>
      <c r="R1529" s="75" t="str">
        <f>IF(AND($N1529=$Q$7,$B1529&lt;'111'!$L$11),"x","")</f>
        <v/>
      </c>
      <c r="S1529" s="75" t="str">
        <f>IF(AND($O1529=$Q$7,$B1529&lt;'111'!$L$11),"x","")</f>
        <v/>
      </c>
      <c r="T1529" s="75" t="str">
        <f>IF(ISERROR(FIND('112'!$M$9,G1529,1)),"",IF((AND(FIND('112'!$M$9,G1529,1)&gt;=1,B1529='112'!$K$9,OR($N1529='112'!$I$6,$O1529='112'!$I$6))),"x",""))</f>
        <v/>
      </c>
      <c r="U1529" s="75" t="str">
        <f>IF(ISERROR(FIND('112'!$M$9,G1529,1)),"",IF((AND(LEFT(G1529,2)=LEFT('112'!$M$9,2),B1529&lt;'112'!$K$9,$N1529='112'!$I$6)),"x",""))</f>
        <v/>
      </c>
      <c r="V1529" s="75" t="str">
        <f>IF(ISERROR(FIND('112'!$M$9,G1529,1)),"",IF((AND(RIGHT(G1529,2)=RIGHT('112'!$M$9,2),B1529&lt;'112'!$K$9,$O1529='112'!$I$6)),"x",""))</f>
        <v/>
      </c>
      <c r="W1529" s="75" t="str">
        <f>IF(AND('341-CT'!$H$9=H1529,OR(LEFT(N1529,3)=$W$7,LEFT(O1529,3)=$W$7)),"x","")</f>
        <v/>
      </c>
      <c r="X1529" s="75" t="str">
        <f>IF(OR(TH!N1529=TH!$X$7,O1529=TH!$X$7),"x","")</f>
        <v/>
      </c>
      <c r="Y1529" s="75" t="str">
        <f>IF(AND(OR(N1529="131",O1529="131"),H1529='131-CT'!$H$9),"x","")</f>
        <v/>
      </c>
      <c r="Z1529" s="75"/>
      <c r="AA1529" s="75" t="str">
        <f>IF(AND(MONTH(E1529)='IN-NX'!$J$5,'IN-NX'!$D$7=D1529),"x","")</f>
        <v/>
      </c>
      <c r="AB1529" s="75" t="str">
        <f>IF(AND(OR(LEFT(TH!N1529,2)="15",LEFT(TH!O1529,2)="15"),LEFT(TH!O1529,3)&lt;&gt;"111",'152-CT'!$J$8=TH!F1529),"x","")</f>
        <v/>
      </c>
      <c r="AC1529" s="75" t="str">
        <f>IF(AND(OR(LEFT(TH!N1529,2)="15",LEFT(TH!O1529,2)="15"),TK!$E$7=TH!F1529),"x","")</f>
        <v/>
      </c>
      <c r="AD1529" s="75" t="str">
        <f>IF(AND(N1529="1521",MONTH(C1529)='BK-NL'!$M$11),"x","")</f>
        <v/>
      </c>
    </row>
    <row r="1530" spans="1:32" s="1053" customFormat="1" ht="16.5" customHeight="1">
      <c r="A1530" s="309" t="str">
        <f>IF(B1530&lt;&gt;"",IF(AND(B1530='IN-TC'!$S$4,OR(TH!N1530="1111",TH!O1530="1111")),TH!D1530,""),"")</f>
        <v/>
      </c>
      <c r="B1530" s="1130">
        <f t="shared" si="372"/>
        <v>6</v>
      </c>
      <c r="C1530" s="292">
        <v>42888</v>
      </c>
      <c r="D1530" s="292" t="s">
        <v>847</v>
      </c>
      <c r="E1530" s="292">
        <f t="shared" si="373"/>
        <v>42888</v>
      </c>
      <c r="F1530" s="67" t="s">
        <v>795</v>
      </c>
      <c r="G1530" s="925" t="s">
        <v>1485</v>
      </c>
      <c r="H1530" s="294" t="s">
        <v>796</v>
      </c>
      <c r="I1530" s="373">
        <v>2030</v>
      </c>
      <c r="J1530" s="379">
        <v>8800</v>
      </c>
      <c r="K1530" s="373"/>
      <c r="L1530" s="379"/>
      <c r="M1530" s="927">
        <f>I1530*J1530</f>
        <v>17864000</v>
      </c>
      <c r="N1530" s="295" t="s">
        <v>266</v>
      </c>
      <c r="O1530" s="295" t="s">
        <v>8</v>
      </c>
      <c r="P1530" s="75" t="str">
        <f>IF(AND('331-CT'!$E$7=TH!H1530,OR(N1530="331",O1530="331")),"x","")</f>
        <v/>
      </c>
      <c r="Q1530" s="75" t="str">
        <f>IF(AND(B1530='111'!$L$11,OR($N1530=$Q$7,$O1530=$Q$7)),"x","")</f>
        <v/>
      </c>
      <c r="R1530" s="75" t="str">
        <f>IF(AND($N1530=$Q$7,$B1530&lt;'111'!$L$11),"x","")</f>
        <v/>
      </c>
      <c r="S1530" s="75" t="str">
        <f>IF(AND($O1530=$Q$7,$B1530&lt;'111'!$L$11),"x","")</f>
        <v/>
      </c>
      <c r="T1530" s="75" t="str">
        <f>IF(ISERROR(FIND('112'!$M$9,G1530,1)),"",IF((AND(FIND('112'!$M$9,G1530,1)&gt;=1,B1530='112'!$K$9,OR($N1530='112'!$I$6,$O1530='112'!$I$6))),"x",""))</f>
        <v/>
      </c>
      <c r="U1530" s="75" t="str">
        <f>IF(ISERROR(FIND('112'!$M$9,G1530,1)),"",IF((AND(LEFT(G1530,2)=LEFT('112'!$M$9,2),B1530&lt;'112'!$K$9,$N1530='112'!$I$6)),"x",""))</f>
        <v/>
      </c>
      <c r="V1530" s="75" t="str">
        <f>IF(ISERROR(FIND('112'!$M$9,G1530,1)),"",IF((AND(RIGHT(G1530,2)=RIGHT('112'!$M$9,2),B1530&lt;'112'!$K$9,$O1530='112'!$I$6)),"x",""))</f>
        <v/>
      </c>
      <c r="W1530" s="75" t="str">
        <f>IF(AND('341-CT'!$H$9=H1530,OR(LEFT(N1530,3)=$W$7,LEFT(O1530,3)=$W$7)),"x","")</f>
        <v/>
      </c>
      <c r="X1530" s="75" t="str">
        <f>IF(OR(TH!N1530=TH!$X$7,O1530=TH!$X$7),"x","")</f>
        <v/>
      </c>
      <c r="Y1530" s="75" t="str">
        <f>IF(AND(OR(N1530="131",O1530="131"),H1530='131-CT'!$H$9),"x","")</f>
        <v/>
      </c>
      <c r="Z1530" s="75"/>
      <c r="AA1530" s="75" t="str">
        <f>IF(AND(MONTH(E1530)='IN-NX'!$J$5,'IN-NX'!$D$7=D1530),"x","")</f>
        <v/>
      </c>
      <c r="AB1530" s="75" t="str">
        <f>IF(AND(OR(LEFT(TH!N1530,2)="15",LEFT(TH!O1530,2)="15"),LEFT(TH!O1530,3)&lt;&gt;"111",'152-CT'!$J$8=TH!F1530),"x","")</f>
        <v/>
      </c>
      <c r="AC1530" s="75" t="str">
        <f>IF(AND(OR(LEFT(TH!N1530,2)="15",LEFT(TH!O1530,2)="15"),TK!$E$7=TH!F1530),"x","")</f>
        <v/>
      </c>
      <c r="AD1530" s="75" t="str">
        <f>IF(AND(N1530="1521",MONTH(C1530)='BK-NL'!$M$11),"x","")</f>
        <v/>
      </c>
    </row>
    <row r="1531" spans="1:32" s="1053" customFormat="1" ht="16.5" customHeight="1">
      <c r="A1531" s="309" t="str">
        <f>IF(B1531&lt;&gt;"",IF(AND(B1531='IN-TC'!$S$4,OR(TH!N1531="1111",TH!O1531="1111")),TH!D1531,""),"")</f>
        <v/>
      </c>
      <c r="B1531" s="1130">
        <f t="shared" si="372"/>
        <v>6</v>
      </c>
      <c r="C1531" s="292">
        <v>42888</v>
      </c>
      <c r="D1531" s="292" t="s">
        <v>847</v>
      </c>
      <c r="E1531" s="292">
        <f t="shared" si="373"/>
        <v>42888</v>
      </c>
      <c r="F1531" s="67" t="s">
        <v>1143</v>
      </c>
      <c r="G1531" s="925" t="s">
        <v>1485</v>
      </c>
      <c r="H1531" s="294" t="s">
        <v>796</v>
      </c>
      <c r="I1531" s="373"/>
      <c r="J1531" s="379"/>
      <c r="K1531" s="373"/>
      <c r="L1531" s="379"/>
      <c r="M1531" s="927">
        <v>1786400</v>
      </c>
      <c r="N1531" s="295" t="s">
        <v>9</v>
      </c>
      <c r="O1531" s="295" t="s">
        <v>8</v>
      </c>
      <c r="P1531" s="75" t="str">
        <f>IF(AND('331-CT'!$E$7=TH!H1531,OR(N1531="331",O1531="331")),"x","")</f>
        <v/>
      </c>
      <c r="Q1531" s="75" t="str">
        <f>IF(AND(B1531='111'!$L$11,OR($N1531=$Q$7,$O1531=$Q$7)),"x","")</f>
        <v/>
      </c>
      <c r="R1531" s="75" t="str">
        <f>IF(AND($N1531=$Q$7,$B1531&lt;'111'!$L$11),"x","")</f>
        <v/>
      </c>
      <c r="S1531" s="75" t="str">
        <f>IF(AND($O1531=$Q$7,$B1531&lt;'111'!$L$11),"x","")</f>
        <v/>
      </c>
      <c r="T1531" s="75" t="str">
        <f>IF(ISERROR(FIND('112'!$M$9,G1531,1)),"",IF((AND(FIND('112'!$M$9,G1531,1)&gt;=1,B1531='112'!$K$9,OR($N1531='112'!$I$6,$O1531='112'!$I$6))),"x",""))</f>
        <v/>
      </c>
      <c r="U1531" s="75" t="str">
        <f>IF(ISERROR(FIND('112'!$M$9,G1531,1)),"",IF((AND(LEFT(G1531,2)=LEFT('112'!$M$9,2),B1531&lt;'112'!$K$9,$N1531='112'!$I$6)),"x",""))</f>
        <v/>
      </c>
      <c r="V1531" s="75" t="str">
        <f>IF(ISERROR(FIND('112'!$M$9,G1531,1)),"",IF((AND(RIGHT(G1531,2)=RIGHT('112'!$M$9,2),B1531&lt;'112'!$K$9,$O1531='112'!$I$6)),"x",""))</f>
        <v/>
      </c>
      <c r="W1531" s="75" t="str">
        <f>IF(AND('341-CT'!$H$9=H1531,OR(LEFT(N1531,3)=$W$7,LEFT(O1531,3)=$W$7)),"x","")</f>
        <v/>
      </c>
      <c r="X1531" s="75" t="str">
        <f>IF(OR(TH!N1531=TH!$X$7,O1531=TH!$X$7),"x","")</f>
        <v/>
      </c>
      <c r="Y1531" s="75" t="str">
        <f>IF(AND(OR(N1531="131",O1531="131"),H1531='131-CT'!$H$9),"x","")</f>
        <v/>
      </c>
      <c r="Z1531" s="75"/>
      <c r="AA1531" s="75" t="str">
        <f>IF(AND(MONTH(E1531)='IN-NX'!$J$5,'IN-NX'!$D$7=D1531),"x","")</f>
        <v/>
      </c>
      <c r="AB1531" s="75" t="str">
        <f>IF(AND(OR(LEFT(TH!N1531,2)="15",LEFT(TH!O1531,2)="15"),LEFT(TH!O1531,3)&lt;&gt;"111",'152-CT'!$J$8=TH!F1531),"x","")</f>
        <v/>
      </c>
      <c r="AC1531" s="75" t="str">
        <f>IF(AND(OR(LEFT(TH!N1531,2)="15",LEFT(TH!O1531,2)="15"),TK!$E$7=TH!F1531),"x","")</f>
        <v/>
      </c>
      <c r="AD1531" s="75" t="str">
        <f>IF(AND(N1531="1521",MONTH(C1531)='BK-NL'!$M$11),"x","")</f>
        <v/>
      </c>
    </row>
    <row r="1532" spans="1:32" s="1053" customFormat="1" ht="16.5" customHeight="1">
      <c r="A1532" s="309" t="str">
        <f>IF(B1532&lt;&gt;"",IF(AND(B1532='IN-TC'!$S$4,OR(TH!N1532="1111",TH!O1532="1111")),TH!D1532,""),"")</f>
        <v/>
      </c>
      <c r="B1532" s="1130">
        <f t="shared" si="372"/>
        <v>6</v>
      </c>
      <c r="C1532" s="292">
        <v>42889</v>
      </c>
      <c r="D1532" s="292" t="s">
        <v>867</v>
      </c>
      <c r="E1532" s="292">
        <f t="shared" si="373"/>
        <v>42889</v>
      </c>
      <c r="F1532" s="67" t="s">
        <v>795</v>
      </c>
      <c r="G1532" s="925" t="s">
        <v>1486</v>
      </c>
      <c r="H1532" s="294" t="s">
        <v>796</v>
      </c>
      <c r="I1532" s="373">
        <v>2030</v>
      </c>
      <c r="J1532" s="379">
        <v>8800</v>
      </c>
      <c r="K1532" s="373"/>
      <c r="L1532" s="379"/>
      <c r="M1532" s="927">
        <f>I1532*J1532</f>
        <v>17864000</v>
      </c>
      <c r="N1532" s="295" t="s">
        <v>266</v>
      </c>
      <c r="O1532" s="295" t="s">
        <v>8</v>
      </c>
      <c r="P1532" s="75" t="str">
        <f>IF(AND('331-CT'!$E$7=TH!H1532,OR(N1532="331",O1532="331")),"x","")</f>
        <v/>
      </c>
      <c r="Q1532" s="75" t="str">
        <f>IF(AND(B1532='111'!$L$11,OR($N1532=$Q$7,$O1532=$Q$7)),"x","")</f>
        <v/>
      </c>
      <c r="R1532" s="75" t="str">
        <f>IF(AND($N1532=$Q$7,$B1532&lt;'111'!$L$11),"x","")</f>
        <v/>
      </c>
      <c r="S1532" s="75" t="str">
        <f>IF(AND($O1532=$Q$7,$B1532&lt;'111'!$L$11),"x","")</f>
        <v/>
      </c>
      <c r="T1532" s="75" t="str">
        <f>IF(ISERROR(FIND('112'!$M$9,G1532,1)),"",IF((AND(FIND('112'!$M$9,G1532,1)&gt;=1,B1532='112'!$K$9,OR($N1532='112'!$I$6,$O1532='112'!$I$6))),"x",""))</f>
        <v/>
      </c>
      <c r="U1532" s="75" t="str">
        <f>IF(ISERROR(FIND('112'!$M$9,G1532,1)),"",IF((AND(LEFT(G1532,2)=LEFT('112'!$M$9,2),B1532&lt;'112'!$K$9,$N1532='112'!$I$6)),"x",""))</f>
        <v/>
      </c>
      <c r="V1532" s="75" t="str">
        <f>IF(ISERROR(FIND('112'!$M$9,G1532,1)),"",IF((AND(RIGHT(G1532,2)=RIGHT('112'!$M$9,2),B1532&lt;'112'!$K$9,$O1532='112'!$I$6)),"x",""))</f>
        <v/>
      </c>
      <c r="W1532" s="75" t="str">
        <f>IF(AND('341-CT'!$H$9=H1532,OR(LEFT(N1532,3)=$W$7,LEFT(O1532,3)=$W$7)),"x","")</f>
        <v/>
      </c>
      <c r="X1532" s="75" t="str">
        <f>IF(OR(TH!N1532=TH!$X$7,O1532=TH!$X$7),"x","")</f>
        <v/>
      </c>
      <c r="Y1532" s="75" t="str">
        <f>IF(AND(OR(N1532="131",O1532="131"),H1532='131-CT'!$H$9),"x","")</f>
        <v/>
      </c>
      <c r="Z1532" s="75"/>
      <c r="AA1532" s="75" t="str">
        <f>IF(AND(MONTH(E1532)='IN-NX'!$J$5,'IN-NX'!$D$7=D1532),"x","")</f>
        <v/>
      </c>
      <c r="AB1532" s="75" t="str">
        <f>IF(AND(OR(LEFT(TH!N1532,2)="15",LEFT(TH!O1532,2)="15"),LEFT(TH!O1532,3)&lt;&gt;"111",'152-CT'!$J$8=TH!F1532),"x","")</f>
        <v/>
      </c>
      <c r="AC1532" s="75" t="str">
        <f>IF(AND(OR(LEFT(TH!N1532,2)="15",LEFT(TH!O1532,2)="15"),TK!$E$7=TH!F1532),"x","")</f>
        <v/>
      </c>
      <c r="AD1532" s="75" t="str">
        <f>IF(AND(N1532="1521",MONTH(C1532)='BK-NL'!$M$11),"x","")</f>
        <v/>
      </c>
    </row>
    <row r="1533" spans="1:32" s="1053" customFormat="1" ht="16.5" customHeight="1">
      <c r="A1533" s="309" t="str">
        <f>IF(B1533&lt;&gt;"",IF(AND(B1533='IN-TC'!$S$4,OR(TH!N1533="1111",TH!O1533="1111")),TH!D1533,""),"")</f>
        <v/>
      </c>
      <c r="B1533" s="1130">
        <f t="shared" si="372"/>
        <v>6</v>
      </c>
      <c r="C1533" s="292">
        <v>42889</v>
      </c>
      <c r="D1533" s="292" t="s">
        <v>867</v>
      </c>
      <c r="E1533" s="292">
        <f t="shared" si="373"/>
        <v>42889</v>
      </c>
      <c r="F1533" s="67" t="s">
        <v>1143</v>
      </c>
      <c r="G1533" s="925" t="s">
        <v>1486</v>
      </c>
      <c r="H1533" s="294" t="s">
        <v>796</v>
      </c>
      <c r="I1533" s="373"/>
      <c r="J1533" s="379"/>
      <c r="K1533" s="373"/>
      <c r="L1533" s="379"/>
      <c r="M1533" s="927">
        <v>1786400</v>
      </c>
      <c r="N1533" s="295" t="s">
        <v>9</v>
      </c>
      <c r="O1533" s="295" t="s">
        <v>8</v>
      </c>
      <c r="P1533" s="75" t="str">
        <f>IF(AND('331-CT'!$E$7=TH!H1533,OR(N1533="331",O1533="331")),"x","")</f>
        <v/>
      </c>
      <c r="Q1533" s="75" t="str">
        <f>IF(AND(B1533='111'!$L$11,OR($N1533=$Q$7,$O1533=$Q$7)),"x","")</f>
        <v/>
      </c>
      <c r="R1533" s="75" t="str">
        <f>IF(AND($N1533=$Q$7,$B1533&lt;'111'!$L$11),"x","")</f>
        <v/>
      </c>
      <c r="S1533" s="75" t="str">
        <f>IF(AND($O1533=$Q$7,$B1533&lt;'111'!$L$11),"x","")</f>
        <v/>
      </c>
      <c r="T1533" s="75" t="str">
        <f>IF(ISERROR(FIND('112'!$M$9,G1533,1)),"",IF((AND(FIND('112'!$M$9,G1533,1)&gt;=1,B1533='112'!$K$9,OR($N1533='112'!$I$6,$O1533='112'!$I$6))),"x",""))</f>
        <v/>
      </c>
      <c r="U1533" s="75" t="str">
        <f>IF(ISERROR(FIND('112'!$M$9,G1533,1)),"",IF((AND(LEFT(G1533,2)=LEFT('112'!$M$9,2),B1533&lt;'112'!$K$9,$N1533='112'!$I$6)),"x",""))</f>
        <v/>
      </c>
      <c r="V1533" s="75" t="str">
        <f>IF(ISERROR(FIND('112'!$M$9,G1533,1)),"",IF((AND(RIGHT(G1533,2)=RIGHT('112'!$M$9,2),B1533&lt;'112'!$K$9,$O1533='112'!$I$6)),"x",""))</f>
        <v/>
      </c>
      <c r="W1533" s="75" t="str">
        <f>IF(AND('341-CT'!$H$9=H1533,OR(LEFT(N1533,3)=$W$7,LEFT(O1533,3)=$W$7)),"x","")</f>
        <v/>
      </c>
      <c r="X1533" s="75" t="str">
        <f>IF(OR(TH!N1533=TH!$X$7,O1533=TH!$X$7),"x","")</f>
        <v/>
      </c>
      <c r="Y1533" s="75" t="str">
        <f>IF(AND(OR(N1533="131",O1533="131"),H1533='131-CT'!$H$9),"x","")</f>
        <v/>
      </c>
      <c r="Z1533" s="75"/>
      <c r="AA1533" s="75" t="str">
        <f>IF(AND(MONTH(E1533)='IN-NX'!$J$5,'IN-NX'!$D$7=D1533),"x","")</f>
        <v/>
      </c>
      <c r="AB1533" s="75" t="str">
        <f>IF(AND(OR(LEFT(TH!N1533,2)="15",LEFT(TH!O1533,2)="15"),LEFT(TH!O1533,3)&lt;&gt;"111",'152-CT'!$J$8=TH!F1533),"x","")</f>
        <v/>
      </c>
      <c r="AC1533" s="75" t="str">
        <f>IF(AND(OR(LEFT(TH!N1533,2)="15",LEFT(TH!O1533,2)="15"),TK!$E$7=TH!F1533),"x","")</f>
        <v/>
      </c>
      <c r="AD1533" s="75" t="str">
        <f>IF(AND(N1533="1521",MONTH(C1533)='BK-NL'!$M$11),"x","")</f>
        <v/>
      </c>
    </row>
    <row r="1534" spans="1:32" s="1053" customFormat="1" ht="16.5" customHeight="1">
      <c r="A1534" s="309" t="str">
        <f>IF(B1534&lt;&gt;"",IF(AND(B1534='IN-TC'!$S$4,OR(TH!N1534="1111",TH!O1534="1111")),TH!D1534,""),"")</f>
        <v/>
      </c>
      <c r="B1534" s="1130">
        <f t="shared" si="372"/>
        <v>6</v>
      </c>
      <c r="C1534" s="292">
        <v>42892</v>
      </c>
      <c r="D1534" s="292" t="s">
        <v>1352</v>
      </c>
      <c r="E1534" s="292">
        <f t="shared" si="373"/>
        <v>42892</v>
      </c>
      <c r="F1534" s="67" t="s">
        <v>795</v>
      </c>
      <c r="G1534" s="925" t="s">
        <v>1487</v>
      </c>
      <c r="H1534" s="294" t="s">
        <v>796</v>
      </c>
      <c r="I1534" s="373">
        <v>2030</v>
      </c>
      <c r="J1534" s="379">
        <v>8800</v>
      </c>
      <c r="K1534" s="373"/>
      <c r="L1534" s="379"/>
      <c r="M1534" s="927">
        <f>I1534*J1534</f>
        <v>17864000</v>
      </c>
      <c r="N1534" s="295" t="s">
        <v>266</v>
      </c>
      <c r="O1534" s="295" t="s">
        <v>8</v>
      </c>
      <c r="P1534" s="75" t="str">
        <f>IF(AND('331-CT'!$E$7=TH!H1534,OR(N1534="331",O1534="331")),"x","")</f>
        <v/>
      </c>
      <c r="Q1534" s="75" t="str">
        <f>IF(AND(B1534='111'!$L$11,OR($N1534=$Q$7,$O1534=$Q$7)),"x","")</f>
        <v/>
      </c>
      <c r="R1534" s="75" t="str">
        <f>IF(AND($N1534=$Q$7,$B1534&lt;'111'!$L$11),"x","")</f>
        <v/>
      </c>
      <c r="S1534" s="75" t="str">
        <f>IF(AND($O1534=$Q$7,$B1534&lt;'111'!$L$11),"x","")</f>
        <v/>
      </c>
      <c r="T1534" s="75" t="str">
        <f>IF(ISERROR(FIND('112'!$M$9,G1534,1)),"",IF((AND(FIND('112'!$M$9,G1534,1)&gt;=1,B1534='112'!$K$9,OR($N1534='112'!$I$6,$O1534='112'!$I$6))),"x",""))</f>
        <v/>
      </c>
      <c r="U1534" s="75" t="str">
        <f>IF(ISERROR(FIND('112'!$M$9,G1534,1)),"",IF((AND(LEFT(G1534,2)=LEFT('112'!$M$9,2),B1534&lt;'112'!$K$9,$N1534='112'!$I$6)),"x",""))</f>
        <v/>
      </c>
      <c r="V1534" s="75" t="str">
        <f>IF(ISERROR(FIND('112'!$M$9,G1534,1)),"",IF((AND(RIGHT(G1534,2)=RIGHT('112'!$M$9,2),B1534&lt;'112'!$K$9,$O1534='112'!$I$6)),"x",""))</f>
        <v/>
      </c>
      <c r="W1534" s="75" t="str">
        <f>IF(AND('341-CT'!$H$9=H1534,OR(LEFT(N1534,3)=$W$7,LEFT(O1534,3)=$W$7)),"x","")</f>
        <v/>
      </c>
      <c r="X1534" s="75" t="str">
        <f>IF(OR(TH!N1534=TH!$X$7,O1534=TH!$X$7),"x","")</f>
        <v/>
      </c>
      <c r="Y1534" s="75" t="str">
        <f>IF(AND(OR(N1534="131",O1534="131"),H1534='131-CT'!$H$9),"x","")</f>
        <v/>
      </c>
      <c r="Z1534" s="75"/>
      <c r="AA1534" s="75" t="str">
        <f>IF(AND(MONTH(E1534)='IN-NX'!$J$5,'IN-NX'!$D$7=D1534),"x","")</f>
        <v/>
      </c>
      <c r="AB1534" s="75" t="str">
        <f>IF(AND(OR(LEFT(TH!N1534,2)="15",LEFT(TH!O1534,2)="15"),LEFT(TH!O1534,3)&lt;&gt;"111",'152-CT'!$J$8=TH!F1534),"x","")</f>
        <v/>
      </c>
      <c r="AC1534" s="75" t="str">
        <f>IF(AND(OR(LEFT(TH!N1534,2)="15",LEFT(TH!O1534,2)="15"),TK!$E$7=TH!F1534),"x","")</f>
        <v/>
      </c>
      <c r="AD1534" s="75" t="str">
        <f>IF(AND(N1534="1521",MONTH(C1534)='BK-NL'!$M$11),"x","")</f>
        <v/>
      </c>
    </row>
    <row r="1535" spans="1:32" s="1053" customFormat="1" ht="16.5" customHeight="1">
      <c r="A1535" s="309" t="str">
        <f>IF(B1535&lt;&gt;"",IF(AND(B1535='IN-TC'!$S$4,OR(TH!N1535="1111",TH!O1535="1111")),TH!D1535,""),"")</f>
        <v/>
      </c>
      <c r="B1535" s="1130">
        <f t="shared" si="372"/>
        <v>6</v>
      </c>
      <c r="C1535" s="292">
        <v>42892</v>
      </c>
      <c r="D1535" s="292" t="s">
        <v>1352</v>
      </c>
      <c r="E1535" s="292">
        <f t="shared" si="373"/>
        <v>42892</v>
      </c>
      <c r="F1535" s="67" t="s">
        <v>1143</v>
      </c>
      <c r="G1535" s="925" t="s">
        <v>1487</v>
      </c>
      <c r="H1535" s="294" t="s">
        <v>796</v>
      </c>
      <c r="I1535" s="373"/>
      <c r="J1535" s="379"/>
      <c r="K1535" s="373"/>
      <c r="L1535" s="379"/>
      <c r="M1535" s="927">
        <v>1786400</v>
      </c>
      <c r="N1535" s="295" t="s">
        <v>9</v>
      </c>
      <c r="O1535" s="295" t="s">
        <v>8</v>
      </c>
      <c r="P1535" s="75" t="str">
        <f>IF(AND('331-CT'!$E$7=TH!H1535,OR(N1535="331",O1535="331")),"x","")</f>
        <v/>
      </c>
      <c r="Q1535" s="75" t="str">
        <f>IF(AND(B1535='111'!$L$11,OR($N1535=$Q$7,$O1535=$Q$7)),"x","")</f>
        <v/>
      </c>
      <c r="R1535" s="75" t="str">
        <f>IF(AND($N1535=$Q$7,$B1535&lt;'111'!$L$11),"x","")</f>
        <v/>
      </c>
      <c r="S1535" s="75" t="str">
        <f>IF(AND($O1535=$Q$7,$B1535&lt;'111'!$L$11),"x","")</f>
        <v/>
      </c>
      <c r="T1535" s="75" t="str">
        <f>IF(ISERROR(FIND('112'!$M$9,G1535,1)),"",IF((AND(FIND('112'!$M$9,G1535,1)&gt;=1,B1535='112'!$K$9,OR($N1535='112'!$I$6,$O1535='112'!$I$6))),"x",""))</f>
        <v/>
      </c>
      <c r="U1535" s="75" t="str">
        <f>IF(ISERROR(FIND('112'!$M$9,G1535,1)),"",IF((AND(LEFT(G1535,2)=LEFT('112'!$M$9,2),B1535&lt;'112'!$K$9,$N1535='112'!$I$6)),"x",""))</f>
        <v/>
      </c>
      <c r="V1535" s="75" t="str">
        <f>IF(ISERROR(FIND('112'!$M$9,G1535,1)),"",IF((AND(RIGHT(G1535,2)=RIGHT('112'!$M$9,2),B1535&lt;'112'!$K$9,$O1535='112'!$I$6)),"x",""))</f>
        <v/>
      </c>
      <c r="W1535" s="75" t="str">
        <f>IF(AND('341-CT'!$H$9=H1535,OR(LEFT(N1535,3)=$W$7,LEFT(O1535,3)=$W$7)),"x","")</f>
        <v/>
      </c>
      <c r="X1535" s="75" t="str">
        <f>IF(OR(TH!N1535=TH!$X$7,O1535=TH!$X$7),"x","")</f>
        <v/>
      </c>
      <c r="Y1535" s="75" t="str">
        <f>IF(AND(OR(N1535="131",O1535="131"),H1535='131-CT'!$H$9),"x","")</f>
        <v/>
      </c>
      <c r="Z1535" s="75"/>
      <c r="AA1535" s="75" t="str">
        <f>IF(AND(MONTH(E1535)='IN-NX'!$J$5,'IN-NX'!$D$7=D1535),"x","")</f>
        <v/>
      </c>
      <c r="AB1535" s="75" t="str">
        <f>IF(AND(OR(LEFT(TH!N1535,2)="15",LEFT(TH!O1535,2)="15"),LEFT(TH!O1535,3)&lt;&gt;"111",'152-CT'!$J$8=TH!F1535),"x","")</f>
        <v/>
      </c>
      <c r="AC1535" s="75" t="str">
        <f>IF(AND(OR(LEFT(TH!N1535,2)="15",LEFT(TH!O1535,2)="15"),TK!$E$7=TH!F1535),"x","")</f>
        <v/>
      </c>
      <c r="AD1535" s="75" t="str">
        <f>IF(AND(N1535="1521",MONTH(C1535)='BK-NL'!$M$11),"x","")</f>
        <v/>
      </c>
    </row>
    <row r="1536" spans="1:32" s="1053" customFormat="1" ht="16.5" customHeight="1">
      <c r="A1536" s="309" t="str">
        <f>IF(B1536&lt;&gt;"",IF(AND(B1536='IN-TC'!$S$4,OR(TH!N1536="1111",TH!O1536="1111")),TH!D1536,""),"")</f>
        <v/>
      </c>
      <c r="B1536" s="1130">
        <f t="shared" si="372"/>
        <v>6</v>
      </c>
      <c r="C1536" s="292">
        <v>42905</v>
      </c>
      <c r="D1536" s="292" t="s">
        <v>1353</v>
      </c>
      <c r="E1536" s="292">
        <f t="shared" si="373"/>
        <v>42905</v>
      </c>
      <c r="F1536" s="432" t="s">
        <v>375</v>
      </c>
      <c r="G1536" s="925" t="s">
        <v>1673</v>
      </c>
      <c r="H1536" s="311" t="s">
        <v>558</v>
      </c>
      <c r="I1536" s="373">
        <v>332</v>
      </c>
      <c r="J1536" s="379">
        <v>20300</v>
      </c>
      <c r="K1536" s="373"/>
      <c r="L1536" s="379"/>
      <c r="M1536" s="927">
        <f>I1536*J1536</f>
        <v>6739600</v>
      </c>
      <c r="N1536" s="295" t="s">
        <v>266</v>
      </c>
      <c r="O1536" s="295" t="s">
        <v>8</v>
      </c>
      <c r="P1536" s="75" t="str">
        <f>IF(AND('331-CT'!$E$7=TH!H1536,OR(N1536="331",O1536="331")),"x","")</f>
        <v/>
      </c>
      <c r="Q1536" s="75" t="str">
        <f>IF(AND(B1536='111'!$L$11,OR($N1536=$Q$7,$O1536=$Q$7)),"x","")</f>
        <v/>
      </c>
      <c r="R1536" s="75" t="str">
        <f>IF(AND($N1536=$Q$7,$B1536&lt;'111'!$L$11),"x","")</f>
        <v/>
      </c>
      <c r="S1536" s="75" t="str">
        <f>IF(AND($O1536=$Q$7,$B1536&lt;'111'!$L$11),"x","")</f>
        <v/>
      </c>
      <c r="T1536" s="75" t="str">
        <f>IF(ISERROR(FIND('112'!$M$9,G1536,1)),"",IF((AND(FIND('112'!$M$9,G1536,1)&gt;=1,B1536='112'!$K$9,OR($N1536='112'!$I$6,$O1536='112'!$I$6))),"x",""))</f>
        <v/>
      </c>
      <c r="U1536" s="75" t="str">
        <f>IF(ISERROR(FIND('112'!$M$9,G1536,1)),"",IF((AND(LEFT(G1536,2)=LEFT('112'!$M$9,2),B1536&lt;'112'!$K$9,$N1536='112'!$I$6)),"x",""))</f>
        <v/>
      </c>
      <c r="V1536" s="75" t="str">
        <f>IF(ISERROR(FIND('112'!$M$9,G1536,1)),"",IF((AND(RIGHT(G1536,2)=RIGHT('112'!$M$9,2),B1536&lt;'112'!$K$9,$O1536='112'!$I$6)),"x",""))</f>
        <v/>
      </c>
      <c r="W1536" s="75" t="str">
        <f>IF(AND('341-CT'!$H$9=H1536,OR(LEFT(N1536,3)=$W$7,LEFT(O1536,3)=$W$7)),"x","")</f>
        <v/>
      </c>
      <c r="X1536" s="75" t="str">
        <f>IF(OR(TH!N1536=TH!$X$7,O1536=TH!$X$7),"x","")</f>
        <v/>
      </c>
      <c r="Y1536" s="75" t="str">
        <f>IF(AND(OR(N1536="131",O1536="131"),H1536='131-CT'!$H$9),"x","")</f>
        <v/>
      </c>
      <c r="Z1536" s="75"/>
      <c r="AA1536" s="75" t="str">
        <f>IF(AND(MONTH(E1536)='IN-NX'!$J$5,'IN-NX'!$D$7=D1536),"x","")</f>
        <v/>
      </c>
      <c r="AB1536" s="75" t="str">
        <f>IF(AND(OR(LEFT(TH!N1536,2)="15",LEFT(TH!O1536,2)="15"),LEFT(TH!O1536,3)&lt;&gt;"111",'152-CT'!$J$8=TH!F1536),"x","")</f>
        <v/>
      </c>
      <c r="AC1536" s="75" t="str">
        <f>IF(AND(OR(LEFT(TH!N1536,2)="15",LEFT(TH!O1536,2)="15"),TK!$E$7=TH!F1536),"x","")</f>
        <v/>
      </c>
      <c r="AD1536" s="75" t="str">
        <f>IF(AND(N1536="1521",MONTH(C1536)='BK-NL'!$M$11),"x","")</f>
        <v/>
      </c>
    </row>
    <row r="1537" spans="1:30" s="1053" customFormat="1" ht="16.5" customHeight="1">
      <c r="A1537" s="309" t="str">
        <f>IF(B1537&lt;&gt;"",IF(AND(B1537='IN-TC'!$S$4,OR(TH!N1537="1111",TH!O1537="1111")),TH!D1537,""),"")</f>
        <v/>
      </c>
      <c r="B1537" s="1130">
        <f t="shared" si="372"/>
        <v>6</v>
      </c>
      <c r="C1537" s="292">
        <v>42905</v>
      </c>
      <c r="D1537" s="292" t="s">
        <v>1353</v>
      </c>
      <c r="E1537" s="292">
        <f t="shared" si="373"/>
        <v>42905</v>
      </c>
      <c r="F1537" s="432" t="s">
        <v>744</v>
      </c>
      <c r="G1537" s="925" t="s">
        <v>1673</v>
      </c>
      <c r="H1537" s="311" t="s">
        <v>558</v>
      </c>
      <c r="I1537" s="373">
        <v>52</v>
      </c>
      <c r="J1537" s="379">
        <v>16000</v>
      </c>
      <c r="K1537" s="373"/>
      <c r="L1537" s="379"/>
      <c r="M1537" s="927">
        <f>I1537*J1537</f>
        <v>832000</v>
      </c>
      <c r="N1537" s="295" t="s">
        <v>266</v>
      </c>
      <c r="O1537" s="295" t="s">
        <v>8</v>
      </c>
      <c r="P1537" s="75" t="str">
        <f>IF(AND('331-CT'!$E$7=TH!H1537,OR(N1537="331",O1537="331")),"x","")</f>
        <v/>
      </c>
      <c r="Q1537" s="75" t="str">
        <f>IF(AND(B1537='111'!$L$11,OR($N1537=$Q$7,$O1537=$Q$7)),"x","")</f>
        <v/>
      </c>
      <c r="R1537" s="75" t="str">
        <f>IF(AND($N1537=$Q$7,$B1537&lt;'111'!$L$11),"x","")</f>
        <v/>
      </c>
      <c r="S1537" s="75" t="str">
        <f>IF(AND($O1537=$Q$7,$B1537&lt;'111'!$L$11),"x","")</f>
        <v/>
      </c>
      <c r="T1537" s="75" t="str">
        <f>IF(ISERROR(FIND('112'!$M$9,G1537,1)),"",IF((AND(FIND('112'!$M$9,G1537,1)&gt;=1,B1537='112'!$K$9,OR($N1537='112'!$I$6,$O1537='112'!$I$6))),"x",""))</f>
        <v/>
      </c>
      <c r="U1537" s="75" t="str">
        <f>IF(ISERROR(FIND('112'!$M$9,G1537,1)),"",IF((AND(LEFT(G1537,2)=LEFT('112'!$M$9,2),B1537&lt;'112'!$K$9,$N1537='112'!$I$6)),"x",""))</f>
        <v/>
      </c>
      <c r="V1537" s="75" t="str">
        <f>IF(ISERROR(FIND('112'!$M$9,G1537,1)),"",IF((AND(RIGHT(G1537,2)=RIGHT('112'!$M$9,2),B1537&lt;'112'!$K$9,$O1537='112'!$I$6)),"x",""))</f>
        <v/>
      </c>
      <c r="W1537" s="75" t="str">
        <f>IF(AND('341-CT'!$H$9=H1537,OR(LEFT(N1537,3)=$W$7,LEFT(O1537,3)=$W$7)),"x","")</f>
        <v/>
      </c>
      <c r="X1537" s="75" t="str">
        <f>IF(OR(TH!N1537=TH!$X$7,O1537=TH!$X$7),"x","")</f>
        <v/>
      </c>
      <c r="Y1537" s="75" t="str">
        <f>IF(AND(OR(N1537="131",O1537="131"),H1537='131-CT'!$H$9),"x","")</f>
        <v/>
      </c>
      <c r="Z1537" s="75"/>
      <c r="AA1537" s="75" t="str">
        <f>IF(AND(MONTH(E1537)='IN-NX'!$J$5,'IN-NX'!$D$7=D1537),"x","")</f>
        <v/>
      </c>
      <c r="AB1537" s="75" t="str">
        <f>IF(AND(OR(LEFT(TH!N1537,2)="15",LEFT(TH!O1537,2)="15"),LEFT(TH!O1537,3)&lt;&gt;"111",'152-CT'!$J$8=TH!F1537),"x","")</f>
        <v/>
      </c>
      <c r="AC1537" s="75" t="str">
        <f>IF(AND(OR(LEFT(TH!N1537,2)="15",LEFT(TH!O1537,2)="15"),TK!$E$7=TH!F1537),"x","")</f>
        <v/>
      </c>
      <c r="AD1537" s="75" t="str">
        <f>IF(AND(N1537="1521",MONTH(C1537)='BK-NL'!$M$11),"x","")</f>
        <v/>
      </c>
    </row>
    <row r="1538" spans="1:30" s="1053" customFormat="1" ht="16.5" customHeight="1">
      <c r="A1538" s="309" t="str">
        <f>IF(B1538&lt;&gt;"",IF(AND(B1538='IN-TC'!$S$4,OR(TH!N1538="1111",TH!O1538="1111")),TH!D1538,""),"")</f>
        <v/>
      </c>
      <c r="B1538" s="1130">
        <f t="shared" si="372"/>
        <v>6</v>
      </c>
      <c r="C1538" s="292">
        <v>42905</v>
      </c>
      <c r="D1538" s="292" t="s">
        <v>1353</v>
      </c>
      <c r="E1538" s="292">
        <f t="shared" si="373"/>
        <v>42905</v>
      </c>
      <c r="F1538" s="432" t="s">
        <v>1275</v>
      </c>
      <c r="G1538" s="925" t="s">
        <v>1673</v>
      </c>
      <c r="H1538" s="311" t="s">
        <v>558</v>
      </c>
      <c r="I1538" s="373">
        <v>225</v>
      </c>
      <c r="J1538" s="379">
        <v>15000</v>
      </c>
      <c r="K1538" s="373"/>
      <c r="L1538" s="379"/>
      <c r="M1538" s="927">
        <f>I1538*J1538</f>
        <v>3375000</v>
      </c>
      <c r="N1538" s="295" t="s">
        <v>266</v>
      </c>
      <c r="O1538" s="295" t="s">
        <v>8</v>
      </c>
      <c r="P1538" s="75" t="str">
        <f>IF(AND('331-CT'!$E$7=TH!H1538,OR(N1538="331",O1538="331")),"x","")</f>
        <v/>
      </c>
      <c r="Q1538" s="75" t="str">
        <f>IF(AND(B1538='111'!$L$11,OR($N1538=$Q$7,$O1538=$Q$7)),"x","")</f>
        <v/>
      </c>
      <c r="R1538" s="75" t="str">
        <f>IF(AND($N1538=$Q$7,$B1538&lt;'111'!$L$11),"x","")</f>
        <v/>
      </c>
      <c r="S1538" s="75" t="str">
        <f>IF(AND($O1538=$Q$7,$B1538&lt;'111'!$L$11),"x","")</f>
        <v/>
      </c>
      <c r="T1538" s="75" t="str">
        <f>IF(ISERROR(FIND('112'!$M$9,G1538,1)),"",IF((AND(FIND('112'!$M$9,G1538,1)&gt;=1,B1538='112'!$K$9,OR($N1538='112'!$I$6,$O1538='112'!$I$6))),"x",""))</f>
        <v/>
      </c>
      <c r="U1538" s="75" t="str">
        <f>IF(ISERROR(FIND('112'!$M$9,G1538,1)),"",IF((AND(LEFT(G1538,2)=LEFT('112'!$M$9,2),B1538&lt;'112'!$K$9,$N1538='112'!$I$6)),"x",""))</f>
        <v/>
      </c>
      <c r="V1538" s="75" t="str">
        <f>IF(ISERROR(FIND('112'!$M$9,G1538,1)),"",IF((AND(RIGHT(G1538,2)=RIGHT('112'!$M$9,2),B1538&lt;'112'!$K$9,$O1538='112'!$I$6)),"x",""))</f>
        <v/>
      </c>
      <c r="W1538" s="75" t="str">
        <f>IF(AND('341-CT'!$H$9=H1538,OR(LEFT(N1538,3)=$W$7,LEFT(O1538,3)=$W$7)),"x","")</f>
        <v/>
      </c>
      <c r="X1538" s="75" t="str">
        <f>IF(OR(TH!N1538=TH!$X$7,O1538=TH!$X$7),"x","")</f>
        <v/>
      </c>
      <c r="Y1538" s="75" t="str">
        <f>IF(AND(OR(N1538="131",O1538="131"),H1538='131-CT'!$H$9),"x","")</f>
        <v/>
      </c>
      <c r="Z1538" s="75"/>
      <c r="AA1538" s="75" t="str">
        <f>IF(AND(MONTH(E1538)='IN-NX'!$J$5,'IN-NX'!$D$7=D1538),"x","")</f>
        <v/>
      </c>
      <c r="AB1538" s="75" t="str">
        <f>IF(AND(OR(LEFT(TH!N1538,2)="15",LEFT(TH!O1538,2)="15"),LEFT(TH!O1538,3)&lt;&gt;"111",'152-CT'!$J$8=TH!F1538),"x","")</f>
        <v/>
      </c>
      <c r="AC1538" s="75" t="str">
        <f>IF(AND(OR(LEFT(TH!N1538,2)="15",LEFT(TH!O1538,2)="15"),TK!$E$7=TH!F1538),"x","")</f>
        <v/>
      </c>
      <c r="AD1538" s="75" t="str">
        <f>IF(AND(N1538="1521",MONTH(C1538)='BK-NL'!$M$11),"x","")</f>
        <v/>
      </c>
    </row>
    <row r="1539" spans="1:30" s="1053" customFormat="1" ht="16.5" customHeight="1">
      <c r="A1539" s="309" t="str">
        <f>IF(B1539&lt;&gt;"",IF(AND(B1539='IN-TC'!$S$4,OR(TH!N1539="1111",TH!O1539="1111")),TH!D1539,""),"")</f>
        <v/>
      </c>
      <c r="B1539" s="1130">
        <f t="shared" si="372"/>
        <v>6</v>
      </c>
      <c r="C1539" s="292">
        <v>42905</v>
      </c>
      <c r="D1539" s="292" t="s">
        <v>1353</v>
      </c>
      <c r="E1539" s="292">
        <f t="shared" si="373"/>
        <v>42905</v>
      </c>
      <c r="F1539" s="432" t="s">
        <v>381</v>
      </c>
      <c r="G1539" s="925" t="s">
        <v>1673</v>
      </c>
      <c r="H1539" s="311" t="s">
        <v>558</v>
      </c>
      <c r="I1539" s="373">
        <v>222</v>
      </c>
      <c r="J1539" s="379">
        <v>16500</v>
      </c>
      <c r="K1539" s="373"/>
      <c r="L1539" s="379"/>
      <c r="M1539" s="927">
        <f>I1539*J1539</f>
        <v>3663000</v>
      </c>
      <c r="N1539" s="295" t="s">
        <v>266</v>
      </c>
      <c r="O1539" s="295" t="s">
        <v>8</v>
      </c>
      <c r="P1539" s="75" t="str">
        <f>IF(AND('331-CT'!$E$7=TH!H1539,OR(N1539="331",O1539="331")),"x","")</f>
        <v/>
      </c>
      <c r="Q1539" s="75" t="str">
        <f>IF(AND(B1539='111'!$L$11,OR($N1539=$Q$7,$O1539=$Q$7)),"x","")</f>
        <v/>
      </c>
      <c r="R1539" s="75" t="str">
        <f>IF(AND($N1539=$Q$7,$B1539&lt;'111'!$L$11),"x","")</f>
        <v/>
      </c>
      <c r="S1539" s="75" t="str">
        <f>IF(AND($O1539=$Q$7,$B1539&lt;'111'!$L$11),"x","")</f>
        <v/>
      </c>
      <c r="T1539" s="75" t="str">
        <f>IF(ISERROR(FIND('112'!$M$9,G1539,1)),"",IF((AND(FIND('112'!$M$9,G1539,1)&gt;=1,B1539='112'!$K$9,OR($N1539='112'!$I$6,$O1539='112'!$I$6))),"x",""))</f>
        <v/>
      </c>
      <c r="U1539" s="75" t="str">
        <f>IF(ISERROR(FIND('112'!$M$9,G1539,1)),"",IF((AND(LEFT(G1539,2)=LEFT('112'!$M$9,2),B1539&lt;'112'!$K$9,$N1539='112'!$I$6)),"x",""))</f>
        <v/>
      </c>
      <c r="V1539" s="75" t="str">
        <f>IF(ISERROR(FIND('112'!$M$9,G1539,1)),"",IF((AND(RIGHT(G1539,2)=RIGHT('112'!$M$9,2),B1539&lt;'112'!$K$9,$O1539='112'!$I$6)),"x",""))</f>
        <v/>
      </c>
      <c r="W1539" s="75" t="str">
        <f>IF(AND('341-CT'!$H$9=H1539,OR(LEFT(N1539,3)=$W$7,LEFT(O1539,3)=$W$7)),"x","")</f>
        <v/>
      </c>
      <c r="X1539" s="75" t="str">
        <f>IF(OR(TH!N1539=TH!$X$7,O1539=TH!$X$7),"x","")</f>
        <v/>
      </c>
      <c r="Y1539" s="75" t="str">
        <f>IF(AND(OR(N1539="131",O1539="131"),H1539='131-CT'!$H$9),"x","")</f>
        <v/>
      </c>
      <c r="Z1539" s="75"/>
      <c r="AA1539" s="75" t="str">
        <f>IF(AND(MONTH(E1539)='IN-NX'!$J$5,'IN-NX'!$D$7=D1539),"x","")</f>
        <v/>
      </c>
      <c r="AB1539" s="75" t="str">
        <f>IF(AND(OR(LEFT(TH!N1539,2)="15",LEFT(TH!O1539,2)="15"),LEFT(TH!O1539,3)&lt;&gt;"111",'152-CT'!$J$8=TH!F1539),"x","")</f>
        <v/>
      </c>
      <c r="AC1539" s="75" t="str">
        <f>IF(AND(OR(LEFT(TH!N1539,2)="15",LEFT(TH!O1539,2)="15"),TK!$E$7=TH!F1539),"x","")</f>
        <v/>
      </c>
      <c r="AD1539" s="75" t="str">
        <f>IF(AND(N1539="1521",MONTH(C1539)='BK-NL'!$M$11),"x","")</f>
        <v/>
      </c>
    </row>
    <row r="1540" spans="1:30" s="1053" customFormat="1" ht="16.5" customHeight="1">
      <c r="A1540" s="309" t="str">
        <f>IF(B1540&lt;&gt;"",IF(AND(B1540='IN-TC'!$S$4,OR(TH!N1540="1111",TH!O1540="1111")),TH!D1540,""),"")</f>
        <v/>
      </c>
      <c r="B1540" s="1130">
        <f t="shared" si="372"/>
        <v>6</v>
      </c>
      <c r="C1540" s="292">
        <v>42905</v>
      </c>
      <c r="D1540" s="292" t="s">
        <v>1353</v>
      </c>
      <c r="E1540" s="292">
        <f t="shared" si="373"/>
        <v>42905</v>
      </c>
      <c r="F1540" s="432" t="s">
        <v>830</v>
      </c>
      <c r="G1540" s="925" t="s">
        <v>1673</v>
      </c>
      <c r="H1540" s="311" t="s">
        <v>558</v>
      </c>
      <c r="I1540" s="373">
        <v>340</v>
      </c>
      <c r="J1540" s="379">
        <v>2760</v>
      </c>
      <c r="K1540" s="373"/>
      <c r="L1540" s="379"/>
      <c r="M1540" s="927">
        <f>I1540*J1540</f>
        <v>938400</v>
      </c>
      <c r="N1540" s="295" t="s">
        <v>266</v>
      </c>
      <c r="O1540" s="295" t="s">
        <v>8</v>
      </c>
      <c r="P1540" s="75" t="str">
        <f>IF(AND('331-CT'!$E$7=TH!H1540,OR(N1540="331",O1540="331")),"x","")</f>
        <v/>
      </c>
      <c r="Q1540" s="75" t="str">
        <f>IF(AND(B1540='111'!$L$11,OR($N1540=$Q$7,$O1540=$Q$7)),"x","")</f>
        <v/>
      </c>
      <c r="R1540" s="75" t="str">
        <f>IF(AND($N1540=$Q$7,$B1540&lt;'111'!$L$11),"x","")</f>
        <v/>
      </c>
      <c r="S1540" s="75" t="str">
        <f>IF(AND($O1540=$Q$7,$B1540&lt;'111'!$L$11),"x","")</f>
        <v/>
      </c>
      <c r="T1540" s="75" t="str">
        <f>IF(ISERROR(FIND('112'!$M$9,G1540,1)),"",IF((AND(FIND('112'!$M$9,G1540,1)&gt;=1,B1540='112'!$K$9,OR($N1540='112'!$I$6,$O1540='112'!$I$6))),"x",""))</f>
        <v/>
      </c>
      <c r="U1540" s="75" t="str">
        <f>IF(ISERROR(FIND('112'!$M$9,G1540,1)),"",IF((AND(LEFT(G1540,2)=LEFT('112'!$M$9,2),B1540&lt;'112'!$K$9,$N1540='112'!$I$6)),"x",""))</f>
        <v/>
      </c>
      <c r="V1540" s="75" t="str">
        <f>IF(ISERROR(FIND('112'!$M$9,G1540,1)),"",IF((AND(RIGHT(G1540,2)=RIGHT('112'!$M$9,2),B1540&lt;'112'!$K$9,$O1540='112'!$I$6)),"x",""))</f>
        <v/>
      </c>
      <c r="W1540" s="75" t="str">
        <f>IF(AND('341-CT'!$H$9=H1540,OR(LEFT(N1540,3)=$W$7,LEFT(O1540,3)=$W$7)),"x","")</f>
        <v/>
      </c>
      <c r="X1540" s="75" t="str">
        <f>IF(OR(TH!N1540=TH!$X$7,O1540=TH!$X$7),"x","")</f>
        <v/>
      </c>
      <c r="Y1540" s="75" t="str">
        <f>IF(AND(OR(N1540="131",O1540="131"),H1540='131-CT'!$H$9),"x","")</f>
        <v/>
      </c>
      <c r="Z1540" s="75"/>
      <c r="AA1540" s="75" t="str">
        <f>IF(AND(MONTH(E1540)='IN-NX'!$J$5,'IN-NX'!$D$7=D1540),"x","")</f>
        <v/>
      </c>
      <c r="AB1540" s="75" t="str">
        <f>IF(AND(OR(LEFT(TH!N1540,2)="15",LEFT(TH!O1540,2)="15"),LEFT(TH!O1540,3)&lt;&gt;"111",'152-CT'!$J$8=TH!F1540),"x","")</f>
        <v/>
      </c>
      <c r="AC1540" s="75" t="str">
        <f>IF(AND(OR(LEFT(TH!N1540,2)="15",LEFT(TH!O1540,2)="15"),TK!$E$7=TH!F1540),"x","")</f>
        <v/>
      </c>
      <c r="AD1540" s="75" t="str">
        <f>IF(AND(N1540="1521",MONTH(C1540)='BK-NL'!$M$11),"x","")</f>
        <v/>
      </c>
    </row>
    <row r="1541" spans="1:30" s="1053" customFormat="1" ht="16.5" customHeight="1">
      <c r="A1541" s="309" t="str">
        <f>IF(B1541&lt;&gt;"",IF(AND(B1541='IN-TC'!$S$4,OR(TH!N1541="1111",TH!O1541="1111")),TH!D1541,""),"")</f>
        <v/>
      </c>
      <c r="B1541" s="1130">
        <f t="shared" si="372"/>
        <v>6</v>
      </c>
      <c r="C1541" s="292">
        <v>42905</v>
      </c>
      <c r="D1541" s="292" t="s">
        <v>1353</v>
      </c>
      <c r="E1541" s="292">
        <f t="shared" si="373"/>
        <v>42905</v>
      </c>
      <c r="F1541" s="432" t="s">
        <v>832</v>
      </c>
      <c r="G1541" s="925" t="s">
        <v>1673</v>
      </c>
      <c r="H1541" s="311" t="s">
        <v>558</v>
      </c>
      <c r="I1541" s="373"/>
      <c r="J1541" s="379"/>
      <c r="K1541" s="373"/>
      <c r="L1541" s="379"/>
      <c r="M1541" s="927">
        <v>1554800</v>
      </c>
      <c r="N1541" s="295" t="s">
        <v>9</v>
      </c>
      <c r="O1541" s="295" t="s">
        <v>8</v>
      </c>
      <c r="P1541" s="75" t="str">
        <f>IF(AND('331-CT'!$E$7=TH!H1541,OR(N1541="331",O1541="331")),"x","")</f>
        <v/>
      </c>
      <c r="Q1541" s="75" t="str">
        <f>IF(AND(B1541='111'!$L$11,OR($N1541=$Q$7,$O1541=$Q$7)),"x","")</f>
        <v/>
      </c>
      <c r="R1541" s="75" t="str">
        <f>IF(AND($N1541=$Q$7,$B1541&lt;'111'!$L$11),"x","")</f>
        <v/>
      </c>
      <c r="S1541" s="75" t="str">
        <f>IF(AND($O1541=$Q$7,$B1541&lt;'111'!$L$11),"x","")</f>
        <v/>
      </c>
      <c r="T1541" s="75" t="str">
        <f>IF(ISERROR(FIND('112'!$M$9,G1541,1)),"",IF((AND(FIND('112'!$M$9,G1541,1)&gt;=1,B1541='112'!$K$9,OR($N1541='112'!$I$6,$O1541='112'!$I$6))),"x",""))</f>
        <v/>
      </c>
      <c r="U1541" s="75" t="str">
        <f>IF(ISERROR(FIND('112'!$M$9,G1541,1)),"",IF((AND(LEFT(G1541,2)=LEFT('112'!$M$9,2),B1541&lt;'112'!$K$9,$N1541='112'!$I$6)),"x",""))</f>
        <v/>
      </c>
      <c r="V1541" s="75" t="str">
        <f>IF(ISERROR(FIND('112'!$M$9,G1541,1)),"",IF((AND(RIGHT(G1541,2)=RIGHT('112'!$M$9,2),B1541&lt;'112'!$K$9,$O1541='112'!$I$6)),"x",""))</f>
        <v/>
      </c>
      <c r="W1541" s="75" t="str">
        <f>IF(AND('341-CT'!$H$9=H1541,OR(LEFT(N1541,3)=$W$7,LEFT(O1541,3)=$W$7)),"x","")</f>
        <v/>
      </c>
      <c r="X1541" s="75" t="str">
        <f>IF(OR(TH!N1541=TH!$X$7,O1541=TH!$X$7),"x","")</f>
        <v/>
      </c>
      <c r="Y1541" s="75" t="str">
        <f>IF(AND(OR(N1541="131",O1541="131"),H1541='131-CT'!$H$9),"x","")</f>
        <v/>
      </c>
      <c r="Z1541" s="75"/>
      <c r="AA1541" s="75" t="str">
        <f>IF(AND(MONTH(E1541)='IN-NX'!$J$5,'IN-NX'!$D$7=D1541),"x","")</f>
        <v/>
      </c>
      <c r="AB1541" s="75" t="str">
        <f>IF(AND(OR(LEFT(TH!N1541,2)="15",LEFT(TH!O1541,2)="15"),LEFT(TH!O1541,3)&lt;&gt;"111",'152-CT'!$J$8=TH!F1541),"x","")</f>
        <v/>
      </c>
      <c r="AC1541" s="75" t="str">
        <f>IF(AND(OR(LEFT(TH!N1541,2)="15",LEFT(TH!O1541,2)="15"),TK!$E$7=TH!F1541),"x","")</f>
        <v/>
      </c>
      <c r="AD1541" s="75" t="str">
        <f>IF(AND(N1541="1521",MONTH(C1541)='BK-NL'!$M$11),"x","")</f>
        <v/>
      </c>
    </row>
    <row r="1542" spans="1:30" s="1053" customFormat="1" ht="16.5" customHeight="1">
      <c r="A1542" s="309" t="str">
        <f>IF(B1542&lt;&gt;"",IF(AND(B1542='IN-TC'!$S$4,OR(TH!N1542="1111",TH!O1542="1111")),TH!D1542,""),"")</f>
        <v/>
      </c>
      <c r="B1542" s="1130">
        <f t="shared" si="372"/>
        <v>6</v>
      </c>
      <c r="C1542" s="292">
        <v>42909</v>
      </c>
      <c r="D1542" s="292" t="s">
        <v>1354</v>
      </c>
      <c r="E1542" s="292">
        <f t="shared" si="373"/>
        <v>42909</v>
      </c>
      <c r="F1542" s="432" t="s">
        <v>564</v>
      </c>
      <c r="G1542" s="925" t="s">
        <v>1661</v>
      </c>
      <c r="H1542" s="67" t="s">
        <v>740</v>
      </c>
      <c r="I1542" s="373">
        <v>900</v>
      </c>
      <c r="J1542" s="926">
        <v>19000</v>
      </c>
      <c r="K1542" s="373"/>
      <c r="L1542" s="379"/>
      <c r="M1542" s="927">
        <f>I1542*J1542</f>
        <v>17100000</v>
      </c>
      <c r="N1542" s="295" t="s">
        <v>266</v>
      </c>
      <c r="O1542" s="295" t="s">
        <v>8</v>
      </c>
      <c r="P1542" s="75" t="str">
        <f>IF(AND('331-CT'!$E$7=TH!H1542,OR(N1542="331",O1542="331")),"x","")</f>
        <v/>
      </c>
      <c r="Q1542" s="75" t="str">
        <f>IF(AND(B1542='111'!$L$11,OR($N1542=$Q$7,$O1542=$Q$7)),"x","")</f>
        <v/>
      </c>
      <c r="R1542" s="75" t="str">
        <f>IF(AND($N1542=$Q$7,$B1542&lt;'111'!$L$11),"x","")</f>
        <v/>
      </c>
      <c r="S1542" s="75" t="str">
        <f>IF(AND($O1542=$Q$7,$B1542&lt;'111'!$L$11),"x","")</f>
        <v/>
      </c>
      <c r="T1542" s="75" t="str">
        <f>IF(ISERROR(FIND('112'!$M$9,G1542,1)),"",IF((AND(FIND('112'!$M$9,G1542,1)&gt;=1,B1542='112'!$K$9,OR($N1542='112'!$I$6,$O1542='112'!$I$6))),"x",""))</f>
        <v/>
      </c>
      <c r="U1542" s="75" t="str">
        <f>IF(ISERROR(FIND('112'!$M$9,G1542,1)),"",IF((AND(LEFT(G1542,2)=LEFT('112'!$M$9,2),B1542&lt;'112'!$K$9,$N1542='112'!$I$6)),"x",""))</f>
        <v/>
      </c>
      <c r="V1542" s="75" t="str">
        <f>IF(ISERROR(FIND('112'!$M$9,G1542,1)),"",IF((AND(RIGHT(G1542,2)=RIGHT('112'!$M$9,2),B1542&lt;'112'!$K$9,$O1542='112'!$I$6)),"x",""))</f>
        <v/>
      </c>
      <c r="W1542" s="75" t="str">
        <f>IF(AND('341-CT'!$H$9=H1542,OR(LEFT(N1542,3)=$W$7,LEFT(O1542,3)=$W$7)),"x","")</f>
        <v/>
      </c>
      <c r="X1542" s="75" t="str">
        <f>IF(OR(TH!N1542=TH!$X$7,O1542=TH!$X$7),"x","")</f>
        <v/>
      </c>
      <c r="Y1542" s="75" t="str">
        <f>IF(AND(OR(N1542="131",O1542="131"),H1542='131-CT'!$H$9),"x","")</f>
        <v/>
      </c>
      <c r="Z1542" s="75"/>
      <c r="AA1542" s="75" t="str">
        <f>IF(AND(MONTH(E1542)='IN-NX'!$J$5,'IN-NX'!$D$7=D1542),"x","")</f>
        <v/>
      </c>
      <c r="AB1542" s="75" t="str">
        <f>IF(AND(OR(LEFT(TH!N1542,2)="15",LEFT(TH!O1542,2)="15"),LEFT(TH!O1542,3)&lt;&gt;"111",'152-CT'!$J$8=TH!F1542),"x","")</f>
        <v/>
      </c>
      <c r="AC1542" s="75" t="str">
        <f>IF(AND(OR(LEFT(TH!N1542,2)="15",LEFT(TH!O1542,2)="15"),TK!$E$7=TH!F1542),"x","")</f>
        <v/>
      </c>
      <c r="AD1542" s="75" t="str">
        <f>IF(AND(N1542="1521",MONTH(C1542)='BK-NL'!$M$11),"x","")</f>
        <v/>
      </c>
    </row>
    <row r="1543" spans="1:30" s="1053" customFormat="1" ht="16.5" customHeight="1">
      <c r="A1543" s="309" t="str">
        <f>IF(B1543&lt;&gt;"",IF(AND(B1543='IN-TC'!$S$4,OR(TH!N1543="1111",TH!O1543="1111")),TH!D1543,""),"")</f>
        <v/>
      </c>
      <c r="B1543" s="1130">
        <f t="shared" si="372"/>
        <v>6</v>
      </c>
      <c r="C1543" s="292">
        <v>42909</v>
      </c>
      <c r="D1543" s="292" t="s">
        <v>1354</v>
      </c>
      <c r="E1543" s="292">
        <f t="shared" si="373"/>
        <v>42909</v>
      </c>
      <c r="F1543" s="432" t="s">
        <v>848</v>
      </c>
      <c r="G1543" s="925" t="s">
        <v>1661</v>
      </c>
      <c r="H1543" s="67" t="s">
        <v>740</v>
      </c>
      <c r="I1543" s="373"/>
      <c r="J1543" s="926"/>
      <c r="K1543" s="373"/>
      <c r="L1543" s="379"/>
      <c r="M1543" s="927">
        <v>1710000</v>
      </c>
      <c r="N1543" s="295" t="s">
        <v>9</v>
      </c>
      <c r="O1543" s="295" t="s">
        <v>8</v>
      </c>
      <c r="P1543" s="75" t="str">
        <f>IF(AND('331-CT'!$E$7=TH!H1543,OR(N1543="331",O1543="331")),"x","")</f>
        <v/>
      </c>
      <c r="Q1543" s="75" t="str">
        <f>IF(AND(B1543='111'!$L$11,OR($N1543=$Q$7,$O1543=$Q$7)),"x","")</f>
        <v/>
      </c>
      <c r="R1543" s="75" t="str">
        <f>IF(AND($N1543=$Q$7,$B1543&lt;'111'!$L$11),"x","")</f>
        <v/>
      </c>
      <c r="S1543" s="75" t="str">
        <f>IF(AND($O1543=$Q$7,$B1543&lt;'111'!$L$11),"x","")</f>
        <v/>
      </c>
      <c r="T1543" s="75" t="str">
        <f>IF(ISERROR(FIND('112'!$M$9,G1543,1)),"",IF((AND(FIND('112'!$M$9,G1543,1)&gt;=1,B1543='112'!$K$9,OR($N1543='112'!$I$6,$O1543='112'!$I$6))),"x",""))</f>
        <v/>
      </c>
      <c r="U1543" s="75" t="str">
        <f>IF(ISERROR(FIND('112'!$M$9,G1543,1)),"",IF((AND(LEFT(G1543,2)=LEFT('112'!$M$9,2),B1543&lt;'112'!$K$9,$N1543='112'!$I$6)),"x",""))</f>
        <v/>
      </c>
      <c r="V1543" s="75" t="str">
        <f>IF(ISERROR(FIND('112'!$M$9,G1543,1)),"",IF((AND(RIGHT(G1543,2)=RIGHT('112'!$M$9,2),B1543&lt;'112'!$K$9,$O1543='112'!$I$6)),"x",""))</f>
        <v/>
      </c>
      <c r="W1543" s="75" t="str">
        <f>IF(AND('341-CT'!$H$9=H1543,OR(LEFT(N1543,3)=$W$7,LEFT(O1543,3)=$W$7)),"x","")</f>
        <v/>
      </c>
      <c r="X1543" s="75" t="str">
        <f>IF(OR(TH!N1543=TH!$X$7,O1543=TH!$X$7),"x","")</f>
        <v/>
      </c>
      <c r="Y1543" s="75" t="str">
        <f>IF(AND(OR(N1543="131",O1543="131"),H1543='131-CT'!$H$9),"x","")</f>
        <v/>
      </c>
      <c r="Z1543" s="75"/>
      <c r="AA1543" s="75" t="str">
        <f>IF(AND(MONTH(E1543)='IN-NX'!$J$5,'IN-NX'!$D$7=D1543),"x","")</f>
        <v/>
      </c>
      <c r="AB1543" s="75" t="str">
        <f>IF(AND(OR(LEFT(TH!N1543,2)="15",LEFT(TH!O1543,2)="15"),LEFT(TH!O1543,3)&lt;&gt;"111",'152-CT'!$J$8=TH!F1543),"x","")</f>
        <v/>
      </c>
      <c r="AC1543" s="75" t="str">
        <f>IF(AND(OR(LEFT(TH!N1543,2)="15",LEFT(TH!O1543,2)="15"),TK!$E$7=TH!F1543),"x","")</f>
        <v/>
      </c>
      <c r="AD1543" s="75" t="str">
        <f>IF(AND(N1543="1521",MONTH(C1543)='BK-NL'!$M$11),"x","")</f>
        <v/>
      </c>
    </row>
    <row r="1544" spans="1:30" ht="16.5" customHeight="1">
      <c r="A1544" s="309" t="str">
        <f>IF(B1544&lt;&gt;"",IF(AND(B1544='IN-TC'!$S$4,OR(TH!N1544="1111",TH!O1544="1111")),TH!D1544,""),"")</f>
        <v/>
      </c>
      <c r="B1544" s="1130">
        <f t="shared" ref="B1544:B1549" si="374">IF(C1544&lt;&gt;"",MONTH(C1544),"")</f>
        <v>6</v>
      </c>
      <c r="C1544" s="929">
        <f t="shared" ref="C1544:C1549" si="375">E1544</f>
        <v>42887</v>
      </c>
      <c r="D1544" s="929" t="s">
        <v>2951</v>
      </c>
      <c r="E1544" s="929">
        <v>42887</v>
      </c>
      <c r="F1544" s="1082" t="s">
        <v>327</v>
      </c>
      <c r="G1544" s="931"/>
      <c r="H1544" s="735" t="s">
        <v>424</v>
      </c>
      <c r="I1544" s="371">
        <v>150</v>
      </c>
      <c r="J1544" s="377">
        <v>32200</v>
      </c>
      <c r="K1544" s="371"/>
      <c r="L1544" s="377"/>
      <c r="M1544" s="933">
        <f t="shared" ref="M1544:M1549" si="376">ROUND(I1544*J1544,0)</f>
        <v>4830000</v>
      </c>
      <c r="N1544" s="934" t="s">
        <v>272</v>
      </c>
      <c r="O1544" s="934" t="s">
        <v>266</v>
      </c>
      <c r="P1544" s="75" t="str">
        <f>IF(AND('331-CT'!$E$7=TH!H1544,OR(N1544="331",O1544="331")),"x","")</f>
        <v/>
      </c>
      <c r="Q1544" s="75" t="str">
        <f>IF(AND(B1544='111'!$L$11,OR($N1544=$Q$7,$O1544=$Q$7)),"x","")</f>
        <v/>
      </c>
      <c r="R1544" s="75" t="str">
        <f>IF(AND($N1544=$Q$7,$B1544&lt;'111'!$L$11),"x","")</f>
        <v/>
      </c>
      <c r="S1544" s="75" t="str">
        <f>IF(AND($O1544=$Q$7,$B1544&lt;'111'!$L$11),"x","")</f>
        <v/>
      </c>
      <c r="T1544" s="75" t="str">
        <f>IF(ISERROR(FIND('112'!$M$9,G1544,1)),"",IF((AND(FIND('112'!$M$9,G1544,1)&gt;=1,B1544='112'!$K$9,OR($N1544='112'!$I$6,$O1544='112'!$I$6))),"x",""))</f>
        <v/>
      </c>
      <c r="U1544" s="75" t="str">
        <f>IF(ISERROR(FIND('112'!$M$9,G1544,1)),"",IF((AND(LEFT(G1544,2)=LEFT('112'!$M$9,2),B1544&lt;'112'!$K$9,$N1544='112'!$I$6)),"x",""))</f>
        <v/>
      </c>
      <c r="V1544" s="75" t="str">
        <f>IF(ISERROR(FIND('112'!$M$9,G1544,1)),"",IF((AND(RIGHT(G1544,2)=RIGHT('112'!$M$9,2),B1544&lt;'112'!$K$9,$O1544='112'!$I$6)),"x",""))</f>
        <v/>
      </c>
      <c r="W1544" s="75" t="str">
        <f>IF(AND('341-CT'!$H$9=H1544,OR(LEFT(N1544,3)=$W$7,LEFT(O1544,3)=$W$7)),"x","")</f>
        <v/>
      </c>
      <c r="X1544" s="75" t="str">
        <f>IF(OR(TH!N1544=TH!$X$7,O1544=TH!$X$7),"x","")</f>
        <v/>
      </c>
      <c r="Y1544" s="75" t="str">
        <f>IF(AND(OR(N1544="131",O1544="131"),H1544='131-CT'!$H$9),"x","")</f>
        <v/>
      </c>
      <c r="Z1544" s="75"/>
      <c r="AA1544" s="75" t="str">
        <f>IF(AND(MONTH(E1544)='IN-NX'!$J$5,'IN-NX'!$D$7=D1544),"x","")</f>
        <v/>
      </c>
      <c r="AB1544" s="75" t="str">
        <f>IF(AND(OR(LEFT(TH!N1544,2)="15",LEFT(TH!O1544,2)="15"),LEFT(TH!O1544,3)&lt;&gt;"111",'152-CT'!$J$8=TH!F1544),"x","")</f>
        <v/>
      </c>
      <c r="AC1544" s="75" t="str">
        <f>IF(AND(OR(LEFT(TH!N1544,2)="15",LEFT(TH!O1544,2)="15"),TK!$E$7=TH!F1544),"x","")</f>
        <v/>
      </c>
      <c r="AD1544" s="75" t="str">
        <f>IF(AND(N1544="1521",MONTH(C1544)='BK-NL'!$M$11),"x","")</f>
        <v/>
      </c>
    </row>
    <row r="1545" spans="1:30" ht="16.5" customHeight="1">
      <c r="A1545" s="309" t="str">
        <f>IF(B1545&lt;&gt;"",IF(AND(B1545='IN-TC'!$S$4,OR(TH!N1545="1111",TH!O1545="1111")),TH!D1545,""),"")</f>
        <v/>
      </c>
      <c r="B1545" s="1130">
        <f t="shared" si="374"/>
        <v>6</v>
      </c>
      <c r="C1545" s="929">
        <f t="shared" si="375"/>
        <v>42887</v>
      </c>
      <c r="D1545" s="929" t="s">
        <v>2951</v>
      </c>
      <c r="E1545" s="929">
        <v>42887</v>
      </c>
      <c r="F1545" s="296" t="s">
        <v>333</v>
      </c>
      <c r="G1545" s="931"/>
      <c r="H1545" s="735" t="s">
        <v>424</v>
      </c>
      <c r="I1545" s="371">
        <v>150</v>
      </c>
      <c r="J1545" s="377">
        <v>49808.000000000007</v>
      </c>
      <c r="K1545" s="371"/>
      <c r="L1545" s="377"/>
      <c r="M1545" s="933">
        <f t="shared" si="376"/>
        <v>7471200</v>
      </c>
      <c r="N1545" s="934" t="s">
        <v>272</v>
      </c>
      <c r="O1545" s="934" t="s">
        <v>266</v>
      </c>
      <c r="P1545" s="75" t="str">
        <f>IF(AND('331-CT'!$E$7=TH!H1545,OR(N1545="331",O1545="331")),"x","")</f>
        <v/>
      </c>
      <c r="Q1545" s="75" t="str">
        <f>IF(AND(B1545='111'!$L$11,OR($N1545=$Q$7,$O1545=$Q$7)),"x","")</f>
        <v/>
      </c>
      <c r="R1545" s="75" t="str">
        <f>IF(AND($N1545=$Q$7,$B1545&lt;'111'!$L$11),"x","")</f>
        <v/>
      </c>
      <c r="S1545" s="75" t="str">
        <f>IF(AND($O1545=$Q$7,$B1545&lt;'111'!$L$11),"x","")</f>
        <v/>
      </c>
      <c r="T1545" s="75" t="str">
        <f>IF(ISERROR(FIND('112'!$M$9,G1545,1)),"",IF((AND(FIND('112'!$M$9,G1545,1)&gt;=1,B1545='112'!$K$9,OR($N1545='112'!$I$6,$O1545='112'!$I$6))),"x",""))</f>
        <v/>
      </c>
      <c r="U1545" s="75" t="str">
        <f>IF(ISERROR(FIND('112'!$M$9,G1545,1)),"",IF((AND(LEFT(G1545,2)=LEFT('112'!$M$9,2),B1545&lt;'112'!$K$9,$N1545='112'!$I$6)),"x",""))</f>
        <v/>
      </c>
      <c r="V1545" s="75" t="str">
        <f>IF(ISERROR(FIND('112'!$M$9,G1545,1)),"",IF((AND(RIGHT(G1545,2)=RIGHT('112'!$M$9,2),B1545&lt;'112'!$K$9,$O1545='112'!$I$6)),"x",""))</f>
        <v/>
      </c>
      <c r="W1545" s="75" t="str">
        <f>IF(AND('341-CT'!$H$9=H1545,OR(LEFT(N1545,3)=$W$7,LEFT(O1545,3)=$W$7)),"x","")</f>
        <v/>
      </c>
      <c r="X1545" s="75" t="str">
        <f>IF(OR(TH!N1545=TH!$X$7,O1545=TH!$X$7),"x","")</f>
        <v/>
      </c>
      <c r="Y1545" s="75" t="str">
        <f>IF(AND(OR(N1545="131",O1545="131"),H1545='131-CT'!$H$9),"x","")</f>
        <v/>
      </c>
      <c r="Z1545" s="75"/>
      <c r="AA1545" s="75" t="str">
        <f>IF(AND(MONTH(E1545)='IN-NX'!$J$5,'IN-NX'!$D$7=D1545),"x","")</f>
        <v/>
      </c>
      <c r="AB1545" s="75" t="str">
        <f>IF(AND(OR(LEFT(TH!N1545,2)="15",LEFT(TH!O1545,2)="15"),LEFT(TH!O1545,3)&lt;&gt;"111",'152-CT'!$J$8=TH!F1545),"x","")</f>
        <v/>
      </c>
      <c r="AC1545" s="75" t="str">
        <f>IF(AND(OR(LEFT(TH!N1545,2)="15",LEFT(TH!O1545,2)="15"),TK!$E$7=TH!F1545),"x","")</f>
        <v/>
      </c>
      <c r="AD1545" s="75" t="str">
        <f>IF(AND(N1545="1521",MONTH(C1545)='BK-NL'!$M$11),"x","")</f>
        <v/>
      </c>
    </row>
    <row r="1546" spans="1:30" ht="16.5" customHeight="1">
      <c r="A1546" s="309" t="str">
        <f>IF(B1546&lt;&gt;"",IF(AND(B1546='IN-TC'!$S$4,OR(TH!N1546="1111",TH!O1546="1111")),TH!D1546,""),"")</f>
        <v/>
      </c>
      <c r="B1546" s="1130">
        <f t="shared" si="374"/>
        <v>6</v>
      </c>
      <c r="C1546" s="929">
        <f t="shared" si="375"/>
        <v>42887</v>
      </c>
      <c r="D1546" s="929" t="s">
        <v>2951</v>
      </c>
      <c r="E1546" s="929">
        <v>42887</v>
      </c>
      <c r="F1546" s="296" t="s">
        <v>336</v>
      </c>
      <c r="G1546" s="931"/>
      <c r="H1546" s="735" t="s">
        <v>424</v>
      </c>
      <c r="I1546" s="371">
        <v>420</v>
      </c>
      <c r="J1546" s="377">
        <v>15836.734761904761</v>
      </c>
      <c r="K1546" s="371"/>
      <c r="L1546" s="377"/>
      <c r="M1546" s="933">
        <f t="shared" si="376"/>
        <v>6651429</v>
      </c>
      <c r="N1546" s="934" t="s">
        <v>272</v>
      </c>
      <c r="O1546" s="934" t="s">
        <v>266</v>
      </c>
      <c r="P1546" s="75" t="str">
        <f>IF(AND('331-CT'!$E$7=TH!H1546,OR(N1546="331",O1546="331")),"x","")</f>
        <v/>
      </c>
      <c r="Q1546" s="75" t="str">
        <f>IF(AND(B1546='111'!$L$11,OR($N1546=$Q$7,$O1546=$Q$7)),"x","")</f>
        <v/>
      </c>
      <c r="R1546" s="75" t="str">
        <f>IF(AND($N1546=$Q$7,$B1546&lt;'111'!$L$11),"x","")</f>
        <v/>
      </c>
      <c r="S1546" s="75" t="str">
        <f>IF(AND($O1546=$Q$7,$B1546&lt;'111'!$L$11),"x","")</f>
        <v/>
      </c>
      <c r="T1546" s="75" t="str">
        <f>IF(ISERROR(FIND('112'!$M$9,G1546,1)),"",IF((AND(FIND('112'!$M$9,G1546,1)&gt;=1,B1546='112'!$K$9,OR($N1546='112'!$I$6,$O1546='112'!$I$6))),"x",""))</f>
        <v/>
      </c>
      <c r="U1546" s="75" t="str">
        <f>IF(ISERROR(FIND('112'!$M$9,G1546,1)),"",IF((AND(LEFT(G1546,2)=LEFT('112'!$M$9,2),B1546&lt;'112'!$K$9,$N1546='112'!$I$6)),"x",""))</f>
        <v/>
      </c>
      <c r="V1546" s="75" t="str">
        <f>IF(ISERROR(FIND('112'!$M$9,G1546,1)),"",IF((AND(RIGHT(G1546,2)=RIGHT('112'!$M$9,2),B1546&lt;'112'!$K$9,$O1546='112'!$I$6)),"x",""))</f>
        <v/>
      </c>
      <c r="W1546" s="75" t="str">
        <f>IF(AND('341-CT'!$H$9=H1546,OR(LEFT(N1546,3)=$W$7,LEFT(O1546,3)=$W$7)),"x","")</f>
        <v/>
      </c>
      <c r="X1546" s="75" t="str">
        <f>IF(OR(TH!N1546=TH!$X$7,O1546=TH!$X$7),"x","")</f>
        <v/>
      </c>
      <c r="Y1546" s="75" t="str">
        <f>IF(AND(OR(N1546="131",O1546="131"),H1546='131-CT'!$H$9),"x","")</f>
        <v/>
      </c>
      <c r="Z1546" s="75"/>
      <c r="AA1546" s="75" t="str">
        <f>IF(AND(MONTH(E1546)='IN-NX'!$J$5,'IN-NX'!$D$7=D1546),"x","")</f>
        <v/>
      </c>
      <c r="AB1546" s="75" t="str">
        <f>IF(AND(OR(LEFT(TH!N1546,2)="15",LEFT(TH!O1546,2)="15"),LEFT(TH!O1546,3)&lt;&gt;"111",'152-CT'!$J$8=TH!F1546),"x","")</f>
        <v/>
      </c>
      <c r="AC1546" s="75" t="str">
        <f>IF(AND(OR(LEFT(TH!N1546,2)="15",LEFT(TH!O1546,2)="15"),TK!$E$7=TH!F1546),"x","")</f>
        <v>x</v>
      </c>
      <c r="AD1546" s="75" t="str">
        <f>IF(AND(N1546="1521",MONTH(C1546)='BK-NL'!$M$11),"x","")</f>
        <v/>
      </c>
    </row>
    <row r="1547" spans="1:30" ht="16.5" customHeight="1">
      <c r="A1547" s="309" t="str">
        <f>IF(B1547&lt;&gt;"",IF(AND(B1547='IN-TC'!$S$4,OR(TH!N1547="1111",TH!O1547="1111")),TH!D1547,""),"")</f>
        <v/>
      </c>
      <c r="B1547" s="1130">
        <f t="shared" si="374"/>
        <v>6</v>
      </c>
      <c r="C1547" s="929">
        <f t="shared" si="375"/>
        <v>42887</v>
      </c>
      <c r="D1547" s="929" t="s">
        <v>2951</v>
      </c>
      <c r="E1547" s="929">
        <v>42887</v>
      </c>
      <c r="F1547" s="1082" t="s">
        <v>804</v>
      </c>
      <c r="G1547" s="931"/>
      <c r="H1547" s="735" t="s">
        <v>424</v>
      </c>
      <c r="I1547" s="371">
        <v>40</v>
      </c>
      <c r="J1547" s="377">
        <v>53000</v>
      </c>
      <c r="K1547" s="371"/>
      <c r="L1547" s="377"/>
      <c r="M1547" s="933">
        <f t="shared" si="376"/>
        <v>2120000</v>
      </c>
      <c r="N1547" s="934" t="s">
        <v>272</v>
      </c>
      <c r="O1547" s="934" t="s">
        <v>266</v>
      </c>
      <c r="P1547" s="75" t="str">
        <f>IF(AND('331-CT'!$E$7=TH!H1547,OR(N1547="331",O1547="331")),"x","")</f>
        <v/>
      </c>
      <c r="Q1547" s="75" t="str">
        <f>IF(AND(B1547='111'!$L$11,OR($N1547=$Q$7,$O1547=$Q$7)),"x","")</f>
        <v/>
      </c>
      <c r="R1547" s="75" t="str">
        <f>IF(AND($N1547=$Q$7,$B1547&lt;'111'!$L$11),"x","")</f>
        <v/>
      </c>
      <c r="S1547" s="75" t="str">
        <f>IF(AND($O1547=$Q$7,$B1547&lt;'111'!$L$11),"x","")</f>
        <v/>
      </c>
      <c r="T1547" s="75" t="str">
        <f>IF(ISERROR(FIND('112'!$M$9,G1547,1)),"",IF((AND(FIND('112'!$M$9,G1547,1)&gt;=1,B1547='112'!$K$9,OR($N1547='112'!$I$6,$O1547='112'!$I$6))),"x",""))</f>
        <v/>
      </c>
      <c r="U1547" s="75" t="str">
        <f>IF(ISERROR(FIND('112'!$M$9,G1547,1)),"",IF((AND(LEFT(G1547,2)=LEFT('112'!$M$9,2),B1547&lt;'112'!$K$9,$N1547='112'!$I$6)),"x",""))</f>
        <v/>
      </c>
      <c r="V1547" s="75" t="str">
        <f>IF(ISERROR(FIND('112'!$M$9,G1547,1)),"",IF((AND(RIGHT(G1547,2)=RIGHT('112'!$M$9,2),B1547&lt;'112'!$K$9,$O1547='112'!$I$6)),"x",""))</f>
        <v/>
      </c>
      <c r="W1547" s="75" t="str">
        <f>IF(AND('341-CT'!$H$9=H1547,OR(LEFT(N1547,3)=$W$7,LEFT(O1547,3)=$W$7)),"x","")</f>
        <v/>
      </c>
      <c r="X1547" s="75" t="str">
        <f>IF(OR(TH!N1547=TH!$X$7,O1547=TH!$X$7),"x","")</f>
        <v/>
      </c>
      <c r="Y1547" s="75" t="str">
        <f>IF(AND(OR(N1547="131",O1547="131"),H1547='131-CT'!$H$9),"x","")</f>
        <v/>
      </c>
      <c r="Z1547" s="75"/>
      <c r="AA1547" s="75" t="str">
        <f>IF(AND(MONTH(E1547)='IN-NX'!$J$5,'IN-NX'!$D$7=D1547),"x","")</f>
        <v/>
      </c>
      <c r="AB1547" s="75" t="str">
        <f>IF(AND(OR(LEFT(TH!N1547,2)="15",LEFT(TH!O1547,2)="15"),LEFT(TH!O1547,3)&lt;&gt;"111",'152-CT'!$J$8=TH!F1547),"x","")</f>
        <v/>
      </c>
      <c r="AC1547" s="75" t="str">
        <f>IF(AND(OR(LEFT(TH!N1547,2)="15",LEFT(TH!O1547,2)="15"),TK!$E$7=TH!F1547),"x","")</f>
        <v/>
      </c>
      <c r="AD1547" s="75" t="str">
        <f>IF(AND(N1547="1521",MONTH(C1547)='BK-NL'!$M$11),"x","")</f>
        <v/>
      </c>
    </row>
    <row r="1548" spans="1:30" ht="16.5" customHeight="1">
      <c r="A1548" s="309" t="str">
        <f>IF(B1548&lt;&gt;"",IF(AND(B1548='IN-TC'!$S$4,OR(TH!N1548="1111",TH!O1548="1111")),TH!D1548,""),"")</f>
        <v/>
      </c>
      <c r="B1548" s="1130">
        <f t="shared" si="374"/>
        <v>6</v>
      </c>
      <c r="C1548" s="929">
        <f t="shared" si="375"/>
        <v>42887</v>
      </c>
      <c r="D1548" s="929" t="s">
        <v>2951</v>
      </c>
      <c r="E1548" s="929">
        <v>42887</v>
      </c>
      <c r="F1548" s="1082" t="s">
        <v>341</v>
      </c>
      <c r="G1548" s="931"/>
      <c r="H1548" s="735" t="s">
        <v>424</v>
      </c>
      <c r="I1548" s="371">
        <v>600</v>
      </c>
      <c r="J1548" s="377">
        <v>3200</v>
      </c>
      <c r="K1548" s="371"/>
      <c r="L1548" s="377"/>
      <c r="M1548" s="933">
        <f t="shared" si="376"/>
        <v>1920000</v>
      </c>
      <c r="N1548" s="934" t="s">
        <v>272</v>
      </c>
      <c r="O1548" s="934" t="s">
        <v>266</v>
      </c>
      <c r="P1548" s="75" t="str">
        <f>IF(AND('331-CT'!$E$7=TH!H1548,OR(N1548="331",O1548="331")),"x","")</f>
        <v/>
      </c>
      <c r="Q1548" s="75" t="str">
        <f>IF(AND(B1548='111'!$L$11,OR($N1548=$Q$7,$O1548=$Q$7)),"x","")</f>
        <v/>
      </c>
      <c r="R1548" s="75" t="str">
        <f>IF(AND($N1548=$Q$7,$B1548&lt;'111'!$L$11),"x","")</f>
        <v/>
      </c>
      <c r="S1548" s="75" t="str">
        <f>IF(AND($O1548=$Q$7,$B1548&lt;'111'!$L$11),"x","")</f>
        <v/>
      </c>
      <c r="T1548" s="75" t="str">
        <f>IF(ISERROR(FIND('112'!$M$9,G1548,1)),"",IF((AND(FIND('112'!$M$9,G1548,1)&gt;=1,B1548='112'!$K$9,OR($N1548='112'!$I$6,$O1548='112'!$I$6))),"x",""))</f>
        <v/>
      </c>
      <c r="U1548" s="75" t="str">
        <f>IF(ISERROR(FIND('112'!$M$9,G1548,1)),"",IF((AND(LEFT(G1548,2)=LEFT('112'!$M$9,2),B1548&lt;'112'!$K$9,$N1548='112'!$I$6)),"x",""))</f>
        <v/>
      </c>
      <c r="V1548" s="75" t="str">
        <f>IF(ISERROR(FIND('112'!$M$9,G1548,1)),"",IF((AND(RIGHT(G1548,2)=RIGHT('112'!$M$9,2),B1548&lt;'112'!$K$9,$O1548='112'!$I$6)),"x",""))</f>
        <v/>
      </c>
      <c r="W1548" s="75" t="str">
        <f>IF(AND('341-CT'!$H$9=H1548,OR(LEFT(N1548,3)=$W$7,LEFT(O1548,3)=$W$7)),"x","")</f>
        <v/>
      </c>
      <c r="X1548" s="75" t="str">
        <f>IF(OR(TH!N1548=TH!$X$7,O1548=TH!$X$7),"x","")</f>
        <v/>
      </c>
      <c r="Y1548" s="75" t="str">
        <f>IF(AND(OR(N1548="131",O1548="131"),H1548='131-CT'!$H$9),"x","")</f>
        <v/>
      </c>
      <c r="Z1548" s="75"/>
      <c r="AA1548" s="75" t="str">
        <f>IF(AND(MONTH(E1548)='IN-NX'!$J$5,'IN-NX'!$D$7=D1548),"x","")</f>
        <v/>
      </c>
      <c r="AB1548" s="75" t="str">
        <f>IF(AND(OR(LEFT(TH!N1548,2)="15",LEFT(TH!O1548,2)="15"),LEFT(TH!O1548,3)&lt;&gt;"111",'152-CT'!$J$8=TH!F1548),"x","")</f>
        <v/>
      </c>
      <c r="AC1548" s="75" t="str">
        <f>IF(AND(OR(LEFT(TH!N1548,2)="15",LEFT(TH!O1548,2)="15"),TK!$E$7=TH!F1548),"x","")</f>
        <v/>
      </c>
      <c r="AD1548" s="75" t="str">
        <f>IF(AND(N1548="1521",MONTH(C1548)='BK-NL'!$M$11),"x","")</f>
        <v/>
      </c>
    </row>
    <row r="1549" spans="1:30" ht="16.5" customHeight="1">
      <c r="A1549" s="309" t="str">
        <f>IF(B1549&lt;&gt;"",IF(AND(B1549='IN-TC'!$S$4,OR(TH!N1549="1111",TH!O1549="1111")),TH!D1549,""),"")</f>
        <v/>
      </c>
      <c r="B1549" s="1130">
        <f t="shared" si="374"/>
        <v>6</v>
      </c>
      <c r="C1549" s="929">
        <f t="shared" si="375"/>
        <v>42887</v>
      </c>
      <c r="D1549" s="929" t="s">
        <v>2951</v>
      </c>
      <c r="E1549" s="929">
        <v>42887</v>
      </c>
      <c r="F1549" s="1082" t="s">
        <v>1257</v>
      </c>
      <c r="G1549" s="931"/>
      <c r="H1549" s="735" t="s">
        <v>424</v>
      </c>
      <c r="I1549" s="371">
        <v>2700</v>
      </c>
      <c r="J1549" s="377">
        <v>14728</v>
      </c>
      <c r="K1549" s="371"/>
      <c r="L1549" s="377"/>
      <c r="M1549" s="933">
        <f t="shared" si="376"/>
        <v>39765600</v>
      </c>
      <c r="N1549" s="934" t="s">
        <v>272</v>
      </c>
      <c r="O1549" s="934" t="s">
        <v>266</v>
      </c>
      <c r="P1549" s="75" t="str">
        <f>IF(AND('331-CT'!$E$7=TH!H1549,OR(N1549="331",O1549="331")),"x","")</f>
        <v/>
      </c>
      <c r="Q1549" s="75" t="str">
        <f>IF(AND(B1549='111'!$L$11,OR($N1549=$Q$7,$O1549=$Q$7)),"x","")</f>
        <v/>
      </c>
      <c r="R1549" s="75" t="str">
        <f>IF(AND($N1549=$Q$7,$B1549&lt;'111'!$L$11),"x","")</f>
        <v/>
      </c>
      <c r="S1549" s="75" t="str">
        <f>IF(AND($O1549=$Q$7,$B1549&lt;'111'!$L$11),"x","")</f>
        <v/>
      </c>
      <c r="T1549" s="75" t="str">
        <f>IF(ISERROR(FIND('112'!$M$9,G1549,1)),"",IF((AND(FIND('112'!$M$9,G1549,1)&gt;=1,B1549='112'!$K$9,OR($N1549='112'!$I$6,$O1549='112'!$I$6))),"x",""))</f>
        <v/>
      </c>
      <c r="U1549" s="75" t="str">
        <f>IF(ISERROR(FIND('112'!$M$9,G1549,1)),"",IF((AND(LEFT(G1549,2)=LEFT('112'!$M$9,2),B1549&lt;'112'!$K$9,$N1549='112'!$I$6)),"x",""))</f>
        <v/>
      </c>
      <c r="V1549" s="75" t="str">
        <f>IF(ISERROR(FIND('112'!$M$9,G1549,1)),"",IF((AND(RIGHT(G1549,2)=RIGHT('112'!$M$9,2),B1549&lt;'112'!$K$9,$O1549='112'!$I$6)),"x",""))</f>
        <v/>
      </c>
      <c r="W1549" s="75" t="str">
        <f>IF(AND('341-CT'!$H$9=H1549,OR(LEFT(N1549,3)=$W$7,LEFT(O1549,3)=$W$7)),"x","")</f>
        <v/>
      </c>
      <c r="X1549" s="75" t="str">
        <f>IF(OR(TH!N1549=TH!$X$7,O1549=TH!$X$7),"x","")</f>
        <v/>
      </c>
      <c r="Y1549" s="75" t="str">
        <f>IF(AND(OR(N1549="131",O1549="131"),H1549='131-CT'!$H$9),"x","")</f>
        <v/>
      </c>
      <c r="Z1549" s="75"/>
      <c r="AA1549" s="75" t="str">
        <f>IF(AND(MONTH(E1549)='IN-NX'!$J$5,'IN-NX'!$D$7=D1549),"x","")</f>
        <v/>
      </c>
      <c r="AB1549" s="75" t="str">
        <f>IF(AND(OR(LEFT(TH!N1549,2)="15",LEFT(TH!O1549,2)="15"),LEFT(TH!O1549,3)&lt;&gt;"111",'152-CT'!$J$8=TH!F1549),"x","")</f>
        <v/>
      </c>
      <c r="AC1549" s="75" t="str">
        <f>IF(AND(OR(LEFT(TH!N1549,2)="15",LEFT(TH!O1549,2)="15"),TK!$E$7=TH!F1549),"x","")</f>
        <v/>
      </c>
      <c r="AD1549" s="75" t="str">
        <f>IF(AND(N1549="1521",MONTH(C1549)='BK-NL'!$M$11),"x","")</f>
        <v/>
      </c>
    </row>
    <row r="1550" spans="1:30" ht="16.5" customHeight="1">
      <c r="A1550" s="309" t="str">
        <f>IF(B1550&lt;&gt;"",IF(AND(B1550='IN-TC'!$S$4,OR(TH!N1550="1111",TH!O1550="1111")),TH!D1550,""),"")</f>
        <v/>
      </c>
      <c r="B1550" s="1130">
        <f t="shared" ref="B1550:B1553" si="377">IF(C1550&lt;&gt;"",MONTH(C1550),"")</f>
        <v>6</v>
      </c>
      <c r="C1550" s="929">
        <f t="shared" ref="C1550:C1553" si="378">E1550</f>
        <v>42887</v>
      </c>
      <c r="D1550" s="929" t="s">
        <v>2951</v>
      </c>
      <c r="E1550" s="929">
        <v>42887</v>
      </c>
      <c r="F1550" s="1082" t="s">
        <v>346</v>
      </c>
      <c r="G1550" s="931"/>
      <c r="H1550" s="735" t="s">
        <v>424</v>
      </c>
      <c r="I1550" s="371">
        <v>200</v>
      </c>
      <c r="J1550" s="377">
        <v>8500</v>
      </c>
      <c r="K1550" s="371"/>
      <c r="L1550" s="377"/>
      <c r="M1550" s="933">
        <f t="shared" ref="M1550:M1553" si="379">ROUND(I1550*J1550,0)</f>
        <v>1700000</v>
      </c>
      <c r="N1550" s="934" t="s">
        <v>272</v>
      </c>
      <c r="O1550" s="934" t="s">
        <v>266</v>
      </c>
      <c r="P1550" s="75" t="str">
        <f>IF(AND('331-CT'!$E$7=TH!H1550,OR(N1550="331",O1550="331")),"x","")</f>
        <v/>
      </c>
      <c r="Q1550" s="75" t="str">
        <f>IF(AND(B1550='111'!$L$11,OR($N1550=$Q$7,$O1550=$Q$7)),"x","")</f>
        <v/>
      </c>
      <c r="R1550" s="75" t="str">
        <f>IF(AND($N1550=$Q$7,$B1550&lt;'111'!$L$11),"x","")</f>
        <v/>
      </c>
      <c r="S1550" s="75" t="str">
        <f>IF(AND($O1550=$Q$7,$B1550&lt;'111'!$L$11),"x","")</f>
        <v/>
      </c>
      <c r="T1550" s="75" t="str">
        <f>IF(ISERROR(FIND('112'!$M$9,G1550,1)),"",IF((AND(FIND('112'!$M$9,G1550,1)&gt;=1,B1550='112'!$K$9,OR($N1550='112'!$I$6,$O1550='112'!$I$6))),"x",""))</f>
        <v/>
      </c>
      <c r="U1550" s="75" t="str">
        <f>IF(ISERROR(FIND('112'!$M$9,G1550,1)),"",IF((AND(LEFT(G1550,2)=LEFT('112'!$M$9,2),B1550&lt;'112'!$K$9,$N1550='112'!$I$6)),"x",""))</f>
        <v/>
      </c>
      <c r="V1550" s="75" t="str">
        <f>IF(ISERROR(FIND('112'!$M$9,G1550,1)),"",IF((AND(RIGHT(G1550,2)=RIGHT('112'!$M$9,2),B1550&lt;'112'!$K$9,$O1550='112'!$I$6)),"x",""))</f>
        <v/>
      </c>
      <c r="W1550" s="75" t="str">
        <f>IF(AND('341-CT'!$H$9=H1550,OR(LEFT(N1550,3)=$W$7,LEFT(O1550,3)=$W$7)),"x","")</f>
        <v/>
      </c>
      <c r="X1550" s="75" t="str">
        <f>IF(OR(TH!N1550=TH!$X$7,O1550=TH!$X$7),"x","")</f>
        <v/>
      </c>
      <c r="Y1550" s="75" t="str">
        <f>IF(AND(OR(N1550="131",O1550="131"),H1550='131-CT'!$H$9),"x","")</f>
        <v/>
      </c>
      <c r="Z1550" s="75"/>
      <c r="AA1550" s="75" t="str">
        <f>IF(AND(MONTH(E1550)='IN-NX'!$J$5,'IN-NX'!$D$7=D1550),"x","")</f>
        <v/>
      </c>
      <c r="AB1550" s="75" t="str">
        <f>IF(AND(OR(LEFT(TH!N1550,2)="15",LEFT(TH!O1550,2)="15"),LEFT(TH!O1550,3)&lt;&gt;"111",'152-CT'!$J$8=TH!F1550),"x","")</f>
        <v/>
      </c>
      <c r="AC1550" s="75" t="str">
        <f>IF(AND(OR(LEFT(TH!N1550,2)="15",LEFT(TH!O1550,2)="15"),TK!$E$7=TH!F1550),"x","")</f>
        <v/>
      </c>
      <c r="AD1550" s="75" t="str">
        <f>IF(AND(N1550="1521",MONTH(C1550)='BK-NL'!$M$11),"x","")</f>
        <v/>
      </c>
    </row>
    <row r="1551" spans="1:30" ht="16.5" customHeight="1">
      <c r="A1551" s="309" t="str">
        <f>IF(B1551&lt;&gt;"",IF(AND(B1551='IN-TC'!$S$4,OR(TH!N1551="1111",TH!O1551="1111")),TH!D1551,""),"")</f>
        <v/>
      </c>
      <c r="B1551" s="1130">
        <f t="shared" si="377"/>
        <v>6</v>
      </c>
      <c r="C1551" s="929">
        <f t="shared" si="378"/>
        <v>42887</v>
      </c>
      <c r="D1551" s="929" t="s">
        <v>2951</v>
      </c>
      <c r="E1551" s="929">
        <v>42887</v>
      </c>
      <c r="F1551" s="1082" t="s">
        <v>795</v>
      </c>
      <c r="G1551" s="931"/>
      <c r="H1551" s="735" t="s">
        <v>424</v>
      </c>
      <c r="I1551" s="371">
        <v>10105</v>
      </c>
      <c r="J1551" s="377">
        <v>8800</v>
      </c>
      <c r="K1551" s="371"/>
      <c r="L1551" s="377"/>
      <c r="M1551" s="933">
        <f t="shared" si="379"/>
        <v>88924000</v>
      </c>
      <c r="N1551" s="934" t="s">
        <v>272</v>
      </c>
      <c r="O1551" s="934" t="s">
        <v>266</v>
      </c>
      <c r="P1551" s="75" t="str">
        <f>IF(AND('331-CT'!$E$7=TH!H1551,OR(N1551="331",O1551="331")),"x","")</f>
        <v/>
      </c>
      <c r="Q1551" s="75" t="str">
        <f>IF(AND(B1551='111'!$L$11,OR($N1551=$Q$7,$O1551=$Q$7)),"x","")</f>
        <v/>
      </c>
      <c r="R1551" s="75" t="str">
        <f>IF(AND($N1551=$Q$7,$B1551&lt;'111'!$L$11),"x","")</f>
        <v/>
      </c>
      <c r="S1551" s="75" t="str">
        <f>IF(AND($O1551=$Q$7,$B1551&lt;'111'!$L$11),"x","")</f>
        <v/>
      </c>
      <c r="T1551" s="75" t="str">
        <f>IF(ISERROR(FIND('112'!$M$9,G1551,1)),"",IF((AND(FIND('112'!$M$9,G1551,1)&gt;=1,B1551='112'!$K$9,OR($N1551='112'!$I$6,$O1551='112'!$I$6))),"x",""))</f>
        <v/>
      </c>
      <c r="U1551" s="75" t="str">
        <f>IF(ISERROR(FIND('112'!$M$9,G1551,1)),"",IF((AND(LEFT(G1551,2)=LEFT('112'!$M$9,2),B1551&lt;'112'!$K$9,$N1551='112'!$I$6)),"x",""))</f>
        <v/>
      </c>
      <c r="V1551" s="75" t="str">
        <f>IF(ISERROR(FIND('112'!$M$9,G1551,1)),"",IF((AND(RIGHT(G1551,2)=RIGHT('112'!$M$9,2),B1551&lt;'112'!$K$9,$O1551='112'!$I$6)),"x",""))</f>
        <v/>
      </c>
      <c r="W1551" s="75" t="str">
        <f>IF(AND('341-CT'!$H$9=H1551,OR(LEFT(N1551,3)=$W$7,LEFT(O1551,3)=$W$7)),"x","")</f>
        <v/>
      </c>
      <c r="X1551" s="75" t="str">
        <f>IF(OR(TH!N1551=TH!$X$7,O1551=TH!$X$7),"x","")</f>
        <v/>
      </c>
      <c r="Y1551" s="75" t="str">
        <f>IF(AND(OR(N1551="131",O1551="131"),H1551='131-CT'!$H$9),"x","")</f>
        <v/>
      </c>
      <c r="Z1551" s="75"/>
      <c r="AA1551" s="75" t="str">
        <f>IF(AND(MONTH(E1551)='IN-NX'!$J$5,'IN-NX'!$D$7=D1551),"x","")</f>
        <v/>
      </c>
      <c r="AB1551" s="75" t="str">
        <f>IF(AND(OR(LEFT(TH!N1551,2)="15",LEFT(TH!O1551,2)="15"),LEFT(TH!O1551,3)&lt;&gt;"111",'152-CT'!$J$8=TH!F1551),"x","")</f>
        <v/>
      </c>
      <c r="AC1551" s="75" t="str">
        <f>IF(AND(OR(LEFT(TH!N1551,2)="15",LEFT(TH!O1551,2)="15"),TK!$E$7=TH!F1551),"x","")</f>
        <v/>
      </c>
      <c r="AD1551" s="75" t="str">
        <f>IF(AND(N1551="1521",MONTH(C1551)='BK-NL'!$M$11),"x","")</f>
        <v/>
      </c>
    </row>
    <row r="1552" spans="1:30" ht="16.5" customHeight="1">
      <c r="A1552" s="309" t="str">
        <f>IF(B1552&lt;&gt;"",IF(AND(B1552='IN-TC'!$S$4,OR(TH!N1552="1111",TH!O1552="1111")),TH!D1552,""),"")</f>
        <v/>
      </c>
      <c r="B1552" s="1130">
        <f t="shared" si="377"/>
        <v>6</v>
      </c>
      <c r="C1552" s="929">
        <f t="shared" si="378"/>
        <v>42888</v>
      </c>
      <c r="D1552" s="929" t="s">
        <v>2951</v>
      </c>
      <c r="E1552" s="929">
        <v>42888</v>
      </c>
      <c r="F1552" s="1082" t="s">
        <v>371</v>
      </c>
      <c r="G1552" s="931"/>
      <c r="H1552" s="735" t="s">
        <v>424</v>
      </c>
      <c r="I1552" s="371">
        <v>1341</v>
      </c>
      <c r="J1552" s="377">
        <v>13500</v>
      </c>
      <c r="K1552" s="371"/>
      <c r="L1552" s="377"/>
      <c r="M1552" s="933">
        <f t="shared" si="379"/>
        <v>18103500</v>
      </c>
      <c r="N1552" s="934" t="s">
        <v>272</v>
      </c>
      <c r="O1552" s="934" t="s">
        <v>266</v>
      </c>
      <c r="P1552" s="75" t="str">
        <f>IF(AND('331-CT'!$E$7=TH!H1552,OR(N1552="331",O1552="331")),"x","")</f>
        <v/>
      </c>
      <c r="Q1552" s="75" t="str">
        <f>IF(AND(B1552='111'!$L$11,OR($N1552=$Q$7,$O1552=$Q$7)),"x","")</f>
        <v/>
      </c>
      <c r="R1552" s="75" t="str">
        <f>IF(AND($N1552=$Q$7,$B1552&lt;'111'!$L$11),"x","")</f>
        <v/>
      </c>
      <c r="S1552" s="75" t="str">
        <f>IF(AND($O1552=$Q$7,$B1552&lt;'111'!$L$11),"x","")</f>
        <v/>
      </c>
      <c r="T1552" s="75" t="str">
        <f>IF(ISERROR(FIND('112'!$M$9,G1552,1)),"",IF((AND(FIND('112'!$M$9,G1552,1)&gt;=1,B1552='112'!$K$9,OR($N1552='112'!$I$6,$O1552='112'!$I$6))),"x",""))</f>
        <v/>
      </c>
      <c r="U1552" s="75" t="str">
        <f>IF(ISERROR(FIND('112'!$M$9,G1552,1)),"",IF((AND(LEFT(G1552,2)=LEFT('112'!$M$9,2),B1552&lt;'112'!$K$9,$N1552='112'!$I$6)),"x",""))</f>
        <v/>
      </c>
      <c r="V1552" s="75" t="str">
        <f>IF(ISERROR(FIND('112'!$M$9,G1552,1)),"",IF((AND(RIGHT(G1552,2)=RIGHT('112'!$M$9,2),B1552&lt;'112'!$K$9,$O1552='112'!$I$6)),"x",""))</f>
        <v/>
      </c>
      <c r="W1552" s="75" t="str">
        <f>IF(AND('341-CT'!$H$9=H1552,OR(LEFT(N1552,3)=$W$7,LEFT(O1552,3)=$W$7)),"x","")</f>
        <v/>
      </c>
      <c r="X1552" s="75" t="str">
        <f>IF(OR(TH!N1552=TH!$X$7,O1552=TH!$X$7),"x","")</f>
        <v/>
      </c>
      <c r="Y1552" s="75" t="str">
        <f>IF(AND(OR(N1552="131",O1552="131"),H1552='131-CT'!$H$9),"x","")</f>
        <v/>
      </c>
      <c r="Z1552" s="75"/>
      <c r="AA1552" s="75" t="str">
        <f>IF(AND(MONTH(E1552)='IN-NX'!$J$5,'IN-NX'!$D$7=D1552),"x","")</f>
        <v/>
      </c>
      <c r="AB1552" s="75" t="str">
        <f>IF(AND(OR(LEFT(TH!N1552,2)="15",LEFT(TH!O1552,2)="15"),LEFT(TH!O1552,3)&lt;&gt;"111",'152-CT'!$J$8=TH!F1552),"x","")</f>
        <v/>
      </c>
      <c r="AC1552" s="75" t="str">
        <f>IF(AND(OR(LEFT(TH!N1552,2)="15",LEFT(TH!O1552,2)="15"),TK!$E$7=TH!F1552),"x","")</f>
        <v/>
      </c>
      <c r="AD1552" s="75" t="str">
        <f>IF(AND(N1552="1521",MONTH(C1552)='BK-NL'!$M$11),"x","")</f>
        <v/>
      </c>
    </row>
    <row r="1553" spans="1:30" ht="16.5" customHeight="1">
      <c r="A1553" s="309" t="str">
        <f>IF(B1553&lt;&gt;"",IF(AND(B1553='IN-TC'!$S$4,OR(TH!N1553="1111",TH!O1553="1111")),TH!D1553,""),"")</f>
        <v/>
      </c>
      <c r="B1553" s="1130">
        <f t="shared" si="377"/>
        <v>6</v>
      </c>
      <c r="C1553" s="929">
        <f t="shared" si="378"/>
        <v>42911</v>
      </c>
      <c r="D1553" s="929" t="s">
        <v>2951</v>
      </c>
      <c r="E1553" s="929">
        <v>42911</v>
      </c>
      <c r="F1553" s="1082" t="s">
        <v>795</v>
      </c>
      <c r="G1553" s="931"/>
      <c r="H1553" s="735" t="s">
        <v>424</v>
      </c>
      <c r="I1553" s="371">
        <v>450</v>
      </c>
      <c r="J1553" s="377">
        <v>8800</v>
      </c>
      <c r="K1553" s="371"/>
      <c r="L1553" s="377"/>
      <c r="M1553" s="933">
        <f t="shared" si="379"/>
        <v>3960000</v>
      </c>
      <c r="N1553" s="934" t="s">
        <v>272</v>
      </c>
      <c r="O1553" s="934" t="s">
        <v>266</v>
      </c>
      <c r="P1553" s="75" t="str">
        <f>IF(AND('331-CT'!$E$7=TH!H1553,OR(N1553="331",O1553="331")),"x","")</f>
        <v/>
      </c>
      <c r="Q1553" s="75" t="str">
        <f>IF(AND(B1553='111'!$L$11,OR($N1553=$Q$7,$O1553=$Q$7)),"x","")</f>
        <v/>
      </c>
      <c r="R1553" s="75" t="str">
        <f>IF(AND($N1553=$Q$7,$B1553&lt;'111'!$L$11),"x","")</f>
        <v/>
      </c>
      <c r="S1553" s="75" t="str">
        <f>IF(AND($O1553=$Q$7,$B1553&lt;'111'!$L$11),"x","")</f>
        <v/>
      </c>
      <c r="T1553" s="75" t="str">
        <f>IF(ISERROR(FIND('112'!$M$9,G1553,1)),"",IF((AND(FIND('112'!$M$9,G1553,1)&gt;=1,B1553='112'!$K$9,OR($N1553='112'!$I$6,$O1553='112'!$I$6))),"x",""))</f>
        <v/>
      </c>
      <c r="U1553" s="75" t="str">
        <f>IF(ISERROR(FIND('112'!$M$9,G1553,1)),"",IF((AND(LEFT(G1553,2)=LEFT('112'!$M$9,2),B1553&lt;'112'!$K$9,$N1553='112'!$I$6)),"x",""))</f>
        <v/>
      </c>
      <c r="V1553" s="75" t="str">
        <f>IF(ISERROR(FIND('112'!$M$9,G1553,1)),"",IF((AND(RIGHT(G1553,2)=RIGHT('112'!$M$9,2),B1553&lt;'112'!$K$9,$O1553='112'!$I$6)),"x",""))</f>
        <v/>
      </c>
      <c r="W1553" s="75" t="str">
        <f>IF(AND('341-CT'!$H$9=H1553,OR(LEFT(N1553,3)=$W$7,LEFT(O1553,3)=$W$7)),"x","")</f>
        <v/>
      </c>
      <c r="X1553" s="75" t="str">
        <f>IF(OR(TH!N1553=TH!$X$7,O1553=TH!$X$7),"x","")</f>
        <v/>
      </c>
      <c r="Y1553" s="75" t="str">
        <f>IF(AND(OR(N1553="131",O1553="131"),H1553='131-CT'!$H$9),"x","")</f>
        <v/>
      </c>
      <c r="Z1553" s="75"/>
      <c r="AA1553" s="75" t="str">
        <f>IF(AND(MONTH(E1553)='IN-NX'!$J$5,'IN-NX'!$D$7=D1553),"x","")</f>
        <v/>
      </c>
      <c r="AB1553" s="75" t="str">
        <f>IF(AND(OR(LEFT(TH!N1553,2)="15",LEFT(TH!O1553,2)="15"),LEFT(TH!O1553,3)&lt;&gt;"111",'152-CT'!$J$8=TH!F1553),"x","")</f>
        <v/>
      </c>
      <c r="AC1553" s="75" t="str">
        <f>IF(AND(OR(LEFT(TH!N1553,2)="15",LEFT(TH!O1553,2)="15"),TK!$E$7=TH!F1553),"x","")</f>
        <v/>
      </c>
      <c r="AD1553" s="75" t="str">
        <f>IF(AND(N1553="1521",MONTH(C1553)='BK-NL'!$M$11),"x","")</f>
        <v/>
      </c>
    </row>
    <row r="1554" spans="1:30" ht="16.5" customHeight="1">
      <c r="A1554" s="309" t="str">
        <f>IF(B1554&lt;&gt;"",IF(AND(B1554='IN-TC'!$S$4,OR(TH!N1554="1111",TH!O1554="1111")),TH!D1554,""),"")</f>
        <v/>
      </c>
      <c r="B1554" s="1130">
        <f t="shared" ref="B1554" si="380">IF(C1554&lt;&gt;"",MONTH(C1554),"")</f>
        <v>6</v>
      </c>
      <c r="C1554" s="929">
        <f t="shared" ref="C1554" si="381">E1554</f>
        <v>42911</v>
      </c>
      <c r="D1554" s="929" t="s">
        <v>2951</v>
      </c>
      <c r="E1554" s="929">
        <v>42911</v>
      </c>
      <c r="F1554" s="1082" t="s">
        <v>745</v>
      </c>
      <c r="G1554" s="931"/>
      <c r="H1554" s="735" t="s">
        <v>424</v>
      </c>
      <c r="I1554" s="371">
        <v>321</v>
      </c>
      <c r="J1554" s="377">
        <v>14000</v>
      </c>
      <c r="K1554" s="371"/>
      <c r="L1554" s="377"/>
      <c r="M1554" s="933">
        <f t="shared" ref="M1554" si="382">ROUND(I1554*J1554,0)</f>
        <v>4494000</v>
      </c>
      <c r="N1554" s="934" t="s">
        <v>272</v>
      </c>
      <c r="O1554" s="934" t="s">
        <v>266</v>
      </c>
      <c r="P1554" s="75" t="str">
        <f>IF(AND('331-CT'!$E$7=TH!H1554,OR(N1554="331",O1554="331")),"x","")</f>
        <v/>
      </c>
      <c r="Q1554" s="75" t="str">
        <f>IF(AND(B1554='111'!$L$11,OR($N1554=$Q$7,$O1554=$Q$7)),"x","")</f>
        <v/>
      </c>
      <c r="R1554" s="75" t="str">
        <f>IF(AND($N1554=$Q$7,$B1554&lt;'111'!$L$11),"x","")</f>
        <v/>
      </c>
      <c r="S1554" s="75" t="str">
        <f>IF(AND($O1554=$Q$7,$B1554&lt;'111'!$L$11),"x","")</f>
        <v/>
      </c>
      <c r="T1554" s="75" t="str">
        <f>IF(ISERROR(FIND('112'!$M$9,G1554,1)),"",IF((AND(FIND('112'!$M$9,G1554,1)&gt;=1,B1554='112'!$K$9,OR($N1554='112'!$I$6,$O1554='112'!$I$6))),"x",""))</f>
        <v/>
      </c>
      <c r="U1554" s="75" t="str">
        <f>IF(ISERROR(FIND('112'!$M$9,G1554,1)),"",IF((AND(LEFT(G1554,2)=LEFT('112'!$M$9,2),B1554&lt;'112'!$K$9,$N1554='112'!$I$6)),"x",""))</f>
        <v/>
      </c>
      <c r="V1554" s="75" t="str">
        <f>IF(ISERROR(FIND('112'!$M$9,G1554,1)),"",IF((AND(RIGHT(G1554,2)=RIGHT('112'!$M$9,2),B1554&lt;'112'!$K$9,$O1554='112'!$I$6)),"x",""))</f>
        <v/>
      </c>
      <c r="W1554" s="75" t="str">
        <f>IF(AND('341-CT'!$H$9=H1554,OR(LEFT(N1554,3)=$W$7,LEFT(O1554,3)=$W$7)),"x","")</f>
        <v/>
      </c>
      <c r="X1554" s="75" t="str">
        <f>IF(OR(TH!N1554=TH!$X$7,O1554=TH!$X$7),"x","")</f>
        <v/>
      </c>
      <c r="Y1554" s="75" t="str">
        <f>IF(AND(OR(N1554="131",O1554="131"),H1554='131-CT'!$H$9),"x","")</f>
        <v/>
      </c>
      <c r="Z1554" s="75"/>
      <c r="AA1554" s="75" t="str">
        <f>IF(AND(MONTH(E1554)='IN-NX'!$J$5,'IN-NX'!$D$7=D1554),"x","")</f>
        <v/>
      </c>
      <c r="AB1554" s="75" t="str">
        <f>IF(AND(OR(LEFT(TH!N1554,2)="15",LEFT(TH!O1554,2)="15"),LEFT(TH!O1554,3)&lt;&gt;"111",'152-CT'!$J$8=TH!F1554),"x","")</f>
        <v/>
      </c>
      <c r="AC1554" s="75" t="str">
        <f>IF(AND(OR(LEFT(TH!N1554,2)="15",LEFT(TH!O1554,2)="15"),TK!$E$7=TH!F1554),"x","")</f>
        <v/>
      </c>
      <c r="AD1554" s="75" t="str">
        <f>IF(AND(N1554="1521",MONTH(C1554)='BK-NL'!$M$11),"x","")</f>
        <v/>
      </c>
    </row>
    <row r="1555" spans="1:30" ht="16.5" customHeight="1">
      <c r="A1555" s="309" t="str">
        <f>IF(B1555&lt;&gt;"",IF(AND(B1555='IN-TC'!$S$4,OR(TH!N1555="1111",TH!O1555="1111")),TH!D1555,""),"")</f>
        <v/>
      </c>
      <c r="B1555" s="1130">
        <f>IF(C1555&lt;&gt;"",MONTH(C1555),"")</f>
        <v>6</v>
      </c>
      <c r="C1555" s="929">
        <f>E1555</f>
        <v>42906</v>
      </c>
      <c r="D1555" s="929" t="s">
        <v>2951</v>
      </c>
      <c r="E1555" s="929">
        <v>42906</v>
      </c>
      <c r="F1555" s="1082" t="s">
        <v>564</v>
      </c>
      <c r="G1555" s="931"/>
      <c r="H1555" s="735" t="s">
        <v>424</v>
      </c>
      <c r="I1555" s="371">
        <v>900</v>
      </c>
      <c r="J1555" s="377">
        <v>19000</v>
      </c>
      <c r="K1555" s="371"/>
      <c r="L1555" s="377"/>
      <c r="M1555" s="933">
        <f>ROUND(I1555*J1555,0)</f>
        <v>17100000</v>
      </c>
      <c r="N1555" s="934" t="s">
        <v>272</v>
      </c>
      <c r="O1555" s="934" t="s">
        <v>266</v>
      </c>
      <c r="P1555" s="75" t="str">
        <f>IF(AND('331-CT'!$E$7=TH!H1555,OR(N1555="331",O1555="331")),"x","")</f>
        <v/>
      </c>
      <c r="Q1555" s="75" t="str">
        <f>IF(AND(B1555='111'!$L$11,OR($N1555=$Q$7,$O1555=$Q$7)),"x","")</f>
        <v/>
      </c>
      <c r="R1555" s="75" t="str">
        <f>IF(AND($N1555=$Q$7,$B1555&lt;'111'!$L$11),"x","")</f>
        <v/>
      </c>
      <c r="S1555" s="75" t="str">
        <f>IF(AND($O1555=$Q$7,$B1555&lt;'111'!$L$11),"x","")</f>
        <v/>
      </c>
      <c r="T1555" s="75" t="str">
        <f>IF(ISERROR(FIND('112'!$M$9,G1555,1)),"",IF((AND(FIND('112'!$M$9,G1555,1)&gt;=1,B1555='112'!$K$9,OR($N1555='112'!$I$6,$O1555='112'!$I$6))),"x",""))</f>
        <v/>
      </c>
      <c r="U1555" s="75" t="str">
        <f>IF(ISERROR(FIND('112'!$M$9,G1555,1)),"",IF((AND(LEFT(G1555,2)=LEFT('112'!$M$9,2),B1555&lt;'112'!$K$9,$N1555='112'!$I$6)),"x",""))</f>
        <v/>
      </c>
      <c r="V1555" s="75" t="str">
        <f>IF(ISERROR(FIND('112'!$M$9,G1555,1)),"",IF((AND(RIGHT(G1555,2)=RIGHT('112'!$M$9,2),B1555&lt;'112'!$K$9,$O1555='112'!$I$6)),"x",""))</f>
        <v/>
      </c>
      <c r="W1555" s="75" t="str">
        <f>IF(AND('341-CT'!$H$9=H1555,OR(LEFT(N1555,3)=$W$7,LEFT(O1555,3)=$W$7)),"x","")</f>
        <v/>
      </c>
      <c r="X1555" s="75" t="str">
        <f>IF(OR(TH!N1555=TH!$X$7,O1555=TH!$X$7),"x","")</f>
        <v/>
      </c>
      <c r="Y1555" s="75" t="str">
        <f>IF(AND(OR(N1555="131",O1555="131"),H1555='131-CT'!$H$9),"x","")</f>
        <v/>
      </c>
      <c r="Z1555" s="75"/>
      <c r="AA1555" s="75" t="str">
        <f>IF(AND(MONTH(E1555)='IN-NX'!$J$5,'IN-NX'!$D$7=D1555),"x","")</f>
        <v/>
      </c>
      <c r="AB1555" s="75" t="str">
        <f>IF(AND(OR(LEFT(TH!N1555,2)="15",LEFT(TH!O1555,2)="15"),LEFT(TH!O1555,3)&lt;&gt;"111",'152-CT'!$J$8=TH!F1555),"x","")</f>
        <v/>
      </c>
      <c r="AC1555" s="75" t="str">
        <f>IF(AND(OR(LEFT(TH!N1555,2)="15",LEFT(TH!O1555,2)="15"),TK!$E$7=TH!F1555),"x","")</f>
        <v/>
      </c>
      <c r="AD1555" s="75" t="str">
        <f>IF(AND(N1555="1521",MONTH(C1555)='BK-NL'!$M$11),"x","")</f>
        <v/>
      </c>
    </row>
    <row r="1556" spans="1:30" ht="16.5" customHeight="1">
      <c r="A1556" s="309" t="str">
        <f>IF(B1556&lt;&gt;"",IF(AND(B1556='IN-TC'!$S$4,OR(TH!N1556="1111",TH!O1556="1111")),TH!D1556,""),"")</f>
        <v/>
      </c>
      <c r="B1556" s="1130">
        <f>IF(C1556&lt;&gt;"",MONTH(C1556),"")</f>
        <v>6</v>
      </c>
      <c r="C1556" s="929">
        <f>E1556</f>
        <v>42906</v>
      </c>
      <c r="D1556" s="929" t="s">
        <v>2951</v>
      </c>
      <c r="E1556" s="929">
        <v>42906</v>
      </c>
      <c r="F1556" s="296" t="s">
        <v>381</v>
      </c>
      <c r="G1556" s="931"/>
      <c r="H1556" s="735" t="s">
        <v>424</v>
      </c>
      <c r="I1556" s="371">
        <v>222</v>
      </c>
      <c r="J1556" s="377">
        <v>16500</v>
      </c>
      <c r="K1556" s="371"/>
      <c r="L1556" s="377"/>
      <c r="M1556" s="933">
        <f>ROUND(I1556*J1556,0)</f>
        <v>3663000</v>
      </c>
      <c r="N1556" s="934" t="s">
        <v>272</v>
      </c>
      <c r="O1556" s="934" t="s">
        <v>266</v>
      </c>
      <c r="P1556" s="75" t="str">
        <f>IF(AND('331-CT'!$E$7=TH!H1556,OR(N1556="331",O1556="331")),"x","")</f>
        <v/>
      </c>
      <c r="Q1556" s="75" t="str">
        <f>IF(AND(B1556='111'!$L$11,OR($N1556=$Q$7,$O1556=$Q$7)),"x","")</f>
        <v/>
      </c>
      <c r="R1556" s="75" t="str">
        <f>IF(AND($N1556=$Q$7,$B1556&lt;'111'!$L$11),"x","")</f>
        <v/>
      </c>
      <c r="S1556" s="75" t="str">
        <f>IF(AND($O1556=$Q$7,$B1556&lt;'111'!$L$11),"x","")</f>
        <v/>
      </c>
      <c r="T1556" s="75" t="str">
        <f>IF(ISERROR(FIND('112'!$M$9,G1556,1)),"",IF((AND(FIND('112'!$M$9,G1556,1)&gt;=1,B1556='112'!$K$9,OR($N1556='112'!$I$6,$O1556='112'!$I$6))),"x",""))</f>
        <v/>
      </c>
      <c r="U1556" s="75" t="str">
        <f>IF(ISERROR(FIND('112'!$M$9,G1556,1)),"",IF((AND(LEFT(G1556,2)=LEFT('112'!$M$9,2),B1556&lt;'112'!$K$9,$N1556='112'!$I$6)),"x",""))</f>
        <v/>
      </c>
      <c r="V1556" s="75" t="str">
        <f>IF(ISERROR(FIND('112'!$M$9,G1556,1)),"",IF((AND(RIGHT(G1556,2)=RIGHT('112'!$M$9,2),B1556&lt;'112'!$K$9,$O1556='112'!$I$6)),"x",""))</f>
        <v/>
      </c>
      <c r="W1556" s="75" t="str">
        <f>IF(AND('341-CT'!$H$9=H1556,OR(LEFT(N1556,3)=$W$7,LEFT(O1556,3)=$W$7)),"x","")</f>
        <v/>
      </c>
      <c r="X1556" s="75" t="str">
        <f>IF(OR(TH!N1556=TH!$X$7,O1556=TH!$X$7),"x","")</f>
        <v/>
      </c>
      <c r="Y1556" s="75" t="str">
        <f>IF(AND(OR(N1556="131",O1556="131"),H1556='131-CT'!$H$9),"x","")</f>
        <v/>
      </c>
      <c r="Z1556" s="75"/>
      <c r="AA1556" s="75" t="str">
        <f>IF(AND(MONTH(E1556)='IN-NX'!$J$5,'IN-NX'!$D$7=D1556),"x","")</f>
        <v/>
      </c>
      <c r="AB1556" s="75" t="str">
        <f>IF(AND(OR(LEFT(TH!N1556,2)="15",LEFT(TH!O1556,2)="15"),LEFT(TH!O1556,3)&lt;&gt;"111",'152-CT'!$J$8=TH!F1556),"x","")</f>
        <v/>
      </c>
      <c r="AC1556" s="75" t="str">
        <f>IF(AND(OR(LEFT(TH!N1556,2)="15",LEFT(TH!O1556,2)="15"),TK!$E$7=TH!F1556),"x","")</f>
        <v/>
      </c>
      <c r="AD1556" s="75" t="str">
        <f>IF(AND(N1556="1521",MONTH(C1556)='BK-NL'!$M$11),"x","")</f>
        <v/>
      </c>
    </row>
    <row r="1557" spans="1:30" ht="16.5" customHeight="1">
      <c r="A1557" s="309" t="str">
        <f>IF(B1557&lt;&gt;"",IF(AND(B1557='IN-TC'!$S$4,OR(TH!N1557="1111",TH!O1557="1111")),TH!D1557,""),"")</f>
        <v/>
      </c>
      <c r="B1557" s="1130">
        <f>IF(C1557&lt;&gt;"",MONTH(C1557),"")</f>
        <v>6</v>
      </c>
      <c r="C1557" s="929">
        <f>E1557</f>
        <v>42894</v>
      </c>
      <c r="D1557" s="929" t="s">
        <v>2951</v>
      </c>
      <c r="E1557" s="929">
        <v>42894</v>
      </c>
      <c r="F1557" s="296" t="s">
        <v>745</v>
      </c>
      <c r="G1557" s="931"/>
      <c r="H1557" s="735" t="s">
        <v>424</v>
      </c>
      <c r="I1557" s="371">
        <v>320</v>
      </c>
      <c r="J1557" s="377">
        <v>21850</v>
      </c>
      <c r="K1557" s="371"/>
      <c r="L1557" s="377"/>
      <c r="M1557" s="933">
        <f>ROUND(I1557*J1557,0)</f>
        <v>6992000</v>
      </c>
      <c r="N1557" s="934" t="s">
        <v>272</v>
      </c>
      <c r="O1557" s="934" t="s">
        <v>266</v>
      </c>
      <c r="P1557" s="75" t="str">
        <f>IF(AND('331-CT'!$E$7=TH!H1557,OR(N1557="331",O1557="331")),"x","")</f>
        <v/>
      </c>
      <c r="Q1557" s="75" t="str">
        <f>IF(AND(B1557='111'!$L$11,OR($N1557=$Q$7,$O1557=$Q$7)),"x","")</f>
        <v/>
      </c>
      <c r="R1557" s="75" t="str">
        <f>IF(AND($N1557=$Q$7,$B1557&lt;'111'!$L$11),"x","")</f>
        <v/>
      </c>
      <c r="S1557" s="75" t="str">
        <f>IF(AND($O1557=$Q$7,$B1557&lt;'111'!$L$11),"x","")</f>
        <v/>
      </c>
      <c r="T1557" s="75" t="str">
        <f>IF(ISERROR(FIND('112'!$M$9,G1557,1)),"",IF((AND(FIND('112'!$M$9,G1557,1)&gt;=1,B1557='112'!$K$9,OR($N1557='112'!$I$6,$O1557='112'!$I$6))),"x",""))</f>
        <v/>
      </c>
      <c r="U1557" s="75" t="str">
        <f>IF(ISERROR(FIND('112'!$M$9,G1557,1)),"",IF((AND(LEFT(G1557,2)=LEFT('112'!$M$9,2),B1557&lt;'112'!$K$9,$N1557='112'!$I$6)),"x",""))</f>
        <v/>
      </c>
      <c r="V1557" s="75" t="str">
        <f>IF(ISERROR(FIND('112'!$M$9,G1557,1)),"",IF((AND(RIGHT(G1557,2)=RIGHT('112'!$M$9,2),B1557&lt;'112'!$K$9,$O1557='112'!$I$6)),"x",""))</f>
        <v/>
      </c>
      <c r="W1557" s="75" t="str">
        <f>IF(AND('341-CT'!$H$9=H1557,OR(LEFT(N1557,3)=$W$7,LEFT(O1557,3)=$W$7)),"x","")</f>
        <v/>
      </c>
      <c r="X1557" s="75" t="str">
        <f>IF(OR(TH!N1557=TH!$X$7,O1557=TH!$X$7),"x","")</f>
        <v/>
      </c>
      <c r="Y1557" s="75" t="str">
        <f>IF(AND(OR(N1557="131",O1557="131"),H1557='131-CT'!$H$9),"x","")</f>
        <v/>
      </c>
      <c r="Z1557" s="75"/>
      <c r="AA1557" s="75" t="str">
        <f>IF(AND(MONTH(E1557)='IN-NX'!$J$5,'IN-NX'!$D$7=D1557),"x","")</f>
        <v/>
      </c>
      <c r="AB1557" s="75" t="str">
        <f>IF(AND(OR(LEFT(TH!N1557,2)="15",LEFT(TH!O1557,2)="15"),LEFT(TH!O1557,3)&lt;&gt;"111",'152-CT'!$J$8=TH!F1557),"x","")</f>
        <v/>
      </c>
      <c r="AC1557" s="75" t="str">
        <f>IF(AND(OR(LEFT(TH!N1557,2)="15",LEFT(TH!O1557,2)="15"),TK!$E$7=TH!F1557),"x","")</f>
        <v/>
      </c>
      <c r="AD1557" s="75" t="str">
        <f>IF(AND(N1557="1521",MONTH(C1557)='BK-NL'!$M$11),"x","")</f>
        <v/>
      </c>
    </row>
    <row r="1558" spans="1:30" ht="16.5" customHeight="1">
      <c r="A1558" s="309" t="str">
        <f>IF(B1558&lt;&gt;"",IF(AND(B1558='IN-TC'!$S$4,OR(TH!N1558="1111",TH!O1558="1111")),TH!D1558,""),"")</f>
        <v/>
      </c>
      <c r="B1558" s="1130">
        <f>IF(C1558&lt;&gt;"",MONTH(C1558),"")</f>
        <v>6</v>
      </c>
      <c r="C1558" s="929">
        <f>E1558</f>
        <v>42911</v>
      </c>
      <c r="D1558" s="929" t="s">
        <v>2951</v>
      </c>
      <c r="E1558" s="929">
        <v>42911</v>
      </c>
      <c r="F1558" s="1082" t="s">
        <v>368</v>
      </c>
      <c r="G1558" s="931"/>
      <c r="H1558" s="735" t="s">
        <v>424</v>
      </c>
      <c r="I1558" s="371">
        <v>1419</v>
      </c>
      <c r="J1558" s="377">
        <v>6000</v>
      </c>
      <c r="K1558" s="371"/>
      <c r="L1558" s="377"/>
      <c r="M1558" s="933">
        <f>ROUND(I1558*J1558,0)</f>
        <v>8514000</v>
      </c>
      <c r="N1558" s="934" t="s">
        <v>272</v>
      </c>
      <c r="O1558" s="934" t="s">
        <v>266</v>
      </c>
      <c r="P1558" s="75" t="str">
        <f>IF(AND('331-CT'!$E$7=TH!H1558,OR(N1558="331",O1558="331")),"x","")</f>
        <v/>
      </c>
      <c r="Q1558" s="75" t="str">
        <f>IF(AND(B1558='111'!$L$11,OR($N1558=$Q$7,$O1558=$Q$7)),"x","")</f>
        <v/>
      </c>
      <c r="R1558" s="75" t="str">
        <f>IF(AND($N1558=$Q$7,$B1558&lt;'111'!$L$11),"x","")</f>
        <v/>
      </c>
      <c r="S1558" s="75" t="str">
        <f>IF(AND($O1558=$Q$7,$B1558&lt;'111'!$L$11),"x","")</f>
        <v/>
      </c>
      <c r="T1558" s="75" t="str">
        <f>IF(ISERROR(FIND('112'!$M$9,G1558,1)),"",IF((AND(FIND('112'!$M$9,G1558,1)&gt;=1,B1558='112'!$K$9,OR($N1558='112'!$I$6,$O1558='112'!$I$6))),"x",""))</f>
        <v/>
      </c>
      <c r="U1558" s="75" t="str">
        <f>IF(ISERROR(FIND('112'!$M$9,G1558,1)),"",IF((AND(LEFT(G1558,2)=LEFT('112'!$M$9,2),B1558&lt;'112'!$K$9,$N1558='112'!$I$6)),"x",""))</f>
        <v/>
      </c>
      <c r="V1558" s="75" t="str">
        <f>IF(ISERROR(FIND('112'!$M$9,G1558,1)),"",IF((AND(RIGHT(G1558,2)=RIGHT('112'!$M$9,2),B1558&lt;'112'!$K$9,$O1558='112'!$I$6)),"x",""))</f>
        <v/>
      </c>
      <c r="W1558" s="75" t="str">
        <f>IF(AND('341-CT'!$H$9=H1558,OR(LEFT(N1558,3)=$W$7,LEFT(O1558,3)=$W$7)),"x","")</f>
        <v/>
      </c>
      <c r="X1558" s="75" t="str">
        <f>IF(OR(TH!N1558=TH!$X$7,O1558=TH!$X$7),"x","")</f>
        <v/>
      </c>
      <c r="Y1558" s="75" t="str">
        <f>IF(AND(OR(N1558="131",O1558="131"),H1558='131-CT'!$H$9),"x","")</f>
        <v/>
      </c>
      <c r="Z1558" s="75"/>
      <c r="AA1558" s="75" t="str">
        <f>IF(AND(MONTH(E1558)='IN-NX'!$J$5,'IN-NX'!$D$7=D1558),"x","")</f>
        <v/>
      </c>
      <c r="AB1558" s="75" t="str">
        <f>IF(AND(OR(LEFT(TH!N1558,2)="15",LEFT(TH!O1558,2)="15"),LEFT(TH!O1558,3)&lt;&gt;"111",'152-CT'!$J$8=TH!F1558),"x","")</f>
        <v/>
      </c>
      <c r="AC1558" s="75" t="str">
        <f>IF(AND(OR(LEFT(TH!N1558,2)="15",LEFT(TH!O1558,2)="15"),TK!$E$7=TH!F1558),"x","")</f>
        <v/>
      </c>
      <c r="AD1558" s="75" t="str">
        <f>IF(AND(N1558="1521",MONTH(C1558)='BK-NL'!$M$11),"x","")</f>
        <v/>
      </c>
    </row>
    <row r="1559" spans="1:30" ht="16.5" customHeight="1">
      <c r="A1559" s="309" t="str">
        <f>IF(B1559&lt;&gt;"",IF(AND(B1559='IN-TC'!$S$4,OR(TH!N1559="1111",TH!O1559="1111")),TH!D1559,""),"")</f>
        <v/>
      </c>
      <c r="B1559" s="1130">
        <f t="shared" ref="B1559:B1571" si="383">IF(C1559&lt;&gt;"",MONTH(C1559),"")</f>
        <v>6</v>
      </c>
      <c r="C1559" s="292">
        <f t="shared" ref="C1559:C1571" si="384">E1559</f>
        <v>42887</v>
      </c>
      <c r="D1559" s="292" t="s">
        <v>2957</v>
      </c>
      <c r="E1559" s="292">
        <v>42887</v>
      </c>
      <c r="F1559" s="429" t="s">
        <v>771</v>
      </c>
      <c r="G1559" s="925"/>
      <c r="H1559" s="429" t="s">
        <v>1882</v>
      </c>
      <c r="I1559" s="373">
        <v>29860</v>
      </c>
      <c r="J1559" s="379">
        <v>17500</v>
      </c>
      <c r="K1559" s="373"/>
      <c r="L1559" s="379"/>
      <c r="M1559" s="927">
        <f t="shared" ref="M1559:M1571" si="385">ROUND(I1559*J1559,0)</f>
        <v>522550000</v>
      </c>
      <c r="N1559" s="295" t="s">
        <v>264</v>
      </c>
      <c r="O1559" s="295" t="s">
        <v>8</v>
      </c>
      <c r="P1559" s="75" t="str">
        <f>IF(AND('331-CT'!$E$7=TH!H1559,OR(N1559="331",O1559="331")),"x","")</f>
        <v/>
      </c>
      <c r="Q1559" s="75" t="str">
        <f>IF(AND(B1559='111'!$L$11,OR($N1559=$Q$7,$O1559=$Q$7)),"x","")</f>
        <v/>
      </c>
      <c r="R1559" s="75" t="str">
        <f>IF(AND($N1559=$Q$7,$B1559&lt;'111'!$L$11),"x","")</f>
        <v/>
      </c>
      <c r="S1559" s="75" t="str">
        <f>IF(AND($O1559=$Q$7,$B1559&lt;'111'!$L$11),"x","")</f>
        <v/>
      </c>
      <c r="T1559" s="75" t="str">
        <f>IF(ISERROR(FIND('112'!$M$9,G1559,1)),"",IF((AND(FIND('112'!$M$9,G1559,1)&gt;=1,B1559='112'!$K$9,OR($N1559='112'!$I$6,$O1559='112'!$I$6))),"x",""))</f>
        <v/>
      </c>
      <c r="U1559" s="75" t="str">
        <f>IF(ISERROR(FIND('112'!$M$9,G1559,1)),"",IF((AND(LEFT(G1559,2)=LEFT('112'!$M$9,2),B1559&lt;'112'!$K$9,$N1559='112'!$I$6)),"x",""))</f>
        <v/>
      </c>
      <c r="V1559" s="75" t="str">
        <f>IF(ISERROR(FIND('112'!$M$9,G1559,1)),"",IF((AND(RIGHT(G1559,2)=RIGHT('112'!$M$9,2),B1559&lt;'112'!$K$9,$O1559='112'!$I$6)),"x",""))</f>
        <v/>
      </c>
      <c r="W1559" s="75" t="str">
        <f>IF(AND('341-CT'!$H$9=H1559,OR(LEFT(N1559,3)=$W$7,LEFT(O1559,3)=$W$7)),"x","")</f>
        <v/>
      </c>
      <c r="X1559" s="75" t="str">
        <f>IF(OR(TH!N1559=TH!$X$7,O1559=TH!$X$7),"x","")</f>
        <v/>
      </c>
      <c r="Y1559" s="75" t="str">
        <f>IF(AND(OR(N1559="131",O1559="131"),H1559='131-CT'!$H$9),"x","")</f>
        <v/>
      </c>
      <c r="Z1559" s="75"/>
      <c r="AA1559" s="75" t="str">
        <f>IF(AND(MONTH(E1559)='IN-NX'!$J$5,'IN-NX'!$D$7=D1559),"x","")</f>
        <v/>
      </c>
      <c r="AB1559" s="75" t="str">
        <f>IF(AND(OR(LEFT(TH!N1559,2)="15",LEFT(TH!O1559,2)="15"),LEFT(TH!O1559,3)&lt;&gt;"111",'152-CT'!$J$8=TH!F1559),"x","")</f>
        <v/>
      </c>
      <c r="AC1559" s="75" t="str">
        <f>IF(AND(OR(LEFT(TH!N1559,2)="15",LEFT(TH!O1559,2)="15"),TK!$E$7=TH!F1559),"x","")</f>
        <v/>
      </c>
      <c r="AD1559" s="75" t="str">
        <f>IF(AND(N1559="1521",MONTH(C1559)='BK-NL'!$M$11),"x","")</f>
        <v/>
      </c>
    </row>
    <row r="1560" spans="1:30" ht="16.5" customHeight="1">
      <c r="A1560" s="309" t="str">
        <f>IF(B1560&lt;&gt;"",IF(AND(B1560='IN-TC'!$S$4,OR(TH!N1560="1111",TH!O1560="1111")),TH!D1560,""),"")</f>
        <v/>
      </c>
      <c r="B1560" s="1130">
        <f t="shared" si="383"/>
        <v>6</v>
      </c>
      <c r="C1560" s="292">
        <f t="shared" si="384"/>
        <v>42887</v>
      </c>
      <c r="D1560" s="292" t="s">
        <v>2958</v>
      </c>
      <c r="E1560" s="292">
        <v>42887</v>
      </c>
      <c r="F1560" s="429" t="s">
        <v>771</v>
      </c>
      <c r="G1560" s="925"/>
      <c r="H1560" s="429" t="s">
        <v>1890</v>
      </c>
      <c r="I1560" s="373">
        <f>60000-I1559</f>
        <v>30140</v>
      </c>
      <c r="J1560" s="379">
        <v>17500</v>
      </c>
      <c r="K1560" s="373"/>
      <c r="L1560" s="379"/>
      <c r="M1560" s="927">
        <f t="shared" si="385"/>
        <v>527450000</v>
      </c>
      <c r="N1560" s="295" t="s">
        <v>264</v>
      </c>
      <c r="O1560" s="295" t="s">
        <v>8</v>
      </c>
      <c r="P1560" s="75" t="str">
        <f>IF(AND('331-CT'!$E$7=TH!H1560,OR(N1560="331",O1560="331")),"x","")</f>
        <v/>
      </c>
      <c r="Q1560" s="75" t="str">
        <f>IF(AND(B1560='111'!$L$11,OR($N1560=$Q$7,$O1560=$Q$7)),"x","")</f>
        <v/>
      </c>
      <c r="R1560" s="75" t="str">
        <f>IF(AND($N1560=$Q$7,$B1560&lt;'111'!$L$11),"x","")</f>
        <v/>
      </c>
      <c r="S1560" s="75" t="str">
        <f>IF(AND($O1560=$Q$7,$B1560&lt;'111'!$L$11),"x","")</f>
        <v/>
      </c>
      <c r="T1560" s="75" t="str">
        <f>IF(ISERROR(FIND('112'!$M$9,G1560,1)),"",IF((AND(FIND('112'!$M$9,G1560,1)&gt;=1,B1560='112'!$K$9,OR($N1560='112'!$I$6,$O1560='112'!$I$6))),"x",""))</f>
        <v/>
      </c>
      <c r="U1560" s="75" t="str">
        <f>IF(ISERROR(FIND('112'!$M$9,G1560,1)),"",IF((AND(LEFT(G1560,2)=LEFT('112'!$M$9,2),B1560&lt;'112'!$K$9,$N1560='112'!$I$6)),"x",""))</f>
        <v/>
      </c>
      <c r="V1560" s="75" t="str">
        <f>IF(ISERROR(FIND('112'!$M$9,G1560,1)),"",IF((AND(RIGHT(G1560,2)=RIGHT('112'!$M$9,2),B1560&lt;'112'!$K$9,$O1560='112'!$I$6)),"x",""))</f>
        <v/>
      </c>
      <c r="W1560" s="75" t="str">
        <f>IF(AND('341-CT'!$H$9=H1560,OR(LEFT(N1560,3)=$W$7,LEFT(O1560,3)=$W$7)),"x","")</f>
        <v/>
      </c>
      <c r="X1560" s="75" t="str">
        <f>IF(OR(TH!N1560=TH!$X$7,O1560=TH!$X$7),"x","")</f>
        <v/>
      </c>
      <c r="Y1560" s="75" t="str">
        <f>IF(AND(OR(N1560="131",O1560="131"),H1560='131-CT'!$H$9),"x","")</f>
        <v/>
      </c>
      <c r="Z1560" s="75"/>
      <c r="AA1560" s="75" t="str">
        <f>IF(AND(MONTH(E1560)='IN-NX'!$J$5,'IN-NX'!$D$7=D1560),"x","")</f>
        <v/>
      </c>
      <c r="AB1560" s="75" t="str">
        <f>IF(AND(OR(LEFT(TH!N1560,2)="15",LEFT(TH!O1560,2)="15"),LEFT(TH!O1560,3)&lt;&gt;"111",'152-CT'!$J$8=TH!F1560),"x","")</f>
        <v/>
      </c>
      <c r="AC1560" s="75" t="str">
        <f>IF(AND(OR(LEFT(TH!N1560,2)="15",LEFT(TH!O1560,2)="15"),TK!$E$7=TH!F1560),"x","")</f>
        <v/>
      </c>
      <c r="AD1560" s="75" t="str">
        <f>IF(AND(N1560="1521",MONTH(C1560)='BK-NL'!$M$11),"x","")</f>
        <v/>
      </c>
    </row>
    <row r="1561" spans="1:30" ht="16.5" customHeight="1">
      <c r="A1561" s="309" t="str">
        <f>IF(B1561&lt;&gt;"",IF(AND(B1561='IN-TC'!$S$4,OR(TH!N1561="1111",TH!O1561="1111")),TH!D1561,""),"")</f>
        <v/>
      </c>
      <c r="B1561" s="1130">
        <f t="shared" si="383"/>
        <v>6</v>
      </c>
      <c r="C1561" s="292">
        <f t="shared" si="384"/>
        <v>42887</v>
      </c>
      <c r="D1561" s="292" t="s">
        <v>2957</v>
      </c>
      <c r="E1561" s="292">
        <v>42887</v>
      </c>
      <c r="F1561" s="429" t="s">
        <v>771</v>
      </c>
      <c r="G1561" s="925"/>
      <c r="H1561" s="429" t="s">
        <v>1882</v>
      </c>
      <c r="I1561" s="373">
        <v>50460</v>
      </c>
      <c r="J1561" s="379">
        <v>18500</v>
      </c>
      <c r="K1561" s="373"/>
      <c r="L1561" s="379"/>
      <c r="M1561" s="927">
        <f t="shared" si="385"/>
        <v>933510000</v>
      </c>
      <c r="N1561" s="295" t="s">
        <v>264</v>
      </c>
      <c r="O1561" s="295" t="s">
        <v>8</v>
      </c>
      <c r="P1561" s="75" t="str">
        <f>IF(AND('331-CT'!$E$7=TH!H1561,OR(N1561="331",O1561="331")),"x","")</f>
        <v/>
      </c>
      <c r="Q1561" s="75" t="str">
        <f>IF(AND(B1561='111'!$L$11,OR($N1561=$Q$7,$O1561=$Q$7)),"x","")</f>
        <v/>
      </c>
      <c r="R1561" s="75" t="str">
        <f>IF(AND($N1561=$Q$7,$B1561&lt;'111'!$L$11),"x","")</f>
        <v/>
      </c>
      <c r="S1561" s="75" t="str">
        <f>IF(AND($O1561=$Q$7,$B1561&lt;'111'!$L$11),"x","")</f>
        <v/>
      </c>
      <c r="T1561" s="75" t="str">
        <f>IF(ISERROR(FIND('112'!$M$9,G1561,1)),"",IF((AND(FIND('112'!$M$9,G1561,1)&gt;=1,B1561='112'!$K$9,OR($N1561='112'!$I$6,$O1561='112'!$I$6))),"x",""))</f>
        <v/>
      </c>
      <c r="U1561" s="75" t="str">
        <f>IF(ISERROR(FIND('112'!$M$9,G1561,1)),"",IF((AND(LEFT(G1561,2)=LEFT('112'!$M$9,2),B1561&lt;'112'!$K$9,$N1561='112'!$I$6)),"x",""))</f>
        <v/>
      </c>
      <c r="V1561" s="75" t="str">
        <f>IF(ISERROR(FIND('112'!$M$9,G1561,1)),"",IF((AND(RIGHT(G1561,2)=RIGHT('112'!$M$9,2),B1561&lt;'112'!$K$9,$O1561='112'!$I$6)),"x",""))</f>
        <v/>
      </c>
      <c r="W1561" s="75" t="str">
        <f>IF(AND('341-CT'!$H$9=H1561,OR(LEFT(N1561,3)=$W$7,LEFT(O1561,3)=$W$7)),"x","")</f>
        <v/>
      </c>
      <c r="X1561" s="75" t="str">
        <f>IF(OR(TH!N1561=TH!$X$7,O1561=TH!$X$7),"x","")</f>
        <v/>
      </c>
      <c r="Y1561" s="75" t="str">
        <f>IF(AND(OR(N1561="131",O1561="131"),H1561='131-CT'!$H$9),"x","")</f>
        <v/>
      </c>
      <c r="Z1561" s="75"/>
      <c r="AA1561" s="75" t="str">
        <f>IF(AND(MONTH(E1561)='IN-NX'!$J$5,'IN-NX'!$D$7=D1561),"x","")</f>
        <v/>
      </c>
      <c r="AB1561" s="75" t="str">
        <f>IF(AND(OR(LEFT(TH!N1561,2)="15",LEFT(TH!O1561,2)="15"),LEFT(TH!O1561,3)&lt;&gt;"111",'152-CT'!$J$8=TH!F1561),"x","")</f>
        <v/>
      </c>
      <c r="AC1561" s="75" t="str">
        <f>IF(AND(OR(LEFT(TH!N1561,2)="15",LEFT(TH!O1561,2)="15"),TK!$E$7=TH!F1561),"x","")</f>
        <v/>
      </c>
      <c r="AD1561" s="75" t="str">
        <f>IF(AND(N1561="1521",MONTH(C1561)='BK-NL'!$M$11),"x","")</f>
        <v/>
      </c>
    </row>
    <row r="1562" spans="1:30" ht="16.5" customHeight="1">
      <c r="A1562" s="309" t="str">
        <f>IF(B1562&lt;&gt;"",IF(AND(B1562='IN-TC'!$S$4,OR(TH!N1562="1111",TH!O1562="1111")),TH!D1562,""),"")</f>
        <v/>
      </c>
      <c r="B1562" s="1130">
        <f t="shared" si="383"/>
        <v>6</v>
      </c>
      <c r="C1562" s="292">
        <f t="shared" si="384"/>
        <v>42887</v>
      </c>
      <c r="D1562" s="292" t="s">
        <v>2958</v>
      </c>
      <c r="E1562" s="292">
        <v>42887</v>
      </c>
      <c r="F1562" s="429" t="s">
        <v>771</v>
      </c>
      <c r="G1562" s="925"/>
      <c r="H1562" s="429" t="s">
        <v>1890</v>
      </c>
      <c r="I1562" s="373">
        <v>50248</v>
      </c>
      <c r="J1562" s="379">
        <v>18500</v>
      </c>
      <c r="K1562" s="373"/>
      <c r="L1562" s="379"/>
      <c r="M1562" s="927">
        <f t="shared" si="385"/>
        <v>929588000</v>
      </c>
      <c r="N1562" s="295" t="s">
        <v>264</v>
      </c>
      <c r="O1562" s="295" t="s">
        <v>8</v>
      </c>
      <c r="P1562" s="75" t="str">
        <f>IF(AND('331-CT'!$E$7=TH!H1562,OR(N1562="331",O1562="331")),"x","")</f>
        <v/>
      </c>
      <c r="Q1562" s="75" t="str">
        <f>IF(AND(B1562='111'!$L$11,OR($N1562=$Q$7,$O1562=$Q$7)),"x","")</f>
        <v/>
      </c>
      <c r="R1562" s="75" t="str">
        <f>IF(AND($N1562=$Q$7,$B1562&lt;'111'!$L$11),"x","")</f>
        <v/>
      </c>
      <c r="S1562" s="75" t="str">
        <f>IF(AND($O1562=$Q$7,$B1562&lt;'111'!$L$11),"x","")</f>
        <v/>
      </c>
      <c r="T1562" s="75" t="str">
        <f>IF(ISERROR(FIND('112'!$M$9,G1562,1)),"",IF((AND(FIND('112'!$M$9,G1562,1)&gt;=1,B1562='112'!$K$9,OR($N1562='112'!$I$6,$O1562='112'!$I$6))),"x",""))</f>
        <v/>
      </c>
      <c r="U1562" s="75" t="str">
        <f>IF(ISERROR(FIND('112'!$M$9,G1562,1)),"",IF((AND(LEFT(G1562,2)=LEFT('112'!$M$9,2),B1562&lt;'112'!$K$9,$N1562='112'!$I$6)),"x",""))</f>
        <v/>
      </c>
      <c r="V1562" s="75" t="str">
        <f>IF(ISERROR(FIND('112'!$M$9,G1562,1)),"",IF((AND(RIGHT(G1562,2)=RIGHT('112'!$M$9,2),B1562&lt;'112'!$K$9,$O1562='112'!$I$6)),"x",""))</f>
        <v/>
      </c>
      <c r="W1562" s="75" t="str">
        <f>IF(AND('341-CT'!$H$9=H1562,OR(LEFT(N1562,3)=$W$7,LEFT(O1562,3)=$W$7)),"x","")</f>
        <v/>
      </c>
      <c r="X1562" s="75" t="str">
        <f>IF(OR(TH!N1562=TH!$X$7,O1562=TH!$X$7),"x","")</f>
        <v/>
      </c>
      <c r="Y1562" s="75" t="str">
        <f>IF(AND(OR(N1562="131",O1562="131"),H1562='131-CT'!$H$9),"x","")</f>
        <v/>
      </c>
      <c r="Z1562" s="75"/>
      <c r="AA1562" s="75" t="str">
        <f>IF(AND(MONTH(E1562)='IN-NX'!$J$5,'IN-NX'!$D$7=D1562),"x","")</f>
        <v/>
      </c>
      <c r="AB1562" s="75" t="str">
        <f>IF(AND(OR(LEFT(TH!N1562,2)="15",LEFT(TH!O1562,2)="15"),LEFT(TH!O1562,3)&lt;&gt;"111",'152-CT'!$J$8=TH!F1562),"x","")</f>
        <v/>
      </c>
      <c r="AC1562" s="75" t="str">
        <f>IF(AND(OR(LEFT(TH!N1562,2)="15",LEFT(TH!O1562,2)="15"),TK!$E$7=TH!F1562),"x","")</f>
        <v/>
      </c>
      <c r="AD1562" s="75" t="str">
        <f>IF(AND(N1562="1521",MONTH(C1562)='BK-NL'!$M$11),"x","")</f>
        <v/>
      </c>
    </row>
    <row r="1563" spans="1:30" ht="16.5" customHeight="1">
      <c r="A1563" s="309" t="str">
        <f>IF(B1563&lt;&gt;"",IF(AND(B1563='IN-TC'!$S$4,OR(TH!N1563="1111",TH!O1563="1111")),TH!D1563,""),"")</f>
        <v/>
      </c>
      <c r="B1563" s="1130">
        <f t="shared" si="383"/>
        <v>6</v>
      </c>
      <c r="C1563" s="292">
        <f t="shared" si="384"/>
        <v>42892</v>
      </c>
      <c r="D1563" s="292" t="s">
        <v>2965</v>
      </c>
      <c r="E1563" s="292">
        <v>42892</v>
      </c>
      <c r="F1563" s="429" t="s">
        <v>771</v>
      </c>
      <c r="G1563" s="925"/>
      <c r="H1563" s="429" t="s">
        <v>1882</v>
      </c>
      <c r="I1563" s="373">
        <v>50430</v>
      </c>
      <c r="J1563" s="379">
        <v>18500</v>
      </c>
      <c r="K1563" s="373"/>
      <c r="L1563" s="379"/>
      <c r="M1563" s="927">
        <f t="shared" si="385"/>
        <v>932955000</v>
      </c>
      <c r="N1563" s="295" t="s">
        <v>264</v>
      </c>
      <c r="O1563" s="295" t="s">
        <v>8</v>
      </c>
      <c r="P1563" s="75" t="str">
        <f>IF(AND('331-CT'!$E$7=TH!H1563,OR(N1563="331",O1563="331")),"x","")</f>
        <v/>
      </c>
      <c r="Q1563" s="75" t="str">
        <f>IF(AND(B1563='111'!$L$11,OR($N1563=$Q$7,$O1563=$Q$7)),"x","")</f>
        <v/>
      </c>
      <c r="R1563" s="75" t="str">
        <f>IF(AND($N1563=$Q$7,$B1563&lt;'111'!$L$11),"x","")</f>
        <v/>
      </c>
      <c r="S1563" s="75" t="str">
        <f>IF(AND($O1563=$Q$7,$B1563&lt;'111'!$L$11),"x","")</f>
        <v/>
      </c>
      <c r="T1563" s="75" t="str">
        <f>IF(ISERROR(FIND('112'!$M$9,G1563,1)),"",IF((AND(FIND('112'!$M$9,G1563,1)&gt;=1,B1563='112'!$K$9,OR($N1563='112'!$I$6,$O1563='112'!$I$6))),"x",""))</f>
        <v/>
      </c>
      <c r="U1563" s="75" t="str">
        <f>IF(ISERROR(FIND('112'!$M$9,G1563,1)),"",IF((AND(LEFT(G1563,2)=LEFT('112'!$M$9,2),B1563&lt;'112'!$K$9,$N1563='112'!$I$6)),"x",""))</f>
        <v/>
      </c>
      <c r="V1563" s="75" t="str">
        <f>IF(ISERROR(FIND('112'!$M$9,G1563,1)),"",IF((AND(RIGHT(G1563,2)=RIGHT('112'!$M$9,2),B1563&lt;'112'!$K$9,$O1563='112'!$I$6)),"x",""))</f>
        <v/>
      </c>
      <c r="W1563" s="75" t="str">
        <f>IF(AND('341-CT'!$H$9=H1563,OR(LEFT(N1563,3)=$W$7,LEFT(O1563,3)=$W$7)),"x","")</f>
        <v/>
      </c>
      <c r="X1563" s="75" t="str">
        <f>IF(OR(TH!N1563=TH!$X$7,O1563=TH!$X$7),"x","")</f>
        <v/>
      </c>
      <c r="Y1563" s="75" t="str">
        <f>IF(AND(OR(N1563="131",O1563="131"),H1563='131-CT'!$H$9),"x","")</f>
        <v/>
      </c>
      <c r="Z1563" s="75"/>
      <c r="AA1563" s="75" t="str">
        <f>IF(AND(MONTH(E1563)='IN-NX'!$J$5,'IN-NX'!$D$7=D1563),"x","")</f>
        <v/>
      </c>
      <c r="AB1563" s="75" t="str">
        <f>IF(AND(OR(LEFT(TH!N1563,2)="15",LEFT(TH!O1563,2)="15"),LEFT(TH!O1563,3)&lt;&gt;"111",'152-CT'!$J$8=TH!F1563),"x","")</f>
        <v/>
      </c>
      <c r="AC1563" s="75" t="str">
        <f>IF(AND(OR(LEFT(TH!N1563,2)="15",LEFT(TH!O1563,2)="15"),TK!$E$7=TH!F1563),"x","")</f>
        <v/>
      </c>
      <c r="AD1563" s="75" t="str">
        <f>IF(AND(N1563="1521",MONTH(C1563)='BK-NL'!$M$11),"x","")</f>
        <v/>
      </c>
    </row>
    <row r="1564" spans="1:30" ht="16.5" customHeight="1">
      <c r="A1564" s="309" t="str">
        <f>IF(B1564&lt;&gt;"",IF(AND(B1564='IN-TC'!$S$4,OR(TH!N1564="1111",TH!O1564="1111")),TH!D1564,""),"")</f>
        <v/>
      </c>
      <c r="B1564" s="1130">
        <f t="shared" si="383"/>
        <v>6</v>
      </c>
      <c r="C1564" s="292">
        <f t="shared" si="384"/>
        <v>42892</v>
      </c>
      <c r="D1564" s="292" t="s">
        <v>2966</v>
      </c>
      <c r="E1564" s="292">
        <v>42892</v>
      </c>
      <c r="F1564" s="429" t="s">
        <v>771</v>
      </c>
      <c r="G1564" s="925"/>
      <c r="H1564" s="429" t="s">
        <v>1890</v>
      </c>
      <c r="I1564" s="373">
        <v>53460</v>
      </c>
      <c r="J1564" s="379">
        <v>18500</v>
      </c>
      <c r="K1564" s="373"/>
      <c r="L1564" s="379"/>
      <c r="M1564" s="927">
        <f t="shared" si="385"/>
        <v>989010000</v>
      </c>
      <c r="N1564" s="295" t="s">
        <v>264</v>
      </c>
      <c r="O1564" s="295" t="s">
        <v>8</v>
      </c>
      <c r="P1564" s="75" t="str">
        <f>IF(AND('331-CT'!$E$7=TH!H1564,OR(N1564="331",O1564="331")),"x","")</f>
        <v/>
      </c>
      <c r="Q1564" s="75" t="str">
        <f>IF(AND(B1564='111'!$L$11,OR($N1564=$Q$7,$O1564=$Q$7)),"x","")</f>
        <v/>
      </c>
      <c r="R1564" s="75" t="str">
        <f>IF(AND($N1564=$Q$7,$B1564&lt;'111'!$L$11),"x","")</f>
        <v/>
      </c>
      <c r="S1564" s="75" t="str">
        <f>IF(AND($O1564=$Q$7,$B1564&lt;'111'!$L$11),"x","")</f>
        <v/>
      </c>
      <c r="T1564" s="75" t="str">
        <f>IF(ISERROR(FIND('112'!$M$9,G1564,1)),"",IF((AND(FIND('112'!$M$9,G1564,1)&gt;=1,B1564='112'!$K$9,OR($N1564='112'!$I$6,$O1564='112'!$I$6))),"x",""))</f>
        <v/>
      </c>
      <c r="U1564" s="75" t="str">
        <f>IF(ISERROR(FIND('112'!$M$9,G1564,1)),"",IF((AND(LEFT(G1564,2)=LEFT('112'!$M$9,2),B1564&lt;'112'!$K$9,$N1564='112'!$I$6)),"x",""))</f>
        <v/>
      </c>
      <c r="V1564" s="75" t="str">
        <f>IF(ISERROR(FIND('112'!$M$9,G1564,1)),"",IF((AND(RIGHT(G1564,2)=RIGHT('112'!$M$9,2),B1564&lt;'112'!$K$9,$O1564='112'!$I$6)),"x",""))</f>
        <v/>
      </c>
      <c r="W1564" s="75" t="str">
        <f>IF(AND('341-CT'!$H$9=H1564,OR(LEFT(N1564,3)=$W$7,LEFT(O1564,3)=$W$7)),"x","")</f>
        <v/>
      </c>
      <c r="X1564" s="75" t="str">
        <f>IF(OR(TH!N1564=TH!$X$7,O1564=TH!$X$7),"x","")</f>
        <v/>
      </c>
      <c r="Y1564" s="75" t="str">
        <f>IF(AND(OR(N1564="131",O1564="131"),H1564='131-CT'!$H$9),"x","")</f>
        <v/>
      </c>
      <c r="Z1564" s="75"/>
      <c r="AA1564" s="75" t="str">
        <f>IF(AND(MONTH(E1564)='IN-NX'!$J$5,'IN-NX'!$D$7=D1564),"x","")</f>
        <v/>
      </c>
      <c r="AB1564" s="75" t="str">
        <f>IF(AND(OR(LEFT(TH!N1564,2)="15",LEFT(TH!O1564,2)="15"),LEFT(TH!O1564,3)&lt;&gt;"111",'152-CT'!$J$8=TH!F1564),"x","")</f>
        <v/>
      </c>
      <c r="AC1564" s="75" t="str">
        <f>IF(AND(OR(LEFT(TH!N1564,2)="15",LEFT(TH!O1564,2)="15"),TK!$E$7=TH!F1564),"x","")</f>
        <v/>
      </c>
      <c r="AD1564" s="75" t="str">
        <f>IF(AND(N1564="1521",MONTH(C1564)='BK-NL'!$M$11),"x","")</f>
        <v/>
      </c>
    </row>
    <row r="1565" spans="1:30" ht="16.5" customHeight="1">
      <c r="A1565" s="309" t="str">
        <f>IF(B1565&lt;&gt;"",IF(AND(B1565='IN-TC'!$S$4,OR(TH!N1565="1111",TH!O1565="1111")),TH!D1565,""),"")</f>
        <v/>
      </c>
      <c r="B1565" s="1130">
        <f t="shared" si="383"/>
        <v>6</v>
      </c>
      <c r="C1565" s="292">
        <f t="shared" si="384"/>
        <v>42897</v>
      </c>
      <c r="D1565" s="292" t="s">
        <v>2967</v>
      </c>
      <c r="E1565" s="292">
        <v>42897</v>
      </c>
      <c r="F1565" s="429" t="s">
        <v>771</v>
      </c>
      <c r="G1565" s="925"/>
      <c r="H1565" s="429" t="s">
        <v>1882</v>
      </c>
      <c r="I1565" s="373">
        <v>50463</v>
      </c>
      <c r="J1565" s="379">
        <v>18500</v>
      </c>
      <c r="K1565" s="373"/>
      <c r="L1565" s="379"/>
      <c r="M1565" s="927">
        <f t="shared" si="385"/>
        <v>933565500</v>
      </c>
      <c r="N1565" s="295" t="s">
        <v>264</v>
      </c>
      <c r="O1565" s="295" t="s">
        <v>8</v>
      </c>
      <c r="P1565" s="75" t="str">
        <f>IF(AND('331-CT'!$E$7=TH!H1565,OR(N1565="331",O1565="331")),"x","")</f>
        <v/>
      </c>
      <c r="Q1565" s="75" t="str">
        <f>IF(AND(B1565='111'!$L$11,OR($N1565=$Q$7,$O1565=$Q$7)),"x","")</f>
        <v/>
      </c>
      <c r="R1565" s="75" t="str">
        <f>IF(AND($N1565=$Q$7,$B1565&lt;'111'!$L$11),"x","")</f>
        <v/>
      </c>
      <c r="S1565" s="75" t="str">
        <f>IF(AND($O1565=$Q$7,$B1565&lt;'111'!$L$11),"x","")</f>
        <v/>
      </c>
      <c r="T1565" s="75" t="str">
        <f>IF(ISERROR(FIND('112'!$M$9,G1565,1)),"",IF((AND(FIND('112'!$M$9,G1565,1)&gt;=1,B1565='112'!$K$9,OR($N1565='112'!$I$6,$O1565='112'!$I$6))),"x",""))</f>
        <v/>
      </c>
      <c r="U1565" s="75" t="str">
        <f>IF(ISERROR(FIND('112'!$M$9,G1565,1)),"",IF((AND(LEFT(G1565,2)=LEFT('112'!$M$9,2),B1565&lt;'112'!$K$9,$N1565='112'!$I$6)),"x",""))</f>
        <v/>
      </c>
      <c r="V1565" s="75" t="str">
        <f>IF(ISERROR(FIND('112'!$M$9,G1565,1)),"",IF((AND(RIGHT(G1565,2)=RIGHT('112'!$M$9,2),B1565&lt;'112'!$K$9,$O1565='112'!$I$6)),"x",""))</f>
        <v/>
      </c>
      <c r="W1565" s="75" t="str">
        <f>IF(AND('341-CT'!$H$9=H1565,OR(LEFT(N1565,3)=$W$7,LEFT(O1565,3)=$W$7)),"x","")</f>
        <v/>
      </c>
      <c r="X1565" s="75" t="str">
        <f>IF(OR(TH!N1565=TH!$X$7,O1565=TH!$X$7),"x","")</f>
        <v/>
      </c>
      <c r="Y1565" s="75" t="str">
        <f>IF(AND(OR(N1565="131",O1565="131"),H1565='131-CT'!$H$9),"x","")</f>
        <v/>
      </c>
      <c r="Z1565" s="75"/>
      <c r="AA1565" s="75" t="str">
        <f>IF(AND(MONTH(E1565)='IN-NX'!$J$5,'IN-NX'!$D$7=D1565),"x","")</f>
        <v/>
      </c>
      <c r="AB1565" s="75" t="str">
        <f>IF(AND(OR(LEFT(TH!N1565,2)="15",LEFT(TH!O1565,2)="15"),LEFT(TH!O1565,3)&lt;&gt;"111",'152-CT'!$J$8=TH!F1565),"x","")</f>
        <v/>
      </c>
      <c r="AC1565" s="75" t="str">
        <f>IF(AND(OR(LEFT(TH!N1565,2)="15",LEFT(TH!O1565,2)="15"),TK!$E$7=TH!F1565),"x","")</f>
        <v/>
      </c>
      <c r="AD1565" s="75" t="str">
        <f>IF(AND(N1565="1521",MONTH(C1565)='BK-NL'!$M$11),"x","")</f>
        <v/>
      </c>
    </row>
    <row r="1566" spans="1:30" ht="16.5" customHeight="1">
      <c r="A1566" s="309" t="str">
        <f>IF(B1566&lt;&gt;"",IF(AND(B1566='IN-TC'!$S$4,OR(TH!N1566="1111",TH!O1566="1111")),TH!D1566,""),"")</f>
        <v/>
      </c>
      <c r="B1566" s="1130">
        <f t="shared" si="383"/>
        <v>6</v>
      </c>
      <c r="C1566" s="292">
        <f t="shared" si="384"/>
        <v>42897</v>
      </c>
      <c r="D1566" s="292" t="s">
        <v>2968</v>
      </c>
      <c r="E1566" s="292">
        <v>42897</v>
      </c>
      <c r="F1566" s="429" t="s">
        <v>771</v>
      </c>
      <c r="G1566" s="925"/>
      <c r="H1566" s="429" t="s">
        <v>1890</v>
      </c>
      <c r="I1566" s="373">
        <v>54203</v>
      </c>
      <c r="J1566" s="379">
        <v>18500</v>
      </c>
      <c r="K1566" s="373"/>
      <c r="L1566" s="379"/>
      <c r="M1566" s="927">
        <f t="shared" si="385"/>
        <v>1002755500</v>
      </c>
      <c r="N1566" s="295" t="s">
        <v>264</v>
      </c>
      <c r="O1566" s="295" t="s">
        <v>8</v>
      </c>
      <c r="P1566" s="75" t="str">
        <f>IF(AND('331-CT'!$E$7=TH!H1566,OR(N1566="331",O1566="331")),"x","")</f>
        <v/>
      </c>
      <c r="Q1566" s="75" t="str">
        <f>IF(AND(B1566='111'!$L$11,OR($N1566=$Q$7,$O1566=$Q$7)),"x","")</f>
        <v/>
      </c>
      <c r="R1566" s="75" t="str">
        <f>IF(AND($N1566=$Q$7,$B1566&lt;'111'!$L$11),"x","")</f>
        <v/>
      </c>
      <c r="S1566" s="75" t="str">
        <f>IF(AND($O1566=$Q$7,$B1566&lt;'111'!$L$11),"x","")</f>
        <v/>
      </c>
      <c r="T1566" s="75" t="str">
        <f>IF(ISERROR(FIND('112'!$M$9,G1566,1)),"",IF((AND(FIND('112'!$M$9,G1566,1)&gt;=1,B1566='112'!$K$9,OR($N1566='112'!$I$6,$O1566='112'!$I$6))),"x",""))</f>
        <v/>
      </c>
      <c r="U1566" s="75" t="str">
        <f>IF(ISERROR(FIND('112'!$M$9,G1566,1)),"",IF((AND(LEFT(G1566,2)=LEFT('112'!$M$9,2),B1566&lt;'112'!$K$9,$N1566='112'!$I$6)),"x",""))</f>
        <v/>
      </c>
      <c r="V1566" s="75" t="str">
        <f>IF(ISERROR(FIND('112'!$M$9,G1566,1)),"",IF((AND(RIGHT(G1566,2)=RIGHT('112'!$M$9,2),B1566&lt;'112'!$K$9,$O1566='112'!$I$6)),"x",""))</f>
        <v/>
      </c>
      <c r="W1566" s="75" t="str">
        <f>IF(AND('341-CT'!$H$9=H1566,OR(LEFT(N1566,3)=$W$7,LEFT(O1566,3)=$W$7)),"x","")</f>
        <v/>
      </c>
      <c r="X1566" s="75" t="str">
        <f>IF(OR(TH!N1566=TH!$X$7,O1566=TH!$X$7),"x","")</f>
        <v/>
      </c>
      <c r="Y1566" s="75" t="str">
        <f>IF(AND(OR(N1566="131",O1566="131"),H1566='131-CT'!$H$9),"x","")</f>
        <v/>
      </c>
      <c r="Z1566" s="75"/>
      <c r="AA1566" s="75" t="str">
        <f>IF(AND(MONTH(E1566)='IN-NX'!$J$5,'IN-NX'!$D$7=D1566),"x","")</f>
        <v/>
      </c>
      <c r="AB1566" s="75" t="str">
        <f>IF(AND(OR(LEFT(TH!N1566,2)="15",LEFT(TH!O1566,2)="15"),LEFT(TH!O1566,3)&lt;&gt;"111",'152-CT'!$J$8=TH!F1566),"x","")</f>
        <v/>
      </c>
      <c r="AC1566" s="75" t="str">
        <f>IF(AND(OR(LEFT(TH!N1566,2)="15",LEFT(TH!O1566,2)="15"),TK!$E$7=TH!F1566),"x","")</f>
        <v/>
      </c>
      <c r="AD1566" s="75" t="str">
        <f>IF(AND(N1566="1521",MONTH(C1566)='BK-NL'!$M$11),"x","")</f>
        <v/>
      </c>
    </row>
    <row r="1567" spans="1:30" ht="16.5" customHeight="1">
      <c r="A1567" s="309" t="str">
        <f>IF(B1567&lt;&gt;"",IF(AND(B1567='IN-TC'!$S$4,OR(TH!N1567="1111",TH!O1567="1111")),TH!D1567,""),"")</f>
        <v/>
      </c>
      <c r="B1567" s="1130">
        <f t="shared" si="383"/>
        <v>6</v>
      </c>
      <c r="C1567" s="292">
        <f t="shared" si="384"/>
        <v>42903</v>
      </c>
      <c r="D1567" s="292" t="s">
        <v>2974</v>
      </c>
      <c r="E1567" s="292">
        <v>42903</v>
      </c>
      <c r="F1567" s="429" t="s">
        <v>771</v>
      </c>
      <c r="G1567" s="925"/>
      <c r="H1567" s="429" t="s">
        <v>1882</v>
      </c>
      <c r="I1567" s="373">
        <f>360263-SUM(I1561:I1566)</f>
        <v>50999</v>
      </c>
      <c r="J1567" s="379">
        <v>18500</v>
      </c>
      <c r="K1567" s="373"/>
      <c r="L1567" s="379"/>
      <c r="M1567" s="927">
        <f t="shared" si="385"/>
        <v>943481500</v>
      </c>
      <c r="N1567" s="295" t="s">
        <v>264</v>
      </c>
      <c r="O1567" s="295" t="s">
        <v>8</v>
      </c>
      <c r="P1567" s="75" t="str">
        <f>IF(AND('331-CT'!$E$7=TH!H1567,OR(N1567="331",O1567="331")),"x","")</f>
        <v/>
      </c>
      <c r="Q1567" s="75" t="str">
        <f>IF(AND(B1567='111'!$L$11,OR($N1567=$Q$7,$O1567=$Q$7)),"x","")</f>
        <v/>
      </c>
      <c r="R1567" s="75" t="str">
        <f>IF(AND($N1567=$Q$7,$B1567&lt;'111'!$L$11),"x","")</f>
        <v/>
      </c>
      <c r="S1567" s="75" t="str">
        <f>IF(AND($O1567=$Q$7,$B1567&lt;'111'!$L$11),"x","")</f>
        <v/>
      </c>
      <c r="T1567" s="75" t="str">
        <f>IF(ISERROR(FIND('112'!$M$9,G1567,1)),"",IF((AND(FIND('112'!$M$9,G1567,1)&gt;=1,B1567='112'!$K$9,OR($N1567='112'!$I$6,$O1567='112'!$I$6))),"x",""))</f>
        <v/>
      </c>
      <c r="U1567" s="75" t="str">
        <f>IF(ISERROR(FIND('112'!$M$9,G1567,1)),"",IF((AND(LEFT(G1567,2)=LEFT('112'!$M$9,2),B1567&lt;'112'!$K$9,$N1567='112'!$I$6)),"x",""))</f>
        <v/>
      </c>
      <c r="V1567" s="75" t="str">
        <f>IF(ISERROR(FIND('112'!$M$9,G1567,1)),"",IF((AND(RIGHT(G1567,2)=RIGHT('112'!$M$9,2),B1567&lt;'112'!$K$9,$O1567='112'!$I$6)),"x",""))</f>
        <v/>
      </c>
      <c r="W1567" s="75" t="str">
        <f>IF(AND('341-CT'!$H$9=H1567,OR(LEFT(N1567,3)=$W$7,LEFT(O1567,3)=$W$7)),"x","")</f>
        <v/>
      </c>
      <c r="X1567" s="75" t="str">
        <f>IF(OR(TH!N1567=TH!$X$7,O1567=TH!$X$7),"x","")</f>
        <v/>
      </c>
      <c r="Y1567" s="75" t="str">
        <f>IF(AND(OR(N1567="131",O1567="131"),H1567='131-CT'!$H$9),"x","")</f>
        <v/>
      </c>
      <c r="Z1567" s="75"/>
      <c r="AA1567" s="75" t="str">
        <f>IF(AND(MONTH(E1567)='IN-NX'!$J$5,'IN-NX'!$D$7=D1567),"x","")</f>
        <v/>
      </c>
      <c r="AB1567" s="75" t="str">
        <f>IF(AND(OR(LEFT(TH!N1567,2)="15",LEFT(TH!O1567,2)="15"),LEFT(TH!O1567,3)&lt;&gt;"111",'152-CT'!$J$8=TH!F1567),"x","")</f>
        <v/>
      </c>
      <c r="AC1567" s="75" t="str">
        <f>IF(AND(OR(LEFT(TH!N1567,2)="15",LEFT(TH!O1567,2)="15"),TK!$E$7=TH!F1567),"x","")</f>
        <v/>
      </c>
      <c r="AD1567" s="75" t="str">
        <f>IF(AND(N1567="1521",MONTH(C1567)='BK-NL'!$M$11),"x","")</f>
        <v/>
      </c>
    </row>
    <row r="1568" spans="1:30" ht="16.5" customHeight="1">
      <c r="A1568" s="309" t="str">
        <f>IF(B1568&lt;&gt;"",IF(AND(B1568='IN-TC'!$S$4,OR(TH!N1568="1111",TH!O1568="1111")),TH!D1568,""),"")</f>
        <v/>
      </c>
      <c r="B1568" s="1130">
        <f t="shared" si="383"/>
        <v>6</v>
      </c>
      <c r="C1568" s="292">
        <f t="shared" si="384"/>
        <v>42887</v>
      </c>
      <c r="D1568" s="292" t="s">
        <v>2959</v>
      </c>
      <c r="E1568" s="292">
        <v>42887</v>
      </c>
      <c r="F1568" s="67" t="s">
        <v>566</v>
      </c>
      <c r="G1568" s="925"/>
      <c r="H1568" s="429" t="s">
        <v>420</v>
      </c>
      <c r="I1568" s="373">
        <v>25420</v>
      </c>
      <c r="J1568" s="379">
        <v>18200</v>
      </c>
      <c r="K1568" s="373"/>
      <c r="L1568" s="379"/>
      <c r="M1568" s="927">
        <f t="shared" si="385"/>
        <v>462644000</v>
      </c>
      <c r="N1568" s="295" t="s">
        <v>264</v>
      </c>
      <c r="O1568" s="295" t="s">
        <v>8</v>
      </c>
      <c r="P1568" s="75" t="str">
        <f>IF(AND('331-CT'!$E$7=TH!H1568,OR(N1568="331",O1568="331")),"x","")</f>
        <v/>
      </c>
      <c r="Q1568" s="75" t="str">
        <f>IF(AND(B1568='111'!$L$11,OR($N1568=$Q$7,$O1568=$Q$7)),"x","")</f>
        <v/>
      </c>
      <c r="R1568" s="75" t="str">
        <f>IF(AND($N1568=$Q$7,$B1568&lt;'111'!$L$11),"x","")</f>
        <v/>
      </c>
      <c r="S1568" s="75" t="str">
        <f>IF(AND($O1568=$Q$7,$B1568&lt;'111'!$L$11),"x","")</f>
        <v/>
      </c>
      <c r="T1568" s="75" t="str">
        <f>IF(ISERROR(FIND('112'!$M$9,G1568,1)),"",IF((AND(FIND('112'!$M$9,G1568,1)&gt;=1,B1568='112'!$K$9,OR($N1568='112'!$I$6,$O1568='112'!$I$6))),"x",""))</f>
        <v/>
      </c>
      <c r="U1568" s="75" t="str">
        <f>IF(ISERROR(FIND('112'!$M$9,G1568,1)),"",IF((AND(LEFT(G1568,2)=LEFT('112'!$M$9,2),B1568&lt;'112'!$K$9,$N1568='112'!$I$6)),"x",""))</f>
        <v/>
      </c>
      <c r="V1568" s="75" t="str">
        <f>IF(ISERROR(FIND('112'!$M$9,G1568,1)),"",IF((AND(RIGHT(G1568,2)=RIGHT('112'!$M$9,2),B1568&lt;'112'!$K$9,$O1568='112'!$I$6)),"x",""))</f>
        <v/>
      </c>
      <c r="W1568" s="75" t="str">
        <f>IF(AND('341-CT'!$H$9=H1568,OR(LEFT(N1568,3)=$W$7,LEFT(O1568,3)=$W$7)),"x","")</f>
        <v/>
      </c>
      <c r="X1568" s="75" t="str">
        <f>IF(OR(TH!N1568=TH!$X$7,O1568=TH!$X$7),"x","")</f>
        <v/>
      </c>
      <c r="Y1568" s="75" t="str">
        <f>IF(AND(OR(N1568="131",O1568="131"),H1568='131-CT'!$H$9),"x","")</f>
        <v/>
      </c>
      <c r="Z1568" s="75"/>
      <c r="AA1568" s="75" t="str">
        <f>IF(AND(MONTH(E1568)='IN-NX'!$J$5,'IN-NX'!$D$7=D1568),"x","")</f>
        <v/>
      </c>
      <c r="AB1568" s="75" t="str">
        <f>IF(AND(OR(LEFT(TH!N1568,2)="15",LEFT(TH!O1568,2)="15"),LEFT(TH!O1568,3)&lt;&gt;"111",'152-CT'!$J$8=TH!F1568),"x","")</f>
        <v/>
      </c>
      <c r="AC1568" s="75" t="str">
        <f>IF(AND(OR(LEFT(TH!N1568,2)="15",LEFT(TH!O1568,2)="15"),TK!$E$7=TH!F1568),"x","")</f>
        <v/>
      </c>
      <c r="AD1568" s="75" t="str">
        <f>IF(AND(N1568="1521",MONTH(C1568)='BK-NL'!$M$11),"x","")</f>
        <v/>
      </c>
    </row>
    <row r="1569" spans="1:30" ht="16.5" customHeight="1">
      <c r="A1569" s="309" t="str">
        <f>IF(B1569&lt;&gt;"",IF(AND(B1569='IN-TC'!$S$4,OR(TH!N1569="1111",TH!O1569="1111")),TH!D1569,""),"")</f>
        <v/>
      </c>
      <c r="B1569" s="1130">
        <f t="shared" si="383"/>
        <v>6</v>
      </c>
      <c r="C1569" s="292">
        <f t="shared" si="384"/>
        <v>42887</v>
      </c>
      <c r="D1569" s="292" t="s">
        <v>2960</v>
      </c>
      <c r="E1569" s="292">
        <v>42887</v>
      </c>
      <c r="F1569" s="67" t="s">
        <v>566</v>
      </c>
      <c r="G1569" s="925"/>
      <c r="H1569" s="435" t="s">
        <v>422</v>
      </c>
      <c r="I1569" s="373">
        <v>25210</v>
      </c>
      <c r="J1569" s="379">
        <v>18200</v>
      </c>
      <c r="K1569" s="373"/>
      <c r="L1569" s="379"/>
      <c r="M1569" s="927">
        <f t="shared" si="385"/>
        <v>458822000</v>
      </c>
      <c r="N1569" s="295" t="s">
        <v>264</v>
      </c>
      <c r="O1569" s="295" t="s">
        <v>8</v>
      </c>
      <c r="P1569" s="75" t="str">
        <f>IF(AND('331-CT'!$E$7=TH!H1569,OR(N1569="331",O1569="331")),"x","")</f>
        <v/>
      </c>
      <c r="Q1569" s="75" t="str">
        <f>IF(AND(B1569='111'!$L$11,OR($N1569=$Q$7,$O1569=$Q$7)),"x","")</f>
        <v/>
      </c>
      <c r="R1569" s="75" t="str">
        <f>IF(AND($N1569=$Q$7,$B1569&lt;'111'!$L$11),"x","")</f>
        <v/>
      </c>
      <c r="S1569" s="75" t="str">
        <f>IF(AND($O1569=$Q$7,$B1569&lt;'111'!$L$11),"x","")</f>
        <v/>
      </c>
      <c r="T1569" s="75" t="str">
        <f>IF(ISERROR(FIND('112'!$M$9,G1569,1)),"",IF((AND(FIND('112'!$M$9,G1569,1)&gt;=1,B1569='112'!$K$9,OR($N1569='112'!$I$6,$O1569='112'!$I$6))),"x",""))</f>
        <v/>
      </c>
      <c r="U1569" s="75" t="str">
        <f>IF(ISERROR(FIND('112'!$M$9,G1569,1)),"",IF((AND(LEFT(G1569,2)=LEFT('112'!$M$9,2),B1569&lt;'112'!$K$9,$N1569='112'!$I$6)),"x",""))</f>
        <v/>
      </c>
      <c r="V1569" s="75" t="str">
        <f>IF(ISERROR(FIND('112'!$M$9,G1569,1)),"",IF((AND(RIGHT(G1569,2)=RIGHT('112'!$M$9,2),B1569&lt;'112'!$K$9,$O1569='112'!$I$6)),"x",""))</f>
        <v/>
      </c>
      <c r="W1569" s="75" t="str">
        <f>IF(AND('341-CT'!$H$9=H1569,OR(LEFT(N1569,3)=$W$7,LEFT(O1569,3)=$W$7)),"x","")</f>
        <v/>
      </c>
      <c r="X1569" s="75" t="str">
        <f>IF(OR(TH!N1569=TH!$X$7,O1569=TH!$X$7),"x","")</f>
        <v/>
      </c>
      <c r="Y1569" s="75" t="str">
        <f>IF(AND(OR(N1569="131",O1569="131"),H1569='131-CT'!$H$9),"x","")</f>
        <v/>
      </c>
      <c r="Z1569" s="75"/>
      <c r="AA1569" s="75" t="str">
        <f>IF(AND(MONTH(E1569)='IN-NX'!$J$5,'IN-NX'!$D$7=D1569),"x","")</f>
        <v/>
      </c>
      <c r="AB1569" s="75" t="str">
        <f>IF(AND(OR(LEFT(TH!N1569,2)="15",LEFT(TH!O1569,2)="15"),LEFT(TH!O1569,3)&lt;&gt;"111",'152-CT'!$J$8=TH!F1569),"x","")</f>
        <v/>
      </c>
      <c r="AC1569" s="75" t="str">
        <f>IF(AND(OR(LEFT(TH!N1569,2)="15",LEFT(TH!O1569,2)="15"),TK!$E$7=TH!F1569),"x","")</f>
        <v/>
      </c>
      <c r="AD1569" s="75" t="str">
        <f>IF(AND(N1569="1521",MONTH(C1569)='BK-NL'!$M$11),"x","")</f>
        <v/>
      </c>
    </row>
    <row r="1570" spans="1:30" ht="16.5" customHeight="1">
      <c r="A1570" s="309" t="str">
        <f>IF(B1570&lt;&gt;"",IF(AND(B1570='IN-TC'!$S$4,OR(TH!N1570="1111",TH!O1570="1111")),TH!D1570,""),"")</f>
        <v/>
      </c>
      <c r="B1570" s="1130">
        <f t="shared" si="383"/>
        <v>6</v>
      </c>
      <c r="C1570" s="292">
        <f t="shared" si="384"/>
        <v>42887</v>
      </c>
      <c r="D1570" s="292" t="s">
        <v>2961</v>
      </c>
      <c r="E1570" s="292">
        <v>42887</v>
      </c>
      <c r="F1570" s="67" t="s">
        <v>566</v>
      </c>
      <c r="G1570" s="925"/>
      <c r="H1570" s="429" t="s">
        <v>419</v>
      </c>
      <c r="I1570" s="373">
        <v>25310</v>
      </c>
      <c r="J1570" s="379">
        <v>18200</v>
      </c>
      <c r="K1570" s="373"/>
      <c r="L1570" s="379"/>
      <c r="M1570" s="927">
        <f t="shared" si="385"/>
        <v>460642000</v>
      </c>
      <c r="N1570" s="295" t="s">
        <v>264</v>
      </c>
      <c r="O1570" s="295" t="s">
        <v>8</v>
      </c>
      <c r="P1570" s="75" t="str">
        <f>IF(AND('331-CT'!$E$7=TH!H1570,OR(N1570="331",O1570="331")),"x","")</f>
        <v/>
      </c>
      <c r="Q1570" s="75" t="str">
        <f>IF(AND(B1570='111'!$L$11,OR($N1570=$Q$7,$O1570=$Q$7)),"x","")</f>
        <v/>
      </c>
      <c r="R1570" s="75" t="str">
        <f>IF(AND($N1570=$Q$7,$B1570&lt;'111'!$L$11),"x","")</f>
        <v/>
      </c>
      <c r="S1570" s="75" t="str">
        <f>IF(AND($O1570=$Q$7,$B1570&lt;'111'!$L$11),"x","")</f>
        <v/>
      </c>
      <c r="T1570" s="75" t="str">
        <f>IF(ISERROR(FIND('112'!$M$9,G1570,1)),"",IF((AND(FIND('112'!$M$9,G1570,1)&gt;=1,B1570='112'!$K$9,OR($N1570='112'!$I$6,$O1570='112'!$I$6))),"x",""))</f>
        <v/>
      </c>
      <c r="U1570" s="75" t="str">
        <f>IF(ISERROR(FIND('112'!$M$9,G1570,1)),"",IF((AND(LEFT(G1570,2)=LEFT('112'!$M$9,2),B1570&lt;'112'!$K$9,$N1570='112'!$I$6)),"x",""))</f>
        <v/>
      </c>
      <c r="V1570" s="75" t="str">
        <f>IF(ISERROR(FIND('112'!$M$9,G1570,1)),"",IF((AND(RIGHT(G1570,2)=RIGHT('112'!$M$9,2),B1570&lt;'112'!$K$9,$O1570='112'!$I$6)),"x",""))</f>
        <v/>
      </c>
      <c r="W1570" s="75" t="str">
        <f>IF(AND('341-CT'!$H$9=H1570,OR(LEFT(N1570,3)=$W$7,LEFT(O1570,3)=$W$7)),"x","")</f>
        <v/>
      </c>
      <c r="X1570" s="75" t="str">
        <f>IF(OR(TH!N1570=TH!$X$7,O1570=TH!$X$7),"x","")</f>
        <v/>
      </c>
      <c r="Y1570" s="75" t="str">
        <f>IF(AND(OR(N1570="131",O1570="131"),H1570='131-CT'!$H$9),"x","")</f>
        <v/>
      </c>
      <c r="Z1570" s="75"/>
      <c r="AA1570" s="75" t="str">
        <f>IF(AND(MONTH(E1570)='IN-NX'!$J$5,'IN-NX'!$D$7=D1570),"x","")</f>
        <v/>
      </c>
      <c r="AB1570" s="75" t="str">
        <f>IF(AND(OR(LEFT(TH!N1570,2)="15",LEFT(TH!O1570,2)="15"),LEFT(TH!O1570,3)&lt;&gt;"111",'152-CT'!$J$8=TH!F1570),"x","")</f>
        <v/>
      </c>
      <c r="AC1570" s="75" t="str">
        <f>IF(AND(OR(LEFT(TH!N1570,2)="15",LEFT(TH!O1570,2)="15"),TK!$E$7=TH!F1570),"x","")</f>
        <v/>
      </c>
      <c r="AD1570" s="75" t="str">
        <f>IF(AND(N1570="1521",MONTH(C1570)='BK-NL'!$M$11),"x","")</f>
        <v/>
      </c>
    </row>
    <row r="1571" spans="1:30" ht="16.5" customHeight="1">
      <c r="A1571" s="309" t="str">
        <f>IF(B1571&lt;&gt;"",IF(AND(B1571='IN-TC'!$S$4,OR(TH!N1571="1111",TH!O1571="1111")),TH!D1571,""),"")</f>
        <v/>
      </c>
      <c r="B1571" s="1130">
        <f t="shared" si="383"/>
        <v>6</v>
      </c>
      <c r="C1571" s="292">
        <f t="shared" si="384"/>
        <v>42890</v>
      </c>
      <c r="D1571" s="292" t="s">
        <v>2962</v>
      </c>
      <c r="E1571" s="292">
        <v>42890</v>
      </c>
      <c r="F1571" s="67" t="s">
        <v>566</v>
      </c>
      <c r="G1571" s="925"/>
      <c r="H1571" s="429" t="s">
        <v>420</v>
      </c>
      <c r="I1571" s="373">
        <v>25130</v>
      </c>
      <c r="J1571" s="379">
        <v>18200</v>
      </c>
      <c r="K1571" s="373"/>
      <c r="L1571" s="379"/>
      <c r="M1571" s="927">
        <f t="shared" si="385"/>
        <v>457366000</v>
      </c>
      <c r="N1571" s="295" t="s">
        <v>264</v>
      </c>
      <c r="O1571" s="295" t="s">
        <v>8</v>
      </c>
      <c r="P1571" s="75" t="str">
        <f>IF(AND('331-CT'!$E$7=TH!H1571,OR(N1571="331",O1571="331")),"x","")</f>
        <v/>
      </c>
      <c r="Q1571" s="75" t="str">
        <f>IF(AND(B1571='111'!$L$11,OR($N1571=$Q$7,$O1571=$Q$7)),"x","")</f>
        <v/>
      </c>
      <c r="R1571" s="75" t="str">
        <f>IF(AND($N1571=$Q$7,$B1571&lt;'111'!$L$11),"x","")</f>
        <v/>
      </c>
      <c r="S1571" s="75" t="str">
        <f>IF(AND($O1571=$Q$7,$B1571&lt;'111'!$L$11),"x","")</f>
        <v/>
      </c>
      <c r="T1571" s="75" t="str">
        <f>IF(ISERROR(FIND('112'!$M$9,G1571,1)),"",IF((AND(FIND('112'!$M$9,G1571,1)&gt;=1,B1571='112'!$K$9,OR($N1571='112'!$I$6,$O1571='112'!$I$6))),"x",""))</f>
        <v/>
      </c>
      <c r="U1571" s="75" t="str">
        <f>IF(ISERROR(FIND('112'!$M$9,G1571,1)),"",IF((AND(LEFT(G1571,2)=LEFT('112'!$M$9,2),B1571&lt;'112'!$K$9,$N1571='112'!$I$6)),"x",""))</f>
        <v/>
      </c>
      <c r="V1571" s="75" t="str">
        <f>IF(ISERROR(FIND('112'!$M$9,G1571,1)),"",IF((AND(RIGHT(G1571,2)=RIGHT('112'!$M$9,2),B1571&lt;'112'!$K$9,$O1571='112'!$I$6)),"x",""))</f>
        <v/>
      </c>
      <c r="W1571" s="75" t="str">
        <f>IF(AND('341-CT'!$H$9=H1571,OR(LEFT(N1571,3)=$W$7,LEFT(O1571,3)=$W$7)),"x","")</f>
        <v/>
      </c>
      <c r="X1571" s="75" t="str">
        <f>IF(OR(TH!N1571=TH!$X$7,O1571=TH!$X$7),"x","")</f>
        <v/>
      </c>
      <c r="Y1571" s="75" t="str">
        <f>IF(AND(OR(N1571="131",O1571="131"),H1571='131-CT'!$H$9),"x","")</f>
        <v/>
      </c>
      <c r="Z1571" s="75"/>
      <c r="AA1571" s="75" t="str">
        <f>IF(AND(MONTH(E1571)='IN-NX'!$J$5,'IN-NX'!$D$7=D1571),"x","")</f>
        <v/>
      </c>
      <c r="AB1571" s="75" t="str">
        <f>IF(AND(OR(LEFT(TH!N1571,2)="15",LEFT(TH!O1571,2)="15"),LEFT(TH!O1571,3)&lt;&gt;"111",'152-CT'!$J$8=TH!F1571),"x","")</f>
        <v/>
      </c>
      <c r="AC1571" s="75" t="str">
        <f>IF(AND(OR(LEFT(TH!N1571,2)="15",LEFT(TH!O1571,2)="15"),TK!$E$7=TH!F1571),"x","")</f>
        <v/>
      </c>
      <c r="AD1571" s="75" t="str">
        <f>IF(AND(N1571="1521",MONTH(C1571)='BK-NL'!$M$11),"x","")</f>
        <v/>
      </c>
    </row>
    <row r="1572" spans="1:30" ht="16.5" customHeight="1">
      <c r="A1572" s="309" t="str">
        <f>IF(B1572&lt;&gt;"",IF(AND(B1572='IN-TC'!$S$4,OR(TH!N1572="1111",TH!O1572="1111")),TH!D1572,""),"")</f>
        <v/>
      </c>
      <c r="B1572" s="1130">
        <f t="shared" ref="B1572:B1614" si="386">IF(C1572&lt;&gt;"",MONTH(C1572),"")</f>
        <v>6</v>
      </c>
      <c r="C1572" s="292">
        <f t="shared" ref="C1572:C1614" si="387">E1572</f>
        <v>42890</v>
      </c>
      <c r="D1572" s="292" t="s">
        <v>2963</v>
      </c>
      <c r="E1572" s="292">
        <v>42890</v>
      </c>
      <c r="F1572" s="67" t="s">
        <v>566</v>
      </c>
      <c r="G1572" s="925"/>
      <c r="H1572" s="435" t="s">
        <v>422</v>
      </c>
      <c r="I1572" s="373">
        <v>25012</v>
      </c>
      <c r="J1572" s="379">
        <v>18200</v>
      </c>
      <c r="K1572" s="373"/>
      <c r="L1572" s="379"/>
      <c r="M1572" s="927">
        <f t="shared" ref="M1572:M1614" si="388">ROUND(I1572*J1572,0)</f>
        <v>455218400</v>
      </c>
      <c r="N1572" s="295" t="s">
        <v>264</v>
      </c>
      <c r="O1572" s="295" t="s">
        <v>8</v>
      </c>
      <c r="P1572" s="75" t="str">
        <f>IF(AND('331-CT'!$E$7=TH!H1572,OR(N1572="331",O1572="331")),"x","")</f>
        <v/>
      </c>
      <c r="Q1572" s="75" t="str">
        <f>IF(AND(B1572='111'!$L$11,OR($N1572=$Q$7,$O1572=$Q$7)),"x","")</f>
        <v/>
      </c>
      <c r="R1572" s="75" t="str">
        <f>IF(AND($N1572=$Q$7,$B1572&lt;'111'!$L$11),"x","")</f>
        <v/>
      </c>
      <c r="S1572" s="75" t="str">
        <f>IF(AND($O1572=$Q$7,$B1572&lt;'111'!$L$11),"x","")</f>
        <v/>
      </c>
      <c r="T1572" s="75" t="str">
        <f>IF(ISERROR(FIND('112'!$M$9,G1572,1)),"",IF((AND(FIND('112'!$M$9,G1572,1)&gt;=1,B1572='112'!$K$9,OR($N1572='112'!$I$6,$O1572='112'!$I$6))),"x",""))</f>
        <v/>
      </c>
      <c r="U1572" s="75" t="str">
        <f>IF(ISERROR(FIND('112'!$M$9,G1572,1)),"",IF((AND(LEFT(G1572,2)=LEFT('112'!$M$9,2),B1572&lt;'112'!$K$9,$N1572='112'!$I$6)),"x",""))</f>
        <v/>
      </c>
      <c r="V1572" s="75" t="str">
        <f>IF(ISERROR(FIND('112'!$M$9,G1572,1)),"",IF((AND(RIGHT(G1572,2)=RIGHT('112'!$M$9,2),B1572&lt;'112'!$K$9,$O1572='112'!$I$6)),"x",""))</f>
        <v/>
      </c>
      <c r="W1572" s="75" t="str">
        <f>IF(AND('341-CT'!$H$9=H1572,OR(LEFT(N1572,3)=$W$7,LEFT(O1572,3)=$W$7)),"x","")</f>
        <v/>
      </c>
      <c r="X1572" s="75" t="str">
        <f>IF(OR(TH!N1572=TH!$X$7,O1572=TH!$X$7),"x","")</f>
        <v/>
      </c>
      <c r="Y1572" s="75" t="str">
        <f>IF(AND(OR(N1572="131",O1572="131"),H1572='131-CT'!$H$9),"x","")</f>
        <v/>
      </c>
      <c r="Z1572" s="75"/>
      <c r="AA1572" s="75" t="str">
        <f>IF(AND(MONTH(E1572)='IN-NX'!$J$5,'IN-NX'!$D$7=D1572),"x","")</f>
        <v/>
      </c>
      <c r="AB1572" s="75" t="str">
        <f>IF(AND(OR(LEFT(TH!N1572,2)="15",LEFT(TH!O1572,2)="15"),LEFT(TH!O1572,3)&lt;&gt;"111",'152-CT'!$J$8=TH!F1572),"x","")</f>
        <v/>
      </c>
      <c r="AC1572" s="75" t="str">
        <f>IF(AND(OR(LEFT(TH!N1572,2)="15",LEFT(TH!O1572,2)="15"),TK!$E$7=TH!F1572),"x","")</f>
        <v/>
      </c>
      <c r="AD1572" s="75" t="str">
        <f>IF(AND(N1572="1521",MONTH(C1572)='BK-NL'!$M$11),"x","")</f>
        <v/>
      </c>
    </row>
    <row r="1573" spans="1:30" ht="16.5" customHeight="1">
      <c r="A1573" s="309" t="str">
        <f>IF(B1573&lt;&gt;"",IF(AND(B1573='IN-TC'!$S$4,OR(TH!N1573="1111",TH!O1573="1111")),TH!D1573,""),"")</f>
        <v/>
      </c>
      <c r="B1573" s="1130">
        <f t="shared" si="386"/>
        <v>6</v>
      </c>
      <c r="C1573" s="292">
        <f t="shared" si="387"/>
        <v>42890</v>
      </c>
      <c r="D1573" s="292" t="s">
        <v>2964</v>
      </c>
      <c r="E1573" s="292">
        <v>42890</v>
      </c>
      <c r="F1573" s="67" t="s">
        <v>566</v>
      </c>
      <c r="G1573" s="925"/>
      <c r="H1573" s="429" t="s">
        <v>419</v>
      </c>
      <c r="I1573" s="373">
        <f>151800-SUM(I1568:I1572)</f>
        <v>25718</v>
      </c>
      <c r="J1573" s="379">
        <v>18200</v>
      </c>
      <c r="K1573" s="373"/>
      <c r="L1573" s="379"/>
      <c r="M1573" s="927">
        <f t="shared" si="388"/>
        <v>468067600</v>
      </c>
      <c r="N1573" s="295" t="s">
        <v>264</v>
      </c>
      <c r="O1573" s="295" t="s">
        <v>8</v>
      </c>
      <c r="P1573" s="75" t="str">
        <f>IF(AND('331-CT'!$E$7=TH!H1573,OR(N1573="331",O1573="331")),"x","")</f>
        <v/>
      </c>
      <c r="Q1573" s="75" t="str">
        <f>IF(AND(B1573='111'!$L$11,OR($N1573=$Q$7,$O1573=$Q$7)),"x","")</f>
        <v/>
      </c>
      <c r="R1573" s="75" t="str">
        <f>IF(AND($N1573=$Q$7,$B1573&lt;'111'!$L$11),"x","")</f>
        <v/>
      </c>
      <c r="S1573" s="75" t="str">
        <f>IF(AND($O1573=$Q$7,$B1573&lt;'111'!$L$11),"x","")</f>
        <v/>
      </c>
      <c r="T1573" s="75" t="str">
        <f>IF(ISERROR(FIND('112'!$M$9,G1573,1)),"",IF((AND(FIND('112'!$M$9,G1573,1)&gt;=1,B1573='112'!$K$9,OR($N1573='112'!$I$6,$O1573='112'!$I$6))),"x",""))</f>
        <v/>
      </c>
      <c r="U1573" s="75" t="str">
        <f>IF(ISERROR(FIND('112'!$M$9,G1573,1)),"",IF((AND(LEFT(G1573,2)=LEFT('112'!$M$9,2),B1573&lt;'112'!$K$9,$N1573='112'!$I$6)),"x",""))</f>
        <v/>
      </c>
      <c r="V1573" s="75" t="str">
        <f>IF(ISERROR(FIND('112'!$M$9,G1573,1)),"",IF((AND(RIGHT(G1573,2)=RIGHT('112'!$M$9,2),B1573&lt;'112'!$K$9,$O1573='112'!$I$6)),"x",""))</f>
        <v/>
      </c>
      <c r="W1573" s="75" t="str">
        <f>IF(AND('341-CT'!$H$9=H1573,OR(LEFT(N1573,3)=$W$7,LEFT(O1573,3)=$W$7)),"x","")</f>
        <v/>
      </c>
      <c r="X1573" s="75" t="str">
        <f>IF(OR(TH!N1573=TH!$X$7,O1573=TH!$X$7),"x","")</f>
        <v/>
      </c>
      <c r="Y1573" s="75" t="str">
        <f>IF(AND(OR(N1573="131",O1573="131"),H1573='131-CT'!$H$9),"x","")</f>
        <v/>
      </c>
      <c r="Z1573" s="75"/>
      <c r="AA1573" s="75" t="str">
        <f>IF(AND(MONTH(E1573)='IN-NX'!$J$5,'IN-NX'!$D$7=D1573),"x","")</f>
        <v/>
      </c>
      <c r="AB1573" s="75" t="str">
        <f>IF(AND(OR(LEFT(TH!N1573,2)="15",LEFT(TH!O1573,2)="15"),LEFT(TH!O1573,3)&lt;&gt;"111",'152-CT'!$J$8=TH!F1573),"x","")</f>
        <v/>
      </c>
      <c r="AC1573" s="75" t="str">
        <f>IF(AND(OR(LEFT(TH!N1573,2)="15",LEFT(TH!O1573,2)="15"),TK!$E$7=TH!F1573),"x","")</f>
        <v/>
      </c>
      <c r="AD1573" s="75" t="str">
        <f>IF(AND(N1573="1521",MONTH(C1573)='BK-NL'!$M$11),"x","")</f>
        <v/>
      </c>
    </row>
    <row r="1574" spans="1:30" ht="16.5" customHeight="1">
      <c r="A1574" s="309" t="str">
        <f>IF(B1574&lt;&gt;"",IF(AND(B1574='IN-TC'!$S$4,OR(TH!N1574="1111",TH!O1574="1111")),TH!D1574,""),"")</f>
        <v/>
      </c>
      <c r="B1574" s="1130">
        <f>IF(C1574&lt;&gt;"",MONTH(C1574),"")</f>
        <v>6</v>
      </c>
      <c r="C1574" s="292">
        <f>E1574</f>
        <v>42890</v>
      </c>
      <c r="D1574" s="292" t="s">
        <v>2964</v>
      </c>
      <c r="E1574" s="292">
        <v>42890</v>
      </c>
      <c r="F1574" s="67" t="s">
        <v>566</v>
      </c>
      <c r="G1574" s="925"/>
      <c r="H1574" s="429" t="s">
        <v>419</v>
      </c>
      <c r="I1574" s="373">
        <v>15000</v>
      </c>
      <c r="J1574" s="379">
        <v>19500</v>
      </c>
      <c r="K1574" s="373"/>
      <c r="L1574" s="379"/>
      <c r="M1574" s="927">
        <f>ROUND(I1574*J1574,0)</f>
        <v>292500000</v>
      </c>
      <c r="N1574" s="295" t="s">
        <v>264</v>
      </c>
      <c r="O1574" s="295" t="s">
        <v>8</v>
      </c>
      <c r="P1574" s="75" t="str">
        <f>IF(AND('331-CT'!$E$7=TH!H1574,OR(N1574="331",O1574="331")),"x","")</f>
        <v/>
      </c>
      <c r="Q1574" s="75" t="str">
        <f>IF(AND(B1574='111'!$L$11,OR($N1574=$Q$7,$O1574=$Q$7)),"x","")</f>
        <v/>
      </c>
      <c r="R1574" s="75" t="str">
        <f>IF(AND($N1574=$Q$7,$B1574&lt;'111'!$L$11),"x","")</f>
        <v/>
      </c>
      <c r="S1574" s="75" t="str">
        <f>IF(AND($O1574=$Q$7,$B1574&lt;'111'!$L$11),"x","")</f>
        <v/>
      </c>
      <c r="T1574" s="75" t="str">
        <f>IF(ISERROR(FIND('112'!$M$9,G1574,1)),"",IF((AND(FIND('112'!$M$9,G1574,1)&gt;=1,B1574='112'!$K$9,OR($N1574='112'!$I$6,$O1574='112'!$I$6))),"x",""))</f>
        <v/>
      </c>
      <c r="U1574" s="75" t="str">
        <f>IF(ISERROR(FIND('112'!$M$9,G1574,1)),"",IF((AND(LEFT(G1574,2)=LEFT('112'!$M$9,2),B1574&lt;'112'!$K$9,$N1574='112'!$I$6)),"x",""))</f>
        <v/>
      </c>
      <c r="V1574" s="75" t="str">
        <f>IF(ISERROR(FIND('112'!$M$9,G1574,1)),"",IF((AND(RIGHT(G1574,2)=RIGHT('112'!$M$9,2),B1574&lt;'112'!$K$9,$O1574='112'!$I$6)),"x",""))</f>
        <v/>
      </c>
      <c r="W1574" s="75" t="str">
        <f>IF(AND('341-CT'!$H$9=H1574,OR(LEFT(N1574,3)=$W$7,LEFT(O1574,3)=$W$7)),"x","")</f>
        <v/>
      </c>
      <c r="X1574" s="75" t="str">
        <f>IF(OR(TH!N1574=TH!$X$7,O1574=TH!$X$7),"x","")</f>
        <v/>
      </c>
      <c r="Y1574" s="75" t="str">
        <f>IF(AND(OR(N1574="131",O1574="131"),H1574='131-CT'!$H$9),"x","")</f>
        <v/>
      </c>
      <c r="Z1574" s="75"/>
      <c r="AA1574" s="75" t="str">
        <f>IF(AND(MONTH(E1574)='IN-NX'!$J$5,'IN-NX'!$D$7=D1574),"x","")</f>
        <v/>
      </c>
      <c r="AB1574" s="75" t="str">
        <f>IF(AND(OR(LEFT(TH!N1574,2)="15",LEFT(TH!O1574,2)="15"),LEFT(TH!O1574,3)&lt;&gt;"111",'152-CT'!$J$8=TH!F1574),"x","")</f>
        <v/>
      </c>
      <c r="AC1574" s="75" t="str">
        <f>IF(AND(OR(LEFT(TH!N1574,2)="15",LEFT(TH!O1574,2)="15"),TK!$E$7=TH!F1574),"x","")</f>
        <v/>
      </c>
      <c r="AD1574" s="75" t="str">
        <f>IF(AND(N1574="1521",MONTH(C1574)='BK-NL'!$M$11),"x","")</f>
        <v/>
      </c>
    </row>
    <row r="1575" spans="1:30" ht="16.5" customHeight="1">
      <c r="A1575" s="309" t="str">
        <f>IF(B1575&lt;&gt;"",IF(AND(B1575='IN-TC'!$S$4,OR(TH!N1575="1111",TH!O1575="1111")),TH!D1575,""),"")</f>
        <v/>
      </c>
      <c r="B1575" s="1130">
        <f>IF(C1575&lt;&gt;"",MONTH(C1575),"")</f>
        <v>6</v>
      </c>
      <c r="C1575" s="292">
        <f>E1575</f>
        <v>42901</v>
      </c>
      <c r="D1575" s="292" t="s">
        <v>2973</v>
      </c>
      <c r="E1575" s="292">
        <v>42901</v>
      </c>
      <c r="F1575" s="425" t="s">
        <v>565</v>
      </c>
      <c r="G1575" s="925"/>
      <c r="H1575" s="429" t="s">
        <v>350</v>
      </c>
      <c r="I1575" s="373">
        <v>18480</v>
      </c>
      <c r="J1575" s="379">
        <v>17500</v>
      </c>
      <c r="K1575" s="373"/>
      <c r="L1575" s="379"/>
      <c r="M1575" s="927">
        <f>ROUND(I1575*J1575,0)</f>
        <v>323400000</v>
      </c>
      <c r="N1575" s="295" t="s">
        <v>264</v>
      </c>
      <c r="O1575" s="295" t="s">
        <v>8</v>
      </c>
      <c r="P1575" s="75" t="str">
        <f>IF(AND('331-CT'!$E$7=TH!H1575,OR(N1575="331",O1575="331")),"x","")</f>
        <v/>
      </c>
      <c r="Q1575" s="75" t="str">
        <f>IF(AND(B1575='111'!$L$11,OR($N1575=$Q$7,$O1575=$Q$7)),"x","")</f>
        <v/>
      </c>
      <c r="R1575" s="75" t="str">
        <f>IF(AND($N1575=$Q$7,$B1575&lt;'111'!$L$11),"x","")</f>
        <v/>
      </c>
      <c r="S1575" s="75" t="str">
        <f>IF(AND($O1575=$Q$7,$B1575&lt;'111'!$L$11),"x","")</f>
        <v/>
      </c>
      <c r="T1575" s="75" t="str">
        <f>IF(ISERROR(FIND('112'!$M$9,G1575,1)),"",IF((AND(FIND('112'!$M$9,G1575,1)&gt;=1,B1575='112'!$K$9,OR($N1575='112'!$I$6,$O1575='112'!$I$6))),"x",""))</f>
        <v/>
      </c>
      <c r="U1575" s="75" t="str">
        <f>IF(ISERROR(FIND('112'!$M$9,G1575,1)),"",IF((AND(LEFT(G1575,2)=LEFT('112'!$M$9,2),B1575&lt;'112'!$K$9,$N1575='112'!$I$6)),"x",""))</f>
        <v/>
      </c>
      <c r="V1575" s="75" t="str">
        <f>IF(ISERROR(FIND('112'!$M$9,G1575,1)),"",IF((AND(RIGHT(G1575,2)=RIGHT('112'!$M$9,2),B1575&lt;'112'!$K$9,$O1575='112'!$I$6)),"x",""))</f>
        <v/>
      </c>
      <c r="W1575" s="75" t="str">
        <f>IF(AND('341-CT'!$H$9=H1575,OR(LEFT(N1575,3)=$W$7,LEFT(O1575,3)=$W$7)),"x","")</f>
        <v/>
      </c>
      <c r="X1575" s="75" t="str">
        <f>IF(OR(TH!N1575=TH!$X$7,O1575=TH!$X$7),"x","")</f>
        <v/>
      </c>
      <c r="Y1575" s="75" t="str">
        <f>IF(AND(OR(N1575="131",O1575="131"),H1575='131-CT'!$H$9),"x","")</f>
        <v/>
      </c>
      <c r="Z1575" s="75"/>
      <c r="AA1575" s="75" t="str">
        <f>IF(AND(MONTH(E1575)='IN-NX'!$J$5,'IN-NX'!$D$7=D1575),"x","")</f>
        <v/>
      </c>
      <c r="AB1575" s="75" t="str">
        <f>IF(AND(OR(LEFT(TH!N1575,2)="15",LEFT(TH!O1575,2)="15"),LEFT(TH!O1575,3)&lt;&gt;"111",'152-CT'!$J$8=TH!F1575),"x","")</f>
        <v/>
      </c>
      <c r="AC1575" s="75" t="str">
        <f>IF(AND(OR(LEFT(TH!N1575,2)="15",LEFT(TH!O1575,2)="15"),TK!$E$7=TH!F1575),"x","")</f>
        <v/>
      </c>
      <c r="AD1575" s="75" t="str">
        <f>IF(AND(N1575="1521",MONTH(C1575)='BK-NL'!$M$11),"x","")</f>
        <v/>
      </c>
    </row>
    <row r="1576" spans="1:30" ht="16.5" customHeight="1">
      <c r="A1576" s="309" t="str">
        <f>IF(B1576&lt;&gt;"",IF(AND(B1576='IN-TC'!$S$4,OR(TH!N1576="1111",TH!O1576="1111")),TH!D1576,""),"")</f>
        <v/>
      </c>
      <c r="B1576" s="1130">
        <f>IF(C1576&lt;&gt;"",MONTH(C1576),"")</f>
        <v>6</v>
      </c>
      <c r="C1576" s="292">
        <f>E1576</f>
        <v>42901</v>
      </c>
      <c r="D1576" s="292" t="s">
        <v>2974</v>
      </c>
      <c r="E1576" s="292">
        <v>42901</v>
      </c>
      <c r="F1576" s="425" t="s">
        <v>565</v>
      </c>
      <c r="G1576" s="925"/>
      <c r="H1576" s="435" t="s">
        <v>348</v>
      </c>
      <c r="I1576" s="373">
        <v>16800</v>
      </c>
      <c r="J1576" s="379">
        <v>17000</v>
      </c>
      <c r="K1576" s="373"/>
      <c r="L1576" s="379"/>
      <c r="M1576" s="927">
        <f>ROUND(I1576*J1576,0)</f>
        <v>285600000</v>
      </c>
      <c r="N1576" s="295" t="s">
        <v>264</v>
      </c>
      <c r="O1576" s="295" t="s">
        <v>8</v>
      </c>
      <c r="P1576" s="75" t="str">
        <f>IF(AND('331-CT'!$E$7=TH!H1576,OR(N1576="331",O1576="331")),"x","")</f>
        <v/>
      </c>
      <c r="Q1576" s="75" t="str">
        <f>IF(AND(B1576='111'!$L$11,OR($N1576=$Q$7,$O1576=$Q$7)),"x","")</f>
        <v/>
      </c>
      <c r="R1576" s="75" t="str">
        <f>IF(AND($N1576=$Q$7,$B1576&lt;'111'!$L$11),"x","")</f>
        <v/>
      </c>
      <c r="S1576" s="75" t="str">
        <f>IF(AND($O1576=$Q$7,$B1576&lt;'111'!$L$11),"x","")</f>
        <v/>
      </c>
      <c r="T1576" s="75" t="str">
        <f>IF(ISERROR(FIND('112'!$M$9,G1576,1)),"",IF((AND(FIND('112'!$M$9,G1576,1)&gt;=1,B1576='112'!$K$9,OR($N1576='112'!$I$6,$O1576='112'!$I$6))),"x",""))</f>
        <v/>
      </c>
      <c r="U1576" s="75" t="str">
        <f>IF(ISERROR(FIND('112'!$M$9,G1576,1)),"",IF((AND(LEFT(G1576,2)=LEFT('112'!$M$9,2),B1576&lt;'112'!$K$9,$N1576='112'!$I$6)),"x",""))</f>
        <v/>
      </c>
      <c r="V1576" s="75" t="str">
        <f>IF(ISERROR(FIND('112'!$M$9,G1576,1)),"",IF((AND(RIGHT(G1576,2)=RIGHT('112'!$M$9,2),B1576&lt;'112'!$K$9,$O1576='112'!$I$6)),"x",""))</f>
        <v/>
      </c>
      <c r="W1576" s="75" t="str">
        <f>IF(AND('341-CT'!$H$9=H1576,OR(LEFT(N1576,3)=$W$7,LEFT(O1576,3)=$W$7)),"x","")</f>
        <v/>
      </c>
      <c r="X1576" s="75" t="str">
        <f>IF(OR(TH!N1576=TH!$X$7,O1576=TH!$X$7),"x","")</f>
        <v/>
      </c>
      <c r="Y1576" s="75" t="str">
        <f>IF(AND(OR(N1576="131",O1576="131"),H1576='131-CT'!$H$9),"x","")</f>
        <v/>
      </c>
      <c r="Z1576" s="75"/>
      <c r="AA1576" s="75" t="str">
        <f>IF(AND(MONTH(E1576)='IN-NX'!$J$5,'IN-NX'!$D$7=D1576),"x","")</f>
        <v/>
      </c>
      <c r="AB1576" s="75" t="str">
        <f>IF(AND(OR(LEFT(TH!N1576,2)="15",LEFT(TH!O1576,2)="15"),LEFT(TH!O1576,3)&lt;&gt;"111",'152-CT'!$J$8=TH!F1576),"x","")</f>
        <v/>
      </c>
      <c r="AC1576" s="75" t="str">
        <f>IF(AND(OR(LEFT(TH!N1576,2)="15",LEFT(TH!O1576,2)="15"),TK!$E$7=TH!F1576),"x","")</f>
        <v/>
      </c>
      <c r="AD1576" s="75" t="str">
        <f>IF(AND(N1576="1521",MONTH(C1576)='BK-NL'!$M$11),"x","")</f>
        <v/>
      </c>
    </row>
    <row r="1577" spans="1:30" ht="16.5" customHeight="1">
      <c r="A1577" s="309" t="str">
        <f>IF(B1577&lt;&gt;"",IF(AND(B1577='IN-TC'!$S$4,OR(TH!N1577="1111",TH!O1577="1111")),TH!D1577,""),"")</f>
        <v/>
      </c>
      <c r="B1577" s="1130">
        <f t="shared" ref="B1577:B1587" si="389">IF(C1577&lt;&gt;"",MONTH(C1577),"")</f>
        <v>6</v>
      </c>
      <c r="C1577" s="292">
        <f t="shared" ref="C1577:C1587" si="390">E1577</f>
        <v>42901</v>
      </c>
      <c r="D1577" s="292" t="s">
        <v>2974</v>
      </c>
      <c r="E1577" s="292">
        <v>42901</v>
      </c>
      <c r="F1577" s="293" t="s">
        <v>1910</v>
      </c>
      <c r="G1577" s="925"/>
      <c r="H1577" s="435" t="s">
        <v>348</v>
      </c>
      <c r="I1577" s="373">
        <v>1200</v>
      </c>
      <c r="J1577" s="379">
        <v>35000</v>
      </c>
      <c r="K1577" s="373"/>
      <c r="L1577" s="379"/>
      <c r="M1577" s="927">
        <f t="shared" ref="M1577:M1587" si="391">ROUND(I1577*J1577,0)</f>
        <v>42000000</v>
      </c>
      <c r="N1577" s="295" t="s">
        <v>264</v>
      </c>
      <c r="O1577" s="295" t="s">
        <v>8</v>
      </c>
      <c r="P1577" s="75" t="str">
        <f>IF(AND('331-CT'!$E$7=TH!H1577,OR(N1577="331",O1577="331")),"x","")</f>
        <v/>
      </c>
      <c r="Q1577" s="75" t="str">
        <f>IF(AND(B1577='111'!$L$11,OR($N1577=$Q$7,$O1577=$Q$7)),"x","")</f>
        <v/>
      </c>
      <c r="R1577" s="75" t="str">
        <f>IF(AND($N1577=$Q$7,$B1577&lt;'111'!$L$11),"x","")</f>
        <v/>
      </c>
      <c r="S1577" s="75" t="str">
        <f>IF(AND($O1577=$Q$7,$B1577&lt;'111'!$L$11),"x","")</f>
        <v/>
      </c>
      <c r="T1577" s="75" t="str">
        <f>IF(ISERROR(FIND('112'!$M$9,G1577,1)),"",IF((AND(FIND('112'!$M$9,G1577,1)&gt;=1,B1577='112'!$K$9,OR($N1577='112'!$I$6,$O1577='112'!$I$6))),"x",""))</f>
        <v/>
      </c>
      <c r="U1577" s="75" t="str">
        <f>IF(ISERROR(FIND('112'!$M$9,G1577,1)),"",IF((AND(LEFT(G1577,2)=LEFT('112'!$M$9,2),B1577&lt;'112'!$K$9,$N1577='112'!$I$6)),"x",""))</f>
        <v/>
      </c>
      <c r="V1577" s="75" t="str">
        <f>IF(ISERROR(FIND('112'!$M$9,G1577,1)),"",IF((AND(RIGHT(G1577,2)=RIGHT('112'!$M$9,2),B1577&lt;'112'!$K$9,$O1577='112'!$I$6)),"x",""))</f>
        <v/>
      </c>
      <c r="W1577" s="75" t="str">
        <f>IF(AND('341-CT'!$H$9=H1577,OR(LEFT(N1577,3)=$W$7,LEFT(O1577,3)=$W$7)),"x","")</f>
        <v/>
      </c>
      <c r="X1577" s="75" t="str">
        <f>IF(OR(TH!N1577=TH!$X$7,O1577=TH!$X$7),"x","")</f>
        <v/>
      </c>
      <c r="Y1577" s="75" t="str">
        <f>IF(AND(OR(N1577="131",O1577="131"),H1577='131-CT'!$H$9),"x","")</f>
        <v/>
      </c>
      <c r="Z1577" s="75"/>
      <c r="AA1577" s="75" t="str">
        <f>IF(AND(MONTH(E1577)='IN-NX'!$J$5,'IN-NX'!$D$7=D1577),"x","")</f>
        <v/>
      </c>
      <c r="AB1577" s="75" t="str">
        <f>IF(AND(OR(LEFT(TH!N1577,2)="15",LEFT(TH!O1577,2)="15"),LEFT(TH!O1577,3)&lt;&gt;"111",'152-CT'!$J$8=TH!F1577),"x","")</f>
        <v/>
      </c>
      <c r="AC1577" s="75" t="str">
        <f>IF(AND(OR(LEFT(TH!N1577,2)="15",LEFT(TH!O1577,2)="15"),TK!$E$7=TH!F1577),"x","")</f>
        <v/>
      </c>
      <c r="AD1577" s="75" t="str">
        <f>IF(AND(N1577="1521",MONTH(C1577)='BK-NL'!$M$11),"x","")</f>
        <v/>
      </c>
    </row>
    <row r="1578" spans="1:30" ht="16.5" customHeight="1">
      <c r="A1578" s="309" t="str">
        <f>IF(B1578&lt;&gt;"",IF(AND(B1578='IN-TC'!$S$4,OR(TH!N1578="1111",TH!O1578="1111")),TH!D1578,""),"")</f>
        <v/>
      </c>
      <c r="B1578" s="1130">
        <f t="shared" si="389"/>
        <v>6</v>
      </c>
      <c r="C1578" s="292">
        <f t="shared" si="390"/>
        <v>42901</v>
      </c>
      <c r="D1578" s="292" t="s">
        <v>2974</v>
      </c>
      <c r="E1578" s="292">
        <v>42901</v>
      </c>
      <c r="F1578" s="67" t="s">
        <v>764</v>
      </c>
      <c r="G1578" s="925"/>
      <c r="H1578" s="435" t="s">
        <v>348</v>
      </c>
      <c r="I1578" s="373">
        <v>2088</v>
      </c>
      <c r="J1578" s="379">
        <v>18500</v>
      </c>
      <c r="K1578" s="373"/>
      <c r="L1578" s="379"/>
      <c r="M1578" s="927">
        <f t="shared" si="391"/>
        <v>38628000</v>
      </c>
      <c r="N1578" s="295" t="s">
        <v>264</v>
      </c>
      <c r="O1578" s="295" t="s">
        <v>8</v>
      </c>
      <c r="P1578" s="75" t="str">
        <f>IF(AND('331-CT'!$E$7=TH!H1578,OR(N1578="331",O1578="331")),"x","")</f>
        <v/>
      </c>
      <c r="Q1578" s="75" t="str">
        <f>IF(AND(B1578='111'!$L$11,OR($N1578=$Q$7,$O1578=$Q$7)),"x","")</f>
        <v/>
      </c>
      <c r="R1578" s="75" t="str">
        <f>IF(AND($N1578=$Q$7,$B1578&lt;'111'!$L$11),"x","")</f>
        <v/>
      </c>
      <c r="S1578" s="75" t="str">
        <f>IF(AND($O1578=$Q$7,$B1578&lt;'111'!$L$11),"x","")</f>
        <v/>
      </c>
      <c r="T1578" s="75" t="str">
        <f>IF(ISERROR(FIND('112'!$M$9,G1578,1)),"",IF((AND(FIND('112'!$M$9,G1578,1)&gt;=1,B1578='112'!$K$9,OR($N1578='112'!$I$6,$O1578='112'!$I$6))),"x",""))</f>
        <v/>
      </c>
      <c r="U1578" s="75" t="str">
        <f>IF(ISERROR(FIND('112'!$M$9,G1578,1)),"",IF((AND(LEFT(G1578,2)=LEFT('112'!$M$9,2),B1578&lt;'112'!$K$9,$N1578='112'!$I$6)),"x",""))</f>
        <v/>
      </c>
      <c r="V1578" s="75" t="str">
        <f>IF(ISERROR(FIND('112'!$M$9,G1578,1)),"",IF((AND(RIGHT(G1578,2)=RIGHT('112'!$M$9,2),B1578&lt;'112'!$K$9,$O1578='112'!$I$6)),"x",""))</f>
        <v/>
      </c>
      <c r="W1578" s="75" t="str">
        <f>IF(AND('341-CT'!$H$9=H1578,OR(LEFT(N1578,3)=$W$7,LEFT(O1578,3)=$W$7)),"x","")</f>
        <v/>
      </c>
      <c r="X1578" s="75" t="str">
        <f>IF(OR(TH!N1578=TH!$X$7,O1578=TH!$X$7),"x","")</f>
        <v/>
      </c>
      <c r="Y1578" s="75" t="str">
        <f>IF(AND(OR(N1578="131",O1578="131"),H1578='131-CT'!$H$9),"x","")</f>
        <v/>
      </c>
      <c r="Z1578" s="75"/>
      <c r="AA1578" s="75" t="str">
        <f>IF(AND(MONTH(E1578)='IN-NX'!$J$5,'IN-NX'!$D$7=D1578),"x","")</f>
        <v/>
      </c>
      <c r="AB1578" s="75" t="str">
        <f>IF(AND(OR(LEFT(TH!N1578,2)="15",LEFT(TH!O1578,2)="15"),LEFT(TH!O1578,3)&lt;&gt;"111",'152-CT'!$J$8=TH!F1578),"x","")</f>
        <v/>
      </c>
      <c r="AC1578" s="75" t="str">
        <f>IF(AND(OR(LEFT(TH!N1578,2)="15",LEFT(TH!O1578,2)="15"),TK!$E$7=TH!F1578),"x","")</f>
        <v/>
      </c>
      <c r="AD1578" s="75" t="str">
        <f>IF(AND(N1578="1521",MONTH(C1578)='BK-NL'!$M$11),"x","")</f>
        <v/>
      </c>
    </row>
    <row r="1579" spans="1:30" ht="16.5" customHeight="1">
      <c r="A1579" s="309" t="str">
        <f>IF(B1579&lt;&gt;"",IF(AND(B1579='IN-TC'!$S$4,OR(TH!N1579="1111",TH!O1579="1111")),TH!D1579,""),"")</f>
        <v/>
      </c>
      <c r="B1579" s="1130">
        <f t="shared" ref="B1579:B1582" si="392">IF(C1579&lt;&gt;"",MONTH(C1579),"")</f>
        <v>6</v>
      </c>
      <c r="C1579" s="292">
        <f t="shared" ref="C1579:C1582" si="393">E1579</f>
        <v>42901</v>
      </c>
      <c r="D1579" s="292" t="s">
        <v>2974</v>
      </c>
      <c r="E1579" s="292">
        <v>42901</v>
      </c>
      <c r="F1579" s="429" t="s">
        <v>1911</v>
      </c>
      <c r="G1579" s="925"/>
      <c r="H1579" s="435" t="s">
        <v>348</v>
      </c>
      <c r="I1579" s="373">
        <v>12200</v>
      </c>
      <c r="J1579" s="379">
        <v>30000</v>
      </c>
      <c r="K1579" s="373"/>
      <c r="L1579" s="379"/>
      <c r="M1579" s="927">
        <f t="shared" ref="M1579:M1582" si="394">ROUND(I1579*J1579,0)</f>
        <v>366000000</v>
      </c>
      <c r="N1579" s="295" t="s">
        <v>264</v>
      </c>
      <c r="O1579" s="295" t="s">
        <v>8</v>
      </c>
      <c r="P1579" s="75" t="str">
        <f>IF(AND('331-CT'!$E$7=TH!H1579,OR(N1579="331",O1579="331")),"x","")</f>
        <v/>
      </c>
      <c r="Q1579" s="75" t="str">
        <f>IF(AND(B1579='111'!$L$11,OR($N1579=$Q$7,$O1579=$Q$7)),"x","")</f>
        <v/>
      </c>
      <c r="R1579" s="75" t="str">
        <f>IF(AND($N1579=$Q$7,$B1579&lt;'111'!$L$11),"x","")</f>
        <v/>
      </c>
      <c r="S1579" s="75" t="str">
        <f>IF(AND($O1579=$Q$7,$B1579&lt;'111'!$L$11),"x","")</f>
        <v/>
      </c>
      <c r="T1579" s="75" t="str">
        <f>IF(ISERROR(FIND('112'!$M$9,G1579,1)),"",IF((AND(FIND('112'!$M$9,G1579,1)&gt;=1,B1579='112'!$K$9,OR($N1579='112'!$I$6,$O1579='112'!$I$6))),"x",""))</f>
        <v/>
      </c>
      <c r="U1579" s="75" t="str">
        <f>IF(ISERROR(FIND('112'!$M$9,G1579,1)),"",IF((AND(LEFT(G1579,2)=LEFT('112'!$M$9,2),B1579&lt;'112'!$K$9,$N1579='112'!$I$6)),"x",""))</f>
        <v/>
      </c>
      <c r="V1579" s="75" t="str">
        <f>IF(ISERROR(FIND('112'!$M$9,G1579,1)),"",IF((AND(RIGHT(G1579,2)=RIGHT('112'!$M$9,2),B1579&lt;'112'!$K$9,$O1579='112'!$I$6)),"x",""))</f>
        <v/>
      </c>
      <c r="W1579" s="75" t="str">
        <f>IF(AND('341-CT'!$H$9=H1579,OR(LEFT(N1579,3)=$W$7,LEFT(O1579,3)=$W$7)),"x","")</f>
        <v/>
      </c>
      <c r="X1579" s="75" t="str">
        <f>IF(OR(TH!N1579=TH!$X$7,O1579=TH!$X$7),"x","")</f>
        <v/>
      </c>
      <c r="Y1579" s="75" t="str">
        <f>IF(AND(OR(N1579="131",O1579="131"),H1579='131-CT'!$H$9),"x","")</f>
        <v/>
      </c>
      <c r="Z1579" s="75"/>
      <c r="AA1579" s="75" t="str">
        <f>IF(AND(MONTH(E1579)='IN-NX'!$J$5,'IN-NX'!$D$7=D1579),"x","")</f>
        <v/>
      </c>
      <c r="AB1579" s="75" t="str">
        <f>IF(AND(OR(LEFT(TH!N1579,2)="15",LEFT(TH!O1579,2)="15"),LEFT(TH!O1579,3)&lt;&gt;"111",'152-CT'!$J$8=TH!F1579),"x","")</f>
        <v/>
      </c>
      <c r="AC1579" s="75" t="str">
        <f>IF(AND(OR(LEFT(TH!N1579,2)="15",LEFT(TH!O1579,2)="15"),TK!$E$7=TH!F1579),"x","")</f>
        <v/>
      </c>
      <c r="AD1579" s="75" t="str">
        <f>IF(AND(N1579="1521",MONTH(C1579)='BK-NL'!$M$11),"x","")</f>
        <v/>
      </c>
    </row>
    <row r="1580" spans="1:30" ht="16.5" customHeight="1">
      <c r="A1580" s="309" t="str">
        <f>IF(B1580&lt;&gt;"",IF(AND(B1580='IN-TC'!$S$4,OR(TH!N1580="1111",TH!O1580="1111")),TH!D1580,""),"")</f>
        <v/>
      </c>
      <c r="B1580" s="1130">
        <f t="shared" si="392"/>
        <v>6</v>
      </c>
      <c r="C1580" s="292">
        <f t="shared" si="393"/>
        <v>42901</v>
      </c>
      <c r="D1580" s="292" t="s">
        <v>2974</v>
      </c>
      <c r="E1580" s="292">
        <v>42901</v>
      </c>
      <c r="F1580" s="429" t="s">
        <v>3002</v>
      </c>
      <c r="G1580" s="925"/>
      <c r="H1580" s="435" t="s">
        <v>348</v>
      </c>
      <c r="I1580" s="373">
        <v>3300</v>
      </c>
      <c r="J1580" s="379">
        <v>37000</v>
      </c>
      <c r="K1580" s="373"/>
      <c r="L1580" s="379"/>
      <c r="M1580" s="927">
        <f t="shared" si="394"/>
        <v>122100000</v>
      </c>
      <c r="N1580" s="295" t="s">
        <v>264</v>
      </c>
      <c r="O1580" s="295" t="s">
        <v>8</v>
      </c>
      <c r="P1580" s="75" t="str">
        <f>IF(AND('331-CT'!$E$7=TH!H1580,OR(N1580="331",O1580="331")),"x","")</f>
        <v/>
      </c>
      <c r="Q1580" s="75" t="str">
        <f>IF(AND(B1580='111'!$L$11,OR($N1580=$Q$7,$O1580=$Q$7)),"x","")</f>
        <v/>
      </c>
      <c r="R1580" s="75" t="str">
        <f>IF(AND($N1580=$Q$7,$B1580&lt;'111'!$L$11),"x","")</f>
        <v/>
      </c>
      <c r="S1580" s="75" t="str">
        <f>IF(AND($O1580=$Q$7,$B1580&lt;'111'!$L$11),"x","")</f>
        <v/>
      </c>
      <c r="T1580" s="75" t="str">
        <f>IF(ISERROR(FIND('112'!$M$9,G1580,1)),"",IF((AND(FIND('112'!$M$9,G1580,1)&gt;=1,B1580='112'!$K$9,OR($N1580='112'!$I$6,$O1580='112'!$I$6))),"x",""))</f>
        <v/>
      </c>
      <c r="U1580" s="75" t="str">
        <f>IF(ISERROR(FIND('112'!$M$9,G1580,1)),"",IF((AND(LEFT(G1580,2)=LEFT('112'!$M$9,2),B1580&lt;'112'!$K$9,$N1580='112'!$I$6)),"x",""))</f>
        <v/>
      </c>
      <c r="V1580" s="75" t="str">
        <f>IF(ISERROR(FIND('112'!$M$9,G1580,1)),"",IF((AND(RIGHT(G1580,2)=RIGHT('112'!$M$9,2),B1580&lt;'112'!$K$9,$O1580='112'!$I$6)),"x",""))</f>
        <v/>
      </c>
      <c r="W1580" s="75" t="str">
        <f>IF(AND('341-CT'!$H$9=H1580,OR(LEFT(N1580,3)=$W$7,LEFT(O1580,3)=$W$7)),"x","")</f>
        <v/>
      </c>
      <c r="X1580" s="75" t="str">
        <f>IF(OR(TH!N1580=TH!$X$7,O1580=TH!$X$7),"x","")</f>
        <v/>
      </c>
      <c r="Y1580" s="75" t="str">
        <f>IF(AND(OR(N1580="131",O1580="131"),H1580='131-CT'!$H$9),"x","")</f>
        <v/>
      </c>
      <c r="Z1580" s="75"/>
      <c r="AA1580" s="75" t="str">
        <f>IF(AND(MONTH(E1580)='IN-NX'!$J$5,'IN-NX'!$D$7=D1580),"x","")</f>
        <v/>
      </c>
      <c r="AB1580" s="75" t="str">
        <f>IF(AND(OR(LEFT(TH!N1580,2)="15",LEFT(TH!O1580,2)="15"),LEFT(TH!O1580,3)&lt;&gt;"111",'152-CT'!$J$8=TH!F1580),"x","")</f>
        <v/>
      </c>
      <c r="AC1580" s="75" t="str">
        <f>IF(AND(OR(LEFT(TH!N1580,2)="15",LEFT(TH!O1580,2)="15"),TK!$E$7=TH!F1580),"x","")</f>
        <v/>
      </c>
      <c r="AD1580" s="75" t="str">
        <f>IF(AND(N1580="1521",MONTH(C1580)='BK-NL'!$M$11),"x","")</f>
        <v/>
      </c>
    </row>
    <row r="1581" spans="1:30" ht="16.5" customHeight="1">
      <c r="A1581" s="309" t="str">
        <f>IF(B1581&lt;&gt;"",IF(AND(B1581='IN-TC'!$S$4,OR(TH!N1581="1111",TH!O1581="1111")),TH!D1581,""),"")</f>
        <v/>
      </c>
      <c r="B1581" s="1130">
        <f t="shared" si="392"/>
        <v>6</v>
      </c>
      <c r="C1581" s="292">
        <f t="shared" si="393"/>
        <v>42901</v>
      </c>
      <c r="D1581" s="292" t="s">
        <v>2974</v>
      </c>
      <c r="E1581" s="292">
        <v>42901</v>
      </c>
      <c r="F1581" s="67" t="s">
        <v>763</v>
      </c>
      <c r="G1581" s="925"/>
      <c r="H1581" s="435" t="s">
        <v>348</v>
      </c>
      <c r="I1581" s="373">
        <v>1650</v>
      </c>
      <c r="J1581" s="379">
        <v>37000</v>
      </c>
      <c r="K1581" s="373"/>
      <c r="L1581" s="379"/>
      <c r="M1581" s="927">
        <f t="shared" si="394"/>
        <v>61050000</v>
      </c>
      <c r="N1581" s="295" t="s">
        <v>264</v>
      </c>
      <c r="O1581" s="295" t="s">
        <v>8</v>
      </c>
      <c r="P1581" s="75" t="str">
        <f>IF(AND('331-CT'!$E$7=TH!H1581,OR(N1581="331",O1581="331")),"x","")</f>
        <v/>
      </c>
      <c r="Q1581" s="75" t="str">
        <f>IF(AND(B1581='111'!$L$11,OR($N1581=$Q$7,$O1581=$Q$7)),"x","")</f>
        <v/>
      </c>
      <c r="R1581" s="75" t="str">
        <f>IF(AND($N1581=$Q$7,$B1581&lt;'111'!$L$11),"x","")</f>
        <v/>
      </c>
      <c r="S1581" s="75" t="str">
        <f>IF(AND($O1581=$Q$7,$B1581&lt;'111'!$L$11),"x","")</f>
        <v/>
      </c>
      <c r="T1581" s="75" t="str">
        <f>IF(ISERROR(FIND('112'!$M$9,G1581,1)),"",IF((AND(FIND('112'!$M$9,G1581,1)&gt;=1,B1581='112'!$K$9,OR($N1581='112'!$I$6,$O1581='112'!$I$6))),"x",""))</f>
        <v/>
      </c>
      <c r="U1581" s="75" t="str">
        <f>IF(ISERROR(FIND('112'!$M$9,G1581,1)),"",IF((AND(LEFT(G1581,2)=LEFT('112'!$M$9,2),B1581&lt;'112'!$K$9,$N1581='112'!$I$6)),"x",""))</f>
        <v/>
      </c>
      <c r="V1581" s="75" t="str">
        <f>IF(ISERROR(FIND('112'!$M$9,G1581,1)),"",IF((AND(RIGHT(G1581,2)=RIGHT('112'!$M$9,2),B1581&lt;'112'!$K$9,$O1581='112'!$I$6)),"x",""))</f>
        <v/>
      </c>
      <c r="W1581" s="75" t="str">
        <f>IF(AND('341-CT'!$H$9=H1581,OR(LEFT(N1581,3)=$W$7,LEFT(O1581,3)=$W$7)),"x","")</f>
        <v/>
      </c>
      <c r="X1581" s="75" t="str">
        <f>IF(OR(TH!N1581=TH!$X$7,O1581=TH!$X$7),"x","")</f>
        <v/>
      </c>
      <c r="Y1581" s="75" t="str">
        <f>IF(AND(OR(N1581="131",O1581="131"),H1581='131-CT'!$H$9),"x","")</f>
        <v/>
      </c>
      <c r="Z1581" s="75"/>
      <c r="AA1581" s="75" t="str">
        <f>IF(AND(MONTH(E1581)='IN-NX'!$J$5,'IN-NX'!$D$7=D1581),"x","")</f>
        <v/>
      </c>
      <c r="AB1581" s="75" t="str">
        <f>IF(AND(OR(LEFT(TH!N1581,2)="15",LEFT(TH!O1581,2)="15"),LEFT(TH!O1581,3)&lt;&gt;"111",'152-CT'!$J$8=TH!F1581),"x","")</f>
        <v/>
      </c>
      <c r="AC1581" s="75" t="str">
        <f>IF(AND(OR(LEFT(TH!N1581,2)="15",LEFT(TH!O1581,2)="15"),TK!$E$7=TH!F1581),"x","")</f>
        <v/>
      </c>
      <c r="AD1581" s="75" t="str">
        <f>IF(AND(N1581="1521",MONTH(C1581)='BK-NL'!$M$11),"x","")</f>
        <v/>
      </c>
    </row>
    <row r="1582" spans="1:30" ht="16.5" customHeight="1">
      <c r="A1582" s="309" t="str">
        <f>IF(B1582&lt;&gt;"",IF(AND(B1582='IN-TC'!$S$4,OR(TH!N1582="1111",TH!O1582="1111")),TH!D1582,""),"")</f>
        <v/>
      </c>
      <c r="B1582" s="1130">
        <f t="shared" si="392"/>
        <v>6</v>
      </c>
      <c r="C1582" s="292">
        <f t="shared" si="393"/>
        <v>42901</v>
      </c>
      <c r="D1582" s="292" t="s">
        <v>2973</v>
      </c>
      <c r="E1582" s="292">
        <v>42901</v>
      </c>
      <c r="F1582" s="429" t="s">
        <v>762</v>
      </c>
      <c r="G1582" s="925"/>
      <c r="H1582" s="429" t="s">
        <v>350</v>
      </c>
      <c r="I1582" s="373">
        <v>1890</v>
      </c>
      <c r="J1582" s="379">
        <v>57500</v>
      </c>
      <c r="K1582" s="373"/>
      <c r="L1582" s="379"/>
      <c r="M1582" s="927">
        <f t="shared" si="394"/>
        <v>108675000</v>
      </c>
      <c r="N1582" s="295" t="s">
        <v>264</v>
      </c>
      <c r="O1582" s="295" t="s">
        <v>8</v>
      </c>
      <c r="P1582" s="75" t="str">
        <f>IF(AND('331-CT'!$E$7=TH!H1582,OR(N1582="331",O1582="331")),"x","")</f>
        <v/>
      </c>
      <c r="Q1582" s="75" t="str">
        <f>IF(AND(B1582='111'!$L$11,OR($N1582=$Q$7,$O1582=$Q$7)),"x","")</f>
        <v/>
      </c>
      <c r="R1582" s="75" t="str">
        <f>IF(AND($N1582=$Q$7,$B1582&lt;'111'!$L$11),"x","")</f>
        <v/>
      </c>
      <c r="S1582" s="75" t="str">
        <f>IF(AND($O1582=$Q$7,$B1582&lt;'111'!$L$11),"x","")</f>
        <v/>
      </c>
      <c r="T1582" s="75" t="str">
        <f>IF(ISERROR(FIND('112'!$M$9,G1582,1)),"",IF((AND(FIND('112'!$M$9,G1582,1)&gt;=1,B1582='112'!$K$9,OR($N1582='112'!$I$6,$O1582='112'!$I$6))),"x",""))</f>
        <v/>
      </c>
      <c r="U1582" s="75" t="str">
        <f>IF(ISERROR(FIND('112'!$M$9,G1582,1)),"",IF((AND(LEFT(G1582,2)=LEFT('112'!$M$9,2),B1582&lt;'112'!$K$9,$N1582='112'!$I$6)),"x",""))</f>
        <v/>
      </c>
      <c r="V1582" s="75" t="str">
        <f>IF(ISERROR(FIND('112'!$M$9,G1582,1)),"",IF((AND(RIGHT(G1582,2)=RIGHT('112'!$M$9,2),B1582&lt;'112'!$K$9,$O1582='112'!$I$6)),"x",""))</f>
        <v/>
      </c>
      <c r="W1582" s="75" t="str">
        <f>IF(AND('341-CT'!$H$9=H1582,OR(LEFT(N1582,3)=$W$7,LEFT(O1582,3)=$W$7)),"x","")</f>
        <v/>
      </c>
      <c r="X1582" s="75" t="str">
        <f>IF(OR(TH!N1582=TH!$X$7,O1582=TH!$X$7),"x","")</f>
        <v/>
      </c>
      <c r="Y1582" s="75" t="str">
        <f>IF(AND(OR(N1582="131",O1582="131"),H1582='131-CT'!$H$9),"x","")</f>
        <v/>
      </c>
      <c r="Z1582" s="75"/>
      <c r="AA1582" s="75" t="str">
        <f>IF(AND(MONTH(E1582)='IN-NX'!$J$5,'IN-NX'!$D$7=D1582),"x","")</f>
        <v/>
      </c>
      <c r="AB1582" s="75" t="str">
        <f>IF(AND(OR(LEFT(TH!N1582,2)="15",LEFT(TH!O1582,2)="15"),LEFT(TH!O1582,3)&lt;&gt;"111",'152-CT'!$J$8=TH!F1582),"x","")</f>
        <v/>
      </c>
      <c r="AC1582" s="75" t="str">
        <f>IF(AND(OR(LEFT(TH!N1582,2)="15",LEFT(TH!O1582,2)="15"),TK!$E$7=TH!F1582),"x","")</f>
        <v/>
      </c>
      <c r="AD1582" s="75" t="str">
        <f>IF(AND(N1582="1521",MONTH(C1582)='BK-NL'!$M$11),"x","")</f>
        <v/>
      </c>
    </row>
    <row r="1583" spans="1:30" ht="16.5" customHeight="1">
      <c r="A1583" s="309" t="str">
        <f>IF(B1583&lt;&gt;"",IF(AND(B1583='IN-TC'!$S$4,OR(TH!N1583="1111",TH!O1583="1111")),TH!D1583,""),"")</f>
        <v/>
      </c>
      <c r="B1583" s="1130">
        <f t="shared" si="389"/>
        <v>6</v>
      </c>
      <c r="C1583" s="292">
        <f t="shared" si="390"/>
        <v>42901</v>
      </c>
      <c r="D1583" s="292" t="s">
        <v>2973</v>
      </c>
      <c r="E1583" s="292">
        <v>42901</v>
      </c>
      <c r="F1583" s="429" t="s">
        <v>765</v>
      </c>
      <c r="G1583" s="925"/>
      <c r="H1583" s="429" t="s">
        <v>350</v>
      </c>
      <c r="I1583" s="373">
        <f>4600+161</f>
        <v>4761</v>
      </c>
      <c r="J1583" s="379">
        <v>275000</v>
      </c>
      <c r="K1583" s="373"/>
      <c r="L1583" s="379"/>
      <c r="M1583" s="927">
        <f t="shared" si="391"/>
        <v>1309275000</v>
      </c>
      <c r="N1583" s="295" t="s">
        <v>264</v>
      </c>
      <c r="O1583" s="295" t="s">
        <v>8</v>
      </c>
      <c r="P1583" s="75" t="str">
        <f>IF(AND('331-CT'!$E$7=TH!H1583,OR(N1583="331",O1583="331")),"x","")</f>
        <v/>
      </c>
      <c r="Q1583" s="75" t="str">
        <f>IF(AND(B1583='111'!$L$11,OR($N1583=$Q$7,$O1583=$Q$7)),"x","")</f>
        <v/>
      </c>
      <c r="R1583" s="75" t="str">
        <f>IF(AND($N1583=$Q$7,$B1583&lt;'111'!$L$11),"x","")</f>
        <v/>
      </c>
      <c r="S1583" s="75" t="str">
        <f>IF(AND($O1583=$Q$7,$B1583&lt;'111'!$L$11),"x","")</f>
        <v/>
      </c>
      <c r="T1583" s="75" t="str">
        <f>IF(ISERROR(FIND('112'!$M$9,G1583,1)),"",IF((AND(FIND('112'!$M$9,G1583,1)&gt;=1,B1583='112'!$K$9,OR($N1583='112'!$I$6,$O1583='112'!$I$6))),"x",""))</f>
        <v/>
      </c>
      <c r="U1583" s="75" t="str">
        <f>IF(ISERROR(FIND('112'!$M$9,G1583,1)),"",IF((AND(LEFT(G1583,2)=LEFT('112'!$M$9,2),B1583&lt;'112'!$K$9,$N1583='112'!$I$6)),"x",""))</f>
        <v/>
      </c>
      <c r="V1583" s="75" t="str">
        <f>IF(ISERROR(FIND('112'!$M$9,G1583,1)),"",IF((AND(RIGHT(G1583,2)=RIGHT('112'!$M$9,2),B1583&lt;'112'!$K$9,$O1583='112'!$I$6)),"x",""))</f>
        <v/>
      </c>
      <c r="W1583" s="75" t="str">
        <f>IF(AND('341-CT'!$H$9=H1583,OR(LEFT(N1583,3)=$W$7,LEFT(O1583,3)=$W$7)),"x","")</f>
        <v/>
      </c>
      <c r="X1583" s="75" t="str">
        <f>IF(OR(TH!N1583=TH!$X$7,O1583=TH!$X$7),"x","")</f>
        <v/>
      </c>
      <c r="Y1583" s="75" t="str">
        <f>IF(AND(OR(N1583="131",O1583="131"),H1583='131-CT'!$H$9),"x","")</f>
        <v/>
      </c>
      <c r="Z1583" s="75"/>
      <c r="AA1583" s="75" t="str">
        <f>IF(AND(MONTH(E1583)='IN-NX'!$J$5,'IN-NX'!$D$7=D1583),"x","")</f>
        <v/>
      </c>
      <c r="AB1583" s="75" t="str">
        <f>IF(AND(OR(LEFT(TH!N1583,2)="15",LEFT(TH!O1583,2)="15"),LEFT(TH!O1583,3)&lt;&gt;"111",'152-CT'!$J$8=TH!F1583),"x","")</f>
        <v/>
      </c>
      <c r="AC1583" s="75" t="str">
        <f>IF(AND(OR(LEFT(TH!N1583,2)="15",LEFT(TH!O1583,2)="15"),TK!$E$7=TH!F1583),"x","")</f>
        <v/>
      </c>
      <c r="AD1583" s="75" t="str">
        <f>IF(AND(N1583="1521",MONTH(C1583)='BK-NL'!$M$11),"x","")</f>
        <v/>
      </c>
    </row>
    <row r="1584" spans="1:30" ht="16.5" customHeight="1">
      <c r="A1584" s="309" t="str">
        <f>IF(B1584&lt;&gt;"",IF(AND(B1584='IN-TC'!$S$4,OR(TH!N1584="1111",TH!O1584="1111")),TH!D1584,""),"")</f>
        <v/>
      </c>
      <c r="B1584" s="1130">
        <f t="shared" si="389"/>
        <v>6</v>
      </c>
      <c r="C1584" s="292">
        <f t="shared" si="390"/>
        <v>42901</v>
      </c>
      <c r="D1584" s="292" t="s">
        <v>2973</v>
      </c>
      <c r="E1584" s="292">
        <v>42901</v>
      </c>
      <c r="F1584" s="429" t="s">
        <v>3003</v>
      </c>
      <c r="G1584" s="925"/>
      <c r="H1584" s="429" t="s">
        <v>350</v>
      </c>
      <c r="I1584" s="373">
        <v>450</v>
      </c>
      <c r="J1584" s="379">
        <v>60000</v>
      </c>
      <c r="K1584" s="373"/>
      <c r="L1584" s="379"/>
      <c r="M1584" s="927">
        <f t="shared" si="391"/>
        <v>27000000</v>
      </c>
      <c r="N1584" s="295" t="s">
        <v>264</v>
      </c>
      <c r="O1584" s="295" t="s">
        <v>8</v>
      </c>
      <c r="P1584" s="75" t="str">
        <f>IF(AND('331-CT'!$E$7=TH!H1584,OR(N1584="331",O1584="331")),"x","")</f>
        <v/>
      </c>
      <c r="Q1584" s="75" t="str">
        <f>IF(AND(B1584='111'!$L$11,OR($N1584=$Q$7,$O1584=$Q$7)),"x","")</f>
        <v/>
      </c>
      <c r="R1584" s="75" t="str">
        <f>IF(AND($N1584=$Q$7,$B1584&lt;'111'!$L$11),"x","")</f>
        <v/>
      </c>
      <c r="S1584" s="75" t="str">
        <f>IF(AND($O1584=$Q$7,$B1584&lt;'111'!$L$11),"x","")</f>
        <v/>
      </c>
      <c r="T1584" s="75" t="str">
        <f>IF(ISERROR(FIND('112'!$M$9,G1584,1)),"",IF((AND(FIND('112'!$M$9,G1584,1)&gt;=1,B1584='112'!$K$9,OR($N1584='112'!$I$6,$O1584='112'!$I$6))),"x",""))</f>
        <v/>
      </c>
      <c r="U1584" s="75" t="str">
        <f>IF(ISERROR(FIND('112'!$M$9,G1584,1)),"",IF((AND(LEFT(G1584,2)=LEFT('112'!$M$9,2),B1584&lt;'112'!$K$9,$N1584='112'!$I$6)),"x",""))</f>
        <v/>
      </c>
      <c r="V1584" s="75" t="str">
        <f>IF(ISERROR(FIND('112'!$M$9,G1584,1)),"",IF((AND(RIGHT(G1584,2)=RIGHT('112'!$M$9,2),B1584&lt;'112'!$K$9,$O1584='112'!$I$6)),"x",""))</f>
        <v/>
      </c>
      <c r="W1584" s="75" t="str">
        <f>IF(AND('341-CT'!$H$9=H1584,OR(LEFT(N1584,3)=$W$7,LEFT(O1584,3)=$W$7)),"x","")</f>
        <v/>
      </c>
      <c r="X1584" s="75" t="str">
        <f>IF(OR(TH!N1584=TH!$X$7,O1584=TH!$X$7),"x","")</f>
        <v/>
      </c>
      <c r="Y1584" s="75" t="str">
        <f>IF(AND(OR(N1584="131",O1584="131"),H1584='131-CT'!$H$9),"x","")</f>
        <v/>
      </c>
      <c r="Z1584" s="75"/>
      <c r="AA1584" s="75" t="str">
        <f>IF(AND(MONTH(E1584)='IN-NX'!$J$5,'IN-NX'!$D$7=D1584),"x","")</f>
        <v/>
      </c>
      <c r="AB1584" s="75" t="str">
        <f>IF(AND(OR(LEFT(TH!N1584,2)="15",LEFT(TH!O1584,2)="15"),LEFT(TH!O1584,3)&lt;&gt;"111",'152-CT'!$J$8=TH!F1584),"x","")</f>
        <v/>
      </c>
      <c r="AC1584" s="75" t="str">
        <f>IF(AND(OR(LEFT(TH!N1584,2)="15",LEFT(TH!O1584,2)="15"),TK!$E$7=TH!F1584),"x","")</f>
        <v/>
      </c>
      <c r="AD1584" s="75" t="str">
        <f>IF(AND(N1584="1521",MONTH(C1584)='BK-NL'!$M$11),"x","")</f>
        <v/>
      </c>
    </row>
    <row r="1585" spans="1:30" ht="16.5" customHeight="1">
      <c r="A1585" s="309" t="str">
        <f>IF(B1585&lt;&gt;"",IF(AND(B1585='IN-TC'!$S$4,OR(TH!N1585="1111",TH!O1585="1111")),TH!D1585,""),"")</f>
        <v/>
      </c>
      <c r="B1585" s="1130">
        <f t="shared" si="389"/>
        <v>6</v>
      </c>
      <c r="C1585" s="292">
        <f t="shared" si="390"/>
        <v>42901</v>
      </c>
      <c r="D1585" s="292" t="s">
        <v>2973</v>
      </c>
      <c r="E1585" s="292">
        <v>42901</v>
      </c>
      <c r="F1585" s="67" t="s">
        <v>790</v>
      </c>
      <c r="G1585" s="925"/>
      <c r="H1585" s="429" t="s">
        <v>350</v>
      </c>
      <c r="I1585" s="373">
        <v>5125</v>
      </c>
      <c r="J1585" s="379">
        <v>28500</v>
      </c>
      <c r="K1585" s="373"/>
      <c r="L1585" s="379"/>
      <c r="M1585" s="927">
        <f t="shared" si="391"/>
        <v>146062500</v>
      </c>
      <c r="N1585" s="295" t="s">
        <v>264</v>
      </c>
      <c r="O1585" s="295" t="s">
        <v>8</v>
      </c>
      <c r="P1585" s="75" t="str">
        <f>IF(AND('331-CT'!$E$7=TH!H1585,OR(N1585="331",O1585="331")),"x","")</f>
        <v/>
      </c>
      <c r="Q1585" s="75" t="str">
        <f>IF(AND(B1585='111'!$L$11,OR($N1585=$Q$7,$O1585=$Q$7)),"x","")</f>
        <v/>
      </c>
      <c r="R1585" s="75" t="str">
        <f>IF(AND($N1585=$Q$7,$B1585&lt;'111'!$L$11),"x","")</f>
        <v/>
      </c>
      <c r="S1585" s="75" t="str">
        <f>IF(AND($O1585=$Q$7,$B1585&lt;'111'!$L$11),"x","")</f>
        <v/>
      </c>
      <c r="T1585" s="75" t="str">
        <f>IF(ISERROR(FIND('112'!$M$9,G1585,1)),"",IF((AND(FIND('112'!$M$9,G1585,1)&gt;=1,B1585='112'!$K$9,OR($N1585='112'!$I$6,$O1585='112'!$I$6))),"x",""))</f>
        <v/>
      </c>
      <c r="U1585" s="75" t="str">
        <f>IF(ISERROR(FIND('112'!$M$9,G1585,1)),"",IF((AND(LEFT(G1585,2)=LEFT('112'!$M$9,2),B1585&lt;'112'!$K$9,$N1585='112'!$I$6)),"x",""))</f>
        <v/>
      </c>
      <c r="V1585" s="75" t="str">
        <f>IF(ISERROR(FIND('112'!$M$9,G1585,1)),"",IF((AND(RIGHT(G1585,2)=RIGHT('112'!$M$9,2),B1585&lt;'112'!$K$9,$O1585='112'!$I$6)),"x",""))</f>
        <v/>
      </c>
      <c r="W1585" s="75" t="str">
        <f>IF(AND('341-CT'!$H$9=H1585,OR(LEFT(N1585,3)=$W$7,LEFT(O1585,3)=$W$7)),"x","")</f>
        <v/>
      </c>
      <c r="X1585" s="75" t="str">
        <f>IF(OR(TH!N1585=TH!$X$7,O1585=TH!$X$7),"x","")</f>
        <v/>
      </c>
      <c r="Y1585" s="75" t="str">
        <f>IF(AND(OR(N1585="131",O1585="131"),H1585='131-CT'!$H$9),"x","")</f>
        <v/>
      </c>
      <c r="Z1585" s="75"/>
      <c r="AA1585" s="75" t="str">
        <f>IF(AND(MONTH(E1585)='IN-NX'!$J$5,'IN-NX'!$D$7=D1585),"x","")</f>
        <v/>
      </c>
      <c r="AB1585" s="75" t="str">
        <f>IF(AND(OR(LEFT(TH!N1585,2)="15",LEFT(TH!O1585,2)="15"),LEFT(TH!O1585,3)&lt;&gt;"111",'152-CT'!$J$8=TH!F1585),"x","")</f>
        <v/>
      </c>
      <c r="AC1585" s="75" t="str">
        <f>IF(AND(OR(LEFT(TH!N1585,2)="15",LEFT(TH!O1585,2)="15"),TK!$E$7=TH!F1585),"x","")</f>
        <v/>
      </c>
      <c r="AD1585" s="75" t="str">
        <f>IF(AND(N1585="1521",MONTH(C1585)='BK-NL'!$M$11),"x","")</f>
        <v/>
      </c>
    </row>
    <row r="1586" spans="1:30" ht="16.5" customHeight="1">
      <c r="A1586" s="309" t="str">
        <f>IF(B1586&lt;&gt;"",IF(AND(B1586='IN-TC'!$S$4,OR(TH!N1586="1111",TH!O1586="1111")),TH!D1586,""),"")</f>
        <v/>
      </c>
      <c r="B1586" s="1130">
        <f t="shared" si="389"/>
        <v>6</v>
      </c>
      <c r="C1586" s="292">
        <f t="shared" si="390"/>
        <v>42901</v>
      </c>
      <c r="D1586" s="292" t="s">
        <v>2973</v>
      </c>
      <c r="E1586" s="292">
        <v>42901</v>
      </c>
      <c r="F1586" s="429" t="s">
        <v>771</v>
      </c>
      <c r="G1586" s="925"/>
      <c r="H1586" s="429" t="s">
        <v>350</v>
      </c>
      <c r="I1586" s="373">
        <v>1413</v>
      </c>
      <c r="J1586" s="379">
        <v>18500</v>
      </c>
      <c r="K1586" s="373"/>
      <c r="L1586" s="379"/>
      <c r="M1586" s="927">
        <f t="shared" si="391"/>
        <v>26140500</v>
      </c>
      <c r="N1586" s="295" t="s">
        <v>264</v>
      </c>
      <c r="O1586" s="295" t="s">
        <v>8</v>
      </c>
      <c r="P1586" s="75" t="str">
        <f>IF(AND('331-CT'!$E$7=TH!H1586,OR(N1586="331",O1586="331")),"x","")</f>
        <v/>
      </c>
      <c r="Q1586" s="75" t="str">
        <f>IF(AND(B1586='111'!$L$11,OR($N1586=$Q$7,$O1586=$Q$7)),"x","")</f>
        <v/>
      </c>
      <c r="R1586" s="75" t="str">
        <f>IF(AND($N1586=$Q$7,$B1586&lt;'111'!$L$11),"x","")</f>
        <v/>
      </c>
      <c r="S1586" s="75" t="str">
        <f>IF(AND($O1586=$Q$7,$B1586&lt;'111'!$L$11),"x","")</f>
        <v/>
      </c>
      <c r="T1586" s="75" t="str">
        <f>IF(ISERROR(FIND('112'!$M$9,G1586,1)),"",IF((AND(FIND('112'!$M$9,G1586,1)&gt;=1,B1586='112'!$K$9,OR($N1586='112'!$I$6,$O1586='112'!$I$6))),"x",""))</f>
        <v/>
      </c>
      <c r="U1586" s="75" t="str">
        <f>IF(ISERROR(FIND('112'!$M$9,G1586,1)),"",IF((AND(LEFT(G1586,2)=LEFT('112'!$M$9,2),B1586&lt;'112'!$K$9,$N1586='112'!$I$6)),"x",""))</f>
        <v/>
      </c>
      <c r="V1586" s="75" t="str">
        <f>IF(ISERROR(FIND('112'!$M$9,G1586,1)),"",IF((AND(RIGHT(G1586,2)=RIGHT('112'!$M$9,2),B1586&lt;'112'!$K$9,$O1586='112'!$I$6)),"x",""))</f>
        <v/>
      </c>
      <c r="W1586" s="75" t="str">
        <f>IF(AND('341-CT'!$H$9=H1586,OR(LEFT(N1586,3)=$W$7,LEFT(O1586,3)=$W$7)),"x","")</f>
        <v/>
      </c>
      <c r="X1586" s="75" t="str">
        <f>IF(OR(TH!N1586=TH!$X$7,O1586=TH!$X$7),"x","")</f>
        <v/>
      </c>
      <c r="Y1586" s="75" t="str">
        <f>IF(AND(OR(N1586="131",O1586="131"),H1586='131-CT'!$H$9),"x","")</f>
        <v/>
      </c>
      <c r="Z1586" s="75"/>
      <c r="AA1586" s="75" t="str">
        <f>IF(AND(MONTH(E1586)='IN-NX'!$J$5,'IN-NX'!$D$7=D1586),"x","")</f>
        <v/>
      </c>
      <c r="AB1586" s="75" t="str">
        <f>IF(AND(OR(LEFT(TH!N1586,2)="15",LEFT(TH!O1586,2)="15"),LEFT(TH!O1586,3)&lt;&gt;"111",'152-CT'!$J$8=TH!F1586),"x","")</f>
        <v/>
      </c>
      <c r="AC1586" s="75" t="str">
        <f>IF(AND(OR(LEFT(TH!N1586,2)="15",LEFT(TH!O1586,2)="15"),TK!$E$7=TH!F1586),"x","")</f>
        <v/>
      </c>
      <c r="AD1586" s="75" t="str">
        <f>IF(AND(N1586="1521",MONTH(C1586)='BK-NL'!$M$11),"x","")</f>
        <v/>
      </c>
    </row>
    <row r="1587" spans="1:30" ht="16.5" customHeight="1">
      <c r="A1587" s="309" t="str">
        <f>IF(B1587&lt;&gt;"",IF(AND(B1587='IN-TC'!$S$4,OR(TH!N1587="1111",TH!O1587="1111")),TH!D1587,""),"")</f>
        <v/>
      </c>
      <c r="B1587" s="1130">
        <f t="shared" si="389"/>
        <v>6</v>
      </c>
      <c r="C1587" s="292">
        <f t="shared" si="390"/>
        <v>42901</v>
      </c>
      <c r="D1587" s="292" t="s">
        <v>2973</v>
      </c>
      <c r="E1587" s="292">
        <v>42901</v>
      </c>
      <c r="F1587" s="67" t="s">
        <v>2998</v>
      </c>
      <c r="G1587" s="925"/>
      <c r="H1587" s="429" t="s">
        <v>350</v>
      </c>
      <c r="I1587" s="373">
        <v>550</v>
      </c>
      <c r="J1587" s="379">
        <v>23000</v>
      </c>
      <c r="K1587" s="373"/>
      <c r="L1587" s="379"/>
      <c r="M1587" s="927">
        <f t="shared" si="391"/>
        <v>12650000</v>
      </c>
      <c r="N1587" s="295" t="s">
        <v>264</v>
      </c>
      <c r="O1587" s="295" t="s">
        <v>8</v>
      </c>
      <c r="P1587" s="75" t="str">
        <f>IF(AND('331-CT'!$E$7=TH!H1587,OR(N1587="331",O1587="331")),"x","")</f>
        <v/>
      </c>
      <c r="Q1587" s="75" t="str">
        <f>IF(AND(B1587='111'!$L$11,OR($N1587=$Q$7,$O1587=$Q$7)),"x","")</f>
        <v/>
      </c>
      <c r="R1587" s="75" t="str">
        <f>IF(AND($N1587=$Q$7,$B1587&lt;'111'!$L$11),"x","")</f>
        <v/>
      </c>
      <c r="S1587" s="75" t="str">
        <f>IF(AND($O1587=$Q$7,$B1587&lt;'111'!$L$11),"x","")</f>
        <v/>
      </c>
      <c r="T1587" s="75" t="str">
        <f>IF(ISERROR(FIND('112'!$M$9,G1587,1)),"",IF((AND(FIND('112'!$M$9,G1587,1)&gt;=1,B1587='112'!$K$9,OR($N1587='112'!$I$6,$O1587='112'!$I$6))),"x",""))</f>
        <v/>
      </c>
      <c r="U1587" s="75" t="str">
        <f>IF(ISERROR(FIND('112'!$M$9,G1587,1)),"",IF((AND(LEFT(G1587,2)=LEFT('112'!$M$9,2),B1587&lt;'112'!$K$9,$N1587='112'!$I$6)),"x",""))</f>
        <v/>
      </c>
      <c r="V1587" s="75" t="str">
        <f>IF(ISERROR(FIND('112'!$M$9,G1587,1)),"",IF((AND(RIGHT(G1587,2)=RIGHT('112'!$M$9,2),B1587&lt;'112'!$K$9,$O1587='112'!$I$6)),"x",""))</f>
        <v/>
      </c>
      <c r="W1587" s="75" t="str">
        <f>IF(AND('341-CT'!$H$9=H1587,OR(LEFT(N1587,3)=$W$7,LEFT(O1587,3)=$W$7)),"x","")</f>
        <v/>
      </c>
      <c r="X1587" s="75" t="str">
        <f>IF(OR(TH!N1587=TH!$X$7,O1587=TH!$X$7),"x","")</f>
        <v/>
      </c>
      <c r="Y1587" s="75" t="str">
        <f>IF(AND(OR(N1587="131",O1587="131"),H1587='131-CT'!$H$9),"x","")</f>
        <v/>
      </c>
      <c r="Z1587" s="75"/>
      <c r="AA1587" s="75" t="str">
        <f>IF(AND(MONTH(E1587)='IN-NX'!$J$5,'IN-NX'!$D$7=D1587),"x","")</f>
        <v/>
      </c>
      <c r="AB1587" s="75" t="str">
        <f>IF(AND(OR(LEFT(TH!N1587,2)="15",LEFT(TH!O1587,2)="15"),LEFT(TH!O1587,3)&lt;&gt;"111",'152-CT'!$J$8=TH!F1587),"x","")</f>
        <v/>
      </c>
      <c r="AC1587" s="75" t="str">
        <f>IF(AND(OR(LEFT(TH!N1587,2)="15",LEFT(TH!O1587,2)="15"),TK!$E$7=TH!F1587),"x","")</f>
        <v/>
      </c>
      <c r="AD1587" s="75" t="str">
        <f>IF(AND(N1587="1521",MONTH(C1587)='BK-NL'!$M$11),"x","")</f>
        <v/>
      </c>
    </row>
    <row r="1588" spans="1:30" ht="16.5" customHeight="1">
      <c r="A1588" s="309" t="str">
        <f>IF(B1588&lt;&gt;"",IF(AND(B1588='IN-TC'!$S$4,OR(TH!N1588="1111",TH!O1588="1111")),TH!D1588,""),"")</f>
        <v/>
      </c>
      <c r="B1588" s="1130">
        <f t="shared" si="386"/>
        <v>6</v>
      </c>
      <c r="C1588" s="292">
        <f t="shared" si="387"/>
        <v>42901</v>
      </c>
      <c r="D1588" s="292" t="s">
        <v>2973</v>
      </c>
      <c r="E1588" s="292">
        <v>42901</v>
      </c>
      <c r="F1588" s="67" t="s">
        <v>1121</v>
      </c>
      <c r="G1588" s="925"/>
      <c r="H1588" s="429" t="s">
        <v>350</v>
      </c>
      <c r="I1588" s="373">
        <v>993</v>
      </c>
      <c r="J1588" s="379">
        <v>18000</v>
      </c>
      <c r="K1588" s="373"/>
      <c r="L1588" s="379"/>
      <c r="M1588" s="927">
        <f t="shared" si="388"/>
        <v>17874000</v>
      </c>
      <c r="N1588" s="295" t="s">
        <v>264</v>
      </c>
      <c r="O1588" s="295" t="s">
        <v>8</v>
      </c>
      <c r="P1588" s="75" t="str">
        <f>IF(AND('331-CT'!$E$7=TH!H1588,OR(N1588="331",O1588="331")),"x","")</f>
        <v/>
      </c>
      <c r="Q1588" s="75" t="str">
        <f>IF(AND(B1588='111'!$L$11,OR($N1588=$Q$7,$O1588=$Q$7)),"x","")</f>
        <v/>
      </c>
      <c r="R1588" s="75" t="str">
        <f>IF(AND($N1588=$Q$7,$B1588&lt;'111'!$L$11),"x","")</f>
        <v/>
      </c>
      <c r="S1588" s="75" t="str">
        <f>IF(AND($O1588=$Q$7,$B1588&lt;'111'!$L$11),"x","")</f>
        <v/>
      </c>
      <c r="T1588" s="75" t="str">
        <f>IF(ISERROR(FIND('112'!$M$9,G1588,1)),"",IF((AND(FIND('112'!$M$9,G1588,1)&gt;=1,B1588='112'!$K$9,OR($N1588='112'!$I$6,$O1588='112'!$I$6))),"x",""))</f>
        <v/>
      </c>
      <c r="U1588" s="75" t="str">
        <f>IF(ISERROR(FIND('112'!$M$9,G1588,1)),"",IF((AND(LEFT(G1588,2)=LEFT('112'!$M$9,2),B1588&lt;'112'!$K$9,$N1588='112'!$I$6)),"x",""))</f>
        <v/>
      </c>
      <c r="V1588" s="75" t="str">
        <f>IF(ISERROR(FIND('112'!$M$9,G1588,1)),"",IF((AND(RIGHT(G1588,2)=RIGHT('112'!$M$9,2),B1588&lt;'112'!$K$9,$O1588='112'!$I$6)),"x",""))</f>
        <v/>
      </c>
      <c r="W1588" s="75" t="str">
        <f>IF(AND('341-CT'!$H$9=H1588,OR(LEFT(N1588,3)=$W$7,LEFT(O1588,3)=$W$7)),"x","")</f>
        <v/>
      </c>
      <c r="X1588" s="75" t="str">
        <f>IF(OR(TH!N1588=TH!$X$7,O1588=TH!$X$7),"x","")</f>
        <v/>
      </c>
      <c r="Y1588" s="75" t="str">
        <f>IF(AND(OR(N1588="131",O1588="131"),H1588='131-CT'!$H$9),"x","")</f>
        <v/>
      </c>
      <c r="Z1588" s="75"/>
      <c r="AA1588" s="75" t="str">
        <f>IF(AND(MONTH(E1588)='IN-NX'!$J$5,'IN-NX'!$D$7=D1588),"x","")</f>
        <v/>
      </c>
      <c r="AB1588" s="75" t="str">
        <f>IF(AND(OR(LEFT(TH!N1588,2)="15",LEFT(TH!O1588,2)="15"),LEFT(TH!O1588,3)&lt;&gt;"111",'152-CT'!$J$8=TH!F1588),"x","")</f>
        <v/>
      </c>
      <c r="AC1588" s="75" t="str">
        <f>IF(AND(OR(LEFT(TH!N1588,2)="15",LEFT(TH!O1588,2)="15"),TK!$E$7=TH!F1588),"x","")</f>
        <v/>
      </c>
      <c r="AD1588" s="75" t="str">
        <f>IF(AND(N1588="1521",MONTH(C1588)='BK-NL'!$M$11),"x","")</f>
        <v/>
      </c>
    </row>
    <row r="1589" spans="1:30" ht="16.5" customHeight="1">
      <c r="A1589" s="309" t="str">
        <f>IF(B1589&lt;&gt;"",IF(AND(B1589='IN-TC'!$S$4,OR(TH!N1589="1111",TH!O1589="1111")),TH!D1589,""),"")</f>
        <v/>
      </c>
      <c r="B1589" s="1130">
        <f t="shared" si="386"/>
        <v>6</v>
      </c>
      <c r="C1589" s="292">
        <f t="shared" si="387"/>
        <v>42906</v>
      </c>
      <c r="D1589" s="292" t="s">
        <v>2975</v>
      </c>
      <c r="E1589" s="292">
        <v>42906</v>
      </c>
      <c r="F1589" s="67" t="s">
        <v>1120</v>
      </c>
      <c r="G1589" s="925"/>
      <c r="H1589" s="435" t="s">
        <v>348</v>
      </c>
      <c r="I1589" s="373">
        <v>1260</v>
      </c>
      <c r="J1589" s="379">
        <v>32000</v>
      </c>
      <c r="K1589" s="373"/>
      <c r="L1589" s="379"/>
      <c r="M1589" s="927">
        <f t="shared" si="388"/>
        <v>40320000</v>
      </c>
      <c r="N1589" s="295" t="s">
        <v>264</v>
      </c>
      <c r="O1589" s="295" t="s">
        <v>8</v>
      </c>
      <c r="P1589" s="75" t="str">
        <f>IF(AND('331-CT'!$E$7=TH!H1589,OR(N1589="331",O1589="331")),"x","")</f>
        <v/>
      </c>
      <c r="Q1589" s="75" t="str">
        <f>IF(AND(B1589='111'!$L$11,OR($N1589=$Q$7,$O1589=$Q$7)),"x","")</f>
        <v/>
      </c>
      <c r="R1589" s="75" t="str">
        <f>IF(AND($N1589=$Q$7,$B1589&lt;'111'!$L$11),"x","")</f>
        <v/>
      </c>
      <c r="S1589" s="75" t="str">
        <f>IF(AND($O1589=$Q$7,$B1589&lt;'111'!$L$11),"x","")</f>
        <v/>
      </c>
      <c r="T1589" s="75" t="str">
        <f>IF(ISERROR(FIND('112'!$M$9,G1589,1)),"",IF((AND(FIND('112'!$M$9,G1589,1)&gt;=1,B1589='112'!$K$9,OR($N1589='112'!$I$6,$O1589='112'!$I$6))),"x",""))</f>
        <v/>
      </c>
      <c r="U1589" s="75" t="str">
        <f>IF(ISERROR(FIND('112'!$M$9,G1589,1)),"",IF((AND(LEFT(G1589,2)=LEFT('112'!$M$9,2),B1589&lt;'112'!$K$9,$N1589='112'!$I$6)),"x",""))</f>
        <v/>
      </c>
      <c r="V1589" s="75" t="str">
        <f>IF(ISERROR(FIND('112'!$M$9,G1589,1)),"",IF((AND(RIGHT(G1589,2)=RIGHT('112'!$M$9,2),B1589&lt;'112'!$K$9,$O1589='112'!$I$6)),"x",""))</f>
        <v/>
      </c>
      <c r="W1589" s="75" t="str">
        <f>IF(AND('341-CT'!$H$9=H1589,OR(LEFT(N1589,3)=$W$7,LEFT(O1589,3)=$W$7)),"x","")</f>
        <v/>
      </c>
      <c r="X1589" s="75" t="str">
        <f>IF(OR(TH!N1589=TH!$X$7,O1589=TH!$X$7),"x","")</f>
        <v/>
      </c>
      <c r="Y1589" s="75" t="str">
        <f>IF(AND(OR(N1589="131",O1589="131"),H1589='131-CT'!$H$9),"x","")</f>
        <v/>
      </c>
      <c r="Z1589" s="75"/>
      <c r="AA1589" s="75" t="str">
        <f>IF(AND(MONTH(E1589)='IN-NX'!$J$5,'IN-NX'!$D$7=D1589),"x","")</f>
        <v/>
      </c>
      <c r="AB1589" s="75" t="str">
        <f>IF(AND(OR(LEFT(TH!N1589,2)="15",LEFT(TH!O1589,2)="15"),LEFT(TH!O1589,3)&lt;&gt;"111",'152-CT'!$J$8=TH!F1589),"x","")</f>
        <v/>
      </c>
      <c r="AC1589" s="75" t="str">
        <f>IF(AND(OR(LEFT(TH!N1589,2)="15",LEFT(TH!O1589,2)="15"),TK!$E$7=TH!F1589),"x","")</f>
        <v/>
      </c>
      <c r="AD1589" s="75" t="str">
        <f>IF(AND(N1589="1521",MONTH(C1589)='BK-NL'!$M$11),"x","")</f>
        <v/>
      </c>
    </row>
    <row r="1590" spans="1:30" ht="16.5" customHeight="1">
      <c r="A1590" s="309" t="str">
        <f>IF(B1590&lt;&gt;"",IF(AND(B1590='IN-TC'!$S$4,OR(TH!N1590="1111",TH!O1590="1111")),TH!D1590,""),"")</f>
        <v/>
      </c>
      <c r="B1590" s="1130">
        <f t="shared" si="386"/>
        <v>6</v>
      </c>
      <c r="C1590" s="292">
        <f t="shared" si="387"/>
        <v>42906</v>
      </c>
      <c r="D1590" s="292" t="s">
        <v>2975</v>
      </c>
      <c r="E1590" s="292">
        <v>42906</v>
      </c>
      <c r="F1590" s="925" t="s">
        <v>3004</v>
      </c>
      <c r="G1590" s="925"/>
      <c r="H1590" s="435" t="s">
        <v>348</v>
      </c>
      <c r="I1590" s="373">
        <v>66</v>
      </c>
      <c r="J1590" s="379">
        <v>245000</v>
      </c>
      <c r="K1590" s="373"/>
      <c r="L1590" s="379"/>
      <c r="M1590" s="927">
        <f t="shared" si="388"/>
        <v>16170000</v>
      </c>
      <c r="N1590" s="295" t="s">
        <v>264</v>
      </c>
      <c r="O1590" s="295" t="s">
        <v>8</v>
      </c>
      <c r="P1590" s="75" t="str">
        <f>IF(AND('331-CT'!$E$7=TH!H1590,OR(N1590="331",O1590="331")),"x","")</f>
        <v/>
      </c>
      <c r="Q1590" s="75" t="str">
        <f>IF(AND(B1590='111'!$L$11,OR($N1590=$Q$7,$O1590=$Q$7)),"x","")</f>
        <v/>
      </c>
      <c r="R1590" s="75" t="str">
        <f>IF(AND($N1590=$Q$7,$B1590&lt;'111'!$L$11),"x","")</f>
        <v/>
      </c>
      <c r="S1590" s="75" t="str">
        <f>IF(AND($O1590=$Q$7,$B1590&lt;'111'!$L$11),"x","")</f>
        <v/>
      </c>
      <c r="T1590" s="75" t="str">
        <f>IF(ISERROR(FIND('112'!$M$9,G1590,1)),"",IF((AND(FIND('112'!$M$9,G1590,1)&gt;=1,B1590='112'!$K$9,OR($N1590='112'!$I$6,$O1590='112'!$I$6))),"x",""))</f>
        <v/>
      </c>
      <c r="U1590" s="75" t="str">
        <f>IF(ISERROR(FIND('112'!$M$9,G1590,1)),"",IF((AND(LEFT(G1590,2)=LEFT('112'!$M$9,2),B1590&lt;'112'!$K$9,$N1590='112'!$I$6)),"x",""))</f>
        <v/>
      </c>
      <c r="V1590" s="75" t="str">
        <f>IF(ISERROR(FIND('112'!$M$9,G1590,1)),"",IF((AND(RIGHT(G1590,2)=RIGHT('112'!$M$9,2),B1590&lt;'112'!$K$9,$O1590='112'!$I$6)),"x",""))</f>
        <v/>
      </c>
      <c r="W1590" s="75" t="str">
        <f>IF(AND('341-CT'!$H$9=H1590,OR(LEFT(N1590,3)=$W$7,LEFT(O1590,3)=$W$7)),"x","")</f>
        <v/>
      </c>
      <c r="X1590" s="75" t="str">
        <f>IF(OR(TH!N1590=TH!$X$7,O1590=TH!$X$7),"x","")</f>
        <v/>
      </c>
      <c r="Y1590" s="75" t="str">
        <f>IF(AND(OR(N1590="131",O1590="131"),H1590='131-CT'!$H$9),"x","")</f>
        <v/>
      </c>
      <c r="Z1590" s="75"/>
      <c r="AA1590" s="75" t="str">
        <f>IF(AND(MONTH(E1590)='IN-NX'!$J$5,'IN-NX'!$D$7=D1590),"x","")</f>
        <v/>
      </c>
      <c r="AB1590" s="75" t="str">
        <f>IF(AND(OR(LEFT(TH!N1590,2)="15",LEFT(TH!O1590,2)="15"),LEFT(TH!O1590,3)&lt;&gt;"111",'152-CT'!$J$8=TH!F1590),"x","")</f>
        <v/>
      </c>
      <c r="AC1590" s="75" t="str">
        <f>IF(AND(OR(LEFT(TH!N1590,2)="15",LEFT(TH!O1590,2)="15"),TK!$E$7=TH!F1590),"x","")</f>
        <v/>
      </c>
      <c r="AD1590" s="75" t="str">
        <f>IF(AND(N1590="1521",MONTH(C1590)='BK-NL'!$M$11),"x","")</f>
        <v/>
      </c>
    </row>
    <row r="1591" spans="1:30" ht="16.5" customHeight="1">
      <c r="A1591" s="309" t="str">
        <f>IF(B1591&lt;&gt;"",IF(AND(B1591='IN-TC'!$S$4,OR(TH!N1591="1111",TH!O1591="1111")),TH!D1591,""),"")</f>
        <v/>
      </c>
      <c r="B1591" s="1130">
        <f t="shared" si="386"/>
        <v>6</v>
      </c>
      <c r="C1591" s="292">
        <f t="shared" si="387"/>
        <v>42906</v>
      </c>
      <c r="D1591" s="292" t="s">
        <v>2975</v>
      </c>
      <c r="E1591" s="292">
        <v>42906</v>
      </c>
      <c r="F1591" s="429" t="s">
        <v>3005</v>
      </c>
      <c r="G1591" s="925"/>
      <c r="H1591" s="435" t="s">
        <v>348</v>
      </c>
      <c r="I1591" s="373">
        <v>16</v>
      </c>
      <c r="J1591" s="379">
        <v>25000</v>
      </c>
      <c r="K1591" s="373"/>
      <c r="L1591" s="379"/>
      <c r="M1591" s="927">
        <f t="shared" si="388"/>
        <v>400000</v>
      </c>
      <c r="N1591" s="295" t="s">
        <v>264</v>
      </c>
      <c r="O1591" s="295" t="s">
        <v>8</v>
      </c>
      <c r="P1591" s="75" t="str">
        <f>IF(AND('331-CT'!$E$7=TH!H1591,OR(N1591="331",O1591="331")),"x","")</f>
        <v/>
      </c>
      <c r="Q1591" s="75" t="str">
        <f>IF(AND(B1591='111'!$L$11,OR($N1591=$Q$7,$O1591=$Q$7)),"x","")</f>
        <v/>
      </c>
      <c r="R1591" s="75" t="str">
        <f>IF(AND($N1591=$Q$7,$B1591&lt;'111'!$L$11),"x","")</f>
        <v/>
      </c>
      <c r="S1591" s="75" t="str">
        <f>IF(AND($O1591=$Q$7,$B1591&lt;'111'!$L$11),"x","")</f>
        <v/>
      </c>
      <c r="T1591" s="75" t="str">
        <f>IF(ISERROR(FIND('112'!$M$9,G1591,1)),"",IF((AND(FIND('112'!$M$9,G1591,1)&gt;=1,B1591='112'!$K$9,OR($N1591='112'!$I$6,$O1591='112'!$I$6))),"x",""))</f>
        <v/>
      </c>
      <c r="U1591" s="75" t="str">
        <f>IF(ISERROR(FIND('112'!$M$9,G1591,1)),"",IF((AND(LEFT(G1591,2)=LEFT('112'!$M$9,2),B1591&lt;'112'!$K$9,$N1591='112'!$I$6)),"x",""))</f>
        <v/>
      </c>
      <c r="V1591" s="75" t="str">
        <f>IF(ISERROR(FIND('112'!$M$9,G1591,1)),"",IF((AND(RIGHT(G1591,2)=RIGHT('112'!$M$9,2),B1591&lt;'112'!$K$9,$O1591='112'!$I$6)),"x",""))</f>
        <v/>
      </c>
      <c r="W1591" s="75" t="str">
        <f>IF(AND('341-CT'!$H$9=H1591,OR(LEFT(N1591,3)=$W$7,LEFT(O1591,3)=$W$7)),"x","")</f>
        <v/>
      </c>
      <c r="X1591" s="75" t="str">
        <f>IF(OR(TH!N1591=TH!$X$7,O1591=TH!$X$7),"x","")</f>
        <v/>
      </c>
      <c r="Y1591" s="75" t="str">
        <f>IF(AND(OR(N1591="131",O1591="131"),H1591='131-CT'!$H$9),"x","")</f>
        <v/>
      </c>
      <c r="Z1591" s="75"/>
      <c r="AA1591" s="75" t="str">
        <f>IF(AND(MONTH(E1591)='IN-NX'!$J$5,'IN-NX'!$D$7=D1591),"x","")</f>
        <v/>
      </c>
      <c r="AB1591" s="75" t="str">
        <f>IF(AND(OR(LEFT(TH!N1591,2)="15",LEFT(TH!O1591,2)="15"),LEFT(TH!O1591,3)&lt;&gt;"111",'152-CT'!$J$8=TH!F1591),"x","")</f>
        <v/>
      </c>
      <c r="AC1591" s="75" t="str">
        <f>IF(AND(OR(LEFT(TH!N1591,2)="15",LEFT(TH!O1591,2)="15"),TK!$E$7=TH!F1591),"x","")</f>
        <v/>
      </c>
      <c r="AD1591" s="75" t="str">
        <f>IF(AND(N1591="1521",MONTH(C1591)='BK-NL'!$M$11),"x","")</f>
        <v/>
      </c>
    </row>
    <row r="1592" spans="1:30" ht="16.5" customHeight="1">
      <c r="A1592" s="309" t="str">
        <f>IF(B1592&lt;&gt;"",IF(AND(B1592='IN-TC'!$S$4,OR(TH!N1592="1111",TH!O1592="1111")),TH!D1592,""),"")</f>
        <v/>
      </c>
      <c r="B1592" s="1130">
        <f t="shared" si="386"/>
        <v>6</v>
      </c>
      <c r="C1592" s="292">
        <f t="shared" si="387"/>
        <v>42906</v>
      </c>
      <c r="D1592" s="292" t="s">
        <v>2975</v>
      </c>
      <c r="E1592" s="292">
        <v>42906</v>
      </c>
      <c r="F1592" s="425" t="s">
        <v>1912</v>
      </c>
      <c r="G1592" s="925"/>
      <c r="H1592" s="435" t="s">
        <v>348</v>
      </c>
      <c r="I1592" s="373">
        <v>1010</v>
      </c>
      <c r="J1592" s="379">
        <v>135000</v>
      </c>
      <c r="K1592" s="373"/>
      <c r="L1592" s="379"/>
      <c r="M1592" s="927">
        <f t="shared" si="388"/>
        <v>136350000</v>
      </c>
      <c r="N1592" s="295" t="s">
        <v>264</v>
      </c>
      <c r="O1592" s="295" t="s">
        <v>8</v>
      </c>
      <c r="P1592" s="75" t="str">
        <f>IF(AND('331-CT'!$E$7=TH!H1592,OR(N1592="331",O1592="331")),"x","")</f>
        <v/>
      </c>
      <c r="Q1592" s="75" t="str">
        <f>IF(AND(B1592='111'!$L$11,OR($N1592=$Q$7,$O1592=$Q$7)),"x","")</f>
        <v/>
      </c>
      <c r="R1592" s="75" t="str">
        <f>IF(AND($N1592=$Q$7,$B1592&lt;'111'!$L$11),"x","")</f>
        <v/>
      </c>
      <c r="S1592" s="75" t="str">
        <f>IF(AND($O1592=$Q$7,$B1592&lt;'111'!$L$11),"x","")</f>
        <v/>
      </c>
      <c r="T1592" s="75" t="str">
        <f>IF(ISERROR(FIND('112'!$M$9,G1592,1)),"",IF((AND(FIND('112'!$M$9,G1592,1)&gt;=1,B1592='112'!$K$9,OR($N1592='112'!$I$6,$O1592='112'!$I$6))),"x",""))</f>
        <v/>
      </c>
      <c r="U1592" s="75" t="str">
        <f>IF(ISERROR(FIND('112'!$M$9,G1592,1)),"",IF((AND(LEFT(G1592,2)=LEFT('112'!$M$9,2),B1592&lt;'112'!$K$9,$N1592='112'!$I$6)),"x",""))</f>
        <v/>
      </c>
      <c r="V1592" s="75" t="str">
        <f>IF(ISERROR(FIND('112'!$M$9,G1592,1)),"",IF((AND(RIGHT(G1592,2)=RIGHT('112'!$M$9,2),B1592&lt;'112'!$K$9,$O1592='112'!$I$6)),"x",""))</f>
        <v/>
      </c>
      <c r="W1592" s="75" t="str">
        <f>IF(AND('341-CT'!$H$9=H1592,OR(LEFT(N1592,3)=$W$7,LEFT(O1592,3)=$W$7)),"x","")</f>
        <v/>
      </c>
      <c r="X1592" s="75" t="str">
        <f>IF(OR(TH!N1592=TH!$X$7,O1592=TH!$X$7),"x","")</f>
        <v/>
      </c>
      <c r="Y1592" s="75" t="str">
        <f>IF(AND(OR(N1592="131",O1592="131"),H1592='131-CT'!$H$9),"x","")</f>
        <v/>
      </c>
      <c r="Z1592" s="75"/>
      <c r="AA1592" s="75" t="str">
        <f>IF(AND(MONTH(E1592)='IN-NX'!$J$5,'IN-NX'!$D$7=D1592),"x","")</f>
        <v/>
      </c>
      <c r="AB1592" s="75" t="str">
        <f>IF(AND(OR(LEFT(TH!N1592,2)="15",LEFT(TH!O1592,2)="15"),LEFT(TH!O1592,3)&lt;&gt;"111",'152-CT'!$J$8=TH!F1592),"x","")</f>
        <v/>
      </c>
      <c r="AC1592" s="75" t="str">
        <f>IF(AND(OR(LEFT(TH!N1592,2)="15",LEFT(TH!O1592,2)="15"),TK!$E$7=TH!F1592),"x","")</f>
        <v/>
      </c>
      <c r="AD1592" s="75" t="str">
        <f>IF(AND(N1592="1521",MONTH(C1592)='BK-NL'!$M$11),"x","")</f>
        <v/>
      </c>
    </row>
    <row r="1593" spans="1:30" ht="16.5" customHeight="1">
      <c r="A1593" s="309" t="str">
        <f>IF(B1593&lt;&gt;"",IF(AND(B1593='IN-TC'!$S$4,OR(TH!N1593="1111",TH!O1593="1111")),TH!D1593,""),"")</f>
        <v/>
      </c>
      <c r="B1593" s="1130">
        <f t="shared" si="386"/>
        <v>6</v>
      </c>
      <c r="C1593" s="929">
        <f t="shared" si="387"/>
        <v>42916</v>
      </c>
      <c r="D1593" s="929" t="s">
        <v>2956</v>
      </c>
      <c r="E1593" s="929">
        <v>42916</v>
      </c>
      <c r="F1593" s="1082" t="s">
        <v>771</v>
      </c>
      <c r="G1593" s="931"/>
      <c r="H1593" s="1082" t="s">
        <v>2989</v>
      </c>
      <c r="I1593" s="371">
        <v>60000</v>
      </c>
      <c r="J1593" s="377">
        <v>17500</v>
      </c>
      <c r="K1593" s="371"/>
      <c r="L1593" s="377"/>
      <c r="M1593" s="933">
        <f t="shared" si="388"/>
        <v>1050000000</v>
      </c>
      <c r="N1593" s="934" t="s">
        <v>272</v>
      </c>
      <c r="O1593" s="934" t="s">
        <v>264</v>
      </c>
      <c r="P1593" s="75" t="str">
        <f>IF(AND('331-CT'!$E$7=TH!H1593,OR(N1593="331",O1593="331")),"x","")</f>
        <v/>
      </c>
      <c r="Q1593" s="75" t="str">
        <f>IF(AND(B1593='111'!$L$11,OR($N1593=$Q$7,$O1593=$Q$7)),"x","")</f>
        <v/>
      </c>
      <c r="R1593" s="75" t="str">
        <f>IF(AND($N1593=$Q$7,$B1593&lt;'111'!$L$11),"x","")</f>
        <v/>
      </c>
      <c r="S1593" s="75" t="str">
        <f>IF(AND($O1593=$Q$7,$B1593&lt;'111'!$L$11),"x","")</f>
        <v/>
      </c>
      <c r="T1593" s="75" t="str">
        <f>IF(ISERROR(FIND('112'!$M$9,G1593,1)),"",IF((AND(FIND('112'!$M$9,G1593,1)&gt;=1,B1593='112'!$K$9,OR($N1593='112'!$I$6,$O1593='112'!$I$6))),"x",""))</f>
        <v/>
      </c>
      <c r="U1593" s="75" t="str">
        <f>IF(ISERROR(FIND('112'!$M$9,G1593,1)),"",IF((AND(LEFT(G1593,2)=LEFT('112'!$M$9,2),B1593&lt;'112'!$K$9,$N1593='112'!$I$6)),"x",""))</f>
        <v/>
      </c>
      <c r="V1593" s="75" t="str">
        <f>IF(ISERROR(FIND('112'!$M$9,G1593,1)),"",IF((AND(RIGHT(G1593,2)=RIGHT('112'!$M$9,2),B1593&lt;'112'!$K$9,$O1593='112'!$I$6)),"x",""))</f>
        <v/>
      </c>
      <c r="W1593" s="75" t="str">
        <f>IF(AND('341-CT'!$H$9=H1593,OR(LEFT(N1593,3)=$W$7,LEFT(O1593,3)=$W$7)),"x","")</f>
        <v/>
      </c>
      <c r="X1593" s="75" t="str">
        <f>IF(OR(TH!N1593=TH!$X$7,O1593=TH!$X$7),"x","")</f>
        <v/>
      </c>
      <c r="Y1593" s="75" t="str">
        <f>IF(AND(OR(N1593="131",O1593="131"),H1593='131-CT'!$H$9),"x","")</f>
        <v/>
      </c>
      <c r="Z1593" s="75"/>
      <c r="AA1593" s="75" t="str">
        <f>IF(AND(MONTH(E1593)='IN-NX'!$J$5,'IN-NX'!$D$7=D1593),"x","")</f>
        <v/>
      </c>
      <c r="AB1593" s="75" t="str">
        <f>IF(AND(OR(LEFT(TH!N1593,2)="15",LEFT(TH!O1593,2)="15"),LEFT(TH!O1593,3)&lt;&gt;"111",'152-CT'!$J$8=TH!F1593),"x","")</f>
        <v/>
      </c>
      <c r="AC1593" s="75" t="str">
        <f>IF(AND(OR(LEFT(TH!N1593,2)="15",LEFT(TH!O1593,2)="15"),TK!$E$7=TH!F1593),"x","")</f>
        <v/>
      </c>
      <c r="AD1593" s="75" t="str">
        <f>IF(AND(N1593="1521",MONTH(C1593)='BK-NL'!$M$11),"x","")</f>
        <v/>
      </c>
    </row>
    <row r="1594" spans="1:30" ht="16.5" customHeight="1">
      <c r="A1594" s="309" t="str">
        <f>IF(B1594&lt;&gt;"",IF(AND(B1594='IN-TC'!$S$4,OR(TH!N1594="1111",TH!O1594="1111")),TH!D1594,""),"")</f>
        <v/>
      </c>
      <c r="B1594" s="1130">
        <f t="shared" si="386"/>
        <v>6</v>
      </c>
      <c r="C1594" s="929">
        <f t="shared" si="387"/>
        <v>42916</v>
      </c>
      <c r="D1594" s="929" t="s">
        <v>2956</v>
      </c>
      <c r="E1594" s="929">
        <v>42916</v>
      </c>
      <c r="F1594" s="1082" t="s">
        <v>771</v>
      </c>
      <c r="G1594" s="931"/>
      <c r="H1594" s="1082" t="s">
        <v>424</v>
      </c>
      <c r="I1594" s="371">
        <v>360263</v>
      </c>
      <c r="J1594" s="377">
        <v>18500</v>
      </c>
      <c r="K1594" s="371"/>
      <c r="L1594" s="377"/>
      <c r="M1594" s="933">
        <f t="shared" si="388"/>
        <v>6664865500</v>
      </c>
      <c r="N1594" s="934" t="s">
        <v>272</v>
      </c>
      <c r="O1594" s="934" t="s">
        <v>264</v>
      </c>
      <c r="P1594" s="75" t="str">
        <f>IF(AND('331-CT'!$E$7=TH!H1594,OR(N1594="331",O1594="331")),"x","")</f>
        <v/>
      </c>
      <c r="Q1594" s="75" t="str">
        <f>IF(AND(B1594='111'!$L$11,OR($N1594=$Q$7,$O1594=$Q$7)),"x","")</f>
        <v/>
      </c>
      <c r="R1594" s="75" t="str">
        <f>IF(AND($N1594=$Q$7,$B1594&lt;'111'!$L$11),"x","")</f>
        <v/>
      </c>
      <c r="S1594" s="75" t="str">
        <f>IF(AND($O1594=$Q$7,$B1594&lt;'111'!$L$11),"x","")</f>
        <v/>
      </c>
      <c r="T1594" s="75" t="str">
        <f>IF(ISERROR(FIND('112'!$M$9,G1594,1)),"",IF((AND(FIND('112'!$M$9,G1594,1)&gt;=1,B1594='112'!$K$9,OR($N1594='112'!$I$6,$O1594='112'!$I$6))),"x",""))</f>
        <v/>
      </c>
      <c r="U1594" s="75" t="str">
        <f>IF(ISERROR(FIND('112'!$M$9,G1594,1)),"",IF((AND(LEFT(G1594,2)=LEFT('112'!$M$9,2),B1594&lt;'112'!$K$9,$N1594='112'!$I$6)),"x",""))</f>
        <v/>
      </c>
      <c r="V1594" s="75" t="str">
        <f>IF(ISERROR(FIND('112'!$M$9,G1594,1)),"",IF((AND(RIGHT(G1594,2)=RIGHT('112'!$M$9,2),B1594&lt;'112'!$K$9,$O1594='112'!$I$6)),"x",""))</f>
        <v/>
      </c>
      <c r="W1594" s="75" t="str">
        <f>IF(AND('341-CT'!$H$9=H1594,OR(LEFT(N1594,3)=$W$7,LEFT(O1594,3)=$W$7)),"x","")</f>
        <v/>
      </c>
      <c r="X1594" s="75" t="str">
        <f>IF(OR(TH!N1594=TH!$X$7,O1594=TH!$X$7),"x","")</f>
        <v/>
      </c>
      <c r="Y1594" s="75" t="str">
        <f>IF(AND(OR(N1594="131",O1594="131"),H1594='131-CT'!$H$9),"x","")</f>
        <v/>
      </c>
      <c r="Z1594" s="75"/>
      <c r="AA1594" s="75" t="str">
        <f>IF(AND(MONTH(E1594)='IN-NX'!$J$5,'IN-NX'!$D$7=D1594),"x","")</f>
        <v/>
      </c>
      <c r="AB1594" s="75" t="str">
        <f>IF(AND(OR(LEFT(TH!N1594,2)="15",LEFT(TH!O1594,2)="15"),LEFT(TH!O1594,3)&lt;&gt;"111",'152-CT'!$J$8=TH!F1594),"x","")</f>
        <v/>
      </c>
      <c r="AC1594" s="75" t="str">
        <f>IF(AND(OR(LEFT(TH!N1594,2)="15",LEFT(TH!O1594,2)="15"),TK!$E$7=TH!F1594),"x","")</f>
        <v/>
      </c>
      <c r="AD1594" s="75" t="str">
        <f>IF(AND(N1594="1521",MONTH(C1594)='BK-NL'!$M$11),"x","")</f>
        <v/>
      </c>
    </row>
    <row r="1595" spans="1:30" ht="16.5" customHeight="1">
      <c r="A1595" s="309" t="str">
        <f>IF(B1595&lt;&gt;"",IF(AND(B1595='IN-TC'!$S$4,OR(TH!N1595="1111",TH!O1595="1111")),TH!D1595,""),"")</f>
        <v/>
      </c>
      <c r="B1595" s="1130">
        <f t="shared" si="386"/>
        <v>6</v>
      </c>
      <c r="C1595" s="929">
        <f t="shared" si="387"/>
        <v>42916</v>
      </c>
      <c r="D1595" s="929" t="s">
        <v>2956</v>
      </c>
      <c r="E1595" s="929">
        <v>42916</v>
      </c>
      <c r="F1595" s="1082" t="s">
        <v>566</v>
      </c>
      <c r="G1595" s="931"/>
      <c r="H1595" s="1082" t="s">
        <v>424</v>
      </c>
      <c r="I1595" s="371">
        <v>151800</v>
      </c>
      <c r="J1595" s="377">
        <v>18200</v>
      </c>
      <c r="K1595" s="371"/>
      <c r="L1595" s="377"/>
      <c r="M1595" s="933">
        <f t="shared" si="388"/>
        <v>2762760000</v>
      </c>
      <c r="N1595" s="934" t="s">
        <v>272</v>
      </c>
      <c r="O1595" s="934" t="s">
        <v>264</v>
      </c>
      <c r="P1595" s="75" t="str">
        <f>IF(AND('331-CT'!$E$7=TH!H1595,OR(N1595="331",O1595="331")),"x","")</f>
        <v/>
      </c>
      <c r="Q1595" s="75" t="str">
        <f>IF(AND(B1595='111'!$L$11,OR($N1595=$Q$7,$O1595=$Q$7)),"x","")</f>
        <v/>
      </c>
      <c r="R1595" s="75" t="str">
        <f>IF(AND($N1595=$Q$7,$B1595&lt;'111'!$L$11),"x","")</f>
        <v/>
      </c>
      <c r="S1595" s="75" t="str">
        <f>IF(AND($O1595=$Q$7,$B1595&lt;'111'!$L$11),"x","")</f>
        <v/>
      </c>
      <c r="T1595" s="75" t="str">
        <f>IF(ISERROR(FIND('112'!$M$9,G1595,1)),"",IF((AND(FIND('112'!$M$9,G1595,1)&gt;=1,B1595='112'!$K$9,OR($N1595='112'!$I$6,$O1595='112'!$I$6))),"x",""))</f>
        <v/>
      </c>
      <c r="U1595" s="75" t="str">
        <f>IF(ISERROR(FIND('112'!$M$9,G1595,1)),"",IF((AND(LEFT(G1595,2)=LEFT('112'!$M$9,2),B1595&lt;'112'!$K$9,$N1595='112'!$I$6)),"x",""))</f>
        <v/>
      </c>
      <c r="V1595" s="75" t="str">
        <f>IF(ISERROR(FIND('112'!$M$9,G1595,1)),"",IF((AND(RIGHT(G1595,2)=RIGHT('112'!$M$9,2),B1595&lt;'112'!$K$9,$O1595='112'!$I$6)),"x",""))</f>
        <v/>
      </c>
      <c r="W1595" s="75" t="str">
        <f>IF(AND('341-CT'!$H$9=H1595,OR(LEFT(N1595,3)=$W$7,LEFT(O1595,3)=$W$7)),"x","")</f>
        <v/>
      </c>
      <c r="X1595" s="75" t="str">
        <f>IF(OR(TH!N1595=TH!$X$7,O1595=TH!$X$7),"x","")</f>
        <v/>
      </c>
      <c r="Y1595" s="75" t="str">
        <f>IF(AND(OR(N1595="131",O1595="131"),H1595='131-CT'!$H$9),"x","")</f>
        <v/>
      </c>
      <c r="Z1595" s="75"/>
      <c r="AA1595" s="75" t="str">
        <f>IF(AND(MONTH(E1595)='IN-NX'!$J$5,'IN-NX'!$D$7=D1595),"x","")</f>
        <v/>
      </c>
      <c r="AB1595" s="75" t="str">
        <f>IF(AND(OR(LEFT(TH!N1595,2)="15",LEFT(TH!O1595,2)="15"),LEFT(TH!O1595,3)&lt;&gt;"111",'152-CT'!$J$8=TH!F1595),"x","")</f>
        <v/>
      </c>
      <c r="AC1595" s="75" t="str">
        <f>IF(AND(OR(LEFT(TH!N1595,2)="15",LEFT(TH!O1595,2)="15"),TK!$E$7=TH!F1595),"x","")</f>
        <v/>
      </c>
      <c r="AD1595" s="75" t="str">
        <f>IF(AND(N1595="1521",MONTH(C1595)='BK-NL'!$M$11),"x","")</f>
        <v/>
      </c>
    </row>
    <row r="1596" spans="1:30" ht="16.5" customHeight="1">
      <c r="A1596" s="309" t="str">
        <f>IF(B1596&lt;&gt;"",IF(AND(B1596='IN-TC'!$S$4,OR(TH!N1596="1111",TH!O1596="1111")),TH!D1596,""),"")</f>
        <v/>
      </c>
      <c r="B1596" s="1130">
        <f t="shared" si="386"/>
        <v>6</v>
      </c>
      <c r="C1596" s="929">
        <f t="shared" si="387"/>
        <v>42916</v>
      </c>
      <c r="D1596" s="929" t="s">
        <v>2956</v>
      </c>
      <c r="E1596" s="929">
        <v>42916</v>
      </c>
      <c r="F1596" s="1082" t="s">
        <v>566</v>
      </c>
      <c r="G1596" s="931"/>
      <c r="H1596" s="1082" t="s">
        <v>424</v>
      </c>
      <c r="I1596" s="371">
        <v>15000</v>
      </c>
      <c r="J1596" s="377">
        <v>19500</v>
      </c>
      <c r="K1596" s="371"/>
      <c r="L1596" s="377"/>
      <c r="M1596" s="933">
        <f t="shared" si="388"/>
        <v>292500000</v>
      </c>
      <c r="N1596" s="934" t="s">
        <v>272</v>
      </c>
      <c r="O1596" s="934" t="s">
        <v>264</v>
      </c>
      <c r="P1596" s="75" t="str">
        <f>IF(AND('331-CT'!$E$7=TH!H1596,OR(N1596="331",O1596="331")),"x","")</f>
        <v/>
      </c>
      <c r="Q1596" s="75" t="str">
        <f>IF(AND(B1596='111'!$L$11,OR($N1596=$Q$7,$O1596=$Q$7)),"x","")</f>
        <v/>
      </c>
      <c r="R1596" s="75" t="str">
        <f>IF(AND($N1596=$Q$7,$B1596&lt;'111'!$L$11),"x","")</f>
        <v/>
      </c>
      <c r="S1596" s="75" t="str">
        <f>IF(AND($O1596=$Q$7,$B1596&lt;'111'!$L$11),"x","")</f>
        <v/>
      </c>
      <c r="T1596" s="75" t="str">
        <f>IF(ISERROR(FIND('112'!$M$9,G1596,1)),"",IF((AND(FIND('112'!$M$9,G1596,1)&gt;=1,B1596='112'!$K$9,OR($N1596='112'!$I$6,$O1596='112'!$I$6))),"x",""))</f>
        <v/>
      </c>
      <c r="U1596" s="75" t="str">
        <f>IF(ISERROR(FIND('112'!$M$9,G1596,1)),"",IF((AND(LEFT(G1596,2)=LEFT('112'!$M$9,2),B1596&lt;'112'!$K$9,$N1596='112'!$I$6)),"x",""))</f>
        <v/>
      </c>
      <c r="V1596" s="75" t="str">
        <f>IF(ISERROR(FIND('112'!$M$9,G1596,1)),"",IF((AND(RIGHT(G1596,2)=RIGHT('112'!$M$9,2),B1596&lt;'112'!$K$9,$O1596='112'!$I$6)),"x",""))</f>
        <v/>
      </c>
      <c r="W1596" s="75" t="str">
        <f>IF(AND('341-CT'!$H$9=H1596,OR(LEFT(N1596,3)=$W$7,LEFT(O1596,3)=$W$7)),"x","")</f>
        <v/>
      </c>
      <c r="X1596" s="75" t="str">
        <f>IF(OR(TH!N1596=TH!$X$7,O1596=TH!$X$7),"x","")</f>
        <v/>
      </c>
      <c r="Y1596" s="75" t="str">
        <f>IF(AND(OR(N1596="131",O1596="131"),H1596='131-CT'!$H$9),"x","")</f>
        <v/>
      </c>
      <c r="Z1596" s="75"/>
      <c r="AA1596" s="75" t="str">
        <f>IF(AND(MONTH(E1596)='IN-NX'!$J$5,'IN-NX'!$D$7=D1596),"x","")</f>
        <v/>
      </c>
      <c r="AB1596" s="75" t="str">
        <f>IF(AND(OR(LEFT(TH!N1596,2)="15",LEFT(TH!O1596,2)="15"),LEFT(TH!O1596,3)&lt;&gt;"111",'152-CT'!$J$8=TH!F1596),"x","")</f>
        <v/>
      </c>
      <c r="AC1596" s="75" t="str">
        <f>IF(AND(OR(LEFT(TH!N1596,2)="15",LEFT(TH!O1596,2)="15"),TK!$E$7=TH!F1596),"x","")</f>
        <v/>
      </c>
      <c r="AD1596" s="75" t="str">
        <f>IF(AND(N1596="1521",MONTH(C1596)='BK-NL'!$M$11),"x","")</f>
        <v/>
      </c>
    </row>
    <row r="1597" spans="1:30" ht="16.5" customHeight="1">
      <c r="A1597" s="309" t="str">
        <f>IF(B1597&lt;&gt;"",IF(AND(B1597='IN-TC'!$S$4,OR(TH!N1597="1111",TH!O1597="1111")),TH!D1597,""),"")</f>
        <v/>
      </c>
      <c r="B1597" s="1130">
        <f t="shared" si="386"/>
        <v>6</v>
      </c>
      <c r="C1597" s="929">
        <f t="shared" si="387"/>
        <v>42916</v>
      </c>
      <c r="D1597" s="929" t="s">
        <v>2956</v>
      </c>
      <c r="E1597" s="929">
        <v>42916</v>
      </c>
      <c r="F1597" s="1082" t="s">
        <v>565</v>
      </c>
      <c r="G1597" s="931"/>
      <c r="H1597" s="1082" t="s">
        <v>424</v>
      </c>
      <c r="I1597" s="371">
        <v>18480</v>
      </c>
      <c r="J1597" s="377">
        <v>17500</v>
      </c>
      <c r="K1597" s="371"/>
      <c r="L1597" s="377"/>
      <c r="M1597" s="933">
        <f t="shared" si="388"/>
        <v>323400000</v>
      </c>
      <c r="N1597" s="934" t="s">
        <v>272</v>
      </c>
      <c r="O1597" s="934" t="s">
        <v>264</v>
      </c>
      <c r="P1597" s="75" t="str">
        <f>IF(AND('331-CT'!$E$7=TH!H1597,OR(N1597="331",O1597="331")),"x","")</f>
        <v/>
      </c>
      <c r="Q1597" s="75" t="str">
        <f>IF(AND(B1597='111'!$L$11,OR($N1597=$Q$7,$O1597=$Q$7)),"x","")</f>
        <v/>
      </c>
      <c r="R1597" s="75" t="str">
        <f>IF(AND($N1597=$Q$7,$B1597&lt;'111'!$L$11),"x","")</f>
        <v/>
      </c>
      <c r="S1597" s="75" t="str">
        <f>IF(AND($O1597=$Q$7,$B1597&lt;'111'!$L$11),"x","")</f>
        <v/>
      </c>
      <c r="T1597" s="75" t="str">
        <f>IF(ISERROR(FIND('112'!$M$9,G1597,1)),"",IF((AND(FIND('112'!$M$9,G1597,1)&gt;=1,B1597='112'!$K$9,OR($N1597='112'!$I$6,$O1597='112'!$I$6))),"x",""))</f>
        <v/>
      </c>
      <c r="U1597" s="75" t="str">
        <f>IF(ISERROR(FIND('112'!$M$9,G1597,1)),"",IF((AND(LEFT(G1597,2)=LEFT('112'!$M$9,2),B1597&lt;'112'!$K$9,$N1597='112'!$I$6)),"x",""))</f>
        <v/>
      </c>
      <c r="V1597" s="75" t="str">
        <f>IF(ISERROR(FIND('112'!$M$9,G1597,1)),"",IF((AND(RIGHT(G1597,2)=RIGHT('112'!$M$9,2),B1597&lt;'112'!$K$9,$O1597='112'!$I$6)),"x",""))</f>
        <v/>
      </c>
      <c r="W1597" s="75" t="str">
        <f>IF(AND('341-CT'!$H$9=H1597,OR(LEFT(N1597,3)=$W$7,LEFT(O1597,3)=$W$7)),"x","")</f>
        <v/>
      </c>
      <c r="X1597" s="75" t="str">
        <f>IF(OR(TH!N1597=TH!$X$7,O1597=TH!$X$7),"x","")</f>
        <v/>
      </c>
      <c r="Y1597" s="75" t="str">
        <f>IF(AND(OR(N1597="131",O1597="131"),H1597='131-CT'!$H$9),"x","")</f>
        <v/>
      </c>
      <c r="Z1597" s="75"/>
      <c r="AA1597" s="75" t="str">
        <f>IF(AND(MONTH(E1597)='IN-NX'!$J$5,'IN-NX'!$D$7=D1597),"x","")</f>
        <v/>
      </c>
      <c r="AB1597" s="75" t="str">
        <f>IF(AND(OR(LEFT(TH!N1597,2)="15",LEFT(TH!O1597,2)="15"),LEFT(TH!O1597,3)&lt;&gt;"111",'152-CT'!$J$8=TH!F1597),"x","")</f>
        <v/>
      </c>
      <c r="AC1597" s="75" t="str">
        <f>IF(AND(OR(LEFT(TH!N1597,2)="15",LEFT(TH!O1597,2)="15"),TK!$E$7=TH!F1597),"x","")</f>
        <v/>
      </c>
      <c r="AD1597" s="75" t="str">
        <f>IF(AND(N1597="1521",MONTH(C1597)='BK-NL'!$M$11),"x","")</f>
        <v/>
      </c>
    </row>
    <row r="1598" spans="1:30" ht="16.5" customHeight="1">
      <c r="A1598" s="309" t="str">
        <f>IF(B1598&lt;&gt;"",IF(AND(B1598='IN-TC'!$S$4,OR(TH!N1598="1111",TH!O1598="1111")),TH!D1598,""),"")</f>
        <v/>
      </c>
      <c r="B1598" s="1130">
        <f t="shared" si="386"/>
        <v>6</v>
      </c>
      <c r="C1598" s="929">
        <f t="shared" si="387"/>
        <v>42916</v>
      </c>
      <c r="D1598" s="929" t="s">
        <v>2956</v>
      </c>
      <c r="E1598" s="929">
        <v>42916</v>
      </c>
      <c r="F1598" s="1082" t="s">
        <v>565</v>
      </c>
      <c r="G1598" s="931"/>
      <c r="H1598" s="1082" t="s">
        <v>424</v>
      </c>
      <c r="I1598" s="371">
        <v>16800</v>
      </c>
      <c r="J1598" s="377">
        <v>17000</v>
      </c>
      <c r="K1598" s="371"/>
      <c r="L1598" s="377"/>
      <c r="M1598" s="933">
        <f t="shared" si="388"/>
        <v>285600000</v>
      </c>
      <c r="N1598" s="934" t="s">
        <v>272</v>
      </c>
      <c r="O1598" s="934" t="s">
        <v>264</v>
      </c>
      <c r="P1598" s="75" t="str">
        <f>IF(AND('331-CT'!$E$7=TH!H1598,OR(N1598="331",O1598="331")),"x","")</f>
        <v/>
      </c>
      <c r="Q1598" s="75" t="str">
        <f>IF(AND(B1598='111'!$L$11,OR($N1598=$Q$7,$O1598=$Q$7)),"x","")</f>
        <v/>
      </c>
      <c r="R1598" s="75" t="str">
        <f>IF(AND($N1598=$Q$7,$B1598&lt;'111'!$L$11),"x","")</f>
        <v/>
      </c>
      <c r="S1598" s="75" t="str">
        <f>IF(AND($O1598=$Q$7,$B1598&lt;'111'!$L$11),"x","")</f>
        <v/>
      </c>
      <c r="T1598" s="75" t="str">
        <f>IF(ISERROR(FIND('112'!$M$9,G1598,1)),"",IF((AND(FIND('112'!$M$9,G1598,1)&gt;=1,B1598='112'!$K$9,OR($N1598='112'!$I$6,$O1598='112'!$I$6))),"x",""))</f>
        <v/>
      </c>
      <c r="U1598" s="75" t="str">
        <f>IF(ISERROR(FIND('112'!$M$9,G1598,1)),"",IF((AND(LEFT(G1598,2)=LEFT('112'!$M$9,2),B1598&lt;'112'!$K$9,$N1598='112'!$I$6)),"x",""))</f>
        <v/>
      </c>
      <c r="V1598" s="75" t="str">
        <f>IF(ISERROR(FIND('112'!$M$9,G1598,1)),"",IF((AND(RIGHT(G1598,2)=RIGHT('112'!$M$9,2),B1598&lt;'112'!$K$9,$O1598='112'!$I$6)),"x",""))</f>
        <v/>
      </c>
      <c r="W1598" s="75" t="str">
        <f>IF(AND('341-CT'!$H$9=H1598,OR(LEFT(N1598,3)=$W$7,LEFT(O1598,3)=$W$7)),"x","")</f>
        <v/>
      </c>
      <c r="X1598" s="75" t="str">
        <f>IF(OR(TH!N1598=TH!$X$7,O1598=TH!$X$7),"x","")</f>
        <v/>
      </c>
      <c r="Y1598" s="75" t="str">
        <f>IF(AND(OR(N1598="131",O1598="131"),H1598='131-CT'!$H$9),"x","")</f>
        <v/>
      </c>
      <c r="Z1598" s="75"/>
      <c r="AA1598" s="75" t="str">
        <f>IF(AND(MONTH(E1598)='IN-NX'!$J$5,'IN-NX'!$D$7=D1598),"x","")</f>
        <v/>
      </c>
      <c r="AB1598" s="75" t="str">
        <f>IF(AND(OR(LEFT(TH!N1598,2)="15",LEFT(TH!O1598,2)="15"),LEFT(TH!O1598,3)&lt;&gt;"111",'152-CT'!$J$8=TH!F1598),"x","")</f>
        <v/>
      </c>
      <c r="AC1598" s="75" t="str">
        <f>IF(AND(OR(LEFT(TH!N1598,2)="15",LEFT(TH!O1598,2)="15"),TK!$E$7=TH!F1598),"x","")</f>
        <v/>
      </c>
      <c r="AD1598" s="75" t="str">
        <f>IF(AND(N1598="1521",MONTH(C1598)='BK-NL'!$M$11),"x","")</f>
        <v/>
      </c>
    </row>
    <row r="1599" spans="1:30" ht="16.5" customHeight="1">
      <c r="A1599" s="309" t="str">
        <f>IF(B1599&lt;&gt;"",IF(AND(B1599='IN-TC'!$S$4,OR(TH!N1599="1111",TH!O1599="1111")),TH!D1599,""),"")</f>
        <v/>
      </c>
      <c r="B1599" s="1130">
        <f t="shared" ref="B1599:B1604" si="395">IF(C1599&lt;&gt;"",MONTH(C1599),"")</f>
        <v>6</v>
      </c>
      <c r="C1599" s="929">
        <f t="shared" ref="C1599:C1604" si="396">E1599</f>
        <v>42916</v>
      </c>
      <c r="D1599" s="929" t="s">
        <v>2956</v>
      </c>
      <c r="E1599" s="929">
        <v>42916</v>
      </c>
      <c r="F1599" s="1082" t="s">
        <v>1910</v>
      </c>
      <c r="G1599" s="931"/>
      <c r="H1599" s="1082" t="s">
        <v>424</v>
      </c>
      <c r="I1599" s="371">
        <v>1200</v>
      </c>
      <c r="J1599" s="377">
        <v>35000</v>
      </c>
      <c r="K1599" s="371"/>
      <c r="L1599" s="377"/>
      <c r="M1599" s="933">
        <f t="shared" ref="M1599:M1604" si="397">ROUND(I1599*J1599,0)</f>
        <v>42000000</v>
      </c>
      <c r="N1599" s="934" t="s">
        <v>272</v>
      </c>
      <c r="O1599" s="934" t="s">
        <v>264</v>
      </c>
      <c r="P1599" s="75" t="str">
        <f>IF(AND('331-CT'!$E$7=TH!H1599,OR(N1599="331",O1599="331")),"x","")</f>
        <v/>
      </c>
      <c r="Q1599" s="75" t="str">
        <f>IF(AND(B1599='111'!$L$11,OR($N1599=$Q$7,$O1599=$Q$7)),"x","")</f>
        <v/>
      </c>
      <c r="R1599" s="75" t="str">
        <f>IF(AND($N1599=$Q$7,$B1599&lt;'111'!$L$11),"x","")</f>
        <v/>
      </c>
      <c r="S1599" s="75" t="str">
        <f>IF(AND($O1599=$Q$7,$B1599&lt;'111'!$L$11),"x","")</f>
        <v/>
      </c>
      <c r="T1599" s="75" t="str">
        <f>IF(ISERROR(FIND('112'!$M$9,G1599,1)),"",IF((AND(FIND('112'!$M$9,G1599,1)&gt;=1,B1599='112'!$K$9,OR($N1599='112'!$I$6,$O1599='112'!$I$6))),"x",""))</f>
        <v/>
      </c>
      <c r="U1599" s="75" t="str">
        <f>IF(ISERROR(FIND('112'!$M$9,G1599,1)),"",IF((AND(LEFT(G1599,2)=LEFT('112'!$M$9,2),B1599&lt;'112'!$K$9,$N1599='112'!$I$6)),"x",""))</f>
        <v/>
      </c>
      <c r="V1599" s="75" t="str">
        <f>IF(ISERROR(FIND('112'!$M$9,G1599,1)),"",IF((AND(RIGHT(G1599,2)=RIGHT('112'!$M$9,2),B1599&lt;'112'!$K$9,$O1599='112'!$I$6)),"x",""))</f>
        <v/>
      </c>
      <c r="W1599" s="75" t="str">
        <f>IF(AND('341-CT'!$H$9=H1599,OR(LEFT(N1599,3)=$W$7,LEFT(O1599,3)=$W$7)),"x","")</f>
        <v/>
      </c>
      <c r="X1599" s="75" t="str">
        <f>IF(OR(TH!N1599=TH!$X$7,O1599=TH!$X$7),"x","")</f>
        <v/>
      </c>
      <c r="Y1599" s="75" t="str">
        <f>IF(AND(OR(N1599="131",O1599="131"),H1599='131-CT'!$H$9),"x","")</f>
        <v/>
      </c>
      <c r="Z1599" s="75"/>
      <c r="AA1599" s="75" t="str">
        <f>IF(AND(MONTH(E1599)='IN-NX'!$J$5,'IN-NX'!$D$7=D1599),"x","")</f>
        <v/>
      </c>
      <c r="AB1599" s="75" t="str">
        <f>IF(AND(OR(LEFT(TH!N1599,2)="15",LEFT(TH!O1599,2)="15"),LEFT(TH!O1599,3)&lt;&gt;"111",'152-CT'!$J$8=TH!F1599),"x","")</f>
        <v/>
      </c>
      <c r="AC1599" s="75" t="str">
        <f>IF(AND(OR(LEFT(TH!N1599,2)="15",LEFT(TH!O1599,2)="15"),TK!$E$7=TH!F1599),"x","")</f>
        <v/>
      </c>
      <c r="AD1599" s="75" t="str">
        <f>IF(AND(N1599="1521",MONTH(C1599)='BK-NL'!$M$11),"x","")</f>
        <v/>
      </c>
    </row>
    <row r="1600" spans="1:30" ht="16.5" customHeight="1">
      <c r="A1600" s="309" t="str">
        <f>IF(B1600&lt;&gt;"",IF(AND(B1600='IN-TC'!$S$4,OR(TH!N1600="1111",TH!O1600="1111")),TH!D1600,""),"")</f>
        <v/>
      </c>
      <c r="B1600" s="1130">
        <f t="shared" si="395"/>
        <v>6</v>
      </c>
      <c r="C1600" s="929">
        <f t="shared" si="396"/>
        <v>42916</v>
      </c>
      <c r="D1600" s="929" t="s">
        <v>2956</v>
      </c>
      <c r="E1600" s="929">
        <v>42916</v>
      </c>
      <c r="F1600" s="1082" t="s">
        <v>764</v>
      </c>
      <c r="G1600" s="931"/>
      <c r="H1600" s="1082" t="s">
        <v>424</v>
      </c>
      <c r="I1600" s="371">
        <v>2088</v>
      </c>
      <c r="J1600" s="377">
        <v>18500</v>
      </c>
      <c r="K1600" s="371"/>
      <c r="L1600" s="377"/>
      <c r="M1600" s="933">
        <f t="shared" si="397"/>
        <v>38628000</v>
      </c>
      <c r="N1600" s="934" t="s">
        <v>272</v>
      </c>
      <c r="O1600" s="934" t="s">
        <v>264</v>
      </c>
      <c r="P1600" s="75" t="str">
        <f>IF(AND('331-CT'!$E$7=TH!H1600,OR(N1600="331",O1600="331")),"x","")</f>
        <v/>
      </c>
      <c r="Q1600" s="75" t="str">
        <f>IF(AND(B1600='111'!$L$11,OR($N1600=$Q$7,$O1600=$Q$7)),"x","")</f>
        <v/>
      </c>
      <c r="R1600" s="75" t="str">
        <f>IF(AND($N1600=$Q$7,$B1600&lt;'111'!$L$11),"x","")</f>
        <v/>
      </c>
      <c r="S1600" s="75" t="str">
        <f>IF(AND($O1600=$Q$7,$B1600&lt;'111'!$L$11),"x","")</f>
        <v/>
      </c>
      <c r="T1600" s="75" t="str">
        <f>IF(ISERROR(FIND('112'!$M$9,G1600,1)),"",IF((AND(FIND('112'!$M$9,G1600,1)&gt;=1,B1600='112'!$K$9,OR($N1600='112'!$I$6,$O1600='112'!$I$6))),"x",""))</f>
        <v/>
      </c>
      <c r="U1600" s="75" t="str">
        <f>IF(ISERROR(FIND('112'!$M$9,G1600,1)),"",IF((AND(LEFT(G1600,2)=LEFT('112'!$M$9,2),B1600&lt;'112'!$K$9,$N1600='112'!$I$6)),"x",""))</f>
        <v/>
      </c>
      <c r="V1600" s="75" t="str">
        <f>IF(ISERROR(FIND('112'!$M$9,G1600,1)),"",IF((AND(RIGHT(G1600,2)=RIGHT('112'!$M$9,2),B1600&lt;'112'!$K$9,$O1600='112'!$I$6)),"x",""))</f>
        <v/>
      </c>
      <c r="W1600" s="75" t="str">
        <f>IF(AND('341-CT'!$H$9=H1600,OR(LEFT(N1600,3)=$W$7,LEFT(O1600,3)=$W$7)),"x","")</f>
        <v/>
      </c>
      <c r="X1600" s="75" t="str">
        <f>IF(OR(TH!N1600=TH!$X$7,O1600=TH!$X$7),"x","")</f>
        <v/>
      </c>
      <c r="Y1600" s="75" t="str">
        <f>IF(AND(OR(N1600="131",O1600="131"),H1600='131-CT'!$H$9),"x","")</f>
        <v/>
      </c>
      <c r="Z1600" s="75"/>
      <c r="AA1600" s="75" t="str">
        <f>IF(AND(MONTH(E1600)='IN-NX'!$J$5,'IN-NX'!$D$7=D1600),"x","")</f>
        <v/>
      </c>
      <c r="AB1600" s="75" t="str">
        <f>IF(AND(OR(LEFT(TH!N1600,2)="15",LEFT(TH!O1600,2)="15"),LEFT(TH!O1600,3)&lt;&gt;"111",'152-CT'!$J$8=TH!F1600),"x","")</f>
        <v/>
      </c>
      <c r="AC1600" s="75" t="str">
        <f>IF(AND(OR(LEFT(TH!N1600,2)="15",LEFT(TH!O1600,2)="15"),TK!$E$7=TH!F1600),"x","")</f>
        <v/>
      </c>
      <c r="AD1600" s="75" t="str">
        <f>IF(AND(N1600="1521",MONTH(C1600)='BK-NL'!$M$11),"x","")</f>
        <v/>
      </c>
    </row>
    <row r="1601" spans="1:30" ht="16.5" customHeight="1">
      <c r="A1601" s="309" t="str">
        <f>IF(B1601&lt;&gt;"",IF(AND(B1601='IN-TC'!$S$4,OR(TH!N1601="1111",TH!O1601="1111")),TH!D1601,""),"")</f>
        <v/>
      </c>
      <c r="B1601" s="1130">
        <f t="shared" si="395"/>
        <v>6</v>
      </c>
      <c r="C1601" s="929">
        <f t="shared" si="396"/>
        <v>42916</v>
      </c>
      <c r="D1601" s="929" t="s">
        <v>2956</v>
      </c>
      <c r="E1601" s="929">
        <v>42916</v>
      </c>
      <c r="F1601" s="1082" t="s">
        <v>1911</v>
      </c>
      <c r="G1601" s="931"/>
      <c r="H1601" s="1082" t="s">
        <v>424</v>
      </c>
      <c r="I1601" s="371">
        <v>12200</v>
      </c>
      <c r="J1601" s="377">
        <v>30000</v>
      </c>
      <c r="K1601" s="371"/>
      <c r="L1601" s="377"/>
      <c r="M1601" s="933">
        <f t="shared" si="397"/>
        <v>366000000</v>
      </c>
      <c r="N1601" s="934" t="s">
        <v>272</v>
      </c>
      <c r="O1601" s="934" t="s">
        <v>264</v>
      </c>
      <c r="P1601" s="75" t="str">
        <f>IF(AND('331-CT'!$E$7=TH!H1601,OR(N1601="331",O1601="331")),"x","")</f>
        <v/>
      </c>
      <c r="Q1601" s="75" t="str">
        <f>IF(AND(B1601='111'!$L$11,OR($N1601=$Q$7,$O1601=$Q$7)),"x","")</f>
        <v/>
      </c>
      <c r="R1601" s="75" t="str">
        <f>IF(AND($N1601=$Q$7,$B1601&lt;'111'!$L$11),"x","")</f>
        <v/>
      </c>
      <c r="S1601" s="75" t="str">
        <f>IF(AND($O1601=$Q$7,$B1601&lt;'111'!$L$11),"x","")</f>
        <v/>
      </c>
      <c r="T1601" s="75" t="str">
        <f>IF(ISERROR(FIND('112'!$M$9,G1601,1)),"",IF((AND(FIND('112'!$M$9,G1601,1)&gt;=1,B1601='112'!$K$9,OR($N1601='112'!$I$6,$O1601='112'!$I$6))),"x",""))</f>
        <v/>
      </c>
      <c r="U1601" s="75" t="str">
        <f>IF(ISERROR(FIND('112'!$M$9,G1601,1)),"",IF((AND(LEFT(G1601,2)=LEFT('112'!$M$9,2),B1601&lt;'112'!$K$9,$N1601='112'!$I$6)),"x",""))</f>
        <v/>
      </c>
      <c r="V1601" s="75" t="str">
        <f>IF(ISERROR(FIND('112'!$M$9,G1601,1)),"",IF((AND(RIGHT(G1601,2)=RIGHT('112'!$M$9,2),B1601&lt;'112'!$K$9,$O1601='112'!$I$6)),"x",""))</f>
        <v/>
      </c>
      <c r="W1601" s="75" t="str">
        <f>IF(AND('341-CT'!$H$9=H1601,OR(LEFT(N1601,3)=$W$7,LEFT(O1601,3)=$W$7)),"x","")</f>
        <v/>
      </c>
      <c r="X1601" s="75" t="str">
        <f>IF(OR(TH!N1601=TH!$X$7,O1601=TH!$X$7),"x","")</f>
        <v/>
      </c>
      <c r="Y1601" s="75" t="str">
        <f>IF(AND(OR(N1601="131",O1601="131"),H1601='131-CT'!$H$9),"x","")</f>
        <v/>
      </c>
      <c r="Z1601" s="75"/>
      <c r="AA1601" s="75" t="str">
        <f>IF(AND(MONTH(E1601)='IN-NX'!$J$5,'IN-NX'!$D$7=D1601),"x","")</f>
        <v/>
      </c>
      <c r="AB1601" s="75" t="str">
        <f>IF(AND(OR(LEFT(TH!N1601,2)="15",LEFT(TH!O1601,2)="15"),LEFT(TH!O1601,3)&lt;&gt;"111",'152-CT'!$J$8=TH!F1601),"x","")</f>
        <v/>
      </c>
      <c r="AC1601" s="75" t="str">
        <f>IF(AND(OR(LEFT(TH!N1601,2)="15",LEFT(TH!O1601,2)="15"),TK!$E$7=TH!F1601),"x","")</f>
        <v/>
      </c>
      <c r="AD1601" s="75" t="str">
        <f>IF(AND(N1601="1521",MONTH(C1601)='BK-NL'!$M$11),"x","")</f>
        <v/>
      </c>
    </row>
    <row r="1602" spans="1:30" ht="16.5" customHeight="1">
      <c r="A1602" s="309" t="str">
        <f>IF(B1602&lt;&gt;"",IF(AND(B1602='IN-TC'!$S$4,OR(TH!N1602="1111",TH!O1602="1111")),TH!D1602,""),"")</f>
        <v/>
      </c>
      <c r="B1602" s="1130">
        <f t="shared" si="395"/>
        <v>6</v>
      </c>
      <c r="C1602" s="929">
        <f t="shared" si="396"/>
        <v>42916</v>
      </c>
      <c r="D1602" s="929" t="s">
        <v>2956</v>
      </c>
      <c r="E1602" s="929">
        <v>42916</v>
      </c>
      <c r="F1602" s="1082" t="s">
        <v>3002</v>
      </c>
      <c r="G1602" s="931"/>
      <c r="H1602" s="1082" t="s">
        <v>424</v>
      </c>
      <c r="I1602" s="371">
        <v>3300</v>
      </c>
      <c r="J1602" s="377">
        <v>37000</v>
      </c>
      <c r="K1602" s="371"/>
      <c r="L1602" s="377"/>
      <c r="M1602" s="933">
        <f t="shared" si="397"/>
        <v>122100000</v>
      </c>
      <c r="N1602" s="934" t="s">
        <v>272</v>
      </c>
      <c r="O1602" s="934" t="s">
        <v>264</v>
      </c>
      <c r="P1602" s="75" t="str">
        <f>IF(AND('331-CT'!$E$7=TH!H1602,OR(N1602="331",O1602="331")),"x","")</f>
        <v/>
      </c>
      <c r="Q1602" s="75" t="str">
        <f>IF(AND(B1602='111'!$L$11,OR($N1602=$Q$7,$O1602=$Q$7)),"x","")</f>
        <v/>
      </c>
      <c r="R1602" s="75" t="str">
        <f>IF(AND($N1602=$Q$7,$B1602&lt;'111'!$L$11),"x","")</f>
        <v/>
      </c>
      <c r="S1602" s="75" t="str">
        <f>IF(AND($O1602=$Q$7,$B1602&lt;'111'!$L$11),"x","")</f>
        <v/>
      </c>
      <c r="T1602" s="75" t="str">
        <f>IF(ISERROR(FIND('112'!$M$9,G1602,1)),"",IF((AND(FIND('112'!$M$9,G1602,1)&gt;=1,B1602='112'!$K$9,OR($N1602='112'!$I$6,$O1602='112'!$I$6))),"x",""))</f>
        <v/>
      </c>
      <c r="U1602" s="75" t="str">
        <f>IF(ISERROR(FIND('112'!$M$9,G1602,1)),"",IF((AND(LEFT(G1602,2)=LEFT('112'!$M$9,2),B1602&lt;'112'!$K$9,$N1602='112'!$I$6)),"x",""))</f>
        <v/>
      </c>
      <c r="V1602" s="75" t="str">
        <f>IF(ISERROR(FIND('112'!$M$9,G1602,1)),"",IF((AND(RIGHT(G1602,2)=RIGHT('112'!$M$9,2),B1602&lt;'112'!$K$9,$O1602='112'!$I$6)),"x",""))</f>
        <v/>
      </c>
      <c r="W1602" s="75" t="str">
        <f>IF(AND('341-CT'!$H$9=H1602,OR(LEFT(N1602,3)=$W$7,LEFT(O1602,3)=$W$7)),"x","")</f>
        <v/>
      </c>
      <c r="X1602" s="75" t="str">
        <f>IF(OR(TH!N1602=TH!$X$7,O1602=TH!$X$7),"x","")</f>
        <v/>
      </c>
      <c r="Y1602" s="75" t="str">
        <f>IF(AND(OR(N1602="131",O1602="131"),H1602='131-CT'!$H$9),"x","")</f>
        <v/>
      </c>
      <c r="Z1602" s="75"/>
      <c r="AA1602" s="75" t="str">
        <f>IF(AND(MONTH(E1602)='IN-NX'!$J$5,'IN-NX'!$D$7=D1602),"x","")</f>
        <v/>
      </c>
      <c r="AB1602" s="75" t="str">
        <f>IF(AND(OR(LEFT(TH!N1602,2)="15",LEFT(TH!O1602,2)="15"),LEFT(TH!O1602,3)&lt;&gt;"111",'152-CT'!$J$8=TH!F1602),"x","")</f>
        <v/>
      </c>
      <c r="AC1602" s="75" t="str">
        <f>IF(AND(OR(LEFT(TH!N1602,2)="15",LEFT(TH!O1602,2)="15"),TK!$E$7=TH!F1602),"x","")</f>
        <v/>
      </c>
      <c r="AD1602" s="75" t="str">
        <f>IF(AND(N1602="1521",MONTH(C1602)='BK-NL'!$M$11),"x","")</f>
        <v/>
      </c>
    </row>
    <row r="1603" spans="1:30" ht="16.5" customHeight="1">
      <c r="A1603" s="309" t="str">
        <f>IF(B1603&lt;&gt;"",IF(AND(B1603='IN-TC'!$S$4,OR(TH!N1603="1111",TH!O1603="1111")),TH!D1603,""),"")</f>
        <v/>
      </c>
      <c r="B1603" s="1130">
        <f t="shared" si="395"/>
        <v>6</v>
      </c>
      <c r="C1603" s="929">
        <f t="shared" si="396"/>
        <v>42916</v>
      </c>
      <c r="D1603" s="929" t="s">
        <v>2956</v>
      </c>
      <c r="E1603" s="929">
        <v>42916</v>
      </c>
      <c r="F1603" s="1082" t="s">
        <v>763</v>
      </c>
      <c r="G1603" s="931"/>
      <c r="H1603" s="1082" t="s">
        <v>424</v>
      </c>
      <c r="I1603" s="371">
        <v>1650</v>
      </c>
      <c r="J1603" s="377">
        <v>37000</v>
      </c>
      <c r="K1603" s="371"/>
      <c r="L1603" s="377"/>
      <c r="M1603" s="933">
        <f t="shared" si="397"/>
        <v>61050000</v>
      </c>
      <c r="N1603" s="934" t="s">
        <v>272</v>
      </c>
      <c r="O1603" s="934" t="s">
        <v>264</v>
      </c>
      <c r="P1603" s="75" t="str">
        <f>IF(AND('331-CT'!$E$7=TH!H1603,OR(N1603="331",O1603="331")),"x","")</f>
        <v/>
      </c>
      <c r="Q1603" s="75" t="str">
        <f>IF(AND(B1603='111'!$L$11,OR($N1603=$Q$7,$O1603=$Q$7)),"x","")</f>
        <v/>
      </c>
      <c r="R1603" s="75" t="str">
        <f>IF(AND($N1603=$Q$7,$B1603&lt;'111'!$L$11),"x","")</f>
        <v/>
      </c>
      <c r="S1603" s="75" t="str">
        <f>IF(AND($O1603=$Q$7,$B1603&lt;'111'!$L$11),"x","")</f>
        <v/>
      </c>
      <c r="T1603" s="75" t="str">
        <f>IF(ISERROR(FIND('112'!$M$9,G1603,1)),"",IF((AND(FIND('112'!$M$9,G1603,1)&gt;=1,B1603='112'!$K$9,OR($N1603='112'!$I$6,$O1603='112'!$I$6))),"x",""))</f>
        <v/>
      </c>
      <c r="U1603" s="75" t="str">
        <f>IF(ISERROR(FIND('112'!$M$9,G1603,1)),"",IF((AND(LEFT(G1603,2)=LEFT('112'!$M$9,2),B1603&lt;'112'!$K$9,$N1603='112'!$I$6)),"x",""))</f>
        <v/>
      </c>
      <c r="V1603" s="75" t="str">
        <f>IF(ISERROR(FIND('112'!$M$9,G1603,1)),"",IF((AND(RIGHT(G1603,2)=RIGHT('112'!$M$9,2),B1603&lt;'112'!$K$9,$O1603='112'!$I$6)),"x",""))</f>
        <v/>
      </c>
      <c r="W1603" s="75" t="str">
        <f>IF(AND('341-CT'!$H$9=H1603,OR(LEFT(N1603,3)=$W$7,LEFT(O1603,3)=$W$7)),"x","")</f>
        <v/>
      </c>
      <c r="X1603" s="75" t="str">
        <f>IF(OR(TH!N1603=TH!$X$7,O1603=TH!$X$7),"x","")</f>
        <v/>
      </c>
      <c r="Y1603" s="75" t="str">
        <f>IF(AND(OR(N1603="131",O1603="131"),H1603='131-CT'!$H$9),"x","")</f>
        <v/>
      </c>
      <c r="Z1603" s="75"/>
      <c r="AA1603" s="75" t="str">
        <f>IF(AND(MONTH(E1603)='IN-NX'!$J$5,'IN-NX'!$D$7=D1603),"x","")</f>
        <v/>
      </c>
      <c r="AB1603" s="75" t="str">
        <f>IF(AND(OR(LEFT(TH!N1603,2)="15",LEFT(TH!O1603,2)="15"),LEFT(TH!O1603,3)&lt;&gt;"111",'152-CT'!$J$8=TH!F1603),"x","")</f>
        <v/>
      </c>
      <c r="AC1603" s="75" t="str">
        <f>IF(AND(OR(LEFT(TH!N1603,2)="15",LEFT(TH!O1603,2)="15"),TK!$E$7=TH!F1603),"x","")</f>
        <v/>
      </c>
      <c r="AD1603" s="75" t="str">
        <f>IF(AND(N1603="1521",MONTH(C1603)='BK-NL'!$M$11),"x","")</f>
        <v/>
      </c>
    </row>
    <row r="1604" spans="1:30" ht="16.5" customHeight="1">
      <c r="A1604" s="309" t="str">
        <f>IF(B1604&lt;&gt;"",IF(AND(B1604='IN-TC'!$S$4,OR(TH!N1604="1111",TH!O1604="1111")),TH!D1604,""),"")</f>
        <v/>
      </c>
      <c r="B1604" s="1130">
        <f t="shared" si="395"/>
        <v>6</v>
      </c>
      <c r="C1604" s="929">
        <f t="shared" si="396"/>
        <v>42916</v>
      </c>
      <c r="D1604" s="929" t="s">
        <v>2956</v>
      </c>
      <c r="E1604" s="929">
        <v>42916</v>
      </c>
      <c r="F1604" s="1082" t="s">
        <v>762</v>
      </c>
      <c r="G1604" s="931"/>
      <c r="H1604" s="1082" t="s">
        <v>424</v>
      </c>
      <c r="I1604" s="371">
        <v>1890</v>
      </c>
      <c r="J1604" s="377">
        <v>57500</v>
      </c>
      <c r="K1604" s="371"/>
      <c r="L1604" s="377"/>
      <c r="M1604" s="933">
        <f t="shared" si="397"/>
        <v>108675000</v>
      </c>
      <c r="N1604" s="934" t="s">
        <v>272</v>
      </c>
      <c r="O1604" s="934" t="s">
        <v>264</v>
      </c>
      <c r="P1604" s="75" t="str">
        <f>IF(AND('331-CT'!$E$7=TH!H1604,OR(N1604="331",O1604="331")),"x","")</f>
        <v/>
      </c>
      <c r="Q1604" s="75" t="str">
        <f>IF(AND(B1604='111'!$L$11,OR($N1604=$Q$7,$O1604=$Q$7)),"x","")</f>
        <v/>
      </c>
      <c r="R1604" s="75" t="str">
        <f>IF(AND($N1604=$Q$7,$B1604&lt;'111'!$L$11),"x","")</f>
        <v/>
      </c>
      <c r="S1604" s="75" t="str">
        <f>IF(AND($O1604=$Q$7,$B1604&lt;'111'!$L$11),"x","")</f>
        <v/>
      </c>
      <c r="T1604" s="75" t="str">
        <f>IF(ISERROR(FIND('112'!$M$9,G1604,1)),"",IF((AND(FIND('112'!$M$9,G1604,1)&gt;=1,B1604='112'!$K$9,OR($N1604='112'!$I$6,$O1604='112'!$I$6))),"x",""))</f>
        <v/>
      </c>
      <c r="U1604" s="75" t="str">
        <f>IF(ISERROR(FIND('112'!$M$9,G1604,1)),"",IF((AND(LEFT(G1604,2)=LEFT('112'!$M$9,2),B1604&lt;'112'!$K$9,$N1604='112'!$I$6)),"x",""))</f>
        <v/>
      </c>
      <c r="V1604" s="75" t="str">
        <f>IF(ISERROR(FIND('112'!$M$9,G1604,1)),"",IF((AND(RIGHT(G1604,2)=RIGHT('112'!$M$9,2),B1604&lt;'112'!$K$9,$O1604='112'!$I$6)),"x",""))</f>
        <v/>
      </c>
      <c r="W1604" s="75" t="str">
        <f>IF(AND('341-CT'!$H$9=H1604,OR(LEFT(N1604,3)=$W$7,LEFT(O1604,3)=$W$7)),"x","")</f>
        <v/>
      </c>
      <c r="X1604" s="75" t="str">
        <f>IF(OR(TH!N1604=TH!$X$7,O1604=TH!$X$7),"x","")</f>
        <v/>
      </c>
      <c r="Y1604" s="75" t="str">
        <f>IF(AND(OR(N1604="131",O1604="131"),H1604='131-CT'!$H$9),"x","")</f>
        <v/>
      </c>
      <c r="Z1604" s="75"/>
      <c r="AA1604" s="75" t="str">
        <f>IF(AND(MONTH(E1604)='IN-NX'!$J$5,'IN-NX'!$D$7=D1604),"x","")</f>
        <v/>
      </c>
      <c r="AB1604" s="75" t="str">
        <f>IF(AND(OR(LEFT(TH!N1604,2)="15",LEFT(TH!O1604,2)="15"),LEFT(TH!O1604,3)&lt;&gt;"111",'152-CT'!$J$8=TH!F1604),"x","")</f>
        <v/>
      </c>
      <c r="AC1604" s="75" t="str">
        <f>IF(AND(OR(LEFT(TH!N1604,2)="15",LEFT(TH!O1604,2)="15"),TK!$E$7=TH!F1604),"x","")</f>
        <v/>
      </c>
      <c r="AD1604" s="75" t="str">
        <f>IF(AND(N1604="1521",MONTH(C1604)='BK-NL'!$M$11),"x","")</f>
        <v/>
      </c>
    </row>
    <row r="1605" spans="1:30" ht="16.5" customHeight="1">
      <c r="A1605" s="309" t="str">
        <f>IF(B1605&lt;&gt;"",IF(AND(B1605='IN-TC'!$S$4,OR(TH!N1605="1111",TH!O1605="1111")),TH!D1605,""),"")</f>
        <v/>
      </c>
      <c r="B1605" s="1130">
        <f t="shared" ref="B1605:B1610" si="398">IF(C1605&lt;&gt;"",MONTH(C1605),"")</f>
        <v>6</v>
      </c>
      <c r="C1605" s="929">
        <f t="shared" ref="C1605:C1610" si="399">E1605</f>
        <v>42916</v>
      </c>
      <c r="D1605" s="929" t="s">
        <v>2956</v>
      </c>
      <c r="E1605" s="929">
        <v>42916</v>
      </c>
      <c r="F1605" s="1082" t="s">
        <v>765</v>
      </c>
      <c r="G1605" s="931"/>
      <c r="H1605" s="1082" t="s">
        <v>424</v>
      </c>
      <c r="I1605" s="371">
        <v>4761</v>
      </c>
      <c r="J1605" s="377">
        <v>275000</v>
      </c>
      <c r="K1605" s="371"/>
      <c r="L1605" s="377"/>
      <c r="M1605" s="933">
        <f t="shared" ref="M1605:M1610" si="400">ROUND(I1605*J1605,0)</f>
        <v>1309275000</v>
      </c>
      <c r="N1605" s="934" t="s">
        <v>272</v>
      </c>
      <c r="O1605" s="934" t="s">
        <v>264</v>
      </c>
      <c r="P1605" s="75" t="str">
        <f>IF(AND('331-CT'!$E$7=TH!H1605,OR(N1605="331",O1605="331")),"x","")</f>
        <v/>
      </c>
      <c r="Q1605" s="75" t="str">
        <f>IF(AND(B1605='111'!$L$11,OR($N1605=$Q$7,$O1605=$Q$7)),"x","")</f>
        <v/>
      </c>
      <c r="R1605" s="75" t="str">
        <f>IF(AND($N1605=$Q$7,$B1605&lt;'111'!$L$11),"x","")</f>
        <v/>
      </c>
      <c r="S1605" s="75" t="str">
        <f>IF(AND($O1605=$Q$7,$B1605&lt;'111'!$L$11),"x","")</f>
        <v/>
      </c>
      <c r="T1605" s="75" t="str">
        <f>IF(ISERROR(FIND('112'!$M$9,G1605,1)),"",IF((AND(FIND('112'!$M$9,G1605,1)&gt;=1,B1605='112'!$K$9,OR($N1605='112'!$I$6,$O1605='112'!$I$6))),"x",""))</f>
        <v/>
      </c>
      <c r="U1605" s="75" t="str">
        <f>IF(ISERROR(FIND('112'!$M$9,G1605,1)),"",IF((AND(LEFT(G1605,2)=LEFT('112'!$M$9,2),B1605&lt;'112'!$K$9,$N1605='112'!$I$6)),"x",""))</f>
        <v/>
      </c>
      <c r="V1605" s="75" t="str">
        <f>IF(ISERROR(FIND('112'!$M$9,G1605,1)),"",IF((AND(RIGHT(G1605,2)=RIGHT('112'!$M$9,2),B1605&lt;'112'!$K$9,$O1605='112'!$I$6)),"x",""))</f>
        <v/>
      </c>
      <c r="W1605" s="75" t="str">
        <f>IF(AND('341-CT'!$H$9=H1605,OR(LEFT(N1605,3)=$W$7,LEFT(O1605,3)=$W$7)),"x","")</f>
        <v/>
      </c>
      <c r="X1605" s="75" t="str">
        <f>IF(OR(TH!N1605=TH!$X$7,O1605=TH!$X$7),"x","")</f>
        <v/>
      </c>
      <c r="Y1605" s="75" t="str">
        <f>IF(AND(OR(N1605="131",O1605="131"),H1605='131-CT'!$H$9),"x","")</f>
        <v/>
      </c>
      <c r="Z1605" s="75"/>
      <c r="AA1605" s="75" t="str">
        <f>IF(AND(MONTH(E1605)='IN-NX'!$J$5,'IN-NX'!$D$7=D1605),"x","")</f>
        <v/>
      </c>
      <c r="AB1605" s="75" t="str">
        <f>IF(AND(OR(LEFT(TH!N1605,2)="15",LEFT(TH!O1605,2)="15"),LEFT(TH!O1605,3)&lt;&gt;"111",'152-CT'!$J$8=TH!F1605),"x","")</f>
        <v/>
      </c>
      <c r="AC1605" s="75" t="str">
        <f>IF(AND(OR(LEFT(TH!N1605,2)="15",LEFT(TH!O1605,2)="15"),TK!$E$7=TH!F1605),"x","")</f>
        <v/>
      </c>
      <c r="AD1605" s="75" t="str">
        <f>IF(AND(N1605="1521",MONTH(C1605)='BK-NL'!$M$11),"x","")</f>
        <v/>
      </c>
    </row>
    <row r="1606" spans="1:30" ht="16.5" customHeight="1">
      <c r="A1606" s="309" t="str">
        <f>IF(B1606&lt;&gt;"",IF(AND(B1606='IN-TC'!$S$4,OR(TH!N1606="1111",TH!O1606="1111")),TH!D1606,""),"")</f>
        <v/>
      </c>
      <c r="B1606" s="1130">
        <f t="shared" si="398"/>
        <v>6</v>
      </c>
      <c r="C1606" s="929">
        <f t="shared" si="399"/>
        <v>42916</v>
      </c>
      <c r="D1606" s="929" t="s">
        <v>2956</v>
      </c>
      <c r="E1606" s="929">
        <v>42916</v>
      </c>
      <c r="F1606" s="1082" t="s">
        <v>3003</v>
      </c>
      <c r="G1606" s="931"/>
      <c r="H1606" s="1082" t="s">
        <v>424</v>
      </c>
      <c r="I1606" s="371">
        <v>450</v>
      </c>
      <c r="J1606" s="377">
        <v>60000</v>
      </c>
      <c r="K1606" s="371"/>
      <c r="L1606" s="377"/>
      <c r="M1606" s="933">
        <f t="shared" si="400"/>
        <v>27000000</v>
      </c>
      <c r="N1606" s="934" t="s">
        <v>272</v>
      </c>
      <c r="O1606" s="934" t="s">
        <v>264</v>
      </c>
      <c r="P1606" s="75" t="str">
        <f>IF(AND('331-CT'!$E$7=TH!H1606,OR(N1606="331",O1606="331")),"x","")</f>
        <v/>
      </c>
      <c r="Q1606" s="75" t="str">
        <f>IF(AND(B1606='111'!$L$11,OR($N1606=$Q$7,$O1606=$Q$7)),"x","")</f>
        <v/>
      </c>
      <c r="R1606" s="75" t="str">
        <f>IF(AND($N1606=$Q$7,$B1606&lt;'111'!$L$11),"x","")</f>
        <v/>
      </c>
      <c r="S1606" s="75" t="str">
        <f>IF(AND($O1606=$Q$7,$B1606&lt;'111'!$L$11),"x","")</f>
        <v/>
      </c>
      <c r="T1606" s="75" t="str">
        <f>IF(ISERROR(FIND('112'!$M$9,G1606,1)),"",IF((AND(FIND('112'!$M$9,G1606,1)&gt;=1,B1606='112'!$K$9,OR($N1606='112'!$I$6,$O1606='112'!$I$6))),"x",""))</f>
        <v/>
      </c>
      <c r="U1606" s="75" t="str">
        <f>IF(ISERROR(FIND('112'!$M$9,G1606,1)),"",IF((AND(LEFT(G1606,2)=LEFT('112'!$M$9,2),B1606&lt;'112'!$K$9,$N1606='112'!$I$6)),"x",""))</f>
        <v/>
      </c>
      <c r="V1606" s="75" t="str">
        <f>IF(ISERROR(FIND('112'!$M$9,G1606,1)),"",IF((AND(RIGHT(G1606,2)=RIGHT('112'!$M$9,2),B1606&lt;'112'!$K$9,$O1606='112'!$I$6)),"x",""))</f>
        <v/>
      </c>
      <c r="W1606" s="75" t="str">
        <f>IF(AND('341-CT'!$H$9=H1606,OR(LEFT(N1606,3)=$W$7,LEFT(O1606,3)=$W$7)),"x","")</f>
        <v/>
      </c>
      <c r="X1606" s="75" t="str">
        <f>IF(OR(TH!N1606=TH!$X$7,O1606=TH!$X$7),"x","")</f>
        <v/>
      </c>
      <c r="Y1606" s="75" t="str">
        <f>IF(AND(OR(N1606="131",O1606="131"),H1606='131-CT'!$H$9),"x","")</f>
        <v/>
      </c>
      <c r="Z1606" s="75"/>
      <c r="AA1606" s="75" t="str">
        <f>IF(AND(MONTH(E1606)='IN-NX'!$J$5,'IN-NX'!$D$7=D1606),"x","")</f>
        <v/>
      </c>
      <c r="AB1606" s="75" t="str">
        <f>IF(AND(OR(LEFT(TH!N1606,2)="15",LEFT(TH!O1606,2)="15"),LEFT(TH!O1606,3)&lt;&gt;"111",'152-CT'!$J$8=TH!F1606),"x","")</f>
        <v/>
      </c>
      <c r="AC1606" s="75" t="str">
        <f>IF(AND(OR(LEFT(TH!N1606,2)="15",LEFT(TH!O1606,2)="15"),TK!$E$7=TH!F1606),"x","")</f>
        <v/>
      </c>
      <c r="AD1606" s="75" t="str">
        <f>IF(AND(N1606="1521",MONTH(C1606)='BK-NL'!$M$11),"x","")</f>
        <v/>
      </c>
    </row>
    <row r="1607" spans="1:30" ht="16.5" customHeight="1">
      <c r="A1607" s="309" t="str">
        <f>IF(B1607&lt;&gt;"",IF(AND(B1607='IN-TC'!$S$4,OR(TH!N1607="1111",TH!O1607="1111")),TH!D1607,""),"")</f>
        <v/>
      </c>
      <c r="B1607" s="1130">
        <f t="shared" si="398"/>
        <v>6</v>
      </c>
      <c r="C1607" s="929">
        <f t="shared" si="399"/>
        <v>42916</v>
      </c>
      <c r="D1607" s="929" t="s">
        <v>2956</v>
      </c>
      <c r="E1607" s="929">
        <v>42916</v>
      </c>
      <c r="F1607" s="1082" t="s">
        <v>790</v>
      </c>
      <c r="G1607" s="931"/>
      <c r="H1607" s="1082" t="s">
        <v>424</v>
      </c>
      <c r="I1607" s="371">
        <v>5125</v>
      </c>
      <c r="J1607" s="377">
        <v>28500</v>
      </c>
      <c r="K1607" s="371"/>
      <c r="L1607" s="377"/>
      <c r="M1607" s="933">
        <f t="shared" si="400"/>
        <v>146062500</v>
      </c>
      <c r="N1607" s="934" t="s">
        <v>272</v>
      </c>
      <c r="O1607" s="934" t="s">
        <v>264</v>
      </c>
      <c r="P1607" s="75" t="str">
        <f>IF(AND('331-CT'!$E$7=TH!H1607,OR(N1607="331",O1607="331")),"x","")</f>
        <v/>
      </c>
      <c r="Q1607" s="75" t="str">
        <f>IF(AND(B1607='111'!$L$11,OR($N1607=$Q$7,$O1607=$Q$7)),"x","")</f>
        <v/>
      </c>
      <c r="R1607" s="75" t="str">
        <f>IF(AND($N1607=$Q$7,$B1607&lt;'111'!$L$11),"x","")</f>
        <v/>
      </c>
      <c r="S1607" s="75" t="str">
        <f>IF(AND($O1607=$Q$7,$B1607&lt;'111'!$L$11),"x","")</f>
        <v/>
      </c>
      <c r="T1607" s="75" t="str">
        <f>IF(ISERROR(FIND('112'!$M$9,G1607,1)),"",IF((AND(FIND('112'!$M$9,G1607,1)&gt;=1,B1607='112'!$K$9,OR($N1607='112'!$I$6,$O1607='112'!$I$6))),"x",""))</f>
        <v/>
      </c>
      <c r="U1607" s="75" t="str">
        <f>IF(ISERROR(FIND('112'!$M$9,G1607,1)),"",IF((AND(LEFT(G1607,2)=LEFT('112'!$M$9,2),B1607&lt;'112'!$K$9,$N1607='112'!$I$6)),"x",""))</f>
        <v/>
      </c>
      <c r="V1607" s="75" t="str">
        <f>IF(ISERROR(FIND('112'!$M$9,G1607,1)),"",IF((AND(RIGHT(G1607,2)=RIGHT('112'!$M$9,2),B1607&lt;'112'!$K$9,$O1607='112'!$I$6)),"x",""))</f>
        <v/>
      </c>
      <c r="W1607" s="75" t="str">
        <f>IF(AND('341-CT'!$H$9=H1607,OR(LEFT(N1607,3)=$W$7,LEFT(O1607,3)=$W$7)),"x","")</f>
        <v/>
      </c>
      <c r="X1607" s="75" t="str">
        <f>IF(OR(TH!N1607=TH!$X$7,O1607=TH!$X$7),"x","")</f>
        <v/>
      </c>
      <c r="Y1607" s="75" t="str">
        <f>IF(AND(OR(N1607="131",O1607="131"),H1607='131-CT'!$H$9),"x","")</f>
        <v/>
      </c>
      <c r="Z1607" s="75"/>
      <c r="AA1607" s="75" t="str">
        <f>IF(AND(MONTH(E1607)='IN-NX'!$J$5,'IN-NX'!$D$7=D1607),"x","")</f>
        <v/>
      </c>
      <c r="AB1607" s="75" t="str">
        <f>IF(AND(OR(LEFT(TH!N1607,2)="15",LEFT(TH!O1607,2)="15"),LEFT(TH!O1607,3)&lt;&gt;"111",'152-CT'!$J$8=TH!F1607),"x","")</f>
        <v/>
      </c>
      <c r="AC1607" s="75" t="str">
        <f>IF(AND(OR(LEFT(TH!N1607,2)="15",LEFT(TH!O1607,2)="15"),TK!$E$7=TH!F1607),"x","")</f>
        <v/>
      </c>
      <c r="AD1607" s="75" t="str">
        <f>IF(AND(N1607="1521",MONTH(C1607)='BK-NL'!$M$11),"x","")</f>
        <v/>
      </c>
    </row>
    <row r="1608" spans="1:30" ht="16.5" customHeight="1">
      <c r="A1608" s="309" t="str">
        <f>IF(B1608&lt;&gt;"",IF(AND(B1608='IN-TC'!$S$4,OR(TH!N1608="1111",TH!O1608="1111")),TH!D1608,""),"")</f>
        <v/>
      </c>
      <c r="B1608" s="1130">
        <f t="shared" si="398"/>
        <v>6</v>
      </c>
      <c r="C1608" s="929">
        <f t="shared" si="399"/>
        <v>42916</v>
      </c>
      <c r="D1608" s="929" t="s">
        <v>2956</v>
      </c>
      <c r="E1608" s="929">
        <v>42916</v>
      </c>
      <c r="F1608" s="1082" t="s">
        <v>771</v>
      </c>
      <c r="G1608" s="931"/>
      <c r="H1608" s="1082" t="s">
        <v>424</v>
      </c>
      <c r="I1608" s="371">
        <v>1413</v>
      </c>
      <c r="J1608" s="377">
        <v>18500</v>
      </c>
      <c r="K1608" s="371"/>
      <c r="L1608" s="377"/>
      <c r="M1608" s="933">
        <f t="shared" si="400"/>
        <v>26140500</v>
      </c>
      <c r="N1608" s="934" t="s">
        <v>272</v>
      </c>
      <c r="O1608" s="934" t="s">
        <v>264</v>
      </c>
      <c r="P1608" s="75" t="str">
        <f>IF(AND('331-CT'!$E$7=TH!H1608,OR(N1608="331",O1608="331")),"x","")</f>
        <v/>
      </c>
      <c r="Q1608" s="75" t="str">
        <f>IF(AND(B1608='111'!$L$11,OR($N1608=$Q$7,$O1608=$Q$7)),"x","")</f>
        <v/>
      </c>
      <c r="R1608" s="75" t="str">
        <f>IF(AND($N1608=$Q$7,$B1608&lt;'111'!$L$11),"x","")</f>
        <v/>
      </c>
      <c r="S1608" s="75" t="str">
        <f>IF(AND($O1608=$Q$7,$B1608&lt;'111'!$L$11),"x","")</f>
        <v/>
      </c>
      <c r="T1608" s="75" t="str">
        <f>IF(ISERROR(FIND('112'!$M$9,G1608,1)),"",IF((AND(FIND('112'!$M$9,G1608,1)&gt;=1,B1608='112'!$K$9,OR($N1608='112'!$I$6,$O1608='112'!$I$6))),"x",""))</f>
        <v/>
      </c>
      <c r="U1608" s="75" t="str">
        <f>IF(ISERROR(FIND('112'!$M$9,G1608,1)),"",IF((AND(LEFT(G1608,2)=LEFT('112'!$M$9,2),B1608&lt;'112'!$K$9,$N1608='112'!$I$6)),"x",""))</f>
        <v/>
      </c>
      <c r="V1608" s="75" t="str">
        <f>IF(ISERROR(FIND('112'!$M$9,G1608,1)),"",IF((AND(RIGHT(G1608,2)=RIGHT('112'!$M$9,2),B1608&lt;'112'!$K$9,$O1608='112'!$I$6)),"x",""))</f>
        <v/>
      </c>
      <c r="W1608" s="75" t="str">
        <f>IF(AND('341-CT'!$H$9=H1608,OR(LEFT(N1608,3)=$W$7,LEFT(O1608,3)=$W$7)),"x","")</f>
        <v/>
      </c>
      <c r="X1608" s="75" t="str">
        <f>IF(OR(TH!N1608=TH!$X$7,O1608=TH!$X$7),"x","")</f>
        <v/>
      </c>
      <c r="Y1608" s="75" t="str">
        <f>IF(AND(OR(N1608="131",O1608="131"),H1608='131-CT'!$H$9),"x","")</f>
        <v/>
      </c>
      <c r="Z1608" s="75"/>
      <c r="AA1608" s="75" t="str">
        <f>IF(AND(MONTH(E1608)='IN-NX'!$J$5,'IN-NX'!$D$7=D1608),"x","")</f>
        <v/>
      </c>
      <c r="AB1608" s="75" t="str">
        <f>IF(AND(OR(LEFT(TH!N1608,2)="15",LEFT(TH!O1608,2)="15"),LEFT(TH!O1608,3)&lt;&gt;"111",'152-CT'!$J$8=TH!F1608),"x","")</f>
        <v/>
      </c>
      <c r="AC1608" s="75" t="str">
        <f>IF(AND(OR(LEFT(TH!N1608,2)="15",LEFT(TH!O1608,2)="15"),TK!$E$7=TH!F1608),"x","")</f>
        <v/>
      </c>
      <c r="AD1608" s="75" t="str">
        <f>IF(AND(N1608="1521",MONTH(C1608)='BK-NL'!$M$11),"x","")</f>
        <v/>
      </c>
    </row>
    <row r="1609" spans="1:30" ht="16.5" customHeight="1">
      <c r="A1609" s="309" t="str">
        <f>IF(B1609&lt;&gt;"",IF(AND(B1609='IN-TC'!$S$4,OR(TH!N1609="1111",TH!O1609="1111")),TH!D1609,""),"")</f>
        <v/>
      </c>
      <c r="B1609" s="1130">
        <f t="shared" si="398"/>
        <v>6</v>
      </c>
      <c r="C1609" s="929">
        <f t="shared" si="399"/>
        <v>42916</v>
      </c>
      <c r="D1609" s="929" t="s">
        <v>2956</v>
      </c>
      <c r="E1609" s="929">
        <v>42916</v>
      </c>
      <c r="F1609" s="1082" t="s">
        <v>2998</v>
      </c>
      <c r="G1609" s="931"/>
      <c r="H1609" s="1082" t="s">
        <v>424</v>
      </c>
      <c r="I1609" s="371">
        <v>550</v>
      </c>
      <c r="J1609" s="377">
        <v>23000</v>
      </c>
      <c r="K1609" s="371"/>
      <c r="L1609" s="377"/>
      <c r="M1609" s="933">
        <f t="shared" si="400"/>
        <v>12650000</v>
      </c>
      <c r="N1609" s="934" t="s">
        <v>272</v>
      </c>
      <c r="O1609" s="934" t="s">
        <v>264</v>
      </c>
      <c r="P1609" s="75" t="str">
        <f>IF(AND('331-CT'!$E$7=TH!H1609,OR(N1609="331",O1609="331")),"x","")</f>
        <v/>
      </c>
      <c r="Q1609" s="75" t="str">
        <f>IF(AND(B1609='111'!$L$11,OR($N1609=$Q$7,$O1609=$Q$7)),"x","")</f>
        <v/>
      </c>
      <c r="R1609" s="75" t="str">
        <f>IF(AND($N1609=$Q$7,$B1609&lt;'111'!$L$11),"x","")</f>
        <v/>
      </c>
      <c r="S1609" s="75" t="str">
        <f>IF(AND($O1609=$Q$7,$B1609&lt;'111'!$L$11),"x","")</f>
        <v/>
      </c>
      <c r="T1609" s="75" t="str">
        <f>IF(ISERROR(FIND('112'!$M$9,G1609,1)),"",IF((AND(FIND('112'!$M$9,G1609,1)&gt;=1,B1609='112'!$K$9,OR($N1609='112'!$I$6,$O1609='112'!$I$6))),"x",""))</f>
        <v/>
      </c>
      <c r="U1609" s="75" t="str">
        <f>IF(ISERROR(FIND('112'!$M$9,G1609,1)),"",IF((AND(LEFT(G1609,2)=LEFT('112'!$M$9,2),B1609&lt;'112'!$K$9,$N1609='112'!$I$6)),"x",""))</f>
        <v/>
      </c>
      <c r="V1609" s="75" t="str">
        <f>IF(ISERROR(FIND('112'!$M$9,G1609,1)),"",IF((AND(RIGHT(G1609,2)=RIGHT('112'!$M$9,2),B1609&lt;'112'!$K$9,$O1609='112'!$I$6)),"x",""))</f>
        <v/>
      </c>
      <c r="W1609" s="75" t="str">
        <f>IF(AND('341-CT'!$H$9=H1609,OR(LEFT(N1609,3)=$W$7,LEFT(O1609,3)=$W$7)),"x","")</f>
        <v/>
      </c>
      <c r="X1609" s="75" t="str">
        <f>IF(OR(TH!N1609=TH!$X$7,O1609=TH!$X$7),"x","")</f>
        <v/>
      </c>
      <c r="Y1609" s="75" t="str">
        <f>IF(AND(OR(N1609="131",O1609="131"),H1609='131-CT'!$H$9),"x","")</f>
        <v/>
      </c>
      <c r="Z1609" s="75"/>
      <c r="AA1609" s="75" t="str">
        <f>IF(AND(MONTH(E1609)='IN-NX'!$J$5,'IN-NX'!$D$7=D1609),"x","")</f>
        <v/>
      </c>
      <c r="AB1609" s="75" t="str">
        <f>IF(AND(OR(LEFT(TH!N1609,2)="15",LEFT(TH!O1609,2)="15"),LEFT(TH!O1609,3)&lt;&gt;"111",'152-CT'!$J$8=TH!F1609),"x","")</f>
        <v/>
      </c>
      <c r="AC1609" s="75" t="str">
        <f>IF(AND(OR(LEFT(TH!N1609,2)="15",LEFT(TH!O1609,2)="15"),TK!$E$7=TH!F1609),"x","")</f>
        <v/>
      </c>
      <c r="AD1609" s="75" t="str">
        <f>IF(AND(N1609="1521",MONTH(C1609)='BK-NL'!$M$11),"x","")</f>
        <v/>
      </c>
    </row>
    <row r="1610" spans="1:30" ht="16.5" customHeight="1">
      <c r="A1610" s="309" t="str">
        <f>IF(B1610&lt;&gt;"",IF(AND(B1610='IN-TC'!$S$4,OR(TH!N1610="1111",TH!O1610="1111")),TH!D1610,""),"")</f>
        <v/>
      </c>
      <c r="B1610" s="1130">
        <f t="shared" si="398"/>
        <v>6</v>
      </c>
      <c r="C1610" s="929">
        <f t="shared" si="399"/>
        <v>42916</v>
      </c>
      <c r="D1610" s="929" t="s">
        <v>2956</v>
      </c>
      <c r="E1610" s="929">
        <v>42916</v>
      </c>
      <c r="F1610" s="1082" t="s">
        <v>1121</v>
      </c>
      <c r="G1610" s="931"/>
      <c r="H1610" s="1082" t="s">
        <v>424</v>
      </c>
      <c r="I1610" s="371">
        <v>993</v>
      </c>
      <c r="J1610" s="377">
        <v>18000</v>
      </c>
      <c r="K1610" s="371"/>
      <c r="L1610" s="377"/>
      <c r="M1610" s="933">
        <f t="shared" si="400"/>
        <v>17874000</v>
      </c>
      <c r="N1610" s="934" t="s">
        <v>272</v>
      </c>
      <c r="O1610" s="934" t="s">
        <v>264</v>
      </c>
      <c r="P1610" s="75" t="str">
        <f>IF(AND('331-CT'!$E$7=TH!H1610,OR(N1610="331",O1610="331")),"x","")</f>
        <v/>
      </c>
      <c r="Q1610" s="75" t="str">
        <f>IF(AND(B1610='111'!$L$11,OR($N1610=$Q$7,$O1610=$Q$7)),"x","")</f>
        <v/>
      </c>
      <c r="R1610" s="75" t="str">
        <f>IF(AND($N1610=$Q$7,$B1610&lt;'111'!$L$11),"x","")</f>
        <v/>
      </c>
      <c r="S1610" s="75" t="str">
        <f>IF(AND($O1610=$Q$7,$B1610&lt;'111'!$L$11),"x","")</f>
        <v/>
      </c>
      <c r="T1610" s="75" t="str">
        <f>IF(ISERROR(FIND('112'!$M$9,G1610,1)),"",IF((AND(FIND('112'!$M$9,G1610,1)&gt;=1,B1610='112'!$K$9,OR($N1610='112'!$I$6,$O1610='112'!$I$6))),"x",""))</f>
        <v/>
      </c>
      <c r="U1610" s="75" t="str">
        <f>IF(ISERROR(FIND('112'!$M$9,G1610,1)),"",IF((AND(LEFT(G1610,2)=LEFT('112'!$M$9,2),B1610&lt;'112'!$K$9,$N1610='112'!$I$6)),"x",""))</f>
        <v/>
      </c>
      <c r="V1610" s="75" t="str">
        <f>IF(ISERROR(FIND('112'!$M$9,G1610,1)),"",IF((AND(RIGHT(G1610,2)=RIGHT('112'!$M$9,2),B1610&lt;'112'!$K$9,$O1610='112'!$I$6)),"x",""))</f>
        <v/>
      </c>
      <c r="W1610" s="75" t="str">
        <f>IF(AND('341-CT'!$H$9=H1610,OR(LEFT(N1610,3)=$W$7,LEFT(O1610,3)=$W$7)),"x","")</f>
        <v/>
      </c>
      <c r="X1610" s="75" t="str">
        <f>IF(OR(TH!N1610=TH!$X$7,O1610=TH!$X$7),"x","")</f>
        <v/>
      </c>
      <c r="Y1610" s="75" t="str">
        <f>IF(AND(OR(N1610="131",O1610="131"),H1610='131-CT'!$H$9),"x","")</f>
        <v/>
      </c>
      <c r="Z1610" s="75"/>
      <c r="AA1610" s="75" t="str">
        <f>IF(AND(MONTH(E1610)='IN-NX'!$J$5,'IN-NX'!$D$7=D1610),"x","")</f>
        <v/>
      </c>
      <c r="AB1610" s="75" t="str">
        <f>IF(AND(OR(LEFT(TH!N1610,2)="15",LEFT(TH!O1610,2)="15"),LEFT(TH!O1610,3)&lt;&gt;"111",'152-CT'!$J$8=TH!F1610),"x","")</f>
        <v/>
      </c>
      <c r="AC1610" s="75" t="str">
        <f>IF(AND(OR(LEFT(TH!N1610,2)="15",LEFT(TH!O1610,2)="15"),TK!$E$7=TH!F1610),"x","")</f>
        <v/>
      </c>
      <c r="AD1610" s="75" t="str">
        <f>IF(AND(N1610="1521",MONTH(C1610)='BK-NL'!$M$11),"x","")</f>
        <v/>
      </c>
    </row>
    <row r="1611" spans="1:30" ht="16.5" customHeight="1">
      <c r="A1611" s="309" t="str">
        <f>IF(B1611&lt;&gt;"",IF(AND(B1611='IN-TC'!$S$4,OR(TH!N1611="1111",TH!O1611="1111")),TH!D1611,""),"")</f>
        <v/>
      </c>
      <c r="B1611" s="1130">
        <f t="shared" si="386"/>
        <v>6</v>
      </c>
      <c r="C1611" s="929">
        <f t="shared" si="387"/>
        <v>42916</v>
      </c>
      <c r="D1611" s="929" t="s">
        <v>2956</v>
      </c>
      <c r="E1611" s="929">
        <v>42916</v>
      </c>
      <c r="F1611" s="1082" t="s">
        <v>1120</v>
      </c>
      <c r="G1611" s="931"/>
      <c r="H1611" s="1082" t="s">
        <v>424</v>
      </c>
      <c r="I1611" s="371">
        <v>1260</v>
      </c>
      <c r="J1611" s="377">
        <v>32000</v>
      </c>
      <c r="K1611" s="371"/>
      <c r="L1611" s="377"/>
      <c r="M1611" s="933">
        <f t="shared" si="388"/>
        <v>40320000</v>
      </c>
      <c r="N1611" s="934" t="s">
        <v>272</v>
      </c>
      <c r="O1611" s="934" t="s">
        <v>264</v>
      </c>
      <c r="P1611" s="75" t="str">
        <f>IF(AND('331-CT'!$E$7=TH!H1611,OR(N1611="331",O1611="331")),"x","")</f>
        <v/>
      </c>
      <c r="Q1611" s="75" t="str">
        <f>IF(AND(B1611='111'!$L$11,OR($N1611=$Q$7,$O1611=$Q$7)),"x","")</f>
        <v/>
      </c>
      <c r="R1611" s="75" t="str">
        <f>IF(AND($N1611=$Q$7,$B1611&lt;'111'!$L$11),"x","")</f>
        <v/>
      </c>
      <c r="S1611" s="75" t="str">
        <f>IF(AND($O1611=$Q$7,$B1611&lt;'111'!$L$11),"x","")</f>
        <v/>
      </c>
      <c r="T1611" s="75" t="str">
        <f>IF(ISERROR(FIND('112'!$M$9,G1611,1)),"",IF((AND(FIND('112'!$M$9,G1611,1)&gt;=1,B1611='112'!$K$9,OR($N1611='112'!$I$6,$O1611='112'!$I$6))),"x",""))</f>
        <v/>
      </c>
      <c r="U1611" s="75" t="str">
        <f>IF(ISERROR(FIND('112'!$M$9,G1611,1)),"",IF((AND(LEFT(G1611,2)=LEFT('112'!$M$9,2),B1611&lt;'112'!$K$9,$N1611='112'!$I$6)),"x",""))</f>
        <v/>
      </c>
      <c r="V1611" s="75" t="str">
        <f>IF(ISERROR(FIND('112'!$M$9,G1611,1)),"",IF((AND(RIGHT(G1611,2)=RIGHT('112'!$M$9,2),B1611&lt;'112'!$K$9,$O1611='112'!$I$6)),"x",""))</f>
        <v/>
      </c>
      <c r="W1611" s="75" t="str">
        <f>IF(AND('341-CT'!$H$9=H1611,OR(LEFT(N1611,3)=$W$7,LEFT(O1611,3)=$W$7)),"x","")</f>
        <v/>
      </c>
      <c r="X1611" s="75" t="str">
        <f>IF(OR(TH!N1611=TH!$X$7,O1611=TH!$X$7),"x","")</f>
        <v/>
      </c>
      <c r="Y1611" s="75" t="str">
        <f>IF(AND(OR(N1611="131",O1611="131"),H1611='131-CT'!$H$9),"x","")</f>
        <v/>
      </c>
      <c r="Z1611" s="75"/>
      <c r="AA1611" s="75" t="str">
        <f>IF(AND(MONTH(E1611)='IN-NX'!$J$5,'IN-NX'!$D$7=D1611),"x","")</f>
        <v/>
      </c>
      <c r="AB1611" s="75" t="str">
        <f>IF(AND(OR(LEFT(TH!N1611,2)="15",LEFT(TH!O1611,2)="15"),LEFT(TH!O1611,3)&lt;&gt;"111",'152-CT'!$J$8=TH!F1611),"x","")</f>
        <v/>
      </c>
      <c r="AC1611" s="75" t="str">
        <f>IF(AND(OR(LEFT(TH!N1611,2)="15",LEFT(TH!O1611,2)="15"),TK!$E$7=TH!F1611),"x","")</f>
        <v/>
      </c>
      <c r="AD1611" s="75" t="str">
        <f>IF(AND(N1611="1521",MONTH(C1611)='BK-NL'!$M$11),"x","")</f>
        <v/>
      </c>
    </row>
    <row r="1612" spans="1:30" ht="16.5" customHeight="1">
      <c r="A1612" s="309" t="str">
        <f>IF(B1612&lt;&gt;"",IF(AND(B1612='IN-TC'!$S$4,OR(TH!N1612="1111",TH!O1612="1111")),TH!D1612,""),"")</f>
        <v/>
      </c>
      <c r="B1612" s="1130">
        <f t="shared" si="386"/>
        <v>6</v>
      </c>
      <c r="C1612" s="929">
        <f t="shared" si="387"/>
        <v>42916</v>
      </c>
      <c r="D1612" s="929" t="s">
        <v>2956</v>
      </c>
      <c r="E1612" s="929">
        <v>42916</v>
      </c>
      <c r="F1612" s="1082" t="s">
        <v>3004</v>
      </c>
      <c r="G1612" s="931"/>
      <c r="H1612" s="1082" t="s">
        <v>424</v>
      </c>
      <c r="I1612" s="371">
        <v>66</v>
      </c>
      <c r="J1612" s="377">
        <v>245000</v>
      </c>
      <c r="K1612" s="371"/>
      <c r="L1612" s="377"/>
      <c r="M1612" s="933">
        <f t="shared" si="388"/>
        <v>16170000</v>
      </c>
      <c r="N1612" s="934" t="s">
        <v>272</v>
      </c>
      <c r="O1612" s="934" t="s">
        <v>264</v>
      </c>
      <c r="P1612" s="75" t="str">
        <f>IF(AND('331-CT'!$E$7=TH!H1612,OR(N1612="331",O1612="331")),"x","")</f>
        <v/>
      </c>
      <c r="Q1612" s="75" t="str">
        <f>IF(AND(B1612='111'!$L$11,OR($N1612=$Q$7,$O1612=$Q$7)),"x","")</f>
        <v/>
      </c>
      <c r="R1612" s="75" t="str">
        <f>IF(AND($N1612=$Q$7,$B1612&lt;'111'!$L$11),"x","")</f>
        <v/>
      </c>
      <c r="S1612" s="75" t="str">
        <f>IF(AND($O1612=$Q$7,$B1612&lt;'111'!$L$11),"x","")</f>
        <v/>
      </c>
      <c r="T1612" s="75" t="str">
        <f>IF(ISERROR(FIND('112'!$M$9,G1612,1)),"",IF((AND(FIND('112'!$M$9,G1612,1)&gt;=1,B1612='112'!$K$9,OR($N1612='112'!$I$6,$O1612='112'!$I$6))),"x",""))</f>
        <v/>
      </c>
      <c r="U1612" s="75" t="str">
        <f>IF(ISERROR(FIND('112'!$M$9,G1612,1)),"",IF((AND(LEFT(G1612,2)=LEFT('112'!$M$9,2),B1612&lt;'112'!$K$9,$N1612='112'!$I$6)),"x",""))</f>
        <v/>
      </c>
      <c r="V1612" s="75" t="str">
        <f>IF(ISERROR(FIND('112'!$M$9,G1612,1)),"",IF((AND(RIGHT(G1612,2)=RIGHT('112'!$M$9,2),B1612&lt;'112'!$K$9,$O1612='112'!$I$6)),"x",""))</f>
        <v/>
      </c>
      <c r="W1612" s="75" t="str">
        <f>IF(AND('341-CT'!$H$9=H1612,OR(LEFT(N1612,3)=$W$7,LEFT(O1612,3)=$W$7)),"x","")</f>
        <v/>
      </c>
      <c r="X1612" s="75" t="str">
        <f>IF(OR(TH!N1612=TH!$X$7,O1612=TH!$X$7),"x","")</f>
        <v/>
      </c>
      <c r="Y1612" s="75" t="str">
        <f>IF(AND(OR(N1612="131",O1612="131"),H1612='131-CT'!$H$9),"x","")</f>
        <v/>
      </c>
      <c r="Z1612" s="75"/>
      <c r="AA1612" s="75" t="str">
        <f>IF(AND(MONTH(E1612)='IN-NX'!$J$5,'IN-NX'!$D$7=D1612),"x","")</f>
        <v/>
      </c>
      <c r="AB1612" s="75" t="str">
        <f>IF(AND(OR(LEFT(TH!N1612,2)="15",LEFT(TH!O1612,2)="15"),LEFT(TH!O1612,3)&lt;&gt;"111",'152-CT'!$J$8=TH!F1612),"x","")</f>
        <v/>
      </c>
      <c r="AC1612" s="75" t="str">
        <f>IF(AND(OR(LEFT(TH!N1612,2)="15",LEFT(TH!O1612,2)="15"),TK!$E$7=TH!F1612),"x","")</f>
        <v/>
      </c>
      <c r="AD1612" s="75" t="str">
        <f>IF(AND(N1612="1521",MONTH(C1612)='BK-NL'!$M$11),"x","")</f>
        <v/>
      </c>
    </row>
    <row r="1613" spans="1:30" ht="16.5" customHeight="1">
      <c r="A1613" s="309" t="str">
        <f>IF(B1613&lt;&gt;"",IF(AND(B1613='IN-TC'!$S$4,OR(TH!N1613="1111",TH!O1613="1111")),TH!D1613,""),"")</f>
        <v/>
      </c>
      <c r="B1613" s="1130">
        <f t="shared" si="386"/>
        <v>6</v>
      </c>
      <c r="C1613" s="929">
        <f t="shared" si="387"/>
        <v>42916</v>
      </c>
      <c r="D1613" s="929" t="s">
        <v>2956</v>
      </c>
      <c r="E1613" s="929">
        <v>42916</v>
      </c>
      <c r="F1613" s="1082" t="s">
        <v>3005</v>
      </c>
      <c r="G1613" s="931"/>
      <c r="H1613" s="1082" t="s">
        <v>424</v>
      </c>
      <c r="I1613" s="371">
        <v>16</v>
      </c>
      <c r="J1613" s="377">
        <v>25000</v>
      </c>
      <c r="K1613" s="371"/>
      <c r="L1613" s="377"/>
      <c r="M1613" s="933">
        <f t="shared" si="388"/>
        <v>400000</v>
      </c>
      <c r="N1613" s="934" t="s">
        <v>272</v>
      </c>
      <c r="O1613" s="934" t="s">
        <v>264</v>
      </c>
      <c r="P1613" s="75" t="str">
        <f>IF(AND('331-CT'!$E$7=TH!H1613,OR(N1613="331",O1613="331")),"x","")</f>
        <v/>
      </c>
      <c r="Q1613" s="75" t="str">
        <f>IF(AND(B1613='111'!$L$11,OR($N1613=$Q$7,$O1613=$Q$7)),"x","")</f>
        <v/>
      </c>
      <c r="R1613" s="75" t="str">
        <f>IF(AND($N1613=$Q$7,$B1613&lt;'111'!$L$11),"x","")</f>
        <v/>
      </c>
      <c r="S1613" s="75" t="str">
        <f>IF(AND($O1613=$Q$7,$B1613&lt;'111'!$L$11),"x","")</f>
        <v/>
      </c>
      <c r="T1613" s="75" t="str">
        <f>IF(ISERROR(FIND('112'!$M$9,G1613,1)),"",IF((AND(FIND('112'!$M$9,G1613,1)&gt;=1,B1613='112'!$K$9,OR($N1613='112'!$I$6,$O1613='112'!$I$6))),"x",""))</f>
        <v/>
      </c>
      <c r="U1613" s="75" t="str">
        <f>IF(ISERROR(FIND('112'!$M$9,G1613,1)),"",IF((AND(LEFT(G1613,2)=LEFT('112'!$M$9,2),B1613&lt;'112'!$K$9,$N1613='112'!$I$6)),"x",""))</f>
        <v/>
      </c>
      <c r="V1613" s="75" t="str">
        <f>IF(ISERROR(FIND('112'!$M$9,G1613,1)),"",IF((AND(RIGHT(G1613,2)=RIGHT('112'!$M$9,2),B1613&lt;'112'!$K$9,$O1613='112'!$I$6)),"x",""))</f>
        <v/>
      </c>
      <c r="W1613" s="75" t="str">
        <f>IF(AND('341-CT'!$H$9=H1613,OR(LEFT(N1613,3)=$W$7,LEFT(O1613,3)=$W$7)),"x","")</f>
        <v/>
      </c>
      <c r="X1613" s="75" t="str">
        <f>IF(OR(TH!N1613=TH!$X$7,O1613=TH!$X$7),"x","")</f>
        <v/>
      </c>
      <c r="Y1613" s="75" t="str">
        <f>IF(AND(OR(N1613="131",O1613="131"),H1613='131-CT'!$H$9),"x","")</f>
        <v/>
      </c>
      <c r="Z1613" s="75"/>
      <c r="AA1613" s="75" t="str">
        <f>IF(AND(MONTH(E1613)='IN-NX'!$J$5,'IN-NX'!$D$7=D1613),"x","")</f>
        <v/>
      </c>
      <c r="AB1613" s="75" t="str">
        <f>IF(AND(OR(LEFT(TH!N1613,2)="15",LEFT(TH!O1613,2)="15"),LEFT(TH!O1613,3)&lt;&gt;"111",'152-CT'!$J$8=TH!F1613),"x","")</f>
        <v/>
      </c>
      <c r="AC1613" s="75" t="str">
        <f>IF(AND(OR(LEFT(TH!N1613,2)="15",LEFT(TH!O1613,2)="15"),TK!$E$7=TH!F1613),"x","")</f>
        <v/>
      </c>
      <c r="AD1613" s="75" t="str">
        <f>IF(AND(N1613="1521",MONTH(C1613)='BK-NL'!$M$11),"x","")</f>
        <v/>
      </c>
    </row>
    <row r="1614" spans="1:30" ht="16.5" customHeight="1">
      <c r="A1614" s="309" t="str">
        <f>IF(B1614&lt;&gt;"",IF(AND(B1614='IN-TC'!$S$4,OR(TH!N1614="1111",TH!O1614="1111")),TH!D1614,""),"")</f>
        <v/>
      </c>
      <c r="B1614" s="1130">
        <f t="shared" si="386"/>
        <v>6</v>
      </c>
      <c r="C1614" s="929">
        <f t="shared" si="387"/>
        <v>42916</v>
      </c>
      <c r="D1614" s="929" t="s">
        <v>2956</v>
      </c>
      <c r="E1614" s="929">
        <v>42916</v>
      </c>
      <c r="F1614" s="1082" t="s">
        <v>1912</v>
      </c>
      <c r="G1614" s="931"/>
      <c r="H1614" s="1082" t="s">
        <v>424</v>
      </c>
      <c r="I1614" s="371">
        <v>1010</v>
      </c>
      <c r="J1614" s="377">
        <v>135000</v>
      </c>
      <c r="K1614" s="371"/>
      <c r="L1614" s="377"/>
      <c r="M1614" s="933">
        <f t="shared" si="388"/>
        <v>136350000</v>
      </c>
      <c r="N1614" s="934" t="s">
        <v>272</v>
      </c>
      <c r="O1614" s="934" t="s">
        <v>264</v>
      </c>
      <c r="P1614" s="75" t="str">
        <f>IF(AND('331-CT'!$E$7=TH!H1614,OR(N1614="331",O1614="331")),"x","")</f>
        <v/>
      </c>
      <c r="Q1614" s="75" t="str">
        <f>IF(AND(B1614='111'!$L$11,OR($N1614=$Q$7,$O1614=$Q$7)),"x","")</f>
        <v/>
      </c>
      <c r="R1614" s="75" t="str">
        <f>IF(AND($N1614=$Q$7,$B1614&lt;'111'!$L$11),"x","")</f>
        <v/>
      </c>
      <c r="S1614" s="75" t="str">
        <f>IF(AND($O1614=$Q$7,$B1614&lt;'111'!$L$11),"x","")</f>
        <v/>
      </c>
      <c r="T1614" s="75" t="str">
        <f>IF(ISERROR(FIND('112'!$M$9,G1614,1)),"",IF((AND(FIND('112'!$M$9,G1614,1)&gt;=1,B1614='112'!$K$9,OR($N1614='112'!$I$6,$O1614='112'!$I$6))),"x",""))</f>
        <v/>
      </c>
      <c r="U1614" s="75" t="str">
        <f>IF(ISERROR(FIND('112'!$M$9,G1614,1)),"",IF((AND(LEFT(G1614,2)=LEFT('112'!$M$9,2),B1614&lt;'112'!$K$9,$N1614='112'!$I$6)),"x",""))</f>
        <v/>
      </c>
      <c r="V1614" s="75" t="str">
        <f>IF(ISERROR(FIND('112'!$M$9,G1614,1)),"",IF((AND(RIGHT(G1614,2)=RIGHT('112'!$M$9,2),B1614&lt;'112'!$K$9,$O1614='112'!$I$6)),"x",""))</f>
        <v/>
      </c>
      <c r="W1614" s="75" t="str">
        <f>IF(AND('341-CT'!$H$9=H1614,OR(LEFT(N1614,3)=$W$7,LEFT(O1614,3)=$W$7)),"x","")</f>
        <v/>
      </c>
      <c r="X1614" s="75" t="str">
        <f>IF(OR(TH!N1614=TH!$X$7,O1614=TH!$X$7),"x","")</f>
        <v/>
      </c>
      <c r="Y1614" s="75" t="str">
        <f>IF(AND(OR(N1614="131",O1614="131"),H1614='131-CT'!$H$9),"x","")</f>
        <v/>
      </c>
      <c r="Z1614" s="75"/>
      <c r="AA1614" s="75" t="str">
        <f>IF(AND(MONTH(E1614)='IN-NX'!$J$5,'IN-NX'!$D$7=D1614),"x","")</f>
        <v/>
      </c>
      <c r="AB1614" s="75" t="str">
        <f>IF(AND(OR(LEFT(TH!N1614,2)="15",LEFT(TH!O1614,2)="15"),LEFT(TH!O1614,3)&lt;&gt;"111",'152-CT'!$J$8=TH!F1614),"x","")</f>
        <v/>
      </c>
      <c r="AC1614" s="75" t="str">
        <f>IF(AND(OR(LEFT(TH!N1614,2)="15",LEFT(TH!O1614,2)="15"),TK!$E$7=TH!F1614),"x","")</f>
        <v/>
      </c>
      <c r="AD1614" s="75" t="str">
        <f>IF(AND(N1614="1521",MONTH(C1614)='BK-NL'!$M$11),"x","")</f>
        <v/>
      </c>
    </row>
    <row r="1615" spans="1:30" s="1054" customFormat="1" ht="16.5" customHeight="1">
      <c r="A1615" s="309" t="str">
        <f>IF(B1615&lt;&gt;"",IF(AND(B1615='IN-TC'!$S$4,OR(TH!N1615="1111",TH!O1615="1111")),TH!D1615,""),"")</f>
        <v/>
      </c>
      <c r="B1615" s="1296">
        <f t="shared" ref="B1615:B1631" si="401">IF(C1615&lt;&gt;"",MONTH(C1615),"")</f>
        <v>7</v>
      </c>
      <c r="C1615" s="936">
        <v>42923</v>
      </c>
      <c r="D1615" s="936" t="s">
        <v>818</v>
      </c>
      <c r="E1615" s="936">
        <f t="shared" si="347"/>
        <v>42923</v>
      </c>
      <c r="F1615" s="958" t="s">
        <v>429</v>
      </c>
      <c r="G1615" s="942" t="s">
        <v>1748</v>
      </c>
      <c r="H1615" s="946" t="s">
        <v>759</v>
      </c>
      <c r="I1615" s="939">
        <v>158340</v>
      </c>
      <c r="J1615" s="939">
        <v>2.7</v>
      </c>
      <c r="K1615" s="939">
        <f t="shared" si="348"/>
        <v>427518</v>
      </c>
      <c r="L1615" s="938">
        <v>22700</v>
      </c>
      <c r="M1615" s="940">
        <f t="shared" si="342"/>
        <v>9704658600</v>
      </c>
      <c r="N1615" s="941" t="s">
        <v>536</v>
      </c>
      <c r="O1615" s="941" t="s">
        <v>288</v>
      </c>
      <c r="P1615" s="1295" t="str">
        <f>IF(AND('331-CT'!$E$7=TH!H1615,OR(N1615="331",O1615="331")),"x","")</f>
        <v/>
      </c>
      <c r="Q1615" s="1295" t="str">
        <f>IF(AND(B1615='111'!$L$11,OR($N1615=$Q$7,$O1615=$Q$7)),"x","")</f>
        <v/>
      </c>
      <c r="R1615" s="1295" t="str">
        <f>IF(AND($N1615=$Q$7,$B1615&lt;'111'!$L$11),"x","")</f>
        <v/>
      </c>
      <c r="S1615" s="1295" t="str">
        <f>IF(AND($O1615=$Q$7,$B1615&lt;'111'!$L$11),"x","")</f>
        <v/>
      </c>
      <c r="T1615" s="1295" t="str">
        <f>IF(ISERROR(FIND('112'!$M$9,G1615,1)),"",IF((AND(FIND('112'!$M$9,G1615,1)&gt;=1,B1615='112'!$K$9,OR($N1615='112'!$I$6,$O1615='112'!$I$6))),"x",""))</f>
        <v/>
      </c>
      <c r="U1615" s="1295" t="str">
        <f>IF(ISERROR(FIND('112'!$M$9,G1615,1)),"",IF((AND(LEFT(G1615,2)=LEFT('112'!$M$9,2),B1615&lt;'112'!$K$9,$N1615='112'!$I$6)),"x",""))</f>
        <v/>
      </c>
      <c r="V1615" s="1295" t="str">
        <f>IF(ISERROR(FIND('112'!$M$9,G1615,1)),"",IF((AND(RIGHT(G1615,2)=RIGHT('112'!$M$9,2),B1615&lt;'112'!$K$9,$O1615='112'!$I$6)),"x",""))</f>
        <v/>
      </c>
      <c r="W1615" s="1295" t="str">
        <f>IF(AND('341-CT'!$H$9=H1615,OR(LEFT(N1615,3)=$W$7,LEFT(O1615,3)=$W$7)),"x","")</f>
        <v/>
      </c>
      <c r="X1615" s="1295" t="str">
        <f>IF(OR(TH!N1615=TH!$X$7,O1615=TH!$X$7),"x","")</f>
        <v/>
      </c>
      <c r="Y1615" s="1295" t="str">
        <f>IF(AND(OR(N1615="131",O1615="131"),H1615='131-CT'!$H$9),"x","")</f>
        <v/>
      </c>
      <c r="Z1615" s="1295"/>
      <c r="AA1615" s="1295" t="str">
        <f>IF(AND(MONTH(E1615)='IN-NX'!$J$5,'IN-NX'!$D$7=D1615),"x","")</f>
        <v/>
      </c>
      <c r="AB1615" s="1295" t="str">
        <f>IF(AND(OR(LEFT(TH!N1615,2)="15",LEFT(TH!O1615,2)="15"),LEFT(TH!O1615,3)&lt;&gt;"111",'152-CT'!$J$8=TH!F1615),"x","")</f>
        <v/>
      </c>
      <c r="AC1615" s="1295" t="str">
        <f>IF(AND(OR(LEFT(TH!N1615,2)="15",LEFT(TH!O1615,2)="15"),TK!$E$7=TH!F1615),"x","")</f>
        <v/>
      </c>
      <c r="AD1615" s="1295" t="str">
        <f>IF(AND(N1615="1521",MONTH(C1615)='BK-NL'!$M$11),"x","")</f>
        <v/>
      </c>
    </row>
    <row r="1616" spans="1:30" ht="16.5" customHeight="1">
      <c r="A1616" s="309" t="str">
        <f>IF(B1616&lt;&gt;"",IF(AND(B1616='IN-TC'!$S$4,OR(TH!N1616="1111",TH!O1616="1111")),TH!D1616,""),"")</f>
        <v/>
      </c>
      <c r="B1616" s="1243">
        <f t="shared" si="401"/>
        <v>7</v>
      </c>
      <c r="C1616" s="252">
        <v>42926</v>
      </c>
      <c r="D1616" s="252" t="s">
        <v>819</v>
      </c>
      <c r="E1616" s="252">
        <f t="shared" si="347"/>
        <v>42926</v>
      </c>
      <c r="F1616" s="1055" t="s">
        <v>2401</v>
      </c>
      <c r="G1616" s="1056" t="s">
        <v>1676</v>
      </c>
      <c r="H1616" s="296" t="s">
        <v>1677</v>
      </c>
      <c r="I1616" s="371">
        <v>8000</v>
      </c>
      <c r="J1616" s="932">
        <v>8</v>
      </c>
      <c r="K1616" s="932">
        <f t="shared" si="348"/>
        <v>64000</v>
      </c>
      <c r="L1616" s="377">
        <v>22710</v>
      </c>
      <c r="M1616" s="933">
        <f t="shared" si="342"/>
        <v>1453440000</v>
      </c>
      <c r="N1616" s="977" t="s">
        <v>536</v>
      </c>
      <c r="O1616" s="977" t="s">
        <v>288</v>
      </c>
      <c r="P1616" s="75" t="str">
        <f>IF(AND('331-CT'!$E$7=TH!H1616,OR(N1616="331",O1616="331")),"x","")</f>
        <v/>
      </c>
      <c r="Q1616" s="75" t="str">
        <f>IF(AND(B1616='111'!$L$11,OR($N1616=$Q$7,$O1616=$Q$7)),"x","")</f>
        <v/>
      </c>
      <c r="R1616" s="75" t="str">
        <f>IF(AND($N1616=$Q$7,$B1616&lt;'111'!$L$11),"x","")</f>
        <v/>
      </c>
      <c r="S1616" s="75" t="str">
        <f>IF(AND($O1616=$Q$7,$B1616&lt;'111'!$L$11),"x","")</f>
        <v/>
      </c>
      <c r="T1616" s="75" t="str">
        <f>IF(ISERROR(FIND('112'!$M$9,G1616,1)),"",IF((AND(FIND('112'!$M$9,G1616,1)&gt;=1,B1616='112'!$K$9,OR($N1616='112'!$I$6,$O1616='112'!$I$6))),"x",""))</f>
        <v/>
      </c>
      <c r="U1616" s="75" t="str">
        <f>IF(ISERROR(FIND('112'!$M$9,G1616,1)),"",IF((AND(LEFT(G1616,2)=LEFT('112'!$M$9,2),B1616&lt;'112'!$K$9,$N1616='112'!$I$6)),"x",""))</f>
        <v/>
      </c>
      <c r="V1616" s="75" t="str">
        <f>IF(ISERROR(FIND('112'!$M$9,G1616,1)),"",IF((AND(RIGHT(G1616,2)=RIGHT('112'!$M$9,2),B1616&lt;'112'!$K$9,$O1616='112'!$I$6)),"x",""))</f>
        <v/>
      </c>
      <c r="W1616" s="75" t="str">
        <f>IF(AND('341-CT'!$H$9=H1616,OR(LEFT(N1616,3)=$W$7,LEFT(O1616,3)=$W$7)),"x","")</f>
        <v/>
      </c>
      <c r="X1616" s="75" t="str">
        <f>IF(OR(TH!N1616=TH!$X$7,O1616=TH!$X$7),"x","")</f>
        <v/>
      </c>
      <c r="Y1616" s="75" t="str">
        <f>IF(AND(OR(N1616="131",O1616="131"),H1616='131-CT'!$H$9),"x","")</f>
        <v/>
      </c>
      <c r="Z1616" s="75"/>
      <c r="AA1616" s="75" t="str">
        <f>IF(AND(MONTH(E1616)='IN-NX'!$J$5,'IN-NX'!$D$7=D1616),"x","")</f>
        <v/>
      </c>
      <c r="AB1616" s="75" t="str">
        <f>IF(AND(OR(LEFT(TH!N1616,2)="15",LEFT(TH!O1616,2)="15"),LEFT(TH!O1616,3)&lt;&gt;"111",'152-CT'!$J$8=TH!F1616),"x","")</f>
        <v/>
      </c>
      <c r="AC1616" s="75" t="str">
        <f>IF(AND(OR(LEFT(TH!N1616,2)="15",LEFT(TH!O1616,2)="15"),TK!$E$7=TH!F1616),"x","")</f>
        <v/>
      </c>
      <c r="AD1616" s="75" t="str">
        <f>IF(AND(N1616="1521",MONTH(C1616)='BK-NL'!$M$11),"x","")</f>
        <v/>
      </c>
    </row>
    <row r="1617" spans="1:30" ht="16.5" customHeight="1">
      <c r="A1617" s="309" t="str">
        <f>IF(B1617&lt;&gt;"",IF(AND(B1617='IN-TC'!$S$4,OR(TH!N1617="1111",TH!O1617="1111")),TH!D1617,""),"")</f>
        <v/>
      </c>
      <c r="B1617" s="1243">
        <f t="shared" si="401"/>
        <v>7</v>
      </c>
      <c r="C1617" s="252">
        <v>42931</v>
      </c>
      <c r="D1617" s="252" t="s">
        <v>836</v>
      </c>
      <c r="E1617" s="252">
        <f t="shared" ref="E1617" si="402">C1617</f>
        <v>42931</v>
      </c>
      <c r="F1617" s="1055" t="s">
        <v>429</v>
      </c>
      <c r="G1617" s="1056" t="s">
        <v>1749</v>
      </c>
      <c r="H1617" s="735" t="s">
        <v>759</v>
      </c>
      <c r="I1617" s="371">
        <v>158340</v>
      </c>
      <c r="J1617" s="371">
        <v>2.8</v>
      </c>
      <c r="K1617" s="371">
        <f t="shared" ref="K1617" si="403">I1617*J1617</f>
        <v>443352</v>
      </c>
      <c r="L1617" s="377">
        <v>22710</v>
      </c>
      <c r="M1617" s="933">
        <f t="shared" si="342"/>
        <v>10068523920</v>
      </c>
      <c r="N1617" s="977" t="s">
        <v>536</v>
      </c>
      <c r="O1617" s="977" t="s">
        <v>288</v>
      </c>
      <c r="P1617" s="75" t="str">
        <f>IF(AND('331-CT'!$E$7=TH!H1617,OR(N1617="331",O1617="331")),"x","")</f>
        <v/>
      </c>
      <c r="Q1617" s="75" t="str">
        <f>IF(AND(B1617='111'!$L$11,OR($N1617=$Q$7,$O1617=$Q$7)),"x","")</f>
        <v/>
      </c>
      <c r="R1617" s="75" t="str">
        <f>IF(AND($N1617=$Q$7,$B1617&lt;'111'!$L$11),"x","")</f>
        <v/>
      </c>
      <c r="S1617" s="75" t="str">
        <f>IF(AND($O1617=$Q$7,$B1617&lt;'111'!$L$11),"x","")</f>
        <v/>
      </c>
      <c r="T1617" s="75" t="str">
        <f>IF(ISERROR(FIND('112'!$M$9,G1617,1)),"",IF((AND(FIND('112'!$M$9,G1617,1)&gt;=1,B1617='112'!$K$9,OR($N1617='112'!$I$6,$O1617='112'!$I$6))),"x",""))</f>
        <v/>
      </c>
      <c r="U1617" s="75" t="str">
        <f>IF(ISERROR(FIND('112'!$M$9,G1617,1)),"",IF((AND(LEFT(G1617,2)=LEFT('112'!$M$9,2),B1617&lt;'112'!$K$9,$N1617='112'!$I$6)),"x",""))</f>
        <v/>
      </c>
      <c r="V1617" s="75" t="str">
        <f>IF(ISERROR(FIND('112'!$M$9,G1617,1)),"",IF((AND(RIGHT(G1617,2)=RIGHT('112'!$M$9,2),B1617&lt;'112'!$K$9,$O1617='112'!$I$6)),"x",""))</f>
        <v/>
      </c>
      <c r="W1617" s="75" t="str">
        <f>IF(AND('341-CT'!$H$9=H1617,OR(LEFT(N1617,3)=$W$7,LEFT(O1617,3)=$W$7)),"x","")</f>
        <v/>
      </c>
      <c r="X1617" s="75" t="str">
        <f>IF(OR(TH!N1617=TH!$X$7,O1617=TH!$X$7),"x","")</f>
        <v/>
      </c>
      <c r="Y1617" s="75" t="str">
        <f>IF(AND(OR(N1617="131",O1617="131"),H1617='131-CT'!$H$9),"x","")</f>
        <v/>
      </c>
      <c r="Z1617" s="75"/>
      <c r="AA1617" s="75" t="str">
        <f>IF(AND(MONTH(E1617)='IN-NX'!$J$5,'IN-NX'!$D$7=D1617),"x","")</f>
        <v/>
      </c>
      <c r="AB1617" s="75" t="str">
        <f>IF(AND(OR(LEFT(TH!N1617,2)="15",LEFT(TH!O1617,2)="15"),LEFT(TH!O1617,3)&lt;&gt;"111",'152-CT'!$J$8=TH!F1617),"x","")</f>
        <v/>
      </c>
      <c r="AC1617" s="75" t="str">
        <f>IF(AND(OR(LEFT(TH!N1617,2)="15",LEFT(TH!O1617,2)="15"),TK!$E$7=TH!F1617),"x","")</f>
        <v/>
      </c>
      <c r="AD1617" s="75" t="str">
        <f>IF(AND(N1617="1521",MONTH(C1617)='BK-NL'!$M$11),"x","")</f>
        <v/>
      </c>
    </row>
    <row r="1618" spans="1:30" ht="16.5" customHeight="1">
      <c r="A1618" s="309" t="str">
        <f>IF(B1618&lt;&gt;"",IF(AND(B1618='IN-TC'!$S$4,OR(TH!N1618="1111",TH!O1618="1111")),TH!D1618,""),"")</f>
        <v/>
      </c>
      <c r="B1618" s="1243">
        <f t="shared" si="401"/>
        <v>7</v>
      </c>
      <c r="C1618" s="252">
        <v>42931</v>
      </c>
      <c r="D1618" s="252" t="s">
        <v>838</v>
      </c>
      <c r="E1618" s="252">
        <f t="shared" ref="E1618" si="404">C1618</f>
        <v>42931</v>
      </c>
      <c r="F1618" s="1055" t="s">
        <v>429</v>
      </c>
      <c r="G1618" s="1056" t="s">
        <v>1750</v>
      </c>
      <c r="H1618" s="735" t="s">
        <v>759</v>
      </c>
      <c r="I1618" s="371">
        <v>105560</v>
      </c>
      <c r="J1618" s="371">
        <v>2.8</v>
      </c>
      <c r="K1618" s="371">
        <f t="shared" ref="K1618" si="405">I1618*J1618</f>
        <v>295568</v>
      </c>
      <c r="L1618" s="377">
        <v>22710</v>
      </c>
      <c r="M1618" s="933">
        <f t="shared" si="342"/>
        <v>6712349280</v>
      </c>
      <c r="N1618" s="977" t="s">
        <v>536</v>
      </c>
      <c r="O1618" s="977" t="s">
        <v>288</v>
      </c>
      <c r="P1618" s="75" t="str">
        <f>IF(AND('331-CT'!$E$7=TH!H1618,OR(N1618="331",O1618="331")),"x","")</f>
        <v/>
      </c>
      <c r="Q1618" s="75" t="str">
        <f>IF(AND(B1618='111'!$L$11,OR($N1618=$Q$7,$O1618=$Q$7)),"x","")</f>
        <v/>
      </c>
      <c r="R1618" s="75" t="str">
        <f>IF(AND($N1618=$Q$7,$B1618&lt;'111'!$L$11),"x","")</f>
        <v/>
      </c>
      <c r="S1618" s="75" t="str">
        <f>IF(AND($O1618=$Q$7,$B1618&lt;'111'!$L$11),"x","")</f>
        <v/>
      </c>
      <c r="T1618" s="75" t="str">
        <f>IF(ISERROR(FIND('112'!$M$9,G1618,1)),"",IF((AND(FIND('112'!$M$9,G1618,1)&gt;=1,B1618='112'!$K$9,OR($N1618='112'!$I$6,$O1618='112'!$I$6))),"x",""))</f>
        <v/>
      </c>
      <c r="U1618" s="75" t="str">
        <f>IF(ISERROR(FIND('112'!$M$9,G1618,1)),"",IF((AND(LEFT(G1618,2)=LEFT('112'!$M$9,2),B1618&lt;'112'!$K$9,$N1618='112'!$I$6)),"x",""))</f>
        <v/>
      </c>
      <c r="V1618" s="75" t="str">
        <f>IF(ISERROR(FIND('112'!$M$9,G1618,1)),"",IF((AND(RIGHT(G1618,2)=RIGHT('112'!$M$9,2),B1618&lt;'112'!$K$9,$O1618='112'!$I$6)),"x",""))</f>
        <v/>
      </c>
      <c r="W1618" s="75" t="str">
        <f>IF(AND('341-CT'!$H$9=H1618,OR(LEFT(N1618,3)=$W$7,LEFT(O1618,3)=$W$7)),"x","")</f>
        <v/>
      </c>
      <c r="X1618" s="75" t="str">
        <f>IF(OR(TH!N1618=TH!$X$7,O1618=TH!$X$7),"x","")</f>
        <v/>
      </c>
      <c r="Y1618" s="75" t="str">
        <f>IF(AND(OR(N1618="131",O1618="131"),H1618='131-CT'!$H$9),"x","")</f>
        <v/>
      </c>
      <c r="Z1618" s="75"/>
      <c r="AA1618" s="75" t="str">
        <f>IF(AND(MONTH(E1618)='IN-NX'!$J$5,'IN-NX'!$D$7=D1618),"x","")</f>
        <v/>
      </c>
      <c r="AB1618" s="75" t="str">
        <f>IF(AND(OR(LEFT(TH!N1618,2)="15",LEFT(TH!O1618,2)="15"),LEFT(TH!O1618,3)&lt;&gt;"111",'152-CT'!$J$8=TH!F1618),"x","")</f>
        <v/>
      </c>
      <c r="AC1618" s="75" t="str">
        <f>IF(AND(OR(LEFT(TH!N1618,2)="15",LEFT(TH!O1618,2)="15"),TK!$E$7=TH!F1618),"x","")</f>
        <v/>
      </c>
      <c r="AD1618" s="75" t="str">
        <f>IF(AND(N1618="1521",MONTH(C1618)='BK-NL'!$M$11),"x","")</f>
        <v/>
      </c>
    </row>
    <row r="1619" spans="1:30" ht="16.5" customHeight="1">
      <c r="A1619" s="309" t="str">
        <f>IF(B1619&lt;&gt;"",IF(AND(B1619='IN-TC'!$S$4,OR(TH!N1619="1111",TH!O1619="1111")),TH!D1619,""),"")</f>
        <v/>
      </c>
      <c r="B1619" s="1243">
        <f t="shared" si="401"/>
        <v>7</v>
      </c>
      <c r="C1619" s="252">
        <v>42937</v>
      </c>
      <c r="D1619" s="252" t="s">
        <v>863</v>
      </c>
      <c r="E1619" s="252">
        <f t="shared" ref="E1619:E1622" si="406">C1619</f>
        <v>42937</v>
      </c>
      <c r="F1619" s="1055" t="s">
        <v>429</v>
      </c>
      <c r="G1619" s="1056" t="s">
        <v>1751</v>
      </c>
      <c r="H1619" s="735" t="s">
        <v>759</v>
      </c>
      <c r="I1619" s="371">
        <v>158340</v>
      </c>
      <c r="J1619" s="371">
        <v>2.8</v>
      </c>
      <c r="K1619" s="371">
        <f t="shared" ref="K1619:K1622" si="407">I1619*J1619</f>
        <v>443352</v>
      </c>
      <c r="L1619" s="377">
        <v>22700</v>
      </c>
      <c r="M1619" s="933">
        <f t="shared" si="342"/>
        <v>10064090400</v>
      </c>
      <c r="N1619" s="977" t="s">
        <v>536</v>
      </c>
      <c r="O1619" s="977" t="s">
        <v>288</v>
      </c>
      <c r="P1619" s="75" t="str">
        <f>IF(AND('331-CT'!$E$7=TH!H1619,OR(N1619="331",O1619="331")),"x","")</f>
        <v/>
      </c>
      <c r="Q1619" s="75" t="str">
        <f>IF(AND(B1619='111'!$L$11,OR($N1619=$Q$7,$O1619=$Q$7)),"x","")</f>
        <v/>
      </c>
      <c r="R1619" s="75" t="str">
        <f>IF(AND($N1619=$Q$7,$B1619&lt;'111'!$L$11),"x","")</f>
        <v/>
      </c>
      <c r="S1619" s="75" t="str">
        <f>IF(AND($O1619=$Q$7,$B1619&lt;'111'!$L$11),"x","")</f>
        <v/>
      </c>
      <c r="T1619" s="75" t="str">
        <f>IF(ISERROR(FIND('112'!$M$9,G1619,1)),"",IF((AND(FIND('112'!$M$9,G1619,1)&gt;=1,B1619='112'!$K$9,OR($N1619='112'!$I$6,$O1619='112'!$I$6))),"x",""))</f>
        <v/>
      </c>
      <c r="U1619" s="75" t="str">
        <f>IF(ISERROR(FIND('112'!$M$9,G1619,1)),"",IF((AND(LEFT(G1619,2)=LEFT('112'!$M$9,2),B1619&lt;'112'!$K$9,$N1619='112'!$I$6)),"x",""))</f>
        <v/>
      </c>
      <c r="V1619" s="75" t="str">
        <f>IF(ISERROR(FIND('112'!$M$9,G1619,1)),"",IF((AND(RIGHT(G1619,2)=RIGHT('112'!$M$9,2),B1619&lt;'112'!$K$9,$O1619='112'!$I$6)),"x",""))</f>
        <v/>
      </c>
      <c r="W1619" s="75" t="str">
        <f>IF(AND('341-CT'!$H$9=H1619,OR(LEFT(N1619,3)=$W$7,LEFT(O1619,3)=$W$7)),"x","")</f>
        <v/>
      </c>
      <c r="X1619" s="75" t="str">
        <f>IF(OR(TH!N1619=TH!$X$7,O1619=TH!$X$7),"x","")</f>
        <v/>
      </c>
      <c r="Y1619" s="75" t="str">
        <f>IF(AND(OR(N1619="131",O1619="131"),H1619='131-CT'!$H$9),"x","")</f>
        <v/>
      </c>
      <c r="Z1619" s="75"/>
      <c r="AA1619" s="75" t="str">
        <f>IF(AND(MONTH(E1619)='IN-NX'!$J$5,'IN-NX'!$D$7=D1619),"x","")</f>
        <v/>
      </c>
      <c r="AB1619" s="75" t="str">
        <f>IF(AND(OR(LEFT(TH!N1619,2)="15",LEFT(TH!O1619,2)="15"),LEFT(TH!O1619,3)&lt;&gt;"111",'152-CT'!$J$8=TH!F1619),"x","")</f>
        <v/>
      </c>
      <c r="AC1619" s="75" t="str">
        <f>IF(AND(OR(LEFT(TH!N1619,2)="15",LEFT(TH!O1619,2)="15"),TK!$E$7=TH!F1619),"x","")</f>
        <v/>
      </c>
      <c r="AD1619" s="75" t="str">
        <f>IF(AND(N1619="1521",MONTH(C1619)='BK-NL'!$M$11),"x","")</f>
        <v/>
      </c>
    </row>
    <row r="1620" spans="1:30" ht="16.5" customHeight="1">
      <c r="A1620" s="309" t="str">
        <f>IF(B1620&lt;&gt;"",IF(AND(B1620='IN-TC'!$S$4,OR(TH!N1620="1111",TH!O1620="1111")),TH!D1620,""),"")</f>
        <v/>
      </c>
      <c r="B1620" s="1243">
        <f t="shared" si="401"/>
        <v>7</v>
      </c>
      <c r="C1620" s="252">
        <v>42938</v>
      </c>
      <c r="D1620" s="252" t="s">
        <v>864</v>
      </c>
      <c r="E1620" s="252">
        <f t="shared" si="406"/>
        <v>42938</v>
      </c>
      <c r="F1620" s="1055" t="s">
        <v>429</v>
      </c>
      <c r="G1620" s="1056" t="s">
        <v>1752</v>
      </c>
      <c r="H1620" s="735" t="s">
        <v>759</v>
      </c>
      <c r="I1620" s="371">
        <v>158340</v>
      </c>
      <c r="J1620" s="371">
        <v>2.8</v>
      </c>
      <c r="K1620" s="371">
        <f t="shared" si="407"/>
        <v>443352</v>
      </c>
      <c r="L1620" s="377">
        <v>22700</v>
      </c>
      <c r="M1620" s="933">
        <f t="shared" si="342"/>
        <v>10064090400</v>
      </c>
      <c r="N1620" s="977" t="s">
        <v>536</v>
      </c>
      <c r="O1620" s="977" t="s">
        <v>288</v>
      </c>
      <c r="P1620" s="75" t="str">
        <f>IF(AND('331-CT'!$E$7=TH!H1620,OR(N1620="331",O1620="331")),"x","")</f>
        <v/>
      </c>
      <c r="Q1620" s="75" t="str">
        <f>IF(AND(B1620='111'!$L$11,OR($N1620=$Q$7,$O1620=$Q$7)),"x","")</f>
        <v/>
      </c>
      <c r="R1620" s="75" t="str">
        <f>IF(AND($N1620=$Q$7,$B1620&lt;'111'!$L$11),"x","")</f>
        <v/>
      </c>
      <c r="S1620" s="75" t="str">
        <f>IF(AND($O1620=$Q$7,$B1620&lt;'111'!$L$11),"x","")</f>
        <v/>
      </c>
      <c r="T1620" s="75" t="str">
        <f>IF(ISERROR(FIND('112'!$M$9,G1620,1)),"",IF((AND(FIND('112'!$M$9,G1620,1)&gt;=1,B1620='112'!$K$9,OR($N1620='112'!$I$6,$O1620='112'!$I$6))),"x",""))</f>
        <v/>
      </c>
      <c r="U1620" s="75" t="str">
        <f>IF(ISERROR(FIND('112'!$M$9,G1620,1)),"",IF((AND(LEFT(G1620,2)=LEFT('112'!$M$9,2),B1620&lt;'112'!$K$9,$N1620='112'!$I$6)),"x",""))</f>
        <v/>
      </c>
      <c r="V1620" s="75" t="str">
        <f>IF(ISERROR(FIND('112'!$M$9,G1620,1)),"",IF((AND(RIGHT(G1620,2)=RIGHT('112'!$M$9,2),B1620&lt;'112'!$K$9,$O1620='112'!$I$6)),"x",""))</f>
        <v/>
      </c>
      <c r="W1620" s="75" t="str">
        <f>IF(AND('341-CT'!$H$9=H1620,OR(LEFT(N1620,3)=$W$7,LEFT(O1620,3)=$W$7)),"x","")</f>
        <v/>
      </c>
      <c r="X1620" s="75" t="str">
        <f>IF(OR(TH!N1620=TH!$X$7,O1620=TH!$X$7),"x","")</f>
        <v/>
      </c>
      <c r="Y1620" s="75" t="str">
        <f>IF(AND(OR(N1620="131",O1620="131"),H1620='131-CT'!$H$9),"x","")</f>
        <v/>
      </c>
      <c r="Z1620" s="75"/>
      <c r="AA1620" s="75" t="str">
        <f>IF(AND(MONTH(E1620)='IN-NX'!$J$5,'IN-NX'!$D$7=D1620),"x","")</f>
        <v/>
      </c>
      <c r="AB1620" s="75" t="str">
        <f>IF(AND(OR(LEFT(TH!N1620,2)="15",LEFT(TH!O1620,2)="15"),LEFT(TH!O1620,3)&lt;&gt;"111",'152-CT'!$J$8=TH!F1620),"x","")</f>
        <v/>
      </c>
      <c r="AC1620" s="75" t="str">
        <f>IF(AND(OR(LEFT(TH!N1620,2)="15",LEFT(TH!O1620,2)="15"),TK!$E$7=TH!F1620),"x","")</f>
        <v/>
      </c>
      <c r="AD1620" s="75" t="str">
        <f>IF(AND(N1620="1521",MONTH(C1620)='BK-NL'!$M$11),"x","")</f>
        <v/>
      </c>
    </row>
    <row r="1621" spans="1:30" ht="16.5" customHeight="1">
      <c r="A1621" s="309" t="str">
        <f>IF(B1621&lt;&gt;"",IF(AND(B1621='IN-TC'!$S$4,OR(TH!N1621="1111",TH!O1621="1111")),TH!D1621,""),"")</f>
        <v/>
      </c>
      <c r="B1621" s="1243">
        <f t="shared" si="401"/>
        <v>7</v>
      </c>
      <c r="C1621" s="252">
        <v>42943</v>
      </c>
      <c r="D1621" s="252" t="s">
        <v>894</v>
      </c>
      <c r="E1621" s="252">
        <f t="shared" si="406"/>
        <v>42943</v>
      </c>
      <c r="F1621" s="1055" t="s">
        <v>1588</v>
      </c>
      <c r="G1621" s="1056" t="s">
        <v>1756</v>
      </c>
      <c r="H1621" s="735" t="s">
        <v>822</v>
      </c>
      <c r="I1621" s="371">
        <v>5900</v>
      </c>
      <c r="J1621" s="371">
        <v>9.85</v>
      </c>
      <c r="K1621" s="371">
        <f t="shared" si="407"/>
        <v>58115</v>
      </c>
      <c r="L1621" s="377">
        <v>22700</v>
      </c>
      <c r="M1621" s="933">
        <f t="shared" si="342"/>
        <v>1319210500</v>
      </c>
      <c r="N1621" s="977" t="s">
        <v>536</v>
      </c>
      <c r="O1621" s="977" t="s">
        <v>288</v>
      </c>
      <c r="P1621" s="75" t="str">
        <f>IF(AND('331-CT'!$E$7=TH!H1621,OR(N1621="331",O1621="331")),"x","")</f>
        <v/>
      </c>
      <c r="Q1621" s="75" t="str">
        <f>IF(AND(B1621='111'!$L$11,OR($N1621=$Q$7,$O1621=$Q$7)),"x","")</f>
        <v/>
      </c>
      <c r="R1621" s="75" t="str">
        <f>IF(AND($N1621=$Q$7,$B1621&lt;'111'!$L$11),"x","")</f>
        <v/>
      </c>
      <c r="S1621" s="75" t="str">
        <f>IF(AND($O1621=$Q$7,$B1621&lt;'111'!$L$11),"x","")</f>
        <v/>
      </c>
      <c r="T1621" s="75" t="str">
        <f>IF(ISERROR(FIND('112'!$M$9,G1621,1)),"",IF((AND(FIND('112'!$M$9,G1621,1)&gt;=1,B1621='112'!$K$9,OR($N1621='112'!$I$6,$O1621='112'!$I$6))),"x",""))</f>
        <v/>
      </c>
      <c r="U1621" s="75" t="str">
        <f>IF(ISERROR(FIND('112'!$M$9,G1621,1)),"",IF((AND(LEFT(G1621,2)=LEFT('112'!$M$9,2),B1621&lt;'112'!$K$9,$N1621='112'!$I$6)),"x",""))</f>
        <v/>
      </c>
      <c r="V1621" s="75" t="str">
        <f>IF(ISERROR(FIND('112'!$M$9,G1621,1)),"",IF((AND(RIGHT(G1621,2)=RIGHT('112'!$M$9,2),B1621&lt;'112'!$K$9,$O1621='112'!$I$6)),"x",""))</f>
        <v/>
      </c>
      <c r="W1621" s="75" t="str">
        <f>IF(AND('341-CT'!$H$9=H1621,OR(LEFT(N1621,3)=$W$7,LEFT(O1621,3)=$W$7)),"x","")</f>
        <v/>
      </c>
      <c r="X1621" s="75" t="str">
        <f>IF(OR(TH!N1621=TH!$X$7,O1621=TH!$X$7),"x","")</f>
        <v/>
      </c>
      <c r="Y1621" s="75" t="str">
        <f>IF(AND(OR(N1621="131",O1621="131"),H1621='131-CT'!$H$9),"x","")</f>
        <v/>
      </c>
      <c r="Z1621" s="75"/>
      <c r="AA1621" s="75" t="str">
        <f>IF(AND(MONTH(E1621)='IN-NX'!$J$5,'IN-NX'!$D$7=D1621),"x","")</f>
        <v/>
      </c>
      <c r="AB1621" s="75" t="str">
        <f>IF(AND(OR(LEFT(TH!N1621,2)="15",LEFT(TH!O1621,2)="15"),LEFT(TH!O1621,3)&lt;&gt;"111",'152-CT'!$J$8=TH!F1621),"x","")</f>
        <v/>
      </c>
      <c r="AC1621" s="75" t="str">
        <f>IF(AND(OR(LEFT(TH!N1621,2)="15",LEFT(TH!O1621,2)="15"),TK!$E$7=TH!F1621),"x","")</f>
        <v/>
      </c>
      <c r="AD1621" s="75" t="str">
        <f>IF(AND(N1621="1521",MONTH(C1621)='BK-NL'!$M$11),"x","")</f>
        <v/>
      </c>
    </row>
    <row r="1622" spans="1:30" ht="16.5" customHeight="1">
      <c r="A1622" s="309" t="str">
        <f>IF(B1622&lt;&gt;"",IF(AND(B1622='IN-TC'!$S$4,OR(TH!N1622="1111",TH!O1622="1111")),TH!D1622,""),"")</f>
        <v/>
      </c>
      <c r="B1622" s="1243">
        <f t="shared" si="401"/>
        <v>7</v>
      </c>
      <c r="C1622" s="252">
        <v>42943</v>
      </c>
      <c r="D1622" s="252" t="s">
        <v>1404</v>
      </c>
      <c r="E1622" s="252">
        <f t="shared" si="406"/>
        <v>42943</v>
      </c>
      <c r="F1622" s="1055" t="s">
        <v>1755</v>
      </c>
      <c r="G1622" s="1056" t="s">
        <v>1757</v>
      </c>
      <c r="H1622" s="735" t="s">
        <v>1642</v>
      </c>
      <c r="I1622" s="371">
        <v>4000</v>
      </c>
      <c r="J1622" s="371">
        <v>7.95</v>
      </c>
      <c r="K1622" s="371">
        <f t="shared" si="407"/>
        <v>31800</v>
      </c>
      <c r="L1622" s="377">
        <v>22700</v>
      </c>
      <c r="M1622" s="933">
        <f t="shared" si="342"/>
        <v>721860000</v>
      </c>
      <c r="N1622" s="977" t="s">
        <v>536</v>
      </c>
      <c r="O1622" s="977" t="s">
        <v>288</v>
      </c>
      <c r="P1622" s="75" t="str">
        <f>IF(AND('331-CT'!$E$7=TH!H1622,OR(N1622="331",O1622="331")),"x","")</f>
        <v/>
      </c>
      <c r="Q1622" s="75" t="str">
        <f>IF(AND(B1622='111'!$L$11,OR($N1622=$Q$7,$O1622=$Q$7)),"x","")</f>
        <v/>
      </c>
      <c r="R1622" s="75" t="str">
        <f>IF(AND($N1622=$Q$7,$B1622&lt;'111'!$L$11),"x","")</f>
        <v/>
      </c>
      <c r="S1622" s="75" t="str">
        <f>IF(AND($O1622=$Q$7,$B1622&lt;'111'!$L$11),"x","")</f>
        <v/>
      </c>
      <c r="T1622" s="75" t="str">
        <f>IF(ISERROR(FIND('112'!$M$9,G1622,1)),"",IF((AND(FIND('112'!$M$9,G1622,1)&gt;=1,B1622='112'!$K$9,OR($N1622='112'!$I$6,$O1622='112'!$I$6))),"x",""))</f>
        <v/>
      </c>
      <c r="U1622" s="75" t="str">
        <f>IF(ISERROR(FIND('112'!$M$9,G1622,1)),"",IF((AND(LEFT(G1622,2)=LEFT('112'!$M$9,2),B1622&lt;'112'!$K$9,$N1622='112'!$I$6)),"x",""))</f>
        <v/>
      </c>
      <c r="V1622" s="75" t="str">
        <f>IF(ISERROR(FIND('112'!$M$9,G1622,1)),"",IF((AND(RIGHT(G1622,2)=RIGHT('112'!$M$9,2),B1622&lt;'112'!$K$9,$O1622='112'!$I$6)),"x",""))</f>
        <v/>
      </c>
      <c r="W1622" s="75" t="str">
        <f>IF(AND('341-CT'!$H$9=H1622,OR(LEFT(N1622,3)=$W$7,LEFT(O1622,3)=$W$7)),"x","")</f>
        <v/>
      </c>
      <c r="X1622" s="75" t="str">
        <f>IF(OR(TH!N1622=TH!$X$7,O1622=TH!$X$7),"x","")</f>
        <v/>
      </c>
      <c r="Y1622" s="75" t="str">
        <f>IF(AND(OR(N1622="131",O1622="131"),H1622='131-CT'!$H$9),"x","")</f>
        <v/>
      </c>
      <c r="Z1622" s="75"/>
      <c r="AA1622" s="75" t="str">
        <f>IF(AND(MONTH(E1622)='IN-NX'!$J$5,'IN-NX'!$D$7=D1622),"x","")</f>
        <v/>
      </c>
      <c r="AB1622" s="75" t="str">
        <f>IF(AND(OR(LEFT(TH!N1622,2)="15",LEFT(TH!O1622,2)="15"),LEFT(TH!O1622,3)&lt;&gt;"111",'152-CT'!$J$8=TH!F1622),"x","")</f>
        <v/>
      </c>
      <c r="AC1622" s="75" t="str">
        <f>IF(AND(OR(LEFT(TH!N1622,2)="15",LEFT(TH!O1622,2)="15"),TK!$E$7=TH!F1622),"x","")</f>
        <v/>
      </c>
      <c r="AD1622" s="75" t="str">
        <f>IF(AND(N1622="1521",MONTH(C1622)='BK-NL'!$M$11),"x","")</f>
        <v/>
      </c>
    </row>
    <row r="1623" spans="1:30" ht="16.5" customHeight="1">
      <c r="A1623" s="309" t="str">
        <f>IF(B1623&lt;&gt;"",IF(AND(B1623='IN-TC'!$S$4,OR(TH!N1623="1111",TH!O1623="1111")),TH!D1623,""),"")</f>
        <v/>
      </c>
      <c r="B1623" s="1243">
        <f t="shared" si="401"/>
        <v>7</v>
      </c>
      <c r="C1623" s="252">
        <v>42945</v>
      </c>
      <c r="D1623" s="252" t="s">
        <v>1405</v>
      </c>
      <c r="E1623" s="252">
        <f t="shared" ref="E1623" si="408">C1623</f>
        <v>42945</v>
      </c>
      <c r="F1623" s="1055" t="s">
        <v>429</v>
      </c>
      <c r="G1623" s="1056" t="s">
        <v>1769</v>
      </c>
      <c r="H1623" s="735" t="s">
        <v>759</v>
      </c>
      <c r="I1623" s="371">
        <v>158340</v>
      </c>
      <c r="J1623" s="371">
        <v>2.7</v>
      </c>
      <c r="K1623" s="371">
        <f t="shared" ref="K1623" si="409">I1623*J1623</f>
        <v>427518</v>
      </c>
      <c r="L1623" s="377">
        <v>22700</v>
      </c>
      <c r="M1623" s="933">
        <f t="shared" si="342"/>
        <v>9704658600</v>
      </c>
      <c r="N1623" s="977" t="s">
        <v>536</v>
      </c>
      <c r="O1623" s="977" t="s">
        <v>288</v>
      </c>
      <c r="P1623" s="75" t="str">
        <f>IF(AND('331-CT'!$E$7=TH!H1623,OR(N1623="331",O1623="331")),"x","")</f>
        <v/>
      </c>
      <c r="Q1623" s="75" t="str">
        <f>IF(AND(B1623='111'!$L$11,OR($N1623=$Q$7,$O1623=$Q$7)),"x","")</f>
        <v/>
      </c>
      <c r="R1623" s="75" t="str">
        <f>IF(AND($N1623=$Q$7,$B1623&lt;'111'!$L$11),"x","")</f>
        <v/>
      </c>
      <c r="S1623" s="75" t="str">
        <f>IF(AND($O1623=$Q$7,$B1623&lt;'111'!$L$11),"x","")</f>
        <v/>
      </c>
      <c r="T1623" s="75" t="str">
        <f>IF(ISERROR(FIND('112'!$M$9,G1623,1)),"",IF((AND(FIND('112'!$M$9,G1623,1)&gt;=1,B1623='112'!$K$9,OR($N1623='112'!$I$6,$O1623='112'!$I$6))),"x",""))</f>
        <v/>
      </c>
      <c r="U1623" s="75" t="str">
        <f>IF(ISERROR(FIND('112'!$M$9,G1623,1)),"",IF((AND(LEFT(G1623,2)=LEFT('112'!$M$9,2),B1623&lt;'112'!$K$9,$N1623='112'!$I$6)),"x",""))</f>
        <v/>
      </c>
      <c r="V1623" s="75" t="str">
        <f>IF(ISERROR(FIND('112'!$M$9,G1623,1)),"",IF((AND(RIGHT(G1623,2)=RIGHT('112'!$M$9,2),B1623&lt;'112'!$K$9,$O1623='112'!$I$6)),"x",""))</f>
        <v/>
      </c>
      <c r="W1623" s="75" t="str">
        <f>IF(AND('341-CT'!$H$9=H1623,OR(LEFT(N1623,3)=$W$7,LEFT(O1623,3)=$W$7)),"x","")</f>
        <v/>
      </c>
      <c r="X1623" s="75" t="str">
        <f>IF(OR(TH!N1623=TH!$X$7,O1623=TH!$X$7),"x","")</f>
        <v/>
      </c>
      <c r="Y1623" s="75" t="str">
        <f>IF(AND(OR(N1623="131",O1623="131"),H1623='131-CT'!$H$9),"x","")</f>
        <v/>
      </c>
      <c r="Z1623" s="75"/>
      <c r="AA1623" s="75" t="str">
        <f>IF(AND(MONTH(E1623)='IN-NX'!$J$5,'IN-NX'!$D$7=D1623),"x","")</f>
        <v/>
      </c>
      <c r="AB1623" s="75" t="str">
        <f>IF(AND(OR(LEFT(TH!N1623,2)="15",LEFT(TH!O1623,2)="15"),LEFT(TH!O1623,3)&lt;&gt;"111",'152-CT'!$J$8=TH!F1623),"x","")</f>
        <v/>
      </c>
      <c r="AC1623" s="75" t="str">
        <f>IF(AND(OR(LEFT(TH!N1623,2)="15",LEFT(TH!O1623,2)="15"),TK!$E$7=TH!F1623),"x","")</f>
        <v/>
      </c>
      <c r="AD1623" s="75" t="str">
        <f>IF(AND(N1623="1521",MONTH(C1623)='BK-NL'!$M$11),"x","")</f>
        <v/>
      </c>
    </row>
    <row r="1624" spans="1:30" ht="16.5" customHeight="1">
      <c r="A1624" s="309" t="str">
        <f>IF(B1624&lt;&gt;"",IF(AND(B1624='IN-TC'!$S$4,OR(TH!N1624="1111",TH!O1624="1111")),TH!D1624,""),"")</f>
        <v/>
      </c>
      <c r="B1624" s="1243">
        <f t="shared" si="401"/>
        <v>7</v>
      </c>
      <c r="C1624" s="252">
        <v>42946</v>
      </c>
      <c r="D1624" s="252" t="s">
        <v>1417</v>
      </c>
      <c r="E1624" s="252">
        <f t="shared" ref="E1624:E1633" si="410">C1624</f>
        <v>42946</v>
      </c>
      <c r="F1624" s="1055" t="s">
        <v>429</v>
      </c>
      <c r="G1624" s="1056" t="s">
        <v>1770</v>
      </c>
      <c r="H1624" s="735" t="s">
        <v>759</v>
      </c>
      <c r="I1624" s="371">
        <v>158340</v>
      </c>
      <c r="J1624" s="371">
        <v>2.7</v>
      </c>
      <c r="K1624" s="371">
        <f t="shared" ref="K1624" si="411">I1624*J1624</f>
        <v>427518</v>
      </c>
      <c r="L1624" s="377">
        <v>22700</v>
      </c>
      <c r="M1624" s="933">
        <f t="shared" si="342"/>
        <v>9704658600</v>
      </c>
      <c r="N1624" s="977" t="s">
        <v>536</v>
      </c>
      <c r="O1624" s="977" t="s">
        <v>288</v>
      </c>
      <c r="P1624" s="75" t="str">
        <f>IF(AND('331-CT'!$E$7=TH!H1624,OR(N1624="331",O1624="331")),"x","")</f>
        <v/>
      </c>
      <c r="Q1624" s="75" t="str">
        <f>IF(AND(B1624='111'!$L$11,OR($N1624=$Q$7,$O1624=$Q$7)),"x","")</f>
        <v/>
      </c>
      <c r="R1624" s="75" t="str">
        <f>IF(AND($N1624=$Q$7,$B1624&lt;'111'!$L$11),"x","")</f>
        <v/>
      </c>
      <c r="S1624" s="75" t="str">
        <f>IF(AND($O1624=$Q$7,$B1624&lt;'111'!$L$11),"x","")</f>
        <v/>
      </c>
      <c r="T1624" s="75" t="str">
        <f>IF(ISERROR(FIND('112'!$M$9,G1624,1)),"",IF((AND(FIND('112'!$M$9,G1624,1)&gt;=1,B1624='112'!$K$9,OR($N1624='112'!$I$6,$O1624='112'!$I$6))),"x",""))</f>
        <v/>
      </c>
      <c r="U1624" s="75" t="str">
        <f>IF(ISERROR(FIND('112'!$M$9,G1624,1)),"",IF((AND(LEFT(G1624,2)=LEFT('112'!$M$9,2),B1624&lt;'112'!$K$9,$N1624='112'!$I$6)),"x",""))</f>
        <v/>
      </c>
      <c r="V1624" s="75" t="str">
        <f>IF(ISERROR(FIND('112'!$M$9,G1624,1)),"",IF((AND(RIGHT(G1624,2)=RIGHT('112'!$M$9,2),B1624&lt;'112'!$K$9,$O1624='112'!$I$6)),"x",""))</f>
        <v/>
      </c>
      <c r="W1624" s="75" t="str">
        <f>IF(AND('341-CT'!$H$9=H1624,OR(LEFT(N1624,3)=$W$7,LEFT(O1624,3)=$W$7)),"x","")</f>
        <v/>
      </c>
      <c r="X1624" s="75" t="str">
        <f>IF(OR(TH!N1624=TH!$X$7,O1624=TH!$X$7),"x","")</f>
        <v/>
      </c>
      <c r="Y1624" s="75" t="str">
        <f>IF(AND(OR(N1624="131",O1624="131"),H1624='131-CT'!$H$9),"x","")</f>
        <v/>
      </c>
      <c r="Z1624" s="75"/>
      <c r="AA1624" s="75" t="str">
        <f>IF(AND(MONTH(E1624)='IN-NX'!$J$5,'IN-NX'!$D$7=D1624),"x","")</f>
        <v/>
      </c>
      <c r="AB1624" s="75" t="str">
        <f>IF(AND(OR(LEFT(TH!N1624,2)="15",LEFT(TH!O1624,2)="15"),LEFT(TH!O1624,3)&lt;&gt;"111",'152-CT'!$J$8=TH!F1624),"x","")</f>
        <v/>
      </c>
      <c r="AC1624" s="75" t="str">
        <f>IF(AND(OR(LEFT(TH!N1624,2)="15",LEFT(TH!O1624,2)="15"),TK!$E$7=TH!F1624),"x","")</f>
        <v/>
      </c>
      <c r="AD1624" s="75" t="str">
        <f>IF(AND(N1624="1521",MONTH(C1624)='BK-NL'!$M$11),"x","")</f>
        <v/>
      </c>
    </row>
    <row r="1625" spans="1:30" ht="16.5" customHeight="1">
      <c r="A1625" s="309" t="str">
        <f>IF(B1625&lt;&gt;"",IF(AND(B1625='IN-TC'!$S$4,OR(TH!N1625="1111",TH!O1625="1111")),TH!D1625,""),"")</f>
        <v/>
      </c>
      <c r="B1625" s="1243">
        <f t="shared" si="401"/>
        <v>7</v>
      </c>
      <c r="C1625" s="252">
        <v>42947</v>
      </c>
      <c r="D1625" s="252" t="s">
        <v>1451</v>
      </c>
      <c r="E1625" s="252">
        <f>C1625</f>
        <v>42947</v>
      </c>
      <c r="F1625" s="1055" t="s">
        <v>1621</v>
      </c>
      <c r="G1625" s="1056" t="s">
        <v>1151</v>
      </c>
      <c r="H1625" s="73" t="s">
        <v>802</v>
      </c>
      <c r="I1625" s="371">
        <v>15</v>
      </c>
      <c r="J1625" s="371">
        <v>156000</v>
      </c>
      <c r="K1625" s="371"/>
      <c r="L1625" s="377"/>
      <c r="M1625" s="933">
        <f t="shared" ref="M1625:M1633" si="412">ROUND(I1625*J1625,0)</f>
        <v>2340000</v>
      </c>
      <c r="N1625" s="977" t="s">
        <v>536</v>
      </c>
      <c r="O1625" s="977" t="s">
        <v>286</v>
      </c>
      <c r="P1625" s="75" t="str">
        <f>IF(AND('331-CT'!$E$7=TH!H1625,OR(N1625="331",O1625="331")),"x","")</f>
        <v/>
      </c>
      <c r="Q1625" s="75" t="str">
        <f>IF(AND(B1625='111'!$L$11,OR($N1625=$Q$7,$O1625=$Q$7)),"x","")</f>
        <v/>
      </c>
      <c r="R1625" s="75" t="str">
        <f>IF(AND($N1625=$Q$7,$B1625&lt;'111'!$L$11),"x","")</f>
        <v/>
      </c>
      <c r="S1625" s="75" t="str">
        <f>IF(AND($O1625=$Q$7,$B1625&lt;'111'!$L$11),"x","")</f>
        <v/>
      </c>
      <c r="T1625" s="75" t="str">
        <f>IF(ISERROR(FIND('112'!$M$9,G1625,1)),"",IF((AND(FIND('112'!$M$9,G1625,1)&gt;=1,B1625='112'!$K$9,OR($N1625='112'!$I$6,$O1625='112'!$I$6))),"x",""))</f>
        <v/>
      </c>
      <c r="U1625" s="75" t="str">
        <f>IF(ISERROR(FIND('112'!$M$9,G1625,1)),"",IF((AND(LEFT(G1625,2)=LEFT('112'!$M$9,2),B1625&lt;'112'!$K$9,$N1625='112'!$I$6)),"x",""))</f>
        <v/>
      </c>
      <c r="V1625" s="75" t="str">
        <f>IF(ISERROR(FIND('112'!$M$9,G1625,1)),"",IF((AND(RIGHT(G1625,2)=RIGHT('112'!$M$9,2),B1625&lt;'112'!$K$9,$O1625='112'!$I$6)),"x",""))</f>
        <v/>
      </c>
      <c r="W1625" s="75" t="str">
        <f>IF(AND('341-CT'!$H$9=H1625,OR(LEFT(N1625,3)=$W$7,LEFT(O1625,3)=$W$7)),"x","")</f>
        <v/>
      </c>
      <c r="X1625" s="75" t="str">
        <f>IF(OR(TH!N1625=TH!$X$7,O1625=TH!$X$7),"x","")</f>
        <v/>
      </c>
      <c r="Y1625" s="75" t="str">
        <f>IF(AND(OR(N1625="131",O1625="131"),H1625='131-CT'!$H$9),"x","")</f>
        <v/>
      </c>
      <c r="Z1625" s="75"/>
      <c r="AA1625" s="75" t="str">
        <f>IF(AND(MONTH(E1625)='IN-NX'!$J$5,'IN-NX'!$D$7=D1625),"x","")</f>
        <v/>
      </c>
      <c r="AB1625" s="75" t="str">
        <f>IF(AND(OR(LEFT(TH!N1625,2)="15",LEFT(TH!O1625,2)="15"),LEFT(TH!O1625,3)&lt;&gt;"111",'152-CT'!$J$8=TH!F1625),"x","")</f>
        <v/>
      </c>
      <c r="AC1625" s="75" t="str">
        <f>IF(AND(OR(LEFT(TH!N1625,2)="15",LEFT(TH!O1625,2)="15"),TK!$E$7=TH!F1625),"x","")</f>
        <v/>
      </c>
      <c r="AD1625" s="75" t="str">
        <f>IF(AND(N1625="1521",MONTH(C1625)='BK-NL'!$M$11),"x","")</f>
        <v/>
      </c>
    </row>
    <row r="1626" spans="1:30" ht="16.5" customHeight="1">
      <c r="A1626" s="309" t="str">
        <f>IF(B1626&lt;&gt;"",IF(AND(B1626='IN-TC'!$S$4,OR(TH!N1626="1111",TH!O1626="1111")),TH!D1626,""),"")</f>
        <v/>
      </c>
      <c r="B1626" s="1243">
        <f t="shared" si="401"/>
        <v>7</v>
      </c>
      <c r="C1626" s="252">
        <v>42947</v>
      </c>
      <c r="D1626" s="252" t="s">
        <v>1451</v>
      </c>
      <c r="E1626" s="252">
        <f t="shared" si="410"/>
        <v>42947</v>
      </c>
      <c r="F1626" s="1055" t="s">
        <v>2477</v>
      </c>
      <c r="G1626" s="1056" t="s">
        <v>1151</v>
      </c>
      <c r="H1626" s="73" t="s">
        <v>802</v>
      </c>
      <c r="I1626" s="371">
        <v>50</v>
      </c>
      <c r="J1626" s="371">
        <v>150000</v>
      </c>
      <c r="K1626" s="371"/>
      <c r="L1626" s="377"/>
      <c r="M1626" s="933">
        <f t="shared" si="412"/>
        <v>7500000</v>
      </c>
      <c r="N1626" s="977" t="s">
        <v>536</v>
      </c>
      <c r="O1626" s="977" t="s">
        <v>286</v>
      </c>
      <c r="P1626" s="75" t="str">
        <f>IF(AND('331-CT'!$E$7=TH!H1626,OR(N1626="331",O1626="331")),"x","")</f>
        <v/>
      </c>
      <c r="Q1626" s="75" t="str">
        <f>IF(AND(B1626='111'!$L$11,OR($N1626=$Q$7,$O1626=$Q$7)),"x","")</f>
        <v/>
      </c>
      <c r="R1626" s="75" t="str">
        <f>IF(AND($N1626=$Q$7,$B1626&lt;'111'!$L$11),"x","")</f>
        <v/>
      </c>
      <c r="S1626" s="75" t="str">
        <f>IF(AND($O1626=$Q$7,$B1626&lt;'111'!$L$11),"x","")</f>
        <v/>
      </c>
      <c r="T1626" s="75" t="str">
        <f>IF(ISERROR(FIND('112'!$M$9,G1626,1)),"",IF((AND(FIND('112'!$M$9,G1626,1)&gt;=1,B1626='112'!$K$9,OR($N1626='112'!$I$6,$O1626='112'!$I$6))),"x",""))</f>
        <v/>
      </c>
      <c r="U1626" s="75" t="str">
        <f>IF(ISERROR(FIND('112'!$M$9,G1626,1)),"",IF((AND(LEFT(G1626,2)=LEFT('112'!$M$9,2),B1626&lt;'112'!$K$9,$N1626='112'!$I$6)),"x",""))</f>
        <v/>
      </c>
      <c r="V1626" s="75" t="str">
        <f>IF(ISERROR(FIND('112'!$M$9,G1626,1)),"",IF((AND(RIGHT(G1626,2)=RIGHT('112'!$M$9,2),B1626&lt;'112'!$K$9,$O1626='112'!$I$6)),"x",""))</f>
        <v/>
      </c>
      <c r="W1626" s="75" t="str">
        <f>IF(AND('341-CT'!$H$9=H1626,OR(LEFT(N1626,3)=$W$7,LEFT(O1626,3)=$W$7)),"x","")</f>
        <v/>
      </c>
      <c r="X1626" s="75" t="str">
        <f>IF(OR(TH!N1626=TH!$X$7,O1626=TH!$X$7),"x","")</f>
        <v/>
      </c>
      <c r="Y1626" s="75" t="str">
        <f>IF(AND(OR(N1626="131",O1626="131"),H1626='131-CT'!$H$9),"x","")</f>
        <v/>
      </c>
      <c r="Z1626" s="75"/>
      <c r="AA1626" s="75" t="str">
        <f>IF(AND(MONTH(E1626)='IN-NX'!$J$5,'IN-NX'!$D$7=D1626),"x","")</f>
        <v/>
      </c>
      <c r="AB1626" s="75" t="str">
        <f>IF(AND(OR(LEFT(TH!N1626,2)="15",LEFT(TH!O1626,2)="15"),LEFT(TH!O1626,3)&lt;&gt;"111",'152-CT'!$J$8=TH!F1626),"x","")</f>
        <v/>
      </c>
      <c r="AC1626" s="75" t="str">
        <f>IF(AND(OR(LEFT(TH!N1626,2)="15",LEFT(TH!O1626,2)="15"),TK!$E$7=TH!F1626),"x","")</f>
        <v/>
      </c>
      <c r="AD1626" s="75" t="str">
        <f>IF(AND(N1626="1521",MONTH(C1626)='BK-NL'!$M$11),"x","")</f>
        <v/>
      </c>
    </row>
    <row r="1627" spans="1:30" ht="16.5" customHeight="1">
      <c r="A1627" s="309" t="str">
        <f>IF(B1627&lt;&gt;"",IF(AND(B1627='IN-TC'!$S$4,OR(TH!N1627="1111",TH!O1627="1111")),TH!D1627,""),"")</f>
        <v/>
      </c>
      <c r="B1627" s="1243">
        <f t="shared" si="401"/>
        <v>7</v>
      </c>
      <c r="C1627" s="252">
        <v>42947</v>
      </c>
      <c r="D1627" s="252" t="s">
        <v>1451</v>
      </c>
      <c r="E1627" s="252">
        <f>C1627</f>
        <v>42947</v>
      </c>
      <c r="F1627" s="1055" t="s">
        <v>1406</v>
      </c>
      <c r="G1627" s="1056" t="s">
        <v>1151</v>
      </c>
      <c r="H1627" s="73" t="s">
        <v>802</v>
      </c>
      <c r="I1627" s="371">
        <v>10</v>
      </c>
      <c r="J1627" s="371">
        <v>150000</v>
      </c>
      <c r="K1627" s="371"/>
      <c r="L1627" s="377"/>
      <c r="M1627" s="933">
        <f t="shared" si="412"/>
        <v>1500000</v>
      </c>
      <c r="N1627" s="977" t="s">
        <v>536</v>
      </c>
      <c r="O1627" s="977" t="s">
        <v>286</v>
      </c>
      <c r="P1627" s="75" t="str">
        <f>IF(AND('331-CT'!$E$7=TH!H1627,OR(N1627="331",O1627="331")),"x","")</f>
        <v/>
      </c>
      <c r="Q1627" s="75" t="str">
        <f>IF(AND(B1627='111'!$L$11,OR($N1627=$Q$7,$O1627=$Q$7)),"x","")</f>
        <v/>
      </c>
      <c r="R1627" s="75" t="str">
        <f>IF(AND($N1627=$Q$7,$B1627&lt;'111'!$L$11),"x","")</f>
        <v/>
      </c>
      <c r="S1627" s="75" t="str">
        <f>IF(AND($O1627=$Q$7,$B1627&lt;'111'!$L$11),"x","")</f>
        <v/>
      </c>
      <c r="T1627" s="75" t="str">
        <f>IF(ISERROR(FIND('112'!$M$9,G1627,1)),"",IF((AND(FIND('112'!$M$9,G1627,1)&gt;=1,B1627='112'!$K$9,OR($N1627='112'!$I$6,$O1627='112'!$I$6))),"x",""))</f>
        <v/>
      </c>
      <c r="U1627" s="75" t="str">
        <f>IF(ISERROR(FIND('112'!$M$9,G1627,1)),"",IF((AND(LEFT(G1627,2)=LEFT('112'!$M$9,2),B1627&lt;'112'!$K$9,$N1627='112'!$I$6)),"x",""))</f>
        <v/>
      </c>
      <c r="V1627" s="75" t="str">
        <f>IF(ISERROR(FIND('112'!$M$9,G1627,1)),"",IF((AND(RIGHT(G1627,2)=RIGHT('112'!$M$9,2),B1627&lt;'112'!$K$9,$O1627='112'!$I$6)),"x",""))</f>
        <v/>
      </c>
      <c r="W1627" s="75" t="str">
        <f>IF(AND('341-CT'!$H$9=H1627,OR(LEFT(N1627,3)=$W$7,LEFT(O1627,3)=$W$7)),"x","")</f>
        <v/>
      </c>
      <c r="X1627" s="75" t="str">
        <f>IF(OR(TH!N1627=TH!$X$7,O1627=TH!$X$7),"x","")</f>
        <v/>
      </c>
      <c r="Y1627" s="75" t="str">
        <f>IF(AND(OR(N1627="131",O1627="131"),H1627='131-CT'!$H$9),"x","")</f>
        <v/>
      </c>
      <c r="Z1627" s="75"/>
      <c r="AA1627" s="75" t="str">
        <f>IF(AND(MONTH(E1627)='IN-NX'!$J$5,'IN-NX'!$D$7=D1627),"x","")</f>
        <v/>
      </c>
      <c r="AB1627" s="75" t="str">
        <f>IF(AND(OR(LEFT(TH!N1627,2)="15",LEFT(TH!O1627,2)="15"),LEFT(TH!O1627,3)&lt;&gt;"111",'152-CT'!$J$8=TH!F1627),"x","")</f>
        <v/>
      </c>
      <c r="AC1627" s="75" t="str">
        <f>IF(AND(OR(LEFT(TH!N1627,2)="15",LEFT(TH!O1627,2)="15"),TK!$E$7=TH!F1627),"x","")</f>
        <v/>
      </c>
      <c r="AD1627" s="75" t="str">
        <f>IF(AND(N1627="1521",MONTH(C1627)='BK-NL'!$M$11),"x","")</f>
        <v/>
      </c>
    </row>
    <row r="1628" spans="1:30" ht="16.5" customHeight="1">
      <c r="A1628" s="309" t="str">
        <f>IF(B1628&lt;&gt;"",IF(AND(B1628='IN-TC'!$S$4,OR(TH!N1628="1111",TH!O1628="1111")),TH!D1628,""),"")</f>
        <v/>
      </c>
      <c r="B1628" s="1243">
        <f t="shared" si="401"/>
        <v>7</v>
      </c>
      <c r="C1628" s="252">
        <v>42947</v>
      </c>
      <c r="D1628" s="252" t="s">
        <v>1451</v>
      </c>
      <c r="E1628" s="252">
        <f>C1628</f>
        <v>42947</v>
      </c>
      <c r="F1628" s="1055" t="s">
        <v>1107</v>
      </c>
      <c r="G1628" s="1056" t="s">
        <v>1151</v>
      </c>
      <c r="H1628" s="73" t="s">
        <v>802</v>
      </c>
      <c r="I1628" s="371">
        <v>20</v>
      </c>
      <c r="J1628" s="371">
        <v>210000</v>
      </c>
      <c r="K1628" s="371"/>
      <c r="L1628" s="377"/>
      <c r="M1628" s="933">
        <f t="shared" si="412"/>
        <v>4200000</v>
      </c>
      <c r="N1628" s="977" t="s">
        <v>536</v>
      </c>
      <c r="O1628" s="977" t="s">
        <v>286</v>
      </c>
      <c r="P1628" s="75" t="str">
        <f>IF(AND('331-CT'!$E$7=TH!H1628,OR(N1628="331",O1628="331")),"x","")</f>
        <v/>
      </c>
      <c r="Q1628" s="75" t="str">
        <f>IF(AND(B1628='111'!$L$11,OR($N1628=$Q$7,$O1628=$Q$7)),"x","")</f>
        <v/>
      </c>
      <c r="R1628" s="75" t="str">
        <f>IF(AND($N1628=$Q$7,$B1628&lt;'111'!$L$11),"x","")</f>
        <v/>
      </c>
      <c r="S1628" s="75" t="str">
        <f>IF(AND($O1628=$Q$7,$B1628&lt;'111'!$L$11),"x","")</f>
        <v/>
      </c>
      <c r="T1628" s="75" t="str">
        <f>IF(ISERROR(FIND('112'!$M$9,G1628,1)),"",IF((AND(FIND('112'!$M$9,G1628,1)&gt;=1,B1628='112'!$K$9,OR($N1628='112'!$I$6,$O1628='112'!$I$6))),"x",""))</f>
        <v/>
      </c>
      <c r="U1628" s="75" t="str">
        <f>IF(ISERROR(FIND('112'!$M$9,G1628,1)),"",IF((AND(LEFT(G1628,2)=LEFT('112'!$M$9,2),B1628&lt;'112'!$K$9,$N1628='112'!$I$6)),"x",""))</f>
        <v/>
      </c>
      <c r="V1628" s="75" t="str">
        <f>IF(ISERROR(FIND('112'!$M$9,G1628,1)),"",IF((AND(RIGHT(G1628,2)=RIGHT('112'!$M$9,2),B1628&lt;'112'!$K$9,$O1628='112'!$I$6)),"x",""))</f>
        <v/>
      </c>
      <c r="W1628" s="75" t="str">
        <f>IF(AND('341-CT'!$H$9=H1628,OR(LEFT(N1628,3)=$W$7,LEFT(O1628,3)=$W$7)),"x","")</f>
        <v/>
      </c>
      <c r="X1628" s="75" t="str">
        <f>IF(OR(TH!N1628=TH!$X$7,O1628=TH!$X$7),"x","")</f>
        <v/>
      </c>
      <c r="Y1628" s="75" t="str">
        <f>IF(AND(OR(N1628="131",O1628="131"),H1628='131-CT'!$H$9),"x","")</f>
        <v/>
      </c>
      <c r="Z1628" s="75"/>
      <c r="AA1628" s="75" t="str">
        <f>IF(AND(MONTH(E1628)='IN-NX'!$J$5,'IN-NX'!$D$7=D1628),"x","")</f>
        <v/>
      </c>
      <c r="AB1628" s="75" t="str">
        <f>IF(AND(OR(LEFT(TH!N1628,2)="15",LEFT(TH!O1628,2)="15"),LEFT(TH!O1628,3)&lt;&gt;"111",'152-CT'!$J$8=TH!F1628),"x","")</f>
        <v/>
      </c>
      <c r="AC1628" s="75" t="str">
        <f>IF(AND(OR(LEFT(TH!N1628,2)="15",LEFT(TH!O1628,2)="15"),TK!$E$7=TH!F1628),"x","")</f>
        <v/>
      </c>
      <c r="AD1628" s="75" t="str">
        <f>IF(AND(N1628="1521",MONTH(C1628)='BK-NL'!$M$11),"x","")</f>
        <v/>
      </c>
    </row>
    <row r="1629" spans="1:30" ht="16.5" customHeight="1">
      <c r="A1629" s="309" t="str">
        <f>IF(B1629&lt;&gt;"",IF(AND(B1629='IN-TC'!$S$4,OR(TH!N1629="1111",TH!O1629="1111")),TH!D1629,""),"")</f>
        <v/>
      </c>
      <c r="B1629" s="1243">
        <f t="shared" si="401"/>
        <v>7</v>
      </c>
      <c r="C1629" s="252">
        <v>42947</v>
      </c>
      <c r="D1629" s="252" t="s">
        <v>1451</v>
      </c>
      <c r="E1629" s="252">
        <f t="shared" si="410"/>
        <v>42947</v>
      </c>
      <c r="F1629" s="1055" t="s">
        <v>418</v>
      </c>
      <c r="G1629" s="1056" t="s">
        <v>1151</v>
      </c>
      <c r="H1629" s="73" t="s">
        <v>802</v>
      </c>
      <c r="I1629" s="371">
        <v>20</v>
      </c>
      <c r="J1629" s="371">
        <v>100000</v>
      </c>
      <c r="K1629" s="371"/>
      <c r="L1629" s="377"/>
      <c r="M1629" s="933">
        <f t="shared" si="412"/>
        <v>2000000</v>
      </c>
      <c r="N1629" s="977" t="s">
        <v>536</v>
      </c>
      <c r="O1629" s="977" t="s">
        <v>286</v>
      </c>
      <c r="P1629" s="75" t="str">
        <f>IF(AND('331-CT'!$E$7=TH!H1629,OR(N1629="331",O1629="331")),"x","")</f>
        <v/>
      </c>
      <c r="Q1629" s="75" t="str">
        <f>IF(AND(B1629='111'!$L$11,OR($N1629=$Q$7,$O1629=$Q$7)),"x","")</f>
        <v/>
      </c>
      <c r="R1629" s="75" t="str">
        <f>IF(AND($N1629=$Q$7,$B1629&lt;'111'!$L$11),"x","")</f>
        <v/>
      </c>
      <c r="S1629" s="75" t="str">
        <f>IF(AND($O1629=$Q$7,$B1629&lt;'111'!$L$11),"x","")</f>
        <v/>
      </c>
      <c r="T1629" s="75" t="str">
        <f>IF(ISERROR(FIND('112'!$M$9,G1629,1)),"",IF((AND(FIND('112'!$M$9,G1629,1)&gt;=1,B1629='112'!$K$9,OR($N1629='112'!$I$6,$O1629='112'!$I$6))),"x",""))</f>
        <v/>
      </c>
      <c r="U1629" s="75" t="str">
        <f>IF(ISERROR(FIND('112'!$M$9,G1629,1)),"",IF((AND(LEFT(G1629,2)=LEFT('112'!$M$9,2),B1629&lt;'112'!$K$9,$N1629='112'!$I$6)),"x",""))</f>
        <v/>
      </c>
      <c r="V1629" s="75" t="str">
        <f>IF(ISERROR(FIND('112'!$M$9,G1629,1)),"",IF((AND(RIGHT(G1629,2)=RIGHT('112'!$M$9,2),B1629&lt;'112'!$K$9,$O1629='112'!$I$6)),"x",""))</f>
        <v/>
      </c>
      <c r="W1629" s="75" t="str">
        <f>IF(AND('341-CT'!$H$9=H1629,OR(LEFT(N1629,3)=$W$7,LEFT(O1629,3)=$W$7)),"x","")</f>
        <v/>
      </c>
      <c r="X1629" s="75" t="str">
        <f>IF(OR(TH!N1629=TH!$X$7,O1629=TH!$X$7),"x","")</f>
        <v/>
      </c>
      <c r="Y1629" s="75" t="str">
        <f>IF(AND(OR(N1629="131",O1629="131"),H1629='131-CT'!$H$9),"x","")</f>
        <v/>
      </c>
      <c r="Z1629" s="75"/>
      <c r="AA1629" s="75" t="str">
        <f>IF(AND(MONTH(E1629)='IN-NX'!$J$5,'IN-NX'!$D$7=D1629),"x","")</f>
        <v/>
      </c>
      <c r="AB1629" s="75" t="str">
        <f>IF(AND(OR(LEFT(TH!N1629,2)="15",LEFT(TH!O1629,2)="15"),LEFT(TH!O1629,3)&lt;&gt;"111",'152-CT'!$J$8=TH!F1629),"x","")</f>
        <v/>
      </c>
      <c r="AC1629" s="75" t="str">
        <f>IF(AND(OR(LEFT(TH!N1629,2)="15",LEFT(TH!O1629,2)="15"),TK!$E$7=TH!F1629),"x","")</f>
        <v/>
      </c>
      <c r="AD1629" s="75" t="str">
        <f>IF(AND(N1629="1521",MONTH(C1629)='BK-NL'!$M$11),"x","")</f>
        <v/>
      </c>
    </row>
    <row r="1630" spans="1:30" ht="16.5" customHeight="1">
      <c r="A1630" s="309" t="str">
        <f>IF(B1630&lt;&gt;"",IF(AND(B1630='IN-TC'!$S$4,OR(TH!N1630="1111",TH!O1630="1111")),TH!D1630,""),"")</f>
        <v/>
      </c>
      <c r="B1630" s="1243">
        <f t="shared" si="401"/>
        <v>7</v>
      </c>
      <c r="C1630" s="252">
        <v>42947</v>
      </c>
      <c r="D1630" s="252" t="s">
        <v>1451</v>
      </c>
      <c r="E1630" s="252">
        <f t="shared" si="410"/>
        <v>42947</v>
      </c>
      <c r="F1630" s="1055" t="s">
        <v>1617</v>
      </c>
      <c r="G1630" s="1056" t="s">
        <v>1151</v>
      </c>
      <c r="H1630" s="73" t="s">
        <v>802</v>
      </c>
      <c r="I1630" s="371">
        <v>20</v>
      </c>
      <c r="J1630" s="371">
        <v>700000</v>
      </c>
      <c r="K1630" s="371"/>
      <c r="L1630" s="377"/>
      <c r="M1630" s="933">
        <f t="shared" si="412"/>
        <v>14000000</v>
      </c>
      <c r="N1630" s="977" t="s">
        <v>536</v>
      </c>
      <c r="O1630" s="977" t="s">
        <v>286</v>
      </c>
      <c r="P1630" s="75" t="str">
        <f>IF(AND('331-CT'!$E$7=TH!H1630,OR(N1630="331",O1630="331")),"x","")</f>
        <v/>
      </c>
      <c r="Q1630" s="75" t="str">
        <f>IF(AND(B1630='111'!$L$11,OR($N1630=$Q$7,$O1630=$Q$7)),"x","")</f>
        <v/>
      </c>
      <c r="R1630" s="75" t="str">
        <f>IF(AND($N1630=$Q$7,$B1630&lt;'111'!$L$11),"x","")</f>
        <v/>
      </c>
      <c r="S1630" s="75" t="str">
        <f>IF(AND($O1630=$Q$7,$B1630&lt;'111'!$L$11),"x","")</f>
        <v/>
      </c>
      <c r="T1630" s="75" t="str">
        <f>IF(ISERROR(FIND('112'!$M$9,G1630,1)),"",IF((AND(FIND('112'!$M$9,G1630,1)&gt;=1,B1630='112'!$K$9,OR($N1630='112'!$I$6,$O1630='112'!$I$6))),"x",""))</f>
        <v/>
      </c>
      <c r="U1630" s="75" t="str">
        <f>IF(ISERROR(FIND('112'!$M$9,G1630,1)),"",IF((AND(LEFT(G1630,2)=LEFT('112'!$M$9,2),B1630&lt;'112'!$K$9,$N1630='112'!$I$6)),"x",""))</f>
        <v/>
      </c>
      <c r="V1630" s="75" t="str">
        <f>IF(ISERROR(FIND('112'!$M$9,G1630,1)),"",IF((AND(RIGHT(G1630,2)=RIGHT('112'!$M$9,2),B1630&lt;'112'!$K$9,$O1630='112'!$I$6)),"x",""))</f>
        <v/>
      </c>
      <c r="W1630" s="75" t="str">
        <f>IF(AND('341-CT'!$H$9=H1630,OR(LEFT(N1630,3)=$W$7,LEFT(O1630,3)=$W$7)),"x","")</f>
        <v/>
      </c>
      <c r="X1630" s="75" t="str">
        <f>IF(OR(TH!N1630=TH!$X$7,O1630=TH!$X$7),"x","")</f>
        <v/>
      </c>
      <c r="Y1630" s="75" t="str">
        <f>IF(AND(OR(N1630="131",O1630="131"),H1630='131-CT'!$H$9),"x","")</f>
        <v/>
      </c>
      <c r="Z1630" s="75"/>
      <c r="AA1630" s="75" t="str">
        <f>IF(AND(MONTH(E1630)='IN-NX'!$J$5,'IN-NX'!$D$7=D1630),"x","")</f>
        <v/>
      </c>
      <c r="AB1630" s="75" t="str">
        <f>IF(AND(OR(LEFT(TH!N1630,2)="15",LEFT(TH!O1630,2)="15"),LEFT(TH!O1630,3)&lt;&gt;"111",'152-CT'!$J$8=TH!F1630),"x","")</f>
        <v/>
      </c>
      <c r="AC1630" s="75" t="str">
        <f>IF(AND(OR(LEFT(TH!N1630,2)="15",LEFT(TH!O1630,2)="15"),TK!$E$7=TH!F1630),"x","")</f>
        <v/>
      </c>
      <c r="AD1630" s="75" t="str">
        <f>IF(AND(N1630="1521",MONTH(C1630)='BK-NL'!$M$11),"x","")</f>
        <v/>
      </c>
    </row>
    <row r="1631" spans="1:30" ht="16.5" customHeight="1">
      <c r="A1631" s="309" t="str">
        <f>IF(B1631&lt;&gt;"",IF(AND(B1631='IN-TC'!$S$4,OR(TH!N1631="1111",TH!O1631="1111")),TH!D1631,""),"")</f>
        <v/>
      </c>
      <c r="B1631" s="1243">
        <f t="shared" si="401"/>
        <v>7</v>
      </c>
      <c r="C1631" s="252">
        <v>42947</v>
      </c>
      <c r="D1631" s="252" t="s">
        <v>1451</v>
      </c>
      <c r="E1631" s="252">
        <f t="shared" si="410"/>
        <v>42947</v>
      </c>
      <c r="F1631" s="1083" t="s">
        <v>425</v>
      </c>
      <c r="G1631" s="1056" t="s">
        <v>1151</v>
      </c>
      <c r="H1631" s="73" t="s">
        <v>802</v>
      </c>
      <c r="I1631" s="371">
        <v>20</v>
      </c>
      <c r="J1631" s="371">
        <v>690000</v>
      </c>
      <c r="K1631" s="371"/>
      <c r="L1631" s="377"/>
      <c r="M1631" s="933">
        <f t="shared" si="412"/>
        <v>13800000</v>
      </c>
      <c r="N1631" s="977" t="s">
        <v>536</v>
      </c>
      <c r="O1631" s="977" t="s">
        <v>286</v>
      </c>
      <c r="P1631" s="75" t="str">
        <f>IF(AND('331-CT'!$E$7=TH!H1631,OR(N1631="331",O1631="331")),"x","")</f>
        <v/>
      </c>
      <c r="Q1631" s="75" t="str">
        <f>IF(AND(B1631='111'!$L$11,OR($N1631=$Q$7,$O1631=$Q$7)),"x","")</f>
        <v/>
      </c>
      <c r="R1631" s="75" t="str">
        <f>IF(AND($N1631=$Q$7,$B1631&lt;'111'!$L$11),"x","")</f>
        <v/>
      </c>
      <c r="S1631" s="75" t="str">
        <f>IF(AND($O1631=$Q$7,$B1631&lt;'111'!$L$11),"x","")</f>
        <v/>
      </c>
      <c r="T1631" s="75" t="str">
        <f>IF(ISERROR(FIND('112'!$M$9,G1631,1)),"",IF((AND(FIND('112'!$M$9,G1631,1)&gt;=1,B1631='112'!$K$9,OR($N1631='112'!$I$6,$O1631='112'!$I$6))),"x",""))</f>
        <v/>
      </c>
      <c r="U1631" s="75" t="str">
        <f>IF(ISERROR(FIND('112'!$M$9,G1631,1)),"",IF((AND(LEFT(G1631,2)=LEFT('112'!$M$9,2),B1631&lt;'112'!$K$9,$N1631='112'!$I$6)),"x",""))</f>
        <v/>
      </c>
      <c r="V1631" s="75" t="str">
        <f>IF(ISERROR(FIND('112'!$M$9,G1631,1)),"",IF((AND(RIGHT(G1631,2)=RIGHT('112'!$M$9,2),B1631&lt;'112'!$K$9,$O1631='112'!$I$6)),"x",""))</f>
        <v/>
      </c>
      <c r="W1631" s="75" t="str">
        <f>IF(AND('341-CT'!$H$9=H1631,OR(LEFT(N1631,3)=$W$7,LEFT(O1631,3)=$W$7)),"x","")</f>
        <v/>
      </c>
      <c r="X1631" s="75" t="str">
        <f>IF(OR(TH!N1631=TH!$X$7,O1631=TH!$X$7),"x","")</f>
        <v/>
      </c>
      <c r="Y1631" s="75" t="str">
        <f>IF(AND(OR(N1631="131",O1631="131"),H1631='131-CT'!$H$9),"x","")</f>
        <v/>
      </c>
      <c r="Z1631" s="75"/>
      <c r="AA1631" s="75" t="str">
        <f>IF(AND(MONTH(E1631)='IN-NX'!$J$5,'IN-NX'!$D$7=D1631),"x","")</f>
        <v/>
      </c>
      <c r="AB1631" s="75" t="str">
        <f>IF(AND(OR(LEFT(TH!N1631,2)="15",LEFT(TH!O1631,2)="15"),LEFT(TH!O1631,3)&lt;&gt;"111",'152-CT'!$J$8=TH!F1631),"x","")</f>
        <v/>
      </c>
      <c r="AC1631" s="75" t="str">
        <f>IF(AND(OR(LEFT(TH!N1631,2)="15",LEFT(TH!O1631,2)="15"),TK!$E$7=TH!F1631),"x","")</f>
        <v/>
      </c>
      <c r="AD1631" s="75" t="str">
        <f>IF(AND(N1631="1521",MONTH(C1631)='BK-NL'!$M$11),"x","")</f>
        <v/>
      </c>
    </row>
    <row r="1632" spans="1:30" ht="16.5" customHeight="1">
      <c r="A1632" s="309" t="str">
        <f>IF(B1632&lt;&gt;"",IF(AND(B1632='IN-TC'!$S$4,OR(TH!N1632="1111",TH!O1632="1111")),TH!D1632,""),"")</f>
        <v/>
      </c>
      <c r="B1632" s="1243">
        <f t="shared" ref="B1632:B1841" si="413">IF(C1632&lt;&gt;"",MONTH(C1632),"")</f>
        <v>7</v>
      </c>
      <c r="C1632" s="252">
        <v>42947</v>
      </c>
      <c r="D1632" s="252" t="s">
        <v>1451</v>
      </c>
      <c r="E1632" s="252">
        <f t="shared" si="410"/>
        <v>42947</v>
      </c>
      <c r="F1632" s="1055" t="s">
        <v>1618</v>
      </c>
      <c r="G1632" s="1056" t="s">
        <v>1151</v>
      </c>
      <c r="H1632" s="73" t="s">
        <v>802</v>
      </c>
      <c r="I1632" s="371">
        <v>20</v>
      </c>
      <c r="J1632" s="371">
        <v>570000</v>
      </c>
      <c r="K1632" s="371"/>
      <c r="L1632" s="377"/>
      <c r="M1632" s="933">
        <f t="shared" si="412"/>
        <v>11400000</v>
      </c>
      <c r="N1632" s="977" t="s">
        <v>536</v>
      </c>
      <c r="O1632" s="977" t="s">
        <v>286</v>
      </c>
      <c r="P1632" s="75" t="str">
        <f>IF(AND('331-CT'!$E$7=TH!H1632,OR(N1632="331",O1632="331")),"x","")</f>
        <v/>
      </c>
      <c r="Q1632" s="75" t="str">
        <f>IF(AND(B1632='111'!$L$11,OR($N1632=$Q$7,$O1632=$Q$7)),"x","")</f>
        <v/>
      </c>
      <c r="R1632" s="75" t="str">
        <f>IF(AND($N1632=$Q$7,$B1632&lt;'111'!$L$11),"x","")</f>
        <v/>
      </c>
      <c r="S1632" s="75" t="str">
        <f>IF(AND($O1632=$Q$7,$B1632&lt;'111'!$L$11),"x","")</f>
        <v/>
      </c>
      <c r="T1632" s="75" t="str">
        <f>IF(ISERROR(FIND('112'!$M$9,G1632,1)),"",IF((AND(FIND('112'!$M$9,G1632,1)&gt;=1,B1632='112'!$K$9,OR($N1632='112'!$I$6,$O1632='112'!$I$6))),"x",""))</f>
        <v/>
      </c>
      <c r="U1632" s="75" t="str">
        <f>IF(ISERROR(FIND('112'!$M$9,G1632,1)),"",IF((AND(LEFT(G1632,2)=LEFT('112'!$M$9,2),B1632&lt;'112'!$K$9,$N1632='112'!$I$6)),"x",""))</f>
        <v/>
      </c>
      <c r="V1632" s="75" t="str">
        <f>IF(ISERROR(FIND('112'!$M$9,G1632,1)),"",IF((AND(RIGHT(G1632,2)=RIGHT('112'!$M$9,2),B1632&lt;'112'!$K$9,$O1632='112'!$I$6)),"x",""))</f>
        <v/>
      </c>
      <c r="W1632" s="75" t="str">
        <f>IF(AND('341-CT'!$H$9=H1632,OR(LEFT(N1632,3)=$W$7,LEFT(O1632,3)=$W$7)),"x","")</f>
        <v/>
      </c>
      <c r="X1632" s="75" t="str">
        <f>IF(OR(TH!N1632=TH!$X$7,O1632=TH!$X$7),"x","")</f>
        <v/>
      </c>
      <c r="Y1632" s="75" t="str">
        <f>IF(AND(OR(N1632="131",O1632="131"),H1632='131-CT'!$H$9),"x","")</f>
        <v/>
      </c>
      <c r="Z1632" s="75"/>
      <c r="AA1632" s="75" t="str">
        <f>IF(AND(MONTH(E1632)='IN-NX'!$J$5,'IN-NX'!$D$7=D1632),"x","")</f>
        <v/>
      </c>
      <c r="AB1632" s="75" t="str">
        <f>IF(AND(OR(LEFT(TH!N1632,2)="15",LEFT(TH!O1632,2)="15"),LEFT(TH!O1632,3)&lt;&gt;"111",'152-CT'!$J$8=TH!F1632),"x","")</f>
        <v/>
      </c>
      <c r="AC1632" s="75" t="str">
        <f>IF(AND(OR(LEFT(TH!N1632,2)="15",LEFT(TH!O1632,2)="15"),TK!$E$7=TH!F1632),"x","")</f>
        <v/>
      </c>
      <c r="AD1632" s="75" t="str">
        <f>IF(AND(N1632="1521",MONTH(C1632)='BK-NL'!$M$11),"x","")</f>
        <v/>
      </c>
    </row>
    <row r="1633" spans="1:32" ht="16.5" customHeight="1">
      <c r="A1633" s="309" t="str">
        <f>IF(B1633&lt;&gt;"",IF(AND(B1633='IN-TC'!$S$4,OR(TH!N1633="1111",TH!O1633="1111")),TH!D1633,""),"")</f>
        <v/>
      </c>
      <c r="B1633" s="1243">
        <f t="shared" si="413"/>
        <v>7</v>
      </c>
      <c r="C1633" s="252">
        <v>42947</v>
      </c>
      <c r="D1633" s="252" t="s">
        <v>1451</v>
      </c>
      <c r="E1633" s="252">
        <f t="shared" si="410"/>
        <v>42947</v>
      </c>
      <c r="F1633" s="1055" t="s">
        <v>801</v>
      </c>
      <c r="G1633" s="1056" t="s">
        <v>1151</v>
      </c>
      <c r="H1633" s="73" t="s">
        <v>802</v>
      </c>
      <c r="I1633" s="371">
        <v>50</v>
      </c>
      <c r="J1633" s="371">
        <v>160000</v>
      </c>
      <c r="K1633" s="371"/>
      <c r="L1633" s="377"/>
      <c r="M1633" s="933">
        <f t="shared" si="412"/>
        <v>8000000</v>
      </c>
      <c r="N1633" s="977" t="s">
        <v>536</v>
      </c>
      <c r="O1633" s="977" t="s">
        <v>286</v>
      </c>
      <c r="P1633" s="75" t="str">
        <f>IF(AND('331-CT'!$E$7=TH!H1633,OR(N1633="331",O1633="331")),"x","")</f>
        <v/>
      </c>
      <c r="Q1633" s="75" t="str">
        <f>IF(AND(B1633='111'!$L$11,OR($N1633=$Q$7,$O1633=$Q$7)),"x","")</f>
        <v/>
      </c>
      <c r="R1633" s="75" t="str">
        <f>IF(AND($N1633=$Q$7,$B1633&lt;'111'!$L$11),"x","")</f>
        <v/>
      </c>
      <c r="S1633" s="75" t="str">
        <f>IF(AND($O1633=$Q$7,$B1633&lt;'111'!$L$11),"x","")</f>
        <v/>
      </c>
      <c r="T1633" s="75" t="str">
        <f>IF(ISERROR(FIND('112'!$M$9,G1633,1)),"",IF((AND(FIND('112'!$M$9,G1633,1)&gt;=1,B1633='112'!$K$9,OR($N1633='112'!$I$6,$O1633='112'!$I$6))),"x",""))</f>
        <v/>
      </c>
      <c r="U1633" s="75" t="str">
        <f>IF(ISERROR(FIND('112'!$M$9,G1633,1)),"",IF((AND(LEFT(G1633,2)=LEFT('112'!$M$9,2),B1633&lt;'112'!$K$9,$N1633='112'!$I$6)),"x",""))</f>
        <v/>
      </c>
      <c r="V1633" s="75" t="str">
        <f>IF(ISERROR(FIND('112'!$M$9,G1633,1)),"",IF((AND(RIGHT(G1633,2)=RIGHT('112'!$M$9,2),B1633&lt;'112'!$K$9,$O1633='112'!$I$6)),"x",""))</f>
        <v/>
      </c>
      <c r="W1633" s="75" t="str">
        <f>IF(AND('341-CT'!$H$9=H1633,OR(LEFT(N1633,3)=$W$7,LEFT(O1633,3)=$W$7)),"x","")</f>
        <v/>
      </c>
      <c r="X1633" s="75" t="str">
        <f>IF(OR(TH!N1633=TH!$X$7,O1633=TH!$X$7),"x","")</f>
        <v/>
      </c>
      <c r="Y1633" s="75" t="str">
        <f>IF(AND(OR(N1633="131",O1633="131"),H1633='131-CT'!$H$9),"x","")</f>
        <v/>
      </c>
      <c r="Z1633" s="75"/>
      <c r="AA1633" s="75" t="str">
        <f>IF(AND(MONTH(E1633)='IN-NX'!$J$5,'IN-NX'!$D$7=D1633),"x","")</f>
        <v/>
      </c>
      <c r="AB1633" s="75" t="str">
        <f>IF(AND(OR(LEFT(TH!N1633,2)="15",LEFT(TH!O1633,2)="15"),LEFT(TH!O1633,3)&lt;&gt;"111",'152-CT'!$J$8=TH!F1633),"x","")</f>
        <v/>
      </c>
      <c r="AC1633" s="75" t="str">
        <f>IF(AND(OR(LEFT(TH!N1633,2)="15",LEFT(TH!O1633,2)="15"),TK!$E$7=TH!F1633),"x","")</f>
        <v/>
      </c>
      <c r="AD1633" s="75" t="str">
        <f>IF(AND(N1633="1521",MONTH(C1633)='BK-NL'!$M$11),"x","")</f>
        <v/>
      </c>
    </row>
    <row r="1634" spans="1:32" ht="16.5" customHeight="1">
      <c r="A1634" s="309" t="str">
        <f>IF(B1634&lt;&gt;"",IF(AND(B1634='IN-TC'!$S$4,OR(TH!N1634="1111",TH!O1634="1111")),TH!D1634,""),"")</f>
        <v/>
      </c>
      <c r="B1634" s="1243">
        <f t="shared" si="413"/>
        <v>7</v>
      </c>
      <c r="C1634" s="252">
        <v>42947</v>
      </c>
      <c r="D1634" s="252" t="s">
        <v>1451</v>
      </c>
      <c r="E1634" s="252">
        <f t="shared" ref="E1634:E1750" si="414">C1634</f>
        <v>42947</v>
      </c>
      <c r="F1634" s="1055" t="s">
        <v>895</v>
      </c>
      <c r="G1634" s="1056" t="s">
        <v>1151</v>
      </c>
      <c r="H1634" s="73" t="s">
        <v>802</v>
      </c>
      <c r="I1634" s="371"/>
      <c r="J1634" s="371"/>
      <c r="K1634" s="371"/>
      <c r="L1634" s="377"/>
      <c r="M1634" s="371">
        <v>6474000</v>
      </c>
      <c r="N1634" s="977" t="s">
        <v>536</v>
      </c>
      <c r="O1634" s="977" t="s">
        <v>595</v>
      </c>
      <c r="P1634" s="75" t="str">
        <f>IF(AND('331-CT'!$E$7=TH!H1634,OR(N1634="331",O1634="331")),"x","")</f>
        <v/>
      </c>
      <c r="Q1634" s="75" t="str">
        <f>IF(AND(B1634='111'!$L$11,OR($N1634=$Q$7,$O1634=$Q$7)),"x","")</f>
        <v/>
      </c>
      <c r="R1634" s="75" t="str">
        <f>IF(AND($N1634=$Q$7,$B1634&lt;'111'!$L$11),"x","")</f>
        <v/>
      </c>
      <c r="S1634" s="75" t="str">
        <f>IF(AND($O1634=$Q$7,$B1634&lt;'111'!$L$11),"x","")</f>
        <v/>
      </c>
      <c r="T1634" s="75" t="str">
        <f>IF(ISERROR(FIND('112'!$M$9,G1634,1)),"",IF((AND(FIND('112'!$M$9,G1634,1)&gt;=1,B1634='112'!$K$9,OR($N1634='112'!$I$6,$O1634='112'!$I$6))),"x",""))</f>
        <v/>
      </c>
      <c r="U1634" s="75" t="str">
        <f>IF(ISERROR(FIND('112'!$M$9,G1634,1)),"",IF((AND(LEFT(G1634,2)=LEFT('112'!$M$9,2),B1634&lt;'112'!$K$9,$N1634='112'!$I$6)),"x",""))</f>
        <v/>
      </c>
      <c r="V1634" s="75" t="str">
        <f>IF(ISERROR(FIND('112'!$M$9,G1634,1)),"",IF((AND(RIGHT(G1634,2)=RIGHT('112'!$M$9,2),B1634&lt;'112'!$K$9,$O1634='112'!$I$6)),"x",""))</f>
        <v/>
      </c>
      <c r="W1634" s="75" t="str">
        <f>IF(AND('341-CT'!$H$9=H1634,OR(LEFT(N1634,3)=$W$7,LEFT(O1634,3)=$W$7)),"x","")</f>
        <v/>
      </c>
      <c r="X1634" s="75" t="str">
        <f>IF(OR(TH!N1634=TH!$X$7,O1634=TH!$X$7),"x","")</f>
        <v/>
      </c>
      <c r="Y1634" s="75" t="str">
        <f>IF(AND(OR(N1634="131",O1634="131"),H1634='131-CT'!$H$9),"x","")</f>
        <v/>
      </c>
      <c r="Z1634" s="75"/>
      <c r="AA1634" s="75" t="str">
        <f>IF(AND(MONTH(E1634)='IN-NX'!$J$5,'IN-NX'!$D$7=D1634),"x","")</f>
        <v/>
      </c>
      <c r="AB1634" s="75" t="str">
        <f>IF(AND(OR(LEFT(TH!N1634,2)="15",LEFT(TH!O1634,2)="15"),LEFT(TH!O1634,3)&lt;&gt;"111",'152-CT'!$J$8=TH!F1634),"x","")</f>
        <v/>
      </c>
      <c r="AC1634" s="75" t="str">
        <f>IF(AND(OR(LEFT(TH!N1634,2)="15",LEFT(TH!O1634,2)="15"),TK!$E$7=TH!F1634),"x","")</f>
        <v/>
      </c>
      <c r="AD1634" s="75" t="str">
        <f>IF(AND(N1634="1521",MONTH(C1634)='BK-NL'!$M$11),"x","")</f>
        <v/>
      </c>
    </row>
    <row r="1635" spans="1:32" s="1053" customFormat="1" ht="16.5" customHeight="1">
      <c r="A1635" s="309" t="str">
        <f>IF(B1635&lt;&gt;"",IF(AND(B1635='IN-TC'!$S$4,OR(TH!N1635="1111",TH!O1635="1111")),TH!D1635,""),"")</f>
        <v/>
      </c>
      <c r="B1635" s="1243">
        <f t="shared" ref="B1635:B1660" si="415">IF(C1635&lt;&gt;"",MONTH(C1635),"")</f>
        <v>7</v>
      </c>
      <c r="C1635" s="217">
        <v>42918</v>
      </c>
      <c r="D1635" s="217" t="s">
        <v>815</v>
      </c>
      <c r="E1635" s="217">
        <f>C1635</f>
        <v>42918</v>
      </c>
      <c r="F1635" s="960" t="s">
        <v>429</v>
      </c>
      <c r="G1635" s="739" t="s">
        <v>1728</v>
      </c>
      <c r="H1635" s="67" t="s">
        <v>789</v>
      </c>
      <c r="I1635" s="373">
        <v>24538</v>
      </c>
      <c r="J1635" s="373">
        <v>57000</v>
      </c>
      <c r="K1635" s="373"/>
      <c r="L1635" s="379"/>
      <c r="M1635" s="927">
        <f t="shared" ref="M1635:M1661" si="416">ROUND(I1635*J1635,0)</f>
        <v>1398666000</v>
      </c>
      <c r="N1635" s="935" t="s">
        <v>274</v>
      </c>
      <c r="O1635" s="935" t="s">
        <v>8</v>
      </c>
      <c r="P1635" s="75" t="str">
        <f>IF(AND('331-CT'!$E$7=TH!H1635,OR(N1635="331",O1635="331")),"x","")</f>
        <v/>
      </c>
      <c r="Q1635" s="75" t="str">
        <f>IF(AND(B1635='111'!$L$11,OR($N1635=$Q$7,$O1635=$Q$7)),"x","")</f>
        <v/>
      </c>
      <c r="R1635" s="75" t="str">
        <f>IF(AND($N1635=$Q$7,$B1635&lt;'111'!$L$11),"x","")</f>
        <v/>
      </c>
      <c r="S1635" s="75" t="str">
        <f>IF(AND($O1635=$Q$7,$B1635&lt;'111'!$L$11),"x","")</f>
        <v/>
      </c>
      <c r="T1635" s="75" t="str">
        <f>IF(ISERROR(FIND('112'!$M$9,G1635,1)),"",IF((AND(FIND('112'!$M$9,G1635,1)&gt;=1,B1635='112'!$K$9,OR($N1635='112'!$I$6,$O1635='112'!$I$6))),"x",""))</f>
        <v/>
      </c>
      <c r="U1635" s="75" t="str">
        <f>IF(ISERROR(FIND('112'!$M$9,G1635,1)),"",IF((AND(LEFT(G1635,2)=LEFT('112'!$M$9,2),B1635&lt;'112'!$K$9,$N1635='112'!$I$6)),"x",""))</f>
        <v/>
      </c>
      <c r="V1635" s="75" t="str">
        <f>IF(ISERROR(FIND('112'!$M$9,G1635,1)),"",IF((AND(RIGHT(G1635,2)=RIGHT('112'!$M$9,2),B1635&lt;'112'!$K$9,$O1635='112'!$I$6)),"x",""))</f>
        <v/>
      </c>
      <c r="W1635" s="75" t="str">
        <f>IF(AND('341-CT'!$H$9=H1635,OR(LEFT(N1635,3)=$W$7,LEFT(O1635,3)=$W$7)),"x","")</f>
        <v/>
      </c>
      <c r="X1635" s="75" t="str">
        <f>IF(OR(TH!N1635=TH!$X$7,O1635=TH!$X$7),"x","")</f>
        <v/>
      </c>
      <c r="Y1635" s="75" t="str">
        <f>IF(AND(OR(N1635="131",O1635="131"),H1635='131-CT'!$H$9),"x","")</f>
        <v/>
      </c>
      <c r="Z1635" s="75"/>
      <c r="AA1635" s="75" t="str">
        <f>IF(AND(MONTH(E1635)='IN-NX'!$J$5,'IN-NX'!$D$7=D1635),"x","")</f>
        <v/>
      </c>
      <c r="AB1635" s="75" t="str">
        <f>IF(AND(OR(LEFT(TH!N1635,2)="15",LEFT(TH!O1635,2)="15"),LEFT(TH!O1635,3)&lt;&gt;"111",'152-CT'!$J$8=TH!F1635),"x","")</f>
        <v/>
      </c>
      <c r="AC1635" s="75" t="str">
        <f>IF(AND(OR(LEFT(TH!N1635,2)="15",LEFT(TH!O1635,2)="15"),TK!$E$7=TH!F1635),"x","")</f>
        <v/>
      </c>
      <c r="AD1635" s="75" t="str">
        <f>IF(AND(N1635="1521",MONTH(C1635)='BK-NL'!$M$11),"x","")</f>
        <v/>
      </c>
      <c r="AF1635" s="1054"/>
    </row>
    <row r="1636" spans="1:32" s="1053" customFormat="1" ht="16.5" customHeight="1">
      <c r="A1636" s="309" t="str">
        <f>IF(B1636&lt;&gt;"",IF(AND(B1636='IN-TC'!$S$4,OR(TH!N1636="1111",TH!O1636="1111")),TH!D1636,""),"")</f>
        <v/>
      </c>
      <c r="B1636" s="1243">
        <f t="shared" si="415"/>
        <v>7</v>
      </c>
      <c r="C1636" s="217">
        <v>42919</v>
      </c>
      <c r="D1636" s="217" t="s">
        <v>997</v>
      </c>
      <c r="E1636" s="217">
        <f t="shared" ref="E1636:E1637" si="417">C1636</f>
        <v>42919</v>
      </c>
      <c r="F1636" s="960" t="s">
        <v>429</v>
      </c>
      <c r="G1636" s="739" t="s">
        <v>809</v>
      </c>
      <c r="H1636" s="67" t="s">
        <v>791</v>
      </c>
      <c r="I1636" s="373">
        <v>23996.2</v>
      </c>
      <c r="J1636" s="373">
        <v>58000</v>
      </c>
      <c r="K1636" s="373"/>
      <c r="L1636" s="379"/>
      <c r="M1636" s="927">
        <f t="shared" si="416"/>
        <v>1391779600</v>
      </c>
      <c r="N1636" s="935" t="s">
        <v>274</v>
      </c>
      <c r="O1636" s="935" t="s">
        <v>8</v>
      </c>
      <c r="P1636" s="75" t="str">
        <f>IF(AND('331-CT'!$E$7=TH!H1636,OR(N1636="331",O1636="331")),"x","")</f>
        <v/>
      </c>
      <c r="Q1636" s="75" t="str">
        <f>IF(AND(B1636='111'!$L$11,OR($N1636=$Q$7,$O1636=$Q$7)),"x","")</f>
        <v/>
      </c>
      <c r="R1636" s="75" t="str">
        <f>IF(AND($N1636=$Q$7,$B1636&lt;'111'!$L$11),"x","")</f>
        <v/>
      </c>
      <c r="S1636" s="75" t="str">
        <f>IF(AND($O1636=$Q$7,$B1636&lt;'111'!$L$11),"x","")</f>
        <v/>
      </c>
      <c r="T1636" s="75" t="str">
        <f>IF(ISERROR(FIND('112'!$M$9,G1636,1)),"",IF((AND(FIND('112'!$M$9,G1636,1)&gt;=1,B1636='112'!$K$9,OR($N1636='112'!$I$6,$O1636='112'!$I$6))),"x",""))</f>
        <v/>
      </c>
      <c r="U1636" s="75" t="str">
        <f>IF(ISERROR(FIND('112'!$M$9,G1636,1)),"",IF((AND(LEFT(G1636,2)=LEFT('112'!$M$9,2),B1636&lt;'112'!$K$9,$N1636='112'!$I$6)),"x",""))</f>
        <v/>
      </c>
      <c r="V1636" s="75" t="str">
        <f>IF(ISERROR(FIND('112'!$M$9,G1636,1)),"",IF((AND(RIGHT(G1636,2)=RIGHT('112'!$M$9,2),B1636&lt;'112'!$K$9,$O1636='112'!$I$6)),"x",""))</f>
        <v/>
      </c>
      <c r="W1636" s="75" t="str">
        <f>IF(AND('341-CT'!$H$9=H1636,OR(LEFT(N1636,3)=$W$7,LEFT(O1636,3)=$W$7)),"x","")</f>
        <v/>
      </c>
      <c r="X1636" s="75" t="str">
        <f>IF(OR(TH!N1636=TH!$X$7,O1636=TH!$X$7),"x","")</f>
        <v/>
      </c>
      <c r="Y1636" s="75" t="str">
        <f>IF(AND(OR(N1636="131",O1636="131"),H1636='131-CT'!$H$9),"x","")</f>
        <v/>
      </c>
      <c r="Z1636" s="75"/>
      <c r="AA1636" s="75" t="str">
        <f>IF(AND(MONTH(E1636)='IN-NX'!$J$5,'IN-NX'!$D$7=D1636),"x","")</f>
        <v/>
      </c>
      <c r="AB1636" s="75" t="str">
        <f>IF(AND(OR(LEFT(TH!N1636,2)="15",LEFT(TH!O1636,2)="15"),LEFT(TH!O1636,3)&lt;&gt;"111",'152-CT'!$J$8=TH!F1636),"x","")</f>
        <v/>
      </c>
      <c r="AC1636" s="75" t="str">
        <f>IF(AND(OR(LEFT(TH!N1636,2)="15",LEFT(TH!O1636,2)="15"),TK!$E$7=TH!F1636),"x","")</f>
        <v/>
      </c>
      <c r="AD1636" s="75" t="str">
        <f>IF(AND(N1636="1521",MONTH(C1636)='BK-NL'!$M$11),"x","")</f>
        <v/>
      </c>
      <c r="AF1636" s="1054"/>
    </row>
    <row r="1637" spans="1:32" s="1053" customFormat="1" ht="16.5" customHeight="1">
      <c r="A1637" s="309" t="str">
        <f>IF(B1637&lt;&gt;"",IF(AND(B1637='IN-TC'!$S$4,OR(TH!N1637="1111",TH!O1637="1111")),TH!D1637,""),"")</f>
        <v/>
      </c>
      <c r="B1637" s="1243">
        <f t="shared" si="415"/>
        <v>7</v>
      </c>
      <c r="C1637" s="217">
        <v>42919</v>
      </c>
      <c r="D1637" s="217" t="s">
        <v>999</v>
      </c>
      <c r="E1637" s="217">
        <f t="shared" si="417"/>
        <v>42919</v>
      </c>
      <c r="F1637" s="960" t="s">
        <v>429</v>
      </c>
      <c r="G1637" s="739" t="s">
        <v>1842</v>
      </c>
      <c r="H1637" s="311" t="s">
        <v>623</v>
      </c>
      <c r="I1637" s="373">
        <v>45000</v>
      </c>
      <c r="J1637" s="373">
        <v>60000</v>
      </c>
      <c r="K1637" s="373"/>
      <c r="L1637" s="379"/>
      <c r="M1637" s="927">
        <f t="shared" si="416"/>
        <v>2700000000</v>
      </c>
      <c r="N1637" s="935" t="s">
        <v>274</v>
      </c>
      <c r="O1637" s="935" t="s">
        <v>8</v>
      </c>
      <c r="P1637" s="75" t="str">
        <f>IF(AND('331-CT'!$E$7=TH!H1637,OR(N1637="331",O1637="331")),"x","")</f>
        <v/>
      </c>
      <c r="Q1637" s="75" t="str">
        <f>IF(AND(B1637='111'!$L$11,OR($N1637=$Q$7,$O1637=$Q$7)),"x","")</f>
        <v/>
      </c>
      <c r="R1637" s="75" t="str">
        <f>IF(AND($N1637=$Q$7,$B1637&lt;'111'!$L$11),"x","")</f>
        <v/>
      </c>
      <c r="S1637" s="75" t="str">
        <f>IF(AND($O1637=$Q$7,$B1637&lt;'111'!$L$11),"x","")</f>
        <v/>
      </c>
      <c r="T1637" s="75" t="str">
        <f>IF(ISERROR(FIND('112'!$M$9,G1637,1)),"",IF((AND(FIND('112'!$M$9,G1637,1)&gt;=1,B1637='112'!$K$9,OR($N1637='112'!$I$6,$O1637='112'!$I$6))),"x",""))</f>
        <v/>
      </c>
      <c r="U1637" s="75" t="str">
        <f>IF(ISERROR(FIND('112'!$M$9,G1637,1)),"",IF((AND(LEFT(G1637,2)=LEFT('112'!$M$9,2),B1637&lt;'112'!$K$9,$N1637='112'!$I$6)),"x",""))</f>
        <v/>
      </c>
      <c r="V1637" s="75" t="str">
        <f>IF(ISERROR(FIND('112'!$M$9,G1637,1)),"",IF((AND(RIGHT(G1637,2)=RIGHT('112'!$M$9,2),B1637&lt;'112'!$K$9,$O1637='112'!$I$6)),"x",""))</f>
        <v/>
      </c>
      <c r="W1637" s="75" t="str">
        <f>IF(AND('341-CT'!$H$9=H1637,OR(LEFT(N1637,3)=$W$7,LEFT(O1637,3)=$W$7)),"x","")</f>
        <v/>
      </c>
      <c r="X1637" s="75" t="str">
        <f>IF(OR(TH!N1637=TH!$X$7,O1637=TH!$X$7),"x","")</f>
        <v/>
      </c>
      <c r="Y1637" s="75" t="str">
        <f>IF(AND(OR(N1637="131",O1637="131"),H1637='131-CT'!$H$9),"x","")</f>
        <v/>
      </c>
      <c r="Z1637" s="75"/>
      <c r="AA1637" s="75" t="str">
        <f>IF(AND(MONTH(E1637)='IN-NX'!$J$5,'IN-NX'!$D$7=D1637),"x","")</f>
        <v/>
      </c>
      <c r="AB1637" s="75" t="str">
        <f>IF(AND(OR(LEFT(TH!N1637,2)="15",LEFT(TH!O1637,2)="15"),LEFT(TH!O1637,3)&lt;&gt;"111",'152-CT'!$J$8=TH!F1637),"x","")</f>
        <v/>
      </c>
      <c r="AC1637" s="75" t="str">
        <f>IF(AND(OR(LEFT(TH!N1637,2)="15",LEFT(TH!O1637,2)="15"),TK!$E$7=TH!F1637),"x","")</f>
        <v/>
      </c>
      <c r="AD1637" s="75" t="str">
        <f>IF(AND(N1637="1521",MONTH(C1637)='BK-NL'!$M$11),"x","")</f>
        <v/>
      </c>
      <c r="AF1637" s="1054"/>
    </row>
    <row r="1638" spans="1:32" s="1053" customFormat="1" ht="16.5" customHeight="1">
      <c r="A1638" s="309" t="str">
        <f>IF(B1638&lt;&gt;"",IF(AND(B1638='IN-TC'!$S$4,OR(TH!N1638="1111",TH!O1638="1111")),TH!D1638,""),"")</f>
        <v/>
      </c>
      <c r="B1638" s="1243">
        <f t="shared" si="415"/>
        <v>7</v>
      </c>
      <c r="C1638" s="217">
        <v>42921</v>
      </c>
      <c r="D1638" s="217" t="s">
        <v>1002</v>
      </c>
      <c r="E1638" s="217">
        <f>C1638</f>
        <v>42921</v>
      </c>
      <c r="F1638" s="960" t="s">
        <v>429</v>
      </c>
      <c r="G1638" s="739" t="s">
        <v>1262</v>
      </c>
      <c r="H1638" s="67" t="s">
        <v>789</v>
      </c>
      <c r="I1638" s="373">
        <v>24740.6</v>
      </c>
      <c r="J1638" s="373">
        <v>56000</v>
      </c>
      <c r="K1638" s="373"/>
      <c r="L1638" s="379"/>
      <c r="M1638" s="927">
        <f t="shared" si="416"/>
        <v>1385473600</v>
      </c>
      <c r="N1638" s="935" t="s">
        <v>274</v>
      </c>
      <c r="O1638" s="935" t="s">
        <v>8</v>
      </c>
      <c r="P1638" s="75" t="str">
        <f>IF(AND('331-CT'!$E$7=TH!H1638,OR(N1638="331",O1638="331")),"x","")</f>
        <v/>
      </c>
      <c r="Q1638" s="75" t="str">
        <f>IF(AND(B1638='111'!$L$11,OR($N1638=$Q$7,$O1638=$Q$7)),"x","")</f>
        <v/>
      </c>
      <c r="R1638" s="75" t="str">
        <f>IF(AND($N1638=$Q$7,$B1638&lt;'111'!$L$11),"x","")</f>
        <v/>
      </c>
      <c r="S1638" s="75" t="str">
        <f>IF(AND($O1638=$Q$7,$B1638&lt;'111'!$L$11),"x","")</f>
        <v/>
      </c>
      <c r="T1638" s="75" t="str">
        <f>IF(ISERROR(FIND('112'!$M$9,G1638,1)),"",IF((AND(FIND('112'!$M$9,G1638,1)&gt;=1,B1638='112'!$K$9,OR($N1638='112'!$I$6,$O1638='112'!$I$6))),"x",""))</f>
        <v/>
      </c>
      <c r="U1638" s="75" t="str">
        <f>IF(ISERROR(FIND('112'!$M$9,G1638,1)),"",IF((AND(LEFT(G1638,2)=LEFT('112'!$M$9,2),B1638&lt;'112'!$K$9,$N1638='112'!$I$6)),"x",""))</f>
        <v/>
      </c>
      <c r="V1638" s="75" t="str">
        <f>IF(ISERROR(FIND('112'!$M$9,G1638,1)),"",IF((AND(RIGHT(G1638,2)=RIGHT('112'!$M$9,2),B1638&lt;'112'!$K$9,$O1638='112'!$I$6)),"x",""))</f>
        <v/>
      </c>
      <c r="W1638" s="75" t="str">
        <f>IF(AND('341-CT'!$H$9=H1638,OR(LEFT(N1638,3)=$W$7,LEFT(O1638,3)=$W$7)),"x","")</f>
        <v/>
      </c>
      <c r="X1638" s="75" t="str">
        <f>IF(OR(TH!N1638=TH!$X$7,O1638=TH!$X$7),"x","")</f>
        <v/>
      </c>
      <c r="Y1638" s="75" t="str">
        <f>IF(AND(OR(N1638="131",O1638="131"),H1638='131-CT'!$H$9),"x","")</f>
        <v/>
      </c>
      <c r="Z1638" s="75"/>
      <c r="AA1638" s="75" t="str">
        <f>IF(AND(MONTH(E1638)='IN-NX'!$J$5,'IN-NX'!$D$7=D1638),"x","")</f>
        <v/>
      </c>
      <c r="AB1638" s="75" t="str">
        <f>IF(AND(OR(LEFT(TH!N1638,2)="15",LEFT(TH!O1638,2)="15"),LEFT(TH!O1638,3)&lt;&gt;"111",'152-CT'!$J$8=TH!F1638),"x","")</f>
        <v/>
      </c>
      <c r="AC1638" s="75" t="str">
        <f>IF(AND(OR(LEFT(TH!N1638,2)="15",LEFT(TH!O1638,2)="15"),TK!$E$7=TH!F1638),"x","")</f>
        <v/>
      </c>
      <c r="AD1638" s="75" t="str">
        <f>IF(AND(N1638="1521",MONTH(C1638)='BK-NL'!$M$11),"x","")</f>
        <v/>
      </c>
      <c r="AF1638" s="1054"/>
    </row>
    <row r="1639" spans="1:32" s="1053" customFormat="1" ht="16.5" customHeight="1">
      <c r="A1639" s="309" t="str">
        <f>IF(B1639&lt;&gt;"",IF(AND(B1639='IN-TC'!$S$4,OR(TH!N1639="1111",TH!O1639="1111")),TH!D1639,""),"")</f>
        <v/>
      </c>
      <c r="B1639" s="1243">
        <f t="shared" si="415"/>
        <v>7</v>
      </c>
      <c r="C1639" s="217">
        <v>42922</v>
      </c>
      <c r="D1639" s="217" t="s">
        <v>1084</v>
      </c>
      <c r="E1639" s="217">
        <f>C1639</f>
        <v>42922</v>
      </c>
      <c r="F1639" s="960" t="s">
        <v>429</v>
      </c>
      <c r="G1639" s="739" t="s">
        <v>1843</v>
      </c>
      <c r="H1639" s="311" t="s">
        <v>623</v>
      </c>
      <c r="I1639" s="373">
        <v>45000</v>
      </c>
      <c r="J1639" s="373">
        <v>62000</v>
      </c>
      <c r="K1639" s="373"/>
      <c r="L1639" s="379"/>
      <c r="M1639" s="927">
        <f t="shared" si="416"/>
        <v>2790000000</v>
      </c>
      <c r="N1639" s="935" t="s">
        <v>274</v>
      </c>
      <c r="O1639" s="935" t="s">
        <v>8</v>
      </c>
      <c r="P1639" s="75" t="str">
        <f>IF(AND('331-CT'!$E$7=TH!H1639,OR(N1639="331",O1639="331")),"x","")</f>
        <v/>
      </c>
      <c r="Q1639" s="75" t="str">
        <f>IF(AND(B1639='111'!$L$11,OR($N1639=$Q$7,$O1639=$Q$7)),"x","")</f>
        <v/>
      </c>
      <c r="R1639" s="75" t="str">
        <f>IF(AND($N1639=$Q$7,$B1639&lt;'111'!$L$11),"x","")</f>
        <v/>
      </c>
      <c r="S1639" s="75" t="str">
        <f>IF(AND($O1639=$Q$7,$B1639&lt;'111'!$L$11),"x","")</f>
        <v/>
      </c>
      <c r="T1639" s="75" t="str">
        <f>IF(ISERROR(FIND('112'!$M$9,G1639,1)),"",IF((AND(FIND('112'!$M$9,G1639,1)&gt;=1,B1639='112'!$K$9,OR($N1639='112'!$I$6,$O1639='112'!$I$6))),"x",""))</f>
        <v/>
      </c>
      <c r="U1639" s="75" t="str">
        <f>IF(ISERROR(FIND('112'!$M$9,G1639,1)),"",IF((AND(LEFT(G1639,2)=LEFT('112'!$M$9,2),B1639&lt;'112'!$K$9,$N1639='112'!$I$6)),"x",""))</f>
        <v/>
      </c>
      <c r="V1639" s="75" t="str">
        <f>IF(ISERROR(FIND('112'!$M$9,G1639,1)),"",IF((AND(RIGHT(G1639,2)=RIGHT('112'!$M$9,2),B1639&lt;'112'!$K$9,$O1639='112'!$I$6)),"x",""))</f>
        <v/>
      </c>
      <c r="W1639" s="75" t="str">
        <f>IF(AND('341-CT'!$H$9=H1639,OR(LEFT(N1639,3)=$W$7,LEFT(O1639,3)=$W$7)),"x","")</f>
        <v/>
      </c>
      <c r="X1639" s="75" t="str">
        <f>IF(OR(TH!N1639=TH!$X$7,O1639=TH!$X$7),"x","")</f>
        <v/>
      </c>
      <c r="Y1639" s="75" t="str">
        <f>IF(AND(OR(N1639="131",O1639="131"),H1639='131-CT'!$H$9),"x","")</f>
        <v/>
      </c>
      <c r="Z1639" s="75"/>
      <c r="AA1639" s="75" t="str">
        <f>IF(AND(MONTH(E1639)='IN-NX'!$J$5,'IN-NX'!$D$7=D1639),"x","")</f>
        <v/>
      </c>
      <c r="AB1639" s="75" t="str">
        <f>IF(AND(OR(LEFT(TH!N1639,2)="15",LEFT(TH!O1639,2)="15"),LEFT(TH!O1639,3)&lt;&gt;"111",'152-CT'!$J$8=TH!F1639),"x","")</f>
        <v/>
      </c>
      <c r="AC1639" s="75" t="str">
        <f>IF(AND(OR(LEFT(TH!N1639,2)="15",LEFT(TH!O1639,2)="15"),TK!$E$7=TH!F1639),"x","")</f>
        <v/>
      </c>
      <c r="AD1639" s="75" t="str">
        <f>IF(AND(N1639="1521",MONTH(C1639)='BK-NL'!$M$11),"x","")</f>
        <v/>
      </c>
      <c r="AF1639" s="1054"/>
    </row>
    <row r="1640" spans="1:32" s="1053" customFormat="1" ht="16.5" customHeight="1">
      <c r="A1640" s="309" t="str">
        <f>IF(B1640&lt;&gt;"",IF(AND(B1640='IN-TC'!$S$4,OR(TH!N1640="1111",TH!O1640="1111")),TH!D1640,""),"")</f>
        <v/>
      </c>
      <c r="B1640" s="1243">
        <f t="shared" si="415"/>
        <v>7</v>
      </c>
      <c r="C1640" s="217">
        <v>42923</v>
      </c>
      <c r="D1640" s="217" t="s">
        <v>1122</v>
      </c>
      <c r="E1640" s="217">
        <f>C1640</f>
        <v>42923</v>
      </c>
      <c r="F1640" s="960" t="s">
        <v>429</v>
      </c>
      <c r="G1640" s="739" t="s">
        <v>1729</v>
      </c>
      <c r="H1640" s="67" t="s">
        <v>789</v>
      </c>
      <c r="I1640" s="373">
        <v>24306.5</v>
      </c>
      <c r="J1640" s="373">
        <v>57000</v>
      </c>
      <c r="K1640" s="373"/>
      <c r="L1640" s="379"/>
      <c r="M1640" s="927">
        <f t="shared" si="416"/>
        <v>1385470500</v>
      </c>
      <c r="N1640" s="935" t="s">
        <v>274</v>
      </c>
      <c r="O1640" s="935" t="s">
        <v>8</v>
      </c>
      <c r="P1640" s="75" t="str">
        <f>IF(AND('331-CT'!$E$7=TH!H1640,OR(N1640="331",O1640="331")),"x","")</f>
        <v/>
      </c>
      <c r="Q1640" s="75" t="str">
        <f>IF(AND(B1640='111'!$L$11,OR($N1640=$Q$7,$O1640=$Q$7)),"x","")</f>
        <v/>
      </c>
      <c r="R1640" s="75" t="str">
        <f>IF(AND($N1640=$Q$7,$B1640&lt;'111'!$L$11),"x","")</f>
        <v/>
      </c>
      <c r="S1640" s="75" t="str">
        <f>IF(AND($O1640=$Q$7,$B1640&lt;'111'!$L$11),"x","")</f>
        <v/>
      </c>
      <c r="T1640" s="75" t="str">
        <f>IF(ISERROR(FIND('112'!$M$9,G1640,1)),"",IF((AND(FIND('112'!$M$9,G1640,1)&gt;=1,B1640='112'!$K$9,OR($N1640='112'!$I$6,$O1640='112'!$I$6))),"x",""))</f>
        <v/>
      </c>
      <c r="U1640" s="75" t="str">
        <f>IF(ISERROR(FIND('112'!$M$9,G1640,1)),"",IF((AND(LEFT(G1640,2)=LEFT('112'!$M$9,2),B1640&lt;'112'!$K$9,$N1640='112'!$I$6)),"x",""))</f>
        <v/>
      </c>
      <c r="V1640" s="75" t="str">
        <f>IF(ISERROR(FIND('112'!$M$9,G1640,1)),"",IF((AND(RIGHT(G1640,2)=RIGHT('112'!$M$9,2),B1640&lt;'112'!$K$9,$O1640='112'!$I$6)),"x",""))</f>
        <v/>
      </c>
      <c r="W1640" s="75" t="str">
        <f>IF(AND('341-CT'!$H$9=H1640,OR(LEFT(N1640,3)=$W$7,LEFT(O1640,3)=$W$7)),"x","")</f>
        <v/>
      </c>
      <c r="X1640" s="75" t="str">
        <f>IF(OR(TH!N1640=TH!$X$7,O1640=TH!$X$7),"x","")</f>
        <v/>
      </c>
      <c r="Y1640" s="75" t="str">
        <f>IF(AND(OR(N1640="131",O1640="131"),H1640='131-CT'!$H$9),"x","")</f>
        <v/>
      </c>
      <c r="Z1640" s="75"/>
      <c r="AA1640" s="75" t="str">
        <f>IF(AND(MONTH(E1640)='IN-NX'!$J$5,'IN-NX'!$D$7=D1640),"x","")</f>
        <v/>
      </c>
      <c r="AB1640" s="75" t="str">
        <f>IF(AND(OR(LEFT(TH!N1640,2)="15",LEFT(TH!O1640,2)="15"),LEFT(TH!O1640,3)&lt;&gt;"111",'152-CT'!$J$8=TH!F1640),"x","")</f>
        <v/>
      </c>
      <c r="AC1640" s="75" t="str">
        <f>IF(AND(OR(LEFT(TH!N1640,2)="15",LEFT(TH!O1640,2)="15"),TK!$E$7=TH!F1640),"x","")</f>
        <v/>
      </c>
      <c r="AD1640" s="75" t="str">
        <f>IF(AND(N1640="1521",MONTH(C1640)='BK-NL'!$M$11),"x","")</f>
        <v/>
      </c>
      <c r="AF1640" s="1054"/>
    </row>
    <row r="1641" spans="1:32" s="1053" customFormat="1" ht="16.5" customHeight="1">
      <c r="A1641" s="309" t="str">
        <f>IF(B1641&lt;&gt;"",IF(AND(B1641='IN-TC'!$S$4,OR(TH!N1641="1111",TH!O1641="1111")),TH!D1641,""),"")</f>
        <v/>
      </c>
      <c r="B1641" s="1243">
        <f t="shared" si="415"/>
        <v>7</v>
      </c>
      <c r="C1641" s="217">
        <v>42924</v>
      </c>
      <c r="D1641" s="217" t="s">
        <v>1123</v>
      </c>
      <c r="E1641" s="217">
        <f>C1641</f>
        <v>42924</v>
      </c>
      <c r="F1641" s="960" t="s">
        <v>429</v>
      </c>
      <c r="G1641" s="739" t="s">
        <v>1730</v>
      </c>
      <c r="H1641" s="67" t="s">
        <v>789</v>
      </c>
      <c r="I1641" s="373">
        <v>24306.5</v>
      </c>
      <c r="J1641" s="373">
        <v>57000</v>
      </c>
      <c r="K1641" s="373"/>
      <c r="L1641" s="379"/>
      <c r="M1641" s="927">
        <f t="shared" si="416"/>
        <v>1385470500</v>
      </c>
      <c r="N1641" s="935" t="s">
        <v>274</v>
      </c>
      <c r="O1641" s="935" t="s">
        <v>8</v>
      </c>
      <c r="P1641" s="75" t="str">
        <f>IF(AND('331-CT'!$E$7=TH!H1641,OR(N1641="331",O1641="331")),"x","")</f>
        <v/>
      </c>
      <c r="Q1641" s="75" t="str">
        <f>IF(AND(B1641='111'!$L$11,OR($N1641=$Q$7,$O1641=$Q$7)),"x","")</f>
        <v/>
      </c>
      <c r="R1641" s="75" t="str">
        <f>IF(AND($N1641=$Q$7,$B1641&lt;'111'!$L$11),"x","")</f>
        <v/>
      </c>
      <c r="S1641" s="75" t="str">
        <f>IF(AND($O1641=$Q$7,$B1641&lt;'111'!$L$11),"x","")</f>
        <v/>
      </c>
      <c r="T1641" s="75" t="str">
        <f>IF(ISERROR(FIND('112'!$M$9,G1641,1)),"",IF((AND(FIND('112'!$M$9,G1641,1)&gt;=1,B1641='112'!$K$9,OR($N1641='112'!$I$6,$O1641='112'!$I$6))),"x",""))</f>
        <v/>
      </c>
      <c r="U1641" s="75" t="str">
        <f>IF(ISERROR(FIND('112'!$M$9,G1641,1)),"",IF((AND(LEFT(G1641,2)=LEFT('112'!$M$9,2),B1641&lt;'112'!$K$9,$N1641='112'!$I$6)),"x",""))</f>
        <v/>
      </c>
      <c r="V1641" s="75" t="str">
        <f>IF(ISERROR(FIND('112'!$M$9,G1641,1)),"",IF((AND(RIGHT(G1641,2)=RIGHT('112'!$M$9,2),B1641&lt;'112'!$K$9,$O1641='112'!$I$6)),"x",""))</f>
        <v/>
      </c>
      <c r="W1641" s="75" t="str">
        <f>IF(AND('341-CT'!$H$9=H1641,OR(LEFT(N1641,3)=$W$7,LEFT(O1641,3)=$W$7)),"x","")</f>
        <v/>
      </c>
      <c r="X1641" s="75" t="str">
        <f>IF(OR(TH!N1641=TH!$X$7,O1641=TH!$X$7),"x","")</f>
        <v/>
      </c>
      <c r="Y1641" s="75" t="str">
        <f>IF(AND(OR(N1641="131",O1641="131"),H1641='131-CT'!$H$9),"x","")</f>
        <v/>
      </c>
      <c r="Z1641" s="75"/>
      <c r="AA1641" s="75" t="str">
        <f>IF(AND(MONTH(E1641)='IN-NX'!$J$5,'IN-NX'!$D$7=D1641),"x","")</f>
        <v/>
      </c>
      <c r="AB1641" s="75" t="str">
        <f>IF(AND(OR(LEFT(TH!N1641,2)="15",LEFT(TH!O1641,2)="15"),LEFT(TH!O1641,3)&lt;&gt;"111",'152-CT'!$J$8=TH!F1641),"x","")</f>
        <v/>
      </c>
      <c r="AC1641" s="75" t="str">
        <f>IF(AND(OR(LEFT(TH!N1641,2)="15",LEFT(TH!O1641,2)="15"),TK!$E$7=TH!F1641),"x","")</f>
        <v/>
      </c>
      <c r="AD1641" s="75" t="str">
        <f>IF(AND(N1641="1521",MONTH(C1641)='BK-NL'!$M$11),"x","")</f>
        <v/>
      </c>
      <c r="AF1641" s="1054"/>
    </row>
    <row r="1642" spans="1:32" s="1053" customFormat="1" ht="16.5" customHeight="1">
      <c r="A1642" s="309" t="str">
        <f>IF(B1642&lt;&gt;"",IF(AND(B1642='IN-TC'!$S$4,OR(TH!N1642="1111",TH!O1642="1111")),TH!D1642,""),"")</f>
        <v/>
      </c>
      <c r="B1642" s="1243">
        <f t="shared" si="415"/>
        <v>7</v>
      </c>
      <c r="C1642" s="217">
        <v>42924</v>
      </c>
      <c r="D1642" s="217" t="s">
        <v>1124</v>
      </c>
      <c r="E1642" s="217">
        <f t="shared" ref="E1642:E1643" si="418">C1642</f>
        <v>42924</v>
      </c>
      <c r="F1642" s="960" t="s">
        <v>429</v>
      </c>
      <c r="G1642" s="739" t="s">
        <v>813</v>
      </c>
      <c r="H1642" s="67" t="s">
        <v>791</v>
      </c>
      <c r="I1642" s="373">
        <v>23770.5</v>
      </c>
      <c r="J1642" s="373">
        <v>58000</v>
      </c>
      <c r="K1642" s="373"/>
      <c r="L1642" s="379"/>
      <c r="M1642" s="927">
        <f t="shared" si="416"/>
        <v>1378689000</v>
      </c>
      <c r="N1642" s="935" t="s">
        <v>274</v>
      </c>
      <c r="O1642" s="935" t="s">
        <v>8</v>
      </c>
      <c r="P1642" s="75" t="str">
        <f>IF(AND('331-CT'!$E$7=TH!H1642,OR(N1642="331",O1642="331")),"x","")</f>
        <v/>
      </c>
      <c r="Q1642" s="75" t="str">
        <f>IF(AND(B1642='111'!$L$11,OR($N1642=$Q$7,$O1642=$Q$7)),"x","")</f>
        <v/>
      </c>
      <c r="R1642" s="75" t="str">
        <f>IF(AND($N1642=$Q$7,$B1642&lt;'111'!$L$11),"x","")</f>
        <v/>
      </c>
      <c r="S1642" s="75" t="str">
        <f>IF(AND($O1642=$Q$7,$B1642&lt;'111'!$L$11),"x","")</f>
        <v/>
      </c>
      <c r="T1642" s="75" t="str">
        <f>IF(ISERROR(FIND('112'!$M$9,G1642,1)),"",IF((AND(FIND('112'!$M$9,G1642,1)&gt;=1,B1642='112'!$K$9,OR($N1642='112'!$I$6,$O1642='112'!$I$6))),"x",""))</f>
        <v/>
      </c>
      <c r="U1642" s="75" t="str">
        <f>IF(ISERROR(FIND('112'!$M$9,G1642,1)),"",IF((AND(LEFT(G1642,2)=LEFT('112'!$M$9,2),B1642&lt;'112'!$K$9,$N1642='112'!$I$6)),"x",""))</f>
        <v/>
      </c>
      <c r="V1642" s="75" t="str">
        <f>IF(ISERROR(FIND('112'!$M$9,G1642,1)),"",IF((AND(RIGHT(G1642,2)=RIGHT('112'!$M$9,2),B1642&lt;'112'!$K$9,$O1642='112'!$I$6)),"x",""))</f>
        <v/>
      </c>
      <c r="W1642" s="75" t="str">
        <f>IF(AND('341-CT'!$H$9=H1642,OR(LEFT(N1642,3)=$W$7,LEFT(O1642,3)=$W$7)),"x","")</f>
        <v/>
      </c>
      <c r="X1642" s="75" t="str">
        <f>IF(OR(TH!N1642=TH!$X$7,O1642=TH!$X$7),"x","")</f>
        <v/>
      </c>
      <c r="Y1642" s="75" t="str">
        <f>IF(AND(OR(N1642="131",O1642="131"),H1642='131-CT'!$H$9),"x","")</f>
        <v/>
      </c>
      <c r="Z1642" s="75"/>
      <c r="AA1642" s="75" t="str">
        <f>IF(AND(MONTH(E1642)='IN-NX'!$J$5,'IN-NX'!$D$7=D1642),"x","")</f>
        <v/>
      </c>
      <c r="AB1642" s="75" t="str">
        <f>IF(AND(OR(LEFT(TH!N1642,2)="15",LEFT(TH!O1642,2)="15"),LEFT(TH!O1642,3)&lt;&gt;"111",'152-CT'!$J$8=TH!F1642),"x","")</f>
        <v/>
      </c>
      <c r="AC1642" s="75" t="str">
        <f>IF(AND(OR(LEFT(TH!N1642,2)="15",LEFT(TH!O1642,2)="15"),TK!$E$7=TH!F1642),"x","")</f>
        <v/>
      </c>
      <c r="AD1642" s="75" t="str">
        <f>IF(AND(N1642="1521",MONTH(C1642)='BK-NL'!$M$11),"x","")</f>
        <v/>
      </c>
      <c r="AF1642" s="1054"/>
    </row>
    <row r="1643" spans="1:32" s="1053" customFormat="1" ht="16.5" customHeight="1">
      <c r="A1643" s="309" t="str">
        <f>IF(B1643&lt;&gt;"",IF(AND(B1643='IN-TC'!$S$4,OR(TH!N1643="1111",TH!O1643="1111")),TH!D1643,""),"")</f>
        <v/>
      </c>
      <c r="B1643" s="1243">
        <f t="shared" si="415"/>
        <v>7</v>
      </c>
      <c r="C1643" s="217">
        <v>42926</v>
      </c>
      <c r="D1643" s="217" t="s">
        <v>1125</v>
      </c>
      <c r="E1643" s="217">
        <f t="shared" si="418"/>
        <v>42926</v>
      </c>
      <c r="F1643" s="960" t="s">
        <v>429</v>
      </c>
      <c r="G1643" s="739" t="s">
        <v>1844</v>
      </c>
      <c r="H1643" s="311" t="s">
        <v>623</v>
      </c>
      <c r="I1643" s="373">
        <v>42000</v>
      </c>
      <c r="J1643" s="373">
        <v>62000</v>
      </c>
      <c r="K1643" s="373"/>
      <c r="L1643" s="379"/>
      <c r="M1643" s="927">
        <f t="shared" si="416"/>
        <v>2604000000</v>
      </c>
      <c r="N1643" s="935" t="s">
        <v>274</v>
      </c>
      <c r="O1643" s="935" t="s">
        <v>8</v>
      </c>
      <c r="P1643" s="75" t="str">
        <f>IF(AND('331-CT'!$E$7=TH!H1643,OR(N1643="331",O1643="331")),"x","")</f>
        <v/>
      </c>
      <c r="Q1643" s="75" t="str">
        <f>IF(AND(B1643='111'!$L$11,OR($N1643=$Q$7,$O1643=$Q$7)),"x","")</f>
        <v/>
      </c>
      <c r="R1643" s="75" t="str">
        <f>IF(AND($N1643=$Q$7,$B1643&lt;'111'!$L$11),"x","")</f>
        <v/>
      </c>
      <c r="S1643" s="75" t="str">
        <f>IF(AND($O1643=$Q$7,$B1643&lt;'111'!$L$11),"x","")</f>
        <v/>
      </c>
      <c r="T1643" s="75" t="str">
        <f>IF(ISERROR(FIND('112'!$M$9,G1643,1)),"",IF((AND(FIND('112'!$M$9,G1643,1)&gt;=1,B1643='112'!$K$9,OR($N1643='112'!$I$6,$O1643='112'!$I$6))),"x",""))</f>
        <v/>
      </c>
      <c r="U1643" s="75" t="str">
        <f>IF(ISERROR(FIND('112'!$M$9,G1643,1)),"",IF((AND(LEFT(G1643,2)=LEFT('112'!$M$9,2),B1643&lt;'112'!$K$9,$N1643='112'!$I$6)),"x",""))</f>
        <v/>
      </c>
      <c r="V1643" s="75" t="str">
        <f>IF(ISERROR(FIND('112'!$M$9,G1643,1)),"",IF((AND(RIGHT(G1643,2)=RIGHT('112'!$M$9,2),B1643&lt;'112'!$K$9,$O1643='112'!$I$6)),"x",""))</f>
        <v/>
      </c>
      <c r="W1643" s="75" t="str">
        <f>IF(AND('341-CT'!$H$9=H1643,OR(LEFT(N1643,3)=$W$7,LEFT(O1643,3)=$W$7)),"x","")</f>
        <v/>
      </c>
      <c r="X1643" s="75" t="str">
        <f>IF(OR(TH!N1643=TH!$X$7,O1643=TH!$X$7),"x","")</f>
        <v/>
      </c>
      <c r="Y1643" s="75" t="str">
        <f>IF(AND(OR(N1643="131",O1643="131"),H1643='131-CT'!$H$9),"x","")</f>
        <v/>
      </c>
      <c r="Z1643" s="75"/>
      <c r="AA1643" s="75" t="str">
        <f>IF(AND(MONTH(E1643)='IN-NX'!$J$5,'IN-NX'!$D$7=D1643),"x","")</f>
        <v/>
      </c>
      <c r="AB1643" s="75" t="str">
        <f>IF(AND(OR(LEFT(TH!N1643,2)="15",LEFT(TH!O1643,2)="15"),LEFT(TH!O1643,3)&lt;&gt;"111",'152-CT'!$J$8=TH!F1643),"x","")</f>
        <v/>
      </c>
      <c r="AC1643" s="75" t="str">
        <f>IF(AND(OR(LEFT(TH!N1643,2)="15",LEFT(TH!O1643,2)="15"),TK!$E$7=TH!F1643),"x","")</f>
        <v/>
      </c>
      <c r="AD1643" s="75" t="str">
        <f>IF(AND(N1643="1521",MONTH(C1643)='BK-NL'!$M$11),"x","")</f>
        <v/>
      </c>
      <c r="AF1643" s="1054"/>
    </row>
    <row r="1644" spans="1:32" s="1053" customFormat="1" ht="16.5" customHeight="1">
      <c r="A1644" s="309" t="str">
        <f>IF(B1644&lt;&gt;"",IF(AND(B1644='IN-TC'!$S$4,OR(TH!N1644="1111",TH!O1644="1111")),TH!D1644,""),"")</f>
        <v/>
      </c>
      <c r="B1644" s="1243">
        <f t="shared" si="415"/>
        <v>7</v>
      </c>
      <c r="C1644" s="217">
        <v>42927</v>
      </c>
      <c r="D1644" s="217" t="s">
        <v>1126</v>
      </c>
      <c r="E1644" s="217">
        <f>C1644</f>
        <v>42927</v>
      </c>
      <c r="F1644" s="960" t="s">
        <v>429</v>
      </c>
      <c r="G1644" s="739" t="s">
        <v>1146</v>
      </c>
      <c r="H1644" s="67" t="s">
        <v>789</v>
      </c>
      <c r="I1644" s="373">
        <v>24075.1</v>
      </c>
      <c r="J1644" s="373">
        <v>57000</v>
      </c>
      <c r="K1644" s="373"/>
      <c r="L1644" s="379"/>
      <c r="M1644" s="927">
        <f t="shared" si="416"/>
        <v>1372280700</v>
      </c>
      <c r="N1644" s="935" t="s">
        <v>274</v>
      </c>
      <c r="O1644" s="935" t="s">
        <v>8</v>
      </c>
      <c r="P1644" s="75" t="str">
        <f>IF(AND('331-CT'!$E$7=TH!H1644,OR(N1644="331",O1644="331")),"x","")</f>
        <v/>
      </c>
      <c r="Q1644" s="75" t="str">
        <f>IF(AND(B1644='111'!$L$11,OR($N1644=$Q$7,$O1644=$Q$7)),"x","")</f>
        <v/>
      </c>
      <c r="R1644" s="75" t="str">
        <f>IF(AND($N1644=$Q$7,$B1644&lt;'111'!$L$11),"x","")</f>
        <v/>
      </c>
      <c r="S1644" s="75" t="str">
        <f>IF(AND($O1644=$Q$7,$B1644&lt;'111'!$L$11),"x","")</f>
        <v/>
      </c>
      <c r="T1644" s="75" t="str">
        <f>IF(ISERROR(FIND('112'!$M$9,G1644,1)),"",IF((AND(FIND('112'!$M$9,G1644,1)&gt;=1,B1644='112'!$K$9,OR($N1644='112'!$I$6,$O1644='112'!$I$6))),"x",""))</f>
        <v/>
      </c>
      <c r="U1644" s="75" t="str">
        <f>IF(ISERROR(FIND('112'!$M$9,G1644,1)),"",IF((AND(LEFT(G1644,2)=LEFT('112'!$M$9,2),B1644&lt;'112'!$K$9,$N1644='112'!$I$6)),"x",""))</f>
        <v/>
      </c>
      <c r="V1644" s="75" t="str">
        <f>IF(ISERROR(FIND('112'!$M$9,G1644,1)),"",IF((AND(RIGHT(G1644,2)=RIGHT('112'!$M$9,2),B1644&lt;'112'!$K$9,$O1644='112'!$I$6)),"x",""))</f>
        <v/>
      </c>
      <c r="W1644" s="75" t="str">
        <f>IF(AND('341-CT'!$H$9=H1644,OR(LEFT(N1644,3)=$W$7,LEFT(O1644,3)=$W$7)),"x","")</f>
        <v/>
      </c>
      <c r="X1644" s="75" t="str">
        <f>IF(OR(TH!N1644=TH!$X$7,O1644=TH!$X$7),"x","")</f>
        <v/>
      </c>
      <c r="Y1644" s="75" t="str">
        <f>IF(AND(OR(N1644="131",O1644="131"),H1644='131-CT'!$H$9),"x","")</f>
        <v/>
      </c>
      <c r="Z1644" s="75"/>
      <c r="AA1644" s="75" t="str">
        <f>IF(AND(MONTH(E1644)='IN-NX'!$J$5,'IN-NX'!$D$7=D1644),"x","")</f>
        <v/>
      </c>
      <c r="AB1644" s="75" t="str">
        <f>IF(AND(OR(LEFT(TH!N1644,2)="15",LEFT(TH!O1644,2)="15"),LEFT(TH!O1644,3)&lt;&gt;"111",'152-CT'!$J$8=TH!F1644),"x","")</f>
        <v/>
      </c>
      <c r="AC1644" s="75" t="str">
        <f>IF(AND(OR(LEFT(TH!N1644,2)="15",LEFT(TH!O1644,2)="15"),TK!$E$7=TH!F1644),"x","")</f>
        <v/>
      </c>
      <c r="AD1644" s="75" t="str">
        <f>IF(AND(N1644="1521",MONTH(C1644)='BK-NL'!$M$11),"x","")</f>
        <v/>
      </c>
      <c r="AF1644" s="1054"/>
    </row>
    <row r="1645" spans="1:32" s="1053" customFormat="1" ht="16.5" customHeight="1">
      <c r="A1645" s="309" t="str">
        <f>IF(B1645&lt;&gt;"",IF(AND(B1645='IN-TC'!$S$4,OR(TH!N1645="1111",TH!O1645="1111")),TH!D1645,""),"")</f>
        <v/>
      </c>
      <c r="B1645" s="1243">
        <f t="shared" si="415"/>
        <v>7</v>
      </c>
      <c r="C1645" s="217">
        <v>42929</v>
      </c>
      <c r="D1645" s="217" t="s">
        <v>1127</v>
      </c>
      <c r="E1645" s="217">
        <f>C1645</f>
        <v>42929</v>
      </c>
      <c r="F1645" s="960" t="s">
        <v>429</v>
      </c>
      <c r="G1645" s="739" t="s">
        <v>1147</v>
      </c>
      <c r="H1645" s="67" t="s">
        <v>789</v>
      </c>
      <c r="I1645" s="373">
        <v>23612.1</v>
      </c>
      <c r="J1645" s="373">
        <v>57000</v>
      </c>
      <c r="K1645" s="373"/>
      <c r="L1645" s="379"/>
      <c r="M1645" s="927">
        <f t="shared" si="416"/>
        <v>1345889700</v>
      </c>
      <c r="N1645" s="935" t="s">
        <v>274</v>
      </c>
      <c r="O1645" s="935" t="s">
        <v>8</v>
      </c>
      <c r="P1645" s="75" t="str">
        <f>IF(AND('331-CT'!$E$7=TH!H1645,OR(N1645="331",O1645="331")),"x","")</f>
        <v/>
      </c>
      <c r="Q1645" s="75" t="str">
        <f>IF(AND(B1645='111'!$L$11,OR($N1645=$Q$7,$O1645=$Q$7)),"x","")</f>
        <v/>
      </c>
      <c r="R1645" s="75" t="str">
        <f>IF(AND($N1645=$Q$7,$B1645&lt;'111'!$L$11),"x","")</f>
        <v/>
      </c>
      <c r="S1645" s="75" t="str">
        <f>IF(AND($O1645=$Q$7,$B1645&lt;'111'!$L$11),"x","")</f>
        <v/>
      </c>
      <c r="T1645" s="75" t="str">
        <f>IF(ISERROR(FIND('112'!$M$9,G1645,1)),"",IF((AND(FIND('112'!$M$9,G1645,1)&gt;=1,B1645='112'!$K$9,OR($N1645='112'!$I$6,$O1645='112'!$I$6))),"x",""))</f>
        <v/>
      </c>
      <c r="U1645" s="75" t="str">
        <f>IF(ISERROR(FIND('112'!$M$9,G1645,1)),"",IF((AND(LEFT(G1645,2)=LEFT('112'!$M$9,2),B1645&lt;'112'!$K$9,$N1645='112'!$I$6)),"x",""))</f>
        <v/>
      </c>
      <c r="V1645" s="75" t="str">
        <f>IF(ISERROR(FIND('112'!$M$9,G1645,1)),"",IF((AND(RIGHT(G1645,2)=RIGHT('112'!$M$9,2),B1645&lt;'112'!$K$9,$O1645='112'!$I$6)),"x",""))</f>
        <v/>
      </c>
      <c r="W1645" s="75" t="str">
        <f>IF(AND('341-CT'!$H$9=H1645,OR(LEFT(N1645,3)=$W$7,LEFT(O1645,3)=$W$7)),"x","")</f>
        <v/>
      </c>
      <c r="X1645" s="75" t="str">
        <f>IF(OR(TH!N1645=TH!$X$7,O1645=TH!$X$7),"x","")</f>
        <v/>
      </c>
      <c r="Y1645" s="75" t="str">
        <f>IF(AND(OR(N1645="131",O1645="131"),H1645='131-CT'!$H$9),"x","")</f>
        <v/>
      </c>
      <c r="Z1645" s="75"/>
      <c r="AA1645" s="75" t="str">
        <f>IF(AND(MONTH(E1645)='IN-NX'!$J$5,'IN-NX'!$D$7=D1645),"x","")</f>
        <v/>
      </c>
      <c r="AB1645" s="75" t="str">
        <f>IF(AND(OR(LEFT(TH!N1645,2)="15",LEFT(TH!O1645,2)="15"),LEFT(TH!O1645,3)&lt;&gt;"111",'152-CT'!$J$8=TH!F1645),"x","")</f>
        <v/>
      </c>
      <c r="AC1645" s="75" t="str">
        <f>IF(AND(OR(LEFT(TH!N1645,2)="15",LEFT(TH!O1645,2)="15"),TK!$E$7=TH!F1645),"x","")</f>
        <v/>
      </c>
      <c r="AD1645" s="75" t="str">
        <f>IF(AND(N1645="1521",MONTH(C1645)='BK-NL'!$M$11),"x","")</f>
        <v/>
      </c>
      <c r="AF1645" s="1054"/>
    </row>
    <row r="1646" spans="1:32" s="1053" customFormat="1" ht="16.5" customHeight="1">
      <c r="A1646" s="309" t="str">
        <f>IF(B1646&lt;&gt;"",IF(AND(B1646='IN-TC'!$S$4,OR(TH!N1646="1111",TH!O1646="1111")),TH!D1646,""),"")</f>
        <v/>
      </c>
      <c r="B1646" s="1243">
        <f t="shared" si="415"/>
        <v>7</v>
      </c>
      <c r="C1646" s="217">
        <v>42929</v>
      </c>
      <c r="D1646" s="217" t="s">
        <v>1128</v>
      </c>
      <c r="E1646" s="217">
        <f>C1646</f>
        <v>42929</v>
      </c>
      <c r="F1646" s="960" t="s">
        <v>429</v>
      </c>
      <c r="G1646" s="739" t="s">
        <v>1845</v>
      </c>
      <c r="H1646" s="311" t="s">
        <v>623</v>
      </c>
      <c r="I1646" s="373">
        <v>45000</v>
      </c>
      <c r="J1646" s="373">
        <v>62000</v>
      </c>
      <c r="K1646" s="373"/>
      <c r="L1646" s="379"/>
      <c r="M1646" s="927">
        <f t="shared" si="416"/>
        <v>2790000000</v>
      </c>
      <c r="N1646" s="935" t="s">
        <v>274</v>
      </c>
      <c r="O1646" s="935" t="s">
        <v>8</v>
      </c>
      <c r="P1646" s="75" t="str">
        <f>IF(AND('331-CT'!$E$7=TH!H1646,OR(N1646="331",O1646="331")),"x","")</f>
        <v/>
      </c>
      <c r="Q1646" s="75" t="str">
        <f>IF(AND(B1646='111'!$L$11,OR($N1646=$Q$7,$O1646=$Q$7)),"x","")</f>
        <v/>
      </c>
      <c r="R1646" s="75" t="str">
        <f>IF(AND($N1646=$Q$7,$B1646&lt;'111'!$L$11),"x","")</f>
        <v/>
      </c>
      <c r="S1646" s="75" t="str">
        <f>IF(AND($O1646=$Q$7,$B1646&lt;'111'!$L$11),"x","")</f>
        <v/>
      </c>
      <c r="T1646" s="75" t="str">
        <f>IF(ISERROR(FIND('112'!$M$9,G1646,1)),"",IF((AND(FIND('112'!$M$9,G1646,1)&gt;=1,B1646='112'!$K$9,OR($N1646='112'!$I$6,$O1646='112'!$I$6))),"x",""))</f>
        <v/>
      </c>
      <c r="U1646" s="75" t="str">
        <f>IF(ISERROR(FIND('112'!$M$9,G1646,1)),"",IF((AND(LEFT(G1646,2)=LEFT('112'!$M$9,2),B1646&lt;'112'!$K$9,$N1646='112'!$I$6)),"x",""))</f>
        <v/>
      </c>
      <c r="V1646" s="75" t="str">
        <f>IF(ISERROR(FIND('112'!$M$9,G1646,1)),"",IF((AND(RIGHT(G1646,2)=RIGHT('112'!$M$9,2),B1646&lt;'112'!$K$9,$O1646='112'!$I$6)),"x",""))</f>
        <v/>
      </c>
      <c r="W1646" s="75" t="str">
        <f>IF(AND('341-CT'!$H$9=H1646,OR(LEFT(N1646,3)=$W$7,LEFT(O1646,3)=$W$7)),"x","")</f>
        <v/>
      </c>
      <c r="X1646" s="75" t="str">
        <f>IF(OR(TH!N1646=TH!$X$7,O1646=TH!$X$7),"x","")</f>
        <v/>
      </c>
      <c r="Y1646" s="75" t="str">
        <f>IF(AND(OR(N1646="131",O1646="131"),H1646='131-CT'!$H$9),"x","")</f>
        <v/>
      </c>
      <c r="Z1646" s="75"/>
      <c r="AA1646" s="75" t="str">
        <f>IF(AND(MONTH(E1646)='IN-NX'!$J$5,'IN-NX'!$D$7=D1646),"x","")</f>
        <v/>
      </c>
      <c r="AB1646" s="75" t="str">
        <f>IF(AND(OR(LEFT(TH!N1646,2)="15",LEFT(TH!O1646,2)="15"),LEFT(TH!O1646,3)&lt;&gt;"111",'152-CT'!$J$8=TH!F1646),"x","")</f>
        <v/>
      </c>
      <c r="AC1646" s="75" t="str">
        <f>IF(AND(OR(LEFT(TH!N1646,2)="15",LEFT(TH!O1646,2)="15"),TK!$E$7=TH!F1646),"x","")</f>
        <v/>
      </c>
      <c r="AD1646" s="75" t="str">
        <f>IF(AND(N1646="1521",MONTH(C1646)='BK-NL'!$M$11),"x","")</f>
        <v/>
      </c>
      <c r="AF1646" s="1054"/>
    </row>
    <row r="1647" spans="1:32" s="1053" customFormat="1" ht="16.5" customHeight="1">
      <c r="A1647" s="309" t="str">
        <f>IF(B1647&lt;&gt;"",IF(AND(B1647='IN-TC'!$S$4,OR(TH!N1647="1111",TH!O1647="1111")),TH!D1647,""),"")</f>
        <v/>
      </c>
      <c r="B1647" s="1243">
        <f t="shared" si="415"/>
        <v>7</v>
      </c>
      <c r="C1647" s="217">
        <v>42930</v>
      </c>
      <c r="D1647" s="217" t="s">
        <v>1805</v>
      </c>
      <c r="E1647" s="217">
        <f t="shared" ref="E1647" si="419">C1647</f>
        <v>42930</v>
      </c>
      <c r="F1647" s="960" t="s">
        <v>429</v>
      </c>
      <c r="G1647" s="739" t="s">
        <v>814</v>
      </c>
      <c r="H1647" s="67" t="s">
        <v>791</v>
      </c>
      <c r="I1647" s="373">
        <v>21302</v>
      </c>
      <c r="J1647" s="373">
        <v>58000</v>
      </c>
      <c r="K1647" s="373"/>
      <c r="L1647" s="379"/>
      <c r="M1647" s="927">
        <f t="shared" si="416"/>
        <v>1235516000</v>
      </c>
      <c r="N1647" s="935" t="s">
        <v>274</v>
      </c>
      <c r="O1647" s="935" t="s">
        <v>8</v>
      </c>
      <c r="P1647" s="75" t="str">
        <f>IF(AND('331-CT'!$E$7=TH!H1647,OR(N1647="331",O1647="331")),"x","")</f>
        <v/>
      </c>
      <c r="Q1647" s="75" t="str">
        <f>IF(AND(B1647='111'!$L$11,OR($N1647=$Q$7,$O1647=$Q$7)),"x","")</f>
        <v/>
      </c>
      <c r="R1647" s="75" t="str">
        <f>IF(AND($N1647=$Q$7,$B1647&lt;'111'!$L$11),"x","")</f>
        <v/>
      </c>
      <c r="S1647" s="75" t="str">
        <f>IF(AND($O1647=$Q$7,$B1647&lt;'111'!$L$11),"x","")</f>
        <v/>
      </c>
      <c r="T1647" s="75" t="str">
        <f>IF(ISERROR(FIND('112'!$M$9,G1647,1)),"",IF((AND(FIND('112'!$M$9,G1647,1)&gt;=1,B1647='112'!$K$9,OR($N1647='112'!$I$6,$O1647='112'!$I$6))),"x",""))</f>
        <v/>
      </c>
      <c r="U1647" s="75" t="str">
        <f>IF(ISERROR(FIND('112'!$M$9,G1647,1)),"",IF((AND(LEFT(G1647,2)=LEFT('112'!$M$9,2),B1647&lt;'112'!$K$9,$N1647='112'!$I$6)),"x",""))</f>
        <v/>
      </c>
      <c r="V1647" s="75" t="str">
        <f>IF(ISERROR(FIND('112'!$M$9,G1647,1)),"",IF((AND(RIGHT(G1647,2)=RIGHT('112'!$M$9,2),B1647&lt;'112'!$K$9,$O1647='112'!$I$6)),"x",""))</f>
        <v/>
      </c>
      <c r="W1647" s="75" t="str">
        <f>IF(AND('341-CT'!$H$9=H1647,OR(LEFT(N1647,3)=$W$7,LEFT(O1647,3)=$W$7)),"x","")</f>
        <v/>
      </c>
      <c r="X1647" s="75" t="str">
        <f>IF(OR(TH!N1647=TH!$X$7,O1647=TH!$X$7),"x","")</f>
        <v/>
      </c>
      <c r="Y1647" s="75" t="str">
        <f>IF(AND(OR(N1647="131",O1647="131"),H1647='131-CT'!$H$9),"x","")</f>
        <v/>
      </c>
      <c r="Z1647" s="75"/>
      <c r="AA1647" s="75" t="str">
        <f>IF(AND(MONTH(E1647)='IN-NX'!$J$5,'IN-NX'!$D$7=D1647),"x","")</f>
        <v/>
      </c>
      <c r="AB1647" s="75" t="str">
        <f>IF(AND(OR(LEFT(TH!N1647,2)="15",LEFT(TH!O1647,2)="15"),LEFT(TH!O1647,3)&lt;&gt;"111",'152-CT'!$J$8=TH!F1647),"x","")</f>
        <v/>
      </c>
      <c r="AC1647" s="75" t="str">
        <f>IF(AND(OR(LEFT(TH!N1647,2)="15",LEFT(TH!O1647,2)="15"),TK!$E$7=TH!F1647),"x","")</f>
        <v/>
      </c>
      <c r="AD1647" s="75" t="str">
        <f>IF(AND(N1647="1521",MONTH(C1647)='BK-NL'!$M$11),"x","")</f>
        <v/>
      </c>
      <c r="AF1647" s="1054"/>
    </row>
    <row r="1648" spans="1:32" s="1053" customFormat="1" ht="16.5" customHeight="1">
      <c r="A1648" s="309" t="str">
        <f>IF(B1648&lt;&gt;"",IF(AND(B1648='IN-TC'!$S$4,OR(TH!N1648="1111",TH!O1648="1111")),TH!D1648,""),"")</f>
        <v/>
      </c>
      <c r="B1648" s="1243">
        <f t="shared" si="415"/>
        <v>7</v>
      </c>
      <c r="C1648" s="217">
        <v>42930</v>
      </c>
      <c r="D1648" s="217" t="s">
        <v>1805</v>
      </c>
      <c r="E1648" s="217">
        <f t="shared" ref="E1648" si="420">C1648</f>
        <v>42930</v>
      </c>
      <c r="F1648" s="960" t="s">
        <v>429</v>
      </c>
      <c r="G1648" s="739" t="s">
        <v>1732</v>
      </c>
      <c r="H1648" s="67" t="s">
        <v>791</v>
      </c>
      <c r="I1648" s="373">
        <v>23205</v>
      </c>
      <c r="J1648" s="373">
        <v>58000</v>
      </c>
      <c r="K1648" s="373"/>
      <c r="L1648" s="379"/>
      <c r="M1648" s="927">
        <f t="shared" si="416"/>
        <v>1345890000</v>
      </c>
      <c r="N1648" s="935" t="s">
        <v>274</v>
      </c>
      <c r="O1648" s="935" t="s">
        <v>8</v>
      </c>
      <c r="P1648" s="75" t="str">
        <f>IF(AND('331-CT'!$E$7=TH!H1648,OR(N1648="331",O1648="331")),"x","")</f>
        <v/>
      </c>
      <c r="Q1648" s="75" t="str">
        <f>IF(AND(B1648='111'!$L$11,OR($N1648=$Q$7,$O1648=$Q$7)),"x","")</f>
        <v/>
      </c>
      <c r="R1648" s="75" t="str">
        <f>IF(AND($N1648=$Q$7,$B1648&lt;'111'!$L$11),"x","")</f>
        <v/>
      </c>
      <c r="S1648" s="75" t="str">
        <f>IF(AND($O1648=$Q$7,$B1648&lt;'111'!$L$11),"x","")</f>
        <v/>
      </c>
      <c r="T1648" s="75" t="str">
        <f>IF(ISERROR(FIND('112'!$M$9,G1648,1)),"",IF((AND(FIND('112'!$M$9,G1648,1)&gt;=1,B1648='112'!$K$9,OR($N1648='112'!$I$6,$O1648='112'!$I$6))),"x",""))</f>
        <v/>
      </c>
      <c r="U1648" s="75" t="str">
        <f>IF(ISERROR(FIND('112'!$M$9,G1648,1)),"",IF((AND(LEFT(G1648,2)=LEFT('112'!$M$9,2),B1648&lt;'112'!$K$9,$N1648='112'!$I$6)),"x",""))</f>
        <v/>
      </c>
      <c r="V1648" s="75" t="str">
        <f>IF(ISERROR(FIND('112'!$M$9,G1648,1)),"",IF((AND(RIGHT(G1648,2)=RIGHT('112'!$M$9,2),B1648&lt;'112'!$K$9,$O1648='112'!$I$6)),"x",""))</f>
        <v/>
      </c>
      <c r="W1648" s="75" t="str">
        <f>IF(AND('341-CT'!$H$9=H1648,OR(LEFT(N1648,3)=$W$7,LEFT(O1648,3)=$W$7)),"x","")</f>
        <v/>
      </c>
      <c r="X1648" s="75" t="str">
        <f>IF(OR(TH!N1648=TH!$X$7,O1648=TH!$X$7),"x","")</f>
        <v/>
      </c>
      <c r="Y1648" s="75" t="str">
        <f>IF(AND(OR(N1648="131",O1648="131"),H1648='131-CT'!$H$9),"x","")</f>
        <v/>
      </c>
      <c r="Z1648" s="75"/>
      <c r="AA1648" s="75" t="str">
        <f>IF(AND(MONTH(E1648)='IN-NX'!$J$5,'IN-NX'!$D$7=D1648),"x","")</f>
        <v/>
      </c>
      <c r="AB1648" s="75" t="str">
        <f>IF(AND(OR(LEFT(TH!N1648,2)="15",LEFT(TH!O1648,2)="15"),LEFT(TH!O1648,3)&lt;&gt;"111",'152-CT'!$J$8=TH!F1648),"x","")</f>
        <v/>
      </c>
      <c r="AC1648" s="75" t="str">
        <f>IF(AND(OR(LEFT(TH!N1648,2)="15",LEFT(TH!O1648,2)="15"),TK!$E$7=TH!F1648),"x","")</f>
        <v/>
      </c>
      <c r="AD1648" s="75" t="str">
        <f>IF(AND(N1648="1521",MONTH(C1648)='BK-NL'!$M$11),"x","")</f>
        <v/>
      </c>
      <c r="AF1648" s="1054"/>
    </row>
    <row r="1649" spans="1:32" s="1053" customFormat="1" ht="16.5" customHeight="1">
      <c r="A1649" s="309" t="str">
        <f>IF(B1649&lt;&gt;"",IF(AND(B1649='IN-TC'!$S$4,OR(TH!N1649="1111",TH!O1649="1111")),TH!D1649,""),"")</f>
        <v/>
      </c>
      <c r="B1649" s="1243">
        <f t="shared" si="415"/>
        <v>7</v>
      </c>
      <c r="C1649" s="217">
        <v>42930</v>
      </c>
      <c r="D1649" s="217" t="s">
        <v>1806</v>
      </c>
      <c r="E1649" s="217">
        <f t="shared" ref="E1649:E1652" si="421">C1649</f>
        <v>42930</v>
      </c>
      <c r="F1649" s="960" t="s">
        <v>429</v>
      </c>
      <c r="G1649" s="739" t="s">
        <v>1733</v>
      </c>
      <c r="H1649" s="67" t="s">
        <v>791</v>
      </c>
      <c r="I1649" s="373">
        <v>22976.3</v>
      </c>
      <c r="J1649" s="373">
        <v>58000</v>
      </c>
      <c r="K1649" s="373"/>
      <c r="L1649" s="379"/>
      <c r="M1649" s="927">
        <f t="shared" si="416"/>
        <v>1332625400</v>
      </c>
      <c r="N1649" s="935" t="s">
        <v>274</v>
      </c>
      <c r="O1649" s="935" t="s">
        <v>8</v>
      </c>
      <c r="P1649" s="75" t="str">
        <f>IF(AND('331-CT'!$E$7=TH!H1649,OR(N1649="331",O1649="331")),"x","")</f>
        <v/>
      </c>
      <c r="Q1649" s="75" t="str">
        <f>IF(AND(B1649='111'!$L$11,OR($N1649=$Q$7,$O1649=$Q$7)),"x","")</f>
        <v/>
      </c>
      <c r="R1649" s="75" t="str">
        <f>IF(AND($N1649=$Q$7,$B1649&lt;'111'!$L$11),"x","")</f>
        <v/>
      </c>
      <c r="S1649" s="75" t="str">
        <f>IF(AND($O1649=$Q$7,$B1649&lt;'111'!$L$11),"x","")</f>
        <v/>
      </c>
      <c r="T1649" s="75" t="str">
        <f>IF(ISERROR(FIND('112'!$M$9,G1649,1)),"",IF((AND(FIND('112'!$M$9,G1649,1)&gt;=1,B1649='112'!$K$9,OR($N1649='112'!$I$6,$O1649='112'!$I$6))),"x",""))</f>
        <v/>
      </c>
      <c r="U1649" s="75" t="str">
        <f>IF(ISERROR(FIND('112'!$M$9,G1649,1)),"",IF((AND(LEFT(G1649,2)=LEFT('112'!$M$9,2),B1649&lt;'112'!$K$9,$N1649='112'!$I$6)),"x",""))</f>
        <v/>
      </c>
      <c r="V1649" s="75" t="str">
        <f>IF(ISERROR(FIND('112'!$M$9,G1649,1)),"",IF((AND(RIGHT(G1649,2)=RIGHT('112'!$M$9,2),B1649&lt;'112'!$K$9,$O1649='112'!$I$6)),"x",""))</f>
        <v/>
      </c>
      <c r="W1649" s="75" t="str">
        <f>IF(AND('341-CT'!$H$9=H1649,OR(LEFT(N1649,3)=$W$7,LEFT(O1649,3)=$W$7)),"x","")</f>
        <v/>
      </c>
      <c r="X1649" s="75" t="str">
        <f>IF(OR(TH!N1649=TH!$X$7,O1649=TH!$X$7),"x","")</f>
        <v/>
      </c>
      <c r="Y1649" s="75" t="str">
        <f>IF(AND(OR(N1649="131",O1649="131"),H1649='131-CT'!$H$9),"x","")</f>
        <v/>
      </c>
      <c r="Z1649" s="75"/>
      <c r="AA1649" s="75" t="str">
        <f>IF(AND(MONTH(E1649)='IN-NX'!$J$5,'IN-NX'!$D$7=D1649),"x","")</f>
        <v/>
      </c>
      <c r="AB1649" s="75" t="str">
        <f>IF(AND(OR(LEFT(TH!N1649,2)="15",LEFT(TH!O1649,2)="15"),LEFT(TH!O1649,3)&lt;&gt;"111",'152-CT'!$J$8=TH!F1649),"x","")</f>
        <v/>
      </c>
      <c r="AC1649" s="75" t="str">
        <f>IF(AND(OR(LEFT(TH!N1649,2)="15",LEFT(TH!O1649,2)="15"),TK!$E$7=TH!F1649),"x","")</f>
        <v/>
      </c>
      <c r="AD1649" s="75" t="str">
        <f>IF(AND(N1649="1521",MONTH(C1649)='BK-NL'!$M$11),"x","")</f>
        <v/>
      </c>
      <c r="AF1649" s="1054"/>
    </row>
    <row r="1650" spans="1:32" s="1053" customFormat="1" ht="16.5" customHeight="1">
      <c r="A1650" s="309" t="str">
        <f>IF(B1650&lt;&gt;"",IF(AND(B1650='IN-TC'!$S$4,OR(TH!N1650="1111",TH!O1650="1111")),TH!D1650,""),"")</f>
        <v/>
      </c>
      <c r="B1650" s="1243">
        <f t="shared" si="415"/>
        <v>7</v>
      </c>
      <c r="C1650" s="217">
        <v>42930</v>
      </c>
      <c r="D1650" s="217" t="s">
        <v>1806</v>
      </c>
      <c r="E1650" s="217">
        <f t="shared" ref="E1650" si="422">C1650</f>
        <v>42930</v>
      </c>
      <c r="F1650" s="960" t="s">
        <v>429</v>
      </c>
      <c r="G1650" s="739" t="s">
        <v>1872</v>
      </c>
      <c r="H1650" s="67" t="s">
        <v>791</v>
      </c>
      <c r="I1650" s="373">
        <v>23877.4</v>
      </c>
      <c r="J1650" s="373">
        <v>58000</v>
      </c>
      <c r="K1650" s="373"/>
      <c r="L1650" s="379"/>
      <c r="M1650" s="927">
        <f t="shared" si="416"/>
        <v>1384889200</v>
      </c>
      <c r="N1650" s="935" t="s">
        <v>274</v>
      </c>
      <c r="O1650" s="935" t="s">
        <v>8</v>
      </c>
      <c r="P1650" s="75" t="str">
        <f>IF(AND('331-CT'!$E$7=TH!H1650,OR(N1650="331",O1650="331")),"x","")</f>
        <v/>
      </c>
      <c r="Q1650" s="75" t="str">
        <f>IF(AND(B1650='111'!$L$11,OR($N1650=$Q$7,$O1650=$Q$7)),"x","")</f>
        <v/>
      </c>
      <c r="R1650" s="75" t="str">
        <f>IF(AND($N1650=$Q$7,$B1650&lt;'111'!$L$11),"x","")</f>
        <v/>
      </c>
      <c r="S1650" s="75" t="str">
        <f>IF(AND($O1650=$Q$7,$B1650&lt;'111'!$L$11),"x","")</f>
        <v/>
      </c>
      <c r="T1650" s="75" t="str">
        <f>IF(ISERROR(FIND('112'!$M$9,G1650,1)),"",IF((AND(FIND('112'!$M$9,G1650,1)&gt;=1,B1650='112'!$K$9,OR($N1650='112'!$I$6,$O1650='112'!$I$6))),"x",""))</f>
        <v/>
      </c>
      <c r="U1650" s="75" t="str">
        <f>IF(ISERROR(FIND('112'!$M$9,G1650,1)),"",IF((AND(LEFT(G1650,2)=LEFT('112'!$M$9,2),B1650&lt;'112'!$K$9,$N1650='112'!$I$6)),"x",""))</f>
        <v/>
      </c>
      <c r="V1650" s="75" t="str">
        <f>IF(ISERROR(FIND('112'!$M$9,G1650,1)),"",IF((AND(RIGHT(G1650,2)=RIGHT('112'!$M$9,2),B1650&lt;'112'!$K$9,$O1650='112'!$I$6)),"x",""))</f>
        <v/>
      </c>
      <c r="W1650" s="75" t="str">
        <f>IF(AND('341-CT'!$H$9=H1650,OR(LEFT(N1650,3)=$W$7,LEFT(O1650,3)=$W$7)),"x","")</f>
        <v/>
      </c>
      <c r="X1650" s="75" t="str">
        <f>IF(OR(TH!N1650=TH!$X$7,O1650=TH!$X$7),"x","")</f>
        <v/>
      </c>
      <c r="Y1650" s="75" t="str">
        <f>IF(AND(OR(N1650="131",O1650="131"),H1650='131-CT'!$H$9),"x","")</f>
        <v/>
      </c>
      <c r="Z1650" s="75"/>
      <c r="AA1650" s="75" t="str">
        <f>IF(AND(MONTH(E1650)='IN-NX'!$J$5,'IN-NX'!$D$7=D1650),"x","")</f>
        <v/>
      </c>
      <c r="AB1650" s="75" t="str">
        <f>IF(AND(OR(LEFT(TH!N1650,2)="15",LEFT(TH!O1650,2)="15"),LEFT(TH!O1650,3)&lt;&gt;"111",'152-CT'!$J$8=TH!F1650),"x","")</f>
        <v/>
      </c>
      <c r="AC1650" s="75" t="str">
        <f>IF(AND(OR(LEFT(TH!N1650,2)="15",LEFT(TH!O1650,2)="15"),TK!$E$7=TH!F1650),"x","")</f>
        <v/>
      </c>
      <c r="AD1650" s="75" t="str">
        <f>IF(AND(N1650="1521",MONTH(C1650)='BK-NL'!$M$11),"x","")</f>
        <v/>
      </c>
      <c r="AF1650" s="1054"/>
    </row>
    <row r="1651" spans="1:32" s="1053" customFormat="1" ht="16.5" customHeight="1">
      <c r="A1651" s="309" t="str">
        <f>IF(B1651&lt;&gt;"",IF(AND(B1651='IN-TC'!$S$4,OR(TH!N1651="1111",TH!O1651="1111")),TH!D1651,""),"")</f>
        <v/>
      </c>
      <c r="B1651" s="1243">
        <f t="shared" si="415"/>
        <v>7</v>
      </c>
      <c r="C1651" s="217">
        <v>42934</v>
      </c>
      <c r="D1651" s="217" t="s">
        <v>1806</v>
      </c>
      <c r="E1651" s="217">
        <f t="shared" ref="E1651" si="423">C1651</f>
        <v>42934</v>
      </c>
      <c r="F1651" s="960" t="s">
        <v>429</v>
      </c>
      <c r="G1651" s="739" t="s">
        <v>1873</v>
      </c>
      <c r="H1651" s="67" t="s">
        <v>791</v>
      </c>
      <c r="I1651" s="968">
        <v>22633.446550000001</v>
      </c>
      <c r="J1651" s="373">
        <v>58000</v>
      </c>
      <c r="K1651" s="373"/>
      <c r="L1651" s="379"/>
      <c r="M1651" s="927">
        <f t="shared" si="416"/>
        <v>1312739900</v>
      </c>
      <c r="N1651" s="935" t="s">
        <v>274</v>
      </c>
      <c r="O1651" s="935" t="s">
        <v>8</v>
      </c>
      <c r="P1651" s="75" t="str">
        <f>IF(AND('331-CT'!$E$7=TH!H1651,OR(N1651="331",O1651="331")),"x","")</f>
        <v/>
      </c>
      <c r="Q1651" s="75" t="str">
        <f>IF(AND(B1651='111'!$L$11,OR($N1651=$Q$7,$O1651=$Q$7)),"x","")</f>
        <v/>
      </c>
      <c r="R1651" s="75" t="str">
        <f>IF(AND($N1651=$Q$7,$B1651&lt;'111'!$L$11),"x","")</f>
        <v/>
      </c>
      <c r="S1651" s="75" t="str">
        <f>IF(AND($O1651=$Q$7,$B1651&lt;'111'!$L$11),"x","")</f>
        <v/>
      </c>
      <c r="T1651" s="75" t="str">
        <f>IF(ISERROR(FIND('112'!$M$9,G1651,1)),"",IF((AND(FIND('112'!$M$9,G1651,1)&gt;=1,B1651='112'!$K$9,OR($N1651='112'!$I$6,$O1651='112'!$I$6))),"x",""))</f>
        <v/>
      </c>
      <c r="U1651" s="75" t="str">
        <f>IF(ISERROR(FIND('112'!$M$9,G1651,1)),"",IF((AND(LEFT(G1651,2)=LEFT('112'!$M$9,2),B1651&lt;'112'!$K$9,$N1651='112'!$I$6)),"x",""))</f>
        <v/>
      </c>
      <c r="V1651" s="75" t="str">
        <f>IF(ISERROR(FIND('112'!$M$9,G1651,1)),"",IF((AND(RIGHT(G1651,2)=RIGHT('112'!$M$9,2),B1651&lt;'112'!$K$9,$O1651='112'!$I$6)),"x",""))</f>
        <v/>
      </c>
      <c r="W1651" s="75" t="str">
        <f>IF(AND('341-CT'!$H$9=H1651,OR(LEFT(N1651,3)=$W$7,LEFT(O1651,3)=$W$7)),"x","")</f>
        <v/>
      </c>
      <c r="X1651" s="75" t="str">
        <f>IF(OR(TH!N1651=TH!$X$7,O1651=TH!$X$7),"x","")</f>
        <v/>
      </c>
      <c r="Y1651" s="75" t="str">
        <f>IF(AND(OR(N1651="131",O1651="131"),H1651='131-CT'!$H$9),"x","")</f>
        <v/>
      </c>
      <c r="Z1651" s="75"/>
      <c r="AA1651" s="75" t="str">
        <f>IF(AND(MONTH(E1651)='IN-NX'!$J$5,'IN-NX'!$D$7=D1651),"x","")</f>
        <v/>
      </c>
      <c r="AB1651" s="75" t="str">
        <f>IF(AND(OR(LEFT(TH!N1651,2)="15",LEFT(TH!O1651,2)="15"),LEFT(TH!O1651,3)&lt;&gt;"111",'152-CT'!$J$8=TH!F1651),"x","")</f>
        <v/>
      </c>
      <c r="AC1651" s="75" t="str">
        <f>IF(AND(OR(LEFT(TH!N1651,2)="15",LEFT(TH!O1651,2)="15"),TK!$E$7=TH!F1651),"x","")</f>
        <v/>
      </c>
      <c r="AD1651" s="75" t="str">
        <f>IF(AND(N1651="1521",MONTH(C1651)='BK-NL'!$M$11),"x","")</f>
        <v/>
      </c>
      <c r="AF1651" s="1054"/>
    </row>
    <row r="1652" spans="1:32" s="1053" customFormat="1" ht="16.5" customHeight="1">
      <c r="A1652" s="309" t="str">
        <f>IF(B1652&lt;&gt;"",IF(AND(B1652='IN-TC'!$S$4,OR(TH!N1652="1111",TH!O1652="1111")),TH!D1652,""),"")</f>
        <v/>
      </c>
      <c r="B1652" s="1243">
        <f t="shared" si="415"/>
        <v>7</v>
      </c>
      <c r="C1652" s="217">
        <v>42931</v>
      </c>
      <c r="D1652" s="217" t="s">
        <v>1848</v>
      </c>
      <c r="E1652" s="217">
        <f t="shared" si="421"/>
        <v>42931</v>
      </c>
      <c r="F1652" s="960" t="s">
        <v>429</v>
      </c>
      <c r="G1652" s="739" t="s">
        <v>1807</v>
      </c>
      <c r="H1652" s="67" t="s">
        <v>789</v>
      </c>
      <c r="I1652" s="373">
        <v>24021.9</v>
      </c>
      <c r="J1652" s="373">
        <v>56000</v>
      </c>
      <c r="K1652" s="373"/>
      <c r="L1652" s="379"/>
      <c r="M1652" s="927">
        <f t="shared" si="416"/>
        <v>1345226400</v>
      </c>
      <c r="N1652" s="935" t="s">
        <v>274</v>
      </c>
      <c r="O1652" s="935" t="s">
        <v>8</v>
      </c>
      <c r="P1652" s="75" t="str">
        <f>IF(AND('331-CT'!$E$7=TH!H1652,OR(N1652="331",O1652="331")),"x","")</f>
        <v/>
      </c>
      <c r="Q1652" s="75" t="str">
        <f>IF(AND(B1652='111'!$L$11,OR($N1652=$Q$7,$O1652=$Q$7)),"x","")</f>
        <v/>
      </c>
      <c r="R1652" s="75" t="str">
        <f>IF(AND($N1652=$Q$7,$B1652&lt;'111'!$L$11),"x","")</f>
        <v/>
      </c>
      <c r="S1652" s="75" t="str">
        <f>IF(AND($O1652=$Q$7,$B1652&lt;'111'!$L$11),"x","")</f>
        <v/>
      </c>
      <c r="T1652" s="75" t="str">
        <f>IF(ISERROR(FIND('112'!$M$9,G1652,1)),"",IF((AND(FIND('112'!$M$9,G1652,1)&gt;=1,B1652='112'!$K$9,OR($N1652='112'!$I$6,$O1652='112'!$I$6))),"x",""))</f>
        <v/>
      </c>
      <c r="U1652" s="75" t="str">
        <f>IF(ISERROR(FIND('112'!$M$9,G1652,1)),"",IF((AND(LEFT(G1652,2)=LEFT('112'!$M$9,2),B1652&lt;'112'!$K$9,$N1652='112'!$I$6)),"x",""))</f>
        <v/>
      </c>
      <c r="V1652" s="75" t="str">
        <f>IF(ISERROR(FIND('112'!$M$9,G1652,1)),"",IF((AND(RIGHT(G1652,2)=RIGHT('112'!$M$9,2),B1652&lt;'112'!$K$9,$O1652='112'!$I$6)),"x",""))</f>
        <v/>
      </c>
      <c r="W1652" s="75" t="str">
        <f>IF(AND('341-CT'!$H$9=H1652,OR(LEFT(N1652,3)=$W$7,LEFT(O1652,3)=$W$7)),"x","")</f>
        <v/>
      </c>
      <c r="X1652" s="75" t="str">
        <f>IF(OR(TH!N1652=TH!$X$7,O1652=TH!$X$7),"x","")</f>
        <v/>
      </c>
      <c r="Y1652" s="75" t="str">
        <f>IF(AND(OR(N1652="131",O1652="131"),H1652='131-CT'!$H$9),"x","")</f>
        <v/>
      </c>
      <c r="Z1652" s="75"/>
      <c r="AA1652" s="75" t="str">
        <f>IF(AND(MONTH(E1652)='IN-NX'!$J$5,'IN-NX'!$D$7=D1652),"x","")</f>
        <v/>
      </c>
      <c r="AB1652" s="75" t="str">
        <f>IF(AND(OR(LEFT(TH!N1652,2)="15",LEFT(TH!O1652,2)="15"),LEFT(TH!O1652,3)&lt;&gt;"111",'152-CT'!$J$8=TH!F1652),"x","")</f>
        <v/>
      </c>
      <c r="AC1652" s="75" t="str">
        <f>IF(AND(OR(LEFT(TH!N1652,2)="15",LEFT(TH!O1652,2)="15"),TK!$E$7=TH!F1652),"x","")</f>
        <v/>
      </c>
      <c r="AD1652" s="75" t="str">
        <f>IF(AND(N1652="1521",MONTH(C1652)='BK-NL'!$M$11),"x","")</f>
        <v/>
      </c>
      <c r="AF1652" s="1054"/>
    </row>
    <row r="1653" spans="1:32" s="1053" customFormat="1" ht="16.5" customHeight="1">
      <c r="A1653" s="309" t="str">
        <f>IF(B1653&lt;&gt;"",IF(AND(B1653='IN-TC'!$S$4,OR(TH!N1653="1111",TH!O1653="1111")),TH!D1653,""),"")</f>
        <v/>
      </c>
      <c r="B1653" s="1243">
        <f t="shared" si="415"/>
        <v>7</v>
      </c>
      <c r="C1653" s="217">
        <v>42933</v>
      </c>
      <c r="D1653" s="217" t="s">
        <v>1849</v>
      </c>
      <c r="E1653" s="217">
        <f t="shared" ref="E1653:E1665" si="424">C1653</f>
        <v>42933</v>
      </c>
      <c r="F1653" s="960" t="s">
        <v>429</v>
      </c>
      <c r="G1653" s="739" t="s">
        <v>1808</v>
      </c>
      <c r="H1653" s="67" t="s">
        <v>789</v>
      </c>
      <c r="I1653" s="373">
        <v>24230.799999999999</v>
      </c>
      <c r="J1653" s="373">
        <v>55000</v>
      </c>
      <c r="K1653" s="373"/>
      <c r="L1653" s="379"/>
      <c r="M1653" s="927">
        <f t="shared" si="416"/>
        <v>1332694000</v>
      </c>
      <c r="N1653" s="935" t="s">
        <v>274</v>
      </c>
      <c r="O1653" s="935" t="s">
        <v>8</v>
      </c>
      <c r="P1653" s="75" t="str">
        <f>IF(AND('331-CT'!$E$7=TH!H1653,OR(N1653="331",O1653="331")),"x","")</f>
        <v/>
      </c>
      <c r="Q1653" s="75" t="str">
        <f>IF(AND(B1653='111'!$L$11,OR($N1653=$Q$7,$O1653=$Q$7)),"x","")</f>
        <v/>
      </c>
      <c r="R1653" s="75" t="str">
        <f>IF(AND($N1653=$Q$7,$B1653&lt;'111'!$L$11),"x","")</f>
        <v/>
      </c>
      <c r="S1653" s="75" t="str">
        <f>IF(AND($O1653=$Q$7,$B1653&lt;'111'!$L$11),"x","")</f>
        <v/>
      </c>
      <c r="T1653" s="75" t="str">
        <f>IF(ISERROR(FIND('112'!$M$9,G1653,1)),"",IF((AND(FIND('112'!$M$9,G1653,1)&gt;=1,B1653='112'!$K$9,OR($N1653='112'!$I$6,$O1653='112'!$I$6))),"x",""))</f>
        <v/>
      </c>
      <c r="U1653" s="75" t="str">
        <f>IF(ISERROR(FIND('112'!$M$9,G1653,1)),"",IF((AND(LEFT(G1653,2)=LEFT('112'!$M$9,2),B1653&lt;'112'!$K$9,$N1653='112'!$I$6)),"x",""))</f>
        <v/>
      </c>
      <c r="V1653" s="75" t="str">
        <f>IF(ISERROR(FIND('112'!$M$9,G1653,1)),"",IF((AND(RIGHT(G1653,2)=RIGHT('112'!$M$9,2),B1653&lt;'112'!$K$9,$O1653='112'!$I$6)),"x",""))</f>
        <v/>
      </c>
      <c r="W1653" s="75" t="str">
        <f>IF(AND('341-CT'!$H$9=H1653,OR(LEFT(N1653,3)=$W$7,LEFT(O1653,3)=$W$7)),"x","")</f>
        <v/>
      </c>
      <c r="X1653" s="75" t="str">
        <f>IF(OR(TH!N1653=TH!$X$7,O1653=TH!$X$7),"x","")</f>
        <v/>
      </c>
      <c r="Y1653" s="75" t="str">
        <f>IF(AND(OR(N1653="131",O1653="131"),H1653='131-CT'!$H$9),"x","")</f>
        <v/>
      </c>
      <c r="Z1653" s="75"/>
      <c r="AA1653" s="75" t="str">
        <f>IF(AND(MONTH(E1653)='IN-NX'!$J$5,'IN-NX'!$D$7=D1653),"x","")</f>
        <v/>
      </c>
      <c r="AB1653" s="75" t="str">
        <f>IF(AND(OR(LEFT(TH!N1653,2)="15",LEFT(TH!O1653,2)="15"),LEFT(TH!O1653,3)&lt;&gt;"111",'152-CT'!$J$8=TH!F1653),"x","")</f>
        <v/>
      </c>
      <c r="AC1653" s="75" t="str">
        <f>IF(AND(OR(LEFT(TH!N1653,2)="15",LEFT(TH!O1653,2)="15"),TK!$E$7=TH!F1653),"x","")</f>
        <v/>
      </c>
      <c r="AD1653" s="75" t="str">
        <f>IF(AND(N1653="1521",MONTH(C1653)='BK-NL'!$M$11),"x","")</f>
        <v/>
      </c>
      <c r="AF1653" s="1054"/>
    </row>
    <row r="1654" spans="1:32" s="1053" customFormat="1" ht="16.5" customHeight="1">
      <c r="A1654" s="309" t="str">
        <f>IF(B1654&lt;&gt;"",IF(AND(B1654='IN-TC'!$S$4,OR(TH!N1654="1111",TH!O1654="1111")),TH!D1654,""),"")</f>
        <v/>
      </c>
      <c r="B1654" s="1243">
        <f t="shared" si="415"/>
        <v>7</v>
      </c>
      <c r="C1654" s="217">
        <v>42934</v>
      </c>
      <c r="D1654" s="217" t="s">
        <v>1850</v>
      </c>
      <c r="E1654" s="217">
        <f t="shared" si="424"/>
        <v>42934</v>
      </c>
      <c r="F1654" s="960" t="s">
        <v>429</v>
      </c>
      <c r="G1654" s="739" t="s">
        <v>1846</v>
      </c>
      <c r="H1654" s="311" t="s">
        <v>623</v>
      </c>
      <c r="I1654" s="373">
        <v>52780</v>
      </c>
      <c r="J1654" s="373">
        <v>62000</v>
      </c>
      <c r="K1654" s="373"/>
      <c r="L1654" s="379"/>
      <c r="M1654" s="927">
        <f t="shared" si="416"/>
        <v>3272360000</v>
      </c>
      <c r="N1654" s="935" t="s">
        <v>274</v>
      </c>
      <c r="O1654" s="935" t="s">
        <v>8</v>
      </c>
      <c r="P1654" s="75" t="str">
        <f>IF(AND('331-CT'!$E$7=TH!H1654,OR(N1654="331",O1654="331")),"x","")</f>
        <v/>
      </c>
      <c r="Q1654" s="75" t="str">
        <f>IF(AND(B1654='111'!$L$11,OR($N1654=$Q$7,$O1654=$Q$7)),"x","")</f>
        <v/>
      </c>
      <c r="R1654" s="75" t="str">
        <f>IF(AND($N1654=$Q$7,$B1654&lt;'111'!$L$11),"x","")</f>
        <v/>
      </c>
      <c r="S1654" s="75" t="str">
        <f>IF(AND($O1654=$Q$7,$B1654&lt;'111'!$L$11),"x","")</f>
        <v/>
      </c>
      <c r="T1654" s="75" t="str">
        <f>IF(ISERROR(FIND('112'!$M$9,G1654,1)),"",IF((AND(FIND('112'!$M$9,G1654,1)&gt;=1,B1654='112'!$K$9,OR($N1654='112'!$I$6,$O1654='112'!$I$6))),"x",""))</f>
        <v/>
      </c>
      <c r="U1654" s="75" t="str">
        <f>IF(ISERROR(FIND('112'!$M$9,G1654,1)),"",IF((AND(LEFT(G1654,2)=LEFT('112'!$M$9,2),B1654&lt;'112'!$K$9,$N1654='112'!$I$6)),"x",""))</f>
        <v/>
      </c>
      <c r="V1654" s="75" t="str">
        <f>IF(ISERROR(FIND('112'!$M$9,G1654,1)),"",IF((AND(RIGHT(G1654,2)=RIGHT('112'!$M$9,2),B1654&lt;'112'!$K$9,$O1654='112'!$I$6)),"x",""))</f>
        <v/>
      </c>
      <c r="W1654" s="75" t="str">
        <f>IF(AND('341-CT'!$H$9=H1654,OR(LEFT(N1654,3)=$W$7,LEFT(O1654,3)=$W$7)),"x","")</f>
        <v/>
      </c>
      <c r="X1654" s="75" t="str">
        <f>IF(OR(TH!N1654=TH!$X$7,O1654=TH!$X$7),"x","")</f>
        <v/>
      </c>
      <c r="Y1654" s="75" t="str">
        <f>IF(AND(OR(N1654="131",O1654="131"),H1654='131-CT'!$H$9),"x","")</f>
        <v/>
      </c>
      <c r="Z1654" s="75"/>
      <c r="AA1654" s="75" t="str">
        <f>IF(AND(MONTH(E1654)='IN-NX'!$J$5,'IN-NX'!$D$7=D1654),"x","")</f>
        <v/>
      </c>
      <c r="AB1654" s="75" t="str">
        <f>IF(AND(OR(LEFT(TH!N1654,2)="15",LEFT(TH!O1654,2)="15"),LEFT(TH!O1654,3)&lt;&gt;"111",'152-CT'!$J$8=TH!F1654),"x","")</f>
        <v/>
      </c>
      <c r="AC1654" s="75" t="str">
        <f>IF(AND(OR(LEFT(TH!N1654,2)="15",LEFT(TH!O1654,2)="15"),TK!$E$7=TH!F1654),"x","")</f>
        <v/>
      </c>
      <c r="AD1654" s="75" t="str">
        <f>IF(AND(N1654="1521",MONTH(C1654)='BK-NL'!$M$11),"x","")</f>
        <v/>
      </c>
      <c r="AF1654" s="1054"/>
    </row>
    <row r="1655" spans="1:32" s="1053" customFormat="1" ht="16.5" customHeight="1">
      <c r="A1655" s="309" t="str">
        <f>IF(B1655&lt;&gt;"",IF(AND(B1655='IN-TC'!$S$4,OR(TH!N1655="1111",TH!O1655="1111")),TH!D1655,""),"")</f>
        <v/>
      </c>
      <c r="B1655" s="1243">
        <f t="shared" si="415"/>
        <v>7</v>
      </c>
      <c r="C1655" s="217">
        <v>42935</v>
      </c>
      <c r="D1655" s="217" t="s">
        <v>1851</v>
      </c>
      <c r="E1655" s="217">
        <f t="shared" si="424"/>
        <v>42935</v>
      </c>
      <c r="F1655" s="960" t="s">
        <v>429</v>
      </c>
      <c r="G1655" s="739" t="s">
        <v>1148</v>
      </c>
      <c r="H1655" s="67" t="s">
        <v>789</v>
      </c>
      <c r="I1655" s="373">
        <v>24230.799999999999</v>
      </c>
      <c r="J1655" s="373">
        <v>55000</v>
      </c>
      <c r="K1655" s="373"/>
      <c r="L1655" s="379"/>
      <c r="M1655" s="927">
        <f t="shared" si="416"/>
        <v>1332694000</v>
      </c>
      <c r="N1655" s="935" t="s">
        <v>274</v>
      </c>
      <c r="O1655" s="935" t="s">
        <v>8</v>
      </c>
      <c r="P1655" s="75" t="str">
        <f>IF(AND('331-CT'!$E$7=TH!H1655,OR(N1655="331",O1655="331")),"x","")</f>
        <v/>
      </c>
      <c r="Q1655" s="75" t="str">
        <f>IF(AND(B1655='111'!$L$11,OR($N1655=$Q$7,$O1655=$Q$7)),"x","")</f>
        <v/>
      </c>
      <c r="R1655" s="75" t="str">
        <f>IF(AND($N1655=$Q$7,$B1655&lt;'111'!$L$11),"x","")</f>
        <v/>
      </c>
      <c r="S1655" s="75" t="str">
        <f>IF(AND($O1655=$Q$7,$B1655&lt;'111'!$L$11),"x","")</f>
        <v/>
      </c>
      <c r="T1655" s="75" t="str">
        <f>IF(ISERROR(FIND('112'!$M$9,G1655,1)),"",IF((AND(FIND('112'!$M$9,G1655,1)&gt;=1,B1655='112'!$K$9,OR($N1655='112'!$I$6,$O1655='112'!$I$6))),"x",""))</f>
        <v/>
      </c>
      <c r="U1655" s="75" t="str">
        <f>IF(ISERROR(FIND('112'!$M$9,G1655,1)),"",IF((AND(LEFT(G1655,2)=LEFT('112'!$M$9,2),B1655&lt;'112'!$K$9,$N1655='112'!$I$6)),"x",""))</f>
        <v/>
      </c>
      <c r="V1655" s="75" t="str">
        <f>IF(ISERROR(FIND('112'!$M$9,G1655,1)),"",IF((AND(RIGHT(G1655,2)=RIGHT('112'!$M$9,2),B1655&lt;'112'!$K$9,$O1655='112'!$I$6)),"x",""))</f>
        <v/>
      </c>
      <c r="W1655" s="75" t="str">
        <f>IF(AND('341-CT'!$H$9=H1655,OR(LEFT(N1655,3)=$W$7,LEFT(O1655,3)=$W$7)),"x","")</f>
        <v/>
      </c>
      <c r="X1655" s="75" t="str">
        <f>IF(OR(TH!N1655=TH!$X$7,O1655=TH!$X$7),"x","")</f>
        <v/>
      </c>
      <c r="Y1655" s="75" t="str">
        <f>IF(AND(OR(N1655="131",O1655="131"),H1655='131-CT'!$H$9),"x","")</f>
        <v/>
      </c>
      <c r="Z1655" s="75"/>
      <c r="AA1655" s="75" t="str">
        <f>IF(AND(MONTH(E1655)='IN-NX'!$J$5,'IN-NX'!$D$7=D1655),"x","")</f>
        <v/>
      </c>
      <c r="AB1655" s="75" t="str">
        <f>IF(AND(OR(LEFT(TH!N1655,2)="15",LEFT(TH!O1655,2)="15"),LEFT(TH!O1655,3)&lt;&gt;"111",'152-CT'!$J$8=TH!F1655),"x","")</f>
        <v/>
      </c>
      <c r="AC1655" s="75" t="str">
        <f>IF(AND(OR(LEFT(TH!N1655,2)="15",LEFT(TH!O1655,2)="15"),TK!$E$7=TH!F1655),"x","")</f>
        <v/>
      </c>
      <c r="AD1655" s="75" t="str">
        <f>IF(AND(N1655="1521",MONTH(C1655)='BK-NL'!$M$11),"x","")</f>
        <v/>
      </c>
      <c r="AF1655" s="1054"/>
    </row>
    <row r="1656" spans="1:32" s="1053" customFormat="1" ht="16.5" customHeight="1">
      <c r="A1656" s="309" t="str">
        <f>IF(B1656&lt;&gt;"",IF(AND(B1656='IN-TC'!$S$4,OR(TH!N1656="1111",TH!O1656="1111")),TH!D1656,""),"")</f>
        <v/>
      </c>
      <c r="B1656" s="1243">
        <f t="shared" si="415"/>
        <v>7</v>
      </c>
      <c r="C1656" s="217">
        <v>42938</v>
      </c>
      <c r="D1656" s="217" t="s">
        <v>1852</v>
      </c>
      <c r="E1656" s="217">
        <f t="shared" ref="E1656" si="425">C1656</f>
        <v>42938</v>
      </c>
      <c r="F1656" s="960" t="s">
        <v>429</v>
      </c>
      <c r="G1656" s="739" t="s">
        <v>1847</v>
      </c>
      <c r="H1656" s="311" t="s">
        <v>623</v>
      </c>
      <c r="I1656" s="373">
        <v>52780</v>
      </c>
      <c r="J1656" s="373">
        <v>60000</v>
      </c>
      <c r="K1656" s="373"/>
      <c r="L1656" s="379"/>
      <c r="M1656" s="927">
        <f t="shared" si="416"/>
        <v>3166800000</v>
      </c>
      <c r="N1656" s="935" t="s">
        <v>274</v>
      </c>
      <c r="O1656" s="935" t="s">
        <v>8</v>
      </c>
      <c r="P1656" s="75" t="str">
        <f>IF(AND('331-CT'!$E$7=TH!H1656,OR(N1656="331",O1656="331")),"x","")</f>
        <v/>
      </c>
      <c r="Q1656" s="75" t="str">
        <f>IF(AND(B1656='111'!$L$11,OR($N1656=$Q$7,$O1656=$Q$7)),"x","")</f>
        <v/>
      </c>
      <c r="R1656" s="75" t="str">
        <f>IF(AND($N1656=$Q$7,$B1656&lt;'111'!$L$11),"x","")</f>
        <v/>
      </c>
      <c r="S1656" s="75" t="str">
        <f>IF(AND($O1656=$Q$7,$B1656&lt;'111'!$L$11),"x","")</f>
        <v/>
      </c>
      <c r="T1656" s="75" t="str">
        <f>IF(ISERROR(FIND('112'!$M$9,G1656,1)),"",IF((AND(FIND('112'!$M$9,G1656,1)&gt;=1,B1656='112'!$K$9,OR($N1656='112'!$I$6,$O1656='112'!$I$6))),"x",""))</f>
        <v/>
      </c>
      <c r="U1656" s="75" t="str">
        <f>IF(ISERROR(FIND('112'!$M$9,G1656,1)),"",IF((AND(LEFT(G1656,2)=LEFT('112'!$M$9,2),B1656&lt;'112'!$K$9,$N1656='112'!$I$6)),"x",""))</f>
        <v/>
      </c>
      <c r="V1656" s="75" t="str">
        <f>IF(ISERROR(FIND('112'!$M$9,G1656,1)),"",IF((AND(RIGHT(G1656,2)=RIGHT('112'!$M$9,2),B1656&lt;'112'!$K$9,$O1656='112'!$I$6)),"x",""))</f>
        <v/>
      </c>
      <c r="W1656" s="75" t="str">
        <f>IF(AND('341-CT'!$H$9=H1656,OR(LEFT(N1656,3)=$W$7,LEFT(O1656,3)=$W$7)),"x","")</f>
        <v/>
      </c>
      <c r="X1656" s="75" t="str">
        <f>IF(OR(TH!N1656=TH!$X$7,O1656=TH!$X$7),"x","")</f>
        <v/>
      </c>
      <c r="Y1656" s="75" t="str">
        <f>IF(AND(OR(N1656="131",O1656="131"),H1656='131-CT'!$H$9),"x","")</f>
        <v/>
      </c>
      <c r="Z1656" s="75"/>
      <c r="AA1656" s="75" t="str">
        <f>IF(AND(MONTH(E1656)='IN-NX'!$J$5,'IN-NX'!$D$7=D1656),"x","")</f>
        <v/>
      </c>
      <c r="AB1656" s="75" t="str">
        <f>IF(AND(OR(LEFT(TH!N1656,2)="15",LEFT(TH!O1656,2)="15"),LEFT(TH!O1656,3)&lt;&gt;"111",'152-CT'!$J$8=TH!F1656),"x","")</f>
        <v/>
      </c>
      <c r="AC1656" s="75" t="str">
        <f>IF(AND(OR(LEFT(TH!N1656,2)="15",LEFT(TH!O1656,2)="15"),TK!$E$7=TH!F1656),"x","")</f>
        <v/>
      </c>
      <c r="AD1656" s="75" t="str">
        <f>IF(AND(N1656="1521",MONTH(C1656)='BK-NL'!$M$11),"x","")</f>
        <v/>
      </c>
      <c r="AF1656" s="1054"/>
    </row>
    <row r="1657" spans="1:32" s="1053" customFormat="1" ht="16.5" customHeight="1">
      <c r="A1657" s="309" t="str">
        <f>IF(B1657&lt;&gt;"",IF(AND(B1657='IN-TC'!$S$4,OR(TH!N1657="1111",TH!O1657="1111")),TH!D1657,""),"")</f>
        <v/>
      </c>
      <c r="B1657" s="1243">
        <f t="shared" si="415"/>
        <v>7</v>
      </c>
      <c r="C1657" s="217">
        <v>42936</v>
      </c>
      <c r="D1657" s="217" t="s">
        <v>1852</v>
      </c>
      <c r="E1657" s="217">
        <f t="shared" ref="E1657:E1658" si="426">C1657</f>
        <v>42936</v>
      </c>
      <c r="F1657" s="960" t="s">
        <v>429</v>
      </c>
      <c r="G1657" s="739" t="s">
        <v>1874</v>
      </c>
      <c r="H1657" s="67" t="s">
        <v>791</v>
      </c>
      <c r="I1657" s="373">
        <v>21302</v>
      </c>
      <c r="J1657" s="373">
        <v>58000</v>
      </c>
      <c r="K1657" s="373"/>
      <c r="L1657" s="379"/>
      <c r="M1657" s="927">
        <f t="shared" si="416"/>
        <v>1235516000</v>
      </c>
      <c r="N1657" s="935" t="s">
        <v>274</v>
      </c>
      <c r="O1657" s="935" t="s">
        <v>8</v>
      </c>
      <c r="P1657" s="75" t="str">
        <f>IF(AND('331-CT'!$E$7=TH!H1657,OR(N1657="331",O1657="331")),"x","")</f>
        <v/>
      </c>
      <c r="Q1657" s="75" t="str">
        <f>IF(AND(B1657='111'!$L$11,OR($N1657=$Q$7,$O1657=$Q$7)),"x","")</f>
        <v/>
      </c>
      <c r="R1657" s="75" t="str">
        <f>IF(AND($N1657=$Q$7,$B1657&lt;'111'!$L$11),"x","")</f>
        <v/>
      </c>
      <c r="S1657" s="75" t="str">
        <f>IF(AND($O1657=$Q$7,$B1657&lt;'111'!$L$11),"x","")</f>
        <v/>
      </c>
      <c r="T1657" s="75" t="str">
        <f>IF(ISERROR(FIND('112'!$M$9,G1657,1)),"",IF((AND(FIND('112'!$M$9,G1657,1)&gt;=1,B1657='112'!$K$9,OR($N1657='112'!$I$6,$O1657='112'!$I$6))),"x",""))</f>
        <v/>
      </c>
      <c r="U1657" s="75" t="str">
        <f>IF(ISERROR(FIND('112'!$M$9,G1657,1)),"",IF((AND(LEFT(G1657,2)=LEFT('112'!$M$9,2),B1657&lt;'112'!$K$9,$N1657='112'!$I$6)),"x",""))</f>
        <v/>
      </c>
      <c r="V1657" s="75" t="str">
        <f>IF(ISERROR(FIND('112'!$M$9,G1657,1)),"",IF((AND(RIGHT(G1657,2)=RIGHT('112'!$M$9,2),B1657&lt;'112'!$K$9,$O1657='112'!$I$6)),"x",""))</f>
        <v/>
      </c>
      <c r="W1657" s="75" t="str">
        <f>IF(AND('341-CT'!$H$9=H1657,OR(LEFT(N1657,3)=$W$7,LEFT(O1657,3)=$W$7)),"x","")</f>
        <v/>
      </c>
      <c r="X1657" s="75" t="str">
        <f>IF(OR(TH!N1657=TH!$X$7,O1657=TH!$X$7),"x","")</f>
        <v/>
      </c>
      <c r="Y1657" s="75" t="str">
        <f>IF(AND(OR(N1657="131",O1657="131"),H1657='131-CT'!$H$9),"x","")</f>
        <v/>
      </c>
      <c r="Z1657" s="75"/>
      <c r="AA1657" s="75" t="str">
        <f>IF(AND(MONTH(E1657)='IN-NX'!$J$5,'IN-NX'!$D$7=D1657),"x","")</f>
        <v/>
      </c>
      <c r="AB1657" s="75" t="str">
        <f>IF(AND(OR(LEFT(TH!N1657,2)="15",LEFT(TH!O1657,2)="15"),LEFT(TH!O1657,3)&lt;&gt;"111",'152-CT'!$J$8=TH!F1657),"x","")</f>
        <v/>
      </c>
      <c r="AC1657" s="75" t="str">
        <f>IF(AND(OR(LEFT(TH!N1657,2)="15",LEFT(TH!O1657,2)="15"),TK!$E$7=TH!F1657),"x","")</f>
        <v/>
      </c>
      <c r="AD1657" s="75" t="str">
        <f>IF(AND(N1657="1521",MONTH(C1657)='BK-NL'!$M$11),"x","")</f>
        <v/>
      </c>
      <c r="AF1657" s="1054"/>
    </row>
    <row r="1658" spans="1:32" s="1053" customFormat="1" ht="16.5" customHeight="1">
      <c r="A1658" s="309" t="str">
        <f>IF(B1658&lt;&gt;"",IF(AND(B1658='IN-TC'!$S$4,OR(TH!N1658="1111",TH!O1658="1111")),TH!D1658,""),"")</f>
        <v/>
      </c>
      <c r="B1658" s="1243">
        <f t="shared" si="415"/>
        <v>7</v>
      </c>
      <c r="C1658" s="217">
        <v>42940</v>
      </c>
      <c r="D1658" s="217" t="s">
        <v>1852</v>
      </c>
      <c r="E1658" s="217">
        <f t="shared" si="426"/>
        <v>42940</v>
      </c>
      <c r="F1658" s="960" t="s">
        <v>429</v>
      </c>
      <c r="G1658" s="739" t="s">
        <v>1875</v>
      </c>
      <c r="H1658" s="67" t="s">
        <v>791</v>
      </c>
      <c r="I1658" s="373">
        <v>21523.9</v>
      </c>
      <c r="J1658" s="373">
        <v>58000</v>
      </c>
      <c r="K1658" s="373"/>
      <c r="L1658" s="379"/>
      <c r="M1658" s="927">
        <f t="shared" si="416"/>
        <v>1248386200</v>
      </c>
      <c r="N1658" s="935" t="s">
        <v>274</v>
      </c>
      <c r="O1658" s="935" t="s">
        <v>8</v>
      </c>
      <c r="P1658" s="75" t="str">
        <f>IF(AND('331-CT'!$E$7=TH!H1658,OR(N1658="331",O1658="331")),"x","")</f>
        <v/>
      </c>
      <c r="Q1658" s="75" t="str">
        <f>IF(AND(B1658='111'!$L$11,OR($N1658=$Q$7,$O1658=$Q$7)),"x","")</f>
        <v/>
      </c>
      <c r="R1658" s="75" t="str">
        <f>IF(AND($N1658=$Q$7,$B1658&lt;'111'!$L$11),"x","")</f>
        <v/>
      </c>
      <c r="S1658" s="75" t="str">
        <f>IF(AND($O1658=$Q$7,$B1658&lt;'111'!$L$11),"x","")</f>
        <v/>
      </c>
      <c r="T1658" s="75" t="str">
        <f>IF(ISERROR(FIND('112'!$M$9,G1658,1)),"",IF((AND(FIND('112'!$M$9,G1658,1)&gt;=1,B1658='112'!$K$9,OR($N1658='112'!$I$6,$O1658='112'!$I$6))),"x",""))</f>
        <v/>
      </c>
      <c r="U1658" s="75" t="str">
        <f>IF(ISERROR(FIND('112'!$M$9,G1658,1)),"",IF((AND(LEFT(G1658,2)=LEFT('112'!$M$9,2),B1658&lt;'112'!$K$9,$N1658='112'!$I$6)),"x",""))</f>
        <v/>
      </c>
      <c r="V1658" s="75" t="str">
        <f>IF(ISERROR(FIND('112'!$M$9,G1658,1)),"",IF((AND(RIGHT(G1658,2)=RIGHT('112'!$M$9,2),B1658&lt;'112'!$K$9,$O1658='112'!$I$6)),"x",""))</f>
        <v/>
      </c>
      <c r="W1658" s="75" t="str">
        <f>IF(AND('341-CT'!$H$9=H1658,OR(LEFT(N1658,3)=$W$7,LEFT(O1658,3)=$W$7)),"x","")</f>
        <v/>
      </c>
      <c r="X1658" s="75" t="str">
        <f>IF(OR(TH!N1658=TH!$X$7,O1658=TH!$X$7),"x","")</f>
        <v/>
      </c>
      <c r="Y1658" s="75" t="str">
        <f>IF(AND(OR(N1658="131",O1658="131"),H1658='131-CT'!$H$9),"x","")</f>
        <v/>
      </c>
      <c r="Z1658" s="75"/>
      <c r="AA1658" s="75" t="str">
        <f>IF(AND(MONTH(E1658)='IN-NX'!$J$5,'IN-NX'!$D$7=D1658),"x","")</f>
        <v/>
      </c>
      <c r="AB1658" s="75" t="str">
        <f>IF(AND(OR(LEFT(TH!N1658,2)="15",LEFT(TH!O1658,2)="15"),LEFT(TH!O1658,3)&lt;&gt;"111",'152-CT'!$J$8=TH!F1658),"x","")</f>
        <v/>
      </c>
      <c r="AC1658" s="75" t="str">
        <f>IF(AND(OR(LEFT(TH!N1658,2)="15",LEFT(TH!O1658,2)="15"),TK!$E$7=TH!F1658),"x","")</f>
        <v/>
      </c>
      <c r="AD1658" s="75" t="str">
        <f>IF(AND(N1658="1521",MONTH(C1658)='BK-NL'!$M$11),"x","")</f>
        <v/>
      </c>
      <c r="AF1658" s="1054"/>
    </row>
    <row r="1659" spans="1:32" s="1053" customFormat="1" ht="16.5" customHeight="1">
      <c r="A1659" s="309" t="str">
        <f>IF(B1659&lt;&gt;"",IF(AND(B1659='IN-TC'!$S$4,OR(TH!N1659="1111",TH!O1659="1111")),TH!D1659,""),"")</f>
        <v/>
      </c>
      <c r="B1659" s="1243">
        <f t="shared" si="415"/>
        <v>7</v>
      </c>
      <c r="C1659" s="217">
        <v>42941</v>
      </c>
      <c r="D1659" s="217" t="s">
        <v>1853</v>
      </c>
      <c r="E1659" s="217">
        <f t="shared" si="424"/>
        <v>42941</v>
      </c>
      <c r="F1659" s="960" t="s">
        <v>429</v>
      </c>
      <c r="G1659" s="739" t="s">
        <v>1809</v>
      </c>
      <c r="H1659" s="67" t="s">
        <v>789</v>
      </c>
      <c r="I1659" s="373">
        <v>23457.8</v>
      </c>
      <c r="J1659" s="373">
        <v>54000</v>
      </c>
      <c r="K1659" s="373"/>
      <c r="L1659" s="379"/>
      <c r="M1659" s="927">
        <f t="shared" si="416"/>
        <v>1266721200</v>
      </c>
      <c r="N1659" s="935" t="s">
        <v>274</v>
      </c>
      <c r="O1659" s="935" t="s">
        <v>8</v>
      </c>
      <c r="P1659" s="75" t="str">
        <f>IF(AND('331-CT'!$E$7=TH!H1659,OR(N1659="331",O1659="331")),"x","")</f>
        <v/>
      </c>
      <c r="Q1659" s="75" t="str">
        <f>IF(AND(B1659='111'!$L$11,OR($N1659=$Q$7,$O1659=$Q$7)),"x","")</f>
        <v/>
      </c>
      <c r="R1659" s="75" t="str">
        <f>IF(AND($N1659=$Q$7,$B1659&lt;'111'!$L$11),"x","")</f>
        <v/>
      </c>
      <c r="S1659" s="75" t="str">
        <f>IF(AND($O1659=$Q$7,$B1659&lt;'111'!$L$11),"x","")</f>
        <v/>
      </c>
      <c r="T1659" s="75" t="str">
        <f>IF(ISERROR(FIND('112'!$M$9,G1659,1)),"",IF((AND(FIND('112'!$M$9,G1659,1)&gt;=1,B1659='112'!$K$9,OR($N1659='112'!$I$6,$O1659='112'!$I$6))),"x",""))</f>
        <v/>
      </c>
      <c r="U1659" s="75" t="str">
        <f>IF(ISERROR(FIND('112'!$M$9,G1659,1)),"",IF((AND(LEFT(G1659,2)=LEFT('112'!$M$9,2),B1659&lt;'112'!$K$9,$N1659='112'!$I$6)),"x",""))</f>
        <v/>
      </c>
      <c r="V1659" s="75" t="str">
        <f>IF(ISERROR(FIND('112'!$M$9,G1659,1)),"",IF((AND(RIGHT(G1659,2)=RIGHT('112'!$M$9,2),B1659&lt;'112'!$K$9,$O1659='112'!$I$6)),"x",""))</f>
        <v/>
      </c>
      <c r="W1659" s="75" t="str">
        <f>IF(AND('341-CT'!$H$9=H1659,OR(LEFT(N1659,3)=$W$7,LEFT(O1659,3)=$W$7)),"x","")</f>
        <v/>
      </c>
      <c r="X1659" s="75" t="str">
        <f>IF(OR(TH!N1659=TH!$X$7,O1659=TH!$X$7),"x","")</f>
        <v/>
      </c>
      <c r="Y1659" s="75" t="str">
        <f>IF(AND(OR(N1659="131",O1659="131"),H1659='131-CT'!$H$9),"x","")</f>
        <v/>
      </c>
      <c r="Z1659" s="75"/>
      <c r="AA1659" s="75" t="str">
        <f>IF(AND(MONTH(E1659)='IN-NX'!$J$5,'IN-NX'!$D$7=D1659),"x","")</f>
        <v/>
      </c>
      <c r="AB1659" s="75" t="str">
        <f>IF(AND(OR(LEFT(TH!N1659,2)="15",LEFT(TH!O1659,2)="15"),LEFT(TH!O1659,3)&lt;&gt;"111",'152-CT'!$J$8=TH!F1659),"x","")</f>
        <v/>
      </c>
      <c r="AC1659" s="75" t="str">
        <f>IF(AND(OR(LEFT(TH!N1659,2)="15",LEFT(TH!O1659,2)="15"),TK!$E$7=TH!F1659),"x","")</f>
        <v/>
      </c>
      <c r="AD1659" s="75" t="str">
        <f>IF(AND(N1659="1521",MONTH(C1659)='BK-NL'!$M$11),"x","")</f>
        <v/>
      </c>
      <c r="AF1659" s="1054"/>
    </row>
    <row r="1660" spans="1:32" s="1053" customFormat="1" ht="16.5" customHeight="1">
      <c r="A1660" s="309" t="str">
        <f>IF(B1660&lt;&gt;"",IF(AND(B1660='IN-TC'!$S$4,OR(TH!N1660="1111",TH!O1660="1111")),TH!D1660,""),"")</f>
        <v/>
      </c>
      <c r="B1660" s="1243">
        <f t="shared" si="415"/>
        <v>7</v>
      </c>
      <c r="C1660" s="217">
        <v>42945</v>
      </c>
      <c r="D1660" s="217" t="s">
        <v>1854</v>
      </c>
      <c r="E1660" s="217">
        <f t="shared" si="424"/>
        <v>42945</v>
      </c>
      <c r="F1660" s="960" t="s">
        <v>429</v>
      </c>
      <c r="G1660" s="739" t="s">
        <v>1871</v>
      </c>
      <c r="H1660" s="311" t="s">
        <v>623</v>
      </c>
      <c r="I1660" s="373">
        <v>79170</v>
      </c>
      <c r="J1660" s="373">
        <v>60000</v>
      </c>
      <c r="K1660" s="373"/>
      <c r="L1660" s="379"/>
      <c r="M1660" s="927">
        <f t="shared" si="416"/>
        <v>4750200000</v>
      </c>
      <c r="N1660" s="935" t="s">
        <v>274</v>
      </c>
      <c r="O1660" s="935" t="s">
        <v>8</v>
      </c>
      <c r="P1660" s="75" t="str">
        <f>IF(AND('331-CT'!$E$7=TH!H1660,OR(N1660="331",O1660="331")),"x","")</f>
        <v/>
      </c>
      <c r="Q1660" s="75" t="str">
        <f>IF(AND(B1660='111'!$L$11,OR($N1660=$Q$7,$O1660=$Q$7)),"x","")</f>
        <v/>
      </c>
      <c r="R1660" s="75" t="str">
        <f>IF(AND($N1660=$Q$7,$B1660&lt;'111'!$L$11),"x","")</f>
        <v/>
      </c>
      <c r="S1660" s="75" t="str">
        <f>IF(AND($O1660=$Q$7,$B1660&lt;'111'!$L$11),"x","")</f>
        <v/>
      </c>
      <c r="T1660" s="75" t="str">
        <f>IF(ISERROR(FIND('112'!$M$9,G1660,1)),"",IF((AND(FIND('112'!$M$9,G1660,1)&gt;=1,B1660='112'!$K$9,OR($N1660='112'!$I$6,$O1660='112'!$I$6))),"x",""))</f>
        <v/>
      </c>
      <c r="U1660" s="75" t="str">
        <f>IF(ISERROR(FIND('112'!$M$9,G1660,1)),"",IF((AND(LEFT(G1660,2)=LEFT('112'!$M$9,2),B1660&lt;'112'!$K$9,$N1660='112'!$I$6)),"x",""))</f>
        <v/>
      </c>
      <c r="V1660" s="75" t="str">
        <f>IF(ISERROR(FIND('112'!$M$9,G1660,1)),"",IF((AND(RIGHT(G1660,2)=RIGHT('112'!$M$9,2),B1660&lt;'112'!$K$9,$O1660='112'!$I$6)),"x",""))</f>
        <v/>
      </c>
      <c r="W1660" s="75" t="str">
        <f>IF(AND('341-CT'!$H$9=H1660,OR(LEFT(N1660,3)=$W$7,LEFT(O1660,3)=$W$7)),"x","")</f>
        <v/>
      </c>
      <c r="X1660" s="75" t="str">
        <f>IF(OR(TH!N1660=TH!$X$7,O1660=TH!$X$7),"x","")</f>
        <v/>
      </c>
      <c r="Y1660" s="75" t="str">
        <f>IF(AND(OR(N1660="131",O1660="131"),H1660='131-CT'!$H$9),"x","")</f>
        <v/>
      </c>
      <c r="Z1660" s="75"/>
      <c r="AA1660" s="75" t="str">
        <f>IF(AND(MONTH(E1660)='IN-NX'!$J$5,'IN-NX'!$D$7=D1660),"x","")</f>
        <v/>
      </c>
      <c r="AB1660" s="75" t="str">
        <f>IF(AND(OR(LEFT(TH!N1660,2)="15",LEFT(TH!O1660,2)="15"),LEFT(TH!O1660,3)&lt;&gt;"111",'152-CT'!$J$8=TH!F1660),"x","")</f>
        <v/>
      </c>
      <c r="AC1660" s="75" t="str">
        <f>IF(AND(OR(LEFT(TH!N1660,2)="15",LEFT(TH!O1660,2)="15"),TK!$E$7=TH!F1660),"x","")</f>
        <v/>
      </c>
      <c r="AD1660" s="75" t="str">
        <f>IF(AND(N1660="1521",MONTH(C1660)='BK-NL'!$M$11),"x","")</f>
        <v/>
      </c>
      <c r="AF1660" s="1054"/>
    </row>
    <row r="1661" spans="1:32" s="1053" customFormat="1" ht="16.5" customHeight="1">
      <c r="A1661" s="309" t="str">
        <f>IF(B1661&lt;&gt;"",IF(AND(B1661='IN-TC'!$S$4,OR(TH!N1661="1111",TH!O1661="1111")),TH!D1661,""),"")</f>
        <v/>
      </c>
      <c r="B1661" s="1243">
        <f t="shared" ref="B1661:B1668" si="427">IF(C1661&lt;&gt;"",MONTH(C1661),"")</f>
        <v>7</v>
      </c>
      <c r="C1661" s="217">
        <v>42945</v>
      </c>
      <c r="D1661" s="217" t="s">
        <v>2210</v>
      </c>
      <c r="E1661" s="217">
        <f t="shared" ref="E1661:E1666" si="428">C1661</f>
        <v>42945</v>
      </c>
      <c r="F1661" s="960" t="s">
        <v>801</v>
      </c>
      <c r="G1661" s="739" t="s">
        <v>1014</v>
      </c>
      <c r="H1661" s="311" t="s">
        <v>623</v>
      </c>
      <c r="I1661" s="373">
        <v>50</v>
      </c>
      <c r="J1661" s="373">
        <v>155000</v>
      </c>
      <c r="K1661" s="373"/>
      <c r="L1661" s="379"/>
      <c r="M1661" s="927">
        <f t="shared" si="416"/>
        <v>7750000</v>
      </c>
      <c r="N1661" s="935" t="s">
        <v>274</v>
      </c>
      <c r="O1661" s="935" t="s">
        <v>8</v>
      </c>
      <c r="P1661" s="75" t="str">
        <f>IF(AND('331-CT'!$E$7=TH!H1661,OR(N1661="331",O1661="331")),"x","")</f>
        <v/>
      </c>
      <c r="Q1661" s="75" t="str">
        <f>IF(AND(B1661='111'!$L$11,OR($N1661=$Q$7,$O1661=$Q$7)),"x","")</f>
        <v/>
      </c>
      <c r="R1661" s="75" t="str">
        <f>IF(AND($N1661=$Q$7,$B1661&lt;'111'!$L$11),"x","")</f>
        <v/>
      </c>
      <c r="S1661" s="75" t="str">
        <f>IF(AND($O1661=$Q$7,$B1661&lt;'111'!$L$11),"x","")</f>
        <v/>
      </c>
      <c r="T1661" s="75" t="str">
        <f>IF(ISERROR(FIND('112'!$M$9,G1661,1)),"",IF((AND(FIND('112'!$M$9,G1661,1)&gt;=1,B1661='112'!$K$9,OR($N1661='112'!$I$6,$O1661='112'!$I$6))),"x",""))</f>
        <v/>
      </c>
      <c r="U1661" s="75" t="str">
        <f>IF(ISERROR(FIND('112'!$M$9,G1661,1)),"",IF((AND(LEFT(G1661,2)=LEFT('112'!$M$9,2),B1661&lt;'112'!$K$9,$N1661='112'!$I$6)),"x",""))</f>
        <v/>
      </c>
      <c r="V1661" s="75" t="str">
        <f>IF(ISERROR(FIND('112'!$M$9,G1661,1)),"",IF((AND(RIGHT(G1661,2)=RIGHT('112'!$M$9,2),B1661&lt;'112'!$K$9,$O1661='112'!$I$6)),"x",""))</f>
        <v/>
      </c>
      <c r="W1661" s="75" t="str">
        <f>IF(AND('341-CT'!$H$9=H1661,OR(LEFT(N1661,3)=$W$7,LEFT(O1661,3)=$W$7)),"x","")</f>
        <v/>
      </c>
      <c r="X1661" s="75" t="str">
        <f>IF(OR(TH!N1661=TH!$X$7,O1661=TH!$X$7),"x","")</f>
        <v/>
      </c>
      <c r="Y1661" s="75" t="str">
        <f>IF(AND(OR(N1661="131",O1661="131"),H1661='131-CT'!$H$9),"x","")</f>
        <v/>
      </c>
      <c r="Z1661" s="75"/>
      <c r="AA1661" s="75" t="str">
        <f>IF(AND(MONTH(E1661)='IN-NX'!$J$5,'IN-NX'!$D$7=D1661),"x","")</f>
        <v/>
      </c>
      <c r="AB1661" s="75" t="str">
        <f>IF(AND(OR(LEFT(TH!N1661,2)="15",LEFT(TH!O1661,2)="15"),LEFT(TH!O1661,3)&lt;&gt;"111",'152-CT'!$J$8=TH!F1661),"x","")</f>
        <v/>
      </c>
      <c r="AC1661" s="75" t="str">
        <f>IF(AND(OR(LEFT(TH!N1661,2)="15",LEFT(TH!O1661,2)="15"),TK!$E$7=TH!F1661),"x","")</f>
        <v/>
      </c>
      <c r="AD1661" s="75" t="str">
        <f>IF(AND(N1661="1521",MONTH(C1661)='BK-NL'!$M$11),"x","")</f>
        <v/>
      </c>
      <c r="AE1661" s="1053">
        <v>9</v>
      </c>
      <c r="AF1661" s="1054"/>
    </row>
    <row r="1662" spans="1:32" s="1053" customFormat="1" ht="16.5" customHeight="1">
      <c r="A1662" s="309" t="str">
        <f>IF(B1662&lt;&gt;"",IF(AND(B1662='IN-TC'!$S$4,OR(TH!N1662="1111",TH!O1662="1111")),TH!D1662,""),"")</f>
        <v/>
      </c>
      <c r="B1662" s="1243">
        <f t="shared" ref="B1662" si="429">IF(C1662&lt;&gt;"",MONTH(C1662),"")</f>
        <v>7</v>
      </c>
      <c r="C1662" s="217">
        <v>42945</v>
      </c>
      <c r="D1662" s="217" t="s">
        <v>2210</v>
      </c>
      <c r="E1662" s="217">
        <f t="shared" ref="E1662" si="430">C1662</f>
        <v>42945</v>
      </c>
      <c r="F1662" s="960" t="s">
        <v>1099</v>
      </c>
      <c r="G1662" s="739" t="s">
        <v>1014</v>
      </c>
      <c r="H1662" s="311" t="s">
        <v>623</v>
      </c>
      <c r="I1662" s="373"/>
      <c r="J1662" s="373"/>
      <c r="K1662" s="373"/>
      <c r="L1662" s="379"/>
      <c r="M1662" s="927">
        <v>775000</v>
      </c>
      <c r="N1662" s="935" t="s">
        <v>9</v>
      </c>
      <c r="O1662" s="935" t="s">
        <v>8</v>
      </c>
      <c r="P1662" s="75" t="str">
        <f>IF(AND('331-CT'!$E$7=TH!H1662,OR(N1662="331",O1662="331")),"x","")</f>
        <v/>
      </c>
      <c r="Q1662" s="75" t="str">
        <f>IF(AND(B1662='111'!$L$11,OR($N1662=$Q$7,$O1662=$Q$7)),"x","")</f>
        <v/>
      </c>
      <c r="R1662" s="75" t="str">
        <f>IF(AND($N1662=$Q$7,$B1662&lt;'111'!$L$11),"x","")</f>
        <v/>
      </c>
      <c r="S1662" s="75" t="str">
        <f>IF(AND($O1662=$Q$7,$B1662&lt;'111'!$L$11),"x","")</f>
        <v/>
      </c>
      <c r="T1662" s="75" t="str">
        <f>IF(ISERROR(FIND('112'!$M$9,G1662,1)),"",IF((AND(FIND('112'!$M$9,G1662,1)&gt;=1,B1662='112'!$K$9,OR($N1662='112'!$I$6,$O1662='112'!$I$6))),"x",""))</f>
        <v/>
      </c>
      <c r="U1662" s="75" t="str">
        <f>IF(ISERROR(FIND('112'!$M$9,G1662,1)),"",IF((AND(LEFT(G1662,2)=LEFT('112'!$M$9,2),B1662&lt;'112'!$K$9,$N1662='112'!$I$6)),"x",""))</f>
        <v/>
      </c>
      <c r="V1662" s="75" t="str">
        <f>IF(ISERROR(FIND('112'!$M$9,G1662,1)),"",IF((AND(RIGHT(G1662,2)=RIGHT('112'!$M$9,2),B1662&lt;'112'!$K$9,$O1662='112'!$I$6)),"x",""))</f>
        <v/>
      </c>
      <c r="W1662" s="75" t="str">
        <f>IF(AND('341-CT'!$H$9=H1662,OR(LEFT(N1662,3)=$W$7,LEFT(O1662,3)=$W$7)),"x","")</f>
        <v/>
      </c>
      <c r="X1662" s="75" t="str">
        <f>IF(OR(TH!N1662=TH!$X$7,O1662=TH!$X$7),"x","")</f>
        <v/>
      </c>
      <c r="Y1662" s="75" t="str">
        <f>IF(AND(OR(N1662="131",O1662="131"),H1662='131-CT'!$H$9),"x","")</f>
        <v/>
      </c>
      <c r="Z1662" s="75"/>
      <c r="AA1662" s="75" t="str">
        <f>IF(AND(MONTH(E1662)='IN-NX'!$J$5,'IN-NX'!$D$7=D1662),"x","")</f>
        <v/>
      </c>
      <c r="AB1662" s="75" t="str">
        <f>IF(AND(OR(LEFT(TH!N1662,2)="15",LEFT(TH!O1662,2)="15"),LEFT(TH!O1662,3)&lt;&gt;"111",'152-CT'!$J$8=TH!F1662),"x","")</f>
        <v/>
      </c>
      <c r="AC1662" s="75" t="str">
        <f>IF(AND(OR(LEFT(TH!N1662,2)="15",LEFT(TH!O1662,2)="15"),TK!$E$7=TH!F1662),"x","")</f>
        <v/>
      </c>
      <c r="AD1662" s="75" t="str">
        <f>IF(AND(N1662="1521",MONTH(C1662)='BK-NL'!$M$11),"x","")</f>
        <v/>
      </c>
      <c r="AE1662" s="1053">
        <v>9</v>
      </c>
      <c r="AF1662" s="1054"/>
    </row>
    <row r="1663" spans="1:32" ht="16.5" customHeight="1">
      <c r="A1663" s="309" t="str">
        <f>IF(B1663&lt;&gt;"",IF(AND(B1663='IN-TC'!$S$4,OR(TH!N1663="1111",TH!O1663="1111")),TH!D1663,""),"")</f>
        <v/>
      </c>
      <c r="B1663" s="1243">
        <f t="shared" si="427"/>
        <v>7</v>
      </c>
      <c r="C1663" s="217">
        <v>42945</v>
      </c>
      <c r="D1663" s="217" t="s">
        <v>1124</v>
      </c>
      <c r="E1663" s="217">
        <f t="shared" si="424"/>
        <v>42945</v>
      </c>
      <c r="F1663" s="1031" t="s">
        <v>429</v>
      </c>
      <c r="G1663" s="739"/>
      <c r="H1663" s="294" t="s">
        <v>2919</v>
      </c>
      <c r="I1663" s="1122">
        <v>247763.1534500001</v>
      </c>
      <c r="J1663" s="926">
        <v>60792.351539227609</v>
      </c>
      <c r="K1663" s="926"/>
      <c r="L1663" s="379"/>
      <c r="M1663" s="927">
        <f>ROUND(I1663*J1663,0)</f>
        <v>15062104723</v>
      </c>
      <c r="N1663" s="935" t="s">
        <v>274</v>
      </c>
      <c r="O1663" s="935" t="s">
        <v>272</v>
      </c>
      <c r="P1663" s="75" t="str">
        <f>IF(AND('331-CT'!$E$7=TH!H1663,OR(N1663="331",O1663="331")),"x","")</f>
        <v/>
      </c>
      <c r="Q1663" s="75" t="str">
        <f>IF(AND(B1663='111'!$L$11,OR($N1663=$Q$7,$O1663=$Q$7)),"x","")</f>
        <v/>
      </c>
      <c r="R1663" s="75" t="str">
        <f>IF(AND($N1663=$Q$7,$B1663&lt;'111'!$L$11),"x","")</f>
        <v/>
      </c>
      <c r="S1663" s="75" t="str">
        <f>IF(AND($O1663=$Q$7,$B1663&lt;'111'!$L$11),"x","")</f>
        <v/>
      </c>
      <c r="T1663" s="75" t="str">
        <f>IF(ISERROR(FIND('112'!$M$9,G1663,1)),"",IF((AND(FIND('112'!$M$9,G1663,1)&gt;=1,B1663='112'!$K$9,OR($N1663='112'!$I$6,$O1663='112'!$I$6))),"x",""))</f>
        <v/>
      </c>
      <c r="U1663" s="75" t="str">
        <f>IF(ISERROR(FIND('112'!$M$9,G1663,1)),"",IF((AND(LEFT(G1663,2)=LEFT('112'!$M$9,2),B1663&lt;'112'!$K$9,$N1663='112'!$I$6)),"x",""))</f>
        <v/>
      </c>
      <c r="V1663" s="75" t="str">
        <f>IF(ISERROR(FIND('112'!$M$9,G1663,1)),"",IF((AND(RIGHT(G1663,2)=RIGHT('112'!$M$9,2),B1663&lt;'112'!$K$9,$O1663='112'!$I$6)),"x",""))</f>
        <v/>
      </c>
      <c r="W1663" s="75" t="str">
        <f>IF(AND('341-CT'!$H$9=H1663,OR(LEFT(N1663,3)=$W$7,LEFT(O1663,3)=$W$7)),"x","")</f>
        <v/>
      </c>
      <c r="X1663" s="75" t="str">
        <f>IF(OR(TH!N1663=TH!$X$7,O1663=TH!$X$7),"x","")</f>
        <v/>
      </c>
      <c r="Y1663" s="75" t="str">
        <f>IF(AND(OR(N1663="131",O1663="131"),H1663='131-CT'!$H$9),"x","")</f>
        <v/>
      </c>
      <c r="Z1663" s="75"/>
      <c r="AA1663" s="75" t="str">
        <f>IF(AND(MONTH(E1663)='IN-NX'!$J$5,'IN-NX'!$D$7=D1663),"x","")</f>
        <v/>
      </c>
      <c r="AB1663" s="75" t="str">
        <f>IF(AND(OR(LEFT(TH!N1663,2)="15",LEFT(TH!O1663,2)="15"),LEFT(TH!O1663,3)&lt;&gt;"111",'152-CT'!$J$8=TH!F1663),"x","")</f>
        <v/>
      </c>
      <c r="AC1663" s="75" t="str">
        <f>IF(AND(OR(LEFT(TH!N1663,2)="15",LEFT(TH!O1663,2)="15"),TK!$E$7=TH!F1663),"x","")</f>
        <v/>
      </c>
      <c r="AD1663" s="75" t="str">
        <f>IF(AND(N1663="1521",MONTH(C1663)='BK-NL'!$M$11),"x","")</f>
        <v/>
      </c>
      <c r="AF1663" s="1054"/>
    </row>
    <row r="1664" spans="1:32" s="1053" customFormat="1" ht="16.5" customHeight="1">
      <c r="A1664" s="309" t="str">
        <f>IF(B1664&lt;&gt;"",IF(AND(B1664='IN-TC'!$S$4,OR(TH!N1664="1111",TH!O1664="1111")),TH!D1664,""),"")</f>
        <v/>
      </c>
      <c r="B1664" s="1243">
        <f t="shared" si="427"/>
        <v>7</v>
      </c>
      <c r="C1664" s="217">
        <v>42945</v>
      </c>
      <c r="D1664" s="217" t="s">
        <v>1123</v>
      </c>
      <c r="E1664" s="217">
        <f t="shared" si="428"/>
        <v>42945</v>
      </c>
      <c r="F1664" s="1031" t="s">
        <v>2401</v>
      </c>
      <c r="G1664" s="739"/>
      <c r="H1664" s="294" t="s">
        <v>2919</v>
      </c>
      <c r="I1664" s="373">
        <v>8000</v>
      </c>
      <c r="J1664" s="926">
        <v>182561.33512500001</v>
      </c>
      <c r="K1664" s="926"/>
      <c r="L1664" s="379"/>
      <c r="M1664" s="927">
        <f t="shared" ref="M1664" si="431">ROUND(I1664*J1664,0)</f>
        <v>1460490681</v>
      </c>
      <c r="N1664" s="935" t="s">
        <v>274</v>
      </c>
      <c r="O1664" s="935" t="s">
        <v>272</v>
      </c>
      <c r="P1664" s="75" t="str">
        <f>IF(AND('331-CT'!$E$7=TH!H1664,OR(N1664="331",O1664="331")),"x","")</f>
        <v/>
      </c>
      <c r="Q1664" s="75" t="str">
        <f>IF(AND(B1664='111'!$L$11,OR($N1664=$Q$7,$O1664=$Q$7)),"x","")</f>
        <v/>
      </c>
      <c r="R1664" s="75" t="str">
        <f>IF(AND($N1664=$Q$7,$B1664&lt;'111'!$L$11),"x","")</f>
        <v/>
      </c>
      <c r="S1664" s="75" t="str">
        <f>IF(AND($O1664=$Q$7,$B1664&lt;'111'!$L$11),"x","")</f>
        <v/>
      </c>
      <c r="T1664" s="75" t="str">
        <f>IF(ISERROR(FIND('112'!$M$9,G1664,1)),"",IF((AND(FIND('112'!$M$9,G1664,1)&gt;=1,B1664='112'!$K$9,OR($N1664='112'!$I$6,$O1664='112'!$I$6))),"x",""))</f>
        <v/>
      </c>
      <c r="U1664" s="75" t="str">
        <f>IF(ISERROR(FIND('112'!$M$9,G1664,1)),"",IF((AND(LEFT(G1664,2)=LEFT('112'!$M$9,2),B1664&lt;'112'!$K$9,$N1664='112'!$I$6)),"x",""))</f>
        <v/>
      </c>
      <c r="V1664" s="75" t="str">
        <f>IF(ISERROR(FIND('112'!$M$9,G1664,1)),"",IF((AND(RIGHT(G1664,2)=RIGHT('112'!$M$9,2),B1664&lt;'112'!$K$9,$O1664='112'!$I$6)),"x",""))</f>
        <v/>
      </c>
      <c r="W1664" s="75" t="str">
        <f>IF(AND('341-CT'!$H$9=H1664,OR(LEFT(N1664,3)=$W$7,LEFT(O1664,3)=$W$7)),"x","")</f>
        <v/>
      </c>
      <c r="X1664" s="75" t="str">
        <f>IF(OR(TH!N1664=TH!$X$7,O1664=TH!$X$7),"x","")</f>
        <v/>
      </c>
      <c r="Y1664" s="75" t="str">
        <f>IF(AND(OR(N1664="131",O1664="131"),H1664='131-CT'!$H$9),"x","")</f>
        <v/>
      </c>
      <c r="Z1664" s="75"/>
      <c r="AA1664" s="75" t="str">
        <f>IF(AND(MONTH(E1664)='IN-NX'!$J$5,'IN-NX'!$D$7=D1664),"x","")</f>
        <v/>
      </c>
      <c r="AB1664" s="75" t="str">
        <f>IF(AND(OR(LEFT(TH!N1664,2)="15",LEFT(TH!O1664,2)="15"),LEFT(TH!O1664,3)&lt;&gt;"111",'152-CT'!$J$8=TH!F1664),"x","")</f>
        <v/>
      </c>
      <c r="AC1664" s="75" t="str">
        <f>IF(AND(OR(LEFT(TH!N1664,2)="15",LEFT(TH!O1664,2)="15"),TK!$E$7=TH!F1664),"x","")</f>
        <v/>
      </c>
      <c r="AD1664" s="75" t="str">
        <f>IF(AND(N1664="1521",MONTH(C1664)='BK-NL'!$M$11),"x","")</f>
        <v/>
      </c>
      <c r="AF1664" s="1054"/>
    </row>
    <row r="1665" spans="1:32" ht="16.5" customHeight="1">
      <c r="A1665" s="309" t="str">
        <f>IF(B1665&lt;&gt;"",IF(AND(B1665='IN-TC'!$S$4,OR(TH!N1665="1111",TH!O1665="1111")),TH!D1665,""),"")</f>
        <v/>
      </c>
      <c r="B1665" s="1243">
        <f t="shared" si="427"/>
        <v>7</v>
      </c>
      <c r="C1665" s="217">
        <v>42945</v>
      </c>
      <c r="D1665" s="217" t="s">
        <v>1124</v>
      </c>
      <c r="E1665" s="217">
        <f t="shared" si="424"/>
        <v>42945</v>
      </c>
      <c r="F1665" s="1031" t="s">
        <v>1588</v>
      </c>
      <c r="G1665" s="739"/>
      <c r="H1665" s="294" t="s">
        <v>2919</v>
      </c>
      <c r="I1665" s="373">
        <v>5900</v>
      </c>
      <c r="J1665" s="926">
        <v>222811.33508474578</v>
      </c>
      <c r="K1665" s="926"/>
      <c r="L1665" s="379"/>
      <c r="M1665" s="927">
        <f>ROUND(I1665*J1665,0)</f>
        <v>1314586877</v>
      </c>
      <c r="N1665" s="935" t="s">
        <v>274</v>
      </c>
      <c r="O1665" s="935" t="s">
        <v>272</v>
      </c>
      <c r="P1665" s="75" t="str">
        <f>IF(AND('331-CT'!$E$7=TH!H1665,OR(N1665="331",O1665="331")),"x","")</f>
        <v/>
      </c>
      <c r="Q1665" s="75" t="str">
        <f>IF(AND(B1665='111'!$L$11,OR($N1665=$Q$7,$O1665=$Q$7)),"x","")</f>
        <v/>
      </c>
      <c r="R1665" s="75" t="str">
        <f>IF(AND($N1665=$Q$7,$B1665&lt;'111'!$L$11),"x","")</f>
        <v/>
      </c>
      <c r="S1665" s="75" t="str">
        <f>IF(AND($O1665=$Q$7,$B1665&lt;'111'!$L$11),"x","")</f>
        <v/>
      </c>
      <c r="T1665" s="75" t="str">
        <f>IF(ISERROR(FIND('112'!$M$9,G1665,1)),"",IF((AND(FIND('112'!$M$9,G1665,1)&gt;=1,B1665='112'!$K$9,OR($N1665='112'!$I$6,$O1665='112'!$I$6))),"x",""))</f>
        <v/>
      </c>
      <c r="U1665" s="75" t="str">
        <f>IF(ISERROR(FIND('112'!$M$9,G1665,1)),"",IF((AND(LEFT(G1665,2)=LEFT('112'!$M$9,2),B1665&lt;'112'!$K$9,$N1665='112'!$I$6)),"x",""))</f>
        <v/>
      </c>
      <c r="V1665" s="75" t="str">
        <f>IF(ISERROR(FIND('112'!$M$9,G1665,1)),"",IF((AND(RIGHT(G1665,2)=RIGHT('112'!$M$9,2),B1665&lt;'112'!$K$9,$O1665='112'!$I$6)),"x",""))</f>
        <v/>
      </c>
      <c r="W1665" s="75" t="str">
        <f>IF(AND('341-CT'!$H$9=H1665,OR(LEFT(N1665,3)=$W$7,LEFT(O1665,3)=$W$7)),"x","")</f>
        <v/>
      </c>
      <c r="X1665" s="75" t="str">
        <f>IF(OR(TH!N1665=TH!$X$7,O1665=TH!$X$7),"x","")</f>
        <v/>
      </c>
      <c r="Y1665" s="75" t="str">
        <f>IF(AND(OR(N1665="131",O1665="131"),H1665='131-CT'!$H$9),"x","")</f>
        <v/>
      </c>
      <c r="Z1665" s="75"/>
      <c r="AA1665" s="75" t="str">
        <f>IF(AND(MONTH(E1665)='IN-NX'!$J$5,'IN-NX'!$D$7=D1665),"x","")</f>
        <v/>
      </c>
      <c r="AB1665" s="75" t="str">
        <f>IF(AND(OR(LEFT(TH!N1665,2)="15",LEFT(TH!O1665,2)="15"),LEFT(TH!O1665,3)&lt;&gt;"111",'152-CT'!$J$8=TH!F1665),"x","")</f>
        <v/>
      </c>
      <c r="AC1665" s="75" t="str">
        <f>IF(AND(OR(LEFT(TH!N1665,2)="15",LEFT(TH!O1665,2)="15"),TK!$E$7=TH!F1665),"x","")</f>
        <v/>
      </c>
      <c r="AD1665" s="75" t="str">
        <f>IF(AND(N1665="1521",MONTH(C1665)='BK-NL'!$M$11),"x","")</f>
        <v/>
      </c>
      <c r="AF1665" s="1054"/>
    </row>
    <row r="1666" spans="1:32" ht="16.5" customHeight="1">
      <c r="A1666" s="309" t="str">
        <f>IF(B1666&lt;&gt;"",IF(AND(B1666='IN-TC'!$S$4,OR(TH!N1666="1111",TH!O1666="1111")),TH!D1666,""),"")</f>
        <v/>
      </c>
      <c r="B1666" s="1243">
        <f t="shared" si="427"/>
        <v>7</v>
      </c>
      <c r="C1666" s="217">
        <v>42945</v>
      </c>
      <c r="D1666" s="217" t="s">
        <v>1125</v>
      </c>
      <c r="E1666" s="217">
        <f t="shared" si="428"/>
        <v>42945</v>
      </c>
      <c r="F1666" s="996" t="s">
        <v>1755</v>
      </c>
      <c r="G1666" s="739"/>
      <c r="H1666" s="294" t="s">
        <v>2919</v>
      </c>
      <c r="I1666" s="373">
        <v>4000</v>
      </c>
      <c r="J1666" s="926">
        <v>180101.06200000001</v>
      </c>
      <c r="K1666" s="926"/>
      <c r="L1666" s="379"/>
      <c r="M1666" s="927">
        <f>ROUND(I1666*J1666,0)</f>
        <v>720404248</v>
      </c>
      <c r="N1666" s="935" t="s">
        <v>274</v>
      </c>
      <c r="O1666" s="935" t="s">
        <v>272</v>
      </c>
      <c r="P1666" s="75" t="str">
        <f>IF(AND('331-CT'!$E$7=TH!H1666,OR(N1666="331",O1666="331")),"x","")</f>
        <v/>
      </c>
      <c r="Q1666" s="75" t="str">
        <f>IF(AND(B1666='111'!$L$11,OR($N1666=$Q$7,$O1666=$Q$7)),"x","")</f>
        <v/>
      </c>
      <c r="R1666" s="75" t="str">
        <f>IF(AND($N1666=$Q$7,$B1666&lt;'111'!$L$11),"x","")</f>
        <v/>
      </c>
      <c r="S1666" s="75" t="str">
        <f>IF(AND($O1666=$Q$7,$B1666&lt;'111'!$L$11),"x","")</f>
        <v/>
      </c>
      <c r="T1666" s="75" t="str">
        <f>IF(ISERROR(FIND('112'!$M$9,G1666,1)),"",IF((AND(FIND('112'!$M$9,G1666,1)&gt;=1,B1666='112'!$K$9,OR($N1666='112'!$I$6,$O1666='112'!$I$6))),"x",""))</f>
        <v/>
      </c>
      <c r="U1666" s="75" t="str">
        <f>IF(ISERROR(FIND('112'!$M$9,G1666,1)),"",IF((AND(LEFT(G1666,2)=LEFT('112'!$M$9,2),B1666&lt;'112'!$K$9,$N1666='112'!$I$6)),"x",""))</f>
        <v/>
      </c>
      <c r="V1666" s="75" t="str">
        <f>IF(ISERROR(FIND('112'!$M$9,G1666,1)),"",IF((AND(RIGHT(G1666,2)=RIGHT('112'!$M$9,2),B1666&lt;'112'!$K$9,$O1666='112'!$I$6)),"x",""))</f>
        <v/>
      </c>
      <c r="W1666" s="75" t="str">
        <f>IF(AND('341-CT'!$H$9=H1666,OR(LEFT(N1666,3)=$W$7,LEFT(O1666,3)=$W$7)),"x","")</f>
        <v/>
      </c>
      <c r="X1666" s="75" t="str">
        <f>IF(OR(TH!N1666=TH!$X$7,O1666=TH!$X$7),"x","")</f>
        <v/>
      </c>
      <c r="Y1666" s="75" t="str">
        <f>IF(AND(OR(N1666="131",O1666="131"),H1666='131-CT'!$H$9),"x","")</f>
        <v/>
      </c>
      <c r="Z1666" s="75"/>
      <c r="AA1666" s="75" t="str">
        <f>IF(AND(MONTH(E1666)='IN-NX'!$J$5,'IN-NX'!$D$7=D1666),"x","")</f>
        <v/>
      </c>
      <c r="AB1666" s="75" t="str">
        <f>IF(AND(OR(LEFT(TH!N1666,2)="15",LEFT(TH!O1666,2)="15"),LEFT(TH!O1666,3)&lt;&gt;"111",'152-CT'!$J$8=TH!F1666),"x","")</f>
        <v/>
      </c>
      <c r="AC1666" s="75" t="str">
        <f>IF(AND(OR(LEFT(TH!N1666,2)="15",LEFT(TH!O1666,2)="15"),TK!$E$7=TH!F1666),"x","")</f>
        <v/>
      </c>
      <c r="AD1666" s="75" t="str">
        <f>IF(AND(N1666="1521",MONTH(C1666)='BK-NL'!$M$11),"x","")</f>
        <v/>
      </c>
      <c r="AF1666" s="1054"/>
    </row>
    <row r="1667" spans="1:32" s="1264" customFormat="1" ht="16.5" customHeight="1">
      <c r="A1667" s="309" t="str">
        <f>IF(B1667&lt;&gt;"",IF(AND(B1667='IN-TC'!$S$4,OR(TH!N1667="1111",TH!O1667="1111")),TH!D1667,""),"")</f>
        <v/>
      </c>
      <c r="B1667" s="1243">
        <f t="shared" si="427"/>
        <v>7</v>
      </c>
      <c r="C1667" s="252">
        <f t="shared" ref="C1667:C1675" si="432">E1667</f>
        <v>42946</v>
      </c>
      <c r="D1667" s="252" t="s">
        <v>2921</v>
      </c>
      <c r="E1667" s="252">
        <v>42946</v>
      </c>
      <c r="F1667" s="1055" t="s">
        <v>429</v>
      </c>
      <c r="G1667" s="1056" t="s">
        <v>2934</v>
      </c>
      <c r="H1667" s="73" t="s">
        <v>789</v>
      </c>
      <c r="I1667" s="371">
        <f>24538+24306.5*2+24075.1+23612.1</f>
        <v>120838.20000000001</v>
      </c>
      <c r="J1667" s="371">
        <v>57000</v>
      </c>
      <c r="K1667" s="371"/>
      <c r="L1667" s="377"/>
      <c r="M1667" s="933">
        <f t="shared" ref="M1667:M1675" si="433">ROUND(I1667*J1667,0)</f>
        <v>6887777400</v>
      </c>
      <c r="N1667" s="977" t="s">
        <v>284</v>
      </c>
      <c r="O1667" s="977" t="s">
        <v>274</v>
      </c>
      <c r="P1667" s="75" t="str">
        <f>IF(AND('331-CT'!$E$7=TH!H1667,OR(N1667="331",O1667="331")),"x","")</f>
        <v/>
      </c>
      <c r="Q1667" s="75" t="str">
        <f>IF(AND(B1667='111'!$L$11,OR($N1667=$Q$7,$O1667=$Q$7)),"x","")</f>
        <v/>
      </c>
      <c r="R1667" s="75" t="str">
        <f>IF(AND($N1667=$Q$7,$B1667&lt;'111'!$L$11),"x","")</f>
        <v/>
      </c>
      <c r="S1667" s="75" t="str">
        <f>IF(AND($O1667=$Q$7,$B1667&lt;'111'!$L$11),"x","")</f>
        <v/>
      </c>
      <c r="T1667" s="75" t="str">
        <f>IF(ISERROR(FIND('112'!$M$9,G1667,1)),"",IF((AND(FIND('112'!$M$9,G1667,1)&gt;=1,B1667='112'!$K$9,OR($N1667='112'!$I$6,$O1667='112'!$I$6))),"x",""))</f>
        <v/>
      </c>
      <c r="U1667" s="75" t="str">
        <f>IF(ISERROR(FIND('112'!$M$9,G1667,1)),"",IF((AND(LEFT(G1667,2)=LEFT('112'!$M$9,2),B1667&lt;'112'!$K$9,$N1667='112'!$I$6)),"x",""))</f>
        <v/>
      </c>
      <c r="V1667" s="75" t="str">
        <f>IF(ISERROR(FIND('112'!$M$9,G1667,1)),"",IF((AND(RIGHT(G1667,2)=RIGHT('112'!$M$9,2),B1667&lt;'112'!$K$9,$O1667='112'!$I$6)),"x",""))</f>
        <v/>
      </c>
      <c r="W1667" s="75" t="str">
        <f>IF(AND('341-CT'!$H$9=H1667,OR(LEFT(N1667,3)=$W$7,LEFT(O1667,3)=$W$7)),"x","")</f>
        <v/>
      </c>
      <c r="X1667" s="75" t="str">
        <f>IF(OR(TH!N1667=TH!$X$7,O1667=TH!$X$7),"x","")</f>
        <v/>
      </c>
      <c r="Y1667" s="75" t="str">
        <f>IF(AND(OR(N1667="131",O1667="131"),H1667='131-CT'!$H$9),"x","")</f>
        <v/>
      </c>
      <c r="Z1667" s="75"/>
      <c r="AA1667" s="75" t="str">
        <f>IF(AND(MONTH(E1667)='IN-NX'!$J$5,'IN-NX'!$D$7=D1667),"x","")</f>
        <v/>
      </c>
      <c r="AB1667" s="75" t="str">
        <f>IF(AND(OR(LEFT(TH!N1667,2)="15",LEFT(TH!O1667,2)="15"),LEFT(TH!O1667,3)&lt;&gt;"111",'152-CT'!$J$8=TH!F1667),"x","")</f>
        <v/>
      </c>
      <c r="AC1667" s="75" t="str">
        <f>IF(AND(OR(LEFT(TH!N1667,2)="15",LEFT(TH!O1667,2)="15"),TK!$E$7=TH!F1667),"x","")</f>
        <v/>
      </c>
      <c r="AD1667" s="75" t="str">
        <f>IF(AND(N1667="1521",MONTH(C1667)='BK-NL'!$M$11),"x","")</f>
        <v/>
      </c>
      <c r="AF1667" s="1054"/>
    </row>
    <row r="1668" spans="1:32" s="1264" customFormat="1" ht="16.5" customHeight="1">
      <c r="A1668" s="309" t="str">
        <f>IF(B1668&lt;&gt;"",IF(AND(B1668='IN-TC'!$S$4,OR(TH!N1668="1111",TH!O1668="1111")),TH!D1668,""),"")</f>
        <v/>
      </c>
      <c r="B1668" s="1243">
        <f t="shared" si="427"/>
        <v>7</v>
      </c>
      <c r="C1668" s="252">
        <f>E1668</f>
        <v>42946</v>
      </c>
      <c r="D1668" s="252" t="s">
        <v>2921</v>
      </c>
      <c r="E1668" s="252">
        <v>42946</v>
      </c>
      <c r="F1668" s="1055" t="s">
        <v>429</v>
      </c>
      <c r="G1668" s="1056" t="s">
        <v>2935</v>
      </c>
      <c r="H1668" s="73" t="s">
        <v>789</v>
      </c>
      <c r="I1668" s="371">
        <f>24740.6+24021.9</f>
        <v>48762.5</v>
      </c>
      <c r="J1668" s="371">
        <v>56000</v>
      </c>
      <c r="K1668" s="371"/>
      <c r="L1668" s="377"/>
      <c r="M1668" s="933">
        <f>ROUND(I1668*J1668,0)</f>
        <v>2730700000</v>
      </c>
      <c r="N1668" s="977" t="s">
        <v>284</v>
      </c>
      <c r="O1668" s="977" t="s">
        <v>274</v>
      </c>
      <c r="P1668" s="75" t="str">
        <f>IF(AND('331-CT'!$E$7=TH!H1668,OR(N1668="331",O1668="331")),"x","")</f>
        <v/>
      </c>
      <c r="Q1668" s="75" t="str">
        <f>IF(AND(B1668='111'!$L$11,OR($N1668=$Q$7,$O1668=$Q$7)),"x","")</f>
        <v/>
      </c>
      <c r="R1668" s="75" t="str">
        <f>IF(AND($N1668=$Q$7,$B1668&lt;'111'!$L$11),"x","")</f>
        <v/>
      </c>
      <c r="S1668" s="75" t="str">
        <f>IF(AND($O1668=$Q$7,$B1668&lt;'111'!$L$11),"x","")</f>
        <v/>
      </c>
      <c r="T1668" s="75" t="str">
        <f>IF(ISERROR(FIND('112'!$M$9,G1668,1)),"",IF((AND(FIND('112'!$M$9,G1668,1)&gt;=1,B1668='112'!$K$9,OR($N1668='112'!$I$6,$O1668='112'!$I$6))),"x",""))</f>
        <v/>
      </c>
      <c r="U1668" s="75" t="str">
        <f>IF(ISERROR(FIND('112'!$M$9,G1668,1)),"",IF((AND(LEFT(G1668,2)=LEFT('112'!$M$9,2),B1668&lt;'112'!$K$9,$N1668='112'!$I$6)),"x",""))</f>
        <v/>
      </c>
      <c r="V1668" s="75" t="str">
        <f>IF(ISERROR(FIND('112'!$M$9,G1668,1)),"",IF((AND(RIGHT(G1668,2)=RIGHT('112'!$M$9,2),B1668&lt;'112'!$K$9,$O1668='112'!$I$6)),"x",""))</f>
        <v/>
      </c>
      <c r="W1668" s="75" t="str">
        <f>IF(AND('341-CT'!$H$9=H1668,OR(LEFT(N1668,3)=$W$7,LEFT(O1668,3)=$W$7)),"x","")</f>
        <v/>
      </c>
      <c r="X1668" s="75" t="str">
        <f>IF(OR(TH!N1668=TH!$X$7,O1668=TH!$X$7),"x","")</f>
        <v/>
      </c>
      <c r="Y1668" s="75" t="str">
        <f>IF(AND(OR(N1668="131",O1668="131"),H1668='131-CT'!$H$9),"x","")</f>
        <v/>
      </c>
      <c r="Z1668" s="75"/>
      <c r="AA1668" s="75" t="str">
        <f>IF(AND(MONTH(E1668)='IN-NX'!$J$5,'IN-NX'!$D$7=D1668),"x","")</f>
        <v/>
      </c>
      <c r="AB1668" s="75" t="str">
        <f>IF(AND(OR(LEFT(TH!N1668,2)="15",LEFT(TH!O1668,2)="15"),LEFT(TH!O1668,3)&lt;&gt;"111",'152-CT'!$J$8=TH!F1668),"x","")</f>
        <v/>
      </c>
      <c r="AC1668" s="75" t="str">
        <f>IF(AND(OR(LEFT(TH!N1668,2)="15",LEFT(TH!O1668,2)="15"),TK!$E$7=TH!F1668),"x","")</f>
        <v/>
      </c>
      <c r="AD1668" s="75" t="str">
        <f>IF(AND(N1668="1521",MONTH(C1668)='BK-NL'!$M$11),"x","")</f>
        <v/>
      </c>
      <c r="AF1668" s="1054"/>
    </row>
    <row r="1669" spans="1:32" s="1264" customFormat="1" ht="16.5" customHeight="1">
      <c r="A1669" s="309" t="str">
        <f>IF(B1669&lt;&gt;"",IF(AND(B1669='IN-TC'!$S$4,OR(TH!N1669="1111",TH!O1669="1111")),TH!D1669,""),"")</f>
        <v/>
      </c>
      <c r="B1669" s="1277">
        <f>IF(C1669&lt;&gt;"",MONTH(C1669),"")</f>
        <v>7</v>
      </c>
      <c r="C1669" s="252">
        <f>E1669</f>
        <v>42946</v>
      </c>
      <c r="D1669" s="252" t="s">
        <v>2921</v>
      </c>
      <c r="E1669" s="252">
        <v>42946</v>
      </c>
      <c r="F1669" s="1055" t="s">
        <v>429</v>
      </c>
      <c r="G1669" s="1056" t="s">
        <v>2936</v>
      </c>
      <c r="H1669" s="73" t="s">
        <v>789</v>
      </c>
      <c r="I1669" s="371">
        <f>24230.8+24230.8</f>
        <v>48461.599999999999</v>
      </c>
      <c r="J1669" s="371">
        <v>55000</v>
      </c>
      <c r="K1669" s="371"/>
      <c r="L1669" s="377"/>
      <c r="M1669" s="933">
        <f>ROUND(I1669*J1669,0)</f>
        <v>2665388000</v>
      </c>
      <c r="N1669" s="977" t="s">
        <v>284</v>
      </c>
      <c r="O1669" s="977" t="s">
        <v>274</v>
      </c>
      <c r="P1669" s="75" t="str">
        <f>IF(AND('331-CT'!$E$7=TH!H1669,OR(N1669="331",O1669="331")),"x","")</f>
        <v/>
      </c>
      <c r="Q1669" s="75" t="str">
        <f>IF(AND(B1669='111'!$L$11,OR($N1669=$Q$7,$O1669=$Q$7)),"x","")</f>
        <v/>
      </c>
      <c r="R1669" s="75" t="str">
        <f>IF(AND($N1669=$Q$7,$B1669&lt;'111'!$L$11),"x","")</f>
        <v/>
      </c>
      <c r="S1669" s="75" t="str">
        <f>IF(AND($O1669=$Q$7,$B1669&lt;'111'!$L$11),"x","")</f>
        <v/>
      </c>
      <c r="T1669" s="75" t="str">
        <f>IF(ISERROR(FIND('112'!$M$9,G1669,1)),"",IF((AND(FIND('112'!$M$9,G1669,1)&gt;=1,B1669='112'!$K$9,OR($N1669='112'!$I$6,$O1669='112'!$I$6))),"x",""))</f>
        <v/>
      </c>
      <c r="U1669" s="75" t="str">
        <f>IF(ISERROR(FIND('112'!$M$9,G1669,1)),"",IF((AND(LEFT(G1669,2)=LEFT('112'!$M$9,2),B1669&lt;'112'!$K$9,$N1669='112'!$I$6)),"x",""))</f>
        <v/>
      </c>
      <c r="V1669" s="75" t="str">
        <f>IF(ISERROR(FIND('112'!$M$9,G1669,1)),"",IF((AND(RIGHT(G1669,2)=RIGHT('112'!$M$9,2),B1669&lt;'112'!$K$9,$O1669='112'!$I$6)),"x",""))</f>
        <v/>
      </c>
      <c r="W1669" s="75" t="str">
        <f>IF(AND('341-CT'!$H$9=H1669,OR(LEFT(N1669,3)=$W$7,LEFT(O1669,3)=$W$7)),"x","")</f>
        <v/>
      </c>
      <c r="X1669" s="75" t="str">
        <f>IF(OR(TH!N1669=TH!$X$7,O1669=TH!$X$7),"x","")</f>
        <v/>
      </c>
      <c r="Y1669" s="75" t="str">
        <f>IF(AND(OR(N1669="131",O1669="131"),H1669='131-CT'!$H$9),"x","")</f>
        <v/>
      </c>
      <c r="Z1669" s="75"/>
      <c r="AA1669" s="75" t="str">
        <f>IF(AND(MONTH(E1669)='IN-NX'!$J$5,'IN-NX'!$D$7=D1669),"x","")</f>
        <v/>
      </c>
      <c r="AB1669" s="75" t="str">
        <f>IF(AND(OR(LEFT(TH!N1669,2)="15",LEFT(TH!O1669,2)="15"),LEFT(TH!O1669,3)&lt;&gt;"111",'152-CT'!$J$8=TH!F1669),"x","")</f>
        <v/>
      </c>
      <c r="AC1669" s="75" t="str">
        <f>IF(AND(OR(LEFT(TH!N1669,2)="15",LEFT(TH!O1669,2)="15"),TK!$E$7=TH!F1669),"x","")</f>
        <v/>
      </c>
      <c r="AD1669" s="75" t="str">
        <f>IF(AND(N1669="1521",MONTH(C1669)='BK-NL'!$M$11),"x","")</f>
        <v/>
      </c>
      <c r="AF1669" s="1054"/>
    </row>
    <row r="1670" spans="1:32" s="1264" customFormat="1" ht="16.5" customHeight="1">
      <c r="A1670" s="309" t="str">
        <f>IF(B1670&lt;&gt;"",IF(AND(B1670='IN-TC'!$S$4,OR(TH!N1670="1111",TH!O1670="1111")),TH!D1670,""),"")</f>
        <v/>
      </c>
      <c r="B1670" s="1277">
        <f>IF(C1670&lt;&gt;"",MONTH(C1670),"")</f>
        <v>7</v>
      </c>
      <c r="C1670" s="252">
        <f>E1670</f>
        <v>42946</v>
      </c>
      <c r="D1670" s="252" t="s">
        <v>2921</v>
      </c>
      <c r="E1670" s="252">
        <v>42946</v>
      </c>
      <c r="F1670" s="1055" t="s">
        <v>429</v>
      </c>
      <c r="G1670" s="1056" t="s">
        <v>1809</v>
      </c>
      <c r="H1670" s="73" t="s">
        <v>789</v>
      </c>
      <c r="I1670" s="371">
        <v>23457.8</v>
      </c>
      <c r="J1670" s="371">
        <v>54000</v>
      </c>
      <c r="K1670" s="371"/>
      <c r="L1670" s="377"/>
      <c r="M1670" s="933">
        <f>ROUND(I1670*J1670,0)</f>
        <v>1266721200</v>
      </c>
      <c r="N1670" s="977" t="s">
        <v>284</v>
      </c>
      <c r="O1670" s="977" t="s">
        <v>274</v>
      </c>
      <c r="P1670" s="75" t="str">
        <f>IF(AND('331-CT'!$E$7=TH!H1670,OR(N1670="331",O1670="331")),"x","")</f>
        <v/>
      </c>
      <c r="Q1670" s="75" t="str">
        <f>IF(AND(B1670='111'!$L$11,OR($N1670=$Q$7,$O1670=$Q$7)),"x","")</f>
        <v/>
      </c>
      <c r="R1670" s="75" t="str">
        <f>IF(AND($N1670=$Q$7,$B1670&lt;'111'!$L$11),"x","")</f>
        <v/>
      </c>
      <c r="S1670" s="75" t="str">
        <f>IF(AND($O1670=$Q$7,$B1670&lt;'111'!$L$11),"x","")</f>
        <v/>
      </c>
      <c r="T1670" s="75" t="str">
        <f>IF(ISERROR(FIND('112'!$M$9,G1670,1)),"",IF((AND(FIND('112'!$M$9,G1670,1)&gt;=1,B1670='112'!$K$9,OR($N1670='112'!$I$6,$O1670='112'!$I$6))),"x",""))</f>
        <v/>
      </c>
      <c r="U1670" s="75" t="str">
        <f>IF(ISERROR(FIND('112'!$M$9,G1670,1)),"",IF((AND(LEFT(G1670,2)=LEFT('112'!$M$9,2),B1670&lt;'112'!$K$9,$N1670='112'!$I$6)),"x",""))</f>
        <v/>
      </c>
      <c r="V1670" s="75" t="str">
        <f>IF(ISERROR(FIND('112'!$M$9,G1670,1)),"",IF((AND(RIGHT(G1670,2)=RIGHT('112'!$M$9,2),B1670&lt;'112'!$K$9,$O1670='112'!$I$6)),"x",""))</f>
        <v/>
      </c>
      <c r="W1670" s="75" t="str">
        <f>IF(AND('341-CT'!$H$9=H1670,OR(LEFT(N1670,3)=$W$7,LEFT(O1670,3)=$W$7)),"x","")</f>
        <v/>
      </c>
      <c r="X1670" s="75" t="str">
        <f>IF(OR(TH!N1670=TH!$X$7,O1670=TH!$X$7),"x","")</f>
        <v/>
      </c>
      <c r="Y1670" s="75" t="str">
        <f>IF(AND(OR(N1670="131",O1670="131"),H1670='131-CT'!$H$9),"x","")</f>
        <v/>
      </c>
      <c r="Z1670" s="75"/>
      <c r="AA1670" s="75" t="str">
        <f>IF(AND(MONTH(E1670)='IN-NX'!$J$5,'IN-NX'!$D$7=D1670),"x","")</f>
        <v/>
      </c>
      <c r="AB1670" s="75" t="str">
        <f>IF(AND(OR(LEFT(TH!N1670,2)="15",LEFT(TH!O1670,2)="15"),LEFT(TH!O1670,3)&lt;&gt;"111",'152-CT'!$J$8=TH!F1670),"x","")</f>
        <v/>
      </c>
      <c r="AC1670" s="75" t="str">
        <f>IF(AND(OR(LEFT(TH!N1670,2)="15",LEFT(TH!O1670,2)="15"),TK!$E$7=TH!F1670),"x","")</f>
        <v/>
      </c>
      <c r="AD1670" s="75" t="str">
        <f>IF(AND(N1670="1521",MONTH(C1670)='BK-NL'!$M$11),"x","")</f>
        <v/>
      </c>
      <c r="AF1670" s="1054"/>
    </row>
    <row r="1671" spans="1:32" s="1264" customFormat="1" ht="16.5" customHeight="1">
      <c r="A1671" s="309" t="str">
        <f>IF(B1671&lt;&gt;"",IF(AND(B1671='IN-TC'!$S$4,OR(TH!N1671="1111",TH!O1671="1111")),TH!D1671,""),"")</f>
        <v/>
      </c>
      <c r="B1671" s="1277">
        <f t="shared" ref="B1671:B1686" si="434">IF(C1671&lt;&gt;"",MONTH(C1671),"")</f>
        <v>7</v>
      </c>
      <c r="C1671" s="252">
        <f t="shared" si="432"/>
        <v>42946</v>
      </c>
      <c r="D1671" s="252" t="s">
        <v>2921</v>
      </c>
      <c r="E1671" s="252">
        <v>42946</v>
      </c>
      <c r="F1671" s="1055" t="s">
        <v>429</v>
      </c>
      <c r="G1671" s="1056" t="s">
        <v>2939</v>
      </c>
      <c r="H1671" s="73" t="s">
        <v>791</v>
      </c>
      <c r="I1671" s="371">
        <f>23996.2+23770.5+21302+23205+22976.3+23877.4+22633.44655+21302+21523.9</f>
        <v>204586.74654999998</v>
      </c>
      <c r="J1671" s="371">
        <v>58000</v>
      </c>
      <c r="K1671" s="371"/>
      <c r="L1671" s="377"/>
      <c r="M1671" s="933">
        <f t="shared" si="433"/>
        <v>11866031300</v>
      </c>
      <c r="N1671" s="977" t="s">
        <v>284</v>
      </c>
      <c r="O1671" s="977" t="s">
        <v>274</v>
      </c>
      <c r="P1671" s="75" t="str">
        <f>IF(AND('331-CT'!$E$7=TH!H1671,OR(N1671="331",O1671="331")),"x","")</f>
        <v/>
      </c>
      <c r="Q1671" s="75" t="str">
        <f>IF(AND(B1671='111'!$L$11,OR($N1671=$Q$7,$O1671=$Q$7)),"x","")</f>
        <v/>
      </c>
      <c r="R1671" s="75" t="str">
        <f>IF(AND($N1671=$Q$7,$B1671&lt;'111'!$L$11),"x","")</f>
        <v/>
      </c>
      <c r="S1671" s="75" t="str">
        <f>IF(AND($O1671=$Q$7,$B1671&lt;'111'!$L$11),"x","")</f>
        <v/>
      </c>
      <c r="T1671" s="75" t="str">
        <f>IF(ISERROR(FIND('112'!$M$9,G1671,1)),"",IF((AND(FIND('112'!$M$9,G1671,1)&gt;=1,B1671='112'!$K$9,OR($N1671='112'!$I$6,$O1671='112'!$I$6))),"x",""))</f>
        <v/>
      </c>
      <c r="U1671" s="75" t="str">
        <f>IF(ISERROR(FIND('112'!$M$9,G1671,1)),"",IF((AND(LEFT(G1671,2)=LEFT('112'!$M$9,2),B1671&lt;'112'!$K$9,$N1671='112'!$I$6)),"x",""))</f>
        <v/>
      </c>
      <c r="V1671" s="75" t="str">
        <f>IF(ISERROR(FIND('112'!$M$9,G1671,1)),"",IF((AND(RIGHT(G1671,2)=RIGHT('112'!$M$9,2),B1671&lt;'112'!$K$9,$O1671='112'!$I$6)),"x",""))</f>
        <v/>
      </c>
      <c r="W1671" s="75" t="str">
        <f>IF(AND('341-CT'!$H$9=H1671,OR(LEFT(N1671,3)=$W$7,LEFT(O1671,3)=$W$7)),"x","")</f>
        <v/>
      </c>
      <c r="X1671" s="75" t="str">
        <f>IF(OR(TH!N1671=TH!$X$7,O1671=TH!$X$7),"x","")</f>
        <v/>
      </c>
      <c r="Y1671" s="75" t="str">
        <f>IF(AND(OR(N1671="131",O1671="131"),H1671='131-CT'!$H$9),"x","")</f>
        <v/>
      </c>
      <c r="Z1671" s="75"/>
      <c r="AA1671" s="75" t="str">
        <f>IF(AND(MONTH(E1671)='IN-NX'!$J$5,'IN-NX'!$D$7=D1671),"x","")</f>
        <v/>
      </c>
      <c r="AB1671" s="75" t="str">
        <f>IF(AND(OR(LEFT(TH!N1671,2)="15",LEFT(TH!O1671,2)="15"),LEFT(TH!O1671,3)&lt;&gt;"111",'152-CT'!$J$8=TH!F1671),"x","")</f>
        <v/>
      </c>
      <c r="AC1671" s="75" t="str">
        <f>IF(AND(OR(LEFT(TH!N1671,2)="15",LEFT(TH!O1671,2)="15"),TK!$E$7=TH!F1671),"x","")</f>
        <v/>
      </c>
      <c r="AD1671" s="75" t="str">
        <f>IF(AND(N1671="1521",MONTH(C1671)='BK-NL'!$M$11),"x","")</f>
        <v/>
      </c>
      <c r="AF1671" s="1054"/>
    </row>
    <row r="1672" spans="1:32" s="1264" customFormat="1" ht="16.5" customHeight="1">
      <c r="A1672" s="309" t="str">
        <f>IF(B1672&lt;&gt;"",IF(AND(B1672='IN-TC'!$S$4,OR(TH!N1672="1111",TH!O1672="1111")),TH!D1672,""),"")</f>
        <v/>
      </c>
      <c r="B1672" s="1277">
        <f t="shared" ref="B1672" si="435">IF(C1672&lt;&gt;"",MONTH(C1672),"")</f>
        <v>7</v>
      </c>
      <c r="C1672" s="252">
        <f t="shared" ref="C1672" si="436">E1672</f>
        <v>42946</v>
      </c>
      <c r="D1672" s="252" t="s">
        <v>2921</v>
      </c>
      <c r="E1672" s="252">
        <v>42946</v>
      </c>
      <c r="F1672" s="1055" t="s">
        <v>429</v>
      </c>
      <c r="G1672" s="1056" t="s">
        <v>2938</v>
      </c>
      <c r="H1672" s="735" t="s">
        <v>623</v>
      </c>
      <c r="I1672" s="371">
        <f>45000+52780+79170</f>
        <v>176950</v>
      </c>
      <c r="J1672" s="371">
        <v>60000</v>
      </c>
      <c r="K1672" s="371"/>
      <c r="L1672" s="377"/>
      <c r="M1672" s="933">
        <f t="shared" ref="M1672" si="437">ROUND(I1672*J1672,0)</f>
        <v>10617000000</v>
      </c>
      <c r="N1672" s="977" t="s">
        <v>284</v>
      </c>
      <c r="O1672" s="977" t="s">
        <v>274</v>
      </c>
      <c r="P1672" s="75" t="str">
        <f>IF(AND('331-CT'!$E$7=TH!H1672,OR(N1672="331",O1672="331")),"x","")</f>
        <v/>
      </c>
      <c r="Q1672" s="75" t="str">
        <f>IF(AND(B1672='111'!$L$11,OR($N1672=$Q$7,$O1672=$Q$7)),"x","")</f>
        <v/>
      </c>
      <c r="R1672" s="75" t="str">
        <f>IF(AND($N1672=$Q$7,$B1672&lt;'111'!$L$11),"x","")</f>
        <v/>
      </c>
      <c r="S1672" s="75" t="str">
        <f>IF(AND($O1672=$Q$7,$B1672&lt;'111'!$L$11),"x","")</f>
        <v/>
      </c>
      <c r="T1672" s="75" t="str">
        <f>IF(ISERROR(FIND('112'!$M$9,G1672,1)),"",IF((AND(FIND('112'!$M$9,G1672,1)&gt;=1,B1672='112'!$K$9,OR($N1672='112'!$I$6,$O1672='112'!$I$6))),"x",""))</f>
        <v/>
      </c>
      <c r="U1672" s="75" t="str">
        <f>IF(ISERROR(FIND('112'!$M$9,G1672,1)),"",IF((AND(LEFT(G1672,2)=LEFT('112'!$M$9,2),B1672&lt;'112'!$K$9,$N1672='112'!$I$6)),"x",""))</f>
        <v/>
      </c>
      <c r="V1672" s="75" t="str">
        <f>IF(ISERROR(FIND('112'!$M$9,G1672,1)),"",IF((AND(RIGHT(G1672,2)=RIGHT('112'!$M$9,2),B1672&lt;'112'!$K$9,$O1672='112'!$I$6)),"x",""))</f>
        <v/>
      </c>
      <c r="W1672" s="75" t="str">
        <f>IF(AND('341-CT'!$H$9=H1672,OR(LEFT(N1672,3)=$W$7,LEFT(O1672,3)=$W$7)),"x","")</f>
        <v/>
      </c>
      <c r="X1672" s="75" t="str">
        <f>IF(OR(TH!N1672=TH!$X$7,O1672=TH!$X$7),"x","")</f>
        <v/>
      </c>
      <c r="Y1672" s="75" t="str">
        <f>IF(AND(OR(N1672="131",O1672="131"),H1672='131-CT'!$H$9),"x","")</f>
        <v/>
      </c>
      <c r="Z1672" s="75"/>
      <c r="AA1672" s="75" t="str">
        <f>IF(AND(MONTH(E1672)='IN-NX'!$J$5,'IN-NX'!$D$7=D1672),"x","")</f>
        <v/>
      </c>
      <c r="AB1672" s="75" t="str">
        <f>IF(AND(OR(LEFT(TH!N1672,2)="15",LEFT(TH!O1672,2)="15"),LEFT(TH!O1672,3)&lt;&gt;"111",'152-CT'!$J$8=TH!F1672),"x","")</f>
        <v/>
      </c>
      <c r="AC1672" s="75" t="str">
        <f>IF(AND(OR(LEFT(TH!N1672,2)="15",LEFT(TH!O1672,2)="15"),TK!$E$7=TH!F1672),"x","")</f>
        <v/>
      </c>
      <c r="AD1672" s="75" t="str">
        <f>IF(AND(N1672="1521",MONTH(C1672)='BK-NL'!$M$11),"x","")</f>
        <v/>
      </c>
      <c r="AF1672" s="1054"/>
    </row>
    <row r="1673" spans="1:32" s="1264" customFormat="1" ht="16.5" customHeight="1">
      <c r="A1673" s="309" t="str">
        <f>IF(B1673&lt;&gt;"",IF(AND(B1673='IN-TC'!$S$4,OR(TH!N1673="1111",TH!O1673="1111")),TH!D1673,""),"")</f>
        <v/>
      </c>
      <c r="B1673" s="1277">
        <f t="shared" si="434"/>
        <v>7</v>
      </c>
      <c r="C1673" s="252">
        <f t="shared" si="432"/>
        <v>42946</v>
      </c>
      <c r="D1673" s="252" t="s">
        <v>2921</v>
      </c>
      <c r="E1673" s="252">
        <v>42946</v>
      </c>
      <c r="F1673" s="1055" t="s">
        <v>429</v>
      </c>
      <c r="G1673" s="1056" t="s">
        <v>2937</v>
      </c>
      <c r="H1673" s="735" t="s">
        <v>623</v>
      </c>
      <c r="I1673" s="371">
        <f>45000+42000+45000+52780</f>
        <v>184780</v>
      </c>
      <c r="J1673" s="371">
        <v>62000</v>
      </c>
      <c r="K1673" s="371"/>
      <c r="L1673" s="377"/>
      <c r="M1673" s="933">
        <f t="shared" si="433"/>
        <v>11456360000</v>
      </c>
      <c r="N1673" s="977" t="s">
        <v>284</v>
      </c>
      <c r="O1673" s="977" t="s">
        <v>274</v>
      </c>
      <c r="P1673" s="75" t="str">
        <f>IF(AND('331-CT'!$E$7=TH!H1673,OR(N1673="331",O1673="331")),"x","")</f>
        <v/>
      </c>
      <c r="Q1673" s="75" t="str">
        <f>IF(AND(B1673='111'!$L$11,OR($N1673=$Q$7,$O1673=$Q$7)),"x","")</f>
        <v/>
      </c>
      <c r="R1673" s="75" t="str">
        <f>IF(AND($N1673=$Q$7,$B1673&lt;'111'!$L$11),"x","")</f>
        <v/>
      </c>
      <c r="S1673" s="75" t="str">
        <f>IF(AND($O1673=$Q$7,$B1673&lt;'111'!$L$11),"x","")</f>
        <v/>
      </c>
      <c r="T1673" s="75" t="str">
        <f>IF(ISERROR(FIND('112'!$M$9,G1673,1)),"",IF((AND(FIND('112'!$M$9,G1673,1)&gt;=1,B1673='112'!$K$9,OR($N1673='112'!$I$6,$O1673='112'!$I$6))),"x",""))</f>
        <v/>
      </c>
      <c r="U1673" s="75" t="str">
        <f>IF(ISERROR(FIND('112'!$M$9,G1673,1)),"",IF((AND(LEFT(G1673,2)=LEFT('112'!$M$9,2),B1673&lt;'112'!$K$9,$N1673='112'!$I$6)),"x",""))</f>
        <v/>
      </c>
      <c r="V1673" s="75" t="str">
        <f>IF(ISERROR(FIND('112'!$M$9,G1673,1)),"",IF((AND(RIGHT(G1673,2)=RIGHT('112'!$M$9,2),B1673&lt;'112'!$K$9,$O1673='112'!$I$6)),"x",""))</f>
        <v/>
      </c>
      <c r="W1673" s="75" t="str">
        <f>IF(AND('341-CT'!$H$9=H1673,OR(LEFT(N1673,3)=$W$7,LEFT(O1673,3)=$W$7)),"x","")</f>
        <v/>
      </c>
      <c r="X1673" s="75" t="str">
        <f>IF(OR(TH!N1673=TH!$X$7,O1673=TH!$X$7),"x","")</f>
        <v/>
      </c>
      <c r="Y1673" s="75" t="str">
        <f>IF(AND(OR(N1673="131",O1673="131"),H1673='131-CT'!$H$9),"x","")</f>
        <v/>
      </c>
      <c r="Z1673" s="75"/>
      <c r="AA1673" s="75" t="str">
        <f>IF(AND(MONTH(E1673)='IN-NX'!$J$5,'IN-NX'!$D$7=D1673),"x","")</f>
        <v/>
      </c>
      <c r="AB1673" s="75" t="str">
        <f>IF(AND(OR(LEFT(TH!N1673,2)="15",LEFT(TH!O1673,2)="15"),LEFT(TH!O1673,3)&lt;&gt;"111",'152-CT'!$J$8=TH!F1673),"x","")</f>
        <v/>
      </c>
      <c r="AC1673" s="75" t="str">
        <f>IF(AND(OR(LEFT(TH!N1673,2)="15",LEFT(TH!O1673,2)="15"),TK!$E$7=TH!F1673),"x","")</f>
        <v/>
      </c>
      <c r="AD1673" s="75" t="str">
        <f>IF(AND(N1673="1521",MONTH(C1673)='BK-NL'!$M$11),"x","")</f>
        <v/>
      </c>
      <c r="AF1673" s="1054"/>
    </row>
    <row r="1674" spans="1:32" s="1264" customFormat="1" ht="16.5" customHeight="1">
      <c r="A1674" s="309" t="str">
        <f>IF(B1674&lt;&gt;"",IF(AND(B1674='IN-TC'!$S$4,OR(TH!N1674="1111",TH!O1674="1111")),TH!D1674,""),"")</f>
        <v/>
      </c>
      <c r="B1674" s="1277">
        <f t="shared" si="434"/>
        <v>7</v>
      </c>
      <c r="C1674" s="252">
        <f t="shared" si="432"/>
        <v>42946</v>
      </c>
      <c r="D1674" s="252" t="s">
        <v>2921</v>
      </c>
      <c r="E1674" s="252">
        <v>42946</v>
      </c>
      <c r="F1674" s="1055" t="s">
        <v>429</v>
      </c>
      <c r="G1674" s="1056" t="s">
        <v>1748</v>
      </c>
      <c r="H1674" s="735" t="s">
        <v>759</v>
      </c>
      <c r="I1674" s="371">
        <v>247763.1534500001</v>
      </c>
      <c r="J1674" s="371">
        <v>60792.351539227609</v>
      </c>
      <c r="K1674" s="371"/>
      <c r="L1674" s="377"/>
      <c r="M1674" s="933">
        <f t="shared" si="433"/>
        <v>15062104723</v>
      </c>
      <c r="N1674" s="977" t="s">
        <v>284</v>
      </c>
      <c r="O1674" s="977" t="s">
        <v>274</v>
      </c>
      <c r="P1674" s="75" t="str">
        <f>IF(AND('331-CT'!$E$7=TH!H1674,OR(N1674="331",O1674="331")),"x","")</f>
        <v/>
      </c>
      <c r="Q1674" s="75" t="str">
        <f>IF(AND(B1674='111'!$L$11,OR($N1674=$Q$7,$O1674=$Q$7)),"x","")</f>
        <v/>
      </c>
      <c r="R1674" s="75" t="str">
        <f>IF(AND($N1674=$Q$7,$B1674&lt;'111'!$L$11),"x","")</f>
        <v/>
      </c>
      <c r="S1674" s="75" t="str">
        <f>IF(AND($O1674=$Q$7,$B1674&lt;'111'!$L$11),"x","")</f>
        <v/>
      </c>
      <c r="T1674" s="75" t="str">
        <f>IF(ISERROR(FIND('112'!$M$9,G1674,1)),"",IF((AND(FIND('112'!$M$9,G1674,1)&gt;=1,B1674='112'!$K$9,OR($N1674='112'!$I$6,$O1674='112'!$I$6))),"x",""))</f>
        <v/>
      </c>
      <c r="U1674" s="75" t="str">
        <f>IF(ISERROR(FIND('112'!$M$9,G1674,1)),"",IF((AND(LEFT(G1674,2)=LEFT('112'!$M$9,2),B1674&lt;'112'!$K$9,$N1674='112'!$I$6)),"x",""))</f>
        <v/>
      </c>
      <c r="V1674" s="75" t="str">
        <f>IF(ISERROR(FIND('112'!$M$9,G1674,1)),"",IF((AND(RIGHT(G1674,2)=RIGHT('112'!$M$9,2),B1674&lt;'112'!$K$9,$O1674='112'!$I$6)),"x",""))</f>
        <v/>
      </c>
      <c r="W1674" s="75" t="str">
        <f>IF(AND('341-CT'!$H$9=H1674,OR(LEFT(N1674,3)=$W$7,LEFT(O1674,3)=$W$7)),"x","")</f>
        <v/>
      </c>
      <c r="X1674" s="75" t="str">
        <f>IF(OR(TH!N1674=TH!$X$7,O1674=TH!$X$7),"x","")</f>
        <v/>
      </c>
      <c r="Y1674" s="75" t="str">
        <f>IF(AND(OR(N1674="131",O1674="131"),H1674='131-CT'!$H$9),"x","")</f>
        <v/>
      </c>
      <c r="Z1674" s="75"/>
      <c r="AA1674" s="75" t="str">
        <f>IF(AND(MONTH(E1674)='IN-NX'!$J$5,'IN-NX'!$D$7=D1674),"x","")</f>
        <v/>
      </c>
      <c r="AB1674" s="75" t="str">
        <f>IF(AND(OR(LEFT(TH!N1674,2)="15",LEFT(TH!O1674,2)="15"),LEFT(TH!O1674,3)&lt;&gt;"111",'152-CT'!$J$8=TH!F1674),"x","")</f>
        <v/>
      </c>
      <c r="AC1674" s="75" t="str">
        <f>IF(AND(OR(LEFT(TH!N1674,2)="15",LEFT(TH!O1674,2)="15"),TK!$E$7=TH!F1674),"x","")</f>
        <v/>
      </c>
      <c r="AD1674" s="75" t="str">
        <f>IF(AND(N1674="1521",MONTH(C1674)='BK-NL'!$M$11),"x","")</f>
        <v/>
      </c>
      <c r="AF1674" s="1054"/>
    </row>
    <row r="1675" spans="1:32" s="1264" customFormat="1" ht="16.5" customHeight="1">
      <c r="A1675" s="309" t="str">
        <f>IF(B1675&lt;&gt;"",IF(AND(B1675='IN-TC'!$S$4,OR(TH!N1675="1111",TH!O1675="1111")),TH!D1675,""),"")</f>
        <v/>
      </c>
      <c r="B1675" s="1277">
        <f t="shared" si="434"/>
        <v>7</v>
      </c>
      <c r="C1675" s="252">
        <f t="shared" si="432"/>
        <v>42946</v>
      </c>
      <c r="D1675" s="252" t="s">
        <v>2921</v>
      </c>
      <c r="E1675" s="252">
        <v>42946</v>
      </c>
      <c r="F1675" s="1055" t="s">
        <v>2401</v>
      </c>
      <c r="G1675" s="1056" t="s">
        <v>1676</v>
      </c>
      <c r="H1675" s="296" t="s">
        <v>1677</v>
      </c>
      <c r="I1675" s="371">
        <v>8000</v>
      </c>
      <c r="J1675" s="932">
        <v>182561.33512500001</v>
      </c>
      <c r="K1675" s="932"/>
      <c r="L1675" s="377"/>
      <c r="M1675" s="933">
        <f t="shared" si="433"/>
        <v>1460490681</v>
      </c>
      <c r="N1675" s="977" t="s">
        <v>284</v>
      </c>
      <c r="O1675" s="977" t="s">
        <v>274</v>
      </c>
      <c r="P1675" s="75" t="str">
        <f>IF(AND('331-CT'!$E$7=TH!H1675,OR(N1675="331",O1675="331")),"x","")</f>
        <v/>
      </c>
      <c r="Q1675" s="75" t="str">
        <f>IF(AND(B1675='111'!$L$11,OR($N1675=$Q$7,$O1675=$Q$7)),"x","")</f>
        <v/>
      </c>
      <c r="R1675" s="75" t="str">
        <f>IF(AND($N1675=$Q$7,$B1675&lt;'111'!$L$11),"x","")</f>
        <v/>
      </c>
      <c r="S1675" s="75" t="str">
        <f>IF(AND($O1675=$Q$7,$B1675&lt;'111'!$L$11),"x","")</f>
        <v/>
      </c>
      <c r="T1675" s="75" t="str">
        <f>IF(ISERROR(FIND('112'!$M$9,G1675,1)),"",IF((AND(FIND('112'!$M$9,G1675,1)&gt;=1,B1675='112'!$K$9,OR($N1675='112'!$I$6,$O1675='112'!$I$6))),"x",""))</f>
        <v/>
      </c>
      <c r="U1675" s="75" t="str">
        <f>IF(ISERROR(FIND('112'!$M$9,G1675,1)),"",IF((AND(LEFT(G1675,2)=LEFT('112'!$M$9,2),B1675&lt;'112'!$K$9,$N1675='112'!$I$6)),"x",""))</f>
        <v/>
      </c>
      <c r="V1675" s="75" t="str">
        <f>IF(ISERROR(FIND('112'!$M$9,G1675,1)),"",IF((AND(RIGHT(G1675,2)=RIGHT('112'!$M$9,2),B1675&lt;'112'!$K$9,$O1675='112'!$I$6)),"x",""))</f>
        <v/>
      </c>
      <c r="W1675" s="75" t="str">
        <f>IF(AND('341-CT'!$H$9=H1675,OR(LEFT(N1675,3)=$W$7,LEFT(O1675,3)=$W$7)),"x","")</f>
        <v/>
      </c>
      <c r="X1675" s="75" t="str">
        <f>IF(OR(TH!N1675=TH!$X$7,O1675=TH!$X$7),"x","")</f>
        <v/>
      </c>
      <c r="Y1675" s="75" t="str">
        <f>IF(AND(OR(N1675="131",O1675="131"),H1675='131-CT'!$H$9),"x","")</f>
        <v/>
      </c>
      <c r="Z1675" s="75"/>
      <c r="AA1675" s="75" t="str">
        <f>IF(AND(MONTH(E1675)='IN-NX'!$J$5,'IN-NX'!$D$7=D1675),"x","")</f>
        <v/>
      </c>
      <c r="AB1675" s="75" t="str">
        <f>IF(AND(OR(LEFT(TH!N1675,2)="15",LEFT(TH!O1675,2)="15"),LEFT(TH!O1675,3)&lt;&gt;"111",'152-CT'!$J$8=TH!F1675),"x","")</f>
        <v/>
      </c>
      <c r="AC1675" s="75" t="str">
        <f>IF(AND(OR(LEFT(TH!N1675,2)="15",LEFT(TH!O1675,2)="15"),TK!$E$7=TH!F1675),"x","")</f>
        <v/>
      </c>
      <c r="AD1675" s="75" t="str">
        <f>IF(AND(N1675="1521",MONTH(C1675)='BK-NL'!$M$11),"x","")</f>
        <v/>
      </c>
      <c r="AF1675" s="1054"/>
    </row>
    <row r="1676" spans="1:32" s="1264" customFormat="1" ht="16.5" customHeight="1">
      <c r="A1676" s="309" t="str">
        <f>IF(B1676&lt;&gt;"",IF(AND(B1676='IN-TC'!$S$4,OR(TH!N1676="1111",TH!O1676="1111")),TH!D1676,""),"")</f>
        <v/>
      </c>
      <c r="B1676" s="1277">
        <f t="shared" si="434"/>
        <v>7</v>
      </c>
      <c r="C1676" s="252">
        <f t="shared" ref="C1676:C1686" si="438">E1676</f>
        <v>42946</v>
      </c>
      <c r="D1676" s="252" t="s">
        <v>2921</v>
      </c>
      <c r="E1676" s="252">
        <v>42946</v>
      </c>
      <c r="F1676" s="1055" t="s">
        <v>1588</v>
      </c>
      <c r="G1676" s="1056" t="s">
        <v>1756</v>
      </c>
      <c r="H1676" s="735" t="s">
        <v>822</v>
      </c>
      <c r="I1676" s="371">
        <v>5900</v>
      </c>
      <c r="J1676" s="371">
        <v>222811.33508474578</v>
      </c>
      <c r="K1676" s="371"/>
      <c r="L1676" s="377"/>
      <c r="M1676" s="933">
        <f t="shared" ref="M1676:M1681" si="439">ROUND(I1676*J1676,0)</f>
        <v>1314586877</v>
      </c>
      <c r="N1676" s="977" t="s">
        <v>284</v>
      </c>
      <c r="O1676" s="977" t="s">
        <v>274</v>
      </c>
      <c r="P1676" s="75" t="str">
        <f>IF(AND('331-CT'!$E$7=TH!H1676,OR(N1676="331",O1676="331")),"x","")</f>
        <v/>
      </c>
      <c r="Q1676" s="75" t="str">
        <f>IF(AND(B1676='111'!$L$11,OR($N1676=$Q$7,$O1676=$Q$7)),"x","")</f>
        <v/>
      </c>
      <c r="R1676" s="75" t="str">
        <f>IF(AND($N1676=$Q$7,$B1676&lt;'111'!$L$11),"x","")</f>
        <v/>
      </c>
      <c r="S1676" s="75" t="str">
        <f>IF(AND($O1676=$Q$7,$B1676&lt;'111'!$L$11),"x","")</f>
        <v/>
      </c>
      <c r="T1676" s="75" t="str">
        <f>IF(ISERROR(FIND('112'!$M$9,G1676,1)),"",IF((AND(FIND('112'!$M$9,G1676,1)&gt;=1,B1676='112'!$K$9,OR($N1676='112'!$I$6,$O1676='112'!$I$6))),"x",""))</f>
        <v/>
      </c>
      <c r="U1676" s="75" t="str">
        <f>IF(ISERROR(FIND('112'!$M$9,G1676,1)),"",IF((AND(LEFT(G1676,2)=LEFT('112'!$M$9,2),B1676&lt;'112'!$K$9,$N1676='112'!$I$6)),"x",""))</f>
        <v/>
      </c>
      <c r="V1676" s="75" t="str">
        <f>IF(ISERROR(FIND('112'!$M$9,G1676,1)),"",IF((AND(RIGHT(G1676,2)=RIGHT('112'!$M$9,2),B1676&lt;'112'!$K$9,$O1676='112'!$I$6)),"x",""))</f>
        <v/>
      </c>
      <c r="W1676" s="75" t="str">
        <f>IF(AND('341-CT'!$H$9=H1676,OR(LEFT(N1676,3)=$W$7,LEFT(O1676,3)=$W$7)),"x","")</f>
        <v/>
      </c>
      <c r="X1676" s="75" t="str">
        <f>IF(OR(TH!N1676=TH!$X$7,O1676=TH!$X$7),"x","")</f>
        <v/>
      </c>
      <c r="Y1676" s="75" t="str">
        <f>IF(AND(OR(N1676="131",O1676="131"),H1676='131-CT'!$H$9),"x","")</f>
        <v/>
      </c>
      <c r="Z1676" s="75"/>
      <c r="AA1676" s="75" t="str">
        <f>IF(AND(MONTH(E1676)='IN-NX'!$J$5,'IN-NX'!$D$7=D1676),"x","")</f>
        <v/>
      </c>
      <c r="AB1676" s="75" t="str">
        <f>IF(AND(OR(LEFT(TH!N1676,2)="15",LEFT(TH!O1676,2)="15"),LEFT(TH!O1676,3)&lt;&gt;"111",'152-CT'!$J$8=TH!F1676),"x","")</f>
        <v/>
      </c>
      <c r="AC1676" s="75" t="str">
        <f>IF(AND(OR(LEFT(TH!N1676,2)="15",LEFT(TH!O1676,2)="15"),TK!$E$7=TH!F1676),"x","")</f>
        <v/>
      </c>
      <c r="AD1676" s="75" t="str">
        <f>IF(AND(N1676="1521",MONTH(C1676)='BK-NL'!$M$11),"x","")</f>
        <v/>
      </c>
      <c r="AF1676" s="1054"/>
    </row>
    <row r="1677" spans="1:32" s="1264" customFormat="1" ht="16.5" customHeight="1">
      <c r="A1677" s="309" t="str">
        <f>IF(B1677&lt;&gt;"",IF(AND(B1677='IN-TC'!$S$4,OR(TH!N1677="1111",TH!O1677="1111")),TH!D1677,""),"")</f>
        <v/>
      </c>
      <c r="B1677" s="1277">
        <f t="shared" si="434"/>
        <v>7</v>
      </c>
      <c r="C1677" s="252">
        <f t="shared" si="438"/>
        <v>42946</v>
      </c>
      <c r="D1677" s="252" t="s">
        <v>2921</v>
      </c>
      <c r="E1677" s="252">
        <v>42946</v>
      </c>
      <c r="F1677" s="1055" t="s">
        <v>1755</v>
      </c>
      <c r="G1677" s="1056" t="s">
        <v>1757</v>
      </c>
      <c r="H1677" s="735" t="s">
        <v>1642</v>
      </c>
      <c r="I1677" s="371">
        <v>4000</v>
      </c>
      <c r="J1677" s="371">
        <v>180101.06200000001</v>
      </c>
      <c r="K1677" s="371"/>
      <c r="L1677" s="377"/>
      <c r="M1677" s="933">
        <f t="shared" si="439"/>
        <v>720404248</v>
      </c>
      <c r="N1677" s="977" t="s">
        <v>284</v>
      </c>
      <c r="O1677" s="977" t="s">
        <v>274</v>
      </c>
      <c r="P1677" s="75" t="str">
        <f>IF(AND('331-CT'!$E$7=TH!H1677,OR(N1677="331",O1677="331")),"x","")</f>
        <v/>
      </c>
      <c r="Q1677" s="75" t="str">
        <f>IF(AND(B1677='111'!$L$11,OR($N1677=$Q$7,$O1677=$Q$7)),"x","")</f>
        <v/>
      </c>
      <c r="R1677" s="75" t="str">
        <f>IF(AND($N1677=$Q$7,$B1677&lt;'111'!$L$11),"x","")</f>
        <v/>
      </c>
      <c r="S1677" s="75" t="str">
        <f>IF(AND($O1677=$Q$7,$B1677&lt;'111'!$L$11),"x","")</f>
        <v/>
      </c>
      <c r="T1677" s="75" t="str">
        <f>IF(ISERROR(FIND('112'!$M$9,G1677,1)),"",IF((AND(FIND('112'!$M$9,G1677,1)&gt;=1,B1677='112'!$K$9,OR($N1677='112'!$I$6,$O1677='112'!$I$6))),"x",""))</f>
        <v/>
      </c>
      <c r="U1677" s="75" t="str">
        <f>IF(ISERROR(FIND('112'!$M$9,G1677,1)),"",IF((AND(LEFT(G1677,2)=LEFT('112'!$M$9,2),B1677&lt;'112'!$K$9,$N1677='112'!$I$6)),"x",""))</f>
        <v/>
      </c>
      <c r="V1677" s="75" t="str">
        <f>IF(ISERROR(FIND('112'!$M$9,G1677,1)),"",IF((AND(RIGHT(G1677,2)=RIGHT('112'!$M$9,2),B1677&lt;'112'!$K$9,$O1677='112'!$I$6)),"x",""))</f>
        <v/>
      </c>
      <c r="W1677" s="75" t="str">
        <f>IF(AND('341-CT'!$H$9=H1677,OR(LEFT(N1677,3)=$W$7,LEFT(O1677,3)=$W$7)),"x","")</f>
        <v/>
      </c>
      <c r="X1677" s="75" t="str">
        <f>IF(OR(TH!N1677=TH!$X$7,O1677=TH!$X$7),"x","")</f>
        <v/>
      </c>
      <c r="Y1677" s="75" t="str">
        <f>IF(AND(OR(N1677="131",O1677="131"),H1677='131-CT'!$H$9),"x","")</f>
        <v/>
      </c>
      <c r="Z1677" s="75"/>
      <c r="AA1677" s="75" t="str">
        <f>IF(AND(MONTH(E1677)='IN-NX'!$J$5,'IN-NX'!$D$7=D1677),"x","")</f>
        <v/>
      </c>
      <c r="AB1677" s="75" t="str">
        <f>IF(AND(OR(LEFT(TH!N1677,2)="15",LEFT(TH!O1677,2)="15"),LEFT(TH!O1677,3)&lt;&gt;"111",'152-CT'!$J$8=TH!F1677),"x","")</f>
        <v/>
      </c>
      <c r="AC1677" s="75" t="str">
        <f>IF(AND(OR(LEFT(TH!N1677,2)="15",LEFT(TH!O1677,2)="15"),TK!$E$7=TH!F1677),"x","")</f>
        <v/>
      </c>
      <c r="AD1677" s="75" t="str">
        <f>IF(AND(N1677="1521",MONTH(C1677)='BK-NL'!$M$11),"x","")</f>
        <v/>
      </c>
      <c r="AF1677" s="1054"/>
    </row>
    <row r="1678" spans="1:32" s="1264" customFormat="1" ht="16.5" customHeight="1">
      <c r="A1678" s="309" t="str">
        <f>IF(B1678&lt;&gt;"",IF(AND(B1678='IN-TC'!$S$4,OR(TH!N1678="1111",TH!O1678="1111")),TH!D1678,""),"")</f>
        <v/>
      </c>
      <c r="B1678" s="1277">
        <f t="shared" si="434"/>
        <v>7</v>
      </c>
      <c r="C1678" s="252">
        <f t="shared" si="438"/>
        <v>42947</v>
      </c>
      <c r="D1678" s="252" t="s">
        <v>2921</v>
      </c>
      <c r="E1678" s="252">
        <v>42947</v>
      </c>
      <c r="F1678" s="1055" t="s">
        <v>1621</v>
      </c>
      <c r="G1678" s="1056" t="s">
        <v>1151</v>
      </c>
      <c r="H1678" s="73" t="s">
        <v>802</v>
      </c>
      <c r="I1678" s="371">
        <v>15</v>
      </c>
      <c r="J1678" s="371">
        <v>148634</v>
      </c>
      <c r="K1678" s="371"/>
      <c r="L1678" s="377"/>
      <c r="M1678" s="933">
        <f t="shared" si="439"/>
        <v>2229510</v>
      </c>
      <c r="N1678" s="977" t="s">
        <v>284</v>
      </c>
      <c r="O1678" s="977" t="s">
        <v>274</v>
      </c>
      <c r="P1678" s="75" t="str">
        <f>IF(AND('331-CT'!$E$7=TH!H1678,OR(N1678="331",O1678="331")),"x","")</f>
        <v/>
      </c>
      <c r="Q1678" s="75" t="str">
        <f>IF(AND(B1678='111'!$L$11,OR($N1678=$Q$7,$O1678=$Q$7)),"x","")</f>
        <v/>
      </c>
      <c r="R1678" s="75" t="str">
        <f>IF(AND($N1678=$Q$7,$B1678&lt;'111'!$L$11),"x","")</f>
        <v/>
      </c>
      <c r="S1678" s="75" t="str">
        <f>IF(AND($O1678=$Q$7,$B1678&lt;'111'!$L$11),"x","")</f>
        <v/>
      </c>
      <c r="T1678" s="75" t="str">
        <f>IF(ISERROR(FIND('112'!$M$9,G1678,1)),"",IF((AND(FIND('112'!$M$9,G1678,1)&gt;=1,B1678='112'!$K$9,OR($N1678='112'!$I$6,$O1678='112'!$I$6))),"x",""))</f>
        <v/>
      </c>
      <c r="U1678" s="75" t="str">
        <f>IF(ISERROR(FIND('112'!$M$9,G1678,1)),"",IF((AND(LEFT(G1678,2)=LEFT('112'!$M$9,2),B1678&lt;'112'!$K$9,$N1678='112'!$I$6)),"x",""))</f>
        <v/>
      </c>
      <c r="V1678" s="75" t="str">
        <f>IF(ISERROR(FIND('112'!$M$9,G1678,1)),"",IF((AND(RIGHT(G1678,2)=RIGHT('112'!$M$9,2),B1678&lt;'112'!$K$9,$O1678='112'!$I$6)),"x",""))</f>
        <v/>
      </c>
      <c r="W1678" s="75" t="str">
        <f>IF(AND('341-CT'!$H$9=H1678,OR(LEFT(N1678,3)=$W$7,LEFT(O1678,3)=$W$7)),"x","")</f>
        <v/>
      </c>
      <c r="X1678" s="75" t="str">
        <f>IF(OR(TH!N1678=TH!$X$7,O1678=TH!$X$7),"x","")</f>
        <v/>
      </c>
      <c r="Y1678" s="75" t="str">
        <f>IF(AND(OR(N1678="131",O1678="131"),H1678='131-CT'!$H$9),"x","")</f>
        <v/>
      </c>
      <c r="Z1678" s="75"/>
      <c r="AA1678" s="75" t="str">
        <f>IF(AND(MONTH(E1678)='IN-NX'!$J$5,'IN-NX'!$D$7=D1678),"x","")</f>
        <v/>
      </c>
      <c r="AB1678" s="75" t="str">
        <f>IF(AND(OR(LEFT(TH!N1678,2)="15",LEFT(TH!O1678,2)="15"),LEFT(TH!O1678,3)&lt;&gt;"111",'152-CT'!$J$8=TH!F1678),"x","")</f>
        <v/>
      </c>
      <c r="AC1678" s="75" t="str">
        <f>IF(AND(OR(LEFT(TH!N1678,2)="15",LEFT(TH!O1678,2)="15"),TK!$E$7=TH!F1678),"x","")</f>
        <v/>
      </c>
      <c r="AD1678" s="75" t="str">
        <f>IF(AND(N1678="1521",MONTH(C1678)='BK-NL'!$M$11),"x","")</f>
        <v/>
      </c>
      <c r="AF1678" s="1054"/>
    </row>
    <row r="1679" spans="1:32" s="1264" customFormat="1" ht="16.5" customHeight="1">
      <c r="A1679" s="309" t="str">
        <f>IF(B1679&lt;&gt;"",IF(AND(B1679='IN-TC'!$S$4,OR(TH!N1679="1111",TH!O1679="1111")),TH!D1679,""),"")</f>
        <v/>
      </c>
      <c r="B1679" s="1277">
        <f t="shared" si="434"/>
        <v>7</v>
      </c>
      <c r="C1679" s="252">
        <f t="shared" si="438"/>
        <v>42947</v>
      </c>
      <c r="D1679" s="252" t="s">
        <v>2921</v>
      </c>
      <c r="E1679" s="252">
        <v>42947</v>
      </c>
      <c r="F1679" s="1055" t="s">
        <v>2477</v>
      </c>
      <c r="G1679" s="1056" t="s">
        <v>1151</v>
      </c>
      <c r="H1679" s="73" t="s">
        <v>802</v>
      </c>
      <c r="I1679" s="371">
        <v>50</v>
      </c>
      <c r="J1679" s="371">
        <v>148634.04444444444</v>
      </c>
      <c r="K1679" s="371"/>
      <c r="L1679" s="377"/>
      <c r="M1679" s="933">
        <f t="shared" si="439"/>
        <v>7431702</v>
      </c>
      <c r="N1679" s="977" t="s">
        <v>284</v>
      </c>
      <c r="O1679" s="977" t="s">
        <v>274</v>
      </c>
      <c r="P1679" s="75" t="str">
        <f>IF(AND('331-CT'!$E$7=TH!H1679,OR(N1679="331",O1679="331")),"x","")</f>
        <v/>
      </c>
      <c r="Q1679" s="75" t="str">
        <f>IF(AND(B1679='111'!$L$11,OR($N1679=$Q$7,$O1679=$Q$7)),"x","")</f>
        <v/>
      </c>
      <c r="R1679" s="75" t="str">
        <f>IF(AND($N1679=$Q$7,$B1679&lt;'111'!$L$11),"x","")</f>
        <v/>
      </c>
      <c r="S1679" s="75" t="str">
        <f>IF(AND($O1679=$Q$7,$B1679&lt;'111'!$L$11),"x","")</f>
        <v/>
      </c>
      <c r="T1679" s="75" t="str">
        <f>IF(ISERROR(FIND('112'!$M$9,G1679,1)),"",IF((AND(FIND('112'!$M$9,G1679,1)&gt;=1,B1679='112'!$K$9,OR($N1679='112'!$I$6,$O1679='112'!$I$6))),"x",""))</f>
        <v/>
      </c>
      <c r="U1679" s="75" t="str">
        <f>IF(ISERROR(FIND('112'!$M$9,G1679,1)),"",IF((AND(LEFT(G1679,2)=LEFT('112'!$M$9,2),B1679&lt;'112'!$K$9,$N1679='112'!$I$6)),"x",""))</f>
        <v/>
      </c>
      <c r="V1679" s="75" t="str">
        <f>IF(ISERROR(FIND('112'!$M$9,G1679,1)),"",IF((AND(RIGHT(G1679,2)=RIGHT('112'!$M$9,2),B1679&lt;'112'!$K$9,$O1679='112'!$I$6)),"x",""))</f>
        <v/>
      </c>
      <c r="W1679" s="75" t="str">
        <f>IF(AND('341-CT'!$H$9=H1679,OR(LEFT(N1679,3)=$W$7,LEFT(O1679,3)=$W$7)),"x","")</f>
        <v/>
      </c>
      <c r="X1679" s="75" t="str">
        <f>IF(OR(TH!N1679=TH!$X$7,O1679=TH!$X$7),"x","")</f>
        <v/>
      </c>
      <c r="Y1679" s="75" t="str">
        <f>IF(AND(OR(N1679="131",O1679="131"),H1679='131-CT'!$H$9),"x","")</f>
        <v/>
      </c>
      <c r="Z1679" s="75"/>
      <c r="AA1679" s="75" t="str">
        <f>IF(AND(MONTH(E1679)='IN-NX'!$J$5,'IN-NX'!$D$7=D1679),"x","")</f>
        <v/>
      </c>
      <c r="AB1679" s="75" t="str">
        <f>IF(AND(OR(LEFT(TH!N1679,2)="15",LEFT(TH!O1679,2)="15"),LEFT(TH!O1679,3)&lt;&gt;"111",'152-CT'!$J$8=TH!F1679),"x","")</f>
        <v/>
      </c>
      <c r="AC1679" s="75" t="str">
        <f>IF(AND(OR(LEFT(TH!N1679,2)="15",LEFT(TH!O1679,2)="15"),TK!$E$7=TH!F1679),"x","")</f>
        <v/>
      </c>
      <c r="AD1679" s="75" t="str">
        <f>IF(AND(N1679="1521",MONTH(C1679)='BK-NL'!$M$11),"x","")</f>
        <v/>
      </c>
      <c r="AF1679" s="1054"/>
    </row>
    <row r="1680" spans="1:32" s="1264" customFormat="1" ht="16.5" customHeight="1">
      <c r="A1680" s="309" t="str">
        <f>IF(B1680&lt;&gt;"",IF(AND(B1680='IN-TC'!$S$4,OR(TH!N1680="1111",TH!O1680="1111")),TH!D1680,""),"")</f>
        <v/>
      </c>
      <c r="B1680" s="1277">
        <f t="shared" si="434"/>
        <v>7</v>
      </c>
      <c r="C1680" s="252">
        <f t="shared" si="438"/>
        <v>42947</v>
      </c>
      <c r="D1680" s="252" t="s">
        <v>2921</v>
      </c>
      <c r="E1680" s="252">
        <v>42947</v>
      </c>
      <c r="F1680" s="1055" t="s">
        <v>1406</v>
      </c>
      <c r="G1680" s="1056" t="s">
        <v>1151</v>
      </c>
      <c r="H1680" s="73" t="s">
        <v>802</v>
      </c>
      <c r="I1680" s="371">
        <v>10</v>
      </c>
      <c r="J1680" s="371">
        <v>121134.04545454546</v>
      </c>
      <c r="K1680" s="371"/>
      <c r="L1680" s="377"/>
      <c r="M1680" s="933">
        <f t="shared" si="439"/>
        <v>1211340</v>
      </c>
      <c r="N1680" s="977" t="s">
        <v>284</v>
      </c>
      <c r="O1680" s="977" t="s">
        <v>274</v>
      </c>
      <c r="P1680" s="75" t="str">
        <f>IF(AND('331-CT'!$E$7=TH!H1680,OR(N1680="331",O1680="331")),"x","")</f>
        <v/>
      </c>
      <c r="Q1680" s="75" t="str">
        <f>IF(AND(B1680='111'!$L$11,OR($N1680=$Q$7,$O1680=$Q$7)),"x","")</f>
        <v/>
      </c>
      <c r="R1680" s="75" t="str">
        <f>IF(AND($N1680=$Q$7,$B1680&lt;'111'!$L$11),"x","")</f>
        <v/>
      </c>
      <c r="S1680" s="75" t="str">
        <f>IF(AND($O1680=$Q$7,$B1680&lt;'111'!$L$11),"x","")</f>
        <v/>
      </c>
      <c r="T1680" s="75" t="str">
        <f>IF(ISERROR(FIND('112'!$M$9,G1680,1)),"",IF((AND(FIND('112'!$M$9,G1680,1)&gt;=1,B1680='112'!$K$9,OR($N1680='112'!$I$6,$O1680='112'!$I$6))),"x",""))</f>
        <v/>
      </c>
      <c r="U1680" s="75" t="str">
        <f>IF(ISERROR(FIND('112'!$M$9,G1680,1)),"",IF((AND(LEFT(G1680,2)=LEFT('112'!$M$9,2),B1680&lt;'112'!$K$9,$N1680='112'!$I$6)),"x",""))</f>
        <v/>
      </c>
      <c r="V1680" s="75" t="str">
        <f>IF(ISERROR(FIND('112'!$M$9,G1680,1)),"",IF((AND(RIGHT(G1680,2)=RIGHT('112'!$M$9,2),B1680&lt;'112'!$K$9,$O1680='112'!$I$6)),"x",""))</f>
        <v/>
      </c>
      <c r="W1680" s="75" t="str">
        <f>IF(AND('341-CT'!$H$9=H1680,OR(LEFT(N1680,3)=$W$7,LEFT(O1680,3)=$W$7)),"x","")</f>
        <v/>
      </c>
      <c r="X1680" s="75" t="str">
        <f>IF(OR(TH!N1680=TH!$X$7,O1680=TH!$X$7),"x","")</f>
        <v/>
      </c>
      <c r="Y1680" s="75" t="str">
        <f>IF(AND(OR(N1680="131",O1680="131"),H1680='131-CT'!$H$9),"x","")</f>
        <v/>
      </c>
      <c r="Z1680" s="75"/>
      <c r="AA1680" s="75" t="str">
        <f>IF(AND(MONTH(E1680)='IN-NX'!$J$5,'IN-NX'!$D$7=D1680),"x","")</f>
        <v/>
      </c>
      <c r="AB1680" s="75" t="str">
        <f>IF(AND(OR(LEFT(TH!N1680,2)="15",LEFT(TH!O1680,2)="15"),LEFT(TH!O1680,3)&lt;&gt;"111",'152-CT'!$J$8=TH!F1680),"x","")</f>
        <v/>
      </c>
      <c r="AC1680" s="75" t="str">
        <f>IF(AND(OR(LEFT(TH!N1680,2)="15",LEFT(TH!O1680,2)="15"),TK!$E$7=TH!F1680),"x","")</f>
        <v/>
      </c>
      <c r="AD1680" s="75" t="str">
        <f>IF(AND(N1680="1521",MONTH(C1680)='BK-NL'!$M$11),"x","")</f>
        <v/>
      </c>
      <c r="AF1680" s="1054"/>
    </row>
    <row r="1681" spans="1:32" s="1264" customFormat="1" ht="16.5" customHeight="1">
      <c r="A1681" s="309" t="str">
        <f>IF(B1681&lt;&gt;"",IF(AND(B1681='IN-TC'!$S$4,OR(TH!N1681="1111",TH!O1681="1111")),TH!D1681,""),"")</f>
        <v/>
      </c>
      <c r="B1681" s="1277">
        <f t="shared" si="434"/>
        <v>7</v>
      </c>
      <c r="C1681" s="252">
        <f t="shared" si="438"/>
        <v>42947</v>
      </c>
      <c r="D1681" s="252" t="s">
        <v>2921</v>
      </c>
      <c r="E1681" s="252">
        <v>42947</v>
      </c>
      <c r="F1681" s="1055" t="s">
        <v>1107</v>
      </c>
      <c r="G1681" s="1056" t="s">
        <v>1151</v>
      </c>
      <c r="H1681" s="73" t="s">
        <v>802</v>
      </c>
      <c r="I1681" s="371">
        <v>20</v>
      </c>
      <c r="J1681" s="371">
        <v>209883.36666666667</v>
      </c>
      <c r="K1681" s="371"/>
      <c r="L1681" s="377"/>
      <c r="M1681" s="933">
        <f t="shared" si="439"/>
        <v>4197667</v>
      </c>
      <c r="N1681" s="977" t="s">
        <v>284</v>
      </c>
      <c r="O1681" s="977" t="s">
        <v>274</v>
      </c>
      <c r="P1681" s="75" t="str">
        <f>IF(AND('331-CT'!$E$7=TH!H1681,OR(N1681="331",O1681="331")),"x","")</f>
        <v/>
      </c>
      <c r="Q1681" s="75" t="str">
        <f>IF(AND(B1681='111'!$L$11,OR($N1681=$Q$7,$O1681=$Q$7)),"x","")</f>
        <v/>
      </c>
      <c r="R1681" s="75" t="str">
        <f>IF(AND($N1681=$Q$7,$B1681&lt;'111'!$L$11),"x","")</f>
        <v/>
      </c>
      <c r="S1681" s="75" t="str">
        <f>IF(AND($O1681=$Q$7,$B1681&lt;'111'!$L$11),"x","")</f>
        <v/>
      </c>
      <c r="T1681" s="75" t="str">
        <f>IF(ISERROR(FIND('112'!$M$9,G1681,1)),"",IF((AND(FIND('112'!$M$9,G1681,1)&gt;=1,B1681='112'!$K$9,OR($N1681='112'!$I$6,$O1681='112'!$I$6))),"x",""))</f>
        <v/>
      </c>
      <c r="U1681" s="75" t="str">
        <f>IF(ISERROR(FIND('112'!$M$9,G1681,1)),"",IF((AND(LEFT(G1681,2)=LEFT('112'!$M$9,2),B1681&lt;'112'!$K$9,$N1681='112'!$I$6)),"x",""))</f>
        <v/>
      </c>
      <c r="V1681" s="75" t="str">
        <f>IF(ISERROR(FIND('112'!$M$9,G1681,1)),"",IF((AND(RIGHT(G1681,2)=RIGHT('112'!$M$9,2),B1681&lt;'112'!$K$9,$O1681='112'!$I$6)),"x",""))</f>
        <v/>
      </c>
      <c r="W1681" s="75" t="str">
        <f>IF(AND('341-CT'!$H$9=H1681,OR(LEFT(N1681,3)=$W$7,LEFT(O1681,3)=$W$7)),"x","")</f>
        <v/>
      </c>
      <c r="X1681" s="75" t="str">
        <f>IF(OR(TH!N1681=TH!$X$7,O1681=TH!$X$7),"x","")</f>
        <v/>
      </c>
      <c r="Y1681" s="75" t="str">
        <f>IF(AND(OR(N1681="131",O1681="131"),H1681='131-CT'!$H$9),"x","")</f>
        <v/>
      </c>
      <c r="Z1681" s="75"/>
      <c r="AA1681" s="75" t="str">
        <f>IF(AND(MONTH(E1681)='IN-NX'!$J$5,'IN-NX'!$D$7=D1681),"x","")</f>
        <v/>
      </c>
      <c r="AB1681" s="75" t="str">
        <f>IF(AND(OR(LEFT(TH!N1681,2)="15",LEFT(TH!O1681,2)="15"),LEFT(TH!O1681,3)&lt;&gt;"111",'152-CT'!$J$8=TH!F1681),"x","")</f>
        <v/>
      </c>
      <c r="AC1681" s="75" t="str">
        <f>IF(AND(OR(LEFT(TH!N1681,2)="15",LEFT(TH!O1681,2)="15"),TK!$E$7=TH!F1681),"x","")</f>
        <v/>
      </c>
      <c r="AD1681" s="75" t="str">
        <f>IF(AND(N1681="1521",MONTH(C1681)='BK-NL'!$M$11),"x","")</f>
        <v/>
      </c>
      <c r="AF1681" s="1054"/>
    </row>
    <row r="1682" spans="1:32" s="1264" customFormat="1" ht="16.5" customHeight="1">
      <c r="A1682" s="309" t="str">
        <f>IF(B1682&lt;&gt;"",IF(AND(B1682='IN-TC'!$S$4,OR(TH!N1682="1111",TH!O1682="1111")),TH!D1682,""),"")</f>
        <v/>
      </c>
      <c r="B1682" s="1277">
        <f t="shared" si="434"/>
        <v>7</v>
      </c>
      <c r="C1682" s="252">
        <f t="shared" si="438"/>
        <v>42947</v>
      </c>
      <c r="D1682" s="252" t="s">
        <v>2921</v>
      </c>
      <c r="E1682" s="252">
        <v>42947</v>
      </c>
      <c r="F1682" s="1055" t="s">
        <v>418</v>
      </c>
      <c r="G1682" s="1056" t="s">
        <v>1151</v>
      </c>
      <c r="H1682" s="73" t="s">
        <v>802</v>
      </c>
      <c r="I1682" s="371">
        <v>20</v>
      </c>
      <c r="J1682" s="371">
        <v>89134.71974522293</v>
      </c>
      <c r="K1682" s="371"/>
      <c r="L1682" s="377"/>
      <c r="M1682" s="933">
        <f>ROUND(I1682*J1682,0)</f>
        <v>1782694</v>
      </c>
      <c r="N1682" s="977" t="s">
        <v>284</v>
      </c>
      <c r="O1682" s="977" t="s">
        <v>274</v>
      </c>
      <c r="P1682" s="75" t="str">
        <f>IF(AND('331-CT'!$E$7=TH!H1682,OR(N1682="331",O1682="331")),"x","")</f>
        <v/>
      </c>
      <c r="Q1682" s="75" t="str">
        <f>IF(AND(B1682='111'!$L$11,OR($N1682=$Q$7,$O1682=$Q$7)),"x","")</f>
        <v/>
      </c>
      <c r="R1682" s="75" t="str">
        <f>IF(AND($N1682=$Q$7,$B1682&lt;'111'!$L$11),"x","")</f>
        <v/>
      </c>
      <c r="S1682" s="75" t="str">
        <f>IF(AND($O1682=$Q$7,$B1682&lt;'111'!$L$11),"x","")</f>
        <v/>
      </c>
      <c r="T1682" s="75" t="str">
        <f>IF(ISERROR(FIND('112'!$M$9,G1682,1)),"",IF((AND(FIND('112'!$M$9,G1682,1)&gt;=1,B1682='112'!$K$9,OR($N1682='112'!$I$6,$O1682='112'!$I$6))),"x",""))</f>
        <v/>
      </c>
      <c r="U1682" s="75" t="str">
        <f>IF(ISERROR(FIND('112'!$M$9,G1682,1)),"",IF((AND(LEFT(G1682,2)=LEFT('112'!$M$9,2),B1682&lt;'112'!$K$9,$N1682='112'!$I$6)),"x",""))</f>
        <v/>
      </c>
      <c r="V1682" s="75" t="str">
        <f>IF(ISERROR(FIND('112'!$M$9,G1682,1)),"",IF((AND(RIGHT(G1682,2)=RIGHT('112'!$M$9,2),B1682&lt;'112'!$K$9,$O1682='112'!$I$6)),"x",""))</f>
        <v/>
      </c>
      <c r="W1682" s="75" t="str">
        <f>IF(AND('341-CT'!$H$9=H1682,OR(LEFT(N1682,3)=$W$7,LEFT(O1682,3)=$W$7)),"x","")</f>
        <v/>
      </c>
      <c r="X1682" s="75" t="str">
        <f>IF(OR(TH!N1682=TH!$X$7,O1682=TH!$X$7),"x","")</f>
        <v/>
      </c>
      <c r="Y1682" s="75" t="str">
        <f>IF(AND(OR(N1682="131",O1682="131"),H1682='131-CT'!$H$9),"x","")</f>
        <v/>
      </c>
      <c r="Z1682" s="75"/>
      <c r="AA1682" s="75" t="str">
        <f>IF(AND(MONTH(E1682)='IN-NX'!$J$5,'IN-NX'!$D$7=D1682),"x","")</f>
        <v/>
      </c>
      <c r="AB1682" s="75" t="str">
        <f>IF(AND(OR(LEFT(TH!N1682,2)="15",LEFT(TH!O1682,2)="15"),LEFT(TH!O1682,3)&lt;&gt;"111",'152-CT'!$J$8=TH!F1682),"x","")</f>
        <v/>
      </c>
      <c r="AC1682" s="75" t="str">
        <f>IF(AND(OR(LEFT(TH!N1682,2)="15",LEFT(TH!O1682,2)="15"),TK!$E$7=TH!F1682),"x","")</f>
        <v/>
      </c>
      <c r="AD1682" s="75" t="str">
        <f>IF(AND(N1682="1521",MONTH(C1682)='BK-NL'!$M$11),"x","")</f>
        <v/>
      </c>
      <c r="AF1682" s="1054"/>
    </row>
    <row r="1683" spans="1:32" s="1264" customFormat="1" ht="16.5" customHeight="1">
      <c r="A1683" s="309" t="str">
        <f>IF(B1683&lt;&gt;"",IF(AND(B1683='IN-TC'!$S$4,OR(TH!N1683="1111",TH!O1683="1111")),TH!D1683,""),"")</f>
        <v/>
      </c>
      <c r="B1683" s="1277">
        <f t="shared" si="434"/>
        <v>7</v>
      </c>
      <c r="C1683" s="252">
        <f t="shared" si="438"/>
        <v>42947</v>
      </c>
      <c r="D1683" s="252" t="s">
        <v>2921</v>
      </c>
      <c r="E1683" s="252">
        <v>42947</v>
      </c>
      <c r="F1683" s="1055" t="s">
        <v>1617</v>
      </c>
      <c r="G1683" s="1056" t="s">
        <v>1151</v>
      </c>
      <c r="H1683" s="73" t="s">
        <v>802</v>
      </c>
      <c r="I1683" s="371">
        <v>20</v>
      </c>
      <c r="J1683" s="371">
        <v>681134.04455445544</v>
      </c>
      <c r="K1683" s="371"/>
      <c r="L1683" s="377"/>
      <c r="M1683" s="933">
        <f>ROUND(I1683*J1683,0)</f>
        <v>13622681</v>
      </c>
      <c r="N1683" s="977" t="s">
        <v>284</v>
      </c>
      <c r="O1683" s="977" t="s">
        <v>274</v>
      </c>
      <c r="P1683" s="75" t="str">
        <f>IF(AND('331-CT'!$E$7=TH!H1683,OR(N1683="331",O1683="331")),"x","")</f>
        <v/>
      </c>
      <c r="Q1683" s="75" t="str">
        <f>IF(AND(B1683='111'!$L$11,OR($N1683=$Q$7,$O1683=$Q$7)),"x","")</f>
        <v/>
      </c>
      <c r="R1683" s="75" t="str">
        <f>IF(AND($N1683=$Q$7,$B1683&lt;'111'!$L$11),"x","")</f>
        <v/>
      </c>
      <c r="S1683" s="75" t="str">
        <f>IF(AND($O1683=$Q$7,$B1683&lt;'111'!$L$11),"x","")</f>
        <v/>
      </c>
      <c r="T1683" s="75" t="str">
        <f>IF(ISERROR(FIND('112'!$M$9,G1683,1)),"",IF((AND(FIND('112'!$M$9,G1683,1)&gt;=1,B1683='112'!$K$9,OR($N1683='112'!$I$6,$O1683='112'!$I$6))),"x",""))</f>
        <v/>
      </c>
      <c r="U1683" s="75" t="str">
        <f>IF(ISERROR(FIND('112'!$M$9,G1683,1)),"",IF((AND(LEFT(G1683,2)=LEFT('112'!$M$9,2),B1683&lt;'112'!$K$9,$N1683='112'!$I$6)),"x",""))</f>
        <v/>
      </c>
      <c r="V1683" s="75" t="str">
        <f>IF(ISERROR(FIND('112'!$M$9,G1683,1)),"",IF((AND(RIGHT(G1683,2)=RIGHT('112'!$M$9,2),B1683&lt;'112'!$K$9,$O1683='112'!$I$6)),"x",""))</f>
        <v/>
      </c>
      <c r="W1683" s="75" t="str">
        <f>IF(AND('341-CT'!$H$9=H1683,OR(LEFT(N1683,3)=$W$7,LEFT(O1683,3)=$W$7)),"x","")</f>
        <v/>
      </c>
      <c r="X1683" s="75" t="str">
        <f>IF(OR(TH!N1683=TH!$X$7,O1683=TH!$X$7),"x","")</f>
        <v/>
      </c>
      <c r="Y1683" s="75" t="str">
        <f>IF(AND(OR(N1683="131",O1683="131"),H1683='131-CT'!$H$9),"x","")</f>
        <v/>
      </c>
      <c r="Z1683" s="75"/>
      <c r="AA1683" s="75" t="str">
        <f>IF(AND(MONTH(E1683)='IN-NX'!$J$5,'IN-NX'!$D$7=D1683),"x","")</f>
        <v/>
      </c>
      <c r="AB1683" s="75" t="str">
        <f>IF(AND(OR(LEFT(TH!N1683,2)="15",LEFT(TH!O1683,2)="15"),LEFT(TH!O1683,3)&lt;&gt;"111",'152-CT'!$J$8=TH!F1683),"x","")</f>
        <v/>
      </c>
      <c r="AC1683" s="75" t="str">
        <f>IF(AND(OR(LEFT(TH!N1683,2)="15",LEFT(TH!O1683,2)="15"),TK!$E$7=TH!F1683),"x","")</f>
        <v/>
      </c>
      <c r="AD1683" s="75" t="str">
        <f>IF(AND(N1683="1521",MONTH(C1683)='BK-NL'!$M$11),"x","")</f>
        <v/>
      </c>
      <c r="AF1683" s="1054"/>
    </row>
    <row r="1684" spans="1:32" s="1264" customFormat="1" ht="16.5" customHeight="1">
      <c r="A1684" s="309" t="str">
        <f>IF(B1684&lt;&gt;"",IF(AND(B1684='IN-TC'!$S$4,OR(TH!N1684="1111",TH!O1684="1111")),TH!D1684,""),"")</f>
        <v/>
      </c>
      <c r="B1684" s="1277">
        <f t="shared" si="434"/>
        <v>7</v>
      </c>
      <c r="C1684" s="252">
        <f t="shared" si="438"/>
        <v>42947</v>
      </c>
      <c r="D1684" s="252" t="s">
        <v>2921</v>
      </c>
      <c r="E1684" s="252">
        <v>42947</v>
      </c>
      <c r="F1684" s="1083" t="s">
        <v>425</v>
      </c>
      <c r="G1684" s="1056" t="s">
        <v>1151</v>
      </c>
      <c r="H1684" s="73" t="s">
        <v>802</v>
      </c>
      <c r="I1684" s="371">
        <v>20</v>
      </c>
      <c r="J1684" s="371">
        <v>637287.6857142857</v>
      </c>
      <c r="K1684" s="371"/>
      <c r="L1684" s="377"/>
      <c r="M1684" s="933">
        <f>ROUND(I1684*J1684,0)</f>
        <v>12745754</v>
      </c>
      <c r="N1684" s="977" t="s">
        <v>284</v>
      </c>
      <c r="O1684" s="977" t="s">
        <v>274</v>
      </c>
      <c r="P1684" s="75" t="str">
        <f>IF(AND('331-CT'!$E$7=TH!H1684,OR(N1684="331",O1684="331")),"x","")</f>
        <v/>
      </c>
      <c r="Q1684" s="75" t="str">
        <f>IF(AND(B1684='111'!$L$11,OR($N1684=$Q$7,$O1684=$Q$7)),"x","")</f>
        <v/>
      </c>
      <c r="R1684" s="75" t="str">
        <f>IF(AND($N1684=$Q$7,$B1684&lt;'111'!$L$11),"x","")</f>
        <v/>
      </c>
      <c r="S1684" s="75" t="str">
        <f>IF(AND($O1684=$Q$7,$B1684&lt;'111'!$L$11),"x","")</f>
        <v/>
      </c>
      <c r="T1684" s="75" t="str">
        <f>IF(ISERROR(FIND('112'!$M$9,G1684,1)),"",IF((AND(FIND('112'!$M$9,G1684,1)&gt;=1,B1684='112'!$K$9,OR($N1684='112'!$I$6,$O1684='112'!$I$6))),"x",""))</f>
        <v/>
      </c>
      <c r="U1684" s="75" t="str">
        <f>IF(ISERROR(FIND('112'!$M$9,G1684,1)),"",IF((AND(LEFT(G1684,2)=LEFT('112'!$M$9,2),B1684&lt;'112'!$K$9,$N1684='112'!$I$6)),"x",""))</f>
        <v/>
      </c>
      <c r="V1684" s="75" t="str">
        <f>IF(ISERROR(FIND('112'!$M$9,G1684,1)),"",IF((AND(RIGHT(G1684,2)=RIGHT('112'!$M$9,2),B1684&lt;'112'!$K$9,$O1684='112'!$I$6)),"x",""))</f>
        <v/>
      </c>
      <c r="W1684" s="75" t="str">
        <f>IF(AND('341-CT'!$H$9=H1684,OR(LEFT(N1684,3)=$W$7,LEFT(O1684,3)=$W$7)),"x","")</f>
        <v/>
      </c>
      <c r="X1684" s="75" t="str">
        <f>IF(OR(TH!N1684=TH!$X$7,O1684=TH!$X$7),"x","")</f>
        <v/>
      </c>
      <c r="Y1684" s="75" t="str">
        <f>IF(AND(OR(N1684="131",O1684="131"),H1684='131-CT'!$H$9),"x","")</f>
        <v/>
      </c>
      <c r="Z1684" s="75"/>
      <c r="AA1684" s="75" t="str">
        <f>IF(AND(MONTH(E1684)='IN-NX'!$J$5,'IN-NX'!$D$7=D1684),"x","")</f>
        <v/>
      </c>
      <c r="AB1684" s="75" t="str">
        <f>IF(AND(OR(LEFT(TH!N1684,2)="15",LEFT(TH!O1684,2)="15"),LEFT(TH!O1684,3)&lt;&gt;"111",'152-CT'!$J$8=TH!F1684),"x","")</f>
        <v/>
      </c>
      <c r="AC1684" s="75" t="str">
        <f>IF(AND(OR(LEFT(TH!N1684,2)="15",LEFT(TH!O1684,2)="15"),TK!$E$7=TH!F1684),"x","")</f>
        <v/>
      </c>
      <c r="AD1684" s="75" t="str">
        <f>IF(AND(N1684="1521",MONTH(C1684)='BK-NL'!$M$11),"x","")</f>
        <v/>
      </c>
      <c r="AF1684" s="1054"/>
    </row>
    <row r="1685" spans="1:32" s="1264" customFormat="1" ht="16.5" customHeight="1">
      <c r="A1685" s="309" t="str">
        <f>IF(B1685&lt;&gt;"",IF(AND(B1685='IN-TC'!$S$4,OR(TH!N1685="1111",TH!O1685="1111")),TH!D1685,""),"")</f>
        <v/>
      </c>
      <c r="B1685" s="1277">
        <f t="shared" si="434"/>
        <v>7</v>
      </c>
      <c r="C1685" s="252">
        <f t="shared" si="438"/>
        <v>42947</v>
      </c>
      <c r="D1685" s="252" t="s">
        <v>2921</v>
      </c>
      <c r="E1685" s="252">
        <v>42947</v>
      </c>
      <c r="F1685" s="1055" t="s">
        <v>1618</v>
      </c>
      <c r="G1685" s="1056" t="s">
        <v>1151</v>
      </c>
      <c r="H1685" s="73" t="s">
        <v>802</v>
      </c>
      <c r="I1685" s="371">
        <v>20</v>
      </c>
      <c r="J1685" s="371">
        <v>543737.85</v>
      </c>
      <c r="K1685" s="371"/>
      <c r="L1685" s="377"/>
      <c r="M1685" s="933">
        <f>ROUND(I1685*J1685,0)</f>
        <v>10874757</v>
      </c>
      <c r="N1685" s="977" t="s">
        <v>284</v>
      </c>
      <c r="O1685" s="977" t="s">
        <v>274</v>
      </c>
      <c r="P1685" s="75" t="str">
        <f>IF(AND('331-CT'!$E$7=TH!H1685,OR(N1685="331",O1685="331")),"x","")</f>
        <v/>
      </c>
      <c r="Q1685" s="75" t="str">
        <f>IF(AND(B1685='111'!$L$11,OR($N1685=$Q$7,$O1685=$Q$7)),"x","")</f>
        <v/>
      </c>
      <c r="R1685" s="75" t="str">
        <f>IF(AND($N1685=$Q$7,$B1685&lt;'111'!$L$11),"x","")</f>
        <v/>
      </c>
      <c r="S1685" s="75" t="str">
        <f>IF(AND($O1685=$Q$7,$B1685&lt;'111'!$L$11),"x","")</f>
        <v/>
      </c>
      <c r="T1685" s="75" t="str">
        <f>IF(ISERROR(FIND('112'!$M$9,G1685,1)),"",IF((AND(FIND('112'!$M$9,G1685,1)&gt;=1,B1685='112'!$K$9,OR($N1685='112'!$I$6,$O1685='112'!$I$6))),"x",""))</f>
        <v/>
      </c>
      <c r="U1685" s="75" t="str">
        <f>IF(ISERROR(FIND('112'!$M$9,G1685,1)),"",IF((AND(LEFT(G1685,2)=LEFT('112'!$M$9,2),B1685&lt;'112'!$K$9,$N1685='112'!$I$6)),"x",""))</f>
        <v/>
      </c>
      <c r="V1685" s="75" t="str">
        <f>IF(ISERROR(FIND('112'!$M$9,G1685,1)),"",IF((AND(RIGHT(G1685,2)=RIGHT('112'!$M$9,2),B1685&lt;'112'!$K$9,$O1685='112'!$I$6)),"x",""))</f>
        <v/>
      </c>
      <c r="W1685" s="75" t="str">
        <f>IF(AND('341-CT'!$H$9=H1685,OR(LEFT(N1685,3)=$W$7,LEFT(O1685,3)=$W$7)),"x","")</f>
        <v/>
      </c>
      <c r="X1685" s="75" t="str">
        <f>IF(OR(TH!N1685=TH!$X$7,O1685=TH!$X$7),"x","")</f>
        <v/>
      </c>
      <c r="Y1685" s="75" t="str">
        <f>IF(AND(OR(N1685="131",O1685="131"),H1685='131-CT'!$H$9),"x","")</f>
        <v/>
      </c>
      <c r="Z1685" s="75"/>
      <c r="AA1685" s="75" t="str">
        <f>IF(AND(MONTH(E1685)='IN-NX'!$J$5,'IN-NX'!$D$7=D1685),"x","")</f>
        <v/>
      </c>
      <c r="AB1685" s="75" t="str">
        <f>IF(AND(OR(LEFT(TH!N1685,2)="15",LEFT(TH!O1685,2)="15"),LEFT(TH!O1685,3)&lt;&gt;"111",'152-CT'!$J$8=TH!F1685),"x","")</f>
        <v/>
      </c>
      <c r="AC1685" s="75" t="str">
        <f>IF(AND(OR(LEFT(TH!N1685,2)="15",LEFT(TH!O1685,2)="15"),TK!$E$7=TH!F1685),"x","")</f>
        <v/>
      </c>
      <c r="AD1685" s="75" t="str">
        <f>IF(AND(N1685="1521",MONTH(C1685)='BK-NL'!$M$11),"x","")</f>
        <v/>
      </c>
      <c r="AF1685" s="1054"/>
    </row>
    <row r="1686" spans="1:32" s="1264" customFormat="1" ht="16.5" customHeight="1">
      <c r="A1686" s="309" t="str">
        <f>IF(B1686&lt;&gt;"",IF(AND(B1686='IN-TC'!$S$4,OR(TH!N1686="1111",TH!O1686="1111")),TH!D1686,""),"")</f>
        <v/>
      </c>
      <c r="B1686" s="1277">
        <f t="shared" si="434"/>
        <v>7</v>
      </c>
      <c r="C1686" s="252">
        <f t="shared" si="438"/>
        <v>42947</v>
      </c>
      <c r="D1686" s="252" t="s">
        <v>2921</v>
      </c>
      <c r="E1686" s="252">
        <v>42947</v>
      </c>
      <c r="F1686" s="1055" t="s">
        <v>801</v>
      </c>
      <c r="G1686" s="1056" t="s">
        <v>1151</v>
      </c>
      <c r="H1686" s="73" t="s">
        <v>802</v>
      </c>
      <c r="I1686" s="371">
        <v>50</v>
      </c>
      <c r="J1686" s="371">
        <v>155000</v>
      </c>
      <c r="K1686" s="371"/>
      <c r="L1686" s="377"/>
      <c r="M1686" s="933">
        <f>ROUND(I1686*J1686,0)</f>
        <v>7750000</v>
      </c>
      <c r="N1686" s="977" t="s">
        <v>284</v>
      </c>
      <c r="O1686" s="977" t="s">
        <v>274</v>
      </c>
      <c r="P1686" s="75" t="str">
        <f>IF(AND('331-CT'!$E$7=TH!H1686,OR(N1686="331",O1686="331")),"x","")</f>
        <v/>
      </c>
      <c r="Q1686" s="75" t="str">
        <f>IF(AND(B1686='111'!$L$11,OR($N1686=$Q$7,$O1686=$Q$7)),"x","")</f>
        <v/>
      </c>
      <c r="R1686" s="75" t="str">
        <f>IF(AND($N1686=$Q$7,$B1686&lt;'111'!$L$11),"x","")</f>
        <v/>
      </c>
      <c r="S1686" s="75" t="str">
        <f>IF(AND($O1686=$Q$7,$B1686&lt;'111'!$L$11),"x","")</f>
        <v/>
      </c>
      <c r="T1686" s="75" t="str">
        <f>IF(ISERROR(FIND('112'!$M$9,G1686,1)),"",IF((AND(FIND('112'!$M$9,G1686,1)&gt;=1,B1686='112'!$K$9,OR($N1686='112'!$I$6,$O1686='112'!$I$6))),"x",""))</f>
        <v/>
      </c>
      <c r="U1686" s="75" t="str">
        <f>IF(ISERROR(FIND('112'!$M$9,G1686,1)),"",IF((AND(LEFT(G1686,2)=LEFT('112'!$M$9,2),B1686&lt;'112'!$K$9,$N1686='112'!$I$6)),"x",""))</f>
        <v/>
      </c>
      <c r="V1686" s="75" t="str">
        <f>IF(ISERROR(FIND('112'!$M$9,G1686,1)),"",IF((AND(RIGHT(G1686,2)=RIGHT('112'!$M$9,2),B1686&lt;'112'!$K$9,$O1686='112'!$I$6)),"x",""))</f>
        <v/>
      </c>
      <c r="W1686" s="75" t="str">
        <f>IF(AND('341-CT'!$H$9=H1686,OR(LEFT(N1686,3)=$W$7,LEFT(O1686,3)=$W$7)),"x","")</f>
        <v/>
      </c>
      <c r="X1686" s="75" t="str">
        <f>IF(OR(TH!N1686=TH!$X$7,O1686=TH!$X$7),"x","")</f>
        <v/>
      </c>
      <c r="Y1686" s="75" t="str">
        <f>IF(AND(OR(N1686="131",O1686="131"),H1686='131-CT'!$H$9),"x","")</f>
        <v/>
      </c>
      <c r="Z1686" s="75"/>
      <c r="AA1686" s="75" t="str">
        <f>IF(AND(MONTH(E1686)='IN-NX'!$J$5,'IN-NX'!$D$7=D1686),"x","")</f>
        <v/>
      </c>
      <c r="AB1686" s="75" t="str">
        <f>IF(AND(OR(LEFT(TH!N1686,2)="15",LEFT(TH!O1686,2)="15"),LEFT(TH!O1686,3)&lt;&gt;"111",'152-CT'!$J$8=TH!F1686),"x","")</f>
        <v/>
      </c>
      <c r="AC1686" s="75" t="str">
        <f>IF(AND(OR(LEFT(TH!N1686,2)="15",LEFT(TH!O1686,2)="15"),TK!$E$7=TH!F1686),"x","")</f>
        <v/>
      </c>
      <c r="AD1686" s="75" t="str">
        <f>IF(AND(N1686="1521",MONTH(C1686)='BK-NL'!$M$11),"x","")</f>
        <v/>
      </c>
      <c r="AF1686" s="1054"/>
    </row>
    <row r="1687" spans="1:32" s="1053" customFormat="1" ht="16.5" customHeight="1">
      <c r="A1687" s="309" t="str">
        <f>IF(B1687&lt;&gt;"",IF(AND(B1687='IN-TC'!$S$4,OR(TH!N1687="1111",TH!O1687="1111")),TH!D1687,""),"")</f>
        <v/>
      </c>
      <c r="B1687" s="1243">
        <f t="shared" ref="B1687:B1690" si="440">IF(C1687&lt;&gt;"",MONTH(C1687),"")</f>
        <v>7</v>
      </c>
      <c r="C1687" s="292">
        <v>42921</v>
      </c>
      <c r="D1687" s="292" t="s">
        <v>829</v>
      </c>
      <c r="E1687" s="292">
        <f t="shared" ref="E1687:E1690" si="441">C1687</f>
        <v>42921</v>
      </c>
      <c r="F1687" s="67" t="s">
        <v>795</v>
      </c>
      <c r="G1687" s="925" t="s">
        <v>1691</v>
      </c>
      <c r="H1687" s="311" t="s">
        <v>1684</v>
      </c>
      <c r="I1687" s="373">
        <v>2030</v>
      </c>
      <c r="J1687" s="379">
        <v>8800</v>
      </c>
      <c r="K1687" s="373"/>
      <c r="L1687" s="379"/>
      <c r="M1687" s="927">
        <f>I1687*J1687</f>
        <v>17864000</v>
      </c>
      <c r="N1687" s="295" t="s">
        <v>266</v>
      </c>
      <c r="O1687" s="295" t="s">
        <v>8</v>
      </c>
      <c r="P1687" s="75" t="str">
        <f>IF(AND('331-CT'!$E$7=TH!H1687,OR(N1687="331",O1687="331")),"x","")</f>
        <v/>
      </c>
      <c r="Q1687" s="75" t="str">
        <f>IF(AND(B1687='111'!$L$11,OR($N1687=$Q$7,$O1687=$Q$7)),"x","")</f>
        <v/>
      </c>
      <c r="R1687" s="75" t="str">
        <f>IF(AND($N1687=$Q$7,$B1687&lt;'111'!$L$11),"x","")</f>
        <v/>
      </c>
      <c r="S1687" s="75" t="str">
        <f>IF(AND($O1687=$Q$7,$B1687&lt;'111'!$L$11),"x","")</f>
        <v/>
      </c>
      <c r="T1687" s="75" t="str">
        <f>IF(ISERROR(FIND('112'!$M$9,G1687,1)),"",IF((AND(FIND('112'!$M$9,G1687,1)&gt;=1,B1687='112'!$K$9,OR($N1687='112'!$I$6,$O1687='112'!$I$6))),"x",""))</f>
        <v/>
      </c>
      <c r="U1687" s="75" t="str">
        <f>IF(ISERROR(FIND('112'!$M$9,G1687,1)),"",IF((AND(LEFT(G1687,2)=LEFT('112'!$M$9,2),B1687&lt;'112'!$K$9,$N1687='112'!$I$6)),"x",""))</f>
        <v/>
      </c>
      <c r="V1687" s="75" t="str">
        <f>IF(ISERROR(FIND('112'!$M$9,G1687,1)),"",IF((AND(RIGHT(G1687,2)=RIGHT('112'!$M$9,2),B1687&lt;'112'!$K$9,$O1687='112'!$I$6)),"x",""))</f>
        <v/>
      </c>
      <c r="W1687" s="75" t="str">
        <f>IF(AND('341-CT'!$H$9=H1687,OR(LEFT(N1687,3)=$W$7,LEFT(O1687,3)=$W$7)),"x","")</f>
        <v/>
      </c>
      <c r="X1687" s="75" t="str">
        <f>IF(OR(TH!N1687=TH!$X$7,O1687=TH!$X$7),"x","")</f>
        <v/>
      </c>
      <c r="Y1687" s="75" t="str">
        <f>IF(AND(OR(N1687="131",O1687="131"),H1687='131-CT'!$H$9),"x","")</f>
        <v/>
      </c>
      <c r="Z1687" s="75"/>
      <c r="AA1687" s="75" t="str">
        <f>IF(AND(MONTH(E1687)='IN-NX'!$J$5,'IN-NX'!$D$7=D1687),"x","")</f>
        <v/>
      </c>
      <c r="AB1687" s="75" t="str">
        <f>IF(AND(OR(LEFT(TH!N1687,2)="15",LEFT(TH!O1687,2)="15"),LEFT(TH!O1687,3)&lt;&gt;"111",'152-CT'!$J$8=TH!F1687),"x","")</f>
        <v/>
      </c>
      <c r="AC1687" s="75" t="str">
        <f>IF(AND(OR(LEFT(TH!N1687,2)="15",LEFT(TH!O1687,2)="15"),TK!$E$7=TH!F1687),"x","")</f>
        <v/>
      </c>
      <c r="AD1687" s="75" t="str">
        <f>IF(AND(N1687="1521",MONTH(C1687)='BK-NL'!$M$11),"x","")</f>
        <v/>
      </c>
    </row>
    <row r="1688" spans="1:32" s="1053" customFormat="1" ht="16.5" customHeight="1">
      <c r="A1688" s="309" t="str">
        <f>IF(B1688&lt;&gt;"",IF(AND(B1688='IN-TC'!$S$4,OR(TH!N1688="1111",TH!O1688="1111")),TH!D1688,""),"")</f>
        <v/>
      </c>
      <c r="B1688" s="1243">
        <f t="shared" si="440"/>
        <v>7</v>
      </c>
      <c r="C1688" s="292">
        <v>42921</v>
      </c>
      <c r="D1688" s="292" t="s">
        <v>829</v>
      </c>
      <c r="E1688" s="292">
        <f t="shared" si="441"/>
        <v>42921</v>
      </c>
      <c r="F1688" s="67" t="s">
        <v>1143</v>
      </c>
      <c r="G1688" s="925" t="s">
        <v>1691</v>
      </c>
      <c r="H1688" s="311" t="s">
        <v>1684</v>
      </c>
      <c r="I1688" s="373"/>
      <c r="J1688" s="379"/>
      <c r="K1688" s="373"/>
      <c r="L1688" s="379"/>
      <c r="M1688" s="927">
        <v>1786400</v>
      </c>
      <c r="N1688" s="295" t="s">
        <v>9</v>
      </c>
      <c r="O1688" s="295" t="s">
        <v>8</v>
      </c>
      <c r="P1688" s="75" t="str">
        <f>IF(AND('331-CT'!$E$7=TH!H1688,OR(N1688="331",O1688="331")),"x","")</f>
        <v/>
      </c>
      <c r="Q1688" s="75" t="str">
        <f>IF(AND(B1688='111'!$L$11,OR($N1688=$Q$7,$O1688=$Q$7)),"x","")</f>
        <v/>
      </c>
      <c r="R1688" s="75" t="str">
        <f>IF(AND($N1688=$Q$7,$B1688&lt;'111'!$L$11),"x","")</f>
        <v/>
      </c>
      <c r="S1688" s="75" t="str">
        <f>IF(AND($O1688=$Q$7,$B1688&lt;'111'!$L$11),"x","")</f>
        <v/>
      </c>
      <c r="T1688" s="75" t="str">
        <f>IF(ISERROR(FIND('112'!$M$9,G1688,1)),"",IF((AND(FIND('112'!$M$9,G1688,1)&gt;=1,B1688='112'!$K$9,OR($N1688='112'!$I$6,$O1688='112'!$I$6))),"x",""))</f>
        <v/>
      </c>
      <c r="U1688" s="75" t="str">
        <f>IF(ISERROR(FIND('112'!$M$9,G1688,1)),"",IF((AND(LEFT(G1688,2)=LEFT('112'!$M$9,2),B1688&lt;'112'!$K$9,$N1688='112'!$I$6)),"x",""))</f>
        <v/>
      </c>
      <c r="V1688" s="75" t="str">
        <f>IF(ISERROR(FIND('112'!$M$9,G1688,1)),"",IF((AND(RIGHT(G1688,2)=RIGHT('112'!$M$9,2),B1688&lt;'112'!$K$9,$O1688='112'!$I$6)),"x",""))</f>
        <v/>
      </c>
      <c r="W1688" s="75" t="str">
        <f>IF(AND('341-CT'!$H$9=H1688,OR(LEFT(N1688,3)=$W$7,LEFT(O1688,3)=$W$7)),"x","")</f>
        <v/>
      </c>
      <c r="X1688" s="75" t="str">
        <f>IF(OR(TH!N1688=TH!$X$7,O1688=TH!$X$7),"x","")</f>
        <v/>
      </c>
      <c r="Y1688" s="75" t="str">
        <f>IF(AND(OR(N1688="131",O1688="131"),H1688='131-CT'!$H$9),"x","")</f>
        <v/>
      </c>
      <c r="Z1688" s="75"/>
      <c r="AA1688" s="75" t="str">
        <f>IF(AND(MONTH(E1688)='IN-NX'!$J$5,'IN-NX'!$D$7=D1688),"x","")</f>
        <v/>
      </c>
      <c r="AB1688" s="75" t="str">
        <f>IF(AND(OR(LEFT(TH!N1688,2)="15",LEFT(TH!O1688,2)="15"),LEFT(TH!O1688,3)&lt;&gt;"111",'152-CT'!$J$8=TH!F1688),"x","")</f>
        <v/>
      </c>
      <c r="AC1688" s="75" t="str">
        <f>IF(AND(OR(LEFT(TH!N1688,2)="15",LEFT(TH!O1688,2)="15"),TK!$E$7=TH!F1688),"x","")</f>
        <v/>
      </c>
      <c r="AD1688" s="75" t="str">
        <f>IF(AND(N1688="1521",MONTH(C1688)='BK-NL'!$M$11),"x","")</f>
        <v/>
      </c>
      <c r="AE1688" s="1053">
        <v>7</v>
      </c>
    </row>
    <row r="1689" spans="1:32" s="1053" customFormat="1" ht="16.5" customHeight="1">
      <c r="A1689" s="309" t="str">
        <f>IF(B1689&lt;&gt;"",IF(AND(B1689='IN-TC'!$S$4,OR(TH!N1689="1111",TH!O1689="1111")),TH!D1689,""),"")</f>
        <v/>
      </c>
      <c r="B1689" s="1243">
        <f t="shared" si="440"/>
        <v>7</v>
      </c>
      <c r="C1689" s="292">
        <v>42922</v>
      </c>
      <c r="D1689" s="292" t="s">
        <v>840</v>
      </c>
      <c r="E1689" s="292">
        <f t="shared" si="441"/>
        <v>42922</v>
      </c>
      <c r="F1689" s="67" t="s">
        <v>795</v>
      </c>
      <c r="G1689" s="925" t="s">
        <v>1692</v>
      </c>
      <c r="H1689" s="311" t="s">
        <v>1684</v>
      </c>
      <c r="I1689" s="373">
        <v>2030</v>
      </c>
      <c r="J1689" s="379">
        <v>8800</v>
      </c>
      <c r="K1689" s="373"/>
      <c r="L1689" s="379"/>
      <c r="M1689" s="927">
        <f>I1689*J1689</f>
        <v>17864000</v>
      </c>
      <c r="N1689" s="295" t="s">
        <v>266</v>
      </c>
      <c r="O1689" s="295" t="s">
        <v>8</v>
      </c>
      <c r="P1689" s="75" t="str">
        <f>IF(AND('331-CT'!$E$7=TH!H1689,OR(N1689="331",O1689="331")),"x","")</f>
        <v/>
      </c>
      <c r="Q1689" s="75" t="str">
        <f>IF(AND(B1689='111'!$L$11,OR($N1689=$Q$7,$O1689=$Q$7)),"x","")</f>
        <v/>
      </c>
      <c r="R1689" s="75" t="str">
        <f>IF(AND($N1689=$Q$7,$B1689&lt;'111'!$L$11),"x","")</f>
        <v/>
      </c>
      <c r="S1689" s="75" t="str">
        <f>IF(AND($O1689=$Q$7,$B1689&lt;'111'!$L$11),"x","")</f>
        <v/>
      </c>
      <c r="T1689" s="75" t="str">
        <f>IF(ISERROR(FIND('112'!$M$9,G1689,1)),"",IF((AND(FIND('112'!$M$9,G1689,1)&gt;=1,B1689='112'!$K$9,OR($N1689='112'!$I$6,$O1689='112'!$I$6))),"x",""))</f>
        <v/>
      </c>
      <c r="U1689" s="75" t="str">
        <f>IF(ISERROR(FIND('112'!$M$9,G1689,1)),"",IF((AND(LEFT(G1689,2)=LEFT('112'!$M$9,2),B1689&lt;'112'!$K$9,$N1689='112'!$I$6)),"x",""))</f>
        <v/>
      </c>
      <c r="V1689" s="75" t="str">
        <f>IF(ISERROR(FIND('112'!$M$9,G1689,1)),"",IF((AND(RIGHT(G1689,2)=RIGHT('112'!$M$9,2),B1689&lt;'112'!$K$9,$O1689='112'!$I$6)),"x",""))</f>
        <v/>
      </c>
      <c r="W1689" s="75" t="str">
        <f>IF(AND('341-CT'!$H$9=H1689,OR(LEFT(N1689,3)=$W$7,LEFT(O1689,3)=$W$7)),"x","")</f>
        <v/>
      </c>
      <c r="X1689" s="75" t="str">
        <f>IF(OR(TH!N1689=TH!$X$7,O1689=TH!$X$7),"x","")</f>
        <v/>
      </c>
      <c r="Y1689" s="75" t="str">
        <f>IF(AND(OR(N1689="131",O1689="131"),H1689='131-CT'!$H$9),"x","")</f>
        <v/>
      </c>
      <c r="Z1689" s="75"/>
      <c r="AA1689" s="75" t="str">
        <f>IF(AND(MONTH(E1689)='IN-NX'!$J$5,'IN-NX'!$D$7=D1689),"x","")</f>
        <v/>
      </c>
      <c r="AB1689" s="75" t="str">
        <f>IF(AND(OR(LEFT(TH!N1689,2)="15",LEFT(TH!O1689,2)="15"),LEFT(TH!O1689,3)&lt;&gt;"111",'152-CT'!$J$8=TH!F1689),"x","")</f>
        <v/>
      </c>
      <c r="AC1689" s="75" t="str">
        <f>IF(AND(OR(LEFT(TH!N1689,2)="15",LEFT(TH!O1689,2)="15"),TK!$E$7=TH!F1689),"x","")</f>
        <v/>
      </c>
      <c r="AD1689" s="75" t="str">
        <f>IF(AND(N1689="1521",MONTH(C1689)='BK-NL'!$M$11),"x","")</f>
        <v/>
      </c>
    </row>
    <row r="1690" spans="1:32" s="1053" customFormat="1" ht="16.5" customHeight="1">
      <c r="A1690" s="309" t="str">
        <f>IF(B1690&lt;&gt;"",IF(AND(B1690='IN-TC'!$S$4,OR(TH!N1690="1111",TH!O1690="1111")),TH!D1690,""),"")</f>
        <v/>
      </c>
      <c r="B1690" s="1243">
        <f t="shared" si="440"/>
        <v>7</v>
      </c>
      <c r="C1690" s="292">
        <v>42922</v>
      </c>
      <c r="D1690" s="292" t="s">
        <v>840</v>
      </c>
      <c r="E1690" s="292">
        <f t="shared" si="441"/>
        <v>42922</v>
      </c>
      <c r="F1690" s="67" t="s">
        <v>1143</v>
      </c>
      <c r="G1690" s="925" t="s">
        <v>1692</v>
      </c>
      <c r="H1690" s="311" t="s">
        <v>1684</v>
      </c>
      <c r="I1690" s="373"/>
      <c r="J1690" s="379"/>
      <c r="K1690" s="373"/>
      <c r="L1690" s="379"/>
      <c r="M1690" s="927">
        <v>1786400</v>
      </c>
      <c r="N1690" s="295" t="s">
        <v>9</v>
      </c>
      <c r="O1690" s="295" t="s">
        <v>8</v>
      </c>
      <c r="P1690" s="75" t="str">
        <f>IF(AND('331-CT'!$E$7=TH!H1690,OR(N1690="331",O1690="331")),"x","")</f>
        <v/>
      </c>
      <c r="Q1690" s="75" t="str">
        <f>IF(AND(B1690='111'!$L$11,OR($N1690=$Q$7,$O1690=$Q$7)),"x","")</f>
        <v/>
      </c>
      <c r="R1690" s="75" t="str">
        <f>IF(AND($N1690=$Q$7,$B1690&lt;'111'!$L$11),"x","")</f>
        <v/>
      </c>
      <c r="S1690" s="75" t="str">
        <f>IF(AND($O1690=$Q$7,$B1690&lt;'111'!$L$11),"x","")</f>
        <v/>
      </c>
      <c r="T1690" s="75" t="str">
        <f>IF(ISERROR(FIND('112'!$M$9,G1690,1)),"",IF((AND(FIND('112'!$M$9,G1690,1)&gt;=1,B1690='112'!$K$9,OR($N1690='112'!$I$6,$O1690='112'!$I$6))),"x",""))</f>
        <v/>
      </c>
      <c r="U1690" s="75" t="str">
        <f>IF(ISERROR(FIND('112'!$M$9,G1690,1)),"",IF((AND(LEFT(G1690,2)=LEFT('112'!$M$9,2),B1690&lt;'112'!$K$9,$N1690='112'!$I$6)),"x",""))</f>
        <v/>
      </c>
      <c r="V1690" s="75" t="str">
        <f>IF(ISERROR(FIND('112'!$M$9,G1690,1)),"",IF((AND(RIGHT(G1690,2)=RIGHT('112'!$M$9,2),B1690&lt;'112'!$K$9,$O1690='112'!$I$6)),"x",""))</f>
        <v/>
      </c>
      <c r="W1690" s="75" t="str">
        <f>IF(AND('341-CT'!$H$9=H1690,OR(LEFT(N1690,3)=$W$7,LEFT(O1690,3)=$W$7)),"x","")</f>
        <v/>
      </c>
      <c r="X1690" s="75" t="str">
        <f>IF(OR(TH!N1690=TH!$X$7,O1690=TH!$X$7),"x","")</f>
        <v/>
      </c>
      <c r="Y1690" s="75" t="str">
        <f>IF(AND(OR(N1690="131",O1690="131"),H1690='131-CT'!$H$9),"x","")</f>
        <v/>
      </c>
      <c r="Z1690" s="75"/>
      <c r="AA1690" s="75" t="str">
        <f>IF(AND(MONTH(E1690)='IN-NX'!$J$5,'IN-NX'!$D$7=D1690),"x","")</f>
        <v/>
      </c>
      <c r="AB1690" s="75" t="str">
        <f>IF(AND(OR(LEFT(TH!N1690,2)="15",LEFT(TH!O1690,2)="15"),LEFT(TH!O1690,3)&lt;&gt;"111",'152-CT'!$J$8=TH!F1690),"x","")</f>
        <v/>
      </c>
      <c r="AC1690" s="75" t="str">
        <f>IF(AND(OR(LEFT(TH!N1690,2)="15",LEFT(TH!O1690,2)="15"),TK!$E$7=TH!F1690),"x","")</f>
        <v/>
      </c>
      <c r="AD1690" s="75" t="str">
        <f>IF(AND(N1690="1521",MONTH(C1690)='BK-NL'!$M$11),"x","")</f>
        <v/>
      </c>
      <c r="AE1690" s="1053">
        <v>7</v>
      </c>
    </row>
    <row r="1691" spans="1:32" s="1053" customFormat="1" ht="16.5" customHeight="1">
      <c r="A1691" s="309" t="str">
        <f>IF(B1691&lt;&gt;"",IF(AND(B1691='IN-TC'!$S$4,OR(TH!N1691="1111",TH!O1691="1111")),TH!D1691,""),"")</f>
        <v/>
      </c>
      <c r="B1691" s="1243">
        <f t="shared" ref="B1691:B1749" si="442">IF(C1691&lt;&gt;"",MONTH(C1691),"")</f>
        <v>7</v>
      </c>
      <c r="C1691" s="292">
        <v>42923</v>
      </c>
      <c r="D1691" s="292" t="s">
        <v>847</v>
      </c>
      <c r="E1691" s="292">
        <f t="shared" ref="E1691:E1711" si="443">C1691</f>
        <v>42923</v>
      </c>
      <c r="F1691" s="67" t="s">
        <v>795</v>
      </c>
      <c r="G1691" s="925" t="s">
        <v>1693</v>
      </c>
      <c r="H1691" s="311" t="s">
        <v>1684</v>
      </c>
      <c r="I1691" s="373">
        <v>2030</v>
      </c>
      <c r="J1691" s="379">
        <v>8800</v>
      </c>
      <c r="K1691" s="373"/>
      <c r="L1691" s="379"/>
      <c r="M1691" s="927">
        <f>I1691*J1691</f>
        <v>17864000</v>
      </c>
      <c r="N1691" s="295" t="s">
        <v>266</v>
      </c>
      <c r="O1691" s="295" t="s">
        <v>8</v>
      </c>
      <c r="P1691" s="75" t="str">
        <f>IF(AND('331-CT'!$E$7=TH!H1691,OR(N1691="331",O1691="331")),"x","")</f>
        <v/>
      </c>
      <c r="Q1691" s="75" t="str">
        <f>IF(AND(B1691='111'!$L$11,OR($N1691=$Q$7,$O1691=$Q$7)),"x","")</f>
        <v/>
      </c>
      <c r="R1691" s="75" t="str">
        <f>IF(AND($N1691=$Q$7,$B1691&lt;'111'!$L$11),"x","")</f>
        <v/>
      </c>
      <c r="S1691" s="75" t="str">
        <f>IF(AND($O1691=$Q$7,$B1691&lt;'111'!$L$11),"x","")</f>
        <v/>
      </c>
      <c r="T1691" s="75" t="str">
        <f>IF(ISERROR(FIND('112'!$M$9,G1691,1)),"",IF((AND(FIND('112'!$M$9,G1691,1)&gt;=1,B1691='112'!$K$9,OR($N1691='112'!$I$6,$O1691='112'!$I$6))),"x",""))</f>
        <v/>
      </c>
      <c r="U1691" s="75" t="str">
        <f>IF(ISERROR(FIND('112'!$M$9,G1691,1)),"",IF((AND(LEFT(G1691,2)=LEFT('112'!$M$9,2),B1691&lt;'112'!$K$9,$N1691='112'!$I$6)),"x",""))</f>
        <v/>
      </c>
      <c r="V1691" s="75" t="str">
        <f>IF(ISERROR(FIND('112'!$M$9,G1691,1)),"",IF((AND(RIGHT(G1691,2)=RIGHT('112'!$M$9,2),B1691&lt;'112'!$K$9,$O1691='112'!$I$6)),"x",""))</f>
        <v/>
      </c>
      <c r="W1691" s="75" t="str">
        <f>IF(AND('341-CT'!$H$9=H1691,OR(LEFT(N1691,3)=$W$7,LEFT(O1691,3)=$W$7)),"x","")</f>
        <v/>
      </c>
      <c r="X1691" s="75" t="str">
        <f>IF(OR(TH!N1691=TH!$X$7,O1691=TH!$X$7),"x","")</f>
        <v/>
      </c>
      <c r="Y1691" s="75" t="str">
        <f>IF(AND(OR(N1691="131",O1691="131"),H1691='131-CT'!$H$9),"x","")</f>
        <v/>
      </c>
      <c r="Z1691" s="75"/>
      <c r="AA1691" s="75" t="str">
        <f>IF(AND(MONTH(E1691)='IN-NX'!$J$5,'IN-NX'!$D$7=D1691),"x","")</f>
        <v/>
      </c>
      <c r="AB1691" s="75" t="str">
        <f>IF(AND(OR(LEFT(TH!N1691,2)="15",LEFT(TH!O1691,2)="15"),LEFT(TH!O1691,3)&lt;&gt;"111",'152-CT'!$J$8=TH!F1691),"x","")</f>
        <v/>
      </c>
      <c r="AC1691" s="75" t="str">
        <f>IF(AND(OR(LEFT(TH!N1691,2)="15",LEFT(TH!O1691,2)="15"),TK!$E$7=TH!F1691),"x","")</f>
        <v/>
      </c>
      <c r="AD1691" s="75" t="str">
        <f>IF(AND(N1691="1521",MONTH(C1691)='BK-NL'!$M$11),"x","")</f>
        <v/>
      </c>
    </row>
    <row r="1692" spans="1:32" s="1053" customFormat="1" ht="16.5" customHeight="1">
      <c r="A1692" s="309" t="str">
        <f>IF(B1692&lt;&gt;"",IF(AND(B1692='IN-TC'!$S$4,OR(TH!N1692="1111",TH!O1692="1111")),TH!D1692,""),"")</f>
        <v/>
      </c>
      <c r="B1692" s="1243">
        <f t="shared" si="442"/>
        <v>7</v>
      </c>
      <c r="C1692" s="292">
        <v>42923</v>
      </c>
      <c r="D1692" s="292" t="s">
        <v>847</v>
      </c>
      <c r="E1692" s="292">
        <f t="shared" si="443"/>
        <v>42923</v>
      </c>
      <c r="F1692" s="67" t="s">
        <v>1143</v>
      </c>
      <c r="G1692" s="925" t="s">
        <v>1693</v>
      </c>
      <c r="H1692" s="311" t="s">
        <v>1684</v>
      </c>
      <c r="I1692" s="373"/>
      <c r="J1692" s="379"/>
      <c r="K1692" s="373"/>
      <c r="L1692" s="379"/>
      <c r="M1692" s="927">
        <v>1786400</v>
      </c>
      <c r="N1692" s="295" t="s">
        <v>9</v>
      </c>
      <c r="O1692" s="295" t="s">
        <v>8</v>
      </c>
      <c r="P1692" s="75" t="str">
        <f>IF(AND('331-CT'!$E$7=TH!H1692,OR(N1692="331",O1692="331")),"x","")</f>
        <v/>
      </c>
      <c r="Q1692" s="75" t="str">
        <f>IF(AND(B1692='111'!$L$11,OR($N1692=$Q$7,$O1692=$Q$7)),"x","")</f>
        <v/>
      </c>
      <c r="R1692" s="75" t="str">
        <f>IF(AND($N1692=$Q$7,$B1692&lt;'111'!$L$11),"x","")</f>
        <v/>
      </c>
      <c r="S1692" s="75" t="str">
        <f>IF(AND($O1692=$Q$7,$B1692&lt;'111'!$L$11),"x","")</f>
        <v/>
      </c>
      <c r="T1692" s="75" t="str">
        <f>IF(ISERROR(FIND('112'!$M$9,G1692,1)),"",IF((AND(FIND('112'!$M$9,G1692,1)&gt;=1,B1692='112'!$K$9,OR($N1692='112'!$I$6,$O1692='112'!$I$6))),"x",""))</f>
        <v/>
      </c>
      <c r="U1692" s="75" t="str">
        <f>IF(ISERROR(FIND('112'!$M$9,G1692,1)),"",IF((AND(LEFT(G1692,2)=LEFT('112'!$M$9,2),B1692&lt;'112'!$K$9,$N1692='112'!$I$6)),"x",""))</f>
        <v/>
      </c>
      <c r="V1692" s="75" t="str">
        <f>IF(ISERROR(FIND('112'!$M$9,G1692,1)),"",IF((AND(RIGHT(G1692,2)=RIGHT('112'!$M$9,2),B1692&lt;'112'!$K$9,$O1692='112'!$I$6)),"x",""))</f>
        <v/>
      </c>
      <c r="W1692" s="75" t="str">
        <f>IF(AND('341-CT'!$H$9=H1692,OR(LEFT(N1692,3)=$W$7,LEFT(O1692,3)=$W$7)),"x","")</f>
        <v/>
      </c>
      <c r="X1692" s="75" t="str">
        <f>IF(OR(TH!N1692=TH!$X$7,O1692=TH!$X$7),"x","")</f>
        <v/>
      </c>
      <c r="Y1692" s="75" t="str">
        <f>IF(AND(OR(N1692="131",O1692="131"),H1692='131-CT'!$H$9),"x","")</f>
        <v/>
      </c>
      <c r="Z1692" s="75"/>
      <c r="AA1692" s="75" t="str">
        <f>IF(AND(MONTH(E1692)='IN-NX'!$J$5,'IN-NX'!$D$7=D1692),"x","")</f>
        <v/>
      </c>
      <c r="AB1692" s="75" t="str">
        <f>IF(AND(OR(LEFT(TH!N1692,2)="15",LEFT(TH!O1692,2)="15"),LEFT(TH!O1692,3)&lt;&gt;"111",'152-CT'!$J$8=TH!F1692),"x","")</f>
        <v/>
      </c>
      <c r="AC1692" s="75" t="str">
        <f>IF(AND(OR(LEFT(TH!N1692,2)="15",LEFT(TH!O1692,2)="15"),TK!$E$7=TH!F1692),"x","")</f>
        <v/>
      </c>
      <c r="AD1692" s="75" t="str">
        <f>IF(AND(N1692="1521",MONTH(C1692)='BK-NL'!$M$11),"x","")</f>
        <v/>
      </c>
      <c r="AE1692" s="1053">
        <v>7</v>
      </c>
    </row>
    <row r="1693" spans="1:32" s="1053" customFormat="1" ht="16.5" customHeight="1">
      <c r="A1693" s="309" t="str">
        <f>IF(B1693&lt;&gt;"",IF(AND(B1693='IN-TC'!$S$4,OR(TH!N1693="1111",TH!O1693="1111")),TH!D1693,""),"")</f>
        <v/>
      </c>
      <c r="B1693" s="1243">
        <f t="shared" si="442"/>
        <v>7</v>
      </c>
      <c r="C1693" s="292">
        <v>42924</v>
      </c>
      <c r="D1693" s="292" t="s">
        <v>867</v>
      </c>
      <c r="E1693" s="292">
        <f t="shared" si="443"/>
        <v>42924</v>
      </c>
      <c r="F1693" s="67" t="s">
        <v>795</v>
      </c>
      <c r="G1693" s="925" t="s">
        <v>1694</v>
      </c>
      <c r="H1693" s="311" t="s">
        <v>1684</v>
      </c>
      <c r="I1693" s="373">
        <v>2030</v>
      </c>
      <c r="J1693" s="379">
        <v>8800</v>
      </c>
      <c r="K1693" s="373"/>
      <c r="L1693" s="379"/>
      <c r="M1693" s="927">
        <f>I1693*J1693</f>
        <v>17864000</v>
      </c>
      <c r="N1693" s="295" t="s">
        <v>266</v>
      </c>
      <c r="O1693" s="295" t="s">
        <v>8</v>
      </c>
      <c r="P1693" s="75" t="str">
        <f>IF(AND('331-CT'!$E$7=TH!H1693,OR(N1693="331",O1693="331")),"x","")</f>
        <v/>
      </c>
      <c r="Q1693" s="75" t="str">
        <f>IF(AND(B1693='111'!$L$11,OR($N1693=$Q$7,$O1693=$Q$7)),"x","")</f>
        <v/>
      </c>
      <c r="R1693" s="75" t="str">
        <f>IF(AND($N1693=$Q$7,$B1693&lt;'111'!$L$11),"x","")</f>
        <v/>
      </c>
      <c r="S1693" s="75" t="str">
        <f>IF(AND($O1693=$Q$7,$B1693&lt;'111'!$L$11),"x","")</f>
        <v/>
      </c>
      <c r="T1693" s="75" t="str">
        <f>IF(ISERROR(FIND('112'!$M$9,G1693,1)),"",IF((AND(FIND('112'!$M$9,G1693,1)&gt;=1,B1693='112'!$K$9,OR($N1693='112'!$I$6,$O1693='112'!$I$6))),"x",""))</f>
        <v/>
      </c>
      <c r="U1693" s="75" t="str">
        <f>IF(ISERROR(FIND('112'!$M$9,G1693,1)),"",IF((AND(LEFT(G1693,2)=LEFT('112'!$M$9,2),B1693&lt;'112'!$K$9,$N1693='112'!$I$6)),"x",""))</f>
        <v/>
      </c>
      <c r="V1693" s="75" t="str">
        <f>IF(ISERROR(FIND('112'!$M$9,G1693,1)),"",IF((AND(RIGHT(G1693,2)=RIGHT('112'!$M$9,2),B1693&lt;'112'!$K$9,$O1693='112'!$I$6)),"x",""))</f>
        <v/>
      </c>
      <c r="W1693" s="75" t="str">
        <f>IF(AND('341-CT'!$H$9=H1693,OR(LEFT(N1693,3)=$W$7,LEFT(O1693,3)=$W$7)),"x","")</f>
        <v/>
      </c>
      <c r="X1693" s="75" t="str">
        <f>IF(OR(TH!N1693=TH!$X$7,O1693=TH!$X$7),"x","")</f>
        <v/>
      </c>
      <c r="Y1693" s="75" t="str">
        <f>IF(AND(OR(N1693="131",O1693="131"),H1693='131-CT'!$H$9),"x","")</f>
        <v/>
      </c>
      <c r="Z1693" s="75"/>
      <c r="AA1693" s="75" t="str">
        <f>IF(AND(MONTH(E1693)='IN-NX'!$J$5,'IN-NX'!$D$7=D1693),"x","")</f>
        <v/>
      </c>
      <c r="AB1693" s="75" t="str">
        <f>IF(AND(OR(LEFT(TH!N1693,2)="15",LEFT(TH!O1693,2)="15"),LEFT(TH!O1693,3)&lt;&gt;"111",'152-CT'!$J$8=TH!F1693),"x","")</f>
        <v/>
      </c>
      <c r="AC1693" s="75" t="str">
        <f>IF(AND(OR(LEFT(TH!N1693,2)="15",LEFT(TH!O1693,2)="15"),TK!$E$7=TH!F1693),"x","")</f>
        <v/>
      </c>
      <c r="AD1693" s="75" t="str">
        <f>IF(AND(N1693="1521",MONTH(C1693)='BK-NL'!$M$11),"x","")</f>
        <v/>
      </c>
    </row>
    <row r="1694" spans="1:32" s="1053" customFormat="1" ht="16.5" customHeight="1">
      <c r="A1694" s="309" t="str">
        <f>IF(B1694&lt;&gt;"",IF(AND(B1694='IN-TC'!$S$4,OR(TH!N1694="1111",TH!O1694="1111")),TH!D1694,""),"")</f>
        <v/>
      </c>
      <c r="B1694" s="1243">
        <f t="shared" si="442"/>
        <v>7</v>
      </c>
      <c r="C1694" s="292">
        <v>42924</v>
      </c>
      <c r="D1694" s="292" t="s">
        <v>867</v>
      </c>
      <c r="E1694" s="292">
        <f t="shared" si="443"/>
        <v>42924</v>
      </c>
      <c r="F1694" s="67" t="s">
        <v>1143</v>
      </c>
      <c r="G1694" s="925" t="s">
        <v>1694</v>
      </c>
      <c r="H1694" s="311" t="s">
        <v>1684</v>
      </c>
      <c r="I1694" s="373"/>
      <c r="J1694" s="379"/>
      <c r="K1694" s="373"/>
      <c r="L1694" s="379"/>
      <c r="M1694" s="927">
        <v>1786400</v>
      </c>
      <c r="N1694" s="295" t="s">
        <v>9</v>
      </c>
      <c r="O1694" s="295" t="s">
        <v>8</v>
      </c>
      <c r="P1694" s="75" t="str">
        <f>IF(AND('331-CT'!$E$7=TH!H1694,OR(N1694="331",O1694="331")),"x","")</f>
        <v/>
      </c>
      <c r="Q1694" s="75" t="str">
        <f>IF(AND(B1694='111'!$L$11,OR($N1694=$Q$7,$O1694=$Q$7)),"x","")</f>
        <v/>
      </c>
      <c r="R1694" s="75" t="str">
        <f>IF(AND($N1694=$Q$7,$B1694&lt;'111'!$L$11),"x","")</f>
        <v/>
      </c>
      <c r="S1694" s="75" t="str">
        <f>IF(AND($O1694=$Q$7,$B1694&lt;'111'!$L$11),"x","")</f>
        <v/>
      </c>
      <c r="T1694" s="75" t="str">
        <f>IF(ISERROR(FIND('112'!$M$9,G1694,1)),"",IF((AND(FIND('112'!$M$9,G1694,1)&gt;=1,B1694='112'!$K$9,OR($N1694='112'!$I$6,$O1694='112'!$I$6))),"x",""))</f>
        <v/>
      </c>
      <c r="U1694" s="75" t="str">
        <f>IF(ISERROR(FIND('112'!$M$9,G1694,1)),"",IF((AND(LEFT(G1694,2)=LEFT('112'!$M$9,2),B1694&lt;'112'!$K$9,$N1694='112'!$I$6)),"x",""))</f>
        <v/>
      </c>
      <c r="V1694" s="75" t="str">
        <f>IF(ISERROR(FIND('112'!$M$9,G1694,1)),"",IF((AND(RIGHT(G1694,2)=RIGHT('112'!$M$9,2),B1694&lt;'112'!$K$9,$O1694='112'!$I$6)),"x",""))</f>
        <v/>
      </c>
      <c r="W1694" s="75" t="str">
        <f>IF(AND('341-CT'!$H$9=H1694,OR(LEFT(N1694,3)=$W$7,LEFT(O1694,3)=$W$7)),"x","")</f>
        <v/>
      </c>
      <c r="X1694" s="75" t="str">
        <f>IF(OR(TH!N1694=TH!$X$7,O1694=TH!$X$7),"x","")</f>
        <v/>
      </c>
      <c r="Y1694" s="75" t="str">
        <f>IF(AND(OR(N1694="131",O1694="131"),H1694='131-CT'!$H$9),"x","")</f>
        <v/>
      </c>
      <c r="Z1694" s="75"/>
      <c r="AA1694" s="75" t="str">
        <f>IF(AND(MONTH(E1694)='IN-NX'!$J$5,'IN-NX'!$D$7=D1694),"x","")</f>
        <v/>
      </c>
      <c r="AB1694" s="75" t="str">
        <f>IF(AND(OR(LEFT(TH!N1694,2)="15",LEFT(TH!O1694,2)="15"),LEFT(TH!O1694,3)&lt;&gt;"111",'152-CT'!$J$8=TH!F1694),"x","")</f>
        <v/>
      </c>
      <c r="AC1694" s="75" t="str">
        <f>IF(AND(OR(LEFT(TH!N1694,2)="15",LEFT(TH!O1694,2)="15"),TK!$E$7=TH!F1694),"x","")</f>
        <v/>
      </c>
      <c r="AD1694" s="75" t="str">
        <f>IF(AND(N1694="1521",MONTH(C1694)='BK-NL'!$M$11),"x","")</f>
        <v/>
      </c>
      <c r="AE1694" s="1053">
        <v>7</v>
      </c>
    </row>
    <row r="1695" spans="1:32" s="1053" customFormat="1" ht="16.5" customHeight="1">
      <c r="A1695" s="309" t="str">
        <f>IF(B1695&lt;&gt;"",IF(AND(B1695='IN-TC'!$S$4,OR(TH!N1695="1111",TH!O1695="1111")),TH!D1695,""),"")</f>
        <v/>
      </c>
      <c r="B1695" s="1243">
        <f t="shared" si="442"/>
        <v>7</v>
      </c>
      <c r="C1695" s="292">
        <v>42925</v>
      </c>
      <c r="D1695" s="292" t="s">
        <v>1352</v>
      </c>
      <c r="E1695" s="292">
        <f t="shared" si="443"/>
        <v>42925</v>
      </c>
      <c r="F1695" s="67" t="s">
        <v>795</v>
      </c>
      <c r="G1695" s="925" t="s">
        <v>1695</v>
      </c>
      <c r="H1695" s="311" t="s">
        <v>1684</v>
      </c>
      <c r="I1695" s="373">
        <v>2030</v>
      </c>
      <c r="J1695" s="379">
        <v>8800</v>
      </c>
      <c r="K1695" s="373"/>
      <c r="L1695" s="379"/>
      <c r="M1695" s="927">
        <f>I1695*J1695</f>
        <v>17864000</v>
      </c>
      <c r="N1695" s="295" t="s">
        <v>266</v>
      </c>
      <c r="O1695" s="295" t="s">
        <v>8</v>
      </c>
      <c r="P1695" s="75" t="str">
        <f>IF(AND('331-CT'!$E$7=TH!H1695,OR(N1695="331",O1695="331")),"x","")</f>
        <v/>
      </c>
      <c r="Q1695" s="75" t="str">
        <f>IF(AND(B1695='111'!$L$11,OR($N1695=$Q$7,$O1695=$Q$7)),"x","")</f>
        <v/>
      </c>
      <c r="R1695" s="75" t="str">
        <f>IF(AND($N1695=$Q$7,$B1695&lt;'111'!$L$11),"x","")</f>
        <v/>
      </c>
      <c r="S1695" s="75" t="str">
        <f>IF(AND($O1695=$Q$7,$B1695&lt;'111'!$L$11),"x","")</f>
        <v/>
      </c>
      <c r="T1695" s="75" t="str">
        <f>IF(ISERROR(FIND('112'!$M$9,G1695,1)),"",IF((AND(FIND('112'!$M$9,G1695,1)&gt;=1,B1695='112'!$K$9,OR($N1695='112'!$I$6,$O1695='112'!$I$6))),"x",""))</f>
        <v/>
      </c>
      <c r="U1695" s="75" t="str">
        <f>IF(ISERROR(FIND('112'!$M$9,G1695,1)),"",IF((AND(LEFT(G1695,2)=LEFT('112'!$M$9,2),B1695&lt;'112'!$K$9,$N1695='112'!$I$6)),"x",""))</f>
        <v/>
      </c>
      <c r="V1695" s="75" t="str">
        <f>IF(ISERROR(FIND('112'!$M$9,G1695,1)),"",IF((AND(RIGHT(G1695,2)=RIGHT('112'!$M$9,2),B1695&lt;'112'!$K$9,$O1695='112'!$I$6)),"x",""))</f>
        <v/>
      </c>
      <c r="W1695" s="75" t="str">
        <f>IF(AND('341-CT'!$H$9=H1695,OR(LEFT(N1695,3)=$W$7,LEFT(O1695,3)=$W$7)),"x","")</f>
        <v/>
      </c>
      <c r="X1695" s="75" t="str">
        <f>IF(OR(TH!N1695=TH!$X$7,O1695=TH!$X$7),"x","")</f>
        <v/>
      </c>
      <c r="Y1695" s="75" t="str">
        <f>IF(AND(OR(N1695="131",O1695="131"),H1695='131-CT'!$H$9),"x","")</f>
        <v/>
      </c>
      <c r="Z1695" s="75"/>
      <c r="AA1695" s="75" t="str">
        <f>IF(AND(MONTH(E1695)='IN-NX'!$J$5,'IN-NX'!$D$7=D1695),"x","")</f>
        <v/>
      </c>
      <c r="AB1695" s="75" t="str">
        <f>IF(AND(OR(LEFT(TH!N1695,2)="15",LEFT(TH!O1695,2)="15"),LEFT(TH!O1695,3)&lt;&gt;"111",'152-CT'!$J$8=TH!F1695),"x","")</f>
        <v/>
      </c>
      <c r="AC1695" s="75" t="str">
        <f>IF(AND(OR(LEFT(TH!N1695,2)="15",LEFT(TH!O1695,2)="15"),TK!$E$7=TH!F1695),"x","")</f>
        <v/>
      </c>
      <c r="AD1695" s="75" t="str">
        <f>IF(AND(N1695="1521",MONTH(C1695)='BK-NL'!$M$11),"x","")</f>
        <v/>
      </c>
    </row>
    <row r="1696" spans="1:32" s="1053" customFormat="1" ht="16.5" customHeight="1">
      <c r="A1696" s="309" t="str">
        <f>IF(B1696&lt;&gt;"",IF(AND(B1696='IN-TC'!$S$4,OR(TH!N1696="1111",TH!O1696="1111")),TH!D1696,""),"")</f>
        <v/>
      </c>
      <c r="B1696" s="1243">
        <f t="shared" si="442"/>
        <v>7</v>
      </c>
      <c r="C1696" s="292">
        <v>42925</v>
      </c>
      <c r="D1696" s="292" t="s">
        <v>1352</v>
      </c>
      <c r="E1696" s="292">
        <f t="shared" si="443"/>
        <v>42925</v>
      </c>
      <c r="F1696" s="67" t="s">
        <v>1143</v>
      </c>
      <c r="G1696" s="925" t="s">
        <v>1695</v>
      </c>
      <c r="H1696" s="311" t="s">
        <v>1684</v>
      </c>
      <c r="I1696" s="373"/>
      <c r="J1696" s="379"/>
      <c r="K1696" s="373"/>
      <c r="L1696" s="379"/>
      <c r="M1696" s="927">
        <v>1786400</v>
      </c>
      <c r="N1696" s="295" t="s">
        <v>9</v>
      </c>
      <c r="O1696" s="295" t="s">
        <v>8</v>
      </c>
      <c r="P1696" s="75" t="str">
        <f>IF(AND('331-CT'!$E$7=TH!H1696,OR(N1696="331",O1696="331")),"x","")</f>
        <v/>
      </c>
      <c r="Q1696" s="75" t="str">
        <f>IF(AND(B1696='111'!$L$11,OR($N1696=$Q$7,$O1696=$Q$7)),"x","")</f>
        <v/>
      </c>
      <c r="R1696" s="75" t="str">
        <f>IF(AND($N1696=$Q$7,$B1696&lt;'111'!$L$11),"x","")</f>
        <v/>
      </c>
      <c r="S1696" s="75" t="str">
        <f>IF(AND($O1696=$Q$7,$B1696&lt;'111'!$L$11),"x","")</f>
        <v/>
      </c>
      <c r="T1696" s="75" t="str">
        <f>IF(ISERROR(FIND('112'!$M$9,G1696,1)),"",IF((AND(FIND('112'!$M$9,G1696,1)&gt;=1,B1696='112'!$K$9,OR($N1696='112'!$I$6,$O1696='112'!$I$6))),"x",""))</f>
        <v/>
      </c>
      <c r="U1696" s="75" t="str">
        <f>IF(ISERROR(FIND('112'!$M$9,G1696,1)),"",IF((AND(LEFT(G1696,2)=LEFT('112'!$M$9,2),B1696&lt;'112'!$K$9,$N1696='112'!$I$6)),"x",""))</f>
        <v/>
      </c>
      <c r="V1696" s="75" t="str">
        <f>IF(ISERROR(FIND('112'!$M$9,G1696,1)),"",IF((AND(RIGHT(G1696,2)=RIGHT('112'!$M$9,2),B1696&lt;'112'!$K$9,$O1696='112'!$I$6)),"x",""))</f>
        <v/>
      </c>
      <c r="W1696" s="75" t="str">
        <f>IF(AND('341-CT'!$H$9=H1696,OR(LEFT(N1696,3)=$W$7,LEFT(O1696,3)=$W$7)),"x","")</f>
        <v/>
      </c>
      <c r="X1696" s="75" t="str">
        <f>IF(OR(TH!N1696=TH!$X$7,O1696=TH!$X$7),"x","")</f>
        <v/>
      </c>
      <c r="Y1696" s="75" t="str">
        <f>IF(AND(OR(N1696="131",O1696="131"),H1696='131-CT'!$H$9),"x","")</f>
        <v/>
      </c>
      <c r="Z1696" s="75"/>
      <c r="AA1696" s="75" t="str">
        <f>IF(AND(MONTH(E1696)='IN-NX'!$J$5,'IN-NX'!$D$7=D1696),"x","")</f>
        <v/>
      </c>
      <c r="AB1696" s="75" t="str">
        <f>IF(AND(OR(LEFT(TH!N1696,2)="15",LEFT(TH!O1696,2)="15"),LEFT(TH!O1696,3)&lt;&gt;"111",'152-CT'!$J$8=TH!F1696),"x","")</f>
        <v/>
      </c>
      <c r="AC1696" s="75" t="str">
        <f>IF(AND(OR(LEFT(TH!N1696,2)="15",LEFT(TH!O1696,2)="15"),TK!$E$7=TH!F1696),"x","")</f>
        <v/>
      </c>
      <c r="AD1696" s="75" t="str">
        <f>IF(AND(N1696="1521",MONTH(C1696)='BK-NL'!$M$11),"x","")</f>
        <v/>
      </c>
      <c r="AE1696" s="1053">
        <v>7</v>
      </c>
    </row>
    <row r="1697" spans="1:31" s="1053" customFormat="1" ht="16.5" customHeight="1">
      <c r="A1697" s="309" t="str">
        <f>IF(B1697&lt;&gt;"",IF(AND(B1697='IN-TC'!$S$4,OR(TH!N1697="1111",TH!O1697="1111")),TH!D1697,""),"")</f>
        <v/>
      </c>
      <c r="B1697" s="1243">
        <f t="shared" si="442"/>
        <v>7</v>
      </c>
      <c r="C1697" s="292">
        <v>42926</v>
      </c>
      <c r="D1697" s="292" t="s">
        <v>1353</v>
      </c>
      <c r="E1697" s="292">
        <f t="shared" si="443"/>
        <v>42926</v>
      </c>
      <c r="F1697" s="67" t="s">
        <v>795</v>
      </c>
      <c r="G1697" s="925" t="s">
        <v>1661</v>
      </c>
      <c r="H1697" s="311" t="s">
        <v>1684</v>
      </c>
      <c r="I1697" s="373">
        <v>2030</v>
      </c>
      <c r="J1697" s="379">
        <v>8800</v>
      </c>
      <c r="K1697" s="373"/>
      <c r="L1697" s="379"/>
      <c r="M1697" s="927">
        <f>I1697*J1697</f>
        <v>17864000</v>
      </c>
      <c r="N1697" s="295" t="s">
        <v>266</v>
      </c>
      <c r="O1697" s="295" t="s">
        <v>8</v>
      </c>
      <c r="P1697" s="75" t="str">
        <f>IF(AND('331-CT'!$E$7=TH!H1697,OR(N1697="331",O1697="331")),"x","")</f>
        <v/>
      </c>
      <c r="Q1697" s="75" t="str">
        <f>IF(AND(B1697='111'!$L$11,OR($N1697=$Q$7,$O1697=$Q$7)),"x","")</f>
        <v/>
      </c>
      <c r="R1697" s="75" t="str">
        <f>IF(AND($N1697=$Q$7,$B1697&lt;'111'!$L$11),"x","")</f>
        <v/>
      </c>
      <c r="S1697" s="75" t="str">
        <f>IF(AND($O1697=$Q$7,$B1697&lt;'111'!$L$11),"x","")</f>
        <v/>
      </c>
      <c r="T1697" s="75" t="str">
        <f>IF(ISERROR(FIND('112'!$M$9,G1697,1)),"",IF((AND(FIND('112'!$M$9,G1697,1)&gt;=1,B1697='112'!$K$9,OR($N1697='112'!$I$6,$O1697='112'!$I$6))),"x",""))</f>
        <v/>
      </c>
      <c r="U1697" s="75" t="str">
        <f>IF(ISERROR(FIND('112'!$M$9,G1697,1)),"",IF((AND(LEFT(G1697,2)=LEFT('112'!$M$9,2),B1697&lt;'112'!$K$9,$N1697='112'!$I$6)),"x",""))</f>
        <v/>
      </c>
      <c r="V1697" s="75" t="str">
        <f>IF(ISERROR(FIND('112'!$M$9,G1697,1)),"",IF((AND(RIGHT(G1697,2)=RIGHT('112'!$M$9,2),B1697&lt;'112'!$K$9,$O1697='112'!$I$6)),"x",""))</f>
        <v/>
      </c>
      <c r="W1697" s="75" t="str">
        <f>IF(AND('341-CT'!$H$9=H1697,OR(LEFT(N1697,3)=$W$7,LEFT(O1697,3)=$W$7)),"x","")</f>
        <v/>
      </c>
      <c r="X1697" s="75" t="str">
        <f>IF(OR(TH!N1697=TH!$X$7,O1697=TH!$X$7),"x","")</f>
        <v/>
      </c>
      <c r="Y1697" s="75" t="str">
        <f>IF(AND(OR(N1697="131",O1697="131"),H1697='131-CT'!$H$9),"x","")</f>
        <v/>
      </c>
      <c r="Z1697" s="75"/>
      <c r="AA1697" s="75" t="str">
        <f>IF(AND(MONTH(E1697)='IN-NX'!$J$5,'IN-NX'!$D$7=D1697),"x","")</f>
        <v/>
      </c>
      <c r="AB1697" s="75" t="str">
        <f>IF(AND(OR(LEFT(TH!N1697,2)="15",LEFT(TH!O1697,2)="15"),LEFT(TH!O1697,3)&lt;&gt;"111",'152-CT'!$J$8=TH!F1697),"x","")</f>
        <v/>
      </c>
      <c r="AC1697" s="75" t="str">
        <f>IF(AND(OR(LEFT(TH!N1697,2)="15",LEFT(TH!O1697,2)="15"),TK!$E$7=TH!F1697),"x","")</f>
        <v/>
      </c>
      <c r="AD1697" s="75" t="str">
        <f>IF(AND(N1697="1521",MONTH(C1697)='BK-NL'!$M$11),"x","")</f>
        <v/>
      </c>
    </row>
    <row r="1698" spans="1:31" s="1053" customFormat="1" ht="16.5" customHeight="1">
      <c r="A1698" s="309" t="str">
        <f>IF(B1698&lt;&gt;"",IF(AND(B1698='IN-TC'!$S$4,OR(TH!N1698="1111",TH!O1698="1111")),TH!D1698,""),"")</f>
        <v/>
      </c>
      <c r="B1698" s="1243">
        <f t="shared" si="442"/>
        <v>7</v>
      </c>
      <c r="C1698" s="292">
        <v>42926</v>
      </c>
      <c r="D1698" s="292" t="s">
        <v>1353</v>
      </c>
      <c r="E1698" s="292">
        <f t="shared" si="443"/>
        <v>42926</v>
      </c>
      <c r="F1698" s="67" t="s">
        <v>1143</v>
      </c>
      <c r="G1698" s="925" t="s">
        <v>1661</v>
      </c>
      <c r="H1698" s="311" t="s">
        <v>1684</v>
      </c>
      <c r="I1698" s="373"/>
      <c r="J1698" s="379"/>
      <c r="K1698" s="373"/>
      <c r="L1698" s="379"/>
      <c r="M1698" s="927">
        <v>1786400</v>
      </c>
      <c r="N1698" s="295" t="s">
        <v>9</v>
      </c>
      <c r="O1698" s="295" t="s">
        <v>8</v>
      </c>
      <c r="P1698" s="75" t="str">
        <f>IF(AND('331-CT'!$E$7=TH!H1698,OR(N1698="331",O1698="331")),"x","")</f>
        <v/>
      </c>
      <c r="Q1698" s="75" t="str">
        <f>IF(AND(B1698='111'!$L$11,OR($N1698=$Q$7,$O1698=$Q$7)),"x","")</f>
        <v/>
      </c>
      <c r="R1698" s="75" t="str">
        <f>IF(AND($N1698=$Q$7,$B1698&lt;'111'!$L$11),"x","")</f>
        <v/>
      </c>
      <c r="S1698" s="75" t="str">
        <f>IF(AND($O1698=$Q$7,$B1698&lt;'111'!$L$11),"x","")</f>
        <v/>
      </c>
      <c r="T1698" s="75" t="str">
        <f>IF(ISERROR(FIND('112'!$M$9,G1698,1)),"",IF((AND(FIND('112'!$M$9,G1698,1)&gt;=1,B1698='112'!$K$9,OR($N1698='112'!$I$6,$O1698='112'!$I$6))),"x",""))</f>
        <v/>
      </c>
      <c r="U1698" s="75" t="str">
        <f>IF(ISERROR(FIND('112'!$M$9,G1698,1)),"",IF((AND(LEFT(G1698,2)=LEFT('112'!$M$9,2),B1698&lt;'112'!$K$9,$N1698='112'!$I$6)),"x",""))</f>
        <v/>
      </c>
      <c r="V1698" s="75" t="str">
        <f>IF(ISERROR(FIND('112'!$M$9,G1698,1)),"",IF((AND(RIGHT(G1698,2)=RIGHT('112'!$M$9,2),B1698&lt;'112'!$K$9,$O1698='112'!$I$6)),"x",""))</f>
        <v/>
      </c>
      <c r="W1698" s="75" t="str">
        <f>IF(AND('341-CT'!$H$9=H1698,OR(LEFT(N1698,3)=$W$7,LEFT(O1698,3)=$W$7)),"x","")</f>
        <v/>
      </c>
      <c r="X1698" s="75" t="str">
        <f>IF(OR(TH!N1698=TH!$X$7,O1698=TH!$X$7),"x","")</f>
        <v/>
      </c>
      <c r="Y1698" s="75" t="str">
        <f>IF(AND(OR(N1698="131",O1698="131"),H1698='131-CT'!$H$9),"x","")</f>
        <v/>
      </c>
      <c r="Z1698" s="75"/>
      <c r="AA1698" s="75" t="str">
        <f>IF(AND(MONTH(E1698)='IN-NX'!$J$5,'IN-NX'!$D$7=D1698),"x","")</f>
        <v/>
      </c>
      <c r="AB1698" s="75" t="str">
        <f>IF(AND(OR(LEFT(TH!N1698,2)="15",LEFT(TH!O1698,2)="15"),LEFT(TH!O1698,3)&lt;&gt;"111",'152-CT'!$J$8=TH!F1698),"x","")</f>
        <v/>
      </c>
      <c r="AC1698" s="75" t="str">
        <f>IF(AND(OR(LEFT(TH!N1698,2)="15",LEFT(TH!O1698,2)="15"),TK!$E$7=TH!F1698),"x","")</f>
        <v/>
      </c>
      <c r="AD1698" s="75" t="str">
        <f>IF(AND(N1698="1521",MONTH(C1698)='BK-NL'!$M$11),"x","")</f>
        <v/>
      </c>
      <c r="AE1698" s="1053">
        <v>7</v>
      </c>
    </row>
    <row r="1699" spans="1:31" s="1053" customFormat="1" ht="16.5" customHeight="1">
      <c r="A1699" s="309" t="str">
        <f>IF(B1699&lt;&gt;"",IF(AND(B1699='IN-TC'!$S$4,OR(TH!N1699="1111",TH!O1699="1111")),TH!D1699,""),"")</f>
        <v/>
      </c>
      <c r="B1699" s="1243">
        <f t="shared" si="442"/>
        <v>7</v>
      </c>
      <c r="C1699" s="292">
        <v>42927</v>
      </c>
      <c r="D1699" s="292" t="s">
        <v>1354</v>
      </c>
      <c r="E1699" s="292">
        <f t="shared" si="443"/>
        <v>42927</v>
      </c>
      <c r="F1699" s="67" t="s">
        <v>795</v>
      </c>
      <c r="G1699" s="925" t="s">
        <v>1696</v>
      </c>
      <c r="H1699" s="311" t="s">
        <v>1684</v>
      </c>
      <c r="I1699" s="373">
        <v>2030</v>
      </c>
      <c r="J1699" s="379">
        <v>8800</v>
      </c>
      <c r="K1699" s="373"/>
      <c r="L1699" s="379"/>
      <c r="M1699" s="927">
        <f>I1699*J1699</f>
        <v>17864000</v>
      </c>
      <c r="N1699" s="295" t="s">
        <v>266</v>
      </c>
      <c r="O1699" s="295" t="s">
        <v>8</v>
      </c>
      <c r="P1699" s="75" t="str">
        <f>IF(AND('331-CT'!$E$7=TH!H1699,OR(N1699="331",O1699="331")),"x","")</f>
        <v/>
      </c>
      <c r="Q1699" s="75" t="str">
        <f>IF(AND(B1699='111'!$L$11,OR($N1699=$Q$7,$O1699=$Q$7)),"x","")</f>
        <v/>
      </c>
      <c r="R1699" s="75" t="str">
        <f>IF(AND($N1699=$Q$7,$B1699&lt;'111'!$L$11),"x","")</f>
        <v/>
      </c>
      <c r="S1699" s="75" t="str">
        <f>IF(AND($O1699=$Q$7,$B1699&lt;'111'!$L$11),"x","")</f>
        <v/>
      </c>
      <c r="T1699" s="75" t="str">
        <f>IF(ISERROR(FIND('112'!$M$9,G1699,1)),"",IF((AND(FIND('112'!$M$9,G1699,1)&gt;=1,B1699='112'!$K$9,OR($N1699='112'!$I$6,$O1699='112'!$I$6))),"x",""))</f>
        <v/>
      </c>
      <c r="U1699" s="75" t="str">
        <f>IF(ISERROR(FIND('112'!$M$9,G1699,1)),"",IF((AND(LEFT(G1699,2)=LEFT('112'!$M$9,2),B1699&lt;'112'!$K$9,$N1699='112'!$I$6)),"x",""))</f>
        <v/>
      </c>
      <c r="V1699" s="75" t="str">
        <f>IF(ISERROR(FIND('112'!$M$9,G1699,1)),"",IF((AND(RIGHT(G1699,2)=RIGHT('112'!$M$9,2),B1699&lt;'112'!$K$9,$O1699='112'!$I$6)),"x",""))</f>
        <v/>
      </c>
      <c r="W1699" s="75" t="str">
        <f>IF(AND('341-CT'!$H$9=H1699,OR(LEFT(N1699,3)=$W$7,LEFT(O1699,3)=$W$7)),"x","")</f>
        <v/>
      </c>
      <c r="X1699" s="75" t="str">
        <f>IF(OR(TH!N1699=TH!$X$7,O1699=TH!$X$7),"x","")</f>
        <v/>
      </c>
      <c r="Y1699" s="75" t="str">
        <f>IF(AND(OR(N1699="131",O1699="131"),H1699='131-CT'!$H$9),"x","")</f>
        <v/>
      </c>
      <c r="Z1699" s="75"/>
      <c r="AA1699" s="75" t="str">
        <f>IF(AND(MONTH(E1699)='IN-NX'!$J$5,'IN-NX'!$D$7=D1699),"x","")</f>
        <v/>
      </c>
      <c r="AB1699" s="75" t="str">
        <f>IF(AND(OR(LEFT(TH!N1699,2)="15",LEFT(TH!O1699,2)="15"),LEFT(TH!O1699,3)&lt;&gt;"111",'152-CT'!$J$8=TH!F1699),"x","")</f>
        <v/>
      </c>
      <c r="AC1699" s="75" t="str">
        <f>IF(AND(OR(LEFT(TH!N1699,2)="15",LEFT(TH!O1699,2)="15"),TK!$E$7=TH!F1699),"x","")</f>
        <v/>
      </c>
      <c r="AD1699" s="75" t="str">
        <f>IF(AND(N1699="1521",MONTH(C1699)='BK-NL'!$M$11),"x","")</f>
        <v/>
      </c>
    </row>
    <row r="1700" spans="1:31" s="1053" customFormat="1" ht="16.5" customHeight="1">
      <c r="A1700" s="309" t="str">
        <f>IF(B1700&lt;&gt;"",IF(AND(B1700='IN-TC'!$S$4,OR(TH!N1700="1111",TH!O1700="1111")),TH!D1700,""),"")</f>
        <v/>
      </c>
      <c r="B1700" s="1243">
        <f t="shared" si="442"/>
        <v>7</v>
      </c>
      <c r="C1700" s="292">
        <v>42927</v>
      </c>
      <c r="D1700" s="292" t="s">
        <v>1354</v>
      </c>
      <c r="E1700" s="292">
        <f t="shared" si="443"/>
        <v>42927</v>
      </c>
      <c r="F1700" s="67" t="s">
        <v>1143</v>
      </c>
      <c r="G1700" s="925" t="s">
        <v>1696</v>
      </c>
      <c r="H1700" s="311" t="s">
        <v>1684</v>
      </c>
      <c r="I1700" s="373"/>
      <c r="J1700" s="379"/>
      <c r="K1700" s="373"/>
      <c r="L1700" s="379"/>
      <c r="M1700" s="927">
        <v>1786400</v>
      </c>
      <c r="N1700" s="295" t="s">
        <v>9</v>
      </c>
      <c r="O1700" s="295" t="s">
        <v>8</v>
      </c>
      <c r="P1700" s="75" t="str">
        <f>IF(AND('331-CT'!$E$7=TH!H1700,OR(N1700="331",O1700="331")),"x","")</f>
        <v/>
      </c>
      <c r="Q1700" s="75" t="str">
        <f>IF(AND(B1700='111'!$L$11,OR($N1700=$Q$7,$O1700=$Q$7)),"x","")</f>
        <v/>
      </c>
      <c r="R1700" s="75" t="str">
        <f>IF(AND($N1700=$Q$7,$B1700&lt;'111'!$L$11),"x","")</f>
        <v/>
      </c>
      <c r="S1700" s="75" t="str">
        <f>IF(AND($O1700=$Q$7,$B1700&lt;'111'!$L$11),"x","")</f>
        <v/>
      </c>
      <c r="T1700" s="75" t="str">
        <f>IF(ISERROR(FIND('112'!$M$9,G1700,1)),"",IF((AND(FIND('112'!$M$9,G1700,1)&gt;=1,B1700='112'!$K$9,OR($N1700='112'!$I$6,$O1700='112'!$I$6))),"x",""))</f>
        <v/>
      </c>
      <c r="U1700" s="75" t="str">
        <f>IF(ISERROR(FIND('112'!$M$9,G1700,1)),"",IF((AND(LEFT(G1700,2)=LEFT('112'!$M$9,2),B1700&lt;'112'!$K$9,$N1700='112'!$I$6)),"x",""))</f>
        <v/>
      </c>
      <c r="V1700" s="75" t="str">
        <f>IF(ISERROR(FIND('112'!$M$9,G1700,1)),"",IF((AND(RIGHT(G1700,2)=RIGHT('112'!$M$9,2),B1700&lt;'112'!$K$9,$O1700='112'!$I$6)),"x",""))</f>
        <v/>
      </c>
      <c r="W1700" s="75" t="str">
        <f>IF(AND('341-CT'!$H$9=H1700,OR(LEFT(N1700,3)=$W$7,LEFT(O1700,3)=$W$7)),"x","")</f>
        <v/>
      </c>
      <c r="X1700" s="75" t="str">
        <f>IF(OR(TH!N1700=TH!$X$7,O1700=TH!$X$7),"x","")</f>
        <v/>
      </c>
      <c r="Y1700" s="75" t="str">
        <f>IF(AND(OR(N1700="131",O1700="131"),H1700='131-CT'!$H$9),"x","")</f>
        <v/>
      </c>
      <c r="Z1700" s="75"/>
      <c r="AA1700" s="75" t="str">
        <f>IF(AND(MONTH(E1700)='IN-NX'!$J$5,'IN-NX'!$D$7=D1700),"x","")</f>
        <v/>
      </c>
      <c r="AB1700" s="75" t="str">
        <f>IF(AND(OR(LEFT(TH!N1700,2)="15",LEFT(TH!O1700,2)="15"),LEFT(TH!O1700,3)&lt;&gt;"111",'152-CT'!$J$8=TH!F1700),"x","")</f>
        <v/>
      </c>
      <c r="AC1700" s="75" t="str">
        <f>IF(AND(OR(LEFT(TH!N1700,2)="15",LEFT(TH!O1700,2)="15"),TK!$E$7=TH!F1700),"x","")</f>
        <v/>
      </c>
      <c r="AD1700" s="75" t="str">
        <f>IF(AND(N1700="1521",MONTH(C1700)='BK-NL'!$M$11),"x","")</f>
        <v/>
      </c>
      <c r="AE1700" s="1053">
        <v>7</v>
      </c>
    </row>
    <row r="1701" spans="1:31" s="1053" customFormat="1" ht="16.5" customHeight="1">
      <c r="A1701" s="309" t="str">
        <f>IF(B1701&lt;&gt;"",IF(AND(B1701='IN-TC'!$S$4,OR(TH!N1701="1111",TH!O1701="1111")),TH!D1701,""),"")</f>
        <v/>
      </c>
      <c r="B1701" s="1243">
        <f t="shared" si="442"/>
        <v>7</v>
      </c>
      <c r="C1701" s="292">
        <v>42927</v>
      </c>
      <c r="D1701" s="292" t="s">
        <v>1355</v>
      </c>
      <c r="E1701" s="292">
        <f t="shared" si="443"/>
        <v>42927</v>
      </c>
      <c r="F1701" s="432" t="s">
        <v>371</v>
      </c>
      <c r="G1701" s="925" t="s">
        <v>1783</v>
      </c>
      <c r="H1701" s="311" t="s">
        <v>558</v>
      </c>
      <c r="I1701" s="373">
        <v>1228</v>
      </c>
      <c r="J1701" s="379">
        <v>13500</v>
      </c>
      <c r="K1701" s="373"/>
      <c r="L1701" s="379"/>
      <c r="M1701" s="927">
        <f>I1701*J1701</f>
        <v>16578000</v>
      </c>
      <c r="N1701" s="295" t="s">
        <v>266</v>
      </c>
      <c r="O1701" s="295" t="s">
        <v>8</v>
      </c>
      <c r="P1701" s="75" t="str">
        <f>IF(AND('331-CT'!$E$7=TH!H1701,OR(N1701="331",O1701="331")),"x","")</f>
        <v/>
      </c>
      <c r="Q1701" s="75" t="str">
        <f>IF(AND(B1701='111'!$L$11,OR($N1701=$Q$7,$O1701=$Q$7)),"x","")</f>
        <v/>
      </c>
      <c r="R1701" s="75" t="str">
        <f>IF(AND($N1701=$Q$7,$B1701&lt;'111'!$L$11),"x","")</f>
        <v/>
      </c>
      <c r="S1701" s="75" t="str">
        <f>IF(AND($O1701=$Q$7,$B1701&lt;'111'!$L$11),"x","")</f>
        <v/>
      </c>
      <c r="T1701" s="75" t="str">
        <f>IF(ISERROR(FIND('112'!$M$9,G1701,1)),"",IF((AND(FIND('112'!$M$9,G1701,1)&gt;=1,B1701='112'!$K$9,OR($N1701='112'!$I$6,$O1701='112'!$I$6))),"x",""))</f>
        <v/>
      </c>
      <c r="U1701" s="75" t="str">
        <f>IF(ISERROR(FIND('112'!$M$9,G1701,1)),"",IF((AND(LEFT(G1701,2)=LEFT('112'!$M$9,2),B1701&lt;'112'!$K$9,$N1701='112'!$I$6)),"x",""))</f>
        <v/>
      </c>
      <c r="V1701" s="75" t="str">
        <f>IF(ISERROR(FIND('112'!$M$9,G1701,1)),"",IF((AND(RIGHT(G1701,2)=RIGHT('112'!$M$9,2),B1701&lt;'112'!$K$9,$O1701='112'!$I$6)),"x",""))</f>
        <v/>
      </c>
      <c r="W1701" s="75" t="str">
        <f>IF(AND('341-CT'!$H$9=H1701,OR(LEFT(N1701,3)=$W$7,LEFT(O1701,3)=$W$7)),"x","")</f>
        <v/>
      </c>
      <c r="X1701" s="75" t="str">
        <f>IF(OR(TH!N1701=TH!$X$7,O1701=TH!$X$7),"x","")</f>
        <v/>
      </c>
      <c r="Y1701" s="75" t="str">
        <f>IF(AND(OR(N1701="131",O1701="131"),H1701='131-CT'!$H$9),"x","")</f>
        <v/>
      </c>
      <c r="Z1701" s="75"/>
      <c r="AA1701" s="75" t="str">
        <f>IF(AND(MONTH(E1701)='IN-NX'!$J$5,'IN-NX'!$D$7=D1701),"x","")</f>
        <v/>
      </c>
      <c r="AB1701" s="75" t="str">
        <f>IF(AND(OR(LEFT(TH!N1701,2)="15",LEFT(TH!O1701,2)="15"),LEFT(TH!O1701,3)&lt;&gt;"111",'152-CT'!$J$8=TH!F1701),"x","")</f>
        <v/>
      </c>
      <c r="AC1701" s="75" t="str">
        <f>IF(AND(OR(LEFT(TH!N1701,2)="15",LEFT(TH!O1701,2)="15"),TK!$E$7=TH!F1701),"x","")</f>
        <v/>
      </c>
      <c r="AD1701" s="75" t="str">
        <f>IF(AND(N1701="1521",MONTH(C1701)='BK-NL'!$M$11),"x","")</f>
        <v/>
      </c>
    </row>
    <row r="1702" spans="1:31" s="1053" customFormat="1" ht="16.5" customHeight="1">
      <c r="A1702" s="309" t="str">
        <f>IF(B1702&lt;&gt;"",IF(AND(B1702='IN-TC'!$S$4,OR(TH!N1702="1111",TH!O1702="1111")),TH!D1702,""),"")</f>
        <v/>
      </c>
      <c r="B1702" s="1243">
        <f t="shared" si="442"/>
        <v>7</v>
      </c>
      <c r="C1702" s="292">
        <v>42927</v>
      </c>
      <c r="D1702" s="292" t="s">
        <v>1355</v>
      </c>
      <c r="E1702" s="292">
        <f t="shared" si="443"/>
        <v>42927</v>
      </c>
      <c r="F1702" s="432" t="s">
        <v>745</v>
      </c>
      <c r="G1702" s="925" t="s">
        <v>1783</v>
      </c>
      <c r="H1702" s="311" t="s">
        <v>558</v>
      </c>
      <c r="I1702" s="373">
        <v>356</v>
      </c>
      <c r="J1702" s="379">
        <v>14000</v>
      </c>
      <c r="K1702" s="373"/>
      <c r="L1702" s="379"/>
      <c r="M1702" s="927">
        <f>I1702*J1702</f>
        <v>4984000</v>
      </c>
      <c r="N1702" s="295" t="s">
        <v>266</v>
      </c>
      <c r="O1702" s="295" t="s">
        <v>8</v>
      </c>
      <c r="P1702" s="75" t="str">
        <f>IF(AND('331-CT'!$E$7=TH!H1702,OR(N1702="331",O1702="331")),"x","")</f>
        <v/>
      </c>
      <c r="Q1702" s="75" t="str">
        <f>IF(AND(B1702='111'!$L$11,OR($N1702=$Q$7,$O1702=$Q$7)),"x","")</f>
        <v/>
      </c>
      <c r="R1702" s="75" t="str">
        <f>IF(AND($N1702=$Q$7,$B1702&lt;'111'!$L$11),"x","")</f>
        <v/>
      </c>
      <c r="S1702" s="75" t="str">
        <f>IF(AND($O1702=$Q$7,$B1702&lt;'111'!$L$11),"x","")</f>
        <v/>
      </c>
      <c r="T1702" s="75" t="str">
        <f>IF(ISERROR(FIND('112'!$M$9,G1702,1)),"",IF((AND(FIND('112'!$M$9,G1702,1)&gt;=1,B1702='112'!$K$9,OR($N1702='112'!$I$6,$O1702='112'!$I$6))),"x",""))</f>
        <v/>
      </c>
      <c r="U1702" s="75" t="str">
        <f>IF(ISERROR(FIND('112'!$M$9,G1702,1)),"",IF((AND(LEFT(G1702,2)=LEFT('112'!$M$9,2),B1702&lt;'112'!$K$9,$N1702='112'!$I$6)),"x",""))</f>
        <v/>
      </c>
      <c r="V1702" s="75" t="str">
        <f>IF(ISERROR(FIND('112'!$M$9,G1702,1)),"",IF((AND(RIGHT(G1702,2)=RIGHT('112'!$M$9,2),B1702&lt;'112'!$K$9,$O1702='112'!$I$6)),"x",""))</f>
        <v/>
      </c>
      <c r="W1702" s="75" t="str">
        <f>IF(AND('341-CT'!$H$9=H1702,OR(LEFT(N1702,3)=$W$7,LEFT(O1702,3)=$W$7)),"x","")</f>
        <v/>
      </c>
      <c r="X1702" s="75" t="str">
        <f>IF(OR(TH!N1702=TH!$X$7,O1702=TH!$X$7),"x","")</f>
        <v/>
      </c>
      <c r="Y1702" s="75" t="str">
        <f>IF(AND(OR(N1702="131",O1702="131"),H1702='131-CT'!$H$9),"x","")</f>
        <v/>
      </c>
      <c r="Z1702" s="75"/>
      <c r="AA1702" s="75" t="str">
        <f>IF(AND(MONTH(E1702)='IN-NX'!$J$5,'IN-NX'!$D$7=D1702),"x","")</f>
        <v/>
      </c>
      <c r="AB1702" s="75" t="str">
        <f>IF(AND(OR(LEFT(TH!N1702,2)="15",LEFT(TH!O1702,2)="15"),LEFT(TH!O1702,3)&lt;&gt;"111",'152-CT'!$J$8=TH!F1702),"x","")</f>
        <v/>
      </c>
      <c r="AC1702" s="75" t="str">
        <f>IF(AND(OR(LEFT(TH!N1702,2)="15",LEFT(TH!O1702,2)="15"),TK!$E$7=TH!F1702),"x","")</f>
        <v/>
      </c>
      <c r="AD1702" s="75" t="str">
        <f>IF(AND(N1702="1521",MONTH(C1702)='BK-NL'!$M$11),"x","")</f>
        <v/>
      </c>
    </row>
    <row r="1703" spans="1:31" s="1053" customFormat="1" ht="16.5" customHeight="1">
      <c r="A1703" s="309" t="str">
        <f>IF(B1703&lt;&gt;"",IF(AND(B1703='IN-TC'!$S$4,OR(TH!N1703="1111",TH!O1703="1111")),TH!D1703,""),"")</f>
        <v/>
      </c>
      <c r="B1703" s="1243">
        <f t="shared" si="442"/>
        <v>7</v>
      </c>
      <c r="C1703" s="292">
        <v>42927</v>
      </c>
      <c r="D1703" s="292" t="s">
        <v>1355</v>
      </c>
      <c r="E1703" s="292">
        <f t="shared" si="443"/>
        <v>42927</v>
      </c>
      <c r="F1703" s="432" t="s">
        <v>1782</v>
      </c>
      <c r="G1703" s="925" t="s">
        <v>1783</v>
      </c>
      <c r="H1703" s="311" t="s">
        <v>558</v>
      </c>
      <c r="I1703" s="373">
        <v>458</v>
      </c>
      <c r="J1703" s="379">
        <v>15200</v>
      </c>
      <c r="K1703" s="373"/>
      <c r="L1703" s="379"/>
      <c r="M1703" s="927">
        <f>I1703*J1703</f>
        <v>6961600</v>
      </c>
      <c r="N1703" s="295" t="s">
        <v>266</v>
      </c>
      <c r="O1703" s="295" t="s">
        <v>8</v>
      </c>
      <c r="P1703" s="75" t="str">
        <f>IF(AND('331-CT'!$E$7=TH!H1703,OR(N1703="331",O1703="331")),"x","")</f>
        <v/>
      </c>
      <c r="Q1703" s="75" t="str">
        <f>IF(AND(B1703='111'!$L$11,OR($N1703=$Q$7,$O1703=$Q$7)),"x","")</f>
        <v/>
      </c>
      <c r="R1703" s="75" t="str">
        <f>IF(AND($N1703=$Q$7,$B1703&lt;'111'!$L$11),"x","")</f>
        <v/>
      </c>
      <c r="S1703" s="75" t="str">
        <f>IF(AND($O1703=$Q$7,$B1703&lt;'111'!$L$11),"x","")</f>
        <v/>
      </c>
      <c r="T1703" s="75" t="str">
        <f>IF(ISERROR(FIND('112'!$M$9,G1703,1)),"",IF((AND(FIND('112'!$M$9,G1703,1)&gt;=1,B1703='112'!$K$9,OR($N1703='112'!$I$6,$O1703='112'!$I$6))),"x",""))</f>
        <v/>
      </c>
      <c r="U1703" s="75" t="str">
        <f>IF(ISERROR(FIND('112'!$M$9,G1703,1)),"",IF((AND(LEFT(G1703,2)=LEFT('112'!$M$9,2),B1703&lt;'112'!$K$9,$N1703='112'!$I$6)),"x",""))</f>
        <v/>
      </c>
      <c r="V1703" s="75" t="str">
        <f>IF(ISERROR(FIND('112'!$M$9,G1703,1)),"",IF((AND(RIGHT(G1703,2)=RIGHT('112'!$M$9,2),B1703&lt;'112'!$K$9,$O1703='112'!$I$6)),"x",""))</f>
        <v/>
      </c>
      <c r="W1703" s="75" t="str">
        <f>IF(AND('341-CT'!$H$9=H1703,OR(LEFT(N1703,3)=$W$7,LEFT(O1703,3)=$W$7)),"x","")</f>
        <v/>
      </c>
      <c r="X1703" s="75" t="str">
        <f>IF(OR(TH!N1703=TH!$X$7,O1703=TH!$X$7),"x","")</f>
        <v/>
      </c>
      <c r="Y1703" s="75" t="str">
        <f>IF(AND(OR(N1703="131",O1703="131"),H1703='131-CT'!$H$9),"x","")</f>
        <v/>
      </c>
      <c r="Z1703" s="75"/>
      <c r="AA1703" s="75" t="str">
        <f>IF(AND(MONTH(E1703)='IN-NX'!$J$5,'IN-NX'!$D$7=D1703),"x","")</f>
        <v/>
      </c>
      <c r="AB1703" s="75" t="str">
        <f>IF(AND(OR(LEFT(TH!N1703,2)="15",LEFT(TH!O1703,2)="15"),LEFT(TH!O1703,3)&lt;&gt;"111",'152-CT'!$J$8=TH!F1703),"x","")</f>
        <v/>
      </c>
      <c r="AC1703" s="75" t="str">
        <f>IF(AND(OR(LEFT(TH!N1703,2)="15",LEFT(TH!O1703,2)="15"),TK!$E$7=TH!F1703),"x","")</f>
        <v/>
      </c>
      <c r="AD1703" s="75" t="str">
        <f>IF(AND(N1703="1521",MONTH(C1703)='BK-NL'!$M$11),"x","")</f>
        <v/>
      </c>
    </row>
    <row r="1704" spans="1:31" s="1053" customFormat="1" ht="16.5" customHeight="1">
      <c r="A1704" s="309" t="str">
        <f>IF(B1704&lt;&gt;"",IF(AND(B1704='IN-TC'!$S$4,OR(TH!N1704="1111",TH!O1704="1111")),TH!D1704,""),"")</f>
        <v/>
      </c>
      <c r="B1704" s="1243">
        <f t="shared" si="442"/>
        <v>7</v>
      </c>
      <c r="C1704" s="292">
        <v>42927</v>
      </c>
      <c r="D1704" s="292" t="s">
        <v>1355</v>
      </c>
      <c r="E1704" s="292">
        <f t="shared" si="443"/>
        <v>42927</v>
      </c>
      <c r="F1704" s="432" t="s">
        <v>832</v>
      </c>
      <c r="G1704" s="925" t="s">
        <v>1783</v>
      </c>
      <c r="H1704" s="311" t="s">
        <v>558</v>
      </c>
      <c r="I1704" s="373"/>
      <c r="J1704" s="379"/>
      <c r="K1704" s="373"/>
      <c r="L1704" s="379"/>
      <c r="M1704" s="927">
        <v>2852360</v>
      </c>
      <c r="N1704" s="295" t="s">
        <v>9</v>
      </c>
      <c r="O1704" s="295" t="s">
        <v>8</v>
      </c>
      <c r="P1704" s="75" t="str">
        <f>IF(AND('331-CT'!$E$7=TH!H1704,OR(N1704="331",O1704="331")),"x","")</f>
        <v/>
      </c>
      <c r="Q1704" s="75" t="str">
        <f>IF(AND(B1704='111'!$L$11,OR($N1704=$Q$7,$O1704=$Q$7)),"x","")</f>
        <v/>
      </c>
      <c r="R1704" s="75" t="str">
        <f>IF(AND($N1704=$Q$7,$B1704&lt;'111'!$L$11),"x","")</f>
        <v/>
      </c>
      <c r="S1704" s="75" t="str">
        <f>IF(AND($O1704=$Q$7,$B1704&lt;'111'!$L$11),"x","")</f>
        <v/>
      </c>
      <c r="T1704" s="75" t="str">
        <f>IF(ISERROR(FIND('112'!$M$9,G1704,1)),"",IF((AND(FIND('112'!$M$9,G1704,1)&gt;=1,B1704='112'!$K$9,OR($N1704='112'!$I$6,$O1704='112'!$I$6))),"x",""))</f>
        <v/>
      </c>
      <c r="U1704" s="75" t="str">
        <f>IF(ISERROR(FIND('112'!$M$9,G1704,1)),"",IF((AND(LEFT(G1704,2)=LEFT('112'!$M$9,2),B1704&lt;'112'!$K$9,$N1704='112'!$I$6)),"x",""))</f>
        <v/>
      </c>
      <c r="V1704" s="75" t="str">
        <f>IF(ISERROR(FIND('112'!$M$9,G1704,1)),"",IF((AND(RIGHT(G1704,2)=RIGHT('112'!$M$9,2),B1704&lt;'112'!$K$9,$O1704='112'!$I$6)),"x",""))</f>
        <v/>
      </c>
      <c r="W1704" s="75" t="str">
        <f>IF(AND('341-CT'!$H$9=H1704,OR(LEFT(N1704,3)=$W$7,LEFT(O1704,3)=$W$7)),"x","")</f>
        <v/>
      </c>
      <c r="X1704" s="75" t="str">
        <f>IF(OR(TH!N1704=TH!$X$7,O1704=TH!$X$7),"x","")</f>
        <v/>
      </c>
      <c r="Y1704" s="75" t="str">
        <f>IF(AND(OR(N1704="131",O1704="131"),H1704='131-CT'!$H$9),"x","")</f>
        <v/>
      </c>
      <c r="Z1704" s="75"/>
      <c r="AA1704" s="75" t="str">
        <f>IF(AND(MONTH(E1704)='IN-NX'!$J$5,'IN-NX'!$D$7=D1704),"x","")</f>
        <v/>
      </c>
      <c r="AB1704" s="75" t="str">
        <f>IF(AND(OR(LEFT(TH!N1704,2)="15",LEFT(TH!O1704,2)="15"),LEFT(TH!O1704,3)&lt;&gt;"111",'152-CT'!$J$8=TH!F1704),"x","")</f>
        <v/>
      </c>
      <c r="AC1704" s="75" t="str">
        <f>IF(AND(OR(LEFT(TH!N1704,2)="15",LEFT(TH!O1704,2)="15"),TK!$E$7=TH!F1704),"x","")</f>
        <v/>
      </c>
      <c r="AD1704" s="75" t="str">
        <f>IF(AND(N1704="1521",MONTH(C1704)='BK-NL'!$M$11),"x","")</f>
        <v/>
      </c>
      <c r="AE1704" s="1053">
        <v>7</v>
      </c>
    </row>
    <row r="1705" spans="1:31" s="1053" customFormat="1" ht="16.5" customHeight="1">
      <c r="A1705" s="309" t="str">
        <f>IF(B1705&lt;&gt;"",IF(AND(B1705='IN-TC'!$S$4,OR(TH!N1705="1111",TH!O1705="1111")),TH!D1705,""),"")</f>
        <v/>
      </c>
      <c r="B1705" s="1243">
        <f t="shared" si="442"/>
        <v>7</v>
      </c>
      <c r="C1705" s="292">
        <v>42944</v>
      </c>
      <c r="D1705" s="292" t="s">
        <v>1356</v>
      </c>
      <c r="E1705" s="292">
        <f t="shared" si="443"/>
        <v>42944</v>
      </c>
      <c r="F1705" s="432" t="s">
        <v>371</v>
      </c>
      <c r="G1705" s="925" t="s">
        <v>1784</v>
      </c>
      <c r="H1705" s="311" t="s">
        <v>558</v>
      </c>
      <c r="I1705" s="373">
        <v>1008</v>
      </c>
      <c r="J1705" s="379">
        <v>13500</v>
      </c>
      <c r="K1705" s="373"/>
      <c r="L1705" s="379"/>
      <c r="M1705" s="927">
        <f>I1705*J1705</f>
        <v>13608000</v>
      </c>
      <c r="N1705" s="295" t="s">
        <v>266</v>
      </c>
      <c r="O1705" s="295" t="s">
        <v>8</v>
      </c>
      <c r="P1705" s="75" t="str">
        <f>IF(AND('331-CT'!$E$7=TH!H1705,OR(N1705="331",O1705="331")),"x","")</f>
        <v/>
      </c>
      <c r="Q1705" s="75" t="str">
        <f>IF(AND(B1705='111'!$L$11,OR($N1705=$Q$7,$O1705=$Q$7)),"x","")</f>
        <v/>
      </c>
      <c r="R1705" s="75" t="str">
        <f>IF(AND($N1705=$Q$7,$B1705&lt;'111'!$L$11),"x","")</f>
        <v/>
      </c>
      <c r="S1705" s="75" t="str">
        <f>IF(AND($O1705=$Q$7,$B1705&lt;'111'!$L$11),"x","")</f>
        <v/>
      </c>
      <c r="T1705" s="75" t="str">
        <f>IF(ISERROR(FIND('112'!$M$9,G1705,1)),"",IF((AND(FIND('112'!$M$9,G1705,1)&gt;=1,B1705='112'!$K$9,OR($N1705='112'!$I$6,$O1705='112'!$I$6))),"x",""))</f>
        <v/>
      </c>
      <c r="U1705" s="75" t="str">
        <f>IF(ISERROR(FIND('112'!$M$9,G1705,1)),"",IF((AND(LEFT(G1705,2)=LEFT('112'!$M$9,2),B1705&lt;'112'!$K$9,$N1705='112'!$I$6)),"x",""))</f>
        <v/>
      </c>
      <c r="V1705" s="75" t="str">
        <f>IF(ISERROR(FIND('112'!$M$9,G1705,1)),"",IF((AND(RIGHT(G1705,2)=RIGHT('112'!$M$9,2),B1705&lt;'112'!$K$9,$O1705='112'!$I$6)),"x",""))</f>
        <v/>
      </c>
      <c r="W1705" s="75" t="str">
        <f>IF(AND('341-CT'!$H$9=H1705,OR(LEFT(N1705,3)=$W$7,LEFT(O1705,3)=$W$7)),"x","")</f>
        <v/>
      </c>
      <c r="X1705" s="75" t="str">
        <f>IF(OR(TH!N1705=TH!$X$7,O1705=TH!$X$7),"x","")</f>
        <v/>
      </c>
      <c r="Y1705" s="75" t="str">
        <f>IF(AND(OR(N1705="131",O1705="131"),H1705='131-CT'!$H$9),"x","")</f>
        <v/>
      </c>
      <c r="Z1705" s="75"/>
      <c r="AA1705" s="75" t="str">
        <f>IF(AND(MONTH(E1705)='IN-NX'!$J$5,'IN-NX'!$D$7=D1705),"x","")</f>
        <v/>
      </c>
      <c r="AB1705" s="75" t="str">
        <f>IF(AND(OR(LEFT(TH!N1705,2)="15",LEFT(TH!O1705,2)="15"),LEFT(TH!O1705,3)&lt;&gt;"111",'152-CT'!$J$8=TH!F1705),"x","")</f>
        <v/>
      </c>
      <c r="AC1705" s="75" t="str">
        <f>IF(AND(OR(LEFT(TH!N1705,2)="15",LEFT(TH!O1705,2)="15"),TK!$E$7=TH!F1705),"x","")</f>
        <v/>
      </c>
      <c r="AD1705" s="75" t="str">
        <f>IF(AND(N1705="1521",MONTH(C1705)='BK-NL'!$M$11),"x","")</f>
        <v/>
      </c>
    </row>
    <row r="1706" spans="1:31" s="1053" customFormat="1" ht="16.5" customHeight="1">
      <c r="A1706" s="309" t="str">
        <f>IF(B1706&lt;&gt;"",IF(AND(B1706='IN-TC'!$S$4,OR(TH!N1706="1111",TH!O1706="1111")),TH!D1706,""),"")</f>
        <v/>
      </c>
      <c r="B1706" s="1243">
        <f t="shared" si="442"/>
        <v>7</v>
      </c>
      <c r="C1706" s="292">
        <v>42944</v>
      </c>
      <c r="D1706" s="292" t="s">
        <v>1356</v>
      </c>
      <c r="E1706" s="292">
        <f t="shared" si="443"/>
        <v>42944</v>
      </c>
      <c r="F1706" s="432" t="s">
        <v>832</v>
      </c>
      <c r="G1706" s="925" t="s">
        <v>1784</v>
      </c>
      <c r="H1706" s="311" t="s">
        <v>558</v>
      </c>
      <c r="I1706" s="373"/>
      <c r="J1706" s="379"/>
      <c r="K1706" s="373"/>
      <c r="L1706" s="379"/>
      <c r="M1706" s="927">
        <v>1360800</v>
      </c>
      <c r="N1706" s="295" t="s">
        <v>9</v>
      </c>
      <c r="O1706" s="295" t="s">
        <v>8</v>
      </c>
      <c r="P1706" s="75" t="str">
        <f>IF(AND('331-CT'!$E$7=TH!H1706,OR(N1706="331",O1706="331")),"x","")</f>
        <v/>
      </c>
      <c r="Q1706" s="75" t="str">
        <f>IF(AND(B1706='111'!$L$11,OR($N1706=$Q$7,$O1706=$Q$7)),"x","")</f>
        <v/>
      </c>
      <c r="R1706" s="75" t="str">
        <f>IF(AND($N1706=$Q$7,$B1706&lt;'111'!$L$11),"x","")</f>
        <v/>
      </c>
      <c r="S1706" s="75" t="str">
        <f>IF(AND($O1706=$Q$7,$B1706&lt;'111'!$L$11),"x","")</f>
        <v/>
      </c>
      <c r="T1706" s="75" t="str">
        <f>IF(ISERROR(FIND('112'!$M$9,G1706,1)),"",IF((AND(FIND('112'!$M$9,G1706,1)&gt;=1,B1706='112'!$K$9,OR($N1706='112'!$I$6,$O1706='112'!$I$6))),"x",""))</f>
        <v/>
      </c>
      <c r="U1706" s="75" t="str">
        <f>IF(ISERROR(FIND('112'!$M$9,G1706,1)),"",IF((AND(LEFT(G1706,2)=LEFT('112'!$M$9,2),B1706&lt;'112'!$K$9,$N1706='112'!$I$6)),"x",""))</f>
        <v/>
      </c>
      <c r="V1706" s="75" t="str">
        <f>IF(ISERROR(FIND('112'!$M$9,G1706,1)),"",IF((AND(RIGHT(G1706,2)=RIGHT('112'!$M$9,2),B1706&lt;'112'!$K$9,$O1706='112'!$I$6)),"x",""))</f>
        <v/>
      </c>
      <c r="W1706" s="75" t="str">
        <f>IF(AND('341-CT'!$H$9=H1706,OR(LEFT(N1706,3)=$W$7,LEFT(O1706,3)=$W$7)),"x","")</f>
        <v/>
      </c>
      <c r="X1706" s="75" t="str">
        <f>IF(OR(TH!N1706=TH!$X$7,O1706=TH!$X$7),"x","")</f>
        <v/>
      </c>
      <c r="Y1706" s="75" t="str">
        <f>IF(AND(OR(N1706="131",O1706="131"),H1706='131-CT'!$H$9),"x","")</f>
        <v/>
      </c>
      <c r="Z1706" s="75"/>
      <c r="AA1706" s="75" t="str">
        <f>IF(AND(MONTH(E1706)='IN-NX'!$J$5,'IN-NX'!$D$7=D1706),"x","")</f>
        <v/>
      </c>
      <c r="AB1706" s="75" t="str">
        <f>IF(AND(OR(LEFT(TH!N1706,2)="15",LEFT(TH!O1706,2)="15"),LEFT(TH!O1706,3)&lt;&gt;"111",'152-CT'!$J$8=TH!F1706),"x","")</f>
        <v/>
      </c>
      <c r="AC1706" s="75" t="str">
        <f>IF(AND(OR(LEFT(TH!N1706,2)="15",LEFT(TH!O1706,2)="15"),TK!$E$7=TH!F1706),"x","")</f>
        <v/>
      </c>
      <c r="AD1706" s="75" t="str">
        <f>IF(AND(N1706="1521",MONTH(C1706)='BK-NL'!$M$11),"x","")</f>
        <v/>
      </c>
      <c r="AE1706" s="1053">
        <v>7</v>
      </c>
    </row>
    <row r="1707" spans="1:31" s="1053" customFormat="1" ht="16.5" customHeight="1">
      <c r="A1707" s="309" t="str">
        <f>IF(B1707&lt;&gt;"",IF(AND(B1707='IN-TC'!$S$4,OR(TH!N1707="1111",TH!O1707="1111")),TH!D1707,""),"")</f>
        <v/>
      </c>
      <c r="B1707" s="1243">
        <f t="shared" si="442"/>
        <v>7</v>
      </c>
      <c r="C1707" s="292">
        <v>42945</v>
      </c>
      <c r="D1707" s="292" t="s">
        <v>1357</v>
      </c>
      <c r="E1707" s="292">
        <f t="shared" si="443"/>
        <v>42945</v>
      </c>
      <c r="F1707" s="67" t="s">
        <v>795</v>
      </c>
      <c r="G1707" s="925" t="s">
        <v>2141</v>
      </c>
      <c r="H1707" s="311" t="s">
        <v>1684</v>
      </c>
      <c r="I1707" s="373">
        <v>3045</v>
      </c>
      <c r="J1707" s="379">
        <v>5900</v>
      </c>
      <c r="K1707" s="373"/>
      <c r="L1707" s="379"/>
      <c r="M1707" s="927">
        <f>I1707*J1707</f>
        <v>17965500</v>
      </c>
      <c r="N1707" s="295" t="s">
        <v>266</v>
      </c>
      <c r="O1707" s="295" t="s">
        <v>8</v>
      </c>
      <c r="P1707" s="75" t="str">
        <f>IF(AND('331-CT'!$E$7=TH!H1707,OR(N1707="331",O1707="331")),"x","")</f>
        <v/>
      </c>
      <c r="Q1707" s="75" t="str">
        <f>IF(AND(B1707='111'!$L$11,OR($N1707=$Q$7,$O1707=$Q$7)),"x","")</f>
        <v/>
      </c>
      <c r="R1707" s="75" t="str">
        <f>IF(AND($N1707=$Q$7,$B1707&lt;'111'!$L$11),"x","")</f>
        <v/>
      </c>
      <c r="S1707" s="75" t="str">
        <f>IF(AND($O1707=$Q$7,$B1707&lt;'111'!$L$11),"x","")</f>
        <v/>
      </c>
      <c r="T1707" s="75" t="str">
        <f>IF(ISERROR(FIND('112'!$M$9,G1707,1)),"",IF((AND(FIND('112'!$M$9,G1707,1)&gt;=1,B1707='112'!$K$9,OR($N1707='112'!$I$6,$O1707='112'!$I$6))),"x",""))</f>
        <v/>
      </c>
      <c r="U1707" s="75" t="str">
        <f>IF(ISERROR(FIND('112'!$M$9,G1707,1)),"",IF((AND(LEFT(G1707,2)=LEFT('112'!$M$9,2),B1707&lt;'112'!$K$9,$N1707='112'!$I$6)),"x",""))</f>
        <v/>
      </c>
      <c r="V1707" s="75" t="str">
        <f>IF(ISERROR(FIND('112'!$M$9,G1707,1)),"",IF((AND(RIGHT(G1707,2)=RIGHT('112'!$M$9,2),B1707&lt;'112'!$K$9,$O1707='112'!$I$6)),"x",""))</f>
        <v/>
      </c>
      <c r="W1707" s="75" t="str">
        <f>IF(AND('341-CT'!$H$9=H1707,OR(LEFT(N1707,3)=$W$7,LEFT(O1707,3)=$W$7)),"x","")</f>
        <v/>
      </c>
      <c r="X1707" s="75" t="str">
        <f>IF(OR(TH!N1707=TH!$X$7,O1707=TH!$X$7),"x","")</f>
        <v/>
      </c>
      <c r="Y1707" s="75" t="str">
        <f>IF(AND(OR(N1707="131",O1707="131"),H1707='131-CT'!$H$9),"x","")</f>
        <v/>
      </c>
      <c r="Z1707" s="75"/>
      <c r="AA1707" s="75" t="str">
        <f>IF(AND(MONTH(E1707)='IN-NX'!$J$5,'IN-NX'!$D$7=D1707),"x","")</f>
        <v/>
      </c>
      <c r="AB1707" s="75" t="str">
        <f>IF(AND(OR(LEFT(TH!N1707,2)="15",LEFT(TH!O1707,2)="15"),LEFT(TH!O1707,3)&lt;&gt;"111",'152-CT'!$J$8=TH!F1707),"x","")</f>
        <v/>
      </c>
      <c r="AC1707" s="75" t="str">
        <f>IF(AND(OR(LEFT(TH!N1707,2)="15",LEFT(TH!O1707,2)="15"),TK!$E$7=TH!F1707),"x","")</f>
        <v/>
      </c>
      <c r="AD1707" s="75" t="str">
        <f>IF(AND(N1707="1521",MONTH(C1707)='BK-NL'!$M$11),"x","")</f>
        <v/>
      </c>
      <c r="AE1707" s="1053">
        <v>9</v>
      </c>
    </row>
    <row r="1708" spans="1:31" s="1053" customFormat="1" ht="16.5" customHeight="1">
      <c r="A1708" s="309" t="str">
        <f>IF(B1708&lt;&gt;"",IF(AND(B1708='IN-TC'!$S$4,OR(TH!N1708="1111",TH!O1708="1111")),TH!D1708,""),"")</f>
        <v/>
      </c>
      <c r="B1708" s="1243">
        <f t="shared" si="442"/>
        <v>7</v>
      </c>
      <c r="C1708" s="292">
        <v>42945</v>
      </c>
      <c r="D1708" s="292" t="s">
        <v>1357</v>
      </c>
      <c r="E1708" s="292">
        <f t="shared" si="443"/>
        <v>42945</v>
      </c>
      <c r="F1708" s="67" t="s">
        <v>1143</v>
      </c>
      <c r="G1708" s="925" t="s">
        <v>2141</v>
      </c>
      <c r="H1708" s="311" t="s">
        <v>1684</v>
      </c>
      <c r="I1708" s="373"/>
      <c r="J1708" s="379"/>
      <c r="K1708" s="373"/>
      <c r="L1708" s="379"/>
      <c r="M1708" s="927">
        <v>1796550</v>
      </c>
      <c r="N1708" s="295" t="s">
        <v>9</v>
      </c>
      <c r="O1708" s="295" t="s">
        <v>8</v>
      </c>
      <c r="P1708" s="75" t="str">
        <f>IF(AND('331-CT'!$E$7=TH!H1708,OR(N1708="331",O1708="331")),"x","")</f>
        <v/>
      </c>
      <c r="Q1708" s="75" t="str">
        <f>IF(AND(B1708='111'!$L$11,OR($N1708=$Q$7,$O1708=$Q$7)),"x","")</f>
        <v/>
      </c>
      <c r="R1708" s="75" t="str">
        <f>IF(AND($N1708=$Q$7,$B1708&lt;'111'!$L$11),"x","")</f>
        <v/>
      </c>
      <c r="S1708" s="75" t="str">
        <f>IF(AND($O1708=$Q$7,$B1708&lt;'111'!$L$11),"x","")</f>
        <v/>
      </c>
      <c r="T1708" s="75" t="str">
        <f>IF(ISERROR(FIND('112'!$M$9,G1708,1)),"",IF((AND(FIND('112'!$M$9,G1708,1)&gt;=1,B1708='112'!$K$9,OR($N1708='112'!$I$6,$O1708='112'!$I$6))),"x",""))</f>
        <v/>
      </c>
      <c r="U1708" s="75" t="str">
        <f>IF(ISERROR(FIND('112'!$M$9,G1708,1)),"",IF((AND(LEFT(G1708,2)=LEFT('112'!$M$9,2),B1708&lt;'112'!$K$9,$N1708='112'!$I$6)),"x",""))</f>
        <v/>
      </c>
      <c r="V1708" s="75" t="str">
        <f>IF(ISERROR(FIND('112'!$M$9,G1708,1)),"",IF((AND(RIGHT(G1708,2)=RIGHT('112'!$M$9,2),B1708&lt;'112'!$K$9,$O1708='112'!$I$6)),"x",""))</f>
        <v/>
      </c>
      <c r="W1708" s="75" t="str">
        <f>IF(AND('341-CT'!$H$9=H1708,OR(LEFT(N1708,3)=$W$7,LEFT(O1708,3)=$W$7)),"x","")</f>
        <v/>
      </c>
      <c r="X1708" s="75" t="str">
        <f>IF(OR(TH!N1708=TH!$X$7,O1708=TH!$X$7),"x","")</f>
        <v/>
      </c>
      <c r="Y1708" s="75" t="str">
        <f>IF(AND(OR(N1708="131",O1708="131"),H1708='131-CT'!$H$9),"x","")</f>
        <v/>
      </c>
      <c r="Z1708" s="75"/>
      <c r="AA1708" s="75" t="str">
        <f>IF(AND(MONTH(E1708)='IN-NX'!$J$5,'IN-NX'!$D$7=D1708),"x","")</f>
        <v/>
      </c>
      <c r="AB1708" s="75" t="str">
        <f>IF(AND(OR(LEFT(TH!N1708,2)="15",LEFT(TH!O1708,2)="15"),LEFT(TH!O1708,3)&lt;&gt;"111",'152-CT'!$J$8=TH!F1708),"x","")</f>
        <v/>
      </c>
      <c r="AC1708" s="75" t="str">
        <f>IF(AND(OR(LEFT(TH!N1708,2)="15",LEFT(TH!O1708,2)="15"),TK!$E$7=TH!F1708),"x","")</f>
        <v/>
      </c>
      <c r="AD1708" s="75" t="str">
        <f>IF(AND(N1708="1521",MONTH(C1708)='BK-NL'!$M$11),"x","")</f>
        <v/>
      </c>
      <c r="AE1708" s="1053">
        <v>9</v>
      </c>
    </row>
    <row r="1709" spans="1:31" s="1053" customFormat="1" ht="16.5" customHeight="1">
      <c r="A1709" s="309" t="str">
        <f>IF(B1709&lt;&gt;"",IF(AND(B1709='IN-TC'!$S$4,OR(TH!N1709="1111",TH!O1709="1111")),TH!D1709,""),"")</f>
        <v/>
      </c>
      <c r="B1709" s="1243">
        <f t="shared" si="442"/>
        <v>7</v>
      </c>
      <c r="C1709" s="292">
        <v>42947</v>
      </c>
      <c r="D1709" s="292" t="s">
        <v>1358</v>
      </c>
      <c r="E1709" s="292">
        <f t="shared" si="443"/>
        <v>42947</v>
      </c>
      <c r="F1709" s="432" t="s">
        <v>341</v>
      </c>
      <c r="G1709" s="925" t="s">
        <v>1804</v>
      </c>
      <c r="H1709" s="311" t="s">
        <v>557</v>
      </c>
      <c r="I1709" s="373">
        <v>3000</v>
      </c>
      <c r="J1709" s="379">
        <v>3200</v>
      </c>
      <c r="K1709" s="373"/>
      <c r="L1709" s="379"/>
      <c r="M1709" s="927">
        <f>I1709*J1709</f>
        <v>9600000</v>
      </c>
      <c r="N1709" s="295" t="s">
        <v>266</v>
      </c>
      <c r="O1709" s="295" t="s">
        <v>8</v>
      </c>
      <c r="P1709" s="75" t="str">
        <f>IF(AND('331-CT'!$E$7=TH!H1709,OR(N1709="331",O1709="331")),"x","")</f>
        <v/>
      </c>
      <c r="Q1709" s="75" t="str">
        <f>IF(AND(B1709='111'!$L$11,OR($N1709=$Q$7,$O1709=$Q$7)),"x","")</f>
        <v/>
      </c>
      <c r="R1709" s="75" t="str">
        <f>IF(AND($N1709=$Q$7,$B1709&lt;'111'!$L$11),"x","")</f>
        <v/>
      </c>
      <c r="S1709" s="75" t="str">
        <f>IF(AND($O1709=$Q$7,$B1709&lt;'111'!$L$11),"x","")</f>
        <v/>
      </c>
      <c r="T1709" s="75" t="str">
        <f>IF(ISERROR(FIND('112'!$M$9,G1709,1)),"",IF((AND(FIND('112'!$M$9,G1709,1)&gt;=1,B1709='112'!$K$9,OR($N1709='112'!$I$6,$O1709='112'!$I$6))),"x",""))</f>
        <v/>
      </c>
      <c r="U1709" s="75" t="str">
        <f>IF(ISERROR(FIND('112'!$M$9,G1709,1)),"",IF((AND(LEFT(G1709,2)=LEFT('112'!$M$9,2),B1709&lt;'112'!$K$9,$N1709='112'!$I$6)),"x",""))</f>
        <v/>
      </c>
      <c r="V1709" s="75" t="str">
        <f>IF(ISERROR(FIND('112'!$M$9,G1709,1)),"",IF((AND(RIGHT(G1709,2)=RIGHT('112'!$M$9,2),B1709&lt;'112'!$K$9,$O1709='112'!$I$6)),"x",""))</f>
        <v/>
      </c>
      <c r="W1709" s="75" t="str">
        <f>IF(AND('341-CT'!$H$9=H1709,OR(LEFT(N1709,3)=$W$7,LEFT(O1709,3)=$W$7)),"x","")</f>
        <v/>
      </c>
      <c r="X1709" s="75" t="str">
        <f>IF(OR(TH!N1709=TH!$X$7,O1709=TH!$X$7),"x","")</f>
        <v/>
      </c>
      <c r="Y1709" s="75" t="str">
        <f>IF(AND(OR(N1709="131",O1709="131"),H1709='131-CT'!$H$9),"x","")</f>
        <v/>
      </c>
      <c r="Z1709" s="75"/>
      <c r="AA1709" s="75" t="str">
        <f>IF(AND(MONTH(E1709)='IN-NX'!$J$5,'IN-NX'!$D$7=D1709),"x","")</f>
        <v/>
      </c>
      <c r="AB1709" s="75" t="str">
        <f>IF(AND(OR(LEFT(TH!N1709,2)="15",LEFT(TH!O1709,2)="15"),LEFT(TH!O1709,3)&lt;&gt;"111",'152-CT'!$J$8=TH!F1709),"x","")</f>
        <v/>
      </c>
      <c r="AC1709" s="75" t="str">
        <f>IF(AND(OR(LEFT(TH!N1709,2)="15",LEFT(TH!O1709,2)="15"),TK!$E$7=TH!F1709),"x","")</f>
        <v/>
      </c>
      <c r="AD1709" s="75" t="str">
        <f>IF(AND(N1709="1521",MONTH(C1709)='BK-NL'!$M$11),"x","")</f>
        <v/>
      </c>
    </row>
    <row r="1710" spans="1:31" s="1053" customFormat="1" ht="16.5" customHeight="1">
      <c r="A1710" s="309" t="str">
        <f>IF(B1710&lt;&gt;"",IF(AND(B1710='IN-TC'!$S$4,OR(TH!N1710="1111",TH!O1710="1111")),TH!D1710,""),"")</f>
        <v/>
      </c>
      <c r="B1710" s="1243">
        <f t="shared" si="442"/>
        <v>7</v>
      </c>
      <c r="C1710" s="292">
        <v>42947</v>
      </c>
      <c r="D1710" s="292" t="s">
        <v>1359</v>
      </c>
      <c r="E1710" s="292">
        <f t="shared" si="443"/>
        <v>42947</v>
      </c>
      <c r="F1710" s="432" t="s">
        <v>1671</v>
      </c>
      <c r="G1710" s="925" t="s">
        <v>2112</v>
      </c>
      <c r="H1710" s="311" t="s">
        <v>558</v>
      </c>
      <c r="I1710" s="373">
        <v>373</v>
      </c>
      <c r="J1710" s="379">
        <v>11000</v>
      </c>
      <c r="K1710" s="373"/>
      <c r="L1710" s="379"/>
      <c r="M1710" s="927">
        <f>I1710*J1710</f>
        <v>4103000</v>
      </c>
      <c r="N1710" s="295" t="s">
        <v>266</v>
      </c>
      <c r="O1710" s="295" t="s">
        <v>8</v>
      </c>
      <c r="P1710" s="75" t="str">
        <f>IF(AND('331-CT'!$E$7=TH!H1710,OR(N1710="331",O1710="331")),"x","")</f>
        <v/>
      </c>
      <c r="Q1710" s="75" t="str">
        <f>IF(AND(B1710='111'!$L$11,OR($N1710=$Q$7,$O1710=$Q$7)),"x","")</f>
        <v/>
      </c>
      <c r="R1710" s="75" t="str">
        <f>IF(AND($N1710=$Q$7,$B1710&lt;'111'!$L$11),"x","")</f>
        <v/>
      </c>
      <c r="S1710" s="75" t="str">
        <f>IF(AND($O1710=$Q$7,$B1710&lt;'111'!$L$11),"x","")</f>
        <v/>
      </c>
      <c r="T1710" s="75" t="str">
        <f>IF(ISERROR(FIND('112'!$M$9,G1710,1)),"",IF((AND(FIND('112'!$M$9,G1710,1)&gt;=1,B1710='112'!$K$9,OR($N1710='112'!$I$6,$O1710='112'!$I$6))),"x",""))</f>
        <v/>
      </c>
      <c r="U1710" s="75" t="str">
        <f>IF(ISERROR(FIND('112'!$M$9,G1710,1)),"",IF((AND(LEFT(G1710,2)=LEFT('112'!$M$9,2),B1710&lt;'112'!$K$9,$N1710='112'!$I$6)),"x",""))</f>
        <v/>
      </c>
      <c r="V1710" s="75" t="str">
        <f>IF(ISERROR(FIND('112'!$M$9,G1710,1)),"",IF((AND(RIGHT(G1710,2)=RIGHT('112'!$M$9,2),B1710&lt;'112'!$K$9,$O1710='112'!$I$6)),"x",""))</f>
        <v/>
      </c>
      <c r="W1710" s="75" t="str">
        <f>IF(AND('341-CT'!$H$9=H1710,OR(LEFT(N1710,3)=$W$7,LEFT(O1710,3)=$W$7)),"x","")</f>
        <v/>
      </c>
      <c r="X1710" s="75" t="str">
        <f>IF(OR(TH!N1710=TH!$X$7,O1710=TH!$X$7),"x","")</f>
        <v/>
      </c>
      <c r="Y1710" s="75" t="str">
        <f>IF(AND(OR(N1710="131",O1710="131"),H1710='131-CT'!$H$9),"x","")</f>
        <v/>
      </c>
      <c r="Z1710" s="75"/>
      <c r="AA1710" s="75" t="str">
        <f>IF(AND(MONTH(E1710)='IN-NX'!$J$5,'IN-NX'!$D$7=D1710),"x","")</f>
        <v/>
      </c>
      <c r="AB1710" s="75" t="str">
        <f>IF(AND(OR(LEFT(TH!N1710,2)="15",LEFT(TH!O1710,2)="15"),LEFT(TH!O1710,3)&lt;&gt;"111",'152-CT'!$J$8=TH!F1710),"x","")</f>
        <v/>
      </c>
      <c r="AC1710" s="75" t="str">
        <f>IF(AND(OR(LEFT(TH!N1710,2)="15",LEFT(TH!O1710,2)="15"),TK!$E$7=TH!F1710),"x","")</f>
        <v/>
      </c>
      <c r="AD1710" s="75" t="str">
        <f>IF(AND(N1710="1521",MONTH(C1710)='BK-NL'!$M$11),"x","")</f>
        <v/>
      </c>
      <c r="AE1710" s="1053">
        <v>9</v>
      </c>
    </row>
    <row r="1711" spans="1:31" s="1053" customFormat="1" ht="16.5" customHeight="1">
      <c r="A1711" s="309" t="str">
        <f>IF(B1711&lt;&gt;"",IF(AND(B1711='IN-TC'!$S$4,OR(TH!N1711="1111",TH!O1711="1111")),TH!D1711,""),"")</f>
        <v/>
      </c>
      <c r="B1711" s="1243">
        <f t="shared" si="442"/>
        <v>7</v>
      </c>
      <c r="C1711" s="292">
        <v>42947</v>
      </c>
      <c r="D1711" s="292" t="s">
        <v>1359</v>
      </c>
      <c r="E1711" s="292">
        <f t="shared" si="443"/>
        <v>42947</v>
      </c>
      <c r="F1711" s="432" t="s">
        <v>832</v>
      </c>
      <c r="G1711" s="925" t="s">
        <v>2112</v>
      </c>
      <c r="H1711" s="311" t="s">
        <v>558</v>
      </c>
      <c r="I1711" s="373"/>
      <c r="J1711" s="379"/>
      <c r="K1711" s="373"/>
      <c r="L1711" s="379"/>
      <c r="M1711" s="927">
        <v>410300</v>
      </c>
      <c r="N1711" s="295" t="s">
        <v>9</v>
      </c>
      <c r="O1711" s="295" t="s">
        <v>8</v>
      </c>
      <c r="P1711" s="75" t="str">
        <f>IF(AND('331-CT'!$E$7=TH!H1711,OR(N1711="331",O1711="331")),"x","")</f>
        <v/>
      </c>
      <c r="Q1711" s="75" t="str">
        <f>IF(AND(B1711='111'!$L$11,OR($N1711=$Q$7,$O1711=$Q$7)),"x","")</f>
        <v/>
      </c>
      <c r="R1711" s="75" t="str">
        <f>IF(AND($N1711=$Q$7,$B1711&lt;'111'!$L$11),"x","")</f>
        <v/>
      </c>
      <c r="S1711" s="75" t="str">
        <f>IF(AND($O1711=$Q$7,$B1711&lt;'111'!$L$11),"x","")</f>
        <v/>
      </c>
      <c r="T1711" s="75" t="str">
        <f>IF(ISERROR(FIND('112'!$M$9,G1711,1)),"",IF((AND(FIND('112'!$M$9,G1711,1)&gt;=1,B1711='112'!$K$9,OR($N1711='112'!$I$6,$O1711='112'!$I$6))),"x",""))</f>
        <v/>
      </c>
      <c r="U1711" s="75" t="str">
        <f>IF(ISERROR(FIND('112'!$M$9,G1711,1)),"",IF((AND(LEFT(G1711,2)=LEFT('112'!$M$9,2),B1711&lt;'112'!$K$9,$N1711='112'!$I$6)),"x",""))</f>
        <v/>
      </c>
      <c r="V1711" s="75" t="str">
        <f>IF(ISERROR(FIND('112'!$M$9,G1711,1)),"",IF((AND(RIGHT(G1711,2)=RIGHT('112'!$M$9,2),B1711&lt;'112'!$K$9,$O1711='112'!$I$6)),"x",""))</f>
        <v/>
      </c>
      <c r="W1711" s="75" t="str">
        <f>IF(AND('341-CT'!$H$9=H1711,OR(LEFT(N1711,3)=$W$7,LEFT(O1711,3)=$W$7)),"x","")</f>
        <v/>
      </c>
      <c r="X1711" s="75" t="str">
        <f>IF(OR(TH!N1711=TH!$X$7,O1711=TH!$X$7),"x","")</f>
        <v/>
      </c>
      <c r="Y1711" s="75" t="str">
        <f>IF(AND(OR(N1711="131",O1711="131"),H1711='131-CT'!$H$9),"x","")</f>
        <v/>
      </c>
      <c r="Z1711" s="75"/>
      <c r="AA1711" s="75" t="str">
        <f>IF(AND(MONTH(E1711)='IN-NX'!$J$5,'IN-NX'!$D$7=D1711),"x","")</f>
        <v/>
      </c>
      <c r="AB1711" s="75" t="str">
        <f>IF(AND(OR(LEFT(TH!N1711,2)="15",LEFT(TH!O1711,2)="15"),LEFT(TH!O1711,3)&lt;&gt;"111",'152-CT'!$J$8=TH!F1711),"x","")</f>
        <v/>
      </c>
      <c r="AC1711" s="75" t="str">
        <f>IF(AND(OR(LEFT(TH!N1711,2)="15",LEFT(TH!O1711,2)="15"),TK!$E$7=TH!F1711),"x","")</f>
        <v/>
      </c>
      <c r="AD1711" s="75" t="str">
        <f>IF(AND(N1711="1521",MONTH(C1711)='BK-NL'!$M$11),"x","")</f>
        <v/>
      </c>
      <c r="AE1711" s="1053">
        <v>9</v>
      </c>
    </row>
    <row r="1712" spans="1:31" ht="16.5" customHeight="1">
      <c r="A1712" s="309" t="str">
        <f>IF(B1712&lt;&gt;"",IF(AND(B1712='IN-TC'!$S$4,OR(TH!N1712="1111",TH!O1712="1111")),TH!D1712,""),"")</f>
        <v/>
      </c>
      <c r="B1712" s="1243">
        <f t="shared" si="442"/>
        <v>7</v>
      </c>
      <c r="C1712" s="929">
        <f t="shared" ref="C1712:C1749" si="444">E1712</f>
        <v>42917</v>
      </c>
      <c r="D1712" s="929" t="s">
        <v>2951</v>
      </c>
      <c r="E1712" s="929">
        <v>42917</v>
      </c>
      <c r="F1712" s="1082" t="s">
        <v>327</v>
      </c>
      <c r="G1712" s="931"/>
      <c r="H1712" s="735" t="s">
        <v>424</v>
      </c>
      <c r="I1712" s="371">
        <v>150</v>
      </c>
      <c r="J1712" s="377">
        <v>32200</v>
      </c>
      <c r="K1712" s="371"/>
      <c r="L1712" s="377"/>
      <c r="M1712" s="933">
        <f t="shared" ref="M1712:M1749" si="445">ROUND(I1712*J1712,0)</f>
        <v>4830000</v>
      </c>
      <c r="N1712" s="934" t="s">
        <v>272</v>
      </c>
      <c r="O1712" s="934" t="s">
        <v>266</v>
      </c>
      <c r="P1712" s="75" t="str">
        <f>IF(AND('331-CT'!$E$7=TH!H1712,OR(N1712="331",O1712="331")),"x","")</f>
        <v/>
      </c>
      <c r="Q1712" s="75" t="str">
        <f>IF(AND(B1712='111'!$L$11,OR($N1712=$Q$7,$O1712=$Q$7)),"x","")</f>
        <v/>
      </c>
      <c r="R1712" s="75" t="str">
        <f>IF(AND($N1712=$Q$7,$B1712&lt;'111'!$L$11),"x","")</f>
        <v/>
      </c>
      <c r="S1712" s="75" t="str">
        <f>IF(AND($O1712=$Q$7,$B1712&lt;'111'!$L$11),"x","")</f>
        <v/>
      </c>
      <c r="T1712" s="75" t="str">
        <f>IF(ISERROR(FIND('112'!$M$9,G1712,1)),"",IF((AND(FIND('112'!$M$9,G1712,1)&gt;=1,B1712='112'!$K$9,OR($N1712='112'!$I$6,$O1712='112'!$I$6))),"x",""))</f>
        <v/>
      </c>
      <c r="U1712" s="75" t="str">
        <f>IF(ISERROR(FIND('112'!$M$9,G1712,1)),"",IF((AND(LEFT(G1712,2)=LEFT('112'!$M$9,2),B1712&lt;'112'!$K$9,$N1712='112'!$I$6)),"x",""))</f>
        <v/>
      </c>
      <c r="V1712" s="75" t="str">
        <f>IF(ISERROR(FIND('112'!$M$9,G1712,1)),"",IF((AND(RIGHT(G1712,2)=RIGHT('112'!$M$9,2),B1712&lt;'112'!$K$9,$O1712='112'!$I$6)),"x",""))</f>
        <v/>
      </c>
      <c r="W1712" s="75" t="str">
        <f>IF(AND('341-CT'!$H$9=H1712,OR(LEFT(N1712,3)=$W$7,LEFT(O1712,3)=$W$7)),"x","")</f>
        <v/>
      </c>
      <c r="X1712" s="75" t="str">
        <f>IF(OR(TH!N1712=TH!$X$7,O1712=TH!$X$7),"x","")</f>
        <v/>
      </c>
      <c r="Y1712" s="75" t="str">
        <f>IF(AND(OR(N1712="131",O1712="131"),H1712='131-CT'!$H$9),"x","")</f>
        <v/>
      </c>
      <c r="Z1712" s="75"/>
      <c r="AA1712" s="75" t="str">
        <f>IF(AND(MONTH(E1712)='IN-NX'!$J$5,'IN-NX'!$D$7=D1712),"x","")</f>
        <v/>
      </c>
      <c r="AB1712" s="75" t="str">
        <f>IF(AND(OR(LEFT(TH!N1712,2)="15",LEFT(TH!O1712,2)="15"),LEFT(TH!O1712,3)&lt;&gt;"111",'152-CT'!$J$8=TH!F1712),"x","")</f>
        <v/>
      </c>
      <c r="AC1712" s="75" t="str">
        <f>IF(AND(OR(LEFT(TH!N1712,2)="15",LEFT(TH!O1712,2)="15"),TK!$E$7=TH!F1712),"x","")</f>
        <v/>
      </c>
      <c r="AD1712" s="75" t="str">
        <f>IF(AND(N1712="1521",MONTH(C1712)='BK-NL'!$M$11),"x","")</f>
        <v/>
      </c>
    </row>
    <row r="1713" spans="1:30" ht="16.5" customHeight="1">
      <c r="A1713" s="309" t="str">
        <f>IF(B1713&lt;&gt;"",IF(AND(B1713='IN-TC'!$S$4,OR(TH!N1713="1111",TH!O1713="1111")),TH!D1713,""),"")</f>
        <v/>
      </c>
      <c r="B1713" s="1243">
        <f t="shared" si="442"/>
        <v>7</v>
      </c>
      <c r="C1713" s="929">
        <f t="shared" si="444"/>
        <v>42917</v>
      </c>
      <c r="D1713" s="929" t="s">
        <v>2951</v>
      </c>
      <c r="E1713" s="929">
        <v>42917</v>
      </c>
      <c r="F1713" s="1082" t="s">
        <v>333</v>
      </c>
      <c r="G1713" s="931"/>
      <c r="H1713" s="735" t="s">
        <v>424</v>
      </c>
      <c r="I1713" s="371">
        <v>150</v>
      </c>
      <c r="J1713" s="377">
        <v>49808.000000000007</v>
      </c>
      <c r="K1713" s="371"/>
      <c r="L1713" s="377"/>
      <c r="M1713" s="933">
        <f t="shared" si="445"/>
        <v>7471200</v>
      </c>
      <c r="N1713" s="934" t="s">
        <v>272</v>
      </c>
      <c r="O1713" s="934" t="s">
        <v>266</v>
      </c>
      <c r="P1713" s="75" t="str">
        <f>IF(AND('331-CT'!$E$7=TH!H1713,OR(N1713="331",O1713="331")),"x","")</f>
        <v/>
      </c>
      <c r="Q1713" s="75" t="str">
        <f>IF(AND(B1713='111'!$L$11,OR($N1713=$Q$7,$O1713=$Q$7)),"x","")</f>
        <v/>
      </c>
      <c r="R1713" s="75" t="str">
        <f>IF(AND($N1713=$Q$7,$B1713&lt;'111'!$L$11),"x","")</f>
        <v/>
      </c>
      <c r="S1713" s="75" t="str">
        <f>IF(AND($O1713=$Q$7,$B1713&lt;'111'!$L$11),"x","")</f>
        <v/>
      </c>
      <c r="T1713" s="75" t="str">
        <f>IF(ISERROR(FIND('112'!$M$9,G1713,1)),"",IF((AND(FIND('112'!$M$9,G1713,1)&gt;=1,B1713='112'!$K$9,OR($N1713='112'!$I$6,$O1713='112'!$I$6))),"x",""))</f>
        <v/>
      </c>
      <c r="U1713" s="75" t="str">
        <f>IF(ISERROR(FIND('112'!$M$9,G1713,1)),"",IF((AND(LEFT(G1713,2)=LEFT('112'!$M$9,2),B1713&lt;'112'!$K$9,$N1713='112'!$I$6)),"x",""))</f>
        <v/>
      </c>
      <c r="V1713" s="75" t="str">
        <f>IF(ISERROR(FIND('112'!$M$9,G1713,1)),"",IF((AND(RIGHT(G1713,2)=RIGHT('112'!$M$9,2),B1713&lt;'112'!$K$9,$O1713='112'!$I$6)),"x",""))</f>
        <v/>
      </c>
      <c r="W1713" s="75" t="str">
        <f>IF(AND('341-CT'!$H$9=H1713,OR(LEFT(N1713,3)=$W$7,LEFT(O1713,3)=$W$7)),"x","")</f>
        <v/>
      </c>
      <c r="X1713" s="75" t="str">
        <f>IF(OR(TH!N1713=TH!$X$7,O1713=TH!$X$7),"x","")</f>
        <v/>
      </c>
      <c r="Y1713" s="75" t="str">
        <f>IF(AND(OR(N1713="131",O1713="131"),H1713='131-CT'!$H$9),"x","")</f>
        <v/>
      </c>
      <c r="Z1713" s="75"/>
      <c r="AA1713" s="75" t="str">
        <f>IF(AND(MONTH(E1713)='IN-NX'!$J$5,'IN-NX'!$D$7=D1713),"x","")</f>
        <v/>
      </c>
      <c r="AB1713" s="75" t="str">
        <f>IF(AND(OR(LEFT(TH!N1713,2)="15",LEFT(TH!O1713,2)="15"),LEFT(TH!O1713,3)&lt;&gt;"111",'152-CT'!$J$8=TH!F1713),"x","")</f>
        <v/>
      </c>
      <c r="AC1713" s="75" t="str">
        <f>IF(AND(OR(LEFT(TH!N1713,2)="15",LEFT(TH!O1713,2)="15"),TK!$E$7=TH!F1713),"x","")</f>
        <v/>
      </c>
      <c r="AD1713" s="75" t="str">
        <f>IF(AND(N1713="1521",MONTH(C1713)='BK-NL'!$M$11),"x","")</f>
        <v/>
      </c>
    </row>
    <row r="1714" spans="1:30" ht="16.5" customHeight="1">
      <c r="A1714" s="309" t="str">
        <f>IF(B1714&lt;&gt;"",IF(AND(B1714='IN-TC'!$S$4,OR(TH!N1714="1111",TH!O1714="1111")),TH!D1714,""),"")</f>
        <v/>
      </c>
      <c r="B1714" s="1243">
        <f t="shared" si="442"/>
        <v>7</v>
      </c>
      <c r="C1714" s="929">
        <f t="shared" si="444"/>
        <v>42917</v>
      </c>
      <c r="D1714" s="929" t="s">
        <v>2951</v>
      </c>
      <c r="E1714" s="929">
        <v>42917</v>
      </c>
      <c r="F1714" s="1082" t="s">
        <v>336</v>
      </c>
      <c r="G1714" s="931"/>
      <c r="H1714" s="735" t="s">
        <v>424</v>
      </c>
      <c r="I1714" s="371">
        <v>400</v>
      </c>
      <c r="J1714" s="377">
        <v>16476.189999999999</v>
      </c>
      <c r="K1714" s="371"/>
      <c r="L1714" s="377"/>
      <c r="M1714" s="933">
        <f t="shared" si="445"/>
        <v>6590476</v>
      </c>
      <c r="N1714" s="934" t="s">
        <v>272</v>
      </c>
      <c r="O1714" s="934" t="s">
        <v>266</v>
      </c>
      <c r="P1714" s="75" t="str">
        <f>IF(AND('331-CT'!$E$7=TH!H1714,OR(N1714="331",O1714="331")),"x","")</f>
        <v/>
      </c>
      <c r="Q1714" s="75" t="str">
        <f>IF(AND(B1714='111'!$L$11,OR($N1714=$Q$7,$O1714=$Q$7)),"x","")</f>
        <v/>
      </c>
      <c r="R1714" s="75" t="str">
        <f>IF(AND($N1714=$Q$7,$B1714&lt;'111'!$L$11),"x","")</f>
        <v/>
      </c>
      <c r="S1714" s="75" t="str">
        <f>IF(AND($O1714=$Q$7,$B1714&lt;'111'!$L$11),"x","")</f>
        <v/>
      </c>
      <c r="T1714" s="75" t="str">
        <f>IF(ISERROR(FIND('112'!$M$9,G1714,1)),"",IF((AND(FIND('112'!$M$9,G1714,1)&gt;=1,B1714='112'!$K$9,OR($N1714='112'!$I$6,$O1714='112'!$I$6))),"x",""))</f>
        <v/>
      </c>
      <c r="U1714" s="75" t="str">
        <f>IF(ISERROR(FIND('112'!$M$9,G1714,1)),"",IF((AND(LEFT(G1714,2)=LEFT('112'!$M$9,2),B1714&lt;'112'!$K$9,$N1714='112'!$I$6)),"x",""))</f>
        <v/>
      </c>
      <c r="V1714" s="75" t="str">
        <f>IF(ISERROR(FIND('112'!$M$9,G1714,1)),"",IF((AND(RIGHT(G1714,2)=RIGHT('112'!$M$9,2),B1714&lt;'112'!$K$9,$O1714='112'!$I$6)),"x",""))</f>
        <v/>
      </c>
      <c r="W1714" s="75" t="str">
        <f>IF(AND('341-CT'!$H$9=H1714,OR(LEFT(N1714,3)=$W$7,LEFT(O1714,3)=$W$7)),"x","")</f>
        <v/>
      </c>
      <c r="X1714" s="75" t="str">
        <f>IF(OR(TH!N1714=TH!$X$7,O1714=TH!$X$7),"x","")</f>
        <v/>
      </c>
      <c r="Y1714" s="75" t="str">
        <f>IF(AND(OR(N1714="131",O1714="131"),H1714='131-CT'!$H$9),"x","")</f>
        <v/>
      </c>
      <c r="Z1714" s="75"/>
      <c r="AA1714" s="75" t="str">
        <f>IF(AND(MONTH(E1714)='IN-NX'!$J$5,'IN-NX'!$D$7=D1714),"x","")</f>
        <v/>
      </c>
      <c r="AB1714" s="75" t="str">
        <f>IF(AND(OR(LEFT(TH!N1714,2)="15",LEFT(TH!O1714,2)="15"),LEFT(TH!O1714,3)&lt;&gt;"111",'152-CT'!$J$8=TH!F1714),"x","")</f>
        <v/>
      </c>
      <c r="AC1714" s="75" t="str">
        <f>IF(AND(OR(LEFT(TH!N1714,2)="15",LEFT(TH!O1714,2)="15"),TK!$E$7=TH!F1714),"x","")</f>
        <v>x</v>
      </c>
      <c r="AD1714" s="75" t="str">
        <f>IF(AND(N1714="1521",MONTH(C1714)='BK-NL'!$M$11),"x","")</f>
        <v/>
      </c>
    </row>
    <row r="1715" spans="1:30" ht="16.5" customHeight="1">
      <c r="A1715" s="309" t="str">
        <f>IF(B1715&lt;&gt;"",IF(AND(B1715='IN-TC'!$S$4,OR(TH!N1715="1111",TH!O1715="1111")),TH!D1715,""),"")</f>
        <v/>
      </c>
      <c r="B1715" s="1243">
        <f t="shared" si="442"/>
        <v>7</v>
      </c>
      <c r="C1715" s="929">
        <f t="shared" si="444"/>
        <v>42917</v>
      </c>
      <c r="D1715" s="929" t="s">
        <v>2951</v>
      </c>
      <c r="E1715" s="929">
        <v>42917</v>
      </c>
      <c r="F1715" s="1082" t="s">
        <v>804</v>
      </c>
      <c r="G1715" s="931"/>
      <c r="H1715" s="735" t="s">
        <v>424</v>
      </c>
      <c r="I1715" s="371">
        <v>40</v>
      </c>
      <c r="J1715" s="377">
        <v>53000</v>
      </c>
      <c r="K1715" s="371"/>
      <c r="L1715" s="377"/>
      <c r="M1715" s="933">
        <f t="shared" si="445"/>
        <v>2120000</v>
      </c>
      <c r="N1715" s="934" t="s">
        <v>272</v>
      </c>
      <c r="O1715" s="934" t="s">
        <v>266</v>
      </c>
      <c r="P1715" s="75" t="str">
        <f>IF(AND('331-CT'!$E$7=TH!H1715,OR(N1715="331",O1715="331")),"x","")</f>
        <v/>
      </c>
      <c r="Q1715" s="75" t="str">
        <f>IF(AND(B1715='111'!$L$11,OR($N1715=$Q$7,$O1715=$Q$7)),"x","")</f>
        <v/>
      </c>
      <c r="R1715" s="75" t="str">
        <f>IF(AND($N1715=$Q$7,$B1715&lt;'111'!$L$11),"x","")</f>
        <v/>
      </c>
      <c r="S1715" s="75" t="str">
        <f>IF(AND($O1715=$Q$7,$B1715&lt;'111'!$L$11),"x","")</f>
        <v/>
      </c>
      <c r="T1715" s="75" t="str">
        <f>IF(ISERROR(FIND('112'!$M$9,G1715,1)),"",IF((AND(FIND('112'!$M$9,G1715,1)&gt;=1,B1715='112'!$K$9,OR($N1715='112'!$I$6,$O1715='112'!$I$6))),"x",""))</f>
        <v/>
      </c>
      <c r="U1715" s="75" t="str">
        <f>IF(ISERROR(FIND('112'!$M$9,G1715,1)),"",IF((AND(LEFT(G1715,2)=LEFT('112'!$M$9,2),B1715&lt;'112'!$K$9,$N1715='112'!$I$6)),"x",""))</f>
        <v/>
      </c>
      <c r="V1715" s="75" t="str">
        <f>IF(ISERROR(FIND('112'!$M$9,G1715,1)),"",IF((AND(RIGHT(G1715,2)=RIGHT('112'!$M$9,2),B1715&lt;'112'!$K$9,$O1715='112'!$I$6)),"x",""))</f>
        <v/>
      </c>
      <c r="W1715" s="75" t="str">
        <f>IF(AND('341-CT'!$H$9=H1715,OR(LEFT(N1715,3)=$W$7,LEFT(O1715,3)=$W$7)),"x","")</f>
        <v/>
      </c>
      <c r="X1715" s="75" t="str">
        <f>IF(OR(TH!N1715=TH!$X$7,O1715=TH!$X$7),"x","")</f>
        <v/>
      </c>
      <c r="Y1715" s="75" t="str">
        <f>IF(AND(OR(N1715="131",O1715="131"),H1715='131-CT'!$H$9),"x","")</f>
        <v/>
      </c>
      <c r="Z1715" s="75"/>
      <c r="AA1715" s="75" t="str">
        <f>IF(AND(MONTH(E1715)='IN-NX'!$J$5,'IN-NX'!$D$7=D1715),"x","")</f>
        <v/>
      </c>
      <c r="AB1715" s="75" t="str">
        <f>IF(AND(OR(LEFT(TH!N1715,2)="15",LEFT(TH!O1715,2)="15"),LEFT(TH!O1715,3)&lt;&gt;"111",'152-CT'!$J$8=TH!F1715),"x","")</f>
        <v/>
      </c>
      <c r="AC1715" s="75" t="str">
        <f>IF(AND(OR(LEFT(TH!N1715,2)="15",LEFT(TH!O1715,2)="15"),TK!$E$7=TH!F1715),"x","")</f>
        <v/>
      </c>
      <c r="AD1715" s="75" t="str">
        <f>IF(AND(N1715="1521",MONTH(C1715)='BK-NL'!$M$11),"x","")</f>
        <v/>
      </c>
    </row>
    <row r="1716" spans="1:30" ht="16.5" customHeight="1">
      <c r="A1716" s="309" t="str">
        <f>IF(B1716&lt;&gt;"",IF(AND(B1716='IN-TC'!$S$4,OR(TH!N1716="1111",TH!O1716="1111")),TH!D1716,""),"")</f>
        <v/>
      </c>
      <c r="B1716" s="1243">
        <f t="shared" si="442"/>
        <v>7</v>
      </c>
      <c r="C1716" s="929">
        <f t="shared" si="444"/>
        <v>42917</v>
      </c>
      <c r="D1716" s="929" t="s">
        <v>2951</v>
      </c>
      <c r="E1716" s="929">
        <v>42917</v>
      </c>
      <c r="F1716" s="1082" t="s">
        <v>341</v>
      </c>
      <c r="G1716" s="931"/>
      <c r="H1716" s="735" t="s">
        <v>424</v>
      </c>
      <c r="I1716" s="371">
        <v>600</v>
      </c>
      <c r="J1716" s="377">
        <v>3200</v>
      </c>
      <c r="K1716" s="371"/>
      <c r="L1716" s="377"/>
      <c r="M1716" s="933">
        <f t="shared" si="445"/>
        <v>1920000</v>
      </c>
      <c r="N1716" s="934" t="s">
        <v>272</v>
      </c>
      <c r="O1716" s="934" t="s">
        <v>266</v>
      </c>
      <c r="P1716" s="75" t="str">
        <f>IF(AND('331-CT'!$E$7=TH!H1716,OR(N1716="331",O1716="331")),"x","")</f>
        <v/>
      </c>
      <c r="Q1716" s="75" t="str">
        <f>IF(AND(B1716='111'!$L$11,OR($N1716=$Q$7,$O1716=$Q$7)),"x","")</f>
        <v/>
      </c>
      <c r="R1716" s="75" t="str">
        <f>IF(AND($N1716=$Q$7,$B1716&lt;'111'!$L$11),"x","")</f>
        <v/>
      </c>
      <c r="S1716" s="75" t="str">
        <f>IF(AND($O1716=$Q$7,$B1716&lt;'111'!$L$11),"x","")</f>
        <v/>
      </c>
      <c r="T1716" s="75" t="str">
        <f>IF(ISERROR(FIND('112'!$M$9,G1716,1)),"",IF((AND(FIND('112'!$M$9,G1716,1)&gt;=1,B1716='112'!$K$9,OR($N1716='112'!$I$6,$O1716='112'!$I$6))),"x",""))</f>
        <v/>
      </c>
      <c r="U1716" s="75" t="str">
        <f>IF(ISERROR(FIND('112'!$M$9,G1716,1)),"",IF((AND(LEFT(G1716,2)=LEFT('112'!$M$9,2),B1716&lt;'112'!$K$9,$N1716='112'!$I$6)),"x",""))</f>
        <v/>
      </c>
      <c r="V1716" s="75" t="str">
        <f>IF(ISERROR(FIND('112'!$M$9,G1716,1)),"",IF((AND(RIGHT(G1716,2)=RIGHT('112'!$M$9,2),B1716&lt;'112'!$K$9,$O1716='112'!$I$6)),"x",""))</f>
        <v/>
      </c>
      <c r="W1716" s="75" t="str">
        <f>IF(AND('341-CT'!$H$9=H1716,OR(LEFT(N1716,3)=$W$7,LEFT(O1716,3)=$W$7)),"x","")</f>
        <v/>
      </c>
      <c r="X1716" s="75" t="str">
        <f>IF(OR(TH!N1716=TH!$X$7,O1716=TH!$X$7),"x","")</f>
        <v/>
      </c>
      <c r="Y1716" s="75" t="str">
        <f>IF(AND(OR(N1716="131",O1716="131"),H1716='131-CT'!$H$9),"x","")</f>
        <v/>
      </c>
      <c r="Z1716" s="75"/>
      <c r="AA1716" s="75" t="str">
        <f>IF(AND(MONTH(E1716)='IN-NX'!$J$5,'IN-NX'!$D$7=D1716),"x","")</f>
        <v/>
      </c>
      <c r="AB1716" s="75" t="str">
        <f>IF(AND(OR(LEFT(TH!N1716,2)="15",LEFT(TH!O1716,2)="15"),LEFT(TH!O1716,3)&lt;&gt;"111",'152-CT'!$J$8=TH!F1716),"x","")</f>
        <v/>
      </c>
      <c r="AC1716" s="75" t="str">
        <f>IF(AND(OR(LEFT(TH!N1716,2)="15",LEFT(TH!O1716,2)="15"),TK!$E$7=TH!F1716),"x","")</f>
        <v/>
      </c>
      <c r="AD1716" s="75" t="str">
        <f>IF(AND(N1716="1521",MONTH(C1716)='BK-NL'!$M$11),"x","")</f>
        <v/>
      </c>
    </row>
    <row r="1717" spans="1:30" ht="16.5" customHeight="1">
      <c r="A1717" s="309" t="str">
        <f>IF(B1717&lt;&gt;"",IF(AND(B1717='IN-TC'!$S$4,OR(TH!N1717="1111",TH!O1717="1111")),TH!D1717,""),"")</f>
        <v/>
      </c>
      <c r="B1717" s="1243">
        <f t="shared" si="442"/>
        <v>7</v>
      </c>
      <c r="C1717" s="929">
        <f t="shared" si="444"/>
        <v>42918</v>
      </c>
      <c r="D1717" s="929" t="s">
        <v>2951</v>
      </c>
      <c r="E1717" s="929">
        <v>42918</v>
      </c>
      <c r="F1717" s="1082" t="s">
        <v>1257</v>
      </c>
      <c r="G1717" s="931"/>
      <c r="H1717" s="735" t="s">
        <v>424</v>
      </c>
      <c r="I1717" s="371">
        <v>2700</v>
      </c>
      <c r="J1717" s="377">
        <v>14728</v>
      </c>
      <c r="K1717" s="371"/>
      <c r="L1717" s="377"/>
      <c r="M1717" s="933">
        <f t="shared" si="445"/>
        <v>39765600</v>
      </c>
      <c r="N1717" s="934" t="s">
        <v>272</v>
      </c>
      <c r="O1717" s="934" t="s">
        <v>266</v>
      </c>
      <c r="P1717" s="75" t="str">
        <f>IF(AND('331-CT'!$E$7=TH!H1717,OR(N1717="331",O1717="331")),"x","")</f>
        <v/>
      </c>
      <c r="Q1717" s="75" t="str">
        <f>IF(AND(B1717='111'!$L$11,OR($N1717=$Q$7,$O1717=$Q$7)),"x","")</f>
        <v/>
      </c>
      <c r="R1717" s="75" t="str">
        <f>IF(AND($N1717=$Q$7,$B1717&lt;'111'!$L$11),"x","")</f>
        <v/>
      </c>
      <c r="S1717" s="75" t="str">
        <f>IF(AND($O1717=$Q$7,$B1717&lt;'111'!$L$11),"x","")</f>
        <v/>
      </c>
      <c r="T1717" s="75" t="str">
        <f>IF(ISERROR(FIND('112'!$M$9,G1717,1)),"",IF((AND(FIND('112'!$M$9,G1717,1)&gt;=1,B1717='112'!$K$9,OR($N1717='112'!$I$6,$O1717='112'!$I$6))),"x",""))</f>
        <v/>
      </c>
      <c r="U1717" s="75" t="str">
        <f>IF(ISERROR(FIND('112'!$M$9,G1717,1)),"",IF((AND(LEFT(G1717,2)=LEFT('112'!$M$9,2),B1717&lt;'112'!$K$9,$N1717='112'!$I$6)),"x",""))</f>
        <v/>
      </c>
      <c r="V1717" s="75" t="str">
        <f>IF(ISERROR(FIND('112'!$M$9,G1717,1)),"",IF((AND(RIGHT(G1717,2)=RIGHT('112'!$M$9,2),B1717&lt;'112'!$K$9,$O1717='112'!$I$6)),"x",""))</f>
        <v/>
      </c>
      <c r="W1717" s="75" t="str">
        <f>IF(AND('341-CT'!$H$9=H1717,OR(LEFT(N1717,3)=$W$7,LEFT(O1717,3)=$W$7)),"x","")</f>
        <v/>
      </c>
      <c r="X1717" s="75" t="str">
        <f>IF(OR(TH!N1717=TH!$X$7,O1717=TH!$X$7),"x","")</f>
        <v/>
      </c>
      <c r="Y1717" s="75" t="str">
        <f>IF(AND(OR(N1717="131",O1717="131"),H1717='131-CT'!$H$9),"x","")</f>
        <v/>
      </c>
      <c r="Z1717" s="75"/>
      <c r="AA1717" s="75" t="str">
        <f>IF(AND(MONTH(E1717)='IN-NX'!$J$5,'IN-NX'!$D$7=D1717),"x","")</f>
        <v/>
      </c>
      <c r="AB1717" s="75" t="str">
        <f>IF(AND(OR(LEFT(TH!N1717,2)="15",LEFT(TH!O1717,2)="15"),LEFT(TH!O1717,3)&lt;&gt;"111",'152-CT'!$J$8=TH!F1717),"x","")</f>
        <v/>
      </c>
      <c r="AC1717" s="75" t="str">
        <f>IF(AND(OR(LEFT(TH!N1717,2)="15",LEFT(TH!O1717,2)="15"),TK!$E$7=TH!F1717),"x","")</f>
        <v/>
      </c>
      <c r="AD1717" s="75" t="str">
        <f>IF(AND(N1717="1521",MONTH(C1717)='BK-NL'!$M$11),"x","")</f>
        <v/>
      </c>
    </row>
    <row r="1718" spans="1:30" ht="16.5" customHeight="1">
      <c r="A1718" s="309" t="str">
        <f>IF(B1718&lt;&gt;"",IF(AND(B1718='IN-TC'!$S$4,OR(TH!N1718="1111",TH!O1718="1111")),TH!D1718,""),"")</f>
        <v/>
      </c>
      <c r="B1718" s="1243">
        <f t="shared" si="442"/>
        <v>7</v>
      </c>
      <c r="C1718" s="929">
        <f t="shared" si="444"/>
        <v>42918</v>
      </c>
      <c r="D1718" s="929" t="s">
        <v>2951</v>
      </c>
      <c r="E1718" s="929">
        <v>42918</v>
      </c>
      <c r="F1718" s="1082" t="s">
        <v>346</v>
      </c>
      <c r="G1718" s="931"/>
      <c r="H1718" s="735" t="s">
        <v>424</v>
      </c>
      <c r="I1718" s="371">
        <v>200</v>
      </c>
      <c r="J1718" s="377">
        <v>8500</v>
      </c>
      <c r="K1718" s="371"/>
      <c r="L1718" s="377"/>
      <c r="M1718" s="933">
        <f t="shared" si="445"/>
        <v>1700000</v>
      </c>
      <c r="N1718" s="934" t="s">
        <v>272</v>
      </c>
      <c r="O1718" s="934" t="s">
        <v>266</v>
      </c>
      <c r="P1718" s="75" t="str">
        <f>IF(AND('331-CT'!$E$7=TH!H1718,OR(N1718="331",O1718="331")),"x","")</f>
        <v/>
      </c>
      <c r="Q1718" s="75" t="str">
        <f>IF(AND(B1718='111'!$L$11,OR($N1718=$Q$7,$O1718=$Q$7)),"x","")</f>
        <v/>
      </c>
      <c r="R1718" s="75" t="str">
        <f>IF(AND($N1718=$Q$7,$B1718&lt;'111'!$L$11),"x","")</f>
        <v/>
      </c>
      <c r="S1718" s="75" t="str">
        <f>IF(AND($O1718=$Q$7,$B1718&lt;'111'!$L$11),"x","")</f>
        <v/>
      </c>
      <c r="T1718" s="75" t="str">
        <f>IF(ISERROR(FIND('112'!$M$9,G1718,1)),"",IF((AND(FIND('112'!$M$9,G1718,1)&gt;=1,B1718='112'!$K$9,OR($N1718='112'!$I$6,$O1718='112'!$I$6))),"x",""))</f>
        <v/>
      </c>
      <c r="U1718" s="75" t="str">
        <f>IF(ISERROR(FIND('112'!$M$9,G1718,1)),"",IF((AND(LEFT(G1718,2)=LEFT('112'!$M$9,2),B1718&lt;'112'!$K$9,$N1718='112'!$I$6)),"x",""))</f>
        <v/>
      </c>
      <c r="V1718" s="75" t="str">
        <f>IF(ISERROR(FIND('112'!$M$9,G1718,1)),"",IF((AND(RIGHT(G1718,2)=RIGHT('112'!$M$9,2),B1718&lt;'112'!$K$9,$O1718='112'!$I$6)),"x",""))</f>
        <v/>
      </c>
      <c r="W1718" s="75" t="str">
        <f>IF(AND('341-CT'!$H$9=H1718,OR(LEFT(N1718,3)=$W$7,LEFT(O1718,3)=$W$7)),"x","")</f>
        <v/>
      </c>
      <c r="X1718" s="75" t="str">
        <f>IF(OR(TH!N1718=TH!$X$7,O1718=TH!$X$7),"x","")</f>
        <v/>
      </c>
      <c r="Y1718" s="75" t="str">
        <f>IF(AND(OR(N1718="131",O1718="131"),H1718='131-CT'!$H$9),"x","")</f>
        <v/>
      </c>
      <c r="Z1718" s="75"/>
      <c r="AA1718" s="75" t="str">
        <f>IF(AND(MONTH(E1718)='IN-NX'!$J$5,'IN-NX'!$D$7=D1718),"x","")</f>
        <v/>
      </c>
      <c r="AB1718" s="75" t="str">
        <f>IF(AND(OR(LEFT(TH!N1718,2)="15",LEFT(TH!O1718,2)="15"),LEFT(TH!O1718,3)&lt;&gt;"111",'152-CT'!$J$8=TH!F1718),"x","")</f>
        <v/>
      </c>
      <c r="AC1718" s="75" t="str">
        <f>IF(AND(OR(LEFT(TH!N1718,2)="15",LEFT(TH!O1718,2)="15"),TK!$E$7=TH!F1718),"x","")</f>
        <v/>
      </c>
      <c r="AD1718" s="75" t="str">
        <f>IF(AND(N1718="1521",MONTH(C1718)='BK-NL'!$M$11),"x","")</f>
        <v/>
      </c>
    </row>
    <row r="1719" spans="1:30" ht="16.5" customHeight="1">
      <c r="A1719" s="309" t="str">
        <f>IF(B1719&lt;&gt;"",IF(AND(B1719='IN-TC'!$S$4,OR(TH!N1719="1111",TH!O1719="1111")),TH!D1719,""),"")</f>
        <v/>
      </c>
      <c r="B1719" s="1243">
        <f t="shared" si="442"/>
        <v>7</v>
      </c>
      <c r="C1719" s="929">
        <f t="shared" si="444"/>
        <v>42921</v>
      </c>
      <c r="D1719" s="929" t="s">
        <v>2951</v>
      </c>
      <c r="E1719" s="929">
        <v>42921</v>
      </c>
      <c r="F1719" s="1082" t="s">
        <v>795</v>
      </c>
      <c r="G1719" s="931"/>
      <c r="H1719" s="735" t="s">
        <v>424</v>
      </c>
      <c r="I1719" s="371">
        <v>19060</v>
      </c>
      <c r="J1719" s="377">
        <v>8800</v>
      </c>
      <c r="K1719" s="371"/>
      <c r="L1719" s="377"/>
      <c r="M1719" s="933">
        <f t="shared" si="445"/>
        <v>167728000</v>
      </c>
      <c r="N1719" s="934" t="s">
        <v>272</v>
      </c>
      <c r="O1719" s="934" t="s">
        <v>266</v>
      </c>
      <c r="P1719" s="75" t="str">
        <f>IF(AND('331-CT'!$E$7=TH!H1719,OR(N1719="331",O1719="331")),"x","")</f>
        <v/>
      </c>
      <c r="Q1719" s="75" t="str">
        <f>IF(AND(B1719='111'!$L$11,OR($N1719=$Q$7,$O1719=$Q$7)),"x","")</f>
        <v/>
      </c>
      <c r="R1719" s="75" t="str">
        <f>IF(AND($N1719=$Q$7,$B1719&lt;'111'!$L$11),"x","")</f>
        <v/>
      </c>
      <c r="S1719" s="75" t="str">
        <f>IF(AND($O1719=$Q$7,$B1719&lt;'111'!$L$11),"x","")</f>
        <v/>
      </c>
      <c r="T1719" s="75" t="str">
        <f>IF(ISERROR(FIND('112'!$M$9,G1719,1)),"",IF((AND(FIND('112'!$M$9,G1719,1)&gt;=1,B1719='112'!$K$9,OR($N1719='112'!$I$6,$O1719='112'!$I$6))),"x",""))</f>
        <v/>
      </c>
      <c r="U1719" s="75" t="str">
        <f>IF(ISERROR(FIND('112'!$M$9,G1719,1)),"",IF((AND(LEFT(G1719,2)=LEFT('112'!$M$9,2),B1719&lt;'112'!$K$9,$N1719='112'!$I$6)),"x",""))</f>
        <v/>
      </c>
      <c r="V1719" s="75" t="str">
        <f>IF(ISERROR(FIND('112'!$M$9,G1719,1)),"",IF((AND(RIGHT(G1719,2)=RIGHT('112'!$M$9,2),B1719&lt;'112'!$K$9,$O1719='112'!$I$6)),"x",""))</f>
        <v/>
      </c>
      <c r="W1719" s="75" t="str">
        <f>IF(AND('341-CT'!$H$9=H1719,OR(LEFT(N1719,3)=$W$7,LEFT(O1719,3)=$W$7)),"x","")</f>
        <v/>
      </c>
      <c r="X1719" s="75" t="str">
        <f>IF(OR(TH!N1719=TH!$X$7,O1719=TH!$X$7),"x","")</f>
        <v/>
      </c>
      <c r="Y1719" s="75" t="str">
        <f>IF(AND(OR(N1719="131",O1719="131"),H1719='131-CT'!$H$9),"x","")</f>
        <v/>
      </c>
      <c r="Z1719" s="75"/>
      <c r="AA1719" s="75" t="str">
        <f>IF(AND(MONTH(E1719)='IN-NX'!$J$5,'IN-NX'!$D$7=D1719),"x","")</f>
        <v/>
      </c>
      <c r="AB1719" s="75" t="str">
        <f>IF(AND(OR(LEFT(TH!N1719,2)="15",LEFT(TH!O1719,2)="15"),LEFT(TH!O1719,3)&lt;&gt;"111",'152-CT'!$J$8=TH!F1719),"x","")</f>
        <v/>
      </c>
      <c r="AC1719" s="75" t="str">
        <f>IF(AND(OR(LEFT(TH!N1719,2)="15",LEFT(TH!O1719,2)="15"),TK!$E$7=TH!F1719),"x","")</f>
        <v/>
      </c>
      <c r="AD1719" s="75" t="str">
        <f>IF(AND(N1719="1521",MONTH(C1719)='BK-NL'!$M$11),"x","")</f>
        <v/>
      </c>
    </row>
    <row r="1720" spans="1:30" ht="16.5" customHeight="1">
      <c r="A1720" s="309" t="str">
        <f>IF(B1720&lt;&gt;"",IF(AND(B1720='IN-TC'!$S$4,OR(TH!N1720="1111",TH!O1720="1111")),TH!D1720,""),"")</f>
        <v/>
      </c>
      <c r="B1720" s="1243">
        <f t="shared" si="442"/>
        <v>7</v>
      </c>
      <c r="C1720" s="929">
        <f t="shared" si="444"/>
        <v>42922</v>
      </c>
      <c r="D1720" s="929" t="s">
        <v>2951</v>
      </c>
      <c r="E1720" s="929">
        <v>42922</v>
      </c>
      <c r="F1720" s="1082" t="s">
        <v>371</v>
      </c>
      <c r="G1720" s="931"/>
      <c r="H1720" s="735" t="s">
        <v>424</v>
      </c>
      <c r="I1720" s="371">
        <v>2236</v>
      </c>
      <c r="J1720" s="377">
        <v>13500</v>
      </c>
      <c r="K1720" s="371"/>
      <c r="L1720" s="377"/>
      <c r="M1720" s="933">
        <f t="shared" si="445"/>
        <v>30186000</v>
      </c>
      <c r="N1720" s="934" t="s">
        <v>272</v>
      </c>
      <c r="O1720" s="934" t="s">
        <v>266</v>
      </c>
      <c r="P1720" s="75" t="str">
        <f>IF(AND('331-CT'!$E$7=TH!H1720,OR(N1720="331",O1720="331")),"x","")</f>
        <v/>
      </c>
      <c r="Q1720" s="75" t="str">
        <f>IF(AND(B1720='111'!$L$11,OR($N1720=$Q$7,$O1720=$Q$7)),"x","")</f>
        <v/>
      </c>
      <c r="R1720" s="75" t="str">
        <f>IF(AND($N1720=$Q$7,$B1720&lt;'111'!$L$11),"x","")</f>
        <v/>
      </c>
      <c r="S1720" s="75" t="str">
        <f>IF(AND($O1720=$Q$7,$B1720&lt;'111'!$L$11),"x","")</f>
        <v/>
      </c>
      <c r="T1720" s="75" t="str">
        <f>IF(ISERROR(FIND('112'!$M$9,G1720,1)),"",IF((AND(FIND('112'!$M$9,G1720,1)&gt;=1,B1720='112'!$K$9,OR($N1720='112'!$I$6,$O1720='112'!$I$6))),"x",""))</f>
        <v/>
      </c>
      <c r="U1720" s="75" t="str">
        <f>IF(ISERROR(FIND('112'!$M$9,G1720,1)),"",IF((AND(LEFT(G1720,2)=LEFT('112'!$M$9,2),B1720&lt;'112'!$K$9,$N1720='112'!$I$6)),"x",""))</f>
        <v/>
      </c>
      <c r="V1720" s="75" t="str">
        <f>IF(ISERROR(FIND('112'!$M$9,G1720,1)),"",IF((AND(RIGHT(G1720,2)=RIGHT('112'!$M$9,2),B1720&lt;'112'!$K$9,$O1720='112'!$I$6)),"x",""))</f>
        <v/>
      </c>
      <c r="W1720" s="75" t="str">
        <f>IF(AND('341-CT'!$H$9=H1720,OR(LEFT(N1720,3)=$W$7,LEFT(O1720,3)=$W$7)),"x","")</f>
        <v/>
      </c>
      <c r="X1720" s="75" t="str">
        <f>IF(OR(TH!N1720=TH!$X$7,O1720=TH!$X$7),"x","")</f>
        <v/>
      </c>
      <c r="Y1720" s="75" t="str">
        <f>IF(AND(OR(N1720="131",O1720="131"),H1720='131-CT'!$H$9),"x","")</f>
        <v/>
      </c>
      <c r="Z1720" s="75"/>
      <c r="AA1720" s="75" t="str">
        <f>IF(AND(MONTH(E1720)='IN-NX'!$J$5,'IN-NX'!$D$7=D1720),"x","")</f>
        <v/>
      </c>
      <c r="AB1720" s="75" t="str">
        <f>IF(AND(OR(LEFT(TH!N1720,2)="15",LEFT(TH!O1720,2)="15"),LEFT(TH!O1720,3)&lt;&gt;"111",'152-CT'!$J$8=TH!F1720),"x","")</f>
        <v/>
      </c>
      <c r="AC1720" s="75" t="str">
        <f>IF(AND(OR(LEFT(TH!N1720,2)="15",LEFT(TH!O1720,2)="15"),TK!$E$7=TH!F1720),"x","")</f>
        <v/>
      </c>
      <c r="AD1720" s="75" t="str">
        <f>IF(AND(N1720="1521",MONTH(C1720)='BK-NL'!$M$11),"x","")</f>
        <v/>
      </c>
    </row>
    <row r="1721" spans="1:30" ht="16.5" customHeight="1">
      <c r="A1721" s="309" t="str">
        <f>IF(B1721&lt;&gt;"",IF(AND(B1721='IN-TC'!$S$4,OR(TH!N1721="1111",TH!O1721="1111")),TH!D1721,""),"")</f>
        <v/>
      </c>
      <c r="B1721" s="1243">
        <f t="shared" si="442"/>
        <v>7</v>
      </c>
      <c r="C1721" s="929">
        <f t="shared" si="444"/>
        <v>42922</v>
      </c>
      <c r="D1721" s="929" t="s">
        <v>2951</v>
      </c>
      <c r="E1721" s="929">
        <v>42922</v>
      </c>
      <c r="F1721" s="1082" t="s">
        <v>1671</v>
      </c>
      <c r="G1721" s="931"/>
      <c r="H1721" s="735" t="s">
        <v>424</v>
      </c>
      <c r="I1721" s="371">
        <v>594</v>
      </c>
      <c r="J1721" s="377">
        <v>11000</v>
      </c>
      <c r="K1721" s="371"/>
      <c r="L1721" s="377"/>
      <c r="M1721" s="933">
        <f t="shared" si="445"/>
        <v>6534000</v>
      </c>
      <c r="N1721" s="934" t="s">
        <v>272</v>
      </c>
      <c r="O1721" s="934" t="s">
        <v>266</v>
      </c>
      <c r="P1721" s="75" t="str">
        <f>IF(AND('331-CT'!$E$7=TH!H1721,OR(N1721="331",O1721="331")),"x","")</f>
        <v/>
      </c>
      <c r="Q1721" s="75" t="str">
        <f>IF(AND(B1721='111'!$L$11,OR($N1721=$Q$7,$O1721=$Q$7)),"x","")</f>
        <v/>
      </c>
      <c r="R1721" s="75" t="str">
        <f>IF(AND($N1721=$Q$7,$B1721&lt;'111'!$L$11),"x","")</f>
        <v/>
      </c>
      <c r="S1721" s="75" t="str">
        <f>IF(AND($O1721=$Q$7,$B1721&lt;'111'!$L$11),"x","")</f>
        <v/>
      </c>
      <c r="T1721" s="75" t="str">
        <f>IF(ISERROR(FIND('112'!$M$9,G1721,1)),"",IF((AND(FIND('112'!$M$9,G1721,1)&gt;=1,B1721='112'!$K$9,OR($N1721='112'!$I$6,$O1721='112'!$I$6))),"x",""))</f>
        <v/>
      </c>
      <c r="U1721" s="75" t="str">
        <f>IF(ISERROR(FIND('112'!$M$9,G1721,1)),"",IF((AND(LEFT(G1721,2)=LEFT('112'!$M$9,2),B1721&lt;'112'!$K$9,$N1721='112'!$I$6)),"x",""))</f>
        <v/>
      </c>
      <c r="V1721" s="75" t="str">
        <f>IF(ISERROR(FIND('112'!$M$9,G1721,1)),"",IF((AND(RIGHT(G1721,2)=RIGHT('112'!$M$9,2),B1721&lt;'112'!$K$9,$O1721='112'!$I$6)),"x",""))</f>
        <v/>
      </c>
      <c r="W1721" s="75" t="str">
        <f>IF(AND('341-CT'!$H$9=H1721,OR(LEFT(N1721,3)=$W$7,LEFT(O1721,3)=$W$7)),"x","")</f>
        <v/>
      </c>
      <c r="X1721" s="75" t="str">
        <f>IF(OR(TH!N1721=TH!$X$7,O1721=TH!$X$7),"x","")</f>
        <v/>
      </c>
      <c r="Y1721" s="75" t="str">
        <f>IF(AND(OR(N1721="131",O1721="131"),H1721='131-CT'!$H$9),"x","")</f>
        <v/>
      </c>
      <c r="Z1721" s="75"/>
      <c r="AA1721" s="75" t="str">
        <f>IF(AND(MONTH(E1721)='IN-NX'!$J$5,'IN-NX'!$D$7=D1721),"x","")</f>
        <v/>
      </c>
      <c r="AB1721" s="75" t="str">
        <f>IF(AND(OR(LEFT(TH!N1721,2)="15",LEFT(TH!O1721,2)="15"),LEFT(TH!O1721,3)&lt;&gt;"111",'152-CT'!$J$8=TH!F1721),"x","")</f>
        <v/>
      </c>
      <c r="AC1721" s="75" t="str">
        <f>IF(AND(OR(LEFT(TH!N1721,2)="15",LEFT(TH!O1721,2)="15"),TK!$E$7=TH!F1721),"x","")</f>
        <v/>
      </c>
      <c r="AD1721" s="75" t="str">
        <f>IF(AND(N1721="1521",MONTH(C1721)='BK-NL'!$M$11),"x","")</f>
        <v/>
      </c>
    </row>
    <row r="1722" spans="1:30" ht="16.5" customHeight="1">
      <c r="A1722" s="309" t="str">
        <f>IF(B1722&lt;&gt;"",IF(AND(B1722='IN-TC'!$S$4,OR(TH!N1722="1111",TH!O1722="1111")),TH!D1722,""),"")</f>
        <v/>
      </c>
      <c r="B1722" s="1243">
        <f t="shared" ref="B1722:B1731" si="446">IF(C1722&lt;&gt;"",MONTH(C1722),"")</f>
        <v>7</v>
      </c>
      <c r="C1722" s="292">
        <f t="shared" ref="C1722:C1731" si="447">E1722</f>
        <v>42917</v>
      </c>
      <c r="D1722" s="292" t="s">
        <v>2957</v>
      </c>
      <c r="E1722" s="292">
        <v>42917</v>
      </c>
      <c r="F1722" s="425" t="s">
        <v>771</v>
      </c>
      <c r="G1722" s="925"/>
      <c r="H1722" s="425" t="s">
        <v>1882</v>
      </c>
      <c r="I1722" s="373">
        <v>52460</v>
      </c>
      <c r="J1722" s="379">
        <v>18500</v>
      </c>
      <c r="K1722" s="373"/>
      <c r="L1722" s="379"/>
      <c r="M1722" s="927">
        <f t="shared" ref="M1722:M1731" si="448">ROUND(I1722*J1722,0)</f>
        <v>970510000</v>
      </c>
      <c r="N1722" s="295" t="s">
        <v>264</v>
      </c>
      <c r="O1722" s="295" t="s">
        <v>8</v>
      </c>
      <c r="P1722" s="75" t="str">
        <f>IF(AND('331-CT'!$E$7=TH!H1722,OR(N1722="331",O1722="331")),"x","")</f>
        <v/>
      </c>
      <c r="Q1722" s="75" t="str">
        <f>IF(AND(B1722='111'!$L$11,OR($N1722=$Q$7,$O1722=$Q$7)),"x","")</f>
        <v/>
      </c>
      <c r="R1722" s="75" t="str">
        <f>IF(AND($N1722=$Q$7,$B1722&lt;'111'!$L$11),"x","")</f>
        <v/>
      </c>
      <c r="S1722" s="75" t="str">
        <f>IF(AND($O1722=$Q$7,$B1722&lt;'111'!$L$11),"x","")</f>
        <v/>
      </c>
      <c r="T1722" s="75" t="str">
        <f>IF(ISERROR(FIND('112'!$M$9,G1722,1)),"",IF((AND(FIND('112'!$M$9,G1722,1)&gt;=1,B1722='112'!$K$9,OR($N1722='112'!$I$6,$O1722='112'!$I$6))),"x",""))</f>
        <v/>
      </c>
      <c r="U1722" s="75" t="str">
        <f>IF(ISERROR(FIND('112'!$M$9,G1722,1)),"",IF((AND(LEFT(G1722,2)=LEFT('112'!$M$9,2),B1722&lt;'112'!$K$9,$N1722='112'!$I$6)),"x",""))</f>
        <v/>
      </c>
      <c r="V1722" s="75" t="str">
        <f>IF(ISERROR(FIND('112'!$M$9,G1722,1)),"",IF((AND(RIGHT(G1722,2)=RIGHT('112'!$M$9,2),B1722&lt;'112'!$K$9,$O1722='112'!$I$6)),"x",""))</f>
        <v/>
      </c>
      <c r="W1722" s="75" t="str">
        <f>IF(AND('341-CT'!$H$9=H1722,OR(LEFT(N1722,3)=$W$7,LEFT(O1722,3)=$W$7)),"x","")</f>
        <v/>
      </c>
      <c r="X1722" s="75" t="str">
        <f>IF(OR(TH!N1722=TH!$X$7,O1722=TH!$X$7),"x","")</f>
        <v/>
      </c>
      <c r="Y1722" s="75" t="str">
        <f>IF(AND(OR(N1722="131",O1722="131"),H1722='131-CT'!$H$9),"x","")</f>
        <v/>
      </c>
      <c r="Z1722" s="75"/>
      <c r="AA1722" s="75" t="str">
        <f>IF(AND(MONTH(E1722)='IN-NX'!$J$5,'IN-NX'!$D$7=D1722),"x","")</f>
        <v/>
      </c>
      <c r="AB1722" s="75" t="str">
        <f>IF(AND(OR(LEFT(TH!N1722,2)="15",LEFT(TH!O1722,2)="15"),LEFT(TH!O1722,3)&lt;&gt;"111",'152-CT'!$J$8=TH!F1722),"x","")</f>
        <v/>
      </c>
      <c r="AC1722" s="75" t="str">
        <f>IF(AND(OR(LEFT(TH!N1722,2)="15",LEFT(TH!O1722,2)="15"),TK!$E$7=TH!F1722),"x","")</f>
        <v/>
      </c>
      <c r="AD1722" s="75" t="str">
        <f>IF(AND(N1722="1521",MONTH(C1722)='BK-NL'!$M$11),"x","")</f>
        <v/>
      </c>
    </row>
    <row r="1723" spans="1:30" ht="16.5" customHeight="1">
      <c r="A1723" s="309" t="str">
        <f>IF(B1723&lt;&gt;"",IF(AND(B1723='IN-TC'!$S$4,OR(TH!N1723="1111",TH!O1723="1111")),TH!D1723,""),"")</f>
        <v/>
      </c>
      <c r="B1723" s="1243">
        <f t="shared" si="446"/>
        <v>7</v>
      </c>
      <c r="C1723" s="292">
        <f t="shared" si="447"/>
        <v>42917</v>
      </c>
      <c r="D1723" s="292" t="s">
        <v>2958</v>
      </c>
      <c r="E1723" s="292">
        <v>42917</v>
      </c>
      <c r="F1723" s="425" t="s">
        <v>771</v>
      </c>
      <c r="G1723" s="925"/>
      <c r="H1723" s="425" t="s">
        <v>1890</v>
      </c>
      <c r="I1723" s="373">
        <v>52780</v>
      </c>
      <c r="J1723" s="379">
        <v>18500</v>
      </c>
      <c r="K1723" s="373"/>
      <c r="L1723" s="379"/>
      <c r="M1723" s="927">
        <f t="shared" si="448"/>
        <v>976430000</v>
      </c>
      <c r="N1723" s="295" t="s">
        <v>264</v>
      </c>
      <c r="O1723" s="295" t="s">
        <v>8</v>
      </c>
      <c r="P1723" s="75" t="str">
        <f>IF(AND('331-CT'!$E$7=TH!H1723,OR(N1723="331",O1723="331")),"x","")</f>
        <v/>
      </c>
      <c r="Q1723" s="75" t="str">
        <f>IF(AND(B1723='111'!$L$11,OR($N1723=$Q$7,$O1723=$Q$7)),"x","")</f>
        <v/>
      </c>
      <c r="R1723" s="75" t="str">
        <f>IF(AND($N1723=$Q$7,$B1723&lt;'111'!$L$11),"x","")</f>
        <v/>
      </c>
      <c r="S1723" s="75" t="str">
        <f>IF(AND($O1723=$Q$7,$B1723&lt;'111'!$L$11),"x","")</f>
        <v/>
      </c>
      <c r="T1723" s="75" t="str">
        <f>IF(ISERROR(FIND('112'!$M$9,G1723,1)),"",IF((AND(FIND('112'!$M$9,G1723,1)&gt;=1,B1723='112'!$K$9,OR($N1723='112'!$I$6,$O1723='112'!$I$6))),"x",""))</f>
        <v/>
      </c>
      <c r="U1723" s="75" t="str">
        <f>IF(ISERROR(FIND('112'!$M$9,G1723,1)),"",IF((AND(LEFT(G1723,2)=LEFT('112'!$M$9,2),B1723&lt;'112'!$K$9,$N1723='112'!$I$6)),"x",""))</f>
        <v/>
      </c>
      <c r="V1723" s="75" t="str">
        <f>IF(ISERROR(FIND('112'!$M$9,G1723,1)),"",IF((AND(RIGHT(G1723,2)=RIGHT('112'!$M$9,2),B1723&lt;'112'!$K$9,$O1723='112'!$I$6)),"x",""))</f>
        <v/>
      </c>
      <c r="W1723" s="75" t="str">
        <f>IF(AND('341-CT'!$H$9=H1723,OR(LEFT(N1723,3)=$W$7,LEFT(O1723,3)=$W$7)),"x","")</f>
        <v/>
      </c>
      <c r="X1723" s="75" t="str">
        <f>IF(OR(TH!N1723=TH!$X$7,O1723=TH!$X$7),"x","")</f>
        <v/>
      </c>
      <c r="Y1723" s="75" t="str">
        <f>IF(AND(OR(N1723="131",O1723="131"),H1723='131-CT'!$H$9),"x","")</f>
        <v/>
      </c>
      <c r="Z1723" s="75"/>
      <c r="AA1723" s="75" t="str">
        <f>IF(AND(MONTH(E1723)='IN-NX'!$J$5,'IN-NX'!$D$7=D1723),"x","")</f>
        <v/>
      </c>
      <c r="AB1723" s="75" t="str">
        <f>IF(AND(OR(LEFT(TH!N1723,2)="15",LEFT(TH!O1723,2)="15"),LEFT(TH!O1723,3)&lt;&gt;"111",'152-CT'!$J$8=TH!F1723),"x","")</f>
        <v/>
      </c>
      <c r="AC1723" s="75" t="str">
        <f>IF(AND(OR(LEFT(TH!N1723,2)="15",LEFT(TH!O1723,2)="15"),TK!$E$7=TH!F1723),"x","")</f>
        <v/>
      </c>
      <c r="AD1723" s="75" t="str">
        <f>IF(AND(N1723="1521",MONTH(C1723)='BK-NL'!$M$11),"x","")</f>
        <v/>
      </c>
    </row>
    <row r="1724" spans="1:30" ht="16.5" customHeight="1">
      <c r="A1724" s="309" t="str">
        <f>IF(B1724&lt;&gt;"",IF(AND(B1724='IN-TC'!$S$4,OR(TH!N1724="1111",TH!O1724="1111")),TH!D1724,""),"")</f>
        <v/>
      </c>
      <c r="B1724" s="1243">
        <f t="shared" si="446"/>
        <v>7</v>
      </c>
      <c r="C1724" s="292">
        <f t="shared" si="447"/>
        <v>42921</v>
      </c>
      <c r="D1724" s="292" t="s">
        <v>2963</v>
      </c>
      <c r="E1724" s="292">
        <v>42921</v>
      </c>
      <c r="F1724" s="425" t="s">
        <v>771</v>
      </c>
      <c r="G1724" s="925"/>
      <c r="H1724" s="425" t="s">
        <v>1882</v>
      </c>
      <c r="I1724" s="373">
        <v>54750</v>
      </c>
      <c r="J1724" s="379">
        <v>18500</v>
      </c>
      <c r="K1724" s="373"/>
      <c r="L1724" s="379"/>
      <c r="M1724" s="927">
        <f t="shared" si="448"/>
        <v>1012875000</v>
      </c>
      <c r="N1724" s="295" t="s">
        <v>264</v>
      </c>
      <c r="O1724" s="295" t="s">
        <v>8</v>
      </c>
      <c r="P1724" s="75" t="str">
        <f>IF(AND('331-CT'!$E$7=TH!H1724,OR(N1724="331",O1724="331")),"x","")</f>
        <v/>
      </c>
      <c r="Q1724" s="75" t="str">
        <f>IF(AND(B1724='111'!$L$11,OR($N1724=$Q$7,$O1724=$Q$7)),"x","")</f>
        <v/>
      </c>
      <c r="R1724" s="75" t="str">
        <f>IF(AND($N1724=$Q$7,$B1724&lt;'111'!$L$11),"x","")</f>
        <v/>
      </c>
      <c r="S1724" s="75" t="str">
        <f>IF(AND($O1724=$Q$7,$B1724&lt;'111'!$L$11),"x","")</f>
        <v/>
      </c>
      <c r="T1724" s="75" t="str">
        <f>IF(ISERROR(FIND('112'!$M$9,G1724,1)),"",IF((AND(FIND('112'!$M$9,G1724,1)&gt;=1,B1724='112'!$K$9,OR($N1724='112'!$I$6,$O1724='112'!$I$6))),"x",""))</f>
        <v/>
      </c>
      <c r="U1724" s="75" t="str">
        <f>IF(ISERROR(FIND('112'!$M$9,G1724,1)),"",IF((AND(LEFT(G1724,2)=LEFT('112'!$M$9,2),B1724&lt;'112'!$K$9,$N1724='112'!$I$6)),"x",""))</f>
        <v/>
      </c>
      <c r="V1724" s="75" t="str">
        <f>IF(ISERROR(FIND('112'!$M$9,G1724,1)),"",IF((AND(RIGHT(G1724,2)=RIGHT('112'!$M$9,2),B1724&lt;'112'!$K$9,$O1724='112'!$I$6)),"x",""))</f>
        <v/>
      </c>
      <c r="W1724" s="75" t="str">
        <f>IF(AND('341-CT'!$H$9=H1724,OR(LEFT(N1724,3)=$W$7,LEFT(O1724,3)=$W$7)),"x","")</f>
        <v/>
      </c>
      <c r="X1724" s="75" t="str">
        <f>IF(OR(TH!N1724=TH!$X$7,O1724=TH!$X$7),"x","")</f>
        <v/>
      </c>
      <c r="Y1724" s="75" t="str">
        <f>IF(AND(OR(N1724="131",O1724="131"),H1724='131-CT'!$H$9),"x","")</f>
        <v/>
      </c>
      <c r="Z1724" s="75"/>
      <c r="AA1724" s="75" t="str">
        <f>IF(AND(MONTH(E1724)='IN-NX'!$J$5,'IN-NX'!$D$7=D1724),"x","")</f>
        <v/>
      </c>
      <c r="AB1724" s="75" t="str">
        <f>IF(AND(OR(LEFT(TH!N1724,2)="15",LEFT(TH!O1724,2)="15"),LEFT(TH!O1724,3)&lt;&gt;"111",'152-CT'!$J$8=TH!F1724),"x","")</f>
        <v/>
      </c>
      <c r="AC1724" s="75" t="str">
        <f>IF(AND(OR(LEFT(TH!N1724,2)="15",LEFT(TH!O1724,2)="15"),TK!$E$7=TH!F1724),"x","")</f>
        <v/>
      </c>
      <c r="AD1724" s="75" t="str">
        <f>IF(AND(N1724="1521",MONTH(C1724)='BK-NL'!$M$11),"x","")</f>
        <v/>
      </c>
    </row>
    <row r="1725" spans="1:30" ht="16.5" customHeight="1">
      <c r="A1725" s="309" t="str">
        <f>IF(B1725&lt;&gt;"",IF(AND(B1725='IN-TC'!$S$4,OR(TH!N1725="1111",TH!O1725="1111")),TH!D1725,""),"")</f>
        <v/>
      </c>
      <c r="B1725" s="1243">
        <f t="shared" si="446"/>
        <v>7</v>
      </c>
      <c r="C1725" s="292">
        <f t="shared" si="447"/>
        <v>42921</v>
      </c>
      <c r="D1725" s="292" t="s">
        <v>2964</v>
      </c>
      <c r="E1725" s="292">
        <v>42921</v>
      </c>
      <c r="F1725" s="425" t="s">
        <v>771</v>
      </c>
      <c r="G1725" s="925"/>
      <c r="H1725" s="425" t="s">
        <v>1890</v>
      </c>
      <c r="I1725" s="373">
        <v>50620</v>
      </c>
      <c r="J1725" s="379">
        <v>18500</v>
      </c>
      <c r="K1725" s="373"/>
      <c r="L1725" s="379"/>
      <c r="M1725" s="927">
        <f t="shared" si="448"/>
        <v>936470000</v>
      </c>
      <c r="N1725" s="295" t="s">
        <v>264</v>
      </c>
      <c r="O1725" s="295" t="s">
        <v>8</v>
      </c>
      <c r="P1725" s="75" t="str">
        <f>IF(AND('331-CT'!$E$7=TH!H1725,OR(N1725="331",O1725="331")),"x","")</f>
        <v/>
      </c>
      <c r="Q1725" s="75" t="str">
        <f>IF(AND(B1725='111'!$L$11,OR($N1725=$Q$7,$O1725=$Q$7)),"x","")</f>
        <v/>
      </c>
      <c r="R1725" s="75" t="str">
        <f>IF(AND($N1725=$Q$7,$B1725&lt;'111'!$L$11),"x","")</f>
        <v/>
      </c>
      <c r="S1725" s="75" t="str">
        <f>IF(AND($O1725=$Q$7,$B1725&lt;'111'!$L$11),"x","")</f>
        <v/>
      </c>
      <c r="T1725" s="75" t="str">
        <f>IF(ISERROR(FIND('112'!$M$9,G1725,1)),"",IF((AND(FIND('112'!$M$9,G1725,1)&gt;=1,B1725='112'!$K$9,OR($N1725='112'!$I$6,$O1725='112'!$I$6))),"x",""))</f>
        <v/>
      </c>
      <c r="U1725" s="75" t="str">
        <f>IF(ISERROR(FIND('112'!$M$9,G1725,1)),"",IF((AND(LEFT(G1725,2)=LEFT('112'!$M$9,2),B1725&lt;'112'!$K$9,$N1725='112'!$I$6)),"x",""))</f>
        <v/>
      </c>
      <c r="V1725" s="75" t="str">
        <f>IF(ISERROR(FIND('112'!$M$9,G1725,1)),"",IF((AND(RIGHT(G1725,2)=RIGHT('112'!$M$9,2),B1725&lt;'112'!$K$9,$O1725='112'!$I$6)),"x",""))</f>
        <v/>
      </c>
      <c r="W1725" s="75" t="str">
        <f>IF(AND('341-CT'!$H$9=H1725,OR(LEFT(N1725,3)=$W$7,LEFT(O1725,3)=$W$7)),"x","")</f>
        <v/>
      </c>
      <c r="X1725" s="75" t="str">
        <f>IF(OR(TH!N1725=TH!$X$7,O1725=TH!$X$7),"x","")</f>
        <v/>
      </c>
      <c r="Y1725" s="75" t="str">
        <f>IF(AND(OR(N1725="131",O1725="131"),H1725='131-CT'!$H$9),"x","")</f>
        <v/>
      </c>
      <c r="Z1725" s="75"/>
      <c r="AA1725" s="75" t="str">
        <f>IF(AND(MONTH(E1725)='IN-NX'!$J$5,'IN-NX'!$D$7=D1725),"x","")</f>
        <v/>
      </c>
      <c r="AB1725" s="75" t="str">
        <f>IF(AND(OR(LEFT(TH!N1725,2)="15",LEFT(TH!O1725,2)="15"),LEFT(TH!O1725,3)&lt;&gt;"111",'152-CT'!$J$8=TH!F1725),"x","")</f>
        <v/>
      </c>
      <c r="AC1725" s="75" t="str">
        <f>IF(AND(OR(LEFT(TH!N1725,2)="15",LEFT(TH!O1725,2)="15"),TK!$E$7=TH!F1725),"x","")</f>
        <v/>
      </c>
      <c r="AD1725" s="75" t="str">
        <f>IF(AND(N1725="1521",MONTH(C1725)='BK-NL'!$M$11),"x","")</f>
        <v/>
      </c>
    </row>
    <row r="1726" spans="1:30" ht="16.5" customHeight="1">
      <c r="A1726" s="309" t="str">
        <f>IF(B1726&lt;&gt;"",IF(AND(B1726='IN-TC'!$S$4,OR(TH!N1726="1111",TH!O1726="1111")),TH!D1726,""),"")</f>
        <v/>
      </c>
      <c r="B1726" s="1243">
        <f t="shared" si="446"/>
        <v>7</v>
      </c>
      <c r="C1726" s="292">
        <f t="shared" si="447"/>
        <v>42924</v>
      </c>
      <c r="D1726" s="292" t="s">
        <v>2965</v>
      </c>
      <c r="E1726" s="292">
        <v>42924</v>
      </c>
      <c r="F1726" s="425" t="s">
        <v>771</v>
      </c>
      <c r="G1726" s="925"/>
      <c r="H1726" s="425" t="s">
        <v>1882</v>
      </c>
      <c r="I1726" s="373">
        <v>54830</v>
      </c>
      <c r="J1726" s="379">
        <v>18500</v>
      </c>
      <c r="K1726" s="373"/>
      <c r="L1726" s="379"/>
      <c r="M1726" s="927">
        <f t="shared" si="448"/>
        <v>1014355000</v>
      </c>
      <c r="N1726" s="295" t="s">
        <v>264</v>
      </c>
      <c r="O1726" s="295" t="s">
        <v>8</v>
      </c>
      <c r="P1726" s="75" t="str">
        <f>IF(AND('331-CT'!$E$7=TH!H1726,OR(N1726="331",O1726="331")),"x","")</f>
        <v/>
      </c>
      <c r="Q1726" s="75" t="str">
        <f>IF(AND(B1726='111'!$L$11,OR($N1726=$Q$7,$O1726=$Q$7)),"x","")</f>
        <v/>
      </c>
      <c r="R1726" s="75" t="str">
        <f>IF(AND($N1726=$Q$7,$B1726&lt;'111'!$L$11),"x","")</f>
        <v/>
      </c>
      <c r="S1726" s="75" t="str">
        <f>IF(AND($O1726=$Q$7,$B1726&lt;'111'!$L$11),"x","")</f>
        <v/>
      </c>
      <c r="T1726" s="75" t="str">
        <f>IF(ISERROR(FIND('112'!$M$9,G1726,1)),"",IF((AND(FIND('112'!$M$9,G1726,1)&gt;=1,B1726='112'!$K$9,OR($N1726='112'!$I$6,$O1726='112'!$I$6))),"x",""))</f>
        <v/>
      </c>
      <c r="U1726" s="75" t="str">
        <f>IF(ISERROR(FIND('112'!$M$9,G1726,1)),"",IF((AND(LEFT(G1726,2)=LEFT('112'!$M$9,2),B1726&lt;'112'!$K$9,$N1726='112'!$I$6)),"x",""))</f>
        <v/>
      </c>
      <c r="V1726" s="75" t="str">
        <f>IF(ISERROR(FIND('112'!$M$9,G1726,1)),"",IF((AND(RIGHT(G1726,2)=RIGHT('112'!$M$9,2),B1726&lt;'112'!$K$9,$O1726='112'!$I$6)),"x",""))</f>
        <v/>
      </c>
      <c r="W1726" s="75" t="str">
        <f>IF(AND('341-CT'!$H$9=H1726,OR(LEFT(N1726,3)=$W$7,LEFT(O1726,3)=$W$7)),"x","")</f>
        <v/>
      </c>
      <c r="X1726" s="75" t="str">
        <f>IF(OR(TH!N1726=TH!$X$7,O1726=TH!$X$7),"x","")</f>
        <v/>
      </c>
      <c r="Y1726" s="75" t="str">
        <f>IF(AND(OR(N1726="131",O1726="131"),H1726='131-CT'!$H$9),"x","")</f>
        <v/>
      </c>
      <c r="Z1726" s="75"/>
      <c r="AA1726" s="75" t="str">
        <f>IF(AND(MONTH(E1726)='IN-NX'!$J$5,'IN-NX'!$D$7=D1726),"x","")</f>
        <v/>
      </c>
      <c r="AB1726" s="75" t="str">
        <f>IF(AND(OR(LEFT(TH!N1726,2)="15",LEFT(TH!O1726,2)="15"),LEFT(TH!O1726,3)&lt;&gt;"111",'152-CT'!$J$8=TH!F1726),"x","")</f>
        <v/>
      </c>
      <c r="AC1726" s="75" t="str">
        <f>IF(AND(OR(LEFT(TH!N1726,2)="15",LEFT(TH!O1726,2)="15"),TK!$E$7=TH!F1726),"x","")</f>
        <v/>
      </c>
      <c r="AD1726" s="75" t="str">
        <f>IF(AND(N1726="1521",MONTH(C1726)='BK-NL'!$M$11),"x","")</f>
        <v/>
      </c>
    </row>
    <row r="1727" spans="1:30" ht="16.5" customHeight="1">
      <c r="A1727" s="309" t="str">
        <f>IF(B1727&lt;&gt;"",IF(AND(B1727='IN-TC'!$S$4,OR(TH!N1727="1111",TH!O1727="1111")),TH!D1727,""),"")</f>
        <v/>
      </c>
      <c r="B1727" s="1243">
        <f t="shared" si="446"/>
        <v>7</v>
      </c>
      <c r="C1727" s="292">
        <f t="shared" si="447"/>
        <v>42924</v>
      </c>
      <c r="D1727" s="292" t="s">
        <v>2966</v>
      </c>
      <c r="E1727" s="292">
        <v>42924</v>
      </c>
      <c r="F1727" s="425" t="s">
        <v>771</v>
      </c>
      <c r="G1727" s="925"/>
      <c r="H1727" s="425" t="s">
        <v>1890</v>
      </c>
      <c r="I1727" s="373">
        <v>50740</v>
      </c>
      <c r="J1727" s="379">
        <v>18500</v>
      </c>
      <c r="K1727" s="373"/>
      <c r="L1727" s="379"/>
      <c r="M1727" s="927">
        <f t="shared" si="448"/>
        <v>938690000</v>
      </c>
      <c r="N1727" s="295" t="s">
        <v>264</v>
      </c>
      <c r="O1727" s="295" t="s">
        <v>8</v>
      </c>
      <c r="P1727" s="75" t="str">
        <f>IF(AND('331-CT'!$E$7=TH!H1727,OR(N1727="331",O1727="331")),"x","")</f>
        <v/>
      </c>
      <c r="Q1727" s="75" t="str">
        <f>IF(AND(B1727='111'!$L$11,OR($N1727=$Q$7,$O1727=$Q$7)),"x","")</f>
        <v/>
      </c>
      <c r="R1727" s="75" t="str">
        <f>IF(AND($N1727=$Q$7,$B1727&lt;'111'!$L$11),"x","")</f>
        <v/>
      </c>
      <c r="S1727" s="75" t="str">
        <f>IF(AND($O1727=$Q$7,$B1727&lt;'111'!$L$11),"x","")</f>
        <v/>
      </c>
      <c r="T1727" s="75" t="str">
        <f>IF(ISERROR(FIND('112'!$M$9,G1727,1)),"",IF((AND(FIND('112'!$M$9,G1727,1)&gt;=1,B1727='112'!$K$9,OR($N1727='112'!$I$6,$O1727='112'!$I$6))),"x",""))</f>
        <v/>
      </c>
      <c r="U1727" s="75" t="str">
        <f>IF(ISERROR(FIND('112'!$M$9,G1727,1)),"",IF((AND(LEFT(G1727,2)=LEFT('112'!$M$9,2),B1727&lt;'112'!$K$9,$N1727='112'!$I$6)),"x",""))</f>
        <v/>
      </c>
      <c r="V1727" s="75" t="str">
        <f>IF(ISERROR(FIND('112'!$M$9,G1727,1)),"",IF((AND(RIGHT(G1727,2)=RIGHT('112'!$M$9,2),B1727&lt;'112'!$K$9,$O1727='112'!$I$6)),"x",""))</f>
        <v/>
      </c>
      <c r="W1727" s="75" t="str">
        <f>IF(AND('341-CT'!$H$9=H1727,OR(LEFT(N1727,3)=$W$7,LEFT(O1727,3)=$W$7)),"x","")</f>
        <v/>
      </c>
      <c r="X1727" s="75" t="str">
        <f>IF(OR(TH!N1727=TH!$X$7,O1727=TH!$X$7),"x","")</f>
        <v/>
      </c>
      <c r="Y1727" s="75" t="str">
        <f>IF(AND(OR(N1727="131",O1727="131"),H1727='131-CT'!$H$9),"x","")</f>
        <v/>
      </c>
      <c r="Z1727" s="75"/>
      <c r="AA1727" s="75" t="str">
        <f>IF(AND(MONTH(E1727)='IN-NX'!$J$5,'IN-NX'!$D$7=D1727),"x","")</f>
        <v/>
      </c>
      <c r="AB1727" s="75" t="str">
        <f>IF(AND(OR(LEFT(TH!N1727,2)="15",LEFT(TH!O1727,2)="15"),LEFT(TH!O1727,3)&lt;&gt;"111",'152-CT'!$J$8=TH!F1727),"x","")</f>
        <v/>
      </c>
      <c r="AC1727" s="75" t="str">
        <f>IF(AND(OR(LEFT(TH!N1727,2)="15",LEFT(TH!O1727,2)="15"),TK!$E$7=TH!F1727),"x","")</f>
        <v/>
      </c>
      <c r="AD1727" s="75" t="str">
        <f>IF(AND(N1727="1521",MONTH(C1727)='BK-NL'!$M$11),"x","")</f>
        <v/>
      </c>
    </row>
    <row r="1728" spans="1:30" ht="16.5" customHeight="1">
      <c r="A1728" s="309" t="str">
        <f>IF(B1728&lt;&gt;"",IF(AND(B1728='IN-TC'!$S$4,OR(TH!N1728="1111",TH!O1728="1111")),TH!D1728,""),"")</f>
        <v/>
      </c>
      <c r="B1728" s="1243">
        <f t="shared" si="446"/>
        <v>7</v>
      </c>
      <c r="C1728" s="292">
        <f t="shared" si="447"/>
        <v>42929</v>
      </c>
      <c r="D1728" s="292" t="s">
        <v>2973</v>
      </c>
      <c r="E1728" s="292">
        <v>42929</v>
      </c>
      <c r="F1728" s="425" t="s">
        <v>771</v>
      </c>
      <c r="G1728" s="925"/>
      <c r="H1728" s="425" t="s">
        <v>1882</v>
      </c>
      <c r="I1728" s="373">
        <v>52780</v>
      </c>
      <c r="J1728" s="379">
        <v>18500</v>
      </c>
      <c r="K1728" s="373"/>
      <c r="L1728" s="379"/>
      <c r="M1728" s="927">
        <f t="shared" si="448"/>
        <v>976430000</v>
      </c>
      <c r="N1728" s="295" t="s">
        <v>264</v>
      </c>
      <c r="O1728" s="295" t="s">
        <v>8</v>
      </c>
      <c r="P1728" s="75" t="str">
        <f>IF(AND('331-CT'!$E$7=TH!H1728,OR(N1728="331",O1728="331")),"x","")</f>
        <v/>
      </c>
      <c r="Q1728" s="75" t="str">
        <f>IF(AND(B1728='111'!$L$11,OR($N1728=$Q$7,$O1728=$Q$7)),"x","")</f>
        <v/>
      </c>
      <c r="R1728" s="75" t="str">
        <f>IF(AND($N1728=$Q$7,$B1728&lt;'111'!$L$11),"x","")</f>
        <v/>
      </c>
      <c r="S1728" s="75" t="str">
        <f>IF(AND($O1728=$Q$7,$B1728&lt;'111'!$L$11),"x","")</f>
        <v/>
      </c>
      <c r="T1728" s="75" t="str">
        <f>IF(ISERROR(FIND('112'!$M$9,G1728,1)),"",IF((AND(FIND('112'!$M$9,G1728,1)&gt;=1,B1728='112'!$K$9,OR($N1728='112'!$I$6,$O1728='112'!$I$6))),"x",""))</f>
        <v/>
      </c>
      <c r="U1728" s="75" t="str">
        <f>IF(ISERROR(FIND('112'!$M$9,G1728,1)),"",IF((AND(LEFT(G1728,2)=LEFT('112'!$M$9,2),B1728&lt;'112'!$K$9,$N1728='112'!$I$6)),"x",""))</f>
        <v/>
      </c>
      <c r="V1728" s="75" t="str">
        <f>IF(ISERROR(FIND('112'!$M$9,G1728,1)),"",IF((AND(RIGHT(G1728,2)=RIGHT('112'!$M$9,2),B1728&lt;'112'!$K$9,$O1728='112'!$I$6)),"x",""))</f>
        <v/>
      </c>
      <c r="W1728" s="75" t="str">
        <f>IF(AND('341-CT'!$H$9=H1728,OR(LEFT(N1728,3)=$W$7,LEFT(O1728,3)=$W$7)),"x","")</f>
        <v/>
      </c>
      <c r="X1728" s="75" t="str">
        <f>IF(OR(TH!N1728=TH!$X$7,O1728=TH!$X$7),"x","")</f>
        <v/>
      </c>
      <c r="Y1728" s="75" t="str">
        <f>IF(AND(OR(N1728="131",O1728="131"),H1728='131-CT'!$H$9),"x","")</f>
        <v/>
      </c>
      <c r="Z1728" s="75"/>
      <c r="AA1728" s="75" t="str">
        <f>IF(AND(MONTH(E1728)='IN-NX'!$J$5,'IN-NX'!$D$7=D1728),"x","")</f>
        <v/>
      </c>
      <c r="AB1728" s="75" t="str">
        <f>IF(AND(OR(LEFT(TH!N1728,2)="15",LEFT(TH!O1728,2)="15"),LEFT(TH!O1728,3)&lt;&gt;"111",'152-CT'!$J$8=TH!F1728),"x","")</f>
        <v/>
      </c>
      <c r="AC1728" s="75" t="str">
        <f>IF(AND(OR(LEFT(TH!N1728,2)="15",LEFT(TH!O1728,2)="15"),TK!$E$7=TH!F1728),"x","")</f>
        <v/>
      </c>
      <c r="AD1728" s="75" t="str">
        <f>IF(AND(N1728="1521",MONTH(C1728)='BK-NL'!$M$11),"x","")</f>
        <v/>
      </c>
    </row>
    <row r="1729" spans="1:30" ht="16.5" customHeight="1">
      <c r="A1729" s="309" t="str">
        <f>IF(B1729&lt;&gt;"",IF(AND(B1729='IN-TC'!$S$4,OR(TH!N1729="1111",TH!O1729="1111")),TH!D1729,""),"")</f>
        <v/>
      </c>
      <c r="B1729" s="1243">
        <f t="shared" si="446"/>
        <v>7</v>
      </c>
      <c r="C1729" s="292">
        <f t="shared" si="447"/>
        <v>42929</v>
      </c>
      <c r="D1729" s="292" t="s">
        <v>2974</v>
      </c>
      <c r="E1729" s="292">
        <v>42929</v>
      </c>
      <c r="F1729" s="425" t="s">
        <v>771</v>
      </c>
      <c r="G1729" s="925"/>
      <c r="H1729" s="425" t="s">
        <v>1890</v>
      </c>
      <c r="I1729" s="373">
        <v>53820</v>
      </c>
      <c r="J1729" s="379">
        <v>18500</v>
      </c>
      <c r="K1729" s="373"/>
      <c r="L1729" s="379"/>
      <c r="M1729" s="927">
        <f t="shared" si="448"/>
        <v>995670000</v>
      </c>
      <c r="N1729" s="295" t="s">
        <v>264</v>
      </c>
      <c r="O1729" s="295" t="s">
        <v>8</v>
      </c>
      <c r="P1729" s="75" t="str">
        <f>IF(AND('331-CT'!$E$7=TH!H1729,OR(N1729="331",O1729="331")),"x","")</f>
        <v/>
      </c>
      <c r="Q1729" s="75" t="str">
        <f>IF(AND(B1729='111'!$L$11,OR($N1729=$Q$7,$O1729=$Q$7)),"x","")</f>
        <v/>
      </c>
      <c r="R1729" s="75" t="str">
        <f>IF(AND($N1729=$Q$7,$B1729&lt;'111'!$L$11),"x","")</f>
        <v/>
      </c>
      <c r="S1729" s="75" t="str">
        <f>IF(AND($O1729=$Q$7,$B1729&lt;'111'!$L$11),"x","")</f>
        <v/>
      </c>
      <c r="T1729" s="75" t="str">
        <f>IF(ISERROR(FIND('112'!$M$9,G1729,1)),"",IF((AND(FIND('112'!$M$9,G1729,1)&gt;=1,B1729='112'!$K$9,OR($N1729='112'!$I$6,$O1729='112'!$I$6))),"x",""))</f>
        <v/>
      </c>
      <c r="U1729" s="75" t="str">
        <f>IF(ISERROR(FIND('112'!$M$9,G1729,1)),"",IF((AND(LEFT(G1729,2)=LEFT('112'!$M$9,2),B1729&lt;'112'!$K$9,$N1729='112'!$I$6)),"x",""))</f>
        <v/>
      </c>
      <c r="V1729" s="75" t="str">
        <f>IF(ISERROR(FIND('112'!$M$9,G1729,1)),"",IF((AND(RIGHT(G1729,2)=RIGHT('112'!$M$9,2),B1729&lt;'112'!$K$9,$O1729='112'!$I$6)),"x",""))</f>
        <v/>
      </c>
      <c r="W1729" s="75" t="str">
        <f>IF(AND('341-CT'!$H$9=H1729,OR(LEFT(N1729,3)=$W$7,LEFT(O1729,3)=$W$7)),"x","")</f>
        <v/>
      </c>
      <c r="X1729" s="75" t="str">
        <f>IF(OR(TH!N1729=TH!$X$7,O1729=TH!$X$7),"x","")</f>
        <v/>
      </c>
      <c r="Y1729" s="75" t="str">
        <f>IF(AND(OR(N1729="131",O1729="131"),H1729='131-CT'!$H$9),"x","")</f>
        <v/>
      </c>
      <c r="Z1729" s="75"/>
      <c r="AA1729" s="75" t="str">
        <f>IF(AND(MONTH(E1729)='IN-NX'!$J$5,'IN-NX'!$D$7=D1729),"x","")</f>
        <v/>
      </c>
      <c r="AB1729" s="75" t="str">
        <f>IF(AND(OR(LEFT(TH!N1729,2)="15",LEFT(TH!O1729,2)="15"),LEFT(TH!O1729,3)&lt;&gt;"111",'152-CT'!$J$8=TH!F1729),"x","")</f>
        <v/>
      </c>
      <c r="AC1729" s="75" t="str">
        <f>IF(AND(OR(LEFT(TH!N1729,2)="15",LEFT(TH!O1729,2)="15"),TK!$E$7=TH!F1729),"x","")</f>
        <v/>
      </c>
      <c r="AD1729" s="75" t="str">
        <f>IF(AND(N1729="1521",MONTH(C1729)='BK-NL'!$M$11),"x","")</f>
        <v/>
      </c>
    </row>
    <row r="1730" spans="1:30" ht="16.5" customHeight="1">
      <c r="A1730" s="309" t="str">
        <f>IF(B1730&lt;&gt;"",IF(AND(B1730='IN-TC'!$S$4,OR(TH!N1730="1111",TH!O1730="1111")),TH!D1730,""),"")</f>
        <v/>
      </c>
      <c r="B1730" s="1243">
        <f t="shared" si="446"/>
        <v>7</v>
      </c>
      <c r="C1730" s="292">
        <f t="shared" si="447"/>
        <v>42935</v>
      </c>
      <c r="D1730" s="292" t="s">
        <v>2978</v>
      </c>
      <c r="E1730" s="292">
        <v>42935</v>
      </c>
      <c r="F1730" s="425" t="s">
        <v>771</v>
      </c>
      <c r="G1730" s="925"/>
      <c r="H1730" s="425" t="s">
        <v>1882</v>
      </c>
      <c r="I1730" s="373">
        <v>54860</v>
      </c>
      <c r="J1730" s="379">
        <v>18500</v>
      </c>
      <c r="K1730" s="373"/>
      <c r="L1730" s="379"/>
      <c r="M1730" s="927">
        <f t="shared" si="448"/>
        <v>1014910000</v>
      </c>
      <c r="N1730" s="295" t="s">
        <v>264</v>
      </c>
      <c r="O1730" s="295" t="s">
        <v>8</v>
      </c>
      <c r="P1730" s="75" t="str">
        <f>IF(AND('331-CT'!$E$7=TH!H1730,OR(N1730="331",O1730="331")),"x","")</f>
        <v/>
      </c>
      <c r="Q1730" s="75" t="str">
        <f>IF(AND(B1730='111'!$L$11,OR($N1730=$Q$7,$O1730=$Q$7)),"x","")</f>
        <v/>
      </c>
      <c r="R1730" s="75" t="str">
        <f>IF(AND($N1730=$Q$7,$B1730&lt;'111'!$L$11),"x","")</f>
        <v/>
      </c>
      <c r="S1730" s="75" t="str">
        <f>IF(AND($O1730=$Q$7,$B1730&lt;'111'!$L$11),"x","")</f>
        <v/>
      </c>
      <c r="T1730" s="75" t="str">
        <f>IF(ISERROR(FIND('112'!$M$9,G1730,1)),"",IF((AND(FIND('112'!$M$9,G1730,1)&gt;=1,B1730='112'!$K$9,OR($N1730='112'!$I$6,$O1730='112'!$I$6))),"x",""))</f>
        <v/>
      </c>
      <c r="U1730" s="75" t="str">
        <f>IF(ISERROR(FIND('112'!$M$9,G1730,1)),"",IF((AND(LEFT(G1730,2)=LEFT('112'!$M$9,2),B1730&lt;'112'!$K$9,$N1730='112'!$I$6)),"x",""))</f>
        <v/>
      </c>
      <c r="V1730" s="75" t="str">
        <f>IF(ISERROR(FIND('112'!$M$9,G1730,1)),"",IF((AND(RIGHT(G1730,2)=RIGHT('112'!$M$9,2),B1730&lt;'112'!$K$9,$O1730='112'!$I$6)),"x",""))</f>
        <v/>
      </c>
      <c r="W1730" s="75" t="str">
        <f>IF(AND('341-CT'!$H$9=H1730,OR(LEFT(N1730,3)=$W$7,LEFT(O1730,3)=$W$7)),"x","")</f>
        <v/>
      </c>
      <c r="X1730" s="75" t="str">
        <f>IF(OR(TH!N1730=TH!$X$7,O1730=TH!$X$7),"x","")</f>
        <v/>
      </c>
      <c r="Y1730" s="75" t="str">
        <f>IF(AND(OR(N1730="131",O1730="131"),H1730='131-CT'!$H$9),"x","")</f>
        <v/>
      </c>
      <c r="Z1730" s="75"/>
      <c r="AA1730" s="75" t="str">
        <f>IF(AND(MONTH(E1730)='IN-NX'!$J$5,'IN-NX'!$D$7=D1730),"x","")</f>
        <v/>
      </c>
      <c r="AB1730" s="75" t="str">
        <f>IF(AND(OR(LEFT(TH!N1730,2)="15",LEFT(TH!O1730,2)="15"),LEFT(TH!O1730,3)&lt;&gt;"111",'152-CT'!$J$8=TH!F1730),"x","")</f>
        <v/>
      </c>
      <c r="AC1730" s="75" t="str">
        <f>IF(AND(OR(LEFT(TH!N1730,2)="15",LEFT(TH!O1730,2)="15"),TK!$E$7=TH!F1730),"x","")</f>
        <v/>
      </c>
      <c r="AD1730" s="75" t="str">
        <f>IF(AND(N1730="1521",MONTH(C1730)='BK-NL'!$M$11),"x","")</f>
        <v/>
      </c>
    </row>
    <row r="1731" spans="1:30" ht="16.5" customHeight="1">
      <c r="A1731" s="309" t="str">
        <f>IF(B1731&lt;&gt;"",IF(AND(B1731='IN-TC'!$S$4,OR(TH!N1731="1111",TH!O1731="1111")),TH!D1731,""),"")</f>
        <v/>
      </c>
      <c r="B1731" s="1243">
        <f t="shared" si="446"/>
        <v>7</v>
      </c>
      <c r="C1731" s="292">
        <f t="shared" si="447"/>
        <v>42935</v>
      </c>
      <c r="D1731" s="292" t="s">
        <v>2979</v>
      </c>
      <c r="E1731" s="292">
        <v>42935</v>
      </c>
      <c r="F1731" s="425" t="s">
        <v>771</v>
      </c>
      <c r="G1731" s="925"/>
      <c r="H1731" s="425" t="s">
        <v>1890</v>
      </c>
      <c r="I1731" s="373">
        <v>54230</v>
      </c>
      <c r="J1731" s="379">
        <v>18500</v>
      </c>
      <c r="K1731" s="373"/>
      <c r="L1731" s="379"/>
      <c r="M1731" s="927">
        <f t="shared" si="448"/>
        <v>1003255000</v>
      </c>
      <c r="N1731" s="295" t="s">
        <v>264</v>
      </c>
      <c r="O1731" s="295" t="s">
        <v>8</v>
      </c>
      <c r="P1731" s="75" t="str">
        <f>IF(AND('331-CT'!$E$7=TH!H1731,OR(N1731="331",O1731="331")),"x","")</f>
        <v/>
      </c>
      <c r="Q1731" s="75" t="str">
        <f>IF(AND(B1731='111'!$L$11,OR($N1731=$Q$7,$O1731=$Q$7)),"x","")</f>
        <v/>
      </c>
      <c r="R1731" s="75" t="str">
        <f>IF(AND($N1731=$Q$7,$B1731&lt;'111'!$L$11),"x","")</f>
        <v/>
      </c>
      <c r="S1731" s="75" t="str">
        <f>IF(AND($O1731=$Q$7,$B1731&lt;'111'!$L$11),"x","")</f>
        <v/>
      </c>
      <c r="T1731" s="75" t="str">
        <f>IF(ISERROR(FIND('112'!$M$9,G1731,1)),"",IF((AND(FIND('112'!$M$9,G1731,1)&gt;=1,B1731='112'!$K$9,OR($N1731='112'!$I$6,$O1731='112'!$I$6))),"x",""))</f>
        <v/>
      </c>
      <c r="U1731" s="75" t="str">
        <f>IF(ISERROR(FIND('112'!$M$9,G1731,1)),"",IF((AND(LEFT(G1731,2)=LEFT('112'!$M$9,2),B1731&lt;'112'!$K$9,$N1731='112'!$I$6)),"x",""))</f>
        <v/>
      </c>
      <c r="V1731" s="75" t="str">
        <f>IF(ISERROR(FIND('112'!$M$9,G1731,1)),"",IF((AND(RIGHT(G1731,2)=RIGHT('112'!$M$9,2),B1731&lt;'112'!$K$9,$O1731='112'!$I$6)),"x",""))</f>
        <v/>
      </c>
      <c r="W1731" s="75" t="str">
        <f>IF(AND('341-CT'!$H$9=H1731,OR(LEFT(N1731,3)=$W$7,LEFT(O1731,3)=$W$7)),"x","")</f>
        <v/>
      </c>
      <c r="X1731" s="75" t="str">
        <f>IF(OR(TH!N1731=TH!$X$7,O1731=TH!$X$7),"x","")</f>
        <v/>
      </c>
      <c r="Y1731" s="75" t="str">
        <f>IF(AND(OR(N1731="131",O1731="131"),H1731='131-CT'!$H$9),"x","")</f>
        <v/>
      </c>
      <c r="Z1731" s="75"/>
      <c r="AA1731" s="75" t="str">
        <f>IF(AND(MONTH(E1731)='IN-NX'!$J$5,'IN-NX'!$D$7=D1731),"x","")</f>
        <v/>
      </c>
      <c r="AB1731" s="75" t="str">
        <f>IF(AND(OR(LEFT(TH!N1731,2)="15",LEFT(TH!O1731,2)="15"),LEFT(TH!O1731,3)&lt;&gt;"111",'152-CT'!$J$8=TH!F1731),"x","")</f>
        <v/>
      </c>
      <c r="AC1731" s="75" t="str">
        <f>IF(AND(OR(LEFT(TH!N1731,2)="15",LEFT(TH!O1731,2)="15"),TK!$E$7=TH!F1731),"x","")</f>
        <v/>
      </c>
      <c r="AD1731" s="75" t="str">
        <f>IF(AND(N1731="1521",MONTH(C1731)='BK-NL'!$M$11),"x","")</f>
        <v/>
      </c>
    </row>
    <row r="1732" spans="1:30" ht="16.5" customHeight="1">
      <c r="A1732" s="309" t="str">
        <f>IF(B1732&lt;&gt;"",IF(AND(B1732='IN-TC'!$S$4,OR(TH!N1732="1111",TH!O1732="1111")),TH!D1732,""),"")</f>
        <v/>
      </c>
      <c r="B1732" s="1243">
        <f t="shared" si="442"/>
        <v>7</v>
      </c>
      <c r="C1732" s="292">
        <f t="shared" si="444"/>
        <v>42936</v>
      </c>
      <c r="D1732" s="292" t="s">
        <v>2980</v>
      </c>
      <c r="E1732" s="292">
        <v>42936</v>
      </c>
      <c r="F1732" s="425" t="s">
        <v>771</v>
      </c>
      <c r="G1732" s="925"/>
      <c r="H1732" s="425" t="s">
        <v>1882</v>
      </c>
      <c r="I1732" s="373">
        <v>50430</v>
      </c>
      <c r="J1732" s="379">
        <v>18500</v>
      </c>
      <c r="K1732" s="373"/>
      <c r="L1732" s="379"/>
      <c r="M1732" s="927">
        <f t="shared" si="445"/>
        <v>932955000</v>
      </c>
      <c r="N1732" s="295" t="s">
        <v>264</v>
      </c>
      <c r="O1732" s="295" t="s">
        <v>8</v>
      </c>
      <c r="P1732" s="75" t="str">
        <f>IF(AND('331-CT'!$E$7=TH!H1732,OR(N1732="331",O1732="331")),"x","")</f>
        <v/>
      </c>
      <c r="Q1732" s="75" t="str">
        <f>IF(AND(B1732='111'!$L$11,OR($N1732=$Q$7,$O1732=$Q$7)),"x","")</f>
        <v/>
      </c>
      <c r="R1732" s="75" t="str">
        <f>IF(AND($N1732=$Q$7,$B1732&lt;'111'!$L$11),"x","")</f>
        <v/>
      </c>
      <c r="S1732" s="75" t="str">
        <f>IF(AND($O1732=$Q$7,$B1732&lt;'111'!$L$11),"x","")</f>
        <v/>
      </c>
      <c r="T1732" s="75" t="str">
        <f>IF(ISERROR(FIND('112'!$M$9,G1732,1)),"",IF((AND(FIND('112'!$M$9,G1732,1)&gt;=1,B1732='112'!$K$9,OR($N1732='112'!$I$6,$O1732='112'!$I$6))),"x",""))</f>
        <v/>
      </c>
      <c r="U1732" s="75" t="str">
        <f>IF(ISERROR(FIND('112'!$M$9,G1732,1)),"",IF((AND(LEFT(G1732,2)=LEFT('112'!$M$9,2),B1732&lt;'112'!$K$9,$N1732='112'!$I$6)),"x",""))</f>
        <v/>
      </c>
      <c r="V1732" s="75" t="str">
        <f>IF(ISERROR(FIND('112'!$M$9,G1732,1)),"",IF((AND(RIGHT(G1732,2)=RIGHT('112'!$M$9,2),B1732&lt;'112'!$K$9,$O1732='112'!$I$6)),"x",""))</f>
        <v/>
      </c>
      <c r="W1732" s="75" t="str">
        <f>IF(AND('341-CT'!$H$9=H1732,OR(LEFT(N1732,3)=$W$7,LEFT(O1732,3)=$W$7)),"x","")</f>
        <v/>
      </c>
      <c r="X1732" s="75" t="str">
        <f>IF(OR(TH!N1732=TH!$X$7,O1732=TH!$X$7),"x","")</f>
        <v/>
      </c>
      <c r="Y1732" s="75" t="str">
        <f>IF(AND(OR(N1732="131",O1732="131"),H1732='131-CT'!$H$9),"x","")</f>
        <v/>
      </c>
      <c r="Z1732" s="75"/>
      <c r="AA1732" s="75" t="str">
        <f>IF(AND(MONTH(E1732)='IN-NX'!$J$5,'IN-NX'!$D$7=D1732),"x","")</f>
        <v/>
      </c>
      <c r="AB1732" s="75" t="str">
        <f>IF(AND(OR(LEFT(TH!N1732,2)="15",LEFT(TH!O1732,2)="15"),LEFT(TH!O1732,3)&lt;&gt;"111",'152-CT'!$J$8=TH!F1732),"x","")</f>
        <v/>
      </c>
      <c r="AC1732" s="75" t="str">
        <f>IF(AND(OR(LEFT(TH!N1732,2)="15",LEFT(TH!O1732,2)="15"),TK!$E$7=TH!F1732),"x","")</f>
        <v/>
      </c>
      <c r="AD1732" s="75" t="str">
        <f>IF(AND(N1732="1521",MONTH(C1732)='BK-NL'!$M$11),"x","")</f>
        <v/>
      </c>
    </row>
    <row r="1733" spans="1:30" ht="16.5" customHeight="1">
      <c r="A1733" s="309" t="str">
        <f>IF(B1733&lt;&gt;"",IF(AND(B1733='IN-TC'!$S$4,OR(TH!N1733="1111",TH!O1733="1111")),TH!D1733,""),"")</f>
        <v/>
      </c>
      <c r="B1733" s="1243">
        <f t="shared" si="442"/>
        <v>7</v>
      </c>
      <c r="C1733" s="292">
        <f t="shared" si="444"/>
        <v>42936</v>
      </c>
      <c r="D1733" s="292" t="s">
        <v>2981</v>
      </c>
      <c r="E1733" s="292">
        <v>42936</v>
      </c>
      <c r="F1733" s="425" t="s">
        <v>771</v>
      </c>
      <c r="G1733" s="925"/>
      <c r="H1733" s="425" t="s">
        <v>1890</v>
      </c>
      <c r="I1733" s="373">
        <v>54600</v>
      </c>
      <c r="J1733" s="379">
        <v>18500</v>
      </c>
      <c r="K1733" s="373"/>
      <c r="L1733" s="379"/>
      <c r="M1733" s="927">
        <f t="shared" si="445"/>
        <v>1010100000</v>
      </c>
      <c r="N1733" s="295" t="s">
        <v>264</v>
      </c>
      <c r="O1733" s="295" t="s">
        <v>8</v>
      </c>
      <c r="P1733" s="75" t="str">
        <f>IF(AND('331-CT'!$E$7=TH!H1733,OR(N1733="331",O1733="331")),"x","")</f>
        <v/>
      </c>
      <c r="Q1733" s="75" t="str">
        <f>IF(AND(B1733='111'!$L$11,OR($N1733=$Q$7,$O1733=$Q$7)),"x","")</f>
        <v/>
      </c>
      <c r="R1733" s="75" t="str">
        <f>IF(AND($N1733=$Q$7,$B1733&lt;'111'!$L$11),"x","")</f>
        <v/>
      </c>
      <c r="S1733" s="75" t="str">
        <f>IF(AND($O1733=$Q$7,$B1733&lt;'111'!$L$11),"x","")</f>
        <v/>
      </c>
      <c r="T1733" s="75" t="str">
        <f>IF(ISERROR(FIND('112'!$M$9,G1733,1)),"",IF((AND(FIND('112'!$M$9,G1733,1)&gt;=1,B1733='112'!$K$9,OR($N1733='112'!$I$6,$O1733='112'!$I$6))),"x",""))</f>
        <v/>
      </c>
      <c r="U1733" s="75" t="str">
        <f>IF(ISERROR(FIND('112'!$M$9,G1733,1)),"",IF((AND(LEFT(G1733,2)=LEFT('112'!$M$9,2),B1733&lt;'112'!$K$9,$N1733='112'!$I$6)),"x",""))</f>
        <v/>
      </c>
      <c r="V1733" s="75" t="str">
        <f>IF(ISERROR(FIND('112'!$M$9,G1733,1)),"",IF((AND(RIGHT(G1733,2)=RIGHT('112'!$M$9,2),B1733&lt;'112'!$K$9,$O1733='112'!$I$6)),"x",""))</f>
        <v/>
      </c>
      <c r="W1733" s="75" t="str">
        <f>IF(AND('341-CT'!$H$9=H1733,OR(LEFT(N1733,3)=$W$7,LEFT(O1733,3)=$W$7)),"x","")</f>
        <v/>
      </c>
      <c r="X1733" s="75" t="str">
        <f>IF(OR(TH!N1733=TH!$X$7,O1733=TH!$X$7),"x","")</f>
        <v/>
      </c>
      <c r="Y1733" s="75" t="str">
        <f>IF(AND(OR(N1733="131",O1733="131"),H1733='131-CT'!$H$9),"x","")</f>
        <v/>
      </c>
      <c r="Z1733" s="75"/>
      <c r="AA1733" s="75" t="str">
        <f>IF(AND(MONTH(E1733)='IN-NX'!$J$5,'IN-NX'!$D$7=D1733),"x","")</f>
        <v/>
      </c>
      <c r="AB1733" s="75" t="str">
        <f>IF(AND(OR(LEFT(TH!N1733,2)="15",LEFT(TH!O1733,2)="15"),LEFT(TH!O1733,3)&lt;&gt;"111",'152-CT'!$J$8=TH!F1733),"x","")</f>
        <v/>
      </c>
      <c r="AC1733" s="75" t="str">
        <f>IF(AND(OR(LEFT(TH!N1733,2)="15",LEFT(TH!O1733,2)="15"),TK!$E$7=TH!F1733),"x","")</f>
        <v/>
      </c>
      <c r="AD1733" s="75" t="str">
        <f>IF(AND(N1733="1521",MONTH(C1733)='BK-NL'!$M$11),"x","")</f>
        <v/>
      </c>
    </row>
    <row r="1734" spans="1:30" ht="16.5" customHeight="1">
      <c r="A1734" s="309" t="str">
        <f>IF(B1734&lt;&gt;"",IF(AND(B1734='IN-TC'!$S$4,OR(TH!N1734="1111",TH!O1734="1111")),TH!D1734,""),"")</f>
        <v/>
      </c>
      <c r="B1734" s="1243">
        <f t="shared" si="442"/>
        <v>7</v>
      </c>
      <c r="C1734" s="292">
        <f t="shared" si="444"/>
        <v>42939</v>
      </c>
      <c r="D1734" s="292" t="s">
        <v>2983</v>
      </c>
      <c r="E1734" s="292">
        <v>42939</v>
      </c>
      <c r="F1734" s="425" t="s">
        <v>771</v>
      </c>
      <c r="G1734" s="925"/>
      <c r="H1734" s="425" t="s">
        <v>1882</v>
      </c>
      <c r="I1734" s="373">
        <v>50423</v>
      </c>
      <c r="J1734" s="379">
        <v>18500</v>
      </c>
      <c r="K1734" s="373"/>
      <c r="L1734" s="379"/>
      <c r="M1734" s="927">
        <f t="shared" si="445"/>
        <v>932825500</v>
      </c>
      <c r="N1734" s="295" t="s">
        <v>264</v>
      </c>
      <c r="O1734" s="295" t="s">
        <v>8</v>
      </c>
      <c r="P1734" s="75" t="str">
        <f>IF(AND('331-CT'!$E$7=TH!H1734,OR(N1734="331",O1734="331")),"x","")</f>
        <v/>
      </c>
      <c r="Q1734" s="75" t="str">
        <f>IF(AND(B1734='111'!$L$11,OR($N1734=$Q$7,$O1734=$Q$7)),"x","")</f>
        <v/>
      </c>
      <c r="R1734" s="75" t="str">
        <f>IF(AND($N1734=$Q$7,$B1734&lt;'111'!$L$11),"x","")</f>
        <v/>
      </c>
      <c r="S1734" s="75" t="str">
        <f>IF(AND($O1734=$Q$7,$B1734&lt;'111'!$L$11),"x","")</f>
        <v/>
      </c>
      <c r="T1734" s="75" t="str">
        <f>IF(ISERROR(FIND('112'!$M$9,G1734,1)),"",IF((AND(FIND('112'!$M$9,G1734,1)&gt;=1,B1734='112'!$K$9,OR($N1734='112'!$I$6,$O1734='112'!$I$6))),"x",""))</f>
        <v/>
      </c>
      <c r="U1734" s="75" t="str">
        <f>IF(ISERROR(FIND('112'!$M$9,G1734,1)),"",IF((AND(LEFT(G1734,2)=LEFT('112'!$M$9,2),B1734&lt;'112'!$K$9,$N1734='112'!$I$6)),"x",""))</f>
        <v/>
      </c>
      <c r="V1734" s="75" t="str">
        <f>IF(ISERROR(FIND('112'!$M$9,G1734,1)),"",IF((AND(RIGHT(G1734,2)=RIGHT('112'!$M$9,2),B1734&lt;'112'!$K$9,$O1734='112'!$I$6)),"x",""))</f>
        <v/>
      </c>
      <c r="W1734" s="75" t="str">
        <f>IF(AND('341-CT'!$H$9=H1734,OR(LEFT(N1734,3)=$W$7,LEFT(O1734,3)=$W$7)),"x","")</f>
        <v/>
      </c>
      <c r="X1734" s="75" t="str">
        <f>IF(OR(TH!N1734=TH!$X$7,O1734=TH!$X$7),"x","")</f>
        <v/>
      </c>
      <c r="Y1734" s="75" t="str">
        <f>IF(AND(OR(N1734="131",O1734="131"),H1734='131-CT'!$H$9),"x","")</f>
        <v/>
      </c>
      <c r="Z1734" s="75"/>
      <c r="AA1734" s="75" t="str">
        <f>IF(AND(MONTH(E1734)='IN-NX'!$J$5,'IN-NX'!$D$7=D1734),"x","")</f>
        <v/>
      </c>
      <c r="AB1734" s="75" t="str">
        <f>IF(AND(OR(LEFT(TH!N1734,2)="15",LEFT(TH!O1734,2)="15"),LEFT(TH!O1734,3)&lt;&gt;"111",'152-CT'!$J$8=TH!F1734),"x","")</f>
        <v/>
      </c>
      <c r="AC1734" s="75" t="str">
        <f>IF(AND(OR(LEFT(TH!N1734,2)="15",LEFT(TH!O1734,2)="15"),TK!$E$7=TH!F1734),"x","")</f>
        <v/>
      </c>
      <c r="AD1734" s="75" t="str">
        <f>IF(AND(N1734="1521",MONTH(C1734)='BK-NL'!$M$11),"x","")</f>
        <v/>
      </c>
    </row>
    <row r="1735" spans="1:30" ht="16.5" customHeight="1">
      <c r="A1735" s="309" t="str">
        <f>IF(B1735&lt;&gt;"",IF(AND(B1735='IN-TC'!$S$4,OR(TH!N1735="1111",TH!O1735="1111")),TH!D1735,""),"")</f>
        <v/>
      </c>
      <c r="B1735" s="1243">
        <f t="shared" ref="B1735" si="449">IF(C1735&lt;&gt;"",MONTH(C1735),"")</f>
        <v>7</v>
      </c>
      <c r="C1735" s="292">
        <f t="shared" ref="C1735" si="450">E1735</f>
        <v>42939</v>
      </c>
      <c r="D1735" s="292" t="s">
        <v>2984</v>
      </c>
      <c r="E1735" s="292">
        <v>42939</v>
      </c>
      <c r="F1735" s="425" t="s">
        <v>771</v>
      </c>
      <c r="G1735" s="925"/>
      <c r="H1735" s="425" t="s">
        <v>1890</v>
      </c>
      <c r="I1735" s="373">
        <v>50423</v>
      </c>
      <c r="J1735" s="379">
        <v>18500</v>
      </c>
      <c r="K1735" s="373"/>
      <c r="L1735" s="379"/>
      <c r="M1735" s="927">
        <f t="shared" ref="M1735" si="451">ROUND(I1735*J1735,0)</f>
        <v>932825500</v>
      </c>
      <c r="N1735" s="295" t="s">
        <v>264</v>
      </c>
      <c r="O1735" s="295" t="s">
        <v>8</v>
      </c>
      <c r="P1735" s="75" t="str">
        <f>IF(AND('331-CT'!$E$7=TH!H1735,OR(N1735="331",O1735="331")),"x","")</f>
        <v/>
      </c>
      <c r="Q1735" s="75" t="str">
        <f>IF(AND(B1735='111'!$L$11,OR($N1735=$Q$7,$O1735=$Q$7)),"x","")</f>
        <v/>
      </c>
      <c r="R1735" s="75" t="str">
        <f>IF(AND($N1735=$Q$7,$B1735&lt;'111'!$L$11),"x","")</f>
        <v/>
      </c>
      <c r="S1735" s="75" t="str">
        <f>IF(AND($O1735=$Q$7,$B1735&lt;'111'!$L$11),"x","")</f>
        <v/>
      </c>
      <c r="T1735" s="75" t="str">
        <f>IF(ISERROR(FIND('112'!$M$9,G1735,1)),"",IF((AND(FIND('112'!$M$9,G1735,1)&gt;=1,B1735='112'!$K$9,OR($N1735='112'!$I$6,$O1735='112'!$I$6))),"x",""))</f>
        <v/>
      </c>
      <c r="U1735" s="75" t="str">
        <f>IF(ISERROR(FIND('112'!$M$9,G1735,1)),"",IF((AND(LEFT(G1735,2)=LEFT('112'!$M$9,2),B1735&lt;'112'!$K$9,$N1735='112'!$I$6)),"x",""))</f>
        <v/>
      </c>
      <c r="V1735" s="75" t="str">
        <f>IF(ISERROR(FIND('112'!$M$9,G1735,1)),"",IF((AND(RIGHT(G1735,2)=RIGHT('112'!$M$9,2),B1735&lt;'112'!$K$9,$O1735='112'!$I$6)),"x",""))</f>
        <v/>
      </c>
      <c r="W1735" s="75" t="str">
        <f>IF(AND('341-CT'!$H$9=H1735,OR(LEFT(N1735,3)=$W$7,LEFT(O1735,3)=$W$7)),"x","")</f>
        <v/>
      </c>
      <c r="X1735" s="75" t="str">
        <f>IF(OR(TH!N1735=TH!$X$7,O1735=TH!$X$7),"x","")</f>
        <v/>
      </c>
      <c r="Y1735" s="75" t="str">
        <f>IF(AND(OR(N1735="131",O1735="131"),H1735='131-CT'!$H$9),"x","")</f>
        <v/>
      </c>
      <c r="Z1735" s="75"/>
      <c r="AA1735" s="75" t="str">
        <f>IF(AND(MONTH(E1735)='IN-NX'!$J$5,'IN-NX'!$D$7=D1735),"x","")</f>
        <v/>
      </c>
      <c r="AB1735" s="75" t="str">
        <f>IF(AND(OR(LEFT(TH!N1735,2)="15",LEFT(TH!O1735,2)="15"),LEFT(TH!O1735,3)&lt;&gt;"111",'152-CT'!$J$8=TH!F1735),"x","")</f>
        <v/>
      </c>
      <c r="AC1735" s="75" t="str">
        <f>IF(AND(OR(LEFT(TH!N1735,2)="15",LEFT(TH!O1735,2)="15"),TK!$E$7=TH!F1735),"x","")</f>
        <v/>
      </c>
      <c r="AD1735" s="75" t="str">
        <f>IF(AND(N1735="1521",MONTH(C1735)='BK-NL'!$M$11),"x","")</f>
        <v/>
      </c>
    </row>
    <row r="1736" spans="1:30" ht="16.5" customHeight="1">
      <c r="A1736" s="309" t="str">
        <f>IF(B1736&lt;&gt;"",IF(AND(B1736='IN-TC'!$S$4,OR(TH!N1736="1111",TH!O1736="1111")),TH!D1736,""),"")</f>
        <v/>
      </c>
      <c r="B1736" s="1243">
        <f t="shared" si="442"/>
        <v>7</v>
      </c>
      <c r="C1736" s="292">
        <f t="shared" si="444"/>
        <v>42942</v>
      </c>
      <c r="D1736" s="292" t="s">
        <v>2985</v>
      </c>
      <c r="E1736" s="292">
        <v>42942</v>
      </c>
      <c r="F1736" s="425" t="s">
        <v>771</v>
      </c>
      <c r="G1736" s="925"/>
      <c r="H1736" s="425" t="s">
        <v>1882</v>
      </c>
      <c r="I1736" s="373">
        <f>792842-SUM(I1722:I1735)</f>
        <v>55096</v>
      </c>
      <c r="J1736" s="379">
        <v>18500</v>
      </c>
      <c r="K1736" s="373"/>
      <c r="L1736" s="379"/>
      <c r="M1736" s="927">
        <f t="shared" si="445"/>
        <v>1019276000</v>
      </c>
      <c r="N1736" s="295" t="s">
        <v>264</v>
      </c>
      <c r="O1736" s="295" t="s">
        <v>8</v>
      </c>
      <c r="P1736" s="75" t="str">
        <f>IF(AND('331-CT'!$E$7=TH!H1736,OR(N1736="331",O1736="331")),"x","")</f>
        <v/>
      </c>
      <c r="Q1736" s="75" t="str">
        <f>IF(AND(B1736='111'!$L$11,OR($N1736=$Q$7,$O1736=$Q$7)),"x","")</f>
        <v/>
      </c>
      <c r="R1736" s="75" t="str">
        <f>IF(AND($N1736=$Q$7,$B1736&lt;'111'!$L$11),"x","")</f>
        <v/>
      </c>
      <c r="S1736" s="75" t="str">
        <f>IF(AND($O1736=$Q$7,$B1736&lt;'111'!$L$11),"x","")</f>
        <v/>
      </c>
      <c r="T1736" s="75" t="str">
        <f>IF(ISERROR(FIND('112'!$M$9,G1736,1)),"",IF((AND(FIND('112'!$M$9,G1736,1)&gt;=1,B1736='112'!$K$9,OR($N1736='112'!$I$6,$O1736='112'!$I$6))),"x",""))</f>
        <v/>
      </c>
      <c r="U1736" s="75" t="str">
        <f>IF(ISERROR(FIND('112'!$M$9,G1736,1)),"",IF((AND(LEFT(G1736,2)=LEFT('112'!$M$9,2),B1736&lt;'112'!$K$9,$N1736='112'!$I$6)),"x",""))</f>
        <v/>
      </c>
      <c r="V1736" s="75" t="str">
        <f>IF(ISERROR(FIND('112'!$M$9,G1736,1)),"",IF((AND(RIGHT(G1736,2)=RIGHT('112'!$M$9,2),B1736&lt;'112'!$K$9,$O1736='112'!$I$6)),"x",""))</f>
        <v/>
      </c>
      <c r="W1736" s="75" t="str">
        <f>IF(AND('341-CT'!$H$9=H1736,OR(LEFT(N1736,3)=$W$7,LEFT(O1736,3)=$W$7)),"x","")</f>
        <v/>
      </c>
      <c r="X1736" s="75" t="str">
        <f>IF(OR(TH!N1736=TH!$X$7,O1736=TH!$X$7),"x","")</f>
        <v/>
      </c>
      <c r="Y1736" s="75" t="str">
        <f>IF(AND(OR(N1736="131",O1736="131"),H1736='131-CT'!$H$9),"x","")</f>
        <v/>
      </c>
      <c r="Z1736" s="75"/>
      <c r="AA1736" s="75" t="str">
        <f>IF(AND(MONTH(E1736)='IN-NX'!$J$5,'IN-NX'!$D$7=D1736),"x","")</f>
        <v/>
      </c>
      <c r="AB1736" s="75" t="str">
        <f>IF(AND(OR(LEFT(TH!N1736,2)="15",LEFT(TH!O1736,2)="15"),LEFT(TH!O1736,3)&lt;&gt;"111",'152-CT'!$J$8=TH!F1736),"x","")</f>
        <v/>
      </c>
      <c r="AC1736" s="75" t="str">
        <f>IF(AND(OR(LEFT(TH!N1736,2)="15",LEFT(TH!O1736,2)="15"),TK!$E$7=TH!F1736),"x","")</f>
        <v/>
      </c>
      <c r="AD1736" s="75" t="str">
        <f>IF(AND(N1736="1521",MONTH(C1736)='BK-NL'!$M$11),"x","")</f>
        <v/>
      </c>
    </row>
    <row r="1737" spans="1:30" ht="16.5" customHeight="1">
      <c r="A1737" s="309" t="str">
        <f>IF(B1737&lt;&gt;"",IF(AND(B1737='IN-TC'!$S$4,OR(TH!N1737="1111",TH!O1737="1111")),TH!D1737,""),"")</f>
        <v/>
      </c>
      <c r="B1737" s="1243">
        <f t="shared" si="442"/>
        <v>7</v>
      </c>
      <c r="C1737" s="292">
        <f t="shared" si="444"/>
        <v>42917</v>
      </c>
      <c r="D1737" s="292" t="s">
        <v>2959</v>
      </c>
      <c r="E1737" s="292">
        <v>42917</v>
      </c>
      <c r="F1737" s="425" t="s">
        <v>566</v>
      </c>
      <c r="G1737" s="925"/>
      <c r="H1737" s="429" t="s">
        <v>420</v>
      </c>
      <c r="I1737" s="373">
        <v>22450</v>
      </c>
      <c r="J1737" s="379">
        <v>15400</v>
      </c>
      <c r="K1737" s="373"/>
      <c r="L1737" s="379"/>
      <c r="M1737" s="927">
        <f t="shared" si="445"/>
        <v>345730000</v>
      </c>
      <c r="N1737" s="295" t="s">
        <v>264</v>
      </c>
      <c r="O1737" s="295" t="s">
        <v>8</v>
      </c>
      <c r="P1737" s="75" t="str">
        <f>IF(AND('331-CT'!$E$7=TH!H1737,OR(N1737="331",O1737="331")),"x","")</f>
        <v/>
      </c>
      <c r="Q1737" s="75" t="str">
        <f>IF(AND(B1737='111'!$L$11,OR($N1737=$Q$7,$O1737=$Q$7)),"x","")</f>
        <v/>
      </c>
      <c r="R1737" s="75" t="str">
        <f>IF(AND($N1737=$Q$7,$B1737&lt;'111'!$L$11),"x","")</f>
        <v/>
      </c>
      <c r="S1737" s="75" t="str">
        <f>IF(AND($O1737=$Q$7,$B1737&lt;'111'!$L$11),"x","")</f>
        <v/>
      </c>
      <c r="T1737" s="75" t="str">
        <f>IF(ISERROR(FIND('112'!$M$9,G1737,1)),"",IF((AND(FIND('112'!$M$9,G1737,1)&gt;=1,B1737='112'!$K$9,OR($N1737='112'!$I$6,$O1737='112'!$I$6))),"x",""))</f>
        <v/>
      </c>
      <c r="U1737" s="75" t="str">
        <f>IF(ISERROR(FIND('112'!$M$9,G1737,1)),"",IF((AND(LEFT(G1737,2)=LEFT('112'!$M$9,2),B1737&lt;'112'!$K$9,$N1737='112'!$I$6)),"x",""))</f>
        <v/>
      </c>
      <c r="V1737" s="75" t="str">
        <f>IF(ISERROR(FIND('112'!$M$9,G1737,1)),"",IF((AND(RIGHT(G1737,2)=RIGHT('112'!$M$9,2),B1737&lt;'112'!$K$9,$O1737='112'!$I$6)),"x",""))</f>
        <v/>
      </c>
      <c r="W1737" s="75" t="str">
        <f>IF(AND('341-CT'!$H$9=H1737,OR(LEFT(N1737,3)=$W$7,LEFT(O1737,3)=$W$7)),"x","")</f>
        <v/>
      </c>
      <c r="X1737" s="75" t="str">
        <f>IF(OR(TH!N1737=TH!$X$7,O1737=TH!$X$7),"x","")</f>
        <v/>
      </c>
      <c r="Y1737" s="75" t="str">
        <f>IF(AND(OR(N1737="131",O1737="131"),H1737='131-CT'!$H$9),"x","")</f>
        <v/>
      </c>
      <c r="Z1737" s="75"/>
      <c r="AA1737" s="75" t="str">
        <f>IF(AND(MONTH(E1737)='IN-NX'!$J$5,'IN-NX'!$D$7=D1737),"x","")</f>
        <v/>
      </c>
      <c r="AB1737" s="75" t="str">
        <f>IF(AND(OR(LEFT(TH!N1737,2)="15",LEFT(TH!O1737,2)="15"),LEFT(TH!O1737,3)&lt;&gt;"111",'152-CT'!$J$8=TH!F1737),"x","")</f>
        <v/>
      </c>
      <c r="AC1737" s="75" t="str">
        <f>IF(AND(OR(LEFT(TH!N1737,2)="15",LEFT(TH!O1737,2)="15"),TK!$E$7=TH!F1737),"x","")</f>
        <v/>
      </c>
      <c r="AD1737" s="75" t="str">
        <f>IF(AND(N1737="1521",MONTH(C1737)='BK-NL'!$M$11),"x","")</f>
        <v/>
      </c>
    </row>
    <row r="1738" spans="1:30" ht="16.5" customHeight="1">
      <c r="A1738" s="309" t="str">
        <f>IF(B1738&lt;&gt;"",IF(AND(B1738='IN-TC'!$S$4,OR(TH!N1738="1111",TH!O1738="1111")),TH!D1738,""),"")</f>
        <v/>
      </c>
      <c r="B1738" s="1243">
        <f t="shared" si="442"/>
        <v>7</v>
      </c>
      <c r="C1738" s="292">
        <f t="shared" si="444"/>
        <v>42917</v>
      </c>
      <c r="D1738" s="292" t="s">
        <v>2960</v>
      </c>
      <c r="E1738" s="292">
        <v>42917</v>
      </c>
      <c r="F1738" s="425" t="s">
        <v>566</v>
      </c>
      <c r="G1738" s="925"/>
      <c r="H1738" s="435" t="s">
        <v>422</v>
      </c>
      <c r="I1738" s="373">
        <v>22150</v>
      </c>
      <c r="J1738" s="379">
        <v>15400</v>
      </c>
      <c r="K1738" s="373"/>
      <c r="L1738" s="379"/>
      <c r="M1738" s="927">
        <f t="shared" si="445"/>
        <v>341110000</v>
      </c>
      <c r="N1738" s="295" t="s">
        <v>264</v>
      </c>
      <c r="O1738" s="295" t="s">
        <v>8</v>
      </c>
      <c r="P1738" s="75" t="str">
        <f>IF(AND('331-CT'!$E$7=TH!H1738,OR(N1738="331",O1738="331")),"x","")</f>
        <v/>
      </c>
      <c r="Q1738" s="75" t="str">
        <f>IF(AND(B1738='111'!$L$11,OR($N1738=$Q$7,$O1738=$Q$7)),"x","")</f>
        <v/>
      </c>
      <c r="R1738" s="75" t="str">
        <f>IF(AND($N1738=$Q$7,$B1738&lt;'111'!$L$11),"x","")</f>
        <v/>
      </c>
      <c r="S1738" s="75" t="str">
        <f>IF(AND($O1738=$Q$7,$B1738&lt;'111'!$L$11),"x","")</f>
        <v/>
      </c>
      <c r="T1738" s="75" t="str">
        <f>IF(ISERROR(FIND('112'!$M$9,G1738,1)),"",IF((AND(FIND('112'!$M$9,G1738,1)&gt;=1,B1738='112'!$K$9,OR($N1738='112'!$I$6,$O1738='112'!$I$6))),"x",""))</f>
        <v/>
      </c>
      <c r="U1738" s="75" t="str">
        <f>IF(ISERROR(FIND('112'!$M$9,G1738,1)),"",IF((AND(LEFT(G1738,2)=LEFT('112'!$M$9,2),B1738&lt;'112'!$K$9,$N1738='112'!$I$6)),"x",""))</f>
        <v/>
      </c>
      <c r="V1738" s="75" t="str">
        <f>IF(ISERROR(FIND('112'!$M$9,G1738,1)),"",IF((AND(RIGHT(G1738,2)=RIGHT('112'!$M$9,2),B1738&lt;'112'!$K$9,$O1738='112'!$I$6)),"x",""))</f>
        <v/>
      </c>
      <c r="W1738" s="75" t="str">
        <f>IF(AND('341-CT'!$H$9=H1738,OR(LEFT(N1738,3)=$W$7,LEFT(O1738,3)=$W$7)),"x","")</f>
        <v/>
      </c>
      <c r="X1738" s="75" t="str">
        <f>IF(OR(TH!N1738=TH!$X$7,O1738=TH!$X$7),"x","")</f>
        <v/>
      </c>
      <c r="Y1738" s="75" t="str">
        <f>IF(AND(OR(N1738="131",O1738="131"),H1738='131-CT'!$H$9),"x","")</f>
        <v/>
      </c>
      <c r="Z1738" s="75"/>
      <c r="AA1738" s="75" t="str">
        <f>IF(AND(MONTH(E1738)='IN-NX'!$J$5,'IN-NX'!$D$7=D1738),"x","")</f>
        <v/>
      </c>
      <c r="AB1738" s="75" t="str">
        <f>IF(AND(OR(LEFT(TH!N1738,2)="15",LEFT(TH!O1738,2)="15"),LEFT(TH!O1738,3)&lt;&gt;"111",'152-CT'!$J$8=TH!F1738),"x","")</f>
        <v/>
      </c>
      <c r="AC1738" s="75" t="str">
        <f>IF(AND(OR(LEFT(TH!N1738,2)="15",LEFT(TH!O1738,2)="15"),TK!$E$7=TH!F1738),"x","")</f>
        <v/>
      </c>
      <c r="AD1738" s="75" t="str">
        <f>IF(AND(N1738="1521",MONTH(C1738)='BK-NL'!$M$11),"x","")</f>
        <v/>
      </c>
    </row>
    <row r="1739" spans="1:30" ht="16.5" customHeight="1">
      <c r="A1739" s="309" t="str">
        <f>IF(B1739&lt;&gt;"",IF(AND(B1739='IN-TC'!$S$4,OR(TH!N1739="1111",TH!O1739="1111")),TH!D1739,""),"")</f>
        <v/>
      </c>
      <c r="B1739" s="1243">
        <f t="shared" si="442"/>
        <v>7</v>
      </c>
      <c r="C1739" s="292">
        <f t="shared" si="444"/>
        <v>42921</v>
      </c>
      <c r="D1739" s="292" t="s">
        <v>2961</v>
      </c>
      <c r="E1739" s="292">
        <v>42921</v>
      </c>
      <c r="F1739" s="425" t="s">
        <v>566</v>
      </c>
      <c r="G1739" s="925"/>
      <c r="H1739" s="429" t="s">
        <v>419</v>
      </c>
      <c r="I1739" s="373">
        <v>23450</v>
      </c>
      <c r="J1739" s="379">
        <v>15400</v>
      </c>
      <c r="K1739" s="373"/>
      <c r="L1739" s="379"/>
      <c r="M1739" s="927">
        <f t="shared" si="445"/>
        <v>361130000</v>
      </c>
      <c r="N1739" s="295" t="s">
        <v>264</v>
      </c>
      <c r="O1739" s="295" t="s">
        <v>8</v>
      </c>
      <c r="P1739" s="75" t="str">
        <f>IF(AND('331-CT'!$E$7=TH!H1739,OR(N1739="331",O1739="331")),"x","")</f>
        <v/>
      </c>
      <c r="Q1739" s="75" t="str">
        <f>IF(AND(B1739='111'!$L$11,OR($N1739=$Q$7,$O1739=$Q$7)),"x","")</f>
        <v/>
      </c>
      <c r="R1739" s="75" t="str">
        <f>IF(AND($N1739=$Q$7,$B1739&lt;'111'!$L$11),"x","")</f>
        <v/>
      </c>
      <c r="S1739" s="75" t="str">
        <f>IF(AND($O1739=$Q$7,$B1739&lt;'111'!$L$11),"x","")</f>
        <v/>
      </c>
      <c r="T1739" s="75" t="str">
        <f>IF(ISERROR(FIND('112'!$M$9,G1739,1)),"",IF((AND(FIND('112'!$M$9,G1739,1)&gt;=1,B1739='112'!$K$9,OR($N1739='112'!$I$6,$O1739='112'!$I$6))),"x",""))</f>
        <v/>
      </c>
      <c r="U1739" s="75" t="str">
        <f>IF(ISERROR(FIND('112'!$M$9,G1739,1)),"",IF((AND(LEFT(G1739,2)=LEFT('112'!$M$9,2),B1739&lt;'112'!$K$9,$N1739='112'!$I$6)),"x",""))</f>
        <v/>
      </c>
      <c r="V1739" s="75" t="str">
        <f>IF(ISERROR(FIND('112'!$M$9,G1739,1)),"",IF((AND(RIGHT(G1739,2)=RIGHT('112'!$M$9,2),B1739&lt;'112'!$K$9,$O1739='112'!$I$6)),"x",""))</f>
        <v/>
      </c>
      <c r="W1739" s="75" t="str">
        <f>IF(AND('341-CT'!$H$9=H1739,OR(LEFT(N1739,3)=$W$7,LEFT(O1739,3)=$W$7)),"x","")</f>
        <v/>
      </c>
      <c r="X1739" s="75" t="str">
        <f>IF(OR(TH!N1739=TH!$X$7,O1739=TH!$X$7),"x","")</f>
        <v/>
      </c>
      <c r="Y1739" s="75" t="str">
        <f>IF(AND(OR(N1739="131",O1739="131"),H1739='131-CT'!$H$9),"x","")</f>
        <v/>
      </c>
      <c r="Z1739" s="75"/>
      <c r="AA1739" s="75" t="str">
        <f>IF(AND(MONTH(E1739)='IN-NX'!$J$5,'IN-NX'!$D$7=D1739),"x","")</f>
        <v/>
      </c>
      <c r="AB1739" s="75" t="str">
        <f>IF(AND(OR(LEFT(TH!N1739,2)="15",LEFT(TH!O1739,2)="15"),LEFT(TH!O1739,3)&lt;&gt;"111",'152-CT'!$J$8=TH!F1739),"x","")</f>
        <v/>
      </c>
      <c r="AC1739" s="75" t="str">
        <f>IF(AND(OR(LEFT(TH!N1739,2)="15",LEFT(TH!O1739,2)="15"),TK!$E$7=TH!F1739),"x","")</f>
        <v/>
      </c>
      <c r="AD1739" s="75" t="str">
        <f>IF(AND(N1739="1521",MONTH(C1739)='BK-NL'!$M$11),"x","")</f>
        <v/>
      </c>
    </row>
    <row r="1740" spans="1:30" ht="16.5" customHeight="1">
      <c r="A1740" s="309" t="str">
        <f>IF(B1740&lt;&gt;"",IF(AND(B1740='IN-TC'!$S$4,OR(TH!N1740="1111",TH!O1740="1111")),TH!D1740,""),"")</f>
        <v/>
      </c>
      <c r="B1740" s="1243">
        <f t="shared" si="442"/>
        <v>7</v>
      </c>
      <c r="C1740" s="292">
        <f t="shared" si="444"/>
        <v>42921</v>
      </c>
      <c r="D1740" s="292" t="s">
        <v>2962</v>
      </c>
      <c r="E1740" s="292">
        <v>42921</v>
      </c>
      <c r="F1740" s="425" t="s">
        <v>566</v>
      </c>
      <c r="G1740" s="925"/>
      <c r="H1740" s="429" t="s">
        <v>420</v>
      </c>
      <c r="I1740" s="373">
        <f>92000-SUM(I1737:I1739)</f>
        <v>23950</v>
      </c>
      <c r="J1740" s="379">
        <v>15400</v>
      </c>
      <c r="K1740" s="373"/>
      <c r="L1740" s="379"/>
      <c r="M1740" s="927">
        <f t="shared" si="445"/>
        <v>368830000</v>
      </c>
      <c r="N1740" s="295" t="s">
        <v>264</v>
      </c>
      <c r="O1740" s="295" t="s">
        <v>8</v>
      </c>
      <c r="P1740" s="75" t="str">
        <f>IF(AND('331-CT'!$E$7=TH!H1740,OR(N1740="331",O1740="331")),"x","")</f>
        <v/>
      </c>
      <c r="Q1740" s="75" t="str">
        <f>IF(AND(B1740='111'!$L$11,OR($N1740=$Q$7,$O1740=$Q$7)),"x","")</f>
        <v/>
      </c>
      <c r="R1740" s="75" t="str">
        <f>IF(AND($N1740=$Q$7,$B1740&lt;'111'!$L$11),"x","")</f>
        <v/>
      </c>
      <c r="S1740" s="75" t="str">
        <f>IF(AND($O1740=$Q$7,$B1740&lt;'111'!$L$11),"x","")</f>
        <v/>
      </c>
      <c r="T1740" s="75" t="str">
        <f>IF(ISERROR(FIND('112'!$M$9,G1740,1)),"",IF((AND(FIND('112'!$M$9,G1740,1)&gt;=1,B1740='112'!$K$9,OR($N1740='112'!$I$6,$O1740='112'!$I$6))),"x",""))</f>
        <v/>
      </c>
      <c r="U1740" s="75" t="str">
        <f>IF(ISERROR(FIND('112'!$M$9,G1740,1)),"",IF((AND(LEFT(G1740,2)=LEFT('112'!$M$9,2),B1740&lt;'112'!$K$9,$N1740='112'!$I$6)),"x",""))</f>
        <v/>
      </c>
      <c r="V1740" s="75" t="str">
        <f>IF(ISERROR(FIND('112'!$M$9,G1740,1)),"",IF((AND(RIGHT(G1740,2)=RIGHT('112'!$M$9,2),B1740&lt;'112'!$K$9,$O1740='112'!$I$6)),"x",""))</f>
        <v/>
      </c>
      <c r="W1740" s="75" t="str">
        <f>IF(AND('341-CT'!$H$9=H1740,OR(LEFT(N1740,3)=$W$7,LEFT(O1740,3)=$W$7)),"x","")</f>
        <v/>
      </c>
      <c r="X1740" s="75" t="str">
        <f>IF(OR(TH!N1740=TH!$X$7,O1740=TH!$X$7),"x","")</f>
        <v/>
      </c>
      <c r="Y1740" s="75" t="str">
        <f>IF(AND(OR(N1740="131",O1740="131"),H1740='131-CT'!$H$9),"x","")</f>
        <v/>
      </c>
      <c r="Z1740" s="75"/>
      <c r="AA1740" s="75" t="str">
        <f>IF(AND(MONTH(E1740)='IN-NX'!$J$5,'IN-NX'!$D$7=D1740),"x","")</f>
        <v/>
      </c>
      <c r="AB1740" s="75" t="str">
        <f>IF(AND(OR(LEFT(TH!N1740,2)="15",LEFT(TH!O1740,2)="15"),LEFT(TH!O1740,3)&lt;&gt;"111",'152-CT'!$J$8=TH!F1740),"x","")</f>
        <v/>
      </c>
      <c r="AC1740" s="75" t="str">
        <f>IF(AND(OR(LEFT(TH!N1740,2)="15",LEFT(TH!O1740,2)="15"),TK!$E$7=TH!F1740),"x","")</f>
        <v/>
      </c>
      <c r="AD1740" s="75" t="str">
        <f>IF(AND(N1740="1521",MONTH(C1740)='BK-NL'!$M$11),"x","")</f>
        <v/>
      </c>
    </row>
    <row r="1741" spans="1:30" ht="16.5" customHeight="1">
      <c r="A1741" s="309" t="str">
        <f>IF(B1741&lt;&gt;"",IF(AND(B1741='IN-TC'!$S$4,OR(TH!N1741="1111",TH!O1741="1111")),TH!D1741,""),"")</f>
        <v/>
      </c>
      <c r="B1741" s="1243">
        <f t="shared" si="442"/>
        <v>7</v>
      </c>
      <c r="C1741" s="292">
        <f t="shared" si="444"/>
        <v>42927</v>
      </c>
      <c r="D1741" s="292" t="s">
        <v>2967</v>
      </c>
      <c r="E1741" s="292">
        <v>42927</v>
      </c>
      <c r="F1741" s="425" t="s">
        <v>566</v>
      </c>
      <c r="G1741" s="925"/>
      <c r="H1741" s="435" t="s">
        <v>422</v>
      </c>
      <c r="I1741" s="373">
        <v>22410</v>
      </c>
      <c r="J1741" s="379">
        <v>18900</v>
      </c>
      <c r="K1741" s="373"/>
      <c r="L1741" s="379"/>
      <c r="M1741" s="927">
        <f t="shared" si="445"/>
        <v>423549000</v>
      </c>
      <c r="N1741" s="295" t="s">
        <v>264</v>
      </c>
      <c r="O1741" s="295" t="s">
        <v>8</v>
      </c>
      <c r="P1741" s="75" t="str">
        <f>IF(AND('331-CT'!$E$7=TH!H1741,OR(N1741="331",O1741="331")),"x","")</f>
        <v/>
      </c>
      <c r="Q1741" s="75" t="str">
        <f>IF(AND(B1741='111'!$L$11,OR($N1741=$Q$7,$O1741=$Q$7)),"x","")</f>
        <v/>
      </c>
      <c r="R1741" s="75" t="str">
        <f>IF(AND($N1741=$Q$7,$B1741&lt;'111'!$L$11),"x","")</f>
        <v/>
      </c>
      <c r="S1741" s="75" t="str">
        <f>IF(AND($O1741=$Q$7,$B1741&lt;'111'!$L$11),"x","")</f>
        <v/>
      </c>
      <c r="T1741" s="75" t="str">
        <f>IF(ISERROR(FIND('112'!$M$9,G1741,1)),"",IF((AND(FIND('112'!$M$9,G1741,1)&gt;=1,B1741='112'!$K$9,OR($N1741='112'!$I$6,$O1741='112'!$I$6))),"x",""))</f>
        <v/>
      </c>
      <c r="U1741" s="75" t="str">
        <f>IF(ISERROR(FIND('112'!$M$9,G1741,1)),"",IF((AND(LEFT(G1741,2)=LEFT('112'!$M$9,2),B1741&lt;'112'!$K$9,$N1741='112'!$I$6)),"x",""))</f>
        <v/>
      </c>
      <c r="V1741" s="75" t="str">
        <f>IF(ISERROR(FIND('112'!$M$9,G1741,1)),"",IF((AND(RIGHT(G1741,2)=RIGHT('112'!$M$9,2),B1741&lt;'112'!$K$9,$O1741='112'!$I$6)),"x",""))</f>
        <v/>
      </c>
      <c r="W1741" s="75" t="str">
        <f>IF(AND('341-CT'!$H$9=H1741,OR(LEFT(N1741,3)=$W$7,LEFT(O1741,3)=$W$7)),"x","")</f>
        <v/>
      </c>
      <c r="X1741" s="75" t="str">
        <f>IF(OR(TH!N1741=TH!$X$7,O1741=TH!$X$7),"x","")</f>
        <v/>
      </c>
      <c r="Y1741" s="75" t="str">
        <f>IF(AND(OR(N1741="131",O1741="131"),H1741='131-CT'!$H$9),"x","")</f>
        <v/>
      </c>
      <c r="Z1741" s="75"/>
      <c r="AA1741" s="75" t="str">
        <f>IF(AND(MONTH(E1741)='IN-NX'!$J$5,'IN-NX'!$D$7=D1741),"x","")</f>
        <v/>
      </c>
      <c r="AB1741" s="75" t="str">
        <f>IF(AND(OR(LEFT(TH!N1741,2)="15",LEFT(TH!O1741,2)="15"),LEFT(TH!O1741,3)&lt;&gt;"111",'152-CT'!$J$8=TH!F1741),"x","")</f>
        <v/>
      </c>
      <c r="AC1741" s="75" t="str">
        <f>IF(AND(OR(LEFT(TH!N1741,2)="15",LEFT(TH!O1741,2)="15"),TK!$E$7=TH!F1741),"x","")</f>
        <v/>
      </c>
      <c r="AD1741" s="75" t="str">
        <f>IF(AND(N1741="1521",MONTH(C1741)='BK-NL'!$M$11),"x","")</f>
        <v/>
      </c>
    </row>
    <row r="1742" spans="1:30" ht="16.5" customHeight="1">
      <c r="A1742" s="309" t="str">
        <f>IF(B1742&lt;&gt;"",IF(AND(B1742='IN-TC'!$S$4,OR(TH!N1742="1111",TH!O1742="1111")),TH!D1742,""),"")</f>
        <v/>
      </c>
      <c r="B1742" s="1243">
        <f t="shared" si="442"/>
        <v>7</v>
      </c>
      <c r="C1742" s="292">
        <f t="shared" si="444"/>
        <v>42927</v>
      </c>
      <c r="D1742" s="292" t="s">
        <v>2968</v>
      </c>
      <c r="E1742" s="292">
        <v>42927</v>
      </c>
      <c r="F1742" s="425" t="s">
        <v>566</v>
      </c>
      <c r="G1742" s="925"/>
      <c r="H1742" s="429" t="s">
        <v>419</v>
      </c>
      <c r="I1742" s="373">
        <v>22450</v>
      </c>
      <c r="J1742" s="379">
        <v>18900</v>
      </c>
      <c r="K1742" s="373"/>
      <c r="L1742" s="379"/>
      <c r="M1742" s="927">
        <f t="shared" si="445"/>
        <v>424305000</v>
      </c>
      <c r="N1742" s="295" t="s">
        <v>264</v>
      </c>
      <c r="O1742" s="295" t="s">
        <v>8</v>
      </c>
      <c r="P1742" s="75" t="str">
        <f>IF(AND('331-CT'!$E$7=TH!H1742,OR(N1742="331",O1742="331")),"x","")</f>
        <v/>
      </c>
      <c r="Q1742" s="75" t="str">
        <f>IF(AND(B1742='111'!$L$11,OR($N1742=$Q$7,$O1742=$Q$7)),"x","")</f>
        <v/>
      </c>
      <c r="R1742" s="75" t="str">
        <f>IF(AND($N1742=$Q$7,$B1742&lt;'111'!$L$11),"x","")</f>
        <v/>
      </c>
      <c r="S1742" s="75" t="str">
        <f>IF(AND($O1742=$Q$7,$B1742&lt;'111'!$L$11),"x","")</f>
        <v/>
      </c>
      <c r="T1742" s="75" t="str">
        <f>IF(ISERROR(FIND('112'!$M$9,G1742,1)),"",IF((AND(FIND('112'!$M$9,G1742,1)&gt;=1,B1742='112'!$K$9,OR($N1742='112'!$I$6,$O1742='112'!$I$6))),"x",""))</f>
        <v/>
      </c>
      <c r="U1742" s="75" t="str">
        <f>IF(ISERROR(FIND('112'!$M$9,G1742,1)),"",IF((AND(LEFT(G1742,2)=LEFT('112'!$M$9,2),B1742&lt;'112'!$K$9,$N1742='112'!$I$6)),"x",""))</f>
        <v/>
      </c>
      <c r="V1742" s="75" t="str">
        <f>IF(ISERROR(FIND('112'!$M$9,G1742,1)),"",IF((AND(RIGHT(G1742,2)=RIGHT('112'!$M$9,2),B1742&lt;'112'!$K$9,$O1742='112'!$I$6)),"x",""))</f>
        <v/>
      </c>
      <c r="W1742" s="75" t="str">
        <f>IF(AND('341-CT'!$H$9=H1742,OR(LEFT(N1742,3)=$W$7,LEFT(O1742,3)=$W$7)),"x","")</f>
        <v/>
      </c>
      <c r="X1742" s="75" t="str">
        <f>IF(OR(TH!N1742=TH!$X$7,O1742=TH!$X$7),"x","")</f>
        <v/>
      </c>
      <c r="Y1742" s="75" t="str">
        <f>IF(AND(OR(N1742="131",O1742="131"),H1742='131-CT'!$H$9),"x","")</f>
        <v/>
      </c>
      <c r="Z1742" s="75"/>
      <c r="AA1742" s="75" t="str">
        <f>IF(AND(MONTH(E1742)='IN-NX'!$J$5,'IN-NX'!$D$7=D1742),"x","")</f>
        <v/>
      </c>
      <c r="AB1742" s="75" t="str">
        <f>IF(AND(OR(LEFT(TH!N1742,2)="15",LEFT(TH!O1742,2)="15"),LEFT(TH!O1742,3)&lt;&gt;"111",'152-CT'!$J$8=TH!F1742),"x","")</f>
        <v/>
      </c>
      <c r="AC1742" s="75" t="str">
        <f>IF(AND(OR(LEFT(TH!N1742,2)="15",LEFT(TH!O1742,2)="15"),TK!$E$7=TH!F1742),"x","")</f>
        <v/>
      </c>
      <c r="AD1742" s="75" t="str">
        <f>IF(AND(N1742="1521",MONTH(C1742)='BK-NL'!$M$11),"x","")</f>
        <v/>
      </c>
    </row>
    <row r="1743" spans="1:30" ht="16.5" customHeight="1">
      <c r="A1743" s="309" t="str">
        <f>IF(B1743&lt;&gt;"",IF(AND(B1743='IN-TC'!$S$4,OR(TH!N1743="1111",TH!O1743="1111")),TH!D1743,""),"")</f>
        <v/>
      </c>
      <c r="B1743" s="1243">
        <f t="shared" si="442"/>
        <v>7</v>
      </c>
      <c r="C1743" s="292">
        <f t="shared" si="444"/>
        <v>42934</v>
      </c>
      <c r="D1743" s="292" t="s">
        <v>2975</v>
      </c>
      <c r="E1743" s="292">
        <v>42934</v>
      </c>
      <c r="F1743" s="425" t="s">
        <v>566</v>
      </c>
      <c r="G1743" s="925"/>
      <c r="H1743" s="429" t="s">
        <v>420</v>
      </c>
      <c r="I1743" s="373">
        <f>67850-SUM(I1741:I1742)</f>
        <v>22990</v>
      </c>
      <c r="J1743" s="379">
        <v>18900</v>
      </c>
      <c r="K1743" s="373"/>
      <c r="L1743" s="379"/>
      <c r="M1743" s="927">
        <f t="shared" si="445"/>
        <v>434511000</v>
      </c>
      <c r="N1743" s="295" t="s">
        <v>264</v>
      </c>
      <c r="O1743" s="295" t="s">
        <v>8</v>
      </c>
      <c r="P1743" s="75" t="str">
        <f>IF(AND('331-CT'!$E$7=TH!H1743,OR(N1743="331",O1743="331")),"x","")</f>
        <v/>
      </c>
      <c r="Q1743" s="75" t="str">
        <f>IF(AND(B1743='111'!$L$11,OR($N1743=$Q$7,$O1743=$Q$7)),"x","")</f>
        <v/>
      </c>
      <c r="R1743" s="75" t="str">
        <f>IF(AND($N1743=$Q$7,$B1743&lt;'111'!$L$11),"x","")</f>
        <v/>
      </c>
      <c r="S1743" s="75" t="str">
        <f>IF(AND($O1743=$Q$7,$B1743&lt;'111'!$L$11),"x","")</f>
        <v/>
      </c>
      <c r="T1743" s="75" t="str">
        <f>IF(ISERROR(FIND('112'!$M$9,G1743,1)),"",IF((AND(FIND('112'!$M$9,G1743,1)&gt;=1,B1743='112'!$K$9,OR($N1743='112'!$I$6,$O1743='112'!$I$6))),"x",""))</f>
        <v/>
      </c>
      <c r="U1743" s="75" t="str">
        <f>IF(ISERROR(FIND('112'!$M$9,G1743,1)),"",IF((AND(LEFT(G1743,2)=LEFT('112'!$M$9,2),B1743&lt;'112'!$K$9,$N1743='112'!$I$6)),"x",""))</f>
        <v/>
      </c>
      <c r="V1743" s="75" t="str">
        <f>IF(ISERROR(FIND('112'!$M$9,G1743,1)),"",IF((AND(RIGHT(G1743,2)=RIGHT('112'!$M$9,2),B1743&lt;'112'!$K$9,$O1743='112'!$I$6)),"x",""))</f>
        <v/>
      </c>
      <c r="W1743" s="75" t="str">
        <f>IF(AND('341-CT'!$H$9=H1743,OR(LEFT(N1743,3)=$W$7,LEFT(O1743,3)=$W$7)),"x","")</f>
        <v/>
      </c>
      <c r="X1743" s="75" t="str">
        <f>IF(OR(TH!N1743=TH!$X$7,O1743=TH!$X$7),"x","")</f>
        <v/>
      </c>
      <c r="Y1743" s="75" t="str">
        <f>IF(AND(OR(N1743="131",O1743="131"),H1743='131-CT'!$H$9),"x","")</f>
        <v/>
      </c>
      <c r="Z1743" s="75"/>
      <c r="AA1743" s="75" t="str">
        <f>IF(AND(MONTH(E1743)='IN-NX'!$J$5,'IN-NX'!$D$7=D1743),"x","")</f>
        <v/>
      </c>
      <c r="AB1743" s="75" t="str">
        <f>IF(AND(OR(LEFT(TH!N1743,2)="15",LEFT(TH!O1743,2)="15"),LEFT(TH!O1743,3)&lt;&gt;"111",'152-CT'!$J$8=TH!F1743),"x","")</f>
        <v/>
      </c>
      <c r="AC1743" s="75" t="str">
        <f>IF(AND(OR(LEFT(TH!N1743,2)="15",LEFT(TH!O1743,2)="15"),TK!$E$7=TH!F1743),"x","")</f>
        <v/>
      </c>
      <c r="AD1743" s="75" t="str">
        <f>IF(AND(N1743="1521",MONTH(C1743)='BK-NL'!$M$11),"x","")</f>
        <v/>
      </c>
    </row>
    <row r="1744" spans="1:30" ht="16.5" customHeight="1">
      <c r="A1744" s="309" t="str">
        <f>IF(B1744&lt;&gt;"",IF(AND(B1744='IN-TC'!$S$4,OR(TH!N1744="1111",TH!O1744="1111")),TH!D1744,""),"")</f>
        <v/>
      </c>
      <c r="B1744" s="1243">
        <f t="shared" ref="B1744" si="452">IF(C1744&lt;&gt;"",MONTH(C1744),"")</f>
        <v>7</v>
      </c>
      <c r="C1744" s="292">
        <f t="shared" ref="C1744" si="453">E1744</f>
        <v>42934</v>
      </c>
      <c r="D1744" s="292" t="s">
        <v>2976</v>
      </c>
      <c r="E1744" s="292">
        <v>42934</v>
      </c>
      <c r="F1744" s="425" t="s">
        <v>566</v>
      </c>
      <c r="G1744" s="925"/>
      <c r="H1744" s="435" t="s">
        <v>422</v>
      </c>
      <c r="I1744" s="373">
        <v>19560</v>
      </c>
      <c r="J1744" s="379">
        <v>18500</v>
      </c>
      <c r="K1744" s="373"/>
      <c r="L1744" s="379"/>
      <c r="M1744" s="927">
        <f t="shared" ref="M1744" si="454">ROUND(I1744*J1744,0)</f>
        <v>361860000</v>
      </c>
      <c r="N1744" s="295" t="s">
        <v>264</v>
      </c>
      <c r="O1744" s="295" t="s">
        <v>8</v>
      </c>
      <c r="P1744" s="75" t="str">
        <f>IF(AND('331-CT'!$E$7=TH!H1744,OR(N1744="331",O1744="331")),"x","")</f>
        <v/>
      </c>
      <c r="Q1744" s="75" t="str">
        <f>IF(AND(B1744='111'!$L$11,OR($N1744=$Q$7,$O1744=$Q$7)),"x","")</f>
        <v/>
      </c>
      <c r="R1744" s="75" t="str">
        <f>IF(AND($N1744=$Q$7,$B1744&lt;'111'!$L$11),"x","")</f>
        <v/>
      </c>
      <c r="S1744" s="75" t="str">
        <f>IF(AND($O1744=$Q$7,$B1744&lt;'111'!$L$11),"x","")</f>
        <v/>
      </c>
      <c r="T1744" s="75" t="str">
        <f>IF(ISERROR(FIND('112'!$M$9,G1744,1)),"",IF((AND(FIND('112'!$M$9,G1744,1)&gt;=1,B1744='112'!$K$9,OR($N1744='112'!$I$6,$O1744='112'!$I$6))),"x",""))</f>
        <v/>
      </c>
      <c r="U1744" s="75" t="str">
        <f>IF(ISERROR(FIND('112'!$M$9,G1744,1)),"",IF((AND(LEFT(G1744,2)=LEFT('112'!$M$9,2),B1744&lt;'112'!$K$9,$N1744='112'!$I$6)),"x",""))</f>
        <v/>
      </c>
      <c r="V1744" s="75" t="str">
        <f>IF(ISERROR(FIND('112'!$M$9,G1744,1)),"",IF((AND(RIGHT(G1744,2)=RIGHT('112'!$M$9,2),B1744&lt;'112'!$K$9,$O1744='112'!$I$6)),"x",""))</f>
        <v/>
      </c>
      <c r="W1744" s="75" t="str">
        <f>IF(AND('341-CT'!$H$9=H1744,OR(LEFT(N1744,3)=$W$7,LEFT(O1744,3)=$W$7)),"x","")</f>
        <v/>
      </c>
      <c r="X1744" s="75" t="str">
        <f>IF(OR(TH!N1744=TH!$X$7,O1744=TH!$X$7),"x","")</f>
        <v/>
      </c>
      <c r="Y1744" s="75" t="str">
        <f>IF(AND(OR(N1744="131",O1744="131"),H1744='131-CT'!$H$9),"x","")</f>
        <v/>
      </c>
      <c r="Z1744" s="75"/>
      <c r="AA1744" s="75" t="str">
        <f>IF(AND(MONTH(E1744)='IN-NX'!$J$5,'IN-NX'!$D$7=D1744),"x","")</f>
        <v/>
      </c>
      <c r="AB1744" s="75" t="str">
        <f>IF(AND(OR(LEFT(TH!N1744,2)="15",LEFT(TH!O1744,2)="15"),LEFT(TH!O1744,3)&lt;&gt;"111",'152-CT'!$J$8=TH!F1744),"x","")</f>
        <v/>
      </c>
      <c r="AC1744" s="75" t="str">
        <f>IF(AND(OR(LEFT(TH!N1744,2)="15",LEFT(TH!O1744,2)="15"),TK!$E$7=TH!F1744),"x","")</f>
        <v/>
      </c>
      <c r="AD1744" s="75" t="str">
        <f>IF(AND(N1744="1521",MONTH(C1744)='BK-NL'!$M$11),"x","")</f>
        <v/>
      </c>
    </row>
    <row r="1745" spans="1:32" ht="16.5" customHeight="1">
      <c r="A1745" s="309" t="str">
        <f>IF(B1745&lt;&gt;"",IF(AND(B1745='IN-TC'!$S$4,OR(TH!N1745="1111",TH!O1745="1111")),TH!D1745,""),"")</f>
        <v/>
      </c>
      <c r="B1745" s="1243">
        <f t="shared" si="442"/>
        <v>7</v>
      </c>
      <c r="C1745" s="292">
        <f t="shared" si="444"/>
        <v>42934</v>
      </c>
      <c r="D1745" s="292" t="s">
        <v>2977</v>
      </c>
      <c r="E1745" s="292">
        <v>42934</v>
      </c>
      <c r="F1745" s="425" t="s">
        <v>566</v>
      </c>
      <c r="G1745" s="925"/>
      <c r="H1745" s="429" t="s">
        <v>419</v>
      </c>
      <c r="I1745" s="373">
        <f>38000-I1744</f>
        <v>18440</v>
      </c>
      <c r="J1745" s="379">
        <v>18500</v>
      </c>
      <c r="K1745" s="373"/>
      <c r="L1745" s="379"/>
      <c r="M1745" s="927">
        <f t="shared" si="445"/>
        <v>341140000</v>
      </c>
      <c r="N1745" s="295" t="s">
        <v>264</v>
      </c>
      <c r="O1745" s="295" t="s">
        <v>8</v>
      </c>
      <c r="P1745" s="75" t="str">
        <f>IF(AND('331-CT'!$E$7=TH!H1745,OR(N1745="331",O1745="331")),"x","")</f>
        <v/>
      </c>
      <c r="Q1745" s="75" t="str">
        <f>IF(AND(B1745='111'!$L$11,OR($N1745=$Q$7,$O1745=$Q$7)),"x","")</f>
        <v/>
      </c>
      <c r="R1745" s="75" t="str">
        <f>IF(AND($N1745=$Q$7,$B1745&lt;'111'!$L$11),"x","")</f>
        <v/>
      </c>
      <c r="S1745" s="75" t="str">
        <f>IF(AND($O1745=$Q$7,$B1745&lt;'111'!$L$11),"x","")</f>
        <v/>
      </c>
      <c r="T1745" s="75" t="str">
        <f>IF(ISERROR(FIND('112'!$M$9,G1745,1)),"",IF((AND(FIND('112'!$M$9,G1745,1)&gt;=1,B1745='112'!$K$9,OR($N1745='112'!$I$6,$O1745='112'!$I$6))),"x",""))</f>
        <v/>
      </c>
      <c r="U1745" s="75" t="str">
        <f>IF(ISERROR(FIND('112'!$M$9,G1745,1)),"",IF((AND(LEFT(G1745,2)=LEFT('112'!$M$9,2),B1745&lt;'112'!$K$9,$N1745='112'!$I$6)),"x",""))</f>
        <v/>
      </c>
      <c r="V1745" s="75" t="str">
        <f>IF(ISERROR(FIND('112'!$M$9,G1745,1)),"",IF((AND(RIGHT(G1745,2)=RIGHT('112'!$M$9,2),B1745&lt;'112'!$K$9,$O1745='112'!$I$6)),"x",""))</f>
        <v/>
      </c>
      <c r="W1745" s="75" t="str">
        <f>IF(AND('341-CT'!$H$9=H1745,OR(LEFT(N1745,3)=$W$7,LEFT(O1745,3)=$W$7)),"x","")</f>
        <v/>
      </c>
      <c r="X1745" s="75" t="str">
        <f>IF(OR(TH!N1745=TH!$X$7,O1745=TH!$X$7),"x","")</f>
        <v/>
      </c>
      <c r="Y1745" s="75" t="str">
        <f>IF(AND(OR(N1745="131",O1745="131"),H1745='131-CT'!$H$9),"x","")</f>
        <v/>
      </c>
      <c r="Z1745" s="75"/>
      <c r="AA1745" s="75" t="str">
        <f>IF(AND(MONTH(E1745)='IN-NX'!$J$5,'IN-NX'!$D$7=D1745),"x","")</f>
        <v/>
      </c>
      <c r="AB1745" s="75" t="str">
        <f>IF(AND(OR(LEFT(TH!N1745,2)="15",LEFT(TH!O1745,2)="15"),LEFT(TH!O1745,3)&lt;&gt;"111",'152-CT'!$J$8=TH!F1745),"x","")</f>
        <v/>
      </c>
      <c r="AC1745" s="75" t="str">
        <f>IF(AND(OR(LEFT(TH!N1745,2)="15",LEFT(TH!O1745,2)="15"),TK!$E$7=TH!F1745),"x","")</f>
        <v/>
      </c>
      <c r="AD1745" s="75" t="str">
        <f>IF(AND(N1745="1521",MONTH(C1745)='BK-NL'!$M$11),"x","")</f>
        <v/>
      </c>
    </row>
    <row r="1746" spans="1:32" ht="16.5" customHeight="1">
      <c r="A1746" s="309" t="str">
        <f>IF(B1746&lt;&gt;"",IF(AND(B1746='IN-TC'!$S$4,OR(TH!N1746="1111",TH!O1746="1111")),TH!D1746,""),"")</f>
        <v/>
      </c>
      <c r="B1746" s="1243">
        <f t="shared" si="442"/>
        <v>7</v>
      </c>
      <c r="C1746" s="929">
        <f t="shared" si="444"/>
        <v>42947</v>
      </c>
      <c r="D1746" s="929" t="s">
        <v>2956</v>
      </c>
      <c r="E1746" s="929">
        <v>42947</v>
      </c>
      <c r="F1746" s="1082" t="s">
        <v>771</v>
      </c>
      <c r="G1746" s="931"/>
      <c r="H1746" s="1082" t="s">
        <v>424</v>
      </c>
      <c r="I1746" s="371">
        <v>792842</v>
      </c>
      <c r="J1746" s="377">
        <v>18500</v>
      </c>
      <c r="K1746" s="371"/>
      <c r="L1746" s="377"/>
      <c r="M1746" s="933">
        <f t="shared" si="445"/>
        <v>14667577000</v>
      </c>
      <c r="N1746" s="934" t="s">
        <v>272</v>
      </c>
      <c r="O1746" s="934" t="s">
        <v>264</v>
      </c>
      <c r="P1746" s="75" t="str">
        <f>IF(AND('331-CT'!$E$7=TH!H1746,OR(N1746="331",O1746="331")),"x","")</f>
        <v/>
      </c>
      <c r="Q1746" s="75" t="str">
        <f>IF(AND(B1746='111'!$L$11,OR($N1746=$Q$7,$O1746=$Q$7)),"x","")</f>
        <v/>
      </c>
      <c r="R1746" s="75" t="str">
        <f>IF(AND($N1746=$Q$7,$B1746&lt;'111'!$L$11),"x","")</f>
        <v/>
      </c>
      <c r="S1746" s="75" t="str">
        <f>IF(AND($O1746=$Q$7,$B1746&lt;'111'!$L$11),"x","")</f>
        <v/>
      </c>
      <c r="T1746" s="75" t="str">
        <f>IF(ISERROR(FIND('112'!$M$9,G1746,1)),"",IF((AND(FIND('112'!$M$9,G1746,1)&gt;=1,B1746='112'!$K$9,OR($N1746='112'!$I$6,$O1746='112'!$I$6))),"x",""))</f>
        <v/>
      </c>
      <c r="U1746" s="75" t="str">
        <f>IF(ISERROR(FIND('112'!$M$9,G1746,1)),"",IF((AND(LEFT(G1746,2)=LEFT('112'!$M$9,2),B1746&lt;'112'!$K$9,$N1746='112'!$I$6)),"x",""))</f>
        <v/>
      </c>
      <c r="V1746" s="75" t="str">
        <f>IF(ISERROR(FIND('112'!$M$9,G1746,1)),"",IF((AND(RIGHT(G1746,2)=RIGHT('112'!$M$9,2),B1746&lt;'112'!$K$9,$O1746='112'!$I$6)),"x",""))</f>
        <v/>
      </c>
      <c r="W1746" s="75" t="str">
        <f>IF(AND('341-CT'!$H$9=H1746,OR(LEFT(N1746,3)=$W$7,LEFT(O1746,3)=$W$7)),"x","")</f>
        <v/>
      </c>
      <c r="X1746" s="75" t="str">
        <f>IF(OR(TH!N1746=TH!$X$7,O1746=TH!$X$7),"x","")</f>
        <v/>
      </c>
      <c r="Y1746" s="75" t="str">
        <f>IF(AND(OR(N1746="131",O1746="131"),H1746='131-CT'!$H$9),"x","")</f>
        <v/>
      </c>
      <c r="Z1746" s="75"/>
      <c r="AA1746" s="75" t="str">
        <f>IF(AND(MONTH(E1746)='IN-NX'!$J$5,'IN-NX'!$D$7=D1746),"x","")</f>
        <v/>
      </c>
      <c r="AB1746" s="75" t="str">
        <f>IF(AND(OR(LEFT(TH!N1746,2)="15",LEFT(TH!O1746,2)="15"),LEFT(TH!O1746,3)&lt;&gt;"111",'152-CT'!$J$8=TH!F1746),"x","")</f>
        <v/>
      </c>
      <c r="AC1746" s="75" t="str">
        <f>IF(AND(OR(LEFT(TH!N1746,2)="15",LEFT(TH!O1746,2)="15"),TK!$E$7=TH!F1746),"x","")</f>
        <v/>
      </c>
      <c r="AD1746" s="75" t="str">
        <f>IF(AND(N1746="1521",MONTH(C1746)='BK-NL'!$M$11),"x","")</f>
        <v/>
      </c>
    </row>
    <row r="1747" spans="1:32" ht="16.5" customHeight="1">
      <c r="A1747" s="309" t="str">
        <f>IF(B1747&lt;&gt;"",IF(AND(B1747='IN-TC'!$S$4,OR(TH!N1747="1111",TH!O1747="1111")),TH!D1747,""),"")</f>
        <v/>
      </c>
      <c r="B1747" s="1243">
        <f t="shared" si="442"/>
        <v>7</v>
      </c>
      <c r="C1747" s="929">
        <f t="shared" si="444"/>
        <v>42947</v>
      </c>
      <c r="D1747" s="929" t="s">
        <v>2956</v>
      </c>
      <c r="E1747" s="929">
        <v>42947</v>
      </c>
      <c r="F1747" s="1082" t="s">
        <v>566</v>
      </c>
      <c r="G1747" s="931"/>
      <c r="H1747" s="1082" t="s">
        <v>424</v>
      </c>
      <c r="I1747" s="371">
        <v>92000</v>
      </c>
      <c r="J1747" s="377">
        <v>15400</v>
      </c>
      <c r="K1747" s="371"/>
      <c r="L1747" s="377"/>
      <c r="M1747" s="933">
        <f t="shared" si="445"/>
        <v>1416800000</v>
      </c>
      <c r="N1747" s="934" t="s">
        <v>272</v>
      </c>
      <c r="O1747" s="934" t="s">
        <v>264</v>
      </c>
      <c r="P1747" s="75" t="str">
        <f>IF(AND('331-CT'!$E$7=TH!H1747,OR(N1747="331",O1747="331")),"x","")</f>
        <v/>
      </c>
      <c r="Q1747" s="75" t="str">
        <f>IF(AND(B1747='111'!$L$11,OR($N1747=$Q$7,$O1747=$Q$7)),"x","")</f>
        <v/>
      </c>
      <c r="R1747" s="75" t="str">
        <f>IF(AND($N1747=$Q$7,$B1747&lt;'111'!$L$11),"x","")</f>
        <v/>
      </c>
      <c r="S1747" s="75" t="str">
        <f>IF(AND($O1747=$Q$7,$B1747&lt;'111'!$L$11),"x","")</f>
        <v/>
      </c>
      <c r="T1747" s="75" t="str">
        <f>IF(ISERROR(FIND('112'!$M$9,G1747,1)),"",IF((AND(FIND('112'!$M$9,G1747,1)&gt;=1,B1747='112'!$K$9,OR($N1747='112'!$I$6,$O1747='112'!$I$6))),"x",""))</f>
        <v/>
      </c>
      <c r="U1747" s="75" t="str">
        <f>IF(ISERROR(FIND('112'!$M$9,G1747,1)),"",IF((AND(LEFT(G1747,2)=LEFT('112'!$M$9,2),B1747&lt;'112'!$K$9,$N1747='112'!$I$6)),"x",""))</f>
        <v/>
      </c>
      <c r="V1747" s="75" t="str">
        <f>IF(ISERROR(FIND('112'!$M$9,G1747,1)),"",IF((AND(RIGHT(G1747,2)=RIGHT('112'!$M$9,2),B1747&lt;'112'!$K$9,$O1747='112'!$I$6)),"x",""))</f>
        <v/>
      </c>
      <c r="W1747" s="75" t="str">
        <f>IF(AND('341-CT'!$H$9=H1747,OR(LEFT(N1747,3)=$W$7,LEFT(O1747,3)=$W$7)),"x","")</f>
        <v/>
      </c>
      <c r="X1747" s="75" t="str">
        <f>IF(OR(TH!N1747=TH!$X$7,O1747=TH!$X$7),"x","")</f>
        <v/>
      </c>
      <c r="Y1747" s="75" t="str">
        <f>IF(AND(OR(N1747="131",O1747="131"),H1747='131-CT'!$H$9),"x","")</f>
        <v/>
      </c>
      <c r="Z1747" s="75"/>
      <c r="AA1747" s="75" t="str">
        <f>IF(AND(MONTH(E1747)='IN-NX'!$J$5,'IN-NX'!$D$7=D1747),"x","")</f>
        <v/>
      </c>
      <c r="AB1747" s="75" t="str">
        <f>IF(AND(OR(LEFT(TH!N1747,2)="15",LEFT(TH!O1747,2)="15"),LEFT(TH!O1747,3)&lt;&gt;"111",'152-CT'!$J$8=TH!F1747),"x","")</f>
        <v/>
      </c>
      <c r="AC1747" s="75" t="str">
        <f>IF(AND(OR(LEFT(TH!N1747,2)="15",LEFT(TH!O1747,2)="15"),TK!$E$7=TH!F1747),"x","")</f>
        <v/>
      </c>
      <c r="AD1747" s="75" t="str">
        <f>IF(AND(N1747="1521",MONTH(C1747)='BK-NL'!$M$11),"x","")</f>
        <v/>
      </c>
    </row>
    <row r="1748" spans="1:32" ht="16.5" customHeight="1">
      <c r="A1748" s="309" t="str">
        <f>IF(B1748&lt;&gt;"",IF(AND(B1748='IN-TC'!$S$4,OR(TH!N1748="1111",TH!O1748="1111")),TH!D1748,""),"")</f>
        <v/>
      </c>
      <c r="B1748" s="1243">
        <f t="shared" si="442"/>
        <v>7</v>
      </c>
      <c r="C1748" s="929">
        <f t="shared" si="444"/>
        <v>42947</v>
      </c>
      <c r="D1748" s="929" t="s">
        <v>2956</v>
      </c>
      <c r="E1748" s="929">
        <v>42947</v>
      </c>
      <c r="F1748" s="1082" t="s">
        <v>566</v>
      </c>
      <c r="G1748" s="931"/>
      <c r="H1748" s="1082" t="s">
        <v>424</v>
      </c>
      <c r="I1748" s="371">
        <v>67850</v>
      </c>
      <c r="J1748" s="377">
        <v>18900</v>
      </c>
      <c r="K1748" s="371"/>
      <c r="L1748" s="377"/>
      <c r="M1748" s="933">
        <f t="shared" si="445"/>
        <v>1282365000</v>
      </c>
      <c r="N1748" s="934" t="s">
        <v>272</v>
      </c>
      <c r="O1748" s="934" t="s">
        <v>264</v>
      </c>
      <c r="P1748" s="75" t="str">
        <f>IF(AND('331-CT'!$E$7=TH!H1748,OR(N1748="331",O1748="331")),"x","")</f>
        <v/>
      </c>
      <c r="Q1748" s="75" t="str">
        <f>IF(AND(B1748='111'!$L$11,OR($N1748=$Q$7,$O1748=$Q$7)),"x","")</f>
        <v/>
      </c>
      <c r="R1748" s="75" t="str">
        <f>IF(AND($N1748=$Q$7,$B1748&lt;'111'!$L$11),"x","")</f>
        <v/>
      </c>
      <c r="S1748" s="75" t="str">
        <f>IF(AND($O1748=$Q$7,$B1748&lt;'111'!$L$11),"x","")</f>
        <v/>
      </c>
      <c r="T1748" s="75" t="str">
        <f>IF(ISERROR(FIND('112'!$M$9,G1748,1)),"",IF((AND(FIND('112'!$M$9,G1748,1)&gt;=1,B1748='112'!$K$9,OR($N1748='112'!$I$6,$O1748='112'!$I$6))),"x",""))</f>
        <v/>
      </c>
      <c r="U1748" s="75" t="str">
        <f>IF(ISERROR(FIND('112'!$M$9,G1748,1)),"",IF((AND(LEFT(G1748,2)=LEFT('112'!$M$9,2),B1748&lt;'112'!$K$9,$N1748='112'!$I$6)),"x",""))</f>
        <v/>
      </c>
      <c r="V1748" s="75" t="str">
        <f>IF(ISERROR(FIND('112'!$M$9,G1748,1)),"",IF((AND(RIGHT(G1748,2)=RIGHT('112'!$M$9,2),B1748&lt;'112'!$K$9,$O1748='112'!$I$6)),"x",""))</f>
        <v/>
      </c>
      <c r="W1748" s="75" t="str">
        <f>IF(AND('341-CT'!$H$9=H1748,OR(LEFT(N1748,3)=$W$7,LEFT(O1748,3)=$W$7)),"x","")</f>
        <v/>
      </c>
      <c r="X1748" s="75" t="str">
        <f>IF(OR(TH!N1748=TH!$X$7,O1748=TH!$X$7),"x","")</f>
        <v/>
      </c>
      <c r="Y1748" s="75" t="str">
        <f>IF(AND(OR(N1748="131",O1748="131"),H1748='131-CT'!$H$9),"x","")</f>
        <v/>
      </c>
      <c r="Z1748" s="75"/>
      <c r="AA1748" s="75" t="str">
        <f>IF(AND(MONTH(E1748)='IN-NX'!$J$5,'IN-NX'!$D$7=D1748),"x","")</f>
        <v/>
      </c>
      <c r="AB1748" s="75" t="str">
        <f>IF(AND(OR(LEFT(TH!N1748,2)="15",LEFT(TH!O1748,2)="15"),LEFT(TH!O1748,3)&lt;&gt;"111",'152-CT'!$J$8=TH!F1748),"x","")</f>
        <v/>
      </c>
      <c r="AC1748" s="75" t="str">
        <f>IF(AND(OR(LEFT(TH!N1748,2)="15",LEFT(TH!O1748,2)="15"),TK!$E$7=TH!F1748),"x","")</f>
        <v/>
      </c>
      <c r="AD1748" s="75" t="str">
        <f>IF(AND(N1748="1521",MONTH(C1748)='BK-NL'!$M$11),"x","")</f>
        <v/>
      </c>
    </row>
    <row r="1749" spans="1:32" ht="16.5" customHeight="1">
      <c r="A1749" s="309" t="str">
        <f>IF(B1749&lt;&gt;"",IF(AND(B1749='IN-TC'!$S$4,OR(TH!N1749="1111",TH!O1749="1111")),TH!D1749,""),"")</f>
        <v/>
      </c>
      <c r="B1749" s="1243">
        <f t="shared" si="442"/>
        <v>7</v>
      </c>
      <c r="C1749" s="929">
        <f t="shared" si="444"/>
        <v>42947</v>
      </c>
      <c r="D1749" s="929" t="s">
        <v>2956</v>
      </c>
      <c r="E1749" s="929">
        <v>42947</v>
      </c>
      <c r="F1749" s="1082" t="s">
        <v>566</v>
      </c>
      <c r="G1749" s="931"/>
      <c r="H1749" s="1082" t="s">
        <v>424</v>
      </c>
      <c r="I1749" s="371">
        <v>38000</v>
      </c>
      <c r="J1749" s="377">
        <v>18500</v>
      </c>
      <c r="K1749" s="371"/>
      <c r="L1749" s="377"/>
      <c r="M1749" s="933">
        <f t="shared" si="445"/>
        <v>703000000</v>
      </c>
      <c r="N1749" s="934" t="s">
        <v>272</v>
      </c>
      <c r="O1749" s="934" t="s">
        <v>264</v>
      </c>
      <c r="P1749" s="75" t="str">
        <f>IF(AND('331-CT'!$E$7=TH!H1749,OR(N1749="331",O1749="331")),"x","")</f>
        <v/>
      </c>
      <c r="Q1749" s="75" t="str">
        <f>IF(AND(B1749='111'!$L$11,OR($N1749=$Q$7,$O1749=$Q$7)),"x","")</f>
        <v/>
      </c>
      <c r="R1749" s="75" t="str">
        <f>IF(AND($N1749=$Q$7,$B1749&lt;'111'!$L$11),"x","")</f>
        <v/>
      </c>
      <c r="S1749" s="75" t="str">
        <f>IF(AND($O1749=$Q$7,$B1749&lt;'111'!$L$11),"x","")</f>
        <v/>
      </c>
      <c r="T1749" s="75" t="str">
        <f>IF(ISERROR(FIND('112'!$M$9,G1749,1)),"",IF((AND(FIND('112'!$M$9,G1749,1)&gt;=1,B1749='112'!$K$9,OR($N1749='112'!$I$6,$O1749='112'!$I$6))),"x",""))</f>
        <v/>
      </c>
      <c r="U1749" s="75" t="str">
        <f>IF(ISERROR(FIND('112'!$M$9,G1749,1)),"",IF((AND(LEFT(G1749,2)=LEFT('112'!$M$9,2),B1749&lt;'112'!$K$9,$N1749='112'!$I$6)),"x",""))</f>
        <v/>
      </c>
      <c r="V1749" s="75" t="str">
        <f>IF(ISERROR(FIND('112'!$M$9,G1749,1)),"",IF((AND(RIGHT(G1749,2)=RIGHT('112'!$M$9,2),B1749&lt;'112'!$K$9,$O1749='112'!$I$6)),"x",""))</f>
        <v/>
      </c>
      <c r="W1749" s="75" t="str">
        <f>IF(AND('341-CT'!$H$9=H1749,OR(LEFT(N1749,3)=$W$7,LEFT(O1749,3)=$W$7)),"x","")</f>
        <v/>
      </c>
      <c r="X1749" s="75" t="str">
        <f>IF(OR(TH!N1749=TH!$X$7,O1749=TH!$X$7),"x","")</f>
        <v/>
      </c>
      <c r="Y1749" s="75" t="str">
        <f>IF(AND(OR(N1749="131",O1749="131"),H1749='131-CT'!$H$9),"x","")</f>
        <v/>
      </c>
      <c r="Z1749" s="75"/>
      <c r="AA1749" s="75" t="str">
        <f>IF(AND(MONTH(E1749)='IN-NX'!$J$5,'IN-NX'!$D$7=D1749),"x","")</f>
        <v/>
      </c>
      <c r="AB1749" s="75" t="str">
        <f>IF(AND(OR(LEFT(TH!N1749,2)="15",LEFT(TH!O1749,2)="15"),LEFT(TH!O1749,3)&lt;&gt;"111",'152-CT'!$J$8=TH!F1749),"x","")</f>
        <v/>
      </c>
      <c r="AC1749" s="75" t="str">
        <f>IF(AND(OR(LEFT(TH!N1749,2)="15",LEFT(TH!O1749,2)="15"),TK!$E$7=TH!F1749),"x","")</f>
        <v/>
      </c>
      <c r="AD1749" s="75" t="str">
        <f>IF(AND(N1749="1521",MONTH(C1749)='BK-NL'!$M$11),"x","")</f>
        <v/>
      </c>
    </row>
    <row r="1750" spans="1:32" s="1054" customFormat="1" ht="16.5" customHeight="1">
      <c r="A1750" s="309" t="str">
        <f>IF(B1750&lt;&gt;"",IF(AND(B1750='IN-TC'!$S$4,OR(TH!N1750="1111",TH!O1750="1111")),TH!D1750,""),"")</f>
        <v/>
      </c>
      <c r="B1750" s="1129">
        <f t="shared" si="413"/>
        <v>8</v>
      </c>
      <c r="C1750" s="936">
        <v>42962</v>
      </c>
      <c r="D1750" s="936" t="s">
        <v>818</v>
      </c>
      <c r="E1750" s="936">
        <f t="shared" si="414"/>
        <v>42962</v>
      </c>
      <c r="F1750" s="958" t="s">
        <v>2399</v>
      </c>
      <c r="G1750" s="942" t="s">
        <v>1860</v>
      </c>
      <c r="H1750" s="937" t="s">
        <v>1859</v>
      </c>
      <c r="I1750" s="939">
        <v>26390</v>
      </c>
      <c r="J1750" s="939">
        <v>2.2000000000000002</v>
      </c>
      <c r="K1750" s="939">
        <f t="shared" ref="K1750" si="455">I1750*J1750</f>
        <v>58058.000000000007</v>
      </c>
      <c r="L1750" s="938">
        <v>22695</v>
      </c>
      <c r="M1750" s="933">
        <f t="shared" ref="M1750:M1757" si="456">ROUND(K1750*L1750,0)</f>
        <v>1317626310</v>
      </c>
      <c r="N1750" s="941" t="s">
        <v>536</v>
      </c>
      <c r="O1750" s="941" t="s">
        <v>288</v>
      </c>
      <c r="P1750" s="75" t="str">
        <f>IF(AND('331-CT'!$E$7=TH!H1750,OR(N1750="331",O1750="331")),"x","")</f>
        <v/>
      </c>
      <c r="Q1750" s="75" t="str">
        <f>IF(AND(B1750='111'!$L$11,OR($N1750=$Q$7,$O1750=$Q$7)),"x","")</f>
        <v/>
      </c>
      <c r="R1750" s="75" t="str">
        <f>IF(AND($N1750=$Q$7,$B1750&lt;'111'!$L$11),"x","")</f>
        <v/>
      </c>
      <c r="S1750" s="75" t="str">
        <f>IF(AND($O1750=$Q$7,$B1750&lt;'111'!$L$11),"x","")</f>
        <v/>
      </c>
      <c r="T1750" s="75" t="str">
        <f>IF(ISERROR(FIND('112'!$M$9,G1750,1)),"",IF((AND(FIND('112'!$M$9,G1750,1)&gt;=1,B1750='112'!$K$9,OR($N1750='112'!$I$6,$O1750='112'!$I$6))),"x",""))</f>
        <v/>
      </c>
      <c r="U1750" s="75" t="str">
        <f>IF(ISERROR(FIND('112'!$M$9,G1750,1)),"",IF((AND(LEFT(G1750,2)=LEFT('112'!$M$9,2),B1750&lt;'112'!$K$9,$N1750='112'!$I$6)),"x",""))</f>
        <v/>
      </c>
      <c r="V1750" s="75" t="str">
        <f>IF(ISERROR(FIND('112'!$M$9,G1750,1)),"",IF((AND(RIGHT(G1750,2)=RIGHT('112'!$M$9,2),B1750&lt;'112'!$K$9,$O1750='112'!$I$6)),"x",""))</f>
        <v/>
      </c>
      <c r="W1750" s="75" t="str">
        <f>IF(AND('341-CT'!$H$9=H1750,OR(LEFT(N1750,3)=$W$7,LEFT(O1750,3)=$W$7)),"x","")</f>
        <v/>
      </c>
      <c r="X1750" s="75" t="str">
        <f>IF(OR(TH!N1750=TH!$X$7,O1750=TH!$X$7),"x","")</f>
        <v/>
      </c>
      <c r="Y1750" s="75" t="str">
        <f>IF(AND(OR(N1750="131",O1750="131"),H1750='131-CT'!$H$9),"x","")</f>
        <v/>
      </c>
      <c r="Z1750" s="75"/>
      <c r="AA1750" s="75" t="str">
        <f>IF(AND(MONTH(E1750)='IN-NX'!$J$5,'IN-NX'!$D$7=D1750),"x","")</f>
        <v/>
      </c>
      <c r="AB1750" s="75" t="str">
        <f>IF(AND(OR(LEFT(TH!N1750,2)="15",LEFT(TH!O1750,2)="15"),LEFT(TH!O1750,3)&lt;&gt;"111",'152-CT'!$J$8=TH!F1750),"x","")</f>
        <v/>
      </c>
      <c r="AC1750" s="75" t="str">
        <f>IF(AND(OR(LEFT(TH!N1750,2)="15",LEFT(TH!O1750,2)="15"),TK!$E$7=TH!F1750),"x","")</f>
        <v/>
      </c>
      <c r="AD1750" s="75" t="str">
        <f>IF(AND(N1750="1521",MONTH(C1750)='BK-NL'!$M$11),"x","")</f>
        <v/>
      </c>
    </row>
    <row r="1751" spans="1:32" ht="16.5" customHeight="1">
      <c r="A1751" s="309" t="str">
        <f>IF(B1751&lt;&gt;"",IF(AND(B1751='IN-TC'!$S$4,OR(TH!N1751="1111",TH!O1751="1111")),TH!D1751,""),"")</f>
        <v/>
      </c>
      <c r="B1751" s="1129">
        <f t="shared" si="413"/>
        <v>8</v>
      </c>
      <c r="C1751" s="252">
        <v>42963</v>
      </c>
      <c r="D1751" s="252" t="s">
        <v>819</v>
      </c>
      <c r="E1751" s="252">
        <f t="shared" ref="E1751:E1753" si="457">C1751</f>
        <v>42963</v>
      </c>
      <c r="F1751" s="1055" t="s">
        <v>1588</v>
      </c>
      <c r="G1751" s="1056" t="s">
        <v>1868</v>
      </c>
      <c r="H1751" s="296" t="s">
        <v>822</v>
      </c>
      <c r="I1751" s="371">
        <v>12000</v>
      </c>
      <c r="J1751" s="371">
        <v>9.75</v>
      </c>
      <c r="K1751" s="371">
        <f t="shared" ref="K1751:K1753" si="458">I1751*J1751</f>
        <v>117000</v>
      </c>
      <c r="L1751" s="377">
        <v>22695</v>
      </c>
      <c r="M1751" s="933">
        <f t="shared" si="456"/>
        <v>2655315000</v>
      </c>
      <c r="N1751" s="977" t="s">
        <v>536</v>
      </c>
      <c r="O1751" s="977" t="s">
        <v>288</v>
      </c>
      <c r="P1751" s="75" t="str">
        <f>IF(AND('331-CT'!$E$7=TH!H1751,OR(N1751="331",O1751="331")),"x","")</f>
        <v/>
      </c>
      <c r="Q1751" s="75" t="str">
        <f>IF(AND(B1751='111'!$L$11,OR($N1751=$Q$7,$O1751=$Q$7)),"x","")</f>
        <v/>
      </c>
      <c r="R1751" s="75" t="str">
        <f>IF(AND($N1751=$Q$7,$B1751&lt;'111'!$L$11),"x","")</f>
        <v/>
      </c>
      <c r="S1751" s="75" t="str">
        <f>IF(AND($O1751=$Q$7,$B1751&lt;'111'!$L$11),"x","")</f>
        <v/>
      </c>
      <c r="T1751" s="75" t="str">
        <f>IF(ISERROR(FIND('112'!$M$9,G1751,1)),"",IF((AND(FIND('112'!$M$9,G1751,1)&gt;=1,B1751='112'!$K$9,OR($N1751='112'!$I$6,$O1751='112'!$I$6))),"x",""))</f>
        <v/>
      </c>
      <c r="U1751" s="75" t="str">
        <f>IF(ISERROR(FIND('112'!$M$9,G1751,1)),"",IF((AND(LEFT(G1751,2)=LEFT('112'!$M$9,2),B1751&lt;'112'!$K$9,$N1751='112'!$I$6)),"x",""))</f>
        <v/>
      </c>
      <c r="V1751" s="75" t="str">
        <f>IF(ISERROR(FIND('112'!$M$9,G1751,1)),"",IF((AND(RIGHT(G1751,2)=RIGHT('112'!$M$9,2),B1751&lt;'112'!$K$9,$O1751='112'!$I$6)),"x",""))</f>
        <v/>
      </c>
      <c r="W1751" s="75" t="str">
        <f>IF(AND('341-CT'!$H$9=H1751,OR(LEFT(N1751,3)=$W$7,LEFT(O1751,3)=$W$7)),"x","")</f>
        <v/>
      </c>
      <c r="X1751" s="75" t="str">
        <f>IF(OR(TH!N1751=TH!$X$7,O1751=TH!$X$7),"x","")</f>
        <v/>
      </c>
      <c r="Y1751" s="75" t="str">
        <f>IF(AND(OR(N1751="131",O1751="131"),H1751='131-CT'!$H$9),"x","")</f>
        <v/>
      </c>
      <c r="Z1751" s="75"/>
      <c r="AA1751" s="75" t="str">
        <f>IF(AND(MONTH(E1751)='IN-NX'!$J$5,'IN-NX'!$D$7=D1751),"x","")</f>
        <v/>
      </c>
      <c r="AB1751" s="75" t="str">
        <f>IF(AND(OR(LEFT(TH!N1751,2)="15",LEFT(TH!O1751,2)="15"),LEFT(TH!O1751,3)&lt;&gt;"111",'152-CT'!$J$8=TH!F1751),"x","")</f>
        <v/>
      </c>
      <c r="AC1751" s="75" t="str">
        <f>IF(AND(OR(LEFT(TH!N1751,2)="15",LEFT(TH!O1751,2)="15"),TK!$E$7=TH!F1751),"x","")</f>
        <v/>
      </c>
      <c r="AD1751" s="75" t="str">
        <f>IF(AND(N1751="1521",MONTH(C1751)='BK-NL'!$M$11),"x","")</f>
        <v/>
      </c>
    </row>
    <row r="1752" spans="1:32" ht="16.5" customHeight="1">
      <c r="A1752" s="309" t="str">
        <f>IF(B1752&lt;&gt;"",IF(AND(B1752='IN-TC'!$S$4,OR(TH!N1752="1111",TH!O1752="1111")),TH!D1752,""),"")</f>
        <v/>
      </c>
      <c r="B1752" s="1129">
        <f t="shared" si="413"/>
        <v>8</v>
      </c>
      <c r="C1752" s="252">
        <v>42964</v>
      </c>
      <c r="D1752" s="252" t="s">
        <v>836</v>
      </c>
      <c r="E1752" s="252">
        <f t="shared" si="457"/>
        <v>42964</v>
      </c>
      <c r="F1752" s="1055" t="s">
        <v>2399</v>
      </c>
      <c r="G1752" s="1056" t="s">
        <v>1897</v>
      </c>
      <c r="H1752" s="296" t="s">
        <v>1859</v>
      </c>
      <c r="I1752" s="371">
        <v>26390</v>
      </c>
      <c r="J1752" s="371">
        <v>2.2000000000000002</v>
      </c>
      <c r="K1752" s="371">
        <f t="shared" si="458"/>
        <v>58058.000000000007</v>
      </c>
      <c r="L1752" s="377">
        <v>22695</v>
      </c>
      <c r="M1752" s="933">
        <f t="shared" si="456"/>
        <v>1317626310</v>
      </c>
      <c r="N1752" s="977" t="s">
        <v>536</v>
      </c>
      <c r="O1752" s="977" t="s">
        <v>288</v>
      </c>
      <c r="P1752" s="75" t="str">
        <f>IF(AND('331-CT'!$E$7=TH!H1752,OR(N1752="331",O1752="331")),"x","")</f>
        <v/>
      </c>
      <c r="Q1752" s="75" t="str">
        <f>IF(AND(B1752='111'!$L$11,OR($N1752=$Q$7,$O1752=$Q$7)),"x","")</f>
        <v/>
      </c>
      <c r="R1752" s="75" t="str">
        <f>IF(AND($N1752=$Q$7,$B1752&lt;'111'!$L$11),"x","")</f>
        <v/>
      </c>
      <c r="S1752" s="75" t="str">
        <f>IF(AND($O1752=$Q$7,$B1752&lt;'111'!$L$11),"x","")</f>
        <v/>
      </c>
      <c r="T1752" s="75" t="str">
        <f>IF(ISERROR(FIND('112'!$M$9,G1752,1)),"",IF((AND(FIND('112'!$M$9,G1752,1)&gt;=1,B1752='112'!$K$9,OR($N1752='112'!$I$6,$O1752='112'!$I$6))),"x",""))</f>
        <v/>
      </c>
      <c r="U1752" s="75" t="str">
        <f>IF(ISERROR(FIND('112'!$M$9,G1752,1)),"",IF((AND(LEFT(G1752,2)=LEFT('112'!$M$9,2),B1752&lt;'112'!$K$9,$N1752='112'!$I$6)),"x",""))</f>
        <v/>
      </c>
      <c r="V1752" s="75" t="str">
        <f>IF(ISERROR(FIND('112'!$M$9,G1752,1)),"",IF((AND(RIGHT(G1752,2)=RIGHT('112'!$M$9,2),B1752&lt;'112'!$K$9,$O1752='112'!$I$6)),"x",""))</f>
        <v/>
      </c>
      <c r="W1752" s="75" t="str">
        <f>IF(AND('341-CT'!$H$9=H1752,OR(LEFT(N1752,3)=$W$7,LEFT(O1752,3)=$W$7)),"x","")</f>
        <v/>
      </c>
      <c r="X1752" s="75" t="str">
        <f>IF(OR(TH!N1752=TH!$X$7,O1752=TH!$X$7),"x","")</f>
        <v/>
      </c>
      <c r="Y1752" s="75" t="str">
        <f>IF(AND(OR(N1752="131",O1752="131"),H1752='131-CT'!$H$9),"x","")</f>
        <v/>
      </c>
      <c r="Z1752" s="75"/>
      <c r="AA1752" s="75" t="str">
        <f>IF(AND(MONTH(E1752)='IN-NX'!$J$5,'IN-NX'!$D$7=D1752),"x","")</f>
        <v/>
      </c>
      <c r="AB1752" s="75" t="str">
        <f>IF(AND(OR(LEFT(TH!N1752,2)="15",LEFT(TH!O1752,2)="15"),LEFT(TH!O1752,3)&lt;&gt;"111",'152-CT'!$J$8=TH!F1752),"x","")</f>
        <v/>
      </c>
      <c r="AC1752" s="75" t="str">
        <f>IF(AND(OR(LEFT(TH!N1752,2)="15",LEFT(TH!O1752,2)="15"),TK!$E$7=TH!F1752),"x","")</f>
        <v/>
      </c>
      <c r="AD1752" s="75" t="str">
        <f>IF(AND(N1752="1521",MONTH(C1752)='BK-NL'!$M$11),"x","")</f>
        <v/>
      </c>
    </row>
    <row r="1753" spans="1:32" ht="16.5" customHeight="1">
      <c r="A1753" s="309" t="str">
        <f>IF(B1753&lt;&gt;"",IF(AND(B1753='IN-TC'!$S$4,OR(TH!N1753="1111",TH!O1753="1111")),TH!D1753,""),"")</f>
        <v/>
      </c>
      <c r="B1753" s="1129">
        <f t="shared" si="413"/>
        <v>8</v>
      </c>
      <c r="C1753" s="252">
        <v>42965</v>
      </c>
      <c r="D1753" s="252" t="s">
        <v>838</v>
      </c>
      <c r="E1753" s="252">
        <f t="shared" si="457"/>
        <v>42965</v>
      </c>
      <c r="F1753" s="1055" t="s">
        <v>2399</v>
      </c>
      <c r="G1753" s="1056" t="s">
        <v>1898</v>
      </c>
      <c r="H1753" s="296" t="s">
        <v>1859</v>
      </c>
      <c r="I1753" s="371">
        <v>26390</v>
      </c>
      <c r="J1753" s="371">
        <v>2.2000000000000002</v>
      </c>
      <c r="K1753" s="371">
        <f t="shared" si="458"/>
        <v>58058.000000000007</v>
      </c>
      <c r="L1753" s="377">
        <v>22695</v>
      </c>
      <c r="M1753" s="933">
        <f t="shared" si="456"/>
        <v>1317626310</v>
      </c>
      <c r="N1753" s="977" t="s">
        <v>536</v>
      </c>
      <c r="O1753" s="977" t="s">
        <v>288</v>
      </c>
      <c r="P1753" s="75" t="str">
        <f>IF(AND('331-CT'!$E$7=TH!H1753,OR(N1753="331",O1753="331")),"x","")</f>
        <v/>
      </c>
      <c r="Q1753" s="75" t="str">
        <f>IF(AND(B1753='111'!$L$11,OR($N1753=$Q$7,$O1753=$Q$7)),"x","")</f>
        <v/>
      </c>
      <c r="R1753" s="75" t="str">
        <f>IF(AND($N1753=$Q$7,$B1753&lt;'111'!$L$11),"x","")</f>
        <v/>
      </c>
      <c r="S1753" s="75" t="str">
        <f>IF(AND($O1753=$Q$7,$B1753&lt;'111'!$L$11),"x","")</f>
        <v/>
      </c>
      <c r="T1753" s="75" t="str">
        <f>IF(ISERROR(FIND('112'!$M$9,G1753,1)),"",IF((AND(FIND('112'!$M$9,G1753,1)&gt;=1,B1753='112'!$K$9,OR($N1753='112'!$I$6,$O1753='112'!$I$6))),"x",""))</f>
        <v/>
      </c>
      <c r="U1753" s="75" t="str">
        <f>IF(ISERROR(FIND('112'!$M$9,G1753,1)),"",IF((AND(LEFT(G1753,2)=LEFT('112'!$M$9,2),B1753&lt;'112'!$K$9,$N1753='112'!$I$6)),"x",""))</f>
        <v/>
      </c>
      <c r="V1753" s="75" t="str">
        <f>IF(ISERROR(FIND('112'!$M$9,G1753,1)),"",IF((AND(RIGHT(G1753,2)=RIGHT('112'!$M$9,2),B1753&lt;'112'!$K$9,$O1753='112'!$I$6)),"x",""))</f>
        <v/>
      </c>
      <c r="W1753" s="75" t="str">
        <f>IF(AND('341-CT'!$H$9=H1753,OR(LEFT(N1753,3)=$W$7,LEFT(O1753,3)=$W$7)),"x","")</f>
        <v/>
      </c>
      <c r="X1753" s="75" t="str">
        <f>IF(OR(TH!N1753=TH!$X$7,O1753=TH!$X$7),"x","")</f>
        <v/>
      </c>
      <c r="Y1753" s="75" t="str">
        <f>IF(AND(OR(N1753="131",O1753="131"),H1753='131-CT'!$H$9),"x","")</f>
        <v/>
      </c>
      <c r="Z1753" s="75"/>
      <c r="AA1753" s="75" t="str">
        <f>IF(AND(MONTH(E1753)='IN-NX'!$J$5,'IN-NX'!$D$7=D1753),"x","")</f>
        <v/>
      </c>
      <c r="AB1753" s="75" t="str">
        <f>IF(AND(OR(LEFT(TH!N1753,2)="15",LEFT(TH!O1753,2)="15"),LEFT(TH!O1753,3)&lt;&gt;"111",'152-CT'!$J$8=TH!F1753),"x","")</f>
        <v/>
      </c>
      <c r="AC1753" s="75" t="str">
        <f>IF(AND(OR(LEFT(TH!N1753,2)="15",LEFT(TH!O1753,2)="15"),TK!$E$7=TH!F1753),"x","")</f>
        <v/>
      </c>
      <c r="AD1753" s="75" t="str">
        <f>IF(AND(N1753="1521",MONTH(C1753)='BK-NL'!$M$11),"x","")</f>
        <v/>
      </c>
    </row>
    <row r="1754" spans="1:32" ht="16.5" customHeight="1">
      <c r="A1754" s="309" t="str">
        <f>IF(B1754&lt;&gt;"",IF(AND(B1754='IN-TC'!$S$4,OR(TH!N1754="1111",TH!O1754="1111")),TH!D1754,""),"")</f>
        <v/>
      </c>
      <c r="B1754" s="1129">
        <f t="shared" si="413"/>
        <v>8</v>
      </c>
      <c r="C1754" s="252">
        <v>42970</v>
      </c>
      <c r="D1754" s="252" t="s">
        <v>863</v>
      </c>
      <c r="E1754" s="252">
        <f t="shared" ref="E1754:E1755" si="459">C1754</f>
        <v>42970</v>
      </c>
      <c r="F1754" s="1055" t="s">
        <v>793</v>
      </c>
      <c r="G1754" s="1056" t="s">
        <v>1902</v>
      </c>
      <c r="H1754" s="296" t="s">
        <v>1903</v>
      </c>
      <c r="I1754" s="371">
        <v>6000</v>
      </c>
      <c r="J1754" s="371">
        <v>7.5</v>
      </c>
      <c r="K1754" s="371">
        <f t="shared" ref="K1754:K1755" si="460">I1754*J1754</f>
        <v>45000</v>
      </c>
      <c r="L1754" s="377">
        <v>22690</v>
      </c>
      <c r="M1754" s="933">
        <f t="shared" si="456"/>
        <v>1021050000</v>
      </c>
      <c r="N1754" s="977" t="s">
        <v>536</v>
      </c>
      <c r="O1754" s="977" t="s">
        <v>288</v>
      </c>
      <c r="P1754" s="75" t="str">
        <f>IF(AND('331-CT'!$E$7=TH!H1754,OR(N1754="331",O1754="331")),"x","")</f>
        <v/>
      </c>
      <c r="Q1754" s="75" t="str">
        <f>IF(AND(B1754='111'!$L$11,OR($N1754=$Q$7,$O1754=$Q$7)),"x","")</f>
        <v/>
      </c>
      <c r="R1754" s="75" t="str">
        <f>IF(AND($N1754=$Q$7,$B1754&lt;'111'!$L$11),"x","")</f>
        <v/>
      </c>
      <c r="S1754" s="75" t="str">
        <f>IF(AND($O1754=$Q$7,$B1754&lt;'111'!$L$11),"x","")</f>
        <v/>
      </c>
      <c r="T1754" s="75" t="str">
        <f>IF(ISERROR(FIND('112'!$M$9,G1754,1)),"",IF((AND(FIND('112'!$M$9,G1754,1)&gt;=1,B1754='112'!$K$9,OR($N1754='112'!$I$6,$O1754='112'!$I$6))),"x",""))</f>
        <v/>
      </c>
      <c r="U1754" s="75" t="str">
        <f>IF(ISERROR(FIND('112'!$M$9,G1754,1)),"",IF((AND(LEFT(G1754,2)=LEFT('112'!$M$9,2),B1754&lt;'112'!$K$9,$N1754='112'!$I$6)),"x",""))</f>
        <v/>
      </c>
      <c r="V1754" s="75" t="str">
        <f>IF(ISERROR(FIND('112'!$M$9,G1754,1)),"",IF((AND(RIGHT(G1754,2)=RIGHT('112'!$M$9,2),B1754&lt;'112'!$K$9,$O1754='112'!$I$6)),"x",""))</f>
        <v/>
      </c>
      <c r="W1754" s="75" t="str">
        <f>IF(AND('341-CT'!$H$9=H1754,OR(LEFT(N1754,3)=$W$7,LEFT(O1754,3)=$W$7)),"x","")</f>
        <v/>
      </c>
      <c r="X1754" s="75" t="str">
        <f>IF(OR(TH!N1754=TH!$X$7,O1754=TH!$X$7),"x","")</f>
        <v/>
      </c>
      <c r="Y1754" s="75" t="str">
        <f>IF(AND(OR(N1754="131",O1754="131"),H1754='131-CT'!$H$9),"x","")</f>
        <v/>
      </c>
      <c r="Z1754" s="75"/>
      <c r="AA1754" s="75" t="str">
        <f>IF(AND(MONTH(E1754)='IN-NX'!$J$5,'IN-NX'!$D$7=D1754),"x","")</f>
        <v/>
      </c>
      <c r="AB1754" s="75" t="str">
        <f>IF(AND(OR(LEFT(TH!N1754,2)="15",LEFT(TH!O1754,2)="15"),LEFT(TH!O1754,3)&lt;&gt;"111",'152-CT'!$J$8=TH!F1754),"x","")</f>
        <v/>
      </c>
      <c r="AC1754" s="75" t="str">
        <f>IF(AND(OR(LEFT(TH!N1754,2)="15",LEFT(TH!O1754,2)="15"),TK!$E$7=TH!F1754),"x","")</f>
        <v/>
      </c>
      <c r="AD1754" s="75" t="str">
        <f>IF(AND(N1754="1521",MONTH(C1754)='BK-NL'!$M$11),"x","")</f>
        <v/>
      </c>
    </row>
    <row r="1755" spans="1:32" ht="16.5" customHeight="1">
      <c r="A1755" s="309" t="str">
        <f>IF(B1755&lt;&gt;"",IF(AND(B1755='IN-TC'!$S$4,OR(TH!N1755="1111",TH!O1755="1111")),TH!D1755,""),"")</f>
        <v/>
      </c>
      <c r="B1755" s="1129">
        <f t="shared" si="413"/>
        <v>8</v>
      </c>
      <c r="C1755" s="252">
        <v>42970</v>
      </c>
      <c r="D1755" s="252" t="s">
        <v>863</v>
      </c>
      <c r="E1755" s="252">
        <f t="shared" si="459"/>
        <v>42970</v>
      </c>
      <c r="F1755" s="1055" t="s">
        <v>1588</v>
      </c>
      <c r="G1755" s="1056" t="s">
        <v>1902</v>
      </c>
      <c r="H1755" s="296" t="s">
        <v>1903</v>
      </c>
      <c r="I1755" s="371">
        <v>4000</v>
      </c>
      <c r="J1755" s="371">
        <v>9.8000000000000007</v>
      </c>
      <c r="K1755" s="371">
        <f t="shared" si="460"/>
        <v>39200</v>
      </c>
      <c r="L1755" s="377">
        <v>22690</v>
      </c>
      <c r="M1755" s="933">
        <f t="shared" si="456"/>
        <v>889448000</v>
      </c>
      <c r="N1755" s="977" t="s">
        <v>536</v>
      </c>
      <c r="O1755" s="977" t="s">
        <v>288</v>
      </c>
      <c r="P1755" s="75" t="str">
        <f>IF(AND('331-CT'!$E$7=TH!H1755,OR(N1755="331",O1755="331")),"x","")</f>
        <v/>
      </c>
      <c r="Q1755" s="75" t="str">
        <f>IF(AND(B1755='111'!$L$11,OR($N1755=$Q$7,$O1755=$Q$7)),"x","")</f>
        <v/>
      </c>
      <c r="R1755" s="75" t="str">
        <f>IF(AND($N1755=$Q$7,$B1755&lt;'111'!$L$11),"x","")</f>
        <v/>
      </c>
      <c r="S1755" s="75" t="str">
        <f>IF(AND($O1755=$Q$7,$B1755&lt;'111'!$L$11),"x","")</f>
        <v/>
      </c>
      <c r="T1755" s="75" t="str">
        <f>IF(ISERROR(FIND('112'!$M$9,G1755,1)),"",IF((AND(FIND('112'!$M$9,G1755,1)&gt;=1,B1755='112'!$K$9,OR($N1755='112'!$I$6,$O1755='112'!$I$6))),"x",""))</f>
        <v/>
      </c>
      <c r="U1755" s="75" t="str">
        <f>IF(ISERROR(FIND('112'!$M$9,G1755,1)),"",IF((AND(LEFT(G1755,2)=LEFT('112'!$M$9,2),B1755&lt;'112'!$K$9,$N1755='112'!$I$6)),"x",""))</f>
        <v/>
      </c>
      <c r="V1755" s="75" t="str">
        <f>IF(ISERROR(FIND('112'!$M$9,G1755,1)),"",IF((AND(RIGHT(G1755,2)=RIGHT('112'!$M$9,2),B1755&lt;'112'!$K$9,$O1755='112'!$I$6)),"x",""))</f>
        <v/>
      </c>
      <c r="W1755" s="75" t="str">
        <f>IF(AND('341-CT'!$H$9=H1755,OR(LEFT(N1755,3)=$W$7,LEFT(O1755,3)=$W$7)),"x","")</f>
        <v/>
      </c>
      <c r="X1755" s="75" t="str">
        <f>IF(OR(TH!N1755=TH!$X$7,O1755=TH!$X$7),"x","")</f>
        <v/>
      </c>
      <c r="Y1755" s="75" t="str">
        <f>IF(AND(OR(N1755="131",O1755="131"),H1755='131-CT'!$H$9),"x","")</f>
        <v/>
      </c>
      <c r="Z1755" s="75"/>
      <c r="AA1755" s="75" t="str">
        <f>IF(AND(MONTH(E1755)='IN-NX'!$J$5,'IN-NX'!$D$7=D1755),"x","")</f>
        <v/>
      </c>
      <c r="AB1755" s="75" t="str">
        <f>IF(AND(OR(LEFT(TH!N1755,2)="15",LEFT(TH!O1755,2)="15"),LEFT(TH!O1755,3)&lt;&gt;"111",'152-CT'!$J$8=TH!F1755),"x","")</f>
        <v/>
      </c>
      <c r="AC1755" s="75" t="str">
        <f>IF(AND(OR(LEFT(TH!N1755,2)="15",LEFT(TH!O1755,2)="15"),TK!$E$7=TH!F1755),"x","")</f>
        <v/>
      </c>
      <c r="AD1755" s="75" t="str">
        <f>IF(AND(N1755="1521",MONTH(C1755)='BK-NL'!$M$11),"x","")</f>
        <v/>
      </c>
    </row>
    <row r="1756" spans="1:32" ht="16.5" customHeight="1">
      <c r="A1756" s="309" t="str">
        <f>IF(B1756&lt;&gt;"",IF(AND(B1756='IN-TC'!$S$4,OR(TH!N1756="1111",TH!O1756="1111")),TH!D1756,""),"")</f>
        <v/>
      </c>
      <c r="B1756" s="1129">
        <f t="shared" si="413"/>
        <v>8</v>
      </c>
      <c r="C1756" s="252">
        <v>42971</v>
      </c>
      <c r="D1756" s="252" t="s">
        <v>864</v>
      </c>
      <c r="E1756" s="252">
        <f t="shared" ref="E1756:E1828" si="461">C1756</f>
        <v>42971</v>
      </c>
      <c r="F1756" s="1055" t="s">
        <v>2399</v>
      </c>
      <c r="G1756" s="1056" t="s">
        <v>1907</v>
      </c>
      <c r="H1756" s="296" t="s">
        <v>1859</v>
      </c>
      <c r="I1756" s="371">
        <v>26390</v>
      </c>
      <c r="J1756" s="371">
        <v>2.2000000000000002</v>
      </c>
      <c r="K1756" s="371">
        <f t="shared" ref="K1756:K1757" si="462">I1756*J1756</f>
        <v>58058.000000000007</v>
      </c>
      <c r="L1756" s="377">
        <v>22690</v>
      </c>
      <c r="M1756" s="933">
        <f t="shared" si="456"/>
        <v>1317336020</v>
      </c>
      <c r="N1756" s="977" t="s">
        <v>536</v>
      </c>
      <c r="O1756" s="977" t="s">
        <v>288</v>
      </c>
      <c r="P1756" s="75" t="str">
        <f>IF(AND('331-CT'!$E$7=TH!H1756,OR(N1756="331",O1756="331")),"x","")</f>
        <v/>
      </c>
      <c r="Q1756" s="75" t="str">
        <f>IF(AND(B1756='111'!$L$11,OR($N1756=$Q$7,$O1756=$Q$7)),"x","")</f>
        <v/>
      </c>
      <c r="R1756" s="75" t="str">
        <f>IF(AND($N1756=$Q$7,$B1756&lt;'111'!$L$11),"x","")</f>
        <v/>
      </c>
      <c r="S1756" s="75" t="str">
        <f>IF(AND($O1756=$Q$7,$B1756&lt;'111'!$L$11),"x","")</f>
        <v/>
      </c>
      <c r="T1756" s="75" t="str">
        <f>IF(ISERROR(FIND('112'!$M$9,G1756,1)),"",IF((AND(FIND('112'!$M$9,G1756,1)&gt;=1,B1756='112'!$K$9,OR($N1756='112'!$I$6,$O1756='112'!$I$6))),"x",""))</f>
        <v/>
      </c>
      <c r="U1756" s="75" t="str">
        <f>IF(ISERROR(FIND('112'!$M$9,G1756,1)),"",IF((AND(LEFT(G1756,2)=LEFT('112'!$M$9,2),B1756&lt;'112'!$K$9,$N1756='112'!$I$6)),"x",""))</f>
        <v/>
      </c>
      <c r="V1756" s="75" t="str">
        <f>IF(ISERROR(FIND('112'!$M$9,G1756,1)),"",IF((AND(RIGHT(G1756,2)=RIGHT('112'!$M$9,2),B1756&lt;'112'!$K$9,$O1756='112'!$I$6)),"x",""))</f>
        <v/>
      </c>
      <c r="W1756" s="75" t="str">
        <f>IF(AND('341-CT'!$H$9=H1756,OR(LEFT(N1756,3)=$W$7,LEFT(O1756,3)=$W$7)),"x","")</f>
        <v/>
      </c>
      <c r="X1756" s="75" t="str">
        <f>IF(OR(TH!N1756=TH!$X$7,O1756=TH!$X$7),"x","")</f>
        <v/>
      </c>
      <c r="Y1756" s="75" t="str">
        <f>IF(AND(OR(N1756="131",O1756="131"),H1756='131-CT'!$H$9),"x","")</f>
        <v/>
      </c>
      <c r="Z1756" s="75"/>
      <c r="AA1756" s="75" t="str">
        <f>IF(AND(MONTH(E1756)='IN-NX'!$J$5,'IN-NX'!$D$7=D1756),"x","")</f>
        <v/>
      </c>
      <c r="AB1756" s="75" t="str">
        <f>IF(AND(OR(LEFT(TH!N1756,2)="15",LEFT(TH!O1756,2)="15"),LEFT(TH!O1756,3)&lt;&gt;"111",'152-CT'!$J$8=TH!F1756),"x","")</f>
        <v/>
      </c>
      <c r="AC1756" s="75" t="str">
        <f>IF(AND(OR(LEFT(TH!N1756,2)="15",LEFT(TH!O1756,2)="15"),TK!$E$7=TH!F1756),"x","")</f>
        <v/>
      </c>
      <c r="AD1756" s="75" t="str">
        <f>IF(AND(N1756="1521",MONTH(C1756)='BK-NL'!$M$11),"x","")</f>
        <v/>
      </c>
    </row>
    <row r="1757" spans="1:32" ht="16.5" customHeight="1">
      <c r="A1757" s="309" t="str">
        <f>IF(B1757&lt;&gt;"",IF(AND(B1757='IN-TC'!$S$4,OR(TH!N1757="1111",TH!O1757="1111")),TH!D1757,""),"")</f>
        <v/>
      </c>
      <c r="B1757" s="1129">
        <f t="shared" si="413"/>
        <v>8</v>
      </c>
      <c r="C1757" s="252">
        <v>42975</v>
      </c>
      <c r="D1757" s="252" t="s">
        <v>894</v>
      </c>
      <c r="E1757" s="252">
        <f t="shared" si="461"/>
        <v>42975</v>
      </c>
      <c r="F1757" s="1055" t="s">
        <v>429</v>
      </c>
      <c r="G1757" s="1056" t="s">
        <v>1913</v>
      </c>
      <c r="H1757" s="735" t="s">
        <v>759</v>
      </c>
      <c r="I1757" s="371">
        <v>52780</v>
      </c>
      <c r="J1757" s="371">
        <v>2.5499999999999998</v>
      </c>
      <c r="K1757" s="371">
        <f t="shared" si="462"/>
        <v>134589</v>
      </c>
      <c r="L1757" s="377">
        <v>22695</v>
      </c>
      <c r="M1757" s="933">
        <f t="shared" si="456"/>
        <v>3054497355</v>
      </c>
      <c r="N1757" s="977" t="s">
        <v>536</v>
      </c>
      <c r="O1757" s="977" t="s">
        <v>288</v>
      </c>
      <c r="P1757" s="75" t="str">
        <f>IF(AND('331-CT'!$E$7=TH!H1757,OR(N1757="331",O1757="331")),"x","")</f>
        <v/>
      </c>
      <c r="Q1757" s="75" t="str">
        <f>IF(AND(B1757='111'!$L$11,OR($N1757=$Q$7,$O1757=$Q$7)),"x","")</f>
        <v/>
      </c>
      <c r="R1757" s="75" t="str">
        <f>IF(AND($N1757=$Q$7,$B1757&lt;'111'!$L$11),"x","")</f>
        <v/>
      </c>
      <c r="S1757" s="75" t="str">
        <f>IF(AND($O1757=$Q$7,$B1757&lt;'111'!$L$11),"x","")</f>
        <v/>
      </c>
      <c r="T1757" s="75" t="str">
        <f>IF(ISERROR(FIND('112'!$M$9,G1757,1)),"",IF((AND(FIND('112'!$M$9,G1757,1)&gt;=1,B1757='112'!$K$9,OR($N1757='112'!$I$6,$O1757='112'!$I$6))),"x",""))</f>
        <v/>
      </c>
      <c r="U1757" s="75" t="str">
        <f>IF(ISERROR(FIND('112'!$M$9,G1757,1)),"",IF((AND(LEFT(G1757,2)=LEFT('112'!$M$9,2),B1757&lt;'112'!$K$9,$N1757='112'!$I$6)),"x",""))</f>
        <v/>
      </c>
      <c r="V1757" s="75" t="str">
        <f>IF(ISERROR(FIND('112'!$M$9,G1757,1)),"",IF((AND(RIGHT(G1757,2)=RIGHT('112'!$M$9,2),B1757&lt;'112'!$K$9,$O1757='112'!$I$6)),"x",""))</f>
        <v/>
      </c>
      <c r="W1757" s="75" t="str">
        <f>IF(AND('341-CT'!$H$9=H1757,OR(LEFT(N1757,3)=$W$7,LEFT(O1757,3)=$W$7)),"x","")</f>
        <v/>
      </c>
      <c r="X1757" s="75" t="str">
        <f>IF(OR(TH!N1757=TH!$X$7,O1757=TH!$X$7),"x","")</f>
        <v/>
      </c>
      <c r="Y1757" s="75" t="str">
        <f>IF(AND(OR(N1757="131",O1757="131"),H1757='131-CT'!$H$9),"x","")</f>
        <v/>
      </c>
      <c r="Z1757" s="75"/>
      <c r="AA1757" s="75" t="str">
        <f>IF(AND(MONTH(E1757)='IN-NX'!$J$5,'IN-NX'!$D$7=D1757),"x","")</f>
        <v/>
      </c>
      <c r="AB1757" s="75" t="str">
        <f>IF(AND(OR(LEFT(TH!N1757,2)="15",LEFT(TH!O1757,2)="15"),LEFT(TH!O1757,3)&lt;&gt;"111",'152-CT'!$J$8=TH!F1757),"x","")</f>
        <v/>
      </c>
      <c r="AC1757" s="75" t="str">
        <f>IF(AND(OR(LEFT(TH!N1757,2)="15",LEFT(TH!O1757,2)="15"),TK!$E$7=TH!F1757),"x","")</f>
        <v/>
      </c>
      <c r="AD1757" s="75" t="str">
        <f>IF(AND(N1757="1521",MONTH(C1757)='BK-NL'!$M$11),"x","")</f>
        <v/>
      </c>
    </row>
    <row r="1758" spans="1:32" s="1053" customFormat="1" ht="16.5" customHeight="1">
      <c r="A1758" s="309" t="str">
        <f>IF(B1758&lt;&gt;"",IF(AND(B1758='IN-TC'!$S$4,OR(TH!N1758="1111",TH!O1758="1111")),TH!D1758,""),"")</f>
        <v/>
      </c>
      <c r="B1758" s="1129">
        <f t="shared" ref="B1758:B1766" si="463">IF(C1758&lt;&gt;"",MONTH(C1758),"")</f>
        <v>8</v>
      </c>
      <c r="C1758" s="217">
        <v>42953</v>
      </c>
      <c r="D1758" s="217" t="s">
        <v>815</v>
      </c>
      <c r="E1758" s="217">
        <f t="shared" ref="E1758:E1766" si="464">C1758</f>
        <v>42953</v>
      </c>
      <c r="F1758" s="960" t="s">
        <v>429</v>
      </c>
      <c r="G1758" s="739" t="s">
        <v>1810</v>
      </c>
      <c r="H1758" s="67" t="s">
        <v>789</v>
      </c>
      <c r="I1758" s="373">
        <v>23283</v>
      </c>
      <c r="J1758" s="373">
        <v>51000</v>
      </c>
      <c r="K1758" s="373"/>
      <c r="L1758" s="379"/>
      <c r="M1758" s="927">
        <f t="shared" ref="M1758:M1766" si="465">ROUND(I1758*J1758,0)</f>
        <v>1187433000</v>
      </c>
      <c r="N1758" s="935" t="s">
        <v>274</v>
      </c>
      <c r="O1758" s="935" t="s">
        <v>8</v>
      </c>
      <c r="P1758" s="75" t="str">
        <f>IF(AND('331-CT'!$E$7=TH!H1758,OR(N1758="331",O1758="331")),"x","")</f>
        <v/>
      </c>
      <c r="Q1758" s="75" t="str">
        <f>IF(AND(B1758='111'!$L$11,OR($N1758=$Q$7,$O1758=$Q$7)),"x","")</f>
        <v/>
      </c>
      <c r="R1758" s="75" t="str">
        <f>IF(AND($N1758=$Q$7,$B1758&lt;'111'!$L$11),"x","")</f>
        <v/>
      </c>
      <c r="S1758" s="75" t="str">
        <f>IF(AND($O1758=$Q$7,$B1758&lt;'111'!$L$11),"x","")</f>
        <v/>
      </c>
      <c r="T1758" s="75" t="str">
        <f>IF(ISERROR(FIND('112'!$M$9,G1758,1)),"",IF((AND(FIND('112'!$M$9,G1758,1)&gt;=1,B1758='112'!$K$9,OR($N1758='112'!$I$6,$O1758='112'!$I$6))),"x",""))</f>
        <v/>
      </c>
      <c r="U1758" s="75" t="str">
        <f>IF(ISERROR(FIND('112'!$M$9,G1758,1)),"",IF((AND(LEFT(G1758,2)=LEFT('112'!$M$9,2),B1758&lt;'112'!$K$9,$N1758='112'!$I$6)),"x",""))</f>
        <v/>
      </c>
      <c r="V1758" s="75" t="str">
        <f>IF(ISERROR(FIND('112'!$M$9,G1758,1)),"",IF((AND(RIGHT(G1758,2)=RIGHT('112'!$M$9,2),B1758&lt;'112'!$K$9,$O1758='112'!$I$6)),"x",""))</f>
        <v/>
      </c>
      <c r="W1758" s="75" t="str">
        <f>IF(AND('341-CT'!$H$9=H1758,OR(LEFT(N1758,3)=$W$7,LEFT(O1758,3)=$W$7)),"x","")</f>
        <v/>
      </c>
      <c r="X1758" s="75" t="str">
        <f>IF(OR(TH!N1758=TH!$X$7,O1758=TH!$X$7),"x","")</f>
        <v/>
      </c>
      <c r="Y1758" s="75" t="str">
        <f>IF(AND(OR(N1758="131",O1758="131"),H1758='131-CT'!$H$9),"x","")</f>
        <v/>
      </c>
      <c r="Z1758" s="75"/>
      <c r="AA1758" s="75" t="str">
        <f>IF(AND(MONTH(E1758)='IN-NX'!$J$5,'IN-NX'!$D$7=D1758),"x","")</f>
        <v/>
      </c>
      <c r="AB1758" s="75" t="str">
        <f>IF(AND(OR(LEFT(TH!N1758,2)="15",LEFT(TH!O1758,2)="15"),LEFT(TH!O1758,3)&lt;&gt;"111",'152-CT'!$J$8=TH!F1758),"x","")</f>
        <v/>
      </c>
      <c r="AC1758" s="75" t="str">
        <f>IF(AND(OR(LEFT(TH!N1758,2)="15",LEFT(TH!O1758,2)="15"),TK!$E$7=TH!F1758),"x","")</f>
        <v/>
      </c>
      <c r="AD1758" s="75" t="str">
        <f>IF(AND(N1758="1521",MONTH(C1758)='BK-NL'!$M$11),"x","")</f>
        <v/>
      </c>
      <c r="AF1758" s="1054"/>
    </row>
    <row r="1759" spans="1:32" s="1053" customFormat="1" ht="16.5" customHeight="1">
      <c r="A1759" s="309" t="str">
        <f>IF(B1759&lt;&gt;"",IF(AND(B1759='IN-TC'!$S$4,OR(TH!N1759="1111",TH!O1759="1111")),TH!D1759,""),"")</f>
        <v/>
      </c>
      <c r="B1759" s="1129">
        <f t="shared" si="463"/>
        <v>8</v>
      </c>
      <c r="C1759" s="217">
        <v>42954</v>
      </c>
      <c r="D1759" s="217" t="s">
        <v>997</v>
      </c>
      <c r="E1759" s="217">
        <f t="shared" si="464"/>
        <v>42954</v>
      </c>
      <c r="F1759" s="960" t="s">
        <v>429</v>
      </c>
      <c r="G1759" s="739" t="s">
        <v>1811</v>
      </c>
      <c r="H1759" s="67" t="s">
        <v>789</v>
      </c>
      <c r="I1759" s="373">
        <v>23091.3</v>
      </c>
      <c r="J1759" s="373">
        <v>52000</v>
      </c>
      <c r="K1759" s="373"/>
      <c r="L1759" s="379"/>
      <c r="M1759" s="927">
        <f t="shared" si="465"/>
        <v>1200747600</v>
      </c>
      <c r="N1759" s="935" t="s">
        <v>274</v>
      </c>
      <c r="O1759" s="935" t="s">
        <v>8</v>
      </c>
      <c r="P1759" s="75" t="str">
        <f>IF(AND('331-CT'!$E$7=TH!H1759,OR(N1759="331",O1759="331")),"x","")</f>
        <v/>
      </c>
      <c r="Q1759" s="75" t="str">
        <f>IF(AND(B1759='111'!$L$11,OR($N1759=$Q$7,$O1759=$Q$7)),"x","")</f>
        <v/>
      </c>
      <c r="R1759" s="75" t="str">
        <f>IF(AND($N1759=$Q$7,$B1759&lt;'111'!$L$11),"x","")</f>
        <v/>
      </c>
      <c r="S1759" s="75" t="str">
        <f>IF(AND($O1759=$Q$7,$B1759&lt;'111'!$L$11),"x","")</f>
        <v/>
      </c>
      <c r="T1759" s="75" t="str">
        <f>IF(ISERROR(FIND('112'!$M$9,G1759,1)),"",IF((AND(FIND('112'!$M$9,G1759,1)&gt;=1,B1759='112'!$K$9,OR($N1759='112'!$I$6,$O1759='112'!$I$6))),"x",""))</f>
        <v/>
      </c>
      <c r="U1759" s="75" t="str">
        <f>IF(ISERROR(FIND('112'!$M$9,G1759,1)),"",IF((AND(LEFT(G1759,2)=LEFT('112'!$M$9,2),B1759&lt;'112'!$K$9,$N1759='112'!$I$6)),"x",""))</f>
        <v/>
      </c>
      <c r="V1759" s="75" t="str">
        <f>IF(ISERROR(FIND('112'!$M$9,G1759,1)),"",IF((AND(RIGHT(G1759,2)=RIGHT('112'!$M$9,2),B1759&lt;'112'!$K$9,$O1759='112'!$I$6)),"x",""))</f>
        <v/>
      </c>
      <c r="W1759" s="75" t="str">
        <f>IF(AND('341-CT'!$H$9=H1759,OR(LEFT(N1759,3)=$W$7,LEFT(O1759,3)=$W$7)),"x","")</f>
        <v/>
      </c>
      <c r="X1759" s="75" t="str">
        <f>IF(OR(TH!N1759=TH!$X$7,O1759=TH!$X$7),"x","")</f>
        <v/>
      </c>
      <c r="Y1759" s="75" t="str">
        <f>IF(AND(OR(N1759="131",O1759="131"),H1759='131-CT'!$H$9),"x","")</f>
        <v/>
      </c>
      <c r="Z1759" s="75"/>
      <c r="AA1759" s="75" t="str">
        <f>IF(AND(MONTH(E1759)='IN-NX'!$J$5,'IN-NX'!$D$7=D1759),"x","")</f>
        <v/>
      </c>
      <c r="AB1759" s="75" t="str">
        <f>IF(AND(OR(LEFT(TH!N1759,2)="15",LEFT(TH!O1759,2)="15"),LEFT(TH!O1759,3)&lt;&gt;"111",'152-CT'!$J$8=TH!F1759),"x","")</f>
        <v/>
      </c>
      <c r="AC1759" s="75" t="str">
        <f>IF(AND(OR(LEFT(TH!N1759,2)="15",LEFT(TH!O1759,2)="15"),TK!$E$7=TH!F1759),"x","")</f>
        <v/>
      </c>
      <c r="AD1759" s="75" t="str">
        <f>IF(AND(N1759="1521",MONTH(C1759)='BK-NL'!$M$11),"x","")</f>
        <v/>
      </c>
      <c r="AF1759" s="1054"/>
    </row>
    <row r="1760" spans="1:32" s="1053" customFormat="1" ht="16.5" customHeight="1">
      <c r="A1760" s="309" t="str">
        <f>IF(B1760&lt;&gt;"",IF(AND(B1760='IN-TC'!$S$4,OR(TH!N1760="1111",TH!O1760="1111")),TH!D1760,""),"")</f>
        <v/>
      </c>
      <c r="B1760" s="1129">
        <f t="shared" si="463"/>
        <v>8</v>
      </c>
      <c r="C1760" s="217">
        <v>42955</v>
      </c>
      <c r="D1760" s="217" t="s">
        <v>999</v>
      </c>
      <c r="E1760" s="217">
        <f t="shared" si="464"/>
        <v>42955</v>
      </c>
      <c r="F1760" s="960" t="s">
        <v>429</v>
      </c>
      <c r="G1760" s="739" t="s">
        <v>1418</v>
      </c>
      <c r="H1760" s="67" t="s">
        <v>789</v>
      </c>
      <c r="I1760" s="373">
        <v>23345</v>
      </c>
      <c r="J1760" s="373">
        <v>52000</v>
      </c>
      <c r="K1760" s="373"/>
      <c r="L1760" s="379"/>
      <c r="M1760" s="927">
        <f t="shared" si="465"/>
        <v>1213940000</v>
      </c>
      <c r="N1760" s="935" t="s">
        <v>274</v>
      </c>
      <c r="O1760" s="935" t="s">
        <v>8</v>
      </c>
      <c r="P1760" s="75" t="str">
        <f>IF(AND('331-CT'!$E$7=TH!H1760,OR(N1760="331",O1760="331")),"x","")</f>
        <v/>
      </c>
      <c r="Q1760" s="75" t="str">
        <f>IF(AND(B1760='111'!$L$11,OR($N1760=$Q$7,$O1760=$Q$7)),"x","")</f>
        <v/>
      </c>
      <c r="R1760" s="75" t="str">
        <f>IF(AND($N1760=$Q$7,$B1760&lt;'111'!$L$11),"x","")</f>
        <v/>
      </c>
      <c r="S1760" s="75" t="str">
        <f>IF(AND($O1760=$Q$7,$B1760&lt;'111'!$L$11),"x","")</f>
        <v/>
      </c>
      <c r="T1760" s="75" t="str">
        <f>IF(ISERROR(FIND('112'!$M$9,G1760,1)),"",IF((AND(FIND('112'!$M$9,G1760,1)&gt;=1,B1760='112'!$K$9,OR($N1760='112'!$I$6,$O1760='112'!$I$6))),"x",""))</f>
        <v/>
      </c>
      <c r="U1760" s="75" t="str">
        <f>IF(ISERROR(FIND('112'!$M$9,G1760,1)),"",IF((AND(LEFT(G1760,2)=LEFT('112'!$M$9,2),B1760&lt;'112'!$K$9,$N1760='112'!$I$6)),"x",""))</f>
        <v/>
      </c>
      <c r="V1760" s="75" t="str">
        <f>IF(ISERROR(FIND('112'!$M$9,G1760,1)),"",IF((AND(RIGHT(G1760,2)=RIGHT('112'!$M$9,2),B1760&lt;'112'!$K$9,$O1760='112'!$I$6)),"x",""))</f>
        <v/>
      </c>
      <c r="W1760" s="75" t="str">
        <f>IF(AND('341-CT'!$H$9=H1760,OR(LEFT(N1760,3)=$W$7,LEFT(O1760,3)=$W$7)),"x","")</f>
        <v/>
      </c>
      <c r="X1760" s="75" t="str">
        <f>IF(OR(TH!N1760=TH!$X$7,O1760=TH!$X$7),"x","")</f>
        <v/>
      </c>
      <c r="Y1760" s="75" t="str">
        <f>IF(AND(OR(N1760="131",O1760="131"),H1760='131-CT'!$H$9),"x","")</f>
        <v/>
      </c>
      <c r="Z1760" s="75"/>
      <c r="AA1760" s="75" t="str">
        <f>IF(AND(MONTH(E1760)='IN-NX'!$J$5,'IN-NX'!$D$7=D1760),"x","")</f>
        <v/>
      </c>
      <c r="AB1760" s="75" t="str">
        <f>IF(AND(OR(LEFT(TH!N1760,2)="15",LEFT(TH!O1760,2)="15"),LEFT(TH!O1760,3)&lt;&gt;"111",'152-CT'!$J$8=TH!F1760),"x","")</f>
        <v/>
      </c>
      <c r="AC1760" s="75" t="str">
        <f>IF(AND(OR(LEFT(TH!N1760,2)="15",LEFT(TH!O1760,2)="15"),TK!$E$7=TH!F1760),"x","")</f>
        <v/>
      </c>
      <c r="AD1760" s="75" t="str">
        <f>IF(AND(N1760="1521",MONTH(C1760)='BK-NL'!$M$11),"x","")</f>
        <v/>
      </c>
      <c r="AF1760" s="1054"/>
    </row>
    <row r="1761" spans="1:32" s="1053" customFormat="1" ht="16.5" customHeight="1">
      <c r="A1761" s="309" t="str">
        <f>IF(B1761&lt;&gt;"",IF(AND(B1761='IN-TC'!$S$4,OR(TH!N1761="1111",TH!O1761="1111")),TH!D1761,""),"")</f>
        <v/>
      </c>
      <c r="B1761" s="1129">
        <f t="shared" si="463"/>
        <v>8</v>
      </c>
      <c r="C1761" s="217">
        <v>42959</v>
      </c>
      <c r="D1761" s="217" t="s">
        <v>1002</v>
      </c>
      <c r="E1761" s="217">
        <f t="shared" si="464"/>
        <v>42959</v>
      </c>
      <c r="F1761" s="960" t="s">
        <v>2399</v>
      </c>
      <c r="G1761" s="739" t="s">
        <v>2211</v>
      </c>
      <c r="H1761" s="311" t="s">
        <v>623</v>
      </c>
      <c r="I1761" s="373">
        <v>52780</v>
      </c>
      <c r="J1761" s="373">
        <v>48000</v>
      </c>
      <c r="K1761" s="373"/>
      <c r="L1761" s="379"/>
      <c r="M1761" s="927">
        <f t="shared" si="465"/>
        <v>2533440000</v>
      </c>
      <c r="N1761" s="935" t="s">
        <v>274</v>
      </c>
      <c r="O1761" s="935" t="s">
        <v>8</v>
      </c>
      <c r="P1761" s="75" t="str">
        <f>IF(AND('331-CT'!$E$7=TH!H1761,OR(N1761="331",O1761="331")),"x","")</f>
        <v/>
      </c>
      <c r="Q1761" s="75" t="str">
        <f>IF(AND(B1761='111'!$L$11,OR($N1761=$Q$7,$O1761=$Q$7)),"x","")</f>
        <v/>
      </c>
      <c r="R1761" s="75" t="str">
        <f>IF(AND($N1761=$Q$7,$B1761&lt;'111'!$L$11),"x","")</f>
        <v/>
      </c>
      <c r="S1761" s="75" t="str">
        <f>IF(AND($O1761=$Q$7,$B1761&lt;'111'!$L$11),"x","")</f>
        <v/>
      </c>
      <c r="T1761" s="75" t="str">
        <f>IF(ISERROR(FIND('112'!$M$9,G1761,1)),"",IF((AND(FIND('112'!$M$9,G1761,1)&gt;=1,B1761='112'!$K$9,OR($N1761='112'!$I$6,$O1761='112'!$I$6))),"x",""))</f>
        <v/>
      </c>
      <c r="U1761" s="75" t="str">
        <f>IF(ISERROR(FIND('112'!$M$9,G1761,1)),"",IF((AND(LEFT(G1761,2)=LEFT('112'!$M$9,2),B1761&lt;'112'!$K$9,$N1761='112'!$I$6)),"x",""))</f>
        <v/>
      </c>
      <c r="V1761" s="75" t="str">
        <f>IF(ISERROR(FIND('112'!$M$9,G1761,1)),"",IF((AND(RIGHT(G1761,2)=RIGHT('112'!$M$9,2),B1761&lt;'112'!$K$9,$O1761='112'!$I$6)),"x",""))</f>
        <v/>
      </c>
      <c r="W1761" s="75" t="str">
        <f>IF(AND('341-CT'!$H$9=H1761,OR(LEFT(N1761,3)=$W$7,LEFT(O1761,3)=$W$7)),"x","")</f>
        <v/>
      </c>
      <c r="X1761" s="75" t="str">
        <f>IF(OR(TH!N1761=TH!$X$7,O1761=TH!$X$7),"x","")</f>
        <v/>
      </c>
      <c r="Y1761" s="75" t="str">
        <f>IF(AND(OR(N1761="131",O1761="131"),H1761='131-CT'!$H$9),"x","")</f>
        <v/>
      </c>
      <c r="Z1761" s="75"/>
      <c r="AA1761" s="75" t="str">
        <f>IF(AND(MONTH(E1761)='IN-NX'!$J$5,'IN-NX'!$D$7=D1761),"x","")</f>
        <v/>
      </c>
      <c r="AB1761" s="75" t="str">
        <f>IF(AND(OR(LEFT(TH!N1761,2)="15",LEFT(TH!O1761,2)="15"),LEFT(TH!O1761,3)&lt;&gt;"111",'152-CT'!$J$8=TH!F1761),"x","")</f>
        <v/>
      </c>
      <c r="AC1761" s="75" t="str">
        <f>IF(AND(OR(LEFT(TH!N1761,2)="15",LEFT(TH!O1761,2)="15"),TK!$E$7=TH!F1761),"x","")</f>
        <v/>
      </c>
      <c r="AD1761" s="75" t="str">
        <f>IF(AND(N1761="1521",MONTH(C1761)='BK-NL'!$M$11),"x","")</f>
        <v/>
      </c>
      <c r="AF1761" s="1054"/>
    </row>
    <row r="1762" spans="1:32" s="1053" customFormat="1" ht="16.5" customHeight="1">
      <c r="A1762" s="309" t="str">
        <f>IF(B1762&lt;&gt;"",IF(AND(B1762='IN-TC'!$S$4,OR(TH!N1762="1111",TH!O1762="1111")),TH!D1762,""),"")</f>
        <v/>
      </c>
      <c r="B1762" s="1279">
        <f t="shared" si="463"/>
        <v>8</v>
      </c>
      <c r="C1762" s="217">
        <v>42963</v>
      </c>
      <c r="D1762" s="217" t="s">
        <v>1084</v>
      </c>
      <c r="E1762" s="217">
        <f t="shared" si="464"/>
        <v>42963</v>
      </c>
      <c r="F1762" s="960" t="s">
        <v>2399</v>
      </c>
      <c r="G1762" s="739" t="s">
        <v>2212</v>
      </c>
      <c r="H1762" s="311" t="s">
        <v>623</v>
      </c>
      <c r="I1762" s="373">
        <v>52780</v>
      </c>
      <c r="J1762" s="373">
        <v>48000</v>
      </c>
      <c r="K1762" s="373"/>
      <c r="L1762" s="379"/>
      <c r="M1762" s="927">
        <f t="shared" si="465"/>
        <v>2533440000</v>
      </c>
      <c r="N1762" s="935" t="s">
        <v>274</v>
      </c>
      <c r="O1762" s="935" t="s">
        <v>8</v>
      </c>
      <c r="P1762" s="75" t="str">
        <f>IF(AND('331-CT'!$E$7=TH!H1762,OR(N1762="331",O1762="331")),"x","")</f>
        <v/>
      </c>
      <c r="Q1762" s="75" t="str">
        <f>IF(AND(B1762='111'!$L$11,OR($N1762=$Q$7,$O1762=$Q$7)),"x","")</f>
        <v/>
      </c>
      <c r="R1762" s="75" t="str">
        <f>IF(AND($N1762=$Q$7,$B1762&lt;'111'!$L$11),"x","")</f>
        <v/>
      </c>
      <c r="S1762" s="75" t="str">
        <f>IF(AND($O1762=$Q$7,$B1762&lt;'111'!$L$11),"x","")</f>
        <v/>
      </c>
      <c r="T1762" s="75" t="str">
        <f>IF(ISERROR(FIND('112'!$M$9,G1762,1)),"",IF((AND(FIND('112'!$M$9,G1762,1)&gt;=1,B1762='112'!$K$9,OR($N1762='112'!$I$6,$O1762='112'!$I$6))),"x",""))</f>
        <v/>
      </c>
      <c r="U1762" s="75" t="str">
        <f>IF(ISERROR(FIND('112'!$M$9,G1762,1)),"",IF((AND(LEFT(G1762,2)=LEFT('112'!$M$9,2),B1762&lt;'112'!$K$9,$N1762='112'!$I$6)),"x",""))</f>
        <v/>
      </c>
      <c r="V1762" s="75" t="str">
        <f>IF(ISERROR(FIND('112'!$M$9,G1762,1)),"",IF((AND(RIGHT(G1762,2)=RIGHT('112'!$M$9,2),B1762&lt;'112'!$K$9,$O1762='112'!$I$6)),"x",""))</f>
        <v/>
      </c>
      <c r="W1762" s="75" t="str">
        <f>IF(AND('341-CT'!$H$9=H1762,OR(LEFT(N1762,3)=$W$7,LEFT(O1762,3)=$W$7)),"x","")</f>
        <v/>
      </c>
      <c r="X1762" s="75" t="str">
        <f>IF(OR(TH!N1762=TH!$X$7,O1762=TH!$X$7),"x","")</f>
        <v/>
      </c>
      <c r="Y1762" s="75" t="str">
        <f>IF(AND(OR(N1762="131",O1762="131"),H1762='131-CT'!$H$9),"x","")</f>
        <v/>
      </c>
      <c r="Z1762" s="75"/>
      <c r="AA1762" s="75" t="str">
        <f>IF(AND(MONTH(E1762)='IN-NX'!$J$5,'IN-NX'!$D$7=D1762),"x","")</f>
        <v/>
      </c>
      <c r="AB1762" s="75" t="str">
        <f>IF(AND(OR(LEFT(TH!N1762,2)="15",LEFT(TH!O1762,2)="15"),LEFT(TH!O1762,3)&lt;&gt;"111",'152-CT'!$J$8=TH!F1762),"x","")</f>
        <v/>
      </c>
      <c r="AC1762" s="75" t="str">
        <f>IF(AND(OR(LEFT(TH!N1762,2)="15",LEFT(TH!O1762,2)="15"),TK!$E$7=TH!F1762),"x","")</f>
        <v/>
      </c>
      <c r="AD1762" s="75" t="str">
        <f>IF(AND(N1762="1521",MONTH(C1762)='BK-NL'!$M$11),"x","")</f>
        <v/>
      </c>
      <c r="AF1762" s="1054"/>
    </row>
    <row r="1763" spans="1:32" s="1053" customFormat="1" ht="16.5" customHeight="1">
      <c r="A1763" s="309" t="str">
        <f>IF(B1763&lt;&gt;"",IF(AND(B1763='IN-TC'!$S$4,OR(TH!N1763="1111",TH!O1763="1111")),TH!D1763,""),"")</f>
        <v/>
      </c>
      <c r="B1763" s="1279">
        <f t="shared" si="463"/>
        <v>8</v>
      </c>
      <c r="C1763" s="217">
        <v>42972</v>
      </c>
      <c r="D1763" s="217" t="s">
        <v>1122</v>
      </c>
      <c r="E1763" s="217">
        <f t="shared" si="464"/>
        <v>42972</v>
      </c>
      <c r="F1763" s="960" t="s">
        <v>429</v>
      </c>
      <c r="G1763" s="739" t="s">
        <v>2213</v>
      </c>
      <c r="H1763" s="311" t="s">
        <v>623</v>
      </c>
      <c r="I1763" s="373">
        <v>52780</v>
      </c>
      <c r="J1763" s="373">
        <v>56000</v>
      </c>
      <c r="K1763" s="373"/>
      <c r="L1763" s="379"/>
      <c r="M1763" s="927">
        <f t="shared" si="465"/>
        <v>2955680000</v>
      </c>
      <c r="N1763" s="935" t="s">
        <v>274</v>
      </c>
      <c r="O1763" s="935" t="s">
        <v>8</v>
      </c>
      <c r="P1763" s="75" t="str">
        <f>IF(AND('331-CT'!$E$7=TH!H1763,OR(N1763="331",O1763="331")),"x","")</f>
        <v/>
      </c>
      <c r="Q1763" s="75" t="str">
        <f>IF(AND(B1763='111'!$L$11,OR($N1763=$Q$7,$O1763=$Q$7)),"x","")</f>
        <v/>
      </c>
      <c r="R1763" s="75" t="str">
        <f>IF(AND($N1763=$Q$7,$B1763&lt;'111'!$L$11),"x","")</f>
        <v/>
      </c>
      <c r="S1763" s="75" t="str">
        <f>IF(AND($O1763=$Q$7,$B1763&lt;'111'!$L$11),"x","")</f>
        <v/>
      </c>
      <c r="T1763" s="75" t="str">
        <f>IF(ISERROR(FIND('112'!$M$9,G1763,1)),"",IF((AND(FIND('112'!$M$9,G1763,1)&gt;=1,B1763='112'!$K$9,OR($N1763='112'!$I$6,$O1763='112'!$I$6))),"x",""))</f>
        <v/>
      </c>
      <c r="U1763" s="75" t="str">
        <f>IF(ISERROR(FIND('112'!$M$9,G1763,1)),"",IF((AND(LEFT(G1763,2)=LEFT('112'!$M$9,2),B1763&lt;'112'!$K$9,$N1763='112'!$I$6)),"x",""))</f>
        <v/>
      </c>
      <c r="V1763" s="75" t="str">
        <f>IF(ISERROR(FIND('112'!$M$9,G1763,1)),"",IF((AND(RIGHT(G1763,2)=RIGHT('112'!$M$9,2),B1763&lt;'112'!$K$9,$O1763='112'!$I$6)),"x",""))</f>
        <v/>
      </c>
      <c r="W1763" s="75" t="str">
        <f>IF(AND('341-CT'!$H$9=H1763,OR(LEFT(N1763,3)=$W$7,LEFT(O1763,3)=$W$7)),"x","")</f>
        <v/>
      </c>
      <c r="X1763" s="75" t="str">
        <f>IF(OR(TH!N1763=TH!$X$7,O1763=TH!$X$7),"x","")</f>
        <v/>
      </c>
      <c r="Y1763" s="75" t="str">
        <f>IF(AND(OR(N1763="131",O1763="131"),H1763='131-CT'!$H$9),"x","")</f>
        <v/>
      </c>
      <c r="Z1763" s="75"/>
      <c r="AA1763" s="75" t="str">
        <f>IF(AND(MONTH(E1763)='IN-NX'!$J$5,'IN-NX'!$D$7=D1763),"x","")</f>
        <v/>
      </c>
      <c r="AB1763" s="75" t="str">
        <f>IF(AND(OR(LEFT(TH!N1763,2)="15",LEFT(TH!O1763,2)="15"),LEFT(TH!O1763,3)&lt;&gt;"111",'152-CT'!$J$8=TH!F1763),"x","")</f>
        <v/>
      </c>
      <c r="AC1763" s="75" t="str">
        <f>IF(AND(OR(LEFT(TH!N1763,2)="15",LEFT(TH!O1763,2)="15"),TK!$E$7=TH!F1763),"x","")</f>
        <v/>
      </c>
      <c r="AD1763" s="75" t="str">
        <f>IF(AND(N1763="1521",MONTH(C1763)='BK-NL'!$M$11),"x","")</f>
        <v/>
      </c>
      <c r="AF1763" s="1054"/>
    </row>
    <row r="1764" spans="1:32" s="1053" customFormat="1" ht="16.5" customHeight="1">
      <c r="A1764" s="309" t="str">
        <f>IF(B1764&lt;&gt;"",IF(AND(B1764='IN-TC'!$S$4,OR(TH!N1764="1111",TH!O1764="1111")),TH!D1764,""),"")</f>
        <v/>
      </c>
      <c r="B1764" s="1279">
        <f t="shared" si="463"/>
        <v>8</v>
      </c>
      <c r="C1764" s="217">
        <v>42975</v>
      </c>
      <c r="D1764" s="217" t="s">
        <v>1123</v>
      </c>
      <c r="E1764" s="217">
        <f t="shared" si="464"/>
        <v>42975</v>
      </c>
      <c r="F1764" s="960" t="s">
        <v>429</v>
      </c>
      <c r="G1764" s="739" t="s">
        <v>2214</v>
      </c>
      <c r="H1764" s="311" t="s">
        <v>623</v>
      </c>
      <c r="I1764" s="373">
        <v>52780</v>
      </c>
      <c r="J1764" s="373">
        <v>56000</v>
      </c>
      <c r="K1764" s="373"/>
      <c r="L1764" s="379"/>
      <c r="M1764" s="927">
        <f t="shared" si="465"/>
        <v>2955680000</v>
      </c>
      <c r="N1764" s="935" t="s">
        <v>274</v>
      </c>
      <c r="O1764" s="935" t="s">
        <v>8</v>
      </c>
      <c r="P1764" s="75" t="str">
        <f>IF(AND('331-CT'!$E$7=TH!H1764,OR(N1764="331",O1764="331")),"x","")</f>
        <v/>
      </c>
      <c r="Q1764" s="75" t="str">
        <f>IF(AND(B1764='111'!$L$11,OR($N1764=$Q$7,$O1764=$Q$7)),"x","")</f>
        <v/>
      </c>
      <c r="R1764" s="75" t="str">
        <f>IF(AND($N1764=$Q$7,$B1764&lt;'111'!$L$11),"x","")</f>
        <v/>
      </c>
      <c r="S1764" s="75" t="str">
        <f>IF(AND($O1764=$Q$7,$B1764&lt;'111'!$L$11),"x","")</f>
        <v/>
      </c>
      <c r="T1764" s="75" t="str">
        <f>IF(ISERROR(FIND('112'!$M$9,G1764,1)),"",IF((AND(FIND('112'!$M$9,G1764,1)&gt;=1,B1764='112'!$K$9,OR($N1764='112'!$I$6,$O1764='112'!$I$6))),"x",""))</f>
        <v/>
      </c>
      <c r="U1764" s="75" t="str">
        <f>IF(ISERROR(FIND('112'!$M$9,G1764,1)),"",IF((AND(LEFT(G1764,2)=LEFT('112'!$M$9,2),B1764&lt;'112'!$K$9,$N1764='112'!$I$6)),"x",""))</f>
        <v/>
      </c>
      <c r="V1764" s="75" t="str">
        <f>IF(ISERROR(FIND('112'!$M$9,G1764,1)),"",IF((AND(RIGHT(G1764,2)=RIGHT('112'!$M$9,2),B1764&lt;'112'!$K$9,$O1764='112'!$I$6)),"x",""))</f>
        <v/>
      </c>
      <c r="W1764" s="75" t="str">
        <f>IF(AND('341-CT'!$H$9=H1764,OR(LEFT(N1764,3)=$W$7,LEFT(O1764,3)=$W$7)),"x","")</f>
        <v/>
      </c>
      <c r="X1764" s="75" t="str">
        <f>IF(OR(TH!N1764=TH!$X$7,O1764=TH!$X$7),"x","")</f>
        <v/>
      </c>
      <c r="Y1764" s="75" t="str">
        <f>IF(AND(OR(N1764="131",O1764="131"),H1764='131-CT'!$H$9),"x","")</f>
        <v/>
      </c>
      <c r="Z1764" s="75"/>
      <c r="AA1764" s="75" t="str">
        <f>IF(AND(MONTH(E1764)='IN-NX'!$J$5,'IN-NX'!$D$7=D1764),"x","")</f>
        <v/>
      </c>
      <c r="AB1764" s="75" t="str">
        <f>IF(AND(OR(LEFT(TH!N1764,2)="15",LEFT(TH!O1764,2)="15"),LEFT(TH!O1764,3)&lt;&gt;"111",'152-CT'!$J$8=TH!F1764),"x","")</f>
        <v/>
      </c>
      <c r="AC1764" s="75" t="str">
        <f>IF(AND(OR(LEFT(TH!N1764,2)="15",LEFT(TH!O1764,2)="15"),TK!$E$7=TH!F1764),"x","")</f>
        <v/>
      </c>
      <c r="AD1764" s="75" t="str">
        <f>IF(AND(N1764="1521",MONTH(C1764)='BK-NL'!$M$11),"x","")</f>
        <v/>
      </c>
      <c r="AF1764" s="1054"/>
    </row>
    <row r="1765" spans="1:32" s="1053" customFormat="1" ht="16.5" customHeight="1">
      <c r="A1765" s="309" t="str">
        <f>IF(B1765&lt;&gt;"",IF(AND(B1765='IN-TC'!$S$4,OR(TH!N1765="1111",TH!O1765="1111")),TH!D1765,""),"")</f>
        <v/>
      </c>
      <c r="B1765" s="1279">
        <f t="shared" si="463"/>
        <v>8</v>
      </c>
      <c r="C1765" s="217">
        <v>42978</v>
      </c>
      <c r="D1765" s="217" t="s">
        <v>1124</v>
      </c>
      <c r="E1765" s="217">
        <f t="shared" si="464"/>
        <v>42978</v>
      </c>
      <c r="F1765" s="960" t="s">
        <v>2399</v>
      </c>
      <c r="G1765" s="739" t="s">
        <v>2215</v>
      </c>
      <c r="H1765" s="311" t="s">
        <v>623</v>
      </c>
      <c r="I1765" s="373">
        <v>79170</v>
      </c>
      <c r="J1765" s="373">
        <v>48000</v>
      </c>
      <c r="K1765" s="373"/>
      <c r="L1765" s="379"/>
      <c r="M1765" s="927">
        <f t="shared" si="465"/>
        <v>3800160000</v>
      </c>
      <c r="N1765" s="935" t="s">
        <v>274</v>
      </c>
      <c r="O1765" s="935" t="s">
        <v>8</v>
      </c>
      <c r="P1765" s="75" t="str">
        <f>IF(AND('331-CT'!$E$7=TH!H1765,OR(N1765="331",O1765="331")),"x","")</f>
        <v/>
      </c>
      <c r="Q1765" s="75" t="str">
        <f>IF(AND(B1765='111'!$L$11,OR($N1765=$Q$7,$O1765=$Q$7)),"x","")</f>
        <v/>
      </c>
      <c r="R1765" s="75" t="str">
        <f>IF(AND($N1765=$Q$7,$B1765&lt;'111'!$L$11),"x","")</f>
        <v/>
      </c>
      <c r="S1765" s="75" t="str">
        <f>IF(AND($O1765=$Q$7,$B1765&lt;'111'!$L$11),"x","")</f>
        <v/>
      </c>
      <c r="T1765" s="75" t="str">
        <f>IF(ISERROR(FIND('112'!$M$9,G1765,1)),"",IF((AND(FIND('112'!$M$9,G1765,1)&gt;=1,B1765='112'!$K$9,OR($N1765='112'!$I$6,$O1765='112'!$I$6))),"x",""))</f>
        <v/>
      </c>
      <c r="U1765" s="75" t="str">
        <f>IF(ISERROR(FIND('112'!$M$9,G1765,1)),"",IF((AND(LEFT(G1765,2)=LEFT('112'!$M$9,2),B1765&lt;'112'!$K$9,$N1765='112'!$I$6)),"x",""))</f>
        <v/>
      </c>
      <c r="V1765" s="75" t="str">
        <f>IF(ISERROR(FIND('112'!$M$9,G1765,1)),"",IF((AND(RIGHT(G1765,2)=RIGHT('112'!$M$9,2),B1765&lt;'112'!$K$9,$O1765='112'!$I$6)),"x",""))</f>
        <v/>
      </c>
      <c r="W1765" s="75" t="str">
        <f>IF(AND('341-CT'!$H$9=H1765,OR(LEFT(N1765,3)=$W$7,LEFT(O1765,3)=$W$7)),"x","")</f>
        <v/>
      </c>
      <c r="X1765" s="75" t="str">
        <f>IF(OR(TH!N1765=TH!$X$7,O1765=TH!$X$7),"x","")</f>
        <v/>
      </c>
      <c r="Y1765" s="75" t="str">
        <f>IF(AND(OR(N1765="131",O1765="131"),H1765='131-CT'!$H$9),"x","")</f>
        <v/>
      </c>
      <c r="Z1765" s="75"/>
      <c r="AA1765" s="75" t="str">
        <f>IF(AND(MONTH(E1765)='IN-NX'!$J$5,'IN-NX'!$D$7=D1765),"x","")</f>
        <v/>
      </c>
      <c r="AB1765" s="75" t="str">
        <f>IF(AND(OR(LEFT(TH!N1765,2)="15",LEFT(TH!O1765,2)="15"),LEFT(TH!O1765,3)&lt;&gt;"111",'152-CT'!$J$8=TH!F1765),"x","")</f>
        <v/>
      </c>
      <c r="AC1765" s="75" t="str">
        <f>IF(AND(OR(LEFT(TH!N1765,2)="15",LEFT(TH!O1765,2)="15"),TK!$E$7=TH!F1765),"x","")</f>
        <v/>
      </c>
      <c r="AD1765" s="75" t="str">
        <f>IF(AND(N1765="1521",MONTH(C1765)='BK-NL'!$M$11),"x","")</f>
        <v/>
      </c>
      <c r="AF1765" s="1054"/>
    </row>
    <row r="1766" spans="1:32" s="1054" customFormat="1" ht="16.5" customHeight="1">
      <c r="A1766" s="309" t="str">
        <f>IF(B1766&lt;&gt;"",IF(AND(B1766='IN-TC'!$S$4,OR(TH!N1766="1111",TH!O1766="1111")),TH!D1766,""),"")</f>
        <v/>
      </c>
      <c r="B1766" s="1279">
        <f t="shared" si="463"/>
        <v>8</v>
      </c>
      <c r="C1766" s="936">
        <v>42975</v>
      </c>
      <c r="D1766" s="936" t="s">
        <v>2920</v>
      </c>
      <c r="E1766" s="936">
        <f t="shared" si="464"/>
        <v>42975</v>
      </c>
      <c r="F1766" s="958" t="s">
        <v>2399</v>
      </c>
      <c r="G1766" s="942" t="s">
        <v>2940</v>
      </c>
      <c r="H1766" s="80" t="s">
        <v>424</v>
      </c>
      <c r="I1766" s="939">
        <v>105560</v>
      </c>
      <c r="J1766" s="938">
        <v>48000</v>
      </c>
      <c r="K1766" s="939"/>
      <c r="L1766" s="938"/>
      <c r="M1766" s="940">
        <f t="shared" si="465"/>
        <v>5066880000</v>
      </c>
      <c r="N1766" s="941" t="s">
        <v>272</v>
      </c>
      <c r="O1766" s="941" t="s">
        <v>274</v>
      </c>
      <c r="P1766" s="75" t="str">
        <f>IF(AND('331-CT'!$E$7=TH!H1766,OR(N1766="331",O1766="331")),"x","")</f>
        <v/>
      </c>
      <c r="Q1766" s="75" t="str">
        <f>IF(AND(B1766='111'!$L$11,OR($N1766=$Q$7,$O1766=$Q$7)),"x","")</f>
        <v/>
      </c>
      <c r="R1766" s="75" t="str">
        <f>IF(AND($N1766=$Q$7,$B1766&lt;'111'!$L$11),"x","")</f>
        <v/>
      </c>
      <c r="S1766" s="75" t="str">
        <f>IF(AND($O1766=$Q$7,$B1766&lt;'111'!$L$11),"x","")</f>
        <v/>
      </c>
      <c r="T1766" s="75" t="str">
        <f>IF(ISERROR(FIND('112'!$M$9,G1766,1)),"",IF((AND(FIND('112'!$M$9,G1766,1)&gt;=1,B1766='112'!$K$9,OR($N1766='112'!$I$6,$O1766='112'!$I$6))),"x",""))</f>
        <v/>
      </c>
      <c r="U1766" s="75" t="str">
        <f>IF(ISERROR(FIND('112'!$M$9,G1766,1)),"",IF((AND(LEFT(G1766,2)=LEFT('112'!$M$9,2),B1766&lt;'112'!$K$9,$N1766='112'!$I$6)),"x",""))</f>
        <v/>
      </c>
      <c r="V1766" s="75" t="str">
        <f>IF(ISERROR(FIND('112'!$M$9,G1766,1)),"",IF((AND(RIGHT(G1766,2)=RIGHT('112'!$M$9,2),B1766&lt;'112'!$K$9,$O1766='112'!$I$6)),"x",""))</f>
        <v/>
      </c>
      <c r="W1766" s="75" t="str">
        <f>IF(AND('341-CT'!$H$9=H1766,OR(LEFT(N1766,3)=$W$7,LEFT(O1766,3)=$W$7)),"x","")</f>
        <v/>
      </c>
      <c r="X1766" s="75" t="str">
        <f>IF(OR(TH!N1766=TH!$X$7,O1766=TH!$X$7),"x","")</f>
        <v/>
      </c>
      <c r="Y1766" s="75" t="str">
        <f>IF(AND(OR(N1766="131",O1766="131"),H1766='131-CT'!$H$9),"x","")</f>
        <v/>
      </c>
      <c r="Z1766" s="75"/>
      <c r="AA1766" s="75" t="str">
        <f>IF(AND(MONTH(E1766)='IN-NX'!$J$5,'IN-NX'!$D$7=D1766),"x","")</f>
        <v/>
      </c>
      <c r="AB1766" s="75" t="str">
        <f>IF(AND(OR(LEFT(TH!N1766,2)="15",LEFT(TH!O1766,2)="15"),LEFT(TH!O1766,3)&lt;&gt;"111",'152-CT'!$J$8=TH!F1766),"x","")</f>
        <v/>
      </c>
      <c r="AC1766" s="75" t="str">
        <f>IF(AND(OR(LEFT(TH!N1766,2)="15",LEFT(TH!O1766,2)="15"),TK!$E$7=TH!F1766),"x","")</f>
        <v/>
      </c>
      <c r="AD1766" s="75" t="str">
        <f>IF(AND(N1766="1521",MONTH(C1766)='BK-NL'!$M$11),"x","")</f>
        <v/>
      </c>
    </row>
    <row r="1767" spans="1:32" s="1054" customFormat="1" ht="16.5" customHeight="1">
      <c r="A1767" s="309" t="str">
        <f>IF(B1767&lt;&gt;"",IF(AND(B1767='IN-TC'!$S$4,OR(TH!N1767="1111",TH!O1767="1111")),TH!D1767,""),"")</f>
        <v/>
      </c>
      <c r="B1767" s="1279">
        <f t="shared" ref="B1767:B1772" si="466">IF(C1767&lt;&gt;"",MONTH(C1767),"")</f>
        <v>8</v>
      </c>
      <c r="C1767" s="936">
        <v>42975</v>
      </c>
      <c r="D1767" s="936" t="s">
        <v>2920</v>
      </c>
      <c r="E1767" s="936">
        <f t="shared" ref="E1767" si="467">C1767</f>
        <v>42975</v>
      </c>
      <c r="F1767" s="958" t="s">
        <v>429</v>
      </c>
      <c r="G1767" s="942" t="s">
        <v>2213</v>
      </c>
      <c r="H1767" s="80" t="s">
        <v>424</v>
      </c>
      <c r="I1767" s="939">
        <v>52780</v>
      </c>
      <c r="J1767" s="938">
        <v>56000</v>
      </c>
      <c r="K1767" s="939"/>
      <c r="L1767" s="938"/>
      <c r="M1767" s="940">
        <f t="shared" ref="M1767" si="468">ROUND(I1767*J1767,0)</f>
        <v>2955680000</v>
      </c>
      <c r="N1767" s="941" t="s">
        <v>272</v>
      </c>
      <c r="O1767" s="941" t="s">
        <v>274</v>
      </c>
      <c r="P1767" s="75" t="str">
        <f>IF(AND('331-CT'!$E$7=TH!H1767,OR(N1767="331",O1767="331")),"x","")</f>
        <v/>
      </c>
      <c r="Q1767" s="75" t="str">
        <f>IF(AND(B1767='111'!$L$11,OR($N1767=$Q$7,$O1767=$Q$7)),"x","")</f>
        <v/>
      </c>
      <c r="R1767" s="75" t="str">
        <f>IF(AND($N1767=$Q$7,$B1767&lt;'111'!$L$11),"x","")</f>
        <v/>
      </c>
      <c r="S1767" s="75" t="str">
        <f>IF(AND($O1767=$Q$7,$B1767&lt;'111'!$L$11),"x","")</f>
        <v/>
      </c>
      <c r="T1767" s="75" t="str">
        <f>IF(ISERROR(FIND('112'!$M$9,G1767,1)),"",IF((AND(FIND('112'!$M$9,G1767,1)&gt;=1,B1767='112'!$K$9,OR($N1767='112'!$I$6,$O1767='112'!$I$6))),"x",""))</f>
        <v/>
      </c>
      <c r="U1767" s="75" t="str">
        <f>IF(ISERROR(FIND('112'!$M$9,G1767,1)),"",IF((AND(LEFT(G1767,2)=LEFT('112'!$M$9,2),B1767&lt;'112'!$K$9,$N1767='112'!$I$6)),"x",""))</f>
        <v/>
      </c>
      <c r="V1767" s="75" t="str">
        <f>IF(ISERROR(FIND('112'!$M$9,G1767,1)),"",IF((AND(RIGHT(G1767,2)=RIGHT('112'!$M$9,2),B1767&lt;'112'!$K$9,$O1767='112'!$I$6)),"x",""))</f>
        <v/>
      </c>
      <c r="W1767" s="75" t="str">
        <f>IF(AND('341-CT'!$H$9=H1767,OR(LEFT(N1767,3)=$W$7,LEFT(O1767,3)=$W$7)),"x","")</f>
        <v/>
      </c>
      <c r="X1767" s="75" t="str">
        <f>IF(OR(TH!N1767=TH!$X$7,O1767=TH!$X$7),"x","")</f>
        <v/>
      </c>
      <c r="Y1767" s="75" t="str">
        <f>IF(AND(OR(N1767="131",O1767="131"),H1767='131-CT'!$H$9),"x","")</f>
        <v/>
      </c>
      <c r="Z1767" s="75"/>
      <c r="AA1767" s="75" t="str">
        <f>IF(AND(MONTH(E1767)='IN-NX'!$J$5,'IN-NX'!$D$7=D1767),"x","")</f>
        <v/>
      </c>
      <c r="AB1767" s="75" t="str">
        <f>IF(AND(OR(LEFT(TH!N1767,2)="15",LEFT(TH!O1767,2)="15"),LEFT(TH!O1767,3)&lt;&gt;"111",'152-CT'!$J$8=TH!F1767),"x","")</f>
        <v/>
      </c>
      <c r="AC1767" s="75" t="str">
        <f>IF(AND(OR(LEFT(TH!N1767,2)="15",LEFT(TH!O1767,2)="15"),TK!$E$7=TH!F1767),"x","")</f>
        <v/>
      </c>
      <c r="AD1767" s="75" t="str">
        <f>IF(AND(N1767="1521",MONTH(C1767)='BK-NL'!$M$11),"x","")</f>
        <v/>
      </c>
    </row>
    <row r="1768" spans="1:32" ht="16.5" customHeight="1">
      <c r="A1768" s="309" t="str">
        <f>IF(B1768&lt;&gt;"",IF(AND(B1768='IN-TC'!$S$4,OR(TH!N1768="1111",TH!O1768="1111")),TH!D1768,""),"")</f>
        <v/>
      </c>
      <c r="B1768" s="1279">
        <f t="shared" si="466"/>
        <v>8</v>
      </c>
      <c r="C1768" s="217">
        <f t="shared" ref="C1768:C1772" si="469">E1768</f>
        <v>42975</v>
      </c>
      <c r="D1768" s="217" t="s">
        <v>1124</v>
      </c>
      <c r="E1768" s="217">
        <v>42975</v>
      </c>
      <c r="F1768" s="1031" t="s">
        <v>2399</v>
      </c>
      <c r="G1768" s="739"/>
      <c r="H1768" s="294" t="s">
        <v>2919</v>
      </c>
      <c r="I1768" s="1122">
        <v>105560</v>
      </c>
      <c r="J1768" s="926">
        <v>48735.800341038273</v>
      </c>
      <c r="K1768" s="926"/>
      <c r="L1768" s="379"/>
      <c r="M1768" s="927">
        <f>ROUND(I1768*J1768,0)</f>
        <v>5144551084</v>
      </c>
      <c r="N1768" s="935" t="s">
        <v>274</v>
      </c>
      <c r="O1768" s="935" t="s">
        <v>272</v>
      </c>
      <c r="P1768" s="75" t="str">
        <f>IF(AND('331-CT'!$E$7=TH!H1768,OR(N1768="331",O1768="331")),"x","")</f>
        <v/>
      </c>
      <c r="Q1768" s="75" t="str">
        <f>IF(AND(B1768='111'!$L$11,OR($N1768=$Q$7,$O1768=$Q$7)),"x","")</f>
        <v/>
      </c>
      <c r="R1768" s="75" t="str">
        <f>IF(AND($N1768=$Q$7,$B1768&lt;'111'!$L$11),"x","")</f>
        <v/>
      </c>
      <c r="S1768" s="75" t="str">
        <f>IF(AND($O1768=$Q$7,$B1768&lt;'111'!$L$11),"x","")</f>
        <v/>
      </c>
      <c r="T1768" s="75" t="str">
        <f>IF(ISERROR(FIND('112'!$M$9,G1768,1)),"",IF((AND(FIND('112'!$M$9,G1768,1)&gt;=1,B1768='112'!$K$9,OR($N1768='112'!$I$6,$O1768='112'!$I$6))),"x",""))</f>
        <v/>
      </c>
      <c r="U1768" s="75" t="str">
        <f>IF(ISERROR(FIND('112'!$M$9,G1768,1)),"",IF((AND(LEFT(G1768,2)=LEFT('112'!$M$9,2),B1768&lt;'112'!$K$9,$N1768='112'!$I$6)),"x",""))</f>
        <v/>
      </c>
      <c r="V1768" s="75" t="str">
        <f>IF(ISERROR(FIND('112'!$M$9,G1768,1)),"",IF((AND(RIGHT(G1768,2)=RIGHT('112'!$M$9,2),B1768&lt;'112'!$K$9,$O1768='112'!$I$6)),"x",""))</f>
        <v/>
      </c>
      <c r="W1768" s="75" t="str">
        <f>IF(AND('341-CT'!$H$9=H1768,OR(LEFT(N1768,3)=$W$7,LEFT(O1768,3)=$W$7)),"x","")</f>
        <v/>
      </c>
      <c r="X1768" s="75" t="str">
        <f>IF(OR(TH!N1768=TH!$X$7,O1768=TH!$X$7),"x","")</f>
        <v/>
      </c>
      <c r="Y1768" s="75" t="str">
        <f>IF(AND(OR(N1768="131",O1768="131"),H1768='131-CT'!$H$9),"x","")</f>
        <v/>
      </c>
      <c r="Z1768" s="75"/>
      <c r="AA1768" s="75" t="str">
        <f>IF(AND(MONTH(E1768)='IN-NX'!$J$5,'IN-NX'!$D$7=D1768),"x","")</f>
        <v/>
      </c>
      <c r="AB1768" s="75" t="str">
        <f>IF(AND(OR(LEFT(TH!N1768,2)="15",LEFT(TH!O1768,2)="15"),LEFT(TH!O1768,3)&lt;&gt;"111",'152-CT'!$J$8=TH!F1768),"x","")</f>
        <v/>
      </c>
      <c r="AC1768" s="75" t="str">
        <f>IF(AND(OR(LEFT(TH!N1768,2)="15",LEFT(TH!O1768,2)="15"),TK!$E$7=TH!F1768),"x","")</f>
        <v/>
      </c>
      <c r="AD1768" s="75" t="str">
        <f>IF(AND(N1768="1521",MONTH(C1768)='BK-NL'!$M$11),"x","")</f>
        <v/>
      </c>
      <c r="AF1768" s="1054"/>
    </row>
    <row r="1769" spans="1:32" s="1053" customFormat="1" ht="16.5" customHeight="1">
      <c r="A1769" s="309" t="str">
        <f>IF(B1769&lt;&gt;"",IF(AND(B1769='IN-TC'!$S$4,OR(TH!N1769="1111",TH!O1769="1111")),TH!D1769,""),"")</f>
        <v/>
      </c>
      <c r="B1769" s="1279">
        <f t="shared" si="466"/>
        <v>8</v>
      </c>
      <c r="C1769" s="217">
        <f t="shared" si="469"/>
        <v>42975</v>
      </c>
      <c r="D1769" s="217" t="s">
        <v>1123</v>
      </c>
      <c r="E1769" s="217">
        <v>42975</v>
      </c>
      <c r="F1769" s="1031" t="s">
        <v>429</v>
      </c>
      <c r="G1769" s="739"/>
      <c r="H1769" s="294" t="s">
        <v>2919</v>
      </c>
      <c r="I1769" s="373">
        <v>52780</v>
      </c>
      <c r="J1769" s="926">
        <v>56735.800341038273</v>
      </c>
      <c r="K1769" s="926"/>
      <c r="L1769" s="379"/>
      <c r="M1769" s="927">
        <f t="shared" ref="M1769" si="470">ROUND(I1769*J1769,0)</f>
        <v>2994515542</v>
      </c>
      <c r="N1769" s="935" t="s">
        <v>274</v>
      </c>
      <c r="O1769" s="935" t="s">
        <v>272</v>
      </c>
      <c r="P1769" s="75" t="str">
        <f>IF(AND('331-CT'!$E$7=TH!H1769,OR(N1769="331",O1769="331")),"x","")</f>
        <v/>
      </c>
      <c r="Q1769" s="75" t="str">
        <f>IF(AND(B1769='111'!$L$11,OR($N1769=$Q$7,$O1769=$Q$7)),"x","")</f>
        <v/>
      </c>
      <c r="R1769" s="75" t="str">
        <f>IF(AND($N1769=$Q$7,$B1769&lt;'111'!$L$11),"x","")</f>
        <v/>
      </c>
      <c r="S1769" s="75" t="str">
        <f>IF(AND($O1769=$Q$7,$B1769&lt;'111'!$L$11),"x","")</f>
        <v/>
      </c>
      <c r="T1769" s="75" t="str">
        <f>IF(ISERROR(FIND('112'!$M$9,G1769,1)),"",IF((AND(FIND('112'!$M$9,G1769,1)&gt;=1,B1769='112'!$K$9,OR($N1769='112'!$I$6,$O1769='112'!$I$6))),"x",""))</f>
        <v/>
      </c>
      <c r="U1769" s="75" t="str">
        <f>IF(ISERROR(FIND('112'!$M$9,G1769,1)),"",IF((AND(LEFT(G1769,2)=LEFT('112'!$M$9,2),B1769&lt;'112'!$K$9,$N1769='112'!$I$6)),"x",""))</f>
        <v/>
      </c>
      <c r="V1769" s="75" t="str">
        <f>IF(ISERROR(FIND('112'!$M$9,G1769,1)),"",IF((AND(RIGHT(G1769,2)=RIGHT('112'!$M$9,2),B1769&lt;'112'!$K$9,$O1769='112'!$I$6)),"x",""))</f>
        <v/>
      </c>
      <c r="W1769" s="75" t="str">
        <f>IF(AND('341-CT'!$H$9=H1769,OR(LEFT(N1769,3)=$W$7,LEFT(O1769,3)=$W$7)),"x","")</f>
        <v/>
      </c>
      <c r="X1769" s="75" t="str">
        <f>IF(OR(TH!N1769=TH!$X$7,O1769=TH!$X$7),"x","")</f>
        <v/>
      </c>
      <c r="Y1769" s="75" t="str">
        <f>IF(AND(OR(N1769="131",O1769="131"),H1769='131-CT'!$H$9),"x","")</f>
        <v/>
      </c>
      <c r="Z1769" s="75"/>
      <c r="AA1769" s="75" t="str">
        <f>IF(AND(MONTH(E1769)='IN-NX'!$J$5,'IN-NX'!$D$7=D1769),"x","")</f>
        <v/>
      </c>
      <c r="AB1769" s="75" t="str">
        <f>IF(AND(OR(LEFT(TH!N1769,2)="15",LEFT(TH!O1769,2)="15"),LEFT(TH!O1769,3)&lt;&gt;"111",'152-CT'!$J$8=TH!F1769),"x","")</f>
        <v/>
      </c>
      <c r="AC1769" s="75" t="str">
        <f>IF(AND(OR(LEFT(TH!N1769,2)="15",LEFT(TH!O1769,2)="15"),TK!$E$7=TH!F1769),"x","")</f>
        <v/>
      </c>
      <c r="AD1769" s="75" t="str">
        <f>IF(AND(N1769="1521",MONTH(C1769)='BK-NL'!$M$11),"x","")</f>
        <v/>
      </c>
      <c r="AF1769" s="1054"/>
    </row>
    <row r="1770" spans="1:32" ht="16.5" customHeight="1">
      <c r="A1770" s="309" t="str">
        <f>IF(B1770&lt;&gt;"",IF(AND(B1770='IN-TC'!$S$4,OR(TH!N1770="1111",TH!O1770="1111")),TH!D1770,""),"")</f>
        <v/>
      </c>
      <c r="B1770" s="1279">
        <f t="shared" si="466"/>
        <v>8</v>
      </c>
      <c r="C1770" s="217">
        <f t="shared" si="469"/>
        <v>42975</v>
      </c>
      <c r="D1770" s="217" t="s">
        <v>1124</v>
      </c>
      <c r="E1770" s="217">
        <v>42975</v>
      </c>
      <c r="F1770" s="1031" t="s">
        <v>1588</v>
      </c>
      <c r="G1770" s="739"/>
      <c r="H1770" s="294" t="s">
        <v>2919</v>
      </c>
      <c r="I1770" s="373">
        <v>12000</v>
      </c>
      <c r="J1770" s="926">
        <v>224484.01208333333</v>
      </c>
      <c r="K1770" s="926"/>
      <c r="L1770" s="379"/>
      <c r="M1770" s="927">
        <f>ROUND(I1770*J1770,0)</f>
        <v>2693808145</v>
      </c>
      <c r="N1770" s="935" t="s">
        <v>274</v>
      </c>
      <c r="O1770" s="935" t="s">
        <v>272</v>
      </c>
      <c r="P1770" s="75" t="str">
        <f>IF(AND('331-CT'!$E$7=TH!H1770,OR(N1770="331",O1770="331")),"x","")</f>
        <v/>
      </c>
      <c r="Q1770" s="75" t="str">
        <f>IF(AND(B1770='111'!$L$11,OR($N1770=$Q$7,$O1770=$Q$7)),"x","")</f>
        <v/>
      </c>
      <c r="R1770" s="75" t="str">
        <f>IF(AND($N1770=$Q$7,$B1770&lt;'111'!$L$11),"x","")</f>
        <v/>
      </c>
      <c r="S1770" s="75" t="str">
        <f>IF(AND($O1770=$Q$7,$B1770&lt;'111'!$L$11),"x","")</f>
        <v/>
      </c>
      <c r="T1770" s="75" t="str">
        <f>IF(ISERROR(FIND('112'!$M$9,G1770,1)),"",IF((AND(FIND('112'!$M$9,G1770,1)&gt;=1,B1770='112'!$K$9,OR($N1770='112'!$I$6,$O1770='112'!$I$6))),"x",""))</f>
        <v/>
      </c>
      <c r="U1770" s="75" t="str">
        <f>IF(ISERROR(FIND('112'!$M$9,G1770,1)),"",IF((AND(LEFT(G1770,2)=LEFT('112'!$M$9,2),B1770&lt;'112'!$K$9,$N1770='112'!$I$6)),"x",""))</f>
        <v/>
      </c>
      <c r="V1770" s="75" t="str">
        <f>IF(ISERROR(FIND('112'!$M$9,G1770,1)),"",IF((AND(RIGHT(G1770,2)=RIGHT('112'!$M$9,2),B1770&lt;'112'!$K$9,$O1770='112'!$I$6)),"x",""))</f>
        <v/>
      </c>
      <c r="W1770" s="75" t="str">
        <f>IF(AND('341-CT'!$H$9=H1770,OR(LEFT(N1770,3)=$W$7,LEFT(O1770,3)=$W$7)),"x","")</f>
        <v/>
      </c>
      <c r="X1770" s="75" t="str">
        <f>IF(OR(TH!N1770=TH!$X$7,O1770=TH!$X$7),"x","")</f>
        <v/>
      </c>
      <c r="Y1770" s="75" t="str">
        <f>IF(AND(OR(N1770="131",O1770="131"),H1770='131-CT'!$H$9),"x","")</f>
        <v/>
      </c>
      <c r="Z1770" s="75"/>
      <c r="AA1770" s="75" t="str">
        <f>IF(AND(MONTH(E1770)='IN-NX'!$J$5,'IN-NX'!$D$7=D1770),"x","")</f>
        <v/>
      </c>
      <c r="AB1770" s="75" t="str">
        <f>IF(AND(OR(LEFT(TH!N1770,2)="15",LEFT(TH!O1770,2)="15"),LEFT(TH!O1770,3)&lt;&gt;"111",'152-CT'!$J$8=TH!F1770),"x","")</f>
        <v/>
      </c>
      <c r="AC1770" s="75" t="str">
        <f>IF(AND(OR(LEFT(TH!N1770,2)="15",LEFT(TH!O1770,2)="15"),TK!$E$7=TH!F1770),"x","")</f>
        <v/>
      </c>
      <c r="AD1770" s="75" t="str">
        <f>IF(AND(N1770="1521",MONTH(C1770)='BK-NL'!$M$11),"x","")</f>
        <v/>
      </c>
      <c r="AF1770" s="1054"/>
    </row>
    <row r="1771" spans="1:32" ht="16.5" customHeight="1">
      <c r="A1771" s="309" t="str">
        <f>IF(B1771&lt;&gt;"",IF(AND(B1771='IN-TC'!$S$4,OR(TH!N1771="1111",TH!O1771="1111")),TH!D1771,""),"")</f>
        <v/>
      </c>
      <c r="B1771" s="1279">
        <f t="shared" ref="B1771" si="471">IF(C1771&lt;&gt;"",MONTH(C1771),"")</f>
        <v>8</v>
      </c>
      <c r="C1771" s="217">
        <f t="shared" ref="C1771" si="472">E1771</f>
        <v>42975</v>
      </c>
      <c r="D1771" s="217" t="s">
        <v>1125</v>
      </c>
      <c r="E1771" s="217">
        <v>42975</v>
      </c>
      <c r="F1771" s="996" t="s">
        <v>793</v>
      </c>
      <c r="G1771" s="739"/>
      <c r="H1771" s="294" t="s">
        <v>2919</v>
      </c>
      <c r="I1771" s="373">
        <v>6000</v>
      </c>
      <c r="J1771" s="926">
        <v>172848.03966666668</v>
      </c>
      <c r="K1771" s="926"/>
      <c r="L1771" s="379"/>
      <c r="M1771" s="927">
        <f>ROUND(I1771*J1771,0)</f>
        <v>1037088238</v>
      </c>
      <c r="N1771" s="935" t="s">
        <v>274</v>
      </c>
      <c r="O1771" s="935" t="s">
        <v>272</v>
      </c>
      <c r="P1771" s="75" t="str">
        <f>IF(AND('331-CT'!$E$7=TH!H1771,OR(N1771="331",O1771="331")),"x","")</f>
        <v/>
      </c>
      <c r="Q1771" s="75" t="str">
        <f>IF(AND(B1771='111'!$L$11,OR($N1771=$Q$7,$O1771=$Q$7)),"x","")</f>
        <v/>
      </c>
      <c r="R1771" s="75" t="str">
        <f>IF(AND($N1771=$Q$7,$B1771&lt;'111'!$L$11),"x","")</f>
        <v/>
      </c>
      <c r="S1771" s="75" t="str">
        <f>IF(AND($O1771=$Q$7,$B1771&lt;'111'!$L$11),"x","")</f>
        <v/>
      </c>
      <c r="T1771" s="75" t="str">
        <f>IF(ISERROR(FIND('112'!$M$9,G1771,1)),"",IF((AND(FIND('112'!$M$9,G1771,1)&gt;=1,B1771='112'!$K$9,OR($N1771='112'!$I$6,$O1771='112'!$I$6))),"x",""))</f>
        <v/>
      </c>
      <c r="U1771" s="75" t="str">
        <f>IF(ISERROR(FIND('112'!$M$9,G1771,1)),"",IF((AND(LEFT(G1771,2)=LEFT('112'!$M$9,2),B1771&lt;'112'!$K$9,$N1771='112'!$I$6)),"x",""))</f>
        <v/>
      </c>
      <c r="V1771" s="75" t="str">
        <f>IF(ISERROR(FIND('112'!$M$9,G1771,1)),"",IF((AND(RIGHT(G1771,2)=RIGHT('112'!$M$9,2),B1771&lt;'112'!$K$9,$O1771='112'!$I$6)),"x",""))</f>
        <v/>
      </c>
      <c r="W1771" s="75" t="str">
        <f>IF(AND('341-CT'!$H$9=H1771,OR(LEFT(N1771,3)=$W$7,LEFT(O1771,3)=$W$7)),"x","")</f>
        <v/>
      </c>
      <c r="X1771" s="75" t="str">
        <f>IF(OR(TH!N1771=TH!$X$7,O1771=TH!$X$7),"x","")</f>
        <v/>
      </c>
      <c r="Y1771" s="75" t="str">
        <f>IF(AND(OR(N1771="131",O1771="131"),H1771='131-CT'!$H$9),"x","")</f>
        <v/>
      </c>
      <c r="Z1771" s="75"/>
      <c r="AA1771" s="75" t="str">
        <f>IF(AND(MONTH(E1771)='IN-NX'!$J$5,'IN-NX'!$D$7=D1771),"x","")</f>
        <v/>
      </c>
      <c r="AB1771" s="75" t="str">
        <f>IF(AND(OR(LEFT(TH!N1771,2)="15",LEFT(TH!O1771,2)="15"),LEFT(TH!O1771,3)&lt;&gt;"111",'152-CT'!$J$8=TH!F1771),"x","")</f>
        <v/>
      </c>
      <c r="AC1771" s="75" t="str">
        <f>IF(AND(OR(LEFT(TH!N1771,2)="15",LEFT(TH!O1771,2)="15"),TK!$E$7=TH!F1771),"x","")</f>
        <v/>
      </c>
      <c r="AD1771" s="75" t="str">
        <f>IF(AND(N1771="1521",MONTH(C1771)='BK-NL'!$M$11),"x","")</f>
        <v/>
      </c>
      <c r="AF1771" s="1054"/>
    </row>
    <row r="1772" spans="1:32" ht="16.5" customHeight="1">
      <c r="A1772" s="309" t="str">
        <f>IF(B1772&lt;&gt;"",IF(AND(B1772='IN-TC'!$S$4,OR(TH!N1772="1111",TH!O1772="1111")),TH!D1772,""),"")</f>
        <v/>
      </c>
      <c r="B1772" s="1279">
        <f t="shared" si="466"/>
        <v>8</v>
      </c>
      <c r="C1772" s="217">
        <f t="shared" si="469"/>
        <v>42975</v>
      </c>
      <c r="D1772" s="217" t="s">
        <v>1125</v>
      </c>
      <c r="E1772" s="217">
        <v>42975</v>
      </c>
      <c r="F1772" s="996" t="s">
        <v>1588</v>
      </c>
      <c r="G1772" s="739"/>
      <c r="H1772" s="294" t="s">
        <v>2919</v>
      </c>
      <c r="I1772" s="373">
        <v>4000</v>
      </c>
      <c r="J1772" s="926">
        <v>224568.04550000001</v>
      </c>
      <c r="K1772" s="926"/>
      <c r="L1772" s="379"/>
      <c r="M1772" s="927">
        <f>ROUND(I1772*J1772,0)</f>
        <v>898272182</v>
      </c>
      <c r="N1772" s="935" t="s">
        <v>274</v>
      </c>
      <c r="O1772" s="935" t="s">
        <v>272</v>
      </c>
      <c r="P1772" s="75" t="str">
        <f>IF(AND('331-CT'!$E$7=TH!H1772,OR(N1772="331",O1772="331")),"x","")</f>
        <v/>
      </c>
      <c r="Q1772" s="75" t="str">
        <f>IF(AND(B1772='111'!$L$11,OR($N1772=$Q$7,$O1772=$Q$7)),"x","")</f>
        <v/>
      </c>
      <c r="R1772" s="75" t="str">
        <f>IF(AND($N1772=$Q$7,$B1772&lt;'111'!$L$11),"x","")</f>
        <v/>
      </c>
      <c r="S1772" s="75" t="str">
        <f>IF(AND($O1772=$Q$7,$B1772&lt;'111'!$L$11),"x","")</f>
        <v/>
      </c>
      <c r="T1772" s="75" t="str">
        <f>IF(ISERROR(FIND('112'!$M$9,G1772,1)),"",IF((AND(FIND('112'!$M$9,G1772,1)&gt;=1,B1772='112'!$K$9,OR($N1772='112'!$I$6,$O1772='112'!$I$6))),"x",""))</f>
        <v/>
      </c>
      <c r="U1772" s="75" t="str">
        <f>IF(ISERROR(FIND('112'!$M$9,G1772,1)),"",IF((AND(LEFT(G1772,2)=LEFT('112'!$M$9,2),B1772&lt;'112'!$K$9,$N1772='112'!$I$6)),"x",""))</f>
        <v/>
      </c>
      <c r="V1772" s="75" t="str">
        <f>IF(ISERROR(FIND('112'!$M$9,G1772,1)),"",IF((AND(RIGHT(G1772,2)=RIGHT('112'!$M$9,2),B1772&lt;'112'!$K$9,$O1772='112'!$I$6)),"x",""))</f>
        <v/>
      </c>
      <c r="W1772" s="75" t="str">
        <f>IF(AND('341-CT'!$H$9=H1772,OR(LEFT(N1772,3)=$W$7,LEFT(O1772,3)=$W$7)),"x","")</f>
        <v/>
      </c>
      <c r="X1772" s="75" t="str">
        <f>IF(OR(TH!N1772=TH!$X$7,O1772=TH!$X$7),"x","")</f>
        <v/>
      </c>
      <c r="Y1772" s="75" t="str">
        <f>IF(AND(OR(N1772="131",O1772="131"),H1772='131-CT'!$H$9),"x","")</f>
        <v/>
      </c>
      <c r="Z1772" s="75"/>
      <c r="AA1772" s="75" t="str">
        <f>IF(AND(MONTH(E1772)='IN-NX'!$J$5,'IN-NX'!$D$7=D1772),"x","")</f>
        <v/>
      </c>
      <c r="AB1772" s="75" t="str">
        <f>IF(AND(OR(LEFT(TH!N1772,2)="15",LEFT(TH!O1772,2)="15"),LEFT(TH!O1772,3)&lt;&gt;"111",'152-CT'!$J$8=TH!F1772),"x","")</f>
        <v/>
      </c>
      <c r="AC1772" s="75" t="str">
        <f>IF(AND(OR(LEFT(TH!N1772,2)="15",LEFT(TH!O1772,2)="15"),TK!$E$7=TH!F1772),"x","")</f>
        <v/>
      </c>
      <c r="AD1772" s="75" t="str">
        <f>IF(AND(N1772="1521",MONTH(C1772)='BK-NL'!$M$11),"x","")</f>
        <v/>
      </c>
      <c r="AF1772" s="1054"/>
    </row>
    <row r="1773" spans="1:32" s="1264" customFormat="1" ht="16.5" customHeight="1">
      <c r="A1773" s="309" t="str">
        <f>IF(B1773&lt;&gt;"",IF(AND(B1773='IN-TC'!$S$4,OR(TH!N1773="1111",TH!O1773="1111")),TH!D1773,""),"")</f>
        <v/>
      </c>
      <c r="B1773" s="1279">
        <f>IF(C1773&lt;&gt;"",MONTH(C1773),"")</f>
        <v>8</v>
      </c>
      <c r="C1773" s="252">
        <f>E1773</f>
        <v>42975</v>
      </c>
      <c r="D1773" s="252" t="s">
        <v>2921</v>
      </c>
      <c r="E1773" s="252">
        <v>42975</v>
      </c>
      <c r="F1773" s="1055" t="s">
        <v>2399</v>
      </c>
      <c r="G1773" s="1056" t="s">
        <v>2940</v>
      </c>
      <c r="H1773" s="735" t="s">
        <v>623</v>
      </c>
      <c r="I1773" s="371">
        <v>105560</v>
      </c>
      <c r="J1773" s="371">
        <v>48735.800341038273</v>
      </c>
      <c r="K1773" s="371"/>
      <c r="L1773" s="377"/>
      <c r="M1773" s="933">
        <f>ROUND(I1773*J1773,0)</f>
        <v>5144551084</v>
      </c>
      <c r="N1773" s="977" t="s">
        <v>284</v>
      </c>
      <c r="O1773" s="977" t="s">
        <v>274</v>
      </c>
      <c r="P1773" s="75" t="str">
        <f>IF(AND('331-CT'!$E$7=TH!H1773,OR(N1773="331",O1773="331")),"x","")</f>
        <v/>
      </c>
      <c r="Q1773" s="75" t="str">
        <f>IF(AND(B1773='111'!$L$11,OR($N1773=$Q$7,$O1773=$Q$7)),"x","")</f>
        <v/>
      </c>
      <c r="R1773" s="75" t="str">
        <f>IF(AND($N1773=$Q$7,$B1773&lt;'111'!$L$11),"x","")</f>
        <v/>
      </c>
      <c r="S1773" s="75" t="str">
        <f>IF(AND($O1773=$Q$7,$B1773&lt;'111'!$L$11),"x","")</f>
        <v/>
      </c>
      <c r="T1773" s="75" t="str">
        <f>IF(ISERROR(FIND('112'!$M$9,G1773,1)),"",IF((AND(FIND('112'!$M$9,G1773,1)&gt;=1,B1773='112'!$K$9,OR($N1773='112'!$I$6,$O1773='112'!$I$6))),"x",""))</f>
        <v/>
      </c>
      <c r="U1773" s="75" t="str">
        <f>IF(ISERROR(FIND('112'!$M$9,G1773,1)),"",IF((AND(LEFT(G1773,2)=LEFT('112'!$M$9,2),B1773&lt;'112'!$K$9,$N1773='112'!$I$6)),"x",""))</f>
        <v/>
      </c>
      <c r="V1773" s="75" t="str">
        <f>IF(ISERROR(FIND('112'!$M$9,G1773,1)),"",IF((AND(RIGHT(G1773,2)=RIGHT('112'!$M$9,2),B1773&lt;'112'!$K$9,$O1773='112'!$I$6)),"x",""))</f>
        <v/>
      </c>
      <c r="W1773" s="75" t="str">
        <f>IF(AND('341-CT'!$H$9=H1773,OR(LEFT(N1773,3)=$W$7,LEFT(O1773,3)=$W$7)),"x","")</f>
        <v/>
      </c>
      <c r="X1773" s="75" t="str">
        <f>IF(OR(TH!N1773=TH!$X$7,O1773=TH!$X$7),"x","")</f>
        <v/>
      </c>
      <c r="Y1773" s="75" t="str">
        <f>IF(AND(OR(N1773="131",O1773="131"),H1773='131-CT'!$H$9),"x","")</f>
        <v/>
      </c>
      <c r="Z1773" s="75"/>
      <c r="AA1773" s="75" t="str">
        <f>IF(AND(MONTH(E1773)='IN-NX'!$J$5,'IN-NX'!$D$7=D1773),"x","")</f>
        <v/>
      </c>
      <c r="AB1773" s="75" t="str">
        <f>IF(AND(OR(LEFT(TH!N1773,2)="15",LEFT(TH!O1773,2)="15"),LEFT(TH!O1773,3)&lt;&gt;"111",'152-CT'!$J$8=TH!F1773),"x","")</f>
        <v/>
      </c>
      <c r="AC1773" s="75" t="str">
        <f>IF(AND(OR(LEFT(TH!N1773,2)="15",LEFT(TH!O1773,2)="15"),TK!$E$7=TH!F1773),"x","")</f>
        <v/>
      </c>
      <c r="AD1773" s="75" t="str">
        <f>IF(AND(N1773="1521",MONTH(C1773)='BK-NL'!$M$11),"x","")</f>
        <v/>
      </c>
      <c r="AF1773" s="1054"/>
    </row>
    <row r="1774" spans="1:32" s="1264" customFormat="1" ht="16.5" customHeight="1">
      <c r="A1774" s="309" t="str">
        <f>IF(B1774&lt;&gt;"",IF(AND(B1774='IN-TC'!$S$4,OR(TH!N1774="1111",TH!O1774="1111")),TH!D1774,""),"")</f>
        <v/>
      </c>
      <c r="B1774" s="1279">
        <f>IF(C1774&lt;&gt;"",MONTH(C1774),"")</f>
        <v>8</v>
      </c>
      <c r="C1774" s="252">
        <f>E1774</f>
        <v>42975</v>
      </c>
      <c r="D1774" s="252" t="s">
        <v>2921</v>
      </c>
      <c r="E1774" s="252">
        <v>42975</v>
      </c>
      <c r="F1774" s="1055" t="s">
        <v>429</v>
      </c>
      <c r="G1774" s="1056" t="s">
        <v>2213</v>
      </c>
      <c r="H1774" s="735" t="s">
        <v>623</v>
      </c>
      <c r="I1774" s="371">
        <v>52780</v>
      </c>
      <c r="J1774" s="371">
        <v>56735.800341038273</v>
      </c>
      <c r="K1774" s="371"/>
      <c r="L1774" s="377"/>
      <c r="M1774" s="933">
        <f>ROUND(I1774*J1774,0)</f>
        <v>2994515542</v>
      </c>
      <c r="N1774" s="977" t="s">
        <v>284</v>
      </c>
      <c r="O1774" s="977" t="s">
        <v>274</v>
      </c>
      <c r="P1774" s="75" t="str">
        <f>IF(AND('331-CT'!$E$7=TH!H1774,OR(N1774="331",O1774="331")),"x","")</f>
        <v/>
      </c>
      <c r="Q1774" s="75" t="str">
        <f>IF(AND(B1774='111'!$L$11,OR($N1774=$Q$7,$O1774=$Q$7)),"x","")</f>
        <v/>
      </c>
      <c r="R1774" s="75" t="str">
        <f>IF(AND($N1774=$Q$7,$B1774&lt;'111'!$L$11),"x","")</f>
        <v/>
      </c>
      <c r="S1774" s="75" t="str">
        <f>IF(AND($O1774=$Q$7,$B1774&lt;'111'!$L$11),"x","")</f>
        <v/>
      </c>
      <c r="T1774" s="75" t="str">
        <f>IF(ISERROR(FIND('112'!$M$9,G1774,1)),"",IF((AND(FIND('112'!$M$9,G1774,1)&gt;=1,B1774='112'!$K$9,OR($N1774='112'!$I$6,$O1774='112'!$I$6))),"x",""))</f>
        <v/>
      </c>
      <c r="U1774" s="75" t="str">
        <f>IF(ISERROR(FIND('112'!$M$9,G1774,1)),"",IF((AND(LEFT(G1774,2)=LEFT('112'!$M$9,2),B1774&lt;'112'!$K$9,$N1774='112'!$I$6)),"x",""))</f>
        <v/>
      </c>
      <c r="V1774" s="75" t="str">
        <f>IF(ISERROR(FIND('112'!$M$9,G1774,1)),"",IF((AND(RIGHT(G1774,2)=RIGHT('112'!$M$9,2),B1774&lt;'112'!$K$9,$O1774='112'!$I$6)),"x",""))</f>
        <v/>
      </c>
      <c r="W1774" s="75" t="str">
        <f>IF(AND('341-CT'!$H$9=H1774,OR(LEFT(N1774,3)=$W$7,LEFT(O1774,3)=$W$7)),"x","")</f>
        <v/>
      </c>
      <c r="X1774" s="75" t="str">
        <f>IF(OR(TH!N1774=TH!$X$7,O1774=TH!$X$7),"x","")</f>
        <v/>
      </c>
      <c r="Y1774" s="75" t="str">
        <f>IF(AND(OR(N1774="131",O1774="131"),H1774='131-CT'!$H$9),"x","")</f>
        <v/>
      </c>
      <c r="Z1774" s="75"/>
      <c r="AA1774" s="75" t="str">
        <f>IF(AND(MONTH(E1774)='IN-NX'!$J$5,'IN-NX'!$D$7=D1774),"x","")</f>
        <v/>
      </c>
      <c r="AB1774" s="75" t="str">
        <f>IF(AND(OR(LEFT(TH!N1774,2)="15",LEFT(TH!O1774,2)="15"),LEFT(TH!O1774,3)&lt;&gt;"111",'152-CT'!$J$8=TH!F1774),"x","")</f>
        <v/>
      </c>
      <c r="AC1774" s="75" t="str">
        <f>IF(AND(OR(LEFT(TH!N1774,2)="15",LEFT(TH!O1774,2)="15"),TK!$E$7=TH!F1774),"x","")</f>
        <v/>
      </c>
      <c r="AD1774" s="75" t="str">
        <f>IF(AND(N1774="1521",MONTH(C1774)='BK-NL'!$M$11),"x","")</f>
        <v/>
      </c>
      <c r="AF1774" s="1054"/>
    </row>
    <row r="1775" spans="1:32" s="1264" customFormat="1" ht="16.5" customHeight="1">
      <c r="A1775" s="309" t="str">
        <f>IF(B1775&lt;&gt;"",IF(AND(B1775='IN-TC'!$S$4,OR(TH!N1775="1111",TH!O1775="1111")),TH!D1775,""),"")</f>
        <v/>
      </c>
      <c r="B1775" s="1279">
        <f t="shared" ref="B1775:B1777" si="473">IF(C1775&lt;&gt;"",MONTH(C1775),"")</f>
        <v>8</v>
      </c>
      <c r="C1775" s="252">
        <f t="shared" ref="C1775:C1777" si="474">E1775</f>
        <v>42963</v>
      </c>
      <c r="D1775" s="252" t="s">
        <v>2921</v>
      </c>
      <c r="E1775" s="252">
        <v>42963</v>
      </c>
      <c r="F1775" s="1055" t="s">
        <v>1588</v>
      </c>
      <c r="G1775" s="1056" t="s">
        <v>1868</v>
      </c>
      <c r="H1775" s="296" t="s">
        <v>822</v>
      </c>
      <c r="I1775" s="371">
        <v>12000</v>
      </c>
      <c r="J1775" s="371">
        <v>224484.01208333333</v>
      </c>
      <c r="K1775" s="371"/>
      <c r="L1775" s="377"/>
      <c r="M1775" s="933">
        <f t="shared" ref="M1775:M1777" si="475">ROUND(I1775*J1775,0)</f>
        <v>2693808145</v>
      </c>
      <c r="N1775" s="977" t="s">
        <v>284</v>
      </c>
      <c r="O1775" s="977" t="s">
        <v>274</v>
      </c>
      <c r="P1775" s="75" t="str">
        <f>IF(AND('331-CT'!$E$7=TH!H1775,OR(N1775="331",O1775="331")),"x","")</f>
        <v/>
      </c>
      <c r="Q1775" s="75" t="str">
        <f>IF(AND(B1775='111'!$L$11,OR($N1775=$Q$7,$O1775=$Q$7)),"x","")</f>
        <v/>
      </c>
      <c r="R1775" s="75" t="str">
        <f>IF(AND($N1775=$Q$7,$B1775&lt;'111'!$L$11),"x","")</f>
        <v/>
      </c>
      <c r="S1775" s="75" t="str">
        <f>IF(AND($O1775=$Q$7,$B1775&lt;'111'!$L$11),"x","")</f>
        <v/>
      </c>
      <c r="T1775" s="75" t="str">
        <f>IF(ISERROR(FIND('112'!$M$9,G1775,1)),"",IF((AND(FIND('112'!$M$9,G1775,1)&gt;=1,B1775='112'!$K$9,OR($N1775='112'!$I$6,$O1775='112'!$I$6))),"x",""))</f>
        <v/>
      </c>
      <c r="U1775" s="75" t="str">
        <f>IF(ISERROR(FIND('112'!$M$9,G1775,1)),"",IF((AND(LEFT(G1775,2)=LEFT('112'!$M$9,2),B1775&lt;'112'!$K$9,$N1775='112'!$I$6)),"x",""))</f>
        <v/>
      </c>
      <c r="V1775" s="75" t="str">
        <f>IF(ISERROR(FIND('112'!$M$9,G1775,1)),"",IF((AND(RIGHT(G1775,2)=RIGHT('112'!$M$9,2),B1775&lt;'112'!$K$9,$O1775='112'!$I$6)),"x",""))</f>
        <v/>
      </c>
      <c r="W1775" s="75" t="str">
        <f>IF(AND('341-CT'!$H$9=H1775,OR(LEFT(N1775,3)=$W$7,LEFT(O1775,3)=$W$7)),"x","")</f>
        <v/>
      </c>
      <c r="X1775" s="75" t="str">
        <f>IF(OR(TH!N1775=TH!$X$7,O1775=TH!$X$7),"x","")</f>
        <v/>
      </c>
      <c r="Y1775" s="75" t="str">
        <f>IF(AND(OR(N1775="131",O1775="131"),H1775='131-CT'!$H$9),"x","")</f>
        <v/>
      </c>
      <c r="Z1775" s="75"/>
      <c r="AA1775" s="75" t="str">
        <f>IF(AND(MONTH(E1775)='IN-NX'!$J$5,'IN-NX'!$D$7=D1775),"x","")</f>
        <v/>
      </c>
      <c r="AB1775" s="75" t="str">
        <f>IF(AND(OR(LEFT(TH!N1775,2)="15",LEFT(TH!O1775,2)="15"),LEFT(TH!O1775,3)&lt;&gt;"111",'152-CT'!$J$8=TH!F1775),"x","")</f>
        <v/>
      </c>
      <c r="AC1775" s="75" t="str">
        <f>IF(AND(OR(LEFT(TH!N1775,2)="15",LEFT(TH!O1775,2)="15"),TK!$E$7=TH!F1775),"x","")</f>
        <v/>
      </c>
      <c r="AD1775" s="75" t="str">
        <f>IF(AND(N1775="1521",MONTH(C1775)='BK-NL'!$M$11),"x","")</f>
        <v/>
      </c>
      <c r="AF1775" s="1054"/>
    </row>
    <row r="1776" spans="1:32" s="1264" customFormat="1" ht="16.5" customHeight="1">
      <c r="A1776" s="309" t="str">
        <f>IF(B1776&lt;&gt;"",IF(AND(B1776='IN-TC'!$S$4,OR(TH!N1776="1111",TH!O1776="1111")),TH!D1776,""),"")</f>
        <v/>
      </c>
      <c r="B1776" s="1279">
        <f t="shared" si="473"/>
        <v>8</v>
      </c>
      <c r="C1776" s="252">
        <f t="shared" si="474"/>
        <v>42970</v>
      </c>
      <c r="D1776" s="252" t="s">
        <v>2921</v>
      </c>
      <c r="E1776" s="252">
        <v>42970</v>
      </c>
      <c r="F1776" s="1055" t="s">
        <v>793</v>
      </c>
      <c r="G1776" s="1056" t="s">
        <v>1902</v>
      </c>
      <c r="H1776" s="296" t="s">
        <v>1903</v>
      </c>
      <c r="I1776" s="371">
        <v>6000</v>
      </c>
      <c r="J1776" s="371">
        <v>172848.03966666668</v>
      </c>
      <c r="K1776" s="371"/>
      <c r="L1776" s="377"/>
      <c r="M1776" s="933">
        <f t="shared" si="475"/>
        <v>1037088238</v>
      </c>
      <c r="N1776" s="977" t="s">
        <v>284</v>
      </c>
      <c r="O1776" s="977" t="s">
        <v>274</v>
      </c>
      <c r="P1776" s="75" t="str">
        <f>IF(AND('331-CT'!$E$7=TH!H1776,OR(N1776="331",O1776="331")),"x","")</f>
        <v/>
      </c>
      <c r="Q1776" s="75" t="str">
        <f>IF(AND(B1776='111'!$L$11,OR($N1776=$Q$7,$O1776=$Q$7)),"x","")</f>
        <v/>
      </c>
      <c r="R1776" s="75" t="str">
        <f>IF(AND($N1776=$Q$7,$B1776&lt;'111'!$L$11),"x","")</f>
        <v/>
      </c>
      <c r="S1776" s="75" t="str">
        <f>IF(AND($O1776=$Q$7,$B1776&lt;'111'!$L$11),"x","")</f>
        <v/>
      </c>
      <c r="T1776" s="75" t="str">
        <f>IF(ISERROR(FIND('112'!$M$9,G1776,1)),"",IF((AND(FIND('112'!$M$9,G1776,1)&gt;=1,B1776='112'!$K$9,OR($N1776='112'!$I$6,$O1776='112'!$I$6))),"x",""))</f>
        <v/>
      </c>
      <c r="U1776" s="75" t="str">
        <f>IF(ISERROR(FIND('112'!$M$9,G1776,1)),"",IF((AND(LEFT(G1776,2)=LEFT('112'!$M$9,2),B1776&lt;'112'!$K$9,$N1776='112'!$I$6)),"x",""))</f>
        <v/>
      </c>
      <c r="V1776" s="75" t="str">
        <f>IF(ISERROR(FIND('112'!$M$9,G1776,1)),"",IF((AND(RIGHT(G1776,2)=RIGHT('112'!$M$9,2),B1776&lt;'112'!$K$9,$O1776='112'!$I$6)),"x",""))</f>
        <v/>
      </c>
      <c r="W1776" s="75" t="str">
        <f>IF(AND('341-CT'!$H$9=H1776,OR(LEFT(N1776,3)=$W$7,LEFT(O1776,3)=$W$7)),"x","")</f>
        <v/>
      </c>
      <c r="X1776" s="75" t="str">
        <f>IF(OR(TH!N1776=TH!$X$7,O1776=TH!$X$7),"x","")</f>
        <v/>
      </c>
      <c r="Y1776" s="75" t="str">
        <f>IF(AND(OR(N1776="131",O1776="131"),H1776='131-CT'!$H$9),"x","")</f>
        <v/>
      </c>
      <c r="Z1776" s="75"/>
      <c r="AA1776" s="75" t="str">
        <f>IF(AND(MONTH(E1776)='IN-NX'!$J$5,'IN-NX'!$D$7=D1776),"x","")</f>
        <v/>
      </c>
      <c r="AB1776" s="75" t="str">
        <f>IF(AND(OR(LEFT(TH!N1776,2)="15",LEFT(TH!O1776,2)="15"),LEFT(TH!O1776,3)&lt;&gt;"111",'152-CT'!$J$8=TH!F1776),"x","")</f>
        <v/>
      </c>
      <c r="AC1776" s="75" t="str">
        <f>IF(AND(OR(LEFT(TH!N1776,2)="15",LEFT(TH!O1776,2)="15"),TK!$E$7=TH!F1776),"x","")</f>
        <v/>
      </c>
      <c r="AD1776" s="75" t="str">
        <f>IF(AND(N1776="1521",MONTH(C1776)='BK-NL'!$M$11),"x","")</f>
        <v/>
      </c>
      <c r="AF1776" s="1054"/>
    </row>
    <row r="1777" spans="1:32" s="1264" customFormat="1" ht="16.5" customHeight="1">
      <c r="A1777" s="309" t="str">
        <f>IF(B1777&lt;&gt;"",IF(AND(B1777='IN-TC'!$S$4,OR(TH!N1777="1111",TH!O1777="1111")),TH!D1777,""),"")</f>
        <v/>
      </c>
      <c r="B1777" s="1279">
        <f t="shared" si="473"/>
        <v>8</v>
      </c>
      <c r="C1777" s="252">
        <f t="shared" si="474"/>
        <v>42970</v>
      </c>
      <c r="D1777" s="252" t="s">
        <v>2921</v>
      </c>
      <c r="E1777" s="252">
        <v>42970</v>
      </c>
      <c r="F1777" s="1055" t="s">
        <v>1588</v>
      </c>
      <c r="G1777" s="1056" t="s">
        <v>1902</v>
      </c>
      <c r="H1777" s="296" t="s">
        <v>1903</v>
      </c>
      <c r="I1777" s="371">
        <v>4000</v>
      </c>
      <c r="J1777" s="371">
        <v>224568.04550000001</v>
      </c>
      <c r="K1777" s="371"/>
      <c r="L1777" s="377"/>
      <c r="M1777" s="933">
        <f t="shared" si="475"/>
        <v>898272182</v>
      </c>
      <c r="N1777" s="977" t="s">
        <v>284</v>
      </c>
      <c r="O1777" s="977" t="s">
        <v>274</v>
      </c>
      <c r="P1777" s="75" t="str">
        <f>IF(AND('331-CT'!$E$7=TH!H1777,OR(N1777="331",O1777="331")),"x","")</f>
        <v/>
      </c>
      <c r="Q1777" s="75" t="str">
        <f>IF(AND(B1777='111'!$L$11,OR($N1777=$Q$7,$O1777=$Q$7)),"x","")</f>
        <v/>
      </c>
      <c r="R1777" s="75" t="str">
        <f>IF(AND($N1777=$Q$7,$B1777&lt;'111'!$L$11),"x","")</f>
        <v/>
      </c>
      <c r="S1777" s="75" t="str">
        <f>IF(AND($O1777=$Q$7,$B1777&lt;'111'!$L$11),"x","")</f>
        <v/>
      </c>
      <c r="T1777" s="75" t="str">
        <f>IF(ISERROR(FIND('112'!$M$9,G1777,1)),"",IF((AND(FIND('112'!$M$9,G1777,1)&gt;=1,B1777='112'!$K$9,OR($N1777='112'!$I$6,$O1777='112'!$I$6))),"x",""))</f>
        <v/>
      </c>
      <c r="U1777" s="75" t="str">
        <f>IF(ISERROR(FIND('112'!$M$9,G1777,1)),"",IF((AND(LEFT(G1777,2)=LEFT('112'!$M$9,2),B1777&lt;'112'!$K$9,$N1777='112'!$I$6)),"x",""))</f>
        <v/>
      </c>
      <c r="V1777" s="75" t="str">
        <f>IF(ISERROR(FIND('112'!$M$9,G1777,1)),"",IF((AND(RIGHT(G1777,2)=RIGHT('112'!$M$9,2),B1777&lt;'112'!$K$9,$O1777='112'!$I$6)),"x",""))</f>
        <v/>
      </c>
      <c r="W1777" s="75" t="str">
        <f>IF(AND('341-CT'!$H$9=H1777,OR(LEFT(N1777,3)=$W$7,LEFT(O1777,3)=$W$7)),"x","")</f>
        <v/>
      </c>
      <c r="X1777" s="75" t="str">
        <f>IF(OR(TH!N1777=TH!$X$7,O1777=TH!$X$7),"x","")</f>
        <v/>
      </c>
      <c r="Y1777" s="75" t="str">
        <f>IF(AND(OR(N1777="131",O1777="131"),H1777='131-CT'!$H$9),"x","")</f>
        <v/>
      </c>
      <c r="Z1777" s="75"/>
      <c r="AA1777" s="75" t="str">
        <f>IF(AND(MONTH(E1777)='IN-NX'!$J$5,'IN-NX'!$D$7=D1777),"x","")</f>
        <v/>
      </c>
      <c r="AB1777" s="75" t="str">
        <f>IF(AND(OR(LEFT(TH!N1777,2)="15",LEFT(TH!O1777,2)="15"),LEFT(TH!O1777,3)&lt;&gt;"111",'152-CT'!$J$8=TH!F1777),"x","")</f>
        <v/>
      </c>
      <c r="AC1777" s="75" t="str">
        <f>IF(AND(OR(LEFT(TH!N1777,2)="15",LEFT(TH!O1777,2)="15"),TK!$E$7=TH!F1777),"x","")</f>
        <v/>
      </c>
      <c r="AD1777" s="75" t="str">
        <f>IF(AND(N1777="1521",MONTH(C1777)='BK-NL'!$M$11),"x","")</f>
        <v/>
      </c>
      <c r="AF1777" s="1054"/>
    </row>
    <row r="1778" spans="1:32" s="1053" customFormat="1" ht="16.5" customHeight="1">
      <c r="A1778" s="309" t="str">
        <f>IF(B1778&lt;&gt;"",IF(AND(B1778='IN-TC'!$S$4,OR(TH!N1778="1111",TH!O1778="1111")),TH!D1778,""),"")</f>
        <v/>
      </c>
      <c r="B1778" s="1129">
        <f t="shared" ref="B1778:B1803" si="476">IF(C1778&lt;&gt;"",MONTH(C1778),"")</f>
        <v>8</v>
      </c>
      <c r="C1778" s="292">
        <v>42956</v>
      </c>
      <c r="D1778" s="292" t="s">
        <v>829</v>
      </c>
      <c r="E1778" s="292">
        <f t="shared" ref="E1778:E1797" si="477">C1778</f>
        <v>42956</v>
      </c>
      <c r="F1778" s="432" t="s">
        <v>1257</v>
      </c>
      <c r="G1778" s="925" t="s">
        <v>1855</v>
      </c>
      <c r="H1778" s="68" t="s">
        <v>560</v>
      </c>
      <c r="I1778" s="373">
        <v>6750</v>
      </c>
      <c r="J1778" s="379">
        <v>14728</v>
      </c>
      <c r="K1778" s="373"/>
      <c r="L1778" s="379"/>
      <c r="M1778" s="927">
        <f>I1778*J1778</f>
        <v>99414000</v>
      </c>
      <c r="N1778" s="295" t="s">
        <v>266</v>
      </c>
      <c r="O1778" s="295" t="s">
        <v>8</v>
      </c>
      <c r="P1778" s="61" t="str">
        <f>IF(AND('331-CT'!$E$7=TH!H1778,OR(N1778="331",O1778="331")),"x","")</f>
        <v/>
      </c>
      <c r="Q1778" s="61" t="str">
        <f>IF(AND(B1778='111'!$L$11,OR($N1778=$Q$7,$O1778=$Q$7)),"x","")</f>
        <v/>
      </c>
      <c r="R1778" s="61" t="str">
        <f>IF(AND($N1778=$Q$7,$B1778&lt;'111'!$L$11),"x","")</f>
        <v/>
      </c>
      <c r="S1778" s="61" t="str">
        <f>IF(AND($O1778=$Q$7,$B1778&lt;'111'!$L$11),"x","")</f>
        <v/>
      </c>
      <c r="T1778" s="61" t="str">
        <f>IF(ISERROR(FIND('112'!$M$9,G1778,1)),"",IF((AND(FIND('112'!$M$9,G1778,1)&gt;=1,B1778='112'!$K$9,OR($N1778='112'!$I$6,$O1778='112'!$I$6))),"x",""))</f>
        <v/>
      </c>
      <c r="U1778" s="61" t="str">
        <f>IF(ISERROR(FIND('112'!$M$9,G1778,1)),"",IF((AND(LEFT(G1778,2)=LEFT('112'!$M$9,2),B1778&lt;'112'!$K$9,$N1778='112'!$I$6)),"x",""))</f>
        <v/>
      </c>
      <c r="V1778" s="61" t="str">
        <f>IF(ISERROR(FIND('112'!$M$9,G1778,1)),"",IF((AND(RIGHT(G1778,2)=RIGHT('112'!$M$9,2),B1778&lt;'112'!$K$9,$O1778='112'!$I$6)),"x",""))</f>
        <v/>
      </c>
      <c r="W1778" s="61" t="str">
        <f>IF(AND('341-CT'!$H$9=H1778,OR(LEFT(N1778,3)=$W$7,LEFT(O1778,3)=$W$7)),"x","")</f>
        <v/>
      </c>
      <c r="X1778" s="61" t="str">
        <f>IF(OR(TH!N1778=TH!$X$7,O1778=TH!$X$7),"x","")</f>
        <v/>
      </c>
      <c r="Y1778" s="61" t="str">
        <f>IF(AND(OR(N1778="131",O1778="131"),H1778='131-CT'!$H$9),"x","")</f>
        <v/>
      </c>
      <c r="Z1778" s="61"/>
      <c r="AA1778" s="61" t="str">
        <f>IF(AND(MONTH(E1778)='IN-NX'!$J$5,'IN-NX'!$D$7=D1778),"x","")</f>
        <v/>
      </c>
      <c r="AB1778" s="61" t="str">
        <f>IF(AND(OR(LEFT(TH!N1778,2)="15",LEFT(TH!O1778,2)="15"),LEFT(TH!O1778,3)&lt;&gt;"111",'152-CT'!$J$8=TH!F1778),"x","")</f>
        <v/>
      </c>
      <c r="AC1778" s="61" t="str">
        <f>IF(AND(OR(LEFT(TH!N1778,2)="15",LEFT(TH!O1778,2)="15"),TK!$E$7=TH!F1778),"x","")</f>
        <v/>
      </c>
      <c r="AD1778" s="61" t="str">
        <f>IF(AND(N1778="1521",MONTH(C1778)='BK-NL'!$M$11),"x","")</f>
        <v/>
      </c>
      <c r="AE1778" s="1053">
        <v>8</v>
      </c>
    </row>
    <row r="1779" spans="1:32" s="1053" customFormat="1" ht="16.5" customHeight="1">
      <c r="A1779" s="309" t="str">
        <f>IF(B1779&lt;&gt;"",IF(AND(B1779='IN-TC'!$S$4,OR(TH!N1779="1111",TH!O1779="1111")),TH!D1779,""),"")</f>
        <v/>
      </c>
      <c r="B1779" s="1129">
        <f t="shared" si="476"/>
        <v>8</v>
      </c>
      <c r="C1779" s="292">
        <v>42956</v>
      </c>
      <c r="D1779" s="292" t="s">
        <v>829</v>
      </c>
      <c r="E1779" s="292">
        <f t="shared" si="477"/>
        <v>42956</v>
      </c>
      <c r="F1779" s="432" t="s">
        <v>1444</v>
      </c>
      <c r="G1779" s="925" t="s">
        <v>1855</v>
      </c>
      <c r="H1779" s="68" t="s">
        <v>560</v>
      </c>
      <c r="I1779" s="373"/>
      <c r="J1779" s="379"/>
      <c r="K1779" s="373"/>
      <c r="L1779" s="379"/>
      <c r="M1779" s="927">
        <v>9941400</v>
      </c>
      <c r="N1779" s="295" t="s">
        <v>9</v>
      </c>
      <c r="O1779" s="295" t="s">
        <v>8</v>
      </c>
      <c r="P1779" s="61" t="str">
        <f>IF(AND('331-CT'!$E$7=TH!H1779,OR(N1779="331",O1779="331")),"x","")</f>
        <v/>
      </c>
      <c r="Q1779" s="61" t="str">
        <f>IF(AND(B1779='111'!$L$11,OR($N1779=$Q$7,$O1779=$Q$7)),"x","")</f>
        <v/>
      </c>
      <c r="R1779" s="61" t="str">
        <f>IF(AND($N1779=$Q$7,$B1779&lt;'111'!$L$11),"x","")</f>
        <v/>
      </c>
      <c r="S1779" s="61" t="str">
        <f>IF(AND($O1779=$Q$7,$B1779&lt;'111'!$L$11),"x","")</f>
        <v/>
      </c>
      <c r="T1779" s="61" t="str">
        <f>IF(ISERROR(FIND('112'!$M$9,G1779,1)),"",IF((AND(FIND('112'!$M$9,G1779,1)&gt;=1,B1779='112'!$K$9,OR($N1779='112'!$I$6,$O1779='112'!$I$6))),"x",""))</f>
        <v/>
      </c>
      <c r="U1779" s="61" t="str">
        <f>IF(ISERROR(FIND('112'!$M$9,G1779,1)),"",IF((AND(LEFT(G1779,2)=LEFT('112'!$M$9,2),B1779&lt;'112'!$K$9,$N1779='112'!$I$6)),"x",""))</f>
        <v/>
      </c>
      <c r="V1779" s="61" t="str">
        <f>IF(ISERROR(FIND('112'!$M$9,G1779,1)),"",IF((AND(RIGHT(G1779,2)=RIGHT('112'!$M$9,2),B1779&lt;'112'!$K$9,$O1779='112'!$I$6)),"x",""))</f>
        <v/>
      </c>
      <c r="W1779" s="61" t="str">
        <f>IF(AND('341-CT'!$H$9=H1779,OR(LEFT(N1779,3)=$W$7,LEFT(O1779,3)=$W$7)),"x","")</f>
        <v/>
      </c>
      <c r="X1779" s="61" t="str">
        <f>IF(OR(TH!N1779=TH!$X$7,O1779=TH!$X$7),"x","")</f>
        <v/>
      </c>
      <c r="Y1779" s="61" t="str">
        <f>IF(AND(OR(N1779="131",O1779="131"),H1779='131-CT'!$H$9),"x","")</f>
        <v/>
      </c>
      <c r="Z1779" s="61"/>
      <c r="AA1779" s="61" t="str">
        <f>IF(AND(MONTH(E1779)='IN-NX'!$J$5,'IN-NX'!$D$7=D1779),"x","")</f>
        <v/>
      </c>
      <c r="AB1779" s="61" t="str">
        <f>IF(AND(OR(LEFT(TH!N1779,2)="15",LEFT(TH!O1779,2)="15"),LEFT(TH!O1779,3)&lt;&gt;"111",'152-CT'!$J$8=TH!F1779),"x","")</f>
        <v/>
      </c>
      <c r="AC1779" s="61" t="str">
        <f>IF(AND(OR(LEFT(TH!N1779,2)="15",LEFT(TH!O1779,2)="15"),TK!$E$7=TH!F1779),"x","")</f>
        <v/>
      </c>
      <c r="AD1779" s="61" t="str">
        <f>IF(AND(N1779="1521",MONTH(C1779)='BK-NL'!$M$11),"x","")</f>
        <v/>
      </c>
      <c r="AE1779" s="1053">
        <v>8</v>
      </c>
    </row>
    <row r="1780" spans="1:32" s="1053" customFormat="1" ht="16.5" customHeight="1">
      <c r="A1780" s="309" t="str">
        <f>IF(B1780&lt;&gt;"",IF(AND(B1780='IN-TC'!$S$4,OR(TH!N1780="1111",TH!O1780="1111")),TH!D1780,""),"")</f>
        <v/>
      </c>
      <c r="B1780" s="1129">
        <f t="shared" si="476"/>
        <v>8</v>
      </c>
      <c r="C1780" s="292">
        <v>42957</v>
      </c>
      <c r="D1780" s="292" t="s">
        <v>840</v>
      </c>
      <c r="E1780" s="292">
        <f t="shared" si="477"/>
        <v>42957</v>
      </c>
      <c r="F1780" s="67" t="s">
        <v>795</v>
      </c>
      <c r="G1780" s="925" t="s">
        <v>1232</v>
      </c>
      <c r="H1780" s="311" t="s">
        <v>1684</v>
      </c>
      <c r="I1780" s="373">
        <v>3045</v>
      </c>
      <c r="J1780" s="379">
        <v>5900</v>
      </c>
      <c r="K1780" s="373"/>
      <c r="L1780" s="379"/>
      <c r="M1780" s="927">
        <f>I1780*J1780</f>
        <v>17965500</v>
      </c>
      <c r="N1780" s="295" t="s">
        <v>266</v>
      </c>
      <c r="O1780" s="295" t="s">
        <v>8</v>
      </c>
      <c r="P1780" s="61" t="str">
        <f>IF(AND('331-CT'!$E$7=TH!H1780,OR(N1780="331",O1780="331")),"x","")</f>
        <v/>
      </c>
      <c r="Q1780" s="61" t="str">
        <f>IF(AND(B1780='111'!$L$11,OR($N1780=$Q$7,$O1780=$Q$7)),"x","")</f>
        <v/>
      </c>
      <c r="R1780" s="61" t="str">
        <f>IF(AND($N1780=$Q$7,$B1780&lt;'111'!$L$11),"x","")</f>
        <v/>
      </c>
      <c r="S1780" s="61" t="str">
        <f>IF(AND($O1780=$Q$7,$B1780&lt;'111'!$L$11),"x","")</f>
        <v/>
      </c>
      <c r="T1780" s="61" t="str">
        <f>IF(ISERROR(FIND('112'!$M$9,G1780,1)),"",IF((AND(FIND('112'!$M$9,G1780,1)&gt;=1,B1780='112'!$K$9,OR($N1780='112'!$I$6,$O1780='112'!$I$6))),"x",""))</f>
        <v/>
      </c>
      <c r="U1780" s="61" t="str">
        <f>IF(ISERROR(FIND('112'!$M$9,G1780,1)),"",IF((AND(LEFT(G1780,2)=LEFT('112'!$M$9,2),B1780&lt;'112'!$K$9,$N1780='112'!$I$6)),"x",""))</f>
        <v/>
      </c>
      <c r="V1780" s="61" t="str">
        <f>IF(ISERROR(FIND('112'!$M$9,G1780,1)),"",IF((AND(RIGHT(G1780,2)=RIGHT('112'!$M$9,2),B1780&lt;'112'!$K$9,$O1780='112'!$I$6)),"x",""))</f>
        <v/>
      </c>
      <c r="W1780" s="61" t="str">
        <f>IF(AND('341-CT'!$H$9=H1780,OR(LEFT(N1780,3)=$W$7,LEFT(O1780,3)=$W$7)),"x","")</f>
        <v/>
      </c>
      <c r="X1780" s="61" t="str">
        <f>IF(OR(TH!N1780=TH!$X$7,O1780=TH!$X$7),"x","")</f>
        <v/>
      </c>
      <c r="Y1780" s="61" t="str">
        <f>IF(AND(OR(N1780="131",O1780="131"),H1780='131-CT'!$H$9),"x","")</f>
        <v/>
      </c>
      <c r="Z1780" s="61"/>
      <c r="AA1780" s="61" t="str">
        <f>IF(AND(MONTH(E1780)='IN-NX'!$J$5,'IN-NX'!$D$7=D1780),"x","")</f>
        <v/>
      </c>
      <c r="AB1780" s="61" t="str">
        <f>IF(AND(OR(LEFT(TH!N1780,2)="15",LEFT(TH!O1780,2)="15"),LEFT(TH!O1780,3)&lt;&gt;"111",'152-CT'!$J$8=TH!F1780),"x","")</f>
        <v/>
      </c>
      <c r="AC1780" s="61" t="str">
        <f>IF(AND(OR(LEFT(TH!N1780,2)="15",LEFT(TH!O1780,2)="15"),TK!$E$7=TH!F1780),"x","")</f>
        <v/>
      </c>
      <c r="AD1780" s="61" t="str">
        <f>IF(AND(N1780="1521",MONTH(C1780)='BK-NL'!$M$11),"x","")</f>
        <v/>
      </c>
      <c r="AE1780" s="1053">
        <v>9</v>
      </c>
    </row>
    <row r="1781" spans="1:32" s="1053" customFormat="1" ht="16.5" customHeight="1">
      <c r="A1781" s="309" t="str">
        <f>IF(B1781&lt;&gt;"",IF(AND(B1781='IN-TC'!$S$4,OR(TH!N1781="1111",TH!O1781="1111")),TH!D1781,""),"")</f>
        <v/>
      </c>
      <c r="B1781" s="1129">
        <f t="shared" si="476"/>
        <v>8</v>
      </c>
      <c r="C1781" s="292">
        <v>42957</v>
      </c>
      <c r="D1781" s="292" t="s">
        <v>840</v>
      </c>
      <c r="E1781" s="292">
        <f t="shared" si="477"/>
        <v>42957</v>
      </c>
      <c r="F1781" s="67" t="s">
        <v>1143</v>
      </c>
      <c r="G1781" s="925" t="s">
        <v>1232</v>
      </c>
      <c r="H1781" s="311" t="s">
        <v>1684</v>
      </c>
      <c r="I1781" s="373"/>
      <c r="J1781" s="379"/>
      <c r="K1781" s="373"/>
      <c r="L1781" s="379"/>
      <c r="M1781" s="927">
        <v>1796550</v>
      </c>
      <c r="N1781" s="295" t="s">
        <v>9</v>
      </c>
      <c r="O1781" s="295" t="s">
        <v>8</v>
      </c>
      <c r="P1781" s="61" t="str">
        <f>IF(AND('331-CT'!$E$7=TH!H1781,OR(N1781="331",O1781="331")),"x","")</f>
        <v/>
      </c>
      <c r="Q1781" s="61" t="str">
        <f>IF(AND(B1781='111'!$L$11,OR($N1781=$Q$7,$O1781=$Q$7)),"x","")</f>
        <v/>
      </c>
      <c r="R1781" s="61" t="str">
        <f>IF(AND($N1781=$Q$7,$B1781&lt;'111'!$L$11),"x","")</f>
        <v/>
      </c>
      <c r="S1781" s="61" t="str">
        <f>IF(AND($O1781=$Q$7,$B1781&lt;'111'!$L$11),"x","")</f>
        <v/>
      </c>
      <c r="T1781" s="61" t="str">
        <f>IF(ISERROR(FIND('112'!$M$9,G1781,1)),"",IF((AND(FIND('112'!$M$9,G1781,1)&gt;=1,B1781='112'!$K$9,OR($N1781='112'!$I$6,$O1781='112'!$I$6))),"x",""))</f>
        <v/>
      </c>
      <c r="U1781" s="61" t="str">
        <f>IF(ISERROR(FIND('112'!$M$9,G1781,1)),"",IF((AND(LEFT(G1781,2)=LEFT('112'!$M$9,2),B1781&lt;'112'!$K$9,$N1781='112'!$I$6)),"x",""))</f>
        <v/>
      </c>
      <c r="V1781" s="61" t="str">
        <f>IF(ISERROR(FIND('112'!$M$9,G1781,1)),"",IF((AND(RIGHT(G1781,2)=RIGHT('112'!$M$9,2),B1781&lt;'112'!$K$9,$O1781='112'!$I$6)),"x",""))</f>
        <v/>
      </c>
      <c r="W1781" s="61" t="str">
        <f>IF(AND('341-CT'!$H$9=H1781,OR(LEFT(N1781,3)=$W$7,LEFT(O1781,3)=$W$7)),"x","")</f>
        <v/>
      </c>
      <c r="X1781" s="61" t="str">
        <f>IF(OR(TH!N1781=TH!$X$7,O1781=TH!$X$7),"x","")</f>
        <v/>
      </c>
      <c r="Y1781" s="61" t="str">
        <f>IF(AND(OR(N1781="131",O1781="131"),H1781='131-CT'!$H$9),"x","")</f>
        <v/>
      </c>
      <c r="Z1781" s="61"/>
      <c r="AA1781" s="61" t="str">
        <f>IF(AND(MONTH(E1781)='IN-NX'!$J$5,'IN-NX'!$D$7=D1781),"x","")</f>
        <v/>
      </c>
      <c r="AB1781" s="61" t="str">
        <f>IF(AND(OR(LEFT(TH!N1781,2)="15",LEFT(TH!O1781,2)="15"),LEFT(TH!O1781,3)&lt;&gt;"111",'152-CT'!$J$8=TH!F1781),"x","")</f>
        <v/>
      </c>
      <c r="AC1781" s="61" t="str">
        <f>IF(AND(OR(LEFT(TH!N1781,2)="15",LEFT(TH!O1781,2)="15"),TK!$E$7=TH!F1781),"x","")</f>
        <v/>
      </c>
      <c r="AD1781" s="61" t="str">
        <f>IF(AND(N1781="1521",MONTH(C1781)='BK-NL'!$M$11),"x","")</f>
        <v/>
      </c>
      <c r="AE1781" s="1053">
        <v>9</v>
      </c>
    </row>
    <row r="1782" spans="1:32" s="1053" customFormat="1" ht="16.5" customHeight="1">
      <c r="A1782" s="309" t="str">
        <f>IF(B1782&lt;&gt;"",IF(AND(B1782='IN-TC'!$S$4,OR(TH!N1782="1111",TH!O1782="1111")),TH!D1782,""),"")</f>
        <v/>
      </c>
      <c r="B1782" s="1129">
        <f t="shared" si="476"/>
        <v>8</v>
      </c>
      <c r="C1782" s="292">
        <v>42958</v>
      </c>
      <c r="D1782" s="292" t="s">
        <v>847</v>
      </c>
      <c r="E1782" s="292">
        <f t="shared" si="477"/>
        <v>42958</v>
      </c>
      <c r="F1782" s="67" t="s">
        <v>795</v>
      </c>
      <c r="G1782" s="925" t="s">
        <v>2142</v>
      </c>
      <c r="H1782" s="311" t="s">
        <v>1684</v>
      </c>
      <c r="I1782" s="373">
        <v>3045</v>
      </c>
      <c r="J1782" s="379">
        <v>5900</v>
      </c>
      <c r="K1782" s="373"/>
      <c r="L1782" s="379"/>
      <c r="M1782" s="927">
        <f>I1782*J1782</f>
        <v>17965500</v>
      </c>
      <c r="N1782" s="295" t="s">
        <v>266</v>
      </c>
      <c r="O1782" s="295" t="s">
        <v>8</v>
      </c>
      <c r="P1782" s="61" t="str">
        <f>IF(AND('331-CT'!$E$7=TH!H1782,OR(N1782="331",O1782="331")),"x","")</f>
        <v/>
      </c>
      <c r="Q1782" s="61" t="str">
        <f>IF(AND(B1782='111'!$L$11,OR($N1782=$Q$7,$O1782=$Q$7)),"x","")</f>
        <v/>
      </c>
      <c r="R1782" s="61" t="str">
        <f>IF(AND($N1782=$Q$7,$B1782&lt;'111'!$L$11),"x","")</f>
        <v/>
      </c>
      <c r="S1782" s="61" t="str">
        <f>IF(AND($O1782=$Q$7,$B1782&lt;'111'!$L$11),"x","")</f>
        <v/>
      </c>
      <c r="T1782" s="61" t="str">
        <f>IF(ISERROR(FIND('112'!$M$9,G1782,1)),"",IF((AND(FIND('112'!$M$9,G1782,1)&gt;=1,B1782='112'!$K$9,OR($N1782='112'!$I$6,$O1782='112'!$I$6))),"x",""))</f>
        <v/>
      </c>
      <c r="U1782" s="61" t="str">
        <f>IF(ISERROR(FIND('112'!$M$9,G1782,1)),"",IF((AND(LEFT(G1782,2)=LEFT('112'!$M$9,2),B1782&lt;'112'!$K$9,$N1782='112'!$I$6)),"x",""))</f>
        <v/>
      </c>
      <c r="V1782" s="61" t="str">
        <f>IF(ISERROR(FIND('112'!$M$9,G1782,1)),"",IF((AND(RIGHT(G1782,2)=RIGHT('112'!$M$9,2),B1782&lt;'112'!$K$9,$O1782='112'!$I$6)),"x",""))</f>
        <v/>
      </c>
      <c r="W1782" s="61" t="str">
        <f>IF(AND('341-CT'!$H$9=H1782,OR(LEFT(N1782,3)=$W$7,LEFT(O1782,3)=$W$7)),"x","")</f>
        <v/>
      </c>
      <c r="X1782" s="61" t="str">
        <f>IF(OR(TH!N1782=TH!$X$7,O1782=TH!$X$7),"x","")</f>
        <v/>
      </c>
      <c r="Y1782" s="61" t="str">
        <f>IF(AND(OR(N1782="131",O1782="131"),H1782='131-CT'!$H$9),"x","")</f>
        <v/>
      </c>
      <c r="Z1782" s="61"/>
      <c r="AA1782" s="61" t="str">
        <f>IF(AND(MONTH(E1782)='IN-NX'!$J$5,'IN-NX'!$D$7=D1782),"x","")</f>
        <v/>
      </c>
      <c r="AB1782" s="61" t="str">
        <f>IF(AND(OR(LEFT(TH!N1782,2)="15",LEFT(TH!O1782,2)="15"),LEFT(TH!O1782,3)&lt;&gt;"111",'152-CT'!$J$8=TH!F1782),"x","")</f>
        <v/>
      </c>
      <c r="AC1782" s="61" t="str">
        <f>IF(AND(OR(LEFT(TH!N1782,2)="15",LEFT(TH!O1782,2)="15"),TK!$E$7=TH!F1782),"x","")</f>
        <v/>
      </c>
      <c r="AD1782" s="61" t="str">
        <f>IF(AND(N1782="1521",MONTH(C1782)='BK-NL'!$M$11),"x","")</f>
        <v/>
      </c>
      <c r="AE1782" s="1053">
        <v>9</v>
      </c>
    </row>
    <row r="1783" spans="1:32" s="1053" customFormat="1" ht="16.5" customHeight="1">
      <c r="A1783" s="309" t="str">
        <f>IF(B1783&lt;&gt;"",IF(AND(B1783='IN-TC'!$S$4,OR(TH!N1783="1111",TH!O1783="1111")),TH!D1783,""),"")</f>
        <v/>
      </c>
      <c r="B1783" s="1129">
        <f t="shared" si="476"/>
        <v>8</v>
      </c>
      <c r="C1783" s="292">
        <v>42958</v>
      </c>
      <c r="D1783" s="292" t="s">
        <v>847</v>
      </c>
      <c r="E1783" s="292">
        <f t="shared" si="477"/>
        <v>42958</v>
      </c>
      <c r="F1783" s="67" t="s">
        <v>1143</v>
      </c>
      <c r="G1783" s="925" t="s">
        <v>2142</v>
      </c>
      <c r="H1783" s="311" t="s">
        <v>1684</v>
      </c>
      <c r="I1783" s="373"/>
      <c r="J1783" s="379"/>
      <c r="K1783" s="373"/>
      <c r="L1783" s="379"/>
      <c r="M1783" s="927">
        <v>1796550</v>
      </c>
      <c r="N1783" s="295" t="s">
        <v>9</v>
      </c>
      <c r="O1783" s="295" t="s">
        <v>8</v>
      </c>
      <c r="P1783" s="61" t="str">
        <f>IF(AND('331-CT'!$E$7=TH!H1783,OR(N1783="331",O1783="331")),"x","")</f>
        <v/>
      </c>
      <c r="Q1783" s="61" t="str">
        <f>IF(AND(B1783='111'!$L$11,OR($N1783=$Q$7,$O1783=$Q$7)),"x","")</f>
        <v/>
      </c>
      <c r="R1783" s="61" t="str">
        <f>IF(AND($N1783=$Q$7,$B1783&lt;'111'!$L$11),"x","")</f>
        <v/>
      </c>
      <c r="S1783" s="61" t="str">
        <f>IF(AND($O1783=$Q$7,$B1783&lt;'111'!$L$11),"x","")</f>
        <v/>
      </c>
      <c r="T1783" s="61" t="str">
        <f>IF(ISERROR(FIND('112'!$M$9,G1783,1)),"",IF((AND(FIND('112'!$M$9,G1783,1)&gt;=1,B1783='112'!$K$9,OR($N1783='112'!$I$6,$O1783='112'!$I$6))),"x",""))</f>
        <v/>
      </c>
      <c r="U1783" s="61" t="str">
        <f>IF(ISERROR(FIND('112'!$M$9,G1783,1)),"",IF((AND(LEFT(G1783,2)=LEFT('112'!$M$9,2),B1783&lt;'112'!$K$9,$N1783='112'!$I$6)),"x",""))</f>
        <v/>
      </c>
      <c r="V1783" s="61" t="str">
        <f>IF(ISERROR(FIND('112'!$M$9,G1783,1)),"",IF((AND(RIGHT(G1783,2)=RIGHT('112'!$M$9,2),B1783&lt;'112'!$K$9,$O1783='112'!$I$6)),"x",""))</f>
        <v/>
      </c>
      <c r="W1783" s="61" t="str">
        <f>IF(AND('341-CT'!$H$9=H1783,OR(LEFT(N1783,3)=$W$7,LEFT(O1783,3)=$W$7)),"x","")</f>
        <v/>
      </c>
      <c r="X1783" s="61" t="str">
        <f>IF(OR(TH!N1783=TH!$X$7,O1783=TH!$X$7),"x","")</f>
        <v/>
      </c>
      <c r="Y1783" s="61" t="str">
        <f>IF(AND(OR(N1783="131",O1783="131"),H1783='131-CT'!$H$9),"x","")</f>
        <v/>
      </c>
      <c r="Z1783" s="61"/>
      <c r="AA1783" s="61" t="str">
        <f>IF(AND(MONTH(E1783)='IN-NX'!$J$5,'IN-NX'!$D$7=D1783),"x","")</f>
        <v/>
      </c>
      <c r="AB1783" s="61" t="str">
        <f>IF(AND(OR(LEFT(TH!N1783,2)="15",LEFT(TH!O1783,2)="15"),LEFT(TH!O1783,3)&lt;&gt;"111",'152-CT'!$J$8=TH!F1783),"x","")</f>
        <v/>
      </c>
      <c r="AC1783" s="61" t="str">
        <f>IF(AND(OR(LEFT(TH!N1783,2)="15",LEFT(TH!O1783,2)="15"),TK!$E$7=TH!F1783),"x","")</f>
        <v/>
      </c>
      <c r="AD1783" s="61" t="str">
        <f>IF(AND(N1783="1521",MONTH(C1783)='BK-NL'!$M$11),"x","")</f>
        <v/>
      </c>
      <c r="AE1783" s="1053">
        <v>9</v>
      </c>
    </row>
    <row r="1784" spans="1:32" s="1053" customFormat="1" ht="16.5" customHeight="1">
      <c r="A1784" s="309" t="str">
        <f>IF(B1784&lt;&gt;"",IF(AND(B1784='IN-TC'!$S$4,OR(TH!N1784="1111",TH!O1784="1111")),TH!D1784,""),"")</f>
        <v/>
      </c>
      <c r="B1784" s="1129">
        <f t="shared" si="476"/>
        <v>8</v>
      </c>
      <c r="C1784" s="292">
        <v>42960</v>
      </c>
      <c r="D1784" s="292" t="s">
        <v>867</v>
      </c>
      <c r="E1784" s="292">
        <f t="shared" si="477"/>
        <v>42960</v>
      </c>
      <c r="F1784" s="67" t="s">
        <v>795</v>
      </c>
      <c r="G1784" s="925" t="s">
        <v>2143</v>
      </c>
      <c r="H1784" s="311" t="s">
        <v>1684</v>
      </c>
      <c r="I1784" s="373">
        <v>3045</v>
      </c>
      <c r="J1784" s="379">
        <v>5900</v>
      </c>
      <c r="K1784" s="373"/>
      <c r="L1784" s="379"/>
      <c r="M1784" s="927">
        <f>I1784*J1784</f>
        <v>17965500</v>
      </c>
      <c r="N1784" s="295" t="s">
        <v>266</v>
      </c>
      <c r="O1784" s="295" t="s">
        <v>8</v>
      </c>
      <c r="P1784" s="61" t="str">
        <f>IF(AND('331-CT'!$E$7=TH!H1784,OR(N1784="331",O1784="331")),"x","")</f>
        <v/>
      </c>
      <c r="Q1784" s="61" t="str">
        <f>IF(AND(B1784='111'!$L$11,OR($N1784=$Q$7,$O1784=$Q$7)),"x","")</f>
        <v/>
      </c>
      <c r="R1784" s="61" t="str">
        <f>IF(AND($N1784=$Q$7,$B1784&lt;'111'!$L$11),"x","")</f>
        <v/>
      </c>
      <c r="S1784" s="61" t="str">
        <f>IF(AND($O1784=$Q$7,$B1784&lt;'111'!$L$11),"x","")</f>
        <v/>
      </c>
      <c r="T1784" s="61" t="str">
        <f>IF(ISERROR(FIND('112'!$M$9,G1784,1)),"",IF((AND(FIND('112'!$M$9,G1784,1)&gt;=1,B1784='112'!$K$9,OR($N1784='112'!$I$6,$O1784='112'!$I$6))),"x",""))</f>
        <v/>
      </c>
      <c r="U1784" s="61" t="str">
        <f>IF(ISERROR(FIND('112'!$M$9,G1784,1)),"",IF((AND(LEFT(G1784,2)=LEFT('112'!$M$9,2),B1784&lt;'112'!$K$9,$N1784='112'!$I$6)),"x",""))</f>
        <v/>
      </c>
      <c r="V1784" s="61" t="str">
        <f>IF(ISERROR(FIND('112'!$M$9,G1784,1)),"",IF((AND(RIGHT(G1784,2)=RIGHT('112'!$M$9,2),B1784&lt;'112'!$K$9,$O1784='112'!$I$6)),"x",""))</f>
        <v/>
      </c>
      <c r="W1784" s="61" t="str">
        <f>IF(AND('341-CT'!$H$9=H1784,OR(LEFT(N1784,3)=$W$7,LEFT(O1784,3)=$W$7)),"x","")</f>
        <v/>
      </c>
      <c r="X1784" s="61" t="str">
        <f>IF(OR(TH!N1784=TH!$X$7,O1784=TH!$X$7),"x","")</f>
        <v/>
      </c>
      <c r="Y1784" s="61" t="str">
        <f>IF(AND(OR(N1784="131",O1784="131"),H1784='131-CT'!$H$9),"x","")</f>
        <v/>
      </c>
      <c r="Z1784" s="61"/>
      <c r="AA1784" s="61" t="str">
        <f>IF(AND(MONTH(E1784)='IN-NX'!$J$5,'IN-NX'!$D$7=D1784),"x","")</f>
        <v/>
      </c>
      <c r="AB1784" s="61" t="str">
        <f>IF(AND(OR(LEFT(TH!N1784,2)="15",LEFT(TH!O1784,2)="15"),LEFT(TH!O1784,3)&lt;&gt;"111",'152-CT'!$J$8=TH!F1784),"x","")</f>
        <v/>
      </c>
      <c r="AC1784" s="61" t="str">
        <f>IF(AND(OR(LEFT(TH!N1784,2)="15",LEFT(TH!O1784,2)="15"),TK!$E$7=TH!F1784),"x","")</f>
        <v/>
      </c>
      <c r="AD1784" s="61" t="str">
        <f>IF(AND(N1784="1521",MONTH(C1784)='BK-NL'!$M$11),"x","")</f>
        <v/>
      </c>
      <c r="AE1784" s="1053">
        <v>9</v>
      </c>
    </row>
    <row r="1785" spans="1:32" s="1053" customFormat="1" ht="16.5" customHeight="1">
      <c r="A1785" s="309" t="str">
        <f>IF(B1785&lt;&gt;"",IF(AND(B1785='IN-TC'!$S$4,OR(TH!N1785="1111",TH!O1785="1111")),TH!D1785,""),"")</f>
        <v/>
      </c>
      <c r="B1785" s="1129">
        <f t="shared" si="476"/>
        <v>8</v>
      </c>
      <c r="C1785" s="292">
        <v>42960</v>
      </c>
      <c r="D1785" s="292" t="s">
        <v>867</v>
      </c>
      <c r="E1785" s="292">
        <f t="shared" si="477"/>
        <v>42960</v>
      </c>
      <c r="F1785" s="67" t="s">
        <v>1143</v>
      </c>
      <c r="G1785" s="925" t="s">
        <v>2143</v>
      </c>
      <c r="H1785" s="311" t="s">
        <v>1684</v>
      </c>
      <c r="I1785" s="373"/>
      <c r="J1785" s="379"/>
      <c r="K1785" s="373"/>
      <c r="L1785" s="379"/>
      <c r="M1785" s="927">
        <v>1796550</v>
      </c>
      <c r="N1785" s="295" t="s">
        <v>9</v>
      </c>
      <c r="O1785" s="295" t="s">
        <v>8</v>
      </c>
      <c r="P1785" s="61" t="str">
        <f>IF(AND('331-CT'!$E$7=TH!H1785,OR(N1785="331",O1785="331")),"x","")</f>
        <v/>
      </c>
      <c r="Q1785" s="61" t="str">
        <f>IF(AND(B1785='111'!$L$11,OR($N1785=$Q$7,$O1785=$Q$7)),"x","")</f>
        <v/>
      </c>
      <c r="R1785" s="61" t="str">
        <f>IF(AND($N1785=$Q$7,$B1785&lt;'111'!$L$11),"x","")</f>
        <v/>
      </c>
      <c r="S1785" s="61" t="str">
        <f>IF(AND($O1785=$Q$7,$B1785&lt;'111'!$L$11),"x","")</f>
        <v/>
      </c>
      <c r="T1785" s="61" t="str">
        <f>IF(ISERROR(FIND('112'!$M$9,G1785,1)),"",IF((AND(FIND('112'!$M$9,G1785,1)&gt;=1,B1785='112'!$K$9,OR($N1785='112'!$I$6,$O1785='112'!$I$6))),"x",""))</f>
        <v/>
      </c>
      <c r="U1785" s="61" t="str">
        <f>IF(ISERROR(FIND('112'!$M$9,G1785,1)),"",IF((AND(LEFT(G1785,2)=LEFT('112'!$M$9,2),B1785&lt;'112'!$K$9,$N1785='112'!$I$6)),"x",""))</f>
        <v/>
      </c>
      <c r="V1785" s="61" t="str">
        <f>IF(ISERROR(FIND('112'!$M$9,G1785,1)),"",IF((AND(RIGHT(G1785,2)=RIGHT('112'!$M$9,2),B1785&lt;'112'!$K$9,$O1785='112'!$I$6)),"x",""))</f>
        <v/>
      </c>
      <c r="W1785" s="61" t="str">
        <f>IF(AND('341-CT'!$H$9=H1785,OR(LEFT(N1785,3)=$W$7,LEFT(O1785,3)=$W$7)),"x","")</f>
        <v/>
      </c>
      <c r="X1785" s="61" t="str">
        <f>IF(OR(TH!N1785=TH!$X$7,O1785=TH!$X$7),"x","")</f>
        <v/>
      </c>
      <c r="Y1785" s="61" t="str">
        <f>IF(AND(OR(N1785="131",O1785="131"),H1785='131-CT'!$H$9),"x","")</f>
        <v/>
      </c>
      <c r="Z1785" s="61"/>
      <c r="AA1785" s="61" t="str">
        <f>IF(AND(MONTH(E1785)='IN-NX'!$J$5,'IN-NX'!$D$7=D1785),"x","")</f>
        <v/>
      </c>
      <c r="AB1785" s="61" t="str">
        <f>IF(AND(OR(LEFT(TH!N1785,2)="15",LEFT(TH!O1785,2)="15"),LEFT(TH!O1785,3)&lt;&gt;"111",'152-CT'!$J$8=TH!F1785),"x","")</f>
        <v/>
      </c>
      <c r="AC1785" s="61" t="str">
        <f>IF(AND(OR(LEFT(TH!N1785,2)="15",LEFT(TH!O1785,2)="15"),TK!$E$7=TH!F1785),"x","")</f>
        <v/>
      </c>
      <c r="AD1785" s="61" t="str">
        <f>IF(AND(N1785="1521",MONTH(C1785)='BK-NL'!$M$11),"x","")</f>
        <v/>
      </c>
      <c r="AE1785" s="1053">
        <v>9</v>
      </c>
    </row>
    <row r="1786" spans="1:32" s="1053" customFormat="1" ht="16.5" customHeight="1">
      <c r="A1786" s="309" t="str">
        <f>IF(B1786&lt;&gt;"",IF(AND(B1786='IN-TC'!$S$4,OR(TH!N1786="1111",TH!O1786="1111")),TH!D1786,""),"")</f>
        <v/>
      </c>
      <c r="B1786" s="1129">
        <f t="shared" si="476"/>
        <v>8</v>
      </c>
      <c r="C1786" s="292">
        <v>42963</v>
      </c>
      <c r="D1786" s="292" t="s">
        <v>1352</v>
      </c>
      <c r="E1786" s="292">
        <f t="shared" si="477"/>
        <v>42963</v>
      </c>
      <c r="F1786" s="432" t="s">
        <v>371</v>
      </c>
      <c r="G1786" s="925" t="s">
        <v>2014</v>
      </c>
      <c r="H1786" s="311" t="s">
        <v>558</v>
      </c>
      <c r="I1786" s="373">
        <v>1057</v>
      </c>
      <c r="J1786" s="379">
        <v>13500</v>
      </c>
      <c r="K1786" s="373"/>
      <c r="L1786" s="379"/>
      <c r="M1786" s="927">
        <f>I1786*J1786</f>
        <v>14269500</v>
      </c>
      <c r="N1786" s="295" t="s">
        <v>266</v>
      </c>
      <c r="O1786" s="295" t="s">
        <v>8</v>
      </c>
      <c r="P1786" s="61" t="str">
        <f>IF(AND('331-CT'!$E$7=TH!H1786,OR(N1786="331",O1786="331")),"x","")</f>
        <v/>
      </c>
      <c r="Q1786" s="61" t="str">
        <f>IF(AND(B1786='111'!$L$11,OR($N1786=$Q$7,$O1786=$Q$7)),"x","")</f>
        <v/>
      </c>
      <c r="R1786" s="61" t="str">
        <f>IF(AND($N1786=$Q$7,$B1786&lt;'111'!$L$11),"x","")</f>
        <v/>
      </c>
      <c r="S1786" s="61" t="str">
        <f>IF(AND($O1786=$Q$7,$B1786&lt;'111'!$L$11),"x","")</f>
        <v/>
      </c>
      <c r="T1786" s="61" t="str">
        <f>IF(ISERROR(FIND('112'!$M$9,G1786,1)),"",IF((AND(FIND('112'!$M$9,G1786,1)&gt;=1,B1786='112'!$K$9,OR($N1786='112'!$I$6,$O1786='112'!$I$6))),"x",""))</f>
        <v/>
      </c>
      <c r="U1786" s="61" t="str">
        <f>IF(ISERROR(FIND('112'!$M$9,G1786,1)),"",IF((AND(LEFT(G1786,2)=LEFT('112'!$M$9,2),B1786&lt;'112'!$K$9,$N1786='112'!$I$6)),"x",""))</f>
        <v/>
      </c>
      <c r="V1786" s="61" t="str">
        <f>IF(ISERROR(FIND('112'!$M$9,G1786,1)),"",IF((AND(RIGHT(G1786,2)=RIGHT('112'!$M$9,2),B1786&lt;'112'!$K$9,$O1786='112'!$I$6)),"x",""))</f>
        <v/>
      </c>
      <c r="W1786" s="61" t="str">
        <f>IF(AND('341-CT'!$H$9=H1786,OR(LEFT(N1786,3)=$W$7,LEFT(O1786,3)=$W$7)),"x","")</f>
        <v/>
      </c>
      <c r="X1786" s="61" t="str">
        <f>IF(OR(TH!N1786=TH!$X$7,O1786=TH!$X$7),"x","")</f>
        <v/>
      </c>
      <c r="Y1786" s="61" t="str">
        <f>IF(AND(OR(N1786="131",O1786="131"),H1786='131-CT'!$H$9),"x","")</f>
        <v/>
      </c>
      <c r="Z1786" s="61"/>
      <c r="AA1786" s="61" t="str">
        <f>IF(AND(MONTH(E1786)='IN-NX'!$J$5,'IN-NX'!$D$7=D1786),"x","")</f>
        <v/>
      </c>
      <c r="AB1786" s="61" t="str">
        <f>IF(AND(OR(LEFT(TH!N1786,2)="15",LEFT(TH!O1786,2)="15"),LEFT(TH!O1786,3)&lt;&gt;"111",'152-CT'!$J$8=TH!F1786),"x","")</f>
        <v/>
      </c>
      <c r="AC1786" s="61" t="str">
        <f>IF(AND(OR(LEFT(TH!N1786,2)="15",LEFT(TH!O1786,2)="15"),TK!$E$7=TH!F1786),"x","")</f>
        <v/>
      </c>
      <c r="AD1786" s="61" t="str">
        <f>IF(AND(N1786="1521",MONTH(C1786)='BK-NL'!$M$11),"x","")</f>
        <v/>
      </c>
      <c r="AE1786" s="1053">
        <v>8</v>
      </c>
    </row>
    <row r="1787" spans="1:32" s="1053" customFormat="1" ht="16.5" customHeight="1">
      <c r="A1787" s="309" t="str">
        <f>IF(B1787&lt;&gt;"",IF(AND(B1787='IN-TC'!$S$4,OR(TH!N1787="1111",TH!O1787="1111")),TH!D1787,""),"")</f>
        <v/>
      </c>
      <c r="B1787" s="1129">
        <f t="shared" si="476"/>
        <v>8</v>
      </c>
      <c r="C1787" s="292">
        <v>42963</v>
      </c>
      <c r="D1787" s="292" t="s">
        <v>1352</v>
      </c>
      <c r="E1787" s="292">
        <f t="shared" si="477"/>
        <v>42963</v>
      </c>
      <c r="F1787" s="432" t="s">
        <v>2013</v>
      </c>
      <c r="G1787" s="925" t="s">
        <v>2014</v>
      </c>
      <c r="H1787" s="311" t="s">
        <v>558</v>
      </c>
      <c r="I1787" s="373">
        <v>1465</v>
      </c>
      <c r="J1787" s="379">
        <v>11000</v>
      </c>
      <c r="K1787" s="373"/>
      <c r="L1787" s="379"/>
      <c r="M1787" s="927">
        <f>I1787*J1787</f>
        <v>16115000</v>
      </c>
      <c r="N1787" s="295" t="s">
        <v>266</v>
      </c>
      <c r="O1787" s="295" t="s">
        <v>8</v>
      </c>
      <c r="P1787" s="61" t="str">
        <f>IF(AND('331-CT'!$E$7=TH!H1787,OR(N1787="331",O1787="331")),"x","")</f>
        <v/>
      </c>
      <c r="Q1787" s="61" t="str">
        <f>IF(AND(B1787='111'!$L$11,OR($N1787=$Q$7,$O1787=$Q$7)),"x","")</f>
        <v/>
      </c>
      <c r="R1787" s="61" t="str">
        <f>IF(AND($N1787=$Q$7,$B1787&lt;'111'!$L$11),"x","")</f>
        <v/>
      </c>
      <c r="S1787" s="61" t="str">
        <f>IF(AND($O1787=$Q$7,$B1787&lt;'111'!$L$11),"x","")</f>
        <v/>
      </c>
      <c r="T1787" s="61" t="str">
        <f>IF(ISERROR(FIND('112'!$M$9,G1787,1)),"",IF((AND(FIND('112'!$M$9,G1787,1)&gt;=1,B1787='112'!$K$9,OR($N1787='112'!$I$6,$O1787='112'!$I$6))),"x",""))</f>
        <v/>
      </c>
      <c r="U1787" s="61" t="str">
        <f>IF(ISERROR(FIND('112'!$M$9,G1787,1)),"",IF((AND(LEFT(G1787,2)=LEFT('112'!$M$9,2),B1787&lt;'112'!$K$9,$N1787='112'!$I$6)),"x",""))</f>
        <v/>
      </c>
      <c r="V1787" s="61" t="str">
        <f>IF(ISERROR(FIND('112'!$M$9,G1787,1)),"",IF((AND(RIGHT(G1787,2)=RIGHT('112'!$M$9,2),B1787&lt;'112'!$K$9,$O1787='112'!$I$6)),"x",""))</f>
        <v/>
      </c>
      <c r="W1787" s="61" t="str">
        <f>IF(AND('341-CT'!$H$9=H1787,OR(LEFT(N1787,3)=$W$7,LEFT(O1787,3)=$W$7)),"x","")</f>
        <v/>
      </c>
      <c r="X1787" s="61" t="str">
        <f>IF(OR(TH!N1787=TH!$X$7,O1787=TH!$X$7),"x","")</f>
        <v/>
      </c>
      <c r="Y1787" s="61" t="str">
        <f>IF(AND(OR(N1787="131",O1787="131"),H1787='131-CT'!$H$9),"x","")</f>
        <v/>
      </c>
      <c r="Z1787" s="61"/>
      <c r="AA1787" s="61" t="str">
        <f>IF(AND(MONTH(E1787)='IN-NX'!$J$5,'IN-NX'!$D$7=D1787),"x","")</f>
        <v/>
      </c>
      <c r="AB1787" s="61" t="str">
        <f>IF(AND(OR(LEFT(TH!N1787,2)="15",LEFT(TH!O1787,2)="15"),LEFT(TH!O1787,3)&lt;&gt;"111",'152-CT'!$J$8=TH!F1787),"x","")</f>
        <v/>
      </c>
      <c r="AC1787" s="61" t="str">
        <f>IF(AND(OR(LEFT(TH!N1787,2)="15",LEFT(TH!O1787,2)="15"),TK!$E$7=TH!F1787),"x","")</f>
        <v/>
      </c>
      <c r="AD1787" s="61" t="str">
        <f>IF(AND(N1787="1521",MONTH(C1787)='BK-NL'!$M$11),"x","")</f>
        <v/>
      </c>
      <c r="AE1787" s="1053">
        <v>8</v>
      </c>
    </row>
    <row r="1788" spans="1:32" s="1053" customFormat="1" ht="16.5" customHeight="1">
      <c r="A1788" s="309" t="str">
        <f>IF(B1788&lt;&gt;"",IF(AND(B1788='IN-TC'!$S$4,OR(TH!N1788="1111",TH!O1788="1111")),TH!D1788,""),"")</f>
        <v/>
      </c>
      <c r="B1788" s="1129">
        <f t="shared" si="476"/>
        <v>8</v>
      </c>
      <c r="C1788" s="292">
        <v>42963</v>
      </c>
      <c r="D1788" s="292" t="s">
        <v>1352</v>
      </c>
      <c r="E1788" s="292">
        <f t="shared" si="477"/>
        <v>42963</v>
      </c>
      <c r="F1788" s="432" t="s">
        <v>781</v>
      </c>
      <c r="G1788" s="925" t="s">
        <v>2014</v>
      </c>
      <c r="H1788" s="311" t="s">
        <v>558</v>
      </c>
      <c r="I1788" s="373">
        <v>626</v>
      </c>
      <c r="J1788" s="379">
        <v>15620</v>
      </c>
      <c r="K1788" s="373"/>
      <c r="L1788" s="379"/>
      <c r="M1788" s="927">
        <f>I1788*J1788</f>
        <v>9778120</v>
      </c>
      <c r="N1788" s="295" t="s">
        <v>266</v>
      </c>
      <c r="O1788" s="295" t="s">
        <v>8</v>
      </c>
      <c r="P1788" s="61" t="str">
        <f>IF(AND('331-CT'!$E$7=TH!H1788,OR(N1788="331",O1788="331")),"x","")</f>
        <v/>
      </c>
      <c r="Q1788" s="61" t="str">
        <f>IF(AND(B1788='111'!$L$11,OR($N1788=$Q$7,$O1788=$Q$7)),"x","")</f>
        <v/>
      </c>
      <c r="R1788" s="61" t="str">
        <f>IF(AND($N1788=$Q$7,$B1788&lt;'111'!$L$11),"x","")</f>
        <v/>
      </c>
      <c r="S1788" s="61" t="str">
        <f>IF(AND($O1788=$Q$7,$B1788&lt;'111'!$L$11),"x","")</f>
        <v/>
      </c>
      <c r="T1788" s="61" t="str">
        <f>IF(ISERROR(FIND('112'!$M$9,G1788,1)),"",IF((AND(FIND('112'!$M$9,G1788,1)&gt;=1,B1788='112'!$K$9,OR($N1788='112'!$I$6,$O1788='112'!$I$6))),"x",""))</f>
        <v/>
      </c>
      <c r="U1788" s="61" t="str">
        <f>IF(ISERROR(FIND('112'!$M$9,G1788,1)),"",IF((AND(LEFT(G1788,2)=LEFT('112'!$M$9,2),B1788&lt;'112'!$K$9,$N1788='112'!$I$6)),"x",""))</f>
        <v/>
      </c>
      <c r="V1788" s="61" t="str">
        <f>IF(ISERROR(FIND('112'!$M$9,G1788,1)),"",IF((AND(RIGHT(G1788,2)=RIGHT('112'!$M$9,2),B1788&lt;'112'!$K$9,$O1788='112'!$I$6)),"x",""))</f>
        <v/>
      </c>
      <c r="W1788" s="61" t="str">
        <f>IF(AND('341-CT'!$H$9=H1788,OR(LEFT(N1788,3)=$W$7,LEFT(O1788,3)=$W$7)),"x","")</f>
        <v/>
      </c>
      <c r="X1788" s="61" t="str">
        <f>IF(OR(TH!N1788=TH!$X$7,O1788=TH!$X$7),"x","")</f>
        <v/>
      </c>
      <c r="Y1788" s="61" t="str">
        <f>IF(AND(OR(N1788="131",O1788="131"),H1788='131-CT'!$H$9),"x","")</f>
        <v/>
      </c>
      <c r="Z1788" s="61"/>
      <c r="AA1788" s="61" t="str">
        <f>IF(AND(MONTH(E1788)='IN-NX'!$J$5,'IN-NX'!$D$7=D1788),"x","")</f>
        <v/>
      </c>
      <c r="AB1788" s="61" t="str">
        <f>IF(AND(OR(LEFT(TH!N1788,2)="15",LEFT(TH!O1788,2)="15"),LEFT(TH!O1788,3)&lt;&gt;"111",'152-CT'!$J$8=TH!F1788),"x","")</f>
        <v/>
      </c>
      <c r="AC1788" s="61" t="str">
        <f>IF(AND(OR(LEFT(TH!N1788,2)="15",LEFT(TH!O1788,2)="15"),TK!$E$7=TH!F1788),"x","")</f>
        <v/>
      </c>
      <c r="AD1788" s="61" t="str">
        <f>IF(AND(N1788="1521",MONTH(C1788)='BK-NL'!$M$11),"x","")</f>
        <v/>
      </c>
      <c r="AE1788" s="1053">
        <v>8</v>
      </c>
    </row>
    <row r="1789" spans="1:32" s="1053" customFormat="1" ht="16.5" customHeight="1">
      <c r="A1789" s="309" t="str">
        <f>IF(B1789&lt;&gt;"",IF(AND(B1789='IN-TC'!$S$4,OR(TH!N1789="1111",TH!O1789="1111")),TH!D1789,""),"")</f>
        <v/>
      </c>
      <c r="B1789" s="1129">
        <f t="shared" si="476"/>
        <v>8</v>
      </c>
      <c r="C1789" s="292">
        <v>42963</v>
      </c>
      <c r="D1789" s="292" t="s">
        <v>1352</v>
      </c>
      <c r="E1789" s="292">
        <f t="shared" si="477"/>
        <v>42963</v>
      </c>
      <c r="F1789" s="432" t="s">
        <v>832</v>
      </c>
      <c r="G1789" s="925" t="s">
        <v>2014</v>
      </c>
      <c r="H1789" s="311" t="s">
        <v>558</v>
      </c>
      <c r="I1789" s="373"/>
      <c r="J1789" s="379"/>
      <c r="K1789" s="373"/>
      <c r="L1789" s="379"/>
      <c r="M1789" s="927">
        <v>4016262</v>
      </c>
      <c r="N1789" s="295" t="s">
        <v>9</v>
      </c>
      <c r="O1789" s="295" t="s">
        <v>8</v>
      </c>
      <c r="P1789" s="61" t="str">
        <f>IF(AND('331-CT'!$E$7=TH!H1789,OR(N1789="331",O1789="331")),"x","")</f>
        <v/>
      </c>
      <c r="Q1789" s="61" t="str">
        <f>IF(AND(B1789='111'!$L$11,OR($N1789=$Q$7,$O1789=$Q$7)),"x","")</f>
        <v/>
      </c>
      <c r="R1789" s="61" t="str">
        <f>IF(AND($N1789=$Q$7,$B1789&lt;'111'!$L$11),"x","")</f>
        <v/>
      </c>
      <c r="S1789" s="61" t="str">
        <f>IF(AND($O1789=$Q$7,$B1789&lt;'111'!$L$11),"x","")</f>
        <v/>
      </c>
      <c r="T1789" s="61" t="str">
        <f>IF(ISERROR(FIND('112'!$M$9,G1789,1)),"",IF((AND(FIND('112'!$M$9,G1789,1)&gt;=1,B1789='112'!$K$9,OR($N1789='112'!$I$6,$O1789='112'!$I$6))),"x",""))</f>
        <v/>
      </c>
      <c r="U1789" s="61" t="str">
        <f>IF(ISERROR(FIND('112'!$M$9,G1789,1)),"",IF((AND(LEFT(G1789,2)=LEFT('112'!$M$9,2),B1789&lt;'112'!$K$9,$N1789='112'!$I$6)),"x",""))</f>
        <v/>
      </c>
      <c r="V1789" s="61" t="str">
        <f>IF(ISERROR(FIND('112'!$M$9,G1789,1)),"",IF((AND(RIGHT(G1789,2)=RIGHT('112'!$M$9,2),B1789&lt;'112'!$K$9,$O1789='112'!$I$6)),"x",""))</f>
        <v/>
      </c>
      <c r="W1789" s="61" t="str">
        <f>IF(AND('341-CT'!$H$9=H1789,OR(LEFT(N1789,3)=$W$7,LEFT(O1789,3)=$W$7)),"x","")</f>
        <v/>
      </c>
      <c r="X1789" s="61" t="str">
        <f>IF(OR(TH!N1789=TH!$X$7,O1789=TH!$X$7),"x","")</f>
        <v/>
      </c>
      <c r="Y1789" s="61" t="str">
        <f>IF(AND(OR(N1789="131",O1789="131"),H1789='131-CT'!$H$9),"x","")</f>
        <v/>
      </c>
      <c r="Z1789" s="61"/>
      <c r="AA1789" s="61" t="str">
        <f>IF(AND(MONTH(E1789)='IN-NX'!$J$5,'IN-NX'!$D$7=D1789),"x","")</f>
        <v/>
      </c>
      <c r="AB1789" s="61" t="str">
        <f>IF(AND(OR(LEFT(TH!N1789,2)="15",LEFT(TH!O1789,2)="15"),LEFT(TH!O1789,3)&lt;&gt;"111",'152-CT'!$J$8=TH!F1789),"x","")</f>
        <v/>
      </c>
      <c r="AC1789" s="61" t="str">
        <f>IF(AND(OR(LEFT(TH!N1789,2)="15",LEFT(TH!O1789,2)="15"),TK!$E$7=TH!F1789),"x","")</f>
        <v/>
      </c>
      <c r="AD1789" s="61" t="str">
        <f>IF(AND(N1789="1521",MONTH(C1789)='BK-NL'!$M$11),"x","")</f>
        <v/>
      </c>
      <c r="AE1789" s="1053">
        <v>8</v>
      </c>
    </row>
    <row r="1790" spans="1:32" s="1053" customFormat="1" ht="16.5" customHeight="1">
      <c r="A1790" s="309" t="str">
        <f>IF(B1790&lt;&gt;"",IF(AND(B1790='IN-TC'!$S$4,OR(TH!N1790="1111",TH!O1790="1111")),TH!D1790,""),"")</f>
        <v/>
      </c>
      <c r="B1790" s="1129">
        <f t="shared" si="476"/>
        <v>8</v>
      </c>
      <c r="C1790" s="292">
        <v>42965</v>
      </c>
      <c r="D1790" s="292" t="s">
        <v>1353</v>
      </c>
      <c r="E1790" s="292">
        <f t="shared" si="477"/>
        <v>42965</v>
      </c>
      <c r="F1790" s="67" t="s">
        <v>795</v>
      </c>
      <c r="G1790" s="925" t="s">
        <v>2144</v>
      </c>
      <c r="H1790" s="311" t="s">
        <v>1684</v>
      </c>
      <c r="I1790" s="373">
        <v>3045</v>
      </c>
      <c r="J1790" s="379">
        <v>5900</v>
      </c>
      <c r="K1790" s="373"/>
      <c r="L1790" s="379"/>
      <c r="M1790" s="927">
        <f>I1790*J1790</f>
        <v>17965500</v>
      </c>
      <c r="N1790" s="295" t="s">
        <v>266</v>
      </c>
      <c r="O1790" s="295" t="s">
        <v>8</v>
      </c>
      <c r="P1790" s="61" t="str">
        <f>IF(AND('331-CT'!$E$7=TH!H1790,OR(N1790="331",O1790="331")),"x","")</f>
        <v/>
      </c>
      <c r="Q1790" s="61" t="str">
        <f>IF(AND(B1790='111'!$L$11,OR($N1790=$Q$7,$O1790=$Q$7)),"x","")</f>
        <v/>
      </c>
      <c r="R1790" s="61" t="str">
        <f>IF(AND($N1790=$Q$7,$B1790&lt;'111'!$L$11),"x","")</f>
        <v/>
      </c>
      <c r="S1790" s="61" t="str">
        <f>IF(AND($O1790=$Q$7,$B1790&lt;'111'!$L$11),"x","")</f>
        <v/>
      </c>
      <c r="T1790" s="61" t="str">
        <f>IF(ISERROR(FIND('112'!$M$9,G1790,1)),"",IF((AND(FIND('112'!$M$9,G1790,1)&gt;=1,B1790='112'!$K$9,OR($N1790='112'!$I$6,$O1790='112'!$I$6))),"x",""))</f>
        <v/>
      </c>
      <c r="U1790" s="61" t="str">
        <f>IF(ISERROR(FIND('112'!$M$9,G1790,1)),"",IF((AND(LEFT(G1790,2)=LEFT('112'!$M$9,2),B1790&lt;'112'!$K$9,$N1790='112'!$I$6)),"x",""))</f>
        <v/>
      </c>
      <c r="V1790" s="61" t="str">
        <f>IF(ISERROR(FIND('112'!$M$9,G1790,1)),"",IF((AND(RIGHT(G1790,2)=RIGHT('112'!$M$9,2),B1790&lt;'112'!$K$9,$O1790='112'!$I$6)),"x",""))</f>
        <v/>
      </c>
      <c r="W1790" s="61" t="str">
        <f>IF(AND('341-CT'!$H$9=H1790,OR(LEFT(N1790,3)=$W$7,LEFT(O1790,3)=$W$7)),"x","")</f>
        <v/>
      </c>
      <c r="X1790" s="61" t="str">
        <f>IF(OR(TH!N1790=TH!$X$7,O1790=TH!$X$7),"x","")</f>
        <v/>
      </c>
      <c r="Y1790" s="61" t="str">
        <f>IF(AND(OR(N1790="131",O1790="131"),H1790='131-CT'!$H$9),"x","")</f>
        <v/>
      </c>
      <c r="Z1790" s="61"/>
      <c r="AA1790" s="61" t="str">
        <f>IF(AND(MONTH(E1790)='IN-NX'!$J$5,'IN-NX'!$D$7=D1790),"x","")</f>
        <v/>
      </c>
      <c r="AB1790" s="61" t="str">
        <f>IF(AND(OR(LEFT(TH!N1790,2)="15",LEFT(TH!O1790,2)="15"),LEFT(TH!O1790,3)&lt;&gt;"111",'152-CT'!$J$8=TH!F1790),"x","")</f>
        <v/>
      </c>
      <c r="AC1790" s="61" t="str">
        <f>IF(AND(OR(LEFT(TH!N1790,2)="15",LEFT(TH!O1790,2)="15"),TK!$E$7=TH!F1790),"x","")</f>
        <v/>
      </c>
      <c r="AD1790" s="61" t="str">
        <f>IF(AND(N1790="1521",MONTH(C1790)='BK-NL'!$M$11),"x","")</f>
        <v/>
      </c>
      <c r="AE1790" s="1053">
        <v>9</v>
      </c>
    </row>
    <row r="1791" spans="1:32" s="1053" customFormat="1" ht="16.5" customHeight="1">
      <c r="A1791" s="309" t="str">
        <f>IF(B1791&lt;&gt;"",IF(AND(B1791='IN-TC'!$S$4,OR(TH!N1791="1111",TH!O1791="1111")),TH!D1791,""),"")</f>
        <v/>
      </c>
      <c r="B1791" s="1129">
        <f t="shared" si="476"/>
        <v>8</v>
      </c>
      <c r="C1791" s="292">
        <v>42965</v>
      </c>
      <c r="D1791" s="292" t="s">
        <v>1353</v>
      </c>
      <c r="E1791" s="292">
        <f t="shared" si="477"/>
        <v>42965</v>
      </c>
      <c r="F1791" s="67" t="s">
        <v>1143</v>
      </c>
      <c r="G1791" s="925" t="s">
        <v>2144</v>
      </c>
      <c r="H1791" s="311" t="s">
        <v>1684</v>
      </c>
      <c r="I1791" s="373"/>
      <c r="J1791" s="379"/>
      <c r="K1791" s="373"/>
      <c r="L1791" s="379"/>
      <c r="M1791" s="927">
        <v>1796550</v>
      </c>
      <c r="N1791" s="295" t="s">
        <v>9</v>
      </c>
      <c r="O1791" s="295" t="s">
        <v>8</v>
      </c>
      <c r="P1791" s="61" t="str">
        <f>IF(AND('331-CT'!$E$7=TH!H1791,OR(N1791="331",O1791="331")),"x","")</f>
        <v/>
      </c>
      <c r="Q1791" s="61" t="str">
        <f>IF(AND(B1791='111'!$L$11,OR($N1791=$Q$7,$O1791=$Q$7)),"x","")</f>
        <v/>
      </c>
      <c r="R1791" s="61" t="str">
        <f>IF(AND($N1791=$Q$7,$B1791&lt;'111'!$L$11),"x","")</f>
        <v/>
      </c>
      <c r="S1791" s="61" t="str">
        <f>IF(AND($O1791=$Q$7,$B1791&lt;'111'!$L$11),"x","")</f>
        <v/>
      </c>
      <c r="T1791" s="61" t="str">
        <f>IF(ISERROR(FIND('112'!$M$9,G1791,1)),"",IF((AND(FIND('112'!$M$9,G1791,1)&gt;=1,B1791='112'!$K$9,OR($N1791='112'!$I$6,$O1791='112'!$I$6))),"x",""))</f>
        <v/>
      </c>
      <c r="U1791" s="61" t="str">
        <f>IF(ISERROR(FIND('112'!$M$9,G1791,1)),"",IF((AND(LEFT(G1791,2)=LEFT('112'!$M$9,2),B1791&lt;'112'!$K$9,$N1791='112'!$I$6)),"x",""))</f>
        <v/>
      </c>
      <c r="V1791" s="61" t="str">
        <f>IF(ISERROR(FIND('112'!$M$9,G1791,1)),"",IF((AND(RIGHT(G1791,2)=RIGHT('112'!$M$9,2),B1791&lt;'112'!$K$9,$O1791='112'!$I$6)),"x",""))</f>
        <v/>
      </c>
      <c r="W1791" s="61" t="str">
        <f>IF(AND('341-CT'!$H$9=H1791,OR(LEFT(N1791,3)=$W$7,LEFT(O1791,3)=$W$7)),"x","")</f>
        <v/>
      </c>
      <c r="X1791" s="61" t="str">
        <f>IF(OR(TH!N1791=TH!$X$7,O1791=TH!$X$7),"x","")</f>
        <v/>
      </c>
      <c r="Y1791" s="61" t="str">
        <f>IF(AND(OR(N1791="131",O1791="131"),H1791='131-CT'!$H$9),"x","")</f>
        <v/>
      </c>
      <c r="Z1791" s="61"/>
      <c r="AA1791" s="61" t="str">
        <f>IF(AND(MONTH(E1791)='IN-NX'!$J$5,'IN-NX'!$D$7=D1791),"x","")</f>
        <v/>
      </c>
      <c r="AB1791" s="61" t="str">
        <f>IF(AND(OR(LEFT(TH!N1791,2)="15",LEFT(TH!O1791,2)="15"),LEFT(TH!O1791,3)&lt;&gt;"111",'152-CT'!$J$8=TH!F1791),"x","")</f>
        <v/>
      </c>
      <c r="AC1791" s="61" t="str">
        <f>IF(AND(OR(LEFT(TH!N1791,2)="15",LEFT(TH!O1791,2)="15"),TK!$E$7=TH!F1791),"x","")</f>
        <v/>
      </c>
      <c r="AD1791" s="61" t="str">
        <f>IF(AND(N1791="1521",MONTH(C1791)='BK-NL'!$M$11),"x","")</f>
        <v/>
      </c>
      <c r="AE1791" s="1053">
        <v>9</v>
      </c>
    </row>
    <row r="1792" spans="1:32" s="1053" customFormat="1" ht="16.5" customHeight="1">
      <c r="A1792" s="309" t="str">
        <f>IF(B1792&lt;&gt;"",IF(AND(B1792='IN-TC'!$S$4,OR(TH!N1792="1111",TH!O1792="1111")),TH!D1792,""),"")</f>
        <v/>
      </c>
      <c r="B1792" s="1129">
        <f t="shared" si="476"/>
        <v>8</v>
      </c>
      <c r="C1792" s="292">
        <v>42970</v>
      </c>
      <c r="D1792" s="292" t="s">
        <v>1354</v>
      </c>
      <c r="E1792" s="292">
        <f t="shared" si="477"/>
        <v>42970</v>
      </c>
      <c r="F1792" s="432" t="s">
        <v>346</v>
      </c>
      <c r="G1792" s="925" t="s">
        <v>1904</v>
      </c>
      <c r="H1792" s="68" t="s">
        <v>555</v>
      </c>
      <c r="I1792" s="373">
        <v>600</v>
      </c>
      <c r="J1792" s="379">
        <v>8000</v>
      </c>
      <c r="K1792" s="373"/>
      <c r="L1792" s="379"/>
      <c r="M1792" s="927">
        <f>I1792*J1792</f>
        <v>4800000</v>
      </c>
      <c r="N1792" s="295" t="s">
        <v>266</v>
      </c>
      <c r="O1792" s="295" t="s">
        <v>8</v>
      </c>
      <c r="P1792" s="61" t="str">
        <f>IF(AND('331-CT'!$E$7=TH!H1792,OR(N1792="331",O1792="331")),"x","")</f>
        <v/>
      </c>
      <c r="Q1792" s="61" t="str">
        <f>IF(AND(B1792='111'!$L$11,OR($N1792=$Q$7,$O1792=$Q$7)),"x","")</f>
        <v/>
      </c>
      <c r="R1792" s="61" t="str">
        <f>IF(AND($N1792=$Q$7,$B1792&lt;'111'!$L$11),"x","")</f>
        <v/>
      </c>
      <c r="S1792" s="61" t="str">
        <f>IF(AND($O1792=$Q$7,$B1792&lt;'111'!$L$11),"x","")</f>
        <v/>
      </c>
      <c r="T1792" s="61" t="str">
        <f>IF(ISERROR(FIND('112'!$M$9,G1792,1)),"",IF((AND(FIND('112'!$M$9,G1792,1)&gt;=1,B1792='112'!$K$9,OR($N1792='112'!$I$6,$O1792='112'!$I$6))),"x",""))</f>
        <v/>
      </c>
      <c r="U1792" s="61" t="str">
        <f>IF(ISERROR(FIND('112'!$M$9,G1792,1)),"",IF((AND(LEFT(G1792,2)=LEFT('112'!$M$9,2),B1792&lt;'112'!$K$9,$N1792='112'!$I$6)),"x",""))</f>
        <v/>
      </c>
      <c r="V1792" s="61" t="str">
        <f>IF(ISERROR(FIND('112'!$M$9,G1792,1)),"",IF((AND(RIGHT(G1792,2)=RIGHT('112'!$M$9,2),B1792&lt;'112'!$K$9,$O1792='112'!$I$6)),"x",""))</f>
        <v/>
      </c>
      <c r="W1792" s="61" t="str">
        <f>IF(AND('341-CT'!$H$9=H1792,OR(LEFT(N1792,3)=$W$7,LEFT(O1792,3)=$W$7)),"x","")</f>
        <v/>
      </c>
      <c r="X1792" s="61" t="str">
        <f>IF(OR(TH!N1792=TH!$X$7,O1792=TH!$X$7),"x","")</f>
        <v/>
      </c>
      <c r="Y1792" s="61" t="str">
        <f>IF(AND(OR(N1792="131",O1792="131"),H1792='131-CT'!$H$9),"x","")</f>
        <v/>
      </c>
      <c r="Z1792" s="61"/>
      <c r="AA1792" s="61" t="str">
        <f>IF(AND(MONTH(E1792)='IN-NX'!$J$5,'IN-NX'!$D$7=D1792),"x","")</f>
        <v/>
      </c>
      <c r="AB1792" s="61" t="str">
        <f>IF(AND(OR(LEFT(TH!N1792,2)="15",LEFT(TH!O1792,2)="15"),LEFT(TH!O1792,3)&lt;&gt;"111",'152-CT'!$J$8=TH!F1792),"x","")</f>
        <v/>
      </c>
      <c r="AC1792" s="61" t="str">
        <f>IF(AND(OR(LEFT(TH!N1792,2)="15",LEFT(TH!O1792,2)="15"),TK!$E$7=TH!F1792),"x","")</f>
        <v/>
      </c>
      <c r="AD1792" s="61" t="str">
        <f>IF(AND(N1792="1521",MONTH(C1792)='BK-NL'!$M$11),"x","")</f>
        <v/>
      </c>
      <c r="AE1792" s="1053">
        <v>8</v>
      </c>
    </row>
    <row r="1793" spans="1:31" s="1053" customFormat="1" ht="16.5" customHeight="1">
      <c r="A1793" s="309" t="str">
        <f>IF(B1793&lt;&gt;"",IF(AND(B1793='IN-TC'!$S$4,OR(TH!N1793="1111",TH!O1793="1111")),TH!D1793,""),"")</f>
        <v/>
      </c>
      <c r="B1793" s="1129">
        <f t="shared" si="476"/>
        <v>8</v>
      </c>
      <c r="C1793" s="292">
        <v>42970</v>
      </c>
      <c r="D1793" s="292" t="s">
        <v>1354</v>
      </c>
      <c r="E1793" s="292">
        <f t="shared" si="477"/>
        <v>42970</v>
      </c>
      <c r="F1793" s="432" t="s">
        <v>841</v>
      </c>
      <c r="G1793" s="925" t="s">
        <v>1904</v>
      </c>
      <c r="H1793" s="68" t="s">
        <v>555</v>
      </c>
      <c r="I1793" s="373"/>
      <c r="J1793" s="379"/>
      <c r="K1793" s="373"/>
      <c r="L1793" s="379"/>
      <c r="M1793" s="927">
        <v>480000</v>
      </c>
      <c r="N1793" s="295" t="s">
        <v>9</v>
      </c>
      <c r="O1793" s="295" t="s">
        <v>8</v>
      </c>
      <c r="P1793" s="61" t="str">
        <f>IF(AND('331-CT'!$E$7=TH!H1793,OR(N1793="331",O1793="331")),"x","")</f>
        <v/>
      </c>
      <c r="Q1793" s="61" t="str">
        <f>IF(AND(B1793='111'!$L$11,OR($N1793=$Q$7,$O1793=$Q$7)),"x","")</f>
        <v/>
      </c>
      <c r="R1793" s="61" t="str">
        <f>IF(AND($N1793=$Q$7,$B1793&lt;'111'!$L$11),"x","")</f>
        <v/>
      </c>
      <c r="S1793" s="61" t="str">
        <f>IF(AND($O1793=$Q$7,$B1793&lt;'111'!$L$11),"x","")</f>
        <v/>
      </c>
      <c r="T1793" s="61" t="str">
        <f>IF(ISERROR(FIND('112'!$M$9,G1793,1)),"",IF((AND(FIND('112'!$M$9,G1793,1)&gt;=1,B1793='112'!$K$9,OR($N1793='112'!$I$6,$O1793='112'!$I$6))),"x",""))</f>
        <v/>
      </c>
      <c r="U1793" s="61" t="str">
        <f>IF(ISERROR(FIND('112'!$M$9,G1793,1)),"",IF((AND(LEFT(G1793,2)=LEFT('112'!$M$9,2),B1793&lt;'112'!$K$9,$N1793='112'!$I$6)),"x",""))</f>
        <v/>
      </c>
      <c r="V1793" s="61" t="str">
        <f>IF(ISERROR(FIND('112'!$M$9,G1793,1)),"",IF((AND(RIGHT(G1793,2)=RIGHT('112'!$M$9,2),B1793&lt;'112'!$K$9,$O1793='112'!$I$6)),"x",""))</f>
        <v/>
      </c>
      <c r="W1793" s="61" t="str">
        <f>IF(AND('341-CT'!$H$9=H1793,OR(LEFT(N1793,3)=$W$7,LEFT(O1793,3)=$W$7)),"x","")</f>
        <v/>
      </c>
      <c r="X1793" s="61" t="str">
        <f>IF(OR(TH!N1793=TH!$X$7,O1793=TH!$X$7),"x","")</f>
        <v/>
      </c>
      <c r="Y1793" s="61" t="str">
        <f>IF(AND(OR(N1793="131",O1793="131"),H1793='131-CT'!$H$9),"x","")</f>
        <v/>
      </c>
      <c r="Z1793" s="61"/>
      <c r="AA1793" s="61" t="str">
        <f>IF(AND(MONTH(E1793)='IN-NX'!$J$5,'IN-NX'!$D$7=D1793),"x","")</f>
        <v/>
      </c>
      <c r="AB1793" s="61" t="str">
        <f>IF(AND(OR(LEFT(TH!N1793,2)="15",LEFT(TH!O1793,2)="15"),LEFT(TH!O1793,3)&lt;&gt;"111",'152-CT'!$J$8=TH!F1793),"x","")</f>
        <v/>
      </c>
      <c r="AC1793" s="61" t="str">
        <f>IF(AND(OR(LEFT(TH!N1793,2)="15",LEFT(TH!O1793,2)="15"),TK!$E$7=TH!F1793),"x","")</f>
        <v/>
      </c>
      <c r="AD1793" s="61" t="str">
        <f>IF(AND(N1793="1521",MONTH(C1793)='BK-NL'!$M$11),"x","")</f>
        <v/>
      </c>
      <c r="AE1793" s="1053">
        <v>8</v>
      </c>
    </row>
    <row r="1794" spans="1:31" s="1053" customFormat="1" ht="16.5" customHeight="1">
      <c r="A1794" s="309" t="str">
        <f>IF(B1794&lt;&gt;"",IF(AND(B1794='IN-TC'!$S$4,OR(TH!N1794="1111",TH!O1794="1111")),TH!D1794,""),"")</f>
        <v/>
      </c>
      <c r="B1794" s="1129">
        <f t="shared" si="476"/>
        <v>8</v>
      </c>
      <c r="C1794" s="292">
        <v>42971</v>
      </c>
      <c r="D1794" s="292" t="s">
        <v>1355</v>
      </c>
      <c r="E1794" s="292">
        <f t="shared" si="477"/>
        <v>42971</v>
      </c>
      <c r="F1794" s="67" t="s">
        <v>795</v>
      </c>
      <c r="G1794" s="925" t="s">
        <v>2145</v>
      </c>
      <c r="H1794" s="311" t="s">
        <v>1684</v>
      </c>
      <c r="I1794" s="373">
        <v>3045</v>
      </c>
      <c r="J1794" s="379">
        <v>5900</v>
      </c>
      <c r="K1794" s="373"/>
      <c r="L1794" s="379"/>
      <c r="M1794" s="927">
        <f>I1794*J1794</f>
        <v>17965500</v>
      </c>
      <c r="N1794" s="295" t="s">
        <v>266</v>
      </c>
      <c r="O1794" s="295" t="s">
        <v>8</v>
      </c>
      <c r="P1794" s="61" t="str">
        <f>IF(AND('331-CT'!$E$7=TH!H1794,OR(N1794="331",O1794="331")),"x","")</f>
        <v/>
      </c>
      <c r="Q1794" s="61" t="str">
        <f>IF(AND(B1794='111'!$L$11,OR($N1794=$Q$7,$O1794=$Q$7)),"x","")</f>
        <v/>
      </c>
      <c r="R1794" s="61" t="str">
        <f>IF(AND($N1794=$Q$7,$B1794&lt;'111'!$L$11),"x","")</f>
        <v/>
      </c>
      <c r="S1794" s="61" t="str">
        <f>IF(AND($O1794=$Q$7,$B1794&lt;'111'!$L$11),"x","")</f>
        <v/>
      </c>
      <c r="T1794" s="61" t="str">
        <f>IF(ISERROR(FIND('112'!$M$9,G1794,1)),"",IF((AND(FIND('112'!$M$9,G1794,1)&gt;=1,B1794='112'!$K$9,OR($N1794='112'!$I$6,$O1794='112'!$I$6))),"x",""))</f>
        <v/>
      </c>
      <c r="U1794" s="61" t="str">
        <f>IF(ISERROR(FIND('112'!$M$9,G1794,1)),"",IF((AND(LEFT(G1794,2)=LEFT('112'!$M$9,2),B1794&lt;'112'!$K$9,$N1794='112'!$I$6)),"x",""))</f>
        <v/>
      </c>
      <c r="V1794" s="61" t="str">
        <f>IF(ISERROR(FIND('112'!$M$9,G1794,1)),"",IF((AND(RIGHT(G1794,2)=RIGHT('112'!$M$9,2),B1794&lt;'112'!$K$9,$O1794='112'!$I$6)),"x",""))</f>
        <v/>
      </c>
      <c r="W1794" s="61" t="str">
        <f>IF(AND('341-CT'!$H$9=H1794,OR(LEFT(N1794,3)=$W$7,LEFT(O1794,3)=$W$7)),"x","")</f>
        <v/>
      </c>
      <c r="X1794" s="61" t="str">
        <f>IF(OR(TH!N1794=TH!$X$7,O1794=TH!$X$7),"x","")</f>
        <v/>
      </c>
      <c r="Y1794" s="61" t="str">
        <f>IF(AND(OR(N1794="131",O1794="131"),H1794='131-CT'!$H$9),"x","")</f>
        <v/>
      </c>
      <c r="Z1794" s="61"/>
      <c r="AA1794" s="61" t="str">
        <f>IF(AND(MONTH(E1794)='IN-NX'!$J$5,'IN-NX'!$D$7=D1794),"x","")</f>
        <v/>
      </c>
      <c r="AB1794" s="61" t="str">
        <f>IF(AND(OR(LEFT(TH!N1794,2)="15",LEFT(TH!O1794,2)="15"),LEFT(TH!O1794,3)&lt;&gt;"111",'152-CT'!$J$8=TH!F1794),"x","")</f>
        <v/>
      </c>
      <c r="AC1794" s="61" t="str">
        <f>IF(AND(OR(LEFT(TH!N1794,2)="15",LEFT(TH!O1794,2)="15"),TK!$E$7=TH!F1794),"x","")</f>
        <v/>
      </c>
      <c r="AD1794" s="61" t="str">
        <f>IF(AND(N1794="1521",MONTH(C1794)='BK-NL'!$M$11),"x","")</f>
        <v/>
      </c>
      <c r="AE1794" s="1053">
        <v>9</v>
      </c>
    </row>
    <row r="1795" spans="1:31" s="1053" customFormat="1" ht="16.5" customHeight="1">
      <c r="A1795" s="309" t="str">
        <f>IF(B1795&lt;&gt;"",IF(AND(B1795='IN-TC'!$S$4,OR(TH!N1795="1111",TH!O1795="1111")),TH!D1795,""),"")</f>
        <v/>
      </c>
      <c r="B1795" s="1129">
        <f t="shared" si="476"/>
        <v>8</v>
      </c>
      <c r="C1795" s="292">
        <v>42971</v>
      </c>
      <c r="D1795" s="292" t="s">
        <v>1355</v>
      </c>
      <c r="E1795" s="292">
        <f t="shared" si="477"/>
        <v>42971</v>
      </c>
      <c r="F1795" s="67" t="s">
        <v>1143</v>
      </c>
      <c r="G1795" s="925" t="s">
        <v>2145</v>
      </c>
      <c r="H1795" s="311" t="s">
        <v>1684</v>
      </c>
      <c r="I1795" s="373"/>
      <c r="J1795" s="379"/>
      <c r="K1795" s="373"/>
      <c r="L1795" s="379"/>
      <c r="M1795" s="927">
        <v>1796550</v>
      </c>
      <c r="N1795" s="295" t="s">
        <v>9</v>
      </c>
      <c r="O1795" s="295" t="s">
        <v>8</v>
      </c>
      <c r="P1795" s="61" t="str">
        <f>IF(AND('331-CT'!$E$7=TH!H1795,OR(N1795="331",O1795="331")),"x","")</f>
        <v/>
      </c>
      <c r="Q1795" s="61" t="str">
        <f>IF(AND(B1795='111'!$L$11,OR($N1795=$Q$7,$O1795=$Q$7)),"x","")</f>
        <v/>
      </c>
      <c r="R1795" s="61" t="str">
        <f>IF(AND($N1795=$Q$7,$B1795&lt;'111'!$L$11),"x","")</f>
        <v/>
      </c>
      <c r="S1795" s="61" t="str">
        <f>IF(AND($O1795=$Q$7,$B1795&lt;'111'!$L$11),"x","")</f>
        <v/>
      </c>
      <c r="T1795" s="61" t="str">
        <f>IF(ISERROR(FIND('112'!$M$9,G1795,1)),"",IF((AND(FIND('112'!$M$9,G1795,1)&gt;=1,B1795='112'!$K$9,OR($N1795='112'!$I$6,$O1795='112'!$I$6))),"x",""))</f>
        <v/>
      </c>
      <c r="U1795" s="61" t="str">
        <f>IF(ISERROR(FIND('112'!$M$9,G1795,1)),"",IF((AND(LEFT(G1795,2)=LEFT('112'!$M$9,2),B1795&lt;'112'!$K$9,$N1795='112'!$I$6)),"x",""))</f>
        <v/>
      </c>
      <c r="V1795" s="61" t="str">
        <f>IF(ISERROR(FIND('112'!$M$9,G1795,1)),"",IF((AND(RIGHT(G1795,2)=RIGHT('112'!$M$9,2),B1795&lt;'112'!$K$9,$O1795='112'!$I$6)),"x",""))</f>
        <v/>
      </c>
      <c r="W1795" s="61" t="str">
        <f>IF(AND('341-CT'!$H$9=H1795,OR(LEFT(N1795,3)=$W$7,LEFT(O1795,3)=$W$7)),"x","")</f>
        <v/>
      </c>
      <c r="X1795" s="61" t="str">
        <f>IF(OR(TH!N1795=TH!$X$7,O1795=TH!$X$7),"x","")</f>
        <v/>
      </c>
      <c r="Y1795" s="61" t="str">
        <f>IF(AND(OR(N1795="131",O1795="131"),H1795='131-CT'!$H$9),"x","")</f>
        <v/>
      </c>
      <c r="Z1795" s="61"/>
      <c r="AA1795" s="61" t="str">
        <f>IF(AND(MONTH(E1795)='IN-NX'!$J$5,'IN-NX'!$D$7=D1795),"x","")</f>
        <v/>
      </c>
      <c r="AB1795" s="61" t="str">
        <f>IF(AND(OR(LEFT(TH!N1795,2)="15",LEFT(TH!O1795,2)="15"),LEFT(TH!O1795,3)&lt;&gt;"111",'152-CT'!$J$8=TH!F1795),"x","")</f>
        <v/>
      </c>
      <c r="AC1795" s="61" t="str">
        <f>IF(AND(OR(LEFT(TH!N1795,2)="15",LEFT(TH!O1795,2)="15"),TK!$E$7=TH!F1795),"x","")</f>
        <v/>
      </c>
      <c r="AD1795" s="61" t="str">
        <f>IF(AND(N1795="1521",MONTH(C1795)='BK-NL'!$M$11),"x","")</f>
        <v/>
      </c>
      <c r="AE1795" s="1053">
        <v>9</v>
      </c>
    </row>
    <row r="1796" spans="1:31" s="1053" customFormat="1" ht="16.5" customHeight="1">
      <c r="A1796" s="309" t="str">
        <f>IF(B1796&lt;&gt;"",IF(AND(B1796='IN-TC'!$S$4,OR(TH!N1796="1111",TH!O1796="1111")),TH!D1796,""),"")</f>
        <v/>
      </c>
      <c r="B1796" s="1129">
        <f t="shared" si="476"/>
        <v>8</v>
      </c>
      <c r="C1796" s="292">
        <v>42978</v>
      </c>
      <c r="D1796" s="292" t="s">
        <v>1356</v>
      </c>
      <c r="E1796" s="292">
        <f t="shared" si="477"/>
        <v>42978</v>
      </c>
      <c r="F1796" s="67" t="s">
        <v>795</v>
      </c>
      <c r="G1796" s="925" t="s">
        <v>2146</v>
      </c>
      <c r="H1796" s="311" t="s">
        <v>1684</v>
      </c>
      <c r="I1796" s="373">
        <v>3045</v>
      </c>
      <c r="J1796" s="379">
        <v>5900</v>
      </c>
      <c r="K1796" s="373"/>
      <c r="L1796" s="379"/>
      <c r="M1796" s="927">
        <f>I1796*J1796</f>
        <v>17965500</v>
      </c>
      <c r="N1796" s="295" t="s">
        <v>266</v>
      </c>
      <c r="O1796" s="295" t="s">
        <v>8</v>
      </c>
      <c r="P1796" s="61" t="str">
        <f>IF(AND('331-CT'!$E$7=TH!H1796,OR(N1796="331",O1796="331")),"x","")</f>
        <v/>
      </c>
      <c r="Q1796" s="61" t="str">
        <f>IF(AND(B1796='111'!$L$11,OR($N1796=$Q$7,$O1796=$Q$7)),"x","")</f>
        <v/>
      </c>
      <c r="R1796" s="61" t="str">
        <f>IF(AND($N1796=$Q$7,$B1796&lt;'111'!$L$11),"x","")</f>
        <v/>
      </c>
      <c r="S1796" s="61" t="str">
        <f>IF(AND($O1796=$Q$7,$B1796&lt;'111'!$L$11),"x","")</f>
        <v/>
      </c>
      <c r="T1796" s="61" t="str">
        <f>IF(ISERROR(FIND('112'!$M$9,G1796,1)),"",IF((AND(FIND('112'!$M$9,G1796,1)&gt;=1,B1796='112'!$K$9,OR($N1796='112'!$I$6,$O1796='112'!$I$6))),"x",""))</f>
        <v/>
      </c>
      <c r="U1796" s="61" t="str">
        <f>IF(ISERROR(FIND('112'!$M$9,G1796,1)),"",IF((AND(LEFT(G1796,2)=LEFT('112'!$M$9,2),B1796&lt;'112'!$K$9,$N1796='112'!$I$6)),"x",""))</f>
        <v/>
      </c>
      <c r="V1796" s="61" t="str">
        <f>IF(ISERROR(FIND('112'!$M$9,G1796,1)),"",IF((AND(RIGHT(G1796,2)=RIGHT('112'!$M$9,2),B1796&lt;'112'!$K$9,$O1796='112'!$I$6)),"x",""))</f>
        <v/>
      </c>
      <c r="W1796" s="61" t="str">
        <f>IF(AND('341-CT'!$H$9=H1796,OR(LEFT(N1796,3)=$W$7,LEFT(O1796,3)=$W$7)),"x","")</f>
        <v/>
      </c>
      <c r="X1796" s="61" t="str">
        <f>IF(OR(TH!N1796=TH!$X$7,O1796=TH!$X$7),"x","")</f>
        <v/>
      </c>
      <c r="Y1796" s="61" t="str">
        <f>IF(AND(OR(N1796="131",O1796="131"),H1796='131-CT'!$H$9),"x","")</f>
        <v/>
      </c>
      <c r="Z1796" s="61"/>
      <c r="AA1796" s="61" t="str">
        <f>IF(AND(MONTH(E1796)='IN-NX'!$J$5,'IN-NX'!$D$7=D1796),"x","")</f>
        <v/>
      </c>
      <c r="AB1796" s="61" t="str">
        <f>IF(AND(OR(LEFT(TH!N1796,2)="15",LEFT(TH!O1796,2)="15"),LEFT(TH!O1796,3)&lt;&gt;"111",'152-CT'!$J$8=TH!F1796),"x","")</f>
        <v/>
      </c>
      <c r="AC1796" s="61" t="str">
        <f>IF(AND(OR(LEFT(TH!N1796,2)="15",LEFT(TH!O1796,2)="15"),TK!$E$7=TH!F1796),"x","")</f>
        <v/>
      </c>
      <c r="AD1796" s="61" t="str">
        <f>IF(AND(N1796="1521",MONTH(C1796)='BK-NL'!$M$11),"x","")</f>
        <v/>
      </c>
      <c r="AE1796" s="1053">
        <v>9</v>
      </c>
    </row>
    <row r="1797" spans="1:31" s="1053" customFormat="1" ht="16.5" customHeight="1">
      <c r="A1797" s="309" t="str">
        <f>IF(B1797&lt;&gt;"",IF(AND(B1797='IN-TC'!$S$4,OR(TH!N1797="1111",TH!O1797="1111")),TH!D1797,""),"")</f>
        <v/>
      </c>
      <c r="B1797" s="1129">
        <f t="shared" si="476"/>
        <v>8</v>
      </c>
      <c r="C1797" s="292">
        <v>42978</v>
      </c>
      <c r="D1797" s="292" t="s">
        <v>1356</v>
      </c>
      <c r="E1797" s="292">
        <f t="shared" si="477"/>
        <v>42978</v>
      </c>
      <c r="F1797" s="67" t="s">
        <v>1143</v>
      </c>
      <c r="G1797" s="925" t="s">
        <v>2146</v>
      </c>
      <c r="H1797" s="311" t="s">
        <v>1684</v>
      </c>
      <c r="I1797" s="373"/>
      <c r="J1797" s="379"/>
      <c r="K1797" s="373"/>
      <c r="L1797" s="379"/>
      <c r="M1797" s="927">
        <v>1796550</v>
      </c>
      <c r="N1797" s="295" t="s">
        <v>9</v>
      </c>
      <c r="O1797" s="295" t="s">
        <v>8</v>
      </c>
      <c r="P1797" s="61" t="str">
        <f>IF(AND('331-CT'!$E$7=TH!H1797,OR(N1797="331",O1797="331")),"x","")</f>
        <v/>
      </c>
      <c r="Q1797" s="61" t="str">
        <f>IF(AND(B1797='111'!$L$11,OR($N1797=$Q$7,$O1797=$Q$7)),"x","")</f>
        <v/>
      </c>
      <c r="R1797" s="61" t="str">
        <f>IF(AND($N1797=$Q$7,$B1797&lt;'111'!$L$11),"x","")</f>
        <v/>
      </c>
      <c r="S1797" s="61" t="str">
        <f>IF(AND($O1797=$Q$7,$B1797&lt;'111'!$L$11),"x","")</f>
        <v/>
      </c>
      <c r="T1797" s="61" t="str">
        <f>IF(ISERROR(FIND('112'!$M$9,G1797,1)),"",IF((AND(FIND('112'!$M$9,G1797,1)&gt;=1,B1797='112'!$K$9,OR($N1797='112'!$I$6,$O1797='112'!$I$6))),"x",""))</f>
        <v/>
      </c>
      <c r="U1797" s="61" t="str">
        <f>IF(ISERROR(FIND('112'!$M$9,G1797,1)),"",IF((AND(LEFT(G1797,2)=LEFT('112'!$M$9,2),B1797&lt;'112'!$K$9,$N1797='112'!$I$6)),"x",""))</f>
        <v/>
      </c>
      <c r="V1797" s="61" t="str">
        <f>IF(ISERROR(FIND('112'!$M$9,G1797,1)),"",IF((AND(RIGHT(G1797,2)=RIGHT('112'!$M$9,2),B1797&lt;'112'!$K$9,$O1797='112'!$I$6)),"x",""))</f>
        <v/>
      </c>
      <c r="W1797" s="61" t="str">
        <f>IF(AND('341-CT'!$H$9=H1797,OR(LEFT(N1797,3)=$W$7,LEFT(O1797,3)=$W$7)),"x","")</f>
        <v/>
      </c>
      <c r="X1797" s="61" t="str">
        <f>IF(OR(TH!N1797=TH!$X$7,O1797=TH!$X$7),"x","")</f>
        <v/>
      </c>
      <c r="Y1797" s="61" t="str">
        <f>IF(AND(OR(N1797="131",O1797="131"),H1797='131-CT'!$H$9),"x","")</f>
        <v/>
      </c>
      <c r="Z1797" s="61"/>
      <c r="AA1797" s="61" t="str">
        <f>IF(AND(MONTH(E1797)='IN-NX'!$J$5,'IN-NX'!$D$7=D1797),"x","")</f>
        <v/>
      </c>
      <c r="AB1797" s="61" t="str">
        <f>IF(AND(OR(LEFT(TH!N1797,2)="15",LEFT(TH!O1797,2)="15"),LEFT(TH!O1797,3)&lt;&gt;"111",'152-CT'!$J$8=TH!F1797),"x","")</f>
        <v/>
      </c>
      <c r="AC1797" s="61" t="str">
        <f>IF(AND(OR(LEFT(TH!N1797,2)="15",LEFT(TH!O1797,2)="15"),TK!$E$7=TH!F1797),"x","")</f>
        <v/>
      </c>
      <c r="AD1797" s="61" t="str">
        <f>IF(AND(N1797="1521",MONTH(C1797)='BK-NL'!$M$11),"x","")</f>
        <v/>
      </c>
      <c r="AE1797" s="1053">
        <v>9</v>
      </c>
    </row>
    <row r="1798" spans="1:31" ht="16.5" customHeight="1">
      <c r="A1798" s="309" t="str">
        <f>IF(B1798&lt;&gt;"",IF(AND(B1798='IN-TC'!$S$4,OR(TH!N1798="1111",TH!O1798="1111")),TH!D1798,""),"")</f>
        <v/>
      </c>
      <c r="B1798" s="1129">
        <f t="shared" si="476"/>
        <v>8</v>
      </c>
      <c r="C1798" s="929">
        <f t="shared" ref="C1798:C1801" si="478">E1798</f>
        <v>42948</v>
      </c>
      <c r="D1798" s="929" t="s">
        <v>2951</v>
      </c>
      <c r="E1798" s="929">
        <v>42948</v>
      </c>
      <c r="F1798" s="1082" t="s">
        <v>327</v>
      </c>
      <c r="G1798" s="931"/>
      <c r="H1798" s="735" t="s">
        <v>424</v>
      </c>
      <c r="I1798" s="371">
        <v>150</v>
      </c>
      <c r="J1798" s="377">
        <v>32200</v>
      </c>
      <c r="K1798" s="371"/>
      <c r="L1798" s="377"/>
      <c r="M1798" s="933">
        <f t="shared" ref="M1798:M1801" si="479">ROUND(I1798*J1798,0)</f>
        <v>4830000</v>
      </c>
      <c r="N1798" s="934" t="s">
        <v>272</v>
      </c>
      <c r="O1798" s="934" t="s">
        <v>266</v>
      </c>
      <c r="P1798" s="75" t="str">
        <f>IF(AND('331-CT'!$E$7=TH!H1798,OR(N1798="331",O1798="331")),"x","")</f>
        <v/>
      </c>
      <c r="Q1798" s="75" t="str">
        <f>IF(AND(B1798='111'!$L$11,OR($N1798=$Q$7,$O1798=$Q$7)),"x","")</f>
        <v/>
      </c>
      <c r="R1798" s="75" t="str">
        <f>IF(AND($N1798=$Q$7,$B1798&lt;'111'!$L$11),"x","")</f>
        <v/>
      </c>
      <c r="S1798" s="75" t="str">
        <f>IF(AND($O1798=$Q$7,$B1798&lt;'111'!$L$11),"x","")</f>
        <v/>
      </c>
      <c r="T1798" s="75" t="str">
        <f>IF(ISERROR(FIND('112'!$M$9,G1798,1)),"",IF((AND(FIND('112'!$M$9,G1798,1)&gt;=1,B1798='112'!$K$9,OR($N1798='112'!$I$6,$O1798='112'!$I$6))),"x",""))</f>
        <v/>
      </c>
      <c r="U1798" s="75" t="str">
        <f>IF(ISERROR(FIND('112'!$M$9,G1798,1)),"",IF((AND(LEFT(G1798,2)=LEFT('112'!$M$9,2),B1798&lt;'112'!$K$9,$N1798='112'!$I$6)),"x",""))</f>
        <v/>
      </c>
      <c r="V1798" s="75" t="str">
        <f>IF(ISERROR(FIND('112'!$M$9,G1798,1)),"",IF((AND(RIGHT(G1798,2)=RIGHT('112'!$M$9,2),B1798&lt;'112'!$K$9,$O1798='112'!$I$6)),"x",""))</f>
        <v/>
      </c>
      <c r="W1798" s="75" t="str">
        <f>IF(AND('341-CT'!$H$9=H1798,OR(LEFT(N1798,3)=$W$7,LEFT(O1798,3)=$W$7)),"x","")</f>
        <v/>
      </c>
      <c r="X1798" s="75" t="str">
        <f>IF(OR(TH!N1798=TH!$X$7,O1798=TH!$X$7),"x","")</f>
        <v/>
      </c>
      <c r="Y1798" s="75" t="str">
        <f>IF(AND(OR(N1798="131",O1798="131"),H1798='131-CT'!$H$9),"x","")</f>
        <v/>
      </c>
      <c r="Z1798" s="75"/>
      <c r="AA1798" s="75" t="str">
        <f>IF(AND(MONTH(E1798)='IN-NX'!$J$5,'IN-NX'!$D$7=D1798),"x","")</f>
        <v/>
      </c>
      <c r="AB1798" s="75" t="str">
        <f>IF(AND(OR(LEFT(TH!N1798,2)="15",LEFT(TH!O1798,2)="15"),LEFT(TH!O1798,3)&lt;&gt;"111",'152-CT'!$J$8=TH!F1798),"x","")</f>
        <v/>
      </c>
      <c r="AC1798" s="75" t="str">
        <f>IF(AND(OR(LEFT(TH!N1798,2)="15",LEFT(TH!O1798,2)="15"),TK!$E$7=TH!F1798),"x","")</f>
        <v/>
      </c>
      <c r="AD1798" s="75" t="str">
        <f>IF(AND(N1798="1521",MONTH(C1798)='BK-NL'!$M$11),"x","")</f>
        <v/>
      </c>
    </row>
    <row r="1799" spans="1:31" ht="16.5" customHeight="1">
      <c r="A1799" s="309" t="str">
        <f>IF(B1799&lt;&gt;"",IF(AND(B1799='IN-TC'!$S$4,OR(TH!N1799="1111",TH!O1799="1111")),TH!D1799,""),"")</f>
        <v/>
      </c>
      <c r="B1799" s="1129">
        <f t="shared" si="476"/>
        <v>8</v>
      </c>
      <c r="C1799" s="929">
        <f t="shared" si="478"/>
        <v>42948</v>
      </c>
      <c r="D1799" s="929" t="s">
        <v>2951</v>
      </c>
      <c r="E1799" s="929">
        <v>42948</v>
      </c>
      <c r="F1799" s="1082" t="s">
        <v>333</v>
      </c>
      <c r="G1799" s="931"/>
      <c r="H1799" s="735" t="s">
        <v>424</v>
      </c>
      <c r="I1799" s="371">
        <v>150</v>
      </c>
      <c r="J1799" s="377">
        <v>49808.000000000007</v>
      </c>
      <c r="K1799" s="371"/>
      <c r="L1799" s="377"/>
      <c r="M1799" s="933">
        <f t="shared" si="479"/>
        <v>7471200</v>
      </c>
      <c r="N1799" s="934" t="s">
        <v>272</v>
      </c>
      <c r="O1799" s="934" t="s">
        <v>266</v>
      </c>
      <c r="P1799" s="75" t="str">
        <f>IF(AND('331-CT'!$E$7=TH!H1799,OR(N1799="331",O1799="331")),"x","")</f>
        <v/>
      </c>
      <c r="Q1799" s="75" t="str">
        <f>IF(AND(B1799='111'!$L$11,OR($N1799=$Q$7,$O1799=$Q$7)),"x","")</f>
        <v/>
      </c>
      <c r="R1799" s="75" t="str">
        <f>IF(AND($N1799=$Q$7,$B1799&lt;'111'!$L$11),"x","")</f>
        <v/>
      </c>
      <c r="S1799" s="75" t="str">
        <f>IF(AND($O1799=$Q$7,$B1799&lt;'111'!$L$11),"x","")</f>
        <v/>
      </c>
      <c r="T1799" s="75" t="str">
        <f>IF(ISERROR(FIND('112'!$M$9,G1799,1)),"",IF((AND(FIND('112'!$M$9,G1799,1)&gt;=1,B1799='112'!$K$9,OR($N1799='112'!$I$6,$O1799='112'!$I$6))),"x",""))</f>
        <v/>
      </c>
      <c r="U1799" s="75" t="str">
        <f>IF(ISERROR(FIND('112'!$M$9,G1799,1)),"",IF((AND(LEFT(G1799,2)=LEFT('112'!$M$9,2),B1799&lt;'112'!$K$9,$N1799='112'!$I$6)),"x",""))</f>
        <v/>
      </c>
      <c r="V1799" s="75" t="str">
        <f>IF(ISERROR(FIND('112'!$M$9,G1799,1)),"",IF((AND(RIGHT(G1799,2)=RIGHT('112'!$M$9,2),B1799&lt;'112'!$K$9,$O1799='112'!$I$6)),"x",""))</f>
        <v/>
      </c>
      <c r="W1799" s="75" t="str">
        <f>IF(AND('341-CT'!$H$9=H1799,OR(LEFT(N1799,3)=$W$7,LEFT(O1799,3)=$W$7)),"x","")</f>
        <v/>
      </c>
      <c r="X1799" s="75" t="str">
        <f>IF(OR(TH!N1799=TH!$X$7,O1799=TH!$X$7),"x","")</f>
        <v/>
      </c>
      <c r="Y1799" s="75" t="str">
        <f>IF(AND(OR(N1799="131",O1799="131"),H1799='131-CT'!$H$9),"x","")</f>
        <v/>
      </c>
      <c r="Z1799" s="75"/>
      <c r="AA1799" s="75" t="str">
        <f>IF(AND(MONTH(E1799)='IN-NX'!$J$5,'IN-NX'!$D$7=D1799),"x","")</f>
        <v/>
      </c>
      <c r="AB1799" s="75" t="str">
        <f>IF(AND(OR(LEFT(TH!N1799,2)="15",LEFT(TH!O1799,2)="15"),LEFT(TH!O1799,3)&lt;&gt;"111",'152-CT'!$J$8=TH!F1799),"x","")</f>
        <v/>
      </c>
      <c r="AC1799" s="75" t="str">
        <f>IF(AND(OR(LEFT(TH!N1799,2)="15",LEFT(TH!O1799,2)="15"),TK!$E$7=TH!F1799),"x","")</f>
        <v/>
      </c>
      <c r="AD1799" s="75" t="str">
        <f>IF(AND(N1799="1521",MONTH(C1799)='BK-NL'!$M$11),"x","")</f>
        <v/>
      </c>
    </row>
    <row r="1800" spans="1:31" ht="16.5" customHeight="1">
      <c r="A1800" s="309" t="str">
        <f>IF(B1800&lt;&gt;"",IF(AND(B1800='IN-TC'!$S$4,OR(TH!N1800="1111",TH!O1800="1111")),TH!D1800,""),"")</f>
        <v/>
      </c>
      <c r="B1800" s="1129">
        <f t="shared" si="476"/>
        <v>8</v>
      </c>
      <c r="C1800" s="929">
        <f t="shared" si="478"/>
        <v>42948</v>
      </c>
      <c r="D1800" s="929" t="s">
        <v>2951</v>
      </c>
      <c r="E1800" s="929">
        <v>42948</v>
      </c>
      <c r="F1800" s="1082" t="s">
        <v>336</v>
      </c>
      <c r="G1800" s="931"/>
      <c r="H1800" s="735" t="s">
        <v>424</v>
      </c>
      <c r="I1800" s="371">
        <v>400</v>
      </c>
      <c r="J1800" s="377">
        <v>16476.189999999999</v>
      </c>
      <c r="K1800" s="371"/>
      <c r="L1800" s="377"/>
      <c r="M1800" s="933">
        <f t="shared" si="479"/>
        <v>6590476</v>
      </c>
      <c r="N1800" s="934" t="s">
        <v>272</v>
      </c>
      <c r="O1800" s="934" t="s">
        <v>266</v>
      </c>
      <c r="P1800" s="75" t="str">
        <f>IF(AND('331-CT'!$E$7=TH!H1800,OR(N1800="331",O1800="331")),"x","")</f>
        <v/>
      </c>
      <c r="Q1800" s="75" t="str">
        <f>IF(AND(B1800='111'!$L$11,OR($N1800=$Q$7,$O1800=$Q$7)),"x","")</f>
        <v/>
      </c>
      <c r="R1800" s="75" t="str">
        <f>IF(AND($N1800=$Q$7,$B1800&lt;'111'!$L$11),"x","")</f>
        <v/>
      </c>
      <c r="S1800" s="75" t="str">
        <f>IF(AND($O1800=$Q$7,$B1800&lt;'111'!$L$11),"x","")</f>
        <v/>
      </c>
      <c r="T1800" s="75" t="str">
        <f>IF(ISERROR(FIND('112'!$M$9,G1800,1)),"",IF((AND(FIND('112'!$M$9,G1800,1)&gt;=1,B1800='112'!$K$9,OR($N1800='112'!$I$6,$O1800='112'!$I$6))),"x",""))</f>
        <v/>
      </c>
      <c r="U1800" s="75" t="str">
        <f>IF(ISERROR(FIND('112'!$M$9,G1800,1)),"",IF((AND(LEFT(G1800,2)=LEFT('112'!$M$9,2),B1800&lt;'112'!$K$9,$N1800='112'!$I$6)),"x",""))</f>
        <v/>
      </c>
      <c r="V1800" s="75" t="str">
        <f>IF(ISERROR(FIND('112'!$M$9,G1800,1)),"",IF((AND(RIGHT(G1800,2)=RIGHT('112'!$M$9,2),B1800&lt;'112'!$K$9,$O1800='112'!$I$6)),"x",""))</f>
        <v/>
      </c>
      <c r="W1800" s="75" t="str">
        <f>IF(AND('341-CT'!$H$9=H1800,OR(LEFT(N1800,3)=$W$7,LEFT(O1800,3)=$W$7)),"x","")</f>
        <v/>
      </c>
      <c r="X1800" s="75" t="str">
        <f>IF(OR(TH!N1800=TH!$X$7,O1800=TH!$X$7),"x","")</f>
        <v/>
      </c>
      <c r="Y1800" s="75" t="str">
        <f>IF(AND(OR(N1800="131",O1800="131"),H1800='131-CT'!$H$9),"x","")</f>
        <v/>
      </c>
      <c r="Z1800" s="75"/>
      <c r="AA1800" s="75" t="str">
        <f>IF(AND(MONTH(E1800)='IN-NX'!$J$5,'IN-NX'!$D$7=D1800),"x","")</f>
        <v/>
      </c>
      <c r="AB1800" s="75" t="str">
        <f>IF(AND(OR(LEFT(TH!N1800,2)="15",LEFT(TH!O1800,2)="15"),LEFT(TH!O1800,3)&lt;&gt;"111",'152-CT'!$J$8=TH!F1800),"x","")</f>
        <v/>
      </c>
      <c r="AC1800" s="75" t="str">
        <f>IF(AND(OR(LEFT(TH!N1800,2)="15",LEFT(TH!O1800,2)="15"),TK!$E$7=TH!F1800),"x","")</f>
        <v>x</v>
      </c>
      <c r="AD1800" s="75" t="str">
        <f>IF(AND(N1800="1521",MONTH(C1800)='BK-NL'!$M$11),"x","")</f>
        <v/>
      </c>
    </row>
    <row r="1801" spans="1:31" ht="16.5" customHeight="1">
      <c r="A1801" s="309" t="str">
        <f>IF(B1801&lt;&gt;"",IF(AND(B1801='IN-TC'!$S$4,OR(TH!N1801="1111",TH!O1801="1111")),TH!D1801,""),"")</f>
        <v/>
      </c>
      <c r="B1801" s="1129">
        <f t="shared" si="476"/>
        <v>8</v>
      </c>
      <c r="C1801" s="929">
        <f t="shared" si="478"/>
        <v>42948</v>
      </c>
      <c r="D1801" s="929" t="s">
        <v>2951</v>
      </c>
      <c r="E1801" s="929">
        <v>42948</v>
      </c>
      <c r="F1801" s="1082" t="s">
        <v>804</v>
      </c>
      <c r="G1801" s="931"/>
      <c r="H1801" s="735" t="s">
        <v>424</v>
      </c>
      <c r="I1801" s="371">
        <v>40</v>
      </c>
      <c r="J1801" s="377">
        <v>53000</v>
      </c>
      <c r="K1801" s="371"/>
      <c r="L1801" s="377"/>
      <c r="M1801" s="933">
        <f t="shared" si="479"/>
        <v>2120000</v>
      </c>
      <c r="N1801" s="934" t="s">
        <v>272</v>
      </c>
      <c r="O1801" s="934" t="s">
        <v>266</v>
      </c>
      <c r="P1801" s="75" t="str">
        <f>IF(AND('331-CT'!$E$7=TH!H1801,OR(N1801="331",O1801="331")),"x","")</f>
        <v/>
      </c>
      <c r="Q1801" s="75" t="str">
        <f>IF(AND(B1801='111'!$L$11,OR($N1801=$Q$7,$O1801=$Q$7)),"x","")</f>
        <v/>
      </c>
      <c r="R1801" s="75" t="str">
        <f>IF(AND($N1801=$Q$7,$B1801&lt;'111'!$L$11),"x","")</f>
        <v/>
      </c>
      <c r="S1801" s="75" t="str">
        <f>IF(AND($O1801=$Q$7,$B1801&lt;'111'!$L$11),"x","")</f>
        <v/>
      </c>
      <c r="T1801" s="75" t="str">
        <f>IF(ISERROR(FIND('112'!$M$9,G1801,1)),"",IF((AND(FIND('112'!$M$9,G1801,1)&gt;=1,B1801='112'!$K$9,OR($N1801='112'!$I$6,$O1801='112'!$I$6))),"x",""))</f>
        <v/>
      </c>
      <c r="U1801" s="75" t="str">
        <f>IF(ISERROR(FIND('112'!$M$9,G1801,1)),"",IF((AND(LEFT(G1801,2)=LEFT('112'!$M$9,2),B1801&lt;'112'!$K$9,$N1801='112'!$I$6)),"x",""))</f>
        <v/>
      </c>
      <c r="V1801" s="75" t="str">
        <f>IF(ISERROR(FIND('112'!$M$9,G1801,1)),"",IF((AND(RIGHT(G1801,2)=RIGHT('112'!$M$9,2),B1801&lt;'112'!$K$9,$O1801='112'!$I$6)),"x",""))</f>
        <v/>
      </c>
      <c r="W1801" s="75" t="str">
        <f>IF(AND('341-CT'!$H$9=H1801,OR(LEFT(N1801,3)=$W$7,LEFT(O1801,3)=$W$7)),"x","")</f>
        <v/>
      </c>
      <c r="X1801" s="75" t="str">
        <f>IF(OR(TH!N1801=TH!$X$7,O1801=TH!$X$7),"x","")</f>
        <v/>
      </c>
      <c r="Y1801" s="75" t="str">
        <f>IF(AND(OR(N1801="131",O1801="131"),H1801='131-CT'!$H$9),"x","")</f>
        <v/>
      </c>
      <c r="Z1801" s="75"/>
      <c r="AA1801" s="75" t="str">
        <f>IF(AND(MONTH(E1801)='IN-NX'!$J$5,'IN-NX'!$D$7=D1801),"x","")</f>
        <v/>
      </c>
      <c r="AB1801" s="75" t="str">
        <f>IF(AND(OR(LEFT(TH!N1801,2)="15",LEFT(TH!O1801,2)="15"),LEFT(TH!O1801,3)&lt;&gt;"111",'152-CT'!$J$8=TH!F1801),"x","")</f>
        <v/>
      </c>
      <c r="AC1801" s="75" t="str">
        <f>IF(AND(OR(LEFT(TH!N1801,2)="15",LEFT(TH!O1801,2)="15"),TK!$E$7=TH!F1801),"x","")</f>
        <v/>
      </c>
      <c r="AD1801" s="75" t="str">
        <f>IF(AND(N1801="1521",MONTH(C1801)='BK-NL'!$M$11),"x","")</f>
        <v/>
      </c>
    </row>
    <row r="1802" spans="1:31" ht="16.5" customHeight="1">
      <c r="A1802" s="309" t="str">
        <f>IF(B1802&lt;&gt;"",IF(AND(B1802='IN-TC'!$S$4,OR(TH!N1802="1111",TH!O1802="1111")),TH!D1802,""),"")</f>
        <v/>
      </c>
      <c r="B1802" s="1129">
        <f t="shared" si="476"/>
        <v>8</v>
      </c>
      <c r="C1802" s="929">
        <f t="shared" ref="C1802:C1803" si="480">E1802</f>
        <v>42948</v>
      </c>
      <c r="D1802" s="929" t="s">
        <v>2951</v>
      </c>
      <c r="E1802" s="929">
        <v>42948</v>
      </c>
      <c r="F1802" s="1082" t="s">
        <v>341</v>
      </c>
      <c r="G1802" s="931"/>
      <c r="H1802" s="735" t="s">
        <v>424</v>
      </c>
      <c r="I1802" s="371">
        <v>600</v>
      </c>
      <c r="J1802" s="377">
        <v>3200</v>
      </c>
      <c r="K1802" s="371"/>
      <c r="L1802" s="377"/>
      <c r="M1802" s="933">
        <f t="shared" ref="M1802:M1803" si="481">ROUND(I1802*J1802,0)</f>
        <v>1920000</v>
      </c>
      <c r="N1802" s="934" t="s">
        <v>272</v>
      </c>
      <c r="O1802" s="934" t="s">
        <v>266</v>
      </c>
      <c r="P1802" s="75" t="str">
        <f>IF(AND('331-CT'!$E$7=TH!H1802,OR(N1802="331",O1802="331")),"x","")</f>
        <v/>
      </c>
      <c r="Q1802" s="75" t="str">
        <f>IF(AND(B1802='111'!$L$11,OR($N1802=$Q$7,$O1802=$Q$7)),"x","")</f>
        <v/>
      </c>
      <c r="R1802" s="75" t="str">
        <f>IF(AND($N1802=$Q$7,$B1802&lt;'111'!$L$11),"x","")</f>
        <v/>
      </c>
      <c r="S1802" s="75" t="str">
        <f>IF(AND($O1802=$Q$7,$B1802&lt;'111'!$L$11),"x","")</f>
        <v/>
      </c>
      <c r="T1802" s="75" t="str">
        <f>IF(ISERROR(FIND('112'!$M$9,G1802,1)),"",IF((AND(FIND('112'!$M$9,G1802,1)&gt;=1,B1802='112'!$K$9,OR($N1802='112'!$I$6,$O1802='112'!$I$6))),"x",""))</f>
        <v/>
      </c>
      <c r="U1802" s="75" t="str">
        <f>IF(ISERROR(FIND('112'!$M$9,G1802,1)),"",IF((AND(LEFT(G1802,2)=LEFT('112'!$M$9,2),B1802&lt;'112'!$K$9,$N1802='112'!$I$6)),"x",""))</f>
        <v/>
      </c>
      <c r="V1802" s="75" t="str">
        <f>IF(ISERROR(FIND('112'!$M$9,G1802,1)),"",IF((AND(RIGHT(G1802,2)=RIGHT('112'!$M$9,2),B1802&lt;'112'!$K$9,$O1802='112'!$I$6)),"x",""))</f>
        <v/>
      </c>
      <c r="W1802" s="75" t="str">
        <f>IF(AND('341-CT'!$H$9=H1802,OR(LEFT(N1802,3)=$W$7,LEFT(O1802,3)=$W$7)),"x","")</f>
        <v/>
      </c>
      <c r="X1802" s="75" t="str">
        <f>IF(OR(TH!N1802=TH!$X$7,O1802=TH!$X$7),"x","")</f>
        <v/>
      </c>
      <c r="Y1802" s="75" t="str">
        <f>IF(AND(OR(N1802="131",O1802="131"),H1802='131-CT'!$H$9),"x","")</f>
        <v/>
      </c>
      <c r="Z1802" s="75"/>
      <c r="AA1802" s="75" t="str">
        <f>IF(AND(MONTH(E1802)='IN-NX'!$J$5,'IN-NX'!$D$7=D1802),"x","")</f>
        <v/>
      </c>
      <c r="AB1802" s="75" t="str">
        <f>IF(AND(OR(LEFT(TH!N1802,2)="15",LEFT(TH!O1802,2)="15"),LEFT(TH!O1802,3)&lt;&gt;"111",'152-CT'!$J$8=TH!F1802),"x","")</f>
        <v/>
      </c>
      <c r="AC1802" s="75" t="str">
        <f>IF(AND(OR(LEFT(TH!N1802,2)="15",LEFT(TH!O1802,2)="15"),TK!$E$7=TH!F1802),"x","")</f>
        <v/>
      </c>
      <c r="AD1802" s="75" t="str">
        <f>IF(AND(N1802="1521",MONTH(C1802)='BK-NL'!$M$11),"x","")</f>
        <v/>
      </c>
    </row>
    <row r="1803" spans="1:31" ht="16.5" customHeight="1">
      <c r="A1803" s="309" t="str">
        <f>IF(B1803&lt;&gt;"",IF(AND(B1803='IN-TC'!$S$4,OR(TH!N1803="1111",TH!O1803="1111")),TH!D1803,""),"")</f>
        <v/>
      </c>
      <c r="B1803" s="1129">
        <f t="shared" si="476"/>
        <v>8</v>
      </c>
      <c r="C1803" s="929">
        <f t="shared" si="480"/>
        <v>42948</v>
      </c>
      <c r="D1803" s="929" t="s">
        <v>2951</v>
      </c>
      <c r="E1803" s="929">
        <v>42948</v>
      </c>
      <c r="F1803" s="1082" t="s">
        <v>1257</v>
      </c>
      <c r="G1803" s="931"/>
      <c r="H1803" s="735" t="s">
        <v>424</v>
      </c>
      <c r="I1803" s="371">
        <v>2700</v>
      </c>
      <c r="J1803" s="377">
        <v>14728</v>
      </c>
      <c r="K1803" s="371"/>
      <c r="L1803" s="377"/>
      <c r="M1803" s="933">
        <f t="shared" si="481"/>
        <v>39765600</v>
      </c>
      <c r="N1803" s="934" t="s">
        <v>272</v>
      </c>
      <c r="O1803" s="934" t="s">
        <v>266</v>
      </c>
      <c r="P1803" s="75" t="str">
        <f>IF(AND('331-CT'!$E$7=TH!H1803,OR(N1803="331",O1803="331")),"x","")</f>
        <v/>
      </c>
      <c r="Q1803" s="75" t="str">
        <f>IF(AND(B1803='111'!$L$11,OR($N1803=$Q$7,$O1803=$Q$7)),"x","")</f>
        <v/>
      </c>
      <c r="R1803" s="75" t="str">
        <f>IF(AND($N1803=$Q$7,$B1803&lt;'111'!$L$11),"x","")</f>
        <v/>
      </c>
      <c r="S1803" s="75" t="str">
        <f>IF(AND($O1803=$Q$7,$B1803&lt;'111'!$L$11),"x","")</f>
        <v/>
      </c>
      <c r="T1803" s="75" t="str">
        <f>IF(ISERROR(FIND('112'!$M$9,G1803,1)),"",IF((AND(FIND('112'!$M$9,G1803,1)&gt;=1,B1803='112'!$K$9,OR($N1803='112'!$I$6,$O1803='112'!$I$6))),"x",""))</f>
        <v/>
      </c>
      <c r="U1803" s="75" t="str">
        <f>IF(ISERROR(FIND('112'!$M$9,G1803,1)),"",IF((AND(LEFT(G1803,2)=LEFT('112'!$M$9,2),B1803&lt;'112'!$K$9,$N1803='112'!$I$6)),"x",""))</f>
        <v/>
      </c>
      <c r="V1803" s="75" t="str">
        <f>IF(ISERROR(FIND('112'!$M$9,G1803,1)),"",IF((AND(RIGHT(G1803,2)=RIGHT('112'!$M$9,2),B1803&lt;'112'!$K$9,$O1803='112'!$I$6)),"x",""))</f>
        <v/>
      </c>
      <c r="W1803" s="75" t="str">
        <f>IF(AND('341-CT'!$H$9=H1803,OR(LEFT(N1803,3)=$W$7,LEFT(O1803,3)=$W$7)),"x","")</f>
        <v/>
      </c>
      <c r="X1803" s="75" t="str">
        <f>IF(OR(TH!N1803=TH!$X$7,O1803=TH!$X$7),"x","")</f>
        <v/>
      </c>
      <c r="Y1803" s="75" t="str">
        <f>IF(AND(OR(N1803="131",O1803="131"),H1803='131-CT'!$H$9),"x","")</f>
        <v/>
      </c>
      <c r="Z1803" s="75"/>
      <c r="AA1803" s="75" t="str">
        <f>IF(AND(MONTH(E1803)='IN-NX'!$J$5,'IN-NX'!$D$7=D1803),"x","")</f>
        <v/>
      </c>
      <c r="AB1803" s="75" t="str">
        <f>IF(AND(OR(LEFT(TH!N1803,2)="15",LEFT(TH!O1803,2)="15"),LEFT(TH!O1803,3)&lt;&gt;"111",'152-CT'!$J$8=TH!F1803),"x","")</f>
        <v/>
      </c>
      <c r="AC1803" s="75" t="str">
        <f>IF(AND(OR(LEFT(TH!N1803,2)="15",LEFT(TH!O1803,2)="15"),TK!$E$7=TH!F1803),"x","")</f>
        <v/>
      </c>
      <c r="AD1803" s="75" t="str">
        <f>IF(AND(N1803="1521",MONTH(C1803)='BK-NL'!$M$11),"x","")</f>
        <v/>
      </c>
    </row>
    <row r="1804" spans="1:31" ht="16.5" customHeight="1">
      <c r="A1804" s="309" t="str">
        <f>IF(B1804&lt;&gt;"",IF(AND(B1804='IN-TC'!$S$4,OR(TH!N1804="1111",TH!O1804="1111")),TH!D1804,""),"")</f>
        <v/>
      </c>
      <c r="B1804" s="1129">
        <f t="shared" ref="B1804:B1822" si="482">IF(C1804&lt;&gt;"",MONTH(C1804),"")</f>
        <v>8</v>
      </c>
      <c r="C1804" s="929">
        <f t="shared" ref="C1804:C1822" si="483">E1804</f>
        <v>42948</v>
      </c>
      <c r="D1804" s="929" t="s">
        <v>2951</v>
      </c>
      <c r="E1804" s="929">
        <v>42948</v>
      </c>
      <c r="F1804" s="1082" t="s">
        <v>346</v>
      </c>
      <c r="G1804" s="931"/>
      <c r="H1804" s="735" t="s">
        <v>424</v>
      </c>
      <c r="I1804" s="371">
        <v>200</v>
      </c>
      <c r="J1804" s="377">
        <v>8000</v>
      </c>
      <c r="K1804" s="371"/>
      <c r="L1804" s="377"/>
      <c r="M1804" s="933">
        <f t="shared" ref="M1804:M1822" si="484">ROUND(I1804*J1804,0)</f>
        <v>1600000</v>
      </c>
      <c r="N1804" s="934" t="s">
        <v>272</v>
      </c>
      <c r="O1804" s="934" t="s">
        <v>266</v>
      </c>
      <c r="P1804" s="75" t="str">
        <f>IF(AND('331-CT'!$E$7=TH!H1804,OR(N1804="331",O1804="331")),"x","")</f>
        <v/>
      </c>
      <c r="Q1804" s="75" t="str">
        <f>IF(AND(B1804='111'!$L$11,OR($N1804=$Q$7,$O1804=$Q$7)),"x","")</f>
        <v/>
      </c>
      <c r="R1804" s="75" t="str">
        <f>IF(AND($N1804=$Q$7,$B1804&lt;'111'!$L$11),"x","")</f>
        <v/>
      </c>
      <c r="S1804" s="75" t="str">
        <f>IF(AND($O1804=$Q$7,$B1804&lt;'111'!$L$11),"x","")</f>
        <v/>
      </c>
      <c r="T1804" s="75" t="str">
        <f>IF(ISERROR(FIND('112'!$M$9,G1804,1)),"",IF((AND(FIND('112'!$M$9,G1804,1)&gt;=1,B1804='112'!$K$9,OR($N1804='112'!$I$6,$O1804='112'!$I$6))),"x",""))</f>
        <v/>
      </c>
      <c r="U1804" s="75" t="str">
        <f>IF(ISERROR(FIND('112'!$M$9,G1804,1)),"",IF((AND(LEFT(G1804,2)=LEFT('112'!$M$9,2),B1804&lt;'112'!$K$9,$N1804='112'!$I$6)),"x",""))</f>
        <v/>
      </c>
      <c r="V1804" s="75" t="str">
        <f>IF(ISERROR(FIND('112'!$M$9,G1804,1)),"",IF((AND(RIGHT(G1804,2)=RIGHT('112'!$M$9,2),B1804&lt;'112'!$K$9,$O1804='112'!$I$6)),"x",""))</f>
        <v/>
      </c>
      <c r="W1804" s="75" t="str">
        <f>IF(AND('341-CT'!$H$9=H1804,OR(LEFT(N1804,3)=$W$7,LEFT(O1804,3)=$W$7)),"x","")</f>
        <v/>
      </c>
      <c r="X1804" s="75" t="str">
        <f>IF(OR(TH!N1804=TH!$X$7,O1804=TH!$X$7),"x","")</f>
        <v/>
      </c>
      <c r="Y1804" s="75" t="str">
        <f>IF(AND(OR(N1804="131",O1804="131"),H1804='131-CT'!$H$9),"x","")</f>
        <v/>
      </c>
      <c r="Z1804" s="75"/>
      <c r="AA1804" s="75" t="str">
        <f>IF(AND(MONTH(E1804)='IN-NX'!$J$5,'IN-NX'!$D$7=D1804),"x","")</f>
        <v/>
      </c>
      <c r="AB1804" s="75" t="str">
        <f>IF(AND(OR(LEFT(TH!N1804,2)="15",LEFT(TH!O1804,2)="15"),LEFT(TH!O1804,3)&lt;&gt;"111",'152-CT'!$J$8=TH!F1804),"x","")</f>
        <v/>
      </c>
      <c r="AC1804" s="75" t="str">
        <f>IF(AND(OR(LEFT(TH!N1804,2)="15",LEFT(TH!O1804,2)="15"),TK!$E$7=TH!F1804),"x","")</f>
        <v/>
      </c>
      <c r="AD1804" s="75" t="str">
        <f>IF(AND(N1804="1521",MONTH(C1804)='BK-NL'!$M$11),"x","")</f>
        <v/>
      </c>
    </row>
    <row r="1805" spans="1:31" ht="16.5" customHeight="1">
      <c r="A1805" s="309" t="str">
        <f>IF(B1805&lt;&gt;"",IF(AND(B1805='IN-TC'!$S$4,OR(TH!N1805="1111",TH!O1805="1111")),TH!D1805,""),"")</f>
        <v/>
      </c>
      <c r="B1805" s="1129">
        <f t="shared" si="482"/>
        <v>8</v>
      </c>
      <c r="C1805" s="929">
        <f t="shared" si="483"/>
        <v>42948</v>
      </c>
      <c r="D1805" s="929" t="s">
        <v>2951</v>
      </c>
      <c r="E1805" s="929">
        <v>42948</v>
      </c>
      <c r="F1805" s="1082" t="s">
        <v>795</v>
      </c>
      <c r="G1805" s="931"/>
      <c r="H1805" s="735" t="s">
        <v>424</v>
      </c>
      <c r="I1805" s="371">
        <v>12200</v>
      </c>
      <c r="J1805" s="377">
        <v>8800</v>
      </c>
      <c r="K1805" s="371"/>
      <c r="L1805" s="377"/>
      <c r="M1805" s="933">
        <f t="shared" si="484"/>
        <v>107360000</v>
      </c>
      <c r="N1805" s="934" t="s">
        <v>272</v>
      </c>
      <c r="O1805" s="934" t="s">
        <v>266</v>
      </c>
      <c r="P1805" s="75" t="str">
        <f>IF(AND('331-CT'!$E$7=TH!H1805,OR(N1805="331",O1805="331")),"x","")</f>
        <v/>
      </c>
      <c r="Q1805" s="75" t="str">
        <f>IF(AND(B1805='111'!$L$11,OR($N1805=$Q$7,$O1805=$Q$7)),"x","")</f>
        <v/>
      </c>
      <c r="R1805" s="75" t="str">
        <f>IF(AND($N1805=$Q$7,$B1805&lt;'111'!$L$11),"x","")</f>
        <v/>
      </c>
      <c r="S1805" s="75" t="str">
        <f>IF(AND($O1805=$Q$7,$B1805&lt;'111'!$L$11),"x","")</f>
        <v/>
      </c>
      <c r="T1805" s="75" t="str">
        <f>IF(ISERROR(FIND('112'!$M$9,G1805,1)),"",IF((AND(FIND('112'!$M$9,G1805,1)&gt;=1,B1805='112'!$K$9,OR($N1805='112'!$I$6,$O1805='112'!$I$6))),"x",""))</f>
        <v/>
      </c>
      <c r="U1805" s="75" t="str">
        <f>IF(ISERROR(FIND('112'!$M$9,G1805,1)),"",IF((AND(LEFT(G1805,2)=LEFT('112'!$M$9,2),B1805&lt;'112'!$K$9,$N1805='112'!$I$6)),"x",""))</f>
        <v/>
      </c>
      <c r="V1805" s="75" t="str">
        <f>IF(ISERROR(FIND('112'!$M$9,G1805,1)),"",IF((AND(RIGHT(G1805,2)=RIGHT('112'!$M$9,2),B1805&lt;'112'!$K$9,$O1805='112'!$I$6)),"x",""))</f>
        <v/>
      </c>
      <c r="W1805" s="75" t="str">
        <f>IF(AND('341-CT'!$H$9=H1805,OR(LEFT(N1805,3)=$W$7,LEFT(O1805,3)=$W$7)),"x","")</f>
        <v/>
      </c>
      <c r="X1805" s="75" t="str">
        <f>IF(OR(TH!N1805=TH!$X$7,O1805=TH!$X$7),"x","")</f>
        <v/>
      </c>
      <c r="Y1805" s="75" t="str">
        <f>IF(AND(OR(N1805="131",O1805="131"),H1805='131-CT'!$H$9),"x","")</f>
        <v/>
      </c>
      <c r="Z1805" s="75"/>
      <c r="AA1805" s="75" t="str">
        <f>IF(AND(MONTH(E1805)='IN-NX'!$J$5,'IN-NX'!$D$7=D1805),"x","")</f>
        <v/>
      </c>
      <c r="AB1805" s="75" t="str">
        <f>IF(AND(OR(LEFT(TH!N1805,2)="15",LEFT(TH!O1805,2)="15"),LEFT(TH!O1805,3)&lt;&gt;"111",'152-CT'!$J$8=TH!F1805),"x","")</f>
        <v/>
      </c>
      <c r="AC1805" s="75" t="str">
        <f>IF(AND(OR(LEFT(TH!N1805,2)="15",LEFT(TH!O1805,2)="15"),TK!$E$7=TH!F1805),"x","")</f>
        <v/>
      </c>
      <c r="AD1805" s="75" t="str">
        <f>IF(AND(N1805="1521",MONTH(C1805)='BK-NL'!$M$11),"x","")</f>
        <v/>
      </c>
    </row>
    <row r="1806" spans="1:31" ht="16.5" customHeight="1">
      <c r="A1806" s="309" t="str">
        <f>IF(B1806&lt;&gt;"",IF(AND(B1806='IN-TC'!$S$4,OR(TH!N1806="1111",TH!O1806="1111")),TH!D1806,""),"")</f>
        <v/>
      </c>
      <c r="B1806" s="1129">
        <f t="shared" si="482"/>
        <v>8</v>
      </c>
      <c r="C1806" s="929">
        <f t="shared" si="483"/>
        <v>42952</v>
      </c>
      <c r="D1806" s="929" t="s">
        <v>2951</v>
      </c>
      <c r="E1806" s="929">
        <v>42952</v>
      </c>
      <c r="F1806" s="1082" t="s">
        <v>2013</v>
      </c>
      <c r="G1806" s="931"/>
      <c r="H1806" s="735" t="s">
        <v>424</v>
      </c>
      <c r="I1806" s="371">
        <v>1465</v>
      </c>
      <c r="J1806" s="377">
        <v>11000</v>
      </c>
      <c r="K1806" s="371"/>
      <c r="L1806" s="377"/>
      <c r="M1806" s="933">
        <f t="shared" si="484"/>
        <v>16115000</v>
      </c>
      <c r="N1806" s="934" t="s">
        <v>272</v>
      </c>
      <c r="O1806" s="934" t="s">
        <v>266</v>
      </c>
      <c r="P1806" s="75" t="str">
        <f>IF(AND('331-CT'!$E$7=TH!H1806,OR(N1806="331",O1806="331")),"x","")</f>
        <v/>
      </c>
      <c r="Q1806" s="75" t="str">
        <f>IF(AND(B1806='111'!$L$11,OR($N1806=$Q$7,$O1806=$Q$7)),"x","")</f>
        <v/>
      </c>
      <c r="R1806" s="75" t="str">
        <f>IF(AND($N1806=$Q$7,$B1806&lt;'111'!$L$11),"x","")</f>
        <v/>
      </c>
      <c r="S1806" s="75" t="str">
        <f>IF(AND($O1806=$Q$7,$B1806&lt;'111'!$L$11),"x","")</f>
        <v/>
      </c>
      <c r="T1806" s="75" t="str">
        <f>IF(ISERROR(FIND('112'!$M$9,G1806,1)),"",IF((AND(FIND('112'!$M$9,G1806,1)&gt;=1,B1806='112'!$K$9,OR($N1806='112'!$I$6,$O1806='112'!$I$6))),"x",""))</f>
        <v/>
      </c>
      <c r="U1806" s="75" t="str">
        <f>IF(ISERROR(FIND('112'!$M$9,G1806,1)),"",IF((AND(LEFT(G1806,2)=LEFT('112'!$M$9,2),B1806&lt;'112'!$K$9,$N1806='112'!$I$6)),"x",""))</f>
        <v/>
      </c>
      <c r="V1806" s="75" t="str">
        <f>IF(ISERROR(FIND('112'!$M$9,G1806,1)),"",IF((AND(RIGHT(G1806,2)=RIGHT('112'!$M$9,2),B1806&lt;'112'!$K$9,$O1806='112'!$I$6)),"x",""))</f>
        <v/>
      </c>
      <c r="W1806" s="75" t="str">
        <f>IF(AND('341-CT'!$H$9=H1806,OR(LEFT(N1806,3)=$W$7,LEFT(O1806,3)=$W$7)),"x","")</f>
        <v/>
      </c>
      <c r="X1806" s="75" t="str">
        <f>IF(OR(TH!N1806=TH!$X$7,O1806=TH!$X$7),"x","")</f>
        <v/>
      </c>
      <c r="Y1806" s="75" t="str">
        <f>IF(AND(OR(N1806="131",O1806="131"),H1806='131-CT'!$H$9),"x","")</f>
        <v/>
      </c>
      <c r="Z1806" s="75"/>
      <c r="AA1806" s="75" t="str">
        <f>IF(AND(MONTH(E1806)='IN-NX'!$J$5,'IN-NX'!$D$7=D1806),"x","")</f>
        <v/>
      </c>
      <c r="AB1806" s="75" t="str">
        <f>IF(AND(OR(LEFT(TH!N1806,2)="15",LEFT(TH!O1806,2)="15"),LEFT(TH!O1806,3)&lt;&gt;"111",'152-CT'!$J$8=TH!F1806),"x","")</f>
        <v/>
      </c>
      <c r="AC1806" s="75" t="str">
        <f>IF(AND(OR(LEFT(TH!N1806,2)="15",LEFT(TH!O1806,2)="15"),TK!$E$7=TH!F1806),"x","")</f>
        <v/>
      </c>
      <c r="AD1806" s="75" t="str">
        <f>IF(AND(N1806="1521",MONTH(C1806)='BK-NL'!$M$11),"x","")</f>
        <v/>
      </c>
    </row>
    <row r="1807" spans="1:31" ht="16.5" customHeight="1">
      <c r="A1807" s="309" t="str">
        <f>IF(B1807&lt;&gt;"",IF(AND(B1807='IN-TC'!$S$4,OR(TH!N1807="1111",TH!O1807="1111")),TH!D1807,""),"")</f>
        <v/>
      </c>
      <c r="B1807" s="1129">
        <f t="shared" si="482"/>
        <v>8</v>
      </c>
      <c r="C1807" s="929">
        <f t="shared" si="483"/>
        <v>42956</v>
      </c>
      <c r="D1807" s="929" t="s">
        <v>2951</v>
      </c>
      <c r="E1807" s="929">
        <v>42956</v>
      </c>
      <c r="F1807" s="1082" t="s">
        <v>371</v>
      </c>
      <c r="G1807" s="931"/>
      <c r="H1807" s="735" t="s">
        <v>424</v>
      </c>
      <c r="I1807" s="371">
        <v>1057</v>
      </c>
      <c r="J1807" s="377">
        <v>13500</v>
      </c>
      <c r="K1807" s="371"/>
      <c r="L1807" s="377"/>
      <c r="M1807" s="933">
        <f t="shared" si="484"/>
        <v>14269500</v>
      </c>
      <c r="N1807" s="934" t="s">
        <v>272</v>
      </c>
      <c r="O1807" s="934" t="s">
        <v>266</v>
      </c>
      <c r="P1807" s="75" t="str">
        <f>IF(AND('331-CT'!$E$7=TH!H1807,OR(N1807="331",O1807="331")),"x","")</f>
        <v/>
      </c>
      <c r="Q1807" s="75" t="str">
        <f>IF(AND(B1807='111'!$L$11,OR($N1807=$Q$7,$O1807=$Q$7)),"x","")</f>
        <v/>
      </c>
      <c r="R1807" s="75" t="str">
        <f>IF(AND($N1807=$Q$7,$B1807&lt;'111'!$L$11),"x","")</f>
        <v/>
      </c>
      <c r="S1807" s="75" t="str">
        <f>IF(AND($O1807=$Q$7,$B1807&lt;'111'!$L$11),"x","")</f>
        <v/>
      </c>
      <c r="T1807" s="75" t="str">
        <f>IF(ISERROR(FIND('112'!$M$9,G1807,1)),"",IF((AND(FIND('112'!$M$9,G1807,1)&gt;=1,B1807='112'!$K$9,OR($N1807='112'!$I$6,$O1807='112'!$I$6))),"x",""))</f>
        <v/>
      </c>
      <c r="U1807" s="75" t="str">
        <f>IF(ISERROR(FIND('112'!$M$9,G1807,1)),"",IF((AND(LEFT(G1807,2)=LEFT('112'!$M$9,2),B1807&lt;'112'!$K$9,$N1807='112'!$I$6)),"x",""))</f>
        <v/>
      </c>
      <c r="V1807" s="75" t="str">
        <f>IF(ISERROR(FIND('112'!$M$9,G1807,1)),"",IF((AND(RIGHT(G1807,2)=RIGHT('112'!$M$9,2),B1807&lt;'112'!$K$9,$O1807='112'!$I$6)),"x",""))</f>
        <v/>
      </c>
      <c r="W1807" s="75" t="str">
        <f>IF(AND('341-CT'!$H$9=H1807,OR(LEFT(N1807,3)=$W$7,LEFT(O1807,3)=$W$7)),"x","")</f>
        <v/>
      </c>
      <c r="X1807" s="75" t="str">
        <f>IF(OR(TH!N1807=TH!$X$7,O1807=TH!$X$7),"x","")</f>
        <v/>
      </c>
      <c r="Y1807" s="75" t="str">
        <f>IF(AND(OR(N1807="131",O1807="131"),H1807='131-CT'!$H$9),"x","")</f>
        <v/>
      </c>
      <c r="Z1807" s="75"/>
      <c r="AA1807" s="75" t="str">
        <f>IF(AND(MONTH(E1807)='IN-NX'!$J$5,'IN-NX'!$D$7=D1807),"x","")</f>
        <v/>
      </c>
      <c r="AB1807" s="75" t="str">
        <f>IF(AND(OR(LEFT(TH!N1807,2)="15",LEFT(TH!O1807,2)="15"),LEFT(TH!O1807,3)&lt;&gt;"111",'152-CT'!$J$8=TH!F1807),"x","")</f>
        <v/>
      </c>
      <c r="AC1807" s="75" t="str">
        <f>IF(AND(OR(LEFT(TH!N1807,2)="15",LEFT(TH!O1807,2)="15"),TK!$E$7=TH!F1807),"x","")</f>
        <v/>
      </c>
      <c r="AD1807" s="75" t="str">
        <f>IF(AND(N1807="1521",MONTH(C1807)='BK-NL'!$M$11),"x","")</f>
        <v/>
      </c>
    </row>
    <row r="1808" spans="1:31" ht="16.5" customHeight="1">
      <c r="A1808" s="309" t="str">
        <f>IF(B1808&lt;&gt;"",IF(AND(B1808='IN-TC'!$S$4,OR(TH!N1808="1111",TH!O1808="1111")),TH!D1808,""),"")</f>
        <v/>
      </c>
      <c r="B1808" s="1243">
        <f t="shared" si="482"/>
        <v>8</v>
      </c>
      <c r="C1808" s="292">
        <f t="shared" si="483"/>
        <v>42948</v>
      </c>
      <c r="D1808" s="292" t="s">
        <v>2957</v>
      </c>
      <c r="E1808" s="292">
        <v>42948</v>
      </c>
      <c r="F1808" s="425" t="s">
        <v>566</v>
      </c>
      <c r="G1808" s="925"/>
      <c r="H1808" s="429" t="s">
        <v>414</v>
      </c>
      <c r="I1808" s="373">
        <v>22430</v>
      </c>
      <c r="J1808" s="379">
        <v>18200</v>
      </c>
      <c r="K1808" s="373"/>
      <c r="L1808" s="379"/>
      <c r="M1808" s="927">
        <f t="shared" si="484"/>
        <v>408226000</v>
      </c>
      <c r="N1808" s="295" t="s">
        <v>264</v>
      </c>
      <c r="O1808" s="295" t="s">
        <v>8</v>
      </c>
      <c r="P1808" s="75" t="str">
        <f>IF(AND('331-CT'!$E$7=TH!H1808,OR(N1808="331",O1808="331")),"x","")</f>
        <v/>
      </c>
      <c r="Q1808" s="75" t="str">
        <f>IF(AND(B1808='111'!$L$11,OR($N1808=$Q$7,$O1808=$Q$7)),"x","")</f>
        <v/>
      </c>
      <c r="R1808" s="75" t="str">
        <f>IF(AND($N1808=$Q$7,$B1808&lt;'111'!$L$11),"x","")</f>
        <v/>
      </c>
      <c r="S1808" s="75" t="str">
        <f>IF(AND($O1808=$Q$7,$B1808&lt;'111'!$L$11),"x","")</f>
        <v/>
      </c>
      <c r="T1808" s="75" t="str">
        <f>IF(ISERROR(FIND('112'!$M$9,G1808,1)),"",IF((AND(FIND('112'!$M$9,G1808,1)&gt;=1,B1808='112'!$K$9,OR($N1808='112'!$I$6,$O1808='112'!$I$6))),"x",""))</f>
        <v/>
      </c>
      <c r="U1808" s="75" t="str">
        <f>IF(ISERROR(FIND('112'!$M$9,G1808,1)),"",IF((AND(LEFT(G1808,2)=LEFT('112'!$M$9,2),B1808&lt;'112'!$K$9,$N1808='112'!$I$6)),"x",""))</f>
        <v/>
      </c>
      <c r="V1808" s="75" t="str">
        <f>IF(ISERROR(FIND('112'!$M$9,G1808,1)),"",IF((AND(RIGHT(G1808,2)=RIGHT('112'!$M$9,2),B1808&lt;'112'!$K$9,$O1808='112'!$I$6)),"x",""))</f>
        <v/>
      </c>
      <c r="W1808" s="75" t="str">
        <f>IF(AND('341-CT'!$H$9=H1808,OR(LEFT(N1808,3)=$W$7,LEFT(O1808,3)=$W$7)),"x","")</f>
        <v/>
      </c>
      <c r="X1808" s="75" t="str">
        <f>IF(OR(TH!N1808=TH!$X$7,O1808=TH!$X$7),"x","")</f>
        <v/>
      </c>
      <c r="Y1808" s="75" t="str">
        <f>IF(AND(OR(N1808="131",O1808="131"),H1808='131-CT'!$H$9),"x","")</f>
        <v/>
      </c>
      <c r="Z1808" s="75"/>
      <c r="AA1808" s="75" t="str">
        <f>IF(AND(MONTH(E1808)='IN-NX'!$J$5,'IN-NX'!$D$7=D1808),"x","")</f>
        <v/>
      </c>
      <c r="AB1808" s="75" t="str">
        <f>IF(AND(OR(LEFT(TH!N1808,2)="15",LEFT(TH!O1808,2)="15"),LEFT(TH!O1808,3)&lt;&gt;"111",'152-CT'!$J$8=TH!F1808),"x","")</f>
        <v/>
      </c>
      <c r="AC1808" s="75" t="str">
        <f>IF(AND(OR(LEFT(TH!N1808,2)="15",LEFT(TH!O1808,2)="15"),TK!$E$7=TH!F1808),"x","")</f>
        <v/>
      </c>
      <c r="AD1808" s="75" t="str">
        <f>IF(AND(N1808="1521",MONTH(C1808)='BK-NL'!$M$11),"x","")</f>
        <v/>
      </c>
    </row>
    <row r="1809" spans="1:30" ht="16.5" customHeight="1">
      <c r="A1809" s="309" t="str">
        <f>IF(B1809&lt;&gt;"",IF(AND(B1809='IN-TC'!$S$4,OR(TH!N1809="1111",TH!O1809="1111")),TH!D1809,""),"")</f>
        <v/>
      </c>
      <c r="B1809" s="1243">
        <f t="shared" si="482"/>
        <v>8</v>
      </c>
      <c r="C1809" s="292">
        <f t="shared" si="483"/>
        <v>42948</v>
      </c>
      <c r="D1809" s="292" t="s">
        <v>2958</v>
      </c>
      <c r="E1809" s="292">
        <v>42948</v>
      </c>
      <c r="F1809" s="425" t="s">
        <v>566</v>
      </c>
      <c r="G1809" s="925"/>
      <c r="H1809" s="429" t="s">
        <v>415</v>
      </c>
      <c r="I1809" s="373">
        <v>21450</v>
      </c>
      <c r="J1809" s="379">
        <v>18200</v>
      </c>
      <c r="K1809" s="373"/>
      <c r="L1809" s="379"/>
      <c r="M1809" s="927">
        <f t="shared" si="484"/>
        <v>390390000</v>
      </c>
      <c r="N1809" s="295" t="s">
        <v>264</v>
      </c>
      <c r="O1809" s="295" t="s">
        <v>8</v>
      </c>
      <c r="P1809" s="75" t="str">
        <f>IF(AND('331-CT'!$E$7=TH!H1809,OR(N1809="331",O1809="331")),"x","")</f>
        <v/>
      </c>
      <c r="Q1809" s="75" t="str">
        <f>IF(AND(B1809='111'!$L$11,OR($N1809=$Q$7,$O1809=$Q$7)),"x","")</f>
        <v/>
      </c>
      <c r="R1809" s="75" t="str">
        <f>IF(AND($N1809=$Q$7,$B1809&lt;'111'!$L$11),"x","")</f>
        <v/>
      </c>
      <c r="S1809" s="75" t="str">
        <f>IF(AND($O1809=$Q$7,$B1809&lt;'111'!$L$11),"x","")</f>
        <v/>
      </c>
      <c r="T1809" s="75" t="str">
        <f>IF(ISERROR(FIND('112'!$M$9,G1809,1)),"",IF((AND(FIND('112'!$M$9,G1809,1)&gt;=1,B1809='112'!$K$9,OR($N1809='112'!$I$6,$O1809='112'!$I$6))),"x",""))</f>
        <v/>
      </c>
      <c r="U1809" s="75" t="str">
        <f>IF(ISERROR(FIND('112'!$M$9,G1809,1)),"",IF((AND(LEFT(G1809,2)=LEFT('112'!$M$9,2),B1809&lt;'112'!$K$9,$N1809='112'!$I$6)),"x",""))</f>
        <v/>
      </c>
      <c r="V1809" s="75" t="str">
        <f>IF(ISERROR(FIND('112'!$M$9,G1809,1)),"",IF((AND(RIGHT(G1809,2)=RIGHT('112'!$M$9,2),B1809&lt;'112'!$K$9,$O1809='112'!$I$6)),"x",""))</f>
        <v/>
      </c>
      <c r="W1809" s="75" t="str">
        <f>IF(AND('341-CT'!$H$9=H1809,OR(LEFT(N1809,3)=$W$7,LEFT(O1809,3)=$W$7)),"x","")</f>
        <v/>
      </c>
      <c r="X1809" s="75" t="str">
        <f>IF(OR(TH!N1809=TH!$X$7,O1809=TH!$X$7),"x","")</f>
        <v/>
      </c>
      <c r="Y1809" s="75" t="str">
        <f>IF(AND(OR(N1809="131",O1809="131"),H1809='131-CT'!$H$9),"x","")</f>
        <v/>
      </c>
      <c r="Z1809" s="75"/>
      <c r="AA1809" s="75" t="str">
        <f>IF(AND(MONTH(E1809)='IN-NX'!$J$5,'IN-NX'!$D$7=D1809),"x","")</f>
        <v/>
      </c>
      <c r="AB1809" s="75" t="str">
        <f>IF(AND(OR(LEFT(TH!N1809,2)="15",LEFT(TH!O1809,2)="15"),LEFT(TH!O1809,3)&lt;&gt;"111",'152-CT'!$J$8=TH!F1809),"x","")</f>
        <v/>
      </c>
      <c r="AC1809" s="75" t="str">
        <f>IF(AND(OR(LEFT(TH!N1809,2)="15",LEFT(TH!O1809,2)="15"),TK!$E$7=TH!F1809),"x","")</f>
        <v/>
      </c>
      <c r="AD1809" s="75" t="str">
        <f>IF(AND(N1809="1521",MONTH(C1809)='BK-NL'!$M$11),"x","")</f>
        <v/>
      </c>
    </row>
    <row r="1810" spans="1:30" ht="16.5" customHeight="1">
      <c r="A1810" s="309" t="str">
        <f>IF(B1810&lt;&gt;"",IF(AND(B1810='IN-TC'!$S$4,OR(TH!N1810="1111",TH!O1810="1111")),TH!D1810,""),"")</f>
        <v/>
      </c>
      <c r="B1810" s="1243">
        <f t="shared" si="482"/>
        <v>8</v>
      </c>
      <c r="C1810" s="292">
        <f t="shared" si="483"/>
        <v>42948</v>
      </c>
      <c r="D1810" s="292" t="s">
        <v>2959</v>
      </c>
      <c r="E1810" s="292">
        <v>42948</v>
      </c>
      <c r="F1810" s="425" t="s">
        <v>566</v>
      </c>
      <c r="G1810" s="925"/>
      <c r="H1810" s="429" t="s">
        <v>768</v>
      </c>
      <c r="I1810" s="373">
        <v>23410</v>
      </c>
      <c r="J1810" s="379">
        <v>18200</v>
      </c>
      <c r="K1810" s="373"/>
      <c r="L1810" s="379"/>
      <c r="M1810" s="927">
        <f t="shared" si="484"/>
        <v>426062000</v>
      </c>
      <c r="N1810" s="295" t="s">
        <v>264</v>
      </c>
      <c r="O1810" s="295" t="s">
        <v>8</v>
      </c>
      <c r="P1810" s="75" t="str">
        <f>IF(AND('331-CT'!$E$7=TH!H1810,OR(N1810="331",O1810="331")),"x","")</f>
        <v/>
      </c>
      <c r="Q1810" s="75" t="str">
        <f>IF(AND(B1810='111'!$L$11,OR($N1810=$Q$7,$O1810=$Q$7)),"x","")</f>
        <v/>
      </c>
      <c r="R1810" s="75" t="str">
        <f>IF(AND($N1810=$Q$7,$B1810&lt;'111'!$L$11),"x","")</f>
        <v/>
      </c>
      <c r="S1810" s="75" t="str">
        <f>IF(AND($O1810=$Q$7,$B1810&lt;'111'!$L$11),"x","")</f>
        <v/>
      </c>
      <c r="T1810" s="75" t="str">
        <f>IF(ISERROR(FIND('112'!$M$9,G1810,1)),"",IF((AND(FIND('112'!$M$9,G1810,1)&gt;=1,B1810='112'!$K$9,OR($N1810='112'!$I$6,$O1810='112'!$I$6))),"x",""))</f>
        <v/>
      </c>
      <c r="U1810" s="75" t="str">
        <f>IF(ISERROR(FIND('112'!$M$9,G1810,1)),"",IF((AND(LEFT(G1810,2)=LEFT('112'!$M$9,2),B1810&lt;'112'!$K$9,$N1810='112'!$I$6)),"x",""))</f>
        <v/>
      </c>
      <c r="V1810" s="75" t="str">
        <f>IF(ISERROR(FIND('112'!$M$9,G1810,1)),"",IF((AND(RIGHT(G1810,2)=RIGHT('112'!$M$9,2),B1810&lt;'112'!$K$9,$O1810='112'!$I$6)),"x",""))</f>
        <v/>
      </c>
      <c r="W1810" s="75" t="str">
        <f>IF(AND('341-CT'!$H$9=H1810,OR(LEFT(N1810,3)=$W$7,LEFT(O1810,3)=$W$7)),"x","")</f>
        <v/>
      </c>
      <c r="X1810" s="75" t="str">
        <f>IF(OR(TH!N1810=TH!$X$7,O1810=TH!$X$7),"x","")</f>
        <v/>
      </c>
      <c r="Y1810" s="75" t="str">
        <f>IF(AND(OR(N1810="131",O1810="131"),H1810='131-CT'!$H$9),"x","")</f>
        <v/>
      </c>
      <c r="Z1810" s="75"/>
      <c r="AA1810" s="75" t="str">
        <f>IF(AND(MONTH(E1810)='IN-NX'!$J$5,'IN-NX'!$D$7=D1810),"x","")</f>
        <v/>
      </c>
      <c r="AB1810" s="75" t="str">
        <f>IF(AND(OR(LEFT(TH!N1810,2)="15",LEFT(TH!O1810,2)="15"),LEFT(TH!O1810,3)&lt;&gt;"111",'152-CT'!$J$8=TH!F1810),"x","")</f>
        <v/>
      </c>
      <c r="AC1810" s="75" t="str">
        <f>IF(AND(OR(LEFT(TH!N1810,2)="15",LEFT(TH!O1810,2)="15"),TK!$E$7=TH!F1810),"x","")</f>
        <v/>
      </c>
      <c r="AD1810" s="75" t="str">
        <f>IF(AND(N1810="1521",MONTH(C1810)='BK-NL'!$M$11),"x","")</f>
        <v/>
      </c>
    </row>
    <row r="1811" spans="1:30" ht="16.5" customHeight="1">
      <c r="A1811" s="309" t="str">
        <f>IF(B1811&lt;&gt;"",IF(AND(B1811='IN-TC'!$S$4,OR(TH!N1811="1111",TH!O1811="1111")),TH!D1811,""),"")</f>
        <v/>
      </c>
      <c r="B1811" s="1243">
        <f t="shared" si="482"/>
        <v>8</v>
      </c>
      <c r="C1811" s="292">
        <f t="shared" si="483"/>
        <v>42954</v>
      </c>
      <c r="D1811" s="292" t="s">
        <v>2960</v>
      </c>
      <c r="E1811" s="292">
        <v>42954</v>
      </c>
      <c r="F1811" s="425" t="s">
        <v>566</v>
      </c>
      <c r="G1811" s="925"/>
      <c r="H1811" s="435" t="s">
        <v>769</v>
      </c>
      <c r="I1811" s="373">
        <v>23510</v>
      </c>
      <c r="J1811" s="379">
        <v>18200</v>
      </c>
      <c r="K1811" s="373"/>
      <c r="L1811" s="379"/>
      <c r="M1811" s="927">
        <f t="shared" si="484"/>
        <v>427882000</v>
      </c>
      <c r="N1811" s="295" t="s">
        <v>264</v>
      </c>
      <c r="O1811" s="295" t="s">
        <v>8</v>
      </c>
      <c r="P1811" s="75" t="str">
        <f>IF(AND('331-CT'!$E$7=TH!H1811,OR(N1811="331",O1811="331")),"x","")</f>
        <v/>
      </c>
      <c r="Q1811" s="75" t="str">
        <f>IF(AND(B1811='111'!$L$11,OR($N1811=$Q$7,$O1811=$Q$7)),"x","")</f>
        <v/>
      </c>
      <c r="R1811" s="75" t="str">
        <f>IF(AND($N1811=$Q$7,$B1811&lt;'111'!$L$11),"x","")</f>
        <v/>
      </c>
      <c r="S1811" s="75" t="str">
        <f>IF(AND($O1811=$Q$7,$B1811&lt;'111'!$L$11),"x","")</f>
        <v/>
      </c>
      <c r="T1811" s="75" t="str">
        <f>IF(ISERROR(FIND('112'!$M$9,G1811,1)),"",IF((AND(FIND('112'!$M$9,G1811,1)&gt;=1,B1811='112'!$K$9,OR($N1811='112'!$I$6,$O1811='112'!$I$6))),"x",""))</f>
        <v/>
      </c>
      <c r="U1811" s="75" t="str">
        <f>IF(ISERROR(FIND('112'!$M$9,G1811,1)),"",IF((AND(LEFT(G1811,2)=LEFT('112'!$M$9,2),B1811&lt;'112'!$K$9,$N1811='112'!$I$6)),"x",""))</f>
        <v/>
      </c>
      <c r="V1811" s="75" t="str">
        <f>IF(ISERROR(FIND('112'!$M$9,G1811,1)),"",IF((AND(RIGHT(G1811,2)=RIGHT('112'!$M$9,2),B1811&lt;'112'!$K$9,$O1811='112'!$I$6)),"x",""))</f>
        <v/>
      </c>
      <c r="W1811" s="75" t="str">
        <f>IF(AND('341-CT'!$H$9=H1811,OR(LEFT(N1811,3)=$W$7,LEFT(O1811,3)=$W$7)),"x","")</f>
        <v/>
      </c>
      <c r="X1811" s="75" t="str">
        <f>IF(OR(TH!N1811=TH!$X$7,O1811=TH!$X$7),"x","")</f>
        <v/>
      </c>
      <c r="Y1811" s="75" t="str">
        <f>IF(AND(OR(N1811="131",O1811="131"),H1811='131-CT'!$H$9),"x","")</f>
        <v/>
      </c>
      <c r="Z1811" s="75"/>
      <c r="AA1811" s="75" t="str">
        <f>IF(AND(MONTH(E1811)='IN-NX'!$J$5,'IN-NX'!$D$7=D1811),"x","")</f>
        <v/>
      </c>
      <c r="AB1811" s="75" t="str">
        <f>IF(AND(OR(LEFT(TH!N1811,2)="15",LEFT(TH!O1811,2)="15"),LEFT(TH!O1811,3)&lt;&gt;"111",'152-CT'!$J$8=TH!F1811),"x","")</f>
        <v/>
      </c>
      <c r="AC1811" s="75" t="str">
        <f>IF(AND(OR(LEFT(TH!N1811,2)="15",LEFT(TH!O1811,2)="15"),TK!$E$7=TH!F1811),"x","")</f>
        <v/>
      </c>
      <c r="AD1811" s="75" t="str">
        <f>IF(AND(N1811="1521",MONTH(C1811)='BK-NL'!$M$11),"x","")</f>
        <v/>
      </c>
    </row>
    <row r="1812" spans="1:30" ht="16.5" customHeight="1">
      <c r="A1812" s="309" t="str">
        <f>IF(B1812&lt;&gt;"",IF(AND(B1812='IN-TC'!$S$4,OR(TH!N1812="1111",TH!O1812="1111")),TH!D1812,""),"")</f>
        <v/>
      </c>
      <c r="B1812" s="1243">
        <f t="shared" si="482"/>
        <v>8</v>
      </c>
      <c r="C1812" s="292">
        <f t="shared" si="483"/>
        <v>42954</v>
      </c>
      <c r="D1812" s="292" t="s">
        <v>2961</v>
      </c>
      <c r="E1812" s="292">
        <v>42954</v>
      </c>
      <c r="F1812" s="425" t="s">
        <v>566</v>
      </c>
      <c r="G1812" s="925"/>
      <c r="H1812" s="429" t="s">
        <v>415</v>
      </c>
      <c r="I1812" s="373">
        <v>24103</v>
      </c>
      <c r="J1812" s="379">
        <v>18200</v>
      </c>
      <c r="K1812" s="373"/>
      <c r="L1812" s="379"/>
      <c r="M1812" s="927">
        <f t="shared" si="484"/>
        <v>438674600</v>
      </c>
      <c r="N1812" s="295" t="s">
        <v>264</v>
      </c>
      <c r="O1812" s="295" t="s">
        <v>8</v>
      </c>
      <c r="P1812" s="75" t="str">
        <f>IF(AND('331-CT'!$E$7=TH!H1812,OR(N1812="331",O1812="331")),"x","")</f>
        <v/>
      </c>
      <c r="Q1812" s="75" t="str">
        <f>IF(AND(B1812='111'!$L$11,OR($N1812=$Q$7,$O1812=$Q$7)),"x","")</f>
        <v/>
      </c>
      <c r="R1812" s="75" t="str">
        <f>IF(AND($N1812=$Q$7,$B1812&lt;'111'!$L$11),"x","")</f>
        <v/>
      </c>
      <c r="S1812" s="75" t="str">
        <f>IF(AND($O1812=$Q$7,$B1812&lt;'111'!$L$11),"x","")</f>
        <v/>
      </c>
      <c r="T1812" s="75" t="str">
        <f>IF(ISERROR(FIND('112'!$M$9,G1812,1)),"",IF((AND(FIND('112'!$M$9,G1812,1)&gt;=1,B1812='112'!$K$9,OR($N1812='112'!$I$6,$O1812='112'!$I$6))),"x",""))</f>
        <v/>
      </c>
      <c r="U1812" s="75" t="str">
        <f>IF(ISERROR(FIND('112'!$M$9,G1812,1)),"",IF((AND(LEFT(G1812,2)=LEFT('112'!$M$9,2),B1812&lt;'112'!$K$9,$N1812='112'!$I$6)),"x",""))</f>
        <v/>
      </c>
      <c r="V1812" s="75" t="str">
        <f>IF(ISERROR(FIND('112'!$M$9,G1812,1)),"",IF((AND(RIGHT(G1812,2)=RIGHT('112'!$M$9,2),B1812&lt;'112'!$K$9,$O1812='112'!$I$6)),"x",""))</f>
        <v/>
      </c>
      <c r="W1812" s="75" t="str">
        <f>IF(AND('341-CT'!$H$9=H1812,OR(LEFT(N1812,3)=$W$7,LEFT(O1812,3)=$W$7)),"x","")</f>
        <v/>
      </c>
      <c r="X1812" s="75" t="str">
        <f>IF(OR(TH!N1812=TH!$X$7,O1812=TH!$X$7),"x","")</f>
        <v/>
      </c>
      <c r="Y1812" s="75" t="str">
        <f>IF(AND(OR(N1812="131",O1812="131"),H1812='131-CT'!$H$9),"x","")</f>
        <v/>
      </c>
      <c r="Z1812" s="75"/>
      <c r="AA1812" s="75" t="str">
        <f>IF(AND(MONTH(E1812)='IN-NX'!$J$5,'IN-NX'!$D$7=D1812),"x","")</f>
        <v/>
      </c>
      <c r="AB1812" s="75" t="str">
        <f>IF(AND(OR(LEFT(TH!N1812,2)="15",LEFT(TH!O1812,2)="15"),LEFT(TH!O1812,3)&lt;&gt;"111",'152-CT'!$J$8=TH!F1812),"x","")</f>
        <v/>
      </c>
      <c r="AC1812" s="75" t="str">
        <f>IF(AND(OR(LEFT(TH!N1812,2)="15",LEFT(TH!O1812,2)="15"),TK!$E$7=TH!F1812),"x","")</f>
        <v/>
      </c>
      <c r="AD1812" s="75" t="str">
        <f>IF(AND(N1812="1521",MONTH(C1812)='BK-NL'!$M$11),"x","")</f>
        <v/>
      </c>
    </row>
    <row r="1813" spans="1:30" ht="16.5" customHeight="1">
      <c r="A1813" s="309" t="str">
        <f>IF(B1813&lt;&gt;"",IF(AND(B1813='IN-TC'!$S$4,OR(TH!N1813="1111",TH!O1813="1111")),TH!D1813,""),"")</f>
        <v/>
      </c>
      <c r="B1813" s="1243">
        <f t="shared" si="482"/>
        <v>8</v>
      </c>
      <c r="C1813" s="292">
        <f t="shared" si="483"/>
        <v>42954</v>
      </c>
      <c r="D1813" s="292" t="s">
        <v>2962</v>
      </c>
      <c r="E1813" s="292">
        <v>42954</v>
      </c>
      <c r="F1813" s="425" t="s">
        <v>566</v>
      </c>
      <c r="G1813" s="925"/>
      <c r="H1813" s="429" t="s">
        <v>768</v>
      </c>
      <c r="I1813" s="373">
        <v>24310</v>
      </c>
      <c r="J1813" s="379">
        <v>18200</v>
      </c>
      <c r="K1813" s="373"/>
      <c r="L1813" s="379"/>
      <c r="M1813" s="927">
        <f t="shared" si="484"/>
        <v>442442000</v>
      </c>
      <c r="N1813" s="295" t="s">
        <v>264</v>
      </c>
      <c r="O1813" s="295" t="s">
        <v>8</v>
      </c>
      <c r="P1813" s="75" t="str">
        <f>IF(AND('331-CT'!$E$7=TH!H1813,OR(N1813="331",O1813="331")),"x","")</f>
        <v/>
      </c>
      <c r="Q1813" s="75" t="str">
        <f>IF(AND(B1813='111'!$L$11,OR($N1813=$Q$7,$O1813=$Q$7)),"x","")</f>
        <v/>
      </c>
      <c r="R1813" s="75" t="str">
        <f>IF(AND($N1813=$Q$7,$B1813&lt;'111'!$L$11),"x","")</f>
        <v/>
      </c>
      <c r="S1813" s="75" t="str">
        <f>IF(AND($O1813=$Q$7,$B1813&lt;'111'!$L$11),"x","")</f>
        <v/>
      </c>
      <c r="T1813" s="75" t="str">
        <f>IF(ISERROR(FIND('112'!$M$9,G1813,1)),"",IF((AND(FIND('112'!$M$9,G1813,1)&gt;=1,B1813='112'!$K$9,OR($N1813='112'!$I$6,$O1813='112'!$I$6))),"x",""))</f>
        <v/>
      </c>
      <c r="U1813" s="75" t="str">
        <f>IF(ISERROR(FIND('112'!$M$9,G1813,1)),"",IF((AND(LEFT(G1813,2)=LEFT('112'!$M$9,2),B1813&lt;'112'!$K$9,$N1813='112'!$I$6)),"x",""))</f>
        <v/>
      </c>
      <c r="V1813" s="75" t="str">
        <f>IF(ISERROR(FIND('112'!$M$9,G1813,1)),"",IF((AND(RIGHT(G1813,2)=RIGHT('112'!$M$9,2),B1813&lt;'112'!$K$9,$O1813='112'!$I$6)),"x",""))</f>
        <v/>
      </c>
      <c r="W1813" s="75" t="str">
        <f>IF(AND('341-CT'!$H$9=H1813,OR(LEFT(N1813,3)=$W$7,LEFT(O1813,3)=$W$7)),"x","")</f>
        <v/>
      </c>
      <c r="X1813" s="75" t="str">
        <f>IF(OR(TH!N1813=TH!$X$7,O1813=TH!$X$7),"x","")</f>
        <v/>
      </c>
      <c r="Y1813" s="75" t="str">
        <f>IF(AND(OR(N1813="131",O1813="131"),H1813='131-CT'!$H$9),"x","")</f>
        <v/>
      </c>
      <c r="Z1813" s="75"/>
      <c r="AA1813" s="75" t="str">
        <f>IF(AND(MONTH(E1813)='IN-NX'!$J$5,'IN-NX'!$D$7=D1813),"x","")</f>
        <v/>
      </c>
      <c r="AB1813" s="75" t="str">
        <f>IF(AND(OR(LEFT(TH!N1813,2)="15",LEFT(TH!O1813,2)="15"),LEFT(TH!O1813,3)&lt;&gt;"111",'152-CT'!$J$8=TH!F1813),"x","")</f>
        <v/>
      </c>
      <c r="AC1813" s="75" t="str">
        <f>IF(AND(OR(LEFT(TH!N1813,2)="15",LEFT(TH!O1813,2)="15"),TK!$E$7=TH!F1813),"x","")</f>
        <v/>
      </c>
      <c r="AD1813" s="75" t="str">
        <f>IF(AND(N1813="1521",MONTH(C1813)='BK-NL'!$M$11),"x","")</f>
        <v/>
      </c>
    </row>
    <row r="1814" spans="1:30" ht="16.5" customHeight="1">
      <c r="A1814" s="309" t="str">
        <f>IF(B1814&lt;&gt;"",IF(AND(B1814='IN-TC'!$S$4,OR(TH!N1814="1111",TH!O1814="1111")),TH!D1814,""),"")</f>
        <v/>
      </c>
      <c r="B1814" s="1243">
        <f t="shared" si="482"/>
        <v>8</v>
      </c>
      <c r="C1814" s="292">
        <f t="shared" si="483"/>
        <v>42960</v>
      </c>
      <c r="D1814" s="292" t="s">
        <v>2963</v>
      </c>
      <c r="E1814" s="292">
        <v>42960</v>
      </c>
      <c r="F1814" s="425" t="s">
        <v>566</v>
      </c>
      <c r="G1814" s="925"/>
      <c r="H1814" s="429" t="s">
        <v>414</v>
      </c>
      <c r="I1814" s="373">
        <v>22450</v>
      </c>
      <c r="J1814" s="379">
        <v>18200</v>
      </c>
      <c r="K1814" s="373"/>
      <c r="L1814" s="379"/>
      <c r="M1814" s="927">
        <f t="shared" si="484"/>
        <v>408590000</v>
      </c>
      <c r="N1814" s="295" t="s">
        <v>264</v>
      </c>
      <c r="O1814" s="295" t="s">
        <v>8</v>
      </c>
      <c r="P1814" s="75" t="str">
        <f>IF(AND('331-CT'!$E$7=TH!H1814,OR(N1814="331",O1814="331")),"x","")</f>
        <v/>
      </c>
      <c r="Q1814" s="75" t="str">
        <f>IF(AND(B1814='111'!$L$11,OR($N1814=$Q$7,$O1814=$Q$7)),"x","")</f>
        <v/>
      </c>
      <c r="R1814" s="75" t="str">
        <f>IF(AND($N1814=$Q$7,$B1814&lt;'111'!$L$11),"x","")</f>
        <v/>
      </c>
      <c r="S1814" s="75" t="str">
        <f>IF(AND($O1814=$Q$7,$B1814&lt;'111'!$L$11),"x","")</f>
        <v/>
      </c>
      <c r="T1814" s="75" t="str">
        <f>IF(ISERROR(FIND('112'!$M$9,G1814,1)),"",IF((AND(FIND('112'!$M$9,G1814,1)&gt;=1,B1814='112'!$K$9,OR($N1814='112'!$I$6,$O1814='112'!$I$6))),"x",""))</f>
        <v/>
      </c>
      <c r="U1814" s="75" t="str">
        <f>IF(ISERROR(FIND('112'!$M$9,G1814,1)),"",IF((AND(LEFT(G1814,2)=LEFT('112'!$M$9,2),B1814&lt;'112'!$K$9,$N1814='112'!$I$6)),"x",""))</f>
        <v/>
      </c>
      <c r="V1814" s="75" t="str">
        <f>IF(ISERROR(FIND('112'!$M$9,G1814,1)),"",IF((AND(RIGHT(G1814,2)=RIGHT('112'!$M$9,2),B1814&lt;'112'!$K$9,$O1814='112'!$I$6)),"x",""))</f>
        <v/>
      </c>
      <c r="W1814" s="75" t="str">
        <f>IF(AND('341-CT'!$H$9=H1814,OR(LEFT(N1814,3)=$W$7,LEFT(O1814,3)=$W$7)),"x","")</f>
        <v/>
      </c>
      <c r="X1814" s="75" t="str">
        <f>IF(OR(TH!N1814=TH!$X$7,O1814=TH!$X$7),"x","")</f>
        <v/>
      </c>
      <c r="Y1814" s="75" t="str">
        <f>IF(AND(OR(N1814="131",O1814="131"),H1814='131-CT'!$H$9),"x","")</f>
        <v/>
      </c>
      <c r="Z1814" s="75"/>
      <c r="AA1814" s="75" t="str">
        <f>IF(AND(MONTH(E1814)='IN-NX'!$J$5,'IN-NX'!$D$7=D1814),"x","")</f>
        <v/>
      </c>
      <c r="AB1814" s="75" t="str">
        <f>IF(AND(OR(LEFT(TH!N1814,2)="15",LEFT(TH!O1814,2)="15"),LEFT(TH!O1814,3)&lt;&gt;"111",'152-CT'!$J$8=TH!F1814),"x","")</f>
        <v/>
      </c>
      <c r="AC1814" s="75" t="str">
        <f>IF(AND(OR(LEFT(TH!N1814,2)="15",LEFT(TH!O1814,2)="15"),TK!$E$7=TH!F1814),"x","")</f>
        <v/>
      </c>
      <c r="AD1814" s="75" t="str">
        <f>IF(AND(N1814="1521",MONTH(C1814)='BK-NL'!$M$11),"x","")</f>
        <v/>
      </c>
    </row>
    <row r="1815" spans="1:30" ht="16.5" customHeight="1">
      <c r="A1815" s="309" t="str">
        <f>IF(B1815&lt;&gt;"",IF(AND(B1815='IN-TC'!$S$4,OR(TH!N1815="1111",TH!O1815="1111")),TH!D1815,""),"")</f>
        <v/>
      </c>
      <c r="B1815" s="1243">
        <f t="shared" si="482"/>
        <v>8</v>
      </c>
      <c r="C1815" s="292">
        <f t="shared" si="483"/>
        <v>42960</v>
      </c>
      <c r="D1815" s="292" t="s">
        <v>2966</v>
      </c>
      <c r="E1815" s="292">
        <v>42960</v>
      </c>
      <c r="F1815" s="425" t="s">
        <v>566</v>
      </c>
      <c r="G1815" s="925"/>
      <c r="H1815" s="435" t="s">
        <v>769</v>
      </c>
      <c r="I1815" s="373">
        <f>184000-SUM(I1808:I1814)</f>
        <v>22337</v>
      </c>
      <c r="J1815" s="379">
        <v>18200</v>
      </c>
      <c r="K1815" s="373"/>
      <c r="L1815" s="379"/>
      <c r="M1815" s="927">
        <f t="shared" si="484"/>
        <v>406533400</v>
      </c>
      <c r="N1815" s="295" t="s">
        <v>264</v>
      </c>
      <c r="O1815" s="295" t="s">
        <v>8</v>
      </c>
      <c r="P1815" s="75" t="str">
        <f>IF(AND('331-CT'!$E$7=TH!H1815,OR(N1815="331",O1815="331")),"x","")</f>
        <v/>
      </c>
      <c r="Q1815" s="75" t="str">
        <f>IF(AND(B1815='111'!$L$11,OR($N1815=$Q$7,$O1815=$Q$7)),"x","")</f>
        <v/>
      </c>
      <c r="R1815" s="75" t="str">
        <f>IF(AND($N1815=$Q$7,$B1815&lt;'111'!$L$11),"x","")</f>
        <v/>
      </c>
      <c r="S1815" s="75" t="str">
        <f>IF(AND($O1815=$Q$7,$B1815&lt;'111'!$L$11),"x","")</f>
        <v/>
      </c>
      <c r="T1815" s="75" t="str">
        <f>IF(ISERROR(FIND('112'!$M$9,G1815,1)),"",IF((AND(FIND('112'!$M$9,G1815,1)&gt;=1,B1815='112'!$K$9,OR($N1815='112'!$I$6,$O1815='112'!$I$6))),"x",""))</f>
        <v/>
      </c>
      <c r="U1815" s="75" t="str">
        <f>IF(ISERROR(FIND('112'!$M$9,G1815,1)),"",IF((AND(LEFT(G1815,2)=LEFT('112'!$M$9,2),B1815&lt;'112'!$K$9,$N1815='112'!$I$6)),"x",""))</f>
        <v/>
      </c>
      <c r="V1815" s="75" t="str">
        <f>IF(ISERROR(FIND('112'!$M$9,G1815,1)),"",IF((AND(RIGHT(G1815,2)=RIGHT('112'!$M$9,2),B1815&lt;'112'!$K$9,$O1815='112'!$I$6)),"x",""))</f>
        <v/>
      </c>
      <c r="W1815" s="75" t="str">
        <f>IF(AND('341-CT'!$H$9=H1815,OR(LEFT(N1815,3)=$W$7,LEFT(O1815,3)=$W$7)),"x","")</f>
        <v/>
      </c>
      <c r="X1815" s="75" t="str">
        <f>IF(OR(TH!N1815=TH!$X$7,O1815=TH!$X$7),"x","")</f>
        <v/>
      </c>
      <c r="Y1815" s="75" t="str">
        <f>IF(AND(OR(N1815="131",O1815="131"),H1815='131-CT'!$H$9),"x","")</f>
        <v/>
      </c>
      <c r="Z1815" s="75"/>
      <c r="AA1815" s="75" t="str">
        <f>IF(AND(MONTH(E1815)='IN-NX'!$J$5,'IN-NX'!$D$7=D1815),"x","")</f>
        <v/>
      </c>
      <c r="AB1815" s="75" t="str">
        <f>IF(AND(OR(LEFT(TH!N1815,2)="15",LEFT(TH!O1815,2)="15"),LEFT(TH!O1815,3)&lt;&gt;"111",'152-CT'!$J$8=TH!F1815),"x","")</f>
        <v/>
      </c>
      <c r="AC1815" s="75" t="str">
        <f>IF(AND(OR(LEFT(TH!N1815,2)="15",LEFT(TH!O1815,2)="15"),TK!$E$7=TH!F1815),"x","")</f>
        <v/>
      </c>
      <c r="AD1815" s="75" t="str">
        <f>IF(AND(N1815="1521",MONTH(C1815)='BK-NL'!$M$11),"x","")</f>
        <v/>
      </c>
    </row>
    <row r="1816" spans="1:30" ht="16.5" customHeight="1">
      <c r="A1816" s="309" t="str">
        <f>IF(B1816&lt;&gt;"",IF(AND(B1816='IN-TC'!$S$4,OR(TH!N1816="1111",TH!O1816="1111")),TH!D1816,""),"")</f>
        <v/>
      </c>
      <c r="B1816" s="1243">
        <f t="shared" si="482"/>
        <v>8</v>
      </c>
      <c r="C1816" s="292">
        <f t="shared" si="483"/>
        <v>42956</v>
      </c>
      <c r="D1816" s="292" t="s">
        <v>2967</v>
      </c>
      <c r="E1816" s="292">
        <v>42956</v>
      </c>
      <c r="F1816" s="425" t="s">
        <v>764</v>
      </c>
      <c r="G1816" s="925"/>
      <c r="H1816" s="429" t="s">
        <v>361</v>
      </c>
      <c r="I1816" s="373">
        <v>10465</v>
      </c>
      <c r="J1816" s="379">
        <v>18500</v>
      </c>
      <c r="K1816" s="373"/>
      <c r="L1816" s="379"/>
      <c r="M1816" s="927">
        <f t="shared" si="484"/>
        <v>193602500</v>
      </c>
      <c r="N1816" s="295" t="s">
        <v>264</v>
      </c>
      <c r="O1816" s="295" t="s">
        <v>8</v>
      </c>
      <c r="P1816" s="75" t="str">
        <f>IF(AND('331-CT'!$E$7=TH!H1816,OR(N1816="331",O1816="331")),"x","")</f>
        <v/>
      </c>
      <c r="Q1816" s="75" t="str">
        <f>IF(AND(B1816='111'!$L$11,OR($N1816=$Q$7,$O1816=$Q$7)),"x","")</f>
        <v/>
      </c>
      <c r="R1816" s="75" t="str">
        <f>IF(AND($N1816=$Q$7,$B1816&lt;'111'!$L$11),"x","")</f>
        <v/>
      </c>
      <c r="S1816" s="75" t="str">
        <f>IF(AND($O1816=$Q$7,$B1816&lt;'111'!$L$11),"x","")</f>
        <v/>
      </c>
      <c r="T1816" s="75" t="str">
        <f>IF(ISERROR(FIND('112'!$M$9,G1816,1)),"",IF((AND(FIND('112'!$M$9,G1816,1)&gt;=1,B1816='112'!$K$9,OR($N1816='112'!$I$6,$O1816='112'!$I$6))),"x",""))</f>
        <v/>
      </c>
      <c r="U1816" s="75" t="str">
        <f>IF(ISERROR(FIND('112'!$M$9,G1816,1)),"",IF((AND(LEFT(G1816,2)=LEFT('112'!$M$9,2),B1816&lt;'112'!$K$9,$N1816='112'!$I$6)),"x",""))</f>
        <v/>
      </c>
      <c r="V1816" s="75" t="str">
        <f>IF(ISERROR(FIND('112'!$M$9,G1816,1)),"",IF((AND(RIGHT(G1816,2)=RIGHT('112'!$M$9,2),B1816&lt;'112'!$K$9,$O1816='112'!$I$6)),"x",""))</f>
        <v/>
      </c>
      <c r="W1816" s="75" t="str">
        <f>IF(AND('341-CT'!$H$9=H1816,OR(LEFT(N1816,3)=$W$7,LEFT(O1816,3)=$W$7)),"x","")</f>
        <v/>
      </c>
      <c r="X1816" s="75" t="str">
        <f>IF(OR(TH!N1816=TH!$X$7,O1816=TH!$X$7),"x","")</f>
        <v/>
      </c>
      <c r="Y1816" s="75" t="str">
        <f>IF(AND(OR(N1816="131",O1816="131"),H1816='131-CT'!$H$9),"x","")</f>
        <v/>
      </c>
      <c r="Z1816" s="75"/>
      <c r="AA1816" s="75" t="str">
        <f>IF(AND(MONTH(E1816)='IN-NX'!$J$5,'IN-NX'!$D$7=D1816),"x","")</f>
        <v/>
      </c>
      <c r="AB1816" s="75" t="str">
        <f>IF(AND(OR(LEFT(TH!N1816,2)="15",LEFT(TH!O1816,2)="15"),LEFT(TH!O1816,3)&lt;&gt;"111",'152-CT'!$J$8=TH!F1816),"x","")</f>
        <v/>
      </c>
      <c r="AC1816" s="75" t="str">
        <f>IF(AND(OR(LEFT(TH!N1816,2)="15",LEFT(TH!O1816,2)="15"),TK!$E$7=TH!F1816),"x","")</f>
        <v/>
      </c>
      <c r="AD1816" s="75" t="str">
        <f>IF(AND(N1816="1521",MONTH(C1816)='BK-NL'!$M$11),"x","")</f>
        <v/>
      </c>
    </row>
    <row r="1817" spans="1:30" ht="16.5" customHeight="1">
      <c r="A1817" s="309" t="str">
        <f>IF(B1817&lt;&gt;"",IF(AND(B1817='IN-TC'!$S$4,OR(TH!N1817="1111",TH!O1817="1111")),TH!D1817,""),"")</f>
        <v/>
      </c>
      <c r="B1817" s="1243">
        <f t="shared" si="482"/>
        <v>8</v>
      </c>
      <c r="C1817" s="292">
        <f t="shared" si="483"/>
        <v>42956</v>
      </c>
      <c r="D1817" s="292" t="s">
        <v>2968</v>
      </c>
      <c r="E1817" s="292">
        <v>42956</v>
      </c>
      <c r="F1817" s="425" t="s">
        <v>764</v>
      </c>
      <c r="G1817" s="925"/>
      <c r="H1817" s="429" t="s">
        <v>366</v>
      </c>
      <c r="I1817" s="373">
        <v>10470</v>
      </c>
      <c r="J1817" s="379">
        <v>18500</v>
      </c>
      <c r="K1817" s="373"/>
      <c r="L1817" s="379"/>
      <c r="M1817" s="927">
        <f t="shared" si="484"/>
        <v>193695000</v>
      </c>
      <c r="N1817" s="295" t="s">
        <v>264</v>
      </c>
      <c r="O1817" s="295" t="s">
        <v>8</v>
      </c>
      <c r="P1817" s="75" t="str">
        <f>IF(AND('331-CT'!$E$7=TH!H1817,OR(N1817="331",O1817="331")),"x","")</f>
        <v/>
      </c>
      <c r="Q1817" s="75" t="str">
        <f>IF(AND(B1817='111'!$L$11,OR($N1817=$Q$7,$O1817=$Q$7)),"x","")</f>
        <v/>
      </c>
      <c r="R1817" s="75" t="str">
        <f>IF(AND($N1817=$Q$7,$B1817&lt;'111'!$L$11),"x","")</f>
        <v/>
      </c>
      <c r="S1817" s="75" t="str">
        <f>IF(AND($O1817=$Q$7,$B1817&lt;'111'!$L$11),"x","")</f>
        <v/>
      </c>
      <c r="T1817" s="75" t="str">
        <f>IF(ISERROR(FIND('112'!$M$9,G1817,1)),"",IF((AND(FIND('112'!$M$9,G1817,1)&gt;=1,B1817='112'!$K$9,OR($N1817='112'!$I$6,$O1817='112'!$I$6))),"x",""))</f>
        <v/>
      </c>
      <c r="U1817" s="75" t="str">
        <f>IF(ISERROR(FIND('112'!$M$9,G1817,1)),"",IF((AND(LEFT(G1817,2)=LEFT('112'!$M$9,2),B1817&lt;'112'!$K$9,$N1817='112'!$I$6)),"x",""))</f>
        <v/>
      </c>
      <c r="V1817" s="75" t="str">
        <f>IF(ISERROR(FIND('112'!$M$9,G1817,1)),"",IF((AND(RIGHT(G1817,2)=RIGHT('112'!$M$9,2),B1817&lt;'112'!$K$9,$O1817='112'!$I$6)),"x",""))</f>
        <v/>
      </c>
      <c r="W1817" s="75" t="str">
        <f>IF(AND('341-CT'!$H$9=H1817,OR(LEFT(N1817,3)=$W$7,LEFT(O1817,3)=$W$7)),"x","")</f>
        <v/>
      </c>
      <c r="X1817" s="75" t="str">
        <f>IF(OR(TH!N1817=TH!$X$7,O1817=TH!$X$7),"x","")</f>
        <v/>
      </c>
      <c r="Y1817" s="75" t="str">
        <f>IF(AND(OR(N1817="131",O1817="131"),H1817='131-CT'!$H$9),"x","")</f>
        <v/>
      </c>
      <c r="Z1817" s="75"/>
      <c r="AA1817" s="75" t="str">
        <f>IF(AND(MONTH(E1817)='IN-NX'!$J$5,'IN-NX'!$D$7=D1817),"x","")</f>
        <v/>
      </c>
      <c r="AB1817" s="75" t="str">
        <f>IF(AND(OR(LEFT(TH!N1817,2)="15",LEFT(TH!O1817,2)="15"),LEFT(TH!O1817,3)&lt;&gt;"111",'152-CT'!$J$8=TH!F1817),"x","")</f>
        <v/>
      </c>
      <c r="AC1817" s="75" t="str">
        <f>IF(AND(OR(LEFT(TH!N1817,2)="15",LEFT(TH!O1817,2)="15"),TK!$E$7=TH!F1817),"x","")</f>
        <v/>
      </c>
      <c r="AD1817" s="75" t="str">
        <f>IF(AND(N1817="1521",MONTH(C1817)='BK-NL'!$M$11),"x","")</f>
        <v/>
      </c>
    </row>
    <row r="1818" spans="1:30" ht="16.5" customHeight="1">
      <c r="A1818" s="309" t="str">
        <f>IF(B1818&lt;&gt;"",IF(AND(B1818='IN-TC'!$S$4,OR(TH!N1818="1111",TH!O1818="1111")),TH!D1818,""),"")</f>
        <v/>
      </c>
      <c r="B1818" s="1243">
        <f t="shared" si="482"/>
        <v>8</v>
      </c>
      <c r="C1818" s="292">
        <f t="shared" si="483"/>
        <v>42962</v>
      </c>
      <c r="D1818" s="292" t="s">
        <v>2973</v>
      </c>
      <c r="E1818" s="292">
        <v>42962</v>
      </c>
      <c r="F1818" s="425" t="s">
        <v>764</v>
      </c>
      <c r="G1818" s="925"/>
      <c r="H1818" s="429" t="s">
        <v>365</v>
      </c>
      <c r="I1818" s="373">
        <v>10453</v>
      </c>
      <c r="J1818" s="379">
        <v>18500</v>
      </c>
      <c r="K1818" s="373"/>
      <c r="L1818" s="379"/>
      <c r="M1818" s="927">
        <f t="shared" si="484"/>
        <v>193380500</v>
      </c>
      <c r="N1818" s="295" t="s">
        <v>264</v>
      </c>
      <c r="O1818" s="295" t="s">
        <v>8</v>
      </c>
      <c r="P1818" s="75" t="str">
        <f>IF(AND('331-CT'!$E$7=TH!H1818,OR(N1818="331",O1818="331")),"x","")</f>
        <v/>
      </c>
      <c r="Q1818" s="75" t="str">
        <f>IF(AND(B1818='111'!$L$11,OR($N1818=$Q$7,$O1818=$Q$7)),"x","")</f>
        <v/>
      </c>
      <c r="R1818" s="75" t="str">
        <f>IF(AND($N1818=$Q$7,$B1818&lt;'111'!$L$11),"x","")</f>
        <v/>
      </c>
      <c r="S1818" s="75" t="str">
        <f>IF(AND($O1818=$Q$7,$B1818&lt;'111'!$L$11),"x","")</f>
        <v/>
      </c>
      <c r="T1818" s="75" t="str">
        <f>IF(ISERROR(FIND('112'!$M$9,G1818,1)),"",IF((AND(FIND('112'!$M$9,G1818,1)&gt;=1,B1818='112'!$K$9,OR($N1818='112'!$I$6,$O1818='112'!$I$6))),"x",""))</f>
        <v/>
      </c>
      <c r="U1818" s="75" t="str">
        <f>IF(ISERROR(FIND('112'!$M$9,G1818,1)),"",IF((AND(LEFT(G1818,2)=LEFT('112'!$M$9,2),B1818&lt;'112'!$K$9,$N1818='112'!$I$6)),"x",""))</f>
        <v/>
      </c>
      <c r="V1818" s="75" t="str">
        <f>IF(ISERROR(FIND('112'!$M$9,G1818,1)),"",IF((AND(RIGHT(G1818,2)=RIGHT('112'!$M$9,2),B1818&lt;'112'!$K$9,$O1818='112'!$I$6)),"x",""))</f>
        <v/>
      </c>
      <c r="W1818" s="75" t="str">
        <f>IF(AND('341-CT'!$H$9=H1818,OR(LEFT(N1818,3)=$W$7,LEFT(O1818,3)=$W$7)),"x","")</f>
        <v/>
      </c>
      <c r="X1818" s="75" t="str">
        <f>IF(OR(TH!N1818=TH!$X$7,O1818=TH!$X$7),"x","")</f>
        <v/>
      </c>
      <c r="Y1818" s="75" t="str">
        <f>IF(AND(OR(N1818="131",O1818="131"),H1818='131-CT'!$H$9),"x","")</f>
        <v/>
      </c>
      <c r="Z1818" s="75"/>
      <c r="AA1818" s="75" t="str">
        <f>IF(AND(MONTH(E1818)='IN-NX'!$J$5,'IN-NX'!$D$7=D1818),"x","")</f>
        <v/>
      </c>
      <c r="AB1818" s="75" t="str">
        <f>IF(AND(OR(LEFT(TH!N1818,2)="15",LEFT(TH!O1818,2)="15"),LEFT(TH!O1818,3)&lt;&gt;"111",'152-CT'!$J$8=TH!F1818),"x","")</f>
        <v/>
      </c>
      <c r="AC1818" s="75" t="str">
        <f>IF(AND(OR(LEFT(TH!N1818,2)="15",LEFT(TH!O1818,2)="15"),TK!$E$7=TH!F1818),"x","")</f>
        <v/>
      </c>
      <c r="AD1818" s="75" t="str">
        <f>IF(AND(N1818="1521",MONTH(C1818)='BK-NL'!$M$11),"x","")</f>
        <v/>
      </c>
    </row>
    <row r="1819" spans="1:30" ht="16.5" customHeight="1">
      <c r="A1819" s="309" t="str">
        <f>IF(B1819&lt;&gt;"",IF(AND(B1819='IN-TC'!$S$4,OR(TH!N1819="1111",TH!O1819="1111")),TH!D1819,""),"")</f>
        <v/>
      </c>
      <c r="B1819" s="1243">
        <f t="shared" si="482"/>
        <v>8</v>
      </c>
      <c r="C1819" s="292">
        <f t="shared" si="483"/>
        <v>42962</v>
      </c>
      <c r="D1819" s="292" t="s">
        <v>2974</v>
      </c>
      <c r="E1819" s="292">
        <v>42962</v>
      </c>
      <c r="F1819" s="425" t="s">
        <v>764</v>
      </c>
      <c r="G1819" s="925"/>
      <c r="H1819" s="429" t="s">
        <v>361</v>
      </c>
      <c r="I1819" s="373">
        <v>10420</v>
      </c>
      <c r="J1819" s="379">
        <v>18500</v>
      </c>
      <c r="K1819" s="373"/>
      <c r="L1819" s="379"/>
      <c r="M1819" s="927">
        <f t="shared" si="484"/>
        <v>192770000</v>
      </c>
      <c r="N1819" s="295" t="s">
        <v>264</v>
      </c>
      <c r="O1819" s="295" t="s">
        <v>8</v>
      </c>
      <c r="P1819" s="75" t="str">
        <f>IF(AND('331-CT'!$E$7=TH!H1819,OR(N1819="331",O1819="331")),"x","")</f>
        <v/>
      </c>
      <c r="Q1819" s="75" t="str">
        <f>IF(AND(B1819='111'!$L$11,OR($N1819=$Q$7,$O1819=$Q$7)),"x","")</f>
        <v/>
      </c>
      <c r="R1819" s="75" t="str">
        <f>IF(AND($N1819=$Q$7,$B1819&lt;'111'!$L$11),"x","")</f>
        <v/>
      </c>
      <c r="S1819" s="75" t="str">
        <f>IF(AND($O1819=$Q$7,$B1819&lt;'111'!$L$11),"x","")</f>
        <v/>
      </c>
      <c r="T1819" s="75" t="str">
        <f>IF(ISERROR(FIND('112'!$M$9,G1819,1)),"",IF((AND(FIND('112'!$M$9,G1819,1)&gt;=1,B1819='112'!$K$9,OR($N1819='112'!$I$6,$O1819='112'!$I$6))),"x",""))</f>
        <v/>
      </c>
      <c r="U1819" s="75" t="str">
        <f>IF(ISERROR(FIND('112'!$M$9,G1819,1)),"",IF((AND(LEFT(G1819,2)=LEFT('112'!$M$9,2),B1819&lt;'112'!$K$9,$N1819='112'!$I$6)),"x",""))</f>
        <v/>
      </c>
      <c r="V1819" s="75" t="str">
        <f>IF(ISERROR(FIND('112'!$M$9,G1819,1)),"",IF((AND(RIGHT(G1819,2)=RIGHT('112'!$M$9,2),B1819&lt;'112'!$K$9,$O1819='112'!$I$6)),"x",""))</f>
        <v/>
      </c>
      <c r="W1819" s="75" t="str">
        <f>IF(AND('341-CT'!$H$9=H1819,OR(LEFT(N1819,3)=$W$7,LEFT(O1819,3)=$W$7)),"x","")</f>
        <v/>
      </c>
      <c r="X1819" s="75" t="str">
        <f>IF(OR(TH!N1819=TH!$X$7,O1819=TH!$X$7),"x","")</f>
        <v/>
      </c>
      <c r="Y1819" s="75" t="str">
        <f>IF(AND(OR(N1819="131",O1819="131"),H1819='131-CT'!$H$9),"x","")</f>
        <v/>
      </c>
      <c r="Z1819" s="75"/>
      <c r="AA1819" s="75" t="str">
        <f>IF(AND(MONTH(E1819)='IN-NX'!$J$5,'IN-NX'!$D$7=D1819),"x","")</f>
        <v/>
      </c>
      <c r="AB1819" s="75" t="str">
        <f>IF(AND(OR(LEFT(TH!N1819,2)="15",LEFT(TH!O1819,2)="15"),LEFT(TH!O1819,3)&lt;&gt;"111",'152-CT'!$J$8=TH!F1819),"x","")</f>
        <v/>
      </c>
      <c r="AC1819" s="75" t="str">
        <f>IF(AND(OR(LEFT(TH!N1819,2)="15",LEFT(TH!O1819,2)="15"),TK!$E$7=TH!F1819),"x","")</f>
        <v/>
      </c>
      <c r="AD1819" s="75" t="str">
        <f>IF(AND(N1819="1521",MONTH(C1819)='BK-NL'!$M$11),"x","")</f>
        <v/>
      </c>
    </row>
    <row r="1820" spans="1:30" ht="16.5" customHeight="1">
      <c r="A1820" s="309" t="str">
        <f>IF(B1820&lt;&gt;"",IF(AND(B1820='IN-TC'!$S$4,OR(TH!N1820="1111",TH!O1820="1111")),TH!D1820,""),"")</f>
        <v/>
      </c>
      <c r="B1820" s="1243">
        <f t="shared" si="482"/>
        <v>8</v>
      </c>
      <c r="C1820" s="292">
        <f t="shared" si="483"/>
        <v>42962</v>
      </c>
      <c r="D1820" s="292" t="s">
        <v>2975</v>
      </c>
      <c r="E1820" s="292">
        <v>42962</v>
      </c>
      <c r="F1820" s="425" t="s">
        <v>764</v>
      </c>
      <c r="G1820" s="925"/>
      <c r="H1820" s="429" t="s">
        <v>366</v>
      </c>
      <c r="I1820" s="373">
        <f>52200-SUM(I1816:I1819)</f>
        <v>10392</v>
      </c>
      <c r="J1820" s="379">
        <v>18500</v>
      </c>
      <c r="K1820" s="373"/>
      <c r="L1820" s="379"/>
      <c r="M1820" s="927">
        <f t="shared" si="484"/>
        <v>192252000</v>
      </c>
      <c r="N1820" s="295" t="s">
        <v>264</v>
      </c>
      <c r="O1820" s="295" t="s">
        <v>8</v>
      </c>
      <c r="P1820" s="75" t="str">
        <f>IF(AND('331-CT'!$E$7=TH!H1820,OR(N1820="331",O1820="331")),"x","")</f>
        <v/>
      </c>
      <c r="Q1820" s="75" t="str">
        <f>IF(AND(B1820='111'!$L$11,OR($N1820=$Q$7,$O1820=$Q$7)),"x","")</f>
        <v/>
      </c>
      <c r="R1820" s="75" t="str">
        <f>IF(AND($N1820=$Q$7,$B1820&lt;'111'!$L$11),"x","")</f>
        <v/>
      </c>
      <c r="S1820" s="75" t="str">
        <f>IF(AND($O1820=$Q$7,$B1820&lt;'111'!$L$11),"x","")</f>
        <v/>
      </c>
      <c r="T1820" s="75" t="str">
        <f>IF(ISERROR(FIND('112'!$M$9,G1820,1)),"",IF((AND(FIND('112'!$M$9,G1820,1)&gt;=1,B1820='112'!$K$9,OR($N1820='112'!$I$6,$O1820='112'!$I$6))),"x",""))</f>
        <v/>
      </c>
      <c r="U1820" s="75" t="str">
        <f>IF(ISERROR(FIND('112'!$M$9,G1820,1)),"",IF((AND(LEFT(G1820,2)=LEFT('112'!$M$9,2),B1820&lt;'112'!$K$9,$N1820='112'!$I$6)),"x",""))</f>
        <v/>
      </c>
      <c r="V1820" s="75" t="str">
        <f>IF(ISERROR(FIND('112'!$M$9,G1820,1)),"",IF((AND(RIGHT(G1820,2)=RIGHT('112'!$M$9,2),B1820&lt;'112'!$K$9,$O1820='112'!$I$6)),"x",""))</f>
        <v/>
      </c>
      <c r="W1820" s="75" t="str">
        <f>IF(AND('341-CT'!$H$9=H1820,OR(LEFT(N1820,3)=$W$7,LEFT(O1820,3)=$W$7)),"x","")</f>
        <v/>
      </c>
      <c r="X1820" s="75" t="str">
        <f>IF(OR(TH!N1820=TH!$X$7,O1820=TH!$X$7),"x","")</f>
        <v/>
      </c>
      <c r="Y1820" s="75" t="str">
        <f>IF(AND(OR(N1820="131",O1820="131"),H1820='131-CT'!$H$9),"x","")</f>
        <v/>
      </c>
      <c r="Z1820" s="75"/>
      <c r="AA1820" s="75" t="str">
        <f>IF(AND(MONTH(E1820)='IN-NX'!$J$5,'IN-NX'!$D$7=D1820),"x","")</f>
        <v/>
      </c>
      <c r="AB1820" s="75" t="str">
        <f>IF(AND(OR(LEFT(TH!N1820,2)="15",LEFT(TH!O1820,2)="15"),LEFT(TH!O1820,3)&lt;&gt;"111",'152-CT'!$J$8=TH!F1820),"x","")</f>
        <v/>
      </c>
      <c r="AC1820" s="75" t="str">
        <f>IF(AND(OR(LEFT(TH!N1820,2)="15",LEFT(TH!O1820,2)="15"),TK!$E$7=TH!F1820),"x","")</f>
        <v/>
      </c>
      <c r="AD1820" s="75" t="str">
        <f>IF(AND(N1820="1521",MONTH(C1820)='BK-NL'!$M$11),"x","")</f>
        <v/>
      </c>
    </row>
    <row r="1821" spans="1:30" ht="16.5" customHeight="1">
      <c r="A1821" s="309" t="str">
        <f>IF(B1821&lt;&gt;"",IF(AND(B1821='IN-TC'!$S$4,OR(TH!N1821="1111",TH!O1821="1111")),TH!D1821,""),"")</f>
        <v/>
      </c>
      <c r="B1821" s="1243">
        <f t="shared" si="482"/>
        <v>8</v>
      </c>
      <c r="C1821" s="929">
        <f t="shared" si="483"/>
        <v>42978</v>
      </c>
      <c r="D1821" s="929" t="s">
        <v>2956</v>
      </c>
      <c r="E1821" s="929">
        <v>42978</v>
      </c>
      <c r="F1821" s="1082" t="s">
        <v>566</v>
      </c>
      <c r="G1821" s="931"/>
      <c r="H1821" s="1082" t="s">
        <v>424</v>
      </c>
      <c r="I1821" s="371">
        <f>138000+46000</f>
        <v>184000</v>
      </c>
      <c r="J1821" s="377">
        <v>18200</v>
      </c>
      <c r="K1821" s="371"/>
      <c r="L1821" s="377"/>
      <c r="M1821" s="933">
        <f t="shared" si="484"/>
        <v>3348800000</v>
      </c>
      <c r="N1821" s="934" t="s">
        <v>272</v>
      </c>
      <c r="O1821" s="934" t="s">
        <v>264</v>
      </c>
      <c r="P1821" s="75" t="str">
        <f>IF(AND('331-CT'!$E$7=TH!H1821,OR(N1821="331",O1821="331")),"x","")</f>
        <v/>
      </c>
      <c r="Q1821" s="75" t="str">
        <f>IF(AND(B1821='111'!$L$11,OR($N1821=$Q$7,$O1821=$Q$7)),"x","")</f>
        <v/>
      </c>
      <c r="R1821" s="75" t="str">
        <f>IF(AND($N1821=$Q$7,$B1821&lt;'111'!$L$11),"x","")</f>
        <v/>
      </c>
      <c r="S1821" s="75" t="str">
        <f>IF(AND($O1821=$Q$7,$B1821&lt;'111'!$L$11),"x","")</f>
        <v/>
      </c>
      <c r="T1821" s="75" t="str">
        <f>IF(ISERROR(FIND('112'!$M$9,G1821,1)),"",IF((AND(FIND('112'!$M$9,G1821,1)&gt;=1,B1821='112'!$K$9,OR($N1821='112'!$I$6,$O1821='112'!$I$6))),"x",""))</f>
        <v/>
      </c>
      <c r="U1821" s="75" t="str">
        <f>IF(ISERROR(FIND('112'!$M$9,G1821,1)),"",IF((AND(LEFT(G1821,2)=LEFT('112'!$M$9,2),B1821&lt;'112'!$K$9,$N1821='112'!$I$6)),"x",""))</f>
        <v/>
      </c>
      <c r="V1821" s="75" t="str">
        <f>IF(ISERROR(FIND('112'!$M$9,G1821,1)),"",IF((AND(RIGHT(G1821,2)=RIGHT('112'!$M$9,2),B1821&lt;'112'!$K$9,$O1821='112'!$I$6)),"x",""))</f>
        <v/>
      </c>
      <c r="W1821" s="75" t="str">
        <f>IF(AND('341-CT'!$H$9=H1821,OR(LEFT(N1821,3)=$W$7,LEFT(O1821,3)=$W$7)),"x","")</f>
        <v/>
      </c>
      <c r="X1821" s="75" t="str">
        <f>IF(OR(TH!N1821=TH!$X$7,O1821=TH!$X$7),"x","")</f>
        <v/>
      </c>
      <c r="Y1821" s="75" t="str">
        <f>IF(AND(OR(N1821="131",O1821="131"),H1821='131-CT'!$H$9),"x","")</f>
        <v/>
      </c>
      <c r="Z1821" s="75"/>
      <c r="AA1821" s="75" t="str">
        <f>IF(AND(MONTH(E1821)='IN-NX'!$J$5,'IN-NX'!$D$7=D1821),"x","")</f>
        <v/>
      </c>
      <c r="AB1821" s="75" t="str">
        <f>IF(AND(OR(LEFT(TH!N1821,2)="15",LEFT(TH!O1821,2)="15"),LEFT(TH!O1821,3)&lt;&gt;"111",'152-CT'!$J$8=TH!F1821),"x","")</f>
        <v/>
      </c>
      <c r="AC1821" s="75" t="str">
        <f>IF(AND(OR(LEFT(TH!N1821,2)="15",LEFT(TH!O1821,2)="15"),TK!$E$7=TH!F1821),"x","")</f>
        <v/>
      </c>
      <c r="AD1821" s="75" t="str">
        <f>IF(AND(N1821="1521",MONTH(C1821)='BK-NL'!$M$11),"x","")</f>
        <v/>
      </c>
    </row>
    <row r="1822" spans="1:30" ht="16.5" customHeight="1">
      <c r="A1822" s="309" t="str">
        <f>IF(B1822&lt;&gt;"",IF(AND(B1822='IN-TC'!$S$4,OR(TH!N1822="1111",TH!O1822="1111")),TH!D1822,""),"")</f>
        <v/>
      </c>
      <c r="B1822" s="1243">
        <f t="shared" si="482"/>
        <v>8</v>
      </c>
      <c r="C1822" s="929">
        <f t="shared" si="483"/>
        <v>42978</v>
      </c>
      <c r="D1822" s="929" t="s">
        <v>2956</v>
      </c>
      <c r="E1822" s="929">
        <v>42978</v>
      </c>
      <c r="F1822" s="1082" t="s">
        <v>764</v>
      </c>
      <c r="G1822" s="931"/>
      <c r="H1822" s="1082" t="s">
        <v>424</v>
      </c>
      <c r="I1822" s="371">
        <v>52200</v>
      </c>
      <c r="J1822" s="377">
        <v>18500</v>
      </c>
      <c r="K1822" s="371"/>
      <c r="L1822" s="377"/>
      <c r="M1822" s="933">
        <f t="shared" si="484"/>
        <v>965700000</v>
      </c>
      <c r="N1822" s="934" t="s">
        <v>272</v>
      </c>
      <c r="O1822" s="934" t="s">
        <v>264</v>
      </c>
      <c r="P1822" s="75" t="str">
        <f>IF(AND('331-CT'!$E$7=TH!H1822,OR(N1822="331",O1822="331")),"x","")</f>
        <v/>
      </c>
      <c r="Q1822" s="75" t="str">
        <f>IF(AND(B1822='111'!$L$11,OR($N1822=$Q$7,$O1822=$Q$7)),"x","")</f>
        <v/>
      </c>
      <c r="R1822" s="75" t="str">
        <f>IF(AND($N1822=$Q$7,$B1822&lt;'111'!$L$11),"x","")</f>
        <v/>
      </c>
      <c r="S1822" s="75" t="str">
        <f>IF(AND($O1822=$Q$7,$B1822&lt;'111'!$L$11),"x","")</f>
        <v/>
      </c>
      <c r="T1822" s="75" t="str">
        <f>IF(ISERROR(FIND('112'!$M$9,G1822,1)),"",IF((AND(FIND('112'!$M$9,G1822,1)&gt;=1,B1822='112'!$K$9,OR($N1822='112'!$I$6,$O1822='112'!$I$6))),"x",""))</f>
        <v/>
      </c>
      <c r="U1822" s="75" t="str">
        <f>IF(ISERROR(FIND('112'!$M$9,G1822,1)),"",IF((AND(LEFT(G1822,2)=LEFT('112'!$M$9,2),B1822&lt;'112'!$K$9,$N1822='112'!$I$6)),"x",""))</f>
        <v/>
      </c>
      <c r="V1822" s="75" t="str">
        <f>IF(ISERROR(FIND('112'!$M$9,G1822,1)),"",IF((AND(RIGHT(G1822,2)=RIGHT('112'!$M$9,2),B1822&lt;'112'!$K$9,$O1822='112'!$I$6)),"x",""))</f>
        <v/>
      </c>
      <c r="W1822" s="75" t="str">
        <f>IF(AND('341-CT'!$H$9=H1822,OR(LEFT(N1822,3)=$W$7,LEFT(O1822,3)=$W$7)),"x","")</f>
        <v/>
      </c>
      <c r="X1822" s="75" t="str">
        <f>IF(OR(TH!N1822=TH!$X$7,O1822=TH!$X$7),"x","")</f>
        <v/>
      </c>
      <c r="Y1822" s="75" t="str">
        <f>IF(AND(OR(N1822="131",O1822="131"),H1822='131-CT'!$H$9),"x","")</f>
        <v/>
      </c>
      <c r="Z1822" s="75"/>
      <c r="AA1822" s="75" t="str">
        <f>IF(AND(MONTH(E1822)='IN-NX'!$J$5,'IN-NX'!$D$7=D1822),"x","")</f>
        <v/>
      </c>
      <c r="AB1822" s="75" t="str">
        <f>IF(AND(OR(LEFT(TH!N1822,2)="15",LEFT(TH!O1822,2)="15"),LEFT(TH!O1822,3)&lt;&gt;"111",'152-CT'!$J$8=TH!F1822),"x","")</f>
        <v/>
      </c>
      <c r="AC1822" s="75" t="str">
        <f>IF(AND(OR(LEFT(TH!N1822,2)="15",LEFT(TH!O1822,2)="15"),TK!$E$7=TH!F1822),"x","")</f>
        <v/>
      </c>
      <c r="AD1822" s="75" t="str">
        <f>IF(AND(N1822="1521",MONTH(C1822)='BK-NL'!$M$11),"x","")</f>
        <v/>
      </c>
    </row>
    <row r="1823" spans="1:30" s="1054" customFormat="1" ht="16.5" customHeight="1">
      <c r="A1823" s="309" t="str">
        <f>IF(B1823&lt;&gt;"",IF(AND(B1823='IN-TC'!$S$4,OR(TH!N1823="1111",TH!O1823="1111")),TH!D1823,""),"")</f>
        <v/>
      </c>
      <c r="B1823" s="1242">
        <f t="shared" si="413"/>
        <v>9</v>
      </c>
      <c r="C1823" s="936">
        <v>42979</v>
      </c>
      <c r="D1823" s="936" t="s">
        <v>818</v>
      </c>
      <c r="E1823" s="936">
        <f t="shared" si="461"/>
        <v>42979</v>
      </c>
      <c r="F1823" s="958" t="s">
        <v>1621</v>
      </c>
      <c r="G1823" s="942" t="s">
        <v>2197</v>
      </c>
      <c r="H1823" s="80" t="s">
        <v>802</v>
      </c>
      <c r="I1823" s="939">
        <v>100</v>
      </c>
      <c r="J1823" s="939">
        <v>156000</v>
      </c>
      <c r="K1823" s="939"/>
      <c r="L1823" s="938"/>
      <c r="M1823" s="940">
        <f t="shared" ref="M1823:M1827" si="485">ROUND(I1823*J1823,0)</f>
        <v>15600000</v>
      </c>
      <c r="N1823" s="941" t="s">
        <v>536</v>
      </c>
      <c r="O1823" s="941" t="s">
        <v>286</v>
      </c>
      <c r="P1823" s="75" t="str">
        <f>IF(AND('331-CT'!$E$7=TH!H1823,OR(N1823="331",O1823="331")),"x","")</f>
        <v/>
      </c>
      <c r="Q1823" s="75" t="str">
        <f>IF(AND(B1823='111'!$L$11,OR($N1823=$Q$7,$O1823=$Q$7)),"x","")</f>
        <v/>
      </c>
      <c r="R1823" s="75" t="str">
        <f>IF(AND($N1823=$Q$7,$B1823&lt;'111'!$L$11),"x","")</f>
        <v/>
      </c>
      <c r="S1823" s="75" t="str">
        <f>IF(AND($O1823=$Q$7,$B1823&lt;'111'!$L$11),"x","")</f>
        <v/>
      </c>
      <c r="T1823" s="75" t="str">
        <f>IF(ISERROR(FIND('112'!$M$9,G1823,1)),"",IF((AND(FIND('112'!$M$9,G1823,1)&gt;=1,B1823='112'!$K$9,OR($N1823='112'!$I$6,$O1823='112'!$I$6))),"x",""))</f>
        <v/>
      </c>
      <c r="U1823" s="75" t="str">
        <f>IF(ISERROR(FIND('112'!$M$9,G1823,1)),"",IF((AND(LEFT(G1823,2)=LEFT('112'!$M$9,2),B1823&lt;'112'!$K$9,$N1823='112'!$I$6)),"x",""))</f>
        <v/>
      </c>
      <c r="V1823" s="75" t="str">
        <f>IF(ISERROR(FIND('112'!$M$9,G1823,1)),"",IF((AND(RIGHT(G1823,2)=RIGHT('112'!$M$9,2),B1823&lt;'112'!$K$9,$O1823='112'!$I$6)),"x",""))</f>
        <v/>
      </c>
      <c r="W1823" s="75" t="str">
        <f>IF(AND('341-CT'!$H$9=H1823,OR(LEFT(N1823,3)=$W$7,LEFT(O1823,3)=$W$7)),"x","")</f>
        <v/>
      </c>
      <c r="X1823" s="75" t="str">
        <f>IF(OR(TH!N1823=TH!$X$7,O1823=TH!$X$7),"x","")</f>
        <v/>
      </c>
      <c r="Y1823" s="75" t="str">
        <f>IF(AND(OR(N1823="131",O1823="131"),H1823='131-CT'!$H$9),"x","")</f>
        <v/>
      </c>
      <c r="Z1823" s="75"/>
      <c r="AA1823" s="75" t="str">
        <f>IF(AND(MONTH(E1823)='IN-NX'!$J$5,'IN-NX'!$D$7=D1823),"x","")</f>
        <v/>
      </c>
      <c r="AB1823" s="75" t="str">
        <f>IF(AND(OR(LEFT(TH!N1823,2)="15",LEFT(TH!O1823,2)="15"),LEFT(TH!O1823,3)&lt;&gt;"111",'152-CT'!$J$8=TH!F1823),"x","")</f>
        <v/>
      </c>
      <c r="AC1823" s="75" t="str">
        <f>IF(AND(OR(LEFT(TH!N1823,2)="15",LEFT(TH!O1823,2)="15"),TK!$E$7=TH!F1823),"x","")</f>
        <v/>
      </c>
      <c r="AD1823" s="75" t="str">
        <f>IF(AND(N1823="1521",MONTH(C1823)='BK-NL'!$M$11),"x","")</f>
        <v/>
      </c>
    </row>
    <row r="1824" spans="1:30" ht="16.5" customHeight="1">
      <c r="A1824" s="309" t="str">
        <f>IF(B1824&lt;&gt;"",IF(AND(B1824='IN-TC'!$S$4,OR(TH!N1824="1111",TH!O1824="1111")),TH!D1824,""),"")</f>
        <v/>
      </c>
      <c r="B1824" s="1242">
        <f t="shared" si="413"/>
        <v>9</v>
      </c>
      <c r="C1824" s="252">
        <v>42979</v>
      </c>
      <c r="D1824" s="252" t="s">
        <v>818</v>
      </c>
      <c r="E1824" s="252">
        <f t="shared" si="461"/>
        <v>42979</v>
      </c>
      <c r="F1824" s="1055" t="s">
        <v>2477</v>
      </c>
      <c r="G1824" s="1056" t="s">
        <v>2197</v>
      </c>
      <c r="H1824" s="73" t="s">
        <v>802</v>
      </c>
      <c r="I1824" s="371">
        <v>100</v>
      </c>
      <c r="J1824" s="371">
        <v>150000</v>
      </c>
      <c r="K1824" s="371"/>
      <c r="L1824" s="377"/>
      <c r="M1824" s="933">
        <f t="shared" si="485"/>
        <v>15000000</v>
      </c>
      <c r="N1824" s="977" t="s">
        <v>536</v>
      </c>
      <c r="O1824" s="977" t="s">
        <v>286</v>
      </c>
      <c r="P1824" s="75" t="str">
        <f>IF(AND('331-CT'!$E$7=TH!H1824,OR(N1824="331",O1824="331")),"x","")</f>
        <v/>
      </c>
      <c r="Q1824" s="75" t="str">
        <f>IF(AND(B1824='111'!$L$11,OR($N1824=$Q$7,$O1824=$Q$7)),"x","")</f>
        <v/>
      </c>
      <c r="R1824" s="75" t="str">
        <f>IF(AND($N1824=$Q$7,$B1824&lt;'111'!$L$11),"x","")</f>
        <v/>
      </c>
      <c r="S1824" s="75" t="str">
        <f>IF(AND($O1824=$Q$7,$B1824&lt;'111'!$L$11),"x","")</f>
        <v/>
      </c>
      <c r="T1824" s="75" t="str">
        <f>IF(ISERROR(FIND('112'!$M$9,G1824,1)),"",IF((AND(FIND('112'!$M$9,G1824,1)&gt;=1,B1824='112'!$K$9,OR($N1824='112'!$I$6,$O1824='112'!$I$6))),"x",""))</f>
        <v/>
      </c>
      <c r="U1824" s="75" t="str">
        <f>IF(ISERROR(FIND('112'!$M$9,G1824,1)),"",IF((AND(LEFT(G1824,2)=LEFT('112'!$M$9,2),B1824&lt;'112'!$K$9,$N1824='112'!$I$6)),"x",""))</f>
        <v/>
      </c>
      <c r="V1824" s="75" t="str">
        <f>IF(ISERROR(FIND('112'!$M$9,G1824,1)),"",IF((AND(RIGHT(G1824,2)=RIGHT('112'!$M$9,2),B1824&lt;'112'!$K$9,$O1824='112'!$I$6)),"x",""))</f>
        <v/>
      </c>
      <c r="W1824" s="75" t="str">
        <f>IF(AND('341-CT'!$H$9=H1824,OR(LEFT(N1824,3)=$W$7,LEFT(O1824,3)=$W$7)),"x","")</f>
        <v/>
      </c>
      <c r="X1824" s="75" t="str">
        <f>IF(OR(TH!N1824=TH!$X$7,O1824=TH!$X$7),"x","")</f>
        <v/>
      </c>
      <c r="Y1824" s="75" t="str">
        <f>IF(AND(OR(N1824="131",O1824="131"),H1824='131-CT'!$H$9),"x","")</f>
        <v/>
      </c>
      <c r="Z1824" s="75"/>
      <c r="AA1824" s="75" t="str">
        <f>IF(AND(MONTH(E1824)='IN-NX'!$J$5,'IN-NX'!$D$7=D1824),"x","")</f>
        <v/>
      </c>
      <c r="AB1824" s="75" t="str">
        <f>IF(AND(OR(LEFT(TH!N1824,2)="15",LEFT(TH!O1824,2)="15"),LEFT(TH!O1824,3)&lt;&gt;"111",'152-CT'!$J$8=TH!F1824),"x","")</f>
        <v/>
      </c>
      <c r="AC1824" s="75" t="str">
        <f>IF(AND(OR(LEFT(TH!N1824,2)="15",LEFT(TH!O1824,2)="15"),TK!$E$7=TH!F1824),"x","")</f>
        <v/>
      </c>
      <c r="AD1824" s="75" t="str">
        <f>IF(AND(N1824="1521",MONTH(C1824)='BK-NL'!$M$11),"x","")</f>
        <v/>
      </c>
    </row>
    <row r="1825" spans="1:30" ht="16.5" customHeight="1">
      <c r="A1825" s="309" t="str">
        <f>IF(B1825&lt;&gt;"",IF(AND(B1825='IN-TC'!$S$4,OR(TH!N1825="1111",TH!O1825="1111")),TH!D1825,""),"")</f>
        <v/>
      </c>
      <c r="B1825" s="1242">
        <f t="shared" si="413"/>
        <v>9</v>
      </c>
      <c r="C1825" s="252">
        <v>42979</v>
      </c>
      <c r="D1825" s="252" t="s">
        <v>818</v>
      </c>
      <c r="E1825" s="252">
        <f t="shared" si="461"/>
        <v>42979</v>
      </c>
      <c r="F1825" s="1055" t="s">
        <v>799</v>
      </c>
      <c r="G1825" s="1056" t="s">
        <v>2197</v>
      </c>
      <c r="H1825" s="73" t="s">
        <v>802</v>
      </c>
      <c r="I1825" s="371">
        <v>35.5</v>
      </c>
      <c r="J1825" s="371">
        <v>220000</v>
      </c>
      <c r="K1825" s="371"/>
      <c r="L1825" s="377"/>
      <c r="M1825" s="933">
        <f t="shared" si="485"/>
        <v>7810000</v>
      </c>
      <c r="N1825" s="977" t="s">
        <v>536</v>
      </c>
      <c r="O1825" s="977" t="s">
        <v>286</v>
      </c>
      <c r="P1825" s="75" t="str">
        <f>IF(AND('331-CT'!$E$7=TH!H1825,OR(N1825="331",O1825="331")),"x","")</f>
        <v/>
      </c>
      <c r="Q1825" s="75" t="str">
        <f>IF(AND(B1825='111'!$L$11,OR($N1825=$Q$7,$O1825=$Q$7)),"x","")</f>
        <v/>
      </c>
      <c r="R1825" s="75" t="str">
        <f>IF(AND($N1825=$Q$7,$B1825&lt;'111'!$L$11),"x","")</f>
        <v/>
      </c>
      <c r="S1825" s="75" t="str">
        <f>IF(AND($O1825=$Q$7,$B1825&lt;'111'!$L$11),"x","")</f>
        <v/>
      </c>
      <c r="T1825" s="75" t="str">
        <f>IF(ISERROR(FIND('112'!$M$9,G1825,1)),"",IF((AND(FIND('112'!$M$9,G1825,1)&gt;=1,B1825='112'!$K$9,OR($N1825='112'!$I$6,$O1825='112'!$I$6))),"x",""))</f>
        <v/>
      </c>
      <c r="U1825" s="75" t="str">
        <f>IF(ISERROR(FIND('112'!$M$9,G1825,1)),"",IF((AND(LEFT(G1825,2)=LEFT('112'!$M$9,2),B1825&lt;'112'!$K$9,$N1825='112'!$I$6)),"x",""))</f>
        <v/>
      </c>
      <c r="V1825" s="75" t="str">
        <f>IF(ISERROR(FIND('112'!$M$9,G1825,1)),"",IF((AND(RIGHT(G1825,2)=RIGHT('112'!$M$9,2),B1825&lt;'112'!$K$9,$O1825='112'!$I$6)),"x",""))</f>
        <v/>
      </c>
      <c r="W1825" s="75" t="str">
        <f>IF(AND('341-CT'!$H$9=H1825,OR(LEFT(N1825,3)=$W$7,LEFT(O1825,3)=$W$7)),"x","")</f>
        <v/>
      </c>
      <c r="X1825" s="75" t="str">
        <f>IF(OR(TH!N1825=TH!$X$7,O1825=TH!$X$7),"x","")</f>
        <v/>
      </c>
      <c r="Y1825" s="75" t="str">
        <f>IF(AND(OR(N1825="131",O1825="131"),H1825='131-CT'!$H$9),"x","")</f>
        <v/>
      </c>
      <c r="Z1825" s="75"/>
      <c r="AA1825" s="75" t="str">
        <f>IF(AND(MONTH(E1825)='IN-NX'!$J$5,'IN-NX'!$D$7=D1825),"x","")</f>
        <v/>
      </c>
      <c r="AB1825" s="75" t="str">
        <f>IF(AND(OR(LEFT(TH!N1825,2)="15",LEFT(TH!O1825,2)="15"),LEFT(TH!O1825,3)&lt;&gt;"111",'152-CT'!$J$8=TH!F1825),"x","")</f>
        <v/>
      </c>
      <c r="AC1825" s="75" t="str">
        <f>IF(AND(OR(LEFT(TH!N1825,2)="15",LEFT(TH!O1825,2)="15"),TK!$E$7=TH!F1825),"x","")</f>
        <v/>
      </c>
      <c r="AD1825" s="75" t="str">
        <f>IF(AND(N1825="1521",MONTH(C1825)='BK-NL'!$M$11),"x","")</f>
        <v/>
      </c>
    </row>
    <row r="1826" spans="1:30" ht="16.5" customHeight="1">
      <c r="A1826" s="309" t="str">
        <f>IF(B1826&lt;&gt;"",IF(AND(B1826='IN-TC'!$S$4,OR(TH!N1826="1111",TH!O1826="1111")),TH!D1826,""),"")</f>
        <v/>
      </c>
      <c r="B1826" s="1242">
        <f t="shared" si="413"/>
        <v>9</v>
      </c>
      <c r="C1826" s="252">
        <v>42979</v>
      </c>
      <c r="D1826" s="252" t="s">
        <v>818</v>
      </c>
      <c r="E1826" s="252">
        <f t="shared" si="461"/>
        <v>42979</v>
      </c>
      <c r="F1826" s="1055" t="s">
        <v>418</v>
      </c>
      <c r="G1826" s="1056" t="s">
        <v>2197</v>
      </c>
      <c r="H1826" s="73" t="s">
        <v>802</v>
      </c>
      <c r="I1826" s="371">
        <v>60</v>
      </c>
      <c r="J1826" s="371">
        <v>100000</v>
      </c>
      <c r="K1826" s="371"/>
      <c r="L1826" s="377"/>
      <c r="M1826" s="933">
        <f t="shared" si="485"/>
        <v>6000000</v>
      </c>
      <c r="N1826" s="977" t="s">
        <v>536</v>
      </c>
      <c r="O1826" s="977" t="s">
        <v>286</v>
      </c>
      <c r="P1826" s="75" t="str">
        <f>IF(AND('331-CT'!$E$7=TH!H1826,OR(N1826="331",O1826="331")),"x","")</f>
        <v/>
      </c>
      <c r="Q1826" s="75" t="str">
        <f>IF(AND(B1826='111'!$L$11,OR($N1826=$Q$7,$O1826=$Q$7)),"x","")</f>
        <v/>
      </c>
      <c r="R1826" s="75" t="str">
        <f>IF(AND($N1826=$Q$7,$B1826&lt;'111'!$L$11),"x","")</f>
        <v/>
      </c>
      <c r="S1826" s="75" t="str">
        <f>IF(AND($O1826=$Q$7,$B1826&lt;'111'!$L$11),"x","")</f>
        <v/>
      </c>
      <c r="T1826" s="75" t="str">
        <f>IF(ISERROR(FIND('112'!$M$9,G1826,1)),"",IF((AND(FIND('112'!$M$9,G1826,1)&gt;=1,B1826='112'!$K$9,OR($N1826='112'!$I$6,$O1826='112'!$I$6))),"x",""))</f>
        <v/>
      </c>
      <c r="U1826" s="75" t="str">
        <f>IF(ISERROR(FIND('112'!$M$9,G1826,1)),"",IF((AND(LEFT(G1826,2)=LEFT('112'!$M$9,2),B1826&lt;'112'!$K$9,$N1826='112'!$I$6)),"x",""))</f>
        <v/>
      </c>
      <c r="V1826" s="75" t="str">
        <f>IF(ISERROR(FIND('112'!$M$9,G1826,1)),"",IF((AND(RIGHT(G1826,2)=RIGHT('112'!$M$9,2),B1826&lt;'112'!$K$9,$O1826='112'!$I$6)),"x",""))</f>
        <v/>
      </c>
      <c r="W1826" s="75" t="str">
        <f>IF(AND('341-CT'!$H$9=H1826,OR(LEFT(N1826,3)=$W$7,LEFT(O1826,3)=$W$7)),"x","")</f>
        <v/>
      </c>
      <c r="X1826" s="75" t="str">
        <f>IF(OR(TH!N1826=TH!$X$7,O1826=TH!$X$7),"x","")</f>
        <v/>
      </c>
      <c r="Y1826" s="75" t="str">
        <f>IF(AND(OR(N1826="131",O1826="131"),H1826='131-CT'!$H$9),"x","")</f>
        <v/>
      </c>
      <c r="Z1826" s="75"/>
      <c r="AA1826" s="75" t="str">
        <f>IF(AND(MONTH(E1826)='IN-NX'!$J$5,'IN-NX'!$D$7=D1826),"x","")</f>
        <v/>
      </c>
      <c r="AB1826" s="75" t="str">
        <f>IF(AND(OR(LEFT(TH!N1826,2)="15",LEFT(TH!O1826,2)="15"),LEFT(TH!O1826,3)&lt;&gt;"111",'152-CT'!$J$8=TH!F1826),"x","")</f>
        <v/>
      </c>
      <c r="AC1826" s="75" t="str">
        <f>IF(AND(OR(LEFT(TH!N1826,2)="15",LEFT(TH!O1826,2)="15"),TK!$E$7=TH!F1826),"x","")</f>
        <v/>
      </c>
      <c r="AD1826" s="75" t="str">
        <f>IF(AND(N1826="1521",MONTH(C1826)='BK-NL'!$M$11),"x","")</f>
        <v/>
      </c>
    </row>
    <row r="1827" spans="1:30" ht="16.5" customHeight="1">
      <c r="A1827" s="309" t="str">
        <f>IF(B1827&lt;&gt;"",IF(AND(B1827='IN-TC'!$S$4,OR(TH!N1827="1111",TH!O1827="1111")),TH!D1827,""),"")</f>
        <v/>
      </c>
      <c r="B1827" s="1242">
        <f t="shared" si="413"/>
        <v>9</v>
      </c>
      <c r="C1827" s="252">
        <v>42979</v>
      </c>
      <c r="D1827" s="252" t="s">
        <v>818</v>
      </c>
      <c r="E1827" s="252">
        <f t="shared" si="461"/>
        <v>42979</v>
      </c>
      <c r="F1827" s="1083" t="s">
        <v>425</v>
      </c>
      <c r="G1827" s="1056" t="s">
        <v>2197</v>
      </c>
      <c r="H1827" s="73" t="s">
        <v>802</v>
      </c>
      <c r="I1827" s="371">
        <v>10</v>
      </c>
      <c r="J1827" s="371">
        <v>690000</v>
      </c>
      <c r="K1827" s="371"/>
      <c r="L1827" s="377"/>
      <c r="M1827" s="933">
        <f t="shared" si="485"/>
        <v>6900000</v>
      </c>
      <c r="N1827" s="977" t="s">
        <v>536</v>
      </c>
      <c r="O1827" s="977" t="s">
        <v>286</v>
      </c>
      <c r="P1827" s="75" t="str">
        <f>IF(AND('331-CT'!$E$7=TH!H1827,OR(N1827="331",O1827="331")),"x","")</f>
        <v/>
      </c>
      <c r="Q1827" s="75" t="str">
        <f>IF(AND(B1827='111'!$L$11,OR($N1827=$Q$7,$O1827=$Q$7)),"x","")</f>
        <v/>
      </c>
      <c r="R1827" s="75" t="str">
        <f>IF(AND($N1827=$Q$7,$B1827&lt;'111'!$L$11),"x","")</f>
        <v/>
      </c>
      <c r="S1827" s="75" t="str">
        <f>IF(AND($O1827=$Q$7,$B1827&lt;'111'!$L$11),"x","")</f>
        <v/>
      </c>
      <c r="T1827" s="75" t="str">
        <f>IF(ISERROR(FIND('112'!$M$9,G1827,1)),"",IF((AND(FIND('112'!$M$9,G1827,1)&gt;=1,B1827='112'!$K$9,OR($N1827='112'!$I$6,$O1827='112'!$I$6))),"x",""))</f>
        <v/>
      </c>
      <c r="U1827" s="75" t="str">
        <f>IF(ISERROR(FIND('112'!$M$9,G1827,1)),"",IF((AND(LEFT(G1827,2)=LEFT('112'!$M$9,2),B1827&lt;'112'!$K$9,$N1827='112'!$I$6)),"x",""))</f>
        <v/>
      </c>
      <c r="V1827" s="75" t="str">
        <f>IF(ISERROR(FIND('112'!$M$9,G1827,1)),"",IF((AND(RIGHT(G1827,2)=RIGHT('112'!$M$9,2),B1827&lt;'112'!$K$9,$O1827='112'!$I$6)),"x",""))</f>
        <v/>
      </c>
      <c r="W1827" s="75" t="str">
        <f>IF(AND('341-CT'!$H$9=H1827,OR(LEFT(N1827,3)=$W$7,LEFT(O1827,3)=$W$7)),"x","")</f>
        <v/>
      </c>
      <c r="X1827" s="75" t="str">
        <f>IF(OR(TH!N1827=TH!$X$7,O1827=TH!$X$7),"x","")</f>
        <v/>
      </c>
      <c r="Y1827" s="75" t="str">
        <f>IF(AND(OR(N1827="131",O1827="131"),H1827='131-CT'!$H$9),"x","")</f>
        <v/>
      </c>
      <c r="Z1827" s="75"/>
      <c r="AA1827" s="75" t="str">
        <f>IF(AND(MONTH(E1827)='IN-NX'!$J$5,'IN-NX'!$D$7=D1827),"x","")</f>
        <v/>
      </c>
      <c r="AB1827" s="75" t="str">
        <f>IF(AND(OR(LEFT(TH!N1827,2)="15",LEFT(TH!O1827,2)="15"),LEFT(TH!O1827,3)&lt;&gt;"111",'152-CT'!$J$8=TH!F1827),"x","")</f>
        <v/>
      </c>
      <c r="AC1827" s="75" t="str">
        <f>IF(AND(OR(LEFT(TH!N1827,2)="15",LEFT(TH!O1827,2)="15"),TK!$E$7=TH!F1827),"x","")</f>
        <v/>
      </c>
      <c r="AD1827" s="75" t="str">
        <f>IF(AND(N1827="1521",MONTH(C1827)='BK-NL'!$M$11),"x","")</f>
        <v/>
      </c>
    </row>
    <row r="1828" spans="1:30" ht="16.5" customHeight="1">
      <c r="A1828" s="309" t="str">
        <f>IF(B1828&lt;&gt;"",IF(AND(B1828='IN-TC'!$S$4,OR(TH!N1828="1111",TH!O1828="1111")),TH!D1828,""),"")</f>
        <v/>
      </c>
      <c r="B1828" s="1242">
        <f t="shared" si="413"/>
        <v>9</v>
      </c>
      <c r="C1828" s="252">
        <v>42979</v>
      </c>
      <c r="D1828" s="252" t="s">
        <v>818</v>
      </c>
      <c r="E1828" s="252">
        <f t="shared" si="461"/>
        <v>42979</v>
      </c>
      <c r="F1828" s="1055" t="s">
        <v>895</v>
      </c>
      <c r="G1828" s="1056" t="s">
        <v>2197</v>
      </c>
      <c r="H1828" s="73" t="s">
        <v>802</v>
      </c>
      <c r="I1828" s="371"/>
      <c r="J1828" s="371"/>
      <c r="K1828" s="371"/>
      <c r="L1828" s="377"/>
      <c r="M1828" s="371">
        <v>5131000</v>
      </c>
      <c r="N1828" s="977" t="s">
        <v>536</v>
      </c>
      <c r="O1828" s="977" t="s">
        <v>595</v>
      </c>
      <c r="P1828" s="75" t="str">
        <f>IF(AND('331-CT'!$E$7=TH!H1828,OR(N1828="331",O1828="331")),"x","")</f>
        <v/>
      </c>
      <c r="Q1828" s="75" t="str">
        <f>IF(AND(B1828='111'!$L$11,OR($N1828=$Q$7,$O1828=$Q$7)),"x","")</f>
        <v/>
      </c>
      <c r="R1828" s="75" t="str">
        <f>IF(AND($N1828=$Q$7,$B1828&lt;'111'!$L$11),"x","")</f>
        <v/>
      </c>
      <c r="S1828" s="75" t="str">
        <f>IF(AND($O1828=$Q$7,$B1828&lt;'111'!$L$11),"x","")</f>
        <v/>
      </c>
      <c r="T1828" s="75" t="str">
        <f>IF(ISERROR(FIND('112'!$M$9,G1828,1)),"",IF((AND(FIND('112'!$M$9,G1828,1)&gt;=1,B1828='112'!$K$9,OR($N1828='112'!$I$6,$O1828='112'!$I$6))),"x",""))</f>
        <v/>
      </c>
      <c r="U1828" s="75" t="str">
        <f>IF(ISERROR(FIND('112'!$M$9,G1828,1)),"",IF((AND(LEFT(G1828,2)=LEFT('112'!$M$9,2),B1828&lt;'112'!$K$9,$N1828='112'!$I$6)),"x",""))</f>
        <v/>
      </c>
      <c r="V1828" s="75" t="str">
        <f>IF(ISERROR(FIND('112'!$M$9,G1828,1)),"",IF((AND(RIGHT(G1828,2)=RIGHT('112'!$M$9,2),B1828&lt;'112'!$K$9,$O1828='112'!$I$6)),"x",""))</f>
        <v/>
      </c>
      <c r="W1828" s="75" t="str">
        <f>IF(AND('341-CT'!$H$9=H1828,OR(LEFT(N1828,3)=$W$7,LEFT(O1828,3)=$W$7)),"x","")</f>
        <v/>
      </c>
      <c r="X1828" s="75" t="str">
        <f>IF(OR(TH!N1828=TH!$X$7,O1828=TH!$X$7),"x","")</f>
        <v/>
      </c>
      <c r="Y1828" s="75" t="str">
        <f>IF(AND(OR(N1828="131",O1828="131"),H1828='131-CT'!$H$9),"x","")</f>
        <v/>
      </c>
      <c r="Z1828" s="75"/>
      <c r="AA1828" s="75" t="str">
        <f>IF(AND(MONTH(E1828)='IN-NX'!$J$5,'IN-NX'!$D$7=D1828),"x","")</f>
        <v/>
      </c>
      <c r="AB1828" s="75" t="str">
        <f>IF(AND(OR(LEFT(TH!N1828,2)="15",LEFT(TH!O1828,2)="15"),LEFT(TH!O1828,3)&lt;&gt;"111",'152-CT'!$J$8=TH!F1828),"x","")</f>
        <v/>
      </c>
      <c r="AC1828" s="75" t="str">
        <f>IF(AND(OR(LEFT(TH!N1828,2)="15",LEFT(TH!O1828,2)="15"),TK!$E$7=TH!F1828),"x","")</f>
        <v/>
      </c>
      <c r="AD1828" s="75" t="str">
        <f>IF(AND(N1828="1521",MONTH(C1828)='BK-NL'!$M$11),"x","")</f>
        <v/>
      </c>
    </row>
    <row r="1829" spans="1:30" ht="16.5" customHeight="1">
      <c r="A1829" s="309" t="str">
        <f>IF(B1829&lt;&gt;"",IF(AND(B1829='IN-TC'!$S$4,OR(TH!N1829="1111",TH!O1829="1111")),TH!D1829,""),"")</f>
        <v/>
      </c>
      <c r="B1829" s="1242">
        <f t="shared" si="413"/>
        <v>9</v>
      </c>
      <c r="C1829" s="252">
        <v>42983</v>
      </c>
      <c r="D1829" s="252" t="s">
        <v>819</v>
      </c>
      <c r="E1829" s="252">
        <f t="shared" ref="E1829:E1830" si="486">C1829</f>
        <v>42983</v>
      </c>
      <c r="F1829" s="1055" t="s">
        <v>2198</v>
      </c>
      <c r="G1829" s="1056" t="s">
        <v>1033</v>
      </c>
      <c r="H1829" s="73" t="s">
        <v>802</v>
      </c>
      <c r="I1829" s="371">
        <v>2</v>
      </c>
      <c r="J1829" s="371">
        <v>100000</v>
      </c>
      <c r="K1829" s="371"/>
      <c r="L1829" s="377"/>
      <c r="M1829" s="933">
        <f>ROUND(I1829*J1829,0)</f>
        <v>200000</v>
      </c>
      <c r="N1829" s="977" t="s">
        <v>536</v>
      </c>
      <c r="O1829" s="977" t="s">
        <v>286</v>
      </c>
      <c r="P1829" s="75" t="str">
        <f>IF(AND('331-CT'!$E$7=TH!H1829,OR(N1829="331",O1829="331")),"x","")</f>
        <v/>
      </c>
      <c r="Q1829" s="75" t="str">
        <f>IF(AND(B1829='111'!$L$11,OR($N1829=$Q$7,$O1829=$Q$7)),"x","")</f>
        <v/>
      </c>
      <c r="R1829" s="75" t="str">
        <f>IF(AND($N1829=$Q$7,$B1829&lt;'111'!$L$11),"x","")</f>
        <v/>
      </c>
      <c r="S1829" s="75" t="str">
        <f>IF(AND($O1829=$Q$7,$B1829&lt;'111'!$L$11),"x","")</f>
        <v/>
      </c>
      <c r="T1829" s="75" t="str">
        <f>IF(ISERROR(FIND('112'!$M$9,G1829,1)),"",IF((AND(FIND('112'!$M$9,G1829,1)&gt;=1,B1829='112'!$K$9,OR($N1829='112'!$I$6,$O1829='112'!$I$6))),"x",""))</f>
        <v/>
      </c>
      <c r="U1829" s="75" t="str">
        <f>IF(ISERROR(FIND('112'!$M$9,G1829,1)),"",IF((AND(LEFT(G1829,2)=LEFT('112'!$M$9,2),B1829&lt;'112'!$K$9,$N1829='112'!$I$6)),"x",""))</f>
        <v/>
      </c>
      <c r="V1829" s="75" t="str">
        <f>IF(ISERROR(FIND('112'!$M$9,G1829,1)),"",IF((AND(RIGHT(G1829,2)=RIGHT('112'!$M$9,2),B1829&lt;'112'!$K$9,$O1829='112'!$I$6)),"x",""))</f>
        <v/>
      </c>
      <c r="W1829" s="75" t="str">
        <f>IF(AND('341-CT'!$H$9=H1829,OR(LEFT(N1829,3)=$W$7,LEFT(O1829,3)=$W$7)),"x","")</f>
        <v/>
      </c>
      <c r="X1829" s="75" t="str">
        <f>IF(OR(TH!N1829=TH!$X$7,O1829=TH!$X$7),"x","")</f>
        <v/>
      </c>
      <c r="Y1829" s="75" t="str">
        <f>IF(AND(OR(N1829="131",O1829="131"),H1829='131-CT'!$H$9),"x","")</f>
        <v/>
      </c>
      <c r="Z1829" s="75"/>
      <c r="AA1829" s="75" t="str">
        <f>IF(AND(MONTH(E1829)='IN-NX'!$J$5,'IN-NX'!$D$7=D1829),"x","")</f>
        <v/>
      </c>
      <c r="AB1829" s="75" t="str">
        <f>IF(AND(OR(LEFT(TH!N1829,2)="15",LEFT(TH!O1829,2)="15"),LEFT(TH!O1829,3)&lt;&gt;"111",'152-CT'!$J$8=TH!F1829),"x","")</f>
        <v/>
      </c>
      <c r="AC1829" s="75" t="str">
        <f>IF(AND(OR(LEFT(TH!N1829,2)="15",LEFT(TH!O1829,2)="15"),TK!$E$7=TH!F1829),"x","")</f>
        <v/>
      </c>
      <c r="AD1829" s="75" t="str">
        <f>IF(AND(N1829="1521",MONTH(C1829)='BK-NL'!$M$11),"x","")</f>
        <v/>
      </c>
    </row>
    <row r="1830" spans="1:30" ht="16.5" customHeight="1">
      <c r="A1830" s="309" t="str">
        <f>IF(B1830&lt;&gt;"",IF(AND(B1830='IN-TC'!$S$4,OR(TH!N1830="1111",TH!O1830="1111")),TH!D1830,""),"")</f>
        <v/>
      </c>
      <c r="B1830" s="1242">
        <f t="shared" si="413"/>
        <v>9</v>
      </c>
      <c r="C1830" s="252">
        <v>42983</v>
      </c>
      <c r="D1830" s="252" t="s">
        <v>819</v>
      </c>
      <c r="E1830" s="252">
        <f t="shared" si="486"/>
        <v>42983</v>
      </c>
      <c r="F1830" s="1055" t="s">
        <v>2199</v>
      </c>
      <c r="G1830" s="1056" t="s">
        <v>1033</v>
      </c>
      <c r="H1830" s="73" t="s">
        <v>802</v>
      </c>
      <c r="I1830" s="371"/>
      <c r="J1830" s="371"/>
      <c r="K1830" s="371"/>
      <c r="L1830" s="377"/>
      <c r="M1830" s="371">
        <v>20000</v>
      </c>
      <c r="N1830" s="977" t="s">
        <v>536</v>
      </c>
      <c r="O1830" s="977" t="s">
        <v>595</v>
      </c>
      <c r="P1830" s="75" t="str">
        <f>IF(AND('331-CT'!$E$7=TH!H1830,OR(N1830="331",O1830="331")),"x","")</f>
        <v/>
      </c>
      <c r="Q1830" s="75" t="str">
        <f>IF(AND(B1830='111'!$L$11,OR($N1830=$Q$7,$O1830=$Q$7)),"x","")</f>
        <v/>
      </c>
      <c r="R1830" s="75" t="str">
        <f>IF(AND($N1830=$Q$7,$B1830&lt;'111'!$L$11),"x","")</f>
        <v/>
      </c>
      <c r="S1830" s="75" t="str">
        <f>IF(AND($O1830=$Q$7,$B1830&lt;'111'!$L$11),"x","")</f>
        <v/>
      </c>
      <c r="T1830" s="75" t="str">
        <f>IF(ISERROR(FIND('112'!$M$9,G1830,1)),"",IF((AND(FIND('112'!$M$9,G1830,1)&gt;=1,B1830='112'!$K$9,OR($N1830='112'!$I$6,$O1830='112'!$I$6))),"x",""))</f>
        <v/>
      </c>
      <c r="U1830" s="75" t="str">
        <f>IF(ISERROR(FIND('112'!$M$9,G1830,1)),"",IF((AND(LEFT(G1830,2)=LEFT('112'!$M$9,2),B1830&lt;'112'!$K$9,$N1830='112'!$I$6)),"x",""))</f>
        <v/>
      </c>
      <c r="V1830" s="75" t="str">
        <f>IF(ISERROR(FIND('112'!$M$9,G1830,1)),"",IF((AND(RIGHT(G1830,2)=RIGHT('112'!$M$9,2),B1830&lt;'112'!$K$9,$O1830='112'!$I$6)),"x",""))</f>
        <v/>
      </c>
      <c r="W1830" s="75" t="str">
        <f>IF(AND('341-CT'!$H$9=H1830,OR(LEFT(N1830,3)=$W$7,LEFT(O1830,3)=$W$7)),"x","")</f>
        <v/>
      </c>
      <c r="X1830" s="75" t="str">
        <f>IF(OR(TH!N1830=TH!$X$7,O1830=TH!$X$7),"x","")</f>
        <v/>
      </c>
      <c r="Y1830" s="75" t="str">
        <f>IF(AND(OR(N1830="131",O1830="131"),H1830='131-CT'!$H$9),"x","")</f>
        <v/>
      </c>
      <c r="Z1830" s="75"/>
      <c r="AA1830" s="75" t="str">
        <f>IF(AND(MONTH(E1830)='IN-NX'!$J$5,'IN-NX'!$D$7=D1830),"x","")</f>
        <v/>
      </c>
      <c r="AB1830" s="75" t="str">
        <f>IF(AND(OR(LEFT(TH!N1830,2)="15",LEFT(TH!O1830,2)="15"),LEFT(TH!O1830,3)&lt;&gt;"111",'152-CT'!$J$8=TH!F1830),"x","")</f>
        <v/>
      </c>
      <c r="AC1830" s="75" t="str">
        <f>IF(AND(OR(LEFT(TH!N1830,2)="15",LEFT(TH!O1830,2)="15"),TK!$E$7=TH!F1830),"x","")</f>
        <v/>
      </c>
      <c r="AD1830" s="75" t="str">
        <f>IF(AND(N1830="1521",MONTH(C1830)='BK-NL'!$M$11),"x","")</f>
        <v/>
      </c>
    </row>
    <row r="1831" spans="1:30" ht="16.5" customHeight="1">
      <c r="A1831" s="309" t="str">
        <f>IF(B1831&lt;&gt;"",IF(AND(B1831='IN-TC'!$S$4,OR(TH!N1831="1111",TH!O1831="1111")),TH!D1831,""),"")</f>
        <v/>
      </c>
      <c r="B1831" s="1242">
        <f t="shared" si="413"/>
        <v>9</v>
      </c>
      <c r="C1831" s="252">
        <v>42983</v>
      </c>
      <c r="D1831" s="252" t="s">
        <v>836</v>
      </c>
      <c r="E1831" s="252">
        <f t="shared" ref="E1831:E1841" si="487">C1831</f>
        <v>42983</v>
      </c>
      <c r="F1831" s="1055" t="s">
        <v>2399</v>
      </c>
      <c r="G1831" s="1056" t="s">
        <v>2104</v>
      </c>
      <c r="H1831" s="296" t="s">
        <v>1859</v>
      </c>
      <c r="I1831" s="371">
        <v>26390</v>
      </c>
      <c r="J1831" s="371">
        <v>2.2000000000000002</v>
      </c>
      <c r="K1831" s="371">
        <f t="shared" ref="K1831:K1841" si="488">I1831*J1831</f>
        <v>58058.000000000007</v>
      </c>
      <c r="L1831" s="377">
        <v>22695</v>
      </c>
      <c r="M1831" s="933">
        <f t="shared" ref="M1831:M1846" si="489">ROUND(K1831*L1831,0)</f>
        <v>1317626310</v>
      </c>
      <c r="N1831" s="977" t="s">
        <v>536</v>
      </c>
      <c r="O1831" s="977" t="s">
        <v>288</v>
      </c>
      <c r="P1831" s="75" t="str">
        <f>IF(AND('331-CT'!$E$7=TH!H1831,OR(N1831="331",O1831="331")),"x","")</f>
        <v/>
      </c>
      <c r="Q1831" s="75" t="str">
        <f>IF(AND(B1831='111'!$L$11,OR($N1831=$Q$7,$O1831=$Q$7)),"x","")</f>
        <v/>
      </c>
      <c r="R1831" s="75" t="str">
        <f>IF(AND($N1831=$Q$7,$B1831&lt;'111'!$L$11),"x","")</f>
        <v/>
      </c>
      <c r="S1831" s="75" t="str">
        <f>IF(AND($O1831=$Q$7,$B1831&lt;'111'!$L$11),"x","")</f>
        <v/>
      </c>
      <c r="T1831" s="75" t="str">
        <f>IF(ISERROR(FIND('112'!$M$9,G1831,1)),"",IF((AND(FIND('112'!$M$9,G1831,1)&gt;=1,B1831='112'!$K$9,OR($N1831='112'!$I$6,$O1831='112'!$I$6))),"x",""))</f>
        <v/>
      </c>
      <c r="U1831" s="75" t="str">
        <f>IF(ISERROR(FIND('112'!$M$9,G1831,1)),"",IF((AND(LEFT(G1831,2)=LEFT('112'!$M$9,2),B1831&lt;'112'!$K$9,$N1831='112'!$I$6)),"x",""))</f>
        <v/>
      </c>
      <c r="V1831" s="75" t="str">
        <f>IF(ISERROR(FIND('112'!$M$9,G1831,1)),"",IF((AND(RIGHT(G1831,2)=RIGHT('112'!$M$9,2),B1831&lt;'112'!$K$9,$O1831='112'!$I$6)),"x",""))</f>
        <v/>
      </c>
      <c r="W1831" s="75" t="str">
        <f>IF(AND('341-CT'!$H$9=H1831,OR(LEFT(N1831,3)=$W$7,LEFT(O1831,3)=$W$7)),"x","")</f>
        <v/>
      </c>
      <c r="X1831" s="75" t="str">
        <f>IF(OR(TH!N1831=TH!$X$7,O1831=TH!$X$7),"x","")</f>
        <v/>
      </c>
      <c r="Y1831" s="75" t="str">
        <f>IF(AND(OR(N1831="131",O1831="131"),H1831='131-CT'!$H$9),"x","")</f>
        <v/>
      </c>
      <c r="Z1831" s="75"/>
      <c r="AA1831" s="75" t="str">
        <f>IF(AND(MONTH(E1831)='IN-NX'!$J$5,'IN-NX'!$D$7=D1831),"x","")</f>
        <v/>
      </c>
      <c r="AB1831" s="75" t="str">
        <f>IF(AND(OR(LEFT(TH!N1831,2)="15",LEFT(TH!O1831,2)="15"),LEFT(TH!O1831,3)&lt;&gt;"111",'152-CT'!$J$8=TH!F1831),"x","")</f>
        <v/>
      </c>
      <c r="AC1831" s="75" t="str">
        <f>IF(AND(OR(LEFT(TH!N1831,2)="15",LEFT(TH!O1831,2)="15"),TK!$E$7=TH!F1831),"x","")</f>
        <v/>
      </c>
      <c r="AD1831" s="75" t="str">
        <f>IF(AND(N1831="1521",MONTH(C1831)='BK-NL'!$M$11),"x","")</f>
        <v/>
      </c>
    </row>
    <row r="1832" spans="1:30" ht="16.5" customHeight="1">
      <c r="A1832" s="309" t="str">
        <f>IF(B1832&lt;&gt;"",IF(AND(B1832='IN-TC'!$S$4,OR(TH!N1832="1111",TH!O1832="1111")),TH!D1832,""),"")</f>
        <v/>
      </c>
      <c r="B1832" s="1242">
        <f t="shared" si="413"/>
        <v>9</v>
      </c>
      <c r="C1832" s="252">
        <v>42984</v>
      </c>
      <c r="D1832" s="252" t="s">
        <v>838</v>
      </c>
      <c r="E1832" s="252">
        <f t="shared" si="487"/>
        <v>42984</v>
      </c>
      <c r="F1832" s="1055" t="s">
        <v>429</v>
      </c>
      <c r="G1832" s="1056" t="s">
        <v>2105</v>
      </c>
      <c r="H1832" s="735" t="s">
        <v>759</v>
      </c>
      <c r="I1832" s="371">
        <v>52780</v>
      </c>
      <c r="J1832" s="371">
        <v>2.5499999999999998</v>
      </c>
      <c r="K1832" s="371">
        <f t="shared" si="488"/>
        <v>134589</v>
      </c>
      <c r="L1832" s="377">
        <v>22695</v>
      </c>
      <c r="M1832" s="933">
        <f t="shared" si="489"/>
        <v>3054497355</v>
      </c>
      <c r="N1832" s="977" t="s">
        <v>536</v>
      </c>
      <c r="O1832" s="977" t="s">
        <v>288</v>
      </c>
      <c r="P1832" s="75" t="str">
        <f>IF(AND('331-CT'!$E$7=TH!H1832,OR(N1832="331",O1832="331")),"x","")</f>
        <v/>
      </c>
      <c r="Q1832" s="75" t="str">
        <f>IF(AND(B1832='111'!$L$11,OR($N1832=$Q$7,$O1832=$Q$7)),"x","")</f>
        <v/>
      </c>
      <c r="R1832" s="75" t="str">
        <f>IF(AND($N1832=$Q$7,$B1832&lt;'111'!$L$11),"x","")</f>
        <v/>
      </c>
      <c r="S1832" s="75" t="str">
        <f>IF(AND($O1832=$Q$7,$B1832&lt;'111'!$L$11),"x","")</f>
        <v/>
      </c>
      <c r="T1832" s="75" t="str">
        <f>IF(ISERROR(FIND('112'!$M$9,G1832,1)),"",IF((AND(FIND('112'!$M$9,G1832,1)&gt;=1,B1832='112'!$K$9,OR($N1832='112'!$I$6,$O1832='112'!$I$6))),"x",""))</f>
        <v/>
      </c>
      <c r="U1832" s="75" t="str">
        <f>IF(ISERROR(FIND('112'!$M$9,G1832,1)),"",IF((AND(LEFT(G1832,2)=LEFT('112'!$M$9,2),B1832&lt;'112'!$K$9,$N1832='112'!$I$6)),"x",""))</f>
        <v/>
      </c>
      <c r="V1832" s="75" t="str">
        <f>IF(ISERROR(FIND('112'!$M$9,G1832,1)),"",IF((AND(RIGHT(G1832,2)=RIGHT('112'!$M$9,2),B1832&lt;'112'!$K$9,$O1832='112'!$I$6)),"x",""))</f>
        <v/>
      </c>
      <c r="W1832" s="75" t="str">
        <f>IF(AND('341-CT'!$H$9=H1832,OR(LEFT(N1832,3)=$W$7,LEFT(O1832,3)=$W$7)),"x","")</f>
        <v/>
      </c>
      <c r="X1832" s="75" t="str">
        <f>IF(OR(TH!N1832=TH!$X$7,O1832=TH!$X$7),"x","")</f>
        <v/>
      </c>
      <c r="Y1832" s="75" t="str">
        <f>IF(AND(OR(N1832="131",O1832="131"),H1832='131-CT'!$H$9),"x","")</f>
        <v/>
      </c>
      <c r="Z1832" s="75"/>
      <c r="AA1832" s="75" t="str">
        <f>IF(AND(MONTH(E1832)='IN-NX'!$J$5,'IN-NX'!$D$7=D1832),"x","")</f>
        <v/>
      </c>
      <c r="AB1832" s="75" t="str">
        <f>IF(AND(OR(LEFT(TH!N1832,2)="15",LEFT(TH!O1832,2)="15"),LEFT(TH!O1832,3)&lt;&gt;"111",'152-CT'!$J$8=TH!F1832),"x","")</f>
        <v/>
      </c>
      <c r="AC1832" s="75" t="str">
        <f>IF(AND(OR(LEFT(TH!N1832,2)="15",LEFT(TH!O1832,2)="15"),TK!$E$7=TH!F1832),"x","")</f>
        <v/>
      </c>
      <c r="AD1832" s="75" t="str">
        <f>IF(AND(N1832="1521",MONTH(C1832)='BK-NL'!$M$11),"x","")</f>
        <v/>
      </c>
    </row>
    <row r="1833" spans="1:30" ht="16.5" customHeight="1">
      <c r="A1833" s="309" t="str">
        <f>IF(B1833&lt;&gt;"",IF(AND(B1833='IN-TC'!$S$4,OR(TH!N1833="1111",TH!O1833="1111")),TH!D1833,""),"")</f>
        <v/>
      </c>
      <c r="B1833" s="1242">
        <f t="shared" si="413"/>
        <v>9</v>
      </c>
      <c r="C1833" s="252">
        <v>42985</v>
      </c>
      <c r="D1833" s="252" t="s">
        <v>863</v>
      </c>
      <c r="E1833" s="252">
        <f t="shared" ref="E1833:E1834" si="490">C1833</f>
        <v>42985</v>
      </c>
      <c r="F1833" s="1055" t="s">
        <v>1588</v>
      </c>
      <c r="G1833" s="1056" t="s">
        <v>2119</v>
      </c>
      <c r="H1833" s="73" t="s">
        <v>785</v>
      </c>
      <c r="I1833" s="371">
        <v>5240</v>
      </c>
      <c r="J1833" s="371">
        <v>9.6999999999999993</v>
      </c>
      <c r="K1833" s="371">
        <f t="shared" ref="K1833:K1834" si="491">I1833*J1833</f>
        <v>50827.999999999993</v>
      </c>
      <c r="L1833" s="377">
        <v>22695</v>
      </c>
      <c r="M1833" s="933">
        <f t="shared" si="489"/>
        <v>1153541460</v>
      </c>
      <c r="N1833" s="977" t="s">
        <v>536</v>
      </c>
      <c r="O1833" s="977" t="s">
        <v>288</v>
      </c>
      <c r="P1833" s="75" t="str">
        <f>IF(AND('331-CT'!$E$7=TH!H1833,OR(N1833="331",O1833="331")),"x","")</f>
        <v/>
      </c>
      <c r="Q1833" s="75" t="str">
        <f>IF(AND(B1833='111'!$L$11,OR($N1833=$Q$7,$O1833=$Q$7)),"x","")</f>
        <v/>
      </c>
      <c r="R1833" s="75" t="str">
        <f>IF(AND($N1833=$Q$7,$B1833&lt;'111'!$L$11),"x","")</f>
        <v/>
      </c>
      <c r="S1833" s="75" t="str">
        <f>IF(AND($O1833=$Q$7,$B1833&lt;'111'!$L$11),"x","")</f>
        <v/>
      </c>
      <c r="T1833" s="75" t="str">
        <f>IF(ISERROR(FIND('112'!$M$9,G1833,1)),"",IF((AND(FIND('112'!$M$9,G1833,1)&gt;=1,B1833='112'!$K$9,OR($N1833='112'!$I$6,$O1833='112'!$I$6))),"x",""))</f>
        <v/>
      </c>
      <c r="U1833" s="75" t="str">
        <f>IF(ISERROR(FIND('112'!$M$9,G1833,1)),"",IF((AND(LEFT(G1833,2)=LEFT('112'!$M$9,2),B1833&lt;'112'!$K$9,$N1833='112'!$I$6)),"x",""))</f>
        <v/>
      </c>
      <c r="V1833" s="75" t="str">
        <f>IF(ISERROR(FIND('112'!$M$9,G1833,1)),"",IF((AND(RIGHT(G1833,2)=RIGHT('112'!$M$9,2),B1833&lt;'112'!$K$9,$O1833='112'!$I$6)),"x",""))</f>
        <v/>
      </c>
      <c r="W1833" s="75" t="str">
        <f>IF(AND('341-CT'!$H$9=H1833,OR(LEFT(N1833,3)=$W$7,LEFT(O1833,3)=$W$7)),"x","")</f>
        <v/>
      </c>
      <c r="X1833" s="75" t="str">
        <f>IF(OR(TH!N1833=TH!$X$7,O1833=TH!$X$7),"x","")</f>
        <v/>
      </c>
      <c r="Y1833" s="75" t="str">
        <f>IF(AND(OR(N1833="131",O1833="131"),H1833='131-CT'!$H$9),"x","")</f>
        <v/>
      </c>
      <c r="Z1833" s="75"/>
      <c r="AA1833" s="75" t="str">
        <f>IF(AND(MONTH(E1833)='IN-NX'!$J$5,'IN-NX'!$D$7=D1833),"x","")</f>
        <v/>
      </c>
      <c r="AB1833" s="75" t="str">
        <f>IF(AND(OR(LEFT(TH!N1833,2)="15",LEFT(TH!O1833,2)="15"),LEFT(TH!O1833,3)&lt;&gt;"111",'152-CT'!$J$8=TH!F1833),"x","")</f>
        <v/>
      </c>
      <c r="AC1833" s="75" t="str">
        <f>IF(AND(OR(LEFT(TH!N1833,2)="15",LEFT(TH!O1833,2)="15"),TK!$E$7=TH!F1833),"x","")</f>
        <v/>
      </c>
      <c r="AD1833" s="75" t="str">
        <f>IF(AND(N1833="1521",MONTH(C1833)='BK-NL'!$M$11),"x","")</f>
        <v/>
      </c>
    </row>
    <row r="1834" spans="1:30" ht="16.5" customHeight="1">
      <c r="A1834" s="309" t="str">
        <f>IF(B1834&lt;&gt;"",IF(AND(B1834='IN-TC'!$S$4,OR(TH!N1834="1111",TH!O1834="1111")),TH!D1834,""),"")</f>
        <v/>
      </c>
      <c r="B1834" s="1242">
        <f t="shared" si="413"/>
        <v>9</v>
      </c>
      <c r="C1834" s="252">
        <v>42985</v>
      </c>
      <c r="D1834" s="252" t="s">
        <v>863</v>
      </c>
      <c r="E1834" s="252">
        <f t="shared" si="490"/>
        <v>42985</v>
      </c>
      <c r="F1834" s="1055" t="s">
        <v>793</v>
      </c>
      <c r="G1834" s="1056" t="s">
        <v>2119</v>
      </c>
      <c r="H1834" s="73" t="s">
        <v>785</v>
      </c>
      <c r="I1834" s="371">
        <v>6760</v>
      </c>
      <c r="J1834" s="371">
        <v>8.67</v>
      </c>
      <c r="K1834" s="371">
        <f t="shared" si="491"/>
        <v>58609.2</v>
      </c>
      <c r="L1834" s="377">
        <v>22695</v>
      </c>
      <c r="M1834" s="933">
        <f t="shared" si="489"/>
        <v>1330135794</v>
      </c>
      <c r="N1834" s="977" t="s">
        <v>536</v>
      </c>
      <c r="O1834" s="977" t="s">
        <v>288</v>
      </c>
      <c r="P1834" s="75" t="str">
        <f>IF(AND('331-CT'!$E$7=TH!H1834,OR(N1834="331",O1834="331")),"x","")</f>
        <v/>
      </c>
      <c r="Q1834" s="75" t="str">
        <f>IF(AND(B1834='111'!$L$11,OR($N1834=$Q$7,$O1834=$Q$7)),"x","")</f>
        <v/>
      </c>
      <c r="R1834" s="75" t="str">
        <f>IF(AND($N1834=$Q$7,$B1834&lt;'111'!$L$11),"x","")</f>
        <v/>
      </c>
      <c r="S1834" s="75" t="str">
        <f>IF(AND($O1834=$Q$7,$B1834&lt;'111'!$L$11),"x","")</f>
        <v/>
      </c>
      <c r="T1834" s="75" t="str">
        <f>IF(ISERROR(FIND('112'!$M$9,G1834,1)),"",IF((AND(FIND('112'!$M$9,G1834,1)&gt;=1,B1834='112'!$K$9,OR($N1834='112'!$I$6,$O1834='112'!$I$6))),"x",""))</f>
        <v/>
      </c>
      <c r="U1834" s="75" t="str">
        <f>IF(ISERROR(FIND('112'!$M$9,G1834,1)),"",IF((AND(LEFT(G1834,2)=LEFT('112'!$M$9,2),B1834&lt;'112'!$K$9,$N1834='112'!$I$6)),"x",""))</f>
        <v/>
      </c>
      <c r="V1834" s="75" t="str">
        <f>IF(ISERROR(FIND('112'!$M$9,G1834,1)),"",IF((AND(RIGHT(G1834,2)=RIGHT('112'!$M$9,2),B1834&lt;'112'!$K$9,$O1834='112'!$I$6)),"x",""))</f>
        <v/>
      </c>
      <c r="W1834" s="75" t="str">
        <f>IF(AND('341-CT'!$H$9=H1834,OR(LEFT(N1834,3)=$W$7,LEFT(O1834,3)=$W$7)),"x","")</f>
        <v/>
      </c>
      <c r="X1834" s="75" t="str">
        <f>IF(OR(TH!N1834=TH!$X$7,O1834=TH!$X$7),"x","")</f>
        <v/>
      </c>
      <c r="Y1834" s="75" t="str">
        <f>IF(AND(OR(N1834="131",O1834="131"),H1834='131-CT'!$H$9),"x","")</f>
        <v/>
      </c>
      <c r="Z1834" s="75"/>
      <c r="AA1834" s="75" t="str">
        <f>IF(AND(MONTH(E1834)='IN-NX'!$J$5,'IN-NX'!$D$7=D1834),"x","")</f>
        <v/>
      </c>
      <c r="AB1834" s="75" t="str">
        <f>IF(AND(OR(LEFT(TH!N1834,2)="15",LEFT(TH!O1834,2)="15"),LEFT(TH!O1834,3)&lt;&gt;"111",'152-CT'!$J$8=TH!F1834),"x","")</f>
        <v/>
      </c>
      <c r="AC1834" s="75" t="str">
        <f>IF(AND(OR(LEFT(TH!N1834,2)="15",LEFT(TH!O1834,2)="15"),TK!$E$7=TH!F1834),"x","")</f>
        <v/>
      </c>
      <c r="AD1834" s="75" t="str">
        <f>IF(AND(N1834="1521",MONTH(C1834)='BK-NL'!$M$11),"x","")</f>
        <v/>
      </c>
    </row>
    <row r="1835" spans="1:30" ht="16.5" customHeight="1">
      <c r="A1835" s="309" t="str">
        <f>IF(B1835&lt;&gt;"",IF(AND(B1835='IN-TC'!$S$4,OR(TH!N1835="1111",TH!O1835="1111")),TH!D1835,""),"")</f>
        <v/>
      </c>
      <c r="B1835" s="1242">
        <f t="shared" si="413"/>
        <v>9</v>
      </c>
      <c r="C1835" s="252">
        <v>42986</v>
      </c>
      <c r="D1835" s="252" t="s">
        <v>864</v>
      </c>
      <c r="E1835" s="252">
        <f t="shared" si="487"/>
        <v>42986</v>
      </c>
      <c r="F1835" s="1055" t="s">
        <v>2399</v>
      </c>
      <c r="G1835" s="1056" t="s">
        <v>2106</v>
      </c>
      <c r="H1835" s="735" t="s">
        <v>1859</v>
      </c>
      <c r="I1835" s="371">
        <v>79170</v>
      </c>
      <c r="J1835" s="371">
        <v>2.2000000000000002</v>
      </c>
      <c r="K1835" s="371">
        <f t="shared" si="488"/>
        <v>174174</v>
      </c>
      <c r="L1835" s="377">
        <v>22695</v>
      </c>
      <c r="M1835" s="933">
        <f t="shared" si="489"/>
        <v>3952878930</v>
      </c>
      <c r="N1835" s="977" t="s">
        <v>536</v>
      </c>
      <c r="O1835" s="977" t="s">
        <v>288</v>
      </c>
      <c r="P1835" s="75" t="str">
        <f>IF(AND('331-CT'!$E$7=TH!H1835,OR(N1835="331",O1835="331")),"x","")</f>
        <v/>
      </c>
      <c r="Q1835" s="75" t="str">
        <f>IF(AND(B1835='111'!$L$11,OR($N1835=$Q$7,$O1835=$Q$7)),"x","")</f>
        <v/>
      </c>
      <c r="R1835" s="75" t="str">
        <f>IF(AND($N1835=$Q$7,$B1835&lt;'111'!$L$11),"x","")</f>
        <v/>
      </c>
      <c r="S1835" s="75" t="str">
        <f>IF(AND($O1835=$Q$7,$B1835&lt;'111'!$L$11),"x","")</f>
        <v/>
      </c>
      <c r="T1835" s="75" t="str">
        <f>IF(ISERROR(FIND('112'!$M$9,G1835,1)),"",IF((AND(FIND('112'!$M$9,G1835,1)&gt;=1,B1835='112'!$K$9,OR($N1835='112'!$I$6,$O1835='112'!$I$6))),"x",""))</f>
        <v/>
      </c>
      <c r="U1835" s="75" t="str">
        <f>IF(ISERROR(FIND('112'!$M$9,G1835,1)),"",IF((AND(LEFT(G1835,2)=LEFT('112'!$M$9,2),B1835&lt;'112'!$K$9,$N1835='112'!$I$6)),"x",""))</f>
        <v/>
      </c>
      <c r="V1835" s="75" t="str">
        <f>IF(ISERROR(FIND('112'!$M$9,G1835,1)),"",IF((AND(RIGHT(G1835,2)=RIGHT('112'!$M$9,2),B1835&lt;'112'!$K$9,$O1835='112'!$I$6)),"x",""))</f>
        <v/>
      </c>
      <c r="W1835" s="75" t="str">
        <f>IF(AND('341-CT'!$H$9=H1835,OR(LEFT(N1835,3)=$W$7,LEFT(O1835,3)=$W$7)),"x","")</f>
        <v/>
      </c>
      <c r="X1835" s="75" t="str">
        <f>IF(OR(TH!N1835=TH!$X$7,O1835=TH!$X$7),"x","")</f>
        <v/>
      </c>
      <c r="Y1835" s="75" t="str">
        <f>IF(AND(OR(N1835="131",O1835="131"),H1835='131-CT'!$H$9),"x","")</f>
        <v/>
      </c>
      <c r="Z1835" s="75"/>
      <c r="AA1835" s="75" t="str">
        <f>IF(AND(MONTH(E1835)='IN-NX'!$J$5,'IN-NX'!$D$7=D1835),"x","")</f>
        <v/>
      </c>
      <c r="AB1835" s="75" t="str">
        <f>IF(AND(OR(LEFT(TH!N1835,2)="15",LEFT(TH!O1835,2)="15"),LEFT(TH!O1835,3)&lt;&gt;"111",'152-CT'!$J$8=TH!F1835),"x","")</f>
        <v/>
      </c>
      <c r="AC1835" s="75" t="str">
        <f>IF(AND(OR(LEFT(TH!N1835,2)="15",LEFT(TH!O1835,2)="15"),TK!$E$7=TH!F1835),"x","")</f>
        <v/>
      </c>
      <c r="AD1835" s="75" t="str">
        <f>IF(AND(N1835="1521",MONTH(C1835)='BK-NL'!$M$11),"x","")</f>
        <v/>
      </c>
    </row>
    <row r="1836" spans="1:30" ht="16.5" customHeight="1">
      <c r="A1836" s="309" t="str">
        <f>IF(B1836&lt;&gt;"",IF(AND(B1836='IN-TC'!$S$4,OR(TH!N1836="1111",TH!O1836="1111")),TH!D1836,""),"")</f>
        <v/>
      </c>
      <c r="B1836" s="1242">
        <f t="shared" si="413"/>
        <v>9</v>
      </c>
      <c r="C1836" s="252">
        <v>42990</v>
      </c>
      <c r="D1836" s="252" t="s">
        <v>894</v>
      </c>
      <c r="E1836" s="252">
        <f t="shared" si="487"/>
        <v>42990</v>
      </c>
      <c r="F1836" s="1055" t="s">
        <v>2399</v>
      </c>
      <c r="G1836" s="1056" t="s">
        <v>2107</v>
      </c>
      <c r="H1836" s="735" t="s">
        <v>1859</v>
      </c>
      <c r="I1836" s="371">
        <v>79170</v>
      </c>
      <c r="J1836" s="371">
        <v>2.2000000000000002</v>
      </c>
      <c r="K1836" s="371">
        <f t="shared" si="488"/>
        <v>174174</v>
      </c>
      <c r="L1836" s="377">
        <v>22690</v>
      </c>
      <c r="M1836" s="933">
        <f t="shared" si="489"/>
        <v>3952008060</v>
      </c>
      <c r="N1836" s="977" t="s">
        <v>536</v>
      </c>
      <c r="O1836" s="977" t="s">
        <v>288</v>
      </c>
      <c r="P1836" s="75" t="str">
        <f>IF(AND('331-CT'!$E$7=TH!H1836,OR(N1836="331",O1836="331")),"x","")</f>
        <v/>
      </c>
      <c r="Q1836" s="75" t="str">
        <f>IF(AND(B1836='111'!$L$11,OR($N1836=$Q$7,$O1836=$Q$7)),"x","")</f>
        <v/>
      </c>
      <c r="R1836" s="75" t="str">
        <f>IF(AND($N1836=$Q$7,$B1836&lt;'111'!$L$11),"x","")</f>
        <v/>
      </c>
      <c r="S1836" s="75" t="str">
        <f>IF(AND($O1836=$Q$7,$B1836&lt;'111'!$L$11),"x","")</f>
        <v/>
      </c>
      <c r="T1836" s="75" t="str">
        <f>IF(ISERROR(FIND('112'!$M$9,G1836,1)),"",IF((AND(FIND('112'!$M$9,G1836,1)&gt;=1,B1836='112'!$K$9,OR($N1836='112'!$I$6,$O1836='112'!$I$6))),"x",""))</f>
        <v/>
      </c>
      <c r="U1836" s="75" t="str">
        <f>IF(ISERROR(FIND('112'!$M$9,G1836,1)),"",IF((AND(LEFT(G1836,2)=LEFT('112'!$M$9,2),B1836&lt;'112'!$K$9,$N1836='112'!$I$6)),"x",""))</f>
        <v/>
      </c>
      <c r="V1836" s="75" t="str">
        <f>IF(ISERROR(FIND('112'!$M$9,G1836,1)),"",IF((AND(RIGHT(G1836,2)=RIGHT('112'!$M$9,2),B1836&lt;'112'!$K$9,$O1836='112'!$I$6)),"x",""))</f>
        <v/>
      </c>
      <c r="W1836" s="75" t="str">
        <f>IF(AND('341-CT'!$H$9=H1836,OR(LEFT(N1836,3)=$W$7,LEFT(O1836,3)=$W$7)),"x","")</f>
        <v/>
      </c>
      <c r="X1836" s="75" t="str">
        <f>IF(OR(TH!N1836=TH!$X$7,O1836=TH!$X$7),"x","")</f>
        <v/>
      </c>
      <c r="Y1836" s="75" t="str">
        <f>IF(AND(OR(N1836="131",O1836="131"),H1836='131-CT'!$H$9),"x","")</f>
        <v/>
      </c>
      <c r="Z1836" s="75"/>
      <c r="AA1836" s="75" t="str">
        <f>IF(AND(MONTH(E1836)='IN-NX'!$J$5,'IN-NX'!$D$7=D1836),"x","")</f>
        <v/>
      </c>
      <c r="AB1836" s="75" t="str">
        <f>IF(AND(OR(LEFT(TH!N1836,2)="15",LEFT(TH!O1836,2)="15"),LEFT(TH!O1836,3)&lt;&gt;"111",'152-CT'!$J$8=TH!F1836),"x","")</f>
        <v/>
      </c>
      <c r="AC1836" s="75" t="str">
        <f>IF(AND(OR(LEFT(TH!N1836,2)="15",LEFT(TH!O1836,2)="15"),TK!$E$7=TH!F1836),"x","")</f>
        <v/>
      </c>
      <c r="AD1836" s="75" t="str">
        <f>IF(AND(N1836="1521",MONTH(C1836)='BK-NL'!$M$11),"x","")</f>
        <v/>
      </c>
    </row>
    <row r="1837" spans="1:30" ht="16.5" customHeight="1">
      <c r="A1837" s="309" t="str">
        <f>IF(B1837&lt;&gt;"",IF(AND(B1837='IN-TC'!$S$4,OR(TH!N1837="1111",TH!O1837="1111")),TH!D1837,""),"")</f>
        <v/>
      </c>
      <c r="B1837" s="1242">
        <f t="shared" si="413"/>
        <v>9</v>
      </c>
      <c r="C1837" s="252">
        <v>42990</v>
      </c>
      <c r="D1837" s="252" t="s">
        <v>1404</v>
      </c>
      <c r="E1837" s="252">
        <f t="shared" si="487"/>
        <v>42990</v>
      </c>
      <c r="F1837" s="1055" t="s">
        <v>429</v>
      </c>
      <c r="G1837" s="1056" t="s">
        <v>2108</v>
      </c>
      <c r="H1837" s="735" t="s">
        <v>759</v>
      </c>
      <c r="I1837" s="371">
        <v>52780</v>
      </c>
      <c r="J1837" s="371">
        <v>2.42</v>
      </c>
      <c r="K1837" s="371">
        <f t="shared" si="488"/>
        <v>127727.59999999999</v>
      </c>
      <c r="L1837" s="377">
        <v>22690</v>
      </c>
      <c r="M1837" s="933">
        <f t="shared" si="489"/>
        <v>2898139244</v>
      </c>
      <c r="N1837" s="977" t="s">
        <v>536</v>
      </c>
      <c r="O1837" s="977" t="s">
        <v>288</v>
      </c>
      <c r="P1837" s="75" t="str">
        <f>IF(AND('331-CT'!$E$7=TH!H1837,OR(N1837="331",O1837="331")),"x","")</f>
        <v/>
      </c>
      <c r="Q1837" s="75" t="str">
        <f>IF(AND(B1837='111'!$L$11,OR($N1837=$Q$7,$O1837=$Q$7)),"x","")</f>
        <v/>
      </c>
      <c r="R1837" s="75" t="str">
        <f>IF(AND($N1837=$Q$7,$B1837&lt;'111'!$L$11),"x","")</f>
        <v/>
      </c>
      <c r="S1837" s="75" t="str">
        <f>IF(AND($O1837=$Q$7,$B1837&lt;'111'!$L$11),"x","")</f>
        <v/>
      </c>
      <c r="T1837" s="75" t="str">
        <f>IF(ISERROR(FIND('112'!$M$9,G1837,1)),"",IF((AND(FIND('112'!$M$9,G1837,1)&gt;=1,B1837='112'!$K$9,OR($N1837='112'!$I$6,$O1837='112'!$I$6))),"x",""))</f>
        <v/>
      </c>
      <c r="U1837" s="75" t="str">
        <f>IF(ISERROR(FIND('112'!$M$9,G1837,1)),"",IF((AND(LEFT(G1837,2)=LEFT('112'!$M$9,2),B1837&lt;'112'!$K$9,$N1837='112'!$I$6)),"x",""))</f>
        <v/>
      </c>
      <c r="V1837" s="75" t="str">
        <f>IF(ISERROR(FIND('112'!$M$9,G1837,1)),"",IF((AND(RIGHT(G1837,2)=RIGHT('112'!$M$9,2),B1837&lt;'112'!$K$9,$O1837='112'!$I$6)),"x",""))</f>
        <v/>
      </c>
      <c r="W1837" s="75" t="str">
        <f>IF(AND('341-CT'!$H$9=H1837,OR(LEFT(N1837,3)=$W$7,LEFT(O1837,3)=$W$7)),"x","")</f>
        <v/>
      </c>
      <c r="X1837" s="75" t="str">
        <f>IF(OR(TH!N1837=TH!$X$7,O1837=TH!$X$7),"x","")</f>
        <v/>
      </c>
      <c r="Y1837" s="75" t="str">
        <f>IF(AND(OR(N1837="131",O1837="131"),H1837='131-CT'!$H$9),"x","")</f>
        <v/>
      </c>
      <c r="Z1837" s="75"/>
      <c r="AA1837" s="75" t="str">
        <f>IF(AND(MONTH(E1837)='IN-NX'!$J$5,'IN-NX'!$D$7=D1837),"x","")</f>
        <v/>
      </c>
      <c r="AB1837" s="75" t="str">
        <f>IF(AND(OR(LEFT(TH!N1837,2)="15",LEFT(TH!O1837,2)="15"),LEFT(TH!O1837,3)&lt;&gt;"111",'152-CT'!$J$8=TH!F1837),"x","")</f>
        <v/>
      </c>
      <c r="AC1837" s="75" t="str">
        <f>IF(AND(OR(LEFT(TH!N1837,2)="15",LEFT(TH!O1837,2)="15"),TK!$E$7=TH!F1837),"x","")</f>
        <v/>
      </c>
      <c r="AD1837" s="75" t="str">
        <f>IF(AND(N1837="1521",MONTH(C1837)='BK-NL'!$M$11),"x","")</f>
        <v/>
      </c>
    </row>
    <row r="1838" spans="1:30" ht="16.5" customHeight="1">
      <c r="A1838" s="309" t="str">
        <f>IF(B1838&lt;&gt;"",IF(AND(B1838='IN-TC'!$S$4,OR(TH!N1838="1111",TH!O1838="1111")),TH!D1838,""),"")</f>
        <v/>
      </c>
      <c r="B1838" s="1242">
        <f t="shared" si="413"/>
        <v>9</v>
      </c>
      <c r="C1838" s="252">
        <v>42992</v>
      </c>
      <c r="D1838" s="252" t="s">
        <v>1405</v>
      </c>
      <c r="E1838" s="252">
        <f t="shared" si="487"/>
        <v>42992</v>
      </c>
      <c r="F1838" s="1055" t="s">
        <v>2399</v>
      </c>
      <c r="G1838" s="1056" t="s">
        <v>2109</v>
      </c>
      <c r="H1838" s="735" t="s">
        <v>1859</v>
      </c>
      <c r="I1838" s="371">
        <v>79170</v>
      </c>
      <c r="J1838" s="371">
        <v>2.2000000000000002</v>
      </c>
      <c r="K1838" s="371">
        <f t="shared" si="488"/>
        <v>174174</v>
      </c>
      <c r="L1838" s="377">
        <v>22690</v>
      </c>
      <c r="M1838" s="933">
        <f t="shared" si="489"/>
        <v>3952008060</v>
      </c>
      <c r="N1838" s="977" t="s">
        <v>536</v>
      </c>
      <c r="O1838" s="977" t="s">
        <v>288</v>
      </c>
      <c r="P1838" s="75" t="str">
        <f>IF(AND('331-CT'!$E$7=TH!H1838,OR(N1838="331",O1838="331")),"x","")</f>
        <v/>
      </c>
      <c r="Q1838" s="75" t="str">
        <f>IF(AND(B1838='111'!$L$11,OR($N1838=$Q$7,$O1838=$Q$7)),"x","")</f>
        <v/>
      </c>
      <c r="R1838" s="75" t="str">
        <f>IF(AND($N1838=$Q$7,$B1838&lt;'111'!$L$11),"x","")</f>
        <v/>
      </c>
      <c r="S1838" s="75" t="str">
        <f>IF(AND($O1838=$Q$7,$B1838&lt;'111'!$L$11),"x","")</f>
        <v/>
      </c>
      <c r="T1838" s="75" t="str">
        <f>IF(ISERROR(FIND('112'!$M$9,G1838,1)),"",IF((AND(FIND('112'!$M$9,G1838,1)&gt;=1,B1838='112'!$K$9,OR($N1838='112'!$I$6,$O1838='112'!$I$6))),"x",""))</f>
        <v/>
      </c>
      <c r="U1838" s="75" t="str">
        <f>IF(ISERROR(FIND('112'!$M$9,G1838,1)),"",IF((AND(LEFT(G1838,2)=LEFT('112'!$M$9,2),B1838&lt;'112'!$K$9,$N1838='112'!$I$6)),"x",""))</f>
        <v/>
      </c>
      <c r="V1838" s="75" t="str">
        <f>IF(ISERROR(FIND('112'!$M$9,G1838,1)),"",IF((AND(RIGHT(G1838,2)=RIGHT('112'!$M$9,2),B1838&lt;'112'!$K$9,$O1838='112'!$I$6)),"x",""))</f>
        <v/>
      </c>
      <c r="W1838" s="75" t="str">
        <f>IF(AND('341-CT'!$H$9=H1838,OR(LEFT(N1838,3)=$W$7,LEFT(O1838,3)=$W$7)),"x","")</f>
        <v/>
      </c>
      <c r="X1838" s="75" t="str">
        <f>IF(OR(TH!N1838=TH!$X$7,O1838=TH!$X$7),"x","")</f>
        <v/>
      </c>
      <c r="Y1838" s="75" t="str">
        <f>IF(AND(OR(N1838="131",O1838="131"),H1838='131-CT'!$H$9),"x","")</f>
        <v/>
      </c>
      <c r="Z1838" s="75"/>
      <c r="AA1838" s="75" t="str">
        <f>IF(AND(MONTH(E1838)='IN-NX'!$J$5,'IN-NX'!$D$7=D1838),"x","")</f>
        <v/>
      </c>
      <c r="AB1838" s="75" t="str">
        <f>IF(AND(OR(LEFT(TH!N1838,2)="15",LEFT(TH!O1838,2)="15"),LEFT(TH!O1838,3)&lt;&gt;"111",'152-CT'!$J$8=TH!F1838),"x","")</f>
        <v/>
      </c>
      <c r="AC1838" s="75" t="str">
        <f>IF(AND(OR(LEFT(TH!N1838,2)="15",LEFT(TH!O1838,2)="15"),TK!$E$7=TH!F1838),"x","")</f>
        <v/>
      </c>
      <c r="AD1838" s="75" t="str">
        <f>IF(AND(N1838="1521",MONTH(C1838)='BK-NL'!$M$11),"x","")</f>
        <v/>
      </c>
    </row>
    <row r="1839" spans="1:30" ht="16.5" customHeight="1">
      <c r="A1839" s="309" t="str">
        <f>IF(B1839&lt;&gt;"",IF(AND(B1839='IN-TC'!$S$4,OR(TH!N1839="1111",TH!O1839="1111")),TH!D1839,""),"")</f>
        <v/>
      </c>
      <c r="B1839" s="1242">
        <f t="shared" si="413"/>
        <v>9</v>
      </c>
      <c r="C1839" s="252">
        <v>42996</v>
      </c>
      <c r="D1839" s="252" t="s">
        <v>1417</v>
      </c>
      <c r="E1839" s="252">
        <f t="shared" si="487"/>
        <v>42996</v>
      </c>
      <c r="F1839" s="1055" t="s">
        <v>429</v>
      </c>
      <c r="G1839" s="1056" t="s">
        <v>2110</v>
      </c>
      <c r="H1839" s="735" t="s">
        <v>759</v>
      </c>
      <c r="I1839" s="371">
        <v>158340</v>
      </c>
      <c r="J1839" s="371">
        <v>2.42</v>
      </c>
      <c r="K1839" s="371">
        <f t="shared" si="488"/>
        <v>383182.8</v>
      </c>
      <c r="L1839" s="377">
        <v>22690</v>
      </c>
      <c r="M1839" s="933">
        <f t="shared" si="489"/>
        <v>8694417732</v>
      </c>
      <c r="N1839" s="977" t="s">
        <v>536</v>
      </c>
      <c r="O1839" s="977" t="s">
        <v>288</v>
      </c>
      <c r="P1839" s="75" t="str">
        <f>IF(AND('331-CT'!$E$7=TH!H1839,OR(N1839="331",O1839="331")),"x","")</f>
        <v/>
      </c>
      <c r="Q1839" s="75" t="str">
        <f>IF(AND(B1839='111'!$L$11,OR($N1839=$Q$7,$O1839=$Q$7)),"x","")</f>
        <v/>
      </c>
      <c r="R1839" s="75" t="str">
        <f>IF(AND($N1839=$Q$7,$B1839&lt;'111'!$L$11),"x","")</f>
        <v/>
      </c>
      <c r="S1839" s="75" t="str">
        <f>IF(AND($O1839=$Q$7,$B1839&lt;'111'!$L$11),"x","")</f>
        <v/>
      </c>
      <c r="T1839" s="75" t="str">
        <f>IF(ISERROR(FIND('112'!$M$9,G1839,1)),"",IF((AND(FIND('112'!$M$9,G1839,1)&gt;=1,B1839='112'!$K$9,OR($N1839='112'!$I$6,$O1839='112'!$I$6))),"x",""))</f>
        <v/>
      </c>
      <c r="U1839" s="75" t="str">
        <f>IF(ISERROR(FIND('112'!$M$9,G1839,1)),"",IF((AND(LEFT(G1839,2)=LEFT('112'!$M$9,2),B1839&lt;'112'!$K$9,$N1839='112'!$I$6)),"x",""))</f>
        <v/>
      </c>
      <c r="V1839" s="75" t="str">
        <f>IF(ISERROR(FIND('112'!$M$9,G1839,1)),"",IF((AND(RIGHT(G1839,2)=RIGHT('112'!$M$9,2),B1839&lt;'112'!$K$9,$O1839='112'!$I$6)),"x",""))</f>
        <v/>
      </c>
      <c r="W1839" s="75" t="str">
        <f>IF(AND('341-CT'!$H$9=H1839,OR(LEFT(N1839,3)=$W$7,LEFT(O1839,3)=$W$7)),"x","")</f>
        <v/>
      </c>
      <c r="X1839" s="75" t="str">
        <f>IF(OR(TH!N1839=TH!$X$7,O1839=TH!$X$7),"x","")</f>
        <v/>
      </c>
      <c r="Y1839" s="75" t="str">
        <f>IF(AND(OR(N1839="131",O1839="131"),H1839='131-CT'!$H$9),"x","")</f>
        <v/>
      </c>
      <c r="Z1839" s="75"/>
      <c r="AA1839" s="75" t="str">
        <f>IF(AND(MONTH(E1839)='IN-NX'!$J$5,'IN-NX'!$D$7=D1839),"x","")</f>
        <v/>
      </c>
      <c r="AB1839" s="75" t="str">
        <f>IF(AND(OR(LEFT(TH!N1839,2)="15",LEFT(TH!O1839,2)="15"),LEFT(TH!O1839,3)&lt;&gt;"111",'152-CT'!$J$8=TH!F1839),"x","")</f>
        <v/>
      </c>
      <c r="AC1839" s="75" t="str">
        <f>IF(AND(OR(LEFT(TH!N1839,2)="15",LEFT(TH!O1839,2)="15"),TK!$E$7=TH!F1839),"x","")</f>
        <v/>
      </c>
      <c r="AD1839" s="75" t="str">
        <f>IF(AND(N1839="1521",MONTH(C1839)='BK-NL'!$M$11),"x","")</f>
        <v/>
      </c>
    </row>
    <row r="1840" spans="1:30" ht="16.5" customHeight="1">
      <c r="A1840" s="309" t="str">
        <f>IF(B1840&lt;&gt;"",IF(AND(B1840='IN-TC'!$S$4,OR(TH!N1840="1111",TH!O1840="1111")),TH!D1840,""),"")</f>
        <v/>
      </c>
      <c r="B1840" s="1242">
        <f t="shared" si="413"/>
        <v>9</v>
      </c>
      <c r="C1840" s="252">
        <v>42996</v>
      </c>
      <c r="D1840" s="252" t="s">
        <v>1451</v>
      </c>
      <c r="E1840" s="252">
        <f t="shared" si="487"/>
        <v>42996</v>
      </c>
      <c r="F1840" s="1055" t="s">
        <v>429</v>
      </c>
      <c r="G1840" s="1056" t="s">
        <v>2111</v>
      </c>
      <c r="H1840" s="735" t="s">
        <v>759</v>
      </c>
      <c r="I1840" s="371">
        <v>52780</v>
      </c>
      <c r="J1840" s="371">
        <v>2.42</v>
      </c>
      <c r="K1840" s="371">
        <f t="shared" si="488"/>
        <v>127727.59999999999</v>
      </c>
      <c r="L1840" s="377">
        <v>22690</v>
      </c>
      <c r="M1840" s="933">
        <f t="shared" si="489"/>
        <v>2898139244</v>
      </c>
      <c r="N1840" s="977" t="s">
        <v>536</v>
      </c>
      <c r="O1840" s="977" t="s">
        <v>288</v>
      </c>
      <c r="P1840" s="75" t="str">
        <f>IF(AND('331-CT'!$E$7=TH!H1840,OR(N1840="331",O1840="331")),"x","")</f>
        <v/>
      </c>
      <c r="Q1840" s="75" t="str">
        <f>IF(AND(B1840='111'!$L$11,OR($N1840=$Q$7,$O1840=$Q$7)),"x","")</f>
        <v/>
      </c>
      <c r="R1840" s="75" t="str">
        <f>IF(AND($N1840=$Q$7,$B1840&lt;'111'!$L$11),"x","")</f>
        <v/>
      </c>
      <c r="S1840" s="75" t="str">
        <f>IF(AND($O1840=$Q$7,$B1840&lt;'111'!$L$11),"x","")</f>
        <v/>
      </c>
      <c r="T1840" s="75" t="str">
        <f>IF(ISERROR(FIND('112'!$M$9,G1840,1)),"",IF((AND(FIND('112'!$M$9,G1840,1)&gt;=1,B1840='112'!$K$9,OR($N1840='112'!$I$6,$O1840='112'!$I$6))),"x",""))</f>
        <v/>
      </c>
      <c r="U1840" s="75" t="str">
        <f>IF(ISERROR(FIND('112'!$M$9,G1840,1)),"",IF((AND(LEFT(G1840,2)=LEFT('112'!$M$9,2),B1840&lt;'112'!$K$9,$N1840='112'!$I$6)),"x",""))</f>
        <v/>
      </c>
      <c r="V1840" s="75" t="str">
        <f>IF(ISERROR(FIND('112'!$M$9,G1840,1)),"",IF((AND(RIGHT(G1840,2)=RIGHT('112'!$M$9,2),B1840&lt;'112'!$K$9,$O1840='112'!$I$6)),"x",""))</f>
        <v/>
      </c>
      <c r="W1840" s="75" t="str">
        <f>IF(AND('341-CT'!$H$9=H1840,OR(LEFT(N1840,3)=$W$7,LEFT(O1840,3)=$W$7)),"x","")</f>
        <v/>
      </c>
      <c r="X1840" s="75" t="str">
        <f>IF(OR(TH!N1840=TH!$X$7,O1840=TH!$X$7),"x","")</f>
        <v/>
      </c>
      <c r="Y1840" s="75" t="str">
        <f>IF(AND(OR(N1840="131",O1840="131"),H1840='131-CT'!$H$9),"x","")</f>
        <v/>
      </c>
      <c r="Z1840" s="75"/>
      <c r="AA1840" s="75" t="str">
        <f>IF(AND(MONTH(E1840)='IN-NX'!$J$5,'IN-NX'!$D$7=D1840),"x","")</f>
        <v/>
      </c>
      <c r="AB1840" s="75" t="str">
        <f>IF(AND(OR(LEFT(TH!N1840,2)="15",LEFT(TH!O1840,2)="15"),LEFT(TH!O1840,3)&lt;&gt;"111",'152-CT'!$J$8=TH!F1840),"x","")</f>
        <v/>
      </c>
      <c r="AC1840" s="75" t="str">
        <f>IF(AND(OR(LEFT(TH!N1840,2)="15",LEFT(TH!O1840,2)="15"),TK!$E$7=TH!F1840),"x","")</f>
        <v/>
      </c>
      <c r="AD1840" s="75" t="str">
        <f>IF(AND(N1840="1521",MONTH(C1840)='BK-NL'!$M$11),"x","")</f>
        <v/>
      </c>
    </row>
    <row r="1841" spans="1:32" ht="16.5" customHeight="1">
      <c r="A1841" s="309" t="str">
        <f>IF(B1841&lt;&gt;"",IF(AND(B1841='IN-TC'!$S$4,OR(TH!N1841="1111",TH!O1841="1111")),TH!D1841,""),"")</f>
        <v/>
      </c>
      <c r="B1841" s="1242">
        <f t="shared" si="413"/>
        <v>9</v>
      </c>
      <c r="C1841" s="252">
        <v>42997</v>
      </c>
      <c r="D1841" s="252" t="s">
        <v>1452</v>
      </c>
      <c r="E1841" s="252">
        <f t="shared" si="487"/>
        <v>42997</v>
      </c>
      <c r="F1841" s="1055" t="s">
        <v>429</v>
      </c>
      <c r="G1841" s="1056" t="s">
        <v>1913</v>
      </c>
      <c r="H1841" s="735" t="s">
        <v>759</v>
      </c>
      <c r="I1841" s="371">
        <v>105560</v>
      </c>
      <c r="J1841" s="371">
        <v>2.42</v>
      </c>
      <c r="K1841" s="371">
        <f t="shared" si="488"/>
        <v>255455.19999999998</v>
      </c>
      <c r="L1841" s="377">
        <v>22690</v>
      </c>
      <c r="M1841" s="933">
        <f t="shared" si="489"/>
        <v>5796278488</v>
      </c>
      <c r="N1841" s="977" t="s">
        <v>536</v>
      </c>
      <c r="O1841" s="977" t="s">
        <v>288</v>
      </c>
      <c r="P1841" s="75" t="str">
        <f>IF(AND('331-CT'!$E$7=TH!H1841,OR(N1841="331",O1841="331")),"x","")</f>
        <v/>
      </c>
      <c r="Q1841" s="75" t="str">
        <f>IF(AND(B1841='111'!$L$11,OR($N1841=$Q$7,$O1841=$Q$7)),"x","")</f>
        <v/>
      </c>
      <c r="R1841" s="75" t="str">
        <f>IF(AND($N1841=$Q$7,$B1841&lt;'111'!$L$11),"x","")</f>
        <v/>
      </c>
      <c r="S1841" s="75" t="str">
        <f>IF(AND($O1841=$Q$7,$B1841&lt;'111'!$L$11),"x","")</f>
        <v/>
      </c>
      <c r="T1841" s="75" t="str">
        <f>IF(ISERROR(FIND('112'!$M$9,G1841,1)),"",IF((AND(FIND('112'!$M$9,G1841,1)&gt;=1,B1841='112'!$K$9,OR($N1841='112'!$I$6,$O1841='112'!$I$6))),"x",""))</f>
        <v/>
      </c>
      <c r="U1841" s="75" t="str">
        <f>IF(ISERROR(FIND('112'!$M$9,G1841,1)),"",IF((AND(LEFT(G1841,2)=LEFT('112'!$M$9,2),B1841&lt;'112'!$K$9,$N1841='112'!$I$6)),"x",""))</f>
        <v/>
      </c>
      <c r="V1841" s="75" t="str">
        <f>IF(ISERROR(FIND('112'!$M$9,G1841,1)),"",IF((AND(RIGHT(G1841,2)=RIGHT('112'!$M$9,2),B1841&lt;'112'!$K$9,$O1841='112'!$I$6)),"x",""))</f>
        <v/>
      </c>
      <c r="W1841" s="75" t="str">
        <f>IF(AND('341-CT'!$H$9=H1841,OR(LEFT(N1841,3)=$W$7,LEFT(O1841,3)=$W$7)),"x","")</f>
        <v/>
      </c>
      <c r="X1841" s="75" t="str">
        <f>IF(OR(TH!N1841=TH!$X$7,O1841=TH!$X$7),"x","")</f>
        <v/>
      </c>
      <c r="Y1841" s="75" t="str">
        <f>IF(AND(OR(N1841="131",O1841="131"),H1841='131-CT'!$H$9),"x","")</f>
        <v/>
      </c>
      <c r="Z1841" s="75"/>
      <c r="AA1841" s="75" t="str">
        <f>IF(AND(MONTH(E1841)='IN-NX'!$J$5,'IN-NX'!$D$7=D1841),"x","")</f>
        <v/>
      </c>
      <c r="AB1841" s="75" t="str">
        <f>IF(AND(OR(LEFT(TH!N1841,2)="15",LEFT(TH!O1841,2)="15"),LEFT(TH!O1841,3)&lt;&gt;"111",'152-CT'!$J$8=TH!F1841),"x","")</f>
        <v/>
      </c>
      <c r="AC1841" s="75" t="str">
        <f>IF(AND(OR(LEFT(TH!N1841,2)="15",LEFT(TH!O1841,2)="15"),TK!$E$7=TH!F1841),"x","")</f>
        <v/>
      </c>
      <c r="AD1841" s="75" t="str">
        <f>IF(AND(N1841="1521",MONTH(C1841)='BK-NL'!$M$11),"x","")</f>
        <v/>
      </c>
    </row>
    <row r="1842" spans="1:32" ht="16.5" customHeight="1">
      <c r="A1842" s="309" t="str">
        <f>IF(B1842&lt;&gt;"",IF(AND(B1842='IN-TC'!$S$4,OR(TH!N1842="1111",TH!O1842="1111")),TH!D1842,""),"")</f>
        <v/>
      </c>
      <c r="B1842" s="1242">
        <f t="shared" ref="B1842" si="492">IF(C1842&lt;&gt;"",MONTH(C1842),"")</f>
        <v>9</v>
      </c>
      <c r="C1842" s="252">
        <v>42998</v>
      </c>
      <c r="D1842" s="252" t="s">
        <v>2200</v>
      </c>
      <c r="E1842" s="252">
        <f t="shared" ref="E1842" si="493">C1842</f>
        <v>42998</v>
      </c>
      <c r="F1842" s="1055" t="s">
        <v>1582</v>
      </c>
      <c r="G1842" s="1056" t="s">
        <v>2326</v>
      </c>
      <c r="H1842" s="735" t="s">
        <v>546</v>
      </c>
      <c r="I1842" s="371">
        <v>700</v>
      </c>
      <c r="J1842" s="371">
        <v>8.4</v>
      </c>
      <c r="K1842" s="371">
        <f t="shared" ref="K1842" si="494">I1842*J1842</f>
        <v>5880</v>
      </c>
      <c r="L1842" s="377">
        <v>22690</v>
      </c>
      <c r="M1842" s="933">
        <f t="shared" si="489"/>
        <v>133417200</v>
      </c>
      <c r="N1842" s="977" t="s">
        <v>536</v>
      </c>
      <c r="O1842" s="977" t="s">
        <v>288</v>
      </c>
      <c r="P1842" s="75" t="str">
        <f>IF(AND('331-CT'!$E$7=TH!H1842,OR(N1842="331",O1842="331")),"x","")</f>
        <v/>
      </c>
      <c r="Q1842" s="75" t="str">
        <f>IF(AND(B1842='111'!$L$11,OR($N1842=$Q$7,$O1842=$Q$7)),"x","")</f>
        <v/>
      </c>
      <c r="R1842" s="75" t="str">
        <f>IF(AND($N1842=$Q$7,$B1842&lt;'111'!$L$11),"x","")</f>
        <v/>
      </c>
      <c r="S1842" s="75" t="str">
        <f>IF(AND($O1842=$Q$7,$B1842&lt;'111'!$L$11),"x","")</f>
        <v/>
      </c>
      <c r="T1842" s="75" t="str">
        <f>IF(ISERROR(FIND('112'!$M$9,G1842,1)),"",IF((AND(FIND('112'!$M$9,G1842,1)&gt;=1,B1842='112'!$K$9,OR($N1842='112'!$I$6,$O1842='112'!$I$6))),"x",""))</f>
        <v/>
      </c>
      <c r="U1842" s="75" t="str">
        <f>IF(ISERROR(FIND('112'!$M$9,G1842,1)),"",IF((AND(LEFT(G1842,2)=LEFT('112'!$M$9,2),B1842&lt;'112'!$K$9,$N1842='112'!$I$6)),"x",""))</f>
        <v/>
      </c>
      <c r="V1842" s="75" t="str">
        <f>IF(ISERROR(FIND('112'!$M$9,G1842,1)),"",IF((AND(RIGHT(G1842,2)=RIGHT('112'!$M$9,2),B1842&lt;'112'!$K$9,$O1842='112'!$I$6)),"x",""))</f>
        <v/>
      </c>
      <c r="W1842" s="75" t="str">
        <f>IF(AND('341-CT'!$H$9=H1842,OR(LEFT(N1842,3)=$W$7,LEFT(O1842,3)=$W$7)),"x","")</f>
        <v/>
      </c>
      <c r="X1842" s="75" t="str">
        <f>IF(OR(TH!N1842=TH!$X$7,O1842=TH!$X$7),"x","")</f>
        <v/>
      </c>
      <c r="Y1842" s="75" t="str">
        <f>IF(AND(OR(N1842="131",O1842="131"),H1842='131-CT'!$H$9),"x","")</f>
        <v/>
      </c>
      <c r="Z1842" s="75"/>
      <c r="AA1842" s="75" t="str">
        <f>IF(AND(MONTH(E1842)='IN-NX'!$J$5,'IN-NX'!$D$7=D1842),"x","")</f>
        <v/>
      </c>
      <c r="AB1842" s="75" t="str">
        <f>IF(AND(OR(LEFT(TH!N1842,2)="15",LEFT(TH!O1842,2)="15"),LEFT(TH!O1842,3)&lt;&gt;"111",'152-CT'!$J$8=TH!F1842),"x","")</f>
        <v/>
      </c>
      <c r="AC1842" s="75" t="str">
        <f>IF(AND(OR(LEFT(TH!N1842,2)="15",LEFT(TH!O1842,2)="15"),TK!$E$7=TH!F1842),"x","")</f>
        <v/>
      </c>
      <c r="AD1842" s="75" t="str">
        <f>IF(AND(N1842="1521",MONTH(C1842)='BK-NL'!$M$11),"x","")</f>
        <v/>
      </c>
    </row>
    <row r="1843" spans="1:32" ht="16.5" customHeight="1">
      <c r="A1843" s="309" t="str">
        <f>IF(B1843&lt;&gt;"",IF(AND(B1843='IN-TC'!$S$4,OR(TH!N1843="1111",TH!O1843="1111")),TH!D1843,""),"")</f>
        <v/>
      </c>
      <c r="B1843" s="1242">
        <f t="shared" ref="B1843" si="495">IF(C1843&lt;&gt;"",MONTH(C1843),"")</f>
        <v>9</v>
      </c>
      <c r="C1843" s="252">
        <v>42998</v>
      </c>
      <c r="D1843" s="252" t="s">
        <v>2200</v>
      </c>
      <c r="E1843" s="252">
        <f t="shared" ref="E1843" si="496">C1843</f>
        <v>42998</v>
      </c>
      <c r="F1843" s="1055" t="s">
        <v>1107</v>
      </c>
      <c r="G1843" s="1056" t="s">
        <v>2326</v>
      </c>
      <c r="H1843" s="735" t="s">
        <v>546</v>
      </c>
      <c r="I1843" s="371">
        <v>1620</v>
      </c>
      <c r="J1843" s="371">
        <v>9.5</v>
      </c>
      <c r="K1843" s="371">
        <f t="shared" ref="K1843:K1844" si="497">I1843*J1843</f>
        <v>15390</v>
      </c>
      <c r="L1843" s="377">
        <v>22690</v>
      </c>
      <c r="M1843" s="933">
        <f t="shared" si="489"/>
        <v>349199100</v>
      </c>
      <c r="N1843" s="977" t="s">
        <v>536</v>
      </c>
      <c r="O1843" s="977" t="s">
        <v>288</v>
      </c>
      <c r="P1843" s="75" t="str">
        <f>IF(AND('331-CT'!$E$7=TH!H1843,OR(N1843="331",O1843="331")),"x","")</f>
        <v/>
      </c>
      <c r="Q1843" s="75" t="str">
        <f>IF(AND(B1843='111'!$L$11,OR($N1843=$Q$7,$O1843=$Q$7)),"x","")</f>
        <v/>
      </c>
      <c r="R1843" s="75" t="str">
        <f>IF(AND($N1843=$Q$7,$B1843&lt;'111'!$L$11),"x","")</f>
        <v/>
      </c>
      <c r="S1843" s="75" t="str">
        <f>IF(AND($O1843=$Q$7,$B1843&lt;'111'!$L$11),"x","")</f>
        <v/>
      </c>
      <c r="T1843" s="75" t="str">
        <f>IF(ISERROR(FIND('112'!$M$9,G1843,1)),"",IF((AND(FIND('112'!$M$9,G1843,1)&gt;=1,B1843='112'!$K$9,OR($N1843='112'!$I$6,$O1843='112'!$I$6))),"x",""))</f>
        <v/>
      </c>
      <c r="U1843" s="75" t="str">
        <f>IF(ISERROR(FIND('112'!$M$9,G1843,1)),"",IF((AND(LEFT(G1843,2)=LEFT('112'!$M$9,2),B1843&lt;'112'!$K$9,$N1843='112'!$I$6)),"x",""))</f>
        <v/>
      </c>
      <c r="V1843" s="75" t="str">
        <f>IF(ISERROR(FIND('112'!$M$9,G1843,1)),"",IF((AND(RIGHT(G1843,2)=RIGHT('112'!$M$9,2),B1843&lt;'112'!$K$9,$O1843='112'!$I$6)),"x",""))</f>
        <v/>
      </c>
      <c r="W1843" s="75" t="str">
        <f>IF(AND('341-CT'!$H$9=H1843,OR(LEFT(N1843,3)=$W$7,LEFT(O1843,3)=$W$7)),"x","")</f>
        <v/>
      </c>
      <c r="X1843" s="75" t="str">
        <f>IF(OR(TH!N1843=TH!$X$7,O1843=TH!$X$7),"x","")</f>
        <v/>
      </c>
      <c r="Y1843" s="75" t="str">
        <f>IF(AND(OR(N1843="131",O1843="131"),H1843='131-CT'!$H$9),"x","")</f>
        <v/>
      </c>
      <c r="Z1843" s="75"/>
      <c r="AA1843" s="75" t="str">
        <f>IF(AND(MONTH(E1843)='IN-NX'!$J$5,'IN-NX'!$D$7=D1843),"x","")</f>
        <v/>
      </c>
      <c r="AB1843" s="75" t="str">
        <f>IF(AND(OR(LEFT(TH!N1843,2)="15",LEFT(TH!O1843,2)="15"),LEFT(TH!O1843,3)&lt;&gt;"111",'152-CT'!$J$8=TH!F1843),"x","")</f>
        <v/>
      </c>
      <c r="AC1843" s="75" t="str">
        <f>IF(AND(OR(LEFT(TH!N1843,2)="15",LEFT(TH!O1843,2)="15"),TK!$E$7=TH!F1843),"x","")</f>
        <v/>
      </c>
      <c r="AD1843" s="75" t="str">
        <f>IF(AND(N1843="1521",MONTH(C1843)='BK-NL'!$M$11),"x","")</f>
        <v/>
      </c>
    </row>
    <row r="1844" spans="1:32" ht="16.5" customHeight="1">
      <c r="A1844" s="309" t="str">
        <f>IF(B1844&lt;&gt;"",IF(AND(B1844='IN-TC'!$S$4,OR(TH!N1844="1111",TH!O1844="1111")),TH!D1844,""),"")</f>
        <v/>
      </c>
      <c r="B1844" s="1242">
        <f t="shared" ref="B1844" si="498">IF(C1844&lt;&gt;"",MONTH(C1844),"")</f>
        <v>9</v>
      </c>
      <c r="C1844" s="252">
        <v>42998</v>
      </c>
      <c r="D1844" s="252" t="s">
        <v>2200</v>
      </c>
      <c r="E1844" s="252">
        <f t="shared" ref="E1844" si="499">C1844</f>
        <v>42998</v>
      </c>
      <c r="F1844" s="1055" t="s">
        <v>1584</v>
      </c>
      <c r="G1844" s="1056" t="s">
        <v>2326</v>
      </c>
      <c r="H1844" s="735" t="s">
        <v>546</v>
      </c>
      <c r="I1844" s="371">
        <v>1880</v>
      </c>
      <c r="J1844" s="371">
        <v>9.1999999999999993</v>
      </c>
      <c r="K1844" s="371">
        <f t="shared" si="497"/>
        <v>17296</v>
      </c>
      <c r="L1844" s="377">
        <v>22690</v>
      </c>
      <c r="M1844" s="933">
        <f t="shared" si="489"/>
        <v>392446240</v>
      </c>
      <c r="N1844" s="977" t="s">
        <v>536</v>
      </c>
      <c r="O1844" s="977" t="s">
        <v>288</v>
      </c>
      <c r="P1844" s="75" t="str">
        <f>IF(AND('331-CT'!$E$7=TH!H1844,OR(N1844="331",O1844="331")),"x","")</f>
        <v/>
      </c>
      <c r="Q1844" s="75" t="str">
        <f>IF(AND(B1844='111'!$L$11,OR($N1844=$Q$7,$O1844=$Q$7)),"x","")</f>
        <v/>
      </c>
      <c r="R1844" s="75" t="str">
        <f>IF(AND($N1844=$Q$7,$B1844&lt;'111'!$L$11),"x","")</f>
        <v/>
      </c>
      <c r="S1844" s="75" t="str">
        <f>IF(AND($O1844=$Q$7,$B1844&lt;'111'!$L$11),"x","")</f>
        <v/>
      </c>
      <c r="T1844" s="75" t="str">
        <f>IF(ISERROR(FIND('112'!$M$9,G1844,1)),"",IF((AND(FIND('112'!$M$9,G1844,1)&gt;=1,B1844='112'!$K$9,OR($N1844='112'!$I$6,$O1844='112'!$I$6))),"x",""))</f>
        <v/>
      </c>
      <c r="U1844" s="75" t="str">
        <f>IF(ISERROR(FIND('112'!$M$9,G1844,1)),"",IF((AND(LEFT(G1844,2)=LEFT('112'!$M$9,2),B1844&lt;'112'!$K$9,$N1844='112'!$I$6)),"x",""))</f>
        <v/>
      </c>
      <c r="V1844" s="75" t="str">
        <f>IF(ISERROR(FIND('112'!$M$9,G1844,1)),"",IF((AND(RIGHT(G1844,2)=RIGHT('112'!$M$9,2),B1844&lt;'112'!$K$9,$O1844='112'!$I$6)),"x",""))</f>
        <v/>
      </c>
      <c r="W1844" s="75" t="str">
        <f>IF(AND('341-CT'!$H$9=H1844,OR(LEFT(N1844,3)=$W$7,LEFT(O1844,3)=$W$7)),"x","")</f>
        <v/>
      </c>
      <c r="X1844" s="75" t="str">
        <f>IF(OR(TH!N1844=TH!$X$7,O1844=TH!$X$7),"x","")</f>
        <v/>
      </c>
      <c r="Y1844" s="75" t="str">
        <f>IF(AND(OR(N1844="131",O1844="131"),H1844='131-CT'!$H$9),"x","")</f>
        <v/>
      </c>
      <c r="Z1844" s="75"/>
      <c r="AA1844" s="75" t="str">
        <f>IF(AND(MONTH(E1844)='IN-NX'!$J$5,'IN-NX'!$D$7=D1844),"x","")</f>
        <v/>
      </c>
      <c r="AB1844" s="75" t="str">
        <f>IF(AND(OR(LEFT(TH!N1844,2)="15",LEFT(TH!O1844,2)="15"),LEFT(TH!O1844,3)&lt;&gt;"111",'152-CT'!$J$8=TH!F1844),"x","")</f>
        <v/>
      </c>
      <c r="AC1844" s="75" t="str">
        <f>IF(AND(OR(LEFT(TH!N1844,2)="15",LEFT(TH!O1844,2)="15"),TK!$E$7=TH!F1844),"x","")</f>
        <v/>
      </c>
      <c r="AD1844" s="75" t="str">
        <f>IF(AND(N1844="1521",MONTH(C1844)='BK-NL'!$M$11),"x","")</f>
        <v/>
      </c>
    </row>
    <row r="1845" spans="1:32" ht="16.5" customHeight="1">
      <c r="A1845" s="309" t="str">
        <f>IF(B1845&lt;&gt;"",IF(AND(B1845='IN-TC'!$S$4,OR(TH!N1845="1111",TH!O1845="1111")),TH!D1845,""),"")</f>
        <v/>
      </c>
      <c r="B1845" s="1242">
        <f>IF(C1845&lt;&gt;"",MONTH(C1845),"")</f>
        <v>9</v>
      </c>
      <c r="C1845" s="252">
        <v>43000</v>
      </c>
      <c r="D1845" s="252" t="s">
        <v>2201</v>
      </c>
      <c r="E1845" s="252">
        <f t="shared" ref="E1845" si="500">C1845</f>
        <v>43000</v>
      </c>
      <c r="F1845" s="1055" t="s">
        <v>2399</v>
      </c>
      <c r="G1845" s="1056" t="s">
        <v>2192</v>
      </c>
      <c r="H1845" s="735" t="s">
        <v>1859</v>
      </c>
      <c r="I1845" s="371">
        <v>79170</v>
      </c>
      <c r="J1845" s="371">
        <v>2.2000000000000002</v>
      </c>
      <c r="K1845" s="371">
        <f t="shared" ref="K1845" si="501">I1845*J1845</f>
        <v>174174</v>
      </c>
      <c r="L1845" s="377">
        <v>22690</v>
      </c>
      <c r="M1845" s="933">
        <f t="shared" si="489"/>
        <v>3952008060</v>
      </c>
      <c r="N1845" s="977" t="s">
        <v>536</v>
      </c>
      <c r="O1845" s="977" t="s">
        <v>288</v>
      </c>
      <c r="P1845" s="75" t="str">
        <f>IF(AND('331-CT'!$E$7=TH!H1845,OR(N1845="331",O1845="331")),"x","")</f>
        <v/>
      </c>
      <c r="Q1845" s="75" t="str">
        <f>IF(AND(B1845='111'!$L$11,OR($N1845=$Q$7,$O1845=$Q$7)),"x","")</f>
        <v/>
      </c>
      <c r="R1845" s="75" t="str">
        <f>IF(AND($N1845=$Q$7,$B1845&lt;'111'!$L$11),"x","")</f>
        <v/>
      </c>
      <c r="S1845" s="75" t="str">
        <f>IF(AND($O1845=$Q$7,$B1845&lt;'111'!$L$11),"x","")</f>
        <v/>
      </c>
      <c r="T1845" s="75" t="str">
        <f>IF(ISERROR(FIND('112'!$M$9,G1845,1)),"",IF((AND(FIND('112'!$M$9,G1845,1)&gt;=1,B1845='112'!$K$9,OR($N1845='112'!$I$6,$O1845='112'!$I$6))),"x",""))</f>
        <v/>
      </c>
      <c r="U1845" s="75" t="str">
        <f>IF(ISERROR(FIND('112'!$M$9,G1845,1)),"",IF((AND(LEFT(G1845,2)=LEFT('112'!$M$9,2),B1845&lt;'112'!$K$9,$N1845='112'!$I$6)),"x",""))</f>
        <v/>
      </c>
      <c r="V1845" s="75" t="str">
        <f>IF(ISERROR(FIND('112'!$M$9,G1845,1)),"",IF((AND(RIGHT(G1845,2)=RIGHT('112'!$M$9,2),B1845&lt;'112'!$K$9,$O1845='112'!$I$6)),"x",""))</f>
        <v/>
      </c>
      <c r="W1845" s="75" t="str">
        <f>IF(AND('341-CT'!$H$9=H1845,OR(LEFT(N1845,3)=$W$7,LEFT(O1845,3)=$W$7)),"x","")</f>
        <v/>
      </c>
      <c r="X1845" s="75" t="str">
        <f>IF(OR(TH!N1845=TH!$X$7,O1845=TH!$X$7),"x","")</f>
        <v/>
      </c>
      <c r="Y1845" s="75" t="str">
        <f>IF(AND(OR(N1845="131",O1845="131"),H1845='131-CT'!$H$9),"x","")</f>
        <v/>
      </c>
      <c r="Z1845" s="75"/>
      <c r="AA1845" s="75" t="str">
        <f>IF(AND(MONTH(E1845)='IN-NX'!$J$5,'IN-NX'!$D$7=D1845),"x","")</f>
        <v/>
      </c>
      <c r="AB1845" s="75" t="str">
        <f>IF(AND(OR(LEFT(TH!N1845,2)="15",LEFT(TH!O1845,2)="15"),LEFT(TH!O1845,3)&lt;&gt;"111",'152-CT'!$J$8=TH!F1845),"x","")</f>
        <v/>
      </c>
      <c r="AC1845" s="75" t="str">
        <f>IF(AND(OR(LEFT(TH!N1845,2)="15",LEFT(TH!O1845,2)="15"),TK!$E$7=TH!F1845),"x","")</f>
        <v/>
      </c>
      <c r="AD1845" s="75" t="str">
        <f>IF(AND(N1845="1521",MONTH(C1845)='BK-NL'!$M$11),"x","")</f>
        <v/>
      </c>
    </row>
    <row r="1846" spans="1:32" ht="16.5" customHeight="1">
      <c r="A1846" s="309" t="str">
        <f>IF(B1846&lt;&gt;"",IF(AND(B1846='IN-TC'!$S$4,OR(TH!N1846="1111",TH!O1846="1111")),TH!D1846,""),"")</f>
        <v/>
      </c>
      <c r="B1846" s="1242">
        <f>IF(C1846&lt;&gt;"",MONTH(C1846),"")</f>
        <v>9</v>
      </c>
      <c r="C1846" s="252">
        <v>43000</v>
      </c>
      <c r="D1846" s="252" t="s">
        <v>2291</v>
      </c>
      <c r="E1846" s="252">
        <f t="shared" ref="E1846:E1995" si="502">C1846</f>
        <v>43000</v>
      </c>
      <c r="F1846" s="1055" t="s">
        <v>2399</v>
      </c>
      <c r="G1846" s="1056" t="s">
        <v>2193</v>
      </c>
      <c r="H1846" s="735" t="s">
        <v>1859</v>
      </c>
      <c r="I1846" s="371">
        <v>79170</v>
      </c>
      <c r="J1846" s="371">
        <v>2.2000000000000002</v>
      </c>
      <c r="K1846" s="371">
        <f t="shared" ref="K1846:K1995" si="503">I1846*J1846</f>
        <v>174174</v>
      </c>
      <c r="L1846" s="377">
        <v>22690</v>
      </c>
      <c r="M1846" s="933">
        <f t="shared" si="489"/>
        <v>3952008060</v>
      </c>
      <c r="N1846" s="977" t="s">
        <v>536</v>
      </c>
      <c r="O1846" s="977" t="s">
        <v>288</v>
      </c>
      <c r="P1846" s="75" t="str">
        <f>IF(AND('331-CT'!$E$7=TH!H1846,OR(N1846="331",O1846="331")),"x","")</f>
        <v/>
      </c>
      <c r="Q1846" s="75" t="str">
        <f>IF(AND(B1846='111'!$L$11,OR($N1846=$Q$7,$O1846=$Q$7)),"x","")</f>
        <v/>
      </c>
      <c r="R1846" s="75" t="str">
        <f>IF(AND($N1846=$Q$7,$B1846&lt;'111'!$L$11),"x","")</f>
        <v/>
      </c>
      <c r="S1846" s="75" t="str">
        <f>IF(AND($O1846=$Q$7,$B1846&lt;'111'!$L$11),"x","")</f>
        <v/>
      </c>
      <c r="T1846" s="75" t="str">
        <f>IF(ISERROR(FIND('112'!$M$9,G1846,1)),"",IF((AND(FIND('112'!$M$9,G1846,1)&gt;=1,B1846='112'!$K$9,OR($N1846='112'!$I$6,$O1846='112'!$I$6))),"x",""))</f>
        <v/>
      </c>
      <c r="U1846" s="75" t="str">
        <f>IF(ISERROR(FIND('112'!$M$9,G1846,1)),"",IF((AND(LEFT(G1846,2)=LEFT('112'!$M$9,2),B1846&lt;'112'!$K$9,$N1846='112'!$I$6)),"x",""))</f>
        <v/>
      </c>
      <c r="V1846" s="75" t="str">
        <f>IF(ISERROR(FIND('112'!$M$9,G1846,1)),"",IF((AND(RIGHT(G1846,2)=RIGHT('112'!$M$9,2),B1846&lt;'112'!$K$9,$O1846='112'!$I$6)),"x",""))</f>
        <v/>
      </c>
      <c r="W1846" s="75" t="str">
        <f>IF(AND('341-CT'!$H$9=H1846,OR(LEFT(N1846,3)=$W$7,LEFT(O1846,3)=$W$7)),"x","")</f>
        <v/>
      </c>
      <c r="X1846" s="75" t="str">
        <f>IF(OR(TH!N1846=TH!$X$7,O1846=TH!$X$7),"x","")</f>
        <v/>
      </c>
      <c r="Y1846" s="75" t="str">
        <f>IF(AND(OR(N1846="131",O1846="131"),H1846='131-CT'!$H$9),"x","")</f>
        <v/>
      </c>
      <c r="Z1846" s="75"/>
      <c r="AA1846" s="75" t="str">
        <f>IF(AND(MONTH(E1846)='IN-NX'!$J$5,'IN-NX'!$D$7=D1846),"x","")</f>
        <v/>
      </c>
      <c r="AB1846" s="75" t="str">
        <f>IF(AND(OR(LEFT(TH!N1846,2)="15",LEFT(TH!O1846,2)="15"),LEFT(TH!O1846,3)&lt;&gt;"111",'152-CT'!$J$8=TH!F1846),"x","")</f>
        <v/>
      </c>
      <c r="AC1846" s="75" t="str">
        <f>IF(AND(OR(LEFT(TH!N1846,2)="15",LEFT(TH!O1846,2)="15"),TK!$E$7=TH!F1846),"x","")</f>
        <v/>
      </c>
      <c r="AD1846" s="75" t="str">
        <f>IF(AND(N1846="1521",MONTH(C1846)='BK-NL'!$M$11),"x","")</f>
        <v/>
      </c>
    </row>
    <row r="1847" spans="1:32" ht="16.5" customHeight="1">
      <c r="A1847" s="309" t="str">
        <f>IF(B1847&lt;&gt;"",IF(AND(B1847='IN-TC'!$S$4,OR(TH!N1847="1111",TH!O1847="1111")),TH!D1847,""),"")</f>
        <v/>
      </c>
      <c r="B1847" s="1242">
        <f t="shared" ref="B1847:B1848" si="504">IF(C1847&lt;&gt;"",MONTH(C1847),"")</f>
        <v>9</v>
      </c>
      <c r="C1847" s="252">
        <v>43006</v>
      </c>
      <c r="D1847" s="252" t="s">
        <v>2325</v>
      </c>
      <c r="E1847" s="252">
        <f t="shared" si="502"/>
        <v>43006</v>
      </c>
      <c r="F1847" s="1055" t="s">
        <v>2400</v>
      </c>
      <c r="G1847" s="1056" t="s">
        <v>2293</v>
      </c>
      <c r="H1847" s="73" t="s">
        <v>802</v>
      </c>
      <c r="I1847" s="371">
        <v>12500</v>
      </c>
      <c r="J1847" s="371">
        <v>209000</v>
      </c>
      <c r="K1847" s="371"/>
      <c r="L1847" s="377"/>
      <c r="M1847" s="933">
        <f>ROUND(I1847*J1847,0)</f>
        <v>2612500000</v>
      </c>
      <c r="N1847" s="977" t="s">
        <v>536</v>
      </c>
      <c r="O1847" s="977" t="s">
        <v>286</v>
      </c>
      <c r="P1847" s="75" t="str">
        <f>IF(AND('331-CT'!$E$7=TH!H1847,OR(N1847="331",O1847="331")),"x","")</f>
        <v/>
      </c>
      <c r="Q1847" s="75" t="str">
        <f>IF(AND(B1847='111'!$L$11,OR($N1847=$Q$7,$O1847=$Q$7)),"x","")</f>
        <v/>
      </c>
      <c r="R1847" s="75" t="str">
        <f>IF(AND($N1847=$Q$7,$B1847&lt;'111'!$L$11),"x","")</f>
        <v/>
      </c>
      <c r="S1847" s="75" t="str">
        <f>IF(AND($O1847=$Q$7,$B1847&lt;'111'!$L$11),"x","")</f>
        <v/>
      </c>
      <c r="T1847" s="75" t="str">
        <f>IF(ISERROR(FIND('112'!$M$9,G1847,1)),"",IF((AND(FIND('112'!$M$9,G1847,1)&gt;=1,B1847='112'!$K$9,OR($N1847='112'!$I$6,$O1847='112'!$I$6))),"x",""))</f>
        <v/>
      </c>
      <c r="U1847" s="75" t="str">
        <f>IF(ISERROR(FIND('112'!$M$9,G1847,1)),"",IF((AND(LEFT(G1847,2)=LEFT('112'!$M$9,2),B1847&lt;'112'!$K$9,$N1847='112'!$I$6)),"x",""))</f>
        <v/>
      </c>
      <c r="V1847" s="75" t="str">
        <f>IF(ISERROR(FIND('112'!$M$9,G1847,1)),"",IF((AND(RIGHT(G1847,2)=RIGHT('112'!$M$9,2),B1847&lt;'112'!$K$9,$O1847='112'!$I$6)),"x",""))</f>
        <v/>
      </c>
      <c r="W1847" s="75" t="str">
        <f>IF(AND('341-CT'!$H$9=H1847,OR(LEFT(N1847,3)=$W$7,LEFT(O1847,3)=$W$7)),"x","")</f>
        <v/>
      </c>
      <c r="X1847" s="75" t="str">
        <f>IF(OR(TH!N1847=TH!$X$7,O1847=TH!$X$7),"x","")</f>
        <v/>
      </c>
      <c r="Y1847" s="75" t="str">
        <f>IF(AND(OR(N1847="131",O1847="131"),H1847='131-CT'!$H$9),"x","")</f>
        <v/>
      </c>
      <c r="Z1847" s="75"/>
      <c r="AA1847" s="75" t="str">
        <f>IF(AND(MONTH(E1847)='IN-NX'!$J$5,'IN-NX'!$D$7=D1847),"x","")</f>
        <v/>
      </c>
      <c r="AB1847" s="75" t="str">
        <f>IF(AND(OR(LEFT(TH!N1847,2)="15",LEFT(TH!O1847,2)="15"),LEFT(TH!O1847,3)&lt;&gt;"111",'152-CT'!$J$8=TH!F1847),"x","")</f>
        <v/>
      </c>
      <c r="AC1847" s="75" t="str">
        <f>IF(AND(OR(LEFT(TH!N1847,2)="15",LEFT(TH!O1847,2)="15"),TK!$E$7=TH!F1847),"x","")</f>
        <v/>
      </c>
      <c r="AD1847" s="75" t="str">
        <f>IF(AND(N1847="1521",MONTH(C1847)='BK-NL'!$M$11),"x","")</f>
        <v/>
      </c>
    </row>
    <row r="1848" spans="1:32" ht="16.5" customHeight="1">
      <c r="A1848" s="309" t="str">
        <f>IF(B1848&lt;&gt;"",IF(AND(B1848='IN-TC'!$S$4,OR(TH!N1848="1111",TH!O1848="1111")),TH!D1848,""),"")</f>
        <v/>
      </c>
      <c r="B1848" s="1242">
        <f t="shared" si="504"/>
        <v>9</v>
      </c>
      <c r="C1848" s="252">
        <v>43006</v>
      </c>
      <c r="D1848" s="252" t="s">
        <v>2325</v>
      </c>
      <c r="E1848" s="252">
        <f t="shared" si="502"/>
        <v>43006</v>
      </c>
      <c r="F1848" s="1055" t="s">
        <v>2292</v>
      </c>
      <c r="G1848" s="1056" t="s">
        <v>2293</v>
      </c>
      <c r="H1848" s="73" t="s">
        <v>802</v>
      </c>
      <c r="I1848" s="371"/>
      <c r="J1848" s="371"/>
      <c r="K1848" s="371"/>
      <c r="L1848" s="377"/>
      <c r="M1848" s="377">
        <v>261250000</v>
      </c>
      <c r="N1848" s="977" t="s">
        <v>536</v>
      </c>
      <c r="O1848" s="977" t="s">
        <v>595</v>
      </c>
      <c r="P1848" s="75" t="str">
        <f>IF(AND('331-CT'!$E$7=TH!H1848,OR(N1848="331",O1848="331")),"x","")</f>
        <v/>
      </c>
      <c r="Q1848" s="75" t="str">
        <f>IF(AND(B1848='111'!$L$11,OR($N1848=$Q$7,$O1848=$Q$7)),"x","")</f>
        <v/>
      </c>
      <c r="R1848" s="75" t="str">
        <f>IF(AND($N1848=$Q$7,$B1848&lt;'111'!$L$11),"x","")</f>
        <v/>
      </c>
      <c r="S1848" s="75" t="str">
        <f>IF(AND($O1848=$Q$7,$B1848&lt;'111'!$L$11),"x","")</f>
        <v/>
      </c>
      <c r="T1848" s="75" t="str">
        <f>IF(ISERROR(FIND('112'!$M$9,G1848,1)),"",IF((AND(FIND('112'!$M$9,G1848,1)&gt;=1,B1848='112'!$K$9,OR($N1848='112'!$I$6,$O1848='112'!$I$6))),"x",""))</f>
        <v/>
      </c>
      <c r="U1848" s="75" t="str">
        <f>IF(ISERROR(FIND('112'!$M$9,G1848,1)),"",IF((AND(LEFT(G1848,2)=LEFT('112'!$M$9,2),B1848&lt;'112'!$K$9,$N1848='112'!$I$6)),"x",""))</f>
        <v/>
      </c>
      <c r="V1848" s="75" t="str">
        <f>IF(ISERROR(FIND('112'!$M$9,G1848,1)),"",IF((AND(RIGHT(G1848,2)=RIGHT('112'!$M$9,2),B1848&lt;'112'!$K$9,$O1848='112'!$I$6)),"x",""))</f>
        <v/>
      </c>
      <c r="W1848" s="75" t="str">
        <f>IF(AND('341-CT'!$H$9=H1848,OR(LEFT(N1848,3)=$W$7,LEFT(O1848,3)=$W$7)),"x","")</f>
        <v/>
      </c>
      <c r="X1848" s="75" t="str">
        <f>IF(OR(TH!N1848=TH!$X$7,O1848=TH!$X$7),"x","")</f>
        <v/>
      </c>
      <c r="Y1848" s="75" t="str">
        <f>IF(AND(OR(N1848="131",O1848="131"),H1848='131-CT'!$H$9),"x","")</f>
        <v/>
      </c>
      <c r="Z1848" s="75"/>
      <c r="AA1848" s="75" t="str">
        <f>IF(AND(MONTH(E1848)='IN-NX'!$J$5,'IN-NX'!$D$7=D1848),"x","")</f>
        <v/>
      </c>
      <c r="AB1848" s="75" t="str">
        <f>IF(AND(OR(LEFT(TH!N1848,2)="15",LEFT(TH!O1848,2)="15"),LEFT(TH!O1848,3)&lt;&gt;"111",'152-CT'!$J$8=TH!F1848),"x","")</f>
        <v/>
      </c>
      <c r="AC1848" s="75" t="str">
        <f>IF(AND(OR(LEFT(TH!N1848,2)="15",LEFT(TH!O1848,2)="15"),TK!$E$7=TH!F1848),"x","")</f>
        <v/>
      </c>
      <c r="AD1848" s="75" t="str">
        <f>IF(AND(N1848="1521",MONTH(C1848)='BK-NL'!$M$11),"x","")</f>
        <v/>
      </c>
    </row>
    <row r="1849" spans="1:32" s="1053" customFormat="1" ht="16.5" customHeight="1">
      <c r="A1849" s="309" t="str">
        <f>IF(B1849&lt;&gt;"",IF(AND(B1849='IN-TC'!$S$4,OR(TH!N1849="1111",TH!O1849="1111")),TH!D1849,""),"")</f>
        <v/>
      </c>
      <c r="B1849" s="1242">
        <f t="shared" ref="B1849:B1879" si="505">IF(C1849&lt;&gt;"",MONTH(C1849),"")</f>
        <v>9</v>
      </c>
      <c r="C1849" s="217">
        <v>42982</v>
      </c>
      <c r="D1849" s="217" t="s">
        <v>815</v>
      </c>
      <c r="E1849" s="217">
        <f t="shared" ref="E1849:E1868" si="506">C1849</f>
        <v>42982</v>
      </c>
      <c r="F1849" s="960" t="s">
        <v>429</v>
      </c>
      <c r="G1849" s="739" t="s">
        <v>2224</v>
      </c>
      <c r="H1849" s="67" t="s">
        <v>789</v>
      </c>
      <c r="I1849" s="373">
        <v>23017.87</v>
      </c>
      <c r="J1849" s="373">
        <v>55000</v>
      </c>
      <c r="K1849" s="373"/>
      <c r="L1849" s="379"/>
      <c r="M1849" s="927">
        <f t="shared" ref="M1849:M1868" si="507">ROUND(I1849*J1849,0)</f>
        <v>1265982850</v>
      </c>
      <c r="N1849" s="935" t="s">
        <v>274</v>
      </c>
      <c r="O1849" s="935" t="s">
        <v>8</v>
      </c>
      <c r="P1849" s="75" t="str">
        <f>IF(AND('331-CT'!$E$7=TH!H1849,OR(N1849="331",O1849="331")),"x","")</f>
        <v/>
      </c>
      <c r="Q1849" s="75" t="str">
        <f>IF(AND(B1849='111'!$L$11,OR($N1849=$Q$7,$O1849=$Q$7)),"x","")</f>
        <v/>
      </c>
      <c r="R1849" s="75" t="str">
        <f>IF(AND($N1849=$Q$7,$B1849&lt;'111'!$L$11),"x","")</f>
        <v/>
      </c>
      <c r="S1849" s="75" t="str">
        <f>IF(AND($O1849=$Q$7,$B1849&lt;'111'!$L$11),"x","")</f>
        <v/>
      </c>
      <c r="T1849" s="75" t="str">
        <f>IF(ISERROR(FIND('112'!$M$9,G1849,1)),"",IF((AND(FIND('112'!$M$9,G1849,1)&gt;=1,B1849='112'!$K$9,OR($N1849='112'!$I$6,$O1849='112'!$I$6))),"x",""))</f>
        <v/>
      </c>
      <c r="U1849" s="75" t="str">
        <f>IF(ISERROR(FIND('112'!$M$9,G1849,1)),"",IF((AND(LEFT(G1849,2)=LEFT('112'!$M$9,2),B1849&lt;'112'!$K$9,$N1849='112'!$I$6)),"x",""))</f>
        <v/>
      </c>
      <c r="V1849" s="75" t="str">
        <f>IF(ISERROR(FIND('112'!$M$9,G1849,1)),"",IF((AND(RIGHT(G1849,2)=RIGHT('112'!$M$9,2),B1849&lt;'112'!$K$9,$O1849='112'!$I$6)),"x",""))</f>
        <v/>
      </c>
      <c r="W1849" s="75" t="str">
        <f>IF(AND('341-CT'!$H$9=H1849,OR(LEFT(N1849,3)=$W$7,LEFT(O1849,3)=$W$7)),"x","")</f>
        <v/>
      </c>
      <c r="X1849" s="75" t="str">
        <f>IF(OR(TH!N1849=TH!$X$7,O1849=TH!$X$7),"x","")</f>
        <v/>
      </c>
      <c r="Y1849" s="75" t="str">
        <f>IF(AND(OR(N1849="131",O1849="131"),H1849='131-CT'!$H$9),"x","")</f>
        <v/>
      </c>
      <c r="Z1849" s="75"/>
      <c r="AA1849" s="75" t="str">
        <f>IF(AND(MONTH(E1849)='IN-NX'!$J$5,'IN-NX'!$D$7=D1849),"x","")</f>
        <v/>
      </c>
      <c r="AB1849" s="75" t="str">
        <f>IF(AND(OR(LEFT(TH!N1849,2)="15",LEFT(TH!O1849,2)="15"),LEFT(TH!O1849,3)&lt;&gt;"111",'152-CT'!$J$8=TH!F1849),"x","")</f>
        <v/>
      </c>
      <c r="AC1849" s="75" t="str">
        <f>IF(AND(OR(LEFT(TH!N1849,2)="15",LEFT(TH!O1849,2)="15"),TK!$E$7=TH!F1849),"x","")</f>
        <v/>
      </c>
      <c r="AD1849" s="75" t="str">
        <f>IF(AND(N1849="1521",MONTH(C1849)='BK-NL'!$M$11),"x","")</f>
        <v/>
      </c>
      <c r="AF1849" s="1054"/>
    </row>
    <row r="1850" spans="1:32" s="1053" customFormat="1" ht="16.5" customHeight="1">
      <c r="A1850" s="309" t="str">
        <f>IF(B1850&lt;&gt;"",IF(AND(B1850='IN-TC'!$S$4,OR(TH!N1850="1111",TH!O1850="1111")),TH!D1850,""),"")</f>
        <v/>
      </c>
      <c r="B1850" s="1242">
        <f t="shared" si="505"/>
        <v>9</v>
      </c>
      <c r="C1850" s="217">
        <v>42983</v>
      </c>
      <c r="D1850" s="217" t="s">
        <v>997</v>
      </c>
      <c r="E1850" s="217">
        <f t="shared" si="506"/>
        <v>42983</v>
      </c>
      <c r="F1850" s="960" t="s">
        <v>429</v>
      </c>
      <c r="G1850" s="739" t="s">
        <v>2216</v>
      </c>
      <c r="H1850" s="311" t="s">
        <v>623</v>
      </c>
      <c r="I1850" s="373">
        <v>52780</v>
      </c>
      <c r="J1850" s="373">
        <v>53000</v>
      </c>
      <c r="K1850" s="373"/>
      <c r="L1850" s="379"/>
      <c r="M1850" s="927">
        <f t="shared" si="507"/>
        <v>2797340000</v>
      </c>
      <c r="N1850" s="935" t="s">
        <v>274</v>
      </c>
      <c r="O1850" s="935" t="s">
        <v>8</v>
      </c>
      <c r="P1850" s="75" t="str">
        <f>IF(AND('331-CT'!$E$7=TH!H1850,OR(N1850="331",O1850="331")),"x","")</f>
        <v/>
      </c>
      <c r="Q1850" s="75" t="str">
        <f>IF(AND(B1850='111'!$L$11,OR($N1850=$Q$7,$O1850=$Q$7)),"x","")</f>
        <v/>
      </c>
      <c r="R1850" s="75" t="str">
        <f>IF(AND($N1850=$Q$7,$B1850&lt;'111'!$L$11),"x","")</f>
        <v/>
      </c>
      <c r="S1850" s="75" t="str">
        <f>IF(AND($O1850=$Q$7,$B1850&lt;'111'!$L$11),"x","")</f>
        <v/>
      </c>
      <c r="T1850" s="75" t="str">
        <f>IF(ISERROR(FIND('112'!$M$9,G1850,1)),"",IF((AND(FIND('112'!$M$9,G1850,1)&gt;=1,B1850='112'!$K$9,OR($N1850='112'!$I$6,$O1850='112'!$I$6))),"x",""))</f>
        <v/>
      </c>
      <c r="U1850" s="75" t="str">
        <f>IF(ISERROR(FIND('112'!$M$9,G1850,1)),"",IF((AND(LEFT(G1850,2)=LEFT('112'!$M$9,2),B1850&lt;'112'!$K$9,$N1850='112'!$I$6)),"x",""))</f>
        <v/>
      </c>
      <c r="V1850" s="75" t="str">
        <f>IF(ISERROR(FIND('112'!$M$9,G1850,1)),"",IF((AND(RIGHT(G1850,2)=RIGHT('112'!$M$9,2),B1850&lt;'112'!$K$9,$O1850='112'!$I$6)),"x",""))</f>
        <v/>
      </c>
      <c r="W1850" s="75" t="str">
        <f>IF(AND('341-CT'!$H$9=H1850,OR(LEFT(N1850,3)=$W$7,LEFT(O1850,3)=$W$7)),"x","")</f>
        <v/>
      </c>
      <c r="X1850" s="75" t="str">
        <f>IF(OR(TH!N1850=TH!$X$7,O1850=TH!$X$7),"x","")</f>
        <v/>
      </c>
      <c r="Y1850" s="75" t="str">
        <f>IF(AND(OR(N1850="131",O1850="131"),H1850='131-CT'!$H$9),"x","")</f>
        <v/>
      </c>
      <c r="Z1850" s="75"/>
      <c r="AA1850" s="75" t="str">
        <f>IF(AND(MONTH(E1850)='IN-NX'!$J$5,'IN-NX'!$D$7=D1850),"x","")</f>
        <v/>
      </c>
      <c r="AB1850" s="75" t="str">
        <f>IF(AND(OR(LEFT(TH!N1850,2)="15",LEFT(TH!O1850,2)="15"),LEFT(TH!O1850,3)&lt;&gt;"111",'152-CT'!$J$8=TH!F1850),"x","")</f>
        <v/>
      </c>
      <c r="AC1850" s="75" t="str">
        <f>IF(AND(OR(LEFT(TH!N1850,2)="15",LEFT(TH!O1850,2)="15"),TK!$E$7=TH!F1850),"x","")</f>
        <v/>
      </c>
      <c r="AD1850" s="75" t="str">
        <f>IF(AND(N1850="1521",MONTH(C1850)='BK-NL'!$M$11),"x","")</f>
        <v/>
      </c>
      <c r="AF1850" s="1054"/>
    </row>
    <row r="1851" spans="1:32" s="1053" customFormat="1" ht="16.5" customHeight="1">
      <c r="A1851" s="309" t="str">
        <f>IF(B1851&lt;&gt;"",IF(AND(B1851='IN-TC'!$S$4,OR(TH!N1851="1111",TH!O1851="1111")),TH!D1851,""),"")</f>
        <v/>
      </c>
      <c r="B1851" s="1242">
        <f t="shared" si="505"/>
        <v>9</v>
      </c>
      <c r="C1851" s="217">
        <v>42984</v>
      </c>
      <c r="D1851" s="217" t="s">
        <v>999</v>
      </c>
      <c r="E1851" s="217">
        <f t="shared" si="506"/>
        <v>42984</v>
      </c>
      <c r="F1851" s="960" t="s">
        <v>429</v>
      </c>
      <c r="G1851" s="739" t="s">
        <v>2225</v>
      </c>
      <c r="H1851" s="67" t="s">
        <v>789</v>
      </c>
      <c r="I1851" s="373">
        <v>23017.86</v>
      </c>
      <c r="J1851" s="373">
        <v>55000</v>
      </c>
      <c r="K1851" s="373"/>
      <c r="L1851" s="379"/>
      <c r="M1851" s="927">
        <f t="shared" si="507"/>
        <v>1265982300</v>
      </c>
      <c r="N1851" s="935" t="s">
        <v>274</v>
      </c>
      <c r="O1851" s="935" t="s">
        <v>8</v>
      </c>
      <c r="P1851" s="75" t="str">
        <f>IF(AND('331-CT'!$E$7=TH!H1851,OR(N1851="331",O1851="331")),"x","")</f>
        <v/>
      </c>
      <c r="Q1851" s="75" t="str">
        <f>IF(AND(B1851='111'!$L$11,OR($N1851=$Q$7,$O1851=$Q$7)),"x","")</f>
        <v/>
      </c>
      <c r="R1851" s="75" t="str">
        <f>IF(AND($N1851=$Q$7,$B1851&lt;'111'!$L$11),"x","")</f>
        <v/>
      </c>
      <c r="S1851" s="75" t="str">
        <f>IF(AND($O1851=$Q$7,$B1851&lt;'111'!$L$11),"x","")</f>
        <v/>
      </c>
      <c r="T1851" s="75" t="str">
        <f>IF(ISERROR(FIND('112'!$M$9,G1851,1)),"",IF((AND(FIND('112'!$M$9,G1851,1)&gt;=1,B1851='112'!$K$9,OR($N1851='112'!$I$6,$O1851='112'!$I$6))),"x",""))</f>
        <v/>
      </c>
      <c r="U1851" s="75" t="str">
        <f>IF(ISERROR(FIND('112'!$M$9,G1851,1)),"",IF((AND(LEFT(G1851,2)=LEFT('112'!$M$9,2),B1851&lt;'112'!$K$9,$N1851='112'!$I$6)),"x",""))</f>
        <v/>
      </c>
      <c r="V1851" s="75" t="str">
        <f>IF(ISERROR(FIND('112'!$M$9,G1851,1)),"",IF((AND(RIGHT(G1851,2)=RIGHT('112'!$M$9,2),B1851&lt;'112'!$K$9,$O1851='112'!$I$6)),"x",""))</f>
        <v/>
      </c>
      <c r="W1851" s="75" t="str">
        <f>IF(AND('341-CT'!$H$9=H1851,OR(LEFT(N1851,3)=$W$7,LEFT(O1851,3)=$W$7)),"x","")</f>
        <v/>
      </c>
      <c r="X1851" s="75" t="str">
        <f>IF(OR(TH!N1851=TH!$X$7,O1851=TH!$X$7),"x","")</f>
        <v/>
      </c>
      <c r="Y1851" s="75" t="str">
        <f>IF(AND(OR(N1851="131",O1851="131"),H1851='131-CT'!$H$9),"x","")</f>
        <v/>
      </c>
      <c r="Z1851" s="75"/>
      <c r="AA1851" s="75" t="str">
        <f>IF(AND(MONTH(E1851)='IN-NX'!$J$5,'IN-NX'!$D$7=D1851),"x","")</f>
        <v/>
      </c>
      <c r="AB1851" s="75" t="str">
        <f>IF(AND(OR(LEFT(TH!N1851,2)="15",LEFT(TH!O1851,2)="15"),LEFT(TH!O1851,3)&lt;&gt;"111",'152-CT'!$J$8=TH!F1851),"x","")</f>
        <v/>
      </c>
      <c r="AC1851" s="75" t="str">
        <f>IF(AND(OR(LEFT(TH!N1851,2)="15",LEFT(TH!O1851,2)="15"),TK!$E$7=TH!F1851),"x","")</f>
        <v/>
      </c>
      <c r="AD1851" s="75" t="str">
        <f>IF(AND(N1851="1521",MONTH(C1851)='BK-NL'!$M$11),"x","")</f>
        <v/>
      </c>
      <c r="AF1851" s="1054"/>
    </row>
    <row r="1852" spans="1:32" s="1053" customFormat="1" ht="16.5" customHeight="1">
      <c r="A1852" s="309" t="str">
        <f>IF(B1852&lt;&gt;"",IF(AND(B1852='IN-TC'!$S$4,OR(TH!N1852="1111",TH!O1852="1111")),TH!D1852,""),"")</f>
        <v/>
      </c>
      <c r="B1852" s="1242">
        <f t="shared" si="505"/>
        <v>9</v>
      </c>
      <c r="C1852" s="217">
        <v>42985</v>
      </c>
      <c r="D1852" s="217" t="s">
        <v>1002</v>
      </c>
      <c r="E1852" s="217">
        <f t="shared" si="506"/>
        <v>42985</v>
      </c>
      <c r="F1852" s="960" t="s">
        <v>2399</v>
      </c>
      <c r="G1852" s="739" t="s">
        <v>2217</v>
      </c>
      <c r="H1852" s="311" t="s">
        <v>623</v>
      </c>
      <c r="I1852" s="373">
        <v>26390</v>
      </c>
      <c r="J1852" s="373">
        <v>48000</v>
      </c>
      <c r="K1852" s="373"/>
      <c r="L1852" s="379"/>
      <c r="M1852" s="927">
        <f t="shared" si="507"/>
        <v>1266720000</v>
      </c>
      <c r="N1852" s="935" t="s">
        <v>274</v>
      </c>
      <c r="O1852" s="935" t="s">
        <v>8</v>
      </c>
      <c r="P1852" s="75" t="str">
        <f>IF(AND('331-CT'!$E$7=TH!H1852,OR(N1852="331",O1852="331")),"x","")</f>
        <v/>
      </c>
      <c r="Q1852" s="75" t="str">
        <f>IF(AND(B1852='111'!$L$11,OR($N1852=$Q$7,$O1852=$Q$7)),"x","")</f>
        <v/>
      </c>
      <c r="R1852" s="75" t="str">
        <f>IF(AND($N1852=$Q$7,$B1852&lt;'111'!$L$11),"x","")</f>
        <v/>
      </c>
      <c r="S1852" s="75" t="str">
        <f>IF(AND($O1852=$Q$7,$B1852&lt;'111'!$L$11),"x","")</f>
        <v/>
      </c>
      <c r="T1852" s="75" t="str">
        <f>IF(ISERROR(FIND('112'!$M$9,G1852,1)),"",IF((AND(FIND('112'!$M$9,G1852,1)&gt;=1,B1852='112'!$K$9,OR($N1852='112'!$I$6,$O1852='112'!$I$6))),"x",""))</f>
        <v/>
      </c>
      <c r="U1852" s="75" t="str">
        <f>IF(ISERROR(FIND('112'!$M$9,G1852,1)),"",IF((AND(LEFT(G1852,2)=LEFT('112'!$M$9,2),B1852&lt;'112'!$K$9,$N1852='112'!$I$6)),"x",""))</f>
        <v/>
      </c>
      <c r="V1852" s="75" t="str">
        <f>IF(ISERROR(FIND('112'!$M$9,G1852,1)),"",IF((AND(RIGHT(G1852,2)=RIGHT('112'!$M$9,2),B1852&lt;'112'!$K$9,$O1852='112'!$I$6)),"x",""))</f>
        <v/>
      </c>
      <c r="W1852" s="75" t="str">
        <f>IF(AND('341-CT'!$H$9=H1852,OR(LEFT(N1852,3)=$W$7,LEFT(O1852,3)=$W$7)),"x","")</f>
        <v/>
      </c>
      <c r="X1852" s="75" t="str">
        <f>IF(OR(TH!N1852=TH!$X$7,O1852=TH!$X$7),"x","")</f>
        <v/>
      </c>
      <c r="Y1852" s="75" t="str">
        <f>IF(AND(OR(N1852="131",O1852="131"),H1852='131-CT'!$H$9),"x","")</f>
        <v/>
      </c>
      <c r="Z1852" s="75"/>
      <c r="AA1852" s="75" t="str">
        <f>IF(AND(MONTH(E1852)='IN-NX'!$J$5,'IN-NX'!$D$7=D1852),"x","")</f>
        <v/>
      </c>
      <c r="AB1852" s="75" t="str">
        <f>IF(AND(OR(LEFT(TH!N1852,2)="15",LEFT(TH!O1852,2)="15"),LEFT(TH!O1852,3)&lt;&gt;"111",'152-CT'!$J$8=TH!F1852),"x","")</f>
        <v/>
      </c>
      <c r="AC1852" s="75" t="str">
        <f>IF(AND(OR(LEFT(TH!N1852,2)="15",LEFT(TH!O1852,2)="15"),TK!$E$7=TH!F1852),"x","")</f>
        <v/>
      </c>
      <c r="AD1852" s="75" t="str">
        <f>IF(AND(N1852="1521",MONTH(C1852)='BK-NL'!$M$11),"x","")</f>
        <v/>
      </c>
      <c r="AF1852" s="1054"/>
    </row>
    <row r="1853" spans="1:32" s="1053" customFormat="1" ht="17.25" customHeight="1">
      <c r="A1853" s="309" t="str">
        <f>IF(B1853&lt;&gt;"",IF(AND(B1853='IN-TC'!$S$4,OR(TH!N1853="1111",TH!O1853="1111")),TH!D1853,""),"")</f>
        <v/>
      </c>
      <c r="B1853" s="1242">
        <f t="shared" si="505"/>
        <v>9</v>
      </c>
      <c r="C1853" s="217">
        <v>42986</v>
      </c>
      <c r="D1853" s="217" t="s">
        <v>1084</v>
      </c>
      <c r="E1853" s="217">
        <f t="shared" si="506"/>
        <v>42986</v>
      </c>
      <c r="F1853" s="960" t="s">
        <v>429</v>
      </c>
      <c r="G1853" s="739" t="s">
        <v>2218</v>
      </c>
      <c r="H1853" s="311" t="s">
        <v>623</v>
      </c>
      <c r="I1853" s="373">
        <v>52780</v>
      </c>
      <c r="J1853" s="373">
        <v>53000</v>
      </c>
      <c r="K1853" s="373"/>
      <c r="L1853" s="379"/>
      <c r="M1853" s="927">
        <f t="shared" si="507"/>
        <v>2797340000</v>
      </c>
      <c r="N1853" s="935" t="s">
        <v>274</v>
      </c>
      <c r="O1853" s="935" t="s">
        <v>8</v>
      </c>
      <c r="P1853" s="75" t="str">
        <f>IF(AND('331-CT'!$E$7=TH!H1853,OR(N1853="331",O1853="331")),"x","")</f>
        <v/>
      </c>
      <c r="Q1853" s="75" t="str">
        <f>IF(AND(B1853='111'!$L$11,OR($N1853=$Q$7,$O1853=$Q$7)),"x","")</f>
        <v/>
      </c>
      <c r="R1853" s="75" t="str">
        <f>IF(AND($N1853=$Q$7,$B1853&lt;'111'!$L$11),"x","")</f>
        <v/>
      </c>
      <c r="S1853" s="75" t="str">
        <f>IF(AND($O1853=$Q$7,$B1853&lt;'111'!$L$11),"x","")</f>
        <v/>
      </c>
      <c r="T1853" s="75" t="str">
        <f>IF(ISERROR(FIND('112'!$M$9,G1853,1)),"",IF((AND(FIND('112'!$M$9,G1853,1)&gt;=1,B1853='112'!$K$9,OR($N1853='112'!$I$6,$O1853='112'!$I$6))),"x",""))</f>
        <v/>
      </c>
      <c r="U1853" s="75" t="str">
        <f>IF(ISERROR(FIND('112'!$M$9,G1853,1)),"",IF((AND(LEFT(G1853,2)=LEFT('112'!$M$9,2),B1853&lt;'112'!$K$9,$N1853='112'!$I$6)),"x",""))</f>
        <v/>
      </c>
      <c r="V1853" s="75" t="str">
        <f>IF(ISERROR(FIND('112'!$M$9,G1853,1)),"",IF((AND(RIGHT(G1853,2)=RIGHT('112'!$M$9,2),B1853&lt;'112'!$K$9,$O1853='112'!$I$6)),"x",""))</f>
        <v/>
      </c>
      <c r="W1853" s="75" t="str">
        <f>IF(AND('341-CT'!$H$9=H1853,OR(LEFT(N1853,3)=$W$7,LEFT(O1853,3)=$W$7)),"x","")</f>
        <v/>
      </c>
      <c r="X1853" s="75" t="str">
        <f>IF(OR(TH!N1853=TH!$X$7,O1853=TH!$X$7),"x","")</f>
        <v/>
      </c>
      <c r="Y1853" s="75" t="str">
        <f>IF(AND(OR(N1853="131",O1853="131"),H1853='131-CT'!$H$9),"x","")</f>
        <v/>
      </c>
      <c r="Z1853" s="75"/>
      <c r="AA1853" s="75" t="str">
        <f>IF(AND(MONTH(E1853)='IN-NX'!$J$5,'IN-NX'!$D$7=D1853),"x","")</f>
        <v/>
      </c>
      <c r="AB1853" s="75" t="str">
        <f>IF(AND(OR(LEFT(TH!N1853,2)="15",LEFT(TH!O1853,2)="15"),LEFT(TH!O1853,3)&lt;&gt;"111",'152-CT'!$J$8=TH!F1853),"x","")</f>
        <v/>
      </c>
      <c r="AC1853" s="75" t="str">
        <f>IF(AND(OR(LEFT(TH!N1853,2)="15",LEFT(TH!O1853,2)="15"),TK!$E$7=TH!F1853),"x","")</f>
        <v/>
      </c>
      <c r="AD1853" s="75" t="str">
        <f>IF(AND(N1853="1521",MONTH(C1853)='BK-NL'!$M$11),"x","")</f>
        <v/>
      </c>
      <c r="AF1853" s="1054"/>
    </row>
    <row r="1854" spans="1:32" s="1053" customFormat="1" ht="17.25" customHeight="1">
      <c r="A1854" s="309" t="str">
        <f>IF(B1854&lt;&gt;"",IF(AND(B1854='IN-TC'!$S$4,OR(TH!N1854="1111",TH!O1854="1111")),TH!D1854,""),"")</f>
        <v/>
      </c>
      <c r="B1854" s="1242">
        <f t="shared" si="505"/>
        <v>9</v>
      </c>
      <c r="C1854" s="217">
        <v>42987</v>
      </c>
      <c r="D1854" s="217" t="s">
        <v>1122</v>
      </c>
      <c r="E1854" s="217">
        <f t="shared" si="506"/>
        <v>42987</v>
      </c>
      <c r="F1854" s="960" t="s">
        <v>429</v>
      </c>
      <c r="G1854" s="739" t="s">
        <v>2219</v>
      </c>
      <c r="H1854" s="311" t="s">
        <v>623</v>
      </c>
      <c r="I1854" s="373">
        <v>52780</v>
      </c>
      <c r="J1854" s="373">
        <v>53000</v>
      </c>
      <c r="K1854" s="373"/>
      <c r="L1854" s="379"/>
      <c r="M1854" s="927">
        <f t="shared" si="507"/>
        <v>2797340000</v>
      </c>
      <c r="N1854" s="935" t="s">
        <v>274</v>
      </c>
      <c r="O1854" s="935" t="s">
        <v>8</v>
      </c>
      <c r="P1854" s="75" t="str">
        <f>IF(AND('331-CT'!$E$7=TH!H1854,OR(N1854="331",O1854="331")),"x","")</f>
        <v/>
      </c>
      <c r="Q1854" s="75" t="str">
        <f>IF(AND(B1854='111'!$L$11,OR($N1854=$Q$7,$O1854=$Q$7)),"x","")</f>
        <v/>
      </c>
      <c r="R1854" s="75" t="str">
        <f>IF(AND($N1854=$Q$7,$B1854&lt;'111'!$L$11),"x","")</f>
        <v/>
      </c>
      <c r="S1854" s="75" t="str">
        <f>IF(AND($O1854=$Q$7,$B1854&lt;'111'!$L$11),"x","")</f>
        <v/>
      </c>
      <c r="T1854" s="75" t="str">
        <f>IF(ISERROR(FIND('112'!$M$9,G1854,1)),"",IF((AND(FIND('112'!$M$9,G1854,1)&gt;=1,B1854='112'!$K$9,OR($N1854='112'!$I$6,$O1854='112'!$I$6))),"x",""))</f>
        <v/>
      </c>
      <c r="U1854" s="75" t="str">
        <f>IF(ISERROR(FIND('112'!$M$9,G1854,1)),"",IF((AND(LEFT(G1854,2)=LEFT('112'!$M$9,2),B1854&lt;'112'!$K$9,$N1854='112'!$I$6)),"x",""))</f>
        <v/>
      </c>
      <c r="V1854" s="75" t="str">
        <f>IF(ISERROR(FIND('112'!$M$9,G1854,1)),"",IF((AND(RIGHT(G1854,2)=RIGHT('112'!$M$9,2),B1854&lt;'112'!$K$9,$O1854='112'!$I$6)),"x",""))</f>
        <v/>
      </c>
      <c r="W1854" s="75" t="str">
        <f>IF(AND('341-CT'!$H$9=H1854,OR(LEFT(N1854,3)=$W$7,LEFT(O1854,3)=$W$7)),"x","")</f>
        <v/>
      </c>
      <c r="X1854" s="75" t="str">
        <f>IF(OR(TH!N1854=TH!$X$7,O1854=TH!$X$7),"x","")</f>
        <v/>
      </c>
      <c r="Y1854" s="75" t="str">
        <f>IF(AND(OR(N1854="131",O1854="131"),H1854='131-CT'!$H$9),"x","")</f>
        <v/>
      </c>
      <c r="Z1854" s="75"/>
      <c r="AA1854" s="75" t="str">
        <f>IF(AND(MONTH(E1854)='IN-NX'!$J$5,'IN-NX'!$D$7=D1854),"x","")</f>
        <v/>
      </c>
      <c r="AB1854" s="75" t="str">
        <f>IF(AND(OR(LEFT(TH!N1854,2)="15",LEFT(TH!O1854,2)="15"),LEFT(TH!O1854,3)&lt;&gt;"111",'152-CT'!$J$8=TH!F1854),"x","")</f>
        <v/>
      </c>
      <c r="AC1854" s="75" t="str">
        <f>IF(AND(OR(LEFT(TH!N1854,2)="15",LEFT(TH!O1854,2)="15"),TK!$E$7=TH!F1854),"x","")</f>
        <v/>
      </c>
      <c r="AD1854" s="75" t="str">
        <f>IF(AND(N1854="1521",MONTH(C1854)='BK-NL'!$M$11),"x","")</f>
        <v/>
      </c>
      <c r="AF1854" s="1054"/>
    </row>
    <row r="1855" spans="1:32" s="1053" customFormat="1" ht="16.5" customHeight="1">
      <c r="A1855" s="309" t="str">
        <f>IF(B1855&lt;&gt;"",IF(AND(B1855='IN-TC'!$S$4,OR(TH!N1855="1111",TH!O1855="1111")),TH!D1855,""),"")</f>
        <v/>
      </c>
      <c r="B1855" s="1242">
        <f t="shared" si="505"/>
        <v>9</v>
      </c>
      <c r="C1855" s="217">
        <v>42989</v>
      </c>
      <c r="D1855" s="217" t="s">
        <v>1123</v>
      </c>
      <c r="E1855" s="217">
        <f t="shared" si="506"/>
        <v>42989</v>
      </c>
      <c r="F1855" s="960" t="s">
        <v>429</v>
      </c>
      <c r="G1855" s="739" t="s">
        <v>2226</v>
      </c>
      <c r="H1855" s="67" t="s">
        <v>789</v>
      </c>
      <c r="I1855" s="373">
        <v>22394.9</v>
      </c>
      <c r="J1855" s="373">
        <v>55000</v>
      </c>
      <c r="K1855" s="373"/>
      <c r="L1855" s="379"/>
      <c r="M1855" s="927">
        <f t="shared" si="507"/>
        <v>1231719500</v>
      </c>
      <c r="N1855" s="935" t="s">
        <v>274</v>
      </c>
      <c r="O1855" s="935" t="s">
        <v>8</v>
      </c>
      <c r="P1855" s="75" t="str">
        <f>IF(AND('331-CT'!$E$7=TH!H1855,OR(N1855="331",O1855="331")),"x","")</f>
        <v/>
      </c>
      <c r="Q1855" s="75" t="str">
        <f>IF(AND(B1855='111'!$L$11,OR($N1855=$Q$7,$O1855=$Q$7)),"x","")</f>
        <v/>
      </c>
      <c r="R1855" s="75" t="str">
        <f>IF(AND($N1855=$Q$7,$B1855&lt;'111'!$L$11),"x","")</f>
        <v/>
      </c>
      <c r="S1855" s="75" t="str">
        <f>IF(AND($O1855=$Q$7,$B1855&lt;'111'!$L$11),"x","")</f>
        <v/>
      </c>
      <c r="T1855" s="75" t="str">
        <f>IF(ISERROR(FIND('112'!$M$9,G1855,1)),"",IF((AND(FIND('112'!$M$9,G1855,1)&gt;=1,B1855='112'!$K$9,OR($N1855='112'!$I$6,$O1855='112'!$I$6))),"x",""))</f>
        <v/>
      </c>
      <c r="U1855" s="75" t="str">
        <f>IF(ISERROR(FIND('112'!$M$9,G1855,1)),"",IF((AND(LEFT(G1855,2)=LEFT('112'!$M$9,2),B1855&lt;'112'!$K$9,$N1855='112'!$I$6)),"x",""))</f>
        <v/>
      </c>
      <c r="V1855" s="75" t="str">
        <f>IF(ISERROR(FIND('112'!$M$9,G1855,1)),"",IF((AND(RIGHT(G1855,2)=RIGHT('112'!$M$9,2),B1855&lt;'112'!$K$9,$O1855='112'!$I$6)),"x",""))</f>
        <v/>
      </c>
      <c r="W1855" s="75" t="str">
        <f>IF(AND('341-CT'!$H$9=H1855,OR(LEFT(N1855,3)=$W$7,LEFT(O1855,3)=$W$7)),"x","")</f>
        <v/>
      </c>
      <c r="X1855" s="75" t="str">
        <f>IF(OR(TH!N1855=TH!$X$7,O1855=TH!$X$7),"x","")</f>
        <v/>
      </c>
      <c r="Y1855" s="75" t="str">
        <f>IF(AND(OR(N1855="131",O1855="131"),H1855='131-CT'!$H$9),"x","")</f>
        <v/>
      </c>
      <c r="Z1855" s="75"/>
      <c r="AA1855" s="75" t="str">
        <f>IF(AND(MONTH(E1855)='IN-NX'!$J$5,'IN-NX'!$D$7=D1855),"x","")</f>
        <v/>
      </c>
      <c r="AB1855" s="75" t="str">
        <f>IF(AND(OR(LEFT(TH!N1855,2)="15",LEFT(TH!O1855,2)="15"),LEFT(TH!O1855,3)&lt;&gt;"111",'152-CT'!$J$8=TH!F1855),"x","")</f>
        <v/>
      </c>
      <c r="AC1855" s="75" t="str">
        <f>IF(AND(OR(LEFT(TH!N1855,2)="15",LEFT(TH!O1855,2)="15"),TK!$E$7=TH!F1855),"x","")</f>
        <v/>
      </c>
      <c r="AD1855" s="75" t="str">
        <f>IF(AND(N1855="1521",MONTH(C1855)='BK-NL'!$M$11),"x","")</f>
        <v/>
      </c>
      <c r="AF1855" s="1054"/>
    </row>
    <row r="1856" spans="1:32" s="1053" customFormat="1" ht="16.5" customHeight="1">
      <c r="A1856" s="309" t="str">
        <f>IF(B1856&lt;&gt;"",IF(AND(B1856='IN-TC'!$S$4,OR(TH!N1856="1111",TH!O1856="1111")),TH!D1856,""),"")</f>
        <v/>
      </c>
      <c r="B1856" s="1242">
        <f t="shared" si="505"/>
        <v>9</v>
      </c>
      <c r="C1856" s="217">
        <v>42990</v>
      </c>
      <c r="D1856" s="217" t="s">
        <v>1124</v>
      </c>
      <c r="E1856" s="217">
        <f t="shared" si="506"/>
        <v>42990</v>
      </c>
      <c r="F1856" s="960" t="s">
        <v>429</v>
      </c>
      <c r="G1856" s="739" t="s">
        <v>1622</v>
      </c>
      <c r="H1856" s="67" t="s">
        <v>789</v>
      </c>
      <c r="I1856" s="373">
        <v>22394.9</v>
      </c>
      <c r="J1856" s="373">
        <v>55000</v>
      </c>
      <c r="K1856" s="373"/>
      <c r="L1856" s="379"/>
      <c r="M1856" s="927">
        <f t="shared" si="507"/>
        <v>1231719500</v>
      </c>
      <c r="N1856" s="935" t="s">
        <v>274</v>
      </c>
      <c r="O1856" s="935" t="s">
        <v>8</v>
      </c>
      <c r="P1856" s="75" t="str">
        <f>IF(AND('331-CT'!$E$7=TH!H1856,OR(N1856="331",O1856="331")),"x","")</f>
        <v/>
      </c>
      <c r="Q1856" s="75" t="str">
        <f>IF(AND(B1856='111'!$L$11,OR($N1856=$Q$7,$O1856=$Q$7)),"x","")</f>
        <v/>
      </c>
      <c r="R1856" s="75" t="str">
        <f>IF(AND($N1856=$Q$7,$B1856&lt;'111'!$L$11),"x","")</f>
        <v/>
      </c>
      <c r="S1856" s="75" t="str">
        <f>IF(AND($O1856=$Q$7,$B1856&lt;'111'!$L$11),"x","")</f>
        <v/>
      </c>
      <c r="T1856" s="75" t="str">
        <f>IF(ISERROR(FIND('112'!$M$9,G1856,1)),"",IF((AND(FIND('112'!$M$9,G1856,1)&gt;=1,B1856='112'!$K$9,OR($N1856='112'!$I$6,$O1856='112'!$I$6))),"x",""))</f>
        <v/>
      </c>
      <c r="U1856" s="75" t="str">
        <f>IF(ISERROR(FIND('112'!$M$9,G1856,1)),"",IF((AND(LEFT(G1856,2)=LEFT('112'!$M$9,2),B1856&lt;'112'!$K$9,$N1856='112'!$I$6)),"x",""))</f>
        <v/>
      </c>
      <c r="V1856" s="75" t="str">
        <f>IF(ISERROR(FIND('112'!$M$9,G1856,1)),"",IF((AND(RIGHT(G1856,2)=RIGHT('112'!$M$9,2),B1856&lt;'112'!$K$9,$O1856='112'!$I$6)),"x",""))</f>
        <v/>
      </c>
      <c r="W1856" s="75" t="str">
        <f>IF(AND('341-CT'!$H$9=H1856,OR(LEFT(N1856,3)=$W$7,LEFT(O1856,3)=$W$7)),"x","")</f>
        <v/>
      </c>
      <c r="X1856" s="75" t="str">
        <f>IF(OR(TH!N1856=TH!$X$7,O1856=TH!$X$7),"x","")</f>
        <v/>
      </c>
      <c r="Y1856" s="75" t="str">
        <f>IF(AND(OR(N1856="131",O1856="131"),H1856='131-CT'!$H$9),"x","")</f>
        <v/>
      </c>
      <c r="Z1856" s="75"/>
      <c r="AA1856" s="75" t="str">
        <f>IF(AND(MONTH(E1856)='IN-NX'!$J$5,'IN-NX'!$D$7=D1856),"x","")</f>
        <v/>
      </c>
      <c r="AB1856" s="75" t="str">
        <f>IF(AND(OR(LEFT(TH!N1856,2)="15",LEFT(TH!O1856,2)="15"),LEFT(TH!O1856,3)&lt;&gt;"111",'152-CT'!$J$8=TH!F1856),"x","")</f>
        <v/>
      </c>
      <c r="AC1856" s="75" t="str">
        <f>IF(AND(OR(LEFT(TH!N1856,2)="15",LEFT(TH!O1856,2)="15"),TK!$E$7=TH!F1856),"x","")</f>
        <v/>
      </c>
      <c r="AD1856" s="75" t="str">
        <f>IF(AND(N1856="1521",MONTH(C1856)='BK-NL'!$M$11),"x","")</f>
        <v/>
      </c>
      <c r="AF1856" s="1054"/>
    </row>
    <row r="1857" spans="1:32" s="1053" customFormat="1" ht="17.25" customHeight="1">
      <c r="A1857" s="309" t="str">
        <f>IF(B1857&lt;&gt;"",IF(AND(B1857='IN-TC'!$S$4,OR(TH!N1857="1111",TH!O1857="1111")),TH!D1857,""),"")</f>
        <v/>
      </c>
      <c r="B1857" s="1242">
        <f t="shared" si="505"/>
        <v>9</v>
      </c>
      <c r="C1857" s="217">
        <v>42990</v>
      </c>
      <c r="D1857" s="217" t="s">
        <v>1125</v>
      </c>
      <c r="E1857" s="217">
        <f t="shared" si="506"/>
        <v>42990</v>
      </c>
      <c r="F1857" s="960" t="s">
        <v>429</v>
      </c>
      <c r="G1857" s="739" t="s">
        <v>2220</v>
      </c>
      <c r="H1857" s="311" t="s">
        <v>623</v>
      </c>
      <c r="I1857" s="373">
        <v>52780</v>
      </c>
      <c r="J1857" s="373">
        <v>53000</v>
      </c>
      <c r="K1857" s="373"/>
      <c r="L1857" s="379"/>
      <c r="M1857" s="927">
        <f t="shared" si="507"/>
        <v>2797340000</v>
      </c>
      <c r="N1857" s="935" t="s">
        <v>274</v>
      </c>
      <c r="O1857" s="935" t="s">
        <v>8</v>
      </c>
      <c r="P1857" s="75" t="str">
        <f>IF(AND('331-CT'!$E$7=TH!H1857,OR(N1857="331",O1857="331")),"x","")</f>
        <v/>
      </c>
      <c r="Q1857" s="75" t="str">
        <f>IF(AND(B1857='111'!$L$11,OR($N1857=$Q$7,$O1857=$Q$7)),"x","")</f>
        <v/>
      </c>
      <c r="R1857" s="75" t="str">
        <f>IF(AND($N1857=$Q$7,$B1857&lt;'111'!$L$11),"x","")</f>
        <v/>
      </c>
      <c r="S1857" s="75" t="str">
        <f>IF(AND($O1857=$Q$7,$B1857&lt;'111'!$L$11),"x","")</f>
        <v/>
      </c>
      <c r="T1857" s="75" t="str">
        <f>IF(ISERROR(FIND('112'!$M$9,G1857,1)),"",IF((AND(FIND('112'!$M$9,G1857,1)&gt;=1,B1857='112'!$K$9,OR($N1857='112'!$I$6,$O1857='112'!$I$6))),"x",""))</f>
        <v/>
      </c>
      <c r="U1857" s="75" t="str">
        <f>IF(ISERROR(FIND('112'!$M$9,G1857,1)),"",IF((AND(LEFT(G1857,2)=LEFT('112'!$M$9,2),B1857&lt;'112'!$K$9,$N1857='112'!$I$6)),"x",""))</f>
        <v/>
      </c>
      <c r="V1857" s="75" t="str">
        <f>IF(ISERROR(FIND('112'!$M$9,G1857,1)),"",IF((AND(RIGHT(G1857,2)=RIGHT('112'!$M$9,2),B1857&lt;'112'!$K$9,$O1857='112'!$I$6)),"x",""))</f>
        <v/>
      </c>
      <c r="W1857" s="75" t="str">
        <f>IF(AND('341-CT'!$H$9=H1857,OR(LEFT(N1857,3)=$W$7,LEFT(O1857,3)=$W$7)),"x","")</f>
        <v/>
      </c>
      <c r="X1857" s="75" t="str">
        <f>IF(OR(TH!N1857=TH!$X$7,O1857=TH!$X$7),"x","")</f>
        <v/>
      </c>
      <c r="Y1857" s="75" t="str">
        <f>IF(AND(OR(N1857="131",O1857="131"),H1857='131-CT'!$H$9),"x","")</f>
        <v/>
      </c>
      <c r="Z1857" s="75"/>
      <c r="AA1857" s="75" t="str">
        <f>IF(AND(MONTH(E1857)='IN-NX'!$J$5,'IN-NX'!$D$7=D1857),"x","")</f>
        <v/>
      </c>
      <c r="AB1857" s="75" t="str">
        <f>IF(AND(OR(LEFT(TH!N1857,2)="15",LEFT(TH!O1857,2)="15"),LEFT(TH!O1857,3)&lt;&gt;"111",'152-CT'!$J$8=TH!F1857),"x","")</f>
        <v/>
      </c>
      <c r="AC1857" s="75" t="str">
        <f>IF(AND(OR(LEFT(TH!N1857,2)="15",LEFT(TH!O1857,2)="15"),TK!$E$7=TH!F1857),"x","")</f>
        <v/>
      </c>
      <c r="AD1857" s="75" t="str">
        <f>IF(AND(N1857="1521",MONTH(C1857)='BK-NL'!$M$11),"x","")</f>
        <v/>
      </c>
      <c r="AF1857" s="1054"/>
    </row>
    <row r="1858" spans="1:32" s="1053" customFormat="1" ht="17.25" customHeight="1">
      <c r="A1858" s="309" t="str">
        <f>IF(B1858&lt;&gt;"",IF(AND(B1858='IN-TC'!$S$4,OR(TH!N1858="1111",TH!O1858="1111")),TH!D1858,""),"")</f>
        <v/>
      </c>
      <c r="B1858" s="1242">
        <f t="shared" si="505"/>
        <v>9</v>
      </c>
      <c r="C1858" s="217">
        <v>42991</v>
      </c>
      <c r="D1858" s="217" t="s">
        <v>1126</v>
      </c>
      <c r="E1858" s="217">
        <f t="shared" si="506"/>
        <v>42991</v>
      </c>
      <c r="F1858" s="960" t="s">
        <v>2399</v>
      </c>
      <c r="G1858" s="739" t="s">
        <v>2040</v>
      </c>
      <c r="H1858" s="311" t="s">
        <v>2042</v>
      </c>
      <c r="I1858" s="373">
        <v>26390</v>
      </c>
      <c r="J1858" s="373">
        <v>47000</v>
      </c>
      <c r="K1858" s="373"/>
      <c r="L1858" s="379"/>
      <c r="M1858" s="927">
        <f t="shared" si="507"/>
        <v>1240330000</v>
      </c>
      <c r="N1858" s="935" t="s">
        <v>274</v>
      </c>
      <c r="O1858" s="935" t="s">
        <v>8</v>
      </c>
      <c r="P1858" s="75" t="str">
        <f>IF(AND('331-CT'!$E$7=TH!H1858,OR(N1858="331",O1858="331")),"x","")</f>
        <v/>
      </c>
      <c r="Q1858" s="75" t="str">
        <f>IF(AND(B1858='111'!$L$11,OR($N1858=$Q$7,$O1858=$Q$7)),"x","")</f>
        <v/>
      </c>
      <c r="R1858" s="75" t="str">
        <f>IF(AND($N1858=$Q$7,$B1858&lt;'111'!$L$11),"x","")</f>
        <v/>
      </c>
      <c r="S1858" s="75" t="str">
        <f>IF(AND($O1858=$Q$7,$B1858&lt;'111'!$L$11),"x","")</f>
        <v/>
      </c>
      <c r="T1858" s="75" t="str">
        <f>IF(ISERROR(FIND('112'!$M$9,G1858,1)),"",IF((AND(FIND('112'!$M$9,G1858,1)&gt;=1,B1858='112'!$K$9,OR($N1858='112'!$I$6,$O1858='112'!$I$6))),"x",""))</f>
        <v/>
      </c>
      <c r="U1858" s="75" t="str">
        <f>IF(ISERROR(FIND('112'!$M$9,G1858,1)),"",IF((AND(LEFT(G1858,2)=LEFT('112'!$M$9,2),B1858&lt;'112'!$K$9,$N1858='112'!$I$6)),"x",""))</f>
        <v/>
      </c>
      <c r="V1858" s="75" t="str">
        <f>IF(ISERROR(FIND('112'!$M$9,G1858,1)),"",IF((AND(RIGHT(G1858,2)=RIGHT('112'!$M$9,2),B1858&lt;'112'!$K$9,$O1858='112'!$I$6)),"x",""))</f>
        <v/>
      </c>
      <c r="W1858" s="75" t="str">
        <f>IF(AND('341-CT'!$H$9=H1858,OR(LEFT(N1858,3)=$W$7,LEFT(O1858,3)=$W$7)),"x","")</f>
        <v/>
      </c>
      <c r="X1858" s="75" t="str">
        <f>IF(OR(TH!N1858=TH!$X$7,O1858=TH!$X$7),"x","")</f>
        <v/>
      </c>
      <c r="Y1858" s="75" t="str">
        <f>IF(AND(OR(N1858="131",O1858="131"),H1858='131-CT'!$H$9),"x","")</f>
        <v/>
      </c>
      <c r="Z1858" s="75"/>
      <c r="AA1858" s="75" t="str">
        <f>IF(AND(MONTH(E1858)='IN-NX'!$J$5,'IN-NX'!$D$7=D1858),"x","")</f>
        <v/>
      </c>
      <c r="AB1858" s="75" t="str">
        <f>IF(AND(OR(LEFT(TH!N1858,2)="15",LEFT(TH!O1858,2)="15"),LEFT(TH!O1858,3)&lt;&gt;"111",'152-CT'!$J$8=TH!F1858),"x","")</f>
        <v/>
      </c>
      <c r="AC1858" s="75" t="str">
        <f>IF(AND(OR(LEFT(TH!N1858,2)="15",LEFT(TH!O1858,2)="15"),TK!$E$7=TH!F1858),"x","")</f>
        <v/>
      </c>
      <c r="AD1858" s="75" t="str">
        <f>IF(AND(N1858="1521",MONTH(C1858)='BK-NL'!$M$11),"x","")</f>
        <v/>
      </c>
      <c r="AF1858" s="1054"/>
    </row>
    <row r="1859" spans="1:32" s="1053" customFormat="1" ht="17.25" customHeight="1">
      <c r="A1859" s="309" t="str">
        <f>IF(B1859&lt;&gt;"",IF(AND(B1859='IN-TC'!$S$4,OR(TH!N1859="1111",TH!O1859="1111")),TH!D1859,""),"")</f>
        <v/>
      </c>
      <c r="B1859" s="1242">
        <f t="shared" si="505"/>
        <v>9</v>
      </c>
      <c r="C1859" s="217">
        <v>42992</v>
      </c>
      <c r="D1859" s="217" t="s">
        <v>1127</v>
      </c>
      <c r="E1859" s="217">
        <f t="shared" si="506"/>
        <v>42992</v>
      </c>
      <c r="F1859" s="960" t="s">
        <v>429</v>
      </c>
      <c r="G1859" s="739" t="s">
        <v>2221</v>
      </c>
      <c r="H1859" s="311" t="s">
        <v>623</v>
      </c>
      <c r="I1859" s="373">
        <v>52780</v>
      </c>
      <c r="J1859" s="373">
        <v>53000</v>
      </c>
      <c r="K1859" s="373"/>
      <c r="L1859" s="379"/>
      <c r="M1859" s="927">
        <f t="shared" si="507"/>
        <v>2797340000</v>
      </c>
      <c r="N1859" s="935" t="s">
        <v>274</v>
      </c>
      <c r="O1859" s="935" t="s">
        <v>8</v>
      </c>
      <c r="P1859" s="75" t="str">
        <f>IF(AND('331-CT'!$E$7=TH!H1859,OR(N1859="331",O1859="331")),"x","")</f>
        <v/>
      </c>
      <c r="Q1859" s="75" t="str">
        <f>IF(AND(B1859='111'!$L$11,OR($N1859=$Q$7,$O1859=$Q$7)),"x","")</f>
        <v/>
      </c>
      <c r="R1859" s="75" t="str">
        <f>IF(AND($N1859=$Q$7,$B1859&lt;'111'!$L$11),"x","")</f>
        <v/>
      </c>
      <c r="S1859" s="75" t="str">
        <f>IF(AND($O1859=$Q$7,$B1859&lt;'111'!$L$11),"x","")</f>
        <v/>
      </c>
      <c r="T1859" s="75" t="str">
        <f>IF(ISERROR(FIND('112'!$M$9,G1859,1)),"",IF((AND(FIND('112'!$M$9,G1859,1)&gt;=1,B1859='112'!$K$9,OR($N1859='112'!$I$6,$O1859='112'!$I$6))),"x",""))</f>
        <v/>
      </c>
      <c r="U1859" s="75" t="str">
        <f>IF(ISERROR(FIND('112'!$M$9,G1859,1)),"",IF((AND(LEFT(G1859,2)=LEFT('112'!$M$9,2),B1859&lt;'112'!$K$9,$N1859='112'!$I$6)),"x",""))</f>
        <v/>
      </c>
      <c r="V1859" s="75" t="str">
        <f>IF(ISERROR(FIND('112'!$M$9,G1859,1)),"",IF((AND(RIGHT(G1859,2)=RIGHT('112'!$M$9,2),B1859&lt;'112'!$K$9,$O1859='112'!$I$6)),"x",""))</f>
        <v/>
      </c>
      <c r="W1859" s="75" t="str">
        <f>IF(AND('341-CT'!$H$9=H1859,OR(LEFT(N1859,3)=$W$7,LEFT(O1859,3)=$W$7)),"x","")</f>
        <v/>
      </c>
      <c r="X1859" s="75" t="str">
        <f>IF(OR(TH!N1859=TH!$X$7,O1859=TH!$X$7),"x","")</f>
        <v/>
      </c>
      <c r="Y1859" s="75" t="str">
        <f>IF(AND(OR(N1859="131",O1859="131"),H1859='131-CT'!$H$9),"x","")</f>
        <v/>
      </c>
      <c r="Z1859" s="75"/>
      <c r="AA1859" s="75" t="str">
        <f>IF(AND(MONTH(E1859)='IN-NX'!$J$5,'IN-NX'!$D$7=D1859),"x","")</f>
        <v/>
      </c>
      <c r="AB1859" s="75" t="str">
        <f>IF(AND(OR(LEFT(TH!N1859,2)="15",LEFT(TH!O1859,2)="15"),LEFT(TH!O1859,3)&lt;&gt;"111",'152-CT'!$J$8=TH!F1859),"x","")</f>
        <v/>
      </c>
      <c r="AC1859" s="75" t="str">
        <f>IF(AND(OR(LEFT(TH!N1859,2)="15",LEFT(TH!O1859,2)="15"),TK!$E$7=TH!F1859),"x","")</f>
        <v/>
      </c>
      <c r="AD1859" s="75" t="str">
        <f>IF(AND(N1859="1521",MONTH(C1859)='BK-NL'!$M$11),"x","")</f>
        <v/>
      </c>
      <c r="AF1859" s="1054"/>
    </row>
    <row r="1860" spans="1:32" s="1053" customFormat="1" ht="16.5" customHeight="1">
      <c r="A1860" s="309" t="str">
        <f>IF(B1860&lt;&gt;"",IF(AND(B1860='IN-TC'!$S$4,OR(TH!N1860="1111",TH!O1860="1111")),TH!D1860,""),"")</f>
        <v/>
      </c>
      <c r="B1860" s="1242">
        <f t="shared" si="505"/>
        <v>9</v>
      </c>
      <c r="C1860" s="217">
        <v>42993</v>
      </c>
      <c r="D1860" s="217" t="s">
        <v>1128</v>
      </c>
      <c r="E1860" s="217">
        <f t="shared" si="506"/>
        <v>42993</v>
      </c>
      <c r="F1860" s="960" t="s">
        <v>429</v>
      </c>
      <c r="G1860" s="739" t="s">
        <v>1269</v>
      </c>
      <c r="H1860" s="67" t="s">
        <v>789</v>
      </c>
      <c r="I1860" s="373">
        <v>23071.81</v>
      </c>
      <c r="J1860" s="373">
        <v>53000</v>
      </c>
      <c r="K1860" s="373"/>
      <c r="L1860" s="379"/>
      <c r="M1860" s="927">
        <f t="shared" si="507"/>
        <v>1222805930</v>
      </c>
      <c r="N1860" s="935" t="s">
        <v>274</v>
      </c>
      <c r="O1860" s="935" t="s">
        <v>8</v>
      </c>
      <c r="P1860" s="75" t="str">
        <f>IF(AND('331-CT'!$E$7=TH!H1860,OR(N1860="331",O1860="331")),"x","")</f>
        <v/>
      </c>
      <c r="Q1860" s="75" t="str">
        <f>IF(AND(B1860='111'!$L$11,OR($N1860=$Q$7,$O1860=$Q$7)),"x","")</f>
        <v/>
      </c>
      <c r="R1860" s="75" t="str">
        <f>IF(AND($N1860=$Q$7,$B1860&lt;'111'!$L$11),"x","")</f>
        <v/>
      </c>
      <c r="S1860" s="75" t="str">
        <f>IF(AND($O1860=$Q$7,$B1860&lt;'111'!$L$11),"x","")</f>
        <v/>
      </c>
      <c r="T1860" s="75" t="str">
        <f>IF(ISERROR(FIND('112'!$M$9,G1860,1)),"",IF((AND(FIND('112'!$M$9,G1860,1)&gt;=1,B1860='112'!$K$9,OR($N1860='112'!$I$6,$O1860='112'!$I$6))),"x",""))</f>
        <v/>
      </c>
      <c r="U1860" s="75" t="str">
        <f>IF(ISERROR(FIND('112'!$M$9,G1860,1)),"",IF((AND(LEFT(G1860,2)=LEFT('112'!$M$9,2),B1860&lt;'112'!$K$9,$N1860='112'!$I$6)),"x",""))</f>
        <v/>
      </c>
      <c r="V1860" s="75" t="str">
        <f>IF(ISERROR(FIND('112'!$M$9,G1860,1)),"",IF((AND(RIGHT(G1860,2)=RIGHT('112'!$M$9,2),B1860&lt;'112'!$K$9,$O1860='112'!$I$6)),"x",""))</f>
        <v/>
      </c>
      <c r="W1860" s="75" t="str">
        <f>IF(AND('341-CT'!$H$9=H1860,OR(LEFT(N1860,3)=$W$7,LEFT(O1860,3)=$W$7)),"x","")</f>
        <v/>
      </c>
      <c r="X1860" s="75" t="str">
        <f>IF(OR(TH!N1860=TH!$X$7,O1860=TH!$X$7),"x","")</f>
        <v/>
      </c>
      <c r="Y1860" s="75" t="str">
        <f>IF(AND(OR(N1860="131",O1860="131"),H1860='131-CT'!$H$9),"x","")</f>
        <v/>
      </c>
      <c r="Z1860" s="75"/>
      <c r="AA1860" s="75" t="str">
        <f>IF(AND(MONTH(E1860)='IN-NX'!$J$5,'IN-NX'!$D$7=D1860),"x","")</f>
        <v/>
      </c>
      <c r="AB1860" s="75" t="str">
        <f>IF(AND(OR(LEFT(TH!N1860,2)="15",LEFT(TH!O1860,2)="15"),LEFT(TH!O1860,3)&lt;&gt;"111",'152-CT'!$J$8=TH!F1860),"x","")</f>
        <v/>
      </c>
      <c r="AC1860" s="75" t="str">
        <f>IF(AND(OR(LEFT(TH!N1860,2)="15",LEFT(TH!O1860,2)="15"),TK!$E$7=TH!F1860),"x","")</f>
        <v/>
      </c>
      <c r="AD1860" s="75" t="str">
        <f>IF(AND(N1860="1521",MONTH(C1860)='BK-NL'!$M$11),"x","")</f>
        <v/>
      </c>
      <c r="AF1860" s="1054"/>
    </row>
    <row r="1861" spans="1:32" s="1053" customFormat="1" ht="17.25" customHeight="1">
      <c r="A1861" s="309" t="str">
        <f>IF(B1861&lt;&gt;"",IF(AND(B1861='IN-TC'!$S$4,OR(TH!N1861="1111",TH!O1861="1111")),TH!D1861,""),"")</f>
        <v/>
      </c>
      <c r="B1861" s="1242">
        <f t="shared" si="505"/>
        <v>9</v>
      </c>
      <c r="C1861" s="217">
        <v>42993</v>
      </c>
      <c r="D1861" s="217" t="s">
        <v>1805</v>
      </c>
      <c r="E1861" s="217">
        <f t="shared" si="506"/>
        <v>42993</v>
      </c>
      <c r="F1861" s="960" t="s">
        <v>2399</v>
      </c>
      <c r="G1861" s="739" t="s">
        <v>2041</v>
      </c>
      <c r="H1861" s="311" t="s">
        <v>2042</v>
      </c>
      <c r="I1861" s="373">
        <v>26390</v>
      </c>
      <c r="J1861" s="373">
        <v>47000</v>
      </c>
      <c r="K1861" s="373"/>
      <c r="L1861" s="379"/>
      <c r="M1861" s="927">
        <f t="shared" si="507"/>
        <v>1240330000</v>
      </c>
      <c r="N1861" s="935" t="s">
        <v>274</v>
      </c>
      <c r="O1861" s="935" t="s">
        <v>8</v>
      </c>
      <c r="P1861" s="75" t="str">
        <f>IF(AND('331-CT'!$E$7=TH!H1861,OR(N1861="331",O1861="331")),"x","")</f>
        <v/>
      </c>
      <c r="Q1861" s="75" t="str">
        <f>IF(AND(B1861='111'!$L$11,OR($N1861=$Q$7,$O1861=$Q$7)),"x","")</f>
        <v/>
      </c>
      <c r="R1861" s="75" t="str">
        <f>IF(AND($N1861=$Q$7,$B1861&lt;'111'!$L$11),"x","")</f>
        <v/>
      </c>
      <c r="S1861" s="75" t="str">
        <f>IF(AND($O1861=$Q$7,$B1861&lt;'111'!$L$11),"x","")</f>
        <v/>
      </c>
      <c r="T1861" s="75" t="str">
        <f>IF(ISERROR(FIND('112'!$M$9,G1861,1)),"",IF((AND(FIND('112'!$M$9,G1861,1)&gt;=1,B1861='112'!$K$9,OR($N1861='112'!$I$6,$O1861='112'!$I$6))),"x",""))</f>
        <v/>
      </c>
      <c r="U1861" s="75" t="str">
        <f>IF(ISERROR(FIND('112'!$M$9,G1861,1)),"",IF((AND(LEFT(G1861,2)=LEFT('112'!$M$9,2),B1861&lt;'112'!$K$9,$N1861='112'!$I$6)),"x",""))</f>
        <v/>
      </c>
      <c r="V1861" s="75" t="str">
        <f>IF(ISERROR(FIND('112'!$M$9,G1861,1)),"",IF((AND(RIGHT(G1861,2)=RIGHT('112'!$M$9,2),B1861&lt;'112'!$K$9,$O1861='112'!$I$6)),"x",""))</f>
        <v/>
      </c>
      <c r="W1861" s="75" t="str">
        <f>IF(AND('341-CT'!$H$9=H1861,OR(LEFT(N1861,3)=$W$7,LEFT(O1861,3)=$W$7)),"x","")</f>
        <v/>
      </c>
      <c r="X1861" s="75" t="str">
        <f>IF(OR(TH!N1861=TH!$X$7,O1861=TH!$X$7),"x","")</f>
        <v/>
      </c>
      <c r="Y1861" s="75" t="str">
        <f>IF(AND(OR(N1861="131",O1861="131"),H1861='131-CT'!$H$9),"x","")</f>
        <v/>
      </c>
      <c r="Z1861" s="75"/>
      <c r="AA1861" s="75" t="str">
        <f>IF(AND(MONTH(E1861)='IN-NX'!$J$5,'IN-NX'!$D$7=D1861),"x","")</f>
        <v/>
      </c>
      <c r="AB1861" s="75" t="str">
        <f>IF(AND(OR(LEFT(TH!N1861,2)="15",LEFT(TH!O1861,2)="15"),LEFT(TH!O1861,3)&lt;&gt;"111",'152-CT'!$J$8=TH!F1861),"x","")</f>
        <v/>
      </c>
      <c r="AC1861" s="75" t="str">
        <f>IF(AND(OR(LEFT(TH!N1861,2)="15",LEFT(TH!O1861,2)="15"),TK!$E$7=TH!F1861),"x","")</f>
        <v/>
      </c>
      <c r="AD1861" s="75" t="str">
        <f>IF(AND(N1861="1521",MONTH(C1861)='BK-NL'!$M$11),"x","")</f>
        <v/>
      </c>
      <c r="AF1861" s="1054"/>
    </row>
    <row r="1862" spans="1:32" s="1053" customFormat="1" ht="17.25" customHeight="1">
      <c r="A1862" s="309" t="str">
        <f>IF(B1862&lt;&gt;"",IF(AND(B1862='IN-TC'!$S$4,OR(TH!N1862="1111",TH!O1862="1111")),TH!D1862,""),"")</f>
        <v/>
      </c>
      <c r="B1862" s="1242">
        <f t="shared" si="505"/>
        <v>9</v>
      </c>
      <c r="C1862" s="217">
        <v>42993</v>
      </c>
      <c r="D1862" s="217" t="s">
        <v>1806</v>
      </c>
      <c r="E1862" s="217">
        <f t="shared" si="506"/>
        <v>42993</v>
      </c>
      <c r="F1862" s="960" t="s">
        <v>429</v>
      </c>
      <c r="G1862" s="739" t="s">
        <v>2222</v>
      </c>
      <c r="H1862" s="311" t="s">
        <v>623</v>
      </c>
      <c r="I1862" s="373">
        <v>52780</v>
      </c>
      <c r="J1862" s="373">
        <v>53000</v>
      </c>
      <c r="K1862" s="373"/>
      <c r="L1862" s="379"/>
      <c r="M1862" s="927">
        <f t="shared" si="507"/>
        <v>2797340000</v>
      </c>
      <c r="N1862" s="935" t="s">
        <v>274</v>
      </c>
      <c r="O1862" s="935" t="s">
        <v>8</v>
      </c>
      <c r="P1862" s="75" t="str">
        <f>IF(AND('331-CT'!$E$7=TH!H1862,OR(N1862="331",O1862="331")),"x","")</f>
        <v/>
      </c>
      <c r="Q1862" s="75" t="str">
        <f>IF(AND(B1862='111'!$L$11,OR($N1862=$Q$7,$O1862=$Q$7)),"x","")</f>
        <v/>
      </c>
      <c r="R1862" s="75" t="str">
        <f>IF(AND($N1862=$Q$7,$B1862&lt;'111'!$L$11),"x","")</f>
        <v/>
      </c>
      <c r="S1862" s="75" t="str">
        <f>IF(AND($O1862=$Q$7,$B1862&lt;'111'!$L$11),"x","")</f>
        <v/>
      </c>
      <c r="T1862" s="75" t="str">
        <f>IF(ISERROR(FIND('112'!$M$9,G1862,1)),"",IF((AND(FIND('112'!$M$9,G1862,1)&gt;=1,B1862='112'!$K$9,OR($N1862='112'!$I$6,$O1862='112'!$I$6))),"x",""))</f>
        <v/>
      </c>
      <c r="U1862" s="75" t="str">
        <f>IF(ISERROR(FIND('112'!$M$9,G1862,1)),"",IF((AND(LEFT(G1862,2)=LEFT('112'!$M$9,2),B1862&lt;'112'!$K$9,$N1862='112'!$I$6)),"x",""))</f>
        <v/>
      </c>
      <c r="V1862" s="75" t="str">
        <f>IF(ISERROR(FIND('112'!$M$9,G1862,1)),"",IF((AND(RIGHT(G1862,2)=RIGHT('112'!$M$9,2),B1862&lt;'112'!$K$9,$O1862='112'!$I$6)),"x",""))</f>
        <v/>
      </c>
      <c r="W1862" s="75" t="str">
        <f>IF(AND('341-CT'!$H$9=H1862,OR(LEFT(N1862,3)=$W$7,LEFT(O1862,3)=$W$7)),"x","")</f>
        <v/>
      </c>
      <c r="X1862" s="75" t="str">
        <f>IF(OR(TH!N1862=TH!$X$7,O1862=TH!$X$7),"x","")</f>
        <v/>
      </c>
      <c r="Y1862" s="75" t="str">
        <f>IF(AND(OR(N1862="131",O1862="131"),H1862='131-CT'!$H$9),"x","")</f>
        <v/>
      </c>
      <c r="Z1862" s="75"/>
      <c r="AA1862" s="75" t="str">
        <f>IF(AND(MONTH(E1862)='IN-NX'!$J$5,'IN-NX'!$D$7=D1862),"x","")</f>
        <v/>
      </c>
      <c r="AB1862" s="75" t="str">
        <f>IF(AND(OR(LEFT(TH!N1862,2)="15",LEFT(TH!O1862,2)="15"),LEFT(TH!O1862,3)&lt;&gt;"111",'152-CT'!$J$8=TH!F1862),"x","")</f>
        <v/>
      </c>
      <c r="AC1862" s="75" t="str">
        <f>IF(AND(OR(LEFT(TH!N1862,2)="15",LEFT(TH!O1862,2)="15"),TK!$E$7=TH!F1862),"x","")</f>
        <v/>
      </c>
      <c r="AD1862" s="75" t="str">
        <f>IF(AND(N1862="1521",MONTH(C1862)='BK-NL'!$M$11),"x","")</f>
        <v/>
      </c>
      <c r="AF1862" s="1054"/>
    </row>
    <row r="1863" spans="1:32" s="1053" customFormat="1" ht="16.5" customHeight="1">
      <c r="A1863" s="309" t="str">
        <f>IF(B1863&lt;&gt;"",IF(AND(B1863='IN-TC'!$S$4,OR(TH!N1863="1111",TH!O1863="1111")),TH!D1863,""),"")</f>
        <v/>
      </c>
      <c r="B1863" s="1242">
        <f t="shared" si="505"/>
        <v>9</v>
      </c>
      <c r="C1863" s="217">
        <v>42994</v>
      </c>
      <c r="D1863" s="217" t="s">
        <v>1848</v>
      </c>
      <c r="E1863" s="217">
        <f t="shared" si="506"/>
        <v>42994</v>
      </c>
      <c r="F1863" s="960" t="s">
        <v>429</v>
      </c>
      <c r="G1863" s="739" t="s">
        <v>2223</v>
      </c>
      <c r="H1863" s="311" t="s">
        <v>623</v>
      </c>
      <c r="I1863" s="373">
        <v>52780</v>
      </c>
      <c r="J1863" s="373">
        <v>53000</v>
      </c>
      <c r="K1863" s="373"/>
      <c r="L1863" s="379"/>
      <c r="M1863" s="927">
        <f t="shared" si="507"/>
        <v>2797340000</v>
      </c>
      <c r="N1863" s="935" t="s">
        <v>274</v>
      </c>
      <c r="O1863" s="935" t="s">
        <v>8</v>
      </c>
      <c r="P1863" s="75" t="str">
        <f>IF(AND('331-CT'!$E$7=TH!H1863,OR(N1863="331",O1863="331")),"x","")</f>
        <v/>
      </c>
      <c r="Q1863" s="75" t="str">
        <f>IF(AND(B1863='111'!$L$11,OR($N1863=$Q$7,$O1863=$Q$7)),"x","")</f>
        <v/>
      </c>
      <c r="R1863" s="75" t="str">
        <f>IF(AND($N1863=$Q$7,$B1863&lt;'111'!$L$11),"x","")</f>
        <v/>
      </c>
      <c r="S1863" s="75" t="str">
        <f>IF(AND($O1863=$Q$7,$B1863&lt;'111'!$L$11),"x","")</f>
        <v/>
      </c>
      <c r="T1863" s="75" t="str">
        <f>IF(ISERROR(FIND('112'!$M$9,G1863,1)),"",IF((AND(FIND('112'!$M$9,G1863,1)&gt;=1,B1863='112'!$K$9,OR($N1863='112'!$I$6,$O1863='112'!$I$6))),"x",""))</f>
        <v/>
      </c>
      <c r="U1863" s="75" t="str">
        <f>IF(ISERROR(FIND('112'!$M$9,G1863,1)),"",IF((AND(LEFT(G1863,2)=LEFT('112'!$M$9,2),B1863&lt;'112'!$K$9,$N1863='112'!$I$6)),"x",""))</f>
        <v/>
      </c>
      <c r="V1863" s="75" t="str">
        <f>IF(ISERROR(FIND('112'!$M$9,G1863,1)),"",IF((AND(RIGHT(G1863,2)=RIGHT('112'!$M$9,2),B1863&lt;'112'!$K$9,$O1863='112'!$I$6)),"x",""))</f>
        <v/>
      </c>
      <c r="W1863" s="75" t="str">
        <f>IF(AND('341-CT'!$H$9=H1863,OR(LEFT(N1863,3)=$W$7,LEFT(O1863,3)=$W$7)),"x","")</f>
        <v/>
      </c>
      <c r="X1863" s="75" t="str">
        <f>IF(OR(TH!N1863=TH!$X$7,O1863=TH!$X$7),"x","")</f>
        <v/>
      </c>
      <c r="Y1863" s="75" t="str">
        <f>IF(AND(OR(N1863="131",O1863="131"),H1863='131-CT'!$H$9),"x","")</f>
        <v/>
      </c>
      <c r="Z1863" s="75"/>
      <c r="AA1863" s="75" t="str">
        <f>IF(AND(MONTH(E1863)='IN-NX'!$J$5,'IN-NX'!$D$7=D1863),"x","")</f>
        <v/>
      </c>
      <c r="AB1863" s="75" t="str">
        <f>IF(AND(OR(LEFT(TH!N1863,2)="15",LEFT(TH!O1863,2)="15"),LEFT(TH!O1863,3)&lt;&gt;"111",'152-CT'!$J$8=TH!F1863),"x","")</f>
        <v/>
      </c>
      <c r="AC1863" s="75" t="str">
        <f>IF(AND(OR(LEFT(TH!N1863,2)="15",LEFT(TH!O1863,2)="15"),TK!$E$7=TH!F1863),"x","")</f>
        <v/>
      </c>
      <c r="AD1863" s="75" t="str">
        <f>IF(AND(N1863="1521",MONTH(C1863)='BK-NL'!$M$11),"x","")</f>
        <v/>
      </c>
      <c r="AF1863" s="1054"/>
    </row>
    <row r="1864" spans="1:32" s="1053" customFormat="1" ht="16.5" customHeight="1">
      <c r="A1864" s="309" t="str">
        <f>IF(B1864&lt;&gt;"",IF(AND(B1864='IN-TC'!$S$4,OR(TH!N1864="1111",TH!O1864="1111")),TH!D1864,""),"")</f>
        <v/>
      </c>
      <c r="B1864" s="1242">
        <f t="shared" si="505"/>
        <v>9</v>
      </c>
      <c r="C1864" s="217">
        <v>42994</v>
      </c>
      <c r="D1864" s="217" t="s">
        <v>1849</v>
      </c>
      <c r="E1864" s="217">
        <f t="shared" si="506"/>
        <v>42994</v>
      </c>
      <c r="F1864" s="960" t="s">
        <v>429</v>
      </c>
      <c r="G1864" s="739" t="s">
        <v>1268</v>
      </c>
      <c r="H1864" s="67" t="s">
        <v>789</v>
      </c>
      <c r="I1864" s="373">
        <v>23071.81</v>
      </c>
      <c r="J1864" s="373">
        <v>53000</v>
      </c>
      <c r="K1864" s="373"/>
      <c r="L1864" s="379"/>
      <c r="M1864" s="927">
        <f t="shared" si="507"/>
        <v>1222805930</v>
      </c>
      <c r="N1864" s="935" t="s">
        <v>274</v>
      </c>
      <c r="O1864" s="935" t="s">
        <v>8</v>
      </c>
      <c r="P1864" s="75" t="str">
        <f>IF(AND('331-CT'!$E$7=TH!H1864,OR(N1864="331",O1864="331")),"x","")</f>
        <v/>
      </c>
      <c r="Q1864" s="75" t="str">
        <f>IF(AND(B1864='111'!$L$11,OR($N1864=$Q$7,$O1864=$Q$7)),"x","")</f>
        <v/>
      </c>
      <c r="R1864" s="75" t="str">
        <f>IF(AND($N1864=$Q$7,$B1864&lt;'111'!$L$11),"x","")</f>
        <v/>
      </c>
      <c r="S1864" s="75" t="str">
        <f>IF(AND($O1864=$Q$7,$B1864&lt;'111'!$L$11),"x","")</f>
        <v/>
      </c>
      <c r="T1864" s="75" t="str">
        <f>IF(ISERROR(FIND('112'!$M$9,G1864,1)),"",IF((AND(FIND('112'!$M$9,G1864,1)&gt;=1,B1864='112'!$K$9,OR($N1864='112'!$I$6,$O1864='112'!$I$6))),"x",""))</f>
        <v/>
      </c>
      <c r="U1864" s="75" t="str">
        <f>IF(ISERROR(FIND('112'!$M$9,G1864,1)),"",IF((AND(LEFT(G1864,2)=LEFT('112'!$M$9,2),B1864&lt;'112'!$K$9,$N1864='112'!$I$6)),"x",""))</f>
        <v/>
      </c>
      <c r="V1864" s="75" t="str">
        <f>IF(ISERROR(FIND('112'!$M$9,G1864,1)),"",IF((AND(RIGHT(G1864,2)=RIGHT('112'!$M$9,2),B1864&lt;'112'!$K$9,$O1864='112'!$I$6)),"x",""))</f>
        <v/>
      </c>
      <c r="W1864" s="75" t="str">
        <f>IF(AND('341-CT'!$H$9=H1864,OR(LEFT(N1864,3)=$W$7,LEFT(O1864,3)=$W$7)),"x","")</f>
        <v/>
      </c>
      <c r="X1864" s="75" t="str">
        <f>IF(OR(TH!N1864=TH!$X$7,O1864=TH!$X$7),"x","")</f>
        <v/>
      </c>
      <c r="Y1864" s="75" t="str">
        <f>IF(AND(OR(N1864="131",O1864="131"),H1864='131-CT'!$H$9),"x","")</f>
        <v/>
      </c>
      <c r="Z1864" s="75"/>
      <c r="AA1864" s="75" t="str">
        <f>IF(AND(MONTH(E1864)='IN-NX'!$J$5,'IN-NX'!$D$7=D1864),"x","")</f>
        <v/>
      </c>
      <c r="AB1864" s="75" t="str">
        <f>IF(AND(OR(LEFT(TH!N1864,2)="15",LEFT(TH!O1864,2)="15"),LEFT(TH!O1864,3)&lt;&gt;"111",'152-CT'!$J$8=TH!F1864),"x","")</f>
        <v/>
      </c>
      <c r="AC1864" s="75" t="str">
        <f>IF(AND(OR(LEFT(TH!N1864,2)="15",LEFT(TH!O1864,2)="15"),TK!$E$7=TH!F1864),"x","")</f>
        <v/>
      </c>
      <c r="AD1864" s="75" t="str">
        <f>IF(AND(N1864="1521",MONTH(C1864)='BK-NL'!$M$11),"x","")</f>
        <v/>
      </c>
      <c r="AF1864" s="1054"/>
    </row>
    <row r="1865" spans="1:32" s="1053" customFormat="1" ht="16.5" customHeight="1">
      <c r="A1865" s="309" t="str">
        <f>IF(B1865&lt;&gt;"",IF(AND(B1865='IN-TC'!$S$4,OR(TH!N1865="1111",TH!O1865="1111")),TH!D1865,""),"")</f>
        <v/>
      </c>
      <c r="B1865" s="1242">
        <f t="shared" si="505"/>
        <v>9</v>
      </c>
      <c r="C1865" s="217">
        <v>42996</v>
      </c>
      <c r="D1865" s="217" t="s">
        <v>1850</v>
      </c>
      <c r="E1865" s="217">
        <f t="shared" si="506"/>
        <v>42996</v>
      </c>
      <c r="F1865" s="960" t="s">
        <v>429</v>
      </c>
      <c r="G1865" s="739" t="s">
        <v>1267</v>
      </c>
      <c r="H1865" s="67" t="s">
        <v>789</v>
      </c>
      <c r="I1865" s="373">
        <v>23071.81</v>
      </c>
      <c r="J1865" s="373">
        <v>53000</v>
      </c>
      <c r="K1865" s="373"/>
      <c r="L1865" s="379"/>
      <c r="M1865" s="927">
        <f t="shared" si="507"/>
        <v>1222805930</v>
      </c>
      <c r="N1865" s="935" t="s">
        <v>274</v>
      </c>
      <c r="O1865" s="935" t="s">
        <v>8</v>
      </c>
      <c r="P1865" s="75" t="str">
        <f>IF(AND('331-CT'!$E$7=TH!H1865,OR(N1865="331",O1865="331")),"x","")</f>
        <v/>
      </c>
      <c r="Q1865" s="75" t="str">
        <f>IF(AND(B1865='111'!$L$11,OR($N1865=$Q$7,$O1865=$Q$7)),"x","")</f>
        <v/>
      </c>
      <c r="R1865" s="75" t="str">
        <f>IF(AND($N1865=$Q$7,$B1865&lt;'111'!$L$11),"x","")</f>
        <v/>
      </c>
      <c r="S1865" s="75" t="str">
        <f>IF(AND($O1865=$Q$7,$B1865&lt;'111'!$L$11),"x","")</f>
        <v/>
      </c>
      <c r="T1865" s="75" t="str">
        <f>IF(ISERROR(FIND('112'!$M$9,G1865,1)),"",IF((AND(FIND('112'!$M$9,G1865,1)&gt;=1,B1865='112'!$K$9,OR($N1865='112'!$I$6,$O1865='112'!$I$6))),"x",""))</f>
        <v/>
      </c>
      <c r="U1865" s="75" t="str">
        <f>IF(ISERROR(FIND('112'!$M$9,G1865,1)),"",IF((AND(LEFT(G1865,2)=LEFT('112'!$M$9,2),B1865&lt;'112'!$K$9,$N1865='112'!$I$6)),"x",""))</f>
        <v/>
      </c>
      <c r="V1865" s="75" t="str">
        <f>IF(ISERROR(FIND('112'!$M$9,G1865,1)),"",IF((AND(RIGHT(G1865,2)=RIGHT('112'!$M$9,2),B1865&lt;'112'!$K$9,$O1865='112'!$I$6)),"x",""))</f>
        <v/>
      </c>
      <c r="W1865" s="75" t="str">
        <f>IF(AND('341-CT'!$H$9=H1865,OR(LEFT(N1865,3)=$W$7,LEFT(O1865,3)=$W$7)),"x","")</f>
        <v/>
      </c>
      <c r="X1865" s="75" t="str">
        <f>IF(OR(TH!N1865=TH!$X$7,O1865=TH!$X$7),"x","")</f>
        <v/>
      </c>
      <c r="Y1865" s="75" t="str">
        <f>IF(AND(OR(N1865="131",O1865="131"),H1865='131-CT'!$H$9),"x","")</f>
        <v/>
      </c>
      <c r="Z1865" s="75"/>
      <c r="AA1865" s="75" t="str">
        <f>IF(AND(MONTH(E1865)='IN-NX'!$J$5,'IN-NX'!$D$7=D1865),"x","")</f>
        <v/>
      </c>
      <c r="AB1865" s="75" t="str">
        <f>IF(AND(OR(LEFT(TH!N1865,2)="15",LEFT(TH!O1865,2)="15"),LEFT(TH!O1865,3)&lt;&gt;"111",'152-CT'!$J$8=TH!F1865),"x","")</f>
        <v/>
      </c>
      <c r="AC1865" s="75" t="str">
        <f>IF(AND(OR(LEFT(TH!N1865,2)="15",LEFT(TH!O1865,2)="15"),TK!$E$7=TH!F1865),"x","")</f>
        <v/>
      </c>
      <c r="AD1865" s="75" t="str">
        <f>IF(AND(N1865="1521",MONTH(C1865)='BK-NL'!$M$11),"x","")</f>
        <v/>
      </c>
      <c r="AF1865" s="1054"/>
    </row>
    <row r="1866" spans="1:32" s="1053" customFormat="1" ht="16.5" customHeight="1">
      <c r="A1866" s="309" t="str">
        <f>IF(B1866&lt;&gt;"",IF(AND(B1866='IN-TC'!$S$4,OR(TH!N1866="1111",TH!O1866="1111")),TH!D1866,""),"")</f>
        <v/>
      </c>
      <c r="B1866" s="1242">
        <f t="shared" si="505"/>
        <v>9</v>
      </c>
      <c r="C1866" s="217">
        <v>42997</v>
      </c>
      <c r="D1866" s="217" t="s">
        <v>1851</v>
      </c>
      <c r="E1866" s="217">
        <f t="shared" si="506"/>
        <v>42997</v>
      </c>
      <c r="F1866" s="960" t="s">
        <v>429</v>
      </c>
      <c r="G1866" s="739" t="s">
        <v>1266</v>
      </c>
      <c r="H1866" s="67" t="s">
        <v>789</v>
      </c>
      <c r="I1866" s="373">
        <v>23071.81</v>
      </c>
      <c r="J1866" s="373">
        <v>53000</v>
      </c>
      <c r="K1866" s="373"/>
      <c r="L1866" s="379"/>
      <c r="M1866" s="927">
        <f t="shared" si="507"/>
        <v>1222805930</v>
      </c>
      <c r="N1866" s="935" t="s">
        <v>274</v>
      </c>
      <c r="O1866" s="935" t="s">
        <v>8</v>
      </c>
      <c r="P1866" s="75" t="str">
        <f>IF(AND('331-CT'!$E$7=TH!H1866,OR(N1866="331",O1866="331")),"x","")</f>
        <v/>
      </c>
      <c r="Q1866" s="75" t="str">
        <f>IF(AND(B1866='111'!$L$11,OR($N1866=$Q$7,$O1866=$Q$7)),"x","")</f>
        <v/>
      </c>
      <c r="R1866" s="75" t="str">
        <f>IF(AND($N1866=$Q$7,$B1866&lt;'111'!$L$11),"x","")</f>
        <v/>
      </c>
      <c r="S1866" s="75" t="str">
        <f>IF(AND($O1866=$Q$7,$B1866&lt;'111'!$L$11),"x","")</f>
        <v/>
      </c>
      <c r="T1866" s="75" t="str">
        <f>IF(ISERROR(FIND('112'!$M$9,G1866,1)),"",IF((AND(FIND('112'!$M$9,G1866,1)&gt;=1,B1866='112'!$K$9,OR($N1866='112'!$I$6,$O1866='112'!$I$6))),"x",""))</f>
        <v/>
      </c>
      <c r="U1866" s="75" t="str">
        <f>IF(ISERROR(FIND('112'!$M$9,G1866,1)),"",IF((AND(LEFT(G1866,2)=LEFT('112'!$M$9,2),B1866&lt;'112'!$K$9,$N1866='112'!$I$6)),"x",""))</f>
        <v/>
      </c>
      <c r="V1866" s="75" t="str">
        <f>IF(ISERROR(FIND('112'!$M$9,G1866,1)),"",IF((AND(RIGHT(G1866,2)=RIGHT('112'!$M$9,2),B1866&lt;'112'!$K$9,$O1866='112'!$I$6)),"x",""))</f>
        <v/>
      </c>
      <c r="W1866" s="75" t="str">
        <f>IF(AND('341-CT'!$H$9=H1866,OR(LEFT(N1866,3)=$W$7,LEFT(O1866,3)=$W$7)),"x","")</f>
        <v/>
      </c>
      <c r="X1866" s="75" t="str">
        <f>IF(OR(TH!N1866=TH!$X$7,O1866=TH!$X$7),"x","")</f>
        <v/>
      </c>
      <c r="Y1866" s="75" t="str">
        <f>IF(AND(OR(N1866="131",O1866="131"),H1866='131-CT'!$H$9),"x","")</f>
        <v/>
      </c>
      <c r="Z1866" s="75"/>
      <c r="AA1866" s="75" t="str">
        <f>IF(AND(MONTH(E1866)='IN-NX'!$J$5,'IN-NX'!$D$7=D1866),"x","")</f>
        <v/>
      </c>
      <c r="AB1866" s="75" t="str">
        <f>IF(AND(OR(LEFT(TH!N1866,2)="15",LEFT(TH!O1866,2)="15"),LEFT(TH!O1866,3)&lt;&gt;"111",'152-CT'!$J$8=TH!F1866),"x","")</f>
        <v/>
      </c>
      <c r="AC1866" s="75" t="str">
        <f>IF(AND(OR(LEFT(TH!N1866,2)="15",LEFT(TH!O1866,2)="15"),TK!$E$7=TH!F1866),"x","")</f>
        <v/>
      </c>
      <c r="AD1866" s="75" t="str">
        <f>IF(AND(N1866="1521",MONTH(C1866)='BK-NL'!$M$11),"x","")</f>
        <v/>
      </c>
      <c r="AF1866" s="1054"/>
    </row>
    <row r="1867" spans="1:32" s="1053" customFormat="1" ht="16.5" customHeight="1">
      <c r="A1867" s="309" t="str">
        <f>IF(B1867&lt;&gt;"",IF(AND(B1867='IN-TC'!$S$4,OR(TH!N1867="1111",TH!O1867="1111")),TH!D1867,""),"")</f>
        <v/>
      </c>
      <c r="B1867" s="1242">
        <f t="shared" si="505"/>
        <v>9</v>
      </c>
      <c r="C1867" s="217">
        <v>42998</v>
      </c>
      <c r="D1867" s="217" t="s">
        <v>1852</v>
      </c>
      <c r="E1867" s="217">
        <f t="shared" si="506"/>
        <v>42998</v>
      </c>
      <c r="F1867" s="960" t="s">
        <v>429</v>
      </c>
      <c r="G1867" s="739" t="s">
        <v>1265</v>
      </c>
      <c r="H1867" s="67" t="s">
        <v>789</v>
      </c>
      <c r="I1867" s="373">
        <v>23071.81</v>
      </c>
      <c r="J1867" s="373">
        <v>53000</v>
      </c>
      <c r="K1867" s="373"/>
      <c r="L1867" s="379"/>
      <c r="M1867" s="927">
        <f t="shared" si="507"/>
        <v>1222805930</v>
      </c>
      <c r="N1867" s="935" t="s">
        <v>274</v>
      </c>
      <c r="O1867" s="935" t="s">
        <v>8</v>
      </c>
      <c r="P1867" s="75" t="str">
        <f>IF(AND('331-CT'!$E$7=TH!H1867,OR(N1867="331",O1867="331")),"x","")</f>
        <v/>
      </c>
      <c r="Q1867" s="75" t="str">
        <f>IF(AND(B1867='111'!$L$11,OR($N1867=$Q$7,$O1867=$Q$7)),"x","")</f>
        <v/>
      </c>
      <c r="R1867" s="75" t="str">
        <f>IF(AND($N1867=$Q$7,$B1867&lt;'111'!$L$11),"x","")</f>
        <v/>
      </c>
      <c r="S1867" s="75" t="str">
        <f>IF(AND($O1867=$Q$7,$B1867&lt;'111'!$L$11),"x","")</f>
        <v/>
      </c>
      <c r="T1867" s="75" t="str">
        <f>IF(ISERROR(FIND('112'!$M$9,G1867,1)),"",IF((AND(FIND('112'!$M$9,G1867,1)&gt;=1,B1867='112'!$K$9,OR($N1867='112'!$I$6,$O1867='112'!$I$6))),"x",""))</f>
        <v/>
      </c>
      <c r="U1867" s="75" t="str">
        <f>IF(ISERROR(FIND('112'!$M$9,G1867,1)),"",IF((AND(LEFT(G1867,2)=LEFT('112'!$M$9,2),B1867&lt;'112'!$K$9,$N1867='112'!$I$6)),"x",""))</f>
        <v/>
      </c>
      <c r="V1867" s="75" t="str">
        <f>IF(ISERROR(FIND('112'!$M$9,G1867,1)),"",IF((AND(RIGHT(G1867,2)=RIGHT('112'!$M$9,2),B1867&lt;'112'!$K$9,$O1867='112'!$I$6)),"x",""))</f>
        <v/>
      </c>
      <c r="W1867" s="75" t="str">
        <f>IF(AND('341-CT'!$H$9=H1867,OR(LEFT(N1867,3)=$W$7,LEFT(O1867,3)=$W$7)),"x","")</f>
        <v/>
      </c>
      <c r="X1867" s="75" t="str">
        <f>IF(OR(TH!N1867=TH!$X$7,O1867=TH!$X$7),"x","")</f>
        <v/>
      </c>
      <c r="Y1867" s="75" t="str">
        <f>IF(AND(OR(N1867="131",O1867="131"),H1867='131-CT'!$H$9),"x","")</f>
        <v/>
      </c>
      <c r="Z1867" s="75"/>
      <c r="AA1867" s="75" t="str">
        <f>IF(AND(MONTH(E1867)='IN-NX'!$J$5,'IN-NX'!$D$7=D1867),"x","")</f>
        <v/>
      </c>
      <c r="AB1867" s="75" t="str">
        <f>IF(AND(OR(LEFT(TH!N1867,2)="15",LEFT(TH!O1867,2)="15"),LEFT(TH!O1867,3)&lt;&gt;"111",'152-CT'!$J$8=TH!F1867),"x","")</f>
        <v/>
      </c>
      <c r="AC1867" s="75" t="str">
        <f>IF(AND(OR(LEFT(TH!N1867,2)="15",LEFT(TH!O1867,2)="15"),TK!$E$7=TH!F1867),"x","")</f>
        <v/>
      </c>
      <c r="AD1867" s="75" t="str">
        <f>IF(AND(N1867="1521",MONTH(C1867)='BK-NL'!$M$11),"x","")</f>
        <v/>
      </c>
      <c r="AF1867" s="1054"/>
    </row>
    <row r="1868" spans="1:32" s="1054" customFormat="1" ht="16.5" customHeight="1">
      <c r="A1868" s="309" t="str">
        <f>IF(B1868&lt;&gt;"",IF(AND(B1868='IN-TC'!$S$4,OR(TH!N1868="1111",TH!O1868="1111")),TH!D1868,""),"")</f>
        <v/>
      </c>
      <c r="B1868" s="1242">
        <f t="shared" si="505"/>
        <v>9</v>
      </c>
      <c r="C1868" s="936">
        <v>43000</v>
      </c>
      <c r="D1868" s="936" t="s">
        <v>2920</v>
      </c>
      <c r="E1868" s="936">
        <f t="shared" si="506"/>
        <v>43000</v>
      </c>
      <c r="F1868" s="958" t="s">
        <v>429</v>
      </c>
      <c r="G1868" s="942" t="s">
        <v>2213</v>
      </c>
      <c r="H1868" s="80" t="s">
        <v>424</v>
      </c>
      <c r="I1868" s="939">
        <v>371664.83</v>
      </c>
      <c r="J1868" s="938">
        <v>53664.547032873677</v>
      </c>
      <c r="K1868" s="939"/>
      <c r="L1868" s="938"/>
      <c r="M1868" s="940">
        <f t="shared" si="507"/>
        <v>19945224750</v>
      </c>
      <c r="N1868" s="941" t="s">
        <v>272</v>
      </c>
      <c r="O1868" s="941" t="s">
        <v>274</v>
      </c>
      <c r="P1868" s="75" t="str">
        <f>IF(AND('331-CT'!$E$7=TH!H1868,OR(N1868="331",O1868="331")),"x","")</f>
        <v/>
      </c>
      <c r="Q1868" s="75" t="str">
        <f>IF(AND(B1868='111'!$L$11,OR($N1868=$Q$7,$O1868=$Q$7)),"x","")</f>
        <v/>
      </c>
      <c r="R1868" s="75" t="str">
        <f>IF(AND($N1868=$Q$7,$B1868&lt;'111'!$L$11),"x","")</f>
        <v/>
      </c>
      <c r="S1868" s="75" t="str">
        <f>IF(AND($O1868=$Q$7,$B1868&lt;'111'!$L$11),"x","")</f>
        <v/>
      </c>
      <c r="T1868" s="75" t="str">
        <f>IF(ISERROR(FIND('112'!$M$9,G1868,1)),"",IF((AND(FIND('112'!$M$9,G1868,1)&gt;=1,B1868='112'!$K$9,OR($N1868='112'!$I$6,$O1868='112'!$I$6))),"x",""))</f>
        <v/>
      </c>
      <c r="U1868" s="75" t="str">
        <f>IF(ISERROR(FIND('112'!$M$9,G1868,1)),"",IF((AND(LEFT(G1868,2)=LEFT('112'!$M$9,2),B1868&lt;'112'!$K$9,$N1868='112'!$I$6)),"x",""))</f>
        <v/>
      </c>
      <c r="V1868" s="75" t="str">
        <f>IF(ISERROR(FIND('112'!$M$9,G1868,1)),"",IF((AND(RIGHT(G1868,2)=RIGHT('112'!$M$9,2),B1868&lt;'112'!$K$9,$O1868='112'!$I$6)),"x",""))</f>
        <v/>
      </c>
      <c r="W1868" s="75" t="str">
        <f>IF(AND('341-CT'!$H$9=H1868,OR(LEFT(N1868,3)=$W$7,LEFT(O1868,3)=$W$7)),"x","")</f>
        <v/>
      </c>
      <c r="X1868" s="75" t="str">
        <f>IF(OR(TH!N1868=TH!$X$7,O1868=TH!$X$7),"x","")</f>
        <v/>
      </c>
      <c r="Y1868" s="75" t="str">
        <f>IF(AND(OR(N1868="131",O1868="131"),H1868='131-CT'!$H$9),"x","")</f>
        <v/>
      </c>
      <c r="Z1868" s="75"/>
      <c r="AA1868" s="75" t="str">
        <f>IF(AND(MONTH(E1868)='IN-NX'!$J$5,'IN-NX'!$D$7=D1868),"x","")</f>
        <v/>
      </c>
      <c r="AB1868" s="75" t="str">
        <f>IF(AND(OR(LEFT(TH!N1868,2)="15",LEFT(TH!O1868,2)="15"),LEFT(TH!O1868,3)&lt;&gt;"111",'152-CT'!$J$8=TH!F1868),"x","")</f>
        <v/>
      </c>
      <c r="AC1868" s="75" t="str">
        <f>IF(AND(OR(LEFT(TH!N1868,2)="15",LEFT(TH!O1868,2)="15"),TK!$E$7=TH!F1868),"x","")</f>
        <v/>
      </c>
      <c r="AD1868" s="75" t="str">
        <f>IF(AND(N1868="1521",MONTH(C1868)='BK-NL'!$M$11),"x","")</f>
        <v/>
      </c>
    </row>
    <row r="1869" spans="1:32" s="1053" customFormat="1" ht="16.5" customHeight="1">
      <c r="A1869" s="309" t="str">
        <f>IF(B1869&lt;&gt;"",IF(AND(B1869='IN-TC'!$S$4,OR(TH!N1869="1111",TH!O1869="1111")),TH!D1869,""),"")</f>
        <v/>
      </c>
      <c r="B1869" s="1242">
        <f t="shared" si="505"/>
        <v>9</v>
      </c>
      <c r="C1869" s="217">
        <f t="shared" ref="C1869" si="508">E1869</f>
        <v>43000</v>
      </c>
      <c r="D1869" s="217" t="s">
        <v>2950</v>
      </c>
      <c r="E1869" s="217">
        <v>43000</v>
      </c>
      <c r="F1869" s="1031" t="s">
        <v>429</v>
      </c>
      <c r="G1869" s="739"/>
      <c r="H1869" s="294" t="s">
        <v>2919</v>
      </c>
      <c r="I1869" s="373">
        <v>371664.83</v>
      </c>
      <c r="J1869" s="926">
        <v>54194.968880967295</v>
      </c>
      <c r="K1869" s="926"/>
      <c r="L1869" s="379"/>
      <c r="M1869" s="927">
        <f t="shared" ref="M1869" si="509">ROUND(I1869*J1869,0)</f>
        <v>20142363896</v>
      </c>
      <c r="N1869" s="935" t="s">
        <v>274</v>
      </c>
      <c r="O1869" s="935" t="s">
        <v>272</v>
      </c>
      <c r="P1869" s="75" t="str">
        <f>IF(AND('331-CT'!$E$7=TH!H1869,OR(N1869="331",O1869="331")),"x","")</f>
        <v/>
      </c>
      <c r="Q1869" s="75" t="str">
        <f>IF(AND(B1869='111'!$L$11,OR($N1869=$Q$7,$O1869=$Q$7)),"x","")</f>
        <v/>
      </c>
      <c r="R1869" s="75" t="str">
        <f>IF(AND($N1869=$Q$7,$B1869&lt;'111'!$L$11),"x","")</f>
        <v/>
      </c>
      <c r="S1869" s="75" t="str">
        <f>IF(AND($O1869=$Q$7,$B1869&lt;'111'!$L$11),"x","")</f>
        <v/>
      </c>
      <c r="T1869" s="75" t="str">
        <f>IF(ISERROR(FIND('112'!$M$9,G1869,1)),"",IF((AND(FIND('112'!$M$9,G1869,1)&gt;=1,B1869='112'!$K$9,OR($N1869='112'!$I$6,$O1869='112'!$I$6))),"x",""))</f>
        <v/>
      </c>
      <c r="U1869" s="75" t="str">
        <f>IF(ISERROR(FIND('112'!$M$9,G1869,1)),"",IF((AND(LEFT(G1869,2)=LEFT('112'!$M$9,2),B1869&lt;'112'!$K$9,$N1869='112'!$I$6)),"x",""))</f>
        <v/>
      </c>
      <c r="V1869" s="75" t="str">
        <f>IF(ISERROR(FIND('112'!$M$9,G1869,1)),"",IF((AND(RIGHT(G1869,2)=RIGHT('112'!$M$9,2),B1869&lt;'112'!$K$9,$O1869='112'!$I$6)),"x",""))</f>
        <v/>
      </c>
      <c r="W1869" s="75" t="str">
        <f>IF(AND('341-CT'!$H$9=H1869,OR(LEFT(N1869,3)=$W$7,LEFT(O1869,3)=$W$7)),"x","")</f>
        <v/>
      </c>
      <c r="X1869" s="75" t="str">
        <f>IF(OR(TH!N1869=TH!$X$7,O1869=TH!$X$7),"x","")</f>
        <v/>
      </c>
      <c r="Y1869" s="75" t="str">
        <f>IF(AND(OR(N1869="131",O1869="131"),H1869='131-CT'!$H$9),"x","")</f>
        <v/>
      </c>
      <c r="Z1869" s="75"/>
      <c r="AA1869" s="75" t="str">
        <f>IF(AND(MONTH(E1869)='IN-NX'!$J$5,'IN-NX'!$D$7=D1869),"x","")</f>
        <v/>
      </c>
      <c r="AB1869" s="75" t="str">
        <f>IF(AND(OR(LEFT(TH!N1869,2)="15",LEFT(TH!O1869,2)="15"),LEFT(TH!O1869,3)&lt;&gt;"111",'152-CT'!$J$8=TH!F1869),"x","")</f>
        <v/>
      </c>
      <c r="AC1869" s="75" t="str">
        <f>IF(AND(OR(LEFT(TH!N1869,2)="15",LEFT(TH!O1869,2)="15"),TK!$E$7=TH!F1869),"x","")</f>
        <v/>
      </c>
      <c r="AD1869" s="75" t="str">
        <f>IF(AND(N1869="1521",MONTH(C1869)='BK-NL'!$M$11),"x","")</f>
        <v/>
      </c>
      <c r="AF1869" s="1054"/>
    </row>
    <row r="1870" spans="1:32" ht="16.5" customHeight="1">
      <c r="A1870" s="309" t="str">
        <f>IF(B1870&lt;&gt;"",IF(AND(B1870='IN-TC'!$S$4,OR(TH!N1870="1111",TH!O1870="1111")),TH!D1870,""),"")</f>
        <v/>
      </c>
      <c r="B1870" s="1242">
        <f t="shared" si="505"/>
        <v>9</v>
      </c>
      <c r="C1870" s="217">
        <f t="shared" ref="C1870:C1874" si="510">E1870</f>
        <v>43000</v>
      </c>
      <c r="D1870" s="217" t="s">
        <v>2950</v>
      </c>
      <c r="E1870" s="217">
        <v>43000</v>
      </c>
      <c r="F1870" s="1031" t="s">
        <v>2399</v>
      </c>
      <c r="G1870" s="739"/>
      <c r="H1870" s="294" t="s">
        <v>2919</v>
      </c>
      <c r="I1870" s="1122">
        <v>263900</v>
      </c>
      <c r="J1870" s="926">
        <v>45734.116025009476</v>
      </c>
      <c r="K1870" s="926"/>
      <c r="L1870" s="379"/>
      <c r="M1870" s="927">
        <f>ROUND(I1870*J1870,0)</f>
        <v>12069233219</v>
      </c>
      <c r="N1870" s="935" t="s">
        <v>274</v>
      </c>
      <c r="O1870" s="935" t="s">
        <v>272</v>
      </c>
      <c r="P1870" s="75" t="str">
        <f>IF(AND('331-CT'!$E$7=TH!H1870,OR(N1870="331",O1870="331")),"x","")</f>
        <v/>
      </c>
      <c r="Q1870" s="75" t="str">
        <f>IF(AND(B1870='111'!$L$11,OR($N1870=$Q$7,$O1870=$Q$7)),"x","")</f>
        <v/>
      </c>
      <c r="R1870" s="75" t="str">
        <f>IF(AND($N1870=$Q$7,$B1870&lt;'111'!$L$11),"x","")</f>
        <v/>
      </c>
      <c r="S1870" s="75" t="str">
        <f>IF(AND($O1870=$Q$7,$B1870&lt;'111'!$L$11),"x","")</f>
        <v/>
      </c>
      <c r="T1870" s="75" t="str">
        <f>IF(ISERROR(FIND('112'!$M$9,G1870,1)),"",IF((AND(FIND('112'!$M$9,G1870,1)&gt;=1,B1870='112'!$K$9,OR($N1870='112'!$I$6,$O1870='112'!$I$6))),"x",""))</f>
        <v/>
      </c>
      <c r="U1870" s="75" t="str">
        <f>IF(ISERROR(FIND('112'!$M$9,G1870,1)),"",IF((AND(LEFT(G1870,2)=LEFT('112'!$M$9,2),B1870&lt;'112'!$K$9,$N1870='112'!$I$6)),"x",""))</f>
        <v/>
      </c>
      <c r="V1870" s="75" t="str">
        <f>IF(ISERROR(FIND('112'!$M$9,G1870,1)),"",IF((AND(RIGHT(G1870,2)=RIGHT('112'!$M$9,2),B1870&lt;'112'!$K$9,$O1870='112'!$I$6)),"x",""))</f>
        <v/>
      </c>
      <c r="W1870" s="75" t="str">
        <f>IF(AND('341-CT'!$H$9=H1870,OR(LEFT(N1870,3)=$W$7,LEFT(O1870,3)=$W$7)),"x","")</f>
        <v/>
      </c>
      <c r="X1870" s="75" t="str">
        <f>IF(OR(TH!N1870=TH!$X$7,O1870=TH!$X$7),"x","")</f>
        <v/>
      </c>
      <c r="Y1870" s="75" t="str">
        <f>IF(AND(OR(N1870="131",O1870="131"),H1870='131-CT'!$H$9),"x","")</f>
        <v/>
      </c>
      <c r="Z1870" s="75"/>
      <c r="AA1870" s="75" t="str">
        <f>IF(AND(MONTH(E1870)='IN-NX'!$J$5,'IN-NX'!$D$7=D1870),"x","")</f>
        <v/>
      </c>
      <c r="AB1870" s="75" t="str">
        <f>IF(AND(OR(LEFT(TH!N1870,2)="15",LEFT(TH!O1870,2)="15"),LEFT(TH!O1870,3)&lt;&gt;"111",'152-CT'!$J$8=TH!F1870),"x","")</f>
        <v/>
      </c>
      <c r="AC1870" s="75" t="str">
        <f>IF(AND(OR(LEFT(TH!N1870,2)="15",LEFT(TH!O1870,2)="15"),TK!$E$7=TH!F1870),"x","")</f>
        <v/>
      </c>
      <c r="AD1870" s="75" t="str">
        <f>IF(AND(N1870="1521",MONTH(C1870)='BK-NL'!$M$11),"x","")</f>
        <v/>
      </c>
      <c r="AF1870" s="1054"/>
    </row>
    <row r="1871" spans="1:32" s="1053" customFormat="1" ht="16.5" customHeight="1">
      <c r="A1871" s="309" t="str">
        <f>IF(B1871&lt;&gt;"",IF(AND(B1871='IN-TC'!$S$4,OR(TH!N1871="1111",TH!O1871="1111")),TH!D1871,""),"")</f>
        <v/>
      </c>
      <c r="B1871" s="1242">
        <f t="shared" si="505"/>
        <v>9</v>
      </c>
      <c r="C1871" s="217">
        <f t="shared" si="510"/>
        <v>43000</v>
      </c>
      <c r="D1871" s="217" t="s">
        <v>2950</v>
      </c>
      <c r="E1871" s="217">
        <v>43000</v>
      </c>
      <c r="F1871" s="1031" t="s">
        <v>429</v>
      </c>
      <c r="G1871" s="739"/>
      <c r="H1871" s="294" t="s">
        <v>2919</v>
      </c>
      <c r="I1871" s="373">
        <v>50575.169999999984</v>
      </c>
      <c r="J1871" s="926">
        <v>58907.617354523987</v>
      </c>
      <c r="K1871" s="926"/>
      <c r="L1871" s="379"/>
      <c r="M1871" s="927">
        <f t="shared" ref="M1871" si="511">ROUND(I1871*J1871,0)</f>
        <v>2979262762</v>
      </c>
      <c r="N1871" s="935" t="s">
        <v>274</v>
      </c>
      <c r="O1871" s="935" t="s">
        <v>272</v>
      </c>
      <c r="P1871" s="75" t="str">
        <f>IF(AND('331-CT'!$E$7=TH!H1871,OR(N1871="331",O1871="331")),"x","")</f>
        <v/>
      </c>
      <c r="Q1871" s="75" t="str">
        <f>IF(AND(B1871='111'!$L$11,OR($N1871=$Q$7,$O1871=$Q$7)),"x","")</f>
        <v/>
      </c>
      <c r="R1871" s="75" t="str">
        <f>IF(AND($N1871=$Q$7,$B1871&lt;'111'!$L$11),"x","")</f>
        <v/>
      </c>
      <c r="S1871" s="75" t="str">
        <f>IF(AND($O1871=$Q$7,$B1871&lt;'111'!$L$11),"x","")</f>
        <v/>
      </c>
      <c r="T1871" s="75" t="str">
        <f>IF(ISERROR(FIND('112'!$M$9,G1871,1)),"",IF((AND(FIND('112'!$M$9,G1871,1)&gt;=1,B1871='112'!$K$9,OR($N1871='112'!$I$6,$O1871='112'!$I$6))),"x",""))</f>
        <v/>
      </c>
      <c r="U1871" s="75" t="str">
        <f>IF(ISERROR(FIND('112'!$M$9,G1871,1)),"",IF((AND(LEFT(G1871,2)=LEFT('112'!$M$9,2),B1871&lt;'112'!$K$9,$N1871='112'!$I$6)),"x",""))</f>
        <v/>
      </c>
      <c r="V1871" s="75" t="str">
        <f>IF(ISERROR(FIND('112'!$M$9,G1871,1)),"",IF((AND(RIGHT(G1871,2)=RIGHT('112'!$M$9,2),B1871&lt;'112'!$K$9,$O1871='112'!$I$6)),"x",""))</f>
        <v/>
      </c>
      <c r="W1871" s="75" t="str">
        <f>IF(AND('341-CT'!$H$9=H1871,OR(LEFT(N1871,3)=$W$7,LEFT(O1871,3)=$W$7)),"x","")</f>
        <v/>
      </c>
      <c r="X1871" s="75" t="str">
        <f>IF(OR(TH!N1871=TH!$X$7,O1871=TH!$X$7),"x","")</f>
        <v/>
      </c>
      <c r="Y1871" s="75" t="str">
        <f>IF(AND(OR(N1871="131",O1871="131"),H1871='131-CT'!$H$9),"x","")</f>
        <v/>
      </c>
      <c r="Z1871" s="75"/>
      <c r="AA1871" s="75" t="str">
        <f>IF(AND(MONTH(E1871)='IN-NX'!$J$5,'IN-NX'!$D$7=D1871),"x","")</f>
        <v/>
      </c>
      <c r="AB1871" s="75" t="str">
        <f>IF(AND(OR(LEFT(TH!N1871,2)="15",LEFT(TH!O1871,2)="15"),LEFT(TH!O1871,3)&lt;&gt;"111",'152-CT'!$J$8=TH!F1871),"x","")</f>
        <v/>
      </c>
      <c r="AC1871" s="75" t="str">
        <f>IF(AND(OR(LEFT(TH!N1871,2)="15",LEFT(TH!O1871,2)="15"),TK!$E$7=TH!F1871),"x","")</f>
        <v/>
      </c>
      <c r="AD1871" s="75" t="str">
        <f>IF(AND(N1871="1521",MONTH(C1871)='BK-NL'!$M$11),"x","")</f>
        <v/>
      </c>
      <c r="AF1871" s="1054"/>
    </row>
    <row r="1872" spans="1:32" ht="16.5" customHeight="1">
      <c r="A1872" s="309" t="str">
        <f>IF(B1872&lt;&gt;"",IF(AND(B1872='IN-TC'!$S$4,OR(TH!N1872="1111",TH!O1872="1111")),TH!D1872,""),"")</f>
        <v/>
      </c>
      <c r="B1872" s="1242">
        <f t="shared" si="505"/>
        <v>9</v>
      </c>
      <c r="C1872" s="217">
        <f t="shared" si="510"/>
        <v>43000</v>
      </c>
      <c r="D1872" s="217" t="s">
        <v>2950</v>
      </c>
      <c r="E1872" s="217">
        <v>43000</v>
      </c>
      <c r="F1872" s="1031" t="s">
        <v>1588</v>
      </c>
      <c r="G1872" s="739"/>
      <c r="H1872" s="294" t="s">
        <v>2919</v>
      </c>
      <c r="I1872" s="373">
        <v>5240</v>
      </c>
      <c r="J1872" s="926">
        <v>218827.18034351146</v>
      </c>
      <c r="K1872" s="926"/>
      <c r="L1872" s="379"/>
      <c r="M1872" s="927">
        <f>ROUND(I1872*J1872,0)</f>
        <v>1146654425</v>
      </c>
      <c r="N1872" s="935" t="s">
        <v>274</v>
      </c>
      <c r="O1872" s="935" t="s">
        <v>272</v>
      </c>
      <c r="P1872" s="75" t="str">
        <f>IF(AND('331-CT'!$E$7=TH!H1872,OR(N1872="331",O1872="331")),"x","")</f>
        <v/>
      </c>
      <c r="Q1872" s="75" t="str">
        <f>IF(AND(B1872='111'!$L$11,OR($N1872=$Q$7,$O1872=$Q$7)),"x","")</f>
        <v/>
      </c>
      <c r="R1872" s="75" t="str">
        <f>IF(AND($N1872=$Q$7,$B1872&lt;'111'!$L$11),"x","")</f>
        <v/>
      </c>
      <c r="S1872" s="75" t="str">
        <f>IF(AND($O1872=$Q$7,$B1872&lt;'111'!$L$11),"x","")</f>
        <v/>
      </c>
      <c r="T1872" s="75" t="str">
        <f>IF(ISERROR(FIND('112'!$M$9,G1872,1)),"",IF((AND(FIND('112'!$M$9,G1872,1)&gt;=1,B1872='112'!$K$9,OR($N1872='112'!$I$6,$O1872='112'!$I$6))),"x",""))</f>
        <v/>
      </c>
      <c r="U1872" s="75" t="str">
        <f>IF(ISERROR(FIND('112'!$M$9,G1872,1)),"",IF((AND(LEFT(G1872,2)=LEFT('112'!$M$9,2),B1872&lt;'112'!$K$9,$N1872='112'!$I$6)),"x",""))</f>
        <v/>
      </c>
      <c r="V1872" s="75" t="str">
        <f>IF(ISERROR(FIND('112'!$M$9,G1872,1)),"",IF((AND(RIGHT(G1872,2)=RIGHT('112'!$M$9,2),B1872&lt;'112'!$K$9,$O1872='112'!$I$6)),"x",""))</f>
        <v/>
      </c>
      <c r="W1872" s="75" t="str">
        <f>IF(AND('341-CT'!$H$9=H1872,OR(LEFT(N1872,3)=$W$7,LEFT(O1872,3)=$W$7)),"x","")</f>
        <v/>
      </c>
      <c r="X1872" s="75" t="str">
        <f>IF(OR(TH!N1872=TH!$X$7,O1872=TH!$X$7),"x","")</f>
        <v/>
      </c>
      <c r="Y1872" s="75" t="str">
        <f>IF(AND(OR(N1872="131",O1872="131"),H1872='131-CT'!$H$9),"x","")</f>
        <v/>
      </c>
      <c r="Z1872" s="75"/>
      <c r="AA1872" s="75" t="str">
        <f>IF(AND(MONTH(E1872)='IN-NX'!$J$5,'IN-NX'!$D$7=D1872),"x","")</f>
        <v/>
      </c>
      <c r="AB1872" s="75" t="str">
        <f>IF(AND(OR(LEFT(TH!N1872,2)="15",LEFT(TH!O1872,2)="15"),LEFT(TH!O1872,3)&lt;&gt;"111",'152-CT'!$J$8=TH!F1872),"x","")</f>
        <v/>
      </c>
      <c r="AC1872" s="75" t="str">
        <f>IF(AND(OR(LEFT(TH!N1872,2)="15",LEFT(TH!O1872,2)="15"),TK!$E$7=TH!F1872),"x","")</f>
        <v/>
      </c>
      <c r="AD1872" s="75" t="str">
        <f>IF(AND(N1872="1521",MONTH(C1872)='BK-NL'!$M$11),"x","")</f>
        <v/>
      </c>
      <c r="AF1872" s="1054"/>
    </row>
    <row r="1873" spans="1:32" ht="16.5" customHeight="1">
      <c r="A1873" s="309" t="str">
        <f>IF(B1873&lt;&gt;"",IF(AND(B1873='IN-TC'!$S$4,OR(TH!N1873="1111",TH!O1873="1111")),TH!D1873,""),"")</f>
        <v/>
      </c>
      <c r="B1873" s="1242">
        <f t="shared" si="505"/>
        <v>9</v>
      </c>
      <c r="C1873" s="217">
        <f t="shared" si="510"/>
        <v>43000</v>
      </c>
      <c r="D1873" s="217" t="s">
        <v>2950</v>
      </c>
      <c r="E1873" s="217">
        <v>43000</v>
      </c>
      <c r="F1873" s="996" t="s">
        <v>793</v>
      </c>
      <c r="G1873" s="739"/>
      <c r="H1873" s="294" t="s">
        <v>2919</v>
      </c>
      <c r="I1873" s="373">
        <v>6760</v>
      </c>
      <c r="J1873" s="926">
        <v>188533.83298816567</v>
      </c>
      <c r="K1873" s="926"/>
      <c r="L1873" s="379"/>
      <c r="M1873" s="927">
        <f>ROUND(I1873*J1873,0)</f>
        <v>1274488711</v>
      </c>
      <c r="N1873" s="935" t="s">
        <v>274</v>
      </c>
      <c r="O1873" s="935" t="s">
        <v>272</v>
      </c>
      <c r="P1873" s="75" t="str">
        <f>IF(AND('331-CT'!$E$7=TH!H1873,OR(N1873="331",O1873="331")),"x","")</f>
        <v/>
      </c>
      <c r="Q1873" s="75" t="str">
        <f>IF(AND(B1873='111'!$L$11,OR($N1873=$Q$7,$O1873=$Q$7)),"x","")</f>
        <v/>
      </c>
      <c r="R1873" s="75" t="str">
        <f>IF(AND($N1873=$Q$7,$B1873&lt;'111'!$L$11),"x","")</f>
        <v/>
      </c>
      <c r="S1873" s="75" t="str">
        <f>IF(AND($O1873=$Q$7,$B1873&lt;'111'!$L$11),"x","")</f>
        <v/>
      </c>
      <c r="T1873" s="75" t="str">
        <f>IF(ISERROR(FIND('112'!$M$9,G1873,1)),"",IF((AND(FIND('112'!$M$9,G1873,1)&gt;=1,B1873='112'!$K$9,OR($N1873='112'!$I$6,$O1873='112'!$I$6))),"x",""))</f>
        <v/>
      </c>
      <c r="U1873" s="75" t="str">
        <f>IF(ISERROR(FIND('112'!$M$9,G1873,1)),"",IF((AND(LEFT(G1873,2)=LEFT('112'!$M$9,2),B1873&lt;'112'!$K$9,$N1873='112'!$I$6)),"x",""))</f>
        <v/>
      </c>
      <c r="V1873" s="75" t="str">
        <f>IF(ISERROR(FIND('112'!$M$9,G1873,1)),"",IF((AND(RIGHT(G1873,2)=RIGHT('112'!$M$9,2),B1873&lt;'112'!$K$9,$O1873='112'!$I$6)),"x",""))</f>
        <v/>
      </c>
      <c r="W1873" s="75" t="str">
        <f>IF(AND('341-CT'!$H$9=H1873,OR(LEFT(N1873,3)=$W$7,LEFT(O1873,3)=$W$7)),"x","")</f>
        <v/>
      </c>
      <c r="X1873" s="75" t="str">
        <f>IF(OR(TH!N1873=TH!$X$7,O1873=TH!$X$7),"x","")</f>
        <v/>
      </c>
      <c r="Y1873" s="75" t="str">
        <f>IF(AND(OR(N1873="131",O1873="131"),H1873='131-CT'!$H$9),"x","")</f>
        <v/>
      </c>
      <c r="Z1873" s="75"/>
      <c r="AA1873" s="75" t="str">
        <f>IF(AND(MONTH(E1873)='IN-NX'!$J$5,'IN-NX'!$D$7=D1873),"x","")</f>
        <v/>
      </c>
      <c r="AB1873" s="75" t="str">
        <f>IF(AND(OR(LEFT(TH!N1873,2)="15",LEFT(TH!O1873,2)="15"),LEFT(TH!O1873,3)&lt;&gt;"111",'152-CT'!$J$8=TH!F1873),"x","")</f>
        <v/>
      </c>
      <c r="AC1873" s="75" t="str">
        <f>IF(AND(OR(LEFT(TH!N1873,2)="15",LEFT(TH!O1873,2)="15"),TK!$E$7=TH!F1873),"x","")</f>
        <v/>
      </c>
      <c r="AD1873" s="75" t="str">
        <f>IF(AND(N1873="1521",MONTH(C1873)='BK-NL'!$M$11),"x","")</f>
        <v/>
      </c>
      <c r="AF1873" s="1289"/>
    </row>
    <row r="1874" spans="1:32" ht="16.5" customHeight="1">
      <c r="A1874" s="309" t="str">
        <f>IF(B1874&lt;&gt;"",IF(AND(B1874='IN-TC'!$S$4,OR(TH!N1874="1111",TH!O1874="1111")),TH!D1874,""),"")</f>
        <v/>
      </c>
      <c r="B1874" s="1242">
        <f t="shared" si="505"/>
        <v>9</v>
      </c>
      <c r="C1874" s="217">
        <f t="shared" si="510"/>
        <v>43000</v>
      </c>
      <c r="D1874" s="217" t="s">
        <v>2950</v>
      </c>
      <c r="E1874" s="217">
        <v>43000</v>
      </c>
      <c r="F1874" s="996" t="s">
        <v>1582</v>
      </c>
      <c r="G1874" s="739"/>
      <c r="H1874" s="294" t="s">
        <v>2919</v>
      </c>
      <c r="I1874" s="373">
        <v>700</v>
      </c>
      <c r="J1874" s="926">
        <v>189921.94</v>
      </c>
      <c r="K1874" s="926"/>
      <c r="L1874" s="379"/>
      <c r="M1874" s="927">
        <f>ROUND(I1874*J1874,0)</f>
        <v>132945358</v>
      </c>
      <c r="N1874" s="935" t="s">
        <v>274</v>
      </c>
      <c r="O1874" s="935" t="s">
        <v>272</v>
      </c>
      <c r="P1874" s="75" t="str">
        <f>IF(AND('331-CT'!$E$7=TH!H1874,OR(N1874="331",O1874="331")),"x","")</f>
        <v/>
      </c>
      <c r="Q1874" s="75" t="str">
        <f>IF(AND(B1874='111'!$L$11,OR($N1874=$Q$7,$O1874=$Q$7)),"x","")</f>
        <v/>
      </c>
      <c r="R1874" s="75" t="str">
        <f>IF(AND($N1874=$Q$7,$B1874&lt;'111'!$L$11),"x","")</f>
        <v/>
      </c>
      <c r="S1874" s="75" t="str">
        <f>IF(AND($O1874=$Q$7,$B1874&lt;'111'!$L$11),"x","")</f>
        <v/>
      </c>
      <c r="T1874" s="75" t="str">
        <f>IF(ISERROR(FIND('112'!$M$9,G1874,1)),"",IF((AND(FIND('112'!$M$9,G1874,1)&gt;=1,B1874='112'!$K$9,OR($N1874='112'!$I$6,$O1874='112'!$I$6))),"x",""))</f>
        <v/>
      </c>
      <c r="U1874" s="75" t="str">
        <f>IF(ISERROR(FIND('112'!$M$9,G1874,1)),"",IF((AND(LEFT(G1874,2)=LEFT('112'!$M$9,2),B1874&lt;'112'!$K$9,$N1874='112'!$I$6)),"x",""))</f>
        <v/>
      </c>
      <c r="V1874" s="75" t="str">
        <f>IF(ISERROR(FIND('112'!$M$9,G1874,1)),"",IF((AND(RIGHT(G1874,2)=RIGHT('112'!$M$9,2),B1874&lt;'112'!$K$9,$O1874='112'!$I$6)),"x",""))</f>
        <v/>
      </c>
      <c r="W1874" s="75" t="str">
        <f>IF(AND('341-CT'!$H$9=H1874,OR(LEFT(N1874,3)=$W$7,LEFT(O1874,3)=$W$7)),"x","")</f>
        <v/>
      </c>
      <c r="X1874" s="75" t="str">
        <f>IF(OR(TH!N1874=TH!$X$7,O1874=TH!$X$7),"x","")</f>
        <v/>
      </c>
      <c r="Y1874" s="75" t="str">
        <f>IF(AND(OR(N1874="131",O1874="131"),H1874='131-CT'!$H$9),"x","")</f>
        <v/>
      </c>
      <c r="Z1874" s="75"/>
      <c r="AA1874" s="75" t="str">
        <f>IF(AND(MONTH(E1874)='IN-NX'!$J$5,'IN-NX'!$D$7=D1874),"x","")</f>
        <v/>
      </c>
      <c r="AB1874" s="75" t="str">
        <f>IF(AND(OR(LEFT(TH!N1874,2)="15",LEFT(TH!O1874,2)="15"),LEFT(TH!O1874,3)&lt;&gt;"111",'152-CT'!$J$8=TH!F1874),"x","")</f>
        <v/>
      </c>
      <c r="AC1874" s="75" t="str">
        <f>IF(AND(OR(LEFT(TH!N1874,2)="15",LEFT(TH!O1874,2)="15"),TK!$E$7=TH!F1874),"x","")</f>
        <v/>
      </c>
      <c r="AD1874" s="75" t="str">
        <f>IF(AND(N1874="1521",MONTH(C1874)='BK-NL'!$M$11),"x","")</f>
        <v/>
      </c>
      <c r="AF1874" s="1054"/>
    </row>
    <row r="1875" spans="1:32" ht="16.5" customHeight="1">
      <c r="A1875" s="309" t="str">
        <f>IF(B1875&lt;&gt;"",IF(AND(B1875='IN-TC'!$S$4,OR(TH!N1875="1111",TH!O1875="1111")),TH!D1875,""),"")</f>
        <v/>
      </c>
      <c r="B1875" s="1242">
        <f t="shared" si="505"/>
        <v>9</v>
      </c>
      <c r="C1875" s="217">
        <f t="shared" ref="C1875:C1877" si="512">E1875</f>
        <v>43000</v>
      </c>
      <c r="D1875" s="217" t="s">
        <v>2950</v>
      </c>
      <c r="E1875" s="217">
        <v>43000</v>
      </c>
      <c r="F1875" s="1031" t="s">
        <v>1107</v>
      </c>
      <c r="G1875" s="739"/>
      <c r="H1875" s="294" t="s">
        <v>2919</v>
      </c>
      <c r="I1875" s="1122">
        <v>1620</v>
      </c>
      <c r="J1875" s="926">
        <v>214623.08765432099</v>
      </c>
      <c r="K1875" s="926"/>
      <c r="L1875" s="379"/>
      <c r="M1875" s="927">
        <f>ROUND(I1875*J1875,0)</f>
        <v>347689402</v>
      </c>
      <c r="N1875" s="935" t="s">
        <v>274</v>
      </c>
      <c r="O1875" s="935" t="s">
        <v>272</v>
      </c>
      <c r="P1875" s="75" t="str">
        <f>IF(AND('331-CT'!$E$7=TH!H1875,OR(N1875="331",O1875="331")),"x","")</f>
        <v/>
      </c>
      <c r="Q1875" s="75" t="str">
        <f>IF(AND(B1875='111'!$L$11,OR($N1875=$Q$7,$O1875=$Q$7)),"x","")</f>
        <v/>
      </c>
      <c r="R1875" s="75" t="str">
        <f>IF(AND($N1875=$Q$7,$B1875&lt;'111'!$L$11),"x","")</f>
        <v/>
      </c>
      <c r="S1875" s="75" t="str">
        <f>IF(AND($O1875=$Q$7,$B1875&lt;'111'!$L$11),"x","")</f>
        <v/>
      </c>
      <c r="T1875" s="75" t="str">
        <f>IF(ISERROR(FIND('112'!$M$9,G1875,1)),"",IF((AND(FIND('112'!$M$9,G1875,1)&gt;=1,B1875='112'!$K$9,OR($N1875='112'!$I$6,$O1875='112'!$I$6))),"x",""))</f>
        <v/>
      </c>
      <c r="U1875" s="75" t="str">
        <f>IF(ISERROR(FIND('112'!$M$9,G1875,1)),"",IF((AND(LEFT(G1875,2)=LEFT('112'!$M$9,2),B1875&lt;'112'!$K$9,$N1875='112'!$I$6)),"x",""))</f>
        <v/>
      </c>
      <c r="V1875" s="75" t="str">
        <f>IF(ISERROR(FIND('112'!$M$9,G1875,1)),"",IF((AND(RIGHT(G1875,2)=RIGHT('112'!$M$9,2),B1875&lt;'112'!$K$9,$O1875='112'!$I$6)),"x",""))</f>
        <v/>
      </c>
      <c r="W1875" s="75" t="str">
        <f>IF(AND('341-CT'!$H$9=H1875,OR(LEFT(N1875,3)=$W$7,LEFT(O1875,3)=$W$7)),"x","")</f>
        <v/>
      </c>
      <c r="X1875" s="75" t="str">
        <f>IF(OR(TH!N1875=TH!$X$7,O1875=TH!$X$7),"x","")</f>
        <v/>
      </c>
      <c r="Y1875" s="75" t="str">
        <f>IF(AND(OR(N1875="131",O1875="131"),H1875='131-CT'!$H$9),"x","")</f>
        <v/>
      </c>
      <c r="Z1875" s="75"/>
      <c r="AA1875" s="75" t="str">
        <f>IF(AND(MONTH(E1875)='IN-NX'!$J$5,'IN-NX'!$D$7=D1875),"x","")</f>
        <v/>
      </c>
      <c r="AB1875" s="75" t="str">
        <f>IF(AND(OR(LEFT(TH!N1875,2)="15",LEFT(TH!O1875,2)="15"),LEFT(TH!O1875,3)&lt;&gt;"111",'152-CT'!$J$8=TH!F1875),"x","")</f>
        <v/>
      </c>
      <c r="AC1875" s="75" t="str">
        <f>IF(AND(OR(LEFT(TH!N1875,2)="15",LEFT(TH!O1875,2)="15"),TK!$E$7=TH!F1875),"x","")</f>
        <v/>
      </c>
      <c r="AD1875" s="75" t="str">
        <f>IF(AND(N1875="1521",MONTH(C1875)='BK-NL'!$M$11),"x","")</f>
        <v/>
      </c>
      <c r="AF1875" s="1054"/>
    </row>
    <row r="1876" spans="1:32" s="1053" customFormat="1" ht="16.5" customHeight="1">
      <c r="A1876" s="309" t="str">
        <f>IF(B1876&lt;&gt;"",IF(AND(B1876='IN-TC'!$S$4,OR(TH!N1876="1111",TH!O1876="1111")),TH!D1876,""),"")</f>
        <v/>
      </c>
      <c r="B1876" s="1242">
        <f t="shared" si="505"/>
        <v>9</v>
      </c>
      <c r="C1876" s="217">
        <f t="shared" si="512"/>
        <v>43000</v>
      </c>
      <c r="D1876" s="217" t="s">
        <v>2950</v>
      </c>
      <c r="E1876" s="217">
        <v>43000</v>
      </c>
      <c r="F1876" s="1031" t="s">
        <v>1584</v>
      </c>
      <c r="G1876" s="739"/>
      <c r="H1876" s="294" t="s">
        <v>2919</v>
      </c>
      <c r="I1876" s="373">
        <v>1880</v>
      </c>
      <c r="J1876" s="926">
        <v>204429.79255319148</v>
      </c>
      <c r="K1876" s="926"/>
      <c r="L1876" s="379"/>
      <c r="M1876" s="927">
        <f t="shared" ref="M1876" si="513">ROUND(I1876*J1876,0)</f>
        <v>384328010</v>
      </c>
      <c r="N1876" s="935" t="s">
        <v>274</v>
      </c>
      <c r="O1876" s="935" t="s">
        <v>272</v>
      </c>
      <c r="P1876" s="75" t="str">
        <f>IF(AND('331-CT'!$E$7=TH!H1876,OR(N1876="331",O1876="331")),"x","")</f>
        <v/>
      </c>
      <c r="Q1876" s="75" t="str">
        <f>IF(AND(B1876='111'!$L$11,OR($N1876=$Q$7,$O1876=$Q$7)),"x","")</f>
        <v/>
      </c>
      <c r="R1876" s="75" t="str">
        <f>IF(AND($N1876=$Q$7,$B1876&lt;'111'!$L$11),"x","")</f>
        <v/>
      </c>
      <c r="S1876" s="75" t="str">
        <f>IF(AND($O1876=$Q$7,$B1876&lt;'111'!$L$11),"x","")</f>
        <v/>
      </c>
      <c r="T1876" s="75" t="str">
        <f>IF(ISERROR(FIND('112'!$M$9,G1876,1)),"",IF((AND(FIND('112'!$M$9,G1876,1)&gt;=1,B1876='112'!$K$9,OR($N1876='112'!$I$6,$O1876='112'!$I$6))),"x",""))</f>
        <v/>
      </c>
      <c r="U1876" s="75" t="str">
        <f>IF(ISERROR(FIND('112'!$M$9,G1876,1)),"",IF((AND(LEFT(G1876,2)=LEFT('112'!$M$9,2),B1876&lt;'112'!$K$9,$N1876='112'!$I$6)),"x",""))</f>
        <v/>
      </c>
      <c r="V1876" s="75" t="str">
        <f>IF(ISERROR(FIND('112'!$M$9,G1876,1)),"",IF((AND(RIGHT(G1876,2)=RIGHT('112'!$M$9,2),B1876&lt;'112'!$K$9,$O1876='112'!$I$6)),"x",""))</f>
        <v/>
      </c>
      <c r="W1876" s="75" t="str">
        <f>IF(AND('341-CT'!$H$9=H1876,OR(LEFT(N1876,3)=$W$7,LEFT(O1876,3)=$W$7)),"x","")</f>
        <v/>
      </c>
      <c r="X1876" s="75" t="str">
        <f>IF(OR(TH!N1876=TH!$X$7,O1876=TH!$X$7),"x","")</f>
        <v/>
      </c>
      <c r="Y1876" s="75" t="str">
        <f>IF(AND(OR(N1876="131",O1876="131"),H1876='131-CT'!$H$9),"x","")</f>
        <v/>
      </c>
      <c r="Z1876" s="75"/>
      <c r="AA1876" s="75" t="str">
        <f>IF(AND(MONTH(E1876)='IN-NX'!$J$5,'IN-NX'!$D$7=D1876),"x","")</f>
        <v/>
      </c>
      <c r="AB1876" s="75" t="str">
        <f>IF(AND(OR(LEFT(TH!N1876,2)="15",LEFT(TH!O1876,2)="15"),LEFT(TH!O1876,3)&lt;&gt;"111",'152-CT'!$J$8=TH!F1876),"x","")</f>
        <v/>
      </c>
      <c r="AC1876" s="75" t="str">
        <f>IF(AND(OR(LEFT(TH!N1876,2)="15",LEFT(TH!O1876,2)="15"),TK!$E$7=TH!F1876),"x","")</f>
        <v/>
      </c>
      <c r="AD1876" s="75" t="str">
        <f>IF(AND(N1876="1521",MONTH(C1876)='BK-NL'!$M$11),"x","")</f>
        <v/>
      </c>
      <c r="AF1876" s="1054"/>
    </row>
    <row r="1877" spans="1:32" ht="16.5" customHeight="1">
      <c r="A1877" s="309" t="str">
        <f>IF(B1877&lt;&gt;"",IF(AND(B1877='IN-TC'!$S$4,OR(TH!N1877="1111",TH!O1877="1111")),TH!D1877,""),"")</f>
        <v/>
      </c>
      <c r="B1877" s="1242">
        <f t="shared" si="505"/>
        <v>9</v>
      </c>
      <c r="C1877" s="217">
        <f t="shared" si="512"/>
        <v>43000</v>
      </c>
      <c r="D1877" s="217" t="s">
        <v>2950</v>
      </c>
      <c r="E1877" s="217">
        <v>43000</v>
      </c>
      <c r="F1877" s="1031" t="s">
        <v>2400</v>
      </c>
      <c r="G1877" s="739"/>
      <c r="H1877" s="294" t="s">
        <v>2919</v>
      </c>
      <c r="I1877" s="373">
        <v>12500</v>
      </c>
      <c r="J1877" s="926">
        <v>205603.12943999999</v>
      </c>
      <c r="K1877" s="926"/>
      <c r="L1877" s="379"/>
      <c r="M1877" s="927">
        <f t="shared" ref="M1877:M1882" si="514">ROUND(I1877*J1877,0)</f>
        <v>2570039118</v>
      </c>
      <c r="N1877" s="935" t="s">
        <v>274</v>
      </c>
      <c r="O1877" s="935" t="s">
        <v>272</v>
      </c>
      <c r="P1877" s="75" t="str">
        <f>IF(AND('331-CT'!$E$7=TH!H1877,OR(N1877="331",O1877="331")),"x","")</f>
        <v/>
      </c>
      <c r="Q1877" s="75" t="str">
        <f>IF(AND(B1877='111'!$L$11,OR($N1877=$Q$7,$O1877=$Q$7)),"x","")</f>
        <v/>
      </c>
      <c r="R1877" s="75" t="str">
        <f>IF(AND($N1877=$Q$7,$B1877&lt;'111'!$L$11),"x","")</f>
        <v/>
      </c>
      <c r="S1877" s="75" t="str">
        <f>IF(AND($O1877=$Q$7,$B1877&lt;'111'!$L$11),"x","")</f>
        <v/>
      </c>
      <c r="T1877" s="75" t="str">
        <f>IF(ISERROR(FIND('112'!$M$9,G1877,1)),"",IF((AND(FIND('112'!$M$9,G1877,1)&gt;=1,B1877='112'!$K$9,OR($N1877='112'!$I$6,$O1877='112'!$I$6))),"x",""))</f>
        <v/>
      </c>
      <c r="U1877" s="75" t="str">
        <f>IF(ISERROR(FIND('112'!$M$9,G1877,1)),"",IF((AND(LEFT(G1877,2)=LEFT('112'!$M$9,2),B1877&lt;'112'!$K$9,$N1877='112'!$I$6)),"x",""))</f>
        <v/>
      </c>
      <c r="V1877" s="75" t="str">
        <f>IF(ISERROR(FIND('112'!$M$9,G1877,1)),"",IF((AND(RIGHT(G1877,2)=RIGHT('112'!$M$9,2),B1877&lt;'112'!$K$9,$O1877='112'!$I$6)),"x",""))</f>
        <v/>
      </c>
      <c r="W1877" s="75" t="str">
        <f>IF(AND('341-CT'!$H$9=H1877,OR(LEFT(N1877,3)=$W$7,LEFT(O1877,3)=$W$7)),"x","")</f>
        <v/>
      </c>
      <c r="X1877" s="75" t="str">
        <f>IF(OR(TH!N1877=TH!$X$7,O1877=TH!$X$7),"x","")</f>
        <v/>
      </c>
      <c r="Y1877" s="75" t="str">
        <f>IF(AND(OR(N1877="131",O1877="131"),H1877='131-CT'!$H$9),"x","")</f>
        <v/>
      </c>
      <c r="Z1877" s="75"/>
      <c r="AA1877" s="75" t="str">
        <f>IF(AND(MONTH(E1877)='IN-NX'!$J$5,'IN-NX'!$D$7=D1877),"x","")</f>
        <v/>
      </c>
      <c r="AB1877" s="75" t="str">
        <f>IF(AND(OR(LEFT(TH!N1877,2)="15",LEFT(TH!O1877,2)="15"),LEFT(TH!O1877,3)&lt;&gt;"111",'152-CT'!$J$8=TH!F1877),"x","")</f>
        <v/>
      </c>
      <c r="AC1877" s="75" t="str">
        <f>IF(AND(OR(LEFT(TH!N1877,2)="15",LEFT(TH!O1877,2)="15"),TK!$E$7=TH!F1877),"x","")</f>
        <v/>
      </c>
      <c r="AD1877" s="75" t="str">
        <f>IF(AND(N1877="1521",MONTH(C1877)='BK-NL'!$M$11),"x","")</f>
        <v/>
      </c>
      <c r="AF1877" s="1289"/>
    </row>
    <row r="1878" spans="1:32" s="1264" customFormat="1" ht="16.5" customHeight="1">
      <c r="A1878" s="309" t="str">
        <f>IF(B1878&lt;&gt;"",IF(AND(B1878='IN-TC'!$S$4,OR(TH!N1878="1111",TH!O1878="1111")),TH!D1878,""),"")</f>
        <v/>
      </c>
      <c r="B1878" s="1242">
        <f t="shared" si="505"/>
        <v>9</v>
      </c>
      <c r="C1878" s="252">
        <f t="shared" ref="C1878:C1882" si="515">E1878</f>
        <v>43000</v>
      </c>
      <c r="D1878" s="252" t="s">
        <v>2921</v>
      </c>
      <c r="E1878" s="252">
        <v>43000</v>
      </c>
      <c r="F1878" s="1055" t="s">
        <v>2399</v>
      </c>
      <c r="G1878" s="1056" t="s">
        <v>2941</v>
      </c>
      <c r="H1878" s="735" t="s">
        <v>623</v>
      </c>
      <c r="I1878" s="371">
        <f>79170+26390</f>
        <v>105560</v>
      </c>
      <c r="J1878" s="371">
        <v>48000</v>
      </c>
      <c r="K1878" s="371"/>
      <c r="L1878" s="377"/>
      <c r="M1878" s="933">
        <f t="shared" si="514"/>
        <v>5066880000</v>
      </c>
      <c r="N1878" s="977" t="s">
        <v>284</v>
      </c>
      <c r="O1878" s="977" t="s">
        <v>274</v>
      </c>
      <c r="P1878" s="75" t="str">
        <f>IF(AND('331-CT'!$E$7=TH!H1878,OR(N1878="331",O1878="331")),"x","")</f>
        <v/>
      </c>
      <c r="Q1878" s="75" t="str">
        <f>IF(AND(B1878='111'!$L$11,OR($N1878=$Q$7,$O1878=$Q$7)),"x","")</f>
        <v/>
      </c>
      <c r="R1878" s="75" t="str">
        <f>IF(AND($N1878=$Q$7,$B1878&lt;'111'!$L$11),"x","")</f>
        <v/>
      </c>
      <c r="S1878" s="75" t="str">
        <f>IF(AND($O1878=$Q$7,$B1878&lt;'111'!$L$11),"x","")</f>
        <v/>
      </c>
      <c r="T1878" s="75" t="str">
        <f>IF(ISERROR(FIND('112'!$M$9,G1878,1)),"",IF((AND(FIND('112'!$M$9,G1878,1)&gt;=1,B1878='112'!$K$9,OR($N1878='112'!$I$6,$O1878='112'!$I$6))),"x",""))</f>
        <v/>
      </c>
      <c r="U1878" s="75" t="str">
        <f>IF(ISERROR(FIND('112'!$M$9,G1878,1)),"",IF((AND(LEFT(G1878,2)=LEFT('112'!$M$9,2),B1878&lt;'112'!$K$9,$N1878='112'!$I$6)),"x",""))</f>
        <v/>
      </c>
      <c r="V1878" s="75" t="str">
        <f>IF(ISERROR(FIND('112'!$M$9,G1878,1)),"",IF((AND(RIGHT(G1878,2)=RIGHT('112'!$M$9,2),B1878&lt;'112'!$K$9,$O1878='112'!$I$6)),"x",""))</f>
        <v/>
      </c>
      <c r="W1878" s="75" t="str">
        <f>IF(AND('341-CT'!$H$9=H1878,OR(LEFT(N1878,3)=$W$7,LEFT(O1878,3)=$W$7)),"x","")</f>
        <v/>
      </c>
      <c r="X1878" s="75" t="str">
        <f>IF(OR(TH!N1878=TH!$X$7,O1878=TH!$X$7),"x","")</f>
        <v/>
      </c>
      <c r="Y1878" s="75" t="str">
        <f>IF(AND(OR(N1878="131",O1878="131"),H1878='131-CT'!$H$9),"x","")</f>
        <v/>
      </c>
      <c r="Z1878" s="75"/>
      <c r="AA1878" s="75" t="str">
        <f>IF(AND(MONTH(E1878)='IN-NX'!$J$5,'IN-NX'!$D$7=D1878),"x","")</f>
        <v/>
      </c>
      <c r="AB1878" s="75" t="str">
        <f>IF(AND(OR(LEFT(TH!N1878,2)="15",LEFT(TH!O1878,2)="15"),LEFT(TH!O1878,3)&lt;&gt;"111",'152-CT'!$J$8=TH!F1878),"x","")</f>
        <v/>
      </c>
      <c r="AC1878" s="75" t="str">
        <f>IF(AND(OR(LEFT(TH!N1878,2)="15",LEFT(TH!O1878,2)="15"),TK!$E$7=TH!F1878),"x","")</f>
        <v/>
      </c>
      <c r="AD1878" s="75" t="str">
        <f>IF(AND(N1878="1521",MONTH(C1878)='BK-NL'!$M$11),"x","")</f>
        <v/>
      </c>
      <c r="AF1878" s="1054"/>
    </row>
    <row r="1879" spans="1:32" s="1264" customFormat="1" ht="16.5" customHeight="1">
      <c r="A1879" s="309" t="str">
        <f>IF(B1879&lt;&gt;"",IF(AND(B1879='IN-TC'!$S$4,OR(TH!N1879="1111",TH!O1879="1111")),TH!D1879,""),"")</f>
        <v/>
      </c>
      <c r="B1879" s="1242">
        <f t="shared" si="505"/>
        <v>9</v>
      </c>
      <c r="C1879" s="252">
        <f t="shared" si="515"/>
        <v>43000</v>
      </c>
      <c r="D1879" s="252" t="s">
        <v>2921</v>
      </c>
      <c r="E1879" s="252">
        <v>43000</v>
      </c>
      <c r="F1879" s="1055" t="s">
        <v>2399</v>
      </c>
      <c r="G1879" s="1056" t="s">
        <v>2942</v>
      </c>
      <c r="H1879" s="735" t="s">
        <v>2042</v>
      </c>
      <c r="I1879" s="371">
        <f>26390*2</f>
        <v>52780</v>
      </c>
      <c r="J1879" s="371">
        <v>47000</v>
      </c>
      <c r="K1879" s="371"/>
      <c r="L1879" s="377"/>
      <c r="M1879" s="933">
        <f t="shared" si="514"/>
        <v>2480660000</v>
      </c>
      <c r="N1879" s="977" t="s">
        <v>284</v>
      </c>
      <c r="O1879" s="977" t="s">
        <v>274</v>
      </c>
      <c r="P1879" s="75" t="str">
        <f>IF(AND('331-CT'!$E$7=TH!H1879,OR(N1879="331",O1879="331")),"x","")</f>
        <v/>
      </c>
      <c r="Q1879" s="75" t="str">
        <f>IF(AND(B1879='111'!$L$11,OR($N1879=$Q$7,$O1879=$Q$7)),"x","")</f>
        <v/>
      </c>
      <c r="R1879" s="75" t="str">
        <f>IF(AND($N1879=$Q$7,$B1879&lt;'111'!$L$11),"x","")</f>
        <v/>
      </c>
      <c r="S1879" s="75" t="str">
        <f>IF(AND($O1879=$Q$7,$B1879&lt;'111'!$L$11),"x","")</f>
        <v/>
      </c>
      <c r="T1879" s="75" t="str">
        <f>IF(ISERROR(FIND('112'!$M$9,G1879,1)),"",IF((AND(FIND('112'!$M$9,G1879,1)&gt;=1,B1879='112'!$K$9,OR($N1879='112'!$I$6,$O1879='112'!$I$6))),"x",""))</f>
        <v/>
      </c>
      <c r="U1879" s="75" t="str">
        <f>IF(ISERROR(FIND('112'!$M$9,G1879,1)),"",IF((AND(LEFT(G1879,2)=LEFT('112'!$M$9,2),B1879&lt;'112'!$K$9,$N1879='112'!$I$6)),"x",""))</f>
        <v/>
      </c>
      <c r="V1879" s="75" t="str">
        <f>IF(ISERROR(FIND('112'!$M$9,G1879,1)),"",IF((AND(RIGHT(G1879,2)=RIGHT('112'!$M$9,2),B1879&lt;'112'!$K$9,$O1879='112'!$I$6)),"x",""))</f>
        <v/>
      </c>
      <c r="W1879" s="75" t="str">
        <f>IF(AND('341-CT'!$H$9=H1879,OR(LEFT(N1879,3)=$W$7,LEFT(O1879,3)=$W$7)),"x","")</f>
        <v/>
      </c>
      <c r="X1879" s="75" t="str">
        <f>IF(OR(TH!N1879=TH!$X$7,O1879=TH!$X$7),"x","")</f>
        <v/>
      </c>
      <c r="Y1879" s="75" t="str">
        <f>IF(AND(OR(N1879="131",O1879="131"),H1879='131-CT'!$H$9),"x","")</f>
        <v/>
      </c>
      <c r="Z1879" s="75"/>
      <c r="AA1879" s="75" t="str">
        <f>IF(AND(MONTH(E1879)='IN-NX'!$J$5,'IN-NX'!$D$7=D1879),"x","")</f>
        <v/>
      </c>
      <c r="AB1879" s="75" t="str">
        <f>IF(AND(OR(LEFT(TH!N1879,2)="15",LEFT(TH!O1879,2)="15"),LEFT(TH!O1879,3)&lt;&gt;"111",'152-CT'!$J$8=TH!F1879),"x","")</f>
        <v/>
      </c>
      <c r="AC1879" s="75" t="str">
        <f>IF(AND(OR(LEFT(TH!N1879,2)="15",LEFT(TH!O1879,2)="15"),TK!$E$7=TH!F1879),"x","")</f>
        <v/>
      </c>
      <c r="AD1879" s="75" t="str">
        <f>IF(AND(N1879="1521",MONTH(C1879)='BK-NL'!$M$11),"x","")</f>
        <v/>
      </c>
      <c r="AF1879" s="1054"/>
    </row>
    <row r="1880" spans="1:32" s="1264" customFormat="1" ht="16.5" customHeight="1">
      <c r="A1880" s="309" t="str">
        <f>IF(B1880&lt;&gt;"",IF(AND(B1880='IN-TC'!$S$4,OR(TH!N1880="1111",TH!O1880="1111")),TH!D1880,""),"")</f>
        <v/>
      </c>
      <c r="B1880" s="1275">
        <f t="shared" ref="B1880:B1882" si="516">IF(C1880&lt;&gt;"",MONTH(C1880),"")</f>
        <v>9</v>
      </c>
      <c r="C1880" s="252">
        <f t="shared" ref="C1880" si="517">E1880</f>
        <v>43000</v>
      </c>
      <c r="D1880" s="252" t="s">
        <v>2921</v>
      </c>
      <c r="E1880" s="252">
        <v>43000</v>
      </c>
      <c r="F1880" s="1055" t="s">
        <v>429</v>
      </c>
      <c r="G1880" s="1056"/>
      <c r="H1880" s="735"/>
      <c r="I1880" s="371">
        <v>371664.83</v>
      </c>
      <c r="J1880" s="371">
        <v>54194.968880967295</v>
      </c>
      <c r="K1880" s="371"/>
      <c r="L1880" s="377"/>
      <c r="M1880" s="933">
        <f t="shared" ref="M1880" si="518">ROUND(I1880*J1880,0)</f>
        <v>20142363896</v>
      </c>
      <c r="N1880" s="977" t="s">
        <v>284</v>
      </c>
      <c r="O1880" s="977" t="s">
        <v>274</v>
      </c>
      <c r="P1880" s="75" t="str">
        <f>IF(AND('331-CT'!$E$7=TH!H1880,OR(N1880="331",O1880="331")),"x","")</f>
        <v/>
      </c>
      <c r="Q1880" s="75" t="str">
        <f>IF(AND(B1880='111'!$L$11,OR($N1880=$Q$7,$O1880=$Q$7)),"x","")</f>
        <v/>
      </c>
      <c r="R1880" s="75" t="str">
        <f>IF(AND($N1880=$Q$7,$B1880&lt;'111'!$L$11),"x","")</f>
        <v/>
      </c>
      <c r="S1880" s="75" t="str">
        <f>IF(AND($O1880=$Q$7,$B1880&lt;'111'!$L$11),"x","")</f>
        <v/>
      </c>
      <c r="T1880" s="75" t="str">
        <f>IF(ISERROR(FIND('112'!$M$9,G1880,1)),"",IF((AND(FIND('112'!$M$9,G1880,1)&gt;=1,B1880='112'!$K$9,OR($N1880='112'!$I$6,$O1880='112'!$I$6))),"x",""))</f>
        <v/>
      </c>
      <c r="U1880" s="75" t="str">
        <f>IF(ISERROR(FIND('112'!$M$9,G1880,1)),"",IF((AND(LEFT(G1880,2)=LEFT('112'!$M$9,2),B1880&lt;'112'!$K$9,$N1880='112'!$I$6)),"x",""))</f>
        <v/>
      </c>
      <c r="V1880" s="75" t="str">
        <f>IF(ISERROR(FIND('112'!$M$9,G1880,1)),"",IF((AND(RIGHT(G1880,2)=RIGHT('112'!$M$9,2),B1880&lt;'112'!$K$9,$O1880='112'!$I$6)),"x",""))</f>
        <v/>
      </c>
      <c r="W1880" s="75" t="str">
        <f>IF(AND('341-CT'!$H$9=H1880,OR(LEFT(N1880,3)=$W$7,LEFT(O1880,3)=$W$7)),"x","")</f>
        <v/>
      </c>
      <c r="X1880" s="75" t="str">
        <f>IF(OR(TH!N1880=TH!$X$7,O1880=TH!$X$7),"x","")</f>
        <v/>
      </c>
      <c r="Y1880" s="75" t="str">
        <f>IF(AND(OR(N1880="131",O1880="131"),H1880='131-CT'!$H$9),"x","")</f>
        <v/>
      </c>
      <c r="Z1880" s="75"/>
      <c r="AA1880" s="75" t="str">
        <f>IF(AND(MONTH(E1880)='IN-NX'!$J$5,'IN-NX'!$D$7=D1880),"x","")</f>
        <v/>
      </c>
      <c r="AB1880" s="75" t="str">
        <f>IF(AND(OR(LEFT(TH!N1880,2)="15",LEFT(TH!O1880,2)="15"),LEFT(TH!O1880,3)&lt;&gt;"111",'152-CT'!$J$8=TH!F1880),"x","")</f>
        <v/>
      </c>
      <c r="AC1880" s="75" t="str">
        <f>IF(AND(OR(LEFT(TH!N1880,2)="15",LEFT(TH!O1880,2)="15"),TK!$E$7=TH!F1880),"x","")</f>
        <v/>
      </c>
      <c r="AD1880" s="75" t="str">
        <f>IF(AND(N1880="1521",MONTH(C1880)='BK-NL'!$M$11),"x","")</f>
        <v/>
      </c>
      <c r="AF1880" s="1054"/>
    </row>
    <row r="1881" spans="1:32" s="1264" customFormat="1" ht="16.5" customHeight="1">
      <c r="A1881" s="309" t="str">
        <f>IF(B1881&lt;&gt;"",IF(AND(B1881='IN-TC'!$S$4,OR(TH!N1881="1111",TH!O1881="1111")),TH!D1881,""),"")</f>
        <v/>
      </c>
      <c r="B1881" s="1275">
        <f t="shared" si="516"/>
        <v>9</v>
      </c>
      <c r="C1881" s="252">
        <f t="shared" si="515"/>
        <v>43000</v>
      </c>
      <c r="D1881" s="252" t="s">
        <v>2921</v>
      </c>
      <c r="E1881" s="252">
        <v>43000</v>
      </c>
      <c r="F1881" s="1055" t="s">
        <v>2399</v>
      </c>
      <c r="G1881" s="1056" t="s">
        <v>2107</v>
      </c>
      <c r="H1881" s="735" t="s">
        <v>1859</v>
      </c>
      <c r="I1881" s="371">
        <v>263900</v>
      </c>
      <c r="J1881" s="371">
        <v>45734.116025009476</v>
      </c>
      <c r="K1881" s="371"/>
      <c r="L1881" s="377"/>
      <c r="M1881" s="933">
        <f t="shared" si="514"/>
        <v>12069233219</v>
      </c>
      <c r="N1881" s="977" t="s">
        <v>284</v>
      </c>
      <c r="O1881" s="977" t="s">
        <v>274</v>
      </c>
      <c r="P1881" s="75" t="str">
        <f>IF(AND('331-CT'!$E$7=TH!H1881,OR(N1881="331",O1881="331")),"x","")</f>
        <v/>
      </c>
      <c r="Q1881" s="75" t="str">
        <f>IF(AND(B1881='111'!$L$11,OR($N1881=$Q$7,$O1881=$Q$7)),"x","")</f>
        <v/>
      </c>
      <c r="R1881" s="75" t="str">
        <f>IF(AND($N1881=$Q$7,$B1881&lt;'111'!$L$11),"x","")</f>
        <v/>
      </c>
      <c r="S1881" s="75" t="str">
        <f>IF(AND($O1881=$Q$7,$B1881&lt;'111'!$L$11),"x","")</f>
        <v/>
      </c>
      <c r="T1881" s="75" t="str">
        <f>IF(ISERROR(FIND('112'!$M$9,G1881,1)),"",IF((AND(FIND('112'!$M$9,G1881,1)&gt;=1,B1881='112'!$K$9,OR($N1881='112'!$I$6,$O1881='112'!$I$6))),"x",""))</f>
        <v/>
      </c>
      <c r="U1881" s="75" t="str">
        <f>IF(ISERROR(FIND('112'!$M$9,G1881,1)),"",IF((AND(LEFT(G1881,2)=LEFT('112'!$M$9,2),B1881&lt;'112'!$K$9,$N1881='112'!$I$6)),"x",""))</f>
        <v/>
      </c>
      <c r="V1881" s="75" t="str">
        <f>IF(ISERROR(FIND('112'!$M$9,G1881,1)),"",IF((AND(RIGHT(G1881,2)=RIGHT('112'!$M$9,2),B1881&lt;'112'!$K$9,$O1881='112'!$I$6)),"x",""))</f>
        <v/>
      </c>
      <c r="W1881" s="75" t="str">
        <f>IF(AND('341-CT'!$H$9=H1881,OR(LEFT(N1881,3)=$W$7,LEFT(O1881,3)=$W$7)),"x","")</f>
        <v/>
      </c>
      <c r="X1881" s="75" t="str">
        <f>IF(OR(TH!N1881=TH!$X$7,O1881=TH!$X$7),"x","")</f>
        <v/>
      </c>
      <c r="Y1881" s="75" t="str">
        <f>IF(AND(OR(N1881="131",O1881="131"),H1881='131-CT'!$H$9),"x","")</f>
        <v/>
      </c>
      <c r="Z1881" s="75"/>
      <c r="AA1881" s="75" t="str">
        <f>IF(AND(MONTH(E1881)='IN-NX'!$J$5,'IN-NX'!$D$7=D1881),"x","")</f>
        <v/>
      </c>
      <c r="AB1881" s="75" t="str">
        <f>IF(AND(OR(LEFT(TH!N1881,2)="15",LEFT(TH!O1881,2)="15"),LEFT(TH!O1881,3)&lt;&gt;"111",'152-CT'!$J$8=TH!F1881),"x","")</f>
        <v/>
      </c>
      <c r="AC1881" s="75" t="str">
        <f>IF(AND(OR(LEFT(TH!N1881,2)="15",LEFT(TH!O1881,2)="15"),TK!$E$7=TH!F1881),"x","")</f>
        <v/>
      </c>
      <c r="AD1881" s="75" t="str">
        <f>IF(AND(N1881="1521",MONTH(C1881)='BK-NL'!$M$11),"x","")</f>
        <v/>
      </c>
      <c r="AF1881" s="1054"/>
    </row>
    <row r="1882" spans="1:32" s="1264" customFormat="1" ht="16.5" customHeight="1">
      <c r="A1882" s="309" t="str">
        <f>IF(B1882&lt;&gt;"",IF(AND(B1882='IN-TC'!$S$4,OR(TH!N1882="1111",TH!O1882="1111")),TH!D1882,""),"")</f>
        <v/>
      </c>
      <c r="B1882" s="1275">
        <f t="shared" si="516"/>
        <v>9</v>
      </c>
      <c r="C1882" s="252">
        <f t="shared" si="515"/>
        <v>43000</v>
      </c>
      <c r="D1882" s="252" t="s">
        <v>2921</v>
      </c>
      <c r="E1882" s="252">
        <v>43000</v>
      </c>
      <c r="F1882" s="1055" t="s">
        <v>429</v>
      </c>
      <c r="G1882" s="1056" t="s">
        <v>2105</v>
      </c>
      <c r="H1882" s="735" t="s">
        <v>759</v>
      </c>
      <c r="I1882" s="371">
        <v>50575.169999999984</v>
      </c>
      <c r="J1882" s="371">
        <v>58907.617354523987</v>
      </c>
      <c r="K1882" s="371"/>
      <c r="L1882" s="377"/>
      <c r="M1882" s="933">
        <f t="shared" si="514"/>
        <v>2979262762</v>
      </c>
      <c r="N1882" s="977" t="s">
        <v>284</v>
      </c>
      <c r="O1882" s="977" t="s">
        <v>274</v>
      </c>
      <c r="P1882" s="75" t="str">
        <f>IF(AND('331-CT'!$E$7=TH!H1882,OR(N1882="331",O1882="331")),"x","")</f>
        <v/>
      </c>
      <c r="Q1882" s="75" t="str">
        <f>IF(AND(B1882='111'!$L$11,OR($N1882=$Q$7,$O1882=$Q$7)),"x","")</f>
        <v/>
      </c>
      <c r="R1882" s="75" t="str">
        <f>IF(AND($N1882=$Q$7,$B1882&lt;'111'!$L$11),"x","")</f>
        <v/>
      </c>
      <c r="S1882" s="75" t="str">
        <f>IF(AND($O1882=$Q$7,$B1882&lt;'111'!$L$11),"x","")</f>
        <v/>
      </c>
      <c r="T1882" s="75" t="str">
        <f>IF(ISERROR(FIND('112'!$M$9,G1882,1)),"",IF((AND(FIND('112'!$M$9,G1882,1)&gt;=1,B1882='112'!$K$9,OR($N1882='112'!$I$6,$O1882='112'!$I$6))),"x",""))</f>
        <v/>
      </c>
      <c r="U1882" s="75" t="str">
        <f>IF(ISERROR(FIND('112'!$M$9,G1882,1)),"",IF((AND(LEFT(G1882,2)=LEFT('112'!$M$9,2),B1882&lt;'112'!$K$9,$N1882='112'!$I$6)),"x",""))</f>
        <v/>
      </c>
      <c r="V1882" s="75" t="str">
        <f>IF(ISERROR(FIND('112'!$M$9,G1882,1)),"",IF((AND(RIGHT(G1882,2)=RIGHT('112'!$M$9,2),B1882&lt;'112'!$K$9,$O1882='112'!$I$6)),"x",""))</f>
        <v/>
      </c>
      <c r="W1882" s="75" t="str">
        <f>IF(AND('341-CT'!$H$9=H1882,OR(LEFT(N1882,3)=$W$7,LEFT(O1882,3)=$W$7)),"x","")</f>
        <v/>
      </c>
      <c r="X1882" s="75" t="str">
        <f>IF(OR(TH!N1882=TH!$X$7,O1882=TH!$X$7),"x","")</f>
        <v/>
      </c>
      <c r="Y1882" s="75" t="str">
        <f>IF(AND(OR(N1882="131",O1882="131"),H1882='131-CT'!$H$9),"x","")</f>
        <v/>
      </c>
      <c r="Z1882" s="75"/>
      <c r="AA1882" s="75" t="str">
        <f>IF(AND(MONTH(E1882)='IN-NX'!$J$5,'IN-NX'!$D$7=D1882),"x","")</f>
        <v/>
      </c>
      <c r="AB1882" s="75" t="str">
        <f>IF(AND(OR(LEFT(TH!N1882,2)="15",LEFT(TH!O1882,2)="15"),LEFT(TH!O1882,3)&lt;&gt;"111",'152-CT'!$J$8=TH!F1882),"x","")</f>
        <v/>
      </c>
      <c r="AC1882" s="75" t="str">
        <f>IF(AND(OR(LEFT(TH!N1882,2)="15",LEFT(TH!O1882,2)="15"),TK!$E$7=TH!F1882),"x","")</f>
        <v/>
      </c>
      <c r="AD1882" s="75" t="str">
        <f>IF(AND(N1882="1521",MONTH(C1882)='BK-NL'!$M$11),"x","")</f>
        <v/>
      </c>
      <c r="AF1882" s="1054"/>
    </row>
    <row r="1883" spans="1:32" s="1264" customFormat="1" ht="16.5" customHeight="1">
      <c r="A1883" s="309" t="str">
        <f>IF(B1883&lt;&gt;"",IF(AND(B1883='IN-TC'!$S$4,OR(TH!N1883="1111",TH!O1883="1111")),TH!D1883,""),"")</f>
        <v/>
      </c>
      <c r="B1883" s="1275">
        <f t="shared" ref="B1883:B1884" si="519">IF(C1883&lt;&gt;"",MONTH(C1883),"")</f>
        <v>9</v>
      </c>
      <c r="C1883" s="252">
        <f t="shared" ref="C1883" si="520">E1883</f>
        <v>42985</v>
      </c>
      <c r="D1883" s="252" t="s">
        <v>2921</v>
      </c>
      <c r="E1883" s="252">
        <v>42985</v>
      </c>
      <c r="F1883" s="1055" t="s">
        <v>1588</v>
      </c>
      <c r="G1883" s="1056" t="s">
        <v>2119</v>
      </c>
      <c r="H1883" s="73" t="s">
        <v>785</v>
      </c>
      <c r="I1883" s="371">
        <v>5240</v>
      </c>
      <c r="J1883" s="371">
        <v>218827.18034351146</v>
      </c>
      <c r="K1883" s="371"/>
      <c r="L1883" s="377"/>
      <c r="M1883" s="933">
        <f t="shared" ref="M1883:M1888" si="521">ROUND(I1883*J1883,0)</f>
        <v>1146654425</v>
      </c>
      <c r="N1883" s="977" t="s">
        <v>284</v>
      </c>
      <c r="O1883" s="977" t="s">
        <v>274</v>
      </c>
      <c r="P1883" s="75" t="str">
        <f>IF(AND('331-CT'!$E$7=TH!H1883,OR(N1883="331",O1883="331")),"x","")</f>
        <v/>
      </c>
      <c r="Q1883" s="75" t="str">
        <f>IF(AND(B1883='111'!$L$11,OR($N1883=$Q$7,$O1883=$Q$7)),"x","")</f>
        <v/>
      </c>
      <c r="R1883" s="75" t="str">
        <f>IF(AND($N1883=$Q$7,$B1883&lt;'111'!$L$11),"x","")</f>
        <v/>
      </c>
      <c r="S1883" s="75" t="str">
        <f>IF(AND($O1883=$Q$7,$B1883&lt;'111'!$L$11),"x","")</f>
        <v/>
      </c>
      <c r="T1883" s="75" t="str">
        <f>IF(ISERROR(FIND('112'!$M$9,G1883,1)),"",IF((AND(FIND('112'!$M$9,G1883,1)&gt;=1,B1883='112'!$K$9,OR($N1883='112'!$I$6,$O1883='112'!$I$6))),"x",""))</f>
        <v/>
      </c>
      <c r="U1883" s="75" t="str">
        <f>IF(ISERROR(FIND('112'!$M$9,G1883,1)),"",IF((AND(LEFT(G1883,2)=LEFT('112'!$M$9,2),B1883&lt;'112'!$K$9,$N1883='112'!$I$6)),"x",""))</f>
        <v/>
      </c>
      <c r="V1883" s="75" t="str">
        <f>IF(ISERROR(FIND('112'!$M$9,G1883,1)),"",IF((AND(RIGHT(G1883,2)=RIGHT('112'!$M$9,2),B1883&lt;'112'!$K$9,$O1883='112'!$I$6)),"x",""))</f>
        <v/>
      </c>
      <c r="W1883" s="75" t="str">
        <f>IF(AND('341-CT'!$H$9=H1883,OR(LEFT(N1883,3)=$W$7,LEFT(O1883,3)=$W$7)),"x","")</f>
        <v/>
      </c>
      <c r="X1883" s="75" t="str">
        <f>IF(OR(TH!N1883=TH!$X$7,O1883=TH!$X$7),"x","")</f>
        <v/>
      </c>
      <c r="Y1883" s="75" t="str">
        <f>IF(AND(OR(N1883="131",O1883="131"),H1883='131-CT'!$H$9),"x","")</f>
        <v/>
      </c>
      <c r="Z1883" s="75"/>
      <c r="AA1883" s="75" t="str">
        <f>IF(AND(MONTH(E1883)='IN-NX'!$J$5,'IN-NX'!$D$7=D1883),"x","")</f>
        <v/>
      </c>
      <c r="AB1883" s="75" t="str">
        <f>IF(AND(OR(LEFT(TH!N1883,2)="15",LEFT(TH!O1883,2)="15"),LEFT(TH!O1883,3)&lt;&gt;"111",'152-CT'!$J$8=TH!F1883),"x","")</f>
        <v/>
      </c>
      <c r="AC1883" s="75" t="str">
        <f>IF(AND(OR(LEFT(TH!N1883,2)="15",LEFT(TH!O1883,2)="15"),TK!$E$7=TH!F1883),"x","")</f>
        <v/>
      </c>
      <c r="AD1883" s="75" t="str">
        <f>IF(AND(N1883="1521",MONTH(C1883)='BK-NL'!$M$11),"x","")</f>
        <v/>
      </c>
      <c r="AF1883" s="1054"/>
    </row>
    <row r="1884" spans="1:32" s="1264" customFormat="1" ht="16.5" customHeight="1">
      <c r="A1884" s="309" t="str">
        <f>IF(B1884&lt;&gt;"",IF(AND(B1884='IN-TC'!$S$4,OR(TH!N1884="1111",TH!O1884="1111")),TH!D1884,""),"")</f>
        <v/>
      </c>
      <c r="B1884" s="1275">
        <f t="shared" si="519"/>
        <v>9</v>
      </c>
      <c r="C1884" s="252">
        <f t="shared" ref="C1884:C1894" si="522">E1884</f>
        <v>42985</v>
      </c>
      <c r="D1884" s="252" t="s">
        <v>2921</v>
      </c>
      <c r="E1884" s="252">
        <v>42985</v>
      </c>
      <c r="F1884" s="1055" t="s">
        <v>793</v>
      </c>
      <c r="G1884" s="1056" t="s">
        <v>2119</v>
      </c>
      <c r="H1884" s="73" t="s">
        <v>785</v>
      </c>
      <c r="I1884" s="371">
        <v>6760</v>
      </c>
      <c r="J1884" s="371">
        <v>188533.83298816567</v>
      </c>
      <c r="K1884" s="371"/>
      <c r="L1884" s="377"/>
      <c r="M1884" s="933">
        <f t="shared" si="521"/>
        <v>1274488711</v>
      </c>
      <c r="N1884" s="977" t="s">
        <v>284</v>
      </c>
      <c r="O1884" s="977" t="s">
        <v>274</v>
      </c>
      <c r="P1884" s="75" t="str">
        <f>IF(AND('331-CT'!$E$7=TH!H1884,OR(N1884="331",O1884="331")),"x","")</f>
        <v/>
      </c>
      <c r="Q1884" s="75" t="str">
        <f>IF(AND(B1884='111'!$L$11,OR($N1884=$Q$7,$O1884=$Q$7)),"x","")</f>
        <v/>
      </c>
      <c r="R1884" s="75" t="str">
        <f>IF(AND($N1884=$Q$7,$B1884&lt;'111'!$L$11),"x","")</f>
        <v/>
      </c>
      <c r="S1884" s="75" t="str">
        <f>IF(AND($O1884=$Q$7,$B1884&lt;'111'!$L$11),"x","")</f>
        <v/>
      </c>
      <c r="T1884" s="75" t="str">
        <f>IF(ISERROR(FIND('112'!$M$9,G1884,1)),"",IF((AND(FIND('112'!$M$9,G1884,1)&gt;=1,B1884='112'!$K$9,OR($N1884='112'!$I$6,$O1884='112'!$I$6))),"x",""))</f>
        <v/>
      </c>
      <c r="U1884" s="75" t="str">
        <f>IF(ISERROR(FIND('112'!$M$9,G1884,1)),"",IF((AND(LEFT(G1884,2)=LEFT('112'!$M$9,2),B1884&lt;'112'!$K$9,$N1884='112'!$I$6)),"x",""))</f>
        <v/>
      </c>
      <c r="V1884" s="75" t="str">
        <f>IF(ISERROR(FIND('112'!$M$9,G1884,1)),"",IF((AND(RIGHT(G1884,2)=RIGHT('112'!$M$9,2),B1884&lt;'112'!$K$9,$O1884='112'!$I$6)),"x",""))</f>
        <v/>
      </c>
      <c r="W1884" s="75" t="str">
        <f>IF(AND('341-CT'!$H$9=H1884,OR(LEFT(N1884,3)=$W$7,LEFT(O1884,3)=$W$7)),"x","")</f>
        <v/>
      </c>
      <c r="X1884" s="75" t="str">
        <f>IF(OR(TH!N1884=TH!$X$7,O1884=TH!$X$7),"x","")</f>
        <v/>
      </c>
      <c r="Y1884" s="75" t="str">
        <f>IF(AND(OR(N1884="131",O1884="131"),H1884='131-CT'!$H$9),"x","")</f>
        <v/>
      </c>
      <c r="Z1884" s="75"/>
      <c r="AA1884" s="75" t="str">
        <f>IF(AND(MONTH(E1884)='IN-NX'!$J$5,'IN-NX'!$D$7=D1884),"x","")</f>
        <v/>
      </c>
      <c r="AB1884" s="75" t="str">
        <f>IF(AND(OR(LEFT(TH!N1884,2)="15",LEFT(TH!O1884,2)="15"),LEFT(TH!O1884,3)&lt;&gt;"111",'152-CT'!$J$8=TH!F1884),"x","")</f>
        <v/>
      </c>
      <c r="AC1884" s="75" t="str">
        <f>IF(AND(OR(LEFT(TH!N1884,2)="15",LEFT(TH!O1884,2)="15"),TK!$E$7=TH!F1884),"x","")</f>
        <v/>
      </c>
      <c r="AD1884" s="75" t="str">
        <f>IF(AND(N1884="1521",MONTH(C1884)='BK-NL'!$M$11),"x","")</f>
        <v/>
      </c>
      <c r="AF1884" s="1054"/>
    </row>
    <row r="1885" spans="1:32" s="1264" customFormat="1" ht="16.5" customHeight="1">
      <c r="A1885" s="309" t="str">
        <f>IF(B1885&lt;&gt;"",IF(AND(B1885='IN-TC'!$S$4,OR(TH!N1885="1111",TH!O1885="1111")),TH!D1885,""),"")</f>
        <v/>
      </c>
      <c r="B1885" s="1275">
        <f t="shared" ref="B1885:B1887" si="523">IF(C1885&lt;&gt;"",MONTH(C1885),"")</f>
        <v>9</v>
      </c>
      <c r="C1885" s="252">
        <f t="shared" si="522"/>
        <v>42998</v>
      </c>
      <c r="D1885" s="252" t="s">
        <v>2921</v>
      </c>
      <c r="E1885" s="252">
        <v>42998</v>
      </c>
      <c r="F1885" s="1055" t="s">
        <v>1582</v>
      </c>
      <c r="G1885" s="1056" t="s">
        <v>2326</v>
      </c>
      <c r="H1885" s="735" t="s">
        <v>546</v>
      </c>
      <c r="I1885" s="371">
        <v>700</v>
      </c>
      <c r="J1885" s="371">
        <v>189921.94</v>
      </c>
      <c r="K1885" s="371"/>
      <c r="L1885" s="377"/>
      <c r="M1885" s="933">
        <f t="shared" si="521"/>
        <v>132945358</v>
      </c>
      <c r="N1885" s="977" t="s">
        <v>284</v>
      </c>
      <c r="O1885" s="977" t="s">
        <v>274</v>
      </c>
      <c r="P1885" s="75" t="str">
        <f>IF(AND('331-CT'!$E$7=TH!H1885,OR(N1885="331",O1885="331")),"x","")</f>
        <v/>
      </c>
      <c r="Q1885" s="75" t="str">
        <f>IF(AND(B1885='111'!$L$11,OR($N1885=$Q$7,$O1885=$Q$7)),"x","")</f>
        <v/>
      </c>
      <c r="R1885" s="75" t="str">
        <f>IF(AND($N1885=$Q$7,$B1885&lt;'111'!$L$11),"x","")</f>
        <v/>
      </c>
      <c r="S1885" s="75" t="str">
        <f>IF(AND($O1885=$Q$7,$B1885&lt;'111'!$L$11),"x","")</f>
        <v/>
      </c>
      <c r="T1885" s="75" t="str">
        <f>IF(ISERROR(FIND('112'!$M$9,G1885,1)),"",IF((AND(FIND('112'!$M$9,G1885,1)&gt;=1,B1885='112'!$K$9,OR($N1885='112'!$I$6,$O1885='112'!$I$6))),"x",""))</f>
        <v/>
      </c>
      <c r="U1885" s="75" t="str">
        <f>IF(ISERROR(FIND('112'!$M$9,G1885,1)),"",IF((AND(LEFT(G1885,2)=LEFT('112'!$M$9,2),B1885&lt;'112'!$K$9,$N1885='112'!$I$6)),"x",""))</f>
        <v/>
      </c>
      <c r="V1885" s="75" t="str">
        <f>IF(ISERROR(FIND('112'!$M$9,G1885,1)),"",IF((AND(RIGHT(G1885,2)=RIGHT('112'!$M$9,2),B1885&lt;'112'!$K$9,$O1885='112'!$I$6)),"x",""))</f>
        <v/>
      </c>
      <c r="W1885" s="75" t="str">
        <f>IF(AND('341-CT'!$H$9=H1885,OR(LEFT(N1885,3)=$W$7,LEFT(O1885,3)=$W$7)),"x","")</f>
        <v/>
      </c>
      <c r="X1885" s="75" t="str">
        <f>IF(OR(TH!N1885=TH!$X$7,O1885=TH!$X$7),"x","")</f>
        <v/>
      </c>
      <c r="Y1885" s="75" t="str">
        <f>IF(AND(OR(N1885="131",O1885="131"),H1885='131-CT'!$H$9),"x","")</f>
        <v/>
      </c>
      <c r="Z1885" s="75"/>
      <c r="AA1885" s="75" t="str">
        <f>IF(AND(MONTH(E1885)='IN-NX'!$J$5,'IN-NX'!$D$7=D1885),"x","")</f>
        <v/>
      </c>
      <c r="AB1885" s="75" t="str">
        <f>IF(AND(OR(LEFT(TH!N1885,2)="15",LEFT(TH!O1885,2)="15"),LEFT(TH!O1885,3)&lt;&gt;"111",'152-CT'!$J$8=TH!F1885),"x","")</f>
        <v/>
      </c>
      <c r="AC1885" s="75" t="str">
        <f>IF(AND(OR(LEFT(TH!N1885,2)="15",LEFT(TH!O1885,2)="15"),TK!$E$7=TH!F1885),"x","")</f>
        <v/>
      </c>
      <c r="AD1885" s="75" t="str">
        <f>IF(AND(N1885="1521",MONTH(C1885)='BK-NL'!$M$11),"x","")</f>
        <v/>
      </c>
      <c r="AF1885" s="1054"/>
    </row>
    <row r="1886" spans="1:32" s="1264" customFormat="1" ht="16.5" customHeight="1">
      <c r="A1886" s="309" t="str">
        <f>IF(B1886&lt;&gt;"",IF(AND(B1886='IN-TC'!$S$4,OR(TH!N1886="1111",TH!O1886="1111")),TH!D1886,""),"")</f>
        <v/>
      </c>
      <c r="B1886" s="1275">
        <f t="shared" si="523"/>
        <v>9</v>
      </c>
      <c r="C1886" s="252">
        <f t="shared" si="522"/>
        <v>42998</v>
      </c>
      <c r="D1886" s="252" t="s">
        <v>2921</v>
      </c>
      <c r="E1886" s="252">
        <v>42998</v>
      </c>
      <c r="F1886" s="1055" t="s">
        <v>1107</v>
      </c>
      <c r="G1886" s="1056" t="s">
        <v>2326</v>
      </c>
      <c r="H1886" s="735" t="s">
        <v>546</v>
      </c>
      <c r="I1886" s="371">
        <v>1620</v>
      </c>
      <c r="J1886" s="371">
        <v>214623.08765432099</v>
      </c>
      <c r="K1886" s="371"/>
      <c r="L1886" s="377"/>
      <c r="M1886" s="933">
        <f t="shared" si="521"/>
        <v>347689402</v>
      </c>
      <c r="N1886" s="977" t="s">
        <v>284</v>
      </c>
      <c r="O1886" s="977" t="s">
        <v>274</v>
      </c>
      <c r="P1886" s="75" t="str">
        <f>IF(AND('331-CT'!$E$7=TH!H1886,OR(N1886="331",O1886="331")),"x","")</f>
        <v/>
      </c>
      <c r="Q1886" s="75" t="str">
        <f>IF(AND(B1886='111'!$L$11,OR($N1886=$Q$7,$O1886=$Q$7)),"x","")</f>
        <v/>
      </c>
      <c r="R1886" s="75" t="str">
        <f>IF(AND($N1886=$Q$7,$B1886&lt;'111'!$L$11),"x","")</f>
        <v/>
      </c>
      <c r="S1886" s="75" t="str">
        <f>IF(AND($O1886=$Q$7,$B1886&lt;'111'!$L$11),"x","")</f>
        <v/>
      </c>
      <c r="T1886" s="75" t="str">
        <f>IF(ISERROR(FIND('112'!$M$9,G1886,1)),"",IF((AND(FIND('112'!$M$9,G1886,1)&gt;=1,B1886='112'!$K$9,OR($N1886='112'!$I$6,$O1886='112'!$I$6))),"x",""))</f>
        <v/>
      </c>
      <c r="U1886" s="75" t="str">
        <f>IF(ISERROR(FIND('112'!$M$9,G1886,1)),"",IF((AND(LEFT(G1886,2)=LEFT('112'!$M$9,2),B1886&lt;'112'!$K$9,$N1886='112'!$I$6)),"x",""))</f>
        <v/>
      </c>
      <c r="V1886" s="75" t="str">
        <f>IF(ISERROR(FIND('112'!$M$9,G1886,1)),"",IF((AND(RIGHT(G1886,2)=RIGHT('112'!$M$9,2),B1886&lt;'112'!$K$9,$O1886='112'!$I$6)),"x",""))</f>
        <v/>
      </c>
      <c r="W1886" s="75" t="str">
        <f>IF(AND('341-CT'!$H$9=H1886,OR(LEFT(N1886,3)=$W$7,LEFT(O1886,3)=$W$7)),"x","")</f>
        <v/>
      </c>
      <c r="X1886" s="75" t="str">
        <f>IF(OR(TH!N1886=TH!$X$7,O1886=TH!$X$7),"x","")</f>
        <v/>
      </c>
      <c r="Y1886" s="75" t="str">
        <f>IF(AND(OR(N1886="131",O1886="131"),H1886='131-CT'!$H$9),"x","")</f>
        <v/>
      </c>
      <c r="Z1886" s="75"/>
      <c r="AA1886" s="75" t="str">
        <f>IF(AND(MONTH(E1886)='IN-NX'!$J$5,'IN-NX'!$D$7=D1886),"x","")</f>
        <v/>
      </c>
      <c r="AB1886" s="75" t="str">
        <f>IF(AND(OR(LEFT(TH!N1886,2)="15",LEFT(TH!O1886,2)="15"),LEFT(TH!O1886,3)&lt;&gt;"111",'152-CT'!$J$8=TH!F1886),"x","")</f>
        <v/>
      </c>
      <c r="AC1886" s="75" t="str">
        <f>IF(AND(OR(LEFT(TH!N1886,2)="15",LEFT(TH!O1886,2)="15"),TK!$E$7=TH!F1886),"x","")</f>
        <v/>
      </c>
      <c r="AD1886" s="75" t="str">
        <f>IF(AND(N1886="1521",MONTH(C1886)='BK-NL'!$M$11),"x","")</f>
        <v/>
      </c>
      <c r="AF1886" s="1054"/>
    </row>
    <row r="1887" spans="1:32" s="1264" customFormat="1" ht="16.5" customHeight="1">
      <c r="A1887" s="309" t="str">
        <f>IF(B1887&lt;&gt;"",IF(AND(B1887='IN-TC'!$S$4,OR(TH!N1887="1111",TH!O1887="1111")),TH!D1887,""),"")</f>
        <v/>
      </c>
      <c r="B1887" s="1275">
        <f t="shared" si="523"/>
        <v>9</v>
      </c>
      <c r="C1887" s="252">
        <f t="shared" si="522"/>
        <v>42998</v>
      </c>
      <c r="D1887" s="252" t="s">
        <v>2921</v>
      </c>
      <c r="E1887" s="252">
        <v>42998</v>
      </c>
      <c r="F1887" s="1055" t="s">
        <v>1584</v>
      </c>
      <c r="G1887" s="1056" t="s">
        <v>2326</v>
      </c>
      <c r="H1887" s="735" t="s">
        <v>546</v>
      </c>
      <c r="I1887" s="371">
        <v>1880</v>
      </c>
      <c r="J1887" s="371">
        <v>204429.79255319148</v>
      </c>
      <c r="K1887" s="371"/>
      <c r="L1887" s="377"/>
      <c r="M1887" s="933">
        <f t="shared" si="521"/>
        <v>384328010</v>
      </c>
      <c r="N1887" s="977" t="s">
        <v>284</v>
      </c>
      <c r="O1887" s="977" t="s">
        <v>274</v>
      </c>
      <c r="P1887" s="75" t="str">
        <f>IF(AND('331-CT'!$E$7=TH!H1887,OR(N1887="331",O1887="331")),"x","")</f>
        <v/>
      </c>
      <c r="Q1887" s="75" t="str">
        <f>IF(AND(B1887='111'!$L$11,OR($N1887=$Q$7,$O1887=$Q$7)),"x","")</f>
        <v/>
      </c>
      <c r="R1887" s="75" t="str">
        <f>IF(AND($N1887=$Q$7,$B1887&lt;'111'!$L$11),"x","")</f>
        <v/>
      </c>
      <c r="S1887" s="75" t="str">
        <f>IF(AND($O1887=$Q$7,$B1887&lt;'111'!$L$11),"x","")</f>
        <v/>
      </c>
      <c r="T1887" s="75" t="str">
        <f>IF(ISERROR(FIND('112'!$M$9,G1887,1)),"",IF((AND(FIND('112'!$M$9,G1887,1)&gt;=1,B1887='112'!$K$9,OR($N1887='112'!$I$6,$O1887='112'!$I$6))),"x",""))</f>
        <v/>
      </c>
      <c r="U1887" s="75" t="str">
        <f>IF(ISERROR(FIND('112'!$M$9,G1887,1)),"",IF((AND(LEFT(G1887,2)=LEFT('112'!$M$9,2),B1887&lt;'112'!$K$9,$N1887='112'!$I$6)),"x",""))</f>
        <v/>
      </c>
      <c r="V1887" s="75" t="str">
        <f>IF(ISERROR(FIND('112'!$M$9,G1887,1)),"",IF((AND(RIGHT(G1887,2)=RIGHT('112'!$M$9,2),B1887&lt;'112'!$K$9,$O1887='112'!$I$6)),"x",""))</f>
        <v/>
      </c>
      <c r="W1887" s="75" t="str">
        <f>IF(AND('341-CT'!$H$9=H1887,OR(LEFT(N1887,3)=$W$7,LEFT(O1887,3)=$W$7)),"x","")</f>
        <v/>
      </c>
      <c r="X1887" s="75" t="str">
        <f>IF(OR(TH!N1887=TH!$X$7,O1887=TH!$X$7),"x","")</f>
        <v/>
      </c>
      <c r="Y1887" s="75" t="str">
        <f>IF(AND(OR(N1887="131",O1887="131"),H1887='131-CT'!$H$9),"x","")</f>
        <v/>
      </c>
      <c r="Z1887" s="75"/>
      <c r="AA1887" s="75" t="str">
        <f>IF(AND(MONTH(E1887)='IN-NX'!$J$5,'IN-NX'!$D$7=D1887),"x","")</f>
        <v/>
      </c>
      <c r="AB1887" s="75" t="str">
        <f>IF(AND(OR(LEFT(TH!N1887,2)="15",LEFT(TH!O1887,2)="15"),LEFT(TH!O1887,3)&lt;&gt;"111",'152-CT'!$J$8=TH!F1887),"x","")</f>
        <v/>
      </c>
      <c r="AC1887" s="75" t="str">
        <f>IF(AND(OR(LEFT(TH!N1887,2)="15",LEFT(TH!O1887,2)="15"),TK!$E$7=TH!F1887),"x","")</f>
        <v/>
      </c>
      <c r="AD1887" s="75" t="str">
        <f>IF(AND(N1887="1521",MONTH(C1887)='BK-NL'!$M$11),"x","")</f>
        <v/>
      </c>
      <c r="AF1887" s="1054"/>
    </row>
    <row r="1888" spans="1:32" s="1264" customFormat="1" ht="16.5" customHeight="1">
      <c r="A1888" s="309" t="str">
        <f>IF(B1888&lt;&gt;"",IF(AND(B1888='IN-TC'!$S$4,OR(TH!N1888="1111",TH!O1888="1111")),TH!D1888,""),"")</f>
        <v/>
      </c>
      <c r="B1888" s="1275">
        <f t="shared" ref="B1888:B1894" si="524">IF(C1888&lt;&gt;"",MONTH(C1888),"")</f>
        <v>9</v>
      </c>
      <c r="C1888" s="252">
        <f t="shared" si="522"/>
        <v>43006</v>
      </c>
      <c r="D1888" s="252" t="s">
        <v>2921</v>
      </c>
      <c r="E1888" s="252">
        <v>43006</v>
      </c>
      <c r="F1888" s="1055" t="s">
        <v>2400</v>
      </c>
      <c r="G1888" s="1056" t="s">
        <v>2293</v>
      </c>
      <c r="H1888" s="73" t="s">
        <v>802</v>
      </c>
      <c r="I1888" s="371">
        <v>12500</v>
      </c>
      <c r="J1888" s="371">
        <v>205603.12943999999</v>
      </c>
      <c r="K1888" s="371"/>
      <c r="L1888" s="377"/>
      <c r="M1888" s="933">
        <f t="shared" si="521"/>
        <v>2570039118</v>
      </c>
      <c r="N1888" s="977" t="s">
        <v>284</v>
      </c>
      <c r="O1888" s="977" t="s">
        <v>274</v>
      </c>
      <c r="P1888" s="75" t="str">
        <f>IF(AND('331-CT'!$E$7=TH!H1888,OR(N1888="331",O1888="331")),"x","")</f>
        <v/>
      </c>
      <c r="Q1888" s="75" t="str">
        <f>IF(AND(B1888='111'!$L$11,OR($N1888=$Q$7,$O1888=$Q$7)),"x","")</f>
        <v/>
      </c>
      <c r="R1888" s="75" t="str">
        <f>IF(AND($N1888=$Q$7,$B1888&lt;'111'!$L$11),"x","")</f>
        <v/>
      </c>
      <c r="S1888" s="75" t="str">
        <f>IF(AND($O1888=$Q$7,$B1888&lt;'111'!$L$11),"x","")</f>
        <v/>
      </c>
      <c r="T1888" s="75" t="str">
        <f>IF(ISERROR(FIND('112'!$M$9,G1888,1)),"",IF((AND(FIND('112'!$M$9,G1888,1)&gt;=1,B1888='112'!$K$9,OR($N1888='112'!$I$6,$O1888='112'!$I$6))),"x",""))</f>
        <v/>
      </c>
      <c r="U1888" s="75" t="str">
        <f>IF(ISERROR(FIND('112'!$M$9,G1888,1)),"",IF((AND(LEFT(G1888,2)=LEFT('112'!$M$9,2),B1888&lt;'112'!$K$9,$N1888='112'!$I$6)),"x",""))</f>
        <v/>
      </c>
      <c r="V1888" s="75" t="str">
        <f>IF(ISERROR(FIND('112'!$M$9,G1888,1)),"",IF((AND(RIGHT(G1888,2)=RIGHT('112'!$M$9,2),B1888&lt;'112'!$K$9,$O1888='112'!$I$6)),"x",""))</f>
        <v/>
      </c>
      <c r="W1888" s="75" t="str">
        <f>IF(AND('341-CT'!$H$9=H1888,OR(LEFT(N1888,3)=$W$7,LEFT(O1888,3)=$W$7)),"x","")</f>
        <v/>
      </c>
      <c r="X1888" s="75" t="str">
        <f>IF(OR(TH!N1888=TH!$X$7,O1888=TH!$X$7),"x","")</f>
        <v/>
      </c>
      <c r="Y1888" s="75" t="str">
        <f>IF(AND(OR(N1888="131",O1888="131"),H1888='131-CT'!$H$9),"x","")</f>
        <v/>
      </c>
      <c r="Z1888" s="75"/>
      <c r="AA1888" s="75" t="str">
        <f>IF(AND(MONTH(E1888)='IN-NX'!$J$5,'IN-NX'!$D$7=D1888),"x","")</f>
        <v/>
      </c>
      <c r="AB1888" s="75" t="str">
        <f>IF(AND(OR(LEFT(TH!N1888,2)="15",LEFT(TH!O1888,2)="15"),LEFT(TH!O1888,3)&lt;&gt;"111",'152-CT'!$J$8=TH!F1888),"x","")</f>
        <v/>
      </c>
      <c r="AC1888" s="75" t="str">
        <f>IF(AND(OR(LEFT(TH!N1888,2)="15",LEFT(TH!O1888,2)="15"),TK!$E$7=TH!F1888),"x","")</f>
        <v/>
      </c>
      <c r="AD1888" s="75" t="str">
        <f>IF(AND(N1888="1521",MONTH(C1888)='BK-NL'!$M$11),"x","")</f>
        <v/>
      </c>
      <c r="AF1888" s="1054"/>
    </row>
    <row r="1889" spans="1:32" s="1264" customFormat="1" ht="16.5" customHeight="1">
      <c r="A1889" s="309" t="str">
        <f>IF(B1889&lt;&gt;"",IF(AND(B1889='IN-TC'!$S$4,OR(TH!N1889="1111",TH!O1889="1111")),TH!D1889,""),"")</f>
        <v/>
      </c>
      <c r="B1889" s="1275">
        <f t="shared" si="524"/>
        <v>9</v>
      </c>
      <c r="C1889" s="252">
        <f t="shared" si="522"/>
        <v>42979</v>
      </c>
      <c r="D1889" s="252" t="s">
        <v>2921</v>
      </c>
      <c r="E1889" s="252">
        <v>42979</v>
      </c>
      <c r="F1889" s="1055" t="s">
        <v>1621</v>
      </c>
      <c r="G1889" s="1056" t="s">
        <v>2197</v>
      </c>
      <c r="H1889" s="73" t="s">
        <v>802</v>
      </c>
      <c r="I1889" s="371">
        <v>100</v>
      </c>
      <c r="J1889" s="371">
        <v>148634.04347826086</v>
      </c>
      <c r="K1889" s="371"/>
      <c r="L1889" s="377"/>
      <c r="M1889" s="933">
        <f t="shared" ref="M1889:M1894" si="525">ROUND(I1889*J1889,0)</f>
        <v>14863404</v>
      </c>
      <c r="N1889" s="977" t="s">
        <v>284</v>
      </c>
      <c r="O1889" s="977" t="s">
        <v>274</v>
      </c>
      <c r="P1889" s="75" t="str">
        <f>IF(AND('331-CT'!$E$7=TH!H1889,OR(N1889="331",O1889="331")),"x","")</f>
        <v/>
      </c>
      <c r="Q1889" s="75" t="str">
        <f>IF(AND(B1889='111'!$L$11,OR($N1889=$Q$7,$O1889=$Q$7)),"x","")</f>
        <v/>
      </c>
      <c r="R1889" s="75" t="str">
        <f>IF(AND($N1889=$Q$7,$B1889&lt;'111'!$L$11),"x","")</f>
        <v/>
      </c>
      <c r="S1889" s="75" t="str">
        <f>IF(AND($O1889=$Q$7,$B1889&lt;'111'!$L$11),"x","")</f>
        <v/>
      </c>
      <c r="T1889" s="75" t="str">
        <f>IF(ISERROR(FIND('112'!$M$9,G1889,1)),"",IF((AND(FIND('112'!$M$9,G1889,1)&gt;=1,B1889='112'!$K$9,OR($N1889='112'!$I$6,$O1889='112'!$I$6))),"x",""))</f>
        <v/>
      </c>
      <c r="U1889" s="75" t="str">
        <f>IF(ISERROR(FIND('112'!$M$9,G1889,1)),"",IF((AND(LEFT(G1889,2)=LEFT('112'!$M$9,2),B1889&lt;'112'!$K$9,$N1889='112'!$I$6)),"x",""))</f>
        <v/>
      </c>
      <c r="V1889" s="75" t="str">
        <f>IF(ISERROR(FIND('112'!$M$9,G1889,1)),"",IF((AND(RIGHT(G1889,2)=RIGHT('112'!$M$9,2),B1889&lt;'112'!$K$9,$O1889='112'!$I$6)),"x",""))</f>
        <v/>
      </c>
      <c r="W1889" s="75" t="str">
        <f>IF(AND('341-CT'!$H$9=H1889,OR(LEFT(N1889,3)=$W$7,LEFT(O1889,3)=$W$7)),"x","")</f>
        <v/>
      </c>
      <c r="X1889" s="75" t="str">
        <f>IF(OR(TH!N1889=TH!$X$7,O1889=TH!$X$7),"x","")</f>
        <v/>
      </c>
      <c r="Y1889" s="75" t="str">
        <f>IF(AND(OR(N1889="131",O1889="131"),H1889='131-CT'!$H$9),"x","")</f>
        <v/>
      </c>
      <c r="Z1889" s="75"/>
      <c r="AA1889" s="75" t="str">
        <f>IF(AND(MONTH(E1889)='IN-NX'!$J$5,'IN-NX'!$D$7=D1889),"x","")</f>
        <v/>
      </c>
      <c r="AB1889" s="75" t="str">
        <f>IF(AND(OR(LEFT(TH!N1889,2)="15",LEFT(TH!O1889,2)="15"),LEFT(TH!O1889,3)&lt;&gt;"111",'152-CT'!$J$8=TH!F1889),"x","")</f>
        <v/>
      </c>
      <c r="AC1889" s="75" t="str">
        <f>IF(AND(OR(LEFT(TH!N1889,2)="15",LEFT(TH!O1889,2)="15"),TK!$E$7=TH!F1889),"x","")</f>
        <v/>
      </c>
      <c r="AD1889" s="75" t="str">
        <f>IF(AND(N1889="1521",MONTH(C1889)='BK-NL'!$M$11),"x","")</f>
        <v/>
      </c>
      <c r="AF1889" s="1054"/>
    </row>
    <row r="1890" spans="1:32" s="1264" customFormat="1" ht="16.5" customHeight="1">
      <c r="A1890" s="309" t="str">
        <f>IF(B1890&lt;&gt;"",IF(AND(B1890='IN-TC'!$S$4,OR(TH!N1890="1111",TH!O1890="1111")),TH!D1890,""),"")</f>
        <v/>
      </c>
      <c r="B1890" s="1275">
        <f t="shared" si="524"/>
        <v>9</v>
      </c>
      <c r="C1890" s="252">
        <f t="shared" si="522"/>
        <v>42979</v>
      </c>
      <c r="D1890" s="252" t="s">
        <v>2921</v>
      </c>
      <c r="E1890" s="252">
        <v>42979</v>
      </c>
      <c r="F1890" s="1055" t="s">
        <v>2477</v>
      </c>
      <c r="G1890" s="1056" t="s">
        <v>2197</v>
      </c>
      <c r="H1890" s="73" t="s">
        <v>802</v>
      </c>
      <c r="I1890" s="371">
        <v>100</v>
      </c>
      <c r="J1890" s="371">
        <v>148634.04444444444</v>
      </c>
      <c r="K1890" s="371"/>
      <c r="L1890" s="377"/>
      <c r="M1890" s="933">
        <f t="shared" si="525"/>
        <v>14863404</v>
      </c>
      <c r="N1890" s="977" t="s">
        <v>284</v>
      </c>
      <c r="O1890" s="977" t="s">
        <v>274</v>
      </c>
      <c r="P1890" s="75" t="str">
        <f>IF(AND('331-CT'!$E$7=TH!H1890,OR(N1890="331",O1890="331")),"x","")</f>
        <v/>
      </c>
      <c r="Q1890" s="75" t="str">
        <f>IF(AND(B1890='111'!$L$11,OR($N1890=$Q$7,$O1890=$Q$7)),"x","")</f>
        <v/>
      </c>
      <c r="R1890" s="75" t="str">
        <f>IF(AND($N1890=$Q$7,$B1890&lt;'111'!$L$11),"x","")</f>
        <v/>
      </c>
      <c r="S1890" s="75" t="str">
        <f>IF(AND($O1890=$Q$7,$B1890&lt;'111'!$L$11),"x","")</f>
        <v/>
      </c>
      <c r="T1890" s="75" t="str">
        <f>IF(ISERROR(FIND('112'!$M$9,G1890,1)),"",IF((AND(FIND('112'!$M$9,G1890,1)&gt;=1,B1890='112'!$K$9,OR($N1890='112'!$I$6,$O1890='112'!$I$6))),"x",""))</f>
        <v/>
      </c>
      <c r="U1890" s="75" t="str">
        <f>IF(ISERROR(FIND('112'!$M$9,G1890,1)),"",IF((AND(LEFT(G1890,2)=LEFT('112'!$M$9,2),B1890&lt;'112'!$K$9,$N1890='112'!$I$6)),"x",""))</f>
        <v/>
      </c>
      <c r="V1890" s="75" t="str">
        <f>IF(ISERROR(FIND('112'!$M$9,G1890,1)),"",IF((AND(RIGHT(G1890,2)=RIGHT('112'!$M$9,2),B1890&lt;'112'!$K$9,$O1890='112'!$I$6)),"x",""))</f>
        <v/>
      </c>
      <c r="W1890" s="75" t="str">
        <f>IF(AND('341-CT'!$H$9=H1890,OR(LEFT(N1890,3)=$W$7,LEFT(O1890,3)=$W$7)),"x","")</f>
        <v/>
      </c>
      <c r="X1890" s="75" t="str">
        <f>IF(OR(TH!N1890=TH!$X$7,O1890=TH!$X$7),"x","")</f>
        <v/>
      </c>
      <c r="Y1890" s="75" t="str">
        <f>IF(AND(OR(N1890="131",O1890="131"),H1890='131-CT'!$H$9),"x","")</f>
        <v/>
      </c>
      <c r="Z1890" s="75"/>
      <c r="AA1890" s="75" t="str">
        <f>IF(AND(MONTH(E1890)='IN-NX'!$J$5,'IN-NX'!$D$7=D1890),"x","")</f>
        <v/>
      </c>
      <c r="AB1890" s="75" t="str">
        <f>IF(AND(OR(LEFT(TH!N1890,2)="15",LEFT(TH!O1890,2)="15"),LEFT(TH!O1890,3)&lt;&gt;"111",'152-CT'!$J$8=TH!F1890),"x","")</f>
        <v/>
      </c>
      <c r="AC1890" s="75" t="str">
        <f>IF(AND(OR(LEFT(TH!N1890,2)="15",LEFT(TH!O1890,2)="15"),TK!$E$7=TH!F1890),"x","")</f>
        <v/>
      </c>
      <c r="AD1890" s="75" t="str">
        <f>IF(AND(N1890="1521",MONTH(C1890)='BK-NL'!$M$11),"x","")</f>
        <v/>
      </c>
      <c r="AF1890" s="1054"/>
    </row>
    <row r="1891" spans="1:32" s="1264" customFormat="1" ht="16.5" customHeight="1">
      <c r="A1891" s="309" t="str">
        <f>IF(B1891&lt;&gt;"",IF(AND(B1891='IN-TC'!$S$4,OR(TH!N1891="1111",TH!O1891="1111")),TH!D1891,""),"")</f>
        <v/>
      </c>
      <c r="B1891" s="1275">
        <f t="shared" si="524"/>
        <v>9</v>
      </c>
      <c r="C1891" s="252">
        <f t="shared" si="522"/>
        <v>42979</v>
      </c>
      <c r="D1891" s="252" t="s">
        <v>2921</v>
      </c>
      <c r="E1891" s="252">
        <v>42979</v>
      </c>
      <c r="F1891" s="1055" t="s">
        <v>799</v>
      </c>
      <c r="G1891" s="1056" t="s">
        <v>2197</v>
      </c>
      <c r="H1891" s="73" t="s">
        <v>802</v>
      </c>
      <c r="I1891" s="371">
        <v>35.5</v>
      </c>
      <c r="J1891" s="371">
        <v>114632.69486404833</v>
      </c>
      <c r="K1891" s="371"/>
      <c r="L1891" s="377"/>
      <c r="M1891" s="933">
        <f t="shared" si="525"/>
        <v>4069461</v>
      </c>
      <c r="N1891" s="977" t="s">
        <v>284</v>
      </c>
      <c r="O1891" s="977" t="s">
        <v>274</v>
      </c>
      <c r="P1891" s="75" t="str">
        <f>IF(AND('331-CT'!$E$7=TH!H1891,OR(N1891="331",O1891="331")),"x","")</f>
        <v/>
      </c>
      <c r="Q1891" s="75" t="str">
        <f>IF(AND(B1891='111'!$L$11,OR($N1891=$Q$7,$O1891=$Q$7)),"x","")</f>
        <v/>
      </c>
      <c r="R1891" s="75" t="str">
        <f>IF(AND($N1891=$Q$7,$B1891&lt;'111'!$L$11),"x","")</f>
        <v/>
      </c>
      <c r="S1891" s="75" t="str">
        <f>IF(AND($O1891=$Q$7,$B1891&lt;'111'!$L$11),"x","")</f>
        <v/>
      </c>
      <c r="T1891" s="75" t="str">
        <f>IF(ISERROR(FIND('112'!$M$9,G1891,1)),"",IF((AND(FIND('112'!$M$9,G1891,1)&gt;=1,B1891='112'!$K$9,OR($N1891='112'!$I$6,$O1891='112'!$I$6))),"x",""))</f>
        <v/>
      </c>
      <c r="U1891" s="75" t="str">
        <f>IF(ISERROR(FIND('112'!$M$9,G1891,1)),"",IF((AND(LEFT(G1891,2)=LEFT('112'!$M$9,2),B1891&lt;'112'!$K$9,$N1891='112'!$I$6)),"x",""))</f>
        <v/>
      </c>
      <c r="V1891" s="75" t="str">
        <f>IF(ISERROR(FIND('112'!$M$9,G1891,1)),"",IF((AND(RIGHT(G1891,2)=RIGHT('112'!$M$9,2),B1891&lt;'112'!$K$9,$O1891='112'!$I$6)),"x",""))</f>
        <v/>
      </c>
      <c r="W1891" s="75" t="str">
        <f>IF(AND('341-CT'!$H$9=H1891,OR(LEFT(N1891,3)=$W$7,LEFT(O1891,3)=$W$7)),"x","")</f>
        <v/>
      </c>
      <c r="X1891" s="75" t="str">
        <f>IF(OR(TH!N1891=TH!$X$7,O1891=TH!$X$7),"x","")</f>
        <v/>
      </c>
      <c r="Y1891" s="75" t="str">
        <f>IF(AND(OR(N1891="131",O1891="131"),H1891='131-CT'!$H$9),"x","")</f>
        <v/>
      </c>
      <c r="Z1891" s="75"/>
      <c r="AA1891" s="75" t="str">
        <f>IF(AND(MONTH(E1891)='IN-NX'!$J$5,'IN-NX'!$D$7=D1891),"x","")</f>
        <v/>
      </c>
      <c r="AB1891" s="75" t="str">
        <f>IF(AND(OR(LEFT(TH!N1891,2)="15",LEFT(TH!O1891,2)="15"),LEFT(TH!O1891,3)&lt;&gt;"111",'152-CT'!$J$8=TH!F1891),"x","")</f>
        <v/>
      </c>
      <c r="AC1891" s="75" t="str">
        <f>IF(AND(OR(LEFT(TH!N1891,2)="15",LEFT(TH!O1891,2)="15"),TK!$E$7=TH!F1891),"x","")</f>
        <v/>
      </c>
      <c r="AD1891" s="75" t="str">
        <f>IF(AND(N1891="1521",MONTH(C1891)='BK-NL'!$M$11),"x","")</f>
        <v/>
      </c>
      <c r="AF1891" s="1054"/>
    </row>
    <row r="1892" spans="1:32" s="1264" customFormat="1" ht="16.5" customHeight="1">
      <c r="A1892" s="309" t="str">
        <f>IF(B1892&lt;&gt;"",IF(AND(B1892='IN-TC'!$S$4,OR(TH!N1892="1111",TH!O1892="1111")),TH!D1892,""),"")</f>
        <v/>
      </c>
      <c r="B1892" s="1275">
        <f t="shared" si="524"/>
        <v>9</v>
      </c>
      <c r="C1892" s="252">
        <f t="shared" si="522"/>
        <v>42979</v>
      </c>
      <c r="D1892" s="252" t="s">
        <v>2921</v>
      </c>
      <c r="E1892" s="252">
        <v>42979</v>
      </c>
      <c r="F1892" s="1055" t="s">
        <v>418</v>
      </c>
      <c r="G1892" s="1056" t="s">
        <v>2197</v>
      </c>
      <c r="H1892" s="73" t="s">
        <v>802</v>
      </c>
      <c r="I1892" s="371">
        <v>60</v>
      </c>
      <c r="J1892" s="371">
        <v>89134.71974522293</v>
      </c>
      <c r="K1892" s="371"/>
      <c r="L1892" s="377"/>
      <c r="M1892" s="933">
        <f t="shared" si="525"/>
        <v>5348083</v>
      </c>
      <c r="N1892" s="977" t="s">
        <v>284</v>
      </c>
      <c r="O1892" s="977" t="s">
        <v>274</v>
      </c>
      <c r="P1892" s="75" t="str">
        <f>IF(AND('331-CT'!$E$7=TH!H1892,OR(N1892="331",O1892="331")),"x","")</f>
        <v/>
      </c>
      <c r="Q1892" s="75" t="str">
        <f>IF(AND(B1892='111'!$L$11,OR($N1892=$Q$7,$O1892=$Q$7)),"x","")</f>
        <v/>
      </c>
      <c r="R1892" s="75" t="str">
        <f>IF(AND($N1892=$Q$7,$B1892&lt;'111'!$L$11),"x","")</f>
        <v/>
      </c>
      <c r="S1892" s="75" t="str">
        <f>IF(AND($O1892=$Q$7,$B1892&lt;'111'!$L$11),"x","")</f>
        <v/>
      </c>
      <c r="T1892" s="75" t="str">
        <f>IF(ISERROR(FIND('112'!$M$9,G1892,1)),"",IF((AND(FIND('112'!$M$9,G1892,1)&gt;=1,B1892='112'!$K$9,OR($N1892='112'!$I$6,$O1892='112'!$I$6))),"x",""))</f>
        <v/>
      </c>
      <c r="U1892" s="75" t="str">
        <f>IF(ISERROR(FIND('112'!$M$9,G1892,1)),"",IF((AND(LEFT(G1892,2)=LEFT('112'!$M$9,2),B1892&lt;'112'!$K$9,$N1892='112'!$I$6)),"x",""))</f>
        <v/>
      </c>
      <c r="V1892" s="75" t="str">
        <f>IF(ISERROR(FIND('112'!$M$9,G1892,1)),"",IF((AND(RIGHT(G1892,2)=RIGHT('112'!$M$9,2),B1892&lt;'112'!$K$9,$O1892='112'!$I$6)),"x",""))</f>
        <v/>
      </c>
      <c r="W1892" s="75" t="str">
        <f>IF(AND('341-CT'!$H$9=H1892,OR(LEFT(N1892,3)=$W$7,LEFT(O1892,3)=$W$7)),"x","")</f>
        <v/>
      </c>
      <c r="X1892" s="75" t="str">
        <f>IF(OR(TH!N1892=TH!$X$7,O1892=TH!$X$7),"x","")</f>
        <v/>
      </c>
      <c r="Y1892" s="75" t="str">
        <f>IF(AND(OR(N1892="131",O1892="131"),H1892='131-CT'!$H$9),"x","")</f>
        <v/>
      </c>
      <c r="Z1892" s="75"/>
      <c r="AA1892" s="75" t="str">
        <f>IF(AND(MONTH(E1892)='IN-NX'!$J$5,'IN-NX'!$D$7=D1892),"x","")</f>
        <v/>
      </c>
      <c r="AB1892" s="75" t="str">
        <f>IF(AND(OR(LEFT(TH!N1892,2)="15",LEFT(TH!O1892,2)="15"),LEFT(TH!O1892,3)&lt;&gt;"111",'152-CT'!$J$8=TH!F1892),"x","")</f>
        <v/>
      </c>
      <c r="AC1892" s="75" t="str">
        <f>IF(AND(OR(LEFT(TH!N1892,2)="15",LEFT(TH!O1892,2)="15"),TK!$E$7=TH!F1892),"x","")</f>
        <v/>
      </c>
      <c r="AD1892" s="75" t="str">
        <f>IF(AND(N1892="1521",MONTH(C1892)='BK-NL'!$M$11),"x","")</f>
        <v/>
      </c>
      <c r="AF1892" s="1054"/>
    </row>
    <row r="1893" spans="1:32" s="1264" customFormat="1" ht="16.5" customHeight="1">
      <c r="A1893" s="309" t="str">
        <f>IF(B1893&lt;&gt;"",IF(AND(B1893='IN-TC'!$S$4,OR(TH!N1893="1111",TH!O1893="1111")),TH!D1893,""),"")</f>
        <v/>
      </c>
      <c r="B1893" s="1275">
        <f t="shared" si="524"/>
        <v>9</v>
      </c>
      <c r="C1893" s="252">
        <f t="shared" si="522"/>
        <v>42979</v>
      </c>
      <c r="D1893" s="252" t="s">
        <v>2921</v>
      </c>
      <c r="E1893" s="252">
        <v>42979</v>
      </c>
      <c r="F1893" s="1083" t="s">
        <v>425</v>
      </c>
      <c r="G1893" s="1056" t="s">
        <v>2197</v>
      </c>
      <c r="H1893" s="73" t="s">
        <v>802</v>
      </c>
      <c r="I1893" s="371">
        <v>10</v>
      </c>
      <c r="J1893" s="371">
        <v>637287.6857142857</v>
      </c>
      <c r="K1893" s="371"/>
      <c r="L1893" s="377"/>
      <c r="M1893" s="933">
        <f t="shared" si="525"/>
        <v>6372877</v>
      </c>
      <c r="N1893" s="977" t="s">
        <v>284</v>
      </c>
      <c r="O1893" s="977" t="s">
        <v>274</v>
      </c>
      <c r="P1893" s="75" t="str">
        <f>IF(AND('331-CT'!$E$7=TH!H1893,OR(N1893="331",O1893="331")),"x","")</f>
        <v/>
      </c>
      <c r="Q1893" s="75" t="str">
        <f>IF(AND(B1893='111'!$L$11,OR($N1893=$Q$7,$O1893=$Q$7)),"x","")</f>
        <v/>
      </c>
      <c r="R1893" s="75" t="str">
        <f>IF(AND($N1893=$Q$7,$B1893&lt;'111'!$L$11),"x","")</f>
        <v/>
      </c>
      <c r="S1893" s="75" t="str">
        <f>IF(AND($O1893=$Q$7,$B1893&lt;'111'!$L$11),"x","")</f>
        <v/>
      </c>
      <c r="T1893" s="75" t="str">
        <f>IF(ISERROR(FIND('112'!$M$9,G1893,1)),"",IF((AND(FIND('112'!$M$9,G1893,1)&gt;=1,B1893='112'!$K$9,OR($N1893='112'!$I$6,$O1893='112'!$I$6))),"x",""))</f>
        <v/>
      </c>
      <c r="U1893" s="75" t="str">
        <f>IF(ISERROR(FIND('112'!$M$9,G1893,1)),"",IF((AND(LEFT(G1893,2)=LEFT('112'!$M$9,2),B1893&lt;'112'!$K$9,$N1893='112'!$I$6)),"x",""))</f>
        <v/>
      </c>
      <c r="V1893" s="75" t="str">
        <f>IF(ISERROR(FIND('112'!$M$9,G1893,1)),"",IF((AND(RIGHT(G1893,2)=RIGHT('112'!$M$9,2),B1893&lt;'112'!$K$9,$O1893='112'!$I$6)),"x",""))</f>
        <v/>
      </c>
      <c r="W1893" s="75" t="str">
        <f>IF(AND('341-CT'!$H$9=H1893,OR(LEFT(N1893,3)=$W$7,LEFT(O1893,3)=$W$7)),"x","")</f>
        <v/>
      </c>
      <c r="X1893" s="75" t="str">
        <f>IF(OR(TH!N1893=TH!$X$7,O1893=TH!$X$7),"x","")</f>
        <v/>
      </c>
      <c r="Y1893" s="75" t="str">
        <f>IF(AND(OR(N1893="131",O1893="131"),H1893='131-CT'!$H$9),"x","")</f>
        <v/>
      </c>
      <c r="Z1893" s="75"/>
      <c r="AA1893" s="75" t="str">
        <f>IF(AND(MONTH(E1893)='IN-NX'!$J$5,'IN-NX'!$D$7=D1893),"x","")</f>
        <v/>
      </c>
      <c r="AB1893" s="75" t="str">
        <f>IF(AND(OR(LEFT(TH!N1893,2)="15",LEFT(TH!O1893,2)="15"),LEFT(TH!O1893,3)&lt;&gt;"111",'152-CT'!$J$8=TH!F1893),"x","")</f>
        <v/>
      </c>
      <c r="AC1893" s="75" t="str">
        <f>IF(AND(OR(LEFT(TH!N1893,2)="15",LEFT(TH!O1893,2)="15"),TK!$E$7=TH!F1893),"x","")</f>
        <v/>
      </c>
      <c r="AD1893" s="75" t="str">
        <f>IF(AND(N1893="1521",MONTH(C1893)='BK-NL'!$M$11),"x","")</f>
        <v/>
      </c>
      <c r="AF1893" s="1054"/>
    </row>
    <row r="1894" spans="1:32" s="1264" customFormat="1" ht="16.5" customHeight="1">
      <c r="A1894" s="309" t="str">
        <f>IF(B1894&lt;&gt;"",IF(AND(B1894='IN-TC'!$S$4,OR(TH!N1894="1111",TH!O1894="1111")),TH!D1894,""),"")</f>
        <v/>
      </c>
      <c r="B1894" s="1275">
        <f t="shared" si="524"/>
        <v>9</v>
      </c>
      <c r="C1894" s="252">
        <f t="shared" si="522"/>
        <v>42983</v>
      </c>
      <c r="D1894" s="252" t="s">
        <v>2921</v>
      </c>
      <c r="E1894" s="252">
        <v>42983</v>
      </c>
      <c r="F1894" s="1055" t="s">
        <v>2198</v>
      </c>
      <c r="G1894" s="1056" t="s">
        <v>1033</v>
      </c>
      <c r="H1894" s="73" t="s">
        <v>802</v>
      </c>
      <c r="I1894" s="371">
        <v>2</v>
      </c>
      <c r="J1894" s="371">
        <v>207630</v>
      </c>
      <c r="K1894" s="371"/>
      <c r="L1894" s="377"/>
      <c r="M1894" s="933">
        <f t="shared" si="525"/>
        <v>415260</v>
      </c>
      <c r="N1894" s="977" t="s">
        <v>284</v>
      </c>
      <c r="O1894" s="977" t="s">
        <v>274</v>
      </c>
      <c r="P1894" s="75" t="str">
        <f>IF(AND('331-CT'!$E$7=TH!H1894,OR(N1894="331",O1894="331")),"x","")</f>
        <v/>
      </c>
      <c r="Q1894" s="75" t="str">
        <f>IF(AND(B1894='111'!$L$11,OR($N1894=$Q$7,$O1894=$Q$7)),"x","")</f>
        <v/>
      </c>
      <c r="R1894" s="75" t="str">
        <f>IF(AND($N1894=$Q$7,$B1894&lt;'111'!$L$11),"x","")</f>
        <v/>
      </c>
      <c r="S1894" s="75" t="str">
        <f>IF(AND($O1894=$Q$7,$B1894&lt;'111'!$L$11),"x","")</f>
        <v/>
      </c>
      <c r="T1894" s="75" t="str">
        <f>IF(ISERROR(FIND('112'!$M$9,G1894,1)),"",IF((AND(FIND('112'!$M$9,G1894,1)&gt;=1,B1894='112'!$K$9,OR($N1894='112'!$I$6,$O1894='112'!$I$6))),"x",""))</f>
        <v/>
      </c>
      <c r="U1894" s="75" t="str">
        <f>IF(ISERROR(FIND('112'!$M$9,G1894,1)),"",IF((AND(LEFT(G1894,2)=LEFT('112'!$M$9,2),B1894&lt;'112'!$K$9,$N1894='112'!$I$6)),"x",""))</f>
        <v/>
      </c>
      <c r="V1894" s="75" t="str">
        <f>IF(ISERROR(FIND('112'!$M$9,G1894,1)),"",IF((AND(RIGHT(G1894,2)=RIGHT('112'!$M$9,2),B1894&lt;'112'!$K$9,$O1894='112'!$I$6)),"x",""))</f>
        <v/>
      </c>
      <c r="W1894" s="75" t="str">
        <f>IF(AND('341-CT'!$H$9=H1894,OR(LEFT(N1894,3)=$W$7,LEFT(O1894,3)=$W$7)),"x","")</f>
        <v/>
      </c>
      <c r="X1894" s="75" t="str">
        <f>IF(OR(TH!N1894=TH!$X$7,O1894=TH!$X$7),"x","")</f>
        <v/>
      </c>
      <c r="Y1894" s="75" t="str">
        <f>IF(AND(OR(N1894="131",O1894="131"),H1894='131-CT'!$H$9),"x","")</f>
        <v/>
      </c>
      <c r="Z1894" s="75"/>
      <c r="AA1894" s="75" t="str">
        <f>IF(AND(MONTH(E1894)='IN-NX'!$J$5,'IN-NX'!$D$7=D1894),"x","")</f>
        <v/>
      </c>
      <c r="AB1894" s="75" t="str">
        <f>IF(AND(OR(LEFT(TH!N1894,2)="15",LEFT(TH!O1894,2)="15"),LEFT(TH!O1894,3)&lt;&gt;"111",'152-CT'!$J$8=TH!F1894),"x","")</f>
        <v/>
      </c>
      <c r="AC1894" s="75" t="str">
        <f>IF(AND(OR(LEFT(TH!N1894,2)="15",LEFT(TH!O1894,2)="15"),TK!$E$7=TH!F1894),"x","")</f>
        <v/>
      </c>
      <c r="AD1894" s="75" t="str">
        <f>IF(AND(N1894="1521",MONTH(C1894)='BK-NL'!$M$11),"x","")</f>
        <v/>
      </c>
      <c r="AF1894" s="1054"/>
    </row>
    <row r="1895" spans="1:32" s="1053" customFormat="1" ht="16.5" customHeight="1">
      <c r="A1895" s="309" t="str">
        <f>IF(B1895&lt;&gt;"",IF(AND(B1895='IN-TC'!$S$4,OR(TH!N1895="1111",TH!O1895="1111")),TH!D1895,""),"")</f>
        <v/>
      </c>
      <c r="B1895" s="1242">
        <f t="shared" ref="B1895:B1917" si="526">IF(C1895&lt;&gt;"",MONTH(C1895),"")</f>
        <v>9</v>
      </c>
      <c r="C1895" s="292">
        <v>42981</v>
      </c>
      <c r="D1895" s="292" t="s">
        <v>829</v>
      </c>
      <c r="E1895" s="292">
        <f t="shared" ref="E1895:E1917" si="527">C1895</f>
        <v>42981</v>
      </c>
      <c r="F1895" s="67" t="s">
        <v>795</v>
      </c>
      <c r="G1895" s="925" t="s">
        <v>2298</v>
      </c>
      <c r="H1895" s="311" t="s">
        <v>1684</v>
      </c>
      <c r="I1895" s="373">
        <v>3045</v>
      </c>
      <c r="J1895" s="379">
        <v>5900</v>
      </c>
      <c r="K1895" s="373"/>
      <c r="L1895" s="379"/>
      <c r="M1895" s="927">
        <f>I1895*J1895</f>
        <v>17965500</v>
      </c>
      <c r="N1895" s="295" t="s">
        <v>266</v>
      </c>
      <c r="O1895" s="295" t="s">
        <v>8</v>
      </c>
      <c r="P1895" s="75" t="str">
        <f>IF(AND('331-CT'!$E$7=TH!H1895,OR(N1895="331",O1895="331")),"x","")</f>
        <v/>
      </c>
      <c r="Q1895" s="75" t="str">
        <f>IF(AND(B1895='111'!$L$11,OR($N1895=$Q$7,$O1895=$Q$7)),"x","")</f>
        <v/>
      </c>
      <c r="R1895" s="75" t="str">
        <f>IF(AND($N1895=$Q$7,$B1895&lt;'111'!$L$11),"x","")</f>
        <v/>
      </c>
      <c r="S1895" s="75" t="str">
        <f>IF(AND($O1895=$Q$7,$B1895&lt;'111'!$L$11),"x","")</f>
        <v/>
      </c>
      <c r="T1895" s="75" t="str">
        <f>IF(ISERROR(FIND('112'!$M$9,G1895,1)),"",IF((AND(FIND('112'!$M$9,G1895,1)&gt;=1,B1895='112'!$K$9,OR($N1895='112'!$I$6,$O1895='112'!$I$6))),"x",""))</f>
        <v/>
      </c>
      <c r="U1895" s="75" t="str">
        <f>IF(ISERROR(FIND('112'!$M$9,G1895,1)),"",IF((AND(LEFT(G1895,2)=LEFT('112'!$M$9,2),B1895&lt;'112'!$K$9,$N1895='112'!$I$6)),"x",""))</f>
        <v/>
      </c>
      <c r="V1895" s="75" t="str">
        <f>IF(ISERROR(FIND('112'!$M$9,G1895,1)),"",IF((AND(RIGHT(G1895,2)=RIGHT('112'!$M$9,2),B1895&lt;'112'!$K$9,$O1895='112'!$I$6)),"x",""))</f>
        <v/>
      </c>
      <c r="W1895" s="75" t="str">
        <f>IF(AND('341-CT'!$H$9=H1895,OR(LEFT(N1895,3)=$W$7,LEFT(O1895,3)=$W$7)),"x","")</f>
        <v/>
      </c>
      <c r="X1895" s="75" t="str">
        <f>IF(OR(TH!N1895=TH!$X$7,O1895=TH!$X$7),"x","")</f>
        <v/>
      </c>
      <c r="Y1895" s="75" t="str">
        <f>IF(AND(OR(N1895="131",O1895="131"),H1895='131-CT'!$H$9),"x","")</f>
        <v/>
      </c>
      <c r="Z1895" s="75"/>
      <c r="AA1895" s="75" t="str">
        <f>IF(AND(MONTH(E1895)='IN-NX'!$J$5,'IN-NX'!$D$7=D1895),"x","")</f>
        <v/>
      </c>
      <c r="AB1895" s="75" t="str">
        <f>IF(AND(OR(LEFT(TH!N1895,2)="15",LEFT(TH!O1895,2)="15"),LEFT(TH!O1895,3)&lt;&gt;"111",'152-CT'!$J$8=TH!F1895),"x","")</f>
        <v/>
      </c>
      <c r="AC1895" s="75" t="str">
        <f>IF(AND(OR(LEFT(TH!N1895,2)="15",LEFT(TH!O1895,2)="15"),TK!$E$7=TH!F1895),"x","")</f>
        <v/>
      </c>
      <c r="AD1895" s="75" t="str">
        <f>IF(AND(N1895="1521",MONTH(C1895)='BK-NL'!$M$11),"x","")</f>
        <v/>
      </c>
      <c r="AE1895" s="1053">
        <v>10</v>
      </c>
    </row>
    <row r="1896" spans="1:32" s="1053" customFormat="1" ht="16.5" customHeight="1">
      <c r="A1896" s="309" t="str">
        <f>IF(B1896&lt;&gt;"",IF(AND(B1896='IN-TC'!$S$4,OR(TH!N1896="1111",TH!O1896="1111")),TH!D1896,""),"")</f>
        <v/>
      </c>
      <c r="B1896" s="1242">
        <f t="shared" si="526"/>
        <v>9</v>
      </c>
      <c r="C1896" s="292">
        <v>42981</v>
      </c>
      <c r="D1896" s="292" t="s">
        <v>829</v>
      </c>
      <c r="E1896" s="292">
        <f t="shared" si="527"/>
        <v>42981</v>
      </c>
      <c r="F1896" s="67" t="s">
        <v>1143</v>
      </c>
      <c r="G1896" s="925" t="s">
        <v>2298</v>
      </c>
      <c r="H1896" s="311" t="s">
        <v>1684</v>
      </c>
      <c r="I1896" s="373"/>
      <c r="J1896" s="379"/>
      <c r="K1896" s="373"/>
      <c r="L1896" s="379"/>
      <c r="M1896" s="927">
        <v>1796550</v>
      </c>
      <c r="N1896" s="295" t="s">
        <v>9</v>
      </c>
      <c r="O1896" s="295" t="s">
        <v>8</v>
      </c>
      <c r="P1896" s="75" t="str">
        <f>IF(AND('331-CT'!$E$7=TH!H1896,OR(N1896="331",O1896="331")),"x","")</f>
        <v/>
      </c>
      <c r="Q1896" s="75" t="str">
        <f>IF(AND(B1896='111'!$L$11,OR($N1896=$Q$7,$O1896=$Q$7)),"x","")</f>
        <v/>
      </c>
      <c r="R1896" s="75" t="str">
        <f>IF(AND($N1896=$Q$7,$B1896&lt;'111'!$L$11),"x","")</f>
        <v/>
      </c>
      <c r="S1896" s="75" t="str">
        <f>IF(AND($O1896=$Q$7,$B1896&lt;'111'!$L$11),"x","")</f>
        <v/>
      </c>
      <c r="T1896" s="75" t="str">
        <f>IF(ISERROR(FIND('112'!$M$9,G1896,1)),"",IF((AND(FIND('112'!$M$9,G1896,1)&gt;=1,B1896='112'!$K$9,OR($N1896='112'!$I$6,$O1896='112'!$I$6))),"x",""))</f>
        <v/>
      </c>
      <c r="U1896" s="75" t="str">
        <f>IF(ISERROR(FIND('112'!$M$9,G1896,1)),"",IF((AND(LEFT(G1896,2)=LEFT('112'!$M$9,2),B1896&lt;'112'!$K$9,$N1896='112'!$I$6)),"x",""))</f>
        <v/>
      </c>
      <c r="V1896" s="75" t="str">
        <f>IF(ISERROR(FIND('112'!$M$9,G1896,1)),"",IF((AND(RIGHT(G1896,2)=RIGHT('112'!$M$9,2),B1896&lt;'112'!$K$9,$O1896='112'!$I$6)),"x",""))</f>
        <v/>
      </c>
      <c r="W1896" s="75" t="str">
        <f>IF(AND('341-CT'!$H$9=H1896,OR(LEFT(N1896,3)=$W$7,LEFT(O1896,3)=$W$7)),"x","")</f>
        <v/>
      </c>
      <c r="X1896" s="75" t="str">
        <f>IF(OR(TH!N1896=TH!$X$7,O1896=TH!$X$7),"x","")</f>
        <v/>
      </c>
      <c r="Y1896" s="75" t="str">
        <f>IF(AND(OR(N1896="131",O1896="131"),H1896='131-CT'!$H$9),"x","")</f>
        <v/>
      </c>
      <c r="Z1896" s="75"/>
      <c r="AA1896" s="75" t="str">
        <f>IF(AND(MONTH(E1896)='IN-NX'!$J$5,'IN-NX'!$D$7=D1896),"x","")</f>
        <v/>
      </c>
      <c r="AB1896" s="75" t="str">
        <f>IF(AND(OR(LEFT(TH!N1896,2)="15",LEFT(TH!O1896,2)="15"),LEFT(TH!O1896,3)&lt;&gt;"111",'152-CT'!$J$8=TH!F1896),"x","")</f>
        <v/>
      </c>
      <c r="AC1896" s="75" t="str">
        <f>IF(AND(OR(LEFT(TH!N1896,2)="15",LEFT(TH!O1896,2)="15"),TK!$E$7=TH!F1896),"x","")</f>
        <v/>
      </c>
      <c r="AD1896" s="75" t="str">
        <f>IF(AND(N1896="1521",MONTH(C1896)='BK-NL'!$M$11),"x","")</f>
        <v/>
      </c>
      <c r="AE1896" s="1053">
        <v>10</v>
      </c>
    </row>
    <row r="1897" spans="1:32" s="1053" customFormat="1" ht="16.5" customHeight="1">
      <c r="A1897" s="309" t="str">
        <f>IF(B1897&lt;&gt;"",IF(AND(B1897='IN-TC'!$S$4,OR(TH!N1897="1111",TH!O1897="1111")),TH!D1897,""),"")</f>
        <v/>
      </c>
      <c r="B1897" s="1242">
        <f t="shared" si="526"/>
        <v>9</v>
      </c>
      <c r="C1897" s="292">
        <v>42985</v>
      </c>
      <c r="D1897" s="292" t="s">
        <v>840</v>
      </c>
      <c r="E1897" s="292">
        <f t="shared" si="527"/>
        <v>42985</v>
      </c>
      <c r="F1897" s="67" t="s">
        <v>795</v>
      </c>
      <c r="G1897" s="925" t="s">
        <v>2147</v>
      </c>
      <c r="H1897" s="311" t="s">
        <v>1684</v>
      </c>
      <c r="I1897" s="373">
        <v>3045</v>
      </c>
      <c r="J1897" s="379">
        <v>5900</v>
      </c>
      <c r="K1897" s="373"/>
      <c r="L1897" s="379"/>
      <c r="M1897" s="927">
        <f>I1897*J1897</f>
        <v>17965500</v>
      </c>
      <c r="N1897" s="295" t="s">
        <v>266</v>
      </c>
      <c r="O1897" s="295" t="s">
        <v>8</v>
      </c>
      <c r="P1897" s="75" t="str">
        <f>IF(AND('331-CT'!$E$7=TH!H1897,OR(N1897="331",O1897="331")),"x","")</f>
        <v/>
      </c>
      <c r="Q1897" s="75" t="str">
        <f>IF(AND(B1897='111'!$L$11,OR($N1897=$Q$7,$O1897=$Q$7)),"x","")</f>
        <v/>
      </c>
      <c r="R1897" s="75" t="str">
        <f>IF(AND($N1897=$Q$7,$B1897&lt;'111'!$L$11),"x","")</f>
        <v/>
      </c>
      <c r="S1897" s="75" t="str">
        <f>IF(AND($O1897=$Q$7,$B1897&lt;'111'!$L$11),"x","")</f>
        <v/>
      </c>
      <c r="T1897" s="75" t="str">
        <f>IF(ISERROR(FIND('112'!$M$9,G1897,1)),"",IF((AND(FIND('112'!$M$9,G1897,1)&gt;=1,B1897='112'!$K$9,OR($N1897='112'!$I$6,$O1897='112'!$I$6))),"x",""))</f>
        <v/>
      </c>
      <c r="U1897" s="75" t="str">
        <f>IF(ISERROR(FIND('112'!$M$9,G1897,1)),"",IF((AND(LEFT(G1897,2)=LEFT('112'!$M$9,2),B1897&lt;'112'!$K$9,$N1897='112'!$I$6)),"x",""))</f>
        <v/>
      </c>
      <c r="V1897" s="75" t="str">
        <f>IF(ISERROR(FIND('112'!$M$9,G1897,1)),"",IF((AND(RIGHT(G1897,2)=RIGHT('112'!$M$9,2),B1897&lt;'112'!$K$9,$O1897='112'!$I$6)),"x",""))</f>
        <v/>
      </c>
      <c r="W1897" s="75" t="str">
        <f>IF(AND('341-CT'!$H$9=H1897,OR(LEFT(N1897,3)=$W$7,LEFT(O1897,3)=$W$7)),"x","")</f>
        <v/>
      </c>
      <c r="X1897" s="75" t="str">
        <f>IF(OR(TH!N1897=TH!$X$7,O1897=TH!$X$7),"x","")</f>
        <v/>
      </c>
      <c r="Y1897" s="75" t="str">
        <f>IF(AND(OR(N1897="131",O1897="131"),H1897='131-CT'!$H$9),"x","")</f>
        <v/>
      </c>
      <c r="Z1897" s="75"/>
      <c r="AA1897" s="75" t="str">
        <f>IF(AND(MONTH(E1897)='IN-NX'!$J$5,'IN-NX'!$D$7=D1897),"x","")</f>
        <v/>
      </c>
      <c r="AB1897" s="75" t="str">
        <f>IF(AND(OR(LEFT(TH!N1897,2)="15",LEFT(TH!O1897,2)="15"),LEFT(TH!O1897,3)&lt;&gt;"111",'152-CT'!$J$8=TH!F1897),"x","")</f>
        <v/>
      </c>
      <c r="AC1897" s="75" t="str">
        <f>IF(AND(OR(LEFT(TH!N1897,2)="15",LEFT(TH!O1897,2)="15"),TK!$E$7=TH!F1897),"x","")</f>
        <v/>
      </c>
      <c r="AD1897" s="75" t="str">
        <f>IF(AND(N1897="1521",MONTH(C1897)='BK-NL'!$M$11),"x","")</f>
        <v/>
      </c>
      <c r="AE1897" s="1053">
        <v>9</v>
      </c>
    </row>
    <row r="1898" spans="1:32" s="1053" customFormat="1" ht="16.5" customHeight="1">
      <c r="A1898" s="309" t="str">
        <f>IF(B1898&lt;&gt;"",IF(AND(B1898='IN-TC'!$S$4,OR(TH!N1898="1111",TH!O1898="1111")),TH!D1898,""),"")</f>
        <v/>
      </c>
      <c r="B1898" s="1242">
        <f t="shared" si="526"/>
        <v>9</v>
      </c>
      <c r="C1898" s="292">
        <v>42985</v>
      </c>
      <c r="D1898" s="292" t="s">
        <v>840</v>
      </c>
      <c r="E1898" s="292">
        <f t="shared" si="527"/>
        <v>42985</v>
      </c>
      <c r="F1898" s="67" t="s">
        <v>1143</v>
      </c>
      <c r="G1898" s="925" t="s">
        <v>2147</v>
      </c>
      <c r="H1898" s="311" t="s">
        <v>1684</v>
      </c>
      <c r="I1898" s="373"/>
      <c r="J1898" s="379"/>
      <c r="K1898" s="373"/>
      <c r="L1898" s="379"/>
      <c r="M1898" s="927">
        <v>1796550</v>
      </c>
      <c r="N1898" s="295" t="s">
        <v>9</v>
      </c>
      <c r="O1898" s="295" t="s">
        <v>8</v>
      </c>
      <c r="P1898" s="75" t="str">
        <f>IF(AND('331-CT'!$E$7=TH!H1898,OR(N1898="331",O1898="331")),"x","")</f>
        <v/>
      </c>
      <c r="Q1898" s="75" t="str">
        <f>IF(AND(B1898='111'!$L$11,OR($N1898=$Q$7,$O1898=$Q$7)),"x","")</f>
        <v/>
      </c>
      <c r="R1898" s="75" t="str">
        <f>IF(AND($N1898=$Q$7,$B1898&lt;'111'!$L$11),"x","")</f>
        <v/>
      </c>
      <c r="S1898" s="75" t="str">
        <f>IF(AND($O1898=$Q$7,$B1898&lt;'111'!$L$11),"x","")</f>
        <v/>
      </c>
      <c r="T1898" s="75" t="str">
        <f>IF(ISERROR(FIND('112'!$M$9,G1898,1)),"",IF((AND(FIND('112'!$M$9,G1898,1)&gt;=1,B1898='112'!$K$9,OR($N1898='112'!$I$6,$O1898='112'!$I$6))),"x",""))</f>
        <v/>
      </c>
      <c r="U1898" s="75" t="str">
        <f>IF(ISERROR(FIND('112'!$M$9,G1898,1)),"",IF((AND(LEFT(G1898,2)=LEFT('112'!$M$9,2),B1898&lt;'112'!$K$9,$N1898='112'!$I$6)),"x",""))</f>
        <v/>
      </c>
      <c r="V1898" s="75" t="str">
        <f>IF(ISERROR(FIND('112'!$M$9,G1898,1)),"",IF((AND(RIGHT(G1898,2)=RIGHT('112'!$M$9,2),B1898&lt;'112'!$K$9,$O1898='112'!$I$6)),"x",""))</f>
        <v/>
      </c>
      <c r="W1898" s="75" t="str">
        <f>IF(AND('341-CT'!$H$9=H1898,OR(LEFT(N1898,3)=$W$7,LEFT(O1898,3)=$W$7)),"x","")</f>
        <v/>
      </c>
      <c r="X1898" s="75" t="str">
        <f>IF(OR(TH!N1898=TH!$X$7,O1898=TH!$X$7),"x","")</f>
        <v/>
      </c>
      <c r="Y1898" s="75" t="str">
        <f>IF(AND(OR(N1898="131",O1898="131"),H1898='131-CT'!$H$9),"x","")</f>
        <v/>
      </c>
      <c r="Z1898" s="75"/>
      <c r="AA1898" s="75" t="str">
        <f>IF(AND(MONTH(E1898)='IN-NX'!$J$5,'IN-NX'!$D$7=D1898),"x","")</f>
        <v/>
      </c>
      <c r="AB1898" s="75" t="str">
        <f>IF(AND(OR(LEFT(TH!N1898,2)="15",LEFT(TH!O1898,2)="15"),LEFT(TH!O1898,3)&lt;&gt;"111",'152-CT'!$J$8=TH!F1898),"x","")</f>
        <v/>
      </c>
      <c r="AC1898" s="75" t="str">
        <f>IF(AND(OR(LEFT(TH!N1898,2)="15",LEFT(TH!O1898,2)="15"),TK!$E$7=TH!F1898),"x","")</f>
        <v/>
      </c>
      <c r="AD1898" s="75" t="str">
        <f>IF(AND(N1898="1521",MONTH(C1898)='BK-NL'!$M$11),"x","")</f>
        <v/>
      </c>
      <c r="AE1898" s="1053">
        <v>9</v>
      </c>
    </row>
    <row r="1899" spans="1:32" s="1053" customFormat="1" ht="16.5" customHeight="1">
      <c r="A1899" s="309" t="str">
        <f>IF(B1899&lt;&gt;"",IF(AND(B1899='IN-TC'!$S$4,OR(TH!N1899="1111",TH!O1899="1111")),TH!D1899,""),"")</f>
        <v/>
      </c>
      <c r="B1899" s="1242">
        <f t="shared" si="526"/>
        <v>9</v>
      </c>
      <c r="C1899" s="292">
        <v>42989</v>
      </c>
      <c r="D1899" s="292" t="s">
        <v>847</v>
      </c>
      <c r="E1899" s="292">
        <f t="shared" si="527"/>
        <v>42989</v>
      </c>
      <c r="F1899" s="67" t="s">
        <v>795</v>
      </c>
      <c r="G1899" s="925" t="s">
        <v>2148</v>
      </c>
      <c r="H1899" s="311" t="s">
        <v>1684</v>
      </c>
      <c r="I1899" s="373">
        <v>3045</v>
      </c>
      <c r="J1899" s="379">
        <v>5900</v>
      </c>
      <c r="K1899" s="373"/>
      <c r="L1899" s="379"/>
      <c r="M1899" s="927">
        <f>I1899*J1899</f>
        <v>17965500</v>
      </c>
      <c r="N1899" s="295" t="s">
        <v>266</v>
      </c>
      <c r="O1899" s="295" t="s">
        <v>8</v>
      </c>
      <c r="P1899" s="75" t="str">
        <f>IF(AND('331-CT'!$E$7=TH!H1899,OR(N1899="331",O1899="331")),"x","")</f>
        <v/>
      </c>
      <c r="Q1899" s="75" t="str">
        <f>IF(AND(B1899='111'!$L$11,OR($N1899=$Q$7,$O1899=$Q$7)),"x","")</f>
        <v/>
      </c>
      <c r="R1899" s="75" t="str">
        <f>IF(AND($N1899=$Q$7,$B1899&lt;'111'!$L$11),"x","")</f>
        <v/>
      </c>
      <c r="S1899" s="75" t="str">
        <f>IF(AND($O1899=$Q$7,$B1899&lt;'111'!$L$11),"x","")</f>
        <v/>
      </c>
      <c r="T1899" s="75" t="str">
        <f>IF(ISERROR(FIND('112'!$M$9,G1899,1)),"",IF((AND(FIND('112'!$M$9,G1899,1)&gt;=1,B1899='112'!$K$9,OR($N1899='112'!$I$6,$O1899='112'!$I$6))),"x",""))</f>
        <v/>
      </c>
      <c r="U1899" s="75" t="str">
        <f>IF(ISERROR(FIND('112'!$M$9,G1899,1)),"",IF((AND(LEFT(G1899,2)=LEFT('112'!$M$9,2),B1899&lt;'112'!$K$9,$N1899='112'!$I$6)),"x",""))</f>
        <v/>
      </c>
      <c r="V1899" s="75" t="str">
        <f>IF(ISERROR(FIND('112'!$M$9,G1899,1)),"",IF((AND(RIGHT(G1899,2)=RIGHT('112'!$M$9,2),B1899&lt;'112'!$K$9,$O1899='112'!$I$6)),"x",""))</f>
        <v/>
      </c>
      <c r="W1899" s="75" t="str">
        <f>IF(AND('341-CT'!$H$9=H1899,OR(LEFT(N1899,3)=$W$7,LEFT(O1899,3)=$W$7)),"x","")</f>
        <v/>
      </c>
      <c r="X1899" s="75" t="str">
        <f>IF(OR(TH!N1899=TH!$X$7,O1899=TH!$X$7),"x","")</f>
        <v/>
      </c>
      <c r="Y1899" s="75" t="str">
        <f>IF(AND(OR(N1899="131",O1899="131"),H1899='131-CT'!$H$9),"x","")</f>
        <v/>
      </c>
      <c r="Z1899" s="75"/>
      <c r="AA1899" s="75" t="str">
        <f>IF(AND(MONTH(E1899)='IN-NX'!$J$5,'IN-NX'!$D$7=D1899),"x","")</f>
        <v/>
      </c>
      <c r="AB1899" s="75" t="str">
        <f>IF(AND(OR(LEFT(TH!N1899,2)="15",LEFT(TH!O1899,2)="15"),LEFT(TH!O1899,3)&lt;&gt;"111",'152-CT'!$J$8=TH!F1899),"x","")</f>
        <v/>
      </c>
      <c r="AC1899" s="75" t="str">
        <f>IF(AND(OR(LEFT(TH!N1899,2)="15",LEFT(TH!O1899,2)="15"),TK!$E$7=TH!F1899),"x","")</f>
        <v/>
      </c>
      <c r="AD1899" s="75" t="str">
        <f>IF(AND(N1899="1521",MONTH(C1899)='BK-NL'!$M$11),"x","")</f>
        <v/>
      </c>
      <c r="AE1899" s="1053">
        <v>9</v>
      </c>
    </row>
    <row r="1900" spans="1:32" s="1053" customFormat="1" ht="16.5" customHeight="1">
      <c r="A1900" s="309" t="str">
        <f>IF(B1900&lt;&gt;"",IF(AND(B1900='IN-TC'!$S$4,OR(TH!N1900="1111",TH!O1900="1111")),TH!D1900,""),"")</f>
        <v/>
      </c>
      <c r="B1900" s="1242">
        <f t="shared" si="526"/>
        <v>9</v>
      </c>
      <c r="C1900" s="292">
        <v>42989</v>
      </c>
      <c r="D1900" s="292" t="s">
        <v>847</v>
      </c>
      <c r="E1900" s="292">
        <f t="shared" si="527"/>
        <v>42989</v>
      </c>
      <c r="F1900" s="67" t="s">
        <v>1143</v>
      </c>
      <c r="G1900" s="925" t="s">
        <v>2148</v>
      </c>
      <c r="H1900" s="311" t="s">
        <v>1684</v>
      </c>
      <c r="I1900" s="373"/>
      <c r="J1900" s="379"/>
      <c r="K1900" s="373"/>
      <c r="L1900" s="379"/>
      <c r="M1900" s="927">
        <v>1796550</v>
      </c>
      <c r="N1900" s="295" t="s">
        <v>9</v>
      </c>
      <c r="O1900" s="295" t="s">
        <v>8</v>
      </c>
      <c r="P1900" s="75" t="str">
        <f>IF(AND('331-CT'!$E$7=TH!H1900,OR(N1900="331",O1900="331")),"x","")</f>
        <v/>
      </c>
      <c r="Q1900" s="75" t="str">
        <f>IF(AND(B1900='111'!$L$11,OR($N1900=$Q$7,$O1900=$Q$7)),"x","")</f>
        <v/>
      </c>
      <c r="R1900" s="75" t="str">
        <f>IF(AND($N1900=$Q$7,$B1900&lt;'111'!$L$11),"x","")</f>
        <v/>
      </c>
      <c r="S1900" s="75" t="str">
        <f>IF(AND($O1900=$Q$7,$B1900&lt;'111'!$L$11),"x","")</f>
        <v/>
      </c>
      <c r="T1900" s="75" t="str">
        <f>IF(ISERROR(FIND('112'!$M$9,G1900,1)),"",IF((AND(FIND('112'!$M$9,G1900,1)&gt;=1,B1900='112'!$K$9,OR($N1900='112'!$I$6,$O1900='112'!$I$6))),"x",""))</f>
        <v/>
      </c>
      <c r="U1900" s="75" t="str">
        <f>IF(ISERROR(FIND('112'!$M$9,G1900,1)),"",IF((AND(LEFT(G1900,2)=LEFT('112'!$M$9,2),B1900&lt;'112'!$K$9,$N1900='112'!$I$6)),"x",""))</f>
        <v/>
      </c>
      <c r="V1900" s="75" t="str">
        <f>IF(ISERROR(FIND('112'!$M$9,G1900,1)),"",IF((AND(RIGHT(G1900,2)=RIGHT('112'!$M$9,2),B1900&lt;'112'!$K$9,$O1900='112'!$I$6)),"x",""))</f>
        <v/>
      </c>
      <c r="W1900" s="75" t="str">
        <f>IF(AND('341-CT'!$H$9=H1900,OR(LEFT(N1900,3)=$W$7,LEFT(O1900,3)=$W$7)),"x","")</f>
        <v/>
      </c>
      <c r="X1900" s="75" t="str">
        <f>IF(OR(TH!N1900=TH!$X$7,O1900=TH!$X$7),"x","")</f>
        <v/>
      </c>
      <c r="Y1900" s="75" t="str">
        <f>IF(AND(OR(N1900="131",O1900="131"),H1900='131-CT'!$H$9),"x","")</f>
        <v/>
      </c>
      <c r="Z1900" s="75"/>
      <c r="AA1900" s="75" t="str">
        <f>IF(AND(MONTH(E1900)='IN-NX'!$J$5,'IN-NX'!$D$7=D1900),"x","")</f>
        <v/>
      </c>
      <c r="AB1900" s="75" t="str">
        <f>IF(AND(OR(LEFT(TH!N1900,2)="15",LEFT(TH!O1900,2)="15"),LEFT(TH!O1900,3)&lt;&gt;"111",'152-CT'!$J$8=TH!F1900),"x","")</f>
        <v/>
      </c>
      <c r="AC1900" s="75" t="str">
        <f>IF(AND(OR(LEFT(TH!N1900,2)="15",LEFT(TH!O1900,2)="15"),TK!$E$7=TH!F1900),"x","")</f>
        <v/>
      </c>
      <c r="AD1900" s="75" t="str">
        <f>IF(AND(N1900="1521",MONTH(C1900)='BK-NL'!$M$11),"x","")</f>
        <v/>
      </c>
      <c r="AE1900" s="1053">
        <v>9</v>
      </c>
    </row>
    <row r="1901" spans="1:32" s="1053" customFormat="1" ht="16.5" customHeight="1">
      <c r="A1901" s="309" t="str">
        <f>IF(B1901&lt;&gt;"",IF(AND(B1901='IN-TC'!$S$4,OR(TH!N1901="1111",TH!O1901="1111")),TH!D1901,""),"")</f>
        <v/>
      </c>
      <c r="B1901" s="1242">
        <f t="shared" si="526"/>
        <v>9</v>
      </c>
      <c r="C1901" s="292">
        <v>42991</v>
      </c>
      <c r="D1901" s="292" t="s">
        <v>867</v>
      </c>
      <c r="E1901" s="292">
        <f t="shared" si="527"/>
        <v>42991</v>
      </c>
      <c r="F1901" s="432" t="s">
        <v>2173</v>
      </c>
      <c r="G1901" s="925" t="s">
        <v>2172</v>
      </c>
      <c r="H1901" s="311" t="s">
        <v>558</v>
      </c>
      <c r="I1901" s="373">
        <v>21280</v>
      </c>
      <c r="J1901" s="379">
        <v>200</v>
      </c>
      <c r="K1901" s="373"/>
      <c r="L1901" s="379"/>
      <c r="M1901" s="927">
        <f>I1901*J1901</f>
        <v>4256000</v>
      </c>
      <c r="N1901" s="295" t="s">
        <v>266</v>
      </c>
      <c r="O1901" s="295" t="s">
        <v>8</v>
      </c>
      <c r="P1901" s="75" t="str">
        <f>IF(AND('331-CT'!$E$7=TH!H1901,OR(N1901="331",O1901="331")),"x","")</f>
        <v/>
      </c>
      <c r="Q1901" s="75" t="str">
        <f>IF(AND(B1901='111'!$L$11,OR($N1901=$Q$7,$O1901=$Q$7)),"x","")</f>
        <v/>
      </c>
      <c r="R1901" s="75" t="str">
        <f>IF(AND($N1901=$Q$7,$B1901&lt;'111'!$L$11),"x","")</f>
        <v/>
      </c>
      <c r="S1901" s="75" t="str">
        <f>IF(AND($O1901=$Q$7,$B1901&lt;'111'!$L$11),"x","")</f>
        <v/>
      </c>
      <c r="T1901" s="75" t="str">
        <f>IF(ISERROR(FIND('112'!$M$9,G1901,1)),"",IF((AND(FIND('112'!$M$9,G1901,1)&gt;=1,B1901='112'!$K$9,OR($N1901='112'!$I$6,$O1901='112'!$I$6))),"x",""))</f>
        <v/>
      </c>
      <c r="U1901" s="75" t="str">
        <f>IF(ISERROR(FIND('112'!$M$9,G1901,1)),"",IF((AND(LEFT(G1901,2)=LEFT('112'!$M$9,2),B1901&lt;'112'!$K$9,$N1901='112'!$I$6)),"x",""))</f>
        <v/>
      </c>
      <c r="V1901" s="75" t="str">
        <f>IF(ISERROR(FIND('112'!$M$9,G1901,1)),"",IF((AND(RIGHT(G1901,2)=RIGHT('112'!$M$9,2),B1901&lt;'112'!$K$9,$O1901='112'!$I$6)),"x",""))</f>
        <v/>
      </c>
      <c r="W1901" s="75" t="str">
        <f>IF(AND('341-CT'!$H$9=H1901,OR(LEFT(N1901,3)=$W$7,LEFT(O1901,3)=$W$7)),"x","")</f>
        <v/>
      </c>
      <c r="X1901" s="75" t="str">
        <f>IF(OR(TH!N1901=TH!$X$7,O1901=TH!$X$7),"x","")</f>
        <v/>
      </c>
      <c r="Y1901" s="75" t="str">
        <f>IF(AND(OR(N1901="131",O1901="131"),H1901='131-CT'!$H$9),"x","")</f>
        <v/>
      </c>
      <c r="Z1901" s="75"/>
      <c r="AA1901" s="75" t="str">
        <f>IF(AND(MONTH(E1901)='IN-NX'!$J$5,'IN-NX'!$D$7=D1901),"x","")</f>
        <v/>
      </c>
      <c r="AB1901" s="75" t="str">
        <f>IF(AND(OR(LEFT(TH!N1901,2)="15",LEFT(TH!O1901,2)="15"),LEFT(TH!O1901,3)&lt;&gt;"111",'152-CT'!$J$8=TH!F1901),"x","")</f>
        <v/>
      </c>
      <c r="AC1901" s="75" t="str">
        <f>IF(AND(OR(LEFT(TH!N1901,2)="15",LEFT(TH!O1901,2)="15"),TK!$E$7=TH!F1901),"x","")</f>
        <v/>
      </c>
      <c r="AD1901" s="75" t="str">
        <f>IF(AND(N1901="1521",MONTH(C1901)='BK-NL'!$M$11),"x","")</f>
        <v/>
      </c>
      <c r="AE1901" s="1053">
        <v>9</v>
      </c>
    </row>
    <row r="1902" spans="1:32" s="1053" customFormat="1" ht="16.5" customHeight="1">
      <c r="A1902" s="309" t="str">
        <f>IF(B1902&lt;&gt;"",IF(AND(B1902='IN-TC'!$S$4,OR(TH!N1902="1111",TH!O1902="1111")),TH!D1902,""),"")</f>
        <v/>
      </c>
      <c r="B1902" s="1242">
        <f t="shared" si="526"/>
        <v>9</v>
      </c>
      <c r="C1902" s="292">
        <v>42991</v>
      </c>
      <c r="D1902" s="292" t="s">
        <v>867</v>
      </c>
      <c r="E1902" s="292">
        <f t="shared" si="527"/>
        <v>42991</v>
      </c>
      <c r="F1902" s="432" t="s">
        <v>375</v>
      </c>
      <c r="G1902" s="925" t="s">
        <v>2172</v>
      </c>
      <c r="H1902" s="311" t="s">
        <v>558</v>
      </c>
      <c r="I1902" s="373">
        <v>424</v>
      </c>
      <c r="J1902" s="379">
        <v>20300</v>
      </c>
      <c r="K1902" s="373"/>
      <c r="L1902" s="379"/>
      <c r="M1902" s="927">
        <f>I1902*J1902</f>
        <v>8607200</v>
      </c>
      <c r="N1902" s="295" t="s">
        <v>266</v>
      </c>
      <c r="O1902" s="295" t="s">
        <v>8</v>
      </c>
      <c r="P1902" s="75" t="str">
        <f>IF(AND('331-CT'!$E$7=TH!H1902,OR(N1902="331",O1902="331")),"x","")</f>
        <v/>
      </c>
      <c r="Q1902" s="75" t="str">
        <f>IF(AND(B1902='111'!$L$11,OR($N1902=$Q$7,$O1902=$Q$7)),"x","")</f>
        <v/>
      </c>
      <c r="R1902" s="75" t="str">
        <f>IF(AND($N1902=$Q$7,$B1902&lt;'111'!$L$11),"x","")</f>
        <v/>
      </c>
      <c r="S1902" s="75" t="str">
        <f>IF(AND($O1902=$Q$7,$B1902&lt;'111'!$L$11),"x","")</f>
        <v/>
      </c>
      <c r="T1902" s="75" t="str">
        <f>IF(ISERROR(FIND('112'!$M$9,G1902,1)),"",IF((AND(FIND('112'!$M$9,G1902,1)&gt;=1,B1902='112'!$K$9,OR($N1902='112'!$I$6,$O1902='112'!$I$6))),"x",""))</f>
        <v/>
      </c>
      <c r="U1902" s="75" t="str">
        <f>IF(ISERROR(FIND('112'!$M$9,G1902,1)),"",IF((AND(LEFT(G1902,2)=LEFT('112'!$M$9,2),B1902&lt;'112'!$K$9,$N1902='112'!$I$6)),"x",""))</f>
        <v/>
      </c>
      <c r="V1902" s="75" t="str">
        <f>IF(ISERROR(FIND('112'!$M$9,G1902,1)),"",IF((AND(RIGHT(G1902,2)=RIGHT('112'!$M$9,2),B1902&lt;'112'!$K$9,$O1902='112'!$I$6)),"x",""))</f>
        <v/>
      </c>
      <c r="W1902" s="75" t="str">
        <f>IF(AND('341-CT'!$H$9=H1902,OR(LEFT(N1902,3)=$W$7,LEFT(O1902,3)=$W$7)),"x","")</f>
        <v/>
      </c>
      <c r="X1902" s="75" t="str">
        <f>IF(OR(TH!N1902=TH!$X$7,O1902=TH!$X$7),"x","")</f>
        <v/>
      </c>
      <c r="Y1902" s="75" t="str">
        <f>IF(AND(OR(N1902="131",O1902="131"),H1902='131-CT'!$H$9),"x","")</f>
        <v/>
      </c>
      <c r="Z1902" s="75"/>
      <c r="AA1902" s="75" t="str">
        <f>IF(AND(MONTH(E1902)='IN-NX'!$J$5,'IN-NX'!$D$7=D1902),"x","")</f>
        <v/>
      </c>
      <c r="AB1902" s="75" t="str">
        <f>IF(AND(OR(LEFT(TH!N1902,2)="15",LEFT(TH!O1902,2)="15"),LEFT(TH!O1902,3)&lt;&gt;"111",'152-CT'!$J$8=TH!F1902),"x","")</f>
        <v/>
      </c>
      <c r="AC1902" s="75" t="str">
        <f>IF(AND(OR(LEFT(TH!N1902,2)="15",LEFT(TH!O1902,2)="15"),TK!$E$7=TH!F1902),"x","")</f>
        <v/>
      </c>
      <c r="AD1902" s="75" t="str">
        <f>IF(AND(N1902="1521",MONTH(C1902)='BK-NL'!$M$11),"x","")</f>
        <v/>
      </c>
      <c r="AE1902" s="1053">
        <v>9</v>
      </c>
    </row>
    <row r="1903" spans="1:32" s="1053" customFormat="1" ht="16.5" customHeight="1">
      <c r="A1903" s="309" t="str">
        <f>IF(B1903&lt;&gt;"",IF(AND(B1903='IN-TC'!$S$4,OR(TH!N1903="1111",TH!O1903="1111")),TH!D1903,""),"")</f>
        <v/>
      </c>
      <c r="B1903" s="1242">
        <f t="shared" si="526"/>
        <v>9</v>
      </c>
      <c r="C1903" s="292">
        <v>42991</v>
      </c>
      <c r="D1903" s="292" t="s">
        <v>867</v>
      </c>
      <c r="E1903" s="292">
        <f t="shared" si="527"/>
        <v>42991</v>
      </c>
      <c r="F1903" s="294" t="s">
        <v>743</v>
      </c>
      <c r="G1903" s="925" t="s">
        <v>2172</v>
      </c>
      <c r="H1903" s="311" t="s">
        <v>558</v>
      </c>
      <c r="I1903" s="373">
        <v>415</v>
      </c>
      <c r="J1903" s="379">
        <v>15000</v>
      </c>
      <c r="K1903" s="373"/>
      <c r="L1903" s="379"/>
      <c r="M1903" s="927">
        <f>I1903*J1903</f>
        <v>6225000</v>
      </c>
      <c r="N1903" s="295" t="s">
        <v>266</v>
      </c>
      <c r="O1903" s="295" t="s">
        <v>8</v>
      </c>
      <c r="P1903" s="75" t="str">
        <f>IF(AND('331-CT'!$E$7=TH!H1903,OR(N1903="331",O1903="331")),"x","")</f>
        <v/>
      </c>
      <c r="Q1903" s="75" t="str">
        <f>IF(AND(B1903='111'!$L$11,OR($N1903=$Q$7,$O1903=$Q$7)),"x","")</f>
        <v/>
      </c>
      <c r="R1903" s="75" t="str">
        <f>IF(AND($N1903=$Q$7,$B1903&lt;'111'!$L$11),"x","")</f>
        <v/>
      </c>
      <c r="S1903" s="75" t="str">
        <f>IF(AND($O1903=$Q$7,$B1903&lt;'111'!$L$11),"x","")</f>
        <v/>
      </c>
      <c r="T1903" s="75" t="str">
        <f>IF(ISERROR(FIND('112'!$M$9,G1903,1)),"",IF((AND(FIND('112'!$M$9,G1903,1)&gt;=1,B1903='112'!$K$9,OR($N1903='112'!$I$6,$O1903='112'!$I$6))),"x",""))</f>
        <v/>
      </c>
      <c r="U1903" s="75" t="str">
        <f>IF(ISERROR(FIND('112'!$M$9,G1903,1)),"",IF((AND(LEFT(G1903,2)=LEFT('112'!$M$9,2),B1903&lt;'112'!$K$9,$N1903='112'!$I$6)),"x",""))</f>
        <v/>
      </c>
      <c r="V1903" s="75" t="str">
        <f>IF(ISERROR(FIND('112'!$M$9,G1903,1)),"",IF((AND(RIGHT(G1903,2)=RIGHT('112'!$M$9,2),B1903&lt;'112'!$K$9,$O1903='112'!$I$6)),"x",""))</f>
        <v/>
      </c>
      <c r="W1903" s="75" t="str">
        <f>IF(AND('341-CT'!$H$9=H1903,OR(LEFT(N1903,3)=$W$7,LEFT(O1903,3)=$W$7)),"x","")</f>
        <v/>
      </c>
      <c r="X1903" s="75" t="str">
        <f>IF(OR(TH!N1903=TH!$X$7,O1903=TH!$X$7),"x","")</f>
        <v/>
      </c>
      <c r="Y1903" s="75" t="str">
        <f>IF(AND(OR(N1903="131",O1903="131"),H1903='131-CT'!$H$9),"x","")</f>
        <v/>
      </c>
      <c r="Z1903" s="75"/>
      <c r="AA1903" s="75" t="str">
        <f>IF(AND(MONTH(E1903)='IN-NX'!$J$5,'IN-NX'!$D$7=D1903),"x","")</f>
        <v/>
      </c>
      <c r="AB1903" s="75" t="str">
        <f>IF(AND(OR(LEFT(TH!N1903,2)="15",LEFT(TH!O1903,2)="15"),LEFT(TH!O1903,3)&lt;&gt;"111",'152-CT'!$J$8=TH!F1903),"x","")</f>
        <v/>
      </c>
      <c r="AC1903" s="75" t="str">
        <f>IF(AND(OR(LEFT(TH!N1903,2)="15",LEFT(TH!O1903,2)="15"),TK!$E$7=TH!F1903),"x","")</f>
        <v/>
      </c>
      <c r="AD1903" s="75" t="str">
        <f>IF(AND(N1903="1521",MONTH(C1903)='BK-NL'!$M$11),"x","")</f>
        <v/>
      </c>
      <c r="AE1903" s="1053">
        <v>9</v>
      </c>
    </row>
    <row r="1904" spans="1:32" s="1053" customFormat="1" ht="16.5" customHeight="1">
      <c r="A1904" s="309" t="str">
        <f>IF(B1904&lt;&gt;"",IF(AND(B1904='IN-TC'!$S$4,OR(TH!N1904="1111",TH!O1904="1111")),TH!D1904,""),"")</f>
        <v/>
      </c>
      <c r="B1904" s="1242">
        <f t="shared" si="526"/>
        <v>9</v>
      </c>
      <c r="C1904" s="292">
        <v>42991</v>
      </c>
      <c r="D1904" s="292" t="s">
        <v>867</v>
      </c>
      <c r="E1904" s="292">
        <f t="shared" si="527"/>
        <v>42991</v>
      </c>
      <c r="F1904" s="432" t="s">
        <v>830</v>
      </c>
      <c r="G1904" s="925" t="s">
        <v>2172</v>
      </c>
      <c r="H1904" s="311" t="s">
        <v>558</v>
      </c>
      <c r="I1904" s="373">
        <v>374</v>
      </c>
      <c r="J1904" s="379">
        <v>2760</v>
      </c>
      <c r="K1904" s="373"/>
      <c r="L1904" s="379"/>
      <c r="M1904" s="927">
        <f>I1904*J1904</f>
        <v>1032240</v>
      </c>
      <c r="N1904" s="295" t="s">
        <v>266</v>
      </c>
      <c r="O1904" s="295" t="s">
        <v>8</v>
      </c>
      <c r="P1904" s="75" t="str">
        <f>IF(AND('331-CT'!$E$7=TH!H1904,OR(N1904="331",O1904="331")),"x","")</f>
        <v/>
      </c>
      <c r="Q1904" s="75" t="str">
        <f>IF(AND(B1904='111'!$L$11,OR($N1904=$Q$7,$O1904=$Q$7)),"x","")</f>
        <v/>
      </c>
      <c r="R1904" s="75" t="str">
        <f>IF(AND($N1904=$Q$7,$B1904&lt;'111'!$L$11),"x","")</f>
        <v/>
      </c>
      <c r="S1904" s="75" t="str">
        <f>IF(AND($O1904=$Q$7,$B1904&lt;'111'!$L$11),"x","")</f>
        <v/>
      </c>
      <c r="T1904" s="75" t="str">
        <f>IF(ISERROR(FIND('112'!$M$9,G1904,1)),"",IF((AND(FIND('112'!$M$9,G1904,1)&gt;=1,B1904='112'!$K$9,OR($N1904='112'!$I$6,$O1904='112'!$I$6))),"x",""))</f>
        <v/>
      </c>
      <c r="U1904" s="75" t="str">
        <f>IF(ISERROR(FIND('112'!$M$9,G1904,1)),"",IF((AND(LEFT(G1904,2)=LEFT('112'!$M$9,2),B1904&lt;'112'!$K$9,$N1904='112'!$I$6)),"x",""))</f>
        <v/>
      </c>
      <c r="V1904" s="75" t="str">
        <f>IF(ISERROR(FIND('112'!$M$9,G1904,1)),"",IF((AND(RIGHT(G1904,2)=RIGHT('112'!$M$9,2),B1904&lt;'112'!$K$9,$O1904='112'!$I$6)),"x",""))</f>
        <v/>
      </c>
      <c r="W1904" s="75" t="str">
        <f>IF(AND('341-CT'!$H$9=H1904,OR(LEFT(N1904,3)=$W$7,LEFT(O1904,3)=$W$7)),"x","")</f>
        <v/>
      </c>
      <c r="X1904" s="75" t="str">
        <f>IF(OR(TH!N1904=TH!$X$7,O1904=TH!$X$7),"x","")</f>
        <v/>
      </c>
      <c r="Y1904" s="75" t="str">
        <f>IF(AND(OR(N1904="131",O1904="131"),H1904='131-CT'!$H$9),"x","")</f>
        <v/>
      </c>
      <c r="Z1904" s="75"/>
      <c r="AA1904" s="75" t="str">
        <f>IF(AND(MONTH(E1904)='IN-NX'!$J$5,'IN-NX'!$D$7=D1904),"x","")</f>
        <v/>
      </c>
      <c r="AB1904" s="75" t="str">
        <f>IF(AND(OR(LEFT(TH!N1904,2)="15",LEFT(TH!O1904,2)="15"),LEFT(TH!O1904,3)&lt;&gt;"111",'152-CT'!$J$8=TH!F1904),"x","")</f>
        <v/>
      </c>
      <c r="AC1904" s="75" t="str">
        <f>IF(AND(OR(LEFT(TH!N1904,2)="15",LEFT(TH!O1904,2)="15"),TK!$E$7=TH!F1904),"x","")</f>
        <v/>
      </c>
      <c r="AD1904" s="75" t="str">
        <f>IF(AND(N1904="1521",MONTH(C1904)='BK-NL'!$M$11),"x","")</f>
        <v/>
      </c>
      <c r="AE1904" s="1053">
        <v>9</v>
      </c>
    </row>
    <row r="1905" spans="1:31" s="1053" customFormat="1" ht="16.5" customHeight="1">
      <c r="A1905" s="309" t="str">
        <f>IF(B1905&lt;&gt;"",IF(AND(B1905='IN-TC'!$S$4,OR(TH!N1905="1111",TH!O1905="1111")),TH!D1905,""),"")</f>
        <v/>
      </c>
      <c r="B1905" s="1242">
        <f t="shared" si="526"/>
        <v>9</v>
      </c>
      <c r="C1905" s="292">
        <v>42991</v>
      </c>
      <c r="D1905" s="292" t="s">
        <v>867</v>
      </c>
      <c r="E1905" s="292">
        <f t="shared" si="527"/>
        <v>42991</v>
      </c>
      <c r="F1905" s="432" t="s">
        <v>832</v>
      </c>
      <c r="G1905" s="925" t="s">
        <v>2172</v>
      </c>
      <c r="H1905" s="311" t="s">
        <v>558</v>
      </c>
      <c r="I1905" s="373"/>
      <c r="J1905" s="379"/>
      <c r="K1905" s="373"/>
      <c r="L1905" s="379"/>
      <c r="M1905" s="927">
        <v>2012044</v>
      </c>
      <c r="N1905" s="295" t="s">
        <v>9</v>
      </c>
      <c r="O1905" s="295" t="s">
        <v>8</v>
      </c>
      <c r="P1905" s="75" t="str">
        <f>IF(AND('331-CT'!$E$7=TH!H1905,OR(N1905="331",O1905="331")),"x","")</f>
        <v/>
      </c>
      <c r="Q1905" s="75" t="str">
        <f>IF(AND(B1905='111'!$L$11,OR($N1905=$Q$7,$O1905=$Q$7)),"x","")</f>
        <v/>
      </c>
      <c r="R1905" s="75" t="str">
        <f>IF(AND($N1905=$Q$7,$B1905&lt;'111'!$L$11),"x","")</f>
        <v/>
      </c>
      <c r="S1905" s="75" t="str">
        <f>IF(AND($O1905=$Q$7,$B1905&lt;'111'!$L$11),"x","")</f>
        <v/>
      </c>
      <c r="T1905" s="75" t="str">
        <f>IF(ISERROR(FIND('112'!$M$9,G1905,1)),"",IF((AND(FIND('112'!$M$9,G1905,1)&gt;=1,B1905='112'!$K$9,OR($N1905='112'!$I$6,$O1905='112'!$I$6))),"x",""))</f>
        <v/>
      </c>
      <c r="U1905" s="75" t="str">
        <f>IF(ISERROR(FIND('112'!$M$9,G1905,1)),"",IF((AND(LEFT(G1905,2)=LEFT('112'!$M$9,2),B1905&lt;'112'!$K$9,$N1905='112'!$I$6)),"x",""))</f>
        <v/>
      </c>
      <c r="V1905" s="75" t="str">
        <f>IF(ISERROR(FIND('112'!$M$9,G1905,1)),"",IF((AND(RIGHT(G1905,2)=RIGHT('112'!$M$9,2),B1905&lt;'112'!$K$9,$O1905='112'!$I$6)),"x",""))</f>
        <v/>
      </c>
      <c r="W1905" s="75" t="str">
        <f>IF(AND('341-CT'!$H$9=H1905,OR(LEFT(N1905,3)=$W$7,LEFT(O1905,3)=$W$7)),"x","")</f>
        <v/>
      </c>
      <c r="X1905" s="75" t="str">
        <f>IF(OR(TH!N1905=TH!$X$7,O1905=TH!$X$7),"x","")</f>
        <v/>
      </c>
      <c r="Y1905" s="75" t="str">
        <f>IF(AND(OR(N1905="131",O1905="131"),H1905='131-CT'!$H$9),"x","")</f>
        <v/>
      </c>
      <c r="Z1905" s="75"/>
      <c r="AA1905" s="75" t="str">
        <f>IF(AND(MONTH(E1905)='IN-NX'!$J$5,'IN-NX'!$D$7=D1905),"x","")</f>
        <v/>
      </c>
      <c r="AB1905" s="75" t="str">
        <f>IF(AND(OR(LEFT(TH!N1905,2)="15",LEFT(TH!O1905,2)="15"),LEFT(TH!O1905,3)&lt;&gt;"111",'152-CT'!$J$8=TH!F1905),"x","")</f>
        <v/>
      </c>
      <c r="AC1905" s="75" t="str">
        <f>IF(AND(OR(LEFT(TH!N1905,2)="15",LEFT(TH!O1905,2)="15"),TK!$E$7=TH!F1905),"x","")</f>
        <v/>
      </c>
      <c r="AD1905" s="75" t="str">
        <f>IF(AND(N1905="1521",MONTH(C1905)='BK-NL'!$M$11),"x","")</f>
        <v/>
      </c>
      <c r="AE1905" s="1053">
        <v>9</v>
      </c>
    </row>
    <row r="1906" spans="1:31" s="1053" customFormat="1" ht="16.5" customHeight="1">
      <c r="A1906" s="309" t="str">
        <f>IF(B1906&lt;&gt;"",IF(AND(B1906='IN-TC'!$S$4,OR(TH!N1906="1111",TH!O1906="1111")),TH!D1906,""),"")</f>
        <v/>
      </c>
      <c r="B1906" s="1242">
        <f t="shared" si="526"/>
        <v>9</v>
      </c>
      <c r="C1906" s="292">
        <v>42992</v>
      </c>
      <c r="D1906" s="292" t="s">
        <v>1352</v>
      </c>
      <c r="E1906" s="292">
        <f t="shared" si="527"/>
        <v>42992</v>
      </c>
      <c r="F1906" s="67" t="s">
        <v>795</v>
      </c>
      <c r="G1906" s="925" t="s">
        <v>2149</v>
      </c>
      <c r="H1906" s="311" t="s">
        <v>1684</v>
      </c>
      <c r="I1906" s="373">
        <v>3045</v>
      </c>
      <c r="J1906" s="379">
        <v>5900</v>
      </c>
      <c r="K1906" s="373"/>
      <c r="L1906" s="379"/>
      <c r="M1906" s="927">
        <f>I1906*J1906</f>
        <v>17965500</v>
      </c>
      <c r="N1906" s="295" t="s">
        <v>266</v>
      </c>
      <c r="O1906" s="295" t="s">
        <v>8</v>
      </c>
      <c r="P1906" s="75" t="str">
        <f>IF(AND('331-CT'!$E$7=TH!H1906,OR(N1906="331",O1906="331")),"x","")</f>
        <v/>
      </c>
      <c r="Q1906" s="75" t="str">
        <f>IF(AND(B1906='111'!$L$11,OR($N1906=$Q$7,$O1906=$Q$7)),"x","")</f>
        <v/>
      </c>
      <c r="R1906" s="75" t="str">
        <f>IF(AND($N1906=$Q$7,$B1906&lt;'111'!$L$11),"x","")</f>
        <v/>
      </c>
      <c r="S1906" s="75" t="str">
        <f>IF(AND($O1906=$Q$7,$B1906&lt;'111'!$L$11),"x","")</f>
        <v/>
      </c>
      <c r="T1906" s="75" t="str">
        <f>IF(ISERROR(FIND('112'!$M$9,G1906,1)),"",IF((AND(FIND('112'!$M$9,G1906,1)&gt;=1,B1906='112'!$K$9,OR($N1906='112'!$I$6,$O1906='112'!$I$6))),"x",""))</f>
        <v/>
      </c>
      <c r="U1906" s="75" t="str">
        <f>IF(ISERROR(FIND('112'!$M$9,G1906,1)),"",IF((AND(LEFT(G1906,2)=LEFT('112'!$M$9,2),B1906&lt;'112'!$K$9,$N1906='112'!$I$6)),"x",""))</f>
        <v/>
      </c>
      <c r="V1906" s="75" t="str">
        <f>IF(ISERROR(FIND('112'!$M$9,G1906,1)),"",IF((AND(RIGHT(G1906,2)=RIGHT('112'!$M$9,2),B1906&lt;'112'!$K$9,$O1906='112'!$I$6)),"x",""))</f>
        <v/>
      </c>
      <c r="W1906" s="75" t="str">
        <f>IF(AND('341-CT'!$H$9=H1906,OR(LEFT(N1906,3)=$W$7,LEFT(O1906,3)=$W$7)),"x","")</f>
        <v/>
      </c>
      <c r="X1906" s="75" t="str">
        <f>IF(OR(TH!N1906=TH!$X$7,O1906=TH!$X$7),"x","")</f>
        <v/>
      </c>
      <c r="Y1906" s="75" t="str">
        <f>IF(AND(OR(N1906="131",O1906="131"),H1906='131-CT'!$H$9),"x","")</f>
        <v/>
      </c>
      <c r="Z1906" s="75"/>
      <c r="AA1906" s="75" t="str">
        <f>IF(AND(MONTH(E1906)='IN-NX'!$J$5,'IN-NX'!$D$7=D1906),"x","")</f>
        <v/>
      </c>
      <c r="AB1906" s="75" t="str">
        <f>IF(AND(OR(LEFT(TH!N1906,2)="15",LEFT(TH!O1906,2)="15"),LEFT(TH!O1906,3)&lt;&gt;"111",'152-CT'!$J$8=TH!F1906),"x","")</f>
        <v/>
      </c>
      <c r="AC1906" s="75" t="str">
        <f>IF(AND(OR(LEFT(TH!N1906,2)="15",LEFT(TH!O1906,2)="15"),TK!$E$7=TH!F1906),"x","")</f>
        <v/>
      </c>
      <c r="AD1906" s="75" t="str">
        <f>IF(AND(N1906="1521",MONTH(C1906)='BK-NL'!$M$11),"x","")</f>
        <v/>
      </c>
      <c r="AE1906" s="1053">
        <v>9</v>
      </c>
    </row>
    <row r="1907" spans="1:31" s="1053" customFormat="1" ht="16.5" customHeight="1">
      <c r="A1907" s="309" t="str">
        <f>IF(B1907&lt;&gt;"",IF(AND(B1907='IN-TC'!$S$4,OR(TH!N1907="1111",TH!O1907="1111")),TH!D1907,""),"")</f>
        <v/>
      </c>
      <c r="B1907" s="1242">
        <f t="shared" si="526"/>
        <v>9</v>
      </c>
      <c r="C1907" s="292">
        <v>42992</v>
      </c>
      <c r="D1907" s="292" t="s">
        <v>1352</v>
      </c>
      <c r="E1907" s="292">
        <f t="shared" si="527"/>
        <v>42992</v>
      </c>
      <c r="F1907" s="67" t="s">
        <v>1143</v>
      </c>
      <c r="G1907" s="925" t="s">
        <v>2149</v>
      </c>
      <c r="H1907" s="311" t="s">
        <v>1684</v>
      </c>
      <c r="I1907" s="373"/>
      <c r="J1907" s="379"/>
      <c r="K1907" s="373"/>
      <c r="L1907" s="379"/>
      <c r="M1907" s="927">
        <v>1796550</v>
      </c>
      <c r="N1907" s="295" t="s">
        <v>9</v>
      </c>
      <c r="O1907" s="295" t="s">
        <v>8</v>
      </c>
      <c r="P1907" s="75" t="str">
        <f>IF(AND('331-CT'!$E$7=TH!H1907,OR(N1907="331",O1907="331")),"x","")</f>
        <v/>
      </c>
      <c r="Q1907" s="75" t="str">
        <f>IF(AND(B1907='111'!$L$11,OR($N1907=$Q$7,$O1907=$Q$7)),"x","")</f>
        <v/>
      </c>
      <c r="R1907" s="75" t="str">
        <f>IF(AND($N1907=$Q$7,$B1907&lt;'111'!$L$11),"x","")</f>
        <v/>
      </c>
      <c r="S1907" s="75" t="str">
        <f>IF(AND($O1907=$Q$7,$B1907&lt;'111'!$L$11),"x","")</f>
        <v/>
      </c>
      <c r="T1907" s="75" t="str">
        <f>IF(ISERROR(FIND('112'!$M$9,G1907,1)),"",IF((AND(FIND('112'!$M$9,G1907,1)&gt;=1,B1907='112'!$K$9,OR($N1907='112'!$I$6,$O1907='112'!$I$6))),"x",""))</f>
        <v/>
      </c>
      <c r="U1907" s="75" t="str">
        <f>IF(ISERROR(FIND('112'!$M$9,G1907,1)),"",IF((AND(LEFT(G1907,2)=LEFT('112'!$M$9,2),B1907&lt;'112'!$K$9,$N1907='112'!$I$6)),"x",""))</f>
        <v/>
      </c>
      <c r="V1907" s="75" t="str">
        <f>IF(ISERROR(FIND('112'!$M$9,G1907,1)),"",IF((AND(RIGHT(G1907,2)=RIGHT('112'!$M$9,2),B1907&lt;'112'!$K$9,$O1907='112'!$I$6)),"x",""))</f>
        <v/>
      </c>
      <c r="W1907" s="75" t="str">
        <f>IF(AND('341-CT'!$H$9=H1907,OR(LEFT(N1907,3)=$W$7,LEFT(O1907,3)=$W$7)),"x","")</f>
        <v/>
      </c>
      <c r="X1907" s="75" t="str">
        <f>IF(OR(TH!N1907=TH!$X$7,O1907=TH!$X$7),"x","")</f>
        <v/>
      </c>
      <c r="Y1907" s="75" t="str">
        <f>IF(AND(OR(N1907="131",O1907="131"),H1907='131-CT'!$H$9),"x","")</f>
        <v/>
      </c>
      <c r="Z1907" s="75"/>
      <c r="AA1907" s="75" t="str">
        <f>IF(AND(MONTH(E1907)='IN-NX'!$J$5,'IN-NX'!$D$7=D1907),"x","")</f>
        <v/>
      </c>
      <c r="AB1907" s="75" t="str">
        <f>IF(AND(OR(LEFT(TH!N1907,2)="15",LEFT(TH!O1907,2)="15"),LEFT(TH!O1907,3)&lt;&gt;"111",'152-CT'!$J$8=TH!F1907),"x","")</f>
        <v/>
      </c>
      <c r="AC1907" s="75" t="str">
        <f>IF(AND(OR(LEFT(TH!N1907,2)="15",LEFT(TH!O1907,2)="15"),TK!$E$7=TH!F1907),"x","")</f>
        <v/>
      </c>
      <c r="AD1907" s="75" t="str">
        <f>IF(AND(N1907="1521",MONTH(C1907)='BK-NL'!$M$11),"x","")</f>
        <v/>
      </c>
      <c r="AE1907" s="1053">
        <v>9</v>
      </c>
    </row>
    <row r="1908" spans="1:31" s="1053" customFormat="1" ht="16.5" customHeight="1">
      <c r="A1908" s="309" t="str">
        <f>IF(B1908&lt;&gt;"",IF(AND(B1908='IN-TC'!$S$4,OR(TH!N1908="1111",TH!O1908="1111")),TH!D1908,""),"")</f>
        <v/>
      </c>
      <c r="B1908" s="1242">
        <f t="shared" si="526"/>
        <v>9</v>
      </c>
      <c r="C1908" s="292">
        <v>42994</v>
      </c>
      <c r="D1908" s="292" t="s">
        <v>1353</v>
      </c>
      <c r="E1908" s="292">
        <f t="shared" si="527"/>
        <v>42994</v>
      </c>
      <c r="F1908" s="67" t="s">
        <v>795</v>
      </c>
      <c r="G1908" s="925" t="s">
        <v>2150</v>
      </c>
      <c r="H1908" s="311" t="s">
        <v>1684</v>
      </c>
      <c r="I1908" s="373">
        <v>3045</v>
      </c>
      <c r="J1908" s="379">
        <v>5900</v>
      </c>
      <c r="K1908" s="373"/>
      <c r="L1908" s="379"/>
      <c r="M1908" s="927">
        <f>I1908*J1908</f>
        <v>17965500</v>
      </c>
      <c r="N1908" s="295" t="s">
        <v>266</v>
      </c>
      <c r="O1908" s="295" t="s">
        <v>8</v>
      </c>
      <c r="P1908" s="75" t="str">
        <f>IF(AND('331-CT'!$E$7=TH!H1908,OR(N1908="331",O1908="331")),"x","")</f>
        <v/>
      </c>
      <c r="Q1908" s="75" t="str">
        <f>IF(AND(B1908='111'!$L$11,OR($N1908=$Q$7,$O1908=$Q$7)),"x","")</f>
        <v/>
      </c>
      <c r="R1908" s="75" t="str">
        <f>IF(AND($N1908=$Q$7,$B1908&lt;'111'!$L$11),"x","")</f>
        <v/>
      </c>
      <c r="S1908" s="75" t="str">
        <f>IF(AND($O1908=$Q$7,$B1908&lt;'111'!$L$11),"x","")</f>
        <v/>
      </c>
      <c r="T1908" s="75" t="str">
        <f>IF(ISERROR(FIND('112'!$M$9,G1908,1)),"",IF((AND(FIND('112'!$M$9,G1908,1)&gt;=1,B1908='112'!$K$9,OR($N1908='112'!$I$6,$O1908='112'!$I$6))),"x",""))</f>
        <v/>
      </c>
      <c r="U1908" s="75" t="str">
        <f>IF(ISERROR(FIND('112'!$M$9,G1908,1)),"",IF((AND(LEFT(G1908,2)=LEFT('112'!$M$9,2),B1908&lt;'112'!$K$9,$N1908='112'!$I$6)),"x",""))</f>
        <v/>
      </c>
      <c r="V1908" s="75" t="str">
        <f>IF(ISERROR(FIND('112'!$M$9,G1908,1)),"",IF((AND(RIGHT(G1908,2)=RIGHT('112'!$M$9,2),B1908&lt;'112'!$K$9,$O1908='112'!$I$6)),"x",""))</f>
        <v/>
      </c>
      <c r="W1908" s="75" t="str">
        <f>IF(AND('341-CT'!$H$9=H1908,OR(LEFT(N1908,3)=$W$7,LEFT(O1908,3)=$W$7)),"x","")</f>
        <v/>
      </c>
      <c r="X1908" s="75" t="str">
        <f>IF(OR(TH!N1908=TH!$X$7,O1908=TH!$X$7),"x","")</f>
        <v/>
      </c>
      <c r="Y1908" s="75" t="str">
        <f>IF(AND(OR(N1908="131",O1908="131"),H1908='131-CT'!$H$9),"x","")</f>
        <v/>
      </c>
      <c r="Z1908" s="75"/>
      <c r="AA1908" s="75" t="str">
        <f>IF(AND(MONTH(E1908)='IN-NX'!$J$5,'IN-NX'!$D$7=D1908),"x","")</f>
        <v/>
      </c>
      <c r="AB1908" s="75" t="str">
        <f>IF(AND(OR(LEFT(TH!N1908,2)="15",LEFT(TH!O1908,2)="15"),LEFT(TH!O1908,3)&lt;&gt;"111",'152-CT'!$J$8=TH!F1908),"x","")</f>
        <v/>
      </c>
      <c r="AC1908" s="75" t="str">
        <f>IF(AND(OR(LEFT(TH!N1908,2)="15",LEFT(TH!O1908,2)="15"),TK!$E$7=TH!F1908),"x","")</f>
        <v/>
      </c>
      <c r="AD1908" s="75" t="str">
        <f>IF(AND(N1908="1521",MONTH(C1908)='BK-NL'!$M$11),"x","")</f>
        <v/>
      </c>
      <c r="AE1908" s="1053">
        <v>9</v>
      </c>
    </row>
    <row r="1909" spans="1:31" s="1053" customFormat="1" ht="16.5" customHeight="1">
      <c r="A1909" s="309" t="str">
        <f>IF(B1909&lt;&gt;"",IF(AND(B1909='IN-TC'!$S$4,OR(TH!N1909="1111",TH!O1909="1111")),TH!D1909,""),"")</f>
        <v/>
      </c>
      <c r="B1909" s="1242">
        <f t="shared" si="526"/>
        <v>9</v>
      </c>
      <c r="C1909" s="292">
        <v>42994</v>
      </c>
      <c r="D1909" s="292" t="s">
        <v>1353</v>
      </c>
      <c r="E1909" s="292">
        <f t="shared" si="527"/>
        <v>42994</v>
      </c>
      <c r="F1909" s="67" t="s">
        <v>1143</v>
      </c>
      <c r="G1909" s="925" t="s">
        <v>2150</v>
      </c>
      <c r="H1909" s="311" t="s">
        <v>1684</v>
      </c>
      <c r="I1909" s="373"/>
      <c r="J1909" s="379"/>
      <c r="K1909" s="373"/>
      <c r="L1909" s="379"/>
      <c r="M1909" s="927">
        <v>1796550</v>
      </c>
      <c r="N1909" s="295" t="s">
        <v>9</v>
      </c>
      <c r="O1909" s="295" t="s">
        <v>8</v>
      </c>
      <c r="P1909" s="75" t="str">
        <f>IF(AND('331-CT'!$E$7=TH!H1909,OR(N1909="331",O1909="331")),"x","")</f>
        <v/>
      </c>
      <c r="Q1909" s="75" t="str">
        <f>IF(AND(B1909='111'!$L$11,OR($N1909=$Q$7,$O1909=$Q$7)),"x","")</f>
        <v/>
      </c>
      <c r="R1909" s="75" t="str">
        <f>IF(AND($N1909=$Q$7,$B1909&lt;'111'!$L$11),"x","")</f>
        <v/>
      </c>
      <c r="S1909" s="75" t="str">
        <f>IF(AND($O1909=$Q$7,$B1909&lt;'111'!$L$11),"x","")</f>
        <v/>
      </c>
      <c r="T1909" s="75" t="str">
        <f>IF(ISERROR(FIND('112'!$M$9,G1909,1)),"",IF((AND(FIND('112'!$M$9,G1909,1)&gt;=1,B1909='112'!$K$9,OR($N1909='112'!$I$6,$O1909='112'!$I$6))),"x",""))</f>
        <v/>
      </c>
      <c r="U1909" s="75" t="str">
        <f>IF(ISERROR(FIND('112'!$M$9,G1909,1)),"",IF((AND(LEFT(G1909,2)=LEFT('112'!$M$9,2),B1909&lt;'112'!$K$9,$N1909='112'!$I$6)),"x",""))</f>
        <v/>
      </c>
      <c r="V1909" s="75" t="str">
        <f>IF(ISERROR(FIND('112'!$M$9,G1909,1)),"",IF((AND(RIGHT(G1909,2)=RIGHT('112'!$M$9,2),B1909&lt;'112'!$K$9,$O1909='112'!$I$6)),"x",""))</f>
        <v/>
      </c>
      <c r="W1909" s="75" t="str">
        <f>IF(AND('341-CT'!$H$9=H1909,OR(LEFT(N1909,3)=$W$7,LEFT(O1909,3)=$W$7)),"x","")</f>
        <v/>
      </c>
      <c r="X1909" s="75" t="str">
        <f>IF(OR(TH!N1909=TH!$X$7,O1909=TH!$X$7),"x","")</f>
        <v/>
      </c>
      <c r="Y1909" s="75" t="str">
        <f>IF(AND(OR(N1909="131",O1909="131"),H1909='131-CT'!$H$9),"x","")</f>
        <v/>
      </c>
      <c r="Z1909" s="75"/>
      <c r="AA1909" s="75" t="str">
        <f>IF(AND(MONTH(E1909)='IN-NX'!$J$5,'IN-NX'!$D$7=D1909),"x","")</f>
        <v/>
      </c>
      <c r="AB1909" s="75" t="str">
        <f>IF(AND(OR(LEFT(TH!N1909,2)="15",LEFT(TH!O1909,2)="15"),LEFT(TH!O1909,3)&lt;&gt;"111",'152-CT'!$J$8=TH!F1909),"x","")</f>
        <v/>
      </c>
      <c r="AC1909" s="75" t="str">
        <f>IF(AND(OR(LEFT(TH!N1909,2)="15",LEFT(TH!O1909,2)="15"),TK!$E$7=TH!F1909),"x","")</f>
        <v/>
      </c>
      <c r="AD1909" s="75" t="str">
        <f>IF(AND(N1909="1521",MONTH(C1909)='BK-NL'!$M$11),"x","")</f>
        <v/>
      </c>
      <c r="AE1909" s="1053">
        <v>9</v>
      </c>
    </row>
    <row r="1910" spans="1:31" s="1053" customFormat="1" ht="16.5" customHeight="1">
      <c r="A1910" s="309" t="str">
        <f>IF(B1910&lt;&gt;"",IF(AND(B1910='IN-TC'!$S$4,OR(TH!N1910="1111",TH!O1910="1111")),TH!D1910,""),"")</f>
        <v/>
      </c>
      <c r="B1910" s="1242">
        <f t="shared" si="526"/>
        <v>9</v>
      </c>
      <c r="C1910" s="292">
        <v>42998</v>
      </c>
      <c r="D1910" s="292" t="s">
        <v>1354</v>
      </c>
      <c r="E1910" s="292">
        <f t="shared" si="527"/>
        <v>42998</v>
      </c>
      <c r="F1910" s="432" t="s">
        <v>327</v>
      </c>
      <c r="G1910" s="925" t="s">
        <v>2138</v>
      </c>
      <c r="H1910" s="68" t="s">
        <v>803</v>
      </c>
      <c r="I1910" s="373">
        <v>500</v>
      </c>
      <c r="J1910" s="379">
        <v>32200</v>
      </c>
      <c r="K1910" s="373"/>
      <c r="L1910" s="379"/>
      <c r="M1910" s="927">
        <f>I1910*J1910</f>
        <v>16100000</v>
      </c>
      <c r="N1910" s="295" t="s">
        <v>266</v>
      </c>
      <c r="O1910" s="295" t="s">
        <v>8</v>
      </c>
      <c r="P1910" s="75" t="str">
        <f>IF(AND('331-CT'!$E$7=TH!H1910,OR(N1910="331",O1910="331")),"x","")</f>
        <v/>
      </c>
      <c r="Q1910" s="75" t="str">
        <f>IF(AND(B1910='111'!$L$11,OR($N1910=$Q$7,$O1910=$Q$7)),"x","")</f>
        <v/>
      </c>
      <c r="R1910" s="75" t="str">
        <f>IF(AND($N1910=$Q$7,$B1910&lt;'111'!$L$11),"x","")</f>
        <v/>
      </c>
      <c r="S1910" s="75" t="str">
        <f>IF(AND($O1910=$Q$7,$B1910&lt;'111'!$L$11),"x","")</f>
        <v/>
      </c>
      <c r="T1910" s="75" t="str">
        <f>IF(ISERROR(FIND('112'!$M$9,G1910,1)),"",IF((AND(FIND('112'!$M$9,G1910,1)&gt;=1,B1910='112'!$K$9,OR($N1910='112'!$I$6,$O1910='112'!$I$6))),"x",""))</f>
        <v/>
      </c>
      <c r="U1910" s="75" t="str">
        <f>IF(ISERROR(FIND('112'!$M$9,G1910,1)),"",IF((AND(LEFT(G1910,2)=LEFT('112'!$M$9,2),B1910&lt;'112'!$K$9,$N1910='112'!$I$6)),"x",""))</f>
        <v/>
      </c>
      <c r="V1910" s="75" t="str">
        <f>IF(ISERROR(FIND('112'!$M$9,G1910,1)),"",IF((AND(RIGHT(G1910,2)=RIGHT('112'!$M$9,2),B1910&lt;'112'!$K$9,$O1910='112'!$I$6)),"x",""))</f>
        <v/>
      </c>
      <c r="W1910" s="75" t="str">
        <f>IF(AND('341-CT'!$H$9=H1910,OR(LEFT(N1910,3)=$W$7,LEFT(O1910,3)=$W$7)),"x","")</f>
        <v/>
      </c>
      <c r="X1910" s="75" t="str">
        <f>IF(OR(TH!N1910=TH!$X$7,O1910=TH!$X$7),"x","")</f>
        <v/>
      </c>
      <c r="Y1910" s="75" t="str">
        <f>IF(AND(OR(N1910="131",O1910="131"),H1910='131-CT'!$H$9),"x","")</f>
        <v/>
      </c>
      <c r="Z1910" s="75"/>
      <c r="AA1910" s="75" t="str">
        <f>IF(AND(MONTH(E1910)='IN-NX'!$J$5,'IN-NX'!$D$7=D1910),"x","")</f>
        <v/>
      </c>
      <c r="AB1910" s="75" t="str">
        <f>IF(AND(OR(LEFT(TH!N1910,2)="15",LEFT(TH!O1910,2)="15"),LEFT(TH!O1910,3)&lt;&gt;"111",'152-CT'!$J$8=TH!F1910),"x","")</f>
        <v/>
      </c>
      <c r="AC1910" s="75" t="str">
        <f>IF(AND(OR(LEFT(TH!N1910,2)="15",LEFT(TH!O1910,2)="15"),TK!$E$7=TH!F1910),"x","")</f>
        <v/>
      </c>
      <c r="AD1910" s="75" t="str">
        <f>IF(AND(N1910="1521",MONTH(C1910)='BK-NL'!$M$11),"x","")</f>
        <v/>
      </c>
      <c r="AE1910" s="1053">
        <v>9</v>
      </c>
    </row>
    <row r="1911" spans="1:31" s="1053" customFormat="1" ht="16.5" customHeight="1">
      <c r="A1911" s="309" t="str">
        <f>IF(B1911&lt;&gt;"",IF(AND(B1911='IN-TC'!$S$4,OR(TH!N1911="1111",TH!O1911="1111")),TH!D1911,""),"")</f>
        <v/>
      </c>
      <c r="B1911" s="1242">
        <f t="shared" si="526"/>
        <v>9</v>
      </c>
      <c r="C1911" s="292">
        <v>42998</v>
      </c>
      <c r="D1911" s="292" t="s">
        <v>1354</v>
      </c>
      <c r="E1911" s="292">
        <f t="shared" si="527"/>
        <v>42998</v>
      </c>
      <c r="F1911" s="432" t="s">
        <v>2136</v>
      </c>
      <c r="G1911" s="925" t="s">
        <v>2138</v>
      </c>
      <c r="H1911" s="68" t="s">
        <v>803</v>
      </c>
      <c r="I1911" s="373"/>
      <c r="J1911" s="379"/>
      <c r="K1911" s="373"/>
      <c r="L1911" s="379"/>
      <c r="M1911" s="927">
        <v>1610000</v>
      </c>
      <c r="N1911" s="295" t="s">
        <v>9</v>
      </c>
      <c r="O1911" s="295" t="s">
        <v>8</v>
      </c>
      <c r="P1911" s="75" t="str">
        <f>IF(AND('331-CT'!$E$7=TH!H1911,OR(N1911="331",O1911="331")),"x","")</f>
        <v/>
      </c>
      <c r="Q1911" s="75" t="str">
        <f>IF(AND(B1911='111'!$L$11,OR($N1911=$Q$7,$O1911=$Q$7)),"x","")</f>
        <v/>
      </c>
      <c r="R1911" s="75" t="str">
        <f>IF(AND($N1911=$Q$7,$B1911&lt;'111'!$L$11),"x","")</f>
        <v/>
      </c>
      <c r="S1911" s="75" t="str">
        <f>IF(AND($O1911=$Q$7,$B1911&lt;'111'!$L$11),"x","")</f>
        <v/>
      </c>
      <c r="T1911" s="75" t="str">
        <f>IF(ISERROR(FIND('112'!$M$9,G1911,1)),"",IF((AND(FIND('112'!$M$9,G1911,1)&gt;=1,B1911='112'!$K$9,OR($N1911='112'!$I$6,$O1911='112'!$I$6))),"x",""))</f>
        <v/>
      </c>
      <c r="U1911" s="75" t="str">
        <f>IF(ISERROR(FIND('112'!$M$9,G1911,1)),"",IF((AND(LEFT(G1911,2)=LEFT('112'!$M$9,2),B1911&lt;'112'!$K$9,$N1911='112'!$I$6)),"x",""))</f>
        <v/>
      </c>
      <c r="V1911" s="75" t="str">
        <f>IF(ISERROR(FIND('112'!$M$9,G1911,1)),"",IF((AND(RIGHT(G1911,2)=RIGHT('112'!$M$9,2),B1911&lt;'112'!$K$9,$O1911='112'!$I$6)),"x",""))</f>
        <v/>
      </c>
      <c r="W1911" s="75" t="str">
        <f>IF(AND('341-CT'!$H$9=H1911,OR(LEFT(N1911,3)=$W$7,LEFT(O1911,3)=$W$7)),"x","")</f>
        <v/>
      </c>
      <c r="X1911" s="75" t="str">
        <f>IF(OR(TH!N1911=TH!$X$7,O1911=TH!$X$7),"x","")</f>
        <v/>
      </c>
      <c r="Y1911" s="75" t="str">
        <f>IF(AND(OR(N1911="131",O1911="131"),H1911='131-CT'!$H$9),"x","")</f>
        <v/>
      </c>
      <c r="Z1911" s="75"/>
      <c r="AA1911" s="75" t="str">
        <f>IF(AND(MONTH(E1911)='IN-NX'!$J$5,'IN-NX'!$D$7=D1911),"x","")</f>
        <v/>
      </c>
      <c r="AB1911" s="75" t="str">
        <f>IF(AND(OR(LEFT(TH!N1911,2)="15",LEFT(TH!O1911,2)="15"),LEFT(TH!O1911,3)&lt;&gt;"111",'152-CT'!$J$8=TH!F1911),"x","")</f>
        <v/>
      </c>
      <c r="AC1911" s="75" t="str">
        <f>IF(AND(OR(LEFT(TH!N1911,2)="15",LEFT(TH!O1911,2)="15"),TK!$E$7=TH!F1911),"x","")</f>
        <v/>
      </c>
      <c r="AD1911" s="75" t="str">
        <f>IF(AND(N1911="1521",MONTH(C1911)='BK-NL'!$M$11),"x","")</f>
        <v/>
      </c>
      <c r="AE1911" s="1053">
        <v>9</v>
      </c>
    </row>
    <row r="1912" spans="1:31" s="1053" customFormat="1" ht="16.5" customHeight="1">
      <c r="A1912" s="309" t="str">
        <f>IF(B1912&lt;&gt;"",IF(AND(B1912='IN-TC'!$S$4,OR(TH!N1912="1111",TH!O1912="1111")),TH!D1912,""),"")</f>
        <v/>
      </c>
      <c r="B1912" s="1242">
        <f t="shared" si="526"/>
        <v>9</v>
      </c>
      <c r="C1912" s="292">
        <v>42999</v>
      </c>
      <c r="D1912" s="292" t="s">
        <v>1355</v>
      </c>
      <c r="E1912" s="292">
        <f t="shared" si="527"/>
        <v>42999</v>
      </c>
      <c r="F1912" s="67" t="s">
        <v>795</v>
      </c>
      <c r="G1912" s="925" t="s">
        <v>2176</v>
      </c>
      <c r="H1912" s="311" t="s">
        <v>1684</v>
      </c>
      <c r="I1912" s="373">
        <v>3045</v>
      </c>
      <c r="J1912" s="379">
        <v>5900</v>
      </c>
      <c r="K1912" s="373"/>
      <c r="L1912" s="379"/>
      <c r="M1912" s="927">
        <f>I1912*J1912</f>
        <v>17965500</v>
      </c>
      <c r="N1912" s="295" t="s">
        <v>266</v>
      </c>
      <c r="O1912" s="295" t="s">
        <v>8</v>
      </c>
      <c r="P1912" s="75" t="str">
        <f>IF(AND('331-CT'!$E$7=TH!H1912,OR(N1912="331",O1912="331")),"x","")</f>
        <v/>
      </c>
      <c r="Q1912" s="75" t="str">
        <f>IF(AND(B1912='111'!$L$11,OR($N1912=$Q$7,$O1912=$Q$7)),"x","")</f>
        <v/>
      </c>
      <c r="R1912" s="75" t="str">
        <f>IF(AND($N1912=$Q$7,$B1912&lt;'111'!$L$11),"x","")</f>
        <v/>
      </c>
      <c r="S1912" s="75" t="str">
        <f>IF(AND($O1912=$Q$7,$B1912&lt;'111'!$L$11),"x","")</f>
        <v/>
      </c>
      <c r="T1912" s="75" t="str">
        <f>IF(ISERROR(FIND('112'!$M$9,G1912,1)),"",IF((AND(FIND('112'!$M$9,G1912,1)&gt;=1,B1912='112'!$K$9,OR($N1912='112'!$I$6,$O1912='112'!$I$6))),"x",""))</f>
        <v/>
      </c>
      <c r="U1912" s="75" t="str">
        <f>IF(ISERROR(FIND('112'!$M$9,G1912,1)),"",IF((AND(LEFT(G1912,2)=LEFT('112'!$M$9,2),B1912&lt;'112'!$K$9,$N1912='112'!$I$6)),"x",""))</f>
        <v/>
      </c>
      <c r="V1912" s="75" t="str">
        <f>IF(ISERROR(FIND('112'!$M$9,G1912,1)),"",IF((AND(RIGHT(G1912,2)=RIGHT('112'!$M$9,2),B1912&lt;'112'!$K$9,$O1912='112'!$I$6)),"x",""))</f>
        <v/>
      </c>
      <c r="W1912" s="75" t="str">
        <f>IF(AND('341-CT'!$H$9=H1912,OR(LEFT(N1912,3)=$W$7,LEFT(O1912,3)=$W$7)),"x","")</f>
        <v/>
      </c>
      <c r="X1912" s="75" t="str">
        <f>IF(OR(TH!N1912=TH!$X$7,O1912=TH!$X$7),"x","")</f>
        <v/>
      </c>
      <c r="Y1912" s="75" t="str">
        <f>IF(AND(OR(N1912="131",O1912="131"),H1912='131-CT'!$H$9),"x","")</f>
        <v/>
      </c>
      <c r="Z1912" s="75"/>
      <c r="AA1912" s="75" t="str">
        <f>IF(AND(MONTH(E1912)='IN-NX'!$J$5,'IN-NX'!$D$7=D1912),"x","")</f>
        <v/>
      </c>
      <c r="AB1912" s="75" t="str">
        <f>IF(AND(OR(LEFT(TH!N1912,2)="15",LEFT(TH!O1912,2)="15"),LEFT(TH!O1912,3)&lt;&gt;"111",'152-CT'!$J$8=TH!F1912),"x","")</f>
        <v/>
      </c>
      <c r="AC1912" s="75" t="str">
        <f>IF(AND(OR(LEFT(TH!N1912,2)="15",LEFT(TH!O1912,2)="15"),TK!$E$7=TH!F1912),"x","")</f>
        <v/>
      </c>
      <c r="AD1912" s="75" t="str">
        <f>IF(AND(N1912="1521",MONTH(C1912)='BK-NL'!$M$11),"x","")</f>
        <v/>
      </c>
      <c r="AE1912" s="1053">
        <v>9</v>
      </c>
    </row>
    <row r="1913" spans="1:31" s="1053" customFormat="1" ht="16.5" customHeight="1">
      <c r="A1913" s="309" t="str">
        <f>IF(B1913&lt;&gt;"",IF(AND(B1913='IN-TC'!$S$4,OR(TH!N1913="1111",TH!O1913="1111")),TH!D1913,""),"")</f>
        <v/>
      </c>
      <c r="B1913" s="1242">
        <f t="shared" si="526"/>
        <v>9</v>
      </c>
      <c r="C1913" s="292">
        <v>42999</v>
      </c>
      <c r="D1913" s="292" t="s">
        <v>1355</v>
      </c>
      <c r="E1913" s="292">
        <f t="shared" si="527"/>
        <v>42999</v>
      </c>
      <c r="F1913" s="67" t="s">
        <v>1143</v>
      </c>
      <c r="G1913" s="925" t="s">
        <v>2176</v>
      </c>
      <c r="H1913" s="311" t="s">
        <v>1684</v>
      </c>
      <c r="I1913" s="373"/>
      <c r="J1913" s="379"/>
      <c r="K1913" s="373"/>
      <c r="L1913" s="379"/>
      <c r="M1913" s="927">
        <v>1796550</v>
      </c>
      <c r="N1913" s="295" t="s">
        <v>9</v>
      </c>
      <c r="O1913" s="295" t="s">
        <v>8</v>
      </c>
      <c r="P1913" s="75" t="str">
        <f>IF(AND('331-CT'!$E$7=TH!H1913,OR(N1913="331",O1913="331")),"x","")</f>
        <v/>
      </c>
      <c r="Q1913" s="75" t="str">
        <f>IF(AND(B1913='111'!$L$11,OR($N1913=$Q$7,$O1913=$Q$7)),"x","")</f>
        <v/>
      </c>
      <c r="R1913" s="75" t="str">
        <f>IF(AND($N1913=$Q$7,$B1913&lt;'111'!$L$11),"x","")</f>
        <v/>
      </c>
      <c r="S1913" s="75" t="str">
        <f>IF(AND($O1913=$Q$7,$B1913&lt;'111'!$L$11),"x","")</f>
        <v/>
      </c>
      <c r="T1913" s="75" t="str">
        <f>IF(ISERROR(FIND('112'!$M$9,G1913,1)),"",IF((AND(FIND('112'!$M$9,G1913,1)&gt;=1,B1913='112'!$K$9,OR($N1913='112'!$I$6,$O1913='112'!$I$6))),"x",""))</f>
        <v/>
      </c>
      <c r="U1913" s="75" t="str">
        <f>IF(ISERROR(FIND('112'!$M$9,G1913,1)),"",IF((AND(LEFT(G1913,2)=LEFT('112'!$M$9,2),B1913&lt;'112'!$K$9,$N1913='112'!$I$6)),"x",""))</f>
        <v/>
      </c>
      <c r="V1913" s="75" t="str">
        <f>IF(ISERROR(FIND('112'!$M$9,G1913,1)),"",IF((AND(RIGHT(G1913,2)=RIGHT('112'!$M$9,2),B1913&lt;'112'!$K$9,$O1913='112'!$I$6)),"x",""))</f>
        <v/>
      </c>
      <c r="W1913" s="75" t="str">
        <f>IF(AND('341-CT'!$H$9=H1913,OR(LEFT(N1913,3)=$W$7,LEFT(O1913,3)=$W$7)),"x","")</f>
        <v/>
      </c>
      <c r="X1913" s="75" t="str">
        <f>IF(OR(TH!N1913=TH!$X$7,O1913=TH!$X$7),"x","")</f>
        <v/>
      </c>
      <c r="Y1913" s="75" t="str">
        <f>IF(AND(OR(N1913="131",O1913="131"),H1913='131-CT'!$H$9),"x","")</f>
        <v/>
      </c>
      <c r="Z1913" s="75"/>
      <c r="AA1913" s="75" t="str">
        <f>IF(AND(MONTH(E1913)='IN-NX'!$J$5,'IN-NX'!$D$7=D1913),"x","")</f>
        <v/>
      </c>
      <c r="AB1913" s="75" t="str">
        <f>IF(AND(OR(LEFT(TH!N1913,2)="15",LEFT(TH!O1913,2)="15"),LEFT(TH!O1913,3)&lt;&gt;"111",'152-CT'!$J$8=TH!F1913),"x","")</f>
        <v/>
      </c>
      <c r="AC1913" s="75" t="str">
        <f>IF(AND(OR(LEFT(TH!N1913,2)="15",LEFT(TH!O1913,2)="15"),TK!$E$7=TH!F1913),"x","")</f>
        <v/>
      </c>
      <c r="AD1913" s="75" t="str">
        <f>IF(AND(N1913="1521",MONTH(C1913)='BK-NL'!$M$11),"x","")</f>
        <v/>
      </c>
      <c r="AE1913" s="1053">
        <v>9</v>
      </c>
    </row>
    <row r="1914" spans="1:31" s="1053" customFormat="1" ht="16.5" customHeight="1">
      <c r="A1914" s="309" t="str">
        <f>IF(B1914&lt;&gt;"",IF(AND(B1914='IN-TC'!$S$4,OR(TH!N1914="1111",TH!O1914="1111")),TH!D1914,""),"")</f>
        <v/>
      </c>
      <c r="B1914" s="1242">
        <f t="shared" si="526"/>
        <v>9</v>
      </c>
      <c r="C1914" s="292">
        <v>43000</v>
      </c>
      <c r="D1914" s="292" t="s">
        <v>1356</v>
      </c>
      <c r="E1914" s="292">
        <f t="shared" si="527"/>
        <v>43000</v>
      </c>
      <c r="F1914" s="67" t="s">
        <v>795</v>
      </c>
      <c r="G1914" s="925" t="s">
        <v>2175</v>
      </c>
      <c r="H1914" s="311" t="s">
        <v>1684</v>
      </c>
      <c r="I1914" s="373">
        <v>3045</v>
      </c>
      <c r="J1914" s="379">
        <v>5900</v>
      </c>
      <c r="K1914" s="373"/>
      <c r="L1914" s="379"/>
      <c r="M1914" s="927">
        <f>I1914*J1914</f>
        <v>17965500</v>
      </c>
      <c r="N1914" s="295" t="s">
        <v>266</v>
      </c>
      <c r="O1914" s="295" t="s">
        <v>8</v>
      </c>
      <c r="P1914" s="75" t="str">
        <f>IF(AND('331-CT'!$E$7=TH!H1914,OR(N1914="331",O1914="331")),"x","")</f>
        <v/>
      </c>
      <c r="Q1914" s="75" t="str">
        <f>IF(AND(B1914='111'!$L$11,OR($N1914=$Q$7,$O1914=$Q$7)),"x","")</f>
        <v/>
      </c>
      <c r="R1914" s="75" t="str">
        <f>IF(AND($N1914=$Q$7,$B1914&lt;'111'!$L$11),"x","")</f>
        <v/>
      </c>
      <c r="S1914" s="75" t="str">
        <f>IF(AND($O1914=$Q$7,$B1914&lt;'111'!$L$11),"x","")</f>
        <v/>
      </c>
      <c r="T1914" s="75" t="str">
        <f>IF(ISERROR(FIND('112'!$M$9,G1914,1)),"",IF((AND(FIND('112'!$M$9,G1914,1)&gt;=1,B1914='112'!$K$9,OR($N1914='112'!$I$6,$O1914='112'!$I$6))),"x",""))</f>
        <v/>
      </c>
      <c r="U1914" s="75" t="str">
        <f>IF(ISERROR(FIND('112'!$M$9,G1914,1)),"",IF((AND(LEFT(G1914,2)=LEFT('112'!$M$9,2),B1914&lt;'112'!$K$9,$N1914='112'!$I$6)),"x",""))</f>
        <v/>
      </c>
      <c r="V1914" s="75" t="str">
        <f>IF(ISERROR(FIND('112'!$M$9,G1914,1)),"",IF((AND(RIGHT(G1914,2)=RIGHT('112'!$M$9,2),B1914&lt;'112'!$K$9,$O1914='112'!$I$6)),"x",""))</f>
        <v/>
      </c>
      <c r="W1914" s="75" t="str">
        <f>IF(AND('341-CT'!$H$9=H1914,OR(LEFT(N1914,3)=$W$7,LEFT(O1914,3)=$W$7)),"x","")</f>
        <v/>
      </c>
      <c r="X1914" s="75" t="str">
        <f>IF(OR(TH!N1914=TH!$X$7,O1914=TH!$X$7),"x","")</f>
        <v/>
      </c>
      <c r="Y1914" s="75" t="str">
        <f>IF(AND(OR(N1914="131",O1914="131"),H1914='131-CT'!$H$9),"x","")</f>
        <v/>
      </c>
      <c r="Z1914" s="75"/>
      <c r="AA1914" s="75" t="str">
        <f>IF(AND(MONTH(E1914)='IN-NX'!$J$5,'IN-NX'!$D$7=D1914),"x","")</f>
        <v/>
      </c>
      <c r="AB1914" s="75" t="str">
        <f>IF(AND(OR(LEFT(TH!N1914,2)="15",LEFT(TH!O1914,2)="15"),LEFT(TH!O1914,3)&lt;&gt;"111",'152-CT'!$J$8=TH!F1914),"x","")</f>
        <v/>
      </c>
      <c r="AC1914" s="75" t="str">
        <f>IF(AND(OR(LEFT(TH!N1914,2)="15",LEFT(TH!O1914,2)="15"),TK!$E$7=TH!F1914),"x","")</f>
        <v/>
      </c>
      <c r="AD1914" s="75" t="str">
        <f>IF(AND(N1914="1521",MONTH(C1914)='BK-NL'!$M$11),"x","")</f>
        <v/>
      </c>
      <c r="AE1914" s="1053">
        <v>9</v>
      </c>
    </row>
    <row r="1915" spans="1:31" s="1053" customFormat="1" ht="16.5" customHeight="1">
      <c r="A1915" s="309" t="str">
        <f>IF(B1915&lt;&gt;"",IF(AND(B1915='IN-TC'!$S$4,OR(TH!N1915="1111",TH!O1915="1111")),TH!D1915,""),"")</f>
        <v/>
      </c>
      <c r="B1915" s="1242">
        <f t="shared" si="526"/>
        <v>9</v>
      </c>
      <c r="C1915" s="292">
        <v>43000</v>
      </c>
      <c r="D1915" s="292" t="s">
        <v>1356</v>
      </c>
      <c r="E1915" s="292">
        <f t="shared" si="527"/>
        <v>43000</v>
      </c>
      <c r="F1915" s="67" t="s">
        <v>1143</v>
      </c>
      <c r="G1915" s="925" t="s">
        <v>2175</v>
      </c>
      <c r="H1915" s="311" t="s">
        <v>1684</v>
      </c>
      <c r="I1915" s="373"/>
      <c r="J1915" s="379"/>
      <c r="K1915" s="373"/>
      <c r="L1915" s="379"/>
      <c r="M1915" s="927">
        <v>1796550</v>
      </c>
      <c r="N1915" s="295" t="s">
        <v>9</v>
      </c>
      <c r="O1915" s="295" t="s">
        <v>8</v>
      </c>
      <c r="P1915" s="75" t="str">
        <f>IF(AND('331-CT'!$E$7=TH!H1915,OR(N1915="331",O1915="331")),"x","")</f>
        <v/>
      </c>
      <c r="Q1915" s="75" t="str">
        <f>IF(AND(B1915='111'!$L$11,OR($N1915=$Q$7,$O1915=$Q$7)),"x","")</f>
        <v/>
      </c>
      <c r="R1915" s="75" t="str">
        <f>IF(AND($N1915=$Q$7,$B1915&lt;'111'!$L$11),"x","")</f>
        <v/>
      </c>
      <c r="S1915" s="75" t="str">
        <f>IF(AND($O1915=$Q$7,$B1915&lt;'111'!$L$11),"x","")</f>
        <v/>
      </c>
      <c r="T1915" s="75" t="str">
        <f>IF(ISERROR(FIND('112'!$M$9,G1915,1)),"",IF((AND(FIND('112'!$M$9,G1915,1)&gt;=1,B1915='112'!$K$9,OR($N1915='112'!$I$6,$O1915='112'!$I$6))),"x",""))</f>
        <v/>
      </c>
      <c r="U1915" s="75" t="str">
        <f>IF(ISERROR(FIND('112'!$M$9,G1915,1)),"",IF((AND(LEFT(G1915,2)=LEFT('112'!$M$9,2),B1915&lt;'112'!$K$9,$N1915='112'!$I$6)),"x",""))</f>
        <v/>
      </c>
      <c r="V1915" s="75" t="str">
        <f>IF(ISERROR(FIND('112'!$M$9,G1915,1)),"",IF((AND(RIGHT(G1915,2)=RIGHT('112'!$M$9,2),B1915&lt;'112'!$K$9,$O1915='112'!$I$6)),"x",""))</f>
        <v/>
      </c>
      <c r="W1915" s="75" t="str">
        <f>IF(AND('341-CT'!$H$9=H1915,OR(LEFT(N1915,3)=$W$7,LEFT(O1915,3)=$W$7)),"x","")</f>
        <v/>
      </c>
      <c r="X1915" s="75" t="str">
        <f>IF(OR(TH!N1915=TH!$X$7,O1915=TH!$X$7),"x","")</f>
        <v/>
      </c>
      <c r="Y1915" s="75" t="str">
        <f>IF(AND(OR(N1915="131",O1915="131"),H1915='131-CT'!$H$9),"x","")</f>
        <v/>
      </c>
      <c r="Z1915" s="75"/>
      <c r="AA1915" s="75" t="str">
        <f>IF(AND(MONTH(E1915)='IN-NX'!$J$5,'IN-NX'!$D$7=D1915),"x","")</f>
        <v/>
      </c>
      <c r="AB1915" s="75" t="str">
        <f>IF(AND(OR(LEFT(TH!N1915,2)="15",LEFT(TH!O1915,2)="15"),LEFT(TH!O1915,3)&lt;&gt;"111",'152-CT'!$J$8=TH!F1915),"x","")</f>
        <v/>
      </c>
      <c r="AC1915" s="75" t="str">
        <f>IF(AND(OR(LEFT(TH!N1915,2)="15",LEFT(TH!O1915,2)="15"),TK!$E$7=TH!F1915),"x","")</f>
        <v/>
      </c>
      <c r="AD1915" s="75" t="str">
        <f>IF(AND(N1915="1521",MONTH(C1915)='BK-NL'!$M$11),"x","")</f>
        <v/>
      </c>
      <c r="AE1915" s="1053">
        <v>9</v>
      </c>
    </row>
    <row r="1916" spans="1:31" s="1053" customFormat="1" ht="16.5" customHeight="1">
      <c r="A1916" s="309" t="str">
        <f>IF(B1916&lt;&gt;"",IF(AND(B1916='IN-TC'!$S$4,OR(TH!N1916="1111",TH!O1916="1111")),TH!D1916,""),"")</f>
        <v/>
      </c>
      <c r="B1916" s="1242">
        <f t="shared" si="526"/>
        <v>9</v>
      </c>
      <c r="C1916" s="292">
        <v>43001</v>
      </c>
      <c r="D1916" s="292" t="s">
        <v>1357</v>
      </c>
      <c r="E1916" s="292">
        <f t="shared" si="527"/>
        <v>43001</v>
      </c>
      <c r="F1916" s="432" t="s">
        <v>336</v>
      </c>
      <c r="G1916" s="925" t="s">
        <v>1799</v>
      </c>
      <c r="H1916" s="68" t="s">
        <v>2133</v>
      </c>
      <c r="I1916" s="373">
        <v>1000</v>
      </c>
      <c r="J1916" s="379">
        <v>13619.048000000001</v>
      </c>
      <c r="K1916" s="373"/>
      <c r="L1916" s="379"/>
      <c r="M1916" s="927">
        <f>I1916*J1916</f>
        <v>13619048</v>
      </c>
      <c r="N1916" s="295" t="s">
        <v>266</v>
      </c>
      <c r="O1916" s="295" t="s">
        <v>8</v>
      </c>
      <c r="P1916" s="75" t="str">
        <f>IF(AND('331-CT'!$E$7=TH!H1916,OR(N1916="331",O1916="331")),"x","")</f>
        <v/>
      </c>
      <c r="Q1916" s="75" t="str">
        <f>IF(AND(B1916='111'!$L$11,OR($N1916=$Q$7,$O1916=$Q$7)),"x","")</f>
        <v/>
      </c>
      <c r="R1916" s="75" t="str">
        <f>IF(AND($N1916=$Q$7,$B1916&lt;'111'!$L$11),"x","")</f>
        <v/>
      </c>
      <c r="S1916" s="75" t="str">
        <f>IF(AND($O1916=$Q$7,$B1916&lt;'111'!$L$11),"x","")</f>
        <v/>
      </c>
      <c r="T1916" s="75" t="str">
        <f>IF(ISERROR(FIND('112'!$M$9,G1916,1)),"",IF((AND(FIND('112'!$M$9,G1916,1)&gt;=1,B1916='112'!$K$9,OR($N1916='112'!$I$6,$O1916='112'!$I$6))),"x",""))</f>
        <v/>
      </c>
      <c r="U1916" s="75" t="str">
        <f>IF(ISERROR(FIND('112'!$M$9,G1916,1)),"",IF((AND(LEFT(G1916,2)=LEFT('112'!$M$9,2),B1916&lt;'112'!$K$9,$N1916='112'!$I$6)),"x",""))</f>
        <v/>
      </c>
      <c r="V1916" s="75" t="str">
        <f>IF(ISERROR(FIND('112'!$M$9,G1916,1)),"",IF((AND(RIGHT(G1916,2)=RIGHT('112'!$M$9,2),B1916&lt;'112'!$K$9,$O1916='112'!$I$6)),"x",""))</f>
        <v/>
      </c>
      <c r="W1916" s="75" t="str">
        <f>IF(AND('341-CT'!$H$9=H1916,OR(LEFT(N1916,3)=$W$7,LEFT(O1916,3)=$W$7)),"x","")</f>
        <v/>
      </c>
      <c r="X1916" s="75" t="str">
        <f>IF(OR(TH!N1916=TH!$X$7,O1916=TH!$X$7),"x","")</f>
        <v/>
      </c>
      <c r="Y1916" s="75" t="str">
        <f>IF(AND(OR(N1916="131",O1916="131"),H1916='131-CT'!$H$9),"x","")</f>
        <v/>
      </c>
      <c r="Z1916" s="75"/>
      <c r="AA1916" s="75" t="str">
        <f>IF(AND(MONTH(E1916)='IN-NX'!$J$5,'IN-NX'!$D$7=D1916),"x","")</f>
        <v/>
      </c>
      <c r="AB1916" s="75" t="str">
        <f>IF(AND(OR(LEFT(TH!N1916,2)="15",LEFT(TH!O1916,2)="15"),LEFT(TH!O1916,3)&lt;&gt;"111",'152-CT'!$J$8=TH!F1916),"x","")</f>
        <v/>
      </c>
      <c r="AC1916" s="75" t="str">
        <f>IF(AND(OR(LEFT(TH!N1916,2)="15",LEFT(TH!O1916,2)="15"),TK!$E$7=TH!F1916),"x","")</f>
        <v>x</v>
      </c>
      <c r="AD1916" s="75" t="str">
        <f>IF(AND(N1916="1521",MONTH(C1916)='BK-NL'!$M$11),"x","")</f>
        <v/>
      </c>
      <c r="AE1916" s="1053">
        <v>9</v>
      </c>
    </row>
    <row r="1917" spans="1:31" s="1053" customFormat="1" ht="16.5" customHeight="1">
      <c r="A1917" s="309" t="str">
        <f>IF(B1917&lt;&gt;"",IF(AND(B1917='IN-TC'!$S$4,OR(TH!N1917="1111",TH!O1917="1111")),TH!D1917,""),"")</f>
        <v/>
      </c>
      <c r="B1917" s="1242">
        <f t="shared" si="526"/>
        <v>9</v>
      </c>
      <c r="C1917" s="292">
        <v>43001</v>
      </c>
      <c r="D1917" s="292" t="s">
        <v>1357</v>
      </c>
      <c r="E1917" s="292">
        <f t="shared" si="527"/>
        <v>43001</v>
      </c>
      <c r="F1917" s="432" t="s">
        <v>2131</v>
      </c>
      <c r="G1917" s="925" t="s">
        <v>1799</v>
      </c>
      <c r="H1917" s="68" t="s">
        <v>2133</v>
      </c>
      <c r="I1917" s="373"/>
      <c r="J1917" s="379"/>
      <c r="K1917" s="373"/>
      <c r="L1917" s="379"/>
      <c r="M1917" s="927">
        <v>680952</v>
      </c>
      <c r="N1917" s="295" t="s">
        <v>9</v>
      </c>
      <c r="O1917" s="295" t="s">
        <v>8</v>
      </c>
      <c r="P1917" s="75" t="str">
        <f>IF(AND('331-CT'!$E$7=TH!H1917,OR(N1917="331",O1917="331")),"x","")</f>
        <v/>
      </c>
      <c r="Q1917" s="75" t="str">
        <f>IF(AND(B1917='111'!$L$11,OR($N1917=$Q$7,$O1917=$Q$7)),"x","")</f>
        <v/>
      </c>
      <c r="R1917" s="75" t="str">
        <f>IF(AND($N1917=$Q$7,$B1917&lt;'111'!$L$11),"x","")</f>
        <v/>
      </c>
      <c r="S1917" s="75" t="str">
        <f>IF(AND($O1917=$Q$7,$B1917&lt;'111'!$L$11),"x","")</f>
        <v/>
      </c>
      <c r="T1917" s="75" t="str">
        <f>IF(ISERROR(FIND('112'!$M$9,G1917,1)),"",IF((AND(FIND('112'!$M$9,G1917,1)&gt;=1,B1917='112'!$K$9,OR($N1917='112'!$I$6,$O1917='112'!$I$6))),"x",""))</f>
        <v/>
      </c>
      <c r="U1917" s="75" t="str">
        <f>IF(ISERROR(FIND('112'!$M$9,G1917,1)),"",IF((AND(LEFT(G1917,2)=LEFT('112'!$M$9,2),B1917&lt;'112'!$K$9,$N1917='112'!$I$6)),"x",""))</f>
        <v/>
      </c>
      <c r="V1917" s="75" t="str">
        <f>IF(ISERROR(FIND('112'!$M$9,G1917,1)),"",IF((AND(RIGHT(G1917,2)=RIGHT('112'!$M$9,2),B1917&lt;'112'!$K$9,$O1917='112'!$I$6)),"x",""))</f>
        <v/>
      </c>
      <c r="W1917" s="75" t="str">
        <f>IF(AND('341-CT'!$H$9=H1917,OR(LEFT(N1917,3)=$W$7,LEFT(O1917,3)=$W$7)),"x","")</f>
        <v/>
      </c>
      <c r="X1917" s="75" t="str">
        <f>IF(OR(TH!N1917=TH!$X$7,O1917=TH!$X$7),"x","")</f>
        <v/>
      </c>
      <c r="Y1917" s="75" t="str">
        <f>IF(AND(OR(N1917="131",O1917="131"),H1917='131-CT'!$H$9),"x","")</f>
        <v/>
      </c>
      <c r="Z1917" s="75"/>
      <c r="AA1917" s="75" t="str">
        <f>IF(AND(MONTH(E1917)='IN-NX'!$J$5,'IN-NX'!$D$7=D1917),"x","")</f>
        <v/>
      </c>
      <c r="AB1917" s="75" t="str">
        <f>IF(AND(OR(LEFT(TH!N1917,2)="15",LEFT(TH!O1917,2)="15"),LEFT(TH!O1917,3)&lt;&gt;"111",'152-CT'!$J$8=TH!F1917),"x","")</f>
        <v/>
      </c>
      <c r="AC1917" s="75" t="str">
        <f>IF(AND(OR(LEFT(TH!N1917,2)="15",LEFT(TH!O1917,2)="15"),TK!$E$7=TH!F1917),"x","")</f>
        <v/>
      </c>
      <c r="AD1917" s="75" t="str">
        <f>IF(AND(N1917="1521",MONTH(C1917)='BK-NL'!$M$11),"x","")</f>
        <v/>
      </c>
      <c r="AE1917" s="1053">
        <v>9</v>
      </c>
    </row>
    <row r="1918" spans="1:31" s="1053" customFormat="1" ht="16.5" customHeight="1">
      <c r="A1918" s="309" t="str">
        <f>IF(B1918&lt;&gt;"",IF(AND(B1918='IN-TC'!$S$4,OR(TH!N1918="1111",TH!O1918="1111")),TH!D1918,""),"")</f>
        <v/>
      </c>
      <c r="B1918" s="1242">
        <f t="shared" ref="B1918:B1994" si="528">IF(C1918&lt;&gt;"",MONTH(C1918),"")</f>
        <v>9</v>
      </c>
      <c r="C1918" s="292">
        <v>43003</v>
      </c>
      <c r="D1918" s="292" t="s">
        <v>1358</v>
      </c>
      <c r="E1918" s="292">
        <f t="shared" ref="E1918:E1943" si="529">C1918</f>
        <v>43003</v>
      </c>
      <c r="F1918" s="67" t="s">
        <v>795</v>
      </c>
      <c r="G1918" s="925" t="s">
        <v>2174</v>
      </c>
      <c r="H1918" s="311" t="s">
        <v>1684</v>
      </c>
      <c r="I1918" s="373">
        <v>3045</v>
      </c>
      <c r="J1918" s="379">
        <v>5900</v>
      </c>
      <c r="K1918" s="373"/>
      <c r="L1918" s="379"/>
      <c r="M1918" s="927">
        <f>I1918*J1918</f>
        <v>17965500</v>
      </c>
      <c r="N1918" s="295" t="s">
        <v>266</v>
      </c>
      <c r="O1918" s="295" t="s">
        <v>8</v>
      </c>
      <c r="P1918" s="75" t="str">
        <f>IF(AND('331-CT'!$E$7=TH!H1918,OR(N1918="331",O1918="331")),"x","")</f>
        <v/>
      </c>
      <c r="Q1918" s="75" t="str">
        <f>IF(AND(B1918='111'!$L$11,OR($N1918=$Q$7,$O1918=$Q$7)),"x","")</f>
        <v/>
      </c>
      <c r="R1918" s="75" t="str">
        <f>IF(AND($N1918=$Q$7,$B1918&lt;'111'!$L$11),"x","")</f>
        <v/>
      </c>
      <c r="S1918" s="75" t="str">
        <f>IF(AND($O1918=$Q$7,$B1918&lt;'111'!$L$11),"x","")</f>
        <v/>
      </c>
      <c r="T1918" s="75" t="str">
        <f>IF(ISERROR(FIND('112'!$M$9,G1918,1)),"",IF((AND(FIND('112'!$M$9,G1918,1)&gt;=1,B1918='112'!$K$9,OR($N1918='112'!$I$6,$O1918='112'!$I$6))),"x",""))</f>
        <v/>
      </c>
      <c r="U1918" s="75" t="str">
        <f>IF(ISERROR(FIND('112'!$M$9,G1918,1)),"",IF((AND(LEFT(G1918,2)=LEFT('112'!$M$9,2),B1918&lt;'112'!$K$9,$N1918='112'!$I$6)),"x",""))</f>
        <v/>
      </c>
      <c r="V1918" s="75" t="str">
        <f>IF(ISERROR(FIND('112'!$M$9,G1918,1)),"",IF((AND(RIGHT(G1918,2)=RIGHT('112'!$M$9,2),B1918&lt;'112'!$K$9,$O1918='112'!$I$6)),"x",""))</f>
        <v/>
      </c>
      <c r="W1918" s="75" t="str">
        <f>IF(AND('341-CT'!$H$9=H1918,OR(LEFT(N1918,3)=$W$7,LEFT(O1918,3)=$W$7)),"x","")</f>
        <v/>
      </c>
      <c r="X1918" s="75" t="str">
        <f>IF(OR(TH!N1918=TH!$X$7,O1918=TH!$X$7),"x","")</f>
        <v/>
      </c>
      <c r="Y1918" s="75" t="str">
        <f>IF(AND(OR(N1918="131",O1918="131"),H1918='131-CT'!$H$9),"x","")</f>
        <v/>
      </c>
      <c r="Z1918" s="75"/>
      <c r="AA1918" s="75" t="str">
        <f>IF(AND(MONTH(E1918)='IN-NX'!$J$5,'IN-NX'!$D$7=D1918),"x","")</f>
        <v/>
      </c>
      <c r="AB1918" s="75" t="str">
        <f>IF(AND(OR(LEFT(TH!N1918,2)="15",LEFT(TH!O1918,2)="15"),LEFT(TH!O1918,3)&lt;&gt;"111",'152-CT'!$J$8=TH!F1918),"x","")</f>
        <v/>
      </c>
      <c r="AC1918" s="75" t="str">
        <f>IF(AND(OR(LEFT(TH!N1918,2)="15",LEFT(TH!O1918,2)="15"),TK!$E$7=TH!F1918),"x","")</f>
        <v/>
      </c>
      <c r="AD1918" s="75" t="str">
        <f>IF(AND(N1918="1521",MONTH(C1918)='BK-NL'!$M$11),"x","")</f>
        <v/>
      </c>
      <c r="AE1918" s="1053">
        <v>9</v>
      </c>
    </row>
    <row r="1919" spans="1:31" s="1053" customFormat="1" ht="16.5" customHeight="1">
      <c r="A1919" s="309" t="str">
        <f>IF(B1919&lt;&gt;"",IF(AND(B1919='IN-TC'!$S$4,OR(TH!N1919="1111",TH!O1919="1111")),TH!D1919,""),"")</f>
        <v/>
      </c>
      <c r="B1919" s="1242">
        <f t="shared" si="528"/>
        <v>9</v>
      </c>
      <c r="C1919" s="292">
        <v>43003</v>
      </c>
      <c r="D1919" s="292" t="s">
        <v>1358</v>
      </c>
      <c r="E1919" s="292">
        <f t="shared" si="529"/>
        <v>43003</v>
      </c>
      <c r="F1919" s="67" t="s">
        <v>1143</v>
      </c>
      <c r="G1919" s="925" t="s">
        <v>2174</v>
      </c>
      <c r="H1919" s="311" t="s">
        <v>1684</v>
      </c>
      <c r="I1919" s="373"/>
      <c r="J1919" s="379"/>
      <c r="K1919" s="373"/>
      <c r="L1919" s="379"/>
      <c r="M1919" s="927">
        <v>1796550</v>
      </c>
      <c r="N1919" s="295" t="s">
        <v>9</v>
      </c>
      <c r="O1919" s="295" t="s">
        <v>8</v>
      </c>
      <c r="P1919" s="75" t="str">
        <f>IF(AND('331-CT'!$E$7=TH!H1919,OR(N1919="331",O1919="331")),"x","")</f>
        <v/>
      </c>
      <c r="Q1919" s="75" t="str">
        <f>IF(AND(B1919='111'!$L$11,OR($N1919=$Q$7,$O1919=$Q$7)),"x","")</f>
        <v/>
      </c>
      <c r="R1919" s="75" t="str">
        <f>IF(AND($N1919=$Q$7,$B1919&lt;'111'!$L$11),"x","")</f>
        <v/>
      </c>
      <c r="S1919" s="75" t="str">
        <f>IF(AND($O1919=$Q$7,$B1919&lt;'111'!$L$11),"x","")</f>
        <v/>
      </c>
      <c r="T1919" s="75" t="str">
        <f>IF(ISERROR(FIND('112'!$M$9,G1919,1)),"",IF((AND(FIND('112'!$M$9,G1919,1)&gt;=1,B1919='112'!$K$9,OR($N1919='112'!$I$6,$O1919='112'!$I$6))),"x",""))</f>
        <v/>
      </c>
      <c r="U1919" s="75" t="str">
        <f>IF(ISERROR(FIND('112'!$M$9,G1919,1)),"",IF((AND(LEFT(G1919,2)=LEFT('112'!$M$9,2),B1919&lt;'112'!$K$9,$N1919='112'!$I$6)),"x",""))</f>
        <v/>
      </c>
      <c r="V1919" s="75" t="str">
        <f>IF(ISERROR(FIND('112'!$M$9,G1919,1)),"",IF((AND(RIGHT(G1919,2)=RIGHT('112'!$M$9,2),B1919&lt;'112'!$K$9,$O1919='112'!$I$6)),"x",""))</f>
        <v/>
      </c>
      <c r="W1919" s="75" t="str">
        <f>IF(AND('341-CT'!$H$9=H1919,OR(LEFT(N1919,3)=$W$7,LEFT(O1919,3)=$W$7)),"x","")</f>
        <v/>
      </c>
      <c r="X1919" s="75" t="str">
        <f>IF(OR(TH!N1919=TH!$X$7,O1919=TH!$X$7),"x","")</f>
        <v/>
      </c>
      <c r="Y1919" s="75" t="str">
        <f>IF(AND(OR(N1919="131",O1919="131"),H1919='131-CT'!$H$9),"x","")</f>
        <v/>
      </c>
      <c r="Z1919" s="75"/>
      <c r="AA1919" s="75" t="str">
        <f>IF(AND(MONTH(E1919)='IN-NX'!$J$5,'IN-NX'!$D$7=D1919),"x","")</f>
        <v/>
      </c>
      <c r="AB1919" s="75" t="str">
        <f>IF(AND(OR(LEFT(TH!N1919,2)="15",LEFT(TH!O1919,2)="15"),LEFT(TH!O1919,3)&lt;&gt;"111",'152-CT'!$J$8=TH!F1919),"x","")</f>
        <v/>
      </c>
      <c r="AC1919" s="75" t="str">
        <f>IF(AND(OR(LEFT(TH!N1919,2)="15",LEFT(TH!O1919,2)="15"),TK!$E$7=TH!F1919),"x","")</f>
        <v/>
      </c>
      <c r="AD1919" s="75" t="str">
        <f>IF(AND(N1919="1521",MONTH(C1919)='BK-NL'!$M$11),"x","")</f>
        <v/>
      </c>
      <c r="AE1919" s="1053">
        <v>9</v>
      </c>
    </row>
    <row r="1920" spans="1:31" s="1053" customFormat="1" ht="16.5" customHeight="1">
      <c r="A1920" s="309" t="str">
        <f>IF(B1920&lt;&gt;"",IF(AND(B1920='IN-TC'!$S$4,OR(TH!N1920="1111",TH!O1920="1111")),TH!D1920,""),"")</f>
        <v/>
      </c>
      <c r="B1920" s="1242">
        <f t="shared" si="528"/>
        <v>9</v>
      </c>
      <c r="C1920" s="292">
        <v>43003</v>
      </c>
      <c r="D1920" s="292" t="s">
        <v>1359</v>
      </c>
      <c r="E1920" s="292">
        <f t="shared" si="529"/>
        <v>43003</v>
      </c>
      <c r="F1920" s="67" t="s">
        <v>795</v>
      </c>
      <c r="G1920" s="925" t="s">
        <v>2187</v>
      </c>
      <c r="H1920" s="311" t="s">
        <v>2186</v>
      </c>
      <c r="I1920" s="373">
        <v>3045</v>
      </c>
      <c r="J1920" s="379">
        <v>5900</v>
      </c>
      <c r="K1920" s="373"/>
      <c r="L1920" s="379"/>
      <c r="M1920" s="927">
        <f>I1920*J1920</f>
        <v>17965500</v>
      </c>
      <c r="N1920" s="295" t="s">
        <v>266</v>
      </c>
      <c r="O1920" s="295" t="s">
        <v>8</v>
      </c>
      <c r="P1920" s="75" t="str">
        <f>IF(AND('331-CT'!$E$7=TH!H1920,OR(N1920="331",O1920="331")),"x","")</f>
        <v/>
      </c>
      <c r="Q1920" s="75" t="str">
        <f>IF(AND(B1920='111'!$L$11,OR($N1920=$Q$7,$O1920=$Q$7)),"x","")</f>
        <v/>
      </c>
      <c r="R1920" s="75" t="str">
        <f>IF(AND($N1920=$Q$7,$B1920&lt;'111'!$L$11),"x","")</f>
        <v/>
      </c>
      <c r="S1920" s="75" t="str">
        <f>IF(AND($O1920=$Q$7,$B1920&lt;'111'!$L$11),"x","")</f>
        <v/>
      </c>
      <c r="T1920" s="75" t="str">
        <f>IF(ISERROR(FIND('112'!$M$9,G1920,1)),"",IF((AND(FIND('112'!$M$9,G1920,1)&gt;=1,B1920='112'!$K$9,OR($N1920='112'!$I$6,$O1920='112'!$I$6))),"x",""))</f>
        <v/>
      </c>
      <c r="U1920" s="75" t="str">
        <f>IF(ISERROR(FIND('112'!$M$9,G1920,1)),"",IF((AND(LEFT(G1920,2)=LEFT('112'!$M$9,2),B1920&lt;'112'!$K$9,$N1920='112'!$I$6)),"x",""))</f>
        <v/>
      </c>
      <c r="V1920" s="75" t="str">
        <f>IF(ISERROR(FIND('112'!$M$9,G1920,1)),"",IF((AND(RIGHT(G1920,2)=RIGHT('112'!$M$9,2),B1920&lt;'112'!$K$9,$O1920='112'!$I$6)),"x",""))</f>
        <v/>
      </c>
      <c r="W1920" s="75" t="str">
        <f>IF(AND('341-CT'!$H$9=H1920,OR(LEFT(N1920,3)=$W$7,LEFT(O1920,3)=$W$7)),"x","")</f>
        <v/>
      </c>
      <c r="X1920" s="75" t="str">
        <f>IF(OR(TH!N1920=TH!$X$7,O1920=TH!$X$7),"x","")</f>
        <v/>
      </c>
      <c r="Y1920" s="75" t="str">
        <f>IF(AND(OR(N1920="131",O1920="131"),H1920='131-CT'!$H$9),"x","")</f>
        <v/>
      </c>
      <c r="Z1920" s="75"/>
      <c r="AA1920" s="75" t="str">
        <f>IF(AND(MONTH(E1920)='IN-NX'!$J$5,'IN-NX'!$D$7=D1920),"x","")</f>
        <v/>
      </c>
      <c r="AB1920" s="75" t="str">
        <f>IF(AND(OR(LEFT(TH!N1920,2)="15",LEFT(TH!O1920,2)="15"),LEFT(TH!O1920,3)&lt;&gt;"111",'152-CT'!$J$8=TH!F1920),"x","")</f>
        <v/>
      </c>
      <c r="AC1920" s="75" t="str">
        <f>IF(AND(OR(LEFT(TH!N1920,2)="15",LEFT(TH!O1920,2)="15"),TK!$E$7=TH!F1920),"x","")</f>
        <v/>
      </c>
      <c r="AD1920" s="75" t="str">
        <f>IF(AND(N1920="1521",MONTH(C1920)='BK-NL'!$M$11),"x","")</f>
        <v/>
      </c>
      <c r="AE1920" s="1053">
        <v>9</v>
      </c>
    </row>
    <row r="1921" spans="1:31" s="1053" customFormat="1" ht="16.5" customHeight="1">
      <c r="A1921" s="309" t="str">
        <f>IF(B1921&lt;&gt;"",IF(AND(B1921='IN-TC'!$S$4,OR(TH!N1921="1111",TH!O1921="1111")),TH!D1921,""),"")</f>
        <v/>
      </c>
      <c r="B1921" s="1242">
        <f t="shared" si="528"/>
        <v>9</v>
      </c>
      <c r="C1921" s="292">
        <v>43003</v>
      </c>
      <c r="D1921" s="292" t="s">
        <v>1359</v>
      </c>
      <c r="E1921" s="292">
        <f t="shared" si="529"/>
        <v>43003</v>
      </c>
      <c r="F1921" s="67" t="s">
        <v>1143</v>
      </c>
      <c r="G1921" s="925" t="s">
        <v>2187</v>
      </c>
      <c r="H1921" s="311" t="s">
        <v>2186</v>
      </c>
      <c r="I1921" s="373"/>
      <c r="J1921" s="379"/>
      <c r="K1921" s="373"/>
      <c r="L1921" s="379"/>
      <c r="M1921" s="927">
        <v>1796550</v>
      </c>
      <c r="N1921" s="295" t="s">
        <v>9</v>
      </c>
      <c r="O1921" s="295" t="s">
        <v>8</v>
      </c>
      <c r="P1921" s="75" t="str">
        <f>IF(AND('331-CT'!$E$7=TH!H1921,OR(N1921="331",O1921="331")),"x","")</f>
        <v/>
      </c>
      <c r="Q1921" s="75" t="str">
        <f>IF(AND(B1921='111'!$L$11,OR($N1921=$Q$7,$O1921=$Q$7)),"x","")</f>
        <v/>
      </c>
      <c r="R1921" s="75" t="str">
        <f>IF(AND($N1921=$Q$7,$B1921&lt;'111'!$L$11),"x","")</f>
        <v/>
      </c>
      <c r="S1921" s="75" t="str">
        <f>IF(AND($O1921=$Q$7,$B1921&lt;'111'!$L$11),"x","")</f>
        <v/>
      </c>
      <c r="T1921" s="75" t="str">
        <f>IF(ISERROR(FIND('112'!$M$9,G1921,1)),"",IF((AND(FIND('112'!$M$9,G1921,1)&gt;=1,B1921='112'!$K$9,OR($N1921='112'!$I$6,$O1921='112'!$I$6))),"x",""))</f>
        <v/>
      </c>
      <c r="U1921" s="75" t="str">
        <f>IF(ISERROR(FIND('112'!$M$9,G1921,1)),"",IF((AND(LEFT(G1921,2)=LEFT('112'!$M$9,2),B1921&lt;'112'!$K$9,$N1921='112'!$I$6)),"x",""))</f>
        <v/>
      </c>
      <c r="V1921" s="75" t="str">
        <f>IF(ISERROR(FIND('112'!$M$9,G1921,1)),"",IF((AND(RIGHT(G1921,2)=RIGHT('112'!$M$9,2),B1921&lt;'112'!$K$9,$O1921='112'!$I$6)),"x",""))</f>
        <v/>
      </c>
      <c r="W1921" s="75" t="str">
        <f>IF(AND('341-CT'!$H$9=H1921,OR(LEFT(N1921,3)=$W$7,LEFT(O1921,3)=$W$7)),"x","")</f>
        <v/>
      </c>
      <c r="X1921" s="75" t="str">
        <f>IF(OR(TH!N1921=TH!$X$7,O1921=TH!$X$7),"x","")</f>
        <v/>
      </c>
      <c r="Y1921" s="75" t="str">
        <f>IF(AND(OR(N1921="131",O1921="131"),H1921='131-CT'!$H$9),"x","")</f>
        <v/>
      </c>
      <c r="Z1921" s="75"/>
      <c r="AA1921" s="75" t="str">
        <f>IF(AND(MONTH(E1921)='IN-NX'!$J$5,'IN-NX'!$D$7=D1921),"x","")</f>
        <v/>
      </c>
      <c r="AB1921" s="75" t="str">
        <f>IF(AND(OR(LEFT(TH!N1921,2)="15",LEFT(TH!O1921,2)="15"),LEFT(TH!O1921,3)&lt;&gt;"111",'152-CT'!$J$8=TH!F1921),"x","")</f>
        <v/>
      </c>
      <c r="AC1921" s="75" t="str">
        <f>IF(AND(OR(LEFT(TH!N1921,2)="15",LEFT(TH!O1921,2)="15"),TK!$E$7=TH!F1921),"x","")</f>
        <v/>
      </c>
      <c r="AD1921" s="75" t="str">
        <f>IF(AND(N1921="1521",MONTH(C1921)='BK-NL'!$M$11),"x","")</f>
        <v/>
      </c>
      <c r="AE1921" s="1053">
        <v>9</v>
      </c>
    </row>
    <row r="1922" spans="1:31" s="1053" customFormat="1" ht="16.5" customHeight="1">
      <c r="A1922" s="309" t="str">
        <f>IF(B1922&lt;&gt;"",IF(AND(B1922='IN-TC'!$S$4,OR(TH!N1922="1111",TH!O1922="1111")),TH!D1922,""),"")</f>
        <v/>
      </c>
      <c r="B1922" s="1242">
        <f t="shared" si="528"/>
        <v>9</v>
      </c>
      <c r="C1922" s="292">
        <v>43004</v>
      </c>
      <c r="D1922" s="292" t="s">
        <v>1360</v>
      </c>
      <c r="E1922" s="292">
        <f t="shared" si="529"/>
        <v>43004</v>
      </c>
      <c r="F1922" s="67" t="s">
        <v>795</v>
      </c>
      <c r="G1922" s="925" t="s">
        <v>1172</v>
      </c>
      <c r="H1922" s="311" t="s">
        <v>2186</v>
      </c>
      <c r="I1922" s="373">
        <v>3045</v>
      </c>
      <c r="J1922" s="379">
        <v>5900</v>
      </c>
      <c r="K1922" s="373"/>
      <c r="L1922" s="379"/>
      <c r="M1922" s="927">
        <f>I1922*J1922</f>
        <v>17965500</v>
      </c>
      <c r="N1922" s="295" t="s">
        <v>266</v>
      </c>
      <c r="O1922" s="295" t="s">
        <v>8</v>
      </c>
      <c r="P1922" s="75" t="str">
        <f>IF(AND('331-CT'!$E$7=TH!H1922,OR(N1922="331",O1922="331")),"x","")</f>
        <v/>
      </c>
      <c r="Q1922" s="75" t="str">
        <f>IF(AND(B1922='111'!$L$11,OR($N1922=$Q$7,$O1922=$Q$7)),"x","")</f>
        <v/>
      </c>
      <c r="R1922" s="75" t="str">
        <f>IF(AND($N1922=$Q$7,$B1922&lt;'111'!$L$11),"x","")</f>
        <v/>
      </c>
      <c r="S1922" s="75" t="str">
        <f>IF(AND($O1922=$Q$7,$B1922&lt;'111'!$L$11),"x","")</f>
        <v/>
      </c>
      <c r="T1922" s="75" t="str">
        <f>IF(ISERROR(FIND('112'!$M$9,G1922,1)),"",IF((AND(FIND('112'!$M$9,G1922,1)&gt;=1,B1922='112'!$K$9,OR($N1922='112'!$I$6,$O1922='112'!$I$6))),"x",""))</f>
        <v/>
      </c>
      <c r="U1922" s="75" t="str">
        <f>IF(ISERROR(FIND('112'!$M$9,G1922,1)),"",IF((AND(LEFT(G1922,2)=LEFT('112'!$M$9,2),B1922&lt;'112'!$K$9,$N1922='112'!$I$6)),"x",""))</f>
        <v/>
      </c>
      <c r="V1922" s="75" t="str">
        <f>IF(ISERROR(FIND('112'!$M$9,G1922,1)),"",IF((AND(RIGHT(G1922,2)=RIGHT('112'!$M$9,2),B1922&lt;'112'!$K$9,$O1922='112'!$I$6)),"x",""))</f>
        <v/>
      </c>
      <c r="W1922" s="75" t="str">
        <f>IF(AND('341-CT'!$H$9=H1922,OR(LEFT(N1922,3)=$W$7,LEFT(O1922,3)=$W$7)),"x","")</f>
        <v/>
      </c>
      <c r="X1922" s="75" t="str">
        <f>IF(OR(TH!N1922=TH!$X$7,O1922=TH!$X$7),"x","")</f>
        <v/>
      </c>
      <c r="Y1922" s="75" t="str">
        <f>IF(AND(OR(N1922="131",O1922="131"),H1922='131-CT'!$H$9),"x","")</f>
        <v/>
      </c>
      <c r="Z1922" s="75"/>
      <c r="AA1922" s="75" t="str">
        <f>IF(AND(MONTH(E1922)='IN-NX'!$J$5,'IN-NX'!$D$7=D1922),"x","")</f>
        <v/>
      </c>
      <c r="AB1922" s="75" t="str">
        <f>IF(AND(OR(LEFT(TH!N1922,2)="15",LEFT(TH!O1922,2)="15"),LEFT(TH!O1922,3)&lt;&gt;"111",'152-CT'!$J$8=TH!F1922),"x","")</f>
        <v/>
      </c>
      <c r="AC1922" s="75" t="str">
        <f>IF(AND(OR(LEFT(TH!N1922,2)="15",LEFT(TH!O1922,2)="15"),TK!$E$7=TH!F1922),"x","")</f>
        <v/>
      </c>
      <c r="AD1922" s="75" t="str">
        <f>IF(AND(N1922="1521",MONTH(C1922)='BK-NL'!$M$11),"x","")</f>
        <v/>
      </c>
      <c r="AE1922" s="1053">
        <v>9</v>
      </c>
    </row>
    <row r="1923" spans="1:31" s="1053" customFormat="1" ht="16.5" customHeight="1">
      <c r="A1923" s="309" t="str">
        <f>IF(B1923&lt;&gt;"",IF(AND(B1923='IN-TC'!$S$4,OR(TH!N1923="1111",TH!O1923="1111")),TH!D1923,""),"")</f>
        <v/>
      </c>
      <c r="B1923" s="1242">
        <f t="shared" si="528"/>
        <v>9</v>
      </c>
      <c r="C1923" s="292">
        <v>43004</v>
      </c>
      <c r="D1923" s="292" t="s">
        <v>1360</v>
      </c>
      <c r="E1923" s="292">
        <f t="shared" si="529"/>
        <v>43004</v>
      </c>
      <c r="F1923" s="67" t="s">
        <v>1143</v>
      </c>
      <c r="G1923" s="925" t="s">
        <v>1172</v>
      </c>
      <c r="H1923" s="311" t="s">
        <v>2186</v>
      </c>
      <c r="I1923" s="373"/>
      <c r="J1923" s="379"/>
      <c r="K1923" s="373"/>
      <c r="L1923" s="379"/>
      <c r="M1923" s="927">
        <v>1796550</v>
      </c>
      <c r="N1923" s="295" t="s">
        <v>9</v>
      </c>
      <c r="O1923" s="295" t="s">
        <v>8</v>
      </c>
      <c r="P1923" s="75" t="str">
        <f>IF(AND('331-CT'!$E$7=TH!H1923,OR(N1923="331",O1923="331")),"x","")</f>
        <v/>
      </c>
      <c r="Q1923" s="75" t="str">
        <f>IF(AND(B1923='111'!$L$11,OR($N1923=$Q$7,$O1923=$Q$7)),"x","")</f>
        <v/>
      </c>
      <c r="R1923" s="75" t="str">
        <f>IF(AND($N1923=$Q$7,$B1923&lt;'111'!$L$11),"x","")</f>
        <v/>
      </c>
      <c r="S1923" s="75" t="str">
        <f>IF(AND($O1923=$Q$7,$B1923&lt;'111'!$L$11),"x","")</f>
        <v/>
      </c>
      <c r="T1923" s="75" t="str">
        <f>IF(ISERROR(FIND('112'!$M$9,G1923,1)),"",IF((AND(FIND('112'!$M$9,G1923,1)&gt;=1,B1923='112'!$K$9,OR($N1923='112'!$I$6,$O1923='112'!$I$6))),"x",""))</f>
        <v/>
      </c>
      <c r="U1923" s="75" t="str">
        <f>IF(ISERROR(FIND('112'!$M$9,G1923,1)),"",IF((AND(LEFT(G1923,2)=LEFT('112'!$M$9,2),B1923&lt;'112'!$K$9,$N1923='112'!$I$6)),"x",""))</f>
        <v/>
      </c>
      <c r="V1923" s="75" t="str">
        <f>IF(ISERROR(FIND('112'!$M$9,G1923,1)),"",IF((AND(RIGHT(G1923,2)=RIGHT('112'!$M$9,2),B1923&lt;'112'!$K$9,$O1923='112'!$I$6)),"x",""))</f>
        <v/>
      </c>
      <c r="W1923" s="75" t="str">
        <f>IF(AND('341-CT'!$H$9=H1923,OR(LEFT(N1923,3)=$W$7,LEFT(O1923,3)=$W$7)),"x","")</f>
        <v/>
      </c>
      <c r="X1923" s="75" t="str">
        <f>IF(OR(TH!N1923=TH!$X$7,O1923=TH!$X$7),"x","")</f>
        <v/>
      </c>
      <c r="Y1923" s="75" t="str">
        <f>IF(AND(OR(N1923="131",O1923="131"),H1923='131-CT'!$H$9),"x","")</f>
        <v/>
      </c>
      <c r="Z1923" s="75"/>
      <c r="AA1923" s="75" t="str">
        <f>IF(AND(MONTH(E1923)='IN-NX'!$J$5,'IN-NX'!$D$7=D1923),"x","")</f>
        <v/>
      </c>
      <c r="AB1923" s="75" t="str">
        <f>IF(AND(OR(LEFT(TH!N1923,2)="15",LEFT(TH!O1923,2)="15"),LEFT(TH!O1923,3)&lt;&gt;"111",'152-CT'!$J$8=TH!F1923),"x","")</f>
        <v/>
      </c>
      <c r="AC1923" s="75" t="str">
        <f>IF(AND(OR(LEFT(TH!N1923,2)="15",LEFT(TH!O1923,2)="15"),TK!$E$7=TH!F1923),"x","")</f>
        <v/>
      </c>
      <c r="AD1923" s="75" t="str">
        <f>IF(AND(N1923="1521",MONTH(C1923)='BK-NL'!$M$11),"x","")</f>
        <v/>
      </c>
      <c r="AE1923" s="1053">
        <v>9</v>
      </c>
    </row>
    <row r="1924" spans="1:31" s="1053" customFormat="1" ht="16.5" customHeight="1">
      <c r="A1924" s="309" t="str">
        <f>IF(B1924&lt;&gt;"",IF(AND(B1924='IN-TC'!$S$4,OR(TH!N1924="1111",TH!O1924="1111")),TH!D1924,""),"")</f>
        <v/>
      </c>
      <c r="B1924" s="1242">
        <f t="shared" si="528"/>
        <v>9</v>
      </c>
      <c r="C1924" s="292">
        <v>43004</v>
      </c>
      <c r="D1924" s="292" t="s">
        <v>1361</v>
      </c>
      <c r="E1924" s="292">
        <f t="shared" si="529"/>
        <v>43004</v>
      </c>
      <c r="F1924" s="67" t="s">
        <v>795</v>
      </c>
      <c r="G1924" s="925" t="s">
        <v>2299</v>
      </c>
      <c r="H1924" s="311" t="s">
        <v>1684</v>
      </c>
      <c r="I1924" s="373">
        <v>3045</v>
      </c>
      <c r="J1924" s="379">
        <v>5900</v>
      </c>
      <c r="K1924" s="373"/>
      <c r="L1924" s="379"/>
      <c r="M1924" s="927">
        <f>I1924*J1924</f>
        <v>17965500</v>
      </c>
      <c r="N1924" s="295" t="s">
        <v>266</v>
      </c>
      <c r="O1924" s="295" t="s">
        <v>8</v>
      </c>
      <c r="P1924" s="75" t="str">
        <f>IF(AND('331-CT'!$E$7=TH!H1924,OR(N1924="331",O1924="331")),"x","")</f>
        <v/>
      </c>
      <c r="Q1924" s="75" t="str">
        <f>IF(AND(B1924='111'!$L$11,OR($N1924=$Q$7,$O1924=$Q$7)),"x","")</f>
        <v/>
      </c>
      <c r="R1924" s="75" t="str">
        <f>IF(AND($N1924=$Q$7,$B1924&lt;'111'!$L$11),"x","")</f>
        <v/>
      </c>
      <c r="S1924" s="75" t="str">
        <f>IF(AND($O1924=$Q$7,$B1924&lt;'111'!$L$11),"x","")</f>
        <v/>
      </c>
      <c r="T1924" s="75" t="str">
        <f>IF(ISERROR(FIND('112'!$M$9,G1924,1)),"",IF((AND(FIND('112'!$M$9,G1924,1)&gt;=1,B1924='112'!$K$9,OR($N1924='112'!$I$6,$O1924='112'!$I$6))),"x",""))</f>
        <v/>
      </c>
      <c r="U1924" s="75" t="str">
        <f>IF(ISERROR(FIND('112'!$M$9,G1924,1)),"",IF((AND(LEFT(G1924,2)=LEFT('112'!$M$9,2),B1924&lt;'112'!$K$9,$N1924='112'!$I$6)),"x",""))</f>
        <v/>
      </c>
      <c r="V1924" s="75" t="str">
        <f>IF(ISERROR(FIND('112'!$M$9,G1924,1)),"",IF((AND(RIGHT(G1924,2)=RIGHT('112'!$M$9,2),B1924&lt;'112'!$K$9,$O1924='112'!$I$6)),"x",""))</f>
        <v/>
      </c>
      <c r="W1924" s="75" t="str">
        <f>IF(AND('341-CT'!$H$9=H1924,OR(LEFT(N1924,3)=$W$7,LEFT(O1924,3)=$W$7)),"x","")</f>
        <v/>
      </c>
      <c r="X1924" s="75" t="str">
        <f>IF(OR(TH!N1924=TH!$X$7,O1924=TH!$X$7),"x","")</f>
        <v/>
      </c>
      <c r="Y1924" s="75" t="str">
        <f>IF(AND(OR(N1924="131",O1924="131"),H1924='131-CT'!$H$9),"x","")</f>
        <v/>
      </c>
      <c r="Z1924" s="75"/>
      <c r="AA1924" s="75" t="str">
        <f>IF(AND(MONTH(E1924)='IN-NX'!$J$5,'IN-NX'!$D$7=D1924),"x","")</f>
        <v/>
      </c>
      <c r="AB1924" s="75" t="str">
        <f>IF(AND(OR(LEFT(TH!N1924,2)="15",LEFT(TH!O1924,2)="15"),LEFT(TH!O1924,3)&lt;&gt;"111",'152-CT'!$J$8=TH!F1924),"x","")</f>
        <v/>
      </c>
      <c r="AC1924" s="75" t="str">
        <f>IF(AND(OR(LEFT(TH!N1924,2)="15",LEFT(TH!O1924,2)="15"),TK!$E$7=TH!F1924),"x","")</f>
        <v/>
      </c>
      <c r="AD1924" s="75" t="str">
        <f>IF(AND(N1924="1521",MONTH(C1924)='BK-NL'!$M$11),"x","")</f>
        <v/>
      </c>
      <c r="AE1924" s="1053">
        <v>10</v>
      </c>
    </row>
    <row r="1925" spans="1:31" s="1053" customFormat="1" ht="16.5" customHeight="1">
      <c r="A1925" s="309" t="str">
        <f>IF(B1925&lt;&gt;"",IF(AND(B1925='IN-TC'!$S$4,OR(TH!N1925="1111",TH!O1925="1111")),TH!D1925,""),"")</f>
        <v/>
      </c>
      <c r="B1925" s="1242">
        <f t="shared" si="528"/>
        <v>9</v>
      </c>
      <c r="C1925" s="292">
        <v>43004</v>
      </c>
      <c r="D1925" s="292" t="s">
        <v>1361</v>
      </c>
      <c r="E1925" s="292">
        <f t="shared" si="529"/>
        <v>43004</v>
      </c>
      <c r="F1925" s="67" t="s">
        <v>1143</v>
      </c>
      <c r="G1925" s="925" t="s">
        <v>2299</v>
      </c>
      <c r="H1925" s="311" t="s">
        <v>1684</v>
      </c>
      <c r="I1925" s="373"/>
      <c r="J1925" s="379"/>
      <c r="K1925" s="373"/>
      <c r="L1925" s="379"/>
      <c r="M1925" s="927">
        <v>1796550</v>
      </c>
      <c r="N1925" s="295" t="s">
        <v>9</v>
      </c>
      <c r="O1925" s="295" t="s">
        <v>8</v>
      </c>
      <c r="P1925" s="75" t="str">
        <f>IF(AND('331-CT'!$E$7=TH!H1925,OR(N1925="331",O1925="331")),"x","")</f>
        <v/>
      </c>
      <c r="Q1925" s="75" t="str">
        <f>IF(AND(B1925='111'!$L$11,OR($N1925=$Q$7,$O1925=$Q$7)),"x","")</f>
        <v/>
      </c>
      <c r="R1925" s="75" t="str">
        <f>IF(AND($N1925=$Q$7,$B1925&lt;'111'!$L$11),"x","")</f>
        <v/>
      </c>
      <c r="S1925" s="75" t="str">
        <f>IF(AND($O1925=$Q$7,$B1925&lt;'111'!$L$11),"x","")</f>
        <v/>
      </c>
      <c r="T1925" s="75" t="str">
        <f>IF(ISERROR(FIND('112'!$M$9,G1925,1)),"",IF((AND(FIND('112'!$M$9,G1925,1)&gt;=1,B1925='112'!$K$9,OR($N1925='112'!$I$6,$O1925='112'!$I$6))),"x",""))</f>
        <v/>
      </c>
      <c r="U1925" s="75" t="str">
        <f>IF(ISERROR(FIND('112'!$M$9,G1925,1)),"",IF((AND(LEFT(G1925,2)=LEFT('112'!$M$9,2),B1925&lt;'112'!$K$9,$N1925='112'!$I$6)),"x",""))</f>
        <v/>
      </c>
      <c r="V1925" s="75" t="str">
        <f>IF(ISERROR(FIND('112'!$M$9,G1925,1)),"",IF((AND(RIGHT(G1925,2)=RIGHT('112'!$M$9,2),B1925&lt;'112'!$K$9,$O1925='112'!$I$6)),"x",""))</f>
        <v/>
      </c>
      <c r="W1925" s="75" t="str">
        <f>IF(AND('341-CT'!$H$9=H1925,OR(LEFT(N1925,3)=$W$7,LEFT(O1925,3)=$W$7)),"x","")</f>
        <v/>
      </c>
      <c r="X1925" s="75" t="str">
        <f>IF(OR(TH!N1925=TH!$X$7,O1925=TH!$X$7),"x","")</f>
        <v/>
      </c>
      <c r="Y1925" s="75" t="str">
        <f>IF(AND(OR(N1925="131",O1925="131"),H1925='131-CT'!$H$9),"x","")</f>
        <v/>
      </c>
      <c r="Z1925" s="75"/>
      <c r="AA1925" s="75" t="str">
        <f>IF(AND(MONTH(E1925)='IN-NX'!$J$5,'IN-NX'!$D$7=D1925),"x","")</f>
        <v/>
      </c>
      <c r="AB1925" s="75" t="str">
        <f>IF(AND(OR(LEFT(TH!N1925,2)="15",LEFT(TH!O1925,2)="15"),LEFT(TH!O1925,3)&lt;&gt;"111",'152-CT'!$J$8=TH!F1925),"x","")</f>
        <v/>
      </c>
      <c r="AC1925" s="75" t="str">
        <f>IF(AND(OR(LEFT(TH!N1925,2)="15",LEFT(TH!O1925,2)="15"),TK!$E$7=TH!F1925),"x","")</f>
        <v/>
      </c>
      <c r="AD1925" s="75" t="str">
        <f>IF(AND(N1925="1521",MONTH(C1925)='BK-NL'!$M$11),"x","")</f>
        <v/>
      </c>
      <c r="AE1925" s="1053">
        <v>10</v>
      </c>
    </row>
    <row r="1926" spans="1:31" s="1053" customFormat="1" ht="16.5" customHeight="1">
      <c r="A1926" s="309" t="str">
        <f>IF(B1926&lt;&gt;"",IF(AND(B1926='IN-TC'!$S$4,OR(TH!N1926="1111",TH!O1926="1111")),TH!D1926,""),"")</f>
        <v/>
      </c>
      <c r="B1926" s="1242">
        <f t="shared" si="528"/>
        <v>9</v>
      </c>
      <c r="C1926" s="292">
        <v>43005</v>
      </c>
      <c r="D1926" s="292" t="s">
        <v>1389</v>
      </c>
      <c r="E1926" s="292">
        <f t="shared" si="529"/>
        <v>43005</v>
      </c>
      <c r="F1926" s="67" t="s">
        <v>795</v>
      </c>
      <c r="G1926" s="925" t="s">
        <v>1173</v>
      </c>
      <c r="H1926" s="311" t="s">
        <v>2186</v>
      </c>
      <c r="I1926" s="373">
        <v>3045</v>
      </c>
      <c r="J1926" s="379">
        <v>5900</v>
      </c>
      <c r="K1926" s="373"/>
      <c r="L1926" s="379"/>
      <c r="M1926" s="927">
        <f>I1926*J1926</f>
        <v>17965500</v>
      </c>
      <c r="N1926" s="295" t="s">
        <v>266</v>
      </c>
      <c r="O1926" s="295" t="s">
        <v>8</v>
      </c>
      <c r="P1926" s="75" t="str">
        <f>IF(AND('331-CT'!$E$7=TH!H1926,OR(N1926="331",O1926="331")),"x","")</f>
        <v/>
      </c>
      <c r="Q1926" s="75" t="str">
        <f>IF(AND(B1926='111'!$L$11,OR($N1926=$Q$7,$O1926=$Q$7)),"x","")</f>
        <v/>
      </c>
      <c r="R1926" s="75" t="str">
        <f>IF(AND($N1926=$Q$7,$B1926&lt;'111'!$L$11),"x","")</f>
        <v/>
      </c>
      <c r="S1926" s="75" t="str">
        <f>IF(AND($O1926=$Q$7,$B1926&lt;'111'!$L$11),"x","")</f>
        <v/>
      </c>
      <c r="T1926" s="75" t="str">
        <f>IF(ISERROR(FIND('112'!$M$9,G1926,1)),"",IF((AND(FIND('112'!$M$9,G1926,1)&gt;=1,B1926='112'!$K$9,OR($N1926='112'!$I$6,$O1926='112'!$I$6))),"x",""))</f>
        <v/>
      </c>
      <c r="U1926" s="75" t="str">
        <f>IF(ISERROR(FIND('112'!$M$9,G1926,1)),"",IF((AND(LEFT(G1926,2)=LEFT('112'!$M$9,2),B1926&lt;'112'!$K$9,$N1926='112'!$I$6)),"x",""))</f>
        <v/>
      </c>
      <c r="V1926" s="75" t="str">
        <f>IF(ISERROR(FIND('112'!$M$9,G1926,1)),"",IF((AND(RIGHT(G1926,2)=RIGHT('112'!$M$9,2),B1926&lt;'112'!$K$9,$O1926='112'!$I$6)),"x",""))</f>
        <v/>
      </c>
      <c r="W1926" s="75" t="str">
        <f>IF(AND('341-CT'!$H$9=H1926,OR(LEFT(N1926,3)=$W$7,LEFT(O1926,3)=$W$7)),"x","")</f>
        <v/>
      </c>
      <c r="X1926" s="75" t="str">
        <f>IF(OR(TH!N1926=TH!$X$7,O1926=TH!$X$7),"x","")</f>
        <v/>
      </c>
      <c r="Y1926" s="75" t="str">
        <f>IF(AND(OR(N1926="131",O1926="131"),H1926='131-CT'!$H$9),"x","")</f>
        <v/>
      </c>
      <c r="Z1926" s="75"/>
      <c r="AA1926" s="75" t="str">
        <f>IF(AND(MONTH(E1926)='IN-NX'!$J$5,'IN-NX'!$D$7=D1926),"x","")</f>
        <v/>
      </c>
      <c r="AB1926" s="75" t="str">
        <f>IF(AND(OR(LEFT(TH!N1926,2)="15",LEFT(TH!O1926,2)="15"),LEFT(TH!O1926,3)&lt;&gt;"111",'152-CT'!$J$8=TH!F1926),"x","")</f>
        <v/>
      </c>
      <c r="AC1926" s="75" t="str">
        <f>IF(AND(OR(LEFT(TH!N1926,2)="15",LEFT(TH!O1926,2)="15"),TK!$E$7=TH!F1926),"x","")</f>
        <v/>
      </c>
      <c r="AD1926" s="75" t="str">
        <f>IF(AND(N1926="1521",MONTH(C1926)='BK-NL'!$M$11),"x","")</f>
        <v/>
      </c>
      <c r="AE1926" s="1053">
        <v>9</v>
      </c>
    </row>
    <row r="1927" spans="1:31" s="1053" customFormat="1" ht="16.5" customHeight="1">
      <c r="A1927" s="309" t="str">
        <f>IF(B1927&lt;&gt;"",IF(AND(B1927='IN-TC'!$S$4,OR(TH!N1927="1111",TH!O1927="1111")),TH!D1927,""),"")</f>
        <v/>
      </c>
      <c r="B1927" s="1242">
        <f t="shared" si="528"/>
        <v>9</v>
      </c>
      <c r="C1927" s="292">
        <v>43005</v>
      </c>
      <c r="D1927" s="292" t="s">
        <v>1389</v>
      </c>
      <c r="E1927" s="292">
        <f t="shared" si="529"/>
        <v>43005</v>
      </c>
      <c r="F1927" s="67" t="s">
        <v>1143</v>
      </c>
      <c r="G1927" s="925" t="s">
        <v>1173</v>
      </c>
      <c r="H1927" s="311" t="s">
        <v>2186</v>
      </c>
      <c r="I1927" s="373"/>
      <c r="J1927" s="379"/>
      <c r="K1927" s="373"/>
      <c r="L1927" s="379"/>
      <c r="M1927" s="927">
        <v>1796550</v>
      </c>
      <c r="N1927" s="295" t="s">
        <v>9</v>
      </c>
      <c r="O1927" s="295" t="s">
        <v>8</v>
      </c>
      <c r="P1927" s="75" t="str">
        <f>IF(AND('331-CT'!$E$7=TH!H1927,OR(N1927="331",O1927="331")),"x","")</f>
        <v/>
      </c>
      <c r="Q1927" s="75" t="str">
        <f>IF(AND(B1927='111'!$L$11,OR($N1927=$Q$7,$O1927=$Q$7)),"x","")</f>
        <v/>
      </c>
      <c r="R1927" s="75" t="str">
        <f>IF(AND($N1927=$Q$7,$B1927&lt;'111'!$L$11),"x","")</f>
        <v/>
      </c>
      <c r="S1927" s="75" t="str">
        <f>IF(AND($O1927=$Q$7,$B1927&lt;'111'!$L$11),"x","")</f>
        <v/>
      </c>
      <c r="T1927" s="75" t="str">
        <f>IF(ISERROR(FIND('112'!$M$9,G1927,1)),"",IF((AND(FIND('112'!$M$9,G1927,1)&gt;=1,B1927='112'!$K$9,OR($N1927='112'!$I$6,$O1927='112'!$I$6))),"x",""))</f>
        <v/>
      </c>
      <c r="U1927" s="75" t="str">
        <f>IF(ISERROR(FIND('112'!$M$9,G1927,1)),"",IF((AND(LEFT(G1927,2)=LEFT('112'!$M$9,2),B1927&lt;'112'!$K$9,$N1927='112'!$I$6)),"x",""))</f>
        <v/>
      </c>
      <c r="V1927" s="75" t="str">
        <f>IF(ISERROR(FIND('112'!$M$9,G1927,1)),"",IF((AND(RIGHT(G1927,2)=RIGHT('112'!$M$9,2),B1927&lt;'112'!$K$9,$O1927='112'!$I$6)),"x",""))</f>
        <v/>
      </c>
      <c r="W1927" s="75" t="str">
        <f>IF(AND('341-CT'!$H$9=H1927,OR(LEFT(N1927,3)=$W$7,LEFT(O1927,3)=$W$7)),"x","")</f>
        <v/>
      </c>
      <c r="X1927" s="75" t="str">
        <f>IF(OR(TH!N1927=TH!$X$7,O1927=TH!$X$7),"x","")</f>
        <v/>
      </c>
      <c r="Y1927" s="75" t="str">
        <f>IF(AND(OR(N1927="131",O1927="131"),H1927='131-CT'!$H$9),"x","")</f>
        <v/>
      </c>
      <c r="Z1927" s="75"/>
      <c r="AA1927" s="75" t="str">
        <f>IF(AND(MONTH(E1927)='IN-NX'!$J$5,'IN-NX'!$D$7=D1927),"x","")</f>
        <v/>
      </c>
      <c r="AB1927" s="75" t="str">
        <f>IF(AND(OR(LEFT(TH!N1927,2)="15",LEFT(TH!O1927,2)="15"),LEFT(TH!O1927,3)&lt;&gt;"111",'152-CT'!$J$8=TH!F1927),"x","")</f>
        <v/>
      </c>
      <c r="AC1927" s="75" t="str">
        <f>IF(AND(OR(LEFT(TH!N1927,2)="15",LEFT(TH!O1927,2)="15"),TK!$E$7=TH!F1927),"x","")</f>
        <v/>
      </c>
      <c r="AD1927" s="75" t="str">
        <f>IF(AND(N1927="1521",MONTH(C1927)='BK-NL'!$M$11),"x","")</f>
        <v/>
      </c>
      <c r="AE1927" s="1053">
        <v>9</v>
      </c>
    </row>
    <row r="1928" spans="1:31" s="1053" customFormat="1" ht="16.5" customHeight="1">
      <c r="A1928" s="309" t="str">
        <f>IF(B1928&lt;&gt;"",IF(AND(B1928='IN-TC'!$S$4,OR(TH!N1928="1111",TH!O1928="1111")),TH!D1928,""),"")</f>
        <v/>
      </c>
      <c r="B1928" s="1242">
        <f t="shared" si="528"/>
        <v>9</v>
      </c>
      <c r="C1928" s="292">
        <v>43005</v>
      </c>
      <c r="D1928" s="292" t="s">
        <v>1390</v>
      </c>
      <c r="E1928" s="292">
        <f t="shared" si="529"/>
        <v>43005</v>
      </c>
      <c r="F1928" s="67" t="s">
        <v>795</v>
      </c>
      <c r="G1928" s="925" t="s">
        <v>2300</v>
      </c>
      <c r="H1928" s="311" t="s">
        <v>1684</v>
      </c>
      <c r="I1928" s="373">
        <v>3045</v>
      </c>
      <c r="J1928" s="379">
        <v>5900</v>
      </c>
      <c r="K1928" s="373"/>
      <c r="L1928" s="379"/>
      <c r="M1928" s="927">
        <f>I1928*J1928</f>
        <v>17965500</v>
      </c>
      <c r="N1928" s="295" t="s">
        <v>266</v>
      </c>
      <c r="O1928" s="295" t="s">
        <v>8</v>
      </c>
      <c r="P1928" s="75" t="str">
        <f>IF(AND('331-CT'!$E$7=TH!H1928,OR(N1928="331",O1928="331")),"x","")</f>
        <v/>
      </c>
      <c r="Q1928" s="75" t="str">
        <f>IF(AND(B1928='111'!$L$11,OR($N1928=$Q$7,$O1928=$Q$7)),"x","")</f>
        <v/>
      </c>
      <c r="R1928" s="75" t="str">
        <f>IF(AND($N1928=$Q$7,$B1928&lt;'111'!$L$11),"x","")</f>
        <v/>
      </c>
      <c r="S1928" s="75" t="str">
        <f>IF(AND($O1928=$Q$7,$B1928&lt;'111'!$L$11),"x","")</f>
        <v/>
      </c>
      <c r="T1928" s="75" t="str">
        <f>IF(ISERROR(FIND('112'!$M$9,G1928,1)),"",IF((AND(FIND('112'!$M$9,G1928,1)&gt;=1,B1928='112'!$K$9,OR($N1928='112'!$I$6,$O1928='112'!$I$6))),"x",""))</f>
        <v/>
      </c>
      <c r="U1928" s="75" t="str">
        <f>IF(ISERROR(FIND('112'!$M$9,G1928,1)),"",IF((AND(LEFT(G1928,2)=LEFT('112'!$M$9,2),B1928&lt;'112'!$K$9,$N1928='112'!$I$6)),"x",""))</f>
        <v/>
      </c>
      <c r="V1928" s="75" t="str">
        <f>IF(ISERROR(FIND('112'!$M$9,G1928,1)),"",IF((AND(RIGHT(G1928,2)=RIGHT('112'!$M$9,2),B1928&lt;'112'!$K$9,$O1928='112'!$I$6)),"x",""))</f>
        <v/>
      </c>
      <c r="W1928" s="75" t="str">
        <f>IF(AND('341-CT'!$H$9=H1928,OR(LEFT(N1928,3)=$W$7,LEFT(O1928,3)=$W$7)),"x","")</f>
        <v/>
      </c>
      <c r="X1928" s="75" t="str">
        <f>IF(OR(TH!N1928=TH!$X$7,O1928=TH!$X$7),"x","")</f>
        <v/>
      </c>
      <c r="Y1928" s="75" t="str">
        <f>IF(AND(OR(N1928="131",O1928="131"),H1928='131-CT'!$H$9),"x","")</f>
        <v/>
      </c>
      <c r="Z1928" s="75"/>
      <c r="AA1928" s="75" t="str">
        <f>IF(AND(MONTH(E1928)='IN-NX'!$J$5,'IN-NX'!$D$7=D1928),"x","")</f>
        <v/>
      </c>
      <c r="AB1928" s="75" t="str">
        <f>IF(AND(OR(LEFT(TH!N1928,2)="15",LEFT(TH!O1928,2)="15"),LEFT(TH!O1928,3)&lt;&gt;"111",'152-CT'!$J$8=TH!F1928),"x","")</f>
        <v/>
      </c>
      <c r="AC1928" s="75" t="str">
        <f>IF(AND(OR(LEFT(TH!N1928,2)="15",LEFT(TH!O1928,2)="15"),TK!$E$7=TH!F1928),"x","")</f>
        <v/>
      </c>
      <c r="AD1928" s="75" t="str">
        <f>IF(AND(N1928="1521",MONTH(C1928)='BK-NL'!$M$11),"x","")</f>
        <v/>
      </c>
      <c r="AE1928" s="1053">
        <v>10</v>
      </c>
    </row>
    <row r="1929" spans="1:31" s="1053" customFormat="1" ht="16.5" customHeight="1">
      <c r="A1929" s="309" t="str">
        <f>IF(B1929&lt;&gt;"",IF(AND(B1929='IN-TC'!$S$4,OR(TH!N1929="1111",TH!O1929="1111")),TH!D1929,""),"")</f>
        <v/>
      </c>
      <c r="B1929" s="1242">
        <f t="shared" si="528"/>
        <v>9</v>
      </c>
      <c r="C1929" s="292">
        <v>43005</v>
      </c>
      <c r="D1929" s="292" t="s">
        <v>1390</v>
      </c>
      <c r="E1929" s="292">
        <f t="shared" si="529"/>
        <v>43005</v>
      </c>
      <c r="F1929" s="67" t="s">
        <v>1143</v>
      </c>
      <c r="G1929" s="925" t="s">
        <v>2300</v>
      </c>
      <c r="H1929" s="311" t="s">
        <v>1684</v>
      </c>
      <c r="I1929" s="373"/>
      <c r="J1929" s="379"/>
      <c r="K1929" s="373"/>
      <c r="L1929" s="379"/>
      <c r="M1929" s="927">
        <v>1796550</v>
      </c>
      <c r="N1929" s="295" t="s">
        <v>9</v>
      </c>
      <c r="O1929" s="295" t="s">
        <v>8</v>
      </c>
      <c r="P1929" s="75" t="str">
        <f>IF(AND('331-CT'!$E$7=TH!H1929,OR(N1929="331",O1929="331")),"x","")</f>
        <v/>
      </c>
      <c r="Q1929" s="75" t="str">
        <f>IF(AND(B1929='111'!$L$11,OR($N1929=$Q$7,$O1929=$Q$7)),"x","")</f>
        <v/>
      </c>
      <c r="R1929" s="75" t="str">
        <f>IF(AND($N1929=$Q$7,$B1929&lt;'111'!$L$11),"x","")</f>
        <v/>
      </c>
      <c r="S1929" s="75" t="str">
        <f>IF(AND($O1929=$Q$7,$B1929&lt;'111'!$L$11),"x","")</f>
        <v/>
      </c>
      <c r="T1929" s="75" t="str">
        <f>IF(ISERROR(FIND('112'!$M$9,G1929,1)),"",IF((AND(FIND('112'!$M$9,G1929,1)&gt;=1,B1929='112'!$K$9,OR($N1929='112'!$I$6,$O1929='112'!$I$6))),"x",""))</f>
        <v/>
      </c>
      <c r="U1929" s="75" t="str">
        <f>IF(ISERROR(FIND('112'!$M$9,G1929,1)),"",IF((AND(LEFT(G1929,2)=LEFT('112'!$M$9,2),B1929&lt;'112'!$K$9,$N1929='112'!$I$6)),"x",""))</f>
        <v/>
      </c>
      <c r="V1929" s="75" t="str">
        <f>IF(ISERROR(FIND('112'!$M$9,G1929,1)),"",IF((AND(RIGHT(G1929,2)=RIGHT('112'!$M$9,2),B1929&lt;'112'!$K$9,$O1929='112'!$I$6)),"x",""))</f>
        <v/>
      </c>
      <c r="W1929" s="75" t="str">
        <f>IF(AND('341-CT'!$H$9=H1929,OR(LEFT(N1929,3)=$W$7,LEFT(O1929,3)=$W$7)),"x","")</f>
        <v/>
      </c>
      <c r="X1929" s="75" t="str">
        <f>IF(OR(TH!N1929=TH!$X$7,O1929=TH!$X$7),"x","")</f>
        <v/>
      </c>
      <c r="Y1929" s="75" t="str">
        <f>IF(AND(OR(N1929="131",O1929="131"),H1929='131-CT'!$H$9),"x","")</f>
        <v/>
      </c>
      <c r="Z1929" s="75"/>
      <c r="AA1929" s="75" t="str">
        <f>IF(AND(MONTH(E1929)='IN-NX'!$J$5,'IN-NX'!$D$7=D1929),"x","")</f>
        <v/>
      </c>
      <c r="AB1929" s="75" t="str">
        <f>IF(AND(OR(LEFT(TH!N1929,2)="15",LEFT(TH!O1929,2)="15"),LEFT(TH!O1929,3)&lt;&gt;"111",'152-CT'!$J$8=TH!F1929),"x","")</f>
        <v/>
      </c>
      <c r="AC1929" s="75" t="str">
        <f>IF(AND(OR(LEFT(TH!N1929,2)="15",LEFT(TH!O1929,2)="15"),TK!$E$7=TH!F1929),"x","")</f>
        <v/>
      </c>
      <c r="AD1929" s="75" t="str">
        <f>IF(AND(N1929="1521",MONTH(C1929)='BK-NL'!$M$11),"x","")</f>
        <v/>
      </c>
      <c r="AE1929" s="1053">
        <v>10</v>
      </c>
    </row>
    <row r="1930" spans="1:31" s="1053" customFormat="1" ht="16.5" customHeight="1">
      <c r="A1930" s="309" t="str">
        <f>IF(B1930&lt;&gt;"",IF(AND(B1930='IN-TC'!$S$4,OR(TH!N1930="1111",TH!O1930="1111")),TH!D1930,""),"")</f>
        <v/>
      </c>
      <c r="B1930" s="1242">
        <f t="shared" si="528"/>
        <v>9</v>
      </c>
      <c r="C1930" s="292">
        <v>43005</v>
      </c>
      <c r="D1930" s="292" t="s">
        <v>1391</v>
      </c>
      <c r="E1930" s="292">
        <f t="shared" si="529"/>
        <v>43005</v>
      </c>
      <c r="F1930" s="432" t="s">
        <v>327</v>
      </c>
      <c r="G1930" s="925" t="s">
        <v>2559</v>
      </c>
      <c r="H1930" s="68" t="s">
        <v>803</v>
      </c>
      <c r="I1930" s="373">
        <v>500</v>
      </c>
      <c r="J1930" s="379">
        <v>32200</v>
      </c>
      <c r="K1930" s="373"/>
      <c r="L1930" s="379"/>
      <c r="M1930" s="927">
        <f>I1930*J1930</f>
        <v>16100000</v>
      </c>
      <c r="N1930" s="295" t="s">
        <v>266</v>
      </c>
      <c r="O1930" s="295" t="s">
        <v>8</v>
      </c>
      <c r="P1930" s="75" t="str">
        <f>IF(AND('331-CT'!$E$7=TH!H1930,OR(N1930="331",O1930="331")),"x","")</f>
        <v/>
      </c>
      <c r="Q1930" s="75" t="str">
        <f>IF(AND(B1930='111'!$L$11,OR($N1930=$Q$7,$O1930=$Q$7)),"x","")</f>
        <v/>
      </c>
      <c r="R1930" s="75" t="str">
        <f>IF(AND($N1930=$Q$7,$B1930&lt;'111'!$L$11),"x","")</f>
        <v/>
      </c>
      <c r="S1930" s="75" t="str">
        <f>IF(AND($O1930=$Q$7,$B1930&lt;'111'!$L$11),"x","")</f>
        <v/>
      </c>
      <c r="T1930" s="75" t="str">
        <f>IF(ISERROR(FIND('112'!$M$9,G1930,1)),"",IF((AND(FIND('112'!$M$9,G1930,1)&gt;=1,B1930='112'!$K$9,OR($N1930='112'!$I$6,$O1930='112'!$I$6))),"x",""))</f>
        <v/>
      </c>
      <c r="U1930" s="75" t="str">
        <f>IF(ISERROR(FIND('112'!$M$9,G1930,1)),"",IF((AND(LEFT(G1930,2)=LEFT('112'!$M$9,2),B1930&lt;'112'!$K$9,$N1930='112'!$I$6)),"x",""))</f>
        <v/>
      </c>
      <c r="V1930" s="75" t="str">
        <f>IF(ISERROR(FIND('112'!$M$9,G1930,1)),"",IF((AND(RIGHT(G1930,2)=RIGHT('112'!$M$9,2),B1930&lt;'112'!$K$9,$O1930='112'!$I$6)),"x",""))</f>
        <v/>
      </c>
      <c r="W1930" s="75" t="str">
        <f>IF(AND('341-CT'!$H$9=H1930,OR(LEFT(N1930,3)=$W$7,LEFT(O1930,3)=$W$7)),"x","")</f>
        <v/>
      </c>
      <c r="X1930" s="75" t="str">
        <f>IF(OR(TH!N1930=TH!$X$7,O1930=TH!$X$7),"x","")</f>
        <v/>
      </c>
      <c r="Y1930" s="75" t="str">
        <f>IF(AND(OR(N1930="131",O1930="131"),H1930='131-CT'!$H$9),"x","")</f>
        <v/>
      </c>
      <c r="Z1930" s="75"/>
      <c r="AA1930" s="75" t="str">
        <f>IF(AND(MONTH(E1930)='IN-NX'!$J$5,'IN-NX'!$D$7=D1930),"x","")</f>
        <v/>
      </c>
      <c r="AB1930" s="75" t="str">
        <f>IF(AND(OR(LEFT(TH!N1930,2)="15",LEFT(TH!O1930,2)="15"),LEFT(TH!O1930,3)&lt;&gt;"111",'152-CT'!$J$8=TH!F1930),"x","")</f>
        <v/>
      </c>
      <c r="AC1930" s="75" t="str">
        <f>IF(AND(OR(LEFT(TH!N1930,2)="15",LEFT(TH!O1930,2)="15"),TK!$E$7=TH!F1930),"x","")</f>
        <v/>
      </c>
      <c r="AD1930" s="75" t="str">
        <f>IF(AND(N1930="1521",MONTH(C1930)='BK-NL'!$M$11),"x","")</f>
        <v/>
      </c>
      <c r="AE1930" s="1053">
        <v>10</v>
      </c>
    </row>
    <row r="1931" spans="1:31" s="1053" customFormat="1" ht="16.5" customHeight="1">
      <c r="A1931" s="309" t="str">
        <f>IF(B1931&lt;&gt;"",IF(AND(B1931='IN-TC'!$S$4,OR(TH!N1931="1111",TH!O1931="1111")),TH!D1931,""),"")</f>
        <v/>
      </c>
      <c r="B1931" s="1242">
        <f t="shared" si="528"/>
        <v>9</v>
      </c>
      <c r="C1931" s="292">
        <v>43005</v>
      </c>
      <c r="D1931" s="292" t="s">
        <v>1391</v>
      </c>
      <c r="E1931" s="292">
        <f t="shared" si="529"/>
        <v>43005</v>
      </c>
      <c r="F1931" s="432" t="s">
        <v>2136</v>
      </c>
      <c r="G1931" s="925" t="s">
        <v>2559</v>
      </c>
      <c r="H1931" s="68" t="s">
        <v>803</v>
      </c>
      <c r="I1931" s="373"/>
      <c r="J1931" s="379"/>
      <c r="K1931" s="373"/>
      <c r="L1931" s="379"/>
      <c r="M1931" s="927">
        <v>1610000</v>
      </c>
      <c r="N1931" s="295" t="s">
        <v>9</v>
      </c>
      <c r="O1931" s="295" t="s">
        <v>8</v>
      </c>
      <c r="P1931" s="75" t="str">
        <f>IF(AND('331-CT'!$E$7=TH!H1931,OR(N1931="331",O1931="331")),"x","")</f>
        <v/>
      </c>
      <c r="Q1931" s="75" t="str">
        <f>IF(AND(B1931='111'!$L$11,OR($N1931=$Q$7,$O1931=$Q$7)),"x","")</f>
        <v/>
      </c>
      <c r="R1931" s="75" t="str">
        <f>IF(AND($N1931=$Q$7,$B1931&lt;'111'!$L$11),"x","")</f>
        <v/>
      </c>
      <c r="S1931" s="75" t="str">
        <f>IF(AND($O1931=$Q$7,$B1931&lt;'111'!$L$11),"x","")</f>
        <v/>
      </c>
      <c r="T1931" s="75" t="str">
        <f>IF(ISERROR(FIND('112'!$M$9,G1931,1)),"",IF((AND(FIND('112'!$M$9,G1931,1)&gt;=1,B1931='112'!$K$9,OR($N1931='112'!$I$6,$O1931='112'!$I$6))),"x",""))</f>
        <v/>
      </c>
      <c r="U1931" s="75" t="str">
        <f>IF(ISERROR(FIND('112'!$M$9,G1931,1)),"",IF((AND(LEFT(G1931,2)=LEFT('112'!$M$9,2),B1931&lt;'112'!$K$9,$N1931='112'!$I$6)),"x",""))</f>
        <v/>
      </c>
      <c r="V1931" s="75" t="str">
        <f>IF(ISERROR(FIND('112'!$M$9,G1931,1)),"",IF((AND(RIGHT(G1931,2)=RIGHT('112'!$M$9,2),B1931&lt;'112'!$K$9,$O1931='112'!$I$6)),"x",""))</f>
        <v/>
      </c>
      <c r="W1931" s="75" t="str">
        <f>IF(AND('341-CT'!$H$9=H1931,OR(LEFT(N1931,3)=$W$7,LEFT(O1931,3)=$W$7)),"x","")</f>
        <v/>
      </c>
      <c r="X1931" s="75" t="str">
        <f>IF(OR(TH!N1931=TH!$X$7,O1931=TH!$X$7),"x","")</f>
        <v/>
      </c>
      <c r="Y1931" s="75" t="str">
        <f>IF(AND(OR(N1931="131",O1931="131"),H1931='131-CT'!$H$9),"x","")</f>
        <v/>
      </c>
      <c r="Z1931" s="75"/>
      <c r="AA1931" s="75" t="str">
        <f>IF(AND(MONTH(E1931)='IN-NX'!$J$5,'IN-NX'!$D$7=D1931),"x","")</f>
        <v/>
      </c>
      <c r="AB1931" s="75" t="str">
        <f>IF(AND(OR(LEFT(TH!N1931,2)="15",LEFT(TH!O1931,2)="15"),LEFT(TH!O1931,3)&lt;&gt;"111",'152-CT'!$J$8=TH!F1931),"x","")</f>
        <v/>
      </c>
      <c r="AC1931" s="75" t="str">
        <f>IF(AND(OR(LEFT(TH!N1931,2)="15",LEFT(TH!O1931,2)="15"),TK!$E$7=TH!F1931),"x","")</f>
        <v/>
      </c>
      <c r="AD1931" s="75" t="str">
        <f>IF(AND(N1931="1521",MONTH(C1931)='BK-NL'!$M$11),"x","")</f>
        <v/>
      </c>
      <c r="AE1931" s="1053">
        <v>10</v>
      </c>
    </row>
    <row r="1932" spans="1:31" s="1053" customFormat="1" ht="16.5" customHeight="1">
      <c r="A1932" s="309" t="str">
        <f>IF(B1932&lt;&gt;"",IF(AND(B1932='IN-TC'!$S$4,OR(TH!N1932="1111",TH!O1932="1111")),TH!D1932,""),"")</f>
        <v/>
      </c>
      <c r="B1932" s="1242">
        <f t="shared" si="528"/>
        <v>9</v>
      </c>
      <c r="C1932" s="292">
        <v>43006</v>
      </c>
      <c r="D1932" s="292" t="s">
        <v>1392</v>
      </c>
      <c r="E1932" s="292">
        <f t="shared" si="529"/>
        <v>43006</v>
      </c>
      <c r="F1932" s="67" t="s">
        <v>795</v>
      </c>
      <c r="G1932" s="925" t="s">
        <v>1168</v>
      </c>
      <c r="H1932" s="311" t="s">
        <v>2186</v>
      </c>
      <c r="I1932" s="373">
        <v>3045</v>
      </c>
      <c r="J1932" s="379">
        <v>5900</v>
      </c>
      <c r="K1932" s="373"/>
      <c r="L1932" s="379"/>
      <c r="M1932" s="927">
        <f>I1932*J1932</f>
        <v>17965500</v>
      </c>
      <c r="N1932" s="295" t="s">
        <v>266</v>
      </c>
      <c r="O1932" s="295" t="s">
        <v>8</v>
      </c>
      <c r="P1932" s="75" t="str">
        <f>IF(AND('331-CT'!$E$7=TH!H1932,OR(N1932="331",O1932="331")),"x","")</f>
        <v/>
      </c>
      <c r="Q1932" s="75" t="str">
        <f>IF(AND(B1932='111'!$L$11,OR($N1932=$Q$7,$O1932=$Q$7)),"x","")</f>
        <v/>
      </c>
      <c r="R1932" s="75" t="str">
        <f>IF(AND($N1932=$Q$7,$B1932&lt;'111'!$L$11),"x","")</f>
        <v/>
      </c>
      <c r="S1932" s="75" t="str">
        <f>IF(AND($O1932=$Q$7,$B1932&lt;'111'!$L$11),"x","")</f>
        <v/>
      </c>
      <c r="T1932" s="75" t="str">
        <f>IF(ISERROR(FIND('112'!$M$9,G1932,1)),"",IF((AND(FIND('112'!$M$9,G1932,1)&gt;=1,B1932='112'!$K$9,OR($N1932='112'!$I$6,$O1932='112'!$I$6))),"x",""))</f>
        <v/>
      </c>
      <c r="U1932" s="75" t="str">
        <f>IF(ISERROR(FIND('112'!$M$9,G1932,1)),"",IF((AND(LEFT(G1932,2)=LEFT('112'!$M$9,2),B1932&lt;'112'!$K$9,$N1932='112'!$I$6)),"x",""))</f>
        <v/>
      </c>
      <c r="V1932" s="75" t="str">
        <f>IF(ISERROR(FIND('112'!$M$9,G1932,1)),"",IF((AND(RIGHT(G1932,2)=RIGHT('112'!$M$9,2),B1932&lt;'112'!$K$9,$O1932='112'!$I$6)),"x",""))</f>
        <v/>
      </c>
      <c r="W1932" s="75" t="str">
        <f>IF(AND('341-CT'!$H$9=H1932,OR(LEFT(N1932,3)=$W$7,LEFT(O1932,3)=$W$7)),"x","")</f>
        <v/>
      </c>
      <c r="X1932" s="75" t="str">
        <f>IF(OR(TH!N1932=TH!$X$7,O1932=TH!$X$7),"x","")</f>
        <v/>
      </c>
      <c r="Y1932" s="75" t="str">
        <f>IF(AND(OR(N1932="131",O1932="131"),H1932='131-CT'!$H$9),"x","")</f>
        <v/>
      </c>
      <c r="Z1932" s="75"/>
      <c r="AA1932" s="75" t="str">
        <f>IF(AND(MONTH(E1932)='IN-NX'!$J$5,'IN-NX'!$D$7=D1932),"x","")</f>
        <v/>
      </c>
      <c r="AB1932" s="75" t="str">
        <f>IF(AND(OR(LEFT(TH!N1932,2)="15",LEFT(TH!O1932,2)="15"),LEFT(TH!O1932,3)&lt;&gt;"111",'152-CT'!$J$8=TH!F1932),"x","")</f>
        <v/>
      </c>
      <c r="AC1932" s="75" t="str">
        <f>IF(AND(OR(LEFT(TH!N1932,2)="15",LEFT(TH!O1932,2)="15"),TK!$E$7=TH!F1932),"x","")</f>
        <v/>
      </c>
      <c r="AD1932" s="75" t="str">
        <f>IF(AND(N1932="1521",MONTH(C1932)='BK-NL'!$M$11),"x","")</f>
        <v/>
      </c>
      <c r="AE1932" s="1053">
        <v>9</v>
      </c>
    </row>
    <row r="1933" spans="1:31" s="1053" customFormat="1" ht="16.5" customHeight="1">
      <c r="A1933" s="309" t="str">
        <f>IF(B1933&lt;&gt;"",IF(AND(B1933='IN-TC'!$S$4,OR(TH!N1933="1111",TH!O1933="1111")),TH!D1933,""),"")</f>
        <v/>
      </c>
      <c r="B1933" s="1242">
        <f t="shared" si="528"/>
        <v>9</v>
      </c>
      <c r="C1933" s="292">
        <v>43006</v>
      </c>
      <c r="D1933" s="292" t="s">
        <v>1392</v>
      </c>
      <c r="E1933" s="292">
        <f t="shared" si="529"/>
        <v>43006</v>
      </c>
      <c r="F1933" s="67" t="s">
        <v>1143</v>
      </c>
      <c r="G1933" s="925" t="s">
        <v>1168</v>
      </c>
      <c r="H1933" s="311" t="s">
        <v>2186</v>
      </c>
      <c r="I1933" s="373"/>
      <c r="J1933" s="379"/>
      <c r="K1933" s="373"/>
      <c r="L1933" s="379"/>
      <c r="M1933" s="927">
        <v>1796550</v>
      </c>
      <c r="N1933" s="295" t="s">
        <v>9</v>
      </c>
      <c r="O1933" s="295" t="s">
        <v>8</v>
      </c>
      <c r="P1933" s="75" t="str">
        <f>IF(AND('331-CT'!$E$7=TH!H1933,OR(N1933="331",O1933="331")),"x","")</f>
        <v/>
      </c>
      <c r="Q1933" s="75" t="str">
        <f>IF(AND(B1933='111'!$L$11,OR($N1933=$Q$7,$O1933=$Q$7)),"x","")</f>
        <v/>
      </c>
      <c r="R1933" s="75" t="str">
        <f>IF(AND($N1933=$Q$7,$B1933&lt;'111'!$L$11),"x","")</f>
        <v/>
      </c>
      <c r="S1933" s="75" t="str">
        <f>IF(AND($O1933=$Q$7,$B1933&lt;'111'!$L$11),"x","")</f>
        <v/>
      </c>
      <c r="T1933" s="75" t="str">
        <f>IF(ISERROR(FIND('112'!$M$9,G1933,1)),"",IF((AND(FIND('112'!$M$9,G1933,1)&gt;=1,B1933='112'!$K$9,OR($N1933='112'!$I$6,$O1933='112'!$I$6))),"x",""))</f>
        <v/>
      </c>
      <c r="U1933" s="75" t="str">
        <f>IF(ISERROR(FIND('112'!$M$9,G1933,1)),"",IF((AND(LEFT(G1933,2)=LEFT('112'!$M$9,2),B1933&lt;'112'!$K$9,$N1933='112'!$I$6)),"x",""))</f>
        <v/>
      </c>
      <c r="V1933" s="75" t="str">
        <f>IF(ISERROR(FIND('112'!$M$9,G1933,1)),"",IF((AND(RIGHT(G1933,2)=RIGHT('112'!$M$9,2),B1933&lt;'112'!$K$9,$O1933='112'!$I$6)),"x",""))</f>
        <v/>
      </c>
      <c r="W1933" s="75" t="str">
        <f>IF(AND('341-CT'!$H$9=H1933,OR(LEFT(N1933,3)=$W$7,LEFT(O1933,3)=$W$7)),"x","")</f>
        <v/>
      </c>
      <c r="X1933" s="75" t="str">
        <f>IF(OR(TH!N1933=TH!$X$7,O1933=TH!$X$7),"x","")</f>
        <v/>
      </c>
      <c r="Y1933" s="75" t="str">
        <f>IF(AND(OR(N1933="131",O1933="131"),H1933='131-CT'!$H$9),"x","")</f>
        <v/>
      </c>
      <c r="Z1933" s="75"/>
      <c r="AA1933" s="75" t="str">
        <f>IF(AND(MONTH(E1933)='IN-NX'!$J$5,'IN-NX'!$D$7=D1933),"x","")</f>
        <v/>
      </c>
      <c r="AB1933" s="75" t="str">
        <f>IF(AND(OR(LEFT(TH!N1933,2)="15",LEFT(TH!O1933,2)="15"),LEFT(TH!O1933,3)&lt;&gt;"111",'152-CT'!$J$8=TH!F1933),"x","")</f>
        <v/>
      </c>
      <c r="AC1933" s="75" t="str">
        <f>IF(AND(OR(LEFT(TH!N1933,2)="15",LEFT(TH!O1933,2)="15"),TK!$E$7=TH!F1933),"x","")</f>
        <v/>
      </c>
      <c r="AD1933" s="75" t="str">
        <f>IF(AND(N1933="1521",MONTH(C1933)='BK-NL'!$M$11),"x","")</f>
        <v/>
      </c>
      <c r="AE1933" s="1053">
        <v>9</v>
      </c>
    </row>
    <row r="1934" spans="1:31" s="1053" customFormat="1" ht="16.5" customHeight="1">
      <c r="A1934" s="309" t="str">
        <f>IF(B1934&lt;&gt;"",IF(AND(B1934='IN-TC'!$S$4,OR(TH!N1934="1111",TH!O1934="1111")),TH!D1934,""),"")</f>
        <v/>
      </c>
      <c r="B1934" s="1242">
        <f t="shared" si="528"/>
        <v>9</v>
      </c>
      <c r="C1934" s="292">
        <v>43006</v>
      </c>
      <c r="D1934" s="292" t="s">
        <v>1533</v>
      </c>
      <c r="E1934" s="292">
        <f t="shared" si="529"/>
        <v>43006</v>
      </c>
      <c r="F1934" s="67" t="s">
        <v>795</v>
      </c>
      <c r="G1934" s="925" t="s">
        <v>2301</v>
      </c>
      <c r="H1934" s="311" t="s">
        <v>1684</v>
      </c>
      <c r="I1934" s="373">
        <v>3045</v>
      </c>
      <c r="J1934" s="379">
        <v>5900</v>
      </c>
      <c r="K1934" s="373"/>
      <c r="L1934" s="379"/>
      <c r="M1934" s="927">
        <f>I1934*J1934</f>
        <v>17965500</v>
      </c>
      <c r="N1934" s="295" t="s">
        <v>266</v>
      </c>
      <c r="O1934" s="295" t="s">
        <v>8</v>
      </c>
      <c r="P1934" s="75" t="str">
        <f>IF(AND('331-CT'!$E$7=TH!H1934,OR(N1934="331",O1934="331")),"x","")</f>
        <v/>
      </c>
      <c r="Q1934" s="75" t="str">
        <f>IF(AND(B1934='111'!$L$11,OR($N1934=$Q$7,$O1934=$Q$7)),"x","")</f>
        <v/>
      </c>
      <c r="R1934" s="75" t="str">
        <f>IF(AND($N1934=$Q$7,$B1934&lt;'111'!$L$11),"x","")</f>
        <v/>
      </c>
      <c r="S1934" s="75" t="str">
        <f>IF(AND($O1934=$Q$7,$B1934&lt;'111'!$L$11),"x","")</f>
        <v/>
      </c>
      <c r="T1934" s="75" t="str">
        <f>IF(ISERROR(FIND('112'!$M$9,G1934,1)),"",IF((AND(FIND('112'!$M$9,G1934,1)&gt;=1,B1934='112'!$K$9,OR($N1934='112'!$I$6,$O1934='112'!$I$6))),"x",""))</f>
        <v/>
      </c>
      <c r="U1934" s="75" t="str">
        <f>IF(ISERROR(FIND('112'!$M$9,G1934,1)),"",IF((AND(LEFT(G1934,2)=LEFT('112'!$M$9,2),B1934&lt;'112'!$K$9,$N1934='112'!$I$6)),"x",""))</f>
        <v/>
      </c>
      <c r="V1934" s="75" t="str">
        <f>IF(ISERROR(FIND('112'!$M$9,G1934,1)),"",IF((AND(RIGHT(G1934,2)=RIGHT('112'!$M$9,2),B1934&lt;'112'!$K$9,$O1934='112'!$I$6)),"x",""))</f>
        <v/>
      </c>
      <c r="W1934" s="75" t="str">
        <f>IF(AND('341-CT'!$H$9=H1934,OR(LEFT(N1934,3)=$W$7,LEFT(O1934,3)=$W$7)),"x","")</f>
        <v/>
      </c>
      <c r="X1934" s="75" t="str">
        <f>IF(OR(TH!N1934=TH!$X$7,O1934=TH!$X$7),"x","")</f>
        <v/>
      </c>
      <c r="Y1934" s="75" t="str">
        <f>IF(AND(OR(N1934="131",O1934="131"),H1934='131-CT'!$H$9),"x","")</f>
        <v/>
      </c>
      <c r="Z1934" s="75"/>
      <c r="AA1934" s="75" t="str">
        <f>IF(AND(MONTH(E1934)='IN-NX'!$J$5,'IN-NX'!$D$7=D1934),"x","")</f>
        <v/>
      </c>
      <c r="AB1934" s="75" t="str">
        <f>IF(AND(OR(LEFT(TH!N1934,2)="15",LEFT(TH!O1934,2)="15"),LEFT(TH!O1934,3)&lt;&gt;"111",'152-CT'!$J$8=TH!F1934),"x","")</f>
        <v/>
      </c>
      <c r="AC1934" s="75" t="str">
        <f>IF(AND(OR(LEFT(TH!N1934,2)="15",LEFT(TH!O1934,2)="15"),TK!$E$7=TH!F1934),"x","")</f>
        <v/>
      </c>
      <c r="AD1934" s="75" t="str">
        <f>IF(AND(N1934="1521",MONTH(C1934)='BK-NL'!$M$11),"x","")</f>
        <v/>
      </c>
      <c r="AE1934" s="1053">
        <v>10</v>
      </c>
    </row>
    <row r="1935" spans="1:31" s="1053" customFormat="1" ht="16.5" customHeight="1">
      <c r="A1935" s="309" t="str">
        <f>IF(B1935&lt;&gt;"",IF(AND(B1935='IN-TC'!$S$4,OR(TH!N1935="1111",TH!O1935="1111")),TH!D1935,""),"")</f>
        <v/>
      </c>
      <c r="B1935" s="1242">
        <f t="shared" si="528"/>
        <v>9</v>
      </c>
      <c r="C1935" s="292">
        <v>43006</v>
      </c>
      <c r="D1935" s="292" t="s">
        <v>1533</v>
      </c>
      <c r="E1935" s="292">
        <f t="shared" si="529"/>
        <v>43006</v>
      </c>
      <c r="F1935" s="67" t="s">
        <v>1143</v>
      </c>
      <c r="G1935" s="925" t="s">
        <v>2301</v>
      </c>
      <c r="H1935" s="311" t="s">
        <v>1684</v>
      </c>
      <c r="I1935" s="373"/>
      <c r="J1935" s="379"/>
      <c r="K1935" s="373"/>
      <c r="L1935" s="379"/>
      <c r="M1935" s="927">
        <v>1796550</v>
      </c>
      <c r="N1935" s="295" t="s">
        <v>9</v>
      </c>
      <c r="O1935" s="295" t="s">
        <v>8</v>
      </c>
      <c r="P1935" s="75" t="str">
        <f>IF(AND('331-CT'!$E$7=TH!H1935,OR(N1935="331",O1935="331")),"x","")</f>
        <v/>
      </c>
      <c r="Q1935" s="75" t="str">
        <f>IF(AND(B1935='111'!$L$11,OR($N1935=$Q$7,$O1935=$Q$7)),"x","")</f>
        <v/>
      </c>
      <c r="R1935" s="75" t="str">
        <f>IF(AND($N1935=$Q$7,$B1935&lt;'111'!$L$11),"x","")</f>
        <v/>
      </c>
      <c r="S1935" s="75" t="str">
        <f>IF(AND($O1935=$Q$7,$B1935&lt;'111'!$L$11),"x","")</f>
        <v/>
      </c>
      <c r="T1935" s="75" t="str">
        <f>IF(ISERROR(FIND('112'!$M$9,G1935,1)),"",IF((AND(FIND('112'!$M$9,G1935,1)&gt;=1,B1935='112'!$K$9,OR($N1935='112'!$I$6,$O1935='112'!$I$6))),"x",""))</f>
        <v/>
      </c>
      <c r="U1935" s="75" t="str">
        <f>IF(ISERROR(FIND('112'!$M$9,G1935,1)),"",IF((AND(LEFT(G1935,2)=LEFT('112'!$M$9,2),B1935&lt;'112'!$K$9,$N1935='112'!$I$6)),"x",""))</f>
        <v/>
      </c>
      <c r="V1935" s="75" t="str">
        <f>IF(ISERROR(FIND('112'!$M$9,G1935,1)),"",IF((AND(RIGHT(G1935,2)=RIGHT('112'!$M$9,2),B1935&lt;'112'!$K$9,$O1935='112'!$I$6)),"x",""))</f>
        <v/>
      </c>
      <c r="W1935" s="75" t="str">
        <f>IF(AND('341-CT'!$H$9=H1935,OR(LEFT(N1935,3)=$W$7,LEFT(O1935,3)=$W$7)),"x","")</f>
        <v/>
      </c>
      <c r="X1935" s="75" t="str">
        <f>IF(OR(TH!N1935=TH!$X$7,O1935=TH!$X$7),"x","")</f>
        <v/>
      </c>
      <c r="Y1935" s="75" t="str">
        <f>IF(AND(OR(N1935="131",O1935="131"),H1935='131-CT'!$H$9),"x","")</f>
        <v/>
      </c>
      <c r="Z1935" s="75"/>
      <c r="AA1935" s="75" t="str">
        <f>IF(AND(MONTH(E1935)='IN-NX'!$J$5,'IN-NX'!$D$7=D1935),"x","")</f>
        <v/>
      </c>
      <c r="AB1935" s="75" t="str">
        <f>IF(AND(OR(LEFT(TH!N1935,2)="15",LEFT(TH!O1935,2)="15"),LEFT(TH!O1935,3)&lt;&gt;"111",'152-CT'!$J$8=TH!F1935),"x","")</f>
        <v/>
      </c>
      <c r="AC1935" s="75" t="str">
        <f>IF(AND(OR(LEFT(TH!N1935,2)="15",LEFT(TH!O1935,2)="15"),TK!$E$7=TH!F1935),"x","")</f>
        <v/>
      </c>
      <c r="AD1935" s="75" t="str">
        <f>IF(AND(N1935="1521",MONTH(C1935)='BK-NL'!$M$11),"x","")</f>
        <v/>
      </c>
      <c r="AE1935" s="1053">
        <v>10</v>
      </c>
    </row>
    <row r="1936" spans="1:31" s="1053" customFormat="1" ht="16.5" customHeight="1">
      <c r="A1936" s="309" t="str">
        <f>IF(B1936&lt;&gt;"",IF(AND(B1936='IN-TC'!$S$4,OR(TH!N1936="1111",TH!O1936="1111")),TH!D1936,""),"")</f>
        <v/>
      </c>
      <c r="B1936" s="1242">
        <f t="shared" si="528"/>
        <v>9</v>
      </c>
      <c r="C1936" s="292">
        <v>43007</v>
      </c>
      <c r="D1936" s="292" t="s">
        <v>1534</v>
      </c>
      <c r="E1936" s="292">
        <f t="shared" si="529"/>
        <v>43007</v>
      </c>
      <c r="F1936" s="67" t="s">
        <v>795</v>
      </c>
      <c r="G1936" s="925" t="s">
        <v>1171</v>
      </c>
      <c r="H1936" s="311" t="s">
        <v>2186</v>
      </c>
      <c r="I1936" s="373">
        <v>3045</v>
      </c>
      <c r="J1936" s="379">
        <v>5900</v>
      </c>
      <c r="K1936" s="373"/>
      <c r="L1936" s="379"/>
      <c r="M1936" s="927">
        <f>I1936*J1936</f>
        <v>17965500</v>
      </c>
      <c r="N1936" s="295" t="s">
        <v>266</v>
      </c>
      <c r="O1936" s="295" t="s">
        <v>8</v>
      </c>
      <c r="P1936" s="75" t="str">
        <f>IF(AND('331-CT'!$E$7=TH!H1936,OR(N1936="331",O1936="331")),"x","")</f>
        <v/>
      </c>
      <c r="Q1936" s="75" t="str">
        <f>IF(AND(B1936='111'!$L$11,OR($N1936=$Q$7,$O1936=$Q$7)),"x","")</f>
        <v/>
      </c>
      <c r="R1936" s="75" t="str">
        <f>IF(AND($N1936=$Q$7,$B1936&lt;'111'!$L$11),"x","")</f>
        <v/>
      </c>
      <c r="S1936" s="75" t="str">
        <f>IF(AND($O1936=$Q$7,$B1936&lt;'111'!$L$11),"x","")</f>
        <v/>
      </c>
      <c r="T1936" s="75" t="str">
        <f>IF(ISERROR(FIND('112'!$M$9,G1936,1)),"",IF((AND(FIND('112'!$M$9,G1936,1)&gt;=1,B1936='112'!$K$9,OR($N1936='112'!$I$6,$O1936='112'!$I$6))),"x",""))</f>
        <v/>
      </c>
      <c r="U1936" s="75" t="str">
        <f>IF(ISERROR(FIND('112'!$M$9,G1936,1)),"",IF((AND(LEFT(G1936,2)=LEFT('112'!$M$9,2),B1936&lt;'112'!$K$9,$N1936='112'!$I$6)),"x",""))</f>
        <v/>
      </c>
      <c r="V1936" s="75" t="str">
        <f>IF(ISERROR(FIND('112'!$M$9,G1936,1)),"",IF((AND(RIGHT(G1936,2)=RIGHT('112'!$M$9,2),B1936&lt;'112'!$K$9,$O1936='112'!$I$6)),"x",""))</f>
        <v/>
      </c>
      <c r="W1936" s="75" t="str">
        <f>IF(AND('341-CT'!$H$9=H1936,OR(LEFT(N1936,3)=$W$7,LEFT(O1936,3)=$W$7)),"x","")</f>
        <v/>
      </c>
      <c r="X1936" s="75" t="str">
        <f>IF(OR(TH!N1936=TH!$X$7,O1936=TH!$X$7),"x","")</f>
        <v/>
      </c>
      <c r="Y1936" s="75" t="str">
        <f>IF(AND(OR(N1936="131",O1936="131"),H1936='131-CT'!$H$9),"x","")</f>
        <v/>
      </c>
      <c r="Z1936" s="75"/>
      <c r="AA1936" s="75" t="str">
        <f>IF(AND(MONTH(E1936)='IN-NX'!$J$5,'IN-NX'!$D$7=D1936),"x","")</f>
        <v/>
      </c>
      <c r="AB1936" s="75" t="str">
        <f>IF(AND(OR(LEFT(TH!N1936,2)="15",LEFT(TH!O1936,2)="15"),LEFT(TH!O1936,3)&lt;&gt;"111",'152-CT'!$J$8=TH!F1936),"x","")</f>
        <v/>
      </c>
      <c r="AC1936" s="75" t="str">
        <f>IF(AND(OR(LEFT(TH!N1936,2)="15",LEFT(TH!O1936,2)="15"),TK!$E$7=TH!F1936),"x","")</f>
        <v/>
      </c>
      <c r="AD1936" s="75" t="str">
        <f>IF(AND(N1936="1521",MONTH(C1936)='BK-NL'!$M$11),"x","")</f>
        <v/>
      </c>
      <c r="AE1936" s="1053">
        <v>9</v>
      </c>
    </row>
    <row r="1937" spans="1:31" s="1053" customFormat="1" ht="16.5" customHeight="1">
      <c r="A1937" s="309" t="str">
        <f>IF(B1937&lt;&gt;"",IF(AND(B1937='IN-TC'!$S$4,OR(TH!N1937="1111",TH!O1937="1111")),TH!D1937,""),"")</f>
        <v/>
      </c>
      <c r="B1937" s="1242">
        <f t="shared" si="528"/>
        <v>9</v>
      </c>
      <c r="C1937" s="292">
        <v>43007</v>
      </c>
      <c r="D1937" s="292" t="s">
        <v>1534</v>
      </c>
      <c r="E1937" s="292">
        <f t="shared" si="529"/>
        <v>43007</v>
      </c>
      <c r="F1937" s="67" t="s">
        <v>1143</v>
      </c>
      <c r="G1937" s="925" t="s">
        <v>1171</v>
      </c>
      <c r="H1937" s="311" t="s">
        <v>2186</v>
      </c>
      <c r="I1937" s="373"/>
      <c r="J1937" s="379"/>
      <c r="K1937" s="373"/>
      <c r="L1937" s="379"/>
      <c r="M1937" s="927">
        <v>1796550</v>
      </c>
      <c r="N1937" s="295" t="s">
        <v>9</v>
      </c>
      <c r="O1937" s="295" t="s">
        <v>8</v>
      </c>
      <c r="P1937" s="75" t="str">
        <f>IF(AND('331-CT'!$E$7=TH!H1937,OR(N1937="331",O1937="331")),"x","")</f>
        <v/>
      </c>
      <c r="Q1937" s="75" t="str">
        <f>IF(AND(B1937='111'!$L$11,OR($N1937=$Q$7,$O1937=$Q$7)),"x","")</f>
        <v/>
      </c>
      <c r="R1937" s="75" t="str">
        <f>IF(AND($N1937=$Q$7,$B1937&lt;'111'!$L$11),"x","")</f>
        <v/>
      </c>
      <c r="S1937" s="75" t="str">
        <f>IF(AND($O1937=$Q$7,$B1937&lt;'111'!$L$11),"x","")</f>
        <v/>
      </c>
      <c r="T1937" s="75" t="str">
        <f>IF(ISERROR(FIND('112'!$M$9,G1937,1)),"",IF((AND(FIND('112'!$M$9,G1937,1)&gt;=1,B1937='112'!$K$9,OR($N1937='112'!$I$6,$O1937='112'!$I$6))),"x",""))</f>
        <v/>
      </c>
      <c r="U1937" s="75" t="str">
        <f>IF(ISERROR(FIND('112'!$M$9,G1937,1)),"",IF((AND(LEFT(G1937,2)=LEFT('112'!$M$9,2),B1937&lt;'112'!$K$9,$N1937='112'!$I$6)),"x",""))</f>
        <v/>
      </c>
      <c r="V1937" s="75" t="str">
        <f>IF(ISERROR(FIND('112'!$M$9,G1937,1)),"",IF((AND(RIGHT(G1937,2)=RIGHT('112'!$M$9,2),B1937&lt;'112'!$K$9,$O1937='112'!$I$6)),"x",""))</f>
        <v/>
      </c>
      <c r="W1937" s="75" t="str">
        <f>IF(AND('341-CT'!$H$9=H1937,OR(LEFT(N1937,3)=$W$7,LEFT(O1937,3)=$W$7)),"x","")</f>
        <v/>
      </c>
      <c r="X1937" s="75" t="str">
        <f>IF(OR(TH!N1937=TH!$X$7,O1937=TH!$X$7),"x","")</f>
        <v/>
      </c>
      <c r="Y1937" s="75" t="str">
        <f>IF(AND(OR(N1937="131",O1937="131"),H1937='131-CT'!$H$9),"x","")</f>
        <v/>
      </c>
      <c r="Z1937" s="75"/>
      <c r="AA1937" s="75" t="str">
        <f>IF(AND(MONTH(E1937)='IN-NX'!$J$5,'IN-NX'!$D$7=D1937),"x","")</f>
        <v/>
      </c>
      <c r="AB1937" s="75" t="str">
        <f>IF(AND(OR(LEFT(TH!N1937,2)="15",LEFT(TH!O1937,2)="15"),LEFT(TH!O1937,3)&lt;&gt;"111",'152-CT'!$J$8=TH!F1937),"x","")</f>
        <v/>
      </c>
      <c r="AC1937" s="75" t="str">
        <f>IF(AND(OR(LEFT(TH!N1937,2)="15",LEFT(TH!O1937,2)="15"),TK!$E$7=TH!F1937),"x","")</f>
        <v/>
      </c>
      <c r="AD1937" s="75" t="str">
        <f>IF(AND(N1937="1521",MONTH(C1937)='BK-NL'!$M$11),"x","")</f>
        <v/>
      </c>
      <c r="AE1937" s="1053">
        <v>9</v>
      </c>
    </row>
    <row r="1938" spans="1:31" s="1053" customFormat="1" ht="16.5" customHeight="1">
      <c r="A1938" s="309" t="str">
        <f>IF(B1938&lt;&gt;"",IF(AND(B1938='IN-TC'!$S$4,OR(TH!N1938="1111",TH!O1938="1111")),TH!D1938,""),"")</f>
        <v/>
      </c>
      <c r="B1938" s="1242">
        <f t="shared" si="528"/>
        <v>9</v>
      </c>
      <c r="C1938" s="292">
        <v>43007</v>
      </c>
      <c r="D1938" s="292" t="s">
        <v>1535</v>
      </c>
      <c r="E1938" s="292">
        <f t="shared" si="529"/>
        <v>43007</v>
      </c>
      <c r="F1938" s="67" t="s">
        <v>795</v>
      </c>
      <c r="G1938" s="925" t="s">
        <v>2302</v>
      </c>
      <c r="H1938" s="311" t="s">
        <v>1684</v>
      </c>
      <c r="I1938" s="373">
        <v>3045</v>
      </c>
      <c r="J1938" s="379">
        <v>5900</v>
      </c>
      <c r="K1938" s="373"/>
      <c r="L1938" s="379"/>
      <c r="M1938" s="927">
        <f>I1938*J1938</f>
        <v>17965500</v>
      </c>
      <c r="N1938" s="295" t="s">
        <v>266</v>
      </c>
      <c r="O1938" s="295" t="s">
        <v>8</v>
      </c>
      <c r="P1938" s="75" t="str">
        <f>IF(AND('331-CT'!$E$7=TH!H1938,OR(N1938="331",O1938="331")),"x","")</f>
        <v/>
      </c>
      <c r="Q1938" s="75" t="str">
        <f>IF(AND(B1938='111'!$L$11,OR($N1938=$Q$7,$O1938=$Q$7)),"x","")</f>
        <v/>
      </c>
      <c r="R1938" s="75" t="str">
        <f>IF(AND($N1938=$Q$7,$B1938&lt;'111'!$L$11),"x","")</f>
        <v/>
      </c>
      <c r="S1938" s="75" t="str">
        <f>IF(AND($O1938=$Q$7,$B1938&lt;'111'!$L$11),"x","")</f>
        <v/>
      </c>
      <c r="T1938" s="75" t="str">
        <f>IF(ISERROR(FIND('112'!$M$9,G1938,1)),"",IF((AND(FIND('112'!$M$9,G1938,1)&gt;=1,B1938='112'!$K$9,OR($N1938='112'!$I$6,$O1938='112'!$I$6))),"x",""))</f>
        <v/>
      </c>
      <c r="U1938" s="75" t="str">
        <f>IF(ISERROR(FIND('112'!$M$9,G1938,1)),"",IF((AND(LEFT(G1938,2)=LEFT('112'!$M$9,2),B1938&lt;'112'!$K$9,$N1938='112'!$I$6)),"x",""))</f>
        <v/>
      </c>
      <c r="V1938" s="75" t="str">
        <f>IF(ISERROR(FIND('112'!$M$9,G1938,1)),"",IF((AND(RIGHT(G1938,2)=RIGHT('112'!$M$9,2),B1938&lt;'112'!$K$9,$O1938='112'!$I$6)),"x",""))</f>
        <v/>
      </c>
      <c r="W1938" s="75" t="str">
        <f>IF(AND('341-CT'!$H$9=H1938,OR(LEFT(N1938,3)=$W$7,LEFT(O1938,3)=$W$7)),"x","")</f>
        <v/>
      </c>
      <c r="X1938" s="75" t="str">
        <f>IF(OR(TH!N1938=TH!$X$7,O1938=TH!$X$7),"x","")</f>
        <v/>
      </c>
      <c r="Y1938" s="75" t="str">
        <f>IF(AND(OR(N1938="131",O1938="131"),H1938='131-CT'!$H$9),"x","")</f>
        <v/>
      </c>
      <c r="Z1938" s="75"/>
      <c r="AA1938" s="75" t="str">
        <f>IF(AND(MONTH(E1938)='IN-NX'!$J$5,'IN-NX'!$D$7=D1938),"x","")</f>
        <v/>
      </c>
      <c r="AB1938" s="75" t="str">
        <f>IF(AND(OR(LEFT(TH!N1938,2)="15",LEFT(TH!O1938,2)="15"),LEFT(TH!O1938,3)&lt;&gt;"111",'152-CT'!$J$8=TH!F1938),"x","")</f>
        <v/>
      </c>
      <c r="AC1938" s="75" t="str">
        <f>IF(AND(OR(LEFT(TH!N1938,2)="15",LEFT(TH!O1938,2)="15"),TK!$E$7=TH!F1938),"x","")</f>
        <v/>
      </c>
      <c r="AD1938" s="75" t="str">
        <f>IF(AND(N1938="1521",MONTH(C1938)='BK-NL'!$M$11),"x","")</f>
        <v/>
      </c>
      <c r="AE1938" s="1053">
        <v>10</v>
      </c>
    </row>
    <row r="1939" spans="1:31" s="1053" customFormat="1" ht="16.5" customHeight="1">
      <c r="A1939" s="309" t="str">
        <f>IF(B1939&lt;&gt;"",IF(AND(B1939='IN-TC'!$S$4,OR(TH!N1939="1111",TH!O1939="1111")),TH!D1939,""),"")</f>
        <v/>
      </c>
      <c r="B1939" s="1242">
        <f t="shared" si="528"/>
        <v>9</v>
      </c>
      <c r="C1939" s="292">
        <v>43007</v>
      </c>
      <c r="D1939" s="292" t="s">
        <v>1535</v>
      </c>
      <c r="E1939" s="292">
        <f t="shared" si="529"/>
        <v>43007</v>
      </c>
      <c r="F1939" s="67" t="s">
        <v>1143</v>
      </c>
      <c r="G1939" s="925" t="s">
        <v>2302</v>
      </c>
      <c r="H1939" s="311" t="s">
        <v>1684</v>
      </c>
      <c r="I1939" s="373"/>
      <c r="J1939" s="379"/>
      <c r="K1939" s="373"/>
      <c r="L1939" s="379"/>
      <c r="M1939" s="927">
        <v>1796550</v>
      </c>
      <c r="N1939" s="295" t="s">
        <v>9</v>
      </c>
      <c r="O1939" s="295" t="s">
        <v>8</v>
      </c>
      <c r="P1939" s="75" t="str">
        <f>IF(AND('331-CT'!$E$7=TH!H1939,OR(N1939="331",O1939="331")),"x","")</f>
        <v/>
      </c>
      <c r="Q1939" s="75" t="str">
        <f>IF(AND(B1939='111'!$L$11,OR($N1939=$Q$7,$O1939=$Q$7)),"x","")</f>
        <v/>
      </c>
      <c r="R1939" s="75" t="str">
        <f>IF(AND($N1939=$Q$7,$B1939&lt;'111'!$L$11),"x","")</f>
        <v/>
      </c>
      <c r="S1939" s="75" t="str">
        <f>IF(AND($O1939=$Q$7,$B1939&lt;'111'!$L$11),"x","")</f>
        <v/>
      </c>
      <c r="T1939" s="75" t="str">
        <f>IF(ISERROR(FIND('112'!$M$9,G1939,1)),"",IF((AND(FIND('112'!$M$9,G1939,1)&gt;=1,B1939='112'!$K$9,OR($N1939='112'!$I$6,$O1939='112'!$I$6))),"x",""))</f>
        <v/>
      </c>
      <c r="U1939" s="75" t="str">
        <f>IF(ISERROR(FIND('112'!$M$9,G1939,1)),"",IF((AND(LEFT(G1939,2)=LEFT('112'!$M$9,2),B1939&lt;'112'!$K$9,$N1939='112'!$I$6)),"x",""))</f>
        <v/>
      </c>
      <c r="V1939" s="75" t="str">
        <f>IF(ISERROR(FIND('112'!$M$9,G1939,1)),"",IF((AND(RIGHT(G1939,2)=RIGHT('112'!$M$9,2),B1939&lt;'112'!$K$9,$O1939='112'!$I$6)),"x",""))</f>
        <v/>
      </c>
      <c r="W1939" s="75" t="str">
        <f>IF(AND('341-CT'!$H$9=H1939,OR(LEFT(N1939,3)=$W$7,LEFT(O1939,3)=$W$7)),"x","")</f>
        <v/>
      </c>
      <c r="X1939" s="75" t="str">
        <f>IF(OR(TH!N1939=TH!$X$7,O1939=TH!$X$7),"x","")</f>
        <v/>
      </c>
      <c r="Y1939" s="75" t="str">
        <f>IF(AND(OR(N1939="131",O1939="131"),H1939='131-CT'!$H$9),"x","")</f>
        <v/>
      </c>
      <c r="Z1939" s="75"/>
      <c r="AA1939" s="75" t="str">
        <f>IF(AND(MONTH(E1939)='IN-NX'!$J$5,'IN-NX'!$D$7=D1939),"x","")</f>
        <v/>
      </c>
      <c r="AB1939" s="75" t="str">
        <f>IF(AND(OR(LEFT(TH!N1939,2)="15",LEFT(TH!O1939,2)="15"),LEFT(TH!O1939,3)&lt;&gt;"111",'152-CT'!$J$8=TH!F1939),"x","")</f>
        <v/>
      </c>
      <c r="AC1939" s="75" t="str">
        <f>IF(AND(OR(LEFT(TH!N1939,2)="15",LEFT(TH!O1939,2)="15"),TK!$E$7=TH!F1939),"x","")</f>
        <v/>
      </c>
      <c r="AD1939" s="75" t="str">
        <f>IF(AND(N1939="1521",MONTH(C1939)='BK-NL'!$M$11),"x","")</f>
        <v/>
      </c>
      <c r="AE1939" s="1053">
        <v>10</v>
      </c>
    </row>
    <row r="1940" spans="1:31" s="1053" customFormat="1" ht="16.5" customHeight="1">
      <c r="A1940" s="309" t="str">
        <f>IF(B1940&lt;&gt;"",IF(AND(B1940='IN-TC'!$S$4,OR(TH!N1940="1111",TH!O1940="1111")),TH!D1940,""),"")</f>
        <v/>
      </c>
      <c r="B1940" s="1242">
        <f t="shared" si="528"/>
        <v>9</v>
      </c>
      <c r="C1940" s="292">
        <v>43008</v>
      </c>
      <c r="D1940" s="292" t="s">
        <v>1536</v>
      </c>
      <c r="E1940" s="292">
        <f t="shared" si="529"/>
        <v>43008</v>
      </c>
      <c r="F1940" s="67" t="s">
        <v>795</v>
      </c>
      <c r="G1940" s="925" t="s">
        <v>2188</v>
      </c>
      <c r="H1940" s="311" t="s">
        <v>2186</v>
      </c>
      <c r="I1940" s="373">
        <v>3045</v>
      </c>
      <c r="J1940" s="379">
        <v>5900</v>
      </c>
      <c r="K1940" s="373"/>
      <c r="L1940" s="379"/>
      <c r="M1940" s="927">
        <f>I1940*J1940</f>
        <v>17965500</v>
      </c>
      <c r="N1940" s="295" t="s">
        <v>266</v>
      </c>
      <c r="O1940" s="295" t="s">
        <v>8</v>
      </c>
      <c r="P1940" s="75" t="str">
        <f>IF(AND('331-CT'!$E$7=TH!H1940,OR(N1940="331",O1940="331")),"x","")</f>
        <v/>
      </c>
      <c r="Q1940" s="75" t="str">
        <f>IF(AND(B1940='111'!$L$11,OR($N1940=$Q$7,$O1940=$Q$7)),"x","")</f>
        <v/>
      </c>
      <c r="R1940" s="75" t="str">
        <f>IF(AND($N1940=$Q$7,$B1940&lt;'111'!$L$11),"x","")</f>
        <v/>
      </c>
      <c r="S1940" s="75" t="str">
        <f>IF(AND($O1940=$Q$7,$B1940&lt;'111'!$L$11),"x","")</f>
        <v/>
      </c>
      <c r="T1940" s="75" t="str">
        <f>IF(ISERROR(FIND('112'!$M$9,G1940,1)),"",IF((AND(FIND('112'!$M$9,G1940,1)&gt;=1,B1940='112'!$K$9,OR($N1940='112'!$I$6,$O1940='112'!$I$6))),"x",""))</f>
        <v/>
      </c>
      <c r="U1940" s="75" t="str">
        <f>IF(ISERROR(FIND('112'!$M$9,G1940,1)),"",IF((AND(LEFT(G1940,2)=LEFT('112'!$M$9,2),B1940&lt;'112'!$K$9,$N1940='112'!$I$6)),"x",""))</f>
        <v/>
      </c>
      <c r="V1940" s="75" t="str">
        <f>IF(ISERROR(FIND('112'!$M$9,G1940,1)),"",IF((AND(RIGHT(G1940,2)=RIGHT('112'!$M$9,2),B1940&lt;'112'!$K$9,$O1940='112'!$I$6)),"x",""))</f>
        <v/>
      </c>
      <c r="W1940" s="75" t="str">
        <f>IF(AND('341-CT'!$H$9=H1940,OR(LEFT(N1940,3)=$W$7,LEFT(O1940,3)=$W$7)),"x","")</f>
        <v/>
      </c>
      <c r="X1940" s="75" t="str">
        <f>IF(OR(TH!N1940=TH!$X$7,O1940=TH!$X$7),"x","")</f>
        <v/>
      </c>
      <c r="Y1940" s="75" t="str">
        <f>IF(AND(OR(N1940="131",O1940="131"),H1940='131-CT'!$H$9),"x","")</f>
        <v/>
      </c>
      <c r="Z1940" s="75"/>
      <c r="AA1940" s="75" t="str">
        <f>IF(AND(MONTH(E1940)='IN-NX'!$J$5,'IN-NX'!$D$7=D1940),"x","")</f>
        <v/>
      </c>
      <c r="AB1940" s="75" t="str">
        <f>IF(AND(OR(LEFT(TH!N1940,2)="15",LEFT(TH!O1940,2)="15"),LEFT(TH!O1940,3)&lt;&gt;"111",'152-CT'!$J$8=TH!F1940),"x","")</f>
        <v/>
      </c>
      <c r="AC1940" s="75" t="str">
        <f>IF(AND(OR(LEFT(TH!N1940,2)="15",LEFT(TH!O1940,2)="15"),TK!$E$7=TH!F1940),"x","")</f>
        <v/>
      </c>
      <c r="AD1940" s="75" t="str">
        <f>IF(AND(N1940="1521",MONTH(C1940)='BK-NL'!$M$11),"x","")</f>
        <v/>
      </c>
      <c r="AE1940" s="1053">
        <v>9</v>
      </c>
    </row>
    <row r="1941" spans="1:31" s="1053" customFormat="1" ht="16.5" customHeight="1">
      <c r="A1941" s="309" t="str">
        <f>IF(B1941&lt;&gt;"",IF(AND(B1941='IN-TC'!$S$4,OR(TH!N1941="1111",TH!O1941="1111")),TH!D1941,""),"")</f>
        <v/>
      </c>
      <c r="B1941" s="1242">
        <f t="shared" si="528"/>
        <v>9</v>
      </c>
      <c r="C1941" s="292">
        <v>43008</v>
      </c>
      <c r="D1941" s="292" t="s">
        <v>1536</v>
      </c>
      <c r="E1941" s="292">
        <f t="shared" si="529"/>
        <v>43008</v>
      </c>
      <c r="F1941" s="67" t="s">
        <v>1143</v>
      </c>
      <c r="G1941" s="925" t="s">
        <v>2188</v>
      </c>
      <c r="H1941" s="311" t="s">
        <v>2186</v>
      </c>
      <c r="I1941" s="373"/>
      <c r="J1941" s="379"/>
      <c r="K1941" s="373"/>
      <c r="L1941" s="379"/>
      <c r="M1941" s="927">
        <v>1796550</v>
      </c>
      <c r="N1941" s="295" t="s">
        <v>9</v>
      </c>
      <c r="O1941" s="295" t="s">
        <v>8</v>
      </c>
      <c r="P1941" s="75" t="str">
        <f>IF(AND('331-CT'!$E$7=TH!H1941,OR(N1941="331",O1941="331")),"x","")</f>
        <v/>
      </c>
      <c r="Q1941" s="75" t="str">
        <f>IF(AND(B1941='111'!$L$11,OR($N1941=$Q$7,$O1941=$Q$7)),"x","")</f>
        <v/>
      </c>
      <c r="R1941" s="75" t="str">
        <f>IF(AND($N1941=$Q$7,$B1941&lt;'111'!$L$11),"x","")</f>
        <v/>
      </c>
      <c r="S1941" s="75" t="str">
        <f>IF(AND($O1941=$Q$7,$B1941&lt;'111'!$L$11),"x","")</f>
        <v/>
      </c>
      <c r="T1941" s="75" t="str">
        <f>IF(ISERROR(FIND('112'!$M$9,G1941,1)),"",IF((AND(FIND('112'!$M$9,G1941,1)&gt;=1,B1941='112'!$K$9,OR($N1941='112'!$I$6,$O1941='112'!$I$6))),"x",""))</f>
        <v/>
      </c>
      <c r="U1941" s="75" t="str">
        <f>IF(ISERROR(FIND('112'!$M$9,G1941,1)),"",IF((AND(LEFT(G1941,2)=LEFT('112'!$M$9,2),B1941&lt;'112'!$K$9,$N1941='112'!$I$6)),"x",""))</f>
        <v/>
      </c>
      <c r="V1941" s="75" t="str">
        <f>IF(ISERROR(FIND('112'!$M$9,G1941,1)),"",IF((AND(RIGHT(G1941,2)=RIGHT('112'!$M$9,2),B1941&lt;'112'!$K$9,$O1941='112'!$I$6)),"x",""))</f>
        <v/>
      </c>
      <c r="W1941" s="75" t="str">
        <f>IF(AND('341-CT'!$H$9=H1941,OR(LEFT(N1941,3)=$W$7,LEFT(O1941,3)=$W$7)),"x","")</f>
        <v/>
      </c>
      <c r="X1941" s="75" t="str">
        <f>IF(OR(TH!N1941=TH!$X$7,O1941=TH!$X$7),"x","")</f>
        <v/>
      </c>
      <c r="Y1941" s="75" t="str">
        <f>IF(AND(OR(N1941="131",O1941="131"),H1941='131-CT'!$H$9),"x","")</f>
        <v/>
      </c>
      <c r="Z1941" s="75"/>
      <c r="AA1941" s="75" t="str">
        <f>IF(AND(MONTH(E1941)='IN-NX'!$J$5,'IN-NX'!$D$7=D1941),"x","")</f>
        <v/>
      </c>
      <c r="AB1941" s="75" t="str">
        <f>IF(AND(OR(LEFT(TH!N1941,2)="15",LEFT(TH!O1941,2)="15"),LEFT(TH!O1941,3)&lt;&gt;"111",'152-CT'!$J$8=TH!F1941),"x","")</f>
        <v/>
      </c>
      <c r="AC1941" s="75" t="str">
        <f>IF(AND(OR(LEFT(TH!N1941,2)="15",LEFT(TH!O1941,2)="15"),TK!$E$7=TH!F1941),"x","")</f>
        <v/>
      </c>
      <c r="AD1941" s="75" t="str">
        <f>IF(AND(N1941="1521",MONTH(C1941)='BK-NL'!$M$11),"x","")</f>
        <v/>
      </c>
      <c r="AE1941" s="1053">
        <v>9</v>
      </c>
    </row>
    <row r="1942" spans="1:31" s="1053" customFormat="1" ht="16.5" customHeight="1">
      <c r="A1942" s="309" t="str">
        <f>IF(B1942&lt;&gt;"",IF(AND(B1942='IN-TC'!$S$4,OR(TH!N1942="1111",TH!O1942="1111")),TH!D1942,""),"")</f>
        <v/>
      </c>
      <c r="B1942" s="1242">
        <f t="shared" si="528"/>
        <v>9</v>
      </c>
      <c r="C1942" s="292">
        <v>43008</v>
      </c>
      <c r="D1942" s="292" t="s">
        <v>1537</v>
      </c>
      <c r="E1942" s="292">
        <f t="shared" si="529"/>
        <v>43008</v>
      </c>
      <c r="F1942" s="432" t="s">
        <v>2173</v>
      </c>
      <c r="G1942" s="925" t="s">
        <v>2232</v>
      </c>
      <c r="H1942" s="311" t="s">
        <v>558</v>
      </c>
      <c r="I1942" s="373">
        <v>20640</v>
      </c>
      <c r="J1942" s="379">
        <v>200</v>
      </c>
      <c r="K1942" s="373"/>
      <c r="L1942" s="379"/>
      <c r="M1942" s="927">
        <f>I1942*J1942</f>
        <v>4128000</v>
      </c>
      <c r="N1942" s="295" t="s">
        <v>266</v>
      </c>
      <c r="O1942" s="295" t="s">
        <v>8</v>
      </c>
      <c r="P1942" s="75" t="str">
        <f>IF(AND('331-CT'!$E$7=TH!H1942,OR(N1942="331",O1942="331")),"x","")</f>
        <v/>
      </c>
      <c r="Q1942" s="75" t="str">
        <f>IF(AND(B1942='111'!$L$11,OR($N1942=$Q$7,$O1942=$Q$7)),"x","")</f>
        <v/>
      </c>
      <c r="R1942" s="75" t="str">
        <f>IF(AND($N1942=$Q$7,$B1942&lt;'111'!$L$11),"x","")</f>
        <v/>
      </c>
      <c r="S1942" s="75" t="str">
        <f>IF(AND($O1942=$Q$7,$B1942&lt;'111'!$L$11),"x","")</f>
        <v/>
      </c>
      <c r="T1942" s="75" t="str">
        <f>IF(ISERROR(FIND('112'!$M$9,G1942,1)),"",IF((AND(FIND('112'!$M$9,G1942,1)&gt;=1,B1942='112'!$K$9,OR($N1942='112'!$I$6,$O1942='112'!$I$6))),"x",""))</f>
        <v/>
      </c>
      <c r="U1942" s="75" t="str">
        <f>IF(ISERROR(FIND('112'!$M$9,G1942,1)),"",IF((AND(LEFT(G1942,2)=LEFT('112'!$M$9,2),B1942&lt;'112'!$K$9,$N1942='112'!$I$6)),"x",""))</f>
        <v/>
      </c>
      <c r="V1942" s="75" t="str">
        <f>IF(ISERROR(FIND('112'!$M$9,G1942,1)),"",IF((AND(RIGHT(G1942,2)=RIGHT('112'!$M$9,2),B1942&lt;'112'!$K$9,$O1942='112'!$I$6)),"x",""))</f>
        <v/>
      </c>
      <c r="W1942" s="75" t="str">
        <f>IF(AND('341-CT'!$H$9=H1942,OR(LEFT(N1942,3)=$W$7,LEFT(O1942,3)=$W$7)),"x","")</f>
        <v/>
      </c>
      <c r="X1942" s="75" t="str">
        <f>IF(OR(TH!N1942=TH!$X$7,O1942=TH!$X$7),"x","")</f>
        <v/>
      </c>
      <c r="Y1942" s="75" t="str">
        <f>IF(AND(OR(N1942="131",O1942="131"),H1942='131-CT'!$H$9),"x","")</f>
        <v/>
      </c>
      <c r="Z1942" s="75"/>
      <c r="AA1942" s="75" t="str">
        <f>IF(AND(MONTH(E1942)='IN-NX'!$J$5,'IN-NX'!$D$7=D1942),"x","")</f>
        <v/>
      </c>
      <c r="AB1942" s="75" t="str">
        <f>IF(AND(OR(LEFT(TH!N1942,2)="15",LEFT(TH!O1942,2)="15"),LEFT(TH!O1942,3)&lt;&gt;"111",'152-CT'!$J$8=TH!F1942),"x","")</f>
        <v/>
      </c>
      <c r="AC1942" s="75" t="str">
        <f>IF(AND(OR(LEFT(TH!N1942,2)="15",LEFT(TH!O1942,2)="15"),TK!$E$7=TH!F1942),"x","")</f>
        <v/>
      </c>
      <c r="AD1942" s="75" t="str">
        <f>IF(AND(N1942="1521",MONTH(C1942)='BK-NL'!$M$11),"x","")</f>
        <v/>
      </c>
      <c r="AE1942" s="1053">
        <v>9</v>
      </c>
    </row>
    <row r="1943" spans="1:31" s="1053" customFormat="1" ht="16.5" customHeight="1">
      <c r="A1943" s="309" t="str">
        <f>IF(B1943&lt;&gt;"",IF(AND(B1943='IN-TC'!$S$4,OR(TH!N1943="1111",TH!O1943="1111")),TH!D1943,""),"")</f>
        <v/>
      </c>
      <c r="B1943" s="1242">
        <f t="shared" si="528"/>
        <v>9</v>
      </c>
      <c r="C1943" s="292">
        <v>43008</v>
      </c>
      <c r="D1943" s="292" t="s">
        <v>1537</v>
      </c>
      <c r="E1943" s="292">
        <f t="shared" si="529"/>
        <v>43008</v>
      </c>
      <c r="F1943" s="432" t="s">
        <v>2231</v>
      </c>
      <c r="G1943" s="925" t="s">
        <v>2232</v>
      </c>
      <c r="H1943" s="311" t="s">
        <v>558</v>
      </c>
      <c r="I1943" s="373"/>
      <c r="J1943" s="379"/>
      <c r="K1943" s="373"/>
      <c r="L1943" s="379"/>
      <c r="M1943" s="927">
        <v>412800</v>
      </c>
      <c r="N1943" s="295" t="s">
        <v>9</v>
      </c>
      <c r="O1943" s="295" t="s">
        <v>8</v>
      </c>
      <c r="P1943" s="75" t="str">
        <f>IF(AND('331-CT'!$E$7=TH!H1943,OR(N1943="331",O1943="331")),"x","")</f>
        <v/>
      </c>
      <c r="Q1943" s="75" t="str">
        <f>IF(AND(B1943='111'!$L$11,OR($N1943=$Q$7,$O1943=$Q$7)),"x","")</f>
        <v/>
      </c>
      <c r="R1943" s="75" t="str">
        <f>IF(AND($N1943=$Q$7,$B1943&lt;'111'!$L$11),"x","")</f>
        <v/>
      </c>
      <c r="S1943" s="75" t="str">
        <f>IF(AND($O1943=$Q$7,$B1943&lt;'111'!$L$11),"x","")</f>
        <v/>
      </c>
      <c r="T1943" s="75" t="str">
        <f>IF(ISERROR(FIND('112'!$M$9,G1943,1)),"",IF((AND(FIND('112'!$M$9,G1943,1)&gt;=1,B1943='112'!$K$9,OR($N1943='112'!$I$6,$O1943='112'!$I$6))),"x",""))</f>
        <v/>
      </c>
      <c r="U1943" s="75" t="str">
        <f>IF(ISERROR(FIND('112'!$M$9,G1943,1)),"",IF((AND(LEFT(G1943,2)=LEFT('112'!$M$9,2),B1943&lt;'112'!$K$9,$N1943='112'!$I$6)),"x",""))</f>
        <v/>
      </c>
      <c r="V1943" s="75" t="str">
        <f>IF(ISERROR(FIND('112'!$M$9,G1943,1)),"",IF((AND(RIGHT(G1943,2)=RIGHT('112'!$M$9,2),B1943&lt;'112'!$K$9,$O1943='112'!$I$6)),"x",""))</f>
        <v/>
      </c>
      <c r="W1943" s="75" t="str">
        <f>IF(AND('341-CT'!$H$9=H1943,OR(LEFT(N1943,3)=$W$7,LEFT(O1943,3)=$W$7)),"x","")</f>
        <v/>
      </c>
      <c r="X1943" s="75" t="str">
        <f>IF(OR(TH!N1943=TH!$X$7,O1943=TH!$X$7),"x","")</f>
        <v/>
      </c>
      <c r="Y1943" s="75" t="str">
        <f>IF(AND(OR(N1943="131",O1943="131"),H1943='131-CT'!$H$9),"x","")</f>
        <v/>
      </c>
      <c r="Z1943" s="75"/>
      <c r="AA1943" s="75" t="str">
        <f>IF(AND(MONTH(E1943)='IN-NX'!$J$5,'IN-NX'!$D$7=D1943),"x","")</f>
        <v/>
      </c>
      <c r="AB1943" s="75" t="str">
        <f>IF(AND(OR(LEFT(TH!N1943,2)="15",LEFT(TH!O1943,2)="15"),LEFT(TH!O1943,3)&lt;&gt;"111",'152-CT'!$J$8=TH!F1943),"x","")</f>
        <v/>
      </c>
      <c r="AC1943" s="75" t="str">
        <f>IF(AND(OR(LEFT(TH!N1943,2)="15",LEFT(TH!O1943,2)="15"),TK!$E$7=TH!F1943),"x","")</f>
        <v/>
      </c>
      <c r="AD1943" s="75" t="str">
        <f>IF(AND(N1943="1521",MONTH(C1943)='BK-NL'!$M$11),"x","")</f>
        <v/>
      </c>
      <c r="AE1943" s="1053">
        <v>9</v>
      </c>
    </row>
    <row r="1944" spans="1:31" ht="16.5" customHeight="1">
      <c r="A1944" s="309" t="str">
        <f>IF(B1944&lt;&gt;"",IF(AND(B1944='IN-TC'!$S$4,OR(TH!N1944="1111",TH!O1944="1111")),TH!D1944,""),"")</f>
        <v/>
      </c>
      <c r="B1944" s="1242">
        <f t="shared" si="528"/>
        <v>9</v>
      </c>
      <c r="C1944" s="929">
        <f t="shared" ref="C1944:C1994" si="530">E1944</f>
        <v>42979</v>
      </c>
      <c r="D1944" s="929" t="s">
        <v>2951</v>
      </c>
      <c r="E1944" s="929">
        <v>42979</v>
      </c>
      <c r="F1944" s="1082" t="s">
        <v>327</v>
      </c>
      <c r="G1944" s="931"/>
      <c r="H1944" s="735" t="s">
        <v>424</v>
      </c>
      <c r="I1944" s="371">
        <v>150</v>
      </c>
      <c r="J1944" s="377">
        <v>32200</v>
      </c>
      <c r="K1944" s="371"/>
      <c r="L1944" s="377"/>
      <c r="M1944" s="933">
        <f t="shared" ref="M1944:M1994" si="531">ROUND(I1944*J1944,0)</f>
        <v>4830000</v>
      </c>
      <c r="N1944" s="934" t="s">
        <v>272</v>
      </c>
      <c r="O1944" s="934" t="s">
        <v>266</v>
      </c>
      <c r="P1944" s="75" t="str">
        <f>IF(AND('331-CT'!$E$7=TH!H1944,OR(N1944="331",O1944="331")),"x","")</f>
        <v/>
      </c>
      <c r="Q1944" s="75" t="str">
        <f>IF(AND(B1944='111'!$L$11,OR($N1944=$Q$7,$O1944=$Q$7)),"x","")</f>
        <v/>
      </c>
      <c r="R1944" s="75" t="str">
        <f>IF(AND($N1944=$Q$7,$B1944&lt;'111'!$L$11),"x","")</f>
        <v/>
      </c>
      <c r="S1944" s="75" t="str">
        <f>IF(AND($O1944=$Q$7,$B1944&lt;'111'!$L$11),"x","")</f>
        <v/>
      </c>
      <c r="T1944" s="75" t="str">
        <f>IF(ISERROR(FIND('112'!$M$9,G1944,1)),"",IF((AND(FIND('112'!$M$9,G1944,1)&gt;=1,B1944='112'!$K$9,OR($N1944='112'!$I$6,$O1944='112'!$I$6))),"x",""))</f>
        <v/>
      </c>
      <c r="U1944" s="75" t="str">
        <f>IF(ISERROR(FIND('112'!$M$9,G1944,1)),"",IF((AND(LEFT(G1944,2)=LEFT('112'!$M$9,2),B1944&lt;'112'!$K$9,$N1944='112'!$I$6)),"x",""))</f>
        <v/>
      </c>
      <c r="V1944" s="75" t="str">
        <f>IF(ISERROR(FIND('112'!$M$9,G1944,1)),"",IF((AND(RIGHT(G1944,2)=RIGHT('112'!$M$9,2),B1944&lt;'112'!$K$9,$O1944='112'!$I$6)),"x",""))</f>
        <v/>
      </c>
      <c r="W1944" s="75" t="str">
        <f>IF(AND('341-CT'!$H$9=H1944,OR(LEFT(N1944,3)=$W$7,LEFT(O1944,3)=$W$7)),"x","")</f>
        <v/>
      </c>
      <c r="X1944" s="75" t="str">
        <f>IF(OR(TH!N1944=TH!$X$7,O1944=TH!$X$7),"x","")</f>
        <v/>
      </c>
      <c r="Y1944" s="75" t="str">
        <f>IF(AND(OR(N1944="131",O1944="131"),H1944='131-CT'!$H$9),"x","")</f>
        <v/>
      </c>
      <c r="Z1944" s="75"/>
      <c r="AA1944" s="75" t="str">
        <f>IF(AND(MONTH(E1944)='IN-NX'!$J$5,'IN-NX'!$D$7=D1944),"x","")</f>
        <v/>
      </c>
      <c r="AB1944" s="75" t="str">
        <f>IF(AND(OR(LEFT(TH!N1944,2)="15",LEFT(TH!O1944,2)="15"),LEFT(TH!O1944,3)&lt;&gt;"111",'152-CT'!$J$8=TH!F1944),"x","")</f>
        <v/>
      </c>
      <c r="AC1944" s="75" t="str">
        <f>IF(AND(OR(LEFT(TH!N1944,2)="15",LEFT(TH!O1944,2)="15"),TK!$E$7=TH!F1944),"x","")</f>
        <v/>
      </c>
      <c r="AD1944" s="75" t="str">
        <f>IF(AND(N1944="1521",MONTH(C1944)='BK-NL'!$M$11),"x","")</f>
        <v/>
      </c>
    </row>
    <row r="1945" spans="1:31" ht="16.5" customHeight="1">
      <c r="A1945" s="309" t="str">
        <f>IF(B1945&lt;&gt;"",IF(AND(B1945='IN-TC'!$S$4,OR(TH!N1945="1111",TH!O1945="1111")),TH!D1945,""),"")</f>
        <v/>
      </c>
      <c r="B1945" s="1242">
        <f t="shared" si="528"/>
        <v>9</v>
      </c>
      <c r="C1945" s="929">
        <f t="shared" si="530"/>
        <v>42979</v>
      </c>
      <c r="D1945" s="929" t="s">
        <v>2951</v>
      </c>
      <c r="E1945" s="929">
        <v>42979</v>
      </c>
      <c r="F1945" s="1082" t="s">
        <v>333</v>
      </c>
      <c r="G1945" s="931"/>
      <c r="H1945" s="735" t="s">
        <v>424</v>
      </c>
      <c r="I1945" s="371">
        <v>150</v>
      </c>
      <c r="J1945" s="377">
        <v>49808.000000000007</v>
      </c>
      <c r="K1945" s="371"/>
      <c r="L1945" s="377"/>
      <c r="M1945" s="933">
        <f t="shared" si="531"/>
        <v>7471200</v>
      </c>
      <c r="N1945" s="934" t="s">
        <v>272</v>
      </c>
      <c r="O1945" s="934" t="s">
        <v>266</v>
      </c>
      <c r="P1945" s="75" t="str">
        <f>IF(AND('331-CT'!$E$7=TH!H1945,OR(N1945="331",O1945="331")),"x","")</f>
        <v/>
      </c>
      <c r="Q1945" s="75" t="str">
        <f>IF(AND(B1945='111'!$L$11,OR($N1945=$Q$7,$O1945=$Q$7)),"x","")</f>
        <v/>
      </c>
      <c r="R1945" s="75" t="str">
        <f>IF(AND($N1945=$Q$7,$B1945&lt;'111'!$L$11),"x","")</f>
        <v/>
      </c>
      <c r="S1945" s="75" t="str">
        <f>IF(AND($O1945=$Q$7,$B1945&lt;'111'!$L$11),"x","")</f>
        <v/>
      </c>
      <c r="T1945" s="75" t="str">
        <f>IF(ISERROR(FIND('112'!$M$9,G1945,1)),"",IF((AND(FIND('112'!$M$9,G1945,1)&gt;=1,B1945='112'!$K$9,OR($N1945='112'!$I$6,$O1945='112'!$I$6))),"x",""))</f>
        <v/>
      </c>
      <c r="U1945" s="75" t="str">
        <f>IF(ISERROR(FIND('112'!$M$9,G1945,1)),"",IF((AND(LEFT(G1945,2)=LEFT('112'!$M$9,2),B1945&lt;'112'!$K$9,$N1945='112'!$I$6)),"x",""))</f>
        <v/>
      </c>
      <c r="V1945" s="75" t="str">
        <f>IF(ISERROR(FIND('112'!$M$9,G1945,1)),"",IF((AND(RIGHT(G1945,2)=RIGHT('112'!$M$9,2),B1945&lt;'112'!$K$9,$O1945='112'!$I$6)),"x",""))</f>
        <v/>
      </c>
      <c r="W1945" s="75" t="str">
        <f>IF(AND('341-CT'!$H$9=H1945,OR(LEFT(N1945,3)=$W$7,LEFT(O1945,3)=$W$7)),"x","")</f>
        <v/>
      </c>
      <c r="X1945" s="75" t="str">
        <f>IF(OR(TH!N1945=TH!$X$7,O1945=TH!$X$7),"x","")</f>
        <v/>
      </c>
      <c r="Y1945" s="75" t="str">
        <f>IF(AND(OR(N1945="131",O1945="131"),H1945='131-CT'!$H$9),"x","")</f>
        <v/>
      </c>
      <c r="Z1945" s="75"/>
      <c r="AA1945" s="75" t="str">
        <f>IF(AND(MONTH(E1945)='IN-NX'!$J$5,'IN-NX'!$D$7=D1945),"x","")</f>
        <v/>
      </c>
      <c r="AB1945" s="75" t="str">
        <f>IF(AND(OR(LEFT(TH!N1945,2)="15",LEFT(TH!O1945,2)="15"),LEFT(TH!O1945,3)&lt;&gt;"111",'152-CT'!$J$8=TH!F1945),"x","")</f>
        <v/>
      </c>
      <c r="AC1945" s="75" t="str">
        <f>IF(AND(OR(LEFT(TH!N1945,2)="15",LEFT(TH!O1945,2)="15"),TK!$E$7=TH!F1945),"x","")</f>
        <v/>
      </c>
      <c r="AD1945" s="75" t="str">
        <f>IF(AND(N1945="1521",MONTH(C1945)='BK-NL'!$M$11),"x","")</f>
        <v/>
      </c>
    </row>
    <row r="1946" spans="1:31" ht="16.5" customHeight="1">
      <c r="A1946" s="309" t="str">
        <f>IF(B1946&lt;&gt;"",IF(AND(B1946='IN-TC'!$S$4,OR(TH!N1946="1111",TH!O1946="1111")),TH!D1946,""),"")</f>
        <v/>
      </c>
      <c r="B1946" s="1242">
        <f t="shared" si="528"/>
        <v>9</v>
      </c>
      <c r="C1946" s="929">
        <f t="shared" si="530"/>
        <v>42979</v>
      </c>
      <c r="D1946" s="929" t="s">
        <v>2951</v>
      </c>
      <c r="E1946" s="929">
        <v>42979</v>
      </c>
      <c r="F1946" s="1082" t="s">
        <v>336</v>
      </c>
      <c r="G1946" s="931"/>
      <c r="H1946" s="735" t="s">
        <v>424</v>
      </c>
      <c r="I1946" s="371">
        <v>400</v>
      </c>
      <c r="J1946" s="377">
        <v>16476.189999999999</v>
      </c>
      <c r="K1946" s="371"/>
      <c r="L1946" s="377"/>
      <c r="M1946" s="933">
        <f t="shared" si="531"/>
        <v>6590476</v>
      </c>
      <c r="N1946" s="934" t="s">
        <v>272</v>
      </c>
      <c r="O1946" s="934" t="s">
        <v>266</v>
      </c>
      <c r="P1946" s="75" t="str">
        <f>IF(AND('331-CT'!$E$7=TH!H1946,OR(N1946="331",O1946="331")),"x","")</f>
        <v/>
      </c>
      <c r="Q1946" s="75" t="str">
        <f>IF(AND(B1946='111'!$L$11,OR($N1946=$Q$7,$O1946=$Q$7)),"x","")</f>
        <v/>
      </c>
      <c r="R1946" s="75" t="str">
        <f>IF(AND($N1946=$Q$7,$B1946&lt;'111'!$L$11),"x","")</f>
        <v/>
      </c>
      <c r="S1946" s="75" t="str">
        <f>IF(AND($O1946=$Q$7,$B1946&lt;'111'!$L$11),"x","")</f>
        <v/>
      </c>
      <c r="T1946" s="75" t="str">
        <f>IF(ISERROR(FIND('112'!$M$9,G1946,1)),"",IF((AND(FIND('112'!$M$9,G1946,1)&gt;=1,B1946='112'!$K$9,OR($N1946='112'!$I$6,$O1946='112'!$I$6))),"x",""))</f>
        <v/>
      </c>
      <c r="U1946" s="75" t="str">
        <f>IF(ISERROR(FIND('112'!$M$9,G1946,1)),"",IF((AND(LEFT(G1946,2)=LEFT('112'!$M$9,2),B1946&lt;'112'!$K$9,$N1946='112'!$I$6)),"x",""))</f>
        <v/>
      </c>
      <c r="V1946" s="75" t="str">
        <f>IF(ISERROR(FIND('112'!$M$9,G1946,1)),"",IF((AND(RIGHT(G1946,2)=RIGHT('112'!$M$9,2),B1946&lt;'112'!$K$9,$O1946='112'!$I$6)),"x",""))</f>
        <v/>
      </c>
      <c r="W1946" s="75" t="str">
        <f>IF(AND('341-CT'!$H$9=H1946,OR(LEFT(N1946,3)=$W$7,LEFT(O1946,3)=$W$7)),"x","")</f>
        <v/>
      </c>
      <c r="X1946" s="75" t="str">
        <f>IF(OR(TH!N1946=TH!$X$7,O1946=TH!$X$7),"x","")</f>
        <v/>
      </c>
      <c r="Y1946" s="75" t="str">
        <f>IF(AND(OR(N1946="131",O1946="131"),H1946='131-CT'!$H$9),"x","")</f>
        <v/>
      </c>
      <c r="Z1946" s="75"/>
      <c r="AA1946" s="75" t="str">
        <f>IF(AND(MONTH(E1946)='IN-NX'!$J$5,'IN-NX'!$D$7=D1946),"x","")</f>
        <v/>
      </c>
      <c r="AB1946" s="75" t="str">
        <f>IF(AND(OR(LEFT(TH!N1946,2)="15",LEFT(TH!O1946,2)="15"),LEFT(TH!O1946,3)&lt;&gt;"111",'152-CT'!$J$8=TH!F1946),"x","")</f>
        <v/>
      </c>
      <c r="AC1946" s="75" t="str">
        <f>IF(AND(OR(LEFT(TH!N1946,2)="15",LEFT(TH!O1946,2)="15"),TK!$E$7=TH!F1946),"x","")</f>
        <v>x</v>
      </c>
      <c r="AD1946" s="75" t="str">
        <f>IF(AND(N1946="1521",MONTH(C1946)='BK-NL'!$M$11),"x","")</f>
        <v/>
      </c>
    </row>
    <row r="1947" spans="1:31" ht="16.5" customHeight="1">
      <c r="A1947" s="309" t="str">
        <f>IF(B1947&lt;&gt;"",IF(AND(B1947='IN-TC'!$S$4,OR(TH!N1947="1111",TH!O1947="1111")),TH!D1947,""),"")</f>
        <v/>
      </c>
      <c r="B1947" s="1242">
        <f t="shared" si="528"/>
        <v>9</v>
      </c>
      <c r="C1947" s="929">
        <f t="shared" si="530"/>
        <v>42979</v>
      </c>
      <c r="D1947" s="929" t="s">
        <v>2951</v>
      </c>
      <c r="E1947" s="929">
        <v>42979</v>
      </c>
      <c r="F1947" s="1082" t="s">
        <v>804</v>
      </c>
      <c r="G1947" s="931"/>
      <c r="H1947" s="735" t="s">
        <v>424</v>
      </c>
      <c r="I1947" s="371">
        <v>40</v>
      </c>
      <c r="J1947" s="377">
        <v>53000</v>
      </c>
      <c r="K1947" s="371"/>
      <c r="L1947" s="377"/>
      <c r="M1947" s="933">
        <f t="shared" si="531"/>
        <v>2120000</v>
      </c>
      <c r="N1947" s="934" t="s">
        <v>272</v>
      </c>
      <c r="O1947" s="934" t="s">
        <v>266</v>
      </c>
      <c r="P1947" s="75" t="str">
        <f>IF(AND('331-CT'!$E$7=TH!H1947,OR(N1947="331",O1947="331")),"x","")</f>
        <v/>
      </c>
      <c r="Q1947" s="75" t="str">
        <f>IF(AND(B1947='111'!$L$11,OR($N1947=$Q$7,$O1947=$Q$7)),"x","")</f>
        <v/>
      </c>
      <c r="R1947" s="75" t="str">
        <f>IF(AND($N1947=$Q$7,$B1947&lt;'111'!$L$11),"x","")</f>
        <v/>
      </c>
      <c r="S1947" s="75" t="str">
        <f>IF(AND($O1947=$Q$7,$B1947&lt;'111'!$L$11),"x","")</f>
        <v/>
      </c>
      <c r="T1947" s="75" t="str">
        <f>IF(ISERROR(FIND('112'!$M$9,G1947,1)),"",IF((AND(FIND('112'!$M$9,G1947,1)&gt;=1,B1947='112'!$K$9,OR($N1947='112'!$I$6,$O1947='112'!$I$6))),"x",""))</f>
        <v/>
      </c>
      <c r="U1947" s="75" t="str">
        <f>IF(ISERROR(FIND('112'!$M$9,G1947,1)),"",IF((AND(LEFT(G1947,2)=LEFT('112'!$M$9,2),B1947&lt;'112'!$K$9,$N1947='112'!$I$6)),"x",""))</f>
        <v/>
      </c>
      <c r="V1947" s="75" t="str">
        <f>IF(ISERROR(FIND('112'!$M$9,G1947,1)),"",IF((AND(RIGHT(G1947,2)=RIGHT('112'!$M$9,2),B1947&lt;'112'!$K$9,$O1947='112'!$I$6)),"x",""))</f>
        <v/>
      </c>
      <c r="W1947" s="75" t="str">
        <f>IF(AND('341-CT'!$H$9=H1947,OR(LEFT(N1947,3)=$W$7,LEFT(O1947,3)=$W$7)),"x","")</f>
        <v/>
      </c>
      <c r="X1947" s="75" t="str">
        <f>IF(OR(TH!N1947=TH!$X$7,O1947=TH!$X$7),"x","")</f>
        <v/>
      </c>
      <c r="Y1947" s="75" t="str">
        <f>IF(AND(OR(N1947="131",O1947="131"),H1947='131-CT'!$H$9),"x","")</f>
        <v/>
      </c>
      <c r="Z1947" s="75"/>
      <c r="AA1947" s="75" t="str">
        <f>IF(AND(MONTH(E1947)='IN-NX'!$J$5,'IN-NX'!$D$7=D1947),"x","")</f>
        <v/>
      </c>
      <c r="AB1947" s="75" t="str">
        <f>IF(AND(OR(LEFT(TH!N1947,2)="15",LEFT(TH!O1947,2)="15"),LEFT(TH!O1947,3)&lt;&gt;"111",'152-CT'!$J$8=TH!F1947),"x","")</f>
        <v/>
      </c>
      <c r="AC1947" s="75" t="str">
        <f>IF(AND(OR(LEFT(TH!N1947,2)="15",LEFT(TH!O1947,2)="15"),TK!$E$7=TH!F1947),"x","")</f>
        <v/>
      </c>
      <c r="AD1947" s="75" t="str">
        <f>IF(AND(N1947="1521",MONTH(C1947)='BK-NL'!$M$11),"x","")</f>
        <v/>
      </c>
    </row>
    <row r="1948" spans="1:31" ht="16.5" customHeight="1">
      <c r="A1948" s="309" t="str">
        <f>IF(B1948&lt;&gt;"",IF(AND(B1948='IN-TC'!$S$4,OR(TH!N1948="1111",TH!O1948="1111")),TH!D1948,""),"")</f>
        <v/>
      </c>
      <c r="B1948" s="1242">
        <f t="shared" si="528"/>
        <v>9</v>
      </c>
      <c r="C1948" s="929">
        <f t="shared" si="530"/>
        <v>42979</v>
      </c>
      <c r="D1948" s="929" t="s">
        <v>2951</v>
      </c>
      <c r="E1948" s="929">
        <v>42979</v>
      </c>
      <c r="F1948" s="1082" t="s">
        <v>341</v>
      </c>
      <c r="G1948" s="931"/>
      <c r="H1948" s="735" t="s">
        <v>424</v>
      </c>
      <c r="I1948" s="371">
        <v>600</v>
      </c>
      <c r="J1948" s="377">
        <v>3200</v>
      </c>
      <c r="K1948" s="371"/>
      <c r="L1948" s="377"/>
      <c r="M1948" s="933">
        <f t="shared" si="531"/>
        <v>1920000</v>
      </c>
      <c r="N1948" s="934" t="s">
        <v>272</v>
      </c>
      <c r="O1948" s="934" t="s">
        <v>266</v>
      </c>
      <c r="P1948" s="75" t="str">
        <f>IF(AND('331-CT'!$E$7=TH!H1948,OR(N1948="331",O1948="331")),"x","")</f>
        <v/>
      </c>
      <c r="Q1948" s="75" t="str">
        <f>IF(AND(B1948='111'!$L$11,OR($N1948=$Q$7,$O1948=$Q$7)),"x","")</f>
        <v/>
      </c>
      <c r="R1948" s="75" t="str">
        <f>IF(AND($N1948=$Q$7,$B1948&lt;'111'!$L$11),"x","")</f>
        <v/>
      </c>
      <c r="S1948" s="75" t="str">
        <f>IF(AND($O1948=$Q$7,$B1948&lt;'111'!$L$11),"x","")</f>
        <v/>
      </c>
      <c r="T1948" s="75" t="str">
        <f>IF(ISERROR(FIND('112'!$M$9,G1948,1)),"",IF((AND(FIND('112'!$M$9,G1948,1)&gt;=1,B1948='112'!$K$9,OR($N1948='112'!$I$6,$O1948='112'!$I$6))),"x",""))</f>
        <v/>
      </c>
      <c r="U1948" s="75" t="str">
        <f>IF(ISERROR(FIND('112'!$M$9,G1948,1)),"",IF((AND(LEFT(G1948,2)=LEFT('112'!$M$9,2),B1948&lt;'112'!$K$9,$N1948='112'!$I$6)),"x",""))</f>
        <v/>
      </c>
      <c r="V1948" s="75" t="str">
        <f>IF(ISERROR(FIND('112'!$M$9,G1948,1)),"",IF((AND(RIGHT(G1948,2)=RIGHT('112'!$M$9,2),B1948&lt;'112'!$K$9,$O1948='112'!$I$6)),"x",""))</f>
        <v/>
      </c>
      <c r="W1948" s="75" t="str">
        <f>IF(AND('341-CT'!$H$9=H1948,OR(LEFT(N1948,3)=$W$7,LEFT(O1948,3)=$W$7)),"x","")</f>
        <v/>
      </c>
      <c r="X1948" s="75" t="str">
        <f>IF(OR(TH!N1948=TH!$X$7,O1948=TH!$X$7),"x","")</f>
        <v/>
      </c>
      <c r="Y1948" s="75" t="str">
        <f>IF(AND(OR(N1948="131",O1948="131"),H1948='131-CT'!$H$9),"x","")</f>
        <v/>
      </c>
      <c r="Z1948" s="75"/>
      <c r="AA1948" s="75" t="str">
        <f>IF(AND(MONTH(E1948)='IN-NX'!$J$5,'IN-NX'!$D$7=D1948),"x","")</f>
        <v/>
      </c>
      <c r="AB1948" s="75" t="str">
        <f>IF(AND(OR(LEFT(TH!N1948,2)="15",LEFT(TH!O1948,2)="15"),LEFT(TH!O1948,3)&lt;&gt;"111",'152-CT'!$J$8=TH!F1948),"x","")</f>
        <v/>
      </c>
      <c r="AC1948" s="75" t="str">
        <f>IF(AND(OR(LEFT(TH!N1948,2)="15",LEFT(TH!O1948,2)="15"),TK!$E$7=TH!F1948),"x","")</f>
        <v/>
      </c>
      <c r="AD1948" s="75" t="str">
        <f>IF(AND(N1948="1521",MONTH(C1948)='BK-NL'!$M$11),"x","")</f>
        <v/>
      </c>
    </row>
    <row r="1949" spans="1:31" ht="16.5" customHeight="1">
      <c r="A1949" s="309" t="str">
        <f>IF(B1949&lt;&gt;"",IF(AND(B1949='IN-TC'!$S$4,OR(TH!N1949="1111",TH!O1949="1111")),TH!D1949,""),"")</f>
        <v/>
      </c>
      <c r="B1949" s="1242">
        <f t="shared" si="528"/>
        <v>9</v>
      </c>
      <c r="C1949" s="929">
        <f t="shared" si="530"/>
        <v>42979</v>
      </c>
      <c r="D1949" s="929" t="s">
        <v>2951</v>
      </c>
      <c r="E1949" s="929">
        <v>42979</v>
      </c>
      <c r="F1949" s="1082" t="s">
        <v>1257</v>
      </c>
      <c r="G1949" s="931"/>
      <c r="H1949" s="735" t="s">
        <v>424</v>
      </c>
      <c r="I1949" s="371">
        <v>2700</v>
      </c>
      <c r="J1949" s="377">
        <v>14728</v>
      </c>
      <c r="K1949" s="371"/>
      <c r="L1949" s="377"/>
      <c r="M1949" s="933">
        <f t="shared" si="531"/>
        <v>39765600</v>
      </c>
      <c r="N1949" s="934" t="s">
        <v>272</v>
      </c>
      <c r="O1949" s="934" t="s">
        <v>266</v>
      </c>
      <c r="P1949" s="75" t="str">
        <f>IF(AND('331-CT'!$E$7=TH!H1949,OR(N1949="331",O1949="331")),"x","")</f>
        <v/>
      </c>
      <c r="Q1949" s="75" t="str">
        <f>IF(AND(B1949='111'!$L$11,OR($N1949=$Q$7,$O1949=$Q$7)),"x","")</f>
        <v/>
      </c>
      <c r="R1949" s="75" t="str">
        <f>IF(AND($N1949=$Q$7,$B1949&lt;'111'!$L$11),"x","")</f>
        <v/>
      </c>
      <c r="S1949" s="75" t="str">
        <f>IF(AND($O1949=$Q$7,$B1949&lt;'111'!$L$11),"x","")</f>
        <v/>
      </c>
      <c r="T1949" s="75" t="str">
        <f>IF(ISERROR(FIND('112'!$M$9,G1949,1)),"",IF((AND(FIND('112'!$M$9,G1949,1)&gt;=1,B1949='112'!$K$9,OR($N1949='112'!$I$6,$O1949='112'!$I$6))),"x",""))</f>
        <v/>
      </c>
      <c r="U1949" s="75" t="str">
        <f>IF(ISERROR(FIND('112'!$M$9,G1949,1)),"",IF((AND(LEFT(G1949,2)=LEFT('112'!$M$9,2),B1949&lt;'112'!$K$9,$N1949='112'!$I$6)),"x",""))</f>
        <v/>
      </c>
      <c r="V1949" s="75" t="str">
        <f>IF(ISERROR(FIND('112'!$M$9,G1949,1)),"",IF((AND(RIGHT(G1949,2)=RIGHT('112'!$M$9,2),B1949&lt;'112'!$K$9,$O1949='112'!$I$6)),"x",""))</f>
        <v/>
      </c>
      <c r="W1949" s="75" t="str">
        <f>IF(AND('341-CT'!$H$9=H1949,OR(LEFT(N1949,3)=$W$7,LEFT(O1949,3)=$W$7)),"x","")</f>
        <v/>
      </c>
      <c r="X1949" s="75" t="str">
        <f>IF(OR(TH!N1949=TH!$X$7,O1949=TH!$X$7),"x","")</f>
        <v/>
      </c>
      <c r="Y1949" s="75" t="str">
        <f>IF(AND(OR(N1949="131",O1949="131"),H1949='131-CT'!$H$9),"x","")</f>
        <v/>
      </c>
      <c r="Z1949" s="75"/>
      <c r="AA1949" s="75" t="str">
        <f>IF(AND(MONTH(E1949)='IN-NX'!$J$5,'IN-NX'!$D$7=D1949),"x","")</f>
        <v/>
      </c>
      <c r="AB1949" s="75" t="str">
        <f>IF(AND(OR(LEFT(TH!N1949,2)="15",LEFT(TH!O1949,2)="15"),LEFT(TH!O1949,3)&lt;&gt;"111",'152-CT'!$J$8=TH!F1949),"x","")</f>
        <v/>
      </c>
      <c r="AC1949" s="75" t="str">
        <f>IF(AND(OR(LEFT(TH!N1949,2)="15",LEFT(TH!O1949,2)="15"),TK!$E$7=TH!F1949),"x","")</f>
        <v/>
      </c>
      <c r="AD1949" s="75" t="str">
        <f>IF(AND(N1949="1521",MONTH(C1949)='BK-NL'!$M$11),"x","")</f>
        <v/>
      </c>
    </row>
    <row r="1950" spans="1:31" ht="16.5" customHeight="1">
      <c r="A1950" s="309" t="str">
        <f>IF(B1950&lt;&gt;"",IF(AND(B1950='IN-TC'!$S$4,OR(TH!N1950="1111",TH!O1950="1111")),TH!D1950,""),"")</f>
        <v/>
      </c>
      <c r="B1950" s="1242">
        <f t="shared" si="528"/>
        <v>9</v>
      </c>
      <c r="C1950" s="929">
        <f t="shared" si="530"/>
        <v>42979</v>
      </c>
      <c r="D1950" s="929" t="s">
        <v>2951</v>
      </c>
      <c r="E1950" s="929">
        <v>42979</v>
      </c>
      <c r="F1950" s="1082" t="s">
        <v>346</v>
      </c>
      <c r="G1950" s="931"/>
      <c r="H1950" s="735" t="s">
        <v>424</v>
      </c>
      <c r="I1950" s="371">
        <v>200</v>
      </c>
      <c r="J1950" s="377">
        <v>8000</v>
      </c>
      <c r="K1950" s="371"/>
      <c r="L1950" s="377"/>
      <c r="M1950" s="933">
        <f t="shared" si="531"/>
        <v>1600000</v>
      </c>
      <c r="N1950" s="934" t="s">
        <v>272</v>
      </c>
      <c r="O1950" s="934" t="s">
        <v>266</v>
      </c>
      <c r="P1950" s="75" t="str">
        <f>IF(AND('331-CT'!$E$7=TH!H1950,OR(N1950="331",O1950="331")),"x","")</f>
        <v/>
      </c>
      <c r="Q1950" s="75" t="str">
        <f>IF(AND(B1950='111'!$L$11,OR($N1950=$Q$7,$O1950=$Q$7)),"x","")</f>
        <v/>
      </c>
      <c r="R1950" s="75" t="str">
        <f>IF(AND($N1950=$Q$7,$B1950&lt;'111'!$L$11),"x","")</f>
        <v/>
      </c>
      <c r="S1950" s="75" t="str">
        <f>IF(AND($O1950=$Q$7,$B1950&lt;'111'!$L$11),"x","")</f>
        <v/>
      </c>
      <c r="T1950" s="75" t="str">
        <f>IF(ISERROR(FIND('112'!$M$9,G1950,1)),"",IF((AND(FIND('112'!$M$9,G1950,1)&gt;=1,B1950='112'!$K$9,OR($N1950='112'!$I$6,$O1950='112'!$I$6))),"x",""))</f>
        <v/>
      </c>
      <c r="U1950" s="75" t="str">
        <f>IF(ISERROR(FIND('112'!$M$9,G1950,1)),"",IF((AND(LEFT(G1950,2)=LEFT('112'!$M$9,2),B1950&lt;'112'!$K$9,$N1950='112'!$I$6)),"x",""))</f>
        <v/>
      </c>
      <c r="V1950" s="75" t="str">
        <f>IF(ISERROR(FIND('112'!$M$9,G1950,1)),"",IF((AND(RIGHT(G1950,2)=RIGHT('112'!$M$9,2),B1950&lt;'112'!$K$9,$O1950='112'!$I$6)),"x",""))</f>
        <v/>
      </c>
      <c r="W1950" s="75" t="str">
        <f>IF(AND('341-CT'!$H$9=H1950,OR(LEFT(N1950,3)=$W$7,LEFT(O1950,3)=$W$7)),"x","")</f>
        <v/>
      </c>
      <c r="X1950" s="75" t="str">
        <f>IF(OR(TH!N1950=TH!$X$7,O1950=TH!$X$7),"x","")</f>
        <v/>
      </c>
      <c r="Y1950" s="75" t="str">
        <f>IF(AND(OR(N1950="131",O1950="131"),H1950='131-CT'!$H$9),"x","")</f>
        <v/>
      </c>
      <c r="Z1950" s="75"/>
      <c r="AA1950" s="75" t="str">
        <f>IF(AND(MONTH(E1950)='IN-NX'!$J$5,'IN-NX'!$D$7=D1950),"x","")</f>
        <v/>
      </c>
      <c r="AB1950" s="75" t="str">
        <f>IF(AND(OR(LEFT(TH!N1950,2)="15",LEFT(TH!O1950,2)="15"),LEFT(TH!O1950,3)&lt;&gt;"111",'152-CT'!$J$8=TH!F1950),"x","")</f>
        <v/>
      </c>
      <c r="AC1950" s="75" t="str">
        <f>IF(AND(OR(LEFT(TH!N1950,2)="15",LEFT(TH!O1950,2)="15"),TK!$E$7=TH!F1950),"x","")</f>
        <v/>
      </c>
      <c r="AD1950" s="75" t="str">
        <f>IF(AND(N1950="1521",MONTH(C1950)='BK-NL'!$M$11),"x","")</f>
        <v/>
      </c>
    </row>
    <row r="1951" spans="1:31" ht="16.5" customHeight="1">
      <c r="A1951" s="309" t="str">
        <f>IF(B1951&lt;&gt;"",IF(AND(B1951='IN-TC'!$S$4,OR(TH!N1951="1111",TH!O1951="1111")),TH!D1951,""),"")</f>
        <v/>
      </c>
      <c r="B1951" s="1242">
        <f t="shared" si="528"/>
        <v>9</v>
      </c>
      <c r="C1951" s="929">
        <f t="shared" si="530"/>
        <v>42979</v>
      </c>
      <c r="D1951" s="929" t="s">
        <v>2951</v>
      </c>
      <c r="E1951" s="929">
        <v>42979</v>
      </c>
      <c r="F1951" s="1082" t="s">
        <v>795</v>
      </c>
      <c r="G1951" s="931"/>
      <c r="H1951" s="735" t="s">
        <v>424</v>
      </c>
      <c r="I1951" s="371">
        <v>4779</v>
      </c>
      <c r="J1951" s="377">
        <v>8800</v>
      </c>
      <c r="K1951" s="371"/>
      <c r="L1951" s="377"/>
      <c r="M1951" s="933">
        <f t="shared" si="531"/>
        <v>42055200</v>
      </c>
      <c r="N1951" s="934" t="s">
        <v>272</v>
      </c>
      <c r="O1951" s="934" t="s">
        <v>266</v>
      </c>
      <c r="P1951" s="75" t="str">
        <f>IF(AND('331-CT'!$E$7=TH!H1951,OR(N1951="331",O1951="331")),"x","")</f>
        <v/>
      </c>
      <c r="Q1951" s="75" t="str">
        <f>IF(AND(B1951='111'!$L$11,OR($N1951=$Q$7,$O1951=$Q$7)),"x","")</f>
        <v/>
      </c>
      <c r="R1951" s="75" t="str">
        <f>IF(AND($N1951=$Q$7,$B1951&lt;'111'!$L$11),"x","")</f>
        <v/>
      </c>
      <c r="S1951" s="75" t="str">
        <f>IF(AND($O1951=$Q$7,$B1951&lt;'111'!$L$11),"x","")</f>
        <v/>
      </c>
      <c r="T1951" s="75" t="str">
        <f>IF(ISERROR(FIND('112'!$M$9,G1951,1)),"",IF((AND(FIND('112'!$M$9,G1951,1)&gt;=1,B1951='112'!$K$9,OR($N1951='112'!$I$6,$O1951='112'!$I$6))),"x",""))</f>
        <v/>
      </c>
      <c r="U1951" s="75" t="str">
        <f>IF(ISERROR(FIND('112'!$M$9,G1951,1)),"",IF((AND(LEFT(G1951,2)=LEFT('112'!$M$9,2),B1951&lt;'112'!$K$9,$N1951='112'!$I$6)),"x",""))</f>
        <v/>
      </c>
      <c r="V1951" s="75" t="str">
        <f>IF(ISERROR(FIND('112'!$M$9,G1951,1)),"",IF((AND(RIGHT(G1951,2)=RIGHT('112'!$M$9,2),B1951&lt;'112'!$K$9,$O1951='112'!$I$6)),"x",""))</f>
        <v/>
      </c>
      <c r="W1951" s="75" t="str">
        <f>IF(AND('341-CT'!$H$9=H1951,OR(LEFT(N1951,3)=$W$7,LEFT(O1951,3)=$W$7)),"x","")</f>
        <v/>
      </c>
      <c r="X1951" s="75" t="str">
        <f>IF(OR(TH!N1951=TH!$X$7,O1951=TH!$X$7),"x","")</f>
        <v/>
      </c>
      <c r="Y1951" s="75" t="str">
        <f>IF(AND(OR(N1951="131",O1951="131"),H1951='131-CT'!$H$9),"x","")</f>
        <v/>
      </c>
      <c r="Z1951" s="75"/>
      <c r="AA1951" s="75" t="str">
        <f>IF(AND(MONTH(E1951)='IN-NX'!$J$5,'IN-NX'!$D$7=D1951),"x","")</f>
        <v/>
      </c>
      <c r="AB1951" s="75" t="str">
        <f>IF(AND(OR(LEFT(TH!N1951,2)="15",LEFT(TH!O1951,2)="15"),LEFT(TH!O1951,3)&lt;&gt;"111",'152-CT'!$J$8=TH!F1951),"x","")</f>
        <v/>
      </c>
      <c r="AC1951" s="75" t="str">
        <f>IF(AND(OR(LEFT(TH!N1951,2)="15",LEFT(TH!O1951,2)="15"),TK!$E$7=TH!F1951),"x","")</f>
        <v/>
      </c>
      <c r="AD1951" s="75" t="str">
        <f>IF(AND(N1951="1521",MONTH(C1951)='BK-NL'!$M$11),"x","")</f>
        <v/>
      </c>
    </row>
    <row r="1952" spans="1:31" ht="16.5" customHeight="1">
      <c r="A1952" s="309" t="str">
        <f>IF(B1952&lt;&gt;"",IF(AND(B1952='IN-TC'!$S$4,OR(TH!N1952="1111",TH!O1952="1111")),TH!D1952,""),"")</f>
        <v/>
      </c>
      <c r="B1952" s="1242">
        <f t="shared" si="528"/>
        <v>9</v>
      </c>
      <c r="C1952" s="929">
        <f t="shared" si="530"/>
        <v>42980</v>
      </c>
      <c r="D1952" s="929" t="s">
        <v>2951</v>
      </c>
      <c r="E1952" s="929">
        <v>42980</v>
      </c>
      <c r="F1952" s="1082" t="s">
        <v>795</v>
      </c>
      <c r="G1952" s="931"/>
      <c r="H1952" s="735" t="s">
        <v>424</v>
      </c>
      <c r="I1952" s="371">
        <v>48720</v>
      </c>
      <c r="J1952" s="377">
        <v>5900</v>
      </c>
      <c r="K1952" s="371"/>
      <c r="L1952" s="377"/>
      <c r="M1952" s="933">
        <f t="shared" si="531"/>
        <v>287448000</v>
      </c>
      <c r="N1952" s="934" t="s">
        <v>272</v>
      </c>
      <c r="O1952" s="934" t="s">
        <v>266</v>
      </c>
      <c r="P1952" s="75" t="str">
        <f>IF(AND('331-CT'!$E$7=TH!H1952,OR(N1952="331",O1952="331")),"x","")</f>
        <v/>
      </c>
      <c r="Q1952" s="75" t="str">
        <f>IF(AND(B1952='111'!$L$11,OR($N1952=$Q$7,$O1952=$Q$7)),"x","")</f>
        <v/>
      </c>
      <c r="R1952" s="75" t="str">
        <f>IF(AND($N1952=$Q$7,$B1952&lt;'111'!$L$11),"x","")</f>
        <v/>
      </c>
      <c r="S1952" s="75" t="str">
        <f>IF(AND($O1952=$Q$7,$B1952&lt;'111'!$L$11),"x","")</f>
        <v/>
      </c>
      <c r="T1952" s="75" t="str">
        <f>IF(ISERROR(FIND('112'!$M$9,G1952,1)),"",IF((AND(FIND('112'!$M$9,G1952,1)&gt;=1,B1952='112'!$K$9,OR($N1952='112'!$I$6,$O1952='112'!$I$6))),"x",""))</f>
        <v/>
      </c>
      <c r="U1952" s="75" t="str">
        <f>IF(ISERROR(FIND('112'!$M$9,G1952,1)),"",IF((AND(LEFT(G1952,2)=LEFT('112'!$M$9,2),B1952&lt;'112'!$K$9,$N1952='112'!$I$6)),"x",""))</f>
        <v/>
      </c>
      <c r="V1952" s="75" t="str">
        <f>IF(ISERROR(FIND('112'!$M$9,G1952,1)),"",IF((AND(RIGHT(G1952,2)=RIGHT('112'!$M$9,2),B1952&lt;'112'!$K$9,$O1952='112'!$I$6)),"x",""))</f>
        <v/>
      </c>
      <c r="W1952" s="75" t="str">
        <f>IF(AND('341-CT'!$H$9=H1952,OR(LEFT(N1952,3)=$W$7,LEFT(O1952,3)=$W$7)),"x","")</f>
        <v/>
      </c>
      <c r="X1952" s="75" t="str">
        <f>IF(OR(TH!N1952=TH!$X$7,O1952=TH!$X$7),"x","")</f>
        <v/>
      </c>
      <c r="Y1952" s="75" t="str">
        <f>IF(AND(OR(N1952="131",O1952="131"),H1952='131-CT'!$H$9),"x","")</f>
        <v/>
      </c>
      <c r="Z1952" s="75"/>
      <c r="AA1952" s="75" t="str">
        <f>IF(AND(MONTH(E1952)='IN-NX'!$J$5,'IN-NX'!$D$7=D1952),"x","")</f>
        <v/>
      </c>
      <c r="AB1952" s="75" t="str">
        <f>IF(AND(OR(LEFT(TH!N1952,2)="15",LEFT(TH!O1952,2)="15"),LEFT(TH!O1952,3)&lt;&gt;"111",'152-CT'!$J$8=TH!F1952),"x","")</f>
        <v/>
      </c>
      <c r="AC1952" s="75" t="str">
        <f>IF(AND(OR(LEFT(TH!N1952,2)="15",LEFT(TH!O1952,2)="15"),TK!$E$7=TH!F1952),"x","")</f>
        <v/>
      </c>
      <c r="AD1952" s="75" t="str">
        <f>IF(AND(N1952="1521",MONTH(C1952)='BK-NL'!$M$11),"x","")</f>
        <v/>
      </c>
    </row>
    <row r="1953" spans="1:30" ht="16.5" customHeight="1">
      <c r="A1953" s="309" t="str">
        <f>IF(B1953&lt;&gt;"",IF(AND(B1953='IN-TC'!$S$4,OR(TH!N1953="1111",TH!O1953="1111")),TH!D1953,""),"")</f>
        <v/>
      </c>
      <c r="B1953" s="1242">
        <f t="shared" si="528"/>
        <v>9</v>
      </c>
      <c r="C1953" s="929">
        <f t="shared" si="530"/>
        <v>42981</v>
      </c>
      <c r="D1953" s="929" t="s">
        <v>2951</v>
      </c>
      <c r="E1953" s="929">
        <v>42981</v>
      </c>
      <c r="F1953" s="1082" t="s">
        <v>2173</v>
      </c>
      <c r="G1953" s="931"/>
      <c r="H1953" s="735" t="s">
        <v>424</v>
      </c>
      <c r="I1953" s="371">
        <v>129920</v>
      </c>
      <c r="J1953" s="377">
        <v>200</v>
      </c>
      <c r="K1953" s="371"/>
      <c r="L1953" s="377"/>
      <c r="M1953" s="933">
        <f t="shared" si="531"/>
        <v>25984000</v>
      </c>
      <c r="N1953" s="934" t="s">
        <v>272</v>
      </c>
      <c r="O1953" s="934" t="s">
        <v>266</v>
      </c>
      <c r="P1953" s="75" t="str">
        <f>IF(AND('331-CT'!$E$7=TH!H1953,OR(N1953="331",O1953="331")),"x","")</f>
        <v/>
      </c>
      <c r="Q1953" s="75" t="str">
        <f>IF(AND(B1953='111'!$L$11,OR($N1953=$Q$7,$O1953=$Q$7)),"x","")</f>
        <v/>
      </c>
      <c r="R1953" s="75" t="str">
        <f>IF(AND($N1953=$Q$7,$B1953&lt;'111'!$L$11),"x","")</f>
        <v/>
      </c>
      <c r="S1953" s="75" t="str">
        <f>IF(AND($O1953=$Q$7,$B1953&lt;'111'!$L$11),"x","")</f>
        <v/>
      </c>
      <c r="T1953" s="75" t="str">
        <f>IF(ISERROR(FIND('112'!$M$9,G1953,1)),"",IF((AND(FIND('112'!$M$9,G1953,1)&gt;=1,B1953='112'!$K$9,OR($N1953='112'!$I$6,$O1953='112'!$I$6))),"x",""))</f>
        <v/>
      </c>
      <c r="U1953" s="75" t="str">
        <f>IF(ISERROR(FIND('112'!$M$9,G1953,1)),"",IF((AND(LEFT(G1953,2)=LEFT('112'!$M$9,2),B1953&lt;'112'!$K$9,$N1953='112'!$I$6)),"x",""))</f>
        <v/>
      </c>
      <c r="V1953" s="75" t="str">
        <f>IF(ISERROR(FIND('112'!$M$9,G1953,1)),"",IF((AND(RIGHT(G1953,2)=RIGHT('112'!$M$9,2),B1953&lt;'112'!$K$9,$O1953='112'!$I$6)),"x",""))</f>
        <v/>
      </c>
      <c r="W1953" s="75" t="str">
        <f>IF(AND('341-CT'!$H$9=H1953,OR(LEFT(N1953,3)=$W$7,LEFT(O1953,3)=$W$7)),"x","")</f>
        <v/>
      </c>
      <c r="X1953" s="75" t="str">
        <f>IF(OR(TH!N1953=TH!$X$7,O1953=TH!$X$7),"x","")</f>
        <v/>
      </c>
      <c r="Y1953" s="75" t="str">
        <f>IF(AND(OR(N1953="131",O1953="131"),H1953='131-CT'!$H$9),"x","")</f>
        <v/>
      </c>
      <c r="Z1953" s="75"/>
      <c r="AA1953" s="75" t="str">
        <f>IF(AND(MONTH(E1953)='IN-NX'!$J$5,'IN-NX'!$D$7=D1953),"x","")</f>
        <v/>
      </c>
      <c r="AB1953" s="75" t="str">
        <f>IF(AND(OR(LEFT(TH!N1953,2)="15",LEFT(TH!O1953,2)="15"),LEFT(TH!O1953,3)&lt;&gt;"111",'152-CT'!$J$8=TH!F1953),"x","")</f>
        <v/>
      </c>
      <c r="AC1953" s="75" t="str">
        <f>IF(AND(OR(LEFT(TH!N1953,2)="15",LEFT(TH!O1953,2)="15"),TK!$E$7=TH!F1953),"x","")</f>
        <v/>
      </c>
      <c r="AD1953" s="75" t="str">
        <f>IF(AND(N1953="1521",MONTH(C1953)='BK-NL'!$M$11),"x","")</f>
        <v/>
      </c>
    </row>
    <row r="1954" spans="1:30" ht="16.5" customHeight="1">
      <c r="A1954" s="309" t="str">
        <f>IF(B1954&lt;&gt;"",IF(AND(B1954='IN-TC'!$S$4,OR(TH!N1954="1111",TH!O1954="1111")),TH!D1954,""),"")</f>
        <v/>
      </c>
      <c r="B1954" s="1242">
        <f t="shared" si="528"/>
        <v>9</v>
      </c>
      <c r="C1954" s="929">
        <f t="shared" si="530"/>
        <v>42981</v>
      </c>
      <c r="D1954" s="929" t="s">
        <v>2951</v>
      </c>
      <c r="E1954" s="929">
        <v>42981</v>
      </c>
      <c r="F1954" s="1082" t="s">
        <v>368</v>
      </c>
      <c r="G1954" s="931"/>
      <c r="H1954" s="735" t="s">
        <v>424</v>
      </c>
      <c r="I1954" s="371">
        <v>1270</v>
      </c>
      <c r="J1954" s="377">
        <v>8885.9842519685044</v>
      </c>
      <c r="K1954" s="371"/>
      <c r="L1954" s="377"/>
      <c r="M1954" s="933">
        <f t="shared" si="531"/>
        <v>11285200</v>
      </c>
      <c r="N1954" s="934" t="s">
        <v>272</v>
      </c>
      <c r="O1954" s="934" t="s">
        <v>266</v>
      </c>
      <c r="P1954" s="75" t="str">
        <f>IF(AND('331-CT'!$E$7=TH!H1954,OR(N1954="331",O1954="331")),"x","")</f>
        <v/>
      </c>
      <c r="Q1954" s="75" t="str">
        <f>IF(AND(B1954='111'!$L$11,OR($N1954=$Q$7,$O1954=$Q$7)),"x","")</f>
        <v/>
      </c>
      <c r="R1954" s="75" t="str">
        <f>IF(AND($N1954=$Q$7,$B1954&lt;'111'!$L$11),"x","")</f>
        <v/>
      </c>
      <c r="S1954" s="75" t="str">
        <f>IF(AND($O1954=$Q$7,$B1954&lt;'111'!$L$11),"x","")</f>
        <v/>
      </c>
      <c r="T1954" s="75" t="str">
        <f>IF(ISERROR(FIND('112'!$M$9,G1954,1)),"",IF((AND(FIND('112'!$M$9,G1954,1)&gt;=1,B1954='112'!$K$9,OR($N1954='112'!$I$6,$O1954='112'!$I$6))),"x",""))</f>
        <v/>
      </c>
      <c r="U1954" s="75" t="str">
        <f>IF(ISERROR(FIND('112'!$M$9,G1954,1)),"",IF((AND(LEFT(G1954,2)=LEFT('112'!$M$9,2),B1954&lt;'112'!$K$9,$N1954='112'!$I$6)),"x",""))</f>
        <v/>
      </c>
      <c r="V1954" s="75" t="str">
        <f>IF(ISERROR(FIND('112'!$M$9,G1954,1)),"",IF((AND(RIGHT(G1954,2)=RIGHT('112'!$M$9,2),B1954&lt;'112'!$K$9,$O1954='112'!$I$6)),"x",""))</f>
        <v/>
      </c>
      <c r="W1954" s="75" t="str">
        <f>IF(AND('341-CT'!$H$9=H1954,OR(LEFT(N1954,3)=$W$7,LEFT(O1954,3)=$W$7)),"x","")</f>
        <v/>
      </c>
      <c r="X1954" s="75" t="str">
        <f>IF(OR(TH!N1954=TH!$X$7,O1954=TH!$X$7),"x","")</f>
        <v/>
      </c>
      <c r="Y1954" s="75" t="str">
        <f>IF(AND(OR(N1954="131",O1954="131"),H1954='131-CT'!$H$9),"x","")</f>
        <v/>
      </c>
      <c r="Z1954" s="75"/>
      <c r="AA1954" s="75" t="str">
        <f>IF(AND(MONTH(E1954)='IN-NX'!$J$5,'IN-NX'!$D$7=D1954),"x","")</f>
        <v/>
      </c>
      <c r="AB1954" s="75" t="str">
        <f>IF(AND(OR(LEFT(TH!N1954,2)="15",LEFT(TH!O1954,2)="15"),LEFT(TH!O1954,3)&lt;&gt;"111",'152-CT'!$J$8=TH!F1954),"x","")</f>
        <v/>
      </c>
      <c r="AC1954" s="75" t="str">
        <f>IF(AND(OR(LEFT(TH!N1954,2)="15",LEFT(TH!O1954,2)="15"),TK!$E$7=TH!F1954),"x","")</f>
        <v/>
      </c>
      <c r="AD1954" s="75" t="str">
        <f>IF(AND(N1954="1521",MONTH(C1954)='BK-NL'!$M$11),"x","")</f>
        <v/>
      </c>
    </row>
    <row r="1955" spans="1:30" ht="16.5" customHeight="1">
      <c r="A1955" s="309" t="str">
        <f>IF(B1955&lt;&gt;"",IF(AND(B1955='IN-TC'!$S$4,OR(TH!N1955="1111",TH!O1955="1111")),TH!D1955,""),"")</f>
        <v/>
      </c>
      <c r="B1955" s="1242">
        <f t="shared" si="528"/>
        <v>9</v>
      </c>
      <c r="C1955" s="929">
        <f t="shared" si="530"/>
        <v>42983</v>
      </c>
      <c r="D1955" s="929" t="s">
        <v>2951</v>
      </c>
      <c r="E1955" s="929">
        <v>42983</v>
      </c>
      <c r="F1955" s="1082" t="s">
        <v>744</v>
      </c>
      <c r="G1955" s="931"/>
      <c r="H1955" s="735" t="s">
        <v>424</v>
      </c>
      <c r="I1955" s="371">
        <v>52</v>
      </c>
      <c r="J1955" s="377">
        <v>16000</v>
      </c>
      <c r="K1955" s="371"/>
      <c r="L1955" s="377"/>
      <c r="M1955" s="933">
        <f t="shared" si="531"/>
        <v>832000</v>
      </c>
      <c r="N1955" s="934" t="s">
        <v>272</v>
      </c>
      <c r="O1955" s="934" t="s">
        <v>266</v>
      </c>
      <c r="P1955" s="75" t="str">
        <f>IF(AND('331-CT'!$E$7=TH!H1955,OR(N1955="331",O1955="331")),"x","")</f>
        <v/>
      </c>
      <c r="Q1955" s="75" t="str">
        <f>IF(AND(B1955='111'!$L$11,OR($N1955=$Q$7,$O1955=$Q$7)),"x","")</f>
        <v/>
      </c>
      <c r="R1955" s="75" t="str">
        <f>IF(AND($N1955=$Q$7,$B1955&lt;'111'!$L$11),"x","")</f>
        <v/>
      </c>
      <c r="S1955" s="75" t="str">
        <f>IF(AND($O1955=$Q$7,$B1955&lt;'111'!$L$11),"x","")</f>
        <v/>
      </c>
      <c r="T1955" s="75" t="str">
        <f>IF(ISERROR(FIND('112'!$M$9,G1955,1)),"",IF((AND(FIND('112'!$M$9,G1955,1)&gt;=1,B1955='112'!$K$9,OR($N1955='112'!$I$6,$O1955='112'!$I$6))),"x",""))</f>
        <v/>
      </c>
      <c r="U1955" s="75" t="str">
        <f>IF(ISERROR(FIND('112'!$M$9,G1955,1)),"",IF((AND(LEFT(G1955,2)=LEFT('112'!$M$9,2),B1955&lt;'112'!$K$9,$N1955='112'!$I$6)),"x",""))</f>
        <v/>
      </c>
      <c r="V1955" s="75" t="str">
        <f>IF(ISERROR(FIND('112'!$M$9,G1955,1)),"",IF((AND(RIGHT(G1955,2)=RIGHT('112'!$M$9,2),B1955&lt;'112'!$K$9,$O1955='112'!$I$6)),"x",""))</f>
        <v/>
      </c>
      <c r="W1955" s="75" t="str">
        <f>IF(AND('341-CT'!$H$9=H1955,OR(LEFT(N1955,3)=$W$7,LEFT(O1955,3)=$W$7)),"x","")</f>
        <v/>
      </c>
      <c r="X1955" s="75" t="str">
        <f>IF(OR(TH!N1955=TH!$X$7,O1955=TH!$X$7),"x","")</f>
        <v/>
      </c>
      <c r="Y1955" s="75" t="str">
        <f>IF(AND(OR(N1955="131",O1955="131"),H1955='131-CT'!$H$9),"x","")</f>
        <v/>
      </c>
      <c r="Z1955" s="75"/>
      <c r="AA1955" s="75" t="str">
        <f>IF(AND(MONTH(E1955)='IN-NX'!$J$5,'IN-NX'!$D$7=D1955),"x","")</f>
        <v/>
      </c>
      <c r="AB1955" s="75" t="str">
        <f>IF(AND(OR(LEFT(TH!N1955,2)="15",LEFT(TH!O1955,2)="15"),LEFT(TH!O1955,3)&lt;&gt;"111",'152-CT'!$J$8=TH!F1955),"x","")</f>
        <v/>
      </c>
      <c r="AC1955" s="75" t="str">
        <f>IF(AND(OR(LEFT(TH!N1955,2)="15",LEFT(TH!O1955,2)="15"),TK!$E$7=TH!F1955),"x","")</f>
        <v/>
      </c>
      <c r="AD1955" s="75" t="str">
        <f>IF(AND(N1955="1521",MONTH(C1955)='BK-NL'!$M$11),"x","")</f>
        <v/>
      </c>
    </row>
    <row r="1956" spans="1:30" ht="16.5" customHeight="1">
      <c r="A1956" s="309" t="str">
        <f>IF(B1956&lt;&gt;"",IF(AND(B1956='IN-TC'!$S$4,OR(TH!N1956="1111",TH!O1956="1111")),TH!D1956,""),"")</f>
        <v/>
      </c>
      <c r="B1956" s="1242">
        <f t="shared" si="528"/>
        <v>9</v>
      </c>
      <c r="C1956" s="929">
        <f t="shared" si="530"/>
        <v>42983</v>
      </c>
      <c r="D1956" s="929" t="s">
        <v>2951</v>
      </c>
      <c r="E1956" s="929">
        <v>42983</v>
      </c>
      <c r="F1956" s="1082" t="s">
        <v>781</v>
      </c>
      <c r="G1956" s="931"/>
      <c r="H1956" s="735" t="s">
        <v>424</v>
      </c>
      <c r="I1956" s="371">
        <v>1020</v>
      </c>
      <c r="J1956" s="377">
        <v>14200</v>
      </c>
      <c r="K1956" s="371"/>
      <c r="L1956" s="377"/>
      <c r="M1956" s="933">
        <f t="shared" si="531"/>
        <v>14484000</v>
      </c>
      <c r="N1956" s="934" t="s">
        <v>272</v>
      </c>
      <c r="O1956" s="934" t="s">
        <v>266</v>
      </c>
      <c r="P1956" s="75" t="str">
        <f>IF(AND('331-CT'!$E$7=TH!H1956,OR(N1956="331",O1956="331")),"x","")</f>
        <v/>
      </c>
      <c r="Q1956" s="75" t="str">
        <f>IF(AND(B1956='111'!$L$11,OR($N1956=$Q$7,$O1956=$Q$7)),"x","")</f>
        <v/>
      </c>
      <c r="R1956" s="75" t="str">
        <f>IF(AND($N1956=$Q$7,$B1956&lt;'111'!$L$11),"x","")</f>
        <v/>
      </c>
      <c r="S1956" s="75" t="str">
        <f>IF(AND($O1956=$Q$7,$B1956&lt;'111'!$L$11),"x","")</f>
        <v/>
      </c>
      <c r="T1956" s="75" t="str">
        <f>IF(ISERROR(FIND('112'!$M$9,G1956,1)),"",IF((AND(FIND('112'!$M$9,G1956,1)&gt;=1,B1956='112'!$K$9,OR($N1956='112'!$I$6,$O1956='112'!$I$6))),"x",""))</f>
        <v/>
      </c>
      <c r="U1956" s="75" t="str">
        <f>IF(ISERROR(FIND('112'!$M$9,G1956,1)),"",IF((AND(LEFT(G1956,2)=LEFT('112'!$M$9,2),B1956&lt;'112'!$K$9,$N1956='112'!$I$6)),"x",""))</f>
        <v/>
      </c>
      <c r="V1956" s="75" t="str">
        <f>IF(ISERROR(FIND('112'!$M$9,G1956,1)),"",IF((AND(RIGHT(G1956,2)=RIGHT('112'!$M$9,2),B1956&lt;'112'!$K$9,$O1956='112'!$I$6)),"x",""))</f>
        <v/>
      </c>
      <c r="W1956" s="75" t="str">
        <f>IF(AND('341-CT'!$H$9=H1956,OR(LEFT(N1956,3)=$W$7,LEFT(O1956,3)=$W$7)),"x","")</f>
        <v/>
      </c>
      <c r="X1956" s="75" t="str">
        <f>IF(OR(TH!N1956=TH!$X$7,O1956=TH!$X$7),"x","")</f>
        <v/>
      </c>
      <c r="Y1956" s="75" t="str">
        <f>IF(AND(OR(N1956="131",O1956="131"),H1956='131-CT'!$H$9),"x","")</f>
        <v/>
      </c>
      <c r="Z1956" s="75"/>
      <c r="AA1956" s="75" t="str">
        <f>IF(AND(MONTH(E1956)='IN-NX'!$J$5,'IN-NX'!$D$7=D1956),"x","")</f>
        <v/>
      </c>
      <c r="AB1956" s="75" t="str">
        <f>IF(AND(OR(LEFT(TH!N1956,2)="15",LEFT(TH!O1956,2)="15"),LEFT(TH!O1956,3)&lt;&gt;"111",'152-CT'!$J$8=TH!F1956),"x","")</f>
        <v/>
      </c>
      <c r="AC1956" s="75" t="str">
        <f>IF(AND(OR(LEFT(TH!N1956,2)="15",LEFT(TH!O1956,2)="15"),TK!$E$7=TH!F1956),"x","")</f>
        <v/>
      </c>
      <c r="AD1956" s="75" t="str">
        <f>IF(AND(N1956="1521",MONTH(C1956)='BK-NL'!$M$11),"x","")</f>
        <v/>
      </c>
    </row>
    <row r="1957" spans="1:30" ht="16.5" customHeight="1">
      <c r="A1957" s="309" t="str">
        <f>IF(B1957&lt;&gt;"",IF(AND(B1957='IN-TC'!$S$4,OR(TH!N1957="1111",TH!O1957="1111")),TH!D1957,""),"")</f>
        <v/>
      </c>
      <c r="B1957" s="1242">
        <f t="shared" si="528"/>
        <v>9</v>
      </c>
      <c r="C1957" s="929">
        <f t="shared" si="530"/>
        <v>42996</v>
      </c>
      <c r="D1957" s="929" t="s">
        <v>2951</v>
      </c>
      <c r="E1957" s="929">
        <v>42996</v>
      </c>
      <c r="F1957" s="1082" t="s">
        <v>781</v>
      </c>
      <c r="G1957" s="931"/>
      <c r="H1957" s="735" t="s">
        <v>424</v>
      </c>
      <c r="I1957" s="371">
        <v>626</v>
      </c>
      <c r="J1957" s="377">
        <v>15620</v>
      </c>
      <c r="K1957" s="371"/>
      <c r="L1957" s="377"/>
      <c r="M1957" s="933">
        <f t="shared" si="531"/>
        <v>9778120</v>
      </c>
      <c r="N1957" s="934" t="s">
        <v>272</v>
      </c>
      <c r="O1957" s="934" t="s">
        <v>266</v>
      </c>
      <c r="P1957" s="75" t="str">
        <f>IF(AND('331-CT'!$E$7=TH!H1957,OR(N1957="331",O1957="331")),"x","")</f>
        <v/>
      </c>
      <c r="Q1957" s="75" t="str">
        <f>IF(AND(B1957='111'!$L$11,OR($N1957=$Q$7,$O1957=$Q$7)),"x","")</f>
        <v/>
      </c>
      <c r="R1957" s="75" t="str">
        <f>IF(AND($N1957=$Q$7,$B1957&lt;'111'!$L$11),"x","")</f>
        <v/>
      </c>
      <c r="S1957" s="75" t="str">
        <f>IF(AND($O1957=$Q$7,$B1957&lt;'111'!$L$11),"x","")</f>
        <v/>
      </c>
      <c r="T1957" s="75" t="str">
        <f>IF(ISERROR(FIND('112'!$M$9,G1957,1)),"",IF((AND(FIND('112'!$M$9,G1957,1)&gt;=1,B1957='112'!$K$9,OR($N1957='112'!$I$6,$O1957='112'!$I$6))),"x",""))</f>
        <v/>
      </c>
      <c r="U1957" s="75" t="str">
        <f>IF(ISERROR(FIND('112'!$M$9,G1957,1)),"",IF((AND(LEFT(G1957,2)=LEFT('112'!$M$9,2),B1957&lt;'112'!$K$9,$N1957='112'!$I$6)),"x",""))</f>
        <v/>
      </c>
      <c r="V1957" s="75" t="str">
        <f>IF(ISERROR(FIND('112'!$M$9,G1957,1)),"",IF((AND(RIGHT(G1957,2)=RIGHT('112'!$M$9,2),B1957&lt;'112'!$K$9,$O1957='112'!$I$6)),"x",""))</f>
        <v/>
      </c>
      <c r="W1957" s="75" t="str">
        <f>IF(AND('341-CT'!$H$9=H1957,OR(LEFT(N1957,3)=$W$7,LEFT(O1957,3)=$W$7)),"x","")</f>
        <v/>
      </c>
      <c r="X1957" s="75" t="str">
        <f>IF(OR(TH!N1957=TH!$X$7,O1957=TH!$X$7),"x","")</f>
        <v/>
      </c>
      <c r="Y1957" s="75" t="str">
        <f>IF(AND(OR(N1957="131",O1957="131"),H1957='131-CT'!$H$9),"x","")</f>
        <v/>
      </c>
      <c r="Z1957" s="75"/>
      <c r="AA1957" s="75" t="str">
        <f>IF(AND(MONTH(E1957)='IN-NX'!$J$5,'IN-NX'!$D$7=D1957),"x","")</f>
        <v/>
      </c>
      <c r="AB1957" s="75" t="str">
        <f>IF(AND(OR(LEFT(TH!N1957,2)="15",LEFT(TH!O1957,2)="15"),LEFT(TH!O1957,3)&lt;&gt;"111",'152-CT'!$J$8=TH!F1957),"x","")</f>
        <v/>
      </c>
      <c r="AC1957" s="75" t="str">
        <f>IF(AND(OR(LEFT(TH!N1957,2)="15",LEFT(TH!O1957,2)="15"),TK!$E$7=TH!F1957),"x","")</f>
        <v/>
      </c>
      <c r="AD1957" s="75" t="str">
        <f>IF(AND(N1957="1521",MONTH(C1957)='BK-NL'!$M$11),"x","")</f>
        <v/>
      </c>
    </row>
    <row r="1958" spans="1:30" ht="16.5" customHeight="1">
      <c r="A1958" s="309" t="str">
        <f>IF(B1958&lt;&gt;"",IF(AND(B1958='IN-TC'!$S$4,OR(TH!N1958="1111",TH!O1958="1111")),TH!D1958,""),"")</f>
        <v/>
      </c>
      <c r="B1958" s="1242">
        <f t="shared" si="528"/>
        <v>9</v>
      </c>
      <c r="C1958" s="292">
        <f t="shared" si="530"/>
        <v>42979</v>
      </c>
      <c r="D1958" s="292" t="s">
        <v>2957</v>
      </c>
      <c r="E1958" s="292">
        <v>42979</v>
      </c>
      <c r="F1958" s="429" t="s">
        <v>771</v>
      </c>
      <c r="G1958" s="925"/>
      <c r="H1958" s="429" t="s">
        <v>1882</v>
      </c>
      <c r="I1958" s="373">
        <v>52460</v>
      </c>
      <c r="J1958" s="379">
        <v>16500</v>
      </c>
      <c r="K1958" s="373"/>
      <c r="L1958" s="379"/>
      <c r="M1958" s="927">
        <f t="shared" si="531"/>
        <v>865590000</v>
      </c>
      <c r="N1958" s="295" t="s">
        <v>264</v>
      </c>
      <c r="O1958" s="295" t="s">
        <v>8</v>
      </c>
      <c r="P1958" s="75" t="str">
        <f>IF(AND('331-CT'!$E$7=TH!H1958,OR(N1958="331",O1958="331")),"x","")</f>
        <v/>
      </c>
      <c r="Q1958" s="75" t="str">
        <f>IF(AND(B1958='111'!$L$11,OR($N1958=$Q$7,$O1958=$Q$7)),"x","")</f>
        <v/>
      </c>
      <c r="R1958" s="75" t="str">
        <f>IF(AND($N1958=$Q$7,$B1958&lt;'111'!$L$11),"x","")</f>
        <v/>
      </c>
      <c r="S1958" s="75" t="str">
        <f>IF(AND($O1958=$Q$7,$B1958&lt;'111'!$L$11),"x","")</f>
        <v/>
      </c>
      <c r="T1958" s="75" t="str">
        <f>IF(ISERROR(FIND('112'!$M$9,G1958,1)),"",IF((AND(FIND('112'!$M$9,G1958,1)&gt;=1,B1958='112'!$K$9,OR($N1958='112'!$I$6,$O1958='112'!$I$6))),"x",""))</f>
        <v/>
      </c>
      <c r="U1958" s="75" t="str">
        <f>IF(ISERROR(FIND('112'!$M$9,G1958,1)),"",IF((AND(LEFT(G1958,2)=LEFT('112'!$M$9,2),B1958&lt;'112'!$K$9,$N1958='112'!$I$6)),"x",""))</f>
        <v/>
      </c>
      <c r="V1958" s="75" t="str">
        <f>IF(ISERROR(FIND('112'!$M$9,G1958,1)),"",IF((AND(RIGHT(G1958,2)=RIGHT('112'!$M$9,2),B1958&lt;'112'!$K$9,$O1958='112'!$I$6)),"x",""))</f>
        <v/>
      </c>
      <c r="W1958" s="75" t="str">
        <f>IF(AND('341-CT'!$H$9=H1958,OR(LEFT(N1958,3)=$W$7,LEFT(O1958,3)=$W$7)),"x","")</f>
        <v/>
      </c>
      <c r="X1958" s="75" t="str">
        <f>IF(OR(TH!N1958=TH!$X$7,O1958=TH!$X$7),"x","")</f>
        <v/>
      </c>
      <c r="Y1958" s="75" t="str">
        <f>IF(AND(OR(N1958="131",O1958="131"),H1958='131-CT'!$H$9),"x","")</f>
        <v/>
      </c>
      <c r="Z1958" s="75"/>
      <c r="AA1958" s="75" t="str">
        <f>IF(AND(MONTH(E1958)='IN-NX'!$J$5,'IN-NX'!$D$7=D1958),"x","")</f>
        <v/>
      </c>
      <c r="AB1958" s="75" t="str">
        <f>IF(AND(OR(LEFT(TH!N1958,2)="15",LEFT(TH!O1958,2)="15"),LEFT(TH!O1958,3)&lt;&gt;"111",'152-CT'!$J$8=TH!F1958),"x","")</f>
        <v/>
      </c>
      <c r="AC1958" s="75" t="str">
        <f>IF(AND(OR(LEFT(TH!N1958,2)="15",LEFT(TH!O1958,2)="15"),TK!$E$7=TH!F1958),"x","")</f>
        <v/>
      </c>
      <c r="AD1958" s="75" t="str">
        <f>IF(AND(N1958="1521",MONTH(C1958)='BK-NL'!$M$11),"x","")</f>
        <v/>
      </c>
    </row>
    <row r="1959" spans="1:30" ht="16.5" customHeight="1">
      <c r="A1959" s="309" t="str">
        <f>IF(B1959&lt;&gt;"",IF(AND(B1959='IN-TC'!$S$4,OR(TH!N1959="1111",TH!O1959="1111")),TH!D1959,""),"")</f>
        <v/>
      </c>
      <c r="B1959" s="1242">
        <f t="shared" ref="B1959:B1971" si="532">IF(C1959&lt;&gt;"",MONTH(C1959),"")</f>
        <v>9</v>
      </c>
      <c r="C1959" s="292">
        <f t="shared" ref="C1959:C1971" si="533">E1959</f>
        <v>42979</v>
      </c>
      <c r="D1959" s="292" t="s">
        <v>2958</v>
      </c>
      <c r="E1959" s="292">
        <v>42979</v>
      </c>
      <c r="F1959" s="429" t="s">
        <v>771</v>
      </c>
      <c r="G1959" s="925"/>
      <c r="H1959" s="429" t="s">
        <v>1890</v>
      </c>
      <c r="I1959" s="373">
        <v>53450</v>
      </c>
      <c r="J1959" s="379">
        <v>16500</v>
      </c>
      <c r="K1959" s="373"/>
      <c r="L1959" s="379"/>
      <c r="M1959" s="927">
        <f t="shared" ref="M1959:M1971" si="534">ROUND(I1959*J1959,0)</f>
        <v>881925000</v>
      </c>
      <c r="N1959" s="295" t="s">
        <v>264</v>
      </c>
      <c r="O1959" s="295" t="s">
        <v>8</v>
      </c>
      <c r="P1959" s="75" t="str">
        <f>IF(AND('331-CT'!$E$7=TH!H1959,OR(N1959="331",O1959="331")),"x","")</f>
        <v/>
      </c>
      <c r="Q1959" s="75" t="str">
        <f>IF(AND(B1959='111'!$L$11,OR($N1959=$Q$7,$O1959=$Q$7)),"x","")</f>
        <v/>
      </c>
      <c r="R1959" s="75" t="str">
        <f>IF(AND($N1959=$Q$7,$B1959&lt;'111'!$L$11),"x","")</f>
        <v/>
      </c>
      <c r="S1959" s="75" t="str">
        <f>IF(AND($O1959=$Q$7,$B1959&lt;'111'!$L$11),"x","")</f>
        <v/>
      </c>
      <c r="T1959" s="75" t="str">
        <f>IF(ISERROR(FIND('112'!$M$9,G1959,1)),"",IF((AND(FIND('112'!$M$9,G1959,1)&gt;=1,B1959='112'!$K$9,OR($N1959='112'!$I$6,$O1959='112'!$I$6))),"x",""))</f>
        <v/>
      </c>
      <c r="U1959" s="75" t="str">
        <f>IF(ISERROR(FIND('112'!$M$9,G1959,1)),"",IF((AND(LEFT(G1959,2)=LEFT('112'!$M$9,2),B1959&lt;'112'!$K$9,$N1959='112'!$I$6)),"x",""))</f>
        <v/>
      </c>
      <c r="V1959" s="75" t="str">
        <f>IF(ISERROR(FIND('112'!$M$9,G1959,1)),"",IF((AND(RIGHT(G1959,2)=RIGHT('112'!$M$9,2),B1959&lt;'112'!$K$9,$O1959='112'!$I$6)),"x",""))</f>
        <v/>
      </c>
      <c r="W1959" s="75" t="str">
        <f>IF(AND('341-CT'!$H$9=H1959,OR(LEFT(N1959,3)=$W$7,LEFT(O1959,3)=$W$7)),"x","")</f>
        <v/>
      </c>
      <c r="X1959" s="75" t="str">
        <f>IF(OR(TH!N1959=TH!$X$7,O1959=TH!$X$7),"x","")</f>
        <v/>
      </c>
      <c r="Y1959" s="75" t="str">
        <f>IF(AND(OR(N1959="131",O1959="131"),H1959='131-CT'!$H$9),"x","")</f>
        <v/>
      </c>
      <c r="Z1959" s="75"/>
      <c r="AA1959" s="75" t="str">
        <f>IF(AND(MONTH(E1959)='IN-NX'!$J$5,'IN-NX'!$D$7=D1959),"x","")</f>
        <v/>
      </c>
      <c r="AB1959" s="75" t="str">
        <f>IF(AND(OR(LEFT(TH!N1959,2)="15",LEFT(TH!O1959,2)="15"),LEFT(TH!O1959,3)&lt;&gt;"111",'152-CT'!$J$8=TH!F1959),"x","")</f>
        <v/>
      </c>
      <c r="AC1959" s="75" t="str">
        <f>IF(AND(OR(LEFT(TH!N1959,2)="15",LEFT(TH!O1959,2)="15"),TK!$E$7=TH!F1959),"x","")</f>
        <v/>
      </c>
      <c r="AD1959" s="75" t="str">
        <f>IF(AND(N1959="1521",MONTH(C1959)='BK-NL'!$M$11),"x","")</f>
        <v/>
      </c>
    </row>
    <row r="1960" spans="1:30" ht="16.5" customHeight="1">
      <c r="A1960" s="309" t="str">
        <f>IF(B1960&lt;&gt;"",IF(AND(B1960='IN-TC'!$S$4,OR(TH!N1960="1111",TH!O1960="1111")),TH!D1960,""),"")</f>
        <v/>
      </c>
      <c r="B1960" s="1242">
        <f t="shared" si="532"/>
        <v>9</v>
      </c>
      <c r="C1960" s="292">
        <f t="shared" si="533"/>
        <v>42983</v>
      </c>
      <c r="D1960" s="292" t="s">
        <v>2965</v>
      </c>
      <c r="E1960" s="292">
        <v>42983</v>
      </c>
      <c r="F1960" s="429" t="s">
        <v>771</v>
      </c>
      <c r="G1960" s="925"/>
      <c r="H1960" s="429" t="s">
        <v>1882</v>
      </c>
      <c r="I1960" s="373">
        <v>51580</v>
      </c>
      <c r="J1960" s="379">
        <v>16500</v>
      </c>
      <c r="K1960" s="373"/>
      <c r="L1960" s="379"/>
      <c r="M1960" s="927">
        <f t="shared" si="534"/>
        <v>851070000</v>
      </c>
      <c r="N1960" s="295" t="s">
        <v>264</v>
      </c>
      <c r="O1960" s="295" t="s">
        <v>8</v>
      </c>
      <c r="P1960" s="75" t="str">
        <f>IF(AND('331-CT'!$E$7=TH!H1960,OR(N1960="331",O1960="331")),"x","")</f>
        <v/>
      </c>
      <c r="Q1960" s="75" t="str">
        <f>IF(AND(B1960='111'!$L$11,OR($N1960=$Q$7,$O1960=$Q$7)),"x","")</f>
        <v/>
      </c>
      <c r="R1960" s="75" t="str">
        <f>IF(AND($N1960=$Q$7,$B1960&lt;'111'!$L$11),"x","")</f>
        <v/>
      </c>
      <c r="S1960" s="75" t="str">
        <f>IF(AND($O1960=$Q$7,$B1960&lt;'111'!$L$11),"x","")</f>
        <v/>
      </c>
      <c r="T1960" s="75" t="str">
        <f>IF(ISERROR(FIND('112'!$M$9,G1960,1)),"",IF((AND(FIND('112'!$M$9,G1960,1)&gt;=1,B1960='112'!$K$9,OR($N1960='112'!$I$6,$O1960='112'!$I$6))),"x",""))</f>
        <v/>
      </c>
      <c r="U1960" s="75" t="str">
        <f>IF(ISERROR(FIND('112'!$M$9,G1960,1)),"",IF((AND(LEFT(G1960,2)=LEFT('112'!$M$9,2),B1960&lt;'112'!$K$9,$N1960='112'!$I$6)),"x",""))</f>
        <v/>
      </c>
      <c r="V1960" s="75" t="str">
        <f>IF(ISERROR(FIND('112'!$M$9,G1960,1)),"",IF((AND(RIGHT(G1960,2)=RIGHT('112'!$M$9,2),B1960&lt;'112'!$K$9,$O1960='112'!$I$6)),"x",""))</f>
        <v/>
      </c>
      <c r="W1960" s="75" t="str">
        <f>IF(AND('341-CT'!$H$9=H1960,OR(LEFT(N1960,3)=$W$7,LEFT(O1960,3)=$W$7)),"x","")</f>
        <v/>
      </c>
      <c r="X1960" s="75" t="str">
        <f>IF(OR(TH!N1960=TH!$X$7,O1960=TH!$X$7),"x","")</f>
        <v/>
      </c>
      <c r="Y1960" s="75" t="str">
        <f>IF(AND(OR(N1960="131",O1960="131"),H1960='131-CT'!$H$9),"x","")</f>
        <v/>
      </c>
      <c r="Z1960" s="75"/>
      <c r="AA1960" s="75" t="str">
        <f>IF(AND(MONTH(E1960)='IN-NX'!$J$5,'IN-NX'!$D$7=D1960),"x","")</f>
        <v/>
      </c>
      <c r="AB1960" s="75" t="str">
        <f>IF(AND(OR(LEFT(TH!N1960,2)="15",LEFT(TH!O1960,2)="15"),LEFT(TH!O1960,3)&lt;&gt;"111",'152-CT'!$J$8=TH!F1960),"x","")</f>
        <v/>
      </c>
      <c r="AC1960" s="75" t="str">
        <f>IF(AND(OR(LEFT(TH!N1960,2)="15",LEFT(TH!O1960,2)="15"),TK!$E$7=TH!F1960),"x","")</f>
        <v/>
      </c>
      <c r="AD1960" s="75" t="str">
        <f>IF(AND(N1960="1521",MONTH(C1960)='BK-NL'!$M$11),"x","")</f>
        <v/>
      </c>
    </row>
    <row r="1961" spans="1:30" ht="16.5" customHeight="1">
      <c r="A1961" s="309" t="str">
        <f>IF(B1961&lt;&gt;"",IF(AND(B1961='IN-TC'!$S$4,OR(TH!N1961="1111",TH!O1961="1111")),TH!D1961,""),"")</f>
        <v/>
      </c>
      <c r="B1961" s="1242">
        <f t="shared" si="532"/>
        <v>9</v>
      </c>
      <c r="C1961" s="292">
        <f t="shared" si="533"/>
        <v>42983</v>
      </c>
      <c r="D1961" s="292" t="s">
        <v>2966</v>
      </c>
      <c r="E1961" s="292">
        <v>42983</v>
      </c>
      <c r="F1961" s="429" t="s">
        <v>771</v>
      </c>
      <c r="G1961" s="925"/>
      <c r="H1961" s="429" t="s">
        <v>1890</v>
      </c>
      <c r="I1961" s="373">
        <v>53240</v>
      </c>
      <c r="J1961" s="379">
        <v>16500</v>
      </c>
      <c r="K1961" s="373"/>
      <c r="L1961" s="379"/>
      <c r="M1961" s="927">
        <f t="shared" si="534"/>
        <v>878460000</v>
      </c>
      <c r="N1961" s="295" t="s">
        <v>264</v>
      </c>
      <c r="O1961" s="295" t="s">
        <v>8</v>
      </c>
      <c r="P1961" s="75" t="str">
        <f>IF(AND('331-CT'!$E$7=TH!H1961,OR(N1961="331",O1961="331")),"x","")</f>
        <v/>
      </c>
      <c r="Q1961" s="75" t="str">
        <f>IF(AND(B1961='111'!$L$11,OR($N1961=$Q$7,$O1961=$Q$7)),"x","")</f>
        <v/>
      </c>
      <c r="R1961" s="75" t="str">
        <f>IF(AND($N1961=$Q$7,$B1961&lt;'111'!$L$11),"x","")</f>
        <v/>
      </c>
      <c r="S1961" s="75" t="str">
        <f>IF(AND($O1961=$Q$7,$B1961&lt;'111'!$L$11),"x","")</f>
        <v/>
      </c>
      <c r="T1961" s="75" t="str">
        <f>IF(ISERROR(FIND('112'!$M$9,G1961,1)),"",IF((AND(FIND('112'!$M$9,G1961,1)&gt;=1,B1961='112'!$K$9,OR($N1961='112'!$I$6,$O1961='112'!$I$6))),"x",""))</f>
        <v/>
      </c>
      <c r="U1961" s="75" t="str">
        <f>IF(ISERROR(FIND('112'!$M$9,G1961,1)),"",IF((AND(LEFT(G1961,2)=LEFT('112'!$M$9,2),B1961&lt;'112'!$K$9,$N1961='112'!$I$6)),"x",""))</f>
        <v/>
      </c>
      <c r="V1961" s="75" t="str">
        <f>IF(ISERROR(FIND('112'!$M$9,G1961,1)),"",IF((AND(RIGHT(G1961,2)=RIGHT('112'!$M$9,2),B1961&lt;'112'!$K$9,$O1961='112'!$I$6)),"x",""))</f>
        <v/>
      </c>
      <c r="W1961" s="75" t="str">
        <f>IF(AND('341-CT'!$H$9=H1961,OR(LEFT(N1961,3)=$W$7,LEFT(O1961,3)=$W$7)),"x","")</f>
        <v/>
      </c>
      <c r="X1961" s="75" t="str">
        <f>IF(OR(TH!N1961=TH!$X$7,O1961=TH!$X$7),"x","")</f>
        <v/>
      </c>
      <c r="Y1961" s="75" t="str">
        <f>IF(AND(OR(N1961="131",O1961="131"),H1961='131-CT'!$H$9),"x","")</f>
        <v/>
      </c>
      <c r="Z1961" s="75"/>
      <c r="AA1961" s="75" t="str">
        <f>IF(AND(MONTH(E1961)='IN-NX'!$J$5,'IN-NX'!$D$7=D1961),"x","")</f>
        <v/>
      </c>
      <c r="AB1961" s="75" t="str">
        <f>IF(AND(OR(LEFT(TH!N1961,2)="15",LEFT(TH!O1961,2)="15"),LEFT(TH!O1961,3)&lt;&gt;"111",'152-CT'!$J$8=TH!F1961),"x","")</f>
        <v/>
      </c>
      <c r="AC1961" s="75" t="str">
        <f>IF(AND(OR(LEFT(TH!N1961,2)="15",LEFT(TH!O1961,2)="15"),TK!$E$7=TH!F1961),"x","")</f>
        <v/>
      </c>
      <c r="AD1961" s="75" t="str">
        <f>IF(AND(N1961="1521",MONTH(C1961)='BK-NL'!$M$11),"x","")</f>
        <v/>
      </c>
    </row>
    <row r="1962" spans="1:30" ht="16.5" customHeight="1">
      <c r="A1962" s="309" t="str">
        <f>IF(B1962&lt;&gt;"",IF(AND(B1962='IN-TC'!$S$4,OR(TH!N1962="1111",TH!O1962="1111")),TH!D1962,""),"")</f>
        <v/>
      </c>
      <c r="B1962" s="1242">
        <f t="shared" si="532"/>
        <v>9</v>
      </c>
      <c r="C1962" s="292">
        <f t="shared" si="533"/>
        <v>42986</v>
      </c>
      <c r="D1962" s="292" t="s">
        <v>2967</v>
      </c>
      <c r="E1962" s="292">
        <v>42986</v>
      </c>
      <c r="F1962" s="429" t="s">
        <v>771</v>
      </c>
      <c r="G1962" s="925"/>
      <c r="H1962" s="429" t="s">
        <v>1882</v>
      </c>
      <c r="I1962" s="373">
        <v>56520</v>
      </c>
      <c r="J1962" s="379">
        <v>16500</v>
      </c>
      <c r="K1962" s="373"/>
      <c r="L1962" s="379"/>
      <c r="M1962" s="927">
        <f t="shared" si="534"/>
        <v>932580000</v>
      </c>
      <c r="N1962" s="295" t="s">
        <v>264</v>
      </c>
      <c r="O1962" s="295" t="s">
        <v>8</v>
      </c>
      <c r="P1962" s="75" t="str">
        <f>IF(AND('331-CT'!$E$7=TH!H1962,OR(N1962="331",O1962="331")),"x","")</f>
        <v/>
      </c>
      <c r="Q1962" s="75" t="str">
        <f>IF(AND(B1962='111'!$L$11,OR($N1962=$Q$7,$O1962=$Q$7)),"x","")</f>
        <v/>
      </c>
      <c r="R1962" s="75" t="str">
        <f>IF(AND($N1962=$Q$7,$B1962&lt;'111'!$L$11),"x","")</f>
        <v/>
      </c>
      <c r="S1962" s="75" t="str">
        <f>IF(AND($O1962=$Q$7,$B1962&lt;'111'!$L$11),"x","")</f>
        <v/>
      </c>
      <c r="T1962" s="75" t="str">
        <f>IF(ISERROR(FIND('112'!$M$9,G1962,1)),"",IF((AND(FIND('112'!$M$9,G1962,1)&gt;=1,B1962='112'!$K$9,OR($N1962='112'!$I$6,$O1962='112'!$I$6))),"x",""))</f>
        <v/>
      </c>
      <c r="U1962" s="75" t="str">
        <f>IF(ISERROR(FIND('112'!$M$9,G1962,1)),"",IF((AND(LEFT(G1962,2)=LEFT('112'!$M$9,2),B1962&lt;'112'!$K$9,$N1962='112'!$I$6)),"x",""))</f>
        <v/>
      </c>
      <c r="V1962" s="75" t="str">
        <f>IF(ISERROR(FIND('112'!$M$9,G1962,1)),"",IF((AND(RIGHT(G1962,2)=RIGHT('112'!$M$9,2),B1962&lt;'112'!$K$9,$O1962='112'!$I$6)),"x",""))</f>
        <v/>
      </c>
      <c r="W1962" s="75" t="str">
        <f>IF(AND('341-CT'!$H$9=H1962,OR(LEFT(N1962,3)=$W$7,LEFT(O1962,3)=$W$7)),"x","")</f>
        <v/>
      </c>
      <c r="X1962" s="75" t="str">
        <f>IF(OR(TH!N1962=TH!$X$7,O1962=TH!$X$7),"x","")</f>
        <v/>
      </c>
      <c r="Y1962" s="75" t="str">
        <f>IF(AND(OR(N1962="131",O1962="131"),H1962='131-CT'!$H$9),"x","")</f>
        <v/>
      </c>
      <c r="Z1962" s="75"/>
      <c r="AA1962" s="75" t="str">
        <f>IF(AND(MONTH(E1962)='IN-NX'!$J$5,'IN-NX'!$D$7=D1962),"x","")</f>
        <v/>
      </c>
      <c r="AB1962" s="75" t="str">
        <f>IF(AND(OR(LEFT(TH!N1962,2)="15",LEFT(TH!O1962,2)="15"),LEFT(TH!O1962,3)&lt;&gt;"111",'152-CT'!$J$8=TH!F1962),"x","")</f>
        <v/>
      </c>
      <c r="AC1962" s="75" t="str">
        <f>IF(AND(OR(LEFT(TH!N1962,2)="15",LEFT(TH!O1962,2)="15"),TK!$E$7=TH!F1962),"x","")</f>
        <v/>
      </c>
      <c r="AD1962" s="75" t="str">
        <f>IF(AND(N1962="1521",MONTH(C1962)='BK-NL'!$M$11),"x","")</f>
        <v/>
      </c>
    </row>
    <row r="1963" spans="1:30" ht="16.5" customHeight="1">
      <c r="A1963" s="309" t="str">
        <f>IF(B1963&lt;&gt;"",IF(AND(B1963='IN-TC'!$S$4,OR(TH!N1963="1111",TH!O1963="1111")),TH!D1963,""),"")</f>
        <v/>
      </c>
      <c r="B1963" s="1242">
        <f t="shared" si="532"/>
        <v>9</v>
      </c>
      <c r="C1963" s="292">
        <f t="shared" si="533"/>
        <v>42986</v>
      </c>
      <c r="D1963" s="292" t="s">
        <v>2968</v>
      </c>
      <c r="E1963" s="292">
        <v>42986</v>
      </c>
      <c r="F1963" s="429" t="s">
        <v>771</v>
      </c>
      <c r="G1963" s="925"/>
      <c r="H1963" s="429" t="s">
        <v>1890</v>
      </c>
      <c r="I1963" s="373">
        <v>54620</v>
      </c>
      <c r="J1963" s="379">
        <v>16500</v>
      </c>
      <c r="K1963" s="373"/>
      <c r="L1963" s="379"/>
      <c r="M1963" s="927">
        <f t="shared" si="534"/>
        <v>901230000</v>
      </c>
      <c r="N1963" s="295" t="s">
        <v>264</v>
      </c>
      <c r="O1963" s="295" t="s">
        <v>8</v>
      </c>
      <c r="P1963" s="75" t="str">
        <f>IF(AND('331-CT'!$E$7=TH!H1963,OR(N1963="331",O1963="331")),"x","")</f>
        <v/>
      </c>
      <c r="Q1963" s="75" t="str">
        <f>IF(AND(B1963='111'!$L$11,OR($N1963=$Q$7,$O1963=$Q$7)),"x","")</f>
        <v/>
      </c>
      <c r="R1963" s="75" t="str">
        <f>IF(AND($N1963=$Q$7,$B1963&lt;'111'!$L$11),"x","")</f>
        <v/>
      </c>
      <c r="S1963" s="75" t="str">
        <f>IF(AND($O1963=$Q$7,$B1963&lt;'111'!$L$11),"x","")</f>
        <v/>
      </c>
      <c r="T1963" s="75" t="str">
        <f>IF(ISERROR(FIND('112'!$M$9,G1963,1)),"",IF((AND(FIND('112'!$M$9,G1963,1)&gt;=1,B1963='112'!$K$9,OR($N1963='112'!$I$6,$O1963='112'!$I$6))),"x",""))</f>
        <v/>
      </c>
      <c r="U1963" s="75" t="str">
        <f>IF(ISERROR(FIND('112'!$M$9,G1963,1)),"",IF((AND(LEFT(G1963,2)=LEFT('112'!$M$9,2),B1963&lt;'112'!$K$9,$N1963='112'!$I$6)),"x",""))</f>
        <v/>
      </c>
      <c r="V1963" s="75" t="str">
        <f>IF(ISERROR(FIND('112'!$M$9,G1963,1)),"",IF((AND(RIGHT(G1963,2)=RIGHT('112'!$M$9,2),B1963&lt;'112'!$K$9,$O1963='112'!$I$6)),"x",""))</f>
        <v/>
      </c>
      <c r="W1963" s="75" t="str">
        <f>IF(AND('341-CT'!$H$9=H1963,OR(LEFT(N1963,3)=$W$7,LEFT(O1963,3)=$W$7)),"x","")</f>
        <v/>
      </c>
      <c r="X1963" s="75" t="str">
        <f>IF(OR(TH!N1963=TH!$X$7,O1963=TH!$X$7),"x","")</f>
        <v/>
      </c>
      <c r="Y1963" s="75" t="str">
        <f>IF(AND(OR(N1963="131",O1963="131"),H1963='131-CT'!$H$9),"x","")</f>
        <v/>
      </c>
      <c r="Z1963" s="75"/>
      <c r="AA1963" s="75" t="str">
        <f>IF(AND(MONTH(E1963)='IN-NX'!$J$5,'IN-NX'!$D$7=D1963),"x","")</f>
        <v/>
      </c>
      <c r="AB1963" s="75" t="str">
        <f>IF(AND(OR(LEFT(TH!N1963,2)="15",LEFT(TH!O1963,2)="15"),LEFT(TH!O1963,3)&lt;&gt;"111",'152-CT'!$J$8=TH!F1963),"x","")</f>
        <v/>
      </c>
      <c r="AC1963" s="75" t="str">
        <f>IF(AND(OR(LEFT(TH!N1963,2)="15",LEFT(TH!O1963,2)="15"),TK!$E$7=TH!F1963),"x","")</f>
        <v/>
      </c>
      <c r="AD1963" s="75" t="str">
        <f>IF(AND(N1963="1521",MONTH(C1963)='BK-NL'!$M$11),"x","")</f>
        <v/>
      </c>
    </row>
    <row r="1964" spans="1:30" ht="16.5" customHeight="1">
      <c r="A1964" s="309" t="str">
        <f>IF(B1964&lt;&gt;"",IF(AND(B1964='IN-TC'!$S$4,OR(TH!N1964="1111",TH!O1964="1111")),TH!D1964,""),"")</f>
        <v/>
      </c>
      <c r="B1964" s="1242">
        <f t="shared" si="532"/>
        <v>9</v>
      </c>
      <c r="C1964" s="292">
        <f t="shared" si="533"/>
        <v>42990</v>
      </c>
      <c r="D1964" s="292" t="s">
        <v>2975</v>
      </c>
      <c r="E1964" s="292">
        <v>42990</v>
      </c>
      <c r="F1964" s="429" t="s">
        <v>771</v>
      </c>
      <c r="G1964" s="925"/>
      <c r="H1964" s="429" t="s">
        <v>1882</v>
      </c>
      <c r="I1964" s="373">
        <v>55632</v>
      </c>
      <c r="J1964" s="379">
        <v>16500</v>
      </c>
      <c r="K1964" s="373"/>
      <c r="L1964" s="379"/>
      <c r="M1964" s="927">
        <f t="shared" si="534"/>
        <v>917928000</v>
      </c>
      <c r="N1964" s="295" t="s">
        <v>264</v>
      </c>
      <c r="O1964" s="295" t="s">
        <v>8</v>
      </c>
      <c r="P1964" s="75" t="str">
        <f>IF(AND('331-CT'!$E$7=TH!H1964,OR(N1964="331",O1964="331")),"x","")</f>
        <v/>
      </c>
      <c r="Q1964" s="75" t="str">
        <f>IF(AND(B1964='111'!$L$11,OR($N1964=$Q$7,$O1964=$Q$7)),"x","")</f>
        <v/>
      </c>
      <c r="R1964" s="75" t="str">
        <f>IF(AND($N1964=$Q$7,$B1964&lt;'111'!$L$11),"x","")</f>
        <v/>
      </c>
      <c r="S1964" s="75" t="str">
        <f>IF(AND($O1964=$Q$7,$B1964&lt;'111'!$L$11),"x","")</f>
        <v/>
      </c>
      <c r="T1964" s="75" t="str">
        <f>IF(ISERROR(FIND('112'!$M$9,G1964,1)),"",IF((AND(FIND('112'!$M$9,G1964,1)&gt;=1,B1964='112'!$K$9,OR($N1964='112'!$I$6,$O1964='112'!$I$6))),"x",""))</f>
        <v/>
      </c>
      <c r="U1964" s="75" t="str">
        <f>IF(ISERROR(FIND('112'!$M$9,G1964,1)),"",IF((AND(LEFT(G1964,2)=LEFT('112'!$M$9,2),B1964&lt;'112'!$K$9,$N1964='112'!$I$6)),"x",""))</f>
        <v/>
      </c>
      <c r="V1964" s="75" t="str">
        <f>IF(ISERROR(FIND('112'!$M$9,G1964,1)),"",IF((AND(RIGHT(G1964,2)=RIGHT('112'!$M$9,2),B1964&lt;'112'!$K$9,$O1964='112'!$I$6)),"x",""))</f>
        <v/>
      </c>
      <c r="W1964" s="75" t="str">
        <f>IF(AND('341-CT'!$H$9=H1964,OR(LEFT(N1964,3)=$W$7,LEFT(O1964,3)=$W$7)),"x","")</f>
        <v/>
      </c>
      <c r="X1964" s="75" t="str">
        <f>IF(OR(TH!N1964=TH!$X$7,O1964=TH!$X$7),"x","")</f>
        <v/>
      </c>
      <c r="Y1964" s="75" t="str">
        <f>IF(AND(OR(N1964="131",O1964="131"),H1964='131-CT'!$H$9),"x","")</f>
        <v/>
      </c>
      <c r="Z1964" s="75"/>
      <c r="AA1964" s="75" t="str">
        <f>IF(AND(MONTH(E1964)='IN-NX'!$J$5,'IN-NX'!$D$7=D1964),"x","")</f>
        <v/>
      </c>
      <c r="AB1964" s="75" t="str">
        <f>IF(AND(OR(LEFT(TH!N1964,2)="15",LEFT(TH!O1964,2)="15"),LEFT(TH!O1964,3)&lt;&gt;"111",'152-CT'!$J$8=TH!F1964),"x","")</f>
        <v/>
      </c>
      <c r="AC1964" s="75" t="str">
        <f>IF(AND(OR(LEFT(TH!N1964,2)="15",LEFT(TH!O1964,2)="15"),TK!$E$7=TH!F1964),"x","")</f>
        <v/>
      </c>
      <c r="AD1964" s="75" t="str">
        <f>IF(AND(N1964="1521",MONTH(C1964)='BK-NL'!$M$11),"x","")</f>
        <v/>
      </c>
    </row>
    <row r="1965" spans="1:30" ht="16.5" customHeight="1">
      <c r="A1965" s="309" t="str">
        <f>IF(B1965&lt;&gt;"",IF(AND(B1965='IN-TC'!$S$4,OR(TH!N1965="1111",TH!O1965="1111")),TH!D1965,""),"")</f>
        <v/>
      </c>
      <c r="B1965" s="1242">
        <f t="shared" si="532"/>
        <v>9</v>
      </c>
      <c r="C1965" s="292">
        <f t="shared" si="533"/>
        <v>42990</v>
      </c>
      <c r="D1965" s="292" t="s">
        <v>2976</v>
      </c>
      <c r="E1965" s="292">
        <v>42990</v>
      </c>
      <c r="F1965" s="429" t="s">
        <v>771</v>
      </c>
      <c r="G1965" s="925"/>
      <c r="H1965" s="429" t="s">
        <v>1890</v>
      </c>
      <c r="I1965" s="373">
        <v>54620</v>
      </c>
      <c r="J1965" s="379">
        <v>16500</v>
      </c>
      <c r="K1965" s="373"/>
      <c r="L1965" s="379"/>
      <c r="M1965" s="927">
        <f t="shared" si="534"/>
        <v>901230000</v>
      </c>
      <c r="N1965" s="295" t="s">
        <v>264</v>
      </c>
      <c r="O1965" s="295" t="s">
        <v>8</v>
      </c>
      <c r="P1965" s="75" t="str">
        <f>IF(AND('331-CT'!$E$7=TH!H1965,OR(N1965="331",O1965="331")),"x","")</f>
        <v/>
      </c>
      <c r="Q1965" s="75" t="str">
        <f>IF(AND(B1965='111'!$L$11,OR($N1965=$Q$7,$O1965=$Q$7)),"x","")</f>
        <v/>
      </c>
      <c r="R1965" s="75" t="str">
        <f>IF(AND($N1965=$Q$7,$B1965&lt;'111'!$L$11),"x","")</f>
        <v/>
      </c>
      <c r="S1965" s="75" t="str">
        <f>IF(AND($O1965=$Q$7,$B1965&lt;'111'!$L$11),"x","")</f>
        <v/>
      </c>
      <c r="T1965" s="75" t="str">
        <f>IF(ISERROR(FIND('112'!$M$9,G1965,1)),"",IF((AND(FIND('112'!$M$9,G1965,1)&gt;=1,B1965='112'!$K$9,OR($N1965='112'!$I$6,$O1965='112'!$I$6))),"x",""))</f>
        <v/>
      </c>
      <c r="U1965" s="75" t="str">
        <f>IF(ISERROR(FIND('112'!$M$9,G1965,1)),"",IF((AND(LEFT(G1965,2)=LEFT('112'!$M$9,2),B1965&lt;'112'!$K$9,$N1965='112'!$I$6)),"x",""))</f>
        <v/>
      </c>
      <c r="V1965" s="75" t="str">
        <f>IF(ISERROR(FIND('112'!$M$9,G1965,1)),"",IF((AND(RIGHT(G1965,2)=RIGHT('112'!$M$9,2),B1965&lt;'112'!$K$9,$O1965='112'!$I$6)),"x",""))</f>
        <v/>
      </c>
      <c r="W1965" s="75" t="str">
        <f>IF(AND('341-CT'!$H$9=H1965,OR(LEFT(N1965,3)=$W$7,LEFT(O1965,3)=$W$7)),"x","")</f>
        <v/>
      </c>
      <c r="X1965" s="75" t="str">
        <f>IF(OR(TH!N1965=TH!$X$7,O1965=TH!$X$7),"x","")</f>
        <v/>
      </c>
      <c r="Y1965" s="75" t="str">
        <f>IF(AND(OR(N1965="131",O1965="131"),H1965='131-CT'!$H$9),"x","")</f>
        <v/>
      </c>
      <c r="Z1965" s="75"/>
      <c r="AA1965" s="75" t="str">
        <f>IF(AND(MONTH(E1965)='IN-NX'!$J$5,'IN-NX'!$D$7=D1965),"x","")</f>
        <v/>
      </c>
      <c r="AB1965" s="75" t="str">
        <f>IF(AND(OR(LEFT(TH!N1965,2)="15",LEFT(TH!O1965,2)="15"),LEFT(TH!O1965,3)&lt;&gt;"111",'152-CT'!$J$8=TH!F1965),"x","")</f>
        <v/>
      </c>
      <c r="AC1965" s="75" t="str">
        <f>IF(AND(OR(LEFT(TH!N1965,2)="15",LEFT(TH!O1965,2)="15"),TK!$E$7=TH!F1965),"x","")</f>
        <v/>
      </c>
      <c r="AD1965" s="75" t="str">
        <f>IF(AND(N1965="1521",MONTH(C1965)='BK-NL'!$M$11),"x","")</f>
        <v/>
      </c>
    </row>
    <row r="1966" spans="1:30" ht="16.5" customHeight="1">
      <c r="A1966" s="309" t="str">
        <f>IF(B1966&lt;&gt;"",IF(AND(B1966='IN-TC'!$S$4,OR(TH!N1966="1111",TH!O1966="1111")),TH!D1966,""),"")</f>
        <v/>
      </c>
      <c r="B1966" s="1242">
        <f t="shared" si="532"/>
        <v>9</v>
      </c>
      <c r="C1966" s="292">
        <f t="shared" si="533"/>
        <v>42993</v>
      </c>
      <c r="D1966" s="292" t="s">
        <v>2977</v>
      </c>
      <c r="E1966" s="292">
        <v>42993</v>
      </c>
      <c r="F1966" s="429" t="s">
        <v>771</v>
      </c>
      <c r="G1966" s="925"/>
      <c r="H1966" s="429" t="s">
        <v>1882</v>
      </c>
      <c r="I1966" s="373">
        <v>56320</v>
      </c>
      <c r="J1966" s="379">
        <v>16500</v>
      </c>
      <c r="K1966" s="373"/>
      <c r="L1966" s="379"/>
      <c r="M1966" s="927">
        <f t="shared" si="534"/>
        <v>929280000</v>
      </c>
      <c r="N1966" s="295" t="s">
        <v>264</v>
      </c>
      <c r="O1966" s="295" t="s">
        <v>8</v>
      </c>
      <c r="P1966" s="75" t="str">
        <f>IF(AND('331-CT'!$E$7=TH!H1966,OR(N1966="331",O1966="331")),"x","")</f>
        <v/>
      </c>
      <c r="Q1966" s="75" t="str">
        <f>IF(AND(B1966='111'!$L$11,OR($N1966=$Q$7,$O1966=$Q$7)),"x","")</f>
        <v/>
      </c>
      <c r="R1966" s="75" t="str">
        <f>IF(AND($N1966=$Q$7,$B1966&lt;'111'!$L$11),"x","")</f>
        <v/>
      </c>
      <c r="S1966" s="75" t="str">
        <f>IF(AND($O1966=$Q$7,$B1966&lt;'111'!$L$11),"x","")</f>
        <v/>
      </c>
      <c r="T1966" s="75" t="str">
        <f>IF(ISERROR(FIND('112'!$M$9,G1966,1)),"",IF((AND(FIND('112'!$M$9,G1966,1)&gt;=1,B1966='112'!$K$9,OR($N1966='112'!$I$6,$O1966='112'!$I$6))),"x",""))</f>
        <v/>
      </c>
      <c r="U1966" s="75" t="str">
        <f>IF(ISERROR(FIND('112'!$M$9,G1966,1)),"",IF((AND(LEFT(G1966,2)=LEFT('112'!$M$9,2),B1966&lt;'112'!$K$9,$N1966='112'!$I$6)),"x",""))</f>
        <v/>
      </c>
      <c r="V1966" s="75" t="str">
        <f>IF(ISERROR(FIND('112'!$M$9,G1966,1)),"",IF((AND(RIGHT(G1966,2)=RIGHT('112'!$M$9,2),B1966&lt;'112'!$K$9,$O1966='112'!$I$6)),"x",""))</f>
        <v/>
      </c>
      <c r="W1966" s="75" t="str">
        <f>IF(AND('341-CT'!$H$9=H1966,OR(LEFT(N1966,3)=$W$7,LEFT(O1966,3)=$W$7)),"x","")</f>
        <v/>
      </c>
      <c r="X1966" s="75" t="str">
        <f>IF(OR(TH!N1966=TH!$X$7,O1966=TH!$X$7),"x","")</f>
        <v/>
      </c>
      <c r="Y1966" s="75" t="str">
        <f>IF(AND(OR(N1966="131",O1966="131"),H1966='131-CT'!$H$9),"x","")</f>
        <v/>
      </c>
      <c r="Z1966" s="75"/>
      <c r="AA1966" s="75" t="str">
        <f>IF(AND(MONTH(E1966)='IN-NX'!$J$5,'IN-NX'!$D$7=D1966),"x","")</f>
        <v/>
      </c>
      <c r="AB1966" s="75" t="str">
        <f>IF(AND(OR(LEFT(TH!N1966,2)="15",LEFT(TH!O1966,2)="15"),LEFT(TH!O1966,3)&lt;&gt;"111",'152-CT'!$J$8=TH!F1966),"x","")</f>
        <v/>
      </c>
      <c r="AC1966" s="75" t="str">
        <f>IF(AND(OR(LEFT(TH!N1966,2)="15",LEFT(TH!O1966,2)="15"),TK!$E$7=TH!F1966),"x","")</f>
        <v/>
      </c>
      <c r="AD1966" s="75" t="str">
        <f>IF(AND(N1966="1521",MONTH(C1966)='BK-NL'!$M$11),"x","")</f>
        <v/>
      </c>
    </row>
    <row r="1967" spans="1:30" ht="16.5" customHeight="1">
      <c r="A1967" s="309" t="str">
        <f>IF(B1967&lt;&gt;"",IF(AND(B1967='IN-TC'!$S$4,OR(TH!N1967="1111",TH!O1967="1111")),TH!D1967,""),"")</f>
        <v/>
      </c>
      <c r="B1967" s="1242">
        <f t="shared" si="532"/>
        <v>9</v>
      </c>
      <c r="C1967" s="292">
        <f t="shared" si="533"/>
        <v>42993</v>
      </c>
      <c r="D1967" s="292" t="s">
        <v>2978</v>
      </c>
      <c r="E1967" s="292">
        <v>42993</v>
      </c>
      <c r="F1967" s="429" t="s">
        <v>771</v>
      </c>
      <c r="G1967" s="925"/>
      <c r="H1967" s="429" t="s">
        <v>1890</v>
      </c>
      <c r="I1967" s="373">
        <v>56740</v>
      </c>
      <c r="J1967" s="379">
        <v>16500</v>
      </c>
      <c r="K1967" s="373"/>
      <c r="L1967" s="379"/>
      <c r="M1967" s="927">
        <f t="shared" si="534"/>
        <v>936210000</v>
      </c>
      <c r="N1967" s="295" t="s">
        <v>264</v>
      </c>
      <c r="O1967" s="295" t="s">
        <v>8</v>
      </c>
      <c r="P1967" s="75" t="str">
        <f>IF(AND('331-CT'!$E$7=TH!H1967,OR(N1967="331",O1967="331")),"x","")</f>
        <v/>
      </c>
      <c r="Q1967" s="75" t="str">
        <f>IF(AND(B1967='111'!$L$11,OR($N1967=$Q$7,$O1967=$Q$7)),"x","")</f>
        <v/>
      </c>
      <c r="R1967" s="75" t="str">
        <f>IF(AND($N1967=$Q$7,$B1967&lt;'111'!$L$11),"x","")</f>
        <v/>
      </c>
      <c r="S1967" s="75" t="str">
        <f>IF(AND($O1967=$Q$7,$B1967&lt;'111'!$L$11),"x","")</f>
        <v/>
      </c>
      <c r="T1967" s="75" t="str">
        <f>IF(ISERROR(FIND('112'!$M$9,G1967,1)),"",IF((AND(FIND('112'!$M$9,G1967,1)&gt;=1,B1967='112'!$K$9,OR($N1967='112'!$I$6,$O1967='112'!$I$6))),"x",""))</f>
        <v/>
      </c>
      <c r="U1967" s="75" t="str">
        <f>IF(ISERROR(FIND('112'!$M$9,G1967,1)),"",IF((AND(LEFT(G1967,2)=LEFT('112'!$M$9,2),B1967&lt;'112'!$K$9,$N1967='112'!$I$6)),"x",""))</f>
        <v/>
      </c>
      <c r="V1967" s="75" t="str">
        <f>IF(ISERROR(FIND('112'!$M$9,G1967,1)),"",IF((AND(RIGHT(G1967,2)=RIGHT('112'!$M$9,2),B1967&lt;'112'!$K$9,$O1967='112'!$I$6)),"x",""))</f>
        <v/>
      </c>
      <c r="W1967" s="75" t="str">
        <f>IF(AND('341-CT'!$H$9=H1967,OR(LEFT(N1967,3)=$W$7,LEFT(O1967,3)=$W$7)),"x","")</f>
        <v/>
      </c>
      <c r="X1967" s="75" t="str">
        <f>IF(OR(TH!N1967=TH!$X$7,O1967=TH!$X$7),"x","")</f>
        <v/>
      </c>
      <c r="Y1967" s="75" t="str">
        <f>IF(AND(OR(N1967="131",O1967="131"),H1967='131-CT'!$H$9),"x","")</f>
        <v/>
      </c>
      <c r="Z1967" s="75"/>
      <c r="AA1967" s="75" t="str">
        <f>IF(AND(MONTH(E1967)='IN-NX'!$J$5,'IN-NX'!$D$7=D1967),"x","")</f>
        <v/>
      </c>
      <c r="AB1967" s="75" t="str">
        <f>IF(AND(OR(LEFT(TH!N1967,2)="15",LEFT(TH!O1967,2)="15"),LEFT(TH!O1967,3)&lt;&gt;"111",'152-CT'!$J$8=TH!F1967),"x","")</f>
        <v/>
      </c>
      <c r="AC1967" s="75" t="str">
        <f>IF(AND(OR(LEFT(TH!N1967,2)="15",LEFT(TH!O1967,2)="15"),TK!$E$7=TH!F1967),"x","")</f>
        <v/>
      </c>
      <c r="AD1967" s="75" t="str">
        <f>IF(AND(N1967="1521",MONTH(C1967)='BK-NL'!$M$11),"x","")</f>
        <v/>
      </c>
    </row>
    <row r="1968" spans="1:30" ht="16.5" customHeight="1">
      <c r="A1968" s="309" t="str">
        <f>IF(B1968&lt;&gt;"",IF(AND(B1968='IN-TC'!$S$4,OR(TH!N1968="1111",TH!O1968="1111")),TH!D1968,""),"")</f>
        <v/>
      </c>
      <c r="B1968" s="1242">
        <f t="shared" ref="B1968" si="535">IF(C1968&lt;&gt;"",MONTH(C1968),"")</f>
        <v>9</v>
      </c>
      <c r="C1968" s="292">
        <f t="shared" ref="C1968" si="536">E1968</f>
        <v>42999</v>
      </c>
      <c r="D1968" s="292" t="s">
        <v>2979</v>
      </c>
      <c r="E1968" s="292">
        <v>42999</v>
      </c>
      <c r="F1968" s="429" t="s">
        <v>771</v>
      </c>
      <c r="G1968" s="925"/>
      <c r="H1968" s="429" t="s">
        <v>1882</v>
      </c>
      <c r="I1968" s="373">
        <v>55460</v>
      </c>
      <c r="J1968" s="379">
        <v>16500</v>
      </c>
      <c r="K1968" s="373"/>
      <c r="L1968" s="379"/>
      <c r="M1968" s="927">
        <f t="shared" ref="M1968" si="537">ROUND(I1968*J1968,0)</f>
        <v>915090000</v>
      </c>
      <c r="N1968" s="295" t="s">
        <v>264</v>
      </c>
      <c r="O1968" s="295" t="s">
        <v>8</v>
      </c>
      <c r="P1968" s="75" t="str">
        <f>IF(AND('331-CT'!$E$7=TH!H1968,OR(N1968="331",O1968="331")),"x","")</f>
        <v/>
      </c>
      <c r="Q1968" s="75" t="str">
        <f>IF(AND(B1968='111'!$L$11,OR($N1968=$Q$7,$O1968=$Q$7)),"x","")</f>
        <v/>
      </c>
      <c r="R1968" s="75" t="str">
        <f>IF(AND($N1968=$Q$7,$B1968&lt;'111'!$L$11),"x","")</f>
        <v/>
      </c>
      <c r="S1968" s="75" t="str">
        <f>IF(AND($O1968=$Q$7,$B1968&lt;'111'!$L$11),"x","")</f>
        <v/>
      </c>
      <c r="T1968" s="75" t="str">
        <f>IF(ISERROR(FIND('112'!$M$9,G1968,1)),"",IF((AND(FIND('112'!$M$9,G1968,1)&gt;=1,B1968='112'!$K$9,OR($N1968='112'!$I$6,$O1968='112'!$I$6))),"x",""))</f>
        <v/>
      </c>
      <c r="U1968" s="75" t="str">
        <f>IF(ISERROR(FIND('112'!$M$9,G1968,1)),"",IF((AND(LEFT(G1968,2)=LEFT('112'!$M$9,2),B1968&lt;'112'!$K$9,$N1968='112'!$I$6)),"x",""))</f>
        <v/>
      </c>
      <c r="V1968" s="75" t="str">
        <f>IF(ISERROR(FIND('112'!$M$9,G1968,1)),"",IF((AND(RIGHT(G1968,2)=RIGHT('112'!$M$9,2),B1968&lt;'112'!$K$9,$O1968='112'!$I$6)),"x",""))</f>
        <v/>
      </c>
      <c r="W1968" s="75" t="str">
        <f>IF(AND('341-CT'!$H$9=H1968,OR(LEFT(N1968,3)=$W$7,LEFT(O1968,3)=$W$7)),"x","")</f>
        <v/>
      </c>
      <c r="X1968" s="75" t="str">
        <f>IF(OR(TH!N1968=TH!$X$7,O1968=TH!$X$7),"x","")</f>
        <v/>
      </c>
      <c r="Y1968" s="75" t="str">
        <f>IF(AND(OR(N1968="131",O1968="131"),H1968='131-CT'!$H$9),"x","")</f>
        <v/>
      </c>
      <c r="Z1968" s="75"/>
      <c r="AA1968" s="75" t="str">
        <f>IF(AND(MONTH(E1968)='IN-NX'!$J$5,'IN-NX'!$D$7=D1968),"x","")</f>
        <v/>
      </c>
      <c r="AB1968" s="75" t="str">
        <f>IF(AND(OR(LEFT(TH!N1968,2)="15",LEFT(TH!O1968,2)="15"),LEFT(TH!O1968,3)&lt;&gt;"111",'152-CT'!$J$8=TH!F1968),"x","")</f>
        <v/>
      </c>
      <c r="AC1968" s="75" t="str">
        <f>IF(AND(OR(LEFT(TH!N1968,2)="15",LEFT(TH!O1968,2)="15"),TK!$E$7=TH!F1968),"x","")</f>
        <v/>
      </c>
      <c r="AD1968" s="75" t="str">
        <f>IF(AND(N1968="1521",MONTH(C1968)='BK-NL'!$M$11),"x","")</f>
        <v/>
      </c>
    </row>
    <row r="1969" spans="1:30" ht="16.5" customHeight="1">
      <c r="A1969" s="309" t="str">
        <f>IF(B1969&lt;&gt;"",IF(AND(B1969='IN-TC'!$S$4,OR(TH!N1969="1111",TH!O1969="1111")),TH!D1969,""),"")</f>
        <v/>
      </c>
      <c r="B1969" s="1242">
        <f t="shared" si="532"/>
        <v>9</v>
      </c>
      <c r="C1969" s="292">
        <f t="shared" si="533"/>
        <v>42999</v>
      </c>
      <c r="D1969" s="292" t="s">
        <v>2980</v>
      </c>
      <c r="E1969" s="292">
        <v>42999</v>
      </c>
      <c r="F1969" s="429" t="s">
        <v>771</v>
      </c>
      <c r="G1969" s="925"/>
      <c r="H1969" s="429" t="s">
        <v>1890</v>
      </c>
      <c r="I1969" s="373">
        <v>57860</v>
      </c>
      <c r="J1969" s="379">
        <v>16500</v>
      </c>
      <c r="K1969" s="373"/>
      <c r="L1969" s="379"/>
      <c r="M1969" s="927">
        <f t="shared" si="534"/>
        <v>954690000</v>
      </c>
      <c r="N1969" s="295" t="s">
        <v>264</v>
      </c>
      <c r="O1969" s="295" t="s">
        <v>8</v>
      </c>
      <c r="P1969" s="75" t="str">
        <f>IF(AND('331-CT'!$E$7=TH!H1969,OR(N1969="331",O1969="331")),"x","")</f>
        <v/>
      </c>
      <c r="Q1969" s="75" t="str">
        <f>IF(AND(B1969='111'!$L$11,OR($N1969=$Q$7,$O1969=$Q$7)),"x","")</f>
        <v/>
      </c>
      <c r="R1969" s="75" t="str">
        <f>IF(AND($N1969=$Q$7,$B1969&lt;'111'!$L$11),"x","")</f>
        <v/>
      </c>
      <c r="S1969" s="75" t="str">
        <f>IF(AND($O1969=$Q$7,$B1969&lt;'111'!$L$11),"x","")</f>
        <v/>
      </c>
      <c r="T1969" s="75" t="str">
        <f>IF(ISERROR(FIND('112'!$M$9,G1969,1)),"",IF((AND(FIND('112'!$M$9,G1969,1)&gt;=1,B1969='112'!$K$9,OR($N1969='112'!$I$6,$O1969='112'!$I$6))),"x",""))</f>
        <v/>
      </c>
      <c r="U1969" s="75" t="str">
        <f>IF(ISERROR(FIND('112'!$M$9,G1969,1)),"",IF((AND(LEFT(G1969,2)=LEFT('112'!$M$9,2),B1969&lt;'112'!$K$9,$N1969='112'!$I$6)),"x",""))</f>
        <v/>
      </c>
      <c r="V1969" s="75" t="str">
        <f>IF(ISERROR(FIND('112'!$M$9,G1969,1)),"",IF((AND(RIGHT(G1969,2)=RIGHT('112'!$M$9,2),B1969&lt;'112'!$K$9,$O1969='112'!$I$6)),"x",""))</f>
        <v/>
      </c>
      <c r="W1969" s="75" t="str">
        <f>IF(AND('341-CT'!$H$9=H1969,OR(LEFT(N1969,3)=$W$7,LEFT(O1969,3)=$W$7)),"x","")</f>
        <v/>
      </c>
      <c r="X1969" s="75" t="str">
        <f>IF(OR(TH!N1969=TH!$X$7,O1969=TH!$X$7),"x","")</f>
        <v/>
      </c>
      <c r="Y1969" s="75" t="str">
        <f>IF(AND(OR(N1969="131",O1969="131"),H1969='131-CT'!$H$9),"x","")</f>
        <v/>
      </c>
      <c r="Z1969" s="75"/>
      <c r="AA1969" s="75" t="str">
        <f>IF(AND(MONTH(E1969)='IN-NX'!$J$5,'IN-NX'!$D$7=D1969),"x","")</f>
        <v/>
      </c>
      <c r="AB1969" s="75" t="str">
        <f>IF(AND(OR(LEFT(TH!N1969,2)="15",LEFT(TH!O1969,2)="15"),LEFT(TH!O1969,3)&lt;&gt;"111",'152-CT'!$J$8=TH!F1969),"x","")</f>
        <v/>
      </c>
      <c r="AC1969" s="75" t="str">
        <f>IF(AND(OR(LEFT(TH!N1969,2)="15",LEFT(TH!O1969,2)="15"),TK!$E$7=TH!F1969),"x","")</f>
        <v/>
      </c>
      <c r="AD1969" s="75" t="str">
        <f>IF(AND(N1969="1521",MONTH(C1969)='BK-NL'!$M$11),"x","")</f>
        <v/>
      </c>
    </row>
    <row r="1970" spans="1:30" ht="16.5" customHeight="1">
      <c r="A1970" s="309" t="str">
        <f>IF(B1970&lt;&gt;"",IF(AND(B1970='IN-TC'!$S$4,OR(TH!N1970="1111",TH!O1970="1111")),TH!D1970,""),"")</f>
        <v/>
      </c>
      <c r="B1970" s="1242">
        <f t="shared" si="532"/>
        <v>9</v>
      </c>
      <c r="C1970" s="292">
        <f t="shared" si="533"/>
        <v>42979</v>
      </c>
      <c r="D1970" s="292" t="s">
        <v>2957</v>
      </c>
      <c r="E1970" s="292">
        <v>42979</v>
      </c>
      <c r="F1970" s="429" t="s">
        <v>771</v>
      </c>
      <c r="G1970" s="925"/>
      <c r="H1970" s="429" t="s">
        <v>1882</v>
      </c>
      <c r="I1970" s="373">
        <f>712530-SUM(I1958:I1969)</f>
        <v>54028</v>
      </c>
      <c r="J1970" s="379">
        <v>16500</v>
      </c>
      <c r="K1970" s="373"/>
      <c r="L1970" s="379"/>
      <c r="M1970" s="927">
        <f t="shared" si="534"/>
        <v>891462000</v>
      </c>
      <c r="N1970" s="295" t="s">
        <v>264</v>
      </c>
      <c r="O1970" s="295" t="s">
        <v>8</v>
      </c>
      <c r="P1970" s="75" t="str">
        <f>IF(AND('331-CT'!$E$7=TH!H1970,OR(N1970="331",O1970="331")),"x","")</f>
        <v/>
      </c>
      <c r="Q1970" s="75" t="str">
        <f>IF(AND(B1970='111'!$L$11,OR($N1970=$Q$7,$O1970=$Q$7)),"x","")</f>
        <v/>
      </c>
      <c r="R1970" s="75" t="str">
        <f>IF(AND($N1970=$Q$7,$B1970&lt;'111'!$L$11),"x","")</f>
        <v/>
      </c>
      <c r="S1970" s="75" t="str">
        <f>IF(AND($O1970=$Q$7,$B1970&lt;'111'!$L$11),"x","")</f>
        <v/>
      </c>
      <c r="T1970" s="75" t="str">
        <f>IF(ISERROR(FIND('112'!$M$9,G1970,1)),"",IF((AND(FIND('112'!$M$9,G1970,1)&gt;=1,B1970='112'!$K$9,OR($N1970='112'!$I$6,$O1970='112'!$I$6))),"x",""))</f>
        <v/>
      </c>
      <c r="U1970" s="75" t="str">
        <f>IF(ISERROR(FIND('112'!$M$9,G1970,1)),"",IF((AND(LEFT(G1970,2)=LEFT('112'!$M$9,2),B1970&lt;'112'!$K$9,$N1970='112'!$I$6)),"x",""))</f>
        <v/>
      </c>
      <c r="V1970" s="75" t="str">
        <f>IF(ISERROR(FIND('112'!$M$9,G1970,1)),"",IF((AND(RIGHT(G1970,2)=RIGHT('112'!$M$9,2),B1970&lt;'112'!$K$9,$O1970='112'!$I$6)),"x",""))</f>
        <v/>
      </c>
      <c r="W1970" s="75" t="str">
        <f>IF(AND('341-CT'!$H$9=H1970,OR(LEFT(N1970,3)=$W$7,LEFT(O1970,3)=$W$7)),"x","")</f>
        <v/>
      </c>
      <c r="X1970" s="75" t="str">
        <f>IF(OR(TH!N1970=TH!$X$7,O1970=TH!$X$7),"x","")</f>
        <v/>
      </c>
      <c r="Y1970" s="75" t="str">
        <f>IF(AND(OR(N1970="131",O1970="131"),H1970='131-CT'!$H$9),"x","")</f>
        <v/>
      </c>
      <c r="Z1970" s="75"/>
      <c r="AA1970" s="75" t="str">
        <f>IF(AND(MONTH(E1970)='IN-NX'!$J$5,'IN-NX'!$D$7=D1970),"x","")</f>
        <v/>
      </c>
      <c r="AB1970" s="75" t="str">
        <f>IF(AND(OR(LEFT(TH!N1970,2)="15",LEFT(TH!O1970,2)="15"),LEFT(TH!O1970,3)&lt;&gt;"111",'152-CT'!$J$8=TH!F1970),"x","")</f>
        <v/>
      </c>
      <c r="AC1970" s="75" t="str">
        <f>IF(AND(OR(LEFT(TH!N1970,2)="15",LEFT(TH!O1970,2)="15"),TK!$E$7=TH!F1970),"x","")</f>
        <v/>
      </c>
      <c r="AD1970" s="75" t="str">
        <f>IF(AND(N1970="1521",MONTH(C1970)='BK-NL'!$M$11),"x","")</f>
        <v/>
      </c>
    </row>
    <row r="1971" spans="1:30" ht="16.5" customHeight="1">
      <c r="A1971" s="309" t="str">
        <f>IF(B1971&lt;&gt;"",IF(AND(B1971='IN-TC'!$S$4,OR(TH!N1971="1111",TH!O1971="1111")),TH!D1971,""),"")</f>
        <v/>
      </c>
      <c r="B1971" s="1242">
        <f t="shared" si="532"/>
        <v>9</v>
      </c>
      <c r="C1971" s="292">
        <f t="shared" si="533"/>
        <v>42979</v>
      </c>
      <c r="D1971" s="292" t="s">
        <v>2958</v>
      </c>
      <c r="E1971" s="292">
        <v>42979</v>
      </c>
      <c r="F1971" s="429" t="s">
        <v>771</v>
      </c>
      <c r="G1971" s="925"/>
      <c r="H1971" s="429" t="s">
        <v>1890</v>
      </c>
      <c r="I1971" s="373">
        <v>40230</v>
      </c>
      <c r="J1971" s="379">
        <v>18000</v>
      </c>
      <c r="K1971" s="373"/>
      <c r="L1971" s="379"/>
      <c r="M1971" s="927">
        <f t="shared" si="534"/>
        <v>724140000</v>
      </c>
      <c r="N1971" s="295" t="s">
        <v>264</v>
      </c>
      <c r="O1971" s="295" t="s">
        <v>8</v>
      </c>
      <c r="P1971" s="75" t="str">
        <f>IF(AND('331-CT'!$E$7=TH!H1971,OR(N1971="331",O1971="331")),"x","")</f>
        <v/>
      </c>
      <c r="Q1971" s="75" t="str">
        <f>IF(AND(B1971='111'!$L$11,OR($N1971=$Q$7,$O1971=$Q$7)),"x","")</f>
        <v/>
      </c>
      <c r="R1971" s="75" t="str">
        <f>IF(AND($N1971=$Q$7,$B1971&lt;'111'!$L$11),"x","")</f>
        <v/>
      </c>
      <c r="S1971" s="75" t="str">
        <f>IF(AND($O1971=$Q$7,$B1971&lt;'111'!$L$11),"x","")</f>
        <v/>
      </c>
      <c r="T1971" s="75" t="str">
        <f>IF(ISERROR(FIND('112'!$M$9,G1971,1)),"",IF((AND(FIND('112'!$M$9,G1971,1)&gt;=1,B1971='112'!$K$9,OR($N1971='112'!$I$6,$O1971='112'!$I$6))),"x",""))</f>
        <v/>
      </c>
      <c r="U1971" s="75" t="str">
        <f>IF(ISERROR(FIND('112'!$M$9,G1971,1)),"",IF((AND(LEFT(G1971,2)=LEFT('112'!$M$9,2),B1971&lt;'112'!$K$9,$N1971='112'!$I$6)),"x",""))</f>
        <v/>
      </c>
      <c r="V1971" s="75" t="str">
        <f>IF(ISERROR(FIND('112'!$M$9,G1971,1)),"",IF((AND(RIGHT(G1971,2)=RIGHT('112'!$M$9,2),B1971&lt;'112'!$K$9,$O1971='112'!$I$6)),"x",""))</f>
        <v/>
      </c>
      <c r="W1971" s="75" t="str">
        <f>IF(AND('341-CT'!$H$9=H1971,OR(LEFT(N1971,3)=$W$7,LEFT(O1971,3)=$W$7)),"x","")</f>
        <v/>
      </c>
      <c r="X1971" s="75" t="str">
        <f>IF(OR(TH!N1971=TH!$X$7,O1971=TH!$X$7),"x","")</f>
        <v/>
      </c>
      <c r="Y1971" s="75" t="str">
        <f>IF(AND(OR(N1971="131",O1971="131"),H1971='131-CT'!$H$9),"x","")</f>
        <v/>
      </c>
      <c r="Z1971" s="75"/>
      <c r="AA1971" s="75" t="str">
        <f>IF(AND(MONTH(E1971)='IN-NX'!$J$5,'IN-NX'!$D$7=D1971),"x","")</f>
        <v/>
      </c>
      <c r="AB1971" s="75" t="str">
        <f>IF(AND(OR(LEFT(TH!N1971,2)="15",LEFT(TH!O1971,2)="15"),LEFT(TH!O1971,3)&lt;&gt;"111",'152-CT'!$J$8=TH!F1971),"x","")</f>
        <v/>
      </c>
      <c r="AC1971" s="75" t="str">
        <f>IF(AND(OR(LEFT(TH!N1971,2)="15",LEFT(TH!O1971,2)="15"),TK!$E$7=TH!F1971),"x","")</f>
        <v/>
      </c>
      <c r="AD1971" s="75" t="str">
        <f>IF(AND(N1971="1521",MONTH(C1971)='BK-NL'!$M$11),"x","")</f>
        <v/>
      </c>
    </row>
    <row r="1972" spans="1:30" ht="16.5" customHeight="1">
      <c r="A1972" s="309" t="str">
        <f>IF(B1972&lt;&gt;"",IF(AND(B1972='IN-TC'!$S$4,OR(TH!N1972="1111",TH!O1972="1111")),TH!D1972,""),"")</f>
        <v/>
      </c>
      <c r="B1972" s="1242">
        <f t="shared" si="528"/>
        <v>9</v>
      </c>
      <c r="C1972" s="292">
        <f t="shared" si="530"/>
        <v>42983</v>
      </c>
      <c r="D1972" s="292" t="s">
        <v>2965</v>
      </c>
      <c r="E1972" s="292">
        <v>42983</v>
      </c>
      <c r="F1972" s="429" t="s">
        <v>771</v>
      </c>
      <c r="G1972" s="925"/>
      <c r="H1972" s="429" t="s">
        <v>1882</v>
      </c>
      <c r="I1972" s="373">
        <v>41230</v>
      </c>
      <c r="J1972" s="379">
        <v>18000</v>
      </c>
      <c r="K1972" s="373"/>
      <c r="L1972" s="379"/>
      <c r="M1972" s="927">
        <f t="shared" si="531"/>
        <v>742140000</v>
      </c>
      <c r="N1972" s="295" t="s">
        <v>264</v>
      </c>
      <c r="O1972" s="295" t="s">
        <v>8</v>
      </c>
      <c r="P1972" s="75" t="str">
        <f>IF(AND('331-CT'!$E$7=TH!H1972,OR(N1972="331",O1972="331")),"x","")</f>
        <v/>
      </c>
      <c r="Q1972" s="75" t="str">
        <f>IF(AND(B1972='111'!$L$11,OR($N1972=$Q$7,$O1972=$Q$7)),"x","")</f>
        <v/>
      </c>
      <c r="R1972" s="75" t="str">
        <f>IF(AND($N1972=$Q$7,$B1972&lt;'111'!$L$11),"x","")</f>
        <v/>
      </c>
      <c r="S1972" s="75" t="str">
        <f>IF(AND($O1972=$Q$7,$B1972&lt;'111'!$L$11),"x","")</f>
        <v/>
      </c>
      <c r="T1972" s="75" t="str">
        <f>IF(ISERROR(FIND('112'!$M$9,G1972,1)),"",IF((AND(FIND('112'!$M$9,G1972,1)&gt;=1,B1972='112'!$K$9,OR($N1972='112'!$I$6,$O1972='112'!$I$6))),"x",""))</f>
        <v/>
      </c>
      <c r="U1972" s="75" t="str">
        <f>IF(ISERROR(FIND('112'!$M$9,G1972,1)),"",IF((AND(LEFT(G1972,2)=LEFT('112'!$M$9,2),B1972&lt;'112'!$K$9,$N1972='112'!$I$6)),"x",""))</f>
        <v/>
      </c>
      <c r="V1972" s="75" t="str">
        <f>IF(ISERROR(FIND('112'!$M$9,G1972,1)),"",IF((AND(RIGHT(G1972,2)=RIGHT('112'!$M$9,2),B1972&lt;'112'!$K$9,$O1972='112'!$I$6)),"x",""))</f>
        <v/>
      </c>
      <c r="W1972" s="75" t="str">
        <f>IF(AND('341-CT'!$H$9=H1972,OR(LEFT(N1972,3)=$W$7,LEFT(O1972,3)=$W$7)),"x","")</f>
        <v/>
      </c>
      <c r="X1972" s="75" t="str">
        <f>IF(OR(TH!N1972=TH!$X$7,O1972=TH!$X$7),"x","")</f>
        <v/>
      </c>
      <c r="Y1972" s="75" t="str">
        <f>IF(AND(OR(N1972="131",O1972="131"),H1972='131-CT'!$H$9),"x","")</f>
        <v/>
      </c>
      <c r="Z1972" s="75"/>
      <c r="AA1972" s="75" t="str">
        <f>IF(AND(MONTH(E1972)='IN-NX'!$J$5,'IN-NX'!$D$7=D1972),"x","")</f>
        <v/>
      </c>
      <c r="AB1972" s="75" t="str">
        <f>IF(AND(OR(LEFT(TH!N1972,2)="15",LEFT(TH!O1972,2)="15"),LEFT(TH!O1972,3)&lt;&gt;"111",'152-CT'!$J$8=TH!F1972),"x","")</f>
        <v/>
      </c>
      <c r="AC1972" s="75" t="str">
        <f>IF(AND(OR(LEFT(TH!N1972,2)="15",LEFT(TH!O1972,2)="15"),TK!$E$7=TH!F1972),"x","")</f>
        <v/>
      </c>
      <c r="AD1972" s="75" t="str">
        <f>IF(AND(N1972="1521",MONTH(C1972)='BK-NL'!$M$11),"x","")</f>
        <v/>
      </c>
    </row>
    <row r="1973" spans="1:30" ht="16.5" customHeight="1">
      <c r="A1973" s="309" t="str">
        <f>IF(B1973&lt;&gt;"",IF(AND(B1973='IN-TC'!$S$4,OR(TH!N1973="1111",TH!O1973="1111")),TH!D1973,""),"")</f>
        <v/>
      </c>
      <c r="B1973" s="1242">
        <f t="shared" si="528"/>
        <v>9</v>
      </c>
      <c r="C1973" s="292">
        <f t="shared" si="530"/>
        <v>42983</v>
      </c>
      <c r="D1973" s="292" t="s">
        <v>2966</v>
      </c>
      <c r="E1973" s="292">
        <v>42983</v>
      </c>
      <c r="F1973" s="429" t="s">
        <v>771</v>
      </c>
      <c r="G1973" s="925"/>
      <c r="H1973" s="429" t="s">
        <v>1890</v>
      </c>
      <c r="I1973" s="373">
        <v>40120</v>
      </c>
      <c r="J1973" s="379">
        <v>18000</v>
      </c>
      <c r="K1973" s="373"/>
      <c r="L1973" s="379"/>
      <c r="M1973" s="927">
        <f t="shared" si="531"/>
        <v>722160000</v>
      </c>
      <c r="N1973" s="295" t="s">
        <v>264</v>
      </c>
      <c r="O1973" s="295" t="s">
        <v>8</v>
      </c>
      <c r="P1973" s="75" t="str">
        <f>IF(AND('331-CT'!$E$7=TH!H1973,OR(N1973="331",O1973="331")),"x","")</f>
        <v/>
      </c>
      <c r="Q1973" s="75" t="str">
        <f>IF(AND(B1973='111'!$L$11,OR($N1973=$Q$7,$O1973=$Q$7)),"x","")</f>
        <v/>
      </c>
      <c r="R1973" s="75" t="str">
        <f>IF(AND($N1973=$Q$7,$B1973&lt;'111'!$L$11),"x","")</f>
        <v/>
      </c>
      <c r="S1973" s="75" t="str">
        <f>IF(AND($O1973=$Q$7,$B1973&lt;'111'!$L$11),"x","")</f>
        <v/>
      </c>
      <c r="T1973" s="75" t="str">
        <f>IF(ISERROR(FIND('112'!$M$9,G1973,1)),"",IF((AND(FIND('112'!$M$9,G1973,1)&gt;=1,B1973='112'!$K$9,OR($N1973='112'!$I$6,$O1973='112'!$I$6))),"x",""))</f>
        <v/>
      </c>
      <c r="U1973" s="75" t="str">
        <f>IF(ISERROR(FIND('112'!$M$9,G1973,1)),"",IF((AND(LEFT(G1973,2)=LEFT('112'!$M$9,2),B1973&lt;'112'!$K$9,$N1973='112'!$I$6)),"x",""))</f>
        <v/>
      </c>
      <c r="V1973" s="75" t="str">
        <f>IF(ISERROR(FIND('112'!$M$9,G1973,1)),"",IF((AND(RIGHT(G1973,2)=RIGHT('112'!$M$9,2),B1973&lt;'112'!$K$9,$O1973='112'!$I$6)),"x",""))</f>
        <v/>
      </c>
      <c r="W1973" s="75" t="str">
        <f>IF(AND('341-CT'!$H$9=H1973,OR(LEFT(N1973,3)=$W$7,LEFT(O1973,3)=$W$7)),"x","")</f>
        <v/>
      </c>
      <c r="X1973" s="75" t="str">
        <f>IF(OR(TH!N1973=TH!$X$7,O1973=TH!$X$7),"x","")</f>
        <v/>
      </c>
      <c r="Y1973" s="75" t="str">
        <f>IF(AND(OR(N1973="131",O1973="131"),H1973='131-CT'!$H$9),"x","")</f>
        <v/>
      </c>
      <c r="Z1973" s="75"/>
      <c r="AA1973" s="75" t="str">
        <f>IF(AND(MONTH(E1973)='IN-NX'!$J$5,'IN-NX'!$D$7=D1973),"x","")</f>
        <v/>
      </c>
      <c r="AB1973" s="75" t="str">
        <f>IF(AND(OR(LEFT(TH!N1973,2)="15",LEFT(TH!O1973,2)="15"),LEFT(TH!O1973,3)&lt;&gt;"111",'152-CT'!$J$8=TH!F1973),"x","")</f>
        <v/>
      </c>
      <c r="AC1973" s="75" t="str">
        <f>IF(AND(OR(LEFT(TH!N1973,2)="15",LEFT(TH!O1973,2)="15"),TK!$E$7=TH!F1973),"x","")</f>
        <v/>
      </c>
      <c r="AD1973" s="75" t="str">
        <f>IF(AND(N1973="1521",MONTH(C1973)='BK-NL'!$M$11),"x","")</f>
        <v/>
      </c>
    </row>
    <row r="1974" spans="1:30" ht="16.5" customHeight="1">
      <c r="A1974" s="309" t="str">
        <f>IF(B1974&lt;&gt;"",IF(AND(B1974='IN-TC'!$S$4,OR(TH!N1974="1111",TH!O1974="1111")),TH!D1974,""),"")</f>
        <v/>
      </c>
      <c r="B1974" s="1242">
        <f t="shared" si="528"/>
        <v>9</v>
      </c>
      <c r="C1974" s="292">
        <f t="shared" si="530"/>
        <v>42986</v>
      </c>
      <c r="D1974" s="292" t="s">
        <v>2967</v>
      </c>
      <c r="E1974" s="292">
        <v>42986</v>
      </c>
      <c r="F1974" s="429" t="s">
        <v>771</v>
      </c>
      <c r="G1974" s="925"/>
      <c r="H1974" s="429" t="s">
        <v>1882</v>
      </c>
      <c r="I1974" s="373">
        <f>161841-SUM(I1971:I1973)</f>
        <v>40261</v>
      </c>
      <c r="J1974" s="379">
        <v>18000</v>
      </c>
      <c r="K1974" s="373"/>
      <c r="L1974" s="379"/>
      <c r="M1974" s="927">
        <f t="shared" si="531"/>
        <v>724698000</v>
      </c>
      <c r="N1974" s="295" t="s">
        <v>264</v>
      </c>
      <c r="O1974" s="295" t="s">
        <v>8</v>
      </c>
      <c r="P1974" s="75" t="str">
        <f>IF(AND('331-CT'!$E$7=TH!H1974,OR(N1974="331",O1974="331")),"x","")</f>
        <v/>
      </c>
      <c r="Q1974" s="75" t="str">
        <f>IF(AND(B1974='111'!$L$11,OR($N1974=$Q$7,$O1974=$Q$7)),"x","")</f>
        <v/>
      </c>
      <c r="R1974" s="75" t="str">
        <f>IF(AND($N1974=$Q$7,$B1974&lt;'111'!$L$11),"x","")</f>
        <v/>
      </c>
      <c r="S1974" s="75" t="str">
        <f>IF(AND($O1974=$Q$7,$B1974&lt;'111'!$L$11),"x","")</f>
        <v/>
      </c>
      <c r="T1974" s="75" t="str">
        <f>IF(ISERROR(FIND('112'!$M$9,G1974,1)),"",IF((AND(FIND('112'!$M$9,G1974,1)&gt;=1,B1974='112'!$K$9,OR($N1974='112'!$I$6,$O1974='112'!$I$6))),"x",""))</f>
        <v/>
      </c>
      <c r="U1974" s="75" t="str">
        <f>IF(ISERROR(FIND('112'!$M$9,G1974,1)),"",IF((AND(LEFT(G1974,2)=LEFT('112'!$M$9,2),B1974&lt;'112'!$K$9,$N1974='112'!$I$6)),"x",""))</f>
        <v/>
      </c>
      <c r="V1974" s="75" t="str">
        <f>IF(ISERROR(FIND('112'!$M$9,G1974,1)),"",IF((AND(RIGHT(G1974,2)=RIGHT('112'!$M$9,2),B1974&lt;'112'!$K$9,$O1974='112'!$I$6)),"x",""))</f>
        <v/>
      </c>
      <c r="W1974" s="75" t="str">
        <f>IF(AND('341-CT'!$H$9=H1974,OR(LEFT(N1974,3)=$W$7,LEFT(O1974,3)=$W$7)),"x","")</f>
        <v/>
      </c>
      <c r="X1974" s="75" t="str">
        <f>IF(OR(TH!N1974=TH!$X$7,O1974=TH!$X$7),"x","")</f>
        <v/>
      </c>
      <c r="Y1974" s="75" t="str">
        <f>IF(AND(OR(N1974="131",O1974="131"),H1974='131-CT'!$H$9),"x","")</f>
        <v/>
      </c>
      <c r="Z1974" s="75"/>
      <c r="AA1974" s="75" t="str">
        <f>IF(AND(MONTH(E1974)='IN-NX'!$J$5,'IN-NX'!$D$7=D1974),"x","")</f>
        <v/>
      </c>
      <c r="AB1974" s="75" t="str">
        <f>IF(AND(OR(LEFT(TH!N1974,2)="15",LEFT(TH!O1974,2)="15"),LEFT(TH!O1974,3)&lt;&gt;"111",'152-CT'!$J$8=TH!F1974),"x","")</f>
        <v/>
      </c>
      <c r="AC1974" s="75" t="str">
        <f>IF(AND(OR(LEFT(TH!N1974,2)="15",LEFT(TH!O1974,2)="15"),TK!$E$7=TH!F1974),"x","")</f>
        <v/>
      </c>
      <c r="AD1974" s="75" t="str">
        <f>IF(AND(N1974="1521",MONTH(C1974)='BK-NL'!$M$11),"x","")</f>
        <v/>
      </c>
    </row>
    <row r="1975" spans="1:30" ht="16.5" customHeight="1">
      <c r="A1975" s="309" t="str">
        <f>IF(B1975&lt;&gt;"",IF(AND(B1975='IN-TC'!$S$4,OR(TH!N1975="1111",TH!O1975="1111")),TH!D1975,""),"")</f>
        <v/>
      </c>
      <c r="B1975" s="1242">
        <f t="shared" si="528"/>
        <v>9</v>
      </c>
      <c r="C1975" s="292">
        <f t="shared" si="530"/>
        <v>42979</v>
      </c>
      <c r="D1975" s="292" t="s">
        <v>2959</v>
      </c>
      <c r="E1975" s="292">
        <v>42979</v>
      </c>
      <c r="F1975" s="429" t="s">
        <v>566</v>
      </c>
      <c r="G1975" s="925"/>
      <c r="H1975" s="429" t="s">
        <v>414</v>
      </c>
      <c r="I1975" s="373">
        <v>30102</v>
      </c>
      <c r="J1975" s="379">
        <v>18700</v>
      </c>
      <c r="K1975" s="373"/>
      <c r="L1975" s="379"/>
      <c r="M1975" s="927">
        <f t="shared" si="531"/>
        <v>562907400</v>
      </c>
      <c r="N1975" s="295" t="s">
        <v>264</v>
      </c>
      <c r="O1975" s="295" t="s">
        <v>8</v>
      </c>
      <c r="P1975" s="75" t="str">
        <f>IF(AND('331-CT'!$E$7=TH!H1975,OR(N1975="331",O1975="331")),"x","")</f>
        <v/>
      </c>
      <c r="Q1975" s="75" t="str">
        <f>IF(AND(B1975='111'!$L$11,OR($N1975=$Q$7,$O1975=$Q$7)),"x","")</f>
        <v/>
      </c>
      <c r="R1975" s="75" t="str">
        <f>IF(AND($N1975=$Q$7,$B1975&lt;'111'!$L$11),"x","")</f>
        <v/>
      </c>
      <c r="S1975" s="75" t="str">
        <f>IF(AND($O1975=$Q$7,$B1975&lt;'111'!$L$11),"x","")</f>
        <v/>
      </c>
      <c r="T1975" s="75" t="str">
        <f>IF(ISERROR(FIND('112'!$M$9,G1975,1)),"",IF((AND(FIND('112'!$M$9,G1975,1)&gt;=1,B1975='112'!$K$9,OR($N1975='112'!$I$6,$O1975='112'!$I$6))),"x",""))</f>
        <v/>
      </c>
      <c r="U1975" s="75" t="str">
        <f>IF(ISERROR(FIND('112'!$M$9,G1975,1)),"",IF((AND(LEFT(G1975,2)=LEFT('112'!$M$9,2),B1975&lt;'112'!$K$9,$N1975='112'!$I$6)),"x",""))</f>
        <v/>
      </c>
      <c r="V1975" s="75" t="str">
        <f>IF(ISERROR(FIND('112'!$M$9,G1975,1)),"",IF((AND(RIGHT(G1975,2)=RIGHT('112'!$M$9,2),B1975&lt;'112'!$K$9,$O1975='112'!$I$6)),"x",""))</f>
        <v/>
      </c>
      <c r="W1975" s="75" t="str">
        <f>IF(AND('341-CT'!$H$9=H1975,OR(LEFT(N1975,3)=$W$7,LEFT(O1975,3)=$W$7)),"x","")</f>
        <v/>
      </c>
      <c r="X1975" s="75" t="str">
        <f>IF(OR(TH!N1975=TH!$X$7,O1975=TH!$X$7),"x","")</f>
        <v/>
      </c>
      <c r="Y1975" s="75" t="str">
        <f>IF(AND(OR(N1975="131",O1975="131"),H1975='131-CT'!$H$9),"x","")</f>
        <v/>
      </c>
      <c r="Z1975" s="75"/>
      <c r="AA1975" s="75" t="str">
        <f>IF(AND(MONTH(E1975)='IN-NX'!$J$5,'IN-NX'!$D$7=D1975),"x","")</f>
        <v/>
      </c>
      <c r="AB1975" s="75" t="str">
        <f>IF(AND(OR(LEFT(TH!N1975,2)="15",LEFT(TH!O1975,2)="15"),LEFT(TH!O1975,3)&lt;&gt;"111",'152-CT'!$J$8=TH!F1975),"x","")</f>
        <v/>
      </c>
      <c r="AC1975" s="75" t="str">
        <f>IF(AND(OR(LEFT(TH!N1975,2)="15",LEFT(TH!O1975,2)="15"),TK!$E$7=TH!F1975),"x","")</f>
        <v/>
      </c>
      <c r="AD1975" s="75" t="str">
        <f>IF(AND(N1975="1521",MONTH(C1975)='BK-NL'!$M$11),"x","")</f>
        <v/>
      </c>
    </row>
    <row r="1976" spans="1:30" ht="16.5" customHeight="1">
      <c r="A1976" s="309" t="str">
        <f>IF(B1976&lt;&gt;"",IF(AND(B1976='IN-TC'!$S$4,OR(TH!N1976="1111",TH!O1976="1111")),TH!D1976,""),"")</f>
        <v/>
      </c>
      <c r="B1976" s="1242">
        <f t="shared" si="528"/>
        <v>9</v>
      </c>
      <c r="C1976" s="292">
        <f t="shared" si="530"/>
        <v>42981</v>
      </c>
      <c r="D1976" s="292" t="s">
        <v>2964</v>
      </c>
      <c r="E1976" s="292">
        <v>42981</v>
      </c>
      <c r="F1976" s="429" t="s">
        <v>566</v>
      </c>
      <c r="G1976" s="925"/>
      <c r="H1976" s="435" t="s">
        <v>769</v>
      </c>
      <c r="I1976" s="373">
        <f>60260-I1975</f>
        <v>30158</v>
      </c>
      <c r="J1976" s="379">
        <v>18700</v>
      </c>
      <c r="K1976" s="373"/>
      <c r="L1976" s="379"/>
      <c r="M1976" s="927">
        <f t="shared" si="531"/>
        <v>563954600</v>
      </c>
      <c r="N1976" s="295" t="s">
        <v>264</v>
      </c>
      <c r="O1976" s="295" t="s">
        <v>8</v>
      </c>
      <c r="P1976" s="75" t="str">
        <f>IF(AND('331-CT'!$E$7=TH!H1976,OR(N1976="331",O1976="331")),"x","")</f>
        <v/>
      </c>
      <c r="Q1976" s="75" t="str">
        <f>IF(AND(B1976='111'!$L$11,OR($N1976=$Q$7,$O1976=$Q$7)),"x","")</f>
        <v/>
      </c>
      <c r="R1976" s="75" t="str">
        <f>IF(AND($N1976=$Q$7,$B1976&lt;'111'!$L$11),"x","")</f>
        <v/>
      </c>
      <c r="S1976" s="75" t="str">
        <f>IF(AND($O1976=$Q$7,$B1976&lt;'111'!$L$11),"x","")</f>
        <v/>
      </c>
      <c r="T1976" s="75" t="str">
        <f>IF(ISERROR(FIND('112'!$M$9,G1976,1)),"",IF((AND(FIND('112'!$M$9,G1976,1)&gt;=1,B1976='112'!$K$9,OR($N1976='112'!$I$6,$O1976='112'!$I$6))),"x",""))</f>
        <v/>
      </c>
      <c r="U1976" s="75" t="str">
        <f>IF(ISERROR(FIND('112'!$M$9,G1976,1)),"",IF((AND(LEFT(G1976,2)=LEFT('112'!$M$9,2),B1976&lt;'112'!$K$9,$N1976='112'!$I$6)),"x",""))</f>
        <v/>
      </c>
      <c r="V1976" s="75" t="str">
        <f>IF(ISERROR(FIND('112'!$M$9,G1976,1)),"",IF((AND(RIGHT(G1976,2)=RIGHT('112'!$M$9,2),B1976&lt;'112'!$K$9,$O1976='112'!$I$6)),"x",""))</f>
        <v/>
      </c>
      <c r="W1976" s="75" t="str">
        <f>IF(AND('341-CT'!$H$9=H1976,OR(LEFT(N1976,3)=$W$7,LEFT(O1976,3)=$W$7)),"x","")</f>
        <v/>
      </c>
      <c r="X1976" s="75" t="str">
        <f>IF(OR(TH!N1976=TH!$X$7,O1976=TH!$X$7),"x","")</f>
        <v/>
      </c>
      <c r="Y1976" s="75" t="str">
        <f>IF(AND(OR(N1976="131",O1976="131"),H1976='131-CT'!$H$9),"x","")</f>
        <v/>
      </c>
      <c r="Z1976" s="75"/>
      <c r="AA1976" s="75" t="str">
        <f>IF(AND(MONTH(E1976)='IN-NX'!$J$5,'IN-NX'!$D$7=D1976),"x","")</f>
        <v/>
      </c>
      <c r="AB1976" s="75" t="str">
        <f>IF(AND(OR(LEFT(TH!N1976,2)="15",LEFT(TH!O1976,2)="15"),LEFT(TH!O1976,3)&lt;&gt;"111",'152-CT'!$J$8=TH!F1976),"x","")</f>
        <v/>
      </c>
      <c r="AC1976" s="75" t="str">
        <f>IF(AND(OR(LEFT(TH!N1976,2)="15",LEFT(TH!O1976,2)="15"),TK!$E$7=TH!F1976),"x","")</f>
        <v/>
      </c>
      <c r="AD1976" s="75" t="str">
        <f>IF(AND(N1976="1521",MONTH(C1976)='BK-NL'!$M$11),"x","")</f>
        <v/>
      </c>
    </row>
    <row r="1977" spans="1:30" ht="16.5" customHeight="1">
      <c r="A1977" s="309" t="str">
        <f>IF(B1977&lt;&gt;"",IF(AND(B1977='IN-TC'!$S$4,OR(TH!N1977="1111",TH!O1977="1111")),TH!D1977,""),"")</f>
        <v/>
      </c>
      <c r="B1977" s="1242">
        <f t="shared" si="528"/>
        <v>9</v>
      </c>
      <c r="C1977" s="292">
        <f t="shared" si="530"/>
        <v>42979</v>
      </c>
      <c r="D1977" s="292" t="s">
        <v>2960</v>
      </c>
      <c r="E1977" s="292">
        <v>42979</v>
      </c>
      <c r="F1977" s="429" t="s">
        <v>764</v>
      </c>
      <c r="G1977" s="925"/>
      <c r="H1977" s="429" t="s">
        <v>361</v>
      </c>
      <c r="I1977" s="373">
        <v>32105</v>
      </c>
      <c r="J1977" s="379">
        <v>19500</v>
      </c>
      <c r="K1977" s="373"/>
      <c r="L1977" s="379"/>
      <c r="M1977" s="927">
        <f t="shared" si="531"/>
        <v>626047500</v>
      </c>
      <c r="N1977" s="295" t="s">
        <v>264</v>
      </c>
      <c r="O1977" s="295" t="s">
        <v>8</v>
      </c>
      <c r="P1977" s="75" t="str">
        <f>IF(AND('331-CT'!$E$7=TH!H1977,OR(N1977="331",O1977="331")),"x","")</f>
        <v/>
      </c>
      <c r="Q1977" s="75" t="str">
        <f>IF(AND(B1977='111'!$L$11,OR($N1977=$Q$7,$O1977=$Q$7)),"x","")</f>
        <v/>
      </c>
      <c r="R1977" s="75" t="str">
        <f>IF(AND($N1977=$Q$7,$B1977&lt;'111'!$L$11),"x","")</f>
        <v/>
      </c>
      <c r="S1977" s="75" t="str">
        <f>IF(AND($O1977=$Q$7,$B1977&lt;'111'!$L$11),"x","")</f>
        <v/>
      </c>
      <c r="T1977" s="75" t="str">
        <f>IF(ISERROR(FIND('112'!$M$9,G1977,1)),"",IF((AND(FIND('112'!$M$9,G1977,1)&gt;=1,B1977='112'!$K$9,OR($N1977='112'!$I$6,$O1977='112'!$I$6))),"x",""))</f>
        <v/>
      </c>
      <c r="U1977" s="75" t="str">
        <f>IF(ISERROR(FIND('112'!$M$9,G1977,1)),"",IF((AND(LEFT(G1977,2)=LEFT('112'!$M$9,2),B1977&lt;'112'!$K$9,$N1977='112'!$I$6)),"x",""))</f>
        <v/>
      </c>
      <c r="V1977" s="75" t="str">
        <f>IF(ISERROR(FIND('112'!$M$9,G1977,1)),"",IF((AND(RIGHT(G1977,2)=RIGHT('112'!$M$9,2),B1977&lt;'112'!$K$9,$O1977='112'!$I$6)),"x",""))</f>
        <v/>
      </c>
      <c r="W1977" s="75" t="str">
        <f>IF(AND('341-CT'!$H$9=H1977,OR(LEFT(N1977,3)=$W$7,LEFT(O1977,3)=$W$7)),"x","")</f>
        <v/>
      </c>
      <c r="X1977" s="75" t="str">
        <f>IF(OR(TH!N1977=TH!$X$7,O1977=TH!$X$7),"x","")</f>
        <v/>
      </c>
      <c r="Y1977" s="75" t="str">
        <f>IF(AND(OR(N1977="131",O1977="131"),H1977='131-CT'!$H$9),"x","")</f>
        <v/>
      </c>
      <c r="Z1977" s="75"/>
      <c r="AA1977" s="75" t="str">
        <f>IF(AND(MONTH(E1977)='IN-NX'!$J$5,'IN-NX'!$D$7=D1977),"x","")</f>
        <v/>
      </c>
      <c r="AB1977" s="75" t="str">
        <f>IF(AND(OR(LEFT(TH!N1977,2)="15",LEFT(TH!O1977,2)="15"),LEFT(TH!O1977,3)&lt;&gt;"111",'152-CT'!$J$8=TH!F1977),"x","")</f>
        <v/>
      </c>
      <c r="AC1977" s="75" t="str">
        <f>IF(AND(OR(LEFT(TH!N1977,2)="15",LEFT(TH!O1977,2)="15"),TK!$E$7=TH!F1977),"x","")</f>
        <v/>
      </c>
      <c r="AD1977" s="75" t="str">
        <f>IF(AND(N1977="1521",MONTH(C1977)='BK-NL'!$M$11),"x","")</f>
        <v/>
      </c>
    </row>
    <row r="1978" spans="1:30" ht="16.5" customHeight="1">
      <c r="A1978" s="309" t="str">
        <f>IF(B1978&lt;&gt;"",IF(AND(B1978='IN-TC'!$S$4,OR(TH!N1978="1111",TH!O1978="1111")),TH!D1978,""),"")</f>
        <v/>
      </c>
      <c r="B1978" s="1242">
        <f t="shared" si="528"/>
        <v>9</v>
      </c>
      <c r="C1978" s="292">
        <f t="shared" si="530"/>
        <v>42981</v>
      </c>
      <c r="D1978" s="292" t="s">
        <v>2961</v>
      </c>
      <c r="E1978" s="292">
        <v>42981</v>
      </c>
      <c r="F1978" s="429" t="s">
        <v>764</v>
      </c>
      <c r="G1978" s="925"/>
      <c r="H1978" s="429" t="s">
        <v>366</v>
      </c>
      <c r="I1978" s="373">
        <f>64220-I1977</f>
        <v>32115</v>
      </c>
      <c r="J1978" s="379">
        <v>19500</v>
      </c>
      <c r="K1978" s="373"/>
      <c r="L1978" s="379"/>
      <c r="M1978" s="927">
        <f t="shared" si="531"/>
        <v>626242500</v>
      </c>
      <c r="N1978" s="295" t="s">
        <v>264</v>
      </c>
      <c r="O1978" s="295" t="s">
        <v>8</v>
      </c>
      <c r="P1978" s="75" t="str">
        <f>IF(AND('331-CT'!$E$7=TH!H1978,OR(N1978="331",O1978="331")),"x","")</f>
        <v/>
      </c>
      <c r="Q1978" s="75" t="str">
        <f>IF(AND(B1978='111'!$L$11,OR($N1978=$Q$7,$O1978=$Q$7)),"x","")</f>
        <v/>
      </c>
      <c r="R1978" s="75" t="str">
        <f>IF(AND($N1978=$Q$7,$B1978&lt;'111'!$L$11),"x","")</f>
        <v/>
      </c>
      <c r="S1978" s="75" t="str">
        <f>IF(AND($O1978=$Q$7,$B1978&lt;'111'!$L$11),"x","")</f>
        <v/>
      </c>
      <c r="T1978" s="75" t="str">
        <f>IF(ISERROR(FIND('112'!$M$9,G1978,1)),"",IF((AND(FIND('112'!$M$9,G1978,1)&gt;=1,B1978='112'!$K$9,OR($N1978='112'!$I$6,$O1978='112'!$I$6))),"x",""))</f>
        <v/>
      </c>
      <c r="U1978" s="75" t="str">
        <f>IF(ISERROR(FIND('112'!$M$9,G1978,1)),"",IF((AND(LEFT(G1978,2)=LEFT('112'!$M$9,2),B1978&lt;'112'!$K$9,$N1978='112'!$I$6)),"x",""))</f>
        <v/>
      </c>
      <c r="V1978" s="75" t="str">
        <f>IF(ISERROR(FIND('112'!$M$9,G1978,1)),"",IF((AND(RIGHT(G1978,2)=RIGHT('112'!$M$9,2),B1978&lt;'112'!$K$9,$O1978='112'!$I$6)),"x",""))</f>
        <v/>
      </c>
      <c r="W1978" s="75" t="str">
        <f>IF(AND('341-CT'!$H$9=H1978,OR(LEFT(N1978,3)=$W$7,LEFT(O1978,3)=$W$7)),"x","")</f>
        <v/>
      </c>
      <c r="X1978" s="75" t="str">
        <f>IF(OR(TH!N1978=TH!$X$7,O1978=TH!$X$7),"x","")</f>
        <v/>
      </c>
      <c r="Y1978" s="75" t="str">
        <f>IF(AND(OR(N1978="131",O1978="131"),H1978='131-CT'!$H$9),"x","")</f>
        <v/>
      </c>
      <c r="Z1978" s="75"/>
      <c r="AA1978" s="75" t="str">
        <f>IF(AND(MONTH(E1978)='IN-NX'!$J$5,'IN-NX'!$D$7=D1978),"x","")</f>
        <v/>
      </c>
      <c r="AB1978" s="75" t="str">
        <f>IF(AND(OR(LEFT(TH!N1978,2)="15",LEFT(TH!O1978,2)="15"),LEFT(TH!O1978,3)&lt;&gt;"111",'152-CT'!$J$8=TH!F1978),"x","")</f>
        <v/>
      </c>
      <c r="AC1978" s="75" t="str">
        <f>IF(AND(OR(LEFT(TH!N1978,2)="15",LEFT(TH!O1978,2)="15"),TK!$E$7=TH!F1978),"x","")</f>
        <v/>
      </c>
      <c r="AD1978" s="75" t="str">
        <f>IF(AND(N1978="1521",MONTH(C1978)='BK-NL'!$M$11),"x","")</f>
        <v/>
      </c>
    </row>
    <row r="1979" spans="1:30" ht="16.5" customHeight="1">
      <c r="A1979" s="309" t="str">
        <f>IF(B1979&lt;&gt;"",IF(AND(B1979='IN-TC'!$S$4,OR(TH!N1979="1111",TH!O1979="1111")),TH!D1979,""),"")</f>
        <v/>
      </c>
      <c r="B1979" s="1242">
        <f t="shared" ref="B1979" si="538">IF(C1979&lt;&gt;"",MONTH(C1979),"")</f>
        <v>9</v>
      </c>
      <c r="C1979" s="292">
        <f t="shared" ref="C1979" si="539">E1979</f>
        <v>42981</v>
      </c>
      <c r="D1979" s="292" t="s">
        <v>2962</v>
      </c>
      <c r="E1979" s="292">
        <v>42981</v>
      </c>
      <c r="F1979" s="425" t="s">
        <v>3002</v>
      </c>
      <c r="G1979" s="925"/>
      <c r="H1979" s="429" t="s">
        <v>350</v>
      </c>
      <c r="I1979" s="373">
        <v>3500</v>
      </c>
      <c r="J1979" s="379">
        <v>37500</v>
      </c>
      <c r="K1979" s="373"/>
      <c r="L1979" s="379"/>
      <c r="M1979" s="927">
        <f t="shared" ref="M1979" si="540">ROUND(I1979*J1979,0)</f>
        <v>131250000</v>
      </c>
      <c r="N1979" s="295" t="s">
        <v>264</v>
      </c>
      <c r="O1979" s="295" t="s">
        <v>8</v>
      </c>
      <c r="P1979" s="75" t="str">
        <f>IF(AND('331-CT'!$E$7=TH!H1979,OR(N1979="331",O1979="331")),"x","")</f>
        <v/>
      </c>
      <c r="Q1979" s="75" t="str">
        <f>IF(AND(B1979='111'!$L$11,OR($N1979=$Q$7,$O1979=$Q$7)),"x","")</f>
        <v/>
      </c>
      <c r="R1979" s="75" t="str">
        <f>IF(AND($N1979=$Q$7,$B1979&lt;'111'!$L$11),"x","")</f>
        <v/>
      </c>
      <c r="S1979" s="75" t="str">
        <f>IF(AND($O1979=$Q$7,$B1979&lt;'111'!$L$11),"x","")</f>
        <v/>
      </c>
      <c r="T1979" s="75" t="str">
        <f>IF(ISERROR(FIND('112'!$M$9,G1979,1)),"",IF((AND(FIND('112'!$M$9,G1979,1)&gt;=1,B1979='112'!$K$9,OR($N1979='112'!$I$6,$O1979='112'!$I$6))),"x",""))</f>
        <v/>
      </c>
      <c r="U1979" s="75" t="str">
        <f>IF(ISERROR(FIND('112'!$M$9,G1979,1)),"",IF((AND(LEFT(G1979,2)=LEFT('112'!$M$9,2),B1979&lt;'112'!$K$9,$N1979='112'!$I$6)),"x",""))</f>
        <v/>
      </c>
      <c r="V1979" s="75" t="str">
        <f>IF(ISERROR(FIND('112'!$M$9,G1979,1)),"",IF((AND(RIGHT(G1979,2)=RIGHT('112'!$M$9,2),B1979&lt;'112'!$K$9,$O1979='112'!$I$6)),"x",""))</f>
        <v/>
      </c>
      <c r="W1979" s="75" t="str">
        <f>IF(AND('341-CT'!$H$9=H1979,OR(LEFT(N1979,3)=$W$7,LEFT(O1979,3)=$W$7)),"x","")</f>
        <v/>
      </c>
      <c r="X1979" s="75" t="str">
        <f>IF(OR(TH!N1979=TH!$X$7,O1979=TH!$X$7),"x","")</f>
        <v/>
      </c>
      <c r="Y1979" s="75" t="str">
        <f>IF(AND(OR(N1979="131",O1979="131"),H1979='131-CT'!$H$9),"x","")</f>
        <v/>
      </c>
      <c r="Z1979" s="75"/>
      <c r="AA1979" s="75" t="str">
        <f>IF(AND(MONTH(E1979)='IN-NX'!$J$5,'IN-NX'!$D$7=D1979),"x","")</f>
        <v/>
      </c>
      <c r="AB1979" s="75" t="str">
        <f>IF(AND(OR(LEFT(TH!N1979,2)="15",LEFT(TH!O1979,2)="15"),LEFT(TH!O1979,3)&lt;&gt;"111",'152-CT'!$J$8=TH!F1979),"x","")</f>
        <v/>
      </c>
      <c r="AC1979" s="75" t="str">
        <f>IF(AND(OR(LEFT(TH!N1979,2)="15",LEFT(TH!O1979,2)="15"),TK!$E$7=TH!F1979),"x","")</f>
        <v/>
      </c>
      <c r="AD1979" s="75" t="str">
        <f>IF(AND(N1979="1521",MONTH(C1979)='BK-NL'!$M$11),"x","")</f>
        <v/>
      </c>
    </row>
    <row r="1980" spans="1:30" ht="16.5" customHeight="1">
      <c r="A1980" s="309" t="str">
        <f>IF(B1980&lt;&gt;"",IF(AND(B1980='IN-TC'!$S$4,OR(TH!N1980="1111",TH!O1980="1111")),TH!D1980,""),"")</f>
        <v/>
      </c>
      <c r="B1980" s="1242">
        <f t="shared" si="528"/>
        <v>9</v>
      </c>
      <c r="C1980" s="292">
        <f t="shared" si="530"/>
        <v>42981</v>
      </c>
      <c r="D1980" s="292" t="s">
        <v>2962</v>
      </c>
      <c r="E1980" s="292">
        <v>42981</v>
      </c>
      <c r="F1980" s="425" t="s">
        <v>763</v>
      </c>
      <c r="G1980" s="925"/>
      <c r="H1980" s="429" t="s">
        <v>350</v>
      </c>
      <c r="I1980" s="373">
        <v>8910</v>
      </c>
      <c r="J1980" s="379">
        <v>38500</v>
      </c>
      <c r="K1980" s="373"/>
      <c r="L1980" s="379"/>
      <c r="M1980" s="927">
        <f t="shared" si="531"/>
        <v>343035000</v>
      </c>
      <c r="N1980" s="295" t="s">
        <v>264</v>
      </c>
      <c r="O1980" s="295" t="s">
        <v>8</v>
      </c>
      <c r="P1980" s="75" t="str">
        <f>IF(AND('331-CT'!$E$7=TH!H1980,OR(N1980="331",O1980="331")),"x","")</f>
        <v/>
      </c>
      <c r="Q1980" s="75" t="str">
        <f>IF(AND(B1980='111'!$L$11,OR($N1980=$Q$7,$O1980=$Q$7)),"x","")</f>
        <v/>
      </c>
      <c r="R1980" s="75" t="str">
        <f>IF(AND($N1980=$Q$7,$B1980&lt;'111'!$L$11),"x","")</f>
        <v/>
      </c>
      <c r="S1980" s="75" t="str">
        <f>IF(AND($O1980=$Q$7,$B1980&lt;'111'!$L$11),"x","")</f>
        <v/>
      </c>
      <c r="T1980" s="75" t="str">
        <f>IF(ISERROR(FIND('112'!$M$9,G1980,1)),"",IF((AND(FIND('112'!$M$9,G1980,1)&gt;=1,B1980='112'!$K$9,OR($N1980='112'!$I$6,$O1980='112'!$I$6))),"x",""))</f>
        <v/>
      </c>
      <c r="U1980" s="75" t="str">
        <f>IF(ISERROR(FIND('112'!$M$9,G1980,1)),"",IF((AND(LEFT(G1980,2)=LEFT('112'!$M$9,2),B1980&lt;'112'!$K$9,$N1980='112'!$I$6)),"x",""))</f>
        <v/>
      </c>
      <c r="V1980" s="75" t="str">
        <f>IF(ISERROR(FIND('112'!$M$9,G1980,1)),"",IF((AND(RIGHT(G1980,2)=RIGHT('112'!$M$9,2),B1980&lt;'112'!$K$9,$O1980='112'!$I$6)),"x",""))</f>
        <v/>
      </c>
      <c r="W1980" s="75" t="str">
        <f>IF(AND('341-CT'!$H$9=H1980,OR(LEFT(N1980,3)=$W$7,LEFT(O1980,3)=$W$7)),"x","")</f>
        <v/>
      </c>
      <c r="X1980" s="75" t="str">
        <f>IF(OR(TH!N1980=TH!$X$7,O1980=TH!$X$7),"x","")</f>
        <v/>
      </c>
      <c r="Y1980" s="75" t="str">
        <f>IF(AND(OR(N1980="131",O1980="131"),H1980='131-CT'!$H$9),"x","")</f>
        <v/>
      </c>
      <c r="Z1980" s="75"/>
      <c r="AA1980" s="75" t="str">
        <f>IF(AND(MONTH(E1980)='IN-NX'!$J$5,'IN-NX'!$D$7=D1980),"x","")</f>
        <v/>
      </c>
      <c r="AB1980" s="75" t="str">
        <f>IF(AND(OR(LEFT(TH!N1980,2)="15",LEFT(TH!O1980,2)="15"),LEFT(TH!O1980,3)&lt;&gt;"111",'152-CT'!$J$8=TH!F1980),"x","")</f>
        <v/>
      </c>
      <c r="AC1980" s="75" t="str">
        <f>IF(AND(OR(LEFT(TH!N1980,2)="15",LEFT(TH!O1980,2)="15"),TK!$E$7=TH!F1980),"x","")</f>
        <v/>
      </c>
      <c r="AD1980" s="75" t="str">
        <f>IF(AND(N1980="1521",MONTH(C1980)='BK-NL'!$M$11),"x","")</f>
        <v/>
      </c>
    </row>
    <row r="1981" spans="1:30" ht="16.5" customHeight="1">
      <c r="A1981" s="309" t="str">
        <f>IF(B1981&lt;&gt;"",IF(AND(B1981='IN-TC'!$S$4,OR(TH!N1981="1111",TH!O1981="1111")),TH!D1981,""),"")</f>
        <v/>
      </c>
      <c r="B1981" s="1242">
        <f t="shared" si="528"/>
        <v>9</v>
      </c>
      <c r="C1981" s="292">
        <f t="shared" si="530"/>
        <v>42981</v>
      </c>
      <c r="D1981" s="292" t="s">
        <v>2962</v>
      </c>
      <c r="E1981" s="292">
        <v>42981</v>
      </c>
      <c r="F1981" s="425" t="s">
        <v>565</v>
      </c>
      <c r="G1981" s="925"/>
      <c r="H1981" s="429" t="s">
        <v>350</v>
      </c>
      <c r="I1981" s="373">
        <v>20680</v>
      </c>
      <c r="J1981" s="379">
        <v>18200</v>
      </c>
      <c r="K1981" s="373"/>
      <c r="L1981" s="379"/>
      <c r="M1981" s="927">
        <f t="shared" si="531"/>
        <v>376376000</v>
      </c>
      <c r="N1981" s="295" t="s">
        <v>264</v>
      </c>
      <c r="O1981" s="295" t="s">
        <v>8</v>
      </c>
      <c r="P1981" s="75" t="str">
        <f>IF(AND('331-CT'!$E$7=TH!H1981,OR(N1981="331",O1981="331")),"x","")</f>
        <v/>
      </c>
      <c r="Q1981" s="75" t="str">
        <f>IF(AND(B1981='111'!$L$11,OR($N1981=$Q$7,$O1981=$Q$7)),"x","")</f>
        <v/>
      </c>
      <c r="R1981" s="75" t="str">
        <f>IF(AND($N1981=$Q$7,$B1981&lt;'111'!$L$11),"x","")</f>
        <v/>
      </c>
      <c r="S1981" s="75" t="str">
        <f>IF(AND($O1981=$Q$7,$B1981&lt;'111'!$L$11),"x","")</f>
        <v/>
      </c>
      <c r="T1981" s="75" t="str">
        <f>IF(ISERROR(FIND('112'!$M$9,G1981,1)),"",IF((AND(FIND('112'!$M$9,G1981,1)&gt;=1,B1981='112'!$K$9,OR($N1981='112'!$I$6,$O1981='112'!$I$6))),"x",""))</f>
        <v/>
      </c>
      <c r="U1981" s="75" t="str">
        <f>IF(ISERROR(FIND('112'!$M$9,G1981,1)),"",IF((AND(LEFT(G1981,2)=LEFT('112'!$M$9,2),B1981&lt;'112'!$K$9,$N1981='112'!$I$6)),"x",""))</f>
        <v/>
      </c>
      <c r="V1981" s="75" t="str">
        <f>IF(ISERROR(FIND('112'!$M$9,G1981,1)),"",IF((AND(RIGHT(G1981,2)=RIGHT('112'!$M$9,2),B1981&lt;'112'!$K$9,$O1981='112'!$I$6)),"x",""))</f>
        <v/>
      </c>
      <c r="W1981" s="75" t="str">
        <f>IF(AND('341-CT'!$H$9=H1981,OR(LEFT(N1981,3)=$W$7,LEFT(O1981,3)=$W$7)),"x","")</f>
        <v/>
      </c>
      <c r="X1981" s="75" t="str">
        <f>IF(OR(TH!N1981=TH!$X$7,O1981=TH!$X$7),"x","")</f>
        <v/>
      </c>
      <c r="Y1981" s="75" t="str">
        <f>IF(AND(OR(N1981="131",O1981="131"),H1981='131-CT'!$H$9),"x","")</f>
        <v/>
      </c>
      <c r="Z1981" s="75"/>
      <c r="AA1981" s="75" t="str">
        <f>IF(AND(MONTH(E1981)='IN-NX'!$J$5,'IN-NX'!$D$7=D1981),"x","")</f>
        <v/>
      </c>
      <c r="AB1981" s="75" t="str">
        <f>IF(AND(OR(LEFT(TH!N1981,2)="15",LEFT(TH!O1981,2)="15"),LEFT(TH!O1981,3)&lt;&gt;"111",'152-CT'!$J$8=TH!F1981),"x","")</f>
        <v/>
      </c>
      <c r="AC1981" s="75" t="str">
        <f>IF(AND(OR(LEFT(TH!N1981,2)="15",LEFT(TH!O1981,2)="15"),TK!$E$7=TH!F1981),"x","")</f>
        <v/>
      </c>
      <c r="AD1981" s="75" t="str">
        <f>IF(AND(N1981="1521",MONTH(C1981)='BK-NL'!$M$11),"x","")</f>
        <v/>
      </c>
    </row>
    <row r="1982" spans="1:30" ht="16.5" customHeight="1">
      <c r="A1982" s="309" t="str">
        <f>IF(B1982&lt;&gt;"",IF(AND(B1982='IN-TC'!$S$4,OR(TH!N1982="1111",TH!O1982="1111")),TH!D1982,""),"")</f>
        <v/>
      </c>
      <c r="B1982" s="1242">
        <f t="shared" ref="B1982:B1983" si="541">IF(C1982&lt;&gt;"",MONTH(C1982),"")</f>
        <v>9</v>
      </c>
      <c r="C1982" s="292">
        <f t="shared" ref="C1982:C1983" si="542">E1982</f>
        <v>42981</v>
      </c>
      <c r="D1982" s="292" t="s">
        <v>2963</v>
      </c>
      <c r="E1982" s="292">
        <v>42981</v>
      </c>
      <c r="F1982" s="429" t="s">
        <v>566</v>
      </c>
      <c r="G1982" s="925"/>
      <c r="H1982" s="429" t="s">
        <v>414</v>
      </c>
      <c r="I1982" s="373">
        <v>29560</v>
      </c>
      <c r="J1982" s="379">
        <v>17500</v>
      </c>
      <c r="K1982" s="373"/>
      <c r="L1982" s="379"/>
      <c r="M1982" s="927">
        <f t="shared" ref="M1982:M1983" si="543">ROUND(I1982*J1982,0)</f>
        <v>517300000</v>
      </c>
      <c r="N1982" s="295" t="s">
        <v>264</v>
      </c>
      <c r="O1982" s="295" t="s">
        <v>8</v>
      </c>
      <c r="P1982" s="75" t="str">
        <f>IF(AND('331-CT'!$E$7=TH!H1982,OR(N1982="331",O1982="331")),"x","")</f>
        <v/>
      </c>
      <c r="Q1982" s="75" t="str">
        <f>IF(AND(B1982='111'!$L$11,OR($N1982=$Q$7,$O1982=$Q$7)),"x","")</f>
        <v/>
      </c>
      <c r="R1982" s="75" t="str">
        <f>IF(AND($N1982=$Q$7,$B1982&lt;'111'!$L$11),"x","")</f>
        <v/>
      </c>
      <c r="S1982" s="75" t="str">
        <f>IF(AND($O1982=$Q$7,$B1982&lt;'111'!$L$11),"x","")</f>
        <v/>
      </c>
      <c r="T1982" s="75" t="str">
        <f>IF(ISERROR(FIND('112'!$M$9,G1982,1)),"",IF((AND(FIND('112'!$M$9,G1982,1)&gt;=1,B1982='112'!$K$9,OR($N1982='112'!$I$6,$O1982='112'!$I$6))),"x",""))</f>
        <v/>
      </c>
      <c r="U1982" s="75" t="str">
        <f>IF(ISERROR(FIND('112'!$M$9,G1982,1)),"",IF((AND(LEFT(G1982,2)=LEFT('112'!$M$9,2),B1982&lt;'112'!$K$9,$N1982='112'!$I$6)),"x",""))</f>
        <v/>
      </c>
      <c r="V1982" s="75" t="str">
        <f>IF(ISERROR(FIND('112'!$M$9,G1982,1)),"",IF((AND(RIGHT(G1982,2)=RIGHT('112'!$M$9,2),B1982&lt;'112'!$K$9,$O1982='112'!$I$6)),"x",""))</f>
        <v/>
      </c>
      <c r="W1982" s="75" t="str">
        <f>IF(AND('341-CT'!$H$9=H1982,OR(LEFT(N1982,3)=$W$7,LEFT(O1982,3)=$W$7)),"x","")</f>
        <v/>
      </c>
      <c r="X1982" s="75" t="str">
        <f>IF(OR(TH!N1982=TH!$X$7,O1982=TH!$X$7),"x","")</f>
        <v/>
      </c>
      <c r="Y1982" s="75" t="str">
        <f>IF(AND(OR(N1982="131",O1982="131"),H1982='131-CT'!$H$9),"x","")</f>
        <v/>
      </c>
      <c r="Z1982" s="75"/>
      <c r="AA1982" s="75" t="str">
        <f>IF(AND(MONTH(E1982)='IN-NX'!$J$5,'IN-NX'!$D$7=D1982),"x","")</f>
        <v/>
      </c>
      <c r="AB1982" s="75" t="str">
        <f>IF(AND(OR(LEFT(TH!N1982,2)="15",LEFT(TH!O1982,2)="15"),LEFT(TH!O1982,3)&lt;&gt;"111",'152-CT'!$J$8=TH!F1982),"x","")</f>
        <v/>
      </c>
      <c r="AC1982" s="75" t="str">
        <f>IF(AND(OR(LEFT(TH!N1982,2)="15",LEFT(TH!O1982,2)="15"),TK!$E$7=TH!F1982),"x","")</f>
        <v/>
      </c>
      <c r="AD1982" s="75" t="str">
        <f>IF(AND(N1982="1521",MONTH(C1982)='BK-NL'!$M$11),"x","")</f>
        <v/>
      </c>
    </row>
    <row r="1983" spans="1:30" ht="16.5" customHeight="1">
      <c r="A1983" s="309" t="str">
        <f>IF(B1983&lt;&gt;"",IF(AND(B1983='IN-TC'!$S$4,OR(TH!N1983="1111",TH!O1983="1111")),TH!D1983,""),"")</f>
        <v/>
      </c>
      <c r="B1983" s="1242">
        <f t="shared" si="541"/>
        <v>9</v>
      </c>
      <c r="C1983" s="292">
        <f t="shared" si="542"/>
        <v>42989</v>
      </c>
      <c r="D1983" s="292" t="s">
        <v>2973</v>
      </c>
      <c r="E1983" s="292">
        <v>42989</v>
      </c>
      <c r="F1983" s="429" t="s">
        <v>566</v>
      </c>
      <c r="G1983" s="925"/>
      <c r="H1983" s="429" t="s">
        <v>415</v>
      </c>
      <c r="I1983" s="373">
        <v>29589</v>
      </c>
      <c r="J1983" s="379">
        <v>17500</v>
      </c>
      <c r="K1983" s="373"/>
      <c r="L1983" s="379"/>
      <c r="M1983" s="927">
        <f t="shared" si="543"/>
        <v>517807500</v>
      </c>
      <c r="N1983" s="295" t="s">
        <v>264</v>
      </c>
      <c r="O1983" s="295" t="s">
        <v>8</v>
      </c>
      <c r="P1983" s="75" t="str">
        <f>IF(AND('331-CT'!$E$7=TH!H1983,OR(N1983="331",O1983="331")),"x","")</f>
        <v/>
      </c>
      <c r="Q1983" s="75" t="str">
        <f>IF(AND(B1983='111'!$L$11,OR($N1983=$Q$7,$O1983=$Q$7)),"x","")</f>
        <v/>
      </c>
      <c r="R1983" s="75" t="str">
        <f>IF(AND($N1983=$Q$7,$B1983&lt;'111'!$L$11),"x","")</f>
        <v/>
      </c>
      <c r="S1983" s="75" t="str">
        <f>IF(AND($O1983=$Q$7,$B1983&lt;'111'!$L$11),"x","")</f>
        <v/>
      </c>
      <c r="T1983" s="75" t="str">
        <f>IF(ISERROR(FIND('112'!$M$9,G1983,1)),"",IF((AND(FIND('112'!$M$9,G1983,1)&gt;=1,B1983='112'!$K$9,OR($N1983='112'!$I$6,$O1983='112'!$I$6))),"x",""))</f>
        <v/>
      </c>
      <c r="U1983" s="75" t="str">
        <f>IF(ISERROR(FIND('112'!$M$9,G1983,1)),"",IF((AND(LEFT(G1983,2)=LEFT('112'!$M$9,2),B1983&lt;'112'!$K$9,$N1983='112'!$I$6)),"x",""))</f>
        <v/>
      </c>
      <c r="V1983" s="75" t="str">
        <f>IF(ISERROR(FIND('112'!$M$9,G1983,1)),"",IF((AND(RIGHT(G1983,2)=RIGHT('112'!$M$9,2),B1983&lt;'112'!$K$9,$O1983='112'!$I$6)),"x",""))</f>
        <v/>
      </c>
      <c r="W1983" s="75" t="str">
        <f>IF(AND('341-CT'!$H$9=H1983,OR(LEFT(N1983,3)=$W$7,LEFT(O1983,3)=$W$7)),"x","")</f>
        <v/>
      </c>
      <c r="X1983" s="75" t="str">
        <f>IF(OR(TH!N1983=TH!$X$7,O1983=TH!$X$7),"x","")</f>
        <v/>
      </c>
      <c r="Y1983" s="75" t="str">
        <f>IF(AND(OR(N1983="131",O1983="131"),H1983='131-CT'!$H$9),"x","")</f>
        <v/>
      </c>
      <c r="Z1983" s="75"/>
      <c r="AA1983" s="75" t="str">
        <f>IF(AND(MONTH(E1983)='IN-NX'!$J$5,'IN-NX'!$D$7=D1983),"x","")</f>
        <v/>
      </c>
      <c r="AB1983" s="75" t="str">
        <f>IF(AND(OR(LEFT(TH!N1983,2)="15",LEFT(TH!O1983,2)="15"),LEFT(TH!O1983,3)&lt;&gt;"111",'152-CT'!$J$8=TH!F1983),"x","")</f>
        <v/>
      </c>
      <c r="AC1983" s="75" t="str">
        <f>IF(AND(OR(LEFT(TH!N1983,2)="15",LEFT(TH!O1983,2)="15"),TK!$E$7=TH!F1983),"x","")</f>
        <v/>
      </c>
      <c r="AD1983" s="75" t="str">
        <f>IF(AND(N1983="1521",MONTH(C1983)='BK-NL'!$M$11),"x","")</f>
        <v/>
      </c>
    </row>
    <row r="1984" spans="1:30" ht="16.5" customHeight="1">
      <c r="A1984" s="309" t="str">
        <f>IF(B1984&lt;&gt;"",IF(AND(B1984='IN-TC'!$S$4,OR(TH!N1984="1111",TH!O1984="1111")),TH!D1984,""),"")</f>
        <v/>
      </c>
      <c r="B1984" s="1242">
        <f t="shared" si="528"/>
        <v>9</v>
      </c>
      <c r="C1984" s="292">
        <f t="shared" si="530"/>
        <v>42989</v>
      </c>
      <c r="D1984" s="292" t="s">
        <v>2974</v>
      </c>
      <c r="E1984" s="292">
        <v>42989</v>
      </c>
      <c r="F1984" s="429" t="s">
        <v>566</v>
      </c>
      <c r="G1984" s="925"/>
      <c r="H1984" s="429" t="s">
        <v>768</v>
      </c>
      <c r="I1984" s="373">
        <v>29860</v>
      </c>
      <c r="J1984" s="379">
        <v>17500</v>
      </c>
      <c r="K1984" s="373"/>
      <c r="L1984" s="379"/>
      <c r="M1984" s="927">
        <f t="shared" si="531"/>
        <v>522550000</v>
      </c>
      <c r="N1984" s="295" t="s">
        <v>264</v>
      </c>
      <c r="O1984" s="295" t="s">
        <v>8</v>
      </c>
      <c r="P1984" s="75" t="str">
        <f>IF(AND('331-CT'!$E$7=TH!H1984,OR(N1984="331",O1984="331")),"x","")</f>
        <v/>
      </c>
      <c r="Q1984" s="75" t="str">
        <f>IF(AND(B1984='111'!$L$11,OR($N1984=$Q$7,$O1984=$Q$7)),"x","")</f>
        <v/>
      </c>
      <c r="R1984" s="75" t="str">
        <f>IF(AND($N1984=$Q$7,$B1984&lt;'111'!$L$11),"x","")</f>
        <v/>
      </c>
      <c r="S1984" s="75" t="str">
        <f>IF(AND($O1984=$Q$7,$B1984&lt;'111'!$L$11),"x","")</f>
        <v/>
      </c>
      <c r="T1984" s="75" t="str">
        <f>IF(ISERROR(FIND('112'!$M$9,G1984,1)),"",IF((AND(FIND('112'!$M$9,G1984,1)&gt;=1,B1984='112'!$K$9,OR($N1984='112'!$I$6,$O1984='112'!$I$6))),"x",""))</f>
        <v/>
      </c>
      <c r="U1984" s="75" t="str">
        <f>IF(ISERROR(FIND('112'!$M$9,G1984,1)),"",IF((AND(LEFT(G1984,2)=LEFT('112'!$M$9,2),B1984&lt;'112'!$K$9,$N1984='112'!$I$6)),"x",""))</f>
        <v/>
      </c>
      <c r="V1984" s="75" t="str">
        <f>IF(ISERROR(FIND('112'!$M$9,G1984,1)),"",IF((AND(RIGHT(G1984,2)=RIGHT('112'!$M$9,2),B1984&lt;'112'!$K$9,$O1984='112'!$I$6)),"x",""))</f>
        <v/>
      </c>
      <c r="W1984" s="75" t="str">
        <f>IF(AND('341-CT'!$H$9=H1984,OR(LEFT(N1984,3)=$W$7,LEFT(O1984,3)=$W$7)),"x","")</f>
        <v/>
      </c>
      <c r="X1984" s="75" t="str">
        <f>IF(OR(TH!N1984=TH!$X$7,O1984=TH!$X$7),"x","")</f>
        <v/>
      </c>
      <c r="Y1984" s="75" t="str">
        <f>IF(AND(OR(N1984="131",O1984="131"),H1984='131-CT'!$H$9),"x","")</f>
        <v/>
      </c>
      <c r="Z1984" s="75"/>
      <c r="AA1984" s="75" t="str">
        <f>IF(AND(MONTH(E1984)='IN-NX'!$J$5,'IN-NX'!$D$7=D1984),"x","")</f>
        <v/>
      </c>
      <c r="AB1984" s="75" t="str">
        <f>IF(AND(OR(LEFT(TH!N1984,2)="15",LEFT(TH!O1984,2)="15"),LEFT(TH!O1984,3)&lt;&gt;"111",'152-CT'!$J$8=TH!F1984),"x","")</f>
        <v/>
      </c>
      <c r="AC1984" s="75" t="str">
        <f>IF(AND(OR(LEFT(TH!N1984,2)="15",LEFT(TH!O1984,2)="15"),TK!$E$7=TH!F1984),"x","")</f>
        <v/>
      </c>
      <c r="AD1984" s="75" t="str">
        <f>IF(AND(N1984="1521",MONTH(C1984)='BK-NL'!$M$11),"x","")</f>
        <v/>
      </c>
    </row>
    <row r="1985" spans="1:30" ht="16.5" customHeight="1">
      <c r="A1985" s="309" t="str">
        <f>IF(B1985&lt;&gt;"",IF(AND(B1985='IN-TC'!$S$4,OR(TH!N1985="1111",TH!O1985="1111")),TH!D1985,""),"")</f>
        <v/>
      </c>
      <c r="B1985" s="1242">
        <f t="shared" si="528"/>
        <v>9</v>
      </c>
      <c r="C1985" s="292">
        <f t="shared" si="530"/>
        <v>42999</v>
      </c>
      <c r="D1985" s="292" t="s">
        <v>2981</v>
      </c>
      <c r="E1985" s="292">
        <v>42999</v>
      </c>
      <c r="F1985" s="429" t="s">
        <v>566</v>
      </c>
      <c r="G1985" s="925"/>
      <c r="H1985" s="435" t="s">
        <v>769</v>
      </c>
      <c r="I1985" s="373">
        <v>26780</v>
      </c>
      <c r="J1985" s="379">
        <v>17500</v>
      </c>
      <c r="K1985" s="373"/>
      <c r="L1985" s="379"/>
      <c r="M1985" s="927">
        <f t="shared" si="531"/>
        <v>468650000</v>
      </c>
      <c r="N1985" s="295" t="s">
        <v>264</v>
      </c>
      <c r="O1985" s="295" t="s">
        <v>8</v>
      </c>
      <c r="P1985" s="75" t="str">
        <f>IF(AND('331-CT'!$E$7=TH!H1985,OR(N1985="331",O1985="331")),"x","")</f>
        <v/>
      </c>
      <c r="Q1985" s="75" t="str">
        <f>IF(AND(B1985='111'!$L$11,OR($N1985=$Q$7,$O1985=$Q$7)),"x","")</f>
        <v/>
      </c>
      <c r="R1985" s="75" t="str">
        <f>IF(AND($N1985=$Q$7,$B1985&lt;'111'!$L$11),"x","")</f>
        <v/>
      </c>
      <c r="S1985" s="75" t="str">
        <f>IF(AND($O1985=$Q$7,$B1985&lt;'111'!$L$11),"x","")</f>
        <v/>
      </c>
      <c r="T1985" s="75" t="str">
        <f>IF(ISERROR(FIND('112'!$M$9,G1985,1)),"",IF((AND(FIND('112'!$M$9,G1985,1)&gt;=1,B1985='112'!$K$9,OR($N1985='112'!$I$6,$O1985='112'!$I$6))),"x",""))</f>
        <v/>
      </c>
      <c r="U1985" s="75" t="str">
        <f>IF(ISERROR(FIND('112'!$M$9,G1985,1)),"",IF((AND(LEFT(G1985,2)=LEFT('112'!$M$9,2),B1985&lt;'112'!$K$9,$N1985='112'!$I$6)),"x",""))</f>
        <v/>
      </c>
      <c r="V1985" s="75" t="str">
        <f>IF(ISERROR(FIND('112'!$M$9,G1985,1)),"",IF((AND(RIGHT(G1985,2)=RIGHT('112'!$M$9,2),B1985&lt;'112'!$K$9,$O1985='112'!$I$6)),"x",""))</f>
        <v/>
      </c>
      <c r="W1985" s="75" t="str">
        <f>IF(AND('341-CT'!$H$9=H1985,OR(LEFT(N1985,3)=$W$7,LEFT(O1985,3)=$W$7)),"x","")</f>
        <v/>
      </c>
      <c r="X1985" s="75" t="str">
        <f>IF(OR(TH!N1985=TH!$X$7,O1985=TH!$X$7),"x","")</f>
        <v/>
      </c>
      <c r="Y1985" s="75" t="str">
        <f>IF(AND(OR(N1985="131",O1985="131"),H1985='131-CT'!$H$9),"x","")</f>
        <v/>
      </c>
      <c r="Z1985" s="75"/>
      <c r="AA1985" s="75" t="str">
        <f>IF(AND(MONTH(E1985)='IN-NX'!$J$5,'IN-NX'!$D$7=D1985),"x","")</f>
        <v/>
      </c>
      <c r="AB1985" s="75" t="str">
        <f>IF(AND(OR(LEFT(TH!N1985,2)="15",LEFT(TH!O1985,2)="15"),LEFT(TH!O1985,3)&lt;&gt;"111",'152-CT'!$J$8=TH!F1985),"x","")</f>
        <v/>
      </c>
      <c r="AC1985" s="75" t="str">
        <f>IF(AND(OR(LEFT(TH!N1985,2)="15",LEFT(TH!O1985,2)="15"),TK!$E$7=TH!F1985),"x","")</f>
        <v/>
      </c>
      <c r="AD1985" s="75" t="str">
        <f>IF(AND(N1985="1521",MONTH(C1985)='BK-NL'!$M$11),"x","")</f>
        <v/>
      </c>
    </row>
    <row r="1986" spans="1:30" ht="16.5" customHeight="1">
      <c r="A1986" s="309" t="str">
        <f>IF(B1986&lt;&gt;"",IF(AND(B1986='IN-TC'!$S$4,OR(TH!N1986="1111",TH!O1986="1111")),TH!D1986,""),"")</f>
        <v/>
      </c>
      <c r="B1986" s="1242">
        <f t="shared" si="528"/>
        <v>9</v>
      </c>
      <c r="C1986" s="292">
        <f t="shared" si="530"/>
        <v>42999</v>
      </c>
      <c r="D1986" s="292" t="s">
        <v>2983</v>
      </c>
      <c r="E1986" s="292">
        <v>42999</v>
      </c>
      <c r="F1986" s="429" t="s">
        <v>566</v>
      </c>
      <c r="G1986" s="925"/>
      <c r="H1986" s="429" t="s">
        <v>415</v>
      </c>
      <c r="I1986" s="373">
        <f>143750-SUM(I1982:I1985)</f>
        <v>27961</v>
      </c>
      <c r="J1986" s="379">
        <v>17500</v>
      </c>
      <c r="K1986" s="373"/>
      <c r="L1986" s="379"/>
      <c r="M1986" s="927">
        <f t="shared" si="531"/>
        <v>489317500</v>
      </c>
      <c r="N1986" s="295" t="s">
        <v>264</v>
      </c>
      <c r="O1986" s="295" t="s">
        <v>8</v>
      </c>
      <c r="P1986" s="75" t="str">
        <f>IF(AND('331-CT'!$E$7=TH!H1986,OR(N1986="331",O1986="331")),"x","")</f>
        <v/>
      </c>
      <c r="Q1986" s="75" t="str">
        <f>IF(AND(B1986='111'!$L$11,OR($N1986=$Q$7,$O1986=$Q$7)),"x","")</f>
        <v/>
      </c>
      <c r="R1986" s="75" t="str">
        <f>IF(AND($N1986=$Q$7,$B1986&lt;'111'!$L$11),"x","")</f>
        <v/>
      </c>
      <c r="S1986" s="75" t="str">
        <f>IF(AND($O1986=$Q$7,$B1986&lt;'111'!$L$11),"x","")</f>
        <v/>
      </c>
      <c r="T1986" s="75" t="str">
        <f>IF(ISERROR(FIND('112'!$M$9,G1986,1)),"",IF((AND(FIND('112'!$M$9,G1986,1)&gt;=1,B1986='112'!$K$9,OR($N1986='112'!$I$6,$O1986='112'!$I$6))),"x",""))</f>
        <v/>
      </c>
      <c r="U1986" s="75" t="str">
        <f>IF(ISERROR(FIND('112'!$M$9,G1986,1)),"",IF((AND(LEFT(G1986,2)=LEFT('112'!$M$9,2),B1986&lt;'112'!$K$9,$N1986='112'!$I$6)),"x",""))</f>
        <v/>
      </c>
      <c r="V1986" s="75" t="str">
        <f>IF(ISERROR(FIND('112'!$M$9,G1986,1)),"",IF((AND(RIGHT(G1986,2)=RIGHT('112'!$M$9,2),B1986&lt;'112'!$K$9,$O1986='112'!$I$6)),"x",""))</f>
        <v/>
      </c>
      <c r="W1986" s="75" t="str">
        <f>IF(AND('341-CT'!$H$9=H1986,OR(LEFT(N1986,3)=$W$7,LEFT(O1986,3)=$W$7)),"x","")</f>
        <v/>
      </c>
      <c r="X1986" s="75" t="str">
        <f>IF(OR(TH!N1986=TH!$X$7,O1986=TH!$X$7),"x","")</f>
        <v/>
      </c>
      <c r="Y1986" s="75" t="str">
        <f>IF(AND(OR(N1986="131",O1986="131"),H1986='131-CT'!$H$9),"x","")</f>
        <v/>
      </c>
      <c r="Z1986" s="75"/>
      <c r="AA1986" s="75" t="str">
        <f>IF(AND(MONTH(E1986)='IN-NX'!$J$5,'IN-NX'!$D$7=D1986),"x","")</f>
        <v/>
      </c>
      <c r="AB1986" s="75" t="str">
        <f>IF(AND(OR(LEFT(TH!N1986,2)="15",LEFT(TH!O1986,2)="15"),LEFT(TH!O1986,3)&lt;&gt;"111",'152-CT'!$J$8=TH!F1986),"x","")</f>
        <v/>
      </c>
      <c r="AC1986" s="75" t="str">
        <f>IF(AND(OR(LEFT(TH!N1986,2)="15",LEFT(TH!O1986,2)="15"),TK!$E$7=TH!F1986),"x","")</f>
        <v/>
      </c>
      <c r="AD1986" s="75" t="str">
        <f>IF(AND(N1986="1521",MONTH(C1986)='BK-NL'!$M$11),"x","")</f>
        <v/>
      </c>
    </row>
    <row r="1987" spans="1:30" ht="16.5" customHeight="1">
      <c r="A1987" s="309" t="str">
        <f>IF(B1987&lt;&gt;"",IF(AND(B1987='IN-TC'!$S$4,OR(TH!N1987="1111",TH!O1987="1111")),TH!D1987,""),"")</f>
        <v/>
      </c>
      <c r="B1987" s="1242">
        <f t="shared" si="528"/>
        <v>9</v>
      </c>
      <c r="C1987" s="929">
        <f t="shared" si="530"/>
        <v>43008</v>
      </c>
      <c r="D1987" s="929" t="s">
        <v>2956</v>
      </c>
      <c r="E1987" s="929">
        <v>43008</v>
      </c>
      <c r="F1987" s="1082" t="s">
        <v>771</v>
      </c>
      <c r="G1987" s="1031"/>
      <c r="H1987" s="1082" t="s">
        <v>424</v>
      </c>
      <c r="I1987" s="371">
        <v>712530</v>
      </c>
      <c r="J1987" s="377">
        <v>16500</v>
      </c>
      <c r="K1987" s="371"/>
      <c r="L1987" s="377"/>
      <c r="M1987" s="933">
        <f t="shared" si="531"/>
        <v>11756745000</v>
      </c>
      <c r="N1987" s="934" t="s">
        <v>272</v>
      </c>
      <c r="O1987" s="934" t="s">
        <v>264</v>
      </c>
      <c r="P1987" s="75" t="str">
        <f>IF(AND('331-CT'!$E$7=TH!H1987,OR(N1987="331",O1987="331")),"x","")</f>
        <v/>
      </c>
      <c r="Q1987" s="75" t="str">
        <f>IF(AND(B1987='111'!$L$11,OR($N1987=$Q$7,$O1987=$Q$7)),"x","")</f>
        <v/>
      </c>
      <c r="R1987" s="75" t="str">
        <f>IF(AND($N1987=$Q$7,$B1987&lt;'111'!$L$11),"x","")</f>
        <v/>
      </c>
      <c r="S1987" s="75" t="str">
        <f>IF(AND($O1987=$Q$7,$B1987&lt;'111'!$L$11),"x","")</f>
        <v/>
      </c>
      <c r="T1987" s="75" t="str">
        <f>IF(ISERROR(FIND('112'!$M$9,G1987,1)),"",IF((AND(FIND('112'!$M$9,G1987,1)&gt;=1,B1987='112'!$K$9,OR($N1987='112'!$I$6,$O1987='112'!$I$6))),"x",""))</f>
        <v/>
      </c>
      <c r="U1987" s="75" t="str">
        <f>IF(ISERROR(FIND('112'!$M$9,G1987,1)),"",IF((AND(LEFT(G1987,2)=LEFT('112'!$M$9,2),B1987&lt;'112'!$K$9,$N1987='112'!$I$6)),"x",""))</f>
        <v/>
      </c>
      <c r="V1987" s="75" t="str">
        <f>IF(ISERROR(FIND('112'!$M$9,G1987,1)),"",IF((AND(RIGHT(G1987,2)=RIGHT('112'!$M$9,2),B1987&lt;'112'!$K$9,$O1987='112'!$I$6)),"x",""))</f>
        <v/>
      </c>
      <c r="W1987" s="75" t="str">
        <f>IF(AND('341-CT'!$H$9=H1987,OR(LEFT(N1987,3)=$W$7,LEFT(O1987,3)=$W$7)),"x","")</f>
        <v/>
      </c>
      <c r="X1987" s="75" t="str">
        <f>IF(OR(TH!N1987=TH!$X$7,O1987=TH!$X$7),"x","")</f>
        <v/>
      </c>
      <c r="Y1987" s="75" t="str">
        <f>IF(AND(OR(N1987="131",O1987="131"),H1987='131-CT'!$H$9),"x","")</f>
        <v/>
      </c>
      <c r="Z1987" s="75"/>
      <c r="AA1987" s="75" t="str">
        <f>IF(AND(MONTH(E1987)='IN-NX'!$J$5,'IN-NX'!$D$7=D1987),"x","")</f>
        <v/>
      </c>
      <c r="AB1987" s="75" t="str">
        <f>IF(AND(OR(LEFT(TH!N1987,2)="15",LEFT(TH!O1987,2)="15"),LEFT(TH!O1987,3)&lt;&gt;"111",'152-CT'!$J$8=TH!F1987),"x","")</f>
        <v/>
      </c>
      <c r="AC1987" s="75" t="str">
        <f>IF(AND(OR(LEFT(TH!N1987,2)="15",LEFT(TH!O1987,2)="15"),TK!$E$7=TH!F1987),"x","")</f>
        <v/>
      </c>
      <c r="AD1987" s="75" t="str">
        <f>IF(AND(N1987="1521",MONTH(C1987)='BK-NL'!$M$11),"x","")</f>
        <v/>
      </c>
    </row>
    <row r="1988" spans="1:30" ht="16.5" customHeight="1">
      <c r="A1988" s="309" t="str">
        <f>IF(B1988&lt;&gt;"",IF(AND(B1988='IN-TC'!$S$4,OR(TH!N1988="1111",TH!O1988="1111")),TH!D1988,""),"")</f>
        <v/>
      </c>
      <c r="B1988" s="1242">
        <f t="shared" si="528"/>
        <v>9</v>
      </c>
      <c r="C1988" s="929">
        <f t="shared" si="530"/>
        <v>43008</v>
      </c>
      <c r="D1988" s="929" t="s">
        <v>2956</v>
      </c>
      <c r="E1988" s="929">
        <v>43008</v>
      </c>
      <c r="F1988" s="1082" t="s">
        <v>771</v>
      </c>
      <c r="G1988" s="1031"/>
      <c r="H1988" s="1082" t="s">
        <v>424</v>
      </c>
      <c r="I1988" s="371">
        <v>161841</v>
      </c>
      <c r="J1988" s="377">
        <v>18000</v>
      </c>
      <c r="K1988" s="371"/>
      <c r="L1988" s="377"/>
      <c r="M1988" s="933">
        <f t="shared" si="531"/>
        <v>2913138000</v>
      </c>
      <c r="N1988" s="934" t="s">
        <v>272</v>
      </c>
      <c r="O1988" s="934" t="s">
        <v>264</v>
      </c>
      <c r="P1988" s="75" t="str">
        <f>IF(AND('331-CT'!$E$7=TH!H1988,OR(N1988="331",O1988="331")),"x","")</f>
        <v/>
      </c>
      <c r="Q1988" s="75" t="str">
        <f>IF(AND(B1988='111'!$L$11,OR($N1988=$Q$7,$O1988=$Q$7)),"x","")</f>
        <v/>
      </c>
      <c r="R1988" s="75" t="str">
        <f>IF(AND($N1988=$Q$7,$B1988&lt;'111'!$L$11),"x","")</f>
        <v/>
      </c>
      <c r="S1988" s="75" t="str">
        <f>IF(AND($O1988=$Q$7,$B1988&lt;'111'!$L$11),"x","")</f>
        <v/>
      </c>
      <c r="T1988" s="75" t="str">
        <f>IF(ISERROR(FIND('112'!$M$9,G1988,1)),"",IF((AND(FIND('112'!$M$9,G1988,1)&gt;=1,B1988='112'!$K$9,OR($N1988='112'!$I$6,$O1988='112'!$I$6))),"x",""))</f>
        <v/>
      </c>
      <c r="U1988" s="75" t="str">
        <f>IF(ISERROR(FIND('112'!$M$9,G1988,1)),"",IF((AND(LEFT(G1988,2)=LEFT('112'!$M$9,2),B1988&lt;'112'!$K$9,$N1988='112'!$I$6)),"x",""))</f>
        <v/>
      </c>
      <c r="V1988" s="75" t="str">
        <f>IF(ISERROR(FIND('112'!$M$9,G1988,1)),"",IF((AND(RIGHT(G1988,2)=RIGHT('112'!$M$9,2),B1988&lt;'112'!$K$9,$O1988='112'!$I$6)),"x",""))</f>
        <v/>
      </c>
      <c r="W1988" s="75" t="str">
        <f>IF(AND('341-CT'!$H$9=H1988,OR(LEFT(N1988,3)=$W$7,LEFT(O1988,3)=$W$7)),"x","")</f>
        <v/>
      </c>
      <c r="X1988" s="75" t="str">
        <f>IF(OR(TH!N1988=TH!$X$7,O1988=TH!$X$7),"x","")</f>
        <v/>
      </c>
      <c r="Y1988" s="75" t="str">
        <f>IF(AND(OR(N1988="131",O1988="131"),H1988='131-CT'!$H$9),"x","")</f>
        <v/>
      </c>
      <c r="Z1988" s="75"/>
      <c r="AA1988" s="75" t="str">
        <f>IF(AND(MONTH(E1988)='IN-NX'!$J$5,'IN-NX'!$D$7=D1988),"x","")</f>
        <v/>
      </c>
      <c r="AB1988" s="75" t="str">
        <f>IF(AND(OR(LEFT(TH!N1988,2)="15",LEFT(TH!O1988,2)="15"),LEFT(TH!O1988,3)&lt;&gt;"111",'152-CT'!$J$8=TH!F1988),"x","")</f>
        <v/>
      </c>
      <c r="AC1988" s="75" t="str">
        <f>IF(AND(OR(LEFT(TH!N1988,2)="15",LEFT(TH!O1988,2)="15"),TK!$E$7=TH!F1988),"x","")</f>
        <v/>
      </c>
      <c r="AD1988" s="75" t="str">
        <f>IF(AND(N1988="1521",MONTH(C1988)='BK-NL'!$M$11),"x","")</f>
        <v/>
      </c>
    </row>
    <row r="1989" spans="1:30" ht="16.5" customHeight="1">
      <c r="A1989" s="309" t="str">
        <f>IF(B1989&lt;&gt;"",IF(AND(B1989='IN-TC'!$S$4,OR(TH!N1989="1111",TH!O1989="1111")),TH!D1989,""),"")</f>
        <v/>
      </c>
      <c r="B1989" s="1242">
        <f t="shared" ref="B1989:B1990" si="544">IF(C1989&lt;&gt;"",MONTH(C1989),"")</f>
        <v>9</v>
      </c>
      <c r="C1989" s="929">
        <f t="shared" ref="C1989:C1990" si="545">E1989</f>
        <v>43008</v>
      </c>
      <c r="D1989" s="929" t="s">
        <v>2956</v>
      </c>
      <c r="E1989" s="929">
        <v>43008</v>
      </c>
      <c r="F1989" s="1082" t="s">
        <v>566</v>
      </c>
      <c r="G1989" s="960"/>
      <c r="H1989" s="1082" t="s">
        <v>424</v>
      </c>
      <c r="I1989" s="371">
        <v>60260</v>
      </c>
      <c r="J1989" s="377">
        <v>18700</v>
      </c>
      <c r="K1989" s="371"/>
      <c r="L1989" s="377"/>
      <c r="M1989" s="933">
        <f t="shared" ref="M1989:M1990" si="546">ROUND(I1989*J1989,0)</f>
        <v>1126862000</v>
      </c>
      <c r="N1989" s="934" t="s">
        <v>272</v>
      </c>
      <c r="O1989" s="934" t="s">
        <v>264</v>
      </c>
      <c r="P1989" s="75" t="str">
        <f>IF(AND('331-CT'!$E$7=TH!H1989,OR(N1989="331",O1989="331")),"x","")</f>
        <v/>
      </c>
      <c r="Q1989" s="75" t="str">
        <f>IF(AND(B1989='111'!$L$11,OR($N1989=$Q$7,$O1989=$Q$7)),"x","")</f>
        <v/>
      </c>
      <c r="R1989" s="75" t="str">
        <f>IF(AND($N1989=$Q$7,$B1989&lt;'111'!$L$11),"x","")</f>
        <v/>
      </c>
      <c r="S1989" s="75" t="str">
        <f>IF(AND($O1989=$Q$7,$B1989&lt;'111'!$L$11),"x","")</f>
        <v/>
      </c>
      <c r="T1989" s="75" t="str">
        <f>IF(ISERROR(FIND('112'!$M$9,G1989,1)),"",IF((AND(FIND('112'!$M$9,G1989,1)&gt;=1,B1989='112'!$K$9,OR($N1989='112'!$I$6,$O1989='112'!$I$6))),"x",""))</f>
        <v/>
      </c>
      <c r="U1989" s="75" t="str">
        <f>IF(ISERROR(FIND('112'!$M$9,G1989,1)),"",IF((AND(LEFT(G1989,2)=LEFT('112'!$M$9,2),B1989&lt;'112'!$K$9,$N1989='112'!$I$6)),"x",""))</f>
        <v/>
      </c>
      <c r="V1989" s="75" t="str">
        <f>IF(ISERROR(FIND('112'!$M$9,G1989,1)),"",IF((AND(RIGHT(G1989,2)=RIGHT('112'!$M$9,2),B1989&lt;'112'!$K$9,$O1989='112'!$I$6)),"x",""))</f>
        <v/>
      </c>
      <c r="W1989" s="75" t="str">
        <f>IF(AND('341-CT'!$H$9=H1989,OR(LEFT(N1989,3)=$W$7,LEFT(O1989,3)=$W$7)),"x","")</f>
        <v/>
      </c>
      <c r="X1989" s="75" t="str">
        <f>IF(OR(TH!N1989=TH!$X$7,O1989=TH!$X$7),"x","")</f>
        <v/>
      </c>
      <c r="Y1989" s="75" t="str">
        <f>IF(AND(OR(N1989="131",O1989="131"),H1989='131-CT'!$H$9),"x","")</f>
        <v/>
      </c>
      <c r="Z1989" s="75"/>
      <c r="AA1989" s="75" t="str">
        <f>IF(AND(MONTH(E1989)='IN-NX'!$J$5,'IN-NX'!$D$7=D1989),"x","")</f>
        <v/>
      </c>
      <c r="AB1989" s="75" t="str">
        <f>IF(AND(OR(LEFT(TH!N1989,2)="15",LEFT(TH!O1989,2)="15"),LEFT(TH!O1989,3)&lt;&gt;"111",'152-CT'!$J$8=TH!F1989),"x","")</f>
        <v/>
      </c>
      <c r="AC1989" s="75" t="str">
        <f>IF(AND(OR(LEFT(TH!N1989,2)="15",LEFT(TH!O1989,2)="15"),TK!$E$7=TH!F1989),"x","")</f>
        <v/>
      </c>
      <c r="AD1989" s="75" t="str">
        <f>IF(AND(N1989="1521",MONTH(C1989)='BK-NL'!$M$11),"x","")</f>
        <v/>
      </c>
    </row>
    <row r="1990" spans="1:30" ht="16.5" customHeight="1">
      <c r="A1990" s="309" t="str">
        <f>IF(B1990&lt;&gt;"",IF(AND(B1990='IN-TC'!$S$4,OR(TH!N1990="1111",TH!O1990="1111")),TH!D1990,""),"")</f>
        <v/>
      </c>
      <c r="B1990" s="1242">
        <f t="shared" si="544"/>
        <v>9</v>
      </c>
      <c r="C1990" s="929">
        <f t="shared" si="545"/>
        <v>43008</v>
      </c>
      <c r="D1990" s="929" t="s">
        <v>2956</v>
      </c>
      <c r="E1990" s="929">
        <v>43008</v>
      </c>
      <c r="F1990" s="1082" t="s">
        <v>764</v>
      </c>
      <c r="G1990" s="960"/>
      <c r="H1990" s="1082" t="s">
        <v>424</v>
      </c>
      <c r="I1990" s="371">
        <v>64220</v>
      </c>
      <c r="J1990" s="377">
        <v>19500</v>
      </c>
      <c r="K1990" s="371"/>
      <c r="L1990" s="377"/>
      <c r="M1990" s="933">
        <f t="shared" si="546"/>
        <v>1252290000</v>
      </c>
      <c r="N1990" s="934" t="s">
        <v>272</v>
      </c>
      <c r="O1990" s="934" t="s">
        <v>264</v>
      </c>
      <c r="P1990" s="75" t="str">
        <f>IF(AND('331-CT'!$E$7=TH!H1990,OR(N1990="331",O1990="331")),"x","")</f>
        <v/>
      </c>
      <c r="Q1990" s="75" t="str">
        <f>IF(AND(B1990='111'!$L$11,OR($N1990=$Q$7,$O1990=$Q$7)),"x","")</f>
        <v/>
      </c>
      <c r="R1990" s="75" t="str">
        <f>IF(AND($N1990=$Q$7,$B1990&lt;'111'!$L$11),"x","")</f>
        <v/>
      </c>
      <c r="S1990" s="75" t="str">
        <f>IF(AND($O1990=$Q$7,$B1990&lt;'111'!$L$11),"x","")</f>
        <v/>
      </c>
      <c r="T1990" s="75" t="str">
        <f>IF(ISERROR(FIND('112'!$M$9,G1990,1)),"",IF((AND(FIND('112'!$M$9,G1990,1)&gt;=1,B1990='112'!$K$9,OR($N1990='112'!$I$6,$O1990='112'!$I$6))),"x",""))</f>
        <v/>
      </c>
      <c r="U1990" s="75" t="str">
        <f>IF(ISERROR(FIND('112'!$M$9,G1990,1)),"",IF((AND(LEFT(G1990,2)=LEFT('112'!$M$9,2),B1990&lt;'112'!$K$9,$N1990='112'!$I$6)),"x",""))</f>
        <v/>
      </c>
      <c r="V1990" s="75" t="str">
        <f>IF(ISERROR(FIND('112'!$M$9,G1990,1)),"",IF((AND(RIGHT(G1990,2)=RIGHT('112'!$M$9,2),B1990&lt;'112'!$K$9,$O1990='112'!$I$6)),"x",""))</f>
        <v/>
      </c>
      <c r="W1990" s="75" t="str">
        <f>IF(AND('341-CT'!$H$9=H1990,OR(LEFT(N1990,3)=$W$7,LEFT(O1990,3)=$W$7)),"x","")</f>
        <v/>
      </c>
      <c r="X1990" s="75" t="str">
        <f>IF(OR(TH!N1990=TH!$X$7,O1990=TH!$X$7),"x","")</f>
        <v/>
      </c>
      <c r="Y1990" s="75" t="str">
        <f>IF(AND(OR(N1990="131",O1990="131"),H1990='131-CT'!$H$9),"x","")</f>
        <v/>
      </c>
      <c r="Z1990" s="75"/>
      <c r="AA1990" s="75" t="str">
        <f>IF(AND(MONTH(E1990)='IN-NX'!$J$5,'IN-NX'!$D$7=D1990),"x","")</f>
        <v/>
      </c>
      <c r="AB1990" s="75" t="str">
        <f>IF(AND(OR(LEFT(TH!N1990,2)="15",LEFT(TH!O1990,2)="15"),LEFT(TH!O1990,3)&lt;&gt;"111",'152-CT'!$J$8=TH!F1990),"x","")</f>
        <v/>
      </c>
      <c r="AC1990" s="75" t="str">
        <f>IF(AND(OR(LEFT(TH!N1990,2)="15",LEFT(TH!O1990,2)="15"),TK!$E$7=TH!F1990),"x","")</f>
        <v/>
      </c>
      <c r="AD1990" s="75" t="str">
        <f>IF(AND(N1990="1521",MONTH(C1990)='BK-NL'!$M$11),"x","")</f>
        <v/>
      </c>
    </row>
    <row r="1991" spans="1:30" ht="16.5" customHeight="1">
      <c r="A1991" s="309" t="str">
        <f>IF(B1991&lt;&gt;"",IF(AND(B1991='IN-TC'!$S$4,OR(TH!N1991="1111",TH!O1991="1111")),TH!D1991,""),"")</f>
        <v/>
      </c>
      <c r="B1991" s="1242">
        <f t="shared" ref="B1991:B1992" si="547">IF(C1991&lt;&gt;"",MONTH(C1991),"")</f>
        <v>9</v>
      </c>
      <c r="C1991" s="929">
        <f t="shared" ref="C1991:C1992" si="548">E1991</f>
        <v>43008</v>
      </c>
      <c r="D1991" s="929" t="s">
        <v>2956</v>
      </c>
      <c r="E1991" s="929">
        <v>43008</v>
      </c>
      <c r="F1991" s="1082" t="s">
        <v>3002</v>
      </c>
      <c r="G1991" s="960"/>
      <c r="H1991" s="1082" t="s">
        <v>424</v>
      </c>
      <c r="I1991" s="371">
        <v>3500</v>
      </c>
      <c r="J1991" s="377">
        <v>37500</v>
      </c>
      <c r="K1991" s="371"/>
      <c r="L1991" s="377"/>
      <c r="M1991" s="933">
        <f t="shared" ref="M1991:M1992" si="549">ROUND(I1991*J1991,0)</f>
        <v>131250000</v>
      </c>
      <c r="N1991" s="934" t="s">
        <v>272</v>
      </c>
      <c r="O1991" s="934" t="s">
        <v>264</v>
      </c>
      <c r="P1991" s="75" t="str">
        <f>IF(AND('331-CT'!$E$7=TH!H1991,OR(N1991="331",O1991="331")),"x","")</f>
        <v/>
      </c>
      <c r="Q1991" s="75" t="str">
        <f>IF(AND(B1991='111'!$L$11,OR($N1991=$Q$7,$O1991=$Q$7)),"x","")</f>
        <v/>
      </c>
      <c r="R1991" s="75" t="str">
        <f>IF(AND($N1991=$Q$7,$B1991&lt;'111'!$L$11),"x","")</f>
        <v/>
      </c>
      <c r="S1991" s="75" t="str">
        <f>IF(AND($O1991=$Q$7,$B1991&lt;'111'!$L$11),"x","")</f>
        <v/>
      </c>
      <c r="T1991" s="75" t="str">
        <f>IF(ISERROR(FIND('112'!$M$9,G1991,1)),"",IF((AND(FIND('112'!$M$9,G1991,1)&gt;=1,B1991='112'!$K$9,OR($N1991='112'!$I$6,$O1991='112'!$I$6))),"x",""))</f>
        <v/>
      </c>
      <c r="U1991" s="75" t="str">
        <f>IF(ISERROR(FIND('112'!$M$9,G1991,1)),"",IF((AND(LEFT(G1991,2)=LEFT('112'!$M$9,2),B1991&lt;'112'!$K$9,$N1991='112'!$I$6)),"x",""))</f>
        <v/>
      </c>
      <c r="V1991" s="75" t="str">
        <f>IF(ISERROR(FIND('112'!$M$9,G1991,1)),"",IF((AND(RIGHT(G1991,2)=RIGHT('112'!$M$9,2),B1991&lt;'112'!$K$9,$O1991='112'!$I$6)),"x",""))</f>
        <v/>
      </c>
      <c r="W1991" s="75" t="str">
        <f>IF(AND('341-CT'!$H$9=H1991,OR(LEFT(N1991,3)=$W$7,LEFT(O1991,3)=$W$7)),"x","")</f>
        <v/>
      </c>
      <c r="X1991" s="75" t="str">
        <f>IF(OR(TH!N1991=TH!$X$7,O1991=TH!$X$7),"x","")</f>
        <v/>
      </c>
      <c r="Y1991" s="75" t="str">
        <f>IF(AND(OR(N1991="131",O1991="131"),H1991='131-CT'!$H$9),"x","")</f>
        <v/>
      </c>
      <c r="Z1991" s="75"/>
      <c r="AA1991" s="75" t="str">
        <f>IF(AND(MONTH(E1991)='IN-NX'!$J$5,'IN-NX'!$D$7=D1991),"x","")</f>
        <v/>
      </c>
      <c r="AB1991" s="75" t="str">
        <f>IF(AND(OR(LEFT(TH!N1991,2)="15",LEFT(TH!O1991,2)="15"),LEFT(TH!O1991,3)&lt;&gt;"111",'152-CT'!$J$8=TH!F1991),"x","")</f>
        <v/>
      </c>
      <c r="AC1991" s="75" t="str">
        <f>IF(AND(OR(LEFT(TH!N1991,2)="15",LEFT(TH!O1991,2)="15"),TK!$E$7=TH!F1991),"x","")</f>
        <v/>
      </c>
      <c r="AD1991" s="75" t="str">
        <f>IF(AND(N1991="1521",MONTH(C1991)='BK-NL'!$M$11),"x","")</f>
        <v/>
      </c>
    </row>
    <row r="1992" spans="1:30" ht="16.5" customHeight="1">
      <c r="A1992" s="309" t="str">
        <f>IF(B1992&lt;&gt;"",IF(AND(B1992='IN-TC'!$S$4,OR(TH!N1992="1111",TH!O1992="1111")),TH!D1992,""),"")</f>
        <v/>
      </c>
      <c r="B1992" s="1242">
        <f t="shared" si="547"/>
        <v>9</v>
      </c>
      <c r="C1992" s="929">
        <f t="shared" si="548"/>
        <v>43008</v>
      </c>
      <c r="D1992" s="929" t="s">
        <v>2956</v>
      </c>
      <c r="E1992" s="929">
        <v>43008</v>
      </c>
      <c r="F1992" s="1082" t="s">
        <v>763</v>
      </c>
      <c r="G1992" s="960"/>
      <c r="H1992" s="1082" t="s">
        <v>424</v>
      </c>
      <c r="I1992" s="371">
        <v>8910</v>
      </c>
      <c r="J1992" s="377">
        <v>38500</v>
      </c>
      <c r="K1992" s="371"/>
      <c r="L1992" s="377"/>
      <c r="M1992" s="933">
        <f t="shared" si="549"/>
        <v>343035000</v>
      </c>
      <c r="N1992" s="934" t="s">
        <v>272</v>
      </c>
      <c r="O1992" s="934" t="s">
        <v>264</v>
      </c>
      <c r="P1992" s="75" t="str">
        <f>IF(AND('331-CT'!$E$7=TH!H1992,OR(N1992="331",O1992="331")),"x","")</f>
        <v/>
      </c>
      <c r="Q1992" s="75" t="str">
        <f>IF(AND(B1992='111'!$L$11,OR($N1992=$Q$7,$O1992=$Q$7)),"x","")</f>
        <v/>
      </c>
      <c r="R1992" s="75" t="str">
        <f>IF(AND($N1992=$Q$7,$B1992&lt;'111'!$L$11),"x","")</f>
        <v/>
      </c>
      <c r="S1992" s="75" t="str">
        <f>IF(AND($O1992=$Q$7,$B1992&lt;'111'!$L$11),"x","")</f>
        <v/>
      </c>
      <c r="T1992" s="75" t="str">
        <f>IF(ISERROR(FIND('112'!$M$9,G1992,1)),"",IF((AND(FIND('112'!$M$9,G1992,1)&gt;=1,B1992='112'!$K$9,OR($N1992='112'!$I$6,$O1992='112'!$I$6))),"x",""))</f>
        <v/>
      </c>
      <c r="U1992" s="75" t="str">
        <f>IF(ISERROR(FIND('112'!$M$9,G1992,1)),"",IF((AND(LEFT(G1992,2)=LEFT('112'!$M$9,2),B1992&lt;'112'!$K$9,$N1992='112'!$I$6)),"x",""))</f>
        <v/>
      </c>
      <c r="V1992" s="75" t="str">
        <f>IF(ISERROR(FIND('112'!$M$9,G1992,1)),"",IF((AND(RIGHT(G1992,2)=RIGHT('112'!$M$9,2),B1992&lt;'112'!$K$9,$O1992='112'!$I$6)),"x",""))</f>
        <v/>
      </c>
      <c r="W1992" s="75" t="str">
        <f>IF(AND('341-CT'!$H$9=H1992,OR(LEFT(N1992,3)=$W$7,LEFT(O1992,3)=$W$7)),"x","")</f>
        <v/>
      </c>
      <c r="X1992" s="75" t="str">
        <f>IF(OR(TH!N1992=TH!$X$7,O1992=TH!$X$7),"x","")</f>
        <v/>
      </c>
      <c r="Y1992" s="75" t="str">
        <f>IF(AND(OR(N1992="131",O1992="131"),H1992='131-CT'!$H$9),"x","")</f>
        <v/>
      </c>
      <c r="Z1992" s="75"/>
      <c r="AA1992" s="75" t="str">
        <f>IF(AND(MONTH(E1992)='IN-NX'!$J$5,'IN-NX'!$D$7=D1992),"x","")</f>
        <v/>
      </c>
      <c r="AB1992" s="75" t="str">
        <f>IF(AND(OR(LEFT(TH!N1992,2)="15",LEFT(TH!O1992,2)="15"),LEFT(TH!O1992,3)&lt;&gt;"111",'152-CT'!$J$8=TH!F1992),"x","")</f>
        <v/>
      </c>
      <c r="AC1992" s="75" t="str">
        <f>IF(AND(OR(LEFT(TH!N1992,2)="15",LEFT(TH!O1992,2)="15"),TK!$E$7=TH!F1992),"x","")</f>
        <v/>
      </c>
      <c r="AD1992" s="75" t="str">
        <f>IF(AND(N1992="1521",MONTH(C1992)='BK-NL'!$M$11),"x","")</f>
        <v/>
      </c>
    </row>
    <row r="1993" spans="1:30" ht="16.5" customHeight="1">
      <c r="A1993" s="309" t="str">
        <f>IF(B1993&lt;&gt;"",IF(AND(B1993='IN-TC'!$S$4,OR(TH!N1993="1111",TH!O1993="1111")),TH!D1993,""),"")</f>
        <v/>
      </c>
      <c r="B1993" s="1242">
        <f t="shared" si="528"/>
        <v>9</v>
      </c>
      <c r="C1993" s="929">
        <f t="shared" si="530"/>
        <v>43008</v>
      </c>
      <c r="D1993" s="929" t="s">
        <v>2956</v>
      </c>
      <c r="E1993" s="929">
        <v>43008</v>
      </c>
      <c r="F1993" s="1082" t="s">
        <v>565</v>
      </c>
      <c r="G1993" s="960"/>
      <c r="H1993" s="1082" t="s">
        <v>424</v>
      </c>
      <c r="I1993" s="371">
        <v>20680</v>
      </c>
      <c r="J1993" s="377">
        <v>18200</v>
      </c>
      <c r="K1993" s="371"/>
      <c r="L1993" s="377"/>
      <c r="M1993" s="933">
        <f t="shared" si="531"/>
        <v>376376000</v>
      </c>
      <c r="N1993" s="934" t="s">
        <v>272</v>
      </c>
      <c r="O1993" s="934" t="s">
        <v>264</v>
      </c>
      <c r="P1993" s="75" t="str">
        <f>IF(AND('331-CT'!$E$7=TH!H1993,OR(N1993="331",O1993="331")),"x","")</f>
        <v/>
      </c>
      <c r="Q1993" s="75" t="str">
        <f>IF(AND(B1993='111'!$L$11,OR($N1993=$Q$7,$O1993=$Q$7)),"x","")</f>
        <v/>
      </c>
      <c r="R1993" s="75" t="str">
        <f>IF(AND($N1993=$Q$7,$B1993&lt;'111'!$L$11),"x","")</f>
        <v/>
      </c>
      <c r="S1993" s="75" t="str">
        <f>IF(AND($O1993=$Q$7,$B1993&lt;'111'!$L$11),"x","")</f>
        <v/>
      </c>
      <c r="T1993" s="75" t="str">
        <f>IF(ISERROR(FIND('112'!$M$9,G1993,1)),"",IF((AND(FIND('112'!$M$9,G1993,1)&gt;=1,B1993='112'!$K$9,OR($N1993='112'!$I$6,$O1993='112'!$I$6))),"x",""))</f>
        <v/>
      </c>
      <c r="U1993" s="75" t="str">
        <f>IF(ISERROR(FIND('112'!$M$9,G1993,1)),"",IF((AND(LEFT(G1993,2)=LEFT('112'!$M$9,2),B1993&lt;'112'!$K$9,$N1993='112'!$I$6)),"x",""))</f>
        <v/>
      </c>
      <c r="V1993" s="75" t="str">
        <f>IF(ISERROR(FIND('112'!$M$9,G1993,1)),"",IF((AND(RIGHT(G1993,2)=RIGHT('112'!$M$9,2),B1993&lt;'112'!$K$9,$O1993='112'!$I$6)),"x",""))</f>
        <v/>
      </c>
      <c r="W1993" s="75" t="str">
        <f>IF(AND('341-CT'!$H$9=H1993,OR(LEFT(N1993,3)=$W$7,LEFT(O1993,3)=$W$7)),"x","")</f>
        <v/>
      </c>
      <c r="X1993" s="75" t="str">
        <f>IF(OR(TH!N1993=TH!$X$7,O1993=TH!$X$7),"x","")</f>
        <v/>
      </c>
      <c r="Y1993" s="75" t="str">
        <f>IF(AND(OR(N1993="131",O1993="131"),H1993='131-CT'!$H$9),"x","")</f>
        <v/>
      </c>
      <c r="Z1993" s="75"/>
      <c r="AA1993" s="75" t="str">
        <f>IF(AND(MONTH(E1993)='IN-NX'!$J$5,'IN-NX'!$D$7=D1993),"x","")</f>
        <v/>
      </c>
      <c r="AB1993" s="75" t="str">
        <f>IF(AND(OR(LEFT(TH!N1993,2)="15",LEFT(TH!O1993,2)="15"),LEFT(TH!O1993,3)&lt;&gt;"111",'152-CT'!$J$8=TH!F1993),"x","")</f>
        <v/>
      </c>
      <c r="AC1993" s="75" t="str">
        <f>IF(AND(OR(LEFT(TH!N1993,2)="15",LEFT(TH!O1993,2)="15"),TK!$E$7=TH!F1993),"x","")</f>
        <v/>
      </c>
      <c r="AD1993" s="75" t="str">
        <f>IF(AND(N1993="1521",MONTH(C1993)='BK-NL'!$M$11),"x","")</f>
        <v/>
      </c>
    </row>
    <row r="1994" spans="1:30" ht="16.5" customHeight="1">
      <c r="A1994" s="309" t="str">
        <f>IF(B1994&lt;&gt;"",IF(AND(B1994='IN-TC'!$S$4,OR(TH!N1994="1111",TH!O1994="1111")),TH!D1994,""),"")</f>
        <v/>
      </c>
      <c r="B1994" s="1242">
        <f t="shared" si="528"/>
        <v>9</v>
      </c>
      <c r="C1994" s="929">
        <f t="shared" si="530"/>
        <v>43008</v>
      </c>
      <c r="D1994" s="929" t="s">
        <v>2956</v>
      </c>
      <c r="E1994" s="929">
        <v>43008</v>
      </c>
      <c r="F1994" s="1082" t="s">
        <v>566</v>
      </c>
      <c r="G1994" s="960"/>
      <c r="H1994" s="1082" t="s">
        <v>424</v>
      </c>
      <c r="I1994" s="371">
        <v>143750</v>
      </c>
      <c r="J1994" s="377">
        <v>17500</v>
      </c>
      <c r="K1994" s="371"/>
      <c r="L1994" s="377"/>
      <c r="M1994" s="933">
        <f t="shared" si="531"/>
        <v>2515625000</v>
      </c>
      <c r="N1994" s="934" t="s">
        <v>272</v>
      </c>
      <c r="O1994" s="934" t="s">
        <v>264</v>
      </c>
      <c r="P1994" s="75" t="str">
        <f>IF(AND('331-CT'!$E$7=TH!H1994,OR(N1994="331",O1994="331")),"x","")</f>
        <v/>
      </c>
      <c r="Q1994" s="75" t="str">
        <f>IF(AND(B1994='111'!$L$11,OR($N1994=$Q$7,$O1994=$Q$7)),"x","")</f>
        <v/>
      </c>
      <c r="R1994" s="75" t="str">
        <f>IF(AND($N1994=$Q$7,$B1994&lt;'111'!$L$11),"x","")</f>
        <v/>
      </c>
      <c r="S1994" s="75" t="str">
        <f>IF(AND($O1994=$Q$7,$B1994&lt;'111'!$L$11),"x","")</f>
        <v/>
      </c>
      <c r="T1994" s="75" t="str">
        <f>IF(ISERROR(FIND('112'!$M$9,G1994,1)),"",IF((AND(FIND('112'!$M$9,G1994,1)&gt;=1,B1994='112'!$K$9,OR($N1994='112'!$I$6,$O1994='112'!$I$6))),"x",""))</f>
        <v/>
      </c>
      <c r="U1994" s="75" t="str">
        <f>IF(ISERROR(FIND('112'!$M$9,G1994,1)),"",IF((AND(LEFT(G1994,2)=LEFT('112'!$M$9,2),B1994&lt;'112'!$K$9,$N1994='112'!$I$6)),"x",""))</f>
        <v/>
      </c>
      <c r="V1994" s="75" t="str">
        <f>IF(ISERROR(FIND('112'!$M$9,G1994,1)),"",IF((AND(RIGHT(G1994,2)=RIGHT('112'!$M$9,2),B1994&lt;'112'!$K$9,$O1994='112'!$I$6)),"x",""))</f>
        <v/>
      </c>
      <c r="W1994" s="75" t="str">
        <f>IF(AND('341-CT'!$H$9=H1994,OR(LEFT(N1994,3)=$W$7,LEFT(O1994,3)=$W$7)),"x","")</f>
        <v/>
      </c>
      <c r="X1994" s="75" t="str">
        <f>IF(OR(TH!N1994=TH!$X$7,O1994=TH!$X$7),"x","")</f>
        <v/>
      </c>
      <c r="Y1994" s="75" t="str">
        <f>IF(AND(OR(N1994="131",O1994="131"),H1994='131-CT'!$H$9),"x","")</f>
        <v/>
      </c>
      <c r="Z1994" s="75"/>
      <c r="AA1994" s="75" t="str">
        <f>IF(AND(MONTH(E1994)='IN-NX'!$J$5,'IN-NX'!$D$7=D1994),"x","")</f>
        <v/>
      </c>
      <c r="AB1994" s="75" t="str">
        <f>IF(AND(OR(LEFT(TH!N1994,2)="15",LEFT(TH!O1994,2)="15"),LEFT(TH!O1994,3)&lt;&gt;"111",'152-CT'!$J$8=TH!F1994),"x","")</f>
        <v/>
      </c>
      <c r="AC1994" s="75" t="str">
        <f>IF(AND(OR(LEFT(TH!N1994,2)="15",LEFT(TH!O1994,2)="15"),TK!$E$7=TH!F1994),"x","")</f>
        <v/>
      </c>
      <c r="AD1994" s="75" t="str">
        <f>IF(AND(N1994="1521",MONTH(C1994)='BK-NL'!$M$11),"x","")</f>
        <v/>
      </c>
    </row>
    <row r="1995" spans="1:30" s="1054" customFormat="1" ht="16.5" customHeight="1">
      <c r="A1995" s="309" t="str">
        <f>IF(B1995&lt;&gt;"",IF(AND(B1995='IN-TC'!$S$4,OR(TH!N1995="1111",TH!O1995="1111")),TH!D1995,""),"")</f>
        <v/>
      </c>
      <c r="B1995" s="1244">
        <f t="shared" ref="B1995" si="550">IF(C1995&lt;&gt;"",MONTH(C1995),"")</f>
        <v>10</v>
      </c>
      <c r="C1995" s="936">
        <v>43010</v>
      </c>
      <c r="D1995" s="936" t="s">
        <v>818</v>
      </c>
      <c r="E1995" s="936">
        <f t="shared" si="502"/>
        <v>43010</v>
      </c>
      <c r="F1995" s="958" t="s">
        <v>2399</v>
      </c>
      <c r="G1995" s="942" t="s">
        <v>2195</v>
      </c>
      <c r="H1995" s="946" t="s">
        <v>1859</v>
      </c>
      <c r="I1995" s="939">
        <v>79170</v>
      </c>
      <c r="J1995" s="939">
        <v>2</v>
      </c>
      <c r="K1995" s="939">
        <f t="shared" si="503"/>
        <v>158340</v>
      </c>
      <c r="L1995" s="938">
        <v>22695</v>
      </c>
      <c r="M1995" s="940">
        <f t="shared" ref="M1995:M2001" si="551">ROUND(K1995*L1995,0)</f>
        <v>3593526300</v>
      </c>
      <c r="N1995" s="941" t="s">
        <v>536</v>
      </c>
      <c r="O1995" s="941" t="s">
        <v>288</v>
      </c>
      <c r="P1995" s="75" t="str">
        <f>IF(AND('331-CT'!$E$7=TH!H1995,OR(N1995="331",O1995="331")),"x","")</f>
        <v/>
      </c>
      <c r="Q1995" s="75" t="str">
        <f>IF(AND(B1995='111'!$L$11,OR($N1995=$Q$7,$O1995=$Q$7)),"x","")</f>
        <v/>
      </c>
      <c r="R1995" s="75" t="str">
        <f>IF(AND($N1995=$Q$7,$B1995&lt;'111'!$L$11),"x","")</f>
        <v/>
      </c>
      <c r="S1995" s="75" t="str">
        <f>IF(AND($O1995=$Q$7,$B1995&lt;'111'!$L$11),"x","")</f>
        <v/>
      </c>
      <c r="T1995" s="75" t="str">
        <f>IF(ISERROR(FIND('112'!$M$9,G1995,1)),"",IF((AND(FIND('112'!$M$9,G1995,1)&gt;=1,B1995='112'!$K$9,OR($N1995='112'!$I$6,$O1995='112'!$I$6))),"x",""))</f>
        <v/>
      </c>
      <c r="U1995" s="75" t="str">
        <f>IF(ISERROR(FIND('112'!$M$9,G1995,1)),"",IF((AND(LEFT(G1995,2)=LEFT('112'!$M$9,2),B1995&lt;'112'!$K$9,$N1995='112'!$I$6)),"x",""))</f>
        <v/>
      </c>
      <c r="V1995" s="75" t="str">
        <f>IF(ISERROR(FIND('112'!$M$9,G1995,1)),"",IF((AND(RIGHT(G1995,2)=RIGHT('112'!$M$9,2),B1995&lt;'112'!$K$9,$O1995='112'!$I$6)),"x",""))</f>
        <v/>
      </c>
      <c r="W1995" s="75" t="str">
        <f>IF(AND('341-CT'!$H$9=H1995,OR(LEFT(N1995,3)=$W$7,LEFT(O1995,3)=$W$7)),"x","")</f>
        <v/>
      </c>
      <c r="X1995" s="75" t="str">
        <f>IF(OR(TH!N1995=TH!$X$7,O1995=TH!$X$7),"x","")</f>
        <v/>
      </c>
      <c r="Y1995" s="75" t="str">
        <f>IF(AND(OR(N1995="131",O1995="131"),H1995='131-CT'!$H$9),"x","")</f>
        <v/>
      </c>
      <c r="Z1995" s="75"/>
      <c r="AA1995" s="75" t="str">
        <f>IF(AND(MONTH(E1995)='IN-NX'!$J$5,'IN-NX'!$D$7=D1995),"x","")</f>
        <v/>
      </c>
      <c r="AB1995" s="75" t="str">
        <f>IF(AND(OR(LEFT(TH!N1995,2)="15",LEFT(TH!O1995,2)="15"),LEFT(TH!O1995,3)&lt;&gt;"111",'152-CT'!$J$8=TH!F1995),"x","")</f>
        <v/>
      </c>
      <c r="AC1995" s="75" t="str">
        <f>IF(AND(OR(LEFT(TH!N1995,2)="15",LEFT(TH!O1995,2)="15"),TK!$E$7=TH!F1995),"x","")</f>
        <v/>
      </c>
      <c r="AD1995" s="75" t="str">
        <f>IF(AND(N1995="1521",MONTH(C1995)='BK-NL'!$M$11),"x","")</f>
        <v/>
      </c>
    </row>
    <row r="1996" spans="1:30" ht="16.5" customHeight="1">
      <c r="A1996" s="309" t="str">
        <f>IF(B1996&lt;&gt;"",IF(AND(B1996='IN-TC'!$S$4,OR(TH!N1996="1111",TH!O1996="1111")),TH!D1996,""),"")</f>
        <v/>
      </c>
      <c r="B1996" s="1244">
        <f>IF(C1996&lt;&gt;"",MONTH(C1996),"")</f>
        <v>10</v>
      </c>
      <c r="C1996" s="252">
        <v>43010</v>
      </c>
      <c r="D1996" s="252" t="s">
        <v>819</v>
      </c>
      <c r="E1996" s="252">
        <f t="shared" ref="E1996" si="552">C1996</f>
        <v>43010</v>
      </c>
      <c r="F1996" s="1055" t="s">
        <v>2399</v>
      </c>
      <c r="G1996" s="1056" t="s">
        <v>2196</v>
      </c>
      <c r="H1996" s="735" t="s">
        <v>1859</v>
      </c>
      <c r="I1996" s="371">
        <v>79170</v>
      </c>
      <c r="J1996" s="371">
        <v>2</v>
      </c>
      <c r="K1996" s="371">
        <f t="shared" ref="K1996" si="553">I1996*J1996</f>
        <v>158340</v>
      </c>
      <c r="L1996" s="377">
        <v>22695</v>
      </c>
      <c r="M1996" s="933">
        <f t="shared" si="551"/>
        <v>3593526300</v>
      </c>
      <c r="N1996" s="977" t="s">
        <v>536</v>
      </c>
      <c r="O1996" s="977" t="s">
        <v>288</v>
      </c>
      <c r="P1996" s="75" t="str">
        <f>IF(AND('331-CT'!$E$7=TH!H1996,OR(N1996="331",O1996="331")),"x","")</f>
        <v/>
      </c>
      <c r="Q1996" s="75" t="str">
        <f>IF(AND(B1996='111'!$L$11,OR($N1996=$Q$7,$O1996=$Q$7)),"x","")</f>
        <v/>
      </c>
      <c r="R1996" s="75" t="str">
        <f>IF(AND($N1996=$Q$7,$B1996&lt;'111'!$L$11),"x","")</f>
        <v/>
      </c>
      <c r="S1996" s="75" t="str">
        <f>IF(AND($O1996=$Q$7,$B1996&lt;'111'!$L$11),"x","")</f>
        <v/>
      </c>
      <c r="T1996" s="75" t="str">
        <f>IF(ISERROR(FIND('112'!$M$9,G1996,1)),"",IF((AND(FIND('112'!$M$9,G1996,1)&gt;=1,B1996='112'!$K$9,OR($N1996='112'!$I$6,$O1996='112'!$I$6))),"x",""))</f>
        <v/>
      </c>
      <c r="U1996" s="75" t="str">
        <f>IF(ISERROR(FIND('112'!$M$9,G1996,1)),"",IF((AND(LEFT(G1996,2)=LEFT('112'!$M$9,2),B1996&lt;'112'!$K$9,$N1996='112'!$I$6)),"x",""))</f>
        <v/>
      </c>
      <c r="V1996" s="75" t="str">
        <f>IF(ISERROR(FIND('112'!$M$9,G1996,1)),"",IF((AND(RIGHT(G1996,2)=RIGHT('112'!$M$9,2),B1996&lt;'112'!$K$9,$O1996='112'!$I$6)),"x",""))</f>
        <v/>
      </c>
      <c r="W1996" s="75" t="str">
        <f>IF(AND('341-CT'!$H$9=H1996,OR(LEFT(N1996,3)=$W$7,LEFT(O1996,3)=$W$7)),"x","")</f>
        <v/>
      </c>
      <c r="X1996" s="75" t="str">
        <f>IF(OR(TH!N1996=TH!$X$7,O1996=TH!$X$7),"x","")</f>
        <v/>
      </c>
      <c r="Y1996" s="75" t="str">
        <f>IF(AND(OR(N1996="131",O1996="131"),H1996='131-CT'!$H$9),"x","")</f>
        <v/>
      </c>
      <c r="Z1996" s="75"/>
      <c r="AA1996" s="75" t="str">
        <f>IF(AND(MONTH(E1996)='IN-NX'!$J$5,'IN-NX'!$D$7=D1996),"x","")</f>
        <v/>
      </c>
      <c r="AB1996" s="75" t="str">
        <f>IF(AND(OR(LEFT(TH!N1996,2)="15",LEFT(TH!O1996,2)="15"),LEFT(TH!O1996,3)&lt;&gt;"111",'152-CT'!$J$8=TH!F1996),"x","")</f>
        <v/>
      </c>
      <c r="AC1996" s="75" t="str">
        <f>IF(AND(OR(LEFT(TH!N1996,2)="15",LEFT(TH!O1996,2)="15"),TK!$E$7=TH!F1996),"x","")</f>
        <v/>
      </c>
      <c r="AD1996" s="75" t="str">
        <f>IF(AND(N1996="1521",MONTH(C1996)='BK-NL'!$M$11),"x","")</f>
        <v/>
      </c>
    </row>
    <row r="1997" spans="1:30" ht="16.5" customHeight="1">
      <c r="A1997" s="309" t="str">
        <f>IF(B1997&lt;&gt;"",IF(AND(B1997='IN-TC'!$S$4,OR(TH!N1997="1111",TH!O1997="1111")),TH!D1997,""),"")</f>
        <v/>
      </c>
      <c r="B1997" s="1244">
        <f t="shared" ref="B1997:B2011" si="554">IF(C1997&lt;&gt;"",MONTH(C1997),"")</f>
        <v>10</v>
      </c>
      <c r="C1997" s="252">
        <v>43010</v>
      </c>
      <c r="D1997" s="252" t="s">
        <v>836</v>
      </c>
      <c r="E1997" s="252">
        <f t="shared" ref="E1997:E2011" si="555">C1997</f>
        <v>43010</v>
      </c>
      <c r="F1997" s="1055" t="s">
        <v>429</v>
      </c>
      <c r="G1997" s="1056" t="s">
        <v>2194</v>
      </c>
      <c r="H1997" s="735" t="s">
        <v>759</v>
      </c>
      <c r="I1997" s="371">
        <v>158340</v>
      </c>
      <c r="J1997" s="371">
        <v>2.4500000000000002</v>
      </c>
      <c r="K1997" s="371">
        <f t="shared" ref="K1997:K2011" si="556">I1997*J1997</f>
        <v>387933</v>
      </c>
      <c r="L1997" s="377">
        <v>22695</v>
      </c>
      <c r="M1997" s="933">
        <f t="shared" si="551"/>
        <v>8804139435</v>
      </c>
      <c r="N1997" s="977" t="s">
        <v>536</v>
      </c>
      <c r="O1997" s="977" t="s">
        <v>288</v>
      </c>
      <c r="P1997" s="75" t="str">
        <f>IF(AND('331-CT'!$E$7=TH!H1997,OR(N1997="331",O1997="331")),"x","")</f>
        <v/>
      </c>
      <c r="Q1997" s="75" t="str">
        <f>IF(AND(B1997='111'!$L$11,OR($N1997=$Q$7,$O1997=$Q$7)),"x","")</f>
        <v/>
      </c>
      <c r="R1997" s="75" t="str">
        <f>IF(AND($N1997=$Q$7,$B1997&lt;'111'!$L$11),"x","")</f>
        <v/>
      </c>
      <c r="S1997" s="75" t="str">
        <f>IF(AND($O1997=$Q$7,$B1997&lt;'111'!$L$11),"x","")</f>
        <v/>
      </c>
      <c r="T1997" s="75" t="str">
        <f>IF(ISERROR(FIND('112'!$M$9,G1997,1)),"",IF((AND(FIND('112'!$M$9,G1997,1)&gt;=1,B1997='112'!$K$9,OR($N1997='112'!$I$6,$O1997='112'!$I$6))),"x",""))</f>
        <v/>
      </c>
      <c r="U1997" s="75" t="str">
        <f>IF(ISERROR(FIND('112'!$M$9,G1997,1)),"",IF((AND(LEFT(G1997,2)=LEFT('112'!$M$9,2),B1997&lt;'112'!$K$9,$N1997='112'!$I$6)),"x",""))</f>
        <v/>
      </c>
      <c r="V1997" s="75" t="str">
        <f>IF(ISERROR(FIND('112'!$M$9,G1997,1)),"",IF((AND(RIGHT(G1997,2)=RIGHT('112'!$M$9,2),B1997&lt;'112'!$K$9,$O1997='112'!$I$6)),"x",""))</f>
        <v/>
      </c>
      <c r="W1997" s="75" t="str">
        <f>IF(AND('341-CT'!$H$9=H1997,OR(LEFT(N1997,3)=$W$7,LEFT(O1997,3)=$W$7)),"x","")</f>
        <v/>
      </c>
      <c r="X1997" s="75" t="str">
        <f>IF(OR(TH!N1997=TH!$X$7,O1997=TH!$X$7),"x","")</f>
        <v/>
      </c>
      <c r="Y1997" s="75" t="str">
        <f>IF(AND(OR(N1997="131",O1997="131"),H1997='131-CT'!$H$9),"x","")</f>
        <v/>
      </c>
      <c r="Z1997" s="75"/>
      <c r="AA1997" s="75" t="str">
        <f>IF(AND(MONTH(E1997)='IN-NX'!$J$5,'IN-NX'!$D$7=D1997),"x","")</f>
        <v/>
      </c>
      <c r="AB1997" s="75" t="str">
        <f>IF(AND(OR(LEFT(TH!N1997,2)="15",LEFT(TH!O1997,2)="15"),LEFT(TH!O1997,3)&lt;&gt;"111",'152-CT'!$J$8=TH!F1997),"x","")</f>
        <v/>
      </c>
      <c r="AC1997" s="75" t="str">
        <f>IF(AND(OR(LEFT(TH!N1997,2)="15",LEFT(TH!O1997,2)="15"),TK!$E$7=TH!F1997),"x","")</f>
        <v/>
      </c>
      <c r="AD1997" s="75" t="str">
        <f>IF(AND(N1997="1521",MONTH(C1997)='BK-NL'!$M$11),"x","")</f>
        <v/>
      </c>
    </row>
    <row r="1998" spans="1:30" ht="16.5" customHeight="1">
      <c r="A1998" s="309" t="str">
        <f>IF(B1998&lt;&gt;"",IF(AND(B1998='IN-TC'!$S$4,OR(TH!N1998="1111",TH!O1998="1111")),TH!D1998,""),"")</f>
        <v/>
      </c>
      <c r="B1998" s="1244">
        <f t="shared" si="554"/>
        <v>10</v>
      </c>
      <c r="C1998" s="252">
        <v>43010</v>
      </c>
      <c r="D1998" s="252" t="s">
        <v>838</v>
      </c>
      <c r="E1998" s="252">
        <f t="shared" si="555"/>
        <v>43010</v>
      </c>
      <c r="F1998" s="1055" t="s">
        <v>429</v>
      </c>
      <c r="G1998" s="1056" t="s">
        <v>2345</v>
      </c>
      <c r="H1998" s="735" t="s">
        <v>759</v>
      </c>
      <c r="I1998" s="371">
        <v>158340</v>
      </c>
      <c r="J1998" s="371">
        <v>2.4500000000000002</v>
      </c>
      <c r="K1998" s="371">
        <f t="shared" si="556"/>
        <v>387933</v>
      </c>
      <c r="L1998" s="377">
        <v>22695</v>
      </c>
      <c r="M1998" s="933">
        <f t="shared" si="551"/>
        <v>8804139435</v>
      </c>
      <c r="N1998" s="977" t="s">
        <v>536</v>
      </c>
      <c r="O1998" s="977" t="s">
        <v>288</v>
      </c>
      <c r="P1998" s="75" t="str">
        <f>IF(AND('331-CT'!$E$7=TH!H1998,OR(N1998="331",O1998="331")),"x","")</f>
        <v/>
      </c>
      <c r="Q1998" s="75" t="str">
        <f>IF(AND(B1998='111'!$L$11,OR($N1998=$Q$7,$O1998=$Q$7)),"x","")</f>
        <v/>
      </c>
      <c r="R1998" s="75" t="str">
        <f>IF(AND($N1998=$Q$7,$B1998&lt;'111'!$L$11),"x","")</f>
        <v/>
      </c>
      <c r="S1998" s="75" t="str">
        <f>IF(AND($O1998=$Q$7,$B1998&lt;'111'!$L$11),"x","")</f>
        <v/>
      </c>
      <c r="T1998" s="75" t="str">
        <f>IF(ISERROR(FIND('112'!$M$9,G1998,1)),"",IF((AND(FIND('112'!$M$9,G1998,1)&gt;=1,B1998='112'!$K$9,OR($N1998='112'!$I$6,$O1998='112'!$I$6))),"x",""))</f>
        <v/>
      </c>
      <c r="U1998" s="75" t="str">
        <f>IF(ISERROR(FIND('112'!$M$9,G1998,1)),"",IF((AND(LEFT(G1998,2)=LEFT('112'!$M$9,2),B1998&lt;'112'!$K$9,$N1998='112'!$I$6)),"x",""))</f>
        <v/>
      </c>
      <c r="V1998" s="75" t="str">
        <f>IF(ISERROR(FIND('112'!$M$9,G1998,1)),"",IF((AND(RIGHT(G1998,2)=RIGHT('112'!$M$9,2),B1998&lt;'112'!$K$9,$O1998='112'!$I$6)),"x",""))</f>
        <v/>
      </c>
      <c r="W1998" s="75" t="str">
        <f>IF(AND('341-CT'!$H$9=H1998,OR(LEFT(N1998,3)=$W$7,LEFT(O1998,3)=$W$7)),"x","")</f>
        <v/>
      </c>
      <c r="X1998" s="75" t="str">
        <f>IF(OR(TH!N1998=TH!$X$7,O1998=TH!$X$7),"x","")</f>
        <v/>
      </c>
      <c r="Y1998" s="75" t="str">
        <f>IF(AND(OR(N1998="131",O1998="131"),H1998='131-CT'!$H$9),"x","")</f>
        <v/>
      </c>
      <c r="Z1998" s="75"/>
      <c r="AA1998" s="75" t="str">
        <f>IF(AND(MONTH(E1998)='IN-NX'!$J$5,'IN-NX'!$D$7=D1998),"x","")</f>
        <v/>
      </c>
      <c r="AB1998" s="75" t="str">
        <f>IF(AND(OR(LEFT(TH!N1998,2)="15",LEFT(TH!O1998,2)="15"),LEFT(TH!O1998,3)&lt;&gt;"111",'152-CT'!$J$8=TH!F1998),"x","")</f>
        <v/>
      </c>
      <c r="AC1998" s="75" t="str">
        <f>IF(AND(OR(LEFT(TH!N1998,2)="15",LEFT(TH!O1998,2)="15"),TK!$E$7=TH!F1998),"x","")</f>
        <v/>
      </c>
      <c r="AD1998" s="75" t="str">
        <f>IF(AND(N1998="1521",MONTH(C1998)='BK-NL'!$M$11),"x","")</f>
        <v/>
      </c>
    </row>
    <row r="1999" spans="1:30" ht="16.5" customHeight="1">
      <c r="A1999" s="309" t="str">
        <f>IF(B1999&lt;&gt;"",IF(AND(B1999='IN-TC'!$S$4,OR(TH!N1999="1111",TH!O1999="1111")),TH!D1999,""),"")</f>
        <v/>
      </c>
      <c r="B1999" s="1244">
        <f t="shared" si="554"/>
        <v>10</v>
      </c>
      <c r="C1999" s="252">
        <v>43014</v>
      </c>
      <c r="D1999" s="252" t="s">
        <v>863</v>
      </c>
      <c r="E1999" s="252">
        <f t="shared" si="555"/>
        <v>43014</v>
      </c>
      <c r="F1999" s="1055" t="s">
        <v>1584</v>
      </c>
      <c r="G1999" s="1056" t="s">
        <v>2346</v>
      </c>
      <c r="H1999" s="735" t="s">
        <v>546</v>
      </c>
      <c r="I1999" s="371">
        <v>2880</v>
      </c>
      <c r="J1999" s="371">
        <v>9.1999999999999993</v>
      </c>
      <c r="K1999" s="371">
        <f t="shared" si="556"/>
        <v>26495.999999999996</v>
      </c>
      <c r="L1999" s="377">
        <v>22695</v>
      </c>
      <c r="M1999" s="933">
        <f t="shared" si="551"/>
        <v>601326720</v>
      </c>
      <c r="N1999" s="977" t="s">
        <v>536</v>
      </c>
      <c r="O1999" s="977" t="s">
        <v>288</v>
      </c>
      <c r="P1999" s="75" t="str">
        <f>IF(AND('331-CT'!$E$7=TH!H1999,OR(N1999="331",O1999="331")),"x","")</f>
        <v/>
      </c>
      <c r="Q1999" s="75" t="str">
        <f>IF(AND(B1999='111'!$L$11,OR($N1999=$Q$7,$O1999=$Q$7)),"x","")</f>
        <v/>
      </c>
      <c r="R1999" s="75" t="str">
        <f>IF(AND($N1999=$Q$7,$B1999&lt;'111'!$L$11),"x","")</f>
        <v/>
      </c>
      <c r="S1999" s="75" t="str">
        <f>IF(AND($O1999=$Q$7,$B1999&lt;'111'!$L$11),"x","")</f>
        <v/>
      </c>
      <c r="T1999" s="75" t="str">
        <f>IF(ISERROR(FIND('112'!$M$9,G1999,1)),"",IF((AND(FIND('112'!$M$9,G1999,1)&gt;=1,B1999='112'!$K$9,OR($N1999='112'!$I$6,$O1999='112'!$I$6))),"x",""))</f>
        <v/>
      </c>
      <c r="U1999" s="75" t="str">
        <f>IF(ISERROR(FIND('112'!$M$9,G1999,1)),"",IF((AND(LEFT(G1999,2)=LEFT('112'!$M$9,2),B1999&lt;'112'!$K$9,$N1999='112'!$I$6)),"x",""))</f>
        <v/>
      </c>
      <c r="V1999" s="75" t="str">
        <f>IF(ISERROR(FIND('112'!$M$9,G1999,1)),"",IF((AND(RIGHT(G1999,2)=RIGHT('112'!$M$9,2),B1999&lt;'112'!$K$9,$O1999='112'!$I$6)),"x",""))</f>
        <v/>
      </c>
      <c r="W1999" s="75" t="str">
        <f>IF(AND('341-CT'!$H$9=H1999,OR(LEFT(N1999,3)=$W$7,LEFT(O1999,3)=$W$7)),"x","")</f>
        <v/>
      </c>
      <c r="X1999" s="75" t="str">
        <f>IF(OR(TH!N1999=TH!$X$7,O1999=TH!$X$7),"x","")</f>
        <v/>
      </c>
      <c r="Y1999" s="75" t="str">
        <f>IF(AND(OR(N1999="131",O1999="131"),H1999='131-CT'!$H$9),"x","")</f>
        <v/>
      </c>
      <c r="Z1999" s="75"/>
      <c r="AA1999" s="75" t="str">
        <f>IF(AND(MONTH(E1999)='IN-NX'!$J$5,'IN-NX'!$D$7=D1999),"x","")</f>
        <v/>
      </c>
      <c r="AB1999" s="75" t="str">
        <f>IF(AND(OR(LEFT(TH!N1999,2)="15",LEFT(TH!O1999,2)="15"),LEFT(TH!O1999,3)&lt;&gt;"111",'152-CT'!$J$8=TH!F1999),"x","")</f>
        <v/>
      </c>
      <c r="AC1999" s="75" t="str">
        <f>IF(AND(OR(LEFT(TH!N1999,2)="15",LEFT(TH!O1999,2)="15"),TK!$E$7=TH!F1999),"x","")</f>
        <v/>
      </c>
      <c r="AD1999" s="75" t="str">
        <f>IF(AND(N1999="1521",MONTH(C1999)='BK-NL'!$M$11),"x","")</f>
        <v/>
      </c>
    </row>
    <row r="2000" spans="1:30" ht="16.5" customHeight="1">
      <c r="A2000" s="309" t="str">
        <f>IF(B2000&lt;&gt;"",IF(AND(B2000='IN-TC'!$S$4,OR(TH!N2000="1111",TH!O2000="1111")),TH!D2000,""),"")</f>
        <v/>
      </c>
      <c r="B2000" s="1244">
        <f t="shared" si="554"/>
        <v>10</v>
      </c>
      <c r="C2000" s="252">
        <v>43017</v>
      </c>
      <c r="D2000" s="252" t="s">
        <v>864</v>
      </c>
      <c r="E2000" s="252">
        <f t="shared" si="555"/>
        <v>43017</v>
      </c>
      <c r="F2000" s="1055" t="s">
        <v>429</v>
      </c>
      <c r="G2000" s="1056" t="s">
        <v>2347</v>
      </c>
      <c r="H2000" s="735" t="s">
        <v>759</v>
      </c>
      <c r="I2000" s="371">
        <v>158340</v>
      </c>
      <c r="J2000" s="371">
        <v>2.2799999999999998</v>
      </c>
      <c r="K2000" s="371">
        <f t="shared" si="556"/>
        <v>361015.19999999995</v>
      </c>
      <c r="L2000" s="377">
        <v>22695</v>
      </c>
      <c r="M2000" s="933">
        <f t="shared" si="551"/>
        <v>8193239964</v>
      </c>
      <c r="N2000" s="977" t="s">
        <v>536</v>
      </c>
      <c r="O2000" s="977" t="s">
        <v>288</v>
      </c>
      <c r="P2000" s="75" t="str">
        <f>IF(AND('331-CT'!$E$7=TH!H2000,OR(N2000="331",O2000="331")),"x","")</f>
        <v/>
      </c>
      <c r="Q2000" s="75" t="str">
        <f>IF(AND(B2000='111'!$L$11,OR($N2000=$Q$7,$O2000=$Q$7)),"x","")</f>
        <v/>
      </c>
      <c r="R2000" s="75" t="str">
        <f>IF(AND($N2000=$Q$7,$B2000&lt;'111'!$L$11),"x","")</f>
        <v/>
      </c>
      <c r="S2000" s="75" t="str">
        <f>IF(AND($O2000=$Q$7,$B2000&lt;'111'!$L$11),"x","")</f>
        <v/>
      </c>
      <c r="T2000" s="75" t="str">
        <f>IF(ISERROR(FIND('112'!$M$9,G2000,1)),"",IF((AND(FIND('112'!$M$9,G2000,1)&gt;=1,B2000='112'!$K$9,OR($N2000='112'!$I$6,$O2000='112'!$I$6))),"x",""))</f>
        <v/>
      </c>
      <c r="U2000" s="75" t="str">
        <f>IF(ISERROR(FIND('112'!$M$9,G2000,1)),"",IF((AND(LEFT(G2000,2)=LEFT('112'!$M$9,2),B2000&lt;'112'!$K$9,$N2000='112'!$I$6)),"x",""))</f>
        <v/>
      </c>
      <c r="V2000" s="75" t="str">
        <f>IF(ISERROR(FIND('112'!$M$9,G2000,1)),"",IF((AND(RIGHT(G2000,2)=RIGHT('112'!$M$9,2),B2000&lt;'112'!$K$9,$O2000='112'!$I$6)),"x",""))</f>
        <v/>
      </c>
      <c r="W2000" s="75" t="str">
        <f>IF(AND('341-CT'!$H$9=H2000,OR(LEFT(N2000,3)=$W$7,LEFT(O2000,3)=$W$7)),"x","")</f>
        <v/>
      </c>
      <c r="X2000" s="75" t="str">
        <f>IF(OR(TH!N2000=TH!$X$7,O2000=TH!$X$7),"x","")</f>
        <v/>
      </c>
      <c r="Y2000" s="75" t="str">
        <f>IF(AND(OR(N2000="131",O2000="131"),H2000='131-CT'!$H$9),"x","")</f>
        <v/>
      </c>
      <c r="Z2000" s="75"/>
      <c r="AA2000" s="75" t="str">
        <f>IF(AND(MONTH(E2000)='IN-NX'!$J$5,'IN-NX'!$D$7=D2000),"x","")</f>
        <v/>
      </c>
      <c r="AB2000" s="75" t="str">
        <f>IF(AND(OR(LEFT(TH!N2000,2)="15",LEFT(TH!O2000,2)="15"),LEFT(TH!O2000,3)&lt;&gt;"111",'152-CT'!$J$8=TH!F2000),"x","")</f>
        <v/>
      </c>
      <c r="AC2000" s="75" t="str">
        <f>IF(AND(OR(LEFT(TH!N2000,2)="15",LEFT(TH!O2000,2)="15"),TK!$E$7=TH!F2000),"x","")</f>
        <v/>
      </c>
      <c r="AD2000" s="75" t="str">
        <f>IF(AND(N2000="1521",MONTH(C2000)='BK-NL'!$M$11),"x","")</f>
        <v/>
      </c>
    </row>
    <row r="2001" spans="1:32" ht="16.5" customHeight="1">
      <c r="A2001" s="309" t="str">
        <f>IF(B2001&lt;&gt;"",IF(AND(B2001='IN-TC'!$S$4,OR(TH!N2001="1111",TH!O2001="1111")),TH!D2001,""),"")</f>
        <v/>
      </c>
      <c r="B2001" s="1244">
        <f t="shared" si="554"/>
        <v>10</v>
      </c>
      <c r="C2001" s="252">
        <v>43017</v>
      </c>
      <c r="D2001" s="252" t="s">
        <v>894</v>
      </c>
      <c r="E2001" s="252">
        <f t="shared" si="555"/>
        <v>43017</v>
      </c>
      <c r="F2001" s="1055" t="s">
        <v>429</v>
      </c>
      <c r="G2001" s="1056" t="s">
        <v>2348</v>
      </c>
      <c r="H2001" s="735" t="s">
        <v>759</v>
      </c>
      <c r="I2001" s="371">
        <v>158340</v>
      </c>
      <c r="J2001" s="371">
        <v>2.2799999999999998</v>
      </c>
      <c r="K2001" s="371">
        <f t="shared" si="556"/>
        <v>361015.19999999995</v>
      </c>
      <c r="L2001" s="377">
        <v>22695</v>
      </c>
      <c r="M2001" s="933">
        <f t="shared" si="551"/>
        <v>8193239964</v>
      </c>
      <c r="N2001" s="977" t="s">
        <v>536</v>
      </c>
      <c r="O2001" s="977" t="s">
        <v>288</v>
      </c>
      <c r="P2001" s="75" t="str">
        <f>IF(AND('331-CT'!$E$7=TH!H2001,OR(N2001="331",O2001="331")),"x","")</f>
        <v/>
      </c>
      <c r="Q2001" s="75" t="str">
        <f>IF(AND(B2001='111'!$L$11,OR($N2001=$Q$7,$O2001=$Q$7)),"x","")</f>
        <v/>
      </c>
      <c r="R2001" s="75" t="str">
        <f>IF(AND($N2001=$Q$7,$B2001&lt;'111'!$L$11),"x","")</f>
        <v/>
      </c>
      <c r="S2001" s="75" t="str">
        <f>IF(AND($O2001=$Q$7,$B2001&lt;'111'!$L$11),"x","")</f>
        <v/>
      </c>
      <c r="T2001" s="75" t="str">
        <f>IF(ISERROR(FIND('112'!$M$9,G2001,1)),"",IF((AND(FIND('112'!$M$9,G2001,1)&gt;=1,B2001='112'!$K$9,OR($N2001='112'!$I$6,$O2001='112'!$I$6))),"x",""))</f>
        <v/>
      </c>
      <c r="U2001" s="75" t="str">
        <f>IF(ISERROR(FIND('112'!$M$9,G2001,1)),"",IF((AND(LEFT(G2001,2)=LEFT('112'!$M$9,2),B2001&lt;'112'!$K$9,$N2001='112'!$I$6)),"x",""))</f>
        <v/>
      </c>
      <c r="V2001" s="75" t="str">
        <f>IF(ISERROR(FIND('112'!$M$9,G2001,1)),"",IF((AND(RIGHT(G2001,2)=RIGHT('112'!$M$9,2),B2001&lt;'112'!$K$9,$O2001='112'!$I$6)),"x",""))</f>
        <v/>
      </c>
      <c r="W2001" s="75" t="str">
        <f>IF(AND('341-CT'!$H$9=H2001,OR(LEFT(N2001,3)=$W$7,LEFT(O2001,3)=$W$7)),"x","")</f>
        <v/>
      </c>
      <c r="X2001" s="75" t="str">
        <f>IF(OR(TH!N2001=TH!$X$7,O2001=TH!$X$7),"x","")</f>
        <v/>
      </c>
      <c r="Y2001" s="75" t="str">
        <f>IF(AND(OR(N2001="131",O2001="131"),H2001='131-CT'!$H$9),"x","")</f>
        <v/>
      </c>
      <c r="Z2001" s="75"/>
      <c r="AA2001" s="75" t="str">
        <f>IF(AND(MONTH(E2001)='IN-NX'!$J$5,'IN-NX'!$D$7=D2001),"x","")</f>
        <v/>
      </c>
      <c r="AB2001" s="75" t="str">
        <f>IF(AND(OR(LEFT(TH!N2001,2)="15",LEFT(TH!O2001,2)="15"),LEFT(TH!O2001,3)&lt;&gt;"111",'152-CT'!$J$8=TH!F2001),"x","")</f>
        <v/>
      </c>
      <c r="AC2001" s="75" t="str">
        <f>IF(AND(OR(LEFT(TH!N2001,2)="15",LEFT(TH!O2001,2)="15"),TK!$E$7=TH!F2001),"x","")</f>
        <v/>
      </c>
      <c r="AD2001" s="75" t="str">
        <f>IF(AND(N2001="1521",MONTH(C2001)='BK-NL'!$M$11),"x","")</f>
        <v/>
      </c>
    </row>
    <row r="2002" spans="1:32" ht="16.5" customHeight="1">
      <c r="A2002" s="309" t="str">
        <f>IF(B2002&lt;&gt;"",IF(AND(B2002='IN-TC'!$S$4,OR(TH!N2002="1111",TH!O2002="1111")),TH!D2002,""),"")</f>
        <v/>
      </c>
      <c r="B2002" s="1058">
        <f t="shared" ref="B2002:B2004" si="557">IF(C2002&lt;&gt;"",MONTH(C2002),"")</f>
        <v>1</v>
      </c>
      <c r="C2002" s="1107">
        <v>42743</v>
      </c>
      <c r="D2002" s="1107" t="s">
        <v>1123</v>
      </c>
      <c r="E2002" s="1107">
        <f t="shared" ref="E2002:E2004" si="558">C2002</f>
        <v>42743</v>
      </c>
      <c r="F2002" s="1108" t="s">
        <v>1588</v>
      </c>
      <c r="G2002" s="1109" t="s">
        <v>1015</v>
      </c>
      <c r="H2002" s="1110" t="s">
        <v>546</v>
      </c>
      <c r="I2002" s="1112">
        <v>940</v>
      </c>
      <c r="J2002" s="1111">
        <f>J2003*L2003</f>
        <v>260558.99999999997</v>
      </c>
      <c r="K2002" s="1112"/>
      <c r="L2002" s="1111"/>
      <c r="M2002" s="1113">
        <f>ROUND(I2002*J2002,0)</f>
        <v>244925460</v>
      </c>
      <c r="N2002" s="1114" t="s">
        <v>274</v>
      </c>
      <c r="O2002" s="1114" t="s">
        <v>284</v>
      </c>
      <c r="P2002" s="75" t="str">
        <f>IF(AND('331-CT'!$E$7=TH!H2002,OR(N2002="331",O2002="331")),"x","")</f>
        <v/>
      </c>
      <c r="Q2002" s="75" t="str">
        <f>IF(AND(B2002='111'!$L$11,OR($N2002=$Q$7,$O2002=$Q$7)),"x","")</f>
        <v/>
      </c>
      <c r="R2002" s="75" t="str">
        <f>IF(AND($N2002=$Q$7,$B2002&lt;'111'!$L$11),"x","")</f>
        <v/>
      </c>
      <c r="S2002" s="75" t="str">
        <f>IF(AND($O2002=$Q$7,$B2002&lt;'111'!$L$11),"x","")</f>
        <v/>
      </c>
      <c r="T2002" s="75" t="str">
        <f>IF(ISERROR(FIND('112'!$M$9,G2002,1)),"",IF((AND(FIND('112'!$M$9,G2002,1)&gt;=1,B2002='112'!$K$9,OR($N2002='112'!$I$6,$O2002='112'!$I$6))),"x",""))</f>
        <v/>
      </c>
      <c r="U2002" s="75" t="str">
        <f>IF(ISERROR(FIND('112'!$M$9,G2002,1)),"",IF((AND(LEFT(G2002,2)=LEFT('112'!$M$9,2),B2002&lt;'112'!$K$9,$N2002='112'!$I$6)),"x",""))</f>
        <v/>
      </c>
      <c r="V2002" s="75" t="str">
        <f>IF(ISERROR(FIND('112'!$M$9,G2002,1)),"",IF((AND(RIGHT(G2002,2)=RIGHT('112'!$M$9,2),B2002&lt;'112'!$K$9,$O2002='112'!$I$6)),"x",""))</f>
        <v/>
      </c>
      <c r="W2002" s="75" t="str">
        <f>IF(AND('341-CT'!$H$9=H2002,OR(LEFT(N2002,3)=$W$7,LEFT(O2002,3)=$W$7)),"x","")</f>
        <v/>
      </c>
      <c r="X2002" s="75" t="str">
        <f>IF(OR(TH!N2002=TH!$X$7,O2002=TH!$X$7),"x","")</f>
        <v/>
      </c>
      <c r="Y2002" s="75" t="str">
        <f>IF(AND(OR(N2002="131",O2002="131"),H2002='131-CT'!$H$9),"x","")</f>
        <v/>
      </c>
      <c r="Z2002" s="75"/>
      <c r="AA2002" s="75" t="str">
        <f>IF(AND(MONTH(E2002)='IN-NX'!$J$5,'IN-NX'!$D$7=D2002),"x","")</f>
        <v/>
      </c>
      <c r="AB2002" s="75" t="str">
        <f>IF(AND(OR(LEFT(TH!N2002,2)="15",LEFT(TH!O2002,2)="15"),LEFT(TH!O2002,3)&lt;&gt;"111",'152-CT'!$J$8=TH!F2002),"x","")</f>
        <v/>
      </c>
      <c r="AC2002" s="75" t="str">
        <f>IF(AND(OR(LEFT(TH!N2002,2)="15",LEFT(TH!O2002,2)="15"),TK!$E$7=TH!F2002),"x","")</f>
        <v/>
      </c>
      <c r="AD2002" s="75" t="str">
        <f>IF(AND(N2002="1521",MONTH(C2002)='BK-NL'!$M$11),"x","")</f>
        <v/>
      </c>
      <c r="AF2002" s="1054"/>
    </row>
    <row r="2003" spans="1:32" ht="16.5" customHeight="1">
      <c r="A2003" s="309" t="str">
        <f>IF(B2003&lt;&gt;"",IF(AND(B2003='IN-TC'!$S$4,OR(TH!N2003="1111",TH!O2003="1111")),TH!D2003,""),"")</f>
        <v/>
      </c>
      <c r="B2003" s="1058">
        <f t="shared" si="557"/>
        <v>1</v>
      </c>
      <c r="C2003" s="1115">
        <v>42743</v>
      </c>
      <c r="D2003" s="1115" t="s">
        <v>1084</v>
      </c>
      <c r="E2003" s="1115">
        <f t="shared" ref="E2003" si="559">C2003</f>
        <v>42743</v>
      </c>
      <c r="F2003" s="1084" t="s">
        <v>1588</v>
      </c>
      <c r="G2003" s="1117" t="s">
        <v>1015</v>
      </c>
      <c r="H2003" s="1084" t="s">
        <v>546</v>
      </c>
      <c r="I2003" s="968">
        <v>940</v>
      </c>
      <c r="J2003" s="968">
        <v>11.7</v>
      </c>
      <c r="K2003" s="968">
        <f t="shared" ref="K2003" si="560">I2003*J2003</f>
        <v>10998</v>
      </c>
      <c r="L2003" s="967">
        <v>22270</v>
      </c>
      <c r="M2003" s="969">
        <f>ROUND(K2003*L2003,0)</f>
        <v>244925460</v>
      </c>
      <c r="N2003" s="1118" t="s">
        <v>288</v>
      </c>
      <c r="O2003" s="1118" t="s">
        <v>1016</v>
      </c>
      <c r="P2003" s="75" t="str">
        <f>IF(AND('331-CT'!$E$7=TH!H2003,OR(N2003="331",O2003="331")),"x","")</f>
        <v/>
      </c>
      <c r="Q2003" s="75" t="str">
        <f>IF(AND(B2003='111'!$L$11,OR($N2003=$Q$7,$O2003=$Q$7)),"x","")</f>
        <v/>
      </c>
      <c r="R2003" s="75" t="str">
        <f>IF(AND($N2003=$Q$7,$B2003&lt;'111'!$L$11),"x","")</f>
        <v/>
      </c>
      <c r="S2003" s="75" t="str">
        <f>IF(AND($O2003=$Q$7,$B2003&lt;'111'!$L$11),"x","")</f>
        <v/>
      </c>
      <c r="T2003" s="75" t="str">
        <f>IF(ISERROR(FIND('112'!$M$9,G2003,1)),"",IF((AND(FIND('112'!$M$9,G2003,1)&gt;=1,B2003='112'!$K$9,OR($N2003='112'!$I$6,$O2003='112'!$I$6))),"x",""))</f>
        <v/>
      </c>
      <c r="U2003" s="75" t="str">
        <f>IF(ISERROR(FIND('112'!$M$9,G2003,1)),"",IF((AND(LEFT(G2003,2)=LEFT('112'!$M$9,2),B2003&lt;'112'!$K$9,$N2003='112'!$I$6)),"x",""))</f>
        <v/>
      </c>
      <c r="V2003" s="75" t="str">
        <f>IF(ISERROR(FIND('112'!$M$9,G2003,1)),"",IF((AND(RIGHT(G2003,2)=RIGHT('112'!$M$9,2),B2003&lt;'112'!$K$9,$O2003='112'!$I$6)),"x",""))</f>
        <v/>
      </c>
      <c r="W2003" s="75" t="str">
        <f>IF(AND('341-CT'!$H$9=H2003,OR(LEFT(N2003,3)=$W$7,LEFT(O2003,3)=$W$7)),"x","")</f>
        <v/>
      </c>
      <c r="X2003" s="75" t="str">
        <f>IF(OR(TH!N2003=TH!$X$7,O2003=TH!$X$7),"x","")</f>
        <v/>
      </c>
      <c r="Y2003" s="75" t="str">
        <f>IF(AND(OR(N2003="131",O2003="131"),H2003='131-CT'!$H$9),"x","")</f>
        <v/>
      </c>
      <c r="Z2003" s="75"/>
      <c r="AA2003" s="75" t="str">
        <f>IF(AND(MONTH(E2003)='IN-NX'!$J$5,'IN-NX'!$D$7=D2003),"x","")</f>
        <v/>
      </c>
      <c r="AB2003" s="75" t="str">
        <f>IF(AND(OR(LEFT(TH!N2003,2)="15",LEFT(TH!O2003,2)="15"),LEFT(TH!O2003,3)&lt;&gt;"111",'152-CT'!$J$8=TH!F2003),"x","")</f>
        <v/>
      </c>
      <c r="AC2003" s="75" t="str">
        <f>IF(AND(OR(LEFT(TH!N2003,2)="15",LEFT(TH!O2003,2)="15"),TK!$E$7=TH!F2003),"x","")</f>
        <v/>
      </c>
      <c r="AD2003" s="75" t="str">
        <f>IF(AND(N2003="1521",MONTH(C2003)='BK-NL'!$M$11),"x","")</f>
        <v/>
      </c>
    </row>
    <row r="2004" spans="1:32" ht="16.5" customHeight="1">
      <c r="A2004" s="309" t="str">
        <f>IF(B2004&lt;&gt;"",IF(AND(B2004='IN-TC'!$S$4,OR(TH!N2004="1111",TH!O2004="1111")),TH!D2004,""),"")</f>
        <v/>
      </c>
      <c r="B2004" s="1058">
        <f t="shared" si="557"/>
        <v>1</v>
      </c>
      <c r="C2004" s="1115">
        <v>42743</v>
      </c>
      <c r="D2004" s="1115" t="s">
        <v>1084</v>
      </c>
      <c r="E2004" s="1115">
        <f t="shared" si="558"/>
        <v>42743</v>
      </c>
      <c r="F2004" s="1084" t="s">
        <v>1588</v>
      </c>
      <c r="G2004" s="1117" t="s">
        <v>1015</v>
      </c>
      <c r="H2004" s="1084" t="s">
        <v>546</v>
      </c>
      <c r="I2004" s="968">
        <v>940</v>
      </c>
      <c r="J2004" s="968">
        <v>11.7</v>
      </c>
      <c r="K2004" s="968">
        <f t="shared" ref="K2004" si="561">I2004*J2004</f>
        <v>10998</v>
      </c>
      <c r="L2004" s="967">
        <v>22270</v>
      </c>
      <c r="M2004" s="969">
        <f t="shared" ref="M2004" si="562">ROUND(K2004*L2004,0)</f>
        <v>244925460</v>
      </c>
      <c r="N2004" s="1118" t="s">
        <v>1016</v>
      </c>
      <c r="O2004" s="1118" t="s">
        <v>536</v>
      </c>
      <c r="P2004" s="75" t="str">
        <f>IF(AND('331-CT'!$E$7=TH!H2004,OR(N2004="331",O2004="331")),"x","")</f>
        <v/>
      </c>
      <c r="Q2004" s="75" t="str">
        <f>IF(AND(B2004='111'!$L$11,OR($N2004=$Q$7,$O2004=$Q$7)),"x","")</f>
        <v/>
      </c>
      <c r="R2004" s="75" t="str">
        <f>IF(AND($N2004=$Q$7,$B2004&lt;'111'!$L$11),"x","")</f>
        <v/>
      </c>
      <c r="S2004" s="75" t="str">
        <f>IF(AND($O2004=$Q$7,$B2004&lt;'111'!$L$11),"x","")</f>
        <v/>
      </c>
      <c r="T2004" s="75" t="str">
        <f>IF(ISERROR(FIND('112'!$M$9,G2004,1)),"",IF((AND(FIND('112'!$M$9,G2004,1)&gt;=1,B2004='112'!$K$9,OR($N2004='112'!$I$6,$O2004='112'!$I$6))),"x",""))</f>
        <v/>
      </c>
      <c r="U2004" s="75" t="str">
        <f>IF(ISERROR(FIND('112'!$M$9,G2004,1)),"",IF((AND(LEFT(G2004,2)=LEFT('112'!$M$9,2),B2004&lt;'112'!$K$9,$N2004='112'!$I$6)),"x",""))</f>
        <v/>
      </c>
      <c r="V2004" s="75" t="str">
        <f>IF(ISERROR(FIND('112'!$M$9,G2004,1)),"",IF((AND(RIGHT(G2004,2)=RIGHT('112'!$M$9,2),B2004&lt;'112'!$K$9,$O2004='112'!$I$6)),"x",""))</f>
        <v/>
      </c>
      <c r="W2004" s="75" t="str">
        <f>IF(AND('341-CT'!$H$9=H2004,OR(LEFT(N2004,3)=$W$7,LEFT(O2004,3)=$W$7)),"x","")</f>
        <v/>
      </c>
      <c r="X2004" s="75" t="str">
        <f>IF(OR(TH!N2004=TH!$X$7,O2004=TH!$X$7),"x","")</f>
        <v/>
      </c>
      <c r="Y2004" s="75" t="str">
        <f>IF(AND(OR(N2004="131",O2004="131"),H2004='131-CT'!$H$9),"x","")</f>
        <v/>
      </c>
      <c r="Z2004" s="75"/>
      <c r="AA2004" s="75" t="str">
        <f>IF(AND(MONTH(E2004)='IN-NX'!$J$5,'IN-NX'!$D$7=D2004),"x","")</f>
        <v/>
      </c>
      <c r="AB2004" s="75" t="str">
        <f>IF(AND(OR(LEFT(TH!N2004,2)="15",LEFT(TH!O2004,2)="15"),LEFT(TH!O2004,3)&lt;&gt;"111",'152-CT'!$J$8=TH!F2004),"x","")</f>
        <v/>
      </c>
      <c r="AC2004" s="75" t="str">
        <f>IF(AND(OR(LEFT(TH!N2004,2)="15",LEFT(TH!O2004,2)="15"),TK!$E$7=TH!F2004),"x","")</f>
        <v/>
      </c>
      <c r="AD2004" s="75" t="str">
        <f>IF(AND(N2004="1521",MONTH(C2004)='BK-NL'!$M$11),"x","")</f>
        <v/>
      </c>
    </row>
    <row r="2005" spans="1:32" s="304" customFormat="1" ht="16.5" customHeight="1">
      <c r="A2005" s="309" t="str">
        <f>IF(B2005&lt;&gt;"",IF(AND(B2005='IN-TC'!$S$4,OR(TH!N2005="1111",TH!O2005="1111")),TH!D2005,""),"")</f>
        <v/>
      </c>
      <c r="B2005" s="1244">
        <f t="shared" si="554"/>
        <v>10</v>
      </c>
      <c r="C2005" s="1107">
        <v>43018</v>
      </c>
      <c r="D2005" s="1108" t="s">
        <v>2921</v>
      </c>
      <c r="E2005" s="1107">
        <f t="shared" si="555"/>
        <v>43018</v>
      </c>
      <c r="F2005" s="1108" t="s">
        <v>1588</v>
      </c>
      <c r="G2005" s="1109" t="s">
        <v>2349</v>
      </c>
      <c r="H2005" s="1110" t="s">
        <v>2350</v>
      </c>
      <c r="I2005" s="1112">
        <v>940</v>
      </c>
      <c r="J2005" s="1112">
        <v>260558.99999999997</v>
      </c>
      <c r="K2005" s="1112"/>
      <c r="L2005" s="1111"/>
      <c r="M2005" s="1113">
        <f>ROUND(I2005*J2005,0)</f>
        <v>244925460</v>
      </c>
      <c r="N2005" s="1114" t="s">
        <v>284</v>
      </c>
      <c r="O2005" s="1114" t="s">
        <v>274</v>
      </c>
      <c r="P2005" s="75" t="str">
        <f>IF(AND('331-CT'!$E$7=TH!H2005,OR(N2005="331",O2005="331")),"x","")</f>
        <v/>
      </c>
      <c r="Q2005" s="75" t="str">
        <f>IF(AND(B2005='111'!$L$11,OR($N2005=$Q$7,$O2005=$Q$7)),"x","")</f>
        <v/>
      </c>
      <c r="R2005" s="75" t="str">
        <f>IF(AND($N2005=$Q$7,$B2005&lt;'111'!$L$11),"x","")</f>
        <v/>
      </c>
      <c r="S2005" s="75" t="str">
        <f>IF(AND($O2005=$Q$7,$B2005&lt;'111'!$L$11),"x","")</f>
        <v/>
      </c>
      <c r="T2005" s="75" t="str">
        <f>IF(ISERROR(FIND('112'!$M$9,G2005,1)),"",IF((AND(FIND('112'!$M$9,G2005,1)&gt;=1,B2005='112'!$K$9,OR($N2005='112'!$I$6,$O2005='112'!$I$6))),"x",""))</f>
        <v/>
      </c>
      <c r="U2005" s="75" t="str">
        <f>IF(ISERROR(FIND('112'!$M$9,G2005,1)),"",IF((AND(LEFT(G2005,2)=LEFT('112'!$M$9,2),B2005&lt;'112'!$K$9,$N2005='112'!$I$6)),"x",""))</f>
        <v/>
      </c>
      <c r="V2005" s="75" t="str">
        <f>IF(ISERROR(FIND('112'!$M$9,G2005,1)),"",IF((AND(RIGHT(G2005,2)=RIGHT('112'!$M$9,2),B2005&lt;'112'!$K$9,$O2005='112'!$I$6)),"x",""))</f>
        <v/>
      </c>
      <c r="W2005" s="75" t="str">
        <f>IF(AND('341-CT'!$H$9=H2005,OR(LEFT(N2005,3)=$W$7,LEFT(O2005,3)=$W$7)),"x","")</f>
        <v/>
      </c>
      <c r="X2005" s="75" t="str">
        <f>IF(OR(TH!N2005=TH!$X$7,O2005=TH!$X$7),"x","")</f>
        <v/>
      </c>
      <c r="Y2005" s="75" t="str">
        <f>IF(AND(OR(N2005="131",O2005="131"),H2005='131-CT'!$H$9),"x","")</f>
        <v/>
      </c>
      <c r="Z2005" s="75"/>
      <c r="AA2005" s="75" t="str">
        <f>IF(AND(MONTH(E2005)='IN-NX'!$J$5,'IN-NX'!$D$7=D2005),"x","")</f>
        <v/>
      </c>
      <c r="AB2005" s="75" t="str">
        <f>IF(AND(OR(LEFT(TH!N2005,2)="15",LEFT(TH!O2005,2)="15"),LEFT(TH!O2005,3)&lt;&gt;"111",'152-CT'!$J$8=TH!F2005),"x","")</f>
        <v/>
      </c>
      <c r="AC2005" s="75" t="str">
        <f>IF(AND(OR(LEFT(TH!N2005,2)="15",LEFT(TH!O2005,2)="15"),TK!$E$7=TH!F2005),"x","")</f>
        <v/>
      </c>
      <c r="AD2005" s="75" t="str">
        <f>IF(AND(N2005="1521",MONTH(C2005)='BK-NL'!$M$11),"x","")</f>
        <v/>
      </c>
      <c r="AF2005" s="1054"/>
    </row>
    <row r="2006" spans="1:32" ht="16.5" customHeight="1">
      <c r="A2006" s="309" t="str">
        <f>IF(B2006&lt;&gt;"",IF(AND(B2006='IN-TC'!$S$4,OR(TH!N2006="1111",TH!O2006="1111")),TH!D2006,""),"")</f>
        <v/>
      </c>
      <c r="B2006" s="1242">
        <f t="shared" ref="B2006:B2008" si="563">IF(C2006&lt;&gt;"",MONTH(C2006),"")</f>
        <v>9</v>
      </c>
      <c r="C2006" s="1107">
        <v>42985</v>
      </c>
      <c r="D2006" s="1108" t="s">
        <v>815</v>
      </c>
      <c r="E2006" s="1107">
        <f t="shared" ref="E2006:E2008" si="564">C2006</f>
        <v>42985</v>
      </c>
      <c r="F2006" s="1108" t="s">
        <v>1755</v>
      </c>
      <c r="G2006" s="1109"/>
      <c r="H2006" s="1110" t="s">
        <v>1642</v>
      </c>
      <c r="I2006" s="1112">
        <v>4000</v>
      </c>
      <c r="J2006" s="1112">
        <f>J2007*L2007</f>
        <v>180345.75</v>
      </c>
      <c r="K2006" s="1112"/>
      <c r="L2006" s="1111"/>
      <c r="M2006" s="1113">
        <f>ROUND(I2006*J2006,0)</f>
        <v>721383000</v>
      </c>
      <c r="N2006" s="1114" t="s">
        <v>274</v>
      </c>
      <c r="O2006" s="1114" t="s">
        <v>284</v>
      </c>
      <c r="P2006" s="75" t="str">
        <f>IF(AND('331-CT'!$E$7=TH!H2006,OR(N2006="331",O2006="331")),"x","")</f>
        <v/>
      </c>
      <c r="Q2006" s="75" t="str">
        <f>IF(AND(B2006='111'!$L$11,OR($N2006=$Q$7,$O2006=$Q$7)),"x","")</f>
        <v/>
      </c>
      <c r="R2006" s="75" t="str">
        <f>IF(AND($N2006=$Q$7,$B2006&lt;'111'!$L$11),"x","")</f>
        <v/>
      </c>
      <c r="S2006" s="75" t="str">
        <f>IF(AND($O2006=$Q$7,$B2006&lt;'111'!$L$11),"x","")</f>
        <v/>
      </c>
      <c r="T2006" s="75" t="str">
        <f>IF(ISERROR(FIND('112'!$M$9,G2006,1)),"",IF((AND(FIND('112'!$M$9,G2006,1)&gt;=1,B2006='112'!$K$9,OR($N2006='112'!$I$6,$O2006='112'!$I$6))),"x",""))</f>
        <v/>
      </c>
      <c r="U2006" s="75" t="str">
        <f>IF(ISERROR(FIND('112'!$M$9,G2006,1)),"",IF((AND(LEFT(G2006,2)=LEFT('112'!$M$9,2),B2006&lt;'112'!$K$9,$N2006='112'!$I$6)),"x",""))</f>
        <v/>
      </c>
      <c r="V2006" s="75" t="str">
        <f>IF(ISERROR(FIND('112'!$M$9,G2006,1)),"",IF((AND(RIGHT(G2006,2)=RIGHT('112'!$M$9,2),B2006&lt;'112'!$K$9,$O2006='112'!$I$6)),"x",""))</f>
        <v/>
      </c>
      <c r="W2006" s="75" t="str">
        <f>IF(AND('341-CT'!$H$9=H2006,OR(LEFT(N2006,3)=$W$7,LEFT(O2006,3)=$W$7)),"x","")</f>
        <v/>
      </c>
      <c r="X2006" s="75" t="str">
        <f>IF(OR(TH!N2006=TH!$X$7,O2006=TH!$X$7),"x","")</f>
        <v/>
      </c>
      <c r="Y2006" s="75" t="str">
        <f>IF(AND(OR(N2006="131",O2006="131"),H2006='131-CT'!$H$9),"x","")</f>
        <v/>
      </c>
      <c r="Z2006" s="75"/>
      <c r="AA2006" s="75" t="str">
        <f>IF(AND(MONTH(E2006)='IN-NX'!$J$5,'IN-NX'!$D$7=D2006),"x","")</f>
        <v/>
      </c>
      <c r="AB2006" s="75" t="str">
        <f>IF(AND(OR(LEFT(TH!N2006,2)="15",LEFT(TH!O2006,2)="15"),LEFT(TH!O2006,3)&lt;&gt;"111",'152-CT'!$J$8=TH!F2006),"x","")</f>
        <v/>
      </c>
      <c r="AC2006" s="75" t="str">
        <f>IF(AND(OR(LEFT(TH!N2006,2)="15",LEFT(TH!O2006,2)="15"),TK!$E$7=TH!F2006),"x","")</f>
        <v/>
      </c>
      <c r="AD2006" s="75" t="str">
        <f>IF(AND(N2006="1521",MONTH(C2006)='BK-NL'!$M$11),"x","")</f>
        <v/>
      </c>
      <c r="AF2006" s="1054"/>
    </row>
    <row r="2007" spans="1:32" ht="16.5" customHeight="1">
      <c r="A2007" s="309" t="str">
        <f>IF(B2007&lt;&gt;"",IF(AND(B2007='IN-TC'!$S$4,OR(TH!N2007="1111",TH!O2007="1111")),TH!D2007,""),"")</f>
        <v/>
      </c>
      <c r="B2007" s="1242">
        <f t="shared" si="563"/>
        <v>9</v>
      </c>
      <c r="C2007" s="1115">
        <v>42985</v>
      </c>
      <c r="D2007" s="1116" t="s">
        <v>815</v>
      </c>
      <c r="E2007" s="1115">
        <f t="shared" si="564"/>
        <v>42985</v>
      </c>
      <c r="F2007" s="1116" t="s">
        <v>1755</v>
      </c>
      <c r="G2007" s="1117"/>
      <c r="H2007" s="1084" t="s">
        <v>1642</v>
      </c>
      <c r="I2007" s="968">
        <v>4000</v>
      </c>
      <c r="J2007" s="968">
        <v>7.95</v>
      </c>
      <c r="K2007" s="968">
        <f t="shared" ref="K2007:K2008" si="565">I2007*J2007</f>
        <v>31800</v>
      </c>
      <c r="L2007" s="967">
        <v>22685</v>
      </c>
      <c r="M2007" s="969">
        <f t="shared" ref="M2007:M2009" si="566">ROUND(K2007*L2007,0)</f>
        <v>721383000</v>
      </c>
      <c r="N2007" s="1118" t="s">
        <v>288</v>
      </c>
      <c r="O2007" s="1118" t="s">
        <v>1016</v>
      </c>
      <c r="P2007" s="75" t="str">
        <f>IF(AND('331-CT'!$E$7=TH!H2007,OR(N2007="331",O2007="331")),"x","")</f>
        <v/>
      </c>
      <c r="Q2007" s="75" t="str">
        <f>IF(AND(B2007='111'!$L$11,OR($N2007=$Q$7,$O2007=$Q$7)),"x","")</f>
        <v/>
      </c>
      <c r="R2007" s="75" t="str">
        <f>IF(AND($N2007=$Q$7,$B2007&lt;'111'!$L$11),"x","")</f>
        <v/>
      </c>
      <c r="S2007" s="75" t="str">
        <f>IF(AND($O2007=$Q$7,$B2007&lt;'111'!$L$11),"x","")</f>
        <v/>
      </c>
      <c r="T2007" s="75" t="str">
        <f>IF(ISERROR(FIND('112'!$M$9,G2007,1)),"",IF((AND(FIND('112'!$M$9,G2007,1)&gt;=1,B2007='112'!$K$9,OR($N2007='112'!$I$6,$O2007='112'!$I$6))),"x",""))</f>
        <v/>
      </c>
      <c r="U2007" s="75" t="str">
        <f>IF(ISERROR(FIND('112'!$M$9,G2007,1)),"",IF((AND(LEFT(G2007,2)=LEFT('112'!$M$9,2),B2007&lt;'112'!$K$9,$N2007='112'!$I$6)),"x",""))</f>
        <v/>
      </c>
      <c r="V2007" s="75" t="str">
        <f>IF(ISERROR(FIND('112'!$M$9,G2007,1)),"",IF((AND(RIGHT(G2007,2)=RIGHT('112'!$M$9,2),B2007&lt;'112'!$K$9,$O2007='112'!$I$6)),"x",""))</f>
        <v/>
      </c>
      <c r="W2007" s="75" t="str">
        <f>IF(AND('341-CT'!$H$9=H2007,OR(LEFT(N2007,3)=$W$7,LEFT(O2007,3)=$W$7)),"x","")</f>
        <v/>
      </c>
      <c r="X2007" s="75" t="str">
        <f>IF(OR(TH!N2007=TH!$X$7,O2007=TH!$X$7),"x","")</f>
        <v/>
      </c>
      <c r="Y2007" s="75" t="str">
        <f>IF(AND(OR(N2007="131",O2007="131"),H2007='131-CT'!$H$9),"x","")</f>
        <v/>
      </c>
      <c r="Z2007" s="75"/>
      <c r="AA2007" s="75" t="str">
        <f>IF(AND(MONTH(E2007)='IN-NX'!$J$5,'IN-NX'!$D$7=D2007),"x","")</f>
        <v/>
      </c>
      <c r="AB2007" s="75" t="str">
        <f>IF(AND(OR(LEFT(TH!N2007,2)="15",LEFT(TH!O2007,2)="15"),LEFT(TH!O2007,3)&lt;&gt;"111",'152-CT'!$J$8=TH!F2007),"x","")</f>
        <v/>
      </c>
      <c r="AC2007" s="75" t="str">
        <f>IF(AND(OR(LEFT(TH!N2007,2)="15",LEFT(TH!O2007,2)="15"),TK!$E$7=TH!F2007),"x","")</f>
        <v/>
      </c>
      <c r="AD2007" s="75" t="str">
        <f>IF(AND(N2007="1521",MONTH(C2007)='BK-NL'!$M$11),"x","")</f>
        <v/>
      </c>
    </row>
    <row r="2008" spans="1:32" ht="16.5" customHeight="1">
      <c r="A2008" s="309" t="str">
        <f>IF(B2008&lt;&gt;"",IF(AND(B2008='IN-TC'!$S$4,OR(TH!N2008="1111",TH!O2008="1111")),TH!D2008,""),"")</f>
        <v/>
      </c>
      <c r="B2008" s="1242">
        <f t="shared" si="563"/>
        <v>9</v>
      </c>
      <c r="C2008" s="1115">
        <v>42985</v>
      </c>
      <c r="D2008" s="1116" t="s">
        <v>815</v>
      </c>
      <c r="E2008" s="1115">
        <f t="shared" si="564"/>
        <v>42985</v>
      </c>
      <c r="F2008" s="1116" t="s">
        <v>1755</v>
      </c>
      <c r="G2008" s="1117"/>
      <c r="H2008" s="1084" t="s">
        <v>1642</v>
      </c>
      <c r="I2008" s="968">
        <v>4000</v>
      </c>
      <c r="J2008" s="968">
        <v>7.95</v>
      </c>
      <c r="K2008" s="968">
        <f t="shared" si="565"/>
        <v>31800</v>
      </c>
      <c r="L2008" s="967">
        <v>22685</v>
      </c>
      <c r="M2008" s="969">
        <f t="shared" si="566"/>
        <v>721383000</v>
      </c>
      <c r="N2008" s="1118" t="s">
        <v>1016</v>
      </c>
      <c r="O2008" s="1118" t="s">
        <v>536</v>
      </c>
      <c r="P2008" s="75" t="str">
        <f>IF(AND('331-CT'!$E$7=TH!H2008,OR(N2008="331",O2008="331")),"x","")</f>
        <v/>
      </c>
      <c r="Q2008" s="75" t="str">
        <f>IF(AND(B2008='111'!$L$11,OR($N2008=$Q$7,$O2008=$Q$7)),"x","")</f>
        <v/>
      </c>
      <c r="R2008" s="75" t="str">
        <f>IF(AND($N2008=$Q$7,$B2008&lt;'111'!$L$11),"x","")</f>
        <v/>
      </c>
      <c r="S2008" s="75" t="str">
        <f>IF(AND($O2008=$Q$7,$B2008&lt;'111'!$L$11),"x","")</f>
        <v/>
      </c>
      <c r="T2008" s="75" t="str">
        <f>IF(ISERROR(FIND('112'!$M$9,G2008,1)),"",IF((AND(FIND('112'!$M$9,G2008,1)&gt;=1,B2008='112'!$K$9,OR($N2008='112'!$I$6,$O2008='112'!$I$6))),"x",""))</f>
        <v/>
      </c>
      <c r="U2008" s="75" t="str">
        <f>IF(ISERROR(FIND('112'!$M$9,G2008,1)),"",IF((AND(LEFT(G2008,2)=LEFT('112'!$M$9,2),B2008&lt;'112'!$K$9,$N2008='112'!$I$6)),"x",""))</f>
        <v/>
      </c>
      <c r="V2008" s="75" t="str">
        <f>IF(ISERROR(FIND('112'!$M$9,G2008,1)),"",IF((AND(RIGHT(G2008,2)=RIGHT('112'!$M$9,2),B2008&lt;'112'!$K$9,$O2008='112'!$I$6)),"x",""))</f>
        <v/>
      </c>
      <c r="W2008" s="75" t="str">
        <f>IF(AND('341-CT'!$H$9=H2008,OR(LEFT(N2008,3)=$W$7,LEFT(O2008,3)=$W$7)),"x","")</f>
        <v/>
      </c>
      <c r="X2008" s="75" t="str">
        <f>IF(OR(TH!N2008=TH!$X$7,O2008=TH!$X$7),"x","")</f>
        <v/>
      </c>
      <c r="Y2008" s="75" t="str">
        <f>IF(AND(OR(N2008="131",O2008="131"),H2008='131-CT'!$H$9),"x","")</f>
        <v/>
      </c>
      <c r="Z2008" s="75"/>
      <c r="AA2008" s="75" t="str">
        <f>IF(AND(MONTH(E2008)='IN-NX'!$J$5,'IN-NX'!$D$7=D2008),"x","")</f>
        <v/>
      </c>
      <c r="AB2008" s="75" t="str">
        <f>IF(AND(OR(LEFT(TH!N2008,2)="15",LEFT(TH!O2008,2)="15"),LEFT(TH!O2008,3)&lt;&gt;"111",'152-CT'!$J$8=TH!F2008),"x","")</f>
        <v/>
      </c>
      <c r="AC2008" s="75" t="str">
        <f>IF(AND(OR(LEFT(TH!N2008,2)="15",LEFT(TH!O2008,2)="15"),TK!$E$7=TH!F2008),"x","")</f>
        <v/>
      </c>
      <c r="AD2008" s="75" t="str">
        <f>IF(AND(N2008="1521",MONTH(C2008)='BK-NL'!$M$11),"x","")</f>
        <v/>
      </c>
    </row>
    <row r="2009" spans="1:32" ht="16.5" customHeight="1">
      <c r="A2009" s="309" t="str">
        <f>IF(B2009&lt;&gt;"",IF(AND(B2009='IN-TC'!$S$4,OR(TH!N2009="1111",TH!O2009="1111")),TH!D2009,""),"")</f>
        <v/>
      </c>
      <c r="B2009" s="1244">
        <f t="shared" si="554"/>
        <v>10</v>
      </c>
      <c r="C2009" s="252">
        <v>43025</v>
      </c>
      <c r="D2009" s="1055" t="s">
        <v>1404</v>
      </c>
      <c r="E2009" s="252">
        <f t="shared" si="555"/>
        <v>43025</v>
      </c>
      <c r="F2009" s="1055" t="s">
        <v>1755</v>
      </c>
      <c r="G2009" s="1056" t="s">
        <v>2351</v>
      </c>
      <c r="H2009" s="735" t="s">
        <v>1642</v>
      </c>
      <c r="I2009" s="371">
        <v>4000</v>
      </c>
      <c r="J2009" s="371">
        <v>7.95</v>
      </c>
      <c r="K2009" s="371">
        <f t="shared" si="556"/>
        <v>31800</v>
      </c>
      <c r="L2009" s="377">
        <v>22685</v>
      </c>
      <c r="M2009" s="933">
        <f t="shared" si="566"/>
        <v>721383000</v>
      </c>
      <c r="N2009" s="977" t="s">
        <v>536</v>
      </c>
      <c r="O2009" s="977" t="s">
        <v>288</v>
      </c>
      <c r="P2009" s="75" t="str">
        <f>IF(AND('331-CT'!$E$7=TH!H2009,OR(N2009="331",O2009="331")),"x","")</f>
        <v/>
      </c>
      <c r="Q2009" s="75" t="str">
        <f>IF(AND(B2009='111'!$L$11,OR($N2009=$Q$7,$O2009=$Q$7)),"x","")</f>
        <v/>
      </c>
      <c r="R2009" s="75" t="str">
        <f>IF(AND($N2009=$Q$7,$B2009&lt;'111'!$L$11),"x","")</f>
        <v/>
      </c>
      <c r="S2009" s="75" t="str">
        <f>IF(AND($O2009=$Q$7,$B2009&lt;'111'!$L$11),"x","")</f>
        <v/>
      </c>
      <c r="T2009" s="75" t="str">
        <f>IF(ISERROR(FIND('112'!$M$9,G2009,1)),"",IF((AND(FIND('112'!$M$9,G2009,1)&gt;=1,B2009='112'!$K$9,OR($N2009='112'!$I$6,$O2009='112'!$I$6))),"x",""))</f>
        <v/>
      </c>
      <c r="U2009" s="75" t="str">
        <f>IF(ISERROR(FIND('112'!$M$9,G2009,1)),"",IF((AND(LEFT(G2009,2)=LEFT('112'!$M$9,2),B2009&lt;'112'!$K$9,$N2009='112'!$I$6)),"x",""))</f>
        <v/>
      </c>
      <c r="V2009" s="75" t="str">
        <f>IF(ISERROR(FIND('112'!$M$9,G2009,1)),"",IF((AND(RIGHT(G2009,2)=RIGHT('112'!$M$9,2),B2009&lt;'112'!$K$9,$O2009='112'!$I$6)),"x",""))</f>
        <v/>
      </c>
      <c r="W2009" s="75" t="str">
        <f>IF(AND('341-CT'!$H$9=H2009,OR(LEFT(N2009,3)=$W$7,LEFT(O2009,3)=$W$7)),"x","")</f>
        <v/>
      </c>
      <c r="X2009" s="75" t="str">
        <f>IF(OR(TH!N2009=TH!$X$7,O2009=TH!$X$7),"x","")</f>
        <v/>
      </c>
      <c r="Y2009" s="75" t="str">
        <f>IF(AND(OR(N2009="131",O2009="131"),H2009='131-CT'!$H$9),"x","")</f>
        <v/>
      </c>
      <c r="Z2009" s="75"/>
      <c r="AA2009" s="75" t="str">
        <f>IF(AND(MONTH(E2009)='IN-NX'!$J$5,'IN-NX'!$D$7=D2009),"x","")</f>
        <v/>
      </c>
      <c r="AB2009" s="75" t="str">
        <f>IF(AND(OR(LEFT(TH!N2009,2)="15",LEFT(TH!O2009,2)="15"),LEFT(TH!O2009,3)&lt;&gt;"111",'152-CT'!$J$8=TH!F2009),"x","")</f>
        <v/>
      </c>
      <c r="AC2009" s="75" t="str">
        <f>IF(AND(OR(LEFT(TH!N2009,2)="15",LEFT(TH!O2009,2)="15"),TK!$E$7=TH!F2009),"x","")</f>
        <v/>
      </c>
      <c r="AD2009" s="75" t="str">
        <f>IF(AND(N2009="1521",MONTH(C2009)='BK-NL'!$M$11),"x","")</f>
        <v/>
      </c>
    </row>
    <row r="2010" spans="1:32" ht="16.5" customHeight="1">
      <c r="A2010" s="309" t="str">
        <f>IF(B2010&lt;&gt;"",IF(AND(B2010='IN-TC'!$S$4,OR(TH!N2010="1111",TH!O2010="1111")),TH!D2010,""),"")</f>
        <v/>
      </c>
      <c r="B2010" s="1244">
        <f t="shared" si="554"/>
        <v>10</v>
      </c>
      <c r="C2010" s="1107">
        <v>43025</v>
      </c>
      <c r="D2010" s="1108" t="s">
        <v>2921</v>
      </c>
      <c r="E2010" s="1107">
        <f t="shared" si="555"/>
        <v>43025</v>
      </c>
      <c r="F2010" s="1108" t="s">
        <v>1755</v>
      </c>
      <c r="G2010" s="1109" t="s">
        <v>2351</v>
      </c>
      <c r="H2010" s="1110" t="s">
        <v>1642</v>
      </c>
      <c r="I2010" s="1112">
        <v>4000</v>
      </c>
      <c r="J2010" s="1112">
        <f>J2009*L2009</f>
        <v>180345.75</v>
      </c>
      <c r="K2010" s="1112"/>
      <c r="L2010" s="1111"/>
      <c r="M2010" s="1113">
        <f>ROUND(I2010*J2010,0)</f>
        <v>721383000</v>
      </c>
      <c r="N2010" s="1114" t="s">
        <v>284</v>
      </c>
      <c r="O2010" s="1114" t="s">
        <v>274</v>
      </c>
      <c r="P2010" s="75" t="str">
        <f>IF(AND('331-CT'!$E$7=TH!H2010,OR(N2010="331",O2010="331")),"x","")</f>
        <v/>
      </c>
      <c r="Q2010" s="75" t="str">
        <f>IF(AND(B2010='111'!$L$11,OR($N2010=$Q$7,$O2010=$Q$7)),"x","")</f>
        <v/>
      </c>
      <c r="R2010" s="75" t="str">
        <f>IF(AND($N2010=$Q$7,$B2010&lt;'111'!$L$11),"x","")</f>
        <v/>
      </c>
      <c r="S2010" s="75" t="str">
        <f>IF(AND($O2010=$Q$7,$B2010&lt;'111'!$L$11),"x","")</f>
        <v/>
      </c>
      <c r="T2010" s="75" t="str">
        <f>IF(ISERROR(FIND('112'!$M$9,G2010,1)),"",IF((AND(FIND('112'!$M$9,G2010,1)&gt;=1,B2010='112'!$K$9,OR($N2010='112'!$I$6,$O2010='112'!$I$6))),"x",""))</f>
        <v/>
      </c>
      <c r="U2010" s="75" t="str">
        <f>IF(ISERROR(FIND('112'!$M$9,G2010,1)),"",IF((AND(LEFT(G2010,2)=LEFT('112'!$M$9,2),B2010&lt;'112'!$K$9,$N2010='112'!$I$6)),"x",""))</f>
        <v/>
      </c>
      <c r="V2010" s="75" t="str">
        <f>IF(ISERROR(FIND('112'!$M$9,G2010,1)),"",IF((AND(RIGHT(G2010,2)=RIGHT('112'!$M$9,2),B2010&lt;'112'!$K$9,$O2010='112'!$I$6)),"x",""))</f>
        <v/>
      </c>
      <c r="W2010" s="75" t="str">
        <f>IF(AND('341-CT'!$H$9=H2010,OR(LEFT(N2010,3)=$W$7,LEFT(O2010,3)=$W$7)),"x","")</f>
        <v/>
      </c>
      <c r="X2010" s="75" t="str">
        <f>IF(OR(TH!N2010=TH!$X$7,O2010=TH!$X$7),"x","")</f>
        <v/>
      </c>
      <c r="Y2010" s="75" t="str">
        <f>IF(AND(OR(N2010="131",O2010="131"),H2010='131-CT'!$H$9),"x","")</f>
        <v/>
      </c>
      <c r="Z2010" s="75"/>
      <c r="AA2010" s="75" t="str">
        <f>IF(AND(MONTH(E2010)='IN-NX'!$J$5,'IN-NX'!$D$7=D2010),"x","")</f>
        <v/>
      </c>
      <c r="AB2010" s="75" t="str">
        <f>IF(AND(OR(LEFT(TH!N2010,2)="15",LEFT(TH!O2010,2)="15"),LEFT(TH!O2010,3)&lt;&gt;"111",'152-CT'!$J$8=TH!F2010),"x","")</f>
        <v/>
      </c>
      <c r="AC2010" s="75" t="str">
        <f>IF(AND(OR(LEFT(TH!N2010,2)="15",LEFT(TH!O2010,2)="15"),TK!$E$7=TH!F2010),"x","")</f>
        <v/>
      </c>
      <c r="AD2010" s="75" t="str">
        <f>IF(AND(N2010="1521",MONTH(C2010)='BK-NL'!$M$11),"x","")</f>
        <v/>
      </c>
      <c r="AF2010" s="1054"/>
    </row>
    <row r="2011" spans="1:32" ht="16.5" customHeight="1">
      <c r="A2011" s="309" t="str">
        <f>IF(B2011&lt;&gt;"",IF(AND(B2011='IN-TC'!$S$4,OR(TH!N2011="1111",TH!O2011="1111")),TH!D2011,""),"")</f>
        <v/>
      </c>
      <c r="B2011" s="1244">
        <f t="shared" si="554"/>
        <v>10</v>
      </c>
      <c r="C2011" s="252">
        <v>43025</v>
      </c>
      <c r="D2011" s="1055" t="s">
        <v>1405</v>
      </c>
      <c r="E2011" s="252">
        <f t="shared" si="555"/>
        <v>43025</v>
      </c>
      <c r="F2011" s="1055" t="s">
        <v>793</v>
      </c>
      <c r="G2011" s="1056" t="s">
        <v>2352</v>
      </c>
      <c r="H2011" s="735" t="s">
        <v>822</v>
      </c>
      <c r="I2011" s="371">
        <v>6000</v>
      </c>
      <c r="J2011" s="371">
        <v>8.3000000000000007</v>
      </c>
      <c r="K2011" s="371">
        <f t="shared" si="556"/>
        <v>49800.000000000007</v>
      </c>
      <c r="L2011" s="377">
        <v>22685</v>
      </c>
      <c r="M2011" s="933">
        <f t="shared" ref="M2011:M2015" si="567">ROUND(K2011*L2011,0)</f>
        <v>1129713000</v>
      </c>
      <c r="N2011" s="977" t="s">
        <v>536</v>
      </c>
      <c r="O2011" s="977" t="s">
        <v>288</v>
      </c>
      <c r="P2011" s="75" t="str">
        <f>IF(AND('331-CT'!$E$7=TH!H2011,OR(N2011="331",O2011="331")),"x","")</f>
        <v/>
      </c>
      <c r="Q2011" s="75" t="str">
        <f>IF(AND(B2011='111'!$L$11,OR($N2011=$Q$7,$O2011=$Q$7)),"x","")</f>
        <v/>
      </c>
      <c r="R2011" s="75" t="str">
        <f>IF(AND($N2011=$Q$7,$B2011&lt;'111'!$L$11),"x","")</f>
        <v/>
      </c>
      <c r="S2011" s="75" t="str">
        <f>IF(AND($O2011=$Q$7,$B2011&lt;'111'!$L$11),"x","")</f>
        <v/>
      </c>
      <c r="T2011" s="75" t="str">
        <f>IF(ISERROR(FIND('112'!$M$9,G2011,1)),"",IF((AND(FIND('112'!$M$9,G2011,1)&gt;=1,B2011='112'!$K$9,OR($N2011='112'!$I$6,$O2011='112'!$I$6))),"x",""))</f>
        <v/>
      </c>
      <c r="U2011" s="75" t="str">
        <f>IF(ISERROR(FIND('112'!$M$9,G2011,1)),"",IF((AND(LEFT(G2011,2)=LEFT('112'!$M$9,2),B2011&lt;'112'!$K$9,$N2011='112'!$I$6)),"x",""))</f>
        <v/>
      </c>
      <c r="V2011" s="75" t="str">
        <f>IF(ISERROR(FIND('112'!$M$9,G2011,1)),"",IF((AND(RIGHT(G2011,2)=RIGHT('112'!$M$9,2),B2011&lt;'112'!$K$9,$O2011='112'!$I$6)),"x",""))</f>
        <v/>
      </c>
      <c r="W2011" s="75" t="str">
        <f>IF(AND('341-CT'!$H$9=H2011,OR(LEFT(N2011,3)=$W$7,LEFT(O2011,3)=$W$7)),"x","")</f>
        <v/>
      </c>
      <c r="X2011" s="75" t="str">
        <f>IF(OR(TH!N2011=TH!$X$7,O2011=TH!$X$7),"x","")</f>
        <v/>
      </c>
      <c r="Y2011" s="75" t="str">
        <f>IF(AND(OR(N2011="131",O2011="131"),H2011='131-CT'!$H$9),"x","")</f>
        <v/>
      </c>
      <c r="Z2011" s="75"/>
      <c r="AA2011" s="75" t="str">
        <f>IF(AND(MONTH(E2011)='IN-NX'!$J$5,'IN-NX'!$D$7=D2011),"x","")</f>
        <v/>
      </c>
      <c r="AB2011" s="75" t="str">
        <f>IF(AND(OR(LEFT(TH!N2011,2)="15",LEFT(TH!O2011,2)="15"),LEFT(TH!O2011,3)&lt;&gt;"111",'152-CT'!$J$8=TH!F2011),"x","")</f>
        <v/>
      </c>
      <c r="AC2011" s="75" t="str">
        <f>IF(AND(OR(LEFT(TH!N2011,2)="15",LEFT(TH!O2011,2)="15"),TK!$E$7=TH!F2011),"x","")</f>
        <v/>
      </c>
      <c r="AD2011" s="75" t="str">
        <f>IF(AND(N2011="1521",MONTH(C2011)='BK-NL'!$M$11),"x","")</f>
        <v/>
      </c>
    </row>
    <row r="2012" spans="1:32" ht="16.5" customHeight="1">
      <c r="A2012" s="309" t="str">
        <f>IF(B2012&lt;&gt;"",IF(AND(B2012='IN-TC'!$S$4,OR(TH!N2012="1111",TH!O2012="1111")),TH!D2012,""),"")</f>
        <v/>
      </c>
      <c r="B2012" s="1244">
        <f t="shared" ref="B2012" si="568">IF(C2012&lt;&gt;"",MONTH(C2012),"")</f>
        <v>10</v>
      </c>
      <c r="C2012" s="252">
        <v>43026</v>
      </c>
      <c r="D2012" s="1055" t="s">
        <v>1417</v>
      </c>
      <c r="E2012" s="252">
        <f t="shared" ref="E2012" si="569">C2012</f>
        <v>43026</v>
      </c>
      <c r="F2012" s="1055" t="s">
        <v>2399</v>
      </c>
      <c r="G2012" s="1056" t="s">
        <v>2353</v>
      </c>
      <c r="H2012" s="735" t="s">
        <v>1859</v>
      </c>
      <c r="I2012" s="371">
        <v>79170</v>
      </c>
      <c r="J2012" s="371">
        <v>2</v>
      </c>
      <c r="K2012" s="371">
        <f t="shared" ref="K2012" si="570">I2012*J2012</f>
        <v>158340</v>
      </c>
      <c r="L2012" s="377">
        <v>22685</v>
      </c>
      <c r="M2012" s="933">
        <f t="shared" si="567"/>
        <v>3591942900</v>
      </c>
      <c r="N2012" s="977" t="s">
        <v>536</v>
      </c>
      <c r="O2012" s="977" t="s">
        <v>288</v>
      </c>
      <c r="P2012" s="75" t="str">
        <f>IF(AND('331-CT'!$E$7=TH!H2012,OR(N2012="331",O2012="331")),"x","")</f>
        <v/>
      </c>
      <c r="Q2012" s="75" t="str">
        <f>IF(AND(B2012='111'!$L$11,OR($N2012=$Q$7,$O2012=$Q$7)),"x","")</f>
        <v/>
      </c>
      <c r="R2012" s="75" t="str">
        <f>IF(AND($N2012=$Q$7,$B2012&lt;'111'!$L$11),"x","")</f>
        <v/>
      </c>
      <c r="S2012" s="75" t="str">
        <f>IF(AND($O2012=$Q$7,$B2012&lt;'111'!$L$11),"x","")</f>
        <v/>
      </c>
      <c r="T2012" s="75" t="str">
        <f>IF(ISERROR(FIND('112'!$M$9,G2012,1)),"",IF((AND(FIND('112'!$M$9,G2012,1)&gt;=1,B2012='112'!$K$9,OR($N2012='112'!$I$6,$O2012='112'!$I$6))),"x",""))</f>
        <v/>
      </c>
      <c r="U2012" s="75" t="str">
        <f>IF(ISERROR(FIND('112'!$M$9,G2012,1)),"",IF((AND(LEFT(G2012,2)=LEFT('112'!$M$9,2),B2012&lt;'112'!$K$9,$N2012='112'!$I$6)),"x",""))</f>
        <v/>
      </c>
      <c r="V2012" s="75" t="str">
        <f>IF(ISERROR(FIND('112'!$M$9,G2012,1)),"",IF((AND(RIGHT(G2012,2)=RIGHT('112'!$M$9,2),B2012&lt;'112'!$K$9,$O2012='112'!$I$6)),"x",""))</f>
        <v/>
      </c>
      <c r="W2012" s="75" t="str">
        <f>IF(AND('341-CT'!$H$9=H2012,OR(LEFT(N2012,3)=$W$7,LEFT(O2012,3)=$W$7)),"x","")</f>
        <v/>
      </c>
      <c r="X2012" s="75" t="str">
        <f>IF(OR(TH!N2012=TH!$X$7,O2012=TH!$X$7),"x","")</f>
        <v/>
      </c>
      <c r="Y2012" s="75" t="str">
        <f>IF(AND(OR(N2012="131",O2012="131"),H2012='131-CT'!$H$9),"x","")</f>
        <v/>
      </c>
      <c r="Z2012" s="75"/>
      <c r="AA2012" s="75" t="str">
        <f>IF(AND(MONTH(E2012)='IN-NX'!$J$5,'IN-NX'!$D$7=D2012),"x","")</f>
        <v/>
      </c>
      <c r="AB2012" s="75" t="str">
        <f>IF(AND(OR(LEFT(TH!N2012,2)="15",LEFT(TH!O2012,2)="15"),LEFT(TH!O2012,3)&lt;&gt;"111",'152-CT'!$J$8=TH!F2012),"x","")</f>
        <v/>
      </c>
      <c r="AC2012" s="75" t="str">
        <f>IF(AND(OR(LEFT(TH!N2012,2)="15",LEFT(TH!O2012,2)="15"),TK!$E$7=TH!F2012),"x","")</f>
        <v/>
      </c>
      <c r="AD2012" s="75" t="str">
        <f>IF(AND(N2012="1521",MONTH(C2012)='BK-NL'!$M$11),"x","")</f>
        <v/>
      </c>
    </row>
    <row r="2013" spans="1:32" ht="16.5" customHeight="1">
      <c r="A2013" s="309" t="str">
        <f>IF(B2013&lt;&gt;"",IF(AND(B2013='IN-TC'!$S$4,OR(TH!N2013="1111",TH!O2013="1111")),TH!D2013,""),"")</f>
        <v/>
      </c>
      <c r="B2013" s="1244">
        <f t="shared" ref="B2013" si="571">IF(C2013&lt;&gt;"",MONTH(C2013),"")</f>
        <v>10</v>
      </c>
      <c r="C2013" s="252">
        <v>43026</v>
      </c>
      <c r="D2013" s="1055" t="s">
        <v>1417</v>
      </c>
      <c r="E2013" s="252">
        <f t="shared" ref="E2013" si="572">C2013</f>
        <v>43026</v>
      </c>
      <c r="F2013" s="1055" t="s">
        <v>2399</v>
      </c>
      <c r="G2013" s="1056" t="s">
        <v>2353</v>
      </c>
      <c r="H2013" s="735" t="s">
        <v>1859</v>
      </c>
      <c r="I2013" s="371">
        <v>27020</v>
      </c>
      <c r="J2013" s="371">
        <v>1.8</v>
      </c>
      <c r="K2013" s="371">
        <f t="shared" ref="K2013" si="573">I2013*J2013</f>
        <v>48636</v>
      </c>
      <c r="L2013" s="377">
        <v>22685</v>
      </c>
      <c r="M2013" s="933">
        <f t="shared" si="567"/>
        <v>1103307660</v>
      </c>
      <c r="N2013" s="977" t="s">
        <v>536</v>
      </c>
      <c r="O2013" s="977" t="s">
        <v>288</v>
      </c>
      <c r="P2013" s="75" t="str">
        <f>IF(AND('331-CT'!$E$7=TH!H2013,OR(N2013="331",O2013="331")),"x","")</f>
        <v/>
      </c>
      <c r="Q2013" s="75" t="str">
        <f>IF(AND(B2013='111'!$L$11,OR($N2013=$Q$7,$O2013=$Q$7)),"x","")</f>
        <v/>
      </c>
      <c r="R2013" s="75" t="str">
        <f>IF(AND($N2013=$Q$7,$B2013&lt;'111'!$L$11),"x","")</f>
        <v/>
      </c>
      <c r="S2013" s="75" t="str">
        <f>IF(AND($O2013=$Q$7,$B2013&lt;'111'!$L$11),"x","")</f>
        <v/>
      </c>
      <c r="T2013" s="75" t="str">
        <f>IF(ISERROR(FIND('112'!$M$9,G2013,1)),"",IF((AND(FIND('112'!$M$9,G2013,1)&gt;=1,B2013='112'!$K$9,OR($N2013='112'!$I$6,$O2013='112'!$I$6))),"x",""))</f>
        <v/>
      </c>
      <c r="U2013" s="75" t="str">
        <f>IF(ISERROR(FIND('112'!$M$9,G2013,1)),"",IF((AND(LEFT(G2013,2)=LEFT('112'!$M$9,2),B2013&lt;'112'!$K$9,$N2013='112'!$I$6)),"x",""))</f>
        <v/>
      </c>
      <c r="V2013" s="75" t="str">
        <f>IF(ISERROR(FIND('112'!$M$9,G2013,1)),"",IF((AND(RIGHT(G2013,2)=RIGHT('112'!$M$9,2),B2013&lt;'112'!$K$9,$O2013='112'!$I$6)),"x",""))</f>
        <v/>
      </c>
      <c r="W2013" s="75" t="str">
        <f>IF(AND('341-CT'!$H$9=H2013,OR(LEFT(N2013,3)=$W$7,LEFT(O2013,3)=$W$7)),"x","")</f>
        <v/>
      </c>
      <c r="X2013" s="75" t="str">
        <f>IF(OR(TH!N2013=TH!$X$7,O2013=TH!$X$7),"x","")</f>
        <v/>
      </c>
      <c r="Y2013" s="75" t="str">
        <f>IF(AND(OR(N2013="131",O2013="131"),H2013='131-CT'!$H$9),"x","")</f>
        <v/>
      </c>
      <c r="Z2013" s="75"/>
      <c r="AA2013" s="75" t="str">
        <f>IF(AND(MONTH(E2013)='IN-NX'!$J$5,'IN-NX'!$D$7=D2013),"x","")</f>
        <v/>
      </c>
      <c r="AB2013" s="75" t="str">
        <f>IF(AND(OR(LEFT(TH!N2013,2)="15",LEFT(TH!O2013,2)="15"),LEFT(TH!O2013,3)&lt;&gt;"111",'152-CT'!$J$8=TH!F2013),"x","")</f>
        <v/>
      </c>
      <c r="AC2013" s="75" t="str">
        <f>IF(AND(OR(LEFT(TH!N2013,2)="15",LEFT(TH!O2013,2)="15"),TK!$E$7=TH!F2013),"x","")</f>
        <v/>
      </c>
      <c r="AD2013" s="75" t="str">
        <f>IF(AND(N2013="1521",MONTH(C2013)='BK-NL'!$M$11),"x","")</f>
        <v/>
      </c>
    </row>
    <row r="2014" spans="1:32" ht="16.5" customHeight="1">
      <c r="A2014" s="309" t="str">
        <f>IF(B2014&lt;&gt;"",IF(AND(B2014='IN-TC'!$S$4,OR(TH!N2014="1111",TH!O2014="1111")),TH!D2014,""),"")</f>
        <v/>
      </c>
      <c r="B2014" s="1244">
        <f t="shared" ref="B2014" si="574">IF(C2014&lt;&gt;"",MONTH(C2014),"")</f>
        <v>10</v>
      </c>
      <c r="C2014" s="252">
        <v>43027</v>
      </c>
      <c r="D2014" s="1055" t="s">
        <v>1451</v>
      </c>
      <c r="E2014" s="252">
        <f t="shared" ref="E2014" si="575">C2014</f>
        <v>43027</v>
      </c>
      <c r="F2014" s="1055" t="s">
        <v>429</v>
      </c>
      <c r="G2014" s="1056" t="s">
        <v>2354</v>
      </c>
      <c r="H2014" s="735" t="s">
        <v>759</v>
      </c>
      <c r="I2014" s="371">
        <v>52780</v>
      </c>
      <c r="J2014" s="371">
        <v>2.2799999999999998</v>
      </c>
      <c r="K2014" s="371">
        <f t="shared" ref="K2014" si="576">I2014*J2014</f>
        <v>120338.4</v>
      </c>
      <c r="L2014" s="377">
        <v>22685</v>
      </c>
      <c r="M2014" s="933">
        <f t="shared" si="567"/>
        <v>2729876604</v>
      </c>
      <c r="N2014" s="977" t="s">
        <v>536</v>
      </c>
      <c r="O2014" s="977" t="s">
        <v>288</v>
      </c>
      <c r="P2014" s="75" t="str">
        <f>IF(AND('331-CT'!$E$7=TH!H2014,OR(N2014="331",O2014="331")),"x","")</f>
        <v/>
      </c>
      <c r="Q2014" s="75" t="str">
        <f>IF(AND(B2014='111'!$L$11,OR($N2014=$Q$7,$O2014=$Q$7)),"x","")</f>
        <v/>
      </c>
      <c r="R2014" s="75" t="str">
        <f>IF(AND($N2014=$Q$7,$B2014&lt;'111'!$L$11),"x","")</f>
        <v/>
      </c>
      <c r="S2014" s="75" t="str">
        <f>IF(AND($O2014=$Q$7,$B2014&lt;'111'!$L$11),"x","")</f>
        <v/>
      </c>
      <c r="T2014" s="75" t="str">
        <f>IF(ISERROR(FIND('112'!$M$9,G2014,1)),"",IF((AND(FIND('112'!$M$9,G2014,1)&gt;=1,B2014='112'!$K$9,OR($N2014='112'!$I$6,$O2014='112'!$I$6))),"x",""))</f>
        <v/>
      </c>
      <c r="U2014" s="75" t="str">
        <f>IF(ISERROR(FIND('112'!$M$9,G2014,1)),"",IF((AND(LEFT(G2014,2)=LEFT('112'!$M$9,2),B2014&lt;'112'!$K$9,$N2014='112'!$I$6)),"x",""))</f>
        <v/>
      </c>
      <c r="V2014" s="75" t="str">
        <f>IF(ISERROR(FIND('112'!$M$9,G2014,1)),"",IF((AND(RIGHT(G2014,2)=RIGHT('112'!$M$9,2),B2014&lt;'112'!$K$9,$O2014='112'!$I$6)),"x",""))</f>
        <v/>
      </c>
      <c r="W2014" s="75" t="str">
        <f>IF(AND('341-CT'!$H$9=H2014,OR(LEFT(N2014,3)=$W$7,LEFT(O2014,3)=$W$7)),"x","")</f>
        <v/>
      </c>
      <c r="X2014" s="75" t="str">
        <f>IF(OR(TH!N2014=TH!$X$7,O2014=TH!$X$7),"x","")</f>
        <v/>
      </c>
      <c r="Y2014" s="75" t="str">
        <f>IF(AND(OR(N2014="131",O2014="131"),H2014='131-CT'!$H$9),"x","")</f>
        <v/>
      </c>
      <c r="Z2014" s="75"/>
      <c r="AA2014" s="75" t="str">
        <f>IF(AND(MONTH(E2014)='IN-NX'!$J$5,'IN-NX'!$D$7=D2014),"x","")</f>
        <v/>
      </c>
      <c r="AB2014" s="75" t="str">
        <f>IF(AND(OR(LEFT(TH!N2014,2)="15",LEFT(TH!O2014,2)="15"),LEFT(TH!O2014,3)&lt;&gt;"111",'152-CT'!$J$8=TH!F2014),"x","")</f>
        <v/>
      </c>
      <c r="AC2014" s="75" t="str">
        <f>IF(AND(OR(LEFT(TH!N2014,2)="15",LEFT(TH!O2014,2)="15"),TK!$E$7=TH!F2014),"x","")</f>
        <v/>
      </c>
      <c r="AD2014" s="75" t="str">
        <f>IF(AND(N2014="1521",MONTH(C2014)='BK-NL'!$M$11),"x","")</f>
        <v/>
      </c>
    </row>
    <row r="2015" spans="1:32" ht="16.5" customHeight="1">
      <c r="A2015" s="309" t="str">
        <f>IF(B2015&lt;&gt;"",IF(AND(B2015='IN-TC'!$S$4,OR(TH!N2015="1111",TH!O2015="1111")),TH!D2015,""),"")</f>
        <v/>
      </c>
      <c r="B2015" s="1244">
        <f t="shared" ref="B2015" si="577">IF(C2015&lt;&gt;"",MONTH(C2015),"")</f>
        <v>10</v>
      </c>
      <c r="C2015" s="252">
        <v>43027</v>
      </c>
      <c r="D2015" s="1055" t="s">
        <v>1451</v>
      </c>
      <c r="E2015" s="252">
        <f t="shared" ref="E2015" si="578">C2015</f>
        <v>43027</v>
      </c>
      <c r="F2015" s="1055" t="s">
        <v>429</v>
      </c>
      <c r="G2015" s="1056" t="s">
        <v>2354</v>
      </c>
      <c r="H2015" s="735" t="s">
        <v>759</v>
      </c>
      <c r="I2015" s="371">
        <v>48000</v>
      </c>
      <c r="J2015" s="371">
        <v>2.5</v>
      </c>
      <c r="K2015" s="371">
        <f t="shared" ref="K2015" si="579">I2015*J2015</f>
        <v>120000</v>
      </c>
      <c r="L2015" s="377">
        <v>22685</v>
      </c>
      <c r="M2015" s="933">
        <f t="shared" si="567"/>
        <v>2722200000</v>
      </c>
      <c r="N2015" s="977" t="s">
        <v>536</v>
      </c>
      <c r="O2015" s="977" t="s">
        <v>288</v>
      </c>
      <c r="P2015" s="75" t="str">
        <f>IF(AND('331-CT'!$E$7=TH!H2015,OR(N2015="331",O2015="331")),"x","")</f>
        <v/>
      </c>
      <c r="Q2015" s="75" t="str">
        <f>IF(AND(B2015='111'!$L$11,OR($N2015=$Q$7,$O2015=$Q$7)),"x","")</f>
        <v/>
      </c>
      <c r="R2015" s="75" t="str">
        <f>IF(AND($N2015=$Q$7,$B2015&lt;'111'!$L$11),"x","")</f>
        <v/>
      </c>
      <c r="S2015" s="75" t="str">
        <f>IF(AND($O2015=$Q$7,$B2015&lt;'111'!$L$11),"x","")</f>
        <v/>
      </c>
      <c r="T2015" s="75" t="str">
        <f>IF(ISERROR(FIND('112'!$M$9,G2015,1)),"",IF((AND(FIND('112'!$M$9,G2015,1)&gt;=1,B2015='112'!$K$9,OR($N2015='112'!$I$6,$O2015='112'!$I$6))),"x",""))</f>
        <v/>
      </c>
      <c r="U2015" s="75" t="str">
        <f>IF(ISERROR(FIND('112'!$M$9,G2015,1)),"",IF((AND(LEFT(G2015,2)=LEFT('112'!$M$9,2),B2015&lt;'112'!$K$9,$N2015='112'!$I$6)),"x",""))</f>
        <v/>
      </c>
      <c r="V2015" s="75" t="str">
        <f>IF(ISERROR(FIND('112'!$M$9,G2015,1)),"",IF((AND(RIGHT(G2015,2)=RIGHT('112'!$M$9,2),B2015&lt;'112'!$K$9,$O2015='112'!$I$6)),"x",""))</f>
        <v/>
      </c>
      <c r="W2015" s="75" t="str">
        <f>IF(AND('341-CT'!$H$9=H2015,OR(LEFT(N2015,3)=$W$7,LEFT(O2015,3)=$W$7)),"x","")</f>
        <v/>
      </c>
      <c r="X2015" s="75" t="str">
        <f>IF(OR(TH!N2015=TH!$X$7,O2015=TH!$X$7),"x","")</f>
        <v/>
      </c>
      <c r="Y2015" s="75" t="str">
        <f>IF(AND(OR(N2015="131",O2015="131"),H2015='131-CT'!$H$9),"x","")</f>
        <v/>
      </c>
      <c r="Z2015" s="75"/>
      <c r="AA2015" s="75" t="str">
        <f>IF(AND(MONTH(E2015)='IN-NX'!$J$5,'IN-NX'!$D$7=D2015),"x","")</f>
        <v/>
      </c>
      <c r="AB2015" s="75" t="str">
        <f>IF(AND(OR(LEFT(TH!N2015,2)="15",LEFT(TH!O2015,2)="15"),LEFT(TH!O2015,3)&lt;&gt;"111",'152-CT'!$J$8=TH!F2015),"x","")</f>
        <v/>
      </c>
      <c r="AC2015" s="75" t="str">
        <f>IF(AND(OR(LEFT(TH!N2015,2)="15",LEFT(TH!O2015,2)="15"),TK!$E$7=TH!F2015),"x","")</f>
        <v/>
      </c>
      <c r="AD2015" s="75" t="str">
        <f>IF(AND(N2015="1521",MONTH(C2015)='BK-NL'!$M$11),"x","")</f>
        <v/>
      </c>
    </row>
    <row r="2016" spans="1:32" ht="16.5" customHeight="1">
      <c r="A2016" s="309" t="str">
        <f>IF(B2016&lt;&gt;"",IF(AND(B2016='IN-TC'!$S$4,OR(TH!N2016="1111",TH!O2016="1111")),TH!D2016,""),"")</f>
        <v/>
      </c>
      <c r="B2016" s="1243">
        <f>IF(C2016&lt;&gt;"",MONTH(C2016),"")</f>
        <v>7</v>
      </c>
      <c r="C2016" s="1107">
        <v>42933</v>
      </c>
      <c r="D2016" s="1108" t="s">
        <v>815</v>
      </c>
      <c r="E2016" s="1107">
        <f t="shared" ref="E2016:E2018" si="580">C2016</f>
        <v>42933</v>
      </c>
      <c r="F2016" s="1108" t="s">
        <v>1588</v>
      </c>
      <c r="G2016" s="1109" t="s">
        <v>1747</v>
      </c>
      <c r="H2016" s="1110" t="s">
        <v>746</v>
      </c>
      <c r="I2016" s="1112">
        <v>4000</v>
      </c>
      <c r="J2016" s="1111">
        <f>J2017*L2017</f>
        <v>221325</v>
      </c>
      <c r="K2016" s="1112"/>
      <c r="L2016" s="1111"/>
      <c r="M2016" s="1113">
        <f>ROUND(I2016*J2016,0)</f>
        <v>885300000</v>
      </c>
      <c r="N2016" s="1114" t="s">
        <v>274</v>
      </c>
      <c r="O2016" s="1114" t="s">
        <v>284</v>
      </c>
      <c r="P2016" s="75" t="str">
        <f>IF(AND('331-CT'!$E$7=TH!H2016,OR(N2016="331",O2016="331")),"x","")</f>
        <v/>
      </c>
      <c r="Q2016" s="75" t="str">
        <f>IF(AND(B2016='111'!$L$11,OR($N2016=$Q$7,$O2016=$Q$7)),"x","")</f>
        <v/>
      </c>
      <c r="R2016" s="75" t="str">
        <f>IF(AND($N2016=$Q$7,$B2016&lt;'111'!$L$11),"x","")</f>
        <v/>
      </c>
      <c r="S2016" s="75" t="str">
        <f>IF(AND($O2016=$Q$7,$B2016&lt;'111'!$L$11),"x","")</f>
        <v/>
      </c>
      <c r="T2016" s="75" t="str">
        <f>IF(ISERROR(FIND('112'!$M$9,G2016,1)),"",IF((AND(FIND('112'!$M$9,G2016,1)&gt;=1,B2016='112'!$K$9,OR($N2016='112'!$I$6,$O2016='112'!$I$6))),"x",""))</f>
        <v/>
      </c>
      <c r="U2016" s="75" t="str">
        <f>IF(ISERROR(FIND('112'!$M$9,G2016,1)),"",IF((AND(LEFT(G2016,2)=LEFT('112'!$M$9,2),B2016&lt;'112'!$K$9,$N2016='112'!$I$6)),"x",""))</f>
        <v/>
      </c>
      <c r="V2016" s="75" t="str">
        <f>IF(ISERROR(FIND('112'!$M$9,G2016,1)),"",IF((AND(RIGHT(G2016,2)=RIGHT('112'!$M$9,2),B2016&lt;'112'!$K$9,$O2016='112'!$I$6)),"x",""))</f>
        <v/>
      </c>
      <c r="W2016" s="75" t="str">
        <f>IF(AND('341-CT'!$H$9=H2016,OR(LEFT(N2016,3)=$W$7,LEFT(O2016,3)=$W$7)),"x","")</f>
        <v/>
      </c>
      <c r="X2016" s="75" t="str">
        <f>IF(OR(TH!N2016=TH!$X$7,O2016=TH!$X$7),"x","")</f>
        <v/>
      </c>
      <c r="Y2016" s="75" t="str">
        <f>IF(AND(OR(N2016="131",O2016="131"),H2016='131-CT'!$H$9),"x","")</f>
        <v/>
      </c>
      <c r="Z2016" s="75"/>
      <c r="AA2016" s="75" t="str">
        <f>IF(AND(MONTH(E2016)='IN-NX'!$J$5,'IN-NX'!$D$7=D2016),"x","")</f>
        <v/>
      </c>
      <c r="AB2016" s="75" t="str">
        <f>IF(AND(OR(LEFT(TH!N2016,2)="15",LEFT(TH!O2016,2)="15"),LEFT(TH!O2016,3)&lt;&gt;"111",'152-CT'!$J$8=TH!F2016),"x","")</f>
        <v/>
      </c>
      <c r="AC2016" s="75" t="str">
        <f>IF(AND(OR(LEFT(TH!N2016,2)="15",LEFT(TH!O2016,2)="15"),TK!$E$7=TH!F2016),"x","")</f>
        <v/>
      </c>
      <c r="AD2016" s="75" t="str">
        <f>IF(AND(N2016="1521",MONTH(C2016)='BK-NL'!$M$11),"x","")</f>
        <v/>
      </c>
      <c r="AF2016" s="1054"/>
    </row>
    <row r="2017" spans="1:32" ht="16.5" customHeight="1">
      <c r="A2017" s="309" t="str">
        <f>IF(B2017&lt;&gt;"",IF(AND(B2017='IN-TC'!$S$4,OR(TH!N2017="1111",TH!O2017="1111")),TH!D2017,""),"")</f>
        <v/>
      </c>
      <c r="B2017" s="1243">
        <f>IF(C2017&lt;&gt;"",MONTH(C2017),"")</f>
        <v>7</v>
      </c>
      <c r="C2017" s="1115">
        <v>42933</v>
      </c>
      <c r="D2017" s="1084" t="s">
        <v>815</v>
      </c>
      <c r="E2017" s="1115">
        <f t="shared" si="580"/>
        <v>42933</v>
      </c>
      <c r="F2017" s="1084" t="s">
        <v>1588</v>
      </c>
      <c r="G2017" s="1117" t="s">
        <v>1747</v>
      </c>
      <c r="H2017" s="1084" t="s">
        <v>746</v>
      </c>
      <c r="I2017" s="968">
        <v>4000</v>
      </c>
      <c r="J2017" s="968">
        <v>9.75</v>
      </c>
      <c r="K2017" s="968">
        <f t="shared" ref="K2017:K2018" si="581">I2017*J2017</f>
        <v>39000</v>
      </c>
      <c r="L2017" s="967">
        <v>22700</v>
      </c>
      <c r="M2017" s="969">
        <f t="shared" ref="M2017:M2019" si="582">ROUND(K2017*L2017,0)</f>
        <v>885300000</v>
      </c>
      <c r="N2017" s="1118" t="s">
        <v>288</v>
      </c>
      <c r="O2017" s="1118" t="s">
        <v>1016</v>
      </c>
      <c r="P2017" s="75" t="str">
        <f>IF(AND('331-CT'!$E$7=TH!H2017,OR(N2017="331",O2017="331")),"x","")</f>
        <v/>
      </c>
      <c r="Q2017" s="75" t="str">
        <f>IF(AND(B2017='111'!$L$11,OR($N2017=$Q$7,$O2017=$Q$7)),"x","")</f>
        <v/>
      </c>
      <c r="R2017" s="75" t="str">
        <f>IF(AND($N2017=$Q$7,$B2017&lt;'111'!$L$11),"x","")</f>
        <v/>
      </c>
      <c r="S2017" s="75" t="str">
        <f>IF(AND($O2017=$Q$7,$B2017&lt;'111'!$L$11),"x","")</f>
        <v/>
      </c>
      <c r="T2017" s="75" t="str">
        <f>IF(ISERROR(FIND('112'!$M$9,G2017,1)),"",IF((AND(FIND('112'!$M$9,G2017,1)&gt;=1,B2017='112'!$K$9,OR($N2017='112'!$I$6,$O2017='112'!$I$6))),"x",""))</f>
        <v/>
      </c>
      <c r="U2017" s="75" t="str">
        <f>IF(ISERROR(FIND('112'!$M$9,G2017,1)),"",IF((AND(LEFT(G2017,2)=LEFT('112'!$M$9,2),B2017&lt;'112'!$K$9,$N2017='112'!$I$6)),"x",""))</f>
        <v/>
      </c>
      <c r="V2017" s="75" t="str">
        <f>IF(ISERROR(FIND('112'!$M$9,G2017,1)),"",IF((AND(RIGHT(G2017,2)=RIGHT('112'!$M$9,2),B2017&lt;'112'!$K$9,$O2017='112'!$I$6)),"x",""))</f>
        <v/>
      </c>
      <c r="W2017" s="75" t="str">
        <f>IF(AND('341-CT'!$H$9=H2017,OR(LEFT(N2017,3)=$W$7,LEFT(O2017,3)=$W$7)),"x","")</f>
        <v/>
      </c>
      <c r="X2017" s="75" t="str">
        <f>IF(OR(TH!N2017=TH!$X$7,O2017=TH!$X$7),"x","")</f>
        <v/>
      </c>
      <c r="Y2017" s="75" t="str">
        <f>IF(AND(OR(N2017="131",O2017="131"),H2017='131-CT'!$H$9),"x","")</f>
        <v/>
      </c>
      <c r="Z2017" s="75"/>
      <c r="AA2017" s="75" t="str">
        <f>IF(AND(MONTH(E2017)='IN-NX'!$J$5,'IN-NX'!$D$7=D2017),"x","")</f>
        <v/>
      </c>
      <c r="AB2017" s="75" t="str">
        <f>IF(AND(OR(LEFT(TH!N2017,2)="15",LEFT(TH!O2017,2)="15"),LEFT(TH!O2017,3)&lt;&gt;"111",'152-CT'!$J$8=TH!F2017),"x","")</f>
        <v/>
      </c>
      <c r="AC2017" s="75" t="str">
        <f>IF(AND(OR(LEFT(TH!N2017,2)="15",LEFT(TH!O2017,2)="15"),TK!$E$7=TH!F2017),"x","")</f>
        <v/>
      </c>
      <c r="AD2017" s="75" t="str">
        <f>IF(AND(N2017="1521",MONTH(C2017)='BK-NL'!$M$11),"x","")</f>
        <v/>
      </c>
    </row>
    <row r="2018" spans="1:32" ht="16.5" customHeight="1">
      <c r="A2018" s="309" t="str">
        <f>IF(B2018&lt;&gt;"",IF(AND(B2018='IN-TC'!$S$4,OR(TH!N2018="1111",TH!O2018="1111")),TH!D2018,""),"")</f>
        <v/>
      </c>
      <c r="B2018" s="1243">
        <f>IF(C2018&lt;&gt;"",MONTH(C2018),"")</f>
        <v>7</v>
      </c>
      <c r="C2018" s="1115">
        <v>42933</v>
      </c>
      <c r="D2018" s="1084" t="s">
        <v>815</v>
      </c>
      <c r="E2018" s="1115">
        <f t="shared" si="580"/>
        <v>42933</v>
      </c>
      <c r="F2018" s="1084" t="s">
        <v>1588</v>
      </c>
      <c r="G2018" s="1117" t="s">
        <v>1747</v>
      </c>
      <c r="H2018" s="1084" t="s">
        <v>746</v>
      </c>
      <c r="I2018" s="968">
        <v>4000</v>
      </c>
      <c r="J2018" s="968">
        <v>9.75</v>
      </c>
      <c r="K2018" s="968">
        <f t="shared" si="581"/>
        <v>39000</v>
      </c>
      <c r="L2018" s="967">
        <v>22700</v>
      </c>
      <c r="M2018" s="969">
        <f t="shared" si="582"/>
        <v>885300000</v>
      </c>
      <c r="N2018" s="1118" t="s">
        <v>1016</v>
      </c>
      <c r="O2018" s="1118" t="s">
        <v>536</v>
      </c>
      <c r="P2018" s="75" t="str">
        <f>IF(AND('331-CT'!$E$7=TH!H2018,OR(N2018="331",O2018="331")),"x","")</f>
        <v/>
      </c>
      <c r="Q2018" s="75" t="str">
        <f>IF(AND(B2018='111'!$L$11,OR($N2018=$Q$7,$O2018=$Q$7)),"x","")</f>
        <v/>
      </c>
      <c r="R2018" s="75" t="str">
        <f>IF(AND($N2018=$Q$7,$B2018&lt;'111'!$L$11),"x","")</f>
        <v/>
      </c>
      <c r="S2018" s="75" t="str">
        <f>IF(AND($O2018=$Q$7,$B2018&lt;'111'!$L$11),"x","")</f>
        <v/>
      </c>
      <c r="T2018" s="75" t="str">
        <f>IF(ISERROR(FIND('112'!$M$9,G2018,1)),"",IF((AND(FIND('112'!$M$9,G2018,1)&gt;=1,B2018='112'!$K$9,OR($N2018='112'!$I$6,$O2018='112'!$I$6))),"x",""))</f>
        <v/>
      </c>
      <c r="U2018" s="75" t="str">
        <f>IF(ISERROR(FIND('112'!$M$9,G2018,1)),"",IF((AND(LEFT(G2018,2)=LEFT('112'!$M$9,2),B2018&lt;'112'!$K$9,$N2018='112'!$I$6)),"x",""))</f>
        <v/>
      </c>
      <c r="V2018" s="75" t="str">
        <f>IF(ISERROR(FIND('112'!$M$9,G2018,1)),"",IF((AND(RIGHT(G2018,2)=RIGHT('112'!$M$9,2),B2018&lt;'112'!$K$9,$O2018='112'!$I$6)),"x",""))</f>
        <v/>
      </c>
      <c r="W2018" s="75" t="str">
        <f>IF(AND('341-CT'!$H$9=H2018,OR(LEFT(N2018,3)=$W$7,LEFT(O2018,3)=$W$7)),"x","")</f>
        <v/>
      </c>
      <c r="X2018" s="75" t="str">
        <f>IF(OR(TH!N2018=TH!$X$7,O2018=TH!$X$7),"x","")</f>
        <v/>
      </c>
      <c r="Y2018" s="75" t="str">
        <f>IF(AND(OR(N2018="131",O2018="131"),H2018='131-CT'!$H$9),"x","")</f>
        <v/>
      </c>
      <c r="Z2018" s="75"/>
      <c r="AA2018" s="75" t="str">
        <f>IF(AND(MONTH(E2018)='IN-NX'!$J$5,'IN-NX'!$D$7=D2018),"x","")</f>
        <v/>
      </c>
      <c r="AB2018" s="75" t="str">
        <f>IF(AND(OR(LEFT(TH!N2018,2)="15",LEFT(TH!O2018,2)="15"),LEFT(TH!O2018,3)&lt;&gt;"111",'152-CT'!$J$8=TH!F2018),"x","")</f>
        <v/>
      </c>
      <c r="AC2018" s="75" t="str">
        <f>IF(AND(OR(LEFT(TH!N2018,2)="15",LEFT(TH!O2018,2)="15"),TK!$E$7=TH!F2018),"x","")</f>
        <v/>
      </c>
      <c r="AD2018" s="75" t="str">
        <f>IF(AND(N2018="1521",MONTH(C2018)='BK-NL'!$M$11),"x","")</f>
        <v/>
      </c>
    </row>
    <row r="2019" spans="1:32" ht="16.5" customHeight="1">
      <c r="A2019" s="309" t="str">
        <f>IF(B2019&lt;&gt;"",IF(AND(B2019='IN-TC'!$S$4,OR(TH!N2019="1111",TH!O2019="1111")),TH!D2019,""),"")</f>
        <v/>
      </c>
      <c r="B2019" s="1244">
        <f t="shared" ref="B2019:B2023" si="583">IF(C2019&lt;&gt;"",MONTH(C2019),"")</f>
        <v>10</v>
      </c>
      <c r="C2019" s="252">
        <v>43028</v>
      </c>
      <c r="D2019" s="1055" t="s">
        <v>1452</v>
      </c>
      <c r="E2019" s="252">
        <f t="shared" ref="E2019:E2023" si="584">C2019</f>
        <v>43028</v>
      </c>
      <c r="F2019" s="1055" t="s">
        <v>1588</v>
      </c>
      <c r="G2019" s="1056" t="s">
        <v>2355</v>
      </c>
      <c r="H2019" s="735" t="s">
        <v>746</v>
      </c>
      <c r="I2019" s="371">
        <v>4000</v>
      </c>
      <c r="J2019" s="371">
        <v>9.75</v>
      </c>
      <c r="K2019" s="371">
        <f t="shared" ref="K2019:K2023" si="585">I2019*J2019</f>
        <v>39000</v>
      </c>
      <c r="L2019" s="377">
        <v>22685</v>
      </c>
      <c r="M2019" s="933">
        <f t="shared" si="582"/>
        <v>884715000</v>
      </c>
      <c r="N2019" s="977" t="s">
        <v>536</v>
      </c>
      <c r="O2019" s="977" t="s">
        <v>288</v>
      </c>
      <c r="P2019" s="75" t="str">
        <f>IF(AND('331-CT'!$E$7=TH!H2019,OR(N2019="331",O2019="331")),"x","")</f>
        <v/>
      </c>
      <c r="Q2019" s="75" t="str">
        <f>IF(AND(B2019='111'!$L$11,OR($N2019=$Q$7,$O2019=$Q$7)),"x","")</f>
        <v/>
      </c>
      <c r="R2019" s="75" t="str">
        <f>IF(AND($N2019=$Q$7,$B2019&lt;'111'!$L$11),"x","")</f>
        <v/>
      </c>
      <c r="S2019" s="75" t="str">
        <f>IF(AND($O2019=$Q$7,$B2019&lt;'111'!$L$11),"x","")</f>
        <v/>
      </c>
      <c r="T2019" s="75" t="str">
        <f>IF(ISERROR(FIND('112'!$M$9,G2019,1)),"",IF((AND(FIND('112'!$M$9,G2019,1)&gt;=1,B2019='112'!$K$9,OR($N2019='112'!$I$6,$O2019='112'!$I$6))),"x",""))</f>
        <v/>
      </c>
      <c r="U2019" s="75" t="str">
        <f>IF(ISERROR(FIND('112'!$M$9,G2019,1)),"",IF((AND(LEFT(G2019,2)=LEFT('112'!$M$9,2),B2019&lt;'112'!$K$9,$N2019='112'!$I$6)),"x",""))</f>
        <v/>
      </c>
      <c r="V2019" s="75" t="str">
        <f>IF(ISERROR(FIND('112'!$M$9,G2019,1)),"",IF((AND(RIGHT(G2019,2)=RIGHT('112'!$M$9,2),B2019&lt;'112'!$K$9,$O2019='112'!$I$6)),"x",""))</f>
        <v/>
      </c>
      <c r="W2019" s="75" t="str">
        <f>IF(AND('341-CT'!$H$9=H2019,OR(LEFT(N2019,3)=$W$7,LEFT(O2019,3)=$W$7)),"x","")</f>
        <v/>
      </c>
      <c r="X2019" s="75" t="str">
        <f>IF(OR(TH!N2019=TH!$X$7,O2019=TH!$X$7),"x","")</f>
        <v/>
      </c>
      <c r="Y2019" s="75" t="str">
        <f>IF(AND(OR(N2019="131",O2019="131"),H2019='131-CT'!$H$9),"x","")</f>
        <v/>
      </c>
      <c r="Z2019" s="75"/>
      <c r="AA2019" s="75" t="str">
        <f>IF(AND(MONTH(E2019)='IN-NX'!$J$5,'IN-NX'!$D$7=D2019),"x","")</f>
        <v/>
      </c>
      <c r="AB2019" s="75" t="str">
        <f>IF(AND(OR(LEFT(TH!N2019,2)="15",LEFT(TH!O2019,2)="15"),LEFT(TH!O2019,3)&lt;&gt;"111",'152-CT'!$J$8=TH!F2019),"x","")</f>
        <v/>
      </c>
      <c r="AC2019" s="75" t="str">
        <f>IF(AND(OR(LEFT(TH!N2019,2)="15",LEFT(TH!O2019,2)="15"),TK!$E$7=TH!F2019),"x","")</f>
        <v/>
      </c>
      <c r="AD2019" s="75" t="str">
        <f>IF(AND(N2019="1521",MONTH(C2019)='BK-NL'!$M$11),"x","")</f>
        <v/>
      </c>
    </row>
    <row r="2020" spans="1:32" ht="16.5" customHeight="1">
      <c r="A2020" s="309" t="str">
        <f>IF(B2020&lt;&gt;"",IF(AND(B2020='IN-TC'!$S$4,OR(TH!N2020="1111",TH!O2020="1111")),TH!D2020,""),"")</f>
        <v/>
      </c>
      <c r="B2020" s="1244">
        <f>IF(C2020&lt;&gt;"",MONTH(C2020),"")</f>
        <v>10</v>
      </c>
      <c r="C2020" s="1107">
        <v>43028</v>
      </c>
      <c r="D2020" s="1108" t="s">
        <v>2921</v>
      </c>
      <c r="E2020" s="1107">
        <f t="shared" ref="E2020" si="586">C2020</f>
        <v>43028</v>
      </c>
      <c r="F2020" s="1108" t="s">
        <v>1588</v>
      </c>
      <c r="G2020" s="1109" t="s">
        <v>2355</v>
      </c>
      <c r="H2020" s="1110" t="s">
        <v>746</v>
      </c>
      <c r="I2020" s="1112">
        <v>4000</v>
      </c>
      <c r="J2020" s="1111">
        <v>221325</v>
      </c>
      <c r="K2020" s="1112"/>
      <c r="L2020" s="1111"/>
      <c r="M2020" s="1113">
        <f>ROUND(I2020*J2020,0)</f>
        <v>885300000</v>
      </c>
      <c r="N2020" s="1114" t="s">
        <v>284</v>
      </c>
      <c r="O2020" s="1114" t="s">
        <v>274</v>
      </c>
      <c r="P2020" s="75" t="str">
        <f>IF(AND('331-CT'!$E$7=TH!H2020,OR(N2020="331",O2020="331")),"x","")</f>
        <v/>
      </c>
      <c r="Q2020" s="75" t="str">
        <f>IF(AND(B2020='111'!$L$11,OR($N2020=$Q$7,$O2020=$Q$7)),"x","")</f>
        <v/>
      </c>
      <c r="R2020" s="75" t="str">
        <f>IF(AND($N2020=$Q$7,$B2020&lt;'111'!$L$11),"x","")</f>
        <v/>
      </c>
      <c r="S2020" s="75" t="str">
        <f>IF(AND($O2020=$Q$7,$B2020&lt;'111'!$L$11),"x","")</f>
        <v/>
      </c>
      <c r="T2020" s="75" t="str">
        <f>IF(ISERROR(FIND('112'!$M$9,G2020,1)),"",IF((AND(FIND('112'!$M$9,G2020,1)&gt;=1,B2020='112'!$K$9,OR($N2020='112'!$I$6,$O2020='112'!$I$6))),"x",""))</f>
        <v/>
      </c>
      <c r="U2020" s="75" t="str">
        <f>IF(ISERROR(FIND('112'!$M$9,G2020,1)),"",IF((AND(LEFT(G2020,2)=LEFT('112'!$M$9,2),B2020&lt;'112'!$K$9,$N2020='112'!$I$6)),"x",""))</f>
        <v/>
      </c>
      <c r="V2020" s="75" t="str">
        <f>IF(ISERROR(FIND('112'!$M$9,G2020,1)),"",IF((AND(RIGHT(G2020,2)=RIGHT('112'!$M$9,2),B2020&lt;'112'!$K$9,$O2020='112'!$I$6)),"x",""))</f>
        <v/>
      </c>
      <c r="W2020" s="75" t="str">
        <f>IF(AND('341-CT'!$H$9=H2020,OR(LEFT(N2020,3)=$W$7,LEFT(O2020,3)=$W$7)),"x","")</f>
        <v/>
      </c>
      <c r="X2020" s="75" t="str">
        <f>IF(OR(TH!N2020=TH!$X$7,O2020=TH!$X$7),"x","")</f>
        <v/>
      </c>
      <c r="Y2020" s="75" t="str">
        <f>IF(AND(OR(N2020="131",O2020="131"),H2020='131-CT'!$H$9),"x","")</f>
        <v/>
      </c>
      <c r="Z2020" s="75"/>
      <c r="AA2020" s="75" t="str">
        <f>IF(AND(MONTH(E2020)='IN-NX'!$J$5,'IN-NX'!$D$7=D2020),"x","")</f>
        <v/>
      </c>
      <c r="AB2020" s="75" t="str">
        <f>IF(AND(OR(LEFT(TH!N2020,2)="15",LEFT(TH!O2020,2)="15"),LEFT(TH!O2020,3)&lt;&gt;"111",'152-CT'!$J$8=TH!F2020),"x","")</f>
        <v/>
      </c>
      <c r="AC2020" s="75" t="str">
        <f>IF(AND(OR(LEFT(TH!N2020,2)="15",LEFT(TH!O2020,2)="15"),TK!$E$7=TH!F2020),"x","")</f>
        <v/>
      </c>
      <c r="AD2020" s="75" t="str">
        <f>IF(AND(N2020="1521",MONTH(C2020)='BK-NL'!$M$11),"x","")</f>
        <v/>
      </c>
      <c r="AF2020" s="1054"/>
    </row>
    <row r="2021" spans="1:32" ht="16.5" customHeight="1">
      <c r="A2021" s="309" t="str">
        <f>IF(B2021&lt;&gt;"",IF(AND(B2021='IN-TC'!$S$4,OR(TH!N2021="1111",TH!O2021="1111")),TH!D2021,""),"")</f>
        <v/>
      </c>
      <c r="B2021" s="1244">
        <f>IF(C2021&lt;&gt;"",MONTH(C2021),"")</f>
        <v>10</v>
      </c>
      <c r="C2021" s="1107">
        <v>43028</v>
      </c>
      <c r="D2021" s="1108" t="s">
        <v>530</v>
      </c>
      <c r="E2021" s="1107">
        <f t="shared" ref="E2021:E2022" si="587">C2021</f>
        <v>43028</v>
      </c>
      <c r="F2021" s="1108" t="s">
        <v>1010</v>
      </c>
      <c r="G2021" s="1109" t="s">
        <v>2355</v>
      </c>
      <c r="H2021" s="1110" t="s">
        <v>746</v>
      </c>
      <c r="I2021" s="1112"/>
      <c r="J2021" s="1111"/>
      <c r="K2021" s="1112"/>
      <c r="L2021" s="1111"/>
      <c r="M2021" s="1113">
        <v>585000</v>
      </c>
      <c r="N2021" s="1114" t="s">
        <v>536</v>
      </c>
      <c r="O2021" s="1114" t="s">
        <v>43</v>
      </c>
      <c r="P2021" s="75" t="str">
        <f>IF(AND('331-CT'!$E$7=TH!H2021,OR(N2021="331",O2021="331")),"x","")</f>
        <v/>
      </c>
      <c r="Q2021" s="75" t="str">
        <f>IF(AND(B2021='111'!$L$11,OR($N2021=$Q$7,$O2021=$Q$7)),"x","")</f>
        <v/>
      </c>
      <c r="R2021" s="75" t="str">
        <f>IF(AND($N2021=$Q$7,$B2021&lt;'111'!$L$11),"x","")</f>
        <v/>
      </c>
      <c r="S2021" s="75" t="str">
        <f>IF(AND($O2021=$Q$7,$B2021&lt;'111'!$L$11),"x","")</f>
        <v/>
      </c>
      <c r="T2021" s="75" t="str">
        <f>IF(ISERROR(FIND('112'!$M$9,G2021,1)),"",IF((AND(FIND('112'!$M$9,G2021,1)&gt;=1,B2021='112'!$K$9,OR($N2021='112'!$I$6,$O2021='112'!$I$6))),"x",""))</f>
        <v/>
      </c>
      <c r="U2021" s="75" t="str">
        <f>IF(ISERROR(FIND('112'!$M$9,G2021,1)),"",IF((AND(LEFT(G2021,2)=LEFT('112'!$M$9,2),B2021&lt;'112'!$K$9,$N2021='112'!$I$6)),"x",""))</f>
        <v/>
      </c>
      <c r="V2021" s="75" t="str">
        <f>IF(ISERROR(FIND('112'!$M$9,G2021,1)),"",IF((AND(RIGHT(G2021,2)=RIGHT('112'!$M$9,2),B2021&lt;'112'!$K$9,$O2021='112'!$I$6)),"x",""))</f>
        <v/>
      </c>
      <c r="W2021" s="75" t="str">
        <f>IF(AND('341-CT'!$H$9=H2021,OR(LEFT(N2021,3)=$W$7,LEFT(O2021,3)=$W$7)),"x","")</f>
        <v/>
      </c>
      <c r="X2021" s="75" t="str">
        <f>IF(OR(TH!N2021=TH!$X$7,O2021=TH!$X$7),"x","")</f>
        <v/>
      </c>
      <c r="Y2021" s="75" t="str">
        <f>IF(AND(OR(N2021="131",O2021="131"),H2021='131-CT'!$H$9),"x","")</f>
        <v/>
      </c>
      <c r="Z2021" s="75"/>
      <c r="AA2021" s="75" t="str">
        <f>IF(AND(MONTH(E2021)='IN-NX'!$J$5,'IN-NX'!$D$7=D2021),"x","")</f>
        <v/>
      </c>
      <c r="AB2021" s="75" t="str">
        <f>IF(AND(OR(LEFT(TH!N2021,2)="15",LEFT(TH!O2021,2)="15"),LEFT(TH!O2021,3)&lt;&gt;"111",'152-CT'!$J$8=TH!F2021),"x","")</f>
        <v/>
      </c>
      <c r="AC2021" s="75" t="str">
        <f>IF(AND(OR(LEFT(TH!N2021,2)="15",LEFT(TH!O2021,2)="15"),TK!$E$7=TH!F2021),"x","")</f>
        <v/>
      </c>
      <c r="AD2021" s="75" t="str">
        <f>IF(AND(N2021="1521",MONTH(C2021)='BK-NL'!$M$11),"x","")</f>
        <v/>
      </c>
    </row>
    <row r="2022" spans="1:32" ht="16.5" customHeight="1">
      <c r="A2022" s="309" t="str">
        <f>IF(B2022&lt;&gt;"",IF(AND(B2022='IN-TC'!$S$4,OR(TH!N2022="1111",TH!O2022="1111")),TH!D2022,""),"")</f>
        <v/>
      </c>
      <c r="B2022" s="1244">
        <f t="shared" ref="B2022" si="588">IF(C2022&lt;&gt;"",MONTH(C2022),"")</f>
        <v>10</v>
      </c>
      <c r="C2022" s="252">
        <v>43031</v>
      </c>
      <c r="D2022" s="252" t="s">
        <v>2200</v>
      </c>
      <c r="E2022" s="252">
        <f t="shared" si="587"/>
        <v>43031</v>
      </c>
      <c r="F2022" s="1055" t="s">
        <v>1584</v>
      </c>
      <c r="G2022" s="1056" t="s">
        <v>2476</v>
      </c>
      <c r="H2022" s="735" t="s">
        <v>546</v>
      </c>
      <c r="I2022" s="371">
        <v>2880</v>
      </c>
      <c r="J2022" s="371">
        <v>9.1999999999999993</v>
      </c>
      <c r="K2022" s="371">
        <f t="shared" ref="K2022" si="589">I2022*J2022</f>
        <v>26495.999999999996</v>
      </c>
      <c r="L2022" s="377">
        <v>22685</v>
      </c>
      <c r="M2022" s="933">
        <f t="shared" ref="M2022:M2024" si="590">ROUND(K2022*L2022,0)</f>
        <v>601061760</v>
      </c>
      <c r="N2022" s="977" t="s">
        <v>536</v>
      </c>
      <c r="O2022" s="977" t="s">
        <v>288</v>
      </c>
      <c r="P2022" s="75" t="str">
        <f>IF(AND('331-CT'!$E$7=TH!H2022,OR(N2022="331",O2022="331")),"x","")</f>
        <v/>
      </c>
      <c r="Q2022" s="75" t="str">
        <f>IF(AND(B2022='111'!$L$11,OR($N2022=$Q$7,$O2022=$Q$7)),"x","")</f>
        <v/>
      </c>
      <c r="R2022" s="75" t="str">
        <f>IF(AND($N2022=$Q$7,$B2022&lt;'111'!$L$11),"x","")</f>
        <v/>
      </c>
      <c r="S2022" s="75" t="str">
        <f>IF(AND($O2022=$Q$7,$B2022&lt;'111'!$L$11),"x","")</f>
        <v/>
      </c>
      <c r="T2022" s="75" t="str">
        <f>IF(ISERROR(FIND('112'!$M$9,G2022,1)),"",IF((AND(FIND('112'!$M$9,G2022,1)&gt;=1,B2022='112'!$K$9,OR($N2022='112'!$I$6,$O2022='112'!$I$6))),"x",""))</f>
        <v/>
      </c>
      <c r="U2022" s="75" t="str">
        <f>IF(ISERROR(FIND('112'!$M$9,G2022,1)),"",IF((AND(LEFT(G2022,2)=LEFT('112'!$M$9,2),B2022&lt;'112'!$K$9,$N2022='112'!$I$6)),"x",""))</f>
        <v/>
      </c>
      <c r="V2022" s="75" t="str">
        <f>IF(ISERROR(FIND('112'!$M$9,G2022,1)),"",IF((AND(RIGHT(G2022,2)=RIGHT('112'!$M$9,2),B2022&lt;'112'!$K$9,$O2022='112'!$I$6)),"x",""))</f>
        <v/>
      </c>
      <c r="W2022" s="75" t="str">
        <f>IF(AND('341-CT'!$H$9=H2022,OR(LEFT(N2022,3)=$W$7,LEFT(O2022,3)=$W$7)),"x","")</f>
        <v/>
      </c>
      <c r="X2022" s="75" t="str">
        <f>IF(OR(TH!N2022=TH!$X$7,O2022=TH!$X$7),"x","")</f>
        <v/>
      </c>
      <c r="Y2022" s="75" t="str">
        <f>IF(AND(OR(N2022="131",O2022="131"),H2022='131-CT'!$H$9),"x","")</f>
        <v/>
      </c>
      <c r="Z2022" s="75"/>
      <c r="AA2022" s="75" t="str">
        <f>IF(AND(MONTH(E2022)='IN-NX'!$J$5,'IN-NX'!$D$7=D2022),"x","")</f>
        <v/>
      </c>
      <c r="AB2022" s="75" t="str">
        <f>IF(AND(OR(LEFT(TH!N2022,2)="15",LEFT(TH!O2022,2)="15"),LEFT(TH!O2022,3)&lt;&gt;"111",'152-CT'!$J$8=TH!F2022),"x","")</f>
        <v/>
      </c>
      <c r="AC2022" s="75" t="str">
        <f>IF(AND(OR(LEFT(TH!N2022,2)="15",LEFT(TH!O2022,2)="15"),TK!$E$7=TH!F2022),"x","")</f>
        <v/>
      </c>
      <c r="AD2022" s="75" t="str">
        <f>IF(AND(N2022="1521",MONTH(C2022)='BK-NL'!$M$11),"x","")</f>
        <v/>
      </c>
    </row>
    <row r="2023" spans="1:32" ht="16.5" customHeight="1">
      <c r="A2023" s="309" t="str">
        <f>IF(B2023&lt;&gt;"",IF(AND(B2023='IN-TC'!$S$4,OR(TH!N2023="1111",TH!O2023="1111")),TH!D2023,""),"")</f>
        <v/>
      </c>
      <c r="B2023" s="1244">
        <f t="shared" si="583"/>
        <v>10</v>
      </c>
      <c r="C2023" s="252">
        <v>43032</v>
      </c>
      <c r="D2023" s="252" t="s">
        <v>2201</v>
      </c>
      <c r="E2023" s="252">
        <f t="shared" si="584"/>
        <v>43032</v>
      </c>
      <c r="F2023" s="1055" t="s">
        <v>429</v>
      </c>
      <c r="G2023" s="1056" t="s">
        <v>2356</v>
      </c>
      <c r="H2023" s="735" t="s">
        <v>759</v>
      </c>
      <c r="I2023" s="371">
        <v>158340</v>
      </c>
      <c r="J2023" s="371">
        <v>2.3199999999999998</v>
      </c>
      <c r="K2023" s="371">
        <f t="shared" si="585"/>
        <v>367348.8</v>
      </c>
      <c r="L2023" s="377">
        <v>22685</v>
      </c>
      <c r="M2023" s="933">
        <f t="shared" si="590"/>
        <v>8333307528</v>
      </c>
      <c r="N2023" s="977" t="s">
        <v>536</v>
      </c>
      <c r="O2023" s="977" t="s">
        <v>288</v>
      </c>
      <c r="P2023" s="75" t="str">
        <f>IF(AND('331-CT'!$E$7=TH!H2023,OR(N2023="331",O2023="331")),"x","")</f>
        <v/>
      </c>
      <c r="Q2023" s="75" t="str">
        <f>IF(AND(B2023='111'!$L$11,OR($N2023=$Q$7,$O2023=$Q$7)),"x","")</f>
        <v/>
      </c>
      <c r="R2023" s="75" t="str">
        <f>IF(AND($N2023=$Q$7,$B2023&lt;'111'!$L$11),"x","")</f>
        <v/>
      </c>
      <c r="S2023" s="75" t="str">
        <f>IF(AND($O2023=$Q$7,$B2023&lt;'111'!$L$11),"x","")</f>
        <v/>
      </c>
      <c r="T2023" s="75" t="str">
        <f>IF(ISERROR(FIND('112'!$M$9,G2023,1)),"",IF((AND(FIND('112'!$M$9,G2023,1)&gt;=1,B2023='112'!$K$9,OR($N2023='112'!$I$6,$O2023='112'!$I$6))),"x",""))</f>
        <v/>
      </c>
      <c r="U2023" s="75" t="str">
        <f>IF(ISERROR(FIND('112'!$M$9,G2023,1)),"",IF((AND(LEFT(G2023,2)=LEFT('112'!$M$9,2),B2023&lt;'112'!$K$9,$N2023='112'!$I$6)),"x",""))</f>
        <v/>
      </c>
      <c r="V2023" s="75" t="str">
        <f>IF(ISERROR(FIND('112'!$M$9,G2023,1)),"",IF((AND(RIGHT(G2023,2)=RIGHT('112'!$M$9,2),B2023&lt;'112'!$K$9,$O2023='112'!$I$6)),"x",""))</f>
        <v/>
      </c>
      <c r="W2023" s="75" t="str">
        <f>IF(AND('341-CT'!$H$9=H2023,OR(LEFT(N2023,3)=$W$7,LEFT(O2023,3)=$W$7)),"x","")</f>
        <v/>
      </c>
      <c r="X2023" s="75" t="str">
        <f>IF(OR(TH!N2023=TH!$X$7,O2023=TH!$X$7),"x","")</f>
        <v/>
      </c>
      <c r="Y2023" s="75" t="str">
        <f>IF(AND(OR(N2023="131",O2023="131"),H2023='131-CT'!$H$9),"x","")</f>
        <v/>
      </c>
      <c r="Z2023" s="75"/>
      <c r="AA2023" s="75" t="str">
        <f>IF(AND(MONTH(E2023)='IN-NX'!$J$5,'IN-NX'!$D$7=D2023),"x","")</f>
        <v/>
      </c>
      <c r="AB2023" s="75" t="str">
        <f>IF(AND(OR(LEFT(TH!N2023,2)="15",LEFT(TH!O2023,2)="15"),LEFT(TH!O2023,3)&lt;&gt;"111",'152-CT'!$J$8=TH!F2023),"x","")</f>
        <v/>
      </c>
      <c r="AC2023" s="75" t="str">
        <f>IF(AND(OR(LEFT(TH!N2023,2)="15",LEFT(TH!O2023,2)="15"),TK!$E$7=TH!F2023),"x","")</f>
        <v/>
      </c>
      <c r="AD2023" s="75" t="str">
        <f>IF(AND(N2023="1521",MONTH(C2023)='BK-NL'!$M$11),"x","")</f>
        <v/>
      </c>
    </row>
    <row r="2024" spans="1:32" ht="16.5" customHeight="1">
      <c r="A2024" s="309" t="str">
        <f>IF(B2024&lt;&gt;"",IF(AND(B2024='IN-TC'!$S$4,OR(TH!N2024="1111",TH!O2024="1111")),TH!D2024,""),"")</f>
        <v/>
      </c>
      <c r="B2024" s="1244">
        <f t="shared" ref="B2024" si="591">IF(C2024&lt;&gt;"",MONTH(C2024),"")</f>
        <v>10</v>
      </c>
      <c r="C2024" s="252">
        <v>43034</v>
      </c>
      <c r="D2024" s="252" t="s">
        <v>2291</v>
      </c>
      <c r="E2024" s="252">
        <f t="shared" ref="E2024" si="592">C2024</f>
        <v>43034</v>
      </c>
      <c r="F2024" s="1055" t="s">
        <v>426</v>
      </c>
      <c r="G2024" s="1056" t="s">
        <v>2357</v>
      </c>
      <c r="H2024" s="735" t="s">
        <v>738</v>
      </c>
      <c r="I2024" s="371">
        <v>4800</v>
      </c>
      <c r="J2024" s="371">
        <v>8.8000000000000007</v>
      </c>
      <c r="K2024" s="371">
        <f t="shared" ref="K2024" si="593">I2024*J2024</f>
        <v>42240</v>
      </c>
      <c r="L2024" s="377">
        <v>22685</v>
      </c>
      <c r="M2024" s="933">
        <f t="shared" si="590"/>
        <v>958214400</v>
      </c>
      <c r="N2024" s="977" t="s">
        <v>536</v>
      </c>
      <c r="O2024" s="977" t="s">
        <v>288</v>
      </c>
      <c r="P2024" s="75" t="str">
        <f>IF(AND('331-CT'!$E$7=TH!H2024,OR(N2024="331",O2024="331")),"x","")</f>
        <v/>
      </c>
      <c r="Q2024" s="75" t="str">
        <f>IF(AND(B2024='111'!$L$11,OR($N2024=$Q$7,$O2024=$Q$7)),"x","")</f>
        <v/>
      </c>
      <c r="R2024" s="75" t="str">
        <f>IF(AND($N2024=$Q$7,$B2024&lt;'111'!$L$11),"x","")</f>
        <v/>
      </c>
      <c r="S2024" s="75" t="str">
        <f>IF(AND($O2024=$Q$7,$B2024&lt;'111'!$L$11),"x","")</f>
        <v/>
      </c>
      <c r="T2024" s="75" t="str">
        <f>IF(ISERROR(FIND('112'!$M$9,G2024,1)),"",IF((AND(FIND('112'!$M$9,G2024,1)&gt;=1,B2024='112'!$K$9,OR($N2024='112'!$I$6,$O2024='112'!$I$6))),"x",""))</f>
        <v/>
      </c>
      <c r="U2024" s="75" t="str">
        <f>IF(ISERROR(FIND('112'!$M$9,G2024,1)),"",IF((AND(LEFT(G2024,2)=LEFT('112'!$M$9,2),B2024&lt;'112'!$K$9,$N2024='112'!$I$6)),"x",""))</f>
        <v/>
      </c>
      <c r="V2024" s="75" t="str">
        <f>IF(ISERROR(FIND('112'!$M$9,G2024,1)),"",IF((AND(RIGHT(G2024,2)=RIGHT('112'!$M$9,2),B2024&lt;'112'!$K$9,$O2024='112'!$I$6)),"x",""))</f>
        <v/>
      </c>
      <c r="W2024" s="75" t="str">
        <f>IF(AND('341-CT'!$H$9=H2024,OR(LEFT(N2024,3)=$W$7,LEFT(O2024,3)=$W$7)),"x","")</f>
        <v/>
      </c>
      <c r="X2024" s="75" t="str">
        <f>IF(OR(TH!N2024=TH!$X$7,O2024=TH!$X$7),"x","")</f>
        <v/>
      </c>
      <c r="Y2024" s="75" t="str">
        <f>IF(AND(OR(N2024="131",O2024="131"),H2024='131-CT'!$H$9),"x","")</f>
        <v/>
      </c>
      <c r="Z2024" s="75"/>
      <c r="AA2024" s="75" t="str">
        <f>IF(AND(MONTH(E2024)='IN-NX'!$J$5,'IN-NX'!$D$7=D2024),"x","")</f>
        <v/>
      </c>
      <c r="AB2024" s="75" t="str">
        <f>IF(AND(OR(LEFT(TH!N2024,2)="15",LEFT(TH!O2024,2)="15"),LEFT(TH!O2024,3)&lt;&gt;"111",'152-CT'!$J$8=TH!F2024),"x","")</f>
        <v/>
      </c>
      <c r="AC2024" s="75" t="str">
        <f>IF(AND(OR(LEFT(TH!N2024,2)="15",LEFT(TH!O2024,2)="15"),TK!$E$7=TH!F2024),"x","")</f>
        <v/>
      </c>
      <c r="AD2024" s="75" t="str">
        <f>IF(AND(N2024="1521",MONTH(C2024)='BK-NL'!$M$11),"x","")</f>
        <v/>
      </c>
    </row>
    <row r="2025" spans="1:32" ht="16.5" customHeight="1">
      <c r="A2025" s="309" t="str">
        <f>IF(B2025&lt;&gt;"",IF(AND(B2025='IN-TC'!$S$4,OR(TH!N2025="1111",TH!O2025="1111")),TH!D2025,""),"")</f>
        <v/>
      </c>
      <c r="B2025" s="1244">
        <f t="shared" ref="B2025:B2181" si="594">IF(C2025&lt;&gt;"",MONTH(C2025),"")</f>
        <v>10</v>
      </c>
      <c r="C2025" s="252">
        <v>43034</v>
      </c>
      <c r="D2025" s="252" t="s">
        <v>2325</v>
      </c>
      <c r="E2025" s="252">
        <f t="shared" ref="E2025:E2173" si="595">C2025</f>
        <v>43034</v>
      </c>
      <c r="F2025" s="1055" t="s">
        <v>1621</v>
      </c>
      <c r="G2025" s="1056" t="s">
        <v>1160</v>
      </c>
      <c r="H2025" s="735" t="s">
        <v>802</v>
      </c>
      <c r="I2025" s="371">
        <v>100</v>
      </c>
      <c r="J2025" s="371">
        <v>156000</v>
      </c>
      <c r="K2025" s="371"/>
      <c r="L2025" s="377"/>
      <c r="M2025" s="933">
        <f t="shared" ref="M2025:M2030" si="596">ROUND(I2025*J2025,0)</f>
        <v>15600000</v>
      </c>
      <c r="N2025" s="977" t="s">
        <v>536</v>
      </c>
      <c r="O2025" s="977" t="s">
        <v>286</v>
      </c>
      <c r="P2025" s="75" t="str">
        <f>IF(AND('331-CT'!$E$7=TH!H2025,OR(N2025="331",O2025="331")),"x","")</f>
        <v/>
      </c>
      <c r="Q2025" s="75" t="str">
        <f>IF(AND(B2025='111'!$L$11,OR($N2025=$Q$7,$O2025=$Q$7)),"x","")</f>
        <v/>
      </c>
      <c r="R2025" s="75" t="str">
        <f>IF(AND($N2025=$Q$7,$B2025&lt;'111'!$L$11),"x","")</f>
        <v/>
      </c>
      <c r="S2025" s="75" t="str">
        <f>IF(AND($O2025=$Q$7,$B2025&lt;'111'!$L$11),"x","")</f>
        <v/>
      </c>
      <c r="T2025" s="75" t="str">
        <f>IF(ISERROR(FIND('112'!$M$9,G2025,1)),"",IF((AND(FIND('112'!$M$9,G2025,1)&gt;=1,B2025='112'!$K$9,OR($N2025='112'!$I$6,$O2025='112'!$I$6))),"x",""))</f>
        <v/>
      </c>
      <c r="U2025" s="75" t="str">
        <f>IF(ISERROR(FIND('112'!$M$9,G2025,1)),"",IF((AND(LEFT(G2025,2)=LEFT('112'!$M$9,2),B2025&lt;'112'!$K$9,$N2025='112'!$I$6)),"x",""))</f>
        <v/>
      </c>
      <c r="V2025" s="75" t="str">
        <f>IF(ISERROR(FIND('112'!$M$9,G2025,1)),"",IF((AND(RIGHT(G2025,2)=RIGHT('112'!$M$9,2),B2025&lt;'112'!$K$9,$O2025='112'!$I$6)),"x",""))</f>
        <v/>
      </c>
      <c r="W2025" s="75" t="str">
        <f>IF(AND('341-CT'!$H$9=H2025,OR(LEFT(N2025,3)=$W$7,LEFT(O2025,3)=$W$7)),"x","")</f>
        <v/>
      </c>
      <c r="X2025" s="75" t="str">
        <f>IF(OR(TH!N2025=TH!$X$7,O2025=TH!$X$7),"x","")</f>
        <v/>
      </c>
      <c r="Y2025" s="75" t="str">
        <f>IF(AND(OR(N2025="131",O2025="131"),H2025='131-CT'!$H$9),"x","")</f>
        <v/>
      </c>
      <c r="Z2025" s="75"/>
      <c r="AA2025" s="75" t="str">
        <f>IF(AND(MONTH(E2025)='IN-NX'!$J$5,'IN-NX'!$D$7=D2025),"x","")</f>
        <v/>
      </c>
      <c r="AB2025" s="75" t="str">
        <f>IF(AND(OR(LEFT(TH!N2025,2)="15",LEFT(TH!O2025,2)="15"),LEFT(TH!O2025,3)&lt;&gt;"111",'152-CT'!$J$8=TH!F2025),"x","")</f>
        <v/>
      </c>
      <c r="AC2025" s="75" t="str">
        <f>IF(AND(OR(LEFT(TH!N2025,2)="15",LEFT(TH!O2025,2)="15"),TK!$E$7=TH!F2025),"x","")</f>
        <v/>
      </c>
      <c r="AD2025" s="75" t="str">
        <f>IF(AND(N2025="1521",MONTH(C2025)='BK-NL'!$M$11),"x","")</f>
        <v/>
      </c>
    </row>
    <row r="2026" spans="1:32" ht="16.5" customHeight="1">
      <c r="A2026" s="309" t="str">
        <f>IF(B2026&lt;&gt;"",IF(AND(B2026='IN-TC'!$S$4,OR(TH!N2026="1111",TH!O2026="1111")),TH!D2026,""),"")</f>
        <v/>
      </c>
      <c r="B2026" s="1244">
        <f t="shared" si="594"/>
        <v>10</v>
      </c>
      <c r="C2026" s="252">
        <v>43034</v>
      </c>
      <c r="D2026" s="252" t="s">
        <v>2325</v>
      </c>
      <c r="E2026" s="252">
        <f t="shared" si="595"/>
        <v>43034</v>
      </c>
      <c r="F2026" s="1055" t="s">
        <v>2477</v>
      </c>
      <c r="G2026" s="1056" t="s">
        <v>1160</v>
      </c>
      <c r="H2026" s="735" t="s">
        <v>802</v>
      </c>
      <c r="I2026" s="371">
        <v>40</v>
      </c>
      <c r="J2026" s="371">
        <v>150000</v>
      </c>
      <c r="K2026" s="371"/>
      <c r="L2026" s="377"/>
      <c r="M2026" s="933">
        <f t="shared" si="596"/>
        <v>6000000</v>
      </c>
      <c r="N2026" s="977" t="s">
        <v>536</v>
      </c>
      <c r="O2026" s="977" t="s">
        <v>286</v>
      </c>
      <c r="P2026" s="75" t="str">
        <f>IF(AND('331-CT'!$E$7=TH!H2026,OR(N2026="331",O2026="331")),"x","")</f>
        <v/>
      </c>
      <c r="Q2026" s="75" t="str">
        <f>IF(AND(B2026='111'!$L$11,OR($N2026=$Q$7,$O2026=$Q$7)),"x","")</f>
        <v/>
      </c>
      <c r="R2026" s="75" t="str">
        <f>IF(AND($N2026=$Q$7,$B2026&lt;'111'!$L$11),"x","")</f>
        <v/>
      </c>
      <c r="S2026" s="75" t="str">
        <f>IF(AND($O2026=$Q$7,$B2026&lt;'111'!$L$11),"x","")</f>
        <v/>
      </c>
      <c r="T2026" s="75" t="str">
        <f>IF(ISERROR(FIND('112'!$M$9,G2026,1)),"",IF((AND(FIND('112'!$M$9,G2026,1)&gt;=1,B2026='112'!$K$9,OR($N2026='112'!$I$6,$O2026='112'!$I$6))),"x",""))</f>
        <v/>
      </c>
      <c r="U2026" s="75" t="str">
        <f>IF(ISERROR(FIND('112'!$M$9,G2026,1)),"",IF((AND(LEFT(G2026,2)=LEFT('112'!$M$9,2),B2026&lt;'112'!$K$9,$N2026='112'!$I$6)),"x",""))</f>
        <v/>
      </c>
      <c r="V2026" s="75" t="str">
        <f>IF(ISERROR(FIND('112'!$M$9,G2026,1)),"",IF((AND(RIGHT(G2026,2)=RIGHT('112'!$M$9,2),B2026&lt;'112'!$K$9,$O2026='112'!$I$6)),"x",""))</f>
        <v/>
      </c>
      <c r="W2026" s="75" t="str">
        <f>IF(AND('341-CT'!$H$9=H2026,OR(LEFT(N2026,3)=$W$7,LEFT(O2026,3)=$W$7)),"x","")</f>
        <v/>
      </c>
      <c r="X2026" s="75" t="str">
        <f>IF(OR(TH!N2026=TH!$X$7,O2026=TH!$X$7),"x","")</f>
        <v/>
      </c>
      <c r="Y2026" s="75" t="str">
        <f>IF(AND(OR(N2026="131",O2026="131"),H2026='131-CT'!$H$9),"x","")</f>
        <v/>
      </c>
      <c r="Z2026" s="75"/>
      <c r="AA2026" s="75" t="str">
        <f>IF(AND(MONTH(E2026)='IN-NX'!$J$5,'IN-NX'!$D$7=D2026),"x","")</f>
        <v/>
      </c>
      <c r="AB2026" s="75" t="str">
        <f>IF(AND(OR(LEFT(TH!N2026,2)="15",LEFT(TH!O2026,2)="15"),LEFT(TH!O2026,3)&lt;&gt;"111",'152-CT'!$J$8=TH!F2026),"x","")</f>
        <v/>
      </c>
      <c r="AC2026" s="75" t="str">
        <f>IF(AND(OR(LEFT(TH!N2026,2)="15",LEFT(TH!O2026,2)="15"),TK!$E$7=TH!F2026),"x","")</f>
        <v/>
      </c>
      <c r="AD2026" s="75" t="str">
        <f>IF(AND(N2026="1521",MONTH(C2026)='BK-NL'!$M$11),"x","")</f>
        <v/>
      </c>
    </row>
    <row r="2027" spans="1:32" ht="16.5" customHeight="1">
      <c r="A2027" s="309" t="str">
        <f>IF(B2027&lt;&gt;"",IF(AND(B2027='IN-TC'!$S$4,OR(TH!N2027="1111",TH!O2027="1111")),TH!D2027,""),"")</f>
        <v/>
      </c>
      <c r="B2027" s="1244">
        <f t="shared" si="594"/>
        <v>10</v>
      </c>
      <c r="C2027" s="252">
        <v>43034</v>
      </c>
      <c r="D2027" s="252" t="s">
        <v>2325</v>
      </c>
      <c r="E2027" s="252">
        <f t="shared" si="595"/>
        <v>43034</v>
      </c>
      <c r="F2027" s="1055" t="s">
        <v>418</v>
      </c>
      <c r="G2027" s="1056" t="s">
        <v>1160</v>
      </c>
      <c r="H2027" s="735" t="s">
        <v>802</v>
      </c>
      <c r="I2027" s="371">
        <v>54</v>
      </c>
      <c r="J2027" s="371">
        <v>100000</v>
      </c>
      <c r="K2027" s="371"/>
      <c r="L2027" s="377"/>
      <c r="M2027" s="933">
        <f t="shared" si="596"/>
        <v>5400000</v>
      </c>
      <c r="N2027" s="977" t="s">
        <v>536</v>
      </c>
      <c r="O2027" s="977" t="s">
        <v>286</v>
      </c>
      <c r="P2027" s="75" t="str">
        <f>IF(AND('331-CT'!$E$7=TH!H2027,OR(N2027="331",O2027="331")),"x","")</f>
        <v/>
      </c>
      <c r="Q2027" s="75" t="str">
        <f>IF(AND(B2027='111'!$L$11,OR($N2027=$Q$7,$O2027=$Q$7)),"x","")</f>
        <v/>
      </c>
      <c r="R2027" s="75" t="str">
        <f>IF(AND($N2027=$Q$7,$B2027&lt;'111'!$L$11),"x","")</f>
        <v/>
      </c>
      <c r="S2027" s="75" t="str">
        <f>IF(AND($O2027=$Q$7,$B2027&lt;'111'!$L$11),"x","")</f>
        <v/>
      </c>
      <c r="T2027" s="75" t="str">
        <f>IF(ISERROR(FIND('112'!$M$9,G2027,1)),"",IF((AND(FIND('112'!$M$9,G2027,1)&gt;=1,B2027='112'!$K$9,OR($N2027='112'!$I$6,$O2027='112'!$I$6))),"x",""))</f>
        <v/>
      </c>
      <c r="U2027" s="75" t="str">
        <f>IF(ISERROR(FIND('112'!$M$9,G2027,1)),"",IF((AND(LEFT(G2027,2)=LEFT('112'!$M$9,2),B2027&lt;'112'!$K$9,$N2027='112'!$I$6)),"x",""))</f>
        <v/>
      </c>
      <c r="V2027" s="75" t="str">
        <f>IF(ISERROR(FIND('112'!$M$9,G2027,1)),"",IF((AND(RIGHT(G2027,2)=RIGHT('112'!$M$9,2),B2027&lt;'112'!$K$9,$O2027='112'!$I$6)),"x",""))</f>
        <v/>
      </c>
      <c r="W2027" s="75" t="str">
        <f>IF(AND('341-CT'!$H$9=H2027,OR(LEFT(N2027,3)=$W$7,LEFT(O2027,3)=$W$7)),"x","")</f>
        <v/>
      </c>
      <c r="X2027" s="75" t="str">
        <f>IF(OR(TH!N2027=TH!$X$7,O2027=TH!$X$7),"x","")</f>
        <v/>
      </c>
      <c r="Y2027" s="75" t="str">
        <f>IF(AND(OR(N2027="131",O2027="131"),H2027='131-CT'!$H$9),"x","")</f>
        <v/>
      </c>
      <c r="Z2027" s="75"/>
      <c r="AA2027" s="75" t="str">
        <f>IF(AND(MONTH(E2027)='IN-NX'!$J$5,'IN-NX'!$D$7=D2027),"x","")</f>
        <v/>
      </c>
      <c r="AB2027" s="75" t="str">
        <f>IF(AND(OR(LEFT(TH!N2027,2)="15",LEFT(TH!O2027,2)="15"),LEFT(TH!O2027,3)&lt;&gt;"111",'152-CT'!$J$8=TH!F2027),"x","")</f>
        <v/>
      </c>
      <c r="AC2027" s="75" t="str">
        <f>IF(AND(OR(LEFT(TH!N2027,2)="15",LEFT(TH!O2027,2)="15"),TK!$E$7=TH!F2027),"x","")</f>
        <v/>
      </c>
      <c r="AD2027" s="75" t="str">
        <f>IF(AND(N2027="1521",MONTH(C2027)='BK-NL'!$M$11),"x","")</f>
        <v/>
      </c>
    </row>
    <row r="2028" spans="1:32" ht="16.5" customHeight="1">
      <c r="A2028" s="309" t="str">
        <f>IF(B2028&lt;&gt;"",IF(AND(B2028='IN-TC'!$S$4,OR(TH!N2028="1111",TH!O2028="1111")),TH!D2028,""),"")</f>
        <v/>
      </c>
      <c r="B2028" s="1244">
        <f t="shared" si="594"/>
        <v>10</v>
      </c>
      <c r="C2028" s="252">
        <v>43034</v>
      </c>
      <c r="D2028" s="252" t="s">
        <v>2325</v>
      </c>
      <c r="E2028" s="252">
        <f t="shared" si="595"/>
        <v>43034</v>
      </c>
      <c r="F2028" s="1055" t="s">
        <v>801</v>
      </c>
      <c r="G2028" s="1056" t="s">
        <v>1160</v>
      </c>
      <c r="H2028" s="735" t="s">
        <v>802</v>
      </c>
      <c r="I2028" s="371">
        <v>100</v>
      </c>
      <c r="J2028" s="371">
        <v>160000</v>
      </c>
      <c r="K2028" s="371"/>
      <c r="L2028" s="377"/>
      <c r="M2028" s="933">
        <f t="shared" si="596"/>
        <v>16000000</v>
      </c>
      <c r="N2028" s="977" t="s">
        <v>536</v>
      </c>
      <c r="O2028" s="977" t="s">
        <v>286</v>
      </c>
      <c r="P2028" s="75" t="str">
        <f>IF(AND('331-CT'!$E$7=TH!H2028,OR(N2028="331",O2028="331")),"x","")</f>
        <v/>
      </c>
      <c r="Q2028" s="75" t="str">
        <f>IF(AND(B2028='111'!$L$11,OR($N2028=$Q$7,$O2028=$Q$7)),"x","")</f>
        <v/>
      </c>
      <c r="R2028" s="75" t="str">
        <f>IF(AND($N2028=$Q$7,$B2028&lt;'111'!$L$11),"x","")</f>
        <v/>
      </c>
      <c r="S2028" s="75" t="str">
        <f>IF(AND($O2028=$Q$7,$B2028&lt;'111'!$L$11),"x","")</f>
        <v/>
      </c>
      <c r="T2028" s="75" t="str">
        <f>IF(ISERROR(FIND('112'!$M$9,G2028,1)),"",IF((AND(FIND('112'!$M$9,G2028,1)&gt;=1,B2028='112'!$K$9,OR($N2028='112'!$I$6,$O2028='112'!$I$6))),"x",""))</f>
        <v/>
      </c>
      <c r="U2028" s="75" t="str">
        <f>IF(ISERROR(FIND('112'!$M$9,G2028,1)),"",IF((AND(LEFT(G2028,2)=LEFT('112'!$M$9,2),B2028&lt;'112'!$K$9,$N2028='112'!$I$6)),"x",""))</f>
        <v/>
      </c>
      <c r="V2028" s="75" t="str">
        <f>IF(ISERROR(FIND('112'!$M$9,G2028,1)),"",IF((AND(RIGHT(G2028,2)=RIGHT('112'!$M$9,2),B2028&lt;'112'!$K$9,$O2028='112'!$I$6)),"x",""))</f>
        <v/>
      </c>
      <c r="W2028" s="75" t="str">
        <f>IF(AND('341-CT'!$H$9=H2028,OR(LEFT(N2028,3)=$W$7,LEFT(O2028,3)=$W$7)),"x","")</f>
        <v/>
      </c>
      <c r="X2028" s="75" t="str">
        <f>IF(OR(TH!N2028=TH!$X$7,O2028=TH!$X$7),"x","")</f>
        <v/>
      </c>
      <c r="Y2028" s="75" t="str">
        <f>IF(AND(OR(N2028="131",O2028="131"),H2028='131-CT'!$H$9),"x","")</f>
        <v/>
      </c>
      <c r="Z2028" s="75"/>
      <c r="AA2028" s="75" t="str">
        <f>IF(AND(MONTH(E2028)='IN-NX'!$J$5,'IN-NX'!$D$7=D2028),"x","")</f>
        <v/>
      </c>
      <c r="AB2028" s="75" t="str">
        <f>IF(AND(OR(LEFT(TH!N2028,2)="15",LEFT(TH!O2028,2)="15"),LEFT(TH!O2028,3)&lt;&gt;"111",'152-CT'!$J$8=TH!F2028),"x","")</f>
        <v/>
      </c>
      <c r="AC2028" s="75" t="str">
        <f>IF(AND(OR(LEFT(TH!N2028,2)="15",LEFT(TH!O2028,2)="15"),TK!$E$7=TH!F2028),"x","")</f>
        <v/>
      </c>
      <c r="AD2028" s="75" t="str">
        <f>IF(AND(N2028="1521",MONTH(C2028)='BK-NL'!$M$11),"x","")</f>
        <v/>
      </c>
    </row>
    <row r="2029" spans="1:32" ht="16.5" customHeight="1">
      <c r="A2029" s="309" t="str">
        <f>IF(B2029&lt;&gt;"",IF(AND(B2029='IN-TC'!$S$4,OR(TH!N2029="1111",TH!O2029="1111")),TH!D2029,""),"")</f>
        <v/>
      </c>
      <c r="B2029" s="1244">
        <f t="shared" si="594"/>
        <v>10</v>
      </c>
      <c r="C2029" s="252">
        <v>43034</v>
      </c>
      <c r="D2029" s="252" t="s">
        <v>2325</v>
      </c>
      <c r="E2029" s="252">
        <f t="shared" si="595"/>
        <v>43034</v>
      </c>
      <c r="F2029" s="1055" t="s">
        <v>799</v>
      </c>
      <c r="G2029" s="1056" t="s">
        <v>1160</v>
      </c>
      <c r="H2029" s="735" t="s">
        <v>802</v>
      </c>
      <c r="I2029" s="371">
        <v>30</v>
      </c>
      <c r="J2029" s="371">
        <v>220000</v>
      </c>
      <c r="K2029" s="371"/>
      <c r="L2029" s="377"/>
      <c r="M2029" s="933">
        <f t="shared" si="596"/>
        <v>6600000</v>
      </c>
      <c r="N2029" s="977" t="s">
        <v>536</v>
      </c>
      <c r="O2029" s="977" t="s">
        <v>286</v>
      </c>
      <c r="P2029" s="75" t="str">
        <f>IF(AND('331-CT'!$E$7=TH!H2029,OR(N2029="331",O2029="331")),"x","")</f>
        <v/>
      </c>
      <c r="Q2029" s="75" t="str">
        <f>IF(AND(B2029='111'!$L$11,OR($N2029=$Q$7,$O2029=$Q$7)),"x","")</f>
        <v/>
      </c>
      <c r="R2029" s="75" t="str">
        <f>IF(AND($N2029=$Q$7,$B2029&lt;'111'!$L$11),"x","")</f>
        <v/>
      </c>
      <c r="S2029" s="75" t="str">
        <f>IF(AND($O2029=$Q$7,$B2029&lt;'111'!$L$11),"x","")</f>
        <v/>
      </c>
      <c r="T2029" s="75" t="str">
        <f>IF(ISERROR(FIND('112'!$M$9,G2029,1)),"",IF((AND(FIND('112'!$M$9,G2029,1)&gt;=1,B2029='112'!$K$9,OR($N2029='112'!$I$6,$O2029='112'!$I$6))),"x",""))</f>
        <v/>
      </c>
      <c r="U2029" s="75" t="str">
        <f>IF(ISERROR(FIND('112'!$M$9,G2029,1)),"",IF((AND(LEFT(G2029,2)=LEFT('112'!$M$9,2),B2029&lt;'112'!$K$9,$N2029='112'!$I$6)),"x",""))</f>
        <v/>
      </c>
      <c r="V2029" s="75" t="str">
        <f>IF(ISERROR(FIND('112'!$M$9,G2029,1)),"",IF((AND(RIGHT(G2029,2)=RIGHT('112'!$M$9,2),B2029&lt;'112'!$K$9,$O2029='112'!$I$6)),"x",""))</f>
        <v/>
      </c>
      <c r="W2029" s="75" t="str">
        <f>IF(AND('341-CT'!$H$9=H2029,OR(LEFT(N2029,3)=$W$7,LEFT(O2029,3)=$W$7)),"x","")</f>
        <v/>
      </c>
      <c r="X2029" s="75" t="str">
        <f>IF(OR(TH!N2029=TH!$X$7,O2029=TH!$X$7),"x","")</f>
        <v/>
      </c>
      <c r="Y2029" s="75" t="str">
        <f>IF(AND(OR(N2029="131",O2029="131"),H2029='131-CT'!$H$9),"x","")</f>
        <v/>
      </c>
      <c r="Z2029" s="75"/>
      <c r="AA2029" s="75" t="str">
        <f>IF(AND(MONTH(E2029)='IN-NX'!$J$5,'IN-NX'!$D$7=D2029),"x","")</f>
        <v/>
      </c>
      <c r="AB2029" s="75" t="str">
        <f>IF(AND(OR(LEFT(TH!N2029,2)="15",LEFT(TH!O2029,2)="15"),LEFT(TH!O2029,3)&lt;&gt;"111",'152-CT'!$J$8=TH!F2029),"x","")</f>
        <v/>
      </c>
      <c r="AC2029" s="75" t="str">
        <f>IF(AND(OR(LEFT(TH!N2029,2)="15",LEFT(TH!O2029,2)="15"),TK!$E$7=TH!F2029),"x","")</f>
        <v/>
      </c>
      <c r="AD2029" s="75" t="str">
        <f>IF(AND(N2029="1521",MONTH(C2029)='BK-NL'!$M$11),"x","")</f>
        <v/>
      </c>
    </row>
    <row r="2030" spans="1:32" ht="16.5" customHeight="1">
      <c r="A2030" s="309" t="str">
        <f>IF(B2030&lt;&gt;"",IF(AND(B2030='IN-TC'!$S$4,OR(TH!N2030="1111",TH!O2030="1111")),TH!D2030,""),"")</f>
        <v/>
      </c>
      <c r="B2030" s="1244">
        <f t="shared" si="594"/>
        <v>10</v>
      </c>
      <c r="C2030" s="252">
        <v>43034</v>
      </c>
      <c r="D2030" s="252" t="s">
        <v>2325</v>
      </c>
      <c r="E2030" s="252">
        <f t="shared" si="595"/>
        <v>43034</v>
      </c>
      <c r="F2030" s="1083" t="s">
        <v>425</v>
      </c>
      <c r="G2030" s="1056" t="s">
        <v>1160</v>
      </c>
      <c r="H2030" s="735" t="s">
        <v>802</v>
      </c>
      <c r="I2030" s="371">
        <v>10</v>
      </c>
      <c r="J2030" s="371">
        <v>690000</v>
      </c>
      <c r="K2030" s="371"/>
      <c r="L2030" s="377"/>
      <c r="M2030" s="933">
        <f t="shared" si="596"/>
        <v>6900000</v>
      </c>
      <c r="N2030" s="977" t="s">
        <v>536</v>
      </c>
      <c r="O2030" s="977" t="s">
        <v>286</v>
      </c>
      <c r="P2030" s="75" t="str">
        <f>IF(AND('331-CT'!$E$7=TH!H2030,OR(N2030="331",O2030="331")),"x","")</f>
        <v/>
      </c>
      <c r="Q2030" s="75" t="str">
        <f>IF(AND(B2030='111'!$L$11,OR($N2030=$Q$7,$O2030=$Q$7)),"x","")</f>
        <v/>
      </c>
      <c r="R2030" s="75" t="str">
        <f>IF(AND($N2030=$Q$7,$B2030&lt;'111'!$L$11),"x","")</f>
        <v/>
      </c>
      <c r="S2030" s="75" t="str">
        <f>IF(AND($O2030=$Q$7,$B2030&lt;'111'!$L$11),"x","")</f>
        <v/>
      </c>
      <c r="T2030" s="75" t="str">
        <f>IF(ISERROR(FIND('112'!$M$9,G2030,1)),"",IF((AND(FIND('112'!$M$9,G2030,1)&gt;=1,B2030='112'!$K$9,OR($N2030='112'!$I$6,$O2030='112'!$I$6))),"x",""))</f>
        <v/>
      </c>
      <c r="U2030" s="75" t="str">
        <f>IF(ISERROR(FIND('112'!$M$9,G2030,1)),"",IF((AND(LEFT(G2030,2)=LEFT('112'!$M$9,2),B2030&lt;'112'!$K$9,$N2030='112'!$I$6)),"x",""))</f>
        <v/>
      </c>
      <c r="V2030" s="75" t="str">
        <f>IF(ISERROR(FIND('112'!$M$9,G2030,1)),"",IF((AND(RIGHT(G2030,2)=RIGHT('112'!$M$9,2),B2030&lt;'112'!$K$9,$O2030='112'!$I$6)),"x",""))</f>
        <v/>
      </c>
      <c r="W2030" s="75" t="str">
        <f>IF(AND('341-CT'!$H$9=H2030,OR(LEFT(N2030,3)=$W$7,LEFT(O2030,3)=$W$7)),"x","")</f>
        <v/>
      </c>
      <c r="X2030" s="75" t="str">
        <f>IF(OR(TH!N2030=TH!$X$7,O2030=TH!$X$7),"x","")</f>
        <v/>
      </c>
      <c r="Y2030" s="75" t="str">
        <f>IF(AND(OR(N2030="131",O2030="131"),H2030='131-CT'!$H$9),"x","")</f>
        <v/>
      </c>
      <c r="Z2030" s="75"/>
      <c r="AA2030" s="75" t="str">
        <f>IF(AND(MONTH(E2030)='IN-NX'!$J$5,'IN-NX'!$D$7=D2030),"x","")</f>
        <v/>
      </c>
      <c r="AB2030" s="75" t="str">
        <f>IF(AND(OR(LEFT(TH!N2030,2)="15",LEFT(TH!O2030,2)="15"),LEFT(TH!O2030,3)&lt;&gt;"111",'152-CT'!$J$8=TH!F2030),"x","")</f>
        <v/>
      </c>
      <c r="AC2030" s="75" t="str">
        <f>IF(AND(OR(LEFT(TH!N2030,2)="15",LEFT(TH!O2030,2)="15"),TK!$E$7=TH!F2030),"x","")</f>
        <v/>
      </c>
      <c r="AD2030" s="75" t="str">
        <f>IF(AND(N2030="1521",MONTH(C2030)='BK-NL'!$M$11),"x","")</f>
        <v/>
      </c>
    </row>
    <row r="2031" spans="1:32" ht="16.5" customHeight="1">
      <c r="A2031" s="309" t="str">
        <f>IF(B2031&lt;&gt;"",IF(AND(B2031='IN-TC'!$S$4,OR(TH!N2031="1111",TH!O2031="1111")),TH!D2031,""),"")</f>
        <v/>
      </c>
      <c r="B2031" s="1244">
        <f t="shared" si="594"/>
        <v>10</v>
      </c>
      <c r="C2031" s="252">
        <v>43034</v>
      </c>
      <c r="D2031" s="252" t="s">
        <v>2325</v>
      </c>
      <c r="E2031" s="252">
        <f t="shared" si="595"/>
        <v>43034</v>
      </c>
      <c r="F2031" s="1055" t="s">
        <v>895</v>
      </c>
      <c r="G2031" s="1056" t="s">
        <v>1160</v>
      </c>
      <c r="H2031" s="735" t="s">
        <v>802</v>
      </c>
      <c r="I2031" s="371"/>
      <c r="J2031" s="371"/>
      <c r="K2031" s="371"/>
      <c r="L2031" s="377"/>
      <c r="M2031" s="933">
        <v>5650000</v>
      </c>
      <c r="N2031" s="977" t="s">
        <v>536</v>
      </c>
      <c r="O2031" s="977" t="s">
        <v>595</v>
      </c>
      <c r="P2031" s="75" t="str">
        <f>IF(AND('331-CT'!$E$7=TH!H2031,OR(N2031="331",O2031="331")),"x","")</f>
        <v/>
      </c>
      <c r="Q2031" s="75" t="str">
        <f>IF(AND(B2031='111'!$L$11,OR($N2031=$Q$7,$O2031=$Q$7)),"x","")</f>
        <v/>
      </c>
      <c r="R2031" s="75" t="str">
        <f>IF(AND($N2031=$Q$7,$B2031&lt;'111'!$L$11),"x","")</f>
        <v/>
      </c>
      <c r="S2031" s="75" t="str">
        <f>IF(AND($O2031=$Q$7,$B2031&lt;'111'!$L$11),"x","")</f>
        <v/>
      </c>
      <c r="T2031" s="75" t="str">
        <f>IF(ISERROR(FIND('112'!$M$9,G2031,1)),"",IF((AND(FIND('112'!$M$9,G2031,1)&gt;=1,B2031='112'!$K$9,OR($N2031='112'!$I$6,$O2031='112'!$I$6))),"x",""))</f>
        <v/>
      </c>
      <c r="U2031" s="75" t="str">
        <f>IF(ISERROR(FIND('112'!$M$9,G2031,1)),"",IF((AND(LEFT(G2031,2)=LEFT('112'!$M$9,2),B2031&lt;'112'!$K$9,$N2031='112'!$I$6)),"x",""))</f>
        <v/>
      </c>
      <c r="V2031" s="75" t="str">
        <f>IF(ISERROR(FIND('112'!$M$9,G2031,1)),"",IF((AND(RIGHT(G2031,2)=RIGHT('112'!$M$9,2),B2031&lt;'112'!$K$9,$O2031='112'!$I$6)),"x",""))</f>
        <v/>
      </c>
      <c r="W2031" s="75" t="str">
        <f>IF(AND('341-CT'!$H$9=H2031,OR(LEFT(N2031,3)=$W$7,LEFT(O2031,3)=$W$7)),"x","")</f>
        <v/>
      </c>
      <c r="X2031" s="75" t="str">
        <f>IF(OR(TH!N2031=TH!$X$7,O2031=TH!$X$7),"x","")</f>
        <v/>
      </c>
      <c r="Y2031" s="75" t="str">
        <f>IF(AND(OR(N2031="131",O2031="131"),H2031='131-CT'!$H$9),"x","")</f>
        <v/>
      </c>
      <c r="Z2031" s="75"/>
      <c r="AA2031" s="75" t="str">
        <f>IF(AND(MONTH(E2031)='IN-NX'!$J$5,'IN-NX'!$D$7=D2031),"x","")</f>
        <v/>
      </c>
      <c r="AB2031" s="75" t="str">
        <f>IF(AND(OR(LEFT(TH!N2031,2)="15",LEFT(TH!O2031,2)="15"),LEFT(TH!O2031,3)&lt;&gt;"111",'152-CT'!$J$8=TH!F2031),"x","")</f>
        <v/>
      </c>
      <c r="AC2031" s="75" t="str">
        <f>IF(AND(OR(LEFT(TH!N2031,2)="15",LEFT(TH!O2031,2)="15"),TK!$E$7=TH!F2031),"x","")</f>
        <v/>
      </c>
      <c r="AD2031" s="75" t="str">
        <f>IF(AND(N2031="1521",MONTH(C2031)='BK-NL'!$M$11),"x","")</f>
        <v/>
      </c>
    </row>
    <row r="2032" spans="1:32" ht="16.5" customHeight="1">
      <c r="A2032" s="309" t="str">
        <f>IF(B2032&lt;&gt;"",IF(AND(B2032='IN-TC'!$S$4,OR(TH!N2032="1111",TH!O2032="1111")),TH!D2032,""),"")</f>
        <v/>
      </c>
      <c r="B2032" s="1244">
        <f t="shared" si="594"/>
        <v>10</v>
      </c>
      <c r="C2032" s="252">
        <v>43035</v>
      </c>
      <c r="D2032" s="252" t="s">
        <v>2580</v>
      </c>
      <c r="E2032" s="252">
        <f t="shared" si="595"/>
        <v>43035</v>
      </c>
      <c r="F2032" s="1055" t="s">
        <v>1406</v>
      </c>
      <c r="G2032" s="1056" t="s">
        <v>2581</v>
      </c>
      <c r="H2032" s="73" t="s">
        <v>802</v>
      </c>
      <c r="I2032" s="371">
        <v>60</v>
      </c>
      <c r="J2032" s="371">
        <v>150000</v>
      </c>
      <c r="K2032" s="371"/>
      <c r="L2032" s="377"/>
      <c r="M2032" s="933">
        <f t="shared" ref="M2032:M2033" si="597">ROUND(I2032*J2032,0)</f>
        <v>9000000</v>
      </c>
      <c r="N2032" s="977" t="s">
        <v>536</v>
      </c>
      <c r="O2032" s="977" t="s">
        <v>286</v>
      </c>
      <c r="P2032" s="75" t="str">
        <f>IF(AND('331-CT'!$E$7=TH!H2032,OR(N2032="331",O2032="331")),"x","")</f>
        <v/>
      </c>
      <c r="Q2032" s="75" t="str">
        <f>IF(AND(B2032='111'!$L$11,OR($N2032=$Q$7,$O2032=$Q$7)),"x","")</f>
        <v/>
      </c>
      <c r="R2032" s="75" t="str">
        <f>IF(AND($N2032=$Q$7,$B2032&lt;'111'!$L$11),"x","")</f>
        <v/>
      </c>
      <c r="S2032" s="75" t="str">
        <f>IF(AND($O2032=$Q$7,$B2032&lt;'111'!$L$11),"x","")</f>
        <v/>
      </c>
      <c r="T2032" s="75" t="str">
        <f>IF(ISERROR(FIND('112'!$M$9,G2032,1)),"",IF((AND(FIND('112'!$M$9,G2032,1)&gt;=1,B2032='112'!$K$9,OR($N2032='112'!$I$6,$O2032='112'!$I$6))),"x",""))</f>
        <v/>
      </c>
      <c r="U2032" s="75" t="str">
        <f>IF(ISERROR(FIND('112'!$M$9,G2032,1)),"",IF((AND(LEFT(G2032,2)=LEFT('112'!$M$9,2),B2032&lt;'112'!$K$9,$N2032='112'!$I$6)),"x",""))</f>
        <v/>
      </c>
      <c r="V2032" s="75" t="str">
        <f>IF(ISERROR(FIND('112'!$M$9,G2032,1)),"",IF((AND(RIGHT(G2032,2)=RIGHT('112'!$M$9,2),B2032&lt;'112'!$K$9,$O2032='112'!$I$6)),"x",""))</f>
        <v/>
      </c>
      <c r="W2032" s="75" t="str">
        <f>IF(AND('341-CT'!$H$9=H2032,OR(LEFT(N2032,3)=$W$7,LEFT(O2032,3)=$W$7)),"x","")</f>
        <v/>
      </c>
      <c r="X2032" s="75" t="str">
        <f>IF(OR(TH!N2032=TH!$X$7,O2032=TH!$X$7),"x","")</f>
        <v/>
      </c>
      <c r="Y2032" s="75" t="str">
        <f>IF(AND(OR(N2032="131",O2032="131"),H2032='131-CT'!$H$9),"x","")</f>
        <v/>
      </c>
      <c r="Z2032" s="75"/>
      <c r="AA2032" s="75" t="str">
        <f>IF(AND(MONTH(E2032)='IN-NX'!$J$5,'IN-NX'!$D$7=D2032),"x","")</f>
        <v/>
      </c>
      <c r="AB2032" s="75" t="str">
        <f>IF(AND(OR(LEFT(TH!N2032,2)="15",LEFT(TH!O2032,2)="15"),LEFT(TH!O2032,3)&lt;&gt;"111",'152-CT'!$J$8=TH!F2032),"x","")</f>
        <v/>
      </c>
      <c r="AC2032" s="75" t="str">
        <f>IF(AND(OR(LEFT(TH!N2032,2)="15",LEFT(TH!O2032,2)="15"),TK!$E$7=TH!F2032),"x","")</f>
        <v/>
      </c>
      <c r="AD2032" s="75" t="str">
        <f>IF(AND(N2032="1521",MONTH(C2032)='BK-NL'!$M$11),"x","")</f>
        <v/>
      </c>
    </row>
    <row r="2033" spans="1:32" ht="16.5" customHeight="1">
      <c r="A2033" s="309" t="str">
        <f>IF(B2033&lt;&gt;"",IF(AND(B2033='IN-TC'!$S$4,OR(TH!N2033="1111",TH!O2033="1111")),TH!D2033,""),"")</f>
        <v/>
      </c>
      <c r="B2033" s="1244">
        <f t="shared" ref="B2033" si="598">IF(C2033&lt;&gt;"",MONTH(C2033),"")</f>
        <v>10</v>
      </c>
      <c r="C2033" s="252">
        <v>43035</v>
      </c>
      <c r="D2033" s="252" t="s">
        <v>2580</v>
      </c>
      <c r="E2033" s="252">
        <f t="shared" ref="E2033" si="599">C2033</f>
        <v>43035</v>
      </c>
      <c r="F2033" s="1055" t="s">
        <v>1617</v>
      </c>
      <c r="G2033" s="1056" t="s">
        <v>2581</v>
      </c>
      <c r="H2033" s="73" t="s">
        <v>802</v>
      </c>
      <c r="I2033" s="371">
        <v>60</v>
      </c>
      <c r="J2033" s="371">
        <v>680000</v>
      </c>
      <c r="K2033" s="371"/>
      <c r="L2033" s="377"/>
      <c r="M2033" s="933">
        <f t="shared" si="597"/>
        <v>40800000</v>
      </c>
      <c r="N2033" s="977" t="s">
        <v>536</v>
      </c>
      <c r="O2033" s="977" t="s">
        <v>286</v>
      </c>
      <c r="P2033" s="75" t="str">
        <f>IF(AND('331-CT'!$E$7=TH!H2033,OR(N2033="331",O2033="331")),"x","")</f>
        <v/>
      </c>
      <c r="Q2033" s="75" t="str">
        <f>IF(AND(B2033='111'!$L$11,OR($N2033=$Q$7,$O2033=$Q$7)),"x","")</f>
        <v/>
      </c>
      <c r="R2033" s="75" t="str">
        <f>IF(AND($N2033=$Q$7,$B2033&lt;'111'!$L$11),"x","")</f>
        <v/>
      </c>
      <c r="S2033" s="75" t="str">
        <f>IF(AND($O2033=$Q$7,$B2033&lt;'111'!$L$11),"x","")</f>
        <v/>
      </c>
      <c r="T2033" s="75" t="str">
        <f>IF(ISERROR(FIND('112'!$M$9,G2033,1)),"",IF((AND(FIND('112'!$M$9,G2033,1)&gt;=1,B2033='112'!$K$9,OR($N2033='112'!$I$6,$O2033='112'!$I$6))),"x",""))</f>
        <v/>
      </c>
      <c r="U2033" s="75" t="str">
        <f>IF(ISERROR(FIND('112'!$M$9,G2033,1)),"",IF((AND(LEFT(G2033,2)=LEFT('112'!$M$9,2),B2033&lt;'112'!$K$9,$N2033='112'!$I$6)),"x",""))</f>
        <v/>
      </c>
      <c r="V2033" s="75" t="str">
        <f>IF(ISERROR(FIND('112'!$M$9,G2033,1)),"",IF((AND(RIGHT(G2033,2)=RIGHT('112'!$M$9,2),B2033&lt;'112'!$K$9,$O2033='112'!$I$6)),"x",""))</f>
        <v/>
      </c>
      <c r="W2033" s="75" t="str">
        <f>IF(AND('341-CT'!$H$9=H2033,OR(LEFT(N2033,3)=$W$7,LEFT(O2033,3)=$W$7)),"x","")</f>
        <v/>
      </c>
      <c r="X2033" s="75" t="str">
        <f>IF(OR(TH!N2033=TH!$X$7,O2033=TH!$X$7),"x","")</f>
        <v/>
      </c>
      <c r="Y2033" s="75" t="str">
        <f>IF(AND(OR(N2033="131",O2033="131"),H2033='131-CT'!$H$9),"x","")</f>
        <v/>
      </c>
      <c r="Z2033" s="75"/>
      <c r="AA2033" s="75" t="str">
        <f>IF(AND(MONTH(E2033)='IN-NX'!$J$5,'IN-NX'!$D$7=D2033),"x","")</f>
        <v/>
      </c>
      <c r="AB2033" s="75" t="str">
        <f>IF(AND(OR(LEFT(TH!N2033,2)="15",LEFT(TH!O2033,2)="15"),LEFT(TH!O2033,3)&lt;&gt;"111",'152-CT'!$J$8=TH!F2033),"x","")</f>
        <v/>
      </c>
      <c r="AC2033" s="75" t="str">
        <f>IF(AND(OR(LEFT(TH!N2033,2)="15",LEFT(TH!O2033,2)="15"),TK!$E$7=TH!F2033),"x","")</f>
        <v/>
      </c>
      <c r="AD2033" s="75" t="str">
        <f>IF(AND(N2033="1521",MONTH(C2033)='BK-NL'!$M$11),"x","")</f>
        <v/>
      </c>
    </row>
    <row r="2034" spans="1:32" ht="16.5" customHeight="1">
      <c r="A2034" s="309" t="str">
        <f>IF(B2034&lt;&gt;"",IF(AND(B2034='IN-TC'!$S$4,OR(TH!N2034="1111",TH!O2034="1111")),TH!D2034,""),"")</f>
        <v/>
      </c>
      <c r="B2034" s="1244">
        <f t="shared" si="594"/>
        <v>10</v>
      </c>
      <c r="C2034" s="252">
        <v>43035</v>
      </c>
      <c r="D2034" s="252" t="s">
        <v>2580</v>
      </c>
      <c r="E2034" s="252">
        <f t="shared" si="595"/>
        <v>43035</v>
      </c>
      <c r="F2034" s="1055" t="s">
        <v>895</v>
      </c>
      <c r="G2034" s="1056" t="s">
        <v>2581</v>
      </c>
      <c r="H2034" s="73" t="s">
        <v>802</v>
      </c>
      <c r="I2034" s="371"/>
      <c r="J2034" s="371"/>
      <c r="K2034" s="371"/>
      <c r="L2034" s="377"/>
      <c r="M2034" s="377">
        <v>4980000</v>
      </c>
      <c r="N2034" s="977" t="s">
        <v>536</v>
      </c>
      <c r="O2034" s="977" t="s">
        <v>595</v>
      </c>
      <c r="P2034" s="75" t="str">
        <f>IF(AND('331-CT'!$E$7=TH!H2034,OR(N2034="331",O2034="331")),"x","")</f>
        <v/>
      </c>
      <c r="Q2034" s="75" t="str">
        <f>IF(AND(B2034='111'!$L$11,OR($N2034=$Q$7,$O2034=$Q$7)),"x","")</f>
        <v/>
      </c>
      <c r="R2034" s="75" t="str">
        <f>IF(AND($N2034=$Q$7,$B2034&lt;'111'!$L$11),"x","")</f>
        <v/>
      </c>
      <c r="S2034" s="75" t="str">
        <f>IF(AND($O2034=$Q$7,$B2034&lt;'111'!$L$11),"x","")</f>
        <v/>
      </c>
      <c r="T2034" s="75" t="str">
        <f>IF(ISERROR(FIND('112'!$M$9,G2034,1)),"",IF((AND(FIND('112'!$M$9,G2034,1)&gt;=1,B2034='112'!$K$9,OR($N2034='112'!$I$6,$O2034='112'!$I$6))),"x",""))</f>
        <v/>
      </c>
      <c r="U2034" s="75" t="str">
        <f>IF(ISERROR(FIND('112'!$M$9,G2034,1)),"",IF((AND(LEFT(G2034,2)=LEFT('112'!$M$9,2),B2034&lt;'112'!$K$9,$N2034='112'!$I$6)),"x",""))</f>
        <v/>
      </c>
      <c r="V2034" s="75" t="str">
        <f>IF(ISERROR(FIND('112'!$M$9,G2034,1)),"",IF((AND(RIGHT(G2034,2)=RIGHT('112'!$M$9,2),B2034&lt;'112'!$K$9,$O2034='112'!$I$6)),"x",""))</f>
        <v/>
      </c>
      <c r="W2034" s="75" t="str">
        <f>IF(AND('341-CT'!$H$9=H2034,OR(LEFT(N2034,3)=$W$7,LEFT(O2034,3)=$W$7)),"x","")</f>
        <v/>
      </c>
      <c r="X2034" s="75" t="str">
        <f>IF(OR(TH!N2034=TH!$X$7,O2034=TH!$X$7),"x","")</f>
        <v/>
      </c>
      <c r="Y2034" s="75" t="str">
        <f>IF(AND(OR(N2034="131",O2034="131"),H2034='131-CT'!$H$9),"x","")</f>
        <v/>
      </c>
      <c r="Z2034" s="75"/>
      <c r="AA2034" s="75" t="str">
        <f>IF(AND(MONTH(E2034)='IN-NX'!$J$5,'IN-NX'!$D$7=D2034),"x","")</f>
        <v/>
      </c>
      <c r="AB2034" s="75" t="str">
        <f>IF(AND(OR(LEFT(TH!N2034,2)="15",LEFT(TH!O2034,2)="15"),LEFT(TH!O2034,3)&lt;&gt;"111",'152-CT'!$J$8=TH!F2034),"x","")</f>
        <v/>
      </c>
      <c r="AC2034" s="75" t="str">
        <f>IF(AND(OR(LEFT(TH!N2034,2)="15",LEFT(TH!O2034,2)="15"),TK!$E$7=TH!F2034),"x","")</f>
        <v/>
      </c>
      <c r="AD2034" s="75" t="str">
        <f>IF(AND(N2034="1521",MONTH(C2034)='BK-NL'!$M$11),"x","")</f>
        <v/>
      </c>
    </row>
    <row r="2035" spans="1:32" s="1053" customFormat="1" ht="16.5" customHeight="1">
      <c r="A2035" s="309" t="str">
        <f>IF(B2035&lt;&gt;"",IF(AND(B2035='IN-TC'!$S$4,OR(TH!N2035="1111",TH!O2035="1111")),TH!D2035,""),"")</f>
        <v/>
      </c>
      <c r="B2035" s="1244">
        <f t="shared" ref="B2035:B2062" si="600">IF(C2035&lt;&gt;"",MONTH(C2035),"")</f>
        <v>10</v>
      </c>
      <c r="C2035" s="217">
        <v>43010</v>
      </c>
      <c r="D2035" s="217" t="s">
        <v>815</v>
      </c>
      <c r="E2035" s="217">
        <f t="shared" ref="E2035" si="601">C2035</f>
        <v>43010</v>
      </c>
      <c r="F2035" s="960" t="s">
        <v>801</v>
      </c>
      <c r="G2035" s="739" t="s">
        <v>2527</v>
      </c>
      <c r="H2035" s="311" t="s">
        <v>623</v>
      </c>
      <c r="I2035" s="373">
        <v>750</v>
      </c>
      <c r="J2035" s="373">
        <v>155000</v>
      </c>
      <c r="K2035" s="373"/>
      <c r="L2035" s="379"/>
      <c r="M2035" s="927">
        <f t="shared" ref="M2035" si="602">ROUND(I2035*J2035,0)</f>
        <v>116250000</v>
      </c>
      <c r="N2035" s="935" t="s">
        <v>274</v>
      </c>
      <c r="O2035" s="935" t="s">
        <v>8</v>
      </c>
      <c r="P2035" s="75" t="str">
        <f>IF(AND('331-CT'!$E$7=TH!H2035,OR(N2035="331",O2035="331")),"x","")</f>
        <v/>
      </c>
      <c r="Q2035" s="75" t="str">
        <f>IF(AND(B2035='111'!$L$11,OR($N2035=$Q$7,$O2035=$Q$7)),"x","")</f>
        <v/>
      </c>
      <c r="R2035" s="75" t="str">
        <f>IF(AND($N2035=$Q$7,$B2035&lt;'111'!$L$11),"x","")</f>
        <v/>
      </c>
      <c r="S2035" s="75" t="str">
        <f>IF(AND($O2035=$Q$7,$B2035&lt;'111'!$L$11),"x","")</f>
        <v/>
      </c>
      <c r="T2035" s="75" t="str">
        <f>IF(ISERROR(FIND('112'!$M$9,G2035,1)),"",IF((AND(FIND('112'!$M$9,G2035,1)&gt;=1,B2035='112'!$K$9,OR($N2035='112'!$I$6,$O2035='112'!$I$6))),"x",""))</f>
        <v/>
      </c>
      <c r="U2035" s="75" t="str">
        <f>IF(ISERROR(FIND('112'!$M$9,G2035,1)),"",IF((AND(LEFT(G2035,2)=LEFT('112'!$M$9,2),B2035&lt;'112'!$K$9,$N2035='112'!$I$6)),"x",""))</f>
        <v/>
      </c>
      <c r="V2035" s="75" t="str">
        <f>IF(ISERROR(FIND('112'!$M$9,G2035,1)),"",IF((AND(RIGHT(G2035,2)=RIGHT('112'!$M$9,2),B2035&lt;'112'!$K$9,$O2035='112'!$I$6)),"x",""))</f>
        <v/>
      </c>
      <c r="W2035" s="75" t="str">
        <f>IF(AND('341-CT'!$H$9=H2035,OR(LEFT(N2035,3)=$W$7,LEFT(O2035,3)=$W$7)),"x","")</f>
        <v/>
      </c>
      <c r="X2035" s="75" t="str">
        <f>IF(OR(TH!N2035=TH!$X$7,O2035=TH!$X$7),"x","")</f>
        <v/>
      </c>
      <c r="Y2035" s="75" t="str">
        <f>IF(AND(OR(N2035="131",O2035="131"),H2035='131-CT'!$H$9),"x","")</f>
        <v/>
      </c>
      <c r="Z2035" s="75"/>
      <c r="AA2035" s="75" t="str">
        <f>IF(AND(MONTH(E2035)='IN-NX'!$J$5,'IN-NX'!$D$7=D2035),"x","")</f>
        <v/>
      </c>
      <c r="AB2035" s="75" t="str">
        <f>IF(AND(OR(LEFT(TH!N2035,2)="15",LEFT(TH!O2035,2)="15"),LEFT(TH!O2035,3)&lt;&gt;"111",'152-CT'!$J$8=TH!F2035),"x","")</f>
        <v/>
      </c>
      <c r="AC2035" s="75" t="str">
        <f>IF(AND(OR(LEFT(TH!N2035,2)="15",LEFT(TH!O2035,2)="15"),TK!$E$7=TH!F2035),"x","")</f>
        <v/>
      </c>
      <c r="AD2035" s="75" t="str">
        <f>IF(AND(N2035="1521",MONTH(C2035)='BK-NL'!$M$11),"x","")</f>
        <v/>
      </c>
      <c r="AE2035" s="1053">
        <v>10</v>
      </c>
      <c r="AF2035" s="1054"/>
    </row>
    <row r="2036" spans="1:32" s="1053" customFormat="1" ht="16.5" customHeight="1">
      <c r="A2036" s="309" t="str">
        <f>IF(B2036&lt;&gt;"",IF(AND(B2036='IN-TC'!$S$4,OR(TH!N2036="1111",TH!O2036="1111")),TH!D2036,""),"")</f>
        <v/>
      </c>
      <c r="B2036" s="1244">
        <f t="shared" si="600"/>
        <v>10</v>
      </c>
      <c r="C2036" s="217">
        <v>43010</v>
      </c>
      <c r="D2036" s="217" t="s">
        <v>815</v>
      </c>
      <c r="E2036" s="217">
        <f t="shared" ref="E2036:E2037" si="603">C2036</f>
        <v>43010</v>
      </c>
      <c r="F2036" s="960" t="s">
        <v>1099</v>
      </c>
      <c r="G2036" s="739" t="s">
        <v>2527</v>
      </c>
      <c r="H2036" s="311" t="s">
        <v>623</v>
      </c>
      <c r="I2036" s="373"/>
      <c r="J2036" s="373"/>
      <c r="K2036" s="373"/>
      <c r="L2036" s="379"/>
      <c r="M2036" s="927">
        <v>11625000</v>
      </c>
      <c r="N2036" s="935" t="s">
        <v>9</v>
      </c>
      <c r="O2036" s="935" t="s">
        <v>8</v>
      </c>
      <c r="P2036" s="75" t="str">
        <f>IF(AND('331-CT'!$E$7=TH!H2036,OR(N2036="331",O2036="331")),"x","")</f>
        <v/>
      </c>
      <c r="Q2036" s="75" t="str">
        <f>IF(AND(B2036='111'!$L$11,OR($N2036=$Q$7,$O2036=$Q$7)),"x","")</f>
        <v/>
      </c>
      <c r="R2036" s="75" t="str">
        <f>IF(AND($N2036=$Q$7,$B2036&lt;'111'!$L$11),"x","")</f>
        <v/>
      </c>
      <c r="S2036" s="75" t="str">
        <f>IF(AND($O2036=$Q$7,$B2036&lt;'111'!$L$11),"x","")</f>
        <v/>
      </c>
      <c r="T2036" s="75" t="str">
        <f>IF(ISERROR(FIND('112'!$M$9,G2036,1)),"",IF((AND(FIND('112'!$M$9,G2036,1)&gt;=1,B2036='112'!$K$9,OR($N2036='112'!$I$6,$O2036='112'!$I$6))),"x",""))</f>
        <v/>
      </c>
      <c r="U2036" s="75" t="str">
        <f>IF(ISERROR(FIND('112'!$M$9,G2036,1)),"",IF((AND(LEFT(G2036,2)=LEFT('112'!$M$9,2),B2036&lt;'112'!$K$9,$N2036='112'!$I$6)),"x",""))</f>
        <v/>
      </c>
      <c r="V2036" s="75" t="str">
        <f>IF(ISERROR(FIND('112'!$M$9,G2036,1)),"",IF((AND(RIGHT(G2036,2)=RIGHT('112'!$M$9,2),B2036&lt;'112'!$K$9,$O2036='112'!$I$6)),"x",""))</f>
        <v/>
      </c>
      <c r="W2036" s="75" t="str">
        <f>IF(AND('341-CT'!$H$9=H2036,OR(LEFT(N2036,3)=$W$7,LEFT(O2036,3)=$W$7)),"x","")</f>
        <v/>
      </c>
      <c r="X2036" s="75" t="str">
        <f>IF(OR(TH!N2036=TH!$X$7,O2036=TH!$X$7),"x","")</f>
        <v/>
      </c>
      <c r="Y2036" s="75" t="str">
        <f>IF(AND(OR(N2036="131",O2036="131"),H2036='131-CT'!$H$9),"x","")</f>
        <v/>
      </c>
      <c r="Z2036" s="75"/>
      <c r="AA2036" s="75" t="str">
        <f>IF(AND(MONTH(E2036)='IN-NX'!$J$5,'IN-NX'!$D$7=D2036),"x","")</f>
        <v/>
      </c>
      <c r="AB2036" s="75" t="str">
        <f>IF(AND(OR(LEFT(TH!N2036,2)="15",LEFT(TH!O2036,2)="15"),LEFT(TH!O2036,3)&lt;&gt;"111",'152-CT'!$J$8=TH!F2036),"x","")</f>
        <v/>
      </c>
      <c r="AC2036" s="75" t="str">
        <f>IF(AND(OR(LEFT(TH!N2036,2)="15",LEFT(TH!O2036,2)="15"),TK!$E$7=TH!F2036),"x","")</f>
        <v/>
      </c>
      <c r="AD2036" s="75" t="str">
        <f>IF(AND(N2036="1521",MONTH(C2036)='BK-NL'!$M$11),"x","")</f>
        <v/>
      </c>
      <c r="AE2036" s="1053">
        <v>10</v>
      </c>
    </row>
    <row r="2037" spans="1:32" s="1053" customFormat="1" ht="16.5" customHeight="1">
      <c r="A2037" s="309" t="str">
        <f>IF(B2037&lt;&gt;"",IF(AND(B2037='IN-TC'!$S$4,OR(TH!N2037="1111",TH!O2037="1111")),TH!D2037,""),"")</f>
        <v/>
      </c>
      <c r="B2037" s="1244">
        <f t="shared" si="600"/>
        <v>10</v>
      </c>
      <c r="C2037" s="217">
        <v>43010</v>
      </c>
      <c r="D2037" s="217" t="s">
        <v>997</v>
      </c>
      <c r="E2037" s="217">
        <f t="shared" si="603"/>
        <v>43010</v>
      </c>
      <c r="F2037" s="960" t="s">
        <v>429</v>
      </c>
      <c r="G2037" s="739" t="s">
        <v>2606</v>
      </c>
      <c r="H2037" s="311" t="s">
        <v>623</v>
      </c>
      <c r="I2037" s="373">
        <v>52780</v>
      </c>
      <c r="J2037" s="373">
        <v>51000</v>
      </c>
      <c r="K2037" s="373"/>
      <c r="L2037" s="379"/>
      <c r="M2037" s="927">
        <f t="shared" ref="M2037" si="604">ROUND(I2037*J2037,0)</f>
        <v>2691780000</v>
      </c>
      <c r="N2037" s="935" t="s">
        <v>274</v>
      </c>
      <c r="O2037" s="935" t="s">
        <v>8</v>
      </c>
      <c r="P2037" s="75" t="str">
        <f>IF(AND('331-CT'!$E$7=TH!H2037,OR(N2037="331",O2037="331")),"x","")</f>
        <v/>
      </c>
      <c r="Q2037" s="75" t="str">
        <f>IF(AND(B2037='111'!$L$11,OR($N2037=$Q$7,$O2037=$Q$7)),"x","")</f>
        <v/>
      </c>
      <c r="R2037" s="75" t="str">
        <f>IF(AND($N2037=$Q$7,$B2037&lt;'111'!$L$11),"x","")</f>
        <v/>
      </c>
      <c r="S2037" s="75" t="str">
        <f>IF(AND($O2037=$Q$7,$B2037&lt;'111'!$L$11),"x","")</f>
        <v/>
      </c>
      <c r="T2037" s="75" t="str">
        <f>IF(ISERROR(FIND('112'!$M$9,G2037,1)),"",IF((AND(FIND('112'!$M$9,G2037,1)&gt;=1,B2037='112'!$K$9,OR($N2037='112'!$I$6,$O2037='112'!$I$6))),"x",""))</f>
        <v/>
      </c>
      <c r="U2037" s="75" t="str">
        <f>IF(ISERROR(FIND('112'!$M$9,G2037,1)),"",IF((AND(LEFT(G2037,2)=LEFT('112'!$M$9,2),B2037&lt;'112'!$K$9,$N2037='112'!$I$6)),"x",""))</f>
        <v/>
      </c>
      <c r="V2037" s="75" t="str">
        <f>IF(ISERROR(FIND('112'!$M$9,G2037,1)),"",IF((AND(RIGHT(G2037,2)=RIGHT('112'!$M$9,2),B2037&lt;'112'!$K$9,$O2037='112'!$I$6)),"x",""))</f>
        <v/>
      </c>
      <c r="W2037" s="75" t="str">
        <f>IF(AND('341-CT'!$H$9=H2037,OR(LEFT(N2037,3)=$W$7,LEFT(O2037,3)=$W$7)),"x","")</f>
        <v/>
      </c>
      <c r="X2037" s="75" t="str">
        <f>IF(OR(TH!N2037=TH!$X$7,O2037=TH!$X$7),"x","")</f>
        <v/>
      </c>
      <c r="Y2037" s="75" t="str">
        <f>IF(AND(OR(N2037="131",O2037="131"),H2037='131-CT'!$H$9),"x","")</f>
        <v/>
      </c>
      <c r="Z2037" s="75"/>
      <c r="AA2037" s="75" t="str">
        <f>IF(AND(MONTH(E2037)='IN-NX'!$J$5,'IN-NX'!$D$7=D2037),"x","")</f>
        <v/>
      </c>
      <c r="AB2037" s="75" t="str">
        <f>IF(AND(OR(LEFT(TH!N2037,2)="15",LEFT(TH!O2037,2)="15"),LEFT(TH!O2037,3)&lt;&gt;"111",'152-CT'!$J$8=TH!F2037),"x","")</f>
        <v/>
      </c>
      <c r="AC2037" s="75" t="str">
        <f>IF(AND(OR(LEFT(TH!N2037,2)="15",LEFT(TH!O2037,2)="15"),TK!$E$7=TH!F2037),"x","")</f>
        <v/>
      </c>
      <c r="AD2037" s="75" t="str">
        <f>IF(AND(N2037="1521",MONTH(C2037)='BK-NL'!$M$11),"x","")</f>
        <v/>
      </c>
      <c r="AF2037" s="1054"/>
    </row>
    <row r="2038" spans="1:32" s="1053" customFormat="1" ht="16.5" customHeight="1">
      <c r="A2038" s="309" t="str">
        <f>IF(B2038&lt;&gt;"",IF(AND(B2038='IN-TC'!$S$4,OR(TH!N2038="1111",TH!O2038="1111")),TH!D2038,""),"")</f>
        <v/>
      </c>
      <c r="B2038" s="1244">
        <f t="shared" si="600"/>
        <v>10</v>
      </c>
      <c r="C2038" s="217">
        <v>43011</v>
      </c>
      <c r="D2038" s="217" t="s">
        <v>999</v>
      </c>
      <c r="E2038" s="217">
        <f t="shared" ref="E2038" si="605">C2038</f>
        <v>43011</v>
      </c>
      <c r="F2038" s="960" t="s">
        <v>429</v>
      </c>
      <c r="G2038" s="739" t="s">
        <v>2607</v>
      </c>
      <c r="H2038" s="311" t="s">
        <v>623</v>
      </c>
      <c r="I2038" s="373">
        <v>52780</v>
      </c>
      <c r="J2038" s="373">
        <v>51000</v>
      </c>
      <c r="K2038" s="373"/>
      <c r="L2038" s="379"/>
      <c r="M2038" s="927">
        <f t="shared" ref="M2038" si="606">ROUND(I2038*J2038,0)</f>
        <v>2691780000</v>
      </c>
      <c r="N2038" s="935" t="s">
        <v>274</v>
      </c>
      <c r="O2038" s="935" t="s">
        <v>8</v>
      </c>
      <c r="P2038" s="75" t="str">
        <f>IF(AND('331-CT'!$E$7=TH!H2038,OR(N2038="331",O2038="331")),"x","")</f>
        <v/>
      </c>
      <c r="Q2038" s="75" t="str">
        <f>IF(AND(B2038='111'!$L$11,OR($N2038=$Q$7,$O2038=$Q$7)),"x","")</f>
        <v/>
      </c>
      <c r="R2038" s="75" t="str">
        <f>IF(AND($N2038=$Q$7,$B2038&lt;'111'!$L$11),"x","")</f>
        <v/>
      </c>
      <c r="S2038" s="75" t="str">
        <f>IF(AND($O2038=$Q$7,$B2038&lt;'111'!$L$11),"x","")</f>
        <v/>
      </c>
      <c r="T2038" s="75" t="str">
        <f>IF(ISERROR(FIND('112'!$M$9,G2038,1)),"",IF((AND(FIND('112'!$M$9,G2038,1)&gt;=1,B2038='112'!$K$9,OR($N2038='112'!$I$6,$O2038='112'!$I$6))),"x",""))</f>
        <v/>
      </c>
      <c r="U2038" s="75" t="str">
        <f>IF(ISERROR(FIND('112'!$M$9,G2038,1)),"",IF((AND(LEFT(G2038,2)=LEFT('112'!$M$9,2),B2038&lt;'112'!$K$9,$N2038='112'!$I$6)),"x",""))</f>
        <v/>
      </c>
      <c r="V2038" s="75" t="str">
        <f>IF(ISERROR(FIND('112'!$M$9,G2038,1)),"",IF((AND(RIGHT(G2038,2)=RIGHT('112'!$M$9,2),B2038&lt;'112'!$K$9,$O2038='112'!$I$6)),"x",""))</f>
        <v/>
      </c>
      <c r="W2038" s="75" t="str">
        <f>IF(AND('341-CT'!$H$9=H2038,OR(LEFT(N2038,3)=$W$7,LEFT(O2038,3)=$W$7)),"x","")</f>
        <v/>
      </c>
      <c r="X2038" s="75" t="str">
        <f>IF(OR(TH!N2038=TH!$X$7,O2038=TH!$X$7),"x","")</f>
        <v/>
      </c>
      <c r="Y2038" s="75" t="str">
        <f>IF(AND(OR(N2038="131",O2038="131"),H2038='131-CT'!$H$9),"x","")</f>
        <v/>
      </c>
      <c r="Z2038" s="75"/>
      <c r="AA2038" s="75" t="str">
        <f>IF(AND(MONTH(E2038)='IN-NX'!$J$5,'IN-NX'!$D$7=D2038),"x","")</f>
        <v/>
      </c>
      <c r="AB2038" s="75" t="str">
        <f>IF(AND(OR(LEFT(TH!N2038,2)="15",LEFT(TH!O2038,2)="15"),LEFT(TH!O2038,3)&lt;&gt;"111",'152-CT'!$J$8=TH!F2038),"x","")</f>
        <v/>
      </c>
      <c r="AC2038" s="75" t="str">
        <f>IF(AND(OR(LEFT(TH!N2038,2)="15",LEFT(TH!O2038,2)="15"),TK!$E$7=TH!F2038),"x","")</f>
        <v/>
      </c>
      <c r="AD2038" s="75" t="str">
        <f>IF(AND(N2038="1521",MONTH(C2038)='BK-NL'!$M$11),"x","")</f>
        <v/>
      </c>
      <c r="AF2038" s="1054"/>
    </row>
    <row r="2039" spans="1:32" s="1053" customFormat="1" ht="16.5" customHeight="1">
      <c r="A2039" s="309" t="str">
        <f>IF(B2039&lt;&gt;"",IF(AND(B2039='IN-TC'!$S$4,OR(TH!N2039="1111",TH!O2039="1111")),TH!D2039,""),"")</f>
        <v/>
      </c>
      <c r="B2039" s="1244">
        <f t="shared" si="600"/>
        <v>10</v>
      </c>
      <c r="C2039" s="217">
        <v>43012</v>
      </c>
      <c r="D2039" s="217" t="s">
        <v>1002</v>
      </c>
      <c r="E2039" s="217">
        <f t="shared" ref="E2039" si="607">C2039</f>
        <v>43012</v>
      </c>
      <c r="F2039" s="960" t="s">
        <v>429</v>
      </c>
      <c r="G2039" s="739" t="s">
        <v>2608</v>
      </c>
      <c r="H2039" s="311" t="s">
        <v>623</v>
      </c>
      <c r="I2039" s="373">
        <v>52780</v>
      </c>
      <c r="J2039" s="373">
        <v>51000</v>
      </c>
      <c r="K2039" s="373"/>
      <c r="L2039" s="379"/>
      <c r="M2039" s="927">
        <f t="shared" ref="M2039" si="608">ROUND(I2039*J2039,0)</f>
        <v>2691780000</v>
      </c>
      <c r="N2039" s="935" t="s">
        <v>274</v>
      </c>
      <c r="O2039" s="935" t="s">
        <v>8</v>
      </c>
      <c r="P2039" s="75" t="str">
        <f>IF(AND('331-CT'!$E$7=TH!H2039,OR(N2039="331",O2039="331")),"x","")</f>
        <v/>
      </c>
      <c r="Q2039" s="75" t="str">
        <f>IF(AND(B2039='111'!$L$11,OR($N2039=$Q$7,$O2039=$Q$7)),"x","")</f>
        <v/>
      </c>
      <c r="R2039" s="75" t="str">
        <f>IF(AND($N2039=$Q$7,$B2039&lt;'111'!$L$11),"x","")</f>
        <v/>
      </c>
      <c r="S2039" s="75" t="str">
        <f>IF(AND($O2039=$Q$7,$B2039&lt;'111'!$L$11),"x","")</f>
        <v/>
      </c>
      <c r="T2039" s="75" t="str">
        <f>IF(ISERROR(FIND('112'!$M$9,G2039,1)),"",IF((AND(FIND('112'!$M$9,G2039,1)&gt;=1,B2039='112'!$K$9,OR($N2039='112'!$I$6,$O2039='112'!$I$6))),"x",""))</f>
        <v/>
      </c>
      <c r="U2039" s="75" t="str">
        <f>IF(ISERROR(FIND('112'!$M$9,G2039,1)),"",IF((AND(LEFT(G2039,2)=LEFT('112'!$M$9,2),B2039&lt;'112'!$K$9,$N2039='112'!$I$6)),"x",""))</f>
        <v/>
      </c>
      <c r="V2039" s="75" t="str">
        <f>IF(ISERROR(FIND('112'!$M$9,G2039,1)),"",IF((AND(RIGHT(G2039,2)=RIGHT('112'!$M$9,2),B2039&lt;'112'!$K$9,$O2039='112'!$I$6)),"x",""))</f>
        <v/>
      </c>
      <c r="W2039" s="75" t="str">
        <f>IF(AND('341-CT'!$H$9=H2039,OR(LEFT(N2039,3)=$W$7,LEFT(O2039,3)=$W$7)),"x","")</f>
        <v/>
      </c>
      <c r="X2039" s="75" t="str">
        <f>IF(OR(TH!N2039=TH!$X$7,O2039=TH!$X$7),"x","")</f>
        <v/>
      </c>
      <c r="Y2039" s="75" t="str">
        <f>IF(AND(OR(N2039="131",O2039="131"),H2039='131-CT'!$H$9),"x","")</f>
        <v/>
      </c>
      <c r="Z2039" s="75"/>
      <c r="AA2039" s="75" t="str">
        <f>IF(AND(MONTH(E2039)='IN-NX'!$J$5,'IN-NX'!$D$7=D2039),"x","")</f>
        <v/>
      </c>
      <c r="AB2039" s="75" t="str">
        <f>IF(AND(OR(LEFT(TH!N2039,2)="15",LEFT(TH!O2039,2)="15"),LEFT(TH!O2039,3)&lt;&gt;"111",'152-CT'!$J$8=TH!F2039),"x","")</f>
        <v/>
      </c>
      <c r="AC2039" s="75" t="str">
        <f>IF(AND(OR(LEFT(TH!N2039,2)="15",LEFT(TH!O2039,2)="15"),TK!$E$7=TH!F2039),"x","")</f>
        <v/>
      </c>
      <c r="AD2039" s="75" t="str">
        <f>IF(AND(N2039="1521",MONTH(C2039)='BK-NL'!$M$11),"x","")</f>
        <v/>
      </c>
      <c r="AF2039" s="1054"/>
    </row>
    <row r="2040" spans="1:32" s="1053" customFormat="1" ht="16.5" customHeight="1">
      <c r="A2040" s="309" t="str">
        <f>IF(B2040&lt;&gt;"",IF(AND(B2040='IN-TC'!$S$4,OR(TH!N2040="1111",TH!O2040="1111")),TH!D2040,""),"")</f>
        <v/>
      </c>
      <c r="B2040" s="1244">
        <f t="shared" si="600"/>
        <v>10</v>
      </c>
      <c r="C2040" s="217">
        <v>43013</v>
      </c>
      <c r="D2040" s="217" t="s">
        <v>1084</v>
      </c>
      <c r="E2040" s="217">
        <f t="shared" ref="E2040" si="609">C2040</f>
        <v>43013</v>
      </c>
      <c r="F2040" s="960" t="s">
        <v>429</v>
      </c>
      <c r="G2040" s="739" t="s">
        <v>2609</v>
      </c>
      <c r="H2040" s="311" t="s">
        <v>623</v>
      </c>
      <c r="I2040" s="373">
        <v>52780</v>
      </c>
      <c r="J2040" s="373">
        <v>51000</v>
      </c>
      <c r="K2040" s="373"/>
      <c r="L2040" s="379"/>
      <c r="M2040" s="927">
        <f t="shared" ref="M2040" si="610">ROUND(I2040*J2040,0)</f>
        <v>2691780000</v>
      </c>
      <c r="N2040" s="935" t="s">
        <v>274</v>
      </c>
      <c r="O2040" s="935" t="s">
        <v>8</v>
      </c>
      <c r="P2040" s="75" t="str">
        <f>IF(AND('331-CT'!$E$7=TH!H2040,OR(N2040="331",O2040="331")),"x","")</f>
        <v/>
      </c>
      <c r="Q2040" s="75" t="str">
        <f>IF(AND(B2040='111'!$L$11,OR($N2040=$Q$7,$O2040=$Q$7)),"x","")</f>
        <v/>
      </c>
      <c r="R2040" s="75" t="str">
        <f>IF(AND($N2040=$Q$7,$B2040&lt;'111'!$L$11),"x","")</f>
        <v/>
      </c>
      <c r="S2040" s="75" t="str">
        <f>IF(AND($O2040=$Q$7,$B2040&lt;'111'!$L$11),"x","")</f>
        <v/>
      </c>
      <c r="T2040" s="75" t="str">
        <f>IF(ISERROR(FIND('112'!$M$9,G2040,1)),"",IF((AND(FIND('112'!$M$9,G2040,1)&gt;=1,B2040='112'!$K$9,OR($N2040='112'!$I$6,$O2040='112'!$I$6))),"x",""))</f>
        <v/>
      </c>
      <c r="U2040" s="75" t="str">
        <f>IF(ISERROR(FIND('112'!$M$9,G2040,1)),"",IF((AND(LEFT(G2040,2)=LEFT('112'!$M$9,2),B2040&lt;'112'!$K$9,$N2040='112'!$I$6)),"x",""))</f>
        <v/>
      </c>
      <c r="V2040" s="75" t="str">
        <f>IF(ISERROR(FIND('112'!$M$9,G2040,1)),"",IF((AND(RIGHT(G2040,2)=RIGHT('112'!$M$9,2),B2040&lt;'112'!$K$9,$O2040='112'!$I$6)),"x",""))</f>
        <v/>
      </c>
      <c r="W2040" s="75" t="str">
        <f>IF(AND('341-CT'!$H$9=H2040,OR(LEFT(N2040,3)=$W$7,LEFT(O2040,3)=$W$7)),"x","")</f>
        <v/>
      </c>
      <c r="X2040" s="75" t="str">
        <f>IF(OR(TH!N2040=TH!$X$7,O2040=TH!$X$7),"x","")</f>
        <v/>
      </c>
      <c r="Y2040" s="75" t="str">
        <f>IF(AND(OR(N2040="131",O2040="131"),H2040='131-CT'!$H$9),"x","")</f>
        <v/>
      </c>
      <c r="Z2040" s="75"/>
      <c r="AA2040" s="75" t="str">
        <f>IF(AND(MONTH(E2040)='IN-NX'!$J$5,'IN-NX'!$D$7=D2040),"x","")</f>
        <v/>
      </c>
      <c r="AB2040" s="75" t="str">
        <f>IF(AND(OR(LEFT(TH!N2040,2)="15",LEFT(TH!O2040,2)="15"),LEFT(TH!O2040,3)&lt;&gt;"111",'152-CT'!$J$8=TH!F2040),"x","")</f>
        <v/>
      </c>
      <c r="AC2040" s="75" t="str">
        <f>IF(AND(OR(LEFT(TH!N2040,2)="15",LEFT(TH!O2040,2)="15"),TK!$E$7=TH!F2040),"x","")</f>
        <v/>
      </c>
      <c r="AD2040" s="75" t="str">
        <f>IF(AND(N2040="1521",MONTH(C2040)='BK-NL'!$M$11),"x","")</f>
        <v/>
      </c>
      <c r="AF2040" s="1054"/>
    </row>
    <row r="2041" spans="1:32" s="1053" customFormat="1" ht="16.5" customHeight="1">
      <c r="A2041" s="309" t="str">
        <f>IF(B2041&lt;&gt;"",IF(AND(B2041='IN-TC'!$S$4,OR(TH!N2041="1111",TH!O2041="1111")),TH!D2041,""),"")</f>
        <v/>
      </c>
      <c r="B2041" s="1244">
        <f t="shared" si="600"/>
        <v>10</v>
      </c>
      <c r="C2041" s="217">
        <v>43014</v>
      </c>
      <c r="D2041" s="217" t="s">
        <v>1122</v>
      </c>
      <c r="E2041" s="217">
        <f t="shared" ref="E2041:E2050" si="611">C2041</f>
        <v>43014</v>
      </c>
      <c r="F2041" s="960" t="s">
        <v>429</v>
      </c>
      <c r="G2041" s="739" t="s">
        <v>2610</v>
      </c>
      <c r="H2041" s="311" t="s">
        <v>623</v>
      </c>
      <c r="I2041" s="373">
        <v>52780</v>
      </c>
      <c r="J2041" s="373">
        <v>51000</v>
      </c>
      <c r="K2041" s="373"/>
      <c r="L2041" s="379"/>
      <c r="M2041" s="927">
        <f t="shared" ref="M2041:M2050" si="612">ROUND(I2041*J2041,0)</f>
        <v>2691780000</v>
      </c>
      <c r="N2041" s="935" t="s">
        <v>274</v>
      </c>
      <c r="O2041" s="935" t="s">
        <v>8</v>
      </c>
      <c r="P2041" s="75" t="str">
        <f>IF(AND('331-CT'!$E$7=TH!H2041,OR(N2041="331",O2041="331")),"x","")</f>
        <v/>
      </c>
      <c r="Q2041" s="75" t="str">
        <f>IF(AND(B2041='111'!$L$11,OR($N2041=$Q$7,$O2041=$Q$7)),"x","")</f>
        <v/>
      </c>
      <c r="R2041" s="75" t="str">
        <f>IF(AND($N2041=$Q$7,$B2041&lt;'111'!$L$11),"x","")</f>
        <v/>
      </c>
      <c r="S2041" s="75" t="str">
        <f>IF(AND($O2041=$Q$7,$B2041&lt;'111'!$L$11),"x","")</f>
        <v/>
      </c>
      <c r="T2041" s="75" t="str">
        <f>IF(ISERROR(FIND('112'!$M$9,G2041,1)),"",IF((AND(FIND('112'!$M$9,G2041,1)&gt;=1,B2041='112'!$K$9,OR($N2041='112'!$I$6,$O2041='112'!$I$6))),"x",""))</f>
        <v/>
      </c>
      <c r="U2041" s="75" t="str">
        <f>IF(ISERROR(FIND('112'!$M$9,G2041,1)),"",IF((AND(LEFT(G2041,2)=LEFT('112'!$M$9,2),B2041&lt;'112'!$K$9,$N2041='112'!$I$6)),"x",""))</f>
        <v/>
      </c>
      <c r="V2041" s="75" t="str">
        <f>IF(ISERROR(FIND('112'!$M$9,G2041,1)),"",IF((AND(RIGHT(G2041,2)=RIGHT('112'!$M$9,2),B2041&lt;'112'!$K$9,$O2041='112'!$I$6)),"x",""))</f>
        <v/>
      </c>
      <c r="W2041" s="75" t="str">
        <f>IF(AND('341-CT'!$H$9=H2041,OR(LEFT(N2041,3)=$W$7,LEFT(O2041,3)=$W$7)),"x","")</f>
        <v/>
      </c>
      <c r="X2041" s="75" t="str">
        <f>IF(OR(TH!N2041=TH!$X$7,O2041=TH!$X$7),"x","")</f>
        <v/>
      </c>
      <c r="Y2041" s="75" t="str">
        <f>IF(AND(OR(N2041="131",O2041="131"),H2041='131-CT'!$H$9),"x","")</f>
        <v/>
      </c>
      <c r="Z2041" s="75"/>
      <c r="AA2041" s="75" t="str">
        <f>IF(AND(MONTH(E2041)='IN-NX'!$J$5,'IN-NX'!$D$7=D2041),"x","")</f>
        <v/>
      </c>
      <c r="AB2041" s="75" t="str">
        <f>IF(AND(OR(LEFT(TH!N2041,2)="15",LEFT(TH!O2041,2)="15"),LEFT(TH!O2041,3)&lt;&gt;"111",'152-CT'!$J$8=TH!F2041),"x","")</f>
        <v/>
      </c>
      <c r="AC2041" s="75" t="str">
        <f>IF(AND(OR(LEFT(TH!N2041,2)="15",LEFT(TH!O2041,2)="15"),TK!$E$7=TH!F2041),"x","")</f>
        <v/>
      </c>
      <c r="AD2041" s="75" t="str">
        <f>IF(AND(N2041="1521",MONTH(C2041)='BK-NL'!$M$11),"x","")</f>
        <v/>
      </c>
      <c r="AF2041" s="1054"/>
    </row>
    <row r="2042" spans="1:32" s="1053" customFormat="1" ht="16.5" customHeight="1">
      <c r="A2042" s="309" t="str">
        <f>IF(B2042&lt;&gt;"",IF(AND(B2042='IN-TC'!$S$4,OR(TH!N2042="1111",TH!O2042="1111")),TH!D2042,""),"")</f>
        <v/>
      </c>
      <c r="B2042" s="1244">
        <f t="shared" si="600"/>
        <v>10</v>
      </c>
      <c r="C2042" s="217">
        <v>43015</v>
      </c>
      <c r="D2042" s="217" t="s">
        <v>1123</v>
      </c>
      <c r="E2042" s="217">
        <f t="shared" si="611"/>
        <v>43015</v>
      </c>
      <c r="F2042" s="960" t="s">
        <v>429</v>
      </c>
      <c r="G2042" s="739" t="s">
        <v>2611</v>
      </c>
      <c r="H2042" s="311" t="s">
        <v>623</v>
      </c>
      <c r="I2042" s="373">
        <v>52780</v>
      </c>
      <c r="J2042" s="373">
        <v>51000</v>
      </c>
      <c r="K2042" s="373"/>
      <c r="L2042" s="379"/>
      <c r="M2042" s="927">
        <f t="shared" si="612"/>
        <v>2691780000</v>
      </c>
      <c r="N2042" s="935" t="s">
        <v>274</v>
      </c>
      <c r="O2042" s="935" t="s">
        <v>8</v>
      </c>
      <c r="P2042" s="75" t="str">
        <f>IF(AND('331-CT'!$E$7=TH!H2042,OR(N2042="331",O2042="331")),"x","")</f>
        <v/>
      </c>
      <c r="Q2042" s="75" t="str">
        <f>IF(AND(B2042='111'!$L$11,OR($N2042=$Q$7,$O2042=$Q$7)),"x","")</f>
        <v/>
      </c>
      <c r="R2042" s="75" t="str">
        <f>IF(AND($N2042=$Q$7,$B2042&lt;'111'!$L$11),"x","")</f>
        <v/>
      </c>
      <c r="S2042" s="75" t="str">
        <f>IF(AND($O2042=$Q$7,$B2042&lt;'111'!$L$11),"x","")</f>
        <v/>
      </c>
      <c r="T2042" s="75" t="str">
        <f>IF(ISERROR(FIND('112'!$M$9,G2042,1)),"",IF((AND(FIND('112'!$M$9,G2042,1)&gt;=1,B2042='112'!$K$9,OR($N2042='112'!$I$6,$O2042='112'!$I$6))),"x",""))</f>
        <v/>
      </c>
      <c r="U2042" s="75" t="str">
        <f>IF(ISERROR(FIND('112'!$M$9,G2042,1)),"",IF((AND(LEFT(G2042,2)=LEFT('112'!$M$9,2),B2042&lt;'112'!$K$9,$N2042='112'!$I$6)),"x",""))</f>
        <v/>
      </c>
      <c r="V2042" s="75" t="str">
        <f>IF(ISERROR(FIND('112'!$M$9,G2042,1)),"",IF((AND(RIGHT(G2042,2)=RIGHT('112'!$M$9,2),B2042&lt;'112'!$K$9,$O2042='112'!$I$6)),"x",""))</f>
        <v/>
      </c>
      <c r="W2042" s="75" t="str">
        <f>IF(AND('341-CT'!$H$9=H2042,OR(LEFT(N2042,3)=$W$7,LEFT(O2042,3)=$W$7)),"x","")</f>
        <v/>
      </c>
      <c r="X2042" s="75" t="str">
        <f>IF(OR(TH!N2042=TH!$X$7,O2042=TH!$X$7),"x","")</f>
        <v/>
      </c>
      <c r="Y2042" s="75" t="str">
        <f>IF(AND(OR(N2042="131",O2042="131"),H2042='131-CT'!$H$9),"x","")</f>
        <v/>
      </c>
      <c r="Z2042" s="75"/>
      <c r="AA2042" s="75" t="str">
        <f>IF(AND(MONTH(E2042)='IN-NX'!$J$5,'IN-NX'!$D$7=D2042),"x","")</f>
        <v/>
      </c>
      <c r="AB2042" s="75" t="str">
        <f>IF(AND(OR(LEFT(TH!N2042,2)="15",LEFT(TH!O2042,2)="15"),LEFT(TH!O2042,3)&lt;&gt;"111",'152-CT'!$J$8=TH!F2042),"x","")</f>
        <v/>
      </c>
      <c r="AC2042" s="75" t="str">
        <f>IF(AND(OR(LEFT(TH!N2042,2)="15",LEFT(TH!O2042,2)="15"),TK!$E$7=TH!F2042),"x","")</f>
        <v/>
      </c>
      <c r="AD2042" s="75" t="str">
        <f>IF(AND(N2042="1521",MONTH(C2042)='BK-NL'!$M$11),"x","")</f>
        <v/>
      </c>
      <c r="AF2042" s="1054"/>
    </row>
    <row r="2043" spans="1:32" s="1053" customFormat="1" ht="16.5" customHeight="1">
      <c r="A2043" s="309" t="str">
        <f>IF(B2043&lt;&gt;"",IF(AND(B2043='IN-TC'!$S$4,OR(TH!N2043="1111",TH!O2043="1111")),TH!D2043,""),"")</f>
        <v/>
      </c>
      <c r="B2043" s="1244">
        <f t="shared" si="600"/>
        <v>10</v>
      </c>
      <c r="C2043" s="217">
        <v>43017</v>
      </c>
      <c r="D2043" s="217" t="s">
        <v>1124</v>
      </c>
      <c r="E2043" s="217">
        <f t="shared" si="611"/>
        <v>43017</v>
      </c>
      <c r="F2043" s="960" t="s">
        <v>429</v>
      </c>
      <c r="G2043" s="739" t="s">
        <v>2612</v>
      </c>
      <c r="H2043" s="311" t="s">
        <v>623</v>
      </c>
      <c r="I2043" s="373">
        <v>26390</v>
      </c>
      <c r="J2043" s="373">
        <v>51000</v>
      </c>
      <c r="K2043" s="373"/>
      <c r="L2043" s="379"/>
      <c r="M2043" s="927">
        <f t="shared" si="612"/>
        <v>1345890000</v>
      </c>
      <c r="N2043" s="935" t="s">
        <v>274</v>
      </c>
      <c r="O2043" s="935" t="s">
        <v>8</v>
      </c>
      <c r="P2043" s="75" t="str">
        <f>IF(AND('331-CT'!$E$7=TH!H2043,OR(N2043="331",O2043="331")),"x","")</f>
        <v/>
      </c>
      <c r="Q2043" s="75" t="str">
        <f>IF(AND(B2043='111'!$L$11,OR($N2043=$Q$7,$O2043=$Q$7)),"x","")</f>
        <v/>
      </c>
      <c r="R2043" s="75" t="str">
        <f>IF(AND($N2043=$Q$7,$B2043&lt;'111'!$L$11),"x","")</f>
        <v/>
      </c>
      <c r="S2043" s="75" t="str">
        <f>IF(AND($O2043=$Q$7,$B2043&lt;'111'!$L$11),"x","")</f>
        <v/>
      </c>
      <c r="T2043" s="75" t="str">
        <f>IF(ISERROR(FIND('112'!$M$9,G2043,1)),"",IF((AND(FIND('112'!$M$9,G2043,1)&gt;=1,B2043='112'!$K$9,OR($N2043='112'!$I$6,$O2043='112'!$I$6))),"x",""))</f>
        <v/>
      </c>
      <c r="U2043" s="75" t="str">
        <f>IF(ISERROR(FIND('112'!$M$9,G2043,1)),"",IF((AND(LEFT(G2043,2)=LEFT('112'!$M$9,2),B2043&lt;'112'!$K$9,$N2043='112'!$I$6)),"x",""))</f>
        <v/>
      </c>
      <c r="V2043" s="75" t="str">
        <f>IF(ISERROR(FIND('112'!$M$9,G2043,1)),"",IF((AND(RIGHT(G2043,2)=RIGHT('112'!$M$9,2),B2043&lt;'112'!$K$9,$O2043='112'!$I$6)),"x",""))</f>
        <v/>
      </c>
      <c r="W2043" s="75" t="str">
        <f>IF(AND('341-CT'!$H$9=H2043,OR(LEFT(N2043,3)=$W$7,LEFT(O2043,3)=$W$7)),"x","")</f>
        <v/>
      </c>
      <c r="X2043" s="75" t="str">
        <f>IF(OR(TH!N2043=TH!$X$7,O2043=TH!$X$7),"x","")</f>
        <v/>
      </c>
      <c r="Y2043" s="75" t="str">
        <f>IF(AND(OR(N2043="131",O2043="131"),H2043='131-CT'!$H$9),"x","")</f>
        <v/>
      </c>
      <c r="Z2043" s="75"/>
      <c r="AA2043" s="75" t="str">
        <f>IF(AND(MONTH(E2043)='IN-NX'!$J$5,'IN-NX'!$D$7=D2043),"x","")</f>
        <v/>
      </c>
      <c r="AB2043" s="75" t="str">
        <f>IF(AND(OR(LEFT(TH!N2043,2)="15",LEFT(TH!O2043,2)="15"),LEFT(TH!O2043,3)&lt;&gt;"111",'152-CT'!$J$8=TH!F2043),"x","")</f>
        <v/>
      </c>
      <c r="AC2043" s="75" t="str">
        <f>IF(AND(OR(LEFT(TH!N2043,2)="15",LEFT(TH!O2043,2)="15"),TK!$E$7=TH!F2043),"x","")</f>
        <v/>
      </c>
      <c r="AD2043" s="75" t="str">
        <f>IF(AND(N2043="1521",MONTH(C2043)='BK-NL'!$M$11),"x","")</f>
        <v/>
      </c>
      <c r="AF2043" s="1054"/>
    </row>
    <row r="2044" spans="1:32" s="1053" customFormat="1" ht="16.5" customHeight="1">
      <c r="A2044" s="309" t="str">
        <f>IF(B2044&lt;&gt;"",IF(AND(B2044='IN-TC'!$S$4,OR(TH!N2044="1111",TH!O2044="1111")),TH!D2044,""),"")</f>
        <v/>
      </c>
      <c r="B2044" s="1244">
        <f t="shared" si="600"/>
        <v>10</v>
      </c>
      <c r="C2044" s="217">
        <v>43019</v>
      </c>
      <c r="D2044" s="217" t="s">
        <v>1125</v>
      </c>
      <c r="E2044" s="217">
        <f t="shared" si="611"/>
        <v>43019</v>
      </c>
      <c r="F2044" s="960" t="s">
        <v>429</v>
      </c>
      <c r="G2044" s="739" t="s">
        <v>2613</v>
      </c>
      <c r="H2044" s="311" t="s">
        <v>623</v>
      </c>
      <c r="I2044" s="373">
        <v>26390</v>
      </c>
      <c r="J2044" s="373">
        <v>51000</v>
      </c>
      <c r="K2044" s="373"/>
      <c r="L2044" s="379"/>
      <c r="M2044" s="927">
        <f t="shared" si="612"/>
        <v>1345890000</v>
      </c>
      <c r="N2044" s="935" t="s">
        <v>274</v>
      </c>
      <c r="O2044" s="935" t="s">
        <v>8</v>
      </c>
      <c r="P2044" s="75" t="str">
        <f>IF(AND('331-CT'!$E$7=TH!H2044,OR(N2044="331",O2044="331")),"x","")</f>
        <v/>
      </c>
      <c r="Q2044" s="75" t="str">
        <f>IF(AND(B2044='111'!$L$11,OR($N2044=$Q$7,$O2044=$Q$7)),"x","")</f>
        <v/>
      </c>
      <c r="R2044" s="75" t="str">
        <f>IF(AND($N2044=$Q$7,$B2044&lt;'111'!$L$11),"x","")</f>
        <v/>
      </c>
      <c r="S2044" s="75" t="str">
        <f>IF(AND($O2044=$Q$7,$B2044&lt;'111'!$L$11),"x","")</f>
        <v/>
      </c>
      <c r="T2044" s="75" t="str">
        <f>IF(ISERROR(FIND('112'!$M$9,G2044,1)),"",IF((AND(FIND('112'!$M$9,G2044,1)&gt;=1,B2044='112'!$K$9,OR($N2044='112'!$I$6,$O2044='112'!$I$6))),"x",""))</f>
        <v/>
      </c>
      <c r="U2044" s="75" t="str">
        <f>IF(ISERROR(FIND('112'!$M$9,G2044,1)),"",IF((AND(LEFT(G2044,2)=LEFT('112'!$M$9,2),B2044&lt;'112'!$K$9,$N2044='112'!$I$6)),"x",""))</f>
        <v/>
      </c>
      <c r="V2044" s="75" t="str">
        <f>IF(ISERROR(FIND('112'!$M$9,G2044,1)),"",IF((AND(RIGHT(G2044,2)=RIGHT('112'!$M$9,2),B2044&lt;'112'!$K$9,$O2044='112'!$I$6)),"x",""))</f>
        <v/>
      </c>
      <c r="W2044" s="75" t="str">
        <f>IF(AND('341-CT'!$H$9=H2044,OR(LEFT(N2044,3)=$W$7,LEFT(O2044,3)=$W$7)),"x","")</f>
        <v/>
      </c>
      <c r="X2044" s="75" t="str">
        <f>IF(OR(TH!N2044=TH!$X$7,O2044=TH!$X$7),"x","")</f>
        <v/>
      </c>
      <c r="Y2044" s="75" t="str">
        <f>IF(AND(OR(N2044="131",O2044="131"),H2044='131-CT'!$H$9),"x","")</f>
        <v/>
      </c>
      <c r="Z2044" s="75"/>
      <c r="AA2044" s="75" t="str">
        <f>IF(AND(MONTH(E2044)='IN-NX'!$J$5,'IN-NX'!$D$7=D2044),"x","")</f>
        <v/>
      </c>
      <c r="AB2044" s="75" t="str">
        <f>IF(AND(OR(LEFT(TH!N2044,2)="15",LEFT(TH!O2044,2)="15"),LEFT(TH!O2044,3)&lt;&gt;"111",'152-CT'!$J$8=TH!F2044),"x","")</f>
        <v/>
      </c>
      <c r="AC2044" s="75" t="str">
        <f>IF(AND(OR(LEFT(TH!N2044,2)="15",LEFT(TH!O2044,2)="15"),TK!$E$7=TH!F2044),"x","")</f>
        <v/>
      </c>
      <c r="AD2044" s="75" t="str">
        <f>IF(AND(N2044="1521",MONTH(C2044)='BK-NL'!$M$11),"x","")</f>
        <v/>
      </c>
      <c r="AF2044" s="1054"/>
    </row>
    <row r="2045" spans="1:32" s="1053" customFormat="1" ht="16.5" customHeight="1">
      <c r="A2045" s="309" t="str">
        <f>IF(B2045&lt;&gt;"",IF(AND(B2045='IN-TC'!$S$4,OR(TH!N2045="1111",TH!O2045="1111")),TH!D2045,""),"")</f>
        <v/>
      </c>
      <c r="B2045" s="1244">
        <f t="shared" si="600"/>
        <v>10</v>
      </c>
      <c r="C2045" s="217">
        <v>43020</v>
      </c>
      <c r="D2045" s="217" t="s">
        <v>1126</v>
      </c>
      <c r="E2045" s="217">
        <f t="shared" si="611"/>
        <v>43020</v>
      </c>
      <c r="F2045" s="960" t="s">
        <v>429</v>
      </c>
      <c r="G2045" s="739" t="s">
        <v>2614</v>
      </c>
      <c r="H2045" s="311" t="s">
        <v>623</v>
      </c>
      <c r="I2045" s="373">
        <v>26390</v>
      </c>
      <c r="J2045" s="373">
        <v>51500</v>
      </c>
      <c r="K2045" s="373"/>
      <c r="L2045" s="379"/>
      <c r="M2045" s="927">
        <f t="shared" si="612"/>
        <v>1359085000</v>
      </c>
      <c r="N2045" s="935" t="s">
        <v>274</v>
      </c>
      <c r="O2045" s="935" t="s">
        <v>8</v>
      </c>
      <c r="P2045" s="75" t="str">
        <f>IF(AND('331-CT'!$E$7=TH!H2045,OR(N2045="331",O2045="331")),"x","")</f>
        <v/>
      </c>
      <c r="Q2045" s="75" t="str">
        <f>IF(AND(B2045='111'!$L$11,OR($N2045=$Q$7,$O2045=$Q$7)),"x","")</f>
        <v/>
      </c>
      <c r="R2045" s="75" t="str">
        <f>IF(AND($N2045=$Q$7,$B2045&lt;'111'!$L$11),"x","")</f>
        <v/>
      </c>
      <c r="S2045" s="75" t="str">
        <f>IF(AND($O2045=$Q$7,$B2045&lt;'111'!$L$11),"x","")</f>
        <v/>
      </c>
      <c r="T2045" s="75" t="str">
        <f>IF(ISERROR(FIND('112'!$M$9,G2045,1)),"",IF((AND(FIND('112'!$M$9,G2045,1)&gt;=1,B2045='112'!$K$9,OR($N2045='112'!$I$6,$O2045='112'!$I$6))),"x",""))</f>
        <v/>
      </c>
      <c r="U2045" s="75" t="str">
        <f>IF(ISERROR(FIND('112'!$M$9,G2045,1)),"",IF((AND(LEFT(G2045,2)=LEFT('112'!$M$9,2),B2045&lt;'112'!$K$9,$N2045='112'!$I$6)),"x",""))</f>
        <v/>
      </c>
      <c r="V2045" s="75" t="str">
        <f>IF(ISERROR(FIND('112'!$M$9,G2045,1)),"",IF((AND(RIGHT(G2045,2)=RIGHT('112'!$M$9,2),B2045&lt;'112'!$K$9,$O2045='112'!$I$6)),"x",""))</f>
        <v/>
      </c>
      <c r="W2045" s="75" t="str">
        <f>IF(AND('341-CT'!$H$9=H2045,OR(LEFT(N2045,3)=$W$7,LEFT(O2045,3)=$W$7)),"x","")</f>
        <v/>
      </c>
      <c r="X2045" s="75" t="str">
        <f>IF(OR(TH!N2045=TH!$X$7,O2045=TH!$X$7),"x","")</f>
        <v/>
      </c>
      <c r="Y2045" s="75" t="str">
        <f>IF(AND(OR(N2045="131",O2045="131"),H2045='131-CT'!$H$9),"x","")</f>
        <v/>
      </c>
      <c r="Z2045" s="75"/>
      <c r="AA2045" s="75" t="str">
        <f>IF(AND(MONTH(E2045)='IN-NX'!$J$5,'IN-NX'!$D$7=D2045),"x","")</f>
        <v/>
      </c>
      <c r="AB2045" s="75" t="str">
        <f>IF(AND(OR(LEFT(TH!N2045,2)="15",LEFT(TH!O2045,2)="15"),LEFT(TH!O2045,3)&lt;&gt;"111",'152-CT'!$J$8=TH!F2045),"x","")</f>
        <v/>
      </c>
      <c r="AC2045" s="75" t="str">
        <f>IF(AND(OR(LEFT(TH!N2045,2)="15",LEFT(TH!O2045,2)="15"),TK!$E$7=TH!F2045),"x","")</f>
        <v/>
      </c>
      <c r="AD2045" s="75" t="str">
        <f>IF(AND(N2045="1521",MONTH(C2045)='BK-NL'!$M$11),"x","")</f>
        <v/>
      </c>
      <c r="AF2045" s="1054"/>
    </row>
    <row r="2046" spans="1:32" s="1053" customFormat="1" ht="16.5" customHeight="1">
      <c r="A2046" s="309" t="str">
        <f>IF(B2046&lt;&gt;"",IF(AND(B2046='IN-TC'!$S$4,OR(TH!N2046="1111",TH!O2046="1111")),TH!D2046,""),"")</f>
        <v/>
      </c>
      <c r="B2046" s="1244">
        <f t="shared" si="600"/>
        <v>10</v>
      </c>
      <c r="C2046" s="217">
        <v>43022</v>
      </c>
      <c r="D2046" s="217" t="s">
        <v>1127</v>
      </c>
      <c r="E2046" s="217">
        <f t="shared" si="611"/>
        <v>43022</v>
      </c>
      <c r="F2046" s="960" t="s">
        <v>429</v>
      </c>
      <c r="G2046" s="739" t="s">
        <v>2615</v>
      </c>
      <c r="H2046" s="311" t="s">
        <v>623</v>
      </c>
      <c r="I2046" s="373">
        <v>26390</v>
      </c>
      <c r="J2046" s="373">
        <v>51500</v>
      </c>
      <c r="K2046" s="373"/>
      <c r="L2046" s="379"/>
      <c r="M2046" s="927">
        <f t="shared" si="612"/>
        <v>1359085000</v>
      </c>
      <c r="N2046" s="935" t="s">
        <v>274</v>
      </c>
      <c r="O2046" s="935" t="s">
        <v>8</v>
      </c>
      <c r="P2046" s="75" t="str">
        <f>IF(AND('331-CT'!$E$7=TH!H2046,OR(N2046="331",O2046="331")),"x","")</f>
        <v/>
      </c>
      <c r="Q2046" s="75" t="str">
        <f>IF(AND(B2046='111'!$L$11,OR($N2046=$Q$7,$O2046=$Q$7)),"x","")</f>
        <v/>
      </c>
      <c r="R2046" s="75" t="str">
        <f>IF(AND($N2046=$Q$7,$B2046&lt;'111'!$L$11),"x","")</f>
        <v/>
      </c>
      <c r="S2046" s="75" t="str">
        <f>IF(AND($O2046=$Q$7,$B2046&lt;'111'!$L$11),"x","")</f>
        <v/>
      </c>
      <c r="T2046" s="75" t="str">
        <f>IF(ISERROR(FIND('112'!$M$9,G2046,1)),"",IF((AND(FIND('112'!$M$9,G2046,1)&gt;=1,B2046='112'!$K$9,OR($N2046='112'!$I$6,$O2046='112'!$I$6))),"x",""))</f>
        <v/>
      </c>
      <c r="U2046" s="75" t="str">
        <f>IF(ISERROR(FIND('112'!$M$9,G2046,1)),"",IF((AND(LEFT(G2046,2)=LEFT('112'!$M$9,2),B2046&lt;'112'!$K$9,$N2046='112'!$I$6)),"x",""))</f>
        <v/>
      </c>
      <c r="V2046" s="75" t="str">
        <f>IF(ISERROR(FIND('112'!$M$9,G2046,1)),"",IF((AND(RIGHT(G2046,2)=RIGHT('112'!$M$9,2),B2046&lt;'112'!$K$9,$O2046='112'!$I$6)),"x",""))</f>
        <v/>
      </c>
      <c r="W2046" s="75" t="str">
        <f>IF(AND('341-CT'!$H$9=H2046,OR(LEFT(N2046,3)=$W$7,LEFT(O2046,3)=$W$7)),"x","")</f>
        <v/>
      </c>
      <c r="X2046" s="75" t="str">
        <f>IF(OR(TH!N2046=TH!$X$7,O2046=TH!$X$7),"x","")</f>
        <v/>
      </c>
      <c r="Y2046" s="75" t="str">
        <f>IF(AND(OR(N2046="131",O2046="131"),H2046='131-CT'!$H$9),"x","")</f>
        <v/>
      </c>
      <c r="Z2046" s="75"/>
      <c r="AA2046" s="75" t="str">
        <f>IF(AND(MONTH(E2046)='IN-NX'!$J$5,'IN-NX'!$D$7=D2046),"x","")</f>
        <v/>
      </c>
      <c r="AB2046" s="75" t="str">
        <f>IF(AND(OR(LEFT(TH!N2046,2)="15",LEFT(TH!O2046,2)="15"),LEFT(TH!O2046,3)&lt;&gt;"111",'152-CT'!$J$8=TH!F2046),"x","")</f>
        <v/>
      </c>
      <c r="AC2046" s="75" t="str">
        <f>IF(AND(OR(LEFT(TH!N2046,2)="15",LEFT(TH!O2046,2)="15"),TK!$E$7=TH!F2046),"x","")</f>
        <v/>
      </c>
      <c r="AD2046" s="75" t="str">
        <f>IF(AND(N2046="1521",MONTH(C2046)='BK-NL'!$M$11),"x","")</f>
        <v/>
      </c>
      <c r="AF2046" s="1054"/>
    </row>
    <row r="2047" spans="1:32" s="1053" customFormat="1" ht="16.5" customHeight="1">
      <c r="A2047" s="309" t="str">
        <f>IF(B2047&lt;&gt;"",IF(AND(B2047='IN-TC'!$S$4,OR(TH!N2047="1111",TH!O2047="1111")),TH!D2047,""),"")</f>
        <v/>
      </c>
      <c r="B2047" s="1244">
        <f t="shared" si="600"/>
        <v>10</v>
      </c>
      <c r="C2047" s="217">
        <v>43024</v>
      </c>
      <c r="D2047" s="217" t="s">
        <v>1128</v>
      </c>
      <c r="E2047" s="217">
        <f t="shared" si="611"/>
        <v>43024</v>
      </c>
      <c r="F2047" s="960" t="s">
        <v>429</v>
      </c>
      <c r="G2047" s="739" t="s">
        <v>1130</v>
      </c>
      <c r="H2047" s="311" t="s">
        <v>623</v>
      </c>
      <c r="I2047" s="373">
        <v>26390</v>
      </c>
      <c r="J2047" s="373">
        <v>51500</v>
      </c>
      <c r="K2047" s="373"/>
      <c r="L2047" s="379"/>
      <c r="M2047" s="927">
        <f t="shared" si="612"/>
        <v>1359085000</v>
      </c>
      <c r="N2047" s="935" t="s">
        <v>274</v>
      </c>
      <c r="O2047" s="935" t="s">
        <v>8</v>
      </c>
      <c r="P2047" s="75" t="str">
        <f>IF(AND('331-CT'!$E$7=TH!H2047,OR(N2047="331",O2047="331")),"x","")</f>
        <v/>
      </c>
      <c r="Q2047" s="75" t="str">
        <f>IF(AND(B2047='111'!$L$11,OR($N2047=$Q$7,$O2047=$Q$7)),"x","")</f>
        <v/>
      </c>
      <c r="R2047" s="75" t="str">
        <f>IF(AND($N2047=$Q$7,$B2047&lt;'111'!$L$11),"x","")</f>
        <v/>
      </c>
      <c r="S2047" s="75" t="str">
        <f>IF(AND($O2047=$Q$7,$B2047&lt;'111'!$L$11),"x","")</f>
        <v/>
      </c>
      <c r="T2047" s="75" t="str">
        <f>IF(ISERROR(FIND('112'!$M$9,G2047,1)),"",IF((AND(FIND('112'!$M$9,G2047,1)&gt;=1,B2047='112'!$K$9,OR($N2047='112'!$I$6,$O2047='112'!$I$6))),"x",""))</f>
        <v/>
      </c>
      <c r="U2047" s="75" t="str">
        <f>IF(ISERROR(FIND('112'!$M$9,G2047,1)),"",IF((AND(LEFT(G2047,2)=LEFT('112'!$M$9,2),B2047&lt;'112'!$K$9,$N2047='112'!$I$6)),"x",""))</f>
        <v/>
      </c>
      <c r="V2047" s="75" t="str">
        <f>IF(ISERROR(FIND('112'!$M$9,G2047,1)),"",IF((AND(RIGHT(G2047,2)=RIGHT('112'!$M$9,2),B2047&lt;'112'!$K$9,$O2047='112'!$I$6)),"x",""))</f>
        <v/>
      </c>
      <c r="W2047" s="75" t="str">
        <f>IF(AND('341-CT'!$H$9=H2047,OR(LEFT(N2047,3)=$W$7,LEFT(O2047,3)=$W$7)),"x","")</f>
        <v/>
      </c>
      <c r="X2047" s="75" t="str">
        <f>IF(OR(TH!N2047=TH!$X$7,O2047=TH!$X$7),"x","")</f>
        <v/>
      </c>
      <c r="Y2047" s="75" t="str">
        <f>IF(AND(OR(N2047="131",O2047="131"),H2047='131-CT'!$H$9),"x","")</f>
        <v/>
      </c>
      <c r="Z2047" s="75"/>
      <c r="AA2047" s="75" t="str">
        <f>IF(AND(MONTH(E2047)='IN-NX'!$J$5,'IN-NX'!$D$7=D2047),"x","")</f>
        <v/>
      </c>
      <c r="AB2047" s="75" t="str">
        <f>IF(AND(OR(LEFT(TH!N2047,2)="15",LEFT(TH!O2047,2)="15"),LEFT(TH!O2047,3)&lt;&gt;"111",'152-CT'!$J$8=TH!F2047),"x","")</f>
        <v/>
      </c>
      <c r="AC2047" s="75" t="str">
        <f>IF(AND(OR(LEFT(TH!N2047,2)="15",LEFT(TH!O2047,2)="15"),TK!$E$7=TH!F2047),"x","")</f>
        <v/>
      </c>
      <c r="AD2047" s="75" t="str">
        <f>IF(AND(N2047="1521",MONTH(C2047)='BK-NL'!$M$11),"x","")</f>
        <v/>
      </c>
      <c r="AF2047" s="1054"/>
    </row>
    <row r="2048" spans="1:32" s="1053" customFormat="1" ht="16.5" customHeight="1">
      <c r="A2048" s="309" t="str">
        <f>IF(B2048&lt;&gt;"",IF(AND(B2048='IN-TC'!$S$4,OR(TH!N2048="1111",TH!O2048="1111")),TH!D2048,""),"")</f>
        <v/>
      </c>
      <c r="B2048" s="1244">
        <f t="shared" si="600"/>
        <v>10</v>
      </c>
      <c r="C2048" s="217">
        <v>43026</v>
      </c>
      <c r="D2048" s="217" t="s">
        <v>1805</v>
      </c>
      <c r="E2048" s="217">
        <f t="shared" si="611"/>
        <v>43026</v>
      </c>
      <c r="F2048" s="960" t="s">
        <v>429</v>
      </c>
      <c r="G2048" s="739" t="s">
        <v>1131</v>
      </c>
      <c r="H2048" s="311" t="s">
        <v>623</v>
      </c>
      <c r="I2048" s="373">
        <v>26390</v>
      </c>
      <c r="J2048" s="373">
        <v>51500</v>
      </c>
      <c r="K2048" s="373"/>
      <c r="L2048" s="379"/>
      <c r="M2048" s="927">
        <f t="shared" si="612"/>
        <v>1359085000</v>
      </c>
      <c r="N2048" s="935" t="s">
        <v>274</v>
      </c>
      <c r="O2048" s="935" t="s">
        <v>8</v>
      </c>
      <c r="P2048" s="75" t="str">
        <f>IF(AND('331-CT'!$E$7=TH!H2048,OR(N2048="331",O2048="331")),"x","")</f>
        <v/>
      </c>
      <c r="Q2048" s="75" t="str">
        <f>IF(AND(B2048='111'!$L$11,OR($N2048=$Q$7,$O2048=$Q$7)),"x","")</f>
        <v/>
      </c>
      <c r="R2048" s="75" t="str">
        <f>IF(AND($N2048=$Q$7,$B2048&lt;'111'!$L$11),"x","")</f>
        <v/>
      </c>
      <c r="S2048" s="75" t="str">
        <f>IF(AND($O2048=$Q$7,$B2048&lt;'111'!$L$11),"x","")</f>
        <v/>
      </c>
      <c r="T2048" s="75" t="str">
        <f>IF(ISERROR(FIND('112'!$M$9,G2048,1)),"",IF((AND(FIND('112'!$M$9,G2048,1)&gt;=1,B2048='112'!$K$9,OR($N2048='112'!$I$6,$O2048='112'!$I$6))),"x",""))</f>
        <v/>
      </c>
      <c r="U2048" s="75" t="str">
        <f>IF(ISERROR(FIND('112'!$M$9,G2048,1)),"",IF((AND(LEFT(G2048,2)=LEFT('112'!$M$9,2),B2048&lt;'112'!$K$9,$N2048='112'!$I$6)),"x",""))</f>
        <v/>
      </c>
      <c r="V2048" s="75" t="str">
        <f>IF(ISERROR(FIND('112'!$M$9,G2048,1)),"",IF((AND(RIGHT(G2048,2)=RIGHT('112'!$M$9,2),B2048&lt;'112'!$K$9,$O2048='112'!$I$6)),"x",""))</f>
        <v/>
      </c>
      <c r="W2048" s="75" t="str">
        <f>IF(AND('341-CT'!$H$9=H2048,OR(LEFT(N2048,3)=$W$7,LEFT(O2048,3)=$W$7)),"x","")</f>
        <v/>
      </c>
      <c r="X2048" s="75" t="str">
        <f>IF(OR(TH!N2048=TH!$X$7,O2048=TH!$X$7),"x","")</f>
        <v/>
      </c>
      <c r="Y2048" s="75" t="str">
        <f>IF(AND(OR(N2048="131",O2048="131"),H2048='131-CT'!$H$9),"x","")</f>
        <v/>
      </c>
      <c r="Z2048" s="75"/>
      <c r="AA2048" s="75" t="str">
        <f>IF(AND(MONTH(E2048)='IN-NX'!$J$5,'IN-NX'!$D$7=D2048),"x","")</f>
        <v/>
      </c>
      <c r="AB2048" s="75" t="str">
        <f>IF(AND(OR(LEFT(TH!N2048,2)="15",LEFT(TH!O2048,2)="15"),LEFT(TH!O2048,3)&lt;&gt;"111",'152-CT'!$J$8=TH!F2048),"x","")</f>
        <v/>
      </c>
      <c r="AC2048" s="75" t="str">
        <f>IF(AND(OR(LEFT(TH!N2048,2)="15",LEFT(TH!O2048,2)="15"),TK!$E$7=TH!F2048),"x","")</f>
        <v/>
      </c>
      <c r="AD2048" s="75" t="str">
        <f>IF(AND(N2048="1521",MONTH(C2048)='BK-NL'!$M$11),"x","")</f>
        <v/>
      </c>
      <c r="AF2048" s="1054"/>
    </row>
    <row r="2049" spans="1:32" s="1053" customFormat="1" ht="16.5" customHeight="1">
      <c r="A2049" s="309" t="str">
        <f>IF(B2049&lt;&gt;"",IF(AND(B2049='IN-TC'!$S$4,OR(TH!N2049="1111",TH!O2049="1111")),TH!D2049,""),"")</f>
        <v/>
      </c>
      <c r="B2049" s="1244">
        <f t="shared" si="600"/>
        <v>10</v>
      </c>
      <c r="C2049" s="217">
        <v>43027</v>
      </c>
      <c r="D2049" s="217" t="s">
        <v>1806</v>
      </c>
      <c r="E2049" s="217">
        <f t="shared" si="611"/>
        <v>43027</v>
      </c>
      <c r="F2049" s="960" t="s">
        <v>429</v>
      </c>
      <c r="G2049" s="739" t="s">
        <v>1132</v>
      </c>
      <c r="H2049" s="311" t="s">
        <v>623</v>
      </c>
      <c r="I2049" s="373">
        <v>26390</v>
      </c>
      <c r="J2049" s="373">
        <v>51500</v>
      </c>
      <c r="K2049" s="373"/>
      <c r="L2049" s="379"/>
      <c r="M2049" s="927">
        <f t="shared" si="612"/>
        <v>1359085000</v>
      </c>
      <c r="N2049" s="935" t="s">
        <v>274</v>
      </c>
      <c r="O2049" s="935" t="s">
        <v>8</v>
      </c>
      <c r="P2049" s="75" t="str">
        <f>IF(AND('331-CT'!$E$7=TH!H2049,OR(N2049="331",O2049="331")),"x","")</f>
        <v/>
      </c>
      <c r="Q2049" s="75" t="str">
        <f>IF(AND(B2049='111'!$L$11,OR($N2049=$Q$7,$O2049=$Q$7)),"x","")</f>
        <v/>
      </c>
      <c r="R2049" s="75" t="str">
        <f>IF(AND($N2049=$Q$7,$B2049&lt;'111'!$L$11),"x","")</f>
        <v/>
      </c>
      <c r="S2049" s="75" t="str">
        <f>IF(AND($O2049=$Q$7,$B2049&lt;'111'!$L$11),"x","")</f>
        <v/>
      </c>
      <c r="T2049" s="75" t="str">
        <f>IF(ISERROR(FIND('112'!$M$9,G2049,1)),"",IF((AND(FIND('112'!$M$9,G2049,1)&gt;=1,B2049='112'!$K$9,OR($N2049='112'!$I$6,$O2049='112'!$I$6))),"x",""))</f>
        <v/>
      </c>
      <c r="U2049" s="75" t="str">
        <f>IF(ISERROR(FIND('112'!$M$9,G2049,1)),"",IF((AND(LEFT(G2049,2)=LEFT('112'!$M$9,2),B2049&lt;'112'!$K$9,$N2049='112'!$I$6)),"x",""))</f>
        <v/>
      </c>
      <c r="V2049" s="75" t="str">
        <f>IF(ISERROR(FIND('112'!$M$9,G2049,1)),"",IF((AND(RIGHT(G2049,2)=RIGHT('112'!$M$9,2),B2049&lt;'112'!$K$9,$O2049='112'!$I$6)),"x",""))</f>
        <v/>
      </c>
      <c r="W2049" s="75" t="str">
        <f>IF(AND('341-CT'!$H$9=H2049,OR(LEFT(N2049,3)=$W$7,LEFT(O2049,3)=$W$7)),"x","")</f>
        <v/>
      </c>
      <c r="X2049" s="75" t="str">
        <f>IF(OR(TH!N2049=TH!$X$7,O2049=TH!$X$7),"x","")</f>
        <v/>
      </c>
      <c r="Y2049" s="75" t="str">
        <f>IF(AND(OR(N2049="131",O2049="131"),H2049='131-CT'!$H$9),"x","")</f>
        <v/>
      </c>
      <c r="Z2049" s="75"/>
      <c r="AA2049" s="75" t="str">
        <f>IF(AND(MONTH(E2049)='IN-NX'!$J$5,'IN-NX'!$D$7=D2049),"x","")</f>
        <v/>
      </c>
      <c r="AB2049" s="75" t="str">
        <f>IF(AND(OR(LEFT(TH!N2049,2)="15",LEFT(TH!O2049,2)="15"),LEFT(TH!O2049,3)&lt;&gt;"111",'152-CT'!$J$8=TH!F2049),"x","")</f>
        <v/>
      </c>
      <c r="AC2049" s="75" t="str">
        <f>IF(AND(OR(LEFT(TH!N2049,2)="15",LEFT(TH!O2049,2)="15"),TK!$E$7=TH!F2049),"x","")</f>
        <v/>
      </c>
      <c r="AD2049" s="75" t="str">
        <f>IF(AND(N2049="1521",MONTH(C2049)='BK-NL'!$M$11),"x","")</f>
        <v/>
      </c>
      <c r="AF2049" s="1054"/>
    </row>
    <row r="2050" spans="1:32" s="1053" customFormat="1" ht="16.5" customHeight="1">
      <c r="A2050" s="309" t="str">
        <f>IF(B2050&lt;&gt;"",IF(AND(B2050='IN-TC'!$S$4,OR(TH!N2050="1111",TH!O2050="1111")),TH!D2050,""),"")</f>
        <v/>
      </c>
      <c r="B2050" s="1244">
        <f t="shared" si="600"/>
        <v>10</v>
      </c>
      <c r="C2050" s="217">
        <v>43029</v>
      </c>
      <c r="D2050" s="217" t="s">
        <v>1848</v>
      </c>
      <c r="E2050" s="217">
        <f t="shared" si="611"/>
        <v>43029</v>
      </c>
      <c r="F2050" s="960" t="s">
        <v>429</v>
      </c>
      <c r="G2050" s="739" t="s">
        <v>1133</v>
      </c>
      <c r="H2050" s="311" t="s">
        <v>623</v>
      </c>
      <c r="I2050" s="373">
        <v>26390</v>
      </c>
      <c r="J2050" s="373">
        <v>51500</v>
      </c>
      <c r="K2050" s="373"/>
      <c r="L2050" s="379"/>
      <c r="M2050" s="927">
        <f t="shared" si="612"/>
        <v>1359085000</v>
      </c>
      <c r="N2050" s="935" t="s">
        <v>274</v>
      </c>
      <c r="O2050" s="935" t="s">
        <v>8</v>
      </c>
      <c r="P2050" s="75" t="str">
        <f>IF(AND('331-CT'!$E$7=TH!H2050,OR(N2050="331",O2050="331")),"x","")</f>
        <v/>
      </c>
      <c r="Q2050" s="75" t="str">
        <f>IF(AND(B2050='111'!$L$11,OR($N2050=$Q$7,$O2050=$Q$7)),"x","")</f>
        <v/>
      </c>
      <c r="R2050" s="75" t="str">
        <f>IF(AND($N2050=$Q$7,$B2050&lt;'111'!$L$11),"x","")</f>
        <v/>
      </c>
      <c r="S2050" s="75" t="str">
        <f>IF(AND($O2050=$Q$7,$B2050&lt;'111'!$L$11),"x","")</f>
        <v/>
      </c>
      <c r="T2050" s="75" t="str">
        <f>IF(ISERROR(FIND('112'!$M$9,G2050,1)),"",IF((AND(FIND('112'!$M$9,G2050,1)&gt;=1,B2050='112'!$K$9,OR($N2050='112'!$I$6,$O2050='112'!$I$6))),"x",""))</f>
        <v/>
      </c>
      <c r="U2050" s="75" t="str">
        <f>IF(ISERROR(FIND('112'!$M$9,G2050,1)),"",IF((AND(LEFT(G2050,2)=LEFT('112'!$M$9,2),B2050&lt;'112'!$K$9,$N2050='112'!$I$6)),"x",""))</f>
        <v/>
      </c>
      <c r="V2050" s="75" t="str">
        <f>IF(ISERROR(FIND('112'!$M$9,G2050,1)),"",IF((AND(RIGHT(G2050,2)=RIGHT('112'!$M$9,2),B2050&lt;'112'!$K$9,$O2050='112'!$I$6)),"x",""))</f>
        <v/>
      </c>
      <c r="W2050" s="75" t="str">
        <f>IF(AND('341-CT'!$H$9=H2050,OR(LEFT(N2050,3)=$W$7,LEFT(O2050,3)=$W$7)),"x","")</f>
        <v/>
      </c>
      <c r="X2050" s="75" t="str">
        <f>IF(OR(TH!N2050=TH!$X$7,O2050=TH!$X$7),"x","")</f>
        <v/>
      </c>
      <c r="Y2050" s="75" t="str">
        <f>IF(AND(OR(N2050="131",O2050="131"),H2050='131-CT'!$H$9),"x","")</f>
        <v/>
      </c>
      <c r="Z2050" s="75"/>
      <c r="AA2050" s="75" t="str">
        <f>IF(AND(MONTH(E2050)='IN-NX'!$J$5,'IN-NX'!$D$7=D2050),"x","")</f>
        <v/>
      </c>
      <c r="AB2050" s="75" t="str">
        <f>IF(AND(OR(LEFT(TH!N2050,2)="15",LEFT(TH!O2050,2)="15"),LEFT(TH!O2050,3)&lt;&gt;"111",'152-CT'!$J$8=TH!F2050),"x","")</f>
        <v/>
      </c>
      <c r="AC2050" s="75" t="str">
        <f>IF(AND(OR(LEFT(TH!N2050,2)="15",LEFT(TH!O2050,2)="15"),TK!$E$7=TH!F2050),"x","")</f>
        <v/>
      </c>
      <c r="AD2050" s="75" t="str">
        <f>IF(AND(N2050="1521",MONTH(C2050)='BK-NL'!$M$11),"x","")</f>
        <v/>
      </c>
      <c r="AF2050" s="1054"/>
    </row>
    <row r="2051" spans="1:32" s="1053" customFormat="1" ht="16.5" customHeight="1">
      <c r="A2051" s="309" t="str">
        <f>IF(B2051&lt;&gt;"",IF(AND(B2051='IN-TC'!$S$4,OR(TH!N2051="1111",TH!O2051="1111")),TH!D2051,""),"")</f>
        <v/>
      </c>
      <c r="B2051" s="1244">
        <f t="shared" si="600"/>
        <v>10</v>
      </c>
      <c r="C2051" s="217">
        <v>43029</v>
      </c>
      <c r="D2051" s="217" t="s">
        <v>1849</v>
      </c>
      <c r="E2051" s="217">
        <f t="shared" ref="E2051:E2054" si="613">C2051</f>
        <v>43029</v>
      </c>
      <c r="F2051" s="960" t="s">
        <v>429</v>
      </c>
      <c r="G2051" s="739" t="s">
        <v>2488</v>
      </c>
      <c r="H2051" s="67" t="s">
        <v>789</v>
      </c>
      <c r="I2051" s="373">
        <v>24806.6</v>
      </c>
      <c r="J2051" s="373">
        <v>50000</v>
      </c>
      <c r="K2051" s="373"/>
      <c r="L2051" s="379"/>
      <c r="M2051" s="927">
        <f t="shared" ref="M2051:M2055" si="614">ROUND(I2051*J2051,0)</f>
        <v>1240330000</v>
      </c>
      <c r="N2051" s="935" t="s">
        <v>274</v>
      </c>
      <c r="O2051" s="935" t="s">
        <v>8</v>
      </c>
      <c r="P2051" s="75" t="str">
        <f>IF(AND('331-CT'!$E$7=TH!H2051,OR(N2051="331",O2051="331")),"x","")</f>
        <v/>
      </c>
      <c r="Q2051" s="75" t="str">
        <f>IF(AND(B2051='111'!$L$11,OR($N2051=$Q$7,$O2051=$Q$7)),"x","")</f>
        <v/>
      </c>
      <c r="R2051" s="75" t="str">
        <f>IF(AND($N2051=$Q$7,$B2051&lt;'111'!$L$11),"x","")</f>
        <v/>
      </c>
      <c r="S2051" s="75" t="str">
        <f>IF(AND($O2051=$Q$7,$B2051&lt;'111'!$L$11),"x","")</f>
        <v/>
      </c>
      <c r="T2051" s="75" t="str">
        <f>IF(ISERROR(FIND('112'!$M$9,G2051,1)),"",IF((AND(FIND('112'!$M$9,G2051,1)&gt;=1,B2051='112'!$K$9,OR($N2051='112'!$I$6,$O2051='112'!$I$6))),"x",""))</f>
        <v/>
      </c>
      <c r="U2051" s="75" t="str">
        <f>IF(ISERROR(FIND('112'!$M$9,G2051,1)),"",IF((AND(LEFT(G2051,2)=LEFT('112'!$M$9,2),B2051&lt;'112'!$K$9,$N2051='112'!$I$6)),"x",""))</f>
        <v/>
      </c>
      <c r="V2051" s="75" t="str">
        <f>IF(ISERROR(FIND('112'!$M$9,G2051,1)),"",IF((AND(RIGHT(G2051,2)=RIGHT('112'!$M$9,2),B2051&lt;'112'!$K$9,$O2051='112'!$I$6)),"x",""))</f>
        <v/>
      </c>
      <c r="W2051" s="75" t="str">
        <f>IF(AND('341-CT'!$H$9=H2051,OR(LEFT(N2051,3)=$W$7,LEFT(O2051,3)=$W$7)),"x","")</f>
        <v/>
      </c>
      <c r="X2051" s="75" t="str">
        <f>IF(OR(TH!N2051=TH!$X$7,O2051=TH!$X$7),"x","")</f>
        <v/>
      </c>
      <c r="Y2051" s="75" t="str">
        <f>IF(AND(OR(N2051="131",O2051="131"),H2051='131-CT'!$H$9),"x","")</f>
        <v/>
      </c>
      <c r="Z2051" s="75"/>
      <c r="AA2051" s="75" t="str">
        <f>IF(AND(MONTH(E2051)='IN-NX'!$J$5,'IN-NX'!$D$7=D2051),"x","")</f>
        <v/>
      </c>
      <c r="AB2051" s="75" t="str">
        <f>IF(AND(OR(LEFT(TH!N2051,2)="15",LEFT(TH!O2051,2)="15"),LEFT(TH!O2051,3)&lt;&gt;"111",'152-CT'!$J$8=TH!F2051),"x","")</f>
        <v/>
      </c>
      <c r="AC2051" s="75" t="str">
        <f>IF(AND(OR(LEFT(TH!N2051,2)="15",LEFT(TH!O2051,2)="15"),TK!$E$7=TH!F2051),"x","")</f>
        <v/>
      </c>
      <c r="AD2051" s="75" t="str">
        <f>IF(AND(N2051="1521",MONTH(C2051)='BK-NL'!$M$11),"x","")</f>
        <v/>
      </c>
      <c r="AF2051" s="1054"/>
    </row>
    <row r="2052" spans="1:32" s="1053" customFormat="1" ht="16.5" customHeight="1">
      <c r="A2052" s="309" t="str">
        <f>IF(B2052&lt;&gt;"",IF(AND(B2052='IN-TC'!$S$4,OR(TH!N2052="1111",TH!O2052="1111")),TH!D2052,""),"")</f>
        <v/>
      </c>
      <c r="B2052" s="1244">
        <f t="shared" si="600"/>
        <v>10</v>
      </c>
      <c r="C2052" s="217">
        <v>43031</v>
      </c>
      <c r="D2052" s="217" t="s">
        <v>1850</v>
      </c>
      <c r="E2052" s="217">
        <f t="shared" si="613"/>
        <v>43031</v>
      </c>
      <c r="F2052" s="960" t="s">
        <v>429</v>
      </c>
      <c r="G2052" s="739" t="s">
        <v>2489</v>
      </c>
      <c r="H2052" s="67" t="s">
        <v>789</v>
      </c>
      <c r="I2052" s="373">
        <v>24278.799999999999</v>
      </c>
      <c r="J2052" s="373">
        <v>50000</v>
      </c>
      <c r="K2052" s="373"/>
      <c r="L2052" s="379"/>
      <c r="M2052" s="927">
        <f t="shared" si="614"/>
        <v>1213940000</v>
      </c>
      <c r="N2052" s="935" t="s">
        <v>274</v>
      </c>
      <c r="O2052" s="935" t="s">
        <v>8</v>
      </c>
      <c r="P2052" s="75" t="str">
        <f>IF(AND('331-CT'!$E$7=TH!H2052,OR(N2052="331",O2052="331")),"x","")</f>
        <v/>
      </c>
      <c r="Q2052" s="75" t="str">
        <f>IF(AND(B2052='111'!$L$11,OR($N2052=$Q$7,$O2052=$Q$7)),"x","")</f>
        <v/>
      </c>
      <c r="R2052" s="75" t="str">
        <f>IF(AND($N2052=$Q$7,$B2052&lt;'111'!$L$11),"x","")</f>
        <v/>
      </c>
      <c r="S2052" s="75" t="str">
        <f>IF(AND($O2052=$Q$7,$B2052&lt;'111'!$L$11),"x","")</f>
        <v/>
      </c>
      <c r="T2052" s="75" t="str">
        <f>IF(ISERROR(FIND('112'!$M$9,G2052,1)),"",IF((AND(FIND('112'!$M$9,G2052,1)&gt;=1,B2052='112'!$K$9,OR($N2052='112'!$I$6,$O2052='112'!$I$6))),"x",""))</f>
        <v/>
      </c>
      <c r="U2052" s="75" t="str">
        <f>IF(ISERROR(FIND('112'!$M$9,G2052,1)),"",IF((AND(LEFT(G2052,2)=LEFT('112'!$M$9,2),B2052&lt;'112'!$K$9,$N2052='112'!$I$6)),"x",""))</f>
        <v/>
      </c>
      <c r="V2052" s="75" t="str">
        <f>IF(ISERROR(FIND('112'!$M$9,G2052,1)),"",IF((AND(RIGHT(G2052,2)=RIGHT('112'!$M$9,2),B2052&lt;'112'!$K$9,$O2052='112'!$I$6)),"x",""))</f>
        <v/>
      </c>
      <c r="W2052" s="75" t="str">
        <f>IF(AND('341-CT'!$H$9=H2052,OR(LEFT(N2052,3)=$W$7,LEFT(O2052,3)=$W$7)),"x","")</f>
        <v/>
      </c>
      <c r="X2052" s="75" t="str">
        <f>IF(OR(TH!N2052=TH!$X$7,O2052=TH!$X$7),"x","")</f>
        <v/>
      </c>
      <c r="Y2052" s="75" t="str">
        <f>IF(AND(OR(N2052="131",O2052="131"),H2052='131-CT'!$H$9),"x","")</f>
        <v/>
      </c>
      <c r="Z2052" s="75"/>
      <c r="AA2052" s="75" t="str">
        <f>IF(AND(MONTH(E2052)='IN-NX'!$J$5,'IN-NX'!$D$7=D2052),"x","")</f>
        <v/>
      </c>
      <c r="AB2052" s="75" t="str">
        <f>IF(AND(OR(LEFT(TH!N2052,2)="15",LEFT(TH!O2052,2)="15"),LEFT(TH!O2052,3)&lt;&gt;"111",'152-CT'!$J$8=TH!F2052),"x","")</f>
        <v/>
      </c>
      <c r="AC2052" s="75" t="str">
        <f>IF(AND(OR(LEFT(TH!N2052,2)="15",LEFT(TH!O2052,2)="15"),TK!$E$7=TH!F2052),"x","")</f>
        <v/>
      </c>
      <c r="AD2052" s="75" t="str">
        <f>IF(AND(N2052="1521",MONTH(C2052)='BK-NL'!$M$11),"x","")</f>
        <v/>
      </c>
      <c r="AF2052" s="1054"/>
    </row>
    <row r="2053" spans="1:32" s="1053" customFormat="1" ht="16.5" customHeight="1">
      <c r="A2053" s="309" t="str">
        <f>IF(B2053&lt;&gt;"",IF(AND(B2053='IN-TC'!$S$4,OR(TH!N2053="1111",TH!O2053="1111")),TH!D2053,""),"")</f>
        <v/>
      </c>
      <c r="B2053" s="1244">
        <f t="shared" si="600"/>
        <v>10</v>
      </c>
      <c r="C2053" s="217">
        <v>43032</v>
      </c>
      <c r="D2053" s="217" t="s">
        <v>1851</v>
      </c>
      <c r="E2053" s="217">
        <f t="shared" si="613"/>
        <v>43032</v>
      </c>
      <c r="F2053" s="960" t="s">
        <v>429</v>
      </c>
      <c r="G2053" s="739" t="s">
        <v>2490</v>
      </c>
      <c r="H2053" s="67" t="s">
        <v>789</v>
      </c>
      <c r="I2053" s="373">
        <v>24278.799999999999</v>
      </c>
      <c r="J2053" s="373">
        <v>50000</v>
      </c>
      <c r="K2053" s="373"/>
      <c r="L2053" s="379"/>
      <c r="M2053" s="927">
        <f t="shared" si="614"/>
        <v>1213940000</v>
      </c>
      <c r="N2053" s="935" t="s">
        <v>274</v>
      </c>
      <c r="O2053" s="935" t="s">
        <v>8</v>
      </c>
      <c r="P2053" s="75" t="str">
        <f>IF(AND('331-CT'!$E$7=TH!H2053,OR(N2053="331",O2053="331")),"x","")</f>
        <v/>
      </c>
      <c r="Q2053" s="75" t="str">
        <f>IF(AND(B2053='111'!$L$11,OR($N2053=$Q$7,$O2053=$Q$7)),"x","")</f>
        <v/>
      </c>
      <c r="R2053" s="75" t="str">
        <f>IF(AND($N2053=$Q$7,$B2053&lt;'111'!$L$11),"x","")</f>
        <v/>
      </c>
      <c r="S2053" s="75" t="str">
        <f>IF(AND($O2053=$Q$7,$B2053&lt;'111'!$L$11),"x","")</f>
        <v/>
      </c>
      <c r="T2053" s="75" t="str">
        <f>IF(ISERROR(FIND('112'!$M$9,G2053,1)),"",IF((AND(FIND('112'!$M$9,G2053,1)&gt;=1,B2053='112'!$K$9,OR($N2053='112'!$I$6,$O2053='112'!$I$6))),"x",""))</f>
        <v/>
      </c>
      <c r="U2053" s="75" t="str">
        <f>IF(ISERROR(FIND('112'!$M$9,G2053,1)),"",IF((AND(LEFT(G2053,2)=LEFT('112'!$M$9,2),B2053&lt;'112'!$K$9,$N2053='112'!$I$6)),"x",""))</f>
        <v/>
      </c>
      <c r="V2053" s="75" t="str">
        <f>IF(ISERROR(FIND('112'!$M$9,G2053,1)),"",IF((AND(RIGHT(G2053,2)=RIGHT('112'!$M$9,2),B2053&lt;'112'!$K$9,$O2053='112'!$I$6)),"x",""))</f>
        <v/>
      </c>
      <c r="W2053" s="75" t="str">
        <f>IF(AND('341-CT'!$H$9=H2053,OR(LEFT(N2053,3)=$W$7,LEFT(O2053,3)=$W$7)),"x","")</f>
        <v/>
      </c>
      <c r="X2053" s="75" t="str">
        <f>IF(OR(TH!N2053=TH!$X$7,O2053=TH!$X$7),"x","")</f>
        <v/>
      </c>
      <c r="Y2053" s="75" t="str">
        <f>IF(AND(OR(N2053="131",O2053="131"),H2053='131-CT'!$H$9),"x","")</f>
        <v/>
      </c>
      <c r="Z2053" s="75"/>
      <c r="AA2053" s="75" t="str">
        <f>IF(AND(MONTH(E2053)='IN-NX'!$J$5,'IN-NX'!$D$7=D2053),"x","")</f>
        <v/>
      </c>
      <c r="AB2053" s="75" t="str">
        <f>IF(AND(OR(LEFT(TH!N2053,2)="15",LEFT(TH!O2053,2)="15"),LEFT(TH!O2053,3)&lt;&gt;"111",'152-CT'!$J$8=TH!F2053),"x","")</f>
        <v/>
      </c>
      <c r="AC2053" s="75" t="str">
        <f>IF(AND(OR(LEFT(TH!N2053,2)="15",LEFT(TH!O2053,2)="15"),TK!$E$7=TH!F2053),"x","")</f>
        <v/>
      </c>
      <c r="AD2053" s="75" t="str">
        <f>IF(AND(N2053="1521",MONTH(C2053)='BK-NL'!$M$11),"x","")</f>
        <v/>
      </c>
      <c r="AF2053" s="1054"/>
    </row>
    <row r="2054" spans="1:32" s="1053" customFormat="1" ht="16.5" customHeight="1">
      <c r="A2054" s="309" t="str">
        <f>IF(B2054&lt;&gt;"",IF(AND(B2054='IN-TC'!$S$4,OR(TH!N2054="1111",TH!O2054="1111")),TH!D2054,""),"")</f>
        <v/>
      </c>
      <c r="B2054" s="1244">
        <f t="shared" si="600"/>
        <v>10</v>
      </c>
      <c r="C2054" s="217">
        <v>43033</v>
      </c>
      <c r="D2054" s="217" t="s">
        <v>1852</v>
      </c>
      <c r="E2054" s="217">
        <f t="shared" si="613"/>
        <v>43033</v>
      </c>
      <c r="F2054" s="960" t="s">
        <v>429</v>
      </c>
      <c r="G2054" s="739" t="s">
        <v>2491</v>
      </c>
      <c r="H2054" s="67" t="s">
        <v>789</v>
      </c>
      <c r="I2054" s="373">
        <v>14639.04</v>
      </c>
      <c r="J2054" s="373">
        <v>50000</v>
      </c>
      <c r="K2054" s="373"/>
      <c r="L2054" s="379"/>
      <c r="M2054" s="927">
        <f t="shared" si="614"/>
        <v>731952000</v>
      </c>
      <c r="N2054" s="935" t="s">
        <v>274</v>
      </c>
      <c r="O2054" s="935" t="s">
        <v>8</v>
      </c>
      <c r="P2054" s="75" t="str">
        <f>IF(AND('331-CT'!$E$7=TH!H2054,OR(N2054="331",O2054="331")),"x","")</f>
        <v/>
      </c>
      <c r="Q2054" s="75" t="str">
        <f>IF(AND(B2054='111'!$L$11,OR($N2054=$Q$7,$O2054=$Q$7)),"x","")</f>
        <v/>
      </c>
      <c r="R2054" s="75" t="str">
        <f>IF(AND($N2054=$Q$7,$B2054&lt;'111'!$L$11),"x","")</f>
        <v/>
      </c>
      <c r="S2054" s="75" t="str">
        <f>IF(AND($O2054=$Q$7,$B2054&lt;'111'!$L$11),"x","")</f>
        <v/>
      </c>
      <c r="T2054" s="75" t="str">
        <f>IF(ISERROR(FIND('112'!$M$9,G2054,1)),"",IF((AND(FIND('112'!$M$9,G2054,1)&gt;=1,B2054='112'!$K$9,OR($N2054='112'!$I$6,$O2054='112'!$I$6))),"x",""))</f>
        <v/>
      </c>
      <c r="U2054" s="75" t="str">
        <f>IF(ISERROR(FIND('112'!$M$9,G2054,1)),"",IF((AND(LEFT(G2054,2)=LEFT('112'!$M$9,2),B2054&lt;'112'!$K$9,$N2054='112'!$I$6)),"x",""))</f>
        <v/>
      </c>
      <c r="V2054" s="75" t="str">
        <f>IF(ISERROR(FIND('112'!$M$9,G2054,1)),"",IF((AND(RIGHT(G2054,2)=RIGHT('112'!$M$9,2),B2054&lt;'112'!$K$9,$O2054='112'!$I$6)),"x",""))</f>
        <v/>
      </c>
      <c r="W2054" s="75" t="str">
        <f>IF(AND('341-CT'!$H$9=H2054,OR(LEFT(N2054,3)=$W$7,LEFT(O2054,3)=$W$7)),"x","")</f>
        <v/>
      </c>
      <c r="X2054" s="75" t="str">
        <f>IF(OR(TH!N2054=TH!$X$7,O2054=TH!$X$7),"x","")</f>
        <v/>
      </c>
      <c r="Y2054" s="75" t="str">
        <f>IF(AND(OR(N2054="131",O2054="131"),H2054='131-CT'!$H$9),"x","")</f>
        <v/>
      </c>
      <c r="Z2054" s="75"/>
      <c r="AA2054" s="75" t="str">
        <f>IF(AND(MONTH(E2054)='IN-NX'!$J$5,'IN-NX'!$D$7=D2054),"x","")</f>
        <v/>
      </c>
      <c r="AB2054" s="75" t="str">
        <f>IF(AND(OR(LEFT(TH!N2054,2)="15",LEFT(TH!O2054,2)="15"),LEFT(TH!O2054,3)&lt;&gt;"111",'152-CT'!$J$8=TH!F2054),"x","")</f>
        <v/>
      </c>
      <c r="AC2054" s="75" t="str">
        <f>IF(AND(OR(LEFT(TH!N2054,2)="15",LEFT(TH!O2054,2)="15"),TK!$E$7=TH!F2054),"x","")</f>
        <v/>
      </c>
      <c r="AD2054" s="75" t="str">
        <f>IF(AND(N2054="1521",MONTH(C2054)='BK-NL'!$M$11),"x","")</f>
        <v/>
      </c>
      <c r="AF2054" s="1054"/>
    </row>
    <row r="2055" spans="1:32" s="1053" customFormat="1" ht="16.5" customHeight="1">
      <c r="A2055" s="309" t="str">
        <f>IF(B2055&lt;&gt;"",IF(AND(B2055='IN-TC'!$S$4,OR(TH!N2055="1111",TH!O2055="1111")),TH!D2055,""),"")</f>
        <v/>
      </c>
      <c r="B2055" s="1244">
        <f t="shared" si="600"/>
        <v>10</v>
      </c>
      <c r="C2055" s="217">
        <f t="shared" ref="C2055" si="615">E2055</f>
        <v>43033</v>
      </c>
      <c r="D2055" s="217" t="s">
        <v>2950</v>
      </c>
      <c r="E2055" s="217">
        <v>43033</v>
      </c>
      <c r="F2055" s="1031" t="s">
        <v>2399</v>
      </c>
      <c r="G2055" s="739"/>
      <c r="H2055" s="294" t="s">
        <v>2919</v>
      </c>
      <c r="I2055" s="373">
        <v>50000</v>
      </c>
      <c r="J2055" s="926">
        <v>58283.637920000001</v>
      </c>
      <c r="K2055" s="926"/>
      <c r="L2055" s="379"/>
      <c r="M2055" s="927">
        <f t="shared" si="614"/>
        <v>2914181896</v>
      </c>
      <c r="N2055" s="935" t="s">
        <v>274</v>
      </c>
      <c r="O2055" s="935" t="s">
        <v>272</v>
      </c>
      <c r="P2055" s="75" t="str">
        <f>IF(AND('331-CT'!$E$7=TH!H2055,OR(N2055="331",O2055="331")),"x","")</f>
        <v/>
      </c>
      <c r="Q2055" s="75" t="str">
        <f>IF(AND(B2055='111'!$L$11,OR($N2055=$Q$7,$O2055=$Q$7)),"x","")</f>
        <v/>
      </c>
      <c r="R2055" s="75" t="str">
        <f>IF(AND($N2055=$Q$7,$B2055&lt;'111'!$L$11),"x","")</f>
        <v/>
      </c>
      <c r="S2055" s="75" t="str">
        <f>IF(AND($O2055=$Q$7,$B2055&lt;'111'!$L$11),"x","")</f>
        <v/>
      </c>
      <c r="T2055" s="75" t="str">
        <f>IF(ISERROR(FIND('112'!$M$9,G2055,1)),"",IF((AND(FIND('112'!$M$9,G2055,1)&gt;=1,B2055='112'!$K$9,OR($N2055='112'!$I$6,$O2055='112'!$I$6))),"x",""))</f>
        <v/>
      </c>
      <c r="U2055" s="75" t="str">
        <f>IF(ISERROR(FIND('112'!$M$9,G2055,1)),"",IF((AND(LEFT(G2055,2)=LEFT('112'!$M$9,2),B2055&lt;'112'!$K$9,$N2055='112'!$I$6)),"x",""))</f>
        <v/>
      </c>
      <c r="V2055" s="75" t="str">
        <f>IF(ISERROR(FIND('112'!$M$9,G2055,1)),"",IF((AND(RIGHT(G2055,2)=RIGHT('112'!$M$9,2),B2055&lt;'112'!$K$9,$O2055='112'!$I$6)),"x",""))</f>
        <v/>
      </c>
      <c r="W2055" s="75" t="str">
        <f>IF(AND('341-CT'!$H$9=H2055,OR(LEFT(N2055,3)=$W$7,LEFT(O2055,3)=$W$7)),"x","")</f>
        <v/>
      </c>
      <c r="X2055" s="75" t="str">
        <f>IF(OR(TH!N2055=TH!$X$7,O2055=TH!$X$7),"x","")</f>
        <v/>
      </c>
      <c r="Y2055" s="75" t="str">
        <f>IF(AND(OR(N2055="131",O2055="131"),H2055='131-CT'!$H$9),"x","")</f>
        <v/>
      </c>
      <c r="Z2055" s="75"/>
      <c r="AA2055" s="75" t="str">
        <f>IF(AND(MONTH(E2055)='IN-NX'!$J$5,'IN-NX'!$D$7=D2055),"x","")</f>
        <v/>
      </c>
      <c r="AB2055" s="75" t="str">
        <f>IF(AND(OR(LEFT(TH!N2055,2)="15",LEFT(TH!O2055,2)="15"),LEFT(TH!O2055,3)&lt;&gt;"111",'152-CT'!$J$8=TH!F2055),"x","")</f>
        <v/>
      </c>
      <c r="AC2055" s="75" t="str">
        <f>IF(AND(OR(LEFT(TH!N2055,2)="15",LEFT(TH!O2055,2)="15"),TK!$E$7=TH!F2055),"x","")</f>
        <v/>
      </c>
      <c r="AD2055" s="75" t="str">
        <f>IF(AND(N2055="1521",MONTH(C2055)='BK-NL'!$M$11),"x","")</f>
        <v/>
      </c>
      <c r="AF2055" s="1054"/>
    </row>
    <row r="2056" spans="1:32" ht="16.5" customHeight="1">
      <c r="A2056" s="309" t="str">
        <f>IF(B2056&lt;&gt;"",IF(AND(B2056='IN-TC'!$S$4,OR(TH!N2056="1111",TH!O2056="1111")),TH!D2056,""),"")</f>
        <v/>
      </c>
      <c r="B2056" s="1244">
        <f t="shared" si="600"/>
        <v>10</v>
      </c>
      <c r="C2056" s="217">
        <f t="shared" ref="C2056:C2060" si="616">E2056</f>
        <v>43033</v>
      </c>
      <c r="D2056" s="217" t="s">
        <v>2950</v>
      </c>
      <c r="E2056" s="217">
        <v>43033</v>
      </c>
      <c r="F2056" s="1031" t="s">
        <v>429</v>
      </c>
      <c r="G2056" s="739"/>
      <c r="H2056" s="294" t="s">
        <v>2919</v>
      </c>
      <c r="I2056" s="1122">
        <v>13394.349999999977</v>
      </c>
      <c r="J2056" s="926">
        <v>61106.930235509855</v>
      </c>
      <c r="K2056" s="926"/>
      <c r="L2056" s="379"/>
      <c r="M2056" s="927">
        <f>ROUND(I2056*J2056,0)</f>
        <v>818487611</v>
      </c>
      <c r="N2056" s="935" t="s">
        <v>274</v>
      </c>
      <c r="O2056" s="935" t="s">
        <v>272</v>
      </c>
      <c r="P2056" s="75" t="str">
        <f>IF(AND('331-CT'!$E$7=TH!H2056,OR(N2056="331",O2056="331")),"x","")</f>
        <v/>
      </c>
      <c r="Q2056" s="75" t="str">
        <f>IF(AND(B2056='111'!$L$11,OR($N2056=$Q$7,$O2056=$Q$7)),"x","")</f>
        <v/>
      </c>
      <c r="R2056" s="75" t="str">
        <f>IF(AND($N2056=$Q$7,$B2056&lt;'111'!$L$11),"x","")</f>
        <v/>
      </c>
      <c r="S2056" s="75" t="str">
        <f>IF(AND($O2056=$Q$7,$B2056&lt;'111'!$L$11),"x","")</f>
        <v/>
      </c>
      <c r="T2056" s="75" t="str">
        <f>IF(ISERROR(FIND('112'!$M$9,G2056,1)),"",IF((AND(FIND('112'!$M$9,G2056,1)&gt;=1,B2056='112'!$K$9,OR($N2056='112'!$I$6,$O2056='112'!$I$6))),"x",""))</f>
        <v/>
      </c>
      <c r="U2056" s="75" t="str">
        <f>IF(ISERROR(FIND('112'!$M$9,G2056,1)),"",IF((AND(LEFT(G2056,2)=LEFT('112'!$M$9,2),B2056&lt;'112'!$K$9,$N2056='112'!$I$6)),"x",""))</f>
        <v/>
      </c>
      <c r="V2056" s="75" t="str">
        <f>IF(ISERROR(FIND('112'!$M$9,G2056,1)),"",IF((AND(RIGHT(G2056,2)=RIGHT('112'!$M$9,2),B2056&lt;'112'!$K$9,$O2056='112'!$I$6)),"x",""))</f>
        <v/>
      </c>
      <c r="W2056" s="75" t="str">
        <f>IF(AND('341-CT'!$H$9=H2056,OR(LEFT(N2056,3)=$W$7,LEFT(O2056,3)=$W$7)),"x","")</f>
        <v/>
      </c>
      <c r="X2056" s="75" t="str">
        <f>IF(OR(TH!N2056=TH!$X$7,O2056=TH!$X$7),"x","")</f>
        <v/>
      </c>
      <c r="Y2056" s="75" t="str">
        <f>IF(AND(OR(N2056="131",O2056="131"),H2056='131-CT'!$H$9),"x","")</f>
        <v/>
      </c>
      <c r="Z2056" s="75"/>
      <c r="AA2056" s="75" t="str">
        <f>IF(AND(MONTH(E2056)='IN-NX'!$J$5,'IN-NX'!$D$7=D2056),"x","")</f>
        <v/>
      </c>
      <c r="AB2056" s="75" t="str">
        <f>IF(AND(OR(LEFT(TH!N2056,2)="15",LEFT(TH!O2056,2)="15"),LEFT(TH!O2056,3)&lt;&gt;"111",'152-CT'!$J$8=TH!F2056),"x","")</f>
        <v/>
      </c>
      <c r="AC2056" s="75" t="str">
        <f>IF(AND(OR(LEFT(TH!N2056,2)="15",LEFT(TH!O2056,2)="15"),TK!$E$7=TH!F2056),"x","")</f>
        <v/>
      </c>
      <c r="AD2056" s="75" t="str">
        <f>IF(AND(N2056="1521",MONTH(C2056)='BK-NL'!$M$11),"x","")</f>
        <v/>
      </c>
      <c r="AF2056" s="1054"/>
    </row>
    <row r="2057" spans="1:32" s="1053" customFormat="1" ht="16.5" customHeight="1">
      <c r="A2057" s="309" t="str">
        <f>IF(B2057&lt;&gt;"",IF(AND(B2057='IN-TC'!$S$4,OR(TH!N2057="1111",TH!O2057="1111")),TH!D2057,""),"")</f>
        <v/>
      </c>
      <c r="B2057" s="1244">
        <f t="shared" si="600"/>
        <v>10</v>
      </c>
      <c r="C2057" s="217">
        <f t="shared" si="616"/>
        <v>43033</v>
      </c>
      <c r="D2057" s="217" t="s">
        <v>2950</v>
      </c>
      <c r="E2057" s="217">
        <v>43033</v>
      </c>
      <c r="F2057" s="1031" t="s">
        <v>2399</v>
      </c>
      <c r="G2057" s="739"/>
      <c r="H2057" s="294" t="s">
        <v>2919</v>
      </c>
      <c r="I2057" s="373">
        <v>214530</v>
      </c>
      <c r="J2057" s="926">
        <v>49476.007849717986</v>
      </c>
      <c r="K2057" s="926"/>
      <c r="L2057" s="379"/>
      <c r="M2057" s="927">
        <f t="shared" ref="M2057" si="617">ROUND(I2057*J2057,0)</f>
        <v>10614087964</v>
      </c>
      <c r="N2057" s="935" t="s">
        <v>274</v>
      </c>
      <c r="O2057" s="935" t="s">
        <v>272</v>
      </c>
      <c r="P2057" s="75" t="str">
        <f>IF(AND('331-CT'!$E$7=TH!H2057,OR(N2057="331",O2057="331")),"x","")</f>
        <v/>
      </c>
      <c r="Q2057" s="75" t="str">
        <f>IF(AND(B2057='111'!$L$11,OR($N2057=$Q$7,$O2057=$Q$7)),"x","")</f>
        <v/>
      </c>
      <c r="R2057" s="75" t="str">
        <f>IF(AND($N2057=$Q$7,$B2057&lt;'111'!$L$11),"x","")</f>
        <v/>
      </c>
      <c r="S2057" s="75" t="str">
        <f>IF(AND($O2057=$Q$7,$B2057&lt;'111'!$L$11),"x","")</f>
        <v/>
      </c>
      <c r="T2057" s="75" t="str">
        <f>IF(ISERROR(FIND('112'!$M$9,G2057,1)),"",IF((AND(FIND('112'!$M$9,G2057,1)&gt;=1,B2057='112'!$K$9,OR($N2057='112'!$I$6,$O2057='112'!$I$6))),"x",""))</f>
        <v/>
      </c>
      <c r="U2057" s="75" t="str">
        <f>IF(ISERROR(FIND('112'!$M$9,G2057,1)),"",IF((AND(LEFT(G2057,2)=LEFT('112'!$M$9,2),B2057&lt;'112'!$K$9,$N2057='112'!$I$6)),"x",""))</f>
        <v/>
      </c>
      <c r="V2057" s="75" t="str">
        <f>IF(ISERROR(FIND('112'!$M$9,G2057,1)),"",IF((AND(RIGHT(G2057,2)=RIGHT('112'!$M$9,2),B2057&lt;'112'!$K$9,$O2057='112'!$I$6)),"x",""))</f>
        <v/>
      </c>
      <c r="W2057" s="75" t="str">
        <f>IF(AND('341-CT'!$H$9=H2057,OR(LEFT(N2057,3)=$W$7,LEFT(O2057,3)=$W$7)),"x","")</f>
        <v/>
      </c>
      <c r="X2057" s="75" t="str">
        <f>IF(OR(TH!N2057=TH!$X$7,O2057=TH!$X$7),"x","")</f>
        <v/>
      </c>
      <c r="Y2057" s="75" t="str">
        <f>IF(AND(OR(N2057="131",O2057="131"),H2057='131-CT'!$H$9),"x","")</f>
        <v/>
      </c>
      <c r="Z2057" s="75"/>
      <c r="AA2057" s="75" t="str">
        <f>IF(AND(MONTH(E2057)='IN-NX'!$J$5,'IN-NX'!$D$7=D2057),"x","")</f>
        <v/>
      </c>
      <c r="AB2057" s="75" t="str">
        <f>IF(AND(OR(LEFT(TH!N2057,2)="15",LEFT(TH!O2057,2)="15"),LEFT(TH!O2057,3)&lt;&gt;"111",'152-CT'!$J$8=TH!F2057),"x","")</f>
        <v/>
      </c>
      <c r="AC2057" s="75" t="str">
        <f>IF(AND(OR(LEFT(TH!N2057,2)="15",LEFT(TH!O2057,2)="15"),TK!$E$7=TH!F2057),"x","")</f>
        <v/>
      </c>
      <c r="AD2057" s="75" t="str">
        <f>IF(AND(N2057="1521",MONTH(C2057)='BK-NL'!$M$11),"x","")</f>
        <v/>
      </c>
      <c r="AF2057" s="1054"/>
    </row>
    <row r="2058" spans="1:32" ht="16.5" customHeight="1">
      <c r="A2058" s="309" t="str">
        <f>IF(B2058&lt;&gt;"",IF(AND(B2058='IN-TC'!$S$4,OR(TH!N2058="1111",TH!O2058="1111")),TH!D2058,""),"")</f>
        <v/>
      </c>
      <c r="B2058" s="1244">
        <f t="shared" si="600"/>
        <v>10</v>
      </c>
      <c r="C2058" s="217">
        <f t="shared" si="616"/>
        <v>43033</v>
      </c>
      <c r="D2058" s="217" t="s">
        <v>2950</v>
      </c>
      <c r="E2058" s="217">
        <v>43033</v>
      </c>
      <c r="F2058" s="1031" t="s">
        <v>1584</v>
      </c>
      <c r="G2058" s="739"/>
      <c r="H2058" s="294" t="s">
        <v>2919</v>
      </c>
      <c r="I2058" s="373">
        <v>5760</v>
      </c>
      <c r="J2058" s="926">
        <v>199389.05347222224</v>
      </c>
      <c r="K2058" s="926"/>
      <c r="L2058" s="379"/>
      <c r="M2058" s="927">
        <f>ROUND(I2058*J2058,0)</f>
        <v>1148480948</v>
      </c>
      <c r="N2058" s="935" t="s">
        <v>274</v>
      </c>
      <c r="O2058" s="935" t="s">
        <v>272</v>
      </c>
      <c r="P2058" s="75" t="str">
        <f>IF(AND('331-CT'!$E$7=TH!H2058,OR(N2058="331",O2058="331")),"x","")</f>
        <v/>
      </c>
      <c r="Q2058" s="75" t="str">
        <f>IF(AND(B2058='111'!$L$11,OR($N2058=$Q$7,$O2058=$Q$7)),"x","")</f>
        <v/>
      </c>
      <c r="R2058" s="75" t="str">
        <f>IF(AND($N2058=$Q$7,$B2058&lt;'111'!$L$11),"x","")</f>
        <v/>
      </c>
      <c r="S2058" s="75" t="str">
        <f>IF(AND($O2058=$Q$7,$B2058&lt;'111'!$L$11),"x","")</f>
        <v/>
      </c>
      <c r="T2058" s="75" t="str">
        <f>IF(ISERROR(FIND('112'!$M$9,G2058,1)),"",IF((AND(FIND('112'!$M$9,G2058,1)&gt;=1,B2058='112'!$K$9,OR($N2058='112'!$I$6,$O2058='112'!$I$6))),"x",""))</f>
        <v/>
      </c>
      <c r="U2058" s="75" t="str">
        <f>IF(ISERROR(FIND('112'!$M$9,G2058,1)),"",IF((AND(LEFT(G2058,2)=LEFT('112'!$M$9,2),B2058&lt;'112'!$K$9,$N2058='112'!$I$6)),"x",""))</f>
        <v/>
      </c>
      <c r="V2058" s="75" t="str">
        <f>IF(ISERROR(FIND('112'!$M$9,G2058,1)),"",IF((AND(RIGHT(G2058,2)=RIGHT('112'!$M$9,2),B2058&lt;'112'!$K$9,$O2058='112'!$I$6)),"x",""))</f>
        <v/>
      </c>
      <c r="W2058" s="75" t="str">
        <f>IF(AND('341-CT'!$H$9=H2058,OR(LEFT(N2058,3)=$W$7,LEFT(O2058,3)=$W$7)),"x","")</f>
        <v/>
      </c>
      <c r="X2058" s="75" t="str">
        <f>IF(OR(TH!N2058=TH!$X$7,O2058=TH!$X$7),"x","")</f>
        <v/>
      </c>
      <c r="Y2058" s="75" t="str">
        <f>IF(AND(OR(N2058="131",O2058="131"),H2058='131-CT'!$H$9),"x","")</f>
        <v/>
      </c>
      <c r="Z2058" s="75"/>
      <c r="AA2058" s="75" t="str">
        <f>IF(AND(MONTH(E2058)='IN-NX'!$J$5,'IN-NX'!$D$7=D2058),"x","")</f>
        <v/>
      </c>
      <c r="AB2058" s="75" t="str">
        <f>IF(AND(OR(LEFT(TH!N2058,2)="15",LEFT(TH!O2058,2)="15"),LEFT(TH!O2058,3)&lt;&gt;"111",'152-CT'!$J$8=TH!F2058),"x","")</f>
        <v/>
      </c>
      <c r="AC2058" s="75" t="str">
        <f>IF(AND(OR(LEFT(TH!N2058,2)="15",LEFT(TH!O2058,2)="15"),TK!$E$7=TH!F2058),"x","")</f>
        <v/>
      </c>
      <c r="AD2058" s="75" t="str">
        <f>IF(AND(N2058="1521",MONTH(C2058)='BK-NL'!$M$11),"x","")</f>
        <v/>
      </c>
      <c r="AF2058" s="1054"/>
    </row>
    <row r="2059" spans="1:32" ht="16.5" customHeight="1">
      <c r="A2059" s="309" t="str">
        <f>IF(B2059&lt;&gt;"",IF(AND(B2059='IN-TC'!$S$4,OR(TH!N2059="1111",TH!O2059="1111")),TH!D2059,""),"")</f>
        <v/>
      </c>
      <c r="B2059" s="1244">
        <f t="shared" si="600"/>
        <v>10</v>
      </c>
      <c r="C2059" s="217">
        <f t="shared" si="616"/>
        <v>43033</v>
      </c>
      <c r="D2059" s="217" t="s">
        <v>2950</v>
      </c>
      <c r="E2059" s="217">
        <v>43033</v>
      </c>
      <c r="F2059" s="996" t="s">
        <v>793</v>
      </c>
      <c r="G2059" s="739"/>
      <c r="H2059" s="294" t="s">
        <v>2919</v>
      </c>
      <c r="I2059" s="373">
        <v>6000</v>
      </c>
      <c r="J2059" s="926">
        <v>166486.08083333334</v>
      </c>
      <c r="K2059" s="926"/>
      <c r="L2059" s="379"/>
      <c r="M2059" s="927">
        <f>ROUND(I2059*J2059,0)</f>
        <v>998916485</v>
      </c>
      <c r="N2059" s="935" t="s">
        <v>274</v>
      </c>
      <c r="O2059" s="935" t="s">
        <v>272</v>
      </c>
      <c r="P2059" s="75" t="str">
        <f>IF(AND('331-CT'!$E$7=TH!H2059,OR(N2059="331",O2059="331")),"x","")</f>
        <v/>
      </c>
      <c r="Q2059" s="75" t="str">
        <f>IF(AND(B2059='111'!$L$11,OR($N2059=$Q$7,$O2059=$Q$7)),"x","")</f>
        <v/>
      </c>
      <c r="R2059" s="75" t="str">
        <f>IF(AND($N2059=$Q$7,$B2059&lt;'111'!$L$11),"x","")</f>
        <v/>
      </c>
      <c r="S2059" s="75" t="str">
        <f>IF(AND($O2059=$Q$7,$B2059&lt;'111'!$L$11),"x","")</f>
        <v/>
      </c>
      <c r="T2059" s="75" t="str">
        <f>IF(ISERROR(FIND('112'!$M$9,G2059,1)),"",IF((AND(FIND('112'!$M$9,G2059,1)&gt;=1,B2059='112'!$K$9,OR($N2059='112'!$I$6,$O2059='112'!$I$6))),"x",""))</f>
        <v/>
      </c>
      <c r="U2059" s="75" t="str">
        <f>IF(ISERROR(FIND('112'!$M$9,G2059,1)),"",IF((AND(LEFT(G2059,2)=LEFT('112'!$M$9,2),B2059&lt;'112'!$K$9,$N2059='112'!$I$6)),"x",""))</f>
        <v/>
      </c>
      <c r="V2059" s="75" t="str">
        <f>IF(ISERROR(FIND('112'!$M$9,G2059,1)),"",IF((AND(RIGHT(G2059,2)=RIGHT('112'!$M$9,2),B2059&lt;'112'!$K$9,$O2059='112'!$I$6)),"x",""))</f>
        <v/>
      </c>
      <c r="W2059" s="75" t="str">
        <f>IF(AND('341-CT'!$H$9=H2059,OR(LEFT(N2059,3)=$W$7,LEFT(O2059,3)=$W$7)),"x","")</f>
        <v/>
      </c>
      <c r="X2059" s="75" t="str">
        <f>IF(OR(TH!N2059=TH!$X$7,O2059=TH!$X$7),"x","")</f>
        <v/>
      </c>
      <c r="Y2059" s="75" t="str">
        <f>IF(AND(OR(N2059="131",O2059="131"),H2059='131-CT'!$H$9),"x","")</f>
        <v/>
      </c>
      <c r="Z2059" s="75"/>
      <c r="AA2059" s="75" t="str">
        <f>IF(AND(MONTH(E2059)='IN-NX'!$J$5,'IN-NX'!$D$7=D2059),"x","")</f>
        <v/>
      </c>
      <c r="AB2059" s="75" t="str">
        <f>IF(AND(OR(LEFT(TH!N2059,2)="15",LEFT(TH!O2059,2)="15"),LEFT(TH!O2059,3)&lt;&gt;"111",'152-CT'!$J$8=TH!F2059),"x","")</f>
        <v/>
      </c>
      <c r="AC2059" s="75" t="str">
        <f>IF(AND(OR(LEFT(TH!N2059,2)="15",LEFT(TH!O2059,2)="15"),TK!$E$7=TH!F2059),"x","")</f>
        <v/>
      </c>
      <c r="AD2059" s="75" t="str">
        <f>IF(AND(N2059="1521",MONTH(C2059)='BK-NL'!$M$11),"x","")</f>
        <v/>
      </c>
      <c r="AF2059" s="1054"/>
    </row>
    <row r="2060" spans="1:32" ht="16.5" customHeight="1">
      <c r="A2060" s="309" t="str">
        <f>IF(B2060&lt;&gt;"",IF(AND(B2060='IN-TC'!$S$4,OR(TH!N2060="1111",TH!O2060="1111")),TH!D2060,""),"")</f>
        <v/>
      </c>
      <c r="B2060" s="1244">
        <f t="shared" si="600"/>
        <v>10</v>
      </c>
      <c r="C2060" s="217">
        <f t="shared" si="616"/>
        <v>43033</v>
      </c>
      <c r="D2060" s="217" t="s">
        <v>2950</v>
      </c>
      <c r="E2060" s="217">
        <v>43033</v>
      </c>
      <c r="F2060" s="996" t="s">
        <v>426</v>
      </c>
      <c r="G2060" s="739"/>
      <c r="H2060" s="294" t="s">
        <v>2919</v>
      </c>
      <c r="I2060" s="373">
        <v>4800</v>
      </c>
      <c r="J2060" s="926">
        <v>192433.24416666667</v>
      </c>
      <c r="K2060" s="926"/>
      <c r="L2060" s="379"/>
      <c r="M2060" s="927">
        <f>ROUND(I2060*J2060,0)</f>
        <v>923679572</v>
      </c>
      <c r="N2060" s="935" t="s">
        <v>274</v>
      </c>
      <c r="O2060" s="935" t="s">
        <v>272</v>
      </c>
      <c r="P2060" s="75" t="str">
        <f>IF(AND('331-CT'!$E$7=TH!H2060,OR(N2060="331",O2060="331")),"x","")</f>
        <v/>
      </c>
      <c r="Q2060" s="75" t="str">
        <f>IF(AND(B2060='111'!$L$11,OR($N2060=$Q$7,$O2060=$Q$7)),"x","")</f>
        <v/>
      </c>
      <c r="R2060" s="75" t="str">
        <f>IF(AND($N2060=$Q$7,$B2060&lt;'111'!$L$11),"x","")</f>
        <v/>
      </c>
      <c r="S2060" s="75" t="str">
        <f>IF(AND($O2060=$Q$7,$B2060&lt;'111'!$L$11),"x","")</f>
        <v/>
      </c>
      <c r="T2060" s="75" t="str">
        <f>IF(ISERROR(FIND('112'!$M$9,G2060,1)),"",IF((AND(FIND('112'!$M$9,G2060,1)&gt;=1,B2060='112'!$K$9,OR($N2060='112'!$I$6,$O2060='112'!$I$6))),"x",""))</f>
        <v/>
      </c>
      <c r="U2060" s="75" t="str">
        <f>IF(ISERROR(FIND('112'!$M$9,G2060,1)),"",IF((AND(LEFT(G2060,2)=LEFT('112'!$M$9,2),B2060&lt;'112'!$K$9,$N2060='112'!$I$6)),"x",""))</f>
        <v/>
      </c>
      <c r="V2060" s="75" t="str">
        <f>IF(ISERROR(FIND('112'!$M$9,G2060,1)),"",IF((AND(RIGHT(G2060,2)=RIGHT('112'!$M$9,2),B2060&lt;'112'!$K$9,$O2060='112'!$I$6)),"x",""))</f>
        <v/>
      </c>
      <c r="W2060" s="75" t="str">
        <f>IF(AND('341-CT'!$H$9=H2060,OR(LEFT(N2060,3)=$W$7,LEFT(O2060,3)=$W$7)),"x","")</f>
        <v/>
      </c>
      <c r="X2060" s="75" t="str">
        <f>IF(OR(TH!N2060=TH!$X$7,O2060=TH!$X$7),"x","")</f>
        <v/>
      </c>
      <c r="Y2060" s="75" t="str">
        <f>IF(AND(OR(N2060="131",O2060="131"),H2060='131-CT'!$H$9),"x","")</f>
        <v/>
      </c>
      <c r="Z2060" s="75"/>
      <c r="AA2060" s="75" t="str">
        <f>IF(AND(MONTH(E2060)='IN-NX'!$J$5,'IN-NX'!$D$7=D2060),"x","")</f>
        <v/>
      </c>
      <c r="AB2060" s="75" t="str">
        <f>IF(AND(OR(LEFT(TH!N2060,2)="15",LEFT(TH!O2060,2)="15"),LEFT(TH!O2060,3)&lt;&gt;"111",'152-CT'!$J$8=TH!F2060),"x","")</f>
        <v/>
      </c>
      <c r="AC2060" s="75" t="str">
        <f>IF(AND(OR(LEFT(TH!N2060,2)="15",LEFT(TH!O2060,2)="15"),TK!$E$7=TH!F2060),"x","")</f>
        <v/>
      </c>
      <c r="AD2060" s="75" t="str">
        <f>IF(AND(N2060="1521",MONTH(C2060)='BK-NL'!$M$11),"x","")</f>
        <v/>
      </c>
      <c r="AF2060" s="1054"/>
    </row>
    <row r="2061" spans="1:32" s="1264" customFormat="1" ht="16.5" customHeight="1">
      <c r="A2061" s="309" t="str">
        <f>IF(B2061&lt;&gt;"",IF(AND(B2061='IN-TC'!$S$4,OR(TH!N2061="1111",TH!O2061="1111")),TH!D2061,""),"")</f>
        <v/>
      </c>
      <c r="B2061" s="1244">
        <f t="shared" si="600"/>
        <v>10</v>
      </c>
      <c r="C2061" s="252">
        <f t="shared" ref="C2061:C2071" si="618">E2061</f>
        <v>43032</v>
      </c>
      <c r="D2061" s="252" t="s">
        <v>2921</v>
      </c>
      <c r="E2061" s="252">
        <v>43032</v>
      </c>
      <c r="F2061" s="1055" t="s">
        <v>429</v>
      </c>
      <c r="G2061" s="1056" t="s">
        <v>2944</v>
      </c>
      <c r="H2061" s="735" t="s">
        <v>789</v>
      </c>
      <c r="I2061" s="371">
        <f>23071.81*5</f>
        <v>115359.05</v>
      </c>
      <c r="J2061" s="371">
        <v>53000</v>
      </c>
      <c r="K2061" s="371"/>
      <c r="L2061" s="377"/>
      <c r="M2061" s="933">
        <f t="shared" ref="M2061:M2071" si="619">ROUND(I2061*J2061,0)</f>
        <v>6114029650</v>
      </c>
      <c r="N2061" s="977" t="s">
        <v>284</v>
      </c>
      <c r="O2061" s="977" t="s">
        <v>274</v>
      </c>
      <c r="P2061" s="75" t="str">
        <f>IF(AND('331-CT'!$E$7=TH!H2061,OR(N2061="331",O2061="331")),"x","")</f>
        <v/>
      </c>
      <c r="Q2061" s="75" t="str">
        <f>IF(AND(B2061='111'!$L$11,OR($N2061=$Q$7,$O2061=$Q$7)),"x","")</f>
        <v/>
      </c>
      <c r="R2061" s="75" t="str">
        <f>IF(AND($N2061=$Q$7,$B2061&lt;'111'!$L$11),"x","")</f>
        <v/>
      </c>
      <c r="S2061" s="75" t="str">
        <f>IF(AND($O2061=$Q$7,$B2061&lt;'111'!$L$11),"x","")</f>
        <v/>
      </c>
      <c r="T2061" s="75" t="str">
        <f>IF(ISERROR(FIND('112'!$M$9,G2061,1)),"",IF((AND(FIND('112'!$M$9,G2061,1)&gt;=1,B2061='112'!$K$9,OR($N2061='112'!$I$6,$O2061='112'!$I$6))),"x",""))</f>
        <v/>
      </c>
      <c r="U2061" s="75" t="str">
        <f>IF(ISERROR(FIND('112'!$M$9,G2061,1)),"",IF((AND(LEFT(G2061,2)=LEFT('112'!$M$9,2),B2061&lt;'112'!$K$9,$N2061='112'!$I$6)),"x",""))</f>
        <v/>
      </c>
      <c r="V2061" s="75" t="str">
        <f>IF(ISERROR(FIND('112'!$M$9,G2061,1)),"",IF((AND(RIGHT(G2061,2)=RIGHT('112'!$M$9,2),B2061&lt;'112'!$K$9,$O2061='112'!$I$6)),"x",""))</f>
        <v/>
      </c>
      <c r="W2061" s="75" t="str">
        <f>IF(AND('341-CT'!$H$9=H2061,OR(LEFT(N2061,3)=$W$7,LEFT(O2061,3)=$W$7)),"x","")</f>
        <v/>
      </c>
      <c r="X2061" s="75" t="str">
        <f>IF(OR(TH!N2061=TH!$X$7,O2061=TH!$X$7),"x","")</f>
        <v/>
      </c>
      <c r="Y2061" s="75" t="str">
        <f>IF(AND(OR(N2061="131",O2061="131"),H2061='131-CT'!$H$9),"x","")</f>
        <v/>
      </c>
      <c r="Z2061" s="75"/>
      <c r="AA2061" s="75" t="str">
        <f>IF(AND(MONTH(E2061)='IN-NX'!$J$5,'IN-NX'!$D$7=D2061),"x","")</f>
        <v/>
      </c>
      <c r="AB2061" s="75" t="str">
        <f>IF(AND(OR(LEFT(TH!N2061,2)="15",LEFT(TH!O2061,2)="15"),LEFT(TH!O2061,3)&lt;&gt;"111",'152-CT'!$J$8=TH!F2061),"x","")</f>
        <v/>
      </c>
      <c r="AC2061" s="75" t="str">
        <f>IF(AND(OR(LEFT(TH!N2061,2)="15",LEFT(TH!O2061,2)="15"),TK!$E$7=TH!F2061),"x","")</f>
        <v/>
      </c>
      <c r="AD2061" s="75" t="str">
        <f>IF(AND(N2061="1521",MONTH(C2061)='BK-NL'!$M$11),"x","")</f>
        <v/>
      </c>
      <c r="AF2061" s="1054"/>
    </row>
    <row r="2062" spans="1:32" s="1264" customFormat="1" ht="16.5" customHeight="1">
      <c r="A2062" s="309" t="str">
        <f>IF(B2062&lt;&gt;"",IF(AND(B2062='IN-TC'!$S$4,OR(TH!N2062="1111",TH!O2062="1111")),TH!D2062,""),"")</f>
        <v/>
      </c>
      <c r="B2062" s="1244">
        <f t="shared" si="600"/>
        <v>10</v>
      </c>
      <c r="C2062" s="252">
        <f t="shared" ref="C2062" si="620">E2062</f>
        <v>43032</v>
      </c>
      <c r="D2062" s="252" t="s">
        <v>2921</v>
      </c>
      <c r="E2062" s="252">
        <v>43032</v>
      </c>
      <c r="F2062" s="1055" t="s">
        <v>429</v>
      </c>
      <c r="G2062" s="1056" t="s">
        <v>2943</v>
      </c>
      <c r="H2062" s="735" t="s">
        <v>623</v>
      </c>
      <c r="I2062" s="371">
        <f>52780*4</f>
        <v>211120</v>
      </c>
      <c r="J2062" s="371">
        <v>53000</v>
      </c>
      <c r="K2062" s="371"/>
      <c r="L2062" s="377"/>
      <c r="M2062" s="933">
        <f t="shared" ref="M2062" si="621">ROUND(I2062*J2062,0)</f>
        <v>11189360000</v>
      </c>
      <c r="N2062" s="977" t="s">
        <v>284</v>
      </c>
      <c r="O2062" s="977" t="s">
        <v>274</v>
      </c>
      <c r="P2062" s="75" t="str">
        <f>IF(AND('331-CT'!$E$7=TH!H2062,OR(N2062="331",O2062="331")),"x","")</f>
        <v/>
      </c>
      <c r="Q2062" s="75" t="str">
        <f>IF(AND(B2062='111'!$L$11,OR($N2062=$Q$7,$O2062=$Q$7)),"x","")</f>
        <v/>
      </c>
      <c r="R2062" s="75" t="str">
        <f>IF(AND($N2062=$Q$7,$B2062&lt;'111'!$L$11),"x","")</f>
        <v/>
      </c>
      <c r="S2062" s="75" t="str">
        <f>IF(AND($O2062=$Q$7,$B2062&lt;'111'!$L$11),"x","")</f>
        <v/>
      </c>
      <c r="T2062" s="75" t="str">
        <f>IF(ISERROR(FIND('112'!$M$9,G2062,1)),"",IF((AND(FIND('112'!$M$9,G2062,1)&gt;=1,B2062='112'!$K$9,OR($N2062='112'!$I$6,$O2062='112'!$I$6))),"x",""))</f>
        <v/>
      </c>
      <c r="U2062" s="75" t="str">
        <f>IF(ISERROR(FIND('112'!$M$9,G2062,1)),"",IF((AND(LEFT(G2062,2)=LEFT('112'!$M$9,2),B2062&lt;'112'!$K$9,$N2062='112'!$I$6)),"x",""))</f>
        <v/>
      </c>
      <c r="V2062" s="75" t="str">
        <f>IF(ISERROR(FIND('112'!$M$9,G2062,1)),"",IF((AND(RIGHT(G2062,2)=RIGHT('112'!$M$9,2),B2062&lt;'112'!$K$9,$O2062='112'!$I$6)),"x",""))</f>
        <v/>
      </c>
      <c r="W2062" s="75" t="str">
        <f>IF(AND('341-CT'!$H$9=H2062,OR(LEFT(N2062,3)=$W$7,LEFT(O2062,3)=$W$7)),"x","")</f>
        <v/>
      </c>
      <c r="X2062" s="75" t="str">
        <f>IF(OR(TH!N2062=TH!$X$7,O2062=TH!$X$7),"x","")</f>
        <v/>
      </c>
      <c r="Y2062" s="75" t="str">
        <f>IF(AND(OR(N2062="131",O2062="131"),H2062='131-CT'!$H$9),"x","")</f>
        <v/>
      </c>
      <c r="Z2062" s="75"/>
      <c r="AA2062" s="75" t="str">
        <f>IF(AND(MONTH(E2062)='IN-NX'!$J$5,'IN-NX'!$D$7=D2062),"x","")</f>
        <v/>
      </c>
      <c r="AB2062" s="75" t="str">
        <f>IF(AND(OR(LEFT(TH!N2062,2)="15",LEFT(TH!O2062,2)="15"),LEFT(TH!O2062,3)&lt;&gt;"111",'152-CT'!$J$8=TH!F2062),"x","")</f>
        <v/>
      </c>
      <c r="AC2062" s="75" t="str">
        <f>IF(AND(OR(LEFT(TH!N2062,2)="15",LEFT(TH!O2062,2)="15"),TK!$E$7=TH!F2062),"x","")</f>
        <v/>
      </c>
      <c r="AD2062" s="75" t="str">
        <f>IF(AND(N2062="1521",MONTH(C2062)='BK-NL'!$M$11),"x","")</f>
        <v/>
      </c>
      <c r="AF2062" s="1054"/>
    </row>
    <row r="2063" spans="1:32" s="1264" customFormat="1" ht="16.5" customHeight="1">
      <c r="A2063" s="309" t="str">
        <f>IF(B2063&lt;&gt;"",IF(AND(B2063='IN-TC'!$S$4,OR(TH!N2063="1111",TH!O2063="1111")),TH!D2063,""),"")</f>
        <v/>
      </c>
      <c r="B2063" s="1263">
        <f t="shared" ref="B2063" si="622">IF(C2063&lt;&gt;"",MONTH(C2063),"")</f>
        <v>10</v>
      </c>
      <c r="C2063" s="252">
        <f t="shared" ref="C2063" si="623">E2063</f>
        <v>43032</v>
      </c>
      <c r="D2063" s="252" t="s">
        <v>2921</v>
      </c>
      <c r="E2063" s="252">
        <v>43032</v>
      </c>
      <c r="F2063" s="1055" t="s">
        <v>429</v>
      </c>
      <c r="G2063" s="1056" t="s">
        <v>2945</v>
      </c>
      <c r="H2063" s="735" t="s">
        <v>623</v>
      </c>
      <c r="I2063" s="371">
        <f>52780*6+26390*2</f>
        <v>369460</v>
      </c>
      <c r="J2063" s="371">
        <v>51000</v>
      </c>
      <c r="K2063" s="371"/>
      <c r="L2063" s="377"/>
      <c r="M2063" s="933">
        <f t="shared" ref="M2063" si="624">ROUND(I2063*J2063,0)</f>
        <v>18842460000</v>
      </c>
      <c r="N2063" s="977" t="s">
        <v>284</v>
      </c>
      <c r="O2063" s="977" t="s">
        <v>274</v>
      </c>
      <c r="P2063" s="75" t="str">
        <f>IF(AND('331-CT'!$E$7=TH!H2063,OR(N2063="331",O2063="331")),"x","")</f>
        <v/>
      </c>
      <c r="Q2063" s="75" t="str">
        <f>IF(AND(B2063='111'!$L$11,OR($N2063=$Q$7,$O2063=$Q$7)),"x","")</f>
        <v/>
      </c>
      <c r="R2063" s="75" t="str">
        <f>IF(AND($N2063=$Q$7,$B2063&lt;'111'!$L$11),"x","")</f>
        <v/>
      </c>
      <c r="S2063" s="75" t="str">
        <f>IF(AND($O2063=$Q$7,$B2063&lt;'111'!$L$11),"x","")</f>
        <v/>
      </c>
      <c r="T2063" s="75" t="str">
        <f>IF(ISERROR(FIND('112'!$M$9,G2063,1)),"",IF((AND(FIND('112'!$M$9,G2063,1)&gt;=1,B2063='112'!$K$9,OR($N2063='112'!$I$6,$O2063='112'!$I$6))),"x",""))</f>
        <v/>
      </c>
      <c r="U2063" s="75" t="str">
        <f>IF(ISERROR(FIND('112'!$M$9,G2063,1)),"",IF((AND(LEFT(G2063,2)=LEFT('112'!$M$9,2),B2063&lt;'112'!$K$9,$N2063='112'!$I$6)),"x",""))</f>
        <v/>
      </c>
      <c r="V2063" s="75" t="str">
        <f>IF(ISERROR(FIND('112'!$M$9,G2063,1)),"",IF((AND(RIGHT(G2063,2)=RIGHT('112'!$M$9,2),B2063&lt;'112'!$K$9,$O2063='112'!$I$6)),"x",""))</f>
        <v/>
      </c>
      <c r="W2063" s="75" t="str">
        <f>IF(AND('341-CT'!$H$9=H2063,OR(LEFT(N2063,3)=$W$7,LEFT(O2063,3)=$W$7)),"x","")</f>
        <v/>
      </c>
      <c r="X2063" s="75" t="str">
        <f>IF(OR(TH!N2063=TH!$X$7,O2063=TH!$X$7),"x","")</f>
        <v/>
      </c>
      <c r="Y2063" s="75" t="str">
        <f>IF(AND(OR(N2063="131",O2063="131"),H2063='131-CT'!$H$9),"x","")</f>
        <v/>
      </c>
      <c r="Z2063" s="75"/>
      <c r="AA2063" s="75" t="str">
        <f>IF(AND(MONTH(E2063)='IN-NX'!$J$5,'IN-NX'!$D$7=D2063),"x","")</f>
        <v/>
      </c>
      <c r="AB2063" s="75" t="str">
        <f>IF(AND(OR(LEFT(TH!N2063,2)="15",LEFT(TH!O2063,2)="15"),LEFT(TH!O2063,3)&lt;&gt;"111",'152-CT'!$J$8=TH!F2063),"x","")</f>
        <v/>
      </c>
      <c r="AC2063" s="75" t="str">
        <f>IF(AND(OR(LEFT(TH!N2063,2)="15",LEFT(TH!O2063,2)="15"),TK!$E$7=TH!F2063),"x","")</f>
        <v/>
      </c>
      <c r="AD2063" s="75" t="str">
        <f>IF(AND(N2063="1521",MONTH(C2063)='BK-NL'!$M$11),"x","")</f>
        <v/>
      </c>
      <c r="AF2063" s="1054"/>
    </row>
    <row r="2064" spans="1:32" s="1264" customFormat="1" ht="16.5" customHeight="1">
      <c r="A2064" s="309" t="str">
        <f>IF(B2064&lt;&gt;"",IF(AND(B2064='IN-TC'!$S$4,OR(TH!N2064="1111",TH!O2064="1111")),TH!D2064,""),"")</f>
        <v/>
      </c>
      <c r="B2064" s="1263">
        <f t="shared" ref="B2064:B2065" si="625">IF(C2064&lt;&gt;"",MONTH(C2064),"")</f>
        <v>10</v>
      </c>
      <c r="C2064" s="252">
        <f t="shared" ref="C2064:C2065" si="626">E2064</f>
        <v>43032</v>
      </c>
      <c r="D2064" s="252" t="s">
        <v>2921</v>
      </c>
      <c r="E2064" s="252">
        <v>43032</v>
      </c>
      <c r="F2064" s="1055" t="s">
        <v>429</v>
      </c>
      <c r="G2064" s="1056" t="s">
        <v>2945</v>
      </c>
      <c r="H2064" s="735" t="s">
        <v>623</v>
      </c>
      <c r="I2064" s="371">
        <f>26390*6</f>
        <v>158340</v>
      </c>
      <c r="J2064" s="371">
        <v>51500</v>
      </c>
      <c r="K2064" s="371"/>
      <c r="L2064" s="377"/>
      <c r="M2064" s="933">
        <f t="shared" ref="M2064:M2065" si="627">ROUND(I2064*J2064,0)</f>
        <v>8154510000</v>
      </c>
      <c r="N2064" s="977" t="s">
        <v>284</v>
      </c>
      <c r="O2064" s="977" t="s">
        <v>274</v>
      </c>
      <c r="P2064" s="75" t="str">
        <f>IF(AND('331-CT'!$E$7=TH!H2064,OR(N2064="331",O2064="331")),"x","")</f>
        <v/>
      </c>
      <c r="Q2064" s="75" t="str">
        <f>IF(AND(B2064='111'!$L$11,OR($N2064=$Q$7,$O2064=$Q$7)),"x","")</f>
        <v/>
      </c>
      <c r="R2064" s="75" t="str">
        <f>IF(AND($N2064=$Q$7,$B2064&lt;'111'!$L$11),"x","")</f>
        <v/>
      </c>
      <c r="S2064" s="75" t="str">
        <f>IF(AND($O2064=$Q$7,$B2064&lt;'111'!$L$11),"x","")</f>
        <v/>
      </c>
      <c r="T2064" s="75" t="str">
        <f>IF(ISERROR(FIND('112'!$M$9,G2064,1)),"",IF((AND(FIND('112'!$M$9,G2064,1)&gt;=1,B2064='112'!$K$9,OR($N2064='112'!$I$6,$O2064='112'!$I$6))),"x",""))</f>
        <v/>
      </c>
      <c r="U2064" s="75" t="str">
        <f>IF(ISERROR(FIND('112'!$M$9,G2064,1)),"",IF((AND(LEFT(G2064,2)=LEFT('112'!$M$9,2),B2064&lt;'112'!$K$9,$N2064='112'!$I$6)),"x",""))</f>
        <v/>
      </c>
      <c r="V2064" s="75" t="str">
        <f>IF(ISERROR(FIND('112'!$M$9,G2064,1)),"",IF((AND(RIGHT(G2064,2)=RIGHT('112'!$M$9,2),B2064&lt;'112'!$K$9,$O2064='112'!$I$6)),"x",""))</f>
        <v/>
      </c>
      <c r="W2064" s="75" t="str">
        <f>IF(AND('341-CT'!$H$9=H2064,OR(LEFT(N2064,3)=$W$7,LEFT(O2064,3)=$W$7)),"x","")</f>
        <v/>
      </c>
      <c r="X2064" s="75" t="str">
        <f>IF(OR(TH!N2064=TH!$X$7,O2064=TH!$X$7),"x","")</f>
        <v/>
      </c>
      <c r="Y2064" s="75" t="str">
        <f>IF(AND(OR(N2064="131",O2064="131"),H2064='131-CT'!$H$9),"x","")</f>
        <v/>
      </c>
      <c r="Z2064" s="75"/>
      <c r="AA2064" s="75" t="str">
        <f>IF(AND(MONTH(E2064)='IN-NX'!$J$5,'IN-NX'!$D$7=D2064),"x","")</f>
        <v/>
      </c>
      <c r="AB2064" s="75" t="str">
        <f>IF(AND(OR(LEFT(TH!N2064,2)="15",LEFT(TH!O2064,2)="15"),LEFT(TH!O2064,3)&lt;&gt;"111",'152-CT'!$J$8=TH!F2064),"x","")</f>
        <v/>
      </c>
      <c r="AC2064" s="75" t="str">
        <f>IF(AND(OR(LEFT(TH!N2064,2)="15",LEFT(TH!O2064,2)="15"),TK!$E$7=TH!F2064),"x","")</f>
        <v/>
      </c>
      <c r="AD2064" s="75" t="str">
        <f>IF(AND(N2064="1521",MONTH(C2064)='BK-NL'!$M$11),"x","")</f>
        <v/>
      </c>
      <c r="AF2064" s="1054"/>
    </row>
    <row r="2065" spans="1:32" s="1264" customFormat="1" ht="16.5" customHeight="1">
      <c r="A2065" s="309" t="str">
        <f>IF(B2065&lt;&gt;"",IF(AND(B2065='IN-TC'!$S$4,OR(TH!N2065="1111",TH!O2065="1111")),TH!D2065,""),"")</f>
        <v/>
      </c>
      <c r="B2065" s="1263">
        <f t="shared" si="625"/>
        <v>10</v>
      </c>
      <c r="C2065" s="252">
        <f t="shared" si="626"/>
        <v>43032</v>
      </c>
      <c r="D2065" s="252" t="s">
        <v>2921</v>
      </c>
      <c r="E2065" s="252">
        <v>43032</v>
      </c>
      <c r="F2065" s="1055" t="s">
        <v>429</v>
      </c>
      <c r="G2065" s="1056" t="s">
        <v>2488</v>
      </c>
      <c r="H2065" s="735" t="s">
        <v>789</v>
      </c>
      <c r="I2065" s="371">
        <v>24806.6</v>
      </c>
      <c r="J2065" s="371">
        <v>50000</v>
      </c>
      <c r="K2065" s="371"/>
      <c r="L2065" s="377"/>
      <c r="M2065" s="933">
        <f t="shared" si="627"/>
        <v>1240330000</v>
      </c>
      <c r="N2065" s="977" t="s">
        <v>284</v>
      </c>
      <c r="O2065" s="977" t="s">
        <v>274</v>
      </c>
      <c r="P2065" s="75" t="str">
        <f>IF(AND('331-CT'!$E$7=TH!H2065,OR(N2065="331",O2065="331")),"x","")</f>
        <v/>
      </c>
      <c r="Q2065" s="75" t="str">
        <f>IF(AND(B2065='111'!$L$11,OR($N2065=$Q$7,$O2065=$Q$7)),"x","")</f>
        <v/>
      </c>
      <c r="R2065" s="75" t="str">
        <f>IF(AND($N2065=$Q$7,$B2065&lt;'111'!$L$11),"x","")</f>
        <v/>
      </c>
      <c r="S2065" s="75" t="str">
        <f>IF(AND($O2065=$Q$7,$B2065&lt;'111'!$L$11),"x","")</f>
        <v/>
      </c>
      <c r="T2065" s="75" t="str">
        <f>IF(ISERROR(FIND('112'!$M$9,G2065,1)),"",IF((AND(FIND('112'!$M$9,G2065,1)&gt;=1,B2065='112'!$K$9,OR($N2065='112'!$I$6,$O2065='112'!$I$6))),"x",""))</f>
        <v/>
      </c>
      <c r="U2065" s="75" t="str">
        <f>IF(ISERROR(FIND('112'!$M$9,G2065,1)),"",IF((AND(LEFT(G2065,2)=LEFT('112'!$M$9,2),B2065&lt;'112'!$K$9,$N2065='112'!$I$6)),"x",""))</f>
        <v/>
      </c>
      <c r="V2065" s="75" t="str">
        <f>IF(ISERROR(FIND('112'!$M$9,G2065,1)),"",IF((AND(RIGHT(G2065,2)=RIGHT('112'!$M$9,2),B2065&lt;'112'!$K$9,$O2065='112'!$I$6)),"x",""))</f>
        <v/>
      </c>
      <c r="W2065" s="75" t="str">
        <f>IF(AND('341-CT'!$H$9=H2065,OR(LEFT(N2065,3)=$W$7,LEFT(O2065,3)=$W$7)),"x","")</f>
        <v/>
      </c>
      <c r="X2065" s="75" t="str">
        <f>IF(OR(TH!N2065=TH!$X$7,O2065=TH!$X$7),"x","")</f>
        <v/>
      </c>
      <c r="Y2065" s="75" t="str">
        <f>IF(AND(OR(N2065="131",O2065="131"),H2065='131-CT'!$H$9),"x","")</f>
        <v/>
      </c>
      <c r="Z2065" s="75"/>
      <c r="AA2065" s="75" t="str">
        <f>IF(AND(MONTH(E2065)='IN-NX'!$J$5,'IN-NX'!$D$7=D2065),"x","")</f>
        <v/>
      </c>
      <c r="AB2065" s="75" t="str">
        <f>IF(AND(OR(LEFT(TH!N2065,2)="15",LEFT(TH!O2065,2)="15"),LEFT(TH!O2065,3)&lt;&gt;"111",'152-CT'!$J$8=TH!F2065),"x","")</f>
        <v/>
      </c>
      <c r="AC2065" s="75" t="str">
        <f>IF(AND(OR(LEFT(TH!N2065,2)="15",LEFT(TH!O2065,2)="15"),TK!$E$7=TH!F2065),"x","")</f>
        <v/>
      </c>
      <c r="AD2065" s="75" t="str">
        <f>IF(AND(N2065="1521",MONTH(C2065)='BK-NL'!$M$11),"x","")</f>
        <v/>
      </c>
      <c r="AF2065" s="1054"/>
    </row>
    <row r="2066" spans="1:32" s="1264" customFormat="1" ht="16.5" customHeight="1">
      <c r="A2066" s="309" t="str">
        <f>IF(B2066&lt;&gt;"",IF(AND(B2066='IN-TC'!$S$4,OR(TH!N2066="1111",TH!O2066="1111")),TH!D2066,""),"")</f>
        <v/>
      </c>
      <c r="B2066" s="1263">
        <f>IF(C2066&lt;&gt;"",MONTH(C2066),"")</f>
        <v>10</v>
      </c>
      <c r="C2066" s="252">
        <f>E2066</f>
        <v>43032</v>
      </c>
      <c r="D2066" s="252" t="s">
        <v>2921</v>
      </c>
      <c r="E2066" s="252">
        <v>43032</v>
      </c>
      <c r="F2066" s="1055" t="s">
        <v>2399</v>
      </c>
      <c r="G2066" s="1056" t="s">
        <v>2196</v>
      </c>
      <c r="H2066" s="735" t="s">
        <v>1859</v>
      </c>
      <c r="I2066" s="371">
        <v>50000</v>
      </c>
      <c r="J2066" s="371">
        <v>58283.637920000001</v>
      </c>
      <c r="K2066" s="371"/>
      <c r="L2066" s="377"/>
      <c r="M2066" s="933">
        <f>ROUND(I2066*J2066,0)</f>
        <v>2914181896</v>
      </c>
      <c r="N2066" s="977" t="s">
        <v>284</v>
      </c>
      <c r="O2066" s="977" t="s">
        <v>274</v>
      </c>
      <c r="P2066" s="75" t="str">
        <f>IF(AND('331-CT'!$E$7=TH!H2066,OR(N2066="331",O2066="331")),"x","")</f>
        <v/>
      </c>
      <c r="Q2066" s="75" t="str">
        <f>IF(AND(B2066='111'!$L$11,OR($N2066=$Q$7,$O2066=$Q$7)),"x","")</f>
        <v/>
      </c>
      <c r="R2066" s="75" t="str">
        <f>IF(AND($N2066=$Q$7,$B2066&lt;'111'!$L$11),"x","")</f>
        <v/>
      </c>
      <c r="S2066" s="75" t="str">
        <f>IF(AND($O2066=$Q$7,$B2066&lt;'111'!$L$11),"x","")</f>
        <v/>
      </c>
      <c r="T2066" s="75" t="str">
        <f>IF(ISERROR(FIND('112'!$M$9,G2066,1)),"",IF((AND(FIND('112'!$M$9,G2066,1)&gt;=1,B2066='112'!$K$9,OR($N2066='112'!$I$6,$O2066='112'!$I$6))),"x",""))</f>
        <v/>
      </c>
      <c r="U2066" s="75" t="str">
        <f>IF(ISERROR(FIND('112'!$M$9,G2066,1)),"",IF((AND(LEFT(G2066,2)=LEFT('112'!$M$9,2),B2066&lt;'112'!$K$9,$N2066='112'!$I$6)),"x",""))</f>
        <v/>
      </c>
      <c r="V2066" s="75" t="str">
        <f>IF(ISERROR(FIND('112'!$M$9,G2066,1)),"",IF((AND(RIGHT(G2066,2)=RIGHT('112'!$M$9,2),B2066&lt;'112'!$K$9,$O2066='112'!$I$6)),"x",""))</f>
        <v/>
      </c>
      <c r="W2066" s="75" t="str">
        <f>IF(AND('341-CT'!$H$9=H2066,OR(LEFT(N2066,3)=$W$7,LEFT(O2066,3)=$W$7)),"x","")</f>
        <v/>
      </c>
      <c r="X2066" s="75" t="str">
        <f>IF(OR(TH!N2066=TH!$X$7,O2066=TH!$X$7),"x","")</f>
        <v/>
      </c>
      <c r="Y2066" s="75" t="str">
        <f>IF(AND(OR(N2066="131",O2066="131"),H2066='131-CT'!$H$9),"x","")</f>
        <v/>
      </c>
      <c r="Z2066" s="75"/>
      <c r="AA2066" s="75" t="str">
        <f>IF(AND(MONTH(E2066)='IN-NX'!$J$5,'IN-NX'!$D$7=D2066),"x","")</f>
        <v/>
      </c>
      <c r="AB2066" s="75" t="str">
        <f>IF(AND(OR(LEFT(TH!N2066,2)="15",LEFT(TH!O2066,2)="15"),LEFT(TH!O2066,3)&lt;&gt;"111",'152-CT'!$J$8=TH!F2066),"x","")</f>
        <v/>
      </c>
      <c r="AC2066" s="75" t="str">
        <f>IF(AND(OR(LEFT(TH!N2066,2)="15",LEFT(TH!O2066,2)="15"),TK!$E$7=TH!F2066),"x","")</f>
        <v/>
      </c>
      <c r="AD2066" s="75" t="str">
        <f>IF(AND(N2066="1521",MONTH(C2066)='BK-NL'!$M$11),"x","")</f>
        <v/>
      </c>
      <c r="AF2066" s="1054"/>
    </row>
    <row r="2067" spans="1:32" s="1264" customFormat="1" ht="16.5" customHeight="1">
      <c r="A2067" s="309" t="str">
        <f>IF(B2067&lt;&gt;"",IF(AND(B2067='IN-TC'!$S$4,OR(TH!N2067="1111",TH!O2067="1111")),TH!D2067,""),"")</f>
        <v/>
      </c>
      <c r="B2067" s="1263">
        <f t="shared" ref="B2067:B2071" si="628">IF(C2067&lt;&gt;"",MONTH(C2067),"")</f>
        <v>10</v>
      </c>
      <c r="C2067" s="252">
        <f t="shared" si="618"/>
        <v>43032</v>
      </c>
      <c r="D2067" s="252" t="s">
        <v>2921</v>
      </c>
      <c r="E2067" s="252">
        <v>43032</v>
      </c>
      <c r="F2067" s="1055" t="s">
        <v>429</v>
      </c>
      <c r="G2067" s="1056" t="s">
        <v>2345</v>
      </c>
      <c r="H2067" s="735" t="s">
        <v>759</v>
      </c>
      <c r="I2067" s="371">
        <v>13394.349999999977</v>
      </c>
      <c r="J2067" s="371">
        <v>61106.930235509855</v>
      </c>
      <c r="K2067" s="371"/>
      <c r="L2067" s="377"/>
      <c r="M2067" s="933">
        <f t="shared" si="619"/>
        <v>818487611</v>
      </c>
      <c r="N2067" s="977" t="s">
        <v>284</v>
      </c>
      <c r="O2067" s="977" t="s">
        <v>274</v>
      </c>
      <c r="P2067" s="75" t="str">
        <f>IF(AND('331-CT'!$E$7=TH!H2067,OR(N2067="331",O2067="331")),"x","")</f>
        <v/>
      </c>
      <c r="Q2067" s="75" t="str">
        <f>IF(AND(B2067='111'!$L$11,OR($N2067=$Q$7,$O2067=$Q$7)),"x","")</f>
        <v/>
      </c>
      <c r="R2067" s="75" t="str">
        <f>IF(AND($N2067=$Q$7,$B2067&lt;'111'!$L$11),"x","")</f>
        <v/>
      </c>
      <c r="S2067" s="75" t="str">
        <f>IF(AND($O2067=$Q$7,$B2067&lt;'111'!$L$11),"x","")</f>
        <v/>
      </c>
      <c r="T2067" s="75" t="str">
        <f>IF(ISERROR(FIND('112'!$M$9,G2067,1)),"",IF((AND(FIND('112'!$M$9,G2067,1)&gt;=1,B2067='112'!$K$9,OR($N2067='112'!$I$6,$O2067='112'!$I$6))),"x",""))</f>
        <v/>
      </c>
      <c r="U2067" s="75" t="str">
        <f>IF(ISERROR(FIND('112'!$M$9,G2067,1)),"",IF((AND(LEFT(G2067,2)=LEFT('112'!$M$9,2),B2067&lt;'112'!$K$9,$N2067='112'!$I$6)),"x",""))</f>
        <v/>
      </c>
      <c r="V2067" s="75" t="str">
        <f>IF(ISERROR(FIND('112'!$M$9,G2067,1)),"",IF((AND(RIGHT(G2067,2)=RIGHT('112'!$M$9,2),B2067&lt;'112'!$K$9,$O2067='112'!$I$6)),"x",""))</f>
        <v/>
      </c>
      <c r="W2067" s="75" t="str">
        <f>IF(AND('341-CT'!$H$9=H2067,OR(LEFT(N2067,3)=$W$7,LEFT(O2067,3)=$W$7)),"x","")</f>
        <v/>
      </c>
      <c r="X2067" s="75" t="str">
        <f>IF(OR(TH!N2067=TH!$X$7,O2067=TH!$X$7),"x","")</f>
        <v/>
      </c>
      <c r="Y2067" s="75" t="str">
        <f>IF(AND(OR(N2067="131",O2067="131"),H2067='131-CT'!$H$9),"x","")</f>
        <v/>
      </c>
      <c r="Z2067" s="75"/>
      <c r="AA2067" s="75" t="str">
        <f>IF(AND(MONTH(E2067)='IN-NX'!$J$5,'IN-NX'!$D$7=D2067),"x","")</f>
        <v/>
      </c>
      <c r="AB2067" s="75" t="str">
        <f>IF(AND(OR(LEFT(TH!N2067,2)="15",LEFT(TH!O2067,2)="15"),LEFT(TH!O2067,3)&lt;&gt;"111",'152-CT'!$J$8=TH!F2067),"x","")</f>
        <v/>
      </c>
      <c r="AC2067" s="75" t="str">
        <f>IF(AND(OR(LEFT(TH!N2067,2)="15",LEFT(TH!O2067,2)="15"),TK!$E$7=TH!F2067),"x","")</f>
        <v/>
      </c>
      <c r="AD2067" s="75" t="str">
        <f>IF(AND(N2067="1521",MONTH(C2067)='BK-NL'!$M$11),"x","")</f>
        <v/>
      </c>
      <c r="AF2067" s="1054"/>
    </row>
    <row r="2068" spans="1:32" s="1264" customFormat="1" ht="16.5" customHeight="1">
      <c r="A2068" s="309" t="str">
        <f>IF(B2068&lt;&gt;"",IF(AND(B2068='IN-TC'!$S$4,OR(TH!N2068="1111",TH!O2068="1111")),TH!D2068,""),"")</f>
        <v/>
      </c>
      <c r="B2068" s="1263">
        <f>IF(C2068&lt;&gt;"",MONTH(C2068),"")</f>
        <v>10</v>
      </c>
      <c r="C2068" s="252">
        <f>E2068</f>
        <v>43032</v>
      </c>
      <c r="D2068" s="252" t="s">
        <v>2921</v>
      </c>
      <c r="E2068" s="252">
        <v>43032</v>
      </c>
      <c r="F2068" s="1055" t="s">
        <v>2399</v>
      </c>
      <c r="G2068" s="1056" t="s">
        <v>2196</v>
      </c>
      <c r="H2068" s="735" t="s">
        <v>1859</v>
      </c>
      <c r="I2068" s="371">
        <v>214530</v>
      </c>
      <c r="J2068" s="371">
        <v>49476.007849717986</v>
      </c>
      <c r="K2068" s="371"/>
      <c r="L2068" s="377"/>
      <c r="M2068" s="933">
        <f>ROUND(I2068*J2068,0)</f>
        <v>10614087964</v>
      </c>
      <c r="N2068" s="977" t="s">
        <v>284</v>
      </c>
      <c r="O2068" s="977" t="s">
        <v>274</v>
      </c>
      <c r="P2068" s="75" t="str">
        <f>IF(AND('331-CT'!$E$7=TH!H2068,OR(N2068="331",O2068="331")),"x","")</f>
        <v/>
      </c>
      <c r="Q2068" s="75" t="str">
        <f>IF(AND(B2068='111'!$L$11,OR($N2068=$Q$7,$O2068=$Q$7)),"x","")</f>
        <v/>
      </c>
      <c r="R2068" s="75" t="str">
        <f>IF(AND($N2068=$Q$7,$B2068&lt;'111'!$L$11),"x","")</f>
        <v/>
      </c>
      <c r="S2068" s="75" t="str">
        <f>IF(AND($O2068=$Q$7,$B2068&lt;'111'!$L$11),"x","")</f>
        <v/>
      </c>
      <c r="T2068" s="75" t="str">
        <f>IF(ISERROR(FIND('112'!$M$9,G2068,1)),"",IF((AND(FIND('112'!$M$9,G2068,1)&gt;=1,B2068='112'!$K$9,OR($N2068='112'!$I$6,$O2068='112'!$I$6))),"x",""))</f>
        <v/>
      </c>
      <c r="U2068" s="75" t="str">
        <f>IF(ISERROR(FIND('112'!$M$9,G2068,1)),"",IF((AND(LEFT(G2068,2)=LEFT('112'!$M$9,2),B2068&lt;'112'!$K$9,$N2068='112'!$I$6)),"x",""))</f>
        <v/>
      </c>
      <c r="V2068" s="75" t="str">
        <f>IF(ISERROR(FIND('112'!$M$9,G2068,1)),"",IF((AND(RIGHT(G2068,2)=RIGHT('112'!$M$9,2),B2068&lt;'112'!$K$9,$O2068='112'!$I$6)),"x",""))</f>
        <v/>
      </c>
      <c r="W2068" s="75" t="str">
        <f>IF(AND('341-CT'!$H$9=H2068,OR(LEFT(N2068,3)=$W$7,LEFT(O2068,3)=$W$7)),"x","")</f>
        <v/>
      </c>
      <c r="X2068" s="75" t="str">
        <f>IF(OR(TH!N2068=TH!$X$7,O2068=TH!$X$7),"x","")</f>
        <v/>
      </c>
      <c r="Y2068" s="75" t="str">
        <f>IF(AND(OR(N2068="131",O2068="131"),H2068='131-CT'!$H$9),"x","")</f>
        <v/>
      </c>
      <c r="Z2068" s="75"/>
      <c r="AA2068" s="75" t="str">
        <f>IF(AND(MONTH(E2068)='IN-NX'!$J$5,'IN-NX'!$D$7=D2068),"x","")</f>
        <v/>
      </c>
      <c r="AB2068" s="75" t="str">
        <f>IF(AND(OR(LEFT(TH!N2068,2)="15",LEFT(TH!O2068,2)="15"),LEFT(TH!O2068,3)&lt;&gt;"111",'152-CT'!$J$8=TH!F2068),"x","")</f>
        <v/>
      </c>
      <c r="AC2068" s="75" t="str">
        <f>IF(AND(OR(LEFT(TH!N2068,2)="15",LEFT(TH!O2068,2)="15"),TK!$E$7=TH!F2068),"x","")</f>
        <v/>
      </c>
      <c r="AD2068" s="75" t="str">
        <f>IF(AND(N2068="1521",MONTH(C2068)='BK-NL'!$M$11),"x","")</f>
        <v/>
      </c>
      <c r="AF2068" s="1054"/>
    </row>
    <row r="2069" spans="1:32" s="1264" customFormat="1" ht="16.5" customHeight="1">
      <c r="A2069" s="309" t="str">
        <f>IF(B2069&lt;&gt;"",IF(AND(B2069='IN-TC'!$S$4,OR(TH!N2069="1111",TH!O2069="1111")),TH!D2069,""),"")</f>
        <v/>
      </c>
      <c r="B2069" s="1263">
        <f t="shared" si="628"/>
        <v>10</v>
      </c>
      <c r="C2069" s="252">
        <f t="shared" si="618"/>
        <v>43014</v>
      </c>
      <c r="D2069" s="252" t="s">
        <v>2921</v>
      </c>
      <c r="E2069" s="252">
        <v>43014</v>
      </c>
      <c r="F2069" s="1055" t="s">
        <v>1584</v>
      </c>
      <c r="G2069" s="1056" t="s">
        <v>2946</v>
      </c>
      <c r="H2069" s="735" t="s">
        <v>546</v>
      </c>
      <c r="I2069" s="371">
        <v>5760</v>
      </c>
      <c r="J2069" s="371">
        <v>199389.05347222224</v>
      </c>
      <c r="K2069" s="371"/>
      <c r="L2069" s="377"/>
      <c r="M2069" s="933">
        <f t="shared" si="619"/>
        <v>1148480948</v>
      </c>
      <c r="N2069" s="977" t="s">
        <v>284</v>
      </c>
      <c r="O2069" s="977" t="s">
        <v>274</v>
      </c>
      <c r="P2069" s="75" t="str">
        <f>IF(AND('331-CT'!$E$7=TH!H2069,OR(N2069="331",O2069="331")),"x","")</f>
        <v/>
      </c>
      <c r="Q2069" s="75" t="str">
        <f>IF(AND(B2069='111'!$L$11,OR($N2069=$Q$7,$O2069=$Q$7)),"x","")</f>
        <v/>
      </c>
      <c r="R2069" s="75" t="str">
        <f>IF(AND($N2069=$Q$7,$B2069&lt;'111'!$L$11),"x","")</f>
        <v/>
      </c>
      <c r="S2069" s="75" t="str">
        <f>IF(AND($O2069=$Q$7,$B2069&lt;'111'!$L$11),"x","")</f>
        <v/>
      </c>
      <c r="T2069" s="75" t="str">
        <f>IF(ISERROR(FIND('112'!$M$9,G2069,1)),"",IF((AND(FIND('112'!$M$9,G2069,1)&gt;=1,B2069='112'!$K$9,OR($N2069='112'!$I$6,$O2069='112'!$I$6))),"x",""))</f>
        <v/>
      </c>
      <c r="U2069" s="75" t="str">
        <f>IF(ISERROR(FIND('112'!$M$9,G2069,1)),"",IF((AND(LEFT(G2069,2)=LEFT('112'!$M$9,2),B2069&lt;'112'!$K$9,$N2069='112'!$I$6)),"x",""))</f>
        <v/>
      </c>
      <c r="V2069" s="75" t="str">
        <f>IF(ISERROR(FIND('112'!$M$9,G2069,1)),"",IF((AND(RIGHT(G2069,2)=RIGHT('112'!$M$9,2),B2069&lt;'112'!$K$9,$O2069='112'!$I$6)),"x",""))</f>
        <v/>
      </c>
      <c r="W2069" s="75" t="str">
        <f>IF(AND('341-CT'!$H$9=H2069,OR(LEFT(N2069,3)=$W$7,LEFT(O2069,3)=$W$7)),"x","")</f>
        <v/>
      </c>
      <c r="X2069" s="75" t="str">
        <f>IF(OR(TH!N2069=TH!$X$7,O2069=TH!$X$7),"x","")</f>
        <v/>
      </c>
      <c r="Y2069" s="75" t="str">
        <f>IF(AND(OR(N2069="131",O2069="131"),H2069='131-CT'!$H$9),"x","")</f>
        <v/>
      </c>
      <c r="Z2069" s="75"/>
      <c r="AA2069" s="75" t="str">
        <f>IF(AND(MONTH(E2069)='IN-NX'!$J$5,'IN-NX'!$D$7=D2069),"x","")</f>
        <v/>
      </c>
      <c r="AB2069" s="75" t="str">
        <f>IF(AND(OR(LEFT(TH!N2069,2)="15",LEFT(TH!O2069,2)="15"),LEFT(TH!O2069,3)&lt;&gt;"111",'152-CT'!$J$8=TH!F2069),"x","")</f>
        <v/>
      </c>
      <c r="AC2069" s="75" t="str">
        <f>IF(AND(OR(LEFT(TH!N2069,2)="15",LEFT(TH!O2069,2)="15"),TK!$E$7=TH!F2069),"x","")</f>
        <v/>
      </c>
      <c r="AD2069" s="75" t="str">
        <f>IF(AND(N2069="1521",MONTH(C2069)='BK-NL'!$M$11),"x","")</f>
        <v/>
      </c>
      <c r="AF2069" s="1054"/>
    </row>
    <row r="2070" spans="1:32" s="1264" customFormat="1" ht="16.5" customHeight="1">
      <c r="A2070" s="309" t="str">
        <f>IF(B2070&lt;&gt;"",IF(AND(B2070='IN-TC'!$S$4,OR(TH!N2070="1111",TH!O2070="1111")),TH!D2070,""),"")</f>
        <v/>
      </c>
      <c r="B2070" s="1263">
        <f t="shared" si="628"/>
        <v>10</v>
      </c>
      <c r="C2070" s="252">
        <f t="shared" si="618"/>
        <v>43025</v>
      </c>
      <c r="D2070" s="252" t="s">
        <v>2921</v>
      </c>
      <c r="E2070" s="252">
        <v>43025</v>
      </c>
      <c r="F2070" s="1055" t="s">
        <v>793</v>
      </c>
      <c r="G2070" s="1056" t="s">
        <v>2352</v>
      </c>
      <c r="H2070" s="735" t="s">
        <v>822</v>
      </c>
      <c r="I2070" s="371">
        <v>6000</v>
      </c>
      <c r="J2070" s="371">
        <v>166486.08083333334</v>
      </c>
      <c r="K2070" s="371"/>
      <c r="L2070" s="377"/>
      <c r="M2070" s="933">
        <f t="shared" si="619"/>
        <v>998916485</v>
      </c>
      <c r="N2070" s="977" t="s">
        <v>284</v>
      </c>
      <c r="O2070" s="977" t="s">
        <v>274</v>
      </c>
      <c r="P2070" s="75" t="str">
        <f>IF(AND('331-CT'!$E$7=TH!H2070,OR(N2070="331",O2070="331")),"x","")</f>
        <v/>
      </c>
      <c r="Q2070" s="75" t="str">
        <f>IF(AND(B2070='111'!$L$11,OR($N2070=$Q$7,$O2070=$Q$7)),"x","")</f>
        <v/>
      </c>
      <c r="R2070" s="75" t="str">
        <f>IF(AND($N2070=$Q$7,$B2070&lt;'111'!$L$11),"x","")</f>
        <v/>
      </c>
      <c r="S2070" s="75" t="str">
        <f>IF(AND($O2070=$Q$7,$B2070&lt;'111'!$L$11),"x","")</f>
        <v/>
      </c>
      <c r="T2070" s="75" t="str">
        <f>IF(ISERROR(FIND('112'!$M$9,G2070,1)),"",IF((AND(FIND('112'!$M$9,G2070,1)&gt;=1,B2070='112'!$K$9,OR($N2070='112'!$I$6,$O2070='112'!$I$6))),"x",""))</f>
        <v/>
      </c>
      <c r="U2070" s="75" t="str">
        <f>IF(ISERROR(FIND('112'!$M$9,G2070,1)),"",IF((AND(LEFT(G2070,2)=LEFT('112'!$M$9,2),B2070&lt;'112'!$K$9,$N2070='112'!$I$6)),"x",""))</f>
        <v/>
      </c>
      <c r="V2070" s="75" t="str">
        <f>IF(ISERROR(FIND('112'!$M$9,G2070,1)),"",IF((AND(RIGHT(G2070,2)=RIGHT('112'!$M$9,2),B2070&lt;'112'!$K$9,$O2070='112'!$I$6)),"x",""))</f>
        <v/>
      </c>
      <c r="W2070" s="75" t="str">
        <f>IF(AND('341-CT'!$H$9=H2070,OR(LEFT(N2070,3)=$W$7,LEFT(O2070,3)=$W$7)),"x","")</f>
        <v/>
      </c>
      <c r="X2070" s="75" t="str">
        <f>IF(OR(TH!N2070=TH!$X$7,O2070=TH!$X$7),"x","")</f>
        <v/>
      </c>
      <c r="Y2070" s="75" t="str">
        <f>IF(AND(OR(N2070="131",O2070="131"),H2070='131-CT'!$H$9),"x","")</f>
        <v/>
      </c>
      <c r="Z2070" s="75"/>
      <c r="AA2070" s="75" t="str">
        <f>IF(AND(MONTH(E2070)='IN-NX'!$J$5,'IN-NX'!$D$7=D2070),"x","")</f>
        <v/>
      </c>
      <c r="AB2070" s="75" t="str">
        <f>IF(AND(OR(LEFT(TH!N2070,2)="15",LEFT(TH!O2070,2)="15"),LEFT(TH!O2070,3)&lt;&gt;"111",'152-CT'!$J$8=TH!F2070),"x","")</f>
        <v/>
      </c>
      <c r="AC2070" s="75" t="str">
        <f>IF(AND(OR(LEFT(TH!N2070,2)="15",LEFT(TH!O2070,2)="15"),TK!$E$7=TH!F2070),"x","")</f>
        <v/>
      </c>
      <c r="AD2070" s="75" t="str">
        <f>IF(AND(N2070="1521",MONTH(C2070)='BK-NL'!$M$11),"x","")</f>
        <v/>
      </c>
      <c r="AF2070" s="1054"/>
    </row>
    <row r="2071" spans="1:32" s="1264" customFormat="1" ht="16.5" customHeight="1">
      <c r="A2071" s="309" t="str">
        <f>IF(B2071&lt;&gt;"",IF(AND(B2071='IN-TC'!$S$4,OR(TH!N2071="1111",TH!O2071="1111")),TH!D2071,""),"")</f>
        <v/>
      </c>
      <c r="B2071" s="1263">
        <f t="shared" si="628"/>
        <v>10</v>
      </c>
      <c r="C2071" s="252">
        <f t="shared" si="618"/>
        <v>43034</v>
      </c>
      <c r="D2071" s="252" t="s">
        <v>2921</v>
      </c>
      <c r="E2071" s="252">
        <v>43034</v>
      </c>
      <c r="F2071" s="1055" t="s">
        <v>426</v>
      </c>
      <c r="G2071" s="1056" t="s">
        <v>2357</v>
      </c>
      <c r="H2071" s="735" t="s">
        <v>738</v>
      </c>
      <c r="I2071" s="371">
        <v>4800</v>
      </c>
      <c r="J2071" s="371">
        <v>192433.24416666667</v>
      </c>
      <c r="K2071" s="371"/>
      <c r="L2071" s="377"/>
      <c r="M2071" s="933">
        <f t="shared" si="619"/>
        <v>923679572</v>
      </c>
      <c r="N2071" s="977" t="s">
        <v>284</v>
      </c>
      <c r="O2071" s="977" t="s">
        <v>274</v>
      </c>
      <c r="P2071" s="75" t="str">
        <f>IF(AND('331-CT'!$E$7=TH!H2071,OR(N2071="331",O2071="331")),"x","")</f>
        <v/>
      </c>
      <c r="Q2071" s="75" t="str">
        <f>IF(AND(B2071='111'!$L$11,OR($N2071=$Q$7,$O2071=$Q$7)),"x","")</f>
        <v/>
      </c>
      <c r="R2071" s="75" t="str">
        <f>IF(AND($N2071=$Q$7,$B2071&lt;'111'!$L$11),"x","")</f>
        <v/>
      </c>
      <c r="S2071" s="75" t="str">
        <f>IF(AND($O2071=$Q$7,$B2071&lt;'111'!$L$11),"x","")</f>
        <v/>
      </c>
      <c r="T2071" s="75" t="str">
        <f>IF(ISERROR(FIND('112'!$M$9,G2071,1)),"",IF((AND(FIND('112'!$M$9,G2071,1)&gt;=1,B2071='112'!$K$9,OR($N2071='112'!$I$6,$O2071='112'!$I$6))),"x",""))</f>
        <v/>
      </c>
      <c r="U2071" s="75" t="str">
        <f>IF(ISERROR(FIND('112'!$M$9,G2071,1)),"",IF((AND(LEFT(G2071,2)=LEFT('112'!$M$9,2),B2071&lt;'112'!$K$9,$N2071='112'!$I$6)),"x",""))</f>
        <v/>
      </c>
      <c r="V2071" s="75" t="str">
        <f>IF(ISERROR(FIND('112'!$M$9,G2071,1)),"",IF((AND(RIGHT(G2071,2)=RIGHT('112'!$M$9,2),B2071&lt;'112'!$K$9,$O2071='112'!$I$6)),"x",""))</f>
        <v/>
      </c>
      <c r="W2071" s="75" t="str">
        <f>IF(AND('341-CT'!$H$9=H2071,OR(LEFT(N2071,3)=$W$7,LEFT(O2071,3)=$W$7)),"x","")</f>
        <v/>
      </c>
      <c r="X2071" s="75" t="str">
        <f>IF(OR(TH!N2071=TH!$X$7,O2071=TH!$X$7),"x","")</f>
        <v/>
      </c>
      <c r="Y2071" s="75" t="str">
        <f>IF(AND(OR(N2071="131",O2071="131"),H2071='131-CT'!$H$9),"x","")</f>
        <v/>
      </c>
      <c r="Z2071" s="75"/>
      <c r="AA2071" s="75" t="str">
        <f>IF(AND(MONTH(E2071)='IN-NX'!$J$5,'IN-NX'!$D$7=D2071),"x","")</f>
        <v/>
      </c>
      <c r="AB2071" s="75" t="str">
        <f>IF(AND(OR(LEFT(TH!N2071,2)="15",LEFT(TH!O2071,2)="15"),LEFT(TH!O2071,3)&lt;&gt;"111",'152-CT'!$J$8=TH!F2071),"x","")</f>
        <v/>
      </c>
      <c r="AC2071" s="75" t="str">
        <f>IF(AND(OR(LEFT(TH!N2071,2)="15",LEFT(TH!O2071,2)="15"),TK!$E$7=TH!F2071),"x","")</f>
        <v/>
      </c>
      <c r="AD2071" s="75" t="str">
        <f>IF(AND(N2071="1521",MONTH(C2071)='BK-NL'!$M$11),"x","")</f>
        <v/>
      </c>
      <c r="AF2071" s="1054"/>
    </row>
    <row r="2072" spans="1:32" s="1264" customFormat="1" ht="16.5" customHeight="1">
      <c r="A2072" s="309" t="str">
        <f>IF(B2072&lt;&gt;"",IF(AND(B2072='IN-TC'!$S$4,OR(TH!N2072="1111",TH!O2072="1111")),TH!D2072,""),"")</f>
        <v/>
      </c>
      <c r="B2072" s="1263">
        <f t="shared" ref="B2072:B2079" si="629">IF(C2072&lt;&gt;"",MONTH(C2072),"")</f>
        <v>10</v>
      </c>
      <c r="C2072" s="252">
        <v>43034</v>
      </c>
      <c r="D2072" s="252" t="s">
        <v>2921</v>
      </c>
      <c r="E2072" s="252">
        <v>43034</v>
      </c>
      <c r="F2072" s="1055" t="s">
        <v>1621</v>
      </c>
      <c r="G2072" s="1056" t="s">
        <v>1160</v>
      </c>
      <c r="H2072" s="735" t="s">
        <v>802</v>
      </c>
      <c r="I2072" s="371">
        <v>100</v>
      </c>
      <c r="J2072" s="371">
        <v>148634.04347826086</v>
      </c>
      <c r="K2072" s="371"/>
      <c r="L2072" s="377"/>
      <c r="M2072" s="933">
        <f t="shared" ref="M2072:M2079" si="630">ROUND(I2072*J2072,0)</f>
        <v>14863404</v>
      </c>
      <c r="N2072" s="977" t="s">
        <v>284</v>
      </c>
      <c r="O2072" s="977" t="s">
        <v>274</v>
      </c>
      <c r="P2072" s="75" t="str">
        <f>IF(AND('331-CT'!$E$7=TH!H2072,OR(N2072="331",O2072="331")),"x","")</f>
        <v/>
      </c>
      <c r="Q2072" s="75" t="str">
        <f>IF(AND(B2072='111'!$L$11,OR($N2072=$Q$7,$O2072=$Q$7)),"x","")</f>
        <v/>
      </c>
      <c r="R2072" s="75" t="str">
        <f>IF(AND($N2072=$Q$7,$B2072&lt;'111'!$L$11),"x","")</f>
        <v/>
      </c>
      <c r="S2072" s="75" t="str">
        <f>IF(AND($O2072=$Q$7,$B2072&lt;'111'!$L$11),"x","")</f>
        <v/>
      </c>
      <c r="T2072" s="75" t="str">
        <f>IF(ISERROR(FIND('112'!$M$9,G2072,1)),"",IF((AND(FIND('112'!$M$9,G2072,1)&gt;=1,B2072='112'!$K$9,OR($N2072='112'!$I$6,$O2072='112'!$I$6))),"x",""))</f>
        <v/>
      </c>
      <c r="U2072" s="75" t="str">
        <f>IF(ISERROR(FIND('112'!$M$9,G2072,1)),"",IF((AND(LEFT(G2072,2)=LEFT('112'!$M$9,2),B2072&lt;'112'!$K$9,$N2072='112'!$I$6)),"x",""))</f>
        <v/>
      </c>
      <c r="V2072" s="75" t="str">
        <f>IF(ISERROR(FIND('112'!$M$9,G2072,1)),"",IF((AND(RIGHT(G2072,2)=RIGHT('112'!$M$9,2),B2072&lt;'112'!$K$9,$O2072='112'!$I$6)),"x",""))</f>
        <v/>
      </c>
      <c r="W2072" s="75" t="str">
        <f>IF(AND('341-CT'!$H$9=H2072,OR(LEFT(N2072,3)=$W$7,LEFT(O2072,3)=$W$7)),"x","")</f>
        <v/>
      </c>
      <c r="X2072" s="75" t="str">
        <f>IF(OR(TH!N2072=TH!$X$7,O2072=TH!$X$7),"x","")</f>
        <v/>
      </c>
      <c r="Y2072" s="75" t="str">
        <f>IF(AND(OR(N2072="131",O2072="131"),H2072='131-CT'!$H$9),"x","")</f>
        <v/>
      </c>
      <c r="Z2072" s="75"/>
      <c r="AA2072" s="75" t="str">
        <f>IF(AND(MONTH(E2072)='IN-NX'!$J$5,'IN-NX'!$D$7=D2072),"x","")</f>
        <v/>
      </c>
      <c r="AB2072" s="75" t="str">
        <f>IF(AND(OR(LEFT(TH!N2072,2)="15",LEFT(TH!O2072,2)="15"),LEFT(TH!O2072,3)&lt;&gt;"111",'152-CT'!$J$8=TH!F2072),"x","")</f>
        <v/>
      </c>
      <c r="AC2072" s="75" t="str">
        <f>IF(AND(OR(LEFT(TH!N2072,2)="15",LEFT(TH!O2072,2)="15"),TK!$E$7=TH!F2072),"x","")</f>
        <v/>
      </c>
      <c r="AD2072" s="75" t="str">
        <f>IF(AND(N2072="1521",MONTH(C2072)='BK-NL'!$M$11),"x","")</f>
        <v/>
      </c>
      <c r="AF2072" s="1054"/>
    </row>
    <row r="2073" spans="1:32" s="1264" customFormat="1" ht="16.5" customHeight="1">
      <c r="A2073" s="309" t="str">
        <f>IF(B2073&lt;&gt;"",IF(AND(B2073='IN-TC'!$S$4,OR(TH!N2073="1111",TH!O2073="1111")),TH!D2073,""),"")</f>
        <v/>
      </c>
      <c r="B2073" s="1263">
        <f t="shared" si="629"/>
        <v>10</v>
      </c>
      <c r="C2073" s="252">
        <v>43034</v>
      </c>
      <c r="D2073" s="252" t="s">
        <v>2921</v>
      </c>
      <c r="E2073" s="252">
        <v>43034</v>
      </c>
      <c r="F2073" s="1055" t="s">
        <v>2477</v>
      </c>
      <c r="G2073" s="1056" t="s">
        <v>1160</v>
      </c>
      <c r="H2073" s="735" t="s">
        <v>802</v>
      </c>
      <c r="I2073" s="371">
        <v>40</v>
      </c>
      <c r="J2073" s="371">
        <v>148634.04444444444</v>
      </c>
      <c r="K2073" s="371"/>
      <c r="L2073" s="377"/>
      <c r="M2073" s="933">
        <f t="shared" si="630"/>
        <v>5945362</v>
      </c>
      <c r="N2073" s="977" t="s">
        <v>284</v>
      </c>
      <c r="O2073" s="977" t="s">
        <v>274</v>
      </c>
      <c r="P2073" s="75" t="str">
        <f>IF(AND('331-CT'!$E$7=TH!H2073,OR(N2073="331",O2073="331")),"x","")</f>
        <v/>
      </c>
      <c r="Q2073" s="75" t="str">
        <f>IF(AND(B2073='111'!$L$11,OR($N2073=$Q$7,$O2073=$Q$7)),"x","")</f>
        <v/>
      </c>
      <c r="R2073" s="75" t="str">
        <f>IF(AND($N2073=$Q$7,$B2073&lt;'111'!$L$11),"x","")</f>
        <v/>
      </c>
      <c r="S2073" s="75" t="str">
        <f>IF(AND($O2073=$Q$7,$B2073&lt;'111'!$L$11),"x","")</f>
        <v/>
      </c>
      <c r="T2073" s="75" t="str">
        <f>IF(ISERROR(FIND('112'!$M$9,G2073,1)),"",IF((AND(FIND('112'!$M$9,G2073,1)&gt;=1,B2073='112'!$K$9,OR($N2073='112'!$I$6,$O2073='112'!$I$6))),"x",""))</f>
        <v/>
      </c>
      <c r="U2073" s="75" t="str">
        <f>IF(ISERROR(FIND('112'!$M$9,G2073,1)),"",IF((AND(LEFT(G2073,2)=LEFT('112'!$M$9,2),B2073&lt;'112'!$K$9,$N2073='112'!$I$6)),"x",""))</f>
        <v/>
      </c>
      <c r="V2073" s="75" t="str">
        <f>IF(ISERROR(FIND('112'!$M$9,G2073,1)),"",IF((AND(RIGHT(G2073,2)=RIGHT('112'!$M$9,2),B2073&lt;'112'!$K$9,$O2073='112'!$I$6)),"x",""))</f>
        <v/>
      </c>
      <c r="W2073" s="75" t="str">
        <f>IF(AND('341-CT'!$H$9=H2073,OR(LEFT(N2073,3)=$W$7,LEFT(O2073,3)=$W$7)),"x","")</f>
        <v/>
      </c>
      <c r="X2073" s="75" t="str">
        <f>IF(OR(TH!N2073=TH!$X$7,O2073=TH!$X$7),"x","")</f>
        <v/>
      </c>
      <c r="Y2073" s="75" t="str">
        <f>IF(AND(OR(N2073="131",O2073="131"),H2073='131-CT'!$H$9),"x","")</f>
        <v/>
      </c>
      <c r="Z2073" s="75"/>
      <c r="AA2073" s="75" t="str">
        <f>IF(AND(MONTH(E2073)='IN-NX'!$J$5,'IN-NX'!$D$7=D2073),"x","")</f>
        <v/>
      </c>
      <c r="AB2073" s="75" t="str">
        <f>IF(AND(OR(LEFT(TH!N2073,2)="15",LEFT(TH!O2073,2)="15"),LEFT(TH!O2073,3)&lt;&gt;"111",'152-CT'!$J$8=TH!F2073),"x","")</f>
        <v/>
      </c>
      <c r="AC2073" s="75" t="str">
        <f>IF(AND(OR(LEFT(TH!N2073,2)="15",LEFT(TH!O2073,2)="15"),TK!$E$7=TH!F2073),"x","")</f>
        <v/>
      </c>
      <c r="AD2073" s="75" t="str">
        <f>IF(AND(N2073="1521",MONTH(C2073)='BK-NL'!$M$11),"x","")</f>
        <v/>
      </c>
      <c r="AF2073" s="1054"/>
    </row>
    <row r="2074" spans="1:32" s="1264" customFormat="1" ht="16.5" customHeight="1">
      <c r="A2074" s="309" t="str">
        <f>IF(B2074&lt;&gt;"",IF(AND(B2074='IN-TC'!$S$4,OR(TH!N2074="1111",TH!O2074="1111")),TH!D2074,""),"")</f>
        <v/>
      </c>
      <c r="B2074" s="1263">
        <f t="shared" si="629"/>
        <v>10</v>
      </c>
      <c r="C2074" s="252">
        <v>43034</v>
      </c>
      <c r="D2074" s="252" t="s">
        <v>2921</v>
      </c>
      <c r="E2074" s="252">
        <v>43034</v>
      </c>
      <c r="F2074" s="1055" t="s">
        <v>418</v>
      </c>
      <c r="G2074" s="1056" t="s">
        <v>1160</v>
      </c>
      <c r="H2074" s="735" t="s">
        <v>802</v>
      </c>
      <c r="I2074" s="371">
        <v>54</v>
      </c>
      <c r="J2074" s="371">
        <v>89134.71974522293</v>
      </c>
      <c r="K2074" s="371"/>
      <c r="L2074" s="377"/>
      <c r="M2074" s="933">
        <f t="shared" si="630"/>
        <v>4813275</v>
      </c>
      <c r="N2074" s="977" t="s">
        <v>284</v>
      </c>
      <c r="O2074" s="977" t="s">
        <v>274</v>
      </c>
      <c r="P2074" s="75" t="str">
        <f>IF(AND('331-CT'!$E$7=TH!H2074,OR(N2074="331",O2074="331")),"x","")</f>
        <v/>
      </c>
      <c r="Q2074" s="75" t="str">
        <f>IF(AND(B2074='111'!$L$11,OR($N2074=$Q$7,$O2074=$Q$7)),"x","")</f>
        <v/>
      </c>
      <c r="R2074" s="75" t="str">
        <f>IF(AND($N2074=$Q$7,$B2074&lt;'111'!$L$11),"x","")</f>
        <v/>
      </c>
      <c r="S2074" s="75" t="str">
        <f>IF(AND($O2074=$Q$7,$B2074&lt;'111'!$L$11),"x","")</f>
        <v/>
      </c>
      <c r="T2074" s="75" t="str">
        <f>IF(ISERROR(FIND('112'!$M$9,G2074,1)),"",IF((AND(FIND('112'!$M$9,G2074,1)&gt;=1,B2074='112'!$K$9,OR($N2074='112'!$I$6,$O2074='112'!$I$6))),"x",""))</f>
        <v/>
      </c>
      <c r="U2074" s="75" t="str">
        <f>IF(ISERROR(FIND('112'!$M$9,G2074,1)),"",IF((AND(LEFT(G2074,2)=LEFT('112'!$M$9,2),B2074&lt;'112'!$K$9,$N2074='112'!$I$6)),"x",""))</f>
        <v/>
      </c>
      <c r="V2074" s="75" t="str">
        <f>IF(ISERROR(FIND('112'!$M$9,G2074,1)),"",IF((AND(RIGHT(G2074,2)=RIGHT('112'!$M$9,2),B2074&lt;'112'!$K$9,$O2074='112'!$I$6)),"x",""))</f>
        <v/>
      </c>
      <c r="W2074" s="75" t="str">
        <f>IF(AND('341-CT'!$H$9=H2074,OR(LEFT(N2074,3)=$W$7,LEFT(O2074,3)=$W$7)),"x","")</f>
        <v/>
      </c>
      <c r="X2074" s="75" t="str">
        <f>IF(OR(TH!N2074=TH!$X$7,O2074=TH!$X$7),"x","")</f>
        <v/>
      </c>
      <c r="Y2074" s="75" t="str">
        <f>IF(AND(OR(N2074="131",O2074="131"),H2074='131-CT'!$H$9),"x","")</f>
        <v/>
      </c>
      <c r="Z2074" s="75"/>
      <c r="AA2074" s="75" t="str">
        <f>IF(AND(MONTH(E2074)='IN-NX'!$J$5,'IN-NX'!$D$7=D2074),"x","")</f>
        <v/>
      </c>
      <c r="AB2074" s="75" t="str">
        <f>IF(AND(OR(LEFT(TH!N2074,2)="15",LEFT(TH!O2074,2)="15"),LEFT(TH!O2074,3)&lt;&gt;"111",'152-CT'!$J$8=TH!F2074),"x","")</f>
        <v/>
      </c>
      <c r="AC2074" s="75" t="str">
        <f>IF(AND(OR(LEFT(TH!N2074,2)="15",LEFT(TH!O2074,2)="15"),TK!$E$7=TH!F2074),"x","")</f>
        <v/>
      </c>
      <c r="AD2074" s="75" t="str">
        <f>IF(AND(N2074="1521",MONTH(C2074)='BK-NL'!$M$11),"x","")</f>
        <v/>
      </c>
      <c r="AF2074" s="1054"/>
    </row>
    <row r="2075" spans="1:32" ht="16.5" customHeight="1">
      <c r="A2075" s="309" t="str">
        <f>IF(B2075&lt;&gt;"",IF(AND(B2075='IN-TC'!$S$4,OR(TH!N2075="1111",TH!O2075="1111")),TH!D2075,""),"")</f>
        <v/>
      </c>
      <c r="B2075" s="1244">
        <f t="shared" si="629"/>
        <v>10</v>
      </c>
      <c r="C2075" s="252">
        <v>43034</v>
      </c>
      <c r="D2075" s="252" t="s">
        <v>2921</v>
      </c>
      <c r="E2075" s="252">
        <v>43034</v>
      </c>
      <c r="F2075" s="1055" t="s">
        <v>801</v>
      </c>
      <c r="G2075" s="1056" t="s">
        <v>1160</v>
      </c>
      <c r="H2075" s="735" t="s">
        <v>802</v>
      </c>
      <c r="I2075" s="371">
        <v>100</v>
      </c>
      <c r="J2075" s="371">
        <v>155000</v>
      </c>
      <c r="K2075" s="371"/>
      <c r="L2075" s="377"/>
      <c r="M2075" s="927">
        <f t="shared" si="630"/>
        <v>15500000</v>
      </c>
      <c r="N2075" s="935" t="s">
        <v>284</v>
      </c>
      <c r="O2075" s="935" t="s">
        <v>274</v>
      </c>
      <c r="P2075" s="75" t="str">
        <f>IF(AND('331-CT'!$E$7=TH!H2075,OR(N2075="331",O2075="331")),"x","")</f>
        <v/>
      </c>
      <c r="Q2075" s="75" t="str">
        <f>IF(AND(B2075='111'!$L$11,OR($N2075=$Q$7,$O2075=$Q$7)),"x","")</f>
        <v/>
      </c>
      <c r="R2075" s="75" t="str">
        <f>IF(AND($N2075=$Q$7,$B2075&lt;'111'!$L$11),"x","")</f>
        <v/>
      </c>
      <c r="S2075" s="75" t="str">
        <f>IF(AND($O2075=$Q$7,$B2075&lt;'111'!$L$11),"x","")</f>
        <v/>
      </c>
      <c r="T2075" s="75" t="str">
        <f>IF(ISERROR(FIND('112'!$M$9,G2075,1)),"",IF((AND(FIND('112'!$M$9,G2075,1)&gt;=1,B2075='112'!$K$9,OR($N2075='112'!$I$6,$O2075='112'!$I$6))),"x",""))</f>
        <v/>
      </c>
      <c r="U2075" s="75" t="str">
        <f>IF(ISERROR(FIND('112'!$M$9,G2075,1)),"",IF((AND(LEFT(G2075,2)=LEFT('112'!$M$9,2),B2075&lt;'112'!$K$9,$N2075='112'!$I$6)),"x",""))</f>
        <v/>
      </c>
      <c r="V2075" s="75" t="str">
        <f>IF(ISERROR(FIND('112'!$M$9,G2075,1)),"",IF((AND(RIGHT(G2075,2)=RIGHT('112'!$M$9,2),B2075&lt;'112'!$K$9,$O2075='112'!$I$6)),"x",""))</f>
        <v/>
      </c>
      <c r="W2075" s="75" t="str">
        <f>IF(AND('341-CT'!$H$9=H2075,OR(LEFT(N2075,3)=$W$7,LEFT(O2075,3)=$W$7)),"x","")</f>
        <v/>
      </c>
      <c r="X2075" s="75" t="str">
        <f>IF(OR(TH!N2075=TH!$X$7,O2075=TH!$X$7),"x","")</f>
        <v/>
      </c>
      <c r="Y2075" s="75" t="str">
        <f>IF(AND(OR(N2075="131",O2075="131"),H2075='131-CT'!$H$9),"x","")</f>
        <v/>
      </c>
      <c r="Z2075" s="75"/>
      <c r="AA2075" s="75" t="str">
        <f>IF(AND(MONTH(E2075)='IN-NX'!$J$5,'IN-NX'!$D$7=D2075),"x","")</f>
        <v/>
      </c>
      <c r="AB2075" s="75" t="str">
        <f>IF(AND(OR(LEFT(TH!N2075,2)="15",LEFT(TH!O2075,2)="15"),LEFT(TH!O2075,3)&lt;&gt;"111",'152-CT'!$J$8=TH!F2075),"x","")</f>
        <v/>
      </c>
      <c r="AC2075" s="75" t="str">
        <f>IF(AND(OR(LEFT(TH!N2075,2)="15",LEFT(TH!O2075,2)="15"),TK!$E$7=TH!F2075),"x","")</f>
        <v/>
      </c>
      <c r="AD2075" s="75" t="str">
        <f>IF(AND(N2075="1521",MONTH(C2075)='BK-NL'!$M$11),"x","")</f>
        <v/>
      </c>
      <c r="AF2075" s="1054"/>
    </row>
    <row r="2076" spans="1:32" ht="16.5" customHeight="1">
      <c r="A2076" s="309" t="str">
        <f>IF(B2076&lt;&gt;"",IF(AND(B2076='IN-TC'!$S$4,OR(TH!N2076="1111",TH!O2076="1111")),TH!D2076,""),"")</f>
        <v/>
      </c>
      <c r="B2076" s="1244">
        <f t="shared" si="629"/>
        <v>10</v>
      </c>
      <c r="C2076" s="252">
        <v>43034</v>
      </c>
      <c r="D2076" s="252" t="s">
        <v>2921</v>
      </c>
      <c r="E2076" s="252">
        <v>43034</v>
      </c>
      <c r="F2076" s="1055" t="s">
        <v>799</v>
      </c>
      <c r="G2076" s="1056" t="s">
        <v>1160</v>
      </c>
      <c r="H2076" s="735" t="s">
        <v>802</v>
      </c>
      <c r="I2076" s="371">
        <v>30</v>
      </c>
      <c r="J2076" s="371">
        <v>114632.69486404833</v>
      </c>
      <c r="K2076" s="371"/>
      <c r="L2076" s="377"/>
      <c r="M2076" s="927">
        <f t="shared" si="630"/>
        <v>3438981</v>
      </c>
      <c r="N2076" s="935" t="s">
        <v>284</v>
      </c>
      <c r="O2076" s="935" t="s">
        <v>274</v>
      </c>
      <c r="P2076" s="75" t="str">
        <f>IF(AND('331-CT'!$E$7=TH!H2076,OR(N2076="331",O2076="331")),"x","")</f>
        <v/>
      </c>
      <c r="Q2076" s="75" t="str">
        <f>IF(AND(B2076='111'!$L$11,OR($N2076=$Q$7,$O2076=$Q$7)),"x","")</f>
        <v/>
      </c>
      <c r="R2076" s="75" t="str">
        <f>IF(AND($N2076=$Q$7,$B2076&lt;'111'!$L$11),"x","")</f>
        <v/>
      </c>
      <c r="S2076" s="75" t="str">
        <f>IF(AND($O2076=$Q$7,$B2076&lt;'111'!$L$11),"x","")</f>
        <v/>
      </c>
      <c r="T2076" s="75" t="str">
        <f>IF(ISERROR(FIND('112'!$M$9,G2076,1)),"",IF((AND(FIND('112'!$M$9,G2076,1)&gt;=1,B2076='112'!$K$9,OR($N2076='112'!$I$6,$O2076='112'!$I$6))),"x",""))</f>
        <v/>
      </c>
      <c r="U2076" s="75" t="str">
        <f>IF(ISERROR(FIND('112'!$M$9,G2076,1)),"",IF((AND(LEFT(G2076,2)=LEFT('112'!$M$9,2),B2076&lt;'112'!$K$9,$N2076='112'!$I$6)),"x",""))</f>
        <v/>
      </c>
      <c r="V2076" s="75" t="str">
        <f>IF(ISERROR(FIND('112'!$M$9,G2076,1)),"",IF((AND(RIGHT(G2076,2)=RIGHT('112'!$M$9,2),B2076&lt;'112'!$K$9,$O2076='112'!$I$6)),"x",""))</f>
        <v/>
      </c>
      <c r="W2076" s="75" t="str">
        <f>IF(AND('341-CT'!$H$9=H2076,OR(LEFT(N2076,3)=$W$7,LEFT(O2076,3)=$W$7)),"x","")</f>
        <v/>
      </c>
      <c r="X2076" s="75" t="str">
        <f>IF(OR(TH!N2076=TH!$X$7,O2076=TH!$X$7),"x","")</f>
        <v/>
      </c>
      <c r="Y2076" s="75" t="str">
        <f>IF(AND(OR(N2076="131",O2076="131"),H2076='131-CT'!$H$9),"x","")</f>
        <v/>
      </c>
      <c r="Z2076" s="75"/>
      <c r="AA2076" s="75" t="str">
        <f>IF(AND(MONTH(E2076)='IN-NX'!$J$5,'IN-NX'!$D$7=D2076),"x","")</f>
        <v/>
      </c>
      <c r="AB2076" s="75" t="str">
        <f>IF(AND(OR(LEFT(TH!N2076,2)="15",LEFT(TH!O2076,2)="15"),LEFT(TH!O2076,3)&lt;&gt;"111",'152-CT'!$J$8=TH!F2076),"x","")</f>
        <v/>
      </c>
      <c r="AC2076" s="75" t="str">
        <f>IF(AND(OR(LEFT(TH!N2076,2)="15",LEFT(TH!O2076,2)="15"),TK!$E$7=TH!F2076),"x","")</f>
        <v/>
      </c>
      <c r="AD2076" s="75" t="str">
        <f>IF(AND(N2076="1521",MONTH(C2076)='BK-NL'!$M$11),"x","")</f>
        <v/>
      </c>
      <c r="AF2076" s="1054"/>
    </row>
    <row r="2077" spans="1:32" ht="16.5" customHeight="1">
      <c r="A2077" s="309" t="str">
        <f>IF(B2077&lt;&gt;"",IF(AND(B2077='IN-TC'!$S$4,OR(TH!N2077="1111",TH!O2077="1111")),TH!D2077,""),"")</f>
        <v/>
      </c>
      <c r="B2077" s="1244">
        <f t="shared" si="629"/>
        <v>10</v>
      </c>
      <c r="C2077" s="252">
        <v>43034</v>
      </c>
      <c r="D2077" s="252" t="s">
        <v>2921</v>
      </c>
      <c r="E2077" s="252">
        <v>43034</v>
      </c>
      <c r="F2077" s="1083" t="s">
        <v>425</v>
      </c>
      <c r="G2077" s="1056" t="s">
        <v>1160</v>
      </c>
      <c r="H2077" s="735" t="s">
        <v>802</v>
      </c>
      <c r="I2077" s="371">
        <v>10</v>
      </c>
      <c r="J2077" s="371">
        <v>637287.6</v>
      </c>
      <c r="K2077" s="371"/>
      <c r="L2077" s="377"/>
      <c r="M2077" s="927">
        <f t="shared" si="630"/>
        <v>6372876</v>
      </c>
      <c r="N2077" s="935" t="s">
        <v>284</v>
      </c>
      <c r="O2077" s="935" t="s">
        <v>274</v>
      </c>
      <c r="P2077" s="75" t="str">
        <f>IF(AND('331-CT'!$E$7=TH!H2077,OR(N2077="331",O2077="331")),"x","")</f>
        <v/>
      </c>
      <c r="Q2077" s="75" t="str">
        <f>IF(AND(B2077='111'!$L$11,OR($N2077=$Q$7,$O2077=$Q$7)),"x","")</f>
        <v/>
      </c>
      <c r="R2077" s="75" t="str">
        <f>IF(AND($N2077=$Q$7,$B2077&lt;'111'!$L$11),"x","")</f>
        <v/>
      </c>
      <c r="S2077" s="75" t="str">
        <f>IF(AND($O2077=$Q$7,$B2077&lt;'111'!$L$11),"x","")</f>
        <v/>
      </c>
      <c r="T2077" s="75" t="str">
        <f>IF(ISERROR(FIND('112'!$M$9,G2077,1)),"",IF((AND(FIND('112'!$M$9,G2077,1)&gt;=1,B2077='112'!$K$9,OR($N2077='112'!$I$6,$O2077='112'!$I$6))),"x",""))</f>
        <v/>
      </c>
      <c r="U2077" s="75" t="str">
        <f>IF(ISERROR(FIND('112'!$M$9,G2077,1)),"",IF((AND(LEFT(G2077,2)=LEFT('112'!$M$9,2),B2077&lt;'112'!$K$9,$N2077='112'!$I$6)),"x",""))</f>
        <v/>
      </c>
      <c r="V2077" s="75" t="str">
        <f>IF(ISERROR(FIND('112'!$M$9,G2077,1)),"",IF((AND(RIGHT(G2077,2)=RIGHT('112'!$M$9,2),B2077&lt;'112'!$K$9,$O2077='112'!$I$6)),"x",""))</f>
        <v/>
      </c>
      <c r="W2077" s="75" t="str">
        <f>IF(AND('341-CT'!$H$9=H2077,OR(LEFT(N2077,3)=$W$7,LEFT(O2077,3)=$W$7)),"x","")</f>
        <v/>
      </c>
      <c r="X2077" s="75" t="str">
        <f>IF(OR(TH!N2077=TH!$X$7,O2077=TH!$X$7),"x","")</f>
        <v/>
      </c>
      <c r="Y2077" s="75" t="str">
        <f>IF(AND(OR(N2077="131",O2077="131"),H2077='131-CT'!$H$9),"x","")</f>
        <v/>
      </c>
      <c r="Z2077" s="75"/>
      <c r="AA2077" s="75" t="str">
        <f>IF(AND(MONTH(E2077)='IN-NX'!$J$5,'IN-NX'!$D$7=D2077),"x","")</f>
        <v/>
      </c>
      <c r="AB2077" s="75" t="str">
        <f>IF(AND(OR(LEFT(TH!N2077,2)="15",LEFT(TH!O2077,2)="15"),LEFT(TH!O2077,3)&lt;&gt;"111",'152-CT'!$J$8=TH!F2077),"x","")</f>
        <v/>
      </c>
      <c r="AC2077" s="75" t="str">
        <f>IF(AND(OR(LEFT(TH!N2077,2)="15",LEFT(TH!O2077,2)="15"),TK!$E$7=TH!F2077),"x","")</f>
        <v/>
      </c>
      <c r="AD2077" s="75" t="str">
        <f>IF(AND(N2077="1521",MONTH(C2077)='BK-NL'!$M$11),"x","")</f>
        <v/>
      </c>
      <c r="AF2077" s="1054"/>
    </row>
    <row r="2078" spans="1:32" ht="16.5" customHeight="1">
      <c r="A2078" s="309" t="str">
        <f>IF(B2078&lt;&gt;"",IF(AND(B2078='IN-TC'!$S$4,OR(TH!N2078="1111",TH!O2078="1111")),TH!D2078,""),"")</f>
        <v/>
      </c>
      <c r="B2078" s="1244">
        <f t="shared" si="629"/>
        <v>10</v>
      </c>
      <c r="C2078" s="252">
        <v>43035</v>
      </c>
      <c r="D2078" s="252" t="s">
        <v>2921</v>
      </c>
      <c r="E2078" s="252">
        <v>43035</v>
      </c>
      <c r="F2078" s="1055" t="s">
        <v>1406</v>
      </c>
      <c r="G2078" s="1056" t="s">
        <v>2581</v>
      </c>
      <c r="H2078" s="73" t="s">
        <v>802</v>
      </c>
      <c r="I2078" s="371">
        <v>60</v>
      </c>
      <c r="J2078" s="371">
        <v>121134.04545454546</v>
      </c>
      <c r="K2078" s="371"/>
      <c r="L2078" s="377"/>
      <c r="M2078" s="927">
        <f t="shared" si="630"/>
        <v>7268043</v>
      </c>
      <c r="N2078" s="935" t="s">
        <v>284</v>
      </c>
      <c r="O2078" s="935" t="s">
        <v>274</v>
      </c>
      <c r="P2078" s="75" t="str">
        <f>IF(AND('331-CT'!$E$7=TH!H2078,OR(N2078="331",O2078="331")),"x","")</f>
        <v/>
      </c>
      <c r="Q2078" s="75" t="str">
        <f>IF(AND(B2078='111'!$L$11,OR($N2078=$Q$7,$O2078=$Q$7)),"x","")</f>
        <v/>
      </c>
      <c r="R2078" s="75" t="str">
        <f>IF(AND($N2078=$Q$7,$B2078&lt;'111'!$L$11),"x","")</f>
        <v/>
      </c>
      <c r="S2078" s="75" t="str">
        <f>IF(AND($O2078=$Q$7,$B2078&lt;'111'!$L$11),"x","")</f>
        <v/>
      </c>
      <c r="T2078" s="75" t="str">
        <f>IF(ISERROR(FIND('112'!$M$9,G2078,1)),"",IF((AND(FIND('112'!$M$9,G2078,1)&gt;=1,B2078='112'!$K$9,OR($N2078='112'!$I$6,$O2078='112'!$I$6))),"x",""))</f>
        <v/>
      </c>
      <c r="U2078" s="75" t="str">
        <f>IF(ISERROR(FIND('112'!$M$9,G2078,1)),"",IF((AND(LEFT(G2078,2)=LEFT('112'!$M$9,2),B2078&lt;'112'!$K$9,$N2078='112'!$I$6)),"x",""))</f>
        <v/>
      </c>
      <c r="V2078" s="75" t="str">
        <f>IF(ISERROR(FIND('112'!$M$9,G2078,1)),"",IF((AND(RIGHT(G2078,2)=RIGHT('112'!$M$9,2),B2078&lt;'112'!$K$9,$O2078='112'!$I$6)),"x",""))</f>
        <v/>
      </c>
      <c r="W2078" s="75" t="str">
        <f>IF(AND('341-CT'!$H$9=H2078,OR(LEFT(N2078,3)=$W$7,LEFT(O2078,3)=$W$7)),"x","")</f>
        <v/>
      </c>
      <c r="X2078" s="75" t="str">
        <f>IF(OR(TH!N2078=TH!$X$7,O2078=TH!$X$7),"x","")</f>
        <v/>
      </c>
      <c r="Y2078" s="75" t="str">
        <f>IF(AND(OR(N2078="131",O2078="131"),H2078='131-CT'!$H$9),"x","")</f>
        <v/>
      </c>
      <c r="Z2078" s="75"/>
      <c r="AA2078" s="75" t="str">
        <f>IF(AND(MONTH(E2078)='IN-NX'!$J$5,'IN-NX'!$D$7=D2078),"x","")</f>
        <v/>
      </c>
      <c r="AB2078" s="75" t="str">
        <f>IF(AND(OR(LEFT(TH!N2078,2)="15",LEFT(TH!O2078,2)="15"),LEFT(TH!O2078,3)&lt;&gt;"111",'152-CT'!$J$8=TH!F2078),"x","")</f>
        <v/>
      </c>
      <c r="AC2078" s="75" t="str">
        <f>IF(AND(OR(LEFT(TH!N2078,2)="15",LEFT(TH!O2078,2)="15"),TK!$E$7=TH!F2078),"x","")</f>
        <v/>
      </c>
      <c r="AD2078" s="75" t="str">
        <f>IF(AND(N2078="1521",MONTH(C2078)='BK-NL'!$M$11),"x","")</f>
        <v/>
      </c>
      <c r="AF2078" s="1054"/>
    </row>
    <row r="2079" spans="1:32" ht="16.5" customHeight="1">
      <c r="A2079" s="309" t="str">
        <f>IF(B2079&lt;&gt;"",IF(AND(B2079='IN-TC'!$S$4,OR(TH!N2079="1111",TH!O2079="1111")),TH!D2079,""),"")</f>
        <v/>
      </c>
      <c r="B2079" s="1244">
        <f t="shared" si="629"/>
        <v>10</v>
      </c>
      <c r="C2079" s="252">
        <v>43035</v>
      </c>
      <c r="D2079" s="252" t="s">
        <v>2921</v>
      </c>
      <c r="E2079" s="252">
        <v>43035</v>
      </c>
      <c r="F2079" s="1055" t="s">
        <v>1617</v>
      </c>
      <c r="G2079" s="1056" t="s">
        <v>2581</v>
      </c>
      <c r="H2079" s="73" t="s">
        <v>802</v>
      </c>
      <c r="I2079" s="371">
        <v>60</v>
      </c>
      <c r="J2079" s="371">
        <v>681134.04455445544</v>
      </c>
      <c r="K2079" s="371"/>
      <c r="L2079" s="377"/>
      <c r="M2079" s="927">
        <f t="shared" si="630"/>
        <v>40868043</v>
      </c>
      <c r="N2079" s="935" t="s">
        <v>284</v>
      </c>
      <c r="O2079" s="935" t="s">
        <v>274</v>
      </c>
      <c r="P2079" s="75" t="str">
        <f>IF(AND('331-CT'!$E$7=TH!H2079,OR(N2079="331",O2079="331")),"x","")</f>
        <v/>
      </c>
      <c r="Q2079" s="75" t="str">
        <f>IF(AND(B2079='111'!$L$11,OR($N2079=$Q$7,$O2079=$Q$7)),"x","")</f>
        <v/>
      </c>
      <c r="R2079" s="75" t="str">
        <f>IF(AND($N2079=$Q$7,$B2079&lt;'111'!$L$11),"x","")</f>
        <v/>
      </c>
      <c r="S2079" s="75" t="str">
        <f>IF(AND($O2079=$Q$7,$B2079&lt;'111'!$L$11),"x","")</f>
        <v/>
      </c>
      <c r="T2079" s="75" t="str">
        <f>IF(ISERROR(FIND('112'!$M$9,G2079,1)),"",IF((AND(FIND('112'!$M$9,G2079,1)&gt;=1,B2079='112'!$K$9,OR($N2079='112'!$I$6,$O2079='112'!$I$6))),"x",""))</f>
        <v/>
      </c>
      <c r="U2079" s="75" t="str">
        <f>IF(ISERROR(FIND('112'!$M$9,G2079,1)),"",IF((AND(LEFT(G2079,2)=LEFT('112'!$M$9,2),B2079&lt;'112'!$K$9,$N2079='112'!$I$6)),"x",""))</f>
        <v/>
      </c>
      <c r="V2079" s="75" t="str">
        <f>IF(ISERROR(FIND('112'!$M$9,G2079,1)),"",IF((AND(RIGHT(G2079,2)=RIGHT('112'!$M$9,2),B2079&lt;'112'!$K$9,$O2079='112'!$I$6)),"x",""))</f>
        <v/>
      </c>
      <c r="W2079" s="75" t="str">
        <f>IF(AND('341-CT'!$H$9=H2079,OR(LEFT(N2079,3)=$W$7,LEFT(O2079,3)=$W$7)),"x","")</f>
        <v/>
      </c>
      <c r="X2079" s="75" t="str">
        <f>IF(OR(TH!N2079=TH!$X$7,O2079=TH!$X$7),"x","")</f>
        <v/>
      </c>
      <c r="Y2079" s="75" t="str">
        <f>IF(AND(OR(N2079="131",O2079="131"),H2079='131-CT'!$H$9),"x","")</f>
        <v/>
      </c>
      <c r="Z2079" s="75"/>
      <c r="AA2079" s="75" t="str">
        <f>IF(AND(MONTH(E2079)='IN-NX'!$J$5,'IN-NX'!$D$7=D2079),"x","")</f>
        <v/>
      </c>
      <c r="AB2079" s="75" t="str">
        <f>IF(AND(OR(LEFT(TH!N2079,2)="15",LEFT(TH!O2079,2)="15"),LEFT(TH!O2079,3)&lt;&gt;"111",'152-CT'!$J$8=TH!F2079),"x","")</f>
        <v/>
      </c>
      <c r="AC2079" s="75" t="str">
        <f>IF(AND(OR(LEFT(TH!N2079,2)="15",LEFT(TH!O2079,2)="15"),TK!$E$7=TH!F2079),"x","")</f>
        <v/>
      </c>
      <c r="AD2079" s="75" t="str">
        <f>IF(AND(N2079="1521",MONTH(C2079)='BK-NL'!$M$11),"x","")</f>
        <v/>
      </c>
      <c r="AF2079" s="1054"/>
    </row>
    <row r="2080" spans="1:32" s="1053" customFormat="1" ht="16.5" customHeight="1">
      <c r="A2080" s="309" t="str">
        <f>IF(B2080&lt;&gt;"",IF(AND(B2080='IN-TC'!$S$4,OR(TH!N2080="1111",TH!O2080="1111")),TH!D2080,""),"")</f>
        <v/>
      </c>
      <c r="B2080" s="1244">
        <f t="shared" ref="B2080:B2127" si="631">IF(C2080&lt;&gt;"",MONTH(C2080),"")</f>
        <v>10</v>
      </c>
      <c r="C2080" s="292">
        <v>43009</v>
      </c>
      <c r="D2080" s="292" t="s">
        <v>829</v>
      </c>
      <c r="E2080" s="292">
        <f t="shared" ref="E2080:E2127" si="632">C2080</f>
        <v>43009</v>
      </c>
      <c r="F2080" s="67" t="s">
        <v>795</v>
      </c>
      <c r="G2080" s="925" t="s">
        <v>2303</v>
      </c>
      <c r="H2080" s="311" t="s">
        <v>1684</v>
      </c>
      <c r="I2080" s="373">
        <v>3045</v>
      </c>
      <c r="J2080" s="379">
        <v>5900</v>
      </c>
      <c r="K2080" s="373"/>
      <c r="L2080" s="379"/>
      <c r="M2080" s="927">
        <f>I2080*J2080</f>
        <v>17965500</v>
      </c>
      <c r="N2080" s="295" t="s">
        <v>266</v>
      </c>
      <c r="O2080" s="295" t="s">
        <v>8</v>
      </c>
      <c r="P2080" s="75" t="str">
        <f>IF(AND('331-CT'!$E$7=TH!H2080,OR(N2080="331",O2080="331")),"x","")</f>
        <v/>
      </c>
      <c r="Q2080" s="75" t="str">
        <f>IF(AND(B2080='111'!$L$11,OR($N2080=$Q$7,$O2080=$Q$7)),"x","")</f>
        <v/>
      </c>
      <c r="R2080" s="75" t="str">
        <f>IF(AND($N2080=$Q$7,$B2080&lt;'111'!$L$11),"x","")</f>
        <v/>
      </c>
      <c r="S2080" s="75" t="str">
        <f>IF(AND($O2080=$Q$7,$B2080&lt;'111'!$L$11),"x","")</f>
        <v/>
      </c>
      <c r="T2080" s="75" t="str">
        <f>IF(ISERROR(FIND('112'!$M$9,G2080,1)),"",IF((AND(FIND('112'!$M$9,G2080,1)&gt;=1,B2080='112'!$K$9,OR($N2080='112'!$I$6,$O2080='112'!$I$6))),"x",""))</f>
        <v/>
      </c>
      <c r="U2080" s="75" t="str">
        <f>IF(ISERROR(FIND('112'!$M$9,G2080,1)),"",IF((AND(LEFT(G2080,2)=LEFT('112'!$M$9,2),B2080&lt;'112'!$K$9,$N2080='112'!$I$6)),"x",""))</f>
        <v/>
      </c>
      <c r="V2080" s="75" t="str">
        <f>IF(ISERROR(FIND('112'!$M$9,G2080,1)),"",IF((AND(RIGHT(G2080,2)=RIGHT('112'!$M$9,2),B2080&lt;'112'!$K$9,$O2080='112'!$I$6)),"x",""))</f>
        <v/>
      </c>
      <c r="W2080" s="75" t="str">
        <f>IF(AND('341-CT'!$H$9=H2080,OR(LEFT(N2080,3)=$W$7,LEFT(O2080,3)=$W$7)),"x","")</f>
        <v/>
      </c>
      <c r="X2080" s="75" t="str">
        <f>IF(OR(TH!N2080=TH!$X$7,O2080=TH!$X$7),"x","")</f>
        <v/>
      </c>
      <c r="Y2080" s="75" t="str">
        <f>IF(AND(OR(N2080="131",O2080="131"),H2080='131-CT'!$H$9),"x","")</f>
        <v/>
      </c>
      <c r="Z2080" s="75"/>
      <c r="AA2080" s="75" t="str">
        <f>IF(AND(MONTH(E2080)='IN-NX'!$J$5,'IN-NX'!$D$7=D2080),"x","")</f>
        <v/>
      </c>
      <c r="AB2080" s="75" t="str">
        <f>IF(AND(OR(LEFT(TH!N2080,2)="15",LEFT(TH!O2080,2)="15"),LEFT(TH!O2080,3)&lt;&gt;"111",'152-CT'!$J$8=TH!F2080),"x","")</f>
        <v/>
      </c>
      <c r="AC2080" s="75" t="str">
        <f>IF(AND(OR(LEFT(TH!N2080,2)="15",LEFT(TH!O2080,2)="15"),TK!$E$7=TH!F2080),"x","")</f>
        <v/>
      </c>
      <c r="AD2080" s="75" t="str">
        <f>IF(AND(N2080="1521",MONTH(C2080)='BK-NL'!$M$11),"x","")</f>
        <v/>
      </c>
      <c r="AE2080" s="1053">
        <v>10</v>
      </c>
    </row>
    <row r="2081" spans="1:31" s="1053" customFormat="1" ht="16.5" customHeight="1">
      <c r="A2081" s="309" t="str">
        <f>IF(B2081&lt;&gt;"",IF(AND(B2081='IN-TC'!$S$4,OR(TH!N2081="1111",TH!O2081="1111")),TH!D2081,""),"")</f>
        <v/>
      </c>
      <c r="B2081" s="1244">
        <f t="shared" si="631"/>
        <v>10</v>
      </c>
      <c r="C2081" s="292">
        <v>43009</v>
      </c>
      <c r="D2081" s="292" t="s">
        <v>829</v>
      </c>
      <c r="E2081" s="292">
        <f t="shared" si="632"/>
        <v>43009</v>
      </c>
      <c r="F2081" s="67" t="s">
        <v>1143</v>
      </c>
      <c r="G2081" s="925" t="s">
        <v>2303</v>
      </c>
      <c r="H2081" s="311" t="s">
        <v>1684</v>
      </c>
      <c r="I2081" s="373"/>
      <c r="J2081" s="379"/>
      <c r="K2081" s="373"/>
      <c r="L2081" s="379"/>
      <c r="M2081" s="927">
        <v>1796550</v>
      </c>
      <c r="N2081" s="295" t="s">
        <v>9</v>
      </c>
      <c r="O2081" s="295" t="s">
        <v>8</v>
      </c>
      <c r="P2081" s="75" t="str">
        <f>IF(AND('331-CT'!$E$7=TH!H2081,OR(N2081="331",O2081="331")),"x","")</f>
        <v/>
      </c>
      <c r="Q2081" s="75" t="str">
        <f>IF(AND(B2081='111'!$L$11,OR($N2081=$Q$7,$O2081=$Q$7)),"x","")</f>
        <v/>
      </c>
      <c r="R2081" s="75" t="str">
        <f>IF(AND($N2081=$Q$7,$B2081&lt;'111'!$L$11),"x","")</f>
        <v/>
      </c>
      <c r="S2081" s="75" t="str">
        <f>IF(AND($O2081=$Q$7,$B2081&lt;'111'!$L$11),"x","")</f>
        <v/>
      </c>
      <c r="T2081" s="75" t="str">
        <f>IF(ISERROR(FIND('112'!$M$9,G2081,1)),"",IF((AND(FIND('112'!$M$9,G2081,1)&gt;=1,B2081='112'!$K$9,OR($N2081='112'!$I$6,$O2081='112'!$I$6))),"x",""))</f>
        <v/>
      </c>
      <c r="U2081" s="75" t="str">
        <f>IF(ISERROR(FIND('112'!$M$9,G2081,1)),"",IF((AND(LEFT(G2081,2)=LEFT('112'!$M$9,2),B2081&lt;'112'!$K$9,$N2081='112'!$I$6)),"x",""))</f>
        <v/>
      </c>
      <c r="V2081" s="75" t="str">
        <f>IF(ISERROR(FIND('112'!$M$9,G2081,1)),"",IF((AND(RIGHT(G2081,2)=RIGHT('112'!$M$9,2),B2081&lt;'112'!$K$9,$O2081='112'!$I$6)),"x",""))</f>
        <v/>
      </c>
      <c r="W2081" s="75" t="str">
        <f>IF(AND('341-CT'!$H$9=H2081,OR(LEFT(N2081,3)=$W$7,LEFT(O2081,3)=$W$7)),"x","")</f>
        <v/>
      </c>
      <c r="X2081" s="75" t="str">
        <f>IF(OR(TH!N2081=TH!$X$7,O2081=TH!$X$7),"x","")</f>
        <v/>
      </c>
      <c r="Y2081" s="75" t="str">
        <f>IF(AND(OR(N2081="131",O2081="131"),H2081='131-CT'!$H$9),"x","")</f>
        <v/>
      </c>
      <c r="Z2081" s="75"/>
      <c r="AA2081" s="75" t="str">
        <f>IF(AND(MONTH(E2081)='IN-NX'!$J$5,'IN-NX'!$D$7=D2081),"x","")</f>
        <v/>
      </c>
      <c r="AB2081" s="75" t="str">
        <f>IF(AND(OR(LEFT(TH!N2081,2)="15",LEFT(TH!O2081,2)="15"),LEFT(TH!O2081,3)&lt;&gt;"111",'152-CT'!$J$8=TH!F2081),"x","")</f>
        <v/>
      </c>
      <c r="AC2081" s="75" t="str">
        <f>IF(AND(OR(LEFT(TH!N2081,2)="15",LEFT(TH!O2081,2)="15"),TK!$E$7=TH!F2081),"x","")</f>
        <v/>
      </c>
      <c r="AD2081" s="75" t="str">
        <f>IF(AND(N2081="1521",MONTH(C2081)='BK-NL'!$M$11),"x","")</f>
        <v/>
      </c>
      <c r="AE2081" s="1053">
        <v>10</v>
      </c>
    </row>
    <row r="2082" spans="1:31" s="1053" customFormat="1" ht="16.5" customHeight="1">
      <c r="A2082" s="309" t="str">
        <f>IF(B2082&lt;&gt;"",IF(AND(B2082='IN-TC'!$S$4,OR(TH!N2082="1111",TH!O2082="1111")),TH!D2082,""),"")</f>
        <v/>
      </c>
      <c r="B2082" s="1244">
        <f t="shared" si="631"/>
        <v>10</v>
      </c>
      <c r="C2082" s="292">
        <v>43010</v>
      </c>
      <c r="D2082" s="292" t="s">
        <v>840</v>
      </c>
      <c r="E2082" s="292">
        <f t="shared" si="632"/>
        <v>43010</v>
      </c>
      <c r="F2082" s="67" t="s">
        <v>795</v>
      </c>
      <c r="G2082" s="925" t="s">
        <v>1366</v>
      </c>
      <c r="H2082" s="311" t="s">
        <v>2186</v>
      </c>
      <c r="I2082" s="373">
        <v>3045</v>
      </c>
      <c r="J2082" s="379">
        <v>5900</v>
      </c>
      <c r="K2082" s="373"/>
      <c r="L2082" s="379"/>
      <c r="M2082" s="927">
        <f>I2082*J2082</f>
        <v>17965500</v>
      </c>
      <c r="N2082" s="295" t="s">
        <v>266</v>
      </c>
      <c r="O2082" s="295" t="s">
        <v>8</v>
      </c>
      <c r="P2082" s="75" t="str">
        <f>IF(AND('331-CT'!$E$7=TH!H2082,OR(N2082="331",O2082="331")),"x","")</f>
        <v/>
      </c>
      <c r="Q2082" s="75" t="str">
        <f>IF(AND(B2082='111'!$L$11,OR($N2082=$Q$7,$O2082=$Q$7)),"x","")</f>
        <v/>
      </c>
      <c r="R2082" s="75" t="str">
        <f>IF(AND($N2082=$Q$7,$B2082&lt;'111'!$L$11),"x","")</f>
        <v/>
      </c>
      <c r="S2082" s="75" t="str">
        <f>IF(AND($O2082=$Q$7,$B2082&lt;'111'!$L$11),"x","")</f>
        <v/>
      </c>
      <c r="T2082" s="75" t="str">
        <f>IF(ISERROR(FIND('112'!$M$9,G2082,1)),"",IF((AND(FIND('112'!$M$9,G2082,1)&gt;=1,B2082='112'!$K$9,OR($N2082='112'!$I$6,$O2082='112'!$I$6))),"x",""))</f>
        <v/>
      </c>
      <c r="U2082" s="75" t="str">
        <f>IF(ISERROR(FIND('112'!$M$9,G2082,1)),"",IF((AND(LEFT(G2082,2)=LEFT('112'!$M$9,2),B2082&lt;'112'!$K$9,$N2082='112'!$I$6)),"x",""))</f>
        <v/>
      </c>
      <c r="V2082" s="75" t="str">
        <f>IF(ISERROR(FIND('112'!$M$9,G2082,1)),"",IF((AND(RIGHT(G2082,2)=RIGHT('112'!$M$9,2),B2082&lt;'112'!$K$9,$O2082='112'!$I$6)),"x",""))</f>
        <v/>
      </c>
      <c r="W2082" s="75" t="str">
        <f>IF(AND('341-CT'!$H$9=H2082,OR(LEFT(N2082,3)=$W$7,LEFT(O2082,3)=$W$7)),"x","")</f>
        <v/>
      </c>
      <c r="X2082" s="75" t="str">
        <f>IF(OR(TH!N2082=TH!$X$7,O2082=TH!$X$7),"x","")</f>
        <v/>
      </c>
      <c r="Y2082" s="75" t="str">
        <f>IF(AND(OR(N2082="131",O2082="131"),H2082='131-CT'!$H$9),"x","")</f>
        <v/>
      </c>
      <c r="Z2082" s="75"/>
      <c r="AA2082" s="75" t="str">
        <f>IF(AND(MONTH(E2082)='IN-NX'!$J$5,'IN-NX'!$D$7=D2082),"x","")</f>
        <v/>
      </c>
      <c r="AB2082" s="75" t="str">
        <f>IF(AND(OR(LEFT(TH!N2082,2)="15",LEFT(TH!O2082,2)="15"),LEFT(TH!O2082,3)&lt;&gt;"111",'152-CT'!$J$8=TH!F2082),"x","")</f>
        <v/>
      </c>
      <c r="AC2082" s="75" t="str">
        <f>IF(AND(OR(LEFT(TH!N2082,2)="15",LEFT(TH!O2082,2)="15"),TK!$E$7=TH!F2082),"x","")</f>
        <v/>
      </c>
      <c r="AD2082" s="75" t="str">
        <f>IF(AND(N2082="1521",MONTH(C2082)='BK-NL'!$M$11),"x","")</f>
        <v/>
      </c>
      <c r="AE2082" s="1053">
        <v>10</v>
      </c>
    </row>
    <row r="2083" spans="1:31" s="1053" customFormat="1" ht="16.5" customHeight="1">
      <c r="A2083" s="309" t="str">
        <f>IF(B2083&lt;&gt;"",IF(AND(B2083='IN-TC'!$S$4,OR(TH!N2083="1111",TH!O2083="1111")),TH!D2083,""),"")</f>
        <v/>
      </c>
      <c r="B2083" s="1244">
        <f t="shared" si="631"/>
        <v>10</v>
      </c>
      <c r="C2083" s="292">
        <v>43010</v>
      </c>
      <c r="D2083" s="292" t="s">
        <v>840</v>
      </c>
      <c r="E2083" s="292">
        <f t="shared" si="632"/>
        <v>43010</v>
      </c>
      <c r="F2083" s="67" t="s">
        <v>1143</v>
      </c>
      <c r="G2083" s="925" t="s">
        <v>1366</v>
      </c>
      <c r="H2083" s="311" t="s">
        <v>2186</v>
      </c>
      <c r="I2083" s="373"/>
      <c r="J2083" s="379"/>
      <c r="K2083" s="373"/>
      <c r="L2083" s="379"/>
      <c r="M2083" s="927">
        <v>1796550</v>
      </c>
      <c r="N2083" s="295" t="s">
        <v>9</v>
      </c>
      <c r="O2083" s="295" t="s">
        <v>8</v>
      </c>
      <c r="P2083" s="75" t="str">
        <f>IF(AND('331-CT'!$E$7=TH!H2083,OR(N2083="331",O2083="331")),"x","")</f>
        <v/>
      </c>
      <c r="Q2083" s="75" t="str">
        <f>IF(AND(B2083='111'!$L$11,OR($N2083=$Q$7,$O2083=$Q$7)),"x","")</f>
        <v/>
      </c>
      <c r="R2083" s="75" t="str">
        <f>IF(AND($N2083=$Q$7,$B2083&lt;'111'!$L$11),"x","")</f>
        <v/>
      </c>
      <c r="S2083" s="75" t="str">
        <f>IF(AND($O2083=$Q$7,$B2083&lt;'111'!$L$11),"x","")</f>
        <v/>
      </c>
      <c r="T2083" s="75" t="str">
        <f>IF(ISERROR(FIND('112'!$M$9,G2083,1)),"",IF((AND(FIND('112'!$M$9,G2083,1)&gt;=1,B2083='112'!$K$9,OR($N2083='112'!$I$6,$O2083='112'!$I$6))),"x",""))</f>
        <v/>
      </c>
      <c r="U2083" s="75" t="str">
        <f>IF(ISERROR(FIND('112'!$M$9,G2083,1)),"",IF((AND(LEFT(G2083,2)=LEFT('112'!$M$9,2),B2083&lt;'112'!$K$9,$N2083='112'!$I$6)),"x",""))</f>
        <v/>
      </c>
      <c r="V2083" s="75" t="str">
        <f>IF(ISERROR(FIND('112'!$M$9,G2083,1)),"",IF((AND(RIGHT(G2083,2)=RIGHT('112'!$M$9,2),B2083&lt;'112'!$K$9,$O2083='112'!$I$6)),"x",""))</f>
        <v/>
      </c>
      <c r="W2083" s="75" t="str">
        <f>IF(AND('341-CT'!$H$9=H2083,OR(LEFT(N2083,3)=$W$7,LEFT(O2083,3)=$W$7)),"x","")</f>
        <v/>
      </c>
      <c r="X2083" s="75" t="str">
        <f>IF(OR(TH!N2083=TH!$X$7,O2083=TH!$X$7),"x","")</f>
        <v/>
      </c>
      <c r="Y2083" s="75" t="str">
        <f>IF(AND(OR(N2083="131",O2083="131"),H2083='131-CT'!$H$9),"x","")</f>
        <v/>
      </c>
      <c r="Z2083" s="75"/>
      <c r="AA2083" s="75" t="str">
        <f>IF(AND(MONTH(E2083)='IN-NX'!$J$5,'IN-NX'!$D$7=D2083),"x","")</f>
        <v/>
      </c>
      <c r="AB2083" s="75" t="str">
        <f>IF(AND(OR(LEFT(TH!N2083,2)="15",LEFT(TH!O2083,2)="15"),LEFT(TH!O2083,3)&lt;&gt;"111",'152-CT'!$J$8=TH!F2083),"x","")</f>
        <v/>
      </c>
      <c r="AC2083" s="75" t="str">
        <f>IF(AND(OR(LEFT(TH!N2083,2)="15",LEFT(TH!O2083,2)="15"),TK!$E$7=TH!F2083),"x","")</f>
        <v/>
      </c>
      <c r="AD2083" s="75" t="str">
        <f>IF(AND(N2083="1521",MONTH(C2083)='BK-NL'!$M$11),"x","")</f>
        <v/>
      </c>
      <c r="AE2083" s="1053">
        <v>10</v>
      </c>
    </row>
    <row r="2084" spans="1:31" s="1053" customFormat="1" ht="17.25" customHeight="1">
      <c r="A2084" s="309" t="str">
        <f>IF(B2084&lt;&gt;"",IF(AND(B2084='IN-TC'!$S$4,OR(TH!N2084="1111",TH!O2084="1111")),TH!D2084,""),"")</f>
        <v/>
      </c>
      <c r="B2084" s="1244">
        <f t="shared" si="631"/>
        <v>10</v>
      </c>
      <c r="C2084" s="292">
        <v>43010</v>
      </c>
      <c r="D2084" s="292" t="s">
        <v>847</v>
      </c>
      <c r="E2084" s="292">
        <f t="shared" si="632"/>
        <v>43010</v>
      </c>
      <c r="F2084" s="67" t="s">
        <v>795</v>
      </c>
      <c r="G2084" s="925" t="s">
        <v>2304</v>
      </c>
      <c r="H2084" s="311" t="s">
        <v>1684</v>
      </c>
      <c r="I2084" s="373">
        <v>3045</v>
      </c>
      <c r="J2084" s="379">
        <v>5900</v>
      </c>
      <c r="K2084" s="373"/>
      <c r="L2084" s="379"/>
      <c r="M2084" s="927">
        <f>I2084*J2084</f>
        <v>17965500</v>
      </c>
      <c r="N2084" s="295" t="s">
        <v>266</v>
      </c>
      <c r="O2084" s="295" t="s">
        <v>8</v>
      </c>
      <c r="P2084" s="75" t="str">
        <f>IF(AND('331-CT'!$E$7=TH!H2084,OR(N2084="331",O2084="331")),"x","")</f>
        <v/>
      </c>
      <c r="Q2084" s="75" t="str">
        <f>IF(AND(B2084='111'!$L$11,OR($N2084=$Q$7,$O2084=$Q$7)),"x","")</f>
        <v/>
      </c>
      <c r="R2084" s="75" t="str">
        <f>IF(AND($N2084=$Q$7,$B2084&lt;'111'!$L$11),"x","")</f>
        <v/>
      </c>
      <c r="S2084" s="75" t="str">
        <f>IF(AND($O2084=$Q$7,$B2084&lt;'111'!$L$11),"x","")</f>
        <v/>
      </c>
      <c r="T2084" s="75" t="str">
        <f>IF(ISERROR(FIND('112'!$M$9,G2084,1)),"",IF((AND(FIND('112'!$M$9,G2084,1)&gt;=1,B2084='112'!$K$9,OR($N2084='112'!$I$6,$O2084='112'!$I$6))),"x",""))</f>
        <v/>
      </c>
      <c r="U2084" s="75" t="str">
        <f>IF(ISERROR(FIND('112'!$M$9,G2084,1)),"",IF((AND(LEFT(G2084,2)=LEFT('112'!$M$9,2),B2084&lt;'112'!$K$9,$N2084='112'!$I$6)),"x",""))</f>
        <v/>
      </c>
      <c r="V2084" s="75" t="str">
        <f>IF(ISERROR(FIND('112'!$M$9,G2084,1)),"",IF((AND(RIGHT(G2084,2)=RIGHT('112'!$M$9,2),B2084&lt;'112'!$K$9,$O2084='112'!$I$6)),"x",""))</f>
        <v/>
      </c>
      <c r="W2084" s="75" t="str">
        <f>IF(AND('341-CT'!$H$9=H2084,OR(LEFT(N2084,3)=$W$7,LEFT(O2084,3)=$W$7)),"x","")</f>
        <v/>
      </c>
      <c r="X2084" s="75" t="str">
        <f>IF(OR(TH!N2084=TH!$X$7,O2084=TH!$X$7),"x","")</f>
        <v/>
      </c>
      <c r="Y2084" s="75" t="str">
        <f>IF(AND(OR(N2084="131",O2084="131"),H2084='131-CT'!$H$9),"x","")</f>
        <v/>
      </c>
      <c r="Z2084" s="75"/>
      <c r="AA2084" s="75" t="str">
        <f>IF(AND(MONTH(E2084)='IN-NX'!$J$5,'IN-NX'!$D$7=D2084),"x","")</f>
        <v/>
      </c>
      <c r="AB2084" s="75" t="str">
        <f>IF(AND(OR(LEFT(TH!N2084,2)="15",LEFT(TH!O2084,2)="15"),LEFT(TH!O2084,3)&lt;&gt;"111",'152-CT'!$J$8=TH!F2084),"x","")</f>
        <v/>
      </c>
      <c r="AC2084" s="75" t="str">
        <f>IF(AND(OR(LEFT(TH!N2084,2)="15",LEFT(TH!O2084,2)="15"),TK!$E$7=TH!F2084),"x","")</f>
        <v/>
      </c>
      <c r="AD2084" s="75" t="str">
        <f>IF(AND(N2084="1521",MONTH(C2084)='BK-NL'!$M$11),"x","")</f>
        <v/>
      </c>
      <c r="AE2084" s="1053">
        <v>10</v>
      </c>
    </row>
    <row r="2085" spans="1:31" s="1053" customFormat="1" ht="17.25" customHeight="1">
      <c r="A2085" s="309" t="str">
        <f>IF(B2085&lt;&gt;"",IF(AND(B2085='IN-TC'!$S$4,OR(TH!N2085="1111",TH!O2085="1111")),TH!D2085,""),"")</f>
        <v/>
      </c>
      <c r="B2085" s="1244">
        <f t="shared" si="631"/>
        <v>10</v>
      </c>
      <c r="C2085" s="292">
        <v>43010</v>
      </c>
      <c r="D2085" s="292" t="s">
        <v>847</v>
      </c>
      <c r="E2085" s="292">
        <f t="shared" si="632"/>
        <v>43010</v>
      </c>
      <c r="F2085" s="67" t="s">
        <v>1143</v>
      </c>
      <c r="G2085" s="925" t="s">
        <v>2304</v>
      </c>
      <c r="H2085" s="311" t="s">
        <v>1684</v>
      </c>
      <c r="I2085" s="373"/>
      <c r="J2085" s="379"/>
      <c r="K2085" s="373"/>
      <c r="L2085" s="379"/>
      <c r="M2085" s="927">
        <v>1796550</v>
      </c>
      <c r="N2085" s="295" t="s">
        <v>9</v>
      </c>
      <c r="O2085" s="295" t="s">
        <v>8</v>
      </c>
      <c r="P2085" s="75" t="str">
        <f>IF(AND('331-CT'!$E$7=TH!H2085,OR(N2085="331",O2085="331")),"x","")</f>
        <v/>
      </c>
      <c r="Q2085" s="75" t="str">
        <f>IF(AND(B2085='111'!$L$11,OR($N2085=$Q$7,$O2085=$Q$7)),"x","")</f>
        <v/>
      </c>
      <c r="R2085" s="75" t="str">
        <f>IF(AND($N2085=$Q$7,$B2085&lt;'111'!$L$11),"x","")</f>
        <v/>
      </c>
      <c r="S2085" s="75" t="str">
        <f>IF(AND($O2085=$Q$7,$B2085&lt;'111'!$L$11),"x","")</f>
        <v/>
      </c>
      <c r="T2085" s="75" t="str">
        <f>IF(ISERROR(FIND('112'!$M$9,G2085,1)),"",IF((AND(FIND('112'!$M$9,G2085,1)&gt;=1,B2085='112'!$K$9,OR($N2085='112'!$I$6,$O2085='112'!$I$6))),"x",""))</f>
        <v/>
      </c>
      <c r="U2085" s="75" t="str">
        <f>IF(ISERROR(FIND('112'!$M$9,G2085,1)),"",IF((AND(LEFT(G2085,2)=LEFT('112'!$M$9,2),B2085&lt;'112'!$K$9,$N2085='112'!$I$6)),"x",""))</f>
        <v/>
      </c>
      <c r="V2085" s="75" t="str">
        <f>IF(ISERROR(FIND('112'!$M$9,G2085,1)),"",IF((AND(RIGHT(G2085,2)=RIGHT('112'!$M$9,2),B2085&lt;'112'!$K$9,$O2085='112'!$I$6)),"x",""))</f>
        <v/>
      </c>
      <c r="W2085" s="75" t="str">
        <f>IF(AND('341-CT'!$H$9=H2085,OR(LEFT(N2085,3)=$W$7,LEFT(O2085,3)=$W$7)),"x","")</f>
        <v/>
      </c>
      <c r="X2085" s="75" t="str">
        <f>IF(OR(TH!N2085=TH!$X$7,O2085=TH!$X$7),"x","")</f>
        <v/>
      </c>
      <c r="Y2085" s="75" t="str">
        <f>IF(AND(OR(N2085="131",O2085="131"),H2085='131-CT'!$H$9),"x","")</f>
        <v/>
      </c>
      <c r="Z2085" s="75"/>
      <c r="AA2085" s="75" t="str">
        <f>IF(AND(MONTH(E2085)='IN-NX'!$J$5,'IN-NX'!$D$7=D2085),"x","")</f>
        <v/>
      </c>
      <c r="AB2085" s="75" t="str">
        <f>IF(AND(OR(LEFT(TH!N2085,2)="15",LEFT(TH!O2085,2)="15"),LEFT(TH!O2085,3)&lt;&gt;"111",'152-CT'!$J$8=TH!F2085),"x","")</f>
        <v/>
      </c>
      <c r="AC2085" s="75" t="str">
        <f>IF(AND(OR(LEFT(TH!N2085,2)="15",LEFT(TH!O2085,2)="15"),TK!$E$7=TH!F2085),"x","")</f>
        <v/>
      </c>
      <c r="AD2085" s="75" t="str">
        <f>IF(AND(N2085="1521",MONTH(C2085)='BK-NL'!$M$11),"x","")</f>
        <v/>
      </c>
      <c r="AE2085" s="1053">
        <v>10</v>
      </c>
    </row>
    <row r="2086" spans="1:31" s="1053" customFormat="1" ht="16.5" customHeight="1">
      <c r="A2086" s="309" t="str">
        <f>IF(B2086&lt;&gt;"",IF(AND(B2086='IN-TC'!$S$4,OR(TH!N2086="1111",TH!O2086="1111")),TH!D2086,""),"")</f>
        <v/>
      </c>
      <c r="B2086" s="1244">
        <f t="shared" si="631"/>
        <v>10</v>
      </c>
      <c r="C2086" s="292">
        <v>43011</v>
      </c>
      <c r="D2086" s="292" t="s">
        <v>867</v>
      </c>
      <c r="E2086" s="292">
        <f t="shared" si="632"/>
        <v>43011</v>
      </c>
      <c r="F2086" s="67" t="s">
        <v>795</v>
      </c>
      <c r="G2086" s="925" t="s">
        <v>1367</v>
      </c>
      <c r="H2086" s="311" t="s">
        <v>2186</v>
      </c>
      <c r="I2086" s="373">
        <v>3045</v>
      </c>
      <c r="J2086" s="379">
        <v>5900</v>
      </c>
      <c r="K2086" s="373"/>
      <c r="L2086" s="379"/>
      <c r="M2086" s="927">
        <f>I2086*J2086</f>
        <v>17965500</v>
      </c>
      <c r="N2086" s="295" t="s">
        <v>266</v>
      </c>
      <c r="O2086" s="295" t="s">
        <v>8</v>
      </c>
      <c r="P2086" s="75" t="str">
        <f>IF(AND('331-CT'!$E$7=TH!H2086,OR(N2086="331",O2086="331")),"x","")</f>
        <v/>
      </c>
      <c r="Q2086" s="75" t="str">
        <f>IF(AND(B2086='111'!$L$11,OR($N2086=$Q$7,$O2086=$Q$7)),"x","")</f>
        <v/>
      </c>
      <c r="R2086" s="75" t="str">
        <f>IF(AND($N2086=$Q$7,$B2086&lt;'111'!$L$11),"x","")</f>
        <v/>
      </c>
      <c r="S2086" s="75" t="str">
        <f>IF(AND($O2086=$Q$7,$B2086&lt;'111'!$L$11),"x","")</f>
        <v/>
      </c>
      <c r="T2086" s="75" t="str">
        <f>IF(ISERROR(FIND('112'!$M$9,G2086,1)),"",IF((AND(FIND('112'!$M$9,G2086,1)&gt;=1,B2086='112'!$K$9,OR($N2086='112'!$I$6,$O2086='112'!$I$6))),"x",""))</f>
        <v/>
      </c>
      <c r="U2086" s="75" t="str">
        <f>IF(ISERROR(FIND('112'!$M$9,G2086,1)),"",IF((AND(LEFT(G2086,2)=LEFT('112'!$M$9,2),B2086&lt;'112'!$K$9,$N2086='112'!$I$6)),"x",""))</f>
        <v/>
      </c>
      <c r="V2086" s="75" t="str">
        <f>IF(ISERROR(FIND('112'!$M$9,G2086,1)),"",IF((AND(RIGHT(G2086,2)=RIGHT('112'!$M$9,2),B2086&lt;'112'!$K$9,$O2086='112'!$I$6)),"x",""))</f>
        <v/>
      </c>
      <c r="W2086" s="75" t="str">
        <f>IF(AND('341-CT'!$H$9=H2086,OR(LEFT(N2086,3)=$W$7,LEFT(O2086,3)=$W$7)),"x","")</f>
        <v/>
      </c>
      <c r="X2086" s="75" t="str">
        <f>IF(OR(TH!N2086=TH!$X$7,O2086=TH!$X$7),"x","")</f>
        <v/>
      </c>
      <c r="Y2086" s="75" t="str">
        <f>IF(AND(OR(N2086="131",O2086="131"),H2086='131-CT'!$H$9),"x","")</f>
        <v/>
      </c>
      <c r="Z2086" s="75"/>
      <c r="AA2086" s="75" t="str">
        <f>IF(AND(MONTH(E2086)='IN-NX'!$J$5,'IN-NX'!$D$7=D2086),"x","")</f>
        <v/>
      </c>
      <c r="AB2086" s="75" t="str">
        <f>IF(AND(OR(LEFT(TH!N2086,2)="15",LEFT(TH!O2086,2)="15"),LEFT(TH!O2086,3)&lt;&gt;"111",'152-CT'!$J$8=TH!F2086),"x","")</f>
        <v/>
      </c>
      <c r="AC2086" s="75" t="str">
        <f>IF(AND(OR(LEFT(TH!N2086,2)="15",LEFT(TH!O2086,2)="15"),TK!$E$7=TH!F2086),"x","")</f>
        <v/>
      </c>
      <c r="AD2086" s="75" t="str">
        <f>IF(AND(N2086="1521",MONTH(C2086)='BK-NL'!$M$11),"x","")</f>
        <v/>
      </c>
      <c r="AE2086" s="1053">
        <v>10</v>
      </c>
    </row>
    <row r="2087" spans="1:31" s="1053" customFormat="1" ht="16.5" customHeight="1">
      <c r="A2087" s="309" t="str">
        <f>IF(B2087&lt;&gt;"",IF(AND(B2087='IN-TC'!$S$4,OR(TH!N2087="1111",TH!O2087="1111")),TH!D2087,""),"")</f>
        <v/>
      </c>
      <c r="B2087" s="1244">
        <f t="shared" si="631"/>
        <v>10</v>
      </c>
      <c r="C2087" s="292">
        <v>43011</v>
      </c>
      <c r="D2087" s="292" t="s">
        <v>867</v>
      </c>
      <c r="E2087" s="292">
        <f t="shared" si="632"/>
        <v>43011</v>
      </c>
      <c r="F2087" s="67" t="s">
        <v>1143</v>
      </c>
      <c r="G2087" s="925" t="s">
        <v>1367</v>
      </c>
      <c r="H2087" s="311" t="s">
        <v>2186</v>
      </c>
      <c r="I2087" s="373"/>
      <c r="J2087" s="379"/>
      <c r="K2087" s="373"/>
      <c r="L2087" s="379"/>
      <c r="M2087" s="927">
        <v>1796550</v>
      </c>
      <c r="N2087" s="295" t="s">
        <v>9</v>
      </c>
      <c r="O2087" s="295" t="s">
        <v>8</v>
      </c>
      <c r="P2087" s="75" t="str">
        <f>IF(AND('331-CT'!$E$7=TH!H2087,OR(N2087="331",O2087="331")),"x","")</f>
        <v/>
      </c>
      <c r="Q2087" s="75" t="str">
        <f>IF(AND(B2087='111'!$L$11,OR($N2087=$Q$7,$O2087=$Q$7)),"x","")</f>
        <v/>
      </c>
      <c r="R2087" s="75" t="str">
        <f>IF(AND($N2087=$Q$7,$B2087&lt;'111'!$L$11),"x","")</f>
        <v/>
      </c>
      <c r="S2087" s="75" t="str">
        <f>IF(AND($O2087=$Q$7,$B2087&lt;'111'!$L$11),"x","")</f>
        <v/>
      </c>
      <c r="T2087" s="75" t="str">
        <f>IF(ISERROR(FIND('112'!$M$9,G2087,1)),"",IF((AND(FIND('112'!$M$9,G2087,1)&gt;=1,B2087='112'!$K$9,OR($N2087='112'!$I$6,$O2087='112'!$I$6))),"x",""))</f>
        <v/>
      </c>
      <c r="U2087" s="75" t="str">
        <f>IF(ISERROR(FIND('112'!$M$9,G2087,1)),"",IF((AND(LEFT(G2087,2)=LEFT('112'!$M$9,2),B2087&lt;'112'!$K$9,$N2087='112'!$I$6)),"x",""))</f>
        <v/>
      </c>
      <c r="V2087" s="75" t="str">
        <f>IF(ISERROR(FIND('112'!$M$9,G2087,1)),"",IF((AND(RIGHT(G2087,2)=RIGHT('112'!$M$9,2),B2087&lt;'112'!$K$9,$O2087='112'!$I$6)),"x",""))</f>
        <v/>
      </c>
      <c r="W2087" s="75" t="str">
        <f>IF(AND('341-CT'!$H$9=H2087,OR(LEFT(N2087,3)=$W$7,LEFT(O2087,3)=$W$7)),"x","")</f>
        <v/>
      </c>
      <c r="X2087" s="75" t="str">
        <f>IF(OR(TH!N2087=TH!$X$7,O2087=TH!$X$7),"x","")</f>
        <v/>
      </c>
      <c r="Y2087" s="75" t="str">
        <f>IF(AND(OR(N2087="131",O2087="131"),H2087='131-CT'!$H$9),"x","")</f>
        <v/>
      </c>
      <c r="Z2087" s="75"/>
      <c r="AA2087" s="75" t="str">
        <f>IF(AND(MONTH(E2087)='IN-NX'!$J$5,'IN-NX'!$D$7=D2087),"x","")</f>
        <v/>
      </c>
      <c r="AB2087" s="75" t="str">
        <f>IF(AND(OR(LEFT(TH!N2087,2)="15",LEFT(TH!O2087,2)="15"),LEFT(TH!O2087,3)&lt;&gt;"111",'152-CT'!$J$8=TH!F2087),"x","")</f>
        <v/>
      </c>
      <c r="AC2087" s="75" t="str">
        <f>IF(AND(OR(LEFT(TH!N2087,2)="15",LEFT(TH!O2087,2)="15"),TK!$E$7=TH!F2087),"x","")</f>
        <v/>
      </c>
      <c r="AD2087" s="75" t="str">
        <f>IF(AND(N2087="1521",MONTH(C2087)='BK-NL'!$M$11),"x","")</f>
        <v/>
      </c>
      <c r="AE2087" s="1053">
        <v>10</v>
      </c>
    </row>
    <row r="2088" spans="1:31" s="1053" customFormat="1" ht="16.5" customHeight="1">
      <c r="A2088" s="309" t="str">
        <f>IF(B2088&lt;&gt;"",IF(AND(B2088='IN-TC'!$S$4,OR(TH!N2088="1111",TH!O2088="1111")),TH!D2088,""),"")</f>
        <v/>
      </c>
      <c r="B2088" s="1244">
        <f t="shared" si="631"/>
        <v>10</v>
      </c>
      <c r="C2088" s="292">
        <v>43011</v>
      </c>
      <c r="D2088" s="292" t="s">
        <v>1352</v>
      </c>
      <c r="E2088" s="292">
        <f t="shared" si="632"/>
        <v>43011</v>
      </c>
      <c r="F2088" s="67" t="s">
        <v>795</v>
      </c>
      <c r="G2088" s="925" t="s">
        <v>2305</v>
      </c>
      <c r="H2088" s="311" t="s">
        <v>1684</v>
      </c>
      <c r="I2088" s="373">
        <v>3045</v>
      </c>
      <c r="J2088" s="379">
        <v>5900</v>
      </c>
      <c r="K2088" s="373"/>
      <c r="L2088" s="379"/>
      <c r="M2088" s="927">
        <f>I2088*J2088</f>
        <v>17965500</v>
      </c>
      <c r="N2088" s="295" t="s">
        <v>266</v>
      </c>
      <c r="O2088" s="295" t="s">
        <v>8</v>
      </c>
      <c r="P2088" s="75" t="str">
        <f>IF(AND('331-CT'!$E$7=TH!H2088,OR(N2088="331",O2088="331")),"x","")</f>
        <v/>
      </c>
      <c r="Q2088" s="75" t="str">
        <f>IF(AND(B2088='111'!$L$11,OR($N2088=$Q$7,$O2088=$Q$7)),"x","")</f>
        <v/>
      </c>
      <c r="R2088" s="75" t="str">
        <f>IF(AND($N2088=$Q$7,$B2088&lt;'111'!$L$11),"x","")</f>
        <v/>
      </c>
      <c r="S2088" s="75" t="str">
        <f>IF(AND($O2088=$Q$7,$B2088&lt;'111'!$L$11),"x","")</f>
        <v/>
      </c>
      <c r="T2088" s="75" t="str">
        <f>IF(ISERROR(FIND('112'!$M$9,G2088,1)),"",IF((AND(FIND('112'!$M$9,G2088,1)&gt;=1,B2088='112'!$K$9,OR($N2088='112'!$I$6,$O2088='112'!$I$6))),"x",""))</f>
        <v/>
      </c>
      <c r="U2088" s="75" t="str">
        <f>IF(ISERROR(FIND('112'!$M$9,G2088,1)),"",IF((AND(LEFT(G2088,2)=LEFT('112'!$M$9,2),B2088&lt;'112'!$K$9,$N2088='112'!$I$6)),"x",""))</f>
        <v/>
      </c>
      <c r="V2088" s="75" t="str">
        <f>IF(ISERROR(FIND('112'!$M$9,G2088,1)),"",IF((AND(RIGHT(G2088,2)=RIGHT('112'!$M$9,2),B2088&lt;'112'!$K$9,$O2088='112'!$I$6)),"x",""))</f>
        <v/>
      </c>
      <c r="W2088" s="75" t="str">
        <f>IF(AND('341-CT'!$H$9=H2088,OR(LEFT(N2088,3)=$W$7,LEFT(O2088,3)=$W$7)),"x","")</f>
        <v/>
      </c>
      <c r="X2088" s="75" t="str">
        <f>IF(OR(TH!N2088=TH!$X$7,O2088=TH!$X$7),"x","")</f>
        <v/>
      </c>
      <c r="Y2088" s="75" t="str">
        <f>IF(AND(OR(N2088="131",O2088="131"),H2088='131-CT'!$H$9),"x","")</f>
        <v/>
      </c>
      <c r="Z2088" s="75"/>
      <c r="AA2088" s="75" t="str">
        <f>IF(AND(MONTH(E2088)='IN-NX'!$J$5,'IN-NX'!$D$7=D2088),"x","")</f>
        <v/>
      </c>
      <c r="AB2088" s="75" t="str">
        <f>IF(AND(OR(LEFT(TH!N2088,2)="15",LEFT(TH!O2088,2)="15"),LEFT(TH!O2088,3)&lt;&gt;"111",'152-CT'!$J$8=TH!F2088),"x","")</f>
        <v/>
      </c>
      <c r="AC2088" s="75" t="str">
        <f>IF(AND(OR(LEFT(TH!N2088,2)="15",LEFT(TH!O2088,2)="15"),TK!$E$7=TH!F2088),"x","")</f>
        <v/>
      </c>
      <c r="AD2088" s="75" t="str">
        <f>IF(AND(N2088="1521",MONTH(C2088)='BK-NL'!$M$11),"x","")</f>
        <v/>
      </c>
      <c r="AE2088" s="1053">
        <v>10</v>
      </c>
    </row>
    <row r="2089" spans="1:31" s="1053" customFormat="1" ht="16.5" customHeight="1">
      <c r="A2089" s="309" t="str">
        <f>IF(B2089&lt;&gt;"",IF(AND(B2089='IN-TC'!$S$4,OR(TH!N2089="1111",TH!O2089="1111")),TH!D2089,""),"")</f>
        <v/>
      </c>
      <c r="B2089" s="1244">
        <f t="shared" si="631"/>
        <v>10</v>
      </c>
      <c r="C2089" s="292">
        <v>43011</v>
      </c>
      <c r="D2089" s="292" t="s">
        <v>1352</v>
      </c>
      <c r="E2089" s="292">
        <f t="shared" si="632"/>
        <v>43011</v>
      </c>
      <c r="F2089" s="67" t="s">
        <v>1143</v>
      </c>
      <c r="G2089" s="925" t="s">
        <v>2305</v>
      </c>
      <c r="H2089" s="311" t="s">
        <v>1684</v>
      </c>
      <c r="I2089" s="373"/>
      <c r="J2089" s="379"/>
      <c r="K2089" s="373"/>
      <c r="L2089" s="379"/>
      <c r="M2089" s="927">
        <v>1796550</v>
      </c>
      <c r="N2089" s="295" t="s">
        <v>9</v>
      </c>
      <c r="O2089" s="295" t="s">
        <v>8</v>
      </c>
      <c r="P2089" s="75" t="str">
        <f>IF(AND('331-CT'!$E$7=TH!H2089,OR(N2089="331",O2089="331")),"x","")</f>
        <v/>
      </c>
      <c r="Q2089" s="75" t="str">
        <f>IF(AND(B2089='111'!$L$11,OR($N2089=$Q$7,$O2089=$Q$7)),"x","")</f>
        <v/>
      </c>
      <c r="R2089" s="75" t="str">
        <f>IF(AND($N2089=$Q$7,$B2089&lt;'111'!$L$11),"x","")</f>
        <v/>
      </c>
      <c r="S2089" s="75" t="str">
        <f>IF(AND($O2089=$Q$7,$B2089&lt;'111'!$L$11),"x","")</f>
        <v/>
      </c>
      <c r="T2089" s="75" t="str">
        <f>IF(ISERROR(FIND('112'!$M$9,G2089,1)),"",IF((AND(FIND('112'!$M$9,G2089,1)&gt;=1,B2089='112'!$K$9,OR($N2089='112'!$I$6,$O2089='112'!$I$6))),"x",""))</f>
        <v/>
      </c>
      <c r="U2089" s="75" t="str">
        <f>IF(ISERROR(FIND('112'!$M$9,G2089,1)),"",IF((AND(LEFT(G2089,2)=LEFT('112'!$M$9,2),B2089&lt;'112'!$K$9,$N2089='112'!$I$6)),"x",""))</f>
        <v/>
      </c>
      <c r="V2089" s="75" t="str">
        <f>IF(ISERROR(FIND('112'!$M$9,G2089,1)),"",IF((AND(RIGHT(G2089,2)=RIGHT('112'!$M$9,2),B2089&lt;'112'!$K$9,$O2089='112'!$I$6)),"x",""))</f>
        <v/>
      </c>
      <c r="W2089" s="75" t="str">
        <f>IF(AND('341-CT'!$H$9=H2089,OR(LEFT(N2089,3)=$W$7,LEFT(O2089,3)=$W$7)),"x","")</f>
        <v/>
      </c>
      <c r="X2089" s="75" t="str">
        <f>IF(OR(TH!N2089=TH!$X$7,O2089=TH!$X$7),"x","")</f>
        <v/>
      </c>
      <c r="Y2089" s="75" t="str">
        <f>IF(AND(OR(N2089="131",O2089="131"),H2089='131-CT'!$H$9),"x","")</f>
        <v/>
      </c>
      <c r="Z2089" s="75"/>
      <c r="AA2089" s="75" t="str">
        <f>IF(AND(MONTH(E2089)='IN-NX'!$J$5,'IN-NX'!$D$7=D2089),"x","")</f>
        <v/>
      </c>
      <c r="AB2089" s="75" t="str">
        <f>IF(AND(OR(LEFT(TH!N2089,2)="15",LEFT(TH!O2089,2)="15"),LEFT(TH!O2089,3)&lt;&gt;"111",'152-CT'!$J$8=TH!F2089),"x","")</f>
        <v/>
      </c>
      <c r="AC2089" s="75" t="str">
        <f>IF(AND(OR(LEFT(TH!N2089,2)="15",LEFT(TH!O2089,2)="15"),TK!$E$7=TH!F2089),"x","")</f>
        <v/>
      </c>
      <c r="AD2089" s="75" t="str">
        <f>IF(AND(N2089="1521",MONTH(C2089)='BK-NL'!$M$11),"x","")</f>
        <v/>
      </c>
      <c r="AE2089" s="1053">
        <v>10</v>
      </c>
    </row>
    <row r="2090" spans="1:31" s="1053" customFormat="1" ht="16.5" customHeight="1">
      <c r="A2090" s="309" t="str">
        <f>IF(B2090&lt;&gt;"",IF(AND(B2090='IN-TC'!$S$4,OR(TH!N2090="1111",TH!O2090="1111")),TH!D2090,""),"")</f>
        <v/>
      </c>
      <c r="B2090" s="1244">
        <f t="shared" si="631"/>
        <v>10</v>
      </c>
      <c r="C2090" s="292">
        <v>43012</v>
      </c>
      <c r="D2090" s="292" t="s">
        <v>1353</v>
      </c>
      <c r="E2090" s="292">
        <f t="shared" si="632"/>
        <v>43012</v>
      </c>
      <c r="F2090" s="67" t="s">
        <v>795</v>
      </c>
      <c r="G2090" s="925" t="s">
        <v>2306</v>
      </c>
      <c r="H2090" s="311" t="s">
        <v>1684</v>
      </c>
      <c r="I2090" s="373">
        <v>3045</v>
      </c>
      <c r="J2090" s="379">
        <v>5900</v>
      </c>
      <c r="K2090" s="373"/>
      <c r="L2090" s="379"/>
      <c r="M2090" s="927">
        <f>I2090*J2090</f>
        <v>17965500</v>
      </c>
      <c r="N2090" s="295" t="s">
        <v>266</v>
      </c>
      <c r="O2090" s="295" t="s">
        <v>8</v>
      </c>
      <c r="P2090" s="75" t="str">
        <f>IF(AND('331-CT'!$E$7=TH!H2090,OR(N2090="331",O2090="331")),"x","")</f>
        <v/>
      </c>
      <c r="Q2090" s="75" t="str">
        <f>IF(AND(B2090='111'!$L$11,OR($N2090=$Q$7,$O2090=$Q$7)),"x","")</f>
        <v/>
      </c>
      <c r="R2090" s="75" t="str">
        <f>IF(AND($N2090=$Q$7,$B2090&lt;'111'!$L$11),"x","")</f>
        <v/>
      </c>
      <c r="S2090" s="75" t="str">
        <f>IF(AND($O2090=$Q$7,$B2090&lt;'111'!$L$11),"x","")</f>
        <v/>
      </c>
      <c r="T2090" s="75" t="str">
        <f>IF(ISERROR(FIND('112'!$M$9,G2090,1)),"",IF((AND(FIND('112'!$M$9,G2090,1)&gt;=1,B2090='112'!$K$9,OR($N2090='112'!$I$6,$O2090='112'!$I$6))),"x",""))</f>
        <v/>
      </c>
      <c r="U2090" s="75" t="str">
        <f>IF(ISERROR(FIND('112'!$M$9,G2090,1)),"",IF((AND(LEFT(G2090,2)=LEFT('112'!$M$9,2),B2090&lt;'112'!$K$9,$N2090='112'!$I$6)),"x",""))</f>
        <v/>
      </c>
      <c r="V2090" s="75" t="str">
        <f>IF(ISERROR(FIND('112'!$M$9,G2090,1)),"",IF((AND(RIGHT(G2090,2)=RIGHT('112'!$M$9,2),B2090&lt;'112'!$K$9,$O2090='112'!$I$6)),"x",""))</f>
        <v/>
      </c>
      <c r="W2090" s="75" t="str">
        <f>IF(AND('341-CT'!$H$9=H2090,OR(LEFT(N2090,3)=$W$7,LEFT(O2090,3)=$W$7)),"x","")</f>
        <v/>
      </c>
      <c r="X2090" s="75" t="str">
        <f>IF(OR(TH!N2090=TH!$X$7,O2090=TH!$X$7),"x","")</f>
        <v/>
      </c>
      <c r="Y2090" s="75" t="str">
        <f>IF(AND(OR(N2090="131",O2090="131"),H2090='131-CT'!$H$9),"x","")</f>
        <v/>
      </c>
      <c r="Z2090" s="75"/>
      <c r="AA2090" s="75" t="str">
        <f>IF(AND(MONTH(E2090)='IN-NX'!$J$5,'IN-NX'!$D$7=D2090),"x","")</f>
        <v/>
      </c>
      <c r="AB2090" s="75" t="str">
        <f>IF(AND(OR(LEFT(TH!N2090,2)="15",LEFT(TH!O2090,2)="15"),LEFT(TH!O2090,3)&lt;&gt;"111",'152-CT'!$J$8=TH!F2090),"x","")</f>
        <v/>
      </c>
      <c r="AC2090" s="75" t="str">
        <f>IF(AND(OR(LEFT(TH!N2090,2)="15",LEFT(TH!O2090,2)="15"),TK!$E$7=TH!F2090),"x","")</f>
        <v/>
      </c>
      <c r="AD2090" s="75" t="str">
        <f>IF(AND(N2090="1521",MONTH(C2090)='BK-NL'!$M$11),"x","")</f>
        <v/>
      </c>
      <c r="AE2090" s="1053">
        <v>10</v>
      </c>
    </row>
    <row r="2091" spans="1:31" s="1053" customFormat="1" ht="16.5" customHeight="1">
      <c r="A2091" s="309" t="str">
        <f>IF(B2091&lt;&gt;"",IF(AND(B2091='IN-TC'!$S$4,OR(TH!N2091="1111",TH!O2091="1111")),TH!D2091,""),"")</f>
        <v/>
      </c>
      <c r="B2091" s="1244">
        <f t="shared" si="631"/>
        <v>10</v>
      </c>
      <c r="C2091" s="292">
        <v>43012</v>
      </c>
      <c r="D2091" s="292" t="s">
        <v>1353</v>
      </c>
      <c r="E2091" s="292">
        <f t="shared" si="632"/>
        <v>43012</v>
      </c>
      <c r="F2091" s="67" t="s">
        <v>1143</v>
      </c>
      <c r="G2091" s="925" t="s">
        <v>2306</v>
      </c>
      <c r="H2091" s="311" t="s">
        <v>1684</v>
      </c>
      <c r="I2091" s="373"/>
      <c r="J2091" s="379"/>
      <c r="K2091" s="373"/>
      <c r="L2091" s="379"/>
      <c r="M2091" s="927">
        <v>1796550</v>
      </c>
      <c r="N2091" s="295" t="s">
        <v>9</v>
      </c>
      <c r="O2091" s="295" t="s">
        <v>8</v>
      </c>
      <c r="P2091" s="75" t="str">
        <f>IF(AND('331-CT'!$E$7=TH!H2091,OR(N2091="331",O2091="331")),"x","")</f>
        <v/>
      </c>
      <c r="Q2091" s="75" t="str">
        <f>IF(AND(B2091='111'!$L$11,OR($N2091=$Q$7,$O2091=$Q$7)),"x","")</f>
        <v/>
      </c>
      <c r="R2091" s="75" t="str">
        <f>IF(AND($N2091=$Q$7,$B2091&lt;'111'!$L$11),"x","")</f>
        <v/>
      </c>
      <c r="S2091" s="75" t="str">
        <f>IF(AND($O2091=$Q$7,$B2091&lt;'111'!$L$11),"x","")</f>
        <v/>
      </c>
      <c r="T2091" s="75" t="str">
        <f>IF(ISERROR(FIND('112'!$M$9,G2091,1)),"",IF((AND(FIND('112'!$M$9,G2091,1)&gt;=1,B2091='112'!$K$9,OR($N2091='112'!$I$6,$O2091='112'!$I$6))),"x",""))</f>
        <v/>
      </c>
      <c r="U2091" s="75" t="str">
        <f>IF(ISERROR(FIND('112'!$M$9,G2091,1)),"",IF((AND(LEFT(G2091,2)=LEFT('112'!$M$9,2),B2091&lt;'112'!$K$9,$N2091='112'!$I$6)),"x",""))</f>
        <v/>
      </c>
      <c r="V2091" s="75" t="str">
        <f>IF(ISERROR(FIND('112'!$M$9,G2091,1)),"",IF((AND(RIGHT(G2091,2)=RIGHT('112'!$M$9,2),B2091&lt;'112'!$K$9,$O2091='112'!$I$6)),"x",""))</f>
        <v/>
      </c>
      <c r="W2091" s="75" t="str">
        <f>IF(AND('341-CT'!$H$9=H2091,OR(LEFT(N2091,3)=$W$7,LEFT(O2091,3)=$W$7)),"x","")</f>
        <v/>
      </c>
      <c r="X2091" s="75" t="str">
        <f>IF(OR(TH!N2091=TH!$X$7,O2091=TH!$X$7),"x","")</f>
        <v/>
      </c>
      <c r="Y2091" s="75" t="str">
        <f>IF(AND(OR(N2091="131",O2091="131"),H2091='131-CT'!$H$9),"x","")</f>
        <v/>
      </c>
      <c r="Z2091" s="75"/>
      <c r="AA2091" s="75" t="str">
        <f>IF(AND(MONTH(E2091)='IN-NX'!$J$5,'IN-NX'!$D$7=D2091),"x","")</f>
        <v/>
      </c>
      <c r="AB2091" s="75" t="str">
        <f>IF(AND(OR(LEFT(TH!N2091,2)="15",LEFT(TH!O2091,2)="15"),LEFT(TH!O2091,3)&lt;&gt;"111",'152-CT'!$J$8=TH!F2091),"x","")</f>
        <v/>
      </c>
      <c r="AC2091" s="75" t="str">
        <f>IF(AND(OR(LEFT(TH!N2091,2)="15",LEFT(TH!O2091,2)="15"),TK!$E$7=TH!F2091),"x","")</f>
        <v/>
      </c>
      <c r="AD2091" s="75" t="str">
        <f>IF(AND(N2091="1521",MONTH(C2091)='BK-NL'!$M$11),"x","")</f>
        <v/>
      </c>
      <c r="AE2091" s="1053">
        <v>10</v>
      </c>
    </row>
    <row r="2092" spans="1:31" s="1053" customFormat="1" ht="16.5" customHeight="1">
      <c r="A2092" s="309" t="str">
        <f>IF(B2092&lt;&gt;"",IF(AND(B2092='IN-TC'!$S$4,OR(TH!N2092="1111",TH!O2092="1111")),TH!D2092,""),"")</f>
        <v/>
      </c>
      <c r="B2092" s="1244">
        <f t="shared" si="631"/>
        <v>10</v>
      </c>
      <c r="C2092" s="292">
        <v>43012</v>
      </c>
      <c r="D2092" s="292" t="s">
        <v>1354</v>
      </c>
      <c r="E2092" s="292">
        <f t="shared" si="632"/>
        <v>43012</v>
      </c>
      <c r="F2092" s="67" t="s">
        <v>795</v>
      </c>
      <c r="G2092" s="925" t="s">
        <v>1368</v>
      </c>
      <c r="H2092" s="311" t="s">
        <v>2186</v>
      </c>
      <c r="I2092" s="373">
        <v>3045</v>
      </c>
      <c r="J2092" s="379">
        <v>5900</v>
      </c>
      <c r="K2092" s="373"/>
      <c r="L2092" s="379"/>
      <c r="M2092" s="927">
        <f>I2092*J2092</f>
        <v>17965500</v>
      </c>
      <c r="N2092" s="295" t="s">
        <v>266</v>
      </c>
      <c r="O2092" s="295" t="s">
        <v>8</v>
      </c>
      <c r="P2092" s="75" t="str">
        <f>IF(AND('331-CT'!$E$7=TH!H2092,OR(N2092="331",O2092="331")),"x","")</f>
        <v/>
      </c>
      <c r="Q2092" s="75" t="str">
        <f>IF(AND(B2092='111'!$L$11,OR($N2092=$Q$7,$O2092=$Q$7)),"x","")</f>
        <v/>
      </c>
      <c r="R2092" s="75" t="str">
        <f>IF(AND($N2092=$Q$7,$B2092&lt;'111'!$L$11),"x","")</f>
        <v/>
      </c>
      <c r="S2092" s="75" t="str">
        <f>IF(AND($O2092=$Q$7,$B2092&lt;'111'!$L$11),"x","")</f>
        <v/>
      </c>
      <c r="T2092" s="75" t="str">
        <f>IF(ISERROR(FIND('112'!$M$9,G2092,1)),"",IF((AND(FIND('112'!$M$9,G2092,1)&gt;=1,B2092='112'!$K$9,OR($N2092='112'!$I$6,$O2092='112'!$I$6))),"x",""))</f>
        <v/>
      </c>
      <c r="U2092" s="75" t="str">
        <f>IF(ISERROR(FIND('112'!$M$9,G2092,1)),"",IF((AND(LEFT(G2092,2)=LEFT('112'!$M$9,2),B2092&lt;'112'!$K$9,$N2092='112'!$I$6)),"x",""))</f>
        <v/>
      </c>
      <c r="V2092" s="75" t="str">
        <f>IF(ISERROR(FIND('112'!$M$9,G2092,1)),"",IF((AND(RIGHT(G2092,2)=RIGHT('112'!$M$9,2),B2092&lt;'112'!$K$9,$O2092='112'!$I$6)),"x",""))</f>
        <v/>
      </c>
      <c r="W2092" s="75" t="str">
        <f>IF(AND('341-CT'!$H$9=H2092,OR(LEFT(N2092,3)=$W$7,LEFT(O2092,3)=$W$7)),"x","")</f>
        <v/>
      </c>
      <c r="X2092" s="75" t="str">
        <f>IF(OR(TH!N2092=TH!$X$7,O2092=TH!$X$7),"x","")</f>
        <v/>
      </c>
      <c r="Y2092" s="75" t="str">
        <f>IF(AND(OR(N2092="131",O2092="131"),H2092='131-CT'!$H$9),"x","")</f>
        <v/>
      </c>
      <c r="Z2092" s="75"/>
      <c r="AA2092" s="75" t="str">
        <f>IF(AND(MONTH(E2092)='IN-NX'!$J$5,'IN-NX'!$D$7=D2092),"x","")</f>
        <v/>
      </c>
      <c r="AB2092" s="75" t="str">
        <f>IF(AND(OR(LEFT(TH!N2092,2)="15",LEFT(TH!O2092,2)="15"),LEFT(TH!O2092,3)&lt;&gt;"111",'152-CT'!$J$8=TH!F2092),"x","")</f>
        <v/>
      </c>
      <c r="AC2092" s="75" t="str">
        <f>IF(AND(OR(LEFT(TH!N2092,2)="15",LEFT(TH!O2092,2)="15"),TK!$E$7=TH!F2092),"x","")</f>
        <v/>
      </c>
      <c r="AD2092" s="75" t="str">
        <f>IF(AND(N2092="1521",MONTH(C2092)='BK-NL'!$M$11),"x","")</f>
        <v/>
      </c>
      <c r="AE2092" s="1053">
        <v>10</v>
      </c>
    </row>
    <row r="2093" spans="1:31" s="1053" customFormat="1" ht="16.5" customHeight="1">
      <c r="A2093" s="309" t="str">
        <f>IF(B2093&lt;&gt;"",IF(AND(B2093='IN-TC'!$S$4,OR(TH!N2093="1111",TH!O2093="1111")),TH!D2093,""),"")</f>
        <v/>
      </c>
      <c r="B2093" s="1244">
        <f t="shared" si="631"/>
        <v>10</v>
      </c>
      <c r="C2093" s="292">
        <v>43012</v>
      </c>
      <c r="D2093" s="292" t="s">
        <v>1354</v>
      </c>
      <c r="E2093" s="292">
        <f t="shared" si="632"/>
        <v>43012</v>
      </c>
      <c r="F2093" s="67" t="s">
        <v>1143</v>
      </c>
      <c r="G2093" s="925" t="s">
        <v>1368</v>
      </c>
      <c r="H2093" s="311" t="s">
        <v>2186</v>
      </c>
      <c r="I2093" s="373"/>
      <c r="J2093" s="379"/>
      <c r="K2093" s="373"/>
      <c r="L2093" s="379"/>
      <c r="M2093" s="927">
        <v>1796550</v>
      </c>
      <c r="N2093" s="295" t="s">
        <v>9</v>
      </c>
      <c r="O2093" s="295" t="s">
        <v>8</v>
      </c>
      <c r="P2093" s="75" t="str">
        <f>IF(AND('331-CT'!$E$7=TH!H2093,OR(N2093="331",O2093="331")),"x","")</f>
        <v/>
      </c>
      <c r="Q2093" s="75" t="str">
        <f>IF(AND(B2093='111'!$L$11,OR($N2093=$Q$7,$O2093=$Q$7)),"x","")</f>
        <v/>
      </c>
      <c r="R2093" s="75" t="str">
        <f>IF(AND($N2093=$Q$7,$B2093&lt;'111'!$L$11),"x","")</f>
        <v/>
      </c>
      <c r="S2093" s="75" t="str">
        <f>IF(AND($O2093=$Q$7,$B2093&lt;'111'!$L$11),"x","")</f>
        <v/>
      </c>
      <c r="T2093" s="75" t="str">
        <f>IF(ISERROR(FIND('112'!$M$9,G2093,1)),"",IF((AND(FIND('112'!$M$9,G2093,1)&gt;=1,B2093='112'!$K$9,OR($N2093='112'!$I$6,$O2093='112'!$I$6))),"x",""))</f>
        <v/>
      </c>
      <c r="U2093" s="75" t="str">
        <f>IF(ISERROR(FIND('112'!$M$9,G2093,1)),"",IF((AND(LEFT(G2093,2)=LEFT('112'!$M$9,2),B2093&lt;'112'!$K$9,$N2093='112'!$I$6)),"x",""))</f>
        <v/>
      </c>
      <c r="V2093" s="75" t="str">
        <f>IF(ISERROR(FIND('112'!$M$9,G2093,1)),"",IF((AND(RIGHT(G2093,2)=RIGHT('112'!$M$9,2),B2093&lt;'112'!$K$9,$O2093='112'!$I$6)),"x",""))</f>
        <v/>
      </c>
      <c r="W2093" s="75" t="str">
        <f>IF(AND('341-CT'!$H$9=H2093,OR(LEFT(N2093,3)=$W$7,LEFT(O2093,3)=$W$7)),"x","")</f>
        <v/>
      </c>
      <c r="X2093" s="75" t="str">
        <f>IF(OR(TH!N2093=TH!$X$7,O2093=TH!$X$7),"x","")</f>
        <v/>
      </c>
      <c r="Y2093" s="75" t="str">
        <f>IF(AND(OR(N2093="131",O2093="131"),H2093='131-CT'!$H$9),"x","")</f>
        <v/>
      </c>
      <c r="Z2093" s="75"/>
      <c r="AA2093" s="75" t="str">
        <f>IF(AND(MONTH(E2093)='IN-NX'!$J$5,'IN-NX'!$D$7=D2093),"x","")</f>
        <v/>
      </c>
      <c r="AB2093" s="75" t="str">
        <f>IF(AND(OR(LEFT(TH!N2093,2)="15",LEFT(TH!O2093,2)="15"),LEFT(TH!O2093,3)&lt;&gt;"111",'152-CT'!$J$8=TH!F2093),"x","")</f>
        <v/>
      </c>
      <c r="AC2093" s="75" t="str">
        <f>IF(AND(OR(LEFT(TH!N2093,2)="15",LEFT(TH!O2093,2)="15"),TK!$E$7=TH!F2093),"x","")</f>
        <v/>
      </c>
      <c r="AD2093" s="75" t="str">
        <f>IF(AND(N2093="1521",MONTH(C2093)='BK-NL'!$M$11),"x","")</f>
        <v/>
      </c>
      <c r="AE2093" s="1053">
        <v>10</v>
      </c>
    </row>
    <row r="2094" spans="1:31" s="1053" customFormat="1" ht="17.25" customHeight="1">
      <c r="A2094" s="309" t="str">
        <f>IF(B2094&lt;&gt;"",IF(AND(B2094='IN-TC'!$S$4,OR(TH!N2094="1111",TH!O2094="1111")),TH!D2094,""),"")</f>
        <v/>
      </c>
      <c r="B2094" s="1244">
        <f t="shared" ref="B2094:B2095" si="633">IF(C2094&lt;&gt;"",MONTH(C2094),"")</f>
        <v>10</v>
      </c>
      <c r="C2094" s="292">
        <v>43014</v>
      </c>
      <c r="D2094" s="292" t="s">
        <v>1355</v>
      </c>
      <c r="E2094" s="292">
        <f t="shared" ref="E2094:E2095" si="634">C2094</f>
        <v>43014</v>
      </c>
      <c r="F2094" s="67" t="s">
        <v>795</v>
      </c>
      <c r="G2094" s="925" t="s">
        <v>2596</v>
      </c>
      <c r="H2094" s="311" t="s">
        <v>1684</v>
      </c>
      <c r="I2094" s="373">
        <v>3045</v>
      </c>
      <c r="J2094" s="379">
        <v>5900</v>
      </c>
      <c r="K2094" s="373"/>
      <c r="L2094" s="379"/>
      <c r="M2094" s="927">
        <f>I2094*J2094</f>
        <v>17965500</v>
      </c>
      <c r="N2094" s="295" t="s">
        <v>266</v>
      </c>
      <c r="O2094" s="295" t="s">
        <v>8</v>
      </c>
      <c r="P2094" s="75" t="str">
        <f>IF(AND('331-CT'!$E$7=TH!H2094,OR(N2094="331",O2094="331")),"x","")</f>
        <v/>
      </c>
      <c r="Q2094" s="75" t="str">
        <f>IF(AND(B2094='111'!$L$11,OR($N2094=$Q$7,$O2094=$Q$7)),"x","")</f>
        <v/>
      </c>
      <c r="R2094" s="75" t="str">
        <f>IF(AND($N2094=$Q$7,$B2094&lt;'111'!$L$11),"x","")</f>
        <v/>
      </c>
      <c r="S2094" s="75" t="str">
        <f>IF(AND($O2094=$Q$7,$B2094&lt;'111'!$L$11),"x","")</f>
        <v/>
      </c>
      <c r="T2094" s="75" t="str">
        <f>IF(ISERROR(FIND('112'!$M$9,G2094,1)),"",IF((AND(FIND('112'!$M$9,G2094,1)&gt;=1,B2094='112'!$K$9,OR($N2094='112'!$I$6,$O2094='112'!$I$6))),"x",""))</f>
        <v/>
      </c>
      <c r="U2094" s="75" t="str">
        <f>IF(ISERROR(FIND('112'!$M$9,G2094,1)),"",IF((AND(LEFT(G2094,2)=LEFT('112'!$M$9,2),B2094&lt;'112'!$K$9,$N2094='112'!$I$6)),"x",""))</f>
        <v/>
      </c>
      <c r="V2094" s="75" t="str">
        <f>IF(ISERROR(FIND('112'!$M$9,G2094,1)),"",IF((AND(RIGHT(G2094,2)=RIGHT('112'!$M$9,2),B2094&lt;'112'!$K$9,$O2094='112'!$I$6)),"x",""))</f>
        <v/>
      </c>
      <c r="W2094" s="75" t="str">
        <f>IF(AND('341-CT'!$H$9=H2094,OR(LEFT(N2094,3)=$W$7,LEFT(O2094,3)=$W$7)),"x","")</f>
        <v/>
      </c>
      <c r="X2094" s="75" t="str">
        <f>IF(OR(TH!N2094=TH!$X$7,O2094=TH!$X$7),"x","")</f>
        <v/>
      </c>
      <c r="Y2094" s="75" t="str">
        <f>IF(AND(OR(N2094="131",O2094="131"),H2094='131-CT'!$H$9),"x","")</f>
        <v/>
      </c>
      <c r="Z2094" s="75"/>
      <c r="AA2094" s="75" t="str">
        <f>IF(AND(MONTH(E2094)='IN-NX'!$J$5,'IN-NX'!$D$7=D2094),"x","")</f>
        <v/>
      </c>
      <c r="AB2094" s="75" t="str">
        <f>IF(AND(OR(LEFT(TH!N2094,2)="15",LEFT(TH!O2094,2)="15"),LEFT(TH!O2094,3)&lt;&gt;"111",'152-CT'!$J$8=TH!F2094),"x","")</f>
        <v/>
      </c>
      <c r="AC2094" s="75" t="str">
        <f>IF(AND(OR(LEFT(TH!N2094,2)="15",LEFT(TH!O2094,2)="15"),TK!$E$7=TH!F2094),"x","")</f>
        <v/>
      </c>
      <c r="AD2094" s="75" t="str">
        <f>IF(AND(N2094="1521",MONTH(C2094)='BK-NL'!$M$11),"x","")</f>
        <v/>
      </c>
      <c r="AE2094" s="1053">
        <v>11</v>
      </c>
    </row>
    <row r="2095" spans="1:31" s="1053" customFormat="1" ht="17.25" customHeight="1">
      <c r="A2095" s="309" t="str">
        <f>IF(B2095&lt;&gt;"",IF(AND(B2095='IN-TC'!$S$4,OR(TH!N2095="1111",TH!O2095="1111")),TH!D2095,""),"")</f>
        <v/>
      </c>
      <c r="B2095" s="1244">
        <f t="shared" si="633"/>
        <v>10</v>
      </c>
      <c r="C2095" s="292">
        <v>43014</v>
      </c>
      <c r="D2095" s="292" t="s">
        <v>1355</v>
      </c>
      <c r="E2095" s="292">
        <f t="shared" si="634"/>
        <v>43014</v>
      </c>
      <c r="F2095" s="67" t="s">
        <v>1143</v>
      </c>
      <c r="G2095" s="925" t="s">
        <v>2596</v>
      </c>
      <c r="H2095" s="311" t="s">
        <v>1684</v>
      </c>
      <c r="I2095" s="373"/>
      <c r="J2095" s="379"/>
      <c r="K2095" s="373"/>
      <c r="L2095" s="379"/>
      <c r="M2095" s="927">
        <v>1796550</v>
      </c>
      <c r="N2095" s="295" t="s">
        <v>9</v>
      </c>
      <c r="O2095" s="295" t="s">
        <v>8</v>
      </c>
      <c r="P2095" s="75" t="str">
        <f>IF(AND('331-CT'!$E$7=TH!H2095,OR(N2095="331",O2095="331")),"x","")</f>
        <v/>
      </c>
      <c r="Q2095" s="75" t="str">
        <f>IF(AND(B2095='111'!$L$11,OR($N2095=$Q$7,$O2095=$Q$7)),"x","")</f>
        <v/>
      </c>
      <c r="R2095" s="75" t="str">
        <f>IF(AND($N2095=$Q$7,$B2095&lt;'111'!$L$11),"x","")</f>
        <v/>
      </c>
      <c r="S2095" s="75" t="str">
        <f>IF(AND($O2095=$Q$7,$B2095&lt;'111'!$L$11),"x","")</f>
        <v/>
      </c>
      <c r="T2095" s="75" t="str">
        <f>IF(ISERROR(FIND('112'!$M$9,G2095,1)),"",IF((AND(FIND('112'!$M$9,G2095,1)&gt;=1,B2095='112'!$K$9,OR($N2095='112'!$I$6,$O2095='112'!$I$6))),"x",""))</f>
        <v/>
      </c>
      <c r="U2095" s="75" t="str">
        <f>IF(ISERROR(FIND('112'!$M$9,G2095,1)),"",IF((AND(LEFT(G2095,2)=LEFT('112'!$M$9,2),B2095&lt;'112'!$K$9,$N2095='112'!$I$6)),"x",""))</f>
        <v/>
      </c>
      <c r="V2095" s="75" t="str">
        <f>IF(ISERROR(FIND('112'!$M$9,G2095,1)),"",IF((AND(RIGHT(G2095,2)=RIGHT('112'!$M$9,2),B2095&lt;'112'!$K$9,$O2095='112'!$I$6)),"x",""))</f>
        <v/>
      </c>
      <c r="W2095" s="75" t="str">
        <f>IF(AND('341-CT'!$H$9=H2095,OR(LEFT(N2095,3)=$W$7,LEFT(O2095,3)=$W$7)),"x","")</f>
        <v/>
      </c>
      <c r="X2095" s="75" t="str">
        <f>IF(OR(TH!N2095=TH!$X$7,O2095=TH!$X$7),"x","")</f>
        <v/>
      </c>
      <c r="Y2095" s="75" t="str">
        <f>IF(AND(OR(N2095="131",O2095="131"),H2095='131-CT'!$H$9),"x","")</f>
        <v/>
      </c>
      <c r="Z2095" s="75"/>
      <c r="AA2095" s="75" t="str">
        <f>IF(AND(MONTH(E2095)='IN-NX'!$J$5,'IN-NX'!$D$7=D2095),"x","")</f>
        <v/>
      </c>
      <c r="AB2095" s="75" t="str">
        <f>IF(AND(OR(LEFT(TH!N2095,2)="15",LEFT(TH!O2095,2)="15"),LEFT(TH!O2095,3)&lt;&gt;"111",'152-CT'!$J$8=TH!F2095),"x","")</f>
        <v/>
      </c>
      <c r="AC2095" s="75" t="str">
        <f>IF(AND(OR(LEFT(TH!N2095,2)="15",LEFT(TH!O2095,2)="15"),TK!$E$7=TH!F2095),"x","")</f>
        <v/>
      </c>
      <c r="AD2095" s="75" t="str">
        <f>IF(AND(N2095="1521",MONTH(C2095)='BK-NL'!$M$11),"x","")</f>
        <v/>
      </c>
      <c r="AE2095" s="1053">
        <v>11</v>
      </c>
    </row>
    <row r="2096" spans="1:31" s="1053" customFormat="1" ht="16.5" customHeight="1">
      <c r="A2096" s="309" t="str">
        <f>IF(B2096&lt;&gt;"",IF(AND(B2096='IN-TC'!$S$4,OR(TH!N2096="1111",TH!O2096="1111")),TH!D2096,""),"")</f>
        <v/>
      </c>
      <c r="B2096" s="1244">
        <f t="shared" si="631"/>
        <v>10</v>
      </c>
      <c r="C2096" s="292">
        <v>43020</v>
      </c>
      <c r="D2096" s="292" t="s">
        <v>1356</v>
      </c>
      <c r="E2096" s="292">
        <f t="shared" si="632"/>
        <v>43020</v>
      </c>
      <c r="F2096" s="67" t="s">
        <v>336</v>
      </c>
      <c r="G2096" s="925" t="s">
        <v>2561</v>
      </c>
      <c r="H2096" s="294" t="s">
        <v>2562</v>
      </c>
      <c r="I2096" s="373">
        <v>1000</v>
      </c>
      <c r="J2096" s="926">
        <v>13714.286</v>
      </c>
      <c r="K2096" s="373"/>
      <c r="L2096" s="379"/>
      <c r="M2096" s="927">
        <f>I2096*J2096</f>
        <v>13714286</v>
      </c>
      <c r="N2096" s="295" t="s">
        <v>266</v>
      </c>
      <c r="O2096" s="295" t="s">
        <v>8</v>
      </c>
      <c r="P2096" s="75" t="str">
        <f>IF(AND('331-CT'!$E$7=TH!H2096,OR(N2096="331",O2096="331")),"x","")</f>
        <v/>
      </c>
      <c r="Q2096" s="75" t="str">
        <f>IF(AND(B2096='111'!$L$11,OR($N2096=$Q$7,$O2096=$Q$7)),"x","")</f>
        <v/>
      </c>
      <c r="R2096" s="75" t="str">
        <f>IF(AND($N2096=$Q$7,$B2096&lt;'111'!$L$11),"x","")</f>
        <v/>
      </c>
      <c r="S2096" s="75" t="str">
        <f>IF(AND($O2096=$Q$7,$B2096&lt;'111'!$L$11),"x","")</f>
        <v/>
      </c>
      <c r="T2096" s="75" t="str">
        <f>IF(ISERROR(FIND('112'!$M$9,G2096,1)),"",IF((AND(FIND('112'!$M$9,G2096,1)&gt;=1,B2096='112'!$K$9,OR($N2096='112'!$I$6,$O2096='112'!$I$6))),"x",""))</f>
        <v/>
      </c>
      <c r="U2096" s="75" t="str">
        <f>IF(ISERROR(FIND('112'!$M$9,G2096,1)),"",IF((AND(LEFT(G2096,2)=LEFT('112'!$M$9,2),B2096&lt;'112'!$K$9,$N2096='112'!$I$6)),"x",""))</f>
        <v/>
      </c>
      <c r="V2096" s="75" t="str">
        <f>IF(ISERROR(FIND('112'!$M$9,G2096,1)),"",IF((AND(RIGHT(G2096,2)=RIGHT('112'!$M$9,2),B2096&lt;'112'!$K$9,$O2096='112'!$I$6)),"x",""))</f>
        <v/>
      </c>
      <c r="W2096" s="75" t="str">
        <f>IF(AND('341-CT'!$H$9=H2096,OR(LEFT(N2096,3)=$W$7,LEFT(O2096,3)=$W$7)),"x","")</f>
        <v/>
      </c>
      <c r="X2096" s="75" t="str">
        <f>IF(OR(TH!N2096=TH!$X$7,O2096=TH!$X$7),"x","")</f>
        <v/>
      </c>
      <c r="Y2096" s="75" t="str">
        <f>IF(AND(OR(N2096="131",O2096="131"),H2096='131-CT'!$H$9),"x","")</f>
        <v/>
      </c>
      <c r="Z2096" s="75"/>
      <c r="AA2096" s="75" t="str">
        <f>IF(AND(MONTH(E2096)='IN-NX'!$J$5,'IN-NX'!$D$7=D2096),"x","")</f>
        <v/>
      </c>
      <c r="AB2096" s="75" t="str">
        <f>IF(AND(OR(LEFT(TH!N2096,2)="15",LEFT(TH!O2096,2)="15"),LEFT(TH!O2096,3)&lt;&gt;"111",'152-CT'!$J$8=TH!F2096),"x","")</f>
        <v/>
      </c>
      <c r="AC2096" s="75" t="str">
        <f>IF(AND(OR(LEFT(TH!N2096,2)="15",LEFT(TH!O2096,2)="15"),TK!$E$7=TH!F2096),"x","")</f>
        <v>x</v>
      </c>
      <c r="AD2096" s="75" t="str">
        <f>IF(AND(N2096="1521",MONTH(C2096)='BK-NL'!$M$11),"x","")</f>
        <v/>
      </c>
      <c r="AE2096" s="1053">
        <v>10</v>
      </c>
    </row>
    <row r="2097" spans="1:31" s="1053" customFormat="1" ht="16.5" customHeight="1">
      <c r="A2097" s="309" t="str">
        <f>IF(B2097&lt;&gt;"",IF(AND(B2097='IN-TC'!$S$4,OR(TH!N2097="1111",TH!O2097="1111")),TH!D2097,""),"")</f>
        <v/>
      </c>
      <c r="B2097" s="1244">
        <f t="shared" si="631"/>
        <v>10</v>
      </c>
      <c r="C2097" s="292">
        <v>43020</v>
      </c>
      <c r="D2097" s="292" t="s">
        <v>1356</v>
      </c>
      <c r="E2097" s="292">
        <f t="shared" si="632"/>
        <v>43020</v>
      </c>
      <c r="F2097" s="67" t="s">
        <v>2131</v>
      </c>
      <c r="G2097" s="925" t="s">
        <v>2561</v>
      </c>
      <c r="H2097" s="294" t="s">
        <v>2562</v>
      </c>
      <c r="I2097" s="373"/>
      <c r="J2097" s="926"/>
      <c r="K2097" s="373"/>
      <c r="L2097" s="379"/>
      <c r="M2097" s="927">
        <v>685714</v>
      </c>
      <c r="N2097" s="295" t="s">
        <v>9</v>
      </c>
      <c r="O2097" s="295" t="s">
        <v>8</v>
      </c>
      <c r="P2097" s="75" t="str">
        <f>IF(AND('331-CT'!$E$7=TH!H2097,OR(N2097="331",O2097="331")),"x","")</f>
        <v/>
      </c>
      <c r="Q2097" s="75" t="str">
        <f>IF(AND(B2097='111'!$L$11,OR($N2097=$Q$7,$O2097=$Q$7)),"x","")</f>
        <v/>
      </c>
      <c r="R2097" s="75" t="str">
        <f>IF(AND($N2097=$Q$7,$B2097&lt;'111'!$L$11),"x","")</f>
        <v/>
      </c>
      <c r="S2097" s="75" t="str">
        <f>IF(AND($O2097=$Q$7,$B2097&lt;'111'!$L$11),"x","")</f>
        <v/>
      </c>
      <c r="T2097" s="75" t="str">
        <f>IF(ISERROR(FIND('112'!$M$9,G2097,1)),"",IF((AND(FIND('112'!$M$9,G2097,1)&gt;=1,B2097='112'!$K$9,OR($N2097='112'!$I$6,$O2097='112'!$I$6))),"x",""))</f>
        <v/>
      </c>
      <c r="U2097" s="75" t="str">
        <f>IF(ISERROR(FIND('112'!$M$9,G2097,1)),"",IF((AND(LEFT(G2097,2)=LEFT('112'!$M$9,2),B2097&lt;'112'!$K$9,$N2097='112'!$I$6)),"x",""))</f>
        <v/>
      </c>
      <c r="V2097" s="75" t="str">
        <f>IF(ISERROR(FIND('112'!$M$9,G2097,1)),"",IF((AND(RIGHT(G2097,2)=RIGHT('112'!$M$9,2),B2097&lt;'112'!$K$9,$O2097='112'!$I$6)),"x",""))</f>
        <v/>
      </c>
      <c r="W2097" s="75" t="str">
        <f>IF(AND('341-CT'!$H$9=H2097,OR(LEFT(N2097,3)=$W$7,LEFT(O2097,3)=$W$7)),"x","")</f>
        <v/>
      </c>
      <c r="X2097" s="75" t="str">
        <f>IF(OR(TH!N2097=TH!$X$7,O2097=TH!$X$7),"x","")</f>
        <v/>
      </c>
      <c r="Y2097" s="75" t="str">
        <f>IF(AND(OR(N2097="131",O2097="131"),H2097='131-CT'!$H$9),"x","")</f>
        <v/>
      </c>
      <c r="Z2097" s="75"/>
      <c r="AA2097" s="75" t="str">
        <f>IF(AND(MONTH(E2097)='IN-NX'!$J$5,'IN-NX'!$D$7=D2097),"x","")</f>
        <v/>
      </c>
      <c r="AB2097" s="75" t="str">
        <f>IF(AND(OR(LEFT(TH!N2097,2)="15",LEFT(TH!O2097,2)="15"),LEFT(TH!O2097,3)&lt;&gt;"111",'152-CT'!$J$8=TH!F2097),"x","")</f>
        <v/>
      </c>
      <c r="AC2097" s="75" t="str">
        <f>IF(AND(OR(LEFT(TH!N2097,2)="15",LEFT(TH!O2097,2)="15"),TK!$E$7=TH!F2097),"x","")</f>
        <v/>
      </c>
      <c r="AD2097" s="75" t="str">
        <f>IF(AND(N2097="1521",MONTH(C2097)='BK-NL'!$M$11),"x","")</f>
        <v/>
      </c>
      <c r="AE2097" s="1053">
        <v>10</v>
      </c>
    </row>
    <row r="2098" spans="1:31" s="1053" customFormat="1" ht="16.5" customHeight="1">
      <c r="A2098" s="309" t="str">
        <f>IF(B2098&lt;&gt;"",IF(AND(B2098='IN-TC'!$S$4,OR(TH!N2098="1111",TH!O2098="1111")),TH!D2098,""),"")</f>
        <v/>
      </c>
      <c r="B2098" s="1244">
        <f t="shared" si="631"/>
        <v>10</v>
      </c>
      <c r="C2098" s="292">
        <v>43021</v>
      </c>
      <c r="D2098" s="292" t="s">
        <v>1357</v>
      </c>
      <c r="E2098" s="292">
        <f t="shared" si="632"/>
        <v>43021</v>
      </c>
      <c r="F2098" s="67" t="s">
        <v>1257</v>
      </c>
      <c r="G2098" s="925" t="s">
        <v>2297</v>
      </c>
      <c r="H2098" s="311" t="s">
        <v>560</v>
      </c>
      <c r="I2098" s="373">
        <v>6750</v>
      </c>
      <c r="J2098" s="379">
        <v>14728</v>
      </c>
      <c r="K2098" s="373"/>
      <c r="L2098" s="379"/>
      <c r="M2098" s="927">
        <f>I2098*J2098</f>
        <v>99414000</v>
      </c>
      <c r="N2098" s="295" t="s">
        <v>266</v>
      </c>
      <c r="O2098" s="295" t="s">
        <v>8</v>
      </c>
      <c r="P2098" s="75" t="str">
        <f>IF(AND('331-CT'!$E$7=TH!H2098,OR(N2098="331",O2098="331")),"x","")</f>
        <v/>
      </c>
      <c r="Q2098" s="75" t="str">
        <f>IF(AND(B2098='111'!$L$11,OR($N2098=$Q$7,$O2098=$Q$7)),"x","")</f>
        <v/>
      </c>
      <c r="R2098" s="75" t="str">
        <f>IF(AND($N2098=$Q$7,$B2098&lt;'111'!$L$11),"x","")</f>
        <v/>
      </c>
      <c r="S2098" s="75" t="str">
        <f>IF(AND($O2098=$Q$7,$B2098&lt;'111'!$L$11),"x","")</f>
        <v/>
      </c>
      <c r="T2098" s="75" t="str">
        <f>IF(ISERROR(FIND('112'!$M$9,G2098,1)),"",IF((AND(FIND('112'!$M$9,G2098,1)&gt;=1,B2098='112'!$K$9,OR($N2098='112'!$I$6,$O2098='112'!$I$6))),"x",""))</f>
        <v/>
      </c>
      <c r="U2098" s="75" t="str">
        <f>IF(ISERROR(FIND('112'!$M$9,G2098,1)),"",IF((AND(LEFT(G2098,2)=LEFT('112'!$M$9,2),B2098&lt;'112'!$K$9,$N2098='112'!$I$6)),"x",""))</f>
        <v/>
      </c>
      <c r="V2098" s="75" t="str">
        <f>IF(ISERROR(FIND('112'!$M$9,G2098,1)),"",IF((AND(RIGHT(G2098,2)=RIGHT('112'!$M$9,2),B2098&lt;'112'!$K$9,$O2098='112'!$I$6)),"x",""))</f>
        <v/>
      </c>
      <c r="W2098" s="75" t="str">
        <f>IF(AND('341-CT'!$H$9=H2098,OR(LEFT(N2098,3)=$W$7,LEFT(O2098,3)=$W$7)),"x","")</f>
        <v/>
      </c>
      <c r="X2098" s="75" t="str">
        <f>IF(OR(TH!N2098=TH!$X$7,O2098=TH!$X$7),"x","")</f>
        <v/>
      </c>
      <c r="Y2098" s="75" t="str">
        <f>IF(AND(OR(N2098="131",O2098="131"),H2098='131-CT'!$H$9),"x","")</f>
        <v/>
      </c>
      <c r="Z2098" s="75"/>
      <c r="AA2098" s="75" t="str">
        <f>IF(AND(MONTH(E2098)='IN-NX'!$J$5,'IN-NX'!$D$7=D2098),"x","")</f>
        <v/>
      </c>
      <c r="AB2098" s="75" t="str">
        <f>IF(AND(OR(LEFT(TH!N2098,2)="15",LEFT(TH!O2098,2)="15"),LEFT(TH!O2098,3)&lt;&gt;"111",'152-CT'!$J$8=TH!F2098),"x","")</f>
        <v/>
      </c>
      <c r="AC2098" s="75" t="str">
        <f>IF(AND(OR(LEFT(TH!N2098,2)="15",LEFT(TH!O2098,2)="15"),TK!$E$7=TH!F2098),"x","")</f>
        <v/>
      </c>
      <c r="AD2098" s="75" t="str">
        <f>IF(AND(N2098="1521",MONTH(C2098)='BK-NL'!$M$11),"x","")</f>
        <v/>
      </c>
      <c r="AE2098" s="1053">
        <v>10</v>
      </c>
    </row>
    <row r="2099" spans="1:31" s="1053" customFormat="1" ht="16.5" customHeight="1">
      <c r="A2099" s="309" t="str">
        <f>IF(B2099&lt;&gt;"",IF(AND(B2099='IN-TC'!$S$4,OR(TH!N2099="1111",TH!O2099="1111")),TH!D2099,""),"")</f>
        <v/>
      </c>
      <c r="B2099" s="1244">
        <f t="shared" si="631"/>
        <v>10</v>
      </c>
      <c r="C2099" s="292">
        <v>43021</v>
      </c>
      <c r="D2099" s="292" t="s">
        <v>1357</v>
      </c>
      <c r="E2099" s="292">
        <f t="shared" si="632"/>
        <v>43021</v>
      </c>
      <c r="F2099" s="67" t="s">
        <v>1444</v>
      </c>
      <c r="G2099" s="925" t="s">
        <v>2297</v>
      </c>
      <c r="H2099" s="311" t="s">
        <v>560</v>
      </c>
      <c r="I2099" s="373"/>
      <c r="J2099" s="379"/>
      <c r="K2099" s="373"/>
      <c r="L2099" s="379"/>
      <c r="M2099" s="927">
        <v>9941400</v>
      </c>
      <c r="N2099" s="295" t="s">
        <v>9</v>
      </c>
      <c r="O2099" s="295" t="s">
        <v>8</v>
      </c>
      <c r="P2099" s="75" t="str">
        <f>IF(AND('331-CT'!$E$7=TH!H2099,OR(N2099="331",O2099="331")),"x","")</f>
        <v/>
      </c>
      <c r="Q2099" s="75" t="str">
        <f>IF(AND(B2099='111'!$L$11,OR($N2099=$Q$7,$O2099=$Q$7)),"x","")</f>
        <v/>
      </c>
      <c r="R2099" s="75" t="str">
        <f>IF(AND($N2099=$Q$7,$B2099&lt;'111'!$L$11),"x","")</f>
        <v/>
      </c>
      <c r="S2099" s="75" t="str">
        <f>IF(AND($O2099=$Q$7,$B2099&lt;'111'!$L$11),"x","")</f>
        <v/>
      </c>
      <c r="T2099" s="75" t="str">
        <f>IF(ISERROR(FIND('112'!$M$9,G2099,1)),"",IF((AND(FIND('112'!$M$9,G2099,1)&gt;=1,B2099='112'!$K$9,OR($N2099='112'!$I$6,$O2099='112'!$I$6))),"x",""))</f>
        <v/>
      </c>
      <c r="U2099" s="75" t="str">
        <f>IF(ISERROR(FIND('112'!$M$9,G2099,1)),"",IF((AND(LEFT(G2099,2)=LEFT('112'!$M$9,2),B2099&lt;'112'!$K$9,$N2099='112'!$I$6)),"x",""))</f>
        <v/>
      </c>
      <c r="V2099" s="75" t="str">
        <f>IF(ISERROR(FIND('112'!$M$9,G2099,1)),"",IF((AND(RIGHT(G2099,2)=RIGHT('112'!$M$9,2),B2099&lt;'112'!$K$9,$O2099='112'!$I$6)),"x",""))</f>
        <v/>
      </c>
      <c r="W2099" s="75" t="str">
        <f>IF(AND('341-CT'!$H$9=H2099,OR(LEFT(N2099,3)=$W$7,LEFT(O2099,3)=$W$7)),"x","")</f>
        <v/>
      </c>
      <c r="X2099" s="75" t="str">
        <f>IF(OR(TH!N2099=TH!$X$7,O2099=TH!$X$7),"x","")</f>
        <v/>
      </c>
      <c r="Y2099" s="75" t="str">
        <f>IF(AND(OR(N2099="131",O2099="131"),H2099='131-CT'!$H$9),"x","")</f>
        <v/>
      </c>
      <c r="Z2099" s="75"/>
      <c r="AA2099" s="75" t="str">
        <f>IF(AND(MONTH(E2099)='IN-NX'!$J$5,'IN-NX'!$D$7=D2099),"x","")</f>
        <v/>
      </c>
      <c r="AB2099" s="75" t="str">
        <f>IF(AND(OR(LEFT(TH!N2099,2)="15",LEFT(TH!O2099,2)="15"),LEFT(TH!O2099,3)&lt;&gt;"111",'152-CT'!$J$8=TH!F2099),"x","")</f>
        <v/>
      </c>
      <c r="AC2099" s="75" t="str">
        <f>IF(AND(OR(LEFT(TH!N2099,2)="15",LEFT(TH!O2099,2)="15"),TK!$E$7=TH!F2099),"x","")</f>
        <v/>
      </c>
      <c r="AD2099" s="75" t="str">
        <f>IF(AND(N2099="1521",MONTH(C2099)='BK-NL'!$M$11),"x","")</f>
        <v/>
      </c>
      <c r="AE2099" s="1053">
        <v>10</v>
      </c>
    </row>
    <row r="2100" spans="1:31" s="1053" customFormat="1" ht="17.25" customHeight="1">
      <c r="A2100" s="309" t="str">
        <f>IF(B2100&lt;&gt;"",IF(AND(B2100='IN-TC'!$S$4,OR(TH!N2100="1111",TH!O2100="1111")),TH!D2100,""),"")</f>
        <v/>
      </c>
      <c r="B2100" s="1244">
        <f t="shared" si="631"/>
        <v>10</v>
      </c>
      <c r="C2100" s="292">
        <v>43023</v>
      </c>
      <c r="D2100" s="292" t="s">
        <v>1358</v>
      </c>
      <c r="E2100" s="292">
        <f t="shared" si="632"/>
        <v>43023</v>
      </c>
      <c r="F2100" s="67" t="s">
        <v>795</v>
      </c>
      <c r="G2100" s="925" t="s">
        <v>2597</v>
      </c>
      <c r="H2100" s="311" t="s">
        <v>1684</v>
      </c>
      <c r="I2100" s="373">
        <v>3045</v>
      </c>
      <c r="J2100" s="379">
        <v>5900</v>
      </c>
      <c r="K2100" s="373"/>
      <c r="L2100" s="379"/>
      <c r="M2100" s="927">
        <f>I2100*J2100</f>
        <v>17965500</v>
      </c>
      <c r="N2100" s="295" t="s">
        <v>266</v>
      </c>
      <c r="O2100" s="295" t="s">
        <v>8</v>
      </c>
      <c r="P2100" s="75" t="str">
        <f>IF(AND('331-CT'!$E$7=TH!H2100,OR(N2100="331",O2100="331")),"x","")</f>
        <v/>
      </c>
      <c r="Q2100" s="75" t="str">
        <f>IF(AND(B2100='111'!$L$11,OR($N2100=$Q$7,$O2100=$Q$7)),"x","")</f>
        <v/>
      </c>
      <c r="R2100" s="75" t="str">
        <f>IF(AND($N2100=$Q$7,$B2100&lt;'111'!$L$11),"x","")</f>
        <v/>
      </c>
      <c r="S2100" s="75" t="str">
        <f>IF(AND($O2100=$Q$7,$B2100&lt;'111'!$L$11),"x","")</f>
        <v/>
      </c>
      <c r="T2100" s="75" t="str">
        <f>IF(ISERROR(FIND('112'!$M$9,G2100,1)),"",IF((AND(FIND('112'!$M$9,G2100,1)&gt;=1,B2100='112'!$K$9,OR($N2100='112'!$I$6,$O2100='112'!$I$6))),"x",""))</f>
        <v/>
      </c>
      <c r="U2100" s="75" t="str">
        <f>IF(ISERROR(FIND('112'!$M$9,G2100,1)),"",IF((AND(LEFT(G2100,2)=LEFT('112'!$M$9,2),B2100&lt;'112'!$K$9,$N2100='112'!$I$6)),"x",""))</f>
        <v/>
      </c>
      <c r="V2100" s="75" t="str">
        <f>IF(ISERROR(FIND('112'!$M$9,G2100,1)),"",IF((AND(RIGHT(G2100,2)=RIGHT('112'!$M$9,2),B2100&lt;'112'!$K$9,$O2100='112'!$I$6)),"x",""))</f>
        <v/>
      </c>
      <c r="W2100" s="75" t="str">
        <f>IF(AND('341-CT'!$H$9=H2100,OR(LEFT(N2100,3)=$W$7,LEFT(O2100,3)=$W$7)),"x","")</f>
        <v/>
      </c>
      <c r="X2100" s="75" t="str">
        <f>IF(OR(TH!N2100=TH!$X$7,O2100=TH!$X$7),"x","")</f>
        <v/>
      </c>
      <c r="Y2100" s="75" t="str">
        <f>IF(AND(OR(N2100="131",O2100="131"),H2100='131-CT'!$H$9),"x","")</f>
        <v/>
      </c>
      <c r="Z2100" s="75"/>
      <c r="AA2100" s="75" t="str">
        <f>IF(AND(MONTH(E2100)='IN-NX'!$J$5,'IN-NX'!$D$7=D2100),"x","")</f>
        <v/>
      </c>
      <c r="AB2100" s="75" t="str">
        <f>IF(AND(OR(LEFT(TH!N2100,2)="15",LEFT(TH!O2100,2)="15"),LEFT(TH!O2100,3)&lt;&gt;"111",'152-CT'!$J$8=TH!F2100),"x","")</f>
        <v/>
      </c>
      <c r="AC2100" s="75" t="str">
        <f>IF(AND(OR(LEFT(TH!N2100,2)="15",LEFT(TH!O2100,2)="15"),TK!$E$7=TH!F2100),"x","")</f>
        <v/>
      </c>
      <c r="AD2100" s="75" t="str">
        <f>IF(AND(N2100="1521",MONTH(C2100)='BK-NL'!$M$11),"x","")</f>
        <v/>
      </c>
      <c r="AE2100" s="1053">
        <v>11</v>
      </c>
    </row>
    <row r="2101" spans="1:31" s="1053" customFormat="1" ht="17.25" customHeight="1">
      <c r="A2101" s="309" t="str">
        <f>IF(B2101&lt;&gt;"",IF(AND(B2101='IN-TC'!$S$4,OR(TH!N2101="1111",TH!O2101="1111")),TH!D2101,""),"")</f>
        <v/>
      </c>
      <c r="B2101" s="1244">
        <f t="shared" si="631"/>
        <v>10</v>
      </c>
      <c r="C2101" s="292">
        <v>43023</v>
      </c>
      <c r="D2101" s="292" t="s">
        <v>1358</v>
      </c>
      <c r="E2101" s="292">
        <f t="shared" si="632"/>
        <v>43023</v>
      </c>
      <c r="F2101" s="67" t="s">
        <v>1143</v>
      </c>
      <c r="G2101" s="925" t="s">
        <v>2597</v>
      </c>
      <c r="H2101" s="311" t="s">
        <v>1684</v>
      </c>
      <c r="I2101" s="373"/>
      <c r="J2101" s="379"/>
      <c r="K2101" s="373"/>
      <c r="L2101" s="379"/>
      <c r="M2101" s="927">
        <v>1796550</v>
      </c>
      <c r="N2101" s="295" t="s">
        <v>9</v>
      </c>
      <c r="O2101" s="295" t="s">
        <v>8</v>
      </c>
      <c r="P2101" s="75" t="str">
        <f>IF(AND('331-CT'!$E$7=TH!H2101,OR(N2101="331",O2101="331")),"x","")</f>
        <v/>
      </c>
      <c r="Q2101" s="75" t="str">
        <f>IF(AND(B2101='111'!$L$11,OR($N2101=$Q$7,$O2101=$Q$7)),"x","")</f>
        <v/>
      </c>
      <c r="R2101" s="75" t="str">
        <f>IF(AND($N2101=$Q$7,$B2101&lt;'111'!$L$11),"x","")</f>
        <v/>
      </c>
      <c r="S2101" s="75" t="str">
        <f>IF(AND($O2101=$Q$7,$B2101&lt;'111'!$L$11),"x","")</f>
        <v/>
      </c>
      <c r="T2101" s="75" t="str">
        <f>IF(ISERROR(FIND('112'!$M$9,G2101,1)),"",IF((AND(FIND('112'!$M$9,G2101,1)&gt;=1,B2101='112'!$K$9,OR($N2101='112'!$I$6,$O2101='112'!$I$6))),"x",""))</f>
        <v/>
      </c>
      <c r="U2101" s="75" t="str">
        <f>IF(ISERROR(FIND('112'!$M$9,G2101,1)),"",IF((AND(LEFT(G2101,2)=LEFT('112'!$M$9,2),B2101&lt;'112'!$K$9,$N2101='112'!$I$6)),"x",""))</f>
        <v/>
      </c>
      <c r="V2101" s="75" t="str">
        <f>IF(ISERROR(FIND('112'!$M$9,G2101,1)),"",IF((AND(RIGHT(G2101,2)=RIGHT('112'!$M$9,2),B2101&lt;'112'!$K$9,$O2101='112'!$I$6)),"x",""))</f>
        <v/>
      </c>
      <c r="W2101" s="75" t="str">
        <f>IF(AND('341-CT'!$H$9=H2101,OR(LEFT(N2101,3)=$W$7,LEFT(O2101,3)=$W$7)),"x","")</f>
        <v/>
      </c>
      <c r="X2101" s="75" t="str">
        <f>IF(OR(TH!N2101=TH!$X$7,O2101=TH!$X$7),"x","")</f>
        <v/>
      </c>
      <c r="Y2101" s="75" t="str">
        <f>IF(AND(OR(N2101="131",O2101="131"),H2101='131-CT'!$H$9),"x","")</f>
        <v/>
      </c>
      <c r="Z2101" s="75"/>
      <c r="AA2101" s="75" t="str">
        <f>IF(AND(MONTH(E2101)='IN-NX'!$J$5,'IN-NX'!$D$7=D2101),"x","")</f>
        <v/>
      </c>
      <c r="AB2101" s="75" t="str">
        <f>IF(AND(OR(LEFT(TH!N2101,2)="15",LEFT(TH!O2101,2)="15"),LEFT(TH!O2101,3)&lt;&gt;"111",'152-CT'!$J$8=TH!F2101),"x","")</f>
        <v/>
      </c>
      <c r="AC2101" s="75" t="str">
        <f>IF(AND(OR(LEFT(TH!N2101,2)="15",LEFT(TH!O2101,2)="15"),TK!$E$7=TH!F2101),"x","")</f>
        <v/>
      </c>
      <c r="AD2101" s="75" t="str">
        <f>IF(AND(N2101="1521",MONTH(C2101)='BK-NL'!$M$11),"x","")</f>
        <v/>
      </c>
      <c r="AE2101" s="1053">
        <v>11</v>
      </c>
    </row>
    <row r="2102" spans="1:31" s="1053" customFormat="1" ht="17.25" customHeight="1">
      <c r="A2102" s="309" t="str">
        <f>IF(B2102&lt;&gt;"",IF(AND(B2102='IN-TC'!$S$4,OR(TH!N2102="1111",TH!O2102="1111")),TH!D2102,""),"")</f>
        <v/>
      </c>
      <c r="B2102" s="1244">
        <f t="shared" ref="B2102:B2103" si="635">IF(C2102&lt;&gt;"",MONTH(C2102),"")</f>
        <v>10</v>
      </c>
      <c r="C2102" s="292">
        <v>43024</v>
      </c>
      <c r="D2102" s="292" t="s">
        <v>1359</v>
      </c>
      <c r="E2102" s="292">
        <f t="shared" ref="E2102:E2103" si="636">C2102</f>
        <v>43024</v>
      </c>
      <c r="F2102" s="67" t="s">
        <v>795</v>
      </c>
      <c r="G2102" s="925" t="s">
        <v>2598</v>
      </c>
      <c r="H2102" s="311" t="s">
        <v>1684</v>
      </c>
      <c r="I2102" s="373">
        <v>3045</v>
      </c>
      <c r="J2102" s="379">
        <v>5900</v>
      </c>
      <c r="K2102" s="373"/>
      <c r="L2102" s="379"/>
      <c r="M2102" s="927">
        <f>I2102*J2102</f>
        <v>17965500</v>
      </c>
      <c r="N2102" s="295" t="s">
        <v>266</v>
      </c>
      <c r="O2102" s="295" t="s">
        <v>8</v>
      </c>
      <c r="P2102" s="75" t="str">
        <f>IF(AND('331-CT'!$E$7=TH!H2102,OR(N2102="331",O2102="331")),"x","")</f>
        <v/>
      </c>
      <c r="Q2102" s="75" t="str">
        <f>IF(AND(B2102='111'!$L$11,OR($N2102=$Q$7,$O2102=$Q$7)),"x","")</f>
        <v/>
      </c>
      <c r="R2102" s="75" t="str">
        <f>IF(AND($N2102=$Q$7,$B2102&lt;'111'!$L$11),"x","")</f>
        <v/>
      </c>
      <c r="S2102" s="75" t="str">
        <f>IF(AND($O2102=$Q$7,$B2102&lt;'111'!$L$11),"x","")</f>
        <v/>
      </c>
      <c r="T2102" s="75" t="str">
        <f>IF(ISERROR(FIND('112'!$M$9,G2102,1)),"",IF((AND(FIND('112'!$M$9,G2102,1)&gt;=1,B2102='112'!$K$9,OR($N2102='112'!$I$6,$O2102='112'!$I$6))),"x",""))</f>
        <v/>
      </c>
      <c r="U2102" s="75" t="str">
        <f>IF(ISERROR(FIND('112'!$M$9,G2102,1)),"",IF((AND(LEFT(G2102,2)=LEFT('112'!$M$9,2),B2102&lt;'112'!$K$9,$N2102='112'!$I$6)),"x",""))</f>
        <v/>
      </c>
      <c r="V2102" s="75" t="str">
        <f>IF(ISERROR(FIND('112'!$M$9,G2102,1)),"",IF((AND(RIGHT(G2102,2)=RIGHT('112'!$M$9,2),B2102&lt;'112'!$K$9,$O2102='112'!$I$6)),"x",""))</f>
        <v/>
      </c>
      <c r="W2102" s="75" t="str">
        <f>IF(AND('341-CT'!$H$9=H2102,OR(LEFT(N2102,3)=$W$7,LEFT(O2102,3)=$W$7)),"x","")</f>
        <v/>
      </c>
      <c r="X2102" s="75" t="str">
        <f>IF(OR(TH!N2102=TH!$X$7,O2102=TH!$X$7),"x","")</f>
        <v/>
      </c>
      <c r="Y2102" s="75" t="str">
        <f>IF(AND(OR(N2102="131",O2102="131"),H2102='131-CT'!$H$9),"x","")</f>
        <v/>
      </c>
      <c r="Z2102" s="75"/>
      <c r="AA2102" s="75" t="str">
        <f>IF(AND(MONTH(E2102)='IN-NX'!$J$5,'IN-NX'!$D$7=D2102),"x","")</f>
        <v/>
      </c>
      <c r="AB2102" s="75" t="str">
        <f>IF(AND(OR(LEFT(TH!N2102,2)="15",LEFT(TH!O2102,2)="15"),LEFT(TH!O2102,3)&lt;&gt;"111",'152-CT'!$J$8=TH!F2102),"x","")</f>
        <v/>
      </c>
      <c r="AC2102" s="75" t="str">
        <f>IF(AND(OR(LEFT(TH!N2102,2)="15",LEFT(TH!O2102,2)="15"),TK!$E$7=TH!F2102),"x","")</f>
        <v/>
      </c>
      <c r="AD2102" s="75" t="str">
        <f>IF(AND(N2102="1521",MONTH(C2102)='BK-NL'!$M$11),"x","")</f>
        <v/>
      </c>
      <c r="AE2102" s="1053">
        <v>11</v>
      </c>
    </row>
    <row r="2103" spans="1:31" s="1053" customFormat="1" ht="17.25" customHeight="1">
      <c r="A2103" s="309" t="str">
        <f>IF(B2103&lt;&gt;"",IF(AND(B2103='IN-TC'!$S$4,OR(TH!N2103="1111",TH!O2103="1111")),TH!D2103,""),"")</f>
        <v/>
      </c>
      <c r="B2103" s="1244">
        <f t="shared" si="635"/>
        <v>10</v>
      </c>
      <c r="C2103" s="292">
        <v>43024</v>
      </c>
      <c r="D2103" s="292" t="s">
        <v>1359</v>
      </c>
      <c r="E2103" s="292">
        <f t="shared" si="636"/>
        <v>43024</v>
      </c>
      <c r="F2103" s="67" t="s">
        <v>1143</v>
      </c>
      <c r="G2103" s="925" t="s">
        <v>2598</v>
      </c>
      <c r="H2103" s="311" t="s">
        <v>1684</v>
      </c>
      <c r="I2103" s="373"/>
      <c r="J2103" s="379"/>
      <c r="K2103" s="373"/>
      <c r="L2103" s="379"/>
      <c r="M2103" s="927">
        <v>1796550</v>
      </c>
      <c r="N2103" s="295" t="s">
        <v>9</v>
      </c>
      <c r="O2103" s="295" t="s">
        <v>8</v>
      </c>
      <c r="P2103" s="75" t="str">
        <f>IF(AND('331-CT'!$E$7=TH!H2103,OR(N2103="331",O2103="331")),"x","")</f>
        <v/>
      </c>
      <c r="Q2103" s="75" t="str">
        <f>IF(AND(B2103='111'!$L$11,OR($N2103=$Q$7,$O2103=$Q$7)),"x","")</f>
        <v/>
      </c>
      <c r="R2103" s="75" t="str">
        <f>IF(AND($N2103=$Q$7,$B2103&lt;'111'!$L$11),"x","")</f>
        <v/>
      </c>
      <c r="S2103" s="75" t="str">
        <f>IF(AND($O2103=$Q$7,$B2103&lt;'111'!$L$11),"x","")</f>
        <v/>
      </c>
      <c r="T2103" s="75" t="str">
        <f>IF(ISERROR(FIND('112'!$M$9,G2103,1)),"",IF((AND(FIND('112'!$M$9,G2103,1)&gt;=1,B2103='112'!$K$9,OR($N2103='112'!$I$6,$O2103='112'!$I$6))),"x",""))</f>
        <v/>
      </c>
      <c r="U2103" s="75" t="str">
        <f>IF(ISERROR(FIND('112'!$M$9,G2103,1)),"",IF((AND(LEFT(G2103,2)=LEFT('112'!$M$9,2),B2103&lt;'112'!$K$9,$N2103='112'!$I$6)),"x",""))</f>
        <v/>
      </c>
      <c r="V2103" s="75" t="str">
        <f>IF(ISERROR(FIND('112'!$M$9,G2103,1)),"",IF((AND(RIGHT(G2103,2)=RIGHT('112'!$M$9,2),B2103&lt;'112'!$K$9,$O2103='112'!$I$6)),"x",""))</f>
        <v/>
      </c>
      <c r="W2103" s="75" t="str">
        <f>IF(AND('341-CT'!$H$9=H2103,OR(LEFT(N2103,3)=$W$7,LEFT(O2103,3)=$W$7)),"x","")</f>
        <v/>
      </c>
      <c r="X2103" s="75" t="str">
        <f>IF(OR(TH!N2103=TH!$X$7,O2103=TH!$X$7),"x","")</f>
        <v/>
      </c>
      <c r="Y2103" s="75" t="str">
        <f>IF(AND(OR(N2103="131",O2103="131"),H2103='131-CT'!$H$9),"x","")</f>
        <v/>
      </c>
      <c r="Z2103" s="75"/>
      <c r="AA2103" s="75" t="str">
        <f>IF(AND(MONTH(E2103)='IN-NX'!$J$5,'IN-NX'!$D$7=D2103),"x","")</f>
        <v/>
      </c>
      <c r="AB2103" s="75" t="str">
        <f>IF(AND(OR(LEFT(TH!N2103,2)="15",LEFT(TH!O2103,2)="15"),LEFT(TH!O2103,3)&lt;&gt;"111",'152-CT'!$J$8=TH!F2103),"x","")</f>
        <v/>
      </c>
      <c r="AC2103" s="75" t="str">
        <f>IF(AND(OR(LEFT(TH!N2103,2)="15",LEFT(TH!O2103,2)="15"),TK!$E$7=TH!F2103),"x","")</f>
        <v/>
      </c>
      <c r="AD2103" s="75" t="str">
        <f>IF(AND(N2103="1521",MONTH(C2103)='BK-NL'!$M$11),"x","")</f>
        <v/>
      </c>
      <c r="AE2103" s="1053">
        <v>11</v>
      </c>
    </row>
    <row r="2104" spans="1:31" s="1053" customFormat="1" ht="16.5" customHeight="1">
      <c r="A2104" s="309" t="str">
        <f>IF(B2104&lt;&gt;"",IF(AND(B2104='IN-TC'!$S$4,OR(TH!N2104="1111",TH!O2104="1111")),TH!D2104,""),"")</f>
        <v/>
      </c>
      <c r="B2104" s="1244">
        <f t="shared" si="631"/>
        <v>10</v>
      </c>
      <c r="C2104" s="292">
        <v>43026</v>
      </c>
      <c r="D2104" s="292" t="s">
        <v>1360</v>
      </c>
      <c r="E2104" s="292">
        <f t="shared" si="632"/>
        <v>43026</v>
      </c>
      <c r="F2104" s="432" t="s">
        <v>381</v>
      </c>
      <c r="G2104" s="925" t="s">
        <v>2344</v>
      </c>
      <c r="H2104" s="311" t="s">
        <v>558</v>
      </c>
      <c r="I2104" s="373">
        <v>213</v>
      </c>
      <c r="J2104" s="379">
        <v>16500</v>
      </c>
      <c r="K2104" s="373"/>
      <c r="L2104" s="379"/>
      <c r="M2104" s="927">
        <f t="shared" ref="M2104:M2112" si="637">I2104*J2104</f>
        <v>3514500</v>
      </c>
      <c r="N2104" s="295" t="s">
        <v>266</v>
      </c>
      <c r="O2104" s="295" t="s">
        <v>8</v>
      </c>
      <c r="P2104" s="75" t="str">
        <f>IF(AND('331-CT'!$E$7=TH!H2104,OR(N2104="331",O2104="331")),"x","")</f>
        <v/>
      </c>
      <c r="Q2104" s="75" t="str">
        <f>IF(AND(B2104='111'!$L$11,OR($N2104=$Q$7,$O2104=$Q$7)),"x","")</f>
        <v/>
      </c>
      <c r="R2104" s="75" t="str">
        <f>IF(AND($N2104=$Q$7,$B2104&lt;'111'!$L$11),"x","")</f>
        <v/>
      </c>
      <c r="S2104" s="75" t="str">
        <f>IF(AND($O2104=$Q$7,$B2104&lt;'111'!$L$11),"x","")</f>
        <v/>
      </c>
      <c r="T2104" s="75" t="str">
        <f>IF(ISERROR(FIND('112'!$M$9,G2104,1)),"",IF((AND(FIND('112'!$M$9,G2104,1)&gt;=1,B2104='112'!$K$9,OR($N2104='112'!$I$6,$O2104='112'!$I$6))),"x",""))</f>
        <v/>
      </c>
      <c r="U2104" s="75" t="str">
        <f>IF(ISERROR(FIND('112'!$M$9,G2104,1)),"",IF((AND(LEFT(G2104,2)=LEFT('112'!$M$9,2),B2104&lt;'112'!$K$9,$N2104='112'!$I$6)),"x",""))</f>
        <v/>
      </c>
      <c r="V2104" s="75" t="str">
        <f>IF(ISERROR(FIND('112'!$M$9,G2104,1)),"",IF((AND(RIGHT(G2104,2)=RIGHT('112'!$M$9,2),B2104&lt;'112'!$K$9,$O2104='112'!$I$6)),"x",""))</f>
        <v/>
      </c>
      <c r="W2104" s="75" t="str">
        <f>IF(AND('341-CT'!$H$9=H2104,OR(LEFT(N2104,3)=$W$7,LEFT(O2104,3)=$W$7)),"x","")</f>
        <v/>
      </c>
      <c r="X2104" s="75" t="str">
        <f>IF(OR(TH!N2104=TH!$X$7,O2104=TH!$X$7),"x","")</f>
        <v/>
      </c>
      <c r="Y2104" s="75" t="str">
        <f>IF(AND(OR(N2104="131",O2104="131"),H2104='131-CT'!$H$9),"x","")</f>
        <v/>
      </c>
      <c r="Z2104" s="75"/>
      <c r="AA2104" s="75" t="str">
        <f>IF(AND(MONTH(E2104)='IN-NX'!$J$5,'IN-NX'!$D$7=D2104),"x","")</f>
        <v/>
      </c>
      <c r="AB2104" s="75" t="str">
        <f>IF(AND(OR(LEFT(TH!N2104,2)="15",LEFT(TH!O2104,2)="15"),LEFT(TH!O2104,3)&lt;&gt;"111",'152-CT'!$J$8=TH!F2104),"x","")</f>
        <v/>
      </c>
      <c r="AC2104" s="75" t="str">
        <f>IF(AND(OR(LEFT(TH!N2104,2)="15",LEFT(TH!O2104,2)="15"),TK!$E$7=TH!F2104),"x","")</f>
        <v/>
      </c>
      <c r="AD2104" s="75" t="str">
        <f>IF(AND(N2104="1521",MONTH(C2104)='BK-NL'!$M$11),"x","")</f>
        <v/>
      </c>
      <c r="AE2104" s="1053">
        <v>10</v>
      </c>
    </row>
    <row r="2105" spans="1:31" s="1053" customFormat="1" ht="16.5" customHeight="1">
      <c r="A2105" s="309" t="str">
        <f>IF(B2105&lt;&gt;"",IF(AND(B2105='IN-TC'!$S$4,OR(TH!N2105="1111",TH!O2105="1111")),TH!D2105,""),"")</f>
        <v/>
      </c>
      <c r="B2105" s="1244">
        <f t="shared" si="631"/>
        <v>10</v>
      </c>
      <c r="C2105" s="292">
        <v>43026</v>
      </c>
      <c r="D2105" s="292" t="s">
        <v>1360</v>
      </c>
      <c r="E2105" s="292">
        <f t="shared" si="632"/>
        <v>43026</v>
      </c>
      <c r="F2105" s="432" t="s">
        <v>371</v>
      </c>
      <c r="G2105" s="925" t="s">
        <v>2344</v>
      </c>
      <c r="H2105" s="311" t="s">
        <v>558</v>
      </c>
      <c r="I2105" s="373">
        <v>436</v>
      </c>
      <c r="J2105" s="379">
        <v>18500</v>
      </c>
      <c r="K2105" s="373"/>
      <c r="L2105" s="379"/>
      <c r="M2105" s="927">
        <f t="shared" si="637"/>
        <v>8066000</v>
      </c>
      <c r="N2105" s="295" t="s">
        <v>266</v>
      </c>
      <c r="O2105" s="295" t="s">
        <v>8</v>
      </c>
      <c r="P2105" s="75" t="str">
        <f>IF(AND('331-CT'!$E$7=TH!H2105,OR(N2105="331",O2105="331")),"x","")</f>
        <v/>
      </c>
      <c r="Q2105" s="75" t="str">
        <f>IF(AND(B2105='111'!$L$11,OR($N2105=$Q$7,$O2105=$Q$7)),"x","")</f>
        <v/>
      </c>
      <c r="R2105" s="75" t="str">
        <f>IF(AND($N2105=$Q$7,$B2105&lt;'111'!$L$11),"x","")</f>
        <v/>
      </c>
      <c r="S2105" s="75" t="str">
        <f>IF(AND($O2105=$Q$7,$B2105&lt;'111'!$L$11),"x","")</f>
        <v/>
      </c>
      <c r="T2105" s="75" t="str">
        <f>IF(ISERROR(FIND('112'!$M$9,G2105,1)),"",IF((AND(FIND('112'!$M$9,G2105,1)&gt;=1,B2105='112'!$K$9,OR($N2105='112'!$I$6,$O2105='112'!$I$6))),"x",""))</f>
        <v/>
      </c>
      <c r="U2105" s="75" t="str">
        <f>IF(ISERROR(FIND('112'!$M$9,G2105,1)),"",IF((AND(LEFT(G2105,2)=LEFT('112'!$M$9,2),B2105&lt;'112'!$K$9,$N2105='112'!$I$6)),"x",""))</f>
        <v/>
      </c>
      <c r="V2105" s="75" t="str">
        <f>IF(ISERROR(FIND('112'!$M$9,G2105,1)),"",IF((AND(RIGHT(G2105,2)=RIGHT('112'!$M$9,2),B2105&lt;'112'!$K$9,$O2105='112'!$I$6)),"x",""))</f>
        <v/>
      </c>
      <c r="W2105" s="75" t="str">
        <f>IF(AND('341-CT'!$H$9=H2105,OR(LEFT(N2105,3)=$W$7,LEFT(O2105,3)=$W$7)),"x","")</f>
        <v/>
      </c>
      <c r="X2105" s="75" t="str">
        <f>IF(OR(TH!N2105=TH!$X$7,O2105=TH!$X$7),"x","")</f>
        <v/>
      </c>
      <c r="Y2105" s="75" t="str">
        <f>IF(AND(OR(N2105="131",O2105="131"),H2105='131-CT'!$H$9),"x","")</f>
        <v/>
      </c>
      <c r="Z2105" s="75"/>
      <c r="AA2105" s="75" t="str">
        <f>IF(AND(MONTH(E2105)='IN-NX'!$J$5,'IN-NX'!$D$7=D2105),"x","")</f>
        <v/>
      </c>
      <c r="AB2105" s="75" t="str">
        <f>IF(AND(OR(LEFT(TH!N2105,2)="15",LEFT(TH!O2105,2)="15"),LEFT(TH!O2105,3)&lt;&gt;"111",'152-CT'!$J$8=TH!F2105),"x","")</f>
        <v/>
      </c>
      <c r="AC2105" s="75" t="str">
        <f>IF(AND(OR(LEFT(TH!N2105,2)="15",LEFT(TH!O2105,2)="15"),TK!$E$7=TH!F2105),"x","")</f>
        <v/>
      </c>
      <c r="AD2105" s="75" t="str">
        <f>IF(AND(N2105="1521",MONTH(C2105)='BK-NL'!$M$11),"x","")</f>
        <v/>
      </c>
      <c r="AE2105" s="1053">
        <v>10</v>
      </c>
    </row>
    <row r="2106" spans="1:31" s="1053" customFormat="1" ht="16.5" customHeight="1">
      <c r="A2106" s="309" t="str">
        <f>IF(B2106&lt;&gt;"",IF(AND(B2106='IN-TC'!$S$4,OR(TH!N2106="1111",TH!O2106="1111")),TH!D2106,""),"")</f>
        <v/>
      </c>
      <c r="B2106" s="1244">
        <f t="shared" si="631"/>
        <v>10</v>
      </c>
      <c r="C2106" s="292">
        <v>43026</v>
      </c>
      <c r="D2106" s="292" t="s">
        <v>1360</v>
      </c>
      <c r="E2106" s="292">
        <f t="shared" si="632"/>
        <v>43026</v>
      </c>
      <c r="F2106" s="432" t="s">
        <v>2340</v>
      </c>
      <c r="G2106" s="925" t="s">
        <v>2344</v>
      </c>
      <c r="H2106" s="311" t="s">
        <v>558</v>
      </c>
      <c r="I2106" s="373">
        <v>757</v>
      </c>
      <c r="J2106" s="379">
        <v>16000</v>
      </c>
      <c r="K2106" s="373"/>
      <c r="L2106" s="379"/>
      <c r="M2106" s="927">
        <f t="shared" si="637"/>
        <v>12112000</v>
      </c>
      <c r="N2106" s="295" t="s">
        <v>266</v>
      </c>
      <c r="O2106" s="295" t="s">
        <v>8</v>
      </c>
      <c r="P2106" s="75" t="str">
        <f>IF(AND('331-CT'!$E$7=TH!H2106,OR(N2106="331",O2106="331")),"x","")</f>
        <v/>
      </c>
      <c r="Q2106" s="75" t="str">
        <f>IF(AND(B2106='111'!$L$11,OR($N2106=$Q$7,$O2106=$Q$7)),"x","")</f>
        <v/>
      </c>
      <c r="R2106" s="75" t="str">
        <f>IF(AND($N2106=$Q$7,$B2106&lt;'111'!$L$11),"x","")</f>
        <v/>
      </c>
      <c r="S2106" s="75" t="str">
        <f>IF(AND($O2106=$Q$7,$B2106&lt;'111'!$L$11),"x","")</f>
        <v/>
      </c>
      <c r="T2106" s="75" t="str">
        <f>IF(ISERROR(FIND('112'!$M$9,G2106,1)),"",IF((AND(FIND('112'!$M$9,G2106,1)&gt;=1,B2106='112'!$K$9,OR($N2106='112'!$I$6,$O2106='112'!$I$6))),"x",""))</f>
        <v/>
      </c>
      <c r="U2106" s="75" t="str">
        <f>IF(ISERROR(FIND('112'!$M$9,G2106,1)),"",IF((AND(LEFT(G2106,2)=LEFT('112'!$M$9,2),B2106&lt;'112'!$K$9,$N2106='112'!$I$6)),"x",""))</f>
        <v/>
      </c>
      <c r="V2106" s="75" t="str">
        <f>IF(ISERROR(FIND('112'!$M$9,G2106,1)),"",IF((AND(RIGHT(G2106,2)=RIGHT('112'!$M$9,2),B2106&lt;'112'!$K$9,$O2106='112'!$I$6)),"x",""))</f>
        <v/>
      </c>
      <c r="W2106" s="75" t="str">
        <f>IF(AND('341-CT'!$H$9=H2106,OR(LEFT(N2106,3)=$W$7,LEFT(O2106,3)=$W$7)),"x","")</f>
        <v/>
      </c>
      <c r="X2106" s="75" t="str">
        <f>IF(OR(TH!N2106=TH!$X$7,O2106=TH!$X$7),"x","")</f>
        <v/>
      </c>
      <c r="Y2106" s="75" t="str">
        <f>IF(AND(OR(N2106="131",O2106="131"),H2106='131-CT'!$H$9),"x","")</f>
        <v/>
      </c>
      <c r="Z2106" s="75"/>
      <c r="AA2106" s="75" t="str">
        <f>IF(AND(MONTH(E2106)='IN-NX'!$J$5,'IN-NX'!$D$7=D2106),"x","")</f>
        <v/>
      </c>
      <c r="AB2106" s="75" t="str">
        <f>IF(AND(OR(LEFT(TH!N2106,2)="15",LEFT(TH!O2106,2)="15"),LEFT(TH!O2106,3)&lt;&gt;"111",'152-CT'!$J$8=TH!F2106),"x","")</f>
        <v/>
      </c>
      <c r="AC2106" s="75" t="str">
        <f>IF(AND(OR(LEFT(TH!N2106,2)="15",LEFT(TH!O2106,2)="15"),TK!$E$7=TH!F2106),"x","")</f>
        <v/>
      </c>
      <c r="AD2106" s="75" t="str">
        <f>IF(AND(N2106="1521",MONTH(C2106)='BK-NL'!$M$11),"x","")</f>
        <v/>
      </c>
      <c r="AE2106" s="1053">
        <v>10</v>
      </c>
    </row>
    <row r="2107" spans="1:31" s="1053" customFormat="1" ht="16.5" customHeight="1">
      <c r="A2107" s="309" t="str">
        <f>IF(B2107&lt;&gt;"",IF(AND(B2107='IN-TC'!$S$4,OR(TH!N2107="1111",TH!O2107="1111")),TH!D2107,""),"")</f>
        <v/>
      </c>
      <c r="B2107" s="1244">
        <f t="shared" si="631"/>
        <v>10</v>
      </c>
      <c r="C2107" s="292">
        <v>43026</v>
      </c>
      <c r="D2107" s="292" t="s">
        <v>1360</v>
      </c>
      <c r="E2107" s="292">
        <f t="shared" si="632"/>
        <v>43026</v>
      </c>
      <c r="F2107" s="294" t="s">
        <v>781</v>
      </c>
      <c r="G2107" s="925" t="s">
        <v>2344</v>
      </c>
      <c r="H2107" s="311" t="s">
        <v>558</v>
      </c>
      <c r="I2107" s="373">
        <v>652</v>
      </c>
      <c r="J2107" s="379">
        <v>11000</v>
      </c>
      <c r="K2107" s="373"/>
      <c r="L2107" s="379"/>
      <c r="M2107" s="927">
        <f t="shared" si="637"/>
        <v>7172000</v>
      </c>
      <c r="N2107" s="295" t="s">
        <v>266</v>
      </c>
      <c r="O2107" s="295" t="s">
        <v>8</v>
      </c>
      <c r="P2107" s="75" t="str">
        <f>IF(AND('331-CT'!$E$7=TH!H2107,OR(N2107="331",O2107="331")),"x","")</f>
        <v/>
      </c>
      <c r="Q2107" s="75" t="str">
        <f>IF(AND(B2107='111'!$L$11,OR($N2107=$Q$7,$O2107=$Q$7)),"x","")</f>
        <v/>
      </c>
      <c r="R2107" s="75" t="str">
        <f>IF(AND($N2107=$Q$7,$B2107&lt;'111'!$L$11),"x","")</f>
        <v/>
      </c>
      <c r="S2107" s="75" t="str">
        <f>IF(AND($O2107=$Q$7,$B2107&lt;'111'!$L$11),"x","")</f>
        <v/>
      </c>
      <c r="T2107" s="75" t="str">
        <f>IF(ISERROR(FIND('112'!$M$9,G2107,1)),"",IF((AND(FIND('112'!$M$9,G2107,1)&gt;=1,B2107='112'!$K$9,OR($N2107='112'!$I$6,$O2107='112'!$I$6))),"x",""))</f>
        <v/>
      </c>
      <c r="U2107" s="75" t="str">
        <f>IF(ISERROR(FIND('112'!$M$9,G2107,1)),"",IF((AND(LEFT(G2107,2)=LEFT('112'!$M$9,2),B2107&lt;'112'!$K$9,$N2107='112'!$I$6)),"x",""))</f>
        <v/>
      </c>
      <c r="V2107" s="75" t="str">
        <f>IF(ISERROR(FIND('112'!$M$9,G2107,1)),"",IF((AND(RIGHT(G2107,2)=RIGHT('112'!$M$9,2),B2107&lt;'112'!$K$9,$O2107='112'!$I$6)),"x",""))</f>
        <v/>
      </c>
      <c r="W2107" s="75" t="str">
        <f>IF(AND('341-CT'!$H$9=H2107,OR(LEFT(N2107,3)=$W$7,LEFT(O2107,3)=$W$7)),"x","")</f>
        <v/>
      </c>
      <c r="X2107" s="75" t="str">
        <f>IF(OR(TH!N2107=TH!$X$7,O2107=TH!$X$7),"x","")</f>
        <v/>
      </c>
      <c r="Y2107" s="75" t="str">
        <f>IF(AND(OR(N2107="131",O2107="131"),H2107='131-CT'!$H$9),"x","")</f>
        <v/>
      </c>
      <c r="Z2107" s="75"/>
      <c r="AA2107" s="75" t="str">
        <f>IF(AND(MONTH(E2107)='IN-NX'!$J$5,'IN-NX'!$D$7=D2107),"x","")</f>
        <v/>
      </c>
      <c r="AB2107" s="75" t="str">
        <f>IF(AND(OR(LEFT(TH!N2107,2)="15",LEFT(TH!O2107,2)="15"),LEFT(TH!O2107,3)&lt;&gt;"111",'152-CT'!$J$8=TH!F2107),"x","")</f>
        <v/>
      </c>
      <c r="AC2107" s="75" t="str">
        <f>IF(AND(OR(LEFT(TH!N2107,2)="15",LEFT(TH!O2107,2)="15"),TK!$E$7=TH!F2107),"x","")</f>
        <v/>
      </c>
      <c r="AD2107" s="75" t="str">
        <f>IF(AND(N2107="1521",MONTH(C2107)='BK-NL'!$M$11),"x","")</f>
        <v/>
      </c>
      <c r="AE2107" s="1053">
        <v>10</v>
      </c>
    </row>
    <row r="2108" spans="1:31" s="1053" customFormat="1" ht="16.5" customHeight="1">
      <c r="A2108" s="309" t="str">
        <f>IF(B2108&lt;&gt;"",IF(AND(B2108='IN-TC'!$S$4,OR(TH!N2108="1111",TH!O2108="1111")),TH!D2108,""),"")</f>
        <v/>
      </c>
      <c r="B2108" s="1244">
        <f t="shared" si="631"/>
        <v>10</v>
      </c>
      <c r="C2108" s="292">
        <v>43026</v>
      </c>
      <c r="D2108" s="292" t="s">
        <v>1360</v>
      </c>
      <c r="E2108" s="292">
        <f t="shared" si="632"/>
        <v>43026</v>
      </c>
      <c r="F2108" s="67" t="s">
        <v>2341</v>
      </c>
      <c r="G2108" s="925" t="s">
        <v>2344</v>
      </c>
      <c r="H2108" s="311" t="s">
        <v>558</v>
      </c>
      <c r="I2108" s="373">
        <v>132</v>
      </c>
      <c r="J2108" s="379">
        <v>13200</v>
      </c>
      <c r="K2108" s="373"/>
      <c r="L2108" s="379"/>
      <c r="M2108" s="927">
        <f t="shared" si="637"/>
        <v>1742400</v>
      </c>
      <c r="N2108" s="295" t="s">
        <v>266</v>
      </c>
      <c r="O2108" s="295" t="s">
        <v>8</v>
      </c>
      <c r="P2108" s="75" t="str">
        <f>IF(AND('331-CT'!$E$7=TH!H2108,OR(N2108="331",O2108="331")),"x","")</f>
        <v/>
      </c>
      <c r="Q2108" s="75" t="str">
        <f>IF(AND(B2108='111'!$L$11,OR($N2108=$Q$7,$O2108=$Q$7)),"x","")</f>
        <v/>
      </c>
      <c r="R2108" s="75" t="str">
        <f>IF(AND($N2108=$Q$7,$B2108&lt;'111'!$L$11),"x","")</f>
        <v/>
      </c>
      <c r="S2108" s="75" t="str">
        <f>IF(AND($O2108=$Q$7,$B2108&lt;'111'!$L$11),"x","")</f>
        <v/>
      </c>
      <c r="T2108" s="75" t="str">
        <f>IF(ISERROR(FIND('112'!$M$9,G2108,1)),"",IF((AND(FIND('112'!$M$9,G2108,1)&gt;=1,B2108='112'!$K$9,OR($N2108='112'!$I$6,$O2108='112'!$I$6))),"x",""))</f>
        <v/>
      </c>
      <c r="U2108" s="75" t="str">
        <f>IF(ISERROR(FIND('112'!$M$9,G2108,1)),"",IF((AND(LEFT(G2108,2)=LEFT('112'!$M$9,2),B2108&lt;'112'!$K$9,$N2108='112'!$I$6)),"x",""))</f>
        <v/>
      </c>
      <c r="V2108" s="75" t="str">
        <f>IF(ISERROR(FIND('112'!$M$9,G2108,1)),"",IF((AND(RIGHT(G2108,2)=RIGHT('112'!$M$9,2),B2108&lt;'112'!$K$9,$O2108='112'!$I$6)),"x",""))</f>
        <v/>
      </c>
      <c r="W2108" s="75" t="str">
        <f>IF(AND('341-CT'!$H$9=H2108,OR(LEFT(N2108,3)=$W$7,LEFT(O2108,3)=$W$7)),"x","")</f>
        <v/>
      </c>
      <c r="X2108" s="75" t="str">
        <f>IF(OR(TH!N2108=TH!$X$7,O2108=TH!$X$7),"x","")</f>
        <v/>
      </c>
      <c r="Y2108" s="75" t="str">
        <f>IF(AND(OR(N2108="131",O2108="131"),H2108='131-CT'!$H$9),"x","")</f>
        <v/>
      </c>
      <c r="Z2108" s="75"/>
      <c r="AA2108" s="75" t="str">
        <f>IF(AND(MONTH(E2108)='IN-NX'!$J$5,'IN-NX'!$D$7=D2108),"x","")</f>
        <v/>
      </c>
      <c r="AB2108" s="75" t="str">
        <f>IF(AND(OR(LEFT(TH!N2108,2)="15",LEFT(TH!O2108,2)="15"),LEFT(TH!O2108,3)&lt;&gt;"111",'152-CT'!$J$8=TH!F2108),"x","")</f>
        <v/>
      </c>
      <c r="AC2108" s="75" t="str">
        <f>IF(AND(OR(LEFT(TH!N2108,2)="15",LEFT(TH!O2108,2)="15"),TK!$E$7=TH!F2108),"x","")</f>
        <v/>
      </c>
      <c r="AD2108" s="75" t="str">
        <f>IF(AND(N2108="1521",MONTH(C2108)='BK-NL'!$M$11),"x","")</f>
        <v/>
      </c>
      <c r="AE2108" s="1053">
        <v>10</v>
      </c>
    </row>
    <row r="2109" spans="1:31" s="1053" customFormat="1" ht="16.5" customHeight="1">
      <c r="A2109" s="309" t="str">
        <f>IF(B2109&lt;&gt;"",IF(AND(B2109='IN-TC'!$S$4,OR(TH!N2109="1111",TH!O2109="1111")),TH!D2109,""),"")</f>
        <v/>
      </c>
      <c r="B2109" s="1244">
        <f t="shared" si="631"/>
        <v>10</v>
      </c>
      <c r="C2109" s="292">
        <v>43026</v>
      </c>
      <c r="D2109" s="292" t="s">
        <v>1360</v>
      </c>
      <c r="E2109" s="292">
        <f t="shared" si="632"/>
        <v>43026</v>
      </c>
      <c r="F2109" s="67" t="s">
        <v>2342</v>
      </c>
      <c r="G2109" s="925" t="s">
        <v>2344</v>
      </c>
      <c r="H2109" s="311" t="s">
        <v>558</v>
      </c>
      <c r="I2109" s="373">
        <v>145</v>
      </c>
      <c r="J2109" s="379">
        <v>15800</v>
      </c>
      <c r="K2109" s="373"/>
      <c r="L2109" s="379"/>
      <c r="M2109" s="927">
        <f t="shared" si="637"/>
        <v>2291000</v>
      </c>
      <c r="N2109" s="295" t="s">
        <v>266</v>
      </c>
      <c r="O2109" s="295" t="s">
        <v>8</v>
      </c>
      <c r="P2109" s="75" t="str">
        <f>IF(AND('331-CT'!$E$7=TH!H2109,OR(N2109="331",O2109="331")),"x","")</f>
        <v/>
      </c>
      <c r="Q2109" s="75" t="str">
        <f>IF(AND(B2109='111'!$L$11,OR($N2109=$Q$7,$O2109=$Q$7)),"x","")</f>
        <v/>
      </c>
      <c r="R2109" s="75" t="str">
        <f>IF(AND($N2109=$Q$7,$B2109&lt;'111'!$L$11),"x","")</f>
        <v/>
      </c>
      <c r="S2109" s="75" t="str">
        <f>IF(AND($O2109=$Q$7,$B2109&lt;'111'!$L$11),"x","")</f>
        <v/>
      </c>
      <c r="T2109" s="75" t="str">
        <f>IF(ISERROR(FIND('112'!$M$9,G2109,1)),"",IF((AND(FIND('112'!$M$9,G2109,1)&gt;=1,B2109='112'!$K$9,OR($N2109='112'!$I$6,$O2109='112'!$I$6))),"x",""))</f>
        <v/>
      </c>
      <c r="U2109" s="75" t="str">
        <f>IF(ISERROR(FIND('112'!$M$9,G2109,1)),"",IF((AND(LEFT(G2109,2)=LEFT('112'!$M$9,2),B2109&lt;'112'!$K$9,$N2109='112'!$I$6)),"x",""))</f>
        <v/>
      </c>
      <c r="V2109" s="75" t="str">
        <f>IF(ISERROR(FIND('112'!$M$9,G2109,1)),"",IF((AND(RIGHT(G2109,2)=RIGHT('112'!$M$9,2),B2109&lt;'112'!$K$9,$O2109='112'!$I$6)),"x",""))</f>
        <v/>
      </c>
      <c r="W2109" s="75" t="str">
        <f>IF(AND('341-CT'!$H$9=H2109,OR(LEFT(N2109,3)=$W$7,LEFT(O2109,3)=$W$7)),"x","")</f>
        <v/>
      </c>
      <c r="X2109" s="75" t="str">
        <f>IF(OR(TH!N2109=TH!$X$7,O2109=TH!$X$7),"x","")</f>
        <v/>
      </c>
      <c r="Y2109" s="75" t="str">
        <f>IF(AND(OR(N2109="131",O2109="131"),H2109='131-CT'!$H$9),"x","")</f>
        <v/>
      </c>
      <c r="Z2109" s="75"/>
      <c r="AA2109" s="75" t="str">
        <f>IF(AND(MONTH(E2109)='IN-NX'!$J$5,'IN-NX'!$D$7=D2109),"x","")</f>
        <v/>
      </c>
      <c r="AB2109" s="75" t="str">
        <f>IF(AND(OR(LEFT(TH!N2109,2)="15",LEFT(TH!O2109,2)="15"),LEFT(TH!O2109,3)&lt;&gt;"111",'152-CT'!$J$8=TH!F2109),"x","")</f>
        <v/>
      </c>
      <c r="AC2109" s="75" t="str">
        <f>IF(AND(OR(LEFT(TH!N2109,2)="15",LEFT(TH!O2109,2)="15"),TK!$E$7=TH!F2109),"x","")</f>
        <v/>
      </c>
      <c r="AD2109" s="75" t="str">
        <f>IF(AND(N2109="1521",MONTH(C2109)='BK-NL'!$M$11),"x","")</f>
        <v/>
      </c>
      <c r="AE2109" s="1053">
        <v>10</v>
      </c>
    </row>
    <row r="2110" spans="1:31" s="1053" customFormat="1" ht="16.5" customHeight="1">
      <c r="A2110" s="309" t="str">
        <f>IF(B2110&lt;&gt;"",IF(AND(B2110='IN-TC'!$S$4,OR(TH!N2110="1111",TH!O2110="1111")),TH!D2110,""),"")</f>
        <v/>
      </c>
      <c r="B2110" s="1244">
        <f t="shared" si="631"/>
        <v>10</v>
      </c>
      <c r="C2110" s="292">
        <v>43026</v>
      </c>
      <c r="D2110" s="292" t="s">
        <v>1360</v>
      </c>
      <c r="E2110" s="292">
        <f t="shared" si="632"/>
        <v>43026</v>
      </c>
      <c r="F2110" s="67" t="s">
        <v>817</v>
      </c>
      <c r="G2110" s="925" t="s">
        <v>2344</v>
      </c>
      <c r="H2110" s="311" t="s">
        <v>558</v>
      </c>
      <c r="I2110" s="373">
        <v>400</v>
      </c>
      <c r="J2110" s="379">
        <v>20300</v>
      </c>
      <c r="K2110" s="373"/>
      <c r="L2110" s="379"/>
      <c r="M2110" s="927">
        <f t="shared" si="637"/>
        <v>8120000</v>
      </c>
      <c r="N2110" s="295" t="s">
        <v>266</v>
      </c>
      <c r="O2110" s="295" t="s">
        <v>8</v>
      </c>
      <c r="P2110" s="75" t="str">
        <f>IF(AND('331-CT'!$E$7=TH!H2110,OR(N2110="331",O2110="331")),"x","")</f>
        <v/>
      </c>
      <c r="Q2110" s="75" t="str">
        <f>IF(AND(B2110='111'!$L$11,OR($N2110=$Q$7,$O2110=$Q$7)),"x","")</f>
        <v/>
      </c>
      <c r="R2110" s="75" t="str">
        <f>IF(AND($N2110=$Q$7,$B2110&lt;'111'!$L$11),"x","")</f>
        <v/>
      </c>
      <c r="S2110" s="75" t="str">
        <f>IF(AND($O2110=$Q$7,$B2110&lt;'111'!$L$11),"x","")</f>
        <v/>
      </c>
      <c r="T2110" s="75" t="str">
        <f>IF(ISERROR(FIND('112'!$M$9,G2110,1)),"",IF((AND(FIND('112'!$M$9,G2110,1)&gt;=1,B2110='112'!$K$9,OR($N2110='112'!$I$6,$O2110='112'!$I$6))),"x",""))</f>
        <v/>
      </c>
      <c r="U2110" s="75" t="str">
        <f>IF(ISERROR(FIND('112'!$M$9,G2110,1)),"",IF((AND(LEFT(G2110,2)=LEFT('112'!$M$9,2),B2110&lt;'112'!$K$9,$N2110='112'!$I$6)),"x",""))</f>
        <v/>
      </c>
      <c r="V2110" s="75" t="str">
        <f>IF(ISERROR(FIND('112'!$M$9,G2110,1)),"",IF((AND(RIGHT(G2110,2)=RIGHT('112'!$M$9,2),B2110&lt;'112'!$K$9,$O2110='112'!$I$6)),"x",""))</f>
        <v/>
      </c>
      <c r="W2110" s="75" t="str">
        <f>IF(AND('341-CT'!$H$9=H2110,OR(LEFT(N2110,3)=$W$7,LEFT(O2110,3)=$W$7)),"x","")</f>
        <v/>
      </c>
      <c r="X2110" s="75" t="str">
        <f>IF(OR(TH!N2110=TH!$X$7,O2110=TH!$X$7),"x","")</f>
        <v/>
      </c>
      <c r="Y2110" s="75" t="str">
        <f>IF(AND(OR(N2110="131",O2110="131"),H2110='131-CT'!$H$9),"x","")</f>
        <v/>
      </c>
      <c r="Z2110" s="75"/>
      <c r="AA2110" s="75" t="str">
        <f>IF(AND(MONTH(E2110)='IN-NX'!$J$5,'IN-NX'!$D$7=D2110),"x","")</f>
        <v/>
      </c>
      <c r="AB2110" s="75" t="str">
        <f>IF(AND(OR(LEFT(TH!N2110,2)="15",LEFT(TH!O2110,2)="15"),LEFT(TH!O2110,3)&lt;&gt;"111",'152-CT'!$J$8=TH!F2110),"x","")</f>
        <v/>
      </c>
      <c r="AC2110" s="75" t="str">
        <f>IF(AND(OR(LEFT(TH!N2110,2)="15",LEFT(TH!O2110,2)="15"),TK!$E$7=TH!F2110),"x","")</f>
        <v/>
      </c>
      <c r="AD2110" s="75" t="str">
        <f>IF(AND(N2110="1521",MONTH(C2110)='BK-NL'!$M$11),"x","")</f>
        <v/>
      </c>
      <c r="AE2110" s="1053">
        <v>10</v>
      </c>
    </row>
    <row r="2111" spans="1:31" s="1053" customFormat="1" ht="16.5" customHeight="1">
      <c r="A2111" s="309" t="str">
        <f>IF(B2111&lt;&gt;"",IF(AND(B2111='IN-TC'!$S$4,OR(TH!N2111="1111",TH!O2111="1111")),TH!D2111,""),"")</f>
        <v/>
      </c>
      <c r="B2111" s="1244">
        <f t="shared" si="631"/>
        <v>10</v>
      </c>
      <c r="C2111" s="292">
        <v>43026</v>
      </c>
      <c r="D2111" s="292" t="s">
        <v>1360</v>
      </c>
      <c r="E2111" s="292">
        <f t="shared" si="632"/>
        <v>43026</v>
      </c>
      <c r="F2111" s="67" t="s">
        <v>817</v>
      </c>
      <c r="G2111" s="925" t="s">
        <v>2344</v>
      </c>
      <c r="H2111" s="311" t="s">
        <v>558</v>
      </c>
      <c r="I2111" s="373">
        <v>535</v>
      </c>
      <c r="J2111" s="379">
        <v>11500</v>
      </c>
      <c r="K2111" s="373"/>
      <c r="L2111" s="379"/>
      <c r="M2111" s="927">
        <f t="shared" si="637"/>
        <v>6152500</v>
      </c>
      <c r="N2111" s="295" t="s">
        <v>266</v>
      </c>
      <c r="O2111" s="295" t="s">
        <v>8</v>
      </c>
      <c r="P2111" s="75" t="str">
        <f>IF(AND('331-CT'!$E$7=TH!H2111,OR(N2111="331",O2111="331")),"x","")</f>
        <v/>
      </c>
      <c r="Q2111" s="75" t="str">
        <f>IF(AND(B2111='111'!$L$11,OR($N2111=$Q$7,$O2111=$Q$7)),"x","")</f>
        <v/>
      </c>
      <c r="R2111" s="75" t="str">
        <f>IF(AND($N2111=$Q$7,$B2111&lt;'111'!$L$11),"x","")</f>
        <v/>
      </c>
      <c r="S2111" s="75" t="str">
        <f>IF(AND($O2111=$Q$7,$B2111&lt;'111'!$L$11),"x","")</f>
        <v/>
      </c>
      <c r="T2111" s="75" t="str">
        <f>IF(ISERROR(FIND('112'!$M$9,G2111,1)),"",IF((AND(FIND('112'!$M$9,G2111,1)&gt;=1,B2111='112'!$K$9,OR($N2111='112'!$I$6,$O2111='112'!$I$6))),"x",""))</f>
        <v/>
      </c>
      <c r="U2111" s="75" t="str">
        <f>IF(ISERROR(FIND('112'!$M$9,G2111,1)),"",IF((AND(LEFT(G2111,2)=LEFT('112'!$M$9,2),B2111&lt;'112'!$K$9,$N2111='112'!$I$6)),"x",""))</f>
        <v/>
      </c>
      <c r="V2111" s="75" t="str">
        <f>IF(ISERROR(FIND('112'!$M$9,G2111,1)),"",IF((AND(RIGHT(G2111,2)=RIGHT('112'!$M$9,2),B2111&lt;'112'!$K$9,$O2111='112'!$I$6)),"x",""))</f>
        <v/>
      </c>
      <c r="W2111" s="75" t="str">
        <f>IF(AND('341-CT'!$H$9=H2111,OR(LEFT(N2111,3)=$W$7,LEFT(O2111,3)=$W$7)),"x","")</f>
        <v/>
      </c>
      <c r="X2111" s="75" t="str">
        <f>IF(OR(TH!N2111=TH!$X$7,O2111=TH!$X$7),"x","")</f>
        <v/>
      </c>
      <c r="Y2111" s="75" t="str">
        <f>IF(AND(OR(N2111="131",O2111="131"),H2111='131-CT'!$H$9),"x","")</f>
        <v/>
      </c>
      <c r="Z2111" s="75"/>
      <c r="AA2111" s="75" t="str">
        <f>IF(AND(MONTH(E2111)='IN-NX'!$J$5,'IN-NX'!$D$7=D2111),"x","")</f>
        <v/>
      </c>
      <c r="AB2111" s="75" t="str">
        <f>IF(AND(OR(LEFT(TH!N2111,2)="15",LEFT(TH!O2111,2)="15"),LEFT(TH!O2111,3)&lt;&gt;"111",'152-CT'!$J$8=TH!F2111),"x","")</f>
        <v/>
      </c>
      <c r="AC2111" s="75" t="str">
        <f>IF(AND(OR(LEFT(TH!N2111,2)="15",LEFT(TH!O2111,2)="15"),TK!$E$7=TH!F2111),"x","")</f>
        <v/>
      </c>
      <c r="AD2111" s="75" t="str">
        <f>IF(AND(N2111="1521",MONTH(C2111)='BK-NL'!$M$11),"x","")</f>
        <v/>
      </c>
      <c r="AE2111" s="1053">
        <v>10</v>
      </c>
    </row>
    <row r="2112" spans="1:31" s="1053" customFormat="1" ht="16.5" customHeight="1">
      <c r="A2112" s="309" t="str">
        <f>IF(B2112&lt;&gt;"",IF(AND(B2112='IN-TC'!$S$4,OR(TH!N2112="1111",TH!O2112="1111")),TH!D2112,""),"")</f>
        <v/>
      </c>
      <c r="B2112" s="1244">
        <f t="shared" si="631"/>
        <v>10</v>
      </c>
      <c r="C2112" s="292">
        <v>43026</v>
      </c>
      <c r="D2112" s="292" t="s">
        <v>1360</v>
      </c>
      <c r="E2112" s="292">
        <f t="shared" si="632"/>
        <v>43026</v>
      </c>
      <c r="F2112" s="432" t="s">
        <v>830</v>
      </c>
      <c r="G2112" s="925" t="s">
        <v>2344</v>
      </c>
      <c r="H2112" s="311" t="s">
        <v>558</v>
      </c>
      <c r="I2112" s="373">
        <v>400</v>
      </c>
      <c r="J2112" s="379">
        <v>2760</v>
      </c>
      <c r="K2112" s="373"/>
      <c r="L2112" s="379"/>
      <c r="M2112" s="927">
        <f t="shared" si="637"/>
        <v>1104000</v>
      </c>
      <c r="N2112" s="295" t="s">
        <v>266</v>
      </c>
      <c r="O2112" s="295" t="s">
        <v>8</v>
      </c>
      <c r="P2112" s="75" t="str">
        <f>IF(AND('331-CT'!$E$7=TH!H2112,OR(N2112="331",O2112="331")),"x","")</f>
        <v/>
      </c>
      <c r="Q2112" s="75" t="str">
        <f>IF(AND(B2112='111'!$L$11,OR($N2112=$Q$7,$O2112=$Q$7)),"x","")</f>
        <v/>
      </c>
      <c r="R2112" s="75" t="str">
        <f>IF(AND($N2112=$Q$7,$B2112&lt;'111'!$L$11),"x","")</f>
        <v/>
      </c>
      <c r="S2112" s="75" t="str">
        <f>IF(AND($O2112=$Q$7,$B2112&lt;'111'!$L$11),"x","")</f>
        <v/>
      </c>
      <c r="T2112" s="75" t="str">
        <f>IF(ISERROR(FIND('112'!$M$9,G2112,1)),"",IF((AND(FIND('112'!$M$9,G2112,1)&gt;=1,B2112='112'!$K$9,OR($N2112='112'!$I$6,$O2112='112'!$I$6))),"x",""))</f>
        <v/>
      </c>
      <c r="U2112" s="75" t="str">
        <f>IF(ISERROR(FIND('112'!$M$9,G2112,1)),"",IF((AND(LEFT(G2112,2)=LEFT('112'!$M$9,2),B2112&lt;'112'!$K$9,$N2112='112'!$I$6)),"x",""))</f>
        <v/>
      </c>
      <c r="V2112" s="75" t="str">
        <f>IF(ISERROR(FIND('112'!$M$9,G2112,1)),"",IF((AND(RIGHT(G2112,2)=RIGHT('112'!$M$9,2),B2112&lt;'112'!$K$9,$O2112='112'!$I$6)),"x",""))</f>
        <v/>
      </c>
      <c r="W2112" s="75" t="str">
        <f>IF(AND('341-CT'!$H$9=H2112,OR(LEFT(N2112,3)=$W$7,LEFT(O2112,3)=$W$7)),"x","")</f>
        <v/>
      </c>
      <c r="X2112" s="75" t="str">
        <f>IF(OR(TH!N2112=TH!$X$7,O2112=TH!$X$7),"x","")</f>
        <v/>
      </c>
      <c r="Y2112" s="75" t="str">
        <f>IF(AND(OR(N2112="131",O2112="131"),H2112='131-CT'!$H$9),"x","")</f>
        <v/>
      </c>
      <c r="Z2112" s="75"/>
      <c r="AA2112" s="75" t="str">
        <f>IF(AND(MONTH(E2112)='IN-NX'!$J$5,'IN-NX'!$D$7=D2112),"x","")</f>
        <v/>
      </c>
      <c r="AB2112" s="75" t="str">
        <f>IF(AND(OR(LEFT(TH!N2112,2)="15",LEFT(TH!O2112,2)="15"),LEFT(TH!O2112,3)&lt;&gt;"111",'152-CT'!$J$8=TH!F2112),"x","")</f>
        <v/>
      </c>
      <c r="AC2112" s="75" t="str">
        <f>IF(AND(OR(LEFT(TH!N2112,2)="15",LEFT(TH!O2112,2)="15"),TK!$E$7=TH!F2112),"x","")</f>
        <v/>
      </c>
      <c r="AD2112" s="75" t="str">
        <f>IF(AND(N2112="1521",MONTH(C2112)='BK-NL'!$M$11),"x","")</f>
        <v/>
      </c>
      <c r="AE2112" s="1053">
        <v>10</v>
      </c>
    </row>
    <row r="2113" spans="1:31" s="1053" customFormat="1" ht="16.5" customHeight="1">
      <c r="A2113" s="309" t="str">
        <f>IF(B2113&lt;&gt;"",IF(AND(B2113='IN-TC'!$S$4,OR(TH!N2113="1111",TH!O2113="1111")),TH!D2113,""),"")</f>
        <v/>
      </c>
      <c r="B2113" s="1244">
        <f t="shared" si="631"/>
        <v>10</v>
      </c>
      <c r="C2113" s="292">
        <v>43026</v>
      </c>
      <c r="D2113" s="292" t="s">
        <v>1360</v>
      </c>
      <c r="E2113" s="292">
        <f t="shared" si="632"/>
        <v>43026</v>
      </c>
      <c r="F2113" s="432" t="s">
        <v>2343</v>
      </c>
      <c r="G2113" s="925" t="s">
        <v>2344</v>
      </c>
      <c r="H2113" s="311" t="s">
        <v>558</v>
      </c>
      <c r="I2113" s="373"/>
      <c r="J2113" s="379"/>
      <c r="K2113" s="373"/>
      <c r="L2113" s="379"/>
      <c r="M2113" s="927">
        <v>5027440</v>
      </c>
      <c r="N2113" s="295" t="s">
        <v>9</v>
      </c>
      <c r="O2113" s="295" t="s">
        <v>8</v>
      </c>
      <c r="P2113" s="75" t="str">
        <f>IF(AND('331-CT'!$E$7=TH!H2113,OR(N2113="331",O2113="331")),"x","")</f>
        <v/>
      </c>
      <c r="Q2113" s="75" t="str">
        <f>IF(AND(B2113='111'!$L$11,OR($N2113=$Q$7,$O2113=$Q$7)),"x","")</f>
        <v/>
      </c>
      <c r="R2113" s="75" t="str">
        <f>IF(AND($N2113=$Q$7,$B2113&lt;'111'!$L$11),"x","")</f>
        <v/>
      </c>
      <c r="S2113" s="75" t="str">
        <f>IF(AND($O2113=$Q$7,$B2113&lt;'111'!$L$11),"x","")</f>
        <v/>
      </c>
      <c r="T2113" s="75" t="str">
        <f>IF(ISERROR(FIND('112'!$M$9,G2113,1)),"",IF((AND(FIND('112'!$M$9,G2113,1)&gt;=1,B2113='112'!$K$9,OR($N2113='112'!$I$6,$O2113='112'!$I$6))),"x",""))</f>
        <v/>
      </c>
      <c r="U2113" s="75" t="str">
        <f>IF(ISERROR(FIND('112'!$M$9,G2113,1)),"",IF((AND(LEFT(G2113,2)=LEFT('112'!$M$9,2),B2113&lt;'112'!$K$9,$N2113='112'!$I$6)),"x",""))</f>
        <v/>
      </c>
      <c r="V2113" s="75" t="str">
        <f>IF(ISERROR(FIND('112'!$M$9,G2113,1)),"",IF((AND(RIGHT(G2113,2)=RIGHT('112'!$M$9,2),B2113&lt;'112'!$K$9,$O2113='112'!$I$6)),"x",""))</f>
        <v/>
      </c>
      <c r="W2113" s="75" t="str">
        <f>IF(AND('341-CT'!$H$9=H2113,OR(LEFT(N2113,3)=$W$7,LEFT(O2113,3)=$W$7)),"x","")</f>
        <v/>
      </c>
      <c r="X2113" s="75" t="str">
        <f>IF(OR(TH!N2113=TH!$X$7,O2113=TH!$X$7),"x","")</f>
        <v/>
      </c>
      <c r="Y2113" s="75" t="str">
        <f>IF(AND(OR(N2113="131",O2113="131"),H2113='131-CT'!$H$9),"x","")</f>
        <v/>
      </c>
      <c r="Z2113" s="75"/>
      <c r="AA2113" s="75" t="str">
        <f>IF(AND(MONTH(E2113)='IN-NX'!$J$5,'IN-NX'!$D$7=D2113),"x","")</f>
        <v/>
      </c>
      <c r="AB2113" s="75" t="str">
        <f>IF(AND(OR(LEFT(TH!N2113,2)="15",LEFT(TH!O2113,2)="15"),LEFT(TH!O2113,3)&lt;&gt;"111",'152-CT'!$J$8=TH!F2113),"x","")</f>
        <v/>
      </c>
      <c r="AC2113" s="75" t="str">
        <f>IF(AND(OR(LEFT(TH!N2113,2)="15",LEFT(TH!O2113,2)="15"),TK!$E$7=TH!F2113),"x","")</f>
        <v/>
      </c>
      <c r="AD2113" s="75" t="str">
        <f>IF(AND(N2113="1521",MONTH(C2113)='BK-NL'!$M$11),"x","")</f>
        <v/>
      </c>
      <c r="AE2113" s="1053">
        <v>10</v>
      </c>
    </row>
    <row r="2114" spans="1:31" s="1053" customFormat="1" ht="16.5" customHeight="1">
      <c r="A2114" s="309" t="str">
        <f>IF(B2114&lt;&gt;"",IF(AND(B2114='IN-TC'!$S$4,OR(TH!N2114="1111",TH!O2114="1111")),TH!D2114,""),"")</f>
        <v/>
      </c>
      <c r="B2114" s="1244">
        <f t="shared" si="631"/>
        <v>10</v>
      </c>
      <c r="C2114" s="292">
        <v>43026</v>
      </c>
      <c r="D2114" s="292" t="s">
        <v>1361</v>
      </c>
      <c r="E2114" s="292">
        <f t="shared" ref="E2114:E2117" si="638">C2114</f>
        <v>43026</v>
      </c>
      <c r="F2114" s="432" t="s">
        <v>327</v>
      </c>
      <c r="G2114" s="925" t="s">
        <v>2560</v>
      </c>
      <c r="H2114" s="68" t="s">
        <v>803</v>
      </c>
      <c r="I2114" s="373">
        <v>500</v>
      </c>
      <c r="J2114" s="379">
        <v>32200</v>
      </c>
      <c r="K2114" s="373"/>
      <c r="L2114" s="379"/>
      <c r="M2114" s="927">
        <f>I2114*J2114</f>
        <v>16100000</v>
      </c>
      <c r="N2114" s="295" t="s">
        <v>266</v>
      </c>
      <c r="O2114" s="295" t="s">
        <v>8</v>
      </c>
      <c r="P2114" s="75" t="str">
        <f>IF(AND('331-CT'!$E$7=TH!H2114,OR(N2114="331",O2114="331")),"x","")</f>
        <v/>
      </c>
      <c r="Q2114" s="75" t="str">
        <f>IF(AND(B2114='111'!$L$11,OR($N2114=$Q$7,$O2114=$Q$7)),"x","")</f>
        <v/>
      </c>
      <c r="R2114" s="75" t="str">
        <f>IF(AND($N2114=$Q$7,$B2114&lt;'111'!$L$11),"x","")</f>
        <v/>
      </c>
      <c r="S2114" s="75" t="str">
        <f>IF(AND($O2114=$Q$7,$B2114&lt;'111'!$L$11),"x","")</f>
        <v/>
      </c>
      <c r="T2114" s="75" t="str">
        <f>IF(ISERROR(FIND('112'!$M$9,G2114,1)),"",IF((AND(FIND('112'!$M$9,G2114,1)&gt;=1,B2114='112'!$K$9,OR($N2114='112'!$I$6,$O2114='112'!$I$6))),"x",""))</f>
        <v/>
      </c>
      <c r="U2114" s="75" t="str">
        <f>IF(ISERROR(FIND('112'!$M$9,G2114,1)),"",IF((AND(LEFT(G2114,2)=LEFT('112'!$M$9,2),B2114&lt;'112'!$K$9,$N2114='112'!$I$6)),"x",""))</f>
        <v/>
      </c>
      <c r="V2114" s="75" t="str">
        <f>IF(ISERROR(FIND('112'!$M$9,G2114,1)),"",IF((AND(RIGHT(G2114,2)=RIGHT('112'!$M$9,2),B2114&lt;'112'!$K$9,$O2114='112'!$I$6)),"x",""))</f>
        <v/>
      </c>
      <c r="W2114" s="75" t="str">
        <f>IF(AND('341-CT'!$H$9=H2114,OR(LEFT(N2114,3)=$W$7,LEFT(O2114,3)=$W$7)),"x","")</f>
        <v/>
      </c>
      <c r="X2114" s="75" t="str">
        <f>IF(OR(TH!N2114=TH!$X$7,O2114=TH!$X$7),"x","")</f>
        <v/>
      </c>
      <c r="Y2114" s="75" t="str">
        <f>IF(AND(OR(N2114="131",O2114="131"),H2114='131-CT'!$H$9),"x","")</f>
        <v/>
      </c>
      <c r="Z2114" s="75"/>
      <c r="AA2114" s="75" t="str">
        <f>IF(AND(MONTH(E2114)='IN-NX'!$J$5,'IN-NX'!$D$7=D2114),"x","")</f>
        <v/>
      </c>
      <c r="AB2114" s="75" t="str">
        <f>IF(AND(OR(LEFT(TH!N2114,2)="15",LEFT(TH!O2114,2)="15"),LEFT(TH!O2114,3)&lt;&gt;"111",'152-CT'!$J$8=TH!F2114),"x","")</f>
        <v/>
      </c>
      <c r="AC2114" s="75" t="str">
        <f>IF(AND(OR(LEFT(TH!N2114,2)="15",LEFT(TH!O2114,2)="15"),TK!$E$7=TH!F2114),"x","")</f>
        <v/>
      </c>
      <c r="AD2114" s="75" t="str">
        <f>IF(AND(N2114="1521",MONTH(C2114)='BK-NL'!$M$11),"x","")</f>
        <v/>
      </c>
      <c r="AE2114" s="1053">
        <v>10</v>
      </c>
    </row>
    <row r="2115" spans="1:31" s="1053" customFormat="1" ht="16.5" customHeight="1">
      <c r="A2115" s="309" t="str">
        <f>IF(B2115&lt;&gt;"",IF(AND(B2115='IN-TC'!$S$4,OR(TH!N2115="1111",TH!O2115="1111")),TH!D2115,""),"")</f>
        <v/>
      </c>
      <c r="B2115" s="1244">
        <f t="shared" si="631"/>
        <v>10</v>
      </c>
      <c r="C2115" s="292">
        <v>43026</v>
      </c>
      <c r="D2115" s="292" t="s">
        <v>1361</v>
      </c>
      <c r="E2115" s="292">
        <f t="shared" si="638"/>
        <v>43026</v>
      </c>
      <c r="F2115" s="432" t="s">
        <v>2136</v>
      </c>
      <c r="G2115" s="925" t="s">
        <v>2560</v>
      </c>
      <c r="H2115" s="68" t="s">
        <v>803</v>
      </c>
      <c r="I2115" s="373"/>
      <c r="J2115" s="379"/>
      <c r="K2115" s="373"/>
      <c r="L2115" s="379"/>
      <c r="M2115" s="927">
        <v>1610000</v>
      </c>
      <c r="N2115" s="295" t="s">
        <v>9</v>
      </c>
      <c r="O2115" s="295" t="s">
        <v>8</v>
      </c>
      <c r="P2115" s="75" t="str">
        <f>IF(AND('331-CT'!$E$7=TH!H2115,OR(N2115="331",O2115="331")),"x","")</f>
        <v/>
      </c>
      <c r="Q2115" s="75" t="str">
        <f>IF(AND(B2115='111'!$L$11,OR($N2115=$Q$7,$O2115=$Q$7)),"x","")</f>
        <v/>
      </c>
      <c r="R2115" s="75" t="str">
        <f>IF(AND($N2115=$Q$7,$B2115&lt;'111'!$L$11),"x","")</f>
        <v/>
      </c>
      <c r="S2115" s="75" t="str">
        <f>IF(AND($O2115=$Q$7,$B2115&lt;'111'!$L$11),"x","")</f>
        <v/>
      </c>
      <c r="T2115" s="75" t="str">
        <f>IF(ISERROR(FIND('112'!$M$9,G2115,1)),"",IF((AND(FIND('112'!$M$9,G2115,1)&gt;=1,B2115='112'!$K$9,OR($N2115='112'!$I$6,$O2115='112'!$I$6))),"x",""))</f>
        <v/>
      </c>
      <c r="U2115" s="75" t="str">
        <f>IF(ISERROR(FIND('112'!$M$9,G2115,1)),"",IF((AND(LEFT(G2115,2)=LEFT('112'!$M$9,2),B2115&lt;'112'!$K$9,$N2115='112'!$I$6)),"x",""))</f>
        <v/>
      </c>
      <c r="V2115" s="75" t="str">
        <f>IF(ISERROR(FIND('112'!$M$9,G2115,1)),"",IF((AND(RIGHT(G2115,2)=RIGHT('112'!$M$9,2),B2115&lt;'112'!$K$9,$O2115='112'!$I$6)),"x",""))</f>
        <v/>
      </c>
      <c r="W2115" s="75" t="str">
        <f>IF(AND('341-CT'!$H$9=H2115,OR(LEFT(N2115,3)=$W$7,LEFT(O2115,3)=$W$7)),"x","")</f>
        <v/>
      </c>
      <c r="X2115" s="75" t="str">
        <f>IF(OR(TH!N2115=TH!$X$7,O2115=TH!$X$7),"x","")</f>
        <v/>
      </c>
      <c r="Y2115" s="75" t="str">
        <f>IF(AND(OR(N2115="131",O2115="131"),H2115='131-CT'!$H$9),"x","")</f>
        <v/>
      </c>
      <c r="Z2115" s="75"/>
      <c r="AA2115" s="75" t="str">
        <f>IF(AND(MONTH(E2115)='IN-NX'!$J$5,'IN-NX'!$D$7=D2115),"x","")</f>
        <v/>
      </c>
      <c r="AB2115" s="75" t="str">
        <f>IF(AND(OR(LEFT(TH!N2115,2)="15",LEFT(TH!O2115,2)="15"),LEFT(TH!O2115,3)&lt;&gt;"111",'152-CT'!$J$8=TH!F2115),"x","")</f>
        <v/>
      </c>
      <c r="AC2115" s="75" t="str">
        <f>IF(AND(OR(LEFT(TH!N2115,2)="15",LEFT(TH!O2115,2)="15"),TK!$E$7=TH!F2115),"x","")</f>
        <v/>
      </c>
      <c r="AD2115" s="75" t="str">
        <f>IF(AND(N2115="1521",MONTH(C2115)='BK-NL'!$M$11),"x","")</f>
        <v/>
      </c>
      <c r="AE2115" s="1053">
        <v>10</v>
      </c>
    </row>
    <row r="2116" spans="1:31" s="1053" customFormat="1" ht="17.25" customHeight="1">
      <c r="A2116" s="309" t="str">
        <f>IF(B2116&lt;&gt;"",IF(AND(B2116='IN-TC'!$S$4,OR(TH!N2116="1111",TH!O2116="1111")),TH!D2116,""),"")</f>
        <v/>
      </c>
      <c r="B2116" s="1244">
        <f t="shared" si="631"/>
        <v>10</v>
      </c>
      <c r="C2116" s="292">
        <v>43028</v>
      </c>
      <c r="D2116" s="292" t="s">
        <v>1389</v>
      </c>
      <c r="E2116" s="292">
        <f t="shared" si="638"/>
        <v>43028</v>
      </c>
      <c r="F2116" s="67" t="s">
        <v>795</v>
      </c>
      <c r="G2116" s="925" t="s">
        <v>2599</v>
      </c>
      <c r="H2116" s="311" t="s">
        <v>1684</v>
      </c>
      <c r="I2116" s="373">
        <v>3045</v>
      </c>
      <c r="J2116" s="379">
        <v>5900</v>
      </c>
      <c r="K2116" s="373"/>
      <c r="L2116" s="379"/>
      <c r="M2116" s="927">
        <f>I2116*J2116</f>
        <v>17965500</v>
      </c>
      <c r="N2116" s="295" t="s">
        <v>266</v>
      </c>
      <c r="O2116" s="295" t="s">
        <v>8</v>
      </c>
      <c r="P2116" s="75" t="str">
        <f>IF(AND('331-CT'!$E$7=TH!H2116,OR(N2116="331",O2116="331")),"x","")</f>
        <v/>
      </c>
      <c r="Q2116" s="75" t="str">
        <f>IF(AND(B2116='111'!$L$11,OR($N2116=$Q$7,$O2116=$Q$7)),"x","")</f>
        <v/>
      </c>
      <c r="R2116" s="75" t="str">
        <f>IF(AND($N2116=$Q$7,$B2116&lt;'111'!$L$11),"x","")</f>
        <v/>
      </c>
      <c r="S2116" s="75" t="str">
        <f>IF(AND($O2116=$Q$7,$B2116&lt;'111'!$L$11),"x","")</f>
        <v/>
      </c>
      <c r="T2116" s="75" t="str">
        <f>IF(ISERROR(FIND('112'!$M$9,G2116,1)),"",IF((AND(FIND('112'!$M$9,G2116,1)&gt;=1,B2116='112'!$K$9,OR($N2116='112'!$I$6,$O2116='112'!$I$6))),"x",""))</f>
        <v/>
      </c>
      <c r="U2116" s="75" t="str">
        <f>IF(ISERROR(FIND('112'!$M$9,G2116,1)),"",IF((AND(LEFT(G2116,2)=LEFT('112'!$M$9,2),B2116&lt;'112'!$K$9,$N2116='112'!$I$6)),"x",""))</f>
        <v/>
      </c>
      <c r="V2116" s="75" t="str">
        <f>IF(ISERROR(FIND('112'!$M$9,G2116,1)),"",IF((AND(RIGHT(G2116,2)=RIGHT('112'!$M$9,2),B2116&lt;'112'!$K$9,$O2116='112'!$I$6)),"x",""))</f>
        <v/>
      </c>
      <c r="W2116" s="75" t="str">
        <f>IF(AND('341-CT'!$H$9=H2116,OR(LEFT(N2116,3)=$W$7,LEFT(O2116,3)=$W$7)),"x","")</f>
        <v/>
      </c>
      <c r="X2116" s="75" t="str">
        <f>IF(OR(TH!N2116=TH!$X$7,O2116=TH!$X$7),"x","")</f>
        <v/>
      </c>
      <c r="Y2116" s="75" t="str">
        <f>IF(AND(OR(N2116="131",O2116="131"),H2116='131-CT'!$H$9),"x","")</f>
        <v/>
      </c>
      <c r="Z2116" s="75"/>
      <c r="AA2116" s="75" t="str">
        <f>IF(AND(MONTH(E2116)='IN-NX'!$J$5,'IN-NX'!$D$7=D2116),"x","")</f>
        <v/>
      </c>
      <c r="AB2116" s="75" t="str">
        <f>IF(AND(OR(LEFT(TH!N2116,2)="15",LEFT(TH!O2116,2)="15"),LEFT(TH!O2116,3)&lt;&gt;"111",'152-CT'!$J$8=TH!F2116),"x","")</f>
        <v/>
      </c>
      <c r="AC2116" s="75" t="str">
        <f>IF(AND(OR(LEFT(TH!N2116,2)="15",LEFT(TH!O2116,2)="15"),TK!$E$7=TH!F2116),"x","")</f>
        <v/>
      </c>
      <c r="AD2116" s="75" t="str">
        <f>IF(AND(N2116="1521",MONTH(C2116)='BK-NL'!$M$11),"x","")</f>
        <v/>
      </c>
      <c r="AE2116" s="1053">
        <v>11</v>
      </c>
    </row>
    <row r="2117" spans="1:31" s="1053" customFormat="1" ht="17.25" customHeight="1">
      <c r="A2117" s="309" t="str">
        <f>IF(B2117&lt;&gt;"",IF(AND(B2117='IN-TC'!$S$4,OR(TH!N2117="1111",TH!O2117="1111")),TH!D2117,""),"")</f>
        <v/>
      </c>
      <c r="B2117" s="1244">
        <f t="shared" si="631"/>
        <v>10</v>
      </c>
      <c r="C2117" s="292">
        <v>43028</v>
      </c>
      <c r="D2117" s="292" t="s">
        <v>1389</v>
      </c>
      <c r="E2117" s="292">
        <f t="shared" si="638"/>
        <v>43028</v>
      </c>
      <c r="F2117" s="67" t="s">
        <v>1143</v>
      </c>
      <c r="G2117" s="925" t="s">
        <v>2599</v>
      </c>
      <c r="H2117" s="311" t="s">
        <v>1684</v>
      </c>
      <c r="I2117" s="373"/>
      <c r="J2117" s="379"/>
      <c r="K2117" s="373"/>
      <c r="L2117" s="379"/>
      <c r="M2117" s="927">
        <v>1796550</v>
      </c>
      <c r="N2117" s="295" t="s">
        <v>9</v>
      </c>
      <c r="O2117" s="295" t="s">
        <v>8</v>
      </c>
      <c r="P2117" s="75" t="str">
        <f>IF(AND('331-CT'!$E$7=TH!H2117,OR(N2117="331",O2117="331")),"x","")</f>
        <v/>
      </c>
      <c r="Q2117" s="75" t="str">
        <f>IF(AND(B2117='111'!$L$11,OR($N2117=$Q$7,$O2117=$Q$7)),"x","")</f>
        <v/>
      </c>
      <c r="R2117" s="75" t="str">
        <f>IF(AND($N2117=$Q$7,$B2117&lt;'111'!$L$11),"x","")</f>
        <v/>
      </c>
      <c r="S2117" s="75" t="str">
        <f>IF(AND($O2117=$Q$7,$B2117&lt;'111'!$L$11),"x","")</f>
        <v/>
      </c>
      <c r="T2117" s="75" t="str">
        <f>IF(ISERROR(FIND('112'!$M$9,G2117,1)),"",IF((AND(FIND('112'!$M$9,G2117,1)&gt;=1,B2117='112'!$K$9,OR($N2117='112'!$I$6,$O2117='112'!$I$6))),"x",""))</f>
        <v/>
      </c>
      <c r="U2117" s="75" t="str">
        <f>IF(ISERROR(FIND('112'!$M$9,G2117,1)),"",IF((AND(LEFT(G2117,2)=LEFT('112'!$M$9,2),B2117&lt;'112'!$K$9,$N2117='112'!$I$6)),"x",""))</f>
        <v/>
      </c>
      <c r="V2117" s="75" t="str">
        <f>IF(ISERROR(FIND('112'!$M$9,G2117,1)),"",IF((AND(RIGHT(G2117,2)=RIGHT('112'!$M$9,2),B2117&lt;'112'!$K$9,$O2117='112'!$I$6)),"x",""))</f>
        <v/>
      </c>
      <c r="W2117" s="75" t="str">
        <f>IF(AND('341-CT'!$H$9=H2117,OR(LEFT(N2117,3)=$W$7,LEFT(O2117,3)=$W$7)),"x","")</f>
        <v/>
      </c>
      <c r="X2117" s="75" t="str">
        <f>IF(OR(TH!N2117=TH!$X$7,O2117=TH!$X$7),"x","")</f>
        <v/>
      </c>
      <c r="Y2117" s="75" t="str">
        <f>IF(AND(OR(N2117="131",O2117="131"),H2117='131-CT'!$H$9),"x","")</f>
        <v/>
      </c>
      <c r="Z2117" s="75"/>
      <c r="AA2117" s="75" t="str">
        <f>IF(AND(MONTH(E2117)='IN-NX'!$J$5,'IN-NX'!$D$7=D2117),"x","")</f>
        <v/>
      </c>
      <c r="AB2117" s="75" t="str">
        <f>IF(AND(OR(LEFT(TH!N2117,2)="15",LEFT(TH!O2117,2)="15"),LEFT(TH!O2117,3)&lt;&gt;"111",'152-CT'!$J$8=TH!F2117),"x","")</f>
        <v/>
      </c>
      <c r="AC2117" s="75" t="str">
        <f>IF(AND(OR(LEFT(TH!N2117,2)="15",LEFT(TH!O2117,2)="15"),TK!$E$7=TH!F2117),"x","")</f>
        <v/>
      </c>
      <c r="AD2117" s="75" t="str">
        <f>IF(AND(N2117="1521",MONTH(C2117)='BK-NL'!$M$11),"x","")</f>
        <v/>
      </c>
      <c r="AE2117" s="1053">
        <v>11</v>
      </c>
    </row>
    <row r="2118" spans="1:31" s="1053" customFormat="1" ht="16.5" customHeight="1">
      <c r="A2118" s="309" t="str">
        <f>IF(B2118&lt;&gt;"",IF(AND(B2118='IN-TC'!$S$4,OR(TH!N2118="1111",TH!O2118="1111")),TH!D2118,""),"")</f>
        <v/>
      </c>
      <c r="B2118" s="1244">
        <f t="shared" si="631"/>
        <v>10</v>
      </c>
      <c r="C2118" s="292">
        <v>43031</v>
      </c>
      <c r="D2118" s="292" t="s">
        <v>1390</v>
      </c>
      <c r="E2118" s="292">
        <f t="shared" si="632"/>
        <v>43031</v>
      </c>
      <c r="F2118" s="432" t="s">
        <v>381</v>
      </c>
      <c r="G2118" s="925" t="s">
        <v>1717</v>
      </c>
      <c r="H2118" s="311" t="s">
        <v>558</v>
      </c>
      <c r="I2118" s="373">
        <v>455</v>
      </c>
      <c r="J2118" s="379">
        <v>16500</v>
      </c>
      <c r="K2118" s="373"/>
      <c r="L2118" s="379"/>
      <c r="M2118" s="927">
        <f t="shared" ref="M2118:M2124" si="639">I2118*J2118</f>
        <v>7507500</v>
      </c>
      <c r="N2118" s="295" t="s">
        <v>266</v>
      </c>
      <c r="O2118" s="295" t="s">
        <v>8</v>
      </c>
      <c r="P2118" s="75" t="str">
        <f>IF(AND('331-CT'!$E$7=TH!H2118,OR(N2118="331",O2118="331")),"x","")</f>
        <v/>
      </c>
      <c r="Q2118" s="75" t="str">
        <f>IF(AND(B2118='111'!$L$11,OR($N2118=$Q$7,$O2118=$Q$7)),"x","")</f>
        <v/>
      </c>
      <c r="R2118" s="75" t="str">
        <f>IF(AND($N2118=$Q$7,$B2118&lt;'111'!$L$11),"x","")</f>
        <v/>
      </c>
      <c r="S2118" s="75" t="str">
        <f>IF(AND($O2118=$Q$7,$B2118&lt;'111'!$L$11),"x","")</f>
        <v/>
      </c>
      <c r="T2118" s="75" t="str">
        <f>IF(ISERROR(FIND('112'!$M$9,G2118,1)),"",IF((AND(FIND('112'!$M$9,G2118,1)&gt;=1,B2118='112'!$K$9,OR($N2118='112'!$I$6,$O2118='112'!$I$6))),"x",""))</f>
        <v/>
      </c>
      <c r="U2118" s="75" t="str">
        <f>IF(ISERROR(FIND('112'!$M$9,G2118,1)),"",IF((AND(LEFT(G2118,2)=LEFT('112'!$M$9,2),B2118&lt;'112'!$K$9,$N2118='112'!$I$6)),"x",""))</f>
        <v/>
      </c>
      <c r="V2118" s="75" t="str">
        <f>IF(ISERROR(FIND('112'!$M$9,G2118,1)),"",IF((AND(RIGHT(G2118,2)=RIGHT('112'!$M$9,2),B2118&lt;'112'!$K$9,$O2118='112'!$I$6)),"x",""))</f>
        <v/>
      </c>
      <c r="W2118" s="75" t="str">
        <f>IF(AND('341-CT'!$H$9=H2118,OR(LEFT(N2118,3)=$W$7,LEFT(O2118,3)=$W$7)),"x","")</f>
        <v/>
      </c>
      <c r="X2118" s="75" t="str">
        <f>IF(OR(TH!N2118=TH!$X$7,O2118=TH!$X$7),"x","")</f>
        <v/>
      </c>
      <c r="Y2118" s="75" t="str">
        <f>IF(AND(OR(N2118="131",O2118="131"),H2118='131-CT'!$H$9),"x","")</f>
        <v/>
      </c>
      <c r="Z2118" s="75"/>
      <c r="AA2118" s="75" t="str">
        <f>IF(AND(MONTH(E2118)='IN-NX'!$J$5,'IN-NX'!$D$7=D2118),"x","")</f>
        <v/>
      </c>
      <c r="AB2118" s="75" t="str">
        <f>IF(AND(OR(LEFT(TH!N2118,2)="15",LEFT(TH!O2118,2)="15"),LEFT(TH!O2118,3)&lt;&gt;"111",'152-CT'!$J$8=TH!F2118),"x","")</f>
        <v/>
      </c>
      <c r="AC2118" s="75" t="str">
        <f>IF(AND(OR(LEFT(TH!N2118,2)="15",LEFT(TH!O2118,2)="15"),TK!$E$7=TH!F2118),"x","")</f>
        <v/>
      </c>
      <c r="AD2118" s="75" t="str">
        <f>IF(AND(N2118="1521",MONTH(C2118)='BK-NL'!$M$11),"x","")</f>
        <v/>
      </c>
      <c r="AE2118" s="1053">
        <v>10</v>
      </c>
    </row>
    <row r="2119" spans="1:31" s="1053" customFormat="1" ht="16.5" customHeight="1">
      <c r="A2119" s="309" t="str">
        <f>IF(B2119&lt;&gt;"",IF(AND(B2119='IN-TC'!$S$4,OR(TH!N2119="1111",TH!O2119="1111")),TH!D2119,""),"")</f>
        <v/>
      </c>
      <c r="B2119" s="1244">
        <f t="shared" si="631"/>
        <v>10</v>
      </c>
      <c r="C2119" s="292">
        <v>43031</v>
      </c>
      <c r="D2119" s="292" t="s">
        <v>1390</v>
      </c>
      <c r="E2119" s="292">
        <f t="shared" si="632"/>
        <v>43031</v>
      </c>
      <c r="F2119" s="432" t="s">
        <v>371</v>
      </c>
      <c r="G2119" s="925" t="s">
        <v>1717</v>
      </c>
      <c r="H2119" s="311" t="s">
        <v>558</v>
      </c>
      <c r="I2119" s="373">
        <v>758</v>
      </c>
      <c r="J2119" s="379">
        <v>13500</v>
      </c>
      <c r="K2119" s="373"/>
      <c r="L2119" s="379"/>
      <c r="M2119" s="927">
        <f t="shared" si="639"/>
        <v>10233000</v>
      </c>
      <c r="N2119" s="295" t="s">
        <v>266</v>
      </c>
      <c r="O2119" s="295" t="s">
        <v>8</v>
      </c>
      <c r="P2119" s="75" t="str">
        <f>IF(AND('331-CT'!$E$7=TH!H2119,OR(N2119="331",O2119="331")),"x","")</f>
        <v/>
      </c>
      <c r="Q2119" s="75" t="str">
        <f>IF(AND(B2119='111'!$L$11,OR($N2119=$Q$7,$O2119=$Q$7)),"x","")</f>
        <v/>
      </c>
      <c r="R2119" s="75" t="str">
        <f>IF(AND($N2119=$Q$7,$B2119&lt;'111'!$L$11),"x","")</f>
        <v/>
      </c>
      <c r="S2119" s="75" t="str">
        <f>IF(AND($O2119=$Q$7,$B2119&lt;'111'!$L$11),"x","")</f>
        <v/>
      </c>
      <c r="T2119" s="75" t="str">
        <f>IF(ISERROR(FIND('112'!$M$9,G2119,1)),"",IF((AND(FIND('112'!$M$9,G2119,1)&gt;=1,B2119='112'!$K$9,OR($N2119='112'!$I$6,$O2119='112'!$I$6))),"x",""))</f>
        <v/>
      </c>
      <c r="U2119" s="75" t="str">
        <f>IF(ISERROR(FIND('112'!$M$9,G2119,1)),"",IF((AND(LEFT(G2119,2)=LEFT('112'!$M$9,2),B2119&lt;'112'!$K$9,$N2119='112'!$I$6)),"x",""))</f>
        <v/>
      </c>
      <c r="V2119" s="75" t="str">
        <f>IF(ISERROR(FIND('112'!$M$9,G2119,1)),"",IF((AND(RIGHT(G2119,2)=RIGHT('112'!$M$9,2),B2119&lt;'112'!$K$9,$O2119='112'!$I$6)),"x",""))</f>
        <v/>
      </c>
      <c r="W2119" s="75" t="str">
        <f>IF(AND('341-CT'!$H$9=H2119,OR(LEFT(N2119,3)=$W$7,LEFT(O2119,3)=$W$7)),"x","")</f>
        <v/>
      </c>
      <c r="X2119" s="75" t="str">
        <f>IF(OR(TH!N2119=TH!$X$7,O2119=TH!$X$7),"x","")</f>
        <v/>
      </c>
      <c r="Y2119" s="75" t="str">
        <f>IF(AND(OR(N2119="131",O2119="131"),H2119='131-CT'!$H$9),"x","")</f>
        <v/>
      </c>
      <c r="Z2119" s="75"/>
      <c r="AA2119" s="75" t="str">
        <f>IF(AND(MONTH(E2119)='IN-NX'!$J$5,'IN-NX'!$D$7=D2119),"x","")</f>
        <v/>
      </c>
      <c r="AB2119" s="75" t="str">
        <f>IF(AND(OR(LEFT(TH!N2119,2)="15",LEFT(TH!O2119,2)="15"),LEFT(TH!O2119,3)&lt;&gt;"111",'152-CT'!$J$8=TH!F2119),"x","")</f>
        <v/>
      </c>
      <c r="AC2119" s="75" t="str">
        <f>IF(AND(OR(LEFT(TH!N2119,2)="15",LEFT(TH!O2119,2)="15"),TK!$E$7=TH!F2119),"x","")</f>
        <v/>
      </c>
      <c r="AD2119" s="75" t="str">
        <f>IF(AND(N2119="1521",MONTH(C2119)='BK-NL'!$M$11),"x","")</f>
        <v/>
      </c>
      <c r="AE2119" s="1053">
        <v>10</v>
      </c>
    </row>
    <row r="2120" spans="1:31" s="1053" customFormat="1" ht="16.5" customHeight="1">
      <c r="A2120" s="309" t="str">
        <f>IF(B2120&lt;&gt;"",IF(AND(B2120='IN-TC'!$S$4,OR(TH!N2120="1111",TH!O2120="1111")),TH!D2120,""),"")</f>
        <v/>
      </c>
      <c r="B2120" s="1244">
        <f t="shared" si="631"/>
        <v>10</v>
      </c>
      <c r="C2120" s="292">
        <v>43031</v>
      </c>
      <c r="D2120" s="292" t="s">
        <v>1390</v>
      </c>
      <c r="E2120" s="292">
        <f t="shared" si="632"/>
        <v>43031</v>
      </c>
      <c r="F2120" s="294" t="s">
        <v>745</v>
      </c>
      <c r="G2120" s="925" t="s">
        <v>1717</v>
      </c>
      <c r="H2120" s="311" t="s">
        <v>558</v>
      </c>
      <c r="I2120" s="373">
        <v>122</v>
      </c>
      <c r="J2120" s="379">
        <v>14000</v>
      </c>
      <c r="K2120" s="373"/>
      <c r="L2120" s="379"/>
      <c r="M2120" s="927">
        <f t="shared" si="639"/>
        <v>1708000</v>
      </c>
      <c r="N2120" s="295" t="s">
        <v>266</v>
      </c>
      <c r="O2120" s="295" t="s">
        <v>8</v>
      </c>
      <c r="P2120" s="75" t="str">
        <f>IF(AND('331-CT'!$E$7=TH!H2120,OR(N2120="331",O2120="331")),"x","")</f>
        <v/>
      </c>
      <c r="Q2120" s="75" t="str">
        <f>IF(AND(B2120='111'!$L$11,OR($N2120=$Q$7,$O2120=$Q$7)),"x","")</f>
        <v/>
      </c>
      <c r="R2120" s="75" t="str">
        <f>IF(AND($N2120=$Q$7,$B2120&lt;'111'!$L$11),"x","")</f>
        <v/>
      </c>
      <c r="S2120" s="75" t="str">
        <f>IF(AND($O2120=$Q$7,$B2120&lt;'111'!$L$11),"x","")</f>
        <v/>
      </c>
      <c r="T2120" s="75" t="str">
        <f>IF(ISERROR(FIND('112'!$M$9,G2120,1)),"",IF((AND(FIND('112'!$M$9,G2120,1)&gt;=1,B2120='112'!$K$9,OR($N2120='112'!$I$6,$O2120='112'!$I$6))),"x",""))</f>
        <v/>
      </c>
      <c r="U2120" s="75" t="str">
        <f>IF(ISERROR(FIND('112'!$M$9,G2120,1)),"",IF((AND(LEFT(G2120,2)=LEFT('112'!$M$9,2),B2120&lt;'112'!$K$9,$N2120='112'!$I$6)),"x",""))</f>
        <v/>
      </c>
      <c r="V2120" s="75" t="str">
        <f>IF(ISERROR(FIND('112'!$M$9,G2120,1)),"",IF((AND(RIGHT(G2120,2)=RIGHT('112'!$M$9,2),B2120&lt;'112'!$K$9,$O2120='112'!$I$6)),"x",""))</f>
        <v/>
      </c>
      <c r="W2120" s="75" t="str">
        <f>IF(AND('341-CT'!$H$9=H2120,OR(LEFT(N2120,3)=$W$7,LEFT(O2120,3)=$W$7)),"x","")</f>
        <v/>
      </c>
      <c r="X2120" s="75" t="str">
        <f>IF(OR(TH!N2120=TH!$X$7,O2120=TH!$X$7),"x","")</f>
        <v/>
      </c>
      <c r="Y2120" s="75" t="str">
        <f>IF(AND(OR(N2120="131",O2120="131"),H2120='131-CT'!$H$9),"x","")</f>
        <v/>
      </c>
      <c r="Z2120" s="75"/>
      <c r="AA2120" s="75" t="str">
        <f>IF(AND(MONTH(E2120)='IN-NX'!$J$5,'IN-NX'!$D$7=D2120),"x","")</f>
        <v/>
      </c>
      <c r="AB2120" s="75" t="str">
        <f>IF(AND(OR(LEFT(TH!N2120,2)="15",LEFT(TH!O2120,2)="15"),LEFT(TH!O2120,3)&lt;&gt;"111",'152-CT'!$J$8=TH!F2120),"x","")</f>
        <v/>
      </c>
      <c r="AC2120" s="75" t="str">
        <f>IF(AND(OR(LEFT(TH!N2120,2)="15",LEFT(TH!O2120,2)="15"),TK!$E$7=TH!F2120),"x","")</f>
        <v/>
      </c>
      <c r="AD2120" s="75" t="str">
        <f>IF(AND(N2120="1521",MONTH(C2120)='BK-NL'!$M$11),"x","")</f>
        <v/>
      </c>
      <c r="AE2120" s="1053">
        <v>10</v>
      </c>
    </row>
    <row r="2121" spans="1:31" s="1053" customFormat="1" ht="16.5" customHeight="1">
      <c r="A2121" s="309" t="str">
        <f>IF(B2121&lt;&gt;"",IF(AND(B2121='IN-TC'!$S$4,OR(TH!N2121="1111",TH!O2121="1111")),TH!D2121,""),"")</f>
        <v/>
      </c>
      <c r="B2121" s="1244">
        <f t="shared" si="631"/>
        <v>10</v>
      </c>
      <c r="C2121" s="292">
        <v>43031</v>
      </c>
      <c r="D2121" s="292" t="s">
        <v>1390</v>
      </c>
      <c r="E2121" s="292">
        <f t="shared" si="632"/>
        <v>43031</v>
      </c>
      <c r="F2121" s="294" t="s">
        <v>1275</v>
      </c>
      <c r="G2121" s="925" t="s">
        <v>1717</v>
      </c>
      <c r="H2121" s="311" t="s">
        <v>558</v>
      </c>
      <c r="I2121" s="373">
        <v>455</v>
      </c>
      <c r="J2121" s="379">
        <v>15000</v>
      </c>
      <c r="K2121" s="373"/>
      <c r="L2121" s="379"/>
      <c r="M2121" s="927">
        <f t="shared" si="639"/>
        <v>6825000</v>
      </c>
      <c r="N2121" s="295" t="s">
        <v>266</v>
      </c>
      <c r="O2121" s="295" t="s">
        <v>8</v>
      </c>
      <c r="P2121" s="75" t="str">
        <f>IF(AND('331-CT'!$E$7=TH!H2121,OR(N2121="331",O2121="331")),"x","")</f>
        <v/>
      </c>
      <c r="Q2121" s="75" t="str">
        <f>IF(AND(B2121='111'!$L$11,OR($N2121=$Q$7,$O2121=$Q$7)),"x","")</f>
        <v/>
      </c>
      <c r="R2121" s="75" t="str">
        <f>IF(AND($N2121=$Q$7,$B2121&lt;'111'!$L$11),"x","")</f>
        <v/>
      </c>
      <c r="S2121" s="75" t="str">
        <f>IF(AND($O2121=$Q$7,$B2121&lt;'111'!$L$11),"x","")</f>
        <v/>
      </c>
      <c r="T2121" s="75" t="str">
        <f>IF(ISERROR(FIND('112'!$M$9,G2121,1)),"",IF((AND(FIND('112'!$M$9,G2121,1)&gt;=1,B2121='112'!$K$9,OR($N2121='112'!$I$6,$O2121='112'!$I$6))),"x",""))</f>
        <v/>
      </c>
      <c r="U2121" s="75" t="str">
        <f>IF(ISERROR(FIND('112'!$M$9,G2121,1)),"",IF((AND(LEFT(G2121,2)=LEFT('112'!$M$9,2),B2121&lt;'112'!$K$9,$N2121='112'!$I$6)),"x",""))</f>
        <v/>
      </c>
      <c r="V2121" s="75" t="str">
        <f>IF(ISERROR(FIND('112'!$M$9,G2121,1)),"",IF((AND(RIGHT(G2121,2)=RIGHT('112'!$M$9,2),B2121&lt;'112'!$K$9,$O2121='112'!$I$6)),"x",""))</f>
        <v/>
      </c>
      <c r="W2121" s="75" t="str">
        <f>IF(AND('341-CT'!$H$9=H2121,OR(LEFT(N2121,3)=$W$7,LEFT(O2121,3)=$W$7)),"x","")</f>
        <v/>
      </c>
      <c r="X2121" s="75" t="str">
        <f>IF(OR(TH!N2121=TH!$X$7,O2121=TH!$X$7),"x","")</f>
        <v/>
      </c>
      <c r="Y2121" s="75" t="str">
        <f>IF(AND(OR(N2121="131",O2121="131"),H2121='131-CT'!$H$9),"x","")</f>
        <v/>
      </c>
      <c r="Z2121" s="75"/>
      <c r="AA2121" s="75" t="str">
        <f>IF(AND(MONTH(E2121)='IN-NX'!$J$5,'IN-NX'!$D$7=D2121),"x","")</f>
        <v/>
      </c>
      <c r="AB2121" s="75" t="str">
        <f>IF(AND(OR(LEFT(TH!N2121,2)="15",LEFT(TH!O2121,2)="15"),LEFT(TH!O2121,3)&lt;&gt;"111",'152-CT'!$J$8=TH!F2121),"x","")</f>
        <v/>
      </c>
      <c r="AC2121" s="75" t="str">
        <f>IF(AND(OR(LEFT(TH!N2121,2)="15",LEFT(TH!O2121,2)="15"),TK!$E$7=TH!F2121),"x","")</f>
        <v/>
      </c>
      <c r="AD2121" s="75" t="str">
        <f>IF(AND(N2121="1521",MONTH(C2121)='BK-NL'!$M$11),"x","")</f>
        <v/>
      </c>
      <c r="AE2121" s="1053">
        <v>10</v>
      </c>
    </row>
    <row r="2122" spans="1:31" s="1053" customFormat="1" ht="16.5" customHeight="1">
      <c r="A2122" s="309" t="str">
        <f>IF(B2122&lt;&gt;"",IF(AND(B2122='IN-TC'!$S$4,OR(TH!N2122="1111",TH!O2122="1111")),TH!D2122,""),"")</f>
        <v/>
      </c>
      <c r="B2122" s="1244">
        <f t="shared" si="631"/>
        <v>10</v>
      </c>
      <c r="C2122" s="292">
        <v>43031</v>
      </c>
      <c r="D2122" s="292" t="s">
        <v>1390</v>
      </c>
      <c r="E2122" s="292">
        <f t="shared" si="632"/>
        <v>43031</v>
      </c>
      <c r="F2122" s="432" t="s">
        <v>375</v>
      </c>
      <c r="G2122" s="925" t="s">
        <v>1717</v>
      </c>
      <c r="H2122" s="311" t="s">
        <v>558</v>
      </c>
      <c r="I2122" s="373">
        <v>402</v>
      </c>
      <c r="J2122" s="379">
        <v>20300</v>
      </c>
      <c r="K2122" s="373"/>
      <c r="L2122" s="379"/>
      <c r="M2122" s="927">
        <f t="shared" si="639"/>
        <v>8160600</v>
      </c>
      <c r="N2122" s="295" t="s">
        <v>266</v>
      </c>
      <c r="O2122" s="295" t="s">
        <v>8</v>
      </c>
      <c r="P2122" s="75" t="str">
        <f>IF(AND('331-CT'!$E$7=TH!H2122,OR(N2122="331",O2122="331")),"x","")</f>
        <v/>
      </c>
      <c r="Q2122" s="75" t="str">
        <f>IF(AND(B2122='111'!$L$11,OR($N2122=$Q$7,$O2122=$Q$7)),"x","")</f>
        <v/>
      </c>
      <c r="R2122" s="75" t="str">
        <f>IF(AND($N2122=$Q$7,$B2122&lt;'111'!$L$11),"x","")</f>
        <v/>
      </c>
      <c r="S2122" s="75" t="str">
        <f>IF(AND($O2122=$Q$7,$B2122&lt;'111'!$L$11),"x","")</f>
        <v/>
      </c>
      <c r="T2122" s="75" t="str">
        <f>IF(ISERROR(FIND('112'!$M$9,G2122,1)),"",IF((AND(FIND('112'!$M$9,G2122,1)&gt;=1,B2122='112'!$K$9,OR($N2122='112'!$I$6,$O2122='112'!$I$6))),"x",""))</f>
        <v/>
      </c>
      <c r="U2122" s="75" t="str">
        <f>IF(ISERROR(FIND('112'!$M$9,G2122,1)),"",IF((AND(LEFT(G2122,2)=LEFT('112'!$M$9,2),B2122&lt;'112'!$K$9,$N2122='112'!$I$6)),"x",""))</f>
        <v/>
      </c>
      <c r="V2122" s="75" t="str">
        <f>IF(ISERROR(FIND('112'!$M$9,G2122,1)),"",IF((AND(RIGHT(G2122,2)=RIGHT('112'!$M$9,2),B2122&lt;'112'!$K$9,$O2122='112'!$I$6)),"x",""))</f>
        <v/>
      </c>
      <c r="W2122" s="75" t="str">
        <f>IF(AND('341-CT'!$H$9=H2122,OR(LEFT(N2122,3)=$W$7,LEFT(O2122,3)=$W$7)),"x","")</f>
        <v/>
      </c>
      <c r="X2122" s="75" t="str">
        <f>IF(OR(TH!N2122=TH!$X$7,O2122=TH!$X$7),"x","")</f>
        <v/>
      </c>
      <c r="Y2122" s="75" t="str">
        <f>IF(AND(OR(N2122="131",O2122="131"),H2122='131-CT'!$H$9),"x","")</f>
        <v/>
      </c>
      <c r="Z2122" s="75"/>
      <c r="AA2122" s="75" t="str">
        <f>IF(AND(MONTH(E2122)='IN-NX'!$J$5,'IN-NX'!$D$7=D2122),"x","")</f>
        <v/>
      </c>
      <c r="AB2122" s="75" t="str">
        <f>IF(AND(OR(LEFT(TH!N2122,2)="15",LEFT(TH!O2122,2)="15"),LEFT(TH!O2122,3)&lt;&gt;"111",'152-CT'!$J$8=TH!F2122),"x","")</f>
        <v/>
      </c>
      <c r="AC2122" s="75" t="str">
        <f>IF(AND(OR(LEFT(TH!N2122,2)="15",LEFT(TH!O2122,2)="15"),TK!$E$7=TH!F2122),"x","")</f>
        <v/>
      </c>
      <c r="AD2122" s="75" t="str">
        <f>IF(AND(N2122="1521",MONTH(C2122)='BK-NL'!$M$11),"x","")</f>
        <v/>
      </c>
      <c r="AE2122" s="1053">
        <v>10</v>
      </c>
    </row>
    <row r="2123" spans="1:31" s="1053" customFormat="1" ht="16.5" customHeight="1">
      <c r="A2123" s="309" t="str">
        <f>IF(B2123&lt;&gt;"",IF(AND(B2123='IN-TC'!$S$4,OR(TH!N2123="1111",TH!O2123="1111")),TH!D2123,""),"")</f>
        <v/>
      </c>
      <c r="B2123" s="1244">
        <f t="shared" si="631"/>
        <v>10</v>
      </c>
      <c r="C2123" s="292">
        <v>43031</v>
      </c>
      <c r="D2123" s="292" t="s">
        <v>1390</v>
      </c>
      <c r="E2123" s="292">
        <f t="shared" si="632"/>
        <v>43031</v>
      </c>
      <c r="F2123" s="432" t="s">
        <v>830</v>
      </c>
      <c r="G2123" s="925" t="s">
        <v>1717</v>
      </c>
      <c r="H2123" s="311" t="s">
        <v>558</v>
      </c>
      <c r="I2123" s="373">
        <v>430</v>
      </c>
      <c r="J2123" s="379">
        <v>2760</v>
      </c>
      <c r="K2123" s="373"/>
      <c r="L2123" s="379"/>
      <c r="M2123" s="927">
        <f t="shared" si="639"/>
        <v>1186800</v>
      </c>
      <c r="N2123" s="295" t="s">
        <v>266</v>
      </c>
      <c r="O2123" s="295" t="s">
        <v>8</v>
      </c>
      <c r="P2123" s="75" t="str">
        <f>IF(AND('331-CT'!$E$7=TH!H2123,OR(N2123="331",O2123="331")),"x","")</f>
        <v/>
      </c>
      <c r="Q2123" s="75" t="str">
        <f>IF(AND(B2123='111'!$L$11,OR($N2123=$Q$7,$O2123=$Q$7)),"x","")</f>
        <v/>
      </c>
      <c r="R2123" s="75" t="str">
        <f>IF(AND($N2123=$Q$7,$B2123&lt;'111'!$L$11),"x","")</f>
        <v/>
      </c>
      <c r="S2123" s="75" t="str">
        <f>IF(AND($O2123=$Q$7,$B2123&lt;'111'!$L$11),"x","")</f>
        <v/>
      </c>
      <c r="T2123" s="75" t="str">
        <f>IF(ISERROR(FIND('112'!$M$9,G2123,1)),"",IF((AND(FIND('112'!$M$9,G2123,1)&gt;=1,B2123='112'!$K$9,OR($N2123='112'!$I$6,$O2123='112'!$I$6))),"x",""))</f>
        <v/>
      </c>
      <c r="U2123" s="75" t="str">
        <f>IF(ISERROR(FIND('112'!$M$9,G2123,1)),"",IF((AND(LEFT(G2123,2)=LEFT('112'!$M$9,2),B2123&lt;'112'!$K$9,$N2123='112'!$I$6)),"x",""))</f>
        <v/>
      </c>
      <c r="V2123" s="75" t="str">
        <f>IF(ISERROR(FIND('112'!$M$9,G2123,1)),"",IF((AND(RIGHT(G2123,2)=RIGHT('112'!$M$9,2),B2123&lt;'112'!$K$9,$O2123='112'!$I$6)),"x",""))</f>
        <v/>
      </c>
      <c r="W2123" s="75" t="str">
        <f>IF(AND('341-CT'!$H$9=H2123,OR(LEFT(N2123,3)=$W$7,LEFT(O2123,3)=$W$7)),"x","")</f>
        <v/>
      </c>
      <c r="X2123" s="75" t="str">
        <f>IF(OR(TH!N2123=TH!$X$7,O2123=TH!$X$7),"x","")</f>
        <v/>
      </c>
      <c r="Y2123" s="75" t="str">
        <f>IF(AND(OR(N2123="131",O2123="131"),H2123='131-CT'!$H$9),"x","")</f>
        <v/>
      </c>
      <c r="Z2123" s="75"/>
      <c r="AA2123" s="75" t="str">
        <f>IF(AND(MONTH(E2123)='IN-NX'!$J$5,'IN-NX'!$D$7=D2123),"x","")</f>
        <v/>
      </c>
      <c r="AB2123" s="75" t="str">
        <f>IF(AND(OR(LEFT(TH!N2123,2)="15",LEFT(TH!O2123,2)="15"),LEFT(TH!O2123,3)&lt;&gt;"111",'152-CT'!$J$8=TH!F2123),"x","")</f>
        <v/>
      </c>
      <c r="AC2123" s="75" t="str">
        <f>IF(AND(OR(LEFT(TH!N2123,2)="15",LEFT(TH!O2123,2)="15"),TK!$E$7=TH!F2123),"x","")</f>
        <v/>
      </c>
      <c r="AD2123" s="75" t="str">
        <f>IF(AND(N2123="1521",MONTH(C2123)='BK-NL'!$M$11),"x","")</f>
        <v/>
      </c>
      <c r="AE2123" s="1053">
        <v>10</v>
      </c>
    </row>
    <row r="2124" spans="1:31" s="1053" customFormat="1" ht="16.5" customHeight="1">
      <c r="A2124" s="309" t="str">
        <f>IF(B2124&lt;&gt;"",IF(AND(B2124='IN-TC'!$S$4,OR(TH!N2124="1111",TH!O2124="1111")),TH!D2124,""),"")</f>
        <v/>
      </c>
      <c r="B2124" s="1244">
        <f t="shared" si="631"/>
        <v>10</v>
      </c>
      <c r="C2124" s="292">
        <v>43031</v>
      </c>
      <c r="D2124" s="292" t="s">
        <v>1390</v>
      </c>
      <c r="E2124" s="292">
        <f t="shared" si="632"/>
        <v>43031</v>
      </c>
      <c r="F2124" s="432" t="s">
        <v>2173</v>
      </c>
      <c r="G2124" s="925" t="s">
        <v>1717</v>
      </c>
      <c r="H2124" s="311" t="s">
        <v>558</v>
      </c>
      <c r="I2124" s="373">
        <v>35980</v>
      </c>
      <c r="J2124" s="379">
        <v>200</v>
      </c>
      <c r="K2124" s="373"/>
      <c r="L2124" s="379"/>
      <c r="M2124" s="927">
        <f t="shared" si="639"/>
        <v>7196000</v>
      </c>
      <c r="N2124" s="295" t="s">
        <v>266</v>
      </c>
      <c r="O2124" s="295" t="s">
        <v>8</v>
      </c>
      <c r="P2124" s="75" t="str">
        <f>IF(AND('331-CT'!$E$7=TH!H2124,OR(N2124="331",O2124="331")),"x","")</f>
        <v/>
      </c>
      <c r="Q2124" s="75" t="str">
        <f>IF(AND(B2124='111'!$L$11,OR($N2124=$Q$7,$O2124=$Q$7)),"x","")</f>
        <v/>
      </c>
      <c r="R2124" s="75" t="str">
        <f>IF(AND($N2124=$Q$7,$B2124&lt;'111'!$L$11),"x","")</f>
        <v/>
      </c>
      <c r="S2124" s="75" t="str">
        <f>IF(AND($O2124=$Q$7,$B2124&lt;'111'!$L$11),"x","")</f>
        <v/>
      </c>
      <c r="T2124" s="75" t="str">
        <f>IF(ISERROR(FIND('112'!$M$9,G2124,1)),"",IF((AND(FIND('112'!$M$9,G2124,1)&gt;=1,B2124='112'!$K$9,OR($N2124='112'!$I$6,$O2124='112'!$I$6))),"x",""))</f>
        <v/>
      </c>
      <c r="U2124" s="75" t="str">
        <f>IF(ISERROR(FIND('112'!$M$9,G2124,1)),"",IF((AND(LEFT(G2124,2)=LEFT('112'!$M$9,2),B2124&lt;'112'!$K$9,$N2124='112'!$I$6)),"x",""))</f>
        <v/>
      </c>
      <c r="V2124" s="75" t="str">
        <f>IF(ISERROR(FIND('112'!$M$9,G2124,1)),"",IF((AND(RIGHT(G2124,2)=RIGHT('112'!$M$9,2),B2124&lt;'112'!$K$9,$O2124='112'!$I$6)),"x",""))</f>
        <v/>
      </c>
      <c r="W2124" s="75" t="str">
        <f>IF(AND('341-CT'!$H$9=H2124,OR(LEFT(N2124,3)=$W$7,LEFT(O2124,3)=$W$7)),"x","")</f>
        <v/>
      </c>
      <c r="X2124" s="75" t="str">
        <f>IF(OR(TH!N2124=TH!$X$7,O2124=TH!$X$7),"x","")</f>
        <v/>
      </c>
      <c r="Y2124" s="75" t="str">
        <f>IF(AND(OR(N2124="131",O2124="131"),H2124='131-CT'!$H$9),"x","")</f>
        <v/>
      </c>
      <c r="Z2124" s="75"/>
      <c r="AA2124" s="75" t="str">
        <f>IF(AND(MONTH(E2124)='IN-NX'!$J$5,'IN-NX'!$D$7=D2124),"x","")</f>
        <v/>
      </c>
      <c r="AB2124" s="75" t="str">
        <f>IF(AND(OR(LEFT(TH!N2124,2)="15",LEFT(TH!O2124,2)="15"),LEFT(TH!O2124,3)&lt;&gt;"111",'152-CT'!$J$8=TH!F2124),"x","")</f>
        <v/>
      </c>
      <c r="AC2124" s="75" t="str">
        <f>IF(AND(OR(LEFT(TH!N2124,2)="15",LEFT(TH!O2124,2)="15"),TK!$E$7=TH!F2124),"x","")</f>
        <v/>
      </c>
      <c r="AD2124" s="75" t="str">
        <f>IF(AND(N2124="1521",MONTH(C2124)='BK-NL'!$M$11),"x","")</f>
        <v/>
      </c>
      <c r="AE2124" s="1053">
        <v>10</v>
      </c>
    </row>
    <row r="2125" spans="1:31" s="1053" customFormat="1" ht="16.5" customHeight="1">
      <c r="A2125" s="309" t="str">
        <f>IF(B2125&lt;&gt;"",IF(AND(B2125='IN-TC'!$S$4,OR(TH!N2125="1111",TH!O2125="1111")),TH!D2125,""),"")</f>
        <v/>
      </c>
      <c r="B2125" s="1244">
        <f t="shared" si="631"/>
        <v>10</v>
      </c>
      <c r="C2125" s="292">
        <v>43031</v>
      </c>
      <c r="D2125" s="292" t="s">
        <v>1390</v>
      </c>
      <c r="E2125" s="292">
        <f t="shared" si="632"/>
        <v>43031</v>
      </c>
      <c r="F2125" s="432" t="s">
        <v>2343</v>
      </c>
      <c r="G2125" s="925" t="s">
        <v>1717</v>
      </c>
      <c r="H2125" s="311" t="s">
        <v>558</v>
      </c>
      <c r="I2125" s="373"/>
      <c r="J2125" s="379"/>
      <c r="K2125" s="373"/>
      <c r="L2125" s="379"/>
      <c r="M2125" s="927">
        <v>4281690</v>
      </c>
      <c r="N2125" s="295" t="s">
        <v>9</v>
      </c>
      <c r="O2125" s="295" t="s">
        <v>8</v>
      </c>
      <c r="P2125" s="75" t="str">
        <f>IF(AND('331-CT'!$E$7=TH!H2125,OR(N2125="331",O2125="331")),"x","")</f>
        <v/>
      </c>
      <c r="Q2125" s="75" t="str">
        <f>IF(AND(B2125='111'!$L$11,OR($N2125=$Q$7,$O2125=$Q$7)),"x","")</f>
        <v/>
      </c>
      <c r="R2125" s="75" t="str">
        <f>IF(AND($N2125=$Q$7,$B2125&lt;'111'!$L$11),"x","")</f>
        <v/>
      </c>
      <c r="S2125" s="75" t="str">
        <f>IF(AND($O2125=$Q$7,$B2125&lt;'111'!$L$11),"x","")</f>
        <v/>
      </c>
      <c r="T2125" s="75" t="str">
        <f>IF(ISERROR(FIND('112'!$M$9,G2125,1)),"",IF((AND(FIND('112'!$M$9,G2125,1)&gt;=1,B2125='112'!$K$9,OR($N2125='112'!$I$6,$O2125='112'!$I$6))),"x",""))</f>
        <v/>
      </c>
      <c r="U2125" s="75" t="str">
        <f>IF(ISERROR(FIND('112'!$M$9,G2125,1)),"",IF((AND(LEFT(G2125,2)=LEFT('112'!$M$9,2),B2125&lt;'112'!$K$9,$N2125='112'!$I$6)),"x",""))</f>
        <v/>
      </c>
      <c r="V2125" s="75" t="str">
        <f>IF(ISERROR(FIND('112'!$M$9,G2125,1)),"",IF((AND(RIGHT(G2125,2)=RIGHT('112'!$M$9,2),B2125&lt;'112'!$K$9,$O2125='112'!$I$6)),"x",""))</f>
        <v/>
      </c>
      <c r="W2125" s="75" t="str">
        <f>IF(AND('341-CT'!$H$9=H2125,OR(LEFT(N2125,3)=$W$7,LEFT(O2125,3)=$W$7)),"x","")</f>
        <v/>
      </c>
      <c r="X2125" s="75" t="str">
        <f>IF(OR(TH!N2125=TH!$X$7,O2125=TH!$X$7),"x","")</f>
        <v/>
      </c>
      <c r="Y2125" s="75" t="str">
        <f>IF(AND(OR(N2125="131",O2125="131"),H2125='131-CT'!$H$9),"x","")</f>
        <v/>
      </c>
      <c r="Z2125" s="75"/>
      <c r="AA2125" s="75" t="str">
        <f>IF(AND(MONTH(E2125)='IN-NX'!$J$5,'IN-NX'!$D$7=D2125),"x","")</f>
        <v/>
      </c>
      <c r="AB2125" s="75" t="str">
        <f>IF(AND(OR(LEFT(TH!N2125,2)="15",LEFT(TH!O2125,2)="15"),LEFT(TH!O2125,3)&lt;&gt;"111",'152-CT'!$J$8=TH!F2125),"x","")</f>
        <v/>
      </c>
      <c r="AC2125" s="75" t="str">
        <f>IF(AND(OR(LEFT(TH!N2125,2)="15",LEFT(TH!O2125,2)="15"),TK!$E$7=TH!F2125),"x","")</f>
        <v/>
      </c>
      <c r="AD2125" s="75" t="str">
        <f>IF(AND(N2125="1521",MONTH(C2125)='BK-NL'!$M$11),"x","")</f>
        <v/>
      </c>
      <c r="AE2125" s="1053">
        <v>10</v>
      </c>
    </row>
    <row r="2126" spans="1:31" s="1053" customFormat="1" ht="16.5" customHeight="1">
      <c r="A2126" s="309" t="str">
        <f>IF(B2126&lt;&gt;"",IF(AND(B2126='IN-TC'!$S$4,OR(TH!N2126="1111",TH!O2126="1111")),TH!D2126,""),"")</f>
        <v/>
      </c>
      <c r="B2126" s="1244">
        <f t="shared" si="631"/>
        <v>10</v>
      </c>
      <c r="C2126" s="292">
        <v>43032</v>
      </c>
      <c r="D2126" s="292" t="s">
        <v>1391</v>
      </c>
      <c r="E2126" s="292">
        <f t="shared" si="632"/>
        <v>43032</v>
      </c>
      <c r="F2126" s="67" t="s">
        <v>346</v>
      </c>
      <c r="G2126" s="925" t="s">
        <v>2335</v>
      </c>
      <c r="H2126" s="311" t="s">
        <v>555</v>
      </c>
      <c r="I2126" s="373">
        <v>600</v>
      </c>
      <c r="J2126" s="379">
        <v>8000</v>
      </c>
      <c r="K2126" s="373"/>
      <c r="L2126" s="379"/>
      <c r="M2126" s="927">
        <f>I2126*J2126</f>
        <v>4800000</v>
      </c>
      <c r="N2126" s="295" t="s">
        <v>266</v>
      </c>
      <c r="O2126" s="295" t="s">
        <v>8</v>
      </c>
      <c r="P2126" s="75" t="str">
        <f>IF(AND('331-CT'!$E$7=TH!H2126,OR(N2126="331",O2126="331")),"x","")</f>
        <v/>
      </c>
      <c r="Q2126" s="75" t="str">
        <f>IF(AND(B2126='111'!$L$11,OR($N2126=$Q$7,$O2126=$Q$7)),"x","")</f>
        <v/>
      </c>
      <c r="R2126" s="75" t="str">
        <f>IF(AND($N2126=$Q$7,$B2126&lt;'111'!$L$11),"x","")</f>
        <v/>
      </c>
      <c r="S2126" s="75" t="str">
        <f>IF(AND($O2126=$Q$7,$B2126&lt;'111'!$L$11),"x","")</f>
        <v/>
      </c>
      <c r="T2126" s="75" t="str">
        <f>IF(ISERROR(FIND('112'!$M$9,G2126,1)),"",IF((AND(FIND('112'!$M$9,G2126,1)&gt;=1,B2126='112'!$K$9,OR($N2126='112'!$I$6,$O2126='112'!$I$6))),"x",""))</f>
        <v/>
      </c>
      <c r="U2126" s="75" t="str">
        <f>IF(ISERROR(FIND('112'!$M$9,G2126,1)),"",IF((AND(LEFT(G2126,2)=LEFT('112'!$M$9,2),B2126&lt;'112'!$K$9,$N2126='112'!$I$6)),"x",""))</f>
        <v/>
      </c>
      <c r="V2126" s="75" t="str">
        <f>IF(ISERROR(FIND('112'!$M$9,G2126,1)),"",IF((AND(RIGHT(G2126,2)=RIGHT('112'!$M$9,2),B2126&lt;'112'!$K$9,$O2126='112'!$I$6)),"x",""))</f>
        <v/>
      </c>
      <c r="W2126" s="75" t="str">
        <f>IF(AND('341-CT'!$H$9=H2126,OR(LEFT(N2126,3)=$W$7,LEFT(O2126,3)=$W$7)),"x","")</f>
        <v/>
      </c>
      <c r="X2126" s="75" t="str">
        <f>IF(OR(TH!N2126=TH!$X$7,O2126=TH!$X$7),"x","")</f>
        <v/>
      </c>
      <c r="Y2126" s="75" t="str">
        <f>IF(AND(OR(N2126="131",O2126="131"),H2126='131-CT'!$H$9),"x","")</f>
        <v/>
      </c>
      <c r="Z2126" s="75"/>
      <c r="AA2126" s="75" t="str">
        <f>IF(AND(MONTH(E2126)='IN-NX'!$J$5,'IN-NX'!$D$7=D2126),"x","")</f>
        <v/>
      </c>
      <c r="AB2126" s="75" t="str">
        <f>IF(AND(OR(LEFT(TH!N2126,2)="15",LEFT(TH!O2126,2)="15"),LEFT(TH!O2126,3)&lt;&gt;"111",'152-CT'!$J$8=TH!F2126),"x","")</f>
        <v/>
      </c>
      <c r="AC2126" s="75" t="str">
        <f>IF(AND(OR(LEFT(TH!N2126,2)="15",LEFT(TH!O2126,2)="15"),TK!$E$7=TH!F2126),"x","")</f>
        <v/>
      </c>
      <c r="AD2126" s="75" t="str">
        <f>IF(AND(N2126="1521",MONTH(C2126)='BK-NL'!$M$11),"x","")</f>
        <v/>
      </c>
      <c r="AE2126" s="1053">
        <v>10</v>
      </c>
    </row>
    <row r="2127" spans="1:31" s="1053" customFormat="1" ht="16.5" customHeight="1">
      <c r="A2127" s="309" t="str">
        <f>IF(B2127&lt;&gt;"",IF(AND(B2127='IN-TC'!$S$4,OR(TH!N2127="1111",TH!O2127="1111")),TH!D2127,""),"")</f>
        <v/>
      </c>
      <c r="B2127" s="1244">
        <f t="shared" si="631"/>
        <v>10</v>
      </c>
      <c r="C2127" s="292">
        <v>43032</v>
      </c>
      <c r="D2127" s="292" t="s">
        <v>1391</v>
      </c>
      <c r="E2127" s="292">
        <f t="shared" si="632"/>
        <v>43032</v>
      </c>
      <c r="F2127" s="67" t="s">
        <v>841</v>
      </c>
      <c r="G2127" s="925" t="s">
        <v>2335</v>
      </c>
      <c r="H2127" s="311" t="s">
        <v>555</v>
      </c>
      <c r="I2127" s="373"/>
      <c r="J2127" s="379"/>
      <c r="K2127" s="373"/>
      <c r="L2127" s="379"/>
      <c r="M2127" s="927">
        <v>480000</v>
      </c>
      <c r="N2127" s="295" t="s">
        <v>9</v>
      </c>
      <c r="O2127" s="295" t="s">
        <v>8</v>
      </c>
      <c r="P2127" s="75" t="str">
        <f>IF(AND('331-CT'!$E$7=TH!H2127,OR(N2127="331",O2127="331")),"x","")</f>
        <v/>
      </c>
      <c r="Q2127" s="75" t="str">
        <f>IF(AND(B2127='111'!$L$11,OR($N2127=$Q$7,$O2127=$Q$7)),"x","")</f>
        <v/>
      </c>
      <c r="R2127" s="75" t="str">
        <f>IF(AND($N2127=$Q$7,$B2127&lt;'111'!$L$11),"x","")</f>
        <v/>
      </c>
      <c r="S2127" s="75" t="str">
        <f>IF(AND($O2127=$Q$7,$B2127&lt;'111'!$L$11),"x","")</f>
        <v/>
      </c>
      <c r="T2127" s="75" t="str">
        <f>IF(ISERROR(FIND('112'!$M$9,G2127,1)),"",IF((AND(FIND('112'!$M$9,G2127,1)&gt;=1,B2127='112'!$K$9,OR($N2127='112'!$I$6,$O2127='112'!$I$6))),"x",""))</f>
        <v/>
      </c>
      <c r="U2127" s="75" t="str">
        <f>IF(ISERROR(FIND('112'!$M$9,G2127,1)),"",IF((AND(LEFT(G2127,2)=LEFT('112'!$M$9,2),B2127&lt;'112'!$K$9,$N2127='112'!$I$6)),"x",""))</f>
        <v/>
      </c>
      <c r="V2127" s="75" t="str">
        <f>IF(ISERROR(FIND('112'!$M$9,G2127,1)),"",IF((AND(RIGHT(G2127,2)=RIGHT('112'!$M$9,2),B2127&lt;'112'!$K$9,$O2127='112'!$I$6)),"x",""))</f>
        <v/>
      </c>
      <c r="W2127" s="75" t="str">
        <f>IF(AND('341-CT'!$H$9=H2127,OR(LEFT(N2127,3)=$W$7,LEFT(O2127,3)=$W$7)),"x","")</f>
        <v/>
      </c>
      <c r="X2127" s="75" t="str">
        <f>IF(OR(TH!N2127=TH!$X$7,O2127=TH!$X$7),"x","")</f>
        <v/>
      </c>
      <c r="Y2127" s="75" t="str">
        <f>IF(AND(OR(N2127="131",O2127="131"),H2127='131-CT'!$H$9),"x","")</f>
        <v/>
      </c>
      <c r="Z2127" s="75"/>
      <c r="AA2127" s="75" t="str">
        <f>IF(AND(MONTH(E2127)='IN-NX'!$J$5,'IN-NX'!$D$7=D2127),"x","")</f>
        <v/>
      </c>
      <c r="AB2127" s="75" t="str">
        <f>IF(AND(OR(LEFT(TH!N2127,2)="15",LEFT(TH!O2127,2)="15"),LEFT(TH!O2127,3)&lt;&gt;"111",'152-CT'!$J$8=TH!F2127),"x","")</f>
        <v/>
      </c>
      <c r="AC2127" s="75" t="str">
        <f>IF(AND(OR(LEFT(TH!N2127,2)="15",LEFT(TH!O2127,2)="15"),TK!$E$7=TH!F2127),"x","")</f>
        <v/>
      </c>
      <c r="AD2127" s="75" t="str">
        <f>IF(AND(N2127="1521",MONTH(C2127)='BK-NL'!$M$11),"x","")</f>
        <v/>
      </c>
      <c r="AE2127" s="1053">
        <v>10</v>
      </c>
    </row>
    <row r="2128" spans="1:31" s="1053" customFormat="1" ht="17.25" customHeight="1">
      <c r="A2128" s="309" t="str">
        <f>IF(B2128&lt;&gt;"",IF(AND(B2128='IN-TC'!$S$4,OR(TH!N2128="1111",TH!O2128="1111")),TH!D2128,""),"")</f>
        <v/>
      </c>
      <c r="B2128" s="1244">
        <f t="shared" ref="B2128:B2129" si="640">IF(C2128&lt;&gt;"",MONTH(C2128),"")</f>
        <v>10</v>
      </c>
      <c r="C2128" s="292">
        <v>43032</v>
      </c>
      <c r="D2128" s="292" t="s">
        <v>1392</v>
      </c>
      <c r="E2128" s="292">
        <f t="shared" ref="E2128:E2129" si="641">C2128</f>
        <v>43032</v>
      </c>
      <c r="F2128" s="67" t="s">
        <v>795</v>
      </c>
      <c r="G2128" s="925" t="s">
        <v>2600</v>
      </c>
      <c r="H2128" s="311" t="s">
        <v>1684</v>
      </c>
      <c r="I2128" s="373">
        <v>3045</v>
      </c>
      <c r="J2128" s="379">
        <v>5900</v>
      </c>
      <c r="K2128" s="373"/>
      <c r="L2128" s="379"/>
      <c r="M2128" s="927">
        <f>I2128*J2128</f>
        <v>17965500</v>
      </c>
      <c r="N2128" s="295" t="s">
        <v>266</v>
      </c>
      <c r="O2128" s="295" t="s">
        <v>8</v>
      </c>
      <c r="P2128" s="75" t="str">
        <f>IF(AND('331-CT'!$E$7=TH!H2128,OR(N2128="331",O2128="331")),"x","")</f>
        <v/>
      </c>
      <c r="Q2128" s="75" t="str">
        <f>IF(AND(B2128='111'!$L$11,OR($N2128=$Q$7,$O2128=$Q$7)),"x","")</f>
        <v/>
      </c>
      <c r="R2128" s="75" t="str">
        <f>IF(AND($N2128=$Q$7,$B2128&lt;'111'!$L$11),"x","")</f>
        <v/>
      </c>
      <c r="S2128" s="75" t="str">
        <f>IF(AND($O2128=$Q$7,$B2128&lt;'111'!$L$11),"x","")</f>
        <v/>
      </c>
      <c r="T2128" s="75" t="str">
        <f>IF(ISERROR(FIND('112'!$M$9,G2128,1)),"",IF((AND(FIND('112'!$M$9,G2128,1)&gt;=1,B2128='112'!$K$9,OR($N2128='112'!$I$6,$O2128='112'!$I$6))),"x",""))</f>
        <v/>
      </c>
      <c r="U2128" s="75" t="str">
        <f>IF(ISERROR(FIND('112'!$M$9,G2128,1)),"",IF((AND(LEFT(G2128,2)=LEFT('112'!$M$9,2),B2128&lt;'112'!$K$9,$N2128='112'!$I$6)),"x",""))</f>
        <v/>
      </c>
      <c r="V2128" s="75" t="str">
        <f>IF(ISERROR(FIND('112'!$M$9,G2128,1)),"",IF((AND(RIGHT(G2128,2)=RIGHT('112'!$M$9,2),B2128&lt;'112'!$K$9,$O2128='112'!$I$6)),"x",""))</f>
        <v/>
      </c>
      <c r="W2128" s="75" t="str">
        <f>IF(AND('341-CT'!$H$9=H2128,OR(LEFT(N2128,3)=$W$7,LEFT(O2128,3)=$W$7)),"x","")</f>
        <v/>
      </c>
      <c r="X2128" s="75" t="str">
        <f>IF(OR(TH!N2128=TH!$X$7,O2128=TH!$X$7),"x","")</f>
        <v/>
      </c>
      <c r="Y2128" s="75" t="str">
        <f>IF(AND(OR(N2128="131",O2128="131"),H2128='131-CT'!$H$9),"x","")</f>
        <v/>
      </c>
      <c r="Z2128" s="75"/>
      <c r="AA2128" s="75" t="str">
        <f>IF(AND(MONTH(E2128)='IN-NX'!$J$5,'IN-NX'!$D$7=D2128),"x","")</f>
        <v/>
      </c>
      <c r="AB2128" s="75" t="str">
        <f>IF(AND(OR(LEFT(TH!N2128,2)="15",LEFT(TH!O2128,2)="15"),LEFT(TH!O2128,3)&lt;&gt;"111",'152-CT'!$J$8=TH!F2128),"x","")</f>
        <v/>
      </c>
      <c r="AC2128" s="75" t="str">
        <f>IF(AND(OR(LEFT(TH!N2128,2)="15",LEFT(TH!O2128,2)="15"),TK!$E$7=TH!F2128),"x","")</f>
        <v/>
      </c>
      <c r="AD2128" s="75" t="str">
        <f>IF(AND(N2128="1521",MONTH(C2128)='BK-NL'!$M$11),"x","")</f>
        <v/>
      </c>
      <c r="AE2128" s="1053">
        <v>11</v>
      </c>
    </row>
    <row r="2129" spans="1:31" s="1053" customFormat="1" ht="17.25" customHeight="1">
      <c r="A2129" s="309" t="str">
        <f>IF(B2129&lt;&gt;"",IF(AND(B2129='IN-TC'!$S$4,OR(TH!N2129="1111",TH!O2129="1111")),TH!D2129,""),"")</f>
        <v/>
      </c>
      <c r="B2129" s="1244">
        <f t="shared" si="640"/>
        <v>10</v>
      </c>
      <c r="C2129" s="292">
        <v>43032</v>
      </c>
      <c r="D2129" s="292" t="s">
        <v>1392</v>
      </c>
      <c r="E2129" s="292">
        <f t="shared" si="641"/>
        <v>43032</v>
      </c>
      <c r="F2129" s="67" t="s">
        <v>1143</v>
      </c>
      <c r="G2129" s="925" t="s">
        <v>2600</v>
      </c>
      <c r="H2129" s="311" t="s">
        <v>1684</v>
      </c>
      <c r="I2129" s="373"/>
      <c r="J2129" s="379"/>
      <c r="K2129" s="373"/>
      <c r="L2129" s="379"/>
      <c r="M2129" s="927">
        <v>1796550</v>
      </c>
      <c r="N2129" s="295" t="s">
        <v>9</v>
      </c>
      <c r="O2129" s="295" t="s">
        <v>8</v>
      </c>
      <c r="P2129" s="75" t="str">
        <f>IF(AND('331-CT'!$E$7=TH!H2129,OR(N2129="331",O2129="331")),"x","")</f>
        <v/>
      </c>
      <c r="Q2129" s="75" t="str">
        <f>IF(AND(B2129='111'!$L$11,OR($N2129=$Q$7,$O2129=$Q$7)),"x","")</f>
        <v/>
      </c>
      <c r="R2129" s="75" t="str">
        <f>IF(AND($N2129=$Q$7,$B2129&lt;'111'!$L$11),"x","")</f>
        <v/>
      </c>
      <c r="S2129" s="75" t="str">
        <f>IF(AND($O2129=$Q$7,$B2129&lt;'111'!$L$11),"x","")</f>
        <v/>
      </c>
      <c r="T2129" s="75" t="str">
        <f>IF(ISERROR(FIND('112'!$M$9,G2129,1)),"",IF((AND(FIND('112'!$M$9,G2129,1)&gt;=1,B2129='112'!$K$9,OR($N2129='112'!$I$6,$O2129='112'!$I$6))),"x",""))</f>
        <v/>
      </c>
      <c r="U2129" s="75" t="str">
        <f>IF(ISERROR(FIND('112'!$M$9,G2129,1)),"",IF((AND(LEFT(G2129,2)=LEFT('112'!$M$9,2),B2129&lt;'112'!$K$9,$N2129='112'!$I$6)),"x",""))</f>
        <v/>
      </c>
      <c r="V2129" s="75" t="str">
        <f>IF(ISERROR(FIND('112'!$M$9,G2129,1)),"",IF((AND(RIGHT(G2129,2)=RIGHT('112'!$M$9,2),B2129&lt;'112'!$K$9,$O2129='112'!$I$6)),"x",""))</f>
        <v/>
      </c>
      <c r="W2129" s="75" t="str">
        <f>IF(AND('341-CT'!$H$9=H2129,OR(LEFT(N2129,3)=$W$7,LEFT(O2129,3)=$W$7)),"x","")</f>
        <v/>
      </c>
      <c r="X2129" s="75" t="str">
        <f>IF(OR(TH!N2129=TH!$X$7,O2129=TH!$X$7),"x","")</f>
        <v/>
      </c>
      <c r="Y2129" s="75" t="str">
        <f>IF(AND(OR(N2129="131",O2129="131"),H2129='131-CT'!$H$9),"x","")</f>
        <v/>
      </c>
      <c r="Z2129" s="75"/>
      <c r="AA2129" s="75" t="str">
        <f>IF(AND(MONTH(E2129)='IN-NX'!$J$5,'IN-NX'!$D$7=D2129),"x","")</f>
        <v/>
      </c>
      <c r="AB2129" s="75" t="str">
        <f>IF(AND(OR(LEFT(TH!N2129,2)="15",LEFT(TH!O2129,2)="15"),LEFT(TH!O2129,3)&lt;&gt;"111",'152-CT'!$J$8=TH!F2129),"x","")</f>
        <v/>
      </c>
      <c r="AC2129" s="75" t="str">
        <f>IF(AND(OR(LEFT(TH!N2129,2)="15",LEFT(TH!O2129,2)="15"),TK!$E$7=TH!F2129),"x","")</f>
        <v/>
      </c>
      <c r="AD2129" s="75" t="str">
        <f>IF(AND(N2129="1521",MONTH(C2129)='BK-NL'!$M$11),"x","")</f>
        <v/>
      </c>
      <c r="AE2129" s="1053">
        <v>11</v>
      </c>
    </row>
    <row r="2130" spans="1:31" s="1053" customFormat="1" ht="16.5" customHeight="1">
      <c r="A2130" s="309" t="str">
        <f>IF(B2130&lt;&gt;"",IF(AND(B2130='IN-TC'!$S$4,OR(TH!N2130="1111",TH!O2130="1111")),TH!D2130,""),"")</f>
        <v/>
      </c>
      <c r="B2130" s="1244">
        <f>IF(C2130&lt;&gt;"",MONTH(C2130),"")</f>
        <v>10</v>
      </c>
      <c r="C2130" s="292">
        <v>43034</v>
      </c>
      <c r="D2130" s="292" t="s">
        <v>1533</v>
      </c>
      <c r="E2130" s="292">
        <f>C2130</f>
        <v>43034</v>
      </c>
      <c r="F2130" s="67" t="s">
        <v>564</v>
      </c>
      <c r="G2130" s="925" t="s">
        <v>2478</v>
      </c>
      <c r="H2130" s="311" t="s">
        <v>740</v>
      </c>
      <c r="I2130" s="373">
        <v>2400</v>
      </c>
      <c r="J2130" s="379">
        <v>14000</v>
      </c>
      <c r="K2130" s="373"/>
      <c r="L2130" s="379"/>
      <c r="M2130" s="927">
        <v>33600000</v>
      </c>
      <c r="N2130" s="295" t="s">
        <v>266</v>
      </c>
      <c r="O2130" s="295" t="s">
        <v>8</v>
      </c>
      <c r="P2130" s="75" t="str">
        <f>IF(AND('331-CT'!$E$7=TH!H2130,OR(N2130="331",O2130="331")),"x","")</f>
        <v/>
      </c>
      <c r="Q2130" s="75" t="str">
        <f>IF(AND(B2130='111'!$L$11,OR($N2130=$Q$7,$O2130=$Q$7)),"x","")</f>
        <v/>
      </c>
      <c r="R2130" s="75" t="str">
        <f>IF(AND($N2130=$Q$7,$B2130&lt;'111'!$L$11),"x","")</f>
        <v/>
      </c>
      <c r="S2130" s="75" t="str">
        <f>IF(AND($O2130=$Q$7,$B2130&lt;'111'!$L$11),"x","")</f>
        <v/>
      </c>
      <c r="T2130" s="75" t="str">
        <f>IF(ISERROR(FIND('112'!$M$9,G2130,1)),"",IF((AND(FIND('112'!$M$9,G2130,1)&gt;=1,B2130='112'!$K$9,OR($N2130='112'!$I$6,$O2130='112'!$I$6))),"x",""))</f>
        <v/>
      </c>
      <c r="U2130" s="75" t="str">
        <f>IF(ISERROR(FIND('112'!$M$9,G2130,1)),"",IF((AND(LEFT(G2130,2)=LEFT('112'!$M$9,2),B2130&lt;'112'!$K$9,$N2130='112'!$I$6)),"x",""))</f>
        <v/>
      </c>
      <c r="V2130" s="75" t="str">
        <f>IF(ISERROR(FIND('112'!$M$9,G2130,1)),"",IF((AND(RIGHT(G2130,2)=RIGHT('112'!$M$9,2),B2130&lt;'112'!$K$9,$O2130='112'!$I$6)),"x",""))</f>
        <v/>
      </c>
      <c r="W2130" s="75" t="str">
        <f>IF(AND('341-CT'!$H$9=H2130,OR(LEFT(N2130,3)=$W$7,LEFT(O2130,3)=$W$7)),"x","")</f>
        <v/>
      </c>
      <c r="X2130" s="75" t="str">
        <f>IF(OR(TH!N2130=TH!$X$7,O2130=TH!$X$7),"x","")</f>
        <v/>
      </c>
      <c r="Y2130" s="75" t="str">
        <f>IF(AND(OR(N2130="131",O2130="131"),H2130='131-CT'!$H$9),"x","")</f>
        <v/>
      </c>
      <c r="Z2130" s="75"/>
      <c r="AA2130" s="75" t="str">
        <f>IF(AND(MONTH(E2130)='IN-NX'!$J$5,'IN-NX'!$D$7=D2130),"x","")</f>
        <v/>
      </c>
      <c r="AB2130" s="75" t="str">
        <f>IF(AND(OR(LEFT(TH!N2130,2)="15",LEFT(TH!O2130,2)="15"),LEFT(TH!O2130,3)&lt;&gt;"111",'152-CT'!$J$8=TH!F2130),"x","")</f>
        <v/>
      </c>
      <c r="AC2130" s="75" t="str">
        <f>IF(AND(OR(LEFT(TH!N2130,2)="15",LEFT(TH!O2130,2)="15"),TK!$E$7=TH!F2130),"x","")</f>
        <v/>
      </c>
      <c r="AD2130" s="75" t="str">
        <f>IF(AND(N2130="1521",MONTH(C2130)='BK-NL'!$M$11),"x","")</f>
        <v/>
      </c>
      <c r="AE2130" s="1053">
        <v>10</v>
      </c>
    </row>
    <row r="2131" spans="1:31" s="1053" customFormat="1" ht="16.5" customHeight="1">
      <c r="A2131" s="309" t="str">
        <f>IF(B2131&lt;&gt;"",IF(AND(B2131='IN-TC'!$S$4,OR(TH!N2131="1111",TH!O2131="1111")),TH!D2131,""),"")</f>
        <v/>
      </c>
      <c r="B2131" s="1244">
        <f>IF(C2131&lt;&gt;"",MONTH(C2131),"")</f>
        <v>10</v>
      </c>
      <c r="C2131" s="292">
        <v>43034</v>
      </c>
      <c r="D2131" s="292" t="s">
        <v>1533</v>
      </c>
      <c r="E2131" s="292">
        <f>C2131</f>
        <v>43034</v>
      </c>
      <c r="F2131" s="67" t="s">
        <v>848</v>
      </c>
      <c r="G2131" s="925" t="s">
        <v>2478</v>
      </c>
      <c r="H2131" s="311" t="s">
        <v>740</v>
      </c>
      <c r="I2131" s="373"/>
      <c r="J2131" s="379"/>
      <c r="K2131" s="373"/>
      <c r="L2131" s="379"/>
      <c r="M2131" s="927">
        <v>3360000</v>
      </c>
      <c r="N2131" s="295" t="s">
        <v>9</v>
      </c>
      <c r="O2131" s="295" t="s">
        <v>8</v>
      </c>
      <c r="P2131" s="75" t="str">
        <f>IF(AND('331-CT'!$E$7=TH!H2131,OR(N2131="331",O2131="331")),"x","")</f>
        <v/>
      </c>
      <c r="Q2131" s="75" t="str">
        <f>IF(AND(B2131='111'!$L$11,OR($N2131=$Q$7,$O2131=$Q$7)),"x","")</f>
        <v/>
      </c>
      <c r="R2131" s="75" t="str">
        <f>IF(AND($N2131=$Q$7,$B2131&lt;'111'!$L$11),"x","")</f>
        <v/>
      </c>
      <c r="S2131" s="75" t="str">
        <f>IF(AND($O2131=$Q$7,$B2131&lt;'111'!$L$11),"x","")</f>
        <v/>
      </c>
      <c r="T2131" s="75" t="str">
        <f>IF(ISERROR(FIND('112'!$M$9,G2131,1)),"",IF((AND(FIND('112'!$M$9,G2131,1)&gt;=1,B2131='112'!$K$9,OR($N2131='112'!$I$6,$O2131='112'!$I$6))),"x",""))</f>
        <v/>
      </c>
      <c r="U2131" s="75" t="str">
        <f>IF(ISERROR(FIND('112'!$M$9,G2131,1)),"",IF((AND(LEFT(G2131,2)=LEFT('112'!$M$9,2),B2131&lt;'112'!$K$9,$N2131='112'!$I$6)),"x",""))</f>
        <v/>
      </c>
      <c r="V2131" s="75" t="str">
        <f>IF(ISERROR(FIND('112'!$M$9,G2131,1)),"",IF((AND(RIGHT(G2131,2)=RIGHT('112'!$M$9,2),B2131&lt;'112'!$K$9,$O2131='112'!$I$6)),"x",""))</f>
        <v/>
      </c>
      <c r="W2131" s="75" t="str">
        <f>IF(AND('341-CT'!$H$9=H2131,OR(LEFT(N2131,3)=$W$7,LEFT(O2131,3)=$W$7)),"x","")</f>
        <v/>
      </c>
      <c r="X2131" s="75" t="str">
        <f>IF(OR(TH!N2131=TH!$X$7,O2131=TH!$X$7),"x","")</f>
        <v/>
      </c>
      <c r="Y2131" s="75" t="str">
        <f>IF(AND(OR(N2131="131",O2131="131"),H2131='131-CT'!$H$9),"x","")</f>
        <v/>
      </c>
      <c r="Z2131" s="75"/>
      <c r="AA2131" s="75" t="str">
        <f>IF(AND(MONTH(E2131)='IN-NX'!$J$5,'IN-NX'!$D$7=D2131),"x","")</f>
        <v/>
      </c>
      <c r="AB2131" s="75" t="str">
        <f>IF(AND(OR(LEFT(TH!N2131,2)="15",LEFT(TH!O2131,2)="15"),LEFT(TH!O2131,3)&lt;&gt;"111",'152-CT'!$J$8=TH!F2131),"x","")</f>
        <v/>
      </c>
      <c r="AC2131" s="75" t="str">
        <f>IF(AND(OR(LEFT(TH!N2131,2)="15",LEFT(TH!O2131,2)="15"),TK!$E$7=TH!F2131),"x","")</f>
        <v/>
      </c>
      <c r="AD2131" s="75" t="str">
        <f>IF(AND(N2131="1521",MONTH(C2131)='BK-NL'!$M$11),"x","")</f>
        <v/>
      </c>
      <c r="AE2131" s="1053">
        <v>10</v>
      </c>
    </row>
    <row r="2132" spans="1:31" s="1053" customFormat="1" ht="17.25" customHeight="1">
      <c r="A2132" s="309" t="str">
        <f>IF(B2132&lt;&gt;"",IF(AND(B2132='IN-TC'!$S$4,OR(TH!N2132="1111",TH!O2132="1111")),TH!D2132,""),"")</f>
        <v/>
      </c>
      <c r="B2132" s="1244">
        <f t="shared" ref="B2132:B2172" si="642">IF(C2132&lt;&gt;"",MONTH(C2132),"")</f>
        <v>10</v>
      </c>
      <c r="C2132" s="292">
        <v>43037</v>
      </c>
      <c r="D2132" s="292" t="s">
        <v>1534</v>
      </c>
      <c r="E2132" s="292">
        <f>C2132</f>
        <v>43037</v>
      </c>
      <c r="F2132" s="67" t="s">
        <v>795</v>
      </c>
      <c r="G2132" s="925" t="s">
        <v>2601</v>
      </c>
      <c r="H2132" s="311" t="s">
        <v>1684</v>
      </c>
      <c r="I2132" s="373">
        <v>3045</v>
      </c>
      <c r="J2132" s="379">
        <v>5900</v>
      </c>
      <c r="K2132" s="373"/>
      <c r="L2132" s="379"/>
      <c r="M2132" s="927">
        <f>I2132*J2132</f>
        <v>17965500</v>
      </c>
      <c r="N2132" s="295" t="s">
        <v>266</v>
      </c>
      <c r="O2132" s="295" t="s">
        <v>8</v>
      </c>
      <c r="P2132" s="75" t="str">
        <f>IF(AND('331-CT'!$E$7=TH!H2132,OR(N2132="331",O2132="331")),"x","")</f>
        <v/>
      </c>
      <c r="Q2132" s="75" t="str">
        <f>IF(AND(B2132='111'!$L$11,OR($N2132=$Q$7,$O2132=$Q$7)),"x","")</f>
        <v/>
      </c>
      <c r="R2132" s="75" t="str">
        <f>IF(AND($N2132=$Q$7,$B2132&lt;'111'!$L$11),"x","")</f>
        <v/>
      </c>
      <c r="S2132" s="75" t="str">
        <f>IF(AND($O2132=$Q$7,$B2132&lt;'111'!$L$11),"x","")</f>
        <v/>
      </c>
      <c r="T2132" s="75" t="str">
        <f>IF(ISERROR(FIND('112'!$M$9,G2132,1)),"",IF((AND(FIND('112'!$M$9,G2132,1)&gt;=1,B2132='112'!$K$9,OR($N2132='112'!$I$6,$O2132='112'!$I$6))),"x",""))</f>
        <v/>
      </c>
      <c r="U2132" s="75" t="str">
        <f>IF(ISERROR(FIND('112'!$M$9,G2132,1)),"",IF((AND(LEFT(G2132,2)=LEFT('112'!$M$9,2),B2132&lt;'112'!$K$9,$N2132='112'!$I$6)),"x",""))</f>
        <v/>
      </c>
      <c r="V2132" s="75" t="str">
        <f>IF(ISERROR(FIND('112'!$M$9,G2132,1)),"",IF((AND(RIGHT(G2132,2)=RIGHT('112'!$M$9,2),B2132&lt;'112'!$K$9,$O2132='112'!$I$6)),"x",""))</f>
        <v/>
      </c>
      <c r="W2132" s="75" t="str">
        <f>IF(AND('341-CT'!$H$9=H2132,OR(LEFT(N2132,3)=$W$7,LEFT(O2132,3)=$W$7)),"x","")</f>
        <v/>
      </c>
      <c r="X2132" s="75" t="str">
        <f>IF(OR(TH!N2132=TH!$X$7,O2132=TH!$X$7),"x","")</f>
        <v/>
      </c>
      <c r="Y2132" s="75" t="str">
        <f>IF(AND(OR(N2132="131",O2132="131"),H2132='131-CT'!$H$9),"x","")</f>
        <v/>
      </c>
      <c r="Z2132" s="75"/>
      <c r="AA2132" s="75" t="str">
        <f>IF(AND(MONTH(E2132)='IN-NX'!$J$5,'IN-NX'!$D$7=D2132),"x","")</f>
        <v/>
      </c>
      <c r="AB2132" s="75" t="str">
        <f>IF(AND(OR(LEFT(TH!N2132,2)="15",LEFT(TH!O2132,2)="15"),LEFT(TH!O2132,3)&lt;&gt;"111",'152-CT'!$J$8=TH!F2132),"x","")</f>
        <v/>
      </c>
      <c r="AC2132" s="75" t="str">
        <f>IF(AND(OR(LEFT(TH!N2132,2)="15",LEFT(TH!O2132,2)="15"),TK!$E$7=TH!F2132),"x","")</f>
        <v/>
      </c>
      <c r="AD2132" s="75" t="str">
        <f>IF(AND(N2132="1521",MONTH(C2132)='BK-NL'!$M$11),"x","")</f>
        <v/>
      </c>
      <c r="AE2132" s="1053">
        <v>11</v>
      </c>
    </row>
    <row r="2133" spans="1:31" s="1053" customFormat="1" ht="17.25" customHeight="1">
      <c r="A2133" s="309" t="str">
        <f>IF(B2133&lt;&gt;"",IF(AND(B2133='IN-TC'!$S$4,OR(TH!N2133="1111",TH!O2133="1111")),TH!D2133,""),"")</f>
        <v/>
      </c>
      <c r="B2133" s="1244">
        <f t="shared" si="642"/>
        <v>10</v>
      </c>
      <c r="C2133" s="292">
        <v>43037</v>
      </c>
      <c r="D2133" s="292" t="s">
        <v>1534</v>
      </c>
      <c r="E2133" s="292">
        <f>C2133</f>
        <v>43037</v>
      </c>
      <c r="F2133" s="67" t="s">
        <v>1143</v>
      </c>
      <c r="G2133" s="925" t="s">
        <v>2601</v>
      </c>
      <c r="H2133" s="311" t="s">
        <v>1684</v>
      </c>
      <c r="I2133" s="373"/>
      <c r="J2133" s="379"/>
      <c r="K2133" s="373"/>
      <c r="L2133" s="379"/>
      <c r="M2133" s="927">
        <v>1796550</v>
      </c>
      <c r="N2133" s="295" t="s">
        <v>9</v>
      </c>
      <c r="O2133" s="295" t="s">
        <v>8</v>
      </c>
      <c r="P2133" s="75" t="str">
        <f>IF(AND('331-CT'!$E$7=TH!H2133,OR(N2133="331",O2133="331")),"x","")</f>
        <v/>
      </c>
      <c r="Q2133" s="75" t="str">
        <f>IF(AND(B2133='111'!$L$11,OR($N2133=$Q$7,$O2133=$Q$7)),"x","")</f>
        <v/>
      </c>
      <c r="R2133" s="75" t="str">
        <f>IF(AND($N2133=$Q$7,$B2133&lt;'111'!$L$11),"x","")</f>
        <v/>
      </c>
      <c r="S2133" s="75" t="str">
        <f>IF(AND($O2133=$Q$7,$B2133&lt;'111'!$L$11),"x","")</f>
        <v/>
      </c>
      <c r="T2133" s="75" t="str">
        <f>IF(ISERROR(FIND('112'!$M$9,G2133,1)),"",IF((AND(FIND('112'!$M$9,G2133,1)&gt;=1,B2133='112'!$K$9,OR($N2133='112'!$I$6,$O2133='112'!$I$6))),"x",""))</f>
        <v/>
      </c>
      <c r="U2133" s="75" t="str">
        <f>IF(ISERROR(FIND('112'!$M$9,G2133,1)),"",IF((AND(LEFT(G2133,2)=LEFT('112'!$M$9,2),B2133&lt;'112'!$K$9,$N2133='112'!$I$6)),"x",""))</f>
        <v/>
      </c>
      <c r="V2133" s="75" t="str">
        <f>IF(ISERROR(FIND('112'!$M$9,G2133,1)),"",IF((AND(RIGHT(G2133,2)=RIGHT('112'!$M$9,2),B2133&lt;'112'!$K$9,$O2133='112'!$I$6)),"x",""))</f>
        <v/>
      </c>
      <c r="W2133" s="75" t="str">
        <f>IF(AND('341-CT'!$H$9=H2133,OR(LEFT(N2133,3)=$W$7,LEFT(O2133,3)=$W$7)),"x","")</f>
        <v/>
      </c>
      <c r="X2133" s="75" t="str">
        <f>IF(OR(TH!N2133=TH!$X$7,O2133=TH!$X$7),"x","")</f>
        <v/>
      </c>
      <c r="Y2133" s="75" t="str">
        <f>IF(AND(OR(N2133="131",O2133="131"),H2133='131-CT'!$H$9),"x","")</f>
        <v/>
      </c>
      <c r="Z2133" s="75"/>
      <c r="AA2133" s="75" t="str">
        <f>IF(AND(MONTH(E2133)='IN-NX'!$J$5,'IN-NX'!$D$7=D2133),"x","")</f>
        <v/>
      </c>
      <c r="AB2133" s="75" t="str">
        <f>IF(AND(OR(LEFT(TH!N2133,2)="15",LEFT(TH!O2133,2)="15"),LEFT(TH!O2133,3)&lt;&gt;"111",'152-CT'!$J$8=TH!F2133),"x","")</f>
        <v/>
      </c>
      <c r="AC2133" s="75" t="str">
        <f>IF(AND(OR(LEFT(TH!N2133,2)="15",LEFT(TH!O2133,2)="15"),TK!$E$7=TH!F2133),"x","")</f>
        <v/>
      </c>
      <c r="AD2133" s="75" t="str">
        <f>IF(AND(N2133="1521",MONTH(C2133)='BK-NL'!$M$11),"x","")</f>
        <v/>
      </c>
      <c r="AE2133" s="1053">
        <v>11</v>
      </c>
    </row>
    <row r="2134" spans="1:31" ht="16.5" customHeight="1">
      <c r="A2134" s="309" t="str">
        <f>IF(B2134&lt;&gt;"",IF(AND(B2134='IN-TC'!$S$4,OR(TH!N2134="1111",TH!O2134="1111")),TH!D2134,""),"")</f>
        <v/>
      </c>
      <c r="B2134" s="1244">
        <f t="shared" si="642"/>
        <v>10</v>
      </c>
      <c r="C2134" s="929">
        <f t="shared" ref="C2134:C2143" si="643">E2134</f>
        <v>43009</v>
      </c>
      <c r="D2134" s="929" t="s">
        <v>2951</v>
      </c>
      <c r="E2134" s="929">
        <v>43009</v>
      </c>
      <c r="F2134" s="1082" t="s">
        <v>327</v>
      </c>
      <c r="G2134" s="931"/>
      <c r="H2134" s="735" t="s">
        <v>424</v>
      </c>
      <c r="I2134" s="371">
        <v>150</v>
      </c>
      <c r="J2134" s="377">
        <v>32200</v>
      </c>
      <c r="K2134" s="371"/>
      <c r="L2134" s="377"/>
      <c r="M2134" s="933">
        <f t="shared" ref="M2134:M2143" si="644">ROUND(I2134*J2134,0)</f>
        <v>4830000</v>
      </c>
      <c r="N2134" s="934" t="s">
        <v>272</v>
      </c>
      <c r="O2134" s="934" t="s">
        <v>266</v>
      </c>
      <c r="P2134" s="75" t="str">
        <f>IF(AND('331-CT'!$E$7=TH!H2134,OR(N2134="331",O2134="331")),"x","")</f>
        <v/>
      </c>
      <c r="Q2134" s="75" t="str">
        <f>IF(AND(B2134='111'!$L$11,OR($N2134=$Q$7,$O2134=$Q$7)),"x","")</f>
        <v/>
      </c>
      <c r="R2134" s="75" t="str">
        <f>IF(AND($N2134=$Q$7,$B2134&lt;'111'!$L$11),"x","")</f>
        <v/>
      </c>
      <c r="S2134" s="75" t="str">
        <f>IF(AND($O2134=$Q$7,$B2134&lt;'111'!$L$11),"x","")</f>
        <v/>
      </c>
      <c r="T2134" s="75" t="str">
        <f>IF(ISERROR(FIND('112'!$M$9,G2134,1)),"",IF((AND(FIND('112'!$M$9,G2134,1)&gt;=1,B2134='112'!$K$9,OR($N2134='112'!$I$6,$O2134='112'!$I$6))),"x",""))</f>
        <v/>
      </c>
      <c r="U2134" s="75" t="str">
        <f>IF(ISERROR(FIND('112'!$M$9,G2134,1)),"",IF((AND(LEFT(G2134,2)=LEFT('112'!$M$9,2),B2134&lt;'112'!$K$9,$N2134='112'!$I$6)),"x",""))</f>
        <v/>
      </c>
      <c r="V2134" s="75" t="str">
        <f>IF(ISERROR(FIND('112'!$M$9,G2134,1)),"",IF((AND(RIGHT(G2134,2)=RIGHT('112'!$M$9,2),B2134&lt;'112'!$K$9,$O2134='112'!$I$6)),"x",""))</f>
        <v/>
      </c>
      <c r="W2134" s="75" t="str">
        <f>IF(AND('341-CT'!$H$9=H2134,OR(LEFT(N2134,3)=$W$7,LEFT(O2134,3)=$W$7)),"x","")</f>
        <v/>
      </c>
      <c r="X2134" s="75" t="str">
        <f>IF(OR(TH!N2134=TH!$X$7,O2134=TH!$X$7),"x","")</f>
        <v/>
      </c>
      <c r="Y2134" s="75" t="str">
        <f>IF(AND(OR(N2134="131",O2134="131"),H2134='131-CT'!$H$9),"x","")</f>
        <v/>
      </c>
      <c r="Z2134" s="75"/>
      <c r="AA2134" s="75" t="str">
        <f>IF(AND(MONTH(E2134)='IN-NX'!$J$5,'IN-NX'!$D$7=D2134),"x","")</f>
        <v/>
      </c>
      <c r="AB2134" s="75" t="str">
        <f>IF(AND(OR(LEFT(TH!N2134,2)="15",LEFT(TH!O2134,2)="15"),LEFT(TH!O2134,3)&lt;&gt;"111",'152-CT'!$J$8=TH!F2134),"x","")</f>
        <v/>
      </c>
      <c r="AC2134" s="75" t="str">
        <f>IF(AND(OR(LEFT(TH!N2134,2)="15",LEFT(TH!O2134,2)="15"),TK!$E$7=TH!F2134),"x","")</f>
        <v/>
      </c>
      <c r="AD2134" s="75" t="str">
        <f>IF(AND(N2134="1521",MONTH(C2134)='BK-NL'!$M$11),"x","")</f>
        <v/>
      </c>
    </row>
    <row r="2135" spans="1:31" ht="16.5" customHeight="1">
      <c r="A2135" s="309" t="str">
        <f>IF(B2135&lt;&gt;"",IF(AND(B2135='IN-TC'!$S$4,OR(TH!N2135="1111",TH!O2135="1111")),TH!D2135,""),"")</f>
        <v/>
      </c>
      <c r="B2135" s="1244">
        <f t="shared" si="642"/>
        <v>10</v>
      </c>
      <c r="C2135" s="929">
        <f t="shared" si="643"/>
        <v>43009</v>
      </c>
      <c r="D2135" s="929" t="s">
        <v>2951</v>
      </c>
      <c r="E2135" s="929">
        <v>43009</v>
      </c>
      <c r="F2135" s="1082" t="s">
        <v>333</v>
      </c>
      <c r="G2135" s="931"/>
      <c r="H2135" s="735" t="s">
        <v>424</v>
      </c>
      <c r="I2135" s="371">
        <v>150</v>
      </c>
      <c r="J2135" s="377">
        <v>49808.000000000007</v>
      </c>
      <c r="K2135" s="371"/>
      <c r="L2135" s="377"/>
      <c r="M2135" s="933">
        <f t="shared" si="644"/>
        <v>7471200</v>
      </c>
      <c r="N2135" s="934" t="s">
        <v>272</v>
      </c>
      <c r="O2135" s="934" t="s">
        <v>266</v>
      </c>
      <c r="P2135" s="75" t="str">
        <f>IF(AND('331-CT'!$E$7=TH!H2135,OR(N2135="331",O2135="331")),"x","")</f>
        <v/>
      </c>
      <c r="Q2135" s="75" t="str">
        <f>IF(AND(B2135='111'!$L$11,OR($N2135=$Q$7,$O2135=$Q$7)),"x","")</f>
        <v/>
      </c>
      <c r="R2135" s="75" t="str">
        <f>IF(AND($N2135=$Q$7,$B2135&lt;'111'!$L$11),"x","")</f>
        <v/>
      </c>
      <c r="S2135" s="75" t="str">
        <f>IF(AND($O2135=$Q$7,$B2135&lt;'111'!$L$11),"x","")</f>
        <v/>
      </c>
      <c r="T2135" s="75" t="str">
        <f>IF(ISERROR(FIND('112'!$M$9,G2135,1)),"",IF((AND(FIND('112'!$M$9,G2135,1)&gt;=1,B2135='112'!$K$9,OR($N2135='112'!$I$6,$O2135='112'!$I$6))),"x",""))</f>
        <v/>
      </c>
      <c r="U2135" s="75" t="str">
        <f>IF(ISERROR(FIND('112'!$M$9,G2135,1)),"",IF((AND(LEFT(G2135,2)=LEFT('112'!$M$9,2),B2135&lt;'112'!$K$9,$N2135='112'!$I$6)),"x",""))</f>
        <v/>
      </c>
      <c r="V2135" s="75" t="str">
        <f>IF(ISERROR(FIND('112'!$M$9,G2135,1)),"",IF((AND(RIGHT(G2135,2)=RIGHT('112'!$M$9,2),B2135&lt;'112'!$K$9,$O2135='112'!$I$6)),"x",""))</f>
        <v/>
      </c>
      <c r="W2135" s="75" t="str">
        <f>IF(AND('341-CT'!$H$9=H2135,OR(LEFT(N2135,3)=$W$7,LEFT(O2135,3)=$W$7)),"x","")</f>
        <v/>
      </c>
      <c r="X2135" s="75" t="str">
        <f>IF(OR(TH!N2135=TH!$X$7,O2135=TH!$X$7),"x","")</f>
        <v/>
      </c>
      <c r="Y2135" s="75" t="str">
        <f>IF(AND(OR(N2135="131",O2135="131"),H2135='131-CT'!$H$9),"x","")</f>
        <v/>
      </c>
      <c r="Z2135" s="75"/>
      <c r="AA2135" s="75" t="str">
        <f>IF(AND(MONTH(E2135)='IN-NX'!$J$5,'IN-NX'!$D$7=D2135),"x","")</f>
        <v/>
      </c>
      <c r="AB2135" s="75" t="str">
        <f>IF(AND(OR(LEFT(TH!N2135,2)="15",LEFT(TH!O2135,2)="15"),LEFT(TH!O2135,3)&lt;&gt;"111",'152-CT'!$J$8=TH!F2135),"x","")</f>
        <v/>
      </c>
      <c r="AC2135" s="75" t="str">
        <f>IF(AND(OR(LEFT(TH!N2135,2)="15",LEFT(TH!O2135,2)="15"),TK!$E$7=TH!F2135),"x","")</f>
        <v/>
      </c>
      <c r="AD2135" s="75" t="str">
        <f>IF(AND(N2135="1521",MONTH(C2135)='BK-NL'!$M$11),"x","")</f>
        <v/>
      </c>
    </row>
    <row r="2136" spans="1:31" ht="16.5" customHeight="1">
      <c r="A2136" s="309" t="str">
        <f>IF(B2136&lt;&gt;"",IF(AND(B2136='IN-TC'!$S$4,OR(TH!N2136="1111",TH!O2136="1111")),TH!D2136,""),"")</f>
        <v/>
      </c>
      <c r="B2136" s="1244">
        <f t="shared" si="642"/>
        <v>10</v>
      </c>
      <c r="C2136" s="929">
        <f t="shared" si="643"/>
        <v>43009</v>
      </c>
      <c r="D2136" s="929" t="s">
        <v>2951</v>
      </c>
      <c r="E2136" s="929">
        <v>43009</v>
      </c>
      <c r="F2136" s="1082" t="s">
        <v>336</v>
      </c>
      <c r="G2136" s="931"/>
      <c r="H2136" s="735" t="s">
        <v>424</v>
      </c>
      <c r="I2136" s="371">
        <v>400</v>
      </c>
      <c r="J2136" s="377">
        <v>16476.189999999999</v>
      </c>
      <c r="K2136" s="371"/>
      <c r="L2136" s="377"/>
      <c r="M2136" s="933">
        <f t="shared" si="644"/>
        <v>6590476</v>
      </c>
      <c r="N2136" s="934" t="s">
        <v>272</v>
      </c>
      <c r="O2136" s="934" t="s">
        <v>266</v>
      </c>
      <c r="P2136" s="75" t="str">
        <f>IF(AND('331-CT'!$E$7=TH!H2136,OR(N2136="331",O2136="331")),"x","")</f>
        <v/>
      </c>
      <c r="Q2136" s="75" t="str">
        <f>IF(AND(B2136='111'!$L$11,OR($N2136=$Q$7,$O2136=$Q$7)),"x","")</f>
        <v/>
      </c>
      <c r="R2136" s="75" t="str">
        <f>IF(AND($N2136=$Q$7,$B2136&lt;'111'!$L$11),"x","")</f>
        <v/>
      </c>
      <c r="S2136" s="75" t="str">
        <f>IF(AND($O2136=$Q$7,$B2136&lt;'111'!$L$11),"x","")</f>
        <v/>
      </c>
      <c r="T2136" s="75" t="str">
        <f>IF(ISERROR(FIND('112'!$M$9,G2136,1)),"",IF((AND(FIND('112'!$M$9,G2136,1)&gt;=1,B2136='112'!$K$9,OR($N2136='112'!$I$6,$O2136='112'!$I$6))),"x",""))</f>
        <v/>
      </c>
      <c r="U2136" s="75" t="str">
        <f>IF(ISERROR(FIND('112'!$M$9,G2136,1)),"",IF((AND(LEFT(G2136,2)=LEFT('112'!$M$9,2),B2136&lt;'112'!$K$9,$N2136='112'!$I$6)),"x",""))</f>
        <v/>
      </c>
      <c r="V2136" s="75" t="str">
        <f>IF(ISERROR(FIND('112'!$M$9,G2136,1)),"",IF((AND(RIGHT(G2136,2)=RIGHT('112'!$M$9,2),B2136&lt;'112'!$K$9,$O2136='112'!$I$6)),"x",""))</f>
        <v/>
      </c>
      <c r="W2136" s="75" t="str">
        <f>IF(AND('341-CT'!$H$9=H2136,OR(LEFT(N2136,3)=$W$7,LEFT(O2136,3)=$W$7)),"x","")</f>
        <v/>
      </c>
      <c r="X2136" s="75" t="str">
        <f>IF(OR(TH!N2136=TH!$X$7,O2136=TH!$X$7),"x","")</f>
        <v/>
      </c>
      <c r="Y2136" s="75" t="str">
        <f>IF(AND(OR(N2136="131",O2136="131"),H2136='131-CT'!$H$9),"x","")</f>
        <v/>
      </c>
      <c r="Z2136" s="75"/>
      <c r="AA2136" s="75" t="str">
        <f>IF(AND(MONTH(E2136)='IN-NX'!$J$5,'IN-NX'!$D$7=D2136),"x","")</f>
        <v/>
      </c>
      <c r="AB2136" s="75" t="str">
        <f>IF(AND(OR(LEFT(TH!N2136,2)="15",LEFT(TH!O2136,2)="15"),LEFT(TH!O2136,3)&lt;&gt;"111",'152-CT'!$J$8=TH!F2136),"x","")</f>
        <v/>
      </c>
      <c r="AC2136" s="75" t="str">
        <f>IF(AND(OR(LEFT(TH!N2136,2)="15",LEFT(TH!O2136,2)="15"),TK!$E$7=TH!F2136),"x","")</f>
        <v>x</v>
      </c>
      <c r="AD2136" s="75" t="str">
        <f>IF(AND(N2136="1521",MONTH(C2136)='BK-NL'!$M$11),"x","")</f>
        <v/>
      </c>
    </row>
    <row r="2137" spans="1:31" ht="16.5" customHeight="1">
      <c r="A2137" s="309" t="str">
        <f>IF(B2137&lt;&gt;"",IF(AND(B2137='IN-TC'!$S$4,OR(TH!N2137="1111",TH!O2137="1111")),TH!D2137,""),"")</f>
        <v/>
      </c>
      <c r="B2137" s="1244">
        <f t="shared" si="642"/>
        <v>10</v>
      </c>
      <c r="C2137" s="929">
        <f t="shared" si="643"/>
        <v>43009</v>
      </c>
      <c r="D2137" s="929" t="s">
        <v>2951</v>
      </c>
      <c r="E2137" s="929">
        <v>43009</v>
      </c>
      <c r="F2137" s="1082" t="s">
        <v>804</v>
      </c>
      <c r="G2137" s="931"/>
      <c r="H2137" s="735" t="s">
        <v>424</v>
      </c>
      <c r="I2137" s="371">
        <v>40</v>
      </c>
      <c r="J2137" s="377">
        <v>53000</v>
      </c>
      <c r="K2137" s="371"/>
      <c r="L2137" s="377"/>
      <c r="M2137" s="933">
        <f t="shared" si="644"/>
        <v>2120000</v>
      </c>
      <c r="N2137" s="934" t="s">
        <v>272</v>
      </c>
      <c r="O2137" s="934" t="s">
        <v>266</v>
      </c>
      <c r="P2137" s="75" t="str">
        <f>IF(AND('331-CT'!$E$7=TH!H2137,OR(N2137="331",O2137="331")),"x","")</f>
        <v/>
      </c>
      <c r="Q2137" s="75" t="str">
        <f>IF(AND(B2137='111'!$L$11,OR($N2137=$Q$7,$O2137=$Q$7)),"x","")</f>
        <v/>
      </c>
      <c r="R2137" s="75" t="str">
        <f>IF(AND($N2137=$Q$7,$B2137&lt;'111'!$L$11),"x","")</f>
        <v/>
      </c>
      <c r="S2137" s="75" t="str">
        <f>IF(AND($O2137=$Q$7,$B2137&lt;'111'!$L$11),"x","")</f>
        <v/>
      </c>
      <c r="T2137" s="75" t="str">
        <f>IF(ISERROR(FIND('112'!$M$9,G2137,1)),"",IF((AND(FIND('112'!$M$9,G2137,1)&gt;=1,B2137='112'!$K$9,OR($N2137='112'!$I$6,$O2137='112'!$I$6))),"x",""))</f>
        <v/>
      </c>
      <c r="U2137" s="75" t="str">
        <f>IF(ISERROR(FIND('112'!$M$9,G2137,1)),"",IF((AND(LEFT(G2137,2)=LEFT('112'!$M$9,2),B2137&lt;'112'!$K$9,$N2137='112'!$I$6)),"x",""))</f>
        <v/>
      </c>
      <c r="V2137" s="75" t="str">
        <f>IF(ISERROR(FIND('112'!$M$9,G2137,1)),"",IF((AND(RIGHT(G2137,2)=RIGHT('112'!$M$9,2),B2137&lt;'112'!$K$9,$O2137='112'!$I$6)),"x",""))</f>
        <v/>
      </c>
      <c r="W2137" s="75" t="str">
        <f>IF(AND('341-CT'!$H$9=H2137,OR(LEFT(N2137,3)=$W$7,LEFT(O2137,3)=$W$7)),"x","")</f>
        <v/>
      </c>
      <c r="X2137" s="75" t="str">
        <f>IF(OR(TH!N2137=TH!$X$7,O2137=TH!$X$7),"x","")</f>
        <v/>
      </c>
      <c r="Y2137" s="75" t="str">
        <f>IF(AND(OR(N2137="131",O2137="131"),H2137='131-CT'!$H$9),"x","")</f>
        <v/>
      </c>
      <c r="Z2137" s="75"/>
      <c r="AA2137" s="75" t="str">
        <f>IF(AND(MONTH(E2137)='IN-NX'!$J$5,'IN-NX'!$D$7=D2137),"x","")</f>
        <v/>
      </c>
      <c r="AB2137" s="75" t="str">
        <f>IF(AND(OR(LEFT(TH!N2137,2)="15",LEFT(TH!O2137,2)="15"),LEFT(TH!O2137,3)&lt;&gt;"111",'152-CT'!$J$8=TH!F2137),"x","")</f>
        <v/>
      </c>
      <c r="AC2137" s="75" t="str">
        <f>IF(AND(OR(LEFT(TH!N2137,2)="15",LEFT(TH!O2137,2)="15"),TK!$E$7=TH!F2137),"x","")</f>
        <v/>
      </c>
      <c r="AD2137" s="75" t="str">
        <f>IF(AND(N2137="1521",MONTH(C2137)='BK-NL'!$M$11),"x","")</f>
        <v/>
      </c>
    </row>
    <row r="2138" spans="1:31" ht="16.5" customHeight="1">
      <c r="A2138" s="309" t="str">
        <f>IF(B2138&lt;&gt;"",IF(AND(B2138='IN-TC'!$S$4,OR(TH!N2138="1111",TH!O2138="1111")),TH!D2138,""),"")</f>
        <v/>
      </c>
      <c r="B2138" s="1244">
        <f t="shared" si="642"/>
        <v>10</v>
      </c>
      <c r="C2138" s="929">
        <f t="shared" si="643"/>
        <v>43009</v>
      </c>
      <c r="D2138" s="929" t="s">
        <v>2951</v>
      </c>
      <c r="E2138" s="929">
        <v>43009</v>
      </c>
      <c r="F2138" s="1082" t="s">
        <v>341</v>
      </c>
      <c r="G2138" s="931"/>
      <c r="H2138" s="735" t="s">
        <v>424</v>
      </c>
      <c r="I2138" s="371">
        <v>600</v>
      </c>
      <c r="J2138" s="377">
        <v>3200</v>
      </c>
      <c r="K2138" s="371"/>
      <c r="L2138" s="377"/>
      <c r="M2138" s="933">
        <f t="shared" si="644"/>
        <v>1920000</v>
      </c>
      <c r="N2138" s="934" t="s">
        <v>272</v>
      </c>
      <c r="O2138" s="934" t="s">
        <v>266</v>
      </c>
      <c r="P2138" s="75" t="str">
        <f>IF(AND('331-CT'!$E$7=TH!H2138,OR(N2138="331",O2138="331")),"x","")</f>
        <v/>
      </c>
      <c r="Q2138" s="75" t="str">
        <f>IF(AND(B2138='111'!$L$11,OR($N2138=$Q$7,$O2138=$Q$7)),"x","")</f>
        <v/>
      </c>
      <c r="R2138" s="75" t="str">
        <f>IF(AND($N2138=$Q$7,$B2138&lt;'111'!$L$11),"x","")</f>
        <v/>
      </c>
      <c r="S2138" s="75" t="str">
        <f>IF(AND($O2138=$Q$7,$B2138&lt;'111'!$L$11),"x","")</f>
        <v/>
      </c>
      <c r="T2138" s="75" t="str">
        <f>IF(ISERROR(FIND('112'!$M$9,G2138,1)),"",IF((AND(FIND('112'!$M$9,G2138,1)&gt;=1,B2138='112'!$K$9,OR($N2138='112'!$I$6,$O2138='112'!$I$6))),"x",""))</f>
        <v/>
      </c>
      <c r="U2138" s="75" t="str">
        <f>IF(ISERROR(FIND('112'!$M$9,G2138,1)),"",IF((AND(LEFT(G2138,2)=LEFT('112'!$M$9,2),B2138&lt;'112'!$K$9,$N2138='112'!$I$6)),"x",""))</f>
        <v/>
      </c>
      <c r="V2138" s="75" t="str">
        <f>IF(ISERROR(FIND('112'!$M$9,G2138,1)),"",IF((AND(RIGHT(G2138,2)=RIGHT('112'!$M$9,2),B2138&lt;'112'!$K$9,$O2138='112'!$I$6)),"x",""))</f>
        <v/>
      </c>
      <c r="W2138" s="75" t="str">
        <f>IF(AND('341-CT'!$H$9=H2138,OR(LEFT(N2138,3)=$W$7,LEFT(O2138,3)=$W$7)),"x","")</f>
        <v/>
      </c>
      <c r="X2138" s="75" t="str">
        <f>IF(OR(TH!N2138=TH!$X$7,O2138=TH!$X$7),"x","")</f>
        <v/>
      </c>
      <c r="Y2138" s="75" t="str">
        <f>IF(AND(OR(N2138="131",O2138="131"),H2138='131-CT'!$H$9),"x","")</f>
        <v/>
      </c>
      <c r="Z2138" s="75"/>
      <c r="AA2138" s="75" t="str">
        <f>IF(AND(MONTH(E2138)='IN-NX'!$J$5,'IN-NX'!$D$7=D2138),"x","")</f>
        <v/>
      </c>
      <c r="AB2138" s="75" t="str">
        <f>IF(AND(OR(LEFT(TH!N2138,2)="15",LEFT(TH!O2138,2)="15"),LEFT(TH!O2138,3)&lt;&gt;"111",'152-CT'!$J$8=TH!F2138),"x","")</f>
        <v/>
      </c>
      <c r="AC2138" s="75" t="str">
        <f>IF(AND(OR(LEFT(TH!N2138,2)="15",LEFT(TH!O2138,2)="15"),TK!$E$7=TH!F2138),"x","")</f>
        <v/>
      </c>
      <c r="AD2138" s="75" t="str">
        <f>IF(AND(N2138="1521",MONTH(C2138)='BK-NL'!$M$11),"x","")</f>
        <v/>
      </c>
    </row>
    <row r="2139" spans="1:31" ht="16.5" customHeight="1">
      <c r="A2139" s="309" t="str">
        <f>IF(B2139&lt;&gt;"",IF(AND(B2139='IN-TC'!$S$4,OR(TH!N2139="1111",TH!O2139="1111")),TH!D2139,""),"")</f>
        <v/>
      </c>
      <c r="B2139" s="1244">
        <f t="shared" si="642"/>
        <v>10</v>
      </c>
      <c r="C2139" s="929">
        <f t="shared" si="643"/>
        <v>43009</v>
      </c>
      <c r="D2139" s="929" t="s">
        <v>2951</v>
      </c>
      <c r="E2139" s="929">
        <v>43009</v>
      </c>
      <c r="F2139" s="1082" t="s">
        <v>1257</v>
      </c>
      <c r="G2139" s="931"/>
      <c r="H2139" s="735" t="s">
        <v>424</v>
      </c>
      <c r="I2139" s="371">
        <v>2700</v>
      </c>
      <c r="J2139" s="377">
        <v>14728</v>
      </c>
      <c r="K2139" s="371"/>
      <c r="L2139" s="377"/>
      <c r="M2139" s="933">
        <f t="shared" si="644"/>
        <v>39765600</v>
      </c>
      <c r="N2139" s="934" t="s">
        <v>272</v>
      </c>
      <c r="O2139" s="934" t="s">
        <v>266</v>
      </c>
      <c r="P2139" s="75" t="str">
        <f>IF(AND('331-CT'!$E$7=TH!H2139,OR(N2139="331",O2139="331")),"x","")</f>
        <v/>
      </c>
      <c r="Q2139" s="75" t="str">
        <f>IF(AND(B2139='111'!$L$11,OR($N2139=$Q$7,$O2139=$Q$7)),"x","")</f>
        <v/>
      </c>
      <c r="R2139" s="75" t="str">
        <f>IF(AND($N2139=$Q$7,$B2139&lt;'111'!$L$11),"x","")</f>
        <v/>
      </c>
      <c r="S2139" s="75" t="str">
        <f>IF(AND($O2139=$Q$7,$B2139&lt;'111'!$L$11),"x","")</f>
        <v/>
      </c>
      <c r="T2139" s="75" t="str">
        <f>IF(ISERROR(FIND('112'!$M$9,G2139,1)),"",IF((AND(FIND('112'!$M$9,G2139,1)&gt;=1,B2139='112'!$K$9,OR($N2139='112'!$I$6,$O2139='112'!$I$6))),"x",""))</f>
        <v/>
      </c>
      <c r="U2139" s="75" t="str">
        <f>IF(ISERROR(FIND('112'!$M$9,G2139,1)),"",IF((AND(LEFT(G2139,2)=LEFT('112'!$M$9,2),B2139&lt;'112'!$K$9,$N2139='112'!$I$6)),"x",""))</f>
        <v/>
      </c>
      <c r="V2139" s="75" t="str">
        <f>IF(ISERROR(FIND('112'!$M$9,G2139,1)),"",IF((AND(RIGHT(G2139,2)=RIGHT('112'!$M$9,2),B2139&lt;'112'!$K$9,$O2139='112'!$I$6)),"x",""))</f>
        <v/>
      </c>
      <c r="W2139" s="75" t="str">
        <f>IF(AND('341-CT'!$H$9=H2139,OR(LEFT(N2139,3)=$W$7,LEFT(O2139,3)=$W$7)),"x","")</f>
        <v/>
      </c>
      <c r="X2139" s="75" t="str">
        <f>IF(OR(TH!N2139=TH!$X$7,O2139=TH!$X$7),"x","")</f>
        <v/>
      </c>
      <c r="Y2139" s="75" t="str">
        <f>IF(AND(OR(N2139="131",O2139="131"),H2139='131-CT'!$H$9),"x","")</f>
        <v/>
      </c>
      <c r="Z2139" s="75"/>
      <c r="AA2139" s="75" t="str">
        <f>IF(AND(MONTH(E2139)='IN-NX'!$J$5,'IN-NX'!$D$7=D2139),"x","")</f>
        <v/>
      </c>
      <c r="AB2139" s="75" t="str">
        <f>IF(AND(OR(LEFT(TH!N2139,2)="15",LEFT(TH!O2139,2)="15"),LEFT(TH!O2139,3)&lt;&gt;"111",'152-CT'!$J$8=TH!F2139),"x","")</f>
        <v/>
      </c>
      <c r="AC2139" s="75" t="str">
        <f>IF(AND(OR(LEFT(TH!N2139,2)="15",LEFT(TH!O2139,2)="15"),TK!$E$7=TH!F2139),"x","")</f>
        <v/>
      </c>
      <c r="AD2139" s="75" t="str">
        <f>IF(AND(N2139="1521",MONTH(C2139)='BK-NL'!$M$11),"x","")</f>
        <v/>
      </c>
    </row>
    <row r="2140" spans="1:31" ht="16.5" customHeight="1">
      <c r="A2140" s="309" t="str">
        <f>IF(B2140&lt;&gt;"",IF(AND(B2140='IN-TC'!$S$4,OR(TH!N2140="1111",TH!O2140="1111")),TH!D2140,""),"")</f>
        <v/>
      </c>
      <c r="B2140" s="1244">
        <f t="shared" si="642"/>
        <v>10</v>
      </c>
      <c r="C2140" s="929">
        <f t="shared" si="643"/>
        <v>43009</v>
      </c>
      <c r="D2140" s="929" t="s">
        <v>2951</v>
      </c>
      <c r="E2140" s="929">
        <v>43009</v>
      </c>
      <c r="F2140" s="1082" t="s">
        <v>346</v>
      </c>
      <c r="G2140" s="931"/>
      <c r="H2140" s="735" t="s">
        <v>424</v>
      </c>
      <c r="I2140" s="371">
        <v>200</v>
      </c>
      <c r="J2140" s="377">
        <v>8000</v>
      </c>
      <c r="K2140" s="371"/>
      <c r="L2140" s="377"/>
      <c r="M2140" s="933">
        <f t="shared" si="644"/>
        <v>1600000</v>
      </c>
      <c r="N2140" s="934" t="s">
        <v>272</v>
      </c>
      <c r="O2140" s="934" t="s">
        <v>266</v>
      </c>
      <c r="P2140" s="75" t="str">
        <f>IF(AND('331-CT'!$E$7=TH!H2140,OR(N2140="331",O2140="331")),"x","")</f>
        <v/>
      </c>
      <c r="Q2140" s="75" t="str">
        <f>IF(AND(B2140='111'!$L$11,OR($N2140=$Q$7,$O2140=$Q$7)),"x","")</f>
        <v/>
      </c>
      <c r="R2140" s="75" t="str">
        <f>IF(AND($N2140=$Q$7,$B2140&lt;'111'!$L$11),"x","")</f>
        <v/>
      </c>
      <c r="S2140" s="75" t="str">
        <f>IF(AND($O2140=$Q$7,$B2140&lt;'111'!$L$11),"x","")</f>
        <v/>
      </c>
      <c r="T2140" s="75" t="str">
        <f>IF(ISERROR(FIND('112'!$M$9,G2140,1)),"",IF((AND(FIND('112'!$M$9,G2140,1)&gt;=1,B2140='112'!$K$9,OR($N2140='112'!$I$6,$O2140='112'!$I$6))),"x",""))</f>
        <v/>
      </c>
      <c r="U2140" s="75" t="str">
        <f>IF(ISERROR(FIND('112'!$M$9,G2140,1)),"",IF((AND(LEFT(G2140,2)=LEFT('112'!$M$9,2),B2140&lt;'112'!$K$9,$N2140='112'!$I$6)),"x",""))</f>
        <v/>
      </c>
      <c r="V2140" s="75" t="str">
        <f>IF(ISERROR(FIND('112'!$M$9,G2140,1)),"",IF((AND(RIGHT(G2140,2)=RIGHT('112'!$M$9,2),B2140&lt;'112'!$K$9,$O2140='112'!$I$6)),"x",""))</f>
        <v/>
      </c>
      <c r="W2140" s="75" t="str">
        <f>IF(AND('341-CT'!$H$9=H2140,OR(LEFT(N2140,3)=$W$7,LEFT(O2140,3)=$W$7)),"x","")</f>
        <v/>
      </c>
      <c r="X2140" s="75" t="str">
        <f>IF(OR(TH!N2140=TH!$X$7,O2140=TH!$X$7),"x","")</f>
        <v/>
      </c>
      <c r="Y2140" s="75" t="str">
        <f>IF(AND(OR(N2140="131",O2140="131"),H2140='131-CT'!$H$9),"x","")</f>
        <v/>
      </c>
      <c r="Z2140" s="75"/>
      <c r="AA2140" s="75" t="str">
        <f>IF(AND(MONTH(E2140)='IN-NX'!$J$5,'IN-NX'!$D$7=D2140),"x","")</f>
        <v/>
      </c>
      <c r="AB2140" s="75" t="str">
        <f>IF(AND(OR(LEFT(TH!N2140,2)="15",LEFT(TH!O2140,2)="15"),LEFT(TH!O2140,3)&lt;&gt;"111",'152-CT'!$J$8=TH!F2140),"x","")</f>
        <v/>
      </c>
      <c r="AC2140" s="75" t="str">
        <f>IF(AND(OR(LEFT(TH!N2140,2)="15",LEFT(TH!O2140,2)="15"),TK!$E$7=TH!F2140),"x","")</f>
        <v/>
      </c>
      <c r="AD2140" s="75" t="str">
        <f>IF(AND(N2140="1521",MONTH(C2140)='BK-NL'!$M$11),"x","")</f>
        <v/>
      </c>
    </row>
    <row r="2141" spans="1:31" ht="16.5" customHeight="1">
      <c r="A2141" s="309" t="str">
        <f>IF(B2141&lt;&gt;"",IF(AND(B2141='IN-TC'!$S$4,OR(TH!N2141="1111",TH!O2141="1111")),TH!D2141,""),"")</f>
        <v/>
      </c>
      <c r="B2141" s="1244">
        <f t="shared" si="642"/>
        <v>10</v>
      </c>
      <c r="C2141" s="929">
        <f t="shared" si="643"/>
        <v>43009</v>
      </c>
      <c r="D2141" s="929" t="s">
        <v>2951</v>
      </c>
      <c r="E2141" s="929">
        <v>43009</v>
      </c>
      <c r="F2141" s="1082" t="s">
        <v>2173</v>
      </c>
      <c r="G2141" s="931"/>
      <c r="H2141" s="735" t="s">
        <v>424</v>
      </c>
      <c r="I2141" s="371">
        <v>55260</v>
      </c>
      <c r="J2141" s="377">
        <v>200</v>
      </c>
      <c r="K2141" s="371"/>
      <c r="L2141" s="377"/>
      <c r="M2141" s="933">
        <f t="shared" si="644"/>
        <v>11052000</v>
      </c>
      <c r="N2141" s="934" t="s">
        <v>272</v>
      </c>
      <c r="O2141" s="934" t="s">
        <v>266</v>
      </c>
      <c r="P2141" s="75" t="str">
        <f>IF(AND('331-CT'!$E$7=TH!H2141,OR(N2141="331",O2141="331")),"x","")</f>
        <v/>
      </c>
      <c r="Q2141" s="75" t="str">
        <f>IF(AND(B2141='111'!$L$11,OR($N2141=$Q$7,$O2141=$Q$7)),"x","")</f>
        <v/>
      </c>
      <c r="R2141" s="75" t="str">
        <f>IF(AND($N2141=$Q$7,$B2141&lt;'111'!$L$11),"x","")</f>
        <v/>
      </c>
      <c r="S2141" s="75" t="str">
        <f>IF(AND($O2141=$Q$7,$B2141&lt;'111'!$L$11),"x","")</f>
        <v/>
      </c>
      <c r="T2141" s="75" t="str">
        <f>IF(ISERROR(FIND('112'!$M$9,G2141,1)),"",IF((AND(FIND('112'!$M$9,G2141,1)&gt;=1,B2141='112'!$K$9,OR($N2141='112'!$I$6,$O2141='112'!$I$6))),"x",""))</f>
        <v/>
      </c>
      <c r="U2141" s="75" t="str">
        <f>IF(ISERROR(FIND('112'!$M$9,G2141,1)),"",IF((AND(LEFT(G2141,2)=LEFT('112'!$M$9,2),B2141&lt;'112'!$K$9,$N2141='112'!$I$6)),"x",""))</f>
        <v/>
      </c>
      <c r="V2141" s="75" t="str">
        <f>IF(ISERROR(FIND('112'!$M$9,G2141,1)),"",IF((AND(RIGHT(G2141,2)=RIGHT('112'!$M$9,2),B2141&lt;'112'!$K$9,$O2141='112'!$I$6)),"x",""))</f>
        <v/>
      </c>
      <c r="W2141" s="75" t="str">
        <f>IF(AND('341-CT'!$H$9=H2141,OR(LEFT(N2141,3)=$W$7,LEFT(O2141,3)=$W$7)),"x","")</f>
        <v/>
      </c>
      <c r="X2141" s="75" t="str">
        <f>IF(OR(TH!N2141=TH!$X$7,O2141=TH!$X$7),"x","")</f>
        <v/>
      </c>
      <c r="Y2141" s="75" t="str">
        <f>IF(AND(OR(N2141="131",O2141="131"),H2141='131-CT'!$H$9),"x","")</f>
        <v/>
      </c>
      <c r="Z2141" s="75"/>
      <c r="AA2141" s="75" t="str">
        <f>IF(AND(MONTH(E2141)='IN-NX'!$J$5,'IN-NX'!$D$7=D2141),"x","")</f>
        <v/>
      </c>
      <c r="AB2141" s="75" t="str">
        <f>IF(AND(OR(LEFT(TH!N2141,2)="15",LEFT(TH!O2141,2)="15"),LEFT(TH!O2141,3)&lt;&gt;"111",'152-CT'!$J$8=TH!F2141),"x","")</f>
        <v/>
      </c>
      <c r="AC2141" s="75" t="str">
        <f>IF(AND(OR(LEFT(TH!N2141,2)="15",LEFT(TH!O2141,2)="15"),TK!$E$7=TH!F2141),"x","")</f>
        <v/>
      </c>
      <c r="AD2141" s="75" t="str">
        <f>IF(AND(N2141="1521",MONTH(C2141)='BK-NL'!$M$11),"x","")</f>
        <v/>
      </c>
    </row>
    <row r="2142" spans="1:31" ht="16.5" customHeight="1">
      <c r="A2142" s="309" t="str">
        <f>IF(B2142&lt;&gt;"",IF(AND(B2142='IN-TC'!$S$4,OR(TH!N2142="1111",TH!O2142="1111")),TH!D2142,""),"")</f>
        <v/>
      </c>
      <c r="B2142" s="1244">
        <f t="shared" si="642"/>
        <v>10</v>
      </c>
      <c r="C2142" s="929">
        <f t="shared" si="643"/>
        <v>43009</v>
      </c>
      <c r="D2142" s="929" t="s">
        <v>2951</v>
      </c>
      <c r="E2142" s="929">
        <v>43009</v>
      </c>
      <c r="F2142" s="1082" t="s">
        <v>795</v>
      </c>
      <c r="G2142" s="931"/>
      <c r="H2142" s="735" t="s">
        <v>424</v>
      </c>
      <c r="I2142" s="371">
        <v>21380</v>
      </c>
      <c r="J2142" s="377">
        <v>5900</v>
      </c>
      <c r="K2142" s="371"/>
      <c r="L2142" s="377"/>
      <c r="M2142" s="933">
        <f t="shared" si="644"/>
        <v>126142000</v>
      </c>
      <c r="N2142" s="934" t="s">
        <v>272</v>
      </c>
      <c r="O2142" s="934" t="s">
        <v>266</v>
      </c>
      <c r="P2142" s="75" t="str">
        <f>IF(AND('331-CT'!$E$7=TH!H2142,OR(N2142="331",O2142="331")),"x","")</f>
        <v/>
      </c>
      <c r="Q2142" s="75" t="str">
        <f>IF(AND(B2142='111'!$L$11,OR($N2142=$Q$7,$O2142=$Q$7)),"x","")</f>
        <v/>
      </c>
      <c r="R2142" s="75" t="str">
        <f>IF(AND($N2142=$Q$7,$B2142&lt;'111'!$L$11),"x","")</f>
        <v/>
      </c>
      <c r="S2142" s="75" t="str">
        <f>IF(AND($O2142=$Q$7,$B2142&lt;'111'!$L$11),"x","")</f>
        <v/>
      </c>
      <c r="T2142" s="75" t="str">
        <f>IF(ISERROR(FIND('112'!$M$9,G2142,1)),"",IF((AND(FIND('112'!$M$9,G2142,1)&gt;=1,B2142='112'!$K$9,OR($N2142='112'!$I$6,$O2142='112'!$I$6))),"x",""))</f>
        <v/>
      </c>
      <c r="U2142" s="75" t="str">
        <f>IF(ISERROR(FIND('112'!$M$9,G2142,1)),"",IF((AND(LEFT(G2142,2)=LEFT('112'!$M$9,2),B2142&lt;'112'!$K$9,$N2142='112'!$I$6)),"x",""))</f>
        <v/>
      </c>
      <c r="V2142" s="75" t="str">
        <f>IF(ISERROR(FIND('112'!$M$9,G2142,1)),"",IF((AND(RIGHT(G2142,2)=RIGHT('112'!$M$9,2),B2142&lt;'112'!$K$9,$O2142='112'!$I$6)),"x",""))</f>
        <v/>
      </c>
      <c r="W2142" s="75" t="str">
        <f>IF(AND('341-CT'!$H$9=H2142,OR(LEFT(N2142,3)=$W$7,LEFT(O2142,3)=$W$7)),"x","")</f>
        <v/>
      </c>
      <c r="X2142" s="75" t="str">
        <f>IF(OR(TH!N2142=TH!$X$7,O2142=TH!$X$7),"x","")</f>
        <v/>
      </c>
      <c r="Y2142" s="75" t="str">
        <f>IF(AND(OR(N2142="131",O2142="131"),H2142='131-CT'!$H$9),"x","")</f>
        <v/>
      </c>
      <c r="Z2142" s="75"/>
      <c r="AA2142" s="75" t="str">
        <f>IF(AND(MONTH(E2142)='IN-NX'!$J$5,'IN-NX'!$D$7=D2142),"x","")</f>
        <v/>
      </c>
      <c r="AB2142" s="75" t="str">
        <f>IF(AND(OR(LEFT(TH!N2142,2)="15",LEFT(TH!O2142,2)="15"),LEFT(TH!O2142,3)&lt;&gt;"111",'152-CT'!$J$8=TH!F2142),"x","")</f>
        <v/>
      </c>
      <c r="AC2142" s="75" t="str">
        <f>IF(AND(OR(LEFT(TH!N2142,2)="15",LEFT(TH!O2142,2)="15"),TK!$E$7=TH!F2142),"x","")</f>
        <v/>
      </c>
      <c r="AD2142" s="75" t="str">
        <f>IF(AND(N2142="1521",MONTH(C2142)='BK-NL'!$M$11),"x","")</f>
        <v/>
      </c>
    </row>
    <row r="2143" spans="1:31" ht="16.5" customHeight="1">
      <c r="A2143" s="309" t="str">
        <f>IF(B2143&lt;&gt;"",IF(AND(B2143='IN-TC'!$S$4,OR(TH!N2143="1111",TH!O2143="1111")),TH!D2143,""),"")</f>
        <v/>
      </c>
      <c r="B2143" s="1244">
        <f t="shared" si="642"/>
        <v>10</v>
      </c>
      <c r="C2143" s="929">
        <f t="shared" si="643"/>
        <v>43009</v>
      </c>
      <c r="D2143" s="929" t="s">
        <v>2951</v>
      </c>
      <c r="E2143" s="929">
        <v>43009</v>
      </c>
      <c r="F2143" s="1082" t="s">
        <v>1275</v>
      </c>
      <c r="G2143" s="931"/>
      <c r="H2143" s="735" t="s">
        <v>424</v>
      </c>
      <c r="I2143" s="371">
        <v>780</v>
      </c>
      <c r="J2143" s="377">
        <v>15000</v>
      </c>
      <c r="K2143" s="371"/>
      <c r="L2143" s="377"/>
      <c r="M2143" s="933">
        <f t="shared" si="644"/>
        <v>11700000</v>
      </c>
      <c r="N2143" s="934" t="s">
        <v>272</v>
      </c>
      <c r="O2143" s="934" t="s">
        <v>266</v>
      </c>
      <c r="P2143" s="75" t="str">
        <f>IF(AND('331-CT'!$E$7=TH!H2143,OR(N2143="331",O2143="331")),"x","")</f>
        <v/>
      </c>
      <c r="Q2143" s="75" t="str">
        <f>IF(AND(B2143='111'!$L$11,OR($N2143=$Q$7,$O2143=$Q$7)),"x","")</f>
        <v/>
      </c>
      <c r="R2143" s="75" t="str">
        <f>IF(AND($N2143=$Q$7,$B2143&lt;'111'!$L$11),"x","")</f>
        <v/>
      </c>
      <c r="S2143" s="75" t="str">
        <f>IF(AND($O2143=$Q$7,$B2143&lt;'111'!$L$11),"x","")</f>
        <v/>
      </c>
      <c r="T2143" s="75" t="str">
        <f>IF(ISERROR(FIND('112'!$M$9,G2143,1)),"",IF((AND(FIND('112'!$M$9,G2143,1)&gt;=1,B2143='112'!$K$9,OR($N2143='112'!$I$6,$O2143='112'!$I$6))),"x",""))</f>
        <v/>
      </c>
      <c r="U2143" s="75" t="str">
        <f>IF(ISERROR(FIND('112'!$M$9,G2143,1)),"",IF((AND(LEFT(G2143,2)=LEFT('112'!$M$9,2),B2143&lt;'112'!$K$9,$N2143='112'!$I$6)),"x",""))</f>
        <v/>
      </c>
      <c r="V2143" s="75" t="str">
        <f>IF(ISERROR(FIND('112'!$M$9,G2143,1)),"",IF((AND(RIGHT(G2143,2)=RIGHT('112'!$M$9,2),B2143&lt;'112'!$K$9,$O2143='112'!$I$6)),"x",""))</f>
        <v/>
      </c>
      <c r="W2143" s="75" t="str">
        <f>IF(AND('341-CT'!$H$9=H2143,OR(LEFT(N2143,3)=$W$7,LEFT(O2143,3)=$W$7)),"x","")</f>
        <v/>
      </c>
      <c r="X2143" s="75" t="str">
        <f>IF(OR(TH!N2143=TH!$X$7,O2143=TH!$X$7),"x","")</f>
        <v/>
      </c>
      <c r="Y2143" s="75" t="str">
        <f>IF(AND(OR(N2143="131",O2143="131"),H2143='131-CT'!$H$9),"x","")</f>
        <v/>
      </c>
      <c r="Z2143" s="75"/>
      <c r="AA2143" s="75" t="str">
        <f>IF(AND(MONTH(E2143)='IN-NX'!$J$5,'IN-NX'!$D$7=D2143),"x","")</f>
        <v/>
      </c>
      <c r="AB2143" s="75" t="str">
        <f>IF(AND(OR(LEFT(TH!N2143,2)="15",LEFT(TH!O2143,2)="15"),LEFT(TH!O2143,3)&lt;&gt;"111",'152-CT'!$J$8=TH!F2143),"x","")</f>
        <v/>
      </c>
      <c r="AC2143" s="75" t="str">
        <f>IF(AND(OR(LEFT(TH!N2143,2)="15",LEFT(TH!O2143,2)="15"),TK!$E$7=TH!F2143),"x","")</f>
        <v/>
      </c>
      <c r="AD2143" s="75" t="str">
        <f>IF(AND(N2143="1521",MONTH(C2143)='BK-NL'!$M$11),"x","")</f>
        <v/>
      </c>
    </row>
    <row r="2144" spans="1:31" ht="16.5" customHeight="1">
      <c r="A2144" s="309" t="str">
        <f>IF(B2144&lt;&gt;"",IF(AND(B2144='IN-TC'!$S$4,OR(TH!N2144="1111",TH!O2144="1111")),TH!D2144,""),"")</f>
        <v/>
      </c>
      <c r="B2144" s="1244">
        <f t="shared" si="642"/>
        <v>10</v>
      </c>
      <c r="C2144" s="929">
        <f t="shared" ref="C2144:C2172" si="645">E2144</f>
        <v>43009</v>
      </c>
      <c r="D2144" s="929" t="s">
        <v>2951</v>
      </c>
      <c r="E2144" s="929">
        <v>43009</v>
      </c>
      <c r="F2144" s="1082" t="s">
        <v>743</v>
      </c>
      <c r="G2144" s="931"/>
      <c r="H2144" s="735" t="s">
        <v>424</v>
      </c>
      <c r="I2144" s="371">
        <v>718</v>
      </c>
      <c r="J2144" s="377">
        <v>14155.988857938719</v>
      </c>
      <c r="K2144" s="371"/>
      <c r="L2144" s="377"/>
      <c r="M2144" s="933">
        <f t="shared" ref="M2144:M2172" si="646">ROUND(I2144*J2144,0)</f>
        <v>10164000</v>
      </c>
      <c r="N2144" s="934" t="s">
        <v>272</v>
      </c>
      <c r="O2144" s="934" t="s">
        <v>266</v>
      </c>
      <c r="P2144" s="75" t="str">
        <f>IF(AND('331-CT'!$E$7=TH!H2144,OR(N2144="331",O2144="331")),"x","")</f>
        <v/>
      </c>
      <c r="Q2144" s="75" t="str">
        <f>IF(AND(B2144='111'!$L$11,OR($N2144=$Q$7,$O2144=$Q$7)),"x","")</f>
        <v/>
      </c>
      <c r="R2144" s="75" t="str">
        <f>IF(AND($N2144=$Q$7,$B2144&lt;'111'!$L$11),"x","")</f>
        <v/>
      </c>
      <c r="S2144" s="75" t="str">
        <f>IF(AND($O2144=$Q$7,$B2144&lt;'111'!$L$11),"x","")</f>
        <v/>
      </c>
      <c r="T2144" s="75" t="str">
        <f>IF(ISERROR(FIND('112'!$M$9,G2144,1)),"",IF((AND(FIND('112'!$M$9,G2144,1)&gt;=1,B2144='112'!$K$9,OR($N2144='112'!$I$6,$O2144='112'!$I$6))),"x",""))</f>
        <v/>
      </c>
      <c r="U2144" s="75" t="str">
        <f>IF(ISERROR(FIND('112'!$M$9,G2144,1)),"",IF((AND(LEFT(G2144,2)=LEFT('112'!$M$9,2),B2144&lt;'112'!$K$9,$N2144='112'!$I$6)),"x",""))</f>
        <v/>
      </c>
      <c r="V2144" s="75" t="str">
        <f>IF(ISERROR(FIND('112'!$M$9,G2144,1)),"",IF((AND(RIGHT(G2144,2)=RIGHT('112'!$M$9,2),B2144&lt;'112'!$K$9,$O2144='112'!$I$6)),"x",""))</f>
        <v/>
      </c>
      <c r="W2144" s="75" t="str">
        <f>IF(AND('341-CT'!$H$9=H2144,OR(LEFT(N2144,3)=$W$7,LEFT(O2144,3)=$W$7)),"x","")</f>
        <v/>
      </c>
      <c r="X2144" s="75" t="str">
        <f>IF(OR(TH!N2144=TH!$X$7,O2144=TH!$X$7),"x","")</f>
        <v/>
      </c>
      <c r="Y2144" s="75" t="str">
        <f>IF(AND(OR(N2144="131",O2144="131"),H2144='131-CT'!$H$9),"x","")</f>
        <v/>
      </c>
      <c r="Z2144" s="75"/>
      <c r="AA2144" s="75" t="str">
        <f>IF(AND(MONTH(E2144)='IN-NX'!$J$5,'IN-NX'!$D$7=D2144),"x","")</f>
        <v/>
      </c>
      <c r="AB2144" s="75" t="str">
        <f>IF(AND(OR(LEFT(TH!N2144,2)="15",LEFT(TH!O2144,2)="15"),LEFT(TH!O2144,3)&lt;&gt;"111",'152-CT'!$J$8=TH!F2144),"x","")</f>
        <v/>
      </c>
      <c r="AC2144" s="75" t="str">
        <f>IF(AND(OR(LEFT(TH!N2144,2)="15",LEFT(TH!O2144,2)="15"),TK!$E$7=TH!F2144),"x","")</f>
        <v/>
      </c>
      <c r="AD2144" s="75" t="str">
        <f>IF(AND(N2144="1521",MONTH(C2144)='BK-NL'!$M$11),"x","")</f>
        <v/>
      </c>
    </row>
    <row r="2145" spans="1:30" ht="16.5" customHeight="1">
      <c r="A2145" s="309" t="str">
        <f>IF(B2145&lt;&gt;"",IF(AND(B2145='IN-TC'!$S$4,OR(TH!N2145="1111",TH!O2145="1111")),TH!D2145,""),"")</f>
        <v/>
      </c>
      <c r="B2145" s="1244">
        <f t="shared" si="642"/>
        <v>10</v>
      </c>
      <c r="C2145" s="929">
        <f t="shared" ref="C2145" si="647">E2145</f>
        <v>43009</v>
      </c>
      <c r="D2145" s="929" t="s">
        <v>2951</v>
      </c>
      <c r="E2145" s="929">
        <v>43009</v>
      </c>
      <c r="F2145" s="1082" t="s">
        <v>564</v>
      </c>
      <c r="G2145" s="931"/>
      <c r="H2145" s="735" t="s">
        <v>424</v>
      </c>
      <c r="I2145" s="371">
        <v>2400</v>
      </c>
      <c r="J2145" s="377">
        <v>14000</v>
      </c>
      <c r="K2145" s="371"/>
      <c r="L2145" s="377"/>
      <c r="M2145" s="933">
        <f t="shared" ref="M2145" si="648">ROUND(I2145*J2145,0)</f>
        <v>33600000</v>
      </c>
      <c r="N2145" s="934" t="s">
        <v>272</v>
      </c>
      <c r="O2145" s="934" t="s">
        <v>266</v>
      </c>
      <c r="P2145" s="75" t="str">
        <f>IF(AND('331-CT'!$E$7=TH!H2145,OR(N2145="331",O2145="331")),"x","")</f>
        <v/>
      </c>
      <c r="Q2145" s="75" t="str">
        <f>IF(AND(B2145='111'!$L$11,OR($N2145=$Q$7,$O2145=$Q$7)),"x","")</f>
        <v/>
      </c>
      <c r="R2145" s="75" t="str">
        <f>IF(AND($N2145=$Q$7,$B2145&lt;'111'!$L$11),"x","")</f>
        <v/>
      </c>
      <c r="S2145" s="75" t="str">
        <f>IF(AND($O2145=$Q$7,$B2145&lt;'111'!$L$11),"x","")</f>
        <v/>
      </c>
      <c r="T2145" s="75" t="str">
        <f>IF(ISERROR(FIND('112'!$M$9,G2145,1)),"",IF((AND(FIND('112'!$M$9,G2145,1)&gt;=1,B2145='112'!$K$9,OR($N2145='112'!$I$6,$O2145='112'!$I$6))),"x",""))</f>
        <v/>
      </c>
      <c r="U2145" s="75" t="str">
        <f>IF(ISERROR(FIND('112'!$M$9,G2145,1)),"",IF((AND(LEFT(G2145,2)=LEFT('112'!$M$9,2),B2145&lt;'112'!$K$9,$N2145='112'!$I$6)),"x",""))</f>
        <v/>
      </c>
      <c r="V2145" s="75" t="str">
        <f>IF(ISERROR(FIND('112'!$M$9,G2145,1)),"",IF((AND(RIGHT(G2145,2)=RIGHT('112'!$M$9,2),B2145&lt;'112'!$K$9,$O2145='112'!$I$6)),"x",""))</f>
        <v/>
      </c>
      <c r="W2145" s="75" t="str">
        <f>IF(AND('341-CT'!$H$9=H2145,OR(LEFT(N2145,3)=$W$7,LEFT(O2145,3)=$W$7)),"x","")</f>
        <v/>
      </c>
      <c r="X2145" s="75" t="str">
        <f>IF(OR(TH!N2145=TH!$X$7,O2145=TH!$X$7),"x","")</f>
        <v/>
      </c>
      <c r="Y2145" s="75" t="str">
        <f>IF(AND(OR(N2145="131",O2145="131"),H2145='131-CT'!$H$9),"x","")</f>
        <v/>
      </c>
      <c r="Z2145" s="75"/>
      <c r="AA2145" s="75" t="str">
        <f>IF(AND(MONTH(E2145)='IN-NX'!$J$5,'IN-NX'!$D$7=D2145),"x","")</f>
        <v/>
      </c>
      <c r="AB2145" s="75" t="str">
        <f>IF(AND(OR(LEFT(TH!N2145,2)="15",LEFT(TH!O2145,2)="15"),LEFT(TH!O2145,3)&lt;&gt;"111",'152-CT'!$J$8=TH!F2145),"x","")</f>
        <v/>
      </c>
      <c r="AC2145" s="75" t="str">
        <f>IF(AND(OR(LEFT(TH!N2145,2)="15",LEFT(TH!O2145,2)="15"),TK!$E$7=TH!F2145),"x","")</f>
        <v/>
      </c>
      <c r="AD2145" s="75" t="str">
        <f>IF(AND(N2145="1521",MONTH(C2145)='BK-NL'!$M$11),"x","")</f>
        <v/>
      </c>
    </row>
    <row r="2146" spans="1:30" ht="16.5" customHeight="1">
      <c r="A2146" s="309" t="str">
        <f>IF(B2146&lt;&gt;"",IF(AND(B2146='IN-TC'!$S$4,OR(TH!N2146="1111",TH!O2146="1111")),TH!D2146,""),"")</f>
        <v/>
      </c>
      <c r="B2146" s="1244">
        <f t="shared" si="642"/>
        <v>10</v>
      </c>
      <c r="C2146" s="929">
        <f t="shared" si="645"/>
        <v>43009</v>
      </c>
      <c r="D2146" s="929" t="s">
        <v>2951</v>
      </c>
      <c r="E2146" s="929">
        <v>43009</v>
      </c>
      <c r="F2146" s="1082" t="s">
        <v>381</v>
      </c>
      <c r="G2146" s="931"/>
      <c r="H2146" s="735" t="s">
        <v>424</v>
      </c>
      <c r="I2146" s="371">
        <v>668</v>
      </c>
      <c r="J2146" s="377">
        <v>16500</v>
      </c>
      <c r="K2146" s="371"/>
      <c r="L2146" s="377"/>
      <c r="M2146" s="933">
        <f t="shared" si="646"/>
        <v>11022000</v>
      </c>
      <c r="N2146" s="934" t="s">
        <v>272</v>
      </c>
      <c r="O2146" s="934" t="s">
        <v>266</v>
      </c>
      <c r="P2146" s="75" t="str">
        <f>IF(AND('331-CT'!$E$7=TH!H2146,OR(N2146="331",O2146="331")),"x","")</f>
        <v/>
      </c>
      <c r="Q2146" s="75" t="str">
        <f>IF(AND(B2146='111'!$L$11,OR($N2146=$Q$7,$O2146=$Q$7)),"x","")</f>
        <v/>
      </c>
      <c r="R2146" s="75" t="str">
        <f>IF(AND($N2146=$Q$7,$B2146&lt;'111'!$L$11),"x","")</f>
        <v/>
      </c>
      <c r="S2146" s="75" t="str">
        <f>IF(AND($O2146=$Q$7,$B2146&lt;'111'!$L$11),"x","")</f>
        <v/>
      </c>
      <c r="T2146" s="75" t="str">
        <f>IF(ISERROR(FIND('112'!$M$9,G2146,1)),"",IF((AND(FIND('112'!$M$9,G2146,1)&gt;=1,B2146='112'!$K$9,OR($N2146='112'!$I$6,$O2146='112'!$I$6))),"x",""))</f>
        <v/>
      </c>
      <c r="U2146" s="75" t="str">
        <f>IF(ISERROR(FIND('112'!$M$9,G2146,1)),"",IF((AND(LEFT(G2146,2)=LEFT('112'!$M$9,2),B2146&lt;'112'!$K$9,$N2146='112'!$I$6)),"x",""))</f>
        <v/>
      </c>
      <c r="V2146" s="75" t="str">
        <f>IF(ISERROR(FIND('112'!$M$9,G2146,1)),"",IF((AND(RIGHT(G2146,2)=RIGHT('112'!$M$9,2),B2146&lt;'112'!$K$9,$O2146='112'!$I$6)),"x",""))</f>
        <v/>
      </c>
      <c r="W2146" s="75" t="str">
        <f>IF(AND('341-CT'!$H$9=H2146,OR(LEFT(N2146,3)=$W$7,LEFT(O2146,3)=$W$7)),"x","")</f>
        <v/>
      </c>
      <c r="X2146" s="75" t="str">
        <f>IF(OR(TH!N2146=TH!$X$7,O2146=TH!$X$7),"x","")</f>
        <v/>
      </c>
      <c r="Y2146" s="75" t="str">
        <f>IF(AND(OR(N2146="131",O2146="131"),H2146='131-CT'!$H$9),"x","")</f>
        <v/>
      </c>
      <c r="Z2146" s="75"/>
      <c r="AA2146" s="75" t="str">
        <f>IF(AND(MONTH(E2146)='IN-NX'!$J$5,'IN-NX'!$D$7=D2146),"x","")</f>
        <v/>
      </c>
      <c r="AB2146" s="75" t="str">
        <f>IF(AND(OR(LEFT(TH!N2146,2)="15",LEFT(TH!O2146,2)="15"),LEFT(TH!O2146,3)&lt;&gt;"111",'152-CT'!$J$8=TH!F2146),"x","")</f>
        <v/>
      </c>
      <c r="AC2146" s="75" t="str">
        <f>IF(AND(OR(LEFT(TH!N2146,2)="15",LEFT(TH!O2146,2)="15"),TK!$E$7=TH!F2146),"x","")</f>
        <v/>
      </c>
      <c r="AD2146" s="75" t="str">
        <f>IF(AND(N2146="1521",MONTH(C2146)='BK-NL'!$M$11),"x","")</f>
        <v/>
      </c>
    </row>
    <row r="2147" spans="1:30" ht="16.5" customHeight="1">
      <c r="A2147" s="309" t="str">
        <f>IF(B2147&lt;&gt;"",IF(AND(B2147='IN-TC'!$S$4,OR(TH!N2147="1111",TH!O2147="1111")),TH!D2147,""),"")</f>
        <v/>
      </c>
      <c r="B2147" s="1242">
        <f t="shared" ref="B2147:B2150" si="649">IF(C2147&lt;&gt;"",MONTH(C2147),"")</f>
        <v>10</v>
      </c>
      <c r="C2147" s="292">
        <f t="shared" ref="C2147:C2150" si="650">E2147</f>
        <v>43009</v>
      </c>
      <c r="D2147" s="292" t="s">
        <v>2957</v>
      </c>
      <c r="E2147" s="292">
        <v>43009</v>
      </c>
      <c r="F2147" s="425" t="s">
        <v>771</v>
      </c>
      <c r="G2147" s="925"/>
      <c r="H2147" s="425" t="s">
        <v>1886</v>
      </c>
      <c r="I2147" s="373">
        <v>52460</v>
      </c>
      <c r="J2147" s="379">
        <v>17700</v>
      </c>
      <c r="K2147" s="373"/>
      <c r="L2147" s="379"/>
      <c r="M2147" s="927">
        <f t="shared" ref="M2147:M2150" si="651">ROUND(I2147*J2147,0)</f>
        <v>928542000</v>
      </c>
      <c r="N2147" s="295" t="s">
        <v>264</v>
      </c>
      <c r="O2147" s="295" t="s">
        <v>8</v>
      </c>
      <c r="P2147" s="75" t="str">
        <f>IF(AND('331-CT'!$E$7=TH!H2147,OR(N2147="331",O2147="331")),"x","")</f>
        <v>x</v>
      </c>
      <c r="Q2147" s="75" t="str">
        <f>IF(AND(B2147='111'!$L$11,OR($N2147=$Q$7,$O2147=$Q$7)),"x","")</f>
        <v/>
      </c>
      <c r="R2147" s="75" t="str">
        <f>IF(AND($N2147=$Q$7,$B2147&lt;'111'!$L$11),"x","")</f>
        <v/>
      </c>
      <c r="S2147" s="75" t="str">
        <f>IF(AND($O2147=$Q$7,$B2147&lt;'111'!$L$11),"x","")</f>
        <v/>
      </c>
      <c r="T2147" s="75" t="str">
        <f>IF(ISERROR(FIND('112'!$M$9,G2147,1)),"",IF((AND(FIND('112'!$M$9,G2147,1)&gt;=1,B2147='112'!$K$9,OR($N2147='112'!$I$6,$O2147='112'!$I$6))),"x",""))</f>
        <v/>
      </c>
      <c r="U2147" s="75" t="str">
        <f>IF(ISERROR(FIND('112'!$M$9,G2147,1)),"",IF((AND(LEFT(G2147,2)=LEFT('112'!$M$9,2),B2147&lt;'112'!$K$9,$N2147='112'!$I$6)),"x",""))</f>
        <v/>
      </c>
      <c r="V2147" s="75" t="str">
        <f>IF(ISERROR(FIND('112'!$M$9,G2147,1)),"",IF((AND(RIGHT(G2147,2)=RIGHT('112'!$M$9,2),B2147&lt;'112'!$K$9,$O2147='112'!$I$6)),"x",""))</f>
        <v/>
      </c>
      <c r="W2147" s="75" t="str">
        <f>IF(AND('341-CT'!$H$9=H2147,OR(LEFT(N2147,3)=$W$7,LEFT(O2147,3)=$W$7)),"x","")</f>
        <v/>
      </c>
      <c r="X2147" s="75" t="str">
        <f>IF(OR(TH!N2147=TH!$X$7,O2147=TH!$X$7),"x","")</f>
        <v/>
      </c>
      <c r="Y2147" s="75" t="str">
        <f>IF(AND(OR(N2147="131",O2147="131"),H2147='131-CT'!$H$9),"x","")</f>
        <v/>
      </c>
      <c r="Z2147" s="75"/>
      <c r="AA2147" s="75" t="str">
        <f>IF(AND(MONTH(E2147)='IN-NX'!$J$5,'IN-NX'!$D$7=D2147),"x","")</f>
        <v/>
      </c>
      <c r="AB2147" s="75" t="str">
        <f>IF(AND(OR(LEFT(TH!N2147,2)="15",LEFT(TH!O2147,2)="15"),LEFT(TH!O2147,3)&lt;&gt;"111",'152-CT'!$J$8=TH!F2147),"x","")</f>
        <v/>
      </c>
      <c r="AC2147" s="75" t="str">
        <f>IF(AND(OR(LEFT(TH!N2147,2)="15",LEFT(TH!O2147,2)="15"),TK!$E$7=TH!F2147),"x","")</f>
        <v/>
      </c>
      <c r="AD2147" s="75" t="str">
        <f>IF(AND(N2147="1521",MONTH(C2147)='BK-NL'!$M$11),"x","")</f>
        <v/>
      </c>
    </row>
    <row r="2148" spans="1:30" ht="16.5" customHeight="1">
      <c r="A2148" s="309" t="str">
        <f>IF(B2148&lt;&gt;"",IF(AND(B2148='IN-TC'!$S$4,OR(TH!N2148="1111",TH!O2148="1111")),TH!D2148,""),"")</f>
        <v/>
      </c>
      <c r="B2148" s="1242">
        <f t="shared" si="649"/>
        <v>10</v>
      </c>
      <c r="C2148" s="292">
        <f t="shared" si="650"/>
        <v>43009</v>
      </c>
      <c r="D2148" s="292" t="s">
        <v>2958</v>
      </c>
      <c r="E2148" s="292">
        <v>43009</v>
      </c>
      <c r="F2148" s="425" t="s">
        <v>771</v>
      </c>
      <c r="G2148" s="925"/>
      <c r="H2148" s="425" t="s">
        <v>1882</v>
      </c>
      <c r="I2148" s="373">
        <v>53460</v>
      </c>
      <c r="J2148" s="379">
        <v>17700</v>
      </c>
      <c r="K2148" s="373"/>
      <c r="L2148" s="379"/>
      <c r="M2148" s="927">
        <f t="shared" si="651"/>
        <v>946242000</v>
      </c>
      <c r="N2148" s="295" t="s">
        <v>264</v>
      </c>
      <c r="O2148" s="295" t="s">
        <v>8</v>
      </c>
      <c r="P2148" s="75" t="str">
        <f>IF(AND('331-CT'!$E$7=TH!H2148,OR(N2148="331",O2148="331")),"x","")</f>
        <v/>
      </c>
      <c r="Q2148" s="75" t="str">
        <f>IF(AND(B2148='111'!$L$11,OR($N2148=$Q$7,$O2148=$Q$7)),"x","")</f>
        <v/>
      </c>
      <c r="R2148" s="75" t="str">
        <f>IF(AND($N2148=$Q$7,$B2148&lt;'111'!$L$11),"x","")</f>
        <v/>
      </c>
      <c r="S2148" s="75" t="str">
        <f>IF(AND($O2148=$Q$7,$B2148&lt;'111'!$L$11),"x","")</f>
        <v/>
      </c>
      <c r="T2148" s="75" t="str">
        <f>IF(ISERROR(FIND('112'!$M$9,G2148,1)),"",IF((AND(FIND('112'!$M$9,G2148,1)&gt;=1,B2148='112'!$K$9,OR($N2148='112'!$I$6,$O2148='112'!$I$6))),"x",""))</f>
        <v/>
      </c>
      <c r="U2148" s="75" t="str">
        <f>IF(ISERROR(FIND('112'!$M$9,G2148,1)),"",IF((AND(LEFT(G2148,2)=LEFT('112'!$M$9,2),B2148&lt;'112'!$K$9,$N2148='112'!$I$6)),"x",""))</f>
        <v/>
      </c>
      <c r="V2148" s="75" t="str">
        <f>IF(ISERROR(FIND('112'!$M$9,G2148,1)),"",IF((AND(RIGHT(G2148,2)=RIGHT('112'!$M$9,2),B2148&lt;'112'!$K$9,$O2148='112'!$I$6)),"x",""))</f>
        <v/>
      </c>
      <c r="W2148" s="75" t="str">
        <f>IF(AND('341-CT'!$H$9=H2148,OR(LEFT(N2148,3)=$W$7,LEFT(O2148,3)=$W$7)),"x","")</f>
        <v/>
      </c>
      <c r="X2148" s="75" t="str">
        <f>IF(OR(TH!N2148=TH!$X$7,O2148=TH!$X$7),"x","")</f>
        <v/>
      </c>
      <c r="Y2148" s="75" t="str">
        <f>IF(AND(OR(N2148="131",O2148="131"),H2148='131-CT'!$H$9),"x","")</f>
        <v/>
      </c>
      <c r="Z2148" s="75"/>
      <c r="AA2148" s="75" t="str">
        <f>IF(AND(MONTH(E2148)='IN-NX'!$J$5,'IN-NX'!$D$7=D2148),"x","")</f>
        <v/>
      </c>
      <c r="AB2148" s="75" t="str">
        <f>IF(AND(OR(LEFT(TH!N2148,2)="15",LEFT(TH!O2148,2)="15"),LEFT(TH!O2148,3)&lt;&gt;"111",'152-CT'!$J$8=TH!F2148),"x","")</f>
        <v/>
      </c>
      <c r="AC2148" s="75" t="str">
        <f>IF(AND(OR(LEFT(TH!N2148,2)="15",LEFT(TH!O2148,2)="15"),TK!$E$7=TH!F2148),"x","")</f>
        <v/>
      </c>
      <c r="AD2148" s="75" t="str">
        <f>IF(AND(N2148="1521",MONTH(C2148)='BK-NL'!$M$11),"x","")</f>
        <v/>
      </c>
    </row>
    <row r="2149" spans="1:30" ht="16.5" customHeight="1">
      <c r="A2149" s="309" t="str">
        <f>IF(B2149&lt;&gt;"",IF(AND(B2149='IN-TC'!$S$4,OR(TH!N2149="1111",TH!O2149="1111")),TH!D2149,""),"")</f>
        <v/>
      </c>
      <c r="B2149" s="1242">
        <f t="shared" si="649"/>
        <v>10</v>
      </c>
      <c r="C2149" s="292">
        <f t="shared" si="650"/>
        <v>43009</v>
      </c>
      <c r="D2149" s="292" t="s">
        <v>2959</v>
      </c>
      <c r="E2149" s="292">
        <v>43009</v>
      </c>
      <c r="F2149" s="425" t="s">
        <v>771</v>
      </c>
      <c r="G2149" s="925"/>
      <c r="H2149" s="425" t="s">
        <v>1890</v>
      </c>
      <c r="I2149" s="373">
        <v>58950</v>
      </c>
      <c r="J2149" s="379">
        <v>17700</v>
      </c>
      <c r="K2149" s="373"/>
      <c r="L2149" s="379"/>
      <c r="M2149" s="927">
        <f t="shared" si="651"/>
        <v>1043415000</v>
      </c>
      <c r="N2149" s="295" t="s">
        <v>264</v>
      </c>
      <c r="O2149" s="295" t="s">
        <v>8</v>
      </c>
      <c r="P2149" s="75" t="str">
        <f>IF(AND('331-CT'!$E$7=TH!H2149,OR(N2149="331",O2149="331")),"x","")</f>
        <v/>
      </c>
      <c r="Q2149" s="75" t="str">
        <f>IF(AND(B2149='111'!$L$11,OR($N2149=$Q$7,$O2149=$Q$7)),"x","")</f>
        <v/>
      </c>
      <c r="R2149" s="75" t="str">
        <f>IF(AND($N2149=$Q$7,$B2149&lt;'111'!$L$11),"x","")</f>
        <v/>
      </c>
      <c r="S2149" s="75" t="str">
        <f>IF(AND($O2149=$Q$7,$B2149&lt;'111'!$L$11),"x","")</f>
        <v/>
      </c>
      <c r="T2149" s="75" t="str">
        <f>IF(ISERROR(FIND('112'!$M$9,G2149,1)),"",IF((AND(FIND('112'!$M$9,G2149,1)&gt;=1,B2149='112'!$K$9,OR($N2149='112'!$I$6,$O2149='112'!$I$6))),"x",""))</f>
        <v/>
      </c>
      <c r="U2149" s="75" t="str">
        <f>IF(ISERROR(FIND('112'!$M$9,G2149,1)),"",IF((AND(LEFT(G2149,2)=LEFT('112'!$M$9,2),B2149&lt;'112'!$K$9,$N2149='112'!$I$6)),"x",""))</f>
        <v/>
      </c>
      <c r="V2149" s="75" t="str">
        <f>IF(ISERROR(FIND('112'!$M$9,G2149,1)),"",IF((AND(RIGHT(G2149,2)=RIGHT('112'!$M$9,2),B2149&lt;'112'!$K$9,$O2149='112'!$I$6)),"x",""))</f>
        <v/>
      </c>
      <c r="W2149" s="75" t="str">
        <f>IF(AND('341-CT'!$H$9=H2149,OR(LEFT(N2149,3)=$W$7,LEFT(O2149,3)=$W$7)),"x","")</f>
        <v/>
      </c>
      <c r="X2149" s="75" t="str">
        <f>IF(OR(TH!N2149=TH!$X$7,O2149=TH!$X$7),"x","")</f>
        <v/>
      </c>
      <c r="Y2149" s="75" t="str">
        <f>IF(AND(OR(N2149="131",O2149="131"),H2149='131-CT'!$H$9),"x","")</f>
        <v/>
      </c>
      <c r="Z2149" s="75"/>
      <c r="AA2149" s="75" t="str">
        <f>IF(AND(MONTH(E2149)='IN-NX'!$J$5,'IN-NX'!$D$7=D2149),"x","")</f>
        <v/>
      </c>
      <c r="AB2149" s="75" t="str">
        <f>IF(AND(OR(LEFT(TH!N2149,2)="15",LEFT(TH!O2149,2)="15"),LEFT(TH!O2149,3)&lt;&gt;"111",'152-CT'!$J$8=TH!F2149),"x","")</f>
        <v/>
      </c>
      <c r="AC2149" s="75" t="str">
        <f>IF(AND(OR(LEFT(TH!N2149,2)="15",LEFT(TH!O2149,2)="15"),TK!$E$7=TH!F2149),"x","")</f>
        <v/>
      </c>
      <c r="AD2149" s="75" t="str">
        <f>IF(AND(N2149="1521",MONTH(C2149)='BK-NL'!$M$11),"x","")</f>
        <v/>
      </c>
    </row>
    <row r="2150" spans="1:30" ht="16.5" customHeight="1">
      <c r="A2150" s="309" t="str">
        <f>IF(B2150&lt;&gt;"",IF(AND(B2150='IN-TC'!$S$4,OR(TH!N2150="1111",TH!O2150="1111")),TH!D2150,""),"")</f>
        <v/>
      </c>
      <c r="B2150" s="1242">
        <f t="shared" si="649"/>
        <v>10</v>
      </c>
      <c r="C2150" s="292">
        <f t="shared" si="650"/>
        <v>43013</v>
      </c>
      <c r="D2150" s="292" t="s">
        <v>2962</v>
      </c>
      <c r="E2150" s="292">
        <v>43013</v>
      </c>
      <c r="F2150" s="425" t="s">
        <v>771</v>
      </c>
      <c r="G2150" s="925"/>
      <c r="H2150" s="425" t="s">
        <v>1882</v>
      </c>
      <c r="I2150" s="373">
        <v>54620</v>
      </c>
      <c r="J2150" s="379">
        <v>17700</v>
      </c>
      <c r="K2150" s="373"/>
      <c r="L2150" s="379"/>
      <c r="M2150" s="927">
        <f t="shared" si="651"/>
        <v>966774000</v>
      </c>
      <c r="N2150" s="295" t="s">
        <v>264</v>
      </c>
      <c r="O2150" s="295" t="s">
        <v>8</v>
      </c>
      <c r="P2150" s="75" t="str">
        <f>IF(AND('331-CT'!$E$7=TH!H2150,OR(N2150="331",O2150="331")),"x","")</f>
        <v/>
      </c>
      <c r="Q2150" s="75" t="str">
        <f>IF(AND(B2150='111'!$L$11,OR($N2150=$Q$7,$O2150=$Q$7)),"x","")</f>
        <v/>
      </c>
      <c r="R2150" s="75" t="str">
        <f>IF(AND($N2150=$Q$7,$B2150&lt;'111'!$L$11),"x","")</f>
        <v/>
      </c>
      <c r="S2150" s="75" t="str">
        <f>IF(AND($O2150=$Q$7,$B2150&lt;'111'!$L$11),"x","")</f>
        <v/>
      </c>
      <c r="T2150" s="75" t="str">
        <f>IF(ISERROR(FIND('112'!$M$9,G2150,1)),"",IF((AND(FIND('112'!$M$9,G2150,1)&gt;=1,B2150='112'!$K$9,OR($N2150='112'!$I$6,$O2150='112'!$I$6))),"x",""))</f>
        <v/>
      </c>
      <c r="U2150" s="75" t="str">
        <f>IF(ISERROR(FIND('112'!$M$9,G2150,1)),"",IF((AND(LEFT(G2150,2)=LEFT('112'!$M$9,2),B2150&lt;'112'!$K$9,$N2150='112'!$I$6)),"x",""))</f>
        <v/>
      </c>
      <c r="V2150" s="75" t="str">
        <f>IF(ISERROR(FIND('112'!$M$9,G2150,1)),"",IF((AND(RIGHT(G2150,2)=RIGHT('112'!$M$9,2),B2150&lt;'112'!$K$9,$O2150='112'!$I$6)),"x",""))</f>
        <v/>
      </c>
      <c r="W2150" s="75" t="str">
        <f>IF(AND('341-CT'!$H$9=H2150,OR(LEFT(N2150,3)=$W$7,LEFT(O2150,3)=$W$7)),"x","")</f>
        <v/>
      </c>
      <c r="X2150" s="75" t="str">
        <f>IF(OR(TH!N2150=TH!$X$7,O2150=TH!$X$7),"x","")</f>
        <v/>
      </c>
      <c r="Y2150" s="75" t="str">
        <f>IF(AND(OR(N2150="131",O2150="131"),H2150='131-CT'!$H$9),"x","")</f>
        <v/>
      </c>
      <c r="Z2150" s="75"/>
      <c r="AA2150" s="75" t="str">
        <f>IF(AND(MONTH(E2150)='IN-NX'!$J$5,'IN-NX'!$D$7=D2150),"x","")</f>
        <v/>
      </c>
      <c r="AB2150" s="75" t="str">
        <f>IF(AND(OR(LEFT(TH!N2150,2)="15",LEFT(TH!O2150,2)="15"),LEFT(TH!O2150,3)&lt;&gt;"111",'152-CT'!$J$8=TH!F2150),"x","")</f>
        <v/>
      </c>
      <c r="AC2150" s="75" t="str">
        <f>IF(AND(OR(LEFT(TH!N2150,2)="15",LEFT(TH!O2150,2)="15"),TK!$E$7=TH!F2150),"x","")</f>
        <v/>
      </c>
      <c r="AD2150" s="75" t="str">
        <f>IF(AND(N2150="1521",MONTH(C2150)='BK-NL'!$M$11),"x","")</f>
        <v/>
      </c>
    </row>
    <row r="2151" spans="1:30" ht="16.5" customHeight="1">
      <c r="A2151" s="309" t="str">
        <f>IF(B2151&lt;&gt;"",IF(AND(B2151='IN-TC'!$S$4,OR(TH!N2151="1111",TH!O2151="1111")),TH!D2151,""),"")</f>
        <v/>
      </c>
      <c r="B2151" s="1242">
        <f t="shared" si="642"/>
        <v>10</v>
      </c>
      <c r="C2151" s="292">
        <f t="shared" si="645"/>
        <v>43013</v>
      </c>
      <c r="D2151" s="292" t="s">
        <v>2963</v>
      </c>
      <c r="E2151" s="292">
        <v>43013</v>
      </c>
      <c r="F2151" s="425" t="s">
        <v>771</v>
      </c>
      <c r="G2151" s="925"/>
      <c r="H2151" s="425" t="s">
        <v>1890</v>
      </c>
      <c r="I2151" s="373">
        <v>56350</v>
      </c>
      <c r="J2151" s="379">
        <v>17700</v>
      </c>
      <c r="K2151" s="373"/>
      <c r="L2151" s="379"/>
      <c r="M2151" s="927">
        <f t="shared" si="646"/>
        <v>997395000</v>
      </c>
      <c r="N2151" s="295" t="s">
        <v>264</v>
      </c>
      <c r="O2151" s="295" t="s">
        <v>8</v>
      </c>
      <c r="P2151" s="75" t="str">
        <f>IF(AND('331-CT'!$E$7=TH!H2151,OR(N2151="331",O2151="331")),"x","")</f>
        <v/>
      </c>
      <c r="Q2151" s="75" t="str">
        <f>IF(AND(B2151='111'!$L$11,OR($N2151=$Q$7,$O2151=$Q$7)),"x","")</f>
        <v/>
      </c>
      <c r="R2151" s="75" t="str">
        <f>IF(AND($N2151=$Q$7,$B2151&lt;'111'!$L$11),"x","")</f>
        <v/>
      </c>
      <c r="S2151" s="75" t="str">
        <f>IF(AND($O2151=$Q$7,$B2151&lt;'111'!$L$11),"x","")</f>
        <v/>
      </c>
      <c r="T2151" s="75" t="str">
        <f>IF(ISERROR(FIND('112'!$M$9,G2151,1)),"",IF((AND(FIND('112'!$M$9,G2151,1)&gt;=1,B2151='112'!$K$9,OR($N2151='112'!$I$6,$O2151='112'!$I$6))),"x",""))</f>
        <v/>
      </c>
      <c r="U2151" s="75" t="str">
        <f>IF(ISERROR(FIND('112'!$M$9,G2151,1)),"",IF((AND(LEFT(G2151,2)=LEFT('112'!$M$9,2),B2151&lt;'112'!$K$9,$N2151='112'!$I$6)),"x",""))</f>
        <v/>
      </c>
      <c r="V2151" s="75" t="str">
        <f>IF(ISERROR(FIND('112'!$M$9,G2151,1)),"",IF((AND(RIGHT(G2151,2)=RIGHT('112'!$M$9,2),B2151&lt;'112'!$K$9,$O2151='112'!$I$6)),"x",""))</f>
        <v/>
      </c>
      <c r="W2151" s="75" t="str">
        <f>IF(AND('341-CT'!$H$9=H2151,OR(LEFT(N2151,3)=$W$7,LEFT(O2151,3)=$W$7)),"x","")</f>
        <v/>
      </c>
      <c r="X2151" s="75" t="str">
        <f>IF(OR(TH!N2151=TH!$X$7,O2151=TH!$X$7),"x","")</f>
        <v/>
      </c>
      <c r="Y2151" s="75" t="str">
        <f>IF(AND(OR(N2151="131",O2151="131"),H2151='131-CT'!$H$9),"x","")</f>
        <v/>
      </c>
      <c r="Z2151" s="75"/>
      <c r="AA2151" s="75" t="str">
        <f>IF(AND(MONTH(E2151)='IN-NX'!$J$5,'IN-NX'!$D$7=D2151),"x","")</f>
        <v/>
      </c>
      <c r="AB2151" s="75" t="str">
        <f>IF(AND(OR(LEFT(TH!N2151,2)="15",LEFT(TH!O2151,2)="15"),LEFT(TH!O2151,3)&lt;&gt;"111",'152-CT'!$J$8=TH!F2151),"x","")</f>
        <v/>
      </c>
      <c r="AC2151" s="75" t="str">
        <f>IF(AND(OR(LEFT(TH!N2151,2)="15",LEFT(TH!O2151,2)="15"),TK!$E$7=TH!F2151),"x","")</f>
        <v/>
      </c>
      <c r="AD2151" s="75" t="str">
        <f>IF(AND(N2151="1521",MONTH(C2151)='BK-NL'!$M$11),"x","")</f>
        <v/>
      </c>
    </row>
    <row r="2152" spans="1:30" ht="16.5" customHeight="1">
      <c r="A2152" s="309" t="str">
        <f>IF(B2152&lt;&gt;"",IF(AND(B2152='IN-TC'!$S$4,OR(TH!N2152="1111",TH!O2152="1111")),TH!D2152,""),"")</f>
        <v/>
      </c>
      <c r="B2152" s="1242">
        <f t="shared" si="642"/>
        <v>10</v>
      </c>
      <c r="C2152" s="292">
        <f t="shared" si="645"/>
        <v>43020</v>
      </c>
      <c r="D2152" s="292" t="s">
        <v>2964</v>
      </c>
      <c r="E2152" s="292">
        <v>43020</v>
      </c>
      <c r="F2152" s="425" t="s">
        <v>771</v>
      </c>
      <c r="G2152" s="925"/>
      <c r="H2152" s="425" t="s">
        <v>1882</v>
      </c>
      <c r="I2152" s="373">
        <v>54860</v>
      </c>
      <c r="J2152" s="379">
        <v>17700</v>
      </c>
      <c r="K2152" s="373"/>
      <c r="L2152" s="379"/>
      <c r="M2152" s="927">
        <f t="shared" si="646"/>
        <v>971022000</v>
      </c>
      <c r="N2152" s="295" t="s">
        <v>264</v>
      </c>
      <c r="O2152" s="295" t="s">
        <v>8</v>
      </c>
      <c r="P2152" s="75" t="str">
        <f>IF(AND('331-CT'!$E$7=TH!H2152,OR(N2152="331",O2152="331")),"x","")</f>
        <v/>
      </c>
      <c r="Q2152" s="75" t="str">
        <f>IF(AND(B2152='111'!$L$11,OR($N2152=$Q$7,$O2152=$Q$7)),"x","")</f>
        <v/>
      </c>
      <c r="R2152" s="75" t="str">
        <f>IF(AND($N2152=$Q$7,$B2152&lt;'111'!$L$11),"x","")</f>
        <v/>
      </c>
      <c r="S2152" s="75" t="str">
        <f>IF(AND($O2152=$Q$7,$B2152&lt;'111'!$L$11),"x","")</f>
        <v/>
      </c>
      <c r="T2152" s="75" t="str">
        <f>IF(ISERROR(FIND('112'!$M$9,G2152,1)),"",IF((AND(FIND('112'!$M$9,G2152,1)&gt;=1,B2152='112'!$K$9,OR($N2152='112'!$I$6,$O2152='112'!$I$6))),"x",""))</f>
        <v/>
      </c>
      <c r="U2152" s="75" t="str">
        <f>IF(ISERROR(FIND('112'!$M$9,G2152,1)),"",IF((AND(LEFT(G2152,2)=LEFT('112'!$M$9,2),B2152&lt;'112'!$K$9,$N2152='112'!$I$6)),"x",""))</f>
        <v/>
      </c>
      <c r="V2152" s="75" t="str">
        <f>IF(ISERROR(FIND('112'!$M$9,G2152,1)),"",IF((AND(RIGHT(G2152,2)=RIGHT('112'!$M$9,2),B2152&lt;'112'!$K$9,$O2152='112'!$I$6)),"x",""))</f>
        <v/>
      </c>
      <c r="W2152" s="75" t="str">
        <f>IF(AND('341-CT'!$H$9=H2152,OR(LEFT(N2152,3)=$W$7,LEFT(O2152,3)=$W$7)),"x","")</f>
        <v/>
      </c>
      <c r="X2152" s="75" t="str">
        <f>IF(OR(TH!N2152=TH!$X$7,O2152=TH!$X$7),"x","")</f>
        <v/>
      </c>
      <c r="Y2152" s="75" t="str">
        <f>IF(AND(OR(N2152="131",O2152="131"),H2152='131-CT'!$H$9),"x","")</f>
        <v/>
      </c>
      <c r="Z2152" s="75"/>
      <c r="AA2152" s="75" t="str">
        <f>IF(AND(MONTH(E2152)='IN-NX'!$J$5,'IN-NX'!$D$7=D2152),"x","")</f>
        <v/>
      </c>
      <c r="AB2152" s="75" t="str">
        <f>IF(AND(OR(LEFT(TH!N2152,2)="15",LEFT(TH!O2152,2)="15"),LEFT(TH!O2152,3)&lt;&gt;"111",'152-CT'!$J$8=TH!F2152),"x","")</f>
        <v/>
      </c>
      <c r="AC2152" s="75" t="str">
        <f>IF(AND(OR(LEFT(TH!N2152,2)="15",LEFT(TH!O2152,2)="15"),TK!$E$7=TH!F2152),"x","")</f>
        <v/>
      </c>
      <c r="AD2152" s="75" t="str">
        <f>IF(AND(N2152="1521",MONTH(C2152)='BK-NL'!$M$11),"x","")</f>
        <v/>
      </c>
    </row>
    <row r="2153" spans="1:30" ht="16.5" customHeight="1">
      <c r="A2153" s="309" t="str">
        <f>IF(B2153&lt;&gt;"",IF(AND(B2153='IN-TC'!$S$4,OR(TH!N2153="1111",TH!O2153="1111")),TH!D2153,""),"")</f>
        <v/>
      </c>
      <c r="B2153" s="1242">
        <f t="shared" si="642"/>
        <v>10</v>
      </c>
      <c r="C2153" s="292">
        <f t="shared" si="645"/>
        <v>43020</v>
      </c>
      <c r="D2153" s="292" t="s">
        <v>2965</v>
      </c>
      <c r="E2153" s="292">
        <v>43020</v>
      </c>
      <c r="F2153" s="425" t="s">
        <v>771</v>
      </c>
      <c r="G2153" s="925"/>
      <c r="H2153" s="425" t="s">
        <v>1890</v>
      </c>
      <c r="I2153" s="373">
        <v>56520</v>
      </c>
      <c r="J2153" s="379">
        <v>17700</v>
      </c>
      <c r="K2153" s="373"/>
      <c r="L2153" s="379"/>
      <c r="M2153" s="927">
        <f t="shared" si="646"/>
        <v>1000404000</v>
      </c>
      <c r="N2153" s="295" t="s">
        <v>264</v>
      </c>
      <c r="O2153" s="295" t="s">
        <v>8</v>
      </c>
      <c r="P2153" s="75" t="str">
        <f>IF(AND('331-CT'!$E$7=TH!H2153,OR(N2153="331",O2153="331")),"x","")</f>
        <v/>
      </c>
      <c r="Q2153" s="75" t="str">
        <f>IF(AND(B2153='111'!$L$11,OR($N2153=$Q$7,$O2153=$Q$7)),"x","")</f>
        <v/>
      </c>
      <c r="R2153" s="75" t="str">
        <f>IF(AND($N2153=$Q$7,$B2153&lt;'111'!$L$11),"x","")</f>
        <v/>
      </c>
      <c r="S2153" s="75" t="str">
        <f>IF(AND($O2153=$Q$7,$B2153&lt;'111'!$L$11),"x","")</f>
        <v/>
      </c>
      <c r="T2153" s="75" t="str">
        <f>IF(ISERROR(FIND('112'!$M$9,G2153,1)),"",IF((AND(FIND('112'!$M$9,G2153,1)&gt;=1,B2153='112'!$K$9,OR($N2153='112'!$I$6,$O2153='112'!$I$6))),"x",""))</f>
        <v/>
      </c>
      <c r="U2153" s="75" t="str">
        <f>IF(ISERROR(FIND('112'!$M$9,G2153,1)),"",IF((AND(LEFT(G2153,2)=LEFT('112'!$M$9,2),B2153&lt;'112'!$K$9,$N2153='112'!$I$6)),"x",""))</f>
        <v/>
      </c>
      <c r="V2153" s="75" t="str">
        <f>IF(ISERROR(FIND('112'!$M$9,G2153,1)),"",IF((AND(RIGHT(G2153,2)=RIGHT('112'!$M$9,2),B2153&lt;'112'!$K$9,$O2153='112'!$I$6)),"x",""))</f>
        <v/>
      </c>
      <c r="W2153" s="75" t="str">
        <f>IF(AND('341-CT'!$H$9=H2153,OR(LEFT(N2153,3)=$W$7,LEFT(O2153,3)=$W$7)),"x","")</f>
        <v/>
      </c>
      <c r="X2153" s="75" t="str">
        <f>IF(OR(TH!N2153=TH!$X$7,O2153=TH!$X$7),"x","")</f>
        <v/>
      </c>
      <c r="Y2153" s="75" t="str">
        <f>IF(AND(OR(N2153="131",O2153="131"),H2153='131-CT'!$H$9),"x","")</f>
        <v/>
      </c>
      <c r="Z2153" s="75"/>
      <c r="AA2153" s="75" t="str">
        <f>IF(AND(MONTH(E2153)='IN-NX'!$J$5,'IN-NX'!$D$7=D2153),"x","")</f>
        <v/>
      </c>
      <c r="AB2153" s="75" t="str">
        <f>IF(AND(OR(LEFT(TH!N2153,2)="15",LEFT(TH!O2153,2)="15"),LEFT(TH!O2153,3)&lt;&gt;"111",'152-CT'!$J$8=TH!F2153),"x","")</f>
        <v/>
      </c>
      <c r="AC2153" s="75" t="str">
        <f>IF(AND(OR(LEFT(TH!N2153,2)="15",LEFT(TH!O2153,2)="15"),TK!$E$7=TH!F2153),"x","")</f>
        <v/>
      </c>
      <c r="AD2153" s="75" t="str">
        <f>IF(AND(N2153="1521",MONTH(C2153)='BK-NL'!$M$11),"x","")</f>
        <v/>
      </c>
    </row>
    <row r="2154" spans="1:30" ht="16.5" customHeight="1">
      <c r="A2154" s="309" t="str">
        <f>IF(B2154&lt;&gt;"",IF(AND(B2154='IN-TC'!$S$4,OR(TH!N2154="1111",TH!O2154="1111")),TH!D2154,""),"")</f>
        <v/>
      </c>
      <c r="B2154" s="1242">
        <f t="shared" si="642"/>
        <v>10</v>
      </c>
      <c r="C2154" s="292">
        <f t="shared" si="645"/>
        <v>43023</v>
      </c>
      <c r="D2154" s="292" t="s">
        <v>2974</v>
      </c>
      <c r="E2154" s="292">
        <v>43023</v>
      </c>
      <c r="F2154" s="425" t="s">
        <v>771</v>
      </c>
      <c r="G2154" s="925"/>
      <c r="H2154" s="425" t="s">
        <v>1882</v>
      </c>
      <c r="I2154" s="373">
        <v>53620</v>
      </c>
      <c r="J2154" s="379">
        <v>17700</v>
      </c>
      <c r="K2154" s="373"/>
      <c r="L2154" s="379"/>
      <c r="M2154" s="927">
        <f t="shared" si="646"/>
        <v>949074000</v>
      </c>
      <c r="N2154" s="295" t="s">
        <v>264</v>
      </c>
      <c r="O2154" s="295" t="s">
        <v>8</v>
      </c>
      <c r="P2154" s="75" t="str">
        <f>IF(AND('331-CT'!$E$7=TH!H2154,OR(N2154="331",O2154="331")),"x","")</f>
        <v/>
      </c>
      <c r="Q2154" s="75" t="str">
        <f>IF(AND(B2154='111'!$L$11,OR($N2154=$Q$7,$O2154=$Q$7)),"x","")</f>
        <v/>
      </c>
      <c r="R2154" s="75" t="str">
        <f>IF(AND($N2154=$Q$7,$B2154&lt;'111'!$L$11),"x","")</f>
        <v/>
      </c>
      <c r="S2154" s="75" t="str">
        <f>IF(AND($O2154=$Q$7,$B2154&lt;'111'!$L$11),"x","")</f>
        <v/>
      </c>
      <c r="T2154" s="75" t="str">
        <f>IF(ISERROR(FIND('112'!$M$9,G2154,1)),"",IF((AND(FIND('112'!$M$9,G2154,1)&gt;=1,B2154='112'!$K$9,OR($N2154='112'!$I$6,$O2154='112'!$I$6))),"x",""))</f>
        <v/>
      </c>
      <c r="U2154" s="75" t="str">
        <f>IF(ISERROR(FIND('112'!$M$9,G2154,1)),"",IF((AND(LEFT(G2154,2)=LEFT('112'!$M$9,2),B2154&lt;'112'!$K$9,$N2154='112'!$I$6)),"x",""))</f>
        <v/>
      </c>
      <c r="V2154" s="75" t="str">
        <f>IF(ISERROR(FIND('112'!$M$9,G2154,1)),"",IF((AND(RIGHT(G2154,2)=RIGHT('112'!$M$9,2),B2154&lt;'112'!$K$9,$O2154='112'!$I$6)),"x",""))</f>
        <v/>
      </c>
      <c r="W2154" s="75" t="str">
        <f>IF(AND('341-CT'!$H$9=H2154,OR(LEFT(N2154,3)=$W$7,LEFT(O2154,3)=$W$7)),"x","")</f>
        <v/>
      </c>
      <c r="X2154" s="75" t="str">
        <f>IF(OR(TH!N2154=TH!$X$7,O2154=TH!$X$7),"x","")</f>
        <v/>
      </c>
      <c r="Y2154" s="75" t="str">
        <f>IF(AND(OR(N2154="131",O2154="131"),H2154='131-CT'!$H$9),"x","")</f>
        <v/>
      </c>
      <c r="Z2154" s="75"/>
      <c r="AA2154" s="75" t="str">
        <f>IF(AND(MONTH(E2154)='IN-NX'!$J$5,'IN-NX'!$D$7=D2154),"x","")</f>
        <v/>
      </c>
      <c r="AB2154" s="75" t="str">
        <f>IF(AND(OR(LEFT(TH!N2154,2)="15",LEFT(TH!O2154,2)="15"),LEFT(TH!O2154,3)&lt;&gt;"111",'152-CT'!$J$8=TH!F2154),"x","")</f>
        <v/>
      </c>
      <c r="AC2154" s="75" t="str">
        <f>IF(AND(OR(LEFT(TH!N2154,2)="15",LEFT(TH!O2154,2)="15"),TK!$E$7=TH!F2154),"x","")</f>
        <v/>
      </c>
      <c r="AD2154" s="75" t="str">
        <f>IF(AND(N2154="1521",MONTH(C2154)='BK-NL'!$M$11),"x","")</f>
        <v/>
      </c>
    </row>
    <row r="2155" spans="1:30" ht="16.5" customHeight="1">
      <c r="A2155" s="309" t="str">
        <f>IF(B2155&lt;&gt;"",IF(AND(B2155='IN-TC'!$S$4,OR(TH!N2155="1111",TH!O2155="1111")),TH!D2155,""),"")</f>
        <v/>
      </c>
      <c r="B2155" s="1242">
        <f t="shared" si="642"/>
        <v>10</v>
      </c>
      <c r="C2155" s="292">
        <f t="shared" si="645"/>
        <v>43023</v>
      </c>
      <c r="D2155" s="292" t="s">
        <v>2975</v>
      </c>
      <c r="E2155" s="292">
        <v>43023</v>
      </c>
      <c r="F2155" s="425" t="s">
        <v>771</v>
      </c>
      <c r="G2155" s="925"/>
      <c r="H2155" s="425" t="s">
        <v>1890</v>
      </c>
      <c r="I2155" s="373">
        <v>54650</v>
      </c>
      <c r="J2155" s="379">
        <v>17700</v>
      </c>
      <c r="K2155" s="373"/>
      <c r="L2155" s="379"/>
      <c r="M2155" s="927">
        <f t="shared" si="646"/>
        <v>967305000</v>
      </c>
      <c r="N2155" s="295" t="s">
        <v>264</v>
      </c>
      <c r="O2155" s="295" t="s">
        <v>8</v>
      </c>
      <c r="P2155" s="75" t="str">
        <f>IF(AND('331-CT'!$E$7=TH!H2155,OR(N2155="331",O2155="331")),"x","")</f>
        <v/>
      </c>
      <c r="Q2155" s="75" t="str">
        <f>IF(AND(B2155='111'!$L$11,OR($N2155=$Q$7,$O2155=$Q$7)),"x","")</f>
        <v/>
      </c>
      <c r="R2155" s="75" t="str">
        <f>IF(AND($N2155=$Q$7,$B2155&lt;'111'!$L$11),"x","")</f>
        <v/>
      </c>
      <c r="S2155" s="75" t="str">
        <f>IF(AND($O2155=$Q$7,$B2155&lt;'111'!$L$11),"x","")</f>
        <v/>
      </c>
      <c r="T2155" s="75" t="str">
        <f>IF(ISERROR(FIND('112'!$M$9,G2155,1)),"",IF((AND(FIND('112'!$M$9,G2155,1)&gt;=1,B2155='112'!$K$9,OR($N2155='112'!$I$6,$O2155='112'!$I$6))),"x",""))</f>
        <v/>
      </c>
      <c r="U2155" s="75" t="str">
        <f>IF(ISERROR(FIND('112'!$M$9,G2155,1)),"",IF((AND(LEFT(G2155,2)=LEFT('112'!$M$9,2),B2155&lt;'112'!$K$9,$N2155='112'!$I$6)),"x",""))</f>
        <v/>
      </c>
      <c r="V2155" s="75" t="str">
        <f>IF(ISERROR(FIND('112'!$M$9,G2155,1)),"",IF((AND(RIGHT(G2155,2)=RIGHT('112'!$M$9,2),B2155&lt;'112'!$K$9,$O2155='112'!$I$6)),"x",""))</f>
        <v/>
      </c>
      <c r="W2155" s="75" t="str">
        <f>IF(AND('341-CT'!$H$9=H2155,OR(LEFT(N2155,3)=$W$7,LEFT(O2155,3)=$W$7)),"x","")</f>
        <v/>
      </c>
      <c r="X2155" s="75" t="str">
        <f>IF(OR(TH!N2155=TH!$X$7,O2155=TH!$X$7),"x","")</f>
        <v/>
      </c>
      <c r="Y2155" s="75" t="str">
        <f>IF(AND(OR(N2155="131",O2155="131"),H2155='131-CT'!$H$9),"x","")</f>
        <v/>
      </c>
      <c r="Z2155" s="75"/>
      <c r="AA2155" s="75" t="str">
        <f>IF(AND(MONTH(E2155)='IN-NX'!$J$5,'IN-NX'!$D$7=D2155),"x","")</f>
        <v/>
      </c>
      <c r="AB2155" s="75" t="str">
        <f>IF(AND(OR(LEFT(TH!N2155,2)="15",LEFT(TH!O2155,2)="15"),LEFT(TH!O2155,3)&lt;&gt;"111",'152-CT'!$J$8=TH!F2155),"x","")</f>
        <v/>
      </c>
      <c r="AC2155" s="75" t="str">
        <f>IF(AND(OR(LEFT(TH!N2155,2)="15",LEFT(TH!O2155,2)="15"),TK!$E$7=TH!F2155),"x","")</f>
        <v/>
      </c>
      <c r="AD2155" s="75" t="str">
        <f>IF(AND(N2155="1521",MONTH(C2155)='BK-NL'!$M$11),"x","")</f>
        <v/>
      </c>
    </row>
    <row r="2156" spans="1:30" ht="16.5" customHeight="1">
      <c r="A2156" s="309" t="str">
        <f>IF(B2156&lt;&gt;"",IF(AND(B2156='IN-TC'!$S$4,OR(TH!N2156="1111",TH!O2156="1111")),TH!D2156,""),"")</f>
        <v/>
      </c>
      <c r="B2156" s="1242">
        <f t="shared" si="642"/>
        <v>10</v>
      </c>
      <c r="C2156" s="292">
        <f t="shared" si="645"/>
        <v>43026</v>
      </c>
      <c r="D2156" s="292" t="s">
        <v>2976</v>
      </c>
      <c r="E2156" s="292">
        <v>43026</v>
      </c>
      <c r="F2156" s="425" t="s">
        <v>771</v>
      </c>
      <c r="G2156" s="925"/>
      <c r="H2156" s="425" t="s">
        <v>1882</v>
      </c>
      <c r="I2156" s="373">
        <v>56320</v>
      </c>
      <c r="J2156" s="379">
        <v>17700</v>
      </c>
      <c r="K2156" s="373"/>
      <c r="L2156" s="379"/>
      <c r="M2156" s="927">
        <f t="shared" si="646"/>
        <v>996864000</v>
      </c>
      <c r="N2156" s="295" t="s">
        <v>264</v>
      </c>
      <c r="O2156" s="295" t="s">
        <v>8</v>
      </c>
      <c r="P2156" s="75" t="str">
        <f>IF(AND('331-CT'!$E$7=TH!H2156,OR(N2156="331",O2156="331")),"x","")</f>
        <v/>
      </c>
      <c r="Q2156" s="75" t="str">
        <f>IF(AND(B2156='111'!$L$11,OR($N2156=$Q$7,$O2156=$Q$7)),"x","")</f>
        <v/>
      </c>
      <c r="R2156" s="75" t="str">
        <f>IF(AND($N2156=$Q$7,$B2156&lt;'111'!$L$11),"x","")</f>
        <v/>
      </c>
      <c r="S2156" s="75" t="str">
        <f>IF(AND($O2156=$Q$7,$B2156&lt;'111'!$L$11),"x","")</f>
        <v/>
      </c>
      <c r="T2156" s="75" t="str">
        <f>IF(ISERROR(FIND('112'!$M$9,G2156,1)),"",IF((AND(FIND('112'!$M$9,G2156,1)&gt;=1,B2156='112'!$K$9,OR($N2156='112'!$I$6,$O2156='112'!$I$6))),"x",""))</f>
        <v/>
      </c>
      <c r="U2156" s="75" t="str">
        <f>IF(ISERROR(FIND('112'!$M$9,G2156,1)),"",IF((AND(LEFT(G2156,2)=LEFT('112'!$M$9,2),B2156&lt;'112'!$K$9,$N2156='112'!$I$6)),"x",""))</f>
        <v/>
      </c>
      <c r="V2156" s="75" t="str">
        <f>IF(ISERROR(FIND('112'!$M$9,G2156,1)),"",IF((AND(RIGHT(G2156,2)=RIGHT('112'!$M$9,2),B2156&lt;'112'!$K$9,$O2156='112'!$I$6)),"x",""))</f>
        <v/>
      </c>
      <c r="W2156" s="75" t="str">
        <f>IF(AND('341-CT'!$H$9=H2156,OR(LEFT(N2156,3)=$W$7,LEFT(O2156,3)=$W$7)),"x","")</f>
        <v/>
      </c>
      <c r="X2156" s="75" t="str">
        <f>IF(OR(TH!N2156=TH!$X$7,O2156=TH!$X$7),"x","")</f>
        <v/>
      </c>
      <c r="Y2156" s="75" t="str">
        <f>IF(AND(OR(N2156="131",O2156="131"),H2156='131-CT'!$H$9),"x","")</f>
        <v/>
      </c>
      <c r="Z2156" s="75"/>
      <c r="AA2156" s="75" t="str">
        <f>IF(AND(MONTH(E2156)='IN-NX'!$J$5,'IN-NX'!$D$7=D2156),"x","")</f>
        <v/>
      </c>
      <c r="AB2156" s="75" t="str">
        <f>IF(AND(OR(LEFT(TH!N2156,2)="15",LEFT(TH!O2156,2)="15"),LEFT(TH!O2156,3)&lt;&gt;"111",'152-CT'!$J$8=TH!F2156),"x","")</f>
        <v/>
      </c>
      <c r="AC2156" s="75" t="str">
        <f>IF(AND(OR(LEFT(TH!N2156,2)="15",LEFT(TH!O2156,2)="15"),TK!$E$7=TH!F2156),"x","")</f>
        <v/>
      </c>
      <c r="AD2156" s="75" t="str">
        <f>IF(AND(N2156="1521",MONTH(C2156)='BK-NL'!$M$11),"x","")</f>
        <v/>
      </c>
    </row>
    <row r="2157" spans="1:30" ht="16.5" customHeight="1">
      <c r="A2157" s="309" t="str">
        <f>IF(B2157&lt;&gt;"",IF(AND(B2157='IN-TC'!$S$4,OR(TH!N2157="1111",TH!O2157="1111")),TH!D2157,""),"")</f>
        <v/>
      </c>
      <c r="B2157" s="1242">
        <f t="shared" si="642"/>
        <v>10</v>
      </c>
      <c r="C2157" s="292">
        <f t="shared" si="645"/>
        <v>43026</v>
      </c>
      <c r="D2157" s="292" t="s">
        <v>2977</v>
      </c>
      <c r="E2157" s="292">
        <v>43026</v>
      </c>
      <c r="F2157" s="425" t="s">
        <v>771</v>
      </c>
      <c r="G2157" s="925"/>
      <c r="H2157" s="425" t="s">
        <v>1890</v>
      </c>
      <c r="I2157" s="373">
        <v>56230</v>
      </c>
      <c r="J2157" s="379">
        <v>17700</v>
      </c>
      <c r="K2157" s="373"/>
      <c r="L2157" s="379"/>
      <c r="M2157" s="927">
        <f t="shared" si="646"/>
        <v>995271000</v>
      </c>
      <c r="N2157" s="295" t="s">
        <v>264</v>
      </c>
      <c r="O2157" s="295" t="s">
        <v>8</v>
      </c>
      <c r="P2157" s="75" t="str">
        <f>IF(AND('331-CT'!$E$7=TH!H2157,OR(N2157="331",O2157="331")),"x","")</f>
        <v/>
      </c>
      <c r="Q2157" s="75" t="str">
        <f>IF(AND(B2157='111'!$L$11,OR($N2157=$Q$7,$O2157=$Q$7)),"x","")</f>
        <v/>
      </c>
      <c r="R2157" s="75" t="str">
        <f>IF(AND($N2157=$Q$7,$B2157&lt;'111'!$L$11),"x","")</f>
        <v/>
      </c>
      <c r="S2157" s="75" t="str">
        <f>IF(AND($O2157=$Q$7,$B2157&lt;'111'!$L$11),"x","")</f>
        <v/>
      </c>
      <c r="T2157" s="75" t="str">
        <f>IF(ISERROR(FIND('112'!$M$9,G2157,1)),"",IF((AND(FIND('112'!$M$9,G2157,1)&gt;=1,B2157='112'!$K$9,OR($N2157='112'!$I$6,$O2157='112'!$I$6))),"x",""))</f>
        <v/>
      </c>
      <c r="U2157" s="75" t="str">
        <f>IF(ISERROR(FIND('112'!$M$9,G2157,1)),"",IF((AND(LEFT(G2157,2)=LEFT('112'!$M$9,2),B2157&lt;'112'!$K$9,$N2157='112'!$I$6)),"x",""))</f>
        <v/>
      </c>
      <c r="V2157" s="75" t="str">
        <f>IF(ISERROR(FIND('112'!$M$9,G2157,1)),"",IF((AND(RIGHT(G2157,2)=RIGHT('112'!$M$9,2),B2157&lt;'112'!$K$9,$O2157='112'!$I$6)),"x",""))</f>
        <v/>
      </c>
      <c r="W2157" s="75" t="str">
        <f>IF(AND('341-CT'!$H$9=H2157,OR(LEFT(N2157,3)=$W$7,LEFT(O2157,3)=$W$7)),"x","")</f>
        <v/>
      </c>
      <c r="X2157" s="75" t="str">
        <f>IF(OR(TH!N2157=TH!$X$7,O2157=TH!$X$7),"x","")</f>
        <v/>
      </c>
      <c r="Y2157" s="75" t="str">
        <f>IF(AND(OR(N2157="131",O2157="131"),H2157='131-CT'!$H$9),"x","")</f>
        <v/>
      </c>
      <c r="Z2157" s="75"/>
      <c r="AA2157" s="75" t="str">
        <f>IF(AND(MONTH(E2157)='IN-NX'!$J$5,'IN-NX'!$D$7=D2157),"x","")</f>
        <v/>
      </c>
      <c r="AB2157" s="75" t="str">
        <f>IF(AND(OR(LEFT(TH!N2157,2)="15",LEFT(TH!O2157,2)="15"),LEFT(TH!O2157,3)&lt;&gt;"111",'152-CT'!$J$8=TH!F2157),"x","")</f>
        <v/>
      </c>
      <c r="AC2157" s="75" t="str">
        <f>IF(AND(OR(LEFT(TH!N2157,2)="15",LEFT(TH!O2157,2)="15"),TK!$E$7=TH!F2157),"x","")</f>
        <v/>
      </c>
      <c r="AD2157" s="75" t="str">
        <f>IF(AND(N2157="1521",MONTH(C2157)='BK-NL'!$M$11),"x","")</f>
        <v/>
      </c>
    </row>
    <row r="2158" spans="1:30" ht="16.5" customHeight="1">
      <c r="A2158" s="309" t="str">
        <f>IF(B2158&lt;&gt;"",IF(AND(B2158='IN-TC'!$S$4,OR(TH!N2158="1111",TH!O2158="1111")),TH!D2158,""),"")</f>
        <v/>
      </c>
      <c r="B2158" s="1242">
        <f t="shared" si="642"/>
        <v>10</v>
      </c>
      <c r="C2158" s="292">
        <f t="shared" si="645"/>
        <v>43033</v>
      </c>
      <c r="D2158" s="292" t="s">
        <v>2978</v>
      </c>
      <c r="E2158" s="292">
        <v>43033</v>
      </c>
      <c r="F2158" s="425" t="s">
        <v>771</v>
      </c>
      <c r="G2158" s="925"/>
      <c r="H2158" s="425" t="s">
        <v>1882</v>
      </c>
      <c r="I2158" s="373">
        <v>50460</v>
      </c>
      <c r="J2158" s="379">
        <v>17700</v>
      </c>
      <c r="K2158" s="373"/>
      <c r="L2158" s="379"/>
      <c r="M2158" s="927">
        <f t="shared" si="646"/>
        <v>893142000</v>
      </c>
      <c r="N2158" s="295" t="s">
        <v>264</v>
      </c>
      <c r="O2158" s="295" t="s">
        <v>8</v>
      </c>
      <c r="P2158" s="75" t="str">
        <f>IF(AND('331-CT'!$E$7=TH!H2158,OR(N2158="331",O2158="331")),"x","")</f>
        <v/>
      </c>
      <c r="Q2158" s="75" t="str">
        <f>IF(AND(B2158='111'!$L$11,OR($N2158=$Q$7,$O2158=$Q$7)),"x","")</f>
        <v/>
      </c>
      <c r="R2158" s="75" t="str">
        <f>IF(AND($N2158=$Q$7,$B2158&lt;'111'!$L$11),"x","")</f>
        <v/>
      </c>
      <c r="S2158" s="75" t="str">
        <f>IF(AND($O2158=$Q$7,$B2158&lt;'111'!$L$11),"x","")</f>
        <v/>
      </c>
      <c r="T2158" s="75" t="str">
        <f>IF(ISERROR(FIND('112'!$M$9,G2158,1)),"",IF((AND(FIND('112'!$M$9,G2158,1)&gt;=1,B2158='112'!$K$9,OR($N2158='112'!$I$6,$O2158='112'!$I$6))),"x",""))</f>
        <v/>
      </c>
      <c r="U2158" s="75" t="str">
        <f>IF(ISERROR(FIND('112'!$M$9,G2158,1)),"",IF((AND(LEFT(G2158,2)=LEFT('112'!$M$9,2),B2158&lt;'112'!$K$9,$N2158='112'!$I$6)),"x",""))</f>
        <v/>
      </c>
      <c r="V2158" s="75" t="str">
        <f>IF(ISERROR(FIND('112'!$M$9,G2158,1)),"",IF((AND(RIGHT(G2158,2)=RIGHT('112'!$M$9,2),B2158&lt;'112'!$K$9,$O2158='112'!$I$6)),"x",""))</f>
        <v/>
      </c>
      <c r="W2158" s="75" t="str">
        <f>IF(AND('341-CT'!$H$9=H2158,OR(LEFT(N2158,3)=$W$7,LEFT(O2158,3)=$W$7)),"x","")</f>
        <v/>
      </c>
      <c r="X2158" s="75" t="str">
        <f>IF(OR(TH!N2158=TH!$X$7,O2158=TH!$X$7),"x","")</f>
        <v/>
      </c>
      <c r="Y2158" s="75" t="str">
        <f>IF(AND(OR(N2158="131",O2158="131"),H2158='131-CT'!$H$9),"x","")</f>
        <v/>
      </c>
      <c r="Z2158" s="75"/>
      <c r="AA2158" s="75" t="str">
        <f>IF(AND(MONTH(E2158)='IN-NX'!$J$5,'IN-NX'!$D$7=D2158),"x","")</f>
        <v/>
      </c>
      <c r="AB2158" s="75" t="str">
        <f>IF(AND(OR(LEFT(TH!N2158,2)="15",LEFT(TH!O2158,2)="15"),LEFT(TH!O2158,3)&lt;&gt;"111",'152-CT'!$J$8=TH!F2158),"x","")</f>
        <v/>
      </c>
      <c r="AC2158" s="75" t="str">
        <f>IF(AND(OR(LEFT(TH!N2158,2)="15",LEFT(TH!O2158,2)="15"),TK!$E$7=TH!F2158),"x","")</f>
        <v/>
      </c>
      <c r="AD2158" s="75" t="str">
        <f>IF(AND(N2158="1521",MONTH(C2158)='BK-NL'!$M$11),"x","")</f>
        <v/>
      </c>
    </row>
    <row r="2159" spans="1:30" ht="16.5" customHeight="1">
      <c r="A2159" s="309" t="str">
        <f>IF(B2159&lt;&gt;"",IF(AND(B2159='IN-TC'!$S$4,OR(TH!N2159="1111",TH!O2159="1111")),TH!D2159,""),"")</f>
        <v/>
      </c>
      <c r="B2159" s="1242">
        <f t="shared" si="642"/>
        <v>10</v>
      </c>
      <c r="C2159" s="292">
        <f t="shared" si="645"/>
        <v>43033</v>
      </c>
      <c r="D2159" s="292" t="s">
        <v>2979</v>
      </c>
      <c r="E2159" s="292">
        <v>43033</v>
      </c>
      <c r="F2159" s="425" t="s">
        <v>771</v>
      </c>
      <c r="G2159" s="925"/>
      <c r="H2159" s="425" t="s">
        <v>1890</v>
      </c>
      <c r="I2159" s="373">
        <f>(135000+579231)-SUM(I2147:I2158)</f>
        <v>55731</v>
      </c>
      <c r="J2159" s="379">
        <v>17700</v>
      </c>
      <c r="K2159" s="373"/>
      <c r="L2159" s="379"/>
      <c r="M2159" s="927">
        <f t="shared" si="646"/>
        <v>986438700</v>
      </c>
      <c r="N2159" s="295" t="s">
        <v>264</v>
      </c>
      <c r="O2159" s="295" t="s">
        <v>8</v>
      </c>
      <c r="P2159" s="75" t="str">
        <f>IF(AND('331-CT'!$E$7=TH!H2159,OR(N2159="331",O2159="331")),"x","")</f>
        <v/>
      </c>
      <c r="Q2159" s="75" t="str">
        <f>IF(AND(B2159='111'!$L$11,OR($N2159=$Q$7,$O2159=$Q$7)),"x","")</f>
        <v/>
      </c>
      <c r="R2159" s="75" t="str">
        <f>IF(AND($N2159=$Q$7,$B2159&lt;'111'!$L$11),"x","")</f>
        <v/>
      </c>
      <c r="S2159" s="75" t="str">
        <f>IF(AND($O2159=$Q$7,$B2159&lt;'111'!$L$11),"x","")</f>
        <v/>
      </c>
      <c r="T2159" s="75" t="str">
        <f>IF(ISERROR(FIND('112'!$M$9,G2159,1)),"",IF((AND(FIND('112'!$M$9,G2159,1)&gt;=1,B2159='112'!$K$9,OR($N2159='112'!$I$6,$O2159='112'!$I$6))),"x",""))</f>
        <v/>
      </c>
      <c r="U2159" s="75" t="str">
        <f>IF(ISERROR(FIND('112'!$M$9,G2159,1)),"",IF((AND(LEFT(G2159,2)=LEFT('112'!$M$9,2),B2159&lt;'112'!$K$9,$N2159='112'!$I$6)),"x",""))</f>
        <v/>
      </c>
      <c r="V2159" s="75" t="str">
        <f>IF(ISERROR(FIND('112'!$M$9,G2159,1)),"",IF((AND(RIGHT(G2159,2)=RIGHT('112'!$M$9,2),B2159&lt;'112'!$K$9,$O2159='112'!$I$6)),"x",""))</f>
        <v/>
      </c>
      <c r="W2159" s="75" t="str">
        <f>IF(AND('341-CT'!$H$9=H2159,OR(LEFT(N2159,3)=$W$7,LEFT(O2159,3)=$W$7)),"x","")</f>
        <v/>
      </c>
      <c r="X2159" s="75" t="str">
        <f>IF(OR(TH!N2159=TH!$X$7,O2159=TH!$X$7),"x","")</f>
        <v/>
      </c>
      <c r="Y2159" s="75" t="str">
        <f>IF(AND(OR(N2159="131",O2159="131"),H2159='131-CT'!$H$9),"x","")</f>
        <v/>
      </c>
      <c r="Z2159" s="75"/>
      <c r="AA2159" s="75" t="str">
        <f>IF(AND(MONTH(E2159)='IN-NX'!$J$5,'IN-NX'!$D$7=D2159),"x","")</f>
        <v/>
      </c>
      <c r="AB2159" s="75" t="str">
        <f>IF(AND(OR(LEFT(TH!N2159,2)="15",LEFT(TH!O2159,2)="15"),LEFT(TH!O2159,3)&lt;&gt;"111",'152-CT'!$J$8=TH!F2159),"x","")</f>
        <v/>
      </c>
      <c r="AC2159" s="75" t="str">
        <f>IF(AND(OR(LEFT(TH!N2159,2)="15",LEFT(TH!O2159,2)="15"),TK!$E$7=TH!F2159),"x","")</f>
        <v/>
      </c>
      <c r="AD2159" s="75" t="str">
        <f>IF(AND(N2159="1521",MONTH(C2159)='BK-NL'!$M$11),"x","")</f>
        <v/>
      </c>
    </row>
    <row r="2160" spans="1:30" ht="16.5" customHeight="1">
      <c r="A2160" s="309" t="str">
        <f>IF(B2160&lt;&gt;"",IF(AND(B2160='IN-TC'!$S$4,OR(TH!N2160="1111",TH!O2160="1111")),TH!D2160,""),"")</f>
        <v/>
      </c>
      <c r="B2160" s="1242">
        <f t="shared" ref="B2160:B2162" si="652">IF(C2160&lt;&gt;"",MONTH(C2160),"")</f>
        <v>10</v>
      </c>
      <c r="C2160" s="292">
        <f t="shared" ref="C2160:C2162" si="653">E2160</f>
        <v>43009</v>
      </c>
      <c r="D2160" s="292" t="s">
        <v>2957</v>
      </c>
      <c r="E2160" s="292">
        <v>43009</v>
      </c>
      <c r="F2160" s="425" t="s">
        <v>771</v>
      </c>
      <c r="G2160" s="925"/>
      <c r="H2160" s="425" t="s">
        <v>1886</v>
      </c>
      <c r="I2160" s="373">
        <v>42862</v>
      </c>
      <c r="J2160" s="379">
        <v>18500</v>
      </c>
      <c r="K2160" s="373"/>
      <c r="L2160" s="379"/>
      <c r="M2160" s="927">
        <f t="shared" ref="M2160:M2162" si="654">ROUND(I2160*J2160,0)</f>
        <v>792947000</v>
      </c>
      <c r="N2160" s="295" t="s">
        <v>264</v>
      </c>
      <c r="O2160" s="295" t="s">
        <v>8</v>
      </c>
      <c r="P2160" s="75" t="str">
        <f>IF(AND('331-CT'!$E$7=TH!H2160,OR(N2160="331",O2160="331")),"x","")</f>
        <v>x</v>
      </c>
      <c r="Q2160" s="75" t="str">
        <f>IF(AND(B2160='111'!$L$11,OR($N2160=$Q$7,$O2160=$Q$7)),"x","")</f>
        <v/>
      </c>
      <c r="R2160" s="75" t="str">
        <f>IF(AND($N2160=$Q$7,$B2160&lt;'111'!$L$11),"x","")</f>
        <v/>
      </c>
      <c r="S2160" s="75" t="str">
        <f>IF(AND($O2160=$Q$7,$B2160&lt;'111'!$L$11),"x","")</f>
        <v/>
      </c>
      <c r="T2160" s="75" t="str">
        <f>IF(ISERROR(FIND('112'!$M$9,G2160,1)),"",IF((AND(FIND('112'!$M$9,G2160,1)&gt;=1,B2160='112'!$K$9,OR($N2160='112'!$I$6,$O2160='112'!$I$6))),"x",""))</f>
        <v/>
      </c>
      <c r="U2160" s="75" t="str">
        <f>IF(ISERROR(FIND('112'!$M$9,G2160,1)),"",IF((AND(LEFT(G2160,2)=LEFT('112'!$M$9,2),B2160&lt;'112'!$K$9,$N2160='112'!$I$6)),"x",""))</f>
        <v/>
      </c>
      <c r="V2160" s="75" t="str">
        <f>IF(ISERROR(FIND('112'!$M$9,G2160,1)),"",IF((AND(RIGHT(G2160,2)=RIGHT('112'!$M$9,2),B2160&lt;'112'!$K$9,$O2160='112'!$I$6)),"x",""))</f>
        <v/>
      </c>
      <c r="W2160" s="75" t="str">
        <f>IF(AND('341-CT'!$H$9=H2160,OR(LEFT(N2160,3)=$W$7,LEFT(O2160,3)=$W$7)),"x","")</f>
        <v/>
      </c>
      <c r="X2160" s="75" t="str">
        <f>IF(OR(TH!N2160=TH!$X$7,O2160=TH!$X$7),"x","")</f>
        <v/>
      </c>
      <c r="Y2160" s="75" t="str">
        <f>IF(AND(OR(N2160="131",O2160="131"),H2160='131-CT'!$H$9),"x","")</f>
        <v/>
      </c>
      <c r="Z2160" s="75"/>
      <c r="AA2160" s="75" t="str">
        <f>IF(AND(MONTH(E2160)='IN-NX'!$J$5,'IN-NX'!$D$7=D2160),"x","")</f>
        <v/>
      </c>
      <c r="AB2160" s="75" t="str">
        <f>IF(AND(OR(LEFT(TH!N2160,2)="15",LEFT(TH!O2160,2)="15"),LEFT(TH!O2160,3)&lt;&gt;"111",'152-CT'!$J$8=TH!F2160),"x","")</f>
        <v/>
      </c>
      <c r="AC2160" s="75" t="str">
        <f>IF(AND(OR(LEFT(TH!N2160,2)="15",LEFT(TH!O2160,2)="15"),TK!$E$7=TH!F2160),"x","")</f>
        <v/>
      </c>
      <c r="AD2160" s="75" t="str">
        <f>IF(AND(N2160="1521",MONTH(C2160)='BK-NL'!$M$11),"x","")</f>
        <v/>
      </c>
    </row>
    <row r="2161" spans="1:30" ht="16.5" customHeight="1">
      <c r="A2161" s="309" t="str">
        <f>IF(B2161&lt;&gt;"",IF(AND(B2161='IN-TC'!$S$4,OR(TH!N2161="1111",TH!O2161="1111")),TH!D2161,""),"")</f>
        <v/>
      </c>
      <c r="B2161" s="1242">
        <f t="shared" si="652"/>
        <v>10</v>
      </c>
      <c r="C2161" s="292">
        <f t="shared" si="653"/>
        <v>43010</v>
      </c>
      <c r="D2161" s="292" t="s">
        <v>2960</v>
      </c>
      <c r="E2161" s="292">
        <v>43010</v>
      </c>
      <c r="F2161" s="425" t="s">
        <v>565</v>
      </c>
      <c r="G2161" s="925"/>
      <c r="H2161" s="429" t="s">
        <v>348</v>
      </c>
      <c r="I2161" s="373">
        <v>31530</v>
      </c>
      <c r="J2161" s="379">
        <v>17500</v>
      </c>
      <c r="K2161" s="373"/>
      <c r="L2161" s="379"/>
      <c r="M2161" s="927">
        <f t="shared" si="654"/>
        <v>551775000</v>
      </c>
      <c r="N2161" s="295" t="s">
        <v>264</v>
      </c>
      <c r="O2161" s="295" t="s">
        <v>8</v>
      </c>
      <c r="P2161" s="75" t="str">
        <f>IF(AND('331-CT'!$E$7=TH!H2161,OR(N2161="331",O2161="331")),"x","")</f>
        <v/>
      </c>
      <c r="Q2161" s="75" t="str">
        <f>IF(AND(B2161='111'!$L$11,OR($N2161=$Q$7,$O2161=$Q$7)),"x","")</f>
        <v/>
      </c>
      <c r="R2161" s="75" t="str">
        <f>IF(AND($N2161=$Q$7,$B2161&lt;'111'!$L$11),"x","")</f>
        <v/>
      </c>
      <c r="S2161" s="75" t="str">
        <f>IF(AND($O2161=$Q$7,$B2161&lt;'111'!$L$11),"x","")</f>
        <v/>
      </c>
      <c r="T2161" s="75" t="str">
        <f>IF(ISERROR(FIND('112'!$M$9,G2161,1)),"",IF((AND(FIND('112'!$M$9,G2161,1)&gt;=1,B2161='112'!$K$9,OR($N2161='112'!$I$6,$O2161='112'!$I$6))),"x",""))</f>
        <v/>
      </c>
      <c r="U2161" s="75" t="str">
        <f>IF(ISERROR(FIND('112'!$M$9,G2161,1)),"",IF((AND(LEFT(G2161,2)=LEFT('112'!$M$9,2),B2161&lt;'112'!$K$9,$N2161='112'!$I$6)),"x",""))</f>
        <v/>
      </c>
      <c r="V2161" s="75" t="str">
        <f>IF(ISERROR(FIND('112'!$M$9,G2161,1)),"",IF((AND(RIGHT(G2161,2)=RIGHT('112'!$M$9,2),B2161&lt;'112'!$K$9,$O2161='112'!$I$6)),"x",""))</f>
        <v/>
      </c>
      <c r="W2161" s="75" t="str">
        <f>IF(AND('341-CT'!$H$9=H2161,OR(LEFT(N2161,3)=$W$7,LEFT(O2161,3)=$W$7)),"x","")</f>
        <v/>
      </c>
      <c r="X2161" s="75" t="str">
        <f>IF(OR(TH!N2161=TH!$X$7,O2161=TH!$X$7),"x","")</f>
        <v/>
      </c>
      <c r="Y2161" s="75" t="str">
        <f>IF(AND(OR(N2161="131",O2161="131"),H2161='131-CT'!$H$9),"x","")</f>
        <v/>
      </c>
      <c r="Z2161" s="75"/>
      <c r="AA2161" s="75" t="str">
        <f>IF(AND(MONTH(E2161)='IN-NX'!$J$5,'IN-NX'!$D$7=D2161),"x","")</f>
        <v/>
      </c>
      <c r="AB2161" s="75" t="str">
        <f>IF(AND(OR(LEFT(TH!N2161,2)="15",LEFT(TH!O2161,2)="15"),LEFT(TH!O2161,3)&lt;&gt;"111",'152-CT'!$J$8=TH!F2161),"x","")</f>
        <v/>
      </c>
      <c r="AC2161" s="75" t="str">
        <f>IF(AND(OR(LEFT(TH!N2161,2)="15",LEFT(TH!O2161,2)="15"),TK!$E$7=TH!F2161),"x","")</f>
        <v/>
      </c>
      <c r="AD2161" s="75" t="str">
        <f>IF(AND(N2161="1521",MONTH(C2161)='BK-NL'!$M$11),"x","")</f>
        <v/>
      </c>
    </row>
    <row r="2162" spans="1:30" ht="16.5" customHeight="1">
      <c r="A2162" s="309" t="str">
        <f>IF(B2162&lt;&gt;"",IF(AND(B2162='IN-TC'!$S$4,OR(TH!N2162="1111",TH!O2162="1111")),TH!D2162,""),"")</f>
        <v/>
      </c>
      <c r="B2162" s="1242">
        <f t="shared" si="652"/>
        <v>10</v>
      </c>
      <c r="C2162" s="292">
        <f t="shared" si="653"/>
        <v>43010</v>
      </c>
      <c r="D2162" s="292" t="s">
        <v>2961</v>
      </c>
      <c r="E2162" s="292">
        <v>43010</v>
      </c>
      <c r="F2162" s="425" t="s">
        <v>565</v>
      </c>
      <c r="G2162" s="925"/>
      <c r="H2162" s="429" t="s">
        <v>350</v>
      </c>
      <c r="I2162" s="373">
        <f>63360-I2161</f>
        <v>31830</v>
      </c>
      <c r="J2162" s="379">
        <v>17500</v>
      </c>
      <c r="K2162" s="373"/>
      <c r="L2162" s="379"/>
      <c r="M2162" s="927">
        <f t="shared" si="654"/>
        <v>557025000</v>
      </c>
      <c r="N2162" s="295" t="s">
        <v>264</v>
      </c>
      <c r="O2162" s="295" t="s">
        <v>8</v>
      </c>
      <c r="P2162" s="75" t="str">
        <f>IF(AND('331-CT'!$E$7=TH!H2162,OR(N2162="331",O2162="331")),"x","")</f>
        <v/>
      </c>
      <c r="Q2162" s="75" t="str">
        <f>IF(AND(B2162='111'!$L$11,OR($N2162=$Q$7,$O2162=$Q$7)),"x","")</f>
        <v/>
      </c>
      <c r="R2162" s="75" t="str">
        <f>IF(AND($N2162=$Q$7,$B2162&lt;'111'!$L$11),"x","")</f>
        <v/>
      </c>
      <c r="S2162" s="75" t="str">
        <f>IF(AND($O2162=$Q$7,$B2162&lt;'111'!$L$11),"x","")</f>
        <v/>
      </c>
      <c r="T2162" s="75" t="str">
        <f>IF(ISERROR(FIND('112'!$M$9,G2162,1)),"",IF((AND(FIND('112'!$M$9,G2162,1)&gt;=1,B2162='112'!$K$9,OR($N2162='112'!$I$6,$O2162='112'!$I$6))),"x",""))</f>
        <v/>
      </c>
      <c r="U2162" s="75" t="str">
        <f>IF(ISERROR(FIND('112'!$M$9,G2162,1)),"",IF((AND(LEFT(G2162,2)=LEFT('112'!$M$9,2),B2162&lt;'112'!$K$9,$N2162='112'!$I$6)),"x",""))</f>
        <v/>
      </c>
      <c r="V2162" s="75" t="str">
        <f>IF(ISERROR(FIND('112'!$M$9,G2162,1)),"",IF((AND(RIGHT(G2162,2)=RIGHT('112'!$M$9,2),B2162&lt;'112'!$K$9,$O2162='112'!$I$6)),"x",""))</f>
        <v/>
      </c>
      <c r="W2162" s="75" t="str">
        <f>IF(AND('341-CT'!$H$9=H2162,OR(LEFT(N2162,3)=$W$7,LEFT(O2162,3)=$W$7)),"x","")</f>
        <v/>
      </c>
      <c r="X2162" s="75" t="str">
        <f>IF(OR(TH!N2162=TH!$X$7,O2162=TH!$X$7),"x","")</f>
        <v/>
      </c>
      <c r="Y2162" s="75" t="str">
        <f>IF(AND(OR(N2162="131",O2162="131"),H2162='131-CT'!$H$9),"x","")</f>
        <v/>
      </c>
      <c r="Z2162" s="75"/>
      <c r="AA2162" s="75" t="str">
        <f>IF(AND(MONTH(E2162)='IN-NX'!$J$5,'IN-NX'!$D$7=D2162),"x","")</f>
        <v/>
      </c>
      <c r="AB2162" s="75" t="str">
        <f>IF(AND(OR(LEFT(TH!N2162,2)="15",LEFT(TH!O2162,2)="15"),LEFT(TH!O2162,3)&lt;&gt;"111",'152-CT'!$J$8=TH!F2162),"x","")</f>
        <v/>
      </c>
      <c r="AC2162" s="75" t="str">
        <f>IF(AND(OR(LEFT(TH!N2162,2)="15",LEFT(TH!O2162,2)="15"),TK!$E$7=TH!F2162),"x","")</f>
        <v/>
      </c>
      <c r="AD2162" s="75" t="str">
        <f>IF(AND(N2162="1521",MONTH(C2162)='BK-NL'!$M$11),"x","")</f>
        <v/>
      </c>
    </row>
    <row r="2163" spans="1:30" ht="16.5" customHeight="1">
      <c r="A2163" s="309" t="str">
        <f>IF(B2163&lt;&gt;"",IF(AND(B2163='IN-TC'!$S$4,OR(TH!N2163="1111",TH!O2163="1111")),TH!D2163,""),"")</f>
        <v/>
      </c>
      <c r="B2163" s="1242">
        <f t="shared" si="642"/>
        <v>10</v>
      </c>
      <c r="C2163" s="292">
        <f t="shared" si="645"/>
        <v>43021</v>
      </c>
      <c r="D2163" s="292" t="s">
        <v>2966</v>
      </c>
      <c r="E2163" s="292">
        <v>43021</v>
      </c>
      <c r="F2163" s="425" t="s">
        <v>764</v>
      </c>
      <c r="G2163" s="925"/>
      <c r="H2163" s="429" t="s">
        <v>361</v>
      </c>
      <c r="I2163" s="373">
        <v>26510</v>
      </c>
      <c r="J2163" s="379">
        <v>18500</v>
      </c>
      <c r="K2163" s="373"/>
      <c r="L2163" s="379"/>
      <c r="M2163" s="927">
        <f t="shared" si="646"/>
        <v>490435000</v>
      </c>
      <c r="N2163" s="295" t="s">
        <v>264</v>
      </c>
      <c r="O2163" s="295" t="s">
        <v>8</v>
      </c>
      <c r="P2163" s="75" t="str">
        <f>IF(AND('331-CT'!$E$7=TH!H2163,OR(N2163="331",O2163="331")),"x","")</f>
        <v/>
      </c>
      <c r="Q2163" s="75" t="str">
        <f>IF(AND(B2163='111'!$L$11,OR($N2163=$Q$7,$O2163=$Q$7)),"x","")</f>
        <v/>
      </c>
      <c r="R2163" s="75" t="str">
        <f>IF(AND($N2163=$Q$7,$B2163&lt;'111'!$L$11),"x","")</f>
        <v/>
      </c>
      <c r="S2163" s="75" t="str">
        <f>IF(AND($O2163=$Q$7,$B2163&lt;'111'!$L$11),"x","")</f>
        <v/>
      </c>
      <c r="T2163" s="75" t="str">
        <f>IF(ISERROR(FIND('112'!$M$9,G2163,1)),"",IF((AND(FIND('112'!$M$9,G2163,1)&gt;=1,B2163='112'!$K$9,OR($N2163='112'!$I$6,$O2163='112'!$I$6))),"x",""))</f>
        <v/>
      </c>
      <c r="U2163" s="75" t="str">
        <f>IF(ISERROR(FIND('112'!$M$9,G2163,1)),"",IF((AND(LEFT(G2163,2)=LEFT('112'!$M$9,2),B2163&lt;'112'!$K$9,$N2163='112'!$I$6)),"x",""))</f>
        <v/>
      </c>
      <c r="V2163" s="75" t="str">
        <f>IF(ISERROR(FIND('112'!$M$9,G2163,1)),"",IF((AND(RIGHT(G2163,2)=RIGHT('112'!$M$9,2),B2163&lt;'112'!$K$9,$O2163='112'!$I$6)),"x",""))</f>
        <v/>
      </c>
      <c r="W2163" s="75" t="str">
        <f>IF(AND('341-CT'!$H$9=H2163,OR(LEFT(N2163,3)=$W$7,LEFT(O2163,3)=$W$7)),"x","")</f>
        <v/>
      </c>
      <c r="X2163" s="75" t="str">
        <f>IF(OR(TH!N2163=TH!$X$7,O2163=TH!$X$7),"x","")</f>
        <v/>
      </c>
      <c r="Y2163" s="75" t="str">
        <f>IF(AND(OR(N2163="131",O2163="131"),H2163='131-CT'!$H$9),"x","")</f>
        <v/>
      </c>
      <c r="Z2163" s="75"/>
      <c r="AA2163" s="75" t="str">
        <f>IF(AND(MONTH(E2163)='IN-NX'!$J$5,'IN-NX'!$D$7=D2163),"x","")</f>
        <v/>
      </c>
      <c r="AB2163" s="75" t="str">
        <f>IF(AND(OR(LEFT(TH!N2163,2)="15",LEFT(TH!O2163,2)="15"),LEFT(TH!O2163,3)&lt;&gt;"111",'152-CT'!$J$8=TH!F2163),"x","")</f>
        <v/>
      </c>
      <c r="AC2163" s="75" t="str">
        <f>IF(AND(OR(LEFT(TH!N2163,2)="15",LEFT(TH!O2163,2)="15"),TK!$E$7=TH!F2163),"x","")</f>
        <v/>
      </c>
      <c r="AD2163" s="75" t="str">
        <f>IF(AND(N2163="1521",MONTH(C2163)='BK-NL'!$M$11),"x","")</f>
        <v/>
      </c>
    </row>
    <row r="2164" spans="1:30" ht="16.5" customHeight="1">
      <c r="A2164" s="309" t="str">
        <f>IF(B2164&lt;&gt;"",IF(AND(B2164='IN-TC'!$S$4,OR(TH!N2164="1111",TH!O2164="1111")),TH!D2164,""),"")</f>
        <v/>
      </c>
      <c r="B2164" s="1242">
        <f t="shared" si="642"/>
        <v>10</v>
      </c>
      <c r="C2164" s="292">
        <f t="shared" si="645"/>
        <v>43021</v>
      </c>
      <c r="D2164" s="292" t="s">
        <v>2967</v>
      </c>
      <c r="E2164" s="292">
        <v>43021</v>
      </c>
      <c r="F2164" s="425" t="s">
        <v>764</v>
      </c>
      <c r="G2164" s="925"/>
      <c r="H2164" s="429" t="s">
        <v>366</v>
      </c>
      <c r="I2164" s="373">
        <f>52200-I2163</f>
        <v>25690</v>
      </c>
      <c r="J2164" s="379">
        <v>18500</v>
      </c>
      <c r="K2164" s="373"/>
      <c r="L2164" s="379"/>
      <c r="M2164" s="927">
        <f t="shared" si="646"/>
        <v>475265000</v>
      </c>
      <c r="N2164" s="295" t="s">
        <v>264</v>
      </c>
      <c r="O2164" s="295" t="s">
        <v>8</v>
      </c>
      <c r="P2164" s="75" t="str">
        <f>IF(AND('331-CT'!$E$7=TH!H2164,OR(N2164="331",O2164="331")),"x","")</f>
        <v/>
      </c>
      <c r="Q2164" s="75" t="str">
        <f>IF(AND(B2164='111'!$L$11,OR($N2164=$Q$7,$O2164=$Q$7)),"x","")</f>
        <v/>
      </c>
      <c r="R2164" s="75" t="str">
        <f>IF(AND($N2164=$Q$7,$B2164&lt;'111'!$L$11),"x","")</f>
        <v/>
      </c>
      <c r="S2164" s="75" t="str">
        <f>IF(AND($O2164=$Q$7,$B2164&lt;'111'!$L$11),"x","")</f>
        <v/>
      </c>
      <c r="T2164" s="75" t="str">
        <f>IF(ISERROR(FIND('112'!$M$9,G2164,1)),"",IF((AND(FIND('112'!$M$9,G2164,1)&gt;=1,B2164='112'!$K$9,OR($N2164='112'!$I$6,$O2164='112'!$I$6))),"x",""))</f>
        <v/>
      </c>
      <c r="U2164" s="75" t="str">
        <f>IF(ISERROR(FIND('112'!$M$9,G2164,1)),"",IF((AND(LEFT(G2164,2)=LEFT('112'!$M$9,2),B2164&lt;'112'!$K$9,$N2164='112'!$I$6)),"x",""))</f>
        <v/>
      </c>
      <c r="V2164" s="75" t="str">
        <f>IF(ISERROR(FIND('112'!$M$9,G2164,1)),"",IF((AND(RIGHT(G2164,2)=RIGHT('112'!$M$9,2),B2164&lt;'112'!$K$9,$O2164='112'!$I$6)),"x",""))</f>
        <v/>
      </c>
      <c r="W2164" s="75" t="str">
        <f>IF(AND('341-CT'!$H$9=H2164,OR(LEFT(N2164,3)=$W$7,LEFT(O2164,3)=$W$7)),"x","")</f>
        <v/>
      </c>
      <c r="X2164" s="75" t="str">
        <f>IF(OR(TH!N2164=TH!$X$7,O2164=TH!$X$7),"x","")</f>
        <v/>
      </c>
      <c r="Y2164" s="75" t="str">
        <f>IF(AND(OR(N2164="131",O2164="131"),H2164='131-CT'!$H$9),"x","")</f>
        <v/>
      </c>
      <c r="Z2164" s="75"/>
      <c r="AA2164" s="75" t="str">
        <f>IF(AND(MONTH(E2164)='IN-NX'!$J$5,'IN-NX'!$D$7=D2164),"x","")</f>
        <v/>
      </c>
      <c r="AB2164" s="75" t="str">
        <f>IF(AND(OR(LEFT(TH!N2164,2)="15",LEFT(TH!O2164,2)="15"),LEFT(TH!O2164,3)&lt;&gt;"111",'152-CT'!$J$8=TH!F2164),"x","")</f>
        <v/>
      </c>
      <c r="AC2164" s="75" t="str">
        <f>IF(AND(OR(LEFT(TH!N2164,2)="15",LEFT(TH!O2164,2)="15"),TK!$E$7=TH!F2164),"x","")</f>
        <v/>
      </c>
      <c r="AD2164" s="75" t="str">
        <f>IF(AND(N2164="1521",MONTH(C2164)='BK-NL'!$M$11),"x","")</f>
        <v/>
      </c>
    </row>
    <row r="2165" spans="1:30" ht="16.5" customHeight="1">
      <c r="A2165" s="309" t="str">
        <f>IF(B2165&lt;&gt;"",IF(AND(B2165='IN-TC'!$S$4,OR(TH!N2165="1111",TH!O2165="1111")),TH!D2165,""),"")</f>
        <v/>
      </c>
      <c r="B2165" s="1242">
        <f t="shared" ref="B2165" si="655">IF(C2165&lt;&gt;"",MONTH(C2165),"")</f>
        <v>10</v>
      </c>
      <c r="C2165" s="292">
        <f t="shared" ref="C2165" si="656">E2165</f>
        <v>43023</v>
      </c>
      <c r="D2165" s="292" t="s">
        <v>2968</v>
      </c>
      <c r="E2165" s="292">
        <v>43023</v>
      </c>
      <c r="F2165" s="425" t="s">
        <v>565</v>
      </c>
      <c r="G2165" s="925"/>
      <c r="H2165" s="429" t="s">
        <v>348</v>
      </c>
      <c r="I2165" s="373">
        <v>25010</v>
      </c>
      <c r="J2165" s="379">
        <v>17000</v>
      </c>
      <c r="K2165" s="373"/>
      <c r="L2165" s="379"/>
      <c r="M2165" s="927">
        <f t="shared" ref="M2165" si="657">ROUND(I2165*J2165,0)</f>
        <v>425170000</v>
      </c>
      <c r="N2165" s="295" t="s">
        <v>264</v>
      </c>
      <c r="O2165" s="295" t="s">
        <v>8</v>
      </c>
      <c r="P2165" s="75" t="str">
        <f>IF(AND('331-CT'!$E$7=TH!H2165,OR(N2165="331",O2165="331")),"x","")</f>
        <v/>
      </c>
      <c r="Q2165" s="75" t="str">
        <f>IF(AND(B2165='111'!$L$11,OR($N2165=$Q$7,$O2165=$Q$7)),"x","")</f>
        <v/>
      </c>
      <c r="R2165" s="75" t="str">
        <f>IF(AND($N2165=$Q$7,$B2165&lt;'111'!$L$11),"x","")</f>
        <v/>
      </c>
      <c r="S2165" s="75" t="str">
        <f>IF(AND($O2165=$Q$7,$B2165&lt;'111'!$L$11),"x","")</f>
        <v/>
      </c>
      <c r="T2165" s="75" t="str">
        <f>IF(ISERROR(FIND('112'!$M$9,G2165,1)),"",IF((AND(FIND('112'!$M$9,G2165,1)&gt;=1,B2165='112'!$K$9,OR($N2165='112'!$I$6,$O2165='112'!$I$6))),"x",""))</f>
        <v/>
      </c>
      <c r="U2165" s="75" t="str">
        <f>IF(ISERROR(FIND('112'!$M$9,G2165,1)),"",IF((AND(LEFT(G2165,2)=LEFT('112'!$M$9,2),B2165&lt;'112'!$K$9,$N2165='112'!$I$6)),"x",""))</f>
        <v/>
      </c>
      <c r="V2165" s="75" t="str">
        <f>IF(ISERROR(FIND('112'!$M$9,G2165,1)),"",IF((AND(RIGHT(G2165,2)=RIGHT('112'!$M$9,2),B2165&lt;'112'!$K$9,$O2165='112'!$I$6)),"x",""))</f>
        <v/>
      </c>
      <c r="W2165" s="75" t="str">
        <f>IF(AND('341-CT'!$H$9=H2165,OR(LEFT(N2165,3)=$W$7,LEFT(O2165,3)=$W$7)),"x","")</f>
        <v/>
      </c>
      <c r="X2165" s="75" t="str">
        <f>IF(OR(TH!N2165=TH!$X$7,O2165=TH!$X$7),"x","")</f>
        <v/>
      </c>
      <c r="Y2165" s="75" t="str">
        <f>IF(AND(OR(N2165="131",O2165="131"),H2165='131-CT'!$H$9),"x","")</f>
        <v/>
      </c>
      <c r="Z2165" s="75"/>
      <c r="AA2165" s="75" t="str">
        <f>IF(AND(MONTH(E2165)='IN-NX'!$J$5,'IN-NX'!$D$7=D2165),"x","")</f>
        <v/>
      </c>
      <c r="AB2165" s="75" t="str">
        <f>IF(AND(OR(LEFT(TH!N2165,2)="15",LEFT(TH!O2165,2)="15"),LEFT(TH!O2165,3)&lt;&gt;"111",'152-CT'!$J$8=TH!F2165),"x","")</f>
        <v/>
      </c>
      <c r="AC2165" s="75" t="str">
        <f>IF(AND(OR(LEFT(TH!N2165,2)="15",LEFT(TH!O2165,2)="15"),TK!$E$7=TH!F2165),"x","")</f>
        <v/>
      </c>
      <c r="AD2165" s="75" t="str">
        <f>IF(AND(N2165="1521",MONTH(C2165)='BK-NL'!$M$11),"x","")</f>
        <v/>
      </c>
    </row>
    <row r="2166" spans="1:30" ht="16.5" customHeight="1">
      <c r="A2166" s="309" t="str">
        <f>IF(B2166&lt;&gt;"",IF(AND(B2166='IN-TC'!$S$4,OR(TH!N2166="1111",TH!O2166="1111")),TH!D2166,""),"")</f>
        <v/>
      </c>
      <c r="B2166" s="1242">
        <f t="shared" si="642"/>
        <v>10</v>
      </c>
      <c r="C2166" s="292">
        <f t="shared" si="645"/>
        <v>43023</v>
      </c>
      <c r="D2166" s="292" t="s">
        <v>2973</v>
      </c>
      <c r="E2166" s="292">
        <v>43023</v>
      </c>
      <c r="F2166" s="425" t="s">
        <v>565</v>
      </c>
      <c r="G2166" s="925"/>
      <c r="H2166" s="429" t="s">
        <v>350</v>
      </c>
      <c r="I2166" s="373">
        <f>50400-I2165</f>
        <v>25390</v>
      </c>
      <c r="J2166" s="379">
        <v>17000</v>
      </c>
      <c r="K2166" s="373"/>
      <c r="L2166" s="379"/>
      <c r="M2166" s="927">
        <f t="shared" si="646"/>
        <v>431630000</v>
      </c>
      <c r="N2166" s="295" t="s">
        <v>264</v>
      </c>
      <c r="O2166" s="295" t="s">
        <v>8</v>
      </c>
      <c r="P2166" s="75" t="str">
        <f>IF(AND('331-CT'!$E$7=TH!H2166,OR(N2166="331",O2166="331")),"x","")</f>
        <v/>
      </c>
      <c r="Q2166" s="75" t="str">
        <f>IF(AND(B2166='111'!$L$11,OR($N2166=$Q$7,$O2166=$Q$7)),"x","")</f>
        <v/>
      </c>
      <c r="R2166" s="75" t="str">
        <f>IF(AND($N2166=$Q$7,$B2166&lt;'111'!$L$11),"x","")</f>
        <v/>
      </c>
      <c r="S2166" s="75" t="str">
        <f>IF(AND($O2166=$Q$7,$B2166&lt;'111'!$L$11),"x","")</f>
        <v/>
      </c>
      <c r="T2166" s="75" t="str">
        <f>IF(ISERROR(FIND('112'!$M$9,G2166,1)),"",IF((AND(FIND('112'!$M$9,G2166,1)&gt;=1,B2166='112'!$K$9,OR($N2166='112'!$I$6,$O2166='112'!$I$6))),"x",""))</f>
        <v/>
      </c>
      <c r="U2166" s="75" t="str">
        <f>IF(ISERROR(FIND('112'!$M$9,G2166,1)),"",IF((AND(LEFT(G2166,2)=LEFT('112'!$M$9,2),B2166&lt;'112'!$K$9,$N2166='112'!$I$6)),"x",""))</f>
        <v/>
      </c>
      <c r="V2166" s="75" t="str">
        <f>IF(ISERROR(FIND('112'!$M$9,G2166,1)),"",IF((AND(RIGHT(G2166,2)=RIGHT('112'!$M$9,2),B2166&lt;'112'!$K$9,$O2166='112'!$I$6)),"x",""))</f>
        <v/>
      </c>
      <c r="W2166" s="75" t="str">
        <f>IF(AND('341-CT'!$H$9=H2166,OR(LEFT(N2166,3)=$W$7,LEFT(O2166,3)=$W$7)),"x","")</f>
        <v/>
      </c>
      <c r="X2166" s="75" t="str">
        <f>IF(OR(TH!N2166=TH!$X$7,O2166=TH!$X$7),"x","")</f>
        <v/>
      </c>
      <c r="Y2166" s="75" t="str">
        <f>IF(AND(OR(N2166="131",O2166="131"),H2166='131-CT'!$H$9),"x","")</f>
        <v/>
      </c>
      <c r="Z2166" s="75"/>
      <c r="AA2166" s="75" t="str">
        <f>IF(AND(MONTH(E2166)='IN-NX'!$J$5,'IN-NX'!$D$7=D2166),"x","")</f>
        <v/>
      </c>
      <c r="AB2166" s="75" t="str">
        <f>IF(AND(OR(LEFT(TH!N2166,2)="15",LEFT(TH!O2166,2)="15"),LEFT(TH!O2166,3)&lt;&gt;"111",'152-CT'!$J$8=TH!F2166),"x","")</f>
        <v/>
      </c>
      <c r="AC2166" s="75" t="str">
        <f>IF(AND(OR(LEFT(TH!N2166,2)="15",LEFT(TH!O2166,2)="15"),TK!$E$7=TH!F2166),"x","")</f>
        <v/>
      </c>
      <c r="AD2166" s="75" t="str">
        <f>IF(AND(N2166="1521",MONTH(C2166)='BK-NL'!$M$11),"x","")</f>
        <v/>
      </c>
    </row>
    <row r="2167" spans="1:30" ht="16.5" customHeight="1">
      <c r="A2167" s="309" t="str">
        <f>IF(B2167&lt;&gt;"",IF(AND(B2167='IN-TC'!$S$4,OR(TH!N2167="1111",TH!O2167="1111")),TH!D2167,""),"")</f>
        <v/>
      </c>
      <c r="B2167" s="1242">
        <f t="shared" si="642"/>
        <v>10</v>
      </c>
      <c r="C2167" s="929">
        <f t="shared" si="645"/>
        <v>43039</v>
      </c>
      <c r="D2167" s="929" t="s">
        <v>2956</v>
      </c>
      <c r="E2167" s="929">
        <v>43039</v>
      </c>
      <c r="F2167" s="1082" t="s">
        <v>771</v>
      </c>
      <c r="G2167" s="1031"/>
      <c r="H2167" s="1082" t="s">
        <v>2989</v>
      </c>
      <c r="I2167" s="371">
        <v>135000</v>
      </c>
      <c r="J2167" s="377">
        <v>17700</v>
      </c>
      <c r="K2167" s="371"/>
      <c r="L2167" s="377"/>
      <c r="M2167" s="933">
        <f t="shared" si="646"/>
        <v>2389500000</v>
      </c>
      <c r="N2167" s="934" t="s">
        <v>272</v>
      </c>
      <c r="O2167" s="934" t="s">
        <v>264</v>
      </c>
      <c r="P2167" s="75" t="str">
        <f>IF(AND('331-CT'!$E$7=TH!H2167,OR(N2167="331",O2167="331")),"x","")</f>
        <v/>
      </c>
      <c r="Q2167" s="75" t="str">
        <f>IF(AND(B2167='111'!$L$11,OR($N2167=$Q$7,$O2167=$Q$7)),"x","")</f>
        <v/>
      </c>
      <c r="R2167" s="75" t="str">
        <f>IF(AND($N2167=$Q$7,$B2167&lt;'111'!$L$11),"x","")</f>
        <v/>
      </c>
      <c r="S2167" s="75" t="str">
        <f>IF(AND($O2167=$Q$7,$B2167&lt;'111'!$L$11),"x","")</f>
        <v/>
      </c>
      <c r="T2167" s="75" t="str">
        <f>IF(ISERROR(FIND('112'!$M$9,G2167,1)),"",IF((AND(FIND('112'!$M$9,G2167,1)&gt;=1,B2167='112'!$K$9,OR($N2167='112'!$I$6,$O2167='112'!$I$6))),"x",""))</f>
        <v/>
      </c>
      <c r="U2167" s="75" t="str">
        <f>IF(ISERROR(FIND('112'!$M$9,G2167,1)),"",IF((AND(LEFT(G2167,2)=LEFT('112'!$M$9,2),B2167&lt;'112'!$K$9,$N2167='112'!$I$6)),"x",""))</f>
        <v/>
      </c>
      <c r="V2167" s="75" t="str">
        <f>IF(ISERROR(FIND('112'!$M$9,G2167,1)),"",IF((AND(RIGHT(G2167,2)=RIGHT('112'!$M$9,2),B2167&lt;'112'!$K$9,$O2167='112'!$I$6)),"x",""))</f>
        <v/>
      </c>
      <c r="W2167" s="75" t="str">
        <f>IF(AND('341-CT'!$H$9=H2167,OR(LEFT(N2167,3)=$W$7,LEFT(O2167,3)=$W$7)),"x","")</f>
        <v/>
      </c>
      <c r="X2167" s="75" t="str">
        <f>IF(OR(TH!N2167=TH!$X$7,O2167=TH!$X$7),"x","")</f>
        <v/>
      </c>
      <c r="Y2167" s="75" t="str">
        <f>IF(AND(OR(N2167="131",O2167="131"),H2167='131-CT'!$H$9),"x","")</f>
        <v/>
      </c>
      <c r="Z2167" s="75"/>
      <c r="AA2167" s="75" t="str">
        <f>IF(AND(MONTH(E2167)='IN-NX'!$J$5,'IN-NX'!$D$7=D2167),"x","")</f>
        <v/>
      </c>
      <c r="AB2167" s="75" t="str">
        <f>IF(AND(OR(LEFT(TH!N2167,2)="15",LEFT(TH!O2167,2)="15"),LEFT(TH!O2167,3)&lt;&gt;"111",'152-CT'!$J$8=TH!F2167),"x","")</f>
        <v/>
      </c>
      <c r="AC2167" s="75" t="str">
        <f>IF(AND(OR(LEFT(TH!N2167,2)="15",LEFT(TH!O2167,2)="15"),TK!$E$7=TH!F2167),"x","")</f>
        <v/>
      </c>
      <c r="AD2167" s="75" t="str">
        <f>IF(AND(N2167="1521",MONTH(C2167)='BK-NL'!$M$11),"x","")</f>
        <v/>
      </c>
    </row>
    <row r="2168" spans="1:30" ht="16.5" customHeight="1">
      <c r="A2168" s="309" t="str">
        <f>IF(B2168&lt;&gt;"",IF(AND(B2168='IN-TC'!$S$4,OR(TH!N2168="1111",TH!O2168="1111")),TH!D2168,""),"")</f>
        <v/>
      </c>
      <c r="B2168" s="1242">
        <f t="shared" si="642"/>
        <v>10</v>
      </c>
      <c r="C2168" s="929">
        <f t="shared" si="645"/>
        <v>43039</v>
      </c>
      <c r="D2168" s="929" t="s">
        <v>2956</v>
      </c>
      <c r="E2168" s="929">
        <v>43039</v>
      </c>
      <c r="F2168" s="1082" t="s">
        <v>771</v>
      </c>
      <c r="G2168" s="1031"/>
      <c r="H2168" s="1082" t="s">
        <v>424</v>
      </c>
      <c r="I2168" s="371">
        <v>42862</v>
      </c>
      <c r="J2168" s="377">
        <v>18500</v>
      </c>
      <c r="K2168" s="371"/>
      <c r="L2168" s="377"/>
      <c r="M2168" s="933">
        <f t="shared" si="646"/>
        <v>792947000</v>
      </c>
      <c r="N2168" s="934" t="s">
        <v>272</v>
      </c>
      <c r="O2168" s="934" t="s">
        <v>264</v>
      </c>
      <c r="P2168" s="75" t="str">
        <f>IF(AND('331-CT'!$E$7=TH!H2168,OR(N2168="331",O2168="331")),"x","")</f>
        <v/>
      </c>
      <c r="Q2168" s="75" t="str">
        <f>IF(AND(B2168='111'!$L$11,OR($N2168=$Q$7,$O2168=$Q$7)),"x","")</f>
        <v/>
      </c>
      <c r="R2168" s="75" t="str">
        <f>IF(AND($N2168=$Q$7,$B2168&lt;'111'!$L$11),"x","")</f>
        <v/>
      </c>
      <c r="S2168" s="75" t="str">
        <f>IF(AND($O2168=$Q$7,$B2168&lt;'111'!$L$11),"x","")</f>
        <v/>
      </c>
      <c r="T2168" s="75" t="str">
        <f>IF(ISERROR(FIND('112'!$M$9,G2168,1)),"",IF((AND(FIND('112'!$M$9,G2168,1)&gt;=1,B2168='112'!$K$9,OR($N2168='112'!$I$6,$O2168='112'!$I$6))),"x",""))</f>
        <v/>
      </c>
      <c r="U2168" s="75" t="str">
        <f>IF(ISERROR(FIND('112'!$M$9,G2168,1)),"",IF((AND(LEFT(G2168,2)=LEFT('112'!$M$9,2),B2168&lt;'112'!$K$9,$N2168='112'!$I$6)),"x",""))</f>
        <v/>
      </c>
      <c r="V2168" s="75" t="str">
        <f>IF(ISERROR(FIND('112'!$M$9,G2168,1)),"",IF((AND(RIGHT(G2168,2)=RIGHT('112'!$M$9,2),B2168&lt;'112'!$K$9,$O2168='112'!$I$6)),"x",""))</f>
        <v/>
      </c>
      <c r="W2168" s="75" t="str">
        <f>IF(AND('341-CT'!$H$9=H2168,OR(LEFT(N2168,3)=$W$7,LEFT(O2168,3)=$W$7)),"x","")</f>
        <v/>
      </c>
      <c r="X2168" s="75" t="str">
        <f>IF(OR(TH!N2168=TH!$X$7,O2168=TH!$X$7),"x","")</f>
        <v/>
      </c>
      <c r="Y2168" s="75" t="str">
        <f>IF(AND(OR(N2168="131",O2168="131"),H2168='131-CT'!$H$9),"x","")</f>
        <v/>
      </c>
      <c r="Z2168" s="75"/>
      <c r="AA2168" s="75" t="str">
        <f>IF(AND(MONTH(E2168)='IN-NX'!$J$5,'IN-NX'!$D$7=D2168),"x","")</f>
        <v/>
      </c>
      <c r="AB2168" s="75" t="str">
        <f>IF(AND(OR(LEFT(TH!N2168,2)="15",LEFT(TH!O2168,2)="15"),LEFT(TH!O2168,3)&lt;&gt;"111",'152-CT'!$J$8=TH!F2168),"x","")</f>
        <v/>
      </c>
      <c r="AC2168" s="75" t="str">
        <f>IF(AND(OR(LEFT(TH!N2168,2)="15",LEFT(TH!O2168,2)="15"),TK!$E$7=TH!F2168),"x","")</f>
        <v/>
      </c>
      <c r="AD2168" s="75" t="str">
        <f>IF(AND(N2168="1521",MONTH(C2168)='BK-NL'!$M$11),"x","")</f>
        <v/>
      </c>
    </row>
    <row r="2169" spans="1:30" ht="16.5" customHeight="1">
      <c r="A2169" s="309" t="str">
        <f>IF(B2169&lt;&gt;"",IF(AND(B2169='IN-TC'!$S$4,OR(TH!N2169="1111",TH!O2169="1111")),TH!D2169,""),"")</f>
        <v/>
      </c>
      <c r="B2169" s="1242">
        <f t="shared" si="642"/>
        <v>10</v>
      </c>
      <c r="C2169" s="929">
        <f t="shared" si="645"/>
        <v>43039</v>
      </c>
      <c r="D2169" s="929" t="s">
        <v>2956</v>
      </c>
      <c r="E2169" s="929">
        <v>43039</v>
      </c>
      <c r="F2169" s="1082" t="s">
        <v>771</v>
      </c>
      <c r="G2169" s="960"/>
      <c r="H2169" s="1082" t="s">
        <v>424</v>
      </c>
      <c r="I2169" s="371">
        <v>579231</v>
      </c>
      <c r="J2169" s="377">
        <v>17700</v>
      </c>
      <c r="K2169" s="371"/>
      <c r="L2169" s="377"/>
      <c r="M2169" s="933">
        <f t="shared" si="646"/>
        <v>10252388700</v>
      </c>
      <c r="N2169" s="934" t="s">
        <v>272</v>
      </c>
      <c r="O2169" s="934" t="s">
        <v>264</v>
      </c>
      <c r="P2169" s="75" t="str">
        <f>IF(AND('331-CT'!$E$7=TH!H2169,OR(N2169="331",O2169="331")),"x","")</f>
        <v/>
      </c>
      <c r="Q2169" s="75" t="str">
        <f>IF(AND(B2169='111'!$L$11,OR($N2169=$Q$7,$O2169=$Q$7)),"x","")</f>
        <v/>
      </c>
      <c r="R2169" s="75" t="str">
        <f>IF(AND($N2169=$Q$7,$B2169&lt;'111'!$L$11),"x","")</f>
        <v/>
      </c>
      <c r="S2169" s="75" t="str">
        <f>IF(AND($O2169=$Q$7,$B2169&lt;'111'!$L$11),"x","")</f>
        <v/>
      </c>
      <c r="T2169" s="75" t="str">
        <f>IF(ISERROR(FIND('112'!$M$9,G2169,1)),"",IF((AND(FIND('112'!$M$9,G2169,1)&gt;=1,B2169='112'!$K$9,OR($N2169='112'!$I$6,$O2169='112'!$I$6))),"x",""))</f>
        <v/>
      </c>
      <c r="U2169" s="75" t="str">
        <f>IF(ISERROR(FIND('112'!$M$9,G2169,1)),"",IF((AND(LEFT(G2169,2)=LEFT('112'!$M$9,2),B2169&lt;'112'!$K$9,$N2169='112'!$I$6)),"x",""))</f>
        <v/>
      </c>
      <c r="V2169" s="75" t="str">
        <f>IF(ISERROR(FIND('112'!$M$9,G2169,1)),"",IF((AND(RIGHT(G2169,2)=RIGHT('112'!$M$9,2),B2169&lt;'112'!$K$9,$O2169='112'!$I$6)),"x",""))</f>
        <v/>
      </c>
      <c r="W2169" s="75" t="str">
        <f>IF(AND('341-CT'!$H$9=H2169,OR(LEFT(N2169,3)=$W$7,LEFT(O2169,3)=$W$7)),"x","")</f>
        <v/>
      </c>
      <c r="X2169" s="75" t="str">
        <f>IF(OR(TH!N2169=TH!$X$7,O2169=TH!$X$7),"x","")</f>
        <v/>
      </c>
      <c r="Y2169" s="75" t="str">
        <f>IF(AND(OR(N2169="131",O2169="131"),H2169='131-CT'!$H$9),"x","")</f>
        <v/>
      </c>
      <c r="Z2169" s="75"/>
      <c r="AA2169" s="75" t="str">
        <f>IF(AND(MONTH(E2169)='IN-NX'!$J$5,'IN-NX'!$D$7=D2169),"x","")</f>
        <v/>
      </c>
      <c r="AB2169" s="75" t="str">
        <f>IF(AND(OR(LEFT(TH!N2169,2)="15",LEFT(TH!O2169,2)="15"),LEFT(TH!O2169,3)&lt;&gt;"111",'152-CT'!$J$8=TH!F2169),"x","")</f>
        <v/>
      </c>
      <c r="AC2169" s="75" t="str">
        <f>IF(AND(OR(LEFT(TH!N2169,2)="15",LEFT(TH!O2169,2)="15"),TK!$E$7=TH!F2169),"x","")</f>
        <v/>
      </c>
      <c r="AD2169" s="75" t="str">
        <f>IF(AND(N2169="1521",MONTH(C2169)='BK-NL'!$M$11),"x","")</f>
        <v/>
      </c>
    </row>
    <row r="2170" spans="1:30" ht="16.5" customHeight="1">
      <c r="A2170" s="309" t="str">
        <f>IF(B2170&lt;&gt;"",IF(AND(B2170='IN-TC'!$S$4,OR(TH!N2170="1111",TH!O2170="1111")),TH!D2170,""),"")</f>
        <v/>
      </c>
      <c r="B2170" s="1242">
        <f t="shared" si="642"/>
        <v>10</v>
      </c>
      <c r="C2170" s="929">
        <f t="shared" si="645"/>
        <v>43039</v>
      </c>
      <c r="D2170" s="929" t="s">
        <v>2956</v>
      </c>
      <c r="E2170" s="929">
        <v>43039</v>
      </c>
      <c r="F2170" s="1082" t="s">
        <v>565</v>
      </c>
      <c r="G2170" s="960"/>
      <c r="H2170" s="1082" t="s">
        <v>424</v>
      </c>
      <c r="I2170" s="371">
        <v>63360</v>
      </c>
      <c r="J2170" s="377">
        <v>17500</v>
      </c>
      <c r="K2170" s="371"/>
      <c r="L2170" s="377"/>
      <c r="M2170" s="933">
        <f t="shared" si="646"/>
        <v>1108800000</v>
      </c>
      <c r="N2170" s="934" t="s">
        <v>272</v>
      </c>
      <c r="O2170" s="934" t="s">
        <v>264</v>
      </c>
      <c r="P2170" s="75" t="str">
        <f>IF(AND('331-CT'!$E$7=TH!H2170,OR(N2170="331",O2170="331")),"x","")</f>
        <v/>
      </c>
      <c r="Q2170" s="75" t="str">
        <f>IF(AND(B2170='111'!$L$11,OR($N2170=$Q$7,$O2170=$Q$7)),"x","")</f>
        <v/>
      </c>
      <c r="R2170" s="75" t="str">
        <f>IF(AND($N2170=$Q$7,$B2170&lt;'111'!$L$11),"x","")</f>
        <v/>
      </c>
      <c r="S2170" s="75" t="str">
        <f>IF(AND($O2170=$Q$7,$B2170&lt;'111'!$L$11),"x","")</f>
        <v/>
      </c>
      <c r="T2170" s="75" t="str">
        <f>IF(ISERROR(FIND('112'!$M$9,G2170,1)),"",IF((AND(FIND('112'!$M$9,G2170,1)&gt;=1,B2170='112'!$K$9,OR($N2170='112'!$I$6,$O2170='112'!$I$6))),"x",""))</f>
        <v/>
      </c>
      <c r="U2170" s="75" t="str">
        <f>IF(ISERROR(FIND('112'!$M$9,G2170,1)),"",IF((AND(LEFT(G2170,2)=LEFT('112'!$M$9,2),B2170&lt;'112'!$K$9,$N2170='112'!$I$6)),"x",""))</f>
        <v/>
      </c>
      <c r="V2170" s="75" t="str">
        <f>IF(ISERROR(FIND('112'!$M$9,G2170,1)),"",IF((AND(RIGHT(G2170,2)=RIGHT('112'!$M$9,2),B2170&lt;'112'!$K$9,$O2170='112'!$I$6)),"x",""))</f>
        <v/>
      </c>
      <c r="W2170" s="75" t="str">
        <f>IF(AND('341-CT'!$H$9=H2170,OR(LEFT(N2170,3)=$W$7,LEFT(O2170,3)=$W$7)),"x","")</f>
        <v/>
      </c>
      <c r="X2170" s="75" t="str">
        <f>IF(OR(TH!N2170=TH!$X$7,O2170=TH!$X$7),"x","")</f>
        <v/>
      </c>
      <c r="Y2170" s="75" t="str">
        <f>IF(AND(OR(N2170="131",O2170="131"),H2170='131-CT'!$H$9),"x","")</f>
        <v/>
      </c>
      <c r="Z2170" s="75"/>
      <c r="AA2170" s="75" t="str">
        <f>IF(AND(MONTH(E2170)='IN-NX'!$J$5,'IN-NX'!$D$7=D2170),"x","")</f>
        <v/>
      </c>
      <c r="AB2170" s="75" t="str">
        <f>IF(AND(OR(LEFT(TH!N2170,2)="15",LEFT(TH!O2170,2)="15"),LEFT(TH!O2170,3)&lt;&gt;"111",'152-CT'!$J$8=TH!F2170),"x","")</f>
        <v/>
      </c>
      <c r="AC2170" s="75" t="str">
        <f>IF(AND(OR(LEFT(TH!N2170,2)="15",LEFT(TH!O2170,2)="15"),TK!$E$7=TH!F2170),"x","")</f>
        <v/>
      </c>
      <c r="AD2170" s="75" t="str">
        <f>IF(AND(N2170="1521",MONTH(C2170)='BK-NL'!$M$11),"x","")</f>
        <v/>
      </c>
    </row>
    <row r="2171" spans="1:30" ht="16.5" customHeight="1">
      <c r="A2171" s="309" t="str">
        <f>IF(B2171&lt;&gt;"",IF(AND(B2171='IN-TC'!$S$4,OR(TH!N2171="1111",TH!O2171="1111")),TH!D2171,""),"")</f>
        <v/>
      </c>
      <c r="B2171" s="1242">
        <f t="shared" si="642"/>
        <v>10</v>
      </c>
      <c r="C2171" s="929">
        <f t="shared" si="645"/>
        <v>43039</v>
      </c>
      <c r="D2171" s="929" t="s">
        <v>2956</v>
      </c>
      <c r="E2171" s="929">
        <v>43039</v>
      </c>
      <c r="F2171" s="1082" t="s">
        <v>764</v>
      </c>
      <c r="G2171" s="960"/>
      <c r="H2171" s="1082" t="s">
        <v>424</v>
      </c>
      <c r="I2171" s="371">
        <v>52200</v>
      </c>
      <c r="J2171" s="377">
        <v>18500</v>
      </c>
      <c r="K2171" s="371"/>
      <c r="L2171" s="377"/>
      <c r="M2171" s="933">
        <f t="shared" si="646"/>
        <v>965700000</v>
      </c>
      <c r="N2171" s="934" t="s">
        <v>272</v>
      </c>
      <c r="O2171" s="934" t="s">
        <v>264</v>
      </c>
      <c r="P2171" s="75" t="str">
        <f>IF(AND('331-CT'!$E$7=TH!H2171,OR(N2171="331",O2171="331")),"x","")</f>
        <v/>
      </c>
      <c r="Q2171" s="75" t="str">
        <f>IF(AND(B2171='111'!$L$11,OR($N2171=$Q$7,$O2171=$Q$7)),"x","")</f>
        <v/>
      </c>
      <c r="R2171" s="75" t="str">
        <f>IF(AND($N2171=$Q$7,$B2171&lt;'111'!$L$11),"x","")</f>
        <v/>
      </c>
      <c r="S2171" s="75" t="str">
        <f>IF(AND($O2171=$Q$7,$B2171&lt;'111'!$L$11),"x","")</f>
        <v/>
      </c>
      <c r="T2171" s="75" t="str">
        <f>IF(ISERROR(FIND('112'!$M$9,G2171,1)),"",IF((AND(FIND('112'!$M$9,G2171,1)&gt;=1,B2171='112'!$K$9,OR($N2171='112'!$I$6,$O2171='112'!$I$6))),"x",""))</f>
        <v/>
      </c>
      <c r="U2171" s="75" t="str">
        <f>IF(ISERROR(FIND('112'!$M$9,G2171,1)),"",IF((AND(LEFT(G2171,2)=LEFT('112'!$M$9,2),B2171&lt;'112'!$K$9,$N2171='112'!$I$6)),"x",""))</f>
        <v/>
      </c>
      <c r="V2171" s="75" t="str">
        <f>IF(ISERROR(FIND('112'!$M$9,G2171,1)),"",IF((AND(RIGHT(G2171,2)=RIGHT('112'!$M$9,2),B2171&lt;'112'!$K$9,$O2171='112'!$I$6)),"x",""))</f>
        <v/>
      </c>
      <c r="W2171" s="75" t="str">
        <f>IF(AND('341-CT'!$H$9=H2171,OR(LEFT(N2171,3)=$W$7,LEFT(O2171,3)=$W$7)),"x","")</f>
        <v/>
      </c>
      <c r="X2171" s="75" t="str">
        <f>IF(OR(TH!N2171=TH!$X$7,O2171=TH!$X$7),"x","")</f>
        <v/>
      </c>
      <c r="Y2171" s="75" t="str">
        <f>IF(AND(OR(N2171="131",O2171="131"),H2171='131-CT'!$H$9),"x","")</f>
        <v/>
      </c>
      <c r="Z2171" s="75"/>
      <c r="AA2171" s="75" t="str">
        <f>IF(AND(MONTH(E2171)='IN-NX'!$J$5,'IN-NX'!$D$7=D2171),"x","")</f>
        <v/>
      </c>
      <c r="AB2171" s="75" t="str">
        <f>IF(AND(OR(LEFT(TH!N2171,2)="15",LEFT(TH!O2171,2)="15"),LEFT(TH!O2171,3)&lt;&gt;"111",'152-CT'!$J$8=TH!F2171),"x","")</f>
        <v/>
      </c>
      <c r="AC2171" s="75" t="str">
        <f>IF(AND(OR(LEFT(TH!N2171,2)="15",LEFT(TH!O2171,2)="15"),TK!$E$7=TH!F2171),"x","")</f>
        <v/>
      </c>
      <c r="AD2171" s="75" t="str">
        <f>IF(AND(N2171="1521",MONTH(C2171)='BK-NL'!$M$11),"x","")</f>
        <v/>
      </c>
    </row>
    <row r="2172" spans="1:30" ht="16.5" customHeight="1">
      <c r="A2172" s="309" t="str">
        <f>IF(B2172&lt;&gt;"",IF(AND(B2172='IN-TC'!$S$4,OR(TH!N2172="1111",TH!O2172="1111")),TH!D2172,""),"")</f>
        <v/>
      </c>
      <c r="B2172" s="1242">
        <f t="shared" si="642"/>
        <v>10</v>
      </c>
      <c r="C2172" s="929">
        <f t="shared" si="645"/>
        <v>43039</v>
      </c>
      <c r="D2172" s="929" t="s">
        <v>2956</v>
      </c>
      <c r="E2172" s="929">
        <v>43039</v>
      </c>
      <c r="F2172" s="1082" t="s">
        <v>565</v>
      </c>
      <c r="G2172" s="960"/>
      <c r="H2172" s="1082" t="s">
        <v>424</v>
      </c>
      <c r="I2172" s="371">
        <v>50400</v>
      </c>
      <c r="J2172" s="377">
        <v>17000</v>
      </c>
      <c r="K2172" s="371"/>
      <c r="L2172" s="377"/>
      <c r="M2172" s="933">
        <f t="shared" si="646"/>
        <v>856800000</v>
      </c>
      <c r="N2172" s="934" t="s">
        <v>272</v>
      </c>
      <c r="O2172" s="934" t="s">
        <v>264</v>
      </c>
      <c r="P2172" s="75" t="str">
        <f>IF(AND('331-CT'!$E$7=TH!H2172,OR(N2172="331",O2172="331")),"x","")</f>
        <v/>
      </c>
      <c r="Q2172" s="75" t="str">
        <f>IF(AND(B2172='111'!$L$11,OR($N2172=$Q$7,$O2172=$Q$7)),"x","")</f>
        <v/>
      </c>
      <c r="R2172" s="75" t="str">
        <f>IF(AND($N2172=$Q$7,$B2172&lt;'111'!$L$11),"x","")</f>
        <v/>
      </c>
      <c r="S2172" s="75" t="str">
        <f>IF(AND($O2172=$Q$7,$B2172&lt;'111'!$L$11),"x","")</f>
        <v/>
      </c>
      <c r="T2172" s="75" t="str">
        <f>IF(ISERROR(FIND('112'!$M$9,G2172,1)),"",IF((AND(FIND('112'!$M$9,G2172,1)&gt;=1,B2172='112'!$K$9,OR($N2172='112'!$I$6,$O2172='112'!$I$6))),"x",""))</f>
        <v/>
      </c>
      <c r="U2172" s="75" t="str">
        <f>IF(ISERROR(FIND('112'!$M$9,G2172,1)),"",IF((AND(LEFT(G2172,2)=LEFT('112'!$M$9,2),B2172&lt;'112'!$K$9,$N2172='112'!$I$6)),"x",""))</f>
        <v/>
      </c>
      <c r="V2172" s="75" t="str">
        <f>IF(ISERROR(FIND('112'!$M$9,G2172,1)),"",IF((AND(RIGHT(G2172,2)=RIGHT('112'!$M$9,2),B2172&lt;'112'!$K$9,$O2172='112'!$I$6)),"x",""))</f>
        <v/>
      </c>
      <c r="W2172" s="75" t="str">
        <f>IF(AND('341-CT'!$H$9=H2172,OR(LEFT(N2172,3)=$W$7,LEFT(O2172,3)=$W$7)),"x","")</f>
        <v/>
      </c>
      <c r="X2172" s="75" t="str">
        <f>IF(OR(TH!N2172=TH!$X$7,O2172=TH!$X$7),"x","")</f>
        <v/>
      </c>
      <c r="Y2172" s="75" t="str">
        <f>IF(AND(OR(N2172="131",O2172="131"),H2172='131-CT'!$H$9),"x","")</f>
        <v/>
      </c>
      <c r="Z2172" s="75"/>
      <c r="AA2172" s="75" t="str">
        <f>IF(AND(MONTH(E2172)='IN-NX'!$J$5,'IN-NX'!$D$7=D2172),"x","")</f>
        <v/>
      </c>
      <c r="AB2172" s="75" t="str">
        <f>IF(AND(OR(LEFT(TH!N2172,2)="15",LEFT(TH!O2172,2)="15"),LEFT(TH!O2172,3)&lt;&gt;"111",'152-CT'!$J$8=TH!F2172),"x","")</f>
        <v/>
      </c>
      <c r="AC2172" s="75" t="str">
        <f>IF(AND(OR(LEFT(TH!N2172,2)="15",LEFT(TH!O2172,2)="15"),TK!$E$7=TH!F2172),"x","")</f>
        <v/>
      </c>
      <c r="AD2172" s="75" t="str">
        <f>IF(AND(N2172="1521",MONTH(C2172)='BK-NL'!$M$11),"x","")</f>
        <v/>
      </c>
    </row>
    <row r="2173" spans="1:30" s="1054" customFormat="1" ht="16.5" customHeight="1">
      <c r="A2173" s="309" t="str">
        <f>IF(B2173&lt;&gt;"",IF(AND(B2173='IN-TC'!$S$4,OR(TH!N2173="1111",TH!O2173="1111")),TH!D2173,""),"")</f>
        <v/>
      </c>
      <c r="B2173" s="1280">
        <f t="shared" si="594"/>
        <v>11</v>
      </c>
      <c r="C2173" s="936">
        <v>43042</v>
      </c>
      <c r="D2173" s="936" t="s">
        <v>818</v>
      </c>
      <c r="E2173" s="936">
        <f t="shared" si="595"/>
        <v>43042</v>
      </c>
      <c r="F2173" s="958" t="s">
        <v>429</v>
      </c>
      <c r="G2173" s="942" t="s">
        <v>2529</v>
      </c>
      <c r="H2173" s="946" t="s">
        <v>759</v>
      </c>
      <c r="I2173" s="939">
        <v>105560</v>
      </c>
      <c r="J2173" s="939">
        <v>2.3199999999999998</v>
      </c>
      <c r="K2173" s="939">
        <f t="shared" ref="K2173" si="658">I2173*J2173</f>
        <v>244899.19999999998</v>
      </c>
      <c r="L2173" s="938">
        <v>22685</v>
      </c>
      <c r="M2173" s="940">
        <f t="shared" ref="M2173:M2179" si="659">ROUND(K2173*L2173,0)</f>
        <v>5555538352</v>
      </c>
      <c r="N2173" s="941" t="s">
        <v>536</v>
      </c>
      <c r="O2173" s="941" t="s">
        <v>288</v>
      </c>
      <c r="P2173" s="75" t="str">
        <f>IF(AND('331-CT'!$E$7=TH!H2173,OR(N2173="331",O2173="331")),"x","")</f>
        <v/>
      </c>
      <c r="Q2173" s="75" t="str">
        <f>IF(AND(B2173='111'!$L$11,OR($N2173=$Q$7,$O2173=$Q$7)),"x","")</f>
        <v/>
      </c>
      <c r="R2173" s="75" t="str">
        <f>IF(AND($N2173=$Q$7,$B2173&lt;'111'!$L$11),"x","")</f>
        <v/>
      </c>
      <c r="S2173" s="75" t="str">
        <f>IF(AND($O2173=$Q$7,$B2173&lt;'111'!$L$11),"x","")</f>
        <v/>
      </c>
      <c r="T2173" s="75" t="str">
        <f>IF(ISERROR(FIND('112'!$M$9,G2173,1)),"",IF((AND(FIND('112'!$M$9,G2173,1)&gt;=1,B2173='112'!$K$9,OR($N2173='112'!$I$6,$O2173='112'!$I$6))),"x",""))</f>
        <v/>
      </c>
      <c r="U2173" s="75" t="str">
        <f>IF(ISERROR(FIND('112'!$M$9,G2173,1)),"",IF((AND(LEFT(G2173,2)=LEFT('112'!$M$9,2),B2173&lt;'112'!$K$9,$N2173='112'!$I$6)),"x",""))</f>
        <v/>
      </c>
      <c r="V2173" s="75" t="str">
        <f>IF(ISERROR(FIND('112'!$M$9,G2173,1)),"",IF((AND(RIGHT(G2173,2)=RIGHT('112'!$M$9,2),B2173&lt;'112'!$K$9,$O2173='112'!$I$6)),"x",""))</f>
        <v/>
      </c>
      <c r="W2173" s="75" t="str">
        <f>IF(AND('341-CT'!$H$9=H2173,OR(LEFT(N2173,3)=$W$7,LEFT(O2173,3)=$W$7)),"x","")</f>
        <v/>
      </c>
      <c r="X2173" s="75" t="str">
        <f>IF(OR(TH!N2173=TH!$X$7,O2173=TH!$X$7),"x","")</f>
        <v/>
      </c>
      <c r="Y2173" s="75" t="str">
        <f>IF(AND(OR(N2173="131",O2173="131"),H2173='131-CT'!$H$9),"x","")</f>
        <v/>
      </c>
      <c r="Z2173" s="75"/>
      <c r="AA2173" s="75" t="str">
        <f>IF(AND(MONTH(E2173)='IN-NX'!$J$5,'IN-NX'!$D$7=D2173),"x","")</f>
        <v/>
      </c>
      <c r="AB2173" s="75" t="str">
        <f>IF(AND(OR(LEFT(TH!N2173,2)="15",LEFT(TH!O2173,2)="15"),LEFT(TH!O2173,3)&lt;&gt;"111",'152-CT'!$J$8=TH!F2173),"x","")</f>
        <v/>
      </c>
      <c r="AC2173" s="75" t="str">
        <f>IF(AND(OR(LEFT(TH!N2173,2)="15",LEFT(TH!O2173,2)="15"),TK!$E$7=TH!F2173),"x","")</f>
        <v/>
      </c>
      <c r="AD2173" s="75" t="str">
        <f>IF(AND(N2173="1521",MONTH(C2173)='BK-NL'!$M$11),"x","")</f>
        <v/>
      </c>
    </row>
    <row r="2174" spans="1:30" ht="16.5" customHeight="1">
      <c r="A2174" s="309" t="str">
        <f>IF(B2174&lt;&gt;"",IF(AND(B2174='IN-TC'!$S$4,OR(TH!N2174="1111",TH!O2174="1111")),TH!D2174,""),"")</f>
        <v/>
      </c>
      <c r="B2174" s="1245">
        <f t="shared" si="594"/>
        <v>11</v>
      </c>
      <c r="C2174" s="252">
        <v>43050</v>
      </c>
      <c r="D2174" s="252" t="s">
        <v>819</v>
      </c>
      <c r="E2174" s="252">
        <f t="shared" ref="E2174" si="660">C2174</f>
        <v>43050</v>
      </c>
      <c r="F2174" s="1055" t="s">
        <v>2531</v>
      </c>
      <c r="G2174" s="1056" t="s">
        <v>2530</v>
      </c>
      <c r="H2174" s="735" t="s">
        <v>1601</v>
      </c>
      <c r="I2174" s="371">
        <v>1200</v>
      </c>
      <c r="J2174" s="371">
        <v>30.25</v>
      </c>
      <c r="K2174" s="371">
        <f t="shared" ref="K2174" si="661">I2174*J2174</f>
        <v>36300</v>
      </c>
      <c r="L2174" s="377">
        <v>22675</v>
      </c>
      <c r="M2174" s="933">
        <f t="shared" si="659"/>
        <v>823102500</v>
      </c>
      <c r="N2174" s="977" t="s">
        <v>536</v>
      </c>
      <c r="O2174" s="977" t="s">
        <v>288</v>
      </c>
      <c r="P2174" s="75" t="str">
        <f>IF(AND('331-CT'!$E$7=TH!H2174,OR(N2174="331",O2174="331")),"x","")</f>
        <v/>
      </c>
      <c r="Q2174" s="75" t="str">
        <f>IF(AND(B2174='111'!$L$11,OR($N2174=$Q$7,$O2174=$Q$7)),"x","")</f>
        <v/>
      </c>
      <c r="R2174" s="75" t="str">
        <f>IF(AND($N2174=$Q$7,$B2174&lt;'111'!$L$11),"x","")</f>
        <v/>
      </c>
      <c r="S2174" s="75" t="str">
        <f>IF(AND($O2174=$Q$7,$B2174&lt;'111'!$L$11),"x","")</f>
        <v/>
      </c>
      <c r="T2174" s="75" t="str">
        <f>IF(ISERROR(FIND('112'!$M$9,G2174,1)),"",IF((AND(FIND('112'!$M$9,G2174,1)&gt;=1,B2174='112'!$K$9,OR($N2174='112'!$I$6,$O2174='112'!$I$6))),"x",""))</f>
        <v/>
      </c>
      <c r="U2174" s="75" t="str">
        <f>IF(ISERROR(FIND('112'!$M$9,G2174,1)),"",IF((AND(LEFT(G2174,2)=LEFT('112'!$M$9,2),B2174&lt;'112'!$K$9,$N2174='112'!$I$6)),"x",""))</f>
        <v/>
      </c>
      <c r="V2174" s="75" t="str">
        <f>IF(ISERROR(FIND('112'!$M$9,G2174,1)),"",IF((AND(RIGHT(G2174,2)=RIGHT('112'!$M$9,2),B2174&lt;'112'!$K$9,$O2174='112'!$I$6)),"x",""))</f>
        <v/>
      </c>
      <c r="W2174" s="75" t="str">
        <f>IF(AND('341-CT'!$H$9=H2174,OR(LEFT(N2174,3)=$W$7,LEFT(O2174,3)=$W$7)),"x","")</f>
        <v/>
      </c>
      <c r="X2174" s="75" t="str">
        <f>IF(OR(TH!N2174=TH!$X$7,O2174=TH!$X$7),"x","")</f>
        <v/>
      </c>
      <c r="Y2174" s="75" t="str">
        <f>IF(AND(OR(N2174="131",O2174="131"),H2174='131-CT'!$H$9),"x","")</f>
        <v/>
      </c>
      <c r="Z2174" s="75"/>
      <c r="AA2174" s="75" t="str">
        <f>IF(AND(MONTH(E2174)='IN-NX'!$J$5,'IN-NX'!$D$7=D2174),"x","")</f>
        <v/>
      </c>
      <c r="AB2174" s="75" t="str">
        <f>IF(AND(OR(LEFT(TH!N2174,2)="15",LEFT(TH!O2174,2)="15"),LEFT(TH!O2174,3)&lt;&gt;"111",'152-CT'!$J$8=TH!F2174),"x","")</f>
        <v/>
      </c>
      <c r="AC2174" s="75" t="str">
        <f>IF(AND(OR(LEFT(TH!N2174,2)="15",LEFT(TH!O2174,2)="15"),TK!$E$7=TH!F2174),"x","")</f>
        <v/>
      </c>
      <c r="AD2174" s="75" t="str">
        <f>IF(AND(N2174="1521",MONTH(C2174)='BK-NL'!$M$11),"x","")</f>
        <v/>
      </c>
    </row>
    <row r="2175" spans="1:30" ht="16.5" customHeight="1">
      <c r="A2175" s="309" t="str">
        <f>IF(B2175&lt;&gt;"",IF(AND(B2175='IN-TC'!$S$4,OR(TH!N2175="1111",TH!O2175="1111")),TH!D2175,""),"")</f>
        <v/>
      </c>
      <c r="B2175" s="1245">
        <f t="shared" si="594"/>
        <v>11</v>
      </c>
      <c r="C2175" s="252">
        <v>43050</v>
      </c>
      <c r="D2175" s="252" t="s">
        <v>819</v>
      </c>
      <c r="E2175" s="252">
        <f t="shared" ref="E2175:E2182" si="662">C2175</f>
        <v>43050</v>
      </c>
      <c r="F2175" s="1055" t="s">
        <v>2532</v>
      </c>
      <c r="G2175" s="1056" t="s">
        <v>2530</v>
      </c>
      <c r="H2175" s="735" t="s">
        <v>1601</v>
      </c>
      <c r="I2175" s="371">
        <v>1700</v>
      </c>
      <c r="J2175" s="371">
        <v>30.37</v>
      </c>
      <c r="K2175" s="371">
        <f t="shared" ref="K2175:K2179" si="663">I2175*J2175</f>
        <v>51629</v>
      </c>
      <c r="L2175" s="377">
        <v>22675</v>
      </c>
      <c r="M2175" s="933">
        <f t="shared" si="659"/>
        <v>1170687575</v>
      </c>
      <c r="N2175" s="977" t="s">
        <v>536</v>
      </c>
      <c r="O2175" s="977" t="s">
        <v>288</v>
      </c>
      <c r="P2175" s="75" t="str">
        <f>IF(AND('331-CT'!$E$7=TH!H2175,OR(N2175="331",O2175="331")),"x","")</f>
        <v/>
      </c>
      <c r="Q2175" s="75" t="str">
        <f>IF(AND(B2175='111'!$L$11,OR($N2175=$Q$7,$O2175=$Q$7)),"x","")</f>
        <v/>
      </c>
      <c r="R2175" s="75" t="str">
        <f>IF(AND($N2175=$Q$7,$B2175&lt;'111'!$L$11),"x","")</f>
        <v/>
      </c>
      <c r="S2175" s="75" t="str">
        <f>IF(AND($O2175=$Q$7,$B2175&lt;'111'!$L$11),"x","")</f>
        <v/>
      </c>
      <c r="T2175" s="75" t="str">
        <f>IF(ISERROR(FIND('112'!$M$9,G2175,1)),"",IF((AND(FIND('112'!$M$9,G2175,1)&gt;=1,B2175='112'!$K$9,OR($N2175='112'!$I$6,$O2175='112'!$I$6))),"x",""))</f>
        <v/>
      </c>
      <c r="U2175" s="75" t="str">
        <f>IF(ISERROR(FIND('112'!$M$9,G2175,1)),"",IF((AND(LEFT(G2175,2)=LEFT('112'!$M$9,2),B2175&lt;'112'!$K$9,$N2175='112'!$I$6)),"x",""))</f>
        <v/>
      </c>
      <c r="V2175" s="75" t="str">
        <f>IF(ISERROR(FIND('112'!$M$9,G2175,1)),"",IF((AND(RIGHT(G2175,2)=RIGHT('112'!$M$9,2),B2175&lt;'112'!$K$9,$O2175='112'!$I$6)),"x",""))</f>
        <v/>
      </c>
      <c r="W2175" s="75" t="str">
        <f>IF(AND('341-CT'!$H$9=H2175,OR(LEFT(N2175,3)=$W$7,LEFT(O2175,3)=$W$7)),"x","")</f>
        <v/>
      </c>
      <c r="X2175" s="75" t="str">
        <f>IF(OR(TH!N2175=TH!$X$7,O2175=TH!$X$7),"x","")</f>
        <v/>
      </c>
      <c r="Y2175" s="75" t="str">
        <f>IF(AND(OR(N2175="131",O2175="131"),H2175='131-CT'!$H$9),"x","")</f>
        <v/>
      </c>
      <c r="Z2175" s="75"/>
      <c r="AA2175" s="75" t="str">
        <f>IF(AND(MONTH(E2175)='IN-NX'!$J$5,'IN-NX'!$D$7=D2175),"x","")</f>
        <v/>
      </c>
      <c r="AB2175" s="75" t="str">
        <f>IF(AND(OR(LEFT(TH!N2175,2)="15",LEFT(TH!O2175,2)="15"),LEFT(TH!O2175,3)&lt;&gt;"111",'152-CT'!$J$8=TH!F2175),"x","")</f>
        <v/>
      </c>
      <c r="AC2175" s="75" t="str">
        <f>IF(AND(OR(LEFT(TH!N2175,2)="15",LEFT(TH!O2175,2)="15"),TK!$E$7=TH!F2175),"x","")</f>
        <v/>
      </c>
      <c r="AD2175" s="75" t="str">
        <f>IF(AND(N2175="1521",MONTH(C2175)='BK-NL'!$M$11),"x","")</f>
        <v/>
      </c>
    </row>
    <row r="2176" spans="1:30" ht="16.5" customHeight="1">
      <c r="A2176" s="309" t="str">
        <f>IF(B2176&lt;&gt;"",IF(AND(B2176='IN-TC'!$S$4,OR(TH!N2176="1111",TH!O2176="1111")),TH!D2176,""),"")</f>
        <v/>
      </c>
      <c r="B2176" s="1245">
        <f t="shared" si="594"/>
        <v>11</v>
      </c>
      <c r="C2176" s="252">
        <v>43050</v>
      </c>
      <c r="D2176" s="252" t="s">
        <v>819</v>
      </c>
      <c r="E2176" s="252">
        <f t="shared" si="662"/>
        <v>43050</v>
      </c>
      <c r="F2176" s="1055" t="s">
        <v>2533</v>
      </c>
      <c r="G2176" s="1056" t="s">
        <v>2530</v>
      </c>
      <c r="H2176" s="735" t="s">
        <v>1601</v>
      </c>
      <c r="I2176" s="371">
        <v>1000</v>
      </c>
      <c r="J2176" s="371">
        <v>29.4</v>
      </c>
      <c r="K2176" s="371">
        <f t="shared" si="663"/>
        <v>29400</v>
      </c>
      <c r="L2176" s="377">
        <v>22675</v>
      </c>
      <c r="M2176" s="933">
        <f t="shared" si="659"/>
        <v>666645000</v>
      </c>
      <c r="N2176" s="977" t="s">
        <v>536</v>
      </c>
      <c r="O2176" s="977" t="s">
        <v>288</v>
      </c>
      <c r="P2176" s="75" t="str">
        <f>IF(AND('331-CT'!$E$7=TH!H2176,OR(N2176="331",O2176="331")),"x","")</f>
        <v/>
      </c>
      <c r="Q2176" s="75" t="str">
        <f>IF(AND(B2176='111'!$L$11,OR($N2176=$Q$7,$O2176=$Q$7)),"x","")</f>
        <v/>
      </c>
      <c r="R2176" s="75" t="str">
        <f>IF(AND($N2176=$Q$7,$B2176&lt;'111'!$L$11),"x","")</f>
        <v/>
      </c>
      <c r="S2176" s="75" t="str">
        <f>IF(AND($O2176=$Q$7,$B2176&lt;'111'!$L$11),"x","")</f>
        <v/>
      </c>
      <c r="T2176" s="75" t="str">
        <f>IF(ISERROR(FIND('112'!$M$9,G2176,1)),"",IF((AND(FIND('112'!$M$9,G2176,1)&gt;=1,B2176='112'!$K$9,OR($N2176='112'!$I$6,$O2176='112'!$I$6))),"x",""))</f>
        <v/>
      </c>
      <c r="U2176" s="75" t="str">
        <f>IF(ISERROR(FIND('112'!$M$9,G2176,1)),"",IF((AND(LEFT(G2176,2)=LEFT('112'!$M$9,2),B2176&lt;'112'!$K$9,$N2176='112'!$I$6)),"x",""))</f>
        <v/>
      </c>
      <c r="V2176" s="75" t="str">
        <f>IF(ISERROR(FIND('112'!$M$9,G2176,1)),"",IF((AND(RIGHT(G2176,2)=RIGHT('112'!$M$9,2),B2176&lt;'112'!$K$9,$O2176='112'!$I$6)),"x",""))</f>
        <v/>
      </c>
      <c r="W2176" s="75" t="str">
        <f>IF(AND('341-CT'!$H$9=H2176,OR(LEFT(N2176,3)=$W$7,LEFT(O2176,3)=$W$7)),"x","")</f>
        <v/>
      </c>
      <c r="X2176" s="75" t="str">
        <f>IF(OR(TH!N2176=TH!$X$7,O2176=TH!$X$7),"x","")</f>
        <v/>
      </c>
      <c r="Y2176" s="75" t="str">
        <f>IF(AND(OR(N2176="131",O2176="131"),H2176='131-CT'!$H$9),"x","")</f>
        <v/>
      </c>
      <c r="Z2176" s="75"/>
      <c r="AA2176" s="75" t="str">
        <f>IF(AND(MONTH(E2176)='IN-NX'!$J$5,'IN-NX'!$D$7=D2176),"x","")</f>
        <v/>
      </c>
      <c r="AB2176" s="75" t="str">
        <f>IF(AND(OR(LEFT(TH!N2176,2)="15",LEFT(TH!O2176,2)="15"),LEFT(TH!O2176,3)&lt;&gt;"111",'152-CT'!$J$8=TH!F2176),"x","")</f>
        <v/>
      </c>
      <c r="AC2176" s="75" t="str">
        <f>IF(AND(OR(LEFT(TH!N2176,2)="15",LEFT(TH!O2176,2)="15"),TK!$E$7=TH!F2176),"x","")</f>
        <v/>
      </c>
      <c r="AD2176" s="75" t="str">
        <f>IF(AND(N2176="1521",MONTH(C2176)='BK-NL'!$M$11),"x","")</f>
        <v/>
      </c>
    </row>
    <row r="2177" spans="1:32" ht="16.5" customHeight="1">
      <c r="A2177" s="309" t="str">
        <f>IF(B2177&lt;&gt;"",IF(AND(B2177='IN-TC'!$S$4,OR(TH!N2177="1111",TH!O2177="1111")),TH!D2177,""),"")</f>
        <v/>
      </c>
      <c r="B2177" s="1245">
        <f t="shared" si="594"/>
        <v>11</v>
      </c>
      <c r="C2177" s="252">
        <v>43050</v>
      </c>
      <c r="D2177" s="252" t="s">
        <v>819</v>
      </c>
      <c r="E2177" s="252">
        <f t="shared" si="662"/>
        <v>43050</v>
      </c>
      <c r="F2177" s="1055" t="s">
        <v>2534</v>
      </c>
      <c r="G2177" s="1056" t="s">
        <v>2530</v>
      </c>
      <c r="H2177" s="735" t="s">
        <v>1601</v>
      </c>
      <c r="I2177" s="371">
        <v>300</v>
      </c>
      <c r="J2177" s="371">
        <v>26.3</v>
      </c>
      <c r="K2177" s="371">
        <f t="shared" si="663"/>
        <v>7890</v>
      </c>
      <c r="L2177" s="377">
        <v>22675</v>
      </c>
      <c r="M2177" s="933">
        <f t="shared" si="659"/>
        <v>178905750</v>
      </c>
      <c r="N2177" s="977" t="s">
        <v>536</v>
      </c>
      <c r="O2177" s="977" t="s">
        <v>288</v>
      </c>
      <c r="P2177" s="75" t="str">
        <f>IF(AND('331-CT'!$E$7=TH!H2177,OR(N2177="331",O2177="331")),"x","")</f>
        <v/>
      </c>
      <c r="Q2177" s="75" t="str">
        <f>IF(AND(B2177='111'!$L$11,OR($N2177=$Q$7,$O2177=$Q$7)),"x","")</f>
        <v/>
      </c>
      <c r="R2177" s="75" t="str">
        <f>IF(AND($N2177=$Q$7,$B2177&lt;'111'!$L$11),"x","")</f>
        <v/>
      </c>
      <c r="S2177" s="75" t="str">
        <f>IF(AND($O2177=$Q$7,$B2177&lt;'111'!$L$11),"x","")</f>
        <v/>
      </c>
      <c r="T2177" s="75" t="str">
        <f>IF(ISERROR(FIND('112'!$M$9,G2177,1)),"",IF((AND(FIND('112'!$M$9,G2177,1)&gt;=1,B2177='112'!$K$9,OR($N2177='112'!$I$6,$O2177='112'!$I$6))),"x",""))</f>
        <v/>
      </c>
      <c r="U2177" s="75" t="str">
        <f>IF(ISERROR(FIND('112'!$M$9,G2177,1)),"",IF((AND(LEFT(G2177,2)=LEFT('112'!$M$9,2),B2177&lt;'112'!$K$9,$N2177='112'!$I$6)),"x",""))</f>
        <v/>
      </c>
      <c r="V2177" s="75" t="str">
        <f>IF(ISERROR(FIND('112'!$M$9,G2177,1)),"",IF((AND(RIGHT(G2177,2)=RIGHT('112'!$M$9,2),B2177&lt;'112'!$K$9,$O2177='112'!$I$6)),"x",""))</f>
        <v/>
      </c>
      <c r="W2177" s="75" t="str">
        <f>IF(AND('341-CT'!$H$9=H2177,OR(LEFT(N2177,3)=$W$7,LEFT(O2177,3)=$W$7)),"x","")</f>
        <v/>
      </c>
      <c r="X2177" s="75" t="str">
        <f>IF(OR(TH!N2177=TH!$X$7,O2177=TH!$X$7),"x","")</f>
        <v/>
      </c>
      <c r="Y2177" s="75" t="str">
        <f>IF(AND(OR(N2177="131",O2177="131"),H2177='131-CT'!$H$9),"x","")</f>
        <v/>
      </c>
      <c r="Z2177" s="75"/>
      <c r="AA2177" s="75" t="str">
        <f>IF(AND(MONTH(E2177)='IN-NX'!$J$5,'IN-NX'!$D$7=D2177),"x","")</f>
        <v/>
      </c>
      <c r="AB2177" s="75" t="str">
        <f>IF(AND(OR(LEFT(TH!N2177,2)="15",LEFT(TH!O2177,2)="15"),LEFT(TH!O2177,3)&lt;&gt;"111",'152-CT'!$J$8=TH!F2177),"x","")</f>
        <v/>
      </c>
      <c r="AC2177" s="75" t="str">
        <f>IF(AND(OR(LEFT(TH!N2177,2)="15",LEFT(TH!O2177,2)="15"),TK!$E$7=TH!F2177),"x","")</f>
        <v/>
      </c>
      <c r="AD2177" s="75" t="str">
        <f>IF(AND(N2177="1521",MONTH(C2177)='BK-NL'!$M$11),"x","")</f>
        <v/>
      </c>
    </row>
    <row r="2178" spans="1:32" ht="16.5" customHeight="1">
      <c r="A2178" s="309" t="str">
        <f>IF(B2178&lt;&gt;"",IF(AND(B2178='IN-TC'!$S$4,OR(TH!N2178="1111",TH!O2178="1111")),TH!D2178,""),"")</f>
        <v/>
      </c>
      <c r="B2178" s="1245">
        <f t="shared" si="594"/>
        <v>11</v>
      </c>
      <c r="C2178" s="252">
        <v>43050</v>
      </c>
      <c r="D2178" s="252" t="s">
        <v>819</v>
      </c>
      <c r="E2178" s="252">
        <f t="shared" si="662"/>
        <v>43050</v>
      </c>
      <c r="F2178" s="1055" t="s">
        <v>1588</v>
      </c>
      <c r="G2178" s="1056" t="s">
        <v>2530</v>
      </c>
      <c r="H2178" s="735" t="s">
        <v>1601</v>
      </c>
      <c r="I2178" s="371">
        <v>7000</v>
      </c>
      <c r="J2178" s="371">
        <v>9.6999999999999993</v>
      </c>
      <c r="K2178" s="371">
        <f t="shared" si="663"/>
        <v>67900</v>
      </c>
      <c r="L2178" s="377">
        <v>22675</v>
      </c>
      <c r="M2178" s="933">
        <f t="shared" si="659"/>
        <v>1539632500</v>
      </c>
      <c r="N2178" s="977" t="s">
        <v>536</v>
      </c>
      <c r="O2178" s="977" t="s">
        <v>288</v>
      </c>
      <c r="P2178" s="75" t="str">
        <f>IF(AND('331-CT'!$E$7=TH!H2178,OR(N2178="331",O2178="331")),"x","")</f>
        <v/>
      </c>
      <c r="Q2178" s="75" t="str">
        <f>IF(AND(B2178='111'!$L$11,OR($N2178=$Q$7,$O2178=$Q$7)),"x","")</f>
        <v/>
      </c>
      <c r="R2178" s="75" t="str">
        <f>IF(AND($N2178=$Q$7,$B2178&lt;'111'!$L$11),"x","")</f>
        <v/>
      </c>
      <c r="S2178" s="75" t="str">
        <f>IF(AND($O2178=$Q$7,$B2178&lt;'111'!$L$11),"x","")</f>
        <v/>
      </c>
      <c r="T2178" s="75" t="str">
        <f>IF(ISERROR(FIND('112'!$M$9,G2178,1)),"",IF((AND(FIND('112'!$M$9,G2178,1)&gt;=1,B2178='112'!$K$9,OR($N2178='112'!$I$6,$O2178='112'!$I$6))),"x",""))</f>
        <v/>
      </c>
      <c r="U2178" s="75" t="str">
        <f>IF(ISERROR(FIND('112'!$M$9,G2178,1)),"",IF((AND(LEFT(G2178,2)=LEFT('112'!$M$9,2),B2178&lt;'112'!$K$9,$N2178='112'!$I$6)),"x",""))</f>
        <v/>
      </c>
      <c r="V2178" s="75" t="str">
        <f>IF(ISERROR(FIND('112'!$M$9,G2178,1)),"",IF((AND(RIGHT(G2178,2)=RIGHT('112'!$M$9,2),B2178&lt;'112'!$K$9,$O2178='112'!$I$6)),"x",""))</f>
        <v/>
      </c>
      <c r="W2178" s="75" t="str">
        <f>IF(AND('341-CT'!$H$9=H2178,OR(LEFT(N2178,3)=$W$7,LEFT(O2178,3)=$W$7)),"x","")</f>
        <v/>
      </c>
      <c r="X2178" s="75" t="str">
        <f>IF(OR(TH!N2178=TH!$X$7,O2178=TH!$X$7),"x","")</f>
        <v/>
      </c>
      <c r="Y2178" s="75" t="str">
        <f>IF(AND(OR(N2178="131",O2178="131"),H2178='131-CT'!$H$9),"x","")</f>
        <v/>
      </c>
      <c r="Z2178" s="75"/>
      <c r="AA2178" s="75" t="str">
        <f>IF(AND(MONTH(E2178)='IN-NX'!$J$5,'IN-NX'!$D$7=D2178),"x","")</f>
        <v/>
      </c>
      <c r="AB2178" s="75" t="str">
        <f>IF(AND(OR(LEFT(TH!N2178,2)="15",LEFT(TH!O2178,2)="15"),LEFT(TH!O2178,3)&lt;&gt;"111",'152-CT'!$J$8=TH!F2178),"x","")</f>
        <v/>
      </c>
      <c r="AC2178" s="75" t="str">
        <f>IF(AND(OR(LEFT(TH!N2178,2)="15",LEFT(TH!O2178,2)="15"),TK!$E$7=TH!F2178),"x","")</f>
        <v/>
      </c>
      <c r="AD2178" s="75" t="str">
        <f>IF(AND(N2178="1521",MONTH(C2178)='BK-NL'!$M$11),"x","")</f>
        <v/>
      </c>
    </row>
    <row r="2179" spans="1:32" ht="16.5" customHeight="1">
      <c r="A2179" s="309" t="str">
        <f>IF(B2179&lt;&gt;"",IF(AND(B2179='IN-TC'!$S$4,OR(TH!N2179="1111",TH!O2179="1111")),TH!D2179,""),"")</f>
        <v/>
      </c>
      <c r="B2179" s="1245">
        <f t="shared" si="594"/>
        <v>11</v>
      </c>
      <c r="C2179" s="252">
        <v>43050</v>
      </c>
      <c r="D2179" s="252" t="s">
        <v>819</v>
      </c>
      <c r="E2179" s="252">
        <f t="shared" si="662"/>
        <v>43050</v>
      </c>
      <c r="F2179" s="1055" t="s">
        <v>2535</v>
      </c>
      <c r="G2179" s="1056" t="s">
        <v>2530</v>
      </c>
      <c r="H2179" s="735" t="s">
        <v>1601</v>
      </c>
      <c r="I2179" s="371">
        <v>1000</v>
      </c>
      <c r="J2179" s="371">
        <v>9.9</v>
      </c>
      <c r="K2179" s="371">
        <f t="shared" si="663"/>
        <v>9900</v>
      </c>
      <c r="L2179" s="377">
        <v>22675</v>
      </c>
      <c r="M2179" s="933">
        <f t="shared" si="659"/>
        <v>224482500</v>
      </c>
      <c r="N2179" s="977" t="s">
        <v>536</v>
      </c>
      <c r="O2179" s="977" t="s">
        <v>288</v>
      </c>
      <c r="P2179" s="75" t="str">
        <f>IF(AND('331-CT'!$E$7=TH!H2179,OR(N2179="331",O2179="331")),"x","")</f>
        <v/>
      </c>
      <c r="Q2179" s="75" t="str">
        <f>IF(AND(B2179='111'!$L$11,OR($N2179=$Q$7,$O2179=$Q$7)),"x","")</f>
        <v/>
      </c>
      <c r="R2179" s="75" t="str">
        <f>IF(AND($N2179=$Q$7,$B2179&lt;'111'!$L$11),"x","")</f>
        <v/>
      </c>
      <c r="S2179" s="75" t="str">
        <f>IF(AND($O2179=$Q$7,$B2179&lt;'111'!$L$11),"x","")</f>
        <v/>
      </c>
      <c r="T2179" s="75" t="str">
        <f>IF(ISERROR(FIND('112'!$M$9,G2179,1)),"",IF((AND(FIND('112'!$M$9,G2179,1)&gt;=1,B2179='112'!$K$9,OR($N2179='112'!$I$6,$O2179='112'!$I$6))),"x",""))</f>
        <v/>
      </c>
      <c r="U2179" s="75" t="str">
        <f>IF(ISERROR(FIND('112'!$M$9,G2179,1)),"",IF((AND(LEFT(G2179,2)=LEFT('112'!$M$9,2),B2179&lt;'112'!$K$9,$N2179='112'!$I$6)),"x",""))</f>
        <v/>
      </c>
      <c r="V2179" s="75" t="str">
        <f>IF(ISERROR(FIND('112'!$M$9,G2179,1)),"",IF((AND(RIGHT(G2179,2)=RIGHT('112'!$M$9,2),B2179&lt;'112'!$K$9,$O2179='112'!$I$6)),"x",""))</f>
        <v/>
      </c>
      <c r="W2179" s="75" t="str">
        <f>IF(AND('341-CT'!$H$9=H2179,OR(LEFT(N2179,3)=$W$7,LEFT(O2179,3)=$W$7)),"x","")</f>
        <v/>
      </c>
      <c r="X2179" s="75" t="str">
        <f>IF(OR(TH!N2179=TH!$X$7,O2179=TH!$X$7),"x","")</f>
        <v/>
      </c>
      <c r="Y2179" s="75" t="str">
        <f>IF(AND(OR(N2179="131",O2179="131"),H2179='131-CT'!$H$9),"x","")</f>
        <v/>
      </c>
      <c r="Z2179" s="75"/>
      <c r="AA2179" s="75" t="str">
        <f>IF(AND(MONTH(E2179)='IN-NX'!$J$5,'IN-NX'!$D$7=D2179),"x","")</f>
        <v/>
      </c>
      <c r="AB2179" s="75" t="str">
        <f>IF(AND(OR(LEFT(TH!N2179,2)="15",LEFT(TH!O2179,2)="15"),LEFT(TH!O2179,3)&lt;&gt;"111",'152-CT'!$J$8=TH!F2179),"x","")</f>
        <v/>
      </c>
      <c r="AC2179" s="75" t="str">
        <f>IF(AND(OR(LEFT(TH!N2179,2)="15",LEFT(TH!O2179,2)="15"),TK!$E$7=TH!F2179),"x","")</f>
        <v/>
      </c>
      <c r="AD2179" s="75" t="str">
        <f>IF(AND(N2179="1521",MONTH(C2179)='BK-NL'!$M$11),"x","")</f>
        <v/>
      </c>
    </row>
    <row r="2180" spans="1:32" ht="16.5" customHeight="1">
      <c r="A2180" s="309" t="str">
        <f>IF(B2180&lt;&gt;"",IF(AND(B2180='IN-TC'!$S$4,OR(TH!N2180="1111",TH!O2180="1111")),TH!D2180,""),"")</f>
        <v/>
      </c>
      <c r="B2180" s="1245">
        <f t="shared" si="594"/>
        <v>11</v>
      </c>
      <c r="C2180" s="252">
        <v>43054</v>
      </c>
      <c r="D2180" s="252" t="s">
        <v>836</v>
      </c>
      <c r="E2180" s="252">
        <f t="shared" si="662"/>
        <v>43054</v>
      </c>
      <c r="F2180" s="1055" t="s">
        <v>1401</v>
      </c>
      <c r="G2180" s="1056" t="s">
        <v>1161</v>
      </c>
      <c r="H2180" s="735" t="s">
        <v>751</v>
      </c>
      <c r="I2180" s="371">
        <v>3000</v>
      </c>
      <c r="J2180" s="371">
        <v>255000</v>
      </c>
      <c r="K2180" s="371"/>
      <c r="L2180" s="377"/>
      <c r="M2180" s="933">
        <f>ROUND(I2180*J2180,0)</f>
        <v>765000000</v>
      </c>
      <c r="N2180" s="977" t="s">
        <v>536</v>
      </c>
      <c r="O2180" s="977" t="s">
        <v>286</v>
      </c>
      <c r="P2180" s="75" t="str">
        <f>IF(AND('331-CT'!$E$7=TH!H2180,OR(N2180="331",O2180="331")),"x","")</f>
        <v/>
      </c>
      <c r="Q2180" s="75" t="str">
        <f>IF(AND(B2180='111'!$L$11,OR($N2180=$Q$7,$O2180=$Q$7)),"x","")</f>
        <v/>
      </c>
      <c r="R2180" s="75" t="str">
        <f>IF(AND($N2180=$Q$7,$B2180&lt;'111'!$L$11),"x","")</f>
        <v/>
      </c>
      <c r="S2180" s="75" t="str">
        <f>IF(AND($O2180=$Q$7,$B2180&lt;'111'!$L$11),"x","")</f>
        <v/>
      </c>
      <c r="T2180" s="75" t="str">
        <f>IF(ISERROR(FIND('112'!$M$9,G2180,1)),"",IF((AND(FIND('112'!$M$9,G2180,1)&gt;=1,B2180='112'!$K$9,OR($N2180='112'!$I$6,$O2180='112'!$I$6))),"x",""))</f>
        <v/>
      </c>
      <c r="U2180" s="75" t="str">
        <f>IF(ISERROR(FIND('112'!$M$9,G2180,1)),"",IF((AND(LEFT(G2180,2)=LEFT('112'!$M$9,2),B2180&lt;'112'!$K$9,$N2180='112'!$I$6)),"x",""))</f>
        <v/>
      </c>
      <c r="V2180" s="75" t="str">
        <f>IF(ISERROR(FIND('112'!$M$9,G2180,1)),"",IF((AND(RIGHT(G2180,2)=RIGHT('112'!$M$9,2),B2180&lt;'112'!$K$9,$O2180='112'!$I$6)),"x",""))</f>
        <v/>
      </c>
      <c r="W2180" s="75" t="str">
        <f>IF(AND('341-CT'!$H$9=H2180,OR(LEFT(N2180,3)=$W$7,LEFT(O2180,3)=$W$7)),"x","")</f>
        <v/>
      </c>
      <c r="X2180" s="75" t="str">
        <f>IF(OR(TH!N2180=TH!$X$7,O2180=TH!$X$7),"x","")</f>
        <v/>
      </c>
      <c r="Y2180" s="75" t="str">
        <f>IF(AND(OR(N2180="131",O2180="131"),H2180='131-CT'!$H$9),"x","")</f>
        <v>x</v>
      </c>
      <c r="Z2180" s="75"/>
      <c r="AA2180" s="75" t="str">
        <f>IF(AND(MONTH(E2180)='IN-NX'!$J$5,'IN-NX'!$D$7=D2180),"x","")</f>
        <v/>
      </c>
      <c r="AB2180" s="75" t="str">
        <f>IF(AND(OR(LEFT(TH!N2180,2)="15",LEFT(TH!O2180,2)="15"),LEFT(TH!O2180,3)&lt;&gt;"111",'152-CT'!$J$8=TH!F2180),"x","")</f>
        <v/>
      </c>
      <c r="AC2180" s="75" t="str">
        <f>IF(AND(OR(LEFT(TH!N2180,2)="15",LEFT(TH!O2180,2)="15"),TK!$E$7=TH!F2180),"x","")</f>
        <v/>
      </c>
      <c r="AD2180" s="75" t="str">
        <f>IF(AND(N2180="1521",MONTH(C2180)='BK-NL'!$M$11),"x","")</f>
        <v/>
      </c>
    </row>
    <row r="2181" spans="1:32" ht="16.5" customHeight="1">
      <c r="A2181" s="309" t="str">
        <f>IF(B2181&lt;&gt;"",IF(AND(B2181='IN-TC'!$S$4,OR(TH!N2181="1111",TH!O2181="1111")),TH!D2181,""),"")</f>
        <v/>
      </c>
      <c r="B2181" s="1245">
        <f t="shared" si="594"/>
        <v>11</v>
      </c>
      <c r="C2181" s="252">
        <v>43054</v>
      </c>
      <c r="D2181" s="252" t="s">
        <v>836</v>
      </c>
      <c r="E2181" s="252">
        <f t="shared" si="662"/>
        <v>43054</v>
      </c>
      <c r="F2181" s="1055" t="s">
        <v>2547</v>
      </c>
      <c r="G2181" s="1056" t="s">
        <v>1161</v>
      </c>
      <c r="H2181" s="735" t="s">
        <v>751</v>
      </c>
      <c r="I2181" s="371"/>
      <c r="J2181" s="371"/>
      <c r="K2181" s="371"/>
      <c r="L2181" s="377"/>
      <c r="M2181" s="933">
        <v>76500000</v>
      </c>
      <c r="N2181" s="977" t="s">
        <v>536</v>
      </c>
      <c r="O2181" s="977" t="s">
        <v>595</v>
      </c>
      <c r="P2181" s="75" t="str">
        <f>IF(AND('331-CT'!$E$7=TH!H2181,OR(N2181="331",O2181="331")),"x","")</f>
        <v/>
      </c>
      <c r="Q2181" s="75" t="str">
        <f>IF(AND(B2181='111'!$L$11,OR($N2181=$Q$7,$O2181=$Q$7)),"x","")</f>
        <v/>
      </c>
      <c r="R2181" s="75" t="str">
        <f>IF(AND($N2181=$Q$7,$B2181&lt;'111'!$L$11),"x","")</f>
        <v/>
      </c>
      <c r="S2181" s="75" t="str">
        <f>IF(AND($O2181=$Q$7,$B2181&lt;'111'!$L$11),"x","")</f>
        <v/>
      </c>
      <c r="T2181" s="75" t="str">
        <f>IF(ISERROR(FIND('112'!$M$9,G2181,1)),"",IF((AND(FIND('112'!$M$9,G2181,1)&gt;=1,B2181='112'!$K$9,OR($N2181='112'!$I$6,$O2181='112'!$I$6))),"x",""))</f>
        <v/>
      </c>
      <c r="U2181" s="75" t="str">
        <f>IF(ISERROR(FIND('112'!$M$9,G2181,1)),"",IF((AND(LEFT(G2181,2)=LEFT('112'!$M$9,2),B2181&lt;'112'!$K$9,$N2181='112'!$I$6)),"x",""))</f>
        <v/>
      </c>
      <c r="V2181" s="75" t="str">
        <f>IF(ISERROR(FIND('112'!$M$9,G2181,1)),"",IF((AND(RIGHT(G2181,2)=RIGHT('112'!$M$9,2),B2181&lt;'112'!$K$9,$O2181='112'!$I$6)),"x",""))</f>
        <v/>
      </c>
      <c r="W2181" s="75" t="str">
        <f>IF(AND('341-CT'!$H$9=H2181,OR(LEFT(N2181,3)=$W$7,LEFT(O2181,3)=$W$7)),"x","")</f>
        <v/>
      </c>
      <c r="X2181" s="75" t="str">
        <f>IF(OR(TH!N2181=TH!$X$7,O2181=TH!$X$7),"x","")</f>
        <v/>
      </c>
      <c r="Y2181" s="75" t="str">
        <f>IF(AND(OR(N2181="131",O2181="131"),H2181='131-CT'!$H$9),"x","")</f>
        <v>x</v>
      </c>
      <c r="Z2181" s="75"/>
      <c r="AA2181" s="75" t="str">
        <f>IF(AND(MONTH(E2181)='IN-NX'!$J$5,'IN-NX'!$D$7=D2181),"x","")</f>
        <v/>
      </c>
      <c r="AB2181" s="75" t="str">
        <f>IF(AND(OR(LEFT(TH!N2181,2)="15",LEFT(TH!O2181,2)="15"),LEFT(TH!O2181,3)&lt;&gt;"111",'152-CT'!$J$8=TH!F2181),"x","")</f>
        <v/>
      </c>
      <c r="AC2181" s="75" t="str">
        <f>IF(AND(OR(LEFT(TH!N2181,2)="15",LEFT(TH!O2181,2)="15"),TK!$E$7=TH!F2181),"x","")</f>
        <v/>
      </c>
      <c r="AD2181" s="75" t="str">
        <f>IF(AND(N2181="1521",MONTH(C2181)='BK-NL'!$M$11),"x","")</f>
        <v/>
      </c>
    </row>
    <row r="2182" spans="1:32" ht="16.5" customHeight="1">
      <c r="A2182" s="309" t="str">
        <f>IF(B2182&lt;&gt;"",IF(AND(B2182='IN-TC'!$S$4,OR(TH!N2182="1111",TH!O2182="1111")),TH!D2182,""),"")</f>
        <v/>
      </c>
      <c r="B2182" s="1245">
        <f t="shared" ref="B2182" si="664">IF(C2182&lt;&gt;"",MONTH(C2182),"")</f>
        <v>11</v>
      </c>
      <c r="C2182" s="252">
        <v>43056</v>
      </c>
      <c r="D2182" s="252" t="s">
        <v>838</v>
      </c>
      <c r="E2182" s="252">
        <f t="shared" si="662"/>
        <v>43056</v>
      </c>
      <c r="F2182" s="1055" t="s">
        <v>2399</v>
      </c>
      <c r="G2182" s="1056" t="s">
        <v>2594</v>
      </c>
      <c r="H2182" s="735" t="s">
        <v>1859</v>
      </c>
      <c r="I2182" s="371">
        <v>52780</v>
      </c>
      <c r="J2182" s="371">
        <v>2</v>
      </c>
      <c r="K2182" s="371">
        <f t="shared" ref="K2182" si="665">I2182*J2182</f>
        <v>105560</v>
      </c>
      <c r="L2182" s="377">
        <v>22680</v>
      </c>
      <c r="M2182" s="933">
        <f t="shared" ref="M2182:M2183" si="666">ROUND(K2182*L2182,0)</f>
        <v>2394100800</v>
      </c>
      <c r="N2182" s="977" t="s">
        <v>536</v>
      </c>
      <c r="O2182" s="977" t="s">
        <v>288</v>
      </c>
      <c r="P2182" s="75" t="str">
        <f>IF(AND('331-CT'!$E$7=TH!H2182,OR(N2182="331",O2182="331")),"x","")</f>
        <v/>
      </c>
      <c r="Q2182" s="75" t="str">
        <f>IF(AND(B2182='111'!$L$11,OR($N2182=$Q$7,$O2182=$Q$7)),"x","")</f>
        <v/>
      </c>
      <c r="R2182" s="75" t="str">
        <f>IF(AND($N2182=$Q$7,$B2182&lt;'111'!$L$11),"x","")</f>
        <v/>
      </c>
      <c r="S2182" s="75" t="str">
        <f>IF(AND($O2182=$Q$7,$B2182&lt;'111'!$L$11),"x","")</f>
        <v/>
      </c>
      <c r="T2182" s="75" t="str">
        <f>IF(ISERROR(FIND('112'!$M$9,G2182,1)),"",IF((AND(FIND('112'!$M$9,G2182,1)&gt;=1,B2182='112'!$K$9,OR($N2182='112'!$I$6,$O2182='112'!$I$6))),"x",""))</f>
        <v/>
      </c>
      <c r="U2182" s="75" t="str">
        <f>IF(ISERROR(FIND('112'!$M$9,G2182,1)),"",IF((AND(LEFT(G2182,2)=LEFT('112'!$M$9,2),B2182&lt;'112'!$K$9,$N2182='112'!$I$6)),"x",""))</f>
        <v/>
      </c>
      <c r="V2182" s="75" t="str">
        <f>IF(ISERROR(FIND('112'!$M$9,G2182,1)),"",IF((AND(RIGHT(G2182,2)=RIGHT('112'!$M$9,2),B2182&lt;'112'!$K$9,$O2182='112'!$I$6)),"x",""))</f>
        <v/>
      </c>
      <c r="W2182" s="75" t="str">
        <f>IF(AND('341-CT'!$H$9=H2182,OR(LEFT(N2182,3)=$W$7,LEFT(O2182,3)=$W$7)),"x","")</f>
        <v/>
      </c>
      <c r="X2182" s="75" t="str">
        <f>IF(OR(TH!N2182=TH!$X$7,O2182=TH!$X$7),"x","")</f>
        <v/>
      </c>
      <c r="Y2182" s="75" t="str">
        <f>IF(AND(OR(N2182="131",O2182="131"),H2182='131-CT'!$H$9),"x","")</f>
        <v/>
      </c>
      <c r="Z2182" s="75"/>
      <c r="AA2182" s="75" t="str">
        <f>IF(AND(MONTH(E2182)='IN-NX'!$J$5,'IN-NX'!$D$7=D2182),"x","")</f>
        <v/>
      </c>
      <c r="AB2182" s="75" t="str">
        <f>IF(AND(OR(LEFT(TH!N2182,2)="15",LEFT(TH!O2182,2)="15"),LEFT(TH!O2182,3)&lt;&gt;"111",'152-CT'!$J$8=TH!F2182),"x","")</f>
        <v/>
      </c>
      <c r="AC2182" s="75" t="str">
        <f>IF(AND(OR(LEFT(TH!N2182,2)="15",LEFT(TH!O2182,2)="15"),TK!$E$7=TH!F2182),"x","")</f>
        <v/>
      </c>
      <c r="AD2182" s="75" t="str">
        <f>IF(AND(N2182="1521",MONTH(C2182)='BK-NL'!$M$11),"x","")</f>
        <v/>
      </c>
    </row>
    <row r="2183" spans="1:32" ht="16.5" customHeight="1">
      <c r="A2183" s="309" t="str">
        <f>IF(B2183&lt;&gt;"",IF(AND(B2183='IN-TC'!$S$4,OR(TH!N2183="1111",TH!O2183="1111")),TH!D2183,""),"")</f>
        <v/>
      </c>
      <c r="B2183" s="1245">
        <f t="shared" ref="B2183:B2186" si="667">IF(C2183&lt;&gt;"",MONTH(C2183),"")</f>
        <v>11</v>
      </c>
      <c r="C2183" s="252">
        <v>43059</v>
      </c>
      <c r="D2183" s="252" t="s">
        <v>863</v>
      </c>
      <c r="E2183" s="252">
        <f t="shared" ref="E2183:E2186" si="668">C2183</f>
        <v>43059</v>
      </c>
      <c r="F2183" s="1055" t="s">
        <v>2399</v>
      </c>
      <c r="G2183" s="1056" t="s">
        <v>2595</v>
      </c>
      <c r="H2183" s="735" t="s">
        <v>759</v>
      </c>
      <c r="I2183" s="371">
        <v>52780</v>
      </c>
      <c r="J2183" s="371">
        <v>1.85</v>
      </c>
      <c r="K2183" s="371">
        <f t="shared" ref="K2183" si="669">I2183*J2183</f>
        <v>97643</v>
      </c>
      <c r="L2183" s="377">
        <v>22675</v>
      </c>
      <c r="M2183" s="933">
        <f t="shared" si="666"/>
        <v>2214055025</v>
      </c>
      <c r="N2183" s="977" t="s">
        <v>536</v>
      </c>
      <c r="O2183" s="977" t="s">
        <v>288</v>
      </c>
      <c r="P2183" s="75" t="str">
        <f>IF(AND('331-CT'!$E$7=TH!H2183,OR(N2183="331",O2183="331")),"x","")</f>
        <v/>
      </c>
      <c r="Q2183" s="75" t="str">
        <f>IF(AND(B2183='111'!$L$11,OR($N2183=$Q$7,$O2183=$Q$7)),"x","")</f>
        <v/>
      </c>
      <c r="R2183" s="75" t="str">
        <f>IF(AND($N2183=$Q$7,$B2183&lt;'111'!$L$11),"x","")</f>
        <v/>
      </c>
      <c r="S2183" s="75" t="str">
        <f>IF(AND($O2183=$Q$7,$B2183&lt;'111'!$L$11),"x","")</f>
        <v/>
      </c>
      <c r="T2183" s="75" t="str">
        <f>IF(ISERROR(FIND('112'!$M$9,G2183,1)),"",IF((AND(FIND('112'!$M$9,G2183,1)&gt;=1,B2183='112'!$K$9,OR($N2183='112'!$I$6,$O2183='112'!$I$6))),"x",""))</f>
        <v/>
      </c>
      <c r="U2183" s="75" t="str">
        <f>IF(ISERROR(FIND('112'!$M$9,G2183,1)),"",IF((AND(LEFT(G2183,2)=LEFT('112'!$M$9,2),B2183&lt;'112'!$K$9,$N2183='112'!$I$6)),"x",""))</f>
        <v/>
      </c>
      <c r="V2183" s="75" t="str">
        <f>IF(ISERROR(FIND('112'!$M$9,G2183,1)),"",IF((AND(RIGHT(G2183,2)=RIGHT('112'!$M$9,2),B2183&lt;'112'!$K$9,$O2183='112'!$I$6)),"x",""))</f>
        <v/>
      </c>
      <c r="W2183" s="75" t="str">
        <f>IF(AND('341-CT'!$H$9=H2183,OR(LEFT(N2183,3)=$W$7,LEFT(O2183,3)=$W$7)),"x","")</f>
        <v/>
      </c>
      <c r="X2183" s="75" t="str">
        <f>IF(OR(TH!N2183=TH!$X$7,O2183=TH!$X$7),"x","")</f>
        <v/>
      </c>
      <c r="Y2183" s="75" t="str">
        <f>IF(AND(OR(N2183="131",O2183="131"),H2183='131-CT'!$H$9),"x","")</f>
        <v/>
      </c>
      <c r="Z2183" s="75"/>
      <c r="AA2183" s="75" t="str">
        <f>IF(AND(MONTH(E2183)='IN-NX'!$J$5,'IN-NX'!$D$7=D2183),"x","")</f>
        <v/>
      </c>
      <c r="AB2183" s="75" t="str">
        <f>IF(AND(OR(LEFT(TH!N2183,2)="15",LEFT(TH!O2183,2)="15"),LEFT(TH!O2183,3)&lt;&gt;"111",'152-CT'!$J$8=TH!F2183),"x","")</f>
        <v/>
      </c>
      <c r="AC2183" s="75" t="str">
        <f>IF(AND(OR(LEFT(TH!N2183,2)="15",LEFT(TH!O2183,2)="15"),TK!$E$7=TH!F2183),"x","")</f>
        <v/>
      </c>
      <c r="AD2183" s="75" t="str">
        <f>IF(AND(N2183="1521",MONTH(C2183)='BK-NL'!$M$11),"x","")</f>
        <v/>
      </c>
    </row>
    <row r="2184" spans="1:32" ht="16.5" customHeight="1">
      <c r="A2184" s="309" t="str">
        <f>IF(B2184&lt;&gt;"",IF(AND(B2184='IN-TC'!$S$4,OR(TH!N2184="1111",TH!O2184="1111")),TH!D2184,""),"")</f>
        <v/>
      </c>
      <c r="B2184" s="1129">
        <f t="shared" si="667"/>
        <v>8</v>
      </c>
      <c r="C2184" s="1107">
        <v>42966</v>
      </c>
      <c r="D2184" s="1107" t="s">
        <v>815</v>
      </c>
      <c r="E2184" s="1107">
        <f t="shared" si="668"/>
        <v>42966</v>
      </c>
      <c r="F2184" s="1108" t="s">
        <v>426</v>
      </c>
      <c r="G2184" s="1109"/>
      <c r="H2184" s="1110" t="s">
        <v>1601</v>
      </c>
      <c r="I2184" s="1112">
        <v>1600</v>
      </c>
      <c r="J2184" s="1112">
        <f>J2185*L2185</f>
        <v>201807.5</v>
      </c>
      <c r="K2184" s="1112"/>
      <c r="L2184" s="1111"/>
      <c r="M2184" s="1113">
        <f>ROUND(I2184*J2184,0)</f>
        <v>322892000</v>
      </c>
      <c r="N2184" s="1114" t="s">
        <v>274</v>
      </c>
      <c r="O2184" s="1114" t="s">
        <v>284</v>
      </c>
      <c r="P2184" s="75" t="str">
        <f>IF(AND('331-CT'!$E$7=TH!H2184,OR(N2184="331",O2184="331")),"x","")</f>
        <v/>
      </c>
      <c r="Q2184" s="75" t="str">
        <f>IF(AND(B2184='111'!$L$11,OR($N2184=$Q$7,$O2184=$Q$7)),"x","")</f>
        <v/>
      </c>
      <c r="R2184" s="75" t="str">
        <f>IF(AND($N2184=$Q$7,$B2184&lt;'111'!$L$11),"x","")</f>
        <v/>
      </c>
      <c r="S2184" s="75" t="str">
        <f>IF(AND($O2184=$Q$7,$B2184&lt;'111'!$L$11),"x","")</f>
        <v/>
      </c>
      <c r="T2184" s="75" t="str">
        <f>IF(ISERROR(FIND('112'!$M$9,G2184,1)),"",IF((AND(FIND('112'!$M$9,G2184,1)&gt;=1,B2184='112'!$K$9,OR($N2184='112'!$I$6,$O2184='112'!$I$6))),"x",""))</f>
        <v/>
      </c>
      <c r="U2184" s="75" t="str">
        <f>IF(ISERROR(FIND('112'!$M$9,G2184,1)),"",IF((AND(LEFT(G2184,2)=LEFT('112'!$M$9,2),B2184&lt;'112'!$K$9,$N2184='112'!$I$6)),"x",""))</f>
        <v/>
      </c>
      <c r="V2184" s="75" t="str">
        <f>IF(ISERROR(FIND('112'!$M$9,G2184,1)),"",IF((AND(RIGHT(G2184,2)=RIGHT('112'!$M$9,2),B2184&lt;'112'!$K$9,$O2184='112'!$I$6)),"x",""))</f>
        <v/>
      </c>
      <c r="W2184" s="75" t="str">
        <f>IF(AND('341-CT'!$H$9=H2184,OR(LEFT(N2184,3)=$W$7,LEFT(O2184,3)=$W$7)),"x","")</f>
        <v/>
      </c>
      <c r="X2184" s="75" t="str">
        <f>IF(OR(TH!N2184=TH!$X$7,O2184=TH!$X$7),"x","")</f>
        <v/>
      </c>
      <c r="Y2184" s="75" t="str">
        <f>IF(AND(OR(N2184="131",O2184="131"),H2184='131-CT'!$H$9),"x","")</f>
        <v/>
      </c>
      <c r="Z2184" s="75"/>
      <c r="AA2184" s="75" t="str">
        <f>IF(AND(MONTH(E2184)='IN-NX'!$J$5,'IN-NX'!$D$7=D2184),"x","")</f>
        <v/>
      </c>
      <c r="AB2184" s="75" t="str">
        <f>IF(AND(OR(LEFT(TH!N2184,2)="15",LEFT(TH!O2184,2)="15"),LEFT(TH!O2184,3)&lt;&gt;"111",'152-CT'!$J$8=TH!F2184),"x","")</f>
        <v/>
      </c>
      <c r="AC2184" s="75" t="str">
        <f>IF(AND(OR(LEFT(TH!N2184,2)="15",LEFT(TH!O2184,2)="15"),TK!$E$7=TH!F2184),"x","")</f>
        <v/>
      </c>
      <c r="AD2184" s="75" t="str">
        <f>IF(AND(N2184="1521",MONTH(C2184)='BK-NL'!$M$11),"x","")</f>
        <v/>
      </c>
      <c r="AF2184" s="1054"/>
    </row>
    <row r="2185" spans="1:32" ht="16.5" customHeight="1">
      <c r="A2185" s="309" t="str">
        <f>IF(B2185&lt;&gt;"",IF(AND(B2185='IN-TC'!$S$4,OR(TH!N2185="1111",TH!O2185="1111")),TH!D2185,""),"")</f>
        <v/>
      </c>
      <c r="B2185" s="1129">
        <f t="shared" si="667"/>
        <v>8</v>
      </c>
      <c r="C2185" s="1115">
        <v>42966</v>
      </c>
      <c r="D2185" s="1115" t="s">
        <v>815</v>
      </c>
      <c r="E2185" s="1115">
        <f t="shared" si="668"/>
        <v>42966</v>
      </c>
      <c r="F2185" s="1116" t="s">
        <v>426</v>
      </c>
      <c r="G2185" s="1117"/>
      <c r="H2185" s="1084" t="s">
        <v>1601</v>
      </c>
      <c r="I2185" s="968">
        <v>1600</v>
      </c>
      <c r="J2185" s="968">
        <v>8.9</v>
      </c>
      <c r="K2185" s="968">
        <f t="shared" ref="K2185:K2186" si="670">I2185*J2185</f>
        <v>14240</v>
      </c>
      <c r="L2185" s="967">
        <v>22675</v>
      </c>
      <c r="M2185" s="969">
        <f t="shared" ref="M2185:M2187" si="671">ROUND(K2185*L2185,0)</f>
        <v>322892000</v>
      </c>
      <c r="N2185" s="1118" t="s">
        <v>288</v>
      </c>
      <c r="O2185" s="1118" t="s">
        <v>1016</v>
      </c>
      <c r="P2185" s="75" t="str">
        <f>IF(AND('331-CT'!$E$7=TH!H2185,OR(N2185="331",O2185="331")),"x","")</f>
        <v/>
      </c>
      <c r="Q2185" s="75" t="str">
        <f>IF(AND(B2185='111'!$L$11,OR($N2185=$Q$7,$O2185=$Q$7)),"x","")</f>
        <v/>
      </c>
      <c r="R2185" s="75" t="str">
        <f>IF(AND($N2185=$Q$7,$B2185&lt;'111'!$L$11),"x","")</f>
        <v/>
      </c>
      <c r="S2185" s="75" t="str">
        <f>IF(AND($O2185=$Q$7,$B2185&lt;'111'!$L$11),"x","")</f>
        <v/>
      </c>
      <c r="T2185" s="75" t="str">
        <f>IF(ISERROR(FIND('112'!$M$9,G2185,1)),"",IF((AND(FIND('112'!$M$9,G2185,1)&gt;=1,B2185='112'!$K$9,OR($N2185='112'!$I$6,$O2185='112'!$I$6))),"x",""))</f>
        <v/>
      </c>
      <c r="U2185" s="75" t="str">
        <f>IF(ISERROR(FIND('112'!$M$9,G2185,1)),"",IF((AND(LEFT(G2185,2)=LEFT('112'!$M$9,2),B2185&lt;'112'!$K$9,$N2185='112'!$I$6)),"x",""))</f>
        <v/>
      </c>
      <c r="V2185" s="75" t="str">
        <f>IF(ISERROR(FIND('112'!$M$9,G2185,1)),"",IF((AND(RIGHT(G2185,2)=RIGHT('112'!$M$9,2),B2185&lt;'112'!$K$9,$O2185='112'!$I$6)),"x",""))</f>
        <v/>
      </c>
      <c r="W2185" s="75" t="str">
        <f>IF(AND('341-CT'!$H$9=H2185,OR(LEFT(N2185,3)=$W$7,LEFT(O2185,3)=$W$7)),"x","")</f>
        <v/>
      </c>
      <c r="X2185" s="75" t="str">
        <f>IF(OR(TH!N2185=TH!$X$7,O2185=TH!$X$7),"x","")</f>
        <v/>
      </c>
      <c r="Y2185" s="75" t="str">
        <f>IF(AND(OR(N2185="131",O2185="131"),H2185='131-CT'!$H$9),"x","")</f>
        <v/>
      </c>
      <c r="Z2185" s="75"/>
      <c r="AA2185" s="75" t="str">
        <f>IF(AND(MONTH(E2185)='IN-NX'!$J$5,'IN-NX'!$D$7=D2185),"x","")</f>
        <v/>
      </c>
      <c r="AB2185" s="75" t="str">
        <f>IF(AND(OR(LEFT(TH!N2185,2)="15",LEFT(TH!O2185,2)="15"),LEFT(TH!O2185,3)&lt;&gt;"111",'152-CT'!$J$8=TH!F2185),"x","")</f>
        <v/>
      </c>
      <c r="AC2185" s="75" t="str">
        <f>IF(AND(OR(LEFT(TH!N2185,2)="15",LEFT(TH!O2185,2)="15"),TK!$E$7=TH!F2185),"x","")</f>
        <v/>
      </c>
      <c r="AD2185" s="75" t="str">
        <f>IF(AND(N2185="1521",MONTH(C2185)='BK-NL'!$M$11),"x","")</f>
        <v/>
      </c>
    </row>
    <row r="2186" spans="1:32" ht="16.5" customHeight="1">
      <c r="A2186" s="309" t="str">
        <f>IF(B2186&lt;&gt;"",IF(AND(B2186='IN-TC'!$S$4,OR(TH!N2186="1111",TH!O2186="1111")),TH!D2186,""),"")</f>
        <v/>
      </c>
      <c r="B2186" s="1129">
        <f t="shared" si="667"/>
        <v>8</v>
      </c>
      <c r="C2186" s="1115">
        <v>42966</v>
      </c>
      <c r="D2186" s="1115" t="s">
        <v>815</v>
      </c>
      <c r="E2186" s="1115">
        <f t="shared" si="668"/>
        <v>42966</v>
      </c>
      <c r="F2186" s="1116" t="s">
        <v>426</v>
      </c>
      <c r="G2186" s="1117"/>
      <c r="H2186" s="1084" t="s">
        <v>1601</v>
      </c>
      <c r="I2186" s="968">
        <v>1600</v>
      </c>
      <c r="J2186" s="968">
        <v>8.9</v>
      </c>
      <c r="K2186" s="968">
        <f t="shared" si="670"/>
        <v>14240</v>
      </c>
      <c r="L2186" s="967">
        <v>22675</v>
      </c>
      <c r="M2186" s="969">
        <f t="shared" si="671"/>
        <v>322892000</v>
      </c>
      <c r="N2186" s="1118" t="s">
        <v>1016</v>
      </c>
      <c r="O2186" s="1118" t="s">
        <v>536</v>
      </c>
      <c r="P2186" s="75" t="str">
        <f>IF(AND('331-CT'!$E$7=TH!H2186,OR(N2186="331",O2186="331")),"x","")</f>
        <v/>
      </c>
      <c r="Q2186" s="75" t="str">
        <f>IF(AND(B2186='111'!$L$11,OR($N2186=$Q$7,$O2186=$Q$7)),"x","")</f>
        <v/>
      </c>
      <c r="R2186" s="75" t="str">
        <f>IF(AND($N2186=$Q$7,$B2186&lt;'111'!$L$11),"x","")</f>
        <v/>
      </c>
      <c r="S2186" s="75" t="str">
        <f>IF(AND($O2186=$Q$7,$B2186&lt;'111'!$L$11),"x","")</f>
        <v/>
      </c>
      <c r="T2186" s="75" t="str">
        <f>IF(ISERROR(FIND('112'!$M$9,G2186,1)),"",IF((AND(FIND('112'!$M$9,G2186,1)&gt;=1,B2186='112'!$K$9,OR($N2186='112'!$I$6,$O2186='112'!$I$6))),"x",""))</f>
        <v/>
      </c>
      <c r="U2186" s="75" t="str">
        <f>IF(ISERROR(FIND('112'!$M$9,G2186,1)),"",IF((AND(LEFT(G2186,2)=LEFT('112'!$M$9,2),B2186&lt;'112'!$K$9,$N2186='112'!$I$6)),"x",""))</f>
        <v/>
      </c>
      <c r="V2186" s="75" t="str">
        <f>IF(ISERROR(FIND('112'!$M$9,G2186,1)),"",IF((AND(RIGHT(G2186,2)=RIGHT('112'!$M$9,2),B2186&lt;'112'!$K$9,$O2186='112'!$I$6)),"x",""))</f>
        <v/>
      </c>
      <c r="W2186" s="75" t="str">
        <f>IF(AND('341-CT'!$H$9=H2186,OR(LEFT(N2186,3)=$W$7,LEFT(O2186,3)=$W$7)),"x","")</f>
        <v/>
      </c>
      <c r="X2186" s="75" t="str">
        <f>IF(OR(TH!N2186=TH!$X$7,O2186=TH!$X$7),"x","")</f>
        <v/>
      </c>
      <c r="Y2186" s="75" t="str">
        <f>IF(AND(OR(N2186="131",O2186="131"),H2186='131-CT'!$H$9),"x","")</f>
        <v/>
      </c>
      <c r="Z2186" s="75"/>
      <c r="AA2186" s="75" t="str">
        <f>IF(AND(MONTH(E2186)='IN-NX'!$J$5,'IN-NX'!$D$7=D2186),"x","")</f>
        <v/>
      </c>
      <c r="AB2186" s="75" t="str">
        <f>IF(AND(OR(LEFT(TH!N2186,2)="15",LEFT(TH!O2186,2)="15"),LEFT(TH!O2186,3)&lt;&gt;"111",'152-CT'!$J$8=TH!F2186),"x","")</f>
        <v/>
      </c>
      <c r="AC2186" s="75" t="str">
        <f>IF(AND(OR(LEFT(TH!N2186,2)="15",LEFT(TH!O2186,2)="15"),TK!$E$7=TH!F2186),"x","")</f>
        <v/>
      </c>
      <c r="AD2186" s="75" t="str">
        <f>IF(AND(N2186="1521",MONTH(C2186)='BK-NL'!$M$11),"x","")</f>
        <v/>
      </c>
    </row>
    <row r="2187" spans="1:32" ht="16.5" customHeight="1">
      <c r="A2187" s="309" t="str">
        <f>IF(B2187&lt;&gt;"",IF(AND(B2187='IN-TC'!$S$4,OR(TH!N2187="1111",TH!O2187="1111")),TH!D2187,""),"")</f>
        <v/>
      </c>
      <c r="B2187" s="1245">
        <f t="shared" ref="B2187:B2190" si="672">IF(C2187&lt;&gt;"",MONTH(C2187),"")</f>
        <v>11</v>
      </c>
      <c r="C2187" s="252">
        <v>43060</v>
      </c>
      <c r="D2187" s="252" t="s">
        <v>864</v>
      </c>
      <c r="E2187" s="252">
        <f t="shared" ref="E2187:E2190" si="673">C2187</f>
        <v>43060</v>
      </c>
      <c r="F2187" s="1055" t="s">
        <v>426</v>
      </c>
      <c r="G2187" s="1056" t="s">
        <v>2648</v>
      </c>
      <c r="H2187" s="735" t="s">
        <v>1601</v>
      </c>
      <c r="I2187" s="371">
        <v>1600</v>
      </c>
      <c r="J2187" s="371">
        <v>8.9</v>
      </c>
      <c r="K2187" s="371">
        <f t="shared" ref="K2187" si="674">I2187*J2187</f>
        <v>14240</v>
      </c>
      <c r="L2187" s="377">
        <v>22675</v>
      </c>
      <c r="M2187" s="933">
        <f t="shared" si="671"/>
        <v>322892000</v>
      </c>
      <c r="N2187" s="977" t="s">
        <v>536</v>
      </c>
      <c r="O2187" s="977" t="s">
        <v>288</v>
      </c>
      <c r="P2187" s="75" t="str">
        <f>IF(AND('331-CT'!$E$7=TH!H2187,OR(N2187="331",O2187="331")),"x","")</f>
        <v/>
      </c>
      <c r="Q2187" s="75" t="str">
        <f>IF(AND(B2187='111'!$L$11,OR($N2187=$Q$7,$O2187=$Q$7)),"x","")</f>
        <v/>
      </c>
      <c r="R2187" s="75" t="str">
        <f>IF(AND($N2187=$Q$7,$B2187&lt;'111'!$L$11),"x","")</f>
        <v/>
      </c>
      <c r="S2187" s="75" t="str">
        <f>IF(AND($O2187=$Q$7,$B2187&lt;'111'!$L$11),"x","")</f>
        <v/>
      </c>
      <c r="T2187" s="75" t="str">
        <f>IF(ISERROR(FIND('112'!$M$9,G2187,1)),"",IF((AND(FIND('112'!$M$9,G2187,1)&gt;=1,B2187='112'!$K$9,OR($N2187='112'!$I$6,$O2187='112'!$I$6))),"x",""))</f>
        <v/>
      </c>
      <c r="U2187" s="75" t="str">
        <f>IF(ISERROR(FIND('112'!$M$9,G2187,1)),"",IF((AND(LEFT(G2187,2)=LEFT('112'!$M$9,2),B2187&lt;'112'!$K$9,$N2187='112'!$I$6)),"x",""))</f>
        <v/>
      </c>
      <c r="V2187" s="75" t="str">
        <f>IF(ISERROR(FIND('112'!$M$9,G2187,1)),"",IF((AND(RIGHT(G2187,2)=RIGHT('112'!$M$9,2),B2187&lt;'112'!$K$9,$O2187='112'!$I$6)),"x",""))</f>
        <v/>
      </c>
      <c r="W2187" s="75" t="str">
        <f>IF(AND('341-CT'!$H$9=H2187,OR(LEFT(N2187,3)=$W$7,LEFT(O2187,3)=$W$7)),"x","")</f>
        <v/>
      </c>
      <c r="X2187" s="75" t="str">
        <f>IF(OR(TH!N2187=TH!$X$7,O2187=TH!$X$7),"x","")</f>
        <v/>
      </c>
      <c r="Y2187" s="75" t="str">
        <f>IF(AND(OR(N2187="131",O2187="131"),H2187='131-CT'!$H$9),"x","")</f>
        <v/>
      </c>
      <c r="Z2187" s="75"/>
      <c r="AA2187" s="75" t="str">
        <f>IF(AND(MONTH(E2187)='IN-NX'!$J$5,'IN-NX'!$D$7=D2187),"x","")</f>
        <v/>
      </c>
      <c r="AB2187" s="75" t="str">
        <f>IF(AND(OR(LEFT(TH!N2187,2)="15",LEFT(TH!O2187,2)="15"),LEFT(TH!O2187,3)&lt;&gt;"111",'152-CT'!$J$8=TH!F2187),"x","")</f>
        <v/>
      </c>
      <c r="AC2187" s="75" t="str">
        <f>IF(AND(OR(LEFT(TH!N2187,2)="15",LEFT(TH!O2187,2)="15"),TK!$E$7=TH!F2187),"x","")</f>
        <v/>
      </c>
      <c r="AD2187" s="75" t="str">
        <f>IF(AND(N2187="1521",MONTH(C2187)='BK-NL'!$M$11),"x","")</f>
        <v/>
      </c>
    </row>
    <row r="2188" spans="1:32" ht="16.5" customHeight="1">
      <c r="A2188" s="309" t="str">
        <f>IF(B2188&lt;&gt;"",IF(AND(B2188='IN-TC'!$S$4,OR(TH!N2188="1111",TH!O2188="1111")),TH!D2188,""),"")</f>
        <v/>
      </c>
      <c r="B2188" s="1245">
        <f t="shared" si="672"/>
        <v>11</v>
      </c>
      <c r="C2188" s="1107">
        <v>43060</v>
      </c>
      <c r="D2188" s="1107" t="s">
        <v>2921</v>
      </c>
      <c r="E2188" s="1107">
        <v>43060</v>
      </c>
      <c r="F2188" s="1108" t="s">
        <v>426</v>
      </c>
      <c r="G2188" s="1109"/>
      <c r="H2188" s="1110" t="s">
        <v>1601</v>
      </c>
      <c r="I2188" s="1112">
        <v>1600</v>
      </c>
      <c r="J2188" s="1112">
        <v>201807.5</v>
      </c>
      <c r="K2188" s="1112"/>
      <c r="L2188" s="1111"/>
      <c r="M2188" s="1113">
        <f>ROUND(I2188*J2188,0)</f>
        <v>322892000</v>
      </c>
      <c r="N2188" s="1114" t="s">
        <v>284</v>
      </c>
      <c r="O2188" s="1114" t="s">
        <v>274</v>
      </c>
      <c r="P2188" s="75" t="str">
        <f>IF(AND('331-CT'!$E$7=TH!H2188,OR(N2188="331",O2188="331")),"x","")</f>
        <v/>
      </c>
      <c r="Q2188" s="75" t="str">
        <f>IF(AND(B2188='111'!$L$11,OR($N2188=$Q$7,$O2188=$Q$7)),"x","")</f>
        <v/>
      </c>
      <c r="R2188" s="75" t="str">
        <f>IF(AND($N2188=$Q$7,$B2188&lt;'111'!$L$11),"x","")</f>
        <v/>
      </c>
      <c r="S2188" s="75" t="str">
        <f>IF(AND($O2188=$Q$7,$B2188&lt;'111'!$L$11),"x","")</f>
        <v/>
      </c>
      <c r="T2188" s="75" t="str">
        <f>IF(ISERROR(FIND('112'!$M$9,G2188,1)),"",IF((AND(FIND('112'!$M$9,G2188,1)&gt;=1,B2188='112'!$K$9,OR($N2188='112'!$I$6,$O2188='112'!$I$6))),"x",""))</f>
        <v/>
      </c>
      <c r="U2188" s="75" t="str">
        <f>IF(ISERROR(FIND('112'!$M$9,G2188,1)),"",IF((AND(LEFT(G2188,2)=LEFT('112'!$M$9,2),B2188&lt;'112'!$K$9,$N2188='112'!$I$6)),"x",""))</f>
        <v/>
      </c>
      <c r="V2188" s="75" t="str">
        <f>IF(ISERROR(FIND('112'!$M$9,G2188,1)),"",IF((AND(RIGHT(G2188,2)=RIGHT('112'!$M$9,2),B2188&lt;'112'!$K$9,$O2188='112'!$I$6)),"x",""))</f>
        <v/>
      </c>
      <c r="W2188" s="75" t="str">
        <f>IF(AND('341-CT'!$H$9=H2188,OR(LEFT(N2188,3)=$W$7,LEFT(O2188,3)=$W$7)),"x","")</f>
        <v/>
      </c>
      <c r="X2188" s="75" t="str">
        <f>IF(OR(TH!N2188=TH!$X$7,O2188=TH!$X$7),"x","")</f>
        <v/>
      </c>
      <c r="Y2188" s="75" t="str">
        <f>IF(AND(OR(N2188="131",O2188="131"),H2188='131-CT'!$H$9),"x","")</f>
        <v/>
      </c>
      <c r="Z2188" s="75"/>
      <c r="AA2188" s="75" t="str">
        <f>IF(AND(MONTH(E2188)='IN-NX'!$J$5,'IN-NX'!$D$7=D2188),"x","")</f>
        <v/>
      </c>
      <c r="AB2188" s="75" t="str">
        <f>IF(AND(OR(LEFT(TH!N2188,2)="15",LEFT(TH!O2188,2)="15"),LEFT(TH!O2188,3)&lt;&gt;"111",'152-CT'!$J$8=TH!F2188),"x","")</f>
        <v/>
      </c>
      <c r="AC2188" s="75" t="str">
        <f>IF(AND(OR(LEFT(TH!N2188,2)="15",LEFT(TH!O2188,2)="15"),TK!$E$7=TH!F2188),"x","")</f>
        <v/>
      </c>
      <c r="AD2188" s="75" t="str">
        <f>IF(AND(N2188="1521",MONTH(C2188)='BK-NL'!$M$11),"x","")</f>
        <v/>
      </c>
      <c r="AF2188" s="1054"/>
    </row>
    <row r="2189" spans="1:32" ht="16.5" customHeight="1">
      <c r="A2189" s="309" t="str">
        <f>IF(B2189&lt;&gt;"",IF(AND(B2189='IN-TC'!$S$4,OR(TH!N2189="1111",TH!O2189="1111")),TH!D2189,""),"")</f>
        <v/>
      </c>
      <c r="B2189" s="1245">
        <f t="shared" si="672"/>
        <v>11</v>
      </c>
      <c r="C2189" s="252">
        <v>43063</v>
      </c>
      <c r="D2189" s="252" t="s">
        <v>894</v>
      </c>
      <c r="E2189" s="252">
        <f t="shared" si="673"/>
        <v>43063</v>
      </c>
      <c r="F2189" s="1055" t="s">
        <v>2400</v>
      </c>
      <c r="G2189" s="1056" t="s">
        <v>2651</v>
      </c>
      <c r="H2189" s="73" t="s">
        <v>802</v>
      </c>
      <c r="I2189" s="371">
        <v>12500</v>
      </c>
      <c r="J2189" s="371">
        <v>211000</v>
      </c>
      <c r="K2189" s="371"/>
      <c r="L2189" s="377"/>
      <c r="M2189" s="933">
        <f>ROUND(I2189*J2189,0)</f>
        <v>2637500000</v>
      </c>
      <c r="N2189" s="977" t="s">
        <v>536</v>
      </c>
      <c r="O2189" s="977" t="s">
        <v>286</v>
      </c>
      <c r="P2189" s="75" t="str">
        <f>IF(AND('331-CT'!$E$7=TH!H2189,OR(N2189="331",O2189="331")),"x","")</f>
        <v/>
      </c>
      <c r="Q2189" s="75" t="str">
        <f>IF(AND(B2189='111'!$L$11,OR($N2189=$Q$7,$O2189=$Q$7)),"x","")</f>
        <v/>
      </c>
      <c r="R2189" s="75" t="str">
        <f>IF(AND($N2189=$Q$7,$B2189&lt;'111'!$L$11),"x","")</f>
        <v/>
      </c>
      <c r="S2189" s="75" t="str">
        <f>IF(AND($O2189=$Q$7,$B2189&lt;'111'!$L$11),"x","")</f>
        <v/>
      </c>
      <c r="T2189" s="75" t="str">
        <f>IF(ISERROR(FIND('112'!$M$9,G2189,1)),"",IF((AND(FIND('112'!$M$9,G2189,1)&gt;=1,B2189='112'!$K$9,OR($N2189='112'!$I$6,$O2189='112'!$I$6))),"x",""))</f>
        <v/>
      </c>
      <c r="U2189" s="75" t="str">
        <f>IF(ISERROR(FIND('112'!$M$9,G2189,1)),"",IF((AND(LEFT(G2189,2)=LEFT('112'!$M$9,2),B2189&lt;'112'!$K$9,$N2189='112'!$I$6)),"x",""))</f>
        <v/>
      </c>
      <c r="V2189" s="75" t="str">
        <f>IF(ISERROR(FIND('112'!$M$9,G2189,1)),"",IF((AND(RIGHT(G2189,2)=RIGHT('112'!$M$9,2),B2189&lt;'112'!$K$9,$O2189='112'!$I$6)),"x",""))</f>
        <v/>
      </c>
      <c r="W2189" s="75" t="str">
        <f>IF(AND('341-CT'!$H$9=H2189,OR(LEFT(N2189,3)=$W$7,LEFT(O2189,3)=$W$7)),"x","")</f>
        <v/>
      </c>
      <c r="X2189" s="75" t="str">
        <f>IF(OR(TH!N2189=TH!$X$7,O2189=TH!$X$7),"x","")</f>
        <v/>
      </c>
      <c r="Y2189" s="75" t="str">
        <f>IF(AND(OR(N2189="131",O2189="131"),H2189='131-CT'!$H$9),"x","")</f>
        <v/>
      </c>
      <c r="Z2189" s="75"/>
      <c r="AA2189" s="75" t="str">
        <f>IF(AND(MONTH(E2189)='IN-NX'!$J$5,'IN-NX'!$D$7=D2189),"x","")</f>
        <v/>
      </c>
      <c r="AB2189" s="75" t="str">
        <f>IF(AND(OR(LEFT(TH!N2189,2)="15",LEFT(TH!O2189,2)="15"),LEFT(TH!O2189,3)&lt;&gt;"111",'152-CT'!$J$8=TH!F2189),"x","")</f>
        <v/>
      </c>
      <c r="AC2189" s="75" t="str">
        <f>IF(AND(OR(LEFT(TH!N2189,2)="15",LEFT(TH!O2189,2)="15"),TK!$E$7=TH!F2189),"x","")</f>
        <v/>
      </c>
      <c r="AD2189" s="75" t="str">
        <f>IF(AND(N2189="1521",MONTH(C2189)='BK-NL'!$M$11),"x","")</f>
        <v/>
      </c>
    </row>
    <row r="2190" spans="1:32" ht="16.5" customHeight="1">
      <c r="A2190" s="309" t="str">
        <f>IF(B2190&lt;&gt;"",IF(AND(B2190='IN-TC'!$S$4,OR(TH!N2190="1111",TH!O2190="1111")),TH!D2190,""),"")</f>
        <v/>
      </c>
      <c r="B2190" s="1245">
        <f t="shared" si="672"/>
        <v>11</v>
      </c>
      <c r="C2190" s="252">
        <v>43063</v>
      </c>
      <c r="D2190" s="252" t="s">
        <v>894</v>
      </c>
      <c r="E2190" s="252">
        <f t="shared" si="673"/>
        <v>43063</v>
      </c>
      <c r="F2190" s="1055" t="s">
        <v>2292</v>
      </c>
      <c r="G2190" s="1056" t="s">
        <v>2651</v>
      </c>
      <c r="H2190" s="73" t="s">
        <v>802</v>
      </c>
      <c r="I2190" s="371"/>
      <c r="J2190" s="371"/>
      <c r="K2190" s="371"/>
      <c r="L2190" s="377"/>
      <c r="M2190" s="377">
        <v>263750000</v>
      </c>
      <c r="N2190" s="977" t="s">
        <v>536</v>
      </c>
      <c r="O2190" s="977" t="s">
        <v>595</v>
      </c>
      <c r="P2190" s="75" t="str">
        <f>IF(AND('331-CT'!$E$7=TH!H2190,OR(N2190="331",O2190="331")),"x","")</f>
        <v/>
      </c>
      <c r="Q2190" s="75" t="str">
        <f>IF(AND(B2190='111'!$L$11,OR($N2190=$Q$7,$O2190=$Q$7)),"x","")</f>
        <v/>
      </c>
      <c r="R2190" s="75" t="str">
        <f>IF(AND($N2190=$Q$7,$B2190&lt;'111'!$L$11),"x","")</f>
        <v/>
      </c>
      <c r="S2190" s="75" t="str">
        <f>IF(AND($O2190=$Q$7,$B2190&lt;'111'!$L$11),"x","")</f>
        <v/>
      </c>
      <c r="T2190" s="75" t="str">
        <f>IF(ISERROR(FIND('112'!$M$9,G2190,1)),"",IF((AND(FIND('112'!$M$9,G2190,1)&gt;=1,B2190='112'!$K$9,OR($N2190='112'!$I$6,$O2190='112'!$I$6))),"x",""))</f>
        <v/>
      </c>
      <c r="U2190" s="75" t="str">
        <f>IF(ISERROR(FIND('112'!$M$9,G2190,1)),"",IF((AND(LEFT(G2190,2)=LEFT('112'!$M$9,2),B2190&lt;'112'!$K$9,$N2190='112'!$I$6)),"x",""))</f>
        <v/>
      </c>
      <c r="V2190" s="75" t="str">
        <f>IF(ISERROR(FIND('112'!$M$9,G2190,1)),"",IF((AND(RIGHT(G2190,2)=RIGHT('112'!$M$9,2),B2190&lt;'112'!$K$9,$O2190='112'!$I$6)),"x",""))</f>
        <v/>
      </c>
      <c r="W2190" s="75" t="str">
        <f>IF(AND('341-CT'!$H$9=H2190,OR(LEFT(N2190,3)=$W$7,LEFT(O2190,3)=$W$7)),"x","")</f>
        <v/>
      </c>
      <c r="X2190" s="75" t="str">
        <f>IF(OR(TH!N2190=TH!$X$7,O2190=TH!$X$7),"x","")</f>
        <v/>
      </c>
      <c r="Y2190" s="75" t="str">
        <f>IF(AND(OR(N2190="131",O2190="131"),H2190='131-CT'!$H$9),"x","")</f>
        <v/>
      </c>
      <c r="Z2190" s="75"/>
      <c r="AA2190" s="75" t="str">
        <f>IF(AND(MONTH(E2190)='IN-NX'!$J$5,'IN-NX'!$D$7=D2190),"x","")</f>
        <v/>
      </c>
      <c r="AB2190" s="75" t="str">
        <f>IF(AND(OR(LEFT(TH!N2190,2)="15",LEFT(TH!O2190,2)="15"),LEFT(TH!O2190,3)&lt;&gt;"111",'152-CT'!$J$8=TH!F2190),"x","")</f>
        <v/>
      </c>
      <c r="AC2190" s="75" t="str">
        <f>IF(AND(OR(LEFT(TH!N2190,2)="15",LEFT(TH!O2190,2)="15"),TK!$E$7=TH!F2190),"x","")</f>
        <v/>
      </c>
      <c r="AD2190" s="75" t="str">
        <f>IF(AND(N2190="1521",MONTH(C2190)='BK-NL'!$M$11),"x","")</f>
        <v/>
      </c>
    </row>
    <row r="2191" spans="1:32" ht="16.5" customHeight="1">
      <c r="A2191" s="309" t="str">
        <f>IF(B2191&lt;&gt;"",IF(AND(B2191='IN-TC'!$S$4,OR(TH!N2191="1111",TH!O2191="1111")),TH!D2191,""),"")</f>
        <v/>
      </c>
      <c r="B2191" s="1245">
        <f t="shared" ref="B2191" si="675">IF(C2191&lt;&gt;"",MONTH(C2191),"")</f>
        <v>11</v>
      </c>
      <c r="C2191" s="252">
        <v>43066</v>
      </c>
      <c r="D2191" s="252" t="s">
        <v>1404</v>
      </c>
      <c r="E2191" s="252">
        <f t="shared" ref="E2191" si="676">C2191</f>
        <v>43066</v>
      </c>
      <c r="F2191" s="1055" t="s">
        <v>1588</v>
      </c>
      <c r="G2191" s="1056" t="s">
        <v>2649</v>
      </c>
      <c r="H2191" s="735" t="s">
        <v>1387</v>
      </c>
      <c r="I2191" s="371">
        <v>1000</v>
      </c>
      <c r="J2191" s="371">
        <v>10.199999999999999</v>
      </c>
      <c r="K2191" s="371">
        <f t="shared" ref="K2191" si="677">I2191*J2191</f>
        <v>10200</v>
      </c>
      <c r="L2191" s="377">
        <v>22690</v>
      </c>
      <c r="M2191" s="933">
        <f t="shared" ref="M2191:M2192" si="678">ROUND(K2191*L2191,0)</f>
        <v>231438000</v>
      </c>
      <c r="N2191" s="977" t="s">
        <v>536</v>
      </c>
      <c r="O2191" s="977" t="s">
        <v>288</v>
      </c>
      <c r="P2191" s="75" t="str">
        <f>IF(AND('331-CT'!$E$7=TH!H2191,OR(N2191="331",O2191="331")),"x","")</f>
        <v/>
      </c>
      <c r="Q2191" s="75" t="str">
        <f>IF(AND(B2191='111'!$L$11,OR($N2191=$Q$7,$O2191=$Q$7)),"x","")</f>
        <v/>
      </c>
      <c r="R2191" s="75" t="str">
        <f>IF(AND($N2191=$Q$7,$B2191&lt;'111'!$L$11),"x","")</f>
        <v/>
      </c>
      <c r="S2191" s="75" t="str">
        <f>IF(AND($O2191=$Q$7,$B2191&lt;'111'!$L$11),"x","")</f>
        <v/>
      </c>
      <c r="T2191" s="75" t="str">
        <f>IF(ISERROR(FIND('112'!$M$9,G2191,1)),"",IF((AND(FIND('112'!$M$9,G2191,1)&gt;=1,B2191='112'!$K$9,OR($N2191='112'!$I$6,$O2191='112'!$I$6))),"x",""))</f>
        <v/>
      </c>
      <c r="U2191" s="75" t="str">
        <f>IF(ISERROR(FIND('112'!$M$9,G2191,1)),"",IF((AND(LEFT(G2191,2)=LEFT('112'!$M$9,2),B2191&lt;'112'!$K$9,$N2191='112'!$I$6)),"x",""))</f>
        <v/>
      </c>
      <c r="V2191" s="75" t="str">
        <f>IF(ISERROR(FIND('112'!$M$9,G2191,1)),"",IF((AND(RIGHT(G2191,2)=RIGHT('112'!$M$9,2),B2191&lt;'112'!$K$9,$O2191='112'!$I$6)),"x",""))</f>
        <v/>
      </c>
      <c r="W2191" s="75" t="str">
        <f>IF(AND('341-CT'!$H$9=H2191,OR(LEFT(N2191,3)=$W$7,LEFT(O2191,3)=$W$7)),"x","")</f>
        <v/>
      </c>
      <c r="X2191" s="75" t="str">
        <f>IF(OR(TH!N2191=TH!$X$7,O2191=TH!$X$7),"x","")</f>
        <v/>
      </c>
      <c r="Y2191" s="75" t="str">
        <f>IF(AND(OR(N2191="131",O2191="131"),H2191='131-CT'!$H$9),"x","")</f>
        <v/>
      </c>
      <c r="Z2191" s="75"/>
      <c r="AA2191" s="75" t="str">
        <f>IF(AND(MONTH(E2191)='IN-NX'!$J$5,'IN-NX'!$D$7=D2191),"x","")</f>
        <v/>
      </c>
      <c r="AB2191" s="75" t="str">
        <f>IF(AND(OR(LEFT(TH!N2191,2)="15",LEFT(TH!O2191,2)="15"),LEFT(TH!O2191,3)&lt;&gt;"111",'152-CT'!$J$8=TH!F2191),"x","")</f>
        <v/>
      </c>
      <c r="AC2191" s="75" t="str">
        <f>IF(AND(OR(LEFT(TH!N2191,2)="15",LEFT(TH!O2191,2)="15"),TK!$E$7=TH!F2191),"x","")</f>
        <v/>
      </c>
      <c r="AD2191" s="75" t="str">
        <f>IF(AND(N2191="1521",MONTH(C2191)='BK-NL'!$M$11),"x","")</f>
        <v/>
      </c>
    </row>
    <row r="2192" spans="1:32" ht="16.5" customHeight="1">
      <c r="A2192" s="309" t="str">
        <f>IF(B2192&lt;&gt;"",IF(AND(B2192='IN-TC'!$S$4,OR(TH!N2192="1111",TH!O2192="1111")),TH!D2192,""),"")</f>
        <v/>
      </c>
      <c r="B2192" s="1245">
        <f t="shared" ref="B2192:B2290" si="679">IF(C2192&lt;&gt;"",MONTH(C2192),"")</f>
        <v>11</v>
      </c>
      <c r="C2192" s="252">
        <v>43069</v>
      </c>
      <c r="D2192" s="252" t="s">
        <v>1405</v>
      </c>
      <c r="E2192" s="252">
        <f t="shared" ref="E2192:E2290" si="680">C2192</f>
        <v>43069</v>
      </c>
      <c r="F2192" s="1055" t="s">
        <v>426</v>
      </c>
      <c r="G2192" s="1056" t="s">
        <v>2885</v>
      </c>
      <c r="H2192" s="735" t="s">
        <v>1548</v>
      </c>
      <c r="I2192" s="371">
        <v>4800</v>
      </c>
      <c r="J2192" s="371">
        <v>8.9</v>
      </c>
      <c r="K2192" s="371">
        <f t="shared" ref="K2192:K2290" si="681">I2192*J2192</f>
        <v>42720</v>
      </c>
      <c r="L2192" s="377">
        <v>22690</v>
      </c>
      <c r="M2192" s="933">
        <f t="shared" si="678"/>
        <v>969316800</v>
      </c>
      <c r="N2192" s="977" t="s">
        <v>536</v>
      </c>
      <c r="O2192" s="977" t="s">
        <v>288</v>
      </c>
      <c r="P2192" s="75" t="str">
        <f>IF(AND('331-CT'!$E$7=TH!H2192,OR(N2192="331",O2192="331")),"x","")</f>
        <v/>
      </c>
      <c r="Q2192" s="75" t="str">
        <f>IF(AND(B2192='111'!$L$11,OR($N2192=$Q$7,$O2192=$Q$7)),"x","")</f>
        <v/>
      </c>
      <c r="R2192" s="75" t="str">
        <f>IF(AND($N2192=$Q$7,$B2192&lt;'111'!$L$11),"x","")</f>
        <v/>
      </c>
      <c r="S2192" s="75" t="str">
        <f>IF(AND($O2192=$Q$7,$B2192&lt;'111'!$L$11),"x","")</f>
        <v/>
      </c>
      <c r="T2192" s="75" t="str">
        <f>IF(ISERROR(FIND('112'!$M$9,G2192,1)),"",IF((AND(FIND('112'!$M$9,G2192,1)&gt;=1,B2192='112'!$K$9,OR($N2192='112'!$I$6,$O2192='112'!$I$6))),"x",""))</f>
        <v/>
      </c>
      <c r="U2192" s="75" t="str">
        <f>IF(ISERROR(FIND('112'!$M$9,G2192,1)),"",IF((AND(LEFT(G2192,2)=LEFT('112'!$M$9,2),B2192&lt;'112'!$K$9,$N2192='112'!$I$6)),"x",""))</f>
        <v/>
      </c>
      <c r="V2192" s="75" t="str">
        <f>IF(ISERROR(FIND('112'!$M$9,G2192,1)),"",IF((AND(RIGHT(G2192,2)=RIGHT('112'!$M$9,2),B2192&lt;'112'!$K$9,$O2192='112'!$I$6)),"x",""))</f>
        <v/>
      </c>
      <c r="W2192" s="75" t="str">
        <f>IF(AND('341-CT'!$H$9=H2192,OR(LEFT(N2192,3)=$W$7,LEFT(O2192,3)=$W$7)),"x","")</f>
        <v/>
      </c>
      <c r="X2192" s="75" t="str">
        <f>IF(OR(TH!N2192=TH!$X$7,O2192=TH!$X$7),"x","")</f>
        <v/>
      </c>
      <c r="Y2192" s="75" t="str">
        <f>IF(AND(OR(N2192="131",O2192="131"),H2192='131-CT'!$H$9),"x","")</f>
        <v/>
      </c>
      <c r="Z2192" s="75"/>
      <c r="AA2192" s="75" t="str">
        <f>IF(AND(MONTH(E2192)='IN-NX'!$J$5,'IN-NX'!$D$7=D2192),"x","")</f>
        <v/>
      </c>
      <c r="AB2192" s="75" t="str">
        <f>IF(AND(OR(LEFT(TH!N2192,2)="15",LEFT(TH!O2192,2)="15"),LEFT(TH!O2192,3)&lt;&gt;"111",'152-CT'!$J$8=TH!F2192),"x","")</f>
        <v/>
      </c>
      <c r="AC2192" s="75" t="str">
        <f>IF(AND(OR(LEFT(TH!N2192,2)="15",LEFT(TH!O2192,2)="15"),TK!$E$7=TH!F2192),"x","")</f>
        <v/>
      </c>
      <c r="AD2192" s="75" t="str">
        <f>IF(AND(N2192="1521",MONTH(C2192)='BK-NL'!$M$11),"x","")</f>
        <v/>
      </c>
    </row>
    <row r="2193" spans="1:32" ht="16.5" customHeight="1">
      <c r="A2193" s="309" t="str">
        <f>IF(B2193&lt;&gt;"",IF(AND(B2193='IN-TC'!$S$4,OR(TH!N2193="1111",TH!O2193="1111")),TH!D2193,""),"")</f>
        <v/>
      </c>
      <c r="B2193" s="1245">
        <f t="shared" ref="B2193:B2200" si="682">IF(C2193&lt;&gt;"",MONTH(C2193),"")</f>
        <v>11</v>
      </c>
      <c r="C2193" s="252">
        <v>43069</v>
      </c>
      <c r="D2193" s="252" t="s">
        <v>1417</v>
      </c>
      <c r="E2193" s="252">
        <f t="shared" si="680"/>
        <v>43069</v>
      </c>
      <c r="F2193" s="1055" t="s">
        <v>1621</v>
      </c>
      <c r="G2193" s="1056" t="s">
        <v>2751</v>
      </c>
      <c r="H2193" s="735" t="s">
        <v>802</v>
      </c>
      <c r="I2193" s="371">
        <v>100</v>
      </c>
      <c r="J2193" s="371">
        <v>156000</v>
      </c>
      <c r="K2193" s="371"/>
      <c r="L2193" s="377"/>
      <c r="M2193" s="933">
        <f t="shared" ref="M2193:M2199" si="683">ROUND(I2193*J2193,0)</f>
        <v>15600000</v>
      </c>
      <c r="N2193" s="977" t="s">
        <v>536</v>
      </c>
      <c r="O2193" s="977" t="s">
        <v>286</v>
      </c>
      <c r="P2193" s="75" t="str">
        <f>IF(AND('331-CT'!$E$7=TH!H2193,OR(N2193="331",O2193="331")),"x","")</f>
        <v/>
      </c>
      <c r="Q2193" s="75" t="str">
        <f>IF(AND(B2193='111'!$L$11,OR($N2193=$Q$7,$O2193=$Q$7)),"x","")</f>
        <v/>
      </c>
      <c r="R2193" s="75" t="str">
        <f>IF(AND($N2193=$Q$7,$B2193&lt;'111'!$L$11),"x","")</f>
        <v/>
      </c>
      <c r="S2193" s="75" t="str">
        <f>IF(AND($O2193=$Q$7,$B2193&lt;'111'!$L$11),"x","")</f>
        <v/>
      </c>
      <c r="T2193" s="75" t="str">
        <f>IF(ISERROR(FIND('112'!$M$9,G2193,1)),"",IF((AND(FIND('112'!$M$9,G2193,1)&gt;=1,B2193='112'!$K$9,OR($N2193='112'!$I$6,$O2193='112'!$I$6))),"x",""))</f>
        <v/>
      </c>
      <c r="U2193" s="75" t="str">
        <f>IF(ISERROR(FIND('112'!$M$9,G2193,1)),"",IF((AND(LEFT(G2193,2)=LEFT('112'!$M$9,2),B2193&lt;'112'!$K$9,$N2193='112'!$I$6)),"x",""))</f>
        <v/>
      </c>
      <c r="V2193" s="75" t="str">
        <f>IF(ISERROR(FIND('112'!$M$9,G2193,1)),"",IF((AND(RIGHT(G2193,2)=RIGHT('112'!$M$9,2),B2193&lt;'112'!$K$9,$O2193='112'!$I$6)),"x",""))</f>
        <v/>
      </c>
      <c r="W2193" s="75" t="str">
        <f>IF(AND('341-CT'!$H$9=H2193,OR(LEFT(N2193,3)=$W$7,LEFT(O2193,3)=$W$7)),"x","")</f>
        <v/>
      </c>
      <c r="X2193" s="75" t="str">
        <f>IF(OR(TH!N2193=TH!$X$7,O2193=TH!$X$7),"x","")</f>
        <v/>
      </c>
      <c r="Y2193" s="75" t="str">
        <f>IF(AND(OR(N2193="131",O2193="131"),H2193='131-CT'!$H$9),"x","")</f>
        <v/>
      </c>
      <c r="Z2193" s="75"/>
      <c r="AA2193" s="75" t="str">
        <f>IF(AND(MONTH(E2193)='IN-NX'!$J$5,'IN-NX'!$D$7=D2193),"x","")</f>
        <v/>
      </c>
      <c r="AB2193" s="75" t="str">
        <f>IF(AND(OR(LEFT(TH!N2193,2)="15",LEFT(TH!O2193,2)="15"),LEFT(TH!O2193,3)&lt;&gt;"111",'152-CT'!$J$8=TH!F2193),"x","")</f>
        <v/>
      </c>
      <c r="AC2193" s="75" t="str">
        <f>IF(AND(OR(LEFT(TH!N2193,2)="15",LEFT(TH!O2193,2)="15"),TK!$E$7=TH!F2193),"x","")</f>
        <v/>
      </c>
      <c r="AD2193" s="75" t="str">
        <f>IF(AND(N2193="1521",MONTH(C2193)='BK-NL'!$M$11),"x","")</f>
        <v/>
      </c>
    </row>
    <row r="2194" spans="1:32" ht="16.5" customHeight="1">
      <c r="A2194" s="309" t="str">
        <f>IF(B2194&lt;&gt;"",IF(AND(B2194='IN-TC'!$S$4,OR(TH!N2194="1111",TH!O2194="1111")),TH!D2194,""),"")</f>
        <v/>
      </c>
      <c r="B2194" s="1245">
        <f t="shared" si="682"/>
        <v>11</v>
      </c>
      <c r="C2194" s="252">
        <v>43069</v>
      </c>
      <c r="D2194" s="252" t="s">
        <v>1417</v>
      </c>
      <c r="E2194" s="252">
        <f t="shared" si="680"/>
        <v>43069</v>
      </c>
      <c r="F2194" s="1055" t="s">
        <v>2477</v>
      </c>
      <c r="G2194" s="1056" t="s">
        <v>2751</v>
      </c>
      <c r="H2194" s="735" t="s">
        <v>802</v>
      </c>
      <c r="I2194" s="371">
        <v>60</v>
      </c>
      <c r="J2194" s="371">
        <v>150000</v>
      </c>
      <c r="K2194" s="371"/>
      <c r="L2194" s="377"/>
      <c r="M2194" s="933">
        <f t="shared" si="683"/>
        <v>9000000</v>
      </c>
      <c r="N2194" s="977" t="s">
        <v>536</v>
      </c>
      <c r="O2194" s="977" t="s">
        <v>286</v>
      </c>
      <c r="P2194" s="75" t="str">
        <f>IF(AND('331-CT'!$E$7=TH!H2194,OR(N2194="331",O2194="331")),"x","")</f>
        <v/>
      </c>
      <c r="Q2194" s="75" t="str">
        <f>IF(AND(B2194='111'!$L$11,OR($N2194=$Q$7,$O2194=$Q$7)),"x","")</f>
        <v/>
      </c>
      <c r="R2194" s="75" t="str">
        <f>IF(AND($N2194=$Q$7,$B2194&lt;'111'!$L$11),"x","")</f>
        <v/>
      </c>
      <c r="S2194" s="75" t="str">
        <f>IF(AND($O2194=$Q$7,$B2194&lt;'111'!$L$11),"x","")</f>
        <v/>
      </c>
      <c r="T2194" s="75" t="str">
        <f>IF(ISERROR(FIND('112'!$M$9,G2194,1)),"",IF((AND(FIND('112'!$M$9,G2194,1)&gt;=1,B2194='112'!$K$9,OR($N2194='112'!$I$6,$O2194='112'!$I$6))),"x",""))</f>
        <v/>
      </c>
      <c r="U2194" s="75" t="str">
        <f>IF(ISERROR(FIND('112'!$M$9,G2194,1)),"",IF((AND(LEFT(G2194,2)=LEFT('112'!$M$9,2),B2194&lt;'112'!$K$9,$N2194='112'!$I$6)),"x",""))</f>
        <v/>
      </c>
      <c r="V2194" s="75" t="str">
        <f>IF(ISERROR(FIND('112'!$M$9,G2194,1)),"",IF((AND(RIGHT(G2194,2)=RIGHT('112'!$M$9,2),B2194&lt;'112'!$K$9,$O2194='112'!$I$6)),"x",""))</f>
        <v/>
      </c>
      <c r="W2194" s="75" t="str">
        <f>IF(AND('341-CT'!$H$9=H2194,OR(LEFT(N2194,3)=$W$7,LEFT(O2194,3)=$W$7)),"x","")</f>
        <v/>
      </c>
      <c r="X2194" s="75" t="str">
        <f>IF(OR(TH!N2194=TH!$X$7,O2194=TH!$X$7),"x","")</f>
        <v/>
      </c>
      <c r="Y2194" s="75" t="str">
        <f>IF(AND(OR(N2194="131",O2194="131"),H2194='131-CT'!$H$9),"x","")</f>
        <v/>
      </c>
      <c r="Z2194" s="75"/>
      <c r="AA2194" s="75" t="str">
        <f>IF(AND(MONTH(E2194)='IN-NX'!$J$5,'IN-NX'!$D$7=D2194),"x","")</f>
        <v/>
      </c>
      <c r="AB2194" s="75" t="str">
        <f>IF(AND(OR(LEFT(TH!N2194,2)="15",LEFT(TH!O2194,2)="15"),LEFT(TH!O2194,3)&lt;&gt;"111",'152-CT'!$J$8=TH!F2194),"x","")</f>
        <v/>
      </c>
      <c r="AC2194" s="75" t="str">
        <f>IF(AND(OR(LEFT(TH!N2194,2)="15",LEFT(TH!O2194,2)="15"),TK!$E$7=TH!F2194),"x","")</f>
        <v/>
      </c>
      <c r="AD2194" s="75" t="str">
        <f>IF(AND(N2194="1521",MONTH(C2194)='BK-NL'!$M$11),"x","")</f>
        <v/>
      </c>
    </row>
    <row r="2195" spans="1:32" ht="16.5" customHeight="1">
      <c r="A2195" s="309" t="str">
        <f>IF(B2195&lt;&gt;"",IF(AND(B2195='IN-TC'!$S$4,OR(TH!N2195="1111",TH!O2195="1111")),TH!D2195,""),"")</f>
        <v/>
      </c>
      <c r="B2195" s="1245">
        <f t="shared" si="682"/>
        <v>11</v>
      </c>
      <c r="C2195" s="252">
        <v>43069</v>
      </c>
      <c r="D2195" s="252" t="s">
        <v>1417</v>
      </c>
      <c r="E2195" s="252">
        <f t="shared" si="680"/>
        <v>43069</v>
      </c>
      <c r="F2195" s="1055" t="s">
        <v>1107</v>
      </c>
      <c r="G2195" s="1056" t="s">
        <v>2751</v>
      </c>
      <c r="H2195" s="735" t="s">
        <v>802</v>
      </c>
      <c r="I2195" s="371">
        <v>20</v>
      </c>
      <c r="J2195" s="371">
        <v>210000</v>
      </c>
      <c r="K2195" s="371"/>
      <c r="L2195" s="377"/>
      <c r="M2195" s="933">
        <f t="shared" si="683"/>
        <v>4200000</v>
      </c>
      <c r="N2195" s="977" t="s">
        <v>536</v>
      </c>
      <c r="O2195" s="977" t="s">
        <v>286</v>
      </c>
      <c r="P2195" s="75" t="str">
        <f>IF(AND('331-CT'!$E$7=TH!H2195,OR(N2195="331",O2195="331")),"x","")</f>
        <v/>
      </c>
      <c r="Q2195" s="75" t="str">
        <f>IF(AND(B2195='111'!$L$11,OR($N2195=$Q$7,$O2195=$Q$7)),"x","")</f>
        <v/>
      </c>
      <c r="R2195" s="75" t="str">
        <f>IF(AND($N2195=$Q$7,$B2195&lt;'111'!$L$11),"x","")</f>
        <v/>
      </c>
      <c r="S2195" s="75" t="str">
        <f>IF(AND($O2195=$Q$7,$B2195&lt;'111'!$L$11),"x","")</f>
        <v/>
      </c>
      <c r="T2195" s="75" t="str">
        <f>IF(ISERROR(FIND('112'!$M$9,G2195,1)),"",IF((AND(FIND('112'!$M$9,G2195,1)&gt;=1,B2195='112'!$K$9,OR($N2195='112'!$I$6,$O2195='112'!$I$6))),"x",""))</f>
        <v/>
      </c>
      <c r="U2195" s="75" t="str">
        <f>IF(ISERROR(FIND('112'!$M$9,G2195,1)),"",IF((AND(LEFT(G2195,2)=LEFT('112'!$M$9,2),B2195&lt;'112'!$K$9,$N2195='112'!$I$6)),"x",""))</f>
        <v/>
      </c>
      <c r="V2195" s="75" t="str">
        <f>IF(ISERROR(FIND('112'!$M$9,G2195,1)),"",IF((AND(RIGHT(G2195,2)=RIGHT('112'!$M$9,2),B2195&lt;'112'!$K$9,$O2195='112'!$I$6)),"x",""))</f>
        <v/>
      </c>
      <c r="W2195" s="75" t="str">
        <f>IF(AND('341-CT'!$H$9=H2195,OR(LEFT(N2195,3)=$W$7,LEFT(O2195,3)=$W$7)),"x","")</f>
        <v/>
      </c>
      <c r="X2195" s="75" t="str">
        <f>IF(OR(TH!N2195=TH!$X$7,O2195=TH!$X$7),"x","")</f>
        <v/>
      </c>
      <c r="Y2195" s="75" t="str">
        <f>IF(AND(OR(N2195="131",O2195="131"),H2195='131-CT'!$H$9),"x","")</f>
        <v/>
      </c>
      <c r="Z2195" s="75"/>
      <c r="AA2195" s="75" t="str">
        <f>IF(AND(MONTH(E2195)='IN-NX'!$J$5,'IN-NX'!$D$7=D2195),"x","")</f>
        <v/>
      </c>
      <c r="AB2195" s="75" t="str">
        <f>IF(AND(OR(LEFT(TH!N2195,2)="15",LEFT(TH!O2195,2)="15"),LEFT(TH!O2195,3)&lt;&gt;"111",'152-CT'!$J$8=TH!F2195),"x","")</f>
        <v/>
      </c>
      <c r="AC2195" s="75" t="str">
        <f>IF(AND(OR(LEFT(TH!N2195,2)="15",LEFT(TH!O2195,2)="15"),TK!$E$7=TH!F2195),"x","")</f>
        <v/>
      </c>
      <c r="AD2195" s="75" t="str">
        <f>IF(AND(N2195="1521",MONTH(C2195)='BK-NL'!$M$11),"x","")</f>
        <v/>
      </c>
    </row>
    <row r="2196" spans="1:32" ht="16.5" customHeight="1">
      <c r="A2196" s="309" t="str">
        <f>IF(B2196&lt;&gt;"",IF(AND(B2196='IN-TC'!$S$4,OR(TH!N2196="1111",TH!O2196="1111")),TH!D2196,""),"")</f>
        <v/>
      </c>
      <c r="B2196" s="1245">
        <f t="shared" si="682"/>
        <v>11</v>
      </c>
      <c r="C2196" s="252">
        <v>43069</v>
      </c>
      <c r="D2196" s="252" t="s">
        <v>1417</v>
      </c>
      <c r="E2196" s="252">
        <f t="shared" si="680"/>
        <v>43069</v>
      </c>
      <c r="F2196" s="1055" t="s">
        <v>800</v>
      </c>
      <c r="G2196" s="1056" t="s">
        <v>2751</v>
      </c>
      <c r="H2196" s="735" t="s">
        <v>802</v>
      </c>
      <c r="I2196" s="371">
        <v>60</v>
      </c>
      <c r="J2196" s="371">
        <v>185000</v>
      </c>
      <c r="K2196" s="371"/>
      <c r="L2196" s="377"/>
      <c r="M2196" s="933">
        <f t="shared" si="683"/>
        <v>11100000</v>
      </c>
      <c r="N2196" s="977" t="s">
        <v>536</v>
      </c>
      <c r="O2196" s="977" t="s">
        <v>286</v>
      </c>
      <c r="P2196" s="75" t="str">
        <f>IF(AND('331-CT'!$E$7=TH!H2196,OR(N2196="331",O2196="331")),"x","")</f>
        <v/>
      </c>
      <c r="Q2196" s="75" t="str">
        <f>IF(AND(B2196='111'!$L$11,OR($N2196=$Q$7,$O2196=$Q$7)),"x","")</f>
        <v/>
      </c>
      <c r="R2196" s="75" t="str">
        <f>IF(AND($N2196=$Q$7,$B2196&lt;'111'!$L$11),"x","")</f>
        <v/>
      </c>
      <c r="S2196" s="75" t="str">
        <f>IF(AND($O2196=$Q$7,$B2196&lt;'111'!$L$11),"x","")</f>
        <v/>
      </c>
      <c r="T2196" s="75" t="str">
        <f>IF(ISERROR(FIND('112'!$M$9,G2196,1)),"",IF((AND(FIND('112'!$M$9,G2196,1)&gt;=1,B2196='112'!$K$9,OR($N2196='112'!$I$6,$O2196='112'!$I$6))),"x",""))</f>
        <v/>
      </c>
      <c r="U2196" s="75" t="str">
        <f>IF(ISERROR(FIND('112'!$M$9,G2196,1)),"",IF((AND(LEFT(G2196,2)=LEFT('112'!$M$9,2),B2196&lt;'112'!$K$9,$N2196='112'!$I$6)),"x",""))</f>
        <v/>
      </c>
      <c r="V2196" s="75" t="str">
        <f>IF(ISERROR(FIND('112'!$M$9,G2196,1)),"",IF((AND(RIGHT(G2196,2)=RIGHT('112'!$M$9,2),B2196&lt;'112'!$K$9,$O2196='112'!$I$6)),"x",""))</f>
        <v/>
      </c>
      <c r="W2196" s="75" t="str">
        <f>IF(AND('341-CT'!$H$9=H2196,OR(LEFT(N2196,3)=$W$7,LEFT(O2196,3)=$W$7)),"x","")</f>
        <v/>
      </c>
      <c r="X2196" s="75" t="str">
        <f>IF(OR(TH!N2196=TH!$X$7,O2196=TH!$X$7),"x","")</f>
        <v/>
      </c>
      <c r="Y2196" s="75" t="str">
        <f>IF(AND(OR(N2196="131",O2196="131"),H2196='131-CT'!$H$9),"x","")</f>
        <v/>
      </c>
      <c r="Z2196" s="75"/>
      <c r="AA2196" s="75" t="str">
        <f>IF(AND(MONTH(E2196)='IN-NX'!$J$5,'IN-NX'!$D$7=D2196),"x","")</f>
        <v/>
      </c>
      <c r="AB2196" s="75" t="str">
        <f>IF(AND(OR(LEFT(TH!N2196,2)="15",LEFT(TH!O2196,2)="15"),LEFT(TH!O2196,3)&lt;&gt;"111",'152-CT'!$J$8=TH!F2196),"x","")</f>
        <v/>
      </c>
      <c r="AC2196" s="75" t="str">
        <f>IF(AND(OR(LEFT(TH!N2196,2)="15",LEFT(TH!O2196,2)="15"),TK!$E$7=TH!F2196),"x","")</f>
        <v/>
      </c>
      <c r="AD2196" s="75" t="str">
        <f>IF(AND(N2196="1521",MONTH(C2196)='BK-NL'!$M$11),"x","")</f>
        <v/>
      </c>
    </row>
    <row r="2197" spans="1:32" ht="16.5" customHeight="1">
      <c r="A2197" s="309" t="str">
        <f>IF(B2197&lt;&gt;"",IF(AND(B2197='IN-TC'!$S$4,OR(TH!N2197="1111",TH!O2197="1111")),TH!D2197,""),"")</f>
        <v/>
      </c>
      <c r="B2197" s="1245">
        <f t="shared" si="682"/>
        <v>11</v>
      </c>
      <c r="C2197" s="252">
        <v>43069</v>
      </c>
      <c r="D2197" s="252" t="s">
        <v>1417</v>
      </c>
      <c r="E2197" s="252">
        <f t="shared" si="680"/>
        <v>43069</v>
      </c>
      <c r="F2197" s="1055" t="s">
        <v>1620</v>
      </c>
      <c r="G2197" s="1056" t="s">
        <v>2751</v>
      </c>
      <c r="H2197" s="735" t="s">
        <v>802</v>
      </c>
      <c r="I2197" s="371">
        <v>20</v>
      </c>
      <c r="J2197" s="371">
        <v>280000</v>
      </c>
      <c r="K2197" s="371"/>
      <c r="L2197" s="377"/>
      <c r="M2197" s="933">
        <f t="shared" si="683"/>
        <v>5600000</v>
      </c>
      <c r="N2197" s="977" t="s">
        <v>536</v>
      </c>
      <c r="O2197" s="977" t="s">
        <v>286</v>
      </c>
      <c r="P2197" s="75" t="str">
        <f>IF(AND('331-CT'!$E$7=TH!H2197,OR(N2197="331",O2197="331")),"x","")</f>
        <v/>
      </c>
      <c r="Q2197" s="75" t="str">
        <f>IF(AND(B2197='111'!$L$11,OR($N2197=$Q$7,$O2197=$Q$7)),"x","")</f>
        <v/>
      </c>
      <c r="R2197" s="75" t="str">
        <f>IF(AND($N2197=$Q$7,$B2197&lt;'111'!$L$11),"x","")</f>
        <v/>
      </c>
      <c r="S2197" s="75" t="str">
        <f>IF(AND($O2197=$Q$7,$B2197&lt;'111'!$L$11),"x","")</f>
        <v/>
      </c>
      <c r="T2197" s="75" t="str">
        <f>IF(ISERROR(FIND('112'!$M$9,G2197,1)),"",IF((AND(FIND('112'!$M$9,G2197,1)&gt;=1,B2197='112'!$K$9,OR($N2197='112'!$I$6,$O2197='112'!$I$6))),"x",""))</f>
        <v/>
      </c>
      <c r="U2197" s="75" t="str">
        <f>IF(ISERROR(FIND('112'!$M$9,G2197,1)),"",IF((AND(LEFT(G2197,2)=LEFT('112'!$M$9,2),B2197&lt;'112'!$K$9,$N2197='112'!$I$6)),"x",""))</f>
        <v/>
      </c>
      <c r="V2197" s="75" t="str">
        <f>IF(ISERROR(FIND('112'!$M$9,G2197,1)),"",IF((AND(RIGHT(G2197,2)=RIGHT('112'!$M$9,2),B2197&lt;'112'!$K$9,$O2197='112'!$I$6)),"x",""))</f>
        <v/>
      </c>
      <c r="W2197" s="75" t="str">
        <f>IF(AND('341-CT'!$H$9=H2197,OR(LEFT(N2197,3)=$W$7,LEFT(O2197,3)=$W$7)),"x","")</f>
        <v/>
      </c>
      <c r="X2197" s="75" t="str">
        <f>IF(OR(TH!N2197=TH!$X$7,O2197=TH!$X$7),"x","")</f>
        <v/>
      </c>
      <c r="Y2197" s="75" t="str">
        <f>IF(AND(OR(N2197="131",O2197="131"),H2197='131-CT'!$H$9),"x","")</f>
        <v/>
      </c>
      <c r="Z2197" s="75"/>
      <c r="AA2197" s="75" t="str">
        <f>IF(AND(MONTH(E2197)='IN-NX'!$J$5,'IN-NX'!$D$7=D2197),"x","")</f>
        <v/>
      </c>
      <c r="AB2197" s="75" t="str">
        <f>IF(AND(OR(LEFT(TH!N2197,2)="15",LEFT(TH!O2197,2)="15"),LEFT(TH!O2197,3)&lt;&gt;"111",'152-CT'!$J$8=TH!F2197),"x","")</f>
        <v/>
      </c>
      <c r="AC2197" s="75" t="str">
        <f>IF(AND(OR(LEFT(TH!N2197,2)="15",LEFT(TH!O2197,2)="15"),TK!$E$7=TH!F2197),"x","")</f>
        <v/>
      </c>
      <c r="AD2197" s="75" t="str">
        <f>IF(AND(N2197="1521",MONTH(C2197)='BK-NL'!$M$11),"x","")</f>
        <v/>
      </c>
    </row>
    <row r="2198" spans="1:32" ht="16.5" customHeight="1">
      <c r="A2198" s="309" t="str">
        <f>IF(B2198&lt;&gt;"",IF(AND(B2198='IN-TC'!$S$4,OR(TH!N2198="1111",TH!O2198="1111")),TH!D2198,""),"")</f>
        <v/>
      </c>
      <c r="B2198" s="1245">
        <f t="shared" si="682"/>
        <v>11</v>
      </c>
      <c r="C2198" s="252">
        <v>43069</v>
      </c>
      <c r="D2198" s="252" t="s">
        <v>1417</v>
      </c>
      <c r="E2198" s="252">
        <f t="shared" si="680"/>
        <v>43069</v>
      </c>
      <c r="F2198" s="1055" t="s">
        <v>418</v>
      </c>
      <c r="G2198" s="1056" t="s">
        <v>2751</v>
      </c>
      <c r="H2198" s="735" t="s">
        <v>802</v>
      </c>
      <c r="I2198" s="371">
        <v>60</v>
      </c>
      <c r="J2198" s="371">
        <v>100000</v>
      </c>
      <c r="K2198" s="371"/>
      <c r="L2198" s="377"/>
      <c r="M2198" s="933">
        <f t="shared" si="683"/>
        <v>6000000</v>
      </c>
      <c r="N2198" s="977" t="s">
        <v>536</v>
      </c>
      <c r="O2198" s="977" t="s">
        <v>286</v>
      </c>
      <c r="P2198" s="75" t="str">
        <f>IF(AND('331-CT'!$E$7=TH!H2198,OR(N2198="331",O2198="331")),"x","")</f>
        <v/>
      </c>
      <c r="Q2198" s="75" t="str">
        <f>IF(AND(B2198='111'!$L$11,OR($N2198=$Q$7,$O2198=$Q$7)),"x","")</f>
        <v/>
      </c>
      <c r="R2198" s="75" t="str">
        <f>IF(AND($N2198=$Q$7,$B2198&lt;'111'!$L$11),"x","")</f>
        <v/>
      </c>
      <c r="S2198" s="75" t="str">
        <f>IF(AND($O2198=$Q$7,$B2198&lt;'111'!$L$11),"x","")</f>
        <v/>
      </c>
      <c r="T2198" s="75" t="str">
        <f>IF(ISERROR(FIND('112'!$M$9,G2198,1)),"",IF((AND(FIND('112'!$M$9,G2198,1)&gt;=1,B2198='112'!$K$9,OR($N2198='112'!$I$6,$O2198='112'!$I$6))),"x",""))</f>
        <v/>
      </c>
      <c r="U2198" s="75" t="str">
        <f>IF(ISERROR(FIND('112'!$M$9,G2198,1)),"",IF((AND(LEFT(G2198,2)=LEFT('112'!$M$9,2),B2198&lt;'112'!$K$9,$N2198='112'!$I$6)),"x",""))</f>
        <v/>
      </c>
      <c r="V2198" s="75" t="str">
        <f>IF(ISERROR(FIND('112'!$M$9,G2198,1)),"",IF((AND(RIGHT(G2198,2)=RIGHT('112'!$M$9,2),B2198&lt;'112'!$K$9,$O2198='112'!$I$6)),"x",""))</f>
        <v/>
      </c>
      <c r="W2198" s="75" t="str">
        <f>IF(AND('341-CT'!$H$9=H2198,OR(LEFT(N2198,3)=$W$7,LEFT(O2198,3)=$W$7)),"x","")</f>
        <v/>
      </c>
      <c r="X2198" s="75" t="str">
        <f>IF(OR(TH!N2198=TH!$X$7,O2198=TH!$X$7),"x","")</f>
        <v/>
      </c>
      <c r="Y2198" s="75" t="str">
        <f>IF(AND(OR(N2198="131",O2198="131"),H2198='131-CT'!$H$9),"x","")</f>
        <v/>
      </c>
      <c r="Z2198" s="75"/>
      <c r="AA2198" s="75" t="str">
        <f>IF(AND(MONTH(E2198)='IN-NX'!$J$5,'IN-NX'!$D$7=D2198),"x","")</f>
        <v/>
      </c>
      <c r="AB2198" s="75" t="str">
        <f>IF(AND(OR(LEFT(TH!N2198,2)="15",LEFT(TH!O2198,2)="15"),LEFT(TH!O2198,3)&lt;&gt;"111",'152-CT'!$J$8=TH!F2198),"x","")</f>
        <v/>
      </c>
      <c r="AC2198" s="75" t="str">
        <f>IF(AND(OR(LEFT(TH!N2198,2)="15",LEFT(TH!O2198,2)="15"),TK!$E$7=TH!F2198),"x","")</f>
        <v/>
      </c>
      <c r="AD2198" s="75" t="str">
        <f>IF(AND(N2198="1521",MONTH(C2198)='BK-NL'!$M$11),"x","")</f>
        <v/>
      </c>
    </row>
    <row r="2199" spans="1:32" ht="16.5" customHeight="1">
      <c r="A2199" s="309" t="str">
        <f>IF(B2199&lt;&gt;"",IF(AND(B2199='IN-TC'!$S$4,OR(TH!N2199="1111",TH!O2199="1111")),TH!D2199,""),"")</f>
        <v/>
      </c>
      <c r="B2199" s="1245">
        <f t="shared" ref="B2199" si="684">IF(C2199&lt;&gt;"",MONTH(C2199),"")</f>
        <v>11</v>
      </c>
      <c r="C2199" s="252">
        <v>43069</v>
      </c>
      <c r="D2199" s="252" t="s">
        <v>1417</v>
      </c>
      <c r="E2199" s="252">
        <f t="shared" ref="E2199" si="685">C2199</f>
        <v>43069</v>
      </c>
      <c r="F2199" s="1055" t="s">
        <v>799</v>
      </c>
      <c r="G2199" s="1056" t="s">
        <v>2751</v>
      </c>
      <c r="H2199" s="735" t="s">
        <v>802</v>
      </c>
      <c r="I2199" s="371">
        <v>40</v>
      </c>
      <c r="J2199" s="371">
        <v>220000</v>
      </c>
      <c r="K2199" s="371"/>
      <c r="L2199" s="377"/>
      <c r="M2199" s="933">
        <f t="shared" si="683"/>
        <v>8800000</v>
      </c>
      <c r="N2199" s="977" t="s">
        <v>536</v>
      </c>
      <c r="O2199" s="977" t="s">
        <v>286</v>
      </c>
      <c r="P2199" s="75" t="str">
        <f>IF(AND('331-CT'!$E$7=TH!H2199,OR(N2199="331",O2199="331")),"x","")</f>
        <v/>
      </c>
      <c r="Q2199" s="75" t="str">
        <f>IF(AND(B2199='111'!$L$11,OR($N2199=$Q$7,$O2199=$Q$7)),"x","")</f>
        <v/>
      </c>
      <c r="R2199" s="75" t="str">
        <f>IF(AND($N2199=$Q$7,$B2199&lt;'111'!$L$11),"x","")</f>
        <v/>
      </c>
      <c r="S2199" s="75" t="str">
        <f>IF(AND($O2199=$Q$7,$B2199&lt;'111'!$L$11),"x","")</f>
        <v/>
      </c>
      <c r="T2199" s="75" t="str">
        <f>IF(ISERROR(FIND('112'!$M$9,G2199,1)),"",IF((AND(FIND('112'!$M$9,G2199,1)&gt;=1,B2199='112'!$K$9,OR($N2199='112'!$I$6,$O2199='112'!$I$6))),"x",""))</f>
        <v/>
      </c>
      <c r="U2199" s="75" t="str">
        <f>IF(ISERROR(FIND('112'!$M$9,G2199,1)),"",IF((AND(LEFT(G2199,2)=LEFT('112'!$M$9,2),B2199&lt;'112'!$K$9,$N2199='112'!$I$6)),"x",""))</f>
        <v/>
      </c>
      <c r="V2199" s="75" t="str">
        <f>IF(ISERROR(FIND('112'!$M$9,G2199,1)),"",IF((AND(RIGHT(G2199,2)=RIGHT('112'!$M$9,2),B2199&lt;'112'!$K$9,$O2199='112'!$I$6)),"x",""))</f>
        <v/>
      </c>
      <c r="W2199" s="75" t="str">
        <f>IF(AND('341-CT'!$H$9=H2199,OR(LEFT(N2199,3)=$W$7,LEFT(O2199,3)=$W$7)),"x","")</f>
        <v/>
      </c>
      <c r="X2199" s="75" t="str">
        <f>IF(OR(TH!N2199=TH!$X$7,O2199=TH!$X$7),"x","")</f>
        <v/>
      </c>
      <c r="Y2199" s="75" t="str">
        <f>IF(AND(OR(N2199="131",O2199="131"),H2199='131-CT'!$H$9),"x","")</f>
        <v/>
      </c>
      <c r="Z2199" s="75"/>
      <c r="AA2199" s="75" t="str">
        <f>IF(AND(MONTH(E2199)='IN-NX'!$J$5,'IN-NX'!$D$7=D2199),"x","")</f>
        <v/>
      </c>
      <c r="AB2199" s="75" t="str">
        <f>IF(AND(OR(LEFT(TH!N2199,2)="15",LEFT(TH!O2199,2)="15"),LEFT(TH!O2199,3)&lt;&gt;"111",'152-CT'!$J$8=TH!F2199),"x","")</f>
        <v/>
      </c>
      <c r="AC2199" s="75" t="str">
        <f>IF(AND(OR(LEFT(TH!N2199,2)="15",LEFT(TH!O2199,2)="15"),TK!$E$7=TH!F2199),"x","")</f>
        <v/>
      </c>
      <c r="AD2199" s="75" t="str">
        <f>IF(AND(N2199="1521",MONTH(C2199)='BK-NL'!$M$11),"x","")</f>
        <v/>
      </c>
    </row>
    <row r="2200" spans="1:32" ht="16.5" customHeight="1">
      <c r="A2200" s="309" t="str">
        <f>IF(B2200&lt;&gt;"",IF(AND(B2200='IN-TC'!$S$4,OR(TH!N2200="1111",TH!O2200="1111")),TH!D2200,""),"")</f>
        <v/>
      </c>
      <c r="B2200" s="1245">
        <f t="shared" si="682"/>
        <v>11</v>
      </c>
      <c r="C2200" s="252">
        <v>43069</v>
      </c>
      <c r="D2200" s="252" t="s">
        <v>1417</v>
      </c>
      <c r="E2200" s="252">
        <f t="shared" si="680"/>
        <v>43069</v>
      </c>
      <c r="F2200" s="1055" t="s">
        <v>895</v>
      </c>
      <c r="G2200" s="1056" t="s">
        <v>2751</v>
      </c>
      <c r="H2200" s="735" t="s">
        <v>802</v>
      </c>
      <c r="I2200" s="371"/>
      <c r="J2200" s="371"/>
      <c r="K2200" s="371"/>
      <c r="L2200" s="377"/>
      <c r="M2200" s="933">
        <v>6030000</v>
      </c>
      <c r="N2200" s="977" t="s">
        <v>536</v>
      </c>
      <c r="O2200" s="977" t="s">
        <v>595</v>
      </c>
      <c r="P2200" s="75" t="str">
        <f>IF(AND('331-CT'!$E$7=TH!H2200,OR(N2200="331",O2200="331")),"x","")</f>
        <v/>
      </c>
      <c r="Q2200" s="75" t="str">
        <f>IF(AND(B2200='111'!$L$11,OR($N2200=$Q$7,$O2200=$Q$7)),"x","")</f>
        <v/>
      </c>
      <c r="R2200" s="75" t="str">
        <f>IF(AND($N2200=$Q$7,$B2200&lt;'111'!$L$11),"x","")</f>
        <v/>
      </c>
      <c r="S2200" s="75" t="str">
        <f>IF(AND($O2200=$Q$7,$B2200&lt;'111'!$L$11),"x","")</f>
        <v/>
      </c>
      <c r="T2200" s="75" t="str">
        <f>IF(ISERROR(FIND('112'!$M$9,G2200,1)),"",IF((AND(FIND('112'!$M$9,G2200,1)&gt;=1,B2200='112'!$K$9,OR($N2200='112'!$I$6,$O2200='112'!$I$6))),"x",""))</f>
        <v/>
      </c>
      <c r="U2200" s="75" t="str">
        <f>IF(ISERROR(FIND('112'!$M$9,G2200,1)),"",IF((AND(LEFT(G2200,2)=LEFT('112'!$M$9,2),B2200&lt;'112'!$K$9,$N2200='112'!$I$6)),"x",""))</f>
        <v/>
      </c>
      <c r="V2200" s="75" t="str">
        <f>IF(ISERROR(FIND('112'!$M$9,G2200,1)),"",IF((AND(RIGHT(G2200,2)=RIGHT('112'!$M$9,2),B2200&lt;'112'!$K$9,$O2200='112'!$I$6)),"x",""))</f>
        <v/>
      </c>
      <c r="W2200" s="75" t="str">
        <f>IF(AND('341-CT'!$H$9=H2200,OR(LEFT(N2200,3)=$W$7,LEFT(O2200,3)=$W$7)),"x","")</f>
        <v/>
      </c>
      <c r="X2200" s="75" t="str">
        <f>IF(OR(TH!N2200=TH!$X$7,O2200=TH!$X$7),"x","")</f>
        <v/>
      </c>
      <c r="Y2200" s="75" t="str">
        <f>IF(AND(OR(N2200="131",O2200="131"),H2200='131-CT'!$H$9),"x","")</f>
        <v/>
      </c>
      <c r="Z2200" s="75"/>
      <c r="AA2200" s="75" t="str">
        <f>IF(AND(MONTH(E2200)='IN-NX'!$J$5,'IN-NX'!$D$7=D2200),"x","")</f>
        <v/>
      </c>
      <c r="AB2200" s="75" t="str">
        <f>IF(AND(OR(LEFT(TH!N2200,2)="15",LEFT(TH!O2200,2)="15"),LEFT(TH!O2200,3)&lt;&gt;"111",'152-CT'!$J$8=TH!F2200),"x","")</f>
        <v/>
      </c>
      <c r="AC2200" s="75" t="str">
        <f>IF(AND(OR(LEFT(TH!N2200,2)="15",LEFT(TH!O2200,2)="15"),TK!$E$7=TH!F2200),"x","")</f>
        <v/>
      </c>
      <c r="AD2200" s="75" t="str">
        <f>IF(AND(N2200="1521",MONTH(C2200)='BK-NL'!$M$11),"x","")</f>
        <v/>
      </c>
    </row>
    <row r="2201" spans="1:32" s="1053" customFormat="1" ht="16.5" customHeight="1">
      <c r="A2201" s="309" t="str">
        <f>IF(B2201&lt;&gt;"",IF(AND(B2201='IN-TC'!$S$4,OR(TH!N2201="1111",TH!O2201="1111")),TH!D2201,""),"")</f>
        <v/>
      </c>
      <c r="B2201" s="1245">
        <f>IF(C2201&lt;&gt;"",MONTH(C2201),"")</f>
        <v>11</v>
      </c>
      <c r="C2201" s="217">
        <v>43049</v>
      </c>
      <c r="D2201" s="217" t="s">
        <v>815</v>
      </c>
      <c r="E2201" s="217">
        <f>C2201</f>
        <v>43049</v>
      </c>
      <c r="F2201" s="960" t="s">
        <v>2531</v>
      </c>
      <c r="G2201" s="739" t="s">
        <v>1267</v>
      </c>
      <c r="H2201" s="311" t="s">
        <v>2528</v>
      </c>
      <c r="I2201" s="373">
        <v>1210</v>
      </c>
      <c r="J2201" s="373">
        <v>680000</v>
      </c>
      <c r="K2201" s="373"/>
      <c r="L2201" s="379"/>
      <c r="M2201" s="927">
        <f>ROUND(I2201*J2201,0)</f>
        <v>822800000</v>
      </c>
      <c r="N2201" s="935" t="s">
        <v>274</v>
      </c>
      <c r="O2201" s="935" t="s">
        <v>8</v>
      </c>
      <c r="P2201" s="75" t="str">
        <f>IF(AND('331-CT'!$E$7=TH!H2201,OR(N2201="331",O2201="331")),"x","")</f>
        <v/>
      </c>
      <c r="Q2201" s="75" t="str">
        <f>IF(AND(B2201='111'!$L$11,OR($N2201=$Q$7,$O2201=$Q$7)),"x","")</f>
        <v/>
      </c>
      <c r="R2201" s="75" t="str">
        <f>IF(AND($N2201=$Q$7,$B2201&lt;'111'!$L$11),"x","")</f>
        <v/>
      </c>
      <c r="S2201" s="75" t="str">
        <f>IF(AND($O2201=$Q$7,$B2201&lt;'111'!$L$11),"x","")</f>
        <v/>
      </c>
      <c r="T2201" s="75" t="str">
        <f>IF(ISERROR(FIND('112'!$M$9,G2201,1)),"",IF((AND(FIND('112'!$M$9,G2201,1)&gt;=1,B2201='112'!$K$9,OR($N2201='112'!$I$6,$O2201='112'!$I$6))),"x",""))</f>
        <v/>
      </c>
      <c r="U2201" s="75" t="str">
        <f>IF(ISERROR(FIND('112'!$M$9,G2201,1)),"",IF((AND(LEFT(G2201,2)=LEFT('112'!$M$9,2),B2201&lt;'112'!$K$9,$N2201='112'!$I$6)),"x",""))</f>
        <v/>
      </c>
      <c r="V2201" s="75" t="str">
        <f>IF(ISERROR(FIND('112'!$M$9,G2201,1)),"",IF((AND(RIGHT(G2201,2)=RIGHT('112'!$M$9,2),B2201&lt;'112'!$K$9,$O2201='112'!$I$6)),"x",""))</f>
        <v/>
      </c>
      <c r="W2201" s="75" t="str">
        <f>IF(AND('341-CT'!$H$9=H2201,OR(LEFT(N2201,3)=$W$7,LEFT(O2201,3)=$W$7)),"x","")</f>
        <v/>
      </c>
      <c r="X2201" s="75" t="str">
        <f>IF(OR(TH!N2201=TH!$X$7,O2201=TH!$X$7),"x","")</f>
        <v/>
      </c>
      <c r="Y2201" s="75" t="str">
        <f>IF(AND(OR(N2201="131",O2201="131"),H2201='131-CT'!$H$9),"x","")</f>
        <v/>
      </c>
      <c r="Z2201" s="75"/>
      <c r="AA2201" s="75" t="str">
        <f>IF(AND(MONTH(E2201)='IN-NX'!$J$5,'IN-NX'!$D$7=D2201),"x","")</f>
        <v/>
      </c>
      <c r="AB2201" s="75" t="str">
        <f>IF(AND(OR(LEFT(TH!N2201,2)="15",LEFT(TH!O2201,2)="15"),LEFT(TH!O2201,3)&lt;&gt;"111",'152-CT'!$J$8=TH!F2201),"x","")</f>
        <v/>
      </c>
      <c r="AC2201" s="75" t="str">
        <f>IF(AND(OR(LEFT(TH!N2201,2)="15",LEFT(TH!O2201,2)="15"),TK!$E$7=TH!F2201),"x","")</f>
        <v/>
      </c>
      <c r="AD2201" s="75" t="str">
        <f>IF(AND(N2201="1521",MONTH(C2201)='BK-NL'!$M$11),"x","")</f>
        <v/>
      </c>
      <c r="AF2201" s="1054"/>
    </row>
    <row r="2202" spans="1:32" s="1053" customFormat="1" ht="16.5" customHeight="1">
      <c r="A2202" s="309" t="str">
        <f>IF(B2202&lt;&gt;"",IF(AND(B2202='IN-TC'!$S$4,OR(TH!N2202="1111",TH!O2202="1111")),TH!D2202,""),"")</f>
        <v/>
      </c>
      <c r="B2202" s="1245">
        <f>IF(C2202&lt;&gt;"",MONTH(C2202),"")</f>
        <v>11</v>
      </c>
      <c r="C2202" s="217">
        <v>43049</v>
      </c>
      <c r="D2202" s="217" t="s">
        <v>815</v>
      </c>
      <c r="E2202" s="217">
        <f t="shared" ref="E2202:E2204" si="686">C2202</f>
        <v>43049</v>
      </c>
      <c r="F2202" s="960" t="s">
        <v>2532</v>
      </c>
      <c r="G2202" s="739" t="s">
        <v>1267</v>
      </c>
      <c r="H2202" s="311" t="s">
        <v>2528</v>
      </c>
      <c r="I2202" s="373">
        <v>1720</v>
      </c>
      <c r="J2202" s="373">
        <v>685000</v>
      </c>
      <c r="K2202" s="373"/>
      <c r="L2202" s="379"/>
      <c r="M2202" s="927">
        <f t="shared" ref="M2202:M2212" si="687">ROUND(I2202*J2202,0)</f>
        <v>1178200000</v>
      </c>
      <c r="N2202" s="935" t="s">
        <v>274</v>
      </c>
      <c r="O2202" s="935" t="s">
        <v>8</v>
      </c>
      <c r="P2202" s="75" t="str">
        <f>IF(AND('331-CT'!$E$7=TH!H2202,OR(N2202="331",O2202="331")),"x","")</f>
        <v/>
      </c>
      <c r="Q2202" s="75" t="str">
        <f>IF(AND(B2202='111'!$L$11,OR($N2202=$Q$7,$O2202=$Q$7)),"x","")</f>
        <v/>
      </c>
      <c r="R2202" s="75" t="str">
        <f>IF(AND($N2202=$Q$7,$B2202&lt;'111'!$L$11),"x","")</f>
        <v/>
      </c>
      <c r="S2202" s="75" t="str">
        <f>IF(AND($O2202=$Q$7,$B2202&lt;'111'!$L$11),"x","")</f>
        <v/>
      </c>
      <c r="T2202" s="75" t="str">
        <f>IF(ISERROR(FIND('112'!$M$9,G2202,1)),"",IF((AND(FIND('112'!$M$9,G2202,1)&gt;=1,B2202='112'!$K$9,OR($N2202='112'!$I$6,$O2202='112'!$I$6))),"x",""))</f>
        <v/>
      </c>
      <c r="U2202" s="75" t="str">
        <f>IF(ISERROR(FIND('112'!$M$9,G2202,1)),"",IF((AND(LEFT(G2202,2)=LEFT('112'!$M$9,2),B2202&lt;'112'!$K$9,$N2202='112'!$I$6)),"x",""))</f>
        <v/>
      </c>
      <c r="V2202" s="75" t="str">
        <f>IF(ISERROR(FIND('112'!$M$9,G2202,1)),"",IF((AND(RIGHT(G2202,2)=RIGHT('112'!$M$9,2),B2202&lt;'112'!$K$9,$O2202='112'!$I$6)),"x",""))</f>
        <v/>
      </c>
      <c r="W2202" s="75" t="str">
        <f>IF(AND('341-CT'!$H$9=H2202,OR(LEFT(N2202,3)=$W$7,LEFT(O2202,3)=$W$7)),"x","")</f>
        <v/>
      </c>
      <c r="X2202" s="75" t="str">
        <f>IF(OR(TH!N2202=TH!$X$7,O2202=TH!$X$7),"x","")</f>
        <v/>
      </c>
      <c r="Y2202" s="75" t="str">
        <f>IF(AND(OR(N2202="131",O2202="131"),H2202='131-CT'!$H$9),"x","")</f>
        <v/>
      </c>
      <c r="Z2202" s="75"/>
      <c r="AA2202" s="75" t="str">
        <f>IF(AND(MONTH(E2202)='IN-NX'!$J$5,'IN-NX'!$D$7=D2202),"x","")</f>
        <v/>
      </c>
      <c r="AB2202" s="75" t="str">
        <f>IF(AND(OR(LEFT(TH!N2202,2)="15",LEFT(TH!O2202,2)="15"),LEFT(TH!O2202,3)&lt;&gt;"111",'152-CT'!$J$8=TH!F2202),"x","")</f>
        <v/>
      </c>
      <c r="AC2202" s="75" t="str">
        <f>IF(AND(OR(LEFT(TH!N2202,2)="15",LEFT(TH!O2202,2)="15"),TK!$E$7=TH!F2202),"x","")</f>
        <v/>
      </c>
      <c r="AD2202" s="75" t="str">
        <f>IF(AND(N2202="1521",MONTH(C2202)='BK-NL'!$M$11),"x","")</f>
        <v/>
      </c>
      <c r="AF2202" s="1054"/>
    </row>
    <row r="2203" spans="1:32" s="1053" customFormat="1" ht="16.5" customHeight="1">
      <c r="A2203" s="309" t="str">
        <f>IF(B2203&lt;&gt;"",IF(AND(B2203='IN-TC'!$S$4,OR(TH!N2203="1111",TH!O2203="1111")),TH!D2203,""),"")</f>
        <v/>
      </c>
      <c r="B2203" s="1245">
        <f>IF(C2203&lt;&gt;"",MONTH(C2203),"")</f>
        <v>11</v>
      </c>
      <c r="C2203" s="217">
        <v>43049</v>
      </c>
      <c r="D2203" s="217" t="s">
        <v>815</v>
      </c>
      <c r="E2203" s="217">
        <f t="shared" si="686"/>
        <v>43049</v>
      </c>
      <c r="F2203" s="960" t="s">
        <v>2533</v>
      </c>
      <c r="G2203" s="739" t="s">
        <v>1267</v>
      </c>
      <c r="H2203" s="311" t="s">
        <v>2528</v>
      </c>
      <c r="I2203" s="373">
        <v>1010</v>
      </c>
      <c r="J2203" s="373">
        <v>675000</v>
      </c>
      <c r="K2203" s="373"/>
      <c r="L2203" s="379"/>
      <c r="M2203" s="927">
        <f t="shared" si="687"/>
        <v>681750000</v>
      </c>
      <c r="N2203" s="935" t="s">
        <v>274</v>
      </c>
      <c r="O2203" s="935" t="s">
        <v>8</v>
      </c>
      <c r="P2203" s="75" t="str">
        <f>IF(AND('331-CT'!$E$7=TH!H2203,OR(N2203="331",O2203="331")),"x","")</f>
        <v/>
      </c>
      <c r="Q2203" s="75" t="str">
        <f>IF(AND(B2203='111'!$L$11,OR($N2203=$Q$7,$O2203=$Q$7)),"x","")</f>
        <v/>
      </c>
      <c r="R2203" s="75" t="str">
        <f>IF(AND($N2203=$Q$7,$B2203&lt;'111'!$L$11),"x","")</f>
        <v/>
      </c>
      <c r="S2203" s="75" t="str">
        <f>IF(AND($O2203=$Q$7,$B2203&lt;'111'!$L$11),"x","")</f>
        <v/>
      </c>
      <c r="T2203" s="75" t="str">
        <f>IF(ISERROR(FIND('112'!$M$9,G2203,1)),"",IF((AND(FIND('112'!$M$9,G2203,1)&gt;=1,B2203='112'!$K$9,OR($N2203='112'!$I$6,$O2203='112'!$I$6))),"x",""))</f>
        <v/>
      </c>
      <c r="U2203" s="75" t="str">
        <f>IF(ISERROR(FIND('112'!$M$9,G2203,1)),"",IF((AND(LEFT(G2203,2)=LEFT('112'!$M$9,2),B2203&lt;'112'!$K$9,$N2203='112'!$I$6)),"x",""))</f>
        <v/>
      </c>
      <c r="V2203" s="75" t="str">
        <f>IF(ISERROR(FIND('112'!$M$9,G2203,1)),"",IF((AND(RIGHT(G2203,2)=RIGHT('112'!$M$9,2),B2203&lt;'112'!$K$9,$O2203='112'!$I$6)),"x",""))</f>
        <v/>
      </c>
      <c r="W2203" s="75" t="str">
        <f>IF(AND('341-CT'!$H$9=H2203,OR(LEFT(N2203,3)=$W$7,LEFT(O2203,3)=$W$7)),"x","")</f>
        <v/>
      </c>
      <c r="X2203" s="75" t="str">
        <f>IF(OR(TH!N2203=TH!$X$7,O2203=TH!$X$7),"x","")</f>
        <v/>
      </c>
      <c r="Y2203" s="75" t="str">
        <f>IF(AND(OR(N2203="131",O2203="131"),H2203='131-CT'!$H$9),"x","")</f>
        <v/>
      </c>
      <c r="Z2203" s="75"/>
      <c r="AA2203" s="75" t="str">
        <f>IF(AND(MONTH(E2203)='IN-NX'!$J$5,'IN-NX'!$D$7=D2203),"x","")</f>
        <v/>
      </c>
      <c r="AB2203" s="75" t="str">
        <f>IF(AND(OR(LEFT(TH!N2203,2)="15",LEFT(TH!O2203,2)="15"),LEFT(TH!O2203,3)&lt;&gt;"111",'152-CT'!$J$8=TH!F2203),"x","")</f>
        <v/>
      </c>
      <c r="AC2203" s="75" t="str">
        <f>IF(AND(OR(LEFT(TH!N2203,2)="15",LEFT(TH!O2203,2)="15"),TK!$E$7=TH!F2203),"x","")</f>
        <v/>
      </c>
      <c r="AD2203" s="75" t="str">
        <f>IF(AND(N2203="1521",MONTH(C2203)='BK-NL'!$M$11),"x","")</f>
        <v/>
      </c>
      <c r="AF2203" s="1054"/>
    </row>
    <row r="2204" spans="1:32" s="1053" customFormat="1" ht="16.5" customHeight="1">
      <c r="A2204" s="309" t="str">
        <f>IF(B2204&lt;&gt;"",IF(AND(B2204='IN-TC'!$S$4,OR(TH!N2204="1111",TH!O2204="1111")),TH!D2204,""),"")</f>
        <v/>
      </c>
      <c r="B2204" s="1245">
        <f>IF(C2204&lt;&gt;"",MONTH(C2204),"")</f>
        <v>11</v>
      </c>
      <c r="C2204" s="217">
        <v>43049</v>
      </c>
      <c r="D2204" s="217" t="s">
        <v>815</v>
      </c>
      <c r="E2204" s="217">
        <f t="shared" si="686"/>
        <v>43049</v>
      </c>
      <c r="F2204" s="960" t="s">
        <v>2534</v>
      </c>
      <c r="G2204" s="739" t="s">
        <v>1267</v>
      </c>
      <c r="H2204" s="311" t="s">
        <v>2528</v>
      </c>
      <c r="I2204" s="373">
        <v>310</v>
      </c>
      <c r="J2204" s="373">
        <v>580000</v>
      </c>
      <c r="K2204" s="373"/>
      <c r="L2204" s="379"/>
      <c r="M2204" s="927">
        <f t="shared" si="687"/>
        <v>179800000</v>
      </c>
      <c r="N2204" s="935" t="s">
        <v>274</v>
      </c>
      <c r="O2204" s="935" t="s">
        <v>8</v>
      </c>
      <c r="P2204" s="75" t="str">
        <f>IF(AND('331-CT'!$E$7=TH!H2204,OR(N2204="331",O2204="331")),"x","")</f>
        <v/>
      </c>
      <c r="Q2204" s="75" t="str">
        <f>IF(AND(B2204='111'!$L$11,OR($N2204=$Q$7,$O2204=$Q$7)),"x","")</f>
        <v/>
      </c>
      <c r="R2204" s="75" t="str">
        <f>IF(AND($N2204=$Q$7,$B2204&lt;'111'!$L$11),"x","")</f>
        <v/>
      </c>
      <c r="S2204" s="75" t="str">
        <f>IF(AND($O2204=$Q$7,$B2204&lt;'111'!$L$11),"x","")</f>
        <v/>
      </c>
      <c r="T2204" s="75" t="str">
        <f>IF(ISERROR(FIND('112'!$M$9,G2204,1)),"",IF((AND(FIND('112'!$M$9,G2204,1)&gt;=1,B2204='112'!$K$9,OR($N2204='112'!$I$6,$O2204='112'!$I$6))),"x",""))</f>
        <v/>
      </c>
      <c r="U2204" s="75" t="str">
        <f>IF(ISERROR(FIND('112'!$M$9,G2204,1)),"",IF((AND(LEFT(G2204,2)=LEFT('112'!$M$9,2),B2204&lt;'112'!$K$9,$N2204='112'!$I$6)),"x",""))</f>
        <v/>
      </c>
      <c r="V2204" s="75" t="str">
        <f>IF(ISERROR(FIND('112'!$M$9,G2204,1)),"",IF((AND(RIGHT(G2204,2)=RIGHT('112'!$M$9,2),B2204&lt;'112'!$K$9,$O2204='112'!$I$6)),"x",""))</f>
        <v/>
      </c>
      <c r="W2204" s="75" t="str">
        <f>IF(AND('341-CT'!$H$9=H2204,OR(LEFT(N2204,3)=$W$7,LEFT(O2204,3)=$W$7)),"x","")</f>
        <v/>
      </c>
      <c r="X2204" s="75" t="str">
        <f>IF(OR(TH!N2204=TH!$X$7,O2204=TH!$X$7),"x","")</f>
        <v/>
      </c>
      <c r="Y2204" s="75" t="str">
        <f>IF(AND(OR(N2204="131",O2204="131"),H2204='131-CT'!$H$9),"x","")</f>
        <v/>
      </c>
      <c r="Z2204" s="75"/>
      <c r="AA2204" s="75" t="str">
        <f>IF(AND(MONTH(E2204)='IN-NX'!$J$5,'IN-NX'!$D$7=D2204),"x","")</f>
        <v/>
      </c>
      <c r="AB2204" s="75" t="str">
        <f>IF(AND(OR(LEFT(TH!N2204,2)="15",LEFT(TH!O2204,2)="15"),LEFT(TH!O2204,3)&lt;&gt;"111",'152-CT'!$J$8=TH!F2204),"x","")</f>
        <v/>
      </c>
      <c r="AC2204" s="75" t="str">
        <f>IF(AND(OR(LEFT(TH!N2204,2)="15",LEFT(TH!O2204,2)="15"),TK!$E$7=TH!F2204),"x","")</f>
        <v/>
      </c>
      <c r="AD2204" s="75" t="str">
        <f>IF(AND(N2204="1521",MONTH(C2204)='BK-NL'!$M$11),"x","")</f>
        <v/>
      </c>
      <c r="AF2204" s="1054"/>
    </row>
    <row r="2205" spans="1:32" ht="16.5" customHeight="1">
      <c r="A2205" s="309" t="str">
        <f>IF(B2205&lt;&gt;"",IF(AND(B2205='IN-TC'!$S$4,OR(TH!N2205="1111",TH!O2205="1111")),TH!D2205,""),"")</f>
        <v/>
      </c>
      <c r="B2205" s="1245">
        <f t="shared" ref="B2205" si="688">IF(C2205&lt;&gt;"",MONTH(C2205),"")</f>
        <v>11</v>
      </c>
      <c r="C2205" s="217">
        <f t="shared" ref="C2205" si="689">E2205</f>
        <v>43049</v>
      </c>
      <c r="D2205" s="217" t="s">
        <v>1124</v>
      </c>
      <c r="E2205" s="217">
        <v>43049</v>
      </c>
      <c r="F2205" s="996" t="s">
        <v>429</v>
      </c>
      <c r="G2205" s="739"/>
      <c r="H2205" s="294" t="s">
        <v>2919</v>
      </c>
      <c r="I2205" s="1122">
        <v>42363.360000000335</v>
      </c>
      <c r="J2205" s="926">
        <v>59376.335540900916</v>
      </c>
      <c r="K2205" s="926"/>
      <c r="L2205" s="379"/>
      <c r="M2205" s="927">
        <f>ROUND(I2205*J2205,0)</f>
        <v>2515381078</v>
      </c>
      <c r="N2205" s="935" t="s">
        <v>274</v>
      </c>
      <c r="O2205" s="935" t="s">
        <v>272</v>
      </c>
      <c r="P2205" s="75" t="str">
        <f>IF(AND('331-CT'!$E$7=TH!H2205,OR(N2205="331",O2205="331")),"x","")</f>
        <v/>
      </c>
      <c r="Q2205" s="75" t="str">
        <f>IF(AND(B2205='111'!$L$11,OR($N2205=$Q$7,$O2205=$Q$7)),"x","")</f>
        <v/>
      </c>
      <c r="R2205" s="75" t="str">
        <f>IF(AND($N2205=$Q$7,$B2205&lt;'111'!$L$11),"x","")</f>
        <v/>
      </c>
      <c r="S2205" s="75" t="str">
        <f>IF(AND($O2205=$Q$7,$B2205&lt;'111'!$L$11),"x","")</f>
        <v/>
      </c>
      <c r="T2205" s="75" t="str">
        <f>IF(ISERROR(FIND('112'!$M$9,G2205,1)),"",IF((AND(FIND('112'!$M$9,G2205,1)&gt;=1,B2205='112'!$K$9,OR($N2205='112'!$I$6,$O2205='112'!$I$6))),"x",""))</f>
        <v/>
      </c>
      <c r="U2205" s="75" t="str">
        <f>IF(ISERROR(FIND('112'!$M$9,G2205,1)),"",IF((AND(LEFT(G2205,2)=LEFT('112'!$M$9,2),B2205&lt;'112'!$K$9,$N2205='112'!$I$6)),"x",""))</f>
        <v/>
      </c>
      <c r="V2205" s="75" t="str">
        <f>IF(ISERROR(FIND('112'!$M$9,G2205,1)),"",IF((AND(RIGHT(G2205,2)=RIGHT('112'!$M$9,2),B2205&lt;'112'!$K$9,$O2205='112'!$I$6)),"x",""))</f>
        <v/>
      </c>
      <c r="W2205" s="75" t="str">
        <f>IF(AND('341-CT'!$H$9=H2205,OR(LEFT(N2205,3)=$W$7,LEFT(O2205,3)=$W$7)),"x","")</f>
        <v/>
      </c>
      <c r="X2205" s="75" t="str">
        <f>IF(OR(TH!N2205=TH!$X$7,O2205=TH!$X$7),"x","")</f>
        <v/>
      </c>
      <c r="Y2205" s="75" t="str">
        <f>IF(AND(OR(N2205="131",O2205="131"),H2205='131-CT'!$H$9),"x","")</f>
        <v/>
      </c>
      <c r="Z2205" s="75"/>
      <c r="AA2205" s="75" t="str">
        <f>IF(AND(MONTH(E2205)='IN-NX'!$J$5,'IN-NX'!$D$7=D2205),"x","")</f>
        <v/>
      </c>
      <c r="AB2205" s="75" t="str">
        <f>IF(AND(OR(LEFT(TH!N2205,2)="15",LEFT(TH!O2205,2)="15"),LEFT(TH!O2205,3)&lt;&gt;"111",'152-CT'!$J$8=TH!F2205),"x","")</f>
        <v/>
      </c>
      <c r="AC2205" s="75" t="str">
        <f>IF(AND(OR(LEFT(TH!N2205,2)="15",LEFT(TH!O2205,2)="15"),TK!$E$7=TH!F2205),"x","")</f>
        <v/>
      </c>
      <c r="AD2205" s="75" t="str">
        <f>IF(AND(N2205="1521",MONTH(C2205)='BK-NL'!$M$11),"x","")</f>
        <v/>
      </c>
      <c r="AF2205" s="1054"/>
    </row>
    <row r="2206" spans="1:32" ht="16.5" customHeight="1">
      <c r="A2206" s="309" t="str">
        <f>IF(B2206&lt;&gt;"",IF(AND(B2206='IN-TC'!$S$4,OR(TH!N2206="1111",TH!O2206="1111")),TH!D2206,""),"")</f>
        <v/>
      </c>
      <c r="B2206" s="1245">
        <f t="shared" ref="B2206:B2207" si="690">IF(C2206&lt;&gt;"",MONTH(C2206),"")</f>
        <v>11</v>
      </c>
      <c r="C2206" s="217">
        <f t="shared" ref="C2206:C2207" si="691">E2206</f>
        <v>43049</v>
      </c>
      <c r="D2206" s="217" t="s">
        <v>1124</v>
      </c>
      <c r="E2206" s="217">
        <v>43049</v>
      </c>
      <c r="F2206" s="996" t="s">
        <v>2399</v>
      </c>
      <c r="G2206" s="739"/>
      <c r="H2206" s="294" t="s">
        <v>2919</v>
      </c>
      <c r="I2206" s="1122">
        <v>105560</v>
      </c>
      <c r="J2206" s="926">
        <v>50169.613594164453</v>
      </c>
      <c r="K2206" s="926"/>
      <c r="L2206" s="379"/>
      <c r="M2206" s="927">
        <f>ROUND(I2206*J2206,0)</f>
        <v>5295904411</v>
      </c>
      <c r="N2206" s="935" t="s">
        <v>274</v>
      </c>
      <c r="O2206" s="935" t="s">
        <v>272</v>
      </c>
      <c r="P2206" s="75" t="str">
        <f>IF(AND('331-CT'!$E$7=TH!H2206,OR(N2206="331",O2206="331")),"x","")</f>
        <v/>
      </c>
      <c r="Q2206" s="75" t="str">
        <f>IF(AND(B2206='111'!$L$11,OR($N2206=$Q$7,$O2206=$Q$7)),"x","")</f>
        <v/>
      </c>
      <c r="R2206" s="75" t="str">
        <f>IF(AND($N2206=$Q$7,$B2206&lt;'111'!$L$11),"x","")</f>
        <v/>
      </c>
      <c r="S2206" s="75" t="str">
        <f>IF(AND($O2206=$Q$7,$B2206&lt;'111'!$L$11),"x","")</f>
        <v/>
      </c>
      <c r="T2206" s="75" t="str">
        <f>IF(ISERROR(FIND('112'!$M$9,G2206,1)),"",IF((AND(FIND('112'!$M$9,G2206,1)&gt;=1,B2206='112'!$K$9,OR($N2206='112'!$I$6,$O2206='112'!$I$6))),"x",""))</f>
        <v/>
      </c>
      <c r="U2206" s="75" t="str">
        <f>IF(ISERROR(FIND('112'!$M$9,G2206,1)),"",IF((AND(LEFT(G2206,2)=LEFT('112'!$M$9,2),B2206&lt;'112'!$K$9,$N2206='112'!$I$6)),"x",""))</f>
        <v/>
      </c>
      <c r="V2206" s="75" t="str">
        <f>IF(ISERROR(FIND('112'!$M$9,G2206,1)),"",IF((AND(RIGHT(G2206,2)=RIGHT('112'!$M$9,2),B2206&lt;'112'!$K$9,$O2206='112'!$I$6)),"x",""))</f>
        <v/>
      </c>
      <c r="W2206" s="75" t="str">
        <f>IF(AND('341-CT'!$H$9=H2206,OR(LEFT(N2206,3)=$W$7,LEFT(O2206,3)=$W$7)),"x","")</f>
        <v/>
      </c>
      <c r="X2206" s="75" t="str">
        <f>IF(OR(TH!N2206=TH!$X$7,O2206=TH!$X$7),"x","")</f>
        <v/>
      </c>
      <c r="Y2206" s="75" t="str">
        <f>IF(AND(OR(N2206="131",O2206="131"),H2206='131-CT'!$H$9),"x","")</f>
        <v/>
      </c>
      <c r="Z2206" s="75"/>
      <c r="AA2206" s="75" t="str">
        <f>IF(AND(MONTH(E2206)='IN-NX'!$J$5,'IN-NX'!$D$7=D2206),"x","")</f>
        <v/>
      </c>
      <c r="AB2206" s="75" t="str">
        <f>IF(AND(OR(LEFT(TH!N2206,2)="15",LEFT(TH!O2206,2)="15"),LEFT(TH!O2206,3)&lt;&gt;"111",'152-CT'!$J$8=TH!F2206),"x","")</f>
        <v/>
      </c>
      <c r="AC2206" s="75" t="str">
        <f>IF(AND(OR(LEFT(TH!N2206,2)="15",LEFT(TH!O2206,2)="15"),TK!$E$7=TH!F2206),"x","")</f>
        <v/>
      </c>
      <c r="AD2206" s="75" t="str">
        <f>IF(AND(N2206="1521",MONTH(C2206)='BK-NL'!$M$11),"x","")</f>
        <v/>
      </c>
      <c r="AF2206" s="1054"/>
    </row>
    <row r="2207" spans="1:32" s="1053" customFormat="1" ht="16.5" customHeight="1">
      <c r="A2207" s="309" t="str">
        <f>IF(B2207&lt;&gt;"",IF(AND(B2207='IN-TC'!$S$4,OR(TH!N2207="1111",TH!O2207="1111")),TH!D2207,""),"")</f>
        <v/>
      </c>
      <c r="B2207" s="1245">
        <f t="shared" si="690"/>
        <v>11</v>
      </c>
      <c r="C2207" s="217">
        <f t="shared" si="691"/>
        <v>43049</v>
      </c>
      <c r="D2207" s="217" t="s">
        <v>1123</v>
      </c>
      <c r="E2207" s="217">
        <v>43049</v>
      </c>
      <c r="F2207" s="996" t="s">
        <v>1588</v>
      </c>
      <c r="G2207" s="739"/>
      <c r="H2207" s="294" t="s">
        <v>2919</v>
      </c>
      <c r="I2207" s="373">
        <v>8000</v>
      </c>
      <c r="J2207" s="926">
        <v>216148.10037500001</v>
      </c>
      <c r="K2207" s="926"/>
      <c r="L2207" s="379"/>
      <c r="M2207" s="927">
        <f t="shared" ref="M2207" si="692">ROUND(I2207*J2207,0)</f>
        <v>1729184803</v>
      </c>
      <c r="N2207" s="935" t="s">
        <v>274</v>
      </c>
      <c r="O2207" s="935" t="s">
        <v>272</v>
      </c>
      <c r="P2207" s="75" t="str">
        <f>IF(AND('331-CT'!$E$7=TH!H2207,OR(N2207="331",O2207="331")),"x","")</f>
        <v/>
      </c>
      <c r="Q2207" s="75" t="str">
        <f>IF(AND(B2207='111'!$L$11,OR($N2207=$Q$7,$O2207=$Q$7)),"x","")</f>
        <v/>
      </c>
      <c r="R2207" s="75" t="str">
        <f>IF(AND($N2207=$Q$7,$B2207&lt;'111'!$L$11),"x","")</f>
        <v/>
      </c>
      <c r="S2207" s="75" t="str">
        <f>IF(AND($O2207=$Q$7,$B2207&lt;'111'!$L$11),"x","")</f>
        <v/>
      </c>
      <c r="T2207" s="75" t="str">
        <f>IF(ISERROR(FIND('112'!$M$9,G2207,1)),"",IF((AND(FIND('112'!$M$9,G2207,1)&gt;=1,B2207='112'!$K$9,OR($N2207='112'!$I$6,$O2207='112'!$I$6))),"x",""))</f>
        <v/>
      </c>
      <c r="U2207" s="75" t="str">
        <f>IF(ISERROR(FIND('112'!$M$9,G2207,1)),"",IF((AND(LEFT(G2207,2)=LEFT('112'!$M$9,2),B2207&lt;'112'!$K$9,$N2207='112'!$I$6)),"x",""))</f>
        <v/>
      </c>
      <c r="V2207" s="75" t="str">
        <f>IF(ISERROR(FIND('112'!$M$9,G2207,1)),"",IF((AND(RIGHT(G2207,2)=RIGHT('112'!$M$9,2),B2207&lt;'112'!$K$9,$O2207='112'!$I$6)),"x",""))</f>
        <v/>
      </c>
      <c r="W2207" s="75" t="str">
        <f>IF(AND('341-CT'!$H$9=H2207,OR(LEFT(N2207,3)=$W$7,LEFT(O2207,3)=$W$7)),"x","")</f>
        <v/>
      </c>
      <c r="X2207" s="75" t="str">
        <f>IF(OR(TH!N2207=TH!$X$7,O2207=TH!$X$7),"x","")</f>
        <v/>
      </c>
      <c r="Y2207" s="75" t="str">
        <f>IF(AND(OR(N2207="131",O2207="131"),H2207='131-CT'!$H$9),"x","")</f>
        <v/>
      </c>
      <c r="Z2207" s="75"/>
      <c r="AA2207" s="75" t="str">
        <f>IF(AND(MONTH(E2207)='IN-NX'!$J$5,'IN-NX'!$D$7=D2207),"x","")</f>
        <v/>
      </c>
      <c r="AB2207" s="75" t="str">
        <f>IF(AND(OR(LEFT(TH!N2207,2)="15",LEFT(TH!O2207,2)="15"),LEFT(TH!O2207,3)&lt;&gt;"111",'152-CT'!$J$8=TH!F2207),"x","")</f>
        <v/>
      </c>
      <c r="AC2207" s="75" t="str">
        <f>IF(AND(OR(LEFT(TH!N2207,2)="15",LEFT(TH!O2207,2)="15"),TK!$E$7=TH!F2207),"x","")</f>
        <v/>
      </c>
      <c r="AD2207" s="75" t="str">
        <f>IF(AND(N2207="1521",MONTH(C2207)='BK-NL'!$M$11),"x","")</f>
        <v/>
      </c>
      <c r="AF2207" s="1054"/>
    </row>
    <row r="2208" spans="1:32" ht="16.5" customHeight="1">
      <c r="A2208" s="309" t="str">
        <f>IF(B2208&lt;&gt;"",IF(AND(B2208='IN-TC'!$S$4,OR(TH!N2208="1111",TH!O2208="1111")),TH!D2208,""),"")</f>
        <v/>
      </c>
      <c r="B2208" s="1245">
        <f t="shared" ref="B2208:B2211" si="693">IF(C2208&lt;&gt;"",MONTH(C2208),"")</f>
        <v>11</v>
      </c>
      <c r="C2208" s="217">
        <f t="shared" ref="C2208:C2211" si="694">E2208</f>
        <v>43049</v>
      </c>
      <c r="D2208" s="217" t="s">
        <v>1124</v>
      </c>
      <c r="E2208" s="217">
        <v>43049</v>
      </c>
      <c r="F2208" s="429" t="s">
        <v>1401</v>
      </c>
      <c r="G2208" s="739"/>
      <c r="H2208" s="294" t="s">
        <v>2919</v>
      </c>
      <c r="I2208" s="1122">
        <v>3000</v>
      </c>
      <c r="J2208" s="926">
        <v>218191.307</v>
      </c>
      <c r="K2208" s="926"/>
      <c r="L2208" s="379"/>
      <c r="M2208" s="927">
        <f>ROUND(I2208*J2208,0)</f>
        <v>654573921</v>
      </c>
      <c r="N2208" s="935" t="s">
        <v>274</v>
      </c>
      <c r="O2208" s="935" t="s">
        <v>272</v>
      </c>
      <c r="P2208" s="75" t="str">
        <f>IF(AND('331-CT'!$E$7=TH!H2208,OR(N2208="331",O2208="331")),"x","")</f>
        <v/>
      </c>
      <c r="Q2208" s="75" t="str">
        <f>IF(AND(B2208='111'!$L$11,OR($N2208=$Q$7,$O2208=$Q$7)),"x","")</f>
        <v/>
      </c>
      <c r="R2208" s="75" t="str">
        <f>IF(AND($N2208=$Q$7,$B2208&lt;'111'!$L$11),"x","")</f>
        <v/>
      </c>
      <c r="S2208" s="75" t="str">
        <f>IF(AND($O2208=$Q$7,$B2208&lt;'111'!$L$11),"x","")</f>
        <v/>
      </c>
      <c r="T2208" s="75" t="str">
        <f>IF(ISERROR(FIND('112'!$M$9,G2208,1)),"",IF((AND(FIND('112'!$M$9,G2208,1)&gt;=1,B2208='112'!$K$9,OR($N2208='112'!$I$6,$O2208='112'!$I$6))),"x",""))</f>
        <v/>
      </c>
      <c r="U2208" s="75" t="str">
        <f>IF(ISERROR(FIND('112'!$M$9,G2208,1)),"",IF((AND(LEFT(G2208,2)=LEFT('112'!$M$9,2),B2208&lt;'112'!$K$9,$N2208='112'!$I$6)),"x",""))</f>
        <v/>
      </c>
      <c r="V2208" s="75" t="str">
        <f>IF(ISERROR(FIND('112'!$M$9,G2208,1)),"",IF((AND(RIGHT(G2208,2)=RIGHT('112'!$M$9,2),B2208&lt;'112'!$K$9,$O2208='112'!$I$6)),"x",""))</f>
        <v/>
      </c>
      <c r="W2208" s="75" t="str">
        <f>IF(AND('341-CT'!$H$9=H2208,OR(LEFT(N2208,3)=$W$7,LEFT(O2208,3)=$W$7)),"x","")</f>
        <v/>
      </c>
      <c r="X2208" s="75" t="str">
        <f>IF(OR(TH!N2208=TH!$X$7,O2208=TH!$X$7),"x","")</f>
        <v/>
      </c>
      <c r="Y2208" s="75" t="str">
        <f>IF(AND(OR(N2208="131",O2208="131"),H2208='131-CT'!$H$9),"x","")</f>
        <v/>
      </c>
      <c r="Z2208" s="75"/>
      <c r="AA2208" s="75" t="str">
        <f>IF(AND(MONTH(E2208)='IN-NX'!$J$5,'IN-NX'!$D$7=D2208),"x","")</f>
        <v/>
      </c>
      <c r="AB2208" s="75" t="str">
        <f>IF(AND(OR(LEFT(TH!N2208,2)="15",LEFT(TH!O2208,2)="15"),LEFT(TH!O2208,3)&lt;&gt;"111",'152-CT'!$J$8=TH!F2208),"x","")</f>
        <v/>
      </c>
      <c r="AC2208" s="75" t="str">
        <f>IF(AND(OR(LEFT(TH!N2208,2)="15",LEFT(TH!O2208,2)="15"),TK!$E$7=TH!F2208),"x","")</f>
        <v/>
      </c>
      <c r="AD2208" s="75" t="str">
        <f>IF(AND(N2208="1521",MONTH(C2208)='BK-NL'!$M$11),"x","")</f>
        <v/>
      </c>
      <c r="AF2208" s="1054"/>
    </row>
    <row r="2209" spans="1:32" s="1053" customFormat="1" ht="16.5" customHeight="1">
      <c r="A2209" s="309" t="str">
        <f>IF(B2209&lt;&gt;"",IF(AND(B2209='IN-TC'!$S$4,OR(TH!N2209="1111",TH!O2209="1111")),TH!D2209,""),"")</f>
        <v/>
      </c>
      <c r="B2209" s="1245">
        <f t="shared" si="693"/>
        <v>11</v>
      </c>
      <c r="C2209" s="217">
        <f t="shared" si="694"/>
        <v>43049</v>
      </c>
      <c r="D2209" s="217" t="s">
        <v>1123</v>
      </c>
      <c r="E2209" s="217">
        <v>43049</v>
      </c>
      <c r="F2209" s="996" t="s">
        <v>2400</v>
      </c>
      <c r="G2209" s="739"/>
      <c r="H2209" s="294" t="s">
        <v>2919</v>
      </c>
      <c r="I2209" s="373">
        <v>12500</v>
      </c>
      <c r="J2209" s="926">
        <v>197916.93176000001</v>
      </c>
      <c r="K2209" s="926"/>
      <c r="L2209" s="379"/>
      <c r="M2209" s="927">
        <f t="shared" ref="M2209" si="695">ROUND(I2209*J2209,0)</f>
        <v>2473961647</v>
      </c>
      <c r="N2209" s="935" t="s">
        <v>274</v>
      </c>
      <c r="O2209" s="935" t="s">
        <v>272</v>
      </c>
      <c r="P2209" s="75" t="str">
        <f>IF(AND('331-CT'!$E$7=TH!H2209,OR(N2209="331",O2209="331")),"x","")</f>
        <v/>
      </c>
      <c r="Q2209" s="75" t="str">
        <f>IF(AND(B2209='111'!$L$11,OR($N2209=$Q$7,$O2209=$Q$7)),"x","")</f>
        <v/>
      </c>
      <c r="R2209" s="75" t="str">
        <f>IF(AND($N2209=$Q$7,$B2209&lt;'111'!$L$11),"x","")</f>
        <v/>
      </c>
      <c r="S2209" s="75" t="str">
        <f>IF(AND($O2209=$Q$7,$B2209&lt;'111'!$L$11),"x","")</f>
        <v/>
      </c>
      <c r="T2209" s="75" t="str">
        <f>IF(ISERROR(FIND('112'!$M$9,G2209,1)),"",IF((AND(FIND('112'!$M$9,G2209,1)&gt;=1,B2209='112'!$K$9,OR($N2209='112'!$I$6,$O2209='112'!$I$6))),"x",""))</f>
        <v/>
      </c>
      <c r="U2209" s="75" t="str">
        <f>IF(ISERROR(FIND('112'!$M$9,G2209,1)),"",IF((AND(LEFT(G2209,2)=LEFT('112'!$M$9,2),B2209&lt;'112'!$K$9,$N2209='112'!$I$6)),"x",""))</f>
        <v/>
      </c>
      <c r="V2209" s="75" t="str">
        <f>IF(ISERROR(FIND('112'!$M$9,G2209,1)),"",IF((AND(RIGHT(G2209,2)=RIGHT('112'!$M$9,2),B2209&lt;'112'!$K$9,$O2209='112'!$I$6)),"x",""))</f>
        <v/>
      </c>
      <c r="W2209" s="75" t="str">
        <f>IF(AND('341-CT'!$H$9=H2209,OR(LEFT(N2209,3)=$W$7,LEFT(O2209,3)=$W$7)),"x","")</f>
        <v/>
      </c>
      <c r="X2209" s="75" t="str">
        <f>IF(OR(TH!N2209=TH!$X$7,O2209=TH!$X$7),"x","")</f>
        <v/>
      </c>
      <c r="Y2209" s="75" t="str">
        <f>IF(AND(OR(N2209="131",O2209="131"),H2209='131-CT'!$H$9),"x","")</f>
        <v/>
      </c>
      <c r="Z2209" s="75"/>
      <c r="AA2209" s="75" t="str">
        <f>IF(AND(MONTH(E2209)='IN-NX'!$J$5,'IN-NX'!$D$7=D2209),"x","")</f>
        <v/>
      </c>
      <c r="AB2209" s="75" t="str">
        <f>IF(AND(OR(LEFT(TH!N2209,2)="15",LEFT(TH!O2209,2)="15"),LEFT(TH!O2209,3)&lt;&gt;"111",'152-CT'!$J$8=TH!F2209),"x","")</f>
        <v/>
      </c>
      <c r="AC2209" s="75" t="str">
        <f>IF(AND(OR(LEFT(TH!N2209,2)="15",LEFT(TH!O2209,2)="15"),TK!$E$7=TH!F2209),"x","")</f>
        <v/>
      </c>
      <c r="AD2209" s="75" t="str">
        <f>IF(AND(N2209="1521",MONTH(C2209)='BK-NL'!$M$11),"x","")</f>
        <v/>
      </c>
      <c r="AF2209" s="1054"/>
    </row>
    <row r="2210" spans="1:32" ht="16.5" customHeight="1">
      <c r="A2210" s="309" t="str">
        <f>IF(B2210&lt;&gt;"",IF(AND(B2210='IN-TC'!$S$4,OR(TH!N2210="1111",TH!O2210="1111")),TH!D2210,""),"")</f>
        <v/>
      </c>
      <c r="B2210" s="1245">
        <f t="shared" si="693"/>
        <v>11</v>
      </c>
      <c r="C2210" s="217">
        <f t="shared" si="694"/>
        <v>43049</v>
      </c>
      <c r="D2210" s="217" t="s">
        <v>1124</v>
      </c>
      <c r="E2210" s="217">
        <v>43049</v>
      </c>
      <c r="F2210" s="996" t="s">
        <v>1588</v>
      </c>
      <c r="G2210" s="739"/>
      <c r="H2210" s="294" t="s">
        <v>2919</v>
      </c>
      <c r="I2210" s="373">
        <v>1000</v>
      </c>
      <c r="J2210" s="926">
        <v>216343.125</v>
      </c>
      <c r="K2210" s="926"/>
      <c r="L2210" s="379"/>
      <c r="M2210" s="927">
        <f>ROUND(I2210*J2210,0)</f>
        <v>216343125</v>
      </c>
      <c r="N2210" s="935" t="s">
        <v>274</v>
      </c>
      <c r="O2210" s="935" t="s">
        <v>272</v>
      </c>
      <c r="P2210" s="75" t="str">
        <f>IF(AND('331-CT'!$E$7=TH!H2210,OR(N2210="331",O2210="331")),"x","")</f>
        <v/>
      </c>
      <c r="Q2210" s="75" t="str">
        <f>IF(AND(B2210='111'!$L$11,OR($N2210=$Q$7,$O2210=$Q$7)),"x","")</f>
        <v/>
      </c>
      <c r="R2210" s="75" t="str">
        <f>IF(AND($N2210=$Q$7,$B2210&lt;'111'!$L$11),"x","")</f>
        <v/>
      </c>
      <c r="S2210" s="75" t="str">
        <f>IF(AND($O2210=$Q$7,$B2210&lt;'111'!$L$11),"x","")</f>
        <v/>
      </c>
      <c r="T2210" s="75" t="str">
        <f>IF(ISERROR(FIND('112'!$M$9,G2210,1)),"",IF((AND(FIND('112'!$M$9,G2210,1)&gt;=1,B2210='112'!$K$9,OR($N2210='112'!$I$6,$O2210='112'!$I$6))),"x",""))</f>
        <v/>
      </c>
      <c r="U2210" s="75" t="str">
        <f>IF(ISERROR(FIND('112'!$M$9,G2210,1)),"",IF((AND(LEFT(G2210,2)=LEFT('112'!$M$9,2),B2210&lt;'112'!$K$9,$N2210='112'!$I$6)),"x",""))</f>
        <v/>
      </c>
      <c r="V2210" s="75" t="str">
        <f>IF(ISERROR(FIND('112'!$M$9,G2210,1)),"",IF((AND(RIGHT(G2210,2)=RIGHT('112'!$M$9,2),B2210&lt;'112'!$K$9,$O2210='112'!$I$6)),"x",""))</f>
        <v/>
      </c>
      <c r="W2210" s="75" t="str">
        <f>IF(AND('341-CT'!$H$9=H2210,OR(LEFT(N2210,3)=$W$7,LEFT(O2210,3)=$W$7)),"x","")</f>
        <v/>
      </c>
      <c r="X2210" s="75" t="str">
        <f>IF(OR(TH!N2210=TH!$X$7,O2210=TH!$X$7),"x","")</f>
        <v/>
      </c>
      <c r="Y2210" s="75" t="str">
        <f>IF(AND(OR(N2210="131",O2210="131"),H2210='131-CT'!$H$9),"x","")</f>
        <v/>
      </c>
      <c r="Z2210" s="75"/>
      <c r="AA2210" s="75" t="str">
        <f>IF(AND(MONTH(E2210)='IN-NX'!$J$5,'IN-NX'!$D$7=D2210),"x","")</f>
        <v/>
      </c>
      <c r="AB2210" s="75" t="str">
        <f>IF(AND(OR(LEFT(TH!N2210,2)="15",LEFT(TH!O2210,2)="15"),LEFT(TH!O2210,3)&lt;&gt;"111",'152-CT'!$J$8=TH!F2210),"x","")</f>
        <v/>
      </c>
      <c r="AC2210" s="75" t="str">
        <f>IF(AND(OR(LEFT(TH!N2210,2)="15",LEFT(TH!O2210,2)="15"),TK!$E$7=TH!F2210),"x","")</f>
        <v/>
      </c>
      <c r="AD2210" s="75" t="str">
        <f>IF(AND(N2210="1521",MONTH(C2210)='BK-NL'!$M$11),"x","")</f>
        <v/>
      </c>
      <c r="AF2210" s="1054"/>
    </row>
    <row r="2211" spans="1:32" ht="16.5" customHeight="1">
      <c r="A2211" s="309" t="str">
        <f>IF(B2211&lt;&gt;"",IF(AND(B2211='IN-TC'!$S$4,OR(TH!N2211="1111",TH!O2211="1111")),TH!D2211,""),"")</f>
        <v/>
      </c>
      <c r="B2211" s="1245">
        <f t="shared" si="693"/>
        <v>11</v>
      </c>
      <c r="C2211" s="217">
        <f t="shared" si="694"/>
        <v>43049</v>
      </c>
      <c r="D2211" s="217" t="s">
        <v>1125</v>
      </c>
      <c r="E2211" s="217">
        <v>43049</v>
      </c>
      <c r="F2211" s="996" t="s">
        <v>426</v>
      </c>
      <c r="G2211" s="739"/>
      <c r="H2211" s="294" t="s">
        <v>2919</v>
      </c>
      <c r="I2211" s="373">
        <v>4800</v>
      </c>
      <c r="J2211" s="926">
        <v>193009.83458333334</v>
      </c>
      <c r="K2211" s="926"/>
      <c r="L2211" s="379"/>
      <c r="M2211" s="927">
        <f>ROUND(I2211*J2211,0)</f>
        <v>926447206</v>
      </c>
      <c r="N2211" s="935" t="s">
        <v>274</v>
      </c>
      <c r="O2211" s="935" t="s">
        <v>272</v>
      </c>
      <c r="P2211" s="75" t="str">
        <f>IF(AND('331-CT'!$E$7=TH!H2211,OR(N2211="331",O2211="331")),"x","")</f>
        <v/>
      </c>
      <c r="Q2211" s="75" t="str">
        <f>IF(AND(B2211='111'!$L$11,OR($N2211=$Q$7,$O2211=$Q$7)),"x","")</f>
        <v/>
      </c>
      <c r="R2211" s="75" t="str">
        <f>IF(AND($N2211=$Q$7,$B2211&lt;'111'!$L$11),"x","")</f>
        <v/>
      </c>
      <c r="S2211" s="75" t="str">
        <f>IF(AND($O2211=$Q$7,$B2211&lt;'111'!$L$11),"x","")</f>
        <v/>
      </c>
      <c r="T2211" s="75" t="str">
        <f>IF(ISERROR(FIND('112'!$M$9,G2211,1)),"",IF((AND(FIND('112'!$M$9,G2211,1)&gt;=1,B2211='112'!$K$9,OR($N2211='112'!$I$6,$O2211='112'!$I$6))),"x",""))</f>
        <v/>
      </c>
      <c r="U2211" s="75" t="str">
        <f>IF(ISERROR(FIND('112'!$M$9,G2211,1)),"",IF((AND(LEFT(G2211,2)=LEFT('112'!$M$9,2),B2211&lt;'112'!$K$9,$N2211='112'!$I$6)),"x",""))</f>
        <v/>
      </c>
      <c r="V2211" s="75" t="str">
        <f>IF(ISERROR(FIND('112'!$M$9,G2211,1)),"",IF((AND(RIGHT(G2211,2)=RIGHT('112'!$M$9,2),B2211&lt;'112'!$K$9,$O2211='112'!$I$6)),"x",""))</f>
        <v/>
      </c>
      <c r="W2211" s="75" t="str">
        <f>IF(AND('341-CT'!$H$9=H2211,OR(LEFT(N2211,3)=$W$7,LEFT(O2211,3)=$W$7)),"x","")</f>
        <v/>
      </c>
      <c r="X2211" s="75" t="str">
        <f>IF(OR(TH!N2211=TH!$X$7,O2211=TH!$X$7),"x","")</f>
        <v/>
      </c>
      <c r="Y2211" s="75" t="str">
        <f>IF(AND(OR(N2211="131",O2211="131"),H2211='131-CT'!$H$9),"x","")</f>
        <v/>
      </c>
      <c r="Z2211" s="75"/>
      <c r="AA2211" s="75" t="str">
        <f>IF(AND(MONTH(E2211)='IN-NX'!$J$5,'IN-NX'!$D$7=D2211),"x","")</f>
        <v/>
      </c>
      <c r="AB2211" s="75" t="str">
        <f>IF(AND(OR(LEFT(TH!N2211,2)="15",LEFT(TH!O2211,2)="15"),LEFT(TH!O2211,3)&lt;&gt;"111",'152-CT'!$J$8=TH!F2211),"x","")</f>
        <v/>
      </c>
      <c r="AC2211" s="75" t="str">
        <f>IF(AND(OR(LEFT(TH!N2211,2)="15",LEFT(TH!O2211,2)="15"),TK!$E$7=TH!F2211),"x","")</f>
        <v/>
      </c>
      <c r="AD2211" s="75" t="str">
        <f>IF(AND(N2211="1521",MONTH(C2211)='BK-NL'!$M$11),"x","")</f>
        <v/>
      </c>
      <c r="AF2211" s="1054"/>
    </row>
    <row r="2212" spans="1:32" s="1264" customFormat="1" ht="16.5" customHeight="1">
      <c r="A2212" s="309" t="str">
        <f>IF(B2212&lt;&gt;"",IF(AND(B2212='IN-TC'!$S$4,OR(TH!N2212="1111",TH!O2212="1111")),TH!D2212,""),"")</f>
        <v/>
      </c>
      <c r="B2212" s="1245">
        <f t="shared" ref="B2212" si="696">IF(C2212&lt;&gt;"",MONTH(C2212),"")</f>
        <v>11</v>
      </c>
      <c r="C2212" s="252">
        <v>43042</v>
      </c>
      <c r="D2212" s="252" t="s">
        <v>2921</v>
      </c>
      <c r="E2212" s="252">
        <f t="shared" ref="E2212:E2228" si="697">C2212</f>
        <v>43042</v>
      </c>
      <c r="F2212" s="1055" t="s">
        <v>429</v>
      </c>
      <c r="G2212" s="1056" t="s">
        <v>2947</v>
      </c>
      <c r="H2212" s="735" t="s">
        <v>789</v>
      </c>
      <c r="I2212" s="371">
        <f>24278.8*2+14639.04</f>
        <v>63196.639999999999</v>
      </c>
      <c r="J2212" s="371">
        <v>50000</v>
      </c>
      <c r="K2212" s="371"/>
      <c r="L2212" s="377"/>
      <c r="M2212" s="933">
        <f t="shared" si="687"/>
        <v>3159832000</v>
      </c>
      <c r="N2212" s="977" t="s">
        <v>284</v>
      </c>
      <c r="O2212" s="977" t="s">
        <v>274</v>
      </c>
      <c r="P2212" s="75" t="str">
        <f>IF(AND('331-CT'!$E$7=TH!H2212,OR(N2212="331",O2212="331")),"x","")</f>
        <v/>
      </c>
      <c r="Q2212" s="75" t="str">
        <f>IF(AND(B2212='111'!$L$11,OR($N2212=$Q$7,$O2212=$Q$7)),"x","")</f>
        <v/>
      </c>
      <c r="R2212" s="75" t="str">
        <f>IF(AND($N2212=$Q$7,$B2212&lt;'111'!$L$11),"x","")</f>
        <v/>
      </c>
      <c r="S2212" s="75" t="str">
        <f>IF(AND($O2212=$Q$7,$B2212&lt;'111'!$L$11),"x","")</f>
        <v/>
      </c>
      <c r="T2212" s="75" t="str">
        <f>IF(ISERROR(FIND('112'!$M$9,G2212,1)),"",IF((AND(FIND('112'!$M$9,G2212,1)&gt;=1,B2212='112'!$K$9,OR($N2212='112'!$I$6,$O2212='112'!$I$6))),"x",""))</f>
        <v/>
      </c>
      <c r="U2212" s="75" t="str">
        <f>IF(ISERROR(FIND('112'!$M$9,G2212,1)),"",IF((AND(LEFT(G2212,2)=LEFT('112'!$M$9,2),B2212&lt;'112'!$K$9,$N2212='112'!$I$6)),"x",""))</f>
        <v/>
      </c>
      <c r="V2212" s="75" t="str">
        <f>IF(ISERROR(FIND('112'!$M$9,G2212,1)),"",IF((AND(RIGHT(G2212,2)=RIGHT('112'!$M$9,2),B2212&lt;'112'!$K$9,$O2212='112'!$I$6)),"x",""))</f>
        <v/>
      </c>
      <c r="W2212" s="75" t="str">
        <f>IF(AND('341-CT'!$H$9=H2212,OR(LEFT(N2212,3)=$W$7,LEFT(O2212,3)=$W$7)),"x","")</f>
        <v/>
      </c>
      <c r="X2212" s="75" t="str">
        <f>IF(OR(TH!N2212=TH!$X$7,O2212=TH!$X$7),"x","")</f>
        <v/>
      </c>
      <c r="Y2212" s="75" t="str">
        <f>IF(AND(OR(N2212="131",O2212="131"),H2212='131-CT'!$H$9),"x","")</f>
        <v/>
      </c>
      <c r="Z2212" s="75"/>
      <c r="AA2212" s="75" t="str">
        <f>IF(AND(MONTH(E2212)='IN-NX'!$J$5,'IN-NX'!$D$7=D2212),"x","")</f>
        <v/>
      </c>
      <c r="AB2212" s="75" t="str">
        <f>IF(AND(OR(LEFT(TH!N2212,2)="15",LEFT(TH!O2212,2)="15"),LEFT(TH!O2212,3)&lt;&gt;"111",'152-CT'!$J$8=TH!F2212),"x","")</f>
        <v/>
      </c>
      <c r="AC2212" s="75" t="str">
        <f>IF(AND(OR(LEFT(TH!N2212,2)="15",LEFT(TH!O2212,2)="15"),TK!$E$7=TH!F2212),"x","")</f>
        <v/>
      </c>
      <c r="AD2212" s="75" t="str">
        <f>IF(AND(N2212="1521",MONTH(C2212)='BK-NL'!$M$11),"x","")</f>
        <v/>
      </c>
      <c r="AF2212" s="1054"/>
    </row>
    <row r="2213" spans="1:32" s="1264" customFormat="1" ht="16.5" customHeight="1">
      <c r="A2213" s="309" t="str">
        <f>IF(B2213&lt;&gt;"",IF(AND(B2213='IN-TC'!$S$4,OR(TH!N2213="1111",TH!O2213="1111")),TH!D2213,""),"")</f>
        <v/>
      </c>
      <c r="B2213" s="1245">
        <f t="shared" ref="B2213:B2230" si="698">IF(C2213&lt;&gt;"",MONTH(C2213),"")</f>
        <v>11</v>
      </c>
      <c r="C2213" s="252">
        <v>43050</v>
      </c>
      <c r="D2213" s="252" t="s">
        <v>2921</v>
      </c>
      <c r="E2213" s="252">
        <f t="shared" si="697"/>
        <v>43050</v>
      </c>
      <c r="F2213" s="1055" t="s">
        <v>2531</v>
      </c>
      <c r="G2213" s="1056" t="s">
        <v>2530</v>
      </c>
      <c r="H2213" s="735" t="s">
        <v>1601</v>
      </c>
      <c r="I2213" s="371">
        <v>1200</v>
      </c>
      <c r="J2213" s="371">
        <v>680000</v>
      </c>
      <c r="K2213" s="371"/>
      <c r="L2213" s="377"/>
      <c r="M2213" s="933">
        <f t="shared" ref="M2213:M2231" si="699">ROUND(I2213*J2213,0)</f>
        <v>816000000</v>
      </c>
      <c r="N2213" s="977" t="s">
        <v>284</v>
      </c>
      <c r="O2213" s="977" t="s">
        <v>274</v>
      </c>
      <c r="P2213" s="75" t="str">
        <f>IF(AND('331-CT'!$E$7=TH!H2213,OR(N2213="331",O2213="331")),"x","")</f>
        <v/>
      </c>
      <c r="Q2213" s="75" t="str">
        <f>IF(AND(B2213='111'!$L$11,OR($N2213=$Q$7,$O2213=$Q$7)),"x","")</f>
        <v/>
      </c>
      <c r="R2213" s="75" t="str">
        <f>IF(AND($N2213=$Q$7,$B2213&lt;'111'!$L$11),"x","")</f>
        <v/>
      </c>
      <c r="S2213" s="75" t="str">
        <f>IF(AND($O2213=$Q$7,$B2213&lt;'111'!$L$11),"x","")</f>
        <v/>
      </c>
      <c r="T2213" s="75" t="str">
        <f>IF(ISERROR(FIND('112'!$M$9,G2213,1)),"",IF((AND(FIND('112'!$M$9,G2213,1)&gt;=1,B2213='112'!$K$9,OR($N2213='112'!$I$6,$O2213='112'!$I$6))),"x",""))</f>
        <v/>
      </c>
      <c r="U2213" s="75" t="str">
        <f>IF(ISERROR(FIND('112'!$M$9,G2213,1)),"",IF((AND(LEFT(G2213,2)=LEFT('112'!$M$9,2),B2213&lt;'112'!$K$9,$N2213='112'!$I$6)),"x",""))</f>
        <v/>
      </c>
      <c r="V2213" s="75" t="str">
        <f>IF(ISERROR(FIND('112'!$M$9,G2213,1)),"",IF((AND(RIGHT(G2213,2)=RIGHT('112'!$M$9,2),B2213&lt;'112'!$K$9,$O2213='112'!$I$6)),"x",""))</f>
        <v/>
      </c>
      <c r="W2213" s="75" t="str">
        <f>IF(AND('341-CT'!$H$9=H2213,OR(LEFT(N2213,3)=$W$7,LEFT(O2213,3)=$W$7)),"x","")</f>
        <v/>
      </c>
      <c r="X2213" s="75" t="str">
        <f>IF(OR(TH!N2213=TH!$X$7,O2213=TH!$X$7),"x","")</f>
        <v/>
      </c>
      <c r="Y2213" s="75" t="str">
        <f>IF(AND(OR(N2213="131",O2213="131"),H2213='131-CT'!$H$9),"x","")</f>
        <v/>
      </c>
      <c r="Z2213" s="75"/>
      <c r="AA2213" s="75" t="str">
        <f>IF(AND(MONTH(E2213)='IN-NX'!$J$5,'IN-NX'!$D$7=D2213),"x","")</f>
        <v/>
      </c>
      <c r="AB2213" s="75" t="str">
        <f>IF(AND(OR(LEFT(TH!N2213,2)="15",LEFT(TH!O2213,2)="15"),LEFT(TH!O2213,3)&lt;&gt;"111",'152-CT'!$J$8=TH!F2213),"x","")</f>
        <v/>
      </c>
      <c r="AC2213" s="75" t="str">
        <f>IF(AND(OR(LEFT(TH!N2213,2)="15",LEFT(TH!O2213,2)="15"),TK!$E$7=TH!F2213),"x","")</f>
        <v/>
      </c>
      <c r="AD2213" s="75" t="str">
        <f>IF(AND(N2213="1521",MONTH(C2213)='BK-NL'!$M$11),"x","")</f>
        <v/>
      </c>
      <c r="AF2213" s="1054"/>
    </row>
    <row r="2214" spans="1:32" s="1264" customFormat="1" ht="16.5" customHeight="1">
      <c r="A2214" s="309" t="str">
        <f>IF(B2214&lt;&gt;"",IF(AND(B2214='IN-TC'!$S$4,OR(TH!N2214="1111",TH!O2214="1111")),TH!D2214,""),"")</f>
        <v/>
      </c>
      <c r="B2214" s="1245">
        <f t="shared" si="698"/>
        <v>11</v>
      </c>
      <c r="C2214" s="252">
        <v>43050</v>
      </c>
      <c r="D2214" s="252" t="s">
        <v>2921</v>
      </c>
      <c r="E2214" s="252">
        <f t="shared" si="697"/>
        <v>43050</v>
      </c>
      <c r="F2214" s="1055" t="s">
        <v>2532</v>
      </c>
      <c r="G2214" s="1056" t="s">
        <v>2530</v>
      </c>
      <c r="H2214" s="735" t="s">
        <v>1601</v>
      </c>
      <c r="I2214" s="371">
        <v>1700</v>
      </c>
      <c r="J2214" s="371">
        <v>685000</v>
      </c>
      <c r="K2214" s="371"/>
      <c r="L2214" s="377"/>
      <c r="M2214" s="933">
        <f t="shared" si="699"/>
        <v>1164500000</v>
      </c>
      <c r="N2214" s="977" t="s">
        <v>284</v>
      </c>
      <c r="O2214" s="977" t="s">
        <v>274</v>
      </c>
      <c r="P2214" s="75" t="str">
        <f>IF(AND('331-CT'!$E$7=TH!H2214,OR(N2214="331",O2214="331")),"x","")</f>
        <v/>
      </c>
      <c r="Q2214" s="75" t="str">
        <f>IF(AND(B2214='111'!$L$11,OR($N2214=$Q$7,$O2214=$Q$7)),"x","")</f>
        <v/>
      </c>
      <c r="R2214" s="75" t="str">
        <f>IF(AND($N2214=$Q$7,$B2214&lt;'111'!$L$11),"x","")</f>
        <v/>
      </c>
      <c r="S2214" s="75" t="str">
        <f>IF(AND($O2214=$Q$7,$B2214&lt;'111'!$L$11),"x","")</f>
        <v/>
      </c>
      <c r="T2214" s="75" t="str">
        <f>IF(ISERROR(FIND('112'!$M$9,G2214,1)),"",IF((AND(FIND('112'!$M$9,G2214,1)&gt;=1,B2214='112'!$K$9,OR($N2214='112'!$I$6,$O2214='112'!$I$6))),"x",""))</f>
        <v/>
      </c>
      <c r="U2214" s="75" t="str">
        <f>IF(ISERROR(FIND('112'!$M$9,G2214,1)),"",IF((AND(LEFT(G2214,2)=LEFT('112'!$M$9,2),B2214&lt;'112'!$K$9,$N2214='112'!$I$6)),"x",""))</f>
        <v/>
      </c>
      <c r="V2214" s="75" t="str">
        <f>IF(ISERROR(FIND('112'!$M$9,G2214,1)),"",IF((AND(RIGHT(G2214,2)=RIGHT('112'!$M$9,2),B2214&lt;'112'!$K$9,$O2214='112'!$I$6)),"x",""))</f>
        <v/>
      </c>
      <c r="W2214" s="75" t="str">
        <f>IF(AND('341-CT'!$H$9=H2214,OR(LEFT(N2214,3)=$W$7,LEFT(O2214,3)=$W$7)),"x","")</f>
        <v/>
      </c>
      <c r="X2214" s="75" t="str">
        <f>IF(OR(TH!N2214=TH!$X$7,O2214=TH!$X$7),"x","")</f>
        <v/>
      </c>
      <c r="Y2214" s="75" t="str">
        <f>IF(AND(OR(N2214="131",O2214="131"),H2214='131-CT'!$H$9),"x","")</f>
        <v/>
      </c>
      <c r="Z2214" s="75"/>
      <c r="AA2214" s="75" t="str">
        <f>IF(AND(MONTH(E2214)='IN-NX'!$J$5,'IN-NX'!$D$7=D2214),"x","")</f>
        <v/>
      </c>
      <c r="AB2214" s="75" t="str">
        <f>IF(AND(OR(LEFT(TH!N2214,2)="15",LEFT(TH!O2214,2)="15"),LEFT(TH!O2214,3)&lt;&gt;"111",'152-CT'!$J$8=TH!F2214),"x","")</f>
        <v/>
      </c>
      <c r="AC2214" s="75" t="str">
        <f>IF(AND(OR(LEFT(TH!N2214,2)="15",LEFT(TH!O2214,2)="15"),TK!$E$7=TH!F2214),"x","")</f>
        <v/>
      </c>
      <c r="AD2214" s="75" t="str">
        <f>IF(AND(N2214="1521",MONTH(C2214)='BK-NL'!$M$11),"x","")</f>
        <v/>
      </c>
      <c r="AF2214" s="1054"/>
    </row>
    <row r="2215" spans="1:32" s="1264" customFormat="1" ht="16.5" customHeight="1">
      <c r="A2215" s="309" t="str">
        <f>IF(B2215&lt;&gt;"",IF(AND(B2215='IN-TC'!$S$4,OR(TH!N2215="1111",TH!O2215="1111")),TH!D2215,""),"")</f>
        <v/>
      </c>
      <c r="B2215" s="1245">
        <f t="shared" si="698"/>
        <v>11</v>
      </c>
      <c r="C2215" s="252">
        <v>43050</v>
      </c>
      <c r="D2215" s="252" t="s">
        <v>2921</v>
      </c>
      <c r="E2215" s="252">
        <f t="shared" si="697"/>
        <v>43050</v>
      </c>
      <c r="F2215" s="1055" t="s">
        <v>2533</v>
      </c>
      <c r="G2215" s="1056" t="s">
        <v>2530</v>
      </c>
      <c r="H2215" s="735" t="s">
        <v>1601</v>
      </c>
      <c r="I2215" s="371">
        <v>1000</v>
      </c>
      <c r="J2215" s="371">
        <v>675000</v>
      </c>
      <c r="K2215" s="371"/>
      <c r="L2215" s="377"/>
      <c r="M2215" s="933">
        <f t="shared" si="699"/>
        <v>675000000</v>
      </c>
      <c r="N2215" s="977" t="s">
        <v>284</v>
      </c>
      <c r="O2215" s="977" t="s">
        <v>274</v>
      </c>
      <c r="P2215" s="75" t="str">
        <f>IF(AND('331-CT'!$E$7=TH!H2215,OR(N2215="331",O2215="331")),"x","")</f>
        <v/>
      </c>
      <c r="Q2215" s="75" t="str">
        <f>IF(AND(B2215='111'!$L$11,OR($N2215=$Q$7,$O2215=$Q$7)),"x","")</f>
        <v/>
      </c>
      <c r="R2215" s="75" t="str">
        <f>IF(AND($N2215=$Q$7,$B2215&lt;'111'!$L$11),"x","")</f>
        <v/>
      </c>
      <c r="S2215" s="75" t="str">
        <f>IF(AND($O2215=$Q$7,$B2215&lt;'111'!$L$11),"x","")</f>
        <v/>
      </c>
      <c r="T2215" s="75" t="str">
        <f>IF(ISERROR(FIND('112'!$M$9,G2215,1)),"",IF((AND(FIND('112'!$M$9,G2215,1)&gt;=1,B2215='112'!$K$9,OR($N2215='112'!$I$6,$O2215='112'!$I$6))),"x",""))</f>
        <v/>
      </c>
      <c r="U2215" s="75" t="str">
        <f>IF(ISERROR(FIND('112'!$M$9,G2215,1)),"",IF((AND(LEFT(G2215,2)=LEFT('112'!$M$9,2),B2215&lt;'112'!$K$9,$N2215='112'!$I$6)),"x",""))</f>
        <v/>
      </c>
      <c r="V2215" s="75" t="str">
        <f>IF(ISERROR(FIND('112'!$M$9,G2215,1)),"",IF((AND(RIGHT(G2215,2)=RIGHT('112'!$M$9,2),B2215&lt;'112'!$K$9,$O2215='112'!$I$6)),"x",""))</f>
        <v/>
      </c>
      <c r="W2215" s="75" t="str">
        <f>IF(AND('341-CT'!$H$9=H2215,OR(LEFT(N2215,3)=$W$7,LEFT(O2215,3)=$W$7)),"x","")</f>
        <v/>
      </c>
      <c r="X2215" s="75" t="str">
        <f>IF(OR(TH!N2215=TH!$X$7,O2215=TH!$X$7),"x","")</f>
        <v/>
      </c>
      <c r="Y2215" s="75" t="str">
        <f>IF(AND(OR(N2215="131",O2215="131"),H2215='131-CT'!$H$9),"x","")</f>
        <v/>
      </c>
      <c r="Z2215" s="75"/>
      <c r="AA2215" s="75" t="str">
        <f>IF(AND(MONTH(E2215)='IN-NX'!$J$5,'IN-NX'!$D$7=D2215),"x","")</f>
        <v/>
      </c>
      <c r="AB2215" s="75" t="str">
        <f>IF(AND(OR(LEFT(TH!N2215,2)="15",LEFT(TH!O2215,2)="15"),LEFT(TH!O2215,3)&lt;&gt;"111",'152-CT'!$J$8=TH!F2215),"x","")</f>
        <v/>
      </c>
      <c r="AC2215" s="75" t="str">
        <f>IF(AND(OR(LEFT(TH!N2215,2)="15",LEFT(TH!O2215,2)="15"),TK!$E$7=TH!F2215),"x","")</f>
        <v/>
      </c>
      <c r="AD2215" s="75" t="str">
        <f>IF(AND(N2215="1521",MONTH(C2215)='BK-NL'!$M$11),"x","")</f>
        <v/>
      </c>
      <c r="AF2215" s="1054"/>
    </row>
    <row r="2216" spans="1:32" s="1264" customFormat="1" ht="16.5" customHeight="1">
      <c r="A2216" s="309" t="str">
        <f>IF(B2216&lt;&gt;"",IF(AND(B2216='IN-TC'!$S$4,OR(TH!N2216="1111",TH!O2216="1111")),TH!D2216,""),"")</f>
        <v/>
      </c>
      <c r="B2216" s="1245">
        <f t="shared" si="698"/>
        <v>11</v>
      </c>
      <c r="C2216" s="252">
        <v>43050</v>
      </c>
      <c r="D2216" s="252" t="s">
        <v>2921</v>
      </c>
      <c r="E2216" s="252">
        <f t="shared" si="697"/>
        <v>43050</v>
      </c>
      <c r="F2216" s="1055" t="s">
        <v>2534</v>
      </c>
      <c r="G2216" s="1056" t="s">
        <v>2530</v>
      </c>
      <c r="H2216" s="735" t="s">
        <v>1601</v>
      </c>
      <c r="I2216" s="371">
        <v>300</v>
      </c>
      <c r="J2216" s="371">
        <v>580000</v>
      </c>
      <c r="K2216" s="371"/>
      <c r="L2216" s="377"/>
      <c r="M2216" s="933">
        <f t="shared" si="699"/>
        <v>174000000</v>
      </c>
      <c r="N2216" s="977" t="s">
        <v>284</v>
      </c>
      <c r="O2216" s="977" t="s">
        <v>274</v>
      </c>
      <c r="P2216" s="75" t="str">
        <f>IF(AND('331-CT'!$E$7=TH!H2216,OR(N2216="331",O2216="331")),"x","")</f>
        <v/>
      </c>
      <c r="Q2216" s="75" t="str">
        <f>IF(AND(B2216='111'!$L$11,OR($N2216=$Q$7,$O2216=$Q$7)),"x","")</f>
        <v/>
      </c>
      <c r="R2216" s="75" t="str">
        <f>IF(AND($N2216=$Q$7,$B2216&lt;'111'!$L$11),"x","")</f>
        <v/>
      </c>
      <c r="S2216" s="75" t="str">
        <f>IF(AND($O2216=$Q$7,$B2216&lt;'111'!$L$11),"x","")</f>
        <v/>
      </c>
      <c r="T2216" s="75" t="str">
        <f>IF(ISERROR(FIND('112'!$M$9,G2216,1)),"",IF((AND(FIND('112'!$M$9,G2216,1)&gt;=1,B2216='112'!$K$9,OR($N2216='112'!$I$6,$O2216='112'!$I$6))),"x",""))</f>
        <v/>
      </c>
      <c r="U2216" s="75" t="str">
        <f>IF(ISERROR(FIND('112'!$M$9,G2216,1)),"",IF((AND(LEFT(G2216,2)=LEFT('112'!$M$9,2),B2216&lt;'112'!$K$9,$N2216='112'!$I$6)),"x",""))</f>
        <v/>
      </c>
      <c r="V2216" s="75" t="str">
        <f>IF(ISERROR(FIND('112'!$M$9,G2216,1)),"",IF((AND(RIGHT(G2216,2)=RIGHT('112'!$M$9,2),B2216&lt;'112'!$K$9,$O2216='112'!$I$6)),"x",""))</f>
        <v/>
      </c>
      <c r="W2216" s="75" t="str">
        <f>IF(AND('341-CT'!$H$9=H2216,OR(LEFT(N2216,3)=$W$7,LEFT(O2216,3)=$W$7)),"x","")</f>
        <v/>
      </c>
      <c r="X2216" s="75" t="str">
        <f>IF(OR(TH!N2216=TH!$X$7,O2216=TH!$X$7),"x","")</f>
        <v/>
      </c>
      <c r="Y2216" s="75" t="str">
        <f>IF(AND(OR(N2216="131",O2216="131"),H2216='131-CT'!$H$9),"x","")</f>
        <v/>
      </c>
      <c r="Z2216" s="75"/>
      <c r="AA2216" s="75" t="str">
        <f>IF(AND(MONTH(E2216)='IN-NX'!$J$5,'IN-NX'!$D$7=D2216),"x","")</f>
        <v/>
      </c>
      <c r="AB2216" s="75" t="str">
        <f>IF(AND(OR(LEFT(TH!N2216,2)="15",LEFT(TH!O2216,2)="15"),LEFT(TH!O2216,3)&lt;&gt;"111",'152-CT'!$J$8=TH!F2216),"x","")</f>
        <v/>
      </c>
      <c r="AC2216" s="75" t="str">
        <f>IF(AND(OR(LEFT(TH!N2216,2)="15",LEFT(TH!O2216,2)="15"),TK!$E$7=TH!F2216),"x","")</f>
        <v/>
      </c>
      <c r="AD2216" s="75" t="str">
        <f>IF(AND(N2216="1521",MONTH(C2216)='BK-NL'!$M$11),"x","")</f>
        <v/>
      </c>
      <c r="AF2216" s="1054"/>
    </row>
    <row r="2217" spans="1:32" s="1264" customFormat="1" ht="16.5" customHeight="1">
      <c r="A2217" s="309" t="str">
        <f>IF(B2217&lt;&gt;"",IF(AND(B2217='IN-TC'!$S$4,OR(TH!N2217="1111",TH!O2217="1111")),TH!D2217,""),"")</f>
        <v/>
      </c>
      <c r="B2217" s="1245">
        <f>IF(C2217&lt;&gt;"",MONTH(C2217),"")</f>
        <v>11</v>
      </c>
      <c r="C2217" s="252">
        <v>43042</v>
      </c>
      <c r="D2217" s="252" t="s">
        <v>2921</v>
      </c>
      <c r="E2217" s="252">
        <f>C2217</f>
        <v>43042</v>
      </c>
      <c r="F2217" s="1055" t="s">
        <v>429</v>
      </c>
      <c r="G2217" s="1056" t="s">
        <v>2529</v>
      </c>
      <c r="H2217" s="735" t="s">
        <v>759</v>
      </c>
      <c r="I2217" s="371">
        <v>42363.360000000335</v>
      </c>
      <c r="J2217" s="371">
        <v>59376.335540900916</v>
      </c>
      <c r="K2217" s="371"/>
      <c r="L2217" s="377"/>
      <c r="M2217" s="933">
        <f>ROUND(I2217*J2217,0)</f>
        <v>2515381078</v>
      </c>
      <c r="N2217" s="977" t="s">
        <v>284</v>
      </c>
      <c r="O2217" s="977" t="s">
        <v>274</v>
      </c>
      <c r="P2217" s="75" t="str">
        <f>IF(AND('331-CT'!$E$7=TH!H2217,OR(N2217="331",O2217="331")),"x","")</f>
        <v/>
      </c>
      <c r="Q2217" s="75" t="str">
        <f>IF(AND(B2217='111'!$L$11,OR($N2217=$Q$7,$O2217=$Q$7)),"x","")</f>
        <v/>
      </c>
      <c r="R2217" s="75" t="str">
        <f>IF(AND($N2217=$Q$7,$B2217&lt;'111'!$L$11),"x","")</f>
        <v/>
      </c>
      <c r="S2217" s="75" t="str">
        <f>IF(AND($O2217=$Q$7,$B2217&lt;'111'!$L$11),"x","")</f>
        <v/>
      </c>
      <c r="T2217" s="75" t="str">
        <f>IF(ISERROR(FIND('112'!$M$9,G2217,1)),"",IF((AND(FIND('112'!$M$9,G2217,1)&gt;=1,B2217='112'!$K$9,OR($N2217='112'!$I$6,$O2217='112'!$I$6))),"x",""))</f>
        <v/>
      </c>
      <c r="U2217" s="75" t="str">
        <f>IF(ISERROR(FIND('112'!$M$9,G2217,1)),"",IF((AND(LEFT(G2217,2)=LEFT('112'!$M$9,2),B2217&lt;'112'!$K$9,$N2217='112'!$I$6)),"x",""))</f>
        <v/>
      </c>
      <c r="V2217" s="75" t="str">
        <f>IF(ISERROR(FIND('112'!$M$9,G2217,1)),"",IF((AND(RIGHT(G2217,2)=RIGHT('112'!$M$9,2),B2217&lt;'112'!$K$9,$O2217='112'!$I$6)),"x",""))</f>
        <v/>
      </c>
      <c r="W2217" s="75" t="str">
        <f>IF(AND('341-CT'!$H$9=H2217,OR(LEFT(N2217,3)=$W$7,LEFT(O2217,3)=$W$7)),"x","")</f>
        <v/>
      </c>
      <c r="X2217" s="75" t="str">
        <f>IF(OR(TH!N2217=TH!$X$7,O2217=TH!$X$7),"x","")</f>
        <v/>
      </c>
      <c r="Y2217" s="75" t="str">
        <f>IF(AND(OR(N2217="131",O2217="131"),H2217='131-CT'!$H$9),"x","")</f>
        <v/>
      </c>
      <c r="Z2217" s="75"/>
      <c r="AA2217" s="75" t="str">
        <f>IF(AND(MONTH(E2217)='IN-NX'!$J$5,'IN-NX'!$D$7=D2217),"x","")</f>
        <v/>
      </c>
      <c r="AB2217" s="75" t="str">
        <f>IF(AND(OR(LEFT(TH!N2217,2)="15",LEFT(TH!O2217,2)="15"),LEFT(TH!O2217,3)&lt;&gt;"111",'152-CT'!$J$8=TH!F2217),"x","")</f>
        <v/>
      </c>
      <c r="AC2217" s="75" t="str">
        <f>IF(AND(OR(LEFT(TH!N2217,2)="15",LEFT(TH!O2217,2)="15"),TK!$E$7=TH!F2217),"x","")</f>
        <v/>
      </c>
      <c r="AD2217" s="75" t="str">
        <f>IF(AND(N2217="1521",MONTH(C2217)='BK-NL'!$M$11),"x","")</f>
        <v/>
      </c>
      <c r="AF2217" s="1054"/>
    </row>
    <row r="2218" spans="1:32" s="1264" customFormat="1" ht="16.5" customHeight="1">
      <c r="A2218" s="309" t="str">
        <f>IF(B2218&lt;&gt;"",IF(AND(B2218='IN-TC'!$S$4,OR(TH!N2218="1111",TH!O2218="1111")),TH!D2218,""),"")</f>
        <v/>
      </c>
      <c r="B2218" s="1245">
        <f>IF(C2218&lt;&gt;"",MONTH(C2218),"")</f>
        <v>11</v>
      </c>
      <c r="C2218" s="252">
        <v>43056</v>
      </c>
      <c r="D2218" s="252" t="s">
        <v>2921</v>
      </c>
      <c r="E2218" s="252">
        <f>C2218</f>
        <v>43056</v>
      </c>
      <c r="F2218" s="1055" t="s">
        <v>2399</v>
      </c>
      <c r="G2218" s="1056"/>
      <c r="H2218" s="735" t="s">
        <v>1859</v>
      </c>
      <c r="I2218" s="371">
        <f>52780*2</f>
        <v>105560</v>
      </c>
      <c r="J2218" s="371">
        <v>50169.613594164453</v>
      </c>
      <c r="K2218" s="371"/>
      <c r="L2218" s="377"/>
      <c r="M2218" s="933">
        <f>ROUND(I2218*J2218,0)</f>
        <v>5295904411</v>
      </c>
      <c r="N2218" s="977" t="s">
        <v>284</v>
      </c>
      <c r="O2218" s="977" t="s">
        <v>274</v>
      </c>
      <c r="P2218" s="75" t="str">
        <f>IF(AND('331-CT'!$E$7=TH!H2218,OR(N2218="331",O2218="331")),"x","")</f>
        <v/>
      </c>
      <c r="Q2218" s="75" t="str">
        <f>IF(AND(B2218='111'!$L$11,OR($N2218=$Q$7,$O2218=$Q$7)),"x","")</f>
        <v/>
      </c>
      <c r="R2218" s="75" t="str">
        <f>IF(AND($N2218=$Q$7,$B2218&lt;'111'!$L$11),"x","")</f>
        <v/>
      </c>
      <c r="S2218" s="75" t="str">
        <f>IF(AND($O2218=$Q$7,$B2218&lt;'111'!$L$11),"x","")</f>
        <v/>
      </c>
      <c r="T2218" s="75" t="str">
        <f>IF(ISERROR(FIND('112'!$M$9,G2218,1)),"",IF((AND(FIND('112'!$M$9,G2218,1)&gt;=1,B2218='112'!$K$9,OR($N2218='112'!$I$6,$O2218='112'!$I$6))),"x",""))</f>
        <v/>
      </c>
      <c r="U2218" s="75" t="str">
        <f>IF(ISERROR(FIND('112'!$M$9,G2218,1)),"",IF((AND(LEFT(G2218,2)=LEFT('112'!$M$9,2),B2218&lt;'112'!$K$9,$N2218='112'!$I$6)),"x",""))</f>
        <v/>
      </c>
      <c r="V2218" s="75" t="str">
        <f>IF(ISERROR(FIND('112'!$M$9,G2218,1)),"",IF((AND(RIGHT(G2218,2)=RIGHT('112'!$M$9,2),B2218&lt;'112'!$K$9,$O2218='112'!$I$6)),"x",""))</f>
        <v/>
      </c>
      <c r="W2218" s="75" t="str">
        <f>IF(AND('341-CT'!$H$9=H2218,OR(LEFT(N2218,3)=$W$7,LEFT(O2218,3)=$W$7)),"x","")</f>
        <v/>
      </c>
      <c r="X2218" s="75" t="str">
        <f>IF(OR(TH!N2218=TH!$X$7,O2218=TH!$X$7),"x","")</f>
        <v/>
      </c>
      <c r="Y2218" s="75" t="str">
        <f>IF(AND(OR(N2218="131",O2218="131"),H2218='131-CT'!$H$9),"x","")</f>
        <v/>
      </c>
      <c r="Z2218" s="75"/>
      <c r="AA2218" s="75" t="str">
        <f>IF(AND(MONTH(E2218)='IN-NX'!$J$5,'IN-NX'!$D$7=D2218),"x","")</f>
        <v/>
      </c>
      <c r="AB2218" s="75" t="str">
        <f>IF(AND(OR(LEFT(TH!N2218,2)="15",LEFT(TH!O2218,2)="15"),LEFT(TH!O2218,3)&lt;&gt;"111",'152-CT'!$J$8=TH!F2218),"x","")</f>
        <v/>
      </c>
      <c r="AC2218" s="75" t="str">
        <f>IF(AND(OR(LEFT(TH!N2218,2)="15",LEFT(TH!O2218,2)="15"),TK!$E$7=TH!F2218),"x","")</f>
        <v/>
      </c>
      <c r="AD2218" s="75" t="str">
        <f>IF(AND(N2218="1521",MONTH(C2218)='BK-NL'!$M$11),"x","")</f>
        <v/>
      </c>
      <c r="AF2218" s="1054"/>
    </row>
    <row r="2219" spans="1:32" s="1264" customFormat="1" ht="16.5" customHeight="1">
      <c r="A2219" s="309" t="str">
        <f>IF(B2219&lt;&gt;"",IF(AND(B2219='IN-TC'!$S$4,OR(TH!N2219="1111",TH!O2219="1111")),TH!D2219,""),"")</f>
        <v/>
      </c>
      <c r="B2219" s="1282">
        <f t="shared" si="698"/>
        <v>11</v>
      </c>
      <c r="C2219" s="252">
        <v>43050</v>
      </c>
      <c r="D2219" s="252" t="s">
        <v>2921</v>
      </c>
      <c r="E2219" s="252">
        <f t="shared" si="697"/>
        <v>43050</v>
      </c>
      <c r="F2219" s="1055" t="s">
        <v>1588</v>
      </c>
      <c r="G2219" s="1056" t="s">
        <v>2530</v>
      </c>
      <c r="H2219" s="735" t="s">
        <v>1601</v>
      </c>
      <c r="I2219" s="371">
        <v>8000</v>
      </c>
      <c r="J2219" s="371">
        <v>216148.10037500001</v>
      </c>
      <c r="K2219" s="371"/>
      <c r="L2219" s="377"/>
      <c r="M2219" s="933">
        <f t="shared" si="699"/>
        <v>1729184803</v>
      </c>
      <c r="N2219" s="977" t="s">
        <v>284</v>
      </c>
      <c r="O2219" s="977" t="s">
        <v>274</v>
      </c>
      <c r="P2219" s="75" t="str">
        <f>IF(AND('331-CT'!$E$7=TH!H2219,OR(N2219="331",O2219="331")),"x","")</f>
        <v/>
      </c>
      <c r="Q2219" s="75" t="str">
        <f>IF(AND(B2219='111'!$L$11,OR($N2219=$Q$7,$O2219=$Q$7)),"x","")</f>
        <v/>
      </c>
      <c r="R2219" s="75" t="str">
        <f>IF(AND($N2219=$Q$7,$B2219&lt;'111'!$L$11),"x","")</f>
        <v/>
      </c>
      <c r="S2219" s="75" t="str">
        <f>IF(AND($O2219=$Q$7,$B2219&lt;'111'!$L$11),"x","")</f>
        <v/>
      </c>
      <c r="T2219" s="75" t="str">
        <f>IF(ISERROR(FIND('112'!$M$9,G2219,1)),"",IF((AND(FIND('112'!$M$9,G2219,1)&gt;=1,B2219='112'!$K$9,OR($N2219='112'!$I$6,$O2219='112'!$I$6))),"x",""))</f>
        <v/>
      </c>
      <c r="U2219" s="75" t="str">
        <f>IF(ISERROR(FIND('112'!$M$9,G2219,1)),"",IF((AND(LEFT(G2219,2)=LEFT('112'!$M$9,2),B2219&lt;'112'!$K$9,$N2219='112'!$I$6)),"x",""))</f>
        <v/>
      </c>
      <c r="V2219" s="75" t="str">
        <f>IF(ISERROR(FIND('112'!$M$9,G2219,1)),"",IF((AND(RIGHT(G2219,2)=RIGHT('112'!$M$9,2),B2219&lt;'112'!$K$9,$O2219='112'!$I$6)),"x",""))</f>
        <v/>
      </c>
      <c r="W2219" s="75" t="str">
        <f>IF(AND('341-CT'!$H$9=H2219,OR(LEFT(N2219,3)=$W$7,LEFT(O2219,3)=$W$7)),"x","")</f>
        <v/>
      </c>
      <c r="X2219" s="75" t="str">
        <f>IF(OR(TH!N2219=TH!$X$7,O2219=TH!$X$7),"x","")</f>
        <v/>
      </c>
      <c r="Y2219" s="75" t="str">
        <f>IF(AND(OR(N2219="131",O2219="131"),H2219='131-CT'!$H$9),"x","")</f>
        <v/>
      </c>
      <c r="Z2219" s="75"/>
      <c r="AA2219" s="75" t="str">
        <f>IF(AND(MONTH(E2219)='IN-NX'!$J$5,'IN-NX'!$D$7=D2219),"x","")</f>
        <v/>
      </c>
      <c r="AB2219" s="75" t="str">
        <f>IF(AND(OR(LEFT(TH!N2219,2)="15",LEFT(TH!O2219,2)="15"),LEFT(TH!O2219,3)&lt;&gt;"111",'152-CT'!$J$8=TH!F2219),"x","")</f>
        <v/>
      </c>
      <c r="AC2219" s="75" t="str">
        <f>IF(AND(OR(LEFT(TH!N2219,2)="15",LEFT(TH!O2219,2)="15"),TK!$E$7=TH!F2219),"x","")</f>
        <v/>
      </c>
      <c r="AD2219" s="75" t="str">
        <f>IF(AND(N2219="1521",MONTH(C2219)='BK-NL'!$M$11),"x","")</f>
        <v/>
      </c>
      <c r="AF2219" s="1054"/>
    </row>
    <row r="2220" spans="1:32" s="1264" customFormat="1" ht="16.5" customHeight="1">
      <c r="A2220" s="309" t="str">
        <f>IF(B2220&lt;&gt;"",IF(AND(B2220='IN-TC'!$S$4,OR(TH!N2220="1111",TH!O2220="1111")),TH!D2220,""),"")</f>
        <v/>
      </c>
      <c r="B2220" s="1282">
        <f t="shared" si="698"/>
        <v>11</v>
      </c>
      <c r="C2220" s="252">
        <v>43054</v>
      </c>
      <c r="D2220" s="252" t="s">
        <v>2921</v>
      </c>
      <c r="E2220" s="252">
        <f t="shared" si="697"/>
        <v>43054</v>
      </c>
      <c r="F2220" s="1055" t="s">
        <v>1401</v>
      </c>
      <c r="G2220" s="1056" t="s">
        <v>1161</v>
      </c>
      <c r="H2220" s="735" t="s">
        <v>751</v>
      </c>
      <c r="I2220" s="371">
        <v>3000</v>
      </c>
      <c r="J2220" s="371">
        <v>218191.307</v>
      </c>
      <c r="K2220" s="371"/>
      <c r="L2220" s="377"/>
      <c r="M2220" s="933">
        <f t="shared" si="699"/>
        <v>654573921</v>
      </c>
      <c r="N2220" s="977" t="s">
        <v>284</v>
      </c>
      <c r="O2220" s="977" t="s">
        <v>274</v>
      </c>
      <c r="P2220" s="75" t="str">
        <f>IF(AND('331-CT'!$E$7=TH!H2220,OR(N2220="331",O2220="331")),"x","")</f>
        <v/>
      </c>
      <c r="Q2220" s="75" t="str">
        <f>IF(AND(B2220='111'!$L$11,OR($N2220=$Q$7,$O2220=$Q$7)),"x","")</f>
        <v/>
      </c>
      <c r="R2220" s="75" t="str">
        <f>IF(AND($N2220=$Q$7,$B2220&lt;'111'!$L$11),"x","")</f>
        <v/>
      </c>
      <c r="S2220" s="75" t="str">
        <f>IF(AND($O2220=$Q$7,$B2220&lt;'111'!$L$11),"x","")</f>
        <v/>
      </c>
      <c r="T2220" s="75" t="str">
        <f>IF(ISERROR(FIND('112'!$M$9,G2220,1)),"",IF((AND(FIND('112'!$M$9,G2220,1)&gt;=1,B2220='112'!$K$9,OR($N2220='112'!$I$6,$O2220='112'!$I$6))),"x",""))</f>
        <v/>
      </c>
      <c r="U2220" s="75" t="str">
        <f>IF(ISERROR(FIND('112'!$M$9,G2220,1)),"",IF((AND(LEFT(G2220,2)=LEFT('112'!$M$9,2),B2220&lt;'112'!$K$9,$N2220='112'!$I$6)),"x",""))</f>
        <v/>
      </c>
      <c r="V2220" s="75" t="str">
        <f>IF(ISERROR(FIND('112'!$M$9,G2220,1)),"",IF((AND(RIGHT(G2220,2)=RIGHT('112'!$M$9,2),B2220&lt;'112'!$K$9,$O2220='112'!$I$6)),"x",""))</f>
        <v/>
      </c>
      <c r="W2220" s="75" t="str">
        <f>IF(AND('341-CT'!$H$9=H2220,OR(LEFT(N2220,3)=$W$7,LEFT(O2220,3)=$W$7)),"x","")</f>
        <v/>
      </c>
      <c r="X2220" s="75" t="str">
        <f>IF(OR(TH!N2220=TH!$X$7,O2220=TH!$X$7),"x","")</f>
        <v/>
      </c>
      <c r="Y2220" s="75" t="str">
        <f>IF(AND(OR(N2220="131",O2220="131"),H2220='131-CT'!$H$9),"x","")</f>
        <v/>
      </c>
      <c r="Z2220" s="75"/>
      <c r="AA2220" s="75" t="str">
        <f>IF(AND(MONTH(E2220)='IN-NX'!$J$5,'IN-NX'!$D$7=D2220),"x","")</f>
        <v/>
      </c>
      <c r="AB2220" s="75" t="str">
        <f>IF(AND(OR(LEFT(TH!N2220,2)="15",LEFT(TH!O2220,2)="15"),LEFT(TH!O2220,3)&lt;&gt;"111",'152-CT'!$J$8=TH!F2220),"x","")</f>
        <v/>
      </c>
      <c r="AC2220" s="75" t="str">
        <f>IF(AND(OR(LEFT(TH!N2220,2)="15",LEFT(TH!O2220,2)="15"),TK!$E$7=TH!F2220),"x","")</f>
        <v/>
      </c>
      <c r="AD2220" s="75" t="str">
        <f>IF(AND(N2220="1521",MONTH(C2220)='BK-NL'!$M$11),"x","")</f>
        <v/>
      </c>
      <c r="AF2220" s="1054"/>
    </row>
    <row r="2221" spans="1:32" s="1264" customFormat="1" ht="16.5" customHeight="1">
      <c r="A2221" s="309" t="str">
        <f>IF(B2221&lt;&gt;"",IF(AND(B2221='IN-TC'!$S$4,OR(TH!N2221="1111",TH!O2221="1111")),TH!D2221,""),"")</f>
        <v/>
      </c>
      <c r="B2221" s="1282">
        <f t="shared" si="698"/>
        <v>11</v>
      </c>
      <c r="C2221" s="252">
        <v>43063</v>
      </c>
      <c r="D2221" s="252" t="s">
        <v>2921</v>
      </c>
      <c r="E2221" s="252">
        <f t="shared" si="697"/>
        <v>43063</v>
      </c>
      <c r="F2221" s="1055" t="s">
        <v>2400</v>
      </c>
      <c r="G2221" s="1056" t="s">
        <v>2651</v>
      </c>
      <c r="H2221" s="73" t="s">
        <v>802</v>
      </c>
      <c r="I2221" s="371">
        <v>12500</v>
      </c>
      <c r="J2221" s="371">
        <v>197916.93176000001</v>
      </c>
      <c r="K2221" s="371"/>
      <c r="L2221" s="377"/>
      <c r="M2221" s="933">
        <f t="shared" si="699"/>
        <v>2473961647</v>
      </c>
      <c r="N2221" s="977" t="s">
        <v>284</v>
      </c>
      <c r="O2221" s="977" t="s">
        <v>274</v>
      </c>
      <c r="P2221" s="75" t="str">
        <f>IF(AND('331-CT'!$E$7=TH!H2221,OR(N2221="331",O2221="331")),"x","")</f>
        <v/>
      </c>
      <c r="Q2221" s="75" t="str">
        <f>IF(AND(B2221='111'!$L$11,OR($N2221=$Q$7,$O2221=$Q$7)),"x","")</f>
        <v/>
      </c>
      <c r="R2221" s="75" t="str">
        <f>IF(AND($N2221=$Q$7,$B2221&lt;'111'!$L$11),"x","")</f>
        <v/>
      </c>
      <c r="S2221" s="75" t="str">
        <f>IF(AND($O2221=$Q$7,$B2221&lt;'111'!$L$11),"x","")</f>
        <v/>
      </c>
      <c r="T2221" s="75" t="str">
        <f>IF(ISERROR(FIND('112'!$M$9,G2221,1)),"",IF((AND(FIND('112'!$M$9,G2221,1)&gt;=1,B2221='112'!$K$9,OR($N2221='112'!$I$6,$O2221='112'!$I$6))),"x",""))</f>
        <v/>
      </c>
      <c r="U2221" s="75" t="str">
        <f>IF(ISERROR(FIND('112'!$M$9,G2221,1)),"",IF((AND(LEFT(G2221,2)=LEFT('112'!$M$9,2),B2221&lt;'112'!$K$9,$N2221='112'!$I$6)),"x",""))</f>
        <v/>
      </c>
      <c r="V2221" s="75" t="str">
        <f>IF(ISERROR(FIND('112'!$M$9,G2221,1)),"",IF((AND(RIGHT(G2221,2)=RIGHT('112'!$M$9,2),B2221&lt;'112'!$K$9,$O2221='112'!$I$6)),"x",""))</f>
        <v/>
      </c>
      <c r="W2221" s="75" t="str">
        <f>IF(AND('341-CT'!$H$9=H2221,OR(LEFT(N2221,3)=$W$7,LEFT(O2221,3)=$W$7)),"x","")</f>
        <v/>
      </c>
      <c r="X2221" s="75" t="str">
        <f>IF(OR(TH!N2221=TH!$X$7,O2221=TH!$X$7),"x","")</f>
        <v/>
      </c>
      <c r="Y2221" s="75" t="str">
        <f>IF(AND(OR(N2221="131",O2221="131"),H2221='131-CT'!$H$9),"x","")</f>
        <v/>
      </c>
      <c r="Z2221" s="75"/>
      <c r="AA2221" s="75" t="str">
        <f>IF(AND(MONTH(E2221)='IN-NX'!$J$5,'IN-NX'!$D$7=D2221),"x","")</f>
        <v/>
      </c>
      <c r="AB2221" s="75" t="str">
        <f>IF(AND(OR(LEFT(TH!N2221,2)="15",LEFT(TH!O2221,2)="15"),LEFT(TH!O2221,3)&lt;&gt;"111",'152-CT'!$J$8=TH!F2221),"x","")</f>
        <v/>
      </c>
      <c r="AC2221" s="75" t="str">
        <f>IF(AND(OR(LEFT(TH!N2221,2)="15",LEFT(TH!O2221,2)="15"),TK!$E$7=TH!F2221),"x","")</f>
        <v/>
      </c>
      <c r="AD2221" s="75" t="str">
        <f>IF(AND(N2221="1521",MONTH(C2221)='BK-NL'!$M$11),"x","")</f>
        <v/>
      </c>
      <c r="AF2221" s="1054"/>
    </row>
    <row r="2222" spans="1:32" s="1264" customFormat="1" ht="16.5" customHeight="1">
      <c r="A2222" s="309" t="str">
        <f>IF(B2222&lt;&gt;"",IF(AND(B2222='IN-TC'!$S$4,OR(TH!N2222="1111",TH!O2222="1111")),TH!D2222,""),"")</f>
        <v/>
      </c>
      <c r="B2222" s="1282">
        <f t="shared" si="698"/>
        <v>11</v>
      </c>
      <c r="C2222" s="252">
        <v>43066</v>
      </c>
      <c r="D2222" s="252" t="s">
        <v>2921</v>
      </c>
      <c r="E2222" s="252">
        <f t="shared" si="697"/>
        <v>43066</v>
      </c>
      <c r="F2222" s="1055" t="s">
        <v>1588</v>
      </c>
      <c r="G2222" s="1056" t="s">
        <v>2649</v>
      </c>
      <c r="H2222" s="735" t="s">
        <v>1387</v>
      </c>
      <c r="I2222" s="371">
        <v>1000</v>
      </c>
      <c r="J2222" s="371">
        <v>216343.125</v>
      </c>
      <c r="K2222" s="371"/>
      <c r="L2222" s="377"/>
      <c r="M2222" s="933">
        <f t="shared" si="699"/>
        <v>216343125</v>
      </c>
      <c r="N2222" s="977" t="s">
        <v>284</v>
      </c>
      <c r="O2222" s="977" t="s">
        <v>274</v>
      </c>
      <c r="P2222" s="75" t="str">
        <f>IF(AND('331-CT'!$E$7=TH!H2222,OR(N2222="331",O2222="331")),"x","")</f>
        <v/>
      </c>
      <c r="Q2222" s="75" t="str">
        <f>IF(AND(B2222='111'!$L$11,OR($N2222=$Q$7,$O2222=$Q$7)),"x","")</f>
        <v/>
      </c>
      <c r="R2222" s="75" t="str">
        <f>IF(AND($N2222=$Q$7,$B2222&lt;'111'!$L$11),"x","")</f>
        <v/>
      </c>
      <c r="S2222" s="75" t="str">
        <f>IF(AND($O2222=$Q$7,$B2222&lt;'111'!$L$11),"x","")</f>
        <v/>
      </c>
      <c r="T2222" s="75" t="str">
        <f>IF(ISERROR(FIND('112'!$M$9,G2222,1)),"",IF((AND(FIND('112'!$M$9,G2222,1)&gt;=1,B2222='112'!$K$9,OR($N2222='112'!$I$6,$O2222='112'!$I$6))),"x",""))</f>
        <v/>
      </c>
      <c r="U2222" s="75" t="str">
        <f>IF(ISERROR(FIND('112'!$M$9,G2222,1)),"",IF((AND(LEFT(G2222,2)=LEFT('112'!$M$9,2),B2222&lt;'112'!$K$9,$N2222='112'!$I$6)),"x",""))</f>
        <v/>
      </c>
      <c r="V2222" s="75" t="str">
        <f>IF(ISERROR(FIND('112'!$M$9,G2222,1)),"",IF((AND(RIGHT(G2222,2)=RIGHT('112'!$M$9,2),B2222&lt;'112'!$K$9,$O2222='112'!$I$6)),"x",""))</f>
        <v/>
      </c>
      <c r="W2222" s="75" t="str">
        <f>IF(AND('341-CT'!$H$9=H2222,OR(LEFT(N2222,3)=$W$7,LEFT(O2222,3)=$W$7)),"x","")</f>
        <v/>
      </c>
      <c r="X2222" s="75" t="str">
        <f>IF(OR(TH!N2222=TH!$X$7,O2222=TH!$X$7),"x","")</f>
        <v/>
      </c>
      <c r="Y2222" s="75" t="str">
        <f>IF(AND(OR(N2222="131",O2222="131"),H2222='131-CT'!$H$9),"x","")</f>
        <v/>
      </c>
      <c r="Z2222" s="75"/>
      <c r="AA2222" s="75" t="str">
        <f>IF(AND(MONTH(E2222)='IN-NX'!$J$5,'IN-NX'!$D$7=D2222),"x","")</f>
        <v/>
      </c>
      <c r="AB2222" s="75" t="str">
        <f>IF(AND(OR(LEFT(TH!N2222,2)="15",LEFT(TH!O2222,2)="15"),LEFT(TH!O2222,3)&lt;&gt;"111",'152-CT'!$J$8=TH!F2222),"x","")</f>
        <v/>
      </c>
      <c r="AC2222" s="75" t="str">
        <f>IF(AND(OR(LEFT(TH!N2222,2)="15",LEFT(TH!O2222,2)="15"),TK!$E$7=TH!F2222),"x","")</f>
        <v/>
      </c>
      <c r="AD2222" s="75" t="str">
        <f>IF(AND(N2222="1521",MONTH(C2222)='BK-NL'!$M$11),"x","")</f>
        <v/>
      </c>
      <c r="AF2222" s="1054"/>
    </row>
    <row r="2223" spans="1:32" s="1264" customFormat="1" ht="16.5" customHeight="1">
      <c r="A2223" s="309" t="str">
        <f>IF(B2223&lt;&gt;"",IF(AND(B2223='IN-TC'!$S$4,OR(TH!N2223="1111",TH!O2223="1111")),TH!D2223,""),"")</f>
        <v/>
      </c>
      <c r="B2223" s="1282">
        <f t="shared" si="698"/>
        <v>11</v>
      </c>
      <c r="C2223" s="252">
        <v>43069</v>
      </c>
      <c r="D2223" s="252" t="s">
        <v>2921</v>
      </c>
      <c r="E2223" s="252">
        <f t="shared" si="697"/>
        <v>43069</v>
      </c>
      <c r="F2223" s="1055" t="s">
        <v>426</v>
      </c>
      <c r="G2223" s="1056" t="s">
        <v>2885</v>
      </c>
      <c r="H2223" s="735" t="s">
        <v>1548</v>
      </c>
      <c r="I2223" s="371">
        <v>4800</v>
      </c>
      <c r="J2223" s="371">
        <v>193009.83458333334</v>
      </c>
      <c r="K2223" s="371"/>
      <c r="L2223" s="377"/>
      <c r="M2223" s="933">
        <f t="shared" si="699"/>
        <v>926447206</v>
      </c>
      <c r="N2223" s="977" t="s">
        <v>284</v>
      </c>
      <c r="O2223" s="977" t="s">
        <v>274</v>
      </c>
      <c r="P2223" s="75" t="str">
        <f>IF(AND('331-CT'!$E$7=TH!H2223,OR(N2223="331",O2223="331")),"x","")</f>
        <v/>
      </c>
      <c r="Q2223" s="75" t="str">
        <f>IF(AND(B2223='111'!$L$11,OR($N2223=$Q$7,$O2223=$Q$7)),"x","")</f>
        <v/>
      </c>
      <c r="R2223" s="75" t="str">
        <f>IF(AND($N2223=$Q$7,$B2223&lt;'111'!$L$11),"x","")</f>
        <v/>
      </c>
      <c r="S2223" s="75" t="str">
        <f>IF(AND($O2223=$Q$7,$B2223&lt;'111'!$L$11),"x","")</f>
        <v/>
      </c>
      <c r="T2223" s="75" t="str">
        <f>IF(ISERROR(FIND('112'!$M$9,G2223,1)),"",IF((AND(FIND('112'!$M$9,G2223,1)&gt;=1,B2223='112'!$K$9,OR($N2223='112'!$I$6,$O2223='112'!$I$6))),"x",""))</f>
        <v/>
      </c>
      <c r="U2223" s="75" t="str">
        <f>IF(ISERROR(FIND('112'!$M$9,G2223,1)),"",IF((AND(LEFT(G2223,2)=LEFT('112'!$M$9,2),B2223&lt;'112'!$K$9,$N2223='112'!$I$6)),"x",""))</f>
        <v/>
      </c>
      <c r="V2223" s="75" t="str">
        <f>IF(ISERROR(FIND('112'!$M$9,G2223,1)),"",IF((AND(RIGHT(G2223,2)=RIGHT('112'!$M$9,2),B2223&lt;'112'!$K$9,$O2223='112'!$I$6)),"x",""))</f>
        <v/>
      </c>
      <c r="W2223" s="75" t="str">
        <f>IF(AND('341-CT'!$H$9=H2223,OR(LEFT(N2223,3)=$W$7,LEFT(O2223,3)=$W$7)),"x","")</f>
        <v/>
      </c>
      <c r="X2223" s="75" t="str">
        <f>IF(OR(TH!N2223=TH!$X$7,O2223=TH!$X$7),"x","")</f>
        <v/>
      </c>
      <c r="Y2223" s="75" t="str">
        <f>IF(AND(OR(N2223="131",O2223="131"),H2223='131-CT'!$H$9),"x","")</f>
        <v/>
      </c>
      <c r="Z2223" s="75"/>
      <c r="AA2223" s="75" t="str">
        <f>IF(AND(MONTH(E2223)='IN-NX'!$J$5,'IN-NX'!$D$7=D2223),"x","")</f>
        <v/>
      </c>
      <c r="AB2223" s="75" t="str">
        <f>IF(AND(OR(LEFT(TH!N2223,2)="15",LEFT(TH!O2223,2)="15"),LEFT(TH!O2223,3)&lt;&gt;"111",'152-CT'!$J$8=TH!F2223),"x","")</f>
        <v/>
      </c>
      <c r="AC2223" s="75" t="str">
        <f>IF(AND(OR(LEFT(TH!N2223,2)="15",LEFT(TH!O2223,2)="15"),TK!$E$7=TH!F2223),"x","")</f>
        <v/>
      </c>
      <c r="AD2223" s="75" t="str">
        <f>IF(AND(N2223="1521",MONTH(C2223)='BK-NL'!$M$11),"x","")</f>
        <v/>
      </c>
      <c r="AF2223" s="1054"/>
    </row>
    <row r="2224" spans="1:32" s="1264" customFormat="1" ht="16.5" customHeight="1">
      <c r="A2224" s="309" t="str">
        <f>IF(B2224&lt;&gt;"",IF(AND(B2224='IN-TC'!$S$4,OR(TH!N2224="1111",TH!O2224="1111")),TH!D2224,""),"")</f>
        <v/>
      </c>
      <c r="B2224" s="1282">
        <f t="shared" si="698"/>
        <v>11</v>
      </c>
      <c r="C2224" s="252">
        <v>43069</v>
      </c>
      <c r="D2224" s="252" t="s">
        <v>2921</v>
      </c>
      <c r="E2224" s="252">
        <f t="shared" si="697"/>
        <v>43069</v>
      </c>
      <c r="F2224" s="1055" t="s">
        <v>1621</v>
      </c>
      <c r="G2224" s="1056" t="s">
        <v>2751</v>
      </c>
      <c r="H2224" s="735" t="s">
        <v>802</v>
      </c>
      <c r="I2224" s="371">
        <v>100</v>
      </c>
      <c r="J2224" s="371">
        <v>148634.04347826086</v>
      </c>
      <c r="K2224" s="371"/>
      <c r="L2224" s="377"/>
      <c r="M2224" s="933">
        <f t="shared" si="699"/>
        <v>14863404</v>
      </c>
      <c r="N2224" s="977" t="s">
        <v>284</v>
      </c>
      <c r="O2224" s="977" t="s">
        <v>274</v>
      </c>
      <c r="P2224" s="75" t="str">
        <f>IF(AND('331-CT'!$E$7=TH!H2224,OR(N2224="331",O2224="331")),"x","")</f>
        <v/>
      </c>
      <c r="Q2224" s="75" t="str">
        <f>IF(AND(B2224='111'!$L$11,OR($N2224=$Q$7,$O2224=$Q$7)),"x","")</f>
        <v/>
      </c>
      <c r="R2224" s="75" t="str">
        <f>IF(AND($N2224=$Q$7,$B2224&lt;'111'!$L$11),"x","")</f>
        <v/>
      </c>
      <c r="S2224" s="75" t="str">
        <f>IF(AND($O2224=$Q$7,$B2224&lt;'111'!$L$11),"x","")</f>
        <v/>
      </c>
      <c r="T2224" s="75" t="str">
        <f>IF(ISERROR(FIND('112'!$M$9,G2224,1)),"",IF((AND(FIND('112'!$M$9,G2224,1)&gt;=1,B2224='112'!$K$9,OR($N2224='112'!$I$6,$O2224='112'!$I$6))),"x",""))</f>
        <v/>
      </c>
      <c r="U2224" s="75" t="str">
        <f>IF(ISERROR(FIND('112'!$M$9,G2224,1)),"",IF((AND(LEFT(G2224,2)=LEFT('112'!$M$9,2),B2224&lt;'112'!$K$9,$N2224='112'!$I$6)),"x",""))</f>
        <v/>
      </c>
      <c r="V2224" s="75" t="str">
        <f>IF(ISERROR(FIND('112'!$M$9,G2224,1)),"",IF((AND(RIGHT(G2224,2)=RIGHT('112'!$M$9,2),B2224&lt;'112'!$K$9,$O2224='112'!$I$6)),"x",""))</f>
        <v/>
      </c>
      <c r="W2224" s="75" t="str">
        <f>IF(AND('341-CT'!$H$9=H2224,OR(LEFT(N2224,3)=$W$7,LEFT(O2224,3)=$W$7)),"x","")</f>
        <v/>
      </c>
      <c r="X2224" s="75" t="str">
        <f>IF(OR(TH!N2224=TH!$X$7,O2224=TH!$X$7),"x","")</f>
        <v/>
      </c>
      <c r="Y2224" s="75" t="str">
        <f>IF(AND(OR(N2224="131",O2224="131"),H2224='131-CT'!$H$9),"x","")</f>
        <v/>
      </c>
      <c r="Z2224" s="75"/>
      <c r="AA2224" s="75" t="str">
        <f>IF(AND(MONTH(E2224)='IN-NX'!$J$5,'IN-NX'!$D$7=D2224),"x","")</f>
        <v/>
      </c>
      <c r="AB2224" s="75" t="str">
        <f>IF(AND(OR(LEFT(TH!N2224,2)="15",LEFT(TH!O2224,2)="15"),LEFT(TH!O2224,3)&lt;&gt;"111",'152-CT'!$J$8=TH!F2224),"x","")</f>
        <v/>
      </c>
      <c r="AC2224" s="75" t="str">
        <f>IF(AND(OR(LEFT(TH!N2224,2)="15",LEFT(TH!O2224,2)="15"),TK!$E$7=TH!F2224),"x","")</f>
        <v/>
      </c>
      <c r="AD2224" s="75" t="str">
        <f>IF(AND(N2224="1521",MONTH(C2224)='BK-NL'!$M$11),"x","")</f>
        <v/>
      </c>
      <c r="AF2224" s="1054"/>
    </row>
    <row r="2225" spans="1:32" s="1264" customFormat="1" ht="16.5" customHeight="1">
      <c r="A2225" s="309" t="str">
        <f>IF(B2225&lt;&gt;"",IF(AND(B2225='IN-TC'!$S$4,OR(TH!N2225="1111",TH!O2225="1111")),TH!D2225,""),"")</f>
        <v/>
      </c>
      <c r="B2225" s="1282">
        <f t="shared" si="698"/>
        <v>11</v>
      </c>
      <c r="C2225" s="252">
        <v>43069</v>
      </c>
      <c r="D2225" s="252" t="s">
        <v>2921</v>
      </c>
      <c r="E2225" s="252">
        <f t="shared" si="697"/>
        <v>43069</v>
      </c>
      <c r="F2225" s="1055" t="s">
        <v>2477</v>
      </c>
      <c r="G2225" s="1056" t="s">
        <v>2751</v>
      </c>
      <c r="H2225" s="735" t="s">
        <v>802</v>
      </c>
      <c r="I2225" s="371">
        <v>60</v>
      </c>
      <c r="J2225" s="371">
        <v>148634.04444444444</v>
      </c>
      <c r="K2225" s="371"/>
      <c r="L2225" s="377"/>
      <c r="M2225" s="933">
        <f t="shared" si="699"/>
        <v>8918043</v>
      </c>
      <c r="N2225" s="977" t="s">
        <v>284</v>
      </c>
      <c r="O2225" s="977" t="s">
        <v>274</v>
      </c>
      <c r="P2225" s="75" t="str">
        <f>IF(AND('331-CT'!$E$7=TH!H2225,OR(N2225="331",O2225="331")),"x","")</f>
        <v/>
      </c>
      <c r="Q2225" s="75" t="str">
        <f>IF(AND(B2225='111'!$L$11,OR($N2225=$Q$7,$O2225=$Q$7)),"x","")</f>
        <v/>
      </c>
      <c r="R2225" s="75" t="str">
        <f>IF(AND($N2225=$Q$7,$B2225&lt;'111'!$L$11),"x","")</f>
        <v/>
      </c>
      <c r="S2225" s="75" t="str">
        <f>IF(AND($O2225=$Q$7,$B2225&lt;'111'!$L$11),"x","")</f>
        <v/>
      </c>
      <c r="T2225" s="75" t="str">
        <f>IF(ISERROR(FIND('112'!$M$9,G2225,1)),"",IF((AND(FIND('112'!$M$9,G2225,1)&gt;=1,B2225='112'!$K$9,OR($N2225='112'!$I$6,$O2225='112'!$I$6))),"x",""))</f>
        <v/>
      </c>
      <c r="U2225" s="75" t="str">
        <f>IF(ISERROR(FIND('112'!$M$9,G2225,1)),"",IF((AND(LEFT(G2225,2)=LEFT('112'!$M$9,2),B2225&lt;'112'!$K$9,$N2225='112'!$I$6)),"x",""))</f>
        <v/>
      </c>
      <c r="V2225" s="75" t="str">
        <f>IF(ISERROR(FIND('112'!$M$9,G2225,1)),"",IF((AND(RIGHT(G2225,2)=RIGHT('112'!$M$9,2),B2225&lt;'112'!$K$9,$O2225='112'!$I$6)),"x",""))</f>
        <v/>
      </c>
      <c r="W2225" s="75" t="str">
        <f>IF(AND('341-CT'!$H$9=H2225,OR(LEFT(N2225,3)=$W$7,LEFT(O2225,3)=$W$7)),"x","")</f>
        <v/>
      </c>
      <c r="X2225" s="75" t="str">
        <f>IF(OR(TH!N2225=TH!$X$7,O2225=TH!$X$7),"x","")</f>
        <v/>
      </c>
      <c r="Y2225" s="75" t="str">
        <f>IF(AND(OR(N2225="131",O2225="131"),H2225='131-CT'!$H$9),"x","")</f>
        <v/>
      </c>
      <c r="Z2225" s="75"/>
      <c r="AA2225" s="75" t="str">
        <f>IF(AND(MONTH(E2225)='IN-NX'!$J$5,'IN-NX'!$D$7=D2225),"x","")</f>
        <v/>
      </c>
      <c r="AB2225" s="75" t="str">
        <f>IF(AND(OR(LEFT(TH!N2225,2)="15",LEFT(TH!O2225,2)="15"),LEFT(TH!O2225,3)&lt;&gt;"111",'152-CT'!$J$8=TH!F2225),"x","")</f>
        <v/>
      </c>
      <c r="AC2225" s="75" t="str">
        <f>IF(AND(OR(LEFT(TH!N2225,2)="15",LEFT(TH!O2225,2)="15"),TK!$E$7=TH!F2225),"x","")</f>
        <v/>
      </c>
      <c r="AD2225" s="75" t="str">
        <f>IF(AND(N2225="1521",MONTH(C2225)='BK-NL'!$M$11),"x","")</f>
        <v/>
      </c>
      <c r="AF2225" s="1054"/>
    </row>
    <row r="2226" spans="1:32" s="1264" customFormat="1" ht="16.5" customHeight="1">
      <c r="A2226" s="309" t="str">
        <f>IF(B2226&lt;&gt;"",IF(AND(B2226='IN-TC'!$S$4,OR(TH!N2226="1111",TH!O2226="1111")),TH!D2226,""),"")</f>
        <v/>
      </c>
      <c r="B2226" s="1282">
        <f t="shared" si="698"/>
        <v>11</v>
      </c>
      <c r="C2226" s="252">
        <v>43069</v>
      </c>
      <c r="D2226" s="252" t="s">
        <v>2921</v>
      </c>
      <c r="E2226" s="252">
        <f t="shared" si="697"/>
        <v>43069</v>
      </c>
      <c r="F2226" s="1055" t="s">
        <v>1107</v>
      </c>
      <c r="G2226" s="1056" t="s">
        <v>2751</v>
      </c>
      <c r="H2226" s="735" t="s">
        <v>802</v>
      </c>
      <c r="I2226" s="371">
        <v>20</v>
      </c>
      <c r="J2226" s="371">
        <v>209883.36666666667</v>
      </c>
      <c r="K2226" s="371"/>
      <c r="L2226" s="377"/>
      <c r="M2226" s="933">
        <f t="shared" si="699"/>
        <v>4197667</v>
      </c>
      <c r="N2226" s="977" t="s">
        <v>284</v>
      </c>
      <c r="O2226" s="977" t="s">
        <v>274</v>
      </c>
      <c r="P2226" s="75" t="str">
        <f>IF(AND('331-CT'!$E$7=TH!H2226,OR(N2226="331",O2226="331")),"x","")</f>
        <v/>
      </c>
      <c r="Q2226" s="75" t="str">
        <f>IF(AND(B2226='111'!$L$11,OR($N2226=$Q$7,$O2226=$Q$7)),"x","")</f>
        <v/>
      </c>
      <c r="R2226" s="75" t="str">
        <f>IF(AND($N2226=$Q$7,$B2226&lt;'111'!$L$11),"x","")</f>
        <v/>
      </c>
      <c r="S2226" s="75" t="str">
        <f>IF(AND($O2226=$Q$7,$B2226&lt;'111'!$L$11),"x","")</f>
        <v/>
      </c>
      <c r="T2226" s="75" t="str">
        <f>IF(ISERROR(FIND('112'!$M$9,G2226,1)),"",IF((AND(FIND('112'!$M$9,G2226,1)&gt;=1,B2226='112'!$K$9,OR($N2226='112'!$I$6,$O2226='112'!$I$6))),"x",""))</f>
        <v/>
      </c>
      <c r="U2226" s="75" t="str">
        <f>IF(ISERROR(FIND('112'!$M$9,G2226,1)),"",IF((AND(LEFT(G2226,2)=LEFT('112'!$M$9,2),B2226&lt;'112'!$K$9,$N2226='112'!$I$6)),"x",""))</f>
        <v/>
      </c>
      <c r="V2226" s="75" t="str">
        <f>IF(ISERROR(FIND('112'!$M$9,G2226,1)),"",IF((AND(RIGHT(G2226,2)=RIGHT('112'!$M$9,2),B2226&lt;'112'!$K$9,$O2226='112'!$I$6)),"x",""))</f>
        <v/>
      </c>
      <c r="W2226" s="75" t="str">
        <f>IF(AND('341-CT'!$H$9=H2226,OR(LEFT(N2226,3)=$W$7,LEFT(O2226,3)=$W$7)),"x","")</f>
        <v/>
      </c>
      <c r="X2226" s="75" t="str">
        <f>IF(OR(TH!N2226=TH!$X$7,O2226=TH!$X$7),"x","")</f>
        <v/>
      </c>
      <c r="Y2226" s="75" t="str">
        <f>IF(AND(OR(N2226="131",O2226="131"),H2226='131-CT'!$H$9),"x","")</f>
        <v/>
      </c>
      <c r="Z2226" s="75"/>
      <c r="AA2226" s="75" t="str">
        <f>IF(AND(MONTH(E2226)='IN-NX'!$J$5,'IN-NX'!$D$7=D2226),"x","")</f>
        <v/>
      </c>
      <c r="AB2226" s="75" t="str">
        <f>IF(AND(OR(LEFT(TH!N2226,2)="15",LEFT(TH!O2226,2)="15"),LEFT(TH!O2226,3)&lt;&gt;"111",'152-CT'!$J$8=TH!F2226),"x","")</f>
        <v/>
      </c>
      <c r="AC2226" s="75" t="str">
        <f>IF(AND(OR(LEFT(TH!N2226,2)="15",LEFT(TH!O2226,2)="15"),TK!$E$7=TH!F2226),"x","")</f>
        <v/>
      </c>
      <c r="AD2226" s="75" t="str">
        <f>IF(AND(N2226="1521",MONTH(C2226)='BK-NL'!$M$11),"x","")</f>
        <v/>
      </c>
      <c r="AF2226" s="1054"/>
    </row>
    <row r="2227" spans="1:32" s="1264" customFormat="1" ht="16.5" customHeight="1">
      <c r="A2227" s="309" t="str">
        <f>IF(B2227&lt;&gt;"",IF(AND(B2227='IN-TC'!$S$4,OR(TH!N2227="1111",TH!O2227="1111")),TH!D2227,""),"")</f>
        <v/>
      </c>
      <c r="B2227" s="1282">
        <f t="shared" si="698"/>
        <v>11</v>
      </c>
      <c r="C2227" s="252">
        <v>43069</v>
      </c>
      <c r="D2227" s="252" t="s">
        <v>2921</v>
      </c>
      <c r="E2227" s="252">
        <f t="shared" si="697"/>
        <v>43069</v>
      </c>
      <c r="F2227" s="1055" t="s">
        <v>800</v>
      </c>
      <c r="G2227" s="1056" t="s">
        <v>2751</v>
      </c>
      <c r="H2227" s="735" t="s">
        <v>802</v>
      </c>
      <c r="I2227" s="371">
        <v>60</v>
      </c>
      <c r="J2227" s="371">
        <v>198632.69523809524</v>
      </c>
      <c r="K2227" s="371"/>
      <c r="L2227" s="377"/>
      <c r="M2227" s="933">
        <f t="shared" si="699"/>
        <v>11917962</v>
      </c>
      <c r="N2227" s="977" t="s">
        <v>284</v>
      </c>
      <c r="O2227" s="977" t="s">
        <v>274</v>
      </c>
      <c r="P2227" s="75" t="str">
        <f>IF(AND('331-CT'!$E$7=TH!H2227,OR(N2227="331",O2227="331")),"x","")</f>
        <v/>
      </c>
      <c r="Q2227" s="75" t="str">
        <f>IF(AND(B2227='111'!$L$11,OR($N2227=$Q$7,$O2227=$Q$7)),"x","")</f>
        <v/>
      </c>
      <c r="R2227" s="75" t="str">
        <f>IF(AND($N2227=$Q$7,$B2227&lt;'111'!$L$11),"x","")</f>
        <v/>
      </c>
      <c r="S2227" s="75" t="str">
        <f>IF(AND($O2227=$Q$7,$B2227&lt;'111'!$L$11),"x","")</f>
        <v/>
      </c>
      <c r="T2227" s="75" t="str">
        <f>IF(ISERROR(FIND('112'!$M$9,G2227,1)),"",IF((AND(FIND('112'!$M$9,G2227,1)&gt;=1,B2227='112'!$K$9,OR($N2227='112'!$I$6,$O2227='112'!$I$6))),"x",""))</f>
        <v/>
      </c>
      <c r="U2227" s="75" t="str">
        <f>IF(ISERROR(FIND('112'!$M$9,G2227,1)),"",IF((AND(LEFT(G2227,2)=LEFT('112'!$M$9,2),B2227&lt;'112'!$K$9,$N2227='112'!$I$6)),"x",""))</f>
        <v/>
      </c>
      <c r="V2227" s="75" t="str">
        <f>IF(ISERROR(FIND('112'!$M$9,G2227,1)),"",IF((AND(RIGHT(G2227,2)=RIGHT('112'!$M$9,2),B2227&lt;'112'!$K$9,$O2227='112'!$I$6)),"x",""))</f>
        <v/>
      </c>
      <c r="W2227" s="75" t="str">
        <f>IF(AND('341-CT'!$H$9=H2227,OR(LEFT(N2227,3)=$W$7,LEFT(O2227,3)=$W$7)),"x","")</f>
        <v/>
      </c>
      <c r="X2227" s="75" t="str">
        <f>IF(OR(TH!N2227=TH!$X$7,O2227=TH!$X$7),"x","")</f>
        <v/>
      </c>
      <c r="Y2227" s="75" t="str">
        <f>IF(AND(OR(N2227="131",O2227="131"),H2227='131-CT'!$H$9),"x","")</f>
        <v/>
      </c>
      <c r="Z2227" s="75"/>
      <c r="AA2227" s="75" t="str">
        <f>IF(AND(MONTH(E2227)='IN-NX'!$J$5,'IN-NX'!$D$7=D2227),"x","")</f>
        <v/>
      </c>
      <c r="AB2227" s="75" t="str">
        <f>IF(AND(OR(LEFT(TH!N2227,2)="15",LEFT(TH!O2227,2)="15"),LEFT(TH!O2227,3)&lt;&gt;"111",'152-CT'!$J$8=TH!F2227),"x","")</f>
        <v/>
      </c>
      <c r="AC2227" s="75" t="str">
        <f>IF(AND(OR(LEFT(TH!N2227,2)="15",LEFT(TH!O2227,2)="15"),TK!$E$7=TH!F2227),"x","")</f>
        <v/>
      </c>
      <c r="AD2227" s="75" t="str">
        <f>IF(AND(N2227="1521",MONTH(C2227)='BK-NL'!$M$11),"x","")</f>
        <v/>
      </c>
      <c r="AF2227" s="1054"/>
    </row>
    <row r="2228" spans="1:32" s="1264" customFormat="1" ht="16.5" customHeight="1">
      <c r="A2228" s="309" t="str">
        <f>IF(B2228&lt;&gt;"",IF(AND(B2228='IN-TC'!$S$4,OR(TH!N2228="1111",TH!O2228="1111")),TH!D2228,""),"")</f>
        <v/>
      </c>
      <c r="B2228" s="1282">
        <f t="shared" si="698"/>
        <v>11</v>
      </c>
      <c r="C2228" s="252">
        <v>43069</v>
      </c>
      <c r="D2228" s="252" t="s">
        <v>2921</v>
      </c>
      <c r="E2228" s="252">
        <f t="shared" si="697"/>
        <v>43069</v>
      </c>
      <c r="F2228" s="1055" t="s">
        <v>1620</v>
      </c>
      <c r="G2228" s="1056" t="s">
        <v>2751</v>
      </c>
      <c r="H2228" s="735" t="s">
        <v>802</v>
      </c>
      <c r="I2228" s="371">
        <v>20</v>
      </c>
      <c r="J2228" s="371">
        <v>306134.04444444447</v>
      </c>
      <c r="K2228" s="371"/>
      <c r="L2228" s="377"/>
      <c r="M2228" s="933">
        <f t="shared" si="699"/>
        <v>6122681</v>
      </c>
      <c r="N2228" s="977" t="s">
        <v>284</v>
      </c>
      <c r="O2228" s="977" t="s">
        <v>274</v>
      </c>
      <c r="P2228" s="75" t="str">
        <f>IF(AND('331-CT'!$E$7=TH!H2228,OR(N2228="331",O2228="331")),"x","")</f>
        <v/>
      </c>
      <c r="Q2228" s="75" t="str">
        <f>IF(AND(B2228='111'!$L$11,OR($N2228=$Q$7,$O2228=$Q$7)),"x","")</f>
        <v/>
      </c>
      <c r="R2228" s="75" t="str">
        <f>IF(AND($N2228=$Q$7,$B2228&lt;'111'!$L$11),"x","")</f>
        <v/>
      </c>
      <c r="S2228" s="75" t="str">
        <f>IF(AND($O2228=$Q$7,$B2228&lt;'111'!$L$11),"x","")</f>
        <v/>
      </c>
      <c r="T2228" s="75" t="str">
        <f>IF(ISERROR(FIND('112'!$M$9,G2228,1)),"",IF((AND(FIND('112'!$M$9,G2228,1)&gt;=1,B2228='112'!$K$9,OR($N2228='112'!$I$6,$O2228='112'!$I$6))),"x",""))</f>
        <v/>
      </c>
      <c r="U2228" s="75" t="str">
        <f>IF(ISERROR(FIND('112'!$M$9,G2228,1)),"",IF((AND(LEFT(G2228,2)=LEFT('112'!$M$9,2),B2228&lt;'112'!$K$9,$N2228='112'!$I$6)),"x",""))</f>
        <v/>
      </c>
      <c r="V2228" s="75" t="str">
        <f>IF(ISERROR(FIND('112'!$M$9,G2228,1)),"",IF((AND(RIGHT(G2228,2)=RIGHT('112'!$M$9,2),B2228&lt;'112'!$K$9,$O2228='112'!$I$6)),"x",""))</f>
        <v/>
      </c>
      <c r="W2228" s="75" t="str">
        <f>IF(AND('341-CT'!$H$9=H2228,OR(LEFT(N2228,3)=$W$7,LEFT(O2228,3)=$W$7)),"x","")</f>
        <v/>
      </c>
      <c r="X2228" s="75" t="str">
        <f>IF(OR(TH!N2228=TH!$X$7,O2228=TH!$X$7),"x","")</f>
        <v/>
      </c>
      <c r="Y2228" s="75" t="str">
        <f>IF(AND(OR(N2228="131",O2228="131"),H2228='131-CT'!$H$9),"x","")</f>
        <v/>
      </c>
      <c r="Z2228" s="75"/>
      <c r="AA2228" s="75" t="str">
        <f>IF(AND(MONTH(E2228)='IN-NX'!$J$5,'IN-NX'!$D$7=D2228),"x","")</f>
        <v/>
      </c>
      <c r="AB2228" s="75" t="str">
        <f>IF(AND(OR(LEFT(TH!N2228,2)="15",LEFT(TH!O2228,2)="15"),LEFT(TH!O2228,3)&lt;&gt;"111",'152-CT'!$J$8=TH!F2228),"x","")</f>
        <v/>
      </c>
      <c r="AC2228" s="75" t="str">
        <f>IF(AND(OR(LEFT(TH!N2228,2)="15",LEFT(TH!O2228,2)="15"),TK!$E$7=TH!F2228),"x","")</f>
        <v/>
      </c>
      <c r="AD2228" s="75" t="str">
        <f>IF(AND(N2228="1521",MONTH(C2228)='BK-NL'!$M$11),"x","")</f>
        <v/>
      </c>
      <c r="AF2228" s="1054"/>
    </row>
    <row r="2229" spans="1:32" s="1264" customFormat="1" ht="16.5" customHeight="1">
      <c r="A2229" s="309" t="str">
        <f>IF(B2229&lt;&gt;"",IF(AND(B2229='IN-TC'!$S$4,OR(TH!N2229="1111",TH!O2229="1111")),TH!D2229,""),"")</f>
        <v/>
      </c>
      <c r="B2229" s="1282">
        <f t="shared" si="698"/>
        <v>11</v>
      </c>
      <c r="C2229" s="252">
        <v>43069</v>
      </c>
      <c r="D2229" s="252" t="s">
        <v>2921</v>
      </c>
      <c r="E2229" s="252">
        <f>C2229</f>
        <v>43069</v>
      </c>
      <c r="F2229" s="1055" t="s">
        <v>418</v>
      </c>
      <c r="G2229" s="1056" t="s">
        <v>2751</v>
      </c>
      <c r="H2229" s="735" t="s">
        <v>802</v>
      </c>
      <c r="I2229" s="371">
        <v>60</v>
      </c>
      <c r="J2229" s="371">
        <v>89134.71974522293</v>
      </c>
      <c r="K2229" s="371"/>
      <c r="L2229" s="377"/>
      <c r="M2229" s="933">
        <f t="shared" si="699"/>
        <v>5348083</v>
      </c>
      <c r="N2229" s="977" t="s">
        <v>284</v>
      </c>
      <c r="O2229" s="977" t="s">
        <v>274</v>
      </c>
      <c r="P2229" s="75" t="str">
        <f>IF(AND('331-CT'!$E$7=TH!H2229,OR(N2229="331",O2229="331")),"x","")</f>
        <v/>
      </c>
      <c r="Q2229" s="75" t="str">
        <f>IF(AND(B2229='111'!$L$11,OR($N2229=$Q$7,$O2229=$Q$7)),"x","")</f>
        <v/>
      </c>
      <c r="R2229" s="75" t="str">
        <f>IF(AND($N2229=$Q$7,$B2229&lt;'111'!$L$11),"x","")</f>
        <v/>
      </c>
      <c r="S2229" s="75" t="str">
        <f>IF(AND($O2229=$Q$7,$B2229&lt;'111'!$L$11),"x","")</f>
        <v/>
      </c>
      <c r="T2229" s="75" t="str">
        <f>IF(ISERROR(FIND('112'!$M$9,G2229,1)),"",IF((AND(FIND('112'!$M$9,G2229,1)&gt;=1,B2229='112'!$K$9,OR($N2229='112'!$I$6,$O2229='112'!$I$6))),"x",""))</f>
        <v/>
      </c>
      <c r="U2229" s="75" t="str">
        <f>IF(ISERROR(FIND('112'!$M$9,G2229,1)),"",IF((AND(LEFT(G2229,2)=LEFT('112'!$M$9,2),B2229&lt;'112'!$K$9,$N2229='112'!$I$6)),"x",""))</f>
        <v/>
      </c>
      <c r="V2229" s="75" t="str">
        <f>IF(ISERROR(FIND('112'!$M$9,G2229,1)),"",IF((AND(RIGHT(G2229,2)=RIGHT('112'!$M$9,2),B2229&lt;'112'!$K$9,$O2229='112'!$I$6)),"x",""))</f>
        <v/>
      </c>
      <c r="W2229" s="75" t="str">
        <f>IF(AND('341-CT'!$H$9=H2229,OR(LEFT(N2229,3)=$W$7,LEFT(O2229,3)=$W$7)),"x","")</f>
        <v/>
      </c>
      <c r="X2229" s="75" t="str">
        <f>IF(OR(TH!N2229=TH!$X$7,O2229=TH!$X$7),"x","")</f>
        <v/>
      </c>
      <c r="Y2229" s="75" t="str">
        <f>IF(AND(OR(N2229="131",O2229="131"),H2229='131-CT'!$H$9),"x","")</f>
        <v/>
      </c>
      <c r="Z2229" s="75"/>
      <c r="AA2229" s="75" t="str">
        <f>IF(AND(MONTH(E2229)='IN-NX'!$J$5,'IN-NX'!$D$7=D2229),"x","")</f>
        <v/>
      </c>
      <c r="AB2229" s="75" t="str">
        <f>IF(AND(OR(LEFT(TH!N2229,2)="15",LEFT(TH!O2229,2)="15"),LEFT(TH!O2229,3)&lt;&gt;"111",'152-CT'!$J$8=TH!F2229),"x","")</f>
        <v/>
      </c>
      <c r="AC2229" s="75" t="str">
        <f>IF(AND(OR(LEFT(TH!N2229,2)="15",LEFT(TH!O2229,2)="15"),TK!$E$7=TH!F2229),"x","")</f>
        <v/>
      </c>
      <c r="AD2229" s="75" t="str">
        <f>IF(AND(N2229="1521",MONTH(C2229)='BK-NL'!$M$11),"x","")</f>
        <v/>
      </c>
      <c r="AF2229" s="1054"/>
    </row>
    <row r="2230" spans="1:32" s="1264" customFormat="1" ht="16.5" customHeight="1">
      <c r="A2230" s="309" t="str">
        <f>IF(B2230&lt;&gt;"",IF(AND(B2230='IN-TC'!$S$4,OR(TH!N2230="1111",TH!O2230="1111")),TH!D2230,""),"")</f>
        <v/>
      </c>
      <c r="B2230" s="1282">
        <f t="shared" si="698"/>
        <v>11</v>
      </c>
      <c r="C2230" s="252">
        <v>43069</v>
      </c>
      <c r="D2230" s="252" t="s">
        <v>2921</v>
      </c>
      <c r="E2230" s="252">
        <f>C2230</f>
        <v>43069</v>
      </c>
      <c r="F2230" s="1055" t="s">
        <v>799</v>
      </c>
      <c r="G2230" s="1056" t="s">
        <v>2751</v>
      </c>
      <c r="H2230" s="735" t="s">
        <v>802</v>
      </c>
      <c r="I2230" s="371">
        <v>40</v>
      </c>
      <c r="J2230" s="371">
        <v>114632.69486404833</v>
      </c>
      <c r="K2230" s="371"/>
      <c r="L2230" s="377"/>
      <c r="M2230" s="933">
        <f t="shared" si="699"/>
        <v>4585308</v>
      </c>
      <c r="N2230" s="977" t="s">
        <v>284</v>
      </c>
      <c r="O2230" s="977" t="s">
        <v>274</v>
      </c>
      <c r="P2230" s="75" t="str">
        <f>IF(AND('331-CT'!$E$7=TH!H2230,OR(N2230="331",O2230="331")),"x","")</f>
        <v/>
      </c>
      <c r="Q2230" s="75" t="str">
        <f>IF(AND(B2230='111'!$L$11,OR($N2230=$Q$7,$O2230=$Q$7)),"x","")</f>
        <v/>
      </c>
      <c r="R2230" s="75" t="str">
        <f>IF(AND($N2230=$Q$7,$B2230&lt;'111'!$L$11),"x","")</f>
        <v/>
      </c>
      <c r="S2230" s="75" t="str">
        <f>IF(AND($O2230=$Q$7,$B2230&lt;'111'!$L$11),"x","")</f>
        <v/>
      </c>
      <c r="T2230" s="75" t="str">
        <f>IF(ISERROR(FIND('112'!$M$9,G2230,1)),"",IF((AND(FIND('112'!$M$9,G2230,1)&gt;=1,B2230='112'!$K$9,OR($N2230='112'!$I$6,$O2230='112'!$I$6))),"x",""))</f>
        <v/>
      </c>
      <c r="U2230" s="75" t="str">
        <f>IF(ISERROR(FIND('112'!$M$9,G2230,1)),"",IF((AND(LEFT(G2230,2)=LEFT('112'!$M$9,2),B2230&lt;'112'!$K$9,$N2230='112'!$I$6)),"x",""))</f>
        <v/>
      </c>
      <c r="V2230" s="75" t="str">
        <f>IF(ISERROR(FIND('112'!$M$9,G2230,1)),"",IF((AND(RIGHT(G2230,2)=RIGHT('112'!$M$9,2),B2230&lt;'112'!$K$9,$O2230='112'!$I$6)),"x",""))</f>
        <v/>
      </c>
      <c r="W2230" s="75" t="str">
        <f>IF(AND('341-CT'!$H$9=H2230,OR(LEFT(N2230,3)=$W$7,LEFT(O2230,3)=$W$7)),"x","")</f>
        <v/>
      </c>
      <c r="X2230" s="75" t="str">
        <f>IF(OR(TH!N2230=TH!$X$7,O2230=TH!$X$7),"x","")</f>
        <v/>
      </c>
      <c r="Y2230" s="75" t="str">
        <f>IF(AND(OR(N2230="131",O2230="131"),H2230='131-CT'!$H$9),"x","")</f>
        <v/>
      </c>
      <c r="Z2230" s="75"/>
      <c r="AA2230" s="75" t="str">
        <f>IF(AND(MONTH(E2230)='IN-NX'!$J$5,'IN-NX'!$D$7=D2230),"x","")</f>
        <v/>
      </c>
      <c r="AB2230" s="75" t="str">
        <f>IF(AND(OR(LEFT(TH!N2230,2)="15",LEFT(TH!O2230,2)="15"),LEFT(TH!O2230,3)&lt;&gt;"111",'152-CT'!$J$8=TH!F2230),"x","")</f>
        <v/>
      </c>
      <c r="AC2230" s="75" t="str">
        <f>IF(AND(OR(LEFT(TH!N2230,2)="15",LEFT(TH!O2230,2)="15"),TK!$E$7=TH!F2230),"x","")</f>
        <v/>
      </c>
      <c r="AD2230" s="75" t="str">
        <f>IF(AND(N2230="1521",MONTH(C2230)='BK-NL'!$M$11),"x","")</f>
        <v/>
      </c>
      <c r="AF2230" s="1054"/>
    </row>
    <row r="2231" spans="1:32" s="1053" customFormat="1" ht="16.5" customHeight="1">
      <c r="A2231" s="309" t="str">
        <f>IF(B2231&lt;&gt;"",IF(AND(B2231='IN-TC'!$S$4,OR(TH!N2231="1111",TH!O2231="1111")),TH!D2231,""),"")</f>
        <v/>
      </c>
      <c r="B2231" s="1245">
        <f t="shared" ref="B2231:B2289" si="700">IF(C2231&lt;&gt;"",MONTH(C2231),"")</f>
        <v>11</v>
      </c>
      <c r="C2231" s="292">
        <v>43056</v>
      </c>
      <c r="D2231" s="292" t="s">
        <v>829</v>
      </c>
      <c r="E2231" s="292">
        <f t="shared" ref="E2231:E2245" si="701">C2231</f>
        <v>43056</v>
      </c>
      <c r="F2231" s="67" t="s">
        <v>336</v>
      </c>
      <c r="G2231" s="925" t="s">
        <v>2742</v>
      </c>
      <c r="H2231" s="311" t="s">
        <v>2657</v>
      </c>
      <c r="I2231" s="373">
        <v>1350</v>
      </c>
      <c r="J2231" s="379">
        <v>13619.047699999999</v>
      </c>
      <c r="K2231" s="373"/>
      <c r="L2231" s="379"/>
      <c r="M2231" s="927">
        <f t="shared" si="699"/>
        <v>18385714</v>
      </c>
      <c r="N2231" s="295" t="s">
        <v>266</v>
      </c>
      <c r="O2231" s="295" t="s">
        <v>8</v>
      </c>
      <c r="P2231" s="75" t="str">
        <f>IF(AND('331-CT'!$E$7=TH!H2231,OR(N2231="331",O2231="331")),"x","")</f>
        <v/>
      </c>
      <c r="Q2231" s="75" t="str">
        <f>IF(AND(B2231='111'!$L$11,OR($N2231=$Q$7,$O2231=$Q$7)),"x","")</f>
        <v/>
      </c>
      <c r="R2231" s="75" t="str">
        <f>IF(AND($N2231=$Q$7,$B2231&lt;'111'!$L$11),"x","")</f>
        <v/>
      </c>
      <c r="S2231" s="75" t="str">
        <f>IF(AND($O2231=$Q$7,$B2231&lt;'111'!$L$11),"x","")</f>
        <v/>
      </c>
      <c r="T2231" s="75" t="str">
        <f>IF(ISERROR(FIND('112'!$M$9,G2231,1)),"",IF((AND(FIND('112'!$M$9,G2231,1)&gt;=1,B2231='112'!$K$9,OR($N2231='112'!$I$6,$O2231='112'!$I$6))),"x",""))</f>
        <v/>
      </c>
      <c r="U2231" s="75" t="str">
        <f>IF(ISERROR(FIND('112'!$M$9,G2231,1)),"",IF((AND(LEFT(G2231,2)=LEFT('112'!$M$9,2),B2231&lt;'112'!$K$9,$N2231='112'!$I$6)),"x",""))</f>
        <v/>
      </c>
      <c r="V2231" s="75" t="str">
        <f>IF(ISERROR(FIND('112'!$M$9,G2231,1)),"",IF((AND(RIGHT(G2231,2)=RIGHT('112'!$M$9,2),B2231&lt;'112'!$K$9,$O2231='112'!$I$6)),"x",""))</f>
        <v/>
      </c>
      <c r="W2231" s="75" t="str">
        <f>IF(AND('341-CT'!$H$9=H2231,OR(LEFT(N2231,3)=$W$7,LEFT(O2231,3)=$W$7)),"x","")</f>
        <v/>
      </c>
      <c r="X2231" s="75" t="str">
        <f>IF(OR(TH!N2231=TH!$X$7,O2231=TH!$X$7),"x","")</f>
        <v/>
      </c>
      <c r="Y2231" s="75" t="str">
        <f>IF(AND(OR(N2231="131",O2231="131"),H2231='131-CT'!$H$9),"x","")</f>
        <v/>
      </c>
      <c r="Z2231" s="75"/>
      <c r="AA2231" s="75" t="str">
        <f>IF(AND(MONTH(E2231)='IN-NX'!$J$5,'IN-NX'!$D$7=D2231),"x","")</f>
        <v/>
      </c>
      <c r="AB2231" s="75" t="str">
        <f>IF(AND(OR(LEFT(TH!N2231,2)="15",LEFT(TH!O2231,2)="15"),LEFT(TH!O2231,3)&lt;&gt;"111",'152-CT'!$J$8=TH!F2231),"x","")</f>
        <v/>
      </c>
      <c r="AC2231" s="75" t="str">
        <f>IF(AND(OR(LEFT(TH!N2231,2)="15",LEFT(TH!O2231,2)="15"),TK!$E$7=TH!F2231),"x","")</f>
        <v>x</v>
      </c>
      <c r="AD2231" s="75" t="str">
        <f>IF(AND(N2231="1521",MONTH(C2231)='BK-NL'!$M$11),"x","")</f>
        <v/>
      </c>
      <c r="AE2231" s="1053">
        <v>11</v>
      </c>
    </row>
    <row r="2232" spans="1:32" s="1053" customFormat="1" ht="16.5" customHeight="1">
      <c r="A2232" s="309" t="str">
        <f>IF(B2232&lt;&gt;"",IF(AND(B2232='IN-TC'!$S$4,OR(TH!N2232="1111",TH!O2232="1111")),TH!D2232,""),"")</f>
        <v/>
      </c>
      <c r="B2232" s="1245">
        <f t="shared" si="700"/>
        <v>11</v>
      </c>
      <c r="C2232" s="292">
        <v>43056</v>
      </c>
      <c r="D2232" s="292" t="s">
        <v>829</v>
      </c>
      <c r="E2232" s="292">
        <f t="shared" si="701"/>
        <v>43056</v>
      </c>
      <c r="F2232" s="67" t="s">
        <v>2131</v>
      </c>
      <c r="G2232" s="925" t="s">
        <v>2742</v>
      </c>
      <c r="H2232" s="311" t="s">
        <v>2657</v>
      </c>
      <c r="I2232" s="373"/>
      <c r="J2232" s="379"/>
      <c r="K2232" s="373"/>
      <c r="L2232" s="379"/>
      <c r="M2232" s="927">
        <v>919286</v>
      </c>
      <c r="N2232" s="295" t="s">
        <v>9</v>
      </c>
      <c r="O2232" s="295" t="s">
        <v>8</v>
      </c>
      <c r="P2232" s="75" t="str">
        <f>IF(AND('331-CT'!$E$7=TH!H2232,OR(N2232="331",O2232="331")),"x","")</f>
        <v/>
      </c>
      <c r="Q2232" s="75" t="str">
        <f>IF(AND(B2232='111'!$L$11,OR($N2232=$Q$7,$O2232=$Q$7)),"x","")</f>
        <v/>
      </c>
      <c r="R2232" s="75" t="str">
        <f>IF(AND($N2232=$Q$7,$B2232&lt;'111'!$L$11),"x","")</f>
        <v/>
      </c>
      <c r="S2232" s="75" t="str">
        <f>IF(AND($O2232=$Q$7,$B2232&lt;'111'!$L$11),"x","")</f>
        <v/>
      </c>
      <c r="T2232" s="75" t="str">
        <f>IF(ISERROR(FIND('112'!$M$9,G2232,1)),"",IF((AND(FIND('112'!$M$9,G2232,1)&gt;=1,B2232='112'!$K$9,OR($N2232='112'!$I$6,$O2232='112'!$I$6))),"x",""))</f>
        <v/>
      </c>
      <c r="U2232" s="75" t="str">
        <f>IF(ISERROR(FIND('112'!$M$9,G2232,1)),"",IF((AND(LEFT(G2232,2)=LEFT('112'!$M$9,2),B2232&lt;'112'!$K$9,$N2232='112'!$I$6)),"x",""))</f>
        <v/>
      </c>
      <c r="V2232" s="75" t="str">
        <f>IF(ISERROR(FIND('112'!$M$9,G2232,1)),"",IF((AND(RIGHT(G2232,2)=RIGHT('112'!$M$9,2),B2232&lt;'112'!$K$9,$O2232='112'!$I$6)),"x",""))</f>
        <v/>
      </c>
      <c r="W2232" s="75" t="str">
        <f>IF(AND('341-CT'!$H$9=H2232,OR(LEFT(N2232,3)=$W$7,LEFT(O2232,3)=$W$7)),"x","")</f>
        <v/>
      </c>
      <c r="X2232" s="75" t="str">
        <f>IF(OR(TH!N2232=TH!$X$7,O2232=TH!$X$7),"x","")</f>
        <v/>
      </c>
      <c r="Y2232" s="75" t="str">
        <f>IF(AND(OR(N2232="131",O2232="131"),H2232='131-CT'!$H$9),"x","")</f>
        <v/>
      </c>
      <c r="Z2232" s="75"/>
      <c r="AA2232" s="75" t="str">
        <f>IF(AND(MONTH(E2232)='IN-NX'!$J$5,'IN-NX'!$D$7=D2232),"x","")</f>
        <v/>
      </c>
      <c r="AB2232" s="75" t="str">
        <f>IF(AND(OR(LEFT(TH!N2232,2)="15",LEFT(TH!O2232,2)="15"),LEFT(TH!O2232,3)&lt;&gt;"111",'152-CT'!$J$8=TH!F2232),"x","")</f>
        <v/>
      </c>
      <c r="AC2232" s="75" t="str">
        <f>IF(AND(OR(LEFT(TH!N2232,2)="15",LEFT(TH!O2232,2)="15"),TK!$E$7=TH!F2232),"x","")</f>
        <v/>
      </c>
      <c r="AD2232" s="75" t="str">
        <f>IF(AND(N2232="1521",MONTH(C2232)='BK-NL'!$M$11),"x","")</f>
        <v/>
      </c>
      <c r="AE2232" s="1053">
        <v>11</v>
      </c>
    </row>
    <row r="2233" spans="1:32" s="1053" customFormat="1" ht="16.5" customHeight="1">
      <c r="A2233" s="309" t="str">
        <f>IF(B2233&lt;&gt;"",IF(AND(B2233='IN-TC'!$S$4,OR(TH!N2233="1111",TH!O2233="1111")),TH!D2233,""),"")</f>
        <v/>
      </c>
      <c r="B2233" s="1245">
        <f t="shared" si="700"/>
        <v>11</v>
      </c>
      <c r="C2233" s="292">
        <v>43059</v>
      </c>
      <c r="D2233" s="292" t="s">
        <v>840</v>
      </c>
      <c r="E2233" s="292">
        <f t="shared" ref="E2233:E2234" si="702">C2233</f>
        <v>43059</v>
      </c>
      <c r="F2233" s="67" t="s">
        <v>336</v>
      </c>
      <c r="G2233" s="925" t="s">
        <v>2743</v>
      </c>
      <c r="H2233" s="311" t="s">
        <v>2657</v>
      </c>
      <c r="I2233" s="373">
        <v>1350</v>
      </c>
      <c r="J2233" s="379">
        <v>13619.047699999999</v>
      </c>
      <c r="K2233" s="373"/>
      <c r="L2233" s="379"/>
      <c r="M2233" s="927">
        <f>ROUND(I2233*J2233,0)</f>
        <v>18385714</v>
      </c>
      <c r="N2233" s="295" t="s">
        <v>266</v>
      </c>
      <c r="O2233" s="295" t="s">
        <v>8</v>
      </c>
      <c r="P2233" s="75" t="str">
        <f>IF(AND('331-CT'!$E$7=TH!H2233,OR(N2233="331",O2233="331")),"x","")</f>
        <v/>
      </c>
      <c r="Q2233" s="75" t="str">
        <f>IF(AND(B2233='111'!$L$11,OR($N2233=$Q$7,$O2233=$Q$7)),"x","")</f>
        <v/>
      </c>
      <c r="R2233" s="75" t="str">
        <f>IF(AND($N2233=$Q$7,$B2233&lt;'111'!$L$11),"x","")</f>
        <v/>
      </c>
      <c r="S2233" s="75" t="str">
        <f>IF(AND($O2233=$Q$7,$B2233&lt;'111'!$L$11),"x","")</f>
        <v/>
      </c>
      <c r="T2233" s="75" t="str">
        <f>IF(ISERROR(FIND('112'!$M$9,G2233,1)),"",IF((AND(FIND('112'!$M$9,G2233,1)&gt;=1,B2233='112'!$K$9,OR($N2233='112'!$I$6,$O2233='112'!$I$6))),"x",""))</f>
        <v/>
      </c>
      <c r="U2233" s="75" t="str">
        <f>IF(ISERROR(FIND('112'!$M$9,G2233,1)),"",IF((AND(LEFT(G2233,2)=LEFT('112'!$M$9,2),B2233&lt;'112'!$K$9,$N2233='112'!$I$6)),"x",""))</f>
        <v/>
      </c>
      <c r="V2233" s="75" t="str">
        <f>IF(ISERROR(FIND('112'!$M$9,G2233,1)),"",IF((AND(RIGHT(G2233,2)=RIGHT('112'!$M$9,2),B2233&lt;'112'!$K$9,$O2233='112'!$I$6)),"x",""))</f>
        <v/>
      </c>
      <c r="W2233" s="75" t="str">
        <f>IF(AND('341-CT'!$H$9=H2233,OR(LEFT(N2233,3)=$W$7,LEFT(O2233,3)=$W$7)),"x","")</f>
        <v/>
      </c>
      <c r="X2233" s="75" t="str">
        <f>IF(OR(TH!N2233=TH!$X$7,O2233=TH!$X$7),"x","")</f>
        <v/>
      </c>
      <c r="Y2233" s="75" t="str">
        <f>IF(AND(OR(N2233="131",O2233="131"),H2233='131-CT'!$H$9),"x","")</f>
        <v/>
      </c>
      <c r="Z2233" s="75"/>
      <c r="AA2233" s="75" t="str">
        <f>IF(AND(MONTH(E2233)='IN-NX'!$J$5,'IN-NX'!$D$7=D2233),"x","")</f>
        <v/>
      </c>
      <c r="AB2233" s="75" t="str">
        <f>IF(AND(OR(LEFT(TH!N2233,2)="15",LEFT(TH!O2233,2)="15"),LEFT(TH!O2233,3)&lt;&gt;"111",'152-CT'!$J$8=TH!F2233),"x","")</f>
        <v/>
      </c>
      <c r="AC2233" s="75" t="str">
        <f>IF(AND(OR(LEFT(TH!N2233,2)="15",LEFT(TH!O2233,2)="15"),TK!$E$7=TH!F2233),"x","")</f>
        <v>x</v>
      </c>
      <c r="AD2233" s="75" t="str">
        <f>IF(AND(N2233="1521",MONTH(C2233)='BK-NL'!$M$11),"x","")</f>
        <v/>
      </c>
      <c r="AE2233" s="1053">
        <v>11</v>
      </c>
    </row>
    <row r="2234" spans="1:32" s="1053" customFormat="1" ht="16.5" customHeight="1">
      <c r="A2234" s="309" t="str">
        <f>IF(B2234&lt;&gt;"",IF(AND(B2234='IN-TC'!$S$4,OR(TH!N2234="1111",TH!O2234="1111")),TH!D2234,""),"")</f>
        <v/>
      </c>
      <c r="B2234" s="1245">
        <f t="shared" si="700"/>
        <v>11</v>
      </c>
      <c r="C2234" s="292">
        <v>43059</v>
      </c>
      <c r="D2234" s="292" t="s">
        <v>840</v>
      </c>
      <c r="E2234" s="292">
        <f t="shared" si="702"/>
        <v>43059</v>
      </c>
      <c r="F2234" s="67" t="s">
        <v>2131</v>
      </c>
      <c r="G2234" s="925" t="s">
        <v>2743</v>
      </c>
      <c r="H2234" s="311" t="s">
        <v>2657</v>
      </c>
      <c r="I2234" s="373"/>
      <c r="J2234" s="379"/>
      <c r="K2234" s="373"/>
      <c r="L2234" s="379"/>
      <c r="M2234" s="927">
        <v>919286</v>
      </c>
      <c r="N2234" s="295" t="s">
        <v>9</v>
      </c>
      <c r="O2234" s="295" t="s">
        <v>8</v>
      </c>
      <c r="P2234" s="75" t="str">
        <f>IF(AND('331-CT'!$E$7=TH!H2234,OR(N2234="331",O2234="331")),"x","")</f>
        <v/>
      </c>
      <c r="Q2234" s="75" t="str">
        <f>IF(AND(B2234='111'!$L$11,OR($N2234=$Q$7,$O2234=$Q$7)),"x","")</f>
        <v/>
      </c>
      <c r="R2234" s="75" t="str">
        <f>IF(AND($N2234=$Q$7,$B2234&lt;'111'!$L$11),"x","")</f>
        <v/>
      </c>
      <c r="S2234" s="75" t="str">
        <f>IF(AND($O2234=$Q$7,$B2234&lt;'111'!$L$11),"x","")</f>
        <v/>
      </c>
      <c r="T2234" s="75" t="str">
        <f>IF(ISERROR(FIND('112'!$M$9,G2234,1)),"",IF((AND(FIND('112'!$M$9,G2234,1)&gt;=1,B2234='112'!$K$9,OR($N2234='112'!$I$6,$O2234='112'!$I$6))),"x",""))</f>
        <v/>
      </c>
      <c r="U2234" s="75" t="str">
        <f>IF(ISERROR(FIND('112'!$M$9,G2234,1)),"",IF((AND(LEFT(G2234,2)=LEFT('112'!$M$9,2),B2234&lt;'112'!$K$9,$N2234='112'!$I$6)),"x",""))</f>
        <v/>
      </c>
      <c r="V2234" s="75" t="str">
        <f>IF(ISERROR(FIND('112'!$M$9,G2234,1)),"",IF((AND(RIGHT(G2234,2)=RIGHT('112'!$M$9,2),B2234&lt;'112'!$K$9,$O2234='112'!$I$6)),"x",""))</f>
        <v/>
      </c>
      <c r="W2234" s="75" t="str">
        <f>IF(AND('341-CT'!$H$9=H2234,OR(LEFT(N2234,3)=$W$7,LEFT(O2234,3)=$W$7)),"x","")</f>
        <v/>
      </c>
      <c r="X2234" s="75" t="str">
        <f>IF(OR(TH!N2234=TH!$X$7,O2234=TH!$X$7),"x","")</f>
        <v/>
      </c>
      <c r="Y2234" s="75" t="str">
        <f>IF(AND(OR(N2234="131",O2234="131"),H2234='131-CT'!$H$9),"x","")</f>
        <v/>
      </c>
      <c r="Z2234" s="75"/>
      <c r="AA2234" s="75" t="str">
        <f>IF(AND(MONTH(E2234)='IN-NX'!$J$5,'IN-NX'!$D$7=D2234),"x","")</f>
        <v/>
      </c>
      <c r="AB2234" s="75" t="str">
        <f>IF(AND(OR(LEFT(TH!N2234,2)="15",LEFT(TH!O2234,2)="15"),LEFT(TH!O2234,3)&lt;&gt;"111",'152-CT'!$J$8=TH!F2234),"x","")</f>
        <v/>
      </c>
      <c r="AC2234" s="75" t="str">
        <f>IF(AND(OR(LEFT(TH!N2234,2)="15",LEFT(TH!O2234,2)="15"),TK!$E$7=TH!F2234),"x","")</f>
        <v/>
      </c>
      <c r="AD2234" s="75" t="str">
        <f>IF(AND(N2234="1521",MONTH(C2234)='BK-NL'!$M$11),"x","")</f>
        <v/>
      </c>
      <c r="AE2234" s="1053">
        <v>11</v>
      </c>
    </row>
    <row r="2235" spans="1:32" s="1053" customFormat="1" ht="16.5" customHeight="1">
      <c r="A2235" s="309" t="str">
        <f>IF(B2235&lt;&gt;"",IF(AND(B2235='IN-TC'!$S$4,OR(TH!N2235="1111",TH!O2235="1111")),TH!D2235,""),"")</f>
        <v/>
      </c>
      <c r="B2235" s="1245">
        <f t="shared" si="700"/>
        <v>11</v>
      </c>
      <c r="C2235" s="292">
        <v>43064</v>
      </c>
      <c r="D2235" s="292" t="s">
        <v>847</v>
      </c>
      <c r="E2235" s="292">
        <f t="shared" si="701"/>
        <v>43064</v>
      </c>
      <c r="F2235" s="67" t="s">
        <v>564</v>
      </c>
      <c r="G2235" s="925" t="s">
        <v>2669</v>
      </c>
      <c r="H2235" s="311" t="s">
        <v>740</v>
      </c>
      <c r="I2235" s="373">
        <v>4700</v>
      </c>
      <c r="J2235" s="379">
        <v>14000</v>
      </c>
      <c r="K2235" s="373"/>
      <c r="L2235" s="379"/>
      <c r="M2235" s="927">
        <f>I2235*J2235</f>
        <v>65800000</v>
      </c>
      <c r="N2235" s="295" t="s">
        <v>266</v>
      </c>
      <c r="O2235" s="295" t="s">
        <v>8</v>
      </c>
      <c r="P2235" s="75" t="str">
        <f>IF(AND('331-CT'!$E$7=TH!H2235,OR(N2235="331",O2235="331")),"x","")</f>
        <v/>
      </c>
      <c r="Q2235" s="75" t="str">
        <f>IF(AND(B2235='111'!$L$11,OR($N2235=$Q$7,$O2235=$Q$7)),"x","")</f>
        <v/>
      </c>
      <c r="R2235" s="75" t="str">
        <f>IF(AND($N2235=$Q$7,$B2235&lt;'111'!$L$11),"x","")</f>
        <v/>
      </c>
      <c r="S2235" s="75" t="str">
        <f>IF(AND($O2235=$Q$7,$B2235&lt;'111'!$L$11),"x","")</f>
        <v/>
      </c>
      <c r="T2235" s="75" t="str">
        <f>IF(ISERROR(FIND('112'!$M$9,G2235,1)),"",IF((AND(FIND('112'!$M$9,G2235,1)&gt;=1,B2235='112'!$K$9,OR($N2235='112'!$I$6,$O2235='112'!$I$6))),"x",""))</f>
        <v/>
      </c>
      <c r="U2235" s="75" t="str">
        <f>IF(ISERROR(FIND('112'!$M$9,G2235,1)),"",IF((AND(LEFT(G2235,2)=LEFT('112'!$M$9,2),B2235&lt;'112'!$K$9,$N2235='112'!$I$6)),"x",""))</f>
        <v/>
      </c>
      <c r="V2235" s="75" t="str">
        <f>IF(ISERROR(FIND('112'!$M$9,G2235,1)),"",IF((AND(RIGHT(G2235,2)=RIGHT('112'!$M$9,2),B2235&lt;'112'!$K$9,$O2235='112'!$I$6)),"x",""))</f>
        <v/>
      </c>
      <c r="W2235" s="75" t="str">
        <f>IF(AND('341-CT'!$H$9=H2235,OR(LEFT(N2235,3)=$W$7,LEFT(O2235,3)=$W$7)),"x","")</f>
        <v/>
      </c>
      <c r="X2235" s="75" t="str">
        <f>IF(OR(TH!N2235=TH!$X$7,O2235=TH!$X$7),"x","")</f>
        <v/>
      </c>
      <c r="Y2235" s="75" t="str">
        <f>IF(AND(OR(N2235="131",O2235="131"),H2235='131-CT'!$H$9),"x","")</f>
        <v/>
      </c>
      <c r="Z2235" s="75"/>
      <c r="AA2235" s="75" t="str">
        <f>IF(AND(MONTH(E2235)='IN-NX'!$J$5,'IN-NX'!$D$7=D2235),"x","")</f>
        <v/>
      </c>
      <c r="AB2235" s="75" t="str">
        <f>IF(AND(OR(LEFT(TH!N2235,2)="15",LEFT(TH!O2235,2)="15"),LEFT(TH!O2235,3)&lt;&gt;"111",'152-CT'!$J$8=TH!F2235),"x","")</f>
        <v/>
      </c>
      <c r="AC2235" s="75" t="str">
        <f>IF(AND(OR(LEFT(TH!N2235,2)="15",LEFT(TH!O2235,2)="15"),TK!$E$7=TH!F2235),"x","")</f>
        <v/>
      </c>
      <c r="AD2235" s="75" t="str">
        <f>IF(AND(N2235="1521",MONTH(C2235)='BK-NL'!$M$11),"x","")</f>
        <v/>
      </c>
      <c r="AE2235" s="1053">
        <v>11</v>
      </c>
    </row>
    <row r="2236" spans="1:32" s="1053" customFormat="1" ht="16.5" customHeight="1">
      <c r="A2236" s="309" t="str">
        <f>IF(B2236&lt;&gt;"",IF(AND(B2236='IN-TC'!$S$4,OR(TH!N2236="1111",TH!O2236="1111")),TH!D2236,""),"")</f>
        <v/>
      </c>
      <c r="B2236" s="1245">
        <f t="shared" si="700"/>
        <v>11</v>
      </c>
      <c r="C2236" s="292">
        <v>43064</v>
      </c>
      <c r="D2236" s="292" t="s">
        <v>847</v>
      </c>
      <c r="E2236" s="292">
        <f t="shared" si="701"/>
        <v>43064</v>
      </c>
      <c r="F2236" s="67" t="s">
        <v>848</v>
      </c>
      <c r="G2236" s="925" t="s">
        <v>2669</v>
      </c>
      <c r="H2236" s="311" t="s">
        <v>740</v>
      </c>
      <c r="I2236" s="373"/>
      <c r="J2236" s="379"/>
      <c r="K2236" s="373"/>
      <c r="L2236" s="379"/>
      <c r="M2236" s="927">
        <v>6580000</v>
      </c>
      <c r="N2236" s="295" t="s">
        <v>9</v>
      </c>
      <c r="O2236" s="295" t="s">
        <v>8</v>
      </c>
      <c r="P2236" s="75" t="str">
        <f>IF(AND('331-CT'!$E$7=TH!H2236,OR(N2236="331",O2236="331")),"x","")</f>
        <v/>
      </c>
      <c r="Q2236" s="75" t="str">
        <f>IF(AND(B2236='111'!$L$11,OR($N2236=$Q$7,$O2236=$Q$7)),"x","")</f>
        <v/>
      </c>
      <c r="R2236" s="75" t="str">
        <f>IF(AND($N2236=$Q$7,$B2236&lt;'111'!$L$11),"x","")</f>
        <v/>
      </c>
      <c r="S2236" s="75" t="str">
        <f>IF(AND($O2236=$Q$7,$B2236&lt;'111'!$L$11),"x","")</f>
        <v/>
      </c>
      <c r="T2236" s="75" t="str">
        <f>IF(ISERROR(FIND('112'!$M$9,G2236,1)),"",IF((AND(FIND('112'!$M$9,G2236,1)&gt;=1,B2236='112'!$K$9,OR($N2236='112'!$I$6,$O2236='112'!$I$6))),"x",""))</f>
        <v/>
      </c>
      <c r="U2236" s="75" t="str">
        <f>IF(ISERROR(FIND('112'!$M$9,G2236,1)),"",IF((AND(LEFT(G2236,2)=LEFT('112'!$M$9,2),B2236&lt;'112'!$K$9,$N2236='112'!$I$6)),"x",""))</f>
        <v/>
      </c>
      <c r="V2236" s="75" t="str">
        <f>IF(ISERROR(FIND('112'!$M$9,G2236,1)),"",IF((AND(RIGHT(G2236,2)=RIGHT('112'!$M$9,2),B2236&lt;'112'!$K$9,$O2236='112'!$I$6)),"x",""))</f>
        <v/>
      </c>
      <c r="W2236" s="75" t="str">
        <f>IF(AND('341-CT'!$H$9=H2236,OR(LEFT(N2236,3)=$W$7,LEFT(O2236,3)=$W$7)),"x","")</f>
        <v/>
      </c>
      <c r="X2236" s="75" t="str">
        <f>IF(OR(TH!N2236=TH!$X$7,O2236=TH!$X$7),"x","")</f>
        <v/>
      </c>
      <c r="Y2236" s="75" t="str">
        <f>IF(AND(OR(N2236="131",O2236="131"),H2236='131-CT'!$H$9),"x","")</f>
        <v/>
      </c>
      <c r="Z2236" s="75"/>
      <c r="AA2236" s="75" t="str">
        <f>IF(AND(MONTH(E2236)='IN-NX'!$J$5,'IN-NX'!$D$7=D2236),"x","")</f>
        <v/>
      </c>
      <c r="AB2236" s="75" t="str">
        <f>IF(AND(OR(LEFT(TH!N2236,2)="15",LEFT(TH!O2236,2)="15"),LEFT(TH!O2236,3)&lt;&gt;"111",'152-CT'!$J$8=TH!F2236),"x","")</f>
        <v/>
      </c>
      <c r="AC2236" s="75" t="str">
        <f>IF(AND(OR(LEFT(TH!N2236,2)="15",LEFT(TH!O2236,2)="15"),TK!$E$7=TH!F2236),"x","")</f>
        <v/>
      </c>
      <c r="AD2236" s="75" t="str">
        <f>IF(AND(N2236="1521",MONTH(C2236)='BK-NL'!$M$11),"x","")</f>
        <v/>
      </c>
      <c r="AE2236" s="1053">
        <v>11</v>
      </c>
    </row>
    <row r="2237" spans="1:32" s="1053" customFormat="1" ht="16.5" customHeight="1">
      <c r="A2237" s="309" t="str">
        <f>IF(B2237&lt;&gt;"",IF(AND(B2237='IN-TC'!$S$4,OR(TH!N2237="1111",TH!O2237="1111")),TH!D2237,""),"")</f>
        <v/>
      </c>
      <c r="B2237" s="1245">
        <f t="shared" si="700"/>
        <v>11</v>
      </c>
      <c r="C2237" s="292">
        <v>43066</v>
      </c>
      <c r="D2237" s="292" t="s">
        <v>867</v>
      </c>
      <c r="E2237" s="292">
        <f>C2237</f>
        <v>43066</v>
      </c>
      <c r="F2237" s="294" t="s">
        <v>781</v>
      </c>
      <c r="G2237" s="925" t="s">
        <v>2685</v>
      </c>
      <c r="H2237" s="311" t="s">
        <v>558</v>
      </c>
      <c r="I2237" s="373">
        <v>1260</v>
      </c>
      <c r="J2237" s="379">
        <v>11550</v>
      </c>
      <c r="K2237" s="373"/>
      <c r="L2237" s="379"/>
      <c r="M2237" s="927">
        <f>I2237*J2237</f>
        <v>14553000</v>
      </c>
      <c r="N2237" s="295" t="s">
        <v>266</v>
      </c>
      <c r="O2237" s="295" t="s">
        <v>8</v>
      </c>
      <c r="P2237" s="75" t="str">
        <f>IF(AND('331-CT'!$E$7=TH!H2237,OR(N2237="331",O2237="331")),"x","")</f>
        <v/>
      </c>
      <c r="Q2237" s="75" t="str">
        <f>IF(AND(B2237='111'!$L$11,OR($N2237=$Q$7,$O2237=$Q$7)),"x","")</f>
        <v/>
      </c>
      <c r="R2237" s="75" t="str">
        <f>IF(AND($N2237=$Q$7,$B2237&lt;'111'!$L$11),"x","")</f>
        <v/>
      </c>
      <c r="S2237" s="75" t="str">
        <f>IF(AND($O2237=$Q$7,$B2237&lt;'111'!$L$11),"x","")</f>
        <v/>
      </c>
      <c r="T2237" s="75" t="str">
        <f>IF(ISERROR(FIND('112'!$M$9,G2237,1)),"",IF((AND(FIND('112'!$M$9,G2237,1)&gt;=1,B2237='112'!$K$9,OR($N2237='112'!$I$6,$O2237='112'!$I$6))),"x",""))</f>
        <v/>
      </c>
      <c r="U2237" s="75" t="str">
        <f>IF(ISERROR(FIND('112'!$M$9,G2237,1)),"",IF((AND(LEFT(G2237,2)=LEFT('112'!$M$9,2),B2237&lt;'112'!$K$9,$N2237='112'!$I$6)),"x",""))</f>
        <v/>
      </c>
      <c r="V2237" s="75" t="str">
        <f>IF(ISERROR(FIND('112'!$M$9,G2237,1)),"",IF((AND(RIGHT(G2237,2)=RIGHT('112'!$M$9,2),B2237&lt;'112'!$K$9,$O2237='112'!$I$6)),"x",""))</f>
        <v/>
      </c>
      <c r="W2237" s="75" t="str">
        <f>IF(AND('341-CT'!$H$9=H2237,OR(LEFT(N2237,3)=$W$7,LEFT(O2237,3)=$W$7)),"x","")</f>
        <v/>
      </c>
      <c r="X2237" s="75" t="str">
        <f>IF(OR(TH!N2237=TH!$X$7,O2237=TH!$X$7),"x","")</f>
        <v/>
      </c>
      <c r="Y2237" s="75" t="str">
        <f>IF(AND(OR(N2237="131",O2237="131"),H2237='131-CT'!$H$9),"x","")</f>
        <v/>
      </c>
      <c r="Z2237" s="75"/>
      <c r="AA2237" s="75" t="str">
        <f>IF(AND(MONTH(E2237)='IN-NX'!$J$5,'IN-NX'!$D$7=D2237),"x","")</f>
        <v/>
      </c>
      <c r="AB2237" s="75" t="str">
        <f>IF(AND(OR(LEFT(TH!N2237,2)="15",LEFT(TH!O2237,2)="15"),LEFT(TH!O2237,3)&lt;&gt;"111",'152-CT'!$J$8=TH!F2237),"x","")</f>
        <v/>
      </c>
      <c r="AC2237" s="75" t="str">
        <f>IF(AND(OR(LEFT(TH!N2237,2)="15",LEFT(TH!O2237,2)="15"),TK!$E$7=TH!F2237),"x","")</f>
        <v/>
      </c>
      <c r="AD2237" s="75" t="str">
        <f>IF(AND(N2237="1521",MONTH(C2237)='BK-NL'!$M$11),"x","")</f>
        <v/>
      </c>
      <c r="AE2237" s="1053">
        <v>11</v>
      </c>
    </row>
    <row r="2238" spans="1:32" s="1053" customFormat="1" ht="16.5" customHeight="1">
      <c r="A2238" s="309" t="str">
        <f>IF(B2238&lt;&gt;"",IF(AND(B2238='IN-TC'!$S$4,OR(TH!N2238="1111",TH!O2238="1111")),TH!D2238,""),"")</f>
        <v/>
      </c>
      <c r="B2238" s="1245">
        <f t="shared" si="700"/>
        <v>11</v>
      </c>
      <c r="C2238" s="292">
        <v>43066</v>
      </c>
      <c r="D2238" s="292" t="s">
        <v>867</v>
      </c>
      <c r="E2238" s="292">
        <f>C2238</f>
        <v>43066</v>
      </c>
      <c r="F2238" s="294" t="s">
        <v>2341</v>
      </c>
      <c r="G2238" s="925" t="s">
        <v>2685</v>
      </c>
      <c r="H2238" s="311" t="s">
        <v>558</v>
      </c>
      <c r="I2238" s="373">
        <v>450</v>
      </c>
      <c r="J2238" s="379">
        <v>13800</v>
      </c>
      <c r="K2238" s="373"/>
      <c r="L2238" s="379"/>
      <c r="M2238" s="927">
        <f>I2238*J2238</f>
        <v>6210000</v>
      </c>
      <c r="N2238" s="295" t="s">
        <v>266</v>
      </c>
      <c r="O2238" s="295" t="s">
        <v>8</v>
      </c>
      <c r="P2238" s="75" t="str">
        <f>IF(AND('331-CT'!$E$7=TH!H2238,OR(N2238="331",O2238="331")),"x","")</f>
        <v/>
      </c>
      <c r="Q2238" s="75" t="str">
        <f>IF(AND(B2238='111'!$L$11,OR($N2238=$Q$7,$O2238=$Q$7)),"x","")</f>
        <v/>
      </c>
      <c r="R2238" s="75" t="str">
        <f>IF(AND($N2238=$Q$7,$B2238&lt;'111'!$L$11),"x","")</f>
        <v/>
      </c>
      <c r="S2238" s="75" t="str">
        <f>IF(AND($O2238=$Q$7,$B2238&lt;'111'!$L$11),"x","")</f>
        <v/>
      </c>
      <c r="T2238" s="75" t="str">
        <f>IF(ISERROR(FIND('112'!$M$9,G2238,1)),"",IF((AND(FIND('112'!$M$9,G2238,1)&gt;=1,B2238='112'!$K$9,OR($N2238='112'!$I$6,$O2238='112'!$I$6))),"x",""))</f>
        <v/>
      </c>
      <c r="U2238" s="75" t="str">
        <f>IF(ISERROR(FIND('112'!$M$9,G2238,1)),"",IF((AND(LEFT(G2238,2)=LEFT('112'!$M$9,2),B2238&lt;'112'!$K$9,$N2238='112'!$I$6)),"x",""))</f>
        <v/>
      </c>
      <c r="V2238" s="75" t="str">
        <f>IF(ISERROR(FIND('112'!$M$9,G2238,1)),"",IF((AND(RIGHT(G2238,2)=RIGHT('112'!$M$9,2),B2238&lt;'112'!$K$9,$O2238='112'!$I$6)),"x",""))</f>
        <v/>
      </c>
      <c r="W2238" s="75" t="str">
        <f>IF(AND('341-CT'!$H$9=H2238,OR(LEFT(N2238,3)=$W$7,LEFT(O2238,3)=$W$7)),"x","")</f>
        <v/>
      </c>
      <c r="X2238" s="75" t="str">
        <f>IF(OR(TH!N2238=TH!$X$7,O2238=TH!$X$7),"x","")</f>
        <v/>
      </c>
      <c r="Y2238" s="75" t="str">
        <f>IF(AND(OR(N2238="131",O2238="131"),H2238='131-CT'!$H$9),"x","")</f>
        <v/>
      </c>
      <c r="Z2238" s="75"/>
      <c r="AA2238" s="75" t="str">
        <f>IF(AND(MONTH(E2238)='IN-NX'!$J$5,'IN-NX'!$D$7=D2238),"x","")</f>
        <v/>
      </c>
      <c r="AB2238" s="75" t="str">
        <f>IF(AND(OR(LEFT(TH!N2238,2)="15",LEFT(TH!O2238,2)="15"),LEFT(TH!O2238,3)&lt;&gt;"111",'152-CT'!$J$8=TH!F2238),"x","")</f>
        <v/>
      </c>
      <c r="AC2238" s="75" t="str">
        <f>IF(AND(OR(LEFT(TH!N2238,2)="15",LEFT(TH!O2238,2)="15"),TK!$E$7=TH!F2238),"x","")</f>
        <v/>
      </c>
      <c r="AD2238" s="75" t="str">
        <f>IF(AND(N2238="1521",MONTH(C2238)='BK-NL'!$M$11),"x","")</f>
        <v/>
      </c>
      <c r="AE2238" s="1053">
        <v>11</v>
      </c>
    </row>
    <row r="2239" spans="1:32" s="1053" customFormat="1" ht="16.5" customHeight="1">
      <c r="A2239" s="309" t="str">
        <f>IF(B2239&lt;&gt;"",IF(AND(B2239='IN-TC'!$S$4,OR(TH!N2239="1111",TH!O2239="1111")),TH!D2239,""),"")</f>
        <v/>
      </c>
      <c r="B2239" s="1245">
        <f t="shared" si="700"/>
        <v>11</v>
      </c>
      <c r="C2239" s="292">
        <v>43066</v>
      </c>
      <c r="D2239" s="292" t="s">
        <v>867</v>
      </c>
      <c r="E2239" s="292">
        <f t="shared" si="701"/>
        <v>43066</v>
      </c>
      <c r="F2239" s="432" t="s">
        <v>381</v>
      </c>
      <c r="G2239" s="925" t="s">
        <v>2685</v>
      </c>
      <c r="H2239" s="311" t="s">
        <v>558</v>
      </c>
      <c r="I2239" s="373">
        <v>695</v>
      </c>
      <c r="J2239" s="379">
        <v>21900</v>
      </c>
      <c r="K2239" s="373"/>
      <c r="L2239" s="379"/>
      <c r="M2239" s="927">
        <f t="shared" ref="M2239:M2242" si="703">I2239*J2239</f>
        <v>15220500</v>
      </c>
      <c r="N2239" s="295" t="s">
        <v>266</v>
      </c>
      <c r="O2239" s="295" t="s">
        <v>8</v>
      </c>
      <c r="P2239" s="75" t="str">
        <f>IF(AND('331-CT'!$E$7=TH!H2239,OR(N2239="331",O2239="331")),"x","")</f>
        <v/>
      </c>
      <c r="Q2239" s="75" t="str">
        <f>IF(AND(B2239='111'!$L$11,OR($N2239=$Q$7,$O2239=$Q$7)),"x","")</f>
        <v/>
      </c>
      <c r="R2239" s="75" t="str">
        <f>IF(AND($N2239=$Q$7,$B2239&lt;'111'!$L$11),"x","")</f>
        <v/>
      </c>
      <c r="S2239" s="75" t="str">
        <f>IF(AND($O2239=$Q$7,$B2239&lt;'111'!$L$11),"x","")</f>
        <v/>
      </c>
      <c r="T2239" s="75" t="str">
        <f>IF(ISERROR(FIND('112'!$M$9,G2239,1)),"",IF((AND(FIND('112'!$M$9,G2239,1)&gt;=1,B2239='112'!$K$9,OR($N2239='112'!$I$6,$O2239='112'!$I$6))),"x",""))</f>
        <v/>
      </c>
      <c r="U2239" s="75" t="str">
        <f>IF(ISERROR(FIND('112'!$M$9,G2239,1)),"",IF((AND(LEFT(G2239,2)=LEFT('112'!$M$9,2),B2239&lt;'112'!$K$9,$N2239='112'!$I$6)),"x",""))</f>
        <v/>
      </c>
      <c r="V2239" s="75" t="str">
        <f>IF(ISERROR(FIND('112'!$M$9,G2239,1)),"",IF((AND(RIGHT(G2239,2)=RIGHT('112'!$M$9,2),B2239&lt;'112'!$K$9,$O2239='112'!$I$6)),"x",""))</f>
        <v/>
      </c>
      <c r="W2239" s="75" t="str">
        <f>IF(AND('341-CT'!$H$9=H2239,OR(LEFT(N2239,3)=$W$7,LEFT(O2239,3)=$W$7)),"x","")</f>
        <v/>
      </c>
      <c r="X2239" s="75" t="str">
        <f>IF(OR(TH!N2239=TH!$X$7,O2239=TH!$X$7),"x","")</f>
        <v/>
      </c>
      <c r="Y2239" s="75" t="str">
        <f>IF(AND(OR(N2239="131",O2239="131"),H2239='131-CT'!$H$9),"x","")</f>
        <v/>
      </c>
      <c r="Z2239" s="75"/>
      <c r="AA2239" s="75" t="str">
        <f>IF(AND(MONTH(E2239)='IN-NX'!$J$5,'IN-NX'!$D$7=D2239),"x","")</f>
        <v/>
      </c>
      <c r="AB2239" s="75" t="str">
        <f>IF(AND(OR(LEFT(TH!N2239,2)="15",LEFT(TH!O2239,2)="15"),LEFT(TH!O2239,3)&lt;&gt;"111",'152-CT'!$J$8=TH!F2239),"x","")</f>
        <v/>
      </c>
      <c r="AC2239" s="75" t="str">
        <f>IF(AND(OR(LEFT(TH!N2239,2)="15",LEFT(TH!O2239,2)="15"),TK!$E$7=TH!F2239),"x","")</f>
        <v/>
      </c>
      <c r="AD2239" s="75" t="str">
        <f>IF(AND(N2239="1521",MONTH(C2239)='BK-NL'!$M$11),"x","")</f>
        <v/>
      </c>
      <c r="AE2239" s="1053">
        <v>11</v>
      </c>
    </row>
    <row r="2240" spans="1:32" s="1053" customFormat="1" ht="16.5" customHeight="1">
      <c r="A2240" s="309" t="str">
        <f>IF(B2240&lt;&gt;"",IF(AND(B2240='IN-TC'!$S$4,OR(TH!N2240="1111",TH!O2240="1111")),TH!D2240,""),"")</f>
        <v/>
      </c>
      <c r="B2240" s="1245">
        <f t="shared" si="700"/>
        <v>11</v>
      </c>
      <c r="C2240" s="292">
        <v>43066</v>
      </c>
      <c r="D2240" s="292" t="s">
        <v>867</v>
      </c>
      <c r="E2240" s="292">
        <f>C2240</f>
        <v>43066</v>
      </c>
      <c r="F2240" s="294" t="s">
        <v>817</v>
      </c>
      <c r="G2240" s="925" t="s">
        <v>2685</v>
      </c>
      <c r="H2240" s="311" t="s">
        <v>558</v>
      </c>
      <c r="I2240" s="373">
        <v>104</v>
      </c>
      <c r="J2240" s="379">
        <v>19400</v>
      </c>
      <c r="K2240" s="373"/>
      <c r="L2240" s="379"/>
      <c r="M2240" s="927">
        <f>I2240*J2240</f>
        <v>2017600</v>
      </c>
      <c r="N2240" s="295" t="s">
        <v>266</v>
      </c>
      <c r="O2240" s="295" t="s">
        <v>8</v>
      </c>
      <c r="P2240" s="75" t="str">
        <f>IF(AND('331-CT'!$E$7=TH!H2240,OR(N2240="331",O2240="331")),"x","")</f>
        <v/>
      </c>
      <c r="Q2240" s="75" t="str">
        <f>IF(AND(B2240='111'!$L$11,OR($N2240=$Q$7,$O2240=$Q$7)),"x","")</f>
        <v/>
      </c>
      <c r="R2240" s="75" t="str">
        <f>IF(AND($N2240=$Q$7,$B2240&lt;'111'!$L$11),"x","")</f>
        <v/>
      </c>
      <c r="S2240" s="75" t="str">
        <f>IF(AND($O2240=$Q$7,$B2240&lt;'111'!$L$11),"x","")</f>
        <v/>
      </c>
      <c r="T2240" s="75" t="str">
        <f>IF(ISERROR(FIND('112'!$M$9,G2240,1)),"",IF((AND(FIND('112'!$M$9,G2240,1)&gt;=1,B2240='112'!$K$9,OR($N2240='112'!$I$6,$O2240='112'!$I$6))),"x",""))</f>
        <v/>
      </c>
      <c r="U2240" s="75" t="str">
        <f>IF(ISERROR(FIND('112'!$M$9,G2240,1)),"",IF((AND(LEFT(G2240,2)=LEFT('112'!$M$9,2),B2240&lt;'112'!$K$9,$N2240='112'!$I$6)),"x",""))</f>
        <v/>
      </c>
      <c r="V2240" s="75" t="str">
        <f>IF(ISERROR(FIND('112'!$M$9,G2240,1)),"",IF((AND(RIGHT(G2240,2)=RIGHT('112'!$M$9,2),B2240&lt;'112'!$K$9,$O2240='112'!$I$6)),"x",""))</f>
        <v/>
      </c>
      <c r="W2240" s="75" t="str">
        <f>IF(AND('341-CT'!$H$9=H2240,OR(LEFT(N2240,3)=$W$7,LEFT(O2240,3)=$W$7)),"x","")</f>
        <v/>
      </c>
      <c r="X2240" s="75" t="str">
        <f>IF(OR(TH!N2240=TH!$X$7,O2240=TH!$X$7),"x","")</f>
        <v/>
      </c>
      <c r="Y2240" s="75" t="str">
        <f>IF(AND(OR(N2240="131",O2240="131"),H2240='131-CT'!$H$9),"x","")</f>
        <v/>
      </c>
      <c r="Z2240" s="75"/>
      <c r="AA2240" s="75" t="str">
        <f>IF(AND(MONTH(E2240)='IN-NX'!$J$5,'IN-NX'!$D$7=D2240),"x","")</f>
        <v/>
      </c>
      <c r="AB2240" s="75" t="str">
        <f>IF(AND(OR(LEFT(TH!N2240,2)="15",LEFT(TH!O2240,2)="15"),LEFT(TH!O2240,3)&lt;&gt;"111",'152-CT'!$J$8=TH!F2240),"x","")</f>
        <v/>
      </c>
      <c r="AC2240" s="75" t="str">
        <f>IF(AND(OR(LEFT(TH!N2240,2)="15",LEFT(TH!O2240,2)="15"),TK!$E$7=TH!F2240),"x","")</f>
        <v/>
      </c>
      <c r="AD2240" s="75" t="str">
        <f>IF(AND(N2240="1521",MONTH(C2240)='BK-NL'!$M$11),"x","")</f>
        <v/>
      </c>
      <c r="AE2240" s="1053">
        <v>11</v>
      </c>
    </row>
    <row r="2241" spans="1:31" s="1053" customFormat="1" ht="16.5" customHeight="1">
      <c r="A2241" s="309" t="str">
        <f>IF(B2241&lt;&gt;"",IF(AND(B2241='IN-TC'!$S$4,OR(TH!N2241="1111",TH!O2241="1111")),TH!D2241,""),"")</f>
        <v/>
      </c>
      <c r="B2241" s="1245">
        <f t="shared" si="700"/>
        <v>11</v>
      </c>
      <c r="C2241" s="292">
        <v>43066</v>
      </c>
      <c r="D2241" s="292" t="s">
        <v>867</v>
      </c>
      <c r="E2241" s="292">
        <f t="shared" si="701"/>
        <v>43066</v>
      </c>
      <c r="F2241" s="294" t="s">
        <v>2341</v>
      </c>
      <c r="G2241" s="925" t="s">
        <v>2685</v>
      </c>
      <c r="H2241" s="311" t="s">
        <v>558</v>
      </c>
      <c r="I2241" s="373">
        <v>104</v>
      </c>
      <c r="J2241" s="379">
        <v>15700</v>
      </c>
      <c r="K2241" s="373"/>
      <c r="L2241" s="379"/>
      <c r="M2241" s="927">
        <f t="shared" si="703"/>
        <v>1632800</v>
      </c>
      <c r="N2241" s="295" t="s">
        <v>266</v>
      </c>
      <c r="O2241" s="295" t="s">
        <v>8</v>
      </c>
      <c r="P2241" s="75" t="str">
        <f>IF(AND('331-CT'!$E$7=TH!H2241,OR(N2241="331",O2241="331")),"x","")</f>
        <v/>
      </c>
      <c r="Q2241" s="75" t="str">
        <f>IF(AND(B2241='111'!$L$11,OR($N2241=$Q$7,$O2241=$Q$7)),"x","")</f>
        <v/>
      </c>
      <c r="R2241" s="75" t="str">
        <f>IF(AND($N2241=$Q$7,$B2241&lt;'111'!$L$11),"x","")</f>
        <v/>
      </c>
      <c r="S2241" s="75" t="str">
        <f>IF(AND($O2241=$Q$7,$B2241&lt;'111'!$L$11),"x","")</f>
        <v/>
      </c>
      <c r="T2241" s="75" t="str">
        <f>IF(ISERROR(FIND('112'!$M$9,G2241,1)),"",IF((AND(FIND('112'!$M$9,G2241,1)&gt;=1,B2241='112'!$K$9,OR($N2241='112'!$I$6,$O2241='112'!$I$6))),"x",""))</f>
        <v/>
      </c>
      <c r="U2241" s="75" t="str">
        <f>IF(ISERROR(FIND('112'!$M$9,G2241,1)),"",IF((AND(LEFT(G2241,2)=LEFT('112'!$M$9,2),B2241&lt;'112'!$K$9,$N2241='112'!$I$6)),"x",""))</f>
        <v/>
      </c>
      <c r="V2241" s="75" t="str">
        <f>IF(ISERROR(FIND('112'!$M$9,G2241,1)),"",IF((AND(RIGHT(G2241,2)=RIGHT('112'!$M$9,2),B2241&lt;'112'!$K$9,$O2241='112'!$I$6)),"x",""))</f>
        <v/>
      </c>
      <c r="W2241" s="75" t="str">
        <f>IF(AND('341-CT'!$H$9=H2241,OR(LEFT(N2241,3)=$W$7,LEFT(O2241,3)=$W$7)),"x","")</f>
        <v/>
      </c>
      <c r="X2241" s="75" t="str">
        <f>IF(OR(TH!N2241=TH!$X$7,O2241=TH!$X$7),"x","")</f>
        <v/>
      </c>
      <c r="Y2241" s="75" t="str">
        <f>IF(AND(OR(N2241="131",O2241="131"),H2241='131-CT'!$H$9),"x","")</f>
        <v/>
      </c>
      <c r="Z2241" s="75"/>
      <c r="AA2241" s="75" t="str">
        <f>IF(AND(MONTH(E2241)='IN-NX'!$J$5,'IN-NX'!$D$7=D2241),"x","")</f>
        <v/>
      </c>
      <c r="AB2241" s="75" t="str">
        <f>IF(AND(OR(LEFT(TH!N2241,2)="15",LEFT(TH!O2241,2)="15"),LEFT(TH!O2241,3)&lt;&gt;"111",'152-CT'!$J$8=TH!F2241),"x","")</f>
        <v/>
      </c>
      <c r="AC2241" s="75" t="str">
        <f>IF(AND(OR(LEFT(TH!N2241,2)="15",LEFT(TH!O2241,2)="15"),TK!$E$7=TH!F2241),"x","")</f>
        <v/>
      </c>
      <c r="AD2241" s="75" t="str">
        <f>IF(AND(N2241="1521",MONTH(C2241)='BK-NL'!$M$11),"x","")</f>
        <v/>
      </c>
      <c r="AE2241" s="1053">
        <v>11</v>
      </c>
    </row>
    <row r="2242" spans="1:31" s="1053" customFormat="1" ht="16.5" customHeight="1">
      <c r="A2242" s="309" t="str">
        <f>IF(B2242&lt;&gt;"",IF(AND(B2242='IN-TC'!$S$4,OR(TH!N2242="1111",TH!O2242="1111")),TH!D2242,""),"")</f>
        <v/>
      </c>
      <c r="B2242" s="1245">
        <f t="shared" si="700"/>
        <v>11</v>
      </c>
      <c r="C2242" s="292">
        <v>43066</v>
      </c>
      <c r="D2242" s="292" t="s">
        <v>867</v>
      </c>
      <c r="E2242" s="292">
        <f t="shared" si="701"/>
        <v>43066</v>
      </c>
      <c r="F2242" s="294" t="s">
        <v>817</v>
      </c>
      <c r="G2242" s="925" t="s">
        <v>2685</v>
      </c>
      <c r="H2242" s="311" t="s">
        <v>558</v>
      </c>
      <c r="I2242" s="373">
        <v>413</v>
      </c>
      <c r="J2242" s="379">
        <v>12100</v>
      </c>
      <c r="K2242" s="373"/>
      <c r="L2242" s="379"/>
      <c r="M2242" s="927">
        <f t="shared" si="703"/>
        <v>4997300</v>
      </c>
      <c r="N2242" s="295" t="s">
        <v>266</v>
      </c>
      <c r="O2242" s="295" t="s">
        <v>8</v>
      </c>
      <c r="P2242" s="75" t="str">
        <f>IF(AND('331-CT'!$E$7=TH!H2242,OR(N2242="331",O2242="331")),"x","")</f>
        <v/>
      </c>
      <c r="Q2242" s="75" t="str">
        <f>IF(AND(B2242='111'!$L$11,OR($N2242=$Q$7,$O2242=$Q$7)),"x","")</f>
        <v/>
      </c>
      <c r="R2242" s="75" t="str">
        <f>IF(AND($N2242=$Q$7,$B2242&lt;'111'!$L$11),"x","")</f>
        <v/>
      </c>
      <c r="S2242" s="75" t="str">
        <f>IF(AND($O2242=$Q$7,$B2242&lt;'111'!$L$11),"x","")</f>
        <v/>
      </c>
      <c r="T2242" s="75" t="str">
        <f>IF(ISERROR(FIND('112'!$M$9,G2242,1)),"",IF((AND(FIND('112'!$M$9,G2242,1)&gt;=1,B2242='112'!$K$9,OR($N2242='112'!$I$6,$O2242='112'!$I$6))),"x",""))</f>
        <v/>
      </c>
      <c r="U2242" s="75" t="str">
        <f>IF(ISERROR(FIND('112'!$M$9,G2242,1)),"",IF((AND(LEFT(G2242,2)=LEFT('112'!$M$9,2),B2242&lt;'112'!$K$9,$N2242='112'!$I$6)),"x",""))</f>
        <v/>
      </c>
      <c r="V2242" s="75" t="str">
        <f>IF(ISERROR(FIND('112'!$M$9,G2242,1)),"",IF((AND(RIGHT(G2242,2)=RIGHT('112'!$M$9,2),B2242&lt;'112'!$K$9,$O2242='112'!$I$6)),"x",""))</f>
        <v/>
      </c>
      <c r="W2242" s="75" t="str">
        <f>IF(AND('341-CT'!$H$9=H2242,OR(LEFT(N2242,3)=$W$7,LEFT(O2242,3)=$W$7)),"x","")</f>
        <v/>
      </c>
      <c r="X2242" s="75" t="str">
        <f>IF(OR(TH!N2242=TH!$X$7,O2242=TH!$X$7),"x","")</f>
        <v/>
      </c>
      <c r="Y2242" s="75" t="str">
        <f>IF(AND(OR(N2242="131",O2242="131"),H2242='131-CT'!$H$9),"x","")</f>
        <v/>
      </c>
      <c r="Z2242" s="75"/>
      <c r="AA2242" s="75" t="str">
        <f>IF(AND(MONTH(E2242)='IN-NX'!$J$5,'IN-NX'!$D$7=D2242),"x","")</f>
        <v/>
      </c>
      <c r="AB2242" s="75" t="str">
        <f>IF(AND(OR(LEFT(TH!N2242,2)="15",LEFT(TH!O2242,2)="15"),LEFT(TH!O2242,3)&lt;&gt;"111",'152-CT'!$J$8=TH!F2242),"x","")</f>
        <v/>
      </c>
      <c r="AC2242" s="75" t="str">
        <f>IF(AND(OR(LEFT(TH!N2242,2)="15",LEFT(TH!O2242,2)="15"),TK!$E$7=TH!F2242),"x","")</f>
        <v/>
      </c>
      <c r="AD2242" s="75" t="str">
        <f>IF(AND(N2242="1521",MONTH(C2242)='BK-NL'!$M$11),"x","")</f>
        <v/>
      </c>
      <c r="AE2242" s="1053">
        <v>11</v>
      </c>
    </row>
    <row r="2243" spans="1:31" s="1053" customFormat="1" ht="16.5" customHeight="1">
      <c r="A2243" s="309" t="str">
        <f>IF(B2243&lt;&gt;"",IF(AND(B2243='IN-TC'!$S$4,OR(TH!N2243="1111",TH!O2243="1111")),TH!D2243,""),"")</f>
        <v/>
      </c>
      <c r="B2243" s="1245">
        <f t="shared" si="700"/>
        <v>11</v>
      </c>
      <c r="C2243" s="292">
        <v>43066</v>
      </c>
      <c r="D2243" s="292" t="s">
        <v>867</v>
      </c>
      <c r="E2243" s="292">
        <f t="shared" si="701"/>
        <v>43066</v>
      </c>
      <c r="F2243" s="432" t="s">
        <v>2343</v>
      </c>
      <c r="G2243" s="925" t="s">
        <v>2685</v>
      </c>
      <c r="H2243" s="311" t="s">
        <v>558</v>
      </c>
      <c r="I2243" s="373"/>
      <c r="J2243" s="379"/>
      <c r="K2243" s="373"/>
      <c r="L2243" s="379"/>
      <c r="M2243" s="927">
        <v>4463120</v>
      </c>
      <c r="N2243" s="295" t="s">
        <v>9</v>
      </c>
      <c r="O2243" s="295" t="s">
        <v>8</v>
      </c>
      <c r="P2243" s="75" t="str">
        <f>IF(AND('331-CT'!$E$7=TH!H2243,OR(N2243="331",O2243="331")),"x","")</f>
        <v/>
      </c>
      <c r="Q2243" s="75" t="str">
        <f>IF(AND(B2243='111'!$L$11,OR($N2243=$Q$7,$O2243=$Q$7)),"x","")</f>
        <v/>
      </c>
      <c r="R2243" s="75" t="str">
        <f>IF(AND($N2243=$Q$7,$B2243&lt;'111'!$L$11),"x","")</f>
        <v/>
      </c>
      <c r="S2243" s="75" t="str">
        <f>IF(AND($O2243=$Q$7,$B2243&lt;'111'!$L$11),"x","")</f>
        <v/>
      </c>
      <c r="T2243" s="75" t="str">
        <f>IF(ISERROR(FIND('112'!$M$9,G2243,1)),"",IF((AND(FIND('112'!$M$9,G2243,1)&gt;=1,B2243='112'!$K$9,OR($N2243='112'!$I$6,$O2243='112'!$I$6))),"x",""))</f>
        <v/>
      </c>
      <c r="U2243" s="75" t="str">
        <f>IF(ISERROR(FIND('112'!$M$9,G2243,1)),"",IF((AND(LEFT(G2243,2)=LEFT('112'!$M$9,2),B2243&lt;'112'!$K$9,$N2243='112'!$I$6)),"x",""))</f>
        <v/>
      </c>
      <c r="V2243" s="75" t="str">
        <f>IF(ISERROR(FIND('112'!$M$9,G2243,1)),"",IF((AND(RIGHT(G2243,2)=RIGHT('112'!$M$9,2),B2243&lt;'112'!$K$9,$O2243='112'!$I$6)),"x",""))</f>
        <v/>
      </c>
      <c r="W2243" s="75" t="str">
        <f>IF(AND('341-CT'!$H$9=H2243,OR(LEFT(N2243,3)=$W$7,LEFT(O2243,3)=$W$7)),"x","")</f>
        <v/>
      </c>
      <c r="X2243" s="75" t="str">
        <f>IF(OR(TH!N2243=TH!$X$7,O2243=TH!$X$7),"x","")</f>
        <v/>
      </c>
      <c r="Y2243" s="75" t="str">
        <f>IF(AND(OR(N2243="131",O2243="131"),H2243='131-CT'!$H$9),"x","")</f>
        <v/>
      </c>
      <c r="Z2243" s="75"/>
      <c r="AA2243" s="75" t="str">
        <f>IF(AND(MONTH(E2243)='IN-NX'!$J$5,'IN-NX'!$D$7=D2243),"x","")</f>
        <v/>
      </c>
      <c r="AB2243" s="75" t="str">
        <f>IF(AND(OR(LEFT(TH!N2243,2)="15",LEFT(TH!O2243,2)="15"),LEFT(TH!O2243,3)&lt;&gt;"111",'152-CT'!$J$8=TH!F2243),"x","")</f>
        <v/>
      </c>
      <c r="AC2243" s="75" t="str">
        <f>IF(AND(OR(LEFT(TH!N2243,2)="15",LEFT(TH!O2243,2)="15"),TK!$E$7=TH!F2243),"x","")</f>
        <v/>
      </c>
      <c r="AD2243" s="75" t="str">
        <f>IF(AND(N2243="1521",MONTH(C2243)='BK-NL'!$M$11),"x","")</f>
        <v/>
      </c>
      <c r="AE2243" s="1053">
        <v>11</v>
      </c>
    </row>
    <row r="2244" spans="1:31" s="1053" customFormat="1" ht="16.5" customHeight="1">
      <c r="A2244" s="309" t="str">
        <f>IF(B2244&lt;&gt;"",IF(AND(B2244='IN-TC'!$S$4,OR(TH!N2244="1111",TH!O2244="1111")),TH!D2244,""),"")</f>
        <v/>
      </c>
      <c r="B2244" s="1245">
        <f t="shared" si="700"/>
        <v>11</v>
      </c>
      <c r="C2244" s="292">
        <v>43066</v>
      </c>
      <c r="D2244" s="292" t="s">
        <v>1352</v>
      </c>
      <c r="E2244" s="292">
        <f t="shared" si="701"/>
        <v>43066</v>
      </c>
      <c r="F2244" s="67" t="s">
        <v>336</v>
      </c>
      <c r="G2244" s="925" t="s">
        <v>2744</v>
      </c>
      <c r="H2244" s="311" t="s">
        <v>2657</v>
      </c>
      <c r="I2244" s="373">
        <v>1000</v>
      </c>
      <c r="J2244" s="379">
        <v>13619.047</v>
      </c>
      <c r="K2244" s="373"/>
      <c r="L2244" s="379"/>
      <c r="M2244" s="927">
        <f>ROUND(I2244*J2244,0)</f>
        <v>13619047</v>
      </c>
      <c r="N2244" s="295" t="s">
        <v>266</v>
      </c>
      <c r="O2244" s="295" t="s">
        <v>8</v>
      </c>
      <c r="P2244" s="75" t="str">
        <f>IF(AND('331-CT'!$E$7=TH!H2244,OR(N2244="331",O2244="331")),"x","")</f>
        <v/>
      </c>
      <c r="Q2244" s="75" t="str">
        <f>IF(AND(B2244='111'!$L$11,OR($N2244=$Q$7,$O2244=$Q$7)),"x","")</f>
        <v/>
      </c>
      <c r="R2244" s="75" t="str">
        <f>IF(AND($N2244=$Q$7,$B2244&lt;'111'!$L$11),"x","")</f>
        <v/>
      </c>
      <c r="S2244" s="75" t="str">
        <f>IF(AND($O2244=$Q$7,$B2244&lt;'111'!$L$11),"x","")</f>
        <v/>
      </c>
      <c r="T2244" s="75" t="str">
        <f>IF(ISERROR(FIND('112'!$M$9,G2244,1)),"",IF((AND(FIND('112'!$M$9,G2244,1)&gt;=1,B2244='112'!$K$9,OR($N2244='112'!$I$6,$O2244='112'!$I$6))),"x",""))</f>
        <v/>
      </c>
      <c r="U2244" s="75" t="str">
        <f>IF(ISERROR(FIND('112'!$M$9,G2244,1)),"",IF((AND(LEFT(G2244,2)=LEFT('112'!$M$9,2),B2244&lt;'112'!$K$9,$N2244='112'!$I$6)),"x",""))</f>
        <v/>
      </c>
      <c r="V2244" s="75" t="str">
        <f>IF(ISERROR(FIND('112'!$M$9,G2244,1)),"",IF((AND(RIGHT(G2244,2)=RIGHT('112'!$M$9,2),B2244&lt;'112'!$K$9,$O2244='112'!$I$6)),"x",""))</f>
        <v/>
      </c>
      <c r="W2244" s="75" t="str">
        <f>IF(AND('341-CT'!$H$9=H2244,OR(LEFT(N2244,3)=$W$7,LEFT(O2244,3)=$W$7)),"x","")</f>
        <v/>
      </c>
      <c r="X2244" s="75" t="str">
        <f>IF(OR(TH!N2244=TH!$X$7,O2244=TH!$X$7),"x","")</f>
        <v/>
      </c>
      <c r="Y2244" s="75" t="str">
        <f>IF(AND(OR(N2244="131",O2244="131"),H2244='131-CT'!$H$9),"x","")</f>
        <v/>
      </c>
      <c r="Z2244" s="75"/>
      <c r="AA2244" s="75" t="str">
        <f>IF(AND(MONTH(E2244)='IN-NX'!$J$5,'IN-NX'!$D$7=D2244),"x","")</f>
        <v/>
      </c>
      <c r="AB2244" s="75" t="str">
        <f>IF(AND(OR(LEFT(TH!N2244,2)="15",LEFT(TH!O2244,2)="15"),LEFT(TH!O2244,3)&lt;&gt;"111",'152-CT'!$J$8=TH!F2244),"x","")</f>
        <v/>
      </c>
      <c r="AC2244" s="75" t="str">
        <f>IF(AND(OR(LEFT(TH!N2244,2)="15",LEFT(TH!O2244,2)="15"),TK!$E$7=TH!F2244),"x","")</f>
        <v>x</v>
      </c>
      <c r="AD2244" s="75" t="str">
        <f>IF(AND(N2244="1521",MONTH(C2244)='BK-NL'!$M$11),"x","")</f>
        <v/>
      </c>
      <c r="AE2244" s="1053">
        <v>11</v>
      </c>
    </row>
    <row r="2245" spans="1:31" s="1053" customFormat="1" ht="16.5" customHeight="1">
      <c r="A2245" s="309" t="str">
        <f>IF(B2245&lt;&gt;"",IF(AND(B2245='IN-TC'!$S$4,OR(TH!N2245="1111",TH!O2245="1111")),TH!D2245,""),"")</f>
        <v/>
      </c>
      <c r="B2245" s="1245">
        <f t="shared" si="700"/>
        <v>11</v>
      </c>
      <c r="C2245" s="292">
        <v>43066</v>
      </c>
      <c r="D2245" s="292" t="s">
        <v>1352</v>
      </c>
      <c r="E2245" s="292">
        <f t="shared" si="701"/>
        <v>43066</v>
      </c>
      <c r="F2245" s="67" t="s">
        <v>2131</v>
      </c>
      <c r="G2245" s="925" t="s">
        <v>2744</v>
      </c>
      <c r="H2245" s="311" t="s">
        <v>2657</v>
      </c>
      <c r="I2245" s="373"/>
      <c r="J2245" s="379"/>
      <c r="K2245" s="373"/>
      <c r="L2245" s="379"/>
      <c r="M2245" s="927">
        <v>680953</v>
      </c>
      <c r="N2245" s="295" t="s">
        <v>9</v>
      </c>
      <c r="O2245" s="295" t="s">
        <v>8</v>
      </c>
      <c r="P2245" s="75" t="str">
        <f>IF(AND('331-CT'!$E$7=TH!H2245,OR(N2245="331",O2245="331")),"x","")</f>
        <v/>
      </c>
      <c r="Q2245" s="75" t="str">
        <f>IF(AND(B2245='111'!$L$11,OR($N2245=$Q$7,$O2245=$Q$7)),"x","")</f>
        <v/>
      </c>
      <c r="R2245" s="75" t="str">
        <f>IF(AND($N2245=$Q$7,$B2245&lt;'111'!$L$11),"x","")</f>
        <v/>
      </c>
      <c r="S2245" s="75" t="str">
        <f>IF(AND($O2245=$Q$7,$B2245&lt;'111'!$L$11),"x","")</f>
        <v/>
      </c>
      <c r="T2245" s="75" t="str">
        <f>IF(ISERROR(FIND('112'!$M$9,G2245,1)),"",IF((AND(FIND('112'!$M$9,G2245,1)&gt;=1,B2245='112'!$K$9,OR($N2245='112'!$I$6,$O2245='112'!$I$6))),"x",""))</f>
        <v/>
      </c>
      <c r="U2245" s="75" t="str">
        <f>IF(ISERROR(FIND('112'!$M$9,G2245,1)),"",IF((AND(LEFT(G2245,2)=LEFT('112'!$M$9,2),B2245&lt;'112'!$K$9,$N2245='112'!$I$6)),"x",""))</f>
        <v/>
      </c>
      <c r="V2245" s="75" t="str">
        <f>IF(ISERROR(FIND('112'!$M$9,G2245,1)),"",IF((AND(RIGHT(G2245,2)=RIGHT('112'!$M$9,2),B2245&lt;'112'!$K$9,$O2245='112'!$I$6)),"x",""))</f>
        <v/>
      </c>
      <c r="W2245" s="75" t="str">
        <f>IF(AND('341-CT'!$H$9=H2245,OR(LEFT(N2245,3)=$W$7,LEFT(O2245,3)=$W$7)),"x","")</f>
        <v/>
      </c>
      <c r="X2245" s="75" t="str">
        <f>IF(OR(TH!N2245=TH!$X$7,O2245=TH!$X$7),"x","")</f>
        <v/>
      </c>
      <c r="Y2245" s="75" t="str">
        <f>IF(AND(OR(N2245="131",O2245="131"),H2245='131-CT'!$H$9),"x","")</f>
        <v/>
      </c>
      <c r="Z2245" s="75"/>
      <c r="AA2245" s="75" t="str">
        <f>IF(AND(MONTH(E2245)='IN-NX'!$J$5,'IN-NX'!$D$7=D2245),"x","")</f>
        <v/>
      </c>
      <c r="AB2245" s="75" t="str">
        <f>IF(AND(OR(LEFT(TH!N2245,2)="15",LEFT(TH!O2245,2)="15"),LEFT(TH!O2245,3)&lt;&gt;"111",'152-CT'!$J$8=TH!F2245),"x","")</f>
        <v/>
      </c>
      <c r="AC2245" s="75" t="str">
        <f>IF(AND(OR(LEFT(TH!N2245,2)="15",LEFT(TH!O2245,2)="15"),TK!$E$7=TH!F2245),"x","")</f>
        <v/>
      </c>
      <c r="AD2245" s="75" t="str">
        <f>IF(AND(N2245="1521",MONTH(C2245)='BK-NL'!$M$11),"x","")</f>
        <v/>
      </c>
      <c r="AE2245" s="1053">
        <v>11</v>
      </c>
    </row>
    <row r="2246" spans="1:31" s="1053" customFormat="1" ht="16.5" customHeight="1">
      <c r="A2246" s="309" t="str">
        <f>IF(B2246&lt;&gt;"",IF(AND(B2246='IN-TC'!$S$4,OR(TH!N2246="1111",TH!O2246="1111")),TH!D2246,""),"")</f>
        <v/>
      </c>
      <c r="B2246" s="1245">
        <f t="shared" si="700"/>
        <v>11</v>
      </c>
      <c r="C2246" s="292">
        <v>43066</v>
      </c>
      <c r="D2246" s="292" t="s">
        <v>1353</v>
      </c>
      <c r="E2246" s="292">
        <f t="shared" ref="E2246:E2249" si="704">C2246</f>
        <v>43066</v>
      </c>
      <c r="F2246" s="67" t="s">
        <v>346</v>
      </c>
      <c r="G2246" s="925" t="s">
        <v>2652</v>
      </c>
      <c r="H2246" s="311" t="s">
        <v>555</v>
      </c>
      <c r="I2246" s="373">
        <v>600</v>
      </c>
      <c r="J2246" s="379">
        <v>8000</v>
      </c>
      <c r="K2246" s="373"/>
      <c r="L2246" s="379"/>
      <c r="M2246" s="927">
        <f>I2246*J2246</f>
        <v>4800000</v>
      </c>
      <c r="N2246" s="295" t="s">
        <v>266</v>
      </c>
      <c r="O2246" s="295" t="s">
        <v>8</v>
      </c>
      <c r="P2246" s="75" t="str">
        <f>IF(AND('331-CT'!$E$7=TH!H2246,OR(N2246="331",O2246="331")),"x","")</f>
        <v/>
      </c>
      <c r="Q2246" s="75" t="str">
        <f>IF(AND(B2246='111'!$L$11,OR($N2246=$Q$7,$O2246=$Q$7)),"x","")</f>
        <v/>
      </c>
      <c r="R2246" s="75" t="str">
        <f>IF(AND($N2246=$Q$7,$B2246&lt;'111'!$L$11),"x","")</f>
        <v/>
      </c>
      <c r="S2246" s="75" t="str">
        <f>IF(AND($O2246=$Q$7,$B2246&lt;'111'!$L$11),"x","")</f>
        <v/>
      </c>
      <c r="T2246" s="75" t="str">
        <f>IF(ISERROR(FIND('112'!$M$9,G2246,1)),"",IF((AND(FIND('112'!$M$9,G2246,1)&gt;=1,B2246='112'!$K$9,OR($N2246='112'!$I$6,$O2246='112'!$I$6))),"x",""))</f>
        <v/>
      </c>
      <c r="U2246" s="75" t="str">
        <f>IF(ISERROR(FIND('112'!$M$9,G2246,1)),"",IF((AND(LEFT(G2246,2)=LEFT('112'!$M$9,2),B2246&lt;'112'!$K$9,$N2246='112'!$I$6)),"x",""))</f>
        <v/>
      </c>
      <c r="V2246" s="75" t="str">
        <f>IF(ISERROR(FIND('112'!$M$9,G2246,1)),"",IF((AND(RIGHT(G2246,2)=RIGHT('112'!$M$9,2),B2246&lt;'112'!$K$9,$O2246='112'!$I$6)),"x",""))</f>
        <v/>
      </c>
      <c r="W2246" s="75" t="str">
        <f>IF(AND('341-CT'!$H$9=H2246,OR(LEFT(N2246,3)=$W$7,LEFT(O2246,3)=$W$7)),"x","")</f>
        <v/>
      </c>
      <c r="X2246" s="75" t="str">
        <f>IF(OR(TH!N2246=TH!$X$7,O2246=TH!$X$7),"x","")</f>
        <v/>
      </c>
      <c r="Y2246" s="75" t="str">
        <f>IF(AND(OR(N2246="131",O2246="131"),H2246='131-CT'!$H$9),"x","")</f>
        <v/>
      </c>
      <c r="Z2246" s="75"/>
      <c r="AA2246" s="75" t="str">
        <f>IF(AND(MONTH(E2246)='IN-NX'!$J$5,'IN-NX'!$D$7=D2246),"x","")</f>
        <v/>
      </c>
      <c r="AB2246" s="75" t="str">
        <f>IF(AND(OR(LEFT(TH!N2246,2)="15",LEFT(TH!O2246,2)="15"),LEFT(TH!O2246,3)&lt;&gt;"111",'152-CT'!$J$8=TH!F2246),"x","")</f>
        <v/>
      </c>
      <c r="AC2246" s="75" t="str">
        <f>IF(AND(OR(LEFT(TH!N2246,2)="15",LEFT(TH!O2246,2)="15"),TK!$E$7=TH!F2246),"x","")</f>
        <v/>
      </c>
      <c r="AD2246" s="75" t="str">
        <f>IF(AND(N2246="1521",MONTH(C2246)='BK-NL'!$M$11),"x","")</f>
        <v/>
      </c>
      <c r="AE2246" s="1053">
        <v>11</v>
      </c>
    </row>
    <row r="2247" spans="1:31" s="1053" customFormat="1" ht="16.5" customHeight="1">
      <c r="A2247" s="309" t="str">
        <f>IF(B2247&lt;&gt;"",IF(AND(B2247='IN-TC'!$S$4,OR(TH!N2247="1111",TH!O2247="1111")),TH!D2247,""),"")</f>
        <v/>
      </c>
      <c r="B2247" s="1245">
        <f t="shared" si="700"/>
        <v>11</v>
      </c>
      <c r="C2247" s="292">
        <v>43066</v>
      </c>
      <c r="D2247" s="292" t="s">
        <v>1353</v>
      </c>
      <c r="E2247" s="292">
        <f t="shared" si="704"/>
        <v>43066</v>
      </c>
      <c r="F2247" s="67" t="s">
        <v>841</v>
      </c>
      <c r="G2247" s="925" t="s">
        <v>2652</v>
      </c>
      <c r="H2247" s="311" t="s">
        <v>555</v>
      </c>
      <c r="I2247" s="373"/>
      <c r="J2247" s="379"/>
      <c r="K2247" s="373"/>
      <c r="L2247" s="379"/>
      <c r="M2247" s="927">
        <v>480000</v>
      </c>
      <c r="N2247" s="295" t="s">
        <v>9</v>
      </c>
      <c r="O2247" s="295" t="s">
        <v>8</v>
      </c>
      <c r="P2247" s="75" t="str">
        <f>IF(AND('331-CT'!$E$7=TH!H2247,OR(N2247="331",O2247="331")),"x","")</f>
        <v/>
      </c>
      <c r="Q2247" s="75" t="str">
        <f>IF(AND(B2247='111'!$L$11,OR($N2247=$Q$7,$O2247=$Q$7)),"x","")</f>
        <v/>
      </c>
      <c r="R2247" s="75" t="str">
        <f>IF(AND($N2247=$Q$7,$B2247&lt;'111'!$L$11),"x","")</f>
        <v/>
      </c>
      <c r="S2247" s="75" t="str">
        <f>IF(AND($O2247=$Q$7,$B2247&lt;'111'!$L$11),"x","")</f>
        <v/>
      </c>
      <c r="T2247" s="75" t="str">
        <f>IF(ISERROR(FIND('112'!$M$9,G2247,1)),"",IF((AND(FIND('112'!$M$9,G2247,1)&gt;=1,B2247='112'!$K$9,OR($N2247='112'!$I$6,$O2247='112'!$I$6))),"x",""))</f>
        <v/>
      </c>
      <c r="U2247" s="75" t="str">
        <f>IF(ISERROR(FIND('112'!$M$9,G2247,1)),"",IF((AND(LEFT(G2247,2)=LEFT('112'!$M$9,2),B2247&lt;'112'!$K$9,$N2247='112'!$I$6)),"x",""))</f>
        <v/>
      </c>
      <c r="V2247" s="75" t="str">
        <f>IF(ISERROR(FIND('112'!$M$9,G2247,1)),"",IF((AND(RIGHT(G2247,2)=RIGHT('112'!$M$9,2),B2247&lt;'112'!$K$9,$O2247='112'!$I$6)),"x",""))</f>
        <v/>
      </c>
      <c r="W2247" s="75" t="str">
        <f>IF(AND('341-CT'!$H$9=H2247,OR(LEFT(N2247,3)=$W$7,LEFT(O2247,3)=$W$7)),"x","")</f>
        <v/>
      </c>
      <c r="X2247" s="75" t="str">
        <f>IF(OR(TH!N2247=TH!$X$7,O2247=TH!$X$7),"x","")</f>
        <v/>
      </c>
      <c r="Y2247" s="75" t="str">
        <f>IF(AND(OR(N2247="131",O2247="131"),H2247='131-CT'!$H$9),"x","")</f>
        <v/>
      </c>
      <c r="Z2247" s="75"/>
      <c r="AA2247" s="75" t="str">
        <f>IF(AND(MONTH(E2247)='IN-NX'!$J$5,'IN-NX'!$D$7=D2247),"x","")</f>
        <v/>
      </c>
      <c r="AB2247" s="75" t="str">
        <f>IF(AND(OR(LEFT(TH!N2247,2)="15",LEFT(TH!O2247,2)="15"),LEFT(TH!O2247,3)&lt;&gt;"111",'152-CT'!$J$8=TH!F2247),"x","")</f>
        <v/>
      </c>
      <c r="AC2247" s="75" t="str">
        <f>IF(AND(OR(LEFT(TH!N2247,2)="15",LEFT(TH!O2247,2)="15"),TK!$E$7=TH!F2247),"x","")</f>
        <v/>
      </c>
      <c r="AD2247" s="75" t="str">
        <f>IF(AND(N2247="1521",MONTH(C2247)='BK-NL'!$M$11),"x","")</f>
        <v/>
      </c>
      <c r="AE2247" s="1053">
        <v>11</v>
      </c>
    </row>
    <row r="2248" spans="1:31" s="1053" customFormat="1" ht="16.5" customHeight="1">
      <c r="A2248" s="309" t="str">
        <f>IF(B2248&lt;&gt;"",IF(AND(B2248='IN-TC'!$S$4,OR(TH!N2248="1111",TH!O2248="1111")),TH!D2248,""),"")</f>
        <v/>
      </c>
      <c r="B2248" s="1245">
        <f t="shared" si="700"/>
        <v>11</v>
      </c>
      <c r="C2248" s="292">
        <v>43067</v>
      </c>
      <c r="D2248" s="292" t="s">
        <v>1354</v>
      </c>
      <c r="E2248" s="292">
        <f t="shared" si="704"/>
        <v>43067</v>
      </c>
      <c r="F2248" s="67" t="s">
        <v>336</v>
      </c>
      <c r="G2248" s="925" t="s">
        <v>1418</v>
      </c>
      <c r="H2248" s="311" t="s">
        <v>2657</v>
      </c>
      <c r="I2248" s="373">
        <v>1300</v>
      </c>
      <c r="J2248" s="379">
        <v>13619.047699999999</v>
      </c>
      <c r="K2248" s="373"/>
      <c r="L2248" s="379"/>
      <c r="M2248" s="927">
        <f>ROUND(I2248*J2248,0)</f>
        <v>17704762</v>
      </c>
      <c r="N2248" s="295" t="s">
        <v>266</v>
      </c>
      <c r="O2248" s="295" t="s">
        <v>8</v>
      </c>
      <c r="P2248" s="75" t="str">
        <f>IF(AND('331-CT'!$E$7=TH!H2248,OR(N2248="331",O2248="331")),"x","")</f>
        <v/>
      </c>
      <c r="Q2248" s="75" t="str">
        <f>IF(AND(B2248='111'!$L$11,OR($N2248=$Q$7,$O2248=$Q$7)),"x","")</f>
        <v/>
      </c>
      <c r="R2248" s="75" t="str">
        <f>IF(AND($N2248=$Q$7,$B2248&lt;'111'!$L$11),"x","")</f>
        <v/>
      </c>
      <c r="S2248" s="75" t="str">
        <f>IF(AND($O2248=$Q$7,$B2248&lt;'111'!$L$11),"x","")</f>
        <v/>
      </c>
      <c r="T2248" s="75" t="str">
        <f>IF(ISERROR(FIND('112'!$M$9,G2248,1)),"",IF((AND(FIND('112'!$M$9,G2248,1)&gt;=1,B2248='112'!$K$9,OR($N2248='112'!$I$6,$O2248='112'!$I$6))),"x",""))</f>
        <v/>
      </c>
      <c r="U2248" s="75" t="str">
        <f>IF(ISERROR(FIND('112'!$M$9,G2248,1)),"",IF((AND(LEFT(G2248,2)=LEFT('112'!$M$9,2),B2248&lt;'112'!$K$9,$N2248='112'!$I$6)),"x",""))</f>
        <v/>
      </c>
      <c r="V2248" s="75" t="str">
        <f>IF(ISERROR(FIND('112'!$M$9,G2248,1)),"",IF((AND(RIGHT(G2248,2)=RIGHT('112'!$M$9,2),B2248&lt;'112'!$K$9,$O2248='112'!$I$6)),"x",""))</f>
        <v/>
      </c>
      <c r="W2248" s="75" t="str">
        <f>IF(AND('341-CT'!$H$9=H2248,OR(LEFT(N2248,3)=$W$7,LEFT(O2248,3)=$W$7)),"x","")</f>
        <v/>
      </c>
      <c r="X2248" s="75" t="str">
        <f>IF(OR(TH!N2248=TH!$X$7,O2248=TH!$X$7),"x","")</f>
        <v/>
      </c>
      <c r="Y2248" s="75" t="str">
        <f>IF(AND(OR(N2248="131",O2248="131"),H2248='131-CT'!$H$9),"x","")</f>
        <v/>
      </c>
      <c r="Z2248" s="75"/>
      <c r="AA2248" s="75" t="str">
        <f>IF(AND(MONTH(E2248)='IN-NX'!$J$5,'IN-NX'!$D$7=D2248),"x","")</f>
        <v/>
      </c>
      <c r="AB2248" s="75" t="str">
        <f>IF(AND(OR(LEFT(TH!N2248,2)="15",LEFT(TH!O2248,2)="15"),LEFT(TH!O2248,3)&lt;&gt;"111",'152-CT'!$J$8=TH!F2248),"x","")</f>
        <v/>
      </c>
      <c r="AC2248" s="75" t="str">
        <f>IF(AND(OR(LEFT(TH!N2248,2)="15",LEFT(TH!O2248,2)="15"),TK!$E$7=TH!F2248),"x","")</f>
        <v>x</v>
      </c>
      <c r="AD2248" s="75" t="str">
        <f>IF(AND(N2248="1521",MONTH(C2248)='BK-NL'!$M$11),"x","")</f>
        <v/>
      </c>
      <c r="AE2248" s="1053">
        <v>11</v>
      </c>
    </row>
    <row r="2249" spans="1:31" s="1053" customFormat="1" ht="16.5" customHeight="1">
      <c r="A2249" s="309" t="str">
        <f>IF(B2249&lt;&gt;"",IF(AND(B2249='IN-TC'!$S$4,OR(TH!N2249="1111",TH!O2249="1111")),TH!D2249,""),"")</f>
        <v/>
      </c>
      <c r="B2249" s="1245">
        <f t="shared" si="700"/>
        <v>11</v>
      </c>
      <c r="C2249" s="292">
        <v>43067</v>
      </c>
      <c r="D2249" s="292" t="s">
        <v>1354</v>
      </c>
      <c r="E2249" s="292">
        <f t="shared" si="704"/>
        <v>43067</v>
      </c>
      <c r="F2249" s="67" t="s">
        <v>2131</v>
      </c>
      <c r="G2249" s="925" t="s">
        <v>1418</v>
      </c>
      <c r="H2249" s="311" t="s">
        <v>2657</v>
      </c>
      <c r="I2249" s="373"/>
      <c r="J2249" s="379"/>
      <c r="K2249" s="373"/>
      <c r="L2249" s="379"/>
      <c r="M2249" s="927">
        <v>885238</v>
      </c>
      <c r="N2249" s="295" t="s">
        <v>9</v>
      </c>
      <c r="O2249" s="295" t="s">
        <v>8</v>
      </c>
      <c r="P2249" s="75" t="str">
        <f>IF(AND('331-CT'!$E$7=TH!H2249,OR(N2249="331",O2249="331")),"x","")</f>
        <v/>
      </c>
      <c r="Q2249" s="75" t="str">
        <f>IF(AND(B2249='111'!$L$11,OR($N2249=$Q$7,$O2249=$Q$7)),"x","")</f>
        <v/>
      </c>
      <c r="R2249" s="75" t="str">
        <f>IF(AND($N2249=$Q$7,$B2249&lt;'111'!$L$11),"x","")</f>
        <v/>
      </c>
      <c r="S2249" s="75" t="str">
        <f>IF(AND($O2249=$Q$7,$B2249&lt;'111'!$L$11),"x","")</f>
        <v/>
      </c>
      <c r="T2249" s="75" t="str">
        <f>IF(ISERROR(FIND('112'!$M$9,G2249,1)),"",IF((AND(FIND('112'!$M$9,G2249,1)&gt;=1,B2249='112'!$K$9,OR($N2249='112'!$I$6,$O2249='112'!$I$6))),"x",""))</f>
        <v/>
      </c>
      <c r="U2249" s="75" t="str">
        <f>IF(ISERROR(FIND('112'!$M$9,G2249,1)),"",IF((AND(LEFT(G2249,2)=LEFT('112'!$M$9,2),B2249&lt;'112'!$K$9,$N2249='112'!$I$6)),"x",""))</f>
        <v/>
      </c>
      <c r="V2249" s="75" t="str">
        <f>IF(ISERROR(FIND('112'!$M$9,G2249,1)),"",IF((AND(RIGHT(G2249,2)=RIGHT('112'!$M$9,2),B2249&lt;'112'!$K$9,$O2249='112'!$I$6)),"x",""))</f>
        <v/>
      </c>
      <c r="W2249" s="75" t="str">
        <f>IF(AND('341-CT'!$H$9=H2249,OR(LEFT(N2249,3)=$W$7,LEFT(O2249,3)=$W$7)),"x","")</f>
        <v/>
      </c>
      <c r="X2249" s="75" t="str">
        <f>IF(OR(TH!N2249=TH!$X$7,O2249=TH!$X$7),"x","")</f>
        <v/>
      </c>
      <c r="Y2249" s="75" t="str">
        <f>IF(AND(OR(N2249="131",O2249="131"),H2249='131-CT'!$H$9),"x","")</f>
        <v/>
      </c>
      <c r="Z2249" s="75"/>
      <c r="AA2249" s="75" t="str">
        <f>IF(AND(MONTH(E2249)='IN-NX'!$J$5,'IN-NX'!$D$7=D2249),"x","")</f>
        <v/>
      </c>
      <c r="AB2249" s="75" t="str">
        <f>IF(AND(OR(LEFT(TH!N2249,2)="15",LEFT(TH!O2249,2)="15"),LEFT(TH!O2249,3)&lt;&gt;"111",'152-CT'!$J$8=TH!F2249),"x","")</f>
        <v/>
      </c>
      <c r="AC2249" s="75" t="str">
        <f>IF(AND(OR(LEFT(TH!N2249,2)="15",LEFT(TH!O2249,2)="15"),TK!$E$7=TH!F2249),"x","")</f>
        <v/>
      </c>
      <c r="AD2249" s="75" t="str">
        <f>IF(AND(N2249="1521",MONTH(C2249)='BK-NL'!$M$11),"x","")</f>
        <v/>
      </c>
      <c r="AE2249" s="1053">
        <v>11</v>
      </c>
    </row>
    <row r="2250" spans="1:31" ht="16.5" customHeight="1">
      <c r="A2250" s="309" t="str">
        <f>IF(B2250&lt;&gt;"",IF(AND(B2250='IN-TC'!$S$4,OR(TH!N2250="1111",TH!O2250="1111")),TH!D2250,""),"")</f>
        <v/>
      </c>
      <c r="B2250" s="1245">
        <f t="shared" si="700"/>
        <v>11</v>
      </c>
      <c r="C2250" s="929">
        <f t="shared" ref="C2250:C2289" si="705">E2250</f>
        <v>43040</v>
      </c>
      <c r="D2250" s="929" t="s">
        <v>2951</v>
      </c>
      <c r="E2250" s="929">
        <v>43040</v>
      </c>
      <c r="F2250" s="1082" t="s">
        <v>327</v>
      </c>
      <c r="G2250" s="931"/>
      <c r="H2250" s="735" t="s">
        <v>424</v>
      </c>
      <c r="I2250" s="371">
        <v>150</v>
      </c>
      <c r="J2250" s="377">
        <v>32200</v>
      </c>
      <c r="K2250" s="371"/>
      <c r="L2250" s="377"/>
      <c r="M2250" s="933">
        <f t="shared" ref="M2250:M2289" si="706">ROUND(I2250*J2250,0)</f>
        <v>4830000</v>
      </c>
      <c r="N2250" s="934" t="s">
        <v>272</v>
      </c>
      <c r="O2250" s="934" t="s">
        <v>266</v>
      </c>
      <c r="P2250" s="75" t="str">
        <f>IF(AND('331-CT'!$E$7=TH!H2250,OR(N2250="331",O2250="331")),"x","")</f>
        <v/>
      </c>
      <c r="Q2250" s="75" t="str">
        <f>IF(AND(B2250='111'!$L$11,OR($N2250=$Q$7,$O2250=$Q$7)),"x","")</f>
        <v/>
      </c>
      <c r="R2250" s="75" t="str">
        <f>IF(AND($N2250=$Q$7,$B2250&lt;'111'!$L$11),"x","")</f>
        <v/>
      </c>
      <c r="S2250" s="75" t="str">
        <f>IF(AND($O2250=$Q$7,$B2250&lt;'111'!$L$11),"x","")</f>
        <v/>
      </c>
      <c r="T2250" s="75" t="str">
        <f>IF(ISERROR(FIND('112'!$M$9,G2250,1)),"",IF((AND(FIND('112'!$M$9,G2250,1)&gt;=1,B2250='112'!$K$9,OR($N2250='112'!$I$6,$O2250='112'!$I$6))),"x",""))</f>
        <v/>
      </c>
      <c r="U2250" s="75" t="str">
        <f>IF(ISERROR(FIND('112'!$M$9,G2250,1)),"",IF((AND(LEFT(G2250,2)=LEFT('112'!$M$9,2),B2250&lt;'112'!$K$9,$N2250='112'!$I$6)),"x",""))</f>
        <v/>
      </c>
      <c r="V2250" s="75" t="str">
        <f>IF(ISERROR(FIND('112'!$M$9,G2250,1)),"",IF((AND(RIGHT(G2250,2)=RIGHT('112'!$M$9,2),B2250&lt;'112'!$K$9,$O2250='112'!$I$6)),"x",""))</f>
        <v/>
      </c>
      <c r="W2250" s="75" t="str">
        <f>IF(AND('341-CT'!$H$9=H2250,OR(LEFT(N2250,3)=$W$7,LEFT(O2250,3)=$W$7)),"x","")</f>
        <v/>
      </c>
      <c r="X2250" s="75" t="str">
        <f>IF(OR(TH!N2250=TH!$X$7,O2250=TH!$X$7),"x","")</f>
        <v/>
      </c>
      <c r="Y2250" s="75" t="str">
        <f>IF(AND(OR(N2250="131",O2250="131"),H2250='131-CT'!$H$9),"x","")</f>
        <v/>
      </c>
      <c r="Z2250" s="75"/>
      <c r="AA2250" s="75" t="str">
        <f>IF(AND(MONTH(E2250)='IN-NX'!$J$5,'IN-NX'!$D$7=D2250),"x","")</f>
        <v/>
      </c>
      <c r="AB2250" s="75" t="str">
        <f>IF(AND(OR(LEFT(TH!N2250,2)="15",LEFT(TH!O2250,2)="15"),LEFT(TH!O2250,3)&lt;&gt;"111",'152-CT'!$J$8=TH!F2250),"x","")</f>
        <v/>
      </c>
      <c r="AC2250" s="75" t="str">
        <f>IF(AND(OR(LEFT(TH!N2250,2)="15",LEFT(TH!O2250,2)="15"),TK!$E$7=TH!F2250),"x","")</f>
        <v/>
      </c>
      <c r="AD2250" s="75" t="str">
        <f>IF(AND(N2250="1521",MONTH(C2250)='BK-NL'!$M$11),"x","")</f>
        <v/>
      </c>
    </row>
    <row r="2251" spans="1:31" ht="16.5" customHeight="1">
      <c r="A2251" s="309" t="str">
        <f>IF(B2251&lt;&gt;"",IF(AND(B2251='IN-TC'!$S$4,OR(TH!N2251="1111",TH!O2251="1111")),TH!D2251,""),"")</f>
        <v/>
      </c>
      <c r="B2251" s="1245">
        <f t="shared" si="700"/>
        <v>11</v>
      </c>
      <c r="C2251" s="929">
        <f t="shared" si="705"/>
        <v>43040</v>
      </c>
      <c r="D2251" s="929" t="s">
        <v>2951</v>
      </c>
      <c r="E2251" s="929">
        <v>43040</v>
      </c>
      <c r="F2251" s="1082" t="s">
        <v>333</v>
      </c>
      <c r="G2251" s="931"/>
      <c r="H2251" s="735" t="s">
        <v>424</v>
      </c>
      <c r="I2251" s="371">
        <v>150</v>
      </c>
      <c r="J2251" s="377">
        <v>49808.000000000007</v>
      </c>
      <c r="K2251" s="371"/>
      <c r="L2251" s="377"/>
      <c r="M2251" s="933">
        <f t="shared" si="706"/>
        <v>7471200</v>
      </c>
      <c r="N2251" s="934" t="s">
        <v>272</v>
      </c>
      <c r="O2251" s="934" t="s">
        <v>266</v>
      </c>
      <c r="P2251" s="75" t="str">
        <f>IF(AND('331-CT'!$E$7=TH!H2251,OR(N2251="331",O2251="331")),"x","")</f>
        <v/>
      </c>
      <c r="Q2251" s="75" t="str">
        <f>IF(AND(B2251='111'!$L$11,OR($N2251=$Q$7,$O2251=$Q$7)),"x","")</f>
        <v/>
      </c>
      <c r="R2251" s="75" t="str">
        <f>IF(AND($N2251=$Q$7,$B2251&lt;'111'!$L$11),"x","")</f>
        <v/>
      </c>
      <c r="S2251" s="75" t="str">
        <f>IF(AND($O2251=$Q$7,$B2251&lt;'111'!$L$11),"x","")</f>
        <v/>
      </c>
      <c r="T2251" s="75" t="str">
        <f>IF(ISERROR(FIND('112'!$M$9,G2251,1)),"",IF((AND(FIND('112'!$M$9,G2251,1)&gt;=1,B2251='112'!$K$9,OR($N2251='112'!$I$6,$O2251='112'!$I$6))),"x",""))</f>
        <v/>
      </c>
      <c r="U2251" s="75" t="str">
        <f>IF(ISERROR(FIND('112'!$M$9,G2251,1)),"",IF((AND(LEFT(G2251,2)=LEFT('112'!$M$9,2),B2251&lt;'112'!$K$9,$N2251='112'!$I$6)),"x",""))</f>
        <v/>
      </c>
      <c r="V2251" s="75" t="str">
        <f>IF(ISERROR(FIND('112'!$M$9,G2251,1)),"",IF((AND(RIGHT(G2251,2)=RIGHT('112'!$M$9,2),B2251&lt;'112'!$K$9,$O2251='112'!$I$6)),"x",""))</f>
        <v/>
      </c>
      <c r="W2251" s="75" t="str">
        <f>IF(AND('341-CT'!$H$9=H2251,OR(LEFT(N2251,3)=$W$7,LEFT(O2251,3)=$W$7)),"x","")</f>
        <v/>
      </c>
      <c r="X2251" s="75" t="str">
        <f>IF(OR(TH!N2251=TH!$X$7,O2251=TH!$X$7),"x","")</f>
        <v/>
      </c>
      <c r="Y2251" s="75" t="str">
        <f>IF(AND(OR(N2251="131",O2251="131"),H2251='131-CT'!$H$9),"x","")</f>
        <v/>
      </c>
      <c r="Z2251" s="75"/>
      <c r="AA2251" s="75" t="str">
        <f>IF(AND(MONTH(E2251)='IN-NX'!$J$5,'IN-NX'!$D$7=D2251),"x","")</f>
        <v/>
      </c>
      <c r="AB2251" s="75" t="str">
        <f>IF(AND(OR(LEFT(TH!N2251,2)="15",LEFT(TH!O2251,2)="15"),LEFT(TH!O2251,3)&lt;&gt;"111",'152-CT'!$J$8=TH!F2251),"x","")</f>
        <v/>
      </c>
      <c r="AC2251" s="75" t="str">
        <f>IF(AND(OR(LEFT(TH!N2251,2)="15",LEFT(TH!O2251,2)="15"),TK!$E$7=TH!F2251),"x","")</f>
        <v/>
      </c>
      <c r="AD2251" s="75" t="str">
        <f>IF(AND(N2251="1521",MONTH(C2251)='BK-NL'!$M$11),"x","")</f>
        <v/>
      </c>
    </row>
    <row r="2252" spans="1:31" ht="16.5" customHeight="1">
      <c r="A2252" s="309" t="str">
        <f>IF(B2252&lt;&gt;"",IF(AND(B2252='IN-TC'!$S$4,OR(TH!N2252="1111",TH!O2252="1111")),TH!D2252,""),"")</f>
        <v/>
      </c>
      <c r="B2252" s="1245">
        <f t="shared" si="700"/>
        <v>11</v>
      </c>
      <c r="C2252" s="929">
        <f t="shared" si="705"/>
        <v>43040</v>
      </c>
      <c r="D2252" s="929" t="s">
        <v>2951</v>
      </c>
      <c r="E2252" s="929">
        <v>43040</v>
      </c>
      <c r="F2252" s="1082" t="s">
        <v>336</v>
      </c>
      <c r="G2252" s="931"/>
      <c r="H2252" s="735" t="s">
        <v>424</v>
      </c>
      <c r="I2252" s="371">
        <v>400</v>
      </c>
      <c r="J2252" s="377">
        <v>16476.189999999999</v>
      </c>
      <c r="K2252" s="371"/>
      <c r="L2252" s="377"/>
      <c r="M2252" s="933">
        <f t="shared" si="706"/>
        <v>6590476</v>
      </c>
      <c r="N2252" s="934" t="s">
        <v>272</v>
      </c>
      <c r="O2252" s="934" t="s">
        <v>266</v>
      </c>
      <c r="P2252" s="75" t="str">
        <f>IF(AND('331-CT'!$E$7=TH!H2252,OR(N2252="331",O2252="331")),"x","")</f>
        <v/>
      </c>
      <c r="Q2252" s="75" t="str">
        <f>IF(AND(B2252='111'!$L$11,OR($N2252=$Q$7,$O2252=$Q$7)),"x","")</f>
        <v/>
      </c>
      <c r="R2252" s="75" t="str">
        <f>IF(AND($N2252=$Q$7,$B2252&lt;'111'!$L$11),"x","")</f>
        <v/>
      </c>
      <c r="S2252" s="75" t="str">
        <f>IF(AND($O2252=$Q$7,$B2252&lt;'111'!$L$11),"x","")</f>
        <v/>
      </c>
      <c r="T2252" s="75" t="str">
        <f>IF(ISERROR(FIND('112'!$M$9,G2252,1)),"",IF((AND(FIND('112'!$M$9,G2252,1)&gt;=1,B2252='112'!$K$9,OR($N2252='112'!$I$6,$O2252='112'!$I$6))),"x",""))</f>
        <v/>
      </c>
      <c r="U2252" s="75" t="str">
        <f>IF(ISERROR(FIND('112'!$M$9,G2252,1)),"",IF((AND(LEFT(G2252,2)=LEFT('112'!$M$9,2),B2252&lt;'112'!$K$9,$N2252='112'!$I$6)),"x",""))</f>
        <v/>
      </c>
      <c r="V2252" s="75" t="str">
        <f>IF(ISERROR(FIND('112'!$M$9,G2252,1)),"",IF((AND(RIGHT(G2252,2)=RIGHT('112'!$M$9,2),B2252&lt;'112'!$K$9,$O2252='112'!$I$6)),"x",""))</f>
        <v/>
      </c>
      <c r="W2252" s="75" t="str">
        <f>IF(AND('341-CT'!$H$9=H2252,OR(LEFT(N2252,3)=$W$7,LEFT(O2252,3)=$W$7)),"x","")</f>
        <v/>
      </c>
      <c r="X2252" s="75" t="str">
        <f>IF(OR(TH!N2252=TH!$X$7,O2252=TH!$X$7),"x","")</f>
        <v/>
      </c>
      <c r="Y2252" s="75" t="str">
        <f>IF(AND(OR(N2252="131",O2252="131"),H2252='131-CT'!$H$9),"x","")</f>
        <v/>
      </c>
      <c r="Z2252" s="75"/>
      <c r="AA2252" s="75" t="str">
        <f>IF(AND(MONTH(E2252)='IN-NX'!$J$5,'IN-NX'!$D$7=D2252),"x","")</f>
        <v/>
      </c>
      <c r="AB2252" s="75" t="str">
        <f>IF(AND(OR(LEFT(TH!N2252,2)="15",LEFT(TH!O2252,2)="15"),LEFT(TH!O2252,3)&lt;&gt;"111",'152-CT'!$J$8=TH!F2252),"x","")</f>
        <v/>
      </c>
      <c r="AC2252" s="75" t="str">
        <f>IF(AND(OR(LEFT(TH!N2252,2)="15",LEFT(TH!O2252,2)="15"),TK!$E$7=TH!F2252),"x","")</f>
        <v>x</v>
      </c>
      <c r="AD2252" s="75" t="str">
        <f>IF(AND(N2252="1521",MONTH(C2252)='BK-NL'!$M$11),"x","")</f>
        <v/>
      </c>
    </row>
    <row r="2253" spans="1:31" ht="16.5" customHeight="1">
      <c r="A2253" s="309" t="str">
        <f>IF(B2253&lt;&gt;"",IF(AND(B2253='IN-TC'!$S$4,OR(TH!N2253="1111",TH!O2253="1111")),TH!D2253,""),"")</f>
        <v/>
      </c>
      <c r="B2253" s="1245">
        <f t="shared" si="700"/>
        <v>11</v>
      </c>
      <c r="C2253" s="929">
        <f t="shared" si="705"/>
        <v>43040</v>
      </c>
      <c r="D2253" s="929" t="s">
        <v>2951</v>
      </c>
      <c r="E2253" s="929">
        <v>43040</v>
      </c>
      <c r="F2253" s="1082" t="s">
        <v>804</v>
      </c>
      <c r="G2253" s="931"/>
      <c r="H2253" s="735" t="s">
        <v>424</v>
      </c>
      <c r="I2253" s="371">
        <v>10</v>
      </c>
      <c r="J2253" s="377">
        <v>53000</v>
      </c>
      <c r="K2253" s="371"/>
      <c r="L2253" s="377"/>
      <c r="M2253" s="933">
        <f t="shared" si="706"/>
        <v>530000</v>
      </c>
      <c r="N2253" s="934" t="s">
        <v>272</v>
      </c>
      <c r="O2253" s="934" t="s">
        <v>266</v>
      </c>
      <c r="P2253" s="75" t="str">
        <f>IF(AND('331-CT'!$E$7=TH!H2253,OR(N2253="331",O2253="331")),"x","")</f>
        <v/>
      </c>
      <c r="Q2253" s="75" t="str">
        <f>IF(AND(B2253='111'!$L$11,OR($N2253=$Q$7,$O2253=$Q$7)),"x","")</f>
        <v/>
      </c>
      <c r="R2253" s="75" t="str">
        <f>IF(AND($N2253=$Q$7,$B2253&lt;'111'!$L$11),"x","")</f>
        <v/>
      </c>
      <c r="S2253" s="75" t="str">
        <f>IF(AND($O2253=$Q$7,$B2253&lt;'111'!$L$11),"x","")</f>
        <v/>
      </c>
      <c r="T2253" s="75" t="str">
        <f>IF(ISERROR(FIND('112'!$M$9,G2253,1)),"",IF((AND(FIND('112'!$M$9,G2253,1)&gt;=1,B2253='112'!$K$9,OR($N2253='112'!$I$6,$O2253='112'!$I$6))),"x",""))</f>
        <v/>
      </c>
      <c r="U2253" s="75" t="str">
        <f>IF(ISERROR(FIND('112'!$M$9,G2253,1)),"",IF((AND(LEFT(G2253,2)=LEFT('112'!$M$9,2),B2253&lt;'112'!$K$9,$N2253='112'!$I$6)),"x",""))</f>
        <v/>
      </c>
      <c r="V2253" s="75" t="str">
        <f>IF(ISERROR(FIND('112'!$M$9,G2253,1)),"",IF((AND(RIGHT(G2253,2)=RIGHT('112'!$M$9,2),B2253&lt;'112'!$K$9,$O2253='112'!$I$6)),"x",""))</f>
        <v/>
      </c>
      <c r="W2253" s="75" t="str">
        <f>IF(AND('341-CT'!$H$9=H2253,OR(LEFT(N2253,3)=$W$7,LEFT(O2253,3)=$W$7)),"x","")</f>
        <v/>
      </c>
      <c r="X2253" s="75" t="str">
        <f>IF(OR(TH!N2253=TH!$X$7,O2253=TH!$X$7),"x","")</f>
        <v/>
      </c>
      <c r="Y2253" s="75" t="str">
        <f>IF(AND(OR(N2253="131",O2253="131"),H2253='131-CT'!$H$9),"x","")</f>
        <v/>
      </c>
      <c r="Z2253" s="75"/>
      <c r="AA2253" s="75" t="str">
        <f>IF(AND(MONTH(E2253)='IN-NX'!$J$5,'IN-NX'!$D$7=D2253),"x","")</f>
        <v/>
      </c>
      <c r="AB2253" s="75" t="str">
        <f>IF(AND(OR(LEFT(TH!N2253,2)="15",LEFT(TH!O2253,2)="15"),LEFT(TH!O2253,3)&lt;&gt;"111",'152-CT'!$J$8=TH!F2253),"x","")</f>
        <v/>
      </c>
      <c r="AC2253" s="75" t="str">
        <f>IF(AND(OR(LEFT(TH!N2253,2)="15",LEFT(TH!O2253,2)="15"),TK!$E$7=TH!F2253),"x","")</f>
        <v/>
      </c>
      <c r="AD2253" s="75" t="str">
        <f>IF(AND(N2253="1521",MONTH(C2253)='BK-NL'!$M$11),"x","")</f>
        <v/>
      </c>
    </row>
    <row r="2254" spans="1:31" ht="16.5" customHeight="1">
      <c r="A2254" s="309" t="str">
        <f>IF(B2254&lt;&gt;"",IF(AND(B2254='IN-TC'!$S$4,OR(TH!N2254="1111",TH!O2254="1111")),TH!D2254,""),"")</f>
        <v/>
      </c>
      <c r="B2254" s="1245">
        <f t="shared" si="700"/>
        <v>11</v>
      </c>
      <c r="C2254" s="929">
        <f t="shared" si="705"/>
        <v>43040</v>
      </c>
      <c r="D2254" s="929" t="s">
        <v>2951</v>
      </c>
      <c r="E2254" s="929">
        <v>43040</v>
      </c>
      <c r="F2254" s="1082" t="s">
        <v>341</v>
      </c>
      <c r="G2254" s="931"/>
      <c r="H2254" s="735" t="s">
        <v>424</v>
      </c>
      <c r="I2254" s="371">
        <v>600</v>
      </c>
      <c r="J2254" s="377">
        <v>3200</v>
      </c>
      <c r="K2254" s="371"/>
      <c r="L2254" s="377"/>
      <c r="M2254" s="933">
        <f t="shared" si="706"/>
        <v>1920000</v>
      </c>
      <c r="N2254" s="934" t="s">
        <v>272</v>
      </c>
      <c r="O2254" s="934" t="s">
        <v>266</v>
      </c>
      <c r="P2254" s="75" t="str">
        <f>IF(AND('331-CT'!$E$7=TH!H2254,OR(N2254="331",O2254="331")),"x","")</f>
        <v/>
      </c>
      <c r="Q2254" s="75" t="str">
        <f>IF(AND(B2254='111'!$L$11,OR($N2254=$Q$7,$O2254=$Q$7)),"x","")</f>
        <v/>
      </c>
      <c r="R2254" s="75" t="str">
        <f>IF(AND($N2254=$Q$7,$B2254&lt;'111'!$L$11),"x","")</f>
        <v/>
      </c>
      <c r="S2254" s="75" t="str">
        <f>IF(AND($O2254=$Q$7,$B2254&lt;'111'!$L$11),"x","")</f>
        <v/>
      </c>
      <c r="T2254" s="75" t="str">
        <f>IF(ISERROR(FIND('112'!$M$9,G2254,1)),"",IF((AND(FIND('112'!$M$9,G2254,1)&gt;=1,B2254='112'!$K$9,OR($N2254='112'!$I$6,$O2254='112'!$I$6))),"x",""))</f>
        <v/>
      </c>
      <c r="U2254" s="75" t="str">
        <f>IF(ISERROR(FIND('112'!$M$9,G2254,1)),"",IF((AND(LEFT(G2254,2)=LEFT('112'!$M$9,2),B2254&lt;'112'!$K$9,$N2254='112'!$I$6)),"x",""))</f>
        <v/>
      </c>
      <c r="V2254" s="75" t="str">
        <f>IF(ISERROR(FIND('112'!$M$9,G2254,1)),"",IF((AND(RIGHT(G2254,2)=RIGHT('112'!$M$9,2),B2254&lt;'112'!$K$9,$O2254='112'!$I$6)),"x",""))</f>
        <v/>
      </c>
      <c r="W2254" s="75" t="str">
        <f>IF(AND('341-CT'!$H$9=H2254,OR(LEFT(N2254,3)=$W$7,LEFT(O2254,3)=$W$7)),"x","")</f>
        <v/>
      </c>
      <c r="X2254" s="75" t="str">
        <f>IF(OR(TH!N2254=TH!$X$7,O2254=TH!$X$7),"x","")</f>
        <v/>
      </c>
      <c r="Y2254" s="75" t="str">
        <f>IF(AND(OR(N2254="131",O2254="131"),H2254='131-CT'!$H$9),"x","")</f>
        <v/>
      </c>
      <c r="Z2254" s="75"/>
      <c r="AA2254" s="75" t="str">
        <f>IF(AND(MONTH(E2254)='IN-NX'!$J$5,'IN-NX'!$D$7=D2254),"x","")</f>
        <v/>
      </c>
      <c r="AB2254" s="75" t="str">
        <f>IF(AND(OR(LEFT(TH!N2254,2)="15",LEFT(TH!O2254,2)="15"),LEFT(TH!O2254,3)&lt;&gt;"111",'152-CT'!$J$8=TH!F2254),"x","")</f>
        <v/>
      </c>
      <c r="AC2254" s="75" t="str">
        <f>IF(AND(OR(LEFT(TH!N2254,2)="15",LEFT(TH!O2254,2)="15"),TK!$E$7=TH!F2254),"x","")</f>
        <v/>
      </c>
      <c r="AD2254" s="75" t="str">
        <f>IF(AND(N2254="1521",MONTH(C2254)='BK-NL'!$M$11),"x","")</f>
        <v/>
      </c>
    </row>
    <row r="2255" spans="1:31" ht="16.5" customHeight="1">
      <c r="A2255" s="309" t="str">
        <f>IF(B2255&lt;&gt;"",IF(AND(B2255='IN-TC'!$S$4,OR(TH!N2255="1111",TH!O2255="1111")),TH!D2255,""),"")</f>
        <v/>
      </c>
      <c r="B2255" s="1245">
        <f t="shared" si="700"/>
        <v>11</v>
      </c>
      <c r="C2255" s="929">
        <f t="shared" si="705"/>
        <v>43040</v>
      </c>
      <c r="D2255" s="929" t="s">
        <v>2951</v>
      </c>
      <c r="E2255" s="929">
        <v>43040</v>
      </c>
      <c r="F2255" s="1082" t="s">
        <v>1257</v>
      </c>
      <c r="G2255" s="931"/>
      <c r="H2255" s="735" t="s">
        <v>424</v>
      </c>
      <c r="I2255" s="371">
        <v>2700</v>
      </c>
      <c r="J2255" s="377">
        <v>14728</v>
      </c>
      <c r="K2255" s="371"/>
      <c r="L2255" s="377"/>
      <c r="M2255" s="933">
        <f t="shared" si="706"/>
        <v>39765600</v>
      </c>
      <c r="N2255" s="934" t="s">
        <v>272</v>
      </c>
      <c r="O2255" s="934" t="s">
        <v>266</v>
      </c>
      <c r="P2255" s="75" t="str">
        <f>IF(AND('331-CT'!$E$7=TH!H2255,OR(N2255="331",O2255="331")),"x","")</f>
        <v/>
      </c>
      <c r="Q2255" s="75" t="str">
        <f>IF(AND(B2255='111'!$L$11,OR($N2255=$Q$7,$O2255=$Q$7)),"x","")</f>
        <v/>
      </c>
      <c r="R2255" s="75" t="str">
        <f>IF(AND($N2255=$Q$7,$B2255&lt;'111'!$L$11),"x","")</f>
        <v/>
      </c>
      <c r="S2255" s="75" t="str">
        <f>IF(AND($O2255=$Q$7,$B2255&lt;'111'!$L$11),"x","")</f>
        <v/>
      </c>
      <c r="T2255" s="75" t="str">
        <f>IF(ISERROR(FIND('112'!$M$9,G2255,1)),"",IF((AND(FIND('112'!$M$9,G2255,1)&gt;=1,B2255='112'!$K$9,OR($N2255='112'!$I$6,$O2255='112'!$I$6))),"x",""))</f>
        <v/>
      </c>
      <c r="U2255" s="75" t="str">
        <f>IF(ISERROR(FIND('112'!$M$9,G2255,1)),"",IF((AND(LEFT(G2255,2)=LEFT('112'!$M$9,2),B2255&lt;'112'!$K$9,$N2255='112'!$I$6)),"x",""))</f>
        <v/>
      </c>
      <c r="V2255" s="75" t="str">
        <f>IF(ISERROR(FIND('112'!$M$9,G2255,1)),"",IF((AND(RIGHT(G2255,2)=RIGHT('112'!$M$9,2),B2255&lt;'112'!$K$9,$O2255='112'!$I$6)),"x",""))</f>
        <v/>
      </c>
      <c r="W2255" s="75" t="str">
        <f>IF(AND('341-CT'!$H$9=H2255,OR(LEFT(N2255,3)=$W$7,LEFT(O2255,3)=$W$7)),"x","")</f>
        <v/>
      </c>
      <c r="X2255" s="75" t="str">
        <f>IF(OR(TH!N2255=TH!$X$7,O2255=TH!$X$7),"x","")</f>
        <v/>
      </c>
      <c r="Y2255" s="75" t="str">
        <f>IF(AND(OR(N2255="131",O2255="131"),H2255='131-CT'!$H$9),"x","")</f>
        <v/>
      </c>
      <c r="Z2255" s="75"/>
      <c r="AA2255" s="75" t="str">
        <f>IF(AND(MONTH(E2255)='IN-NX'!$J$5,'IN-NX'!$D$7=D2255),"x","")</f>
        <v/>
      </c>
      <c r="AB2255" s="75" t="str">
        <f>IF(AND(OR(LEFT(TH!N2255,2)="15",LEFT(TH!O2255,2)="15"),LEFT(TH!O2255,3)&lt;&gt;"111",'152-CT'!$J$8=TH!F2255),"x","")</f>
        <v/>
      </c>
      <c r="AC2255" s="75" t="str">
        <f>IF(AND(OR(LEFT(TH!N2255,2)="15",LEFT(TH!O2255,2)="15"),TK!$E$7=TH!F2255),"x","")</f>
        <v/>
      </c>
      <c r="AD2255" s="75" t="str">
        <f>IF(AND(N2255="1521",MONTH(C2255)='BK-NL'!$M$11),"x","")</f>
        <v/>
      </c>
    </row>
    <row r="2256" spans="1:31" ht="16.5" customHeight="1">
      <c r="A2256" s="309" t="str">
        <f>IF(B2256&lt;&gt;"",IF(AND(B2256='IN-TC'!$S$4,OR(TH!N2256="1111",TH!O2256="1111")),TH!D2256,""),"")</f>
        <v/>
      </c>
      <c r="B2256" s="1245">
        <f t="shared" si="700"/>
        <v>11</v>
      </c>
      <c r="C2256" s="929">
        <f t="shared" si="705"/>
        <v>43040</v>
      </c>
      <c r="D2256" s="929" t="s">
        <v>2951</v>
      </c>
      <c r="E2256" s="929">
        <v>43040</v>
      </c>
      <c r="F2256" s="1082" t="s">
        <v>346</v>
      </c>
      <c r="G2256" s="931"/>
      <c r="H2256" s="735" t="s">
        <v>424</v>
      </c>
      <c r="I2256" s="371">
        <v>200</v>
      </c>
      <c r="J2256" s="377">
        <v>8000</v>
      </c>
      <c r="K2256" s="371"/>
      <c r="L2256" s="377"/>
      <c r="M2256" s="933">
        <f t="shared" si="706"/>
        <v>1600000</v>
      </c>
      <c r="N2256" s="934" t="s">
        <v>272</v>
      </c>
      <c r="O2256" s="934" t="s">
        <v>266</v>
      </c>
      <c r="P2256" s="75" t="str">
        <f>IF(AND('331-CT'!$E$7=TH!H2256,OR(N2256="331",O2256="331")),"x","")</f>
        <v/>
      </c>
      <c r="Q2256" s="75" t="str">
        <f>IF(AND(B2256='111'!$L$11,OR($N2256=$Q$7,$O2256=$Q$7)),"x","")</f>
        <v/>
      </c>
      <c r="R2256" s="75" t="str">
        <f>IF(AND($N2256=$Q$7,$B2256&lt;'111'!$L$11),"x","")</f>
        <v/>
      </c>
      <c r="S2256" s="75" t="str">
        <f>IF(AND($O2256=$Q$7,$B2256&lt;'111'!$L$11),"x","")</f>
        <v/>
      </c>
      <c r="T2256" s="75" t="str">
        <f>IF(ISERROR(FIND('112'!$M$9,G2256,1)),"",IF((AND(FIND('112'!$M$9,G2256,1)&gt;=1,B2256='112'!$K$9,OR($N2256='112'!$I$6,$O2256='112'!$I$6))),"x",""))</f>
        <v/>
      </c>
      <c r="U2256" s="75" t="str">
        <f>IF(ISERROR(FIND('112'!$M$9,G2256,1)),"",IF((AND(LEFT(G2256,2)=LEFT('112'!$M$9,2),B2256&lt;'112'!$K$9,$N2256='112'!$I$6)),"x",""))</f>
        <v/>
      </c>
      <c r="V2256" s="75" t="str">
        <f>IF(ISERROR(FIND('112'!$M$9,G2256,1)),"",IF((AND(RIGHT(G2256,2)=RIGHT('112'!$M$9,2),B2256&lt;'112'!$K$9,$O2256='112'!$I$6)),"x",""))</f>
        <v/>
      </c>
      <c r="W2256" s="75" t="str">
        <f>IF(AND('341-CT'!$H$9=H2256,OR(LEFT(N2256,3)=$W$7,LEFT(O2256,3)=$W$7)),"x","")</f>
        <v/>
      </c>
      <c r="X2256" s="75" t="str">
        <f>IF(OR(TH!N2256=TH!$X$7,O2256=TH!$X$7),"x","")</f>
        <v/>
      </c>
      <c r="Y2256" s="75" t="str">
        <f>IF(AND(OR(N2256="131",O2256="131"),H2256='131-CT'!$H$9),"x","")</f>
        <v/>
      </c>
      <c r="Z2256" s="75"/>
      <c r="AA2256" s="75" t="str">
        <f>IF(AND(MONTH(E2256)='IN-NX'!$J$5,'IN-NX'!$D$7=D2256),"x","")</f>
        <v/>
      </c>
      <c r="AB2256" s="75" t="str">
        <f>IF(AND(OR(LEFT(TH!N2256,2)="15",LEFT(TH!O2256,2)="15"),LEFT(TH!O2256,3)&lt;&gt;"111",'152-CT'!$J$8=TH!F2256),"x","")</f>
        <v/>
      </c>
      <c r="AC2256" s="75" t="str">
        <f>IF(AND(OR(LEFT(TH!N2256,2)="15",LEFT(TH!O2256,2)="15"),TK!$E$7=TH!F2256),"x","")</f>
        <v/>
      </c>
      <c r="AD2256" s="75" t="str">
        <f>IF(AND(N2256="1521",MONTH(C2256)='BK-NL'!$M$11),"x","")</f>
        <v/>
      </c>
    </row>
    <row r="2257" spans="1:30" ht="16.5" customHeight="1">
      <c r="A2257" s="309" t="str">
        <f>IF(B2257&lt;&gt;"",IF(AND(B2257='IN-TC'!$S$4,OR(TH!N2257="1111",TH!O2257="1111")),TH!D2257,""),"")</f>
        <v/>
      </c>
      <c r="B2257" s="1245">
        <f t="shared" si="700"/>
        <v>11</v>
      </c>
      <c r="C2257" s="929">
        <f t="shared" si="705"/>
        <v>43040</v>
      </c>
      <c r="D2257" s="929" t="s">
        <v>2951</v>
      </c>
      <c r="E2257" s="929">
        <v>43040</v>
      </c>
      <c r="F2257" s="1082" t="s">
        <v>795</v>
      </c>
      <c r="G2257" s="931"/>
      <c r="H2257" s="735" t="s">
        <v>424</v>
      </c>
      <c r="I2257" s="371">
        <v>11380</v>
      </c>
      <c r="J2257" s="377">
        <v>5900</v>
      </c>
      <c r="K2257" s="371"/>
      <c r="L2257" s="377"/>
      <c r="M2257" s="933">
        <f t="shared" si="706"/>
        <v>67142000</v>
      </c>
      <c r="N2257" s="934" t="s">
        <v>272</v>
      </c>
      <c r="O2257" s="934" t="s">
        <v>266</v>
      </c>
      <c r="P2257" s="75" t="str">
        <f>IF(AND('331-CT'!$E$7=TH!H2257,OR(N2257="331",O2257="331")),"x","")</f>
        <v/>
      </c>
      <c r="Q2257" s="75" t="str">
        <f>IF(AND(B2257='111'!$L$11,OR($N2257=$Q$7,$O2257=$Q$7)),"x","")</f>
        <v/>
      </c>
      <c r="R2257" s="75" t="str">
        <f>IF(AND($N2257=$Q$7,$B2257&lt;'111'!$L$11),"x","")</f>
        <v/>
      </c>
      <c r="S2257" s="75" t="str">
        <f>IF(AND($O2257=$Q$7,$B2257&lt;'111'!$L$11),"x","")</f>
        <v/>
      </c>
      <c r="T2257" s="75" t="str">
        <f>IF(ISERROR(FIND('112'!$M$9,G2257,1)),"",IF((AND(FIND('112'!$M$9,G2257,1)&gt;=1,B2257='112'!$K$9,OR($N2257='112'!$I$6,$O2257='112'!$I$6))),"x",""))</f>
        <v/>
      </c>
      <c r="U2257" s="75" t="str">
        <f>IF(ISERROR(FIND('112'!$M$9,G2257,1)),"",IF((AND(LEFT(G2257,2)=LEFT('112'!$M$9,2),B2257&lt;'112'!$K$9,$N2257='112'!$I$6)),"x",""))</f>
        <v/>
      </c>
      <c r="V2257" s="75" t="str">
        <f>IF(ISERROR(FIND('112'!$M$9,G2257,1)),"",IF((AND(RIGHT(G2257,2)=RIGHT('112'!$M$9,2),B2257&lt;'112'!$K$9,$O2257='112'!$I$6)),"x",""))</f>
        <v/>
      </c>
      <c r="W2257" s="75" t="str">
        <f>IF(AND('341-CT'!$H$9=H2257,OR(LEFT(N2257,3)=$W$7,LEFT(O2257,3)=$W$7)),"x","")</f>
        <v/>
      </c>
      <c r="X2257" s="75" t="str">
        <f>IF(OR(TH!N2257=TH!$X$7,O2257=TH!$X$7),"x","")</f>
        <v/>
      </c>
      <c r="Y2257" s="75" t="str">
        <f>IF(AND(OR(N2257="131",O2257="131"),H2257='131-CT'!$H$9),"x","")</f>
        <v/>
      </c>
      <c r="Z2257" s="75"/>
      <c r="AA2257" s="75" t="str">
        <f>IF(AND(MONTH(E2257)='IN-NX'!$J$5,'IN-NX'!$D$7=D2257),"x","")</f>
        <v/>
      </c>
      <c r="AB2257" s="75" t="str">
        <f>IF(AND(OR(LEFT(TH!N2257,2)="15",LEFT(TH!O2257,2)="15"),LEFT(TH!O2257,3)&lt;&gt;"111",'152-CT'!$J$8=TH!F2257),"x","")</f>
        <v/>
      </c>
      <c r="AC2257" s="75" t="str">
        <f>IF(AND(OR(LEFT(TH!N2257,2)="15",LEFT(TH!O2257,2)="15"),TK!$E$7=TH!F2257),"x","")</f>
        <v/>
      </c>
      <c r="AD2257" s="75" t="str">
        <f>IF(AND(N2257="1521",MONTH(C2257)='BK-NL'!$M$11),"x","")</f>
        <v/>
      </c>
    </row>
    <row r="2258" spans="1:30" ht="16.5" customHeight="1">
      <c r="A2258" s="309" t="str">
        <f>IF(B2258&lt;&gt;"",IF(AND(B2258='IN-TC'!$S$4,OR(TH!N2258="1111",TH!O2258="1111")),TH!D2258,""),"")</f>
        <v/>
      </c>
      <c r="B2258" s="1245">
        <f t="shared" si="700"/>
        <v>11</v>
      </c>
      <c r="C2258" s="929">
        <f t="shared" si="705"/>
        <v>43040</v>
      </c>
      <c r="D2258" s="929" t="s">
        <v>2951</v>
      </c>
      <c r="E2258" s="929">
        <v>43040</v>
      </c>
      <c r="F2258" s="1082" t="s">
        <v>375</v>
      </c>
      <c r="G2258" s="931"/>
      <c r="H2258" s="735" t="s">
        <v>424</v>
      </c>
      <c r="I2258" s="371">
        <v>826</v>
      </c>
      <c r="J2258" s="377">
        <v>20300</v>
      </c>
      <c r="K2258" s="371"/>
      <c r="L2258" s="377"/>
      <c r="M2258" s="933">
        <f t="shared" si="706"/>
        <v>16767800</v>
      </c>
      <c r="N2258" s="934" t="s">
        <v>272</v>
      </c>
      <c r="O2258" s="934" t="s">
        <v>266</v>
      </c>
      <c r="P2258" s="75" t="str">
        <f>IF(AND('331-CT'!$E$7=TH!H2258,OR(N2258="331",O2258="331")),"x","")</f>
        <v/>
      </c>
      <c r="Q2258" s="75" t="str">
        <f>IF(AND(B2258='111'!$L$11,OR($N2258=$Q$7,$O2258=$Q$7)),"x","")</f>
        <v/>
      </c>
      <c r="R2258" s="75" t="str">
        <f>IF(AND($N2258=$Q$7,$B2258&lt;'111'!$L$11),"x","")</f>
        <v/>
      </c>
      <c r="S2258" s="75" t="str">
        <f>IF(AND($O2258=$Q$7,$B2258&lt;'111'!$L$11),"x","")</f>
        <v/>
      </c>
      <c r="T2258" s="75" t="str">
        <f>IF(ISERROR(FIND('112'!$M$9,G2258,1)),"",IF((AND(FIND('112'!$M$9,G2258,1)&gt;=1,B2258='112'!$K$9,OR($N2258='112'!$I$6,$O2258='112'!$I$6))),"x",""))</f>
        <v/>
      </c>
      <c r="U2258" s="75" t="str">
        <f>IF(ISERROR(FIND('112'!$M$9,G2258,1)),"",IF((AND(LEFT(G2258,2)=LEFT('112'!$M$9,2),B2258&lt;'112'!$K$9,$N2258='112'!$I$6)),"x",""))</f>
        <v/>
      </c>
      <c r="V2258" s="75" t="str">
        <f>IF(ISERROR(FIND('112'!$M$9,G2258,1)),"",IF((AND(RIGHT(G2258,2)=RIGHT('112'!$M$9,2),B2258&lt;'112'!$K$9,$O2258='112'!$I$6)),"x",""))</f>
        <v/>
      </c>
      <c r="W2258" s="75" t="str">
        <f>IF(AND('341-CT'!$H$9=H2258,OR(LEFT(N2258,3)=$W$7,LEFT(O2258,3)=$W$7)),"x","")</f>
        <v/>
      </c>
      <c r="X2258" s="75" t="str">
        <f>IF(OR(TH!N2258=TH!$X$7,O2258=TH!$X$7),"x","")</f>
        <v/>
      </c>
      <c r="Y2258" s="75" t="str">
        <f>IF(AND(OR(N2258="131",O2258="131"),H2258='131-CT'!$H$9),"x","")</f>
        <v/>
      </c>
      <c r="Z2258" s="75"/>
      <c r="AA2258" s="75" t="str">
        <f>IF(AND(MONTH(E2258)='IN-NX'!$J$5,'IN-NX'!$D$7=D2258),"x","")</f>
        <v/>
      </c>
      <c r="AB2258" s="75" t="str">
        <f>IF(AND(OR(LEFT(TH!N2258,2)="15",LEFT(TH!O2258,2)="15"),LEFT(TH!O2258,3)&lt;&gt;"111",'152-CT'!$J$8=TH!F2258),"x","")</f>
        <v/>
      </c>
      <c r="AC2258" s="75" t="str">
        <f>IF(AND(OR(LEFT(TH!N2258,2)="15",LEFT(TH!O2258,2)="15"),TK!$E$7=TH!F2258),"x","")</f>
        <v/>
      </c>
      <c r="AD2258" s="75" t="str">
        <f>IF(AND(N2258="1521",MONTH(C2258)='BK-NL'!$M$11),"x","")</f>
        <v/>
      </c>
    </row>
    <row r="2259" spans="1:30" ht="16.5" customHeight="1">
      <c r="A2259" s="309" t="str">
        <f>IF(B2259&lt;&gt;"",IF(AND(B2259='IN-TC'!$S$4,OR(TH!N2259="1111",TH!O2259="1111")),TH!D2259,""),"")</f>
        <v/>
      </c>
      <c r="B2259" s="1245">
        <f t="shared" si="700"/>
        <v>11</v>
      </c>
      <c r="C2259" s="929">
        <f t="shared" si="705"/>
        <v>43040</v>
      </c>
      <c r="D2259" s="929" t="s">
        <v>2951</v>
      </c>
      <c r="E2259" s="929">
        <v>43040</v>
      </c>
      <c r="F2259" s="1082" t="s">
        <v>375</v>
      </c>
      <c r="G2259" s="931"/>
      <c r="H2259" s="735" t="s">
        <v>424</v>
      </c>
      <c r="I2259" s="371">
        <v>322</v>
      </c>
      <c r="J2259" s="377">
        <v>20300</v>
      </c>
      <c r="K2259" s="371"/>
      <c r="L2259" s="377"/>
      <c r="M2259" s="933">
        <f t="shared" si="706"/>
        <v>6536600</v>
      </c>
      <c r="N2259" s="934" t="s">
        <v>272</v>
      </c>
      <c r="O2259" s="934" t="s">
        <v>266</v>
      </c>
      <c r="P2259" s="75" t="str">
        <f>IF(AND('331-CT'!$E$7=TH!H2259,OR(N2259="331",O2259="331")),"x","")</f>
        <v/>
      </c>
      <c r="Q2259" s="75" t="str">
        <f>IF(AND(B2259='111'!$L$11,OR($N2259=$Q$7,$O2259=$Q$7)),"x","")</f>
        <v/>
      </c>
      <c r="R2259" s="75" t="str">
        <f>IF(AND($N2259=$Q$7,$B2259&lt;'111'!$L$11),"x","")</f>
        <v/>
      </c>
      <c r="S2259" s="75" t="str">
        <f>IF(AND($O2259=$Q$7,$B2259&lt;'111'!$L$11),"x","")</f>
        <v/>
      </c>
      <c r="T2259" s="75" t="str">
        <f>IF(ISERROR(FIND('112'!$M$9,G2259,1)),"",IF((AND(FIND('112'!$M$9,G2259,1)&gt;=1,B2259='112'!$K$9,OR($N2259='112'!$I$6,$O2259='112'!$I$6))),"x",""))</f>
        <v/>
      </c>
      <c r="U2259" s="75" t="str">
        <f>IF(ISERROR(FIND('112'!$M$9,G2259,1)),"",IF((AND(LEFT(G2259,2)=LEFT('112'!$M$9,2),B2259&lt;'112'!$K$9,$N2259='112'!$I$6)),"x",""))</f>
        <v/>
      </c>
      <c r="V2259" s="75" t="str">
        <f>IF(ISERROR(FIND('112'!$M$9,G2259,1)),"",IF((AND(RIGHT(G2259,2)=RIGHT('112'!$M$9,2),B2259&lt;'112'!$K$9,$O2259='112'!$I$6)),"x",""))</f>
        <v/>
      </c>
      <c r="W2259" s="75" t="str">
        <f>IF(AND('341-CT'!$H$9=H2259,OR(LEFT(N2259,3)=$W$7,LEFT(O2259,3)=$W$7)),"x","")</f>
        <v/>
      </c>
      <c r="X2259" s="75" t="str">
        <f>IF(OR(TH!N2259=TH!$X$7,O2259=TH!$X$7),"x","")</f>
        <v/>
      </c>
      <c r="Y2259" s="75" t="str">
        <f>IF(AND(OR(N2259="131",O2259="131"),H2259='131-CT'!$H$9),"x","")</f>
        <v/>
      </c>
      <c r="Z2259" s="75"/>
      <c r="AA2259" s="75" t="str">
        <f>IF(AND(MONTH(E2259)='IN-NX'!$J$5,'IN-NX'!$D$7=D2259),"x","")</f>
        <v/>
      </c>
      <c r="AB2259" s="75" t="str">
        <f>IF(AND(OR(LEFT(TH!N2259,2)="15",LEFT(TH!O2259,2)="15"),LEFT(TH!O2259,3)&lt;&gt;"111",'152-CT'!$J$8=TH!F2259),"x","")</f>
        <v/>
      </c>
      <c r="AC2259" s="75" t="str">
        <f>IF(AND(OR(LEFT(TH!N2259,2)="15",LEFT(TH!O2259,2)="15"),TK!$E$7=TH!F2259),"x","")</f>
        <v/>
      </c>
      <c r="AD2259" s="75" t="str">
        <f>IF(AND(N2259="1521",MONTH(C2259)='BK-NL'!$M$11),"x","")</f>
        <v/>
      </c>
    </row>
    <row r="2260" spans="1:30" ht="16.5" customHeight="1">
      <c r="A2260" s="309" t="str">
        <f>IF(B2260&lt;&gt;"",IF(AND(B2260='IN-TC'!$S$4,OR(TH!N2260="1111",TH!O2260="1111")),TH!D2260,""),"")</f>
        <v/>
      </c>
      <c r="B2260" s="1245">
        <f t="shared" ref="B2260" si="707">IF(C2260&lt;&gt;"",MONTH(C2260),"")</f>
        <v>11</v>
      </c>
      <c r="C2260" s="929">
        <f t="shared" ref="C2260" si="708">E2260</f>
        <v>43040</v>
      </c>
      <c r="D2260" s="929" t="s">
        <v>2951</v>
      </c>
      <c r="E2260" s="929">
        <v>43040</v>
      </c>
      <c r="F2260" s="1082" t="s">
        <v>817</v>
      </c>
      <c r="G2260" s="931"/>
      <c r="H2260" s="735" t="s">
        <v>424</v>
      </c>
      <c r="I2260" s="371">
        <v>1398</v>
      </c>
      <c r="J2260" s="377">
        <v>9967.8683834048643</v>
      </c>
      <c r="K2260" s="371"/>
      <c r="L2260" s="377"/>
      <c r="M2260" s="933">
        <f t="shared" ref="M2260" si="709">ROUND(I2260*J2260,0)</f>
        <v>13935080</v>
      </c>
      <c r="N2260" s="934" t="s">
        <v>272</v>
      </c>
      <c r="O2260" s="934" t="s">
        <v>266</v>
      </c>
      <c r="P2260" s="75" t="str">
        <f>IF(AND('331-CT'!$E$7=TH!H2260,OR(N2260="331",O2260="331")),"x","")</f>
        <v/>
      </c>
      <c r="Q2260" s="75" t="str">
        <f>IF(AND(B2260='111'!$L$11,OR($N2260=$Q$7,$O2260=$Q$7)),"x","")</f>
        <v/>
      </c>
      <c r="R2260" s="75" t="str">
        <f>IF(AND($N2260=$Q$7,$B2260&lt;'111'!$L$11),"x","")</f>
        <v/>
      </c>
      <c r="S2260" s="75" t="str">
        <f>IF(AND($O2260=$Q$7,$B2260&lt;'111'!$L$11),"x","")</f>
        <v/>
      </c>
      <c r="T2260" s="75" t="str">
        <f>IF(ISERROR(FIND('112'!$M$9,G2260,1)),"",IF((AND(FIND('112'!$M$9,G2260,1)&gt;=1,B2260='112'!$K$9,OR($N2260='112'!$I$6,$O2260='112'!$I$6))),"x",""))</f>
        <v/>
      </c>
      <c r="U2260" s="75" t="str">
        <f>IF(ISERROR(FIND('112'!$M$9,G2260,1)),"",IF((AND(LEFT(G2260,2)=LEFT('112'!$M$9,2),B2260&lt;'112'!$K$9,$N2260='112'!$I$6)),"x",""))</f>
        <v/>
      </c>
      <c r="V2260" s="75" t="str">
        <f>IF(ISERROR(FIND('112'!$M$9,G2260,1)),"",IF((AND(RIGHT(G2260,2)=RIGHT('112'!$M$9,2),B2260&lt;'112'!$K$9,$O2260='112'!$I$6)),"x",""))</f>
        <v/>
      </c>
      <c r="W2260" s="75" t="str">
        <f>IF(AND('341-CT'!$H$9=H2260,OR(LEFT(N2260,3)=$W$7,LEFT(O2260,3)=$W$7)),"x","")</f>
        <v/>
      </c>
      <c r="X2260" s="75" t="str">
        <f>IF(OR(TH!N2260=TH!$X$7,O2260=TH!$X$7),"x","")</f>
        <v/>
      </c>
      <c r="Y2260" s="75" t="str">
        <f>IF(AND(OR(N2260="131",O2260="131"),H2260='131-CT'!$H$9),"x","")</f>
        <v/>
      </c>
      <c r="Z2260" s="75"/>
      <c r="AA2260" s="75" t="str">
        <f>IF(AND(MONTH(E2260)='IN-NX'!$J$5,'IN-NX'!$D$7=D2260),"x","")</f>
        <v/>
      </c>
      <c r="AB2260" s="75" t="str">
        <f>IF(AND(OR(LEFT(TH!N2260,2)="15",LEFT(TH!O2260,2)="15"),LEFT(TH!O2260,3)&lt;&gt;"111",'152-CT'!$J$8=TH!F2260),"x","")</f>
        <v/>
      </c>
      <c r="AC2260" s="75" t="str">
        <f>IF(AND(OR(LEFT(TH!N2260,2)="15",LEFT(TH!O2260,2)="15"),TK!$E$7=TH!F2260),"x","")</f>
        <v/>
      </c>
      <c r="AD2260" s="75" t="str">
        <f>IF(AND(N2260="1521",MONTH(C2260)='BK-NL'!$M$11),"x","")</f>
        <v/>
      </c>
    </row>
    <row r="2261" spans="1:30" ht="16.5" customHeight="1">
      <c r="A2261" s="309" t="str">
        <f>IF(B2261&lt;&gt;"",IF(AND(B2261='IN-TC'!$S$4,OR(TH!N2261="1111",TH!O2261="1111")),TH!D2261,""),"")</f>
        <v/>
      </c>
      <c r="B2261" s="1245">
        <f t="shared" ref="B2261:B2262" si="710">IF(C2261&lt;&gt;"",MONTH(C2261),"")</f>
        <v>11</v>
      </c>
      <c r="C2261" s="929">
        <f t="shared" ref="C2261:C2262" si="711">E2261</f>
        <v>43040</v>
      </c>
      <c r="D2261" s="929" t="s">
        <v>2951</v>
      </c>
      <c r="E2261" s="929">
        <v>43040</v>
      </c>
      <c r="F2261" s="1082" t="s">
        <v>2342</v>
      </c>
      <c r="G2261" s="931"/>
      <c r="H2261" s="735" t="s">
        <v>424</v>
      </c>
      <c r="I2261" s="371">
        <v>145</v>
      </c>
      <c r="J2261" s="377">
        <v>15800</v>
      </c>
      <c r="K2261" s="371"/>
      <c r="L2261" s="377"/>
      <c r="M2261" s="933">
        <f t="shared" ref="M2261:M2262" si="712">ROUND(I2261*J2261,0)</f>
        <v>2291000</v>
      </c>
      <c r="N2261" s="934" t="s">
        <v>272</v>
      </c>
      <c r="O2261" s="934" t="s">
        <v>266</v>
      </c>
      <c r="P2261" s="75" t="str">
        <f>IF(AND('331-CT'!$E$7=TH!H2261,OR(N2261="331",O2261="331")),"x","")</f>
        <v/>
      </c>
      <c r="Q2261" s="75" t="str">
        <f>IF(AND(B2261='111'!$L$11,OR($N2261=$Q$7,$O2261=$Q$7)),"x","")</f>
        <v/>
      </c>
      <c r="R2261" s="75" t="str">
        <f>IF(AND($N2261=$Q$7,$B2261&lt;'111'!$L$11),"x","")</f>
        <v/>
      </c>
      <c r="S2261" s="75" t="str">
        <f>IF(AND($O2261=$Q$7,$B2261&lt;'111'!$L$11),"x","")</f>
        <v/>
      </c>
      <c r="T2261" s="75" t="str">
        <f>IF(ISERROR(FIND('112'!$M$9,G2261,1)),"",IF((AND(FIND('112'!$M$9,G2261,1)&gt;=1,B2261='112'!$K$9,OR($N2261='112'!$I$6,$O2261='112'!$I$6))),"x",""))</f>
        <v/>
      </c>
      <c r="U2261" s="75" t="str">
        <f>IF(ISERROR(FIND('112'!$M$9,G2261,1)),"",IF((AND(LEFT(G2261,2)=LEFT('112'!$M$9,2),B2261&lt;'112'!$K$9,$N2261='112'!$I$6)),"x",""))</f>
        <v/>
      </c>
      <c r="V2261" s="75" t="str">
        <f>IF(ISERROR(FIND('112'!$M$9,G2261,1)),"",IF((AND(RIGHT(G2261,2)=RIGHT('112'!$M$9,2),B2261&lt;'112'!$K$9,$O2261='112'!$I$6)),"x",""))</f>
        <v/>
      </c>
      <c r="W2261" s="75" t="str">
        <f>IF(AND('341-CT'!$H$9=H2261,OR(LEFT(N2261,3)=$W$7,LEFT(O2261,3)=$W$7)),"x","")</f>
        <v/>
      </c>
      <c r="X2261" s="75" t="str">
        <f>IF(OR(TH!N2261=TH!$X$7,O2261=TH!$X$7),"x","")</f>
        <v/>
      </c>
      <c r="Y2261" s="75" t="str">
        <f>IF(AND(OR(N2261="131",O2261="131"),H2261='131-CT'!$H$9),"x","")</f>
        <v/>
      </c>
      <c r="Z2261" s="75"/>
      <c r="AA2261" s="75" t="str">
        <f>IF(AND(MONTH(E2261)='IN-NX'!$J$5,'IN-NX'!$D$7=D2261),"x","")</f>
        <v/>
      </c>
      <c r="AB2261" s="75" t="str">
        <f>IF(AND(OR(LEFT(TH!N2261,2)="15",LEFT(TH!O2261,2)="15"),LEFT(TH!O2261,3)&lt;&gt;"111",'152-CT'!$J$8=TH!F2261),"x","")</f>
        <v/>
      </c>
      <c r="AC2261" s="75" t="str">
        <f>IF(AND(OR(LEFT(TH!N2261,2)="15",LEFT(TH!O2261,2)="15"),TK!$E$7=TH!F2261),"x","")</f>
        <v/>
      </c>
      <c r="AD2261" s="75" t="str">
        <f>IF(AND(N2261="1521",MONTH(C2261)='BK-NL'!$M$11),"x","")</f>
        <v/>
      </c>
    </row>
    <row r="2262" spans="1:30" ht="16.5" customHeight="1">
      <c r="A2262" s="309" t="str">
        <f>IF(B2262&lt;&gt;"",IF(AND(B2262='IN-TC'!$S$4,OR(TH!N2262="1111",TH!O2262="1111")),TH!D2262,""),"")</f>
        <v/>
      </c>
      <c r="B2262" s="1245">
        <f t="shared" si="710"/>
        <v>11</v>
      </c>
      <c r="C2262" s="929">
        <f t="shared" si="711"/>
        <v>43040</v>
      </c>
      <c r="D2262" s="929" t="s">
        <v>2951</v>
      </c>
      <c r="E2262" s="929">
        <v>43040</v>
      </c>
      <c r="F2262" s="1082" t="s">
        <v>564</v>
      </c>
      <c r="G2262" s="931"/>
      <c r="H2262" s="735" t="s">
        <v>424</v>
      </c>
      <c r="I2262" s="371">
        <v>2400</v>
      </c>
      <c r="J2262" s="377">
        <v>14000</v>
      </c>
      <c r="K2262" s="371"/>
      <c r="L2262" s="377"/>
      <c r="M2262" s="933">
        <f t="shared" si="712"/>
        <v>33600000</v>
      </c>
      <c r="N2262" s="934" t="s">
        <v>272</v>
      </c>
      <c r="O2262" s="934" t="s">
        <v>266</v>
      </c>
      <c r="P2262" s="75" t="str">
        <f>IF(AND('331-CT'!$E$7=TH!H2262,OR(N2262="331",O2262="331")),"x","")</f>
        <v/>
      </c>
      <c r="Q2262" s="75" t="str">
        <f>IF(AND(B2262='111'!$L$11,OR($N2262=$Q$7,$O2262=$Q$7)),"x","")</f>
        <v/>
      </c>
      <c r="R2262" s="75" t="str">
        <f>IF(AND($N2262=$Q$7,$B2262&lt;'111'!$L$11),"x","")</f>
        <v/>
      </c>
      <c r="S2262" s="75" t="str">
        <f>IF(AND($O2262=$Q$7,$B2262&lt;'111'!$L$11),"x","")</f>
        <v/>
      </c>
      <c r="T2262" s="75" t="str">
        <f>IF(ISERROR(FIND('112'!$M$9,G2262,1)),"",IF((AND(FIND('112'!$M$9,G2262,1)&gt;=1,B2262='112'!$K$9,OR($N2262='112'!$I$6,$O2262='112'!$I$6))),"x",""))</f>
        <v/>
      </c>
      <c r="U2262" s="75" t="str">
        <f>IF(ISERROR(FIND('112'!$M$9,G2262,1)),"",IF((AND(LEFT(G2262,2)=LEFT('112'!$M$9,2),B2262&lt;'112'!$K$9,$N2262='112'!$I$6)),"x",""))</f>
        <v/>
      </c>
      <c r="V2262" s="75" t="str">
        <f>IF(ISERROR(FIND('112'!$M$9,G2262,1)),"",IF((AND(RIGHT(G2262,2)=RIGHT('112'!$M$9,2),B2262&lt;'112'!$K$9,$O2262='112'!$I$6)),"x",""))</f>
        <v/>
      </c>
      <c r="W2262" s="75" t="str">
        <f>IF(AND('341-CT'!$H$9=H2262,OR(LEFT(N2262,3)=$W$7,LEFT(O2262,3)=$W$7)),"x","")</f>
        <v/>
      </c>
      <c r="X2262" s="75" t="str">
        <f>IF(OR(TH!N2262=TH!$X$7,O2262=TH!$X$7),"x","")</f>
        <v/>
      </c>
      <c r="Y2262" s="75" t="str">
        <f>IF(AND(OR(N2262="131",O2262="131"),H2262='131-CT'!$H$9),"x","")</f>
        <v/>
      </c>
      <c r="Z2262" s="75"/>
      <c r="AA2262" s="75" t="str">
        <f>IF(AND(MONTH(E2262)='IN-NX'!$J$5,'IN-NX'!$D$7=D2262),"x","")</f>
        <v/>
      </c>
      <c r="AB2262" s="75" t="str">
        <f>IF(AND(OR(LEFT(TH!N2262,2)="15",LEFT(TH!O2262,2)="15"),LEFT(TH!O2262,3)&lt;&gt;"111",'152-CT'!$J$8=TH!F2262),"x","")</f>
        <v/>
      </c>
      <c r="AC2262" s="75" t="str">
        <f>IF(AND(OR(LEFT(TH!N2262,2)="15",LEFT(TH!O2262,2)="15"),TK!$E$7=TH!F2262),"x","")</f>
        <v/>
      </c>
      <c r="AD2262" s="75" t="str">
        <f>IF(AND(N2262="1521",MONTH(C2262)='BK-NL'!$M$11),"x","")</f>
        <v/>
      </c>
    </row>
    <row r="2263" spans="1:30" ht="16.5" customHeight="1">
      <c r="A2263" s="309" t="str">
        <f>IF(B2263&lt;&gt;"",IF(AND(B2263='IN-TC'!$S$4,OR(TH!N2263="1111",TH!O2263="1111")),TH!D2263,""),"")</f>
        <v/>
      </c>
      <c r="B2263" s="1245">
        <f t="shared" si="700"/>
        <v>11</v>
      </c>
      <c r="C2263" s="929">
        <f t="shared" si="705"/>
        <v>43040</v>
      </c>
      <c r="D2263" s="929" t="s">
        <v>2951</v>
      </c>
      <c r="E2263" s="929">
        <v>43040</v>
      </c>
      <c r="F2263" s="1082" t="s">
        <v>381</v>
      </c>
      <c r="G2263" s="931"/>
      <c r="H2263" s="735" t="s">
        <v>424</v>
      </c>
      <c r="I2263" s="371">
        <v>695</v>
      </c>
      <c r="J2263" s="377">
        <v>21900</v>
      </c>
      <c r="K2263" s="371"/>
      <c r="L2263" s="377"/>
      <c r="M2263" s="933">
        <f t="shared" si="706"/>
        <v>15220500</v>
      </c>
      <c r="N2263" s="934" t="s">
        <v>272</v>
      </c>
      <c r="O2263" s="934" t="s">
        <v>266</v>
      </c>
      <c r="P2263" s="75" t="str">
        <f>IF(AND('331-CT'!$E$7=TH!H2263,OR(N2263="331",O2263="331")),"x","")</f>
        <v/>
      </c>
      <c r="Q2263" s="75" t="str">
        <f>IF(AND(B2263='111'!$L$11,OR($N2263=$Q$7,$O2263=$Q$7)),"x","")</f>
        <v/>
      </c>
      <c r="R2263" s="75" t="str">
        <f>IF(AND($N2263=$Q$7,$B2263&lt;'111'!$L$11),"x","")</f>
        <v/>
      </c>
      <c r="S2263" s="75" t="str">
        <f>IF(AND($O2263=$Q$7,$B2263&lt;'111'!$L$11),"x","")</f>
        <v/>
      </c>
      <c r="T2263" s="75" t="str">
        <f>IF(ISERROR(FIND('112'!$M$9,G2263,1)),"",IF((AND(FIND('112'!$M$9,G2263,1)&gt;=1,B2263='112'!$K$9,OR($N2263='112'!$I$6,$O2263='112'!$I$6))),"x",""))</f>
        <v/>
      </c>
      <c r="U2263" s="75" t="str">
        <f>IF(ISERROR(FIND('112'!$M$9,G2263,1)),"",IF((AND(LEFT(G2263,2)=LEFT('112'!$M$9,2),B2263&lt;'112'!$K$9,$N2263='112'!$I$6)),"x",""))</f>
        <v/>
      </c>
      <c r="V2263" s="75" t="str">
        <f>IF(ISERROR(FIND('112'!$M$9,G2263,1)),"",IF((AND(RIGHT(G2263,2)=RIGHT('112'!$M$9,2),B2263&lt;'112'!$K$9,$O2263='112'!$I$6)),"x",""))</f>
        <v/>
      </c>
      <c r="W2263" s="75" t="str">
        <f>IF(AND('341-CT'!$H$9=H2263,OR(LEFT(N2263,3)=$W$7,LEFT(O2263,3)=$W$7)),"x","")</f>
        <v/>
      </c>
      <c r="X2263" s="75" t="str">
        <f>IF(OR(TH!N2263=TH!$X$7,O2263=TH!$X$7),"x","")</f>
        <v/>
      </c>
      <c r="Y2263" s="75" t="str">
        <f>IF(AND(OR(N2263="131",O2263="131"),H2263='131-CT'!$H$9),"x","")</f>
        <v/>
      </c>
      <c r="Z2263" s="75"/>
      <c r="AA2263" s="75" t="str">
        <f>IF(AND(MONTH(E2263)='IN-NX'!$J$5,'IN-NX'!$D$7=D2263),"x","")</f>
        <v/>
      </c>
      <c r="AB2263" s="75" t="str">
        <f>IF(AND(OR(LEFT(TH!N2263,2)="15",LEFT(TH!O2263,2)="15"),LEFT(TH!O2263,3)&lt;&gt;"111",'152-CT'!$J$8=TH!F2263),"x","")</f>
        <v/>
      </c>
      <c r="AC2263" s="75" t="str">
        <f>IF(AND(OR(LEFT(TH!N2263,2)="15",LEFT(TH!O2263,2)="15"),TK!$E$7=TH!F2263),"x","")</f>
        <v/>
      </c>
      <c r="AD2263" s="75" t="str">
        <f>IF(AND(N2263="1521",MONTH(C2263)='BK-NL'!$M$11),"x","")</f>
        <v/>
      </c>
    </row>
    <row r="2264" spans="1:30" ht="16.5" customHeight="1">
      <c r="A2264" s="309" t="str">
        <f>IF(B2264&lt;&gt;"",IF(AND(B2264='IN-TC'!$S$4,OR(TH!N2264="1111",TH!O2264="1111")),TH!D2264,""),"")</f>
        <v/>
      </c>
      <c r="B2264" s="1245">
        <f t="shared" si="700"/>
        <v>11</v>
      </c>
      <c r="C2264" s="292">
        <f t="shared" si="705"/>
        <v>43040</v>
      </c>
      <c r="D2264" s="292" t="s">
        <v>2957</v>
      </c>
      <c r="E2264" s="292">
        <v>43040</v>
      </c>
      <c r="F2264" s="425" t="s">
        <v>771</v>
      </c>
      <c r="G2264" s="925"/>
      <c r="H2264" s="425" t="s">
        <v>1890</v>
      </c>
      <c r="I2264" s="373">
        <v>50420</v>
      </c>
      <c r="J2264" s="379">
        <v>18000</v>
      </c>
      <c r="K2264" s="373"/>
      <c r="L2264" s="379"/>
      <c r="M2264" s="927">
        <f t="shared" si="706"/>
        <v>907560000</v>
      </c>
      <c r="N2264" s="295" t="s">
        <v>264</v>
      </c>
      <c r="O2264" s="295" t="s">
        <v>8</v>
      </c>
      <c r="P2264" s="75" t="str">
        <f>IF(AND('331-CT'!$E$7=TH!H2264,OR(N2264="331",O2264="331")),"x","")</f>
        <v/>
      </c>
      <c r="Q2264" s="75" t="str">
        <f>IF(AND(B2264='111'!$L$11,OR($N2264=$Q$7,$O2264=$Q$7)),"x","")</f>
        <v/>
      </c>
      <c r="R2264" s="75" t="str">
        <f>IF(AND($N2264=$Q$7,$B2264&lt;'111'!$L$11),"x","")</f>
        <v/>
      </c>
      <c r="S2264" s="75" t="str">
        <f>IF(AND($O2264=$Q$7,$B2264&lt;'111'!$L$11),"x","")</f>
        <v/>
      </c>
      <c r="T2264" s="75" t="str">
        <f>IF(ISERROR(FIND('112'!$M$9,G2264,1)),"",IF((AND(FIND('112'!$M$9,G2264,1)&gt;=1,B2264='112'!$K$9,OR($N2264='112'!$I$6,$O2264='112'!$I$6))),"x",""))</f>
        <v/>
      </c>
      <c r="U2264" s="75" t="str">
        <f>IF(ISERROR(FIND('112'!$M$9,G2264,1)),"",IF((AND(LEFT(G2264,2)=LEFT('112'!$M$9,2),B2264&lt;'112'!$K$9,$N2264='112'!$I$6)),"x",""))</f>
        <v/>
      </c>
      <c r="V2264" s="75" t="str">
        <f>IF(ISERROR(FIND('112'!$M$9,G2264,1)),"",IF((AND(RIGHT(G2264,2)=RIGHT('112'!$M$9,2),B2264&lt;'112'!$K$9,$O2264='112'!$I$6)),"x",""))</f>
        <v/>
      </c>
      <c r="W2264" s="75" t="str">
        <f>IF(AND('341-CT'!$H$9=H2264,OR(LEFT(N2264,3)=$W$7,LEFT(O2264,3)=$W$7)),"x","")</f>
        <v/>
      </c>
      <c r="X2264" s="75" t="str">
        <f>IF(OR(TH!N2264=TH!$X$7,O2264=TH!$X$7),"x","")</f>
        <v/>
      </c>
      <c r="Y2264" s="75" t="str">
        <f>IF(AND(OR(N2264="131",O2264="131"),H2264='131-CT'!$H$9),"x","")</f>
        <v/>
      </c>
      <c r="Z2264" s="75"/>
      <c r="AA2264" s="75" t="str">
        <f>IF(AND(MONTH(E2264)='IN-NX'!$J$5,'IN-NX'!$D$7=D2264),"x","")</f>
        <v/>
      </c>
      <c r="AB2264" s="75" t="str">
        <f>IF(AND(OR(LEFT(TH!N2264,2)="15",LEFT(TH!O2264,2)="15"),LEFT(TH!O2264,3)&lt;&gt;"111",'152-CT'!$J$8=TH!F2264),"x","")</f>
        <v/>
      </c>
      <c r="AC2264" s="75" t="str">
        <f>IF(AND(OR(LEFT(TH!N2264,2)="15",LEFT(TH!O2264,2)="15"),TK!$E$7=TH!F2264),"x","")</f>
        <v/>
      </c>
      <c r="AD2264" s="75" t="str">
        <f>IF(AND(N2264="1521",MONTH(C2264)='BK-NL'!$M$11),"x","")</f>
        <v/>
      </c>
    </row>
    <row r="2265" spans="1:30" ht="16.5" customHeight="1">
      <c r="A2265" s="309" t="str">
        <f>IF(B2265&lt;&gt;"",IF(AND(B2265='IN-TC'!$S$4,OR(TH!N2265="1111",TH!O2265="1111")),TH!D2265,""),"")</f>
        <v/>
      </c>
      <c r="B2265" s="1245">
        <f t="shared" si="700"/>
        <v>11</v>
      </c>
      <c r="C2265" s="292">
        <f t="shared" si="705"/>
        <v>43040</v>
      </c>
      <c r="D2265" s="292" t="s">
        <v>2958</v>
      </c>
      <c r="E2265" s="292">
        <v>43040</v>
      </c>
      <c r="F2265" s="425" t="s">
        <v>771</v>
      </c>
      <c r="G2265" s="925"/>
      <c r="H2265" s="425" t="s">
        <v>1882</v>
      </c>
      <c r="I2265" s="373">
        <v>52410</v>
      </c>
      <c r="J2265" s="379">
        <v>18000</v>
      </c>
      <c r="K2265" s="373"/>
      <c r="L2265" s="379"/>
      <c r="M2265" s="927">
        <f t="shared" si="706"/>
        <v>943380000</v>
      </c>
      <c r="N2265" s="295" t="s">
        <v>264</v>
      </c>
      <c r="O2265" s="295" t="s">
        <v>8</v>
      </c>
      <c r="P2265" s="75" t="str">
        <f>IF(AND('331-CT'!$E$7=TH!H2265,OR(N2265="331",O2265="331")),"x","")</f>
        <v/>
      </c>
      <c r="Q2265" s="75" t="str">
        <f>IF(AND(B2265='111'!$L$11,OR($N2265=$Q$7,$O2265=$Q$7)),"x","")</f>
        <v/>
      </c>
      <c r="R2265" s="75" t="str">
        <f>IF(AND($N2265=$Q$7,$B2265&lt;'111'!$L$11),"x","")</f>
        <v/>
      </c>
      <c r="S2265" s="75" t="str">
        <f>IF(AND($O2265=$Q$7,$B2265&lt;'111'!$L$11),"x","")</f>
        <v/>
      </c>
      <c r="T2265" s="75" t="str">
        <f>IF(ISERROR(FIND('112'!$M$9,G2265,1)),"",IF((AND(FIND('112'!$M$9,G2265,1)&gt;=1,B2265='112'!$K$9,OR($N2265='112'!$I$6,$O2265='112'!$I$6))),"x",""))</f>
        <v/>
      </c>
      <c r="U2265" s="75" t="str">
        <f>IF(ISERROR(FIND('112'!$M$9,G2265,1)),"",IF((AND(LEFT(G2265,2)=LEFT('112'!$M$9,2),B2265&lt;'112'!$K$9,$N2265='112'!$I$6)),"x",""))</f>
        <v/>
      </c>
      <c r="V2265" s="75" t="str">
        <f>IF(ISERROR(FIND('112'!$M$9,G2265,1)),"",IF((AND(RIGHT(G2265,2)=RIGHT('112'!$M$9,2),B2265&lt;'112'!$K$9,$O2265='112'!$I$6)),"x",""))</f>
        <v/>
      </c>
      <c r="W2265" s="75" t="str">
        <f>IF(AND('341-CT'!$H$9=H2265,OR(LEFT(N2265,3)=$W$7,LEFT(O2265,3)=$W$7)),"x","")</f>
        <v/>
      </c>
      <c r="X2265" s="75" t="str">
        <f>IF(OR(TH!N2265=TH!$X$7,O2265=TH!$X$7),"x","")</f>
        <v/>
      </c>
      <c r="Y2265" s="75" t="str">
        <f>IF(AND(OR(N2265="131",O2265="131"),H2265='131-CT'!$H$9),"x","")</f>
        <v/>
      </c>
      <c r="Z2265" s="75"/>
      <c r="AA2265" s="75" t="str">
        <f>IF(AND(MONTH(E2265)='IN-NX'!$J$5,'IN-NX'!$D$7=D2265),"x","")</f>
        <v/>
      </c>
      <c r="AB2265" s="75" t="str">
        <f>IF(AND(OR(LEFT(TH!N2265,2)="15",LEFT(TH!O2265,2)="15"),LEFT(TH!O2265,3)&lt;&gt;"111",'152-CT'!$J$8=TH!F2265),"x","")</f>
        <v/>
      </c>
      <c r="AC2265" s="75" t="str">
        <f>IF(AND(OR(LEFT(TH!N2265,2)="15",LEFT(TH!O2265,2)="15"),TK!$E$7=TH!F2265),"x","")</f>
        <v/>
      </c>
      <c r="AD2265" s="75" t="str">
        <f>IF(AND(N2265="1521",MONTH(C2265)='BK-NL'!$M$11),"x","")</f>
        <v/>
      </c>
    </row>
    <row r="2266" spans="1:30" ht="16.5" customHeight="1">
      <c r="A2266" s="309" t="str">
        <f>IF(B2266&lt;&gt;"",IF(AND(B2266='IN-TC'!$S$4,OR(TH!N2266="1111",TH!O2266="1111")),TH!D2266,""),"")</f>
        <v/>
      </c>
      <c r="B2266" s="1245">
        <f t="shared" si="700"/>
        <v>11</v>
      </c>
      <c r="C2266" s="292">
        <f t="shared" si="705"/>
        <v>43046</v>
      </c>
      <c r="D2266" s="292" t="s">
        <v>2961</v>
      </c>
      <c r="E2266" s="292">
        <v>43046</v>
      </c>
      <c r="F2266" s="425" t="s">
        <v>771</v>
      </c>
      <c r="G2266" s="925"/>
      <c r="H2266" s="425" t="s">
        <v>1890</v>
      </c>
      <c r="I2266" s="373">
        <v>51200</v>
      </c>
      <c r="J2266" s="379">
        <v>18000</v>
      </c>
      <c r="K2266" s="373"/>
      <c r="L2266" s="379"/>
      <c r="M2266" s="927">
        <f t="shared" si="706"/>
        <v>921600000</v>
      </c>
      <c r="N2266" s="295" t="s">
        <v>264</v>
      </c>
      <c r="O2266" s="295" t="s">
        <v>8</v>
      </c>
      <c r="P2266" s="75" t="str">
        <f>IF(AND('331-CT'!$E$7=TH!H2266,OR(N2266="331",O2266="331")),"x","")</f>
        <v/>
      </c>
      <c r="Q2266" s="75" t="str">
        <f>IF(AND(B2266='111'!$L$11,OR($N2266=$Q$7,$O2266=$Q$7)),"x","")</f>
        <v/>
      </c>
      <c r="R2266" s="75" t="str">
        <f>IF(AND($N2266=$Q$7,$B2266&lt;'111'!$L$11),"x","")</f>
        <v/>
      </c>
      <c r="S2266" s="75" t="str">
        <f>IF(AND($O2266=$Q$7,$B2266&lt;'111'!$L$11),"x","")</f>
        <v/>
      </c>
      <c r="T2266" s="75" t="str">
        <f>IF(ISERROR(FIND('112'!$M$9,G2266,1)),"",IF((AND(FIND('112'!$M$9,G2266,1)&gt;=1,B2266='112'!$K$9,OR($N2266='112'!$I$6,$O2266='112'!$I$6))),"x",""))</f>
        <v/>
      </c>
      <c r="U2266" s="75" t="str">
        <f>IF(ISERROR(FIND('112'!$M$9,G2266,1)),"",IF((AND(LEFT(G2266,2)=LEFT('112'!$M$9,2),B2266&lt;'112'!$K$9,$N2266='112'!$I$6)),"x",""))</f>
        <v/>
      </c>
      <c r="V2266" s="75" t="str">
        <f>IF(ISERROR(FIND('112'!$M$9,G2266,1)),"",IF((AND(RIGHT(G2266,2)=RIGHT('112'!$M$9,2),B2266&lt;'112'!$K$9,$O2266='112'!$I$6)),"x",""))</f>
        <v/>
      </c>
      <c r="W2266" s="75" t="str">
        <f>IF(AND('341-CT'!$H$9=H2266,OR(LEFT(N2266,3)=$W$7,LEFT(O2266,3)=$W$7)),"x","")</f>
        <v/>
      </c>
      <c r="X2266" s="75" t="str">
        <f>IF(OR(TH!N2266=TH!$X$7,O2266=TH!$X$7),"x","")</f>
        <v/>
      </c>
      <c r="Y2266" s="75" t="str">
        <f>IF(AND(OR(N2266="131",O2266="131"),H2266='131-CT'!$H$9),"x","")</f>
        <v/>
      </c>
      <c r="Z2266" s="75"/>
      <c r="AA2266" s="75" t="str">
        <f>IF(AND(MONTH(E2266)='IN-NX'!$J$5,'IN-NX'!$D$7=D2266),"x","")</f>
        <v/>
      </c>
      <c r="AB2266" s="75" t="str">
        <f>IF(AND(OR(LEFT(TH!N2266,2)="15",LEFT(TH!O2266,2)="15"),LEFT(TH!O2266,3)&lt;&gt;"111",'152-CT'!$J$8=TH!F2266),"x","")</f>
        <v/>
      </c>
      <c r="AC2266" s="75" t="str">
        <f>IF(AND(OR(LEFT(TH!N2266,2)="15",LEFT(TH!O2266,2)="15"),TK!$E$7=TH!F2266),"x","")</f>
        <v/>
      </c>
      <c r="AD2266" s="75" t="str">
        <f>IF(AND(N2266="1521",MONTH(C2266)='BK-NL'!$M$11),"x","")</f>
        <v/>
      </c>
    </row>
    <row r="2267" spans="1:30" ht="16.5" customHeight="1">
      <c r="A2267" s="309" t="str">
        <f>IF(B2267&lt;&gt;"",IF(AND(B2267='IN-TC'!$S$4,OR(TH!N2267="1111",TH!O2267="1111")),TH!D2267,""),"")</f>
        <v/>
      </c>
      <c r="B2267" s="1245">
        <f t="shared" si="700"/>
        <v>11</v>
      </c>
      <c r="C2267" s="292">
        <f t="shared" si="705"/>
        <v>43046</v>
      </c>
      <c r="D2267" s="292" t="s">
        <v>2962</v>
      </c>
      <c r="E2267" s="292">
        <v>43046</v>
      </c>
      <c r="F2267" s="425" t="s">
        <v>771</v>
      </c>
      <c r="G2267" s="925"/>
      <c r="H2267" s="425" t="s">
        <v>1882</v>
      </c>
      <c r="I2267" s="373">
        <v>52630</v>
      </c>
      <c r="J2267" s="379">
        <v>18000</v>
      </c>
      <c r="K2267" s="373"/>
      <c r="L2267" s="379"/>
      <c r="M2267" s="927">
        <f t="shared" si="706"/>
        <v>947340000</v>
      </c>
      <c r="N2267" s="295" t="s">
        <v>264</v>
      </c>
      <c r="O2267" s="295" t="s">
        <v>8</v>
      </c>
      <c r="P2267" s="75" t="str">
        <f>IF(AND('331-CT'!$E$7=TH!H2267,OR(N2267="331",O2267="331")),"x","")</f>
        <v/>
      </c>
      <c r="Q2267" s="75" t="str">
        <f>IF(AND(B2267='111'!$L$11,OR($N2267=$Q$7,$O2267=$Q$7)),"x","")</f>
        <v/>
      </c>
      <c r="R2267" s="75" t="str">
        <f>IF(AND($N2267=$Q$7,$B2267&lt;'111'!$L$11),"x","")</f>
        <v/>
      </c>
      <c r="S2267" s="75" t="str">
        <f>IF(AND($O2267=$Q$7,$B2267&lt;'111'!$L$11),"x","")</f>
        <v/>
      </c>
      <c r="T2267" s="75" t="str">
        <f>IF(ISERROR(FIND('112'!$M$9,G2267,1)),"",IF((AND(FIND('112'!$M$9,G2267,1)&gt;=1,B2267='112'!$K$9,OR($N2267='112'!$I$6,$O2267='112'!$I$6))),"x",""))</f>
        <v/>
      </c>
      <c r="U2267" s="75" t="str">
        <f>IF(ISERROR(FIND('112'!$M$9,G2267,1)),"",IF((AND(LEFT(G2267,2)=LEFT('112'!$M$9,2),B2267&lt;'112'!$K$9,$N2267='112'!$I$6)),"x",""))</f>
        <v/>
      </c>
      <c r="V2267" s="75" t="str">
        <f>IF(ISERROR(FIND('112'!$M$9,G2267,1)),"",IF((AND(RIGHT(G2267,2)=RIGHT('112'!$M$9,2),B2267&lt;'112'!$K$9,$O2267='112'!$I$6)),"x",""))</f>
        <v/>
      </c>
      <c r="W2267" s="75" t="str">
        <f>IF(AND('341-CT'!$H$9=H2267,OR(LEFT(N2267,3)=$W$7,LEFT(O2267,3)=$W$7)),"x","")</f>
        <v/>
      </c>
      <c r="X2267" s="75" t="str">
        <f>IF(OR(TH!N2267=TH!$X$7,O2267=TH!$X$7),"x","")</f>
        <v/>
      </c>
      <c r="Y2267" s="75" t="str">
        <f>IF(AND(OR(N2267="131",O2267="131"),H2267='131-CT'!$H$9),"x","")</f>
        <v/>
      </c>
      <c r="Z2267" s="75"/>
      <c r="AA2267" s="75" t="str">
        <f>IF(AND(MONTH(E2267)='IN-NX'!$J$5,'IN-NX'!$D$7=D2267),"x","")</f>
        <v/>
      </c>
      <c r="AB2267" s="75" t="str">
        <f>IF(AND(OR(LEFT(TH!N2267,2)="15",LEFT(TH!O2267,2)="15"),LEFT(TH!O2267,3)&lt;&gt;"111",'152-CT'!$J$8=TH!F2267),"x","")</f>
        <v/>
      </c>
      <c r="AC2267" s="75" t="str">
        <f>IF(AND(OR(LEFT(TH!N2267,2)="15",LEFT(TH!O2267,2)="15"),TK!$E$7=TH!F2267),"x","")</f>
        <v/>
      </c>
      <c r="AD2267" s="75" t="str">
        <f>IF(AND(N2267="1521",MONTH(C2267)='BK-NL'!$M$11),"x","")</f>
        <v/>
      </c>
    </row>
    <row r="2268" spans="1:30" ht="16.5" customHeight="1">
      <c r="A2268" s="309" t="str">
        <f>IF(B2268&lt;&gt;"",IF(AND(B2268='IN-TC'!$S$4,OR(TH!N2268="1111",TH!O2268="1111")),TH!D2268,""),"")</f>
        <v/>
      </c>
      <c r="B2268" s="1245">
        <f t="shared" si="700"/>
        <v>11</v>
      </c>
      <c r="C2268" s="292">
        <f t="shared" si="705"/>
        <v>43055</v>
      </c>
      <c r="D2268" s="292" t="s">
        <v>2974</v>
      </c>
      <c r="E2268" s="292">
        <v>43055</v>
      </c>
      <c r="F2268" s="425" t="s">
        <v>771</v>
      </c>
      <c r="G2268" s="925"/>
      <c r="H2268" s="425" t="s">
        <v>1890</v>
      </c>
      <c r="I2268" s="373">
        <v>53240</v>
      </c>
      <c r="J2268" s="379">
        <v>18000</v>
      </c>
      <c r="K2268" s="373"/>
      <c r="L2268" s="379"/>
      <c r="M2268" s="927">
        <f t="shared" si="706"/>
        <v>958320000</v>
      </c>
      <c r="N2268" s="295" t="s">
        <v>264</v>
      </c>
      <c r="O2268" s="295" t="s">
        <v>8</v>
      </c>
      <c r="P2268" s="75" t="str">
        <f>IF(AND('331-CT'!$E$7=TH!H2268,OR(N2268="331",O2268="331")),"x","")</f>
        <v/>
      </c>
      <c r="Q2268" s="75" t="str">
        <f>IF(AND(B2268='111'!$L$11,OR($N2268=$Q$7,$O2268=$Q$7)),"x","")</f>
        <v/>
      </c>
      <c r="R2268" s="75" t="str">
        <f>IF(AND($N2268=$Q$7,$B2268&lt;'111'!$L$11),"x","")</f>
        <v/>
      </c>
      <c r="S2268" s="75" t="str">
        <f>IF(AND($O2268=$Q$7,$B2268&lt;'111'!$L$11),"x","")</f>
        <v/>
      </c>
      <c r="T2268" s="75" t="str">
        <f>IF(ISERROR(FIND('112'!$M$9,G2268,1)),"",IF((AND(FIND('112'!$M$9,G2268,1)&gt;=1,B2268='112'!$K$9,OR($N2268='112'!$I$6,$O2268='112'!$I$6))),"x",""))</f>
        <v/>
      </c>
      <c r="U2268" s="75" t="str">
        <f>IF(ISERROR(FIND('112'!$M$9,G2268,1)),"",IF((AND(LEFT(G2268,2)=LEFT('112'!$M$9,2),B2268&lt;'112'!$K$9,$N2268='112'!$I$6)),"x",""))</f>
        <v/>
      </c>
      <c r="V2268" s="75" t="str">
        <f>IF(ISERROR(FIND('112'!$M$9,G2268,1)),"",IF((AND(RIGHT(G2268,2)=RIGHT('112'!$M$9,2),B2268&lt;'112'!$K$9,$O2268='112'!$I$6)),"x",""))</f>
        <v/>
      </c>
      <c r="W2268" s="75" t="str">
        <f>IF(AND('341-CT'!$H$9=H2268,OR(LEFT(N2268,3)=$W$7,LEFT(O2268,3)=$W$7)),"x","")</f>
        <v/>
      </c>
      <c r="X2268" s="75" t="str">
        <f>IF(OR(TH!N2268=TH!$X$7,O2268=TH!$X$7),"x","")</f>
        <v/>
      </c>
      <c r="Y2268" s="75" t="str">
        <f>IF(AND(OR(N2268="131",O2268="131"),H2268='131-CT'!$H$9),"x","")</f>
        <v/>
      </c>
      <c r="Z2268" s="75"/>
      <c r="AA2268" s="75" t="str">
        <f>IF(AND(MONTH(E2268)='IN-NX'!$J$5,'IN-NX'!$D$7=D2268),"x","")</f>
        <v/>
      </c>
      <c r="AB2268" s="75" t="str">
        <f>IF(AND(OR(LEFT(TH!N2268,2)="15",LEFT(TH!O2268,2)="15"),LEFT(TH!O2268,3)&lt;&gt;"111",'152-CT'!$J$8=TH!F2268),"x","")</f>
        <v/>
      </c>
      <c r="AC2268" s="75" t="str">
        <f>IF(AND(OR(LEFT(TH!N2268,2)="15",LEFT(TH!O2268,2)="15"),TK!$E$7=TH!F2268),"x","")</f>
        <v/>
      </c>
      <c r="AD2268" s="75" t="str">
        <f>IF(AND(N2268="1521",MONTH(C2268)='BK-NL'!$M$11),"x","")</f>
        <v/>
      </c>
    </row>
    <row r="2269" spans="1:30" ht="16.5" customHeight="1">
      <c r="A2269" s="309" t="str">
        <f>IF(B2269&lt;&gt;"",IF(AND(B2269='IN-TC'!$S$4,OR(TH!N2269="1111",TH!O2269="1111")),TH!D2269,""),"")</f>
        <v/>
      </c>
      <c r="B2269" s="1245">
        <f t="shared" si="700"/>
        <v>11</v>
      </c>
      <c r="C2269" s="292">
        <f t="shared" si="705"/>
        <v>43055</v>
      </c>
      <c r="D2269" s="292" t="s">
        <v>2975</v>
      </c>
      <c r="E2269" s="292">
        <v>43055</v>
      </c>
      <c r="F2269" s="425" t="s">
        <v>771</v>
      </c>
      <c r="G2269" s="925"/>
      <c r="H2269" s="425" t="s">
        <v>1882</v>
      </c>
      <c r="I2269" s="373">
        <v>52560</v>
      </c>
      <c r="J2269" s="379">
        <v>18000</v>
      </c>
      <c r="K2269" s="373"/>
      <c r="L2269" s="379"/>
      <c r="M2269" s="927">
        <f t="shared" si="706"/>
        <v>946080000</v>
      </c>
      <c r="N2269" s="295" t="s">
        <v>264</v>
      </c>
      <c r="O2269" s="295" t="s">
        <v>8</v>
      </c>
      <c r="P2269" s="75" t="str">
        <f>IF(AND('331-CT'!$E$7=TH!H2269,OR(N2269="331",O2269="331")),"x","")</f>
        <v/>
      </c>
      <c r="Q2269" s="75" t="str">
        <f>IF(AND(B2269='111'!$L$11,OR($N2269=$Q$7,$O2269=$Q$7)),"x","")</f>
        <v/>
      </c>
      <c r="R2269" s="75" t="str">
        <f>IF(AND($N2269=$Q$7,$B2269&lt;'111'!$L$11),"x","")</f>
        <v/>
      </c>
      <c r="S2269" s="75" t="str">
        <f>IF(AND($O2269=$Q$7,$B2269&lt;'111'!$L$11),"x","")</f>
        <v/>
      </c>
      <c r="T2269" s="75" t="str">
        <f>IF(ISERROR(FIND('112'!$M$9,G2269,1)),"",IF((AND(FIND('112'!$M$9,G2269,1)&gt;=1,B2269='112'!$K$9,OR($N2269='112'!$I$6,$O2269='112'!$I$6))),"x",""))</f>
        <v/>
      </c>
      <c r="U2269" s="75" t="str">
        <f>IF(ISERROR(FIND('112'!$M$9,G2269,1)),"",IF((AND(LEFT(G2269,2)=LEFT('112'!$M$9,2),B2269&lt;'112'!$K$9,$N2269='112'!$I$6)),"x",""))</f>
        <v/>
      </c>
      <c r="V2269" s="75" t="str">
        <f>IF(ISERROR(FIND('112'!$M$9,G2269,1)),"",IF((AND(RIGHT(G2269,2)=RIGHT('112'!$M$9,2),B2269&lt;'112'!$K$9,$O2269='112'!$I$6)),"x",""))</f>
        <v/>
      </c>
      <c r="W2269" s="75" t="str">
        <f>IF(AND('341-CT'!$H$9=H2269,OR(LEFT(N2269,3)=$W$7,LEFT(O2269,3)=$W$7)),"x","")</f>
        <v/>
      </c>
      <c r="X2269" s="75" t="str">
        <f>IF(OR(TH!N2269=TH!$X$7,O2269=TH!$X$7),"x","")</f>
        <v/>
      </c>
      <c r="Y2269" s="75" t="str">
        <f>IF(AND(OR(N2269="131",O2269="131"),H2269='131-CT'!$H$9),"x","")</f>
        <v/>
      </c>
      <c r="Z2269" s="75"/>
      <c r="AA2269" s="75" t="str">
        <f>IF(AND(MONTH(E2269)='IN-NX'!$J$5,'IN-NX'!$D$7=D2269),"x","")</f>
        <v/>
      </c>
      <c r="AB2269" s="75" t="str">
        <f>IF(AND(OR(LEFT(TH!N2269,2)="15",LEFT(TH!O2269,2)="15"),LEFT(TH!O2269,3)&lt;&gt;"111",'152-CT'!$J$8=TH!F2269),"x","")</f>
        <v/>
      </c>
      <c r="AC2269" s="75" t="str">
        <f>IF(AND(OR(LEFT(TH!N2269,2)="15",LEFT(TH!O2269,2)="15"),TK!$E$7=TH!F2269),"x","")</f>
        <v/>
      </c>
      <c r="AD2269" s="75" t="str">
        <f>IF(AND(N2269="1521",MONTH(C2269)='BK-NL'!$M$11),"x","")</f>
        <v/>
      </c>
    </row>
    <row r="2270" spans="1:30" ht="16.5" customHeight="1">
      <c r="A2270" s="309" t="str">
        <f>IF(B2270&lt;&gt;"",IF(AND(B2270='IN-TC'!$S$4,OR(TH!N2270="1111",TH!O2270="1111")),TH!D2270,""),"")</f>
        <v/>
      </c>
      <c r="B2270" s="1245">
        <f t="shared" si="700"/>
        <v>11</v>
      </c>
      <c r="C2270" s="292">
        <f t="shared" si="705"/>
        <v>43060</v>
      </c>
      <c r="D2270" s="292" t="s">
        <v>2979</v>
      </c>
      <c r="E2270" s="292">
        <v>43060</v>
      </c>
      <c r="F2270" s="425" t="s">
        <v>771</v>
      </c>
      <c r="G2270" s="925"/>
      <c r="H2270" s="425" t="s">
        <v>1890</v>
      </c>
      <c r="I2270" s="373">
        <v>54230</v>
      </c>
      <c r="J2270" s="379">
        <v>18000</v>
      </c>
      <c r="K2270" s="373"/>
      <c r="L2270" s="379"/>
      <c r="M2270" s="927">
        <f t="shared" si="706"/>
        <v>976140000</v>
      </c>
      <c r="N2270" s="295" t="s">
        <v>264</v>
      </c>
      <c r="O2270" s="295" t="s">
        <v>8</v>
      </c>
      <c r="P2270" s="75" t="str">
        <f>IF(AND('331-CT'!$E$7=TH!H2270,OR(N2270="331",O2270="331")),"x","")</f>
        <v/>
      </c>
      <c r="Q2270" s="75" t="str">
        <f>IF(AND(B2270='111'!$L$11,OR($N2270=$Q$7,$O2270=$Q$7)),"x","")</f>
        <v/>
      </c>
      <c r="R2270" s="75" t="str">
        <f>IF(AND($N2270=$Q$7,$B2270&lt;'111'!$L$11),"x","")</f>
        <v/>
      </c>
      <c r="S2270" s="75" t="str">
        <f>IF(AND($O2270=$Q$7,$B2270&lt;'111'!$L$11),"x","")</f>
        <v/>
      </c>
      <c r="T2270" s="75" t="str">
        <f>IF(ISERROR(FIND('112'!$M$9,G2270,1)),"",IF((AND(FIND('112'!$M$9,G2270,1)&gt;=1,B2270='112'!$K$9,OR($N2270='112'!$I$6,$O2270='112'!$I$6))),"x",""))</f>
        <v/>
      </c>
      <c r="U2270" s="75" t="str">
        <f>IF(ISERROR(FIND('112'!$M$9,G2270,1)),"",IF((AND(LEFT(G2270,2)=LEFT('112'!$M$9,2),B2270&lt;'112'!$K$9,$N2270='112'!$I$6)),"x",""))</f>
        <v/>
      </c>
      <c r="V2270" s="75" t="str">
        <f>IF(ISERROR(FIND('112'!$M$9,G2270,1)),"",IF((AND(RIGHT(G2270,2)=RIGHT('112'!$M$9,2),B2270&lt;'112'!$K$9,$O2270='112'!$I$6)),"x",""))</f>
        <v/>
      </c>
      <c r="W2270" s="75" t="str">
        <f>IF(AND('341-CT'!$H$9=H2270,OR(LEFT(N2270,3)=$W$7,LEFT(O2270,3)=$W$7)),"x","")</f>
        <v/>
      </c>
      <c r="X2270" s="75" t="str">
        <f>IF(OR(TH!N2270=TH!$X$7,O2270=TH!$X$7),"x","")</f>
        <v/>
      </c>
      <c r="Y2270" s="75" t="str">
        <f>IF(AND(OR(N2270="131",O2270="131"),H2270='131-CT'!$H$9),"x","")</f>
        <v/>
      </c>
      <c r="Z2270" s="75"/>
      <c r="AA2270" s="75" t="str">
        <f>IF(AND(MONTH(E2270)='IN-NX'!$J$5,'IN-NX'!$D$7=D2270),"x","")</f>
        <v/>
      </c>
      <c r="AB2270" s="75" t="str">
        <f>IF(AND(OR(LEFT(TH!N2270,2)="15",LEFT(TH!O2270,2)="15"),LEFT(TH!O2270,3)&lt;&gt;"111",'152-CT'!$J$8=TH!F2270),"x","")</f>
        <v/>
      </c>
      <c r="AC2270" s="75" t="str">
        <f>IF(AND(OR(LEFT(TH!N2270,2)="15",LEFT(TH!O2270,2)="15"),TK!$E$7=TH!F2270),"x","")</f>
        <v/>
      </c>
      <c r="AD2270" s="75" t="str">
        <f>IF(AND(N2270="1521",MONTH(C2270)='BK-NL'!$M$11),"x","")</f>
        <v/>
      </c>
    </row>
    <row r="2271" spans="1:30" ht="16.5" customHeight="1">
      <c r="A2271" s="309" t="str">
        <f>IF(B2271&lt;&gt;"",IF(AND(B2271='IN-TC'!$S$4,OR(TH!N2271="1111",TH!O2271="1111")),TH!D2271,""),"")</f>
        <v/>
      </c>
      <c r="B2271" s="1245">
        <f t="shared" si="700"/>
        <v>11</v>
      </c>
      <c r="C2271" s="292">
        <f t="shared" si="705"/>
        <v>43060</v>
      </c>
      <c r="D2271" s="292" t="s">
        <v>2980</v>
      </c>
      <c r="E2271" s="292">
        <v>43060</v>
      </c>
      <c r="F2271" s="425" t="s">
        <v>771</v>
      </c>
      <c r="G2271" s="925"/>
      <c r="H2271" s="425" t="s">
        <v>1882</v>
      </c>
      <c r="I2271" s="373">
        <f>420575-SUM(I2264:I2270)</f>
        <v>53885</v>
      </c>
      <c r="J2271" s="379">
        <v>18000</v>
      </c>
      <c r="K2271" s="373"/>
      <c r="L2271" s="379"/>
      <c r="M2271" s="927">
        <f t="shared" si="706"/>
        <v>969930000</v>
      </c>
      <c r="N2271" s="295" t="s">
        <v>264</v>
      </c>
      <c r="O2271" s="295" t="s">
        <v>8</v>
      </c>
      <c r="P2271" s="75" t="str">
        <f>IF(AND('331-CT'!$E$7=TH!H2271,OR(N2271="331",O2271="331")),"x","")</f>
        <v/>
      </c>
      <c r="Q2271" s="75" t="str">
        <f>IF(AND(B2271='111'!$L$11,OR($N2271=$Q$7,$O2271=$Q$7)),"x","")</f>
        <v/>
      </c>
      <c r="R2271" s="75" t="str">
        <f>IF(AND($N2271=$Q$7,$B2271&lt;'111'!$L$11),"x","")</f>
        <v/>
      </c>
      <c r="S2271" s="75" t="str">
        <f>IF(AND($O2271=$Q$7,$B2271&lt;'111'!$L$11),"x","")</f>
        <v/>
      </c>
      <c r="T2271" s="75" t="str">
        <f>IF(ISERROR(FIND('112'!$M$9,G2271,1)),"",IF((AND(FIND('112'!$M$9,G2271,1)&gt;=1,B2271='112'!$K$9,OR($N2271='112'!$I$6,$O2271='112'!$I$6))),"x",""))</f>
        <v/>
      </c>
      <c r="U2271" s="75" t="str">
        <f>IF(ISERROR(FIND('112'!$M$9,G2271,1)),"",IF((AND(LEFT(G2271,2)=LEFT('112'!$M$9,2),B2271&lt;'112'!$K$9,$N2271='112'!$I$6)),"x",""))</f>
        <v/>
      </c>
      <c r="V2271" s="75" t="str">
        <f>IF(ISERROR(FIND('112'!$M$9,G2271,1)),"",IF((AND(RIGHT(G2271,2)=RIGHT('112'!$M$9,2),B2271&lt;'112'!$K$9,$O2271='112'!$I$6)),"x",""))</f>
        <v/>
      </c>
      <c r="W2271" s="75" t="str">
        <f>IF(AND('341-CT'!$H$9=H2271,OR(LEFT(N2271,3)=$W$7,LEFT(O2271,3)=$W$7)),"x","")</f>
        <v/>
      </c>
      <c r="X2271" s="75" t="str">
        <f>IF(OR(TH!N2271=TH!$X$7,O2271=TH!$X$7),"x","")</f>
        <v/>
      </c>
      <c r="Y2271" s="75" t="str">
        <f>IF(AND(OR(N2271="131",O2271="131"),H2271='131-CT'!$H$9),"x","")</f>
        <v/>
      </c>
      <c r="Z2271" s="75"/>
      <c r="AA2271" s="75" t="str">
        <f>IF(AND(MONTH(E2271)='IN-NX'!$J$5,'IN-NX'!$D$7=D2271),"x","")</f>
        <v/>
      </c>
      <c r="AB2271" s="75" t="str">
        <f>IF(AND(OR(LEFT(TH!N2271,2)="15",LEFT(TH!O2271,2)="15"),LEFT(TH!O2271,3)&lt;&gt;"111",'152-CT'!$J$8=TH!F2271),"x","")</f>
        <v/>
      </c>
      <c r="AC2271" s="75" t="str">
        <f>IF(AND(OR(LEFT(TH!N2271,2)="15",LEFT(TH!O2271,2)="15"),TK!$E$7=TH!F2271),"x","")</f>
        <v/>
      </c>
      <c r="AD2271" s="75" t="str">
        <f>IF(AND(N2271="1521",MONTH(C2271)='BK-NL'!$M$11),"x","")</f>
        <v/>
      </c>
    </row>
    <row r="2272" spans="1:30" ht="16.5" customHeight="1">
      <c r="A2272" s="309" t="str">
        <f>IF(B2272&lt;&gt;"",IF(AND(B2272='IN-TC'!$S$4,OR(TH!N2272="1111",TH!O2272="1111")),TH!D2272,""),"")</f>
        <v/>
      </c>
      <c r="B2272" s="1245">
        <f t="shared" si="700"/>
        <v>11</v>
      </c>
      <c r="C2272" s="292">
        <f t="shared" si="705"/>
        <v>43041</v>
      </c>
      <c r="D2272" s="292" t="s">
        <v>2959</v>
      </c>
      <c r="E2272" s="292">
        <v>43041</v>
      </c>
      <c r="F2272" s="425" t="s">
        <v>566</v>
      </c>
      <c r="G2272" s="925"/>
      <c r="H2272" s="429" t="s">
        <v>414</v>
      </c>
      <c r="I2272" s="373">
        <v>25480</v>
      </c>
      <c r="J2272" s="379">
        <v>18200</v>
      </c>
      <c r="K2272" s="373"/>
      <c r="L2272" s="379"/>
      <c r="M2272" s="927">
        <f t="shared" si="706"/>
        <v>463736000</v>
      </c>
      <c r="N2272" s="295" t="s">
        <v>264</v>
      </c>
      <c r="O2272" s="295" t="s">
        <v>8</v>
      </c>
      <c r="P2272" s="75" t="str">
        <f>IF(AND('331-CT'!$E$7=TH!H2272,OR(N2272="331",O2272="331")),"x","")</f>
        <v/>
      </c>
      <c r="Q2272" s="75" t="str">
        <f>IF(AND(B2272='111'!$L$11,OR($N2272=$Q$7,$O2272=$Q$7)),"x","")</f>
        <v/>
      </c>
      <c r="R2272" s="75" t="str">
        <f>IF(AND($N2272=$Q$7,$B2272&lt;'111'!$L$11),"x","")</f>
        <v/>
      </c>
      <c r="S2272" s="75" t="str">
        <f>IF(AND($O2272=$Q$7,$B2272&lt;'111'!$L$11),"x","")</f>
        <v/>
      </c>
      <c r="T2272" s="75" t="str">
        <f>IF(ISERROR(FIND('112'!$M$9,G2272,1)),"",IF((AND(FIND('112'!$M$9,G2272,1)&gt;=1,B2272='112'!$K$9,OR($N2272='112'!$I$6,$O2272='112'!$I$6))),"x",""))</f>
        <v/>
      </c>
      <c r="U2272" s="75" t="str">
        <f>IF(ISERROR(FIND('112'!$M$9,G2272,1)),"",IF((AND(LEFT(G2272,2)=LEFT('112'!$M$9,2),B2272&lt;'112'!$K$9,$N2272='112'!$I$6)),"x",""))</f>
        <v/>
      </c>
      <c r="V2272" s="75" t="str">
        <f>IF(ISERROR(FIND('112'!$M$9,G2272,1)),"",IF((AND(RIGHT(G2272,2)=RIGHT('112'!$M$9,2),B2272&lt;'112'!$K$9,$O2272='112'!$I$6)),"x",""))</f>
        <v/>
      </c>
      <c r="W2272" s="75" t="str">
        <f>IF(AND('341-CT'!$H$9=H2272,OR(LEFT(N2272,3)=$W$7,LEFT(O2272,3)=$W$7)),"x","")</f>
        <v/>
      </c>
      <c r="X2272" s="75" t="str">
        <f>IF(OR(TH!N2272=TH!$X$7,O2272=TH!$X$7),"x","")</f>
        <v/>
      </c>
      <c r="Y2272" s="75" t="str">
        <f>IF(AND(OR(N2272="131",O2272="131"),H2272='131-CT'!$H$9),"x","")</f>
        <v/>
      </c>
      <c r="Z2272" s="75"/>
      <c r="AA2272" s="75" t="str">
        <f>IF(AND(MONTH(E2272)='IN-NX'!$J$5,'IN-NX'!$D$7=D2272),"x","")</f>
        <v/>
      </c>
      <c r="AB2272" s="75" t="str">
        <f>IF(AND(OR(LEFT(TH!N2272,2)="15",LEFT(TH!O2272,2)="15"),LEFT(TH!O2272,3)&lt;&gt;"111",'152-CT'!$J$8=TH!F2272),"x","")</f>
        <v/>
      </c>
      <c r="AC2272" s="75" t="str">
        <f>IF(AND(OR(LEFT(TH!N2272,2)="15",LEFT(TH!O2272,2)="15"),TK!$E$7=TH!F2272),"x","")</f>
        <v/>
      </c>
      <c r="AD2272" s="75" t="str">
        <f>IF(AND(N2272="1521",MONTH(C2272)='BK-NL'!$M$11),"x","")</f>
        <v/>
      </c>
    </row>
    <row r="2273" spans="1:30" ht="16.5" customHeight="1">
      <c r="A2273" s="309" t="str">
        <f>IF(B2273&lt;&gt;"",IF(AND(B2273='IN-TC'!$S$4,OR(TH!N2273="1111",TH!O2273="1111")),TH!D2273,""),"")</f>
        <v/>
      </c>
      <c r="B2273" s="1245">
        <f t="shared" si="700"/>
        <v>11</v>
      </c>
      <c r="C2273" s="292">
        <f t="shared" si="705"/>
        <v>43041</v>
      </c>
      <c r="D2273" s="292" t="s">
        <v>2960</v>
      </c>
      <c r="E2273" s="292">
        <v>43041</v>
      </c>
      <c r="F2273" s="425" t="s">
        <v>566</v>
      </c>
      <c r="G2273" s="925"/>
      <c r="H2273" s="429" t="s">
        <v>415</v>
      </c>
      <c r="I2273" s="373">
        <v>25930</v>
      </c>
      <c r="J2273" s="379">
        <v>18200</v>
      </c>
      <c r="K2273" s="373"/>
      <c r="L2273" s="379"/>
      <c r="M2273" s="927">
        <f t="shared" si="706"/>
        <v>471926000</v>
      </c>
      <c r="N2273" s="295" t="s">
        <v>264</v>
      </c>
      <c r="O2273" s="295" t="s">
        <v>8</v>
      </c>
      <c r="P2273" s="75" t="str">
        <f>IF(AND('331-CT'!$E$7=TH!H2273,OR(N2273="331",O2273="331")),"x","")</f>
        <v/>
      </c>
      <c r="Q2273" s="75" t="str">
        <f>IF(AND(B2273='111'!$L$11,OR($N2273=$Q$7,$O2273=$Q$7)),"x","")</f>
        <v/>
      </c>
      <c r="R2273" s="75" t="str">
        <f>IF(AND($N2273=$Q$7,$B2273&lt;'111'!$L$11),"x","")</f>
        <v/>
      </c>
      <c r="S2273" s="75" t="str">
        <f>IF(AND($O2273=$Q$7,$B2273&lt;'111'!$L$11),"x","")</f>
        <v/>
      </c>
      <c r="T2273" s="75" t="str">
        <f>IF(ISERROR(FIND('112'!$M$9,G2273,1)),"",IF((AND(FIND('112'!$M$9,G2273,1)&gt;=1,B2273='112'!$K$9,OR($N2273='112'!$I$6,$O2273='112'!$I$6))),"x",""))</f>
        <v/>
      </c>
      <c r="U2273" s="75" t="str">
        <f>IF(ISERROR(FIND('112'!$M$9,G2273,1)),"",IF((AND(LEFT(G2273,2)=LEFT('112'!$M$9,2),B2273&lt;'112'!$K$9,$N2273='112'!$I$6)),"x",""))</f>
        <v/>
      </c>
      <c r="V2273" s="75" t="str">
        <f>IF(ISERROR(FIND('112'!$M$9,G2273,1)),"",IF((AND(RIGHT(G2273,2)=RIGHT('112'!$M$9,2),B2273&lt;'112'!$K$9,$O2273='112'!$I$6)),"x",""))</f>
        <v/>
      </c>
      <c r="W2273" s="75" t="str">
        <f>IF(AND('341-CT'!$H$9=H2273,OR(LEFT(N2273,3)=$W$7,LEFT(O2273,3)=$W$7)),"x","")</f>
        <v/>
      </c>
      <c r="X2273" s="75" t="str">
        <f>IF(OR(TH!N2273=TH!$X$7,O2273=TH!$X$7),"x","")</f>
        <v/>
      </c>
      <c r="Y2273" s="75" t="str">
        <f>IF(AND(OR(N2273="131",O2273="131"),H2273='131-CT'!$H$9),"x","")</f>
        <v/>
      </c>
      <c r="Z2273" s="75"/>
      <c r="AA2273" s="75" t="str">
        <f>IF(AND(MONTH(E2273)='IN-NX'!$J$5,'IN-NX'!$D$7=D2273),"x","")</f>
        <v/>
      </c>
      <c r="AB2273" s="75" t="str">
        <f>IF(AND(OR(LEFT(TH!N2273,2)="15",LEFT(TH!O2273,2)="15"),LEFT(TH!O2273,3)&lt;&gt;"111",'152-CT'!$J$8=TH!F2273),"x","")</f>
        <v/>
      </c>
      <c r="AC2273" s="75" t="str">
        <f>IF(AND(OR(LEFT(TH!N2273,2)="15",LEFT(TH!O2273,2)="15"),TK!$E$7=TH!F2273),"x","")</f>
        <v/>
      </c>
      <c r="AD2273" s="75" t="str">
        <f>IF(AND(N2273="1521",MONTH(C2273)='BK-NL'!$M$11),"x","")</f>
        <v/>
      </c>
    </row>
    <row r="2274" spans="1:30" ht="16.5" customHeight="1">
      <c r="A2274" s="309" t="str">
        <f>IF(B2274&lt;&gt;"",IF(AND(B2274='IN-TC'!$S$4,OR(TH!N2274="1111",TH!O2274="1111")),TH!D2274,""),"")</f>
        <v/>
      </c>
      <c r="B2274" s="1245">
        <f t="shared" si="700"/>
        <v>11</v>
      </c>
      <c r="C2274" s="292">
        <f t="shared" si="705"/>
        <v>43047</v>
      </c>
      <c r="D2274" s="292" t="s">
        <v>2963</v>
      </c>
      <c r="E2274" s="292">
        <v>43047</v>
      </c>
      <c r="F2274" s="425" t="s">
        <v>566</v>
      </c>
      <c r="G2274" s="925"/>
      <c r="H2274" s="429" t="s">
        <v>768</v>
      </c>
      <c r="I2274" s="373">
        <v>25760</v>
      </c>
      <c r="J2274" s="379">
        <v>18200</v>
      </c>
      <c r="K2274" s="373"/>
      <c r="L2274" s="379"/>
      <c r="M2274" s="927">
        <f t="shared" si="706"/>
        <v>468832000</v>
      </c>
      <c r="N2274" s="295" t="s">
        <v>264</v>
      </c>
      <c r="O2274" s="295" t="s">
        <v>8</v>
      </c>
      <c r="P2274" s="75" t="str">
        <f>IF(AND('331-CT'!$E$7=TH!H2274,OR(N2274="331",O2274="331")),"x","")</f>
        <v/>
      </c>
      <c r="Q2274" s="75" t="str">
        <f>IF(AND(B2274='111'!$L$11,OR($N2274=$Q$7,$O2274=$Q$7)),"x","")</f>
        <v/>
      </c>
      <c r="R2274" s="75" t="str">
        <f>IF(AND($N2274=$Q$7,$B2274&lt;'111'!$L$11),"x","")</f>
        <v/>
      </c>
      <c r="S2274" s="75" t="str">
        <f>IF(AND($O2274=$Q$7,$B2274&lt;'111'!$L$11),"x","")</f>
        <v/>
      </c>
      <c r="T2274" s="75" t="str">
        <f>IF(ISERROR(FIND('112'!$M$9,G2274,1)),"",IF((AND(FIND('112'!$M$9,G2274,1)&gt;=1,B2274='112'!$K$9,OR($N2274='112'!$I$6,$O2274='112'!$I$6))),"x",""))</f>
        <v/>
      </c>
      <c r="U2274" s="75" t="str">
        <f>IF(ISERROR(FIND('112'!$M$9,G2274,1)),"",IF((AND(LEFT(G2274,2)=LEFT('112'!$M$9,2),B2274&lt;'112'!$K$9,$N2274='112'!$I$6)),"x",""))</f>
        <v/>
      </c>
      <c r="V2274" s="75" t="str">
        <f>IF(ISERROR(FIND('112'!$M$9,G2274,1)),"",IF((AND(RIGHT(G2274,2)=RIGHT('112'!$M$9,2),B2274&lt;'112'!$K$9,$O2274='112'!$I$6)),"x",""))</f>
        <v/>
      </c>
      <c r="W2274" s="75" t="str">
        <f>IF(AND('341-CT'!$H$9=H2274,OR(LEFT(N2274,3)=$W$7,LEFT(O2274,3)=$W$7)),"x","")</f>
        <v/>
      </c>
      <c r="X2274" s="75" t="str">
        <f>IF(OR(TH!N2274=TH!$X$7,O2274=TH!$X$7),"x","")</f>
        <v/>
      </c>
      <c r="Y2274" s="75" t="str">
        <f>IF(AND(OR(N2274="131",O2274="131"),H2274='131-CT'!$H$9),"x","")</f>
        <v/>
      </c>
      <c r="Z2274" s="75"/>
      <c r="AA2274" s="75" t="str">
        <f>IF(AND(MONTH(E2274)='IN-NX'!$J$5,'IN-NX'!$D$7=D2274),"x","")</f>
        <v/>
      </c>
      <c r="AB2274" s="75" t="str">
        <f>IF(AND(OR(LEFT(TH!N2274,2)="15",LEFT(TH!O2274,2)="15"),LEFT(TH!O2274,3)&lt;&gt;"111",'152-CT'!$J$8=TH!F2274),"x","")</f>
        <v/>
      </c>
      <c r="AC2274" s="75" t="str">
        <f>IF(AND(OR(LEFT(TH!N2274,2)="15",LEFT(TH!O2274,2)="15"),TK!$E$7=TH!F2274),"x","")</f>
        <v/>
      </c>
      <c r="AD2274" s="75" t="str">
        <f>IF(AND(N2274="1521",MONTH(C2274)='BK-NL'!$M$11),"x","")</f>
        <v/>
      </c>
    </row>
    <row r="2275" spans="1:30" ht="16.5" customHeight="1">
      <c r="A2275" s="309" t="str">
        <f>IF(B2275&lt;&gt;"",IF(AND(B2275='IN-TC'!$S$4,OR(TH!N2275="1111",TH!O2275="1111")),TH!D2275,""),"")</f>
        <v/>
      </c>
      <c r="B2275" s="1245">
        <f t="shared" si="700"/>
        <v>11</v>
      </c>
      <c r="C2275" s="292">
        <f t="shared" si="705"/>
        <v>43047</v>
      </c>
      <c r="D2275" s="292" t="s">
        <v>2964</v>
      </c>
      <c r="E2275" s="292">
        <v>43047</v>
      </c>
      <c r="F2275" s="425" t="s">
        <v>566</v>
      </c>
      <c r="G2275" s="925"/>
      <c r="H2275" s="435" t="s">
        <v>769</v>
      </c>
      <c r="I2275" s="373">
        <f>103500-SUM(I2272:I2274)</f>
        <v>26330</v>
      </c>
      <c r="J2275" s="379">
        <v>18200</v>
      </c>
      <c r="K2275" s="373"/>
      <c r="L2275" s="379"/>
      <c r="M2275" s="927">
        <f t="shared" si="706"/>
        <v>479206000</v>
      </c>
      <c r="N2275" s="295" t="s">
        <v>264</v>
      </c>
      <c r="O2275" s="295" t="s">
        <v>8</v>
      </c>
      <c r="P2275" s="75" t="str">
        <f>IF(AND('331-CT'!$E$7=TH!H2275,OR(N2275="331",O2275="331")),"x","")</f>
        <v/>
      </c>
      <c r="Q2275" s="75" t="str">
        <f>IF(AND(B2275='111'!$L$11,OR($N2275=$Q$7,$O2275=$Q$7)),"x","")</f>
        <v/>
      </c>
      <c r="R2275" s="75" t="str">
        <f>IF(AND($N2275=$Q$7,$B2275&lt;'111'!$L$11),"x","")</f>
        <v/>
      </c>
      <c r="S2275" s="75" t="str">
        <f>IF(AND($O2275=$Q$7,$B2275&lt;'111'!$L$11),"x","")</f>
        <v/>
      </c>
      <c r="T2275" s="75" t="str">
        <f>IF(ISERROR(FIND('112'!$M$9,G2275,1)),"",IF((AND(FIND('112'!$M$9,G2275,1)&gt;=1,B2275='112'!$K$9,OR($N2275='112'!$I$6,$O2275='112'!$I$6))),"x",""))</f>
        <v/>
      </c>
      <c r="U2275" s="75" t="str">
        <f>IF(ISERROR(FIND('112'!$M$9,G2275,1)),"",IF((AND(LEFT(G2275,2)=LEFT('112'!$M$9,2),B2275&lt;'112'!$K$9,$N2275='112'!$I$6)),"x",""))</f>
        <v/>
      </c>
      <c r="V2275" s="75" t="str">
        <f>IF(ISERROR(FIND('112'!$M$9,G2275,1)),"",IF((AND(RIGHT(G2275,2)=RIGHT('112'!$M$9,2),B2275&lt;'112'!$K$9,$O2275='112'!$I$6)),"x",""))</f>
        <v/>
      </c>
      <c r="W2275" s="75" t="str">
        <f>IF(AND('341-CT'!$H$9=H2275,OR(LEFT(N2275,3)=$W$7,LEFT(O2275,3)=$W$7)),"x","")</f>
        <v/>
      </c>
      <c r="X2275" s="75" t="str">
        <f>IF(OR(TH!N2275=TH!$X$7,O2275=TH!$X$7),"x","")</f>
        <v/>
      </c>
      <c r="Y2275" s="75" t="str">
        <f>IF(AND(OR(N2275="131",O2275="131"),H2275='131-CT'!$H$9),"x","")</f>
        <v/>
      </c>
      <c r="Z2275" s="75"/>
      <c r="AA2275" s="75" t="str">
        <f>IF(AND(MONTH(E2275)='IN-NX'!$J$5,'IN-NX'!$D$7=D2275),"x","")</f>
        <v/>
      </c>
      <c r="AB2275" s="75" t="str">
        <f>IF(AND(OR(LEFT(TH!N2275,2)="15",LEFT(TH!O2275,2)="15"),LEFT(TH!O2275,3)&lt;&gt;"111",'152-CT'!$J$8=TH!F2275),"x","")</f>
        <v/>
      </c>
      <c r="AC2275" s="75" t="str">
        <f>IF(AND(OR(LEFT(TH!N2275,2)="15",LEFT(TH!O2275,2)="15"),TK!$E$7=TH!F2275),"x","")</f>
        <v/>
      </c>
      <c r="AD2275" s="75" t="str">
        <f>IF(AND(N2275="1521",MONTH(C2275)='BK-NL'!$M$11),"x","")</f>
        <v/>
      </c>
    </row>
    <row r="2276" spans="1:30" ht="16.5" customHeight="1">
      <c r="A2276" s="309" t="str">
        <f>IF(B2276&lt;&gt;"",IF(AND(B2276='IN-TC'!$S$4,OR(TH!N2276="1111",TH!O2276="1111")),TH!D2276,""),"")</f>
        <v/>
      </c>
      <c r="B2276" s="1245">
        <f t="shared" si="700"/>
        <v>11</v>
      </c>
      <c r="C2276" s="292">
        <f t="shared" si="705"/>
        <v>43047</v>
      </c>
      <c r="D2276" s="292" t="s">
        <v>2965</v>
      </c>
      <c r="E2276" s="292">
        <v>43047</v>
      </c>
      <c r="F2276" s="425" t="s">
        <v>770</v>
      </c>
      <c r="G2276" s="925"/>
      <c r="H2276" s="429" t="s">
        <v>404</v>
      </c>
      <c r="I2276" s="373">
        <v>25500</v>
      </c>
      <c r="J2276" s="379">
        <v>25000</v>
      </c>
      <c r="K2276" s="373"/>
      <c r="L2276" s="379"/>
      <c r="M2276" s="927">
        <f t="shared" si="706"/>
        <v>637500000</v>
      </c>
      <c r="N2276" s="295" t="s">
        <v>264</v>
      </c>
      <c r="O2276" s="295" t="s">
        <v>8</v>
      </c>
      <c r="P2276" s="75" t="str">
        <f>IF(AND('331-CT'!$E$7=TH!H2276,OR(N2276="331",O2276="331")),"x","")</f>
        <v/>
      </c>
      <c r="Q2276" s="75" t="str">
        <f>IF(AND(B2276='111'!$L$11,OR($N2276=$Q$7,$O2276=$Q$7)),"x","")</f>
        <v/>
      </c>
      <c r="R2276" s="75" t="str">
        <f>IF(AND($N2276=$Q$7,$B2276&lt;'111'!$L$11),"x","")</f>
        <v/>
      </c>
      <c r="S2276" s="75" t="str">
        <f>IF(AND($O2276=$Q$7,$B2276&lt;'111'!$L$11),"x","")</f>
        <v/>
      </c>
      <c r="T2276" s="75" t="str">
        <f>IF(ISERROR(FIND('112'!$M$9,G2276,1)),"",IF((AND(FIND('112'!$M$9,G2276,1)&gt;=1,B2276='112'!$K$9,OR($N2276='112'!$I$6,$O2276='112'!$I$6))),"x",""))</f>
        <v/>
      </c>
      <c r="U2276" s="75" t="str">
        <f>IF(ISERROR(FIND('112'!$M$9,G2276,1)),"",IF((AND(LEFT(G2276,2)=LEFT('112'!$M$9,2),B2276&lt;'112'!$K$9,$N2276='112'!$I$6)),"x",""))</f>
        <v/>
      </c>
      <c r="V2276" s="75" t="str">
        <f>IF(ISERROR(FIND('112'!$M$9,G2276,1)),"",IF((AND(RIGHT(G2276,2)=RIGHT('112'!$M$9,2),B2276&lt;'112'!$K$9,$O2276='112'!$I$6)),"x",""))</f>
        <v/>
      </c>
      <c r="W2276" s="75" t="str">
        <f>IF(AND('341-CT'!$H$9=H2276,OR(LEFT(N2276,3)=$W$7,LEFT(O2276,3)=$W$7)),"x","")</f>
        <v/>
      </c>
      <c r="X2276" s="75" t="str">
        <f>IF(OR(TH!N2276=TH!$X$7,O2276=TH!$X$7),"x","")</f>
        <v/>
      </c>
      <c r="Y2276" s="75" t="str">
        <f>IF(AND(OR(N2276="131",O2276="131"),H2276='131-CT'!$H$9),"x","")</f>
        <v/>
      </c>
      <c r="Z2276" s="75"/>
      <c r="AA2276" s="75" t="str">
        <f>IF(AND(MONTH(E2276)='IN-NX'!$J$5,'IN-NX'!$D$7=D2276),"x","")</f>
        <v/>
      </c>
      <c r="AB2276" s="75" t="str">
        <f>IF(AND(OR(LEFT(TH!N2276,2)="15",LEFT(TH!O2276,2)="15"),LEFT(TH!O2276,3)&lt;&gt;"111",'152-CT'!$J$8=TH!F2276),"x","")</f>
        <v/>
      </c>
      <c r="AC2276" s="75" t="str">
        <f>IF(AND(OR(LEFT(TH!N2276,2)="15",LEFT(TH!O2276,2)="15"),TK!$E$7=TH!F2276),"x","")</f>
        <v/>
      </c>
      <c r="AD2276" s="75" t="str">
        <f>IF(AND(N2276="1521",MONTH(C2276)='BK-NL'!$M$11),"x","")</f>
        <v/>
      </c>
    </row>
    <row r="2277" spans="1:30" ht="16.5" customHeight="1">
      <c r="A2277" s="309" t="str">
        <f>IF(B2277&lt;&gt;"",IF(AND(B2277='IN-TC'!$S$4,OR(TH!N2277="1111",TH!O2277="1111")),TH!D2277,""),"")</f>
        <v/>
      </c>
      <c r="B2277" s="1245">
        <f t="shared" si="700"/>
        <v>11</v>
      </c>
      <c r="C2277" s="292">
        <f t="shared" si="705"/>
        <v>43051</v>
      </c>
      <c r="D2277" s="292" t="s">
        <v>2967</v>
      </c>
      <c r="E2277" s="292">
        <v>43051</v>
      </c>
      <c r="F2277" s="425" t="s">
        <v>566</v>
      </c>
      <c r="G2277" s="925"/>
      <c r="H2277" s="429" t="s">
        <v>414</v>
      </c>
      <c r="I2277" s="373">
        <v>24560</v>
      </c>
      <c r="J2277" s="379">
        <v>16700</v>
      </c>
      <c r="K2277" s="373"/>
      <c r="L2277" s="379"/>
      <c r="M2277" s="927">
        <f t="shared" si="706"/>
        <v>410152000</v>
      </c>
      <c r="N2277" s="295" t="s">
        <v>264</v>
      </c>
      <c r="O2277" s="295" t="s">
        <v>8</v>
      </c>
      <c r="P2277" s="75" t="str">
        <f>IF(AND('331-CT'!$E$7=TH!H2277,OR(N2277="331",O2277="331")),"x","")</f>
        <v/>
      </c>
      <c r="Q2277" s="75" t="str">
        <f>IF(AND(B2277='111'!$L$11,OR($N2277=$Q$7,$O2277=$Q$7)),"x","")</f>
        <v/>
      </c>
      <c r="R2277" s="75" t="str">
        <f>IF(AND($N2277=$Q$7,$B2277&lt;'111'!$L$11),"x","")</f>
        <v/>
      </c>
      <c r="S2277" s="75" t="str">
        <f>IF(AND($O2277=$Q$7,$B2277&lt;'111'!$L$11),"x","")</f>
        <v/>
      </c>
      <c r="T2277" s="75" t="str">
        <f>IF(ISERROR(FIND('112'!$M$9,G2277,1)),"",IF((AND(FIND('112'!$M$9,G2277,1)&gt;=1,B2277='112'!$K$9,OR($N2277='112'!$I$6,$O2277='112'!$I$6))),"x",""))</f>
        <v/>
      </c>
      <c r="U2277" s="75" t="str">
        <f>IF(ISERROR(FIND('112'!$M$9,G2277,1)),"",IF((AND(LEFT(G2277,2)=LEFT('112'!$M$9,2),B2277&lt;'112'!$K$9,$N2277='112'!$I$6)),"x",""))</f>
        <v/>
      </c>
      <c r="V2277" s="75" t="str">
        <f>IF(ISERROR(FIND('112'!$M$9,G2277,1)),"",IF((AND(RIGHT(G2277,2)=RIGHT('112'!$M$9,2),B2277&lt;'112'!$K$9,$O2277='112'!$I$6)),"x",""))</f>
        <v/>
      </c>
      <c r="W2277" s="75" t="str">
        <f>IF(AND('341-CT'!$H$9=H2277,OR(LEFT(N2277,3)=$W$7,LEFT(O2277,3)=$W$7)),"x","")</f>
        <v/>
      </c>
      <c r="X2277" s="75" t="str">
        <f>IF(OR(TH!N2277=TH!$X$7,O2277=TH!$X$7),"x","")</f>
        <v/>
      </c>
      <c r="Y2277" s="75" t="str">
        <f>IF(AND(OR(N2277="131",O2277="131"),H2277='131-CT'!$H$9),"x","")</f>
        <v/>
      </c>
      <c r="Z2277" s="75"/>
      <c r="AA2277" s="75" t="str">
        <f>IF(AND(MONTH(E2277)='IN-NX'!$J$5,'IN-NX'!$D$7=D2277),"x","")</f>
        <v/>
      </c>
      <c r="AB2277" s="75" t="str">
        <f>IF(AND(OR(LEFT(TH!N2277,2)="15",LEFT(TH!O2277,2)="15"),LEFT(TH!O2277,3)&lt;&gt;"111",'152-CT'!$J$8=TH!F2277),"x","")</f>
        <v/>
      </c>
      <c r="AC2277" s="75" t="str">
        <f>IF(AND(OR(LEFT(TH!N2277,2)="15",LEFT(TH!O2277,2)="15"),TK!$E$7=TH!F2277),"x","")</f>
        <v/>
      </c>
      <c r="AD2277" s="75" t="str">
        <f>IF(AND(N2277="1521",MONTH(C2277)='BK-NL'!$M$11),"x","")</f>
        <v/>
      </c>
    </row>
    <row r="2278" spans="1:30" ht="16.5" customHeight="1">
      <c r="A2278" s="309" t="str">
        <f>IF(B2278&lt;&gt;"",IF(AND(B2278='IN-TC'!$S$4,OR(TH!N2278="1111",TH!O2278="1111")),TH!D2278,""),"")</f>
        <v/>
      </c>
      <c r="B2278" s="1245">
        <f t="shared" si="700"/>
        <v>11</v>
      </c>
      <c r="C2278" s="292">
        <f t="shared" si="705"/>
        <v>43051</v>
      </c>
      <c r="D2278" s="292" t="s">
        <v>2968</v>
      </c>
      <c r="E2278" s="292">
        <v>43051</v>
      </c>
      <c r="F2278" s="425" t="s">
        <v>566</v>
      </c>
      <c r="G2278" s="925"/>
      <c r="H2278" s="429" t="s">
        <v>415</v>
      </c>
      <c r="I2278" s="373">
        <v>24230</v>
      </c>
      <c r="J2278" s="379">
        <v>16700</v>
      </c>
      <c r="K2278" s="373"/>
      <c r="L2278" s="379"/>
      <c r="M2278" s="927">
        <f t="shared" si="706"/>
        <v>404641000</v>
      </c>
      <c r="N2278" s="295" t="s">
        <v>264</v>
      </c>
      <c r="O2278" s="295" t="s">
        <v>8</v>
      </c>
      <c r="P2278" s="75" t="str">
        <f>IF(AND('331-CT'!$E$7=TH!H2278,OR(N2278="331",O2278="331")),"x","")</f>
        <v/>
      </c>
      <c r="Q2278" s="75" t="str">
        <f>IF(AND(B2278='111'!$L$11,OR($N2278=$Q$7,$O2278=$Q$7)),"x","")</f>
        <v/>
      </c>
      <c r="R2278" s="75" t="str">
        <f>IF(AND($N2278=$Q$7,$B2278&lt;'111'!$L$11),"x","")</f>
        <v/>
      </c>
      <c r="S2278" s="75" t="str">
        <f>IF(AND($O2278=$Q$7,$B2278&lt;'111'!$L$11),"x","")</f>
        <v/>
      </c>
      <c r="T2278" s="75" t="str">
        <f>IF(ISERROR(FIND('112'!$M$9,G2278,1)),"",IF((AND(FIND('112'!$M$9,G2278,1)&gt;=1,B2278='112'!$K$9,OR($N2278='112'!$I$6,$O2278='112'!$I$6))),"x",""))</f>
        <v/>
      </c>
      <c r="U2278" s="75" t="str">
        <f>IF(ISERROR(FIND('112'!$M$9,G2278,1)),"",IF((AND(LEFT(G2278,2)=LEFT('112'!$M$9,2),B2278&lt;'112'!$K$9,$N2278='112'!$I$6)),"x",""))</f>
        <v/>
      </c>
      <c r="V2278" s="75" t="str">
        <f>IF(ISERROR(FIND('112'!$M$9,G2278,1)),"",IF((AND(RIGHT(G2278,2)=RIGHT('112'!$M$9,2),B2278&lt;'112'!$K$9,$O2278='112'!$I$6)),"x",""))</f>
        <v/>
      </c>
      <c r="W2278" s="75" t="str">
        <f>IF(AND('341-CT'!$H$9=H2278,OR(LEFT(N2278,3)=$W$7,LEFT(O2278,3)=$W$7)),"x","")</f>
        <v/>
      </c>
      <c r="X2278" s="75" t="str">
        <f>IF(OR(TH!N2278=TH!$X$7,O2278=TH!$X$7),"x","")</f>
        <v/>
      </c>
      <c r="Y2278" s="75" t="str">
        <f>IF(AND(OR(N2278="131",O2278="131"),H2278='131-CT'!$H$9),"x","")</f>
        <v/>
      </c>
      <c r="Z2278" s="75"/>
      <c r="AA2278" s="75" t="str">
        <f>IF(AND(MONTH(E2278)='IN-NX'!$J$5,'IN-NX'!$D$7=D2278),"x","")</f>
        <v/>
      </c>
      <c r="AB2278" s="75" t="str">
        <f>IF(AND(OR(LEFT(TH!N2278,2)="15",LEFT(TH!O2278,2)="15"),LEFT(TH!O2278,3)&lt;&gt;"111",'152-CT'!$J$8=TH!F2278),"x","")</f>
        <v/>
      </c>
      <c r="AC2278" s="75" t="str">
        <f>IF(AND(OR(LEFT(TH!N2278,2)="15",LEFT(TH!O2278,2)="15"),TK!$E$7=TH!F2278),"x","")</f>
        <v/>
      </c>
      <c r="AD2278" s="75" t="str">
        <f>IF(AND(N2278="1521",MONTH(C2278)='BK-NL'!$M$11),"x","")</f>
        <v/>
      </c>
    </row>
    <row r="2279" spans="1:30" ht="16.5" customHeight="1">
      <c r="A2279" s="309" t="str">
        <f>IF(B2279&lt;&gt;"",IF(AND(B2279='IN-TC'!$S$4,OR(TH!N2279="1111",TH!O2279="1111")),TH!D2279,""),"")</f>
        <v/>
      </c>
      <c r="B2279" s="1245">
        <f t="shared" si="700"/>
        <v>11</v>
      </c>
      <c r="C2279" s="292">
        <f t="shared" si="705"/>
        <v>43051</v>
      </c>
      <c r="D2279" s="292" t="s">
        <v>2973</v>
      </c>
      <c r="E2279" s="292">
        <v>43051</v>
      </c>
      <c r="F2279" s="425" t="s">
        <v>566</v>
      </c>
      <c r="G2279" s="925"/>
      <c r="H2279" s="429" t="s">
        <v>768</v>
      </c>
      <c r="I2279" s="373">
        <v>23560</v>
      </c>
      <c r="J2279" s="379">
        <v>16700</v>
      </c>
      <c r="K2279" s="373"/>
      <c r="L2279" s="379"/>
      <c r="M2279" s="927">
        <f t="shared" si="706"/>
        <v>393452000</v>
      </c>
      <c r="N2279" s="295" t="s">
        <v>264</v>
      </c>
      <c r="O2279" s="295" t="s">
        <v>8</v>
      </c>
      <c r="P2279" s="75" t="str">
        <f>IF(AND('331-CT'!$E$7=TH!H2279,OR(N2279="331",O2279="331")),"x","")</f>
        <v/>
      </c>
      <c r="Q2279" s="75" t="str">
        <f>IF(AND(B2279='111'!$L$11,OR($N2279=$Q$7,$O2279=$Q$7)),"x","")</f>
        <v/>
      </c>
      <c r="R2279" s="75" t="str">
        <f>IF(AND($N2279=$Q$7,$B2279&lt;'111'!$L$11),"x","")</f>
        <v/>
      </c>
      <c r="S2279" s="75" t="str">
        <f>IF(AND($O2279=$Q$7,$B2279&lt;'111'!$L$11),"x","")</f>
        <v/>
      </c>
      <c r="T2279" s="75" t="str">
        <f>IF(ISERROR(FIND('112'!$M$9,G2279,1)),"",IF((AND(FIND('112'!$M$9,G2279,1)&gt;=1,B2279='112'!$K$9,OR($N2279='112'!$I$6,$O2279='112'!$I$6))),"x",""))</f>
        <v/>
      </c>
      <c r="U2279" s="75" t="str">
        <f>IF(ISERROR(FIND('112'!$M$9,G2279,1)),"",IF((AND(LEFT(G2279,2)=LEFT('112'!$M$9,2),B2279&lt;'112'!$K$9,$N2279='112'!$I$6)),"x",""))</f>
        <v/>
      </c>
      <c r="V2279" s="75" t="str">
        <f>IF(ISERROR(FIND('112'!$M$9,G2279,1)),"",IF((AND(RIGHT(G2279,2)=RIGHT('112'!$M$9,2),B2279&lt;'112'!$K$9,$O2279='112'!$I$6)),"x",""))</f>
        <v/>
      </c>
      <c r="W2279" s="75" t="str">
        <f>IF(AND('341-CT'!$H$9=H2279,OR(LEFT(N2279,3)=$W$7,LEFT(O2279,3)=$W$7)),"x","")</f>
        <v/>
      </c>
      <c r="X2279" s="75" t="str">
        <f>IF(OR(TH!N2279=TH!$X$7,O2279=TH!$X$7),"x","")</f>
        <v/>
      </c>
      <c r="Y2279" s="75" t="str">
        <f>IF(AND(OR(N2279="131",O2279="131"),H2279='131-CT'!$H$9),"x","")</f>
        <v/>
      </c>
      <c r="Z2279" s="75"/>
      <c r="AA2279" s="75" t="str">
        <f>IF(AND(MONTH(E2279)='IN-NX'!$J$5,'IN-NX'!$D$7=D2279),"x","")</f>
        <v/>
      </c>
      <c r="AB2279" s="75" t="str">
        <f>IF(AND(OR(LEFT(TH!N2279,2)="15",LEFT(TH!O2279,2)="15"),LEFT(TH!O2279,3)&lt;&gt;"111",'152-CT'!$J$8=TH!F2279),"x","")</f>
        <v/>
      </c>
      <c r="AC2279" s="75" t="str">
        <f>IF(AND(OR(LEFT(TH!N2279,2)="15",LEFT(TH!O2279,2)="15"),TK!$E$7=TH!F2279),"x","")</f>
        <v/>
      </c>
      <c r="AD2279" s="75" t="str">
        <f>IF(AND(N2279="1521",MONTH(C2279)='BK-NL'!$M$11),"x","")</f>
        <v/>
      </c>
    </row>
    <row r="2280" spans="1:30" ht="16.5" customHeight="1">
      <c r="A2280" s="309" t="str">
        <f>IF(B2280&lt;&gt;"",IF(AND(B2280='IN-TC'!$S$4,OR(TH!N2280="1111",TH!O2280="1111")),TH!D2280,""),"")</f>
        <v/>
      </c>
      <c r="B2280" s="1245">
        <f t="shared" si="700"/>
        <v>11</v>
      </c>
      <c r="C2280" s="292">
        <f t="shared" si="705"/>
        <v>43056</v>
      </c>
      <c r="D2280" s="292" t="s">
        <v>2976</v>
      </c>
      <c r="E2280" s="292">
        <v>43056</v>
      </c>
      <c r="F2280" s="425" t="s">
        <v>566</v>
      </c>
      <c r="G2280" s="925"/>
      <c r="H2280" s="435" t="s">
        <v>769</v>
      </c>
      <c r="I2280" s="373">
        <v>24510</v>
      </c>
      <c r="J2280" s="379">
        <v>16700</v>
      </c>
      <c r="K2280" s="373"/>
      <c r="L2280" s="379"/>
      <c r="M2280" s="927">
        <f t="shared" si="706"/>
        <v>409317000</v>
      </c>
      <c r="N2280" s="295" t="s">
        <v>264</v>
      </c>
      <c r="O2280" s="295" t="s">
        <v>8</v>
      </c>
      <c r="P2280" s="75" t="str">
        <f>IF(AND('331-CT'!$E$7=TH!H2280,OR(N2280="331",O2280="331")),"x","")</f>
        <v/>
      </c>
      <c r="Q2280" s="75" t="str">
        <f>IF(AND(B2280='111'!$L$11,OR($N2280=$Q$7,$O2280=$Q$7)),"x","")</f>
        <v/>
      </c>
      <c r="R2280" s="75" t="str">
        <f>IF(AND($N2280=$Q$7,$B2280&lt;'111'!$L$11),"x","")</f>
        <v/>
      </c>
      <c r="S2280" s="75" t="str">
        <f>IF(AND($O2280=$Q$7,$B2280&lt;'111'!$L$11),"x","")</f>
        <v/>
      </c>
      <c r="T2280" s="75" t="str">
        <f>IF(ISERROR(FIND('112'!$M$9,G2280,1)),"",IF((AND(FIND('112'!$M$9,G2280,1)&gt;=1,B2280='112'!$K$9,OR($N2280='112'!$I$6,$O2280='112'!$I$6))),"x",""))</f>
        <v/>
      </c>
      <c r="U2280" s="75" t="str">
        <f>IF(ISERROR(FIND('112'!$M$9,G2280,1)),"",IF((AND(LEFT(G2280,2)=LEFT('112'!$M$9,2),B2280&lt;'112'!$K$9,$N2280='112'!$I$6)),"x",""))</f>
        <v/>
      </c>
      <c r="V2280" s="75" t="str">
        <f>IF(ISERROR(FIND('112'!$M$9,G2280,1)),"",IF((AND(RIGHT(G2280,2)=RIGHT('112'!$M$9,2),B2280&lt;'112'!$K$9,$O2280='112'!$I$6)),"x",""))</f>
        <v/>
      </c>
      <c r="W2280" s="75" t="str">
        <f>IF(AND('341-CT'!$H$9=H2280,OR(LEFT(N2280,3)=$W$7,LEFT(O2280,3)=$W$7)),"x","")</f>
        <v/>
      </c>
      <c r="X2280" s="75" t="str">
        <f>IF(OR(TH!N2280=TH!$X$7,O2280=TH!$X$7),"x","")</f>
        <v/>
      </c>
      <c r="Y2280" s="75" t="str">
        <f>IF(AND(OR(N2280="131",O2280="131"),H2280='131-CT'!$H$9),"x","")</f>
        <v/>
      </c>
      <c r="Z2280" s="75"/>
      <c r="AA2280" s="75" t="str">
        <f>IF(AND(MONTH(E2280)='IN-NX'!$J$5,'IN-NX'!$D$7=D2280),"x","")</f>
        <v/>
      </c>
      <c r="AB2280" s="75" t="str">
        <f>IF(AND(OR(LEFT(TH!N2280,2)="15",LEFT(TH!O2280,2)="15"),LEFT(TH!O2280,3)&lt;&gt;"111",'152-CT'!$J$8=TH!F2280),"x","")</f>
        <v/>
      </c>
      <c r="AC2280" s="75" t="str">
        <f>IF(AND(OR(LEFT(TH!N2280,2)="15",LEFT(TH!O2280,2)="15"),TK!$E$7=TH!F2280),"x","")</f>
        <v/>
      </c>
      <c r="AD2280" s="75" t="str">
        <f>IF(AND(N2280="1521",MONTH(C2280)='BK-NL'!$M$11),"x","")</f>
        <v/>
      </c>
    </row>
    <row r="2281" spans="1:30" ht="16.5" customHeight="1">
      <c r="A2281" s="309" t="str">
        <f>IF(B2281&lt;&gt;"",IF(AND(B2281='IN-TC'!$S$4,OR(TH!N2281="1111",TH!O2281="1111")),TH!D2281,""),"")</f>
        <v/>
      </c>
      <c r="B2281" s="1245">
        <f t="shared" si="700"/>
        <v>11</v>
      </c>
      <c r="C2281" s="292">
        <f t="shared" si="705"/>
        <v>43056</v>
      </c>
      <c r="D2281" s="292" t="s">
        <v>2977</v>
      </c>
      <c r="E2281" s="292">
        <v>43056</v>
      </c>
      <c r="F2281" s="425" t="s">
        <v>566</v>
      </c>
      <c r="G2281" s="925"/>
      <c r="H2281" s="429" t="s">
        <v>415</v>
      </c>
      <c r="I2281" s="373">
        <v>23750</v>
      </c>
      <c r="J2281" s="379">
        <v>16700</v>
      </c>
      <c r="K2281" s="373"/>
      <c r="L2281" s="379"/>
      <c r="M2281" s="927">
        <f t="shared" si="706"/>
        <v>396625000</v>
      </c>
      <c r="N2281" s="295" t="s">
        <v>264</v>
      </c>
      <c r="O2281" s="295" t="s">
        <v>8</v>
      </c>
      <c r="P2281" s="75" t="str">
        <f>IF(AND('331-CT'!$E$7=TH!H2281,OR(N2281="331",O2281="331")),"x","")</f>
        <v/>
      </c>
      <c r="Q2281" s="75" t="str">
        <f>IF(AND(B2281='111'!$L$11,OR($N2281=$Q$7,$O2281=$Q$7)),"x","")</f>
        <v/>
      </c>
      <c r="R2281" s="75" t="str">
        <f>IF(AND($N2281=$Q$7,$B2281&lt;'111'!$L$11),"x","")</f>
        <v/>
      </c>
      <c r="S2281" s="75" t="str">
        <f>IF(AND($O2281=$Q$7,$B2281&lt;'111'!$L$11),"x","")</f>
        <v/>
      </c>
      <c r="T2281" s="75" t="str">
        <f>IF(ISERROR(FIND('112'!$M$9,G2281,1)),"",IF((AND(FIND('112'!$M$9,G2281,1)&gt;=1,B2281='112'!$K$9,OR($N2281='112'!$I$6,$O2281='112'!$I$6))),"x",""))</f>
        <v/>
      </c>
      <c r="U2281" s="75" t="str">
        <f>IF(ISERROR(FIND('112'!$M$9,G2281,1)),"",IF((AND(LEFT(G2281,2)=LEFT('112'!$M$9,2),B2281&lt;'112'!$K$9,$N2281='112'!$I$6)),"x",""))</f>
        <v/>
      </c>
      <c r="V2281" s="75" t="str">
        <f>IF(ISERROR(FIND('112'!$M$9,G2281,1)),"",IF((AND(RIGHT(G2281,2)=RIGHT('112'!$M$9,2),B2281&lt;'112'!$K$9,$O2281='112'!$I$6)),"x",""))</f>
        <v/>
      </c>
      <c r="W2281" s="75" t="str">
        <f>IF(AND('341-CT'!$H$9=H2281,OR(LEFT(N2281,3)=$W$7,LEFT(O2281,3)=$W$7)),"x","")</f>
        <v/>
      </c>
      <c r="X2281" s="75" t="str">
        <f>IF(OR(TH!N2281=TH!$X$7,O2281=TH!$X$7),"x","")</f>
        <v/>
      </c>
      <c r="Y2281" s="75" t="str">
        <f>IF(AND(OR(N2281="131",O2281="131"),H2281='131-CT'!$H$9),"x","")</f>
        <v/>
      </c>
      <c r="Z2281" s="75"/>
      <c r="AA2281" s="75" t="str">
        <f>IF(AND(MONTH(E2281)='IN-NX'!$J$5,'IN-NX'!$D$7=D2281),"x","")</f>
        <v/>
      </c>
      <c r="AB2281" s="75" t="str">
        <f>IF(AND(OR(LEFT(TH!N2281,2)="15",LEFT(TH!O2281,2)="15"),LEFT(TH!O2281,3)&lt;&gt;"111",'152-CT'!$J$8=TH!F2281),"x","")</f>
        <v/>
      </c>
      <c r="AC2281" s="75" t="str">
        <f>IF(AND(OR(LEFT(TH!N2281,2)="15",LEFT(TH!O2281,2)="15"),TK!$E$7=TH!F2281),"x","")</f>
        <v/>
      </c>
      <c r="AD2281" s="75" t="str">
        <f>IF(AND(N2281="1521",MONTH(C2281)='BK-NL'!$M$11),"x","")</f>
        <v/>
      </c>
    </row>
    <row r="2282" spans="1:30" ht="16.5" customHeight="1">
      <c r="A2282" s="309" t="str">
        <f>IF(B2282&lt;&gt;"",IF(AND(B2282='IN-TC'!$S$4,OR(TH!N2282="1111",TH!O2282="1111")),TH!D2282,""),"")</f>
        <v/>
      </c>
      <c r="B2282" s="1245">
        <f t="shared" si="700"/>
        <v>11</v>
      </c>
      <c r="C2282" s="292">
        <f t="shared" si="705"/>
        <v>43056</v>
      </c>
      <c r="D2282" s="292" t="s">
        <v>2978</v>
      </c>
      <c r="E2282" s="292">
        <v>43056</v>
      </c>
      <c r="F2282" s="425" t="s">
        <v>566</v>
      </c>
      <c r="G2282" s="925"/>
      <c r="H2282" s="429" t="s">
        <v>768</v>
      </c>
      <c r="I2282" s="373">
        <f>143750-SUM(I2277:I2281)</f>
        <v>23140</v>
      </c>
      <c r="J2282" s="379">
        <v>16700</v>
      </c>
      <c r="K2282" s="373"/>
      <c r="L2282" s="379"/>
      <c r="M2282" s="927">
        <f t="shared" si="706"/>
        <v>386438000</v>
      </c>
      <c r="N2282" s="295" t="s">
        <v>264</v>
      </c>
      <c r="O2282" s="295" t="s">
        <v>8</v>
      </c>
      <c r="P2282" s="75" t="str">
        <f>IF(AND('331-CT'!$E$7=TH!H2282,OR(N2282="331",O2282="331")),"x","")</f>
        <v/>
      </c>
      <c r="Q2282" s="75" t="str">
        <f>IF(AND(B2282='111'!$L$11,OR($N2282=$Q$7,$O2282=$Q$7)),"x","")</f>
        <v/>
      </c>
      <c r="R2282" s="75" t="str">
        <f>IF(AND($N2282=$Q$7,$B2282&lt;'111'!$L$11),"x","")</f>
        <v/>
      </c>
      <c r="S2282" s="75" t="str">
        <f>IF(AND($O2282=$Q$7,$B2282&lt;'111'!$L$11),"x","")</f>
        <v/>
      </c>
      <c r="T2282" s="75" t="str">
        <f>IF(ISERROR(FIND('112'!$M$9,G2282,1)),"",IF((AND(FIND('112'!$M$9,G2282,1)&gt;=1,B2282='112'!$K$9,OR($N2282='112'!$I$6,$O2282='112'!$I$6))),"x",""))</f>
        <v/>
      </c>
      <c r="U2282" s="75" t="str">
        <f>IF(ISERROR(FIND('112'!$M$9,G2282,1)),"",IF((AND(LEFT(G2282,2)=LEFT('112'!$M$9,2),B2282&lt;'112'!$K$9,$N2282='112'!$I$6)),"x",""))</f>
        <v/>
      </c>
      <c r="V2282" s="75" t="str">
        <f>IF(ISERROR(FIND('112'!$M$9,G2282,1)),"",IF((AND(RIGHT(G2282,2)=RIGHT('112'!$M$9,2),B2282&lt;'112'!$K$9,$O2282='112'!$I$6)),"x",""))</f>
        <v/>
      </c>
      <c r="W2282" s="75" t="str">
        <f>IF(AND('341-CT'!$H$9=H2282,OR(LEFT(N2282,3)=$W$7,LEFT(O2282,3)=$W$7)),"x","")</f>
        <v/>
      </c>
      <c r="X2282" s="75" t="str">
        <f>IF(OR(TH!N2282=TH!$X$7,O2282=TH!$X$7),"x","")</f>
        <v/>
      </c>
      <c r="Y2282" s="75" t="str">
        <f>IF(AND(OR(N2282="131",O2282="131"),H2282='131-CT'!$H$9),"x","")</f>
        <v/>
      </c>
      <c r="Z2282" s="75"/>
      <c r="AA2282" s="75" t="str">
        <f>IF(AND(MONTH(E2282)='IN-NX'!$J$5,'IN-NX'!$D$7=D2282),"x","")</f>
        <v/>
      </c>
      <c r="AB2282" s="75" t="str">
        <f>IF(AND(OR(LEFT(TH!N2282,2)="15",LEFT(TH!O2282,2)="15"),LEFT(TH!O2282,3)&lt;&gt;"111",'152-CT'!$J$8=TH!F2282),"x","")</f>
        <v/>
      </c>
      <c r="AC2282" s="75" t="str">
        <f>IF(AND(OR(LEFT(TH!N2282,2)="15",LEFT(TH!O2282,2)="15"),TK!$E$7=TH!F2282),"x","")</f>
        <v/>
      </c>
      <c r="AD2282" s="75" t="str">
        <f>IF(AND(N2282="1521",MONTH(C2282)='BK-NL'!$M$11),"x","")</f>
        <v/>
      </c>
    </row>
    <row r="2283" spans="1:30" ht="16.5" customHeight="1">
      <c r="A2283" s="309" t="str">
        <f>IF(B2283&lt;&gt;"",IF(AND(B2283='IN-TC'!$S$4,OR(TH!N2283="1111",TH!O2283="1111")),TH!D2283,""),"")</f>
        <v/>
      </c>
      <c r="B2283" s="1245">
        <f t="shared" ref="B2283" si="713">IF(C2283&lt;&gt;"",MONTH(C2283),"")</f>
        <v>11</v>
      </c>
      <c r="C2283" s="292">
        <f t="shared" ref="C2283" si="714">E2283</f>
        <v>43047</v>
      </c>
      <c r="D2283" s="292" t="s">
        <v>2965</v>
      </c>
      <c r="E2283" s="292">
        <v>43047</v>
      </c>
      <c r="F2283" s="425" t="s">
        <v>565</v>
      </c>
      <c r="G2283" s="925"/>
      <c r="H2283" s="429" t="s">
        <v>404</v>
      </c>
      <c r="I2283" s="373">
        <v>20245</v>
      </c>
      <c r="J2283" s="379">
        <v>17000</v>
      </c>
      <c r="K2283" s="373"/>
      <c r="L2283" s="379"/>
      <c r="M2283" s="927">
        <f t="shared" ref="M2283" si="715">ROUND(I2283*J2283,0)</f>
        <v>344165000</v>
      </c>
      <c r="N2283" s="295" t="s">
        <v>264</v>
      </c>
      <c r="O2283" s="295" t="s">
        <v>8</v>
      </c>
      <c r="P2283" s="75" t="str">
        <f>IF(AND('331-CT'!$E$7=TH!H2283,OR(N2283="331",O2283="331")),"x","")</f>
        <v/>
      </c>
      <c r="Q2283" s="75" t="str">
        <f>IF(AND(B2283='111'!$L$11,OR($N2283=$Q$7,$O2283=$Q$7)),"x","")</f>
        <v/>
      </c>
      <c r="R2283" s="75" t="str">
        <f>IF(AND($N2283=$Q$7,$B2283&lt;'111'!$L$11),"x","")</f>
        <v/>
      </c>
      <c r="S2283" s="75" t="str">
        <f>IF(AND($O2283=$Q$7,$B2283&lt;'111'!$L$11),"x","")</f>
        <v/>
      </c>
      <c r="T2283" s="75" t="str">
        <f>IF(ISERROR(FIND('112'!$M$9,G2283,1)),"",IF((AND(FIND('112'!$M$9,G2283,1)&gt;=1,B2283='112'!$K$9,OR($N2283='112'!$I$6,$O2283='112'!$I$6))),"x",""))</f>
        <v/>
      </c>
      <c r="U2283" s="75" t="str">
        <f>IF(ISERROR(FIND('112'!$M$9,G2283,1)),"",IF((AND(LEFT(G2283,2)=LEFT('112'!$M$9,2),B2283&lt;'112'!$K$9,$N2283='112'!$I$6)),"x",""))</f>
        <v/>
      </c>
      <c r="V2283" s="75" t="str">
        <f>IF(ISERROR(FIND('112'!$M$9,G2283,1)),"",IF((AND(RIGHT(G2283,2)=RIGHT('112'!$M$9,2),B2283&lt;'112'!$K$9,$O2283='112'!$I$6)),"x",""))</f>
        <v/>
      </c>
      <c r="W2283" s="75" t="str">
        <f>IF(AND('341-CT'!$H$9=H2283,OR(LEFT(N2283,3)=$W$7,LEFT(O2283,3)=$W$7)),"x","")</f>
        <v/>
      </c>
      <c r="X2283" s="75" t="str">
        <f>IF(OR(TH!N2283=TH!$X$7,O2283=TH!$X$7),"x","")</f>
        <v/>
      </c>
      <c r="Y2283" s="75" t="str">
        <f>IF(AND(OR(N2283="131",O2283="131"),H2283='131-CT'!$H$9),"x","")</f>
        <v/>
      </c>
      <c r="Z2283" s="75"/>
      <c r="AA2283" s="75" t="str">
        <f>IF(AND(MONTH(E2283)='IN-NX'!$J$5,'IN-NX'!$D$7=D2283),"x","")</f>
        <v/>
      </c>
      <c r="AB2283" s="75" t="str">
        <f>IF(AND(OR(LEFT(TH!N2283,2)="15",LEFT(TH!O2283,2)="15"),LEFT(TH!O2283,3)&lt;&gt;"111",'152-CT'!$J$8=TH!F2283),"x","")</f>
        <v/>
      </c>
      <c r="AC2283" s="75" t="str">
        <f>IF(AND(OR(LEFT(TH!N2283,2)="15",LEFT(TH!O2283,2)="15"),TK!$E$7=TH!F2283),"x","")</f>
        <v/>
      </c>
      <c r="AD2283" s="75" t="str">
        <f>IF(AND(N2283="1521",MONTH(C2283)='BK-NL'!$M$11),"x","")</f>
        <v/>
      </c>
    </row>
    <row r="2284" spans="1:30" ht="16.5" customHeight="1">
      <c r="A2284" s="309" t="str">
        <f>IF(B2284&lt;&gt;"",IF(AND(B2284='IN-TC'!$S$4,OR(TH!N2284="1111",TH!O2284="1111")),TH!D2284,""),"")</f>
        <v/>
      </c>
      <c r="B2284" s="1245">
        <f t="shared" si="700"/>
        <v>11</v>
      </c>
      <c r="C2284" s="292">
        <f t="shared" si="705"/>
        <v>43047</v>
      </c>
      <c r="D2284" s="292" t="s">
        <v>2966</v>
      </c>
      <c r="E2284" s="292">
        <v>43047</v>
      </c>
      <c r="F2284" s="425" t="s">
        <v>565</v>
      </c>
      <c r="G2284" s="925"/>
      <c r="H2284" s="429" t="s">
        <v>401</v>
      </c>
      <c r="I2284" s="373">
        <f>50400-I2283</f>
        <v>30155</v>
      </c>
      <c r="J2284" s="379">
        <v>17000</v>
      </c>
      <c r="K2284" s="373"/>
      <c r="L2284" s="379"/>
      <c r="M2284" s="927">
        <f t="shared" si="706"/>
        <v>512635000</v>
      </c>
      <c r="N2284" s="295" t="s">
        <v>264</v>
      </c>
      <c r="O2284" s="295" t="s">
        <v>8</v>
      </c>
      <c r="P2284" s="75" t="str">
        <f>IF(AND('331-CT'!$E$7=TH!H2284,OR(N2284="331",O2284="331")),"x","")</f>
        <v/>
      </c>
      <c r="Q2284" s="75" t="str">
        <f>IF(AND(B2284='111'!$L$11,OR($N2284=$Q$7,$O2284=$Q$7)),"x","")</f>
        <v/>
      </c>
      <c r="R2284" s="75" t="str">
        <f>IF(AND($N2284=$Q$7,$B2284&lt;'111'!$L$11),"x","")</f>
        <v/>
      </c>
      <c r="S2284" s="75" t="str">
        <f>IF(AND($O2284=$Q$7,$B2284&lt;'111'!$L$11),"x","")</f>
        <v/>
      </c>
      <c r="T2284" s="75" t="str">
        <f>IF(ISERROR(FIND('112'!$M$9,G2284,1)),"",IF((AND(FIND('112'!$M$9,G2284,1)&gt;=1,B2284='112'!$K$9,OR($N2284='112'!$I$6,$O2284='112'!$I$6))),"x",""))</f>
        <v/>
      </c>
      <c r="U2284" s="75" t="str">
        <f>IF(ISERROR(FIND('112'!$M$9,G2284,1)),"",IF((AND(LEFT(G2284,2)=LEFT('112'!$M$9,2),B2284&lt;'112'!$K$9,$N2284='112'!$I$6)),"x",""))</f>
        <v/>
      </c>
      <c r="V2284" s="75" t="str">
        <f>IF(ISERROR(FIND('112'!$M$9,G2284,1)),"",IF((AND(RIGHT(G2284,2)=RIGHT('112'!$M$9,2),B2284&lt;'112'!$K$9,$O2284='112'!$I$6)),"x",""))</f>
        <v/>
      </c>
      <c r="W2284" s="75" t="str">
        <f>IF(AND('341-CT'!$H$9=H2284,OR(LEFT(N2284,3)=$W$7,LEFT(O2284,3)=$W$7)),"x","")</f>
        <v/>
      </c>
      <c r="X2284" s="75" t="str">
        <f>IF(OR(TH!N2284=TH!$X$7,O2284=TH!$X$7),"x","")</f>
        <v/>
      </c>
      <c r="Y2284" s="75" t="str">
        <f>IF(AND(OR(N2284="131",O2284="131"),H2284='131-CT'!$H$9),"x","")</f>
        <v/>
      </c>
      <c r="Z2284" s="75"/>
      <c r="AA2284" s="75" t="str">
        <f>IF(AND(MONTH(E2284)='IN-NX'!$J$5,'IN-NX'!$D$7=D2284),"x","")</f>
        <v/>
      </c>
      <c r="AB2284" s="75" t="str">
        <f>IF(AND(OR(LEFT(TH!N2284,2)="15",LEFT(TH!O2284,2)="15"),LEFT(TH!O2284,3)&lt;&gt;"111",'152-CT'!$J$8=TH!F2284),"x","")</f>
        <v/>
      </c>
      <c r="AC2284" s="75" t="str">
        <f>IF(AND(OR(LEFT(TH!N2284,2)="15",LEFT(TH!O2284,2)="15"),TK!$E$7=TH!F2284),"x","")</f>
        <v/>
      </c>
      <c r="AD2284" s="75" t="str">
        <f>IF(AND(N2284="1521",MONTH(C2284)='BK-NL'!$M$11),"x","")</f>
        <v/>
      </c>
    </row>
    <row r="2285" spans="1:30" ht="16.5" customHeight="1">
      <c r="A2285" s="309" t="str">
        <f>IF(B2285&lt;&gt;"",IF(AND(B2285='IN-TC'!$S$4,OR(TH!N2285="1111",TH!O2285="1111")),TH!D2285,""),"")</f>
        <v/>
      </c>
      <c r="B2285" s="1245">
        <f t="shared" si="700"/>
        <v>11</v>
      </c>
      <c r="C2285" s="929">
        <f t="shared" si="705"/>
        <v>43069</v>
      </c>
      <c r="D2285" s="929" t="s">
        <v>2956</v>
      </c>
      <c r="E2285" s="929">
        <v>43069</v>
      </c>
      <c r="F2285" s="1082" t="s">
        <v>771</v>
      </c>
      <c r="G2285" s="1031"/>
      <c r="H2285" s="1082" t="s">
        <v>424</v>
      </c>
      <c r="I2285" s="371">
        <f>285012+135563</f>
        <v>420575</v>
      </c>
      <c r="J2285" s="377">
        <v>18000</v>
      </c>
      <c r="K2285" s="371"/>
      <c r="L2285" s="377"/>
      <c r="M2285" s="933">
        <f t="shared" si="706"/>
        <v>7570350000</v>
      </c>
      <c r="N2285" s="934" t="s">
        <v>272</v>
      </c>
      <c r="O2285" s="934" t="s">
        <v>264</v>
      </c>
      <c r="P2285" s="75" t="str">
        <f>IF(AND('331-CT'!$E$7=TH!H2285,OR(N2285="331",O2285="331")),"x","")</f>
        <v/>
      </c>
      <c r="Q2285" s="75" t="str">
        <f>IF(AND(B2285='111'!$L$11,OR($N2285=$Q$7,$O2285=$Q$7)),"x","")</f>
        <v/>
      </c>
      <c r="R2285" s="75" t="str">
        <f>IF(AND($N2285=$Q$7,$B2285&lt;'111'!$L$11),"x","")</f>
        <v/>
      </c>
      <c r="S2285" s="75" t="str">
        <f>IF(AND($O2285=$Q$7,$B2285&lt;'111'!$L$11),"x","")</f>
        <v/>
      </c>
      <c r="T2285" s="75" t="str">
        <f>IF(ISERROR(FIND('112'!$M$9,G2285,1)),"",IF((AND(FIND('112'!$M$9,G2285,1)&gt;=1,B2285='112'!$K$9,OR($N2285='112'!$I$6,$O2285='112'!$I$6))),"x",""))</f>
        <v/>
      </c>
      <c r="U2285" s="75" t="str">
        <f>IF(ISERROR(FIND('112'!$M$9,G2285,1)),"",IF((AND(LEFT(G2285,2)=LEFT('112'!$M$9,2),B2285&lt;'112'!$K$9,$N2285='112'!$I$6)),"x",""))</f>
        <v/>
      </c>
      <c r="V2285" s="75" t="str">
        <f>IF(ISERROR(FIND('112'!$M$9,G2285,1)),"",IF((AND(RIGHT(G2285,2)=RIGHT('112'!$M$9,2),B2285&lt;'112'!$K$9,$O2285='112'!$I$6)),"x",""))</f>
        <v/>
      </c>
      <c r="W2285" s="75" t="str">
        <f>IF(AND('341-CT'!$H$9=H2285,OR(LEFT(N2285,3)=$W$7,LEFT(O2285,3)=$W$7)),"x","")</f>
        <v/>
      </c>
      <c r="X2285" s="75" t="str">
        <f>IF(OR(TH!N2285=TH!$X$7,O2285=TH!$X$7),"x","")</f>
        <v/>
      </c>
      <c r="Y2285" s="75" t="str">
        <f>IF(AND(OR(N2285="131",O2285="131"),H2285='131-CT'!$H$9),"x","")</f>
        <v/>
      </c>
      <c r="Z2285" s="75"/>
      <c r="AA2285" s="75" t="str">
        <f>IF(AND(MONTH(E2285)='IN-NX'!$J$5,'IN-NX'!$D$7=D2285),"x","")</f>
        <v/>
      </c>
      <c r="AB2285" s="75" t="str">
        <f>IF(AND(OR(LEFT(TH!N2285,2)="15",LEFT(TH!O2285,2)="15"),LEFT(TH!O2285,3)&lt;&gt;"111",'152-CT'!$J$8=TH!F2285),"x","")</f>
        <v/>
      </c>
      <c r="AC2285" s="75" t="str">
        <f>IF(AND(OR(LEFT(TH!N2285,2)="15",LEFT(TH!O2285,2)="15"),TK!$E$7=TH!F2285),"x","")</f>
        <v/>
      </c>
      <c r="AD2285" s="75" t="str">
        <f>IF(AND(N2285="1521",MONTH(C2285)='BK-NL'!$M$11),"x","")</f>
        <v/>
      </c>
    </row>
    <row r="2286" spans="1:30" ht="16.5" customHeight="1">
      <c r="A2286" s="309" t="str">
        <f>IF(B2286&lt;&gt;"",IF(AND(B2286='IN-TC'!$S$4,OR(TH!N2286="1111",TH!O2286="1111")),TH!D2286,""),"")</f>
        <v/>
      </c>
      <c r="B2286" s="1245">
        <f t="shared" si="700"/>
        <v>11</v>
      </c>
      <c r="C2286" s="929">
        <f t="shared" si="705"/>
        <v>43069</v>
      </c>
      <c r="D2286" s="929" t="s">
        <v>2956</v>
      </c>
      <c r="E2286" s="929">
        <v>43069</v>
      </c>
      <c r="F2286" s="1082" t="s">
        <v>566</v>
      </c>
      <c r="G2286" s="1031"/>
      <c r="H2286" s="1082" t="s">
        <v>424</v>
      </c>
      <c r="I2286" s="371">
        <f>92000+11500</f>
        <v>103500</v>
      </c>
      <c r="J2286" s="377">
        <v>18200</v>
      </c>
      <c r="K2286" s="371"/>
      <c r="L2286" s="377"/>
      <c r="M2286" s="933">
        <f t="shared" si="706"/>
        <v>1883700000</v>
      </c>
      <c r="N2286" s="934" t="s">
        <v>272</v>
      </c>
      <c r="O2286" s="934" t="s">
        <v>264</v>
      </c>
      <c r="P2286" s="75" t="str">
        <f>IF(AND('331-CT'!$E$7=TH!H2286,OR(N2286="331",O2286="331")),"x","")</f>
        <v/>
      </c>
      <c r="Q2286" s="75" t="str">
        <f>IF(AND(B2286='111'!$L$11,OR($N2286=$Q$7,$O2286=$Q$7)),"x","")</f>
        <v/>
      </c>
      <c r="R2286" s="75" t="str">
        <f>IF(AND($N2286=$Q$7,$B2286&lt;'111'!$L$11),"x","")</f>
        <v/>
      </c>
      <c r="S2286" s="75" t="str">
        <f>IF(AND($O2286=$Q$7,$B2286&lt;'111'!$L$11),"x","")</f>
        <v/>
      </c>
      <c r="T2286" s="75" t="str">
        <f>IF(ISERROR(FIND('112'!$M$9,G2286,1)),"",IF((AND(FIND('112'!$M$9,G2286,1)&gt;=1,B2286='112'!$K$9,OR($N2286='112'!$I$6,$O2286='112'!$I$6))),"x",""))</f>
        <v/>
      </c>
      <c r="U2286" s="75" t="str">
        <f>IF(ISERROR(FIND('112'!$M$9,G2286,1)),"",IF((AND(LEFT(G2286,2)=LEFT('112'!$M$9,2),B2286&lt;'112'!$K$9,$N2286='112'!$I$6)),"x",""))</f>
        <v/>
      </c>
      <c r="V2286" s="75" t="str">
        <f>IF(ISERROR(FIND('112'!$M$9,G2286,1)),"",IF((AND(RIGHT(G2286,2)=RIGHT('112'!$M$9,2),B2286&lt;'112'!$K$9,$O2286='112'!$I$6)),"x",""))</f>
        <v/>
      </c>
      <c r="W2286" s="75" t="str">
        <f>IF(AND('341-CT'!$H$9=H2286,OR(LEFT(N2286,3)=$W$7,LEFT(O2286,3)=$W$7)),"x","")</f>
        <v/>
      </c>
      <c r="X2286" s="75" t="str">
        <f>IF(OR(TH!N2286=TH!$X$7,O2286=TH!$X$7),"x","")</f>
        <v/>
      </c>
      <c r="Y2286" s="75" t="str">
        <f>IF(AND(OR(N2286="131",O2286="131"),H2286='131-CT'!$H$9),"x","")</f>
        <v/>
      </c>
      <c r="Z2286" s="75"/>
      <c r="AA2286" s="75" t="str">
        <f>IF(AND(MONTH(E2286)='IN-NX'!$J$5,'IN-NX'!$D$7=D2286),"x","")</f>
        <v/>
      </c>
      <c r="AB2286" s="75" t="str">
        <f>IF(AND(OR(LEFT(TH!N2286,2)="15",LEFT(TH!O2286,2)="15"),LEFT(TH!O2286,3)&lt;&gt;"111",'152-CT'!$J$8=TH!F2286),"x","")</f>
        <v/>
      </c>
      <c r="AC2286" s="75" t="str">
        <f>IF(AND(OR(LEFT(TH!N2286,2)="15",LEFT(TH!O2286,2)="15"),TK!$E$7=TH!F2286),"x","")</f>
        <v/>
      </c>
      <c r="AD2286" s="75" t="str">
        <f>IF(AND(N2286="1521",MONTH(C2286)='BK-NL'!$M$11),"x","")</f>
        <v/>
      </c>
    </row>
    <row r="2287" spans="1:30" ht="16.5" customHeight="1">
      <c r="A2287" s="309" t="str">
        <f>IF(B2287&lt;&gt;"",IF(AND(B2287='IN-TC'!$S$4,OR(TH!N2287="1111",TH!O2287="1111")),TH!D2287,""),"")</f>
        <v/>
      </c>
      <c r="B2287" s="1245">
        <f t="shared" si="700"/>
        <v>11</v>
      </c>
      <c r="C2287" s="929">
        <f t="shared" si="705"/>
        <v>43069</v>
      </c>
      <c r="D2287" s="929" t="s">
        <v>2956</v>
      </c>
      <c r="E2287" s="929">
        <v>43069</v>
      </c>
      <c r="F2287" s="1082" t="s">
        <v>770</v>
      </c>
      <c r="G2287" s="960"/>
      <c r="H2287" s="1082" t="s">
        <v>424</v>
      </c>
      <c r="I2287" s="371">
        <v>25500</v>
      </c>
      <c r="J2287" s="377">
        <v>25000</v>
      </c>
      <c r="K2287" s="371"/>
      <c r="L2287" s="377"/>
      <c r="M2287" s="933">
        <f t="shared" si="706"/>
        <v>637500000</v>
      </c>
      <c r="N2287" s="934" t="s">
        <v>272</v>
      </c>
      <c r="O2287" s="934" t="s">
        <v>264</v>
      </c>
      <c r="P2287" s="75" t="str">
        <f>IF(AND('331-CT'!$E$7=TH!H2287,OR(N2287="331",O2287="331")),"x","")</f>
        <v/>
      </c>
      <c r="Q2287" s="75" t="str">
        <f>IF(AND(B2287='111'!$L$11,OR($N2287=$Q$7,$O2287=$Q$7)),"x","")</f>
        <v/>
      </c>
      <c r="R2287" s="75" t="str">
        <f>IF(AND($N2287=$Q$7,$B2287&lt;'111'!$L$11),"x","")</f>
        <v/>
      </c>
      <c r="S2287" s="75" t="str">
        <f>IF(AND($O2287=$Q$7,$B2287&lt;'111'!$L$11),"x","")</f>
        <v/>
      </c>
      <c r="T2287" s="75" t="str">
        <f>IF(ISERROR(FIND('112'!$M$9,G2287,1)),"",IF((AND(FIND('112'!$M$9,G2287,1)&gt;=1,B2287='112'!$K$9,OR($N2287='112'!$I$6,$O2287='112'!$I$6))),"x",""))</f>
        <v/>
      </c>
      <c r="U2287" s="75" t="str">
        <f>IF(ISERROR(FIND('112'!$M$9,G2287,1)),"",IF((AND(LEFT(G2287,2)=LEFT('112'!$M$9,2),B2287&lt;'112'!$K$9,$N2287='112'!$I$6)),"x",""))</f>
        <v/>
      </c>
      <c r="V2287" s="75" t="str">
        <f>IF(ISERROR(FIND('112'!$M$9,G2287,1)),"",IF((AND(RIGHT(G2287,2)=RIGHT('112'!$M$9,2),B2287&lt;'112'!$K$9,$O2287='112'!$I$6)),"x",""))</f>
        <v/>
      </c>
      <c r="W2287" s="75" t="str">
        <f>IF(AND('341-CT'!$H$9=H2287,OR(LEFT(N2287,3)=$W$7,LEFT(O2287,3)=$W$7)),"x","")</f>
        <v/>
      </c>
      <c r="X2287" s="75" t="str">
        <f>IF(OR(TH!N2287=TH!$X$7,O2287=TH!$X$7),"x","")</f>
        <v/>
      </c>
      <c r="Y2287" s="75" t="str">
        <f>IF(AND(OR(N2287="131",O2287="131"),H2287='131-CT'!$H$9),"x","")</f>
        <v/>
      </c>
      <c r="Z2287" s="75"/>
      <c r="AA2287" s="75" t="str">
        <f>IF(AND(MONTH(E2287)='IN-NX'!$J$5,'IN-NX'!$D$7=D2287),"x","")</f>
        <v/>
      </c>
      <c r="AB2287" s="75" t="str">
        <f>IF(AND(OR(LEFT(TH!N2287,2)="15",LEFT(TH!O2287,2)="15"),LEFT(TH!O2287,3)&lt;&gt;"111",'152-CT'!$J$8=TH!F2287),"x","")</f>
        <v/>
      </c>
      <c r="AC2287" s="75" t="str">
        <f>IF(AND(OR(LEFT(TH!N2287,2)="15",LEFT(TH!O2287,2)="15"),TK!$E$7=TH!F2287),"x","")</f>
        <v/>
      </c>
      <c r="AD2287" s="75" t="str">
        <f>IF(AND(N2287="1521",MONTH(C2287)='BK-NL'!$M$11),"x","")</f>
        <v/>
      </c>
    </row>
    <row r="2288" spans="1:30" ht="16.5" customHeight="1">
      <c r="A2288" s="309" t="str">
        <f>IF(B2288&lt;&gt;"",IF(AND(B2288='IN-TC'!$S$4,OR(TH!N2288="1111",TH!O2288="1111")),TH!D2288,""),"")</f>
        <v/>
      </c>
      <c r="B2288" s="1245">
        <f t="shared" si="700"/>
        <v>11</v>
      </c>
      <c r="C2288" s="929">
        <f t="shared" si="705"/>
        <v>43069</v>
      </c>
      <c r="D2288" s="929" t="s">
        <v>2956</v>
      </c>
      <c r="E2288" s="929">
        <v>43069</v>
      </c>
      <c r="F2288" s="1082" t="s">
        <v>566</v>
      </c>
      <c r="G2288" s="960"/>
      <c r="H2288" s="1082" t="s">
        <v>424</v>
      </c>
      <c r="I2288" s="371">
        <v>143750</v>
      </c>
      <c r="J2288" s="377">
        <v>16700</v>
      </c>
      <c r="K2288" s="371"/>
      <c r="L2288" s="377"/>
      <c r="M2288" s="933">
        <f t="shared" si="706"/>
        <v>2400625000</v>
      </c>
      <c r="N2288" s="934" t="s">
        <v>272</v>
      </c>
      <c r="O2288" s="934" t="s">
        <v>264</v>
      </c>
      <c r="P2288" s="75" t="str">
        <f>IF(AND('331-CT'!$E$7=TH!H2288,OR(N2288="331",O2288="331")),"x","")</f>
        <v/>
      </c>
      <c r="Q2288" s="75" t="str">
        <f>IF(AND(B2288='111'!$L$11,OR($N2288=$Q$7,$O2288=$Q$7)),"x","")</f>
        <v/>
      </c>
      <c r="R2288" s="75" t="str">
        <f>IF(AND($N2288=$Q$7,$B2288&lt;'111'!$L$11),"x","")</f>
        <v/>
      </c>
      <c r="S2288" s="75" t="str">
        <f>IF(AND($O2288=$Q$7,$B2288&lt;'111'!$L$11),"x","")</f>
        <v/>
      </c>
      <c r="T2288" s="75" t="str">
        <f>IF(ISERROR(FIND('112'!$M$9,G2288,1)),"",IF((AND(FIND('112'!$M$9,G2288,1)&gt;=1,B2288='112'!$K$9,OR($N2288='112'!$I$6,$O2288='112'!$I$6))),"x",""))</f>
        <v/>
      </c>
      <c r="U2288" s="75" t="str">
        <f>IF(ISERROR(FIND('112'!$M$9,G2288,1)),"",IF((AND(LEFT(G2288,2)=LEFT('112'!$M$9,2),B2288&lt;'112'!$K$9,$N2288='112'!$I$6)),"x",""))</f>
        <v/>
      </c>
      <c r="V2288" s="75" t="str">
        <f>IF(ISERROR(FIND('112'!$M$9,G2288,1)),"",IF((AND(RIGHT(G2288,2)=RIGHT('112'!$M$9,2),B2288&lt;'112'!$K$9,$O2288='112'!$I$6)),"x",""))</f>
        <v/>
      </c>
      <c r="W2288" s="75" t="str">
        <f>IF(AND('341-CT'!$H$9=H2288,OR(LEFT(N2288,3)=$W$7,LEFT(O2288,3)=$W$7)),"x","")</f>
        <v/>
      </c>
      <c r="X2288" s="75" t="str">
        <f>IF(OR(TH!N2288=TH!$X$7,O2288=TH!$X$7),"x","")</f>
        <v/>
      </c>
      <c r="Y2288" s="75" t="str">
        <f>IF(AND(OR(N2288="131",O2288="131"),H2288='131-CT'!$H$9),"x","")</f>
        <v/>
      </c>
      <c r="Z2288" s="75"/>
      <c r="AA2288" s="75" t="str">
        <f>IF(AND(MONTH(E2288)='IN-NX'!$J$5,'IN-NX'!$D$7=D2288),"x","")</f>
        <v/>
      </c>
      <c r="AB2288" s="75" t="str">
        <f>IF(AND(OR(LEFT(TH!N2288,2)="15",LEFT(TH!O2288,2)="15"),LEFT(TH!O2288,3)&lt;&gt;"111",'152-CT'!$J$8=TH!F2288),"x","")</f>
        <v/>
      </c>
      <c r="AC2288" s="75" t="str">
        <f>IF(AND(OR(LEFT(TH!N2288,2)="15",LEFT(TH!O2288,2)="15"),TK!$E$7=TH!F2288),"x","")</f>
        <v/>
      </c>
      <c r="AD2288" s="75" t="str">
        <f>IF(AND(N2288="1521",MONTH(C2288)='BK-NL'!$M$11),"x","")</f>
        <v/>
      </c>
    </row>
    <row r="2289" spans="1:30" ht="16.5" customHeight="1">
      <c r="A2289" s="309" t="str">
        <f>IF(B2289&lt;&gt;"",IF(AND(B2289='IN-TC'!$S$4,OR(TH!N2289="1111",TH!O2289="1111")),TH!D2289,""),"")</f>
        <v/>
      </c>
      <c r="B2289" s="1245">
        <f t="shared" si="700"/>
        <v>11</v>
      </c>
      <c r="C2289" s="929">
        <f t="shared" si="705"/>
        <v>43069</v>
      </c>
      <c r="D2289" s="929" t="s">
        <v>2956</v>
      </c>
      <c r="E2289" s="929">
        <v>43069</v>
      </c>
      <c r="F2289" s="1082" t="s">
        <v>565</v>
      </c>
      <c r="G2289" s="960"/>
      <c r="H2289" s="1082" t="s">
        <v>424</v>
      </c>
      <c r="I2289" s="371">
        <v>50400</v>
      </c>
      <c r="J2289" s="377">
        <v>17000</v>
      </c>
      <c r="K2289" s="371"/>
      <c r="L2289" s="377"/>
      <c r="M2289" s="933">
        <f t="shared" si="706"/>
        <v>856800000</v>
      </c>
      <c r="N2289" s="934" t="s">
        <v>272</v>
      </c>
      <c r="O2289" s="934" t="s">
        <v>264</v>
      </c>
      <c r="P2289" s="75" t="str">
        <f>IF(AND('331-CT'!$E$7=TH!H2289,OR(N2289="331",O2289="331")),"x","")</f>
        <v/>
      </c>
      <c r="Q2289" s="75" t="str">
        <f>IF(AND(B2289='111'!$L$11,OR($N2289=$Q$7,$O2289=$Q$7)),"x","")</f>
        <v/>
      </c>
      <c r="R2289" s="75" t="str">
        <f>IF(AND($N2289=$Q$7,$B2289&lt;'111'!$L$11),"x","")</f>
        <v/>
      </c>
      <c r="S2289" s="75" t="str">
        <f>IF(AND($O2289=$Q$7,$B2289&lt;'111'!$L$11),"x","")</f>
        <v/>
      </c>
      <c r="T2289" s="75" t="str">
        <f>IF(ISERROR(FIND('112'!$M$9,G2289,1)),"",IF((AND(FIND('112'!$M$9,G2289,1)&gt;=1,B2289='112'!$K$9,OR($N2289='112'!$I$6,$O2289='112'!$I$6))),"x",""))</f>
        <v/>
      </c>
      <c r="U2289" s="75" t="str">
        <f>IF(ISERROR(FIND('112'!$M$9,G2289,1)),"",IF((AND(LEFT(G2289,2)=LEFT('112'!$M$9,2),B2289&lt;'112'!$K$9,$N2289='112'!$I$6)),"x",""))</f>
        <v/>
      </c>
      <c r="V2289" s="75" t="str">
        <f>IF(ISERROR(FIND('112'!$M$9,G2289,1)),"",IF((AND(RIGHT(G2289,2)=RIGHT('112'!$M$9,2),B2289&lt;'112'!$K$9,$O2289='112'!$I$6)),"x",""))</f>
        <v/>
      </c>
      <c r="W2289" s="75" t="str">
        <f>IF(AND('341-CT'!$H$9=H2289,OR(LEFT(N2289,3)=$W$7,LEFT(O2289,3)=$W$7)),"x","")</f>
        <v/>
      </c>
      <c r="X2289" s="75" t="str">
        <f>IF(OR(TH!N2289=TH!$X$7,O2289=TH!$X$7),"x","")</f>
        <v/>
      </c>
      <c r="Y2289" s="75" t="str">
        <f>IF(AND(OR(N2289="131",O2289="131"),H2289='131-CT'!$H$9),"x","")</f>
        <v/>
      </c>
      <c r="Z2289" s="75"/>
      <c r="AA2289" s="75" t="str">
        <f>IF(AND(MONTH(E2289)='IN-NX'!$J$5,'IN-NX'!$D$7=D2289),"x","")</f>
        <v/>
      </c>
      <c r="AB2289" s="75" t="str">
        <f>IF(AND(OR(LEFT(TH!N2289,2)="15",LEFT(TH!O2289,2)="15"),LEFT(TH!O2289,3)&lt;&gt;"111",'152-CT'!$J$8=TH!F2289),"x","")</f>
        <v/>
      </c>
      <c r="AC2289" s="75" t="str">
        <f>IF(AND(OR(LEFT(TH!N2289,2)="15",LEFT(TH!O2289,2)="15"),TK!$E$7=TH!F2289),"x","")</f>
        <v/>
      </c>
      <c r="AD2289" s="75" t="str">
        <f>IF(AND(N2289="1521",MONTH(C2289)='BK-NL'!$M$11),"x","")</f>
        <v/>
      </c>
    </row>
    <row r="2290" spans="1:30" s="1054" customFormat="1" ht="16.5" customHeight="1">
      <c r="A2290" s="309" t="str">
        <f>IF(B2290&lt;&gt;"",IF(AND(B2290='IN-TC'!$S$4,OR(TH!N2290="1111",TH!O2290="1111")),TH!D2290,""),"")</f>
        <v/>
      </c>
      <c r="B2290" s="1281">
        <f t="shared" si="679"/>
        <v>12</v>
      </c>
      <c r="C2290" s="936">
        <v>43070</v>
      </c>
      <c r="D2290" s="936" t="s">
        <v>818</v>
      </c>
      <c r="E2290" s="936">
        <f t="shared" si="680"/>
        <v>43070</v>
      </c>
      <c r="F2290" s="958" t="s">
        <v>2399</v>
      </c>
      <c r="G2290" s="942" t="s">
        <v>2716</v>
      </c>
      <c r="H2290" s="946" t="s">
        <v>1859</v>
      </c>
      <c r="I2290" s="939">
        <v>52780</v>
      </c>
      <c r="J2290" s="939">
        <v>2</v>
      </c>
      <c r="K2290" s="939">
        <f t="shared" si="681"/>
        <v>105560</v>
      </c>
      <c r="L2290" s="938">
        <v>22690</v>
      </c>
      <c r="M2290" s="940">
        <f t="shared" ref="M2290:M2309" si="716">ROUND(K2290*L2290,0)</f>
        <v>2395156400</v>
      </c>
      <c r="N2290" s="941" t="s">
        <v>536</v>
      </c>
      <c r="O2290" s="941" t="s">
        <v>288</v>
      </c>
      <c r="P2290" s="75" t="str">
        <f>IF(AND('331-CT'!$E$7=TH!H2290,OR(N2290="331",O2290="331")),"x","")</f>
        <v/>
      </c>
      <c r="Q2290" s="75" t="str">
        <f>IF(AND(B2290='111'!$L$11,OR($N2290=$Q$7,$O2290=$Q$7)),"x","")</f>
        <v/>
      </c>
      <c r="R2290" s="75" t="str">
        <f>IF(AND($N2290=$Q$7,$B2290&lt;'111'!$L$11),"x","")</f>
        <v/>
      </c>
      <c r="S2290" s="75" t="str">
        <f>IF(AND($O2290=$Q$7,$B2290&lt;'111'!$L$11),"x","")</f>
        <v/>
      </c>
      <c r="T2290" s="75" t="str">
        <f>IF(ISERROR(FIND('112'!$M$9,G2290,1)),"",IF((AND(FIND('112'!$M$9,G2290,1)&gt;=1,B2290='112'!$K$9,OR($N2290='112'!$I$6,$O2290='112'!$I$6))),"x",""))</f>
        <v/>
      </c>
      <c r="U2290" s="75" t="str">
        <f>IF(ISERROR(FIND('112'!$M$9,G2290,1)),"",IF((AND(LEFT(G2290,2)=LEFT('112'!$M$9,2),B2290&lt;'112'!$K$9,$N2290='112'!$I$6)),"x",""))</f>
        <v/>
      </c>
      <c r="V2290" s="75" t="str">
        <f>IF(ISERROR(FIND('112'!$M$9,G2290,1)),"",IF((AND(RIGHT(G2290,2)=RIGHT('112'!$M$9,2),B2290&lt;'112'!$K$9,$O2290='112'!$I$6)),"x",""))</f>
        <v/>
      </c>
      <c r="W2290" s="75" t="str">
        <f>IF(AND('341-CT'!$H$9=H2290,OR(LEFT(N2290,3)=$W$7,LEFT(O2290,3)=$W$7)),"x","")</f>
        <v/>
      </c>
      <c r="X2290" s="75" t="str">
        <f>IF(OR(TH!N2290=TH!$X$7,O2290=TH!$X$7),"x","")</f>
        <v/>
      </c>
      <c r="Y2290" s="75" t="str">
        <f>IF(AND(OR(N2290="131",O2290="131"),H2290='131-CT'!$H$9),"x","")</f>
        <v/>
      </c>
      <c r="Z2290" s="75"/>
      <c r="AA2290" s="75" t="str">
        <f>IF(AND(MONTH(E2290)='IN-NX'!$J$5,'IN-NX'!$D$7=D2290),"x","")</f>
        <v/>
      </c>
      <c r="AB2290" s="75" t="str">
        <f>IF(AND(OR(LEFT(TH!N2290,2)="15",LEFT(TH!O2290,2)="15"),LEFT(TH!O2290,3)&lt;&gt;"111",'152-CT'!$J$8=TH!F2290),"x","")</f>
        <v/>
      </c>
      <c r="AC2290" s="75" t="str">
        <f>IF(AND(OR(LEFT(TH!N2290,2)="15",LEFT(TH!O2290,2)="15"),TK!$E$7=TH!F2290),"x","")</f>
        <v/>
      </c>
      <c r="AD2290" s="75" t="str">
        <f>IF(AND(N2290="1521",MONTH(C2290)='BK-NL'!$M$11),"x","")</f>
        <v/>
      </c>
    </row>
    <row r="2291" spans="1:30" ht="16.5" customHeight="1">
      <c r="A2291" s="309" t="str">
        <f>IF(B2291&lt;&gt;"",IF(AND(B2291='IN-TC'!$S$4,OR(TH!N2291="1111",TH!O2291="1111")),TH!D2291,""),"")</f>
        <v/>
      </c>
      <c r="B2291" s="1159">
        <f t="shared" ref="B2291:B2293" si="717">IF(C2291&lt;&gt;"",MONTH(C2291),"")</f>
        <v>12</v>
      </c>
      <c r="C2291" s="252">
        <v>43077</v>
      </c>
      <c r="D2291" s="252" t="s">
        <v>819</v>
      </c>
      <c r="E2291" s="252">
        <f t="shared" ref="E2291:E2293" si="718">C2291</f>
        <v>43077</v>
      </c>
      <c r="F2291" s="1055" t="s">
        <v>2399</v>
      </c>
      <c r="G2291" s="1056" t="s">
        <v>2740</v>
      </c>
      <c r="H2291" s="735" t="s">
        <v>1859</v>
      </c>
      <c r="I2291" s="371">
        <v>54040</v>
      </c>
      <c r="J2291" s="371">
        <v>1.8</v>
      </c>
      <c r="K2291" s="371">
        <f t="shared" ref="K2291:K2293" si="719">I2291*J2291</f>
        <v>97272</v>
      </c>
      <c r="L2291" s="377">
        <v>22685</v>
      </c>
      <c r="M2291" s="933">
        <f t="shared" si="716"/>
        <v>2206615320</v>
      </c>
      <c r="N2291" s="977" t="s">
        <v>536</v>
      </c>
      <c r="O2291" s="977" t="s">
        <v>288</v>
      </c>
      <c r="P2291" s="75" t="str">
        <f>IF(AND('331-CT'!$E$7=TH!H2291,OR(N2291="331",O2291="331")),"x","")</f>
        <v/>
      </c>
      <c r="Q2291" s="75" t="str">
        <f>IF(AND(B2291='111'!$L$11,OR($N2291=$Q$7,$O2291=$Q$7)),"x","")</f>
        <v/>
      </c>
      <c r="R2291" s="75" t="str">
        <f>IF(AND($N2291=$Q$7,$B2291&lt;'111'!$L$11),"x","")</f>
        <v/>
      </c>
      <c r="S2291" s="75" t="str">
        <f>IF(AND($O2291=$Q$7,$B2291&lt;'111'!$L$11),"x","")</f>
        <v/>
      </c>
      <c r="T2291" s="75" t="str">
        <f>IF(ISERROR(FIND('112'!$M$9,G2291,1)),"",IF((AND(FIND('112'!$M$9,G2291,1)&gt;=1,B2291='112'!$K$9,OR($N2291='112'!$I$6,$O2291='112'!$I$6))),"x",""))</f>
        <v/>
      </c>
      <c r="U2291" s="75" t="str">
        <f>IF(ISERROR(FIND('112'!$M$9,G2291,1)),"",IF((AND(LEFT(G2291,2)=LEFT('112'!$M$9,2),B2291&lt;'112'!$K$9,$N2291='112'!$I$6)),"x",""))</f>
        <v/>
      </c>
      <c r="V2291" s="75" t="str">
        <f>IF(ISERROR(FIND('112'!$M$9,G2291,1)),"",IF((AND(RIGHT(G2291,2)=RIGHT('112'!$M$9,2),B2291&lt;'112'!$K$9,$O2291='112'!$I$6)),"x",""))</f>
        <v/>
      </c>
      <c r="W2291" s="75" t="str">
        <f>IF(AND('341-CT'!$H$9=H2291,OR(LEFT(N2291,3)=$W$7,LEFT(O2291,3)=$W$7)),"x","")</f>
        <v/>
      </c>
      <c r="X2291" s="75" t="str">
        <f>IF(OR(TH!N2291=TH!$X$7,O2291=TH!$X$7),"x","")</f>
        <v/>
      </c>
      <c r="Y2291" s="75" t="str">
        <f>IF(AND(OR(N2291="131",O2291="131"),H2291='131-CT'!$H$9),"x","")</f>
        <v/>
      </c>
      <c r="Z2291" s="75"/>
      <c r="AA2291" s="75" t="str">
        <f>IF(AND(MONTH(E2291)='IN-NX'!$J$5,'IN-NX'!$D$7=D2291),"x","")</f>
        <v/>
      </c>
      <c r="AB2291" s="75" t="str">
        <f>IF(AND(OR(LEFT(TH!N2291,2)="15",LEFT(TH!O2291,2)="15"),LEFT(TH!O2291,3)&lt;&gt;"111",'152-CT'!$J$8=TH!F2291),"x","")</f>
        <v/>
      </c>
      <c r="AC2291" s="75" t="str">
        <f>IF(AND(OR(LEFT(TH!N2291,2)="15",LEFT(TH!O2291,2)="15"),TK!$E$7=TH!F2291),"x","")</f>
        <v/>
      </c>
      <c r="AD2291" s="75" t="str">
        <f>IF(AND(N2291="1521",MONTH(C2291)='BK-NL'!$M$11),"x","")</f>
        <v/>
      </c>
    </row>
    <row r="2292" spans="1:30" ht="16.5" customHeight="1">
      <c r="A2292" s="309" t="str">
        <f>IF(B2292&lt;&gt;"",IF(AND(B2292='IN-TC'!$S$4,OR(TH!N2292="1111",TH!O2292="1111")),TH!D2292,""),"")</f>
        <v/>
      </c>
      <c r="B2292" s="1159">
        <f t="shared" ref="B2292" si="720">IF(C2292&lt;&gt;"",MONTH(C2292),"")</f>
        <v>12</v>
      </c>
      <c r="C2292" s="252">
        <v>43077</v>
      </c>
      <c r="D2292" s="252" t="s">
        <v>819</v>
      </c>
      <c r="E2292" s="252">
        <f t="shared" ref="E2292" si="721">C2292</f>
        <v>43077</v>
      </c>
      <c r="F2292" s="1055" t="s">
        <v>2399</v>
      </c>
      <c r="G2292" s="1056" t="s">
        <v>2740</v>
      </c>
      <c r="H2292" s="735" t="s">
        <v>1859</v>
      </c>
      <c r="I2292" s="371">
        <v>79170</v>
      </c>
      <c r="J2292" s="371">
        <v>1.8</v>
      </c>
      <c r="K2292" s="371">
        <f t="shared" ref="K2292" si="722">I2292*J2292</f>
        <v>142506</v>
      </c>
      <c r="L2292" s="377">
        <v>22685</v>
      </c>
      <c r="M2292" s="933">
        <f t="shared" si="716"/>
        <v>3232748610</v>
      </c>
      <c r="N2292" s="977" t="s">
        <v>536</v>
      </c>
      <c r="O2292" s="977" t="s">
        <v>288</v>
      </c>
      <c r="P2292" s="75" t="str">
        <f>IF(AND('331-CT'!$E$7=TH!H2292,OR(N2292="331",O2292="331")),"x","")</f>
        <v/>
      </c>
      <c r="Q2292" s="75" t="str">
        <f>IF(AND(B2292='111'!$L$11,OR($N2292=$Q$7,$O2292=$Q$7)),"x","")</f>
        <v/>
      </c>
      <c r="R2292" s="75" t="str">
        <f>IF(AND($N2292=$Q$7,$B2292&lt;'111'!$L$11),"x","")</f>
        <v/>
      </c>
      <c r="S2292" s="75" t="str">
        <f>IF(AND($O2292=$Q$7,$B2292&lt;'111'!$L$11),"x","")</f>
        <v/>
      </c>
      <c r="T2292" s="75" t="str">
        <f>IF(ISERROR(FIND('112'!$M$9,G2292,1)),"",IF((AND(FIND('112'!$M$9,G2292,1)&gt;=1,B2292='112'!$K$9,OR($N2292='112'!$I$6,$O2292='112'!$I$6))),"x",""))</f>
        <v/>
      </c>
      <c r="U2292" s="75" t="str">
        <f>IF(ISERROR(FIND('112'!$M$9,G2292,1)),"",IF((AND(LEFT(G2292,2)=LEFT('112'!$M$9,2),B2292&lt;'112'!$K$9,$N2292='112'!$I$6)),"x",""))</f>
        <v/>
      </c>
      <c r="V2292" s="75" t="str">
        <f>IF(ISERROR(FIND('112'!$M$9,G2292,1)),"",IF((AND(RIGHT(G2292,2)=RIGHT('112'!$M$9,2),B2292&lt;'112'!$K$9,$O2292='112'!$I$6)),"x",""))</f>
        <v/>
      </c>
      <c r="W2292" s="75" t="str">
        <f>IF(AND('341-CT'!$H$9=H2292,OR(LEFT(N2292,3)=$W$7,LEFT(O2292,3)=$W$7)),"x","")</f>
        <v/>
      </c>
      <c r="X2292" s="75" t="str">
        <f>IF(OR(TH!N2292=TH!$X$7,O2292=TH!$X$7),"x","")</f>
        <v/>
      </c>
      <c r="Y2292" s="75" t="str">
        <f>IF(AND(OR(N2292="131",O2292="131"),H2292='131-CT'!$H$9),"x","")</f>
        <v/>
      </c>
      <c r="Z2292" s="75"/>
      <c r="AA2292" s="75" t="str">
        <f>IF(AND(MONTH(E2292)='IN-NX'!$J$5,'IN-NX'!$D$7=D2292),"x","")</f>
        <v/>
      </c>
      <c r="AB2292" s="75" t="str">
        <f>IF(AND(OR(LEFT(TH!N2292,2)="15",LEFT(TH!O2292,2)="15"),LEFT(TH!O2292,3)&lt;&gt;"111",'152-CT'!$J$8=TH!F2292),"x","")</f>
        <v/>
      </c>
      <c r="AC2292" s="75" t="str">
        <f>IF(AND(OR(LEFT(TH!N2292,2)="15",LEFT(TH!O2292,2)="15"),TK!$E$7=TH!F2292),"x","")</f>
        <v/>
      </c>
      <c r="AD2292" s="75" t="str">
        <f>IF(AND(N2292="1521",MONTH(C2292)='BK-NL'!$M$11),"x","")</f>
        <v/>
      </c>
    </row>
    <row r="2293" spans="1:30" ht="16.5" customHeight="1">
      <c r="A2293" s="309" t="str">
        <f>IF(B2293&lt;&gt;"",IF(AND(B2293='IN-TC'!$S$4,OR(TH!N2293="1111",TH!O2293="1111")),TH!D2293,""),"")</f>
        <v/>
      </c>
      <c r="B2293" s="1159">
        <f t="shared" si="717"/>
        <v>12</v>
      </c>
      <c r="C2293" s="252">
        <v>43078</v>
      </c>
      <c r="D2293" s="252" t="s">
        <v>836</v>
      </c>
      <c r="E2293" s="252">
        <f t="shared" si="718"/>
        <v>43078</v>
      </c>
      <c r="F2293" s="1055" t="s">
        <v>2399</v>
      </c>
      <c r="G2293" s="1056" t="s">
        <v>2741</v>
      </c>
      <c r="H2293" s="735" t="s">
        <v>1859</v>
      </c>
      <c r="I2293" s="371">
        <v>79170</v>
      </c>
      <c r="J2293" s="371">
        <v>1.8</v>
      </c>
      <c r="K2293" s="371">
        <f t="shared" si="719"/>
        <v>142506</v>
      </c>
      <c r="L2293" s="377">
        <v>22685</v>
      </c>
      <c r="M2293" s="933">
        <f t="shared" si="716"/>
        <v>3232748610</v>
      </c>
      <c r="N2293" s="977" t="s">
        <v>536</v>
      </c>
      <c r="O2293" s="977" t="s">
        <v>288</v>
      </c>
      <c r="P2293" s="75" t="str">
        <f>IF(AND('331-CT'!$E$7=TH!H2293,OR(N2293="331",O2293="331")),"x","")</f>
        <v/>
      </c>
      <c r="Q2293" s="75" t="str">
        <f>IF(AND(B2293='111'!$L$11,OR($N2293=$Q$7,$O2293=$Q$7)),"x","")</f>
        <v/>
      </c>
      <c r="R2293" s="75" t="str">
        <f>IF(AND($N2293=$Q$7,$B2293&lt;'111'!$L$11),"x","")</f>
        <v/>
      </c>
      <c r="S2293" s="75" t="str">
        <f>IF(AND($O2293=$Q$7,$B2293&lt;'111'!$L$11),"x","")</f>
        <v/>
      </c>
      <c r="T2293" s="75" t="str">
        <f>IF(ISERROR(FIND('112'!$M$9,G2293,1)),"",IF((AND(FIND('112'!$M$9,G2293,1)&gt;=1,B2293='112'!$K$9,OR($N2293='112'!$I$6,$O2293='112'!$I$6))),"x",""))</f>
        <v/>
      </c>
      <c r="U2293" s="75" t="str">
        <f>IF(ISERROR(FIND('112'!$M$9,G2293,1)),"",IF((AND(LEFT(G2293,2)=LEFT('112'!$M$9,2),B2293&lt;'112'!$K$9,$N2293='112'!$I$6)),"x",""))</f>
        <v/>
      </c>
      <c r="V2293" s="75" t="str">
        <f>IF(ISERROR(FIND('112'!$M$9,G2293,1)),"",IF((AND(RIGHT(G2293,2)=RIGHT('112'!$M$9,2),B2293&lt;'112'!$K$9,$O2293='112'!$I$6)),"x",""))</f>
        <v/>
      </c>
      <c r="W2293" s="75" t="str">
        <f>IF(AND('341-CT'!$H$9=H2293,OR(LEFT(N2293,3)=$W$7,LEFT(O2293,3)=$W$7)),"x","")</f>
        <v/>
      </c>
      <c r="X2293" s="75" t="str">
        <f>IF(OR(TH!N2293=TH!$X$7,O2293=TH!$X$7),"x","")</f>
        <v/>
      </c>
      <c r="Y2293" s="75" t="str">
        <f>IF(AND(OR(N2293="131",O2293="131"),H2293='131-CT'!$H$9),"x","")</f>
        <v/>
      </c>
      <c r="Z2293" s="75"/>
      <c r="AA2293" s="75" t="str">
        <f>IF(AND(MONTH(E2293)='IN-NX'!$J$5,'IN-NX'!$D$7=D2293),"x","")</f>
        <v/>
      </c>
      <c r="AB2293" s="75" t="str">
        <f>IF(AND(OR(LEFT(TH!N2293,2)="15",LEFT(TH!O2293,2)="15"),LEFT(TH!O2293,3)&lt;&gt;"111",'152-CT'!$J$8=TH!F2293),"x","")</f>
        <v/>
      </c>
      <c r="AC2293" s="75" t="str">
        <f>IF(AND(OR(LEFT(TH!N2293,2)="15",LEFT(TH!O2293,2)="15"),TK!$E$7=TH!F2293),"x","")</f>
        <v/>
      </c>
      <c r="AD2293" s="75" t="str">
        <f>IF(AND(N2293="1521",MONTH(C2293)='BK-NL'!$M$11),"x","")</f>
        <v/>
      </c>
    </row>
    <row r="2294" spans="1:30" ht="16.5" customHeight="1">
      <c r="A2294" s="309" t="str">
        <f>IF(B2294&lt;&gt;"",IF(AND(B2294='IN-TC'!$S$4,OR(TH!N2294="1111",TH!O2294="1111")),TH!D2294,""),"")</f>
        <v/>
      </c>
      <c r="B2294" s="1159">
        <f t="shared" ref="B2294:B2295" si="723">IF(C2294&lt;&gt;"",MONTH(C2294),"")</f>
        <v>12</v>
      </c>
      <c r="C2294" s="252">
        <v>43081</v>
      </c>
      <c r="D2294" s="252" t="s">
        <v>838</v>
      </c>
      <c r="E2294" s="252">
        <f t="shared" ref="E2294:E2295" si="724">C2294</f>
        <v>43081</v>
      </c>
      <c r="F2294" s="1055" t="s">
        <v>426</v>
      </c>
      <c r="G2294" s="1056" t="s">
        <v>2748</v>
      </c>
      <c r="H2294" s="735" t="s">
        <v>738</v>
      </c>
      <c r="I2294" s="371">
        <v>4800</v>
      </c>
      <c r="J2294" s="371">
        <v>8.8000000000000007</v>
      </c>
      <c r="K2294" s="371">
        <f t="shared" ref="K2294:K2295" si="725">I2294*J2294</f>
        <v>42240</v>
      </c>
      <c r="L2294" s="377">
        <v>22680</v>
      </c>
      <c r="M2294" s="933">
        <f t="shared" si="716"/>
        <v>958003200</v>
      </c>
      <c r="N2294" s="977" t="s">
        <v>536</v>
      </c>
      <c r="O2294" s="977" t="s">
        <v>288</v>
      </c>
      <c r="P2294" s="75" t="str">
        <f>IF(AND('331-CT'!$E$7=TH!H2294,OR(N2294="331",O2294="331")),"x","")</f>
        <v/>
      </c>
      <c r="Q2294" s="75" t="str">
        <f>IF(AND(B2294='111'!$L$11,OR($N2294=$Q$7,$O2294=$Q$7)),"x","")</f>
        <v/>
      </c>
      <c r="R2294" s="75" t="str">
        <f>IF(AND($N2294=$Q$7,$B2294&lt;'111'!$L$11),"x","")</f>
        <v/>
      </c>
      <c r="S2294" s="75" t="str">
        <f>IF(AND($O2294=$Q$7,$B2294&lt;'111'!$L$11),"x","")</f>
        <v/>
      </c>
      <c r="T2294" s="75" t="str">
        <f>IF(ISERROR(FIND('112'!$M$9,G2294,1)),"",IF((AND(FIND('112'!$M$9,G2294,1)&gt;=1,B2294='112'!$K$9,OR($N2294='112'!$I$6,$O2294='112'!$I$6))),"x",""))</f>
        <v/>
      </c>
      <c r="U2294" s="75" t="str">
        <f>IF(ISERROR(FIND('112'!$M$9,G2294,1)),"",IF((AND(LEFT(G2294,2)=LEFT('112'!$M$9,2),B2294&lt;'112'!$K$9,$N2294='112'!$I$6)),"x",""))</f>
        <v/>
      </c>
      <c r="V2294" s="75" t="str">
        <f>IF(ISERROR(FIND('112'!$M$9,G2294,1)),"",IF((AND(RIGHT(G2294,2)=RIGHT('112'!$M$9,2),B2294&lt;'112'!$K$9,$O2294='112'!$I$6)),"x",""))</f>
        <v/>
      </c>
      <c r="W2294" s="75" t="str">
        <f>IF(AND('341-CT'!$H$9=H2294,OR(LEFT(N2294,3)=$W$7,LEFT(O2294,3)=$W$7)),"x","")</f>
        <v/>
      </c>
      <c r="X2294" s="75" t="str">
        <f>IF(OR(TH!N2294=TH!$X$7,O2294=TH!$X$7),"x","")</f>
        <v/>
      </c>
      <c r="Y2294" s="75" t="str">
        <f>IF(AND(OR(N2294="131",O2294="131"),H2294='131-CT'!$H$9),"x","")</f>
        <v/>
      </c>
      <c r="Z2294" s="75"/>
      <c r="AA2294" s="75" t="str">
        <f>IF(AND(MONTH(E2294)='IN-NX'!$J$5,'IN-NX'!$D$7=D2294),"x","")</f>
        <v/>
      </c>
      <c r="AB2294" s="75" t="str">
        <f>IF(AND(OR(LEFT(TH!N2294,2)="15",LEFT(TH!O2294,2)="15"),LEFT(TH!O2294,3)&lt;&gt;"111",'152-CT'!$J$8=TH!F2294),"x","")</f>
        <v/>
      </c>
      <c r="AC2294" s="75" t="str">
        <f>IF(AND(OR(LEFT(TH!N2294,2)="15",LEFT(TH!O2294,2)="15"),TK!$E$7=TH!F2294),"x","")</f>
        <v/>
      </c>
      <c r="AD2294" s="75" t="str">
        <f>IF(AND(N2294="1521",MONTH(C2294)='BK-NL'!$M$11),"x","")</f>
        <v/>
      </c>
    </row>
    <row r="2295" spans="1:30" ht="16.5" customHeight="1">
      <c r="A2295" s="309" t="str">
        <f>IF(B2295&lt;&gt;"",IF(AND(B2295='IN-TC'!$S$4,OR(TH!N2295="1111",TH!O2295="1111")),TH!D2295,""),"")</f>
        <v/>
      </c>
      <c r="B2295" s="1159">
        <f t="shared" si="723"/>
        <v>12</v>
      </c>
      <c r="C2295" s="252">
        <v>43084</v>
      </c>
      <c r="D2295" s="252" t="s">
        <v>863</v>
      </c>
      <c r="E2295" s="252">
        <f t="shared" si="724"/>
        <v>43084</v>
      </c>
      <c r="F2295" s="1055" t="s">
        <v>2399</v>
      </c>
      <c r="G2295" s="1056" t="s">
        <v>2759</v>
      </c>
      <c r="H2295" s="735" t="s">
        <v>1859</v>
      </c>
      <c r="I2295" s="371">
        <v>131950</v>
      </c>
      <c r="J2295" s="371">
        <v>1.8</v>
      </c>
      <c r="K2295" s="371">
        <f t="shared" si="725"/>
        <v>237510</v>
      </c>
      <c r="L2295" s="377">
        <v>22680</v>
      </c>
      <c r="M2295" s="933">
        <f t="shared" si="716"/>
        <v>5386726800</v>
      </c>
      <c r="N2295" s="977" t="s">
        <v>536</v>
      </c>
      <c r="O2295" s="977" t="s">
        <v>288</v>
      </c>
      <c r="P2295" s="75" t="str">
        <f>IF(AND('331-CT'!$E$7=TH!H2295,OR(N2295="331",O2295="331")),"x","")</f>
        <v/>
      </c>
      <c r="Q2295" s="75" t="str">
        <f>IF(AND(B2295='111'!$L$11,OR($N2295=$Q$7,$O2295=$Q$7)),"x","")</f>
        <v/>
      </c>
      <c r="R2295" s="75" t="str">
        <f>IF(AND($N2295=$Q$7,$B2295&lt;'111'!$L$11),"x","")</f>
        <v/>
      </c>
      <c r="S2295" s="75" t="str">
        <f>IF(AND($O2295=$Q$7,$B2295&lt;'111'!$L$11),"x","")</f>
        <v/>
      </c>
      <c r="T2295" s="75" t="str">
        <f>IF(ISERROR(FIND('112'!$M$9,G2295,1)),"",IF((AND(FIND('112'!$M$9,G2295,1)&gt;=1,B2295='112'!$K$9,OR($N2295='112'!$I$6,$O2295='112'!$I$6))),"x",""))</f>
        <v/>
      </c>
      <c r="U2295" s="75" t="str">
        <f>IF(ISERROR(FIND('112'!$M$9,G2295,1)),"",IF((AND(LEFT(G2295,2)=LEFT('112'!$M$9,2),B2295&lt;'112'!$K$9,$N2295='112'!$I$6)),"x",""))</f>
        <v/>
      </c>
      <c r="V2295" s="75" t="str">
        <f>IF(ISERROR(FIND('112'!$M$9,G2295,1)),"",IF((AND(RIGHT(G2295,2)=RIGHT('112'!$M$9,2),B2295&lt;'112'!$K$9,$O2295='112'!$I$6)),"x",""))</f>
        <v/>
      </c>
      <c r="W2295" s="75" t="str">
        <f>IF(AND('341-CT'!$H$9=H2295,OR(LEFT(N2295,3)=$W$7,LEFT(O2295,3)=$W$7)),"x","")</f>
        <v/>
      </c>
      <c r="X2295" s="75" t="str">
        <f>IF(OR(TH!N2295=TH!$X$7,O2295=TH!$X$7),"x","")</f>
        <v/>
      </c>
      <c r="Y2295" s="75" t="str">
        <f>IF(AND(OR(N2295="131",O2295="131"),H2295='131-CT'!$H$9),"x","")</f>
        <v/>
      </c>
      <c r="Z2295" s="75"/>
      <c r="AA2295" s="75" t="str">
        <f>IF(AND(MONTH(E2295)='IN-NX'!$J$5,'IN-NX'!$D$7=D2295),"x","")</f>
        <v/>
      </c>
      <c r="AB2295" s="75" t="str">
        <f>IF(AND(OR(LEFT(TH!N2295,2)="15",LEFT(TH!O2295,2)="15"),LEFT(TH!O2295,3)&lt;&gt;"111",'152-CT'!$J$8=TH!F2295),"x","")</f>
        <v/>
      </c>
      <c r="AC2295" s="75" t="str">
        <f>IF(AND(OR(LEFT(TH!N2295,2)="15",LEFT(TH!O2295,2)="15"),TK!$E$7=TH!F2295),"x","")</f>
        <v/>
      </c>
      <c r="AD2295" s="75" t="str">
        <f>IF(AND(N2295="1521",MONTH(C2295)='BK-NL'!$M$11),"x","")</f>
        <v/>
      </c>
    </row>
    <row r="2296" spans="1:30" ht="16.5" customHeight="1">
      <c r="A2296" s="309" t="str">
        <f>IF(B2296&lt;&gt;"",IF(AND(B2296='IN-TC'!$S$4,OR(TH!N2296="1111",TH!O2296="1111")),TH!D2296,""),"")</f>
        <v/>
      </c>
      <c r="B2296" s="1159">
        <f t="shared" ref="B2296:B2299" si="726">IF(C2296&lt;&gt;"",MONTH(C2296),"")</f>
        <v>12</v>
      </c>
      <c r="C2296" s="252">
        <v>43087</v>
      </c>
      <c r="D2296" s="252" t="s">
        <v>864</v>
      </c>
      <c r="E2296" s="252">
        <f t="shared" ref="E2296:E2299" si="727">C2296</f>
        <v>43087</v>
      </c>
      <c r="F2296" s="1055" t="s">
        <v>1588</v>
      </c>
      <c r="G2296" s="1056" t="s">
        <v>2760</v>
      </c>
      <c r="H2296" s="735" t="s">
        <v>2762</v>
      </c>
      <c r="I2296" s="371">
        <v>1000</v>
      </c>
      <c r="J2296" s="371">
        <v>10.3</v>
      </c>
      <c r="K2296" s="371">
        <f t="shared" ref="K2296:K2299" si="728">I2296*J2296</f>
        <v>10300</v>
      </c>
      <c r="L2296" s="377">
        <v>22680</v>
      </c>
      <c r="M2296" s="933">
        <f t="shared" si="716"/>
        <v>233604000</v>
      </c>
      <c r="N2296" s="977" t="s">
        <v>536</v>
      </c>
      <c r="O2296" s="977" t="s">
        <v>288</v>
      </c>
      <c r="P2296" s="75" t="str">
        <f>IF(AND('331-CT'!$E$7=TH!H2296,OR(N2296="331",O2296="331")),"x","")</f>
        <v/>
      </c>
      <c r="Q2296" s="75" t="str">
        <f>IF(AND(B2296='111'!$L$11,OR($N2296=$Q$7,$O2296=$Q$7)),"x","")</f>
        <v/>
      </c>
      <c r="R2296" s="75" t="str">
        <f>IF(AND($N2296=$Q$7,$B2296&lt;'111'!$L$11),"x","")</f>
        <v/>
      </c>
      <c r="S2296" s="75" t="str">
        <f>IF(AND($O2296=$Q$7,$B2296&lt;'111'!$L$11),"x","")</f>
        <v/>
      </c>
      <c r="T2296" s="75" t="str">
        <f>IF(ISERROR(FIND('112'!$M$9,G2296,1)),"",IF((AND(FIND('112'!$M$9,G2296,1)&gt;=1,B2296='112'!$K$9,OR($N2296='112'!$I$6,$O2296='112'!$I$6))),"x",""))</f>
        <v/>
      </c>
      <c r="U2296" s="75" t="str">
        <f>IF(ISERROR(FIND('112'!$M$9,G2296,1)),"",IF((AND(LEFT(G2296,2)=LEFT('112'!$M$9,2),B2296&lt;'112'!$K$9,$N2296='112'!$I$6)),"x",""))</f>
        <v/>
      </c>
      <c r="V2296" s="75" t="str">
        <f>IF(ISERROR(FIND('112'!$M$9,G2296,1)),"",IF((AND(RIGHT(G2296,2)=RIGHT('112'!$M$9,2),B2296&lt;'112'!$K$9,$O2296='112'!$I$6)),"x",""))</f>
        <v/>
      </c>
      <c r="W2296" s="75" t="str">
        <f>IF(AND('341-CT'!$H$9=H2296,OR(LEFT(N2296,3)=$W$7,LEFT(O2296,3)=$W$7)),"x","")</f>
        <v/>
      </c>
      <c r="X2296" s="75" t="str">
        <f>IF(OR(TH!N2296=TH!$X$7,O2296=TH!$X$7),"x","")</f>
        <v/>
      </c>
      <c r="Y2296" s="75" t="str">
        <f>IF(AND(OR(N2296="131",O2296="131"),H2296='131-CT'!$H$9),"x","")</f>
        <v/>
      </c>
      <c r="Z2296" s="75"/>
      <c r="AA2296" s="75" t="str">
        <f>IF(AND(MONTH(E2296)='IN-NX'!$J$5,'IN-NX'!$D$7=D2296),"x","")</f>
        <v/>
      </c>
      <c r="AB2296" s="75" t="str">
        <f>IF(AND(OR(LEFT(TH!N2296,2)="15",LEFT(TH!O2296,2)="15"),LEFT(TH!O2296,3)&lt;&gt;"111",'152-CT'!$J$8=TH!F2296),"x","")</f>
        <v/>
      </c>
      <c r="AC2296" s="75" t="str">
        <f>IF(AND(OR(LEFT(TH!N2296,2)="15",LEFT(TH!O2296,2)="15"),TK!$E$7=TH!F2296),"x","")</f>
        <v/>
      </c>
      <c r="AD2296" s="75" t="str">
        <f>IF(AND(N2296="1521",MONTH(C2296)='BK-NL'!$M$11),"x","")</f>
        <v/>
      </c>
    </row>
    <row r="2297" spans="1:30" ht="16.5" customHeight="1">
      <c r="A2297" s="309" t="str">
        <f>IF(B2297&lt;&gt;"",IF(AND(B2297='IN-TC'!$S$4,OR(TH!N2297="1111",TH!O2297="1111")),TH!D2297,""),"")</f>
        <v/>
      </c>
      <c r="B2297" s="1159">
        <f t="shared" si="726"/>
        <v>12</v>
      </c>
      <c r="C2297" s="252">
        <v>43087</v>
      </c>
      <c r="D2297" s="252" t="s">
        <v>864</v>
      </c>
      <c r="E2297" s="252">
        <f t="shared" si="727"/>
        <v>43087</v>
      </c>
      <c r="F2297" s="1055" t="s">
        <v>1639</v>
      </c>
      <c r="G2297" s="1056" t="s">
        <v>2760</v>
      </c>
      <c r="H2297" s="735" t="s">
        <v>2762</v>
      </c>
      <c r="I2297" s="371">
        <v>1000</v>
      </c>
      <c r="J2297" s="371">
        <v>4.8499999999999996</v>
      </c>
      <c r="K2297" s="371">
        <f t="shared" si="728"/>
        <v>4850</v>
      </c>
      <c r="L2297" s="377">
        <v>22680</v>
      </c>
      <c r="M2297" s="933">
        <f t="shared" si="716"/>
        <v>109998000</v>
      </c>
      <c r="N2297" s="977" t="s">
        <v>536</v>
      </c>
      <c r="O2297" s="977" t="s">
        <v>288</v>
      </c>
      <c r="P2297" s="75" t="str">
        <f>IF(AND('331-CT'!$E$7=TH!H2297,OR(N2297="331",O2297="331")),"x","")</f>
        <v/>
      </c>
      <c r="Q2297" s="75" t="str">
        <f>IF(AND(B2297='111'!$L$11,OR($N2297=$Q$7,$O2297=$Q$7)),"x","")</f>
        <v/>
      </c>
      <c r="R2297" s="75" t="str">
        <f>IF(AND($N2297=$Q$7,$B2297&lt;'111'!$L$11),"x","")</f>
        <v/>
      </c>
      <c r="S2297" s="75" t="str">
        <f>IF(AND($O2297=$Q$7,$B2297&lt;'111'!$L$11),"x","")</f>
        <v/>
      </c>
      <c r="T2297" s="75" t="str">
        <f>IF(ISERROR(FIND('112'!$M$9,G2297,1)),"",IF((AND(FIND('112'!$M$9,G2297,1)&gt;=1,B2297='112'!$K$9,OR($N2297='112'!$I$6,$O2297='112'!$I$6))),"x",""))</f>
        <v/>
      </c>
      <c r="U2297" s="75" t="str">
        <f>IF(ISERROR(FIND('112'!$M$9,G2297,1)),"",IF((AND(LEFT(G2297,2)=LEFT('112'!$M$9,2),B2297&lt;'112'!$K$9,$N2297='112'!$I$6)),"x",""))</f>
        <v/>
      </c>
      <c r="V2297" s="75" t="str">
        <f>IF(ISERROR(FIND('112'!$M$9,G2297,1)),"",IF((AND(RIGHT(G2297,2)=RIGHT('112'!$M$9,2),B2297&lt;'112'!$K$9,$O2297='112'!$I$6)),"x",""))</f>
        <v/>
      </c>
      <c r="W2297" s="75" t="str">
        <f>IF(AND('341-CT'!$H$9=H2297,OR(LEFT(N2297,3)=$W$7,LEFT(O2297,3)=$W$7)),"x","")</f>
        <v/>
      </c>
      <c r="X2297" s="75" t="str">
        <f>IF(OR(TH!N2297=TH!$X$7,O2297=TH!$X$7),"x","")</f>
        <v/>
      </c>
      <c r="Y2297" s="75" t="str">
        <f>IF(AND(OR(N2297="131",O2297="131"),H2297='131-CT'!$H$9),"x","")</f>
        <v/>
      </c>
      <c r="Z2297" s="75"/>
      <c r="AA2297" s="75" t="str">
        <f>IF(AND(MONTH(E2297)='IN-NX'!$J$5,'IN-NX'!$D$7=D2297),"x","")</f>
        <v/>
      </c>
      <c r="AB2297" s="75" t="str">
        <f>IF(AND(OR(LEFT(TH!N2297,2)="15",LEFT(TH!O2297,2)="15"),LEFT(TH!O2297,3)&lt;&gt;"111",'152-CT'!$J$8=TH!F2297),"x","")</f>
        <v/>
      </c>
      <c r="AC2297" s="75" t="str">
        <f>IF(AND(OR(LEFT(TH!N2297,2)="15",LEFT(TH!O2297,2)="15"),TK!$E$7=TH!F2297),"x","")</f>
        <v/>
      </c>
      <c r="AD2297" s="75" t="str">
        <f>IF(AND(N2297="1521",MONTH(C2297)='BK-NL'!$M$11),"x","")</f>
        <v/>
      </c>
    </row>
    <row r="2298" spans="1:30" ht="16.5" customHeight="1">
      <c r="A2298" s="309" t="str">
        <f>IF(B2298&lt;&gt;"",IF(AND(B2298='IN-TC'!$S$4,OR(TH!N2298="1111",TH!O2298="1111")),TH!D2298,""),"")</f>
        <v/>
      </c>
      <c r="B2298" s="1159">
        <f t="shared" si="726"/>
        <v>12</v>
      </c>
      <c r="C2298" s="252">
        <v>43087</v>
      </c>
      <c r="D2298" s="252" t="s">
        <v>864</v>
      </c>
      <c r="E2298" s="252">
        <f t="shared" si="727"/>
        <v>43087</v>
      </c>
      <c r="F2298" s="1055" t="s">
        <v>1755</v>
      </c>
      <c r="G2298" s="1056" t="s">
        <v>2760</v>
      </c>
      <c r="H2298" s="735" t="s">
        <v>2762</v>
      </c>
      <c r="I2298" s="371">
        <v>1000</v>
      </c>
      <c r="J2298" s="371">
        <v>8.1</v>
      </c>
      <c r="K2298" s="371">
        <f t="shared" si="728"/>
        <v>8100</v>
      </c>
      <c r="L2298" s="377">
        <v>22680</v>
      </c>
      <c r="M2298" s="933">
        <f t="shared" si="716"/>
        <v>183708000</v>
      </c>
      <c r="N2298" s="977" t="s">
        <v>536</v>
      </c>
      <c r="O2298" s="977" t="s">
        <v>288</v>
      </c>
      <c r="P2298" s="75" t="str">
        <f>IF(AND('331-CT'!$E$7=TH!H2298,OR(N2298="331",O2298="331")),"x","")</f>
        <v/>
      </c>
      <c r="Q2298" s="75" t="str">
        <f>IF(AND(B2298='111'!$L$11,OR($N2298=$Q$7,$O2298=$Q$7)),"x","")</f>
        <v/>
      </c>
      <c r="R2298" s="75" t="str">
        <f>IF(AND($N2298=$Q$7,$B2298&lt;'111'!$L$11),"x","")</f>
        <v/>
      </c>
      <c r="S2298" s="75" t="str">
        <f>IF(AND($O2298=$Q$7,$B2298&lt;'111'!$L$11),"x","")</f>
        <v/>
      </c>
      <c r="T2298" s="75" t="str">
        <f>IF(ISERROR(FIND('112'!$M$9,G2298,1)),"",IF((AND(FIND('112'!$M$9,G2298,1)&gt;=1,B2298='112'!$K$9,OR($N2298='112'!$I$6,$O2298='112'!$I$6))),"x",""))</f>
        <v/>
      </c>
      <c r="U2298" s="75" t="str">
        <f>IF(ISERROR(FIND('112'!$M$9,G2298,1)),"",IF((AND(LEFT(G2298,2)=LEFT('112'!$M$9,2),B2298&lt;'112'!$K$9,$N2298='112'!$I$6)),"x",""))</f>
        <v/>
      </c>
      <c r="V2298" s="75" t="str">
        <f>IF(ISERROR(FIND('112'!$M$9,G2298,1)),"",IF((AND(RIGHT(G2298,2)=RIGHT('112'!$M$9,2),B2298&lt;'112'!$K$9,$O2298='112'!$I$6)),"x",""))</f>
        <v/>
      </c>
      <c r="W2298" s="75" t="str">
        <f>IF(AND('341-CT'!$H$9=H2298,OR(LEFT(N2298,3)=$W$7,LEFT(O2298,3)=$W$7)),"x","")</f>
        <v/>
      </c>
      <c r="X2298" s="75" t="str">
        <f>IF(OR(TH!N2298=TH!$X$7,O2298=TH!$X$7),"x","")</f>
        <v/>
      </c>
      <c r="Y2298" s="75" t="str">
        <f>IF(AND(OR(N2298="131",O2298="131"),H2298='131-CT'!$H$9),"x","")</f>
        <v/>
      </c>
      <c r="Z2298" s="75"/>
      <c r="AA2298" s="75" t="str">
        <f>IF(AND(MONTH(E2298)='IN-NX'!$J$5,'IN-NX'!$D$7=D2298),"x","")</f>
        <v/>
      </c>
      <c r="AB2298" s="75" t="str">
        <f>IF(AND(OR(LEFT(TH!N2298,2)="15",LEFT(TH!O2298,2)="15"),LEFT(TH!O2298,3)&lt;&gt;"111",'152-CT'!$J$8=TH!F2298),"x","")</f>
        <v/>
      </c>
      <c r="AC2298" s="75" t="str">
        <f>IF(AND(OR(LEFT(TH!N2298,2)="15",LEFT(TH!O2298,2)="15"),TK!$E$7=TH!F2298),"x","")</f>
        <v/>
      </c>
      <c r="AD2298" s="75" t="str">
        <f>IF(AND(N2298="1521",MONTH(C2298)='BK-NL'!$M$11),"x","")</f>
        <v/>
      </c>
    </row>
    <row r="2299" spans="1:30" ht="16.5" customHeight="1">
      <c r="A2299" s="309" t="str">
        <f>IF(B2299&lt;&gt;"",IF(AND(B2299='IN-TC'!$S$4,OR(TH!N2299="1111",TH!O2299="1111")),TH!D2299,""),"")</f>
        <v/>
      </c>
      <c r="B2299" s="1159">
        <f t="shared" si="726"/>
        <v>12</v>
      </c>
      <c r="C2299" s="252">
        <v>43087</v>
      </c>
      <c r="D2299" s="252" t="s">
        <v>894</v>
      </c>
      <c r="E2299" s="252">
        <f t="shared" si="727"/>
        <v>43087</v>
      </c>
      <c r="F2299" s="1055" t="s">
        <v>1584</v>
      </c>
      <c r="G2299" s="1056" t="s">
        <v>2761</v>
      </c>
      <c r="H2299" s="735" t="s">
        <v>546</v>
      </c>
      <c r="I2299" s="371">
        <v>2880</v>
      </c>
      <c r="J2299" s="371">
        <v>9.1</v>
      </c>
      <c r="K2299" s="371">
        <f t="shared" si="728"/>
        <v>26208</v>
      </c>
      <c r="L2299" s="377">
        <v>22680</v>
      </c>
      <c r="M2299" s="933">
        <f t="shared" si="716"/>
        <v>594397440</v>
      </c>
      <c r="N2299" s="977" t="s">
        <v>536</v>
      </c>
      <c r="O2299" s="977" t="s">
        <v>288</v>
      </c>
      <c r="P2299" s="75" t="str">
        <f>IF(AND('331-CT'!$E$7=TH!H2299,OR(N2299="331",O2299="331")),"x","")</f>
        <v/>
      </c>
      <c r="Q2299" s="75" t="str">
        <f>IF(AND(B2299='111'!$L$11,OR($N2299=$Q$7,$O2299=$Q$7)),"x","")</f>
        <v/>
      </c>
      <c r="R2299" s="75" t="str">
        <f>IF(AND($N2299=$Q$7,$B2299&lt;'111'!$L$11),"x","")</f>
        <v/>
      </c>
      <c r="S2299" s="75" t="str">
        <f>IF(AND($O2299=$Q$7,$B2299&lt;'111'!$L$11),"x","")</f>
        <v/>
      </c>
      <c r="T2299" s="75" t="str">
        <f>IF(ISERROR(FIND('112'!$M$9,G2299,1)),"",IF((AND(FIND('112'!$M$9,G2299,1)&gt;=1,B2299='112'!$K$9,OR($N2299='112'!$I$6,$O2299='112'!$I$6))),"x",""))</f>
        <v/>
      </c>
      <c r="U2299" s="75" t="str">
        <f>IF(ISERROR(FIND('112'!$M$9,G2299,1)),"",IF((AND(LEFT(G2299,2)=LEFT('112'!$M$9,2),B2299&lt;'112'!$K$9,$N2299='112'!$I$6)),"x",""))</f>
        <v/>
      </c>
      <c r="V2299" s="75" t="str">
        <f>IF(ISERROR(FIND('112'!$M$9,G2299,1)),"",IF((AND(RIGHT(G2299,2)=RIGHT('112'!$M$9,2),B2299&lt;'112'!$K$9,$O2299='112'!$I$6)),"x",""))</f>
        <v/>
      </c>
      <c r="W2299" s="75" t="str">
        <f>IF(AND('341-CT'!$H$9=H2299,OR(LEFT(N2299,3)=$W$7,LEFT(O2299,3)=$W$7)),"x","")</f>
        <v/>
      </c>
      <c r="X2299" s="75" t="str">
        <f>IF(OR(TH!N2299=TH!$X$7,O2299=TH!$X$7),"x","")</f>
        <v/>
      </c>
      <c r="Y2299" s="75" t="str">
        <f>IF(AND(OR(N2299="131",O2299="131"),H2299='131-CT'!$H$9),"x","")</f>
        <v/>
      </c>
      <c r="Z2299" s="75"/>
      <c r="AA2299" s="75" t="str">
        <f>IF(AND(MONTH(E2299)='IN-NX'!$J$5,'IN-NX'!$D$7=D2299),"x","")</f>
        <v/>
      </c>
      <c r="AB2299" s="75" t="str">
        <f>IF(AND(OR(LEFT(TH!N2299,2)="15",LEFT(TH!O2299,2)="15"),LEFT(TH!O2299,3)&lt;&gt;"111",'152-CT'!$J$8=TH!F2299),"x","")</f>
        <v/>
      </c>
      <c r="AC2299" s="75" t="str">
        <f>IF(AND(OR(LEFT(TH!N2299,2)="15",LEFT(TH!O2299,2)="15"),TK!$E$7=TH!F2299),"x","")</f>
        <v/>
      </c>
      <c r="AD2299" s="75" t="str">
        <f>IF(AND(N2299="1521",MONTH(C2299)='BK-NL'!$M$11),"x","")</f>
        <v/>
      </c>
    </row>
    <row r="2300" spans="1:30" ht="16.5" customHeight="1">
      <c r="A2300" s="309" t="str">
        <f>IF(B2300&lt;&gt;"",IF(AND(B2300='IN-TC'!$S$4,OR(TH!N2300="1111",TH!O2300="1111")),TH!D2300,""),"")</f>
        <v/>
      </c>
      <c r="B2300" s="1159">
        <f t="shared" ref="B2300" si="729">IF(C2300&lt;&gt;"",MONTH(C2300),"")</f>
        <v>12</v>
      </c>
      <c r="C2300" s="252">
        <v>43090</v>
      </c>
      <c r="D2300" s="252" t="s">
        <v>1404</v>
      </c>
      <c r="E2300" s="252">
        <f t="shared" ref="E2300" si="730">C2300</f>
        <v>43090</v>
      </c>
      <c r="F2300" s="1055" t="s">
        <v>2787</v>
      </c>
      <c r="G2300" s="1056" t="s">
        <v>2792</v>
      </c>
      <c r="H2300" s="735" t="s">
        <v>1139</v>
      </c>
      <c r="I2300" s="371">
        <v>80</v>
      </c>
      <c r="J2300" s="371">
        <v>12.3</v>
      </c>
      <c r="K2300" s="371">
        <f t="shared" ref="K2300" si="731">I2300*J2300</f>
        <v>984</v>
      </c>
      <c r="L2300" s="377">
        <v>22680</v>
      </c>
      <c r="M2300" s="933">
        <f t="shared" si="716"/>
        <v>22317120</v>
      </c>
      <c r="N2300" s="977" t="s">
        <v>536</v>
      </c>
      <c r="O2300" s="977" t="s">
        <v>288</v>
      </c>
      <c r="P2300" s="75" t="str">
        <f>IF(AND('331-CT'!$E$7=TH!H2300,OR(N2300="331",O2300="331")),"x","")</f>
        <v/>
      </c>
      <c r="Q2300" s="75" t="str">
        <f>IF(AND(B2300='111'!$L$11,OR($N2300=$Q$7,$O2300=$Q$7)),"x","")</f>
        <v/>
      </c>
      <c r="R2300" s="75" t="str">
        <f>IF(AND($N2300=$Q$7,$B2300&lt;'111'!$L$11),"x","")</f>
        <v/>
      </c>
      <c r="S2300" s="75" t="str">
        <f>IF(AND($O2300=$Q$7,$B2300&lt;'111'!$L$11),"x","")</f>
        <v/>
      </c>
      <c r="T2300" s="75" t="str">
        <f>IF(ISERROR(FIND('112'!$M$9,G2300,1)),"",IF((AND(FIND('112'!$M$9,G2300,1)&gt;=1,B2300='112'!$K$9,OR($N2300='112'!$I$6,$O2300='112'!$I$6))),"x",""))</f>
        <v/>
      </c>
      <c r="U2300" s="75" t="str">
        <f>IF(ISERROR(FIND('112'!$M$9,G2300,1)),"",IF((AND(LEFT(G2300,2)=LEFT('112'!$M$9,2),B2300&lt;'112'!$K$9,$N2300='112'!$I$6)),"x",""))</f>
        <v/>
      </c>
      <c r="V2300" s="75" t="str">
        <f>IF(ISERROR(FIND('112'!$M$9,G2300,1)),"",IF((AND(RIGHT(G2300,2)=RIGHT('112'!$M$9,2),B2300&lt;'112'!$K$9,$O2300='112'!$I$6)),"x",""))</f>
        <v/>
      </c>
      <c r="W2300" s="75" t="str">
        <f>IF(AND('341-CT'!$H$9=H2300,OR(LEFT(N2300,3)=$W$7,LEFT(O2300,3)=$W$7)),"x","")</f>
        <v/>
      </c>
      <c r="X2300" s="75" t="str">
        <f>IF(OR(TH!N2300=TH!$X$7,O2300=TH!$X$7),"x","")</f>
        <v/>
      </c>
      <c r="Y2300" s="75" t="str">
        <f>IF(AND(OR(N2300="131",O2300="131"),H2300='131-CT'!$H$9),"x","")</f>
        <v/>
      </c>
      <c r="Z2300" s="75"/>
      <c r="AA2300" s="75" t="str">
        <f>IF(AND(MONTH(E2300)='IN-NX'!$J$5,'IN-NX'!$D$7=D2300),"x","")</f>
        <v/>
      </c>
      <c r="AB2300" s="75" t="str">
        <f>IF(AND(OR(LEFT(TH!N2300,2)="15",LEFT(TH!O2300,2)="15"),LEFT(TH!O2300,3)&lt;&gt;"111",'152-CT'!$J$8=TH!F2300),"x","")</f>
        <v/>
      </c>
      <c r="AC2300" s="75" t="str">
        <f>IF(AND(OR(LEFT(TH!N2300,2)="15",LEFT(TH!O2300,2)="15"),TK!$E$7=TH!F2300),"x","")</f>
        <v/>
      </c>
      <c r="AD2300" s="75" t="str">
        <f>IF(AND(N2300="1521",MONTH(C2300)='BK-NL'!$M$11),"x","")</f>
        <v/>
      </c>
    </row>
    <row r="2301" spans="1:30" ht="16.5" customHeight="1">
      <c r="A2301" s="309" t="str">
        <f>IF(B2301&lt;&gt;"",IF(AND(B2301='IN-TC'!$S$4,OR(TH!N2301="1111",TH!O2301="1111")),TH!D2301,""),"")</f>
        <v/>
      </c>
      <c r="B2301" s="1159">
        <f t="shared" ref="B2301:B2307" si="732">IF(C2301&lt;&gt;"",MONTH(C2301),"")</f>
        <v>12</v>
      </c>
      <c r="C2301" s="252">
        <v>43090</v>
      </c>
      <c r="D2301" s="252" t="s">
        <v>1404</v>
      </c>
      <c r="E2301" s="252">
        <f t="shared" ref="E2301:E2307" si="733">C2301</f>
        <v>43090</v>
      </c>
      <c r="F2301" s="1055" t="s">
        <v>2791</v>
      </c>
      <c r="G2301" s="1056" t="s">
        <v>2792</v>
      </c>
      <c r="H2301" s="735" t="s">
        <v>1139</v>
      </c>
      <c r="I2301" s="371">
        <v>80</v>
      </c>
      <c r="J2301" s="371">
        <v>12.5</v>
      </c>
      <c r="K2301" s="371">
        <f t="shared" ref="K2301:K2307" si="734">I2301*J2301</f>
        <v>1000</v>
      </c>
      <c r="L2301" s="377">
        <v>22680</v>
      </c>
      <c r="M2301" s="933">
        <f t="shared" si="716"/>
        <v>22680000</v>
      </c>
      <c r="N2301" s="977" t="s">
        <v>536</v>
      </c>
      <c r="O2301" s="977" t="s">
        <v>288</v>
      </c>
      <c r="P2301" s="75" t="str">
        <f>IF(AND('331-CT'!$E$7=TH!H2301,OR(N2301="331",O2301="331")),"x","")</f>
        <v/>
      </c>
      <c r="Q2301" s="75" t="str">
        <f>IF(AND(B2301='111'!$L$11,OR($N2301=$Q$7,$O2301=$Q$7)),"x","")</f>
        <v/>
      </c>
      <c r="R2301" s="75" t="str">
        <f>IF(AND($N2301=$Q$7,$B2301&lt;'111'!$L$11),"x","")</f>
        <v/>
      </c>
      <c r="S2301" s="75" t="str">
        <f>IF(AND($O2301=$Q$7,$B2301&lt;'111'!$L$11),"x","")</f>
        <v/>
      </c>
      <c r="T2301" s="75" t="str">
        <f>IF(ISERROR(FIND('112'!$M$9,G2301,1)),"",IF((AND(FIND('112'!$M$9,G2301,1)&gt;=1,B2301='112'!$K$9,OR($N2301='112'!$I$6,$O2301='112'!$I$6))),"x",""))</f>
        <v/>
      </c>
      <c r="U2301" s="75" t="str">
        <f>IF(ISERROR(FIND('112'!$M$9,G2301,1)),"",IF((AND(LEFT(G2301,2)=LEFT('112'!$M$9,2),B2301&lt;'112'!$K$9,$N2301='112'!$I$6)),"x",""))</f>
        <v/>
      </c>
      <c r="V2301" s="75" t="str">
        <f>IF(ISERROR(FIND('112'!$M$9,G2301,1)),"",IF((AND(RIGHT(G2301,2)=RIGHT('112'!$M$9,2),B2301&lt;'112'!$K$9,$O2301='112'!$I$6)),"x",""))</f>
        <v/>
      </c>
      <c r="W2301" s="75" t="str">
        <f>IF(AND('341-CT'!$H$9=H2301,OR(LEFT(N2301,3)=$W$7,LEFT(O2301,3)=$W$7)),"x","")</f>
        <v/>
      </c>
      <c r="X2301" s="75" t="str">
        <f>IF(OR(TH!N2301=TH!$X$7,O2301=TH!$X$7),"x","")</f>
        <v/>
      </c>
      <c r="Y2301" s="75" t="str">
        <f>IF(AND(OR(N2301="131",O2301="131"),H2301='131-CT'!$H$9),"x","")</f>
        <v/>
      </c>
      <c r="Z2301" s="75"/>
      <c r="AA2301" s="75" t="str">
        <f>IF(AND(MONTH(E2301)='IN-NX'!$J$5,'IN-NX'!$D$7=D2301),"x","")</f>
        <v/>
      </c>
      <c r="AB2301" s="75" t="str">
        <f>IF(AND(OR(LEFT(TH!N2301,2)="15",LEFT(TH!O2301,2)="15"),LEFT(TH!O2301,3)&lt;&gt;"111",'152-CT'!$J$8=TH!F2301),"x","")</f>
        <v/>
      </c>
      <c r="AC2301" s="75" t="str">
        <f>IF(AND(OR(LEFT(TH!N2301,2)="15",LEFT(TH!O2301,2)="15"),TK!$E$7=TH!F2301),"x","")</f>
        <v/>
      </c>
      <c r="AD2301" s="75" t="str">
        <f>IF(AND(N2301="1521",MONTH(C2301)='BK-NL'!$M$11),"x","")</f>
        <v/>
      </c>
    </row>
    <row r="2302" spans="1:30" ht="16.5" customHeight="1">
      <c r="A2302" s="309" t="str">
        <f>IF(B2302&lt;&gt;"",IF(AND(B2302='IN-TC'!$S$4,OR(TH!N2302="1111",TH!O2302="1111")),TH!D2302,""),"")</f>
        <v/>
      </c>
      <c r="B2302" s="1159">
        <f t="shared" si="732"/>
        <v>12</v>
      </c>
      <c r="C2302" s="252">
        <v>43090</v>
      </c>
      <c r="D2302" s="252" t="s">
        <v>1404</v>
      </c>
      <c r="E2302" s="252">
        <f t="shared" si="733"/>
        <v>43090</v>
      </c>
      <c r="F2302" s="1055" t="s">
        <v>2788</v>
      </c>
      <c r="G2302" s="1056" t="s">
        <v>2792</v>
      </c>
      <c r="H2302" s="735" t="s">
        <v>1139</v>
      </c>
      <c r="I2302" s="371">
        <v>120</v>
      </c>
      <c r="J2302" s="371">
        <v>12.5</v>
      </c>
      <c r="K2302" s="371">
        <f t="shared" si="734"/>
        <v>1500</v>
      </c>
      <c r="L2302" s="377">
        <v>22680</v>
      </c>
      <c r="M2302" s="933">
        <f t="shared" si="716"/>
        <v>34020000</v>
      </c>
      <c r="N2302" s="977" t="s">
        <v>536</v>
      </c>
      <c r="O2302" s="977" t="s">
        <v>288</v>
      </c>
      <c r="P2302" s="75" t="str">
        <f>IF(AND('331-CT'!$E$7=TH!H2302,OR(N2302="331",O2302="331")),"x","")</f>
        <v/>
      </c>
      <c r="Q2302" s="75" t="str">
        <f>IF(AND(B2302='111'!$L$11,OR($N2302=$Q$7,$O2302=$Q$7)),"x","")</f>
        <v/>
      </c>
      <c r="R2302" s="75" t="str">
        <f>IF(AND($N2302=$Q$7,$B2302&lt;'111'!$L$11),"x","")</f>
        <v/>
      </c>
      <c r="S2302" s="75" t="str">
        <f>IF(AND($O2302=$Q$7,$B2302&lt;'111'!$L$11),"x","")</f>
        <v/>
      </c>
      <c r="T2302" s="75" t="str">
        <f>IF(ISERROR(FIND('112'!$M$9,G2302,1)),"",IF((AND(FIND('112'!$M$9,G2302,1)&gt;=1,B2302='112'!$K$9,OR($N2302='112'!$I$6,$O2302='112'!$I$6))),"x",""))</f>
        <v/>
      </c>
      <c r="U2302" s="75" t="str">
        <f>IF(ISERROR(FIND('112'!$M$9,G2302,1)),"",IF((AND(LEFT(G2302,2)=LEFT('112'!$M$9,2),B2302&lt;'112'!$K$9,$N2302='112'!$I$6)),"x",""))</f>
        <v/>
      </c>
      <c r="V2302" s="75" t="str">
        <f>IF(ISERROR(FIND('112'!$M$9,G2302,1)),"",IF((AND(RIGHT(G2302,2)=RIGHT('112'!$M$9,2),B2302&lt;'112'!$K$9,$O2302='112'!$I$6)),"x",""))</f>
        <v/>
      </c>
      <c r="W2302" s="75" t="str">
        <f>IF(AND('341-CT'!$H$9=H2302,OR(LEFT(N2302,3)=$W$7,LEFT(O2302,3)=$W$7)),"x","")</f>
        <v/>
      </c>
      <c r="X2302" s="75" t="str">
        <f>IF(OR(TH!N2302=TH!$X$7,O2302=TH!$X$7),"x","")</f>
        <v/>
      </c>
      <c r="Y2302" s="75" t="str">
        <f>IF(AND(OR(N2302="131",O2302="131"),H2302='131-CT'!$H$9),"x","")</f>
        <v/>
      </c>
      <c r="Z2302" s="75"/>
      <c r="AA2302" s="75" t="str">
        <f>IF(AND(MONTH(E2302)='IN-NX'!$J$5,'IN-NX'!$D$7=D2302),"x","")</f>
        <v/>
      </c>
      <c r="AB2302" s="75" t="str">
        <f>IF(AND(OR(LEFT(TH!N2302,2)="15",LEFT(TH!O2302,2)="15"),LEFT(TH!O2302,3)&lt;&gt;"111",'152-CT'!$J$8=TH!F2302),"x","")</f>
        <v/>
      </c>
      <c r="AC2302" s="75" t="str">
        <f>IF(AND(OR(LEFT(TH!N2302,2)="15",LEFT(TH!O2302,2)="15"),TK!$E$7=TH!F2302),"x","")</f>
        <v/>
      </c>
      <c r="AD2302" s="75" t="str">
        <f>IF(AND(N2302="1521",MONTH(C2302)='BK-NL'!$M$11),"x","")</f>
        <v/>
      </c>
    </row>
    <row r="2303" spans="1:30" ht="16.5" customHeight="1">
      <c r="A2303" s="309" t="str">
        <f>IF(B2303&lt;&gt;"",IF(AND(B2303='IN-TC'!$S$4,OR(TH!N2303="1111",TH!O2303="1111")),TH!D2303,""),"")</f>
        <v/>
      </c>
      <c r="B2303" s="1159">
        <f t="shared" si="732"/>
        <v>12</v>
      </c>
      <c r="C2303" s="252">
        <v>43090</v>
      </c>
      <c r="D2303" s="252" t="s">
        <v>1404</v>
      </c>
      <c r="E2303" s="252">
        <f t="shared" si="733"/>
        <v>43090</v>
      </c>
      <c r="F2303" s="1055" t="s">
        <v>2789</v>
      </c>
      <c r="G2303" s="1056" t="s">
        <v>2792</v>
      </c>
      <c r="H2303" s="735" t="s">
        <v>1139</v>
      </c>
      <c r="I2303" s="371">
        <v>120</v>
      </c>
      <c r="J2303" s="371">
        <v>12.1</v>
      </c>
      <c r="K2303" s="371">
        <f t="shared" si="734"/>
        <v>1452</v>
      </c>
      <c r="L2303" s="377">
        <v>22680</v>
      </c>
      <c r="M2303" s="933">
        <f t="shared" si="716"/>
        <v>32931360</v>
      </c>
      <c r="N2303" s="977" t="s">
        <v>536</v>
      </c>
      <c r="O2303" s="977" t="s">
        <v>288</v>
      </c>
      <c r="P2303" s="75" t="str">
        <f>IF(AND('331-CT'!$E$7=TH!H2303,OR(N2303="331",O2303="331")),"x","")</f>
        <v/>
      </c>
      <c r="Q2303" s="75" t="str">
        <f>IF(AND(B2303='111'!$L$11,OR($N2303=$Q$7,$O2303=$Q$7)),"x","")</f>
        <v/>
      </c>
      <c r="R2303" s="75" t="str">
        <f>IF(AND($N2303=$Q$7,$B2303&lt;'111'!$L$11),"x","")</f>
        <v/>
      </c>
      <c r="S2303" s="75" t="str">
        <f>IF(AND($O2303=$Q$7,$B2303&lt;'111'!$L$11),"x","")</f>
        <v/>
      </c>
      <c r="T2303" s="75" t="str">
        <f>IF(ISERROR(FIND('112'!$M$9,G2303,1)),"",IF((AND(FIND('112'!$M$9,G2303,1)&gt;=1,B2303='112'!$K$9,OR($N2303='112'!$I$6,$O2303='112'!$I$6))),"x",""))</f>
        <v/>
      </c>
      <c r="U2303" s="75" t="str">
        <f>IF(ISERROR(FIND('112'!$M$9,G2303,1)),"",IF((AND(LEFT(G2303,2)=LEFT('112'!$M$9,2),B2303&lt;'112'!$K$9,$N2303='112'!$I$6)),"x",""))</f>
        <v/>
      </c>
      <c r="V2303" s="75" t="str">
        <f>IF(ISERROR(FIND('112'!$M$9,G2303,1)),"",IF((AND(RIGHT(G2303,2)=RIGHT('112'!$M$9,2),B2303&lt;'112'!$K$9,$O2303='112'!$I$6)),"x",""))</f>
        <v/>
      </c>
      <c r="W2303" s="75" t="str">
        <f>IF(AND('341-CT'!$H$9=H2303,OR(LEFT(N2303,3)=$W$7,LEFT(O2303,3)=$W$7)),"x","")</f>
        <v/>
      </c>
      <c r="X2303" s="75" t="str">
        <f>IF(OR(TH!N2303=TH!$X$7,O2303=TH!$X$7),"x","")</f>
        <v/>
      </c>
      <c r="Y2303" s="75" t="str">
        <f>IF(AND(OR(N2303="131",O2303="131"),H2303='131-CT'!$H$9),"x","")</f>
        <v/>
      </c>
      <c r="Z2303" s="75"/>
      <c r="AA2303" s="75" t="str">
        <f>IF(AND(MONTH(E2303)='IN-NX'!$J$5,'IN-NX'!$D$7=D2303),"x","")</f>
        <v/>
      </c>
      <c r="AB2303" s="75" t="str">
        <f>IF(AND(OR(LEFT(TH!N2303,2)="15",LEFT(TH!O2303,2)="15"),LEFT(TH!O2303,3)&lt;&gt;"111",'152-CT'!$J$8=TH!F2303),"x","")</f>
        <v/>
      </c>
      <c r="AC2303" s="75" t="str">
        <f>IF(AND(OR(LEFT(TH!N2303,2)="15",LEFT(TH!O2303,2)="15"),TK!$E$7=TH!F2303),"x","")</f>
        <v/>
      </c>
      <c r="AD2303" s="75" t="str">
        <f>IF(AND(N2303="1521",MONTH(C2303)='BK-NL'!$M$11),"x","")</f>
        <v/>
      </c>
    </row>
    <row r="2304" spans="1:30" ht="16.5" customHeight="1">
      <c r="A2304" s="309" t="str">
        <f>IF(B2304&lt;&gt;"",IF(AND(B2304='IN-TC'!$S$4,OR(TH!N2304="1111",TH!O2304="1111")),TH!D2304,""),"")</f>
        <v/>
      </c>
      <c r="B2304" s="1159">
        <f t="shared" si="732"/>
        <v>12</v>
      </c>
      <c r="C2304" s="252">
        <v>43090</v>
      </c>
      <c r="D2304" s="252" t="s">
        <v>1404</v>
      </c>
      <c r="E2304" s="252">
        <f t="shared" si="733"/>
        <v>43090</v>
      </c>
      <c r="F2304" s="1055" t="s">
        <v>1545</v>
      </c>
      <c r="G2304" s="1056" t="s">
        <v>2792</v>
      </c>
      <c r="H2304" s="735" t="s">
        <v>1139</v>
      </c>
      <c r="I2304" s="371">
        <v>120</v>
      </c>
      <c r="J2304" s="371">
        <v>12.5</v>
      </c>
      <c r="K2304" s="371">
        <f t="shared" si="734"/>
        <v>1500</v>
      </c>
      <c r="L2304" s="377">
        <v>22680</v>
      </c>
      <c r="M2304" s="933">
        <f t="shared" si="716"/>
        <v>34020000</v>
      </c>
      <c r="N2304" s="977" t="s">
        <v>536</v>
      </c>
      <c r="O2304" s="977" t="s">
        <v>288</v>
      </c>
      <c r="P2304" s="75" t="str">
        <f>IF(AND('331-CT'!$E$7=TH!H2304,OR(N2304="331",O2304="331")),"x","")</f>
        <v/>
      </c>
      <c r="Q2304" s="75" t="str">
        <f>IF(AND(B2304='111'!$L$11,OR($N2304=$Q$7,$O2304=$Q$7)),"x","")</f>
        <v/>
      </c>
      <c r="R2304" s="75" t="str">
        <f>IF(AND($N2304=$Q$7,$B2304&lt;'111'!$L$11),"x","")</f>
        <v/>
      </c>
      <c r="S2304" s="75" t="str">
        <f>IF(AND($O2304=$Q$7,$B2304&lt;'111'!$L$11),"x","")</f>
        <v/>
      </c>
      <c r="T2304" s="75" t="str">
        <f>IF(ISERROR(FIND('112'!$M$9,G2304,1)),"",IF((AND(FIND('112'!$M$9,G2304,1)&gt;=1,B2304='112'!$K$9,OR($N2304='112'!$I$6,$O2304='112'!$I$6))),"x",""))</f>
        <v/>
      </c>
      <c r="U2304" s="75" t="str">
        <f>IF(ISERROR(FIND('112'!$M$9,G2304,1)),"",IF((AND(LEFT(G2304,2)=LEFT('112'!$M$9,2),B2304&lt;'112'!$K$9,$N2304='112'!$I$6)),"x",""))</f>
        <v/>
      </c>
      <c r="V2304" s="75" t="str">
        <f>IF(ISERROR(FIND('112'!$M$9,G2304,1)),"",IF((AND(RIGHT(G2304,2)=RIGHT('112'!$M$9,2),B2304&lt;'112'!$K$9,$O2304='112'!$I$6)),"x",""))</f>
        <v/>
      </c>
      <c r="W2304" s="75" t="str">
        <f>IF(AND('341-CT'!$H$9=H2304,OR(LEFT(N2304,3)=$W$7,LEFT(O2304,3)=$W$7)),"x","")</f>
        <v/>
      </c>
      <c r="X2304" s="75" t="str">
        <f>IF(OR(TH!N2304=TH!$X$7,O2304=TH!$X$7),"x","")</f>
        <v/>
      </c>
      <c r="Y2304" s="75" t="str">
        <f>IF(AND(OR(N2304="131",O2304="131"),H2304='131-CT'!$H$9),"x","")</f>
        <v/>
      </c>
      <c r="Z2304" s="75"/>
      <c r="AA2304" s="75" t="str">
        <f>IF(AND(MONTH(E2304)='IN-NX'!$J$5,'IN-NX'!$D$7=D2304),"x","")</f>
        <v/>
      </c>
      <c r="AB2304" s="75" t="str">
        <f>IF(AND(OR(LEFT(TH!N2304,2)="15",LEFT(TH!O2304,2)="15"),LEFT(TH!O2304,3)&lt;&gt;"111",'152-CT'!$J$8=TH!F2304),"x","")</f>
        <v/>
      </c>
      <c r="AC2304" s="75" t="str">
        <f>IF(AND(OR(LEFT(TH!N2304,2)="15",LEFT(TH!O2304,2)="15"),TK!$E$7=TH!F2304),"x","")</f>
        <v/>
      </c>
      <c r="AD2304" s="75" t="str">
        <f>IF(AND(N2304="1521",MONTH(C2304)='BK-NL'!$M$11),"x","")</f>
        <v/>
      </c>
    </row>
    <row r="2305" spans="1:30" ht="16.5" customHeight="1">
      <c r="A2305" s="309" t="str">
        <f>IF(B2305&lt;&gt;"",IF(AND(B2305='IN-TC'!$S$4,OR(TH!N2305="1111",TH!O2305="1111")),TH!D2305,""),"")</f>
        <v/>
      </c>
      <c r="B2305" s="1159">
        <f t="shared" si="732"/>
        <v>12</v>
      </c>
      <c r="C2305" s="252">
        <v>43090</v>
      </c>
      <c r="D2305" s="252" t="s">
        <v>1404</v>
      </c>
      <c r="E2305" s="252">
        <f t="shared" si="733"/>
        <v>43090</v>
      </c>
      <c r="F2305" s="1055" t="s">
        <v>2790</v>
      </c>
      <c r="G2305" s="1056" t="s">
        <v>2792</v>
      </c>
      <c r="H2305" s="735" t="s">
        <v>1139</v>
      </c>
      <c r="I2305" s="371">
        <v>120</v>
      </c>
      <c r="J2305" s="371">
        <v>12.5</v>
      </c>
      <c r="K2305" s="371">
        <f t="shared" si="734"/>
        <v>1500</v>
      </c>
      <c r="L2305" s="377">
        <v>22680</v>
      </c>
      <c r="M2305" s="933">
        <f t="shared" si="716"/>
        <v>34020000</v>
      </c>
      <c r="N2305" s="977" t="s">
        <v>536</v>
      </c>
      <c r="O2305" s="977" t="s">
        <v>288</v>
      </c>
      <c r="P2305" s="75" t="str">
        <f>IF(AND('331-CT'!$E$7=TH!H2305,OR(N2305="331",O2305="331")),"x","")</f>
        <v/>
      </c>
      <c r="Q2305" s="75" t="str">
        <f>IF(AND(B2305='111'!$L$11,OR($N2305=$Q$7,$O2305=$Q$7)),"x","")</f>
        <v/>
      </c>
      <c r="R2305" s="75" t="str">
        <f>IF(AND($N2305=$Q$7,$B2305&lt;'111'!$L$11),"x","")</f>
        <v/>
      </c>
      <c r="S2305" s="75" t="str">
        <f>IF(AND($O2305=$Q$7,$B2305&lt;'111'!$L$11),"x","")</f>
        <v/>
      </c>
      <c r="T2305" s="75" t="str">
        <f>IF(ISERROR(FIND('112'!$M$9,G2305,1)),"",IF((AND(FIND('112'!$M$9,G2305,1)&gt;=1,B2305='112'!$K$9,OR($N2305='112'!$I$6,$O2305='112'!$I$6))),"x",""))</f>
        <v/>
      </c>
      <c r="U2305" s="75" t="str">
        <f>IF(ISERROR(FIND('112'!$M$9,G2305,1)),"",IF((AND(LEFT(G2305,2)=LEFT('112'!$M$9,2),B2305&lt;'112'!$K$9,$N2305='112'!$I$6)),"x",""))</f>
        <v/>
      </c>
      <c r="V2305" s="75" t="str">
        <f>IF(ISERROR(FIND('112'!$M$9,G2305,1)),"",IF((AND(RIGHT(G2305,2)=RIGHT('112'!$M$9,2),B2305&lt;'112'!$K$9,$O2305='112'!$I$6)),"x",""))</f>
        <v/>
      </c>
      <c r="W2305" s="75" t="str">
        <f>IF(AND('341-CT'!$H$9=H2305,OR(LEFT(N2305,3)=$W$7,LEFT(O2305,3)=$W$7)),"x","")</f>
        <v/>
      </c>
      <c r="X2305" s="75" t="str">
        <f>IF(OR(TH!N2305=TH!$X$7,O2305=TH!$X$7),"x","")</f>
        <v/>
      </c>
      <c r="Y2305" s="75" t="str">
        <f>IF(AND(OR(N2305="131",O2305="131"),H2305='131-CT'!$H$9),"x","")</f>
        <v/>
      </c>
      <c r="Z2305" s="75"/>
      <c r="AA2305" s="75" t="str">
        <f>IF(AND(MONTH(E2305)='IN-NX'!$J$5,'IN-NX'!$D$7=D2305),"x","")</f>
        <v/>
      </c>
      <c r="AB2305" s="75" t="str">
        <f>IF(AND(OR(LEFT(TH!N2305,2)="15",LEFT(TH!O2305,2)="15"),LEFT(TH!O2305,3)&lt;&gt;"111",'152-CT'!$J$8=TH!F2305),"x","")</f>
        <v/>
      </c>
      <c r="AC2305" s="75" t="str">
        <f>IF(AND(OR(LEFT(TH!N2305,2)="15",LEFT(TH!O2305,2)="15"),TK!$E$7=TH!F2305),"x","")</f>
        <v/>
      </c>
      <c r="AD2305" s="75" t="str">
        <f>IF(AND(N2305="1521",MONTH(C2305)='BK-NL'!$M$11),"x","")</f>
        <v/>
      </c>
    </row>
    <row r="2306" spans="1:30" ht="16.5" customHeight="1">
      <c r="A2306" s="309" t="str">
        <f>IF(B2306&lt;&gt;"",IF(AND(B2306='IN-TC'!$S$4,OR(TH!N2306="1111",TH!O2306="1111")),TH!D2306,""),"")</f>
        <v/>
      </c>
      <c r="B2306" s="1159">
        <f t="shared" si="732"/>
        <v>12</v>
      </c>
      <c r="C2306" s="252">
        <v>43094</v>
      </c>
      <c r="D2306" s="252" t="s">
        <v>1405</v>
      </c>
      <c r="E2306" s="252">
        <f t="shared" si="733"/>
        <v>43094</v>
      </c>
      <c r="F2306" s="1055" t="s">
        <v>1639</v>
      </c>
      <c r="G2306" s="1056" t="s">
        <v>2783</v>
      </c>
      <c r="H2306" s="735" t="s">
        <v>1642</v>
      </c>
      <c r="I2306" s="371">
        <v>6000</v>
      </c>
      <c r="J2306" s="371">
        <v>4.5999999999999996</v>
      </c>
      <c r="K2306" s="371">
        <f t="shared" si="734"/>
        <v>27599.999999999996</v>
      </c>
      <c r="L2306" s="377">
        <v>22680</v>
      </c>
      <c r="M2306" s="933">
        <f t="shared" si="716"/>
        <v>625968000</v>
      </c>
      <c r="N2306" s="977" t="s">
        <v>536</v>
      </c>
      <c r="O2306" s="977" t="s">
        <v>288</v>
      </c>
      <c r="P2306" s="75" t="str">
        <f>IF(AND('331-CT'!$E$7=TH!H2306,OR(N2306="331",O2306="331")),"x","")</f>
        <v/>
      </c>
      <c r="Q2306" s="75" t="str">
        <f>IF(AND(B2306='111'!$L$11,OR($N2306=$Q$7,$O2306=$Q$7)),"x","")</f>
        <v/>
      </c>
      <c r="R2306" s="75" t="str">
        <f>IF(AND($N2306=$Q$7,$B2306&lt;'111'!$L$11),"x","")</f>
        <v/>
      </c>
      <c r="S2306" s="75" t="str">
        <f>IF(AND($O2306=$Q$7,$B2306&lt;'111'!$L$11),"x","")</f>
        <v/>
      </c>
      <c r="T2306" s="75" t="str">
        <f>IF(ISERROR(FIND('112'!$M$9,G2306,1)),"",IF((AND(FIND('112'!$M$9,G2306,1)&gt;=1,B2306='112'!$K$9,OR($N2306='112'!$I$6,$O2306='112'!$I$6))),"x",""))</f>
        <v/>
      </c>
      <c r="U2306" s="75" t="str">
        <f>IF(ISERROR(FIND('112'!$M$9,G2306,1)),"",IF((AND(LEFT(G2306,2)=LEFT('112'!$M$9,2),B2306&lt;'112'!$K$9,$N2306='112'!$I$6)),"x",""))</f>
        <v/>
      </c>
      <c r="V2306" s="75" t="str">
        <f>IF(ISERROR(FIND('112'!$M$9,G2306,1)),"",IF((AND(RIGHT(G2306,2)=RIGHT('112'!$M$9,2),B2306&lt;'112'!$K$9,$O2306='112'!$I$6)),"x",""))</f>
        <v/>
      </c>
      <c r="W2306" s="75" t="str">
        <f>IF(AND('341-CT'!$H$9=H2306,OR(LEFT(N2306,3)=$W$7,LEFT(O2306,3)=$W$7)),"x","")</f>
        <v/>
      </c>
      <c r="X2306" s="75" t="str">
        <f>IF(OR(TH!N2306=TH!$X$7,O2306=TH!$X$7),"x","")</f>
        <v/>
      </c>
      <c r="Y2306" s="75" t="str">
        <f>IF(AND(OR(N2306="131",O2306="131"),H2306='131-CT'!$H$9),"x","")</f>
        <v/>
      </c>
      <c r="Z2306" s="75"/>
      <c r="AA2306" s="75" t="str">
        <f>IF(AND(MONTH(E2306)='IN-NX'!$J$5,'IN-NX'!$D$7=D2306),"x","")</f>
        <v/>
      </c>
      <c r="AB2306" s="75" t="str">
        <f>IF(AND(OR(LEFT(TH!N2306,2)="15",LEFT(TH!O2306,2)="15"),LEFT(TH!O2306,3)&lt;&gt;"111",'152-CT'!$J$8=TH!F2306),"x","")</f>
        <v/>
      </c>
      <c r="AC2306" s="75" t="str">
        <f>IF(AND(OR(LEFT(TH!N2306,2)="15",LEFT(TH!O2306,2)="15"),TK!$E$7=TH!F2306),"x","")</f>
        <v/>
      </c>
      <c r="AD2306" s="75" t="str">
        <f>IF(AND(N2306="1521",MONTH(C2306)='BK-NL'!$M$11),"x","")</f>
        <v/>
      </c>
    </row>
    <row r="2307" spans="1:30" ht="16.5" customHeight="1">
      <c r="A2307" s="309" t="str">
        <f>IF(B2307&lt;&gt;"",IF(AND(B2307='IN-TC'!$S$4,OR(TH!N2307="1111",TH!O2307="1111")),TH!D2307,""),"")</f>
        <v/>
      </c>
      <c r="B2307" s="1159">
        <f t="shared" si="732"/>
        <v>12</v>
      </c>
      <c r="C2307" s="252">
        <v>43095</v>
      </c>
      <c r="D2307" s="252" t="s">
        <v>1417</v>
      </c>
      <c r="E2307" s="252">
        <f t="shared" si="733"/>
        <v>43095</v>
      </c>
      <c r="F2307" s="1055" t="s">
        <v>2399</v>
      </c>
      <c r="G2307" s="1056" t="s">
        <v>2793</v>
      </c>
      <c r="H2307" s="735" t="s">
        <v>1859</v>
      </c>
      <c r="I2307" s="371">
        <v>26390</v>
      </c>
      <c r="J2307" s="371">
        <v>1.8</v>
      </c>
      <c r="K2307" s="371">
        <f t="shared" si="734"/>
        <v>47502</v>
      </c>
      <c r="L2307" s="377">
        <v>22680</v>
      </c>
      <c r="M2307" s="933">
        <f t="shared" si="716"/>
        <v>1077345360</v>
      </c>
      <c r="N2307" s="977" t="s">
        <v>536</v>
      </c>
      <c r="O2307" s="977" t="s">
        <v>288</v>
      </c>
      <c r="P2307" s="75" t="str">
        <f>IF(AND('331-CT'!$E$7=TH!H2307,OR(N2307="331",O2307="331")),"x","")</f>
        <v/>
      </c>
      <c r="Q2307" s="75" t="str">
        <f>IF(AND(B2307='111'!$L$11,OR($N2307=$Q$7,$O2307=$Q$7)),"x","")</f>
        <v/>
      </c>
      <c r="R2307" s="75" t="str">
        <f>IF(AND($N2307=$Q$7,$B2307&lt;'111'!$L$11),"x","")</f>
        <v/>
      </c>
      <c r="S2307" s="75" t="str">
        <f>IF(AND($O2307=$Q$7,$B2307&lt;'111'!$L$11),"x","")</f>
        <v/>
      </c>
      <c r="T2307" s="75" t="str">
        <f>IF(ISERROR(FIND('112'!$M$9,G2307,1)),"",IF((AND(FIND('112'!$M$9,G2307,1)&gt;=1,B2307='112'!$K$9,OR($N2307='112'!$I$6,$O2307='112'!$I$6))),"x",""))</f>
        <v/>
      </c>
      <c r="U2307" s="75" t="str">
        <f>IF(ISERROR(FIND('112'!$M$9,G2307,1)),"",IF((AND(LEFT(G2307,2)=LEFT('112'!$M$9,2),B2307&lt;'112'!$K$9,$N2307='112'!$I$6)),"x",""))</f>
        <v/>
      </c>
      <c r="V2307" s="75" t="str">
        <f>IF(ISERROR(FIND('112'!$M$9,G2307,1)),"",IF((AND(RIGHT(G2307,2)=RIGHT('112'!$M$9,2),B2307&lt;'112'!$K$9,$O2307='112'!$I$6)),"x",""))</f>
        <v/>
      </c>
      <c r="W2307" s="75" t="str">
        <f>IF(AND('341-CT'!$H$9=H2307,OR(LEFT(N2307,3)=$W$7,LEFT(O2307,3)=$W$7)),"x","")</f>
        <v/>
      </c>
      <c r="X2307" s="75" t="str">
        <f>IF(OR(TH!N2307=TH!$X$7,O2307=TH!$X$7),"x","")</f>
        <v/>
      </c>
      <c r="Y2307" s="75" t="str">
        <f>IF(AND(OR(N2307="131",O2307="131"),H2307='131-CT'!$H$9),"x","")</f>
        <v/>
      </c>
      <c r="Z2307" s="75"/>
      <c r="AA2307" s="75" t="str">
        <f>IF(AND(MONTH(E2307)='IN-NX'!$J$5,'IN-NX'!$D$7=D2307),"x","")</f>
        <v/>
      </c>
      <c r="AB2307" s="75" t="str">
        <f>IF(AND(OR(LEFT(TH!N2307,2)="15",LEFT(TH!O2307,2)="15"),LEFT(TH!O2307,3)&lt;&gt;"111",'152-CT'!$J$8=TH!F2307),"x","")</f>
        <v/>
      </c>
      <c r="AC2307" s="75" t="str">
        <f>IF(AND(OR(LEFT(TH!N2307,2)="15",LEFT(TH!O2307,2)="15"),TK!$E$7=TH!F2307),"x","")</f>
        <v/>
      </c>
      <c r="AD2307" s="75" t="str">
        <f>IF(AND(N2307="1521",MONTH(C2307)='BK-NL'!$M$11),"x","")</f>
        <v/>
      </c>
    </row>
    <row r="2308" spans="1:30" ht="16.5" customHeight="1">
      <c r="A2308" s="309" t="str">
        <f>IF(B2308&lt;&gt;"",IF(AND(B2308='IN-TC'!$S$4,OR(TH!N2308="1111",TH!O2308="1111")),TH!D2308,""),"")</f>
        <v/>
      </c>
      <c r="B2308" s="1159">
        <f t="shared" ref="B2308" si="735">IF(C2308&lt;&gt;"",MONTH(C2308),"")</f>
        <v>12</v>
      </c>
      <c r="C2308" s="252">
        <v>43095</v>
      </c>
      <c r="D2308" s="252" t="s">
        <v>1417</v>
      </c>
      <c r="E2308" s="252">
        <f t="shared" ref="E2308" si="736">C2308</f>
        <v>43095</v>
      </c>
      <c r="F2308" s="1055" t="s">
        <v>2399</v>
      </c>
      <c r="G2308" s="1056" t="s">
        <v>2793</v>
      </c>
      <c r="H2308" s="735" t="s">
        <v>1859</v>
      </c>
      <c r="I2308" s="371">
        <v>26390</v>
      </c>
      <c r="J2308" s="371">
        <v>2</v>
      </c>
      <c r="K2308" s="371">
        <f t="shared" ref="K2308" si="737">I2308*J2308</f>
        <v>52780</v>
      </c>
      <c r="L2308" s="377">
        <v>22680</v>
      </c>
      <c r="M2308" s="933">
        <f t="shared" si="716"/>
        <v>1197050400</v>
      </c>
      <c r="N2308" s="977" t="s">
        <v>536</v>
      </c>
      <c r="O2308" s="977" t="s">
        <v>288</v>
      </c>
      <c r="P2308" s="75" t="str">
        <f>IF(AND('331-CT'!$E$7=TH!H2308,OR(N2308="331",O2308="331")),"x","")</f>
        <v/>
      </c>
      <c r="Q2308" s="75" t="str">
        <f>IF(AND(B2308='111'!$L$11,OR($N2308=$Q$7,$O2308=$Q$7)),"x","")</f>
        <v/>
      </c>
      <c r="R2308" s="75" t="str">
        <f>IF(AND($N2308=$Q$7,$B2308&lt;'111'!$L$11),"x","")</f>
        <v/>
      </c>
      <c r="S2308" s="75" t="str">
        <f>IF(AND($O2308=$Q$7,$B2308&lt;'111'!$L$11),"x","")</f>
        <v/>
      </c>
      <c r="T2308" s="75" t="str">
        <f>IF(ISERROR(FIND('112'!$M$9,G2308,1)),"",IF((AND(FIND('112'!$M$9,G2308,1)&gt;=1,B2308='112'!$K$9,OR($N2308='112'!$I$6,$O2308='112'!$I$6))),"x",""))</f>
        <v/>
      </c>
      <c r="U2308" s="75" t="str">
        <f>IF(ISERROR(FIND('112'!$M$9,G2308,1)),"",IF((AND(LEFT(G2308,2)=LEFT('112'!$M$9,2),B2308&lt;'112'!$K$9,$N2308='112'!$I$6)),"x",""))</f>
        <v/>
      </c>
      <c r="V2308" s="75" t="str">
        <f>IF(ISERROR(FIND('112'!$M$9,G2308,1)),"",IF((AND(RIGHT(G2308,2)=RIGHT('112'!$M$9,2),B2308&lt;'112'!$K$9,$O2308='112'!$I$6)),"x",""))</f>
        <v/>
      </c>
      <c r="W2308" s="75" t="str">
        <f>IF(AND('341-CT'!$H$9=H2308,OR(LEFT(N2308,3)=$W$7,LEFT(O2308,3)=$W$7)),"x","")</f>
        <v/>
      </c>
      <c r="X2308" s="75" t="str">
        <f>IF(OR(TH!N2308=TH!$X$7,O2308=TH!$X$7),"x","")</f>
        <v/>
      </c>
      <c r="Y2308" s="75" t="str">
        <f>IF(AND(OR(N2308="131",O2308="131"),H2308='131-CT'!$H$9),"x","")</f>
        <v/>
      </c>
      <c r="Z2308" s="75"/>
      <c r="AA2308" s="75" t="str">
        <f>IF(AND(MONTH(E2308)='IN-NX'!$J$5,'IN-NX'!$D$7=D2308),"x","")</f>
        <v/>
      </c>
      <c r="AB2308" s="75" t="str">
        <f>IF(AND(OR(LEFT(TH!N2308,2)="15",LEFT(TH!O2308,2)="15"),LEFT(TH!O2308,3)&lt;&gt;"111",'152-CT'!$J$8=TH!F2308),"x","")</f>
        <v/>
      </c>
      <c r="AC2308" s="75" t="str">
        <f>IF(AND(OR(LEFT(TH!N2308,2)="15",LEFT(TH!O2308,2)="15"),TK!$E$7=TH!F2308),"x","")</f>
        <v/>
      </c>
      <c r="AD2308" s="75" t="str">
        <f>IF(AND(N2308="1521",MONTH(C2308)='BK-NL'!$M$11),"x","")</f>
        <v/>
      </c>
    </row>
    <row r="2309" spans="1:30" ht="16.5" customHeight="1">
      <c r="A2309" s="309" t="str">
        <f>IF(B2309&lt;&gt;"",IF(AND(B2309='IN-TC'!$S$4,OR(TH!N2309="1111",TH!O2309="1111")),TH!D2309,""),"")</f>
        <v/>
      </c>
      <c r="B2309" s="1159">
        <f t="shared" ref="B2309:B2318" si="738">IF(C2309&lt;&gt;"",MONTH(C2309),"")</f>
        <v>12</v>
      </c>
      <c r="C2309" s="252">
        <v>43096</v>
      </c>
      <c r="D2309" s="252" t="s">
        <v>1451</v>
      </c>
      <c r="E2309" s="252">
        <f t="shared" ref="E2309:E2318" si="739">C2309</f>
        <v>43096</v>
      </c>
      <c r="F2309" s="1055" t="s">
        <v>793</v>
      </c>
      <c r="G2309" s="1056" t="s">
        <v>2794</v>
      </c>
      <c r="H2309" s="735" t="s">
        <v>785</v>
      </c>
      <c r="I2309" s="371">
        <v>12000</v>
      </c>
      <c r="J2309" s="371">
        <v>8.1999999999999993</v>
      </c>
      <c r="K2309" s="371">
        <f t="shared" ref="K2309" si="740">I2309*J2309</f>
        <v>98399.999999999985</v>
      </c>
      <c r="L2309" s="377">
        <v>22680</v>
      </c>
      <c r="M2309" s="933">
        <f t="shared" si="716"/>
        <v>2231712000</v>
      </c>
      <c r="N2309" s="977" t="s">
        <v>536</v>
      </c>
      <c r="O2309" s="977" t="s">
        <v>288</v>
      </c>
      <c r="P2309" s="75" t="str">
        <f>IF(AND('331-CT'!$E$7=TH!H2309,OR(N2309="331",O2309="331")),"x","")</f>
        <v/>
      </c>
      <c r="Q2309" s="75" t="str">
        <f>IF(AND(B2309='111'!$L$11,OR($N2309=$Q$7,$O2309=$Q$7)),"x","")</f>
        <v/>
      </c>
      <c r="R2309" s="75" t="str">
        <f>IF(AND($N2309=$Q$7,$B2309&lt;'111'!$L$11),"x","")</f>
        <v/>
      </c>
      <c r="S2309" s="75" t="str">
        <f>IF(AND($O2309=$Q$7,$B2309&lt;'111'!$L$11),"x","")</f>
        <v/>
      </c>
      <c r="T2309" s="75" t="str">
        <f>IF(ISERROR(FIND('112'!$M$9,G2309,1)),"",IF((AND(FIND('112'!$M$9,G2309,1)&gt;=1,B2309='112'!$K$9,OR($N2309='112'!$I$6,$O2309='112'!$I$6))),"x",""))</f>
        <v/>
      </c>
      <c r="U2309" s="75" t="str">
        <f>IF(ISERROR(FIND('112'!$M$9,G2309,1)),"",IF((AND(LEFT(G2309,2)=LEFT('112'!$M$9,2),B2309&lt;'112'!$K$9,$N2309='112'!$I$6)),"x",""))</f>
        <v/>
      </c>
      <c r="V2309" s="75" t="str">
        <f>IF(ISERROR(FIND('112'!$M$9,G2309,1)),"",IF((AND(RIGHT(G2309,2)=RIGHT('112'!$M$9,2),B2309&lt;'112'!$K$9,$O2309='112'!$I$6)),"x",""))</f>
        <v/>
      </c>
      <c r="W2309" s="75" t="str">
        <f>IF(AND('341-CT'!$H$9=H2309,OR(LEFT(N2309,3)=$W$7,LEFT(O2309,3)=$W$7)),"x","")</f>
        <v/>
      </c>
      <c r="X2309" s="75" t="str">
        <f>IF(OR(TH!N2309=TH!$X$7,O2309=TH!$X$7),"x","")</f>
        <v/>
      </c>
      <c r="Y2309" s="75" t="str">
        <f>IF(AND(OR(N2309="131",O2309="131"),H2309='131-CT'!$H$9),"x","")</f>
        <v/>
      </c>
      <c r="Z2309" s="75"/>
      <c r="AA2309" s="75" t="str">
        <f>IF(AND(MONTH(E2309)='IN-NX'!$J$5,'IN-NX'!$D$7=D2309),"x","")</f>
        <v/>
      </c>
      <c r="AB2309" s="75" t="str">
        <f>IF(AND(OR(LEFT(TH!N2309,2)="15",LEFT(TH!O2309,2)="15"),LEFT(TH!O2309,3)&lt;&gt;"111",'152-CT'!$J$8=TH!F2309),"x","")</f>
        <v/>
      </c>
      <c r="AC2309" s="75" t="str">
        <f>IF(AND(OR(LEFT(TH!N2309,2)="15",LEFT(TH!O2309,2)="15"),TK!$E$7=TH!F2309),"x","")</f>
        <v/>
      </c>
      <c r="AD2309" s="75" t="str">
        <f>IF(AND(N2309="1521",MONTH(C2309)='BK-NL'!$M$11),"x","")</f>
        <v/>
      </c>
    </row>
    <row r="2310" spans="1:30" ht="16.5" customHeight="1">
      <c r="A2310" s="309" t="str">
        <f>IF(B2310&lt;&gt;"",IF(AND(B2310='IN-TC'!$S$4,OR(TH!N2310="1111",TH!O2310="1111")),TH!D2310,""),"")</f>
        <v/>
      </c>
      <c r="B2310" s="1159">
        <f t="shared" si="738"/>
        <v>12</v>
      </c>
      <c r="C2310" s="252">
        <v>43096</v>
      </c>
      <c r="D2310" s="252" t="s">
        <v>1452</v>
      </c>
      <c r="E2310" s="252">
        <f t="shared" si="739"/>
        <v>43096</v>
      </c>
      <c r="F2310" s="1055" t="s">
        <v>1621</v>
      </c>
      <c r="G2310" s="1056" t="s">
        <v>2801</v>
      </c>
      <c r="H2310" s="735" t="s">
        <v>802</v>
      </c>
      <c r="I2310" s="371">
        <v>200</v>
      </c>
      <c r="J2310" s="371">
        <v>156000</v>
      </c>
      <c r="K2310" s="371"/>
      <c r="L2310" s="377"/>
      <c r="M2310" s="933">
        <f t="shared" ref="M2310:M2319" si="741">ROUND(I2310*J2310,0)</f>
        <v>31200000</v>
      </c>
      <c r="N2310" s="977" t="s">
        <v>536</v>
      </c>
      <c r="O2310" s="977" t="s">
        <v>286</v>
      </c>
      <c r="P2310" s="75" t="str">
        <f>IF(AND('331-CT'!$E$7=TH!H2310,OR(N2310="331",O2310="331")),"x","")</f>
        <v/>
      </c>
      <c r="Q2310" s="75" t="str">
        <f>IF(AND(B2310='111'!$L$11,OR($N2310=$Q$7,$O2310=$Q$7)),"x","")</f>
        <v/>
      </c>
      <c r="R2310" s="75" t="str">
        <f>IF(AND($N2310=$Q$7,$B2310&lt;'111'!$L$11),"x","")</f>
        <v/>
      </c>
      <c r="S2310" s="75" t="str">
        <f>IF(AND($O2310=$Q$7,$B2310&lt;'111'!$L$11),"x","")</f>
        <v/>
      </c>
      <c r="T2310" s="75" t="str">
        <f>IF(ISERROR(FIND('112'!$M$9,G2310,1)),"",IF((AND(FIND('112'!$M$9,G2310,1)&gt;=1,B2310='112'!$K$9,OR($N2310='112'!$I$6,$O2310='112'!$I$6))),"x",""))</f>
        <v/>
      </c>
      <c r="U2310" s="75" t="str">
        <f>IF(ISERROR(FIND('112'!$M$9,G2310,1)),"",IF((AND(LEFT(G2310,2)=LEFT('112'!$M$9,2),B2310&lt;'112'!$K$9,$N2310='112'!$I$6)),"x",""))</f>
        <v/>
      </c>
      <c r="V2310" s="75" t="str">
        <f>IF(ISERROR(FIND('112'!$M$9,G2310,1)),"",IF((AND(RIGHT(G2310,2)=RIGHT('112'!$M$9,2),B2310&lt;'112'!$K$9,$O2310='112'!$I$6)),"x",""))</f>
        <v/>
      </c>
      <c r="W2310" s="75" t="str">
        <f>IF(AND('341-CT'!$H$9=H2310,OR(LEFT(N2310,3)=$W$7,LEFT(O2310,3)=$W$7)),"x","")</f>
        <v/>
      </c>
      <c r="X2310" s="75" t="str">
        <f>IF(OR(TH!N2310=TH!$X$7,O2310=TH!$X$7),"x","")</f>
        <v/>
      </c>
      <c r="Y2310" s="75" t="str">
        <f>IF(AND(OR(N2310="131",O2310="131"),H2310='131-CT'!$H$9),"x","")</f>
        <v/>
      </c>
      <c r="Z2310" s="75"/>
      <c r="AA2310" s="75" t="str">
        <f>IF(AND(MONTH(E2310)='IN-NX'!$J$5,'IN-NX'!$D$7=D2310),"x","")</f>
        <v/>
      </c>
      <c r="AB2310" s="75" t="str">
        <f>IF(AND(OR(LEFT(TH!N2310,2)="15",LEFT(TH!O2310,2)="15"),LEFT(TH!O2310,3)&lt;&gt;"111",'152-CT'!$J$8=TH!F2310),"x","")</f>
        <v/>
      </c>
      <c r="AC2310" s="75" t="str">
        <f>IF(AND(OR(LEFT(TH!N2310,2)="15",LEFT(TH!O2310,2)="15"),TK!$E$7=TH!F2310),"x","")</f>
        <v/>
      </c>
      <c r="AD2310" s="75" t="str">
        <f>IF(AND(N2310="1521",MONTH(C2310)='BK-NL'!$M$11),"x","")</f>
        <v/>
      </c>
    </row>
    <row r="2311" spans="1:30" ht="16.5" customHeight="1">
      <c r="A2311" s="309" t="str">
        <f>IF(B2311&lt;&gt;"",IF(AND(B2311='IN-TC'!$S$4,OR(TH!N2311="1111",TH!O2311="1111")),TH!D2311,""),"")</f>
        <v/>
      </c>
      <c r="B2311" s="1159">
        <f t="shared" si="738"/>
        <v>12</v>
      </c>
      <c r="C2311" s="252">
        <v>43096</v>
      </c>
      <c r="D2311" s="252" t="s">
        <v>1452</v>
      </c>
      <c r="E2311" s="252">
        <f t="shared" si="739"/>
        <v>43096</v>
      </c>
      <c r="F2311" s="1055" t="s">
        <v>2477</v>
      </c>
      <c r="G2311" s="1056" t="s">
        <v>2801</v>
      </c>
      <c r="H2311" s="735" t="s">
        <v>802</v>
      </c>
      <c r="I2311" s="371">
        <v>150</v>
      </c>
      <c r="J2311" s="371">
        <v>150000</v>
      </c>
      <c r="K2311" s="371"/>
      <c r="L2311" s="377"/>
      <c r="M2311" s="933">
        <f t="shared" si="741"/>
        <v>22500000</v>
      </c>
      <c r="N2311" s="977" t="s">
        <v>536</v>
      </c>
      <c r="O2311" s="977" t="s">
        <v>286</v>
      </c>
      <c r="P2311" s="75" t="str">
        <f>IF(AND('331-CT'!$E$7=TH!H2311,OR(N2311="331",O2311="331")),"x","")</f>
        <v/>
      </c>
      <c r="Q2311" s="75" t="str">
        <f>IF(AND(B2311='111'!$L$11,OR($N2311=$Q$7,$O2311=$Q$7)),"x","")</f>
        <v/>
      </c>
      <c r="R2311" s="75" t="str">
        <f>IF(AND($N2311=$Q$7,$B2311&lt;'111'!$L$11),"x","")</f>
        <v/>
      </c>
      <c r="S2311" s="75" t="str">
        <f>IF(AND($O2311=$Q$7,$B2311&lt;'111'!$L$11),"x","")</f>
        <v/>
      </c>
      <c r="T2311" s="75" t="str">
        <f>IF(ISERROR(FIND('112'!$M$9,G2311,1)),"",IF((AND(FIND('112'!$M$9,G2311,1)&gt;=1,B2311='112'!$K$9,OR($N2311='112'!$I$6,$O2311='112'!$I$6))),"x",""))</f>
        <v/>
      </c>
      <c r="U2311" s="75" t="str">
        <f>IF(ISERROR(FIND('112'!$M$9,G2311,1)),"",IF((AND(LEFT(G2311,2)=LEFT('112'!$M$9,2),B2311&lt;'112'!$K$9,$N2311='112'!$I$6)),"x",""))</f>
        <v/>
      </c>
      <c r="V2311" s="75" t="str">
        <f>IF(ISERROR(FIND('112'!$M$9,G2311,1)),"",IF((AND(RIGHT(G2311,2)=RIGHT('112'!$M$9,2),B2311&lt;'112'!$K$9,$O2311='112'!$I$6)),"x",""))</f>
        <v/>
      </c>
      <c r="W2311" s="75" t="str">
        <f>IF(AND('341-CT'!$H$9=H2311,OR(LEFT(N2311,3)=$W$7,LEFT(O2311,3)=$W$7)),"x","")</f>
        <v/>
      </c>
      <c r="X2311" s="75" t="str">
        <f>IF(OR(TH!N2311=TH!$X$7,O2311=TH!$X$7),"x","")</f>
        <v/>
      </c>
      <c r="Y2311" s="75" t="str">
        <f>IF(AND(OR(N2311="131",O2311="131"),H2311='131-CT'!$H$9),"x","")</f>
        <v/>
      </c>
      <c r="Z2311" s="75"/>
      <c r="AA2311" s="75" t="str">
        <f>IF(AND(MONTH(E2311)='IN-NX'!$J$5,'IN-NX'!$D$7=D2311),"x","")</f>
        <v/>
      </c>
      <c r="AB2311" s="75" t="str">
        <f>IF(AND(OR(LEFT(TH!N2311,2)="15",LEFT(TH!O2311,2)="15"),LEFT(TH!O2311,3)&lt;&gt;"111",'152-CT'!$J$8=TH!F2311),"x","")</f>
        <v/>
      </c>
      <c r="AC2311" s="75" t="str">
        <f>IF(AND(OR(LEFT(TH!N2311,2)="15",LEFT(TH!O2311,2)="15"),TK!$E$7=TH!F2311),"x","")</f>
        <v/>
      </c>
      <c r="AD2311" s="75" t="str">
        <f>IF(AND(N2311="1521",MONTH(C2311)='BK-NL'!$M$11),"x","")</f>
        <v/>
      </c>
    </row>
    <row r="2312" spans="1:30" ht="16.5" customHeight="1">
      <c r="A2312" s="309" t="str">
        <f>IF(B2312&lt;&gt;"",IF(AND(B2312='IN-TC'!$S$4,OR(TH!N2312="1111",TH!O2312="1111")),TH!D2312,""),"")</f>
        <v/>
      </c>
      <c r="B2312" s="1159">
        <f t="shared" si="738"/>
        <v>12</v>
      </c>
      <c r="C2312" s="252">
        <v>43096</v>
      </c>
      <c r="D2312" s="252" t="s">
        <v>1452</v>
      </c>
      <c r="E2312" s="252">
        <f t="shared" si="739"/>
        <v>43096</v>
      </c>
      <c r="F2312" s="1055" t="s">
        <v>1107</v>
      </c>
      <c r="G2312" s="1056" t="s">
        <v>2801</v>
      </c>
      <c r="H2312" s="735" t="s">
        <v>802</v>
      </c>
      <c r="I2312" s="371">
        <v>50</v>
      </c>
      <c r="J2312" s="371">
        <v>200000</v>
      </c>
      <c r="K2312" s="371"/>
      <c r="L2312" s="377"/>
      <c r="M2312" s="933">
        <f t="shared" si="741"/>
        <v>10000000</v>
      </c>
      <c r="N2312" s="977" t="s">
        <v>536</v>
      </c>
      <c r="O2312" s="977" t="s">
        <v>286</v>
      </c>
      <c r="P2312" s="75" t="str">
        <f>IF(AND('331-CT'!$E$7=TH!H2312,OR(N2312="331",O2312="331")),"x","")</f>
        <v/>
      </c>
      <c r="Q2312" s="75" t="str">
        <f>IF(AND(B2312='111'!$L$11,OR($N2312=$Q$7,$O2312=$Q$7)),"x","")</f>
        <v/>
      </c>
      <c r="R2312" s="75" t="str">
        <f>IF(AND($N2312=$Q$7,$B2312&lt;'111'!$L$11),"x","")</f>
        <v/>
      </c>
      <c r="S2312" s="75" t="str">
        <f>IF(AND($O2312=$Q$7,$B2312&lt;'111'!$L$11),"x","")</f>
        <v/>
      </c>
      <c r="T2312" s="75" t="str">
        <f>IF(ISERROR(FIND('112'!$M$9,G2312,1)),"",IF((AND(FIND('112'!$M$9,G2312,1)&gt;=1,B2312='112'!$K$9,OR($N2312='112'!$I$6,$O2312='112'!$I$6))),"x",""))</f>
        <v/>
      </c>
      <c r="U2312" s="75" t="str">
        <f>IF(ISERROR(FIND('112'!$M$9,G2312,1)),"",IF((AND(LEFT(G2312,2)=LEFT('112'!$M$9,2),B2312&lt;'112'!$K$9,$N2312='112'!$I$6)),"x",""))</f>
        <v/>
      </c>
      <c r="V2312" s="75" t="str">
        <f>IF(ISERROR(FIND('112'!$M$9,G2312,1)),"",IF((AND(RIGHT(G2312,2)=RIGHT('112'!$M$9,2),B2312&lt;'112'!$K$9,$O2312='112'!$I$6)),"x",""))</f>
        <v/>
      </c>
      <c r="W2312" s="75" t="str">
        <f>IF(AND('341-CT'!$H$9=H2312,OR(LEFT(N2312,3)=$W$7,LEFT(O2312,3)=$W$7)),"x","")</f>
        <v/>
      </c>
      <c r="X2312" s="75" t="str">
        <f>IF(OR(TH!N2312=TH!$X$7,O2312=TH!$X$7),"x","")</f>
        <v/>
      </c>
      <c r="Y2312" s="75" t="str">
        <f>IF(AND(OR(N2312="131",O2312="131"),H2312='131-CT'!$H$9),"x","")</f>
        <v/>
      </c>
      <c r="Z2312" s="75"/>
      <c r="AA2312" s="75" t="str">
        <f>IF(AND(MONTH(E2312)='IN-NX'!$J$5,'IN-NX'!$D$7=D2312),"x","")</f>
        <v/>
      </c>
      <c r="AB2312" s="75" t="str">
        <f>IF(AND(OR(LEFT(TH!N2312,2)="15",LEFT(TH!O2312,2)="15"),LEFT(TH!O2312,3)&lt;&gt;"111",'152-CT'!$J$8=TH!F2312),"x","")</f>
        <v/>
      </c>
      <c r="AC2312" s="75" t="str">
        <f>IF(AND(OR(LEFT(TH!N2312,2)="15",LEFT(TH!O2312,2)="15"),TK!$E$7=TH!F2312),"x","")</f>
        <v/>
      </c>
      <c r="AD2312" s="75" t="str">
        <f>IF(AND(N2312="1521",MONTH(C2312)='BK-NL'!$M$11),"x","")</f>
        <v/>
      </c>
    </row>
    <row r="2313" spans="1:30" ht="16.5" customHeight="1">
      <c r="A2313" s="309" t="str">
        <f>IF(B2313&lt;&gt;"",IF(AND(B2313='IN-TC'!$S$4,OR(TH!N2313="1111",TH!O2313="1111")),TH!D2313,""),"")</f>
        <v/>
      </c>
      <c r="B2313" s="1159">
        <f t="shared" ref="B2313" si="742">IF(C2313&lt;&gt;"",MONTH(C2313),"")</f>
        <v>12</v>
      </c>
      <c r="C2313" s="252">
        <v>43096</v>
      </c>
      <c r="D2313" s="252" t="s">
        <v>1452</v>
      </c>
      <c r="E2313" s="252">
        <f t="shared" ref="E2313" si="743">C2313</f>
        <v>43096</v>
      </c>
      <c r="F2313" s="1055" t="s">
        <v>1617</v>
      </c>
      <c r="G2313" s="1056" t="s">
        <v>2801</v>
      </c>
      <c r="H2313" s="735" t="s">
        <v>802</v>
      </c>
      <c r="I2313" s="371">
        <v>100</v>
      </c>
      <c r="J2313" s="371">
        <v>680000</v>
      </c>
      <c r="K2313" s="371"/>
      <c r="L2313" s="377"/>
      <c r="M2313" s="933">
        <f t="shared" si="741"/>
        <v>68000000</v>
      </c>
      <c r="N2313" s="977" t="s">
        <v>536</v>
      </c>
      <c r="O2313" s="977" t="s">
        <v>286</v>
      </c>
      <c r="P2313" s="75" t="str">
        <f>IF(AND('331-CT'!$E$7=TH!H2313,OR(N2313="331",O2313="331")),"x","")</f>
        <v/>
      </c>
      <c r="Q2313" s="75" t="str">
        <f>IF(AND(B2313='111'!$L$11,OR($N2313=$Q$7,$O2313=$Q$7)),"x","")</f>
        <v/>
      </c>
      <c r="R2313" s="75" t="str">
        <f>IF(AND($N2313=$Q$7,$B2313&lt;'111'!$L$11),"x","")</f>
        <v/>
      </c>
      <c r="S2313" s="75" t="str">
        <f>IF(AND($O2313=$Q$7,$B2313&lt;'111'!$L$11),"x","")</f>
        <v/>
      </c>
      <c r="T2313" s="75" t="str">
        <f>IF(ISERROR(FIND('112'!$M$9,G2313,1)),"",IF((AND(FIND('112'!$M$9,G2313,1)&gt;=1,B2313='112'!$K$9,OR($N2313='112'!$I$6,$O2313='112'!$I$6))),"x",""))</f>
        <v/>
      </c>
      <c r="U2313" s="75" t="str">
        <f>IF(ISERROR(FIND('112'!$M$9,G2313,1)),"",IF((AND(LEFT(G2313,2)=LEFT('112'!$M$9,2),B2313&lt;'112'!$K$9,$N2313='112'!$I$6)),"x",""))</f>
        <v/>
      </c>
      <c r="V2313" s="75" t="str">
        <f>IF(ISERROR(FIND('112'!$M$9,G2313,1)),"",IF((AND(RIGHT(G2313,2)=RIGHT('112'!$M$9,2),B2313&lt;'112'!$K$9,$O2313='112'!$I$6)),"x",""))</f>
        <v/>
      </c>
      <c r="W2313" s="75" t="str">
        <f>IF(AND('341-CT'!$H$9=H2313,OR(LEFT(N2313,3)=$W$7,LEFT(O2313,3)=$W$7)),"x","")</f>
        <v/>
      </c>
      <c r="X2313" s="75" t="str">
        <f>IF(OR(TH!N2313=TH!$X$7,O2313=TH!$X$7),"x","")</f>
        <v/>
      </c>
      <c r="Y2313" s="75" t="str">
        <f>IF(AND(OR(N2313="131",O2313="131"),H2313='131-CT'!$H$9),"x","")</f>
        <v/>
      </c>
      <c r="Z2313" s="75"/>
      <c r="AA2313" s="75" t="str">
        <f>IF(AND(MONTH(E2313)='IN-NX'!$J$5,'IN-NX'!$D$7=D2313),"x","")</f>
        <v/>
      </c>
      <c r="AB2313" s="75" t="str">
        <f>IF(AND(OR(LEFT(TH!N2313,2)="15",LEFT(TH!O2313,2)="15"),LEFT(TH!O2313,3)&lt;&gt;"111",'152-CT'!$J$8=TH!F2313),"x","")</f>
        <v/>
      </c>
      <c r="AC2313" s="75" t="str">
        <f>IF(AND(OR(LEFT(TH!N2313,2)="15",LEFT(TH!O2313,2)="15"),TK!$E$7=TH!F2313),"x","")</f>
        <v/>
      </c>
      <c r="AD2313" s="75" t="str">
        <f>IF(AND(N2313="1521",MONTH(C2313)='BK-NL'!$M$11),"x","")</f>
        <v/>
      </c>
    </row>
    <row r="2314" spans="1:30" ht="16.5" customHeight="1">
      <c r="A2314" s="309" t="str">
        <f>IF(B2314&lt;&gt;"",IF(AND(B2314='IN-TC'!$S$4,OR(TH!N2314="1111",TH!O2314="1111")),TH!D2314,""),"")</f>
        <v/>
      </c>
      <c r="B2314" s="1159">
        <f>IF(C2314&lt;&gt;"",MONTH(C2314),"")</f>
        <v>12</v>
      </c>
      <c r="C2314" s="252">
        <v>43096</v>
      </c>
      <c r="D2314" s="252" t="s">
        <v>1452</v>
      </c>
      <c r="E2314" s="252">
        <f>C2314</f>
        <v>43096</v>
      </c>
      <c r="F2314" s="1055" t="s">
        <v>1620</v>
      </c>
      <c r="G2314" s="1056" t="s">
        <v>2801</v>
      </c>
      <c r="H2314" s="735" t="s">
        <v>802</v>
      </c>
      <c r="I2314" s="371">
        <v>20</v>
      </c>
      <c r="J2314" s="371">
        <v>280000</v>
      </c>
      <c r="K2314" s="371"/>
      <c r="L2314" s="377"/>
      <c r="M2314" s="933">
        <f t="shared" si="741"/>
        <v>5600000</v>
      </c>
      <c r="N2314" s="977" t="s">
        <v>536</v>
      </c>
      <c r="O2314" s="977" t="s">
        <v>286</v>
      </c>
      <c r="P2314" s="75" t="str">
        <f>IF(AND('331-CT'!$E$7=TH!H2314,OR(N2314="331",O2314="331")),"x","")</f>
        <v/>
      </c>
      <c r="Q2314" s="75" t="str">
        <f>IF(AND(B2314='111'!$L$11,OR($N2314=$Q$7,$O2314=$Q$7)),"x","")</f>
        <v/>
      </c>
      <c r="R2314" s="75" t="str">
        <f>IF(AND($N2314=$Q$7,$B2314&lt;'111'!$L$11),"x","")</f>
        <v/>
      </c>
      <c r="S2314" s="75" t="str">
        <f>IF(AND($O2314=$Q$7,$B2314&lt;'111'!$L$11),"x","")</f>
        <v/>
      </c>
      <c r="T2314" s="75" t="str">
        <f>IF(ISERROR(FIND('112'!$M$9,G2314,1)),"",IF((AND(FIND('112'!$M$9,G2314,1)&gt;=1,B2314='112'!$K$9,OR($N2314='112'!$I$6,$O2314='112'!$I$6))),"x",""))</f>
        <v/>
      </c>
      <c r="U2314" s="75" t="str">
        <f>IF(ISERROR(FIND('112'!$M$9,G2314,1)),"",IF((AND(LEFT(G2314,2)=LEFT('112'!$M$9,2),B2314&lt;'112'!$K$9,$N2314='112'!$I$6)),"x",""))</f>
        <v/>
      </c>
      <c r="V2314" s="75" t="str">
        <f>IF(ISERROR(FIND('112'!$M$9,G2314,1)),"",IF((AND(RIGHT(G2314,2)=RIGHT('112'!$M$9,2),B2314&lt;'112'!$K$9,$O2314='112'!$I$6)),"x",""))</f>
        <v/>
      </c>
      <c r="W2314" s="75" t="str">
        <f>IF(AND('341-CT'!$H$9=H2314,OR(LEFT(N2314,3)=$W$7,LEFT(O2314,3)=$W$7)),"x","")</f>
        <v/>
      </c>
      <c r="X2314" s="75" t="str">
        <f>IF(OR(TH!N2314=TH!$X$7,O2314=TH!$X$7),"x","")</f>
        <v/>
      </c>
      <c r="Y2314" s="75" t="str">
        <f>IF(AND(OR(N2314="131",O2314="131"),H2314='131-CT'!$H$9),"x","")</f>
        <v/>
      </c>
      <c r="Z2314" s="75"/>
      <c r="AA2314" s="75" t="str">
        <f>IF(AND(MONTH(E2314)='IN-NX'!$J$5,'IN-NX'!$D$7=D2314),"x","")</f>
        <v/>
      </c>
      <c r="AB2314" s="75" t="str">
        <f>IF(AND(OR(LEFT(TH!N2314,2)="15",LEFT(TH!O2314,2)="15"),LEFT(TH!O2314,3)&lt;&gt;"111",'152-CT'!$J$8=TH!F2314),"x","")</f>
        <v/>
      </c>
      <c r="AC2314" s="75" t="str">
        <f>IF(AND(OR(LEFT(TH!N2314,2)="15",LEFT(TH!O2314,2)="15"),TK!$E$7=TH!F2314),"x","")</f>
        <v/>
      </c>
      <c r="AD2314" s="75" t="str">
        <f>IF(AND(N2314="1521",MONTH(C2314)='BK-NL'!$M$11),"x","")</f>
        <v/>
      </c>
    </row>
    <row r="2315" spans="1:30" ht="16.5" customHeight="1">
      <c r="A2315" s="309" t="str">
        <f>IF(B2315&lt;&gt;"",IF(AND(B2315='IN-TC'!$S$4,OR(TH!N2315="1111",TH!O2315="1111")),TH!D2315,""),"")</f>
        <v/>
      </c>
      <c r="B2315" s="1159">
        <f>IF(C2315&lt;&gt;"",MONTH(C2315),"")</f>
        <v>12</v>
      </c>
      <c r="C2315" s="252">
        <v>43096</v>
      </c>
      <c r="D2315" s="252" t="s">
        <v>1452</v>
      </c>
      <c r="E2315" s="252">
        <f>C2315</f>
        <v>43096</v>
      </c>
      <c r="F2315" s="1055" t="s">
        <v>799</v>
      </c>
      <c r="G2315" s="1056" t="s">
        <v>2801</v>
      </c>
      <c r="H2315" s="735" t="s">
        <v>802</v>
      </c>
      <c r="I2315" s="371">
        <v>20</v>
      </c>
      <c r="J2315" s="371">
        <v>220000</v>
      </c>
      <c r="K2315" s="371"/>
      <c r="L2315" s="377"/>
      <c r="M2315" s="933">
        <f t="shared" si="741"/>
        <v>4400000</v>
      </c>
      <c r="N2315" s="977" t="s">
        <v>536</v>
      </c>
      <c r="O2315" s="977" t="s">
        <v>286</v>
      </c>
      <c r="P2315" s="75" t="str">
        <f>IF(AND('331-CT'!$E$7=TH!H2315,OR(N2315="331",O2315="331")),"x","")</f>
        <v/>
      </c>
      <c r="Q2315" s="75" t="str">
        <f>IF(AND(B2315='111'!$L$11,OR($N2315=$Q$7,$O2315=$Q$7)),"x","")</f>
        <v/>
      </c>
      <c r="R2315" s="75" t="str">
        <f>IF(AND($N2315=$Q$7,$B2315&lt;'111'!$L$11),"x","")</f>
        <v/>
      </c>
      <c r="S2315" s="75" t="str">
        <f>IF(AND($O2315=$Q$7,$B2315&lt;'111'!$L$11),"x","")</f>
        <v/>
      </c>
      <c r="T2315" s="75" t="str">
        <f>IF(ISERROR(FIND('112'!$M$9,G2315,1)),"",IF((AND(FIND('112'!$M$9,G2315,1)&gt;=1,B2315='112'!$K$9,OR($N2315='112'!$I$6,$O2315='112'!$I$6))),"x",""))</f>
        <v/>
      </c>
      <c r="U2315" s="75" t="str">
        <f>IF(ISERROR(FIND('112'!$M$9,G2315,1)),"",IF((AND(LEFT(G2315,2)=LEFT('112'!$M$9,2),B2315&lt;'112'!$K$9,$N2315='112'!$I$6)),"x",""))</f>
        <v/>
      </c>
      <c r="V2315" s="75" t="str">
        <f>IF(ISERROR(FIND('112'!$M$9,G2315,1)),"",IF((AND(RIGHT(G2315,2)=RIGHT('112'!$M$9,2),B2315&lt;'112'!$K$9,$O2315='112'!$I$6)),"x",""))</f>
        <v/>
      </c>
      <c r="W2315" s="75" t="str">
        <f>IF(AND('341-CT'!$H$9=H2315,OR(LEFT(N2315,3)=$W$7,LEFT(O2315,3)=$W$7)),"x","")</f>
        <v/>
      </c>
      <c r="X2315" s="75" t="str">
        <f>IF(OR(TH!N2315=TH!$X$7,O2315=TH!$X$7),"x","")</f>
        <v/>
      </c>
      <c r="Y2315" s="75" t="str">
        <f>IF(AND(OR(N2315="131",O2315="131"),H2315='131-CT'!$H$9),"x","")</f>
        <v/>
      </c>
      <c r="Z2315" s="75"/>
      <c r="AA2315" s="75" t="str">
        <f>IF(AND(MONTH(E2315)='IN-NX'!$J$5,'IN-NX'!$D$7=D2315),"x","")</f>
        <v/>
      </c>
      <c r="AB2315" s="75" t="str">
        <f>IF(AND(OR(LEFT(TH!N2315,2)="15",LEFT(TH!O2315,2)="15"),LEFT(TH!O2315,3)&lt;&gt;"111",'152-CT'!$J$8=TH!F2315),"x","")</f>
        <v/>
      </c>
      <c r="AC2315" s="75" t="str">
        <f>IF(AND(OR(LEFT(TH!N2315,2)="15",LEFT(TH!O2315,2)="15"),TK!$E$7=TH!F2315),"x","")</f>
        <v/>
      </c>
      <c r="AD2315" s="75" t="str">
        <f>IF(AND(N2315="1521",MONTH(C2315)='BK-NL'!$M$11),"x","")</f>
        <v/>
      </c>
    </row>
    <row r="2316" spans="1:30" ht="16.5" customHeight="1">
      <c r="A2316" s="309" t="str">
        <f>IF(B2316&lt;&gt;"",IF(AND(B2316='IN-TC'!$S$4,OR(TH!N2316="1111",TH!O2316="1111")),TH!D2316,""),"")</f>
        <v/>
      </c>
      <c r="B2316" s="1159">
        <f t="shared" si="738"/>
        <v>12</v>
      </c>
      <c r="C2316" s="252">
        <v>43096</v>
      </c>
      <c r="D2316" s="252" t="s">
        <v>1452</v>
      </c>
      <c r="E2316" s="252">
        <f t="shared" si="739"/>
        <v>43096</v>
      </c>
      <c r="F2316" s="1055" t="s">
        <v>800</v>
      </c>
      <c r="G2316" s="1056" t="s">
        <v>2801</v>
      </c>
      <c r="H2316" s="735" t="s">
        <v>802</v>
      </c>
      <c r="I2316" s="371">
        <v>100</v>
      </c>
      <c r="J2316" s="371">
        <v>185000</v>
      </c>
      <c r="K2316" s="371"/>
      <c r="L2316" s="377"/>
      <c r="M2316" s="933">
        <f t="shared" si="741"/>
        <v>18500000</v>
      </c>
      <c r="N2316" s="977" t="s">
        <v>536</v>
      </c>
      <c r="O2316" s="977" t="s">
        <v>286</v>
      </c>
      <c r="P2316" s="75" t="str">
        <f>IF(AND('331-CT'!$E$7=TH!H2316,OR(N2316="331",O2316="331")),"x","")</f>
        <v/>
      </c>
      <c r="Q2316" s="75" t="str">
        <f>IF(AND(B2316='111'!$L$11,OR($N2316=$Q$7,$O2316=$Q$7)),"x","")</f>
        <v/>
      </c>
      <c r="R2316" s="75" t="str">
        <f>IF(AND($N2316=$Q$7,$B2316&lt;'111'!$L$11),"x","")</f>
        <v/>
      </c>
      <c r="S2316" s="75" t="str">
        <f>IF(AND($O2316=$Q$7,$B2316&lt;'111'!$L$11),"x","")</f>
        <v/>
      </c>
      <c r="T2316" s="75" t="str">
        <f>IF(ISERROR(FIND('112'!$M$9,G2316,1)),"",IF((AND(FIND('112'!$M$9,G2316,1)&gt;=1,B2316='112'!$K$9,OR($N2316='112'!$I$6,$O2316='112'!$I$6))),"x",""))</f>
        <v/>
      </c>
      <c r="U2316" s="75" t="str">
        <f>IF(ISERROR(FIND('112'!$M$9,G2316,1)),"",IF((AND(LEFT(G2316,2)=LEFT('112'!$M$9,2),B2316&lt;'112'!$K$9,$N2316='112'!$I$6)),"x",""))</f>
        <v/>
      </c>
      <c r="V2316" s="75" t="str">
        <f>IF(ISERROR(FIND('112'!$M$9,G2316,1)),"",IF((AND(RIGHT(G2316,2)=RIGHT('112'!$M$9,2),B2316&lt;'112'!$K$9,$O2316='112'!$I$6)),"x",""))</f>
        <v/>
      </c>
      <c r="W2316" s="75" t="str">
        <f>IF(AND('341-CT'!$H$9=H2316,OR(LEFT(N2316,3)=$W$7,LEFT(O2316,3)=$W$7)),"x","")</f>
        <v/>
      </c>
      <c r="X2316" s="75" t="str">
        <f>IF(OR(TH!N2316=TH!$X$7,O2316=TH!$X$7),"x","")</f>
        <v/>
      </c>
      <c r="Y2316" s="75" t="str">
        <f>IF(AND(OR(N2316="131",O2316="131"),H2316='131-CT'!$H$9),"x","")</f>
        <v/>
      </c>
      <c r="Z2316" s="75"/>
      <c r="AA2316" s="75" t="str">
        <f>IF(AND(MONTH(E2316)='IN-NX'!$J$5,'IN-NX'!$D$7=D2316),"x","")</f>
        <v/>
      </c>
      <c r="AB2316" s="75" t="str">
        <f>IF(AND(OR(LEFT(TH!N2316,2)="15",LEFT(TH!O2316,2)="15"),LEFT(TH!O2316,3)&lt;&gt;"111",'152-CT'!$J$8=TH!F2316),"x","")</f>
        <v/>
      </c>
      <c r="AC2316" s="75" t="str">
        <f>IF(AND(OR(LEFT(TH!N2316,2)="15",LEFT(TH!O2316,2)="15"),TK!$E$7=TH!F2316),"x","")</f>
        <v/>
      </c>
      <c r="AD2316" s="75" t="str">
        <f>IF(AND(N2316="1521",MONTH(C2316)='BK-NL'!$M$11),"x","")</f>
        <v/>
      </c>
    </row>
    <row r="2317" spans="1:30" ht="16.5" customHeight="1">
      <c r="A2317" s="309" t="str">
        <f>IF(B2317&lt;&gt;"",IF(AND(B2317='IN-TC'!$S$4,OR(TH!N2317="1111",TH!O2317="1111")),TH!D2317,""),"")</f>
        <v/>
      </c>
      <c r="B2317" s="1159">
        <f t="shared" si="738"/>
        <v>12</v>
      </c>
      <c r="C2317" s="252">
        <v>43096</v>
      </c>
      <c r="D2317" s="252" t="s">
        <v>1452</v>
      </c>
      <c r="E2317" s="252">
        <f t="shared" si="739"/>
        <v>43096</v>
      </c>
      <c r="F2317" s="1055" t="s">
        <v>418</v>
      </c>
      <c r="G2317" s="1056" t="s">
        <v>2801</v>
      </c>
      <c r="H2317" s="735" t="s">
        <v>802</v>
      </c>
      <c r="I2317" s="371">
        <v>100</v>
      </c>
      <c r="J2317" s="371">
        <v>100000</v>
      </c>
      <c r="K2317" s="371"/>
      <c r="L2317" s="377"/>
      <c r="M2317" s="933">
        <f t="shared" si="741"/>
        <v>10000000</v>
      </c>
      <c r="N2317" s="977" t="s">
        <v>536</v>
      </c>
      <c r="O2317" s="977" t="s">
        <v>286</v>
      </c>
      <c r="P2317" s="75" t="str">
        <f>IF(AND('331-CT'!$E$7=TH!H2317,OR(N2317="331",O2317="331")),"x","")</f>
        <v/>
      </c>
      <c r="Q2317" s="75" t="str">
        <f>IF(AND(B2317='111'!$L$11,OR($N2317=$Q$7,$O2317=$Q$7)),"x","")</f>
        <v/>
      </c>
      <c r="R2317" s="75" t="str">
        <f>IF(AND($N2317=$Q$7,$B2317&lt;'111'!$L$11),"x","")</f>
        <v/>
      </c>
      <c r="S2317" s="75" t="str">
        <f>IF(AND($O2317=$Q$7,$B2317&lt;'111'!$L$11),"x","")</f>
        <v/>
      </c>
      <c r="T2317" s="75" t="str">
        <f>IF(ISERROR(FIND('112'!$M$9,G2317,1)),"",IF((AND(FIND('112'!$M$9,G2317,1)&gt;=1,B2317='112'!$K$9,OR($N2317='112'!$I$6,$O2317='112'!$I$6))),"x",""))</f>
        <v/>
      </c>
      <c r="U2317" s="75" t="str">
        <f>IF(ISERROR(FIND('112'!$M$9,G2317,1)),"",IF((AND(LEFT(G2317,2)=LEFT('112'!$M$9,2),B2317&lt;'112'!$K$9,$N2317='112'!$I$6)),"x",""))</f>
        <v/>
      </c>
      <c r="V2317" s="75" t="str">
        <f>IF(ISERROR(FIND('112'!$M$9,G2317,1)),"",IF((AND(RIGHT(G2317,2)=RIGHT('112'!$M$9,2),B2317&lt;'112'!$K$9,$O2317='112'!$I$6)),"x",""))</f>
        <v/>
      </c>
      <c r="W2317" s="75" t="str">
        <f>IF(AND('341-CT'!$H$9=H2317,OR(LEFT(N2317,3)=$W$7,LEFT(O2317,3)=$W$7)),"x","")</f>
        <v/>
      </c>
      <c r="X2317" s="75" t="str">
        <f>IF(OR(TH!N2317=TH!$X$7,O2317=TH!$X$7),"x","")</f>
        <v/>
      </c>
      <c r="Y2317" s="75" t="str">
        <f>IF(AND(OR(N2317="131",O2317="131"),H2317='131-CT'!$H$9),"x","")</f>
        <v/>
      </c>
      <c r="Z2317" s="75"/>
      <c r="AA2317" s="75" t="str">
        <f>IF(AND(MONTH(E2317)='IN-NX'!$J$5,'IN-NX'!$D$7=D2317),"x","")</f>
        <v/>
      </c>
      <c r="AB2317" s="75" t="str">
        <f>IF(AND(OR(LEFT(TH!N2317,2)="15",LEFT(TH!O2317,2)="15"),LEFT(TH!O2317,3)&lt;&gt;"111",'152-CT'!$J$8=TH!F2317),"x","")</f>
        <v/>
      </c>
      <c r="AC2317" s="75" t="str">
        <f>IF(AND(OR(LEFT(TH!N2317,2)="15",LEFT(TH!O2317,2)="15"),TK!$E$7=TH!F2317),"x","")</f>
        <v/>
      </c>
      <c r="AD2317" s="75" t="str">
        <f>IF(AND(N2317="1521",MONTH(C2317)='BK-NL'!$M$11),"x","")</f>
        <v/>
      </c>
    </row>
    <row r="2318" spans="1:30" ht="16.5" customHeight="1">
      <c r="A2318" s="309" t="str">
        <f>IF(B2318&lt;&gt;"",IF(AND(B2318='IN-TC'!$S$4,OR(TH!N2318="1111",TH!O2318="1111")),TH!D2318,""),"")</f>
        <v/>
      </c>
      <c r="B2318" s="1159">
        <f t="shared" si="738"/>
        <v>12</v>
      </c>
      <c r="C2318" s="252">
        <v>43096</v>
      </c>
      <c r="D2318" s="252" t="s">
        <v>1452</v>
      </c>
      <c r="E2318" s="252">
        <f t="shared" si="739"/>
        <v>43096</v>
      </c>
      <c r="F2318" s="1055" t="s">
        <v>895</v>
      </c>
      <c r="G2318" s="1056" t="s">
        <v>2801</v>
      </c>
      <c r="H2318" s="735" t="s">
        <v>802</v>
      </c>
      <c r="I2318" s="371"/>
      <c r="J2318" s="371"/>
      <c r="K2318" s="371"/>
      <c r="L2318" s="377"/>
      <c r="M2318" s="933">
        <v>17020000</v>
      </c>
      <c r="N2318" s="977" t="s">
        <v>536</v>
      </c>
      <c r="O2318" s="977" t="s">
        <v>595</v>
      </c>
      <c r="P2318" s="75" t="str">
        <f>IF(AND('331-CT'!$E$7=TH!H2318,OR(N2318="331",O2318="331")),"x","")</f>
        <v/>
      </c>
      <c r="Q2318" s="75" t="str">
        <f>IF(AND(B2318='111'!$L$11,OR($N2318=$Q$7,$O2318=$Q$7)),"x","")</f>
        <v/>
      </c>
      <c r="R2318" s="75" t="str">
        <f>IF(AND($N2318=$Q$7,$B2318&lt;'111'!$L$11),"x","")</f>
        <v/>
      </c>
      <c r="S2318" s="75" t="str">
        <f>IF(AND($O2318=$Q$7,$B2318&lt;'111'!$L$11),"x","")</f>
        <v/>
      </c>
      <c r="T2318" s="75" t="str">
        <f>IF(ISERROR(FIND('112'!$M$9,G2318,1)),"",IF((AND(FIND('112'!$M$9,G2318,1)&gt;=1,B2318='112'!$K$9,OR($N2318='112'!$I$6,$O2318='112'!$I$6))),"x",""))</f>
        <v/>
      </c>
      <c r="U2318" s="75" t="str">
        <f>IF(ISERROR(FIND('112'!$M$9,G2318,1)),"",IF((AND(LEFT(G2318,2)=LEFT('112'!$M$9,2),B2318&lt;'112'!$K$9,$N2318='112'!$I$6)),"x",""))</f>
        <v/>
      </c>
      <c r="V2318" s="75" t="str">
        <f>IF(ISERROR(FIND('112'!$M$9,G2318,1)),"",IF((AND(RIGHT(G2318,2)=RIGHT('112'!$M$9,2),B2318&lt;'112'!$K$9,$O2318='112'!$I$6)),"x",""))</f>
        <v/>
      </c>
      <c r="W2318" s="75" t="str">
        <f>IF(AND('341-CT'!$H$9=H2318,OR(LEFT(N2318,3)=$W$7,LEFT(O2318,3)=$W$7)),"x","")</f>
        <v/>
      </c>
      <c r="X2318" s="75" t="str">
        <f>IF(OR(TH!N2318=TH!$X$7,O2318=TH!$X$7),"x","")</f>
        <v/>
      </c>
      <c r="Y2318" s="75" t="str">
        <f>IF(AND(OR(N2318="131",O2318="131"),H2318='131-CT'!$H$9),"x","")</f>
        <v/>
      </c>
      <c r="Z2318" s="75"/>
      <c r="AA2318" s="75" t="str">
        <f>IF(AND(MONTH(E2318)='IN-NX'!$J$5,'IN-NX'!$D$7=D2318),"x","")</f>
        <v/>
      </c>
      <c r="AB2318" s="75" t="str">
        <f>IF(AND(OR(LEFT(TH!N2318,2)="15",LEFT(TH!O2318,2)="15"),LEFT(TH!O2318,3)&lt;&gt;"111",'152-CT'!$J$8=TH!F2318),"x","")</f>
        <v/>
      </c>
      <c r="AC2318" s="75" t="str">
        <f>IF(AND(OR(LEFT(TH!N2318,2)="15",LEFT(TH!O2318,2)="15"),TK!$E$7=TH!F2318),"x","")</f>
        <v/>
      </c>
      <c r="AD2318" s="75" t="str">
        <f>IF(AND(N2318="1521",MONTH(C2318)='BK-NL'!$M$11),"x","")</f>
        <v/>
      </c>
    </row>
    <row r="2319" spans="1:30" ht="16.5" customHeight="1">
      <c r="A2319" s="309" t="str">
        <f>IF(B2319&lt;&gt;"",IF(AND(B2319='IN-TC'!$S$4,OR(TH!N2319="1111",TH!O2319="1111")),TH!D2319,""),"")</f>
        <v/>
      </c>
      <c r="B2319" s="1159">
        <f t="shared" ref="B2319:B2320" si="744">IF(C2319&lt;&gt;"",MONTH(C2319),"")</f>
        <v>12</v>
      </c>
      <c r="C2319" s="252">
        <v>43096</v>
      </c>
      <c r="D2319" s="252" t="s">
        <v>2200</v>
      </c>
      <c r="E2319" s="252">
        <f t="shared" ref="E2319:E2320" si="745">C2319</f>
        <v>43096</v>
      </c>
      <c r="F2319" s="1083" t="s">
        <v>425</v>
      </c>
      <c r="G2319" s="1056" t="s">
        <v>2802</v>
      </c>
      <c r="H2319" s="735" t="s">
        <v>802</v>
      </c>
      <c r="I2319" s="371">
        <v>50</v>
      </c>
      <c r="J2319" s="371">
        <v>690000</v>
      </c>
      <c r="K2319" s="371"/>
      <c r="L2319" s="377"/>
      <c r="M2319" s="933">
        <f t="shared" si="741"/>
        <v>34500000</v>
      </c>
      <c r="N2319" s="977" t="s">
        <v>536</v>
      </c>
      <c r="O2319" s="977" t="s">
        <v>286</v>
      </c>
      <c r="P2319" s="75" t="str">
        <f>IF(AND('331-CT'!$E$7=TH!H2319,OR(N2319="331",O2319="331")),"x","")</f>
        <v/>
      </c>
      <c r="Q2319" s="75" t="str">
        <f>IF(AND(B2319='111'!$L$11,OR($N2319=$Q$7,$O2319=$Q$7)),"x","")</f>
        <v/>
      </c>
      <c r="R2319" s="75" t="str">
        <f>IF(AND($N2319=$Q$7,$B2319&lt;'111'!$L$11),"x","")</f>
        <v/>
      </c>
      <c r="S2319" s="75" t="str">
        <f>IF(AND($O2319=$Q$7,$B2319&lt;'111'!$L$11),"x","")</f>
        <v/>
      </c>
      <c r="T2319" s="75" t="str">
        <f>IF(ISERROR(FIND('112'!$M$9,G2319,1)),"",IF((AND(FIND('112'!$M$9,G2319,1)&gt;=1,B2319='112'!$K$9,OR($N2319='112'!$I$6,$O2319='112'!$I$6))),"x",""))</f>
        <v/>
      </c>
      <c r="U2319" s="75" t="str">
        <f>IF(ISERROR(FIND('112'!$M$9,G2319,1)),"",IF((AND(LEFT(G2319,2)=LEFT('112'!$M$9,2),B2319&lt;'112'!$K$9,$N2319='112'!$I$6)),"x",""))</f>
        <v/>
      </c>
      <c r="V2319" s="75" t="str">
        <f>IF(ISERROR(FIND('112'!$M$9,G2319,1)),"",IF((AND(RIGHT(G2319,2)=RIGHT('112'!$M$9,2),B2319&lt;'112'!$K$9,$O2319='112'!$I$6)),"x",""))</f>
        <v/>
      </c>
      <c r="W2319" s="75" t="str">
        <f>IF(AND('341-CT'!$H$9=H2319,OR(LEFT(N2319,3)=$W$7,LEFT(O2319,3)=$W$7)),"x","")</f>
        <v/>
      </c>
      <c r="X2319" s="75" t="str">
        <f>IF(OR(TH!N2319=TH!$X$7,O2319=TH!$X$7),"x","")</f>
        <v/>
      </c>
      <c r="Y2319" s="75" t="str">
        <f>IF(AND(OR(N2319="131",O2319="131"),H2319='131-CT'!$H$9),"x","")</f>
        <v/>
      </c>
      <c r="Z2319" s="75"/>
      <c r="AA2319" s="75" t="str">
        <f>IF(AND(MONTH(E2319)='IN-NX'!$J$5,'IN-NX'!$D$7=D2319),"x","")</f>
        <v/>
      </c>
      <c r="AB2319" s="75" t="str">
        <f>IF(AND(OR(LEFT(TH!N2319,2)="15",LEFT(TH!O2319,2)="15"),LEFT(TH!O2319,3)&lt;&gt;"111",'152-CT'!$J$8=TH!F2319),"x","")</f>
        <v/>
      </c>
      <c r="AC2319" s="75" t="str">
        <f>IF(AND(OR(LEFT(TH!N2319,2)="15",LEFT(TH!O2319,2)="15"),TK!$E$7=TH!F2319),"x","")</f>
        <v/>
      </c>
      <c r="AD2319" s="75" t="str">
        <f>IF(AND(N2319="1521",MONTH(C2319)='BK-NL'!$M$11),"x","")</f>
        <v/>
      </c>
    </row>
    <row r="2320" spans="1:30" ht="16.5" customHeight="1">
      <c r="A2320" s="309" t="str">
        <f>IF(B2320&lt;&gt;"",IF(AND(B2320='IN-TC'!$S$4,OR(TH!N2320="1111",TH!O2320="1111")),TH!D2320,""),"")</f>
        <v/>
      </c>
      <c r="B2320" s="1159">
        <f t="shared" si="744"/>
        <v>12</v>
      </c>
      <c r="C2320" s="252">
        <v>43096</v>
      </c>
      <c r="D2320" s="252" t="s">
        <v>2200</v>
      </c>
      <c r="E2320" s="252">
        <f t="shared" si="745"/>
        <v>43096</v>
      </c>
      <c r="F2320" s="1055" t="s">
        <v>2803</v>
      </c>
      <c r="G2320" s="1056" t="s">
        <v>2802</v>
      </c>
      <c r="H2320" s="735" t="s">
        <v>802</v>
      </c>
      <c r="I2320" s="371"/>
      <c r="J2320" s="371"/>
      <c r="K2320" s="371"/>
      <c r="L2320" s="377"/>
      <c r="M2320" s="933">
        <v>3450000</v>
      </c>
      <c r="N2320" s="977" t="s">
        <v>536</v>
      </c>
      <c r="O2320" s="977" t="s">
        <v>595</v>
      </c>
      <c r="P2320" s="75" t="str">
        <f>IF(AND('331-CT'!$E$7=TH!H2320,OR(N2320="331",O2320="331")),"x","")</f>
        <v/>
      </c>
      <c r="Q2320" s="75" t="str">
        <f>IF(AND(B2320='111'!$L$11,OR($N2320=$Q$7,$O2320=$Q$7)),"x","")</f>
        <v/>
      </c>
      <c r="R2320" s="75" t="str">
        <f>IF(AND($N2320=$Q$7,$B2320&lt;'111'!$L$11),"x","")</f>
        <v/>
      </c>
      <c r="S2320" s="75" t="str">
        <f>IF(AND($O2320=$Q$7,$B2320&lt;'111'!$L$11),"x","")</f>
        <v/>
      </c>
      <c r="T2320" s="75" t="str">
        <f>IF(ISERROR(FIND('112'!$M$9,G2320,1)),"",IF((AND(FIND('112'!$M$9,G2320,1)&gt;=1,B2320='112'!$K$9,OR($N2320='112'!$I$6,$O2320='112'!$I$6))),"x",""))</f>
        <v/>
      </c>
      <c r="U2320" s="75" t="str">
        <f>IF(ISERROR(FIND('112'!$M$9,G2320,1)),"",IF((AND(LEFT(G2320,2)=LEFT('112'!$M$9,2),B2320&lt;'112'!$K$9,$N2320='112'!$I$6)),"x",""))</f>
        <v/>
      </c>
      <c r="V2320" s="75" t="str">
        <f>IF(ISERROR(FIND('112'!$M$9,G2320,1)),"",IF((AND(RIGHT(G2320,2)=RIGHT('112'!$M$9,2),B2320&lt;'112'!$K$9,$O2320='112'!$I$6)),"x",""))</f>
        <v/>
      </c>
      <c r="W2320" s="75" t="str">
        <f>IF(AND('341-CT'!$H$9=H2320,OR(LEFT(N2320,3)=$W$7,LEFT(O2320,3)=$W$7)),"x","")</f>
        <v/>
      </c>
      <c r="X2320" s="75" t="str">
        <f>IF(OR(TH!N2320=TH!$X$7,O2320=TH!$X$7),"x","")</f>
        <v/>
      </c>
      <c r="Y2320" s="75" t="str">
        <f>IF(AND(OR(N2320="131",O2320="131"),H2320='131-CT'!$H$9),"x","")</f>
        <v/>
      </c>
      <c r="Z2320" s="75"/>
      <c r="AA2320" s="75" t="str">
        <f>IF(AND(MONTH(E2320)='IN-NX'!$J$5,'IN-NX'!$D$7=D2320),"x","")</f>
        <v/>
      </c>
      <c r="AB2320" s="75" t="str">
        <f>IF(AND(OR(LEFT(TH!N2320,2)="15",LEFT(TH!O2320,2)="15"),LEFT(TH!O2320,3)&lt;&gt;"111",'152-CT'!$J$8=TH!F2320),"x","")</f>
        <v/>
      </c>
      <c r="AC2320" s="75" t="str">
        <f>IF(AND(OR(LEFT(TH!N2320,2)="15",LEFT(TH!O2320,2)="15"),TK!$E$7=TH!F2320),"x","")</f>
        <v/>
      </c>
      <c r="AD2320" s="75" t="str">
        <f>IF(AND(N2320="1521",MONTH(C2320)='BK-NL'!$M$11),"x","")</f>
        <v/>
      </c>
    </row>
    <row r="2321" spans="1:32" ht="16.5" customHeight="1">
      <c r="A2321" s="309" t="str">
        <f>IF(B2321&lt;&gt;"",IF(AND(B2321='IN-TC'!$S$4,OR(TH!N2321="1111",TH!O2321="1111")),TH!D2321,""),"")</f>
        <v/>
      </c>
      <c r="B2321" s="1159">
        <f t="shared" ref="B2321:B2324" si="746">IF(C2321&lt;&gt;"",MONTH(C2321),"")</f>
        <v>12</v>
      </c>
      <c r="C2321" s="252">
        <v>43098</v>
      </c>
      <c r="D2321" s="252" t="s">
        <v>2201</v>
      </c>
      <c r="E2321" s="252">
        <f t="shared" ref="E2321:E2324" si="747">C2321</f>
        <v>43098</v>
      </c>
      <c r="F2321" s="1055" t="s">
        <v>418</v>
      </c>
      <c r="G2321" s="1056" t="s">
        <v>2841</v>
      </c>
      <c r="H2321" s="735" t="s">
        <v>2842</v>
      </c>
      <c r="I2321" s="371">
        <v>9000</v>
      </c>
      <c r="J2321" s="371">
        <v>4</v>
      </c>
      <c r="K2321" s="371">
        <f t="shared" ref="K2321" si="748">I2321*J2321</f>
        <v>36000</v>
      </c>
      <c r="L2321" s="377">
        <v>22680</v>
      </c>
      <c r="M2321" s="933">
        <f t="shared" ref="M2321:M2324" si="749">ROUND(K2321*L2321,0)</f>
        <v>816480000</v>
      </c>
      <c r="N2321" s="977" t="s">
        <v>536</v>
      </c>
      <c r="O2321" s="977" t="s">
        <v>288</v>
      </c>
      <c r="P2321" s="75" t="str">
        <f>IF(AND('331-CT'!$E$7=TH!H2321,OR(N2321="331",O2321="331")),"x","")</f>
        <v/>
      </c>
      <c r="Q2321" s="75" t="str">
        <f>IF(AND(B2321='111'!$L$11,OR($N2321=$Q$7,$O2321=$Q$7)),"x","")</f>
        <v/>
      </c>
      <c r="R2321" s="75" t="str">
        <f>IF(AND($N2321=$Q$7,$B2321&lt;'111'!$L$11),"x","")</f>
        <v/>
      </c>
      <c r="S2321" s="75" t="str">
        <f>IF(AND($O2321=$Q$7,$B2321&lt;'111'!$L$11),"x","")</f>
        <v/>
      </c>
      <c r="T2321" s="75" t="str">
        <f>IF(ISERROR(FIND('112'!$M$9,G2321,1)),"",IF((AND(FIND('112'!$M$9,G2321,1)&gt;=1,B2321='112'!$K$9,OR($N2321='112'!$I$6,$O2321='112'!$I$6))),"x",""))</f>
        <v/>
      </c>
      <c r="U2321" s="75" t="str">
        <f>IF(ISERROR(FIND('112'!$M$9,G2321,1)),"",IF((AND(LEFT(G2321,2)=LEFT('112'!$M$9,2),B2321&lt;'112'!$K$9,$N2321='112'!$I$6)),"x",""))</f>
        <v/>
      </c>
      <c r="V2321" s="75" t="str">
        <f>IF(ISERROR(FIND('112'!$M$9,G2321,1)),"",IF((AND(RIGHT(G2321,2)=RIGHT('112'!$M$9,2),B2321&lt;'112'!$K$9,$O2321='112'!$I$6)),"x",""))</f>
        <v/>
      </c>
      <c r="W2321" s="75" t="str">
        <f>IF(AND('341-CT'!$H$9=H2321,OR(LEFT(N2321,3)=$W$7,LEFT(O2321,3)=$W$7)),"x","")</f>
        <v/>
      </c>
      <c r="X2321" s="75" t="str">
        <f>IF(OR(TH!N2321=TH!$X$7,O2321=TH!$X$7),"x","")</f>
        <v/>
      </c>
      <c r="Y2321" s="75" t="str">
        <f>IF(AND(OR(N2321="131",O2321="131"),H2321='131-CT'!$H$9),"x","")</f>
        <v/>
      </c>
      <c r="Z2321" s="75"/>
      <c r="AA2321" s="75" t="str">
        <f>IF(AND(MONTH(E2321)='IN-NX'!$J$5,'IN-NX'!$D$7=D2321),"x","")</f>
        <v/>
      </c>
      <c r="AB2321" s="75" t="str">
        <f>IF(AND(OR(LEFT(TH!N2321,2)="15",LEFT(TH!O2321,2)="15"),LEFT(TH!O2321,3)&lt;&gt;"111",'152-CT'!$J$8=TH!F2321),"x","")</f>
        <v/>
      </c>
      <c r="AC2321" s="75" t="str">
        <f>IF(AND(OR(LEFT(TH!N2321,2)="15",LEFT(TH!O2321,2)="15"),TK!$E$7=TH!F2321),"x","")</f>
        <v/>
      </c>
      <c r="AD2321" s="75" t="str">
        <f>IF(AND(N2321="1521",MONTH(C2321)='BK-NL'!$M$11),"x","")</f>
        <v/>
      </c>
    </row>
    <row r="2322" spans="1:32" ht="16.5" customHeight="1">
      <c r="A2322" s="309" t="str">
        <f>IF(B2322&lt;&gt;"",IF(AND(B2322='IN-TC'!$S$4,OR(TH!N2322="1111",TH!O2322="1111")),TH!D2322,""),"")</f>
        <v/>
      </c>
      <c r="B2322" s="1159">
        <f t="shared" si="746"/>
        <v>12</v>
      </c>
      <c r="C2322" s="252">
        <v>43098</v>
      </c>
      <c r="D2322" s="252" t="s">
        <v>2201</v>
      </c>
      <c r="E2322" s="252">
        <f t="shared" si="747"/>
        <v>43098</v>
      </c>
      <c r="F2322" s="1055" t="s">
        <v>2399</v>
      </c>
      <c r="G2322" s="1056" t="s">
        <v>2841</v>
      </c>
      <c r="H2322" s="735" t="s">
        <v>2842</v>
      </c>
      <c r="I2322" s="371">
        <v>3000</v>
      </c>
      <c r="J2322" s="371">
        <v>2.15</v>
      </c>
      <c r="K2322" s="371">
        <f t="shared" ref="K2322:K2324" si="750">I2322*J2322</f>
        <v>6450</v>
      </c>
      <c r="L2322" s="377">
        <v>22680</v>
      </c>
      <c r="M2322" s="933">
        <f t="shared" si="749"/>
        <v>146286000</v>
      </c>
      <c r="N2322" s="977" t="s">
        <v>536</v>
      </c>
      <c r="O2322" s="977" t="s">
        <v>288</v>
      </c>
      <c r="P2322" s="75" t="str">
        <f>IF(AND('331-CT'!$E$7=TH!H2322,OR(N2322="331",O2322="331")),"x","")</f>
        <v/>
      </c>
      <c r="Q2322" s="75" t="str">
        <f>IF(AND(B2322='111'!$L$11,OR($N2322=$Q$7,$O2322=$Q$7)),"x","")</f>
        <v/>
      </c>
      <c r="R2322" s="75" t="str">
        <f>IF(AND($N2322=$Q$7,$B2322&lt;'111'!$L$11),"x","")</f>
        <v/>
      </c>
      <c r="S2322" s="75" t="str">
        <f>IF(AND($O2322=$Q$7,$B2322&lt;'111'!$L$11),"x","")</f>
        <v/>
      </c>
      <c r="T2322" s="75" t="str">
        <f>IF(ISERROR(FIND('112'!$M$9,G2322,1)),"",IF((AND(FIND('112'!$M$9,G2322,1)&gt;=1,B2322='112'!$K$9,OR($N2322='112'!$I$6,$O2322='112'!$I$6))),"x",""))</f>
        <v/>
      </c>
      <c r="U2322" s="75" t="str">
        <f>IF(ISERROR(FIND('112'!$M$9,G2322,1)),"",IF((AND(LEFT(G2322,2)=LEFT('112'!$M$9,2),B2322&lt;'112'!$K$9,$N2322='112'!$I$6)),"x",""))</f>
        <v/>
      </c>
      <c r="V2322" s="75" t="str">
        <f>IF(ISERROR(FIND('112'!$M$9,G2322,1)),"",IF((AND(RIGHT(G2322,2)=RIGHT('112'!$M$9,2),B2322&lt;'112'!$K$9,$O2322='112'!$I$6)),"x",""))</f>
        <v/>
      </c>
      <c r="W2322" s="75" t="str">
        <f>IF(AND('341-CT'!$H$9=H2322,OR(LEFT(N2322,3)=$W$7,LEFT(O2322,3)=$W$7)),"x","")</f>
        <v/>
      </c>
      <c r="X2322" s="75" t="str">
        <f>IF(OR(TH!N2322=TH!$X$7,O2322=TH!$X$7),"x","")</f>
        <v/>
      </c>
      <c r="Y2322" s="75" t="str">
        <f>IF(AND(OR(N2322="131",O2322="131"),H2322='131-CT'!$H$9),"x","")</f>
        <v/>
      </c>
      <c r="Z2322" s="75"/>
      <c r="AA2322" s="75" t="str">
        <f>IF(AND(MONTH(E2322)='IN-NX'!$J$5,'IN-NX'!$D$7=D2322),"x","")</f>
        <v/>
      </c>
      <c r="AB2322" s="75" t="str">
        <f>IF(AND(OR(LEFT(TH!N2322,2)="15",LEFT(TH!O2322,2)="15"),LEFT(TH!O2322,3)&lt;&gt;"111",'152-CT'!$J$8=TH!F2322),"x","")</f>
        <v/>
      </c>
      <c r="AC2322" s="75" t="str">
        <f>IF(AND(OR(LEFT(TH!N2322,2)="15",LEFT(TH!O2322,2)="15"),TK!$E$7=TH!F2322),"x","")</f>
        <v/>
      </c>
      <c r="AD2322" s="75" t="str">
        <f>IF(AND(N2322="1521",MONTH(C2322)='BK-NL'!$M$11),"x","")</f>
        <v/>
      </c>
    </row>
    <row r="2323" spans="1:32" ht="16.5" customHeight="1">
      <c r="A2323" s="309" t="str">
        <f>IF(B2323&lt;&gt;"",IF(AND(B2323='IN-TC'!$S$4,OR(TH!N2323="1111",TH!O2323="1111")),TH!D2323,""),"")</f>
        <v/>
      </c>
      <c r="B2323" s="1159">
        <f t="shared" si="746"/>
        <v>12</v>
      </c>
      <c r="C2323" s="252">
        <v>43098</v>
      </c>
      <c r="D2323" s="252" t="s">
        <v>2201</v>
      </c>
      <c r="E2323" s="252">
        <f t="shared" si="747"/>
        <v>43098</v>
      </c>
      <c r="F2323" s="1055" t="s">
        <v>421</v>
      </c>
      <c r="G2323" s="1056" t="s">
        <v>2841</v>
      </c>
      <c r="H2323" s="735" t="s">
        <v>2842</v>
      </c>
      <c r="I2323" s="371">
        <v>11010</v>
      </c>
      <c r="J2323" s="371">
        <v>5.4</v>
      </c>
      <c r="K2323" s="371">
        <f t="shared" si="750"/>
        <v>59454.000000000007</v>
      </c>
      <c r="L2323" s="377">
        <v>22680</v>
      </c>
      <c r="M2323" s="933">
        <f t="shared" si="749"/>
        <v>1348416720</v>
      </c>
      <c r="N2323" s="977" t="s">
        <v>536</v>
      </c>
      <c r="O2323" s="977" t="s">
        <v>288</v>
      </c>
      <c r="P2323" s="75" t="str">
        <f>IF(AND('331-CT'!$E$7=TH!H2323,OR(N2323="331",O2323="331")),"x","")</f>
        <v/>
      </c>
      <c r="Q2323" s="75" t="str">
        <f>IF(AND(B2323='111'!$L$11,OR($N2323=$Q$7,$O2323=$Q$7)),"x","")</f>
        <v/>
      </c>
      <c r="R2323" s="75" t="str">
        <f>IF(AND($N2323=$Q$7,$B2323&lt;'111'!$L$11),"x","")</f>
        <v/>
      </c>
      <c r="S2323" s="75" t="str">
        <f>IF(AND($O2323=$Q$7,$B2323&lt;'111'!$L$11),"x","")</f>
        <v/>
      </c>
      <c r="T2323" s="75" t="str">
        <f>IF(ISERROR(FIND('112'!$M$9,G2323,1)),"",IF((AND(FIND('112'!$M$9,G2323,1)&gt;=1,B2323='112'!$K$9,OR($N2323='112'!$I$6,$O2323='112'!$I$6))),"x",""))</f>
        <v/>
      </c>
      <c r="U2323" s="75" t="str">
        <f>IF(ISERROR(FIND('112'!$M$9,G2323,1)),"",IF((AND(LEFT(G2323,2)=LEFT('112'!$M$9,2),B2323&lt;'112'!$K$9,$N2323='112'!$I$6)),"x",""))</f>
        <v/>
      </c>
      <c r="V2323" s="75" t="str">
        <f>IF(ISERROR(FIND('112'!$M$9,G2323,1)),"",IF((AND(RIGHT(G2323,2)=RIGHT('112'!$M$9,2),B2323&lt;'112'!$K$9,$O2323='112'!$I$6)),"x",""))</f>
        <v/>
      </c>
      <c r="W2323" s="75" t="str">
        <f>IF(AND('341-CT'!$H$9=H2323,OR(LEFT(N2323,3)=$W$7,LEFT(O2323,3)=$W$7)),"x","")</f>
        <v/>
      </c>
      <c r="X2323" s="75" t="str">
        <f>IF(OR(TH!N2323=TH!$X$7,O2323=TH!$X$7),"x","")</f>
        <v/>
      </c>
      <c r="Y2323" s="75" t="str">
        <f>IF(AND(OR(N2323="131",O2323="131"),H2323='131-CT'!$H$9),"x","")</f>
        <v/>
      </c>
      <c r="Z2323" s="75"/>
      <c r="AA2323" s="75" t="str">
        <f>IF(AND(MONTH(E2323)='IN-NX'!$J$5,'IN-NX'!$D$7=D2323),"x","")</f>
        <v/>
      </c>
      <c r="AB2323" s="75" t="str">
        <f>IF(AND(OR(LEFT(TH!N2323,2)="15",LEFT(TH!O2323,2)="15"),LEFT(TH!O2323,3)&lt;&gt;"111",'152-CT'!$J$8=TH!F2323),"x","")</f>
        <v/>
      </c>
      <c r="AC2323" s="75" t="str">
        <f>IF(AND(OR(LEFT(TH!N2323,2)="15",LEFT(TH!O2323,2)="15"),TK!$E$7=TH!F2323),"x","")</f>
        <v/>
      </c>
      <c r="AD2323" s="75" t="str">
        <f>IF(AND(N2323="1521",MONTH(C2323)='BK-NL'!$M$11),"x","")</f>
        <v/>
      </c>
    </row>
    <row r="2324" spans="1:32" ht="16.5" customHeight="1">
      <c r="A2324" s="309" t="str">
        <f>IF(B2324&lt;&gt;"",IF(AND(B2324='IN-TC'!$S$4,OR(TH!N2324="1111",TH!O2324="1111")),TH!D2324,""),"")</f>
        <v/>
      </c>
      <c r="B2324" s="1159">
        <f t="shared" si="746"/>
        <v>12</v>
      </c>
      <c r="C2324" s="252">
        <v>43099</v>
      </c>
      <c r="D2324" s="252" t="s">
        <v>2291</v>
      </c>
      <c r="E2324" s="252">
        <f t="shared" si="747"/>
        <v>43099</v>
      </c>
      <c r="F2324" s="1055" t="s">
        <v>2399</v>
      </c>
      <c r="G2324" s="1056" t="s">
        <v>2859</v>
      </c>
      <c r="H2324" s="735" t="s">
        <v>1859</v>
      </c>
      <c r="I2324" s="371">
        <v>52780</v>
      </c>
      <c r="J2324" s="371">
        <v>2</v>
      </c>
      <c r="K2324" s="371">
        <f t="shared" si="750"/>
        <v>105560</v>
      </c>
      <c r="L2324" s="377">
        <v>22680</v>
      </c>
      <c r="M2324" s="933">
        <f t="shared" si="749"/>
        <v>2394100800</v>
      </c>
      <c r="N2324" s="977" t="s">
        <v>536</v>
      </c>
      <c r="O2324" s="977" t="s">
        <v>288</v>
      </c>
      <c r="P2324" s="75" t="str">
        <f>IF(AND('331-CT'!$E$7=TH!H2324,OR(N2324="331",O2324="331")),"x","")</f>
        <v/>
      </c>
      <c r="Q2324" s="75" t="str">
        <f>IF(AND(B2324='111'!$L$11,OR($N2324=$Q$7,$O2324=$Q$7)),"x","")</f>
        <v/>
      </c>
      <c r="R2324" s="75" t="str">
        <f>IF(AND($N2324=$Q$7,$B2324&lt;'111'!$L$11),"x","")</f>
        <v/>
      </c>
      <c r="S2324" s="75" t="str">
        <f>IF(AND($O2324=$Q$7,$B2324&lt;'111'!$L$11),"x","")</f>
        <v/>
      </c>
      <c r="T2324" s="75" t="str">
        <f>IF(ISERROR(FIND('112'!$M$9,G2324,1)),"",IF((AND(FIND('112'!$M$9,G2324,1)&gt;=1,B2324='112'!$K$9,OR($N2324='112'!$I$6,$O2324='112'!$I$6))),"x",""))</f>
        <v/>
      </c>
      <c r="U2324" s="75" t="str">
        <f>IF(ISERROR(FIND('112'!$M$9,G2324,1)),"",IF((AND(LEFT(G2324,2)=LEFT('112'!$M$9,2),B2324&lt;'112'!$K$9,$N2324='112'!$I$6)),"x",""))</f>
        <v/>
      </c>
      <c r="V2324" s="75" t="str">
        <f>IF(ISERROR(FIND('112'!$M$9,G2324,1)),"",IF((AND(RIGHT(G2324,2)=RIGHT('112'!$M$9,2),B2324&lt;'112'!$K$9,$O2324='112'!$I$6)),"x",""))</f>
        <v/>
      </c>
      <c r="W2324" s="75" t="str">
        <f>IF(AND('341-CT'!$H$9=H2324,OR(LEFT(N2324,3)=$W$7,LEFT(O2324,3)=$W$7)),"x","")</f>
        <v/>
      </c>
      <c r="X2324" s="75" t="str">
        <f>IF(OR(TH!N2324=TH!$X$7,O2324=TH!$X$7),"x","")</f>
        <v/>
      </c>
      <c r="Y2324" s="75" t="str">
        <f>IF(AND(OR(N2324="131",O2324="131"),H2324='131-CT'!$H$9),"x","")</f>
        <v/>
      </c>
      <c r="Z2324" s="75"/>
      <c r="AA2324" s="75" t="str">
        <f>IF(AND(MONTH(E2324)='IN-NX'!$J$5,'IN-NX'!$D$7=D2324),"x","")</f>
        <v/>
      </c>
      <c r="AB2324" s="75" t="str">
        <f>IF(AND(OR(LEFT(TH!N2324,2)="15",LEFT(TH!O2324,2)="15"),LEFT(TH!O2324,3)&lt;&gt;"111",'152-CT'!$J$8=TH!F2324),"x","")</f>
        <v/>
      </c>
      <c r="AC2324" s="75" t="str">
        <f>IF(AND(OR(LEFT(TH!N2324,2)="15",LEFT(TH!O2324,2)="15"),TK!$E$7=TH!F2324),"x","")</f>
        <v/>
      </c>
      <c r="AD2324" s="75" t="str">
        <f>IF(AND(N2324="1521",MONTH(C2324)='BK-NL'!$M$11),"x","")</f>
        <v/>
      </c>
    </row>
    <row r="2325" spans="1:32" s="1053" customFormat="1" ht="16.5" customHeight="1">
      <c r="A2325" s="309" t="str">
        <f>IF(B2325&lt;&gt;"",IF(AND(B2325='IN-TC'!$S$4,OR(TH!N2325="1111",TH!O2325="1111")),TH!D2325,""),"")</f>
        <v/>
      </c>
      <c r="B2325" s="1159">
        <f t="shared" ref="B2325" si="751">IF(C2325&lt;&gt;"",MONTH(C2325),"")</f>
        <v>12</v>
      </c>
      <c r="C2325" s="217">
        <v>43076</v>
      </c>
      <c r="D2325" s="217" t="s">
        <v>815</v>
      </c>
      <c r="E2325" s="217">
        <f>C2325</f>
        <v>43076</v>
      </c>
      <c r="F2325" s="960" t="s">
        <v>2399</v>
      </c>
      <c r="G2325" s="739" t="s">
        <v>1135</v>
      </c>
      <c r="H2325" s="311" t="s">
        <v>623</v>
      </c>
      <c r="I2325" s="373">
        <v>45761.9</v>
      </c>
      <c r="J2325" s="373">
        <v>39500</v>
      </c>
      <c r="K2325" s="373"/>
      <c r="L2325" s="379"/>
      <c r="M2325" s="927">
        <f>ROUND(I2325*J2325,0)</f>
        <v>1807595050</v>
      </c>
      <c r="N2325" s="935" t="s">
        <v>274</v>
      </c>
      <c r="O2325" s="935" t="s">
        <v>8</v>
      </c>
      <c r="P2325" s="75" t="str">
        <f>IF(AND('331-CT'!$E$7=TH!H2325,OR(N2325="331",O2325="331")),"x","")</f>
        <v/>
      </c>
      <c r="Q2325" s="75" t="str">
        <f>IF(AND(B2325='111'!$L$11,OR($N2325=$Q$7,$O2325=$Q$7)),"x","")</f>
        <v/>
      </c>
      <c r="R2325" s="75" t="str">
        <f>IF(AND($N2325=$Q$7,$B2325&lt;'111'!$L$11),"x","")</f>
        <v/>
      </c>
      <c r="S2325" s="75" t="str">
        <f>IF(AND($O2325=$Q$7,$B2325&lt;'111'!$L$11),"x","")</f>
        <v/>
      </c>
      <c r="T2325" s="75" t="str">
        <f>IF(ISERROR(FIND('112'!$M$9,G2325,1)),"",IF((AND(FIND('112'!$M$9,G2325,1)&gt;=1,B2325='112'!$K$9,OR($N2325='112'!$I$6,$O2325='112'!$I$6))),"x",""))</f>
        <v/>
      </c>
      <c r="U2325" s="75" t="str">
        <f>IF(ISERROR(FIND('112'!$M$9,G2325,1)),"",IF((AND(LEFT(G2325,2)=LEFT('112'!$M$9,2),B2325&lt;'112'!$K$9,$N2325='112'!$I$6)),"x",""))</f>
        <v/>
      </c>
      <c r="V2325" s="75" t="str">
        <f>IF(ISERROR(FIND('112'!$M$9,G2325,1)),"",IF((AND(RIGHT(G2325,2)=RIGHT('112'!$M$9,2),B2325&lt;'112'!$K$9,$O2325='112'!$I$6)),"x",""))</f>
        <v/>
      </c>
      <c r="W2325" s="75" t="str">
        <f>IF(AND('341-CT'!$H$9=H2325,OR(LEFT(N2325,3)=$W$7,LEFT(O2325,3)=$W$7)),"x","")</f>
        <v/>
      </c>
      <c r="X2325" s="75" t="str">
        <f>IF(OR(TH!N2325=TH!$X$7,O2325=TH!$X$7),"x","")</f>
        <v/>
      </c>
      <c r="Y2325" s="75" t="str">
        <f>IF(AND(OR(N2325="131",O2325="131"),H2325='131-CT'!$H$9),"x","")</f>
        <v/>
      </c>
      <c r="Z2325" s="75"/>
      <c r="AA2325" s="75" t="str">
        <f>IF(AND(MONTH(E2325)='IN-NX'!$J$5,'IN-NX'!$D$7=D2325),"x","")</f>
        <v/>
      </c>
      <c r="AB2325" s="75" t="str">
        <f>IF(AND(OR(LEFT(TH!N2325,2)="15",LEFT(TH!O2325,2)="15"),LEFT(TH!O2325,3)&lt;&gt;"111",'152-CT'!$J$8=TH!F2325),"x","")</f>
        <v/>
      </c>
      <c r="AC2325" s="75" t="str">
        <f>IF(AND(OR(LEFT(TH!N2325,2)="15",LEFT(TH!O2325,2)="15"),TK!$E$7=TH!F2325),"x","")</f>
        <v/>
      </c>
      <c r="AD2325" s="75" t="str">
        <f>IF(AND(N2325="1521",MONTH(C2325)='BK-NL'!$M$11),"x","")</f>
        <v/>
      </c>
      <c r="AF2325" s="1054"/>
    </row>
    <row r="2326" spans="1:32" s="1053" customFormat="1" ht="16.5" customHeight="1">
      <c r="A2326" s="309" t="str">
        <f>IF(B2326&lt;&gt;"",IF(AND(B2326='IN-TC'!$S$4,OR(TH!N2326="1111",TH!O2326="1111")),TH!D2326,""),"")</f>
        <v/>
      </c>
      <c r="B2326" s="1159">
        <f t="shared" ref="B2326" si="752">IF(C2326&lt;&gt;"",MONTH(C2326),"")</f>
        <v>12</v>
      </c>
      <c r="C2326" s="217">
        <v>43077</v>
      </c>
      <c r="D2326" s="217" t="s">
        <v>997</v>
      </c>
      <c r="E2326" s="217">
        <f t="shared" ref="E2326" si="753">C2326</f>
        <v>43077</v>
      </c>
      <c r="F2326" s="960" t="s">
        <v>2399</v>
      </c>
      <c r="G2326" s="739" t="s">
        <v>2840</v>
      </c>
      <c r="H2326" s="311" t="s">
        <v>623</v>
      </c>
      <c r="I2326" s="373">
        <v>26390</v>
      </c>
      <c r="J2326" s="373">
        <v>39500</v>
      </c>
      <c r="K2326" s="373"/>
      <c r="L2326" s="379"/>
      <c r="M2326" s="927">
        <f t="shared" ref="M2326" si="754">ROUND(I2326*J2326,0)</f>
        <v>1042405000</v>
      </c>
      <c r="N2326" s="935" t="s">
        <v>274</v>
      </c>
      <c r="O2326" s="935" t="s">
        <v>8</v>
      </c>
      <c r="P2326" s="75" t="str">
        <f>IF(AND('331-CT'!$E$7=TH!H2326,OR(N2326="331",O2326="331")),"x","")</f>
        <v/>
      </c>
      <c r="Q2326" s="75" t="str">
        <f>IF(AND(B2326='111'!$L$11,OR($N2326=$Q$7,$O2326=$Q$7)),"x","")</f>
        <v/>
      </c>
      <c r="R2326" s="75" t="str">
        <f>IF(AND($N2326=$Q$7,$B2326&lt;'111'!$L$11),"x","")</f>
        <v/>
      </c>
      <c r="S2326" s="75" t="str">
        <f>IF(AND($O2326=$Q$7,$B2326&lt;'111'!$L$11),"x","")</f>
        <v/>
      </c>
      <c r="T2326" s="75" t="str">
        <f>IF(ISERROR(FIND('112'!$M$9,G2326,1)),"",IF((AND(FIND('112'!$M$9,G2326,1)&gt;=1,B2326='112'!$K$9,OR($N2326='112'!$I$6,$O2326='112'!$I$6))),"x",""))</f>
        <v/>
      </c>
      <c r="U2326" s="75" t="str">
        <f>IF(ISERROR(FIND('112'!$M$9,G2326,1)),"",IF((AND(LEFT(G2326,2)=LEFT('112'!$M$9,2),B2326&lt;'112'!$K$9,$N2326='112'!$I$6)),"x",""))</f>
        <v/>
      </c>
      <c r="V2326" s="75" t="str">
        <f>IF(ISERROR(FIND('112'!$M$9,G2326,1)),"",IF((AND(RIGHT(G2326,2)=RIGHT('112'!$M$9,2),B2326&lt;'112'!$K$9,$O2326='112'!$I$6)),"x",""))</f>
        <v/>
      </c>
      <c r="W2326" s="75" t="str">
        <f>IF(AND('341-CT'!$H$9=H2326,OR(LEFT(N2326,3)=$W$7,LEFT(O2326,3)=$W$7)),"x","")</f>
        <v/>
      </c>
      <c r="X2326" s="75" t="str">
        <f>IF(OR(TH!N2326=TH!$X$7,O2326=TH!$X$7),"x","")</f>
        <v/>
      </c>
      <c r="Y2326" s="75" t="str">
        <f>IF(AND(OR(N2326="131",O2326="131"),H2326='131-CT'!$H$9),"x","")</f>
        <v/>
      </c>
      <c r="Z2326" s="75"/>
      <c r="AA2326" s="75" t="str">
        <f>IF(AND(MONTH(E2326)='IN-NX'!$J$5,'IN-NX'!$D$7=D2326),"x","")</f>
        <v/>
      </c>
      <c r="AB2326" s="75" t="str">
        <f>IF(AND(OR(LEFT(TH!N2326,2)="15",LEFT(TH!O2326,2)="15"),LEFT(TH!O2326,3)&lt;&gt;"111",'152-CT'!$J$8=TH!F2326),"x","")</f>
        <v/>
      </c>
      <c r="AC2326" s="75" t="str">
        <f>IF(AND(OR(LEFT(TH!N2326,2)="15",LEFT(TH!O2326,2)="15"),TK!$E$7=TH!F2326),"x","")</f>
        <v/>
      </c>
      <c r="AD2326" s="75" t="str">
        <f>IF(AND(N2326="1521",MONTH(C2326)='BK-NL'!$M$11),"x","")</f>
        <v/>
      </c>
      <c r="AF2326" s="1054"/>
    </row>
    <row r="2327" spans="1:32" s="1053" customFormat="1" ht="16.5" customHeight="1">
      <c r="A2327" s="309" t="str">
        <f>IF(B2327&lt;&gt;"",IF(AND(B2327='IN-TC'!$S$4,OR(TH!N2327="1111",TH!O2327="1111")),TH!D2327,""),"")</f>
        <v/>
      </c>
      <c r="B2327" s="1159">
        <f t="shared" ref="B2327:B2341" si="755">IF(C2327&lt;&gt;"",MONTH(C2327),"")</f>
        <v>12</v>
      </c>
      <c r="C2327" s="217">
        <v>43083</v>
      </c>
      <c r="D2327" s="217" t="s">
        <v>999</v>
      </c>
      <c r="E2327" s="217">
        <f t="shared" ref="E2327" si="756">C2327</f>
        <v>43083</v>
      </c>
      <c r="F2327" s="960" t="s">
        <v>2399</v>
      </c>
      <c r="G2327" s="739" t="s">
        <v>2838</v>
      </c>
      <c r="H2327" s="67" t="s">
        <v>789</v>
      </c>
      <c r="I2327" s="373">
        <v>32898</v>
      </c>
      <c r="J2327" s="373">
        <v>39500</v>
      </c>
      <c r="K2327" s="373"/>
      <c r="L2327" s="379"/>
      <c r="M2327" s="927">
        <f t="shared" ref="M2327" si="757">ROUND(I2327*J2327,0)</f>
        <v>1299471000</v>
      </c>
      <c r="N2327" s="935" t="s">
        <v>274</v>
      </c>
      <c r="O2327" s="935" t="s">
        <v>8</v>
      </c>
      <c r="P2327" s="75" t="str">
        <f>IF(AND('331-CT'!$E$7=TH!H2327,OR(N2327="331",O2327="331")),"x","")</f>
        <v/>
      </c>
      <c r="Q2327" s="75" t="str">
        <f>IF(AND(B2327='111'!$L$11,OR($N2327=$Q$7,$O2327=$Q$7)),"x","")</f>
        <v/>
      </c>
      <c r="R2327" s="75" t="str">
        <f>IF(AND($N2327=$Q$7,$B2327&lt;'111'!$L$11),"x","")</f>
        <v/>
      </c>
      <c r="S2327" s="75" t="str">
        <f>IF(AND($O2327=$Q$7,$B2327&lt;'111'!$L$11),"x","")</f>
        <v/>
      </c>
      <c r="T2327" s="75" t="str">
        <f>IF(ISERROR(FIND('112'!$M$9,G2327,1)),"",IF((AND(FIND('112'!$M$9,G2327,1)&gt;=1,B2327='112'!$K$9,OR($N2327='112'!$I$6,$O2327='112'!$I$6))),"x",""))</f>
        <v/>
      </c>
      <c r="U2327" s="75" t="str">
        <f>IF(ISERROR(FIND('112'!$M$9,G2327,1)),"",IF((AND(LEFT(G2327,2)=LEFT('112'!$M$9,2),B2327&lt;'112'!$K$9,$N2327='112'!$I$6)),"x",""))</f>
        <v/>
      </c>
      <c r="V2327" s="75" t="str">
        <f>IF(ISERROR(FIND('112'!$M$9,G2327,1)),"",IF((AND(RIGHT(G2327,2)=RIGHT('112'!$M$9,2),B2327&lt;'112'!$K$9,$O2327='112'!$I$6)),"x",""))</f>
        <v/>
      </c>
      <c r="W2327" s="75" t="str">
        <f>IF(AND('341-CT'!$H$9=H2327,OR(LEFT(N2327,3)=$W$7,LEFT(O2327,3)=$W$7)),"x","")</f>
        <v/>
      </c>
      <c r="X2327" s="75" t="str">
        <f>IF(OR(TH!N2327=TH!$X$7,O2327=TH!$X$7),"x","")</f>
        <v/>
      </c>
      <c r="Y2327" s="75" t="str">
        <f>IF(AND(OR(N2327="131",O2327="131"),H2327='131-CT'!$H$9),"x","")</f>
        <v/>
      </c>
      <c r="Z2327" s="75"/>
      <c r="AA2327" s="75" t="str">
        <f>IF(AND(MONTH(E2327)='IN-NX'!$J$5,'IN-NX'!$D$7=D2327),"x","")</f>
        <v/>
      </c>
      <c r="AB2327" s="75" t="str">
        <f>IF(AND(OR(LEFT(TH!N2327,2)="15",LEFT(TH!O2327,2)="15"),LEFT(TH!O2327,3)&lt;&gt;"111",'152-CT'!$J$8=TH!F2327),"x","")</f>
        <v/>
      </c>
      <c r="AC2327" s="75" t="str">
        <f>IF(AND(OR(LEFT(TH!N2327,2)="15",LEFT(TH!O2327,2)="15"),TK!$E$7=TH!F2327),"x","")</f>
        <v/>
      </c>
      <c r="AD2327" s="75" t="str">
        <f>IF(AND(N2327="1521",MONTH(C2327)='BK-NL'!$M$11),"x","")</f>
        <v/>
      </c>
      <c r="AF2327" s="1054"/>
    </row>
    <row r="2328" spans="1:32" ht="16.5" customHeight="1">
      <c r="A2328" s="309" t="str">
        <f>IF(B2328&lt;&gt;"",IF(AND(B2328='IN-TC'!$S$4,OR(TH!N2328="1111",TH!O2328="1111")),TH!D2328,""),"")</f>
        <v/>
      </c>
      <c r="B2328" s="1159">
        <f t="shared" ref="B2328:B2334" si="758">IF(C2328&lt;&gt;"",MONTH(C2328),"")</f>
        <v>12</v>
      </c>
      <c r="C2328" s="217">
        <f t="shared" ref="C2328:C2334" si="759">E2328</f>
        <v>43083</v>
      </c>
      <c r="D2328" s="217" t="s">
        <v>1124</v>
      </c>
      <c r="E2328" s="217">
        <v>43083</v>
      </c>
      <c r="F2328" s="996" t="s">
        <v>2399</v>
      </c>
      <c r="G2328" s="739"/>
      <c r="H2328" s="294" t="s">
        <v>2919</v>
      </c>
      <c r="I2328" s="1122">
        <v>350118.1</v>
      </c>
      <c r="J2328" s="926">
        <v>49399.430629264811</v>
      </c>
      <c r="K2328" s="926"/>
      <c r="L2328" s="379"/>
      <c r="M2328" s="927">
        <f>ROUND(I2328*J2328,0)</f>
        <v>17295634793</v>
      </c>
      <c r="N2328" s="935" t="s">
        <v>274</v>
      </c>
      <c r="O2328" s="935" t="s">
        <v>272</v>
      </c>
      <c r="P2328" s="75" t="str">
        <f>IF(AND('331-CT'!$E$7=TH!H2328,OR(N2328="331",O2328="331")),"x","")</f>
        <v/>
      </c>
      <c r="Q2328" s="75" t="str">
        <f>IF(AND(B2328='111'!$L$11,OR($N2328=$Q$7,$O2328=$Q$7)),"x","")</f>
        <v/>
      </c>
      <c r="R2328" s="75" t="str">
        <f>IF(AND($N2328=$Q$7,$B2328&lt;'111'!$L$11),"x","")</f>
        <v/>
      </c>
      <c r="S2328" s="75" t="str">
        <f>IF(AND($O2328=$Q$7,$B2328&lt;'111'!$L$11),"x","")</f>
        <v/>
      </c>
      <c r="T2328" s="75" t="str">
        <f>IF(ISERROR(FIND('112'!$M$9,G2328,1)),"",IF((AND(FIND('112'!$M$9,G2328,1)&gt;=1,B2328='112'!$K$9,OR($N2328='112'!$I$6,$O2328='112'!$I$6))),"x",""))</f>
        <v/>
      </c>
      <c r="U2328" s="75" t="str">
        <f>IF(ISERROR(FIND('112'!$M$9,G2328,1)),"",IF((AND(LEFT(G2328,2)=LEFT('112'!$M$9,2),B2328&lt;'112'!$K$9,$N2328='112'!$I$6)),"x",""))</f>
        <v/>
      </c>
      <c r="V2328" s="75" t="str">
        <f>IF(ISERROR(FIND('112'!$M$9,G2328,1)),"",IF((AND(RIGHT(G2328,2)=RIGHT('112'!$M$9,2),B2328&lt;'112'!$K$9,$O2328='112'!$I$6)),"x",""))</f>
        <v/>
      </c>
      <c r="W2328" s="75" t="str">
        <f>IF(AND('341-CT'!$H$9=H2328,OR(LEFT(N2328,3)=$W$7,LEFT(O2328,3)=$W$7)),"x","")</f>
        <v/>
      </c>
      <c r="X2328" s="75" t="str">
        <f>IF(OR(TH!N2328=TH!$X$7,O2328=TH!$X$7),"x","")</f>
        <v/>
      </c>
      <c r="Y2328" s="75" t="str">
        <f>IF(AND(OR(N2328="131",O2328="131"),H2328='131-CT'!$H$9),"x","")</f>
        <v/>
      </c>
      <c r="Z2328" s="75"/>
      <c r="AA2328" s="75" t="str">
        <f>IF(AND(MONTH(E2328)='IN-NX'!$J$5,'IN-NX'!$D$7=D2328),"x","")</f>
        <v/>
      </c>
      <c r="AB2328" s="75" t="str">
        <f>IF(AND(OR(LEFT(TH!N2328,2)="15",LEFT(TH!O2328,2)="15"),LEFT(TH!O2328,3)&lt;&gt;"111",'152-CT'!$J$8=TH!F2328),"x","")</f>
        <v/>
      </c>
      <c r="AC2328" s="75" t="str">
        <f>IF(AND(OR(LEFT(TH!N2328,2)="15",LEFT(TH!O2328,2)="15"),TK!$E$7=TH!F2328),"x","")</f>
        <v/>
      </c>
      <c r="AD2328" s="75" t="str">
        <f>IF(AND(N2328="1521",MONTH(C2328)='BK-NL'!$M$11),"x","")</f>
        <v/>
      </c>
      <c r="AF2328" s="1054"/>
    </row>
    <row r="2329" spans="1:32" ht="16.5" customHeight="1">
      <c r="A2329" s="309" t="str">
        <f>IF(B2329&lt;&gt;"",IF(AND(B2329='IN-TC'!$S$4,OR(TH!N2329="1111",TH!O2329="1111")),TH!D2329,""),"")</f>
        <v/>
      </c>
      <c r="B2329" s="1159">
        <f t="shared" si="758"/>
        <v>12</v>
      </c>
      <c r="C2329" s="217">
        <f t="shared" si="759"/>
        <v>43083</v>
      </c>
      <c r="D2329" s="217" t="s">
        <v>1124</v>
      </c>
      <c r="E2329" s="217">
        <v>43083</v>
      </c>
      <c r="F2329" s="996" t="s">
        <v>426</v>
      </c>
      <c r="G2329" s="739"/>
      <c r="H2329" s="294" t="s">
        <v>2919</v>
      </c>
      <c r="I2329" s="1122">
        <v>4800</v>
      </c>
      <c r="J2329" s="926">
        <v>190361.39020833332</v>
      </c>
      <c r="K2329" s="926"/>
      <c r="L2329" s="379"/>
      <c r="M2329" s="927">
        <f>ROUND(I2329*J2329,0)</f>
        <v>913734673</v>
      </c>
      <c r="N2329" s="935" t="s">
        <v>274</v>
      </c>
      <c r="O2329" s="935" t="s">
        <v>272</v>
      </c>
      <c r="P2329" s="75" t="str">
        <f>IF(AND('331-CT'!$E$7=TH!H2329,OR(N2329="331",O2329="331")),"x","")</f>
        <v/>
      </c>
      <c r="Q2329" s="75" t="str">
        <f>IF(AND(B2329='111'!$L$11,OR($N2329=$Q$7,$O2329=$Q$7)),"x","")</f>
        <v/>
      </c>
      <c r="R2329" s="75" t="str">
        <f>IF(AND($N2329=$Q$7,$B2329&lt;'111'!$L$11),"x","")</f>
        <v/>
      </c>
      <c r="S2329" s="75" t="str">
        <f>IF(AND($O2329=$Q$7,$B2329&lt;'111'!$L$11),"x","")</f>
        <v/>
      </c>
      <c r="T2329" s="75" t="str">
        <f>IF(ISERROR(FIND('112'!$M$9,G2329,1)),"",IF((AND(FIND('112'!$M$9,G2329,1)&gt;=1,B2329='112'!$K$9,OR($N2329='112'!$I$6,$O2329='112'!$I$6))),"x",""))</f>
        <v/>
      </c>
      <c r="U2329" s="75" t="str">
        <f>IF(ISERROR(FIND('112'!$M$9,G2329,1)),"",IF((AND(LEFT(G2329,2)=LEFT('112'!$M$9,2),B2329&lt;'112'!$K$9,$N2329='112'!$I$6)),"x",""))</f>
        <v/>
      </c>
      <c r="V2329" s="75" t="str">
        <f>IF(ISERROR(FIND('112'!$M$9,G2329,1)),"",IF((AND(RIGHT(G2329,2)=RIGHT('112'!$M$9,2),B2329&lt;'112'!$K$9,$O2329='112'!$I$6)),"x",""))</f>
        <v/>
      </c>
      <c r="W2329" s="75" t="str">
        <f>IF(AND('341-CT'!$H$9=H2329,OR(LEFT(N2329,3)=$W$7,LEFT(O2329,3)=$W$7)),"x","")</f>
        <v/>
      </c>
      <c r="X2329" s="75" t="str">
        <f>IF(OR(TH!N2329=TH!$X$7,O2329=TH!$X$7),"x","")</f>
        <v/>
      </c>
      <c r="Y2329" s="75" t="str">
        <f>IF(AND(OR(N2329="131",O2329="131"),H2329='131-CT'!$H$9),"x","")</f>
        <v/>
      </c>
      <c r="Z2329" s="75"/>
      <c r="AA2329" s="75" t="str">
        <f>IF(AND(MONTH(E2329)='IN-NX'!$J$5,'IN-NX'!$D$7=D2329),"x","")</f>
        <v/>
      </c>
      <c r="AB2329" s="75" t="str">
        <f>IF(AND(OR(LEFT(TH!N2329,2)="15",LEFT(TH!O2329,2)="15"),LEFT(TH!O2329,3)&lt;&gt;"111",'152-CT'!$J$8=TH!F2329),"x","")</f>
        <v/>
      </c>
      <c r="AC2329" s="75" t="str">
        <f>IF(AND(OR(LEFT(TH!N2329,2)="15",LEFT(TH!O2329,2)="15"),TK!$E$7=TH!F2329),"x","")</f>
        <v/>
      </c>
      <c r="AD2329" s="75" t="str">
        <f>IF(AND(N2329="1521",MONTH(C2329)='BK-NL'!$M$11),"x","")</f>
        <v/>
      </c>
      <c r="AF2329" s="1054"/>
    </row>
    <row r="2330" spans="1:32" s="1053" customFormat="1" ht="16.5" customHeight="1">
      <c r="A2330" s="309" t="str">
        <f>IF(B2330&lt;&gt;"",IF(AND(B2330='IN-TC'!$S$4,OR(TH!N2330="1111",TH!O2330="1111")),TH!D2330,""),"")</f>
        <v/>
      </c>
      <c r="B2330" s="1159">
        <f t="shared" si="758"/>
        <v>12</v>
      </c>
      <c r="C2330" s="217">
        <f t="shared" si="759"/>
        <v>43083</v>
      </c>
      <c r="D2330" s="217" t="s">
        <v>1123</v>
      </c>
      <c r="E2330" s="217">
        <v>43083</v>
      </c>
      <c r="F2330" s="996" t="s">
        <v>1588</v>
      </c>
      <c r="G2330" s="739"/>
      <c r="H2330" s="294" t="s">
        <v>2919</v>
      </c>
      <c r="I2330" s="373">
        <v>1000</v>
      </c>
      <c r="J2330" s="926">
        <v>213663.02499999999</v>
      </c>
      <c r="K2330" s="926"/>
      <c r="L2330" s="379"/>
      <c r="M2330" s="927">
        <f t="shared" ref="M2330" si="760">ROUND(I2330*J2330,0)</f>
        <v>213663025</v>
      </c>
      <c r="N2330" s="935" t="s">
        <v>274</v>
      </c>
      <c r="O2330" s="935" t="s">
        <v>272</v>
      </c>
      <c r="P2330" s="75" t="str">
        <f>IF(AND('331-CT'!$E$7=TH!H2330,OR(N2330="331",O2330="331")),"x","")</f>
        <v/>
      </c>
      <c r="Q2330" s="75" t="str">
        <f>IF(AND(B2330='111'!$L$11,OR($N2330=$Q$7,$O2330=$Q$7)),"x","")</f>
        <v/>
      </c>
      <c r="R2330" s="75" t="str">
        <f>IF(AND($N2330=$Q$7,$B2330&lt;'111'!$L$11),"x","")</f>
        <v/>
      </c>
      <c r="S2330" s="75" t="str">
        <f>IF(AND($O2330=$Q$7,$B2330&lt;'111'!$L$11),"x","")</f>
        <v/>
      </c>
      <c r="T2330" s="75" t="str">
        <f>IF(ISERROR(FIND('112'!$M$9,G2330,1)),"",IF((AND(FIND('112'!$M$9,G2330,1)&gt;=1,B2330='112'!$K$9,OR($N2330='112'!$I$6,$O2330='112'!$I$6))),"x",""))</f>
        <v/>
      </c>
      <c r="U2330" s="75" t="str">
        <f>IF(ISERROR(FIND('112'!$M$9,G2330,1)),"",IF((AND(LEFT(G2330,2)=LEFT('112'!$M$9,2),B2330&lt;'112'!$K$9,$N2330='112'!$I$6)),"x",""))</f>
        <v/>
      </c>
      <c r="V2330" s="75" t="str">
        <f>IF(ISERROR(FIND('112'!$M$9,G2330,1)),"",IF((AND(RIGHT(G2330,2)=RIGHT('112'!$M$9,2),B2330&lt;'112'!$K$9,$O2330='112'!$I$6)),"x",""))</f>
        <v/>
      </c>
      <c r="W2330" s="75" t="str">
        <f>IF(AND('341-CT'!$H$9=H2330,OR(LEFT(N2330,3)=$W$7,LEFT(O2330,3)=$W$7)),"x","")</f>
        <v/>
      </c>
      <c r="X2330" s="75" t="str">
        <f>IF(OR(TH!N2330=TH!$X$7,O2330=TH!$X$7),"x","")</f>
        <v/>
      </c>
      <c r="Y2330" s="75" t="str">
        <f>IF(AND(OR(N2330="131",O2330="131"),H2330='131-CT'!$H$9),"x","")</f>
        <v/>
      </c>
      <c r="Z2330" s="75"/>
      <c r="AA2330" s="75" t="str">
        <f>IF(AND(MONTH(E2330)='IN-NX'!$J$5,'IN-NX'!$D$7=D2330),"x","")</f>
        <v/>
      </c>
      <c r="AB2330" s="75" t="str">
        <f>IF(AND(OR(LEFT(TH!N2330,2)="15",LEFT(TH!O2330,2)="15"),LEFT(TH!O2330,3)&lt;&gt;"111",'152-CT'!$J$8=TH!F2330),"x","")</f>
        <v/>
      </c>
      <c r="AC2330" s="75" t="str">
        <f>IF(AND(OR(LEFT(TH!N2330,2)="15",LEFT(TH!O2330,2)="15"),TK!$E$7=TH!F2330),"x","")</f>
        <v/>
      </c>
      <c r="AD2330" s="75" t="str">
        <f>IF(AND(N2330="1521",MONTH(C2330)='BK-NL'!$M$11),"x","")</f>
        <v/>
      </c>
      <c r="AF2330" s="1054"/>
    </row>
    <row r="2331" spans="1:32" ht="16.5" customHeight="1">
      <c r="A2331" s="309" t="str">
        <f>IF(B2331&lt;&gt;"",IF(AND(B2331='IN-TC'!$S$4,OR(TH!N2331="1111",TH!O2331="1111")),TH!D2331,""),"")</f>
        <v/>
      </c>
      <c r="B2331" s="1159">
        <f t="shared" si="758"/>
        <v>12</v>
      </c>
      <c r="C2331" s="217">
        <f t="shared" si="759"/>
        <v>43083</v>
      </c>
      <c r="D2331" s="217" t="s">
        <v>1124</v>
      </c>
      <c r="E2331" s="217">
        <v>43083</v>
      </c>
      <c r="F2331" s="429" t="s">
        <v>1639</v>
      </c>
      <c r="G2331" s="739"/>
      <c r="H2331" s="294" t="s">
        <v>2919</v>
      </c>
      <c r="I2331" s="1122">
        <v>1000</v>
      </c>
      <c r="J2331" s="926">
        <v>100272.202</v>
      </c>
      <c r="K2331" s="926"/>
      <c r="L2331" s="379"/>
      <c r="M2331" s="927">
        <f>ROUND(I2331*J2331,0)</f>
        <v>100272202</v>
      </c>
      <c r="N2331" s="935" t="s">
        <v>274</v>
      </c>
      <c r="O2331" s="935" t="s">
        <v>272</v>
      </c>
      <c r="P2331" s="75" t="str">
        <f>IF(AND('331-CT'!$E$7=TH!H2331,OR(N2331="331",O2331="331")),"x","")</f>
        <v/>
      </c>
      <c r="Q2331" s="75" t="str">
        <f>IF(AND(B2331='111'!$L$11,OR($N2331=$Q$7,$O2331=$Q$7)),"x","")</f>
        <v/>
      </c>
      <c r="R2331" s="75" t="str">
        <f>IF(AND($N2331=$Q$7,$B2331&lt;'111'!$L$11),"x","")</f>
        <v/>
      </c>
      <c r="S2331" s="75" t="str">
        <f>IF(AND($O2331=$Q$7,$B2331&lt;'111'!$L$11),"x","")</f>
        <v/>
      </c>
      <c r="T2331" s="75" t="str">
        <f>IF(ISERROR(FIND('112'!$M$9,G2331,1)),"",IF((AND(FIND('112'!$M$9,G2331,1)&gt;=1,B2331='112'!$K$9,OR($N2331='112'!$I$6,$O2331='112'!$I$6))),"x",""))</f>
        <v/>
      </c>
      <c r="U2331" s="75" t="str">
        <f>IF(ISERROR(FIND('112'!$M$9,G2331,1)),"",IF((AND(LEFT(G2331,2)=LEFT('112'!$M$9,2),B2331&lt;'112'!$K$9,$N2331='112'!$I$6)),"x",""))</f>
        <v/>
      </c>
      <c r="V2331" s="75" t="str">
        <f>IF(ISERROR(FIND('112'!$M$9,G2331,1)),"",IF((AND(RIGHT(G2331,2)=RIGHT('112'!$M$9,2),B2331&lt;'112'!$K$9,$O2331='112'!$I$6)),"x",""))</f>
        <v/>
      </c>
      <c r="W2331" s="75" t="str">
        <f>IF(AND('341-CT'!$H$9=H2331,OR(LEFT(N2331,3)=$W$7,LEFT(O2331,3)=$W$7)),"x","")</f>
        <v/>
      </c>
      <c r="X2331" s="75" t="str">
        <f>IF(OR(TH!N2331=TH!$X$7,O2331=TH!$X$7),"x","")</f>
        <v/>
      </c>
      <c r="Y2331" s="75" t="str">
        <f>IF(AND(OR(N2331="131",O2331="131"),H2331='131-CT'!$H$9),"x","")</f>
        <v/>
      </c>
      <c r="Z2331" s="75"/>
      <c r="AA2331" s="75" t="str">
        <f>IF(AND(MONTH(E2331)='IN-NX'!$J$5,'IN-NX'!$D$7=D2331),"x","")</f>
        <v/>
      </c>
      <c r="AB2331" s="75" t="str">
        <f>IF(AND(OR(LEFT(TH!N2331,2)="15",LEFT(TH!O2331,2)="15"),LEFT(TH!O2331,3)&lt;&gt;"111",'152-CT'!$J$8=TH!F2331),"x","")</f>
        <v/>
      </c>
      <c r="AC2331" s="75" t="str">
        <f>IF(AND(OR(LEFT(TH!N2331,2)="15",LEFT(TH!O2331,2)="15"),TK!$E$7=TH!F2331),"x","")</f>
        <v/>
      </c>
      <c r="AD2331" s="75" t="str">
        <f>IF(AND(N2331="1521",MONTH(C2331)='BK-NL'!$M$11),"x","")</f>
        <v/>
      </c>
      <c r="AF2331" s="1054"/>
    </row>
    <row r="2332" spans="1:32" s="1053" customFormat="1" ht="16.5" customHeight="1">
      <c r="A2332" s="309" t="str">
        <f>IF(B2332&lt;&gt;"",IF(AND(B2332='IN-TC'!$S$4,OR(TH!N2332="1111",TH!O2332="1111")),TH!D2332,""),"")</f>
        <v/>
      </c>
      <c r="B2332" s="1159">
        <f t="shared" si="758"/>
        <v>12</v>
      </c>
      <c r="C2332" s="217">
        <f t="shared" si="759"/>
        <v>43083</v>
      </c>
      <c r="D2332" s="217" t="s">
        <v>1123</v>
      </c>
      <c r="E2332" s="217">
        <v>43083</v>
      </c>
      <c r="F2332" s="996" t="s">
        <v>1755</v>
      </c>
      <c r="G2332" s="739"/>
      <c r="H2332" s="294" t="s">
        <v>2919</v>
      </c>
      <c r="I2332" s="373">
        <v>1000</v>
      </c>
      <c r="J2332" s="926">
        <v>179860.264</v>
      </c>
      <c r="K2332" s="926"/>
      <c r="L2332" s="379"/>
      <c r="M2332" s="927">
        <f t="shared" ref="M2332" si="761">ROUND(I2332*J2332,0)</f>
        <v>179860264</v>
      </c>
      <c r="N2332" s="935" t="s">
        <v>274</v>
      </c>
      <c r="O2332" s="935" t="s">
        <v>272</v>
      </c>
      <c r="P2332" s="75" t="str">
        <f>IF(AND('331-CT'!$E$7=TH!H2332,OR(N2332="331",O2332="331")),"x","")</f>
        <v/>
      </c>
      <c r="Q2332" s="75" t="str">
        <f>IF(AND(B2332='111'!$L$11,OR($N2332=$Q$7,$O2332=$Q$7)),"x","")</f>
        <v/>
      </c>
      <c r="R2332" s="75" t="str">
        <f>IF(AND($N2332=$Q$7,$B2332&lt;'111'!$L$11),"x","")</f>
        <v/>
      </c>
      <c r="S2332" s="75" t="str">
        <f>IF(AND($O2332=$Q$7,$B2332&lt;'111'!$L$11),"x","")</f>
        <v/>
      </c>
      <c r="T2332" s="75" t="str">
        <f>IF(ISERROR(FIND('112'!$M$9,G2332,1)),"",IF((AND(FIND('112'!$M$9,G2332,1)&gt;=1,B2332='112'!$K$9,OR($N2332='112'!$I$6,$O2332='112'!$I$6))),"x",""))</f>
        <v/>
      </c>
      <c r="U2332" s="75" t="str">
        <f>IF(ISERROR(FIND('112'!$M$9,G2332,1)),"",IF((AND(LEFT(G2332,2)=LEFT('112'!$M$9,2),B2332&lt;'112'!$K$9,$N2332='112'!$I$6)),"x",""))</f>
        <v/>
      </c>
      <c r="V2332" s="75" t="str">
        <f>IF(ISERROR(FIND('112'!$M$9,G2332,1)),"",IF((AND(RIGHT(G2332,2)=RIGHT('112'!$M$9,2),B2332&lt;'112'!$K$9,$O2332='112'!$I$6)),"x",""))</f>
        <v/>
      </c>
      <c r="W2332" s="75" t="str">
        <f>IF(AND('341-CT'!$H$9=H2332,OR(LEFT(N2332,3)=$W$7,LEFT(O2332,3)=$W$7)),"x","")</f>
        <v/>
      </c>
      <c r="X2332" s="75" t="str">
        <f>IF(OR(TH!N2332=TH!$X$7,O2332=TH!$X$7),"x","")</f>
        <v/>
      </c>
      <c r="Y2332" s="75" t="str">
        <f>IF(AND(OR(N2332="131",O2332="131"),H2332='131-CT'!$H$9),"x","")</f>
        <v/>
      </c>
      <c r="Z2332" s="75"/>
      <c r="AA2332" s="75" t="str">
        <f>IF(AND(MONTH(E2332)='IN-NX'!$J$5,'IN-NX'!$D$7=D2332),"x","")</f>
        <v/>
      </c>
      <c r="AB2332" s="75" t="str">
        <f>IF(AND(OR(LEFT(TH!N2332,2)="15",LEFT(TH!O2332,2)="15"),LEFT(TH!O2332,3)&lt;&gt;"111",'152-CT'!$J$8=TH!F2332),"x","")</f>
        <v/>
      </c>
      <c r="AC2332" s="75" t="str">
        <f>IF(AND(OR(LEFT(TH!N2332,2)="15",LEFT(TH!O2332,2)="15"),TK!$E$7=TH!F2332),"x","")</f>
        <v/>
      </c>
      <c r="AD2332" s="75" t="str">
        <f>IF(AND(N2332="1521",MONTH(C2332)='BK-NL'!$M$11),"x","")</f>
        <v/>
      </c>
      <c r="AF2332" s="1054"/>
    </row>
    <row r="2333" spans="1:32" ht="16.5" customHeight="1">
      <c r="A2333" s="309" t="str">
        <f>IF(B2333&lt;&gt;"",IF(AND(B2333='IN-TC'!$S$4,OR(TH!N2333="1111",TH!O2333="1111")),TH!D2333,""),"")</f>
        <v/>
      </c>
      <c r="B2333" s="1159">
        <f t="shared" si="758"/>
        <v>12</v>
      </c>
      <c r="C2333" s="217">
        <f t="shared" si="759"/>
        <v>43083</v>
      </c>
      <c r="D2333" s="217" t="s">
        <v>1124</v>
      </c>
      <c r="E2333" s="217">
        <v>43083</v>
      </c>
      <c r="F2333" s="996" t="s">
        <v>1584</v>
      </c>
      <c r="G2333" s="739"/>
      <c r="H2333" s="294" t="s">
        <v>2919</v>
      </c>
      <c r="I2333" s="373">
        <v>2880</v>
      </c>
      <c r="J2333" s="926">
        <v>197162.93472222221</v>
      </c>
      <c r="K2333" s="926"/>
      <c r="L2333" s="379"/>
      <c r="M2333" s="927">
        <f>ROUND(I2333*J2333,0)</f>
        <v>567829252</v>
      </c>
      <c r="N2333" s="935" t="s">
        <v>274</v>
      </c>
      <c r="O2333" s="935" t="s">
        <v>272</v>
      </c>
      <c r="P2333" s="75" t="str">
        <f>IF(AND('331-CT'!$E$7=TH!H2333,OR(N2333="331",O2333="331")),"x","")</f>
        <v/>
      </c>
      <c r="Q2333" s="75" t="str">
        <f>IF(AND(B2333='111'!$L$11,OR($N2333=$Q$7,$O2333=$Q$7)),"x","")</f>
        <v/>
      </c>
      <c r="R2333" s="75" t="str">
        <f>IF(AND($N2333=$Q$7,$B2333&lt;'111'!$L$11),"x","")</f>
        <v/>
      </c>
      <c r="S2333" s="75" t="str">
        <f>IF(AND($O2333=$Q$7,$B2333&lt;'111'!$L$11),"x","")</f>
        <v/>
      </c>
      <c r="T2333" s="75" t="str">
        <f>IF(ISERROR(FIND('112'!$M$9,G2333,1)),"",IF((AND(FIND('112'!$M$9,G2333,1)&gt;=1,B2333='112'!$K$9,OR($N2333='112'!$I$6,$O2333='112'!$I$6))),"x",""))</f>
        <v/>
      </c>
      <c r="U2333" s="75" t="str">
        <f>IF(ISERROR(FIND('112'!$M$9,G2333,1)),"",IF((AND(LEFT(G2333,2)=LEFT('112'!$M$9,2),B2333&lt;'112'!$K$9,$N2333='112'!$I$6)),"x",""))</f>
        <v/>
      </c>
      <c r="V2333" s="75" t="str">
        <f>IF(ISERROR(FIND('112'!$M$9,G2333,1)),"",IF((AND(RIGHT(G2333,2)=RIGHT('112'!$M$9,2),B2333&lt;'112'!$K$9,$O2333='112'!$I$6)),"x",""))</f>
        <v/>
      </c>
      <c r="W2333" s="75" t="str">
        <f>IF(AND('341-CT'!$H$9=H2333,OR(LEFT(N2333,3)=$W$7,LEFT(O2333,3)=$W$7)),"x","")</f>
        <v/>
      </c>
      <c r="X2333" s="75" t="str">
        <f>IF(OR(TH!N2333=TH!$X$7,O2333=TH!$X$7),"x","")</f>
        <v/>
      </c>
      <c r="Y2333" s="75" t="str">
        <f>IF(AND(OR(N2333="131",O2333="131"),H2333='131-CT'!$H$9),"x","")</f>
        <v/>
      </c>
      <c r="Z2333" s="75"/>
      <c r="AA2333" s="75" t="str">
        <f>IF(AND(MONTH(E2333)='IN-NX'!$J$5,'IN-NX'!$D$7=D2333),"x","")</f>
        <v/>
      </c>
      <c r="AB2333" s="75" t="str">
        <f>IF(AND(OR(LEFT(TH!N2333,2)="15",LEFT(TH!O2333,2)="15"),LEFT(TH!O2333,3)&lt;&gt;"111",'152-CT'!$J$8=TH!F2333),"x","")</f>
        <v/>
      </c>
      <c r="AC2333" s="75" t="str">
        <f>IF(AND(OR(LEFT(TH!N2333,2)="15",LEFT(TH!O2333,2)="15"),TK!$E$7=TH!F2333),"x","")</f>
        <v/>
      </c>
      <c r="AD2333" s="75" t="str">
        <f>IF(AND(N2333="1521",MONTH(C2333)='BK-NL'!$M$11),"x","")</f>
        <v/>
      </c>
      <c r="AF2333" s="1054"/>
    </row>
    <row r="2334" spans="1:32" ht="16.5" customHeight="1">
      <c r="A2334" s="309" t="str">
        <f>IF(B2334&lt;&gt;"",IF(AND(B2334='IN-TC'!$S$4,OR(TH!N2334="1111",TH!O2334="1111")),TH!D2334,""),"")</f>
        <v/>
      </c>
      <c r="B2334" s="1159">
        <f t="shared" si="758"/>
        <v>12</v>
      </c>
      <c r="C2334" s="217">
        <f t="shared" si="759"/>
        <v>43083</v>
      </c>
      <c r="D2334" s="217" t="s">
        <v>1125</v>
      </c>
      <c r="E2334" s="217">
        <v>43083</v>
      </c>
      <c r="F2334" s="996" t="s">
        <v>2387</v>
      </c>
      <c r="G2334" s="739"/>
      <c r="H2334" s="294" t="s">
        <v>2919</v>
      </c>
      <c r="I2334" s="373">
        <v>280</v>
      </c>
      <c r="J2334" s="926">
        <v>245224.42499999999</v>
      </c>
      <c r="K2334" s="926"/>
      <c r="L2334" s="379"/>
      <c r="M2334" s="927">
        <f>ROUND(I2334*J2334,0)</f>
        <v>68662839</v>
      </c>
      <c r="N2334" s="935" t="s">
        <v>274</v>
      </c>
      <c r="O2334" s="935" t="s">
        <v>272</v>
      </c>
      <c r="P2334" s="75" t="str">
        <f>IF(AND('331-CT'!$E$7=TH!H2334,OR(N2334="331",O2334="331")),"x","")</f>
        <v/>
      </c>
      <c r="Q2334" s="75" t="str">
        <f>IF(AND(B2334='111'!$L$11,OR($N2334=$Q$7,$O2334=$Q$7)),"x","")</f>
        <v/>
      </c>
      <c r="R2334" s="75" t="str">
        <f>IF(AND($N2334=$Q$7,$B2334&lt;'111'!$L$11),"x","")</f>
        <v/>
      </c>
      <c r="S2334" s="75" t="str">
        <f>IF(AND($O2334=$Q$7,$B2334&lt;'111'!$L$11),"x","")</f>
        <v/>
      </c>
      <c r="T2334" s="75" t="str">
        <f>IF(ISERROR(FIND('112'!$M$9,G2334,1)),"",IF((AND(FIND('112'!$M$9,G2334,1)&gt;=1,B2334='112'!$K$9,OR($N2334='112'!$I$6,$O2334='112'!$I$6))),"x",""))</f>
        <v/>
      </c>
      <c r="U2334" s="75" t="str">
        <f>IF(ISERROR(FIND('112'!$M$9,G2334,1)),"",IF((AND(LEFT(G2334,2)=LEFT('112'!$M$9,2),B2334&lt;'112'!$K$9,$N2334='112'!$I$6)),"x",""))</f>
        <v/>
      </c>
      <c r="V2334" s="75" t="str">
        <f>IF(ISERROR(FIND('112'!$M$9,G2334,1)),"",IF((AND(RIGHT(G2334,2)=RIGHT('112'!$M$9,2),B2334&lt;'112'!$K$9,$O2334='112'!$I$6)),"x",""))</f>
        <v/>
      </c>
      <c r="W2334" s="75" t="str">
        <f>IF(AND('341-CT'!$H$9=H2334,OR(LEFT(N2334,3)=$W$7,LEFT(O2334,3)=$W$7)),"x","")</f>
        <v/>
      </c>
      <c r="X2334" s="75" t="str">
        <f>IF(OR(TH!N2334=TH!$X$7,O2334=TH!$X$7),"x","")</f>
        <v/>
      </c>
      <c r="Y2334" s="75" t="str">
        <f>IF(AND(OR(N2334="131",O2334="131"),H2334='131-CT'!$H$9),"x","")</f>
        <v/>
      </c>
      <c r="Z2334" s="75"/>
      <c r="AA2334" s="75" t="str">
        <f>IF(AND(MONTH(E2334)='IN-NX'!$J$5,'IN-NX'!$D$7=D2334),"x","")</f>
        <v/>
      </c>
      <c r="AB2334" s="75" t="str">
        <f>IF(AND(OR(LEFT(TH!N2334,2)="15",LEFT(TH!O2334,2)="15"),LEFT(TH!O2334,3)&lt;&gt;"111",'152-CT'!$J$8=TH!F2334),"x","")</f>
        <v/>
      </c>
      <c r="AC2334" s="75" t="str">
        <f>IF(AND(OR(LEFT(TH!N2334,2)="15",LEFT(TH!O2334,2)="15"),TK!$E$7=TH!F2334),"x","")</f>
        <v/>
      </c>
      <c r="AD2334" s="75" t="str">
        <f>IF(AND(N2334="1521",MONTH(C2334)='BK-NL'!$M$11),"x","")</f>
        <v/>
      </c>
      <c r="AF2334" s="1054"/>
    </row>
    <row r="2335" spans="1:32" ht="16.5" customHeight="1">
      <c r="A2335" s="309" t="str">
        <f>IF(B2335&lt;&gt;"",IF(AND(B2335='IN-TC'!$S$4,OR(TH!N2335="1111",TH!O2335="1111")),TH!D2335,""),"")</f>
        <v/>
      </c>
      <c r="B2335" s="1159">
        <f t="shared" si="755"/>
        <v>12</v>
      </c>
      <c r="C2335" s="217">
        <f t="shared" ref="C2335:C2341" si="762">E2335</f>
        <v>43083</v>
      </c>
      <c r="D2335" s="217" t="s">
        <v>1124</v>
      </c>
      <c r="E2335" s="217">
        <v>43083</v>
      </c>
      <c r="F2335" s="429" t="s">
        <v>1621</v>
      </c>
      <c r="G2335" s="739"/>
      <c r="H2335" s="294" t="s">
        <v>2919</v>
      </c>
      <c r="I2335" s="1122">
        <v>120</v>
      </c>
      <c r="J2335" s="926">
        <v>155599.4</v>
      </c>
      <c r="K2335" s="926"/>
      <c r="L2335" s="379"/>
      <c r="M2335" s="927">
        <f>ROUND(I2335*J2335,0)</f>
        <v>18671928</v>
      </c>
      <c r="N2335" s="935" t="s">
        <v>274</v>
      </c>
      <c r="O2335" s="935" t="s">
        <v>272</v>
      </c>
      <c r="P2335" s="75" t="str">
        <f>IF(AND('331-CT'!$E$7=TH!H2335,OR(N2335="331",O2335="331")),"x","")</f>
        <v/>
      </c>
      <c r="Q2335" s="75" t="str">
        <f>IF(AND(B2335='111'!$L$11,OR($N2335=$Q$7,$O2335=$Q$7)),"x","")</f>
        <v/>
      </c>
      <c r="R2335" s="75" t="str">
        <f>IF(AND($N2335=$Q$7,$B2335&lt;'111'!$L$11),"x","")</f>
        <v/>
      </c>
      <c r="S2335" s="75" t="str">
        <f>IF(AND($O2335=$Q$7,$B2335&lt;'111'!$L$11),"x","")</f>
        <v/>
      </c>
      <c r="T2335" s="75" t="str">
        <f>IF(ISERROR(FIND('112'!$M$9,G2335,1)),"",IF((AND(FIND('112'!$M$9,G2335,1)&gt;=1,B2335='112'!$K$9,OR($N2335='112'!$I$6,$O2335='112'!$I$6))),"x",""))</f>
        <v/>
      </c>
      <c r="U2335" s="75" t="str">
        <f>IF(ISERROR(FIND('112'!$M$9,G2335,1)),"",IF((AND(LEFT(G2335,2)=LEFT('112'!$M$9,2),B2335&lt;'112'!$K$9,$N2335='112'!$I$6)),"x",""))</f>
        <v/>
      </c>
      <c r="V2335" s="75" t="str">
        <f>IF(ISERROR(FIND('112'!$M$9,G2335,1)),"",IF((AND(RIGHT(G2335,2)=RIGHT('112'!$M$9,2),B2335&lt;'112'!$K$9,$O2335='112'!$I$6)),"x",""))</f>
        <v/>
      </c>
      <c r="W2335" s="75" t="str">
        <f>IF(AND('341-CT'!$H$9=H2335,OR(LEFT(N2335,3)=$W$7,LEFT(O2335,3)=$W$7)),"x","")</f>
        <v/>
      </c>
      <c r="X2335" s="75" t="str">
        <f>IF(OR(TH!N2335=TH!$X$7,O2335=TH!$X$7),"x","")</f>
        <v/>
      </c>
      <c r="Y2335" s="75" t="str">
        <f>IF(AND(OR(N2335="131",O2335="131"),H2335='131-CT'!$H$9),"x","")</f>
        <v/>
      </c>
      <c r="Z2335" s="75"/>
      <c r="AA2335" s="75" t="str">
        <f>IF(AND(MONTH(E2335)='IN-NX'!$J$5,'IN-NX'!$D$7=D2335),"x","")</f>
        <v/>
      </c>
      <c r="AB2335" s="75" t="str">
        <f>IF(AND(OR(LEFT(TH!N2335,2)="15",LEFT(TH!O2335,2)="15"),LEFT(TH!O2335,3)&lt;&gt;"111",'152-CT'!$J$8=TH!F2335),"x","")</f>
        <v/>
      </c>
      <c r="AC2335" s="75" t="str">
        <f>IF(AND(OR(LEFT(TH!N2335,2)="15",LEFT(TH!O2335,2)="15"),TK!$E$7=TH!F2335),"x","")</f>
        <v/>
      </c>
      <c r="AD2335" s="75" t="str">
        <f>IF(AND(N2335="1521",MONTH(C2335)='BK-NL'!$M$11),"x","")</f>
        <v/>
      </c>
      <c r="AF2335" s="1054"/>
    </row>
    <row r="2336" spans="1:32" ht="16.5" customHeight="1">
      <c r="A2336" s="309" t="str">
        <f>IF(B2336&lt;&gt;"",IF(AND(B2336='IN-TC'!$S$4,OR(TH!N2336="1111",TH!O2336="1111")),TH!D2336,""),"")</f>
        <v/>
      </c>
      <c r="B2336" s="1159">
        <f t="shared" si="755"/>
        <v>12</v>
      </c>
      <c r="C2336" s="217">
        <f t="shared" si="762"/>
        <v>43083</v>
      </c>
      <c r="D2336" s="217" t="s">
        <v>1124</v>
      </c>
      <c r="E2336" s="217">
        <v>43083</v>
      </c>
      <c r="F2336" s="996" t="s">
        <v>1545</v>
      </c>
      <c r="G2336" s="739"/>
      <c r="H2336" s="294" t="s">
        <v>2919</v>
      </c>
      <c r="I2336" s="1122">
        <v>120</v>
      </c>
      <c r="J2336" s="926">
        <v>188099.4</v>
      </c>
      <c r="K2336" s="926"/>
      <c r="L2336" s="379"/>
      <c r="M2336" s="927">
        <f>ROUND(I2336*J2336,0)</f>
        <v>22571928</v>
      </c>
      <c r="N2336" s="935" t="s">
        <v>274</v>
      </c>
      <c r="O2336" s="935" t="s">
        <v>272</v>
      </c>
      <c r="P2336" s="75" t="str">
        <f>IF(AND('331-CT'!$E$7=TH!H2336,OR(N2336="331",O2336="331")),"x","")</f>
        <v/>
      </c>
      <c r="Q2336" s="75" t="str">
        <f>IF(AND(B2336='111'!$L$11,OR($N2336=$Q$7,$O2336=$Q$7)),"x","")</f>
        <v/>
      </c>
      <c r="R2336" s="75" t="str">
        <f>IF(AND($N2336=$Q$7,$B2336&lt;'111'!$L$11),"x","")</f>
        <v/>
      </c>
      <c r="S2336" s="75" t="str">
        <f>IF(AND($O2336=$Q$7,$B2336&lt;'111'!$L$11),"x","")</f>
        <v/>
      </c>
      <c r="T2336" s="75" t="str">
        <f>IF(ISERROR(FIND('112'!$M$9,G2336,1)),"",IF((AND(FIND('112'!$M$9,G2336,1)&gt;=1,B2336='112'!$K$9,OR($N2336='112'!$I$6,$O2336='112'!$I$6))),"x",""))</f>
        <v/>
      </c>
      <c r="U2336" s="75" t="str">
        <f>IF(ISERROR(FIND('112'!$M$9,G2336,1)),"",IF((AND(LEFT(G2336,2)=LEFT('112'!$M$9,2),B2336&lt;'112'!$K$9,$N2336='112'!$I$6)),"x",""))</f>
        <v/>
      </c>
      <c r="V2336" s="75" t="str">
        <f>IF(ISERROR(FIND('112'!$M$9,G2336,1)),"",IF((AND(RIGHT(G2336,2)=RIGHT('112'!$M$9,2),B2336&lt;'112'!$K$9,$O2336='112'!$I$6)),"x",""))</f>
        <v/>
      </c>
      <c r="W2336" s="75" t="str">
        <f>IF(AND('341-CT'!$H$9=H2336,OR(LEFT(N2336,3)=$W$7,LEFT(O2336,3)=$W$7)),"x","")</f>
        <v/>
      </c>
      <c r="X2336" s="75" t="str">
        <f>IF(OR(TH!N2336=TH!$X$7,O2336=TH!$X$7),"x","")</f>
        <v/>
      </c>
      <c r="Y2336" s="75" t="str">
        <f>IF(AND(OR(N2336="131",O2336="131"),H2336='131-CT'!$H$9),"x","")</f>
        <v/>
      </c>
      <c r="Z2336" s="75"/>
      <c r="AA2336" s="75" t="str">
        <f>IF(AND(MONTH(E2336)='IN-NX'!$J$5,'IN-NX'!$D$7=D2336),"x","")</f>
        <v/>
      </c>
      <c r="AB2336" s="75" t="str">
        <f>IF(AND(OR(LEFT(TH!N2336,2)="15",LEFT(TH!O2336,2)="15"),LEFT(TH!O2336,3)&lt;&gt;"111",'152-CT'!$J$8=TH!F2336),"x","")</f>
        <v/>
      </c>
      <c r="AC2336" s="75" t="str">
        <f>IF(AND(OR(LEFT(TH!N2336,2)="15",LEFT(TH!O2336,2)="15"),TK!$E$7=TH!F2336),"x","")</f>
        <v/>
      </c>
      <c r="AD2336" s="75" t="str">
        <f>IF(AND(N2336="1521",MONTH(C2336)='BK-NL'!$M$11),"x","")</f>
        <v/>
      </c>
      <c r="AF2336" s="1054"/>
    </row>
    <row r="2337" spans="1:32" s="1053" customFormat="1" ht="16.5" customHeight="1">
      <c r="A2337" s="309" t="str">
        <f>IF(B2337&lt;&gt;"",IF(AND(B2337='IN-TC'!$S$4,OR(TH!N2337="1111",TH!O2337="1111")),TH!D2337,""),"")</f>
        <v/>
      </c>
      <c r="B2337" s="1159">
        <f t="shared" si="755"/>
        <v>12</v>
      </c>
      <c r="C2337" s="217">
        <f t="shared" si="762"/>
        <v>43083</v>
      </c>
      <c r="D2337" s="217" t="s">
        <v>1123</v>
      </c>
      <c r="E2337" s="217">
        <v>43083</v>
      </c>
      <c r="F2337" s="996" t="s">
        <v>793</v>
      </c>
      <c r="G2337" s="739"/>
      <c r="H2337" s="294" t="s">
        <v>2919</v>
      </c>
      <c r="I2337" s="373">
        <v>120</v>
      </c>
      <c r="J2337" s="926">
        <v>174524.55833333332</v>
      </c>
      <c r="K2337" s="926"/>
      <c r="L2337" s="379"/>
      <c r="M2337" s="927">
        <f t="shared" ref="M2337" si="763">ROUND(I2337*J2337,0)</f>
        <v>20942947</v>
      </c>
      <c r="N2337" s="935" t="s">
        <v>274</v>
      </c>
      <c r="O2337" s="935" t="s">
        <v>272</v>
      </c>
      <c r="P2337" s="75" t="str">
        <f>IF(AND('331-CT'!$E$7=TH!H2337,OR(N2337="331",O2337="331")),"x","")</f>
        <v/>
      </c>
      <c r="Q2337" s="75" t="str">
        <f>IF(AND(B2337='111'!$L$11,OR($N2337=$Q$7,$O2337=$Q$7)),"x","")</f>
        <v/>
      </c>
      <c r="R2337" s="75" t="str">
        <f>IF(AND($N2337=$Q$7,$B2337&lt;'111'!$L$11),"x","")</f>
        <v/>
      </c>
      <c r="S2337" s="75" t="str">
        <f>IF(AND($O2337=$Q$7,$B2337&lt;'111'!$L$11),"x","")</f>
        <v/>
      </c>
      <c r="T2337" s="75" t="str">
        <f>IF(ISERROR(FIND('112'!$M$9,G2337,1)),"",IF((AND(FIND('112'!$M$9,G2337,1)&gt;=1,B2337='112'!$K$9,OR($N2337='112'!$I$6,$O2337='112'!$I$6))),"x",""))</f>
        <v/>
      </c>
      <c r="U2337" s="75" t="str">
        <f>IF(ISERROR(FIND('112'!$M$9,G2337,1)),"",IF((AND(LEFT(G2337,2)=LEFT('112'!$M$9,2),B2337&lt;'112'!$K$9,$N2337='112'!$I$6)),"x",""))</f>
        <v/>
      </c>
      <c r="V2337" s="75" t="str">
        <f>IF(ISERROR(FIND('112'!$M$9,G2337,1)),"",IF((AND(RIGHT(G2337,2)=RIGHT('112'!$M$9,2),B2337&lt;'112'!$K$9,$O2337='112'!$I$6)),"x",""))</f>
        <v/>
      </c>
      <c r="W2337" s="75" t="str">
        <f>IF(AND('341-CT'!$H$9=H2337,OR(LEFT(N2337,3)=$W$7,LEFT(O2337,3)=$W$7)),"x","")</f>
        <v/>
      </c>
      <c r="X2337" s="75" t="str">
        <f>IF(OR(TH!N2337=TH!$X$7,O2337=TH!$X$7),"x","")</f>
        <v/>
      </c>
      <c r="Y2337" s="75" t="str">
        <f>IF(AND(OR(N2337="131",O2337="131"),H2337='131-CT'!$H$9),"x","")</f>
        <v/>
      </c>
      <c r="Z2337" s="75"/>
      <c r="AA2337" s="75" t="str">
        <f>IF(AND(MONTH(E2337)='IN-NX'!$J$5,'IN-NX'!$D$7=D2337),"x","")</f>
        <v/>
      </c>
      <c r="AB2337" s="75" t="str">
        <f>IF(AND(OR(LEFT(TH!N2337,2)="15",LEFT(TH!O2337,2)="15"),LEFT(TH!O2337,3)&lt;&gt;"111",'152-CT'!$J$8=TH!F2337),"x","")</f>
        <v/>
      </c>
      <c r="AC2337" s="75" t="str">
        <f>IF(AND(OR(LEFT(TH!N2337,2)="15",LEFT(TH!O2337,2)="15"),TK!$E$7=TH!F2337),"x","")</f>
        <v/>
      </c>
      <c r="AD2337" s="75" t="str">
        <f>IF(AND(N2337="1521",MONTH(C2337)='BK-NL'!$M$11),"x","")</f>
        <v/>
      </c>
      <c r="AF2337" s="1054"/>
    </row>
    <row r="2338" spans="1:32" ht="16.5" customHeight="1">
      <c r="A2338" s="309" t="str">
        <f>IF(B2338&lt;&gt;"",IF(AND(B2338='IN-TC'!$S$4,OR(TH!N2338="1111",TH!O2338="1111")),TH!D2338,""),"")</f>
        <v/>
      </c>
      <c r="B2338" s="1159">
        <f t="shared" si="755"/>
        <v>12</v>
      </c>
      <c r="C2338" s="217">
        <f t="shared" si="762"/>
        <v>43083</v>
      </c>
      <c r="D2338" s="217" t="s">
        <v>1124</v>
      </c>
      <c r="E2338" s="217">
        <v>43083</v>
      </c>
      <c r="F2338" s="429" t="s">
        <v>1639</v>
      </c>
      <c r="G2338" s="739"/>
      <c r="H2338" s="294" t="s">
        <v>2919</v>
      </c>
      <c r="I2338" s="1122">
        <v>6000</v>
      </c>
      <c r="J2338" s="926">
        <v>99834.735499999995</v>
      </c>
      <c r="K2338" s="926"/>
      <c r="L2338" s="379"/>
      <c r="M2338" s="927">
        <f>ROUND(I2338*J2338,0)</f>
        <v>599008413</v>
      </c>
      <c r="N2338" s="935" t="s">
        <v>274</v>
      </c>
      <c r="O2338" s="935" t="s">
        <v>272</v>
      </c>
      <c r="P2338" s="75" t="str">
        <f>IF(AND('331-CT'!$E$7=TH!H2338,OR(N2338="331",O2338="331")),"x","")</f>
        <v/>
      </c>
      <c r="Q2338" s="75" t="str">
        <f>IF(AND(B2338='111'!$L$11,OR($N2338=$Q$7,$O2338=$Q$7)),"x","")</f>
        <v/>
      </c>
      <c r="R2338" s="75" t="str">
        <f>IF(AND($N2338=$Q$7,$B2338&lt;'111'!$L$11),"x","")</f>
        <v/>
      </c>
      <c r="S2338" s="75" t="str">
        <f>IF(AND($O2338=$Q$7,$B2338&lt;'111'!$L$11),"x","")</f>
        <v/>
      </c>
      <c r="T2338" s="75" t="str">
        <f>IF(ISERROR(FIND('112'!$M$9,G2338,1)),"",IF((AND(FIND('112'!$M$9,G2338,1)&gt;=1,B2338='112'!$K$9,OR($N2338='112'!$I$6,$O2338='112'!$I$6))),"x",""))</f>
        <v/>
      </c>
      <c r="U2338" s="75" t="str">
        <f>IF(ISERROR(FIND('112'!$M$9,G2338,1)),"",IF((AND(LEFT(G2338,2)=LEFT('112'!$M$9,2),B2338&lt;'112'!$K$9,$N2338='112'!$I$6)),"x",""))</f>
        <v/>
      </c>
      <c r="V2338" s="75" t="str">
        <f>IF(ISERROR(FIND('112'!$M$9,G2338,1)),"",IF((AND(RIGHT(G2338,2)=RIGHT('112'!$M$9,2),B2338&lt;'112'!$K$9,$O2338='112'!$I$6)),"x",""))</f>
        <v/>
      </c>
      <c r="W2338" s="75" t="str">
        <f>IF(AND('341-CT'!$H$9=H2338,OR(LEFT(N2338,3)=$W$7,LEFT(O2338,3)=$W$7)),"x","")</f>
        <v/>
      </c>
      <c r="X2338" s="75" t="str">
        <f>IF(OR(TH!N2338=TH!$X$7,O2338=TH!$X$7),"x","")</f>
        <v/>
      </c>
      <c r="Y2338" s="75" t="str">
        <f>IF(AND(OR(N2338="131",O2338="131"),H2338='131-CT'!$H$9),"x","")</f>
        <v/>
      </c>
      <c r="Z2338" s="75"/>
      <c r="AA2338" s="75" t="str">
        <f>IF(AND(MONTH(E2338)='IN-NX'!$J$5,'IN-NX'!$D$7=D2338),"x","")</f>
        <v/>
      </c>
      <c r="AB2338" s="75" t="str">
        <f>IF(AND(OR(LEFT(TH!N2338,2)="15",LEFT(TH!O2338,2)="15"),LEFT(TH!O2338,3)&lt;&gt;"111",'152-CT'!$J$8=TH!F2338),"x","")</f>
        <v/>
      </c>
      <c r="AC2338" s="75" t="str">
        <f>IF(AND(OR(LEFT(TH!N2338,2)="15",LEFT(TH!O2338,2)="15"),TK!$E$7=TH!F2338),"x","")</f>
        <v/>
      </c>
      <c r="AD2338" s="75" t="str">
        <f>IF(AND(N2338="1521",MONTH(C2338)='BK-NL'!$M$11),"x","")</f>
        <v/>
      </c>
      <c r="AF2338" s="1054"/>
    </row>
    <row r="2339" spans="1:32" s="1053" customFormat="1" ht="16.5" customHeight="1">
      <c r="A2339" s="309" t="str">
        <f>IF(B2339&lt;&gt;"",IF(AND(B2339='IN-TC'!$S$4,OR(TH!N2339="1111",TH!O2339="1111")),TH!D2339,""),"")</f>
        <v/>
      </c>
      <c r="B2339" s="1159">
        <f t="shared" si="755"/>
        <v>12</v>
      </c>
      <c r="C2339" s="217">
        <f t="shared" si="762"/>
        <v>43083</v>
      </c>
      <c r="D2339" s="217" t="s">
        <v>1123</v>
      </c>
      <c r="E2339" s="217">
        <v>43083</v>
      </c>
      <c r="F2339" s="996" t="s">
        <v>793</v>
      </c>
      <c r="G2339" s="739"/>
      <c r="H2339" s="294" t="s">
        <v>2919</v>
      </c>
      <c r="I2339" s="373">
        <v>12000</v>
      </c>
      <c r="J2339" s="926">
        <v>164145.30966666667</v>
      </c>
      <c r="K2339" s="926"/>
      <c r="L2339" s="379"/>
      <c r="M2339" s="927">
        <f t="shared" ref="M2339" si="764">ROUND(I2339*J2339,0)</f>
        <v>1969743716</v>
      </c>
      <c r="N2339" s="935" t="s">
        <v>274</v>
      </c>
      <c r="O2339" s="935" t="s">
        <v>272</v>
      </c>
      <c r="P2339" s="75" t="str">
        <f>IF(AND('331-CT'!$E$7=TH!H2339,OR(N2339="331",O2339="331")),"x","")</f>
        <v/>
      </c>
      <c r="Q2339" s="75" t="str">
        <f>IF(AND(B2339='111'!$L$11,OR($N2339=$Q$7,$O2339=$Q$7)),"x","")</f>
        <v/>
      </c>
      <c r="R2339" s="75" t="str">
        <f>IF(AND($N2339=$Q$7,$B2339&lt;'111'!$L$11),"x","")</f>
        <v/>
      </c>
      <c r="S2339" s="75" t="str">
        <f>IF(AND($O2339=$Q$7,$B2339&lt;'111'!$L$11),"x","")</f>
        <v/>
      </c>
      <c r="T2339" s="75" t="str">
        <f>IF(ISERROR(FIND('112'!$M$9,G2339,1)),"",IF((AND(FIND('112'!$M$9,G2339,1)&gt;=1,B2339='112'!$K$9,OR($N2339='112'!$I$6,$O2339='112'!$I$6))),"x",""))</f>
        <v/>
      </c>
      <c r="U2339" s="75" t="str">
        <f>IF(ISERROR(FIND('112'!$M$9,G2339,1)),"",IF((AND(LEFT(G2339,2)=LEFT('112'!$M$9,2),B2339&lt;'112'!$K$9,$N2339='112'!$I$6)),"x",""))</f>
        <v/>
      </c>
      <c r="V2339" s="75" t="str">
        <f>IF(ISERROR(FIND('112'!$M$9,G2339,1)),"",IF((AND(RIGHT(G2339,2)=RIGHT('112'!$M$9,2),B2339&lt;'112'!$K$9,$O2339='112'!$I$6)),"x",""))</f>
        <v/>
      </c>
      <c r="W2339" s="75" t="str">
        <f>IF(AND('341-CT'!$H$9=H2339,OR(LEFT(N2339,3)=$W$7,LEFT(O2339,3)=$W$7)),"x","")</f>
        <v/>
      </c>
      <c r="X2339" s="75" t="str">
        <f>IF(OR(TH!N2339=TH!$X$7,O2339=TH!$X$7),"x","")</f>
        <v/>
      </c>
      <c r="Y2339" s="75" t="str">
        <f>IF(AND(OR(N2339="131",O2339="131"),H2339='131-CT'!$H$9),"x","")</f>
        <v/>
      </c>
      <c r="Z2339" s="75"/>
      <c r="AA2339" s="75" t="str">
        <f>IF(AND(MONTH(E2339)='IN-NX'!$J$5,'IN-NX'!$D$7=D2339),"x","")</f>
        <v/>
      </c>
      <c r="AB2339" s="75" t="str">
        <f>IF(AND(OR(LEFT(TH!N2339,2)="15",LEFT(TH!O2339,2)="15"),LEFT(TH!O2339,3)&lt;&gt;"111",'152-CT'!$J$8=TH!F2339),"x","")</f>
        <v/>
      </c>
      <c r="AC2339" s="75" t="str">
        <f>IF(AND(OR(LEFT(TH!N2339,2)="15",LEFT(TH!O2339,2)="15"),TK!$E$7=TH!F2339),"x","")</f>
        <v/>
      </c>
      <c r="AD2339" s="75" t="str">
        <f>IF(AND(N2339="1521",MONTH(C2339)='BK-NL'!$M$11),"x","")</f>
        <v/>
      </c>
      <c r="AF2339" s="1054"/>
    </row>
    <row r="2340" spans="1:32" ht="16.5" customHeight="1">
      <c r="A2340" s="309" t="str">
        <f>IF(B2340&lt;&gt;"",IF(AND(B2340='IN-TC'!$S$4,OR(TH!N2340="1111",TH!O2340="1111")),TH!D2340,""),"")</f>
        <v/>
      </c>
      <c r="B2340" s="1159">
        <f t="shared" si="755"/>
        <v>12</v>
      </c>
      <c r="C2340" s="217">
        <f t="shared" si="762"/>
        <v>43083</v>
      </c>
      <c r="D2340" s="217" t="s">
        <v>1124</v>
      </c>
      <c r="E2340" s="217">
        <v>43083</v>
      </c>
      <c r="F2340" s="996" t="s">
        <v>418</v>
      </c>
      <c r="G2340" s="739"/>
      <c r="H2340" s="294" t="s">
        <v>2919</v>
      </c>
      <c r="I2340" s="373">
        <v>9000</v>
      </c>
      <c r="J2340" s="926">
        <v>85861.295222222223</v>
      </c>
      <c r="K2340" s="926"/>
      <c r="L2340" s="379"/>
      <c r="M2340" s="927">
        <f>ROUND(I2340*J2340,0)</f>
        <v>772751657</v>
      </c>
      <c r="N2340" s="935" t="s">
        <v>274</v>
      </c>
      <c r="O2340" s="935" t="s">
        <v>272</v>
      </c>
      <c r="P2340" s="75" t="str">
        <f>IF(AND('331-CT'!$E$7=TH!H2340,OR(N2340="331",O2340="331")),"x","")</f>
        <v/>
      </c>
      <c r="Q2340" s="75" t="str">
        <f>IF(AND(B2340='111'!$L$11,OR($N2340=$Q$7,$O2340=$Q$7)),"x","")</f>
        <v/>
      </c>
      <c r="R2340" s="75" t="str">
        <f>IF(AND($N2340=$Q$7,$B2340&lt;'111'!$L$11),"x","")</f>
        <v/>
      </c>
      <c r="S2340" s="75" t="str">
        <f>IF(AND($O2340=$Q$7,$B2340&lt;'111'!$L$11),"x","")</f>
        <v/>
      </c>
      <c r="T2340" s="75" t="str">
        <f>IF(ISERROR(FIND('112'!$M$9,G2340,1)),"",IF((AND(FIND('112'!$M$9,G2340,1)&gt;=1,B2340='112'!$K$9,OR($N2340='112'!$I$6,$O2340='112'!$I$6))),"x",""))</f>
        <v/>
      </c>
      <c r="U2340" s="75" t="str">
        <f>IF(ISERROR(FIND('112'!$M$9,G2340,1)),"",IF((AND(LEFT(G2340,2)=LEFT('112'!$M$9,2),B2340&lt;'112'!$K$9,$N2340='112'!$I$6)),"x",""))</f>
        <v/>
      </c>
      <c r="V2340" s="75" t="str">
        <f>IF(ISERROR(FIND('112'!$M$9,G2340,1)),"",IF((AND(RIGHT(G2340,2)=RIGHT('112'!$M$9,2),B2340&lt;'112'!$K$9,$O2340='112'!$I$6)),"x",""))</f>
        <v/>
      </c>
      <c r="W2340" s="75" t="str">
        <f>IF(AND('341-CT'!$H$9=H2340,OR(LEFT(N2340,3)=$W$7,LEFT(O2340,3)=$W$7)),"x","")</f>
        <v/>
      </c>
      <c r="X2340" s="75" t="str">
        <f>IF(OR(TH!N2340=TH!$X$7,O2340=TH!$X$7),"x","")</f>
        <v/>
      </c>
      <c r="Y2340" s="75" t="str">
        <f>IF(AND(OR(N2340="131",O2340="131"),H2340='131-CT'!$H$9),"x","")</f>
        <v/>
      </c>
      <c r="Z2340" s="75"/>
      <c r="AA2340" s="75" t="str">
        <f>IF(AND(MONTH(E2340)='IN-NX'!$J$5,'IN-NX'!$D$7=D2340),"x","")</f>
        <v/>
      </c>
      <c r="AB2340" s="75" t="str">
        <f>IF(AND(OR(LEFT(TH!N2340,2)="15",LEFT(TH!O2340,2)="15"),LEFT(TH!O2340,3)&lt;&gt;"111",'152-CT'!$J$8=TH!F2340),"x","")</f>
        <v/>
      </c>
      <c r="AC2340" s="75" t="str">
        <f>IF(AND(OR(LEFT(TH!N2340,2)="15",LEFT(TH!O2340,2)="15"),TK!$E$7=TH!F2340),"x","")</f>
        <v/>
      </c>
      <c r="AD2340" s="75" t="str">
        <f>IF(AND(N2340="1521",MONTH(C2340)='BK-NL'!$M$11),"x","")</f>
        <v/>
      </c>
      <c r="AF2340" s="1054"/>
    </row>
    <row r="2341" spans="1:32" ht="16.5" customHeight="1">
      <c r="A2341" s="309" t="str">
        <f>IF(B2341&lt;&gt;"",IF(AND(B2341='IN-TC'!$S$4,OR(TH!N2341="1111",TH!O2341="1111")),TH!D2341,""),"")</f>
        <v/>
      </c>
      <c r="B2341" s="1159">
        <f t="shared" si="755"/>
        <v>12</v>
      </c>
      <c r="C2341" s="217">
        <f t="shared" si="762"/>
        <v>43083</v>
      </c>
      <c r="D2341" s="217" t="s">
        <v>1125</v>
      </c>
      <c r="E2341" s="217">
        <v>43083</v>
      </c>
      <c r="F2341" s="996" t="s">
        <v>2399</v>
      </c>
      <c r="G2341" s="739"/>
      <c r="H2341" s="294" t="s">
        <v>2919</v>
      </c>
      <c r="I2341" s="373">
        <v>3000</v>
      </c>
      <c r="J2341" s="926">
        <v>49978.177000000003</v>
      </c>
      <c r="K2341" s="926"/>
      <c r="L2341" s="379"/>
      <c r="M2341" s="927">
        <f>ROUND(I2341*J2341,0)</f>
        <v>149934531</v>
      </c>
      <c r="N2341" s="935" t="s">
        <v>274</v>
      </c>
      <c r="O2341" s="935" t="s">
        <v>272</v>
      </c>
      <c r="P2341" s="75" t="str">
        <f>IF(AND('331-CT'!$E$7=TH!H2341,OR(N2341="331",O2341="331")),"x","")</f>
        <v/>
      </c>
      <c r="Q2341" s="75" t="str">
        <f>IF(AND(B2341='111'!$L$11,OR($N2341=$Q$7,$O2341=$Q$7)),"x","")</f>
        <v/>
      </c>
      <c r="R2341" s="75" t="str">
        <f>IF(AND($N2341=$Q$7,$B2341&lt;'111'!$L$11),"x","")</f>
        <v/>
      </c>
      <c r="S2341" s="75" t="str">
        <f>IF(AND($O2341=$Q$7,$B2341&lt;'111'!$L$11),"x","")</f>
        <v/>
      </c>
      <c r="T2341" s="75" t="str">
        <f>IF(ISERROR(FIND('112'!$M$9,G2341,1)),"",IF((AND(FIND('112'!$M$9,G2341,1)&gt;=1,B2341='112'!$K$9,OR($N2341='112'!$I$6,$O2341='112'!$I$6))),"x",""))</f>
        <v/>
      </c>
      <c r="U2341" s="75" t="str">
        <f>IF(ISERROR(FIND('112'!$M$9,G2341,1)),"",IF((AND(LEFT(G2341,2)=LEFT('112'!$M$9,2),B2341&lt;'112'!$K$9,$N2341='112'!$I$6)),"x",""))</f>
        <v/>
      </c>
      <c r="V2341" s="75" t="str">
        <f>IF(ISERROR(FIND('112'!$M$9,G2341,1)),"",IF((AND(RIGHT(G2341,2)=RIGHT('112'!$M$9,2),B2341&lt;'112'!$K$9,$O2341='112'!$I$6)),"x",""))</f>
        <v/>
      </c>
      <c r="W2341" s="75" t="str">
        <f>IF(AND('341-CT'!$H$9=H2341,OR(LEFT(N2341,3)=$W$7,LEFT(O2341,3)=$W$7)),"x","")</f>
        <v/>
      </c>
      <c r="X2341" s="75" t="str">
        <f>IF(OR(TH!N2341=TH!$X$7,O2341=TH!$X$7),"x","")</f>
        <v/>
      </c>
      <c r="Y2341" s="75" t="str">
        <f>IF(AND(OR(N2341="131",O2341="131"),H2341='131-CT'!$H$9),"x","")</f>
        <v/>
      </c>
      <c r="Z2341" s="75"/>
      <c r="AA2341" s="75" t="str">
        <f>IF(AND(MONTH(E2341)='IN-NX'!$J$5,'IN-NX'!$D$7=D2341),"x","")</f>
        <v/>
      </c>
      <c r="AB2341" s="75" t="str">
        <f>IF(AND(OR(LEFT(TH!N2341,2)="15",LEFT(TH!O2341,2)="15"),LEFT(TH!O2341,3)&lt;&gt;"111",'152-CT'!$J$8=TH!F2341),"x","")</f>
        <v/>
      </c>
      <c r="AC2341" s="75" t="str">
        <f>IF(AND(OR(LEFT(TH!N2341,2)="15",LEFT(TH!O2341,2)="15"),TK!$E$7=TH!F2341),"x","")</f>
        <v/>
      </c>
      <c r="AD2341" s="75" t="str">
        <f>IF(AND(N2341="1521",MONTH(C2341)='BK-NL'!$M$11),"x","")</f>
        <v/>
      </c>
      <c r="AF2341" s="1054"/>
    </row>
    <row r="2342" spans="1:32" ht="16.5" customHeight="1">
      <c r="A2342" s="309" t="str">
        <f>IF(B2342&lt;&gt;"",IF(AND(B2342='IN-TC'!$S$4,OR(TH!N2342="1111",TH!O2342="1111")),TH!D2342,""),"")</f>
        <v/>
      </c>
      <c r="B2342" s="1159">
        <f t="shared" ref="B2342" si="765">IF(C2342&lt;&gt;"",MONTH(C2342),"")</f>
        <v>12</v>
      </c>
      <c r="C2342" s="217">
        <f t="shared" ref="C2342" si="766">E2342</f>
        <v>43083</v>
      </c>
      <c r="D2342" s="217" t="s">
        <v>1124</v>
      </c>
      <c r="E2342" s="217">
        <v>43083</v>
      </c>
      <c r="F2342" s="996" t="s">
        <v>421</v>
      </c>
      <c r="G2342" s="739"/>
      <c r="H2342" s="294" t="s">
        <v>2919</v>
      </c>
      <c r="I2342" s="1122">
        <v>3110.4000000000015</v>
      </c>
      <c r="J2342" s="926">
        <v>113290.89377572011</v>
      </c>
      <c r="K2342" s="926"/>
      <c r="L2342" s="379"/>
      <c r="M2342" s="927">
        <f>ROUND(I2342*J2342,0)</f>
        <v>352379996</v>
      </c>
      <c r="N2342" s="935" t="s">
        <v>274</v>
      </c>
      <c r="O2342" s="935" t="s">
        <v>272</v>
      </c>
      <c r="P2342" s="75" t="str">
        <f>IF(AND('331-CT'!$E$7=TH!H2342,OR(N2342="331",O2342="331")),"x","")</f>
        <v/>
      </c>
      <c r="Q2342" s="75" t="str">
        <f>IF(AND(B2342='111'!$L$11,OR($N2342=$Q$7,$O2342=$Q$7)),"x","")</f>
        <v/>
      </c>
      <c r="R2342" s="75" t="str">
        <f>IF(AND($N2342=$Q$7,$B2342&lt;'111'!$L$11),"x","")</f>
        <v/>
      </c>
      <c r="S2342" s="75" t="str">
        <f>IF(AND($O2342=$Q$7,$B2342&lt;'111'!$L$11),"x","")</f>
        <v/>
      </c>
      <c r="T2342" s="75" t="str">
        <f>IF(ISERROR(FIND('112'!$M$9,G2342,1)),"",IF((AND(FIND('112'!$M$9,G2342,1)&gt;=1,B2342='112'!$K$9,OR($N2342='112'!$I$6,$O2342='112'!$I$6))),"x",""))</f>
        <v/>
      </c>
      <c r="U2342" s="75" t="str">
        <f>IF(ISERROR(FIND('112'!$M$9,G2342,1)),"",IF((AND(LEFT(G2342,2)=LEFT('112'!$M$9,2),B2342&lt;'112'!$K$9,$N2342='112'!$I$6)),"x",""))</f>
        <v/>
      </c>
      <c r="V2342" s="75" t="str">
        <f>IF(ISERROR(FIND('112'!$M$9,G2342,1)),"",IF((AND(RIGHT(G2342,2)=RIGHT('112'!$M$9,2),B2342&lt;'112'!$K$9,$O2342='112'!$I$6)),"x",""))</f>
        <v/>
      </c>
      <c r="W2342" s="75" t="str">
        <f>IF(AND('341-CT'!$H$9=H2342,OR(LEFT(N2342,3)=$W$7,LEFT(O2342,3)=$W$7)),"x","")</f>
        <v/>
      </c>
      <c r="X2342" s="75" t="str">
        <f>IF(OR(TH!N2342=TH!$X$7,O2342=TH!$X$7),"x","")</f>
        <v/>
      </c>
      <c r="Y2342" s="75" t="str">
        <f>IF(AND(OR(N2342="131",O2342="131"),H2342='131-CT'!$H$9),"x","")</f>
        <v/>
      </c>
      <c r="Z2342" s="75"/>
      <c r="AA2342" s="75" t="str">
        <f>IF(AND(MONTH(E2342)='IN-NX'!$J$5,'IN-NX'!$D$7=D2342),"x","")</f>
        <v/>
      </c>
      <c r="AB2342" s="75" t="str">
        <f>IF(AND(OR(LEFT(TH!N2342,2)="15",LEFT(TH!O2342,2)="15"),LEFT(TH!O2342,3)&lt;&gt;"111",'152-CT'!$J$8=TH!F2342),"x","")</f>
        <v/>
      </c>
      <c r="AC2342" s="75" t="str">
        <f>IF(AND(OR(LEFT(TH!N2342,2)="15",LEFT(TH!O2342,2)="15"),TK!$E$7=TH!F2342),"x","")</f>
        <v/>
      </c>
      <c r="AD2342" s="75" t="str">
        <f>IF(AND(N2342="1521",MONTH(C2342)='BK-NL'!$M$11),"x","")</f>
        <v/>
      </c>
      <c r="AF2342" s="1054"/>
    </row>
    <row r="2343" spans="1:32" ht="16.5" customHeight="1">
      <c r="A2343" s="309" t="str">
        <f>IF(B2343&lt;&gt;"",IF(AND(B2343='IN-TC'!$S$4,OR(TH!N2343="1111",TH!O2343="1111")),TH!D2343,""),"")</f>
        <v/>
      </c>
      <c r="B2343" s="1159">
        <f t="shared" ref="B2343" si="767">IF(C2343&lt;&gt;"",MONTH(C2343),"")</f>
        <v>12</v>
      </c>
      <c r="C2343" s="217">
        <f t="shared" ref="C2343" si="768">E2343</f>
        <v>43083</v>
      </c>
      <c r="D2343" s="217" t="s">
        <v>1124</v>
      </c>
      <c r="E2343" s="217">
        <v>43083</v>
      </c>
      <c r="F2343" s="996" t="s">
        <v>1588</v>
      </c>
      <c r="G2343" s="739"/>
      <c r="H2343" s="294" t="s">
        <v>2919</v>
      </c>
      <c r="I2343" s="1122">
        <v>6000</v>
      </c>
      <c r="J2343" s="926">
        <v>214311.69149999999</v>
      </c>
      <c r="K2343" s="926"/>
      <c r="L2343" s="379"/>
      <c r="M2343" s="927">
        <f>ROUND(I2343*J2343,0)</f>
        <v>1285870149</v>
      </c>
      <c r="N2343" s="935" t="s">
        <v>274</v>
      </c>
      <c r="O2343" s="935" t="s">
        <v>272</v>
      </c>
      <c r="P2343" s="75" t="str">
        <f>IF(AND('331-CT'!$E$7=TH!H2343,OR(N2343="331",O2343="331")),"x","")</f>
        <v/>
      </c>
      <c r="Q2343" s="75" t="str">
        <f>IF(AND(B2343='111'!$L$11,OR($N2343=$Q$7,$O2343=$Q$7)),"x","")</f>
        <v/>
      </c>
      <c r="R2343" s="75" t="str">
        <f>IF(AND($N2343=$Q$7,$B2343&lt;'111'!$L$11),"x","")</f>
        <v/>
      </c>
      <c r="S2343" s="75" t="str">
        <f>IF(AND($O2343=$Q$7,$B2343&lt;'111'!$L$11),"x","")</f>
        <v/>
      </c>
      <c r="T2343" s="75" t="str">
        <f>IF(ISERROR(FIND('112'!$M$9,G2343,1)),"",IF((AND(FIND('112'!$M$9,G2343,1)&gt;=1,B2343='112'!$K$9,OR($N2343='112'!$I$6,$O2343='112'!$I$6))),"x",""))</f>
        <v/>
      </c>
      <c r="U2343" s="75" t="str">
        <f>IF(ISERROR(FIND('112'!$M$9,G2343,1)),"",IF((AND(LEFT(G2343,2)=LEFT('112'!$M$9,2),B2343&lt;'112'!$K$9,$N2343='112'!$I$6)),"x",""))</f>
        <v/>
      </c>
      <c r="V2343" s="75" t="str">
        <f>IF(ISERROR(FIND('112'!$M$9,G2343,1)),"",IF((AND(RIGHT(G2343,2)=RIGHT('112'!$M$9,2),B2343&lt;'112'!$K$9,$O2343='112'!$I$6)),"x",""))</f>
        <v/>
      </c>
      <c r="W2343" s="75" t="str">
        <f>IF(AND('341-CT'!$H$9=H2343,OR(LEFT(N2343,3)=$W$7,LEFT(O2343,3)=$W$7)),"x","")</f>
        <v/>
      </c>
      <c r="X2343" s="75" t="str">
        <f>IF(OR(TH!N2343=TH!$X$7,O2343=TH!$X$7),"x","")</f>
        <v/>
      </c>
      <c r="Y2343" s="75" t="str">
        <f>IF(AND(OR(N2343="131",O2343="131"),H2343='131-CT'!$H$9),"x","")</f>
        <v/>
      </c>
      <c r="Z2343" s="75"/>
      <c r="AA2343" s="75" t="str">
        <f>IF(AND(MONTH(E2343)='IN-NX'!$J$5,'IN-NX'!$D$7=D2343),"x","")</f>
        <v/>
      </c>
      <c r="AB2343" s="75" t="str">
        <f>IF(AND(OR(LEFT(TH!N2343,2)="15",LEFT(TH!O2343,2)="15"),LEFT(TH!O2343,3)&lt;&gt;"111",'152-CT'!$J$8=TH!F2343),"x","")</f>
        <v/>
      </c>
      <c r="AC2343" s="75" t="str">
        <f>IF(AND(OR(LEFT(TH!N2343,2)="15",LEFT(TH!O2343,2)="15"),TK!$E$7=TH!F2343),"x","")</f>
        <v/>
      </c>
      <c r="AD2343" s="75" t="str">
        <f>IF(AND(N2343="1521",MONTH(C2343)='BK-NL'!$M$11),"x","")</f>
        <v/>
      </c>
      <c r="AF2343" s="1054"/>
    </row>
    <row r="2344" spans="1:32" s="1264" customFormat="1" ht="16.5" customHeight="1">
      <c r="A2344" s="309" t="str">
        <f>IF(B2344&lt;&gt;"",IF(AND(B2344='IN-TC'!$S$4,OR(TH!N2344="1111",TH!O2344="1111")),TH!D2344,""),"")</f>
        <v/>
      </c>
      <c r="B2344" s="1159">
        <f t="shared" ref="B2344:B2365" si="769">IF(C2344&lt;&gt;"",MONTH(C2344),"")</f>
        <v>12</v>
      </c>
      <c r="C2344" s="252">
        <v>43098</v>
      </c>
      <c r="D2344" s="252" t="s">
        <v>2921</v>
      </c>
      <c r="E2344" s="252">
        <f t="shared" ref="E2344:E2365" si="770">C2344</f>
        <v>43098</v>
      </c>
      <c r="F2344" s="1055" t="s">
        <v>2399</v>
      </c>
      <c r="G2344" s="1056" t="s">
        <v>2948</v>
      </c>
      <c r="H2344" s="735" t="s">
        <v>623</v>
      </c>
      <c r="I2344" s="371">
        <f>45761.9+26390</f>
        <v>72151.899999999994</v>
      </c>
      <c r="J2344" s="371">
        <v>39500</v>
      </c>
      <c r="K2344" s="371"/>
      <c r="L2344" s="377"/>
      <c r="M2344" s="933">
        <f t="shared" ref="M2344:M2373" si="771">ROUND(I2344*J2344,0)</f>
        <v>2850000050</v>
      </c>
      <c r="N2344" s="977" t="s">
        <v>284</v>
      </c>
      <c r="O2344" s="977" t="s">
        <v>274</v>
      </c>
      <c r="P2344" s="75" t="str">
        <f>IF(AND('331-CT'!$E$7=TH!H2344,OR(N2344="331",O2344="331")),"x","")</f>
        <v/>
      </c>
      <c r="Q2344" s="75" t="str">
        <f>IF(AND(B2344='111'!$L$11,OR($N2344=$Q$7,$O2344=$Q$7)),"x","")</f>
        <v/>
      </c>
      <c r="R2344" s="75" t="str">
        <f>IF(AND($N2344=$Q$7,$B2344&lt;'111'!$L$11),"x","")</f>
        <v/>
      </c>
      <c r="S2344" s="75" t="str">
        <f>IF(AND($O2344=$Q$7,$B2344&lt;'111'!$L$11),"x","")</f>
        <v/>
      </c>
      <c r="T2344" s="75" t="str">
        <f>IF(ISERROR(FIND('112'!$M$9,G2344,1)),"",IF((AND(FIND('112'!$M$9,G2344,1)&gt;=1,B2344='112'!$K$9,OR($N2344='112'!$I$6,$O2344='112'!$I$6))),"x",""))</f>
        <v/>
      </c>
      <c r="U2344" s="75" t="str">
        <f>IF(ISERROR(FIND('112'!$M$9,G2344,1)),"",IF((AND(LEFT(G2344,2)=LEFT('112'!$M$9,2),B2344&lt;'112'!$K$9,$N2344='112'!$I$6)),"x",""))</f>
        <v/>
      </c>
      <c r="V2344" s="75" t="str">
        <f>IF(ISERROR(FIND('112'!$M$9,G2344,1)),"",IF((AND(RIGHT(G2344,2)=RIGHT('112'!$M$9,2),B2344&lt;'112'!$K$9,$O2344='112'!$I$6)),"x",""))</f>
        <v/>
      </c>
      <c r="W2344" s="75" t="str">
        <f>IF(AND('341-CT'!$H$9=H2344,OR(LEFT(N2344,3)=$W$7,LEFT(O2344,3)=$W$7)),"x","")</f>
        <v/>
      </c>
      <c r="X2344" s="75" t="str">
        <f>IF(OR(TH!N2344=TH!$X$7,O2344=TH!$X$7),"x","")</f>
        <v/>
      </c>
      <c r="Y2344" s="75" t="str">
        <f>IF(AND(OR(N2344="131",O2344="131"),H2344='131-CT'!$H$9),"x","")</f>
        <v/>
      </c>
      <c r="Z2344" s="75"/>
      <c r="AA2344" s="75" t="str">
        <f>IF(AND(MONTH(E2344)='IN-NX'!$J$5,'IN-NX'!$D$7=D2344),"x","")</f>
        <v/>
      </c>
      <c r="AB2344" s="75" t="str">
        <f>IF(AND(OR(LEFT(TH!N2344,2)="15",LEFT(TH!O2344,2)="15"),LEFT(TH!O2344,3)&lt;&gt;"111",'152-CT'!$J$8=TH!F2344),"x","")</f>
        <v/>
      </c>
      <c r="AC2344" s="75" t="str">
        <f>IF(AND(OR(LEFT(TH!N2344,2)="15",LEFT(TH!O2344,2)="15"),TK!$E$7=TH!F2344),"x","")</f>
        <v/>
      </c>
      <c r="AD2344" s="75" t="str">
        <f>IF(AND(N2344="1521",MONTH(C2344)='BK-NL'!$M$11),"x","")</f>
        <v/>
      </c>
      <c r="AF2344" s="1054"/>
    </row>
    <row r="2345" spans="1:32" s="1264" customFormat="1" ht="16.5" customHeight="1">
      <c r="A2345" s="309" t="str">
        <f>IF(B2345&lt;&gt;"",IF(AND(B2345='IN-TC'!$S$4,OR(TH!N2345="1111",TH!O2345="1111")),TH!D2345,""),"")</f>
        <v/>
      </c>
      <c r="B2345" s="1159">
        <f t="shared" ref="B2345" si="772">IF(C2345&lt;&gt;"",MONTH(C2345),"")</f>
        <v>12</v>
      </c>
      <c r="C2345" s="252">
        <v>43098</v>
      </c>
      <c r="D2345" s="252" t="s">
        <v>2921</v>
      </c>
      <c r="E2345" s="252">
        <f t="shared" ref="E2345" si="773">C2345</f>
        <v>43098</v>
      </c>
      <c r="F2345" s="1055" t="s">
        <v>2399</v>
      </c>
      <c r="G2345" s="1056" t="s">
        <v>2838</v>
      </c>
      <c r="H2345" s="73" t="s">
        <v>789</v>
      </c>
      <c r="I2345" s="371">
        <v>32898</v>
      </c>
      <c r="J2345" s="371">
        <v>39500</v>
      </c>
      <c r="K2345" s="371"/>
      <c r="L2345" s="377"/>
      <c r="M2345" s="933">
        <f t="shared" ref="M2345" si="774">ROUND(I2345*J2345,0)</f>
        <v>1299471000</v>
      </c>
      <c r="N2345" s="977" t="s">
        <v>284</v>
      </c>
      <c r="O2345" s="977" t="s">
        <v>274</v>
      </c>
      <c r="P2345" s="75" t="str">
        <f>IF(AND('331-CT'!$E$7=TH!H2345,OR(N2345="331",O2345="331")),"x","")</f>
        <v/>
      </c>
      <c r="Q2345" s="75" t="str">
        <f>IF(AND(B2345='111'!$L$11,OR($N2345=$Q$7,$O2345=$Q$7)),"x","")</f>
        <v/>
      </c>
      <c r="R2345" s="75" t="str">
        <f>IF(AND($N2345=$Q$7,$B2345&lt;'111'!$L$11),"x","")</f>
        <v/>
      </c>
      <c r="S2345" s="75" t="str">
        <f>IF(AND($O2345=$Q$7,$B2345&lt;'111'!$L$11),"x","")</f>
        <v/>
      </c>
      <c r="T2345" s="75" t="str">
        <f>IF(ISERROR(FIND('112'!$M$9,G2345,1)),"",IF((AND(FIND('112'!$M$9,G2345,1)&gt;=1,B2345='112'!$K$9,OR($N2345='112'!$I$6,$O2345='112'!$I$6))),"x",""))</f>
        <v/>
      </c>
      <c r="U2345" s="75" t="str">
        <f>IF(ISERROR(FIND('112'!$M$9,G2345,1)),"",IF((AND(LEFT(G2345,2)=LEFT('112'!$M$9,2),B2345&lt;'112'!$K$9,$N2345='112'!$I$6)),"x",""))</f>
        <v/>
      </c>
      <c r="V2345" s="75" t="str">
        <f>IF(ISERROR(FIND('112'!$M$9,G2345,1)),"",IF((AND(RIGHT(G2345,2)=RIGHT('112'!$M$9,2),B2345&lt;'112'!$K$9,$O2345='112'!$I$6)),"x",""))</f>
        <v/>
      </c>
      <c r="W2345" s="75" t="str">
        <f>IF(AND('341-CT'!$H$9=H2345,OR(LEFT(N2345,3)=$W$7,LEFT(O2345,3)=$W$7)),"x","")</f>
        <v/>
      </c>
      <c r="X2345" s="75" t="str">
        <f>IF(OR(TH!N2345=TH!$X$7,O2345=TH!$X$7),"x","")</f>
        <v/>
      </c>
      <c r="Y2345" s="75" t="str">
        <f>IF(AND(OR(N2345="131",O2345="131"),H2345='131-CT'!$H$9),"x","")</f>
        <v/>
      </c>
      <c r="Z2345" s="75"/>
      <c r="AA2345" s="75" t="str">
        <f>IF(AND(MONTH(E2345)='IN-NX'!$J$5,'IN-NX'!$D$7=D2345),"x","")</f>
        <v/>
      </c>
      <c r="AB2345" s="75" t="str">
        <f>IF(AND(OR(LEFT(TH!N2345,2)="15",LEFT(TH!O2345,2)="15"),LEFT(TH!O2345,3)&lt;&gt;"111",'152-CT'!$J$8=TH!F2345),"x","")</f>
        <v/>
      </c>
      <c r="AC2345" s="75" t="str">
        <f>IF(AND(OR(LEFT(TH!N2345,2)="15",LEFT(TH!O2345,2)="15"),TK!$E$7=TH!F2345),"x","")</f>
        <v/>
      </c>
      <c r="AD2345" s="75" t="str">
        <f>IF(AND(N2345="1521",MONTH(C2345)='BK-NL'!$M$11),"x","")</f>
        <v/>
      </c>
      <c r="AF2345" s="1054"/>
    </row>
    <row r="2346" spans="1:32" s="1264" customFormat="1" ht="16.5" customHeight="1">
      <c r="A2346" s="309" t="str">
        <f>IF(B2346&lt;&gt;"",IF(AND(B2346='IN-TC'!$S$4,OR(TH!N2346="1111",TH!O2346="1111")),TH!D2346,""),"")</f>
        <v/>
      </c>
      <c r="B2346" s="1283">
        <f t="shared" ref="B2346" si="775">IF(C2346&lt;&gt;"",MONTH(C2346),"")</f>
        <v>12</v>
      </c>
      <c r="C2346" s="252">
        <v>43098</v>
      </c>
      <c r="D2346" s="252" t="s">
        <v>2921</v>
      </c>
      <c r="E2346" s="252">
        <f t="shared" ref="E2346" si="776">C2346</f>
        <v>43098</v>
      </c>
      <c r="F2346" s="1055" t="s">
        <v>2399</v>
      </c>
      <c r="G2346" s="1056" t="s">
        <v>2859</v>
      </c>
      <c r="H2346" s="735" t="s">
        <v>1859</v>
      </c>
      <c r="I2346" s="371">
        <v>350118.1</v>
      </c>
      <c r="J2346" s="371">
        <v>49399.430629264811</v>
      </c>
      <c r="K2346" s="371"/>
      <c r="L2346" s="377"/>
      <c r="M2346" s="933">
        <f t="shared" ref="M2346" si="777">ROUND(I2346*J2346,0)</f>
        <v>17295634793</v>
      </c>
      <c r="N2346" s="977" t="s">
        <v>284</v>
      </c>
      <c r="O2346" s="977" t="s">
        <v>274</v>
      </c>
      <c r="P2346" s="75" t="str">
        <f>IF(AND('331-CT'!$E$7=TH!H2346,OR(N2346="331",O2346="331")),"x","")</f>
        <v/>
      </c>
      <c r="Q2346" s="75" t="str">
        <f>IF(AND(B2346='111'!$L$11,OR($N2346=$Q$7,$O2346=$Q$7)),"x","")</f>
        <v/>
      </c>
      <c r="R2346" s="75" t="str">
        <f>IF(AND($N2346=$Q$7,$B2346&lt;'111'!$L$11),"x","")</f>
        <v/>
      </c>
      <c r="S2346" s="75" t="str">
        <f>IF(AND($O2346=$Q$7,$B2346&lt;'111'!$L$11),"x","")</f>
        <v/>
      </c>
      <c r="T2346" s="75" t="str">
        <f>IF(ISERROR(FIND('112'!$M$9,G2346,1)),"",IF((AND(FIND('112'!$M$9,G2346,1)&gt;=1,B2346='112'!$K$9,OR($N2346='112'!$I$6,$O2346='112'!$I$6))),"x",""))</f>
        <v/>
      </c>
      <c r="U2346" s="75" t="str">
        <f>IF(ISERROR(FIND('112'!$M$9,G2346,1)),"",IF((AND(LEFT(G2346,2)=LEFT('112'!$M$9,2),B2346&lt;'112'!$K$9,$N2346='112'!$I$6)),"x",""))</f>
        <v/>
      </c>
      <c r="V2346" s="75" t="str">
        <f>IF(ISERROR(FIND('112'!$M$9,G2346,1)),"",IF((AND(RIGHT(G2346,2)=RIGHT('112'!$M$9,2),B2346&lt;'112'!$K$9,$O2346='112'!$I$6)),"x",""))</f>
        <v/>
      </c>
      <c r="W2346" s="75" t="str">
        <f>IF(AND('341-CT'!$H$9=H2346,OR(LEFT(N2346,3)=$W$7,LEFT(O2346,3)=$W$7)),"x","")</f>
        <v/>
      </c>
      <c r="X2346" s="75" t="str">
        <f>IF(OR(TH!N2346=TH!$X$7,O2346=TH!$X$7),"x","")</f>
        <v/>
      </c>
      <c r="Y2346" s="75" t="str">
        <f>IF(AND(OR(N2346="131",O2346="131"),H2346='131-CT'!$H$9),"x","")</f>
        <v/>
      </c>
      <c r="Z2346" s="75"/>
      <c r="AA2346" s="75" t="str">
        <f>IF(AND(MONTH(E2346)='IN-NX'!$J$5,'IN-NX'!$D$7=D2346),"x","")</f>
        <v/>
      </c>
      <c r="AB2346" s="75" t="str">
        <f>IF(AND(OR(LEFT(TH!N2346,2)="15",LEFT(TH!O2346,2)="15"),LEFT(TH!O2346,3)&lt;&gt;"111",'152-CT'!$J$8=TH!F2346),"x","")</f>
        <v/>
      </c>
      <c r="AC2346" s="75" t="str">
        <f>IF(AND(OR(LEFT(TH!N2346,2)="15",LEFT(TH!O2346,2)="15"),TK!$E$7=TH!F2346),"x","")</f>
        <v/>
      </c>
      <c r="AD2346" s="75" t="str">
        <f>IF(AND(N2346="1521",MONTH(C2346)='BK-NL'!$M$11),"x","")</f>
        <v/>
      </c>
      <c r="AF2346" s="1054"/>
    </row>
    <row r="2347" spans="1:32" s="1264" customFormat="1" ht="16.5" customHeight="1">
      <c r="A2347" s="309" t="str">
        <f>IF(B2347&lt;&gt;"",IF(AND(B2347='IN-TC'!$S$4,OR(TH!N2347="1111",TH!O2347="1111")),TH!D2347,""),"")</f>
        <v/>
      </c>
      <c r="B2347" s="1283">
        <f t="shared" si="769"/>
        <v>12</v>
      </c>
      <c r="C2347" s="252">
        <v>43081</v>
      </c>
      <c r="D2347" s="252" t="s">
        <v>2921</v>
      </c>
      <c r="E2347" s="252">
        <f t="shared" si="770"/>
        <v>43081</v>
      </c>
      <c r="F2347" s="1055" t="s">
        <v>426</v>
      </c>
      <c r="G2347" s="1056" t="s">
        <v>2748</v>
      </c>
      <c r="H2347" s="735" t="s">
        <v>738</v>
      </c>
      <c r="I2347" s="371">
        <v>4800</v>
      </c>
      <c r="J2347" s="371">
        <v>190361.39020833332</v>
      </c>
      <c r="K2347" s="371"/>
      <c r="L2347" s="377"/>
      <c r="M2347" s="933">
        <f t="shared" si="771"/>
        <v>913734673</v>
      </c>
      <c r="N2347" s="977" t="s">
        <v>284</v>
      </c>
      <c r="O2347" s="977" t="s">
        <v>274</v>
      </c>
      <c r="P2347" s="75" t="str">
        <f>IF(AND('331-CT'!$E$7=TH!H2347,OR(N2347="331",O2347="331")),"x","")</f>
        <v/>
      </c>
      <c r="Q2347" s="75" t="str">
        <f>IF(AND(B2347='111'!$L$11,OR($N2347=$Q$7,$O2347=$Q$7)),"x","")</f>
        <v/>
      </c>
      <c r="R2347" s="75" t="str">
        <f>IF(AND($N2347=$Q$7,$B2347&lt;'111'!$L$11),"x","")</f>
        <v/>
      </c>
      <c r="S2347" s="75" t="str">
        <f>IF(AND($O2347=$Q$7,$B2347&lt;'111'!$L$11),"x","")</f>
        <v/>
      </c>
      <c r="T2347" s="75" t="str">
        <f>IF(ISERROR(FIND('112'!$M$9,G2347,1)),"",IF((AND(FIND('112'!$M$9,G2347,1)&gt;=1,B2347='112'!$K$9,OR($N2347='112'!$I$6,$O2347='112'!$I$6))),"x",""))</f>
        <v/>
      </c>
      <c r="U2347" s="75" t="str">
        <f>IF(ISERROR(FIND('112'!$M$9,G2347,1)),"",IF((AND(LEFT(G2347,2)=LEFT('112'!$M$9,2),B2347&lt;'112'!$K$9,$N2347='112'!$I$6)),"x",""))</f>
        <v/>
      </c>
      <c r="V2347" s="75" t="str">
        <f>IF(ISERROR(FIND('112'!$M$9,G2347,1)),"",IF((AND(RIGHT(G2347,2)=RIGHT('112'!$M$9,2),B2347&lt;'112'!$K$9,$O2347='112'!$I$6)),"x",""))</f>
        <v/>
      </c>
      <c r="W2347" s="75" t="str">
        <f>IF(AND('341-CT'!$H$9=H2347,OR(LEFT(N2347,3)=$W$7,LEFT(O2347,3)=$W$7)),"x","")</f>
        <v/>
      </c>
      <c r="X2347" s="75" t="str">
        <f>IF(OR(TH!N2347=TH!$X$7,O2347=TH!$X$7),"x","")</f>
        <v/>
      </c>
      <c r="Y2347" s="75" t="str">
        <f>IF(AND(OR(N2347="131",O2347="131"),H2347='131-CT'!$H$9),"x","")</f>
        <v/>
      </c>
      <c r="Z2347" s="75"/>
      <c r="AA2347" s="75" t="str">
        <f>IF(AND(MONTH(E2347)='IN-NX'!$J$5,'IN-NX'!$D$7=D2347),"x","")</f>
        <v/>
      </c>
      <c r="AB2347" s="75" t="str">
        <f>IF(AND(OR(LEFT(TH!N2347,2)="15",LEFT(TH!O2347,2)="15"),LEFT(TH!O2347,3)&lt;&gt;"111",'152-CT'!$J$8=TH!F2347),"x","")</f>
        <v/>
      </c>
      <c r="AC2347" s="75" t="str">
        <f>IF(AND(OR(LEFT(TH!N2347,2)="15",LEFT(TH!O2347,2)="15"),TK!$E$7=TH!F2347),"x","")</f>
        <v/>
      </c>
      <c r="AD2347" s="75" t="str">
        <f>IF(AND(N2347="1521",MONTH(C2347)='BK-NL'!$M$11),"x","")</f>
        <v/>
      </c>
      <c r="AF2347" s="1054"/>
    </row>
    <row r="2348" spans="1:32" s="1264" customFormat="1" ht="16.5" customHeight="1">
      <c r="A2348" s="309" t="str">
        <f>IF(B2348&lt;&gt;"",IF(AND(B2348='IN-TC'!$S$4,OR(TH!N2348="1111",TH!O2348="1111")),TH!D2348,""),"")</f>
        <v/>
      </c>
      <c r="B2348" s="1283">
        <f t="shared" si="769"/>
        <v>12</v>
      </c>
      <c r="C2348" s="252">
        <v>43087</v>
      </c>
      <c r="D2348" s="252" t="s">
        <v>2921</v>
      </c>
      <c r="E2348" s="252">
        <f t="shared" si="770"/>
        <v>43087</v>
      </c>
      <c r="F2348" s="1055" t="s">
        <v>1588</v>
      </c>
      <c r="G2348" s="1056" t="s">
        <v>2760</v>
      </c>
      <c r="H2348" s="735" t="s">
        <v>2762</v>
      </c>
      <c r="I2348" s="371">
        <v>1000</v>
      </c>
      <c r="J2348" s="371">
        <v>213663.02499999999</v>
      </c>
      <c r="K2348" s="371"/>
      <c r="L2348" s="377"/>
      <c r="M2348" s="933">
        <f t="shared" si="771"/>
        <v>213663025</v>
      </c>
      <c r="N2348" s="977" t="s">
        <v>284</v>
      </c>
      <c r="O2348" s="977" t="s">
        <v>274</v>
      </c>
      <c r="P2348" s="75" t="str">
        <f>IF(AND('331-CT'!$E$7=TH!H2348,OR(N2348="331",O2348="331")),"x","")</f>
        <v/>
      </c>
      <c r="Q2348" s="75" t="str">
        <f>IF(AND(B2348='111'!$L$11,OR($N2348=$Q$7,$O2348=$Q$7)),"x","")</f>
        <v/>
      </c>
      <c r="R2348" s="75" t="str">
        <f>IF(AND($N2348=$Q$7,$B2348&lt;'111'!$L$11),"x","")</f>
        <v/>
      </c>
      <c r="S2348" s="75" t="str">
        <f>IF(AND($O2348=$Q$7,$B2348&lt;'111'!$L$11),"x","")</f>
        <v/>
      </c>
      <c r="T2348" s="75" t="str">
        <f>IF(ISERROR(FIND('112'!$M$9,G2348,1)),"",IF((AND(FIND('112'!$M$9,G2348,1)&gt;=1,B2348='112'!$K$9,OR($N2348='112'!$I$6,$O2348='112'!$I$6))),"x",""))</f>
        <v/>
      </c>
      <c r="U2348" s="75" t="str">
        <f>IF(ISERROR(FIND('112'!$M$9,G2348,1)),"",IF((AND(LEFT(G2348,2)=LEFT('112'!$M$9,2),B2348&lt;'112'!$K$9,$N2348='112'!$I$6)),"x",""))</f>
        <v/>
      </c>
      <c r="V2348" s="75" t="str">
        <f>IF(ISERROR(FIND('112'!$M$9,G2348,1)),"",IF((AND(RIGHT(G2348,2)=RIGHT('112'!$M$9,2),B2348&lt;'112'!$K$9,$O2348='112'!$I$6)),"x",""))</f>
        <v/>
      </c>
      <c r="W2348" s="75" t="str">
        <f>IF(AND('341-CT'!$H$9=H2348,OR(LEFT(N2348,3)=$W$7,LEFT(O2348,3)=$W$7)),"x","")</f>
        <v/>
      </c>
      <c r="X2348" s="75" t="str">
        <f>IF(OR(TH!N2348=TH!$X$7,O2348=TH!$X$7),"x","")</f>
        <v/>
      </c>
      <c r="Y2348" s="75" t="str">
        <f>IF(AND(OR(N2348="131",O2348="131"),H2348='131-CT'!$H$9),"x","")</f>
        <v/>
      </c>
      <c r="Z2348" s="75"/>
      <c r="AA2348" s="75" t="str">
        <f>IF(AND(MONTH(E2348)='IN-NX'!$J$5,'IN-NX'!$D$7=D2348),"x","")</f>
        <v/>
      </c>
      <c r="AB2348" s="75" t="str">
        <f>IF(AND(OR(LEFT(TH!N2348,2)="15",LEFT(TH!O2348,2)="15"),LEFT(TH!O2348,3)&lt;&gt;"111",'152-CT'!$J$8=TH!F2348),"x","")</f>
        <v/>
      </c>
      <c r="AC2348" s="75" t="str">
        <f>IF(AND(OR(LEFT(TH!N2348,2)="15",LEFT(TH!O2348,2)="15"),TK!$E$7=TH!F2348),"x","")</f>
        <v/>
      </c>
      <c r="AD2348" s="75" t="str">
        <f>IF(AND(N2348="1521",MONTH(C2348)='BK-NL'!$M$11),"x","")</f>
        <v/>
      </c>
      <c r="AF2348" s="1054"/>
    </row>
    <row r="2349" spans="1:32" s="1264" customFormat="1" ht="16.5" customHeight="1">
      <c r="A2349" s="309" t="str">
        <f>IF(B2349&lt;&gt;"",IF(AND(B2349='IN-TC'!$S$4,OR(TH!N2349="1111",TH!O2349="1111")),TH!D2349,""),"")</f>
        <v/>
      </c>
      <c r="B2349" s="1283">
        <f t="shared" si="769"/>
        <v>12</v>
      </c>
      <c r="C2349" s="252">
        <v>43087</v>
      </c>
      <c r="D2349" s="252" t="s">
        <v>2921</v>
      </c>
      <c r="E2349" s="252">
        <f t="shared" si="770"/>
        <v>43087</v>
      </c>
      <c r="F2349" s="1055" t="s">
        <v>1639</v>
      </c>
      <c r="G2349" s="1056" t="s">
        <v>2760</v>
      </c>
      <c r="H2349" s="735" t="s">
        <v>2762</v>
      </c>
      <c r="I2349" s="371">
        <v>1000</v>
      </c>
      <c r="J2349" s="371">
        <v>100272.202</v>
      </c>
      <c r="K2349" s="371"/>
      <c r="L2349" s="377"/>
      <c r="M2349" s="933">
        <f t="shared" si="771"/>
        <v>100272202</v>
      </c>
      <c r="N2349" s="977" t="s">
        <v>284</v>
      </c>
      <c r="O2349" s="977" t="s">
        <v>274</v>
      </c>
      <c r="P2349" s="75" t="str">
        <f>IF(AND('331-CT'!$E$7=TH!H2349,OR(N2349="331",O2349="331")),"x","")</f>
        <v/>
      </c>
      <c r="Q2349" s="75" t="str">
        <f>IF(AND(B2349='111'!$L$11,OR($N2349=$Q$7,$O2349=$Q$7)),"x","")</f>
        <v/>
      </c>
      <c r="R2349" s="75" t="str">
        <f>IF(AND($N2349=$Q$7,$B2349&lt;'111'!$L$11),"x","")</f>
        <v/>
      </c>
      <c r="S2349" s="75" t="str">
        <f>IF(AND($O2349=$Q$7,$B2349&lt;'111'!$L$11),"x","")</f>
        <v/>
      </c>
      <c r="T2349" s="75" t="str">
        <f>IF(ISERROR(FIND('112'!$M$9,G2349,1)),"",IF((AND(FIND('112'!$M$9,G2349,1)&gt;=1,B2349='112'!$K$9,OR($N2349='112'!$I$6,$O2349='112'!$I$6))),"x",""))</f>
        <v/>
      </c>
      <c r="U2349" s="75" t="str">
        <f>IF(ISERROR(FIND('112'!$M$9,G2349,1)),"",IF((AND(LEFT(G2349,2)=LEFT('112'!$M$9,2),B2349&lt;'112'!$K$9,$N2349='112'!$I$6)),"x",""))</f>
        <v/>
      </c>
      <c r="V2349" s="75" t="str">
        <f>IF(ISERROR(FIND('112'!$M$9,G2349,1)),"",IF((AND(RIGHT(G2349,2)=RIGHT('112'!$M$9,2),B2349&lt;'112'!$K$9,$O2349='112'!$I$6)),"x",""))</f>
        <v/>
      </c>
      <c r="W2349" s="75" t="str">
        <f>IF(AND('341-CT'!$H$9=H2349,OR(LEFT(N2349,3)=$W$7,LEFT(O2349,3)=$W$7)),"x","")</f>
        <v/>
      </c>
      <c r="X2349" s="75" t="str">
        <f>IF(OR(TH!N2349=TH!$X$7,O2349=TH!$X$7),"x","")</f>
        <v/>
      </c>
      <c r="Y2349" s="75" t="str">
        <f>IF(AND(OR(N2349="131",O2349="131"),H2349='131-CT'!$H$9),"x","")</f>
        <v/>
      </c>
      <c r="Z2349" s="75"/>
      <c r="AA2349" s="75" t="str">
        <f>IF(AND(MONTH(E2349)='IN-NX'!$J$5,'IN-NX'!$D$7=D2349),"x","")</f>
        <v/>
      </c>
      <c r="AB2349" s="75" t="str">
        <f>IF(AND(OR(LEFT(TH!N2349,2)="15",LEFT(TH!O2349,2)="15"),LEFT(TH!O2349,3)&lt;&gt;"111",'152-CT'!$J$8=TH!F2349),"x","")</f>
        <v/>
      </c>
      <c r="AC2349" s="75" t="str">
        <f>IF(AND(OR(LEFT(TH!N2349,2)="15",LEFT(TH!O2349,2)="15"),TK!$E$7=TH!F2349),"x","")</f>
        <v/>
      </c>
      <c r="AD2349" s="75" t="str">
        <f>IF(AND(N2349="1521",MONTH(C2349)='BK-NL'!$M$11),"x","")</f>
        <v/>
      </c>
      <c r="AF2349" s="1054"/>
    </row>
    <row r="2350" spans="1:32" s="1264" customFormat="1" ht="16.5" customHeight="1">
      <c r="A2350" s="309" t="str">
        <f>IF(B2350&lt;&gt;"",IF(AND(B2350='IN-TC'!$S$4,OR(TH!N2350="1111",TH!O2350="1111")),TH!D2350,""),"")</f>
        <v/>
      </c>
      <c r="B2350" s="1283">
        <f t="shared" si="769"/>
        <v>12</v>
      </c>
      <c r="C2350" s="252">
        <v>43087</v>
      </c>
      <c r="D2350" s="252" t="s">
        <v>2921</v>
      </c>
      <c r="E2350" s="252">
        <f t="shared" si="770"/>
        <v>43087</v>
      </c>
      <c r="F2350" s="1055" t="s">
        <v>1755</v>
      </c>
      <c r="G2350" s="1056" t="s">
        <v>2760</v>
      </c>
      <c r="H2350" s="735" t="s">
        <v>2762</v>
      </c>
      <c r="I2350" s="371">
        <v>1000</v>
      </c>
      <c r="J2350" s="371">
        <v>179860.264</v>
      </c>
      <c r="K2350" s="371"/>
      <c r="L2350" s="377"/>
      <c r="M2350" s="933">
        <f t="shared" si="771"/>
        <v>179860264</v>
      </c>
      <c r="N2350" s="977" t="s">
        <v>284</v>
      </c>
      <c r="O2350" s="977" t="s">
        <v>274</v>
      </c>
      <c r="P2350" s="75" t="str">
        <f>IF(AND('331-CT'!$E$7=TH!H2350,OR(N2350="331",O2350="331")),"x","")</f>
        <v/>
      </c>
      <c r="Q2350" s="75" t="str">
        <f>IF(AND(B2350='111'!$L$11,OR($N2350=$Q$7,$O2350=$Q$7)),"x","")</f>
        <v/>
      </c>
      <c r="R2350" s="75" t="str">
        <f>IF(AND($N2350=$Q$7,$B2350&lt;'111'!$L$11),"x","")</f>
        <v/>
      </c>
      <c r="S2350" s="75" t="str">
        <f>IF(AND($O2350=$Q$7,$B2350&lt;'111'!$L$11),"x","")</f>
        <v/>
      </c>
      <c r="T2350" s="75" t="str">
        <f>IF(ISERROR(FIND('112'!$M$9,G2350,1)),"",IF((AND(FIND('112'!$M$9,G2350,1)&gt;=1,B2350='112'!$K$9,OR($N2350='112'!$I$6,$O2350='112'!$I$6))),"x",""))</f>
        <v/>
      </c>
      <c r="U2350" s="75" t="str">
        <f>IF(ISERROR(FIND('112'!$M$9,G2350,1)),"",IF((AND(LEFT(G2350,2)=LEFT('112'!$M$9,2),B2350&lt;'112'!$K$9,$N2350='112'!$I$6)),"x",""))</f>
        <v/>
      </c>
      <c r="V2350" s="75" t="str">
        <f>IF(ISERROR(FIND('112'!$M$9,G2350,1)),"",IF((AND(RIGHT(G2350,2)=RIGHT('112'!$M$9,2),B2350&lt;'112'!$K$9,$O2350='112'!$I$6)),"x",""))</f>
        <v/>
      </c>
      <c r="W2350" s="75" t="str">
        <f>IF(AND('341-CT'!$H$9=H2350,OR(LEFT(N2350,3)=$W$7,LEFT(O2350,3)=$W$7)),"x","")</f>
        <v/>
      </c>
      <c r="X2350" s="75" t="str">
        <f>IF(OR(TH!N2350=TH!$X$7,O2350=TH!$X$7),"x","")</f>
        <v/>
      </c>
      <c r="Y2350" s="75" t="str">
        <f>IF(AND(OR(N2350="131",O2350="131"),H2350='131-CT'!$H$9),"x","")</f>
        <v/>
      </c>
      <c r="Z2350" s="75"/>
      <c r="AA2350" s="75" t="str">
        <f>IF(AND(MONTH(E2350)='IN-NX'!$J$5,'IN-NX'!$D$7=D2350),"x","")</f>
        <v/>
      </c>
      <c r="AB2350" s="75" t="str">
        <f>IF(AND(OR(LEFT(TH!N2350,2)="15",LEFT(TH!O2350,2)="15"),LEFT(TH!O2350,3)&lt;&gt;"111",'152-CT'!$J$8=TH!F2350),"x","")</f>
        <v/>
      </c>
      <c r="AC2350" s="75" t="str">
        <f>IF(AND(OR(LEFT(TH!N2350,2)="15",LEFT(TH!O2350,2)="15"),TK!$E$7=TH!F2350),"x","")</f>
        <v/>
      </c>
      <c r="AD2350" s="75" t="str">
        <f>IF(AND(N2350="1521",MONTH(C2350)='BK-NL'!$M$11),"x","")</f>
        <v/>
      </c>
      <c r="AF2350" s="1054"/>
    </row>
    <row r="2351" spans="1:32" s="1264" customFormat="1" ht="16.5" customHeight="1">
      <c r="A2351" s="309" t="str">
        <f>IF(B2351&lt;&gt;"",IF(AND(B2351='IN-TC'!$S$4,OR(TH!N2351="1111",TH!O2351="1111")),TH!D2351,""),"")</f>
        <v/>
      </c>
      <c r="B2351" s="1283">
        <f t="shared" si="769"/>
        <v>12</v>
      </c>
      <c r="C2351" s="252">
        <v>43087</v>
      </c>
      <c r="D2351" s="252" t="s">
        <v>2921</v>
      </c>
      <c r="E2351" s="252">
        <f t="shared" si="770"/>
        <v>43087</v>
      </c>
      <c r="F2351" s="1055" t="s">
        <v>1584</v>
      </c>
      <c r="G2351" s="1056" t="s">
        <v>2761</v>
      </c>
      <c r="H2351" s="735" t="s">
        <v>546</v>
      </c>
      <c r="I2351" s="371">
        <v>2880</v>
      </c>
      <c r="J2351" s="371">
        <v>197162.93472222221</v>
      </c>
      <c r="K2351" s="371"/>
      <c r="L2351" s="377"/>
      <c r="M2351" s="933">
        <f t="shared" si="771"/>
        <v>567829252</v>
      </c>
      <c r="N2351" s="977" t="s">
        <v>284</v>
      </c>
      <c r="O2351" s="977" t="s">
        <v>274</v>
      </c>
      <c r="P2351" s="75" t="str">
        <f>IF(AND('331-CT'!$E$7=TH!H2351,OR(N2351="331",O2351="331")),"x","")</f>
        <v/>
      </c>
      <c r="Q2351" s="75" t="str">
        <f>IF(AND(B2351='111'!$L$11,OR($N2351=$Q$7,$O2351=$Q$7)),"x","")</f>
        <v/>
      </c>
      <c r="R2351" s="75" t="str">
        <f>IF(AND($N2351=$Q$7,$B2351&lt;'111'!$L$11),"x","")</f>
        <v/>
      </c>
      <c r="S2351" s="75" t="str">
        <f>IF(AND($O2351=$Q$7,$B2351&lt;'111'!$L$11),"x","")</f>
        <v/>
      </c>
      <c r="T2351" s="75" t="str">
        <f>IF(ISERROR(FIND('112'!$M$9,G2351,1)),"",IF((AND(FIND('112'!$M$9,G2351,1)&gt;=1,B2351='112'!$K$9,OR($N2351='112'!$I$6,$O2351='112'!$I$6))),"x",""))</f>
        <v/>
      </c>
      <c r="U2351" s="75" t="str">
        <f>IF(ISERROR(FIND('112'!$M$9,G2351,1)),"",IF((AND(LEFT(G2351,2)=LEFT('112'!$M$9,2),B2351&lt;'112'!$K$9,$N2351='112'!$I$6)),"x",""))</f>
        <v/>
      </c>
      <c r="V2351" s="75" t="str">
        <f>IF(ISERROR(FIND('112'!$M$9,G2351,1)),"",IF((AND(RIGHT(G2351,2)=RIGHT('112'!$M$9,2),B2351&lt;'112'!$K$9,$O2351='112'!$I$6)),"x",""))</f>
        <v/>
      </c>
      <c r="W2351" s="75" t="str">
        <f>IF(AND('341-CT'!$H$9=H2351,OR(LEFT(N2351,3)=$W$7,LEFT(O2351,3)=$W$7)),"x","")</f>
        <v/>
      </c>
      <c r="X2351" s="75" t="str">
        <f>IF(OR(TH!N2351=TH!$X$7,O2351=TH!$X$7),"x","")</f>
        <v/>
      </c>
      <c r="Y2351" s="75" t="str">
        <f>IF(AND(OR(N2351="131",O2351="131"),H2351='131-CT'!$H$9),"x","")</f>
        <v/>
      </c>
      <c r="Z2351" s="75"/>
      <c r="AA2351" s="75" t="str">
        <f>IF(AND(MONTH(E2351)='IN-NX'!$J$5,'IN-NX'!$D$7=D2351),"x","")</f>
        <v/>
      </c>
      <c r="AB2351" s="75" t="str">
        <f>IF(AND(OR(LEFT(TH!N2351,2)="15",LEFT(TH!O2351,2)="15"),LEFT(TH!O2351,3)&lt;&gt;"111",'152-CT'!$J$8=TH!F2351),"x","")</f>
        <v/>
      </c>
      <c r="AC2351" s="75" t="str">
        <f>IF(AND(OR(LEFT(TH!N2351,2)="15",LEFT(TH!O2351,2)="15"),TK!$E$7=TH!F2351),"x","")</f>
        <v/>
      </c>
      <c r="AD2351" s="75" t="str">
        <f>IF(AND(N2351="1521",MONTH(C2351)='BK-NL'!$M$11),"x","")</f>
        <v/>
      </c>
      <c r="AF2351" s="1054"/>
    </row>
    <row r="2352" spans="1:32" s="1264" customFormat="1" ht="16.5" customHeight="1">
      <c r="A2352" s="309" t="str">
        <f>IF(B2352&lt;&gt;"",IF(AND(B2352='IN-TC'!$S$4,OR(TH!N2352="1111",TH!O2352="1111")),TH!D2352,""),"")</f>
        <v/>
      </c>
      <c r="B2352" s="1283">
        <f t="shared" si="769"/>
        <v>12</v>
      </c>
      <c r="C2352" s="252">
        <v>43090</v>
      </c>
      <c r="D2352" s="252" t="s">
        <v>2921</v>
      </c>
      <c r="E2352" s="252">
        <f t="shared" si="770"/>
        <v>43090</v>
      </c>
      <c r="F2352" s="1055" t="s">
        <v>2387</v>
      </c>
      <c r="G2352" s="1056" t="s">
        <v>2792</v>
      </c>
      <c r="H2352" s="735" t="s">
        <v>1139</v>
      </c>
      <c r="I2352" s="371">
        <v>280</v>
      </c>
      <c r="J2352" s="371">
        <v>245224.42499999999</v>
      </c>
      <c r="K2352" s="371"/>
      <c r="L2352" s="377"/>
      <c r="M2352" s="933">
        <f t="shared" si="771"/>
        <v>68662839</v>
      </c>
      <c r="N2352" s="977" t="s">
        <v>284</v>
      </c>
      <c r="O2352" s="977" t="s">
        <v>274</v>
      </c>
      <c r="P2352" s="75" t="str">
        <f>IF(AND('331-CT'!$E$7=TH!H2352,OR(N2352="331",O2352="331")),"x","")</f>
        <v/>
      </c>
      <c r="Q2352" s="75" t="str">
        <f>IF(AND(B2352='111'!$L$11,OR($N2352=$Q$7,$O2352=$Q$7)),"x","")</f>
        <v/>
      </c>
      <c r="R2352" s="75" t="str">
        <f>IF(AND($N2352=$Q$7,$B2352&lt;'111'!$L$11),"x","")</f>
        <v/>
      </c>
      <c r="S2352" s="75" t="str">
        <f>IF(AND($O2352=$Q$7,$B2352&lt;'111'!$L$11),"x","")</f>
        <v/>
      </c>
      <c r="T2352" s="75" t="str">
        <f>IF(ISERROR(FIND('112'!$M$9,G2352,1)),"",IF((AND(FIND('112'!$M$9,G2352,1)&gt;=1,B2352='112'!$K$9,OR($N2352='112'!$I$6,$O2352='112'!$I$6))),"x",""))</f>
        <v/>
      </c>
      <c r="U2352" s="75" t="str">
        <f>IF(ISERROR(FIND('112'!$M$9,G2352,1)),"",IF((AND(LEFT(G2352,2)=LEFT('112'!$M$9,2),B2352&lt;'112'!$K$9,$N2352='112'!$I$6)),"x",""))</f>
        <v/>
      </c>
      <c r="V2352" s="75" t="str">
        <f>IF(ISERROR(FIND('112'!$M$9,G2352,1)),"",IF((AND(RIGHT(G2352,2)=RIGHT('112'!$M$9,2),B2352&lt;'112'!$K$9,$O2352='112'!$I$6)),"x",""))</f>
        <v/>
      </c>
      <c r="W2352" s="75" t="str">
        <f>IF(AND('341-CT'!$H$9=H2352,OR(LEFT(N2352,3)=$W$7,LEFT(O2352,3)=$W$7)),"x","")</f>
        <v/>
      </c>
      <c r="X2352" s="75" t="str">
        <f>IF(OR(TH!N2352=TH!$X$7,O2352=TH!$X$7),"x","")</f>
        <v/>
      </c>
      <c r="Y2352" s="75" t="str">
        <f>IF(AND(OR(N2352="131",O2352="131"),H2352='131-CT'!$H$9),"x","")</f>
        <v/>
      </c>
      <c r="Z2352" s="75"/>
      <c r="AA2352" s="75" t="str">
        <f>IF(AND(MONTH(E2352)='IN-NX'!$J$5,'IN-NX'!$D$7=D2352),"x","")</f>
        <v/>
      </c>
      <c r="AB2352" s="75" t="str">
        <f>IF(AND(OR(LEFT(TH!N2352,2)="15",LEFT(TH!O2352,2)="15"),LEFT(TH!O2352,3)&lt;&gt;"111",'152-CT'!$J$8=TH!F2352),"x","")</f>
        <v/>
      </c>
      <c r="AC2352" s="75" t="str">
        <f>IF(AND(OR(LEFT(TH!N2352,2)="15",LEFT(TH!O2352,2)="15"),TK!$E$7=TH!F2352),"x","")</f>
        <v/>
      </c>
      <c r="AD2352" s="75" t="str">
        <f>IF(AND(N2352="1521",MONTH(C2352)='BK-NL'!$M$11),"x","")</f>
        <v/>
      </c>
      <c r="AF2352" s="1054"/>
    </row>
    <row r="2353" spans="1:32" s="1264" customFormat="1" ht="16.5" customHeight="1">
      <c r="A2353" s="309" t="str">
        <f>IF(B2353&lt;&gt;"",IF(AND(B2353='IN-TC'!$S$4,OR(TH!N2353="1111",TH!O2353="1111")),TH!D2353,""),"")</f>
        <v/>
      </c>
      <c r="B2353" s="1283">
        <f t="shared" si="769"/>
        <v>12</v>
      </c>
      <c r="C2353" s="252">
        <v>43090</v>
      </c>
      <c r="D2353" s="252" t="s">
        <v>2921</v>
      </c>
      <c r="E2353" s="252">
        <f t="shared" si="770"/>
        <v>43090</v>
      </c>
      <c r="F2353" s="1055" t="s">
        <v>1621</v>
      </c>
      <c r="G2353" s="1056" t="s">
        <v>2792</v>
      </c>
      <c r="H2353" s="735" t="s">
        <v>1139</v>
      </c>
      <c r="I2353" s="371">
        <v>120</v>
      </c>
      <c r="J2353" s="371">
        <v>155599.4</v>
      </c>
      <c r="K2353" s="371"/>
      <c r="L2353" s="377"/>
      <c r="M2353" s="933">
        <f t="shared" si="771"/>
        <v>18671928</v>
      </c>
      <c r="N2353" s="977" t="s">
        <v>284</v>
      </c>
      <c r="O2353" s="977" t="s">
        <v>274</v>
      </c>
      <c r="P2353" s="75" t="str">
        <f>IF(AND('331-CT'!$E$7=TH!H2353,OR(N2353="331",O2353="331")),"x","")</f>
        <v/>
      </c>
      <c r="Q2353" s="75" t="str">
        <f>IF(AND(B2353='111'!$L$11,OR($N2353=$Q$7,$O2353=$Q$7)),"x","")</f>
        <v/>
      </c>
      <c r="R2353" s="75" t="str">
        <f>IF(AND($N2353=$Q$7,$B2353&lt;'111'!$L$11),"x","")</f>
        <v/>
      </c>
      <c r="S2353" s="75" t="str">
        <f>IF(AND($O2353=$Q$7,$B2353&lt;'111'!$L$11),"x","")</f>
        <v/>
      </c>
      <c r="T2353" s="75" t="str">
        <f>IF(ISERROR(FIND('112'!$M$9,G2353,1)),"",IF((AND(FIND('112'!$M$9,G2353,1)&gt;=1,B2353='112'!$K$9,OR($N2353='112'!$I$6,$O2353='112'!$I$6))),"x",""))</f>
        <v/>
      </c>
      <c r="U2353" s="75" t="str">
        <f>IF(ISERROR(FIND('112'!$M$9,G2353,1)),"",IF((AND(LEFT(G2353,2)=LEFT('112'!$M$9,2),B2353&lt;'112'!$K$9,$N2353='112'!$I$6)),"x",""))</f>
        <v/>
      </c>
      <c r="V2353" s="75" t="str">
        <f>IF(ISERROR(FIND('112'!$M$9,G2353,1)),"",IF((AND(RIGHT(G2353,2)=RIGHT('112'!$M$9,2),B2353&lt;'112'!$K$9,$O2353='112'!$I$6)),"x",""))</f>
        <v/>
      </c>
      <c r="W2353" s="75" t="str">
        <f>IF(AND('341-CT'!$H$9=H2353,OR(LEFT(N2353,3)=$W$7,LEFT(O2353,3)=$W$7)),"x","")</f>
        <v/>
      </c>
      <c r="X2353" s="75" t="str">
        <f>IF(OR(TH!N2353=TH!$X$7,O2353=TH!$X$7),"x","")</f>
        <v/>
      </c>
      <c r="Y2353" s="75" t="str">
        <f>IF(AND(OR(N2353="131",O2353="131"),H2353='131-CT'!$H$9),"x","")</f>
        <v/>
      </c>
      <c r="Z2353" s="75"/>
      <c r="AA2353" s="75" t="str">
        <f>IF(AND(MONTH(E2353)='IN-NX'!$J$5,'IN-NX'!$D$7=D2353),"x","")</f>
        <v/>
      </c>
      <c r="AB2353" s="75" t="str">
        <f>IF(AND(OR(LEFT(TH!N2353,2)="15",LEFT(TH!O2353,2)="15"),LEFT(TH!O2353,3)&lt;&gt;"111",'152-CT'!$J$8=TH!F2353),"x","")</f>
        <v/>
      </c>
      <c r="AC2353" s="75" t="str">
        <f>IF(AND(OR(LEFT(TH!N2353,2)="15",LEFT(TH!O2353,2)="15"),TK!$E$7=TH!F2353),"x","")</f>
        <v/>
      </c>
      <c r="AD2353" s="75" t="str">
        <f>IF(AND(N2353="1521",MONTH(C2353)='BK-NL'!$M$11),"x","")</f>
        <v/>
      </c>
      <c r="AF2353" s="1054"/>
    </row>
    <row r="2354" spans="1:32" s="1264" customFormat="1" ht="16.5" customHeight="1">
      <c r="A2354" s="309" t="str">
        <f>IF(B2354&lt;&gt;"",IF(AND(B2354='IN-TC'!$S$4,OR(TH!N2354="1111",TH!O2354="1111")),TH!D2354,""),"")</f>
        <v/>
      </c>
      <c r="B2354" s="1283">
        <f t="shared" si="769"/>
        <v>12</v>
      </c>
      <c r="C2354" s="252">
        <v>43090</v>
      </c>
      <c r="D2354" s="252" t="s">
        <v>2921</v>
      </c>
      <c r="E2354" s="252">
        <f t="shared" si="770"/>
        <v>43090</v>
      </c>
      <c r="F2354" s="1055" t="s">
        <v>1545</v>
      </c>
      <c r="G2354" s="1056" t="s">
        <v>2792</v>
      </c>
      <c r="H2354" s="735" t="s">
        <v>1139</v>
      </c>
      <c r="I2354" s="371">
        <v>120</v>
      </c>
      <c r="J2354" s="371">
        <v>188099.4</v>
      </c>
      <c r="K2354" s="371"/>
      <c r="L2354" s="377"/>
      <c r="M2354" s="933">
        <f t="shared" si="771"/>
        <v>22571928</v>
      </c>
      <c r="N2354" s="977" t="s">
        <v>284</v>
      </c>
      <c r="O2354" s="977" t="s">
        <v>274</v>
      </c>
      <c r="P2354" s="75" t="str">
        <f>IF(AND('331-CT'!$E$7=TH!H2354,OR(N2354="331",O2354="331")),"x","")</f>
        <v/>
      </c>
      <c r="Q2354" s="75" t="str">
        <f>IF(AND(B2354='111'!$L$11,OR($N2354=$Q$7,$O2354=$Q$7)),"x","")</f>
        <v/>
      </c>
      <c r="R2354" s="75" t="str">
        <f>IF(AND($N2354=$Q$7,$B2354&lt;'111'!$L$11),"x","")</f>
        <v/>
      </c>
      <c r="S2354" s="75" t="str">
        <f>IF(AND($O2354=$Q$7,$B2354&lt;'111'!$L$11),"x","")</f>
        <v/>
      </c>
      <c r="T2354" s="75" t="str">
        <f>IF(ISERROR(FIND('112'!$M$9,G2354,1)),"",IF((AND(FIND('112'!$M$9,G2354,1)&gt;=1,B2354='112'!$K$9,OR($N2354='112'!$I$6,$O2354='112'!$I$6))),"x",""))</f>
        <v/>
      </c>
      <c r="U2354" s="75" t="str">
        <f>IF(ISERROR(FIND('112'!$M$9,G2354,1)),"",IF((AND(LEFT(G2354,2)=LEFT('112'!$M$9,2),B2354&lt;'112'!$K$9,$N2354='112'!$I$6)),"x",""))</f>
        <v/>
      </c>
      <c r="V2354" s="75" t="str">
        <f>IF(ISERROR(FIND('112'!$M$9,G2354,1)),"",IF((AND(RIGHT(G2354,2)=RIGHT('112'!$M$9,2),B2354&lt;'112'!$K$9,$O2354='112'!$I$6)),"x",""))</f>
        <v/>
      </c>
      <c r="W2354" s="75" t="str">
        <f>IF(AND('341-CT'!$H$9=H2354,OR(LEFT(N2354,3)=$W$7,LEFT(O2354,3)=$W$7)),"x","")</f>
        <v/>
      </c>
      <c r="X2354" s="75" t="str">
        <f>IF(OR(TH!N2354=TH!$X$7,O2354=TH!$X$7),"x","")</f>
        <v/>
      </c>
      <c r="Y2354" s="75" t="str">
        <f>IF(AND(OR(N2354="131",O2354="131"),H2354='131-CT'!$H$9),"x","")</f>
        <v/>
      </c>
      <c r="Z2354" s="75"/>
      <c r="AA2354" s="75" t="str">
        <f>IF(AND(MONTH(E2354)='IN-NX'!$J$5,'IN-NX'!$D$7=D2354),"x","")</f>
        <v/>
      </c>
      <c r="AB2354" s="75" t="str">
        <f>IF(AND(OR(LEFT(TH!N2354,2)="15",LEFT(TH!O2354,2)="15"),LEFT(TH!O2354,3)&lt;&gt;"111",'152-CT'!$J$8=TH!F2354),"x","")</f>
        <v/>
      </c>
      <c r="AC2354" s="75" t="str">
        <f>IF(AND(OR(LEFT(TH!N2354,2)="15",LEFT(TH!O2354,2)="15"),TK!$E$7=TH!F2354),"x","")</f>
        <v/>
      </c>
      <c r="AD2354" s="75" t="str">
        <f>IF(AND(N2354="1521",MONTH(C2354)='BK-NL'!$M$11),"x","")</f>
        <v/>
      </c>
      <c r="AF2354" s="1054"/>
    </row>
    <row r="2355" spans="1:32" s="1264" customFormat="1" ht="16.5" customHeight="1">
      <c r="A2355" s="309" t="str">
        <f>IF(B2355&lt;&gt;"",IF(AND(B2355='IN-TC'!$S$4,OR(TH!N2355="1111",TH!O2355="1111")),TH!D2355,""),"")</f>
        <v/>
      </c>
      <c r="B2355" s="1283">
        <f t="shared" si="769"/>
        <v>12</v>
      </c>
      <c r="C2355" s="252">
        <v>43090</v>
      </c>
      <c r="D2355" s="252" t="s">
        <v>2921</v>
      </c>
      <c r="E2355" s="252">
        <f t="shared" si="770"/>
        <v>43090</v>
      </c>
      <c r="F2355" s="1055" t="s">
        <v>793</v>
      </c>
      <c r="G2355" s="1056" t="s">
        <v>2792</v>
      </c>
      <c r="H2355" s="735" t="s">
        <v>1139</v>
      </c>
      <c r="I2355" s="371">
        <v>120</v>
      </c>
      <c r="J2355" s="371">
        <v>174524.55833333332</v>
      </c>
      <c r="K2355" s="371"/>
      <c r="L2355" s="377"/>
      <c r="M2355" s="933">
        <f t="shared" si="771"/>
        <v>20942947</v>
      </c>
      <c r="N2355" s="977" t="s">
        <v>284</v>
      </c>
      <c r="O2355" s="977" t="s">
        <v>274</v>
      </c>
      <c r="P2355" s="75" t="str">
        <f>IF(AND('331-CT'!$E$7=TH!H2355,OR(N2355="331",O2355="331")),"x","")</f>
        <v/>
      </c>
      <c r="Q2355" s="75" t="str">
        <f>IF(AND(B2355='111'!$L$11,OR($N2355=$Q$7,$O2355=$Q$7)),"x","")</f>
        <v/>
      </c>
      <c r="R2355" s="75" t="str">
        <f>IF(AND($N2355=$Q$7,$B2355&lt;'111'!$L$11),"x","")</f>
        <v/>
      </c>
      <c r="S2355" s="75" t="str">
        <f>IF(AND($O2355=$Q$7,$B2355&lt;'111'!$L$11),"x","")</f>
        <v/>
      </c>
      <c r="T2355" s="75" t="str">
        <f>IF(ISERROR(FIND('112'!$M$9,G2355,1)),"",IF((AND(FIND('112'!$M$9,G2355,1)&gt;=1,B2355='112'!$K$9,OR($N2355='112'!$I$6,$O2355='112'!$I$6))),"x",""))</f>
        <v/>
      </c>
      <c r="U2355" s="75" t="str">
        <f>IF(ISERROR(FIND('112'!$M$9,G2355,1)),"",IF((AND(LEFT(G2355,2)=LEFT('112'!$M$9,2),B2355&lt;'112'!$K$9,$N2355='112'!$I$6)),"x",""))</f>
        <v/>
      </c>
      <c r="V2355" s="75" t="str">
        <f>IF(ISERROR(FIND('112'!$M$9,G2355,1)),"",IF((AND(RIGHT(G2355,2)=RIGHT('112'!$M$9,2),B2355&lt;'112'!$K$9,$O2355='112'!$I$6)),"x",""))</f>
        <v/>
      </c>
      <c r="W2355" s="75" t="str">
        <f>IF(AND('341-CT'!$H$9=H2355,OR(LEFT(N2355,3)=$W$7,LEFT(O2355,3)=$W$7)),"x","")</f>
        <v/>
      </c>
      <c r="X2355" s="75" t="str">
        <f>IF(OR(TH!N2355=TH!$X$7,O2355=TH!$X$7),"x","")</f>
        <v/>
      </c>
      <c r="Y2355" s="75" t="str">
        <f>IF(AND(OR(N2355="131",O2355="131"),H2355='131-CT'!$H$9),"x","")</f>
        <v/>
      </c>
      <c r="Z2355" s="75"/>
      <c r="AA2355" s="75" t="str">
        <f>IF(AND(MONTH(E2355)='IN-NX'!$J$5,'IN-NX'!$D$7=D2355),"x","")</f>
        <v/>
      </c>
      <c r="AB2355" s="75" t="str">
        <f>IF(AND(OR(LEFT(TH!N2355,2)="15",LEFT(TH!O2355,2)="15"),LEFT(TH!O2355,3)&lt;&gt;"111",'152-CT'!$J$8=TH!F2355),"x","")</f>
        <v/>
      </c>
      <c r="AC2355" s="75" t="str">
        <f>IF(AND(OR(LEFT(TH!N2355,2)="15",LEFT(TH!O2355,2)="15"),TK!$E$7=TH!F2355),"x","")</f>
        <v/>
      </c>
      <c r="AD2355" s="75" t="str">
        <f>IF(AND(N2355="1521",MONTH(C2355)='BK-NL'!$M$11),"x","")</f>
        <v/>
      </c>
      <c r="AF2355" s="1054"/>
    </row>
    <row r="2356" spans="1:32" s="1264" customFormat="1" ht="16.5" customHeight="1">
      <c r="A2356" s="309" t="str">
        <f>IF(B2356&lt;&gt;"",IF(AND(B2356='IN-TC'!$S$4,OR(TH!N2356="1111",TH!O2356="1111")),TH!D2356,""),"")</f>
        <v/>
      </c>
      <c r="B2356" s="1283">
        <f t="shared" si="769"/>
        <v>12</v>
      </c>
      <c r="C2356" s="252">
        <v>43094</v>
      </c>
      <c r="D2356" s="252" t="s">
        <v>2921</v>
      </c>
      <c r="E2356" s="252">
        <f t="shared" si="770"/>
        <v>43094</v>
      </c>
      <c r="F2356" s="1055" t="s">
        <v>1639</v>
      </c>
      <c r="G2356" s="1056" t="s">
        <v>2783</v>
      </c>
      <c r="H2356" s="735" t="s">
        <v>1642</v>
      </c>
      <c r="I2356" s="371">
        <v>6000</v>
      </c>
      <c r="J2356" s="371">
        <v>99834.735499999995</v>
      </c>
      <c r="K2356" s="371"/>
      <c r="L2356" s="377"/>
      <c r="M2356" s="933">
        <f t="shared" si="771"/>
        <v>599008413</v>
      </c>
      <c r="N2356" s="977" t="s">
        <v>284</v>
      </c>
      <c r="O2356" s="977" t="s">
        <v>274</v>
      </c>
      <c r="P2356" s="75" t="str">
        <f>IF(AND('331-CT'!$E$7=TH!H2356,OR(N2356="331",O2356="331")),"x","")</f>
        <v/>
      </c>
      <c r="Q2356" s="75" t="str">
        <f>IF(AND(B2356='111'!$L$11,OR($N2356=$Q$7,$O2356=$Q$7)),"x","")</f>
        <v/>
      </c>
      <c r="R2356" s="75" t="str">
        <f>IF(AND($N2356=$Q$7,$B2356&lt;'111'!$L$11),"x","")</f>
        <v/>
      </c>
      <c r="S2356" s="75" t="str">
        <f>IF(AND($O2356=$Q$7,$B2356&lt;'111'!$L$11),"x","")</f>
        <v/>
      </c>
      <c r="T2356" s="75" t="str">
        <f>IF(ISERROR(FIND('112'!$M$9,G2356,1)),"",IF((AND(FIND('112'!$M$9,G2356,1)&gt;=1,B2356='112'!$K$9,OR($N2356='112'!$I$6,$O2356='112'!$I$6))),"x",""))</f>
        <v/>
      </c>
      <c r="U2356" s="75" t="str">
        <f>IF(ISERROR(FIND('112'!$M$9,G2356,1)),"",IF((AND(LEFT(G2356,2)=LEFT('112'!$M$9,2),B2356&lt;'112'!$K$9,$N2356='112'!$I$6)),"x",""))</f>
        <v/>
      </c>
      <c r="V2356" s="75" t="str">
        <f>IF(ISERROR(FIND('112'!$M$9,G2356,1)),"",IF((AND(RIGHT(G2356,2)=RIGHT('112'!$M$9,2),B2356&lt;'112'!$K$9,$O2356='112'!$I$6)),"x",""))</f>
        <v/>
      </c>
      <c r="W2356" s="75" t="str">
        <f>IF(AND('341-CT'!$H$9=H2356,OR(LEFT(N2356,3)=$W$7,LEFT(O2356,3)=$W$7)),"x","")</f>
        <v/>
      </c>
      <c r="X2356" s="75" t="str">
        <f>IF(OR(TH!N2356=TH!$X$7,O2356=TH!$X$7),"x","")</f>
        <v/>
      </c>
      <c r="Y2356" s="75" t="str">
        <f>IF(AND(OR(N2356="131",O2356="131"),H2356='131-CT'!$H$9),"x","")</f>
        <v/>
      </c>
      <c r="Z2356" s="75"/>
      <c r="AA2356" s="75" t="str">
        <f>IF(AND(MONTH(E2356)='IN-NX'!$J$5,'IN-NX'!$D$7=D2356),"x","")</f>
        <v/>
      </c>
      <c r="AB2356" s="75" t="str">
        <f>IF(AND(OR(LEFT(TH!N2356,2)="15",LEFT(TH!O2356,2)="15"),LEFT(TH!O2356,3)&lt;&gt;"111",'152-CT'!$J$8=TH!F2356),"x","")</f>
        <v/>
      </c>
      <c r="AC2356" s="75" t="str">
        <f>IF(AND(OR(LEFT(TH!N2356,2)="15",LEFT(TH!O2356,2)="15"),TK!$E$7=TH!F2356),"x","")</f>
        <v/>
      </c>
      <c r="AD2356" s="75" t="str">
        <f>IF(AND(N2356="1521",MONTH(C2356)='BK-NL'!$M$11),"x","")</f>
        <v/>
      </c>
      <c r="AF2356" s="1054"/>
    </row>
    <row r="2357" spans="1:32" s="1264" customFormat="1" ht="16.5" customHeight="1">
      <c r="A2357" s="309" t="str">
        <f>IF(B2357&lt;&gt;"",IF(AND(B2357='IN-TC'!$S$4,OR(TH!N2357="1111",TH!O2357="1111")),TH!D2357,""),"")</f>
        <v/>
      </c>
      <c r="B2357" s="1283">
        <f t="shared" si="769"/>
        <v>12</v>
      </c>
      <c r="C2357" s="252">
        <v>43096</v>
      </c>
      <c r="D2357" s="252" t="s">
        <v>2921</v>
      </c>
      <c r="E2357" s="252">
        <f t="shared" si="770"/>
        <v>43096</v>
      </c>
      <c r="F2357" s="1055" t="s">
        <v>793</v>
      </c>
      <c r="G2357" s="1056" t="s">
        <v>2794</v>
      </c>
      <c r="H2357" s="735" t="s">
        <v>785</v>
      </c>
      <c r="I2357" s="371">
        <v>12000</v>
      </c>
      <c r="J2357" s="371">
        <v>164145.30966666667</v>
      </c>
      <c r="K2357" s="371"/>
      <c r="L2357" s="377"/>
      <c r="M2357" s="933">
        <f t="shared" si="771"/>
        <v>1969743716</v>
      </c>
      <c r="N2357" s="977" t="s">
        <v>284</v>
      </c>
      <c r="O2357" s="977" t="s">
        <v>274</v>
      </c>
      <c r="P2357" s="75" t="str">
        <f>IF(AND('331-CT'!$E$7=TH!H2357,OR(N2357="331",O2357="331")),"x","")</f>
        <v/>
      </c>
      <c r="Q2357" s="75" t="str">
        <f>IF(AND(B2357='111'!$L$11,OR($N2357=$Q$7,$O2357=$Q$7)),"x","")</f>
        <v/>
      </c>
      <c r="R2357" s="75" t="str">
        <f>IF(AND($N2357=$Q$7,$B2357&lt;'111'!$L$11),"x","")</f>
        <v/>
      </c>
      <c r="S2357" s="75" t="str">
        <f>IF(AND($O2357=$Q$7,$B2357&lt;'111'!$L$11),"x","")</f>
        <v/>
      </c>
      <c r="T2357" s="75" t="str">
        <f>IF(ISERROR(FIND('112'!$M$9,G2357,1)),"",IF((AND(FIND('112'!$M$9,G2357,1)&gt;=1,B2357='112'!$K$9,OR($N2357='112'!$I$6,$O2357='112'!$I$6))),"x",""))</f>
        <v/>
      </c>
      <c r="U2357" s="75" t="str">
        <f>IF(ISERROR(FIND('112'!$M$9,G2357,1)),"",IF((AND(LEFT(G2357,2)=LEFT('112'!$M$9,2),B2357&lt;'112'!$K$9,$N2357='112'!$I$6)),"x",""))</f>
        <v/>
      </c>
      <c r="V2357" s="75" t="str">
        <f>IF(ISERROR(FIND('112'!$M$9,G2357,1)),"",IF((AND(RIGHT(G2357,2)=RIGHT('112'!$M$9,2),B2357&lt;'112'!$K$9,$O2357='112'!$I$6)),"x",""))</f>
        <v/>
      </c>
      <c r="W2357" s="75" t="str">
        <f>IF(AND('341-CT'!$H$9=H2357,OR(LEFT(N2357,3)=$W$7,LEFT(O2357,3)=$W$7)),"x","")</f>
        <v/>
      </c>
      <c r="X2357" s="75" t="str">
        <f>IF(OR(TH!N2357=TH!$X$7,O2357=TH!$X$7),"x","")</f>
        <v/>
      </c>
      <c r="Y2357" s="75" t="str">
        <f>IF(AND(OR(N2357="131",O2357="131"),H2357='131-CT'!$H$9),"x","")</f>
        <v/>
      </c>
      <c r="Z2357" s="75"/>
      <c r="AA2357" s="75" t="str">
        <f>IF(AND(MONTH(E2357)='IN-NX'!$J$5,'IN-NX'!$D$7=D2357),"x","")</f>
        <v/>
      </c>
      <c r="AB2357" s="75" t="str">
        <f>IF(AND(OR(LEFT(TH!N2357,2)="15",LEFT(TH!O2357,2)="15"),LEFT(TH!O2357,3)&lt;&gt;"111",'152-CT'!$J$8=TH!F2357),"x","")</f>
        <v/>
      </c>
      <c r="AC2357" s="75" t="str">
        <f>IF(AND(OR(LEFT(TH!N2357,2)="15",LEFT(TH!O2357,2)="15"),TK!$E$7=TH!F2357),"x","")</f>
        <v/>
      </c>
      <c r="AD2357" s="75" t="str">
        <f>IF(AND(N2357="1521",MONTH(C2357)='BK-NL'!$M$11),"x","")</f>
        <v/>
      </c>
      <c r="AF2357" s="1054"/>
    </row>
    <row r="2358" spans="1:32" s="1264" customFormat="1" ht="16.5" customHeight="1">
      <c r="A2358" s="309" t="str">
        <f>IF(B2358&lt;&gt;"",IF(AND(B2358='IN-TC'!$S$4,OR(TH!N2358="1111",TH!O2358="1111")),TH!D2358,""),"")</f>
        <v/>
      </c>
      <c r="B2358" s="1283">
        <f>IF(C2358&lt;&gt;"",MONTH(C2358),"")</f>
        <v>12</v>
      </c>
      <c r="C2358" s="252">
        <v>43098</v>
      </c>
      <c r="D2358" s="252" t="s">
        <v>2921</v>
      </c>
      <c r="E2358" s="252">
        <f>C2358</f>
        <v>43098</v>
      </c>
      <c r="F2358" s="1055" t="s">
        <v>418</v>
      </c>
      <c r="G2358" s="1056" t="s">
        <v>2841</v>
      </c>
      <c r="H2358" s="735" t="s">
        <v>2842</v>
      </c>
      <c r="I2358" s="371">
        <v>9000</v>
      </c>
      <c r="J2358" s="371">
        <v>85861.295222222223</v>
      </c>
      <c r="K2358" s="371"/>
      <c r="L2358" s="377"/>
      <c r="M2358" s="933">
        <f>ROUND(I2358*J2358,0)</f>
        <v>772751657</v>
      </c>
      <c r="N2358" s="977" t="s">
        <v>284</v>
      </c>
      <c r="O2358" s="977" t="s">
        <v>274</v>
      </c>
      <c r="P2358" s="75" t="str">
        <f>IF(AND('331-CT'!$E$7=TH!H2358,OR(N2358="331",O2358="331")),"x","")</f>
        <v/>
      </c>
      <c r="Q2358" s="75" t="str">
        <f>IF(AND(B2358='111'!$L$11,OR($N2358=$Q$7,$O2358=$Q$7)),"x","")</f>
        <v/>
      </c>
      <c r="R2358" s="75" t="str">
        <f>IF(AND($N2358=$Q$7,$B2358&lt;'111'!$L$11),"x","")</f>
        <v/>
      </c>
      <c r="S2358" s="75" t="str">
        <f>IF(AND($O2358=$Q$7,$B2358&lt;'111'!$L$11),"x","")</f>
        <v/>
      </c>
      <c r="T2358" s="75" t="str">
        <f>IF(ISERROR(FIND('112'!$M$9,G2358,1)),"",IF((AND(FIND('112'!$M$9,G2358,1)&gt;=1,B2358='112'!$K$9,OR($N2358='112'!$I$6,$O2358='112'!$I$6))),"x",""))</f>
        <v/>
      </c>
      <c r="U2358" s="75" t="str">
        <f>IF(ISERROR(FIND('112'!$M$9,G2358,1)),"",IF((AND(LEFT(G2358,2)=LEFT('112'!$M$9,2),B2358&lt;'112'!$K$9,$N2358='112'!$I$6)),"x",""))</f>
        <v/>
      </c>
      <c r="V2358" s="75" t="str">
        <f>IF(ISERROR(FIND('112'!$M$9,G2358,1)),"",IF((AND(RIGHT(G2358,2)=RIGHT('112'!$M$9,2),B2358&lt;'112'!$K$9,$O2358='112'!$I$6)),"x",""))</f>
        <v/>
      </c>
      <c r="W2358" s="75" t="str">
        <f>IF(AND('341-CT'!$H$9=H2358,OR(LEFT(N2358,3)=$W$7,LEFT(O2358,3)=$W$7)),"x","")</f>
        <v/>
      </c>
      <c r="X2358" s="75" t="str">
        <f>IF(OR(TH!N2358=TH!$X$7,O2358=TH!$X$7),"x","")</f>
        <v/>
      </c>
      <c r="Y2358" s="75" t="str">
        <f>IF(AND(OR(N2358="131",O2358="131"),H2358='131-CT'!$H$9),"x","")</f>
        <v/>
      </c>
      <c r="Z2358" s="75"/>
      <c r="AA2358" s="75" t="str">
        <f>IF(AND(MONTH(E2358)='IN-NX'!$J$5,'IN-NX'!$D$7=D2358),"x","")</f>
        <v/>
      </c>
      <c r="AB2358" s="75" t="str">
        <f>IF(AND(OR(LEFT(TH!N2358,2)="15",LEFT(TH!O2358,2)="15"),LEFT(TH!O2358,3)&lt;&gt;"111",'152-CT'!$J$8=TH!F2358),"x","")</f>
        <v/>
      </c>
      <c r="AC2358" s="75" t="str">
        <f>IF(AND(OR(LEFT(TH!N2358,2)="15",LEFT(TH!O2358,2)="15"),TK!$E$7=TH!F2358),"x","")</f>
        <v/>
      </c>
      <c r="AD2358" s="75" t="str">
        <f>IF(AND(N2358="1521",MONTH(C2358)='BK-NL'!$M$11),"x","")</f>
        <v/>
      </c>
      <c r="AF2358" s="1054"/>
    </row>
    <row r="2359" spans="1:32" s="1264" customFormat="1" ht="16.5" customHeight="1">
      <c r="A2359" s="309" t="str">
        <f>IF(B2359&lt;&gt;"",IF(AND(B2359='IN-TC'!$S$4,OR(TH!N2359="1111",TH!O2359="1111")),TH!D2359,""),"")</f>
        <v/>
      </c>
      <c r="B2359" s="1283">
        <f>IF(C2359&lt;&gt;"",MONTH(C2359),"")</f>
        <v>12</v>
      </c>
      <c r="C2359" s="252">
        <v>43098</v>
      </c>
      <c r="D2359" s="252" t="s">
        <v>2921</v>
      </c>
      <c r="E2359" s="252">
        <f>C2359</f>
        <v>43098</v>
      </c>
      <c r="F2359" s="1055" t="s">
        <v>2399</v>
      </c>
      <c r="G2359" s="1056" t="s">
        <v>2841</v>
      </c>
      <c r="H2359" s="735" t="s">
        <v>2842</v>
      </c>
      <c r="I2359" s="371">
        <v>3000</v>
      </c>
      <c r="J2359" s="371">
        <v>49978.177000000003</v>
      </c>
      <c r="K2359" s="371"/>
      <c r="L2359" s="377"/>
      <c r="M2359" s="933">
        <f>ROUND(I2359*J2359,0)</f>
        <v>149934531</v>
      </c>
      <c r="N2359" s="977" t="s">
        <v>284</v>
      </c>
      <c r="O2359" s="977" t="s">
        <v>274</v>
      </c>
      <c r="P2359" s="75" t="str">
        <f>IF(AND('331-CT'!$E$7=TH!H2359,OR(N2359="331",O2359="331")),"x","")</f>
        <v/>
      </c>
      <c r="Q2359" s="75" t="str">
        <f>IF(AND(B2359='111'!$L$11,OR($N2359=$Q$7,$O2359=$Q$7)),"x","")</f>
        <v/>
      </c>
      <c r="R2359" s="75" t="str">
        <f>IF(AND($N2359=$Q$7,$B2359&lt;'111'!$L$11),"x","")</f>
        <v/>
      </c>
      <c r="S2359" s="75" t="str">
        <f>IF(AND($O2359=$Q$7,$B2359&lt;'111'!$L$11),"x","")</f>
        <v/>
      </c>
      <c r="T2359" s="75" t="str">
        <f>IF(ISERROR(FIND('112'!$M$9,G2359,1)),"",IF((AND(FIND('112'!$M$9,G2359,1)&gt;=1,B2359='112'!$K$9,OR($N2359='112'!$I$6,$O2359='112'!$I$6))),"x",""))</f>
        <v/>
      </c>
      <c r="U2359" s="75" t="str">
        <f>IF(ISERROR(FIND('112'!$M$9,G2359,1)),"",IF((AND(LEFT(G2359,2)=LEFT('112'!$M$9,2),B2359&lt;'112'!$K$9,$N2359='112'!$I$6)),"x",""))</f>
        <v/>
      </c>
      <c r="V2359" s="75" t="str">
        <f>IF(ISERROR(FIND('112'!$M$9,G2359,1)),"",IF((AND(RIGHT(G2359,2)=RIGHT('112'!$M$9,2),B2359&lt;'112'!$K$9,$O2359='112'!$I$6)),"x",""))</f>
        <v/>
      </c>
      <c r="W2359" s="75" t="str">
        <f>IF(AND('341-CT'!$H$9=H2359,OR(LEFT(N2359,3)=$W$7,LEFT(O2359,3)=$W$7)),"x","")</f>
        <v/>
      </c>
      <c r="X2359" s="75" t="str">
        <f>IF(OR(TH!N2359=TH!$X$7,O2359=TH!$X$7),"x","")</f>
        <v/>
      </c>
      <c r="Y2359" s="75" t="str">
        <f>IF(AND(OR(N2359="131",O2359="131"),H2359='131-CT'!$H$9),"x","")</f>
        <v/>
      </c>
      <c r="Z2359" s="75"/>
      <c r="AA2359" s="75" t="str">
        <f>IF(AND(MONTH(E2359)='IN-NX'!$J$5,'IN-NX'!$D$7=D2359),"x","")</f>
        <v/>
      </c>
      <c r="AB2359" s="75" t="str">
        <f>IF(AND(OR(LEFT(TH!N2359,2)="15",LEFT(TH!O2359,2)="15"),LEFT(TH!O2359,3)&lt;&gt;"111",'152-CT'!$J$8=TH!F2359),"x","")</f>
        <v/>
      </c>
      <c r="AC2359" s="75" t="str">
        <f>IF(AND(OR(LEFT(TH!N2359,2)="15",LEFT(TH!O2359,2)="15"),TK!$E$7=TH!F2359),"x","")</f>
        <v/>
      </c>
      <c r="AD2359" s="75" t="str">
        <f>IF(AND(N2359="1521",MONTH(C2359)='BK-NL'!$M$11),"x","")</f>
        <v/>
      </c>
      <c r="AF2359" s="1054"/>
    </row>
    <row r="2360" spans="1:32" s="1264" customFormat="1" ht="16.5" customHeight="1">
      <c r="A2360" s="309" t="str">
        <f>IF(B2360&lt;&gt;"",IF(AND(B2360='IN-TC'!$S$4,OR(TH!N2360="1111",TH!O2360="1111")),TH!D2360,""),"")</f>
        <v/>
      </c>
      <c r="B2360" s="1283">
        <f>IF(C2360&lt;&gt;"",MONTH(C2360),"")</f>
        <v>12</v>
      </c>
      <c r="C2360" s="252">
        <v>43098</v>
      </c>
      <c r="D2360" s="252" t="s">
        <v>2921</v>
      </c>
      <c r="E2360" s="252">
        <f>C2360</f>
        <v>43098</v>
      </c>
      <c r="F2360" s="1055" t="s">
        <v>421</v>
      </c>
      <c r="G2360" s="1056" t="s">
        <v>2841</v>
      </c>
      <c r="H2360" s="735" t="s">
        <v>2842</v>
      </c>
      <c r="I2360" s="371">
        <v>3110.4000000000015</v>
      </c>
      <c r="J2360" s="371">
        <v>113290.89377572011</v>
      </c>
      <c r="K2360" s="371"/>
      <c r="L2360" s="377"/>
      <c r="M2360" s="933">
        <f>ROUND(I2360*J2360,0)</f>
        <v>352379996</v>
      </c>
      <c r="N2360" s="977" t="s">
        <v>284</v>
      </c>
      <c r="O2360" s="977" t="s">
        <v>274</v>
      </c>
      <c r="P2360" s="75" t="str">
        <f>IF(AND('331-CT'!$E$7=TH!H2360,OR(N2360="331",O2360="331")),"x","")</f>
        <v/>
      </c>
      <c r="Q2360" s="75" t="str">
        <f>IF(AND(B2360='111'!$L$11,OR($N2360=$Q$7,$O2360=$Q$7)),"x","")</f>
        <v/>
      </c>
      <c r="R2360" s="75" t="str">
        <f>IF(AND($N2360=$Q$7,$B2360&lt;'111'!$L$11),"x","")</f>
        <v/>
      </c>
      <c r="S2360" s="75" t="str">
        <f>IF(AND($O2360=$Q$7,$B2360&lt;'111'!$L$11),"x","")</f>
        <v/>
      </c>
      <c r="T2360" s="75" t="str">
        <f>IF(ISERROR(FIND('112'!$M$9,G2360,1)),"",IF((AND(FIND('112'!$M$9,G2360,1)&gt;=1,B2360='112'!$K$9,OR($N2360='112'!$I$6,$O2360='112'!$I$6))),"x",""))</f>
        <v/>
      </c>
      <c r="U2360" s="75" t="str">
        <f>IF(ISERROR(FIND('112'!$M$9,G2360,1)),"",IF((AND(LEFT(G2360,2)=LEFT('112'!$M$9,2),B2360&lt;'112'!$K$9,$N2360='112'!$I$6)),"x",""))</f>
        <v/>
      </c>
      <c r="V2360" s="75" t="str">
        <f>IF(ISERROR(FIND('112'!$M$9,G2360,1)),"",IF((AND(RIGHT(G2360,2)=RIGHT('112'!$M$9,2),B2360&lt;'112'!$K$9,$O2360='112'!$I$6)),"x",""))</f>
        <v/>
      </c>
      <c r="W2360" s="75" t="str">
        <f>IF(AND('341-CT'!$H$9=H2360,OR(LEFT(N2360,3)=$W$7,LEFT(O2360,3)=$W$7)),"x","")</f>
        <v/>
      </c>
      <c r="X2360" s="75" t="str">
        <f>IF(OR(TH!N2360=TH!$X$7,O2360=TH!$X$7),"x","")</f>
        <v/>
      </c>
      <c r="Y2360" s="75" t="str">
        <f>IF(AND(OR(N2360="131",O2360="131"),H2360='131-CT'!$H$9),"x","")</f>
        <v/>
      </c>
      <c r="Z2360" s="75"/>
      <c r="AA2360" s="75" t="str">
        <f>IF(AND(MONTH(E2360)='IN-NX'!$J$5,'IN-NX'!$D$7=D2360),"x","")</f>
        <v/>
      </c>
      <c r="AB2360" s="75" t="str">
        <f>IF(AND(OR(LEFT(TH!N2360,2)="15",LEFT(TH!O2360,2)="15"),LEFT(TH!O2360,3)&lt;&gt;"111",'152-CT'!$J$8=TH!F2360),"x","")</f>
        <v/>
      </c>
      <c r="AC2360" s="75" t="str">
        <f>IF(AND(OR(LEFT(TH!N2360,2)="15",LEFT(TH!O2360,2)="15"),TK!$E$7=TH!F2360),"x","")</f>
        <v/>
      </c>
      <c r="AD2360" s="75" t="str">
        <f>IF(AND(N2360="1521",MONTH(C2360)='BK-NL'!$M$11),"x","")</f>
        <v/>
      </c>
      <c r="AF2360" s="1054"/>
    </row>
    <row r="2361" spans="1:32" s="1264" customFormat="1" ht="16.5" customHeight="1">
      <c r="A2361" s="309" t="str">
        <f>IF(B2361&lt;&gt;"",IF(AND(B2361='IN-TC'!$S$4,OR(TH!N2361="1111",TH!O2361="1111")),TH!D2361,""),"")</f>
        <v/>
      </c>
      <c r="B2361" s="1283">
        <f>IF(C2361&lt;&gt;"",MONTH(C2361),"")</f>
        <v>12</v>
      </c>
      <c r="C2361" s="252">
        <v>43098</v>
      </c>
      <c r="D2361" s="252" t="s">
        <v>2921</v>
      </c>
      <c r="E2361" s="252">
        <f>C2361</f>
        <v>43098</v>
      </c>
      <c r="F2361" s="1055" t="s">
        <v>421</v>
      </c>
      <c r="G2361" s="1056" t="s">
        <v>2841</v>
      </c>
      <c r="H2361" s="735" t="s">
        <v>2842</v>
      </c>
      <c r="I2361" s="371">
        <v>7899.5999999999985</v>
      </c>
      <c r="J2361" s="371">
        <v>141769.70707377591</v>
      </c>
      <c r="K2361" s="371"/>
      <c r="L2361" s="377"/>
      <c r="M2361" s="933">
        <f>ROUND(I2361*J2361,0)</f>
        <v>1119923978</v>
      </c>
      <c r="N2361" s="977" t="s">
        <v>284</v>
      </c>
      <c r="O2361" s="977" t="s">
        <v>274</v>
      </c>
      <c r="P2361" s="75" t="str">
        <f>IF(AND('331-CT'!$E$7=TH!H2361,OR(N2361="331",O2361="331")),"x","")</f>
        <v/>
      </c>
      <c r="Q2361" s="75" t="str">
        <f>IF(AND(B2361='111'!$L$11,OR($N2361=$Q$7,$O2361=$Q$7)),"x","")</f>
        <v/>
      </c>
      <c r="R2361" s="75" t="str">
        <f>IF(AND($N2361=$Q$7,$B2361&lt;'111'!$L$11),"x","")</f>
        <v/>
      </c>
      <c r="S2361" s="75" t="str">
        <f>IF(AND($O2361=$Q$7,$B2361&lt;'111'!$L$11),"x","")</f>
        <v/>
      </c>
      <c r="T2361" s="75" t="str">
        <f>IF(ISERROR(FIND('112'!$M$9,G2361,1)),"",IF((AND(FIND('112'!$M$9,G2361,1)&gt;=1,B2361='112'!$K$9,OR($N2361='112'!$I$6,$O2361='112'!$I$6))),"x",""))</f>
        <v/>
      </c>
      <c r="U2361" s="75" t="str">
        <f>IF(ISERROR(FIND('112'!$M$9,G2361,1)),"",IF((AND(LEFT(G2361,2)=LEFT('112'!$M$9,2),B2361&lt;'112'!$K$9,$N2361='112'!$I$6)),"x",""))</f>
        <v/>
      </c>
      <c r="V2361" s="75" t="str">
        <f>IF(ISERROR(FIND('112'!$M$9,G2361,1)),"",IF((AND(RIGHT(G2361,2)=RIGHT('112'!$M$9,2),B2361&lt;'112'!$K$9,$O2361='112'!$I$6)),"x",""))</f>
        <v/>
      </c>
      <c r="W2361" s="75" t="str">
        <f>IF(AND('341-CT'!$H$9=H2361,OR(LEFT(N2361,3)=$W$7,LEFT(O2361,3)=$W$7)),"x","")</f>
        <v/>
      </c>
      <c r="X2361" s="75" t="str">
        <f>IF(OR(TH!N2361=TH!$X$7,O2361=TH!$X$7),"x","")</f>
        <v/>
      </c>
      <c r="Y2361" s="75" t="str">
        <f>IF(AND(OR(N2361="131",O2361="131"),H2361='131-CT'!$H$9),"x","")</f>
        <v/>
      </c>
      <c r="Z2361" s="75"/>
      <c r="AA2361" s="75" t="str">
        <f>IF(AND(MONTH(E2361)='IN-NX'!$J$5,'IN-NX'!$D$7=D2361),"x","")</f>
        <v/>
      </c>
      <c r="AB2361" s="75" t="str">
        <f>IF(AND(OR(LEFT(TH!N2361,2)="15",LEFT(TH!O2361,2)="15"),LEFT(TH!O2361,3)&lt;&gt;"111",'152-CT'!$J$8=TH!F2361),"x","")</f>
        <v/>
      </c>
      <c r="AC2361" s="75" t="str">
        <f>IF(AND(OR(LEFT(TH!N2361,2)="15",LEFT(TH!O2361,2)="15"),TK!$E$7=TH!F2361),"x","")</f>
        <v/>
      </c>
      <c r="AD2361" s="75" t="str">
        <f>IF(AND(N2361="1521",MONTH(C2361)='BK-NL'!$M$11),"x","")</f>
        <v/>
      </c>
      <c r="AF2361" s="1054"/>
    </row>
    <row r="2362" spans="1:32" s="1264" customFormat="1" ht="16.5" customHeight="1">
      <c r="A2362" s="309" t="str">
        <f>IF(B2362&lt;&gt;"",IF(AND(B2362='IN-TC'!$S$4,OR(TH!N2362="1111",TH!O2362="1111")),TH!D2362,""),"")</f>
        <v/>
      </c>
      <c r="B2362" s="1283">
        <f t="shared" si="769"/>
        <v>12</v>
      </c>
      <c r="C2362" s="252">
        <v>43096</v>
      </c>
      <c r="D2362" s="252" t="s">
        <v>2921</v>
      </c>
      <c r="E2362" s="252">
        <f t="shared" si="770"/>
        <v>43096</v>
      </c>
      <c r="F2362" s="1055" t="s">
        <v>1621</v>
      </c>
      <c r="G2362" s="1056" t="s">
        <v>2801</v>
      </c>
      <c r="H2362" s="735" t="s">
        <v>802</v>
      </c>
      <c r="I2362" s="371">
        <v>200</v>
      </c>
      <c r="J2362" s="371">
        <v>148634.04347826086</v>
      </c>
      <c r="K2362" s="371"/>
      <c r="L2362" s="377"/>
      <c r="M2362" s="933">
        <f t="shared" si="771"/>
        <v>29726809</v>
      </c>
      <c r="N2362" s="977" t="s">
        <v>284</v>
      </c>
      <c r="O2362" s="977" t="s">
        <v>274</v>
      </c>
      <c r="P2362" s="75" t="str">
        <f>IF(AND('331-CT'!$E$7=TH!H2362,OR(N2362="331",O2362="331")),"x","")</f>
        <v/>
      </c>
      <c r="Q2362" s="75" t="str">
        <f>IF(AND(B2362='111'!$L$11,OR($N2362=$Q$7,$O2362=$Q$7)),"x","")</f>
        <v/>
      </c>
      <c r="R2362" s="75" t="str">
        <f>IF(AND($N2362=$Q$7,$B2362&lt;'111'!$L$11),"x","")</f>
        <v/>
      </c>
      <c r="S2362" s="75" t="str">
        <f>IF(AND($O2362=$Q$7,$B2362&lt;'111'!$L$11),"x","")</f>
        <v/>
      </c>
      <c r="T2362" s="75" t="str">
        <f>IF(ISERROR(FIND('112'!$M$9,G2362,1)),"",IF((AND(FIND('112'!$M$9,G2362,1)&gt;=1,B2362='112'!$K$9,OR($N2362='112'!$I$6,$O2362='112'!$I$6))),"x",""))</f>
        <v/>
      </c>
      <c r="U2362" s="75" t="str">
        <f>IF(ISERROR(FIND('112'!$M$9,G2362,1)),"",IF((AND(LEFT(G2362,2)=LEFT('112'!$M$9,2),B2362&lt;'112'!$K$9,$N2362='112'!$I$6)),"x",""))</f>
        <v/>
      </c>
      <c r="V2362" s="75" t="str">
        <f>IF(ISERROR(FIND('112'!$M$9,G2362,1)),"",IF((AND(RIGHT(G2362,2)=RIGHT('112'!$M$9,2),B2362&lt;'112'!$K$9,$O2362='112'!$I$6)),"x",""))</f>
        <v/>
      </c>
      <c r="W2362" s="75" t="str">
        <f>IF(AND('341-CT'!$H$9=H2362,OR(LEFT(N2362,3)=$W$7,LEFT(O2362,3)=$W$7)),"x","")</f>
        <v/>
      </c>
      <c r="X2362" s="75" t="str">
        <f>IF(OR(TH!N2362=TH!$X$7,O2362=TH!$X$7),"x","")</f>
        <v/>
      </c>
      <c r="Y2362" s="75" t="str">
        <f>IF(AND(OR(N2362="131",O2362="131"),H2362='131-CT'!$H$9),"x","")</f>
        <v/>
      </c>
      <c r="Z2362" s="75"/>
      <c r="AA2362" s="75" t="str">
        <f>IF(AND(MONTH(E2362)='IN-NX'!$J$5,'IN-NX'!$D$7=D2362),"x","")</f>
        <v/>
      </c>
      <c r="AB2362" s="75" t="str">
        <f>IF(AND(OR(LEFT(TH!N2362,2)="15",LEFT(TH!O2362,2)="15"),LEFT(TH!O2362,3)&lt;&gt;"111",'152-CT'!$J$8=TH!F2362),"x","")</f>
        <v/>
      </c>
      <c r="AC2362" s="75" t="str">
        <f>IF(AND(OR(LEFT(TH!N2362,2)="15",LEFT(TH!O2362,2)="15"),TK!$E$7=TH!F2362),"x","")</f>
        <v/>
      </c>
      <c r="AD2362" s="75" t="str">
        <f>IF(AND(N2362="1521",MONTH(C2362)='BK-NL'!$M$11),"x","")</f>
        <v/>
      </c>
      <c r="AF2362" s="1054"/>
    </row>
    <row r="2363" spans="1:32" s="1264" customFormat="1" ht="16.5" customHeight="1">
      <c r="A2363" s="309" t="str">
        <f>IF(B2363&lt;&gt;"",IF(AND(B2363='IN-TC'!$S$4,OR(TH!N2363="1111",TH!O2363="1111")),TH!D2363,""),"")</f>
        <v/>
      </c>
      <c r="B2363" s="1283">
        <f t="shared" si="769"/>
        <v>12</v>
      </c>
      <c r="C2363" s="252">
        <v>43096</v>
      </c>
      <c r="D2363" s="252" t="s">
        <v>2921</v>
      </c>
      <c r="E2363" s="252">
        <f t="shared" si="770"/>
        <v>43096</v>
      </c>
      <c r="F2363" s="1055" t="s">
        <v>2477</v>
      </c>
      <c r="G2363" s="1056" t="s">
        <v>2801</v>
      </c>
      <c r="H2363" s="735" t="s">
        <v>802</v>
      </c>
      <c r="I2363" s="371">
        <v>150</v>
      </c>
      <c r="J2363" s="371">
        <v>148634.04444444444</v>
      </c>
      <c r="K2363" s="371"/>
      <c r="L2363" s="377"/>
      <c r="M2363" s="933">
        <f t="shared" si="771"/>
        <v>22295107</v>
      </c>
      <c r="N2363" s="977" t="s">
        <v>284</v>
      </c>
      <c r="O2363" s="977" t="s">
        <v>274</v>
      </c>
      <c r="P2363" s="75" t="str">
        <f>IF(AND('331-CT'!$E$7=TH!H2363,OR(N2363="331",O2363="331")),"x","")</f>
        <v/>
      </c>
      <c r="Q2363" s="75" t="str">
        <f>IF(AND(B2363='111'!$L$11,OR($N2363=$Q$7,$O2363=$Q$7)),"x","")</f>
        <v/>
      </c>
      <c r="R2363" s="75" t="str">
        <f>IF(AND($N2363=$Q$7,$B2363&lt;'111'!$L$11),"x","")</f>
        <v/>
      </c>
      <c r="S2363" s="75" t="str">
        <f>IF(AND($O2363=$Q$7,$B2363&lt;'111'!$L$11),"x","")</f>
        <v/>
      </c>
      <c r="T2363" s="75" t="str">
        <f>IF(ISERROR(FIND('112'!$M$9,G2363,1)),"",IF((AND(FIND('112'!$M$9,G2363,1)&gt;=1,B2363='112'!$K$9,OR($N2363='112'!$I$6,$O2363='112'!$I$6))),"x",""))</f>
        <v/>
      </c>
      <c r="U2363" s="75" t="str">
        <f>IF(ISERROR(FIND('112'!$M$9,G2363,1)),"",IF((AND(LEFT(G2363,2)=LEFT('112'!$M$9,2),B2363&lt;'112'!$K$9,$N2363='112'!$I$6)),"x",""))</f>
        <v/>
      </c>
      <c r="V2363" s="75" t="str">
        <f>IF(ISERROR(FIND('112'!$M$9,G2363,1)),"",IF((AND(RIGHT(G2363,2)=RIGHT('112'!$M$9,2),B2363&lt;'112'!$K$9,$O2363='112'!$I$6)),"x",""))</f>
        <v/>
      </c>
      <c r="W2363" s="75" t="str">
        <f>IF(AND('341-CT'!$H$9=H2363,OR(LEFT(N2363,3)=$W$7,LEFT(O2363,3)=$W$7)),"x","")</f>
        <v/>
      </c>
      <c r="X2363" s="75" t="str">
        <f>IF(OR(TH!N2363=TH!$X$7,O2363=TH!$X$7),"x","")</f>
        <v/>
      </c>
      <c r="Y2363" s="75" t="str">
        <f>IF(AND(OR(N2363="131",O2363="131"),H2363='131-CT'!$H$9),"x","")</f>
        <v/>
      </c>
      <c r="Z2363" s="75"/>
      <c r="AA2363" s="75" t="str">
        <f>IF(AND(MONTH(E2363)='IN-NX'!$J$5,'IN-NX'!$D$7=D2363),"x","")</f>
        <v/>
      </c>
      <c r="AB2363" s="75" t="str">
        <f>IF(AND(OR(LEFT(TH!N2363,2)="15",LEFT(TH!O2363,2)="15"),LEFT(TH!O2363,3)&lt;&gt;"111",'152-CT'!$J$8=TH!F2363),"x","")</f>
        <v/>
      </c>
      <c r="AC2363" s="75" t="str">
        <f>IF(AND(OR(LEFT(TH!N2363,2)="15",LEFT(TH!O2363,2)="15"),TK!$E$7=TH!F2363),"x","")</f>
        <v/>
      </c>
      <c r="AD2363" s="75" t="str">
        <f>IF(AND(N2363="1521",MONTH(C2363)='BK-NL'!$M$11),"x","")</f>
        <v/>
      </c>
      <c r="AF2363" s="1054"/>
    </row>
    <row r="2364" spans="1:32" s="1264" customFormat="1" ht="16.5" customHeight="1">
      <c r="A2364" s="309" t="str">
        <f>IF(B2364&lt;&gt;"",IF(AND(B2364='IN-TC'!$S$4,OR(TH!N2364="1111",TH!O2364="1111")),TH!D2364,""),"")</f>
        <v/>
      </c>
      <c r="B2364" s="1283">
        <f t="shared" si="769"/>
        <v>12</v>
      </c>
      <c r="C2364" s="252">
        <v>43096</v>
      </c>
      <c r="D2364" s="252" t="s">
        <v>2921</v>
      </c>
      <c r="E2364" s="252">
        <f t="shared" si="770"/>
        <v>43096</v>
      </c>
      <c r="F2364" s="1055" t="s">
        <v>1107</v>
      </c>
      <c r="G2364" s="1056" t="s">
        <v>2801</v>
      </c>
      <c r="H2364" s="735" t="s">
        <v>802</v>
      </c>
      <c r="I2364" s="371">
        <v>50</v>
      </c>
      <c r="J2364" s="371">
        <v>209883.38</v>
      </c>
      <c r="K2364" s="371"/>
      <c r="L2364" s="377"/>
      <c r="M2364" s="933">
        <f t="shared" si="771"/>
        <v>10494169</v>
      </c>
      <c r="N2364" s="977" t="s">
        <v>284</v>
      </c>
      <c r="O2364" s="977" t="s">
        <v>274</v>
      </c>
      <c r="P2364" s="75" t="str">
        <f>IF(AND('331-CT'!$E$7=TH!H2364,OR(N2364="331",O2364="331")),"x","")</f>
        <v/>
      </c>
      <c r="Q2364" s="75" t="str">
        <f>IF(AND(B2364='111'!$L$11,OR($N2364=$Q$7,$O2364=$Q$7)),"x","")</f>
        <v/>
      </c>
      <c r="R2364" s="75" t="str">
        <f>IF(AND($N2364=$Q$7,$B2364&lt;'111'!$L$11),"x","")</f>
        <v/>
      </c>
      <c r="S2364" s="75" t="str">
        <f>IF(AND($O2364=$Q$7,$B2364&lt;'111'!$L$11),"x","")</f>
        <v/>
      </c>
      <c r="T2364" s="75" t="str">
        <f>IF(ISERROR(FIND('112'!$M$9,G2364,1)),"",IF((AND(FIND('112'!$M$9,G2364,1)&gt;=1,B2364='112'!$K$9,OR($N2364='112'!$I$6,$O2364='112'!$I$6))),"x",""))</f>
        <v/>
      </c>
      <c r="U2364" s="75" t="str">
        <f>IF(ISERROR(FIND('112'!$M$9,G2364,1)),"",IF((AND(LEFT(G2364,2)=LEFT('112'!$M$9,2),B2364&lt;'112'!$K$9,$N2364='112'!$I$6)),"x",""))</f>
        <v/>
      </c>
      <c r="V2364" s="75" t="str">
        <f>IF(ISERROR(FIND('112'!$M$9,G2364,1)),"",IF((AND(RIGHT(G2364,2)=RIGHT('112'!$M$9,2),B2364&lt;'112'!$K$9,$O2364='112'!$I$6)),"x",""))</f>
        <v/>
      </c>
      <c r="W2364" s="75" t="str">
        <f>IF(AND('341-CT'!$H$9=H2364,OR(LEFT(N2364,3)=$W$7,LEFT(O2364,3)=$W$7)),"x","")</f>
        <v/>
      </c>
      <c r="X2364" s="75" t="str">
        <f>IF(OR(TH!N2364=TH!$X$7,O2364=TH!$X$7),"x","")</f>
        <v/>
      </c>
      <c r="Y2364" s="75" t="str">
        <f>IF(AND(OR(N2364="131",O2364="131"),H2364='131-CT'!$H$9),"x","")</f>
        <v/>
      </c>
      <c r="Z2364" s="75"/>
      <c r="AA2364" s="75" t="str">
        <f>IF(AND(MONTH(E2364)='IN-NX'!$J$5,'IN-NX'!$D$7=D2364),"x","")</f>
        <v/>
      </c>
      <c r="AB2364" s="75" t="str">
        <f>IF(AND(OR(LEFT(TH!N2364,2)="15",LEFT(TH!O2364,2)="15"),LEFT(TH!O2364,3)&lt;&gt;"111",'152-CT'!$J$8=TH!F2364),"x","")</f>
        <v/>
      </c>
      <c r="AC2364" s="75" t="str">
        <f>IF(AND(OR(LEFT(TH!N2364,2)="15",LEFT(TH!O2364,2)="15"),TK!$E$7=TH!F2364),"x","")</f>
        <v/>
      </c>
      <c r="AD2364" s="75" t="str">
        <f>IF(AND(N2364="1521",MONTH(C2364)='BK-NL'!$M$11),"x","")</f>
        <v/>
      </c>
      <c r="AF2364" s="1054"/>
    </row>
    <row r="2365" spans="1:32" s="1264" customFormat="1" ht="16.5" customHeight="1">
      <c r="A2365" s="309" t="str">
        <f>IF(B2365&lt;&gt;"",IF(AND(B2365='IN-TC'!$S$4,OR(TH!N2365="1111",TH!O2365="1111")),TH!D2365,""),"")</f>
        <v/>
      </c>
      <c r="B2365" s="1283">
        <f t="shared" si="769"/>
        <v>12</v>
      </c>
      <c r="C2365" s="252">
        <v>43096</v>
      </c>
      <c r="D2365" s="252" t="s">
        <v>2921</v>
      </c>
      <c r="E2365" s="252">
        <f t="shared" si="770"/>
        <v>43096</v>
      </c>
      <c r="F2365" s="1055" t="s">
        <v>1617</v>
      </c>
      <c r="G2365" s="1056" t="s">
        <v>2801</v>
      </c>
      <c r="H2365" s="735" t="s">
        <v>802</v>
      </c>
      <c r="I2365" s="371">
        <v>100</v>
      </c>
      <c r="J2365" s="371">
        <v>681134.04455445544</v>
      </c>
      <c r="K2365" s="371"/>
      <c r="L2365" s="377"/>
      <c r="M2365" s="933">
        <f t="shared" si="771"/>
        <v>68113404</v>
      </c>
      <c r="N2365" s="977" t="s">
        <v>284</v>
      </c>
      <c r="O2365" s="977" t="s">
        <v>274</v>
      </c>
      <c r="P2365" s="75" t="str">
        <f>IF(AND('331-CT'!$E$7=TH!H2365,OR(N2365="331",O2365="331")),"x","")</f>
        <v/>
      </c>
      <c r="Q2365" s="75" t="str">
        <f>IF(AND(B2365='111'!$L$11,OR($N2365=$Q$7,$O2365=$Q$7)),"x","")</f>
        <v/>
      </c>
      <c r="R2365" s="75" t="str">
        <f>IF(AND($N2365=$Q$7,$B2365&lt;'111'!$L$11),"x","")</f>
        <v/>
      </c>
      <c r="S2365" s="75" t="str">
        <f>IF(AND($O2365=$Q$7,$B2365&lt;'111'!$L$11),"x","")</f>
        <v/>
      </c>
      <c r="T2365" s="75" t="str">
        <f>IF(ISERROR(FIND('112'!$M$9,G2365,1)),"",IF((AND(FIND('112'!$M$9,G2365,1)&gt;=1,B2365='112'!$K$9,OR($N2365='112'!$I$6,$O2365='112'!$I$6))),"x",""))</f>
        <v/>
      </c>
      <c r="U2365" s="75" t="str">
        <f>IF(ISERROR(FIND('112'!$M$9,G2365,1)),"",IF((AND(LEFT(G2365,2)=LEFT('112'!$M$9,2),B2365&lt;'112'!$K$9,$N2365='112'!$I$6)),"x",""))</f>
        <v/>
      </c>
      <c r="V2365" s="75" t="str">
        <f>IF(ISERROR(FIND('112'!$M$9,G2365,1)),"",IF((AND(RIGHT(G2365,2)=RIGHT('112'!$M$9,2),B2365&lt;'112'!$K$9,$O2365='112'!$I$6)),"x",""))</f>
        <v/>
      </c>
      <c r="W2365" s="75" t="str">
        <f>IF(AND('341-CT'!$H$9=H2365,OR(LEFT(N2365,3)=$W$7,LEFT(O2365,3)=$W$7)),"x","")</f>
        <v/>
      </c>
      <c r="X2365" s="75" t="str">
        <f>IF(OR(TH!N2365=TH!$X$7,O2365=TH!$X$7),"x","")</f>
        <v/>
      </c>
      <c r="Y2365" s="75" t="str">
        <f>IF(AND(OR(N2365="131",O2365="131"),H2365='131-CT'!$H$9),"x","")</f>
        <v/>
      </c>
      <c r="Z2365" s="75"/>
      <c r="AA2365" s="75" t="str">
        <f>IF(AND(MONTH(E2365)='IN-NX'!$J$5,'IN-NX'!$D$7=D2365),"x","")</f>
        <v/>
      </c>
      <c r="AB2365" s="75" t="str">
        <f>IF(AND(OR(LEFT(TH!N2365,2)="15",LEFT(TH!O2365,2)="15"),LEFT(TH!O2365,3)&lt;&gt;"111",'152-CT'!$J$8=TH!F2365),"x","")</f>
        <v/>
      </c>
      <c r="AC2365" s="75" t="str">
        <f>IF(AND(OR(LEFT(TH!N2365,2)="15",LEFT(TH!O2365,2)="15"),TK!$E$7=TH!F2365),"x","")</f>
        <v/>
      </c>
      <c r="AD2365" s="75" t="str">
        <f>IF(AND(N2365="1521",MONTH(C2365)='BK-NL'!$M$11),"x","")</f>
        <v/>
      </c>
      <c r="AF2365" s="1054"/>
    </row>
    <row r="2366" spans="1:32" s="1264" customFormat="1" ht="16.5" customHeight="1">
      <c r="A2366" s="309" t="str">
        <f>IF(B2366&lt;&gt;"",IF(AND(B2366='IN-TC'!$S$4,OR(TH!N2366="1111",TH!O2366="1111")),TH!D2366,""),"")</f>
        <v/>
      </c>
      <c r="B2366" s="1283">
        <f>IF(C2366&lt;&gt;"",MONTH(C2366),"")</f>
        <v>12</v>
      </c>
      <c r="C2366" s="252">
        <v>43096</v>
      </c>
      <c r="D2366" s="252" t="s">
        <v>2921</v>
      </c>
      <c r="E2366" s="252">
        <f>C2366</f>
        <v>43096</v>
      </c>
      <c r="F2366" s="1055" t="s">
        <v>1620</v>
      </c>
      <c r="G2366" s="1056" t="s">
        <v>2801</v>
      </c>
      <c r="H2366" s="735" t="s">
        <v>802</v>
      </c>
      <c r="I2366" s="371">
        <v>20</v>
      </c>
      <c r="J2366" s="371">
        <v>306134.04444444447</v>
      </c>
      <c r="K2366" s="371"/>
      <c r="L2366" s="377"/>
      <c r="M2366" s="933">
        <f t="shared" si="771"/>
        <v>6122681</v>
      </c>
      <c r="N2366" s="977" t="s">
        <v>284</v>
      </c>
      <c r="O2366" s="977" t="s">
        <v>274</v>
      </c>
      <c r="P2366" s="75" t="str">
        <f>IF(AND('331-CT'!$E$7=TH!H2366,OR(N2366="331",O2366="331")),"x","")</f>
        <v/>
      </c>
      <c r="Q2366" s="75" t="str">
        <f>IF(AND(B2366='111'!$L$11,OR($N2366=$Q$7,$O2366=$Q$7)),"x","")</f>
        <v/>
      </c>
      <c r="R2366" s="75" t="str">
        <f>IF(AND($N2366=$Q$7,$B2366&lt;'111'!$L$11),"x","")</f>
        <v/>
      </c>
      <c r="S2366" s="75" t="str">
        <f>IF(AND($O2366=$Q$7,$B2366&lt;'111'!$L$11),"x","")</f>
        <v/>
      </c>
      <c r="T2366" s="75" t="str">
        <f>IF(ISERROR(FIND('112'!$M$9,G2366,1)),"",IF((AND(FIND('112'!$M$9,G2366,1)&gt;=1,B2366='112'!$K$9,OR($N2366='112'!$I$6,$O2366='112'!$I$6))),"x",""))</f>
        <v/>
      </c>
      <c r="U2366" s="75" t="str">
        <f>IF(ISERROR(FIND('112'!$M$9,G2366,1)),"",IF((AND(LEFT(G2366,2)=LEFT('112'!$M$9,2),B2366&lt;'112'!$K$9,$N2366='112'!$I$6)),"x",""))</f>
        <v/>
      </c>
      <c r="V2366" s="75" t="str">
        <f>IF(ISERROR(FIND('112'!$M$9,G2366,1)),"",IF((AND(RIGHT(G2366,2)=RIGHT('112'!$M$9,2),B2366&lt;'112'!$K$9,$O2366='112'!$I$6)),"x",""))</f>
        <v/>
      </c>
      <c r="W2366" s="75" t="str">
        <f>IF(AND('341-CT'!$H$9=H2366,OR(LEFT(N2366,3)=$W$7,LEFT(O2366,3)=$W$7)),"x","")</f>
        <v/>
      </c>
      <c r="X2366" s="75" t="str">
        <f>IF(OR(TH!N2366=TH!$X$7,O2366=TH!$X$7),"x","")</f>
        <v/>
      </c>
      <c r="Y2366" s="75" t="str">
        <f>IF(AND(OR(N2366="131",O2366="131"),H2366='131-CT'!$H$9),"x","")</f>
        <v/>
      </c>
      <c r="Z2366" s="75"/>
      <c r="AA2366" s="75" t="str">
        <f>IF(AND(MONTH(E2366)='IN-NX'!$J$5,'IN-NX'!$D$7=D2366),"x","")</f>
        <v/>
      </c>
      <c r="AB2366" s="75" t="str">
        <f>IF(AND(OR(LEFT(TH!N2366,2)="15",LEFT(TH!O2366,2)="15"),LEFT(TH!O2366,3)&lt;&gt;"111",'152-CT'!$J$8=TH!F2366),"x","")</f>
        <v/>
      </c>
      <c r="AC2366" s="75" t="str">
        <f>IF(AND(OR(LEFT(TH!N2366,2)="15",LEFT(TH!O2366,2)="15"),TK!$E$7=TH!F2366),"x","")</f>
        <v/>
      </c>
      <c r="AD2366" s="75" t="str">
        <f>IF(AND(N2366="1521",MONTH(C2366)='BK-NL'!$M$11),"x","")</f>
        <v/>
      </c>
      <c r="AF2366" s="1054"/>
    </row>
    <row r="2367" spans="1:32" s="1264" customFormat="1" ht="16.5" customHeight="1">
      <c r="A2367" s="309" t="str">
        <f>IF(B2367&lt;&gt;"",IF(AND(B2367='IN-TC'!$S$4,OR(TH!N2367="1111",TH!O2367="1111")),TH!D2367,""),"")</f>
        <v/>
      </c>
      <c r="B2367" s="1283">
        <f>IF(C2367&lt;&gt;"",MONTH(C2367),"")</f>
        <v>12</v>
      </c>
      <c r="C2367" s="252">
        <v>43096</v>
      </c>
      <c r="D2367" s="252" t="s">
        <v>2921</v>
      </c>
      <c r="E2367" s="252">
        <f>C2367</f>
        <v>43096</v>
      </c>
      <c r="F2367" s="1055" t="s">
        <v>799</v>
      </c>
      <c r="G2367" s="1056" t="s">
        <v>2801</v>
      </c>
      <c r="H2367" s="735" t="s">
        <v>802</v>
      </c>
      <c r="I2367" s="371">
        <v>20</v>
      </c>
      <c r="J2367" s="371">
        <v>114632.65</v>
      </c>
      <c r="K2367" s="371"/>
      <c r="L2367" s="377"/>
      <c r="M2367" s="933">
        <f t="shared" si="771"/>
        <v>2292653</v>
      </c>
      <c r="N2367" s="977" t="s">
        <v>284</v>
      </c>
      <c r="O2367" s="977" t="s">
        <v>274</v>
      </c>
      <c r="P2367" s="75" t="str">
        <f>IF(AND('331-CT'!$E$7=TH!H2367,OR(N2367="331",O2367="331")),"x","")</f>
        <v/>
      </c>
      <c r="Q2367" s="75" t="str">
        <f>IF(AND(B2367='111'!$L$11,OR($N2367=$Q$7,$O2367=$Q$7)),"x","")</f>
        <v/>
      </c>
      <c r="R2367" s="75" t="str">
        <f>IF(AND($N2367=$Q$7,$B2367&lt;'111'!$L$11),"x","")</f>
        <v/>
      </c>
      <c r="S2367" s="75" t="str">
        <f>IF(AND($O2367=$Q$7,$B2367&lt;'111'!$L$11),"x","")</f>
        <v/>
      </c>
      <c r="T2367" s="75" t="str">
        <f>IF(ISERROR(FIND('112'!$M$9,G2367,1)),"",IF((AND(FIND('112'!$M$9,G2367,1)&gt;=1,B2367='112'!$K$9,OR($N2367='112'!$I$6,$O2367='112'!$I$6))),"x",""))</f>
        <v/>
      </c>
      <c r="U2367" s="75" t="str">
        <f>IF(ISERROR(FIND('112'!$M$9,G2367,1)),"",IF((AND(LEFT(G2367,2)=LEFT('112'!$M$9,2),B2367&lt;'112'!$K$9,$N2367='112'!$I$6)),"x",""))</f>
        <v/>
      </c>
      <c r="V2367" s="75" t="str">
        <f>IF(ISERROR(FIND('112'!$M$9,G2367,1)),"",IF((AND(RIGHT(G2367,2)=RIGHT('112'!$M$9,2),B2367&lt;'112'!$K$9,$O2367='112'!$I$6)),"x",""))</f>
        <v/>
      </c>
      <c r="W2367" s="75" t="str">
        <f>IF(AND('341-CT'!$H$9=H2367,OR(LEFT(N2367,3)=$W$7,LEFT(O2367,3)=$W$7)),"x","")</f>
        <v/>
      </c>
      <c r="X2367" s="75" t="str">
        <f>IF(OR(TH!N2367=TH!$X$7,O2367=TH!$X$7),"x","")</f>
        <v/>
      </c>
      <c r="Y2367" s="75" t="str">
        <f>IF(AND(OR(N2367="131",O2367="131"),H2367='131-CT'!$H$9),"x","")</f>
        <v/>
      </c>
      <c r="Z2367" s="75"/>
      <c r="AA2367" s="75" t="str">
        <f>IF(AND(MONTH(E2367)='IN-NX'!$J$5,'IN-NX'!$D$7=D2367),"x","")</f>
        <v/>
      </c>
      <c r="AB2367" s="75" t="str">
        <f>IF(AND(OR(LEFT(TH!N2367,2)="15",LEFT(TH!O2367,2)="15"),LEFT(TH!O2367,3)&lt;&gt;"111",'152-CT'!$J$8=TH!F2367),"x","")</f>
        <v/>
      </c>
      <c r="AC2367" s="75" t="str">
        <f>IF(AND(OR(LEFT(TH!N2367,2)="15",LEFT(TH!O2367,2)="15"),TK!$E$7=TH!F2367),"x","")</f>
        <v/>
      </c>
      <c r="AD2367" s="75" t="str">
        <f>IF(AND(N2367="1521",MONTH(C2367)='BK-NL'!$M$11),"x","")</f>
        <v/>
      </c>
      <c r="AF2367" s="1054"/>
    </row>
    <row r="2368" spans="1:32" s="1264" customFormat="1" ht="16.5" customHeight="1">
      <c r="A2368" s="309" t="str">
        <f>IF(B2368&lt;&gt;"",IF(AND(B2368='IN-TC'!$S$4,OR(TH!N2368="1111",TH!O2368="1111")),TH!D2368,""),"")</f>
        <v/>
      </c>
      <c r="B2368" s="1283">
        <f t="shared" ref="B2368:B2373" si="778">IF(C2368&lt;&gt;"",MONTH(C2368),"")</f>
        <v>12</v>
      </c>
      <c r="C2368" s="252">
        <v>43096</v>
      </c>
      <c r="D2368" s="252" t="s">
        <v>2921</v>
      </c>
      <c r="E2368" s="252">
        <f t="shared" ref="E2368:E2373" si="779">C2368</f>
        <v>43096</v>
      </c>
      <c r="F2368" s="1055" t="s">
        <v>800</v>
      </c>
      <c r="G2368" s="1056" t="s">
        <v>2801</v>
      </c>
      <c r="H2368" s="735" t="s">
        <v>802</v>
      </c>
      <c r="I2368" s="371">
        <v>100</v>
      </c>
      <c r="J2368" s="371">
        <v>198632.69523809524</v>
      </c>
      <c r="K2368" s="371"/>
      <c r="L2368" s="377"/>
      <c r="M2368" s="933">
        <f t="shared" si="771"/>
        <v>19863270</v>
      </c>
      <c r="N2368" s="977" t="s">
        <v>284</v>
      </c>
      <c r="O2368" s="977" t="s">
        <v>274</v>
      </c>
      <c r="P2368" s="75" t="str">
        <f>IF(AND('331-CT'!$E$7=TH!H2368,OR(N2368="331",O2368="331")),"x","")</f>
        <v/>
      </c>
      <c r="Q2368" s="75" t="str">
        <f>IF(AND(B2368='111'!$L$11,OR($N2368=$Q$7,$O2368=$Q$7)),"x","")</f>
        <v/>
      </c>
      <c r="R2368" s="75" t="str">
        <f>IF(AND($N2368=$Q$7,$B2368&lt;'111'!$L$11),"x","")</f>
        <v/>
      </c>
      <c r="S2368" s="75" t="str">
        <f>IF(AND($O2368=$Q$7,$B2368&lt;'111'!$L$11),"x","")</f>
        <v/>
      </c>
      <c r="T2368" s="75" t="str">
        <f>IF(ISERROR(FIND('112'!$M$9,G2368,1)),"",IF((AND(FIND('112'!$M$9,G2368,1)&gt;=1,B2368='112'!$K$9,OR($N2368='112'!$I$6,$O2368='112'!$I$6))),"x",""))</f>
        <v/>
      </c>
      <c r="U2368" s="75" t="str">
        <f>IF(ISERROR(FIND('112'!$M$9,G2368,1)),"",IF((AND(LEFT(G2368,2)=LEFT('112'!$M$9,2),B2368&lt;'112'!$K$9,$N2368='112'!$I$6)),"x",""))</f>
        <v/>
      </c>
      <c r="V2368" s="75" t="str">
        <f>IF(ISERROR(FIND('112'!$M$9,G2368,1)),"",IF((AND(RIGHT(G2368,2)=RIGHT('112'!$M$9,2),B2368&lt;'112'!$K$9,$O2368='112'!$I$6)),"x",""))</f>
        <v/>
      </c>
      <c r="W2368" s="75" t="str">
        <f>IF(AND('341-CT'!$H$9=H2368,OR(LEFT(N2368,3)=$W$7,LEFT(O2368,3)=$W$7)),"x","")</f>
        <v/>
      </c>
      <c r="X2368" s="75" t="str">
        <f>IF(OR(TH!N2368=TH!$X$7,O2368=TH!$X$7),"x","")</f>
        <v/>
      </c>
      <c r="Y2368" s="75" t="str">
        <f>IF(AND(OR(N2368="131",O2368="131"),H2368='131-CT'!$H$9),"x","")</f>
        <v/>
      </c>
      <c r="Z2368" s="75"/>
      <c r="AA2368" s="75" t="str">
        <f>IF(AND(MONTH(E2368)='IN-NX'!$J$5,'IN-NX'!$D$7=D2368),"x","")</f>
        <v/>
      </c>
      <c r="AB2368" s="75" t="str">
        <f>IF(AND(OR(LEFT(TH!N2368,2)="15",LEFT(TH!O2368,2)="15"),LEFT(TH!O2368,3)&lt;&gt;"111",'152-CT'!$J$8=TH!F2368),"x","")</f>
        <v/>
      </c>
      <c r="AC2368" s="75" t="str">
        <f>IF(AND(OR(LEFT(TH!N2368,2)="15",LEFT(TH!O2368,2)="15"),TK!$E$7=TH!F2368),"x","")</f>
        <v/>
      </c>
      <c r="AD2368" s="75" t="str">
        <f>IF(AND(N2368="1521",MONTH(C2368)='BK-NL'!$M$11),"x","")</f>
        <v/>
      </c>
      <c r="AF2368" s="1054"/>
    </row>
    <row r="2369" spans="1:32" s="1264" customFormat="1" ht="16.5" customHeight="1">
      <c r="A2369" s="309" t="str">
        <f>IF(B2369&lt;&gt;"",IF(AND(B2369='IN-TC'!$S$4,OR(TH!N2369="1111",TH!O2369="1111")),TH!D2369,""),"")</f>
        <v/>
      </c>
      <c r="B2369" s="1283">
        <f t="shared" si="778"/>
        <v>12</v>
      </c>
      <c r="C2369" s="252">
        <v>43096</v>
      </c>
      <c r="D2369" s="252" t="s">
        <v>2921</v>
      </c>
      <c r="E2369" s="252">
        <f t="shared" si="779"/>
        <v>43096</v>
      </c>
      <c r="F2369" s="1055" t="s">
        <v>418</v>
      </c>
      <c r="G2369" s="1056" t="s">
        <v>2801</v>
      </c>
      <c r="H2369" s="735" t="s">
        <v>802</v>
      </c>
      <c r="I2369" s="371">
        <v>100</v>
      </c>
      <c r="J2369" s="371">
        <v>89134.73</v>
      </c>
      <c r="K2369" s="371"/>
      <c r="L2369" s="377"/>
      <c r="M2369" s="933">
        <f t="shared" si="771"/>
        <v>8913473</v>
      </c>
      <c r="N2369" s="977" t="s">
        <v>284</v>
      </c>
      <c r="O2369" s="977" t="s">
        <v>274</v>
      </c>
      <c r="P2369" s="75" t="str">
        <f>IF(AND('331-CT'!$E$7=TH!H2369,OR(N2369="331",O2369="331")),"x","")</f>
        <v/>
      </c>
      <c r="Q2369" s="75" t="str">
        <f>IF(AND(B2369='111'!$L$11,OR($N2369=$Q$7,$O2369=$Q$7)),"x","")</f>
        <v/>
      </c>
      <c r="R2369" s="75" t="str">
        <f>IF(AND($N2369=$Q$7,$B2369&lt;'111'!$L$11),"x","")</f>
        <v/>
      </c>
      <c r="S2369" s="75" t="str">
        <f>IF(AND($O2369=$Q$7,$B2369&lt;'111'!$L$11),"x","")</f>
        <v/>
      </c>
      <c r="T2369" s="75" t="str">
        <f>IF(ISERROR(FIND('112'!$M$9,G2369,1)),"",IF((AND(FIND('112'!$M$9,G2369,1)&gt;=1,B2369='112'!$K$9,OR($N2369='112'!$I$6,$O2369='112'!$I$6))),"x",""))</f>
        <v/>
      </c>
      <c r="U2369" s="75" t="str">
        <f>IF(ISERROR(FIND('112'!$M$9,G2369,1)),"",IF((AND(LEFT(G2369,2)=LEFT('112'!$M$9,2),B2369&lt;'112'!$K$9,$N2369='112'!$I$6)),"x",""))</f>
        <v/>
      </c>
      <c r="V2369" s="75" t="str">
        <f>IF(ISERROR(FIND('112'!$M$9,G2369,1)),"",IF((AND(RIGHT(G2369,2)=RIGHT('112'!$M$9,2),B2369&lt;'112'!$K$9,$O2369='112'!$I$6)),"x",""))</f>
        <v/>
      </c>
      <c r="W2369" s="75" t="str">
        <f>IF(AND('341-CT'!$H$9=H2369,OR(LEFT(N2369,3)=$W$7,LEFT(O2369,3)=$W$7)),"x","")</f>
        <v/>
      </c>
      <c r="X2369" s="75" t="str">
        <f>IF(OR(TH!N2369=TH!$X$7,O2369=TH!$X$7),"x","")</f>
        <v/>
      </c>
      <c r="Y2369" s="75" t="str">
        <f>IF(AND(OR(N2369="131",O2369="131"),H2369='131-CT'!$H$9),"x","")</f>
        <v/>
      </c>
      <c r="Z2369" s="75"/>
      <c r="AA2369" s="75" t="str">
        <f>IF(AND(MONTH(E2369)='IN-NX'!$J$5,'IN-NX'!$D$7=D2369),"x","")</f>
        <v/>
      </c>
      <c r="AB2369" s="75" t="str">
        <f>IF(AND(OR(LEFT(TH!N2369,2)="15",LEFT(TH!O2369,2)="15"),LEFT(TH!O2369,3)&lt;&gt;"111",'152-CT'!$J$8=TH!F2369),"x","")</f>
        <v/>
      </c>
      <c r="AC2369" s="75" t="str">
        <f>IF(AND(OR(LEFT(TH!N2369,2)="15",LEFT(TH!O2369,2)="15"),TK!$E$7=TH!F2369),"x","")</f>
        <v/>
      </c>
      <c r="AD2369" s="75" t="str">
        <f>IF(AND(N2369="1521",MONTH(C2369)='BK-NL'!$M$11),"x","")</f>
        <v/>
      </c>
      <c r="AF2369" s="1054"/>
    </row>
    <row r="2370" spans="1:32" s="1264" customFormat="1" ht="16.5" customHeight="1">
      <c r="A2370" s="309" t="str">
        <f>IF(B2370&lt;&gt;"",IF(AND(B2370='IN-TC'!$S$4,OR(TH!N2370="1111",TH!O2370="1111")),TH!D2370,""),"")</f>
        <v/>
      </c>
      <c r="B2370" s="1283">
        <f t="shared" si="778"/>
        <v>12</v>
      </c>
      <c r="C2370" s="252">
        <v>43096</v>
      </c>
      <c r="D2370" s="252" t="s">
        <v>2921</v>
      </c>
      <c r="E2370" s="252">
        <f t="shared" si="779"/>
        <v>43096</v>
      </c>
      <c r="F2370" s="1055" t="s">
        <v>2531</v>
      </c>
      <c r="G2370" s="1056" t="s">
        <v>2802</v>
      </c>
      <c r="H2370" s="735" t="s">
        <v>802</v>
      </c>
      <c r="I2370" s="371">
        <v>10</v>
      </c>
      <c r="J2370" s="371">
        <v>680000</v>
      </c>
      <c r="K2370" s="371"/>
      <c r="L2370" s="377"/>
      <c r="M2370" s="933">
        <f t="shared" si="771"/>
        <v>6800000</v>
      </c>
      <c r="N2370" s="977" t="s">
        <v>284</v>
      </c>
      <c r="O2370" s="977" t="s">
        <v>274</v>
      </c>
      <c r="P2370" s="75" t="str">
        <f>IF(AND('331-CT'!$E$7=TH!H2370,OR(N2370="331",O2370="331")),"x","")</f>
        <v/>
      </c>
      <c r="Q2370" s="75" t="str">
        <f>IF(AND(B2370='111'!$L$11,OR($N2370=$Q$7,$O2370=$Q$7)),"x","")</f>
        <v/>
      </c>
      <c r="R2370" s="75" t="str">
        <f>IF(AND($N2370=$Q$7,$B2370&lt;'111'!$L$11),"x","")</f>
        <v/>
      </c>
      <c r="S2370" s="75" t="str">
        <f>IF(AND($O2370=$Q$7,$B2370&lt;'111'!$L$11),"x","")</f>
        <v/>
      </c>
      <c r="T2370" s="75" t="str">
        <f>IF(ISERROR(FIND('112'!$M$9,G2370,1)),"",IF((AND(FIND('112'!$M$9,G2370,1)&gt;=1,B2370='112'!$K$9,OR($N2370='112'!$I$6,$O2370='112'!$I$6))),"x",""))</f>
        <v/>
      </c>
      <c r="U2370" s="75" t="str">
        <f>IF(ISERROR(FIND('112'!$M$9,G2370,1)),"",IF((AND(LEFT(G2370,2)=LEFT('112'!$M$9,2),B2370&lt;'112'!$K$9,$N2370='112'!$I$6)),"x",""))</f>
        <v/>
      </c>
      <c r="V2370" s="75" t="str">
        <f>IF(ISERROR(FIND('112'!$M$9,G2370,1)),"",IF((AND(RIGHT(G2370,2)=RIGHT('112'!$M$9,2),B2370&lt;'112'!$K$9,$O2370='112'!$I$6)),"x",""))</f>
        <v/>
      </c>
      <c r="W2370" s="75" t="str">
        <f>IF(AND('341-CT'!$H$9=H2370,OR(LEFT(N2370,3)=$W$7,LEFT(O2370,3)=$W$7)),"x","")</f>
        <v/>
      </c>
      <c r="X2370" s="75" t="str">
        <f>IF(OR(TH!N2370=TH!$X$7,O2370=TH!$X$7),"x","")</f>
        <v/>
      </c>
      <c r="Y2370" s="75" t="str">
        <f>IF(AND(OR(N2370="131",O2370="131"),H2370='131-CT'!$H$9),"x","")</f>
        <v/>
      </c>
      <c r="Z2370" s="75"/>
      <c r="AA2370" s="75" t="str">
        <f>IF(AND(MONTH(E2370)='IN-NX'!$J$5,'IN-NX'!$D$7=D2370),"x","")</f>
        <v/>
      </c>
      <c r="AB2370" s="75" t="str">
        <f>IF(AND(OR(LEFT(TH!N2370,2)="15",LEFT(TH!O2370,2)="15"),LEFT(TH!O2370,3)&lt;&gt;"111",'152-CT'!$J$8=TH!F2370),"x","")</f>
        <v/>
      </c>
      <c r="AC2370" s="75" t="str">
        <f>IF(AND(OR(LEFT(TH!N2370,2)="15",LEFT(TH!O2370,2)="15"),TK!$E$7=TH!F2370),"x","")</f>
        <v/>
      </c>
      <c r="AD2370" s="75" t="str">
        <f>IF(AND(N2370="1521",MONTH(C2370)='BK-NL'!$M$11),"x","")</f>
        <v/>
      </c>
      <c r="AF2370" s="1054"/>
    </row>
    <row r="2371" spans="1:32" s="1264" customFormat="1" ht="16.5" customHeight="1">
      <c r="A2371" s="309" t="str">
        <f>IF(B2371&lt;&gt;"",IF(AND(B2371='IN-TC'!$S$4,OR(TH!N2371="1111",TH!O2371="1111")),TH!D2371,""),"")</f>
        <v/>
      </c>
      <c r="B2371" s="1283">
        <f t="shared" ref="B2371" si="780">IF(C2371&lt;&gt;"",MONTH(C2371),"")</f>
        <v>12</v>
      </c>
      <c r="C2371" s="252">
        <v>43096</v>
      </c>
      <c r="D2371" s="252" t="s">
        <v>2921</v>
      </c>
      <c r="E2371" s="252">
        <f t="shared" ref="E2371" si="781">C2371</f>
        <v>43096</v>
      </c>
      <c r="F2371" s="1055" t="s">
        <v>2532</v>
      </c>
      <c r="G2371" s="1056" t="s">
        <v>2802</v>
      </c>
      <c r="H2371" s="735" t="s">
        <v>802</v>
      </c>
      <c r="I2371" s="371">
        <v>20</v>
      </c>
      <c r="J2371" s="371">
        <v>685000</v>
      </c>
      <c r="K2371" s="371"/>
      <c r="L2371" s="377"/>
      <c r="M2371" s="933">
        <f t="shared" ref="M2371" si="782">ROUND(I2371*J2371,0)</f>
        <v>13700000</v>
      </c>
      <c r="N2371" s="977" t="s">
        <v>284</v>
      </c>
      <c r="O2371" s="977" t="s">
        <v>274</v>
      </c>
      <c r="P2371" s="75" t="str">
        <f>IF(AND('331-CT'!$E$7=TH!H2371,OR(N2371="331",O2371="331")),"x","")</f>
        <v/>
      </c>
      <c r="Q2371" s="75" t="str">
        <f>IF(AND(B2371='111'!$L$11,OR($N2371=$Q$7,$O2371=$Q$7)),"x","")</f>
        <v/>
      </c>
      <c r="R2371" s="75" t="str">
        <f>IF(AND($N2371=$Q$7,$B2371&lt;'111'!$L$11),"x","")</f>
        <v/>
      </c>
      <c r="S2371" s="75" t="str">
        <f>IF(AND($O2371=$Q$7,$B2371&lt;'111'!$L$11),"x","")</f>
        <v/>
      </c>
      <c r="T2371" s="75" t="str">
        <f>IF(ISERROR(FIND('112'!$M$9,G2371,1)),"",IF((AND(FIND('112'!$M$9,G2371,1)&gt;=1,B2371='112'!$K$9,OR($N2371='112'!$I$6,$O2371='112'!$I$6))),"x",""))</f>
        <v/>
      </c>
      <c r="U2371" s="75" t="str">
        <f>IF(ISERROR(FIND('112'!$M$9,G2371,1)),"",IF((AND(LEFT(G2371,2)=LEFT('112'!$M$9,2),B2371&lt;'112'!$K$9,$N2371='112'!$I$6)),"x",""))</f>
        <v/>
      </c>
      <c r="V2371" s="75" t="str">
        <f>IF(ISERROR(FIND('112'!$M$9,G2371,1)),"",IF((AND(RIGHT(G2371,2)=RIGHT('112'!$M$9,2),B2371&lt;'112'!$K$9,$O2371='112'!$I$6)),"x",""))</f>
        <v/>
      </c>
      <c r="W2371" s="75" t="str">
        <f>IF(AND('341-CT'!$H$9=H2371,OR(LEFT(N2371,3)=$W$7,LEFT(O2371,3)=$W$7)),"x","")</f>
        <v/>
      </c>
      <c r="X2371" s="75" t="str">
        <f>IF(OR(TH!N2371=TH!$X$7,O2371=TH!$X$7),"x","")</f>
        <v/>
      </c>
      <c r="Y2371" s="75" t="str">
        <f>IF(AND(OR(N2371="131",O2371="131"),H2371='131-CT'!$H$9),"x","")</f>
        <v/>
      </c>
      <c r="Z2371" s="75"/>
      <c r="AA2371" s="75" t="str">
        <f>IF(AND(MONTH(E2371)='IN-NX'!$J$5,'IN-NX'!$D$7=D2371),"x","")</f>
        <v/>
      </c>
      <c r="AB2371" s="75" t="str">
        <f>IF(AND(OR(LEFT(TH!N2371,2)="15",LEFT(TH!O2371,2)="15"),LEFT(TH!O2371,3)&lt;&gt;"111",'152-CT'!$J$8=TH!F2371),"x","")</f>
        <v/>
      </c>
      <c r="AC2371" s="75" t="str">
        <f>IF(AND(OR(LEFT(TH!N2371,2)="15",LEFT(TH!O2371,2)="15"),TK!$E$7=TH!F2371),"x","")</f>
        <v/>
      </c>
      <c r="AD2371" s="75" t="str">
        <f>IF(AND(N2371="1521",MONTH(C2371)='BK-NL'!$M$11),"x","")</f>
        <v/>
      </c>
      <c r="AF2371" s="1054"/>
    </row>
    <row r="2372" spans="1:32" s="1264" customFormat="1" ht="16.5" customHeight="1">
      <c r="A2372" s="309" t="str">
        <f>IF(B2372&lt;&gt;"",IF(AND(B2372='IN-TC'!$S$4,OR(TH!N2372="1111",TH!O2372="1111")),TH!D2372,""),"")</f>
        <v/>
      </c>
      <c r="B2372" s="1283">
        <f t="shared" ref="B2372" si="783">IF(C2372&lt;&gt;"",MONTH(C2372),"")</f>
        <v>12</v>
      </c>
      <c r="C2372" s="252">
        <v>43096</v>
      </c>
      <c r="D2372" s="252" t="s">
        <v>2921</v>
      </c>
      <c r="E2372" s="252">
        <f t="shared" ref="E2372" si="784">C2372</f>
        <v>43096</v>
      </c>
      <c r="F2372" s="1055" t="s">
        <v>2533</v>
      </c>
      <c r="G2372" s="1056" t="s">
        <v>2802</v>
      </c>
      <c r="H2372" s="735" t="s">
        <v>802</v>
      </c>
      <c r="I2372" s="371">
        <v>10</v>
      </c>
      <c r="J2372" s="371">
        <v>675000</v>
      </c>
      <c r="K2372" s="371"/>
      <c r="L2372" s="377"/>
      <c r="M2372" s="933">
        <f t="shared" ref="M2372" si="785">ROUND(I2372*J2372,0)</f>
        <v>6750000</v>
      </c>
      <c r="N2372" s="977" t="s">
        <v>284</v>
      </c>
      <c r="O2372" s="977" t="s">
        <v>274</v>
      </c>
      <c r="P2372" s="75" t="str">
        <f>IF(AND('331-CT'!$E$7=TH!H2372,OR(N2372="331",O2372="331")),"x","")</f>
        <v/>
      </c>
      <c r="Q2372" s="75" t="str">
        <f>IF(AND(B2372='111'!$L$11,OR($N2372=$Q$7,$O2372=$Q$7)),"x","")</f>
        <v/>
      </c>
      <c r="R2372" s="75" t="str">
        <f>IF(AND($N2372=$Q$7,$B2372&lt;'111'!$L$11),"x","")</f>
        <v/>
      </c>
      <c r="S2372" s="75" t="str">
        <f>IF(AND($O2372=$Q$7,$B2372&lt;'111'!$L$11),"x","")</f>
        <v/>
      </c>
      <c r="T2372" s="75" t="str">
        <f>IF(ISERROR(FIND('112'!$M$9,G2372,1)),"",IF((AND(FIND('112'!$M$9,G2372,1)&gt;=1,B2372='112'!$K$9,OR($N2372='112'!$I$6,$O2372='112'!$I$6))),"x",""))</f>
        <v/>
      </c>
      <c r="U2372" s="75" t="str">
        <f>IF(ISERROR(FIND('112'!$M$9,G2372,1)),"",IF((AND(LEFT(G2372,2)=LEFT('112'!$M$9,2),B2372&lt;'112'!$K$9,$N2372='112'!$I$6)),"x",""))</f>
        <v/>
      </c>
      <c r="V2372" s="75" t="str">
        <f>IF(ISERROR(FIND('112'!$M$9,G2372,1)),"",IF((AND(RIGHT(G2372,2)=RIGHT('112'!$M$9,2),B2372&lt;'112'!$K$9,$O2372='112'!$I$6)),"x",""))</f>
        <v/>
      </c>
      <c r="W2372" s="75" t="str">
        <f>IF(AND('341-CT'!$H$9=H2372,OR(LEFT(N2372,3)=$W$7,LEFT(O2372,3)=$W$7)),"x","")</f>
        <v/>
      </c>
      <c r="X2372" s="75" t="str">
        <f>IF(OR(TH!N2372=TH!$X$7,O2372=TH!$X$7),"x","")</f>
        <v/>
      </c>
      <c r="Y2372" s="75" t="str">
        <f>IF(AND(OR(N2372="131",O2372="131"),H2372='131-CT'!$H$9),"x","")</f>
        <v/>
      </c>
      <c r="Z2372" s="75"/>
      <c r="AA2372" s="75" t="str">
        <f>IF(AND(MONTH(E2372)='IN-NX'!$J$5,'IN-NX'!$D$7=D2372),"x","")</f>
        <v/>
      </c>
      <c r="AB2372" s="75" t="str">
        <f>IF(AND(OR(LEFT(TH!N2372,2)="15",LEFT(TH!O2372,2)="15"),LEFT(TH!O2372,3)&lt;&gt;"111",'152-CT'!$J$8=TH!F2372),"x","")</f>
        <v/>
      </c>
      <c r="AC2372" s="75" t="str">
        <f>IF(AND(OR(LEFT(TH!N2372,2)="15",LEFT(TH!O2372,2)="15"),TK!$E$7=TH!F2372),"x","")</f>
        <v/>
      </c>
      <c r="AD2372" s="75" t="str">
        <f>IF(AND(N2372="1521",MONTH(C2372)='BK-NL'!$M$11),"x","")</f>
        <v/>
      </c>
      <c r="AF2372" s="1054"/>
    </row>
    <row r="2373" spans="1:32" s="1264" customFormat="1" ht="16.5" customHeight="1">
      <c r="A2373" s="309" t="str">
        <f>IF(B2373&lt;&gt;"",IF(AND(B2373='IN-TC'!$S$4,OR(TH!N2373="1111",TH!O2373="1111")),TH!D2373,""),"")</f>
        <v/>
      </c>
      <c r="B2373" s="1283">
        <f t="shared" si="778"/>
        <v>12</v>
      </c>
      <c r="C2373" s="252">
        <v>43096</v>
      </c>
      <c r="D2373" s="252" t="s">
        <v>2921</v>
      </c>
      <c r="E2373" s="252">
        <f t="shared" si="779"/>
        <v>43096</v>
      </c>
      <c r="F2373" s="1055" t="s">
        <v>2534</v>
      </c>
      <c r="G2373" s="1056" t="s">
        <v>2802</v>
      </c>
      <c r="H2373" s="735" t="s">
        <v>802</v>
      </c>
      <c r="I2373" s="371">
        <v>10</v>
      </c>
      <c r="J2373" s="371">
        <v>580000</v>
      </c>
      <c r="K2373" s="371"/>
      <c r="L2373" s="377"/>
      <c r="M2373" s="933">
        <f t="shared" si="771"/>
        <v>5800000</v>
      </c>
      <c r="N2373" s="977" t="s">
        <v>284</v>
      </c>
      <c r="O2373" s="977" t="s">
        <v>274</v>
      </c>
      <c r="P2373" s="75" t="str">
        <f>IF(AND('331-CT'!$E$7=TH!H2373,OR(N2373="331",O2373="331")),"x","")</f>
        <v/>
      </c>
      <c r="Q2373" s="75" t="str">
        <f>IF(AND(B2373='111'!$L$11,OR($N2373=$Q$7,$O2373=$Q$7)),"x","")</f>
        <v/>
      </c>
      <c r="R2373" s="75" t="str">
        <f>IF(AND($N2373=$Q$7,$B2373&lt;'111'!$L$11),"x","")</f>
        <v/>
      </c>
      <c r="S2373" s="75" t="str">
        <f>IF(AND($O2373=$Q$7,$B2373&lt;'111'!$L$11),"x","")</f>
        <v/>
      </c>
      <c r="T2373" s="75" t="str">
        <f>IF(ISERROR(FIND('112'!$M$9,G2373,1)),"",IF((AND(FIND('112'!$M$9,G2373,1)&gt;=1,B2373='112'!$K$9,OR($N2373='112'!$I$6,$O2373='112'!$I$6))),"x",""))</f>
        <v/>
      </c>
      <c r="U2373" s="75" t="str">
        <f>IF(ISERROR(FIND('112'!$M$9,G2373,1)),"",IF((AND(LEFT(G2373,2)=LEFT('112'!$M$9,2),B2373&lt;'112'!$K$9,$N2373='112'!$I$6)),"x",""))</f>
        <v/>
      </c>
      <c r="V2373" s="75" t="str">
        <f>IF(ISERROR(FIND('112'!$M$9,G2373,1)),"",IF((AND(RIGHT(G2373,2)=RIGHT('112'!$M$9,2),B2373&lt;'112'!$K$9,$O2373='112'!$I$6)),"x",""))</f>
        <v/>
      </c>
      <c r="W2373" s="75" t="str">
        <f>IF(AND('341-CT'!$H$9=H2373,OR(LEFT(N2373,3)=$W$7,LEFT(O2373,3)=$W$7)),"x","")</f>
        <v/>
      </c>
      <c r="X2373" s="75" t="str">
        <f>IF(OR(TH!N2373=TH!$X$7,O2373=TH!$X$7),"x","")</f>
        <v/>
      </c>
      <c r="Y2373" s="75" t="str">
        <f>IF(AND(OR(N2373="131",O2373="131"),H2373='131-CT'!$H$9),"x","")</f>
        <v/>
      </c>
      <c r="Z2373" s="75"/>
      <c r="AA2373" s="75" t="str">
        <f>IF(AND(MONTH(E2373)='IN-NX'!$J$5,'IN-NX'!$D$7=D2373),"x","")</f>
        <v/>
      </c>
      <c r="AB2373" s="75" t="str">
        <f>IF(AND(OR(LEFT(TH!N2373,2)="15",LEFT(TH!O2373,2)="15"),LEFT(TH!O2373,3)&lt;&gt;"111",'152-CT'!$J$8=TH!F2373),"x","")</f>
        <v/>
      </c>
      <c r="AC2373" s="75" t="str">
        <f>IF(AND(OR(LEFT(TH!N2373,2)="15",LEFT(TH!O2373,2)="15"),TK!$E$7=TH!F2373),"x","")</f>
        <v/>
      </c>
      <c r="AD2373" s="75" t="str">
        <f>IF(AND(N2373="1521",MONTH(C2373)='BK-NL'!$M$11),"x","")</f>
        <v/>
      </c>
      <c r="AF2373" s="1054"/>
    </row>
    <row r="2374" spans="1:32" s="1053" customFormat="1" ht="16.5" customHeight="1">
      <c r="A2374" s="309" t="str">
        <f>IF(B2374&lt;&gt;"",IF(AND(B2374='IN-TC'!$S$4,OR(TH!N2374="1111",TH!O2374="1111")),TH!D2374,""),"")</f>
        <v/>
      </c>
      <c r="B2374" s="1159">
        <f t="shared" ref="B2374:B2384" si="786">IF(C2374&lt;&gt;"",MONTH(C2374),"")</f>
        <v>12</v>
      </c>
      <c r="C2374" s="292">
        <v>43070</v>
      </c>
      <c r="D2374" s="292" t="s">
        <v>829</v>
      </c>
      <c r="E2374" s="292">
        <f t="shared" ref="E2374" si="787">C2374</f>
        <v>43070</v>
      </c>
      <c r="F2374" s="67" t="s">
        <v>341</v>
      </c>
      <c r="G2374" s="925" t="s">
        <v>2664</v>
      </c>
      <c r="H2374" s="311" t="s">
        <v>557</v>
      </c>
      <c r="I2374" s="373">
        <v>3000</v>
      </c>
      <c r="J2374" s="379">
        <v>3300</v>
      </c>
      <c r="K2374" s="373"/>
      <c r="L2374" s="379"/>
      <c r="M2374" s="927">
        <f>ROUND(I2374*J2374,0)</f>
        <v>9900000</v>
      </c>
      <c r="N2374" s="295" t="s">
        <v>266</v>
      </c>
      <c r="O2374" s="295" t="s">
        <v>8</v>
      </c>
      <c r="P2374" s="75" t="str">
        <f>IF(AND('331-CT'!$E$7=TH!H2374,OR(N2374="331",O2374="331")),"x","")</f>
        <v/>
      </c>
      <c r="Q2374" s="75" t="str">
        <f>IF(AND(B2374='111'!$L$11,OR($N2374=$Q$7,$O2374=$Q$7)),"x","")</f>
        <v/>
      </c>
      <c r="R2374" s="75" t="str">
        <f>IF(AND($N2374=$Q$7,$B2374&lt;'111'!$L$11),"x","")</f>
        <v/>
      </c>
      <c r="S2374" s="75" t="str">
        <f>IF(AND($O2374=$Q$7,$B2374&lt;'111'!$L$11),"x","")</f>
        <v/>
      </c>
      <c r="T2374" s="75" t="str">
        <f>IF(ISERROR(FIND('112'!$M$9,G2374,1)),"",IF((AND(FIND('112'!$M$9,G2374,1)&gt;=1,B2374='112'!$K$9,OR($N2374='112'!$I$6,$O2374='112'!$I$6))),"x",""))</f>
        <v/>
      </c>
      <c r="U2374" s="75" t="str">
        <f>IF(ISERROR(FIND('112'!$M$9,G2374,1)),"",IF((AND(LEFT(G2374,2)=LEFT('112'!$M$9,2),B2374&lt;'112'!$K$9,$N2374='112'!$I$6)),"x",""))</f>
        <v/>
      </c>
      <c r="V2374" s="75" t="str">
        <f>IF(ISERROR(FIND('112'!$M$9,G2374,1)),"",IF((AND(RIGHT(G2374,2)=RIGHT('112'!$M$9,2),B2374&lt;'112'!$K$9,$O2374='112'!$I$6)),"x",""))</f>
        <v/>
      </c>
      <c r="W2374" s="75" t="str">
        <f>IF(AND('341-CT'!$H$9=H2374,OR(LEFT(N2374,3)=$W$7,LEFT(O2374,3)=$W$7)),"x","")</f>
        <v/>
      </c>
      <c r="X2374" s="75" t="str">
        <f>IF(OR(TH!N2374=TH!$X$7,O2374=TH!$X$7),"x","")</f>
        <v/>
      </c>
      <c r="Y2374" s="75" t="str">
        <f>IF(AND(OR(N2374="131",O2374="131"),H2374='131-CT'!$H$9),"x","")</f>
        <v/>
      </c>
      <c r="Z2374" s="75"/>
      <c r="AA2374" s="75" t="str">
        <f>IF(AND(MONTH(E2374)='IN-NX'!$J$5,'IN-NX'!$D$7=D2374),"x","")</f>
        <v/>
      </c>
      <c r="AB2374" s="75" t="str">
        <f>IF(AND(OR(LEFT(TH!N2374,2)="15",LEFT(TH!O2374,2)="15"),LEFT(TH!O2374,3)&lt;&gt;"111",'152-CT'!$J$8=TH!F2374),"x","")</f>
        <v/>
      </c>
      <c r="AC2374" s="75" t="str">
        <f>IF(AND(OR(LEFT(TH!N2374,2)="15",LEFT(TH!O2374,2)="15"),TK!$E$7=TH!F2374),"x","")</f>
        <v/>
      </c>
      <c r="AD2374" s="75" t="str">
        <f>IF(AND(N2374="1521",MONTH(C2374)='BK-NL'!$M$11),"x","")</f>
        <v/>
      </c>
    </row>
    <row r="2375" spans="1:32" s="1053" customFormat="1" ht="16.5" customHeight="1">
      <c r="A2375" s="309" t="str">
        <f>IF(B2375&lt;&gt;"",IF(AND(B2375='IN-TC'!$S$4,OR(TH!N2375="1111",TH!O2375="1111")),TH!D2375,""),"")</f>
        <v/>
      </c>
      <c r="B2375" s="1159">
        <f t="shared" si="786"/>
        <v>12</v>
      </c>
      <c r="C2375" s="292">
        <v>43074</v>
      </c>
      <c r="D2375" s="292" t="s">
        <v>840</v>
      </c>
      <c r="E2375" s="292">
        <f t="shared" ref="E2375:E2378" si="788">C2375</f>
        <v>43074</v>
      </c>
      <c r="F2375" s="67" t="s">
        <v>336</v>
      </c>
      <c r="G2375" s="925" t="s">
        <v>1150</v>
      </c>
      <c r="H2375" s="311" t="s">
        <v>2657</v>
      </c>
      <c r="I2375" s="373">
        <v>1000</v>
      </c>
      <c r="J2375" s="379">
        <v>13619.047</v>
      </c>
      <c r="K2375" s="373"/>
      <c r="L2375" s="379"/>
      <c r="M2375" s="927">
        <f>ROUND(I2375*J2375,0)</f>
        <v>13619047</v>
      </c>
      <c r="N2375" s="295" t="s">
        <v>266</v>
      </c>
      <c r="O2375" s="295" t="s">
        <v>8</v>
      </c>
      <c r="P2375" s="75" t="str">
        <f>IF(AND('331-CT'!$E$7=TH!H2375,OR(N2375="331",O2375="331")),"x","")</f>
        <v/>
      </c>
      <c r="Q2375" s="75" t="str">
        <f>IF(AND(B2375='111'!$L$11,OR($N2375=$Q$7,$O2375=$Q$7)),"x","")</f>
        <v/>
      </c>
      <c r="R2375" s="75" t="str">
        <f>IF(AND($N2375=$Q$7,$B2375&lt;'111'!$L$11),"x","")</f>
        <v/>
      </c>
      <c r="S2375" s="75" t="str">
        <f>IF(AND($O2375=$Q$7,$B2375&lt;'111'!$L$11),"x","")</f>
        <v/>
      </c>
      <c r="T2375" s="75" t="str">
        <f>IF(ISERROR(FIND('112'!$M$9,G2375,1)),"",IF((AND(FIND('112'!$M$9,G2375,1)&gt;=1,B2375='112'!$K$9,OR($N2375='112'!$I$6,$O2375='112'!$I$6))),"x",""))</f>
        <v/>
      </c>
      <c r="U2375" s="75" t="str">
        <f>IF(ISERROR(FIND('112'!$M$9,G2375,1)),"",IF((AND(LEFT(G2375,2)=LEFT('112'!$M$9,2),B2375&lt;'112'!$K$9,$N2375='112'!$I$6)),"x",""))</f>
        <v/>
      </c>
      <c r="V2375" s="75" t="str">
        <f>IF(ISERROR(FIND('112'!$M$9,G2375,1)),"",IF((AND(RIGHT(G2375,2)=RIGHT('112'!$M$9,2),B2375&lt;'112'!$K$9,$O2375='112'!$I$6)),"x",""))</f>
        <v/>
      </c>
      <c r="W2375" s="75" t="str">
        <f>IF(AND('341-CT'!$H$9=H2375,OR(LEFT(N2375,3)=$W$7,LEFT(O2375,3)=$W$7)),"x","")</f>
        <v/>
      </c>
      <c r="X2375" s="75" t="str">
        <f>IF(OR(TH!N2375=TH!$X$7,O2375=TH!$X$7),"x","")</f>
        <v/>
      </c>
      <c r="Y2375" s="75" t="str">
        <f>IF(AND(OR(N2375="131",O2375="131"),H2375='131-CT'!$H$9),"x","")</f>
        <v/>
      </c>
      <c r="Z2375" s="75"/>
      <c r="AA2375" s="75" t="str">
        <f>IF(AND(MONTH(E2375)='IN-NX'!$J$5,'IN-NX'!$D$7=D2375),"x","")</f>
        <v/>
      </c>
      <c r="AB2375" s="75" t="str">
        <f>IF(AND(OR(LEFT(TH!N2375,2)="15",LEFT(TH!O2375,2)="15"),LEFT(TH!O2375,3)&lt;&gt;"111",'152-CT'!$J$8=TH!F2375),"x","")</f>
        <v/>
      </c>
      <c r="AC2375" s="75" t="str">
        <f>IF(AND(OR(LEFT(TH!N2375,2)="15",LEFT(TH!O2375,2)="15"),TK!$E$7=TH!F2375),"x","")</f>
        <v>x</v>
      </c>
      <c r="AD2375" s="75" t="str">
        <f>IF(AND(N2375="1521",MONTH(C2375)='BK-NL'!$M$11),"x","")</f>
        <v/>
      </c>
      <c r="AE2375" s="1053">
        <v>12</v>
      </c>
    </row>
    <row r="2376" spans="1:32" s="1053" customFormat="1" ht="16.5" customHeight="1">
      <c r="A2376" s="309" t="str">
        <f>IF(B2376&lt;&gt;"",IF(AND(B2376='IN-TC'!$S$4,OR(TH!N2376="1111",TH!O2376="1111")),TH!D2376,""),"")</f>
        <v/>
      </c>
      <c r="B2376" s="1159">
        <f t="shared" si="786"/>
        <v>12</v>
      </c>
      <c r="C2376" s="292">
        <v>43074</v>
      </c>
      <c r="D2376" s="292" t="s">
        <v>840</v>
      </c>
      <c r="E2376" s="292">
        <f t="shared" si="788"/>
        <v>43074</v>
      </c>
      <c r="F2376" s="67" t="s">
        <v>2131</v>
      </c>
      <c r="G2376" s="925" t="s">
        <v>1150</v>
      </c>
      <c r="H2376" s="311" t="s">
        <v>2657</v>
      </c>
      <c r="I2376" s="373"/>
      <c r="J2376" s="379"/>
      <c r="K2376" s="373"/>
      <c r="L2376" s="379"/>
      <c r="M2376" s="927">
        <v>680953</v>
      </c>
      <c r="N2376" s="295" t="s">
        <v>9</v>
      </c>
      <c r="O2376" s="295" t="s">
        <v>8</v>
      </c>
      <c r="P2376" s="75" t="str">
        <f>IF(AND('331-CT'!$E$7=TH!H2376,OR(N2376="331",O2376="331")),"x","")</f>
        <v/>
      </c>
      <c r="Q2376" s="75" t="str">
        <f>IF(AND(B2376='111'!$L$11,OR($N2376=$Q$7,$O2376=$Q$7)),"x","")</f>
        <v/>
      </c>
      <c r="R2376" s="75" t="str">
        <f>IF(AND($N2376=$Q$7,$B2376&lt;'111'!$L$11),"x","")</f>
        <v/>
      </c>
      <c r="S2376" s="75" t="str">
        <f>IF(AND($O2376=$Q$7,$B2376&lt;'111'!$L$11),"x","")</f>
        <v/>
      </c>
      <c r="T2376" s="75" t="str">
        <f>IF(ISERROR(FIND('112'!$M$9,G2376,1)),"",IF((AND(FIND('112'!$M$9,G2376,1)&gt;=1,B2376='112'!$K$9,OR($N2376='112'!$I$6,$O2376='112'!$I$6))),"x",""))</f>
        <v/>
      </c>
      <c r="U2376" s="75" t="str">
        <f>IF(ISERROR(FIND('112'!$M$9,G2376,1)),"",IF((AND(LEFT(G2376,2)=LEFT('112'!$M$9,2),B2376&lt;'112'!$K$9,$N2376='112'!$I$6)),"x",""))</f>
        <v/>
      </c>
      <c r="V2376" s="75" t="str">
        <f>IF(ISERROR(FIND('112'!$M$9,G2376,1)),"",IF((AND(RIGHT(G2376,2)=RIGHT('112'!$M$9,2),B2376&lt;'112'!$K$9,$O2376='112'!$I$6)),"x",""))</f>
        <v/>
      </c>
      <c r="W2376" s="75" t="str">
        <f>IF(AND('341-CT'!$H$9=H2376,OR(LEFT(N2376,3)=$W$7,LEFT(O2376,3)=$W$7)),"x","")</f>
        <v/>
      </c>
      <c r="X2376" s="75" t="str">
        <f>IF(OR(TH!N2376=TH!$X$7,O2376=TH!$X$7),"x","")</f>
        <v/>
      </c>
      <c r="Y2376" s="75" t="str">
        <f>IF(AND(OR(N2376="131",O2376="131"),H2376='131-CT'!$H$9),"x","")</f>
        <v/>
      </c>
      <c r="Z2376" s="75"/>
      <c r="AA2376" s="75" t="str">
        <f>IF(AND(MONTH(E2376)='IN-NX'!$J$5,'IN-NX'!$D$7=D2376),"x","")</f>
        <v/>
      </c>
      <c r="AB2376" s="75" t="str">
        <f>IF(AND(OR(LEFT(TH!N2376,2)="15",LEFT(TH!O2376,2)="15"),LEFT(TH!O2376,3)&lt;&gt;"111",'152-CT'!$J$8=TH!F2376),"x","")</f>
        <v/>
      </c>
      <c r="AC2376" s="75" t="str">
        <f>IF(AND(OR(LEFT(TH!N2376,2)="15",LEFT(TH!O2376,2)="15"),TK!$E$7=TH!F2376),"x","")</f>
        <v/>
      </c>
      <c r="AD2376" s="75" t="str">
        <f>IF(AND(N2376="1521",MONTH(C2376)='BK-NL'!$M$11),"x","")</f>
        <v/>
      </c>
      <c r="AE2376" s="1053">
        <v>12</v>
      </c>
    </row>
    <row r="2377" spans="1:32" s="1053" customFormat="1" ht="16.5" customHeight="1">
      <c r="A2377" s="309" t="str">
        <f>IF(B2377&lt;&gt;"",IF(AND(B2377='IN-TC'!$S$4,OR(TH!N2377="1111",TH!O2377="1111")),TH!D2377,""),"")</f>
        <v/>
      </c>
      <c r="B2377" s="1159">
        <f t="shared" si="786"/>
        <v>12</v>
      </c>
      <c r="C2377" s="292">
        <v>43075</v>
      </c>
      <c r="D2377" s="292" t="s">
        <v>847</v>
      </c>
      <c r="E2377" s="292">
        <f t="shared" si="788"/>
        <v>43075</v>
      </c>
      <c r="F2377" s="67" t="s">
        <v>327</v>
      </c>
      <c r="G2377" s="925" t="s">
        <v>2684</v>
      </c>
      <c r="H2377" s="311" t="s">
        <v>2657</v>
      </c>
      <c r="I2377" s="373">
        <v>500</v>
      </c>
      <c r="J2377" s="379">
        <v>34181.817999999999</v>
      </c>
      <c r="K2377" s="373"/>
      <c r="L2377" s="379"/>
      <c r="M2377" s="927">
        <f>ROUND(I2377*J2377,0)</f>
        <v>17090909</v>
      </c>
      <c r="N2377" s="295" t="s">
        <v>266</v>
      </c>
      <c r="O2377" s="295" t="s">
        <v>8</v>
      </c>
      <c r="P2377" s="75" t="str">
        <f>IF(AND('331-CT'!$E$7=TH!H2377,OR(N2377="331",O2377="331")),"x","")</f>
        <v/>
      </c>
      <c r="Q2377" s="75" t="str">
        <f>IF(AND(B2377='111'!$L$11,OR($N2377=$Q$7,$O2377=$Q$7)),"x","")</f>
        <v/>
      </c>
      <c r="R2377" s="75" t="str">
        <f>IF(AND($N2377=$Q$7,$B2377&lt;'111'!$L$11),"x","")</f>
        <v/>
      </c>
      <c r="S2377" s="75" t="str">
        <f>IF(AND($O2377=$Q$7,$B2377&lt;'111'!$L$11),"x","")</f>
        <v/>
      </c>
      <c r="T2377" s="75" t="str">
        <f>IF(ISERROR(FIND('112'!$M$9,G2377,1)),"",IF((AND(FIND('112'!$M$9,G2377,1)&gt;=1,B2377='112'!$K$9,OR($N2377='112'!$I$6,$O2377='112'!$I$6))),"x",""))</f>
        <v/>
      </c>
      <c r="U2377" s="75" t="str">
        <f>IF(ISERROR(FIND('112'!$M$9,G2377,1)),"",IF((AND(LEFT(G2377,2)=LEFT('112'!$M$9,2),B2377&lt;'112'!$K$9,$N2377='112'!$I$6)),"x",""))</f>
        <v/>
      </c>
      <c r="V2377" s="75" t="str">
        <f>IF(ISERROR(FIND('112'!$M$9,G2377,1)),"",IF((AND(RIGHT(G2377,2)=RIGHT('112'!$M$9,2),B2377&lt;'112'!$K$9,$O2377='112'!$I$6)),"x",""))</f>
        <v/>
      </c>
      <c r="W2377" s="75" t="str">
        <f>IF(AND('341-CT'!$H$9=H2377,OR(LEFT(N2377,3)=$W$7,LEFT(O2377,3)=$W$7)),"x","")</f>
        <v/>
      </c>
      <c r="X2377" s="75" t="str">
        <f>IF(OR(TH!N2377=TH!$X$7,O2377=TH!$X$7),"x","")</f>
        <v/>
      </c>
      <c r="Y2377" s="75" t="str">
        <f>IF(AND(OR(N2377="131",O2377="131"),H2377='131-CT'!$H$9),"x","")</f>
        <v/>
      </c>
      <c r="Z2377" s="75"/>
      <c r="AA2377" s="75" t="str">
        <f>IF(AND(MONTH(E2377)='IN-NX'!$J$5,'IN-NX'!$D$7=D2377),"x","")</f>
        <v/>
      </c>
      <c r="AB2377" s="75" t="str">
        <f>IF(AND(OR(LEFT(TH!N2377,2)="15",LEFT(TH!O2377,2)="15"),LEFT(TH!O2377,3)&lt;&gt;"111",'152-CT'!$J$8=TH!F2377),"x","")</f>
        <v/>
      </c>
      <c r="AC2377" s="75" t="str">
        <f>IF(AND(OR(LEFT(TH!N2377,2)="15",LEFT(TH!O2377,2)="15"),TK!$E$7=TH!F2377),"x","")</f>
        <v/>
      </c>
      <c r="AD2377" s="75" t="str">
        <f>IF(AND(N2377="1521",MONTH(C2377)='BK-NL'!$M$11),"x","")</f>
        <v/>
      </c>
      <c r="AE2377" s="1053">
        <v>12</v>
      </c>
    </row>
    <row r="2378" spans="1:32" s="1053" customFormat="1" ht="16.5" customHeight="1">
      <c r="A2378" s="309" t="str">
        <f>IF(B2378&lt;&gt;"",IF(AND(B2378='IN-TC'!$S$4,OR(TH!N2378="1111",TH!O2378="1111")),TH!D2378,""),"")</f>
        <v/>
      </c>
      <c r="B2378" s="1159">
        <f t="shared" si="786"/>
        <v>12</v>
      </c>
      <c r="C2378" s="292">
        <v>43075</v>
      </c>
      <c r="D2378" s="292" t="s">
        <v>847</v>
      </c>
      <c r="E2378" s="292">
        <f t="shared" si="788"/>
        <v>43075</v>
      </c>
      <c r="F2378" s="67" t="s">
        <v>2136</v>
      </c>
      <c r="G2378" s="925" t="s">
        <v>2684</v>
      </c>
      <c r="H2378" s="311" t="s">
        <v>2657</v>
      </c>
      <c r="I2378" s="373"/>
      <c r="J2378" s="379"/>
      <c r="K2378" s="373"/>
      <c r="L2378" s="379"/>
      <c r="M2378" s="927">
        <v>1709091</v>
      </c>
      <c r="N2378" s="295" t="s">
        <v>9</v>
      </c>
      <c r="O2378" s="295" t="s">
        <v>8</v>
      </c>
      <c r="P2378" s="75" t="str">
        <f>IF(AND('331-CT'!$E$7=TH!H2378,OR(N2378="331",O2378="331")),"x","")</f>
        <v/>
      </c>
      <c r="Q2378" s="75" t="str">
        <f>IF(AND(B2378='111'!$L$11,OR($N2378=$Q$7,$O2378=$Q$7)),"x","")</f>
        <v/>
      </c>
      <c r="R2378" s="75" t="str">
        <f>IF(AND($N2378=$Q$7,$B2378&lt;'111'!$L$11),"x","")</f>
        <v/>
      </c>
      <c r="S2378" s="75" t="str">
        <f>IF(AND($O2378=$Q$7,$B2378&lt;'111'!$L$11),"x","")</f>
        <v/>
      </c>
      <c r="T2378" s="75" t="str">
        <f>IF(ISERROR(FIND('112'!$M$9,G2378,1)),"",IF((AND(FIND('112'!$M$9,G2378,1)&gt;=1,B2378='112'!$K$9,OR($N2378='112'!$I$6,$O2378='112'!$I$6))),"x",""))</f>
        <v/>
      </c>
      <c r="U2378" s="75" t="str">
        <f>IF(ISERROR(FIND('112'!$M$9,G2378,1)),"",IF((AND(LEFT(G2378,2)=LEFT('112'!$M$9,2),B2378&lt;'112'!$K$9,$N2378='112'!$I$6)),"x",""))</f>
        <v/>
      </c>
      <c r="V2378" s="75" t="str">
        <f>IF(ISERROR(FIND('112'!$M$9,G2378,1)),"",IF((AND(RIGHT(G2378,2)=RIGHT('112'!$M$9,2),B2378&lt;'112'!$K$9,$O2378='112'!$I$6)),"x",""))</f>
        <v/>
      </c>
      <c r="W2378" s="75" t="str">
        <f>IF(AND('341-CT'!$H$9=H2378,OR(LEFT(N2378,3)=$W$7,LEFT(O2378,3)=$W$7)),"x","")</f>
        <v/>
      </c>
      <c r="X2378" s="75" t="str">
        <f>IF(OR(TH!N2378=TH!$X$7,O2378=TH!$X$7),"x","")</f>
        <v/>
      </c>
      <c r="Y2378" s="75" t="str">
        <f>IF(AND(OR(N2378="131",O2378="131"),H2378='131-CT'!$H$9),"x","")</f>
        <v/>
      </c>
      <c r="Z2378" s="75"/>
      <c r="AA2378" s="75" t="str">
        <f>IF(AND(MONTH(E2378)='IN-NX'!$J$5,'IN-NX'!$D$7=D2378),"x","")</f>
        <v/>
      </c>
      <c r="AB2378" s="75" t="str">
        <f>IF(AND(OR(LEFT(TH!N2378,2)="15",LEFT(TH!O2378,2)="15"),LEFT(TH!O2378,3)&lt;&gt;"111",'152-CT'!$J$8=TH!F2378),"x","")</f>
        <v/>
      </c>
      <c r="AC2378" s="75" t="str">
        <f>IF(AND(OR(LEFT(TH!N2378,2)="15",LEFT(TH!O2378,2)="15"),TK!$E$7=TH!F2378),"x","")</f>
        <v/>
      </c>
      <c r="AD2378" s="75" t="str">
        <f>IF(AND(N2378="1521",MONTH(C2378)='BK-NL'!$M$11),"x","")</f>
        <v/>
      </c>
      <c r="AE2378" s="1053">
        <v>12</v>
      </c>
    </row>
    <row r="2379" spans="1:32" s="1053" customFormat="1" ht="16.5" customHeight="1">
      <c r="A2379" s="309" t="str">
        <f>IF(B2379&lt;&gt;"",IF(AND(B2379='IN-TC'!$S$4,OR(TH!N2379="1111",TH!O2379="1111")),TH!D2379,""),"")</f>
        <v/>
      </c>
      <c r="B2379" s="1159">
        <f t="shared" si="786"/>
        <v>12</v>
      </c>
      <c r="C2379" s="292">
        <v>43077</v>
      </c>
      <c r="D2379" s="292" t="s">
        <v>867</v>
      </c>
      <c r="E2379" s="292">
        <f>C2379</f>
        <v>43077</v>
      </c>
      <c r="F2379" s="294" t="s">
        <v>373</v>
      </c>
      <c r="G2379" s="925" t="s">
        <v>2766</v>
      </c>
      <c r="H2379" s="311" t="s">
        <v>558</v>
      </c>
      <c r="I2379" s="373">
        <v>320</v>
      </c>
      <c r="J2379" s="379">
        <v>11550</v>
      </c>
      <c r="K2379" s="373"/>
      <c r="L2379" s="379"/>
      <c r="M2379" s="927">
        <f>I2379*J2379</f>
        <v>3696000</v>
      </c>
      <c r="N2379" s="295" t="s">
        <v>266</v>
      </c>
      <c r="O2379" s="295" t="s">
        <v>8</v>
      </c>
      <c r="P2379" s="75" t="str">
        <f>IF(AND('331-CT'!$E$7=TH!H2379,OR(N2379="331",O2379="331")),"x","")</f>
        <v/>
      </c>
      <c r="Q2379" s="75" t="str">
        <f>IF(AND(B2379='111'!$L$11,OR($N2379=$Q$7,$O2379=$Q$7)),"x","")</f>
        <v/>
      </c>
      <c r="R2379" s="75" t="str">
        <f>IF(AND($N2379=$Q$7,$B2379&lt;'111'!$L$11),"x","")</f>
        <v/>
      </c>
      <c r="S2379" s="75" t="str">
        <f>IF(AND($O2379=$Q$7,$B2379&lt;'111'!$L$11),"x","")</f>
        <v/>
      </c>
      <c r="T2379" s="75" t="str">
        <f>IF(ISERROR(FIND('112'!$M$9,G2379,1)),"",IF((AND(FIND('112'!$M$9,G2379,1)&gt;=1,B2379='112'!$K$9,OR($N2379='112'!$I$6,$O2379='112'!$I$6))),"x",""))</f>
        <v/>
      </c>
      <c r="U2379" s="75" t="str">
        <f>IF(ISERROR(FIND('112'!$M$9,G2379,1)),"",IF((AND(LEFT(G2379,2)=LEFT('112'!$M$9,2),B2379&lt;'112'!$K$9,$N2379='112'!$I$6)),"x",""))</f>
        <v/>
      </c>
      <c r="V2379" s="75" t="str">
        <f>IF(ISERROR(FIND('112'!$M$9,G2379,1)),"",IF((AND(RIGHT(G2379,2)=RIGHT('112'!$M$9,2),B2379&lt;'112'!$K$9,$O2379='112'!$I$6)),"x",""))</f>
        <v/>
      </c>
      <c r="W2379" s="75" t="str">
        <f>IF(AND('341-CT'!$H$9=H2379,OR(LEFT(N2379,3)=$W$7,LEFT(O2379,3)=$W$7)),"x","")</f>
        <v/>
      </c>
      <c r="X2379" s="75" t="str">
        <f>IF(OR(TH!N2379=TH!$X$7,O2379=TH!$X$7),"x","")</f>
        <v/>
      </c>
      <c r="Y2379" s="75" t="str">
        <f>IF(AND(OR(N2379="131",O2379="131"),H2379='131-CT'!$H$9),"x","")</f>
        <v/>
      </c>
      <c r="Z2379" s="75"/>
      <c r="AA2379" s="75" t="str">
        <f>IF(AND(MONTH(E2379)='IN-NX'!$J$5,'IN-NX'!$D$7=D2379),"x","")</f>
        <v/>
      </c>
      <c r="AB2379" s="75" t="str">
        <f>IF(AND(OR(LEFT(TH!N2379,2)="15",LEFT(TH!O2379,2)="15"),LEFT(TH!O2379,3)&lt;&gt;"111",'152-CT'!$J$8=TH!F2379),"x","")</f>
        <v/>
      </c>
      <c r="AC2379" s="75" t="str">
        <f>IF(AND(OR(LEFT(TH!N2379,2)="15",LEFT(TH!O2379,2)="15"),TK!$E$7=TH!F2379),"x","")</f>
        <v/>
      </c>
      <c r="AD2379" s="75" t="str">
        <f>IF(AND(N2379="1521",MONTH(C2379)='BK-NL'!$M$11),"x","")</f>
        <v/>
      </c>
      <c r="AE2379" s="1053">
        <v>12</v>
      </c>
    </row>
    <row r="2380" spans="1:32" s="1053" customFormat="1" ht="16.5" customHeight="1">
      <c r="A2380" s="309" t="str">
        <f>IF(B2380&lt;&gt;"",IF(AND(B2380='IN-TC'!$S$4,OR(TH!N2380="1111",TH!O2380="1111")),TH!D2380,""),"")</f>
        <v/>
      </c>
      <c r="B2380" s="1159">
        <f t="shared" si="786"/>
        <v>12</v>
      </c>
      <c r="C2380" s="292">
        <v>43077</v>
      </c>
      <c r="D2380" s="292" t="s">
        <v>867</v>
      </c>
      <c r="E2380" s="292">
        <f>C2380</f>
        <v>43077</v>
      </c>
      <c r="F2380" s="432" t="s">
        <v>381</v>
      </c>
      <c r="G2380" s="925" t="s">
        <v>2766</v>
      </c>
      <c r="H2380" s="311" t="s">
        <v>558</v>
      </c>
      <c r="I2380" s="373">
        <v>605</v>
      </c>
      <c r="J2380" s="379">
        <v>21900</v>
      </c>
      <c r="K2380" s="373"/>
      <c r="L2380" s="379"/>
      <c r="M2380" s="927">
        <f>I2380*J2380</f>
        <v>13249500</v>
      </c>
      <c r="N2380" s="295" t="s">
        <v>266</v>
      </c>
      <c r="O2380" s="295" t="s">
        <v>8</v>
      </c>
      <c r="P2380" s="75" t="str">
        <f>IF(AND('331-CT'!$E$7=TH!H2380,OR(N2380="331",O2380="331")),"x","")</f>
        <v/>
      </c>
      <c r="Q2380" s="75" t="str">
        <f>IF(AND(B2380='111'!$L$11,OR($N2380=$Q$7,$O2380=$Q$7)),"x","")</f>
        <v/>
      </c>
      <c r="R2380" s="75" t="str">
        <f>IF(AND($N2380=$Q$7,$B2380&lt;'111'!$L$11),"x","")</f>
        <v/>
      </c>
      <c r="S2380" s="75" t="str">
        <f>IF(AND($O2380=$Q$7,$B2380&lt;'111'!$L$11),"x","")</f>
        <v/>
      </c>
      <c r="T2380" s="75" t="str">
        <f>IF(ISERROR(FIND('112'!$M$9,G2380,1)),"",IF((AND(FIND('112'!$M$9,G2380,1)&gt;=1,B2380='112'!$K$9,OR($N2380='112'!$I$6,$O2380='112'!$I$6))),"x",""))</f>
        <v/>
      </c>
      <c r="U2380" s="75" t="str">
        <f>IF(ISERROR(FIND('112'!$M$9,G2380,1)),"",IF((AND(LEFT(G2380,2)=LEFT('112'!$M$9,2),B2380&lt;'112'!$K$9,$N2380='112'!$I$6)),"x",""))</f>
        <v/>
      </c>
      <c r="V2380" s="75" t="str">
        <f>IF(ISERROR(FIND('112'!$M$9,G2380,1)),"",IF((AND(RIGHT(G2380,2)=RIGHT('112'!$M$9,2),B2380&lt;'112'!$K$9,$O2380='112'!$I$6)),"x",""))</f>
        <v/>
      </c>
      <c r="W2380" s="75" t="str">
        <f>IF(AND('341-CT'!$H$9=H2380,OR(LEFT(N2380,3)=$W$7,LEFT(O2380,3)=$W$7)),"x","")</f>
        <v/>
      </c>
      <c r="X2380" s="75" t="str">
        <f>IF(OR(TH!N2380=TH!$X$7,O2380=TH!$X$7),"x","")</f>
        <v/>
      </c>
      <c r="Y2380" s="75" t="str">
        <f>IF(AND(OR(N2380="131",O2380="131"),H2380='131-CT'!$H$9),"x","")</f>
        <v/>
      </c>
      <c r="Z2380" s="75"/>
      <c r="AA2380" s="75" t="str">
        <f>IF(AND(MONTH(E2380)='IN-NX'!$J$5,'IN-NX'!$D$7=D2380),"x","")</f>
        <v/>
      </c>
      <c r="AB2380" s="75" t="str">
        <f>IF(AND(OR(LEFT(TH!N2380,2)="15",LEFT(TH!O2380,2)="15"),LEFT(TH!O2380,3)&lt;&gt;"111",'152-CT'!$J$8=TH!F2380),"x","")</f>
        <v/>
      </c>
      <c r="AC2380" s="75" t="str">
        <f>IF(AND(OR(LEFT(TH!N2380,2)="15",LEFT(TH!O2380,2)="15"),TK!$E$7=TH!F2380),"x","")</f>
        <v/>
      </c>
      <c r="AD2380" s="75" t="str">
        <f>IF(AND(N2380="1521",MONTH(C2380)='BK-NL'!$M$11),"x","")</f>
        <v/>
      </c>
      <c r="AE2380" s="1053">
        <v>12</v>
      </c>
    </row>
    <row r="2381" spans="1:32" s="1053" customFormat="1" ht="16.5" customHeight="1">
      <c r="A2381" s="309" t="str">
        <f>IF(B2381&lt;&gt;"",IF(AND(B2381='IN-TC'!$S$4,OR(TH!N2381="1111",TH!O2381="1111")),TH!D2381,""),"")</f>
        <v/>
      </c>
      <c r="B2381" s="1159">
        <f t="shared" si="786"/>
        <v>12</v>
      </c>
      <c r="C2381" s="292">
        <v>43077</v>
      </c>
      <c r="D2381" s="292" t="s">
        <v>867</v>
      </c>
      <c r="E2381" s="292">
        <f t="shared" ref="E2381" si="789">C2381</f>
        <v>43077</v>
      </c>
      <c r="F2381" s="432" t="s">
        <v>371</v>
      </c>
      <c r="G2381" s="925" t="s">
        <v>2766</v>
      </c>
      <c r="H2381" s="311" t="s">
        <v>558</v>
      </c>
      <c r="I2381" s="373">
        <v>657</v>
      </c>
      <c r="J2381" s="379">
        <v>14200</v>
      </c>
      <c r="K2381" s="373"/>
      <c r="L2381" s="379"/>
      <c r="M2381" s="927">
        <f t="shared" ref="M2381" si="790">I2381*J2381</f>
        <v>9329400</v>
      </c>
      <c r="N2381" s="295" t="s">
        <v>266</v>
      </c>
      <c r="O2381" s="295" t="s">
        <v>8</v>
      </c>
      <c r="P2381" s="75" t="str">
        <f>IF(AND('331-CT'!$E$7=TH!H2381,OR(N2381="331",O2381="331")),"x","")</f>
        <v/>
      </c>
      <c r="Q2381" s="75" t="str">
        <f>IF(AND(B2381='111'!$L$11,OR($N2381=$Q$7,$O2381=$Q$7)),"x","")</f>
        <v/>
      </c>
      <c r="R2381" s="75" t="str">
        <f>IF(AND($N2381=$Q$7,$B2381&lt;'111'!$L$11),"x","")</f>
        <v/>
      </c>
      <c r="S2381" s="75" t="str">
        <f>IF(AND($O2381=$Q$7,$B2381&lt;'111'!$L$11),"x","")</f>
        <v/>
      </c>
      <c r="T2381" s="75" t="str">
        <f>IF(ISERROR(FIND('112'!$M$9,G2381,1)),"",IF((AND(FIND('112'!$M$9,G2381,1)&gt;=1,B2381='112'!$K$9,OR($N2381='112'!$I$6,$O2381='112'!$I$6))),"x",""))</f>
        <v/>
      </c>
      <c r="U2381" s="75" t="str">
        <f>IF(ISERROR(FIND('112'!$M$9,G2381,1)),"",IF((AND(LEFT(G2381,2)=LEFT('112'!$M$9,2),B2381&lt;'112'!$K$9,$N2381='112'!$I$6)),"x",""))</f>
        <v/>
      </c>
      <c r="V2381" s="75" t="str">
        <f>IF(ISERROR(FIND('112'!$M$9,G2381,1)),"",IF((AND(RIGHT(G2381,2)=RIGHT('112'!$M$9,2),B2381&lt;'112'!$K$9,$O2381='112'!$I$6)),"x",""))</f>
        <v/>
      </c>
      <c r="W2381" s="75" t="str">
        <f>IF(AND('341-CT'!$H$9=H2381,OR(LEFT(N2381,3)=$W$7,LEFT(O2381,3)=$W$7)),"x","")</f>
        <v/>
      </c>
      <c r="X2381" s="75" t="str">
        <f>IF(OR(TH!N2381=TH!$X$7,O2381=TH!$X$7),"x","")</f>
        <v/>
      </c>
      <c r="Y2381" s="75" t="str">
        <f>IF(AND(OR(N2381="131",O2381="131"),H2381='131-CT'!$H$9),"x","")</f>
        <v/>
      </c>
      <c r="Z2381" s="75"/>
      <c r="AA2381" s="75" t="str">
        <f>IF(AND(MONTH(E2381)='IN-NX'!$J$5,'IN-NX'!$D$7=D2381),"x","")</f>
        <v/>
      </c>
      <c r="AB2381" s="75" t="str">
        <f>IF(AND(OR(LEFT(TH!N2381,2)="15",LEFT(TH!O2381,2)="15"),LEFT(TH!O2381,3)&lt;&gt;"111",'152-CT'!$J$8=TH!F2381),"x","")</f>
        <v/>
      </c>
      <c r="AC2381" s="75" t="str">
        <f>IF(AND(OR(LEFT(TH!N2381,2)="15",LEFT(TH!O2381,2)="15"),TK!$E$7=TH!F2381),"x","")</f>
        <v/>
      </c>
      <c r="AD2381" s="75" t="str">
        <f>IF(AND(N2381="1521",MONTH(C2381)='BK-NL'!$M$11),"x","")</f>
        <v/>
      </c>
      <c r="AE2381" s="1053">
        <v>12</v>
      </c>
    </row>
    <row r="2382" spans="1:32" s="1053" customFormat="1" ht="16.5" customHeight="1">
      <c r="A2382" s="309" t="str">
        <f>IF(B2382&lt;&gt;"",IF(AND(B2382='IN-TC'!$S$4,OR(TH!N2382="1111",TH!O2382="1111")),TH!D2382,""),"")</f>
        <v/>
      </c>
      <c r="B2382" s="1159">
        <f t="shared" si="786"/>
        <v>12</v>
      </c>
      <c r="C2382" s="292">
        <v>43077</v>
      </c>
      <c r="D2382" s="292" t="s">
        <v>867</v>
      </c>
      <c r="E2382" s="292">
        <f>C2382</f>
        <v>43077</v>
      </c>
      <c r="F2382" s="294" t="s">
        <v>368</v>
      </c>
      <c r="G2382" s="925" t="s">
        <v>2766</v>
      </c>
      <c r="H2382" s="311" t="s">
        <v>558</v>
      </c>
      <c r="I2382" s="373">
        <v>377</v>
      </c>
      <c r="J2382" s="379">
        <v>19000</v>
      </c>
      <c r="K2382" s="373"/>
      <c r="L2382" s="379"/>
      <c r="M2382" s="927">
        <f>I2382*J2382</f>
        <v>7163000</v>
      </c>
      <c r="N2382" s="295" t="s">
        <v>266</v>
      </c>
      <c r="O2382" s="295" t="s">
        <v>8</v>
      </c>
      <c r="P2382" s="75" t="str">
        <f>IF(AND('331-CT'!$E$7=TH!H2382,OR(N2382="331",O2382="331")),"x","")</f>
        <v/>
      </c>
      <c r="Q2382" s="75" t="str">
        <f>IF(AND(B2382='111'!$L$11,OR($N2382=$Q$7,$O2382=$Q$7)),"x","")</f>
        <v/>
      </c>
      <c r="R2382" s="75" t="str">
        <f>IF(AND($N2382=$Q$7,$B2382&lt;'111'!$L$11),"x","")</f>
        <v/>
      </c>
      <c r="S2382" s="75" t="str">
        <f>IF(AND($O2382=$Q$7,$B2382&lt;'111'!$L$11),"x","")</f>
        <v/>
      </c>
      <c r="T2382" s="75" t="str">
        <f>IF(ISERROR(FIND('112'!$M$9,G2382,1)),"",IF((AND(FIND('112'!$M$9,G2382,1)&gt;=1,B2382='112'!$K$9,OR($N2382='112'!$I$6,$O2382='112'!$I$6))),"x",""))</f>
        <v/>
      </c>
      <c r="U2382" s="75" t="str">
        <f>IF(ISERROR(FIND('112'!$M$9,G2382,1)),"",IF((AND(LEFT(G2382,2)=LEFT('112'!$M$9,2),B2382&lt;'112'!$K$9,$N2382='112'!$I$6)),"x",""))</f>
        <v/>
      </c>
      <c r="V2382" s="75" t="str">
        <f>IF(ISERROR(FIND('112'!$M$9,G2382,1)),"",IF((AND(RIGHT(G2382,2)=RIGHT('112'!$M$9,2),B2382&lt;'112'!$K$9,$O2382='112'!$I$6)),"x",""))</f>
        <v/>
      </c>
      <c r="W2382" s="75" t="str">
        <f>IF(AND('341-CT'!$H$9=H2382,OR(LEFT(N2382,3)=$W$7,LEFT(O2382,3)=$W$7)),"x","")</f>
        <v/>
      </c>
      <c r="X2382" s="75" t="str">
        <f>IF(OR(TH!N2382=TH!$X$7,O2382=TH!$X$7),"x","")</f>
        <v/>
      </c>
      <c r="Y2382" s="75" t="str">
        <f>IF(AND(OR(N2382="131",O2382="131"),H2382='131-CT'!$H$9),"x","")</f>
        <v/>
      </c>
      <c r="Z2382" s="75"/>
      <c r="AA2382" s="75" t="str">
        <f>IF(AND(MONTH(E2382)='IN-NX'!$J$5,'IN-NX'!$D$7=D2382),"x","")</f>
        <v/>
      </c>
      <c r="AB2382" s="75" t="str">
        <f>IF(AND(OR(LEFT(TH!N2382,2)="15",LEFT(TH!O2382,2)="15"),LEFT(TH!O2382,3)&lt;&gt;"111",'152-CT'!$J$8=TH!F2382),"x","")</f>
        <v/>
      </c>
      <c r="AC2382" s="75" t="str">
        <f>IF(AND(OR(LEFT(TH!N2382,2)="15",LEFT(TH!O2382,2)="15"),TK!$E$7=TH!F2382),"x","")</f>
        <v/>
      </c>
      <c r="AD2382" s="75" t="str">
        <f>IF(AND(N2382="1521",MONTH(C2382)='BK-NL'!$M$11),"x","")</f>
        <v/>
      </c>
      <c r="AE2382" s="1053">
        <v>12</v>
      </c>
    </row>
    <row r="2383" spans="1:32" s="1053" customFormat="1" ht="16.5" customHeight="1">
      <c r="A2383" s="309" t="str">
        <f>IF(B2383&lt;&gt;"",IF(AND(B2383='IN-TC'!$S$4,OR(TH!N2383="1111",TH!O2383="1111")),TH!D2383,""),"")</f>
        <v/>
      </c>
      <c r="B2383" s="1159">
        <f t="shared" si="786"/>
        <v>12</v>
      </c>
      <c r="C2383" s="292">
        <v>43077</v>
      </c>
      <c r="D2383" s="292" t="s">
        <v>867</v>
      </c>
      <c r="E2383" s="292">
        <f t="shared" ref="E2383:E2384" si="791">C2383</f>
        <v>43077</v>
      </c>
      <c r="F2383" s="294" t="s">
        <v>745</v>
      </c>
      <c r="G2383" s="925" t="s">
        <v>2766</v>
      </c>
      <c r="H2383" s="311" t="s">
        <v>558</v>
      </c>
      <c r="I2383" s="373">
        <v>321</v>
      </c>
      <c r="J2383" s="379">
        <v>14700</v>
      </c>
      <c r="K2383" s="373"/>
      <c r="L2383" s="379"/>
      <c r="M2383" s="927">
        <f t="shared" ref="M2383" si="792">I2383*J2383</f>
        <v>4718700</v>
      </c>
      <c r="N2383" s="295" t="s">
        <v>266</v>
      </c>
      <c r="O2383" s="295" t="s">
        <v>8</v>
      </c>
      <c r="P2383" s="75" t="str">
        <f>IF(AND('331-CT'!$E$7=TH!H2383,OR(N2383="331",O2383="331")),"x","")</f>
        <v/>
      </c>
      <c r="Q2383" s="75" t="str">
        <f>IF(AND(B2383='111'!$L$11,OR($N2383=$Q$7,$O2383=$Q$7)),"x","")</f>
        <v/>
      </c>
      <c r="R2383" s="75" t="str">
        <f>IF(AND($N2383=$Q$7,$B2383&lt;'111'!$L$11),"x","")</f>
        <v/>
      </c>
      <c r="S2383" s="75" t="str">
        <f>IF(AND($O2383=$Q$7,$B2383&lt;'111'!$L$11),"x","")</f>
        <v/>
      </c>
      <c r="T2383" s="75" t="str">
        <f>IF(ISERROR(FIND('112'!$M$9,G2383,1)),"",IF((AND(FIND('112'!$M$9,G2383,1)&gt;=1,B2383='112'!$K$9,OR($N2383='112'!$I$6,$O2383='112'!$I$6))),"x",""))</f>
        <v/>
      </c>
      <c r="U2383" s="75" t="str">
        <f>IF(ISERROR(FIND('112'!$M$9,G2383,1)),"",IF((AND(LEFT(G2383,2)=LEFT('112'!$M$9,2),B2383&lt;'112'!$K$9,$N2383='112'!$I$6)),"x",""))</f>
        <v/>
      </c>
      <c r="V2383" s="75" t="str">
        <f>IF(ISERROR(FIND('112'!$M$9,G2383,1)),"",IF((AND(RIGHT(G2383,2)=RIGHT('112'!$M$9,2),B2383&lt;'112'!$K$9,$O2383='112'!$I$6)),"x",""))</f>
        <v/>
      </c>
      <c r="W2383" s="75" t="str">
        <f>IF(AND('341-CT'!$H$9=H2383,OR(LEFT(N2383,3)=$W$7,LEFT(O2383,3)=$W$7)),"x","")</f>
        <v/>
      </c>
      <c r="X2383" s="75" t="str">
        <f>IF(OR(TH!N2383=TH!$X$7,O2383=TH!$X$7),"x","")</f>
        <v/>
      </c>
      <c r="Y2383" s="75" t="str">
        <f>IF(AND(OR(N2383="131",O2383="131"),H2383='131-CT'!$H$9),"x","")</f>
        <v/>
      </c>
      <c r="Z2383" s="75"/>
      <c r="AA2383" s="75" t="str">
        <f>IF(AND(MONTH(E2383)='IN-NX'!$J$5,'IN-NX'!$D$7=D2383),"x","")</f>
        <v/>
      </c>
      <c r="AB2383" s="75" t="str">
        <f>IF(AND(OR(LEFT(TH!N2383,2)="15",LEFT(TH!O2383,2)="15"),LEFT(TH!O2383,3)&lt;&gt;"111",'152-CT'!$J$8=TH!F2383),"x","")</f>
        <v/>
      </c>
      <c r="AC2383" s="75" t="str">
        <f>IF(AND(OR(LEFT(TH!N2383,2)="15",LEFT(TH!O2383,2)="15"),TK!$E$7=TH!F2383),"x","")</f>
        <v/>
      </c>
      <c r="AD2383" s="75" t="str">
        <f>IF(AND(N2383="1521",MONTH(C2383)='BK-NL'!$M$11),"x","")</f>
        <v/>
      </c>
      <c r="AE2383" s="1053">
        <v>12</v>
      </c>
    </row>
    <row r="2384" spans="1:32" s="1053" customFormat="1" ht="16.5" customHeight="1">
      <c r="A2384" s="309" t="str">
        <f>IF(B2384&lt;&gt;"",IF(AND(B2384='IN-TC'!$S$4,OR(TH!N2384="1111",TH!O2384="1111")),TH!D2384,""),"")</f>
        <v/>
      </c>
      <c r="B2384" s="1159">
        <f t="shared" si="786"/>
        <v>12</v>
      </c>
      <c r="C2384" s="292">
        <v>43077</v>
      </c>
      <c r="D2384" s="292" t="s">
        <v>867</v>
      </c>
      <c r="E2384" s="292">
        <f t="shared" si="791"/>
        <v>43077</v>
      </c>
      <c r="F2384" s="432" t="s">
        <v>2343</v>
      </c>
      <c r="G2384" s="925" t="s">
        <v>2766</v>
      </c>
      <c r="H2384" s="311" t="s">
        <v>558</v>
      </c>
      <c r="I2384" s="373"/>
      <c r="J2384" s="379"/>
      <c r="K2384" s="373"/>
      <c r="L2384" s="379"/>
      <c r="M2384" s="927">
        <v>3815660</v>
      </c>
      <c r="N2384" s="295" t="s">
        <v>9</v>
      </c>
      <c r="O2384" s="295" t="s">
        <v>8</v>
      </c>
      <c r="P2384" s="75" t="str">
        <f>IF(AND('331-CT'!$E$7=TH!H2384,OR(N2384="331",O2384="331")),"x","")</f>
        <v/>
      </c>
      <c r="Q2384" s="75" t="str">
        <f>IF(AND(B2384='111'!$L$11,OR($N2384=$Q$7,$O2384=$Q$7)),"x","")</f>
        <v/>
      </c>
      <c r="R2384" s="75" t="str">
        <f>IF(AND($N2384=$Q$7,$B2384&lt;'111'!$L$11),"x","")</f>
        <v/>
      </c>
      <c r="S2384" s="75" t="str">
        <f>IF(AND($O2384=$Q$7,$B2384&lt;'111'!$L$11),"x","")</f>
        <v/>
      </c>
      <c r="T2384" s="75" t="str">
        <f>IF(ISERROR(FIND('112'!$M$9,G2384,1)),"",IF((AND(FIND('112'!$M$9,G2384,1)&gt;=1,B2384='112'!$K$9,OR($N2384='112'!$I$6,$O2384='112'!$I$6))),"x",""))</f>
        <v/>
      </c>
      <c r="U2384" s="75" t="str">
        <f>IF(ISERROR(FIND('112'!$M$9,G2384,1)),"",IF((AND(LEFT(G2384,2)=LEFT('112'!$M$9,2),B2384&lt;'112'!$K$9,$N2384='112'!$I$6)),"x",""))</f>
        <v/>
      </c>
      <c r="V2384" s="75" t="str">
        <f>IF(ISERROR(FIND('112'!$M$9,G2384,1)),"",IF((AND(RIGHT(G2384,2)=RIGHT('112'!$M$9,2),B2384&lt;'112'!$K$9,$O2384='112'!$I$6)),"x",""))</f>
        <v/>
      </c>
      <c r="W2384" s="75" t="str">
        <f>IF(AND('341-CT'!$H$9=H2384,OR(LEFT(N2384,3)=$W$7,LEFT(O2384,3)=$W$7)),"x","")</f>
        <v/>
      </c>
      <c r="X2384" s="75" t="str">
        <f>IF(OR(TH!N2384=TH!$X$7,O2384=TH!$X$7),"x","")</f>
        <v/>
      </c>
      <c r="Y2384" s="75" t="str">
        <f>IF(AND(OR(N2384="131",O2384="131"),H2384='131-CT'!$H$9),"x","")</f>
        <v/>
      </c>
      <c r="Z2384" s="75"/>
      <c r="AA2384" s="75" t="str">
        <f>IF(AND(MONTH(E2384)='IN-NX'!$J$5,'IN-NX'!$D$7=D2384),"x","")</f>
        <v/>
      </c>
      <c r="AB2384" s="75" t="str">
        <f>IF(AND(OR(LEFT(TH!N2384,2)="15",LEFT(TH!O2384,2)="15"),LEFT(TH!O2384,3)&lt;&gt;"111",'152-CT'!$J$8=TH!F2384),"x","")</f>
        <v/>
      </c>
      <c r="AC2384" s="75" t="str">
        <f>IF(AND(OR(LEFT(TH!N2384,2)="15",LEFT(TH!O2384,2)="15"),TK!$E$7=TH!F2384),"x","")</f>
        <v/>
      </c>
      <c r="AD2384" s="75" t="str">
        <f>IF(AND(N2384="1521",MONTH(C2384)='BK-NL'!$M$11),"x","")</f>
        <v/>
      </c>
      <c r="AE2384" s="1053">
        <v>12</v>
      </c>
    </row>
    <row r="2385" spans="1:31" s="1053" customFormat="1" ht="16.5" customHeight="1">
      <c r="A2385" s="309" t="str">
        <f>IF(B2385&lt;&gt;"",IF(AND(B2385='IN-TC'!$S$4,OR(TH!N2385="1111",TH!O2385="1111")),TH!D2385,""),"")</f>
        <v/>
      </c>
      <c r="B2385" s="1159">
        <f t="shared" ref="B2385:B2391" si="793">IF(C2385&lt;&gt;"",MONTH(C2385),"")</f>
        <v>12</v>
      </c>
      <c r="C2385" s="292">
        <v>43083</v>
      </c>
      <c r="D2385" s="292" t="s">
        <v>1352</v>
      </c>
      <c r="E2385" s="292">
        <f>C2385</f>
        <v>43083</v>
      </c>
      <c r="F2385" s="294" t="s">
        <v>368</v>
      </c>
      <c r="G2385" s="925" t="s">
        <v>2767</v>
      </c>
      <c r="H2385" s="311" t="s">
        <v>558</v>
      </c>
      <c r="I2385" s="373">
        <v>1250</v>
      </c>
      <c r="J2385" s="379">
        <v>19000</v>
      </c>
      <c r="K2385" s="373"/>
      <c r="L2385" s="379"/>
      <c r="M2385" s="927">
        <f>I2385*J2385</f>
        <v>23750000</v>
      </c>
      <c r="N2385" s="295" t="s">
        <v>266</v>
      </c>
      <c r="O2385" s="295" t="s">
        <v>8</v>
      </c>
      <c r="P2385" s="75" t="str">
        <f>IF(AND('331-CT'!$E$7=TH!H2385,OR(N2385="331",O2385="331")),"x","")</f>
        <v/>
      </c>
      <c r="Q2385" s="75" t="str">
        <f>IF(AND(B2385='111'!$L$11,OR($N2385=$Q$7,$O2385=$Q$7)),"x","")</f>
        <v/>
      </c>
      <c r="R2385" s="75" t="str">
        <f>IF(AND($N2385=$Q$7,$B2385&lt;'111'!$L$11),"x","")</f>
        <v/>
      </c>
      <c r="S2385" s="75" t="str">
        <f>IF(AND($O2385=$Q$7,$B2385&lt;'111'!$L$11),"x","")</f>
        <v/>
      </c>
      <c r="T2385" s="75" t="str">
        <f>IF(ISERROR(FIND('112'!$M$9,G2385,1)),"",IF((AND(FIND('112'!$M$9,G2385,1)&gt;=1,B2385='112'!$K$9,OR($N2385='112'!$I$6,$O2385='112'!$I$6))),"x",""))</f>
        <v/>
      </c>
      <c r="U2385" s="75" t="str">
        <f>IF(ISERROR(FIND('112'!$M$9,G2385,1)),"",IF((AND(LEFT(G2385,2)=LEFT('112'!$M$9,2),B2385&lt;'112'!$K$9,$N2385='112'!$I$6)),"x",""))</f>
        <v/>
      </c>
      <c r="V2385" s="75" t="str">
        <f>IF(ISERROR(FIND('112'!$M$9,G2385,1)),"",IF((AND(RIGHT(G2385,2)=RIGHT('112'!$M$9,2),B2385&lt;'112'!$K$9,$O2385='112'!$I$6)),"x",""))</f>
        <v/>
      </c>
      <c r="W2385" s="75" t="str">
        <f>IF(AND('341-CT'!$H$9=H2385,OR(LEFT(N2385,3)=$W$7,LEFT(O2385,3)=$W$7)),"x","")</f>
        <v/>
      </c>
      <c r="X2385" s="75" t="str">
        <f>IF(OR(TH!N2385=TH!$X$7,O2385=TH!$X$7),"x","")</f>
        <v/>
      </c>
      <c r="Y2385" s="75" t="str">
        <f>IF(AND(OR(N2385="131",O2385="131"),H2385='131-CT'!$H$9),"x","")</f>
        <v/>
      </c>
      <c r="Z2385" s="75"/>
      <c r="AA2385" s="75" t="str">
        <f>IF(AND(MONTH(E2385)='IN-NX'!$J$5,'IN-NX'!$D$7=D2385),"x","")</f>
        <v/>
      </c>
      <c r="AB2385" s="75" t="str">
        <f>IF(AND(OR(LEFT(TH!N2385,2)="15",LEFT(TH!O2385,2)="15"),LEFT(TH!O2385,3)&lt;&gt;"111",'152-CT'!$J$8=TH!F2385),"x","")</f>
        <v/>
      </c>
      <c r="AC2385" s="75" t="str">
        <f>IF(AND(OR(LEFT(TH!N2385,2)="15",LEFT(TH!O2385,2)="15"),TK!$E$7=TH!F2385),"x","")</f>
        <v/>
      </c>
      <c r="AD2385" s="75" t="str">
        <f>IF(AND(N2385="1521",MONTH(C2385)='BK-NL'!$M$11),"x","")</f>
        <v/>
      </c>
      <c r="AE2385" s="1053">
        <v>12</v>
      </c>
    </row>
    <row r="2386" spans="1:31" s="1053" customFormat="1" ht="16.5" customHeight="1">
      <c r="A2386" s="309" t="str">
        <f>IF(B2386&lt;&gt;"",IF(AND(B2386='IN-TC'!$S$4,OR(TH!N2386="1111",TH!O2386="1111")),TH!D2386,""),"")</f>
        <v/>
      </c>
      <c r="B2386" s="1159">
        <f t="shared" si="793"/>
        <v>12</v>
      </c>
      <c r="C2386" s="292">
        <v>43083</v>
      </c>
      <c r="D2386" s="292" t="s">
        <v>1352</v>
      </c>
      <c r="E2386" s="292">
        <f>C2386</f>
        <v>43083</v>
      </c>
      <c r="F2386" s="294" t="s">
        <v>2340</v>
      </c>
      <c r="G2386" s="925" t="s">
        <v>2767</v>
      </c>
      <c r="H2386" s="311" t="s">
        <v>558</v>
      </c>
      <c r="I2386" s="373">
        <v>133</v>
      </c>
      <c r="J2386" s="379">
        <v>16800</v>
      </c>
      <c r="K2386" s="373"/>
      <c r="L2386" s="379"/>
      <c r="M2386" s="927">
        <f>I2386*J2386</f>
        <v>2234400</v>
      </c>
      <c r="N2386" s="295" t="s">
        <v>266</v>
      </c>
      <c r="O2386" s="295" t="s">
        <v>8</v>
      </c>
      <c r="P2386" s="75" t="str">
        <f>IF(AND('331-CT'!$E$7=TH!H2386,OR(N2386="331",O2386="331")),"x","")</f>
        <v/>
      </c>
      <c r="Q2386" s="75" t="str">
        <f>IF(AND(B2386='111'!$L$11,OR($N2386=$Q$7,$O2386=$Q$7)),"x","")</f>
        <v/>
      </c>
      <c r="R2386" s="75" t="str">
        <f>IF(AND($N2386=$Q$7,$B2386&lt;'111'!$L$11),"x","")</f>
        <v/>
      </c>
      <c r="S2386" s="75" t="str">
        <f>IF(AND($O2386=$Q$7,$B2386&lt;'111'!$L$11),"x","")</f>
        <v/>
      </c>
      <c r="T2386" s="75" t="str">
        <f>IF(ISERROR(FIND('112'!$M$9,G2386,1)),"",IF((AND(FIND('112'!$M$9,G2386,1)&gt;=1,B2386='112'!$K$9,OR($N2386='112'!$I$6,$O2386='112'!$I$6))),"x",""))</f>
        <v/>
      </c>
      <c r="U2386" s="75" t="str">
        <f>IF(ISERROR(FIND('112'!$M$9,G2386,1)),"",IF((AND(LEFT(G2386,2)=LEFT('112'!$M$9,2),B2386&lt;'112'!$K$9,$N2386='112'!$I$6)),"x",""))</f>
        <v/>
      </c>
      <c r="V2386" s="75" t="str">
        <f>IF(ISERROR(FIND('112'!$M$9,G2386,1)),"",IF((AND(RIGHT(G2386,2)=RIGHT('112'!$M$9,2),B2386&lt;'112'!$K$9,$O2386='112'!$I$6)),"x",""))</f>
        <v/>
      </c>
      <c r="W2386" s="75" t="str">
        <f>IF(AND('341-CT'!$H$9=H2386,OR(LEFT(N2386,3)=$W$7,LEFT(O2386,3)=$W$7)),"x","")</f>
        <v/>
      </c>
      <c r="X2386" s="75" t="str">
        <f>IF(OR(TH!N2386=TH!$X$7,O2386=TH!$X$7),"x","")</f>
        <v/>
      </c>
      <c r="Y2386" s="75" t="str">
        <f>IF(AND(OR(N2386="131",O2386="131"),H2386='131-CT'!$H$9),"x","")</f>
        <v/>
      </c>
      <c r="Z2386" s="75"/>
      <c r="AA2386" s="75" t="str">
        <f>IF(AND(MONTH(E2386)='IN-NX'!$J$5,'IN-NX'!$D$7=D2386),"x","")</f>
        <v/>
      </c>
      <c r="AB2386" s="75" t="str">
        <f>IF(AND(OR(LEFT(TH!N2386,2)="15",LEFT(TH!O2386,2)="15"),LEFT(TH!O2386,3)&lt;&gt;"111",'152-CT'!$J$8=TH!F2386),"x","")</f>
        <v/>
      </c>
      <c r="AC2386" s="75" t="str">
        <f>IF(AND(OR(LEFT(TH!N2386,2)="15",LEFT(TH!O2386,2)="15"),TK!$E$7=TH!F2386),"x","")</f>
        <v/>
      </c>
      <c r="AD2386" s="75" t="str">
        <f>IF(AND(N2386="1521",MONTH(C2386)='BK-NL'!$M$11),"x","")</f>
        <v/>
      </c>
      <c r="AE2386" s="1053">
        <v>12</v>
      </c>
    </row>
    <row r="2387" spans="1:31" s="1053" customFormat="1" ht="16.5" customHeight="1">
      <c r="A2387" s="309" t="str">
        <f>IF(B2387&lt;&gt;"",IF(AND(B2387='IN-TC'!$S$4,OR(TH!N2387="1111",TH!O2387="1111")),TH!D2387,""),"")</f>
        <v/>
      </c>
      <c r="B2387" s="1159">
        <f t="shared" si="793"/>
        <v>12</v>
      </c>
      <c r="C2387" s="292">
        <v>43083</v>
      </c>
      <c r="D2387" s="292" t="s">
        <v>1352</v>
      </c>
      <c r="E2387" s="292">
        <f t="shared" ref="E2387" si="794">C2387</f>
        <v>43083</v>
      </c>
      <c r="F2387" s="294" t="s">
        <v>2768</v>
      </c>
      <c r="G2387" s="925" t="s">
        <v>2767</v>
      </c>
      <c r="H2387" s="311" t="s">
        <v>558</v>
      </c>
      <c r="I2387" s="373">
        <v>137</v>
      </c>
      <c r="J2387" s="379">
        <v>14200</v>
      </c>
      <c r="K2387" s="373"/>
      <c r="L2387" s="379"/>
      <c r="M2387" s="927">
        <f t="shared" ref="M2387" si="795">I2387*J2387</f>
        <v>1945400</v>
      </c>
      <c r="N2387" s="295" t="s">
        <v>266</v>
      </c>
      <c r="O2387" s="295" t="s">
        <v>8</v>
      </c>
      <c r="P2387" s="75" t="str">
        <f>IF(AND('331-CT'!$E$7=TH!H2387,OR(N2387="331",O2387="331")),"x","")</f>
        <v/>
      </c>
      <c r="Q2387" s="75" t="str">
        <f>IF(AND(B2387='111'!$L$11,OR($N2387=$Q$7,$O2387=$Q$7)),"x","")</f>
        <v/>
      </c>
      <c r="R2387" s="75" t="str">
        <f>IF(AND($N2387=$Q$7,$B2387&lt;'111'!$L$11),"x","")</f>
        <v/>
      </c>
      <c r="S2387" s="75" t="str">
        <f>IF(AND($O2387=$Q$7,$B2387&lt;'111'!$L$11),"x","")</f>
        <v/>
      </c>
      <c r="T2387" s="75" t="str">
        <f>IF(ISERROR(FIND('112'!$M$9,G2387,1)),"",IF((AND(FIND('112'!$M$9,G2387,1)&gt;=1,B2387='112'!$K$9,OR($N2387='112'!$I$6,$O2387='112'!$I$6))),"x",""))</f>
        <v/>
      </c>
      <c r="U2387" s="75" t="str">
        <f>IF(ISERROR(FIND('112'!$M$9,G2387,1)),"",IF((AND(LEFT(G2387,2)=LEFT('112'!$M$9,2),B2387&lt;'112'!$K$9,$N2387='112'!$I$6)),"x",""))</f>
        <v/>
      </c>
      <c r="V2387" s="75" t="str">
        <f>IF(ISERROR(FIND('112'!$M$9,G2387,1)),"",IF((AND(RIGHT(G2387,2)=RIGHT('112'!$M$9,2),B2387&lt;'112'!$K$9,$O2387='112'!$I$6)),"x",""))</f>
        <v/>
      </c>
      <c r="W2387" s="75" t="str">
        <f>IF(AND('341-CT'!$H$9=H2387,OR(LEFT(N2387,3)=$W$7,LEFT(O2387,3)=$W$7)),"x","")</f>
        <v/>
      </c>
      <c r="X2387" s="75" t="str">
        <f>IF(OR(TH!N2387=TH!$X$7,O2387=TH!$X$7),"x","")</f>
        <v/>
      </c>
      <c r="Y2387" s="75" t="str">
        <f>IF(AND(OR(N2387="131",O2387="131"),H2387='131-CT'!$H$9),"x","")</f>
        <v/>
      </c>
      <c r="Z2387" s="75"/>
      <c r="AA2387" s="75" t="str">
        <f>IF(AND(MONTH(E2387)='IN-NX'!$J$5,'IN-NX'!$D$7=D2387),"x","")</f>
        <v/>
      </c>
      <c r="AB2387" s="75" t="str">
        <f>IF(AND(OR(LEFT(TH!N2387,2)="15",LEFT(TH!O2387,2)="15"),LEFT(TH!O2387,3)&lt;&gt;"111",'152-CT'!$J$8=TH!F2387),"x","")</f>
        <v>x</v>
      </c>
      <c r="AC2387" s="75" t="str">
        <f>IF(AND(OR(LEFT(TH!N2387,2)="15",LEFT(TH!O2387,2)="15"),TK!$E$7=TH!F2387),"x","")</f>
        <v/>
      </c>
      <c r="AD2387" s="75" t="str">
        <f>IF(AND(N2387="1521",MONTH(C2387)='BK-NL'!$M$11),"x","")</f>
        <v/>
      </c>
      <c r="AE2387" s="1053">
        <v>12</v>
      </c>
    </row>
    <row r="2388" spans="1:31" s="1053" customFormat="1" ht="16.5" customHeight="1">
      <c r="A2388" s="309" t="str">
        <f>IF(B2388&lt;&gt;"",IF(AND(B2388='IN-TC'!$S$4,OR(TH!N2388="1111",TH!O2388="1111")),TH!D2388,""),"")</f>
        <v/>
      </c>
      <c r="B2388" s="1159">
        <f t="shared" si="793"/>
        <v>12</v>
      </c>
      <c r="C2388" s="292">
        <v>43083</v>
      </c>
      <c r="D2388" s="292" t="s">
        <v>1352</v>
      </c>
      <c r="E2388" s="292">
        <f>C2388</f>
        <v>43083</v>
      </c>
      <c r="F2388" s="294" t="s">
        <v>2173</v>
      </c>
      <c r="G2388" s="925" t="s">
        <v>2767</v>
      </c>
      <c r="H2388" s="311" t="s">
        <v>558</v>
      </c>
      <c r="I2388" s="373">
        <v>107280</v>
      </c>
      <c r="J2388" s="379">
        <v>200</v>
      </c>
      <c r="K2388" s="373"/>
      <c r="L2388" s="379"/>
      <c r="M2388" s="927">
        <f>I2388*J2388</f>
        <v>21456000</v>
      </c>
      <c r="N2388" s="295" t="s">
        <v>266</v>
      </c>
      <c r="O2388" s="295" t="s">
        <v>8</v>
      </c>
      <c r="P2388" s="75" t="str">
        <f>IF(AND('331-CT'!$E$7=TH!H2388,OR(N2388="331",O2388="331")),"x","")</f>
        <v/>
      </c>
      <c r="Q2388" s="75" t="str">
        <f>IF(AND(B2388='111'!$L$11,OR($N2388=$Q$7,$O2388=$Q$7)),"x","")</f>
        <v/>
      </c>
      <c r="R2388" s="75" t="str">
        <f>IF(AND($N2388=$Q$7,$B2388&lt;'111'!$L$11),"x","")</f>
        <v/>
      </c>
      <c r="S2388" s="75" t="str">
        <f>IF(AND($O2388=$Q$7,$B2388&lt;'111'!$L$11),"x","")</f>
        <v/>
      </c>
      <c r="T2388" s="75" t="str">
        <f>IF(ISERROR(FIND('112'!$M$9,G2388,1)),"",IF((AND(FIND('112'!$M$9,G2388,1)&gt;=1,B2388='112'!$K$9,OR($N2388='112'!$I$6,$O2388='112'!$I$6))),"x",""))</f>
        <v/>
      </c>
      <c r="U2388" s="75" t="str">
        <f>IF(ISERROR(FIND('112'!$M$9,G2388,1)),"",IF((AND(LEFT(G2388,2)=LEFT('112'!$M$9,2),B2388&lt;'112'!$K$9,$N2388='112'!$I$6)),"x",""))</f>
        <v/>
      </c>
      <c r="V2388" s="75" t="str">
        <f>IF(ISERROR(FIND('112'!$M$9,G2388,1)),"",IF((AND(RIGHT(G2388,2)=RIGHT('112'!$M$9,2),B2388&lt;'112'!$K$9,$O2388='112'!$I$6)),"x",""))</f>
        <v/>
      </c>
      <c r="W2388" s="75" t="str">
        <f>IF(AND('341-CT'!$H$9=H2388,OR(LEFT(N2388,3)=$W$7,LEFT(O2388,3)=$W$7)),"x","")</f>
        <v/>
      </c>
      <c r="X2388" s="75" t="str">
        <f>IF(OR(TH!N2388=TH!$X$7,O2388=TH!$X$7),"x","")</f>
        <v/>
      </c>
      <c r="Y2388" s="75" t="str">
        <f>IF(AND(OR(N2388="131",O2388="131"),H2388='131-CT'!$H$9),"x","")</f>
        <v/>
      </c>
      <c r="Z2388" s="75"/>
      <c r="AA2388" s="75" t="str">
        <f>IF(AND(MONTH(E2388)='IN-NX'!$J$5,'IN-NX'!$D$7=D2388),"x","")</f>
        <v/>
      </c>
      <c r="AB2388" s="75" t="str">
        <f>IF(AND(OR(LEFT(TH!N2388,2)="15",LEFT(TH!O2388,2)="15"),LEFT(TH!O2388,3)&lt;&gt;"111",'152-CT'!$J$8=TH!F2388),"x","")</f>
        <v/>
      </c>
      <c r="AC2388" s="75" t="str">
        <f>IF(AND(OR(LEFT(TH!N2388,2)="15",LEFT(TH!O2388,2)="15"),TK!$E$7=TH!F2388),"x","")</f>
        <v/>
      </c>
      <c r="AD2388" s="75" t="str">
        <f>IF(AND(N2388="1521",MONTH(C2388)='BK-NL'!$M$11),"x","")</f>
        <v/>
      </c>
      <c r="AE2388" s="1053">
        <v>12</v>
      </c>
    </row>
    <row r="2389" spans="1:31" s="1053" customFormat="1" ht="16.5" customHeight="1">
      <c r="A2389" s="309" t="str">
        <f>IF(B2389&lt;&gt;"",IF(AND(B2389='IN-TC'!$S$4,OR(TH!N2389="1111",TH!O2389="1111")),TH!D2389,""),"")</f>
        <v/>
      </c>
      <c r="B2389" s="1159">
        <f t="shared" si="793"/>
        <v>12</v>
      </c>
      <c r="C2389" s="292">
        <v>43083</v>
      </c>
      <c r="D2389" s="292" t="s">
        <v>1352</v>
      </c>
      <c r="E2389" s="292">
        <f t="shared" ref="E2389:E2391" si="796">C2389</f>
        <v>43083</v>
      </c>
      <c r="F2389" s="432" t="s">
        <v>2343</v>
      </c>
      <c r="G2389" s="925" t="s">
        <v>2767</v>
      </c>
      <c r="H2389" s="311" t="s">
        <v>558</v>
      </c>
      <c r="I2389" s="373"/>
      <c r="J2389" s="379"/>
      <c r="K2389" s="373"/>
      <c r="L2389" s="379"/>
      <c r="M2389" s="927">
        <v>4938580</v>
      </c>
      <c r="N2389" s="295" t="s">
        <v>9</v>
      </c>
      <c r="O2389" s="295" t="s">
        <v>8</v>
      </c>
      <c r="P2389" s="75" t="str">
        <f>IF(AND('331-CT'!$E$7=TH!H2389,OR(N2389="331",O2389="331")),"x","")</f>
        <v/>
      </c>
      <c r="Q2389" s="75" t="str">
        <f>IF(AND(B2389='111'!$L$11,OR($N2389=$Q$7,$O2389=$Q$7)),"x","")</f>
        <v/>
      </c>
      <c r="R2389" s="75" t="str">
        <f>IF(AND($N2389=$Q$7,$B2389&lt;'111'!$L$11),"x","")</f>
        <v/>
      </c>
      <c r="S2389" s="75" t="str">
        <f>IF(AND($O2389=$Q$7,$B2389&lt;'111'!$L$11),"x","")</f>
        <v/>
      </c>
      <c r="T2389" s="75" t="str">
        <f>IF(ISERROR(FIND('112'!$M$9,G2389,1)),"",IF((AND(FIND('112'!$M$9,G2389,1)&gt;=1,B2389='112'!$K$9,OR($N2389='112'!$I$6,$O2389='112'!$I$6))),"x",""))</f>
        <v/>
      </c>
      <c r="U2389" s="75" t="str">
        <f>IF(ISERROR(FIND('112'!$M$9,G2389,1)),"",IF((AND(LEFT(G2389,2)=LEFT('112'!$M$9,2),B2389&lt;'112'!$K$9,$N2389='112'!$I$6)),"x",""))</f>
        <v/>
      </c>
      <c r="V2389" s="75" t="str">
        <f>IF(ISERROR(FIND('112'!$M$9,G2389,1)),"",IF((AND(RIGHT(G2389,2)=RIGHT('112'!$M$9,2),B2389&lt;'112'!$K$9,$O2389='112'!$I$6)),"x",""))</f>
        <v/>
      </c>
      <c r="W2389" s="75" t="str">
        <f>IF(AND('341-CT'!$H$9=H2389,OR(LEFT(N2389,3)=$W$7,LEFT(O2389,3)=$W$7)),"x","")</f>
        <v/>
      </c>
      <c r="X2389" s="75" t="str">
        <f>IF(OR(TH!N2389=TH!$X$7,O2389=TH!$X$7),"x","")</f>
        <v/>
      </c>
      <c r="Y2389" s="75" t="str">
        <f>IF(AND(OR(N2389="131",O2389="131"),H2389='131-CT'!$H$9),"x","")</f>
        <v/>
      </c>
      <c r="Z2389" s="75"/>
      <c r="AA2389" s="75" t="str">
        <f>IF(AND(MONTH(E2389)='IN-NX'!$J$5,'IN-NX'!$D$7=D2389),"x","")</f>
        <v/>
      </c>
      <c r="AB2389" s="75" t="str">
        <f>IF(AND(OR(LEFT(TH!N2389,2)="15",LEFT(TH!O2389,2)="15"),LEFT(TH!O2389,3)&lt;&gt;"111",'152-CT'!$J$8=TH!F2389),"x","")</f>
        <v/>
      </c>
      <c r="AC2389" s="75" t="str">
        <f>IF(AND(OR(LEFT(TH!N2389,2)="15",LEFT(TH!O2389,2)="15"),TK!$E$7=TH!F2389),"x","")</f>
        <v/>
      </c>
      <c r="AD2389" s="75" t="str">
        <f>IF(AND(N2389="1521",MONTH(C2389)='BK-NL'!$M$11),"x","")</f>
        <v/>
      </c>
      <c r="AE2389" s="1053">
        <v>12</v>
      </c>
    </row>
    <row r="2390" spans="1:31" s="1053" customFormat="1" ht="16.5" customHeight="1">
      <c r="A2390" s="309" t="str">
        <f>IF(B2390&lt;&gt;"",IF(AND(B2390='IN-TC'!$S$4,OR(TH!N2390="1111",TH!O2390="1111")),TH!D2390,""),"")</f>
        <v/>
      </c>
      <c r="B2390" s="1159">
        <f t="shared" si="793"/>
        <v>12</v>
      </c>
      <c r="C2390" s="292">
        <v>43096</v>
      </c>
      <c r="D2390" s="292" t="s">
        <v>1353</v>
      </c>
      <c r="E2390" s="292">
        <f t="shared" si="796"/>
        <v>43096</v>
      </c>
      <c r="F2390" s="67" t="s">
        <v>336</v>
      </c>
      <c r="G2390" s="925" t="s">
        <v>2835</v>
      </c>
      <c r="H2390" s="311" t="s">
        <v>2657</v>
      </c>
      <c r="I2390" s="373">
        <v>1000</v>
      </c>
      <c r="J2390" s="379">
        <v>13523.808999999999</v>
      </c>
      <c r="K2390" s="373"/>
      <c r="L2390" s="379"/>
      <c r="M2390" s="927">
        <f>ROUND(I2390*J2390,0)</f>
        <v>13523809</v>
      </c>
      <c r="N2390" s="295" t="s">
        <v>266</v>
      </c>
      <c r="O2390" s="295" t="s">
        <v>8</v>
      </c>
      <c r="P2390" s="75" t="str">
        <f>IF(AND('331-CT'!$E$7=TH!H2390,OR(N2390="331",O2390="331")),"x","")</f>
        <v/>
      </c>
      <c r="Q2390" s="75" t="str">
        <f>IF(AND(B2390='111'!$L$11,OR($N2390=$Q$7,$O2390=$Q$7)),"x","")</f>
        <v/>
      </c>
      <c r="R2390" s="75" t="str">
        <f>IF(AND($N2390=$Q$7,$B2390&lt;'111'!$L$11),"x","")</f>
        <v/>
      </c>
      <c r="S2390" s="75" t="str">
        <f>IF(AND($O2390=$Q$7,$B2390&lt;'111'!$L$11),"x","")</f>
        <v/>
      </c>
      <c r="T2390" s="75" t="str">
        <f>IF(ISERROR(FIND('112'!$M$9,G2390,1)),"",IF((AND(FIND('112'!$M$9,G2390,1)&gt;=1,B2390='112'!$K$9,OR($N2390='112'!$I$6,$O2390='112'!$I$6))),"x",""))</f>
        <v/>
      </c>
      <c r="U2390" s="75" t="str">
        <f>IF(ISERROR(FIND('112'!$M$9,G2390,1)),"",IF((AND(LEFT(G2390,2)=LEFT('112'!$M$9,2),B2390&lt;'112'!$K$9,$N2390='112'!$I$6)),"x",""))</f>
        <v/>
      </c>
      <c r="V2390" s="75" t="str">
        <f>IF(ISERROR(FIND('112'!$M$9,G2390,1)),"",IF((AND(RIGHT(G2390,2)=RIGHT('112'!$M$9,2),B2390&lt;'112'!$K$9,$O2390='112'!$I$6)),"x",""))</f>
        <v/>
      </c>
      <c r="W2390" s="75" t="str">
        <f>IF(AND('341-CT'!$H$9=H2390,OR(LEFT(N2390,3)=$W$7,LEFT(O2390,3)=$W$7)),"x","")</f>
        <v/>
      </c>
      <c r="X2390" s="75" t="str">
        <f>IF(OR(TH!N2390=TH!$X$7,O2390=TH!$X$7),"x","")</f>
        <v/>
      </c>
      <c r="Y2390" s="75" t="str">
        <f>IF(AND(OR(N2390="131",O2390="131"),H2390='131-CT'!$H$9),"x","")</f>
        <v/>
      </c>
      <c r="Z2390" s="75"/>
      <c r="AA2390" s="75" t="str">
        <f>IF(AND(MONTH(E2390)='IN-NX'!$J$5,'IN-NX'!$D$7=D2390),"x","")</f>
        <v/>
      </c>
      <c r="AB2390" s="75" t="str">
        <f>IF(AND(OR(LEFT(TH!N2390,2)="15",LEFT(TH!O2390,2)="15"),LEFT(TH!O2390,3)&lt;&gt;"111",'152-CT'!$J$8=TH!F2390),"x","")</f>
        <v/>
      </c>
      <c r="AC2390" s="75" t="str">
        <f>IF(AND(OR(LEFT(TH!N2390,2)="15",LEFT(TH!O2390,2)="15"),TK!$E$7=TH!F2390),"x","")</f>
        <v>x</v>
      </c>
      <c r="AD2390" s="75" t="str">
        <f>IF(AND(N2390="1521",MONTH(C2390)='BK-NL'!$M$11),"x","")</f>
        <v/>
      </c>
      <c r="AE2390" s="1053">
        <v>12</v>
      </c>
    </row>
    <row r="2391" spans="1:31" s="1053" customFormat="1" ht="16.5" customHeight="1">
      <c r="A2391" s="309" t="str">
        <f>IF(B2391&lt;&gt;"",IF(AND(B2391='IN-TC'!$S$4,OR(TH!N2391="1111",TH!O2391="1111")),TH!D2391,""),"")</f>
        <v/>
      </c>
      <c r="B2391" s="1159">
        <f t="shared" si="793"/>
        <v>12</v>
      </c>
      <c r="C2391" s="292">
        <v>43096</v>
      </c>
      <c r="D2391" s="292" t="s">
        <v>1353</v>
      </c>
      <c r="E2391" s="292">
        <f t="shared" si="796"/>
        <v>43096</v>
      </c>
      <c r="F2391" s="67" t="s">
        <v>2131</v>
      </c>
      <c r="G2391" s="925" t="s">
        <v>2835</v>
      </c>
      <c r="H2391" s="311" t="s">
        <v>2657</v>
      </c>
      <c r="I2391" s="373"/>
      <c r="J2391" s="379"/>
      <c r="K2391" s="373"/>
      <c r="L2391" s="379"/>
      <c r="M2391" s="927">
        <v>676191</v>
      </c>
      <c r="N2391" s="295" t="s">
        <v>9</v>
      </c>
      <c r="O2391" s="295" t="s">
        <v>8</v>
      </c>
      <c r="P2391" s="75" t="str">
        <f>IF(AND('331-CT'!$E$7=TH!H2391,OR(N2391="331",O2391="331")),"x","")</f>
        <v/>
      </c>
      <c r="Q2391" s="75" t="str">
        <f>IF(AND(B2391='111'!$L$11,OR($N2391=$Q$7,$O2391=$Q$7)),"x","")</f>
        <v/>
      </c>
      <c r="R2391" s="75" t="str">
        <f>IF(AND($N2391=$Q$7,$B2391&lt;'111'!$L$11),"x","")</f>
        <v/>
      </c>
      <c r="S2391" s="75" t="str">
        <f>IF(AND($O2391=$Q$7,$B2391&lt;'111'!$L$11),"x","")</f>
        <v/>
      </c>
      <c r="T2391" s="75" t="str">
        <f>IF(ISERROR(FIND('112'!$M$9,G2391,1)),"",IF((AND(FIND('112'!$M$9,G2391,1)&gt;=1,B2391='112'!$K$9,OR($N2391='112'!$I$6,$O2391='112'!$I$6))),"x",""))</f>
        <v/>
      </c>
      <c r="U2391" s="75" t="str">
        <f>IF(ISERROR(FIND('112'!$M$9,G2391,1)),"",IF((AND(LEFT(G2391,2)=LEFT('112'!$M$9,2),B2391&lt;'112'!$K$9,$N2391='112'!$I$6)),"x",""))</f>
        <v/>
      </c>
      <c r="V2391" s="75" t="str">
        <f>IF(ISERROR(FIND('112'!$M$9,G2391,1)),"",IF((AND(RIGHT(G2391,2)=RIGHT('112'!$M$9,2),B2391&lt;'112'!$K$9,$O2391='112'!$I$6)),"x",""))</f>
        <v/>
      </c>
      <c r="W2391" s="75" t="str">
        <f>IF(AND('341-CT'!$H$9=H2391,OR(LEFT(N2391,3)=$W$7,LEFT(O2391,3)=$W$7)),"x","")</f>
        <v/>
      </c>
      <c r="X2391" s="75" t="str">
        <f>IF(OR(TH!N2391=TH!$X$7,O2391=TH!$X$7),"x","")</f>
        <v/>
      </c>
      <c r="Y2391" s="75" t="str">
        <f>IF(AND(OR(N2391="131",O2391="131"),H2391='131-CT'!$H$9),"x","")</f>
        <v/>
      </c>
      <c r="Z2391" s="75"/>
      <c r="AA2391" s="75" t="str">
        <f>IF(AND(MONTH(E2391)='IN-NX'!$J$5,'IN-NX'!$D$7=D2391),"x","")</f>
        <v/>
      </c>
      <c r="AB2391" s="75" t="str">
        <f>IF(AND(OR(LEFT(TH!N2391,2)="15",LEFT(TH!O2391,2)="15"),LEFT(TH!O2391,3)&lt;&gt;"111",'152-CT'!$J$8=TH!F2391),"x","")</f>
        <v/>
      </c>
      <c r="AC2391" s="75" t="str">
        <f>IF(AND(OR(LEFT(TH!N2391,2)="15",LEFT(TH!O2391,2)="15"),TK!$E$7=TH!F2391),"x","")</f>
        <v/>
      </c>
      <c r="AD2391" s="75" t="str">
        <f>IF(AND(N2391="1521",MONTH(C2391)='BK-NL'!$M$11),"x","")</f>
        <v/>
      </c>
      <c r="AE2391" s="1053">
        <v>12</v>
      </c>
    </row>
    <row r="2392" spans="1:31" s="1053" customFormat="1" ht="16.5" customHeight="1">
      <c r="A2392" s="309" t="str">
        <f>IF(B2392&lt;&gt;"",IF(AND(B2392='IN-TC'!$S$4,OR(TH!N2392="1111",TH!O2392="1111")),TH!D2392,""),"")</f>
        <v/>
      </c>
      <c r="B2392" s="1159">
        <f t="shared" ref="B2392:B2393" si="797">IF(C2392&lt;&gt;"",MONTH(C2392),"")</f>
        <v>12</v>
      </c>
      <c r="C2392" s="292">
        <v>43097</v>
      </c>
      <c r="D2392" s="292" t="s">
        <v>1354</v>
      </c>
      <c r="E2392" s="292">
        <f t="shared" ref="E2392:E2393" si="798">C2392</f>
        <v>43097</v>
      </c>
      <c r="F2392" s="67" t="s">
        <v>327</v>
      </c>
      <c r="G2392" s="925" t="s">
        <v>2836</v>
      </c>
      <c r="H2392" s="311" t="s">
        <v>2657</v>
      </c>
      <c r="I2392" s="373">
        <v>500</v>
      </c>
      <c r="J2392" s="379">
        <v>34181.817999999999</v>
      </c>
      <c r="K2392" s="373"/>
      <c r="L2392" s="379"/>
      <c r="M2392" s="927">
        <f>ROUND(I2392*J2392,0)</f>
        <v>17090909</v>
      </c>
      <c r="N2392" s="295" t="s">
        <v>266</v>
      </c>
      <c r="O2392" s="295" t="s">
        <v>8</v>
      </c>
      <c r="P2392" s="75" t="str">
        <f>IF(AND('331-CT'!$E$7=TH!H2392,OR(N2392="331",O2392="331")),"x","")</f>
        <v/>
      </c>
      <c r="Q2392" s="75" t="str">
        <f>IF(AND(B2392='111'!$L$11,OR($N2392=$Q$7,$O2392=$Q$7)),"x","")</f>
        <v/>
      </c>
      <c r="R2392" s="75" t="str">
        <f>IF(AND($N2392=$Q$7,$B2392&lt;'111'!$L$11),"x","")</f>
        <v/>
      </c>
      <c r="S2392" s="75" t="str">
        <f>IF(AND($O2392=$Q$7,$B2392&lt;'111'!$L$11),"x","")</f>
        <v/>
      </c>
      <c r="T2392" s="75" t="str">
        <f>IF(ISERROR(FIND('112'!$M$9,G2392,1)),"",IF((AND(FIND('112'!$M$9,G2392,1)&gt;=1,B2392='112'!$K$9,OR($N2392='112'!$I$6,$O2392='112'!$I$6))),"x",""))</f>
        <v/>
      </c>
      <c r="U2392" s="75" t="str">
        <f>IF(ISERROR(FIND('112'!$M$9,G2392,1)),"",IF((AND(LEFT(G2392,2)=LEFT('112'!$M$9,2),B2392&lt;'112'!$K$9,$N2392='112'!$I$6)),"x",""))</f>
        <v/>
      </c>
      <c r="V2392" s="75" t="str">
        <f>IF(ISERROR(FIND('112'!$M$9,G2392,1)),"",IF((AND(RIGHT(G2392,2)=RIGHT('112'!$M$9,2),B2392&lt;'112'!$K$9,$O2392='112'!$I$6)),"x",""))</f>
        <v/>
      </c>
      <c r="W2392" s="75" t="str">
        <f>IF(AND('341-CT'!$H$9=H2392,OR(LEFT(N2392,3)=$W$7,LEFT(O2392,3)=$W$7)),"x","")</f>
        <v/>
      </c>
      <c r="X2392" s="75" t="str">
        <f>IF(OR(TH!N2392=TH!$X$7,O2392=TH!$X$7),"x","")</f>
        <v/>
      </c>
      <c r="Y2392" s="75" t="str">
        <f>IF(AND(OR(N2392="131",O2392="131"),H2392='131-CT'!$H$9),"x","")</f>
        <v/>
      </c>
      <c r="Z2392" s="75"/>
      <c r="AA2392" s="75" t="str">
        <f>IF(AND(MONTH(E2392)='IN-NX'!$J$5,'IN-NX'!$D$7=D2392),"x","")</f>
        <v/>
      </c>
      <c r="AB2392" s="75" t="str">
        <f>IF(AND(OR(LEFT(TH!N2392,2)="15",LEFT(TH!O2392,2)="15"),LEFT(TH!O2392,3)&lt;&gt;"111",'152-CT'!$J$8=TH!F2392),"x","")</f>
        <v/>
      </c>
      <c r="AC2392" s="75" t="str">
        <f>IF(AND(OR(LEFT(TH!N2392,2)="15",LEFT(TH!O2392,2)="15"),TK!$E$7=TH!F2392),"x","")</f>
        <v/>
      </c>
      <c r="AD2392" s="75" t="str">
        <f>IF(AND(N2392="1521",MONTH(C2392)='BK-NL'!$M$11),"x","")</f>
        <v/>
      </c>
      <c r="AE2392" s="1053">
        <v>12</v>
      </c>
    </row>
    <row r="2393" spans="1:31" s="1053" customFormat="1" ht="16.5" customHeight="1">
      <c r="A2393" s="309" t="str">
        <f>IF(B2393&lt;&gt;"",IF(AND(B2393='IN-TC'!$S$4,OR(TH!N2393="1111",TH!O2393="1111")),TH!D2393,""),"")</f>
        <v/>
      </c>
      <c r="B2393" s="1159">
        <f t="shared" si="797"/>
        <v>12</v>
      </c>
      <c r="C2393" s="292">
        <v>43097</v>
      </c>
      <c r="D2393" s="292" t="s">
        <v>1354</v>
      </c>
      <c r="E2393" s="292">
        <f t="shared" si="798"/>
        <v>43097</v>
      </c>
      <c r="F2393" s="67" t="s">
        <v>2136</v>
      </c>
      <c r="G2393" s="925" t="s">
        <v>2836</v>
      </c>
      <c r="H2393" s="311" t="s">
        <v>2657</v>
      </c>
      <c r="I2393" s="373"/>
      <c r="J2393" s="379"/>
      <c r="K2393" s="373"/>
      <c r="L2393" s="379"/>
      <c r="M2393" s="927">
        <v>1709091</v>
      </c>
      <c r="N2393" s="295" t="s">
        <v>9</v>
      </c>
      <c r="O2393" s="295" t="s">
        <v>8</v>
      </c>
      <c r="P2393" s="75" t="str">
        <f>IF(AND('331-CT'!$E$7=TH!H2393,OR(N2393="331",O2393="331")),"x","")</f>
        <v/>
      </c>
      <c r="Q2393" s="75" t="str">
        <f>IF(AND(B2393='111'!$L$11,OR($N2393=$Q$7,$O2393=$Q$7)),"x","")</f>
        <v/>
      </c>
      <c r="R2393" s="75" t="str">
        <f>IF(AND($N2393=$Q$7,$B2393&lt;'111'!$L$11),"x","")</f>
        <v/>
      </c>
      <c r="S2393" s="75" t="str">
        <f>IF(AND($O2393=$Q$7,$B2393&lt;'111'!$L$11),"x","")</f>
        <v/>
      </c>
      <c r="T2393" s="75" t="str">
        <f>IF(ISERROR(FIND('112'!$M$9,G2393,1)),"",IF((AND(FIND('112'!$M$9,G2393,1)&gt;=1,B2393='112'!$K$9,OR($N2393='112'!$I$6,$O2393='112'!$I$6))),"x",""))</f>
        <v/>
      </c>
      <c r="U2393" s="75" t="str">
        <f>IF(ISERROR(FIND('112'!$M$9,G2393,1)),"",IF((AND(LEFT(G2393,2)=LEFT('112'!$M$9,2),B2393&lt;'112'!$K$9,$N2393='112'!$I$6)),"x",""))</f>
        <v/>
      </c>
      <c r="V2393" s="75" t="str">
        <f>IF(ISERROR(FIND('112'!$M$9,G2393,1)),"",IF((AND(RIGHT(G2393,2)=RIGHT('112'!$M$9,2),B2393&lt;'112'!$K$9,$O2393='112'!$I$6)),"x",""))</f>
        <v/>
      </c>
      <c r="W2393" s="75" t="str">
        <f>IF(AND('341-CT'!$H$9=H2393,OR(LEFT(N2393,3)=$W$7,LEFT(O2393,3)=$W$7)),"x","")</f>
        <v/>
      </c>
      <c r="X2393" s="75" t="str">
        <f>IF(OR(TH!N2393=TH!$X$7,O2393=TH!$X$7),"x","")</f>
        <v/>
      </c>
      <c r="Y2393" s="75" t="str">
        <f>IF(AND(OR(N2393="131",O2393="131"),H2393='131-CT'!$H$9),"x","")</f>
        <v/>
      </c>
      <c r="Z2393" s="75"/>
      <c r="AA2393" s="75" t="str">
        <f>IF(AND(MONTH(E2393)='IN-NX'!$J$5,'IN-NX'!$D$7=D2393),"x","")</f>
        <v/>
      </c>
      <c r="AB2393" s="75" t="str">
        <f>IF(AND(OR(LEFT(TH!N2393,2)="15",LEFT(TH!O2393,2)="15"),LEFT(TH!O2393,3)&lt;&gt;"111",'152-CT'!$J$8=TH!F2393),"x","")</f>
        <v/>
      </c>
      <c r="AC2393" s="75" t="str">
        <f>IF(AND(OR(LEFT(TH!N2393,2)="15",LEFT(TH!O2393,2)="15"),TK!$E$7=TH!F2393),"x","")</f>
        <v/>
      </c>
      <c r="AD2393" s="75" t="str">
        <f>IF(AND(N2393="1521",MONTH(C2393)='BK-NL'!$M$11),"x","")</f>
        <v/>
      </c>
      <c r="AE2393" s="1053">
        <v>12</v>
      </c>
    </row>
    <row r="2394" spans="1:31" s="1053" customFormat="1" ht="16.5" customHeight="1">
      <c r="A2394" s="309" t="str">
        <f>IF(B2394&lt;&gt;"",IF(AND(B2394='IN-TC'!$S$4,OR(TH!N2394="1111",TH!O2394="1111")),TH!D2394,""),"")</f>
        <v/>
      </c>
      <c r="B2394" s="1159">
        <f t="shared" ref="B2394:B2480" si="799">IF(C2394&lt;&gt;"",MONTH(C2394),"")</f>
        <v>12</v>
      </c>
      <c r="C2394" s="292">
        <v>43098</v>
      </c>
      <c r="D2394" s="292" t="s">
        <v>1355</v>
      </c>
      <c r="E2394" s="292">
        <f t="shared" ref="E2394:E2397" si="800">C2394</f>
        <v>43098</v>
      </c>
      <c r="F2394" s="67" t="s">
        <v>804</v>
      </c>
      <c r="G2394" s="925" t="s">
        <v>2837</v>
      </c>
      <c r="H2394" s="311" t="s">
        <v>2657</v>
      </c>
      <c r="I2394" s="373">
        <v>100</v>
      </c>
      <c r="J2394" s="379">
        <v>51000</v>
      </c>
      <c r="K2394" s="373"/>
      <c r="L2394" s="379"/>
      <c r="M2394" s="927">
        <f>ROUND(I2394*J2394,0)</f>
        <v>5100000</v>
      </c>
      <c r="N2394" s="295" t="s">
        <v>266</v>
      </c>
      <c r="O2394" s="295" t="s">
        <v>8</v>
      </c>
      <c r="P2394" s="75" t="str">
        <f>IF(AND('331-CT'!$E$7=TH!H2394,OR(N2394="331",O2394="331")),"x","")</f>
        <v/>
      </c>
      <c r="Q2394" s="75" t="str">
        <f>IF(AND(B2394='111'!$L$11,OR($N2394=$Q$7,$O2394=$Q$7)),"x","")</f>
        <v/>
      </c>
      <c r="R2394" s="75" t="str">
        <f>IF(AND($N2394=$Q$7,$B2394&lt;'111'!$L$11),"x","")</f>
        <v/>
      </c>
      <c r="S2394" s="75" t="str">
        <f>IF(AND($O2394=$Q$7,$B2394&lt;'111'!$L$11),"x","")</f>
        <v/>
      </c>
      <c r="T2394" s="75" t="str">
        <f>IF(ISERROR(FIND('112'!$M$9,G2394,1)),"",IF((AND(FIND('112'!$M$9,G2394,1)&gt;=1,B2394='112'!$K$9,OR($N2394='112'!$I$6,$O2394='112'!$I$6))),"x",""))</f>
        <v/>
      </c>
      <c r="U2394" s="75" t="str">
        <f>IF(ISERROR(FIND('112'!$M$9,G2394,1)),"",IF((AND(LEFT(G2394,2)=LEFT('112'!$M$9,2),B2394&lt;'112'!$K$9,$N2394='112'!$I$6)),"x",""))</f>
        <v/>
      </c>
      <c r="V2394" s="75" t="str">
        <f>IF(ISERROR(FIND('112'!$M$9,G2394,1)),"",IF((AND(RIGHT(G2394,2)=RIGHT('112'!$M$9,2),B2394&lt;'112'!$K$9,$O2394='112'!$I$6)),"x",""))</f>
        <v/>
      </c>
      <c r="W2394" s="75" t="str">
        <f>IF(AND('341-CT'!$H$9=H2394,OR(LEFT(N2394,3)=$W$7,LEFT(O2394,3)=$W$7)),"x","")</f>
        <v/>
      </c>
      <c r="X2394" s="75" t="str">
        <f>IF(OR(TH!N2394=TH!$X$7,O2394=TH!$X$7),"x","")</f>
        <v/>
      </c>
      <c r="Y2394" s="75" t="str">
        <f>IF(AND(OR(N2394="131",O2394="131"),H2394='131-CT'!$H$9),"x","")</f>
        <v/>
      </c>
      <c r="Z2394" s="75"/>
      <c r="AA2394" s="75" t="str">
        <f>IF(AND(MONTH(E2394)='IN-NX'!$J$5,'IN-NX'!$D$7=D2394),"x","")</f>
        <v/>
      </c>
      <c r="AB2394" s="75" t="str">
        <f>IF(AND(OR(LEFT(TH!N2394,2)="15",LEFT(TH!O2394,2)="15"),LEFT(TH!O2394,3)&lt;&gt;"111",'152-CT'!$J$8=TH!F2394),"x","")</f>
        <v/>
      </c>
      <c r="AC2394" s="75" t="str">
        <f>IF(AND(OR(LEFT(TH!N2394,2)="15",LEFT(TH!O2394,2)="15"),TK!$E$7=TH!F2394),"x","")</f>
        <v/>
      </c>
      <c r="AD2394" s="75" t="str">
        <f>IF(AND(N2394="1521",MONTH(C2394)='BK-NL'!$M$11),"x","")</f>
        <v/>
      </c>
    </row>
    <row r="2395" spans="1:31" s="1053" customFormat="1" ht="16.5" customHeight="1">
      <c r="A2395" s="309" t="str">
        <f>IF(B2395&lt;&gt;"",IF(AND(B2395='IN-TC'!$S$4,OR(TH!N2395="1111",TH!O2395="1111")),TH!D2395,""),"")</f>
        <v/>
      </c>
      <c r="B2395" s="1159">
        <f t="shared" ref="B2395:B2396" si="801">IF(C2395&lt;&gt;"",MONTH(C2395),"")</f>
        <v>12</v>
      </c>
      <c r="C2395" s="292">
        <v>43098</v>
      </c>
      <c r="D2395" s="292" t="s">
        <v>1356</v>
      </c>
      <c r="E2395" s="292">
        <f t="shared" si="800"/>
        <v>43098</v>
      </c>
      <c r="F2395" s="432" t="s">
        <v>1257</v>
      </c>
      <c r="G2395" s="925" t="s">
        <v>2878</v>
      </c>
      <c r="H2395" s="68" t="s">
        <v>560</v>
      </c>
      <c r="I2395" s="373">
        <v>6750</v>
      </c>
      <c r="J2395" s="379">
        <v>14728</v>
      </c>
      <c r="K2395" s="373"/>
      <c r="L2395" s="379"/>
      <c r="M2395" s="927">
        <f>I2395*J2395</f>
        <v>99414000</v>
      </c>
      <c r="N2395" s="295" t="s">
        <v>266</v>
      </c>
      <c r="O2395" s="295" t="s">
        <v>8</v>
      </c>
      <c r="P2395" s="75" t="str">
        <f>IF(AND('331-CT'!$E$7=TH!H2395,OR(N2395="331",O2395="331")),"x","")</f>
        <v/>
      </c>
      <c r="Q2395" s="75" t="str">
        <f>IF(AND(B2395='111'!$L$11,OR($N2395=$Q$7,$O2395=$Q$7)),"x","")</f>
        <v/>
      </c>
      <c r="R2395" s="75" t="str">
        <f>IF(AND($N2395=$Q$7,$B2395&lt;'111'!$L$11),"x","")</f>
        <v/>
      </c>
      <c r="S2395" s="75" t="str">
        <f>IF(AND($O2395=$Q$7,$B2395&lt;'111'!$L$11),"x","")</f>
        <v/>
      </c>
      <c r="T2395" s="75" t="str">
        <f>IF(ISERROR(FIND('112'!$M$9,G2395,1)),"",IF((AND(FIND('112'!$M$9,G2395,1)&gt;=1,B2395='112'!$K$9,OR($N2395='112'!$I$6,$O2395='112'!$I$6))),"x",""))</f>
        <v/>
      </c>
      <c r="U2395" s="75" t="str">
        <f>IF(ISERROR(FIND('112'!$M$9,G2395,1)),"",IF((AND(LEFT(G2395,2)=LEFT('112'!$M$9,2),B2395&lt;'112'!$K$9,$N2395='112'!$I$6)),"x",""))</f>
        <v/>
      </c>
      <c r="V2395" s="75" t="str">
        <f>IF(ISERROR(FIND('112'!$M$9,G2395,1)),"",IF((AND(RIGHT(G2395,2)=RIGHT('112'!$M$9,2),B2395&lt;'112'!$K$9,$O2395='112'!$I$6)),"x",""))</f>
        <v/>
      </c>
      <c r="W2395" s="75" t="str">
        <f>IF(AND('341-CT'!$H$9=H2395,OR(LEFT(N2395,3)=$W$7,LEFT(O2395,3)=$W$7)),"x","")</f>
        <v/>
      </c>
      <c r="X2395" s="75" t="str">
        <f>IF(OR(TH!N2395=TH!$X$7,O2395=TH!$X$7),"x","")</f>
        <v/>
      </c>
      <c r="Y2395" s="75" t="str">
        <f>IF(AND(OR(N2395="131",O2395="131"),H2395='131-CT'!$H$9),"x","")</f>
        <v/>
      </c>
      <c r="Z2395" s="75"/>
      <c r="AA2395" s="75" t="str">
        <f>IF(AND(MONTH(E2395)='IN-NX'!$J$5,'IN-NX'!$D$7=D2395),"x","")</f>
        <v/>
      </c>
      <c r="AB2395" s="75" t="str">
        <f>IF(AND(OR(LEFT(TH!N2395,2)="15",LEFT(TH!O2395,2)="15"),LEFT(TH!O2395,3)&lt;&gt;"111",'152-CT'!$J$8=TH!F2395),"x","")</f>
        <v/>
      </c>
      <c r="AC2395" s="75" t="str">
        <f>IF(AND(OR(LEFT(TH!N2395,2)="15",LEFT(TH!O2395,2)="15"),TK!$E$7=TH!F2395),"x","")</f>
        <v/>
      </c>
      <c r="AD2395" s="75" t="str">
        <f>IF(AND(N2395="1521",MONTH(C2395)='BK-NL'!$M$11),"x","")</f>
        <v/>
      </c>
      <c r="AE2395" s="1053">
        <v>12</v>
      </c>
    </row>
    <row r="2396" spans="1:31" s="1053" customFormat="1" ht="16.5" customHeight="1">
      <c r="A2396" s="309" t="str">
        <f>IF(B2396&lt;&gt;"",IF(AND(B2396='IN-TC'!$S$4,OR(TH!N2396="1111",TH!O2396="1111")),TH!D2396,""),"")</f>
        <v/>
      </c>
      <c r="B2396" s="1159">
        <f t="shared" si="801"/>
        <v>12</v>
      </c>
      <c r="C2396" s="292">
        <v>43098</v>
      </c>
      <c r="D2396" s="292" t="s">
        <v>1356</v>
      </c>
      <c r="E2396" s="292">
        <f t="shared" si="800"/>
        <v>43098</v>
      </c>
      <c r="F2396" s="432" t="s">
        <v>1444</v>
      </c>
      <c r="G2396" s="925" t="s">
        <v>2878</v>
      </c>
      <c r="H2396" s="68" t="s">
        <v>560</v>
      </c>
      <c r="I2396" s="373"/>
      <c r="J2396" s="379"/>
      <c r="K2396" s="373"/>
      <c r="L2396" s="379"/>
      <c r="M2396" s="927">
        <v>9941400</v>
      </c>
      <c r="N2396" s="295" t="s">
        <v>9</v>
      </c>
      <c r="O2396" s="295" t="s">
        <v>8</v>
      </c>
      <c r="P2396" s="75" t="str">
        <f>IF(AND('331-CT'!$E$7=TH!H2396,OR(N2396="331",O2396="331")),"x","")</f>
        <v/>
      </c>
      <c r="Q2396" s="75" t="str">
        <f>IF(AND(B2396='111'!$L$11,OR($N2396=$Q$7,$O2396=$Q$7)),"x","")</f>
        <v/>
      </c>
      <c r="R2396" s="75" t="str">
        <f>IF(AND($N2396=$Q$7,$B2396&lt;'111'!$L$11),"x","")</f>
        <v/>
      </c>
      <c r="S2396" s="75" t="str">
        <f>IF(AND($O2396=$Q$7,$B2396&lt;'111'!$L$11),"x","")</f>
        <v/>
      </c>
      <c r="T2396" s="75" t="str">
        <f>IF(ISERROR(FIND('112'!$M$9,G2396,1)),"",IF((AND(FIND('112'!$M$9,G2396,1)&gt;=1,B2396='112'!$K$9,OR($N2396='112'!$I$6,$O2396='112'!$I$6))),"x",""))</f>
        <v/>
      </c>
      <c r="U2396" s="75" t="str">
        <f>IF(ISERROR(FIND('112'!$M$9,G2396,1)),"",IF((AND(LEFT(G2396,2)=LEFT('112'!$M$9,2),B2396&lt;'112'!$K$9,$N2396='112'!$I$6)),"x",""))</f>
        <v/>
      </c>
      <c r="V2396" s="75" t="str">
        <f>IF(ISERROR(FIND('112'!$M$9,G2396,1)),"",IF((AND(RIGHT(G2396,2)=RIGHT('112'!$M$9,2),B2396&lt;'112'!$K$9,$O2396='112'!$I$6)),"x",""))</f>
        <v/>
      </c>
      <c r="W2396" s="75" t="str">
        <f>IF(AND('341-CT'!$H$9=H2396,OR(LEFT(N2396,3)=$W$7,LEFT(O2396,3)=$W$7)),"x","")</f>
        <v/>
      </c>
      <c r="X2396" s="75" t="str">
        <f>IF(OR(TH!N2396=TH!$X$7,O2396=TH!$X$7),"x","")</f>
        <v/>
      </c>
      <c r="Y2396" s="75" t="str">
        <f>IF(AND(OR(N2396="131",O2396="131"),H2396='131-CT'!$H$9),"x","")</f>
        <v/>
      </c>
      <c r="Z2396" s="75"/>
      <c r="AA2396" s="75" t="str">
        <f>IF(AND(MONTH(E2396)='IN-NX'!$J$5,'IN-NX'!$D$7=D2396),"x","")</f>
        <v/>
      </c>
      <c r="AB2396" s="75" t="str">
        <f>IF(AND(OR(LEFT(TH!N2396,2)="15",LEFT(TH!O2396,2)="15"),LEFT(TH!O2396,3)&lt;&gt;"111",'152-CT'!$J$8=TH!F2396),"x","")</f>
        <v/>
      </c>
      <c r="AC2396" s="75" t="str">
        <f>IF(AND(OR(LEFT(TH!N2396,2)="15",LEFT(TH!O2396,2)="15"),TK!$E$7=TH!F2396),"x","")</f>
        <v/>
      </c>
      <c r="AD2396" s="75" t="str">
        <f>IF(AND(N2396="1521",MONTH(C2396)='BK-NL'!$M$11),"x","")</f>
        <v/>
      </c>
      <c r="AE2396" s="1053">
        <v>12</v>
      </c>
    </row>
    <row r="2397" spans="1:31" s="1053" customFormat="1" ht="16.5" customHeight="1">
      <c r="A2397" s="309" t="str">
        <f>IF(B2397&lt;&gt;"",IF(AND(B2397='IN-TC'!$S$4,OR(TH!N2397="1111",TH!O2397="1111")),TH!D2397,""),"")</f>
        <v/>
      </c>
      <c r="B2397" s="1159">
        <f t="shared" si="799"/>
        <v>12</v>
      </c>
      <c r="C2397" s="292">
        <v>43099</v>
      </c>
      <c r="D2397" s="292" t="s">
        <v>1357</v>
      </c>
      <c r="E2397" s="292">
        <f t="shared" si="800"/>
        <v>43099</v>
      </c>
      <c r="F2397" s="294" t="s">
        <v>375</v>
      </c>
      <c r="G2397" s="925" t="s">
        <v>2846</v>
      </c>
      <c r="H2397" s="311" t="s">
        <v>558</v>
      </c>
      <c r="I2397" s="373">
        <v>1020</v>
      </c>
      <c r="J2397" s="379">
        <v>21300</v>
      </c>
      <c r="K2397" s="373"/>
      <c r="L2397" s="379"/>
      <c r="M2397" s="927">
        <f t="shared" ref="M2397" si="802">I2397*J2397</f>
        <v>21726000</v>
      </c>
      <c r="N2397" s="295" t="s">
        <v>266</v>
      </c>
      <c r="O2397" s="295" t="s">
        <v>8</v>
      </c>
      <c r="P2397" s="75" t="str">
        <f>IF(AND('331-CT'!$E$7=TH!H2397,OR(N2397="331",O2397="331")),"x","")</f>
        <v/>
      </c>
      <c r="Q2397" s="75" t="str">
        <f>IF(AND(B2397='111'!$L$11,OR($N2397=$Q$7,$O2397=$Q$7)),"x","")</f>
        <v/>
      </c>
      <c r="R2397" s="75" t="str">
        <f>IF(AND($N2397=$Q$7,$B2397&lt;'111'!$L$11),"x","")</f>
        <v/>
      </c>
      <c r="S2397" s="75" t="str">
        <f>IF(AND($O2397=$Q$7,$B2397&lt;'111'!$L$11),"x","")</f>
        <v/>
      </c>
      <c r="T2397" s="75" t="str">
        <f>IF(ISERROR(FIND('112'!$M$9,G2397,1)),"",IF((AND(FIND('112'!$M$9,G2397,1)&gt;=1,B2397='112'!$K$9,OR($N2397='112'!$I$6,$O2397='112'!$I$6))),"x",""))</f>
        <v/>
      </c>
      <c r="U2397" s="75" t="str">
        <f>IF(ISERROR(FIND('112'!$M$9,G2397,1)),"",IF((AND(LEFT(G2397,2)=LEFT('112'!$M$9,2),B2397&lt;'112'!$K$9,$N2397='112'!$I$6)),"x",""))</f>
        <v/>
      </c>
      <c r="V2397" s="75" t="str">
        <f>IF(ISERROR(FIND('112'!$M$9,G2397,1)),"",IF((AND(RIGHT(G2397,2)=RIGHT('112'!$M$9,2),B2397&lt;'112'!$K$9,$O2397='112'!$I$6)),"x",""))</f>
        <v/>
      </c>
      <c r="W2397" s="75" t="str">
        <f>IF(AND('341-CT'!$H$9=H2397,OR(LEFT(N2397,3)=$W$7,LEFT(O2397,3)=$W$7)),"x","")</f>
        <v/>
      </c>
      <c r="X2397" s="75" t="str">
        <f>IF(OR(TH!N2397=TH!$X$7,O2397=TH!$X$7),"x","")</f>
        <v/>
      </c>
      <c r="Y2397" s="75" t="str">
        <f>IF(AND(OR(N2397="131",O2397="131"),H2397='131-CT'!$H$9),"x","")</f>
        <v/>
      </c>
      <c r="Z2397" s="75"/>
      <c r="AA2397" s="75" t="str">
        <f>IF(AND(MONTH(E2397)='IN-NX'!$J$5,'IN-NX'!$D$7=D2397),"x","")</f>
        <v/>
      </c>
      <c r="AB2397" s="75" t="str">
        <f>IF(AND(OR(LEFT(TH!N2397,2)="15",LEFT(TH!O2397,2)="15"),LEFT(TH!O2397,3)&lt;&gt;"111",'152-CT'!$J$8=TH!F2397),"x","")</f>
        <v/>
      </c>
      <c r="AC2397" s="75" t="str">
        <f>IF(AND(OR(LEFT(TH!N2397,2)="15",LEFT(TH!O2397,2)="15"),TK!$E$7=TH!F2397),"x","")</f>
        <v/>
      </c>
      <c r="AD2397" s="75" t="str">
        <f>IF(AND(N2397="1521",MONTH(C2397)='BK-NL'!$M$11),"x","")</f>
        <v/>
      </c>
      <c r="AE2397" s="1053">
        <v>12</v>
      </c>
    </row>
    <row r="2398" spans="1:31" s="1053" customFormat="1" ht="16.5" customHeight="1">
      <c r="A2398" s="309" t="str">
        <f>IF(B2398&lt;&gt;"",IF(AND(B2398='IN-TC'!$S$4,OR(TH!N2398="1111",TH!O2398="1111")),TH!D2398,""),"")</f>
        <v/>
      </c>
      <c r="B2398" s="1159">
        <f t="shared" si="799"/>
        <v>12</v>
      </c>
      <c r="C2398" s="292">
        <v>43099</v>
      </c>
      <c r="D2398" s="292" t="s">
        <v>1357</v>
      </c>
      <c r="E2398" s="292">
        <f>C2398</f>
        <v>43099</v>
      </c>
      <c r="F2398" s="294" t="s">
        <v>830</v>
      </c>
      <c r="G2398" s="925" t="s">
        <v>2846</v>
      </c>
      <c r="H2398" s="311" t="s">
        <v>558</v>
      </c>
      <c r="I2398" s="373">
        <v>1000</v>
      </c>
      <c r="J2398" s="379">
        <v>2900</v>
      </c>
      <c r="K2398" s="373"/>
      <c r="L2398" s="379"/>
      <c r="M2398" s="927">
        <f>I2398*J2398</f>
        <v>2900000</v>
      </c>
      <c r="N2398" s="295" t="s">
        <v>266</v>
      </c>
      <c r="O2398" s="295" t="s">
        <v>8</v>
      </c>
      <c r="P2398" s="75" t="str">
        <f>IF(AND('331-CT'!$E$7=TH!H2398,OR(N2398="331",O2398="331")),"x","")</f>
        <v/>
      </c>
      <c r="Q2398" s="75" t="str">
        <f>IF(AND(B2398='111'!$L$11,OR($N2398=$Q$7,$O2398=$Q$7)),"x","")</f>
        <v/>
      </c>
      <c r="R2398" s="75" t="str">
        <f>IF(AND($N2398=$Q$7,$B2398&lt;'111'!$L$11),"x","")</f>
        <v/>
      </c>
      <c r="S2398" s="75" t="str">
        <f>IF(AND($O2398=$Q$7,$B2398&lt;'111'!$L$11),"x","")</f>
        <v/>
      </c>
      <c r="T2398" s="75" t="str">
        <f>IF(ISERROR(FIND('112'!$M$9,G2398,1)),"",IF((AND(FIND('112'!$M$9,G2398,1)&gt;=1,B2398='112'!$K$9,OR($N2398='112'!$I$6,$O2398='112'!$I$6))),"x",""))</f>
        <v/>
      </c>
      <c r="U2398" s="75" t="str">
        <f>IF(ISERROR(FIND('112'!$M$9,G2398,1)),"",IF((AND(LEFT(G2398,2)=LEFT('112'!$M$9,2),B2398&lt;'112'!$K$9,$N2398='112'!$I$6)),"x",""))</f>
        <v/>
      </c>
      <c r="V2398" s="75" t="str">
        <f>IF(ISERROR(FIND('112'!$M$9,G2398,1)),"",IF((AND(RIGHT(G2398,2)=RIGHT('112'!$M$9,2),B2398&lt;'112'!$K$9,$O2398='112'!$I$6)),"x",""))</f>
        <v/>
      </c>
      <c r="W2398" s="75" t="str">
        <f>IF(AND('341-CT'!$H$9=H2398,OR(LEFT(N2398,3)=$W$7,LEFT(O2398,3)=$W$7)),"x","")</f>
        <v/>
      </c>
      <c r="X2398" s="75" t="str">
        <f>IF(OR(TH!N2398=TH!$X$7,O2398=TH!$X$7),"x","")</f>
        <v/>
      </c>
      <c r="Y2398" s="75" t="str">
        <f>IF(AND(OR(N2398="131",O2398="131"),H2398='131-CT'!$H$9),"x","")</f>
        <v/>
      </c>
      <c r="Z2398" s="75"/>
      <c r="AA2398" s="75" t="str">
        <f>IF(AND(MONTH(E2398)='IN-NX'!$J$5,'IN-NX'!$D$7=D2398),"x","")</f>
        <v/>
      </c>
      <c r="AB2398" s="75" t="str">
        <f>IF(AND(OR(LEFT(TH!N2398,2)="15",LEFT(TH!O2398,2)="15"),LEFT(TH!O2398,3)&lt;&gt;"111",'152-CT'!$J$8=TH!F2398),"x","")</f>
        <v/>
      </c>
      <c r="AC2398" s="75" t="str">
        <f>IF(AND(OR(LEFT(TH!N2398,2)="15",LEFT(TH!O2398,2)="15"),TK!$E$7=TH!F2398),"x","")</f>
        <v/>
      </c>
      <c r="AD2398" s="75" t="str">
        <f>IF(AND(N2398="1521",MONTH(C2398)='BK-NL'!$M$11),"x","")</f>
        <v/>
      </c>
      <c r="AE2398" s="1053">
        <v>12</v>
      </c>
    </row>
    <row r="2399" spans="1:31" s="1053" customFormat="1" ht="16.5" customHeight="1">
      <c r="A2399" s="309" t="str">
        <f>IF(B2399&lt;&gt;"",IF(AND(B2399='IN-TC'!$S$4,OR(TH!N2399="1111",TH!O2399="1111")),TH!D2399,""),"")</f>
        <v/>
      </c>
      <c r="B2399" s="1159">
        <f t="shared" si="799"/>
        <v>12</v>
      </c>
      <c r="C2399" s="292">
        <v>43099</v>
      </c>
      <c r="D2399" s="292" t="s">
        <v>1357</v>
      </c>
      <c r="E2399" s="292">
        <f t="shared" ref="E2399" si="803">C2399</f>
        <v>43099</v>
      </c>
      <c r="F2399" s="432" t="s">
        <v>2343</v>
      </c>
      <c r="G2399" s="925" t="s">
        <v>2846</v>
      </c>
      <c r="H2399" s="311" t="s">
        <v>558</v>
      </c>
      <c r="I2399" s="373"/>
      <c r="J2399" s="379"/>
      <c r="K2399" s="373"/>
      <c r="L2399" s="379"/>
      <c r="M2399" s="927">
        <v>2462600</v>
      </c>
      <c r="N2399" s="295" t="s">
        <v>9</v>
      </c>
      <c r="O2399" s="295" t="s">
        <v>8</v>
      </c>
      <c r="P2399" s="75" t="str">
        <f>IF(AND('331-CT'!$E$7=TH!H2399,OR(N2399="331",O2399="331")),"x","")</f>
        <v/>
      </c>
      <c r="Q2399" s="75" t="str">
        <f>IF(AND(B2399='111'!$L$11,OR($N2399=$Q$7,$O2399=$Q$7)),"x","")</f>
        <v/>
      </c>
      <c r="R2399" s="75" t="str">
        <f>IF(AND($N2399=$Q$7,$B2399&lt;'111'!$L$11),"x","")</f>
        <v/>
      </c>
      <c r="S2399" s="75" t="str">
        <f>IF(AND($O2399=$Q$7,$B2399&lt;'111'!$L$11),"x","")</f>
        <v/>
      </c>
      <c r="T2399" s="75" t="str">
        <f>IF(ISERROR(FIND('112'!$M$9,G2399,1)),"",IF((AND(FIND('112'!$M$9,G2399,1)&gt;=1,B2399='112'!$K$9,OR($N2399='112'!$I$6,$O2399='112'!$I$6))),"x",""))</f>
        <v/>
      </c>
      <c r="U2399" s="75" t="str">
        <f>IF(ISERROR(FIND('112'!$M$9,G2399,1)),"",IF((AND(LEFT(G2399,2)=LEFT('112'!$M$9,2),B2399&lt;'112'!$K$9,$N2399='112'!$I$6)),"x",""))</f>
        <v/>
      </c>
      <c r="V2399" s="75" t="str">
        <f>IF(ISERROR(FIND('112'!$M$9,G2399,1)),"",IF((AND(RIGHT(G2399,2)=RIGHT('112'!$M$9,2),B2399&lt;'112'!$K$9,$O2399='112'!$I$6)),"x",""))</f>
        <v/>
      </c>
      <c r="W2399" s="75" t="str">
        <f>IF(AND('341-CT'!$H$9=H2399,OR(LEFT(N2399,3)=$W$7,LEFT(O2399,3)=$W$7)),"x","")</f>
        <v/>
      </c>
      <c r="X2399" s="75" t="str">
        <f>IF(OR(TH!N2399=TH!$X$7,O2399=TH!$X$7),"x","")</f>
        <v/>
      </c>
      <c r="Y2399" s="75" t="str">
        <f>IF(AND(OR(N2399="131",O2399="131"),H2399='131-CT'!$H$9),"x","")</f>
        <v/>
      </c>
      <c r="Z2399" s="75"/>
      <c r="AA2399" s="75" t="str">
        <f>IF(AND(MONTH(E2399)='IN-NX'!$J$5,'IN-NX'!$D$7=D2399),"x","")</f>
        <v/>
      </c>
      <c r="AB2399" s="75" t="str">
        <f>IF(AND(OR(LEFT(TH!N2399,2)="15",LEFT(TH!O2399,2)="15"),LEFT(TH!O2399,3)&lt;&gt;"111",'152-CT'!$J$8=TH!F2399),"x","")</f>
        <v/>
      </c>
      <c r="AC2399" s="75" t="str">
        <f>IF(AND(OR(LEFT(TH!N2399,2)="15",LEFT(TH!O2399,2)="15"),TK!$E$7=TH!F2399),"x","")</f>
        <v/>
      </c>
      <c r="AD2399" s="75" t="str">
        <f>IF(AND(N2399="1521",MONTH(C2399)='BK-NL'!$M$11),"x","")</f>
        <v/>
      </c>
      <c r="AE2399" s="1053">
        <v>12</v>
      </c>
    </row>
    <row r="2400" spans="1:31" ht="16.5" customHeight="1">
      <c r="A2400" s="309" t="str">
        <f>IF(B2400&lt;&gt;"",IF(AND(B2400='IN-TC'!$S$4,OR(TH!N2400="1111",TH!O2400="1111")),TH!D2400,""),"")</f>
        <v/>
      </c>
      <c r="B2400" s="1159">
        <f t="shared" si="799"/>
        <v>12</v>
      </c>
      <c r="C2400" s="929">
        <f t="shared" ref="C2400:C2414" si="804">E2400</f>
        <v>43070</v>
      </c>
      <c r="D2400" s="929" t="s">
        <v>2951</v>
      </c>
      <c r="E2400" s="929">
        <v>43070</v>
      </c>
      <c r="F2400" s="1082" t="s">
        <v>327</v>
      </c>
      <c r="G2400" s="931"/>
      <c r="H2400" s="735" t="s">
        <v>424</v>
      </c>
      <c r="I2400" s="371">
        <v>150</v>
      </c>
      <c r="J2400" s="377">
        <v>32200</v>
      </c>
      <c r="K2400" s="371"/>
      <c r="L2400" s="377"/>
      <c r="M2400" s="933">
        <f t="shared" ref="M2400:M2414" si="805">ROUND(I2400*J2400,0)</f>
        <v>4830000</v>
      </c>
      <c r="N2400" s="934" t="s">
        <v>272</v>
      </c>
      <c r="O2400" s="934" t="s">
        <v>266</v>
      </c>
      <c r="P2400" s="75" t="str">
        <f>IF(AND('331-CT'!$E$7=TH!H2400,OR(N2400="331",O2400="331")),"x","")</f>
        <v/>
      </c>
      <c r="Q2400" s="75" t="str">
        <f>IF(AND(B2400='111'!$L$11,OR($N2400=$Q$7,$O2400=$Q$7)),"x","")</f>
        <v/>
      </c>
      <c r="R2400" s="75" t="str">
        <f>IF(AND($N2400=$Q$7,$B2400&lt;'111'!$L$11),"x","")</f>
        <v/>
      </c>
      <c r="S2400" s="75" t="str">
        <f>IF(AND($O2400=$Q$7,$B2400&lt;'111'!$L$11),"x","")</f>
        <v/>
      </c>
      <c r="T2400" s="75" t="str">
        <f>IF(ISERROR(FIND('112'!$M$9,G2400,1)),"",IF((AND(FIND('112'!$M$9,G2400,1)&gt;=1,B2400='112'!$K$9,OR($N2400='112'!$I$6,$O2400='112'!$I$6))),"x",""))</f>
        <v/>
      </c>
      <c r="U2400" s="75" t="str">
        <f>IF(ISERROR(FIND('112'!$M$9,G2400,1)),"",IF((AND(LEFT(G2400,2)=LEFT('112'!$M$9,2),B2400&lt;'112'!$K$9,$N2400='112'!$I$6)),"x",""))</f>
        <v/>
      </c>
      <c r="V2400" s="75" t="str">
        <f>IF(ISERROR(FIND('112'!$M$9,G2400,1)),"",IF((AND(RIGHT(G2400,2)=RIGHT('112'!$M$9,2),B2400&lt;'112'!$K$9,$O2400='112'!$I$6)),"x",""))</f>
        <v/>
      </c>
      <c r="W2400" s="75" t="str">
        <f>IF(AND('341-CT'!$H$9=H2400,OR(LEFT(N2400,3)=$W$7,LEFT(O2400,3)=$W$7)),"x","")</f>
        <v/>
      </c>
      <c r="X2400" s="75" t="str">
        <f>IF(OR(TH!N2400=TH!$X$7,O2400=TH!$X$7),"x","")</f>
        <v/>
      </c>
      <c r="Y2400" s="75" t="str">
        <f>IF(AND(OR(N2400="131",O2400="131"),H2400='131-CT'!$H$9),"x","")</f>
        <v/>
      </c>
      <c r="Z2400" s="75"/>
      <c r="AA2400" s="75" t="str">
        <f>IF(AND(MONTH(E2400)='IN-NX'!$J$5,'IN-NX'!$D$7=D2400),"x","")</f>
        <v/>
      </c>
      <c r="AB2400" s="75" t="str">
        <f>IF(AND(OR(LEFT(TH!N2400,2)="15",LEFT(TH!O2400,2)="15"),LEFT(TH!O2400,3)&lt;&gt;"111",'152-CT'!$J$8=TH!F2400),"x","")</f>
        <v/>
      </c>
      <c r="AC2400" s="75" t="str">
        <f>IF(AND(OR(LEFT(TH!N2400,2)="15",LEFT(TH!O2400,2)="15"),TK!$E$7=TH!F2400),"x","")</f>
        <v/>
      </c>
      <c r="AD2400" s="75" t="str">
        <f>IF(AND(N2400="1521",MONTH(C2400)='BK-NL'!$M$11),"x","")</f>
        <v/>
      </c>
    </row>
    <row r="2401" spans="1:30" ht="16.5" customHeight="1">
      <c r="A2401" s="309" t="str">
        <f>IF(B2401&lt;&gt;"",IF(AND(B2401='IN-TC'!$S$4,OR(TH!N2401="1111",TH!O2401="1111")),TH!D2401,""),"")</f>
        <v/>
      </c>
      <c r="B2401" s="1159">
        <f t="shared" si="799"/>
        <v>12</v>
      </c>
      <c r="C2401" s="929">
        <f t="shared" si="804"/>
        <v>43070</v>
      </c>
      <c r="D2401" s="929" t="s">
        <v>2951</v>
      </c>
      <c r="E2401" s="929">
        <v>43070</v>
      </c>
      <c r="F2401" s="1082" t="s">
        <v>333</v>
      </c>
      <c r="G2401" s="931"/>
      <c r="H2401" s="735" t="s">
        <v>424</v>
      </c>
      <c r="I2401" s="371">
        <v>150</v>
      </c>
      <c r="J2401" s="377">
        <v>49808.000000000007</v>
      </c>
      <c r="K2401" s="371"/>
      <c r="L2401" s="377"/>
      <c r="M2401" s="933">
        <f t="shared" si="805"/>
        <v>7471200</v>
      </c>
      <c r="N2401" s="934" t="s">
        <v>272</v>
      </c>
      <c r="O2401" s="934" t="s">
        <v>266</v>
      </c>
      <c r="P2401" s="75" t="str">
        <f>IF(AND('331-CT'!$E$7=TH!H2401,OR(N2401="331",O2401="331")),"x","")</f>
        <v/>
      </c>
      <c r="Q2401" s="75" t="str">
        <f>IF(AND(B2401='111'!$L$11,OR($N2401=$Q$7,$O2401=$Q$7)),"x","")</f>
        <v/>
      </c>
      <c r="R2401" s="75" t="str">
        <f>IF(AND($N2401=$Q$7,$B2401&lt;'111'!$L$11),"x","")</f>
        <v/>
      </c>
      <c r="S2401" s="75" t="str">
        <f>IF(AND($O2401=$Q$7,$B2401&lt;'111'!$L$11),"x","")</f>
        <v/>
      </c>
      <c r="T2401" s="75" t="str">
        <f>IF(ISERROR(FIND('112'!$M$9,G2401,1)),"",IF((AND(FIND('112'!$M$9,G2401,1)&gt;=1,B2401='112'!$K$9,OR($N2401='112'!$I$6,$O2401='112'!$I$6))),"x",""))</f>
        <v/>
      </c>
      <c r="U2401" s="75" t="str">
        <f>IF(ISERROR(FIND('112'!$M$9,G2401,1)),"",IF((AND(LEFT(G2401,2)=LEFT('112'!$M$9,2),B2401&lt;'112'!$K$9,$N2401='112'!$I$6)),"x",""))</f>
        <v/>
      </c>
      <c r="V2401" s="75" t="str">
        <f>IF(ISERROR(FIND('112'!$M$9,G2401,1)),"",IF((AND(RIGHT(G2401,2)=RIGHT('112'!$M$9,2),B2401&lt;'112'!$K$9,$O2401='112'!$I$6)),"x",""))</f>
        <v/>
      </c>
      <c r="W2401" s="75" t="str">
        <f>IF(AND('341-CT'!$H$9=H2401,OR(LEFT(N2401,3)=$W$7,LEFT(O2401,3)=$W$7)),"x","")</f>
        <v/>
      </c>
      <c r="X2401" s="75" t="str">
        <f>IF(OR(TH!N2401=TH!$X$7,O2401=TH!$X$7),"x","")</f>
        <v/>
      </c>
      <c r="Y2401" s="75" t="str">
        <f>IF(AND(OR(N2401="131",O2401="131"),H2401='131-CT'!$H$9),"x","")</f>
        <v/>
      </c>
      <c r="Z2401" s="75"/>
      <c r="AA2401" s="75" t="str">
        <f>IF(AND(MONTH(E2401)='IN-NX'!$J$5,'IN-NX'!$D$7=D2401),"x","")</f>
        <v/>
      </c>
      <c r="AB2401" s="75" t="str">
        <f>IF(AND(OR(LEFT(TH!N2401,2)="15",LEFT(TH!O2401,2)="15"),LEFT(TH!O2401,3)&lt;&gt;"111",'152-CT'!$J$8=TH!F2401),"x","")</f>
        <v/>
      </c>
      <c r="AC2401" s="75" t="str">
        <f>IF(AND(OR(LEFT(TH!N2401,2)="15",LEFT(TH!O2401,2)="15"),TK!$E$7=TH!F2401),"x","")</f>
        <v/>
      </c>
      <c r="AD2401" s="75" t="str">
        <f>IF(AND(N2401="1521",MONTH(C2401)='BK-NL'!$M$11),"x","")</f>
        <v/>
      </c>
    </row>
    <row r="2402" spans="1:30" ht="16.5" customHeight="1">
      <c r="A2402" s="309" t="str">
        <f>IF(B2402&lt;&gt;"",IF(AND(B2402='IN-TC'!$S$4,OR(TH!N2402="1111",TH!O2402="1111")),TH!D2402,""),"")</f>
        <v/>
      </c>
      <c r="B2402" s="1159">
        <f t="shared" si="799"/>
        <v>12</v>
      </c>
      <c r="C2402" s="929">
        <f t="shared" si="804"/>
        <v>43070</v>
      </c>
      <c r="D2402" s="929" t="s">
        <v>2951</v>
      </c>
      <c r="E2402" s="929">
        <v>43070</v>
      </c>
      <c r="F2402" s="1082" t="s">
        <v>336</v>
      </c>
      <c r="G2402" s="931"/>
      <c r="H2402" s="735" t="s">
        <v>424</v>
      </c>
      <c r="I2402" s="371">
        <v>400</v>
      </c>
      <c r="J2402" s="377">
        <v>16476.189999999999</v>
      </c>
      <c r="K2402" s="371"/>
      <c r="L2402" s="377"/>
      <c r="M2402" s="933">
        <f t="shared" si="805"/>
        <v>6590476</v>
      </c>
      <c r="N2402" s="934" t="s">
        <v>272</v>
      </c>
      <c r="O2402" s="934" t="s">
        <v>266</v>
      </c>
      <c r="P2402" s="75" t="str">
        <f>IF(AND('331-CT'!$E$7=TH!H2402,OR(N2402="331",O2402="331")),"x","")</f>
        <v/>
      </c>
      <c r="Q2402" s="75" t="str">
        <f>IF(AND(B2402='111'!$L$11,OR($N2402=$Q$7,$O2402=$Q$7)),"x","")</f>
        <v/>
      </c>
      <c r="R2402" s="75" t="str">
        <f>IF(AND($N2402=$Q$7,$B2402&lt;'111'!$L$11),"x","")</f>
        <v/>
      </c>
      <c r="S2402" s="75" t="str">
        <f>IF(AND($O2402=$Q$7,$B2402&lt;'111'!$L$11),"x","")</f>
        <v/>
      </c>
      <c r="T2402" s="75" t="str">
        <f>IF(ISERROR(FIND('112'!$M$9,G2402,1)),"",IF((AND(FIND('112'!$M$9,G2402,1)&gt;=1,B2402='112'!$K$9,OR($N2402='112'!$I$6,$O2402='112'!$I$6))),"x",""))</f>
        <v/>
      </c>
      <c r="U2402" s="75" t="str">
        <f>IF(ISERROR(FIND('112'!$M$9,G2402,1)),"",IF((AND(LEFT(G2402,2)=LEFT('112'!$M$9,2),B2402&lt;'112'!$K$9,$N2402='112'!$I$6)),"x",""))</f>
        <v/>
      </c>
      <c r="V2402" s="75" t="str">
        <f>IF(ISERROR(FIND('112'!$M$9,G2402,1)),"",IF((AND(RIGHT(G2402,2)=RIGHT('112'!$M$9,2),B2402&lt;'112'!$K$9,$O2402='112'!$I$6)),"x",""))</f>
        <v/>
      </c>
      <c r="W2402" s="75" t="str">
        <f>IF(AND('341-CT'!$H$9=H2402,OR(LEFT(N2402,3)=$W$7,LEFT(O2402,3)=$W$7)),"x","")</f>
        <v/>
      </c>
      <c r="X2402" s="75" t="str">
        <f>IF(OR(TH!N2402=TH!$X$7,O2402=TH!$X$7),"x","")</f>
        <v/>
      </c>
      <c r="Y2402" s="75" t="str">
        <f>IF(AND(OR(N2402="131",O2402="131"),H2402='131-CT'!$H$9),"x","")</f>
        <v/>
      </c>
      <c r="Z2402" s="75"/>
      <c r="AA2402" s="75" t="str">
        <f>IF(AND(MONTH(E2402)='IN-NX'!$J$5,'IN-NX'!$D$7=D2402),"x","")</f>
        <v/>
      </c>
      <c r="AB2402" s="75" t="str">
        <f>IF(AND(OR(LEFT(TH!N2402,2)="15",LEFT(TH!O2402,2)="15"),LEFT(TH!O2402,3)&lt;&gt;"111",'152-CT'!$J$8=TH!F2402),"x","")</f>
        <v/>
      </c>
      <c r="AC2402" s="75" t="str">
        <f>IF(AND(OR(LEFT(TH!N2402,2)="15",LEFT(TH!O2402,2)="15"),TK!$E$7=TH!F2402),"x","")</f>
        <v>x</v>
      </c>
      <c r="AD2402" s="75" t="str">
        <f>IF(AND(N2402="1521",MONTH(C2402)='BK-NL'!$M$11),"x","")</f>
        <v/>
      </c>
    </row>
    <row r="2403" spans="1:30" ht="16.5" customHeight="1">
      <c r="A2403" s="309" t="str">
        <f>IF(B2403&lt;&gt;"",IF(AND(B2403='IN-TC'!$S$4,OR(TH!N2403="1111",TH!O2403="1111")),TH!D2403,""),"")</f>
        <v/>
      </c>
      <c r="B2403" s="1159">
        <f t="shared" si="799"/>
        <v>12</v>
      </c>
      <c r="C2403" s="929">
        <f t="shared" si="804"/>
        <v>43070</v>
      </c>
      <c r="D2403" s="929" t="s">
        <v>2951</v>
      </c>
      <c r="E2403" s="929">
        <v>43070</v>
      </c>
      <c r="F2403" s="1082" t="s">
        <v>804</v>
      </c>
      <c r="G2403" s="931"/>
      <c r="H2403" s="735" t="s">
        <v>424</v>
      </c>
      <c r="I2403" s="371">
        <v>100</v>
      </c>
      <c r="J2403" s="377">
        <v>51000</v>
      </c>
      <c r="K2403" s="371"/>
      <c r="L2403" s="377"/>
      <c r="M2403" s="933">
        <f t="shared" si="805"/>
        <v>5100000</v>
      </c>
      <c r="N2403" s="934" t="s">
        <v>272</v>
      </c>
      <c r="O2403" s="934" t="s">
        <v>266</v>
      </c>
      <c r="P2403" s="75" t="str">
        <f>IF(AND('331-CT'!$E$7=TH!H2403,OR(N2403="331",O2403="331")),"x","")</f>
        <v/>
      </c>
      <c r="Q2403" s="75" t="str">
        <f>IF(AND(B2403='111'!$L$11,OR($N2403=$Q$7,$O2403=$Q$7)),"x","")</f>
        <v/>
      </c>
      <c r="R2403" s="75" t="str">
        <f>IF(AND($N2403=$Q$7,$B2403&lt;'111'!$L$11),"x","")</f>
        <v/>
      </c>
      <c r="S2403" s="75" t="str">
        <f>IF(AND($O2403=$Q$7,$B2403&lt;'111'!$L$11),"x","")</f>
        <v/>
      </c>
      <c r="T2403" s="75" t="str">
        <f>IF(ISERROR(FIND('112'!$M$9,G2403,1)),"",IF((AND(FIND('112'!$M$9,G2403,1)&gt;=1,B2403='112'!$K$9,OR($N2403='112'!$I$6,$O2403='112'!$I$6))),"x",""))</f>
        <v/>
      </c>
      <c r="U2403" s="75" t="str">
        <f>IF(ISERROR(FIND('112'!$M$9,G2403,1)),"",IF((AND(LEFT(G2403,2)=LEFT('112'!$M$9,2),B2403&lt;'112'!$K$9,$N2403='112'!$I$6)),"x",""))</f>
        <v/>
      </c>
      <c r="V2403" s="75" t="str">
        <f>IF(ISERROR(FIND('112'!$M$9,G2403,1)),"",IF((AND(RIGHT(G2403,2)=RIGHT('112'!$M$9,2),B2403&lt;'112'!$K$9,$O2403='112'!$I$6)),"x",""))</f>
        <v/>
      </c>
      <c r="W2403" s="75" t="str">
        <f>IF(AND('341-CT'!$H$9=H2403,OR(LEFT(N2403,3)=$W$7,LEFT(O2403,3)=$W$7)),"x","")</f>
        <v/>
      </c>
      <c r="X2403" s="75" t="str">
        <f>IF(OR(TH!N2403=TH!$X$7,O2403=TH!$X$7),"x","")</f>
        <v/>
      </c>
      <c r="Y2403" s="75" t="str">
        <f>IF(AND(OR(N2403="131",O2403="131"),H2403='131-CT'!$H$9),"x","")</f>
        <v/>
      </c>
      <c r="Z2403" s="75"/>
      <c r="AA2403" s="75" t="str">
        <f>IF(AND(MONTH(E2403)='IN-NX'!$J$5,'IN-NX'!$D$7=D2403),"x","")</f>
        <v/>
      </c>
      <c r="AB2403" s="75" t="str">
        <f>IF(AND(OR(LEFT(TH!N2403,2)="15",LEFT(TH!O2403,2)="15"),LEFT(TH!O2403,3)&lt;&gt;"111",'152-CT'!$J$8=TH!F2403),"x","")</f>
        <v/>
      </c>
      <c r="AC2403" s="75" t="str">
        <f>IF(AND(OR(LEFT(TH!N2403,2)="15",LEFT(TH!O2403,2)="15"),TK!$E$7=TH!F2403),"x","")</f>
        <v/>
      </c>
      <c r="AD2403" s="75" t="str">
        <f>IF(AND(N2403="1521",MONTH(C2403)='BK-NL'!$M$11),"x","")</f>
        <v/>
      </c>
    </row>
    <row r="2404" spans="1:30" ht="16.5" customHeight="1">
      <c r="A2404" s="309" t="str">
        <f>IF(B2404&lt;&gt;"",IF(AND(B2404='IN-TC'!$S$4,OR(TH!N2404="1111",TH!O2404="1111")),TH!D2404,""),"")</f>
        <v/>
      </c>
      <c r="B2404" s="1159">
        <f t="shared" si="799"/>
        <v>12</v>
      </c>
      <c r="C2404" s="929">
        <f t="shared" si="804"/>
        <v>43070</v>
      </c>
      <c r="D2404" s="929" t="s">
        <v>2951</v>
      </c>
      <c r="E2404" s="929">
        <v>43070</v>
      </c>
      <c r="F2404" s="1082" t="s">
        <v>341</v>
      </c>
      <c r="G2404" s="931"/>
      <c r="H2404" s="735" t="s">
        <v>424</v>
      </c>
      <c r="I2404" s="371">
        <v>600</v>
      </c>
      <c r="J2404" s="377">
        <v>3200</v>
      </c>
      <c r="K2404" s="371"/>
      <c r="L2404" s="377"/>
      <c r="M2404" s="933">
        <f t="shared" si="805"/>
        <v>1920000</v>
      </c>
      <c r="N2404" s="934" t="s">
        <v>272</v>
      </c>
      <c r="O2404" s="934" t="s">
        <v>266</v>
      </c>
      <c r="P2404" s="75" t="str">
        <f>IF(AND('331-CT'!$E$7=TH!H2404,OR(N2404="331",O2404="331")),"x","")</f>
        <v/>
      </c>
      <c r="Q2404" s="75" t="str">
        <f>IF(AND(B2404='111'!$L$11,OR($N2404=$Q$7,$O2404=$Q$7)),"x","")</f>
        <v/>
      </c>
      <c r="R2404" s="75" t="str">
        <f>IF(AND($N2404=$Q$7,$B2404&lt;'111'!$L$11),"x","")</f>
        <v/>
      </c>
      <c r="S2404" s="75" t="str">
        <f>IF(AND($O2404=$Q$7,$B2404&lt;'111'!$L$11),"x","")</f>
        <v/>
      </c>
      <c r="T2404" s="75" t="str">
        <f>IF(ISERROR(FIND('112'!$M$9,G2404,1)),"",IF((AND(FIND('112'!$M$9,G2404,1)&gt;=1,B2404='112'!$K$9,OR($N2404='112'!$I$6,$O2404='112'!$I$6))),"x",""))</f>
        <v/>
      </c>
      <c r="U2404" s="75" t="str">
        <f>IF(ISERROR(FIND('112'!$M$9,G2404,1)),"",IF((AND(LEFT(G2404,2)=LEFT('112'!$M$9,2),B2404&lt;'112'!$K$9,$N2404='112'!$I$6)),"x",""))</f>
        <v/>
      </c>
      <c r="V2404" s="75" t="str">
        <f>IF(ISERROR(FIND('112'!$M$9,G2404,1)),"",IF((AND(RIGHT(G2404,2)=RIGHT('112'!$M$9,2),B2404&lt;'112'!$K$9,$O2404='112'!$I$6)),"x",""))</f>
        <v/>
      </c>
      <c r="W2404" s="75" t="str">
        <f>IF(AND('341-CT'!$H$9=H2404,OR(LEFT(N2404,3)=$W$7,LEFT(O2404,3)=$W$7)),"x","")</f>
        <v/>
      </c>
      <c r="X2404" s="75" t="str">
        <f>IF(OR(TH!N2404=TH!$X$7,O2404=TH!$X$7),"x","")</f>
        <v/>
      </c>
      <c r="Y2404" s="75" t="str">
        <f>IF(AND(OR(N2404="131",O2404="131"),H2404='131-CT'!$H$9),"x","")</f>
        <v/>
      </c>
      <c r="Z2404" s="75"/>
      <c r="AA2404" s="75" t="str">
        <f>IF(AND(MONTH(E2404)='IN-NX'!$J$5,'IN-NX'!$D$7=D2404),"x","")</f>
        <v/>
      </c>
      <c r="AB2404" s="75" t="str">
        <f>IF(AND(OR(LEFT(TH!N2404,2)="15",LEFT(TH!O2404,2)="15"),LEFT(TH!O2404,3)&lt;&gt;"111",'152-CT'!$J$8=TH!F2404),"x","")</f>
        <v/>
      </c>
      <c r="AC2404" s="75" t="str">
        <f>IF(AND(OR(LEFT(TH!N2404,2)="15",LEFT(TH!O2404,2)="15"),TK!$E$7=TH!F2404),"x","")</f>
        <v/>
      </c>
      <c r="AD2404" s="75" t="str">
        <f>IF(AND(N2404="1521",MONTH(C2404)='BK-NL'!$M$11),"x","")</f>
        <v/>
      </c>
    </row>
    <row r="2405" spans="1:30" ht="16.5" customHeight="1">
      <c r="A2405" s="309" t="str">
        <f>IF(B2405&lt;&gt;"",IF(AND(B2405='IN-TC'!$S$4,OR(TH!N2405="1111",TH!O2405="1111")),TH!D2405,""),"")</f>
        <v/>
      </c>
      <c r="B2405" s="1159">
        <f t="shared" si="799"/>
        <v>12</v>
      </c>
      <c r="C2405" s="929">
        <f t="shared" si="804"/>
        <v>43070</v>
      </c>
      <c r="D2405" s="929" t="s">
        <v>2951</v>
      </c>
      <c r="E2405" s="929">
        <v>43070</v>
      </c>
      <c r="F2405" s="1082" t="s">
        <v>1257</v>
      </c>
      <c r="G2405" s="931"/>
      <c r="H2405" s="735" t="s">
        <v>424</v>
      </c>
      <c r="I2405" s="371">
        <v>2700</v>
      </c>
      <c r="J2405" s="377">
        <v>14728</v>
      </c>
      <c r="K2405" s="371"/>
      <c r="L2405" s="377"/>
      <c r="M2405" s="933">
        <f t="shared" si="805"/>
        <v>39765600</v>
      </c>
      <c r="N2405" s="934" t="s">
        <v>272</v>
      </c>
      <c r="O2405" s="934" t="s">
        <v>266</v>
      </c>
      <c r="P2405" s="75" t="str">
        <f>IF(AND('331-CT'!$E$7=TH!H2405,OR(N2405="331",O2405="331")),"x","")</f>
        <v/>
      </c>
      <c r="Q2405" s="75" t="str">
        <f>IF(AND(B2405='111'!$L$11,OR($N2405=$Q$7,$O2405=$Q$7)),"x","")</f>
        <v/>
      </c>
      <c r="R2405" s="75" t="str">
        <f>IF(AND($N2405=$Q$7,$B2405&lt;'111'!$L$11),"x","")</f>
        <v/>
      </c>
      <c r="S2405" s="75" t="str">
        <f>IF(AND($O2405=$Q$7,$B2405&lt;'111'!$L$11),"x","")</f>
        <v/>
      </c>
      <c r="T2405" s="75" t="str">
        <f>IF(ISERROR(FIND('112'!$M$9,G2405,1)),"",IF((AND(FIND('112'!$M$9,G2405,1)&gt;=1,B2405='112'!$K$9,OR($N2405='112'!$I$6,$O2405='112'!$I$6))),"x",""))</f>
        <v/>
      </c>
      <c r="U2405" s="75" t="str">
        <f>IF(ISERROR(FIND('112'!$M$9,G2405,1)),"",IF((AND(LEFT(G2405,2)=LEFT('112'!$M$9,2),B2405&lt;'112'!$K$9,$N2405='112'!$I$6)),"x",""))</f>
        <v/>
      </c>
      <c r="V2405" s="75" t="str">
        <f>IF(ISERROR(FIND('112'!$M$9,G2405,1)),"",IF((AND(RIGHT(G2405,2)=RIGHT('112'!$M$9,2),B2405&lt;'112'!$K$9,$O2405='112'!$I$6)),"x",""))</f>
        <v/>
      </c>
      <c r="W2405" s="75" t="str">
        <f>IF(AND('341-CT'!$H$9=H2405,OR(LEFT(N2405,3)=$W$7,LEFT(O2405,3)=$W$7)),"x","")</f>
        <v/>
      </c>
      <c r="X2405" s="75" t="str">
        <f>IF(OR(TH!N2405=TH!$X$7,O2405=TH!$X$7),"x","")</f>
        <v/>
      </c>
      <c r="Y2405" s="75" t="str">
        <f>IF(AND(OR(N2405="131",O2405="131"),H2405='131-CT'!$H$9),"x","")</f>
        <v/>
      </c>
      <c r="Z2405" s="75"/>
      <c r="AA2405" s="75" t="str">
        <f>IF(AND(MONTH(E2405)='IN-NX'!$J$5,'IN-NX'!$D$7=D2405),"x","")</f>
        <v/>
      </c>
      <c r="AB2405" s="75" t="str">
        <f>IF(AND(OR(LEFT(TH!N2405,2)="15",LEFT(TH!O2405,2)="15"),LEFT(TH!O2405,3)&lt;&gt;"111",'152-CT'!$J$8=TH!F2405),"x","")</f>
        <v/>
      </c>
      <c r="AC2405" s="75" t="str">
        <f>IF(AND(OR(LEFT(TH!N2405,2)="15",LEFT(TH!O2405,2)="15"),TK!$E$7=TH!F2405),"x","")</f>
        <v/>
      </c>
      <c r="AD2405" s="75" t="str">
        <f>IF(AND(N2405="1521",MONTH(C2405)='BK-NL'!$M$11),"x","")</f>
        <v/>
      </c>
    </row>
    <row r="2406" spans="1:30" ht="16.5" customHeight="1">
      <c r="A2406" s="309" t="str">
        <f>IF(B2406&lt;&gt;"",IF(AND(B2406='IN-TC'!$S$4,OR(TH!N2406="1111",TH!O2406="1111")),TH!D2406,""),"")</f>
        <v/>
      </c>
      <c r="B2406" s="1159">
        <f t="shared" si="799"/>
        <v>12</v>
      </c>
      <c r="C2406" s="929">
        <f t="shared" si="804"/>
        <v>43070</v>
      </c>
      <c r="D2406" s="929" t="s">
        <v>2951</v>
      </c>
      <c r="E2406" s="929">
        <v>43070</v>
      </c>
      <c r="F2406" s="1082" t="s">
        <v>346</v>
      </c>
      <c r="G2406" s="931"/>
      <c r="H2406" s="735" t="s">
        <v>424</v>
      </c>
      <c r="I2406" s="371">
        <v>200</v>
      </c>
      <c r="J2406" s="377">
        <v>8000</v>
      </c>
      <c r="K2406" s="371"/>
      <c r="L2406" s="377"/>
      <c r="M2406" s="933">
        <f t="shared" si="805"/>
        <v>1600000</v>
      </c>
      <c r="N2406" s="934" t="s">
        <v>272</v>
      </c>
      <c r="O2406" s="934" t="s">
        <v>266</v>
      </c>
      <c r="P2406" s="75" t="str">
        <f>IF(AND('331-CT'!$E$7=TH!H2406,OR(N2406="331",O2406="331")),"x","")</f>
        <v/>
      </c>
      <c r="Q2406" s="75" t="str">
        <f>IF(AND(B2406='111'!$L$11,OR($N2406=$Q$7,$O2406=$Q$7)),"x","")</f>
        <v/>
      </c>
      <c r="R2406" s="75" t="str">
        <f>IF(AND($N2406=$Q$7,$B2406&lt;'111'!$L$11),"x","")</f>
        <v/>
      </c>
      <c r="S2406" s="75" t="str">
        <f>IF(AND($O2406=$Q$7,$B2406&lt;'111'!$L$11),"x","")</f>
        <v/>
      </c>
      <c r="T2406" s="75" t="str">
        <f>IF(ISERROR(FIND('112'!$M$9,G2406,1)),"",IF((AND(FIND('112'!$M$9,G2406,1)&gt;=1,B2406='112'!$K$9,OR($N2406='112'!$I$6,$O2406='112'!$I$6))),"x",""))</f>
        <v/>
      </c>
      <c r="U2406" s="75" t="str">
        <f>IF(ISERROR(FIND('112'!$M$9,G2406,1)),"",IF((AND(LEFT(G2406,2)=LEFT('112'!$M$9,2),B2406&lt;'112'!$K$9,$N2406='112'!$I$6)),"x",""))</f>
        <v/>
      </c>
      <c r="V2406" s="75" t="str">
        <f>IF(ISERROR(FIND('112'!$M$9,G2406,1)),"",IF((AND(RIGHT(G2406,2)=RIGHT('112'!$M$9,2),B2406&lt;'112'!$K$9,$O2406='112'!$I$6)),"x",""))</f>
        <v/>
      </c>
      <c r="W2406" s="75" t="str">
        <f>IF(AND('341-CT'!$H$9=H2406,OR(LEFT(N2406,3)=$W$7,LEFT(O2406,3)=$W$7)),"x","")</f>
        <v/>
      </c>
      <c r="X2406" s="75" t="str">
        <f>IF(OR(TH!N2406=TH!$X$7,O2406=TH!$X$7),"x","")</f>
        <v/>
      </c>
      <c r="Y2406" s="75" t="str">
        <f>IF(AND(OR(N2406="131",O2406="131"),H2406='131-CT'!$H$9),"x","")</f>
        <v/>
      </c>
      <c r="Z2406" s="75"/>
      <c r="AA2406" s="75" t="str">
        <f>IF(AND(MONTH(E2406)='IN-NX'!$J$5,'IN-NX'!$D$7=D2406),"x","")</f>
        <v/>
      </c>
      <c r="AB2406" s="75" t="str">
        <f>IF(AND(OR(LEFT(TH!N2406,2)="15",LEFT(TH!O2406,2)="15"),LEFT(TH!O2406,3)&lt;&gt;"111",'152-CT'!$J$8=TH!F2406),"x","")</f>
        <v/>
      </c>
      <c r="AC2406" s="75" t="str">
        <f>IF(AND(OR(LEFT(TH!N2406,2)="15",LEFT(TH!O2406,2)="15"),TK!$E$7=TH!F2406),"x","")</f>
        <v/>
      </c>
      <c r="AD2406" s="75" t="str">
        <f>IF(AND(N2406="1521",MONTH(C2406)='BK-NL'!$M$11),"x","")</f>
        <v/>
      </c>
    </row>
    <row r="2407" spans="1:30" ht="16.5" customHeight="1">
      <c r="A2407" s="309" t="str">
        <f>IF(B2407&lt;&gt;"",IF(AND(B2407='IN-TC'!$S$4,OR(TH!N2407="1111",TH!O2407="1111")),TH!D2407,""),"")</f>
        <v/>
      </c>
      <c r="B2407" s="1159">
        <f t="shared" si="799"/>
        <v>12</v>
      </c>
      <c r="C2407" s="929">
        <f t="shared" si="804"/>
        <v>43070</v>
      </c>
      <c r="D2407" s="929" t="s">
        <v>2951</v>
      </c>
      <c r="E2407" s="929">
        <v>43070</v>
      </c>
      <c r="F2407" s="1082" t="s">
        <v>795</v>
      </c>
      <c r="G2407" s="931"/>
      <c r="H2407" s="735" t="s">
        <v>424</v>
      </c>
      <c r="I2407" s="371">
        <v>26950</v>
      </c>
      <c r="J2407" s="377">
        <v>5900</v>
      </c>
      <c r="K2407" s="371"/>
      <c r="L2407" s="377"/>
      <c r="M2407" s="933">
        <f t="shared" si="805"/>
        <v>159005000</v>
      </c>
      <c r="N2407" s="934" t="s">
        <v>272</v>
      </c>
      <c r="O2407" s="934" t="s">
        <v>266</v>
      </c>
      <c r="P2407" s="75" t="str">
        <f>IF(AND('331-CT'!$E$7=TH!H2407,OR(N2407="331",O2407="331")),"x","")</f>
        <v/>
      </c>
      <c r="Q2407" s="75" t="str">
        <f>IF(AND(B2407='111'!$L$11,OR($N2407=$Q$7,$O2407=$Q$7)),"x","")</f>
        <v/>
      </c>
      <c r="R2407" s="75" t="str">
        <f>IF(AND($N2407=$Q$7,$B2407&lt;'111'!$L$11),"x","")</f>
        <v/>
      </c>
      <c r="S2407" s="75" t="str">
        <f>IF(AND($O2407=$Q$7,$B2407&lt;'111'!$L$11),"x","")</f>
        <v/>
      </c>
      <c r="T2407" s="75" t="str">
        <f>IF(ISERROR(FIND('112'!$M$9,G2407,1)),"",IF((AND(FIND('112'!$M$9,G2407,1)&gt;=1,B2407='112'!$K$9,OR($N2407='112'!$I$6,$O2407='112'!$I$6))),"x",""))</f>
        <v/>
      </c>
      <c r="U2407" s="75" t="str">
        <f>IF(ISERROR(FIND('112'!$M$9,G2407,1)),"",IF((AND(LEFT(G2407,2)=LEFT('112'!$M$9,2),B2407&lt;'112'!$K$9,$N2407='112'!$I$6)),"x",""))</f>
        <v/>
      </c>
      <c r="V2407" s="75" t="str">
        <f>IF(ISERROR(FIND('112'!$M$9,G2407,1)),"",IF((AND(RIGHT(G2407,2)=RIGHT('112'!$M$9,2),B2407&lt;'112'!$K$9,$O2407='112'!$I$6)),"x",""))</f>
        <v/>
      </c>
      <c r="W2407" s="75" t="str">
        <f>IF(AND('341-CT'!$H$9=H2407,OR(LEFT(N2407,3)=$W$7,LEFT(O2407,3)=$W$7)),"x","")</f>
        <v/>
      </c>
      <c r="X2407" s="75" t="str">
        <f>IF(OR(TH!N2407=TH!$X$7,O2407=TH!$X$7),"x","")</f>
        <v/>
      </c>
      <c r="Y2407" s="75" t="str">
        <f>IF(AND(OR(N2407="131",O2407="131"),H2407='131-CT'!$H$9),"x","")</f>
        <v/>
      </c>
      <c r="Z2407" s="75"/>
      <c r="AA2407" s="75" t="str">
        <f>IF(AND(MONTH(E2407)='IN-NX'!$J$5,'IN-NX'!$D$7=D2407),"x","")</f>
        <v/>
      </c>
      <c r="AB2407" s="75" t="str">
        <f>IF(AND(OR(LEFT(TH!N2407,2)="15",LEFT(TH!O2407,2)="15"),LEFT(TH!O2407,3)&lt;&gt;"111",'152-CT'!$J$8=TH!F2407),"x","")</f>
        <v/>
      </c>
      <c r="AC2407" s="75" t="str">
        <f>IF(AND(OR(LEFT(TH!N2407,2)="15",LEFT(TH!O2407,2)="15"),TK!$E$7=TH!F2407),"x","")</f>
        <v/>
      </c>
      <c r="AD2407" s="75" t="str">
        <f>IF(AND(N2407="1521",MONTH(C2407)='BK-NL'!$M$11),"x","")</f>
        <v/>
      </c>
    </row>
    <row r="2408" spans="1:30" ht="16.5" customHeight="1">
      <c r="A2408" s="309" t="str">
        <f>IF(B2408&lt;&gt;"",IF(AND(B2408='IN-TC'!$S$4,OR(TH!N2408="1111",TH!O2408="1111")),TH!D2408,""),"")</f>
        <v/>
      </c>
      <c r="B2408" s="1159">
        <f t="shared" si="799"/>
        <v>12</v>
      </c>
      <c r="C2408" s="929">
        <f t="shared" si="804"/>
        <v>43070</v>
      </c>
      <c r="D2408" s="929" t="s">
        <v>2951</v>
      </c>
      <c r="E2408" s="929">
        <v>43070</v>
      </c>
      <c r="F2408" s="1082" t="s">
        <v>564</v>
      </c>
      <c r="G2408" s="931"/>
      <c r="H2408" s="735" t="s">
        <v>424</v>
      </c>
      <c r="I2408" s="371">
        <v>2300</v>
      </c>
      <c r="J2408" s="377">
        <v>14000</v>
      </c>
      <c r="K2408" s="371"/>
      <c r="L2408" s="377"/>
      <c r="M2408" s="933">
        <f t="shared" si="805"/>
        <v>32200000</v>
      </c>
      <c r="N2408" s="934" t="s">
        <v>272</v>
      </c>
      <c r="O2408" s="934" t="s">
        <v>266</v>
      </c>
      <c r="P2408" s="75" t="str">
        <f>IF(AND('331-CT'!$E$7=TH!H2408,OR(N2408="331",O2408="331")),"x","")</f>
        <v/>
      </c>
      <c r="Q2408" s="75" t="str">
        <f>IF(AND(B2408='111'!$L$11,OR($N2408=$Q$7,$O2408=$Q$7)),"x","")</f>
        <v/>
      </c>
      <c r="R2408" s="75" t="str">
        <f>IF(AND($N2408=$Q$7,$B2408&lt;'111'!$L$11),"x","")</f>
        <v/>
      </c>
      <c r="S2408" s="75" t="str">
        <f>IF(AND($O2408=$Q$7,$B2408&lt;'111'!$L$11),"x","")</f>
        <v/>
      </c>
      <c r="T2408" s="75" t="str">
        <f>IF(ISERROR(FIND('112'!$M$9,G2408,1)),"",IF((AND(FIND('112'!$M$9,G2408,1)&gt;=1,B2408='112'!$K$9,OR($N2408='112'!$I$6,$O2408='112'!$I$6))),"x",""))</f>
        <v/>
      </c>
      <c r="U2408" s="75" t="str">
        <f>IF(ISERROR(FIND('112'!$M$9,G2408,1)),"",IF((AND(LEFT(G2408,2)=LEFT('112'!$M$9,2),B2408&lt;'112'!$K$9,$N2408='112'!$I$6)),"x",""))</f>
        <v/>
      </c>
      <c r="V2408" s="75" t="str">
        <f>IF(ISERROR(FIND('112'!$M$9,G2408,1)),"",IF((AND(RIGHT(G2408,2)=RIGHT('112'!$M$9,2),B2408&lt;'112'!$K$9,$O2408='112'!$I$6)),"x",""))</f>
        <v/>
      </c>
      <c r="W2408" s="75" t="str">
        <f>IF(AND('341-CT'!$H$9=H2408,OR(LEFT(N2408,3)=$W$7,LEFT(O2408,3)=$W$7)),"x","")</f>
        <v/>
      </c>
      <c r="X2408" s="75" t="str">
        <f>IF(OR(TH!N2408=TH!$X$7,O2408=TH!$X$7),"x","")</f>
        <v/>
      </c>
      <c r="Y2408" s="75" t="str">
        <f>IF(AND(OR(N2408="131",O2408="131"),H2408='131-CT'!$H$9),"x","")</f>
        <v/>
      </c>
      <c r="Z2408" s="75"/>
      <c r="AA2408" s="75" t="str">
        <f>IF(AND(MONTH(E2408)='IN-NX'!$J$5,'IN-NX'!$D$7=D2408),"x","")</f>
        <v/>
      </c>
      <c r="AB2408" s="75" t="str">
        <f>IF(AND(OR(LEFT(TH!N2408,2)="15",LEFT(TH!O2408,2)="15"),LEFT(TH!O2408,3)&lt;&gt;"111",'152-CT'!$J$8=TH!F2408),"x","")</f>
        <v/>
      </c>
      <c r="AC2408" s="75" t="str">
        <f>IF(AND(OR(LEFT(TH!N2408,2)="15",LEFT(TH!O2408,2)="15"),TK!$E$7=TH!F2408),"x","")</f>
        <v/>
      </c>
      <c r="AD2408" s="75" t="str">
        <f>IF(AND(N2408="1521",MONTH(C2408)='BK-NL'!$M$11),"x","")</f>
        <v/>
      </c>
    </row>
    <row r="2409" spans="1:30" ht="16.5" customHeight="1">
      <c r="A2409" s="309" t="str">
        <f>IF(B2409&lt;&gt;"",IF(AND(B2409='IN-TC'!$S$4,OR(TH!N2409="1111",TH!O2409="1111")),TH!D2409,""),"")</f>
        <v/>
      </c>
      <c r="B2409" s="1159">
        <f t="shared" si="799"/>
        <v>12</v>
      </c>
      <c r="C2409" s="929">
        <f t="shared" si="804"/>
        <v>43070</v>
      </c>
      <c r="D2409" s="929" t="s">
        <v>2951</v>
      </c>
      <c r="E2409" s="929">
        <v>43070</v>
      </c>
      <c r="F2409" s="1082" t="s">
        <v>381</v>
      </c>
      <c r="G2409" s="931"/>
      <c r="H2409" s="735" t="s">
        <v>424</v>
      </c>
      <c r="I2409" s="371">
        <v>605</v>
      </c>
      <c r="J2409" s="377">
        <v>21900</v>
      </c>
      <c r="K2409" s="371"/>
      <c r="L2409" s="377"/>
      <c r="M2409" s="933">
        <f t="shared" si="805"/>
        <v>13249500</v>
      </c>
      <c r="N2409" s="934" t="s">
        <v>272</v>
      </c>
      <c r="O2409" s="934" t="s">
        <v>266</v>
      </c>
      <c r="P2409" s="75" t="str">
        <f>IF(AND('331-CT'!$E$7=TH!H2409,OR(N2409="331",O2409="331")),"x","")</f>
        <v/>
      </c>
      <c r="Q2409" s="75" t="str">
        <f>IF(AND(B2409='111'!$L$11,OR($N2409=$Q$7,$O2409=$Q$7)),"x","")</f>
        <v/>
      </c>
      <c r="R2409" s="75" t="str">
        <f>IF(AND($N2409=$Q$7,$B2409&lt;'111'!$L$11),"x","")</f>
        <v/>
      </c>
      <c r="S2409" s="75" t="str">
        <f>IF(AND($O2409=$Q$7,$B2409&lt;'111'!$L$11),"x","")</f>
        <v/>
      </c>
      <c r="T2409" s="75" t="str">
        <f>IF(ISERROR(FIND('112'!$M$9,G2409,1)),"",IF((AND(FIND('112'!$M$9,G2409,1)&gt;=1,B2409='112'!$K$9,OR($N2409='112'!$I$6,$O2409='112'!$I$6))),"x",""))</f>
        <v/>
      </c>
      <c r="U2409" s="75" t="str">
        <f>IF(ISERROR(FIND('112'!$M$9,G2409,1)),"",IF((AND(LEFT(G2409,2)=LEFT('112'!$M$9,2),B2409&lt;'112'!$K$9,$N2409='112'!$I$6)),"x",""))</f>
        <v/>
      </c>
      <c r="V2409" s="75" t="str">
        <f>IF(ISERROR(FIND('112'!$M$9,G2409,1)),"",IF((AND(RIGHT(G2409,2)=RIGHT('112'!$M$9,2),B2409&lt;'112'!$K$9,$O2409='112'!$I$6)),"x",""))</f>
        <v/>
      </c>
      <c r="W2409" s="75" t="str">
        <f>IF(AND('341-CT'!$H$9=H2409,OR(LEFT(N2409,3)=$W$7,LEFT(O2409,3)=$W$7)),"x","")</f>
        <v/>
      </c>
      <c r="X2409" s="75" t="str">
        <f>IF(OR(TH!N2409=TH!$X$7,O2409=TH!$X$7),"x","")</f>
        <v/>
      </c>
      <c r="Y2409" s="75" t="str">
        <f>IF(AND(OR(N2409="131",O2409="131"),H2409='131-CT'!$H$9),"x","")</f>
        <v/>
      </c>
      <c r="Z2409" s="75"/>
      <c r="AA2409" s="75" t="str">
        <f>IF(AND(MONTH(E2409)='IN-NX'!$J$5,'IN-NX'!$D$7=D2409),"x","")</f>
        <v/>
      </c>
      <c r="AB2409" s="75" t="str">
        <f>IF(AND(OR(LEFT(TH!N2409,2)="15",LEFT(TH!O2409,2)="15"),LEFT(TH!O2409,3)&lt;&gt;"111",'152-CT'!$J$8=TH!F2409),"x","")</f>
        <v/>
      </c>
      <c r="AC2409" s="75" t="str">
        <f>IF(AND(OR(LEFT(TH!N2409,2)="15",LEFT(TH!O2409,2)="15"),TK!$E$7=TH!F2409),"x","")</f>
        <v/>
      </c>
      <c r="AD2409" s="75" t="str">
        <f>IF(AND(N2409="1521",MONTH(C2409)='BK-NL'!$M$11),"x","")</f>
        <v/>
      </c>
    </row>
    <row r="2410" spans="1:30" ht="16.5" customHeight="1">
      <c r="A2410" s="309" t="str">
        <f>IF(B2410&lt;&gt;"",IF(AND(B2410='IN-TC'!$S$4,OR(TH!N2410="1111",TH!O2410="1111")),TH!D2410,""),"")</f>
        <v/>
      </c>
      <c r="B2410" s="1159">
        <f t="shared" si="799"/>
        <v>12</v>
      </c>
      <c r="C2410" s="929">
        <f t="shared" si="804"/>
        <v>43070</v>
      </c>
      <c r="D2410" s="929" t="s">
        <v>2951</v>
      </c>
      <c r="E2410" s="929">
        <v>43070</v>
      </c>
      <c r="F2410" s="1082" t="s">
        <v>2341</v>
      </c>
      <c r="G2410" s="931"/>
      <c r="H2410" s="735" t="s">
        <v>424</v>
      </c>
      <c r="I2410" s="371">
        <v>132</v>
      </c>
      <c r="J2410" s="377">
        <v>13200</v>
      </c>
      <c r="K2410" s="371"/>
      <c r="L2410" s="377"/>
      <c r="M2410" s="933">
        <f t="shared" si="805"/>
        <v>1742400</v>
      </c>
      <c r="N2410" s="934" t="s">
        <v>272</v>
      </c>
      <c r="O2410" s="934" t="s">
        <v>266</v>
      </c>
      <c r="P2410" s="75" t="str">
        <f>IF(AND('331-CT'!$E$7=TH!H2410,OR(N2410="331",O2410="331")),"x","")</f>
        <v/>
      </c>
      <c r="Q2410" s="75" t="str">
        <f>IF(AND(B2410='111'!$L$11,OR($N2410=$Q$7,$O2410=$Q$7)),"x","")</f>
        <v/>
      </c>
      <c r="R2410" s="75" t="str">
        <f>IF(AND($N2410=$Q$7,$B2410&lt;'111'!$L$11),"x","")</f>
        <v/>
      </c>
      <c r="S2410" s="75" t="str">
        <f>IF(AND($O2410=$Q$7,$B2410&lt;'111'!$L$11),"x","")</f>
        <v/>
      </c>
      <c r="T2410" s="75" t="str">
        <f>IF(ISERROR(FIND('112'!$M$9,G2410,1)),"",IF((AND(FIND('112'!$M$9,G2410,1)&gt;=1,B2410='112'!$K$9,OR($N2410='112'!$I$6,$O2410='112'!$I$6))),"x",""))</f>
        <v/>
      </c>
      <c r="U2410" s="75" t="str">
        <f>IF(ISERROR(FIND('112'!$M$9,G2410,1)),"",IF((AND(LEFT(G2410,2)=LEFT('112'!$M$9,2),B2410&lt;'112'!$K$9,$N2410='112'!$I$6)),"x",""))</f>
        <v/>
      </c>
      <c r="V2410" s="75" t="str">
        <f>IF(ISERROR(FIND('112'!$M$9,G2410,1)),"",IF((AND(RIGHT(G2410,2)=RIGHT('112'!$M$9,2),B2410&lt;'112'!$K$9,$O2410='112'!$I$6)),"x",""))</f>
        <v/>
      </c>
      <c r="W2410" s="75" t="str">
        <f>IF(AND('341-CT'!$H$9=H2410,OR(LEFT(N2410,3)=$W$7,LEFT(O2410,3)=$W$7)),"x","")</f>
        <v/>
      </c>
      <c r="X2410" s="75" t="str">
        <f>IF(OR(TH!N2410=TH!$X$7,O2410=TH!$X$7),"x","")</f>
        <v/>
      </c>
      <c r="Y2410" s="75" t="str">
        <f>IF(AND(OR(N2410="131",O2410="131"),H2410='131-CT'!$H$9),"x","")</f>
        <v/>
      </c>
      <c r="Z2410" s="75"/>
      <c r="AA2410" s="75" t="str">
        <f>IF(AND(MONTH(E2410)='IN-NX'!$J$5,'IN-NX'!$D$7=D2410),"x","")</f>
        <v/>
      </c>
      <c r="AB2410" s="75" t="str">
        <f>IF(AND(OR(LEFT(TH!N2410,2)="15",LEFT(TH!O2410,2)="15"),LEFT(TH!O2410,3)&lt;&gt;"111",'152-CT'!$J$8=TH!F2410),"x","")</f>
        <v/>
      </c>
      <c r="AC2410" s="75" t="str">
        <f>IF(AND(OR(LEFT(TH!N2410,2)="15",LEFT(TH!O2410,2)="15"),TK!$E$7=TH!F2410),"x","")</f>
        <v/>
      </c>
      <c r="AD2410" s="75" t="str">
        <f>IF(AND(N2410="1521",MONTH(C2410)='BK-NL'!$M$11),"x","")</f>
        <v/>
      </c>
    </row>
    <row r="2411" spans="1:30" ht="16.5" customHeight="1">
      <c r="A2411" s="309" t="str">
        <f>IF(B2411&lt;&gt;"",IF(AND(B2411='IN-TC'!$S$4,OR(TH!N2411="1111",TH!O2411="1111")),TH!D2411,""),"")</f>
        <v/>
      </c>
      <c r="B2411" s="1159">
        <f t="shared" si="799"/>
        <v>12</v>
      </c>
      <c r="C2411" s="929">
        <f t="shared" si="804"/>
        <v>43070</v>
      </c>
      <c r="D2411" s="929" t="s">
        <v>2951</v>
      </c>
      <c r="E2411" s="929">
        <v>43070</v>
      </c>
      <c r="F2411" s="1082" t="s">
        <v>2341</v>
      </c>
      <c r="G2411" s="931"/>
      <c r="H2411" s="735" t="s">
        <v>424</v>
      </c>
      <c r="I2411" s="371">
        <v>104</v>
      </c>
      <c r="J2411" s="377">
        <v>15700</v>
      </c>
      <c r="K2411" s="371"/>
      <c r="L2411" s="377"/>
      <c r="M2411" s="933">
        <f t="shared" si="805"/>
        <v>1632800</v>
      </c>
      <c r="N2411" s="934" t="s">
        <v>272</v>
      </c>
      <c r="O2411" s="934" t="s">
        <v>266</v>
      </c>
      <c r="P2411" s="75" t="str">
        <f>IF(AND('331-CT'!$E$7=TH!H2411,OR(N2411="331",O2411="331")),"x","")</f>
        <v/>
      </c>
      <c r="Q2411" s="75" t="str">
        <f>IF(AND(B2411='111'!$L$11,OR($N2411=$Q$7,$O2411=$Q$7)),"x","")</f>
        <v/>
      </c>
      <c r="R2411" s="75" t="str">
        <f>IF(AND($N2411=$Q$7,$B2411&lt;'111'!$L$11),"x","")</f>
        <v/>
      </c>
      <c r="S2411" s="75" t="str">
        <f>IF(AND($O2411=$Q$7,$B2411&lt;'111'!$L$11),"x","")</f>
        <v/>
      </c>
      <c r="T2411" s="75" t="str">
        <f>IF(ISERROR(FIND('112'!$M$9,G2411,1)),"",IF((AND(FIND('112'!$M$9,G2411,1)&gt;=1,B2411='112'!$K$9,OR($N2411='112'!$I$6,$O2411='112'!$I$6))),"x",""))</f>
        <v/>
      </c>
      <c r="U2411" s="75" t="str">
        <f>IF(ISERROR(FIND('112'!$M$9,G2411,1)),"",IF((AND(LEFT(G2411,2)=LEFT('112'!$M$9,2),B2411&lt;'112'!$K$9,$N2411='112'!$I$6)),"x",""))</f>
        <v/>
      </c>
      <c r="V2411" s="75" t="str">
        <f>IF(ISERROR(FIND('112'!$M$9,G2411,1)),"",IF((AND(RIGHT(G2411,2)=RIGHT('112'!$M$9,2),B2411&lt;'112'!$K$9,$O2411='112'!$I$6)),"x",""))</f>
        <v/>
      </c>
      <c r="W2411" s="75" t="str">
        <f>IF(AND('341-CT'!$H$9=H2411,OR(LEFT(N2411,3)=$W$7,LEFT(O2411,3)=$W$7)),"x","")</f>
        <v/>
      </c>
      <c r="X2411" s="75" t="str">
        <f>IF(OR(TH!N2411=TH!$X$7,O2411=TH!$X$7),"x","")</f>
        <v/>
      </c>
      <c r="Y2411" s="75" t="str">
        <f>IF(AND(OR(N2411="131",O2411="131"),H2411='131-CT'!$H$9),"x","")</f>
        <v/>
      </c>
      <c r="Z2411" s="75"/>
      <c r="AA2411" s="75" t="str">
        <f>IF(AND(MONTH(E2411)='IN-NX'!$J$5,'IN-NX'!$D$7=D2411),"x","")</f>
        <v/>
      </c>
      <c r="AB2411" s="75" t="str">
        <f>IF(AND(OR(LEFT(TH!N2411,2)="15",LEFT(TH!O2411,2)="15"),LEFT(TH!O2411,3)&lt;&gt;"111",'152-CT'!$J$8=TH!F2411),"x","")</f>
        <v/>
      </c>
      <c r="AC2411" s="75" t="str">
        <f>IF(AND(OR(LEFT(TH!N2411,2)="15",LEFT(TH!O2411,2)="15"),TK!$E$7=TH!F2411),"x","")</f>
        <v/>
      </c>
      <c r="AD2411" s="75" t="str">
        <f>IF(AND(N2411="1521",MONTH(C2411)='BK-NL'!$M$11),"x","")</f>
        <v/>
      </c>
    </row>
    <row r="2412" spans="1:30" ht="16.5" customHeight="1">
      <c r="A2412" s="309" t="str">
        <f>IF(B2412&lt;&gt;"",IF(AND(B2412='IN-TC'!$S$4,OR(TH!N2412="1111",TH!O2412="1111")),TH!D2412,""),"")</f>
        <v/>
      </c>
      <c r="B2412" s="1159">
        <f t="shared" si="799"/>
        <v>12</v>
      </c>
      <c r="C2412" s="929">
        <f t="shared" ref="C2412" si="806">E2412</f>
        <v>43070</v>
      </c>
      <c r="D2412" s="929" t="s">
        <v>2951</v>
      </c>
      <c r="E2412" s="929">
        <v>43070</v>
      </c>
      <c r="F2412" s="1082" t="s">
        <v>2768</v>
      </c>
      <c r="G2412" s="931"/>
      <c r="H2412" s="735" t="s">
        <v>424</v>
      </c>
      <c r="I2412" s="371">
        <v>137</v>
      </c>
      <c r="J2412" s="377">
        <v>14200</v>
      </c>
      <c r="K2412" s="371"/>
      <c r="L2412" s="377"/>
      <c r="M2412" s="933">
        <f t="shared" ref="M2412" si="807">ROUND(I2412*J2412,0)</f>
        <v>1945400</v>
      </c>
      <c r="N2412" s="934" t="s">
        <v>272</v>
      </c>
      <c r="O2412" s="934" t="s">
        <v>266</v>
      </c>
      <c r="P2412" s="75" t="str">
        <f>IF(AND('331-CT'!$E$7=TH!H2412,OR(N2412="331",O2412="331")),"x","")</f>
        <v/>
      </c>
      <c r="Q2412" s="75" t="str">
        <f>IF(AND(B2412='111'!$L$11,OR($N2412=$Q$7,$O2412=$Q$7)),"x","")</f>
        <v/>
      </c>
      <c r="R2412" s="75" t="str">
        <f>IF(AND($N2412=$Q$7,$B2412&lt;'111'!$L$11),"x","")</f>
        <v/>
      </c>
      <c r="S2412" s="75" t="str">
        <f>IF(AND($O2412=$Q$7,$B2412&lt;'111'!$L$11),"x","")</f>
        <v/>
      </c>
      <c r="T2412" s="75" t="str">
        <f>IF(ISERROR(FIND('112'!$M$9,G2412,1)),"",IF((AND(FIND('112'!$M$9,G2412,1)&gt;=1,B2412='112'!$K$9,OR($N2412='112'!$I$6,$O2412='112'!$I$6))),"x",""))</f>
        <v/>
      </c>
      <c r="U2412" s="75" t="str">
        <f>IF(ISERROR(FIND('112'!$M$9,G2412,1)),"",IF((AND(LEFT(G2412,2)=LEFT('112'!$M$9,2),B2412&lt;'112'!$K$9,$N2412='112'!$I$6)),"x",""))</f>
        <v/>
      </c>
      <c r="V2412" s="75" t="str">
        <f>IF(ISERROR(FIND('112'!$M$9,G2412,1)),"",IF((AND(RIGHT(G2412,2)=RIGHT('112'!$M$9,2),B2412&lt;'112'!$K$9,$O2412='112'!$I$6)),"x",""))</f>
        <v/>
      </c>
      <c r="W2412" s="75" t="str">
        <f>IF(AND('341-CT'!$H$9=H2412,OR(LEFT(N2412,3)=$W$7,LEFT(O2412,3)=$W$7)),"x","")</f>
        <v/>
      </c>
      <c r="X2412" s="75" t="str">
        <f>IF(OR(TH!N2412=TH!$X$7,O2412=TH!$X$7),"x","")</f>
        <v/>
      </c>
      <c r="Y2412" s="75" t="str">
        <f>IF(AND(OR(N2412="131",O2412="131"),H2412='131-CT'!$H$9),"x","")</f>
        <v/>
      </c>
      <c r="Z2412" s="75"/>
      <c r="AA2412" s="75" t="str">
        <f>IF(AND(MONTH(E2412)='IN-NX'!$J$5,'IN-NX'!$D$7=D2412),"x","")</f>
        <v/>
      </c>
      <c r="AB2412" s="75" t="str">
        <f>IF(AND(OR(LEFT(TH!N2412,2)="15",LEFT(TH!O2412,2)="15"),LEFT(TH!O2412,3)&lt;&gt;"111",'152-CT'!$J$8=TH!F2412),"x","")</f>
        <v>x</v>
      </c>
      <c r="AC2412" s="75" t="str">
        <f>IF(AND(OR(LEFT(TH!N2412,2)="15",LEFT(TH!O2412,2)="15"),TK!$E$7=TH!F2412),"x","")</f>
        <v/>
      </c>
      <c r="AD2412" s="75" t="str">
        <f>IF(AND(N2412="1521",MONTH(C2412)='BK-NL'!$M$11),"x","")</f>
        <v/>
      </c>
    </row>
    <row r="2413" spans="1:30" ht="16.5" customHeight="1">
      <c r="A2413" s="309" t="str">
        <f>IF(B2413&lt;&gt;"",IF(AND(B2413='IN-TC'!$S$4,OR(TH!N2413="1111",TH!O2413="1111")),TH!D2413,""),"")</f>
        <v/>
      </c>
      <c r="B2413" s="1159">
        <f t="shared" si="799"/>
        <v>12</v>
      </c>
      <c r="C2413" s="929">
        <f t="shared" si="804"/>
        <v>43070</v>
      </c>
      <c r="D2413" s="929" t="s">
        <v>2951</v>
      </c>
      <c r="E2413" s="929">
        <v>43070</v>
      </c>
      <c r="F2413" s="1082" t="s">
        <v>2341</v>
      </c>
      <c r="G2413" s="931"/>
      <c r="H2413" s="735" t="s">
        <v>424</v>
      </c>
      <c r="I2413" s="371">
        <v>450</v>
      </c>
      <c r="J2413" s="377">
        <v>13800</v>
      </c>
      <c r="K2413" s="371"/>
      <c r="L2413" s="377"/>
      <c r="M2413" s="933">
        <f t="shared" si="805"/>
        <v>6210000</v>
      </c>
      <c r="N2413" s="934" t="s">
        <v>272</v>
      </c>
      <c r="O2413" s="934" t="s">
        <v>266</v>
      </c>
      <c r="P2413" s="75" t="str">
        <f>IF(AND('331-CT'!$E$7=TH!H2413,OR(N2413="331",O2413="331")),"x","")</f>
        <v/>
      </c>
      <c r="Q2413" s="75" t="str">
        <f>IF(AND(B2413='111'!$L$11,OR($N2413=$Q$7,$O2413=$Q$7)),"x","")</f>
        <v/>
      </c>
      <c r="R2413" s="75" t="str">
        <f>IF(AND($N2413=$Q$7,$B2413&lt;'111'!$L$11),"x","")</f>
        <v/>
      </c>
      <c r="S2413" s="75" t="str">
        <f>IF(AND($O2413=$Q$7,$B2413&lt;'111'!$L$11),"x","")</f>
        <v/>
      </c>
      <c r="T2413" s="75" t="str">
        <f>IF(ISERROR(FIND('112'!$M$9,G2413,1)),"",IF((AND(FIND('112'!$M$9,G2413,1)&gt;=1,B2413='112'!$K$9,OR($N2413='112'!$I$6,$O2413='112'!$I$6))),"x",""))</f>
        <v/>
      </c>
      <c r="U2413" s="75" t="str">
        <f>IF(ISERROR(FIND('112'!$M$9,G2413,1)),"",IF((AND(LEFT(G2413,2)=LEFT('112'!$M$9,2),B2413&lt;'112'!$K$9,$N2413='112'!$I$6)),"x",""))</f>
        <v/>
      </c>
      <c r="V2413" s="75" t="str">
        <f>IF(ISERROR(FIND('112'!$M$9,G2413,1)),"",IF((AND(RIGHT(G2413,2)=RIGHT('112'!$M$9,2),B2413&lt;'112'!$K$9,$O2413='112'!$I$6)),"x",""))</f>
        <v/>
      </c>
      <c r="W2413" s="75" t="str">
        <f>IF(AND('341-CT'!$H$9=H2413,OR(LEFT(N2413,3)=$W$7,LEFT(O2413,3)=$W$7)),"x","")</f>
        <v/>
      </c>
      <c r="X2413" s="75" t="str">
        <f>IF(OR(TH!N2413=TH!$X$7,O2413=TH!$X$7),"x","")</f>
        <v/>
      </c>
      <c r="Y2413" s="75" t="str">
        <f>IF(AND(OR(N2413="131",O2413="131"),H2413='131-CT'!$H$9),"x","")</f>
        <v/>
      </c>
      <c r="Z2413" s="75"/>
      <c r="AA2413" s="75" t="str">
        <f>IF(AND(MONTH(E2413)='IN-NX'!$J$5,'IN-NX'!$D$7=D2413),"x","")</f>
        <v/>
      </c>
      <c r="AB2413" s="75" t="str">
        <f>IF(AND(OR(LEFT(TH!N2413,2)="15",LEFT(TH!O2413,2)="15"),LEFT(TH!O2413,3)&lt;&gt;"111",'152-CT'!$J$8=TH!F2413),"x","")</f>
        <v/>
      </c>
      <c r="AC2413" s="75" t="str">
        <f>IF(AND(OR(LEFT(TH!N2413,2)="15",LEFT(TH!O2413,2)="15"),TK!$E$7=TH!F2413),"x","")</f>
        <v/>
      </c>
      <c r="AD2413" s="75" t="str">
        <f>IF(AND(N2413="1521",MONTH(C2413)='BK-NL'!$M$11),"x","")</f>
        <v/>
      </c>
    </row>
    <row r="2414" spans="1:30" ht="16.5" customHeight="1">
      <c r="A2414" s="309" t="str">
        <f>IF(B2414&lt;&gt;"",IF(AND(B2414='IN-TC'!$S$4,OR(TH!N2414="1111",TH!O2414="1111")),TH!D2414,""),"")</f>
        <v/>
      </c>
      <c r="B2414" s="1159">
        <f t="shared" si="799"/>
        <v>12</v>
      </c>
      <c r="C2414" s="929">
        <f t="shared" si="804"/>
        <v>43070</v>
      </c>
      <c r="D2414" s="929" t="s">
        <v>2951</v>
      </c>
      <c r="E2414" s="929">
        <v>43070</v>
      </c>
      <c r="F2414" s="1082" t="s">
        <v>830</v>
      </c>
      <c r="G2414" s="931"/>
      <c r="H2414" s="735" t="s">
        <v>424</v>
      </c>
      <c r="I2414" s="371">
        <v>450</v>
      </c>
      <c r="J2414" s="377">
        <v>2400</v>
      </c>
      <c r="K2414" s="371"/>
      <c r="L2414" s="377"/>
      <c r="M2414" s="933">
        <f t="shared" si="805"/>
        <v>1080000</v>
      </c>
      <c r="N2414" s="934" t="s">
        <v>272</v>
      </c>
      <c r="O2414" s="934" t="s">
        <v>266</v>
      </c>
      <c r="P2414" s="75" t="str">
        <f>IF(AND('331-CT'!$E$7=TH!H2414,OR(N2414="331",O2414="331")),"x","")</f>
        <v/>
      </c>
      <c r="Q2414" s="75" t="str">
        <f>IF(AND(B2414='111'!$L$11,OR($N2414=$Q$7,$O2414=$Q$7)),"x","")</f>
        <v/>
      </c>
      <c r="R2414" s="75" t="str">
        <f>IF(AND($N2414=$Q$7,$B2414&lt;'111'!$L$11),"x","")</f>
        <v/>
      </c>
      <c r="S2414" s="75" t="str">
        <f>IF(AND($O2414=$Q$7,$B2414&lt;'111'!$L$11),"x","")</f>
        <v/>
      </c>
      <c r="T2414" s="75" t="str">
        <f>IF(ISERROR(FIND('112'!$M$9,G2414,1)),"",IF((AND(FIND('112'!$M$9,G2414,1)&gt;=1,B2414='112'!$K$9,OR($N2414='112'!$I$6,$O2414='112'!$I$6))),"x",""))</f>
        <v/>
      </c>
      <c r="U2414" s="75" t="str">
        <f>IF(ISERROR(FIND('112'!$M$9,G2414,1)),"",IF((AND(LEFT(G2414,2)=LEFT('112'!$M$9,2),B2414&lt;'112'!$K$9,$N2414='112'!$I$6)),"x",""))</f>
        <v/>
      </c>
      <c r="V2414" s="75" t="str">
        <f>IF(ISERROR(FIND('112'!$M$9,G2414,1)),"",IF((AND(RIGHT(G2414,2)=RIGHT('112'!$M$9,2),B2414&lt;'112'!$K$9,$O2414='112'!$I$6)),"x",""))</f>
        <v/>
      </c>
      <c r="W2414" s="75" t="str">
        <f>IF(AND('341-CT'!$H$9=H2414,OR(LEFT(N2414,3)=$W$7,LEFT(O2414,3)=$W$7)),"x","")</f>
        <v/>
      </c>
      <c r="X2414" s="75" t="str">
        <f>IF(OR(TH!N2414=TH!$X$7,O2414=TH!$X$7),"x","")</f>
        <v/>
      </c>
      <c r="Y2414" s="75" t="str">
        <f>IF(AND(OR(N2414="131",O2414="131"),H2414='131-CT'!$H$9),"x","")</f>
        <v/>
      </c>
      <c r="Z2414" s="75"/>
      <c r="AA2414" s="75" t="str">
        <f>IF(AND(MONTH(E2414)='IN-NX'!$J$5,'IN-NX'!$D$7=D2414),"x","")</f>
        <v/>
      </c>
      <c r="AB2414" s="75" t="str">
        <f>IF(AND(OR(LEFT(TH!N2414,2)="15",LEFT(TH!O2414,2)="15"),LEFT(TH!O2414,3)&lt;&gt;"111",'152-CT'!$J$8=TH!F2414),"x","")</f>
        <v/>
      </c>
      <c r="AC2414" s="75" t="str">
        <f>IF(AND(OR(LEFT(TH!N2414,2)="15",LEFT(TH!O2414,2)="15"),TK!$E$7=TH!F2414),"x","")</f>
        <v/>
      </c>
      <c r="AD2414" s="75" t="str">
        <f>IF(AND(N2414="1521",MONTH(C2414)='BK-NL'!$M$11),"x","")</f>
        <v/>
      </c>
    </row>
    <row r="2415" spans="1:30" ht="16.5" customHeight="1">
      <c r="A2415" s="309" t="str">
        <f>IF(B2415&lt;&gt;"",IF(AND(B2415='IN-TC'!$S$4,OR(TH!N2415="1111",TH!O2415="1111")),TH!D2415,""),"")</f>
        <v/>
      </c>
      <c r="B2415" s="1159">
        <f t="shared" si="799"/>
        <v>12</v>
      </c>
      <c r="C2415" s="929">
        <f t="shared" ref="C2415:C2418" si="808">E2415</f>
        <v>43070</v>
      </c>
      <c r="D2415" s="929" t="s">
        <v>2951</v>
      </c>
      <c r="E2415" s="929">
        <v>43070</v>
      </c>
      <c r="F2415" s="1082" t="s">
        <v>830</v>
      </c>
      <c r="G2415" s="931"/>
      <c r="H2415" s="735" t="s">
        <v>424</v>
      </c>
      <c r="I2415" s="371">
        <v>520</v>
      </c>
      <c r="J2415" s="377">
        <v>2760</v>
      </c>
      <c r="K2415" s="371"/>
      <c r="L2415" s="377"/>
      <c r="M2415" s="933">
        <f t="shared" ref="M2415:M2418" si="809">ROUND(I2415*J2415,0)</f>
        <v>1435200</v>
      </c>
      <c r="N2415" s="934" t="s">
        <v>272</v>
      </c>
      <c r="O2415" s="934" t="s">
        <v>266</v>
      </c>
      <c r="P2415" s="75" t="str">
        <f>IF(AND('331-CT'!$E$7=TH!H2415,OR(N2415="331",O2415="331")),"x","")</f>
        <v/>
      </c>
      <c r="Q2415" s="75" t="str">
        <f>IF(AND(B2415='111'!$L$11,OR($N2415=$Q$7,$O2415=$Q$7)),"x","")</f>
        <v/>
      </c>
      <c r="R2415" s="75" t="str">
        <f>IF(AND($N2415=$Q$7,$B2415&lt;'111'!$L$11),"x","")</f>
        <v/>
      </c>
      <c r="S2415" s="75" t="str">
        <f>IF(AND($O2415=$Q$7,$B2415&lt;'111'!$L$11),"x","")</f>
        <v/>
      </c>
      <c r="T2415" s="75" t="str">
        <f>IF(ISERROR(FIND('112'!$M$9,G2415,1)),"",IF((AND(FIND('112'!$M$9,G2415,1)&gt;=1,B2415='112'!$K$9,OR($N2415='112'!$I$6,$O2415='112'!$I$6))),"x",""))</f>
        <v/>
      </c>
      <c r="U2415" s="75" t="str">
        <f>IF(ISERROR(FIND('112'!$M$9,G2415,1)),"",IF((AND(LEFT(G2415,2)=LEFT('112'!$M$9,2),B2415&lt;'112'!$K$9,$N2415='112'!$I$6)),"x",""))</f>
        <v/>
      </c>
      <c r="V2415" s="75" t="str">
        <f>IF(ISERROR(FIND('112'!$M$9,G2415,1)),"",IF((AND(RIGHT(G2415,2)=RIGHT('112'!$M$9,2),B2415&lt;'112'!$K$9,$O2415='112'!$I$6)),"x",""))</f>
        <v/>
      </c>
      <c r="W2415" s="75" t="str">
        <f>IF(AND('341-CT'!$H$9=H2415,OR(LEFT(N2415,3)=$W$7,LEFT(O2415,3)=$W$7)),"x","")</f>
        <v/>
      </c>
      <c r="X2415" s="75" t="str">
        <f>IF(OR(TH!N2415=TH!$X$7,O2415=TH!$X$7),"x","")</f>
        <v/>
      </c>
      <c r="Y2415" s="75" t="str">
        <f>IF(AND(OR(N2415="131",O2415="131"),H2415='131-CT'!$H$9),"x","")</f>
        <v/>
      </c>
      <c r="Z2415" s="75"/>
      <c r="AA2415" s="75" t="str">
        <f>IF(AND(MONTH(E2415)='IN-NX'!$J$5,'IN-NX'!$D$7=D2415),"x","")</f>
        <v/>
      </c>
      <c r="AB2415" s="75" t="str">
        <f>IF(AND(OR(LEFT(TH!N2415,2)="15",LEFT(TH!O2415,2)="15"),LEFT(TH!O2415,3)&lt;&gt;"111",'152-CT'!$J$8=TH!F2415),"x","")</f>
        <v/>
      </c>
      <c r="AC2415" s="75" t="str">
        <f>IF(AND(OR(LEFT(TH!N2415,2)="15",LEFT(TH!O2415,2)="15"),TK!$E$7=TH!F2415),"x","")</f>
        <v/>
      </c>
      <c r="AD2415" s="75" t="str">
        <f>IF(AND(N2415="1521",MONTH(C2415)='BK-NL'!$M$11),"x","")</f>
        <v/>
      </c>
    </row>
    <row r="2416" spans="1:30" ht="16.5" customHeight="1">
      <c r="A2416" s="309" t="str">
        <f>IF(B2416&lt;&gt;"",IF(AND(B2416='IN-TC'!$S$4,OR(TH!N2416="1111",TH!O2416="1111")),TH!D2416,""),"")</f>
        <v/>
      </c>
      <c r="B2416" s="1159">
        <f t="shared" si="799"/>
        <v>12</v>
      </c>
      <c r="C2416" s="929">
        <f t="shared" si="808"/>
        <v>43070</v>
      </c>
      <c r="D2416" s="929" t="s">
        <v>2951</v>
      </c>
      <c r="E2416" s="929">
        <v>43070</v>
      </c>
      <c r="F2416" s="1082" t="s">
        <v>830</v>
      </c>
      <c r="G2416" s="931"/>
      <c r="H2416" s="735" t="s">
        <v>424</v>
      </c>
      <c r="I2416" s="371">
        <v>520</v>
      </c>
      <c r="J2416" s="377">
        <v>2760</v>
      </c>
      <c r="K2416" s="371"/>
      <c r="L2416" s="377"/>
      <c r="M2416" s="933">
        <f t="shared" si="809"/>
        <v>1435200</v>
      </c>
      <c r="N2416" s="934" t="s">
        <v>272</v>
      </c>
      <c r="O2416" s="934" t="s">
        <v>266</v>
      </c>
      <c r="P2416" s="75" t="str">
        <f>IF(AND('331-CT'!$E$7=TH!H2416,OR(N2416="331",O2416="331")),"x","")</f>
        <v/>
      </c>
      <c r="Q2416" s="75" t="str">
        <f>IF(AND(B2416='111'!$L$11,OR($N2416=$Q$7,$O2416=$Q$7)),"x","")</f>
        <v/>
      </c>
      <c r="R2416" s="75" t="str">
        <f>IF(AND($N2416=$Q$7,$B2416&lt;'111'!$L$11),"x","")</f>
        <v/>
      </c>
      <c r="S2416" s="75" t="str">
        <f>IF(AND($O2416=$Q$7,$B2416&lt;'111'!$L$11),"x","")</f>
        <v/>
      </c>
      <c r="T2416" s="75" t="str">
        <f>IF(ISERROR(FIND('112'!$M$9,G2416,1)),"",IF((AND(FIND('112'!$M$9,G2416,1)&gt;=1,B2416='112'!$K$9,OR($N2416='112'!$I$6,$O2416='112'!$I$6))),"x",""))</f>
        <v/>
      </c>
      <c r="U2416" s="75" t="str">
        <f>IF(ISERROR(FIND('112'!$M$9,G2416,1)),"",IF((AND(LEFT(G2416,2)=LEFT('112'!$M$9,2),B2416&lt;'112'!$K$9,$N2416='112'!$I$6)),"x",""))</f>
        <v/>
      </c>
      <c r="V2416" s="75" t="str">
        <f>IF(ISERROR(FIND('112'!$M$9,G2416,1)),"",IF((AND(RIGHT(G2416,2)=RIGHT('112'!$M$9,2),B2416&lt;'112'!$K$9,$O2416='112'!$I$6)),"x",""))</f>
        <v/>
      </c>
      <c r="W2416" s="75" t="str">
        <f>IF(AND('341-CT'!$H$9=H2416,OR(LEFT(N2416,3)=$W$7,LEFT(O2416,3)=$W$7)),"x","")</f>
        <v/>
      </c>
      <c r="X2416" s="75" t="str">
        <f>IF(OR(TH!N2416=TH!$X$7,O2416=TH!$X$7),"x","")</f>
        <v/>
      </c>
      <c r="Y2416" s="75" t="str">
        <f>IF(AND(OR(N2416="131",O2416="131"),H2416='131-CT'!$H$9),"x","")</f>
        <v/>
      </c>
      <c r="Z2416" s="75"/>
      <c r="AA2416" s="75" t="str">
        <f>IF(AND(MONTH(E2416)='IN-NX'!$J$5,'IN-NX'!$D$7=D2416),"x","")</f>
        <v/>
      </c>
      <c r="AB2416" s="75" t="str">
        <f>IF(AND(OR(LEFT(TH!N2416,2)="15",LEFT(TH!O2416,2)="15"),LEFT(TH!O2416,3)&lt;&gt;"111",'152-CT'!$J$8=TH!F2416),"x","")</f>
        <v/>
      </c>
      <c r="AC2416" s="75" t="str">
        <f>IF(AND(OR(LEFT(TH!N2416,2)="15",LEFT(TH!O2416,2)="15"),TK!$E$7=TH!F2416),"x","")</f>
        <v/>
      </c>
      <c r="AD2416" s="75" t="str">
        <f>IF(AND(N2416="1521",MONTH(C2416)='BK-NL'!$M$11),"x","")</f>
        <v/>
      </c>
    </row>
    <row r="2417" spans="1:30" ht="16.5" customHeight="1">
      <c r="A2417" s="309" t="str">
        <f>IF(B2417&lt;&gt;"",IF(AND(B2417='IN-TC'!$S$4,OR(TH!N2417="1111",TH!O2417="1111")),TH!D2417,""),"")</f>
        <v/>
      </c>
      <c r="B2417" s="1159">
        <f t="shared" si="799"/>
        <v>12</v>
      </c>
      <c r="C2417" s="929">
        <f t="shared" si="808"/>
        <v>43070</v>
      </c>
      <c r="D2417" s="929" t="s">
        <v>2951</v>
      </c>
      <c r="E2417" s="929">
        <v>43070</v>
      </c>
      <c r="F2417" s="1082" t="s">
        <v>830</v>
      </c>
      <c r="G2417" s="931"/>
      <c r="H2417" s="735" t="s">
        <v>424</v>
      </c>
      <c r="I2417" s="371">
        <v>504</v>
      </c>
      <c r="J2417" s="377">
        <v>2760</v>
      </c>
      <c r="K2417" s="371"/>
      <c r="L2417" s="377"/>
      <c r="M2417" s="933">
        <f t="shared" si="809"/>
        <v>1391040</v>
      </c>
      <c r="N2417" s="934" t="s">
        <v>272</v>
      </c>
      <c r="O2417" s="934" t="s">
        <v>266</v>
      </c>
      <c r="P2417" s="75" t="str">
        <f>IF(AND('331-CT'!$E$7=TH!H2417,OR(N2417="331",O2417="331")),"x","")</f>
        <v/>
      </c>
      <c r="Q2417" s="75" t="str">
        <f>IF(AND(B2417='111'!$L$11,OR($N2417=$Q$7,$O2417=$Q$7)),"x","")</f>
        <v/>
      </c>
      <c r="R2417" s="75" t="str">
        <f>IF(AND($N2417=$Q$7,$B2417&lt;'111'!$L$11),"x","")</f>
        <v/>
      </c>
      <c r="S2417" s="75" t="str">
        <f>IF(AND($O2417=$Q$7,$B2417&lt;'111'!$L$11),"x","")</f>
        <v/>
      </c>
      <c r="T2417" s="75" t="str">
        <f>IF(ISERROR(FIND('112'!$M$9,G2417,1)),"",IF((AND(FIND('112'!$M$9,G2417,1)&gt;=1,B2417='112'!$K$9,OR($N2417='112'!$I$6,$O2417='112'!$I$6))),"x",""))</f>
        <v/>
      </c>
      <c r="U2417" s="75" t="str">
        <f>IF(ISERROR(FIND('112'!$M$9,G2417,1)),"",IF((AND(LEFT(G2417,2)=LEFT('112'!$M$9,2),B2417&lt;'112'!$K$9,$N2417='112'!$I$6)),"x",""))</f>
        <v/>
      </c>
      <c r="V2417" s="75" t="str">
        <f>IF(ISERROR(FIND('112'!$M$9,G2417,1)),"",IF((AND(RIGHT(G2417,2)=RIGHT('112'!$M$9,2),B2417&lt;'112'!$K$9,$O2417='112'!$I$6)),"x",""))</f>
        <v/>
      </c>
      <c r="W2417" s="75" t="str">
        <f>IF(AND('341-CT'!$H$9=H2417,OR(LEFT(N2417,3)=$W$7,LEFT(O2417,3)=$W$7)),"x","")</f>
        <v/>
      </c>
      <c r="X2417" s="75" t="str">
        <f>IF(OR(TH!N2417=TH!$X$7,O2417=TH!$X$7),"x","")</f>
        <v/>
      </c>
      <c r="Y2417" s="75" t="str">
        <f>IF(AND(OR(N2417="131",O2417="131"),H2417='131-CT'!$H$9),"x","")</f>
        <v/>
      </c>
      <c r="Z2417" s="75"/>
      <c r="AA2417" s="75" t="str">
        <f>IF(AND(MONTH(E2417)='IN-NX'!$J$5,'IN-NX'!$D$7=D2417),"x","")</f>
        <v/>
      </c>
      <c r="AB2417" s="75" t="str">
        <f>IF(AND(OR(LEFT(TH!N2417,2)="15",LEFT(TH!O2417,2)="15"),LEFT(TH!O2417,3)&lt;&gt;"111",'152-CT'!$J$8=TH!F2417),"x","")</f>
        <v/>
      </c>
      <c r="AC2417" s="75" t="str">
        <f>IF(AND(OR(LEFT(TH!N2417,2)="15",LEFT(TH!O2417,2)="15"),TK!$E$7=TH!F2417),"x","")</f>
        <v/>
      </c>
      <c r="AD2417" s="75" t="str">
        <f>IF(AND(N2417="1521",MONTH(C2417)='BK-NL'!$M$11),"x","")</f>
        <v/>
      </c>
    </row>
    <row r="2418" spans="1:30" ht="16.5" customHeight="1">
      <c r="A2418" s="309" t="str">
        <f>IF(B2418&lt;&gt;"",IF(AND(B2418='IN-TC'!$S$4,OR(TH!N2418="1111",TH!O2418="1111")),TH!D2418,""),"")</f>
        <v/>
      </c>
      <c r="B2418" s="1159">
        <f t="shared" si="799"/>
        <v>12</v>
      </c>
      <c r="C2418" s="929">
        <f t="shared" si="808"/>
        <v>43070</v>
      </c>
      <c r="D2418" s="929" t="s">
        <v>2951</v>
      </c>
      <c r="E2418" s="929">
        <v>43070</v>
      </c>
      <c r="F2418" s="1082" t="s">
        <v>781</v>
      </c>
      <c r="G2418" s="931"/>
      <c r="H2418" s="735" t="s">
        <v>424</v>
      </c>
      <c r="I2418" s="371">
        <v>652</v>
      </c>
      <c r="J2418" s="377">
        <v>11000</v>
      </c>
      <c r="K2418" s="371"/>
      <c r="L2418" s="377"/>
      <c r="M2418" s="933">
        <f t="shared" si="809"/>
        <v>7172000</v>
      </c>
      <c r="N2418" s="934" t="s">
        <v>272</v>
      </c>
      <c r="O2418" s="934" t="s">
        <v>266</v>
      </c>
      <c r="P2418" s="75" t="str">
        <f>IF(AND('331-CT'!$E$7=TH!H2418,OR(N2418="331",O2418="331")),"x","")</f>
        <v/>
      </c>
      <c r="Q2418" s="75" t="str">
        <f>IF(AND(B2418='111'!$L$11,OR($N2418=$Q$7,$O2418=$Q$7)),"x","")</f>
        <v/>
      </c>
      <c r="R2418" s="75" t="str">
        <f>IF(AND($N2418=$Q$7,$B2418&lt;'111'!$L$11),"x","")</f>
        <v/>
      </c>
      <c r="S2418" s="75" t="str">
        <f>IF(AND($O2418=$Q$7,$B2418&lt;'111'!$L$11),"x","")</f>
        <v/>
      </c>
      <c r="T2418" s="75" t="str">
        <f>IF(ISERROR(FIND('112'!$M$9,G2418,1)),"",IF((AND(FIND('112'!$M$9,G2418,1)&gt;=1,B2418='112'!$K$9,OR($N2418='112'!$I$6,$O2418='112'!$I$6))),"x",""))</f>
        <v/>
      </c>
      <c r="U2418" s="75" t="str">
        <f>IF(ISERROR(FIND('112'!$M$9,G2418,1)),"",IF((AND(LEFT(G2418,2)=LEFT('112'!$M$9,2),B2418&lt;'112'!$K$9,$N2418='112'!$I$6)),"x",""))</f>
        <v/>
      </c>
      <c r="V2418" s="75" t="str">
        <f>IF(ISERROR(FIND('112'!$M$9,G2418,1)),"",IF((AND(RIGHT(G2418,2)=RIGHT('112'!$M$9,2),B2418&lt;'112'!$K$9,$O2418='112'!$I$6)),"x",""))</f>
        <v/>
      </c>
      <c r="W2418" s="75" t="str">
        <f>IF(AND('341-CT'!$H$9=H2418,OR(LEFT(N2418,3)=$W$7,LEFT(O2418,3)=$W$7)),"x","")</f>
        <v/>
      </c>
      <c r="X2418" s="75" t="str">
        <f>IF(OR(TH!N2418=TH!$X$7,O2418=TH!$X$7),"x","")</f>
        <v/>
      </c>
      <c r="Y2418" s="75" t="str">
        <f>IF(AND(OR(N2418="131",O2418="131"),H2418='131-CT'!$H$9),"x","")</f>
        <v/>
      </c>
      <c r="Z2418" s="75"/>
      <c r="AA2418" s="75" t="str">
        <f>IF(AND(MONTH(E2418)='IN-NX'!$J$5,'IN-NX'!$D$7=D2418),"x","")</f>
        <v/>
      </c>
      <c r="AB2418" s="75" t="str">
        <f>IF(AND(OR(LEFT(TH!N2418,2)="15",LEFT(TH!O2418,2)="15"),LEFT(TH!O2418,3)&lt;&gt;"111",'152-CT'!$J$8=TH!F2418),"x","")</f>
        <v/>
      </c>
      <c r="AC2418" s="75" t="str">
        <f>IF(AND(OR(LEFT(TH!N2418,2)="15",LEFT(TH!O2418,2)="15"),TK!$E$7=TH!F2418),"x","")</f>
        <v/>
      </c>
      <c r="AD2418" s="75" t="str">
        <f>IF(AND(N2418="1521",MONTH(C2418)='BK-NL'!$M$11),"x","")</f>
        <v/>
      </c>
    </row>
    <row r="2419" spans="1:30" ht="16.5" customHeight="1">
      <c r="A2419" s="309" t="str">
        <f>IF(B2419&lt;&gt;"",IF(AND(B2419='IN-TC'!$S$4,OR(TH!N2419="1111",TH!O2419="1111")),TH!D2419,""),"")</f>
        <v/>
      </c>
      <c r="B2419" s="1159">
        <f t="shared" si="799"/>
        <v>12</v>
      </c>
      <c r="C2419" s="929">
        <f t="shared" ref="C2419:C2480" si="810">E2419</f>
        <v>43070</v>
      </c>
      <c r="D2419" s="929" t="s">
        <v>2951</v>
      </c>
      <c r="E2419" s="929">
        <v>43070</v>
      </c>
      <c r="F2419" s="1082" t="s">
        <v>781</v>
      </c>
      <c r="G2419" s="931"/>
      <c r="H2419" s="735" t="s">
        <v>424</v>
      </c>
      <c r="I2419" s="371">
        <v>1260</v>
      </c>
      <c r="J2419" s="377">
        <v>11550</v>
      </c>
      <c r="K2419" s="371"/>
      <c r="L2419" s="377"/>
      <c r="M2419" s="933">
        <f t="shared" ref="M2419:M2480" si="811">ROUND(I2419*J2419,0)</f>
        <v>14553000</v>
      </c>
      <c r="N2419" s="934" t="s">
        <v>272</v>
      </c>
      <c r="O2419" s="934" t="s">
        <v>266</v>
      </c>
      <c r="P2419" s="75" t="str">
        <f>IF(AND('331-CT'!$E$7=TH!H2419,OR(N2419="331",O2419="331")),"x","")</f>
        <v/>
      </c>
      <c r="Q2419" s="75" t="str">
        <f>IF(AND(B2419='111'!$L$11,OR($N2419=$Q$7,$O2419=$Q$7)),"x","")</f>
        <v/>
      </c>
      <c r="R2419" s="75" t="str">
        <f>IF(AND($N2419=$Q$7,$B2419&lt;'111'!$L$11),"x","")</f>
        <v/>
      </c>
      <c r="S2419" s="75" t="str">
        <f>IF(AND($O2419=$Q$7,$B2419&lt;'111'!$L$11),"x","")</f>
        <v/>
      </c>
      <c r="T2419" s="75" t="str">
        <f>IF(ISERROR(FIND('112'!$M$9,G2419,1)),"",IF((AND(FIND('112'!$M$9,G2419,1)&gt;=1,B2419='112'!$K$9,OR($N2419='112'!$I$6,$O2419='112'!$I$6))),"x",""))</f>
        <v/>
      </c>
      <c r="U2419" s="75" t="str">
        <f>IF(ISERROR(FIND('112'!$M$9,G2419,1)),"",IF((AND(LEFT(G2419,2)=LEFT('112'!$M$9,2),B2419&lt;'112'!$K$9,$N2419='112'!$I$6)),"x",""))</f>
        <v/>
      </c>
      <c r="V2419" s="75" t="str">
        <f>IF(ISERROR(FIND('112'!$M$9,G2419,1)),"",IF((AND(RIGHT(G2419,2)=RIGHT('112'!$M$9,2),B2419&lt;'112'!$K$9,$O2419='112'!$I$6)),"x",""))</f>
        <v/>
      </c>
      <c r="W2419" s="75" t="str">
        <f>IF(AND('341-CT'!$H$9=H2419,OR(LEFT(N2419,3)=$W$7,LEFT(O2419,3)=$W$7)),"x","")</f>
        <v/>
      </c>
      <c r="X2419" s="75" t="str">
        <f>IF(OR(TH!N2419=TH!$X$7,O2419=TH!$X$7),"x","")</f>
        <v/>
      </c>
      <c r="Y2419" s="75" t="str">
        <f>IF(AND(OR(N2419="131",O2419="131"),H2419='131-CT'!$H$9),"x","")</f>
        <v/>
      </c>
      <c r="Z2419" s="75"/>
      <c r="AA2419" s="75" t="str">
        <f>IF(AND(MONTH(E2419)='IN-NX'!$J$5,'IN-NX'!$D$7=D2419),"x","")</f>
        <v/>
      </c>
      <c r="AB2419" s="75" t="str">
        <f>IF(AND(OR(LEFT(TH!N2419,2)="15",LEFT(TH!O2419,2)="15"),LEFT(TH!O2419,3)&lt;&gt;"111",'152-CT'!$J$8=TH!F2419),"x","")</f>
        <v/>
      </c>
      <c r="AC2419" s="75" t="str">
        <f>IF(AND(OR(LEFT(TH!N2419,2)="15",LEFT(TH!O2419,2)="15"),TK!$E$7=TH!F2419),"x","")</f>
        <v/>
      </c>
      <c r="AD2419" s="75" t="str">
        <f>IF(AND(N2419="1521",MONTH(C2419)='BK-NL'!$M$11),"x","")</f>
        <v/>
      </c>
    </row>
    <row r="2420" spans="1:30" ht="16.5" customHeight="1">
      <c r="A2420" s="309" t="str">
        <f>IF(B2420&lt;&gt;"",IF(AND(B2420='IN-TC'!$S$4,OR(TH!N2420="1111",TH!O2420="1111")),TH!D2420,""),"")</f>
        <v/>
      </c>
      <c r="B2420" s="1159">
        <f t="shared" si="799"/>
        <v>12</v>
      </c>
      <c r="C2420" s="929">
        <f t="shared" si="810"/>
        <v>43070</v>
      </c>
      <c r="D2420" s="929" t="s">
        <v>2951</v>
      </c>
      <c r="E2420" s="929">
        <v>43070</v>
      </c>
      <c r="F2420" s="1082" t="s">
        <v>817</v>
      </c>
      <c r="G2420" s="931"/>
      <c r="H2420" s="735" t="s">
        <v>424</v>
      </c>
      <c r="I2420" s="371">
        <v>935</v>
      </c>
      <c r="J2420" s="377">
        <v>15264.705882352941</v>
      </c>
      <c r="K2420" s="371"/>
      <c r="L2420" s="377"/>
      <c r="M2420" s="933">
        <f t="shared" si="811"/>
        <v>14272500</v>
      </c>
      <c r="N2420" s="934" t="s">
        <v>272</v>
      </c>
      <c r="O2420" s="934" t="s">
        <v>266</v>
      </c>
      <c r="P2420" s="75" t="str">
        <f>IF(AND('331-CT'!$E$7=TH!H2420,OR(N2420="331",O2420="331")),"x","")</f>
        <v/>
      </c>
      <c r="Q2420" s="75" t="str">
        <f>IF(AND(B2420='111'!$L$11,OR($N2420=$Q$7,$O2420=$Q$7)),"x","")</f>
        <v/>
      </c>
      <c r="R2420" s="75" t="str">
        <f>IF(AND($N2420=$Q$7,$B2420&lt;'111'!$L$11),"x","")</f>
        <v/>
      </c>
      <c r="S2420" s="75" t="str">
        <f>IF(AND($O2420=$Q$7,$B2420&lt;'111'!$L$11),"x","")</f>
        <v/>
      </c>
      <c r="T2420" s="75" t="str">
        <f>IF(ISERROR(FIND('112'!$M$9,G2420,1)),"",IF((AND(FIND('112'!$M$9,G2420,1)&gt;=1,B2420='112'!$K$9,OR($N2420='112'!$I$6,$O2420='112'!$I$6))),"x",""))</f>
        <v/>
      </c>
      <c r="U2420" s="75" t="str">
        <f>IF(ISERROR(FIND('112'!$M$9,G2420,1)),"",IF((AND(LEFT(G2420,2)=LEFT('112'!$M$9,2),B2420&lt;'112'!$K$9,$N2420='112'!$I$6)),"x",""))</f>
        <v/>
      </c>
      <c r="V2420" s="75" t="str">
        <f>IF(ISERROR(FIND('112'!$M$9,G2420,1)),"",IF((AND(RIGHT(G2420,2)=RIGHT('112'!$M$9,2),B2420&lt;'112'!$K$9,$O2420='112'!$I$6)),"x",""))</f>
        <v/>
      </c>
      <c r="W2420" s="75" t="str">
        <f>IF(AND('341-CT'!$H$9=H2420,OR(LEFT(N2420,3)=$W$7,LEFT(O2420,3)=$W$7)),"x","")</f>
        <v/>
      </c>
      <c r="X2420" s="75" t="str">
        <f>IF(OR(TH!N2420=TH!$X$7,O2420=TH!$X$7),"x","")</f>
        <v/>
      </c>
      <c r="Y2420" s="75" t="str">
        <f>IF(AND(OR(N2420="131",O2420="131"),H2420='131-CT'!$H$9),"x","")</f>
        <v/>
      </c>
      <c r="Z2420" s="75"/>
      <c r="AA2420" s="75" t="str">
        <f>IF(AND(MONTH(E2420)='IN-NX'!$J$5,'IN-NX'!$D$7=D2420),"x","")</f>
        <v/>
      </c>
      <c r="AB2420" s="75" t="str">
        <f>IF(AND(OR(LEFT(TH!N2420,2)="15",LEFT(TH!O2420,2)="15"),LEFT(TH!O2420,3)&lt;&gt;"111",'152-CT'!$J$8=TH!F2420),"x","")</f>
        <v/>
      </c>
      <c r="AC2420" s="75" t="str">
        <f>IF(AND(OR(LEFT(TH!N2420,2)="15",LEFT(TH!O2420,2)="15"),TK!$E$7=TH!F2420),"x","")</f>
        <v/>
      </c>
      <c r="AD2420" s="75" t="str">
        <f>IF(AND(N2420="1521",MONTH(C2420)='BK-NL'!$M$11),"x","")</f>
        <v/>
      </c>
    </row>
    <row r="2421" spans="1:30" ht="16.5" customHeight="1">
      <c r="A2421" s="309" t="str">
        <f>IF(B2421&lt;&gt;"",IF(AND(B2421='IN-TC'!$S$4,OR(TH!N2421="1111",TH!O2421="1111")),TH!D2421,""),"")</f>
        <v/>
      </c>
      <c r="B2421" s="1159">
        <f t="shared" si="799"/>
        <v>12</v>
      </c>
      <c r="C2421" s="929">
        <f t="shared" si="810"/>
        <v>43070</v>
      </c>
      <c r="D2421" s="929" t="s">
        <v>2951</v>
      </c>
      <c r="E2421" s="929">
        <v>43070</v>
      </c>
      <c r="F2421" s="1082" t="s">
        <v>745</v>
      </c>
      <c r="G2421" s="931"/>
      <c r="H2421" s="735" t="s">
        <v>424</v>
      </c>
      <c r="I2421" s="371">
        <v>321</v>
      </c>
      <c r="J2421" s="377">
        <v>14700</v>
      </c>
      <c r="K2421" s="371"/>
      <c r="L2421" s="377"/>
      <c r="M2421" s="933">
        <f t="shared" si="811"/>
        <v>4718700</v>
      </c>
      <c r="N2421" s="934" t="s">
        <v>272</v>
      </c>
      <c r="O2421" s="934" t="s">
        <v>266</v>
      </c>
      <c r="P2421" s="75" t="str">
        <f>IF(AND('331-CT'!$E$7=TH!H2421,OR(N2421="331",O2421="331")),"x","")</f>
        <v/>
      </c>
      <c r="Q2421" s="75" t="str">
        <f>IF(AND(B2421='111'!$L$11,OR($N2421=$Q$7,$O2421=$Q$7)),"x","")</f>
        <v/>
      </c>
      <c r="R2421" s="75" t="str">
        <f>IF(AND($N2421=$Q$7,$B2421&lt;'111'!$L$11),"x","")</f>
        <v/>
      </c>
      <c r="S2421" s="75" t="str">
        <f>IF(AND($O2421=$Q$7,$B2421&lt;'111'!$L$11),"x","")</f>
        <v/>
      </c>
      <c r="T2421" s="75" t="str">
        <f>IF(ISERROR(FIND('112'!$M$9,G2421,1)),"",IF((AND(FIND('112'!$M$9,G2421,1)&gt;=1,B2421='112'!$K$9,OR($N2421='112'!$I$6,$O2421='112'!$I$6))),"x",""))</f>
        <v/>
      </c>
      <c r="U2421" s="75" t="str">
        <f>IF(ISERROR(FIND('112'!$M$9,G2421,1)),"",IF((AND(LEFT(G2421,2)=LEFT('112'!$M$9,2),B2421&lt;'112'!$K$9,$N2421='112'!$I$6)),"x",""))</f>
        <v/>
      </c>
      <c r="V2421" s="75" t="str">
        <f>IF(ISERROR(FIND('112'!$M$9,G2421,1)),"",IF((AND(RIGHT(G2421,2)=RIGHT('112'!$M$9,2),B2421&lt;'112'!$K$9,$O2421='112'!$I$6)),"x",""))</f>
        <v/>
      </c>
      <c r="W2421" s="75" t="str">
        <f>IF(AND('341-CT'!$H$9=H2421,OR(LEFT(N2421,3)=$W$7,LEFT(O2421,3)=$W$7)),"x","")</f>
        <v/>
      </c>
      <c r="X2421" s="75" t="str">
        <f>IF(OR(TH!N2421=TH!$X$7,O2421=TH!$X$7),"x","")</f>
        <v/>
      </c>
      <c r="Y2421" s="75" t="str">
        <f>IF(AND(OR(N2421="131",O2421="131"),H2421='131-CT'!$H$9),"x","")</f>
        <v/>
      </c>
      <c r="Z2421" s="75"/>
      <c r="AA2421" s="75" t="str">
        <f>IF(AND(MONTH(E2421)='IN-NX'!$J$5,'IN-NX'!$D$7=D2421),"x","")</f>
        <v/>
      </c>
      <c r="AB2421" s="75" t="str">
        <f>IF(AND(OR(LEFT(TH!N2421,2)="15",LEFT(TH!O2421,2)="15"),LEFT(TH!O2421,3)&lt;&gt;"111",'152-CT'!$J$8=TH!F2421),"x","")</f>
        <v/>
      </c>
      <c r="AC2421" s="75" t="str">
        <f>IF(AND(OR(LEFT(TH!N2421,2)="15",LEFT(TH!O2421,2)="15"),TK!$E$7=TH!F2421),"x","")</f>
        <v/>
      </c>
      <c r="AD2421" s="75" t="str">
        <f>IF(AND(N2421="1521",MONTH(C2421)='BK-NL'!$M$11),"x","")</f>
        <v/>
      </c>
    </row>
    <row r="2422" spans="1:30" ht="16.5" customHeight="1">
      <c r="A2422" s="309" t="str">
        <f>IF(B2422&lt;&gt;"",IF(AND(B2422='IN-TC'!$S$4,OR(TH!N2422="1111",TH!O2422="1111")),TH!D2422,""),"")</f>
        <v/>
      </c>
      <c r="B2422" s="1159">
        <f t="shared" si="799"/>
        <v>12</v>
      </c>
      <c r="C2422" s="929">
        <f t="shared" si="810"/>
        <v>43070</v>
      </c>
      <c r="D2422" s="929" t="s">
        <v>2951</v>
      </c>
      <c r="E2422" s="929">
        <v>43070</v>
      </c>
      <c r="F2422" s="1082" t="s">
        <v>745</v>
      </c>
      <c r="G2422" s="931"/>
      <c r="H2422" s="735" t="s">
        <v>424</v>
      </c>
      <c r="I2422" s="371">
        <v>478</v>
      </c>
      <c r="J2422" s="377">
        <v>14000</v>
      </c>
      <c r="K2422" s="371"/>
      <c r="L2422" s="377"/>
      <c r="M2422" s="933">
        <f t="shared" si="811"/>
        <v>6692000</v>
      </c>
      <c r="N2422" s="934" t="s">
        <v>272</v>
      </c>
      <c r="O2422" s="934" t="s">
        <v>266</v>
      </c>
      <c r="P2422" s="75" t="str">
        <f>IF(AND('331-CT'!$E$7=TH!H2422,OR(N2422="331",O2422="331")),"x","")</f>
        <v/>
      </c>
      <c r="Q2422" s="75" t="str">
        <f>IF(AND(B2422='111'!$L$11,OR($N2422=$Q$7,$O2422=$Q$7)),"x","")</f>
        <v/>
      </c>
      <c r="R2422" s="75" t="str">
        <f>IF(AND($N2422=$Q$7,$B2422&lt;'111'!$L$11),"x","")</f>
        <v/>
      </c>
      <c r="S2422" s="75" t="str">
        <f>IF(AND($O2422=$Q$7,$B2422&lt;'111'!$L$11),"x","")</f>
        <v/>
      </c>
      <c r="T2422" s="75" t="str">
        <f>IF(ISERROR(FIND('112'!$M$9,G2422,1)),"",IF((AND(FIND('112'!$M$9,G2422,1)&gt;=1,B2422='112'!$K$9,OR($N2422='112'!$I$6,$O2422='112'!$I$6))),"x",""))</f>
        <v/>
      </c>
      <c r="U2422" s="75" t="str">
        <f>IF(ISERROR(FIND('112'!$M$9,G2422,1)),"",IF((AND(LEFT(G2422,2)=LEFT('112'!$M$9,2),B2422&lt;'112'!$K$9,$N2422='112'!$I$6)),"x",""))</f>
        <v/>
      </c>
      <c r="V2422" s="75" t="str">
        <f>IF(ISERROR(FIND('112'!$M$9,G2422,1)),"",IF((AND(RIGHT(G2422,2)=RIGHT('112'!$M$9,2),B2422&lt;'112'!$K$9,$O2422='112'!$I$6)),"x",""))</f>
        <v/>
      </c>
      <c r="W2422" s="75" t="str">
        <f>IF(AND('341-CT'!$H$9=H2422,OR(LEFT(N2422,3)=$W$7,LEFT(O2422,3)=$W$7)),"x","")</f>
        <v/>
      </c>
      <c r="X2422" s="75" t="str">
        <f>IF(OR(TH!N2422=TH!$X$7,O2422=TH!$X$7),"x","")</f>
        <v/>
      </c>
      <c r="Y2422" s="75" t="str">
        <f>IF(AND(OR(N2422="131",O2422="131"),H2422='131-CT'!$H$9),"x","")</f>
        <v/>
      </c>
      <c r="Z2422" s="75"/>
      <c r="AA2422" s="75" t="str">
        <f>IF(AND(MONTH(E2422)='IN-NX'!$J$5,'IN-NX'!$D$7=D2422),"x","")</f>
        <v/>
      </c>
      <c r="AB2422" s="75" t="str">
        <f>IF(AND(OR(LEFT(TH!N2422,2)="15",LEFT(TH!O2422,2)="15"),LEFT(TH!O2422,3)&lt;&gt;"111",'152-CT'!$J$8=TH!F2422),"x","")</f>
        <v/>
      </c>
      <c r="AC2422" s="75" t="str">
        <f>IF(AND(OR(LEFT(TH!N2422,2)="15",LEFT(TH!O2422,2)="15"),TK!$E$7=TH!F2422),"x","")</f>
        <v/>
      </c>
      <c r="AD2422" s="75" t="str">
        <f>IF(AND(N2422="1521",MONTH(C2422)='BK-NL'!$M$11),"x","")</f>
        <v/>
      </c>
    </row>
    <row r="2423" spans="1:30" ht="16.5" customHeight="1">
      <c r="A2423" s="309" t="str">
        <f>IF(B2423&lt;&gt;"",IF(AND(B2423='IN-TC'!$S$4,OR(TH!N2423="1111",TH!O2423="1111")),TH!D2423,""),"")</f>
        <v/>
      </c>
      <c r="B2423" s="1159">
        <f t="shared" ref="B2423" si="812">IF(C2423&lt;&gt;"",MONTH(C2423),"")</f>
        <v>12</v>
      </c>
      <c r="C2423" s="929">
        <f t="shared" ref="C2423" si="813">E2423</f>
        <v>43070</v>
      </c>
      <c r="D2423" s="929" t="s">
        <v>2951</v>
      </c>
      <c r="E2423" s="929">
        <v>43070</v>
      </c>
      <c r="F2423" s="1082" t="s">
        <v>2340</v>
      </c>
      <c r="G2423" s="931"/>
      <c r="H2423" s="735" t="s">
        <v>424</v>
      </c>
      <c r="I2423" s="371">
        <v>890</v>
      </c>
      <c r="J2423" s="377">
        <v>16119.550561797752</v>
      </c>
      <c r="K2423" s="371"/>
      <c r="L2423" s="377"/>
      <c r="M2423" s="933">
        <f t="shared" ref="M2423" si="814">ROUND(I2423*J2423,0)</f>
        <v>14346400</v>
      </c>
      <c r="N2423" s="934" t="s">
        <v>272</v>
      </c>
      <c r="O2423" s="934" t="s">
        <v>266</v>
      </c>
      <c r="P2423" s="75" t="str">
        <f>IF(AND('331-CT'!$E$7=TH!H2423,OR(N2423="331",O2423="331")),"x","")</f>
        <v/>
      </c>
      <c r="Q2423" s="75" t="str">
        <f>IF(AND(B2423='111'!$L$11,OR($N2423=$Q$7,$O2423=$Q$7)),"x","")</f>
        <v/>
      </c>
      <c r="R2423" s="75" t="str">
        <f>IF(AND($N2423=$Q$7,$B2423&lt;'111'!$L$11),"x","")</f>
        <v/>
      </c>
      <c r="S2423" s="75" t="str">
        <f>IF(AND($O2423=$Q$7,$B2423&lt;'111'!$L$11),"x","")</f>
        <v/>
      </c>
      <c r="T2423" s="75" t="str">
        <f>IF(ISERROR(FIND('112'!$M$9,G2423,1)),"",IF((AND(FIND('112'!$M$9,G2423,1)&gt;=1,B2423='112'!$K$9,OR($N2423='112'!$I$6,$O2423='112'!$I$6))),"x",""))</f>
        <v/>
      </c>
      <c r="U2423" s="75" t="str">
        <f>IF(ISERROR(FIND('112'!$M$9,G2423,1)),"",IF((AND(LEFT(G2423,2)=LEFT('112'!$M$9,2),B2423&lt;'112'!$K$9,$N2423='112'!$I$6)),"x",""))</f>
        <v/>
      </c>
      <c r="V2423" s="75" t="str">
        <f>IF(ISERROR(FIND('112'!$M$9,G2423,1)),"",IF((AND(RIGHT(G2423,2)=RIGHT('112'!$M$9,2),B2423&lt;'112'!$K$9,$O2423='112'!$I$6)),"x",""))</f>
        <v/>
      </c>
      <c r="W2423" s="75" t="str">
        <f>IF(AND('341-CT'!$H$9=H2423,OR(LEFT(N2423,3)=$W$7,LEFT(O2423,3)=$W$7)),"x","")</f>
        <v/>
      </c>
      <c r="X2423" s="75" t="str">
        <f>IF(OR(TH!N2423=TH!$X$7,O2423=TH!$X$7),"x","")</f>
        <v/>
      </c>
      <c r="Y2423" s="75" t="str">
        <f>IF(AND(OR(N2423="131",O2423="131"),H2423='131-CT'!$H$9),"x","")</f>
        <v/>
      </c>
      <c r="Z2423" s="75"/>
      <c r="AA2423" s="75" t="str">
        <f>IF(AND(MONTH(E2423)='IN-NX'!$J$5,'IN-NX'!$D$7=D2423),"x","")</f>
        <v/>
      </c>
      <c r="AB2423" s="75" t="str">
        <f>IF(AND(OR(LEFT(TH!N2423,2)="15",LEFT(TH!O2423,2)="15"),LEFT(TH!O2423,3)&lt;&gt;"111",'152-CT'!$J$8=TH!F2423),"x","")</f>
        <v/>
      </c>
      <c r="AC2423" s="75" t="str">
        <f>IF(AND(OR(LEFT(TH!N2423,2)="15",LEFT(TH!O2423,2)="15"),TK!$E$7=TH!F2423),"x","")</f>
        <v/>
      </c>
      <c r="AD2423" s="75" t="str">
        <f>IF(AND(N2423="1521",MONTH(C2423)='BK-NL'!$M$11),"x","")</f>
        <v/>
      </c>
    </row>
    <row r="2424" spans="1:30" ht="16.5" customHeight="1">
      <c r="A2424" s="309" t="str">
        <f>IF(B2424&lt;&gt;"",IF(AND(B2424='IN-TC'!$S$4,OR(TH!N2424="1111",TH!O2424="1111")),TH!D2424,""),"")</f>
        <v/>
      </c>
      <c r="B2424" s="1159">
        <f t="shared" ref="B2424:B2429" si="815">IF(C2424&lt;&gt;"",MONTH(C2424),"")</f>
        <v>12</v>
      </c>
      <c r="C2424" s="292">
        <f>E2424</f>
        <v>43070</v>
      </c>
      <c r="D2424" s="292" t="s">
        <v>2957</v>
      </c>
      <c r="E2424" s="292">
        <v>43070</v>
      </c>
      <c r="F2424" s="425" t="s">
        <v>771</v>
      </c>
      <c r="G2424" s="925"/>
      <c r="H2424" s="425" t="s">
        <v>1882</v>
      </c>
      <c r="I2424" s="373">
        <v>55360</v>
      </c>
      <c r="J2424" s="379">
        <v>17900</v>
      </c>
      <c r="K2424" s="373"/>
      <c r="L2424" s="379"/>
      <c r="M2424" s="927">
        <f t="shared" ref="M2424:M2429" si="816">ROUND(I2424*J2424,0)</f>
        <v>990944000</v>
      </c>
      <c r="N2424" s="295" t="s">
        <v>264</v>
      </c>
      <c r="O2424" s="295" t="s">
        <v>8</v>
      </c>
      <c r="P2424" s="75" t="str">
        <f>IF(AND('331-CT'!$E$7=TH!H2424,OR(N2424="331",O2424="331")),"x","")</f>
        <v/>
      </c>
      <c r="Q2424" s="75" t="str">
        <f>IF(AND(B2424='111'!$L$11,OR($N2424=$Q$7,$O2424=$Q$7)),"x","")</f>
        <v/>
      </c>
      <c r="R2424" s="75" t="str">
        <f>IF(AND($N2424=$Q$7,$B2424&lt;'111'!$L$11),"x","")</f>
        <v/>
      </c>
      <c r="S2424" s="75" t="str">
        <f>IF(AND($O2424=$Q$7,$B2424&lt;'111'!$L$11),"x","")</f>
        <v/>
      </c>
      <c r="T2424" s="75" t="str">
        <f>IF(ISERROR(FIND('112'!$M$9,G2424,1)),"",IF((AND(FIND('112'!$M$9,G2424,1)&gt;=1,B2424='112'!$K$9,OR($N2424='112'!$I$6,$O2424='112'!$I$6))),"x",""))</f>
        <v/>
      </c>
      <c r="U2424" s="75" t="str">
        <f>IF(ISERROR(FIND('112'!$M$9,G2424,1)),"",IF((AND(LEFT(G2424,2)=LEFT('112'!$M$9,2),B2424&lt;'112'!$K$9,$N2424='112'!$I$6)),"x",""))</f>
        <v/>
      </c>
      <c r="V2424" s="75" t="str">
        <f>IF(ISERROR(FIND('112'!$M$9,G2424,1)),"",IF((AND(RIGHT(G2424,2)=RIGHT('112'!$M$9,2),B2424&lt;'112'!$K$9,$O2424='112'!$I$6)),"x",""))</f>
        <v/>
      </c>
      <c r="W2424" s="75" t="str">
        <f>IF(AND('341-CT'!$H$9=H2424,OR(LEFT(N2424,3)=$W$7,LEFT(O2424,3)=$W$7)),"x","")</f>
        <v/>
      </c>
      <c r="X2424" s="75" t="str">
        <f>IF(OR(TH!N2424=TH!$X$7,O2424=TH!$X$7),"x","")</f>
        <v/>
      </c>
      <c r="Y2424" s="75" t="str">
        <f>IF(AND(OR(N2424="131",O2424="131"),H2424='131-CT'!$H$9),"x","")</f>
        <v/>
      </c>
      <c r="Z2424" s="75"/>
      <c r="AA2424" s="75" t="str">
        <f>IF(AND(MONTH(E2424)='IN-NX'!$J$5,'IN-NX'!$D$7=D2424),"x","")</f>
        <v/>
      </c>
      <c r="AB2424" s="75" t="str">
        <f>IF(AND(OR(LEFT(TH!N2424,2)="15",LEFT(TH!O2424,2)="15"),LEFT(TH!O2424,3)&lt;&gt;"111",'152-CT'!$J$8=TH!F2424),"x","")</f>
        <v/>
      </c>
      <c r="AC2424" s="75" t="str">
        <f>IF(AND(OR(LEFT(TH!N2424,2)="15",LEFT(TH!O2424,2)="15"),TK!$E$7=TH!F2424),"x","")</f>
        <v/>
      </c>
      <c r="AD2424" s="75" t="str">
        <f>IF(AND(N2424="1521",MONTH(C2424)='BK-NL'!$M$11),"x","")</f>
        <v/>
      </c>
    </row>
    <row r="2425" spans="1:30" ht="16.5" customHeight="1">
      <c r="A2425" s="309" t="str">
        <f>IF(B2425&lt;&gt;"",IF(AND(B2425='IN-TC'!$S$4,OR(TH!N2425="1111",TH!O2425="1111")),TH!D2425,""),"")</f>
        <v/>
      </c>
      <c r="B2425" s="1159">
        <f t="shared" si="815"/>
        <v>12</v>
      </c>
      <c r="C2425" s="292">
        <f>E2425</f>
        <v>43070</v>
      </c>
      <c r="D2425" s="292" t="s">
        <v>2958</v>
      </c>
      <c r="E2425" s="292">
        <v>43070</v>
      </c>
      <c r="F2425" s="425" t="s">
        <v>771</v>
      </c>
      <c r="G2425" s="925"/>
      <c r="H2425" s="425" t="s">
        <v>1890</v>
      </c>
      <c r="I2425" s="373">
        <v>56430</v>
      </c>
      <c r="J2425" s="379">
        <v>17900</v>
      </c>
      <c r="K2425" s="373"/>
      <c r="L2425" s="379"/>
      <c r="M2425" s="927">
        <f t="shared" si="816"/>
        <v>1010097000</v>
      </c>
      <c r="N2425" s="295" t="s">
        <v>264</v>
      </c>
      <c r="O2425" s="295" t="s">
        <v>8</v>
      </c>
      <c r="P2425" s="75" t="str">
        <f>IF(AND('331-CT'!$E$7=TH!H2425,OR(N2425="331",O2425="331")),"x","")</f>
        <v/>
      </c>
      <c r="Q2425" s="75" t="str">
        <f>IF(AND(B2425='111'!$L$11,OR($N2425=$Q$7,$O2425=$Q$7)),"x","")</f>
        <v/>
      </c>
      <c r="R2425" s="75" t="str">
        <f>IF(AND($N2425=$Q$7,$B2425&lt;'111'!$L$11),"x","")</f>
        <v/>
      </c>
      <c r="S2425" s="75" t="str">
        <f>IF(AND($O2425=$Q$7,$B2425&lt;'111'!$L$11),"x","")</f>
        <v/>
      </c>
      <c r="T2425" s="75" t="str">
        <f>IF(ISERROR(FIND('112'!$M$9,G2425,1)),"",IF((AND(FIND('112'!$M$9,G2425,1)&gt;=1,B2425='112'!$K$9,OR($N2425='112'!$I$6,$O2425='112'!$I$6))),"x",""))</f>
        <v/>
      </c>
      <c r="U2425" s="75" t="str">
        <f>IF(ISERROR(FIND('112'!$M$9,G2425,1)),"",IF((AND(LEFT(G2425,2)=LEFT('112'!$M$9,2),B2425&lt;'112'!$K$9,$N2425='112'!$I$6)),"x",""))</f>
        <v/>
      </c>
      <c r="V2425" s="75" t="str">
        <f>IF(ISERROR(FIND('112'!$M$9,G2425,1)),"",IF((AND(RIGHT(G2425,2)=RIGHT('112'!$M$9,2),B2425&lt;'112'!$K$9,$O2425='112'!$I$6)),"x",""))</f>
        <v/>
      </c>
      <c r="W2425" s="75" t="str">
        <f>IF(AND('341-CT'!$H$9=H2425,OR(LEFT(N2425,3)=$W$7,LEFT(O2425,3)=$W$7)),"x","")</f>
        <v/>
      </c>
      <c r="X2425" s="75" t="str">
        <f>IF(OR(TH!N2425=TH!$X$7,O2425=TH!$X$7),"x","")</f>
        <v/>
      </c>
      <c r="Y2425" s="75" t="str">
        <f>IF(AND(OR(N2425="131",O2425="131"),H2425='131-CT'!$H$9),"x","")</f>
        <v/>
      </c>
      <c r="Z2425" s="75"/>
      <c r="AA2425" s="75" t="str">
        <f>IF(AND(MONTH(E2425)='IN-NX'!$J$5,'IN-NX'!$D$7=D2425),"x","")</f>
        <v/>
      </c>
      <c r="AB2425" s="75" t="str">
        <f>IF(AND(OR(LEFT(TH!N2425,2)="15",LEFT(TH!O2425,2)="15"),LEFT(TH!O2425,3)&lt;&gt;"111",'152-CT'!$J$8=TH!F2425),"x","")</f>
        <v/>
      </c>
      <c r="AC2425" s="75" t="str">
        <f>IF(AND(OR(LEFT(TH!N2425,2)="15",LEFT(TH!O2425,2)="15"),TK!$E$7=TH!F2425),"x","")</f>
        <v/>
      </c>
      <c r="AD2425" s="75" t="str">
        <f>IF(AND(N2425="1521",MONTH(C2425)='BK-NL'!$M$11),"x","")</f>
        <v/>
      </c>
    </row>
    <row r="2426" spans="1:30" ht="16.5" customHeight="1">
      <c r="A2426" s="309" t="str">
        <f>IF(B2426&lt;&gt;"",IF(AND(B2426='IN-TC'!$S$4,OR(TH!N2426="1111",TH!O2426="1111")),TH!D2426,""),"")</f>
        <v/>
      </c>
      <c r="B2426" s="1159">
        <f t="shared" si="815"/>
        <v>12</v>
      </c>
      <c r="C2426" s="292">
        <f t="shared" ref="C2426:C2429" si="817">E2426</f>
        <v>43072</v>
      </c>
      <c r="D2426" s="292" t="s">
        <v>2961</v>
      </c>
      <c r="E2426" s="292">
        <v>43072</v>
      </c>
      <c r="F2426" s="425" t="s">
        <v>771</v>
      </c>
      <c r="G2426" s="925"/>
      <c r="H2426" s="425" t="s">
        <v>1882</v>
      </c>
      <c r="I2426" s="373">
        <v>54780</v>
      </c>
      <c r="J2426" s="379">
        <v>17900</v>
      </c>
      <c r="K2426" s="373"/>
      <c r="L2426" s="379"/>
      <c r="M2426" s="927">
        <f t="shared" si="816"/>
        <v>980562000</v>
      </c>
      <c r="N2426" s="295" t="s">
        <v>264</v>
      </c>
      <c r="O2426" s="295" t="s">
        <v>8</v>
      </c>
      <c r="P2426" s="75" t="str">
        <f>IF(AND('331-CT'!$E$7=TH!H2426,OR(N2426="331",O2426="331")),"x","")</f>
        <v/>
      </c>
      <c r="Q2426" s="75" t="str">
        <f>IF(AND(B2426='111'!$L$11,OR($N2426=$Q$7,$O2426=$Q$7)),"x","")</f>
        <v/>
      </c>
      <c r="R2426" s="75" t="str">
        <f>IF(AND($N2426=$Q$7,$B2426&lt;'111'!$L$11),"x","")</f>
        <v/>
      </c>
      <c r="S2426" s="75" t="str">
        <f>IF(AND($O2426=$Q$7,$B2426&lt;'111'!$L$11),"x","")</f>
        <v/>
      </c>
      <c r="T2426" s="75" t="str">
        <f>IF(ISERROR(FIND('112'!$M$9,G2426,1)),"",IF((AND(FIND('112'!$M$9,G2426,1)&gt;=1,B2426='112'!$K$9,OR($N2426='112'!$I$6,$O2426='112'!$I$6))),"x",""))</f>
        <v/>
      </c>
      <c r="U2426" s="75" t="str">
        <f>IF(ISERROR(FIND('112'!$M$9,G2426,1)),"",IF((AND(LEFT(G2426,2)=LEFT('112'!$M$9,2),B2426&lt;'112'!$K$9,$N2426='112'!$I$6)),"x",""))</f>
        <v/>
      </c>
      <c r="V2426" s="75" t="str">
        <f>IF(ISERROR(FIND('112'!$M$9,G2426,1)),"",IF((AND(RIGHT(G2426,2)=RIGHT('112'!$M$9,2),B2426&lt;'112'!$K$9,$O2426='112'!$I$6)),"x",""))</f>
        <v/>
      </c>
      <c r="W2426" s="75" t="str">
        <f>IF(AND('341-CT'!$H$9=H2426,OR(LEFT(N2426,3)=$W$7,LEFT(O2426,3)=$W$7)),"x","")</f>
        <v/>
      </c>
      <c r="X2426" s="75" t="str">
        <f>IF(OR(TH!N2426=TH!$X$7,O2426=TH!$X$7),"x","")</f>
        <v/>
      </c>
      <c r="Y2426" s="75" t="str">
        <f>IF(AND(OR(N2426="131",O2426="131"),H2426='131-CT'!$H$9),"x","")</f>
        <v/>
      </c>
      <c r="Z2426" s="75"/>
      <c r="AA2426" s="75" t="str">
        <f>IF(AND(MONTH(E2426)='IN-NX'!$J$5,'IN-NX'!$D$7=D2426),"x","")</f>
        <v/>
      </c>
      <c r="AB2426" s="75" t="str">
        <f>IF(AND(OR(LEFT(TH!N2426,2)="15",LEFT(TH!O2426,2)="15"),LEFT(TH!O2426,3)&lt;&gt;"111",'152-CT'!$J$8=TH!F2426),"x","")</f>
        <v/>
      </c>
      <c r="AC2426" s="75" t="str">
        <f>IF(AND(OR(LEFT(TH!N2426,2)="15",LEFT(TH!O2426,2)="15"),TK!$E$7=TH!F2426),"x","")</f>
        <v/>
      </c>
      <c r="AD2426" s="75" t="str">
        <f>IF(AND(N2426="1521",MONTH(C2426)='BK-NL'!$M$11),"x","")</f>
        <v/>
      </c>
    </row>
    <row r="2427" spans="1:30" ht="16.5" customHeight="1">
      <c r="A2427" s="309" t="str">
        <f>IF(B2427&lt;&gt;"",IF(AND(B2427='IN-TC'!$S$4,OR(TH!N2427="1111",TH!O2427="1111")),TH!D2427,""),"")</f>
        <v/>
      </c>
      <c r="B2427" s="1159">
        <f t="shared" si="815"/>
        <v>12</v>
      </c>
      <c r="C2427" s="292">
        <f t="shared" si="817"/>
        <v>43072</v>
      </c>
      <c r="D2427" s="292" t="s">
        <v>2962</v>
      </c>
      <c r="E2427" s="292">
        <v>43072</v>
      </c>
      <c r="F2427" s="425" t="s">
        <v>771</v>
      </c>
      <c r="G2427" s="925"/>
      <c r="H2427" s="425" t="s">
        <v>1890</v>
      </c>
      <c r="I2427" s="373">
        <v>56423</v>
      </c>
      <c r="J2427" s="379">
        <v>17900</v>
      </c>
      <c r="K2427" s="373"/>
      <c r="L2427" s="379"/>
      <c r="M2427" s="927">
        <f t="shared" si="816"/>
        <v>1009971700</v>
      </c>
      <c r="N2427" s="295" t="s">
        <v>264</v>
      </c>
      <c r="O2427" s="295" t="s">
        <v>8</v>
      </c>
      <c r="P2427" s="75" t="str">
        <f>IF(AND('331-CT'!$E$7=TH!H2427,OR(N2427="331",O2427="331")),"x","")</f>
        <v/>
      </c>
      <c r="Q2427" s="75" t="str">
        <f>IF(AND(B2427='111'!$L$11,OR($N2427=$Q$7,$O2427=$Q$7)),"x","")</f>
        <v/>
      </c>
      <c r="R2427" s="75" t="str">
        <f>IF(AND($N2427=$Q$7,$B2427&lt;'111'!$L$11),"x","")</f>
        <v/>
      </c>
      <c r="S2427" s="75" t="str">
        <f>IF(AND($O2427=$Q$7,$B2427&lt;'111'!$L$11),"x","")</f>
        <v/>
      </c>
      <c r="T2427" s="75" t="str">
        <f>IF(ISERROR(FIND('112'!$M$9,G2427,1)),"",IF((AND(FIND('112'!$M$9,G2427,1)&gt;=1,B2427='112'!$K$9,OR($N2427='112'!$I$6,$O2427='112'!$I$6))),"x",""))</f>
        <v/>
      </c>
      <c r="U2427" s="75" t="str">
        <f>IF(ISERROR(FIND('112'!$M$9,G2427,1)),"",IF((AND(LEFT(G2427,2)=LEFT('112'!$M$9,2),B2427&lt;'112'!$K$9,$N2427='112'!$I$6)),"x",""))</f>
        <v/>
      </c>
      <c r="V2427" s="75" t="str">
        <f>IF(ISERROR(FIND('112'!$M$9,G2427,1)),"",IF((AND(RIGHT(G2427,2)=RIGHT('112'!$M$9,2),B2427&lt;'112'!$K$9,$O2427='112'!$I$6)),"x",""))</f>
        <v/>
      </c>
      <c r="W2427" s="75" t="str">
        <f>IF(AND('341-CT'!$H$9=H2427,OR(LEFT(N2427,3)=$W$7,LEFT(O2427,3)=$W$7)),"x","")</f>
        <v/>
      </c>
      <c r="X2427" s="75" t="str">
        <f>IF(OR(TH!N2427=TH!$X$7,O2427=TH!$X$7),"x","")</f>
        <v/>
      </c>
      <c r="Y2427" s="75" t="str">
        <f>IF(AND(OR(N2427="131",O2427="131"),H2427='131-CT'!$H$9),"x","")</f>
        <v/>
      </c>
      <c r="Z2427" s="75"/>
      <c r="AA2427" s="75" t="str">
        <f>IF(AND(MONTH(E2427)='IN-NX'!$J$5,'IN-NX'!$D$7=D2427),"x","")</f>
        <v/>
      </c>
      <c r="AB2427" s="75" t="str">
        <f>IF(AND(OR(LEFT(TH!N2427,2)="15",LEFT(TH!O2427,2)="15"),LEFT(TH!O2427,3)&lt;&gt;"111",'152-CT'!$J$8=TH!F2427),"x","")</f>
        <v/>
      </c>
      <c r="AC2427" s="75" t="str">
        <f>IF(AND(OR(LEFT(TH!N2427,2)="15",LEFT(TH!O2427,2)="15"),TK!$E$7=TH!F2427),"x","")</f>
        <v/>
      </c>
      <c r="AD2427" s="75" t="str">
        <f>IF(AND(N2427="1521",MONTH(C2427)='BK-NL'!$M$11),"x","")</f>
        <v/>
      </c>
    </row>
    <row r="2428" spans="1:30" ht="16.5" customHeight="1">
      <c r="A2428" s="309" t="str">
        <f>IF(B2428&lt;&gt;"",IF(AND(B2428='IN-TC'!$S$4,OR(TH!N2428="1111",TH!O2428="1111")),TH!D2428,""),"")</f>
        <v/>
      </c>
      <c r="B2428" s="1159">
        <f t="shared" si="815"/>
        <v>12</v>
      </c>
      <c r="C2428" s="292">
        <f t="shared" si="817"/>
        <v>43073</v>
      </c>
      <c r="D2428" s="292" t="s">
        <v>2963</v>
      </c>
      <c r="E2428" s="292">
        <v>43073</v>
      </c>
      <c r="F2428" s="425" t="s">
        <v>771</v>
      </c>
      <c r="G2428" s="925"/>
      <c r="H2428" s="425" t="s">
        <v>1882</v>
      </c>
      <c r="I2428" s="373">
        <v>54820</v>
      </c>
      <c r="J2428" s="379">
        <v>17900</v>
      </c>
      <c r="K2428" s="373"/>
      <c r="L2428" s="379"/>
      <c r="M2428" s="927">
        <f t="shared" si="816"/>
        <v>981278000</v>
      </c>
      <c r="N2428" s="295" t="s">
        <v>264</v>
      </c>
      <c r="O2428" s="295" t="s">
        <v>8</v>
      </c>
      <c r="P2428" s="75" t="str">
        <f>IF(AND('331-CT'!$E$7=TH!H2428,OR(N2428="331",O2428="331")),"x","")</f>
        <v/>
      </c>
      <c r="Q2428" s="75" t="str">
        <f>IF(AND(B2428='111'!$L$11,OR($N2428=$Q$7,$O2428=$Q$7)),"x","")</f>
        <v/>
      </c>
      <c r="R2428" s="75" t="str">
        <f>IF(AND($N2428=$Q$7,$B2428&lt;'111'!$L$11),"x","")</f>
        <v/>
      </c>
      <c r="S2428" s="75" t="str">
        <f>IF(AND($O2428=$Q$7,$B2428&lt;'111'!$L$11),"x","")</f>
        <v/>
      </c>
      <c r="T2428" s="75" t="str">
        <f>IF(ISERROR(FIND('112'!$M$9,G2428,1)),"",IF((AND(FIND('112'!$M$9,G2428,1)&gt;=1,B2428='112'!$K$9,OR($N2428='112'!$I$6,$O2428='112'!$I$6))),"x",""))</f>
        <v/>
      </c>
      <c r="U2428" s="75" t="str">
        <f>IF(ISERROR(FIND('112'!$M$9,G2428,1)),"",IF((AND(LEFT(G2428,2)=LEFT('112'!$M$9,2),B2428&lt;'112'!$K$9,$N2428='112'!$I$6)),"x",""))</f>
        <v/>
      </c>
      <c r="V2428" s="75" t="str">
        <f>IF(ISERROR(FIND('112'!$M$9,G2428,1)),"",IF((AND(RIGHT(G2428,2)=RIGHT('112'!$M$9,2),B2428&lt;'112'!$K$9,$O2428='112'!$I$6)),"x",""))</f>
        <v/>
      </c>
      <c r="W2428" s="75" t="str">
        <f>IF(AND('341-CT'!$H$9=H2428,OR(LEFT(N2428,3)=$W$7,LEFT(O2428,3)=$W$7)),"x","")</f>
        <v/>
      </c>
      <c r="X2428" s="75" t="str">
        <f>IF(OR(TH!N2428=TH!$X$7,O2428=TH!$X$7),"x","")</f>
        <v/>
      </c>
      <c r="Y2428" s="75" t="str">
        <f>IF(AND(OR(N2428="131",O2428="131"),H2428='131-CT'!$H$9),"x","")</f>
        <v/>
      </c>
      <c r="Z2428" s="75"/>
      <c r="AA2428" s="75" t="str">
        <f>IF(AND(MONTH(E2428)='IN-NX'!$J$5,'IN-NX'!$D$7=D2428),"x","")</f>
        <v/>
      </c>
      <c r="AB2428" s="75" t="str">
        <f>IF(AND(OR(LEFT(TH!N2428,2)="15",LEFT(TH!O2428,2)="15"),LEFT(TH!O2428,3)&lt;&gt;"111",'152-CT'!$J$8=TH!F2428),"x","")</f>
        <v/>
      </c>
      <c r="AC2428" s="75" t="str">
        <f>IF(AND(OR(LEFT(TH!N2428,2)="15",LEFT(TH!O2428,2)="15"),TK!$E$7=TH!F2428),"x","")</f>
        <v/>
      </c>
      <c r="AD2428" s="75" t="str">
        <f>IF(AND(N2428="1521",MONTH(C2428)='BK-NL'!$M$11),"x","")</f>
        <v/>
      </c>
    </row>
    <row r="2429" spans="1:30" ht="16.5" customHeight="1">
      <c r="A2429" s="309" t="str">
        <f>IF(B2429&lt;&gt;"",IF(AND(B2429='IN-TC'!$S$4,OR(TH!N2429="1111",TH!O2429="1111")),TH!D2429,""),"")</f>
        <v/>
      </c>
      <c r="B2429" s="1159">
        <f t="shared" si="815"/>
        <v>12</v>
      </c>
      <c r="C2429" s="292">
        <f t="shared" si="817"/>
        <v>43073</v>
      </c>
      <c r="D2429" s="292" t="s">
        <v>2964</v>
      </c>
      <c r="E2429" s="292">
        <v>43073</v>
      </c>
      <c r="F2429" s="425" t="s">
        <v>771</v>
      </c>
      <c r="G2429" s="925"/>
      <c r="H2429" s="425" t="s">
        <v>1890</v>
      </c>
      <c r="I2429" s="373">
        <v>55632</v>
      </c>
      <c r="J2429" s="379">
        <v>17900</v>
      </c>
      <c r="K2429" s="373"/>
      <c r="L2429" s="379"/>
      <c r="M2429" s="927">
        <f t="shared" si="816"/>
        <v>995812800</v>
      </c>
      <c r="N2429" s="295" t="s">
        <v>264</v>
      </c>
      <c r="O2429" s="295" t="s">
        <v>8</v>
      </c>
      <c r="P2429" s="75" t="str">
        <f>IF(AND('331-CT'!$E$7=TH!H2429,OR(N2429="331",O2429="331")),"x","")</f>
        <v/>
      </c>
      <c r="Q2429" s="75" t="str">
        <f>IF(AND(B2429='111'!$L$11,OR($N2429=$Q$7,$O2429=$Q$7)),"x","")</f>
        <v/>
      </c>
      <c r="R2429" s="75" t="str">
        <f>IF(AND($N2429=$Q$7,$B2429&lt;'111'!$L$11),"x","")</f>
        <v/>
      </c>
      <c r="S2429" s="75" t="str">
        <f>IF(AND($O2429=$Q$7,$B2429&lt;'111'!$L$11),"x","")</f>
        <v/>
      </c>
      <c r="T2429" s="75" t="str">
        <f>IF(ISERROR(FIND('112'!$M$9,G2429,1)),"",IF((AND(FIND('112'!$M$9,G2429,1)&gt;=1,B2429='112'!$K$9,OR($N2429='112'!$I$6,$O2429='112'!$I$6))),"x",""))</f>
        <v/>
      </c>
      <c r="U2429" s="75" t="str">
        <f>IF(ISERROR(FIND('112'!$M$9,G2429,1)),"",IF((AND(LEFT(G2429,2)=LEFT('112'!$M$9,2),B2429&lt;'112'!$K$9,$N2429='112'!$I$6)),"x",""))</f>
        <v/>
      </c>
      <c r="V2429" s="75" t="str">
        <f>IF(ISERROR(FIND('112'!$M$9,G2429,1)),"",IF((AND(RIGHT(G2429,2)=RIGHT('112'!$M$9,2),B2429&lt;'112'!$K$9,$O2429='112'!$I$6)),"x",""))</f>
        <v/>
      </c>
      <c r="W2429" s="75" t="str">
        <f>IF(AND('341-CT'!$H$9=H2429,OR(LEFT(N2429,3)=$W$7,LEFT(O2429,3)=$W$7)),"x","")</f>
        <v/>
      </c>
      <c r="X2429" s="75" t="str">
        <f>IF(OR(TH!N2429=TH!$X$7,O2429=TH!$X$7),"x","")</f>
        <v/>
      </c>
      <c r="Y2429" s="75" t="str">
        <f>IF(AND(OR(N2429="131",O2429="131"),H2429='131-CT'!$H$9),"x","")</f>
        <v/>
      </c>
      <c r="Z2429" s="75"/>
      <c r="AA2429" s="75" t="str">
        <f>IF(AND(MONTH(E2429)='IN-NX'!$J$5,'IN-NX'!$D$7=D2429),"x","")</f>
        <v/>
      </c>
      <c r="AB2429" s="75" t="str">
        <f>IF(AND(OR(LEFT(TH!N2429,2)="15",LEFT(TH!O2429,2)="15"),LEFT(TH!O2429,3)&lt;&gt;"111",'152-CT'!$J$8=TH!F2429),"x","")</f>
        <v/>
      </c>
      <c r="AC2429" s="75" t="str">
        <f>IF(AND(OR(LEFT(TH!N2429,2)="15",LEFT(TH!O2429,2)="15"),TK!$E$7=TH!F2429),"x","")</f>
        <v/>
      </c>
      <c r="AD2429" s="75" t="str">
        <f>IF(AND(N2429="1521",MONTH(C2429)='BK-NL'!$M$11),"x","")</f>
        <v/>
      </c>
    </row>
    <row r="2430" spans="1:30" ht="16.5" customHeight="1">
      <c r="A2430" s="309" t="str">
        <f>IF(B2430&lt;&gt;"",IF(AND(B2430='IN-TC'!$S$4,OR(TH!N2430="1111",TH!O2430="1111")),TH!D2430,""),"")</f>
        <v/>
      </c>
      <c r="B2430" s="1159">
        <f t="shared" si="799"/>
        <v>12</v>
      </c>
      <c r="C2430" s="292">
        <f t="shared" si="810"/>
        <v>43076</v>
      </c>
      <c r="D2430" s="292" t="s">
        <v>2967</v>
      </c>
      <c r="E2430" s="292">
        <v>43076</v>
      </c>
      <c r="F2430" s="425" t="s">
        <v>771</v>
      </c>
      <c r="G2430" s="925"/>
      <c r="H2430" s="425" t="s">
        <v>1882</v>
      </c>
      <c r="I2430" s="373">
        <v>55870</v>
      </c>
      <c r="J2430" s="379">
        <v>17900</v>
      </c>
      <c r="K2430" s="373"/>
      <c r="L2430" s="379"/>
      <c r="M2430" s="927">
        <f t="shared" si="811"/>
        <v>1000073000</v>
      </c>
      <c r="N2430" s="295" t="s">
        <v>264</v>
      </c>
      <c r="O2430" s="295" t="s">
        <v>8</v>
      </c>
      <c r="P2430" s="75" t="str">
        <f>IF(AND('331-CT'!$E$7=TH!H2430,OR(N2430="331",O2430="331")),"x","")</f>
        <v/>
      </c>
      <c r="Q2430" s="75" t="str">
        <f>IF(AND(B2430='111'!$L$11,OR($N2430=$Q$7,$O2430=$Q$7)),"x","")</f>
        <v/>
      </c>
      <c r="R2430" s="75" t="str">
        <f>IF(AND($N2430=$Q$7,$B2430&lt;'111'!$L$11),"x","")</f>
        <v/>
      </c>
      <c r="S2430" s="75" t="str">
        <f>IF(AND($O2430=$Q$7,$B2430&lt;'111'!$L$11),"x","")</f>
        <v/>
      </c>
      <c r="T2430" s="75" t="str">
        <f>IF(ISERROR(FIND('112'!$M$9,G2430,1)),"",IF((AND(FIND('112'!$M$9,G2430,1)&gt;=1,B2430='112'!$K$9,OR($N2430='112'!$I$6,$O2430='112'!$I$6))),"x",""))</f>
        <v/>
      </c>
      <c r="U2430" s="75" t="str">
        <f>IF(ISERROR(FIND('112'!$M$9,G2430,1)),"",IF((AND(LEFT(G2430,2)=LEFT('112'!$M$9,2),B2430&lt;'112'!$K$9,$N2430='112'!$I$6)),"x",""))</f>
        <v/>
      </c>
      <c r="V2430" s="75" t="str">
        <f>IF(ISERROR(FIND('112'!$M$9,G2430,1)),"",IF((AND(RIGHT(G2430,2)=RIGHT('112'!$M$9,2),B2430&lt;'112'!$K$9,$O2430='112'!$I$6)),"x",""))</f>
        <v/>
      </c>
      <c r="W2430" s="75" t="str">
        <f>IF(AND('341-CT'!$H$9=H2430,OR(LEFT(N2430,3)=$W$7,LEFT(O2430,3)=$W$7)),"x","")</f>
        <v/>
      </c>
      <c r="X2430" s="75" t="str">
        <f>IF(OR(TH!N2430=TH!$X$7,O2430=TH!$X$7),"x","")</f>
        <v/>
      </c>
      <c r="Y2430" s="75" t="str">
        <f>IF(AND(OR(N2430="131",O2430="131"),H2430='131-CT'!$H$9),"x","")</f>
        <v/>
      </c>
      <c r="Z2430" s="75"/>
      <c r="AA2430" s="75" t="str">
        <f>IF(AND(MONTH(E2430)='IN-NX'!$J$5,'IN-NX'!$D$7=D2430),"x","")</f>
        <v/>
      </c>
      <c r="AB2430" s="75" t="str">
        <f>IF(AND(OR(LEFT(TH!N2430,2)="15",LEFT(TH!O2430,2)="15"),LEFT(TH!O2430,3)&lt;&gt;"111",'152-CT'!$J$8=TH!F2430),"x","")</f>
        <v/>
      </c>
      <c r="AC2430" s="75" t="str">
        <f>IF(AND(OR(LEFT(TH!N2430,2)="15",LEFT(TH!O2430,2)="15"),TK!$E$7=TH!F2430),"x","")</f>
        <v/>
      </c>
      <c r="AD2430" s="75" t="str">
        <f>IF(AND(N2430="1521",MONTH(C2430)='BK-NL'!$M$11),"x","")</f>
        <v/>
      </c>
    </row>
    <row r="2431" spans="1:30" ht="16.5" customHeight="1">
      <c r="A2431" s="309" t="str">
        <f>IF(B2431&lt;&gt;"",IF(AND(B2431='IN-TC'!$S$4,OR(TH!N2431="1111",TH!O2431="1111")),TH!D2431,""),"")</f>
        <v/>
      </c>
      <c r="B2431" s="1159">
        <f t="shared" si="799"/>
        <v>12</v>
      </c>
      <c r="C2431" s="292">
        <f t="shared" si="810"/>
        <v>43076</v>
      </c>
      <c r="D2431" s="292" t="s">
        <v>2968</v>
      </c>
      <c r="E2431" s="292">
        <v>43076</v>
      </c>
      <c r="F2431" s="425" t="s">
        <v>771</v>
      </c>
      <c r="G2431" s="925"/>
      <c r="H2431" s="425" t="s">
        <v>1890</v>
      </c>
      <c r="I2431" s="373">
        <v>56890</v>
      </c>
      <c r="J2431" s="379">
        <v>17900</v>
      </c>
      <c r="K2431" s="373"/>
      <c r="L2431" s="379"/>
      <c r="M2431" s="927">
        <f t="shared" si="811"/>
        <v>1018331000</v>
      </c>
      <c r="N2431" s="295" t="s">
        <v>264</v>
      </c>
      <c r="O2431" s="295" t="s">
        <v>8</v>
      </c>
      <c r="P2431" s="75" t="str">
        <f>IF(AND('331-CT'!$E$7=TH!H2431,OR(N2431="331",O2431="331")),"x","")</f>
        <v/>
      </c>
      <c r="Q2431" s="75" t="str">
        <f>IF(AND(B2431='111'!$L$11,OR($N2431=$Q$7,$O2431=$Q$7)),"x","")</f>
        <v/>
      </c>
      <c r="R2431" s="75" t="str">
        <f>IF(AND($N2431=$Q$7,$B2431&lt;'111'!$L$11),"x","")</f>
        <v/>
      </c>
      <c r="S2431" s="75" t="str">
        <f>IF(AND($O2431=$Q$7,$B2431&lt;'111'!$L$11),"x","")</f>
        <v/>
      </c>
      <c r="T2431" s="75" t="str">
        <f>IF(ISERROR(FIND('112'!$M$9,G2431,1)),"",IF((AND(FIND('112'!$M$9,G2431,1)&gt;=1,B2431='112'!$K$9,OR($N2431='112'!$I$6,$O2431='112'!$I$6))),"x",""))</f>
        <v/>
      </c>
      <c r="U2431" s="75" t="str">
        <f>IF(ISERROR(FIND('112'!$M$9,G2431,1)),"",IF((AND(LEFT(G2431,2)=LEFT('112'!$M$9,2),B2431&lt;'112'!$K$9,$N2431='112'!$I$6)),"x",""))</f>
        <v/>
      </c>
      <c r="V2431" s="75" t="str">
        <f>IF(ISERROR(FIND('112'!$M$9,G2431,1)),"",IF((AND(RIGHT(G2431,2)=RIGHT('112'!$M$9,2),B2431&lt;'112'!$K$9,$O2431='112'!$I$6)),"x",""))</f>
        <v/>
      </c>
      <c r="W2431" s="75" t="str">
        <f>IF(AND('341-CT'!$H$9=H2431,OR(LEFT(N2431,3)=$W$7,LEFT(O2431,3)=$W$7)),"x","")</f>
        <v/>
      </c>
      <c r="X2431" s="75" t="str">
        <f>IF(OR(TH!N2431=TH!$X$7,O2431=TH!$X$7),"x","")</f>
        <v/>
      </c>
      <c r="Y2431" s="75" t="str">
        <f>IF(AND(OR(N2431="131",O2431="131"),H2431='131-CT'!$H$9),"x","")</f>
        <v/>
      </c>
      <c r="Z2431" s="75"/>
      <c r="AA2431" s="75" t="str">
        <f>IF(AND(MONTH(E2431)='IN-NX'!$J$5,'IN-NX'!$D$7=D2431),"x","")</f>
        <v/>
      </c>
      <c r="AB2431" s="75" t="str">
        <f>IF(AND(OR(LEFT(TH!N2431,2)="15",LEFT(TH!O2431,2)="15"),LEFT(TH!O2431,3)&lt;&gt;"111",'152-CT'!$J$8=TH!F2431),"x","")</f>
        <v/>
      </c>
      <c r="AC2431" s="75" t="str">
        <f>IF(AND(OR(LEFT(TH!N2431,2)="15",LEFT(TH!O2431,2)="15"),TK!$E$7=TH!F2431),"x","")</f>
        <v/>
      </c>
      <c r="AD2431" s="75" t="str">
        <f>IF(AND(N2431="1521",MONTH(C2431)='BK-NL'!$M$11),"x","")</f>
        <v/>
      </c>
    </row>
    <row r="2432" spans="1:30" ht="16.5" customHeight="1">
      <c r="A2432" s="309" t="str">
        <f>IF(B2432&lt;&gt;"",IF(AND(B2432='IN-TC'!$S$4,OR(TH!N2432="1111",TH!O2432="1111")),TH!D2432,""),"")</f>
        <v/>
      </c>
      <c r="B2432" s="1159">
        <f t="shared" si="799"/>
        <v>12</v>
      </c>
      <c r="C2432" s="292">
        <f t="shared" si="810"/>
        <v>43082</v>
      </c>
      <c r="D2432" s="292" t="s">
        <v>2981</v>
      </c>
      <c r="E2432" s="292">
        <v>43082</v>
      </c>
      <c r="F2432" s="425" t="s">
        <v>771</v>
      </c>
      <c r="G2432" s="925"/>
      <c r="H2432" s="425" t="s">
        <v>1882</v>
      </c>
      <c r="I2432" s="373">
        <v>58630</v>
      </c>
      <c r="J2432" s="379">
        <v>17900</v>
      </c>
      <c r="K2432" s="373"/>
      <c r="L2432" s="379"/>
      <c r="M2432" s="927">
        <f t="shared" si="811"/>
        <v>1049477000</v>
      </c>
      <c r="N2432" s="295" t="s">
        <v>264</v>
      </c>
      <c r="O2432" s="295" t="s">
        <v>8</v>
      </c>
      <c r="P2432" s="75" t="str">
        <f>IF(AND('331-CT'!$E$7=TH!H2432,OR(N2432="331",O2432="331")),"x","")</f>
        <v/>
      </c>
      <c r="Q2432" s="75" t="str">
        <f>IF(AND(B2432='111'!$L$11,OR($N2432=$Q$7,$O2432=$Q$7)),"x","")</f>
        <v/>
      </c>
      <c r="R2432" s="75" t="str">
        <f>IF(AND($N2432=$Q$7,$B2432&lt;'111'!$L$11),"x","")</f>
        <v/>
      </c>
      <c r="S2432" s="75" t="str">
        <f>IF(AND($O2432=$Q$7,$B2432&lt;'111'!$L$11),"x","")</f>
        <v/>
      </c>
      <c r="T2432" s="75" t="str">
        <f>IF(ISERROR(FIND('112'!$M$9,G2432,1)),"",IF((AND(FIND('112'!$M$9,G2432,1)&gt;=1,B2432='112'!$K$9,OR($N2432='112'!$I$6,$O2432='112'!$I$6))),"x",""))</f>
        <v/>
      </c>
      <c r="U2432" s="75" t="str">
        <f>IF(ISERROR(FIND('112'!$M$9,G2432,1)),"",IF((AND(LEFT(G2432,2)=LEFT('112'!$M$9,2),B2432&lt;'112'!$K$9,$N2432='112'!$I$6)),"x",""))</f>
        <v/>
      </c>
      <c r="V2432" s="75" t="str">
        <f>IF(ISERROR(FIND('112'!$M$9,G2432,1)),"",IF((AND(RIGHT(G2432,2)=RIGHT('112'!$M$9,2),B2432&lt;'112'!$K$9,$O2432='112'!$I$6)),"x",""))</f>
        <v/>
      </c>
      <c r="W2432" s="75" t="str">
        <f>IF(AND('341-CT'!$H$9=H2432,OR(LEFT(N2432,3)=$W$7,LEFT(O2432,3)=$W$7)),"x","")</f>
        <v/>
      </c>
      <c r="X2432" s="75" t="str">
        <f>IF(OR(TH!N2432=TH!$X$7,O2432=TH!$X$7),"x","")</f>
        <v/>
      </c>
      <c r="Y2432" s="75" t="str">
        <f>IF(AND(OR(N2432="131",O2432="131"),H2432='131-CT'!$H$9),"x","")</f>
        <v/>
      </c>
      <c r="Z2432" s="75"/>
      <c r="AA2432" s="75" t="str">
        <f>IF(AND(MONTH(E2432)='IN-NX'!$J$5,'IN-NX'!$D$7=D2432),"x","")</f>
        <v/>
      </c>
      <c r="AB2432" s="75" t="str">
        <f>IF(AND(OR(LEFT(TH!N2432,2)="15",LEFT(TH!O2432,2)="15"),LEFT(TH!O2432,3)&lt;&gt;"111",'152-CT'!$J$8=TH!F2432),"x","")</f>
        <v/>
      </c>
      <c r="AC2432" s="75" t="str">
        <f>IF(AND(OR(LEFT(TH!N2432,2)="15",LEFT(TH!O2432,2)="15"),TK!$E$7=TH!F2432),"x","")</f>
        <v/>
      </c>
      <c r="AD2432" s="75" t="str">
        <f>IF(AND(N2432="1521",MONTH(C2432)='BK-NL'!$M$11),"x","")</f>
        <v/>
      </c>
    </row>
    <row r="2433" spans="1:30" ht="16.5" customHeight="1">
      <c r="A2433" s="309" t="str">
        <f>IF(B2433&lt;&gt;"",IF(AND(B2433='IN-TC'!$S$4,OR(TH!N2433="1111",TH!O2433="1111")),TH!D2433,""),"")</f>
        <v/>
      </c>
      <c r="B2433" s="1159">
        <f t="shared" si="799"/>
        <v>12</v>
      </c>
      <c r="C2433" s="292">
        <f t="shared" si="810"/>
        <v>43082</v>
      </c>
      <c r="D2433" s="292" t="s">
        <v>2983</v>
      </c>
      <c r="E2433" s="292">
        <v>43082</v>
      </c>
      <c r="F2433" s="425" t="s">
        <v>771</v>
      </c>
      <c r="G2433" s="925"/>
      <c r="H2433" s="425" t="s">
        <v>1890</v>
      </c>
      <c r="I2433" s="373">
        <v>54780</v>
      </c>
      <c r="J2433" s="379">
        <v>17900</v>
      </c>
      <c r="K2433" s="373"/>
      <c r="L2433" s="379"/>
      <c r="M2433" s="927">
        <f t="shared" si="811"/>
        <v>980562000</v>
      </c>
      <c r="N2433" s="295" t="s">
        <v>264</v>
      </c>
      <c r="O2433" s="295" t="s">
        <v>8</v>
      </c>
      <c r="P2433" s="75" t="str">
        <f>IF(AND('331-CT'!$E$7=TH!H2433,OR(N2433="331",O2433="331")),"x","")</f>
        <v/>
      </c>
      <c r="Q2433" s="75" t="str">
        <f>IF(AND(B2433='111'!$L$11,OR($N2433=$Q$7,$O2433=$Q$7)),"x","")</f>
        <v/>
      </c>
      <c r="R2433" s="75" t="str">
        <f>IF(AND($N2433=$Q$7,$B2433&lt;'111'!$L$11),"x","")</f>
        <v/>
      </c>
      <c r="S2433" s="75" t="str">
        <f>IF(AND($O2433=$Q$7,$B2433&lt;'111'!$L$11),"x","")</f>
        <v/>
      </c>
      <c r="T2433" s="75" t="str">
        <f>IF(ISERROR(FIND('112'!$M$9,G2433,1)),"",IF((AND(FIND('112'!$M$9,G2433,1)&gt;=1,B2433='112'!$K$9,OR($N2433='112'!$I$6,$O2433='112'!$I$6))),"x",""))</f>
        <v/>
      </c>
      <c r="U2433" s="75" t="str">
        <f>IF(ISERROR(FIND('112'!$M$9,G2433,1)),"",IF((AND(LEFT(G2433,2)=LEFT('112'!$M$9,2),B2433&lt;'112'!$K$9,$N2433='112'!$I$6)),"x",""))</f>
        <v/>
      </c>
      <c r="V2433" s="75" t="str">
        <f>IF(ISERROR(FIND('112'!$M$9,G2433,1)),"",IF((AND(RIGHT(G2433,2)=RIGHT('112'!$M$9,2),B2433&lt;'112'!$K$9,$O2433='112'!$I$6)),"x",""))</f>
        <v/>
      </c>
      <c r="W2433" s="75" t="str">
        <f>IF(AND('341-CT'!$H$9=H2433,OR(LEFT(N2433,3)=$W$7,LEFT(O2433,3)=$W$7)),"x","")</f>
        <v/>
      </c>
      <c r="X2433" s="75" t="str">
        <f>IF(OR(TH!N2433=TH!$X$7,O2433=TH!$X$7),"x","")</f>
        <v/>
      </c>
      <c r="Y2433" s="75" t="str">
        <f>IF(AND(OR(N2433="131",O2433="131"),H2433='131-CT'!$H$9),"x","")</f>
        <v/>
      </c>
      <c r="Z2433" s="75"/>
      <c r="AA2433" s="75" t="str">
        <f>IF(AND(MONTH(E2433)='IN-NX'!$J$5,'IN-NX'!$D$7=D2433),"x","")</f>
        <v/>
      </c>
      <c r="AB2433" s="75" t="str">
        <f>IF(AND(OR(LEFT(TH!N2433,2)="15",LEFT(TH!O2433,2)="15"),LEFT(TH!O2433,3)&lt;&gt;"111",'152-CT'!$J$8=TH!F2433),"x","")</f>
        <v/>
      </c>
      <c r="AC2433" s="75" t="str">
        <f>IF(AND(OR(LEFT(TH!N2433,2)="15",LEFT(TH!O2433,2)="15"),TK!$E$7=TH!F2433),"x","")</f>
        <v/>
      </c>
      <c r="AD2433" s="75" t="str">
        <f>IF(AND(N2433="1521",MONTH(C2433)='BK-NL'!$M$11),"x","")</f>
        <v/>
      </c>
    </row>
    <row r="2434" spans="1:30" ht="16.5" customHeight="1">
      <c r="A2434" s="309" t="str">
        <f>IF(B2434&lt;&gt;"",IF(AND(B2434='IN-TC'!$S$4,OR(TH!N2434="1111",TH!O2434="1111")),TH!D2434,""),"")</f>
        <v/>
      </c>
      <c r="B2434" s="1159">
        <f t="shared" si="799"/>
        <v>12</v>
      </c>
      <c r="C2434" s="292">
        <f t="shared" si="810"/>
        <v>43085</v>
      </c>
      <c r="D2434" s="292" t="s">
        <v>2984</v>
      </c>
      <c r="E2434" s="292">
        <v>43085</v>
      </c>
      <c r="F2434" s="425" t="s">
        <v>771</v>
      </c>
      <c r="G2434" s="925"/>
      <c r="H2434" s="425" t="s">
        <v>1882</v>
      </c>
      <c r="I2434" s="373">
        <v>56390</v>
      </c>
      <c r="J2434" s="379">
        <v>17900</v>
      </c>
      <c r="K2434" s="373"/>
      <c r="L2434" s="379"/>
      <c r="M2434" s="927">
        <f t="shared" si="811"/>
        <v>1009381000</v>
      </c>
      <c r="N2434" s="295" t="s">
        <v>264</v>
      </c>
      <c r="O2434" s="295" t="s">
        <v>8</v>
      </c>
      <c r="P2434" s="75" t="str">
        <f>IF(AND('331-CT'!$E$7=TH!H2434,OR(N2434="331",O2434="331")),"x","")</f>
        <v/>
      </c>
      <c r="Q2434" s="75" t="str">
        <f>IF(AND(B2434='111'!$L$11,OR($N2434=$Q$7,$O2434=$Q$7)),"x","")</f>
        <v/>
      </c>
      <c r="R2434" s="75" t="str">
        <f>IF(AND($N2434=$Q$7,$B2434&lt;'111'!$L$11),"x","")</f>
        <v/>
      </c>
      <c r="S2434" s="75" t="str">
        <f>IF(AND($O2434=$Q$7,$B2434&lt;'111'!$L$11),"x","")</f>
        <v/>
      </c>
      <c r="T2434" s="75" t="str">
        <f>IF(ISERROR(FIND('112'!$M$9,G2434,1)),"",IF((AND(FIND('112'!$M$9,G2434,1)&gt;=1,B2434='112'!$K$9,OR($N2434='112'!$I$6,$O2434='112'!$I$6))),"x",""))</f>
        <v/>
      </c>
      <c r="U2434" s="75" t="str">
        <f>IF(ISERROR(FIND('112'!$M$9,G2434,1)),"",IF((AND(LEFT(G2434,2)=LEFT('112'!$M$9,2),B2434&lt;'112'!$K$9,$N2434='112'!$I$6)),"x",""))</f>
        <v/>
      </c>
      <c r="V2434" s="75" t="str">
        <f>IF(ISERROR(FIND('112'!$M$9,G2434,1)),"",IF((AND(RIGHT(G2434,2)=RIGHT('112'!$M$9,2),B2434&lt;'112'!$K$9,$O2434='112'!$I$6)),"x",""))</f>
        <v/>
      </c>
      <c r="W2434" s="75" t="str">
        <f>IF(AND('341-CT'!$H$9=H2434,OR(LEFT(N2434,3)=$W$7,LEFT(O2434,3)=$W$7)),"x","")</f>
        <v/>
      </c>
      <c r="X2434" s="75" t="str">
        <f>IF(OR(TH!N2434=TH!$X$7,O2434=TH!$X$7),"x","")</f>
        <v/>
      </c>
      <c r="Y2434" s="75" t="str">
        <f>IF(AND(OR(N2434="131",O2434="131"),H2434='131-CT'!$H$9),"x","")</f>
        <v/>
      </c>
      <c r="Z2434" s="75"/>
      <c r="AA2434" s="75" t="str">
        <f>IF(AND(MONTH(E2434)='IN-NX'!$J$5,'IN-NX'!$D$7=D2434),"x","")</f>
        <v/>
      </c>
      <c r="AB2434" s="75" t="str">
        <f>IF(AND(OR(LEFT(TH!N2434,2)="15",LEFT(TH!O2434,2)="15"),LEFT(TH!O2434,3)&lt;&gt;"111",'152-CT'!$J$8=TH!F2434),"x","")</f>
        <v/>
      </c>
      <c r="AC2434" s="75" t="str">
        <f>IF(AND(OR(LEFT(TH!N2434,2)="15",LEFT(TH!O2434,2)="15"),TK!$E$7=TH!F2434),"x","")</f>
        <v/>
      </c>
      <c r="AD2434" s="75" t="str">
        <f>IF(AND(N2434="1521",MONTH(C2434)='BK-NL'!$M$11),"x","")</f>
        <v/>
      </c>
    </row>
    <row r="2435" spans="1:30" ht="16.5" customHeight="1">
      <c r="A2435" s="309" t="str">
        <f>IF(B2435&lt;&gt;"",IF(AND(B2435='IN-TC'!$S$4,OR(TH!N2435="1111",TH!O2435="1111")),TH!D2435,""),"")</f>
        <v/>
      </c>
      <c r="B2435" s="1159">
        <f t="shared" si="799"/>
        <v>12</v>
      </c>
      <c r="C2435" s="292">
        <f t="shared" si="810"/>
        <v>43085</v>
      </c>
      <c r="D2435" s="292" t="s">
        <v>2985</v>
      </c>
      <c r="E2435" s="292">
        <v>43085</v>
      </c>
      <c r="F2435" s="425" t="s">
        <v>771</v>
      </c>
      <c r="G2435" s="925"/>
      <c r="H2435" s="425" t="s">
        <v>1890</v>
      </c>
      <c r="I2435" s="373">
        <v>54860</v>
      </c>
      <c r="J2435" s="379">
        <v>17900</v>
      </c>
      <c r="K2435" s="373"/>
      <c r="L2435" s="379"/>
      <c r="M2435" s="927">
        <f t="shared" si="811"/>
        <v>981994000</v>
      </c>
      <c r="N2435" s="295" t="s">
        <v>264</v>
      </c>
      <c r="O2435" s="295" t="s">
        <v>8</v>
      </c>
      <c r="P2435" s="75" t="str">
        <f>IF(AND('331-CT'!$E$7=TH!H2435,OR(N2435="331",O2435="331")),"x","")</f>
        <v/>
      </c>
      <c r="Q2435" s="75" t="str">
        <f>IF(AND(B2435='111'!$L$11,OR($N2435=$Q$7,$O2435=$Q$7)),"x","")</f>
        <v/>
      </c>
      <c r="R2435" s="75" t="str">
        <f>IF(AND($N2435=$Q$7,$B2435&lt;'111'!$L$11),"x","")</f>
        <v/>
      </c>
      <c r="S2435" s="75" t="str">
        <f>IF(AND($O2435=$Q$7,$B2435&lt;'111'!$L$11),"x","")</f>
        <v/>
      </c>
      <c r="T2435" s="75" t="str">
        <f>IF(ISERROR(FIND('112'!$M$9,G2435,1)),"",IF((AND(FIND('112'!$M$9,G2435,1)&gt;=1,B2435='112'!$K$9,OR($N2435='112'!$I$6,$O2435='112'!$I$6))),"x",""))</f>
        <v/>
      </c>
      <c r="U2435" s="75" t="str">
        <f>IF(ISERROR(FIND('112'!$M$9,G2435,1)),"",IF((AND(LEFT(G2435,2)=LEFT('112'!$M$9,2),B2435&lt;'112'!$K$9,$N2435='112'!$I$6)),"x",""))</f>
        <v/>
      </c>
      <c r="V2435" s="75" t="str">
        <f>IF(ISERROR(FIND('112'!$M$9,G2435,1)),"",IF((AND(RIGHT(G2435,2)=RIGHT('112'!$M$9,2),B2435&lt;'112'!$K$9,$O2435='112'!$I$6)),"x",""))</f>
        <v/>
      </c>
      <c r="W2435" s="75" t="str">
        <f>IF(AND('341-CT'!$H$9=H2435,OR(LEFT(N2435,3)=$W$7,LEFT(O2435,3)=$W$7)),"x","")</f>
        <v/>
      </c>
      <c r="X2435" s="75" t="str">
        <f>IF(OR(TH!N2435=TH!$X$7,O2435=TH!$X$7),"x","")</f>
        <v/>
      </c>
      <c r="Y2435" s="75" t="str">
        <f>IF(AND(OR(N2435="131",O2435="131"),H2435='131-CT'!$H$9),"x","")</f>
        <v/>
      </c>
      <c r="Z2435" s="75"/>
      <c r="AA2435" s="75" t="str">
        <f>IF(AND(MONTH(E2435)='IN-NX'!$J$5,'IN-NX'!$D$7=D2435),"x","")</f>
        <v/>
      </c>
      <c r="AB2435" s="75" t="str">
        <f>IF(AND(OR(LEFT(TH!N2435,2)="15",LEFT(TH!O2435,2)="15"),LEFT(TH!O2435,3)&lt;&gt;"111",'152-CT'!$J$8=TH!F2435),"x","")</f>
        <v/>
      </c>
      <c r="AC2435" s="75" t="str">
        <f>IF(AND(OR(LEFT(TH!N2435,2)="15",LEFT(TH!O2435,2)="15"),TK!$E$7=TH!F2435),"x","")</f>
        <v/>
      </c>
      <c r="AD2435" s="75" t="str">
        <f>IF(AND(N2435="1521",MONTH(C2435)='BK-NL'!$M$11),"x","")</f>
        <v/>
      </c>
    </row>
    <row r="2436" spans="1:30" ht="16.5" customHeight="1">
      <c r="A2436" s="309" t="str">
        <f>IF(B2436&lt;&gt;"",IF(AND(B2436='IN-TC'!$S$4,OR(TH!N2436="1111",TH!O2436="1111")),TH!D2436,""),"")</f>
        <v/>
      </c>
      <c r="B2436" s="1159">
        <f t="shared" si="799"/>
        <v>12</v>
      </c>
      <c r="C2436" s="292">
        <f t="shared" si="810"/>
        <v>43090</v>
      </c>
      <c r="D2436" s="292" t="s">
        <v>2991</v>
      </c>
      <c r="E2436" s="292">
        <v>43090</v>
      </c>
      <c r="F2436" s="425" t="s">
        <v>771</v>
      </c>
      <c r="G2436" s="925"/>
      <c r="H2436" s="425" t="s">
        <v>1882</v>
      </c>
      <c r="I2436" s="373">
        <v>53650</v>
      </c>
      <c r="J2436" s="379">
        <v>17900</v>
      </c>
      <c r="K2436" s="373"/>
      <c r="L2436" s="379"/>
      <c r="M2436" s="927">
        <f t="shared" si="811"/>
        <v>960335000</v>
      </c>
      <c r="N2436" s="295" t="s">
        <v>264</v>
      </c>
      <c r="O2436" s="295" t="s">
        <v>8</v>
      </c>
      <c r="P2436" s="75" t="str">
        <f>IF(AND('331-CT'!$E$7=TH!H2436,OR(N2436="331",O2436="331")),"x","")</f>
        <v/>
      </c>
      <c r="Q2436" s="75" t="str">
        <f>IF(AND(B2436='111'!$L$11,OR($N2436=$Q$7,$O2436=$Q$7)),"x","")</f>
        <v/>
      </c>
      <c r="R2436" s="75" t="str">
        <f>IF(AND($N2436=$Q$7,$B2436&lt;'111'!$L$11),"x","")</f>
        <v/>
      </c>
      <c r="S2436" s="75" t="str">
        <f>IF(AND($O2436=$Q$7,$B2436&lt;'111'!$L$11),"x","")</f>
        <v/>
      </c>
      <c r="T2436" s="75" t="str">
        <f>IF(ISERROR(FIND('112'!$M$9,G2436,1)),"",IF((AND(FIND('112'!$M$9,G2436,1)&gt;=1,B2436='112'!$K$9,OR($N2436='112'!$I$6,$O2436='112'!$I$6))),"x",""))</f>
        <v/>
      </c>
      <c r="U2436" s="75" t="str">
        <f>IF(ISERROR(FIND('112'!$M$9,G2436,1)),"",IF((AND(LEFT(G2436,2)=LEFT('112'!$M$9,2),B2436&lt;'112'!$K$9,$N2436='112'!$I$6)),"x",""))</f>
        <v/>
      </c>
      <c r="V2436" s="75" t="str">
        <f>IF(ISERROR(FIND('112'!$M$9,G2436,1)),"",IF((AND(RIGHT(G2436,2)=RIGHT('112'!$M$9,2),B2436&lt;'112'!$K$9,$O2436='112'!$I$6)),"x",""))</f>
        <v/>
      </c>
      <c r="W2436" s="75" t="str">
        <f>IF(AND('341-CT'!$H$9=H2436,OR(LEFT(N2436,3)=$W$7,LEFT(O2436,3)=$W$7)),"x","")</f>
        <v/>
      </c>
      <c r="X2436" s="75" t="str">
        <f>IF(OR(TH!N2436=TH!$X$7,O2436=TH!$X$7),"x","")</f>
        <v/>
      </c>
      <c r="Y2436" s="75" t="str">
        <f>IF(AND(OR(N2436="131",O2436="131"),H2436='131-CT'!$H$9),"x","")</f>
        <v/>
      </c>
      <c r="Z2436" s="75"/>
      <c r="AA2436" s="75" t="str">
        <f>IF(AND(MONTH(E2436)='IN-NX'!$J$5,'IN-NX'!$D$7=D2436),"x","")</f>
        <v/>
      </c>
      <c r="AB2436" s="75" t="str">
        <f>IF(AND(OR(LEFT(TH!N2436,2)="15",LEFT(TH!O2436,2)="15"),LEFT(TH!O2436,3)&lt;&gt;"111",'152-CT'!$J$8=TH!F2436),"x","")</f>
        <v/>
      </c>
      <c r="AC2436" s="75" t="str">
        <f>IF(AND(OR(LEFT(TH!N2436,2)="15",LEFT(TH!O2436,2)="15"),TK!$E$7=TH!F2436),"x","")</f>
        <v/>
      </c>
      <c r="AD2436" s="75" t="str">
        <f>IF(AND(N2436="1521",MONTH(C2436)='BK-NL'!$M$11),"x","")</f>
        <v/>
      </c>
    </row>
    <row r="2437" spans="1:30" ht="16.5" customHeight="1">
      <c r="A2437" s="309" t="str">
        <f>IF(B2437&lt;&gt;"",IF(AND(B2437='IN-TC'!$S$4,OR(TH!N2437="1111",TH!O2437="1111")),TH!D2437,""),"")</f>
        <v/>
      </c>
      <c r="B2437" s="1159">
        <f t="shared" si="799"/>
        <v>12</v>
      </c>
      <c r="C2437" s="292">
        <f t="shared" si="810"/>
        <v>43090</v>
      </c>
      <c r="D2437" s="292" t="s">
        <v>2992</v>
      </c>
      <c r="E2437" s="292">
        <v>43090</v>
      </c>
      <c r="F2437" s="425" t="s">
        <v>771</v>
      </c>
      <c r="G2437" s="925"/>
      <c r="H2437" s="425" t="s">
        <v>1890</v>
      </c>
      <c r="I2437" s="373">
        <v>52460</v>
      </c>
      <c r="J2437" s="379">
        <v>17900</v>
      </c>
      <c r="K2437" s="373"/>
      <c r="L2437" s="379"/>
      <c r="M2437" s="927">
        <f t="shared" si="811"/>
        <v>939034000</v>
      </c>
      <c r="N2437" s="295" t="s">
        <v>264</v>
      </c>
      <c r="O2437" s="295" t="s">
        <v>8</v>
      </c>
      <c r="P2437" s="75" t="str">
        <f>IF(AND('331-CT'!$E$7=TH!H2437,OR(N2437="331",O2437="331")),"x","")</f>
        <v/>
      </c>
      <c r="Q2437" s="75" t="str">
        <f>IF(AND(B2437='111'!$L$11,OR($N2437=$Q$7,$O2437=$Q$7)),"x","")</f>
        <v/>
      </c>
      <c r="R2437" s="75" t="str">
        <f>IF(AND($N2437=$Q$7,$B2437&lt;'111'!$L$11),"x","")</f>
        <v/>
      </c>
      <c r="S2437" s="75" t="str">
        <f>IF(AND($O2437=$Q$7,$B2437&lt;'111'!$L$11),"x","")</f>
        <v/>
      </c>
      <c r="T2437" s="75" t="str">
        <f>IF(ISERROR(FIND('112'!$M$9,G2437,1)),"",IF((AND(FIND('112'!$M$9,G2437,1)&gt;=1,B2437='112'!$K$9,OR($N2437='112'!$I$6,$O2437='112'!$I$6))),"x",""))</f>
        <v/>
      </c>
      <c r="U2437" s="75" t="str">
        <f>IF(ISERROR(FIND('112'!$M$9,G2437,1)),"",IF((AND(LEFT(G2437,2)=LEFT('112'!$M$9,2),B2437&lt;'112'!$K$9,$N2437='112'!$I$6)),"x",""))</f>
        <v/>
      </c>
      <c r="V2437" s="75" t="str">
        <f>IF(ISERROR(FIND('112'!$M$9,G2437,1)),"",IF((AND(RIGHT(G2437,2)=RIGHT('112'!$M$9,2),B2437&lt;'112'!$K$9,$O2437='112'!$I$6)),"x",""))</f>
        <v/>
      </c>
      <c r="W2437" s="75" t="str">
        <f>IF(AND('341-CT'!$H$9=H2437,OR(LEFT(N2437,3)=$W$7,LEFT(O2437,3)=$W$7)),"x","")</f>
        <v/>
      </c>
      <c r="X2437" s="75" t="str">
        <f>IF(OR(TH!N2437=TH!$X$7,O2437=TH!$X$7),"x","")</f>
        <v/>
      </c>
      <c r="Y2437" s="75" t="str">
        <f>IF(AND(OR(N2437="131",O2437="131"),H2437='131-CT'!$H$9),"x","")</f>
        <v/>
      </c>
      <c r="Z2437" s="75"/>
      <c r="AA2437" s="75" t="str">
        <f>IF(AND(MONTH(E2437)='IN-NX'!$J$5,'IN-NX'!$D$7=D2437),"x","")</f>
        <v/>
      </c>
      <c r="AB2437" s="75" t="str">
        <f>IF(AND(OR(LEFT(TH!N2437,2)="15",LEFT(TH!O2437,2)="15"),LEFT(TH!O2437,3)&lt;&gt;"111",'152-CT'!$J$8=TH!F2437),"x","")</f>
        <v/>
      </c>
      <c r="AC2437" s="75" t="str">
        <f>IF(AND(OR(LEFT(TH!N2437,2)="15",LEFT(TH!O2437,2)="15"),TK!$E$7=TH!F2437),"x","")</f>
        <v/>
      </c>
      <c r="AD2437" s="75" t="str">
        <f>IF(AND(N2437="1521",MONTH(C2437)='BK-NL'!$M$11),"x","")</f>
        <v/>
      </c>
    </row>
    <row r="2438" spans="1:30" ht="16.5" customHeight="1">
      <c r="A2438" s="309" t="str">
        <f>IF(B2438&lt;&gt;"",IF(AND(B2438='IN-TC'!$S$4,OR(TH!N2438="1111",TH!O2438="1111")),TH!D2438,""),"")</f>
        <v/>
      </c>
      <c r="B2438" s="1159">
        <f t="shared" si="799"/>
        <v>12</v>
      </c>
      <c r="C2438" s="292">
        <f t="shared" si="810"/>
        <v>43092</v>
      </c>
      <c r="D2438" s="292" t="s">
        <v>2996</v>
      </c>
      <c r="E2438" s="292">
        <v>43092</v>
      </c>
      <c r="F2438" s="425" t="s">
        <v>771</v>
      </c>
      <c r="G2438" s="925"/>
      <c r="H2438" s="425" t="s">
        <v>1882</v>
      </c>
      <c r="I2438" s="373">
        <v>58630</v>
      </c>
      <c r="J2438" s="379">
        <v>17900</v>
      </c>
      <c r="K2438" s="373"/>
      <c r="L2438" s="379"/>
      <c r="M2438" s="927">
        <f t="shared" si="811"/>
        <v>1049477000</v>
      </c>
      <c r="N2438" s="295" t="s">
        <v>264</v>
      </c>
      <c r="O2438" s="295" t="s">
        <v>8</v>
      </c>
      <c r="P2438" s="75" t="str">
        <f>IF(AND('331-CT'!$E$7=TH!H2438,OR(N2438="331",O2438="331")),"x","")</f>
        <v/>
      </c>
      <c r="Q2438" s="75" t="str">
        <f>IF(AND(B2438='111'!$L$11,OR($N2438=$Q$7,$O2438=$Q$7)),"x","")</f>
        <v/>
      </c>
      <c r="R2438" s="75" t="str">
        <f>IF(AND($N2438=$Q$7,$B2438&lt;'111'!$L$11),"x","")</f>
        <v/>
      </c>
      <c r="S2438" s="75" t="str">
        <f>IF(AND($O2438=$Q$7,$B2438&lt;'111'!$L$11),"x","")</f>
        <v/>
      </c>
      <c r="T2438" s="75" t="str">
        <f>IF(ISERROR(FIND('112'!$M$9,G2438,1)),"",IF((AND(FIND('112'!$M$9,G2438,1)&gt;=1,B2438='112'!$K$9,OR($N2438='112'!$I$6,$O2438='112'!$I$6))),"x",""))</f>
        <v/>
      </c>
      <c r="U2438" s="75" t="str">
        <f>IF(ISERROR(FIND('112'!$M$9,G2438,1)),"",IF((AND(LEFT(G2438,2)=LEFT('112'!$M$9,2),B2438&lt;'112'!$K$9,$N2438='112'!$I$6)),"x",""))</f>
        <v/>
      </c>
      <c r="V2438" s="75" t="str">
        <f>IF(ISERROR(FIND('112'!$M$9,G2438,1)),"",IF((AND(RIGHT(G2438,2)=RIGHT('112'!$M$9,2),B2438&lt;'112'!$K$9,$O2438='112'!$I$6)),"x",""))</f>
        <v/>
      </c>
      <c r="W2438" s="75" t="str">
        <f>IF(AND('341-CT'!$H$9=H2438,OR(LEFT(N2438,3)=$W$7,LEFT(O2438,3)=$W$7)),"x","")</f>
        <v/>
      </c>
      <c r="X2438" s="75" t="str">
        <f>IF(OR(TH!N2438=TH!$X$7,O2438=TH!$X$7),"x","")</f>
        <v/>
      </c>
      <c r="Y2438" s="75" t="str">
        <f>IF(AND(OR(N2438="131",O2438="131"),H2438='131-CT'!$H$9),"x","")</f>
        <v/>
      </c>
      <c r="Z2438" s="75"/>
      <c r="AA2438" s="75" t="str">
        <f>IF(AND(MONTH(E2438)='IN-NX'!$J$5,'IN-NX'!$D$7=D2438),"x","")</f>
        <v/>
      </c>
      <c r="AB2438" s="75" t="str">
        <f>IF(AND(OR(LEFT(TH!N2438,2)="15",LEFT(TH!O2438,2)="15"),LEFT(TH!O2438,3)&lt;&gt;"111",'152-CT'!$J$8=TH!F2438),"x","")</f>
        <v/>
      </c>
      <c r="AC2438" s="75" t="str">
        <f>IF(AND(OR(LEFT(TH!N2438,2)="15",LEFT(TH!O2438,2)="15"),TK!$E$7=TH!F2438),"x","")</f>
        <v/>
      </c>
      <c r="AD2438" s="75" t="str">
        <f>IF(AND(N2438="1521",MONTH(C2438)='BK-NL'!$M$11),"x","")</f>
        <v/>
      </c>
    </row>
    <row r="2439" spans="1:30" ht="16.5" customHeight="1">
      <c r="A2439" s="309" t="str">
        <f>IF(B2439&lt;&gt;"",IF(AND(B2439='IN-TC'!$S$4,OR(TH!N2439="1111",TH!O2439="1111")),TH!D2439,""),"")</f>
        <v/>
      </c>
      <c r="B2439" s="1159">
        <f t="shared" si="799"/>
        <v>12</v>
      </c>
      <c r="C2439" s="292">
        <f t="shared" si="810"/>
        <v>43092</v>
      </c>
      <c r="D2439" s="292" t="s">
        <v>2997</v>
      </c>
      <c r="E2439" s="292">
        <v>43092</v>
      </c>
      <c r="F2439" s="425" t="s">
        <v>771</v>
      </c>
      <c r="G2439" s="925"/>
      <c r="H2439" s="425" t="s">
        <v>1890</v>
      </c>
      <c r="I2439" s="373">
        <v>50420</v>
      </c>
      <c r="J2439" s="379">
        <v>17900</v>
      </c>
      <c r="K2439" s="373"/>
      <c r="L2439" s="379"/>
      <c r="M2439" s="927">
        <f t="shared" si="811"/>
        <v>902518000</v>
      </c>
      <c r="N2439" s="295" t="s">
        <v>264</v>
      </c>
      <c r="O2439" s="295" t="s">
        <v>8</v>
      </c>
      <c r="P2439" s="75" t="str">
        <f>IF(AND('331-CT'!$E$7=TH!H2439,OR(N2439="331",O2439="331")),"x","")</f>
        <v/>
      </c>
      <c r="Q2439" s="75" t="str">
        <f>IF(AND(B2439='111'!$L$11,OR($N2439=$Q$7,$O2439=$Q$7)),"x","")</f>
        <v/>
      </c>
      <c r="R2439" s="75" t="str">
        <f>IF(AND($N2439=$Q$7,$B2439&lt;'111'!$L$11),"x","")</f>
        <v/>
      </c>
      <c r="S2439" s="75" t="str">
        <f>IF(AND($O2439=$Q$7,$B2439&lt;'111'!$L$11),"x","")</f>
        <v/>
      </c>
      <c r="T2439" s="75" t="str">
        <f>IF(ISERROR(FIND('112'!$M$9,G2439,1)),"",IF((AND(FIND('112'!$M$9,G2439,1)&gt;=1,B2439='112'!$K$9,OR($N2439='112'!$I$6,$O2439='112'!$I$6))),"x",""))</f>
        <v/>
      </c>
      <c r="U2439" s="75" t="str">
        <f>IF(ISERROR(FIND('112'!$M$9,G2439,1)),"",IF((AND(LEFT(G2439,2)=LEFT('112'!$M$9,2),B2439&lt;'112'!$K$9,$N2439='112'!$I$6)),"x",""))</f>
        <v/>
      </c>
      <c r="V2439" s="75" t="str">
        <f>IF(ISERROR(FIND('112'!$M$9,G2439,1)),"",IF((AND(RIGHT(G2439,2)=RIGHT('112'!$M$9,2),B2439&lt;'112'!$K$9,$O2439='112'!$I$6)),"x",""))</f>
        <v/>
      </c>
      <c r="W2439" s="75" t="str">
        <f>IF(AND('341-CT'!$H$9=H2439,OR(LEFT(N2439,3)=$W$7,LEFT(O2439,3)=$W$7)),"x","")</f>
        <v/>
      </c>
      <c r="X2439" s="75" t="str">
        <f>IF(OR(TH!N2439=TH!$X$7,O2439=TH!$X$7),"x","")</f>
        <v/>
      </c>
      <c r="Y2439" s="75" t="str">
        <f>IF(AND(OR(N2439="131",O2439="131"),H2439='131-CT'!$H$9),"x","")</f>
        <v/>
      </c>
      <c r="Z2439" s="75"/>
      <c r="AA2439" s="75" t="str">
        <f>IF(AND(MONTH(E2439)='IN-NX'!$J$5,'IN-NX'!$D$7=D2439),"x","")</f>
        <v/>
      </c>
      <c r="AB2439" s="75" t="str">
        <f>IF(AND(OR(LEFT(TH!N2439,2)="15",LEFT(TH!O2439,2)="15"),LEFT(TH!O2439,3)&lt;&gt;"111",'152-CT'!$J$8=TH!F2439),"x","")</f>
        <v/>
      </c>
      <c r="AC2439" s="75" t="str">
        <f>IF(AND(OR(LEFT(TH!N2439,2)="15",LEFT(TH!O2439,2)="15"),TK!$E$7=TH!F2439),"x","")</f>
        <v/>
      </c>
      <c r="AD2439" s="75" t="str">
        <f>IF(AND(N2439="1521",MONTH(C2439)='BK-NL'!$M$11),"x","")</f>
        <v/>
      </c>
    </row>
    <row r="2440" spans="1:30" ht="16.5" customHeight="1">
      <c r="A2440" s="309" t="str">
        <f>IF(B2440&lt;&gt;"",IF(AND(B2440='IN-TC'!$S$4,OR(TH!N2440="1111",TH!O2440="1111")),TH!D2440,""),"")</f>
        <v/>
      </c>
      <c r="B2440" s="1159">
        <f t="shared" si="799"/>
        <v>12</v>
      </c>
      <c r="C2440" s="292">
        <f t="shared" si="810"/>
        <v>43093</v>
      </c>
      <c r="D2440" s="292" t="s">
        <v>3001</v>
      </c>
      <c r="E2440" s="292">
        <v>43093</v>
      </c>
      <c r="F2440" s="425" t="s">
        <v>771</v>
      </c>
      <c r="G2440" s="925"/>
      <c r="H2440" s="425" t="s">
        <v>1882</v>
      </c>
      <c r="I2440" s="373">
        <f>945319-SUM(I2424:I2439)</f>
        <v>59294</v>
      </c>
      <c r="J2440" s="379">
        <v>17900</v>
      </c>
      <c r="K2440" s="373"/>
      <c r="L2440" s="379"/>
      <c r="M2440" s="927">
        <f t="shared" si="811"/>
        <v>1061362600</v>
      </c>
      <c r="N2440" s="295" t="s">
        <v>264</v>
      </c>
      <c r="O2440" s="295" t="s">
        <v>8</v>
      </c>
      <c r="P2440" s="75" t="str">
        <f>IF(AND('331-CT'!$E$7=TH!H2440,OR(N2440="331",O2440="331")),"x","")</f>
        <v/>
      </c>
      <c r="Q2440" s="75" t="str">
        <f>IF(AND(B2440='111'!$L$11,OR($N2440=$Q$7,$O2440=$Q$7)),"x","")</f>
        <v/>
      </c>
      <c r="R2440" s="75" t="str">
        <f>IF(AND($N2440=$Q$7,$B2440&lt;'111'!$L$11),"x","")</f>
        <v/>
      </c>
      <c r="S2440" s="75" t="str">
        <f>IF(AND($O2440=$Q$7,$B2440&lt;'111'!$L$11),"x","")</f>
        <v/>
      </c>
      <c r="T2440" s="75" t="str">
        <f>IF(ISERROR(FIND('112'!$M$9,G2440,1)),"",IF((AND(FIND('112'!$M$9,G2440,1)&gt;=1,B2440='112'!$K$9,OR($N2440='112'!$I$6,$O2440='112'!$I$6))),"x",""))</f>
        <v/>
      </c>
      <c r="U2440" s="75" t="str">
        <f>IF(ISERROR(FIND('112'!$M$9,G2440,1)),"",IF((AND(LEFT(G2440,2)=LEFT('112'!$M$9,2),B2440&lt;'112'!$K$9,$N2440='112'!$I$6)),"x",""))</f>
        <v/>
      </c>
      <c r="V2440" s="75" t="str">
        <f>IF(ISERROR(FIND('112'!$M$9,G2440,1)),"",IF((AND(RIGHT(G2440,2)=RIGHT('112'!$M$9,2),B2440&lt;'112'!$K$9,$O2440='112'!$I$6)),"x",""))</f>
        <v/>
      </c>
      <c r="W2440" s="75" t="str">
        <f>IF(AND('341-CT'!$H$9=H2440,OR(LEFT(N2440,3)=$W$7,LEFT(O2440,3)=$W$7)),"x","")</f>
        <v/>
      </c>
      <c r="X2440" s="75" t="str">
        <f>IF(OR(TH!N2440=TH!$X$7,O2440=TH!$X$7),"x","")</f>
        <v/>
      </c>
      <c r="Y2440" s="75" t="str">
        <f>IF(AND(OR(N2440="131",O2440="131"),H2440='131-CT'!$H$9),"x","")</f>
        <v/>
      </c>
      <c r="Z2440" s="75"/>
      <c r="AA2440" s="75" t="str">
        <f>IF(AND(MONTH(E2440)='IN-NX'!$J$5,'IN-NX'!$D$7=D2440),"x","")</f>
        <v/>
      </c>
      <c r="AB2440" s="75" t="str">
        <f>IF(AND(OR(LEFT(TH!N2440,2)="15",LEFT(TH!O2440,2)="15"),LEFT(TH!O2440,3)&lt;&gt;"111",'152-CT'!$J$8=TH!F2440),"x","")</f>
        <v/>
      </c>
      <c r="AC2440" s="75" t="str">
        <f>IF(AND(OR(LEFT(TH!N2440,2)="15",LEFT(TH!O2440,2)="15"),TK!$E$7=TH!F2440),"x","")</f>
        <v/>
      </c>
      <c r="AD2440" s="75" t="str">
        <f>IF(AND(N2440="1521",MONTH(C2440)='BK-NL'!$M$11),"x","")</f>
        <v/>
      </c>
    </row>
    <row r="2441" spans="1:30" ht="16.5" customHeight="1">
      <c r="A2441" s="309" t="str">
        <f>IF(B2441&lt;&gt;"",IF(AND(B2441='IN-TC'!$S$4,OR(TH!N2441="1111",TH!O2441="1111")),TH!D2441,""),"")</f>
        <v/>
      </c>
      <c r="B2441" s="1159">
        <f t="shared" si="799"/>
        <v>12</v>
      </c>
      <c r="C2441" s="292">
        <f t="shared" si="810"/>
        <v>43093</v>
      </c>
      <c r="D2441" s="292" t="s">
        <v>3001</v>
      </c>
      <c r="E2441" s="292">
        <v>43093</v>
      </c>
      <c r="F2441" s="425" t="s">
        <v>771</v>
      </c>
      <c r="G2441" s="925"/>
      <c r="H2441" s="425" t="s">
        <v>1882</v>
      </c>
      <c r="I2441" s="373">
        <v>40500</v>
      </c>
      <c r="J2441" s="379">
        <v>18500</v>
      </c>
      <c r="K2441" s="373"/>
      <c r="L2441" s="379"/>
      <c r="M2441" s="927">
        <f t="shared" si="811"/>
        <v>749250000</v>
      </c>
      <c r="N2441" s="295" t="s">
        <v>264</v>
      </c>
      <c r="O2441" s="295" t="s">
        <v>8</v>
      </c>
      <c r="P2441" s="75" t="str">
        <f>IF(AND('331-CT'!$E$7=TH!H2441,OR(N2441="331",O2441="331")),"x","")</f>
        <v/>
      </c>
      <c r="Q2441" s="75" t="str">
        <f>IF(AND(B2441='111'!$L$11,OR($N2441=$Q$7,$O2441=$Q$7)),"x","")</f>
        <v/>
      </c>
      <c r="R2441" s="75" t="str">
        <f>IF(AND($N2441=$Q$7,$B2441&lt;'111'!$L$11),"x","")</f>
        <v/>
      </c>
      <c r="S2441" s="75" t="str">
        <f>IF(AND($O2441=$Q$7,$B2441&lt;'111'!$L$11),"x","")</f>
        <v/>
      </c>
      <c r="T2441" s="75" t="str">
        <f>IF(ISERROR(FIND('112'!$M$9,G2441,1)),"",IF((AND(FIND('112'!$M$9,G2441,1)&gt;=1,B2441='112'!$K$9,OR($N2441='112'!$I$6,$O2441='112'!$I$6))),"x",""))</f>
        <v/>
      </c>
      <c r="U2441" s="75" t="str">
        <f>IF(ISERROR(FIND('112'!$M$9,G2441,1)),"",IF((AND(LEFT(G2441,2)=LEFT('112'!$M$9,2),B2441&lt;'112'!$K$9,$N2441='112'!$I$6)),"x",""))</f>
        <v/>
      </c>
      <c r="V2441" s="75" t="str">
        <f>IF(ISERROR(FIND('112'!$M$9,G2441,1)),"",IF((AND(RIGHT(G2441,2)=RIGHT('112'!$M$9,2),B2441&lt;'112'!$K$9,$O2441='112'!$I$6)),"x",""))</f>
        <v/>
      </c>
      <c r="W2441" s="75" t="str">
        <f>IF(AND('341-CT'!$H$9=H2441,OR(LEFT(N2441,3)=$W$7,LEFT(O2441,3)=$W$7)),"x","")</f>
        <v/>
      </c>
      <c r="X2441" s="75" t="str">
        <f>IF(OR(TH!N2441=TH!$X$7,O2441=TH!$X$7),"x","")</f>
        <v/>
      </c>
      <c r="Y2441" s="75" t="str">
        <f>IF(AND(OR(N2441="131",O2441="131"),H2441='131-CT'!$H$9),"x","")</f>
        <v/>
      </c>
      <c r="Z2441" s="75"/>
      <c r="AA2441" s="75" t="str">
        <f>IF(AND(MONTH(E2441)='IN-NX'!$J$5,'IN-NX'!$D$7=D2441),"x","")</f>
        <v/>
      </c>
      <c r="AB2441" s="75" t="str">
        <f>IF(AND(OR(LEFT(TH!N2441,2)="15",LEFT(TH!O2441,2)="15"),LEFT(TH!O2441,3)&lt;&gt;"111",'152-CT'!$J$8=TH!F2441),"x","")</f>
        <v/>
      </c>
      <c r="AC2441" s="75" t="str">
        <f>IF(AND(OR(LEFT(TH!N2441,2)="15",LEFT(TH!O2441,2)="15"),TK!$E$7=TH!F2441),"x","")</f>
        <v/>
      </c>
      <c r="AD2441" s="75" t="str">
        <f>IF(AND(N2441="1521",MONTH(C2441)='BK-NL'!$M$11),"x","")</f>
        <v/>
      </c>
    </row>
    <row r="2442" spans="1:30" ht="16.5" customHeight="1">
      <c r="A2442" s="309" t="str">
        <f>IF(B2442&lt;&gt;"",IF(AND(B2442='IN-TC'!$S$4,OR(TH!N2442="1111",TH!O2442="1111")),TH!D2442,""),"")</f>
        <v/>
      </c>
      <c r="B2442" s="1159">
        <f t="shared" si="799"/>
        <v>12</v>
      </c>
      <c r="C2442" s="292">
        <f t="shared" si="810"/>
        <v>43093</v>
      </c>
      <c r="D2442" s="292" t="s">
        <v>3001</v>
      </c>
      <c r="E2442" s="292">
        <v>43093</v>
      </c>
      <c r="F2442" s="425" t="s">
        <v>771</v>
      </c>
      <c r="G2442" s="925"/>
      <c r="H2442" s="425" t="s">
        <v>1882</v>
      </c>
      <c r="I2442" s="373">
        <v>8100</v>
      </c>
      <c r="J2442" s="379">
        <v>17700</v>
      </c>
      <c r="K2442" s="373"/>
      <c r="L2442" s="379"/>
      <c r="M2442" s="927">
        <f t="shared" si="811"/>
        <v>143370000</v>
      </c>
      <c r="N2442" s="295" t="s">
        <v>264</v>
      </c>
      <c r="O2442" s="295" t="s">
        <v>8</v>
      </c>
      <c r="P2442" s="75" t="str">
        <f>IF(AND('331-CT'!$E$7=TH!H2442,OR(N2442="331",O2442="331")),"x","")</f>
        <v/>
      </c>
      <c r="Q2442" s="75" t="str">
        <f>IF(AND(B2442='111'!$L$11,OR($N2442=$Q$7,$O2442=$Q$7)),"x","")</f>
        <v/>
      </c>
      <c r="R2442" s="75" t="str">
        <f>IF(AND($N2442=$Q$7,$B2442&lt;'111'!$L$11),"x","")</f>
        <v/>
      </c>
      <c r="S2442" s="75" t="str">
        <f>IF(AND($O2442=$Q$7,$B2442&lt;'111'!$L$11),"x","")</f>
        <v/>
      </c>
      <c r="T2442" s="75" t="str">
        <f>IF(ISERROR(FIND('112'!$M$9,G2442,1)),"",IF((AND(FIND('112'!$M$9,G2442,1)&gt;=1,B2442='112'!$K$9,OR($N2442='112'!$I$6,$O2442='112'!$I$6))),"x",""))</f>
        <v/>
      </c>
      <c r="U2442" s="75" t="str">
        <f>IF(ISERROR(FIND('112'!$M$9,G2442,1)),"",IF((AND(LEFT(G2442,2)=LEFT('112'!$M$9,2),B2442&lt;'112'!$K$9,$N2442='112'!$I$6)),"x",""))</f>
        <v/>
      </c>
      <c r="V2442" s="75" t="str">
        <f>IF(ISERROR(FIND('112'!$M$9,G2442,1)),"",IF((AND(RIGHT(G2442,2)=RIGHT('112'!$M$9,2),B2442&lt;'112'!$K$9,$O2442='112'!$I$6)),"x",""))</f>
        <v/>
      </c>
      <c r="W2442" s="75" t="str">
        <f>IF(AND('341-CT'!$H$9=H2442,OR(LEFT(N2442,3)=$W$7,LEFT(O2442,3)=$W$7)),"x","")</f>
        <v/>
      </c>
      <c r="X2442" s="75" t="str">
        <f>IF(OR(TH!N2442=TH!$X$7,O2442=TH!$X$7),"x","")</f>
        <v/>
      </c>
      <c r="Y2442" s="75" t="str">
        <f>IF(AND(OR(N2442="131",O2442="131"),H2442='131-CT'!$H$9),"x","")</f>
        <v/>
      </c>
      <c r="Z2442" s="75"/>
      <c r="AA2442" s="75" t="str">
        <f>IF(AND(MONTH(E2442)='IN-NX'!$J$5,'IN-NX'!$D$7=D2442),"x","")</f>
        <v/>
      </c>
      <c r="AB2442" s="75" t="str">
        <f>IF(AND(OR(LEFT(TH!N2442,2)="15",LEFT(TH!O2442,2)="15"),LEFT(TH!O2442,3)&lt;&gt;"111",'152-CT'!$J$8=TH!F2442),"x","")</f>
        <v/>
      </c>
      <c r="AC2442" s="75" t="str">
        <f>IF(AND(OR(LEFT(TH!N2442,2)="15",LEFT(TH!O2442,2)="15"),TK!$E$7=TH!F2442),"x","")</f>
        <v/>
      </c>
      <c r="AD2442" s="75" t="str">
        <f>IF(AND(N2442="1521",MONTH(C2442)='BK-NL'!$M$11),"x","")</f>
        <v/>
      </c>
    </row>
    <row r="2443" spans="1:30" ht="16.5" customHeight="1">
      <c r="A2443" s="309" t="str">
        <f>IF(B2443&lt;&gt;"",IF(AND(B2443='IN-TC'!$S$4,OR(TH!N2443="1111",TH!O2443="1111")),TH!D2443,""),"")</f>
        <v/>
      </c>
      <c r="B2443" s="1159">
        <f t="shared" ref="B2443:B2445" si="818">IF(C2443&lt;&gt;"",MONTH(C2443),"")</f>
        <v>12</v>
      </c>
      <c r="C2443" s="292">
        <f t="shared" ref="C2443:C2445" si="819">E2443</f>
        <v>43071</v>
      </c>
      <c r="D2443" s="292" t="s">
        <v>2959</v>
      </c>
      <c r="E2443" s="292">
        <v>43071</v>
      </c>
      <c r="F2443" s="425" t="s">
        <v>565</v>
      </c>
      <c r="G2443" s="925"/>
      <c r="H2443" s="429" t="s">
        <v>348</v>
      </c>
      <c r="I2443" s="373">
        <v>16890</v>
      </c>
      <c r="J2443" s="379">
        <v>17000</v>
      </c>
      <c r="K2443" s="373"/>
      <c r="L2443" s="379"/>
      <c r="M2443" s="927">
        <f t="shared" ref="M2443:M2445" si="820">ROUND(I2443*J2443,0)</f>
        <v>287130000</v>
      </c>
      <c r="N2443" s="295" t="s">
        <v>264</v>
      </c>
      <c r="O2443" s="295" t="s">
        <v>8</v>
      </c>
      <c r="P2443" s="75" t="str">
        <f>IF(AND('331-CT'!$E$7=TH!H2443,OR(N2443="331",O2443="331")),"x","")</f>
        <v/>
      </c>
      <c r="Q2443" s="75" t="str">
        <f>IF(AND(B2443='111'!$L$11,OR($N2443=$Q$7,$O2443=$Q$7)),"x","")</f>
        <v/>
      </c>
      <c r="R2443" s="75" t="str">
        <f>IF(AND($N2443=$Q$7,$B2443&lt;'111'!$L$11),"x","")</f>
        <v/>
      </c>
      <c r="S2443" s="75" t="str">
        <f>IF(AND($O2443=$Q$7,$B2443&lt;'111'!$L$11),"x","")</f>
        <v/>
      </c>
      <c r="T2443" s="75" t="str">
        <f>IF(ISERROR(FIND('112'!$M$9,G2443,1)),"",IF((AND(FIND('112'!$M$9,G2443,1)&gt;=1,B2443='112'!$K$9,OR($N2443='112'!$I$6,$O2443='112'!$I$6))),"x",""))</f>
        <v/>
      </c>
      <c r="U2443" s="75" t="str">
        <f>IF(ISERROR(FIND('112'!$M$9,G2443,1)),"",IF((AND(LEFT(G2443,2)=LEFT('112'!$M$9,2),B2443&lt;'112'!$K$9,$N2443='112'!$I$6)),"x",""))</f>
        <v/>
      </c>
      <c r="V2443" s="75" t="str">
        <f>IF(ISERROR(FIND('112'!$M$9,G2443,1)),"",IF((AND(RIGHT(G2443,2)=RIGHT('112'!$M$9,2),B2443&lt;'112'!$K$9,$O2443='112'!$I$6)),"x",""))</f>
        <v/>
      </c>
      <c r="W2443" s="75" t="str">
        <f>IF(AND('341-CT'!$H$9=H2443,OR(LEFT(N2443,3)=$W$7,LEFT(O2443,3)=$W$7)),"x","")</f>
        <v/>
      </c>
      <c r="X2443" s="75" t="str">
        <f>IF(OR(TH!N2443=TH!$X$7,O2443=TH!$X$7),"x","")</f>
        <v/>
      </c>
      <c r="Y2443" s="75" t="str">
        <f>IF(AND(OR(N2443="131",O2443="131"),H2443='131-CT'!$H$9),"x","")</f>
        <v/>
      </c>
      <c r="Z2443" s="75"/>
      <c r="AA2443" s="75" t="str">
        <f>IF(AND(MONTH(E2443)='IN-NX'!$J$5,'IN-NX'!$D$7=D2443),"x","")</f>
        <v/>
      </c>
      <c r="AB2443" s="75" t="str">
        <f>IF(AND(OR(LEFT(TH!N2443,2)="15",LEFT(TH!O2443,2)="15"),LEFT(TH!O2443,3)&lt;&gt;"111",'152-CT'!$J$8=TH!F2443),"x","")</f>
        <v/>
      </c>
      <c r="AC2443" s="75" t="str">
        <f>IF(AND(OR(LEFT(TH!N2443,2)="15",LEFT(TH!O2443,2)="15"),TK!$E$7=TH!F2443),"x","")</f>
        <v/>
      </c>
      <c r="AD2443" s="75" t="str">
        <f>IF(AND(N2443="1521",MONTH(C2443)='BK-NL'!$M$11),"x","")</f>
        <v/>
      </c>
    </row>
    <row r="2444" spans="1:30" ht="16.5" customHeight="1">
      <c r="A2444" s="309" t="str">
        <f>IF(B2444&lt;&gt;"",IF(AND(B2444='IN-TC'!$S$4,OR(TH!N2444="1111",TH!O2444="1111")),TH!D2444,""),"")</f>
        <v/>
      </c>
      <c r="B2444" s="1159">
        <f t="shared" si="818"/>
        <v>12</v>
      </c>
      <c r="C2444" s="292">
        <f t="shared" si="819"/>
        <v>43071</v>
      </c>
      <c r="D2444" s="292" t="s">
        <v>2960</v>
      </c>
      <c r="E2444" s="292">
        <v>43071</v>
      </c>
      <c r="F2444" s="425" t="s">
        <v>565</v>
      </c>
      <c r="G2444" s="925"/>
      <c r="H2444" s="429" t="s">
        <v>350</v>
      </c>
      <c r="I2444" s="373">
        <v>16780</v>
      </c>
      <c r="J2444" s="379">
        <v>17000</v>
      </c>
      <c r="K2444" s="373"/>
      <c r="L2444" s="379"/>
      <c r="M2444" s="927">
        <f t="shared" si="820"/>
        <v>285260000</v>
      </c>
      <c r="N2444" s="295" t="s">
        <v>264</v>
      </c>
      <c r="O2444" s="295" t="s">
        <v>8</v>
      </c>
      <c r="P2444" s="75" t="str">
        <f>IF(AND('331-CT'!$E$7=TH!H2444,OR(N2444="331",O2444="331")),"x","")</f>
        <v/>
      </c>
      <c r="Q2444" s="75" t="str">
        <f>IF(AND(B2444='111'!$L$11,OR($N2444=$Q$7,$O2444=$Q$7)),"x","")</f>
        <v/>
      </c>
      <c r="R2444" s="75" t="str">
        <f>IF(AND($N2444=$Q$7,$B2444&lt;'111'!$L$11),"x","")</f>
        <v/>
      </c>
      <c r="S2444" s="75" t="str">
        <f>IF(AND($O2444=$Q$7,$B2444&lt;'111'!$L$11),"x","")</f>
        <v/>
      </c>
      <c r="T2444" s="75" t="str">
        <f>IF(ISERROR(FIND('112'!$M$9,G2444,1)),"",IF((AND(FIND('112'!$M$9,G2444,1)&gt;=1,B2444='112'!$K$9,OR($N2444='112'!$I$6,$O2444='112'!$I$6))),"x",""))</f>
        <v/>
      </c>
      <c r="U2444" s="75" t="str">
        <f>IF(ISERROR(FIND('112'!$M$9,G2444,1)),"",IF((AND(LEFT(G2444,2)=LEFT('112'!$M$9,2),B2444&lt;'112'!$K$9,$N2444='112'!$I$6)),"x",""))</f>
        <v/>
      </c>
      <c r="V2444" s="75" t="str">
        <f>IF(ISERROR(FIND('112'!$M$9,G2444,1)),"",IF((AND(RIGHT(G2444,2)=RIGHT('112'!$M$9,2),B2444&lt;'112'!$K$9,$O2444='112'!$I$6)),"x",""))</f>
        <v/>
      </c>
      <c r="W2444" s="75" t="str">
        <f>IF(AND('341-CT'!$H$9=H2444,OR(LEFT(N2444,3)=$W$7,LEFT(O2444,3)=$W$7)),"x","")</f>
        <v/>
      </c>
      <c r="X2444" s="75" t="str">
        <f>IF(OR(TH!N2444=TH!$X$7,O2444=TH!$X$7),"x","")</f>
        <v/>
      </c>
      <c r="Y2444" s="75" t="str">
        <f>IF(AND(OR(N2444="131",O2444="131"),H2444='131-CT'!$H$9),"x","")</f>
        <v/>
      </c>
      <c r="Z2444" s="75"/>
      <c r="AA2444" s="75" t="str">
        <f>IF(AND(MONTH(E2444)='IN-NX'!$J$5,'IN-NX'!$D$7=D2444),"x","")</f>
        <v/>
      </c>
      <c r="AB2444" s="75" t="str">
        <f>IF(AND(OR(LEFT(TH!N2444,2)="15",LEFT(TH!O2444,2)="15"),LEFT(TH!O2444,3)&lt;&gt;"111",'152-CT'!$J$8=TH!F2444),"x","")</f>
        <v/>
      </c>
      <c r="AC2444" s="75" t="str">
        <f>IF(AND(OR(LEFT(TH!N2444,2)="15",LEFT(TH!O2444,2)="15"),TK!$E$7=TH!F2444),"x","")</f>
        <v/>
      </c>
      <c r="AD2444" s="75" t="str">
        <f>IF(AND(N2444="1521",MONTH(C2444)='BK-NL'!$M$11),"x","")</f>
        <v/>
      </c>
    </row>
    <row r="2445" spans="1:30" ht="16.5" customHeight="1">
      <c r="A2445" s="309" t="str">
        <f>IF(B2445&lt;&gt;"",IF(AND(B2445='IN-TC'!$S$4,OR(TH!N2445="1111",TH!O2445="1111")),TH!D2445,""),"")</f>
        <v/>
      </c>
      <c r="B2445" s="1159">
        <f t="shared" si="818"/>
        <v>12</v>
      </c>
      <c r="C2445" s="292">
        <f t="shared" si="819"/>
        <v>43076</v>
      </c>
      <c r="D2445" s="292" t="s">
        <v>2973</v>
      </c>
      <c r="E2445" s="292">
        <v>43076</v>
      </c>
      <c r="F2445" s="425" t="s">
        <v>565</v>
      </c>
      <c r="G2445" s="925"/>
      <c r="H2445" s="435" t="s">
        <v>358</v>
      </c>
      <c r="I2445" s="373">
        <f>50400-I2443-I2444</f>
        <v>16730</v>
      </c>
      <c r="J2445" s="379">
        <v>17000</v>
      </c>
      <c r="K2445" s="373"/>
      <c r="L2445" s="379"/>
      <c r="M2445" s="927">
        <f t="shared" si="820"/>
        <v>284410000</v>
      </c>
      <c r="N2445" s="295" t="s">
        <v>264</v>
      </c>
      <c r="O2445" s="295" t="s">
        <v>8</v>
      </c>
      <c r="P2445" s="75" t="str">
        <f>IF(AND('331-CT'!$E$7=TH!H2445,OR(N2445="331",O2445="331")),"x","")</f>
        <v/>
      </c>
      <c r="Q2445" s="75" t="str">
        <f>IF(AND(B2445='111'!$L$11,OR($N2445=$Q$7,$O2445=$Q$7)),"x","")</f>
        <v/>
      </c>
      <c r="R2445" s="75" t="str">
        <f>IF(AND($N2445=$Q$7,$B2445&lt;'111'!$L$11),"x","")</f>
        <v/>
      </c>
      <c r="S2445" s="75" t="str">
        <f>IF(AND($O2445=$Q$7,$B2445&lt;'111'!$L$11),"x","")</f>
        <v/>
      </c>
      <c r="T2445" s="75" t="str">
        <f>IF(ISERROR(FIND('112'!$M$9,G2445,1)),"",IF((AND(FIND('112'!$M$9,G2445,1)&gt;=1,B2445='112'!$K$9,OR($N2445='112'!$I$6,$O2445='112'!$I$6))),"x",""))</f>
        <v/>
      </c>
      <c r="U2445" s="75" t="str">
        <f>IF(ISERROR(FIND('112'!$M$9,G2445,1)),"",IF((AND(LEFT(G2445,2)=LEFT('112'!$M$9,2),B2445&lt;'112'!$K$9,$N2445='112'!$I$6)),"x",""))</f>
        <v/>
      </c>
      <c r="V2445" s="75" t="str">
        <f>IF(ISERROR(FIND('112'!$M$9,G2445,1)),"",IF((AND(RIGHT(G2445,2)=RIGHT('112'!$M$9,2),B2445&lt;'112'!$K$9,$O2445='112'!$I$6)),"x",""))</f>
        <v/>
      </c>
      <c r="W2445" s="75" t="str">
        <f>IF(AND('341-CT'!$H$9=H2445,OR(LEFT(N2445,3)=$W$7,LEFT(O2445,3)=$W$7)),"x","")</f>
        <v/>
      </c>
      <c r="X2445" s="75" t="str">
        <f>IF(OR(TH!N2445=TH!$X$7,O2445=TH!$X$7),"x","")</f>
        <v/>
      </c>
      <c r="Y2445" s="75" t="str">
        <f>IF(AND(OR(N2445="131",O2445="131"),H2445='131-CT'!$H$9),"x","")</f>
        <v/>
      </c>
      <c r="Z2445" s="75"/>
      <c r="AA2445" s="75" t="str">
        <f>IF(AND(MONTH(E2445)='IN-NX'!$J$5,'IN-NX'!$D$7=D2445),"x","")</f>
        <v/>
      </c>
      <c r="AB2445" s="75" t="str">
        <f>IF(AND(OR(LEFT(TH!N2445,2)="15",LEFT(TH!O2445,2)="15"),LEFT(TH!O2445,3)&lt;&gt;"111",'152-CT'!$J$8=TH!F2445),"x","")</f>
        <v/>
      </c>
      <c r="AC2445" s="75" t="str">
        <f>IF(AND(OR(LEFT(TH!N2445,2)="15",LEFT(TH!O2445,2)="15"),TK!$E$7=TH!F2445),"x","")</f>
        <v/>
      </c>
      <c r="AD2445" s="75" t="str">
        <f>IF(AND(N2445="1521",MONTH(C2445)='BK-NL'!$M$11),"x","")</f>
        <v/>
      </c>
    </row>
    <row r="2446" spans="1:30" ht="16.5" customHeight="1">
      <c r="A2446" s="309" t="str">
        <f>IF(B2446&lt;&gt;"",IF(AND(B2446='IN-TC'!$S$4,OR(TH!N2446="1111",TH!O2446="1111")),TH!D2446,""),"")</f>
        <v/>
      </c>
      <c r="B2446" s="1159">
        <f t="shared" si="799"/>
        <v>12</v>
      </c>
      <c r="C2446" s="292">
        <f t="shared" si="810"/>
        <v>43076</v>
      </c>
      <c r="D2446" s="292" t="s">
        <v>2974</v>
      </c>
      <c r="E2446" s="292">
        <v>43076</v>
      </c>
      <c r="F2446" s="425" t="s">
        <v>565</v>
      </c>
      <c r="G2446" s="925"/>
      <c r="H2446" s="429" t="s">
        <v>359</v>
      </c>
      <c r="I2446" s="373">
        <v>15870</v>
      </c>
      <c r="J2446" s="379">
        <v>17500</v>
      </c>
      <c r="K2446" s="373"/>
      <c r="L2446" s="379"/>
      <c r="M2446" s="927">
        <f t="shared" si="811"/>
        <v>277725000</v>
      </c>
      <c r="N2446" s="295" t="s">
        <v>264</v>
      </c>
      <c r="O2446" s="295" t="s">
        <v>8</v>
      </c>
      <c r="P2446" s="75" t="str">
        <f>IF(AND('331-CT'!$E$7=TH!H2446,OR(N2446="331",O2446="331")),"x","")</f>
        <v/>
      </c>
      <c r="Q2446" s="75" t="str">
        <f>IF(AND(B2446='111'!$L$11,OR($N2446=$Q$7,$O2446=$Q$7)),"x","")</f>
        <v/>
      </c>
      <c r="R2446" s="75" t="str">
        <f>IF(AND($N2446=$Q$7,$B2446&lt;'111'!$L$11),"x","")</f>
        <v/>
      </c>
      <c r="S2446" s="75" t="str">
        <f>IF(AND($O2446=$Q$7,$B2446&lt;'111'!$L$11),"x","")</f>
        <v/>
      </c>
      <c r="T2446" s="75" t="str">
        <f>IF(ISERROR(FIND('112'!$M$9,G2446,1)),"",IF((AND(FIND('112'!$M$9,G2446,1)&gt;=1,B2446='112'!$K$9,OR($N2446='112'!$I$6,$O2446='112'!$I$6))),"x",""))</f>
        <v/>
      </c>
      <c r="U2446" s="75" t="str">
        <f>IF(ISERROR(FIND('112'!$M$9,G2446,1)),"",IF((AND(LEFT(G2446,2)=LEFT('112'!$M$9,2),B2446&lt;'112'!$K$9,$N2446='112'!$I$6)),"x",""))</f>
        <v/>
      </c>
      <c r="V2446" s="75" t="str">
        <f>IF(ISERROR(FIND('112'!$M$9,G2446,1)),"",IF((AND(RIGHT(G2446,2)=RIGHT('112'!$M$9,2),B2446&lt;'112'!$K$9,$O2446='112'!$I$6)),"x",""))</f>
        <v/>
      </c>
      <c r="W2446" s="75" t="str">
        <f>IF(AND('341-CT'!$H$9=H2446,OR(LEFT(N2446,3)=$W$7,LEFT(O2446,3)=$W$7)),"x","")</f>
        <v/>
      </c>
      <c r="X2446" s="75" t="str">
        <f>IF(OR(TH!N2446=TH!$X$7,O2446=TH!$X$7),"x","")</f>
        <v/>
      </c>
      <c r="Y2446" s="75" t="str">
        <f>IF(AND(OR(N2446="131",O2446="131"),H2446='131-CT'!$H$9),"x","")</f>
        <v/>
      </c>
      <c r="Z2446" s="75"/>
      <c r="AA2446" s="75" t="str">
        <f>IF(AND(MONTH(E2446)='IN-NX'!$J$5,'IN-NX'!$D$7=D2446),"x","")</f>
        <v/>
      </c>
      <c r="AB2446" s="75" t="str">
        <f>IF(AND(OR(LEFT(TH!N2446,2)="15",LEFT(TH!O2446,2)="15"),LEFT(TH!O2446,3)&lt;&gt;"111",'152-CT'!$J$8=TH!F2446),"x","")</f>
        <v/>
      </c>
      <c r="AC2446" s="75" t="str">
        <f>IF(AND(OR(LEFT(TH!N2446,2)="15",LEFT(TH!O2446,2)="15"),TK!$E$7=TH!F2446),"x","")</f>
        <v/>
      </c>
      <c r="AD2446" s="75" t="str">
        <f>IF(AND(N2446="1521",MONTH(C2446)='BK-NL'!$M$11),"x","")</f>
        <v/>
      </c>
    </row>
    <row r="2447" spans="1:30" ht="16.5" customHeight="1">
      <c r="A2447" s="309" t="str">
        <f>IF(B2447&lt;&gt;"",IF(AND(B2447='IN-TC'!$S$4,OR(TH!N2447="1111",TH!O2447="1111")),TH!D2447,""),"")</f>
        <v/>
      </c>
      <c r="B2447" s="1159">
        <f t="shared" si="799"/>
        <v>12</v>
      </c>
      <c r="C2447" s="292">
        <f t="shared" si="810"/>
        <v>43076</v>
      </c>
      <c r="D2447" s="292" t="s">
        <v>2975</v>
      </c>
      <c r="E2447" s="292">
        <v>43076</v>
      </c>
      <c r="F2447" s="425" t="s">
        <v>565</v>
      </c>
      <c r="G2447" s="925"/>
      <c r="H2447" s="429" t="s">
        <v>350</v>
      </c>
      <c r="I2447" s="373">
        <f>31680-I2446</f>
        <v>15810</v>
      </c>
      <c r="J2447" s="379">
        <v>17500</v>
      </c>
      <c r="K2447" s="373"/>
      <c r="L2447" s="379"/>
      <c r="M2447" s="927">
        <f t="shared" si="811"/>
        <v>276675000</v>
      </c>
      <c r="N2447" s="295" t="s">
        <v>264</v>
      </c>
      <c r="O2447" s="295" t="s">
        <v>8</v>
      </c>
      <c r="P2447" s="75" t="str">
        <f>IF(AND('331-CT'!$E$7=TH!H2447,OR(N2447="331",O2447="331")),"x","")</f>
        <v/>
      </c>
      <c r="Q2447" s="75" t="str">
        <f>IF(AND(B2447='111'!$L$11,OR($N2447=$Q$7,$O2447=$Q$7)),"x","")</f>
        <v/>
      </c>
      <c r="R2447" s="75" t="str">
        <f>IF(AND($N2447=$Q$7,$B2447&lt;'111'!$L$11),"x","")</f>
        <v/>
      </c>
      <c r="S2447" s="75" t="str">
        <f>IF(AND($O2447=$Q$7,$B2447&lt;'111'!$L$11),"x","")</f>
        <v/>
      </c>
      <c r="T2447" s="75" t="str">
        <f>IF(ISERROR(FIND('112'!$M$9,G2447,1)),"",IF((AND(FIND('112'!$M$9,G2447,1)&gt;=1,B2447='112'!$K$9,OR($N2447='112'!$I$6,$O2447='112'!$I$6))),"x",""))</f>
        <v/>
      </c>
      <c r="U2447" s="75" t="str">
        <f>IF(ISERROR(FIND('112'!$M$9,G2447,1)),"",IF((AND(LEFT(G2447,2)=LEFT('112'!$M$9,2),B2447&lt;'112'!$K$9,$N2447='112'!$I$6)),"x",""))</f>
        <v/>
      </c>
      <c r="V2447" s="75" t="str">
        <f>IF(ISERROR(FIND('112'!$M$9,G2447,1)),"",IF((AND(RIGHT(G2447,2)=RIGHT('112'!$M$9,2),B2447&lt;'112'!$K$9,$O2447='112'!$I$6)),"x",""))</f>
        <v/>
      </c>
      <c r="W2447" s="75" t="str">
        <f>IF(AND('341-CT'!$H$9=H2447,OR(LEFT(N2447,3)=$W$7,LEFT(O2447,3)=$W$7)),"x","")</f>
        <v/>
      </c>
      <c r="X2447" s="75" t="str">
        <f>IF(OR(TH!N2447=TH!$X$7,O2447=TH!$X$7),"x","")</f>
        <v/>
      </c>
      <c r="Y2447" s="75" t="str">
        <f>IF(AND(OR(N2447="131",O2447="131"),H2447='131-CT'!$H$9),"x","")</f>
        <v/>
      </c>
      <c r="Z2447" s="75"/>
      <c r="AA2447" s="75" t="str">
        <f>IF(AND(MONTH(E2447)='IN-NX'!$J$5,'IN-NX'!$D$7=D2447),"x","")</f>
        <v/>
      </c>
      <c r="AB2447" s="75" t="str">
        <f>IF(AND(OR(LEFT(TH!N2447,2)="15",LEFT(TH!O2447,2)="15"),LEFT(TH!O2447,3)&lt;&gt;"111",'152-CT'!$J$8=TH!F2447),"x","")</f>
        <v/>
      </c>
      <c r="AC2447" s="75" t="str">
        <f>IF(AND(OR(LEFT(TH!N2447,2)="15",LEFT(TH!O2447,2)="15"),TK!$E$7=TH!F2447),"x","")</f>
        <v/>
      </c>
      <c r="AD2447" s="75" t="str">
        <f>IF(AND(N2447="1521",MONTH(C2447)='BK-NL'!$M$11),"x","")</f>
        <v/>
      </c>
    </row>
    <row r="2448" spans="1:30" ht="16.5" customHeight="1">
      <c r="A2448" s="309" t="str">
        <f>IF(B2448&lt;&gt;"",IF(AND(B2448='IN-TC'!$S$4,OR(TH!N2448="1111",TH!O2448="1111")),TH!D2448,""),"")</f>
        <v/>
      </c>
      <c r="B2448" s="1159">
        <f t="shared" ref="B2448:B2452" si="821">IF(C2448&lt;&gt;"",MONTH(C2448),"")</f>
        <v>12</v>
      </c>
      <c r="C2448" s="292">
        <f t="shared" ref="C2448:C2452" si="822">E2448</f>
        <v>43075</v>
      </c>
      <c r="D2448" s="292" t="s">
        <v>2965</v>
      </c>
      <c r="E2448" s="292">
        <v>43075</v>
      </c>
      <c r="F2448" s="425" t="s">
        <v>566</v>
      </c>
      <c r="G2448" s="925"/>
      <c r="H2448" s="429" t="s">
        <v>414</v>
      </c>
      <c r="I2448" s="373">
        <v>11500</v>
      </c>
      <c r="J2448" s="379">
        <v>18200</v>
      </c>
      <c r="K2448" s="373"/>
      <c r="L2448" s="379"/>
      <c r="M2448" s="927">
        <f t="shared" ref="M2448:M2452" si="823">ROUND(I2448*J2448,0)</f>
        <v>209300000</v>
      </c>
      <c r="N2448" s="295" t="s">
        <v>264</v>
      </c>
      <c r="O2448" s="295" t="s">
        <v>8</v>
      </c>
      <c r="P2448" s="75" t="str">
        <f>IF(AND('331-CT'!$E$7=TH!H2448,OR(N2448="331",O2448="331")),"x","")</f>
        <v/>
      </c>
      <c r="Q2448" s="75" t="str">
        <f>IF(AND(B2448='111'!$L$11,OR($N2448=$Q$7,$O2448=$Q$7)),"x","")</f>
        <v/>
      </c>
      <c r="R2448" s="75" t="str">
        <f>IF(AND($N2448=$Q$7,$B2448&lt;'111'!$L$11),"x","")</f>
        <v/>
      </c>
      <c r="S2448" s="75" t="str">
        <f>IF(AND($O2448=$Q$7,$B2448&lt;'111'!$L$11),"x","")</f>
        <v/>
      </c>
      <c r="T2448" s="75" t="str">
        <f>IF(ISERROR(FIND('112'!$M$9,G2448,1)),"",IF((AND(FIND('112'!$M$9,G2448,1)&gt;=1,B2448='112'!$K$9,OR($N2448='112'!$I$6,$O2448='112'!$I$6))),"x",""))</f>
        <v/>
      </c>
      <c r="U2448" s="75" t="str">
        <f>IF(ISERROR(FIND('112'!$M$9,G2448,1)),"",IF((AND(LEFT(G2448,2)=LEFT('112'!$M$9,2),B2448&lt;'112'!$K$9,$N2448='112'!$I$6)),"x",""))</f>
        <v/>
      </c>
      <c r="V2448" s="75" t="str">
        <f>IF(ISERROR(FIND('112'!$M$9,G2448,1)),"",IF((AND(RIGHT(G2448,2)=RIGHT('112'!$M$9,2),B2448&lt;'112'!$K$9,$O2448='112'!$I$6)),"x",""))</f>
        <v/>
      </c>
      <c r="W2448" s="75" t="str">
        <f>IF(AND('341-CT'!$H$9=H2448,OR(LEFT(N2448,3)=$W$7,LEFT(O2448,3)=$W$7)),"x","")</f>
        <v/>
      </c>
      <c r="X2448" s="75" t="str">
        <f>IF(OR(TH!N2448=TH!$X$7,O2448=TH!$X$7),"x","")</f>
        <v/>
      </c>
      <c r="Y2448" s="75" t="str">
        <f>IF(AND(OR(N2448="131",O2448="131"),H2448='131-CT'!$H$9),"x","")</f>
        <v/>
      </c>
      <c r="Z2448" s="75"/>
      <c r="AA2448" s="75" t="str">
        <f>IF(AND(MONTH(E2448)='IN-NX'!$J$5,'IN-NX'!$D$7=D2448),"x","")</f>
        <v/>
      </c>
      <c r="AB2448" s="75" t="str">
        <f>IF(AND(OR(LEFT(TH!N2448,2)="15",LEFT(TH!O2448,2)="15"),LEFT(TH!O2448,3)&lt;&gt;"111",'152-CT'!$J$8=TH!F2448),"x","")</f>
        <v/>
      </c>
      <c r="AC2448" s="75" t="str">
        <f>IF(AND(OR(LEFT(TH!N2448,2)="15",LEFT(TH!O2448,2)="15"),TK!$E$7=TH!F2448),"x","")</f>
        <v/>
      </c>
      <c r="AD2448" s="75" t="str">
        <f>IF(AND(N2448="1521",MONTH(C2448)='BK-NL'!$M$11),"x","")</f>
        <v/>
      </c>
    </row>
    <row r="2449" spans="1:30" ht="16.5" customHeight="1">
      <c r="A2449" s="309" t="str">
        <f>IF(B2449&lt;&gt;"",IF(AND(B2449='IN-TC'!$S$4,OR(TH!N2449="1111",TH!O2449="1111")),TH!D2449,""),"")</f>
        <v/>
      </c>
      <c r="B2449" s="1159">
        <f t="shared" si="821"/>
        <v>12</v>
      </c>
      <c r="C2449" s="292">
        <f t="shared" si="822"/>
        <v>43075</v>
      </c>
      <c r="D2449" s="292" t="s">
        <v>2966</v>
      </c>
      <c r="E2449" s="292">
        <v>43075</v>
      </c>
      <c r="F2449" s="425" t="s">
        <v>566</v>
      </c>
      <c r="G2449" s="925"/>
      <c r="H2449" s="429" t="s">
        <v>415</v>
      </c>
      <c r="I2449" s="373">
        <v>17805</v>
      </c>
      <c r="J2449" s="379">
        <v>19500</v>
      </c>
      <c r="K2449" s="373"/>
      <c r="L2449" s="379"/>
      <c r="M2449" s="927">
        <f t="shared" si="823"/>
        <v>347197500</v>
      </c>
      <c r="N2449" s="295" t="s">
        <v>264</v>
      </c>
      <c r="O2449" s="295" t="s">
        <v>8</v>
      </c>
      <c r="P2449" s="75" t="str">
        <f>IF(AND('331-CT'!$E$7=TH!H2449,OR(N2449="331",O2449="331")),"x","")</f>
        <v/>
      </c>
      <c r="Q2449" s="75" t="str">
        <f>IF(AND(B2449='111'!$L$11,OR($N2449=$Q$7,$O2449=$Q$7)),"x","")</f>
        <v/>
      </c>
      <c r="R2449" s="75" t="str">
        <f>IF(AND($N2449=$Q$7,$B2449&lt;'111'!$L$11),"x","")</f>
        <v/>
      </c>
      <c r="S2449" s="75" t="str">
        <f>IF(AND($O2449=$Q$7,$B2449&lt;'111'!$L$11),"x","")</f>
        <v/>
      </c>
      <c r="T2449" s="75" t="str">
        <f>IF(ISERROR(FIND('112'!$M$9,G2449,1)),"",IF((AND(FIND('112'!$M$9,G2449,1)&gt;=1,B2449='112'!$K$9,OR($N2449='112'!$I$6,$O2449='112'!$I$6))),"x",""))</f>
        <v/>
      </c>
      <c r="U2449" s="75" t="str">
        <f>IF(ISERROR(FIND('112'!$M$9,G2449,1)),"",IF((AND(LEFT(G2449,2)=LEFT('112'!$M$9,2),B2449&lt;'112'!$K$9,$N2449='112'!$I$6)),"x",""))</f>
        <v/>
      </c>
      <c r="V2449" s="75" t="str">
        <f>IF(ISERROR(FIND('112'!$M$9,G2449,1)),"",IF((AND(RIGHT(G2449,2)=RIGHT('112'!$M$9,2),B2449&lt;'112'!$K$9,$O2449='112'!$I$6)),"x",""))</f>
        <v/>
      </c>
      <c r="W2449" s="75" t="str">
        <f>IF(AND('341-CT'!$H$9=H2449,OR(LEFT(N2449,3)=$W$7,LEFT(O2449,3)=$W$7)),"x","")</f>
        <v/>
      </c>
      <c r="X2449" s="75" t="str">
        <f>IF(OR(TH!N2449=TH!$X$7,O2449=TH!$X$7),"x","")</f>
        <v/>
      </c>
      <c r="Y2449" s="75" t="str">
        <f>IF(AND(OR(N2449="131",O2449="131"),H2449='131-CT'!$H$9),"x","")</f>
        <v/>
      </c>
      <c r="Z2449" s="75"/>
      <c r="AA2449" s="75" t="str">
        <f>IF(AND(MONTH(E2449)='IN-NX'!$J$5,'IN-NX'!$D$7=D2449),"x","")</f>
        <v/>
      </c>
      <c r="AB2449" s="75" t="str">
        <f>IF(AND(OR(LEFT(TH!N2449,2)="15",LEFT(TH!O2449,2)="15"),LEFT(TH!O2449,3)&lt;&gt;"111",'152-CT'!$J$8=TH!F2449),"x","")</f>
        <v/>
      </c>
      <c r="AC2449" s="75" t="str">
        <f>IF(AND(OR(LEFT(TH!N2449,2)="15",LEFT(TH!O2449,2)="15"),TK!$E$7=TH!F2449),"x","")</f>
        <v/>
      </c>
      <c r="AD2449" s="75" t="str">
        <f>IF(AND(N2449="1521",MONTH(C2449)='BK-NL'!$M$11),"x","")</f>
        <v/>
      </c>
    </row>
    <row r="2450" spans="1:30" ht="16.5" customHeight="1">
      <c r="A2450" s="309" t="str">
        <f>IF(B2450&lt;&gt;"",IF(AND(B2450='IN-TC'!$S$4,OR(TH!N2450="1111",TH!O2450="1111")),TH!D2450,""),"")</f>
        <v/>
      </c>
      <c r="B2450" s="1159">
        <f t="shared" si="821"/>
        <v>12</v>
      </c>
      <c r="C2450" s="292">
        <f t="shared" si="822"/>
        <v>43080</v>
      </c>
      <c r="D2450" s="292" t="s">
        <v>2979</v>
      </c>
      <c r="E2450" s="292">
        <v>43080</v>
      </c>
      <c r="F2450" s="425" t="s">
        <v>566</v>
      </c>
      <c r="G2450" s="925"/>
      <c r="H2450" s="429" t="s">
        <v>768</v>
      </c>
      <c r="I2450" s="373">
        <f>35000-I2449</f>
        <v>17195</v>
      </c>
      <c r="J2450" s="379">
        <v>19500</v>
      </c>
      <c r="K2450" s="373"/>
      <c r="L2450" s="379"/>
      <c r="M2450" s="927">
        <f t="shared" si="823"/>
        <v>335302500</v>
      </c>
      <c r="N2450" s="295" t="s">
        <v>264</v>
      </c>
      <c r="O2450" s="295" t="s">
        <v>8</v>
      </c>
      <c r="P2450" s="75" t="str">
        <f>IF(AND('331-CT'!$E$7=TH!H2450,OR(N2450="331",O2450="331")),"x","")</f>
        <v/>
      </c>
      <c r="Q2450" s="75" t="str">
        <f>IF(AND(B2450='111'!$L$11,OR($N2450=$Q$7,$O2450=$Q$7)),"x","")</f>
        <v/>
      </c>
      <c r="R2450" s="75" t="str">
        <f>IF(AND($N2450=$Q$7,$B2450&lt;'111'!$L$11),"x","")</f>
        <v/>
      </c>
      <c r="S2450" s="75" t="str">
        <f>IF(AND($O2450=$Q$7,$B2450&lt;'111'!$L$11),"x","")</f>
        <v/>
      </c>
      <c r="T2450" s="75" t="str">
        <f>IF(ISERROR(FIND('112'!$M$9,G2450,1)),"",IF((AND(FIND('112'!$M$9,G2450,1)&gt;=1,B2450='112'!$K$9,OR($N2450='112'!$I$6,$O2450='112'!$I$6))),"x",""))</f>
        <v/>
      </c>
      <c r="U2450" s="75" t="str">
        <f>IF(ISERROR(FIND('112'!$M$9,G2450,1)),"",IF((AND(LEFT(G2450,2)=LEFT('112'!$M$9,2),B2450&lt;'112'!$K$9,$N2450='112'!$I$6)),"x",""))</f>
        <v/>
      </c>
      <c r="V2450" s="75" t="str">
        <f>IF(ISERROR(FIND('112'!$M$9,G2450,1)),"",IF((AND(RIGHT(G2450,2)=RIGHT('112'!$M$9,2),B2450&lt;'112'!$K$9,$O2450='112'!$I$6)),"x",""))</f>
        <v/>
      </c>
      <c r="W2450" s="75" t="str">
        <f>IF(AND('341-CT'!$H$9=H2450,OR(LEFT(N2450,3)=$W$7,LEFT(O2450,3)=$W$7)),"x","")</f>
        <v/>
      </c>
      <c r="X2450" s="75" t="str">
        <f>IF(OR(TH!N2450=TH!$X$7,O2450=TH!$X$7),"x","")</f>
        <v/>
      </c>
      <c r="Y2450" s="75" t="str">
        <f>IF(AND(OR(N2450="131",O2450="131"),H2450='131-CT'!$H$9),"x","")</f>
        <v/>
      </c>
      <c r="Z2450" s="75"/>
      <c r="AA2450" s="75" t="str">
        <f>IF(AND(MONTH(E2450)='IN-NX'!$J$5,'IN-NX'!$D$7=D2450),"x","")</f>
        <v/>
      </c>
      <c r="AB2450" s="75" t="str">
        <f>IF(AND(OR(LEFT(TH!N2450,2)="15",LEFT(TH!O2450,2)="15"),LEFT(TH!O2450,3)&lt;&gt;"111",'152-CT'!$J$8=TH!F2450),"x","")</f>
        <v/>
      </c>
      <c r="AC2450" s="75" t="str">
        <f>IF(AND(OR(LEFT(TH!N2450,2)="15",LEFT(TH!O2450,2)="15"),TK!$E$7=TH!F2450),"x","")</f>
        <v/>
      </c>
      <c r="AD2450" s="75" t="str">
        <f>IF(AND(N2450="1521",MONTH(C2450)='BK-NL'!$M$11),"x","")</f>
        <v/>
      </c>
    </row>
    <row r="2451" spans="1:30" ht="16.5" customHeight="1">
      <c r="A2451" s="309" t="str">
        <f>IF(B2451&lt;&gt;"",IF(AND(B2451='IN-TC'!$S$4,OR(TH!N2451="1111",TH!O2451="1111")),TH!D2451,""),"")</f>
        <v/>
      </c>
      <c r="B2451" s="1159">
        <f t="shared" si="821"/>
        <v>12</v>
      </c>
      <c r="C2451" s="292">
        <f t="shared" si="822"/>
        <v>43080</v>
      </c>
      <c r="D2451" s="292" t="s">
        <v>2980</v>
      </c>
      <c r="E2451" s="292">
        <v>43080</v>
      </c>
      <c r="F2451" s="425" t="s">
        <v>566</v>
      </c>
      <c r="G2451" s="925"/>
      <c r="H2451" s="435" t="s">
        <v>769</v>
      </c>
      <c r="I2451" s="373">
        <v>9500</v>
      </c>
      <c r="J2451" s="379">
        <v>18500</v>
      </c>
      <c r="K2451" s="373"/>
      <c r="L2451" s="379"/>
      <c r="M2451" s="927">
        <f t="shared" si="823"/>
        <v>175750000</v>
      </c>
      <c r="N2451" s="295" t="s">
        <v>264</v>
      </c>
      <c r="O2451" s="295" t="s">
        <v>8</v>
      </c>
      <c r="P2451" s="75" t="str">
        <f>IF(AND('331-CT'!$E$7=TH!H2451,OR(N2451="331",O2451="331")),"x","")</f>
        <v/>
      </c>
      <c r="Q2451" s="75" t="str">
        <f>IF(AND(B2451='111'!$L$11,OR($N2451=$Q$7,$O2451=$Q$7)),"x","")</f>
        <v/>
      </c>
      <c r="R2451" s="75" t="str">
        <f>IF(AND($N2451=$Q$7,$B2451&lt;'111'!$L$11),"x","")</f>
        <v/>
      </c>
      <c r="S2451" s="75" t="str">
        <f>IF(AND($O2451=$Q$7,$B2451&lt;'111'!$L$11),"x","")</f>
        <v/>
      </c>
      <c r="T2451" s="75" t="str">
        <f>IF(ISERROR(FIND('112'!$M$9,G2451,1)),"",IF((AND(FIND('112'!$M$9,G2451,1)&gt;=1,B2451='112'!$K$9,OR($N2451='112'!$I$6,$O2451='112'!$I$6))),"x",""))</f>
        <v/>
      </c>
      <c r="U2451" s="75" t="str">
        <f>IF(ISERROR(FIND('112'!$M$9,G2451,1)),"",IF((AND(LEFT(G2451,2)=LEFT('112'!$M$9,2),B2451&lt;'112'!$K$9,$N2451='112'!$I$6)),"x",""))</f>
        <v/>
      </c>
      <c r="V2451" s="75" t="str">
        <f>IF(ISERROR(FIND('112'!$M$9,G2451,1)),"",IF((AND(RIGHT(G2451,2)=RIGHT('112'!$M$9,2),B2451&lt;'112'!$K$9,$O2451='112'!$I$6)),"x",""))</f>
        <v/>
      </c>
      <c r="W2451" s="75" t="str">
        <f>IF(AND('341-CT'!$H$9=H2451,OR(LEFT(N2451,3)=$W$7,LEFT(O2451,3)=$W$7)),"x","")</f>
        <v/>
      </c>
      <c r="X2451" s="75" t="str">
        <f>IF(OR(TH!N2451=TH!$X$7,O2451=TH!$X$7),"x","")</f>
        <v/>
      </c>
      <c r="Y2451" s="75" t="str">
        <f>IF(AND(OR(N2451="131",O2451="131"),H2451='131-CT'!$H$9),"x","")</f>
        <v/>
      </c>
      <c r="Z2451" s="75"/>
      <c r="AA2451" s="75" t="str">
        <f>IF(AND(MONTH(E2451)='IN-NX'!$J$5,'IN-NX'!$D$7=D2451),"x","")</f>
        <v/>
      </c>
      <c r="AB2451" s="75" t="str">
        <f>IF(AND(OR(LEFT(TH!N2451,2)="15",LEFT(TH!O2451,2)="15"),LEFT(TH!O2451,3)&lt;&gt;"111",'152-CT'!$J$8=TH!F2451),"x","")</f>
        <v/>
      </c>
      <c r="AC2451" s="75" t="str">
        <f>IF(AND(OR(LEFT(TH!N2451,2)="15",LEFT(TH!O2451,2)="15"),TK!$E$7=TH!F2451),"x","")</f>
        <v/>
      </c>
      <c r="AD2451" s="75" t="str">
        <f>IF(AND(N2451="1521",MONTH(C2451)='BK-NL'!$M$11),"x","")</f>
        <v/>
      </c>
    </row>
    <row r="2452" spans="1:30" ht="16.5" customHeight="1">
      <c r="A2452" s="309" t="str">
        <f>IF(B2452&lt;&gt;"",IF(AND(B2452='IN-TC'!$S$4,OR(TH!N2452="1111",TH!O2452="1111")),TH!D2452,""),"")</f>
        <v/>
      </c>
      <c r="B2452" s="1159">
        <f t="shared" si="821"/>
        <v>12</v>
      </c>
      <c r="C2452" s="292">
        <f t="shared" si="822"/>
        <v>43089</v>
      </c>
      <c r="D2452" s="292" t="s">
        <v>2990</v>
      </c>
      <c r="E2452" s="292">
        <v>43089</v>
      </c>
      <c r="F2452" s="425" t="s">
        <v>2999</v>
      </c>
      <c r="G2452" s="925"/>
      <c r="H2452" s="429" t="s">
        <v>350</v>
      </c>
      <c r="I2452" s="373">
        <v>1680</v>
      </c>
      <c r="J2452" s="379">
        <v>40000</v>
      </c>
      <c r="K2452" s="373"/>
      <c r="L2452" s="379"/>
      <c r="M2452" s="927">
        <f t="shared" si="823"/>
        <v>67200000</v>
      </c>
      <c r="N2452" s="295" t="s">
        <v>264</v>
      </c>
      <c r="O2452" s="295" t="s">
        <v>8</v>
      </c>
      <c r="P2452" s="75" t="str">
        <f>IF(AND('331-CT'!$E$7=TH!H2452,OR(N2452="331",O2452="331")),"x","")</f>
        <v/>
      </c>
      <c r="Q2452" s="75" t="str">
        <f>IF(AND(B2452='111'!$L$11,OR($N2452=$Q$7,$O2452=$Q$7)),"x","")</f>
        <v/>
      </c>
      <c r="R2452" s="75" t="str">
        <f>IF(AND($N2452=$Q$7,$B2452&lt;'111'!$L$11),"x","")</f>
        <v/>
      </c>
      <c r="S2452" s="75" t="str">
        <f>IF(AND($O2452=$Q$7,$B2452&lt;'111'!$L$11),"x","")</f>
        <v/>
      </c>
      <c r="T2452" s="75" t="str">
        <f>IF(ISERROR(FIND('112'!$M$9,G2452,1)),"",IF((AND(FIND('112'!$M$9,G2452,1)&gt;=1,B2452='112'!$K$9,OR($N2452='112'!$I$6,$O2452='112'!$I$6))),"x",""))</f>
        <v/>
      </c>
      <c r="U2452" s="75" t="str">
        <f>IF(ISERROR(FIND('112'!$M$9,G2452,1)),"",IF((AND(LEFT(G2452,2)=LEFT('112'!$M$9,2),B2452&lt;'112'!$K$9,$N2452='112'!$I$6)),"x",""))</f>
        <v/>
      </c>
      <c r="V2452" s="75" t="str">
        <f>IF(ISERROR(FIND('112'!$M$9,G2452,1)),"",IF((AND(RIGHT(G2452,2)=RIGHT('112'!$M$9,2),B2452&lt;'112'!$K$9,$O2452='112'!$I$6)),"x",""))</f>
        <v/>
      </c>
      <c r="W2452" s="75" t="str">
        <f>IF(AND('341-CT'!$H$9=H2452,OR(LEFT(N2452,3)=$W$7,LEFT(O2452,3)=$W$7)),"x","")</f>
        <v/>
      </c>
      <c r="X2452" s="75" t="str">
        <f>IF(OR(TH!N2452=TH!$X$7,O2452=TH!$X$7),"x","")</f>
        <v/>
      </c>
      <c r="Y2452" s="75" t="str">
        <f>IF(AND(OR(N2452="131",O2452="131"),H2452='131-CT'!$H$9),"x","")</f>
        <v/>
      </c>
      <c r="Z2452" s="75"/>
      <c r="AA2452" s="75" t="str">
        <f>IF(AND(MONTH(E2452)='IN-NX'!$J$5,'IN-NX'!$D$7=D2452),"x","")</f>
        <v/>
      </c>
      <c r="AB2452" s="75" t="str">
        <f>IF(AND(OR(LEFT(TH!N2452,2)="15",LEFT(TH!O2452,2)="15"),LEFT(TH!O2452,3)&lt;&gt;"111",'152-CT'!$J$8=TH!F2452),"x","")</f>
        <v/>
      </c>
      <c r="AC2452" s="75" t="str">
        <f>IF(AND(OR(LEFT(TH!N2452,2)="15",LEFT(TH!O2452,2)="15"),TK!$E$7=TH!F2452),"x","")</f>
        <v/>
      </c>
      <c r="AD2452" s="75" t="str">
        <f>IF(AND(N2452="1521",MONTH(C2452)='BK-NL'!$M$11),"x","")</f>
        <v/>
      </c>
    </row>
    <row r="2453" spans="1:30" ht="16.5" customHeight="1">
      <c r="A2453" s="309" t="str">
        <f>IF(B2453&lt;&gt;"",IF(AND(B2453='IN-TC'!$S$4,OR(TH!N2453="1111",TH!O2453="1111")),TH!D2453,""),"")</f>
        <v/>
      </c>
      <c r="B2453" s="1159">
        <f t="shared" si="799"/>
        <v>12</v>
      </c>
      <c r="C2453" s="292">
        <f t="shared" si="810"/>
        <v>43089</v>
      </c>
      <c r="D2453" s="292" t="s">
        <v>2990</v>
      </c>
      <c r="E2453" s="292">
        <v>43089</v>
      </c>
      <c r="F2453" s="425" t="s">
        <v>790</v>
      </c>
      <c r="G2453" s="925"/>
      <c r="H2453" s="429" t="s">
        <v>350</v>
      </c>
      <c r="I2453" s="373">
        <v>600</v>
      </c>
      <c r="J2453" s="379">
        <v>28500</v>
      </c>
      <c r="K2453" s="373"/>
      <c r="L2453" s="379"/>
      <c r="M2453" s="927">
        <f t="shared" si="811"/>
        <v>17100000</v>
      </c>
      <c r="N2453" s="295" t="s">
        <v>264</v>
      </c>
      <c r="O2453" s="295" t="s">
        <v>8</v>
      </c>
      <c r="P2453" s="75" t="str">
        <f>IF(AND('331-CT'!$E$7=TH!H2453,OR(N2453="331",O2453="331")),"x","")</f>
        <v/>
      </c>
      <c r="Q2453" s="75" t="str">
        <f>IF(AND(B2453='111'!$L$11,OR($N2453=$Q$7,$O2453=$Q$7)),"x","")</f>
        <v/>
      </c>
      <c r="R2453" s="75" t="str">
        <f>IF(AND($N2453=$Q$7,$B2453&lt;'111'!$L$11),"x","")</f>
        <v/>
      </c>
      <c r="S2453" s="75" t="str">
        <f>IF(AND($O2453=$Q$7,$B2453&lt;'111'!$L$11),"x","")</f>
        <v/>
      </c>
      <c r="T2453" s="75" t="str">
        <f>IF(ISERROR(FIND('112'!$M$9,G2453,1)),"",IF((AND(FIND('112'!$M$9,G2453,1)&gt;=1,B2453='112'!$K$9,OR($N2453='112'!$I$6,$O2453='112'!$I$6))),"x",""))</f>
        <v/>
      </c>
      <c r="U2453" s="75" t="str">
        <f>IF(ISERROR(FIND('112'!$M$9,G2453,1)),"",IF((AND(LEFT(G2453,2)=LEFT('112'!$M$9,2),B2453&lt;'112'!$K$9,$N2453='112'!$I$6)),"x",""))</f>
        <v/>
      </c>
      <c r="V2453" s="75" t="str">
        <f>IF(ISERROR(FIND('112'!$M$9,G2453,1)),"",IF((AND(RIGHT(G2453,2)=RIGHT('112'!$M$9,2),B2453&lt;'112'!$K$9,$O2453='112'!$I$6)),"x",""))</f>
        <v/>
      </c>
      <c r="W2453" s="75" t="str">
        <f>IF(AND('341-CT'!$H$9=H2453,OR(LEFT(N2453,3)=$W$7,LEFT(O2453,3)=$W$7)),"x","")</f>
        <v/>
      </c>
      <c r="X2453" s="75" t="str">
        <f>IF(OR(TH!N2453=TH!$X$7,O2453=TH!$X$7),"x","")</f>
        <v/>
      </c>
      <c r="Y2453" s="75" t="str">
        <f>IF(AND(OR(N2453="131",O2453="131"),H2453='131-CT'!$H$9),"x","")</f>
        <v/>
      </c>
      <c r="Z2453" s="75"/>
      <c r="AA2453" s="75" t="str">
        <f>IF(AND(MONTH(E2453)='IN-NX'!$J$5,'IN-NX'!$D$7=D2453),"x","")</f>
        <v/>
      </c>
      <c r="AB2453" s="75" t="str">
        <f>IF(AND(OR(LEFT(TH!N2453,2)="15",LEFT(TH!O2453,2)="15"),LEFT(TH!O2453,3)&lt;&gt;"111",'152-CT'!$J$8=TH!F2453),"x","")</f>
        <v/>
      </c>
      <c r="AC2453" s="75" t="str">
        <f>IF(AND(OR(LEFT(TH!N2453,2)="15",LEFT(TH!O2453,2)="15"),TK!$E$7=TH!F2453),"x","")</f>
        <v/>
      </c>
      <c r="AD2453" s="75" t="str">
        <f>IF(AND(N2453="1521",MONTH(C2453)='BK-NL'!$M$11),"x","")</f>
        <v/>
      </c>
    </row>
    <row r="2454" spans="1:30" ht="16.5" customHeight="1">
      <c r="A2454" s="309" t="str">
        <f>IF(B2454&lt;&gt;"",IF(AND(B2454='IN-TC'!$S$4,OR(TH!N2454="1111",TH!O2454="1111")),TH!D2454,""),"")</f>
        <v/>
      </c>
      <c r="B2454" s="1159">
        <f t="shared" si="799"/>
        <v>12</v>
      </c>
      <c r="C2454" s="292">
        <f t="shared" si="810"/>
        <v>43089</v>
      </c>
      <c r="D2454" s="292" t="s">
        <v>2990</v>
      </c>
      <c r="E2454" s="292">
        <v>43089</v>
      </c>
      <c r="F2454" s="425" t="s">
        <v>1910</v>
      </c>
      <c r="G2454" s="925"/>
      <c r="H2454" s="429" t="s">
        <v>350</v>
      </c>
      <c r="I2454" s="373">
        <v>600</v>
      </c>
      <c r="J2454" s="379">
        <v>35000</v>
      </c>
      <c r="K2454" s="373"/>
      <c r="L2454" s="379"/>
      <c r="M2454" s="927">
        <f t="shared" si="811"/>
        <v>21000000</v>
      </c>
      <c r="N2454" s="295" t="s">
        <v>264</v>
      </c>
      <c r="O2454" s="295" t="s">
        <v>8</v>
      </c>
      <c r="P2454" s="75" t="str">
        <f>IF(AND('331-CT'!$E$7=TH!H2454,OR(N2454="331",O2454="331")),"x","")</f>
        <v/>
      </c>
      <c r="Q2454" s="75" t="str">
        <f>IF(AND(B2454='111'!$L$11,OR($N2454=$Q$7,$O2454=$Q$7)),"x","")</f>
        <v/>
      </c>
      <c r="R2454" s="75" t="str">
        <f>IF(AND($N2454=$Q$7,$B2454&lt;'111'!$L$11),"x","")</f>
        <v/>
      </c>
      <c r="S2454" s="75" t="str">
        <f>IF(AND($O2454=$Q$7,$B2454&lt;'111'!$L$11),"x","")</f>
        <v/>
      </c>
      <c r="T2454" s="75" t="str">
        <f>IF(ISERROR(FIND('112'!$M$9,G2454,1)),"",IF((AND(FIND('112'!$M$9,G2454,1)&gt;=1,B2454='112'!$K$9,OR($N2454='112'!$I$6,$O2454='112'!$I$6))),"x",""))</f>
        <v/>
      </c>
      <c r="U2454" s="75" t="str">
        <f>IF(ISERROR(FIND('112'!$M$9,G2454,1)),"",IF((AND(LEFT(G2454,2)=LEFT('112'!$M$9,2),B2454&lt;'112'!$K$9,$N2454='112'!$I$6)),"x",""))</f>
        <v/>
      </c>
      <c r="V2454" s="75" t="str">
        <f>IF(ISERROR(FIND('112'!$M$9,G2454,1)),"",IF((AND(RIGHT(G2454,2)=RIGHT('112'!$M$9,2),B2454&lt;'112'!$K$9,$O2454='112'!$I$6)),"x",""))</f>
        <v/>
      </c>
      <c r="W2454" s="75" t="str">
        <f>IF(AND('341-CT'!$H$9=H2454,OR(LEFT(N2454,3)=$W$7,LEFT(O2454,3)=$W$7)),"x","")</f>
        <v/>
      </c>
      <c r="X2454" s="75" t="str">
        <f>IF(OR(TH!N2454=TH!$X$7,O2454=TH!$X$7),"x","")</f>
        <v/>
      </c>
      <c r="Y2454" s="75" t="str">
        <f>IF(AND(OR(N2454="131",O2454="131"),H2454='131-CT'!$H$9),"x","")</f>
        <v/>
      </c>
      <c r="Z2454" s="75"/>
      <c r="AA2454" s="75" t="str">
        <f>IF(AND(MONTH(E2454)='IN-NX'!$J$5,'IN-NX'!$D$7=D2454),"x","")</f>
        <v/>
      </c>
      <c r="AB2454" s="75" t="str">
        <f>IF(AND(OR(LEFT(TH!N2454,2)="15",LEFT(TH!O2454,2)="15"),LEFT(TH!O2454,3)&lt;&gt;"111",'152-CT'!$J$8=TH!F2454),"x","")</f>
        <v/>
      </c>
      <c r="AC2454" s="75" t="str">
        <f>IF(AND(OR(LEFT(TH!N2454,2)="15",LEFT(TH!O2454,2)="15"),TK!$E$7=TH!F2454),"x","")</f>
        <v/>
      </c>
      <c r="AD2454" s="75" t="str">
        <f>IF(AND(N2454="1521",MONTH(C2454)='BK-NL'!$M$11),"x","")</f>
        <v/>
      </c>
    </row>
    <row r="2455" spans="1:30" ht="16.5" customHeight="1">
      <c r="A2455" s="309" t="str">
        <f>IF(B2455&lt;&gt;"",IF(AND(B2455='IN-TC'!$S$4,OR(TH!N2455="1111",TH!O2455="1111")),TH!D2455,""),"")</f>
        <v/>
      </c>
      <c r="B2455" s="1159">
        <f t="shared" si="799"/>
        <v>12</v>
      </c>
      <c r="C2455" s="292">
        <f t="shared" si="810"/>
        <v>43079</v>
      </c>
      <c r="D2455" s="292" t="s">
        <v>2976</v>
      </c>
      <c r="E2455" s="292">
        <v>43079</v>
      </c>
      <c r="F2455" s="425" t="s">
        <v>764</v>
      </c>
      <c r="G2455" s="925"/>
      <c r="H2455" s="429" t="s">
        <v>361</v>
      </c>
      <c r="I2455" s="373">
        <v>14560</v>
      </c>
      <c r="J2455" s="379">
        <v>18500</v>
      </c>
      <c r="K2455" s="373"/>
      <c r="L2455" s="379"/>
      <c r="M2455" s="927">
        <f t="shared" si="811"/>
        <v>269360000</v>
      </c>
      <c r="N2455" s="295" t="s">
        <v>264</v>
      </c>
      <c r="O2455" s="295" t="s">
        <v>8</v>
      </c>
      <c r="P2455" s="75" t="str">
        <f>IF(AND('331-CT'!$E$7=TH!H2455,OR(N2455="331",O2455="331")),"x","")</f>
        <v/>
      </c>
      <c r="Q2455" s="75" t="str">
        <f>IF(AND(B2455='111'!$L$11,OR($N2455=$Q$7,$O2455=$Q$7)),"x","")</f>
        <v/>
      </c>
      <c r="R2455" s="75" t="str">
        <f>IF(AND($N2455=$Q$7,$B2455&lt;'111'!$L$11),"x","")</f>
        <v/>
      </c>
      <c r="S2455" s="75" t="str">
        <f>IF(AND($O2455=$Q$7,$B2455&lt;'111'!$L$11),"x","")</f>
        <v/>
      </c>
      <c r="T2455" s="75" t="str">
        <f>IF(ISERROR(FIND('112'!$M$9,G2455,1)),"",IF((AND(FIND('112'!$M$9,G2455,1)&gt;=1,B2455='112'!$K$9,OR($N2455='112'!$I$6,$O2455='112'!$I$6))),"x",""))</f>
        <v/>
      </c>
      <c r="U2455" s="75" t="str">
        <f>IF(ISERROR(FIND('112'!$M$9,G2455,1)),"",IF((AND(LEFT(G2455,2)=LEFT('112'!$M$9,2),B2455&lt;'112'!$K$9,$N2455='112'!$I$6)),"x",""))</f>
        <v/>
      </c>
      <c r="V2455" s="75" t="str">
        <f>IF(ISERROR(FIND('112'!$M$9,G2455,1)),"",IF((AND(RIGHT(G2455,2)=RIGHT('112'!$M$9,2),B2455&lt;'112'!$K$9,$O2455='112'!$I$6)),"x",""))</f>
        <v/>
      </c>
      <c r="W2455" s="75" t="str">
        <f>IF(AND('341-CT'!$H$9=H2455,OR(LEFT(N2455,3)=$W$7,LEFT(O2455,3)=$W$7)),"x","")</f>
        <v/>
      </c>
      <c r="X2455" s="75" t="str">
        <f>IF(OR(TH!N2455=TH!$X$7,O2455=TH!$X$7),"x","")</f>
        <v/>
      </c>
      <c r="Y2455" s="75" t="str">
        <f>IF(AND(OR(N2455="131",O2455="131"),H2455='131-CT'!$H$9),"x","")</f>
        <v/>
      </c>
      <c r="Z2455" s="75"/>
      <c r="AA2455" s="75" t="str">
        <f>IF(AND(MONTH(E2455)='IN-NX'!$J$5,'IN-NX'!$D$7=D2455),"x","")</f>
        <v/>
      </c>
      <c r="AB2455" s="75" t="str">
        <f>IF(AND(OR(LEFT(TH!N2455,2)="15",LEFT(TH!O2455,2)="15"),LEFT(TH!O2455,3)&lt;&gt;"111",'152-CT'!$J$8=TH!F2455),"x","")</f>
        <v/>
      </c>
      <c r="AC2455" s="75" t="str">
        <f>IF(AND(OR(LEFT(TH!N2455,2)="15",LEFT(TH!O2455,2)="15"),TK!$E$7=TH!F2455),"x","")</f>
        <v/>
      </c>
      <c r="AD2455" s="75" t="str">
        <f>IF(AND(N2455="1521",MONTH(C2455)='BK-NL'!$M$11),"x","")</f>
        <v/>
      </c>
    </row>
    <row r="2456" spans="1:30" ht="16.5" customHeight="1">
      <c r="A2456" s="309" t="str">
        <f>IF(B2456&lt;&gt;"",IF(AND(B2456='IN-TC'!$S$4,OR(TH!N2456="1111",TH!O2456="1111")),TH!D2456,""),"")</f>
        <v/>
      </c>
      <c r="B2456" s="1159">
        <f t="shared" si="799"/>
        <v>12</v>
      </c>
      <c r="C2456" s="292">
        <f t="shared" si="810"/>
        <v>43079</v>
      </c>
      <c r="D2456" s="292" t="s">
        <v>2977</v>
      </c>
      <c r="E2456" s="292">
        <v>43079</v>
      </c>
      <c r="F2456" s="425" t="s">
        <v>764</v>
      </c>
      <c r="G2456" s="925"/>
      <c r="H2456" s="429" t="s">
        <v>366</v>
      </c>
      <c r="I2456" s="373">
        <v>14860</v>
      </c>
      <c r="J2456" s="379">
        <v>18500</v>
      </c>
      <c r="K2456" s="373"/>
      <c r="L2456" s="379"/>
      <c r="M2456" s="927">
        <f t="shared" si="811"/>
        <v>274910000</v>
      </c>
      <c r="N2456" s="295" t="s">
        <v>264</v>
      </c>
      <c r="O2456" s="295" t="s">
        <v>8</v>
      </c>
      <c r="P2456" s="75" t="str">
        <f>IF(AND('331-CT'!$E$7=TH!H2456,OR(N2456="331",O2456="331")),"x","")</f>
        <v/>
      </c>
      <c r="Q2456" s="75" t="str">
        <f>IF(AND(B2456='111'!$L$11,OR($N2456=$Q$7,$O2456=$Q$7)),"x","")</f>
        <v/>
      </c>
      <c r="R2456" s="75" t="str">
        <f>IF(AND($N2456=$Q$7,$B2456&lt;'111'!$L$11),"x","")</f>
        <v/>
      </c>
      <c r="S2456" s="75" t="str">
        <f>IF(AND($O2456=$Q$7,$B2456&lt;'111'!$L$11),"x","")</f>
        <v/>
      </c>
      <c r="T2456" s="75" t="str">
        <f>IF(ISERROR(FIND('112'!$M$9,G2456,1)),"",IF((AND(FIND('112'!$M$9,G2456,1)&gt;=1,B2456='112'!$K$9,OR($N2456='112'!$I$6,$O2456='112'!$I$6))),"x",""))</f>
        <v/>
      </c>
      <c r="U2456" s="75" t="str">
        <f>IF(ISERROR(FIND('112'!$M$9,G2456,1)),"",IF((AND(LEFT(G2456,2)=LEFT('112'!$M$9,2),B2456&lt;'112'!$K$9,$N2456='112'!$I$6)),"x",""))</f>
        <v/>
      </c>
      <c r="V2456" s="75" t="str">
        <f>IF(ISERROR(FIND('112'!$M$9,G2456,1)),"",IF((AND(RIGHT(G2456,2)=RIGHT('112'!$M$9,2),B2456&lt;'112'!$K$9,$O2456='112'!$I$6)),"x",""))</f>
        <v/>
      </c>
      <c r="W2456" s="75" t="str">
        <f>IF(AND('341-CT'!$H$9=H2456,OR(LEFT(N2456,3)=$W$7,LEFT(O2456,3)=$W$7)),"x","")</f>
        <v/>
      </c>
      <c r="X2456" s="75" t="str">
        <f>IF(OR(TH!N2456=TH!$X$7,O2456=TH!$X$7),"x","")</f>
        <v/>
      </c>
      <c r="Y2456" s="75" t="str">
        <f>IF(AND(OR(N2456="131",O2456="131"),H2456='131-CT'!$H$9),"x","")</f>
        <v/>
      </c>
      <c r="Z2456" s="75"/>
      <c r="AA2456" s="75" t="str">
        <f>IF(AND(MONTH(E2456)='IN-NX'!$J$5,'IN-NX'!$D$7=D2456),"x","")</f>
        <v/>
      </c>
      <c r="AB2456" s="75" t="str">
        <f>IF(AND(OR(LEFT(TH!N2456,2)="15",LEFT(TH!O2456,2)="15"),LEFT(TH!O2456,3)&lt;&gt;"111",'152-CT'!$J$8=TH!F2456),"x","")</f>
        <v/>
      </c>
      <c r="AC2456" s="75" t="str">
        <f>IF(AND(OR(LEFT(TH!N2456,2)="15",LEFT(TH!O2456,2)="15"),TK!$E$7=TH!F2456),"x","")</f>
        <v/>
      </c>
      <c r="AD2456" s="75" t="str">
        <f>IF(AND(N2456="1521",MONTH(C2456)='BK-NL'!$M$11),"x","")</f>
        <v/>
      </c>
    </row>
    <row r="2457" spans="1:30" ht="16.5" customHeight="1">
      <c r="A2457" s="309" t="str">
        <f>IF(B2457&lt;&gt;"",IF(AND(B2457='IN-TC'!$S$4,OR(TH!N2457="1111",TH!O2457="1111")),TH!D2457,""),"")</f>
        <v/>
      </c>
      <c r="B2457" s="1159">
        <f t="shared" si="799"/>
        <v>12</v>
      </c>
      <c r="C2457" s="292">
        <f t="shared" si="810"/>
        <v>43079</v>
      </c>
      <c r="D2457" s="292" t="s">
        <v>2978</v>
      </c>
      <c r="E2457" s="292">
        <v>43079</v>
      </c>
      <c r="F2457" s="425" t="s">
        <v>764</v>
      </c>
      <c r="G2457" s="925"/>
      <c r="H2457" s="429" t="s">
        <v>365</v>
      </c>
      <c r="I2457" s="373">
        <v>15860</v>
      </c>
      <c r="J2457" s="379">
        <v>18500</v>
      </c>
      <c r="K2457" s="373"/>
      <c r="L2457" s="379"/>
      <c r="M2457" s="927">
        <f t="shared" si="811"/>
        <v>293410000</v>
      </c>
      <c r="N2457" s="295" t="s">
        <v>264</v>
      </c>
      <c r="O2457" s="295" t="s">
        <v>8</v>
      </c>
      <c r="P2457" s="75" t="str">
        <f>IF(AND('331-CT'!$E$7=TH!H2457,OR(N2457="331",O2457="331")),"x","")</f>
        <v/>
      </c>
      <c r="Q2457" s="75" t="str">
        <f>IF(AND(B2457='111'!$L$11,OR($N2457=$Q$7,$O2457=$Q$7)),"x","")</f>
        <v/>
      </c>
      <c r="R2457" s="75" t="str">
        <f>IF(AND($N2457=$Q$7,$B2457&lt;'111'!$L$11),"x","")</f>
        <v/>
      </c>
      <c r="S2457" s="75" t="str">
        <f>IF(AND($O2457=$Q$7,$B2457&lt;'111'!$L$11),"x","")</f>
        <v/>
      </c>
      <c r="T2457" s="75" t="str">
        <f>IF(ISERROR(FIND('112'!$M$9,G2457,1)),"",IF((AND(FIND('112'!$M$9,G2457,1)&gt;=1,B2457='112'!$K$9,OR($N2457='112'!$I$6,$O2457='112'!$I$6))),"x",""))</f>
        <v/>
      </c>
      <c r="U2457" s="75" t="str">
        <f>IF(ISERROR(FIND('112'!$M$9,G2457,1)),"",IF((AND(LEFT(G2457,2)=LEFT('112'!$M$9,2),B2457&lt;'112'!$K$9,$N2457='112'!$I$6)),"x",""))</f>
        <v/>
      </c>
      <c r="V2457" s="75" t="str">
        <f>IF(ISERROR(FIND('112'!$M$9,G2457,1)),"",IF((AND(RIGHT(G2457,2)=RIGHT('112'!$M$9,2),B2457&lt;'112'!$K$9,$O2457='112'!$I$6)),"x",""))</f>
        <v/>
      </c>
      <c r="W2457" s="75" t="str">
        <f>IF(AND('341-CT'!$H$9=H2457,OR(LEFT(N2457,3)=$W$7,LEFT(O2457,3)=$W$7)),"x","")</f>
        <v/>
      </c>
      <c r="X2457" s="75" t="str">
        <f>IF(OR(TH!N2457=TH!$X$7,O2457=TH!$X$7),"x","")</f>
        <v/>
      </c>
      <c r="Y2457" s="75" t="str">
        <f>IF(AND(OR(N2457="131",O2457="131"),H2457='131-CT'!$H$9),"x","")</f>
        <v/>
      </c>
      <c r="Z2457" s="75"/>
      <c r="AA2457" s="75" t="str">
        <f>IF(AND(MONTH(E2457)='IN-NX'!$J$5,'IN-NX'!$D$7=D2457),"x","")</f>
        <v/>
      </c>
      <c r="AB2457" s="75" t="str">
        <f>IF(AND(OR(LEFT(TH!N2457,2)="15",LEFT(TH!O2457,2)="15"),LEFT(TH!O2457,3)&lt;&gt;"111",'152-CT'!$J$8=TH!F2457),"x","")</f>
        <v/>
      </c>
      <c r="AC2457" s="75" t="str">
        <f>IF(AND(OR(LEFT(TH!N2457,2)="15",LEFT(TH!O2457,2)="15"),TK!$E$7=TH!F2457),"x","")</f>
        <v/>
      </c>
      <c r="AD2457" s="75" t="str">
        <f>IF(AND(N2457="1521",MONTH(C2457)='BK-NL'!$M$11),"x","")</f>
        <v/>
      </c>
    </row>
    <row r="2458" spans="1:30" ht="16.5" customHeight="1">
      <c r="A2458" s="309" t="str">
        <f>IF(B2458&lt;&gt;"",IF(AND(B2458='IN-TC'!$S$4,OR(TH!N2458="1111",TH!O2458="1111")),TH!D2458,""),"")</f>
        <v/>
      </c>
      <c r="B2458" s="1159">
        <f t="shared" ref="B2458:B2460" si="824">IF(C2458&lt;&gt;"",MONTH(C2458),"")</f>
        <v>12</v>
      </c>
      <c r="C2458" s="292">
        <f t="shared" ref="C2458:C2460" si="825">E2458</f>
        <v>43086</v>
      </c>
      <c r="D2458" s="292" t="s">
        <v>2986</v>
      </c>
      <c r="E2458" s="292">
        <v>43086</v>
      </c>
      <c r="F2458" s="425" t="s">
        <v>764</v>
      </c>
      <c r="G2458" s="925"/>
      <c r="H2458" s="429" t="s">
        <v>366</v>
      </c>
      <c r="I2458" s="373">
        <v>14860</v>
      </c>
      <c r="J2458" s="379">
        <v>18500</v>
      </c>
      <c r="K2458" s="373"/>
      <c r="L2458" s="379"/>
      <c r="M2458" s="927">
        <f t="shared" ref="M2458:M2460" si="826">ROUND(I2458*J2458,0)</f>
        <v>274910000</v>
      </c>
      <c r="N2458" s="295" t="s">
        <v>264</v>
      </c>
      <c r="O2458" s="295" t="s">
        <v>8</v>
      </c>
      <c r="P2458" s="75" t="str">
        <f>IF(AND('331-CT'!$E$7=TH!H2458,OR(N2458="331",O2458="331")),"x","")</f>
        <v/>
      </c>
      <c r="Q2458" s="75" t="str">
        <f>IF(AND(B2458='111'!$L$11,OR($N2458=$Q$7,$O2458=$Q$7)),"x","")</f>
        <v/>
      </c>
      <c r="R2458" s="75" t="str">
        <f>IF(AND($N2458=$Q$7,$B2458&lt;'111'!$L$11),"x","")</f>
        <v/>
      </c>
      <c r="S2458" s="75" t="str">
        <f>IF(AND($O2458=$Q$7,$B2458&lt;'111'!$L$11),"x","")</f>
        <v/>
      </c>
      <c r="T2458" s="75" t="str">
        <f>IF(ISERROR(FIND('112'!$M$9,G2458,1)),"",IF((AND(FIND('112'!$M$9,G2458,1)&gt;=1,B2458='112'!$K$9,OR($N2458='112'!$I$6,$O2458='112'!$I$6))),"x",""))</f>
        <v/>
      </c>
      <c r="U2458" s="75" t="str">
        <f>IF(ISERROR(FIND('112'!$M$9,G2458,1)),"",IF((AND(LEFT(G2458,2)=LEFT('112'!$M$9,2),B2458&lt;'112'!$K$9,$N2458='112'!$I$6)),"x",""))</f>
        <v/>
      </c>
      <c r="V2458" s="75" t="str">
        <f>IF(ISERROR(FIND('112'!$M$9,G2458,1)),"",IF((AND(RIGHT(G2458,2)=RIGHT('112'!$M$9,2),B2458&lt;'112'!$K$9,$O2458='112'!$I$6)),"x",""))</f>
        <v/>
      </c>
      <c r="W2458" s="75" t="str">
        <f>IF(AND('341-CT'!$H$9=H2458,OR(LEFT(N2458,3)=$W$7,LEFT(O2458,3)=$W$7)),"x","")</f>
        <v/>
      </c>
      <c r="X2458" s="75" t="str">
        <f>IF(OR(TH!N2458=TH!$X$7,O2458=TH!$X$7),"x","")</f>
        <v/>
      </c>
      <c r="Y2458" s="75" t="str">
        <f>IF(AND(OR(N2458="131",O2458="131"),H2458='131-CT'!$H$9),"x","")</f>
        <v/>
      </c>
      <c r="Z2458" s="75"/>
      <c r="AA2458" s="75" t="str">
        <f>IF(AND(MONTH(E2458)='IN-NX'!$J$5,'IN-NX'!$D$7=D2458),"x","")</f>
        <v/>
      </c>
      <c r="AB2458" s="75" t="str">
        <f>IF(AND(OR(LEFT(TH!N2458,2)="15",LEFT(TH!O2458,2)="15"),LEFT(TH!O2458,3)&lt;&gt;"111",'152-CT'!$J$8=TH!F2458),"x","")</f>
        <v/>
      </c>
      <c r="AC2458" s="75" t="str">
        <f>IF(AND(OR(LEFT(TH!N2458,2)="15",LEFT(TH!O2458,2)="15"),TK!$E$7=TH!F2458),"x","")</f>
        <v/>
      </c>
      <c r="AD2458" s="75" t="str">
        <f>IF(AND(N2458="1521",MONTH(C2458)='BK-NL'!$M$11),"x","")</f>
        <v/>
      </c>
    </row>
    <row r="2459" spans="1:30" ht="16.5" customHeight="1">
      <c r="A2459" s="309" t="str">
        <f>IF(B2459&lt;&gt;"",IF(AND(B2459='IN-TC'!$S$4,OR(TH!N2459="1111",TH!O2459="1111")),TH!D2459,""),"")</f>
        <v/>
      </c>
      <c r="B2459" s="1159">
        <f t="shared" si="824"/>
        <v>12</v>
      </c>
      <c r="C2459" s="292">
        <f t="shared" si="825"/>
        <v>43086</v>
      </c>
      <c r="D2459" s="292" t="s">
        <v>2987</v>
      </c>
      <c r="E2459" s="292">
        <v>43086</v>
      </c>
      <c r="F2459" s="425" t="s">
        <v>764</v>
      </c>
      <c r="G2459" s="925"/>
      <c r="H2459" s="429" t="s">
        <v>361</v>
      </c>
      <c r="I2459" s="373">
        <v>15780</v>
      </c>
      <c r="J2459" s="379">
        <v>18500</v>
      </c>
      <c r="K2459" s="373"/>
      <c r="L2459" s="379"/>
      <c r="M2459" s="927">
        <f t="shared" si="826"/>
        <v>291930000</v>
      </c>
      <c r="N2459" s="295" t="s">
        <v>264</v>
      </c>
      <c r="O2459" s="295" t="s">
        <v>8</v>
      </c>
      <c r="P2459" s="75" t="str">
        <f>IF(AND('331-CT'!$E$7=TH!H2459,OR(N2459="331",O2459="331")),"x","")</f>
        <v/>
      </c>
      <c r="Q2459" s="75" t="str">
        <f>IF(AND(B2459='111'!$L$11,OR($N2459=$Q$7,$O2459=$Q$7)),"x","")</f>
        <v/>
      </c>
      <c r="R2459" s="75" t="str">
        <f>IF(AND($N2459=$Q$7,$B2459&lt;'111'!$L$11),"x","")</f>
        <v/>
      </c>
      <c r="S2459" s="75" t="str">
        <f>IF(AND($O2459=$Q$7,$B2459&lt;'111'!$L$11),"x","")</f>
        <v/>
      </c>
      <c r="T2459" s="75" t="str">
        <f>IF(ISERROR(FIND('112'!$M$9,G2459,1)),"",IF((AND(FIND('112'!$M$9,G2459,1)&gt;=1,B2459='112'!$K$9,OR($N2459='112'!$I$6,$O2459='112'!$I$6))),"x",""))</f>
        <v/>
      </c>
      <c r="U2459" s="75" t="str">
        <f>IF(ISERROR(FIND('112'!$M$9,G2459,1)),"",IF((AND(LEFT(G2459,2)=LEFT('112'!$M$9,2),B2459&lt;'112'!$K$9,$N2459='112'!$I$6)),"x",""))</f>
        <v/>
      </c>
      <c r="V2459" s="75" t="str">
        <f>IF(ISERROR(FIND('112'!$M$9,G2459,1)),"",IF((AND(RIGHT(G2459,2)=RIGHT('112'!$M$9,2),B2459&lt;'112'!$K$9,$O2459='112'!$I$6)),"x",""))</f>
        <v/>
      </c>
      <c r="W2459" s="75" t="str">
        <f>IF(AND('341-CT'!$H$9=H2459,OR(LEFT(N2459,3)=$W$7,LEFT(O2459,3)=$W$7)),"x","")</f>
        <v/>
      </c>
      <c r="X2459" s="75" t="str">
        <f>IF(OR(TH!N2459=TH!$X$7,O2459=TH!$X$7),"x","")</f>
        <v/>
      </c>
      <c r="Y2459" s="75" t="str">
        <f>IF(AND(OR(N2459="131",O2459="131"),H2459='131-CT'!$H$9),"x","")</f>
        <v/>
      </c>
      <c r="Z2459" s="75"/>
      <c r="AA2459" s="75" t="str">
        <f>IF(AND(MONTH(E2459)='IN-NX'!$J$5,'IN-NX'!$D$7=D2459),"x","")</f>
        <v/>
      </c>
      <c r="AB2459" s="75" t="str">
        <f>IF(AND(OR(LEFT(TH!N2459,2)="15",LEFT(TH!O2459,2)="15"),LEFT(TH!O2459,3)&lt;&gt;"111",'152-CT'!$J$8=TH!F2459),"x","")</f>
        <v/>
      </c>
      <c r="AC2459" s="75" t="str">
        <f>IF(AND(OR(LEFT(TH!N2459,2)="15",LEFT(TH!O2459,2)="15"),TK!$E$7=TH!F2459),"x","")</f>
        <v/>
      </c>
      <c r="AD2459" s="75" t="str">
        <f>IF(AND(N2459="1521",MONTH(C2459)='BK-NL'!$M$11),"x","")</f>
        <v/>
      </c>
    </row>
    <row r="2460" spans="1:30" ht="16.5" customHeight="1">
      <c r="A2460" s="309" t="str">
        <f>IF(B2460&lt;&gt;"",IF(AND(B2460='IN-TC'!$S$4,OR(TH!N2460="1111",TH!O2460="1111")),TH!D2460,""),"")</f>
        <v/>
      </c>
      <c r="B2460" s="1159">
        <f t="shared" si="824"/>
        <v>12</v>
      </c>
      <c r="C2460" s="292">
        <f t="shared" si="825"/>
        <v>43090</v>
      </c>
      <c r="D2460" s="292" t="s">
        <v>2993</v>
      </c>
      <c r="E2460" s="292">
        <v>43090</v>
      </c>
      <c r="F2460" s="425" t="s">
        <v>764</v>
      </c>
      <c r="G2460" s="925"/>
      <c r="H2460" s="429" t="s">
        <v>366</v>
      </c>
      <c r="I2460" s="373">
        <v>14560</v>
      </c>
      <c r="J2460" s="379">
        <v>18500</v>
      </c>
      <c r="K2460" s="373"/>
      <c r="L2460" s="379"/>
      <c r="M2460" s="927">
        <f t="shared" si="826"/>
        <v>269360000</v>
      </c>
      <c r="N2460" s="295" t="s">
        <v>264</v>
      </c>
      <c r="O2460" s="295" t="s">
        <v>8</v>
      </c>
      <c r="P2460" s="75" t="str">
        <f>IF(AND('331-CT'!$E$7=TH!H2460,OR(N2460="331",O2460="331")),"x","")</f>
        <v/>
      </c>
      <c r="Q2460" s="75" t="str">
        <f>IF(AND(B2460='111'!$L$11,OR($N2460=$Q$7,$O2460=$Q$7)),"x","")</f>
        <v/>
      </c>
      <c r="R2460" s="75" t="str">
        <f>IF(AND($N2460=$Q$7,$B2460&lt;'111'!$L$11),"x","")</f>
        <v/>
      </c>
      <c r="S2460" s="75" t="str">
        <f>IF(AND($O2460=$Q$7,$B2460&lt;'111'!$L$11),"x","")</f>
        <v/>
      </c>
      <c r="T2460" s="75" t="str">
        <f>IF(ISERROR(FIND('112'!$M$9,G2460,1)),"",IF((AND(FIND('112'!$M$9,G2460,1)&gt;=1,B2460='112'!$K$9,OR($N2460='112'!$I$6,$O2460='112'!$I$6))),"x",""))</f>
        <v/>
      </c>
      <c r="U2460" s="75" t="str">
        <f>IF(ISERROR(FIND('112'!$M$9,G2460,1)),"",IF((AND(LEFT(G2460,2)=LEFT('112'!$M$9,2),B2460&lt;'112'!$K$9,$N2460='112'!$I$6)),"x",""))</f>
        <v/>
      </c>
      <c r="V2460" s="75" t="str">
        <f>IF(ISERROR(FIND('112'!$M$9,G2460,1)),"",IF((AND(RIGHT(G2460,2)=RIGHT('112'!$M$9,2),B2460&lt;'112'!$K$9,$O2460='112'!$I$6)),"x",""))</f>
        <v/>
      </c>
      <c r="W2460" s="75" t="str">
        <f>IF(AND('341-CT'!$H$9=H2460,OR(LEFT(N2460,3)=$W$7,LEFT(O2460,3)=$W$7)),"x","")</f>
        <v/>
      </c>
      <c r="X2460" s="75" t="str">
        <f>IF(OR(TH!N2460=TH!$X$7,O2460=TH!$X$7),"x","")</f>
        <v/>
      </c>
      <c r="Y2460" s="75" t="str">
        <f>IF(AND(OR(N2460="131",O2460="131"),H2460='131-CT'!$H$9),"x","")</f>
        <v/>
      </c>
      <c r="Z2460" s="75"/>
      <c r="AA2460" s="75" t="str">
        <f>IF(AND(MONTH(E2460)='IN-NX'!$J$5,'IN-NX'!$D$7=D2460),"x","")</f>
        <v/>
      </c>
      <c r="AB2460" s="75" t="str">
        <f>IF(AND(OR(LEFT(TH!N2460,2)="15",LEFT(TH!O2460,2)="15"),LEFT(TH!O2460,3)&lt;&gt;"111",'152-CT'!$J$8=TH!F2460),"x","")</f>
        <v/>
      </c>
      <c r="AC2460" s="75" t="str">
        <f>IF(AND(OR(LEFT(TH!N2460,2)="15",LEFT(TH!O2460,2)="15"),TK!$E$7=TH!F2460),"x","")</f>
        <v/>
      </c>
      <c r="AD2460" s="75" t="str">
        <f>IF(AND(N2460="1521",MONTH(C2460)='BK-NL'!$M$11),"x","")</f>
        <v/>
      </c>
    </row>
    <row r="2461" spans="1:30" ht="16.5" customHeight="1">
      <c r="A2461" s="309" t="str">
        <f>IF(B2461&lt;&gt;"",IF(AND(B2461='IN-TC'!$S$4,OR(TH!N2461="1111",TH!O2461="1111")),TH!D2461,""),"")</f>
        <v/>
      </c>
      <c r="B2461" s="1159">
        <f t="shared" ref="B2461:B2466" si="827">IF(C2461&lt;&gt;"",MONTH(C2461),"")</f>
        <v>12</v>
      </c>
      <c r="C2461" s="292">
        <f t="shared" ref="C2461:C2466" si="828">E2461</f>
        <v>43090</v>
      </c>
      <c r="D2461" s="292" t="s">
        <v>2994</v>
      </c>
      <c r="E2461" s="292">
        <v>43090</v>
      </c>
      <c r="F2461" s="425" t="s">
        <v>764</v>
      </c>
      <c r="G2461" s="925"/>
      <c r="H2461" s="429" t="s">
        <v>365</v>
      </c>
      <c r="I2461" s="373">
        <f>105444-SUM(I2455:I2460)</f>
        <v>14964</v>
      </c>
      <c r="J2461" s="379">
        <v>18500</v>
      </c>
      <c r="K2461" s="373"/>
      <c r="L2461" s="379"/>
      <c r="M2461" s="927">
        <f t="shared" ref="M2461:M2466" si="829">ROUND(I2461*J2461,0)</f>
        <v>276834000</v>
      </c>
      <c r="N2461" s="295" t="s">
        <v>264</v>
      </c>
      <c r="O2461" s="295" t="s">
        <v>8</v>
      </c>
      <c r="P2461" s="75" t="str">
        <f>IF(AND('331-CT'!$E$7=TH!H2461,OR(N2461="331",O2461="331")),"x","")</f>
        <v/>
      </c>
      <c r="Q2461" s="75" t="str">
        <f>IF(AND(B2461='111'!$L$11,OR($N2461=$Q$7,$O2461=$Q$7)),"x","")</f>
        <v/>
      </c>
      <c r="R2461" s="75" t="str">
        <f>IF(AND($N2461=$Q$7,$B2461&lt;'111'!$L$11),"x","")</f>
        <v/>
      </c>
      <c r="S2461" s="75" t="str">
        <f>IF(AND($O2461=$Q$7,$B2461&lt;'111'!$L$11),"x","")</f>
        <v/>
      </c>
      <c r="T2461" s="75" t="str">
        <f>IF(ISERROR(FIND('112'!$M$9,G2461,1)),"",IF((AND(FIND('112'!$M$9,G2461,1)&gt;=1,B2461='112'!$K$9,OR($N2461='112'!$I$6,$O2461='112'!$I$6))),"x",""))</f>
        <v/>
      </c>
      <c r="U2461" s="75" t="str">
        <f>IF(ISERROR(FIND('112'!$M$9,G2461,1)),"",IF((AND(LEFT(G2461,2)=LEFT('112'!$M$9,2),B2461&lt;'112'!$K$9,$N2461='112'!$I$6)),"x",""))</f>
        <v/>
      </c>
      <c r="V2461" s="75" t="str">
        <f>IF(ISERROR(FIND('112'!$M$9,G2461,1)),"",IF((AND(RIGHT(G2461,2)=RIGHT('112'!$M$9,2),B2461&lt;'112'!$K$9,$O2461='112'!$I$6)),"x",""))</f>
        <v/>
      </c>
      <c r="W2461" s="75" t="str">
        <f>IF(AND('341-CT'!$H$9=H2461,OR(LEFT(N2461,3)=$W$7,LEFT(O2461,3)=$W$7)),"x","")</f>
        <v/>
      </c>
      <c r="X2461" s="75" t="str">
        <f>IF(OR(TH!N2461=TH!$X$7,O2461=TH!$X$7),"x","")</f>
        <v/>
      </c>
      <c r="Y2461" s="75" t="str">
        <f>IF(AND(OR(N2461="131",O2461="131"),H2461='131-CT'!$H$9),"x","")</f>
        <v/>
      </c>
      <c r="Z2461" s="75"/>
      <c r="AA2461" s="75" t="str">
        <f>IF(AND(MONTH(E2461)='IN-NX'!$J$5,'IN-NX'!$D$7=D2461),"x","")</f>
        <v/>
      </c>
      <c r="AB2461" s="75" t="str">
        <f>IF(AND(OR(LEFT(TH!N2461,2)="15",LEFT(TH!O2461,2)="15"),LEFT(TH!O2461,3)&lt;&gt;"111",'152-CT'!$J$8=TH!F2461),"x","")</f>
        <v/>
      </c>
      <c r="AC2461" s="75" t="str">
        <f>IF(AND(OR(LEFT(TH!N2461,2)="15",LEFT(TH!O2461,2)="15"),TK!$E$7=TH!F2461),"x","")</f>
        <v/>
      </c>
      <c r="AD2461" s="75" t="str">
        <f>IF(AND(N2461="1521",MONTH(C2461)='BK-NL'!$M$11),"x","")</f>
        <v/>
      </c>
    </row>
    <row r="2462" spans="1:30" ht="16.5" customHeight="1">
      <c r="A2462" s="309" t="str">
        <f>IF(B2462&lt;&gt;"",IF(AND(B2462='IN-TC'!$S$4,OR(TH!N2462="1111",TH!O2462="1111")),TH!D2462,""),"")</f>
        <v/>
      </c>
      <c r="B2462" s="1159">
        <f t="shared" si="827"/>
        <v>12</v>
      </c>
      <c r="C2462" s="292">
        <f t="shared" si="828"/>
        <v>43090</v>
      </c>
      <c r="D2462" s="292" t="s">
        <v>2995</v>
      </c>
      <c r="E2462" s="292">
        <v>43090</v>
      </c>
      <c r="F2462" s="425" t="s">
        <v>790</v>
      </c>
      <c r="G2462" s="925"/>
      <c r="H2462" s="429" t="s">
        <v>350</v>
      </c>
      <c r="I2462" s="373">
        <v>15552</v>
      </c>
      <c r="J2462" s="379">
        <v>22000</v>
      </c>
      <c r="K2462" s="373"/>
      <c r="L2462" s="379"/>
      <c r="M2462" s="927">
        <f t="shared" si="829"/>
        <v>342144000</v>
      </c>
      <c r="N2462" s="295" t="s">
        <v>264</v>
      </c>
      <c r="O2462" s="295" t="s">
        <v>8</v>
      </c>
      <c r="P2462" s="75" t="str">
        <f>IF(AND('331-CT'!$E$7=TH!H2462,OR(N2462="331",O2462="331")),"x","")</f>
        <v/>
      </c>
      <c r="Q2462" s="75" t="str">
        <f>IF(AND(B2462='111'!$L$11,OR($N2462=$Q$7,$O2462=$Q$7)),"x","")</f>
        <v/>
      </c>
      <c r="R2462" s="75" t="str">
        <f>IF(AND($N2462=$Q$7,$B2462&lt;'111'!$L$11),"x","")</f>
        <v/>
      </c>
      <c r="S2462" s="75" t="str">
        <f>IF(AND($O2462=$Q$7,$B2462&lt;'111'!$L$11),"x","")</f>
        <v/>
      </c>
      <c r="T2462" s="75" t="str">
        <f>IF(ISERROR(FIND('112'!$M$9,G2462,1)),"",IF((AND(FIND('112'!$M$9,G2462,1)&gt;=1,B2462='112'!$K$9,OR($N2462='112'!$I$6,$O2462='112'!$I$6))),"x",""))</f>
        <v/>
      </c>
      <c r="U2462" s="75" t="str">
        <f>IF(ISERROR(FIND('112'!$M$9,G2462,1)),"",IF((AND(LEFT(G2462,2)=LEFT('112'!$M$9,2),B2462&lt;'112'!$K$9,$N2462='112'!$I$6)),"x",""))</f>
        <v/>
      </c>
      <c r="V2462" s="75" t="str">
        <f>IF(ISERROR(FIND('112'!$M$9,G2462,1)),"",IF((AND(RIGHT(G2462,2)=RIGHT('112'!$M$9,2),B2462&lt;'112'!$K$9,$O2462='112'!$I$6)),"x",""))</f>
        <v/>
      </c>
      <c r="W2462" s="75" t="str">
        <f>IF(AND('341-CT'!$H$9=H2462,OR(LEFT(N2462,3)=$W$7,LEFT(O2462,3)=$W$7)),"x","")</f>
        <v/>
      </c>
      <c r="X2462" s="75" t="str">
        <f>IF(OR(TH!N2462=TH!$X$7,O2462=TH!$X$7),"x","")</f>
        <v/>
      </c>
      <c r="Y2462" s="75" t="str">
        <f>IF(AND(OR(N2462="131",O2462="131"),H2462='131-CT'!$H$9),"x","")</f>
        <v/>
      </c>
      <c r="Z2462" s="75"/>
      <c r="AA2462" s="75" t="str">
        <f>IF(AND(MONTH(E2462)='IN-NX'!$J$5,'IN-NX'!$D$7=D2462),"x","")</f>
        <v/>
      </c>
      <c r="AB2462" s="75" t="str">
        <f>IF(AND(OR(LEFT(TH!N2462,2)="15",LEFT(TH!O2462,2)="15"),LEFT(TH!O2462,3)&lt;&gt;"111",'152-CT'!$J$8=TH!F2462),"x","")</f>
        <v/>
      </c>
      <c r="AC2462" s="75" t="str">
        <f>IF(AND(OR(LEFT(TH!N2462,2)="15",LEFT(TH!O2462,2)="15"),TK!$E$7=TH!F2462),"x","")</f>
        <v/>
      </c>
      <c r="AD2462" s="75" t="str">
        <f>IF(AND(N2462="1521",MONTH(C2462)='BK-NL'!$M$11),"x","")</f>
        <v/>
      </c>
    </row>
    <row r="2463" spans="1:30" ht="16.5" customHeight="1">
      <c r="A2463" s="309" t="str">
        <f>IF(B2463&lt;&gt;"",IF(AND(B2463='IN-TC'!$S$4,OR(TH!N2463="1111",TH!O2463="1111")),TH!D2463,""),"")</f>
        <v/>
      </c>
      <c r="B2463" s="1159">
        <f t="shared" si="827"/>
        <v>12</v>
      </c>
      <c r="C2463" s="292">
        <f t="shared" si="828"/>
        <v>43092</v>
      </c>
      <c r="D2463" s="292" t="s">
        <v>2965</v>
      </c>
      <c r="E2463" s="292">
        <v>43092</v>
      </c>
      <c r="F2463" s="425" t="s">
        <v>566</v>
      </c>
      <c r="G2463" s="925"/>
      <c r="H2463" s="429" t="s">
        <v>414</v>
      </c>
      <c r="I2463" s="373">
        <v>16850</v>
      </c>
      <c r="J2463" s="379">
        <v>18200</v>
      </c>
      <c r="K2463" s="373"/>
      <c r="L2463" s="379"/>
      <c r="M2463" s="927">
        <f t="shared" si="829"/>
        <v>306670000</v>
      </c>
      <c r="N2463" s="295" t="s">
        <v>264</v>
      </c>
      <c r="O2463" s="295" t="s">
        <v>8</v>
      </c>
      <c r="P2463" s="75" t="str">
        <f>IF(AND('331-CT'!$E$7=TH!H2463,OR(N2463="331",O2463="331")),"x","")</f>
        <v/>
      </c>
      <c r="Q2463" s="75" t="str">
        <f>IF(AND(B2463='111'!$L$11,OR($N2463=$Q$7,$O2463=$Q$7)),"x","")</f>
        <v/>
      </c>
      <c r="R2463" s="75" t="str">
        <f>IF(AND($N2463=$Q$7,$B2463&lt;'111'!$L$11),"x","")</f>
        <v/>
      </c>
      <c r="S2463" s="75" t="str">
        <f>IF(AND($O2463=$Q$7,$B2463&lt;'111'!$L$11),"x","")</f>
        <v/>
      </c>
      <c r="T2463" s="75" t="str">
        <f>IF(ISERROR(FIND('112'!$M$9,G2463,1)),"",IF((AND(FIND('112'!$M$9,G2463,1)&gt;=1,B2463='112'!$K$9,OR($N2463='112'!$I$6,$O2463='112'!$I$6))),"x",""))</f>
        <v/>
      </c>
      <c r="U2463" s="75" t="str">
        <f>IF(ISERROR(FIND('112'!$M$9,G2463,1)),"",IF((AND(LEFT(G2463,2)=LEFT('112'!$M$9,2),B2463&lt;'112'!$K$9,$N2463='112'!$I$6)),"x",""))</f>
        <v/>
      </c>
      <c r="V2463" s="75" t="str">
        <f>IF(ISERROR(FIND('112'!$M$9,G2463,1)),"",IF((AND(RIGHT(G2463,2)=RIGHT('112'!$M$9,2),B2463&lt;'112'!$K$9,$O2463='112'!$I$6)),"x",""))</f>
        <v/>
      </c>
      <c r="W2463" s="75" t="str">
        <f>IF(AND('341-CT'!$H$9=H2463,OR(LEFT(N2463,3)=$W$7,LEFT(O2463,3)=$W$7)),"x","")</f>
        <v/>
      </c>
      <c r="X2463" s="75" t="str">
        <f>IF(OR(TH!N2463=TH!$X$7,O2463=TH!$X$7),"x","")</f>
        <v/>
      </c>
      <c r="Y2463" s="75" t="str">
        <f>IF(AND(OR(N2463="131",O2463="131"),H2463='131-CT'!$H$9),"x","")</f>
        <v/>
      </c>
      <c r="Z2463" s="75"/>
      <c r="AA2463" s="75" t="str">
        <f>IF(AND(MONTH(E2463)='IN-NX'!$J$5,'IN-NX'!$D$7=D2463),"x","")</f>
        <v/>
      </c>
      <c r="AB2463" s="75" t="str">
        <f>IF(AND(OR(LEFT(TH!N2463,2)="15",LEFT(TH!O2463,2)="15"),LEFT(TH!O2463,3)&lt;&gt;"111",'152-CT'!$J$8=TH!F2463),"x","")</f>
        <v/>
      </c>
      <c r="AC2463" s="75" t="str">
        <f>IF(AND(OR(LEFT(TH!N2463,2)="15",LEFT(TH!O2463,2)="15"),TK!$E$7=TH!F2463),"x","")</f>
        <v/>
      </c>
      <c r="AD2463" s="75" t="str">
        <f>IF(AND(N2463="1521",MONTH(C2463)='BK-NL'!$M$11),"x","")</f>
        <v/>
      </c>
    </row>
    <row r="2464" spans="1:30" ht="16.5" customHeight="1">
      <c r="A2464" s="309" t="str">
        <f>IF(B2464&lt;&gt;"",IF(AND(B2464='IN-TC'!$S$4,OR(TH!N2464="1111",TH!O2464="1111")),TH!D2464,""),"")</f>
        <v/>
      </c>
      <c r="B2464" s="1159">
        <f t="shared" si="827"/>
        <v>12</v>
      </c>
      <c r="C2464" s="292">
        <f t="shared" si="828"/>
        <v>43092</v>
      </c>
      <c r="D2464" s="292" t="s">
        <v>2966</v>
      </c>
      <c r="E2464" s="292">
        <v>43092</v>
      </c>
      <c r="F2464" s="425" t="s">
        <v>566</v>
      </c>
      <c r="G2464" s="925"/>
      <c r="H2464" s="429" t="s">
        <v>415</v>
      </c>
      <c r="I2464" s="373">
        <v>17856</v>
      </c>
      <c r="J2464" s="379">
        <v>18200</v>
      </c>
      <c r="K2464" s="373"/>
      <c r="L2464" s="379"/>
      <c r="M2464" s="927">
        <f t="shared" si="829"/>
        <v>324979200</v>
      </c>
      <c r="N2464" s="295" t="s">
        <v>264</v>
      </c>
      <c r="O2464" s="295" t="s">
        <v>8</v>
      </c>
      <c r="P2464" s="75" t="str">
        <f>IF(AND('331-CT'!$E$7=TH!H2464,OR(N2464="331",O2464="331")),"x","")</f>
        <v/>
      </c>
      <c r="Q2464" s="75" t="str">
        <f>IF(AND(B2464='111'!$L$11,OR($N2464=$Q$7,$O2464=$Q$7)),"x","")</f>
        <v/>
      </c>
      <c r="R2464" s="75" t="str">
        <f>IF(AND($N2464=$Q$7,$B2464&lt;'111'!$L$11),"x","")</f>
        <v/>
      </c>
      <c r="S2464" s="75" t="str">
        <f>IF(AND($O2464=$Q$7,$B2464&lt;'111'!$L$11),"x","")</f>
        <v/>
      </c>
      <c r="T2464" s="75" t="str">
        <f>IF(ISERROR(FIND('112'!$M$9,G2464,1)),"",IF((AND(FIND('112'!$M$9,G2464,1)&gt;=1,B2464='112'!$K$9,OR($N2464='112'!$I$6,$O2464='112'!$I$6))),"x",""))</f>
        <v/>
      </c>
      <c r="U2464" s="75" t="str">
        <f>IF(ISERROR(FIND('112'!$M$9,G2464,1)),"",IF((AND(LEFT(G2464,2)=LEFT('112'!$M$9,2),B2464&lt;'112'!$K$9,$N2464='112'!$I$6)),"x",""))</f>
        <v/>
      </c>
      <c r="V2464" s="75" t="str">
        <f>IF(ISERROR(FIND('112'!$M$9,G2464,1)),"",IF((AND(RIGHT(G2464,2)=RIGHT('112'!$M$9,2),B2464&lt;'112'!$K$9,$O2464='112'!$I$6)),"x",""))</f>
        <v/>
      </c>
      <c r="W2464" s="75" t="str">
        <f>IF(AND('341-CT'!$H$9=H2464,OR(LEFT(N2464,3)=$W$7,LEFT(O2464,3)=$W$7)),"x","")</f>
        <v/>
      </c>
      <c r="X2464" s="75" t="str">
        <f>IF(OR(TH!N2464=TH!$X$7,O2464=TH!$X$7),"x","")</f>
        <v/>
      </c>
      <c r="Y2464" s="75" t="str">
        <f>IF(AND(OR(N2464="131",O2464="131"),H2464='131-CT'!$H$9),"x","")</f>
        <v/>
      </c>
      <c r="Z2464" s="75"/>
      <c r="AA2464" s="75" t="str">
        <f>IF(AND(MONTH(E2464)='IN-NX'!$J$5,'IN-NX'!$D$7=D2464),"x","")</f>
        <v/>
      </c>
      <c r="AB2464" s="75" t="str">
        <f>IF(AND(OR(LEFT(TH!N2464,2)="15",LEFT(TH!O2464,2)="15"),LEFT(TH!O2464,3)&lt;&gt;"111",'152-CT'!$J$8=TH!F2464),"x","")</f>
        <v/>
      </c>
      <c r="AC2464" s="75" t="str">
        <f>IF(AND(OR(LEFT(TH!N2464,2)="15",LEFT(TH!O2464,2)="15"),TK!$E$7=TH!F2464),"x","")</f>
        <v/>
      </c>
      <c r="AD2464" s="75" t="str">
        <f>IF(AND(N2464="1521",MONTH(C2464)='BK-NL'!$M$11),"x","")</f>
        <v/>
      </c>
    </row>
    <row r="2465" spans="1:30" ht="16.5" customHeight="1">
      <c r="A2465" s="309" t="str">
        <f>IF(B2465&lt;&gt;"",IF(AND(B2465='IN-TC'!$S$4,OR(TH!N2465="1111",TH!O2465="1111")),TH!D2465,""),"")</f>
        <v/>
      </c>
      <c r="B2465" s="1159">
        <f t="shared" si="827"/>
        <v>12</v>
      </c>
      <c r="C2465" s="292">
        <f t="shared" si="828"/>
        <v>43094</v>
      </c>
      <c r="D2465" s="292" t="s">
        <v>2979</v>
      </c>
      <c r="E2465" s="292">
        <v>43094</v>
      </c>
      <c r="F2465" s="425" t="s">
        <v>566</v>
      </c>
      <c r="G2465" s="925"/>
      <c r="H2465" s="429" t="s">
        <v>768</v>
      </c>
      <c r="I2465" s="373">
        <f>35000-I2464</f>
        <v>17144</v>
      </c>
      <c r="J2465" s="379">
        <v>18200</v>
      </c>
      <c r="K2465" s="373"/>
      <c r="L2465" s="379"/>
      <c r="M2465" s="927">
        <f t="shared" si="829"/>
        <v>312020800</v>
      </c>
      <c r="N2465" s="295" t="s">
        <v>264</v>
      </c>
      <c r="O2465" s="295" t="s">
        <v>8</v>
      </c>
      <c r="P2465" s="75" t="str">
        <f>IF(AND('331-CT'!$E$7=TH!H2465,OR(N2465="331",O2465="331")),"x","")</f>
        <v/>
      </c>
      <c r="Q2465" s="75" t="str">
        <f>IF(AND(B2465='111'!$L$11,OR($N2465=$Q$7,$O2465=$Q$7)),"x","")</f>
        <v/>
      </c>
      <c r="R2465" s="75" t="str">
        <f>IF(AND($N2465=$Q$7,$B2465&lt;'111'!$L$11),"x","")</f>
        <v/>
      </c>
      <c r="S2465" s="75" t="str">
        <f>IF(AND($O2465=$Q$7,$B2465&lt;'111'!$L$11),"x","")</f>
        <v/>
      </c>
      <c r="T2465" s="75" t="str">
        <f>IF(ISERROR(FIND('112'!$M$9,G2465,1)),"",IF((AND(FIND('112'!$M$9,G2465,1)&gt;=1,B2465='112'!$K$9,OR($N2465='112'!$I$6,$O2465='112'!$I$6))),"x",""))</f>
        <v/>
      </c>
      <c r="U2465" s="75" t="str">
        <f>IF(ISERROR(FIND('112'!$M$9,G2465,1)),"",IF((AND(LEFT(G2465,2)=LEFT('112'!$M$9,2),B2465&lt;'112'!$K$9,$N2465='112'!$I$6)),"x",""))</f>
        <v/>
      </c>
      <c r="V2465" s="75" t="str">
        <f>IF(ISERROR(FIND('112'!$M$9,G2465,1)),"",IF((AND(RIGHT(G2465,2)=RIGHT('112'!$M$9,2),B2465&lt;'112'!$K$9,$O2465='112'!$I$6)),"x",""))</f>
        <v/>
      </c>
      <c r="W2465" s="75" t="str">
        <f>IF(AND('341-CT'!$H$9=H2465,OR(LEFT(N2465,3)=$W$7,LEFT(O2465,3)=$W$7)),"x","")</f>
        <v/>
      </c>
      <c r="X2465" s="75" t="str">
        <f>IF(OR(TH!N2465=TH!$X$7,O2465=TH!$X$7),"x","")</f>
        <v/>
      </c>
      <c r="Y2465" s="75" t="str">
        <f>IF(AND(OR(N2465="131",O2465="131"),H2465='131-CT'!$H$9),"x","")</f>
        <v/>
      </c>
      <c r="Z2465" s="75"/>
      <c r="AA2465" s="75" t="str">
        <f>IF(AND(MONTH(E2465)='IN-NX'!$J$5,'IN-NX'!$D$7=D2465),"x","")</f>
        <v/>
      </c>
      <c r="AB2465" s="75" t="str">
        <f>IF(AND(OR(LEFT(TH!N2465,2)="15",LEFT(TH!O2465,2)="15"),LEFT(TH!O2465,3)&lt;&gt;"111",'152-CT'!$J$8=TH!F2465),"x","")</f>
        <v/>
      </c>
      <c r="AC2465" s="75" t="str">
        <f>IF(AND(OR(LEFT(TH!N2465,2)="15",LEFT(TH!O2465,2)="15"),TK!$E$7=TH!F2465),"x","")</f>
        <v/>
      </c>
      <c r="AD2465" s="75" t="str">
        <f>IF(AND(N2465="1521",MONTH(C2465)='BK-NL'!$M$11),"x","")</f>
        <v/>
      </c>
    </row>
    <row r="2466" spans="1:30" ht="16.5" customHeight="1">
      <c r="A2466" s="309" t="str">
        <f>IF(B2466&lt;&gt;"",IF(AND(B2466='IN-TC'!$S$4,OR(TH!N2466="1111",TH!O2466="1111")),TH!D2466,""),"")</f>
        <v/>
      </c>
      <c r="B2466" s="1159">
        <f t="shared" si="827"/>
        <v>12</v>
      </c>
      <c r="C2466" s="292">
        <f t="shared" si="828"/>
        <v>43094</v>
      </c>
      <c r="D2466" s="292" t="s">
        <v>2980</v>
      </c>
      <c r="E2466" s="292">
        <v>43094</v>
      </c>
      <c r="F2466" s="425" t="s">
        <v>566</v>
      </c>
      <c r="G2466" s="925"/>
      <c r="H2466" s="435" t="s">
        <v>769</v>
      </c>
      <c r="I2466" s="373">
        <f>69000-SUM(I2463:I2465)</f>
        <v>17150</v>
      </c>
      <c r="J2466" s="379">
        <v>18200</v>
      </c>
      <c r="K2466" s="373"/>
      <c r="L2466" s="379"/>
      <c r="M2466" s="927">
        <f t="shared" si="829"/>
        <v>312130000</v>
      </c>
      <c r="N2466" s="295" t="s">
        <v>264</v>
      </c>
      <c r="O2466" s="295" t="s">
        <v>8</v>
      </c>
      <c r="P2466" s="75" t="str">
        <f>IF(AND('331-CT'!$E$7=TH!H2466,OR(N2466="331",O2466="331")),"x","")</f>
        <v/>
      </c>
      <c r="Q2466" s="75" t="str">
        <f>IF(AND(B2466='111'!$L$11,OR($N2466=$Q$7,$O2466=$Q$7)),"x","")</f>
        <v/>
      </c>
      <c r="R2466" s="75" t="str">
        <f>IF(AND($N2466=$Q$7,$B2466&lt;'111'!$L$11),"x","")</f>
        <v/>
      </c>
      <c r="S2466" s="75" t="str">
        <f>IF(AND($O2466=$Q$7,$B2466&lt;'111'!$L$11),"x","")</f>
        <v/>
      </c>
      <c r="T2466" s="75" t="str">
        <f>IF(ISERROR(FIND('112'!$M$9,G2466,1)),"",IF((AND(FIND('112'!$M$9,G2466,1)&gt;=1,B2466='112'!$K$9,OR($N2466='112'!$I$6,$O2466='112'!$I$6))),"x",""))</f>
        <v/>
      </c>
      <c r="U2466" s="75" t="str">
        <f>IF(ISERROR(FIND('112'!$M$9,G2466,1)),"",IF((AND(LEFT(G2466,2)=LEFT('112'!$M$9,2),B2466&lt;'112'!$K$9,$N2466='112'!$I$6)),"x",""))</f>
        <v/>
      </c>
      <c r="V2466" s="75" t="str">
        <f>IF(ISERROR(FIND('112'!$M$9,G2466,1)),"",IF((AND(RIGHT(G2466,2)=RIGHT('112'!$M$9,2),B2466&lt;'112'!$K$9,$O2466='112'!$I$6)),"x",""))</f>
        <v/>
      </c>
      <c r="W2466" s="75" t="str">
        <f>IF(AND('341-CT'!$H$9=H2466,OR(LEFT(N2466,3)=$W$7,LEFT(O2466,3)=$W$7)),"x","")</f>
        <v/>
      </c>
      <c r="X2466" s="75" t="str">
        <f>IF(OR(TH!N2466=TH!$X$7,O2466=TH!$X$7),"x","")</f>
        <v/>
      </c>
      <c r="Y2466" s="75" t="str">
        <f>IF(AND(OR(N2466="131",O2466="131"),H2466='131-CT'!$H$9),"x","")</f>
        <v/>
      </c>
      <c r="Z2466" s="75"/>
      <c r="AA2466" s="75" t="str">
        <f>IF(AND(MONTH(E2466)='IN-NX'!$J$5,'IN-NX'!$D$7=D2466),"x","")</f>
        <v/>
      </c>
      <c r="AB2466" s="75" t="str">
        <f>IF(AND(OR(LEFT(TH!N2466,2)="15",LEFT(TH!O2466,2)="15"),LEFT(TH!O2466,3)&lt;&gt;"111",'152-CT'!$J$8=TH!F2466),"x","")</f>
        <v/>
      </c>
      <c r="AC2466" s="75" t="str">
        <f>IF(AND(OR(LEFT(TH!N2466,2)="15",LEFT(TH!O2466,2)="15"),TK!$E$7=TH!F2466),"x","")</f>
        <v/>
      </c>
      <c r="AD2466" s="75" t="str">
        <f>IF(AND(N2466="1521",MONTH(C2466)='BK-NL'!$M$11),"x","")</f>
        <v/>
      </c>
    </row>
    <row r="2467" spans="1:30" ht="16.5" customHeight="1">
      <c r="A2467" s="309" t="str">
        <f>IF(B2467&lt;&gt;"",IF(AND(B2467='IN-TC'!$S$4,OR(TH!N2467="1111",TH!O2467="1111")),TH!D2467,""),"")</f>
        <v/>
      </c>
      <c r="B2467" s="1159">
        <f t="shared" si="799"/>
        <v>12</v>
      </c>
      <c r="C2467" s="929">
        <f t="shared" si="810"/>
        <v>43100</v>
      </c>
      <c r="D2467" s="929" t="s">
        <v>2956</v>
      </c>
      <c r="E2467" s="929">
        <v>43100</v>
      </c>
      <c r="F2467" s="1082" t="s">
        <v>771</v>
      </c>
      <c r="G2467" s="1031"/>
      <c r="H2467" s="1082" t="s">
        <v>424</v>
      </c>
      <c r="I2467" s="371">
        <v>945319</v>
      </c>
      <c r="J2467" s="377">
        <v>17900</v>
      </c>
      <c r="K2467" s="371"/>
      <c r="L2467" s="377"/>
      <c r="M2467" s="933">
        <f t="shared" si="811"/>
        <v>16921210100</v>
      </c>
      <c r="N2467" s="934" t="s">
        <v>272</v>
      </c>
      <c r="O2467" s="934" t="s">
        <v>264</v>
      </c>
      <c r="P2467" s="75" t="str">
        <f>IF(AND('331-CT'!$E$7=TH!H2467,OR(N2467="331",O2467="331")),"x","")</f>
        <v/>
      </c>
      <c r="Q2467" s="75" t="str">
        <f>IF(AND(B2467='111'!$L$11,OR($N2467=$Q$7,$O2467=$Q$7)),"x","")</f>
        <v/>
      </c>
      <c r="R2467" s="75" t="str">
        <f>IF(AND($N2467=$Q$7,$B2467&lt;'111'!$L$11),"x","")</f>
        <v/>
      </c>
      <c r="S2467" s="75" t="str">
        <f>IF(AND($O2467=$Q$7,$B2467&lt;'111'!$L$11),"x","")</f>
        <v/>
      </c>
      <c r="T2467" s="75" t="str">
        <f>IF(ISERROR(FIND('112'!$M$9,G2467,1)),"",IF((AND(FIND('112'!$M$9,G2467,1)&gt;=1,B2467='112'!$K$9,OR($N2467='112'!$I$6,$O2467='112'!$I$6))),"x",""))</f>
        <v/>
      </c>
      <c r="U2467" s="75" t="str">
        <f>IF(ISERROR(FIND('112'!$M$9,G2467,1)),"",IF((AND(LEFT(G2467,2)=LEFT('112'!$M$9,2),B2467&lt;'112'!$K$9,$N2467='112'!$I$6)),"x",""))</f>
        <v/>
      </c>
      <c r="V2467" s="75" t="str">
        <f>IF(ISERROR(FIND('112'!$M$9,G2467,1)),"",IF((AND(RIGHT(G2467,2)=RIGHT('112'!$M$9,2),B2467&lt;'112'!$K$9,$O2467='112'!$I$6)),"x",""))</f>
        <v/>
      </c>
      <c r="W2467" s="75" t="str">
        <f>IF(AND('341-CT'!$H$9=H2467,OR(LEFT(N2467,3)=$W$7,LEFT(O2467,3)=$W$7)),"x","")</f>
        <v/>
      </c>
      <c r="X2467" s="75" t="str">
        <f>IF(OR(TH!N2467=TH!$X$7,O2467=TH!$X$7),"x","")</f>
        <v/>
      </c>
      <c r="Y2467" s="75" t="str">
        <f>IF(AND(OR(N2467="131",O2467="131"),H2467='131-CT'!$H$9),"x","")</f>
        <v/>
      </c>
      <c r="Z2467" s="75"/>
      <c r="AA2467" s="75" t="str">
        <f>IF(AND(MONTH(E2467)='IN-NX'!$J$5,'IN-NX'!$D$7=D2467),"x","")</f>
        <v/>
      </c>
      <c r="AB2467" s="75" t="str">
        <f>IF(AND(OR(LEFT(TH!N2467,2)="15",LEFT(TH!O2467,2)="15"),LEFT(TH!O2467,3)&lt;&gt;"111",'152-CT'!$J$8=TH!F2467),"x","")</f>
        <v/>
      </c>
      <c r="AC2467" s="75" t="str">
        <f>IF(AND(OR(LEFT(TH!N2467,2)="15",LEFT(TH!O2467,2)="15"),TK!$E$7=TH!F2467),"x","")</f>
        <v/>
      </c>
      <c r="AD2467" s="75" t="str">
        <f>IF(AND(N2467="1521",MONTH(C2467)='BK-NL'!$M$11),"x","")</f>
        <v/>
      </c>
    </row>
    <row r="2468" spans="1:30" ht="16.5" customHeight="1">
      <c r="A2468" s="309" t="str">
        <f>IF(B2468&lt;&gt;"",IF(AND(B2468='IN-TC'!$S$4,OR(TH!N2468="1111",TH!O2468="1111")),TH!D2468,""),"")</f>
        <v/>
      </c>
      <c r="B2468" s="1159">
        <f>IF(C2468&lt;&gt;"",MONTH(C2468),"")</f>
        <v>12</v>
      </c>
      <c r="C2468" s="929">
        <f>E2468</f>
        <v>43100</v>
      </c>
      <c r="D2468" s="929" t="s">
        <v>2956</v>
      </c>
      <c r="E2468" s="929">
        <v>43100</v>
      </c>
      <c r="F2468" s="1082" t="s">
        <v>771</v>
      </c>
      <c r="G2468" s="960"/>
      <c r="H2468" s="1082" t="s">
        <v>424</v>
      </c>
      <c r="I2468" s="371">
        <v>40500</v>
      </c>
      <c r="J2468" s="377">
        <v>18500</v>
      </c>
      <c r="K2468" s="371"/>
      <c r="L2468" s="377"/>
      <c r="M2468" s="933">
        <f>ROUND(I2468*J2468,0)</f>
        <v>749250000</v>
      </c>
      <c r="N2468" s="934" t="s">
        <v>272</v>
      </c>
      <c r="O2468" s="934" t="s">
        <v>264</v>
      </c>
      <c r="P2468" s="75" t="str">
        <f>IF(AND('331-CT'!$E$7=TH!H2468,OR(N2468="331",O2468="331")),"x","")</f>
        <v/>
      </c>
      <c r="Q2468" s="75" t="str">
        <f>IF(AND(B2468='111'!$L$11,OR($N2468=$Q$7,$O2468=$Q$7)),"x","")</f>
        <v/>
      </c>
      <c r="R2468" s="75" t="str">
        <f>IF(AND($N2468=$Q$7,$B2468&lt;'111'!$L$11),"x","")</f>
        <v/>
      </c>
      <c r="S2468" s="75" t="str">
        <f>IF(AND($O2468=$Q$7,$B2468&lt;'111'!$L$11),"x","")</f>
        <v/>
      </c>
      <c r="T2468" s="75" t="str">
        <f>IF(ISERROR(FIND('112'!$M$9,G2468,1)),"",IF((AND(FIND('112'!$M$9,G2468,1)&gt;=1,B2468='112'!$K$9,OR($N2468='112'!$I$6,$O2468='112'!$I$6))),"x",""))</f>
        <v/>
      </c>
      <c r="U2468" s="75" t="str">
        <f>IF(ISERROR(FIND('112'!$M$9,G2468,1)),"",IF((AND(LEFT(G2468,2)=LEFT('112'!$M$9,2),B2468&lt;'112'!$K$9,$N2468='112'!$I$6)),"x",""))</f>
        <v/>
      </c>
      <c r="V2468" s="75" t="str">
        <f>IF(ISERROR(FIND('112'!$M$9,G2468,1)),"",IF((AND(RIGHT(G2468,2)=RIGHT('112'!$M$9,2),B2468&lt;'112'!$K$9,$O2468='112'!$I$6)),"x",""))</f>
        <v/>
      </c>
      <c r="W2468" s="75" t="str">
        <f>IF(AND('341-CT'!$H$9=H2468,OR(LEFT(N2468,3)=$W$7,LEFT(O2468,3)=$W$7)),"x","")</f>
        <v/>
      </c>
      <c r="X2468" s="75" t="str">
        <f>IF(OR(TH!N2468=TH!$X$7,O2468=TH!$X$7),"x","")</f>
        <v/>
      </c>
      <c r="Y2468" s="75" t="str">
        <f>IF(AND(OR(N2468="131",O2468="131"),H2468='131-CT'!$H$9),"x","")</f>
        <v/>
      </c>
      <c r="Z2468" s="75"/>
      <c r="AA2468" s="75" t="str">
        <f>IF(AND(MONTH(E2468)='IN-NX'!$J$5,'IN-NX'!$D$7=D2468),"x","")</f>
        <v/>
      </c>
      <c r="AB2468" s="75" t="str">
        <f>IF(AND(OR(LEFT(TH!N2468,2)="15",LEFT(TH!O2468,2)="15"),LEFT(TH!O2468,3)&lt;&gt;"111",'152-CT'!$J$8=TH!F2468),"x","")</f>
        <v/>
      </c>
      <c r="AC2468" s="75" t="str">
        <f>IF(AND(OR(LEFT(TH!N2468,2)="15",LEFT(TH!O2468,2)="15"),TK!$E$7=TH!F2468),"x","")</f>
        <v/>
      </c>
      <c r="AD2468" s="75" t="str">
        <f>IF(AND(N2468="1521",MONTH(C2468)='BK-NL'!$M$11),"x","")</f>
        <v/>
      </c>
    </row>
    <row r="2469" spans="1:30" ht="16.5" customHeight="1">
      <c r="A2469" s="309" t="str">
        <f>IF(B2469&lt;&gt;"",IF(AND(B2469='IN-TC'!$S$4,OR(TH!N2469="1111",TH!O2469="1111")),TH!D2469,""),"")</f>
        <v/>
      </c>
      <c r="B2469" s="1159">
        <f>IF(C2469&lt;&gt;"",MONTH(C2469),"")</f>
        <v>12</v>
      </c>
      <c r="C2469" s="929">
        <f>E2469</f>
        <v>43100</v>
      </c>
      <c r="D2469" s="929" t="s">
        <v>2956</v>
      </c>
      <c r="E2469" s="929">
        <v>43100</v>
      </c>
      <c r="F2469" s="1082" t="s">
        <v>771</v>
      </c>
      <c r="G2469" s="960"/>
      <c r="H2469" s="1082" t="s">
        <v>424</v>
      </c>
      <c r="I2469" s="371">
        <v>8100</v>
      </c>
      <c r="J2469" s="377">
        <v>17700</v>
      </c>
      <c r="K2469" s="371"/>
      <c r="L2469" s="377"/>
      <c r="M2469" s="933">
        <f>ROUND(I2469*J2469,0)</f>
        <v>143370000</v>
      </c>
      <c r="N2469" s="934" t="s">
        <v>272</v>
      </c>
      <c r="O2469" s="934" t="s">
        <v>264</v>
      </c>
      <c r="P2469" s="75" t="str">
        <f>IF(AND('331-CT'!$E$7=TH!H2469,OR(N2469="331",O2469="331")),"x","")</f>
        <v/>
      </c>
      <c r="Q2469" s="75" t="str">
        <f>IF(AND(B2469='111'!$L$11,OR($N2469=$Q$7,$O2469=$Q$7)),"x","")</f>
        <v/>
      </c>
      <c r="R2469" s="75" t="str">
        <f>IF(AND($N2469=$Q$7,$B2469&lt;'111'!$L$11),"x","")</f>
        <v/>
      </c>
      <c r="S2469" s="75" t="str">
        <f>IF(AND($O2469=$Q$7,$B2469&lt;'111'!$L$11),"x","")</f>
        <v/>
      </c>
      <c r="T2469" s="75" t="str">
        <f>IF(ISERROR(FIND('112'!$M$9,G2469,1)),"",IF((AND(FIND('112'!$M$9,G2469,1)&gt;=1,B2469='112'!$K$9,OR($N2469='112'!$I$6,$O2469='112'!$I$6))),"x",""))</f>
        <v/>
      </c>
      <c r="U2469" s="75" t="str">
        <f>IF(ISERROR(FIND('112'!$M$9,G2469,1)),"",IF((AND(LEFT(G2469,2)=LEFT('112'!$M$9,2),B2469&lt;'112'!$K$9,$N2469='112'!$I$6)),"x",""))</f>
        <v/>
      </c>
      <c r="V2469" s="75" t="str">
        <f>IF(ISERROR(FIND('112'!$M$9,G2469,1)),"",IF((AND(RIGHT(G2469,2)=RIGHT('112'!$M$9,2),B2469&lt;'112'!$K$9,$O2469='112'!$I$6)),"x",""))</f>
        <v/>
      </c>
      <c r="W2469" s="75" t="str">
        <f>IF(AND('341-CT'!$H$9=H2469,OR(LEFT(N2469,3)=$W$7,LEFT(O2469,3)=$W$7)),"x","")</f>
        <v/>
      </c>
      <c r="X2469" s="75" t="str">
        <f>IF(OR(TH!N2469=TH!$X$7,O2469=TH!$X$7),"x","")</f>
        <v/>
      </c>
      <c r="Y2469" s="75" t="str">
        <f>IF(AND(OR(N2469="131",O2469="131"),H2469='131-CT'!$H$9),"x","")</f>
        <v/>
      </c>
      <c r="Z2469" s="75"/>
      <c r="AA2469" s="75" t="str">
        <f>IF(AND(MONTH(E2469)='IN-NX'!$J$5,'IN-NX'!$D$7=D2469),"x","")</f>
        <v/>
      </c>
      <c r="AB2469" s="75" t="str">
        <f>IF(AND(OR(LEFT(TH!N2469,2)="15",LEFT(TH!O2469,2)="15"),LEFT(TH!O2469,3)&lt;&gt;"111",'152-CT'!$J$8=TH!F2469),"x","")</f>
        <v/>
      </c>
      <c r="AC2469" s="75" t="str">
        <f>IF(AND(OR(LEFT(TH!N2469,2)="15",LEFT(TH!O2469,2)="15"),TK!$E$7=TH!F2469),"x","")</f>
        <v/>
      </c>
      <c r="AD2469" s="75" t="str">
        <f>IF(AND(N2469="1521",MONTH(C2469)='BK-NL'!$M$11),"x","")</f>
        <v/>
      </c>
    </row>
    <row r="2470" spans="1:30" ht="16.5" customHeight="1">
      <c r="A2470" s="309" t="str">
        <f>IF(B2470&lt;&gt;"",IF(AND(B2470='IN-TC'!$S$4,OR(TH!N2470="1111",TH!O2470="1111")),TH!D2470,""),"")</f>
        <v/>
      </c>
      <c r="B2470" s="1159">
        <f t="shared" si="799"/>
        <v>12</v>
      </c>
      <c r="C2470" s="929">
        <f t="shared" si="810"/>
        <v>43100</v>
      </c>
      <c r="D2470" s="929" t="s">
        <v>2956</v>
      </c>
      <c r="E2470" s="929">
        <v>43100</v>
      </c>
      <c r="F2470" s="1082" t="s">
        <v>565</v>
      </c>
      <c r="G2470" s="1031"/>
      <c r="H2470" s="1082" t="s">
        <v>424</v>
      </c>
      <c r="I2470" s="371">
        <v>50400</v>
      </c>
      <c r="J2470" s="377">
        <v>17000</v>
      </c>
      <c r="K2470" s="371"/>
      <c r="L2470" s="377"/>
      <c r="M2470" s="933">
        <f t="shared" si="811"/>
        <v>856800000</v>
      </c>
      <c r="N2470" s="934" t="s">
        <v>272</v>
      </c>
      <c r="O2470" s="934" t="s">
        <v>264</v>
      </c>
      <c r="P2470" s="75" t="str">
        <f>IF(AND('331-CT'!$E$7=TH!H2470,OR(N2470="331",O2470="331")),"x","")</f>
        <v/>
      </c>
      <c r="Q2470" s="75" t="str">
        <f>IF(AND(B2470='111'!$L$11,OR($N2470=$Q$7,$O2470=$Q$7)),"x","")</f>
        <v/>
      </c>
      <c r="R2470" s="75" t="str">
        <f>IF(AND($N2470=$Q$7,$B2470&lt;'111'!$L$11),"x","")</f>
        <v/>
      </c>
      <c r="S2470" s="75" t="str">
        <f>IF(AND($O2470=$Q$7,$B2470&lt;'111'!$L$11),"x","")</f>
        <v/>
      </c>
      <c r="T2470" s="75" t="str">
        <f>IF(ISERROR(FIND('112'!$M$9,G2470,1)),"",IF((AND(FIND('112'!$M$9,G2470,1)&gt;=1,B2470='112'!$K$9,OR($N2470='112'!$I$6,$O2470='112'!$I$6))),"x",""))</f>
        <v/>
      </c>
      <c r="U2470" s="75" t="str">
        <f>IF(ISERROR(FIND('112'!$M$9,G2470,1)),"",IF((AND(LEFT(G2470,2)=LEFT('112'!$M$9,2),B2470&lt;'112'!$K$9,$N2470='112'!$I$6)),"x",""))</f>
        <v/>
      </c>
      <c r="V2470" s="75" t="str">
        <f>IF(ISERROR(FIND('112'!$M$9,G2470,1)),"",IF((AND(RIGHT(G2470,2)=RIGHT('112'!$M$9,2),B2470&lt;'112'!$K$9,$O2470='112'!$I$6)),"x",""))</f>
        <v/>
      </c>
      <c r="W2470" s="75" t="str">
        <f>IF(AND('341-CT'!$H$9=H2470,OR(LEFT(N2470,3)=$W$7,LEFT(O2470,3)=$W$7)),"x","")</f>
        <v/>
      </c>
      <c r="X2470" s="75" t="str">
        <f>IF(OR(TH!N2470=TH!$X$7,O2470=TH!$X$7),"x","")</f>
        <v/>
      </c>
      <c r="Y2470" s="75" t="str">
        <f>IF(AND(OR(N2470="131",O2470="131"),H2470='131-CT'!$H$9),"x","")</f>
        <v/>
      </c>
      <c r="Z2470" s="75"/>
      <c r="AA2470" s="75" t="str">
        <f>IF(AND(MONTH(E2470)='IN-NX'!$J$5,'IN-NX'!$D$7=D2470),"x","")</f>
        <v/>
      </c>
      <c r="AB2470" s="75" t="str">
        <f>IF(AND(OR(LEFT(TH!N2470,2)="15",LEFT(TH!O2470,2)="15"),LEFT(TH!O2470,3)&lt;&gt;"111",'152-CT'!$J$8=TH!F2470),"x","")</f>
        <v/>
      </c>
      <c r="AC2470" s="75" t="str">
        <f>IF(AND(OR(LEFT(TH!N2470,2)="15",LEFT(TH!O2470,2)="15"),TK!$E$7=TH!F2470),"x","")</f>
        <v/>
      </c>
      <c r="AD2470" s="75" t="str">
        <f>IF(AND(N2470="1521",MONTH(C2470)='BK-NL'!$M$11),"x","")</f>
        <v/>
      </c>
    </row>
    <row r="2471" spans="1:30" ht="16.5" customHeight="1">
      <c r="A2471" s="309" t="str">
        <f>IF(B2471&lt;&gt;"",IF(AND(B2471='IN-TC'!$S$4,OR(TH!N2471="1111",TH!O2471="1111")),TH!D2471,""),"")</f>
        <v/>
      </c>
      <c r="B2471" s="1159">
        <f>IF(C2471&lt;&gt;"",MONTH(C2471),"")</f>
        <v>12</v>
      </c>
      <c r="C2471" s="929">
        <f>E2471</f>
        <v>43100</v>
      </c>
      <c r="D2471" s="929" t="s">
        <v>2956</v>
      </c>
      <c r="E2471" s="929">
        <v>43100</v>
      </c>
      <c r="F2471" s="1082" t="s">
        <v>565</v>
      </c>
      <c r="G2471" s="1031"/>
      <c r="H2471" s="1082" t="s">
        <v>424</v>
      </c>
      <c r="I2471" s="371">
        <v>31680</v>
      </c>
      <c r="J2471" s="377">
        <v>17500</v>
      </c>
      <c r="K2471" s="371"/>
      <c r="L2471" s="377"/>
      <c r="M2471" s="933">
        <f>ROUND(I2471*J2471,0)</f>
        <v>554400000</v>
      </c>
      <c r="N2471" s="934" t="s">
        <v>272</v>
      </c>
      <c r="O2471" s="934" t="s">
        <v>264</v>
      </c>
      <c r="P2471" s="75" t="str">
        <f>IF(AND('331-CT'!$E$7=TH!H2471,OR(N2471="331",O2471="331")),"x","")</f>
        <v/>
      </c>
      <c r="Q2471" s="75" t="str">
        <f>IF(AND(B2471='111'!$L$11,OR($N2471=$Q$7,$O2471=$Q$7)),"x","")</f>
        <v/>
      </c>
      <c r="R2471" s="75" t="str">
        <f>IF(AND($N2471=$Q$7,$B2471&lt;'111'!$L$11),"x","")</f>
        <v/>
      </c>
      <c r="S2471" s="75" t="str">
        <f>IF(AND($O2471=$Q$7,$B2471&lt;'111'!$L$11),"x","")</f>
        <v/>
      </c>
      <c r="T2471" s="75" t="str">
        <f>IF(ISERROR(FIND('112'!$M$9,G2471,1)),"",IF((AND(FIND('112'!$M$9,G2471,1)&gt;=1,B2471='112'!$K$9,OR($N2471='112'!$I$6,$O2471='112'!$I$6))),"x",""))</f>
        <v/>
      </c>
      <c r="U2471" s="75" t="str">
        <f>IF(ISERROR(FIND('112'!$M$9,G2471,1)),"",IF((AND(LEFT(G2471,2)=LEFT('112'!$M$9,2),B2471&lt;'112'!$K$9,$N2471='112'!$I$6)),"x",""))</f>
        <v/>
      </c>
      <c r="V2471" s="75" t="str">
        <f>IF(ISERROR(FIND('112'!$M$9,G2471,1)),"",IF((AND(RIGHT(G2471,2)=RIGHT('112'!$M$9,2),B2471&lt;'112'!$K$9,$O2471='112'!$I$6)),"x",""))</f>
        <v/>
      </c>
      <c r="W2471" s="75" t="str">
        <f>IF(AND('341-CT'!$H$9=H2471,OR(LEFT(N2471,3)=$W$7,LEFT(O2471,3)=$W$7)),"x","")</f>
        <v/>
      </c>
      <c r="X2471" s="75" t="str">
        <f>IF(OR(TH!N2471=TH!$X$7,O2471=TH!$X$7),"x","")</f>
        <v/>
      </c>
      <c r="Y2471" s="75" t="str">
        <f>IF(AND(OR(N2471="131",O2471="131"),H2471='131-CT'!$H$9),"x","")</f>
        <v/>
      </c>
      <c r="Z2471" s="75"/>
      <c r="AA2471" s="75" t="str">
        <f>IF(AND(MONTH(E2471)='IN-NX'!$J$5,'IN-NX'!$D$7=D2471),"x","")</f>
        <v/>
      </c>
      <c r="AB2471" s="75" t="str">
        <f>IF(AND(OR(LEFT(TH!N2471,2)="15",LEFT(TH!O2471,2)="15"),LEFT(TH!O2471,3)&lt;&gt;"111",'152-CT'!$J$8=TH!F2471),"x","")</f>
        <v/>
      </c>
      <c r="AC2471" s="75" t="str">
        <f>IF(AND(OR(LEFT(TH!N2471,2)="15",LEFT(TH!O2471,2)="15"),TK!$E$7=TH!F2471),"x","")</f>
        <v/>
      </c>
      <c r="AD2471" s="75" t="str">
        <f>IF(AND(N2471="1521",MONTH(C2471)='BK-NL'!$M$11),"x","")</f>
        <v/>
      </c>
    </row>
    <row r="2472" spans="1:30" ht="16.5" customHeight="1">
      <c r="A2472" s="309" t="str">
        <f>IF(B2472&lt;&gt;"",IF(AND(B2472='IN-TC'!$S$4,OR(TH!N2472="1111",TH!O2472="1111")),TH!D2472,""),"")</f>
        <v/>
      </c>
      <c r="B2472" s="1159">
        <f t="shared" si="799"/>
        <v>12</v>
      </c>
      <c r="C2472" s="929">
        <f t="shared" si="810"/>
        <v>43100</v>
      </c>
      <c r="D2472" s="929" t="s">
        <v>2956</v>
      </c>
      <c r="E2472" s="929">
        <v>43100</v>
      </c>
      <c r="F2472" s="1082" t="s">
        <v>566</v>
      </c>
      <c r="G2472" s="960"/>
      <c r="H2472" s="1082" t="s">
        <v>424</v>
      </c>
      <c r="I2472" s="371">
        <v>11500</v>
      </c>
      <c r="J2472" s="377">
        <v>18200</v>
      </c>
      <c r="K2472" s="371"/>
      <c r="L2472" s="377"/>
      <c r="M2472" s="933">
        <f t="shared" si="811"/>
        <v>209300000</v>
      </c>
      <c r="N2472" s="934" t="s">
        <v>272</v>
      </c>
      <c r="O2472" s="934" t="s">
        <v>264</v>
      </c>
      <c r="P2472" s="75" t="str">
        <f>IF(AND('331-CT'!$E$7=TH!H2472,OR(N2472="331",O2472="331")),"x","")</f>
        <v/>
      </c>
      <c r="Q2472" s="75" t="str">
        <f>IF(AND(B2472='111'!$L$11,OR($N2472=$Q$7,$O2472=$Q$7)),"x","")</f>
        <v/>
      </c>
      <c r="R2472" s="75" t="str">
        <f>IF(AND($N2472=$Q$7,$B2472&lt;'111'!$L$11),"x","")</f>
        <v/>
      </c>
      <c r="S2472" s="75" t="str">
        <f>IF(AND($O2472=$Q$7,$B2472&lt;'111'!$L$11),"x","")</f>
        <v/>
      </c>
      <c r="T2472" s="75" t="str">
        <f>IF(ISERROR(FIND('112'!$M$9,G2472,1)),"",IF((AND(FIND('112'!$M$9,G2472,1)&gt;=1,B2472='112'!$K$9,OR($N2472='112'!$I$6,$O2472='112'!$I$6))),"x",""))</f>
        <v/>
      </c>
      <c r="U2472" s="75" t="str">
        <f>IF(ISERROR(FIND('112'!$M$9,G2472,1)),"",IF((AND(LEFT(G2472,2)=LEFT('112'!$M$9,2),B2472&lt;'112'!$K$9,$N2472='112'!$I$6)),"x",""))</f>
        <v/>
      </c>
      <c r="V2472" s="75" t="str">
        <f>IF(ISERROR(FIND('112'!$M$9,G2472,1)),"",IF((AND(RIGHT(G2472,2)=RIGHT('112'!$M$9,2),B2472&lt;'112'!$K$9,$O2472='112'!$I$6)),"x",""))</f>
        <v/>
      </c>
      <c r="W2472" s="75" t="str">
        <f>IF(AND('341-CT'!$H$9=H2472,OR(LEFT(N2472,3)=$W$7,LEFT(O2472,3)=$W$7)),"x","")</f>
        <v/>
      </c>
      <c r="X2472" s="75" t="str">
        <f>IF(OR(TH!N2472=TH!$X$7,O2472=TH!$X$7),"x","")</f>
        <v/>
      </c>
      <c r="Y2472" s="75" t="str">
        <f>IF(AND(OR(N2472="131",O2472="131"),H2472='131-CT'!$H$9),"x","")</f>
        <v/>
      </c>
      <c r="Z2472" s="75"/>
      <c r="AA2472" s="75" t="str">
        <f>IF(AND(MONTH(E2472)='IN-NX'!$J$5,'IN-NX'!$D$7=D2472),"x","")</f>
        <v/>
      </c>
      <c r="AB2472" s="75" t="str">
        <f>IF(AND(OR(LEFT(TH!N2472,2)="15",LEFT(TH!O2472,2)="15"),LEFT(TH!O2472,3)&lt;&gt;"111",'152-CT'!$J$8=TH!F2472),"x","")</f>
        <v/>
      </c>
      <c r="AC2472" s="75" t="str">
        <f>IF(AND(OR(LEFT(TH!N2472,2)="15",LEFT(TH!O2472,2)="15"),TK!$E$7=TH!F2472),"x","")</f>
        <v/>
      </c>
      <c r="AD2472" s="75" t="str">
        <f>IF(AND(N2472="1521",MONTH(C2472)='BK-NL'!$M$11),"x","")</f>
        <v/>
      </c>
    </row>
    <row r="2473" spans="1:30" ht="16.5" customHeight="1">
      <c r="A2473" s="309" t="str">
        <f>IF(B2473&lt;&gt;"",IF(AND(B2473='IN-TC'!$S$4,OR(TH!N2473="1111",TH!O2473="1111")),TH!D2473,""),"")</f>
        <v/>
      </c>
      <c r="B2473" s="1159">
        <f t="shared" si="799"/>
        <v>12</v>
      </c>
      <c r="C2473" s="929">
        <f t="shared" si="810"/>
        <v>43100</v>
      </c>
      <c r="D2473" s="929" t="s">
        <v>2956</v>
      </c>
      <c r="E2473" s="929">
        <v>43100</v>
      </c>
      <c r="F2473" s="1082" t="s">
        <v>566</v>
      </c>
      <c r="G2473" s="960"/>
      <c r="H2473" s="1082" t="s">
        <v>424</v>
      </c>
      <c r="I2473" s="371">
        <f>5000+30000</f>
        <v>35000</v>
      </c>
      <c r="J2473" s="377">
        <v>19500</v>
      </c>
      <c r="K2473" s="371"/>
      <c r="L2473" s="377"/>
      <c r="M2473" s="933">
        <f t="shared" si="811"/>
        <v>682500000</v>
      </c>
      <c r="N2473" s="934" t="s">
        <v>272</v>
      </c>
      <c r="O2473" s="934" t="s">
        <v>264</v>
      </c>
      <c r="P2473" s="75" t="str">
        <f>IF(AND('331-CT'!$E$7=TH!H2473,OR(N2473="331",O2473="331")),"x","")</f>
        <v/>
      </c>
      <c r="Q2473" s="75" t="str">
        <f>IF(AND(B2473='111'!$L$11,OR($N2473=$Q$7,$O2473=$Q$7)),"x","")</f>
        <v/>
      </c>
      <c r="R2473" s="75" t="str">
        <f>IF(AND($N2473=$Q$7,$B2473&lt;'111'!$L$11),"x","")</f>
        <v/>
      </c>
      <c r="S2473" s="75" t="str">
        <f>IF(AND($O2473=$Q$7,$B2473&lt;'111'!$L$11),"x","")</f>
        <v/>
      </c>
      <c r="T2473" s="75" t="str">
        <f>IF(ISERROR(FIND('112'!$M$9,G2473,1)),"",IF((AND(FIND('112'!$M$9,G2473,1)&gt;=1,B2473='112'!$K$9,OR($N2473='112'!$I$6,$O2473='112'!$I$6))),"x",""))</f>
        <v/>
      </c>
      <c r="U2473" s="75" t="str">
        <f>IF(ISERROR(FIND('112'!$M$9,G2473,1)),"",IF((AND(LEFT(G2473,2)=LEFT('112'!$M$9,2),B2473&lt;'112'!$K$9,$N2473='112'!$I$6)),"x",""))</f>
        <v/>
      </c>
      <c r="V2473" s="75" t="str">
        <f>IF(ISERROR(FIND('112'!$M$9,G2473,1)),"",IF((AND(RIGHT(G2473,2)=RIGHT('112'!$M$9,2),B2473&lt;'112'!$K$9,$O2473='112'!$I$6)),"x",""))</f>
        <v/>
      </c>
      <c r="W2473" s="75" t="str">
        <f>IF(AND('341-CT'!$H$9=H2473,OR(LEFT(N2473,3)=$W$7,LEFT(O2473,3)=$W$7)),"x","")</f>
        <v/>
      </c>
      <c r="X2473" s="75" t="str">
        <f>IF(OR(TH!N2473=TH!$X$7,O2473=TH!$X$7),"x","")</f>
        <v/>
      </c>
      <c r="Y2473" s="75" t="str">
        <f>IF(AND(OR(N2473="131",O2473="131"),H2473='131-CT'!$H$9),"x","")</f>
        <v/>
      </c>
      <c r="Z2473" s="75"/>
      <c r="AA2473" s="75" t="str">
        <f>IF(AND(MONTH(E2473)='IN-NX'!$J$5,'IN-NX'!$D$7=D2473),"x","")</f>
        <v/>
      </c>
      <c r="AB2473" s="75" t="str">
        <f>IF(AND(OR(LEFT(TH!N2473,2)="15",LEFT(TH!O2473,2)="15"),LEFT(TH!O2473,3)&lt;&gt;"111",'152-CT'!$J$8=TH!F2473),"x","")</f>
        <v/>
      </c>
      <c r="AC2473" s="75" t="str">
        <f>IF(AND(OR(LEFT(TH!N2473,2)="15",LEFT(TH!O2473,2)="15"),TK!$E$7=TH!F2473),"x","")</f>
        <v/>
      </c>
      <c r="AD2473" s="75" t="str">
        <f>IF(AND(N2473="1521",MONTH(C2473)='BK-NL'!$M$11),"x","")</f>
        <v/>
      </c>
    </row>
    <row r="2474" spans="1:30" ht="16.5" customHeight="1">
      <c r="A2474" s="309" t="str">
        <f>IF(B2474&lt;&gt;"",IF(AND(B2474='IN-TC'!$S$4,OR(TH!N2474="1111",TH!O2474="1111")),TH!D2474,""),"")</f>
        <v/>
      </c>
      <c r="B2474" s="1159">
        <f t="shared" si="799"/>
        <v>12</v>
      </c>
      <c r="C2474" s="929">
        <f t="shared" si="810"/>
        <v>43100</v>
      </c>
      <c r="D2474" s="929" t="s">
        <v>2956</v>
      </c>
      <c r="E2474" s="929">
        <v>43100</v>
      </c>
      <c r="F2474" s="1082" t="s">
        <v>566</v>
      </c>
      <c r="G2474" s="960"/>
      <c r="H2474" s="1082" t="s">
        <v>424</v>
      </c>
      <c r="I2474" s="371">
        <v>9500</v>
      </c>
      <c r="J2474" s="377">
        <v>18500</v>
      </c>
      <c r="K2474" s="371"/>
      <c r="L2474" s="377"/>
      <c r="M2474" s="933">
        <f t="shared" si="811"/>
        <v>175750000</v>
      </c>
      <c r="N2474" s="934" t="s">
        <v>272</v>
      </c>
      <c r="O2474" s="934" t="s">
        <v>264</v>
      </c>
      <c r="P2474" s="75" t="str">
        <f>IF(AND('331-CT'!$E$7=TH!H2474,OR(N2474="331",O2474="331")),"x","")</f>
        <v/>
      </c>
      <c r="Q2474" s="75" t="str">
        <f>IF(AND(B2474='111'!$L$11,OR($N2474=$Q$7,$O2474=$Q$7)),"x","")</f>
        <v/>
      </c>
      <c r="R2474" s="75" t="str">
        <f>IF(AND($N2474=$Q$7,$B2474&lt;'111'!$L$11),"x","")</f>
        <v/>
      </c>
      <c r="S2474" s="75" t="str">
        <f>IF(AND($O2474=$Q$7,$B2474&lt;'111'!$L$11),"x","")</f>
        <v/>
      </c>
      <c r="T2474" s="75" t="str">
        <f>IF(ISERROR(FIND('112'!$M$9,G2474,1)),"",IF((AND(FIND('112'!$M$9,G2474,1)&gt;=1,B2474='112'!$K$9,OR($N2474='112'!$I$6,$O2474='112'!$I$6))),"x",""))</f>
        <v/>
      </c>
      <c r="U2474" s="75" t="str">
        <f>IF(ISERROR(FIND('112'!$M$9,G2474,1)),"",IF((AND(LEFT(G2474,2)=LEFT('112'!$M$9,2),B2474&lt;'112'!$K$9,$N2474='112'!$I$6)),"x",""))</f>
        <v/>
      </c>
      <c r="V2474" s="75" t="str">
        <f>IF(ISERROR(FIND('112'!$M$9,G2474,1)),"",IF((AND(RIGHT(G2474,2)=RIGHT('112'!$M$9,2),B2474&lt;'112'!$K$9,$O2474='112'!$I$6)),"x",""))</f>
        <v/>
      </c>
      <c r="W2474" s="75" t="str">
        <f>IF(AND('341-CT'!$H$9=H2474,OR(LEFT(N2474,3)=$W$7,LEFT(O2474,3)=$W$7)),"x","")</f>
        <v/>
      </c>
      <c r="X2474" s="75" t="str">
        <f>IF(OR(TH!N2474=TH!$X$7,O2474=TH!$X$7),"x","")</f>
        <v/>
      </c>
      <c r="Y2474" s="75" t="str">
        <f>IF(AND(OR(N2474="131",O2474="131"),H2474='131-CT'!$H$9),"x","")</f>
        <v/>
      </c>
      <c r="Z2474" s="75"/>
      <c r="AA2474" s="75" t="str">
        <f>IF(AND(MONTH(E2474)='IN-NX'!$J$5,'IN-NX'!$D$7=D2474),"x","")</f>
        <v/>
      </c>
      <c r="AB2474" s="75" t="str">
        <f>IF(AND(OR(LEFT(TH!N2474,2)="15",LEFT(TH!O2474,2)="15"),LEFT(TH!O2474,3)&lt;&gt;"111",'152-CT'!$J$8=TH!F2474),"x","")</f>
        <v/>
      </c>
      <c r="AC2474" s="75" t="str">
        <f>IF(AND(OR(LEFT(TH!N2474,2)="15",LEFT(TH!O2474,2)="15"),TK!$E$7=TH!F2474),"x","")</f>
        <v/>
      </c>
      <c r="AD2474" s="75" t="str">
        <f>IF(AND(N2474="1521",MONTH(C2474)='BK-NL'!$M$11),"x","")</f>
        <v/>
      </c>
    </row>
    <row r="2475" spans="1:30" ht="16.5" customHeight="1">
      <c r="A2475" s="309" t="str">
        <f>IF(B2475&lt;&gt;"",IF(AND(B2475='IN-TC'!$S$4,OR(TH!N2475="1111",TH!O2475="1111")),TH!D2475,""),"")</f>
        <v/>
      </c>
      <c r="B2475" s="1159">
        <f t="shared" ref="B2475" si="830">IF(C2475&lt;&gt;"",MONTH(C2475),"")</f>
        <v>12</v>
      </c>
      <c r="C2475" s="929">
        <f t="shared" ref="C2475" si="831">E2475</f>
        <v>43100</v>
      </c>
      <c r="D2475" s="929" t="s">
        <v>2956</v>
      </c>
      <c r="E2475" s="929">
        <v>43100</v>
      </c>
      <c r="F2475" s="1082" t="s">
        <v>566</v>
      </c>
      <c r="G2475" s="960"/>
      <c r="H2475" s="1082" t="s">
        <v>424</v>
      </c>
      <c r="I2475" s="371">
        <v>69000</v>
      </c>
      <c r="J2475" s="377">
        <v>18200</v>
      </c>
      <c r="K2475" s="371"/>
      <c r="L2475" s="377"/>
      <c r="M2475" s="933">
        <f t="shared" ref="M2475" si="832">ROUND(I2475*J2475,0)</f>
        <v>1255800000</v>
      </c>
      <c r="N2475" s="934" t="s">
        <v>272</v>
      </c>
      <c r="O2475" s="934" t="s">
        <v>264</v>
      </c>
      <c r="P2475" s="75" t="str">
        <f>IF(AND('331-CT'!$E$7=TH!H2475,OR(N2475="331",O2475="331")),"x","")</f>
        <v/>
      </c>
      <c r="Q2475" s="75" t="str">
        <f>IF(AND(B2475='111'!$L$11,OR($N2475=$Q$7,$O2475=$Q$7)),"x","")</f>
        <v/>
      </c>
      <c r="R2475" s="75" t="str">
        <f>IF(AND($N2475=$Q$7,$B2475&lt;'111'!$L$11),"x","")</f>
        <v/>
      </c>
      <c r="S2475" s="75" t="str">
        <f>IF(AND($O2475=$Q$7,$B2475&lt;'111'!$L$11),"x","")</f>
        <v/>
      </c>
      <c r="T2475" s="75" t="str">
        <f>IF(ISERROR(FIND('112'!$M$9,G2475,1)),"",IF((AND(FIND('112'!$M$9,G2475,1)&gt;=1,B2475='112'!$K$9,OR($N2475='112'!$I$6,$O2475='112'!$I$6))),"x",""))</f>
        <v/>
      </c>
      <c r="U2475" s="75" t="str">
        <f>IF(ISERROR(FIND('112'!$M$9,G2475,1)),"",IF((AND(LEFT(G2475,2)=LEFT('112'!$M$9,2),B2475&lt;'112'!$K$9,$N2475='112'!$I$6)),"x",""))</f>
        <v/>
      </c>
      <c r="V2475" s="75" t="str">
        <f>IF(ISERROR(FIND('112'!$M$9,G2475,1)),"",IF((AND(RIGHT(G2475,2)=RIGHT('112'!$M$9,2),B2475&lt;'112'!$K$9,$O2475='112'!$I$6)),"x",""))</f>
        <v/>
      </c>
      <c r="W2475" s="75" t="str">
        <f>IF(AND('341-CT'!$H$9=H2475,OR(LEFT(N2475,3)=$W$7,LEFT(O2475,3)=$W$7)),"x","")</f>
        <v/>
      </c>
      <c r="X2475" s="75" t="str">
        <f>IF(OR(TH!N2475=TH!$X$7,O2475=TH!$X$7),"x","")</f>
        <v/>
      </c>
      <c r="Y2475" s="75" t="str">
        <f>IF(AND(OR(N2475="131",O2475="131"),H2475='131-CT'!$H$9),"x","")</f>
        <v/>
      </c>
      <c r="Z2475" s="75"/>
      <c r="AA2475" s="75" t="str">
        <f>IF(AND(MONTH(E2475)='IN-NX'!$J$5,'IN-NX'!$D$7=D2475),"x","")</f>
        <v/>
      </c>
      <c r="AB2475" s="75" t="str">
        <f>IF(AND(OR(LEFT(TH!N2475,2)="15",LEFT(TH!O2475,2)="15"),LEFT(TH!O2475,3)&lt;&gt;"111",'152-CT'!$J$8=TH!F2475),"x","")</f>
        <v/>
      </c>
      <c r="AC2475" s="75" t="str">
        <f>IF(AND(OR(LEFT(TH!N2475,2)="15",LEFT(TH!O2475,2)="15"),TK!$E$7=TH!F2475),"x","")</f>
        <v/>
      </c>
      <c r="AD2475" s="75" t="str">
        <f>IF(AND(N2475="1521",MONTH(C2475)='BK-NL'!$M$11),"x","")</f>
        <v/>
      </c>
    </row>
    <row r="2476" spans="1:30" ht="16.5" customHeight="1">
      <c r="A2476" s="309" t="str">
        <f>IF(B2476&lt;&gt;"",IF(AND(B2476='IN-TC'!$S$4,OR(TH!N2476="1111",TH!O2476="1111")),TH!D2476,""),"")</f>
        <v/>
      </c>
      <c r="B2476" s="1159">
        <f t="shared" ref="B2476:B2478" si="833">IF(C2476&lt;&gt;"",MONTH(C2476),"")</f>
        <v>12</v>
      </c>
      <c r="C2476" s="929">
        <f t="shared" ref="C2476:C2478" si="834">E2476</f>
        <v>43100</v>
      </c>
      <c r="D2476" s="929" t="s">
        <v>2956</v>
      </c>
      <c r="E2476" s="929">
        <v>43100</v>
      </c>
      <c r="F2476" s="1082" t="s">
        <v>2999</v>
      </c>
      <c r="G2476" s="1031"/>
      <c r="H2476" s="1082" t="s">
        <v>424</v>
      </c>
      <c r="I2476" s="371">
        <v>1680</v>
      </c>
      <c r="J2476" s="377">
        <v>40000</v>
      </c>
      <c r="K2476" s="371"/>
      <c r="L2476" s="377"/>
      <c r="M2476" s="933">
        <f t="shared" ref="M2476:M2478" si="835">ROUND(I2476*J2476,0)</f>
        <v>67200000</v>
      </c>
      <c r="N2476" s="934" t="s">
        <v>272</v>
      </c>
      <c r="O2476" s="934" t="s">
        <v>264</v>
      </c>
      <c r="P2476" s="75" t="str">
        <f>IF(AND('331-CT'!$E$7=TH!H2476,OR(N2476="331",O2476="331")),"x","")</f>
        <v/>
      </c>
      <c r="Q2476" s="75" t="str">
        <f>IF(AND(B2476='111'!$L$11,OR($N2476=$Q$7,$O2476=$Q$7)),"x","")</f>
        <v/>
      </c>
      <c r="R2476" s="75" t="str">
        <f>IF(AND($N2476=$Q$7,$B2476&lt;'111'!$L$11),"x","")</f>
        <v/>
      </c>
      <c r="S2476" s="75" t="str">
        <f>IF(AND($O2476=$Q$7,$B2476&lt;'111'!$L$11),"x","")</f>
        <v/>
      </c>
      <c r="T2476" s="75" t="str">
        <f>IF(ISERROR(FIND('112'!$M$9,G2476,1)),"",IF((AND(FIND('112'!$M$9,G2476,1)&gt;=1,B2476='112'!$K$9,OR($N2476='112'!$I$6,$O2476='112'!$I$6))),"x",""))</f>
        <v/>
      </c>
      <c r="U2476" s="75" t="str">
        <f>IF(ISERROR(FIND('112'!$M$9,G2476,1)),"",IF((AND(LEFT(G2476,2)=LEFT('112'!$M$9,2),B2476&lt;'112'!$K$9,$N2476='112'!$I$6)),"x",""))</f>
        <v/>
      </c>
      <c r="V2476" s="75" t="str">
        <f>IF(ISERROR(FIND('112'!$M$9,G2476,1)),"",IF((AND(RIGHT(G2476,2)=RIGHT('112'!$M$9,2),B2476&lt;'112'!$K$9,$O2476='112'!$I$6)),"x",""))</f>
        <v/>
      </c>
      <c r="W2476" s="75" t="str">
        <f>IF(AND('341-CT'!$H$9=H2476,OR(LEFT(N2476,3)=$W$7,LEFT(O2476,3)=$W$7)),"x","")</f>
        <v/>
      </c>
      <c r="X2476" s="75" t="str">
        <f>IF(OR(TH!N2476=TH!$X$7,O2476=TH!$X$7),"x","")</f>
        <v/>
      </c>
      <c r="Y2476" s="75" t="str">
        <f>IF(AND(OR(N2476="131",O2476="131"),H2476='131-CT'!$H$9),"x","")</f>
        <v/>
      </c>
      <c r="Z2476" s="75"/>
      <c r="AA2476" s="75" t="str">
        <f>IF(AND(MONTH(E2476)='IN-NX'!$J$5,'IN-NX'!$D$7=D2476),"x","")</f>
        <v/>
      </c>
      <c r="AB2476" s="75" t="str">
        <f>IF(AND(OR(LEFT(TH!N2476,2)="15",LEFT(TH!O2476,2)="15"),LEFT(TH!O2476,3)&lt;&gt;"111",'152-CT'!$J$8=TH!F2476),"x","")</f>
        <v/>
      </c>
      <c r="AC2476" s="75" t="str">
        <f>IF(AND(OR(LEFT(TH!N2476,2)="15",LEFT(TH!O2476,2)="15"),TK!$E$7=TH!F2476),"x","")</f>
        <v/>
      </c>
      <c r="AD2476" s="75" t="str">
        <f>IF(AND(N2476="1521",MONTH(C2476)='BK-NL'!$M$11),"x","")</f>
        <v/>
      </c>
    </row>
    <row r="2477" spans="1:30" ht="16.5" customHeight="1">
      <c r="A2477" s="309" t="str">
        <f>IF(B2477&lt;&gt;"",IF(AND(B2477='IN-TC'!$S$4,OR(TH!N2477="1111",TH!O2477="1111")),TH!D2477,""),"")</f>
        <v/>
      </c>
      <c r="B2477" s="1159">
        <f>IF(C2477&lt;&gt;"",MONTH(C2477),"")</f>
        <v>12</v>
      </c>
      <c r="C2477" s="929">
        <f>E2477</f>
        <v>43100</v>
      </c>
      <c r="D2477" s="929" t="s">
        <v>2956</v>
      </c>
      <c r="E2477" s="929">
        <v>43100</v>
      </c>
      <c r="F2477" s="1082" t="s">
        <v>790</v>
      </c>
      <c r="G2477" s="960"/>
      <c r="H2477" s="1082" t="s">
        <v>424</v>
      </c>
      <c r="I2477" s="371">
        <v>600</v>
      </c>
      <c r="J2477" s="377">
        <v>28500</v>
      </c>
      <c r="K2477" s="371"/>
      <c r="L2477" s="377"/>
      <c r="M2477" s="933">
        <f>ROUND(I2477*J2477,0)</f>
        <v>17100000</v>
      </c>
      <c r="N2477" s="934" t="s">
        <v>272</v>
      </c>
      <c r="O2477" s="934" t="s">
        <v>264</v>
      </c>
      <c r="P2477" s="75" t="str">
        <f>IF(AND('331-CT'!$E$7=TH!H2477,OR(N2477="331",O2477="331")),"x","")</f>
        <v/>
      </c>
      <c r="Q2477" s="75" t="str">
        <f>IF(AND(B2477='111'!$L$11,OR($N2477=$Q$7,$O2477=$Q$7)),"x","")</f>
        <v/>
      </c>
      <c r="R2477" s="75" t="str">
        <f>IF(AND($N2477=$Q$7,$B2477&lt;'111'!$L$11),"x","")</f>
        <v/>
      </c>
      <c r="S2477" s="75" t="str">
        <f>IF(AND($O2477=$Q$7,$B2477&lt;'111'!$L$11),"x","")</f>
        <v/>
      </c>
      <c r="T2477" s="75" t="str">
        <f>IF(ISERROR(FIND('112'!$M$9,G2477,1)),"",IF((AND(FIND('112'!$M$9,G2477,1)&gt;=1,B2477='112'!$K$9,OR($N2477='112'!$I$6,$O2477='112'!$I$6))),"x",""))</f>
        <v/>
      </c>
      <c r="U2477" s="75" t="str">
        <f>IF(ISERROR(FIND('112'!$M$9,G2477,1)),"",IF((AND(LEFT(G2477,2)=LEFT('112'!$M$9,2),B2477&lt;'112'!$K$9,$N2477='112'!$I$6)),"x",""))</f>
        <v/>
      </c>
      <c r="V2477" s="75" t="str">
        <f>IF(ISERROR(FIND('112'!$M$9,G2477,1)),"",IF((AND(RIGHT(G2477,2)=RIGHT('112'!$M$9,2),B2477&lt;'112'!$K$9,$O2477='112'!$I$6)),"x",""))</f>
        <v/>
      </c>
      <c r="W2477" s="75" t="str">
        <f>IF(AND('341-CT'!$H$9=H2477,OR(LEFT(N2477,3)=$W$7,LEFT(O2477,3)=$W$7)),"x","")</f>
        <v/>
      </c>
      <c r="X2477" s="75" t="str">
        <f>IF(OR(TH!N2477=TH!$X$7,O2477=TH!$X$7),"x","")</f>
        <v/>
      </c>
      <c r="Y2477" s="75" t="str">
        <f>IF(AND(OR(N2477="131",O2477="131"),H2477='131-CT'!$H$9),"x","")</f>
        <v/>
      </c>
      <c r="Z2477" s="75"/>
      <c r="AA2477" s="75" t="str">
        <f>IF(AND(MONTH(E2477)='IN-NX'!$J$5,'IN-NX'!$D$7=D2477),"x","")</f>
        <v/>
      </c>
      <c r="AB2477" s="75" t="str">
        <f>IF(AND(OR(LEFT(TH!N2477,2)="15",LEFT(TH!O2477,2)="15"),LEFT(TH!O2477,3)&lt;&gt;"111",'152-CT'!$J$8=TH!F2477),"x","")</f>
        <v/>
      </c>
      <c r="AC2477" s="75" t="str">
        <f>IF(AND(OR(LEFT(TH!N2477,2)="15",LEFT(TH!O2477,2)="15"),TK!$E$7=TH!F2477),"x","")</f>
        <v/>
      </c>
      <c r="AD2477" s="75" t="str">
        <f>IF(AND(N2477="1521",MONTH(C2477)='BK-NL'!$M$11),"x","")</f>
        <v/>
      </c>
    </row>
    <row r="2478" spans="1:30" ht="16.5" customHeight="1">
      <c r="A2478" s="309" t="str">
        <f>IF(B2478&lt;&gt;"",IF(AND(B2478='IN-TC'!$S$4,OR(TH!N2478="1111",TH!O2478="1111")),TH!D2478,""),"")</f>
        <v/>
      </c>
      <c r="B2478" s="1159">
        <f t="shared" si="833"/>
        <v>12</v>
      </c>
      <c r="C2478" s="929">
        <f t="shared" si="834"/>
        <v>43100</v>
      </c>
      <c r="D2478" s="929" t="s">
        <v>2956</v>
      </c>
      <c r="E2478" s="929">
        <v>43100</v>
      </c>
      <c r="F2478" s="1082" t="s">
        <v>1910</v>
      </c>
      <c r="G2478" s="960"/>
      <c r="H2478" s="1082" t="s">
        <v>424</v>
      </c>
      <c r="I2478" s="371">
        <v>600</v>
      </c>
      <c r="J2478" s="377">
        <v>35000</v>
      </c>
      <c r="K2478" s="371"/>
      <c r="L2478" s="377"/>
      <c r="M2478" s="933">
        <f t="shared" si="835"/>
        <v>21000000</v>
      </c>
      <c r="N2478" s="934" t="s">
        <v>272</v>
      </c>
      <c r="O2478" s="934" t="s">
        <v>264</v>
      </c>
      <c r="P2478" s="75" t="str">
        <f>IF(AND('331-CT'!$E$7=TH!H2478,OR(N2478="331",O2478="331")),"x","")</f>
        <v/>
      </c>
      <c r="Q2478" s="75" t="str">
        <f>IF(AND(B2478='111'!$L$11,OR($N2478=$Q$7,$O2478=$Q$7)),"x","")</f>
        <v/>
      </c>
      <c r="R2478" s="75" t="str">
        <f>IF(AND($N2478=$Q$7,$B2478&lt;'111'!$L$11),"x","")</f>
        <v/>
      </c>
      <c r="S2478" s="75" t="str">
        <f>IF(AND($O2478=$Q$7,$B2478&lt;'111'!$L$11),"x","")</f>
        <v/>
      </c>
      <c r="T2478" s="75" t="str">
        <f>IF(ISERROR(FIND('112'!$M$9,G2478,1)),"",IF((AND(FIND('112'!$M$9,G2478,1)&gt;=1,B2478='112'!$K$9,OR($N2478='112'!$I$6,$O2478='112'!$I$6))),"x",""))</f>
        <v/>
      </c>
      <c r="U2478" s="75" t="str">
        <f>IF(ISERROR(FIND('112'!$M$9,G2478,1)),"",IF((AND(LEFT(G2478,2)=LEFT('112'!$M$9,2),B2478&lt;'112'!$K$9,$N2478='112'!$I$6)),"x",""))</f>
        <v/>
      </c>
      <c r="V2478" s="75" t="str">
        <f>IF(ISERROR(FIND('112'!$M$9,G2478,1)),"",IF((AND(RIGHT(G2478,2)=RIGHT('112'!$M$9,2),B2478&lt;'112'!$K$9,$O2478='112'!$I$6)),"x",""))</f>
        <v/>
      </c>
      <c r="W2478" s="75" t="str">
        <f>IF(AND('341-CT'!$H$9=H2478,OR(LEFT(N2478,3)=$W$7,LEFT(O2478,3)=$W$7)),"x","")</f>
        <v/>
      </c>
      <c r="X2478" s="75" t="str">
        <f>IF(OR(TH!N2478=TH!$X$7,O2478=TH!$X$7),"x","")</f>
        <v/>
      </c>
      <c r="Y2478" s="75" t="str">
        <f>IF(AND(OR(N2478="131",O2478="131"),H2478='131-CT'!$H$9),"x","")</f>
        <v/>
      </c>
      <c r="Z2478" s="75"/>
      <c r="AA2478" s="75" t="str">
        <f>IF(AND(MONTH(E2478)='IN-NX'!$J$5,'IN-NX'!$D$7=D2478),"x","")</f>
        <v/>
      </c>
      <c r="AB2478" s="75" t="str">
        <f>IF(AND(OR(LEFT(TH!N2478,2)="15",LEFT(TH!O2478,2)="15"),LEFT(TH!O2478,3)&lt;&gt;"111",'152-CT'!$J$8=TH!F2478),"x","")</f>
        <v/>
      </c>
      <c r="AC2478" s="75" t="str">
        <f>IF(AND(OR(LEFT(TH!N2478,2)="15",LEFT(TH!O2478,2)="15"),TK!$E$7=TH!F2478),"x","")</f>
        <v/>
      </c>
      <c r="AD2478" s="75" t="str">
        <f>IF(AND(N2478="1521",MONTH(C2478)='BK-NL'!$M$11),"x","")</f>
        <v/>
      </c>
    </row>
    <row r="2479" spans="1:30" ht="16.5" customHeight="1">
      <c r="A2479" s="309" t="str">
        <f>IF(B2479&lt;&gt;"",IF(AND(B2479='IN-TC'!$S$4,OR(TH!N2479="1111",TH!O2479="1111")),TH!D2479,""),"")</f>
        <v/>
      </c>
      <c r="B2479" s="1159">
        <f t="shared" si="799"/>
        <v>12</v>
      </c>
      <c r="C2479" s="929">
        <f t="shared" si="810"/>
        <v>43100</v>
      </c>
      <c r="D2479" s="929" t="s">
        <v>2956</v>
      </c>
      <c r="E2479" s="929">
        <v>43100</v>
      </c>
      <c r="F2479" s="1082" t="s">
        <v>764</v>
      </c>
      <c r="G2479" s="1031"/>
      <c r="H2479" s="1082" t="s">
        <v>424</v>
      </c>
      <c r="I2479" s="371">
        <f>104400+1044</f>
        <v>105444</v>
      </c>
      <c r="J2479" s="377">
        <v>18500</v>
      </c>
      <c r="K2479" s="371"/>
      <c r="L2479" s="377"/>
      <c r="M2479" s="933">
        <f t="shared" si="811"/>
        <v>1950714000</v>
      </c>
      <c r="N2479" s="934" t="s">
        <v>272</v>
      </c>
      <c r="O2479" s="934" t="s">
        <v>264</v>
      </c>
      <c r="P2479" s="75" t="str">
        <f>IF(AND('331-CT'!$E$7=TH!H2479,OR(N2479="331",O2479="331")),"x","")</f>
        <v/>
      </c>
      <c r="Q2479" s="75" t="str">
        <f>IF(AND(B2479='111'!$L$11,OR($N2479=$Q$7,$O2479=$Q$7)),"x","")</f>
        <v/>
      </c>
      <c r="R2479" s="75" t="str">
        <f>IF(AND($N2479=$Q$7,$B2479&lt;'111'!$L$11),"x","")</f>
        <v/>
      </c>
      <c r="S2479" s="75" t="str">
        <f>IF(AND($O2479=$Q$7,$B2479&lt;'111'!$L$11),"x","")</f>
        <v/>
      </c>
      <c r="T2479" s="75" t="str">
        <f>IF(ISERROR(FIND('112'!$M$9,G2479,1)),"",IF((AND(FIND('112'!$M$9,G2479,1)&gt;=1,B2479='112'!$K$9,OR($N2479='112'!$I$6,$O2479='112'!$I$6))),"x",""))</f>
        <v/>
      </c>
      <c r="U2479" s="75" t="str">
        <f>IF(ISERROR(FIND('112'!$M$9,G2479,1)),"",IF((AND(LEFT(G2479,2)=LEFT('112'!$M$9,2),B2479&lt;'112'!$K$9,$N2479='112'!$I$6)),"x",""))</f>
        <v/>
      </c>
      <c r="V2479" s="75" t="str">
        <f>IF(ISERROR(FIND('112'!$M$9,G2479,1)),"",IF((AND(RIGHT(G2479,2)=RIGHT('112'!$M$9,2),B2479&lt;'112'!$K$9,$O2479='112'!$I$6)),"x",""))</f>
        <v/>
      </c>
      <c r="W2479" s="75" t="str">
        <f>IF(AND('341-CT'!$H$9=H2479,OR(LEFT(N2479,3)=$W$7,LEFT(O2479,3)=$W$7)),"x","")</f>
        <v/>
      </c>
      <c r="X2479" s="75" t="str">
        <f>IF(OR(TH!N2479=TH!$X$7,O2479=TH!$X$7),"x","")</f>
        <v/>
      </c>
      <c r="Y2479" s="75" t="str">
        <f>IF(AND(OR(N2479="131",O2479="131"),H2479='131-CT'!$H$9),"x","")</f>
        <v/>
      </c>
      <c r="Z2479" s="75"/>
      <c r="AA2479" s="75" t="str">
        <f>IF(AND(MONTH(E2479)='IN-NX'!$J$5,'IN-NX'!$D$7=D2479),"x","")</f>
        <v/>
      </c>
      <c r="AB2479" s="75" t="str">
        <f>IF(AND(OR(LEFT(TH!N2479,2)="15",LEFT(TH!O2479,2)="15"),LEFT(TH!O2479,3)&lt;&gt;"111",'152-CT'!$J$8=TH!F2479),"x","")</f>
        <v/>
      </c>
      <c r="AC2479" s="75" t="str">
        <f>IF(AND(OR(LEFT(TH!N2479,2)="15",LEFT(TH!O2479,2)="15"),TK!$E$7=TH!F2479),"x","")</f>
        <v/>
      </c>
      <c r="AD2479" s="75" t="str">
        <f>IF(AND(N2479="1521",MONTH(C2479)='BK-NL'!$M$11),"x","")</f>
        <v/>
      </c>
    </row>
    <row r="2480" spans="1:30" ht="16.5" customHeight="1">
      <c r="A2480" s="309" t="str">
        <f>IF(B2480&lt;&gt;"",IF(AND(B2480='IN-TC'!$S$4,OR(TH!N2480="1111",TH!O2480="1111")),TH!D2480,""),"")</f>
        <v/>
      </c>
      <c r="B2480" s="1159">
        <f t="shared" si="799"/>
        <v>12</v>
      </c>
      <c r="C2480" s="929">
        <f t="shared" si="810"/>
        <v>43100</v>
      </c>
      <c r="D2480" s="929" t="s">
        <v>2956</v>
      </c>
      <c r="E2480" s="929">
        <v>43100</v>
      </c>
      <c r="F2480" s="1082" t="s">
        <v>790</v>
      </c>
      <c r="G2480" s="960"/>
      <c r="H2480" s="1082" t="s">
        <v>424</v>
      </c>
      <c r="I2480" s="371">
        <v>15552</v>
      </c>
      <c r="J2480" s="377">
        <v>22000</v>
      </c>
      <c r="K2480" s="371"/>
      <c r="L2480" s="377"/>
      <c r="M2480" s="933">
        <f t="shared" si="811"/>
        <v>342144000</v>
      </c>
      <c r="N2480" s="934" t="s">
        <v>272</v>
      </c>
      <c r="O2480" s="934" t="s">
        <v>264</v>
      </c>
      <c r="P2480" s="75" t="str">
        <f>IF(AND('331-CT'!$E$7=TH!H2480,OR(N2480="331",O2480="331")),"x","")</f>
        <v/>
      </c>
      <c r="Q2480" s="75" t="str">
        <f>IF(AND(B2480='111'!$L$11,OR($N2480=$Q$7,$O2480=$Q$7)),"x","")</f>
        <v/>
      </c>
      <c r="R2480" s="75" t="str">
        <f>IF(AND($N2480=$Q$7,$B2480&lt;'111'!$L$11),"x","")</f>
        <v/>
      </c>
      <c r="S2480" s="75" t="str">
        <f>IF(AND($O2480=$Q$7,$B2480&lt;'111'!$L$11),"x","")</f>
        <v/>
      </c>
      <c r="T2480" s="75" t="str">
        <f>IF(ISERROR(FIND('112'!$M$9,G2480,1)),"",IF((AND(FIND('112'!$M$9,G2480,1)&gt;=1,B2480='112'!$K$9,OR($N2480='112'!$I$6,$O2480='112'!$I$6))),"x",""))</f>
        <v/>
      </c>
      <c r="U2480" s="75" t="str">
        <f>IF(ISERROR(FIND('112'!$M$9,G2480,1)),"",IF((AND(LEFT(G2480,2)=LEFT('112'!$M$9,2),B2480&lt;'112'!$K$9,$N2480='112'!$I$6)),"x",""))</f>
        <v/>
      </c>
      <c r="V2480" s="75" t="str">
        <f>IF(ISERROR(FIND('112'!$M$9,G2480,1)),"",IF((AND(RIGHT(G2480,2)=RIGHT('112'!$M$9,2),B2480&lt;'112'!$K$9,$O2480='112'!$I$6)),"x",""))</f>
        <v/>
      </c>
      <c r="W2480" s="75" t="str">
        <f>IF(AND('341-CT'!$H$9=H2480,OR(LEFT(N2480,3)=$W$7,LEFT(O2480,3)=$W$7)),"x","")</f>
        <v/>
      </c>
      <c r="X2480" s="75" t="str">
        <f>IF(OR(TH!N2480=TH!$X$7,O2480=TH!$X$7),"x","")</f>
        <v/>
      </c>
      <c r="Y2480" s="75" t="str">
        <f>IF(AND(OR(N2480="131",O2480="131"),H2480='131-CT'!$H$9),"x","")</f>
        <v/>
      </c>
      <c r="Z2480" s="75"/>
      <c r="AA2480" s="75" t="str">
        <f>IF(AND(MONTH(E2480)='IN-NX'!$J$5,'IN-NX'!$D$7=D2480),"x","")</f>
        <v/>
      </c>
      <c r="AB2480" s="75" t="str">
        <f>IF(AND(OR(LEFT(TH!N2480,2)="15",LEFT(TH!O2480,2)="15"),LEFT(TH!O2480,3)&lt;&gt;"111",'152-CT'!$J$8=TH!F2480),"x","")</f>
        <v/>
      </c>
      <c r="AC2480" s="75" t="str">
        <f>IF(AND(OR(LEFT(TH!N2480,2)="15",LEFT(TH!O2480,2)="15"),TK!$E$7=TH!F2480),"x","")</f>
        <v/>
      </c>
      <c r="AD2480" s="75" t="str">
        <f>IF(AND(N2480="1521",MONTH(C2480)='BK-NL'!$M$11),"x","")</f>
        <v/>
      </c>
    </row>
    <row r="2481" spans="1:30" s="1054" customFormat="1" ht="16.5" customHeight="1">
      <c r="A2481" s="309" t="str">
        <f>IF(B2481&lt;&gt;"",IF(AND(B2481='IN-TC'!$S$4,OR(TH!N2481="1111",TH!O2481="1111")),TH!D2481,""),"")</f>
        <v/>
      </c>
      <c r="B2481" s="1317">
        <f>IF(C2481&lt;&gt;"",MONTH(C2481),"")</f>
        <v>5</v>
      </c>
      <c r="C2481" s="951">
        <v>42874</v>
      </c>
      <c r="D2481" s="951" t="s">
        <v>902</v>
      </c>
      <c r="E2481" s="951">
        <f>C2481</f>
        <v>42874</v>
      </c>
      <c r="F2481" s="1318" t="s">
        <v>1307</v>
      </c>
      <c r="G2481" s="1318" t="s">
        <v>586</v>
      </c>
      <c r="H2481" s="80" t="s">
        <v>982</v>
      </c>
      <c r="I2481" s="1319"/>
      <c r="J2481" s="1320"/>
      <c r="K2481" s="1319">
        <v>2.2000000000000002</v>
      </c>
      <c r="L2481" s="1320">
        <v>22700</v>
      </c>
      <c r="M2481" s="1321">
        <f>ROUND(K2481*L2481,0)</f>
        <v>49940</v>
      </c>
      <c r="N2481" s="1295" t="s">
        <v>101</v>
      </c>
      <c r="O2481" s="950" t="s">
        <v>256</v>
      </c>
      <c r="P2481" s="1295" t="str">
        <f>IF(AND('331-CT'!$E$7=TH!H2481,OR(N2481="331",O2481="331")),"x","")</f>
        <v/>
      </c>
      <c r="Q2481" s="1295" t="str">
        <f>IF(AND(B2481='111'!$L$11,OR($N2481=$Q$7,$O2481=$Q$7)),"x","")</f>
        <v/>
      </c>
      <c r="R2481" s="1295" t="str">
        <f>IF(AND($N2481=$Q$7,$B2481&lt;'111'!$L$11),"x","")</f>
        <v/>
      </c>
      <c r="S2481" s="1295" t="str">
        <f>IF(AND($O2481=$Q$7,$B2481&lt;'111'!$L$11),"x","")</f>
        <v/>
      </c>
      <c r="T2481" s="1295" t="str">
        <f>IF(ISERROR(FIND('112'!$M$9,G2481,1)),"",IF((AND(FIND('112'!$M$9,G2481,1)&gt;=1,B2481='112'!$K$9,OR($N2481='112'!$I$6,$O2481='112'!$I$6))),"x",""))</f>
        <v/>
      </c>
      <c r="U2481" s="1295" t="str">
        <f>IF(ISERROR(FIND('112'!$M$9,G2481,1)),"",IF((AND(LEFT(G2481,2)=LEFT('112'!$M$9,2),B2481&lt;'112'!$K$9,$N2481='112'!$I$6)),"x",""))</f>
        <v/>
      </c>
      <c r="V2481" s="1295" t="str">
        <f>IF(ISERROR(FIND('112'!$M$9,G2481,1)),"",IF((AND(RIGHT(G2481,2)=RIGHT('112'!$M$9,2),B2481&lt;'112'!$K$9,$O2481='112'!$I$6)),"x",""))</f>
        <v/>
      </c>
      <c r="W2481" s="1295" t="str">
        <f>IF(AND('341-CT'!$H$9=H2481,OR(LEFT(N2481,3)=$W$7,LEFT(O2481,3)=$W$7)),"x","")</f>
        <v/>
      </c>
      <c r="X2481" s="1295" t="str">
        <f>IF(OR(TH!N2481=TH!$X$7,O2481=TH!$X$7),"x","")</f>
        <v/>
      </c>
      <c r="Y2481" s="1295" t="str">
        <f>IF(AND(OR(N2481="131",O2481="131"),H2481='131-CT'!$H$9),"x","")</f>
        <v/>
      </c>
      <c r="Z2481" s="1295"/>
      <c r="AA2481" s="1295" t="str">
        <f>IF(AND(MONTH(E2481)='IN-NX'!$J$5,'IN-NX'!$D$7=D2481),"x","")</f>
        <v/>
      </c>
      <c r="AB2481" s="1295" t="str">
        <f>IF(AND(OR(LEFT(TH!N2481,2)="15",LEFT(TH!O2481,2)="15"),LEFT(TH!O2481,3)&lt;&gt;"111",'152-CT'!$J$8=TH!F2481),"x","")</f>
        <v/>
      </c>
      <c r="AC2481" s="1295" t="str">
        <f>IF(AND(OR(LEFT(TH!N2481,2)="15",LEFT(TH!O2481,2)="15"),TK!$E$7=TH!F2481),"x","")</f>
        <v/>
      </c>
      <c r="AD2481" s="1295" t="str">
        <f>IF(AND(N2481="1521",MONTH(C2481)='BK-NL'!$M$11),"x","")</f>
        <v/>
      </c>
    </row>
    <row r="2482" spans="1:30" s="1264" customFormat="1" ht="16.5" customHeight="1">
      <c r="A2482" s="309" t="str">
        <f>IF(B2482&lt;&gt;"",IF(AND(B2482='IN-TC'!$S$4,OR(TH!N2482="1111",TH!O2482="1111")),TH!D2482,""),"")</f>
        <v/>
      </c>
      <c r="B2482" s="1315">
        <f>IF(C2482&lt;&gt;"",MONTH(C2482),"")</f>
        <v>6</v>
      </c>
      <c r="C2482" s="71">
        <v>42905</v>
      </c>
      <c r="D2482" s="71" t="s">
        <v>902</v>
      </c>
      <c r="E2482" s="71">
        <f>C2482</f>
        <v>42905</v>
      </c>
      <c r="F2482" s="72" t="s">
        <v>1307</v>
      </c>
      <c r="G2482" s="72" t="s">
        <v>586</v>
      </c>
      <c r="H2482" s="73" t="s">
        <v>982</v>
      </c>
      <c r="I2482" s="1213"/>
      <c r="J2482" s="1214"/>
      <c r="K2482" s="1213">
        <v>2.2000000000000002</v>
      </c>
      <c r="L2482" s="1214">
        <v>22700</v>
      </c>
      <c r="M2482" s="74">
        <f t="shared" ref="M2482:M2483" si="836">ROUND(K2482*L2482,0)</f>
        <v>49940</v>
      </c>
      <c r="N2482" s="75" t="s">
        <v>101</v>
      </c>
      <c r="O2482" s="934" t="s">
        <v>256</v>
      </c>
      <c r="P2482" s="75" t="str">
        <f>IF(AND('331-CT'!$E$7=TH!H2482,OR(N2482="331",O2482="331")),"x","")</f>
        <v/>
      </c>
      <c r="Q2482" s="75" t="str">
        <f>IF(AND(B2482='111'!$L$11,OR($N2482=$Q$7,$O2482=$Q$7)),"x","")</f>
        <v/>
      </c>
      <c r="R2482" s="75" t="str">
        <f>IF(AND($N2482=$Q$7,$B2482&lt;'111'!$L$11),"x","")</f>
        <v/>
      </c>
      <c r="S2482" s="75" t="str">
        <f>IF(AND($O2482=$Q$7,$B2482&lt;'111'!$L$11),"x","")</f>
        <v/>
      </c>
      <c r="T2482" s="75" t="str">
        <f>IF(ISERROR(FIND('112'!$M$9,G2482,1)),"",IF((AND(FIND('112'!$M$9,G2482,1)&gt;=1,B2482='112'!$K$9,OR($N2482='112'!$I$6,$O2482='112'!$I$6))),"x",""))</f>
        <v/>
      </c>
      <c r="U2482" s="75" t="str">
        <f>IF(ISERROR(FIND('112'!$M$9,G2482,1)),"",IF((AND(LEFT(G2482,2)=LEFT('112'!$M$9,2),B2482&lt;'112'!$K$9,$N2482='112'!$I$6)),"x",""))</f>
        <v/>
      </c>
      <c r="V2482" s="75" t="str">
        <f>IF(ISERROR(FIND('112'!$M$9,G2482,1)),"",IF((AND(RIGHT(G2482,2)=RIGHT('112'!$M$9,2),B2482&lt;'112'!$K$9,$O2482='112'!$I$6)),"x",""))</f>
        <v/>
      </c>
      <c r="W2482" s="75" t="str">
        <f>IF(AND('341-CT'!$H$9=H2482,OR(LEFT(N2482,3)=$W$7,LEFT(O2482,3)=$W$7)),"x","")</f>
        <v/>
      </c>
      <c r="X2482" s="75" t="str">
        <f>IF(OR(TH!N2482=TH!$X$7,O2482=TH!$X$7),"x","")</f>
        <v/>
      </c>
      <c r="Y2482" s="75" t="str">
        <f>IF(AND(OR(N2482="131",O2482="131"),H2482='131-CT'!$H$9),"x","")</f>
        <v/>
      </c>
      <c r="Z2482" s="75"/>
      <c r="AA2482" s="75" t="str">
        <f>IF(AND(MONTH(E2482)='IN-NX'!$J$5,'IN-NX'!$D$7=D2482),"x","")</f>
        <v/>
      </c>
      <c r="AB2482" s="75" t="str">
        <f>IF(AND(OR(LEFT(TH!N2482,2)="15",LEFT(TH!O2482,2)="15"),LEFT(TH!O2482,3)&lt;&gt;"111",'152-CT'!$J$8=TH!F2482),"x","")</f>
        <v/>
      </c>
      <c r="AC2482" s="75" t="str">
        <f>IF(AND(OR(LEFT(TH!N2482,2)="15",LEFT(TH!O2482,2)="15"),TK!$E$7=TH!F2482),"x","")</f>
        <v/>
      </c>
      <c r="AD2482" s="75" t="str">
        <f>IF(AND(N2482="1521",MONTH(C2482)='BK-NL'!$M$11),"x","")</f>
        <v/>
      </c>
    </row>
    <row r="2483" spans="1:30" s="1264" customFormat="1" ht="16.5" customHeight="1">
      <c r="A2483" s="309" t="str">
        <f>IF(B2483&lt;&gt;"",IF(AND(B2483='IN-TC'!$S$4,OR(TH!N2483="1111",TH!O2483="1111")),TH!D2483,""),"")</f>
        <v/>
      </c>
      <c r="B2483" s="1279">
        <f>IF(C2483&lt;&gt;"",MONTH(C2483),"")</f>
        <v>8</v>
      </c>
      <c r="C2483" s="71">
        <v>42971</v>
      </c>
      <c r="D2483" s="71" t="s">
        <v>902</v>
      </c>
      <c r="E2483" s="71">
        <f>C2483</f>
        <v>42971</v>
      </c>
      <c r="F2483" s="72" t="s">
        <v>1307</v>
      </c>
      <c r="G2483" s="72" t="s">
        <v>586</v>
      </c>
      <c r="H2483" s="73" t="s">
        <v>982</v>
      </c>
      <c r="I2483" s="371"/>
      <c r="J2483" s="378"/>
      <c r="K2483" s="371">
        <v>2.2000000000000002</v>
      </c>
      <c r="L2483" s="377">
        <v>22700</v>
      </c>
      <c r="M2483" s="74">
        <f t="shared" si="836"/>
        <v>49940</v>
      </c>
      <c r="N2483" s="75" t="s">
        <v>101</v>
      </c>
      <c r="O2483" s="934" t="s">
        <v>256</v>
      </c>
      <c r="P2483" s="75" t="str">
        <f>IF(AND('331-CT'!$E$7=TH!H2483,OR(N2483="331",O2483="331")),"x","")</f>
        <v/>
      </c>
      <c r="Q2483" s="75" t="str">
        <f>IF(AND(B2483='111'!$L$11,OR($N2483=$Q$7,$O2483=$Q$7)),"x","")</f>
        <v/>
      </c>
      <c r="R2483" s="75" t="str">
        <f>IF(AND($N2483=$Q$7,$B2483&lt;'111'!$L$11),"x","")</f>
        <v/>
      </c>
      <c r="S2483" s="75" t="str">
        <f>IF(AND($O2483=$Q$7,$B2483&lt;'111'!$L$11),"x","")</f>
        <v/>
      </c>
      <c r="T2483" s="75" t="str">
        <f>IF(ISERROR(FIND('112'!$M$9,G2483,1)),"",IF((AND(FIND('112'!$M$9,G2483,1)&gt;=1,B2483='112'!$K$9,OR($N2483='112'!$I$6,$O2483='112'!$I$6))),"x",""))</f>
        <v/>
      </c>
      <c r="U2483" s="75" t="str">
        <f>IF(ISERROR(FIND('112'!$M$9,G2483,1)),"",IF((AND(LEFT(G2483,2)=LEFT('112'!$M$9,2),B2483&lt;'112'!$K$9,$N2483='112'!$I$6)),"x",""))</f>
        <v/>
      </c>
      <c r="V2483" s="75" t="str">
        <f>IF(ISERROR(FIND('112'!$M$9,G2483,1)),"",IF((AND(RIGHT(G2483,2)=RIGHT('112'!$M$9,2),B2483&lt;'112'!$K$9,$O2483='112'!$I$6)),"x",""))</f>
        <v/>
      </c>
      <c r="W2483" s="75" t="str">
        <f>IF(AND('341-CT'!$H$9=H2483,OR(LEFT(N2483,3)=$W$7,LEFT(O2483,3)=$W$7)),"x","")</f>
        <v/>
      </c>
      <c r="X2483" s="75" t="str">
        <f>IF(OR(TH!N2483=TH!$X$7,O2483=TH!$X$7),"x","")</f>
        <v/>
      </c>
      <c r="Y2483" s="75" t="str">
        <f>IF(AND(OR(N2483="131",O2483="131"),H2483='131-CT'!$H$9),"x","")</f>
        <v/>
      </c>
      <c r="Z2483" s="75"/>
      <c r="AA2483" s="75" t="str">
        <f>IF(AND(MONTH(E2483)='IN-NX'!$J$5,'IN-NX'!$D$7=D2483),"x","")</f>
        <v/>
      </c>
      <c r="AB2483" s="75" t="str">
        <f>IF(AND(OR(LEFT(TH!N2483,2)="15",LEFT(TH!O2483,2)="15"),LEFT(TH!O2483,3)&lt;&gt;"111",'152-CT'!$J$8=TH!F2483),"x","")</f>
        <v/>
      </c>
      <c r="AC2483" s="75" t="str">
        <f>IF(AND(OR(LEFT(TH!N2483,2)="15",LEFT(TH!O2483,2)="15"),TK!$E$7=TH!F2483),"x","")</f>
        <v/>
      </c>
      <c r="AD2483" s="75" t="str">
        <f>IF(AND(N2483="1521",MONTH(C2483)='BK-NL'!$M$11),"x","")</f>
        <v/>
      </c>
    </row>
    <row r="2484" spans="1:30" s="1264" customFormat="1" ht="16.5" customHeight="1">
      <c r="A2484" s="309" t="str">
        <f>IF(B2484&lt;&gt;"",IF(AND(B2484='IN-TC'!$S$4,OR(TH!N2484="1111",TH!O2484="1111")),TH!D2484,""),"")</f>
        <v/>
      </c>
      <c r="B2484" s="1315">
        <f>IF(C2484&lt;&gt;"",MONTH(C2484),"")</f>
        <v>6</v>
      </c>
      <c r="C2484" s="71">
        <v>42913</v>
      </c>
      <c r="D2484" s="71" t="s">
        <v>903</v>
      </c>
      <c r="E2484" s="71">
        <f t="shared" ref="E2484:E2520" si="837">C2484</f>
        <v>42913</v>
      </c>
      <c r="F2484" s="1215" t="s">
        <v>918</v>
      </c>
      <c r="G2484" s="72" t="s">
        <v>1738</v>
      </c>
      <c r="H2484" s="73"/>
      <c r="I2484" s="1217"/>
      <c r="J2484" s="1218"/>
      <c r="K2484" s="1213">
        <v>100</v>
      </c>
      <c r="L2484" s="377">
        <v>22700</v>
      </c>
      <c r="M2484" s="1214">
        <f t="shared" ref="M2484:M2509" si="838">ROUND(K2484*L2484,0)</f>
        <v>2270000</v>
      </c>
      <c r="N2484" s="75" t="s">
        <v>256</v>
      </c>
      <c r="O2484" s="75" t="s">
        <v>256</v>
      </c>
      <c r="P2484" s="75" t="str">
        <f>IF(AND('331-CT'!$E$7=TH!H2484,OR(N2484="331",O2484="331")),"x","")</f>
        <v/>
      </c>
      <c r="Q2484" s="75" t="str">
        <f>IF(AND(B2484='111'!$L$11,OR($N2484=$Q$7,$O2484=$Q$7)),"x","")</f>
        <v/>
      </c>
      <c r="R2484" s="75" t="str">
        <f>IF(AND($N2484=$Q$7,$B2484&lt;'111'!$L$11),"x","")</f>
        <v/>
      </c>
      <c r="S2484" s="75" t="str">
        <f>IF(AND($O2484=$Q$7,$B2484&lt;'111'!$L$11),"x","")</f>
        <v/>
      </c>
      <c r="T2484" s="75" t="str">
        <f>IF(ISERROR(FIND('112'!$M$9,G2484,1)),"",IF((AND(FIND('112'!$M$9,G2484,1)&gt;=1,B2484='112'!$K$9,OR($N2484='112'!$I$6,$O2484='112'!$I$6))),"x",""))</f>
        <v/>
      </c>
      <c r="U2484" s="75" t="str">
        <f>IF(ISERROR(FIND('112'!$M$9,G2484,1)),"",IF((AND(LEFT(G2484,2)=LEFT('112'!$M$9,2),B2484&lt;'112'!$K$9,$N2484='112'!$I$6)),"x",""))</f>
        <v/>
      </c>
      <c r="V2484" s="75" t="str">
        <f>IF(ISERROR(FIND('112'!$M$9,G2484,1)),"",IF((AND(RIGHT(G2484,2)=RIGHT('112'!$M$9,2),B2484&lt;'112'!$K$9,$O2484='112'!$I$6)),"x",""))</f>
        <v/>
      </c>
      <c r="W2484" s="75" t="str">
        <f>IF(AND('341-CT'!$H$9=H2484,OR(LEFT(N2484,3)=$W$7,LEFT(O2484,3)=$W$7)),"x","")</f>
        <v/>
      </c>
      <c r="X2484" s="75" t="str">
        <f>IF(OR(TH!N2484=TH!$X$7,O2484=TH!$X$7),"x","")</f>
        <v/>
      </c>
      <c r="Y2484" s="75" t="str">
        <f>IF(AND(OR(N2484="131",O2484="131"),H2484='131-CT'!$H$9),"x","")</f>
        <v/>
      </c>
      <c r="Z2484" s="75"/>
      <c r="AA2484" s="75" t="str">
        <f>IF(AND(MONTH(E2484)='IN-NX'!$J$5,'IN-NX'!$D$7=D2484),"x","")</f>
        <v/>
      </c>
      <c r="AB2484" s="75" t="str">
        <f>IF(AND(OR(LEFT(TH!N2484,2)="15",LEFT(TH!O2484,2)="15"),LEFT(TH!O2484,3)&lt;&gt;"111",'152-CT'!$J$8=TH!F2484),"x","")</f>
        <v/>
      </c>
      <c r="AC2484" s="75" t="str">
        <f>IF(AND(OR(LEFT(TH!N2484,2)="15",LEFT(TH!O2484,2)="15"),TK!$E$7=TH!F2484),"x","")</f>
        <v/>
      </c>
      <c r="AD2484" s="75" t="str">
        <f>IF(AND(N2484="1521",MONTH(C2484)='BK-NL'!$M$11),"x","")</f>
        <v/>
      </c>
    </row>
    <row r="2485" spans="1:30" s="1264" customFormat="1" ht="16.5" customHeight="1">
      <c r="A2485" s="309" t="str">
        <f>IF(B2485&lt;&gt;"",IF(AND(B2485='IN-TC'!$S$4,OR(TH!N2485="1111",TH!O2485="1111")),TH!D2485,""),"")</f>
        <v/>
      </c>
      <c r="B2485" s="1277">
        <f>IF(C2485&lt;&gt;"",MONTH(C2485),"")</f>
        <v>7</v>
      </c>
      <c r="C2485" s="71">
        <v>42941</v>
      </c>
      <c r="D2485" s="71" t="s">
        <v>903</v>
      </c>
      <c r="E2485" s="71">
        <f t="shared" si="837"/>
        <v>42941</v>
      </c>
      <c r="F2485" s="1216" t="s">
        <v>1086</v>
      </c>
      <c r="G2485" s="72" t="s">
        <v>1713</v>
      </c>
      <c r="H2485" s="73" t="s">
        <v>759</v>
      </c>
      <c r="I2485" s="371"/>
      <c r="J2485" s="378"/>
      <c r="K2485" s="371">
        <v>279734</v>
      </c>
      <c r="L2485" s="377">
        <v>22725</v>
      </c>
      <c r="M2485" s="1214">
        <f>ROUND(K2485*L2485,0)</f>
        <v>6356955150</v>
      </c>
      <c r="N2485" s="75" t="s">
        <v>256</v>
      </c>
      <c r="O2485" s="75" t="s">
        <v>536</v>
      </c>
      <c r="P2485" s="75" t="str">
        <f>IF(AND('331-CT'!$E$7=TH!H2485,OR(N2485="331",O2485="331")),"x","")</f>
        <v/>
      </c>
      <c r="Q2485" s="75" t="str">
        <f>IF(AND(B2485='111'!$L$11,OR($N2485=$Q$7,$O2485=$Q$7)),"x","")</f>
        <v/>
      </c>
      <c r="R2485" s="75" t="str">
        <f>IF(AND($N2485=$Q$7,$B2485&lt;'111'!$L$11),"x","")</f>
        <v/>
      </c>
      <c r="S2485" s="75" t="str">
        <f>IF(AND($O2485=$Q$7,$B2485&lt;'111'!$L$11),"x","")</f>
        <v/>
      </c>
      <c r="T2485" s="75" t="str">
        <f>IF(ISERROR(FIND('112'!$M$9,G2485,1)),"",IF((AND(FIND('112'!$M$9,G2485,1)&gt;=1,B2485='112'!$K$9,OR($N2485='112'!$I$6,$O2485='112'!$I$6))),"x",""))</f>
        <v/>
      </c>
      <c r="U2485" s="75" t="str">
        <f>IF(ISERROR(FIND('112'!$M$9,G2485,1)),"",IF((AND(LEFT(G2485,2)=LEFT('112'!$M$9,2),B2485&lt;'112'!$K$9,$N2485='112'!$I$6)),"x",""))</f>
        <v/>
      </c>
      <c r="V2485" s="75" t="str">
        <f>IF(ISERROR(FIND('112'!$M$9,G2485,1)),"",IF((AND(RIGHT(G2485,2)=RIGHT('112'!$M$9,2),B2485&lt;'112'!$K$9,$O2485='112'!$I$6)),"x",""))</f>
        <v/>
      </c>
      <c r="W2485" s="75" t="str">
        <f>IF(AND('341-CT'!$H$9=H2485,OR(LEFT(N2485,3)=$W$7,LEFT(O2485,3)=$W$7)),"x","")</f>
        <v/>
      </c>
      <c r="X2485" s="75" t="str">
        <f>IF(OR(TH!N2485=TH!$X$7,O2485=TH!$X$7),"x","")</f>
        <v/>
      </c>
      <c r="Y2485" s="75" t="str">
        <f>IF(AND(OR(N2485="131",O2485="131"),H2485='131-CT'!$H$9),"x","")</f>
        <v/>
      </c>
      <c r="Z2485" s="75"/>
      <c r="AA2485" s="75" t="str">
        <f>IF(AND(MONTH(E2485)='IN-NX'!$J$5,'IN-NX'!$D$7=D2485),"x","")</f>
        <v/>
      </c>
      <c r="AB2485" s="75" t="str">
        <f>IF(AND(OR(LEFT(TH!N2485,2)="15",LEFT(TH!O2485,2)="15"),LEFT(TH!O2485,3)&lt;&gt;"111",'152-CT'!$J$8=TH!F2485),"x","")</f>
        <v/>
      </c>
      <c r="AC2485" s="75" t="str">
        <f>IF(AND(OR(LEFT(TH!N2485,2)="15",LEFT(TH!O2485,2)="15"),TK!$E$7=TH!F2485),"x","")</f>
        <v/>
      </c>
      <c r="AD2485" s="75" t="str">
        <f>IF(AND(N2485="1521",MONTH(C2485)='BK-NL'!$M$11),"x","")</f>
        <v/>
      </c>
    </row>
    <row r="2486" spans="1:30" s="1264" customFormat="1" ht="16.5" customHeight="1">
      <c r="A2486" s="309" t="str">
        <f>IF(B2486&lt;&gt;"",IF(AND(B2486='IN-TC'!$S$4,OR(TH!N2486="1111",TH!O2486="1111")),TH!D2486,""),"")</f>
        <v/>
      </c>
      <c r="B2486" s="1277">
        <f t="shared" ref="B2486" si="839">IF(C2486&lt;&gt;"",MONTH(C2486),"")</f>
        <v>7</v>
      </c>
      <c r="C2486" s="71">
        <v>42941</v>
      </c>
      <c r="D2486" s="71" t="s">
        <v>530</v>
      </c>
      <c r="E2486" s="71">
        <f t="shared" ref="E2486" si="840">C2486</f>
        <v>42941</v>
      </c>
      <c r="F2486" s="1216" t="s">
        <v>1010</v>
      </c>
      <c r="G2486" s="72" t="s">
        <v>1713</v>
      </c>
      <c r="H2486" s="73" t="s">
        <v>759</v>
      </c>
      <c r="I2486" s="371"/>
      <c r="J2486" s="378"/>
      <c r="K2486" s="371"/>
      <c r="L2486" s="377"/>
      <c r="M2486" s="74">
        <v>17902976</v>
      </c>
      <c r="N2486" s="75" t="s">
        <v>536</v>
      </c>
      <c r="O2486" s="75" t="s">
        <v>43</v>
      </c>
      <c r="P2486" s="75" t="str">
        <f>IF(AND('331-CT'!$E$7=TH!H2486,OR(N2486="331",O2486="331")),"x","")</f>
        <v/>
      </c>
      <c r="Q2486" s="75" t="str">
        <f>IF(AND(B2486='111'!$L$11,OR($N2486=$Q$7,$O2486=$Q$7)),"x","")</f>
        <v/>
      </c>
      <c r="R2486" s="75" t="str">
        <f>IF(AND($N2486=$Q$7,$B2486&lt;'111'!$L$11),"x","")</f>
        <v/>
      </c>
      <c r="S2486" s="75" t="str">
        <f>IF(AND($O2486=$Q$7,$B2486&lt;'111'!$L$11),"x","")</f>
        <v/>
      </c>
      <c r="T2486" s="75" t="str">
        <f>IF(ISERROR(FIND('112'!$M$9,G2486,1)),"",IF((AND(FIND('112'!$M$9,G2486,1)&gt;=1,B2486='112'!$K$9,OR($N2486='112'!$I$6,$O2486='112'!$I$6))),"x",""))</f>
        <v/>
      </c>
      <c r="U2486" s="75" t="str">
        <f>IF(ISERROR(FIND('112'!$M$9,G2486,1)),"",IF((AND(LEFT(G2486,2)=LEFT('112'!$M$9,2),B2486&lt;'112'!$K$9,$N2486='112'!$I$6)),"x",""))</f>
        <v/>
      </c>
      <c r="V2486" s="75" t="str">
        <f>IF(ISERROR(FIND('112'!$M$9,G2486,1)),"",IF((AND(RIGHT(G2486,2)=RIGHT('112'!$M$9,2),B2486&lt;'112'!$K$9,$O2486='112'!$I$6)),"x",""))</f>
        <v/>
      </c>
      <c r="W2486" s="75" t="str">
        <f>IF(AND('341-CT'!$H$9=H2486,OR(LEFT(N2486,3)=$W$7,LEFT(O2486,3)=$W$7)),"x","")</f>
        <v/>
      </c>
      <c r="X2486" s="75" t="str">
        <f>IF(OR(TH!N2486=TH!$X$7,O2486=TH!$X$7),"x","")</f>
        <v/>
      </c>
      <c r="Y2486" s="75" t="str">
        <f>IF(AND(OR(N2486="131",O2486="131"),H2486='131-CT'!$H$9),"x","")</f>
        <v/>
      </c>
      <c r="Z2486" s="75"/>
      <c r="AA2486" s="75" t="str">
        <f>IF(AND(MONTH(E2486)='IN-NX'!$J$5,'IN-NX'!$D$7=D2486),"x","")</f>
        <v/>
      </c>
      <c r="AB2486" s="75" t="str">
        <f>IF(AND(OR(LEFT(TH!N2486,2)="15",LEFT(TH!O2486,2)="15"),LEFT(TH!O2486,3)&lt;&gt;"111",'152-CT'!$J$8=TH!F2486),"x","")</f>
        <v/>
      </c>
      <c r="AC2486" s="75" t="str">
        <f>IF(AND(OR(LEFT(TH!N2486,2)="15",LEFT(TH!O2486,2)="15"),TK!$E$7=TH!F2486),"x","")</f>
        <v/>
      </c>
      <c r="AD2486" s="75" t="str">
        <f>IF(AND(N2486="1521",MONTH(C2486)='BK-NL'!$M$11),"x","")</f>
        <v/>
      </c>
    </row>
    <row r="2487" spans="1:30" s="1264" customFormat="1" ht="16.5" customHeight="1">
      <c r="A2487" s="309" t="str">
        <f>IF(B2487&lt;&gt;"",IF(AND(B2487='IN-TC'!$S$4,OR(TH!N2487="1111",TH!O2487="1111")),TH!D2487,""),"")</f>
        <v/>
      </c>
      <c r="B2487" s="1277">
        <f t="shared" ref="B2487:B2492" si="841">IF(C2487&lt;&gt;"",MONTH(C2487),"")</f>
        <v>7</v>
      </c>
      <c r="C2487" s="71">
        <v>42941</v>
      </c>
      <c r="D2487" s="71" t="s">
        <v>902</v>
      </c>
      <c r="E2487" s="71">
        <f t="shared" si="837"/>
        <v>42941</v>
      </c>
      <c r="F2487" s="1216" t="s">
        <v>1307</v>
      </c>
      <c r="G2487" s="72" t="s">
        <v>1713</v>
      </c>
      <c r="H2487" s="73"/>
      <c r="I2487" s="371"/>
      <c r="J2487" s="378"/>
      <c r="K2487" s="371">
        <v>153.86000000000001</v>
      </c>
      <c r="L2487" s="377">
        <v>22725</v>
      </c>
      <c r="M2487" s="74">
        <f t="shared" ref="M2487:M2491" si="842">ROUND(K2487*L2487,0)</f>
        <v>3496469</v>
      </c>
      <c r="N2487" s="75" t="s">
        <v>101</v>
      </c>
      <c r="O2487" s="75" t="s">
        <v>256</v>
      </c>
      <c r="P2487" s="75" t="str">
        <f>IF(AND('331-CT'!$E$7=TH!H2487,OR(N2487="331",O2487="331")),"x","")</f>
        <v/>
      </c>
      <c r="Q2487" s="75" t="str">
        <f>IF(AND(B2487='111'!$L$11,OR($N2487=$Q$7,$O2487=$Q$7)),"x","")</f>
        <v/>
      </c>
      <c r="R2487" s="75" t="str">
        <f>IF(AND($N2487=$Q$7,$B2487&lt;'111'!$L$11),"x","")</f>
        <v/>
      </c>
      <c r="S2487" s="75" t="str">
        <f>IF(AND($O2487=$Q$7,$B2487&lt;'111'!$L$11),"x","")</f>
        <v/>
      </c>
      <c r="T2487" s="75" t="str">
        <f>IF(ISERROR(FIND('112'!$M$9,G2487,1)),"",IF((AND(FIND('112'!$M$9,G2487,1)&gt;=1,B2487='112'!$K$9,OR($N2487='112'!$I$6,$O2487='112'!$I$6))),"x",""))</f>
        <v/>
      </c>
      <c r="U2487" s="75" t="str">
        <f>IF(ISERROR(FIND('112'!$M$9,G2487,1)),"",IF((AND(LEFT(G2487,2)=LEFT('112'!$M$9,2),B2487&lt;'112'!$K$9,$N2487='112'!$I$6)),"x",""))</f>
        <v/>
      </c>
      <c r="V2487" s="75" t="str">
        <f>IF(ISERROR(FIND('112'!$M$9,G2487,1)),"",IF((AND(RIGHT(G2487,2)=RIGHT('112'!$M$9,2),B2487&lt;'112'!$K$9,$O2487='112'!$I$6)),"x",""))</f>
        <v/>
      </c>
      <c r="W2487" s="75" t="str">
        <f>IF(AND('341-CT'!$H$9=H2487,OR(LEFT(N2487,3)=$W$7,LEFT(O2487,3)=$W$7)),"x","")</f>
        <v/>
      </c>
      <c r="X2487" s="75" t="str">
        <f>IF(OR(TH!N2487=TH!$X$7,O2487=TH!$X$7),"x","")</f>
        <v/>
      </c>
      <c r="Y2487" s="75" t="str">
        <f>IF(AND(OR(N2487="131",O2487="131"),H2487='131-CT'!$H$9),"x","")</f>
        <v/>
      </c>
      <c r="Z2487" s="75"/>
      <c r="AA2487" s="75" t="str">
        <f>IF(AND(MONTH(E2487)='IN-NX'!$J$5,'IN-NX'!$D$7=D2487),"x","")</f>
        <v/>
      </c>
      <c r="AB2487" s="75" t="str">
        <f>IF(AND(OR(LEFT(TH!N2487,2)="15",LEFT(TH!O2487,2)="15"),LEFT(TH!O2487,3)&lt;&gt;"111",'152-CT'!$J$8=TH!F2487),"x","")</f>
        <v/>
      </c>
      <c r="AC2487" s="75" t="str">
        <f>IF(AND(OR(LEFT(TH!N2487,2)="15",LEFT(TH!O2487,2)="15"),TK!$E$7=TH!F2487),"x","")</f>
        <v/>
      </c>
      <c r="AD2487" s="75" t="str">
        <f>IF(AND(N2487="1521",MONTH(C2487)='BK-NL'!$M$11),"x","")</f>
        <v/>
      </c>
    </row>
    <row r="2488" spans="1:30" s="1264" customFormat="1" ht="16.5" customHeight="1">
      <c r="A2488" s="309" t="str">
        <f>IF(B2488&lt;&gt;"",IF(AND(B2488='IN-TC'!$S$4,OR(TH!N2488="1111",TH!O2488="1111")),TH!D2488,""),"")</f>
        <v/>
      </c>
      <c r="B2488" s="1277">
        <f t="shared" si="841"/>
        <v>7</v>
      </c>
      <c r="C2488" s="71">
        <v>42941</v>
      </c>
      <c r="D2488" s="71" t="s">
        <v>903</v>
      </c>
      <c r="E2488" s="71">
        <f t="shared" si="837"/>
        <v>42941</v>
      </c>
      <c r="F2488" s="72" t="s">
        <v>918</v>
      </c>
      <c r="G2488" s="72" t="s">
        <v>1773</v>
      </c>
      <c r="H2488" s="73"/>
      <c r="I2488" s="1213"/>
      <c r="J2488" s="1214"/>
      <c r="K2488" s="1213">
        <v>4100</v>
      </c>
      <c r="L2488" s="377">
        <v>22725</v>
      </c>
      <c r="M2488" s="1214">
        <f t="shared" si="838"/>
        <v>93172500</v>
      </c>
      <c r="N2488" s="75" t="s">
        <v>256</v>
      </c>
      <c r="O2488" s="75" t="s">
        <v>256</v>
      </c>
      <c r="P2488" s="75" t="str">
        <f>IF(AND('331-CT'!$E$7=TH!H2488,OR(N2488="331",O2488="331")),"x","")</f>
        <v/>
      </c>
      <c r="Q2488" s="75" t="str">
        <f>IF(AND(B2488='111'!$L$11,OR($N2488=$Q$7,$O2488=$Q$7)),"x","")</f>
        <v/>
      </c>
      <c r="R2488" s="75" t="str">
        <f>IF(AND($N2488=$Q$7,$B2488&lt;'111'!$L$11),"x","")</f>
        <v/>
      </c>
      <c r="S2488" s="75" t="str">
        <f>IF(AND($O2488=$Q$7,$B2488&lt;'111'!$L$11),"x","")</f>
        <v/>
      </c>
      <c r="T2488" s="75" t="str">
        <f>IF(ISERROR(FIND('112'!$M$9,G2488,1)),"",IF((AND(FIND('112'!$M$9,G2488,1)&gt;=1,B2488='112'!$K$9,OR($N2488='112'!$I$6,$O2488='112'!$I$6))),"x",""))</f>
        <v/>
      </c>
      <c r="U2488" s="75" t="str">
        <f>IF(ISERROR(FIND('112'!$M$9,G2488,1)),"",IF((AND(LEFT(G2488,2)=LEFT('112'!$M$9,2),B2488&lt;'112'!$K$9,$N2488='112'!$I$6)),"x",""))</f>
        <v/>
      </c>
      <c r="V2488" s="75" t="str">
        <f>IF(ISERROR(FIND('112'!$M$9,G2488,1)),"",IF((AND(RIGHT(G2488,2)=RIGHT('112'!$M$9,2),B2488&lt;'112'!$K$9,$O2488='112'!$I$6)),"x",""))</f>
        <v/>
      </c>
      <c r="W2488" s="75" t="str">
        <f>IF(AND('341-CT'!$H$9=H2488,OR(LEFT(N2488,3)=$W$7,LEFT(O2488,3)=$W$7)),"x","")</f>
        <v/>
      </c>
      <c r="X2488" s="75" t="str">
        <f>IF(OR(TH!N2488=TH!$X$7,O2488=TH!$X$7),"x","")</f>
        <v/>
      </c>
      <c r="Y2488" s="75" t="str">
        <f>IF(AND(OR(N2488="131",O2488="131"),H2488='131-CT'!$H$9),"x","")</f>
        <v/>
      </c>
      <c r="Z2488" s="75"/>
      <c r="AA2488" s="75" t="str">
        <f>IF(AND(MONTH(E2488)='IN-NX'!$J$5,'IN-NX'!$D$7=D2488),"x","")</f>
        <v/>
      </c>
      <c r="AB2488" s="75" t="str">
        <f>IF(AND(OR(LEFT(TH!N2488,2)="15",LEFT(TH!O2488,2)="15"),LEFT(TH!O2488,3)&lt;&gt;"111",'152-CT'!$J$8=TH!F2488),"x","")</f>
        <v/>
      </c>
      <c r="AC2488" s="75" t="str">
        <f>IF(AND(OR(LEFT(TH!N2488,2)="15",LEFT(TH!O2488,2)="15"),TK!$E$7=TH!F2488),"x","")</f>
        <v/>
      </c>
      <c r="AD2488" s="75" t="str">
        <f>IF(AND(N2488="1521",MONTH(C2488)='BK-NL'!$M$11),"x","")</f>
        <v/>
      </c>
    </row>
    <row r="2489" spans="1:30" s="1264" customFormat="1" ht="16.5" customHeight="1">
      <c r="A2489" s="309" t="str">
        <f>IF(B2489&lt;&gt;"",IF(AND(B2489='IN-TC'!$S$4,OR(TH!N2489="1111",TH!O2489="1111")),TH!D2489,""),"")</f>
        <v/>
      </c>
      <c r="B2489" s="1277">
        <f t="shared" si="841"/>
        <v>7</v>
      </c>
      <c r="C2489" s="71">
        <v>42942</v>
      </c>
      <c r="D2489" s="71" t="s">
        <v>903</v>
      </c>
      <c r="E2489" s="71">
        <f t="shared" si="837"/>
        <v>42942</v>
      </c>
      <c r="F2489" s="72" t="s">
        <v>907</v>
      </c>
      <c r="G2489" s="72" t="s">
        <v>1713</v>
      </c>
      <c r="H2489" s="73"/>
      <c r="I2489" s="371"/>
      <c r="J2489" s="378"/>
      <c r="K2489" s="371">
        <v>278500</v>
      </c>
      <c r="L2489" s="377">
        <v>22725</v>
      </c>
      <c r="M2489" s="74">
        <f t="shared" si="842"/>
        <v>6328912500</v>
      </c>
      <c r="N2489" s="75" t="s">
        <v>26</v>
      </c>
      <c r="O2489" s="75" t="s">
        <v>256</v>
      </c>
      <c r="P2489" s="75" t="str">
        <f>IF(AND('331-CT'!$E$7=TH!H2489,OR(N2489="331",O2489="331")),"x","")</f>
        <v/>
      </c>
      <c r="Q2489" s="75" t="str">
        <f>IF(AND(B2489='111'!$L$11,OR($N2489=$Q$7,$O2489=$Q$7)),"x","")</f>
        <v/>
      </c>
      <c r="R2489" s="75" t="str">
        <f>IF(AND($N2489=$Q$7,$B2489&lt;'111'!$L$11),"x","")</f>
        <v/>
      </c>
      <c r="S2489" s="75" t="str">
        <f>IF(AND($O2489=$Q$7,$B2489&lt;'111'!$L$11),"x","")</f>
        <v/>
      </c>
      <c r="T2489" s="75" t="str">
        <f>IF(ISERROR(FIND('112'!$M$9,G2489,1)),"",IF((AND(FIND('112'!$M$9,G2489,1)&gt;=1,B2489='112'!$K$9,OR($N2489='112'!$I$6,$O2489='112'!$I$6))),"x",""))</f>
        <v/>
      </c>
      <c r="U2489" s="75" t="str">
        <f>IF(ISERROR(FIND('112'!$M$9,G2489,1)),"",IF((AND(LEFT(G2489,2)=LEFT('112'!$M$9,2),B2489&lt;'112'!$K$9,$N2489='112'!$I$6)),"x",""))</f>
        <v/>
      </c>
      <c r="V2489" s="75" t="str">
        <f>IF(ISERROR(FIND('112'!$M$9,G2489,1)),"",IF((AND(RIGHT(G2489,2)=RIGHT('112'!$M$9,2),B2489&lt;'112'!$K$9,$O2489='112'!$I$6)),"x",""))</f>
        <v/>
      </c>
      <c r="W2489" s="75" t="str">
        <f>IF(AND('341-CT'!$H$9=H2489,OR(LEFT(N2489,3)=$W$7,LEFT(O2489,3)=$W$7)),"x","")</f>
        <v/>
      </c>
      <c r="X2489" s="75" t="str">
        <f>IF(OR(TH!N2489=TH!$X$7,O2489=TH!$X$7),"x","")</f>
        <v/>
      </c>
      <c r="Y2489" s="75" t="str">
        <f>IF(AND(OR(N2489="131",O2489="131"),H2489='131-CT'!$H$9),"x","")</f>
        <v/>
      </c>
      <c r="Z2489" s="75"/>
      <c r="AA2489" s="75" t="str">
        <f>IF(AND(MONTH(E2489)='IN-NX'!$J$5,'IN-NX'!$D$7=D2489),"x","")</f>
        <v/>
      </c>
      <c r="AB2489" s="75" t="str">
        <f>IF(AND(OR(LEFT(TH!N2489,2)="15",LEFT(TH!O2489,2)="15"),LEFT(TH!O2489,3)&lt;&gt;"111",'152-CT'!$J$8=TH!F2489),"x","")</f>
        <v/>
      </c>
      <c r="AC2489" s="75" t="str">
        <f>IF(AND(OR(LEFT(TH!N2489,2)="15",LEFT(TH!O2489,2)="15"),TK!$E$7=TH!F2489),"x","")</f>
        <v/>
      </c>
      <c r="AD2489" s="75" t="str">
        <f>IF(AND(N2489="1521",MONTH(C2489)='BK-NL'!$M$11),"x","")</f>
        <v/>
      </c>
    </row>
    <row r="2490" spans="1:30" s="1264" customFormat="1" ht="16.5" customHeight="1">
      <c r="A2490" s="309" t="str">
        <f>IF(B2490&lt;&gt;"",IF(AND(B2490='IN-TC'!$S$4,OR(TH!N2490="1111",TH!O2490="1111")),TH!D2490,""),"")</f>
        <v/>
      </c>
      <c r="B2490" s="1277">
        <f t="shared" si="841"/>
        <v>7</v>
      </c>
      <c r="C2490" s="71">
        <v>42942</v>
      </c>
      <c r="D2490" s="71" t="s">
        <v>902</v>
      </c>
      <c r="E2490" s="71">
        <f t="shared" si="837"/>
        <v>42942</v>
      </c>
      <c r="F2490" s="72" t="s">
        <v>1321</v>
      </c>
      <c r="G2490" s="72" t="s">
        <v>1713</v>
      </c>
      <c r="H2490" s="73" t="s">
        <v>2406</v>
      </c>
      <c r="I2490" s="1213"/>
      <c r="J2490" s="1214"/>
      <c r="K2490" s="1213">
        <v>3700</v>
      </c>
      <c r="L2490" s="377">
        <v>22725</v>
      </c>
      <c r="M2490" s="74">
        <f t="shared" si="842"/>
        <v>84082500</v>
      </c>
      <c r="N2490" s="75" t="s">
        <v>250</v>
      </c>
      <c r="O2490" s="75" t="s">
        <v>256</v>
      </c>
      <c r="P2490" s="75" t="str">
        <f>IF(AND('331-CT'!$E$7=TH!H2490,OR(N2490="331",O2490="331")),"x","")</f>
        <v/>
      </c>
      <c r="Q2490" s="75" t="str">
        <f>IF(AND(B2490='111'!$L$11,OR($N2490=$Q$7,$O2490=$Q$7)),"x","")</f>
        <v/>
      </c>
      <c r="R2490" s="75" t="str">
        <f>IF(AND($N2490=$Q$7,$B2490&lt;'111'!$L$11),"x","")</f>
        <v/>
      </c>
      <c r="S2490" s="75" t="str">
        <f>IF(AND($O2490=$Q$7,$B2490&lt;'111'!$L$11),"x","")</f>
        <v/>
      </c>
      <c r="T2490" s="75" t="str">
        <f>IF(ISERROR(FIND('112'!$M$9,G2490,1)),"",IF((AND(FIND('112'!$M$9,G2490,1)&gt;=1,B2490='112'!$K$9,OR($N2490='112'!$I$6,$O2490='112'!$I$6))),"x",""))</f>
        <v/>
      </c>
      <c r="U2490" s="75" t="str">
        <f>IF(ISERROR(FIND('112'!$M$9,G2490,1)),"",IF((AND(LEFT(G2490,2)=LEFT('112'!$M$9,2),B2490&lt;'112'!$K$9,$N2490='112'!$I$6)),"x",""))</f>
        <v/>
      </c>
      <c r="V2490" s="75" t="str">
        <f>IF(ISERROR(FIND('112'!$M$9,G2490,1)),"",IF((AND(RIGHT(G2490,2)=RIGHT('112'!$M$9,2),B2490&lt;'112'!$K$9,$O2490='112'!$I$6)),"x",""))</f>
        <v/>
      </c>
      <c r="W2490" s="75" t="str">
        <f>IF(AND('341-CT'!$H$9=H2490,OR(LEFT(N2490,3)=$W$7,LEFT(O2490,3)=$W$7)),"x","")</f>
        <v/>
      </c>
      <c r="X2490" s="75" t="str">
        <f>IF(OR(TH!N2490=TH!$X$7,O2490=TH!$X$7),"x","")</f>
        <v/>
      </c>
      <c r="Y2490" s="75" t="str">
        <f>IF(AND(OR(N2490="131",O2490="131"),H2490='131-CT'!$H$9),"x","")</f>
        <v/>
      </c>
      <c r="Z2490" s="75"/>
      <c r="AA2490" s="75" t="str">
        <f>IF(AND(MONTH(E2490)='IN-NX'!$J$5,'IN-NX'!$D$7=D2490),"x","")</f>
        <v/>
      </c>
      <c r="AB2490" s="75" t="str">
        <f>IF(AND(OR(LEFT(TH!N2490,2)="15",LEFT(TH!O2490,2)="15"),LEFT(TH!O2490,3)&lt;&gt;"111",'152-CT'!$J$8=TH!F2490),"x","")</f>
        <v/>
      </c>
      <c r="AC2490" s="75" t="str">
        <f>IF(AND(OR(LEFT(TH!N2490,2)="15",LEFT(TH!O2490,2)="15"),TK!$E$7=TH!F2490),"x","")</f>
        <v/>
      </c>
      <c r="AD2490" s="75" t="str">
        <f>IF(AND(N2490="1521",MONTH(C2490)='BK-NL'!$M$11),"x","")</f>
        <v/>
      </c>
    </row>
    <row r="2491" spans="1:30" s="1264" customFormat="1" ht="16.5" customHeight="1">
      <c r="A2491" s="309" t="str">
        <f>IF(B2491&lt;&gt;"",IF(AND(B2491='IN-TC'!$S$4,OR(TH!N2491="1111",TH!O2491="1111")),TH!D2491,""),"")</f>
        <v/>
      </c>
      <c r="B2491" s="1277">
        <f t="shared" si="841"/>
        <v>7</v>
      </c>
      <c r="C2491" s="71">
        <v>42942</v>
      </c>
      <c r="D2491" s="71" t="s">
        <v>902</v>
      </c>
      <c r="E2491" s="71">
        <f t="shared" si="837"/>
        <v>42942</v>
      </c>
      <c r="F2491" s="930" t="s">
        <v>1096</v>
      </c>
      <c r="G2491" s="72" t="s">
        <v>1713</v>
      </c>
      <c r="H2491" s="73" t="s">
        <v>2406</v>
      </c>
      <c r="I2491" s="1213"/>
      <c r="J2491" s="1214"/>
      <c r="K2491" s="1213">
        <v>330</v>
      </c>
      <c r="L2491" s="377">
        <v>22725</v>
      </c>
      <c r="M2491" s="74">
        <f t="shared" si="842"/>
        <v>7499250</v>
      </c>
      <c r="N2491" s="75" t="s">
        <v>99</v>
      </c>
      <c r="O2491" s="75" t="s">
        <v>256</v>
      </c>
      <c r="P2491" s="75" t="str">
        <f>IF(AND('331-CT'!$E$7=TH!H2491,OR(N2491="331",O2491="331")),"x","")</f>
        <v/>
      </c>
      <c r="Q2491" s="75" t="str">
        <f>IF(AND(B2491='111'!$L$11,OR($N2491=$Q$7,$O2491=$Q$7)),"x","")</f>
        <v/>
      </c>
      <c r="R2491" s="75" t="str">
        <f>IF(AND($N2491=$Q$7,$B2491&lt;'111'!$L$11),"x","")</f>
        <v/>
      </c>
      <c r="S2491" s="75" t="str">
        <f>IF(AND($O2491=$Q$7,$B2491&lt;'111'!$L$11),"x","")</f>
        <v/>
      </c>
      <c r="T2491" s="75" t="str">
        <f>IF(ISERROR(FIND('112'!$M$9,G2491,1)),"",IF((AND(FIND('112'!$M$9,G2491,1)&gt;=1,B2491='112'!$K$9,OR($N2491='112'!$I$6,$O2491='112'!$I$6))),"x",""))</f>
        <v/>
      </c>
      <c r="U2491" s="75" t="str">
        <f>IF(ISERROR(FIND('112'!$M$9,G2491,1)),"",IF((AND(LEFT(G2491,2)=LEFT('112'!$M$9,2),B2491&lt;'112'!$K$9,$N2491='112'!$I$6)),"x",""))</f>
        <v/>
      </c>
      <c r="V2491" s="75" t="str">
        <f>IF(ISERROR(FIND('112'!$M$9,G2491,1)),"",IF((AND(RIGHT(G2491,2)=RIGHT('112'!$M$9,2),B2491&lt;'112'!$K$9,$O2491='112'!$I$6)),"x",""))</f>
        <v/>
      </c>
      <c r="W2491" s="75" t="str">
        <f>IF(AND('341-CT'!$H$9=H2491,OR(LEFT(N2491,3)=$W$7,LEFT(O2491,3)=$W$7)),"x","")</f>
        <v/>
      </c>
      <c r="X2491" s="75" t="str">
        <f>IF(OR(TH!N2491=TH!$X$7,O2491=TH!$X$7),"x","")</f>
        <v/>
      </c>
      <c r="Y2491" s="75" t="str">
        <f>IF(AND(OR(N2491="131",O2491="131"),H2491='131-CT'!$H$9),"x","")</f>
        <v/>
      </c>
      <c r="Z2491" s="75"/>
      <c r="AA2491" s="75" t="str">
        <f>IF(AND(MONTH(E2491)='IN-NX'!$J$5,'IN-NX'!$D$7=D2491),"x","")</f>
        <v/>
      </c>
      <c r="AB2491" s="75" t="str">
        <f>IF(AND(OR(LEFT(TH!N2491,2)="15",LEFT(TH!O2491,2)="15"),LEFT(TH!O2491,3)&lt;&gt;"111",'152-CT'!$J$8=TH!F2491),"x","")</f>
        <v/>
      </c>
      <c r="AC2491" s="75" t="str">
        <f>IF(AND(OR(LEFT(TH!N2491,2)="15",LEFT(TH!O2491,2)="15"),TK!$E$7=TH!F2491),"x","")</f>
        <v/>
      </c>
      <c r="AD2491" s="75" t="str">
        <f>IF(AND(N2491="1521",MONTH(C2491)='BK-NL'!$M$11),"x","")</f>
        <v/>
      </c>
    </row>
    <row r="2492" spans="1:30" s="1264" customFormat="1" ht="16.5" customHeight="1">
      <c r="A2492" s="309" t="str">
        <f>IF(B2492&lt;&gt;"",IF(AND(B2492='IN-TC'!$S$4,OR(TH!N2492="1111",TH!O2492="1111")),TH!D2492,""),"")</f>
        <v/>
      </c>
      <c r="B2492" s="1279">
        <f t="shared" si="841"/>
        <v>8</v>
      </c>
      <c r="C2492" s="71">
        <v>42965</v>
      </c>
      <c r="D2492" s="71" t="s">
        <v>903</v>
      </c>
      <c r="E2492" s="71">
        <f t="shared" si="837"/>
        <v>42965</v>
      </c>
      <c r="F2492" s="72" t="s">
        <v>1086</v>
      </c>
      <c r="G2492" s="72" t="s">
        <v>1713</v>
      </c>
      <c r="H2492" s="73" t="s">
        <v>759</v>
      </c>
      <c r="I2492" s="1213"/>
      <c r="J2492" s="378"/>
      <c r="K2492" s="1213">
        <v>430157</v>
      </c>
      <c r="L2492" s="1214">
        <v>22720</v>
      </c>
      <c r="M2492" s="1214">
        <f t="shared" si="838"/>
        <v>9773167040</v>
      </c>
      <c r="N2492" s="75" t="s">
        <v>256</v>
      </c>
      <c r="O2492" s="75" t="s">
        <v>536</v>
      </c>
      <c r="P2492" s="75" t="str">
        <f>IF(AND('331-CT'!$E$7=TH!H2492,OR(N2492="331",O2492="331")),"x","")</f>
        <v/>
      </c>
      <c r="Q2492" s="75" t="str">
        <f>IF(AND(B2492='111'!$L$11,OR($N2492=$Q$7,$O2492=$Q$7)),"x","")</f>
        <v/>
      </c>
      <c r="R2492" s="75" t="str">
        <f>IF(AND($N2492=$Q$7,$B2492&lt;'111'!$L$11),"x","")</f>
        <v/>
      </c>
      <c r="S2492" s="75" t="str">
        <f>IF(AND($O2492=$Q$7,$B2492&lt;'111'!$L$11),"x","")</f>
        <v/>
      </c>
      <c r="T2492" s="75" t="str">
        <f>IF(ISERROR(FIND('112'!$M$9,G2492,1)),"",IF((AND(FIND('112'!$M$9,G2492,1)&gt;=1,B2492='112'!$K$9,OR($N2492='112'!$I$6,$O2492='112'!$I$6))),"x",""))</f>
        <v/>
      </c>
      <c r="U2492" s="75" t="str">
        <f>IF(ISERROR(FIND('112'!$M$9,G2492,1)),"",IF((AND(LEFT(G2492,2)=LEFT('112'!$M$9,2),B2492&lt;'112'!$K$9,$N2492='112'!$I$6)),"x",""))</f>
        <v/>
      </c>
      <c r="V2492" s="75" t="str">
        <f>IF(ISERROR(FIND('112'!$M$9,G2492,1)),"",IF((AND(RIGHT(G2492,2)=RIGHT('112'!$M$9,2),B2492&lt;'112'!$K$9,$O2492='112'!$I$6)),"x",""))</f>
        <v/>
      </c>
      <c r="W2492" s="75" t="str">
        <f>IF(AND('341-CT'!$H$9=H2492,OR(LEFT(N2492,3)=$W$7,LEFT(O2492,3)=$W$7)),"x","")</f>
        <v/>
      </c>
      <c r="X2492" s="75" t="str">
        <f>IF(OR(TH!N2492=TH!$X$7,O2492=TH!$X$7),"x","")</f>
        <v/>
      </c>
      <c r="Y2492" s="75" t="str">
        <f>IF(AND(OR(N2492="131",O2492="131"),H2492='131-CT'!$H$9),"x","")</f>
        <v/>
      </c>
      <c r="Z2492" s="75"/>
      <c r="AA2492" s="75" t="str">
        <f>IF(AND(MONTH(E2492)='IN-NX'!$J$5,'IN-NX'!$D$7=D2492),"x","")</f>
        <v/>
      </c>
      <c r="AB2492" s="75" t="str">
        <f>IF(AND(OR(LEFT(TH!N2492,2)="15",LEFT(TH!O2492,2)="15"),LEFT(TH!O2492,3)&lt;&gt;"111",'152-CT'!$J$8=TH!F2492),"x","")</f>
        <v/>
      </c>
      <c r="AC2492" s="75" t="str">
        <f>IF(AND(OR(LEFT(TH!N2492,2)="15",LEFT(TH!O2492,2)="15"),TK!$E$7=TH!F2492),"x","")</f>
        <v/>
      </c>
      <c r="AD2492" s="75" t="str">
        <f>IF(AND(N2492="1521",MONTH(C2492)='BK-NL'!$M$11),"x","")</f>
        <v/>
      </c>
    </row>
    <row r="2493" spans="1:30" s="1264" customFormat="1" ht="16.5" customHeight="1">
      <c r="A2493" s="309" t="str">
        <f>IF(B2493&lt;&gt;"",IF(AND(B2493='IN-TC'!$S$4,OR(TH!N2493="1111",TH!O2493="1111")),TH!D2493,""),"")</f>
        <v/>
      </c>
      <c r="B2493" s="1279">
        <f t="shared" ref="B2493" si="843">IF(C2493&lt;&gt;"",MONTH(C2493),"")</f>
        <v>8</v>
      </c>
      <c r="C2493" s="71">
        <v>42965</v>
      </c>
      <c r="D2493" s="71" t="s">
        <v>530</v>
      </c>
      <c r="E2493" s="71">
        <f t="shared" ref="E2493" si="844">C2493</f>
        <v>42965</v>
      </c>
      <c r="F2493" s="72" t="s">
        <v>1010</v>
      </c>
      <c r="G2493" s="72" t="s">
        <v>1713</v>
      </c>
      <c r="H2493" s="73" t="s">
        <v>759</v>
      </c>
      <c r="I2493" s="1213"/>
      <c r="J2493" s="378"/>
      <c r="K2493" s="1213"/>
      <c r="L2493" s="1214"/>
      <c r="M2493" s="74">
        <v>17800055</v>
      </c>
      <c r="N2493" s="75" t="s">
        <v>536</v>
      </c>
      <c r="O2493" s="75" t="s">
        <v>43</v>
      </c>
      <c r="P2493" s="75" t="str">
        <f>IF(AND('331-CT'!$E$7=TH!H2493,OR(N2493="331",O2493="331")),"x","")</f>
        <v/>
      </c>
      <c r="Q2493" s="75" t="str">
        <f>IF(AND(B2493='111'!$L$11,OR($N2493=$Q$7,$O2493=$Q$7)),"x","")</f>
        <v/>
      </c>
      <c r="R2493" s="75" t="str">
        <f>IF(AND($N2493=$Q$7,$B2493&lt;'111'!$L$11),"x","")</f>
        <v/>
      </c>
      <c r="S2493" s="75" t="str">
        <f>IF(AND($O2493=$Q$7,$B2493&lt;'111'!$L$11),"x","")</f>
        <v/>
      </c>
      <c r="T2493" s="75" t="str">
        <f>IF(ISERROR(FIND('112'!$M$9,G2493,1)),"",IF((AND(FIND('112'!$M$9,G2493,1)&gt;=1,B2493='112'!$K$9,OR($N2493='112'!$I$6,$O2493='112'!$I$6))),"x",""))</f>
        <v/>
      </c>
      <c r="U2493" s="75" t="str">
        <f>IF(ISERROR(FIND('112'!$M$9,G2493,1)),"",IF((AND(LEFT(G2493,2)=LEFT('112'!$M$9,2),B2493&lt;'112'!$K$9,$N2493='112'!$I$6)),"x",""))</f>
        <v/>
      </c>
      <c r="V2493" s="75" t="str">
        <f>IF(ISERROR(FIND('112'!$M$9,G2493,1)),"",IF((AND(RIGHT(G2493,2)=RIGHT('112'!$M$9,2),B2493&lt;'112'!$K$9,$O2493='112'!$I$6)),"x",""))</f>
        <v/>
      </c>
      <c r="W2493" s="75" t="str">
        <f>IF(AND('341-CT'!$H$9=H2493,OR(LEFT(N2493,3)=$W$7,LEFT(O2493,3)=$W$7)),"x","")</f>
        <v/>
      </c>
      <c r="X2493" s="75" t="str">
        <f>IF(OR(TH!N2493=TH!$X$7,O2493=TH!$X$7),"x","")</f>
        <v/>
      </c>
      <c r="Y2493" s="75" t="str">
        <f>IF(AND(OR(N2493="131",O2493="131"),H2493='131-CT'!$H$9),"x","")</f>
        <v/>
      </c>
      <c r="Z2493" s="75"/>
      <c r="AA2493" s="75" t="str">
        <f>IF(AND(MONTH(E2493)='IN-NX'!$J$5,'IN-NX'!$D$7=D2493),"x","")</f>
        <v/>
      </c>
      <c r="AB2493" s="75" t="str">
        <f>IF(AND(OR(LEFT(TH!N2493,2)="15",LEFT(TH!O2493,2)="15"),LEFT(TH!O2493,3)&lt;&gt;"111",'152-CT'!$J$8=TH!F2493),"x","")</f>
        <v/>
      </c>
      <c r="AC2493" s="75" t="str">
        <f>IF(AND(OR(LEFT(TH!N2493,2)="15",LEFT(TH!O2493,2)="15"),TK!$E$7=TH!F2493),"x","")</f>
        <v/>
      </c>
      <c r="AD2493" s="75" t="str">
        <f>IF(AND(N2493="1521",MONTH(C2493)='BK-NL'!$M$11),"x","")</f>
        <v/>
      </c>
    </row>
    <row r="2494" spans="1:30" s="1264" customFormat="1" ht="16.5" customHeight="1">
      <c r="A2494" s="309" t="str">
        <f>IF(B2494&lt;&gt;"",IF(AND(B2494='IN-TC'!$S$4,OR(TH!N2494="1111",TH!O2494="1111")),TH!D2494,""),"")</f>
        <v/>
      </c>
      <c r="B2494" s="1279">
        <f t="shared" ref="B2494" si="845">IF(C2494&lt;&gt;"",MONTH(C2494),"")</f>
        <v>8</v>
      </c>
      <c r="C2494" s="71">
        <v>42965</v>
      </c>
      <c r="D2494" s="71" t="s">
        <v>903</v>
      </c>
      <c r="E2494" s="71">
        <f t="shared" ref="E2494" si="846">C2494</f>
        <v>42965</v>
      </c>
      <c r="F2494" s="72" t="s">
        <v>1086</v>
      </c>
      <c r="G2494" s="72" t="s">
        <v>1713</v>
      </c>
      <c r="H2494" s="735" t="s">
        <v>545</v>
      </c>
      <c r="I2494" s="1213"/>
      <c r="J2494" s="378"/>
      <c r="K2494" s="1213">
        <f>435435-K2492</f>
        <v>5278</v>
      </c>
      <c r="L2494" s="1214">
        <v>22720</v>
      </c>
      <c r="M2494" s="1214">
        <f t="shared" si="838"/>
        <v>119916160</v>
      </c>
      <c r="N2494" s="75" t="s">
        <v>256</v>
      </c>
      <c r="O2494" s="75" t="s">
        <v>536</v>
      </c>
      <c r="P2494" s="75" t="str">
        <f>IF(AND('331-CT'!$E$7=TH!H2494,OR(N2494="331",O2494="331")),"x","")</f>
        <v/>
      </c>
      <c r="Q2494" s="75" t="str">
        <f>IF(AND(B2494='111'!$L$11,OR($N2494=$Q$7,$O2494=$Q$7)),"x","")</f>
        <v/>
      </c>
      <c r="R2494" s="75" t="str">
        <f>IF(AND($N2494=$Q$7,$B2494&lt;'111'!$L$11),"x","")</f>
        <v/>
      </c>
      <c r="S2494" s="75" t="str">
        <f>IF(AND($O2494=$Q$7,$B2494&lt;'111'!$L$11),"x","")</f>
        <v/>
      </c>
      <c r="T2494" s="75" t="str">
        <f>IF(ISERROR(FIND('112'!$M$9,G2494,1)),"",IF((AND(FIND('112'!$M$9,G2494,1)&gt;=1,B2494='112'!$K$9,OR($N2494='112'!$I$6,$O2494='112'!$I$6))),"x",""))</f>
        <v/>
      </c>
      <c r="U2494" s="75" t="str">
        <f>IF(ISERROR(FIND('112'!$M$9,G2494,1)),"",IF((AND(LEFT(G2494,2)=LEFT('112'!$M$9,2),B2494&lt;'112'!$K$9,$N2494='112'!$I$6)),"x",""))</f>
        <v/>
      </c>
      <c r="V2494" s="75" t="str">
        <f>IF(ISERROR(FIND('112'!$M$9,G2494,1)),"",IF((AND(RIGHT(G2494,2)=RIGHT('112'!$M$9,2),B2494&lt;'112'!$K$9,$O2494='112'!$I$6)),"x",""))</f>
        <v/>
      </c>
      <c r="W2494" s="75" t="str">
        <f>IF(AND('341-CT'!$H$9=H2494,OR(LEFT(N2494,3)=$W$7,LEFT(O2494,3)=$W$7)),"x","")</f>
        <v/>
      </c>
      <c r="X2494" s="75" t="str">
        <f>IF(OR(TH!N2494=TH!$X$7,O2494=TH!$X$7),"x","")</f>
        <v/>
      </c>
      <c r="Y2494" s="75" t="str">
        <f>IF(AND(OR(N2494="131",O2494="131"),H2494='131-CT'!$H$9),"x","")</f>
        <v/>
      </c>
      <c r="Z2494" s="75"/>
      <c r="AA2494" s="75" t="str">
        <f>IF(AND(MONTH(E2494)='IN-NX'!$J$5,'IN-NX'!$D$7=D2494),"x","")</f>
        <v/>
      </c>
      <c r="AB2494" s="75" t="str">
        <f>IF(AND(OR(LEFT(TH!N2494,2)="15",LEFT(TH!O2494,2)="15"),LEFT(TH!O2494,3)&lt;&gt;"111",'152-CT'!$J$8=TH!F2494),"x","")</f>
        <v/>
      </c>
      <c r="AC2494" s="75" t="str">
        <f>IF(AND(OR(LEFT(TH!N2494,2)="15",LEFT(TH!O2494,2)="15"),TK!$E$7=TH!F2494),"x","")</f>
        <v/>
      </c>
      <c r="AD2494" s="75" t="str">
        <f>IF(AND(N2494="1521",MONTH(C2494)='BK-NL'!$M$11),"x","")</f>
        <v/>
      </c>
    </row>
    <row r="2495" spans="1:30" s="1264" customFormat="1" ht="16.5" customHeight="1">
      <c r="A2495" s="309" t="str">
        <f>IF(B2495&lt;&gt;"",IF(AND(B2495='IN-TC'!$S$4,OR(TH!N2495="1111",TH!O2495="1111")),TH!D2495,""),"")</f>
        <v/>
      </c>
      <c r="B2495" s="1279">
        <f t="shared" ref="B2495:B2500" si="847">IF(C2495&lt;&gt;"",MONTH(C2495),"")</f>
        <v>8</v>
      </c>
      <c r="C2495" s="71">
        <v>42965</v>
      </c>
      <c r="D2495" s="71" t="s">
        <v>903</v>
      </c>
      <c r="E2495" s="71">
        <f t="shared" si="837"/>
        <v>42965</v>
      </c>
      <c r="F2495" s="72" t="s">
        <v>1307</v>
      </c>
      <c r="G2495" s="72" t="s">
        <v>1713</v>
      </c>
      <c r="H2495" s="73"/>
      <c r="I2495" s="1213"/>
      <c r="J2495" s="378"/>
      <c r="K2495" s="1213">
        <v>220</v>
      </c>
      <c r="L2495" s="1214">
        <v>22720</v>
      </c>
      <c r="M2495" s="74">
        <f t="shared" ref="M2495:M2499" si="848">ROUND(K2495*L2495,0)</f>
        <v>4998400</v>
      </c>
      <c r="N2495" s="75" t="s">
        <v>101</v>
      </c>
      <c r="O2495" s="75" t="s">
        <v>256</v>
      </c>
      <c r="P2495" s="75" t="str">
        <f>IF(AND('331-CT'!$E$7=TH!H2495,OR(N2495="331",O2495="331")),"x","")</f>
        <v/>
      </c>
      <c r="Q2495" s="75" t="str">
        <f>IF(AND(B2495='111'!$L$11,OR($N2495=$Q$7,$O2495=$Q$7)),"x","")</f>
        <v/>
      </c>
      <c r="R2495" s="75" t="str">
        <f>IF(AND($N2495=$Q$7,$B2495&lt;'111'!$L$11),"x","")</f>
        <v/>
      </c>
      <c r="S2495" s="75" t="str">
        <f>IF(AND($O2495=$Q$7,$B2495&lt;'111'!$L$11),"x","")</f>
        <v/>
      </c>
      <c r="T2495" s="75" t="str">
        <f>IF(ISERROR(FIND('112'!$M$9,G2495,1)),"",IF((AND(FIND('112'!$M$9,G2495,1)&gt;=1,B2495='112'!$K$9,OR($N2495='112'!$I$6,$O2495='112'!$I$6))),"x",""))</f>
        <v/>
      </c>
      <c r="U2495" s="75" t="str">
        <f>IF(ISERROR(FIND('112'!$M$9,G2495,1)),"",IF((AND(LEFT(G2495,2)=LEFT('112'!$M$9,2),B2495&lt;'112'!$K$9,$N2495='112'!$I$6)),"x",""))</f>
        <v/>
      </c>
      <c r="V2495" s="75" t="str">
        <f>IF(ISERROR(FIND('112'!$M$9,G2495,1)),"",IF((AND(RIGHT(G2495,2)=RIGHT('112'!$M$9,2),B2495&lt;'112'!$K$9,$O2495='112'!$I$6)),"x",""))</f>
        <v/>
      </c>
      <c r="W2495" s="75" t="str">
        <f>IF(AND('341-CT'!$H$9=H2495,OR(LEFT(N2495,3)=$W$7,LEFT(O2495,3)=$W$7)),"x","")</f>
        <v/>
      </c>
      <c r="X2495" s="75" t="str">
        <f>IF(OR(TH!N2495=TH!$X$7,O2495=TH!$X$7),"x","")</f>
        <v/>
      </c>
      <c r="Y2495" s="75" t="str">
        <f>IF(AND(OR(N2495="131",O2495="131"),H2495='131-CT'!$H$9),"x","")</f>
        <v/>
      </c>
      <c r="Z2495" s="75"/>
      <c r="AA2495" s="75" t="str">
        <f>IF(AND(MONTH(E2495)='IN-NX'!$J$5,'IN-NX'!$D$7=D2495),"x","")</f>
        <v/>
      </c>
      <c r="AB2495" s="75" t="str">
        <f>IF(AND(OR(LEFT(TH!N2495,2)="15",LEFT(TH!O2495,2)="15"),LEFT(TH!O2495,3)&lt;&gt;"111",'152-CT'!$J$8=TH!F2495),"x","")</f>
        <v/>
      </c>
      <c r="AC2495" s="75" t="str">
        <f>IF(AND(OR(LEFT(TH!N2495,2)="15",LEFT(TH!O2495,2)="15"),TK!$E$7=TH!F2495),"x","")</f>
        <v/>
      </c>
      <c r="AD2495" s="75" t="str">
        <f>IF(AND(N2495="1521",MONTH(C2495)='BK-NL'!$M$11),"x","")</f>
        <v/>
      </c>
    </row>
    <row r="2496" spans="1:30" s="1264" customFormat="1" ht="16.5" customHeight="1">
      <c r="A2496" s="309" t="str">
        <f>IF(B2496&lt;&gt;"",IF(AND(B2496='IN-TC'!$S$4,OR(TH!N2496="1111",TH!O2496="1111")),TH!D2496,""),"")</f>
        <v/>
      </c>
      <c r="B2496" s="1279">
        <f t="shared" si="847"/>
        <v>8</v>
      </c>
      <c r="C2496" s="71">
        <v>42968</v>
      </c>
      <c r="D2496" s="71" t="s">
        <v>903</v>
      </c>
      <c r="E2496" s="71">
        <f t="shared" si="837"/>
        <v>42968</v>
      </c>
      <c r="F2496" s="72" t="s">
        <v>907</v>
      </c>
      <c r="G2496" s="72" t="s">
        <v>1713</v>
      </c>
      <c r="H2496" s="73"/>
      <c r="I2496" s="371"/>
      <c r="J2496" s="378"/>
      <c r="K2496" s="371">
        <v>432565</v>
      </c>
      <c r="L2496" s="377">
        <v>22722</v>
      </c>
      <c r="M2496" s="74">
        <f t="shared" si="848"/>
        <v>9828741930</v>
      </c>
      <c r="N2496" s="75" t="s">
        <v>26</v>
      </c>
      <c r="O2496" s="75" t="s">
        <v>256</v>
      </c>
      <c r="P2496" s="75" t="str">
        <f>IF(AND('331-CT'!$E$7=TH!H2496,OR(N2496="331",O2496="331")),"x","")</f>
        <v/>
      </c>
      <c r="Q2496" s="75" t="str">
        <f>IF(AND(B2496='111'!$L$11,OR($N2496=$Q$7,$O2496=$Q$7)),"x","")</f>
        <v/>
      </c>
      <c r="R2496" s="75" t="str">
        <f>IF(AND($N2496=$Q$7,$B2496&lt;'111'!$L$11),"x","")</f>
        <v/>
      </c>
      <c r="S2496" s="75" t="str">
        <f>IF(AND($O2496=$Q$7,$B2496&lt;'111'!$L$11),"x","")</f>
        <v/>
      </c>
      <c r="T2496" s="75" t="str">
        <f>IF(ISERROR(FIND('112'!$M$9,G2496,1)),"",IF((AND(FIND('112'!$M$9,G2496,1)&gt;=1,B2496='112'!$K$9,OR($N2496='112'!$I$6,$O2496='112'!$I$6))),"x",""))</f>
        <v/>
      </c>
      <c r="U2496" s="75" t="str">
        <f>IF(ISERROR(FIND('112'!$M$9,G2496,1)),"",IF((AND(LEFT(G2496,2)=LEFT('112'!$M$9,2),B2496&lt;'112'!$K$9,$N2496='112'!$I$6)),"x",""))</f>
        <v/>
      </c>
      <c r="V2496" s="75" t="str">
        <f>IF(ISERROR(FIND('112'!$M$9,G2496,1)),"",IF((AND(RIGHT(G2496,2)=RIGHT('112'!$M$9,2),B2496&lt;'112'!$K$9,$O2496='112'!$I$6)),"x",""))</f>
        <v/>
      </c>
      <c r="W2496" s="75" t="str">
        <f>IF(AND('341-CT'!$H$9=H2496,OR(LEFT(N2496,3)=$W$7,LEFT(O2496,3)=$W$7)),"x","")</f>
        <v/>
      </c>
      <c r="X2496" s="75" t="str">
        <f>IF(OR(TH!N2496=TH!$X$7,O2496=TH!$X$7),"x","")</f>
        <v/>
      </c>
      <c r="Y2496" s="75" t="str">
        <f>IF(AND(OR(N2496="131",O2496="131"),H2496='131-CT'!$H$9),"x","")</f>
        <v/>
      </c>
      <c r="Z2496" s="75"/>
      <c r="AA2496" s="75" t="str">
        <f>IF(AND(MONTH(E2496)='IN-NX'!$J$5,'IN-NX'!$D$7=D2496),"x","")</f>
        <v/>
      </c>
      <c r="AB2496" s="75" t="str">
        <f>IF(AND(OR(LEFT(TH!N2496,2)="15",LEFT(TH!O2496,2)="15"),LEFT(TH!O2496,3)&lt;&gt;"111",'152-CT'!$J$8=TH!F2496),"x","")</f>
        <v/>
      </c>
      <c r="AC2496" s="75" t="str">
        <f>IF(AND(OR(LEFT(TH!N2496,2)="15",LEFT(TH!O2496,2)="15"),TK!$E$7=TH!F2496),"x","")</f>
        <v/>
      </c>
      <c r="AD2496" s="75" t="str">
        <f>IF(AND(N2496="1521",MONTH(C2496)='BK-NL'!$M$11),"x","")</f>
        <v/>
      </c>
    </row>
    <row r="2497" spans="1:31" s="1264" customFormat="1" ht="16.5" customHeight="1">
      <c r="A2497" s="309" t="str">
        <f>IF(B2497&lt;&gt;"",IF(AND(B2497='IN-TC'!$S$4,OR(TH!N2497="1111",TH!O2497="1111")),TH!D2497,""),"")</f>
        <v/>
      </c>
      <c r="B2497" s="1279">
        <f t="shared" si="847"/>
        <v>8</v>
      </c>
      <c r="C2497" s="71">
        <v>42972</v>
      </c>
      <c r="D2497" s="71" t="s">
        <v>903</v>
      </c>
      <c r="E2497" s="71">
        <f t="shared" si="837"/>
        <v>42972</v>
      </c>
      <c r="F2497" s="72" t="s">
        <v>918</v>
      </c>
      <c r="G2497" s="72" t="s">
        <v>1738</v>
      </c>
      <c r="H2497" s="73"/>
      <c r="I2497" s="371"/>
      <c r="J2497" s="378"/>
      <c r="K2497" s="371">
        <v>400</v>
      </c>
      <c r="L2497" s="377">
        <v>22720</v>
      </c>
      <c r="M2497" s="1214">
        <f t="shared" si="838"/>
        <v>9088000</v>
      </c>
      <c r="N2497" s="75" t="s">
        <v>256</v>
      </c>
      <c r="O2497" s="75" t="s">
        <v>256</v>
      </c>
      <c r="P2497" s="75" t="str">
        <f>IF(AND('331-CT'!$E$7=TH!H2497,OR(N2497="331",O2497="331")),"x","")</f>
        <v/>
      </c>
      <c r="Q2497" s="75" t="str">
        <f>IF(AND(B2497='111'!$L$11,OR($N2497=$Q$7,$O2497=$Q$7)),"x","")</f>
        <v/>
      </c>
      <c r="R2497" s="75" t="str">
        <f>IF(AND($N2497=$Q$7,$B2497&lt;'111'!$L$11),"x","")</f>
        <v/>
      </c>
      <c r="S2497" s="75" t="str">
        <f>IF(AND($O2497=$Q$7,$B2497&lt;'111'!$L$11),"x","")</f>
        <v/>
      </c>
      <c r="T2497" s="75" t="str">
        <f>IF(ISERROR(FIND('112'!$M$9,G2497,1)),"",IF((AND(FIND('112'!$M$9,G2497,1)&gt;=1,B2497='112'!$K$9,OR($N2497='112'!$I$6,$O2497='112'!$I$6))),"x",""))</f>
        <v/>
      </c>
      <c r="U2497" s="75" t="str">
        <f>IF(ISERROR(FIND('112'!$M$9,G2497,1)),"",IF((AND(LEFT(G2497,2)=LEFT('112'!$M$9,2),B2497&lt;'112'!$K$9,$N2497='112'!$I$6)),"x",""))</f>
        <v/>
      </c>
      <c r="V2497" s="75" t="str">
        <f>IF(ISERROR(FIND('112'!$M$9,G2497,1)),"",IF((AND(RIGHT(G2497,2)=RIGHT('112'!$M$9,2),B2497&lt;'112'!$K$9,$O2497='112'!$I$6)),"x",""))</f>
        <v/>
      </c>
      <c r="W2497" s="75" t="str">
        <f>IF(AND('341-CT'!$H$9=H2497,OR(LEFT(N2497,3)=$W$7,LEFT(O2497,3)=$W$7)),"x","")</f>
        <v/>
      </c>
      <c r="X2497" s="75" t="str">
        <f>IF(OR(TH!N2497=TH!$X$7,O2497=TH!$X$7),"x","")</f>
        <v/>
      </c>
      <c r="Y2497" s="75" t="str">
        <f>IF(AND(OR(N2497="131",O2497="131"),H2497='131-CT'!$H$9),"x","")</f>
        <v/>
      </c>
      <c r="Z2497" s="75"/>
      <c r="AA2497" s="75" t="str">
        <f>IF(AND(MONTH(E2497)='IN-NX'!$J$5,'IN-NX'!$D$7=D2497),"x","")</f>
        <v/>
      </c>
      <c r="AB2497" s="75" t="str">
        <f>IF(AND(OR(LEFT(TH!N2497,2)="15",LEFT(TH!O2497,2)="15"),LEFT(TH!O2497,3)&lt;&gt;"111",'152-CT'!$J$8=TH!F2497),"x","")</f>
        <v/>
      </c>
      <c r="AC2497" s="75" t="str">
        <f>IF(AND(OR(LEFT(TH!N2497,2)="15",LEFT(TH!O2497,2)="15"),TK!$E$7=TH!F2497),"x","")</f>
        <v/>
      </c>
      <c r="AD2497" s="75" t="str">
        <f>IF(AND(N2497="1521",MONTH(C2497)='BK-NL'!$M$11),"x","")</f>
        <v/>
      </c>
    </row>
    <row r="2498" spans="1:31" s="1264" customFormat="1" ht="16.5" customHeight="1">
      <c r="A2498" s="309" t="str">
        <f>IF(B2498&lt;&gt;"",IF(AND(B2498='IN-TC'!$S$4,OR(TH!N2498="1111",TH!O2498="1111")),TH!D2498,""),"")</f>
        <v/>
      </c>
      <c r="B2498" s="1279">
        <f t="shared" si="847"/>
        <v>8</v>
      </c>
      <c r="C2498" s="71">
        <v>42973</v>
      </c>
      <c r="D2498" s="71" t="s">
        <v>902</v>
      </c>
      <c r="E2498" s="71">
        <f t="shared" si="837"/>
        <v>42973</v>
      </c>
      <c r="F2498" s="72" t="s">
        <v>1321</v>
      </c>
      <c r="G2498" s="72" t="s">
        <v>1713</v>
      </c>
      <c r="H2498" s="73" t="s">
        <v>2406</v>
      </c>
      <c r="I2498" s="1213"/>
      <c r="J2498" s="1214"/>
      <c r="K2498" s="1213">
        <v>3700</v>
      </c>
      <c r="L2498" s="377">
        <v>22725</v>
      </c>
      <c r="M2498" s="74">
        <f t="shared" si="848"/>
        <v>84082500</v>
      </c>
      <c r="N2498" s="75" t="s">
        <v>250</v>
      </c>
      <c r="O2498" s="75" t="s">
        <v>256</v>
      </c>
      <c r="P2498" s="75" t="str">
        <f>IF(AND('331-CT'!$E$7=TH!H2498,OR(N2498="331",O2498="331")),"x","")</f>
        <v/>
      </c>
      <c r="Q2498" s="75" t="str">
        <f>IF(AND(B2498='111'!$L$11,OR($N2498=$Q$7,$O2498=$Q$7)),"x","")</f>
        <v/>
      </c>
      <c r="R2498" s="75" t="str">
        <f>IF(AND($N2498=$Q$7,$B2498&lt;'111'!$L$11),"x","")</f>
        <v/>
      </c>
      <c r="S2498" s="75" t="str">
        <f>IF(AND($O2498=$Q$7,$B2498&lt;'111'!$L$11),"x","")</f>
        <v/>
      </c>
      <c r="T2498" s="75" t="str">
        <f>IF(ISERROR(FIND('112'!$M$9,G2498,1)),"",IF((AND(FIND('112'!$M$9,G2498,1)&gt;=1,B2498='112'!$K$9,OR($N2498='112'!$I$6,$O2498='112'!$I$6))),"x",""))</f>
        <v/>
      </c>
      <c r="U2498" s="75" t="str">
        <f>IF(ISERROR(FIND('112'!$M$9,G2498,1)),"",IF((AND(LEFT(G2498,2)=LEFT('112'!$M$9,2),B2498&lt;'112'!$K$9,$N2498='112'!$I$6)),"x",""))</f>
        <v/>
      </c>
      <c r="V2498" s="75" t="str">
        <f>IF(ISERROR(FIND('112'!$M$9,G2498,1)),"",IF((AND(RIGHT(G2498,2)=RIGHT('112'!$M$9,2),B2498&lt;'112'!$K$9,$O2498='112'!$I$6)),"x",""))</f>
        <v/>
      </c>
      <c r="W2498" s="75" t="str">
        <f>IF(AND('341-CT'!$H$9=H2498,OR(LEFT(N2498,3)=$W$7,LEFT(O2498,3)=$W$7)),"x","")</f>
        <v/>
      </c>
      <c r="X2498" s="75" t="str">
        <f>IF(OR(TH!N2498=TH!$X$7,O2498=TH!$X$7),"x","")</f>
        <v/>
      </c>
      <c r="Y2498" s="75" t="str">
        <f>IF(AND(OR(N2498="131",O2498="131"),H2498='131-CT'!$H$9),"x","")</f>
        <v/>
      </c>
      <c r="Z2498" s="75"/>
      <c r="AA2498" s="75" t="str">
        <f>IF(AND(MONTH(E2498)='IN-NX'!$J$5,'IN-NX'!$D$7=D2498),"x","")</f>
        <v/>
      </c>
      <c r="AB2498" s="75" t="str">
        <f>IF(AND(OR(LEFT(TH!N2498,2)="15",LEFT(TH!O2498,2)="15"),LEFT(TH!O2498,3)&lt;&gt;"111",'152-CT'!$J$8=TH!F2498),"x","")</f>
        <v/>
      </c>
      <c r="AC2498" s="75" t="str">
        <f>IF(AND(OR(LEFT(TH!N2498,2)="15",LEFT(TH!O2498,2)="15"),TK!$E$7=TH!F2498),"x","")</f>
        <v/>
      </c>
      <c r="AD2498" s="75" t="str">
        <f>IF(AND(N2498="1521",MONTH(C2498)='BK-NL'!$M$11),"x","")</f>
        <v/>
      </c>
    </row>
    <row r="2499" spans="1:31" s="1264" customFormat="1" ht="16.5" customHeight="1">
      <c r="A2499" s="309" t="str">
        <f>IF(B2499&lt;&gt;"",IF(AND(B2499='IN-TC'!$S$4,OR(TH!N2499="1111",TH!O2499="1111")),TH!D2499,""),"")</f>
        <v/>
      </c>
      <c r="B2499" s="1279">
        <f t="shared" si="847"/>
        <v>8</v>
      </c>
      <c r="C2499" s="71">
        <v>42973</v>
      </c>
      <c r="D2499" s="71" t="s">
        <v>902</v>
      </c>
      <c r="E2499" s="71">
        <f t="shared" si="837"/>
        <v>42973</v>
      </c>
      <c r="F2499" s="930" t="s">
        <v>1096</v>
      </c>
      <c r="G2499" s="72" t="s">
        <v>1713</v>
      </c>
      <c r="H2499" s="73" t="s">
        <v>2406</v>
      </c>
      <c r="I2499" s="1213"/>
      <c r="J2499" s="1214"/>
      <c r="K2499" s="1213">
        <v>319.27</v>
      </c>
      <c r="L2499" s="377">
        <v>22725</v>
      </c>
      <c r="M2499" s="74">
        <f t="shared" si="848"/>
        <v>7255411</v>
      </c>
      <c r="N2499" s="75" t="s">
        <v>99</v>
      </c>
      <c r="O2499" s="75" t="s">
        <v>256</v>
      </c>
      <c r="P2499" s="75" t="str">
        <f>IF(AND('331-CT'!$E$7=TH!H2499,OR(N2499="331",O2499="331")),"x","")</f>
        <v/>
      </c>
      <c r="Q2499" s="75" t="str">
        <f>IF(AND(B2499='111'!$L$11,OR($N2499=$Q$7,$O2499=$Q$7)),"x","")</f>
        <v/>
      </c>
      <c r="R2499" s="75" t="str">
        <f>IF(AND($N2499=$Q$7,$B2499&lt;'111'!$L$11),"x","")</f>
        <v/>
      </c>
      <c r="S2499" s="75" t="str">
        <f>IF(AND($O2499=$Q$7,$B2499&lt;'111'!$L$11),"x","")</f>
        <v/>
      </c>
      <c r="T2499" s="75" t="str">
        <f>IF(ISERROR(FIND('112'!$M$9,G2499,1)),"",IF((AND(FIND('112'!$M$9,G2499,1)&gt;=1,B2499='112'!$K$9,OR($N2499='112'!$I$6,$O2499='112'!$I$6))),"x",""))</f>
        <v/>
      </c>
      <c r="U2499" s="75" t="str">
        <f>IF(ISERROR(FIND('112'!$M$9,G2499,1)),"",IF((AND(LEFT(G2499,2)=LEFT('112'!$M$9,2),B2499&lt;'112'!$K$9,$N2499='112'!$I$6)),"x",""))</f>
        <v/>
      </c>
      <c r="V2499" s="75" t="str">
        <f>IF(ISERROR(FIND('112'!$M$9,G2499,1)),"",IF((AND(RIGHT(G2499,2)=RIGHT('112'!$M$9,2),B2499&lt;'112'!$K$9,$O2499='112'!$I$6)),"x",""))</f>
        <v/>
      </c>
      <c r="W2499" s="75" t="str">
        <f>IF(AND('341-CT'!$H$9=H2499,OR(LEFT(N2499,3)=$W$7,LEFT(O2499,3)=$W$7)),"x","")</f>
        <v/>
      </c>
      <c r="X2499" s="75" t="str">
        <f>IF(OR(TH!N2499=TH!$X$7,O2499=TH!$X$7),"x","")</f>
        <v/>
      </c>
      <c r="Y2499" s="75" t="str">
        <f>IF(AND(OR(N2499="131",O2499="131"),H2499='131-CT'!$H$9),"x","")</f>
        <v/>
      </c>
      <c r="Z2499" s="75"/>
      <c r="AA2499" s="75" t="str">
        <f>IF(AND(MONTH(E2499)='IN-NX'!$J$5,'IN-NX'!$D$7=D2499),"x","")</f>
        <v/>
      </c>
      <c r="AB2499" s="75" t="str">
        <f>IF(AND(OR(LEFT(TH!N2499,2)="15",LEFT(TH!O2499,2)="15"),LEFT(TH!O2499,3)&lt;&gt;"111",'152-CT'!$J$8=TH!F2499),"x","")</f>
        <v/>
      </c>
      <c r="AC2499" s="75" t="str">
        <f>IF(AND(OR(LEFT(TH!N2499,2)="15",LEFT(TH!O2499,2)="15"),TK!$E$7=TH!F2499),"x","")</f>
        <v/>
      </c>
      <c r="AD2499" s="75" t="str">
        <f>IF(AND(N2499="1521",MONTH(C2499)='BK-NL'!$M$11),"x","")</f>
        <v/>
      </c>
    </row>
    <row r="2500" spans="1:31" s="1264" customFormat="1" ht="16.5" customHeight="1">
      <c r="A2500" s="309" t="str">
        <f>IF(B2500&lt;&gt;"",IF(AND(B2500='IN-TC'!$S$4,OR(TH!N2500="1111",TH!O2500="1111")),TH!D2500,""),"")</f>
        <v/>
      </c>
      <c r="B2500" s="1279">
        <f t="shared" si="847"/>
        <v>8</v>
      </c>
      <c r="C2500" s="71">
        <v>42977</v>
      </c>
      <c r="D2500" s="71" t="s">
        <v>903</v>
      </c>
      <c r="E2500" s="71">
        <f t="shared" si="837"/>
        <v>42977</v>
      </c>
      <c r="F2500" s="72" t="s">
        <v>1086</v>
      </c>
      <c r="G2500" s="72" t="s">
        <v>1713</v>
      </c>
      <c r="H2500" s="73" t="s">
        <v>759</v>
      </c>
      <c r="I2500" s="1213"/>
      <c r="J2500" s="378"/>
      <c r="K2500" s="1213">
        <v>427518</v>
      </c>
      <c r="L2500" s="1214">
        <v>22720</v>
      </c>
      <c r="M2500" s="1214">
        <f t="shared" si="838"/>
        <v>9713208960</v>
      </c>
      <c r="N2500" s="75" t="s">
        <v>256</v>
      </c>
      <c r="O2500" s="75" t="s">
        <v>536</v>
      </c>
      <c r="P2500" s="75" t="str">
        <f>IF(AND('331-CT'!$E$7=TH!H2500,OR(N2500="331",O2500="331")),"x","")</f>
        <v/>
      </c>
      <c r="Q2500" s="75" t="str">
        <f>IF(AND(B2500='111'!$L$11,OR($N2500=$Q$7,$O2500=$Q$7)),"x","")</f>
        <v/>
      </c>
      <c r="R2500" s="75" t="str">
        <f>IF(AND($N2500=$Q$7,$B2500&lt;'111'!$L$11),"x","")</f>
        <v/>
      </c>
      <c r="S2500" s="75" t="str">
        <f>IF(AND($O2500=$Q$7,$B2500&lt;'111'!$L$11),"x","")</f>
        <v/>
      </c>
      <c r="T2500" s="75" t="str">
        <f>IF(ISERROR(FIND('112'!$M$9,G2500,1)),"",IF((AND(FIND('112'!$M$9,G2500,1)&gt;=1,B2500='112'!$K$9,OR($N2500='112'!$I$6,$O2500='112'!$I$6))),"x",""))</f>
        <v/>
      </c>
      <c r="U2500" s="75" t="str">
        <f>IF(ISERROR(FIND('112'!$M$9,G2500,1)),"",IF((AND(LEFT(G2500,2)=LEFT('112'!$M$9,2),B2500&lt;'112'!$K$9,$N2500='112'!$I$6)),"x",""))</f>
        <v/>
      </c>
      <c r="V2500" s="75" t="str">
        <f>IF(ISERROR(FIND('112'!$M$9,G2500,1)),"",IF((AND(RIGHT(G2500,2)=RIGHT('112'!$M$9,2),B2500&lt;'112'!$K$9,$O2500='112'!$I$6)),"x",""))</f>
        <v/>
      </c>
      <c r="W2500" s="75" t="str">
        <f>IF(AND('341-CT'!$H$9=H2500,OR(LEFT(N2500,3)=$W$7,LEFT(O2500,3)=$W$7)),"x","")</f>
        <v/>
      </c>
      <c r="X2500" s="75" t="str">
        <f>IF(OR(TH!N2500=TH!$X$7,O2500=TH!$X$7),"x","")</f>
        <v/>
      </c>
      <c r="Y2500" s="75" t="str">
        <f>IF(AND(OR(N2500="131",O2500="131"),H2500='131-CT'!$H$9),"x","")</f>
        <v/>
      </c>
      <c r="Z2500" s="75"/>
      <c r="AA2500" s="75" t="str">
        <f>IF(AND(MONTH(E2500)='IN-NX'!$J$5,'IN-NX'!$D$7=D2500),"x","")</f>
        <v/>
      </c>
      <c r="AB2500" s="75" t="str">
        <f>IF(AND(OR(LEFT(TH!N2500,2)="15",LEFT(TH!O2500,2)="15"),LEFT(TH!O2500,3)&lt;&gt;"111",'152-CT'!$J$8=TH!F2500),"x","")</f>
        <v/>
      </c>
      <c r="AC2500" s="75" t="str">
        <f>IF(AND(OR(LEFT(TH!N2500,2)="15",LEFT(TH!O2500,2)="15"),TK!$E$7=TH!F2500),"x","")</f>
        <v/>
      </c>
      <c r="AD2500" s="75" t="str">
        <f>IF(AND(N2500="1521",MONTH(C2500)='BK-NL'!$M$11),"x","")</f>
        <v/>
      </c>
    </row>
    <row r="2501" spans="1:31" s="1264" customFormat="1" ht="16.5" customHeight="1">
      <c r="A2501" s="309" t="str">
        <f>IF(B2501&lt;&gt;"",IF(AND(B2501='IN-TC'!$S$4,OR(TH!N2501="1111",TH!O2501="1111")),TH!D2501,""),"")</f>
        <v/>
      </c>
      <c r="B2501" s="1279">
        <f t="shared" ref="B2501" si="849">IF(C2501&lt;&gt;"",MONTH(C2501),"")</f>
        <v>8</v>
      </c>
      <c r="C2501" s="71">
        <v>42977</v>
      </c>
      <c r="D2501" s="71" t="s">
        <v>530</v>
      </c>
      <c r="E2501" s="71">
        <f t="shared" ref="E2501" si="850">C2501</f>
        <v>42977</v>
      </c>
      <c r="F2501" s="72" t="s">
        <v>1010</v>
      </c>
      <c r="G2501" s="72" t="s">
        <v>1713</v>
      </c>
      <c r="H2501" s="73" t="s">
        <v>759</v>
      </c>
      <c r="I2501" s="1213"/>
      <c r="J2501" s="378"/>
      <c r="K2501" s="1213"/>
      <c r="L2501" s="1214"/>
      <c r="M2501" s="74">
        <v>8550360</v>
      </c>
      <c r="N2501" s="75" t="s">
        <v>536</v>
      </c>
      <c r="O2501" s="75" t="s">
        <v>43</v>
      </c>
      <c r="P2501" s="75" t="str">
        <f>IF(AND('331-CT'!$E$7=TH!H2501,OR(N2501="331",O2501="331")),"x","")</f>
        <v/>
      </c>
      <c r="Q2501" s="75" t="str">
        <f>IF(AND(B2501='111'!$L$11,OR($N2501=$Q$7,$O2501=$Q$7)),"x","")</f>
        <v/>
      </c>
      <c r="R2501" s="75" t="str">
        <f>IF(AND($N2501=$Q$7,$B2501&lt;'111'!$L$11),"x","")</f>
        <v/>
      </c>
      <c r="S2501" s="75" t="str">
        <f>IF(AND($O2501=$Q$7,$B2501&lt;'111'!$L$11),"x","")</f>
        <v/>
      </c>
      <c r="T2501" s="75" t="str">
        <f>IF(ISERROR(FIND('112'!$M$9,G2501,1)),"",IF((AND(FIND('112'!$M$9,G2501,1)&gt;=1,B2501='112'!$K$9,OR($N2501='112'!$I$6,$O2501='112'!$I$6))),"x",""))</f>
        <v/>
      </c>
      <c r="U2501" s="75" t="str">
        <f>IF(ISERROR(FIND('112'!$M$9,G2501,1)),"",IF((AND(LEFT(G2501,2)=LEFT('112'!$M$9,2),B2501&lt;'112'!$K$9,$N2501='112'!$I$6)),"x",""))</f>
        <v/>
      </c>
      <c r="V2501" s="75" t="str">
        <f>IF(ISERROR(FIND('112'!$M$9,G2501,1)),"",IF((AND(RIGHT(G2501,2)=RIGHT('112'!$M$9,2),B2501&lt;'112'!$K$9,$O2501='112'!$I$6)),"x",""))</f>
        <v/>
      </c>
      <c r="W2501" s="75" t="str">
        <f>IF(AND('341-CT'!$H$9=H2501,OR(LEFT(N2501,3)=$W$7,LEFT(O2501,3)=$W$7)),"x","")</f>
        <v/>
      </c>
      <c r="X2501" s="75" t="str">
        <f>IF(OR(TH!N2501=TH!$X$7,O2501=TH!$X$7),"x","")</f>
        <v/>
      </c>
      <c r="Y2501" s="75" t="str">
        <f>IF(AND(OR(N2501="131",O2501="131"),H2501='131-CT'!$H$9),"x","")</f>
        <v/>
      </c>
      <c r="Z2501" s="75"/>
      <c r="AA2501" s="75" t="str">
        <f>IF(AND(MONTH(E2501)='IN-NX'!$J$5,'IN-NX'!$D$7=D2501),"x","")</f>
        <v/>
      </c>
      <c r="AB2501" s="75" t="str">
        <f>IF(AND(OR(LEFT(TH!N2501,2)="15",LEFT(TH!O2501,2)="15"),LEFT(TH!O2501,3)&lt;&gt;"111",'152-CT'!$J$8=TH!F2501),"x","")</f>
        <v/>
      </c>
      <c r="AC2501" s="75" t="str">
        <f>IF(AND(OR(LEFT(TH!N2501,2)="15",LEFT(TH!O2501,2)="15"),TK!$E$7=TH!F2501),"x","")</f>
        <v/>
      </c>
      <c r="AD2501" s="75" t="str">
        <f>IF(AND(N2501="1521",MONTH(C2501)='BK-NL'!$M$11),"x","")</f>
        <v/>
      </c>
    </row>
    <row r="2502" spans="1:31" s="1264" customFormat="1" ht="16.5" customHeight="1">
      <c r="A2502" s="309" t="str">
        <f>IF(B2502&lt;&gt;"",IF(AND(B2502='IN-TC'!$S$4,OR(TH!N2502="1111",TH!O2502="1111")),TH!D2502,""),"")</f>
        <v/>
      </c>
      <c r="B2502" s="1279">
        <f>IF(C2502&lt;&gt;"",MONTH(C2502),"")</f>
        <v>8</v>
      </c>
      <c r="C2502" s="71">
        <v>42977</v>
      </c>
      <c r="D2502" s="71" t="s">
        <v>903</v>
      </c>
      <c r="E2502" s="71">
        <f t="shared" si="837"/>
        <v>42977</v>
      </c>
      <c r="F2502" s="72" t="s">
        <v>1307</v>
      </c>
      <c r="G2502" s="72" t="s">
        <v>1713</v>
      </c>
      <c r="H2502" s="73"/>
      <c r="I2502" s="1213"/>
      <c r="J2502" s="378"/>
      <c r="K2502" s="1213">
        <v>44</v>
      </c>
      <c r="L2502" s="1214">
        <v>22720</v>
      </c>
      <c r="M2502" s="74">
        <f t="shared" ref="M2502:M2503" si="851">ROUND(K2502*L2502,0)</f>
        <v>999680</v>
      </c>
      <c r="N2502" s="75" t="s">
        <v>101</v>
      </c>
      <c r="O2502" s="75" t="s">
        <v>256</v>
      </c>
      <c r="P2502" s="75" t="str">
        <f>IF(AND('331-CT'!$E$7=TH!H2502,OR(N2502="331",O2502="331")),"x","")</f>
        <v/>
      </c>
      <c r="Q2502" s="75" t="str">
        <f>IF(AND(B2502='111'!$L$11,OR($N2502=$Q$7,$O2502=$Q$7)),"x","")</f>
        <v/>
      </c>
      <c r="R2502" s="75" t="str">
        <f>IF(AND($N2502=$Q$7,$B2502&lt;'111'!$L$11),"x","")</f>
        <v/>
      </c>
      <c r="S2502" s="75" t="str">
        <f>IF(AND($O2502=$Q$7,$B2502&lt;'111'!$L$11),"x","")</f>
        <v/>
      </c>
      <c r="T2502" s="75" t="str">
        <f>IF(ISERROR(FIND('112'!$M$9,G2502,1)),"",IF((AND(FIND('112'!$M$9,G2502,1)&gt;=1,B2502='112'!$K$9,OR($N2502='112'!$I$6,$O2502='112'!$I$6))),"x",""))</f>
        <v/>
      </c>
      <c r="U2502" s="75" t="str">
        <f>IF(ISERROR(FIND('112'!$M$9,G2502,1)),"",IF((AND(LEFT(G2502,2)=LEFT('112'!$M$9,2),B2502&lt;'112'!$K$9,$N2502='112'!$I$6)),"x",""))</f>
        <v/>
      </c>
      <c r="V2502" s="75" t="str">
        <f>IF(ISERROR(FIND('112'!$M$9,G2502,1)),"",IF((AND(RIGHT(G2502,2)=RIGHT('112'!$M$9,2),B2502&lt;'112'!$K$9,$O2502='112'!$I$6)),"x",""))</f>
        <v/>
      </c>
      <c r="W2502" s="75" t="str">
        <f>IF(AND('341-CT'!$H$9=H2502,OR(LEFT(N2502,3)=$W$7,LEFT(O2502,3)=$W$7)),"x","")</f>
        <v/>
      </c>
      <c r="X2502" s="75" t="str">
        <f>IF(OR(TH!N2502=TH!$X$7,O2502=TH!$X$7),"x","")</f>
        <v/>
      </c>
      <c r="Y2502" s="75" t="str">
        <f>IF(AND(OR(N2502="131",O2502="131"),H2502='131-CT'!$H$9),"x","")</f>
        <v/>
      </c>
      <c r="Z2502" s="75"/>
      <c r="AA2502" s="75" t="str">
        <f>IF(AND(MONTH(E2502)='IN-NX'!$J$5,'IN-NX'!$D$7=D2502),"x","")</f>
        <v/>
      </c>
      <c r="AB2502" s="75" t="str">
        <f>IF(AND(OR(LEFT(TH!N2502,2)="15",LEFT(TH!O2502,2)="15"),LEFT(TH!O2502,3)&lt;&gt;"111",'152-CT'!$J$8=TH!F2502),"x","")</f>
        <v/>
      </c>
      <c r="AC2502" s="75" t="str">
        <f>IF(AND(OR(LEFT(TH!N2502,2)="15",LEFT(TH!O2502,2)="15"),TK!$E$7=TH!F2502),"x","")</f>
        <v/>
      </c>
      <c r="AD2502" s="75" t="str">
        <f>IF(AND(N2502="1521",MONTH(C2502)='BK-NL'!$M$11),"x","")</f>
        <v/>
      </c>
    </row>
    <row r="2503" spans="1:31" s="1264" customFormat="1" ht="16.5" customHeight="1">
      <c r="A2503" s="309" t="str">
        <f>IF(B2503&lt;&gt;"",IF(AND(B2503='IN-TC'!$S$4,OR(TH!N2503="1111",TH!O2503="1111")),TH!D2503,""),"")</f>
        <v/>
      </c>
      <c r="B2503" s="1279">
        <f>IF(C2503&lt;&gt;"",MONTH(C2503),"")</f>
        <v>8</v>
      </c>
      <c r="C2503" s="71">
        <v>42978</v>
      </c>
      <c r="D2503" s="71" t="s">
        <v>903</v>
      </c>
      <c r="E2503" s="71">
        <f t="shared" si="837"/>
        <v>42978</v>
      </c>
      <c r="F2503" s="72" t="s">
        <v>907</v>
      </c>
      <c r="G2503" s="72" t="s">
        <v>1713</v>
      </c>
      <c r="H2503" s="73"/>
      <c r="I2503" s="371"/>
      <c r="J2503" s="377"/>
      <c r="K2503" s="371">
        <v>427500</v>
      </c>
      <c r="L2503" s="377">
        <v>22725</v>
      </c>
      <c r="M2503" s="74">
        <f t="shared" si="851"/>
        <v>9714937500</v>
      </c>
      <c r="N2503" s="75" t="s">
        <v>26</v>
      </c>
      <c r="O2503" s="75" t="s">
        <v>256</v>
      </c>
      <c r="P2503" s="75" t="str">
        <f>IF(AND('331-CT'!$E$7=TH!H2503,OR(N2503="331",O2503="331")),"x","")</f>
        <v/>
      </c>
      <c r="Q2503" s="75" t="str">
        <f>IF(AND(B2503='111'!$L$11,OR($N2503=$Q$7,$O2503=$Q$7)),"x","")</f>
        <v/>
      </c>
      <c r="R2503" s="75" t="str">
        <f>IF(AND($N2503=$Q$7,$B2503&lt;'111'!$L$11),"x","")</f>
        <v/>
      </c>
      <c r="S2503" s="75" t="str">
        <f>IF(AND($O2503=$Q$7,$B2503&lt;'111'!$L$11),"x","")</f>
        <v/>
      </c>
      <c r="T2503" s="75" t="str">
        <f>IF(ISERROR(FIND('112'!$M$9,G2503,1)),"",IF((AND(FIND('112'!$M$9,G2503,1)&gt;=1,B2503='112'!$K$9,OR($N2503='112'!$I$6,$O2503='112'!$I$6))),"x",""))</f>
        <v/>
      </c>
      <c r="U2503" s="75" t="str">
        <f>IF(ISERROR(FIND('112'!$M$9,G2503,1)),"",IF((AND(LEFT(G2503,2)=LEFT('112'!$M$9,2),B2503&lt;'112'!$K$9,$N2503='112'!$I$6)),"x",""))</f>
        <v/>
      </c>
      <c r="V2503" s="75" t="str">
        <f>IF(ISERROR(FIND('112'!$M$9,G2503,1)),"",IF((AND(RIGHT(G2503,2)=RIGHT('112'!$M$9,2),B2503&lt;'112'!$K$9,$O2503='112'!$I$6)),"x",""))</f>
        <v/>
      </c>
      <c r="W2503" s="75" t="str">
        <f>IF(AND('341-CT'!$H$9=H2503,OR(LEFT(N2503,3)=$W$7,LEFT(O2503,3)=$W$7)),"x","")</f>
        <v/>
      </c>
      <c r="X2503" s="75" t="str">
        <f>IF(OR(TH!N2503=TH!$X$7,O2503=TH!$X$7),"x","")</f>
        <v/>
      </c>
      <c r="Y2503" s="75" t="str">
        <f>IF(AND(OR(N2503="131",O2503="131"),H2503='131-CT'!$H$9),"x","")</f>
        <v/>
      </c>
      <c r="Z2503" s="75"/>
      <c r="AA2503" s="75" t="str">
        <f>IF(AND(MONTH(E2503)='IN-NX'!$J$5,'IN-NX'!$D$7=D2503),"x","")</f>
        <v/>
      </c>
      <c r="AB2503" s="75" t="str">
        <f>IF(AND(OR(LEFT(TH!N2503,2)="15",LEFT(TH!O2503,2)="15"),LEFT(TH!O2503,3)&lt;&gt;"111",'152-CT'!$J$8=TH!F2503),"x","")</f>
        <v/>
      </c>
      <c r="AC2503" s="75" t="str">
        <f>IF(AND(OR(LEFT(TH!N2503,2)="15",LEFT(TH!O2503,2)="15"),TK!$E$7=TH!F2503),"x","")</f>
        <v/>
      </c>
      <c r="AD2503" s="75" t="str">
        <f>IF(AND(N2503="1521",MONTH(C2503)='BK-NL'!$M$11),"x","")</f>
        <v/>
      </c>
    </row>
    <row r="2504" spans="1:31" s="1264" customFormat="1" ht="16.5" customHeight="1">
      <c r="A2504" s="309" t="str">
        <f>IF(B2504&lt;&gt;"",IF(AND(B2504='IN-TC'!$S$4,OR(TH!N2504="1111",TH!O2504="1111")),TH!D2504,""),"")</f>
        <v/>
      </c>
      <c r="B2504" s="1275">
        <f>IF(C2504&lt;&gt;"",MONTH(C2504),"")</f>
        <v>9</v>
      </c>
      <c r="C2504" s="71">
        <v>42989</v>
      </c>
      <c r="D2504" s="71" t="s">
        <v>903</v>
      </c>
      <c r="E2504" s="71">
        <f t="shared" si="837"/>
        <v>42989</v>
      </c>
      <c r="F2504" s="72" t="s">
        <v>1086</v>
      </c>
      <c r="G2504" s="72" t="s">
        <v>1713</v>
      </c>
      <c r="H2504" s="73" t="s">
        <v>759</v>
      </c>
      <c r="I2504" s="1213"/>
      <c r="J2504" s="378"/>
      <c r="K2504" s="1213">
        <v>443352</v>
      </c>
      <c r="L2504" s="1214">
        <v>22720</v>
      </c>
      <c r="M2504" s="1214">
        <f t="shared" si="838"/>
        <v>10072957440</v>
      </c>
      <c r="N2504" s="75" t="s">
        <v>256</v>
      </c>
      <c r="O2504" s="75" t="s">
        <v>536</v>
      </c>
      <c r="P2504" s="75" t="str">
        <f>IF(AND('331-CT'!$E$7=TH!H2504,OR(N2504="331",O2504="331")),"x","")</f>
        <v/>
      </c>
      <c r="Q2504" s="75" t="str">
        <f>IF(AND(B2504='111'!$L$11,OR($N2504=$Q$7,$O2504=$Q$7)),"x","")</f>
        <v/>
      </c>
      <c r="R2504" s="75" t="str">
        <f>IF(AND($N2504=$Q$7,$B2504&lt;'111'!$L$11),"x","")</f>
        <v/>
      </c>
      <c r="S2504" s="75" t="str">
        <f>IF(AND($O2504=$Q$7,$B2504&lt;'111'!$L$11),"x","")</f>
        <v/>
      </c>
      <c r="T2504" s="75" t="str">
        <f>IF(ISERROR(FIND('112'!$M$9,G2504,1)),"",IF((AND(FIND('112'!$M$9,G2504,1)&gt;=1,B2504='112'!$K$9,OR($N2504='112'!$I$6,$O2504='112'!$I$6))),"x",""))</f>
        <v/>
      </c>
      <c r="U2504" s="75" t="str">
        <f>IF(ISERROR(FIND('112'!$M$9,G2504,1)),"",IF((AND(LEFT(G2504,2)=LEFT('112'!$M$9,2),B2504&lt;'112'!$K$9,$N2504='112'!$I$6)),"x",""))</f>
        <v/>
      </c>
      <c r="V2504" s="75" t="str">
        <f>IF(ISERROR(FIND('112'!$M$9,G2504,1)),"",IF((AND(RIGHT(G2504,2)=RIGHT('112'!$M$9,2),B2504&lt;'112'!$K$9,$O2504='112'!$I$6)),"x",""))</f>
        <v/>
      </c>
      <c r="W2504" s="75" t="str">
        <f>IF(AND('341-CT'!$H$9=H2504,OR(LEFT(N2504,3)=$W$7,LEFT(O2504,3)=$W$7)),"x","")</f>
        <v/>
      </c>
      <c r="X2504" s="75" t="str">
        <f>IF(OR(TH!N2504=TH!$X$7,O2504=TH!$X$7),"x","")</f>
        <v/>
      </c>
      <c r="Y2504" s="75" t="str">
        <f>IF(AND(OR(N2504="131",O2504="131"),H2504='131-CT'!$H$9),"x","")</f>
        <v/>
      </c>
      <c r="Z2504" s="75"/>
      <c r="AA2504" s="75" t="str">
        <f>IF(AND(MONTH(E2504)='IN-NX'!$J$5,'IN-NX'!$D$7=D2504),"x","")</f>
        <v/>
      </c>
      <c r="AB2504" s="75" t="str">
        <f>IF(AND(OR(LEFT(TH!N2504,2)="15",LEFT(TH!O2504,2)="15"),LEFT(TH!O2504,3)&lt;&gt;"111",'152-CT'!$J$8=TH!F2504),"x","")</f>
        <v/>
      </c>
      <c r="AC2504" s="75" t="str">
        <f>IF(AND(OR(LEFT(TH!N2504,2)="15",LEFT(TH!O2504,2)="15"),TK!$E$7=TH!F2504),"x","")</f>
        <v/>
      </c>
      <c r="AD2504" s="75" t="str">
        <f>IF(AND(N2504="1521",MONTH(C2504)='BK-NL'!$M$11),"x","")</f>
        <v/>
      </c>
    </row>
    <row r="2505" spans="1:31" s="1264" customFormat="1" ht="16.5" customHeight="1">
      <c r="A2505" s="309" t="str">
        <f>IF(B2505&lt;&gt;"",IF(AND(B2505='IN-TC'!$S$4,OR(TH!N2505="1111",TH!O2505="1111")),TH!D2505,""),"")</f>
        <v/>
      </c>
      <c r="B2505" s="1275">
        <f t="shared" ref="B2505" si="852">IF(C2505&lt;&gt;"",MONTH(C2505),"")</f>
        <v>9</v>
      </c>
      <c r="C2505" s="71">
        <v>42989</v>
      </c>
      <c r="D2505" s="71" t="s">
        <v>530</v>
      </c>
      <c r="E2505" s="71">
        <f t="shared" ref="E2505" si="853">C2505</f>
        <v>42989</v>
      </c>
      <c r="F2505" s="72" t="s">
        <v>1010</v>
      </c>
      <c r="G2505" s="72" t="s">
        <v>1713</v>
      </c>
      <c r="H2505" s="73" t="s">
        <v>759</v>
      </c>
      <c r="I2505" s="1213"/>
      <c r="J2505" s="378"/>
      <c r="K2505" s="1213"/>
      <c r="L2505" s="1214"/>
      <c r="M2505" s="74">
        <v>4433520</v>
      </c>
      <c r="N2505" s="75" t="s">
        <v>536</v>
      </c>
      <c r="O2505" s="75" t="s">
        <v>43</v>
      </c>
      <c r="P2505" s="75" t="str">
        <f>IF(AND('331-CT'!$E$7=TH!H2505,OR(N2505="331",O2505="331")),"x","")</f>
        <v/>
      </c>
      <c r="Q2505" s="75" t="str">
        <f>IF(AND(B2505='111'!$L$11,OR($N2505=$Q$7,$O2505=$Q$7)),"x","")</f>
        <v/>
      </c>
      <c r="R2505" s="75" t="str">
        <f>IF(AND($N2505=$Q$7,$B2505&lt;'111'!$L$11),"x","")</f>
        <v/>
      </c>
      <c r="S2505" s="75" t="str">
        <f>IF(AND($O2505=$Q$7,$B2505&lt;'111'!$L$11),"x","")</f>
        <v/>
      </c>
      <c r="T2505" s="75" t="str">
        <f>IF(ISERROR(FIND('112'!$M$9,G2505,1)),"",IF((AND(FIND('112'!$M$9,G2505,1)&gt;=1,B2505='112'!$K$9,OR($N2505='112'!$I$6,$O2505='112'!$I$6))),"x",""))</f>
        <v/>
      </c>
      <c r="U2505" s="75" t="str">
        <f>IF(ISERROR(FIND('112'!$M$9,G2505,1)),"",IF((AND(LEFT(G2505,2)=LEFT('112'!$M$9,2),B2505&lt;'112'!$K$9,$N2505='112'!$I$6)),"x",""))</f>
        <v/>
      </c>
      <c r="V2505" s="75" t="str">
        <f>IF(ISERROR(FIND('112'!$M$9,G2505,1)),"",IF((AND(RIGHT(G2505,2)=RIGHT('112'!$M$9,2),B2505&lt;'112'!$K$9,$O2505='112'!$I$6)),"x",""))</f>
        <v/>
      </c>
      <c r="W2505" s="75" t="str">
        <f>IF(AND('341-CT'!$H$9=H2505,OR(LEFT(N2505,3)=$W$7,LEFT(O2505,3)=$W$7)),"x","")</f>
        <v/>
      </c>
      <c r="X2505" s="75" t="str">
        <f>IF(OR(TH!N2505=TH!$X$7,O2505=TH!$X$7),"x","")</f>
        <v/>
      </c>
      <c r="Y2505" s="75" t="str">
        <f>IF(AND(OR(N2505="131",O2505="131"),H2505='131-CT'!$H$9),"x","")</f>
        <v/>
      </c>
      <c r="Z2505" s="75"/>
      <c r="AA2505" s="75" t="str">
        <f>IF(AND(MONTH(E2505)='IN-NX'!$J$5,'IN-NX'!$D$7=D2505),"x","")</f>
        <v/>
      </c>
      <c r="AB2505" s="75" t="str">
        <f>IF(AND(OR(LEFT(TH!N2505,2)="15",LEFT(TH!O2505,2)="15"),LEFT(TH!O2505,3)&lt;&gt;"111",'152-CT'!$J$8=TH!F2505),"x","")</f>
        <v/>
      </c>
      <c r="AC2505" s="75" t="str">
        <f>IF(AND(OR(LEFT(TH!N2505,2)="15",LEFT(TH!O2505,2)="15"),TK!$E$7=TH!F2505),"x","")</f>
        <v/>
      </c>
      <c r="AD2505" s="75" t="str">
        <f>IF(AND(N2505="1521",MONTH(C2505)='BK-NL'!$M$11),"x","")</f>
        <v/>
      </c>
    </row>
    <row r="2506" spans="1:31" s="1264" customFormat="1" ht="16.5" customHeight="1">
      <c r="A2506" s="309" t="str">
        <f>IF(B2506&lt;&gt;"",IF(AND(B2506='IN-TC'!$S$4,OR(TH!N2506="1111",TH!O2506="1111")),TH!D2506,""),"")</f>
        <v/>
      </c>
      <c r="B2506" s="1275">
        <f>IF(C2506&lt;&gt;"",MONTH(C2506),"")</f>
        <v>9</v>
      </c>
      <c r="C2506" s="71">
        <v>42989</v>
      </c>
      <c r="D2506" s="71" t="s">
        <v>902</v>
      </c>
      <c r="E2506" s="71">
        <f t="shared" si="837"/>
        <v>42989</v>
      </c>
      <c r="F2506" s="72" t="s">
        <v>1307</v>
      </c>
      <c r="G2506" s="72" t="s">
        <v>1713</v>
      </c>
      <c r="H2506" s="73"/>
      <c r="I2506" s="1213"/>
      <c r="J2506" s="378"/>
      <c r="K2506" s="1213">
        <v>220</v>
      </c>
      <c r="L2506" s="1214">
        <v>22720</v>
      </c>
      <c r="M2506" s="74">
        <f t="shared" ref="M2506:M2507" si="854">ROUND(K2506*L2506,0)</f>
        <v>4998400</v>
      </c>
      <c r="N2506" s="75" t="s">
        <v>101</v>
      </c>
      <c r="O2506" s="75" t="s">
        <v>256</v>
      </c>
      <c r="P2506" s="75" t="str">
        <f>IF(AND('331-CT'!$E$7=TH!H2506,OR(N2506="331",O2506="331")),"x","")</f>
        <v/>
      </c>
      <c r="Q2506" s="75" t="str">
        <f>IF(AND(B2506='111'!$L$11,OR($N2506=$Q$7,$O2506=$Q$7)),"x","")</f>
        <v/>
      </c>
      <c r="R2506" s="75" t="str">
        <f>IF(AND($N2506=$Q$7,$B2506&lt;'111'!$L$11),"x","")</f>
        <v/>
      </c>
      <c r="S2506" s="75" t="str">
        <f>IF(AND($O2506=$Q$7,$B2506&lt;'111'!$L$11),"x","")</f>
        <v/>
      </c>
      <c r="T2506" s="75" t="str">
        <f>IF(ISERROR(FIND('112'!$M$9,G2506,1)),"",IF((AND(FIND('112'!$M$9,G2506,1)&gt;=1,B2506='112'!$K$9,OR($N2506='112'!$I$6,$O2506='112'!$I$6))),"x",""))</f>
        <v/>
      </c>
      <c r="U2506" s="75" t="str">
        <f>IF(ISERROR(FIND('112'!$M$9,G2506,1)),"",IF((AND(LEFT(G2506,2)=LEFT('112'!$M$9,2),B2506&lt;'112'!$K$9,$N2506='112'!$I$6)),"x",""))</f>
        <v/>
      </c>
      <c r="V2506" s="75" t="str">
        <f>IF(ISERROR(FIND('112'!$M$9,G2506,1)),"",IF((AND(RIGHT(G2506,2)=RIGHT('112'!$M$9,2),B2506&lt;'112'!$K$9,$O2506='112'!$I$6)),"x",""))</f>
        <v/>
      </c>
      <c r="W2506" s="75" t="str">
        <f>IF(AND('341-CT'!$H$9=H2506,OR(LEFT(N2506,3)=$W$7,LEFT(O2506,3)=$W$7)),"x","")</f>
        <v/>
      </c>
      <c r="X2506" s="75" t="str">
        <f>IF(OR(TH!N2506=TH!$X$7,O2506=TH!$X$7),"x","")</f>
        <v/>
      </c>
      <c r="Y2506" s="75" t="str">
        <f>IF(AND(OR(N2506="131",O2506="131"),H2506='131-CT'!$H$9),"x","")</f>
        <v/>
      </c>
      <c r="Z2506" s="75"/>
      <c r="AA2506" s="75" t="str">
        <f>IF(AND(MONTH(E2506)='IN-NX'!$J$5,'IN-NX'!$D$7=D2506),"x","")</f>
        <v/>
      </c>
      <c r="AB2506" s="75" t="str">
        <f>IF(AND(OR(LEFT(TH!N2506,2)="15",LEFT(TH!O2506,2)="15"),LEFT(TH!O2506,3)&lt;&gt;"111",'152-CT'!$J$8=TH!F2506),"x","")</f>
        <v/>
      </c>
      <c r="AC2506" s="75" t="str">
        <f>IF(AND(OR(LEFT(TH!N2506,2)="15",LEFT(TH!O2506,2)="15"),TK!$E$7=TH!F2506),"x","")</f>
        <v/>
      </c>
      <c r="AD2506" s="75" t="str">
        <f>IF(AND(N2506="1521",MONTH(C2506)='BK-NL'!$M$11),"x","")</f>
        <v/>
      </c>
    </row>
    <row r="2507" spans="1:31" s="1264" customFormat="1" ht="16.5" customHeight="1">
      <c r="A2507" s="309" t="str">
        <f>IF(B2507&lt;&gt;"",IF(AND(B2507='IN-TC'!$S$4,OR(TH!N2507="1111",TH!O2507="1111")),TH!D2507,""),"")</f>
        <v/>
      </c>
      <c r="B2507" s="1275">
        <f>IF(C2507&lt;&gt;"",MONTH(C2507),"")</f>
        <v>9</v>
      </c>
      <c r="C2507" s="71">
        <v>42989</v>
      </c>
      <c r="D2507" s="71" t="s">
        <v>903</v>
      </c>
      <c r="E2507" s="71">
        <f t="shared" si="837"/>
        <v>42989</v>
      </c>
      <c r="F2507" s="72" t="s">
        <v>907</v>
      </c>
      <c r="G2507" s="72" t="s">
        <v>1713</v>
      </c>
      <c r="H2507" s="73"/>
      <c r="I2507" s="1213"/>
      <c r="J2507" s="378"/>
      <c r="K2507" s="1213">
        <v>443200</v>
      </c>
      <c r="L2507" s="1214">
        <v>22720</v>
      </c>
      <c r="M2507" s="74">
        <f t="shared" si="854"/>
        <v>10069504000</v>
      </c>
      <c r="N2507" s="75" t="s">
        <v>26</v>
      </c>
      <c r="O2507" s="75" t="s">
        <v>256</v>
      </c>
      <c r="P2507" s="75" t="str">
        <f>IF(AND('331-CT'!$E$7=TH!H2507,OR(N2507="331",O2507="331")),"x","")</f>
        <v/>
      </c>
      <c r="Q2507" s="75" t="str">
        <f>IF(AND(B2507='111'!$L$11,OR($N2507=$Q$7,$O2507=$Q$7)),"x","")</f>
        <v/>
      </c>
      <c r="R2507" s="75" t="str">
        <f>IF(AND($N2507=$Q$7,$B2507&lt;'111'!$L$11),"x","")</f>
        <v/>
      </c>
      <c r="S2507" s="75" t="str">
        <f>IF(AND($O2507=$Q$7,$B2507&lt;'111'!$L$11),"x","")</f>
        <v/>
      </c>
      <c r="T2507" s="75" t="str">
        <f>IF(ISERROR(FIND('112'!$M$9,G2507,1)),"",IF((AND(FIND('112'!$M$9,G2507,1)&gt;=1,B2507='112'!$K$9,OR($N2507='112'!$I$6,$O2507='112'!$I$6))),"x",""))</f>
        <v/>
      </c>
      <c r="U2507" s="75" t="str">
        <f>IF(ISERROR(FIND('112'!$M$9,G2507,1)),"",IF((AND(LEFT(G2507,2)=LEFT('112'!$M$9,2),B2507&lt;'112'!$K$9,$N2507='112'!$I$6)),"x",""))</f>
        <v/>
      </c>
      <c r="V2507" s="75" t="str">
        <f>IF(ISERROR(FIND('112'!$M$9,G2507,1)),"",IF((AND(RIGHT(G2507,2)=RIGHT('112'!$M$9,2),B2507&lt;'112'!$K$9,$O2507='112'!$I$6)),"x",""))</f>
        <v/>
      </c>
      <c r="W2507" s="75" t="str">
        <f>IF(AND('341-CT'!$H$9=H2507,OR(LEFT(N2507,3)=$W$7,LEFT(O2507,3)=$W$7)),"x","")</f>
        <v/>
      </c>
      <c r="X2507" s="75" t="str">
        <f>IF(OR(TH!N2507=TH!$X$7,O2507=TH!$X$7),"x","")</f>
        <v/>
      </c>
      <c r="Y2507" s="75" t="str">
        <f>IF(AND(OR(N2507="131",O2507="131"),H2507='131-CT'!$H$9),"x","")</f>
        <v/>
      </c>
      <c r="Z2507" s="75"/>
      <c r="AA2507" s="75" t="str">
        <f>IF(AND(MONTH(E2507)='IN-NX'!$J$5,'IN-NX'!$D$7=D2507),"x","")</f>
        <v/>
      </c>
      <c r="AB2507" s="75" t="str">
        <f>IF(AND(OR(LEFT(TH!N2507,2)="15",LEFT(TH!O2507,2)="15"),LEFT(TH!O2507,3)&lt;&gt;"111",'152-CT'!$J$8=TH!F2507),"x","")</f>
        <v/>
      </c>
      <c r="AC2507" s="75" t="str">
        <f>IF(AND(OR(LEFT(TH!N2507,2)="15",LEFT(TH!O2507,2)="15"),TK!$E$7=TH!F2507),"x","")</f>
        <v/>
      </c>
      <c r="AD2507" s="75" t="str">
        <f>IF(AND(N2507="1521",MONTH(C2507)='BK-NL'!$M$11),"x","")</f>
        <v/>
      </c>
    </row>
    <row r="2508" spans="1:31" s="1264" customFormat="1" ht="16.5" customHeight="1">
      <c r="A2508" s="309" t="str">
        <f>IF(B2508&lt;&gt;"",IF(AND(B2508='IN-TC'!$S$4,OR(TH!N2508="1111",TH!O2508="1111")),TH!D2508,""),"")</f>
        <v/>
      </c>
      <c r="B2508" s="1275">
        <f>IF(C2508&lt;&gt;"",MONTH(C2508),"")</f>
        <v>9</v>
      </c>
      <c r="C2508" s="71">
        <v>42996</v>
      </c>
      <c r="D2508" s="71" t="s">
        <v>903</v>
      </c>
      <c r="E2508" s="71">
        <f t="shared" si="837"/>
        <v>42996</v>
      </c>
      <c r="F2508" s="72" t="s">
        <v>918</v>
      </c>
      <c r="G2508" s="72" t="s">
        <v>2265</v>
      </c>
      <c r="H2508" s="73"/>
      <c r="I2508" s="371"/>
      <c r="J2508" s="378"/>
      <c r="K2508" s="371">
        <v>95000</v>
      </c>
      <c r="L2508" s="1214">
        <v>22700</v>
      </c>
      <c r="M2508" s="1214">
        <f t="shared" si="838"/>
        <v>2156500000</v>
      </c>
      <c r="N2508" s="75" t="s">
        <v>256</v>
      </c>
      <c r="O2508" s="75" t="s">
        <v>256</v>
      </c>
      <c r="P2508" s="75" t="str">
        <f>IF(AND('331-CT'!$E$7=TH!H2508,OR(N2508="331",O2508="331")),"x","")</f>
        <v/>
      </c>
      <c r="Q2508" s="75" t="str">
        <f>IF(AND(B2508='111'!$L$11,OR($N2508=$Q$7,$O2508=$Q$7)),"x","")</f>
        <v/>
      </c>
      <c r="R2508" s="75" t="str">
        <f>IF(AND($N2508=$Q$7,$B2508&lt;'111'!$L$11),"x","")</f>
        <v/>
      </c>
      <c r="S2508" s="75" t="str">
        <f>IF(AND($O2508=$Q$7,$B2508&lt;'111'!$L$11),"x","")</f>
        <v/>
      </c>
      <c r="T2508" s="75" t="str">
        <f>IF(ISERROR(FIND('112'!$M$9,G2508,1)),"",IF((AND(FIND('112'!$M$9,G2508,1)&gt;=1,B2508='112'!$K$9,OR($N2508='112'!$I$6,$O2508='112'!$I$6))),"x",""))</f>
        <v/>
      </c>
      <c r="U2508" s="75" t="str">
        <f>IF(ISERROR(FIND('112'!$M$9,G2508,1)),"",IF((AND(LEFT(G2508,2)=LEFT('112'!$M$9,2),B2508&lt;'112'!$K$9,$N2508='112'!$I$6)),"x",""))</f>
        <v/>
      </c>
      <c r="V2508" s="75" t="str">
        <f>IF(ISERROR(FIND('112'!$M$9,G2508,1)),"",IF((AND(RIGHT(G2508,2)=RIGHT('112'!$M$9,2),B2508&lt;'112'!$K$9,$O2508='112'!$I$6)),"x",""))</f>
        <v/>
      </c>
      <c r="W2508" s="75" t="str">
        <f>IF(AND('341-CT'!$H$9=H2508,OR(LEFT(N2508,3)=$W$7,LEFT(O2508,3)=$W$7)),"x","")</f>
        <v/>
      </c>
      <c r="X2508" s="75" t="str">
        <f>IF(OR(TH!N2508=TH!$X$7,O2508=TH!$X$7),"x","")</f>
        <v/>
      </c>
      <c r="Y2508" s="75" t="str">
        <f>IF(AND(OR(N2508="131",O2508="131"),H2508='131-CT'!$H$9),"x","")</f>
        <v/>
      </c>
      <c r="Z2508" s="75"/>
      <c r="AA2508" s="75" t="str">
        <f>IF(AND(MONTH(E2508)='IN-NX'!$J$5,'IN-NX'!$D$7=D2508),"x","")</f>
        <v/>
      </c>
      <c r="AB2508" s="75" t="str">
        <f>IF(AND(OR(LEFT(TH!N2508,2)="15",LEFT(TH!O2508,2)="15"),LEFT(TH!O2508,3)&lt;&gt;"111",'152-CT'!$J$8=TH!F2508),"x","")</f>
        <v/>
      </c>
      <c r="AC2508" s="75" t="str">
        <f>IF(AND(OR(LEFT(TH!N2508,2)="15",LEFT(TH!O2508,2)="15"),TK!$E$7=TH!F2508),"x","")</f>
        <v/>
      </c>
      <c r="AD2508" s="75" t="str">
        <f>IF(AND(N2508="1521",MONTH(C2508)='BK-NL'!$M$11),"x","")</f>
        <v/>
      </c>
    </row>
    <row r="2509" spans="1:31" s="1264" customFormat="1" ht="16.5" customHeight="1">
      <c r="A2509" s="309" t="str">
        <f>IF(B2509&lt;&gt;"",IF(AND(B2509='IN-TC'!$S$4,OR(TH!N2509="1111",TH!O2509="1111")),TH!D2509,""),"")</f>
        <v/>
      </c>
      <c r="B2509" s="1275">
        <f>IF(C2509&lt;&gt;"",MONTH(C2509),"")</f>
        <v>9</v>
      </c>
      <c r="C2509" s="71">
        <v>42996</v>
      </c>
      <c r="D2509" s="71" t="s">
        <v>903</v>
      </c>
      <c r="E2509" s="71">
        <f t="shared" si="837"/>
        <v>42996</v>
      </c>
      <c r="F2509" s="72" t="s">
        <v>1086</v>
      </c>
      <c r="G2509" s="72" t="s">
        <v>1713</v>
      </c>
      <c r="H2509" s="73" t="s">
        <v>759</v>
      </c>
      <c r="I2509" s="1213"/>
      <c r="J2509" s="378"/>
      <c r="K2509" s="1213">
        <v>443352</v>
      </c>
      <c r="L2509" s="1214">
        <v>22720</v>
      </c>
      <c r="M2509" s="1214">
        <f t="shared" si="838"/>
        <v>10072957440</v>
      </c>
      <c r="N2509" s="75" t="s">
        <v>256</v>
      </c>
      <c r="O2509" s="75" t="s">
        <v>536</v>
      </c>
      <c r="P2509" s="75" t="str">
        <f>IF(AND('331-CT'!$E$7=TH!H2509,OR(N2509="331",O2509="331")),"x","")</f>
        <v/>
      </c>
      <c r="Q2509" s="75" t="str">
        <f>IF(AND(B2509='111'!$L$11,OR($N2509=$Q$7,$O2509=$Q$7)),"x","")</f>
        <v/>
      </c>
      <c r="R2509" s="75" t="str">
        <f>IF(AND($N2509=$Q$7,$B2509&lt;'111'!$L$11),"x","")</f>
        <v/>
      </c>
      <c r="S2509" s="75" t="str">
        <f>IF(AND($O2509=$Q$7,$B2509&lt;'111'!$L$11),"x","")</f>
        <v/>
      </c>
      <c r="T2509" s="75" t="str">
        <f>IF(ISERROR(FIND('112'!$M$9,G2509,1)),"",IF((AND(FIND('112'!$M$9,G2509,1)&gt;=1,B2509='112'!$K$9,OR($N2509='112'!$I$6,$O2509='112'!$I$6))),"x",""))</f>
        <v/>
      </c>
      <c r="U2509" s="75" t="str">
        <f>IF(ISERROR(FIND('112'!$M$9,G2509,1)),"",IF((AND(LEFT(G2509,2)=LEFT('112'!$M$9,2),B2509&lt;'112'!$K$9,$N2509='112'!$I$6)),"x",""))</f>
        <v/>
      </c>
      <c r="V2509" s="75" t="str">
        <f>IF(ISERROR(FIND('112'!$M$9,G2509,1)),"",IF((AND(RIGHT(G2509,2)=RIGHT('112'!$M$9,2),B2509&lt;'112'!$K$9,$O2509='112'!$I$6)),"x",""))</f>
        <v/>
      </c>
      <c r="W2509" s="75" t="str">
        <f>IF(AND('341-CT'!$H$9=H2509,OR(LEFT(N2509,3)=$W$7,LEFT(O2509,3)=$W$7)),"x","")</f>
        <v/>
      </c>
      <c r="X2509" s="75" t="str">
        <f>IF(OR(TH!N2509=TH!$X$7,O2509=TH!$X$7),"x","")</f>
        <v/>
      </c>
      <c r="Y2509" s="75" t="str">
        <f>IF(AND(OR(N2509="131",O2509="131"),H2509='131-CT'!$H$9),"x","")</f>
        <v/>
      </c>
      <c r="Z2509" s="75"/>
      <c r="AA2509" s="75" t="str">
        <f>IF(AND(MONTH(E2509)='IN-NX'!$J$5,'IN-NX'!$D$7=D2509),"x","")</f>
        <v/>
      </c>
      <c r="AB2509" s="75" t="str">
        <f>IF(AND(OR(LEFT(TH!N2509,2)="15",LEFT(TH!O2509,2)="15"),LEFT(TH!O2509,3)&lt;&gt;"111",'152-CT'!$J$8=TH!F2509),"x","")</f>
        <v/>
      </c>
      <c r="AC2509" s="75" t="str">
        <f>IF(AND(OR(LEFT(TH!N2509,2)="15",LEFT(TH!O2509,2)="15"),TK!$E$7=TH!F2509),"x","")</f>
        <v/>
      </c>
      <c r="AD2509" s="75" t="str">
        <f>IF(AND(N2509="1521",MONTH(C2509)='BK-NL'!$M$11),"x","")</f>
        <v/>
      </c>
    </row>
    <row r="2510" spans="1:31" s="1264" customFormat="1" ht="16.5" customHeight="1">
      <c r="A2510" s="309" t="str">
        <f>IF(B2510&lt;&gt;"",IF(AND(B2510='IN-TC'!$S$4,OR(TH!N2510="1111",TH!O2510="1111")),TH!D2510,""),"")</f>
        <v/>
      </c>
      <c r="B2510" s="1275">
        <f t="shared" ref="B2510" si="855">IF(C2510&lt;&gt;"",MONTH(C2510),"")</f>
        <v>9</v>
      </c>
      <c r="C2510" s="71">
        <v>42996</v>
      </c>
      <c r="D2510" s="71" t="s">
        <v>530</v>
      </c>
      <c r="E2510" s="71">
        <f t="shared" ref="E2510" si="856">C2510</f>
        <v>42996</v>
      </c>
      <c r="F2510" s="72" t="s">
        <v>1010</v>
      </c>
      <c r="G2510" s="72" t="s">
        <v>1713</v>
      </c>
      <c r="H2510" s="73" t="s">
        <v>759</v>
      </c>
      <c r="I2510" s="1213"/>
      <c r="J2510" s="378"/>
      <c r="K2510" s="1213"/>
      <c r="L2510" s="1214"/>
      <c r="M2510" s="74">
        <v>8867040</v>
      </c>
      <c r="N2510" s="75" t="s">
        <v>536</v>
      </c>
      <c r="O2510" s="75" t="s">
        <v>43</v>
      </c>
      <c r="P2510" s="75" t="str">
        <f>IF(AND('331-CT'!$E$7=TH!H2510,OR(N2510="331",O2510="331")),"x","")</f>
        <v/>
      </c>
      <c r="Q2510" s="75" t="str">
        <f>IF(AND(B2510='111'!$L$11,OR($N2510=$Q$7,$O2510=$Q$7)),"x","")</f>
        <v/>
      </c>
      <c r="R2510" s="75" t="str">
        <f>IF(AND($N2510=$Q$7,$B2510&lt;'111'!$L$11),"x","")</f>
        <v/>
      </c>
      <c r="S2510" s="75" t="str">
        <f>IF(AND($O2510=$Q$7,$B2510&lt;'111'!$L$11),"x","")</f>
        <v/>
      </c>
      <c r="T2510" s="75" t="str">
        <f>IF(ISERROR(FIND('112'!$M$9,G2510,1)),"",IF((AND(FIND('112'!$M$9,G2510,1)&gt;=1,B2510='112'!$K$9,OR($N2510='112'!$I$6,$O2510='112'!$I$6))),"x",""))</f>
        <v/>
      </c>
      <c r="U2510" s="75" t="str">
        <f>IF(ISERROR(FIND('112'!$M$9,G2510,1)),"",IF((AND(LEFT(G2510,2)=LEFT('112'!$M$9,2),B2510&lt;'112'!$K$9,$N2510='112'!$I$6)),"x",""))</f>
        <v/>
      </c>
      <c r="V2510" s="75" t="str">
        <f>IF(ISERROR(FIND('112'!$M$9,G2510,1)),"",IF((AND(RIGHT(G2510,2)=RIGHT('112'!$M$9,2),B2510&lt;'112'!$K$9,$O2510='112'!$I$6)),"x",""))</f>
        <v/>
      </c>
      <c r="W2510" s="75" t="str">
        <f>IF(AND('341-CT'!$H$9=H2510,OR(LEFT(N2510,3)=$W$7,LEFT(O2510,3)=$W$7)),"x","")</f>
        <v/>
      </c>
      <c r="X2510" s="75" t="str">
        <f>IF(OR(TH!N2510=TH!$X$7,O2510=TH!$X$7),"x","")</f>
        <v/>
      </c>
      <c r="Y2510" s="75" t="str">
        <f>IF(AND(OR(N2510="131",O2510="131"),H2510='131-CT'!$H$9),"x","")</f>
        <v/>
      </c>
      <c r="Z2510" s="75"/>
      <c r="AA2510" s="75" t="str">
        <f>IF(AND(MONTH(E2510)='IN-NX'!$J$5,'IN-NX'!$D$7=D2510),"x","")</f>
        <v/>
      </c>
      <c r="AB2510" s="75" t="str">
        <f>IF(AND(OR(LEFT(TH!N2510,2)="15",LEFT(TH!O2510,2)="15"),LEFT(TH!O2510,3)&lt;&gt;"111",'152-CT'!$J$8=TH!F2510),"x","")</f>
        <v/>
      </c>
      <c r="AC2510" s="75" t="str">
        <f>IF(AND(OR(LEFT(TH!N2510,2)="15",LEFT(TH!O2510,2)="15"),TK!$E$7=TH!F2510),"x","")</f>
        <v/>
      </c>
      <c r="AD2510" s="75" t="str">
        <f>IF(AND(N2510="1521",MONTH(C2510)='BK-NL'!$M$11),"x","")</f>
        <v/>
      </c>
    </row>
    <row r="2511" spans="1:31" s="1264" customFormat="1" ht="16.5" customHeight="1">
      <c r="A2511" s="309" t="str">
        <f>IF(B2511&lt;&gt;"",IF(AND(B2511='IN-TC'!$S$4,OR(TH!N2511="1111",TH!O2511="1111")),TH!D2511,""),"")</f>
        <v/>
      </c>
      <c r="B2511" s="1275">
        <f t="shared" ref="B2511:B2520" si="857">IF(C2511&lt;&gt;"",MONTH(C2511),"")</f>
        <v>9</v>
      </c>
      <c r="C2511" s="71">
        <v>42996</v>
      </c>
      <c r="D2511" s="71" t="s">
        <v>902</v>
      </c>
      <c r="E2511" s="71">
        <f t="shared" si="837"/>
        <v>42996</v>
      </c>
      <c r="F2511" s="72" t="s">
        <v>1307</v>
      </c>
      <c r="G2511" s="72" t="s">
        <v>1713</v>
      </c>
      <c r="H2511" s="73"/>
      <c r="I2511" s="1213"/>
      <c r="J2511" s="378"/>
      <c r="K2511" s="1213">
        <v>220</v>
      </c>
      <c r="L2511" s="1214">
        <v>22720</v>
      </c>
      <c r="M2511" s="74">
        <f t="shared" ref="M2511:M2530" si="858">ROUND(K2511*L2511,0)</f>
        <v>4998400</v>
      </c>
      <c r="N2511" s="75" t="s">
        <v>101</v>
      </c>
      <c r="O2511" s="75" t="s">
        <v>256</v>
      </c>
      <c r="P2511" s="75" t="str">
        <f>IF(AND('331-CT'!$E$7=TH!H2511,OR(N2511="331",O2511="331")),"x","")</f>
        <v/>
      </c>
      <c r="Q2511" s="75" t="str">
        <f>IF(AND(B2511='111'!$L$11,OR($N2511=$Q$7,$O2511=$Q$7)),"x","")</f>
        <v/>
      </c>
      <c r="R2511" s="75" t="str">
        <f>IF(AND($N2511=$Q$7,$B2511&lt;'111'!$L$11),"x","")</f>
        <v/>
      </c>
      <c r="S2511" s="75" t="str">
        <f>IF(AND($O2511=$Q$7,$B2511&lt;'111'!$L$11),"x","")</f>
        <v/>
      </c>
      <c r="T2511" s="75" t="str">
        <f>IF(ISERROR(FIND('112'!$M$9,G2511,1)),"",IF((AND(FIND('112'!$M$9,G2511,1)&gt;=1,B2511='112'!$K$9,OR($N2511='112'!$I$6,$O2511='112'!$I$6))),"x",""))</f>
        <v/>
      </c>
      <c r="U2511" s="75" t="str">
        <f>IF(ISERROR(FIND('112'!$M$9,G2511,1)),"",IF((AND(LEFT(G2511,2)=LEFT('112'!$M$9,2),B2511&lt;'112'!$K$9,$N2511='112'!$I$6)),"x",""))</f>
        <v/>
      </c>
      <c r="V2511" s="75" t="str">
        <f>IF(ISERROR(FIND('112'!$M$9,G2511,1)),"",IF((AND(RIGHT(G2511,2)=RIGHT('112'!$M$9,2),B2511&lt;'112'!$K$9,$O2511='112'!$I$6)),"x",""))</f>
        <v/>
      </c>
      <c r="W2511" s="75" t="str">
        <f>IF(AND('341-CT'!$H$9=H2511,OR(LEFT(N2511,3)=$W$7,LEFT(O2511,3)=$W$7)),"x","")</f>
        <v/>
      </c>
      <c r="X2511" s="75" t="str">
        <f>IF(OR(TH!N2511=TH!$X$7,O2511=TH!$X$7),"x","")</f>
        <v/>
      </c>
      <c r="Y2511" s="75" t="str">
        <f>IF(AND(OR(N2511="131",O2511="131"),H2511='131-CT'!$H$9),"x","")</f>
        <v/>
      </c>
      <c r="Z2511" s="75"/>
      <c r="AA2511" s="75" t="str">
        <f>IF(AND(MONTH(E2511)='IN-NX'!$J$5,'IN-NX'!$D$7=D2511),"x","")</f>
        <v/>
      </c>
      <c r="AB2511" s="75" t="str">
        <f>IF(AND(OR(LEFT(TH!N2511,2)="15",LEFT(TH!O2511,2)="15"),LEFT(TH!O2511,3)&lt;&gt;"111",'152-CT'!$J$8=TH!F2511),"x","")</f>
        <v/>
      </c>
      <c r="AC2511" s="75" t="str">
        <f>IF(AND(OR(LEFT(TH!N2511,2)="15",LEFT(TH!O2511,2)="15"),TK!$E$7=TH!F2511),"x","")</f>
        <v/>
      </c>
      <c r="AD2511" s="75" t="str">
        <f>IF(AND(N2511="1521",MONTH(C2511)='BK-NL'!$M$11),"x","")</f>
        <v/>
      </c>
    </row>
    <row r="2512" spans="1:31" s="1264" customFormat="1" ht="16.5" customHeight="1">
      <c r="A2512" s="309" t="str">
        <f>IF(B2512&lt;&gt;"",IF(AND(B2512='IN-TC'!$S$4,OR(TH!N2512="1111",TH!O2512="1111")),TH!D2512,""),"")</f>
        <v/>
      </c>
      <c r="B2512" s="1275">
        <f t="shared" si="857"/>
        <v>9</v>
      </c>
      <c r="C2512" s="71">
        <v>42996</v>
      </c>
      <c r="D2512" s="71" t="s">
        <v>902</v>
      </c>
      <c r="E2512" s="71">
        <f t="shared" si="837"/>
        <v>42996</v>
      </c>
      <c r="F2512" s="72" t="s">
        <v>919</v>
      </c>
      <c r="G2512" s="72" t="s">
        <v>1713</v>
      </c>
      <c r="H2512" s="73"/>
      <c r="I2512" s="1213"/>
      <c r="J2512" s="378"/>
      <c r="K2512" s="1213">
        <v>4</v>
      </c>
      <c r="L2512" s="1214">
        <v>22720</v>
      </c>
      <c r="M2512" s="74">
        <f t="shared" si="858"/>
        <v>90880</v>
      </c>
      <c r="N2512" s="75" t="s">
        <v>101</v>
      </c>
      <c r="O2512" s="75" t="s">
        <v>256</v>
      </c>
      <c r="P2512" s="75" t="str">
        <f>IF(AND('331-CT'!$E$7=TH!H2512,OR(N2512="331",O2512="331")),"x","")</f>
        <v/>
      </c>
      <c r="Q2512" s="75" t="str">
        <f>IF(AND(B2512='111'!$L$11,OR($N2512=$Q$7,$O2512=$Q$7)),"x","")</f>
        <v/>
      </c>
      <c r="R2512" s="75" t="str">
        <f>IF(AND($N2512=$Q$7,$B2512&lt;'111'!$L$11),"x","")</f>
        <v/>
      </c>
      <c r="S2512" s="75" t="str">
        <f>IF(AND($O2512=$Q$7,$B2512&lt;'111'!$L$11),"x","")</f>
        <v/>
      </c>
      <c r="T2512" s="75" t="str">
        <f>IF(ISERROR(FIND('112'!$M$9,G2512,1)),"",IF((AND(FIND('112'!$M$9,G2512,1)&gt;=1,B2512='112'!$K$9,OR($N2512='112'!$I$6,$O2512='112'!$I$6))),"x",""))</f>
        <v/>
      </c>
      <c r="U2512" s="75" t="str">
        <f>IF(ISERROR(FIND('112'!$M$9,G2512,1)),"",IF((AND(LEFT(G2512,2)=LEFT('112'!$M$9,2),B2512&lt;'112'!$K$9,$N2512='112'!$I$6)),"x",""))</f>
        <v/>
      </c>
      <c r="V2512" s="75" t="str">
        <f>IF(ISERROR(FIND('112'!$M$9,G2512,1)),"",IF((AND(RIGHT(G2512,2)=RIGHT('112'!$M$9,2),B2512&lt;'112'!$K$9,$O2512='112'!$I$6)),"x",""))</f>
        <v/>
      </c>
      <c r="W2512" s="75" t="str">
        <f>IF(AND('341-CT'!$H$9=H2512,OR(LEFT(N2512,3)=$W$7,LEFT(O2512,3)=$W$7)),"x","")</f>
        <v/>
      </c>
      <c r="X2512" s="75" t="str">
        <f>IF(OR(TH!N2512=TH!$X$7,O2512=TH!$X$7),"x","")</f>
        <v/>
      </c>
      <c r="Y2512" s="75" t="str">
        <f>IF(AND(OR(N2512="131",O2512="131"),H2512='131-CT'!$H$9),"x","")</f>
        <v/>
      </c>
      <c r="Z2512" s="75"/>
      <c r="AA2512" s="75" t="str">
        <f>IF(AND(MONTH(E2512)='IN-NX'!$J$5,'IN-NX'!$D$7=D2512),"x","")</f>
        <v/>
      </c>
      <c r="AB2512" s="75" t="str">
        <f>IF(AND(OR(LEFT(TH!N2512,2)="15",LEFT(TH!O2512,2)="15"),LEFT(TH!O2512,3)&lt;&gt;"111",'152-CT'!$J$8=TH!F2512),"x","")</f>
        <v/>
      </c>
      <c r="AC2512" s="75" t="str">
        <f>IF(AND(OR(LEFT(TH!N2512,2)="15",LEFT(TH!O2512,2)="15"),TK!$E$7=TH!F2512),"x","")</f>
        <v/>
      </c>
      <c r="AD2512" s="75" t="str">
        <f>IF(AND(N2512="1521",MONTH(C2512)='BK-NL'!$M$11),"x","")</f>
        <v/>
      </c>
      <c r="AE2512" s="1264">
        <v>9</v>
      </c>
    </row>
    <row r="2513" spans="1:31" s="1264" customFormat="1" ht="16.5" customHeight="1">
      <c r="A2513" s="309" t="str">
        <f>IF(B2513&lt;&gt;"",IF(AND(B2513='IN-TC'!$S$4,OR(TH!N2513="1111",TH!O2513="1111")),TH!D2513,""),"")</f>
        <v/>
      </c>
      <c r="B2513" s="1275">
        <f t="shared" si="857"/>
        <v>9</v>
      </c>
      <c r="C2513" s="71">
        <v>42996</v>
      </c>
      <c r="D2513" s="71" t="s">
        <v>902</v>
      </c>
      <c r="E2513" s="71">
        <f t="shared" si="837"/>
        <v>42996</v>
      </c>
      <c r="F2513" s="72" t="s">
        <v>920</v>
      </c>
      <c r="G2513" s="72" t="s">
        <v>1713</v>
      </c>
      <c r="H2513" s="73"/>
      <c r="I2513" s="1213"/>
      <c r="J2513" s="378"/>
      <c r="K2513" s="1213">
        <v>0.4</v>
      </c>
      <c r="L2513" s="1214">
        <v>22720</v>
      </c>
      <c r="M2513" s="74">
        <f t="shared" si="858"/>
        <v>9088</v>
      </c>
      <c r="N2513" s="75" t="s">
        <v>9</v>
      </c>
      <c r="O2513" s="75" t="s">
        <v>256</v>
      </c>
      <c r="P2513" s="75" t="str">
        <f>IF(AND('331-CT'!$E$7=TH!H2513,OR(N2513="331",O2513="331")),"x","")</f>
        <v/>
      </c>
      <c r="Q2513" s="75" t="str">
        <f>IF(AND(B2513='111'!$L$11,OR($N2513=$Q$7,$O2513=$Q$7)),"x","")</f>
        <v/>
      </c>
      <c r="R2513" s="75" t="str">
        <f>IF(AND($N2513=$Q$7,$B2513&lt;'111'!$L$11),"x","")</f>
        <v/>
      </c>
      <c r="S2513" s="75" t="str">
        <f>IF(AND($O2513=$Q$7,$B2513&lt;'111'!$L$11),"x","")</f>
        <v/>
      </c>
      <c r="T2513" s="75" t="str">
        <f>IF(ISERROR(FIND('112'!$M$9,G2513,1)),"",IF((AND(FIND('112'!$M$9,G2513,1)&gt;=1,B2513='112'!$K$9,OR($N2513='112'!$I$6,$O2513='112'!$I$6))),"x",""))</f>
        <v/>
      </c>
      <c r="U2513" s="75" t="str">
        <f>IF(ISERROR(FIND('112'!$M$9,G2513,1)),"",IF((AND(LEFT(G2513,2)=LEFT('112'!$M$9,2),B2513&lt;'112'!$K$9,$N2513='112'!$I$6)),"x",""))</f>
        <v/>
      </c>
      <c r="V2513" s="75" t="str">
        <f>IF(ISERROR(FIND('112'!$M$9,G2513,1)),"",IF((AND(RIGHT(G2513,2)=RIGHT('112'!$M$9,2),B2513&lt;'112'!$K$9,$O2513='112'!$I$6)),"x",""))</f>
        <v/>
      </c>
      <c r="W2513" s="75" t="str">
        <f>IF(AND('341-CT'!$H$9=H2513,OR(LEFT(N2513,3)=$W$7,LEFT(O2513,3)=$W$7)),"x","")</f>
        <v/>
      </c>
      <c r="X2513" s="75" t="str">
        <f>IF(OR(TH!N2513=TH!$X$7,O2513=TH!$X$7),"x","")</f>
        <v/>
      </c>
      <c r="Y2513" s="75" t="str">
        <f>IF(AND(OR(N2513="131",O2513="131"),H2513='131-CT'!$H$9),"x","")</f>
        <v/>
      </c>
      <c r="Z2513" s="75"/>
      <c r="AA2513" s="75" t="str">
        <f>IF(AND(MONTH(E2513)='IN-NX'!$J$5,'IN-NX'!$D$7=D2513),"x","")</f>
        <v/>
      </c>
      <c r="AB2513" s="75" t="str">
        <f>IF(AND(OR(LEFT(TH!N2513,2)="15",LEFT(TH!O2513,2)="15"),LEFT(TH!O2513,3)&lt;&gt;"111",'152-CT'!$J$8=TH!F2513),"x","")</f>
        <v/>
      </c>
      <c r="AC2513" s="75" t="str">
        <f>IF(AND(OR(LEFT(TH!N2513,2)="15",LEFT(TH!O2513,2)="15"),TK!$E$7=TH!F2513),"x","")</f>
        <v/>
      </c>
      <c r="AD2513" s="75" t="str">
        <f>IF(AND(N2513="1521",MONTH(C2513)='BK-NL'!$M$11),"x","")</f>
        <v/>
      </c>
      <c r="AE2513" s="1264">
        <v>9</v>
      </c>
    </row>
    <row r="2514" spans="1:31" s="1264" customFormat="1" ht="16.5" customHeight="1">
      <c r="A2514" s="309" t="str">
        <f>IF(B2514&lt;&gt;"",IF(AND(B2514='IN-TC'!$S$4,OR(TH!N2514="1111",TH!O2514="1111")),TH!D2514,""),"")</f>
        <v/>
      </c>
      <c r="B2514" s="1275">
        <f t="shared" si="857"/>
        <v>9</v>
      </c>
      <c r="C2514" s="71">
        <v>42997</v>
      </c>
      <c r="D2514" s="71" t="s">
        <v>903</v>
      </c>
      <c r="E2514" s="71">
        <f t="shared" si="837"/>
        <v>42997</v>
      </c>
      <c r="F2514" s="72" t="s">
        <v>907</v>
      </c>
      <c r="G2514" s="72" t="s">
        <v>1713</v>
      </c>
      <c r="H2514" s="73"/>
      <c r="I2514" s="1213"/>
      <c r="J2514" s="378"/>
      <c r="K2514" s="1213">
        <v>342000</v>
      </c>
      <c r="L2514" s="1214">
        <v>22723</v>
      </c>
      <c r="M2514" s="74">
        <f t="shared" si="858"/>
        <v>7771266000</v>
      </c>
      <c r="N2514" s="75" t="s">
        <v>26</v>
      </c>
      <c r="O2514" s="75" t="s">
        <v>256</v>
      </c>
      <c r="P2514" s="75" t="str">
        <f>IF(AND('331-CT'!$E$7=TH!H2514,OR(N2514="331",O2514="331")),"x","")</f>
        <v/>
      </c>
      <c r="Q2514" s="75" t="str">
        <f>IF(AND(B2514='111'!$L$11,OR($N2514=$Q$7,$O2514=$Q$7)),"x","")</f>
        <v/>
      </c>
      <c r="R2514" s="75" t="str">
        <f>IF(AND($N2514=$Q$7,$B2514&lt;'111'!$L$11),"x","")</f>
        <v/>
      </c>
      <c r="S2514" s="75" t="str">
        <f>IF(AND($O2514=$Q$7,$B2514&lt;'111'!$L$11),"x","")</f>
        <v/>
      </c>
      <c r="T2514" s="75" t="str">
        <f>IF(ISERROR(FIND('112'!$M$9,G2514,1)),"",IF((AND(FIND('112'!$M$9,G2514,1)&gt;=1,B2514='112'!$K$9,OR($N2514='112'!$I$6,$O2514='112'!$I$6))),"x",""))</f>
        <v/>
      </c>
      <c r="U2514" s="75" t="str">
        <f>IF(ISERROR(FIND('112'!$M$9,G2514,1)),"",IF((AND(LEFT(G2514,2)=LEFT('112'!$M$9,2),B2514&lt;'112'!$K$9,$N2514='112'!$I$6)),"x",""))</f>
        <v/>
      </c>
      <c r="V2514" s="75" t="str">
        <f>IF(ISERROR(FIND('112'!$M$9,G2514,1)),"",IF((AND(RIGHT(G2514,2)=RIGHT('112'!$M$9,2),B2514&lt;'112'!$K$9,$O2514='112'!$I$6)),"x",""))</f>
        <v/>
      </c>
      <c r="W2514" s="75" t="str">
        <f>IF(AND('341-CT'!$H$9=H2514,OR(LEFT(N2514,3)=$W$7,LEFT(O2514,3)=$W$7)),"x","")</f>
        <v/>
      </c>
      <c r="X2514" s="75" t="str">
        <f>IF(OR(TH!N2514=TH!$X$7,O2514=TH!$X$7),"x","")</f>
        <v/>
      </c>
      <c r="Y2514" s="75" t="str">
        <f>IF(AND(OR(N2514="131",O2514="131"),H2514='131-CT'!$H$9),"x","")</f>
        <v/>
      </c>
      <c r="Z2514" s="75"/>
      <c r="AA2514" s="75" t="str">
        <f>IF(AND(MONTH(E2514)='IN-NX'!$J$5,'IN-NX'!$D$7=D2514),"x","")</f>
        <v/>
      </c>
      <c r="AB2514" s="75" t="str">
        <f>IF(AND(OR(LEFT(TH!N2514,2)="15",LEFT(TH!O2514,2)="15"),LEFT(TH!O2514,3)&lt;&gt;"111",'152-CT'!$J$8=TH!F2514),"x","")</f>
        <v/>
      </c>
      <c r="AC2514" s="75" t="str">
        <f>IF(AND(OR(LEFT(TH!N2514,2)="15",LEFT(TH!O2514,2)="15"),TK!$E$7=TH!F2514),"x","")</f>
        <v/>
      </c>
      <c r="AD2514" s="75" t="str">
        <f>IF(AND(N2514="1521",MONTH(C2514)='BK-NL'!$M$11),"x","")</f>
        <v/>
      </c>
    </row>
    <row r="2515" spans="1:31" s="1264" customFormat="1" ht="16.5" customHeight="1">
      <c r="A2515" s="309" t="str">
        <f>IF(B2515&lt;&gt;"",IF(AND(B2515='IN-TC'!$S$4,OR(TH!N2515="1111",TH!O2515="1111")),TH!D2515,""),"")</f>
        <v/>
      </c>
      <c r="B2515" s="1275">
        <f t="shared" si="857"/>
        <v>9</v>
      </c>
      <c r="C2515" s="71">
        <v>43001</v>
      </c>
      <c r="D2515" s="71" t="s">
        <v>902</v>
      </c>
      <c r="E2515" s="71">
        <f t="shared" si="837"/>
        <v>43001</v>
      </c>
      <c r="F2515" s="930" t="s">
        <v>1096</v>
      </c>
      <c r="G2515" s="72" t="s">
        <v>1713</v>
      </c>
      <c r="H2515" s="73" t="s">
        <v>2407</v>
      </c>
      <c r="I2515" s="371"/>
      <c r="J2515" s="378"/>
      <c r="K2515" s="371">
        <v>373.21</v>
      </c>
      <c r="L2515" s="1214">
        <v>22720</v>
      </c>
      <c r="M2515" s="74">
        <f t="shared" si="858"/>
        <v>8479331</v>
      </c>
      <c r="N2515" s="75" t="s">
        <v>99</v>
      </c>
      <c r="O2515" s="75" t="s">
        <v>256</v>
      </c>
      <c r="P2515" s="75" t="str">
        <f>IF(AND('331-CT'!$E$7=TH!H2515,OR(N2515="331",O2515="331")),"x","")</f>
        <v/>
      </c>
      <c r="Q2515" s="75" t="str">
        <f>IF(AND(B2515='111'!$L$11,OR($N2515=$Q$7,$O2515=$Q$7)),"x","")</f>
        <v/>
      </c>
      <c r="R2515" s="75" t="str">
        <f>IF(AND($N2515=$Q$7,$B2515&lt;'111'!$L$11),"x","")</f>
        <v/>
      </c>
      <c r="S2515" s="75" t="str">
        <f>IF(AND($O2515=$Q$7,$B2515&lt;'111'!$L$11),"x","")</f>
        <v/>
      </c>
      <c r="T2515" s="75" t="str">
        <f>IF(ISERROR(FIND('112'!$M$9,G2515,1)),"",IF((AND(FIND('112'!$M$9,G2515,1)&gt;=1,B2515='112'!$K$9,OR($N2515='112'!$I$6,$O2515='112'!$I$6))),"x",""))</f>
        <v/>
      </c>
      <c r="U2515" s="75" t="str">
        <f>IF(ISERROR(FIND('112'!$M$9,G2515,1)),"",IF((AND(LEFT(G2515,2)=LEFT('112'!$M$9,2),B2515&lt;'112'!$K$9,$N2515='112'!$I$6)),"x",""))</f>
        <v/>
      </c>
      <c r="V2515" s="75" t="str">
        <f>IF(ISERROR(FIND('112'!$M$9,G2515,1)),"",IF((AND(RIGHT(G2515,2)=RIGHT('112'!$M$9,2),B2515&lt;'112'!$K$9,$O2515='112'!$I$6)),"x",""))</f>
        <v/>
      </c>
      <c r="W2515" s="75" t="str">
        <f>IF(AND('341-CT'!$H$9=H2515,OR(LEFT(N2515,3)=$W$7,LEFT(O2515,3)=$W$7)),"x","")</f>
        <v/>
      </c>
      <c r="X2515" s="75" t="str">
        <f>IF(OR(TH!N2515=TH!$X$7,O2515=TH!$X$7),"x","")</f>
        <v/>
      </c>
      <c r="Y2515" s="75" t="str">
        <f>IF(AND(OR(N2515="131",O2515="131"),H2515='131-CT'!$H$9),"x","")</f>
        <v/>
      </c>
      <c r="Z2515" s="75"/>
      <c r="AA2515" s="75" t="str">
        <f>IF(AND(MONTH(E2515)='IN-NX'!$J$5,'IN-NX'!$D$7=D2515),"x","")</f>
        <v/>
      </c>
      <c r="AB2515" s="75" t="str">
        <f>IF(AND(OR(LEFT(TH!N2515,2)="15",LEFT(TH!O2515,2)="15"),LEFT(TH!O2515,3)&lt;&gt;"111",'152-CT'!$J$8=TH!F2515),"x","")</f>
        <v/>
      </c>
      <c r="AC2515" s="75" t="str">
        <f>IF(AND(OR(LEFT(TH!N2515,2)="15",LEFT(TH!O2515,2)="15"),TK!$E$7=TH!F2515),"x","")</f>
        <v/>
      </c>
      <c r="AD2515" s="75" t="str">
        <f>IF(AND(N2515="1521",MONTH(C2515)='BK-NL'!$M$11),"x","")</f>
        <v/>
      </c>
    </row>
    <row r="2516" spans="1:31" s="1264" customFormat="1" ht="16.5" customHeight="1">
      <c r="A2516" s="309" t="str">
        <f>IF(B2516&lt;&gt;"",IF(AND(B2516='IN-TC'!$S$4,OR(TH!N2516="1111",TH!O2516="1111")),TH!D2516,""),"")</f>
        <v/>
      </c>
      <c r="B2516" s="1275">
        <f t="shared" si="857"/>
        <v>9</v>
      </c>
      <c r="C2516" s="71">
        <v>43001</v>
      </c>
      <c r="D2516" s="71" t="s">
        <v>902</v>
      </c>
      <c r="E2516" s="71">
        <f t="shared" si="837"/>
        <v>43001</v>
      </c>
      <c r="F2516" s="930" t="s">
        <v>1096</v>
      </c>
      <c r="G2516" s="72" t="s">
        <v>1713</v>
      </c>
      <c r="H2516" s="73" t="s">
        <v>2408</v>
      </c>
      <c r="I2516" s="371"/>
      <c r="J2516" s="378"/>
      <c r="K2516" s="371">
        <v>1314.28</v>
      </c>
      <c r="L2516" s="1214">
        <v>22720</v>
      </c>
      <c r="M2516" s="74">
        <f t="shared" si="858"/>
        <v>29860442</v>
      </c>
      <c r="N2516" s="75" t="s">
        <v>99</v>
      </c>
      <c r="O2516" s="75" t="s">
        <v>256</v>
      </c>
      <c r="P2516" s="75" t="str">
        <f>IF(AND('331-CT'!$E$7=TH!H2516,OR(N2516="331",O2516="331")),"x","")</f>
        <v/>
      </c>
      <c r="Q2516" s="75" t="str">
        <f>IF(AND(B2516='111'!$L$11,OR($N2516=$Q$7,$O2516=$Q$7)),"x","")</f>
        <v/>
      </c>
      <c r="R2516" s="75" t="str">
        <f>IF(AND($N2516=$Q$7,$B2516&lt;'111'!$L$11),"x","")</f>
        <v/>
      </c>
      <c r="S2516" s="75" t="str">
        <f>IF(AND($O2516=$Q$7,$B2516&lt;'111'!$L$11),"x","")</f>
        <v/>
      </c>
      <c r="T2516" s="75" t="str">
        <f>IF(ISERROR(FIND('112'!$M$9,G2516,1)),"",IF((AND(FIND('112'!$M$9,G2516,1)&gt;=1,B2516='112'!$K$9,OR($N2516='112'!$I$6,$O2516='112'!$I$6))),"x",""))</f>
        <v/>
      </c>
      <c r="U2516" s="75" t="str">
        <f>IF(ISERROR(FIND('112'!$M$9,G2516,1)),"",IF((AND(LEFT(G2516,2)=LEFT('112'!$M$9,2),B2516&lt;'112'!$K$9,$N2516='112'!$I$6)),"x",""))</f>
        <v/>
      </c>
      <c r="V2516" s="75" t="str">
        <f>IF(ISERROR(FIND('112'!$M$9,G2516,1)),"",IF((AND(RIGHT(G2516,2)=RIGHT('112'!$M$9,2),B2516&lt;'112'!$K$9,$O2516='112'!$I$6)),"x",""))</f>
        <v/>
      </c>
      <c r="W2516" s="75" t="str">
        <f>IF(AND('341-CT'!$H$9=H2516,OR(LEFT(N2516,3)=$W$7,LEFT(O2516,3)=$W$7)),"x","")</f>
        <v/>
      </c>
      <c r="X2516" s="75" t="str">
        <f>IF(OR(TH!N2516=TH!$X$7,O2516=TH!$X$7),"x","")</f>
        <v/>
      </c>
      <c r="Y2516" s="75" t="str">
        <f>IF(AND(OR(N2516="131",O2516="131"),H2516='131-CT'!$H$9),"x","")</f>
        <v/>
      </c>
      <c r="Z2516" s="75"/>
      <c r="AA2516" s="75" t="str">
        <f>IF(AND(MONTH(E2516)='IN-NX'!$J$5,'IN-NX'!$D$7=D2516),"x","")</f>
        <v/>
      </c>
      <c r="AB2516" s="75" t="str">
        <f>IF(AND(OR(LEFT(TH!N2516,2)="15",LEFT(TH!O2516,2)="15"),LEFT(TH!O2516,3)&lt;&gt;"111",'152-CT'!$J$8=TH!F2516),"x","")</f>
        <v/>
      </c>
      <c r="AC2516" s="75" t="str">
        <f>IF(AND(OR(LEFT(TH!N2516,2)="15",LEFT(TH!O2516,2)="15"),TK!$E$7=TH!F2516),"x","")</f>
        <v/>
      </c>
      <c r="AD2516" s="75" t="str">
        <f>IF(AND(N2516="1521",MONTH(C2516)='BK-NL'!$M$11),"x","")</f>
        <v/>
      </c>
    </row>
    <row r="2517" spans="1:31" s="1264" customFormat="1" ht="16.5" customHeight="1">
      <c r="A2517" s="309" t="str">
        <f>IF(B2517&lt;&gt;"",IF(AND(B2517='IN-TC'!$S$4,OR(TH!N2517="1111",TH!O2517="1111")),TH!D2517,""),"")</f>
        <v/>
      </c>
      <c r="B2517" s="1275">
        <f t="shared" si="857"/>
        <v>9</v>
      </c>
      <c r="C2517" s="71">
        <v>43001</v>
      </c>
      <c r="D2517" s="71" t="s">
        <v>902</v>
      </c>
      <c r="E2517" s="71">
        <f t="shared" si="837"/>
        <v>43001</v>
      </c>
      <c r="F2517" s="930" t="s">
        <v>1096</v>
      </c>
      <c r="G2517" s="72" t="s">
        <v>1713</v>
      </c>
      <c r="H2517" s="73" t="s">
        <v>2409</v>
      </c>
      <c r="I2517" s="371"/>
      <c r="J2517" s="378"/>
      <c r="K2517" s="371">
        <v>645.65</v>
      </c>
      <c r="L2517" s="1214">
        <v>22720</v>
      </c>
      <c r="M2517" s="74">
        <f t="shared" si="858"/>
        <v>14669168</v>
      </c>
      <c r="N2517" s="75" t="s">
        <v>99</v>
      </c>
      <c r="O2517" s="75" t="s">
        <v>256</v>
      </c>
      <c r="P2517" s="75" t="str">
        <f>IF(AND('331-CT'!$E$7=TH!H2517,OR(N2517="331",O2517="331")),"x","")</f>
        <v/>
      </c>
      <c r="Q2517" s="75" t="str">
        <f>IF(AND(B2517='111'!$L$11,OR($N2517=$Q$7,$O2517=$Q$7)),"x","")</f>
        <v/>
      </c>
      <c r="R2517" s="75" t="str">
        <f>IF(AND($N2517=$Q$7,$B2517&lt;'111'!$L$11),"x","")</f>
        <v/>
      </c>
      <c r="S2517" s="75" t="str">
        <f>IF(AND($O2517=$Q$7,$B2517&lt;'111'!$L$11),"x","")</f>
        <v/>
      </c>
      <c r="T2517" s="75" t="str">
        <f>IF(ISERROR(FIND('112'!$M$9,G2517,1)),"",IF((AND(FIND('112'!$M$9,G2517,1)&gt;=1,B2517='112'!$K$9,OR($N2517='112'!$I$6,$O2517='112'!$I$6))),"x",""))</f>
        <v/>
      </c>
      <c r="U2517" s="75" t="str">
        <f>IF(ISERROR(FIND('112'!$M$9,G2517,1)),"",IF((AND(LEFT(G2517,2)=LEFT('112'!$M$9,2),B2517&lt;'112'!$K$9,$N2517='112'!$I$6)),"x",""))</f>
        <v/>
      </c>
      <c r="V2517" s="75" t="str">
        <f>IF(ISERROR(FIND('112'!$M$9,G2517,1)),"",IF((AND(RIGHT(G2517,2)=RIGHT('112'!$M$9,2),B2517&lt;'112'!$K$9,$O2517='112'!$I$6)),"x",""))</f>
        <v/>
      </c>
      <c r="W2517" s="75" t="str">
        <f>IF(AND('341-CT'!$H$9=H2517,OR(LEFT(N2517,3)=$W$7,LEFT(O2517,3)=$W$7)),"x","")</f>
        <v/>
      </c>
      <c r="X2517" s="75" t="str">
        <f>IF(OR(TH!N2517=TH!$X$7,O2517=TH!$X$7),"x","")</f>
        <v/>
      </c>
      <c r="Y2517" s="75" t="str">
        <f>IF(AND(OR(N2517="131",O2517="131"),H2517='131-CT'!$H$9),"x","")</f>
        <v/>
      </c>
      <c r="Z2517" s="75"/>
      <c r="AA2517" s="75" t="str">
        <f>IF(AND(MONTH(E2517)='IN-NX'!$J$5,'IN-NX'!$D$7=D2517),"x","")</f>
        <v/>
      </c>
      <c r="AB2517" s="75" t="str">
        <f>IF(AND(OR(LEFT(TH!N2517,2)="15",LEFT(TH!O2517,2)="15"),LEFT(TH!O2517,3)&lt;&gt;"111",'152-CT'!$J$8=TH!F2517),"x","")</f>
        <v/>
      </c>
      <c r="AC2517" s="75" t="str">
        <f>IF(AND(OR(LEFT(TH!N2517,2)="15",LEFT(TH!O2517,2)="15"),TK!$E$7=TH!F2517),"x","")</f>
        <v/>
      </c>
      <c r="AD2517" s="75" t="str">
        <f>IF(AND(N2517="1521",MONTH(C2517)='BK-NL'!$M$11),"x","")</f>
        <v/>
      </c>
    </row>
    <row r="2518" spans="1:31" s="1264" customFormat="1" ht="16.5" customHeight="1">
      <c r="A2518" s="309" t="str">
        <f>IF(B2518&lt;&gt;"",IF(AND(B2518='IN-TC'!$S$4,OR(TH!N2518="1111",TH!O2518="1111")),TH!D2518,""),"")</f>
        <v/>
      </c>
      <c r="B2518" s="1275">
        <f t="shared" si="857"/>
        <v>9</v>
      </c>
      <c r="C2518" s="71">
        <v>43004</v>
      </c>
      <c r="D2518" s="71" t="s">
        <v>903</v>
      </c>
      <c r="E2518" s="71">
        <f t="shared" si="837"/>
        <v>43004</v>
      </c>
      <c r="F2518" s="72" t="s">
        <v>918</v>
      </c>
      <c r="G2518" s="72" t="s">
        <v>1738</v>
      </c>
      <c r="H2518" s="73"/>
      <c r="I2518" s="371"/>
      <c r="J2518" s="378"/>
      <c r="K2518" s="371">
        <v>200</v>
      </c>
      <c r="L2518" s="1214">
        <v>22700</v>
      </c>
      <c r="M2518" s="1214">
        <f t="shared" si="858"/>
        <v>4540000</v>
      </c>
      <c r="N2518" s="75" t="s">
        <v>256</v>
      </c>
      <c r="O2518" s="75" t="s">
        <v>256</v>
      </c>
      <c r="P2518" s="75" t="str">
        <f>IF(AND('331-CT'!$E$7=TH!H2518,OR(N2518="331",O2518="331")),"x","")</f>
        <v/>
      </c>
      <c r="Q2518" s="75" t="str">
        <f>IF(AND(B2518='111'!$L$11,OR($N2518=$Q$7,$O2518=$Q$7)),"x","")</f>
        <v/>
      </c>
      <c r="R2518" s="75" t="str">
        <f>IF(AND($N2518=$Q$7,$B2518&lt;'111'!$L$11),"x","")</f>
        <v/>
      </c>
      <c r="S2518" s="75" t="str">
        <f>IF(AND($O2518=$Q$7,$B2518&lt;'111'!$L$11),"x","")</f>
        <v/>
      </c>
      <c r="T2518" s="75" t="str">
        <f>IF(ISERROR(FIND('112'!$M$9,G2518,1)),"",IF((AND(FIND('112'!$M$9,G2518,1)&gt;=1,B2518='112'!$K$9,OR($N2518='112'!$I$6,$O2518='112'!$I$6))),"x",""))</f>
        <v/>
      </c>
      <c r="U2518" s="75" t="str">
        <f>IF(ISERROR(FIND('112'!$M$9,G2518,1)),"",IF((AND(LEFT(G2518,2)=LEFT('112'!$M$9,2),B2518&lt;'112'!$K$9,$N2518='112'!$I$6)),"x",""))</f>
        <v/>
      </c>
      <c r="V2518" s="75" t="str">
        <f>IF(ISERROR(FIND('112'!$M$9,G2518,1)),"",IF((AND(RIGHT(G2518,2)=RIGHT('112'!$M$9,2),B2518&lt;'112'!$K$9,$O2518='112'!$I$6)),"x",""))</f>
        <v/>
      </c>
      <c r="W2518" s="75" t="str">
        <f>IF(AND('341-CT'!$H$9=H2518,OR(LEFT(N2518,3)=$W$7,LEFT(O2518,3)=$W$7)),"x","")</f>
        <v/>
      </c>
      <c r="X2518" s="75" t="str">
        <f>IF(OR(TH!N2518=TH!$X$7,O2518=TH!$X$7),"x","")</f>
        <v/>
      </c>
      <c r="Y2518" s="75" t="str">
        <f>IF(AND(OR(N2518="131",O2518="131"),H2518='131-CT'!$H$9),"x","")</f>
        <v/>
      </c>
      <c r="Z2518" s="75"/>
      <c r="AA2518" s="75" t="str">
        <f>IF(AND(MONTH(E2518)='IN-NX'!$J$5,'IN-NX'!$D$7=D2518),"x","")</f>
        <v/>
      </c>
      <c r="AB2518" s="75" t="str">
        <f>IF(AND(OR(LEFT(TH!N2518,2)="15",LEFT(TH!O2518,2)="15"),LEFT(TH!O2518,3)&lt;&gt;"111",'152-CT'!$J$8=TH!F2518),"x","")</f>
        <v/>
      </c>
      <c r="AC2518" s="75" t="str">
        <f>IF(AND(OR(LEFT(TH!N2518,2)="15",LEFT(TH!O2518,2)="15"),TK!$E$7=TH!F2518),"x","")</f>
        <v/>
      </c>
      <c r="AD2518" s="75" t="str">
        <f>IF(AND(N2518="1521",MONTH(C2518)='BK-NL'!$M$11),"x","")</f>
        <v/>
      </c>
    </row>
    <row r="2519" spans="1:31" s="1264" customFormat="1" ht="16.5" customHeight="1">
      <c r="A2519" s="309" t="str">
        <f>IF(B2519&lt;&gt;"",IF(AND(B2519='IN-TC'!$S$4,OR(TH!N2519="1111",TH!O2519="1111")),TH!D2519,""),"")</f>
        <v/>
      </c>
      <c r="B2519" s="1275">
        <f t="shared" si="857"/>
        <v>9</v>
      </c>
      <c r="C2519" s="71">
        <v>43004</v>
      </c>
      <c r="D2519" s="71" t="s">
        <v>902</v>
      </c>
      <c r="E2519" s="71">
        <f t="shared" si="837"/>
        <v>43004</v>
      </c>
      <c r="F2519" s="72" t="s">
        <v>1321</v>
      </c>
      <c r="G2519" s="72" t="s">
        <v>1713</v>
      </c>
      <c r="H2519" s="73" t="s">
        <v>2406</v>
      </c>
      <c r="I2519" s="371"/>
      <c r="J2519" s="378"/>
      <c r="K2519" s="371">
        <v>3700</v>
      </c>
      <c r="L2519" s="1214">
        <v>22720</v>
      </c>
      <c r="M2519" s="74">
        <f t="shared" si="858"/>
        <v>84064000</v>
      </c>
      <c r="N2519" s="75" t="s">
        <v>250</v>
      </c>
      <c r="O2519" s="75" t="s">
        <v>256</v>
      </c>
      <c r="P2519" s="75" t="str">
        <f>IF(AND('331-CT'!$E$7=TH!H2519,OR(N2519="331",O2519="331")),"x","")</f>
        <v/>
      </c>
      <c r="Q2519" s="75" t="str">
        <f>IF(AND(B2519='111'!$L$11,OR($N2519=$Q$7,$O2519=$Q$7)),"x","")</f>
        <v/>
      </c>
      <c r="R2519" s="75" t="str">
        <f>IF(AND($N2519=$Q$7,$B2519&lt;'111'!$L$11),"x","")</f>
        <v/>
      </c>
      <c r="S2519" s="75" t="str">
        <f>IF(AND($O2519=$Q$7,$B2519&lt;'111'!$L$11),"x","")</f>
        <v/>
      </c>
      <c r="T2519" s="75" t="str">
        <f>IF(ISERROR(FIND('112'!$M$9,G2519,1)),"",IF((AND(FIND('112'!$M$9,G2519,1)&gt;=1,B2519='112'!$K$9,OR($N2519='112'!$I$6,$O2519='112'!$I$6))),"x",""))</f>
        <v/>
      </c>
      <c r="U2519" s="75" t="str">
        <f>IF(ISERROR(FIND('112'!$M$9,G2519,1)),"",IF((AND(LEFT(G2519,2)=LEFT('112'!$M$9,2),B2519&lt;'112'!$K$9,$N2519='112'!$I$6)),"x",""))</f>
        <v/>
      </c>
      <c r="V2519" s="75" t="str">
        <f>IF(ISERROR(FIND('112'!$M$9,G2519,1)),"",IF((AND(RIGHT(G2519,2)=RIGHT('112'!$M$9,2),B2519&lt;'112'!$K$9,$O2519='112'!$I$6)),"x",""))</f>
        <v/>
      </c>
      <c r="W2519" s="75" t="str">
        <f>IF(AND('341-CT'!$H$9=H2519,OR(LEFT(N2519,3)=$W$7,LEFT(O2519,3)=$W$7)),"x","")</f>
        <v/>
      </c>
      <c r="X2519" s="75" t="str">
        <f>IF(OR(TH!N2519=TH!$X$7,O2519=TH!$X$7),"x","")</f>
        <v/>
      </c>
      <c r="Y2519" s="75" t="str">
        <f>IF(AND(OR(N2519="131",O2519="131"),H2519='131-CT'!$H$9),"x","")</f>
        <v/>
      </c>
      <c r="Z2519" s="75"/>
      <c r="AA2519" s="75" t="str">
        <f>IF(AND(MONTH(E2519)='IN-NX'!$J$5,'IN-NX'!$D$7=D2519),"x","")</f>
        <v/>
      </c>
      <c r="AB2519" s="75" t="str">
        <f>IF(AND(OR(LEFT(TH!N2519,2)="15",LEFT(TH!O2519,2)="15"),LEFT(TH!O2519,3)&lt;&gt;"111",'152-CT'!$J$8=TH!F2519),"x","")</f>
        <v/>
      </c>
      <c r="AC2519" s="75" t="str">
        <f>IF(AND(OR(LEFT(TH!N2519,2)="15",LEFT(TH!O2519,2)="15"),TK!$E$7=TH!F2519),"x","")</f>
        <v/>
      </c>
      <c r="AD2519" s="75" t="str">
        <f>IF(AND(N2519="1521",MONTH(C2519)='BK-NL'!$M$11),"x","")</f>
        <v/>
      </c>
    </row>
    <row r="2520" spans="1:31" s="1264" customFormat="1" ht="16.5" customHeight="1">
      <c r="A2520" s="309" t="str">
        <f>IF(B2520&lt;&gt;"",IF(AND(B2520='IN-TC'!$S$4,OR(TH!N2520="1111",TH!O2520="1111")),TH!D2520,""),"")</f>
        <v/>
      </c>
      <c r="B2520" s="1275">
        <f t="shared" si="857"/>
        <v>9</v>
      </c>
      <c r="C2520" s="71">
        <v>43004</v>
      </c>
      <c r="D2520" s="71" t="s">
        <v>902</v>
      </c>
      <c r="E2520" s="71">
        <f t="shared" si="837"/>
        <v>43004</v>
      </c>
      <c r="F2520" s="930" t="s">
        <v>1096</v>
      </c>
      <c r="G2520" s="72" t="s">
        <v>1713</v>
      </c>
      <c r="H2520" s="73" t="s">
        <v>2406</v>
      </c>
      <c r="I2520" s="1213"/>
      <c r="J2520" s="378"/>
      <c r="K2520" s="1213">
        <v>289.95</v>
      </c>
      <c r="L2520" s="1214">
        <v>22720</v>
      </c>
      <c r="M2520" s="74">
        <f t="shared" si="858"/>
        <v>6587664</v>
      </c>
      <c r="N2520" s="75" t="s">
        <v>99</v>
      </c>
      <c r="O2520" s="75" t="s">
        <v>256</v>
      </c>
      <c r="P2520" s="75" t="str">
        <f>IF(AND('331-CT'!$E$7=TH!H2520,OR(N2520="331",O2520="331")),"x","")</f>
        <v/>
      </c>
      <c r="Q2520" s="75" t="str">
        <f>IF(AND(B2520='111'!$L$11,OR($N2520=$Q$7,$O2520=$Q$7)),"x","")</f>
        <v/>
      </c>
      <c r="R2520" s="75" t="str">
        <f>IF(AND($N2520=$Q$7,$B2520&lt;'111'!$L$11),"x","")</f>
        <v/>
      </c>
      <c r="S2520" s="75" t="str">
        <f>IF(AND($O2520=$Q$7,$B2520&lt;'111'!$L$11),"x","")</f>
        <v/>
      </c>
      <c r="T2520" s="75" t="str">
        <f>IF(ISERROR(FIND('112'!$M$9,G2520,1)),"",IF((AND(FIND('112'!$M$9,G2520,1)&gt;=1,B2520='112'!$K$9,OR($N2520='112'!$I$6,$O2520='112'!$I$6))),"x",""))</f>
        <v/>
      </c>
      <c r="U2520" s="75" t="str">
        <f>IF(ISERROR(FIND('112'!$M$9,G2520,1)),"",IF((AND(LEFT(G2520,2)=LEFT('112'!$M$9,2),B2520&lt;'112'!$K$9,$N2520='112'!$I$6)),"x",""))</f>
        <v/>
      </c>
      <c r="V2520" s="75" t="str">
        <f>IF(ISERROR(FIND('112'!$M$9,G2520,1)),"",IF((AND(RIGHT(G2520,2)=RIGHT('112'!$M$9,2),B2520&lt;'112'!$K$9,$O2520='112'!$I$6)),"x",""))</f>
        <v/>
      </c>
      <c r="W2520" s="75" t="str">
        <f>IF(AND('341-CT'!$H$9=H2520,OR(LEFT(N2520,3)=$W$7,LEFT(O2520,3)=$W$7)),"x","")</f>
        <v/>
      </c>
      <c r="X2520" s="75" t="str">
        <f>IF(OR(TH!N2520=TH!$X$7,O2520=TH!$X$7),"x","")</f>
        <v/>
      </c>
      <c r="Y2520" s="75" t="str">
        <f>IF(AND(OR(N2520="131",O2520="131"),H2520='131-CT'!$H$9),"x","")</f>
        <v/>
      </c>
      <c r="Z2520" s="75"/>
      <c r="AA2520" s="75" t="str">
        <f>IF(AND(MONTH(E2520)='IN-NX'!$J$5,'IN-NX'!$D$7=D2520),"x","")</f>
        <v/>
      </c>
      <c r="AB2520" s="75" t="str">
        <f>IF(AND(OR(LEFT(TH!N2520,2)="15",LEFT(TH!O2520,2)="15"),LEFT(TH!O2520,3)&lt;&gt;"111",'152-CT'!$J$8=TH!F2520),"x","")</f>
        <v/>
      </c>
      <c r="AC2520" s="75" t="str">
        <f>IF(AND(OR(LEFT(TH!N2520,2)="15",LEFT(TH!O2520,2)="15"),TK!$E$7=TH!F2520),"x","")</f>
        <v/>
      </c>
      <c r="AD2520" s="75" t="str">
        <f>IF(AND(N2520="1521",MONTH(C2520)='BK-NL'!$M$11),"x","")</f>
        <v/>
      </c>
    </row>
    <row r="2521" spans="1:31" s="1264" customFormat="1" ht="16.5" customHeight="1">
      <c r="A2521" s="309" t="str">
        <f>IF(B2521&lt;&gt;"",IF(AND(B2521='IN-TC'!$S$4,OR(TH!N2521="1111",TH!O2521="1111")),TH!D2521,""),"")</f>
        <v/>
      </c>
      <c r="B2521" s="1263">
        <f t="shared" ref="B2521:B2541" si="859">IF(C2521&lt;&gt;"",MONTH(C2521),"")</f>
        <v>10</v>
      </c>
      <c r="C2521" s="929">
        <v>43031</v>
      </c>
      <c r="D2521" s="929" t="s">
        <v>902</v>
      </c>
      <c r="E2521" s="929">
        <f t="shared" ref="E2521:E2533" si="860">C2521</f>
        <v>43031</v>
      </c>
      <c r="F2521" s="930" t="s">
        <v>1096</v>
      </c>
      <c r="G2521" s="930" t="s">
        <v>1713</v>
      </c>
      <c r="H2521" s="73" t="s">
        <v>2409</v>
      </c>
      <c r="I2521" s="371"/>
      <c r="J2521" s="378"/>
      <c r="K2521" s="371">
        <v>1076.0899999999999</v>
      </c>
      <c r="L2521" s="1214">
        <v>22720</v>
      </c>
      <c r="M2521" s="74">
        <f t="shared" si="858"/>
        <v>24448765</v>
      </c>
      <c r="N2521" s="934" t="s">
        <v>99</v>
      </c>
      <c r="O2521" s="934" t="s">
        <v>256</v>
      </c>
      <c r="P2521" s="75" t="str">
        <f>IF(AND('331-CT'!$E$7=TH!H2521,OR(N2521="331",O2521="331")),"x","")</f>
        <v/>
      </c>
      <c r="Q2521" s="75" t="str">
        <f>IF(AND(B2521='111'!$L$11,OR($N2521=$Q$7,$O2521=$Q$7)),"x","")</f>
        <v/>
      </c>
      <c r="R2521" s="75" t="str">
        <f>IF(AND($N2521=$Q$7,$B2521&lt;'111'!$L$11),"x","")</f>
        <v/>
      </c>
      <c r="S2521" s="75" t="str">
        <f>IF(AND($O2521=$Q$7,$B2521&lt;'111'!$L$11),"x","")</f>
        <v/>
      </c>
      <c r="T2521" s="75" t="str">
        <f>IF(ISERROR(FIND('112'!$M$9,G2521,1)),"",IF((AND(FIND('112'!$M$9,G2521,1)&gt;=1,B2521='112'!$K$9,OR($N2521='112'!$I$6,$O2521='112'!$I$6))),"x",""))</f>
        <v/>
      </c>
      <c r="U2521" s="75" t="str">
        <f>IF(ISERROR(FIND('112'!$M$9,G2521,1)),"",IF((AND(LEFT(G2521,2)=LEFT('112'!$M$9,2),B2521&lt;'112'!$K$9,$N2521='112'!$I$6)),"x",""))</f>
        <v/>
      </c>
      <c r="V2521" s="75" t="str">
        <f>IF(ISERROR(FIND('112'!$M$9,G2521,1)),"",IF((AND(RIGHT(G2521,2)=RIGHT('112'!$M$9,2),B2521&lt;'112'!$K$9,$O2521='112'!$I$6)),"x",""))</f>
        <v/>
      </c>
      <c r="W2521" s="75" t="str">
        <f>IF(AND('341-CT'!$H$9=H2521,OR(LEFT(N2521,3)=$W$7,LEFT(O2521,3)=$W$7)),"x","")</f>
        <v/>
      </c>
      <c r="X2521" s="75" t="str">
        <f>IF(OR(TH!N2521=TH!$X$7,O2521=TH!$X$7),"x","")</f>
        <v/>
      </c>
      <c r="Y2521" s="75" t="str">
        <f>IF(AND(OR(N2521="131",O2521="131"),H2521='131-CT'!$H$9),"x","")</f>
        <v/>
      </c>
      <c r="Z2521" s="75"/>
      <c r="AA2521" s="75" t="str">
        <f>IF(AND(MONTH(E2521)='IN-NX'!$J$5,'IN-NX'!$D$7=D2521),"x","")</f>
        <v/>
      </c>
      <c r="AB2521" s="75" t="str">
        <f>IF(AND(OR(LEFT(TH!N2521,2)="15",LEFT(TH!O2521,2)="15"),LEFT(TH!O2521,3)&lt;&gt;"111",'152-CT'!$J$8=TH!F2521),"x","")</f>
        <v/>
      </c>
      <c r="AC2521" s="75" t="str">
        <f>IF(AND(OR(LEFT(TH!N2521,2)="15",LEFT(TH!O2521,2)="15"),TK!$E$7=TH!F2521),"x","")</f>
        <v/>
      </c>
      <c r="AD2521" s="75" t="str">
        <f>IF(AND(N2521="1521",MONTH(C2521)='BK-NL'!$M$11),"x","")</f>
        <v/>
      </c>
    </row>
    <row r="2522" spans="1:31" s="1264" customFormat="1" ht="16.5" customHeight="1">
      <c r="A2522" s="309" t="str">
        <f>IF(B2522&lt;&gt;"",IF(AND(B2522='IN-TC'!$S$4,OR(TH!N2522="1111",TH!O2522="1111")),TH!D2522,""),"")</f>
        <v/>
      </c>
      <c r="B2522" s="1263">
        <f t="shared" si="859"/>
        <v>10</v>
      </c>
      <c r="C2522" s="929">
        <v>43031</v>
      </c>
      <c r="D2522" s="929" t="s">
        <v>902</v>
      </c>
      <c r="E2522" s="929">
        <f t="shared" si="860"/>
        <v>43031</v>
      </c>
      <c r="F2522" s="930" t="s">
        <v>1096</v>
      </c>
      <c r="G2522" s="930" t="s">
        <v>1713</v>
      </c>
      <c r="H2522" s="73" t="s">
        <v>2408</v>
      </c>
      <c r="I2522" s="371"/>
      <c r="J2522" s="378"/>
      <c r="K2522" s="371">
        <v>1271.8800000000001</v>
      </c>
      <c r="L2522" s="1214">
        <v>22720</v>
      </c>
      <c r="M2522" s="74">
        <f t="shared" si="858"/>
        <v>28897114</v>
      </c>
      <c r="N2522" s="934" t="s">
        <v>99</v>
      </c>
      <c r="O2522" s="934" t="s">
        <v>256</v>
      </c>
      <c r="P2522" s="75" t="str">
        <f>IF(AND('331-CT'!$E$7=TH!H2522,OR(N2522="331",O2522="331")),"x","")</f>
        <v/>
      </c>
      <c r="Q2522" s="75" t="str">
        <f>IF(AND(B2522='111'!$L$11,OR($N2522=$Q$7,$O2522=$Q$7)),"x","")</f>
        <v/>
      </c>
      <c r="R2522" s="75" t="str">
        <f>IF(AND($N2522=$Q$7,$B2522&lt;'111'!$L$11),"x","")</f>
        <v/>
      </c>
      <c r="S2522" s="75" t="str">
        <f>IF(AND($O2522=$Q$7,$B2522&lt;'111'!$L$11),"x","")</f>
        <v/>
      </c>
      <c r="T2522" s="75" t="str">
        <f>IF(ISERROR(FIND('112'!$M$9,G2522,1)),"",IF((AND(FIND('112'!$M$9,G2522,1)&gt;=1,B2522='112'!$K$9,OR($N2522='112'!$I$6,$O2522='112'!$I$6))),"x",""))</f>
        <v/>
      </c>
      <c r="U2522" s="75" t="str">
        <f>IF(ISERROR(FIND('112'!$M$9,G2522,1)),"",IF((AND(LEFT(G2522,2)=LEFT('112'!$M$9,2),B2522&lt;'112'!$K$9,$N2522='112'!$I$6)),"x",""))</f>
        <v/>
      </c>
      <c r="V2522" s="75" t="str">
        <f>IF(ISERROR(FIND('112'!$M$9,G2522,1)),"",IF((AND(RIGHT(G2522,2)=RIGHT('112'!$M$9,2),B2522&lt;'112'!$K$9,$O2522='112'!$I$6)),"x",""))</f>
        <v/>
      </c>
      <c r="W2522" s="75" t="str">
        <f>IF(AND('341-CT'!$H$9=H2522,OR(LEFT(N2522,3)=$W$7,LEFT(O2522,3)=$W$7)),"x","")</f>
        <v/>
      </c>
      <c r="X2522" s="75" t="str">
        <f>IF(OR(TH!N2522=TH!$X$7,O2522=TH!$X$7),"x","")</f>
        <v/>
      </c>
      <c r="Y2522" s="75" t="str">
        <f>IF(AND(OR(N2522="131",O2522="131"),H2522='131-CT'!$H$9),"x","")</f>
        <v/>
      </c>
      <c r="Z2522" s="75"/>
      <c r="AA2522" s="75" t="str">
        <f>IF(AND(MONTH(E2522)='IN-NX'!$J$5,'IN-NX'!$D$7=D2522),"x","")</f>
        <v/>
      </c>
      <c r="AB2522" s="75" t="str">
        <f>IF(AND(OR(LEFT(TH!N2522,2)="15",LEFT(TH!O2522,2)="15"),LEFT(TH!O2522,3)&lt;&gt;"111",'152-CT'!$J$8=TH!F2522),"x","")</f>
        <v/>
      </c>
      <c r="AC2522" s="75" t="str">
        <f>IF(AND(OR(LEFT(TH!N2522,2)="15",LEFT(TH!O2522,2)="15"),TK!$E$7=TH!F2522),"x","")</f>
        <v/>
      </c>
      <c r="AD2522" s="75" t="str">
        <f>IF(AND(N2522="1521",MONTH(C2522)='BK-NL'!$M$11),"x","")</f>
        <v/>
      </c>
    </row>
    <row r="2523" spans="1:31" s="1264" customFormat="1" ht="16.5" customHeight="1">
      <c r="A2523" s="309" t="str">
        <f>IF(B2523&lt;&gt;"",IF(AND(B2523='IN-TC'!$S$4,OR(TH!N2523="1111",TH!O2523="1111")),TH!D2523,""),"")</f>
        <v/>
      </c>
      <c r="B2523" s="1263">
        <f t="shared" si="859"/>
        <v>10</v>
      </c>
      <c r="C2523" s="929">
        <v>43031</v>
      </c>
      <c r="D2523" s="929" t="s">
        <v>902</v>
      </c>
      <c r="E2523" s="929">
        <f t="shared" si="860"/>
        <v>43031</v>
      </c>
      <c r="F2523" s="930" t="s">
        <v>1096</v>
      </c>
      <c r="G2523" s="930" t="s">
        <v>1713</v>
      </c>
      <c r="H2523" s="73" t="s">
        <v>2407</v>
      </c>
      <c r="I2523" s="371"/>
      <c r="J2523" s="378"/>
      <c r="K2523" s="371">
        <v>1119.6199999999999</v>
      </c>
      <c r="L2523" s="1214">
        <v>22720</v>
      </c>
      <c r="M2523" s="74">
        <f t="shared" si="858"/>
        <v>25437766</v>
      </c>
      <c r="N2523" s="934" t="s">
        <v>99</v>
      </c>
      <c r="O2523" s="934" t="s">
        <v>256</v>
      </c>
      <c r="P2523" s="75" t="str">
        <f>IF(AND('331-CT'!$E$7=TH!H2523,OR(N2523="331",O2523="331")),"x","")</f>
        <v/>
      </c>
      <c r="Q2523" s="75" t="str">
        <f>IF(AND(B2523='111'!$L$11,OR($N2523=$Q$7,$O2523=$Q$7)),"x","")</f>
        <v/>
      </c>
      <c r="R2523" s="75" t="str">
        <f>IF(AND($N2523=$Q$7,$B2523&lt;'111'!$L$11),"x","")</f>
        <v/>
      </c>
      <c r="S2523" s="75" t="str">
        <f>IF(AND($O2523=$Q$7,$B2523&lt;'111'!$L$11),"x","")</f>
        <v/>
      </c>
      <c r="T2523" s="75" t="str">
        <f>IF(ISERROR(FIND('112'!$M$9,G2523,1)),"",IF((AND(FIND('112'!$M$9,G2523,1)&gt;=1,B2523='112'!$K$9,OR($N2523='112'!$I$6,$O2523='112'!$I$6))),"x",""))</f>
        <v/>
      </c>
      <c r="U2523" s="75" t="str">
        <f>IF(ISERROR(FIND('112'!$M$9,G2523,1)),"",IF((AND(LEFT(G2523,2)=LEFT('112'!$M$9,2),B2523&lt;'112'!$K$9,$N2523='112'!$I$6)),"x",""))</f>
        <v/>
      </c>
      <c r="V2523" s="75" t="str">
        <f>IF(ISERROR(FIND('112'!$M$9,G2523,1)),"",IF((AND(RIGHT(G2523,2)=RIGHT('112'!$M$9,2),B2523&lt;'112'!$K$9,$O2523='112'!$I$6)),"x",""))</f>
        <v/>
      </c>
      <c r="W2523" s="75" t="str">
        <f>IF(AND('341-CT'!$H$9=H2523,OR(LEFT(N2523,3)=$W$7,LEFT(O2523,3)=$W$7)),"x","")</f>
        <v/>
      </c>
      <c r="X2523" s="75" t="str">
        <f>IF(OR(TH!N2523=TH!$X$7,O2523=TH!$X$7),"x","")</f>
        <v/>
      </c>
      <c r="Y2523" s="75" t="str">
        <f>IF(AND(OR(N2523="131",O2523="131"),H2523='131-CT'!$H$9),"x","")</f>
        <v/>
      </c>
      <c r="Z2523" s="75"/>
      <c r="AA2523" s="75" t="str">
        <f>IF(AND(MONTH(E2523)='IN-NX'!$J$5,'IN-NX'!$D$7=D2523),"x","")</f>
        <v/>
      </c>
      <c r="AB2523" s="75" t="str">
        <f>IF(AND(OR(LEFT(TH!N2523,2)="15",LEFT(TH!O2523,2)="15"),LEFT(TH!O2523,3)&lt;&gt;"111",'152-CT'!$J$8=TH!F2523),"x","")</f>
        <v/>
      </c>
      <c r="AC2523" s="75" t="str">
        <f>IF(AND(OR(LEFT(TH!N2523,2)="15",LEFT(TH!O2523,2)="15"),TK!$E$7=TH!F2523),"x","")</f>
        <v/>
      </c>
      <c r="AD2523" s="75" t="str">
        <f>IF(AND(N2523="1521",MONTH(C2523)='BK-NL'!$M$11),"x","")</f>
        <v/>
      </c>
    </row>
    <row r="2524" spans="1:31" s="1264" customFormat="1" ht="16.5" customHeight="1">
      <c r="A2524" s="309" t="str">
        <f>IF(B2524&lt;&gt;"",IF(AND(B2524='IN-TC'!$S$4,OR(TH!N2524="1111",TH!O2524="1111")),TH!D2524,""),"")</f>
        <v/>
      </c>
      <c r="B2524" s="1263">
        <f t="shared" si="859"/>
        <v>10</v>
      </c>
      <c r="C2524" s="929">
        <v>43034</v>
      </c>
      <c r="D2524" s="929" t="s">
        <v>902</v>
      </c>
      <c r="E2524" s="929">
        <f t="shared" si="860"/>
        <v>43034</v>
      </c>
      <c r="F2524" s="930" t="s">
        <v>1096</v>
      </c>
      <c r="G2524" s="930" t="s">
        <v>1713</v>
      </c>
      <c r="H2524" s="296" t="s">
        <v>2406</v>
      </c>
      <c r="I2524" s="371"/>
      <c r="J2524" s="378"/>
      <c r="K2524" s="371">
        <v>252.23</v>
      </c>
      <c r="L2524" s="1214">
        <v>22720</v>
      </c>
      <c r="M2524" s="74">
        <f t="shared" si="858"/>
        <v>5730666</v>
      </c>
      <c r="N2524" s="934" t="s">
        <v>99</v>
      </c>
      <c r="O2524" s="934" t="s">
        <v>256</v>
      </c>
      <c r="P2524" s="75" t="str">
        <f>IF(AND('331-CT'!$E$7=TH!H2524,OR(N2524="331",O2524="331")),"x","")</f>
        <v/>
      </c>
      <c r="Q2524" s="75" t="str">
        <f>IF(AND(B2524='111'!$L$11,OR($N2524=$Q$7,$O2524=$Q$7)),"x","")</f>
        <v/>
      </c>
      <c r="R2524" s="75" t="str">
        <f>IF(AND($N2524=$Q$7,$B2524&lt;'111'!$L$11),"x","")</f>
        <v/>
      </c>
      <c r="S2524" s="75" t="str">
        <f>IF(AND($O2524=$Q$7,$B2524&lt;'111'!$L$11),"x","")</f>
        <v/>
      </c>
      <c r="T2524" s="75" t="str">
        <f>IF(ISERROR(FIND('112'!$M$9,G2524,1)),"",IF((AND(FIND('112'!$M$9,G2524,1)&gt;=1,B2524='112'!$K$9,OR($N2524='112'!$I$6,$O2524='112'!$I$6))),"x",""))</f>
        <v/>
      </c>
      <c r="U2524" s="75" t="str">
        <f>IF(ISERROR(FIND('112'!$M$9,G2524,1)),"",IF((AND(LEFT(G2524,2)=LEFT('112'!$M$9,2),B2524&lt;'112'!$K$9,$N2524='112'!$I$6)),"x",""))</f>
        <v/>
      </c>
      <c r="V2524" s="75" t="str">
        <f>IF(ISERROR(FIND('112'!$M$9,G2524,1)),"",IF((AND(RIGHT(G2524,2)=RIGHT('112'!$M$9,2),B2524&lt;'112'!$K$9,$O2524='112'!$I$6)),"x",""))</f>
        <v/>
      </c>
      <c r="W2524" s="75" t="str">
        <f>IF(AND('341-CT'!$H$9=H2524,OR(LEFT(N2524,3)=$W$7,LEFT(O2524,3)=$W$7)),"x","")</f>
        <v/>
      </c>
      <c r="X2524" s="75" t="str">
        <f>IF(OR(TH!N2524=TH!$X$7,O2524=TH!$X$7),"x","")</f>
        <v/>
      </c>
      <c r="Y2524" s="75" t="str">
        <f>IF(AND(OR(N2524="131",O2524="131"),H2524='131-CT'!$H$9),"x","")</f>
        <v/>
      </c>
      <c r="Z2524" s="75"/>
      <c r="AA2524" s="75" t="str">
        <f>IF(AND(MONTH(E2524)='IN-NX'!$J$5,'IN-NX'!$D$7=D2524),"x","")</f>
        <v/>
      </c>
      <c r="AB2524" s="75" t="str">
        <f>IF(AND(OR(LEFT(TH!N2524,2)="15",LEFT(TH!O2524,2)="15"),LEFT(TH!O2524,3)&lt;&gt;"111",'152-CT'!$J$8=TH!F2524),"x","")</f>
        <v/>
      </c>
      <c r="AC2524" s="75" t="str">
        <f>IF(AND(OR(LEFT(TH!N2524,2)="15",LEFT(TH!O2524,2)="15"),TK!$E$7=TH!F2524),"x","")</f>
        <v/>
      </c>
      <c r="AD2524" s="75" t="str">
        <f>IF(AND(N2524="1521",MONTH(C2524)='BK-NL'!$M$11),"x","")</f>
        <v/>
      </c>
    </row>
    <row r="2525" spans="1:31" s="1264" customFormat="1" ht="16.5" customHeight="1">
      <c r="A2525" s="309" t="str">
        <f>IF(B2525&lt;&gt;"",IF(AND(B2525='IN-TC'!$S$4,OR(TH!N2525="1111",TH!O2525="1111")),TH!D2525,""),"")</f>
        <v/>
      </c>
      <c r="B2525" s="1263">
        <f t="shared" si="859"/>
        <v>10</v>
      </c>
      <c r="C2525" s="929">
        <v>43034</v>
      </c>
      <c r="D2525" s="929" t="s">
        <v>902</v>
      </c>
      <c r="E2525" s="929">
        <f t="shared" si="860"/>
        <v>43034</v>
      </c>
      <c r="F2525" s="72" t="s">
        <v>1321</v>
      </c>
      <c r="G2525" s="930" t="s">
        <v>1713</v>
      </c>
      <c r="H2525" s="296" t="s">
        <v>2406</v>
      </c>
      <c r="I2525" s="371"/>
      <c r="J2525" s="378"/>
      <c r="K2525" s="371">
        <v>3700</v>
      </c>
      <c r="L2525" s="1214">
        <v>22720</v>
      </c>
      <c r="M2525" s="74">
        <f t="shared" si="858"/>
        <v>84064000</v>
      </c>
      <c r="N2525" s="934" t="s">
        <v>250</v>
      </c>
      <c r="O2525" s="934" t="s">
        <v>256</v>
      </c>
      <c r="P2525" s="75" t="str">
        <f>IF(AND('331-CT'!$E$7=TH!H2525,OR(N2525="331",O2525="331")),"x","")</f>
        <v/>
      </c>
      <c r="Q2525" s="75" t="str">
        <f>IF(AND(B2525='111'!$L$11,OR($N2525=$Q$7,$O2525=$Q$7)),"x","")</f>
        <v/>
      </c>
      <c r="R2525" s="75" t="str">
        <f>IF(AND($N2525=$Q$7,$B2525&lt;'111'!$L$11),"x","")</f>
        <v/>
      </c>
      <c r="S2525" s="75" t="str">
        <f>IF(AND($O2525=$Q$7,$B2525&lt;'111'!$L$11),"x","")</f>
        <v/>
      </c>
      <c r="T2525" s="75" t="str">
        <f>IF(ISERROR(FIND('112'!$M$9,G2525,1)),"",IF((AND(FIND('112'!$M$9,G2525,1)&gt;=1,B2525='112'!$K$9,OR($N2525='112'!$I$6,$O2525='112'!$I$6))),"x",""))</f>
        <v/>
      </c>
      <c r="U2525" s="75" t="str">
        <f>IF(ISERROR(FIND('112'!$M$9,G2525,1)),"",IF((AND(LEFT(G2525,2)=LEFT('112'!$M$9,2),B2525&lt;'112'!$K$9,$N2525='112'!$I$6)),"x",""))</f>
        <v/>
      </c>
      <c r="V2525" s="75" t="str">
        <f>IF(ISERROR(FIND('112'!$M$9,G2525,1)),"",IF((AND(RIGHT(G2525,2)=RIGHT('112'!$M$9,2),B2525&lt;'112'!$K$9,$O2525='112'!$I$6)),"x",""))</f>
        <v/>
      </c>
      <c r="W2525" s="75" t="str">
        <f>IF(AND('341-CT'!$H$9=H2525,OR(LEFT(N2525,3)=$W$7,LEFT(O2525,3)=$W$7)),"x","")</f>
        <v/>
      </c>
      <c r="X2525" s="75" t="str">
        <f>IF(OR(TH!N2525=TH!$X$7,O2525=TH!$X$7),"x","")</f>
        <v/>
      </c>
      <c r="Y2525" s="75" t="str">
        <f>IF(AND(OR(N2525="131",O2525="131"),H2525='131-CT'!$H$9),"x","")</f>
        <v/>
      </c>
      <c r="Z2525" s="75"/>
      <c r="AA2525" s="75" t="str">
        <f>IF(AND(MONTH(E2525)='IN-NX'!$J$5,'IN-NX'!$D$7=D2525),"x","")</f>
        <v/>
      </c>
      <c r="AB2525" s="75" t="str">
        <f>IF(AND(OR(LEFT(TH!N2525,2)="15",LEFT(TH!O2525,2)="15"),LEFT(TH!O2525,3)&lt;&gt;"111",'152-CT'!$J$8=TH!F2525),"x","")</f>
        <v/>
      </c>
      <c r="AC2525" s="75" t="str">
        <f>IF(AND(OR(LEFT(TH!N2525,2)="15",LEFT(TH!O2525,2)="15"),TK!$E$7=TH!F2525),"x","")</f>
        <v/>
      </c>
      <c r="AD2525" s="75" t="str">
        <f>IF(AND(N2525="1521",MONTH(C2525)='BK-NL'!$M$11),"x","")</f>
        <v/>
      </c>
    </row>
    <row r="2526" spans="1:31" s="1264" customFormat="1" ht="16.5" customHeight="1">
      <c r="A2526" s="309" t="str">
        <f>IF(B2526&lt;&gt;"",IF(AND(B2526='IN-TC'!$S$4,OR(TH!N2526="1111",TH!O2526="1111")),TH!D2526,""),"")</f>
        <v/>
      </c>
      <c r="B2526" s="1263">
        <f t="shared" si="859"/>
        <v>10</v>
      </c>
      <c r="C2526" s="929">
        <v>43034</v>
      </c>
      <c r="D2526" s="929" t="s">
        <v>902</v>
      </c>
      <c r="E2526" s="929">
        <f t="shared" si="860"/>
        <v>43034</v>
      </c>
      <c r="F2526" s="930" t="s">
        <v>1096</v>
      </c>
      <c r="G2526" s="930" t="s">
        <v>1713</v>
      </c>
      <c r="H2526" s="73" t="s">
        <v>2413</v>
      </c>
      <c r="I2526" s="371"/>
      <c r="J2526" s="378"/>
      <c r="K2526" s="371">
        <v>171.56</v>
      </c>
      <c r="L2526" s="1214">
        <v>22720</v>
      </c>
      <c r="M2526" s="74">
        <f t="shared" si="858"/>
        <v>3897843</v>
      </c>
      <c r="N2526" s="934" t="s">
        <v>99</v>
      </c>
      <c r="O2526" s="934" t="s">
        <v>256</v>
      </c>
      <c r="P2526" s="75" t="str">
        <f>IF(AND('331-CT'!$E$7=TH!H2526,OR(N2526="331",O2526="331")),"x","")</f>
        <v/>
      </c>
      <c r="Q2526" s="75" t="str">
        <f>IF(AND(B2526='111'!$L$11,OR($N2526=$Q$7,$O2526=$Q$7)),"x","")</f>
        <v/>
      </c>
      <c r="R2526" s="75" t="str">
        <f>IF(AND($N2526=$Q$7,$B2526&lt;'111'!$L$11),"x","")</f>
        <v/>
      </c>
      <c r="S2526" s="75" t="str">
        <f>IF(AND($O2526=$Q$7,$B2526&lt;'111'!$L$11),"x","")</f>
        <v/>
      </c>
      <c r="T2526" s="75" t="str">
        <f>IF(ISERROR(FIND('112'!$M$9,G2526,1)),"",IF((AND(FIND('112'!$M$9,G2526,1)&gt;=1,B2526='112'!$K$9,OR($N2526='112'!$I$6,$O2526='112'!$I$6))),"x",""))</f>
        <v/>
      </c>
      <c r="U2526" s="75" t="str">
        <f>IF(ISERROR(FIND('112'!$M$9,G2526,1)),"",IF((AND(LEFT(G2526,2)=LEFT('112'!$M$9,2),B2526&lt;'112'!$K$9,$N2526='112'!$I$6)),"x",""))</f>
        <v/>
      </c>
      <c r="V2526" s="75" t="str">
        <f>IF(ISERROR(FIND('112'!$M$9,G2526,1)),"",IF((AND(RIGHT(G2526,2)=RIGHT('112'!$M$9,2),B2526&lt;'112'!$K$9,$O2526='112'!$I$6)),"x",""))</f>
        <v/>
      </c>
      <c r="W2526" s="75" t="str">
        <f>IF(AND('341-CT'!$H$9=H2526,OR(LEFT(N2526,3)=$W$7,LEFT(O2526,3)=$W$7)),"x","")</f>
        <v/>
      </c>
      <c r="X2526" s="75" t="str">
        <f>IF(OR(TH!N2526=TH!$X$7,O2526=TH!$X$7),"x","")</f>
        <v/>
      </c>
      <c r="Y2526" s="75" t="str">
        <f>IF(AND(OR(N2526="131",O2526="131"),H2526='131-CT'!$H$9),"x","")</f>
        <v/>
      </c>
      <c r="Z2526" s="75"/>
      <c r="AA2526" s="75" t="str">
        <f>IF(AND(MONTH(E2526)='IN-NX'!$J$5,'IN-NX'!$D$7=D2526),"x","")</f>
        <v/>
      </c>
      <c r="AB2526" s="75" t="str">
        <f>IF(AND(OR(LEFT(TH!N2526,2)="15",LEFT(TH!O2526,2)="15"),LEFT(TH!O2526,3)&lt;&gt;"111",'152-CT'!$J$8=TH!F2526),"x","")</f>
        <v/>
      </c>
      <c r="AC2526" s="75" t="str">
        <f>IF(AND(OR(LEFT(TH!N2526,2)="15",LEFT(TH!O2526,2)="15"),TK!$E$7=TH!F2526),"x","")</f>
        <v/>
      </c>
      <c r="AD2526" s="75" t="str">
        <f>IF(AND(N2526="1521",MONTH(C2526)='BK-NL'!$M$11),"x","")</f>
        <v/>
      </c>
    </row>
    <row r="2527" spans="1:31" s="1264" customFormat="1" ht="16.5" customHeight="1">
      <c r="A2527" s="309" t="str">
        <f>IF(B2527&lt;&gt;"",IF(AND(B2527='IN-TC'!$S$4,OR(TH!N2527="1111",TH!O2527="1111")),TH!D2527,""),"")</f>
        <v/>
      </c>
      <c r="B2527" s="1263">
        <f t="shared" si="859"/>
        <v>10</v>
      </c>
      <c r="C2527" s="929">
        <v>43039</v>
      </c>
      <c r="D2527" s="929" t="s">
        <v>902</v>
      </c>
      <c r="E2527" s="929">
        <f t="shared" si="860"/>
        <v>43039</v>
      </c>
      <c r="F2527" s="930" t="s">
        <v>1096</v>
      </c>
      <c r="G2527" s="930" t="s">
        <v>1713</v>
      </c>
      <c r="H2527" s="73" t="s">
        <v>2413</v>
      </c>
      <c r="I2527" s="371"/>
      <c r="J2527" s="378"/>
      <c r="K2527" s="371">
        <v>5.94</v>
      </c>
      <c r="L2527" s="1214">
        <v>22720</v>
      </c>
      <c r="M2527" s="74">
        <f t="shared" si="858"/>
        <v>134957</v>
      </c>
      <c r="N2527" s="934" t="s">
        <v>99</v>
      </c>
      <c r="O2527" s="934" t="s">
        <v>256</v>
      </c>
      <c r="P2527" s="75" t="str">
        <f>IF(AND('331-CT'!$E$7=TH!H2527,OR(N2527="331",O2527="331")),"x","")</f>
        <v/>
      </c>
      <c r="Q2527" s="75" t="str">
        <f>IF(AND(B2527='111'!$L$11,OR($N2527=$Q$7,$O2527=$Q$7)),"x","")</f>
        <v/>
      </c>
      <c r="R2527" s="75" t="str">
        <f>IF(AND($N2527=$Q$7,$B2527&lt;'111'!$L$11),"x","")</f>
        <v/>
      </c>
      <c r="S2527" s="75" t="str">
        <f>IF(AND($O2527=$Q$7,$B2527&lt;'111'!$L$11),"x","")</f>
        <v/>
      </c>
      <c r="T2527" s="75" t="str">
        <f>IF(ISERROR(FIND('112'!$M$9,G2527,1)),"",IF((AND(FIND('112'!$M$9,G2527,1)&gt;=1,B2527='112'!$K$9,OR($N2527='112'!$I$6,$O2527='112'!$I$6))),"x",""))</f>
        <v/>
      </c>
      <c r="U2527" s="75" t="str">
        <f>IF(ISERROR(FIND('112'!$M$9,G2527,1)),"",IF((AND(LEFT(G2527,2)=LEFT('112'!$M$9,2),B2527&lt;'112'!$K$9,$N2527='112'!$I$6)),"x",""))</f>
        <v/>
      </c>
      <c r="V2527" s="75" t="str">
        <f>IF(ISERROR(FIND('112'!$M$9,G2527,1)),"",IF((AND(RIGHT(G2527,2)=RIGHT('112'!$M$9,2),B2527&lt;'112'!$K$9,$O2527='112'!$I$6)),"x",""))</f>
        <v/>
      </c>
      <c r="W2527" s="75" t="str">
        <f>IF(AND('341-CT'!$H$9=H2527,OR(LEFT(N2527,3)=$W$7,LEFT(O2527,3)=$W$7)),"x","")</f>
        <v/>
      </c>
      <c r="X2527" s="75" t="str">
        <f>IF(OR(TH!N2527=TH!$X$7,O2527=TH!$X$7),"x","")</f>
        <v/>
      </c>
      <c r="Y2527" s="75" t="str">
        <f>IF(AND(OR(N2527="131",O2527="131"),H2527='131-CT'!$H$9),"x","")</f>
        <v/>
      </c>
      <c r="Z2527" s="75"/>
      <c r="AA2527" s="75" t="str">
        <f>IF(AND(MONTH(E2527)='IN-NX'!$J$5,'IN-NX'!$D$7=D2527),"x","")</f>
        <v/>
      </c>
      <c r="AB2527" s="75" t="str">
        <f>IF(AND(OR(LEFT(TH!N2527,2)="15",LEFT(TH!O2527,2)="15"),LEFT(TH!O2527,3)&lt;&gt;"111",'152-CT'!$J$8=TH!F2527),"x","")</f>
        <v/>
      </c>
      <c r="AC2527" s="75" t="str">
        <f>IF(AND(OR(LEFT(TH!N2527,2)="15",LEFT(TH!O2527,2)="15"),TK!$E$7=TH!F2527),"x","")</f>
        <v/>
      </c>
      <c r="AD2527" s="75" t="str">
        <f>IF(AND(N2527="1521",MONTH(C2527)='BK-NL'!$M$11),"x","")</f>
        <v/>
      </c>
    </row>
    <row r="2528" spans="1:31" s="1264" customFormat="1" ht="16.5" customHeight="1">
      <c r="A2528" s="309" t="str">
        <f>IF(B2528&lt;&gt;"",IF(AND(B2528='IN-TC'!$S$4,OR(TH!N2528="1111",TH!O2528="1111")),TH!D2528,""),"")</f>
        <v/>
      </c>
      <c r="B2528" s="1263">
        <f t="shared" si="859"/>
        <v>10</v>
      </c>
      <c r="C2528" s="929">
        <v>43039</v>
      </c>
      <c r="D2528" s="929" t="s">
        <v>902</v>
      </c>
      <c r="E2528" s="929">
        <f t="shared" si="860"/>
        <v>43039</v>
      </c>
      <c r="F2528" s="930" t="s">
        <v>1096</v>
      </c>
      <c r="G2528" s="930" t="s">
        <v>1713</v>
      </c>
      <c r="H2528" s="73" t="s">
        <v>2413</v>
      </c>
      <c r="I2528" s="371"/>
      <c r="J2528" s="378"/>
      <c r="K2528" s="371">
        <v>11.87</v>
      </c>
      <c r="L2528" s="1214">
        <v>22720</v>
      </c>
      <c r="M2528" s="74">
        <f t="shared" si="858"/>
        <v>269686</v>
      </c>
      <c r="N2528" s="934" t="s">
        <v>99</v>
      </c>
      <c r="O2528" s="934" t="s">
        <v>256</v>
      </c>
      <c r="P2528" s="75" t="str">
        <f>IF(AND('331-CT'!$E$7=TH!H2528,OR(N2528="331",O2528="331")),"x","")</f>
        <v/>
      </c>
      <c r="Q2528" s="75" t="str">
        <f>IF(AND(B2528='111'!$L$11,OR($N2528=$Q$7,$O2528=$Q$7)),"x","")</f>
        <v/>
      </c>
      <c r="R2528" s="75" t="str">
        <f>IF(AND($N2528=$Q$7,$B2528&lt;'111'!$L$11),"x","")</f>
        <v/>
      </c>
      <c r="S2528" s="75" t="str">
        <f>IF(AND($O2528=$Q$7,$B2528&lt;'111'!$L$11),"x","")</f>
        <v/>
      </c>
      <c r="T2528" s="75" t="str">
        <f>IF(ISERROR(FIND('112'!$M$9,G2528,1)),"",IF((AND(FIND('112'!$M$9,G2528,1)&gt;=1,B2528='112'!$K$9,OR($N2528='112'!$I$6,$O2528='112'!$I$6))),"x",""))</f>
        <v/>
      </c>
      <c r="U2528" s="75" t="str">
        <f>IF(ISERROR(FIND('112'!$M$9,G2528,1)),"",IF((AND(LEFT(G2528,2)=LEFT('112'!$M$9,2),B2528&lt;'112'!$K$9,$N2528='112'!$I$6)),"x",""))</f>
        <v/>
      </c>
      <c r="V2528" s="75" t="str">
        <f>IF(ISERROR(FIND('112'!$M$9,G2528,1)),"",IF((AND(RIGHT(G2528,2)=RIGHT('112'!$M$9,2),B2528&lt;'112'!$K$9,$O2528='112'!$I$6)),"x",""))</f>
        <v/>
      </c>
      <c r="W2528" s="75" t="str">
        <f>IF(AND('341-CT'!$H$9=H2528,OR(LEFT(N2528,3)=$W$7,LEFT(O2528,3)=$W$7)),"x","")</f>
        <v/>
      </c>
      <c r="X2528" s="75" t="str">
        <f>IF(OR(TH!N2528=TH!$X$7,O2528=TH!$X$7),"x","")</f>
        <v/>
      </c>
      <c r="Y2528" s="75" t="str">
        <f>IF(AND(OR(N2528="131",O2528="131"),H2528='131-CT'!$H$9),"x","")</f>
        <v/>
      </c>
      <c r="Z2528" s="75"/>
      <c r="AA2528" s="75" t="str">
        <f>IF(AND(MONTH(E2528)='IN-NX'!$J$5,'IN-NX'!$D$7=D2528),"x","")</f>
        <v/>
      </c>
      <c r="AB2528" s="75" t="str">
        <f>IF(AND(OR(LEFT(TH!N2528,2)="15",LEFT(TH!O2528,2)="15"),LEFT(TH!O2528,3)&lt;&gt;"111",'152-CT'!$J$8=TH!F2528),"x","")</f>
        <v/>
      </c>
      <c r="AC2528" s="75" t="str">
        <f>IF(AND(OR(LEFT(TH!N2528,2)="15",LEFT(TH!O2528,2)="15"),TK!$E$7=TH!F2528),"x","")</f>
        <v/>
      </c>
      <c r="AD2528" s="75" t="str">
        <f>IF(AND(N2528="1521",MONTH(C2528)='BK-NL'!$M$11),"x","")</f>
        <v/>
      </c>
    </row>
    <row r="2529" spans="1:30" s="1264" customFormat="1" ht="16.5" customHeight="1">
      <c r="A2529" s="309" t="str">
        <f>IF(B2529&lt;&gt;"",IF(AND(B2529='IN-TC'!$S$4,OR(TH!N2529="1111",TH!O2529="1111")),TH!D2529,""),"")</f>
        <v/>
      </c>
      <c r="B2529" s="1263">
        <f t="shared" si="859"/>
        <v>10</v>
      </c>
      <c r="C2529" s="929">
        <v>43039</v>
      </c>
      <c r="D2529" s="929" t="s">
        <v>902</v>
      </c>
      <c r="E2529" s="929">
        <f t="shared" si="860"/>
        <v>43039</v>
      </c>
      <c r="F2529" s="930" t="s">
        <v>1200</v>
      </c>
      <c r="G2529" s="930" t="s">
        <v>1713</v>
      </c>
      <c r="H2529" s="73" t="s">
        <v>1771</v>
      </c>
      <c r="I2529" s="371"/>
      <c r="J2529" s="378"/>
      <c r="K2529" s="371">
        <v>8831.94</v>
      </c>
      <c r="L2529" s="377">
        <v>22750</v>
      </c>
      <c r="M2529" s="1214">
        <f t="shared" si="858"/>
        <v>200926635</v>
      </c>
      <c r="N2529" s="934" t="s">
        <v>256</v>
      </c>
      <c r="O2529" s="934" t="s">
        <v>26</v>
      </c>
      <c r="P2529" s="75" t="str">
        <f>IF(AND('331-CT'!$E$7=TH!H2529,OR(N2529="331",O2529="331")),"x","")</f>
        <v/>
      </c>
      <c r="Q2529" s="75" t="str">
        <f>IF(AND(B2529='111'!$L$11,OR($N2529=$Q$7,$O2529=$Q$7)),"x","")</f>
        <v/>
      </c>
      <c r="R2529" s="75" t="str">
        <f>IF(AND($N2529=$Q$7,$B2529&lt;'111'!$L$11),"x","")</f>
        <v/>
      </c>
      <c r="S2529" s="75" t="str">
        <f>IF(AND($O2529=$Q$7,$B2529&lt;'111'!$L$11),"x","")</f>
        <v/>
      </c>
      <c r="T2529" s="75" t="str">
        <f>IF(ISERROR(FIND('112'!$M$9,G2529,1)),"",IF((AND(FIND('112'!$M$9,G2529,1)&gt;=1,B2529='112'!$K$9,OR($N2529='112'!$I$6,$O2529='112'!$I$6))),"x",""))</f>
        <v/>
      </c>
      <c r="U2529" s="75" t="str">
        <f>IF(ISERROR(FIND('112'!$M$9,G2529,1)),"",IF((AND(LEFT(G2529,2)=LEFT('112'!$M$9,2),B2529&lt;'112'!$K$9,$N2529='112'!$I$6)),"x",""))</f>
        <v/>
      </c>
      <c r="V2529" s="75" t="str">
        <f>IF(ISERROR(FIND('112'!$M$9,G2529,1)),"",IF((AND(RIGHT(G2529,2)=RIGHT('112'!$M$9,2),B2529&lt;'112'!$K$9,$O2529='112'!$I$6)),"x",""))</f>
        <v/>
      </c>
      <c r="W2529" s="75" t="str">
        <f>IF(AND('341-CT'!$H$9=H2529,OR(LEFT(N2529,3)=$W$7,LEFT(O2529,3)=$W$7)),"x","")</f>
        <v/>
      </c>
      <c r="X2529" s="75" t="str">
        <f>IF(OR(TH!N2529=TH!$X$7,O2529=TH!$X$7),"x","")</f>
        <v/>
      </c>
      <c r="Y2529" s="75" t="str">
        <f>IF(AND(OR(N2529="131",O2529="131"),H2529='131-CT'!$H$9),"x","")</f>
        <v/>
      </c>
      <c r="Z2529" s="75"/>
      <c r="AA2529" s="75" t="str">
        <f>IF(AND(MONTH(E2529)='IN-NX'!$J$5,'IN-NX'!$D$7=D2529),"x","")</f>
        <v/>
      </c>
      <c r="AB2529" s="75" t="str">
        <f>IF(AND(OR(LEFT(TH!N2529,2)="15",LEFT(TH!O2529,2)="15"),LEFT(TH!O2529,3)&lt;&gt;"111",'152-CT'!$J$8=TH!F2529),"x","")</f>
        <v/>
      </c>
      <c r="AC2529" s="75" t="str">
        <f>IF(AND(OR(LEFT(TH!N2529,2)="15",LEFT(TH!O2529,2)="15"),TK!$E$7=TH!F2529),"x","")</f>
        <v/>
      </c>
      <c r="AD2529" s="75" t="str">
        <f>IF(AND(N2529="1521",MONTH(C2529)='BK-NL'!$M$11),"x","")</f>
        <v/>
      </c>
    </row>
    <row r="2530" spans="1:30" s="1264" customFormat="1" ht="16.5" customHeight="1">
      <c r="A2530" s="309" t="str">
        <f>IF(B2530&lt;&gt;"",IF(AND(B2530='IN-TC'!$S$4,OR(TH!N2530="1111",TH!O2530="1111")),TH!D2530,""),"")</f>
        <v/>
      </c>
      <c r="B2530" s="1263">
        <f t="shared" ref="B2530:B2531" si="861">IF(C2530&lt;&gt;"",MONTH(C2530),"")</f>
        <v>10</v>
      </c>
      <c r="C2530" s="929">
        <v>43039</v>
      </c>
      <c r="D2530" s="929" t="s">
        <v>902</v>
      </c>
      <c r="E2530" s="929">
        <f t="shared" ref="E2530:E2531" si="862">C2530</f>
        <v>43039</v>
      </c>
      <c r="F2530" s="930" t="s">
        <v>1096</v>
      </c>
      <c r="G2530" s="930" t="s">
        <v>1713</v>
      </c>
      <c r="H2530" s="73" t="s">
        <v>2413</v>
      </c>
      <c r="I2530" s="371"/>
      <c r="J2530" s="378"/>
      <c r="K2530" s="371">
        <v>574.13</v>
      </c>
      <c r="L2530" s="1214">
        <v>22720</v>
      </c>
      <c r="M2530" s="74">
        <f t="shared" si="858"/>
        <v>13044234</v>
      </c>
      <c r="N2530" s="934" t="s">
        <v>99</v>
      </c>
      <c r="O2530" s="934" t="s">
        <v>256</v>
      </c>
      <c r="P2530" s="75" t="str">
        <f>IF(AND('331-CT'!$E$7=TH!H2530,OR(N2530="331",O2530="331")),"x","")</f>
        <v/>
      </c>
      <c r="Q2530" s="75" t="str">
        <f>IF(AND(B2530='111'!$L$11,OR($N2530=$Q$7,$O2530=$Q$7)),"x","")</f>
        <v/>
      </c>
      <c r="R2530" s="75" t="str">
        <f>IF(AND($N2530=$Q$7,$B2530&lt;'111'!$L$11),"x","")</f>
        <v/>
      </c>
      <c r="S2530" s="75" t="str">
        <f>IF(AND($O2530=$Q$7,$B2530&lt;'111'!$L$11),"x","")</f>
        <v/>
      </c>
      <c r="T2530" s="75" t="str">
        <f>IF(ISERROR(FIND('112'!$M$9,G2530,1)),"",IF((AND(FIND('112'!$M$9,G2530,1)&gt;=1,B2530='112'!$K$9,OR($N2530='112'!$I$6,$O2530='112'!$I$6))),"x",""))</f>
        <v/>
      </c>
      <c r="U2530" s="75" t="str">
        <f>IF(ISERROR(FIND('112'!$M$9,G2530,1)),"",IF((AND(LEFT(G2530,2)=LEFT('112'!$M$9,2),B2530&lt;'112'!$K$9,$N2530='112'!$I$6)),"x",""))</f>
        <v/>
      </c>
      <c r="V2530" s="75" t="str">
        <f>IF(ISERROR(FIND('112'!$M$9,G2530,1)),"",IF((AND(RIGHT(G2530,2)=RIGHT('112'!$M$9,2),B2530&lt;'112'!$K$9,$O2530='112'!$I$6)),"x",""))</f>
        <v/>
      </c>
      <c r="W2530" s="75" t="str">
        <f>IF(AND('341-CT'!$H$9=H2530,OR(LEFT(N2530,3)=$W$7,LEFT(O2530,3)=$W$7)),"x","")</f>
        <v/>
      </c>
      <c r="X2530" s="75" t="str">
        <f>IF(OR(TH!N2530=TH!$X$7,O2530=TH!$X$7),"x","")</f>
        <v/>
      </c>
      <c r="Y2530" s="75" t="str">
        <f>IF(AND(OR(N2530="131",O2530="131"),H2530='131-CT'!$H$9),"x","")</f>
        <v/>
      </c>
      <c r="Z2530" s="75"/>
      <c r="AA2530" s="75" t="str">
        <f>IF(AND(MONTH(E2530)='IN-NX'!$J$5,'IN-NX'!$D$7=D2530),"x","")</f>
        <v/>
      </c>
      <c r="AB2530" s="75" t="str">
        <f>IF(AND(OR(LEFT(TH!N2530,2)="15",LEFT(TH!O2530,2)="15"),LEFT(TH!O2530,3)&lt;&gt;"111",'152-CT'!$J$8=TH!F2530),"x","")</f>
        <v/>
      </c>
      <c r="AC2530" s="75" t="str">
        <f>IF(AND(OR(LEFT(TH!N2530,2)="15",LEFT(TH!O2530,2)="15"),TK!$E$7=TH!F2530),"x","")</f>
        <v/>
      </c>
      <c r="AD2530" s="75" t="str">
        <f>IF(AND(N2530="1521",MONTH(C2530)='BK-NL'!$M$11),"x","")</f>
        <v/>
      </c>
    </row>
    <row r="2531" spans="1:30" s="1264" customFormat="1" ht="16.5" customHeight="1">
      <c r="A2531" s="309" t="str">
        <f>IF(B2531&lt;&gt;"",IF(AND(B2531='IN-TC'!$S$4,OR(TH!N2531="1111",TH!O2531="1111")),TH!D2531,""),"")</f>
        <v/>
      </c>
      <c r="B2531" s="1263">
        <f t="shared" si="861"/>
        <v>10</v>
      </c>
      <c r="C2531" s="929">
        <v>43039</v>
      </c>
      <c r="D2531" s="929" t="s">
        <v>902</v>
      </c>
      <c r="E2531" s="929">
        <f t="shared" si="862"/>
        <v>43039</v>
      </c>
      <c r="F2531" s="72" t="s">
        <v>1321</v>
      </c>
      <c r="G2531" s="930" t="s">
        <v>1713</v>
      </c>
      <c r="H2531" s="73" t="s">
        <v>2413</v>
      </c>
      <c r="I2531" s="371"/>
      <c r="J2531" s="378"/>
      <c r="K2531" s="371">
        <v>8240</v>
      </c>
      <c r="L2531" s="377">
        <v>22750</v>
      </c>
      <c r="M2531" s="74">
        <f t="shared" ref="M2531:M2533" si="863">ROUND(K2531*L2531,0)</f>
        <v>187460000</v>
      </c>
      <c r="N2531" s="934" t="s">
        <v>250</v>
      </c>
      <c r="O2531" s="934" t="s">
        <v>256</v>
      </c>
      <c r="P2531" s="75" t="str">
        <f>IF(AND('331-CT'!$E$7=TH!H2531,OR(N2531="331",O2531="331")),"x","")</f>
        <v/>
      </c>
      <c r="Q2531" s="75" t="str">
        <f>IF(AND(B2531='111'!$L$11,OR($N2531=$Q$7,$O2531=$Q$7)),"x","")</f>
        <v/>
      </c>
      <c r="R2531" s="75" t="str">
        <f>IF(AND($N2531=$Q$7,$B2531&lt;'111'!$L$11),"x","")</f>
        <v/>
      </c>
      <c r="S2531" s="75" t="str">
        <f>IF(AND($O2531=$Q$7,$B2531&lt;'111'!$L$11),"x","")</f>
        <v/>
      </c>
      <c r="T2531" s="75" t="str">
        <f>IF(ISERROR(FIND('112'!$M$9,G2531,1)),"",IF((AND(FIND('112'!$M$9,G2531,1)&gt;=1,B2531='112'!$K$9,OR($N2531='112'!$I$6,$O2531='112'!$I$6))),"x",""))</f>
        <v/>
      </c>
      <c r="U2531" s="75" t="str">
        <f>IF(ISERROR(FIND('112'!$M$9,G2531,1)),"",IF((AND(LEFT(G2531,2)=LEFT('112'!$M$9,2),B2531&lt;'112'!$K$9,$N2531='112'!$I$6)),"x",""))</f>
        <v/>
      </c>
      <c r="V2531" s="75" t="str">
        <f>IF(ISERROR(FIND('112'!$M$9,G2531,1)),"",IF((AND(RIGHT(G2531,2)=RIGHT('112'!$M$9,2),B2531&lt;'112'!$K$9,$O2531='112'!$I$6)),"x",""))</f>
        <v/>
      </c>
      <c r="W2531" s="75" t="str">
        <f>IF(AND('341-CT'!$H$9=H2531,OR(LEFT(N2531,3)=$W$7,LEFT(O2531,3)=$W$7)),"x","")</f>
        <v/>
      </c>
      <c r="X2531" s="75" t="str">
        <f>IF(OR(TH!N2531=TH!$X$7,O2531=TH!$X$7),"x","")</f>
        <v/>
      </c>
      <c r="Y2531" s="75" t="str">
        <f>IF(AND(OR(N2531="131",O2531="131"),H2531='131-CT'!$H$9),"x","")</f>
        <v/>
      </c>
      <c r="Z2531" s="75"/>
      <c r="AA2531" s="75" t="str">
        <f>IF(AND(MONTH(E2531)='IN-NX'!$J$5,'IN-NX'!$D$7=D2531),"x","")</f>
        <v/>
      </c>
      <c r="AB2531" s="75" t="str">
        <f>IF(AND(OR(LEFT(TH!N2531,2)="15",LEFT(TH!O2531,2)="15"),LEFT(TH!O2531,3)&lt;&gt;"111",'152-CT'!$J$8=TH!F2531),"x","")</f>
        <v/>
      </c>
      <c r="AC2531" s="75" t="str">
        <f>IF(AND(OR(LEFT(TH!N2531,2)="15",LEFT(TH!O2531,2)="15"),TK!$E$7=TH!F2531),"x","")</f>
        <v/>
      </c>
      <c r="AD2531" s="75" t="str">
        <f>IF(AND(N2531="1521",MONTH(C2531)='BK-NL'!$M$11),"x","")</f>
        <v/>
      </c>
    </row>
    <row r="2532" spans="1:30" s="1264" customFormat="1" ht="16.5" customHeight="1">
      <c r="A2532" s="309" t="str">
        <f>IF(B2532&lt;&gt;"",IF(AND(B2532='IN-TC'!$S$4,OR(TH!N2532="1111",TH!O2532="1111")),TH!D2532,""),"")</f>
        <v/>
      </c>
      <c r="B2532" s="1282">
        <f t="shared" si="859"/>
        <v>11</v>
      </c>
      <c r="C2532" s="929">
        <v>43061</v>
      </c>
      <c r="D2532" s="929" t="s">
        <v>902</v>
      </c>
      <c r="E2532" s="929">
        <f t="shared" si="860"/>
        <v>43061</v>
      </c>
      <c r="F2532" s="930" t="s">
        <v>1307</v>
      </c>
      <c r="G2532" s="930" t="s">
        <v>1713</v>
      </c>
      <c r="H2532" s="73" t="s">
        <v>759</v>
      </c>
      <c r="I2532" s="371"/>
      <c r="J2532" s="378"/>
      <c r="K2532" s="371">
        <v>213.37</v>
      </c>
      <c r="L2532" s="377">
        <v>22722</v>
      </c>
      <c r="M2532" s="74">
        <f t="shared" si="863"/>
        <v>4848193</v>
      </c>
      <c r="N2532" s="934" t="s">
        <v>101</v>
      </c>
      <c r="O2532" s="934" t="s">
        <v>256</v>
      </c>
      <c r="P2532" s="75" t="str">
        <f>IF(AND('331-CT'!$E$7=TH!H2532,OR(N2532="331",O2532="331")),"x","")</f>
        <v/>
      </c>
      <c r="Q2532" s="75" t="str">
        <f>IF(AND(B2532='111'!$L$11,OR($N2532=$Q$7,$O2532=$Q$7)),"x","")</f>
        <v/>
      </c>
      <c r="R2532" s="75" t="str">
        <f>IF(AND($N2532=$Q$7,$B2532&lt;'111'!$L$11),"x","")</f>
        <v/>
      </c>
      <c r="S2532" s="75" t="str">
        <f>IF(AND($O2532=$Q$7,$B2532&lt;'111'!$L$11),"x","")</f>
        <v/>
      </c>
      <c r="T2532" s="75" t="str">
        <f>IF(ISERROR(FIND('112'!$M$9,G2532,1)),"",IF((AND(FIND('112'!$M$9,G2532,1)&gt;=1,B2532='112'!$K$9,OR($N2532='112'!$I$6,$O2532='112'!$I$6))),"x",""))</f>
        <v/>
      </c>
      <c r="U2532" s="75" t="str">
        <f>IF(ISERROR(FIND('112'!$M$9,G2532,1)),"",IF((AND(LEFT(G2532,2)=LEFT('112'!$M$9,2),B2532&lt;'112'!$K$9,$N2532='112'!$I$6)),"x",""))</f>
        <v/>
      </c>
      <c r="V2532" s="75" t="str">
        <f>IF(ISERROR(FIND('112'!$M$9,G2532,1)),"",IF((AND(RIGHT(G2532,2)=RIGHT('112'!$M$9,2),B2532&lt;'112'!$K$9,$O2532='112'!$I$6)),"x",""))</f>
        <v/>
      </c>
      <c r="W2532" s="75" t="str">
        <f>IF(AND('341-CT'!$H$9=H2532,OR(LEFT(N2532,3)=$W$7,LEFT(O2532,3)=$W$7)),"x","")</f>
        <v/>
      </c>
      <c r="X2532" s="75" t="str">
        <f>IF(OR(TH!N2532=TH!$X$7,O2532=TH!$X$7),"x","")</f>
        <v/>
      </c>
      <c r="Y2532" s="75" t="str">
        <f>IF(AND(OR(N2532="131",O2532="131"),H2532='131-CT'!$H$9),"x","")</f>
        <v/>
      </c>
      <c r="Z2532" s="75"/>
      <c r="AA2532" s="75" t="str">
        <f>IF(AND(MONTH(E2532)='IN-NX'!$J$5,'IN-NX'!$D$7=D2532),"x","")</f>
        <v/>
      </c>
      <c r="AB2532" s="75" t="str">
        <f>IF(AND(OR(LEFT(TH!N2532,2)="15",LEFT(TH!O2532,2)="15"),LEFT(TH!O2532,3)&lt;&gt;"111",'152-CT'!$J$8=TH!F2532),"x","")</f>
        <v/>
      </c>
      <c r="AC2532" s="75" t="str">
        <f>IF(AND(OR(LEFT(TH!N2532,2)="15",LEFT(TH!O2532,2)="15"),TK!$E$7=TH!F2532),"x","")</f>
        <v/>
      </c>
      <c r="AD2532" s="75" t="str">
        <f>IF(AND(N2532="1521",MONTH(C2532)='BK-NL'!$M$11),"x","")</f>
        <v/>
      </c>
    </row>
    <row r="2533" spans="1:30" s="1264" customFormat="1" ht="16.5" customHeight="1">
      <c r="A2533" s="309" t="str">
        <f>IF(B2533&lt;&gt;"",IF(AND(B2533='IN-TC'!$S$4,OR(TH!N2533="1111",TH!O2533="1111")),TH!D2533,""),"")</f>
        <v/>
      </c>
      <c r="B2533" s="1282">
        <f t="shared" si="859"/>
        <v>11</v>
      </c>
      <c r="C2533" s="929">
        <v>43061</v>
      </c>
      <c r="D2533" s="929" t="s">
        <v>903</v>
      </c>
      <c r="E2533" s="929">
        <f t="shared" si="860"/>
        <v>43061</v>
      </c>
      <c r="F2533" s="930" t="s">
        <v>1086</v>
      </c>
      <c r="G2533" s="930" t="s">
        <v>1713</v>
      </c>
      <c r="H2533" s="73" t="s">
        <v>759</v>
      </c>
      <c r="I2533" s="371"/>
      <c r="J2533" s="378"/>
      <c r="K2533" s="371">
        <v>387933</v>
      </c>
      <c r="L2533" s="377">
        <v>22722</v>
      </c>
      <c r="M2533" s="1214">
        <f t="shared" si="863"/>
        <v>8814613626</v>
      </c>
      <c r="N2533" s="934" t="s">
        <v>256</v>
      </c>
      <c r="O2533" s="934" t="s">
        <v>536</v>
      </c>
      <c r="P2533" s="75" t="str">
        <f>IF(AND('331-CT'!$E$7=TH!H2533,OR(N2533="331",O2533="331")),"x","")</f>
        <v/>
      </c>
      <c r="Q2533" s="75" t="str">
        <f>IF(AND(B2533='111'!$L$11,OR($N2533=$Q$7,$O2533=$Q$7)),"x","")</f>
        <v/>
      </c>
      <c r="R2533" s="75" t="str">
        <f>IF(AND($N2533=$Q$7,$B2533&lt;'111'!$L$11),"x","")</f>
        <v/>
      </c>
      <c r="S2533" s="75" t="str">
        <f>IF(AND($O2533=$Q$7,$B2533&lt;'111'!$L$11),"x","")</f>
        <v/>
      </c>
      <c r="T2533" s="75" t="str">
        <f>IF(ISERROR(FIND('112'!$M$9,G2533,1)),"",IF((AND(FIND('112'!$M$9,G2533,1)&gt;=1,B2533='112'!$K$9,OR($N2533='112'!$I$6,$O2533='112'!$I$6))),"x",""))</f>
        <v/>
      </c>
      <c r="U2533" s="75" t="str">
        <f>IF(ISERROR(FIND('112'!$M$9,G2533,1)),"",IF((AND(LEFT(G2533,2)=LEFT('112'!$M$9,2),B2533&lt;'112'!$K$9,$N2533='112'!$I$6)),"x",""))</f>
        <v/>
      </c>
      <c r="V2533" s="75" t="str">
        <f>IF(ISERROR(FIND('112'!$M$9,G2533,1)),"",IF((AND(RIGHT(G2533,2)=RIGHT('112'!$M$9,2),B2533&lt;'112'!$K$9,$O2533='112'!$I$6)),"x",""))</f>
        <v/>
      </c>
      <c r="W2533" s="75" t="str">
        <f>IF(AND('341-CT'!$H$9=H2533,OR(LEFT(N2533,3)=$W$7,LEFT(O2533,3)=$W$7)),"x","")</f>
        <v/>
      </c>
      <c r="X2533" s="75" t="str">
        <f>IF(OR(TH!N2533=TH!$X$7,O2533=TH!$X$7),"x","")</f>
        <v/>
      </c>
      <c r="Y2533" s="75" t="str">
        <f>IF(AND(OR(N2533="131",O2533="131"),H2533='131-CT'!$H$9),"x","")</f>
        <v/>
      </c>
      <c r="Z2533" s="75"/>
      <c r="AA2533" s="75" t="str">
        <f>IF(AND(MONTH(E2533)='IN-NX'!$J$5,'IN-NX'!$D$7=D2533),"x","")</f>
        <v/>
      </c>
      <c r="AB2533" s="75" t="str">
        <f>IF(AND(OR(LEFT(TH!N2533,2)="15",LEFT(TH!O2533,2)="15"),LEFT(TH!O2533,3)&lt;&gt;"111",'152-CT'!$J$8=TH!F2533),"x","")</f>
        <v/>
      </c>
      <c r="AC2533" s="75" t="str">
        <f>IF(AND(OR(LEFT(TH!N2533,2)="15",LEFT(TH!O2533,2)="15"),TK!$E$7=TH!F2533),"x","")</f>
        <v/>
      </c>
      <c r="AD2533" s="75" t="str">
        <f>IF(AND(N2533="1521",MONTH(C2533)='BK-NL'!$M$11),"x","")</f>
        <v/>
      </c>
    </row>
    <row r="2534" spans="1:30" s="1264" customFormat="1" ht="16.5" customHeight="1">
      <c r="A2534" s="309" t="str">
        <f>IF(B2534&lt;&gt;"",IF(AND(B2534='IN-TC'!$S$4,OR(TH!N2534="1111",TH!O2534="1111")),TH!D2534,""),"")</f>
        <v/>
      </c>
      <c r="B2534" s="1282">
        <f t="shared" ref="B2534" si="864">IF(C2534&lt;&gt;"",MONTH(C2534),"")</f>
        <v>11</v>
      </c>
      <c r="C2534" s="929">
        <v>43061</v>
      </c>
      <c r="D2534" s="929" t="s">
        <v>530</v>
      </c>
      <c r="E2534" s="929">
        <f t="shared" ref="E2534" si="865">C2534</f>
        <v>43061</v>
      </c>
      <c r="F2534" s="930" t="s">
        <v>1010</v>
      </c>
      <c r="G2534" s="930" t="s">
        <v>1713</v>
      </c>
      <c r="H2534" s="73" t="s">
        <v>759</v>
      </c>
      <c r="I2534" s="371"/>
      <c r="J2534" s="378"/>
      <c r="K2534" s="371"/>
      <c r="L2534" s="377"/>
      <c r="M2534" s="74">
        <v>10474191</v>
      </c>
      <c r="N2534" s="934" t="s">
        <v>536</v>
      </c>
      <c r="O2534" s="934" t="s">
        <v>43</v>
      </c>
      <c r="P2534" s="75" t="str">
        <f>IF(AND('331-CT'!$E$7=TH!H2534,OR(N2534="331",O2534="331")),"x","")</f>
        <v/>
      </c>
      <c r="Q2534" s="75" t="str">
        <f>IF(AND(B2534='111'!$L$11,OR($N2534=$Q$7,$O2534=$Q$7)),"x","")</f>
        <v/>
      </c>
      <c r="R2534" s="75" t="str">
        <f>IF(AND($N2534=$Q$7,$B2534&lt;'111'!$L$11),"x","")</f>
        <v/>
      </c>
      <c r="S2534" s="75" t="str">
        <f>IF(AND($O2534=$Q$7,$B2534&lt;'111'!$L$11),"x","")</f>
        <v/>
      </c>
      <c r="T2534" s="75" t="str">
        <f>IF(ISERROR(FIND('112'!$M$9,G2534,1)),"",IF((AND(FIND('112'!$M$9,G2534,1)&gt;=1,B2534='112'!$K$9,OR($N2534='112'!$I$6,$O2534='112'!$I$6))),"x",""))</f>
        <v/>
      </c>
      <c r="U2534" s="75" t="str">
        <f>IF(ISERROR(FIND('112'!$M$9,G2534,1)),"",IF((AND(LEFT(G2534,2)=LEFT('112'!$M$9,2),B2534&lt;'112'!$K$9,$N2534='112'!$I$6)),"x",""))</f>
        <v/>
      </c>
      <c r="V2534" s="75" t="str">
        <f>IF(ISERROR(FIND('112'!$M$9,G2534,1)),"",IF((AND(RIGHT(G2534,2)=RIGHT('112'!$M$9,2),B2534&lt;'112'!$K$9,$O2534='112'!$I$6)),"x",""))</f>
        <v/>
      </c>
      <c r="W2534" s="75" t="str">
        <f>IF(AND('341-CT'!$H$9=H2534,OR(LEFT(N2534,3)=$W$7,LEFT(O2534,3)=$W$7)),"x","")</f>
        <v/>
      </c>
      <c r="X2534" s="75" t="str">
        <f>IF(OR(TH!N2534=TH!$X$7,O2534=TH!$X$7),"x","")</f>
        <v/>
      </c>
      <c r="Y2534" s="75" t="str">
        <f>IF(AND(OR(N2534="131",O2534="131"),H2534='131-CT'!$H$9),"x","")</f>
        <v/>
      </c>
      <c r="Z2534" s="75"/>
      <c r="AA2534" s="75" t="str">
        <f>IF(AND(MONTH(E2534)='IN-NX'!$J$5,'IN-NX'!$D$7=D2534),"x","")</f>
        <v/>
      </c>
      <c r="AB2534" s="75" t="str">
        <f>IF(AND(OR(LEFT(TH!N2534,2)="15",LEFT(TH!O2534,2)="15"),LEFT(TH!O2534,3)&lt;&gt;"111",'152-CT'!$J$8=TH!F2534),"x","")</f>
        <v/>
      </c>
      <c r="AC2534" s="75" t="str">
        <f>IF(AND(OR(LEFT(TH!N2534,2)="15",LEFT(TH!O2534,2)="15"),TK!$E$7=TH!F2534),"x","")</f>
        <v/>
      </c>
      <c r="AD2534" s="75" t="str">
        <f>IF(AND(N2534="1521",MONTH(C2534)='BK-NL'!$M$11),"x","")</f>
        <v/>
      </c>
    </row>
    <row r="2535" spans="1:30" s="1264" customFormat="1" ht="16.5" customHeight="1">
      <c r="A2535" s="309" t="str">
        <f>IF(B2535&lt;&gt;"",IF(AND(B2535='IN-TC'!$S$4,OR(TH!N2535="1111",TH!O2535="1111")),TH!D2535,""),"")</f>
        <v/>
      </c>
      <c r="B2535" s="1282">
        <f t="shared" si="859"/>
        <v>11</v>
      </c>
      <c r="C2535" s="929">
        <v>43062</v>
      </c>
      <c r="D2535" s="929" t="s">
        <v>902</v>
      </c>
      <c r="E2535" s="929">
        <f t="shared" ref="E2535:E2548" si="866">C2535</f>
        <v>43062</v>
      </c>
      <c r="F2535" s="930" t="s">
        <v>1096</v>
      </c>
      <c r="G2535" s="930" t="s">
        <v>1713</v>
      </c>
      <c r="H2535" s="73" t="s">
        <v>2409</v>
      </c>
      <c r="I2535" s="371"/>
      <c r="J2535" s="378"/>
      <c r="K2535" s="371">
        <v>1111.96</v>
      </c>
      <c r="L2535" s="377">
        <v>22720</v>
      </c>
      <c r="M2535" s="74">
        <f t="shared" ref="M2535:M2537" si="867">ROUND(K2535*L2535,0)</f>
        <v>25263731</v>
      </c>
      <c r="N2535" s="934" t="s">
        <v>99</v>
      </c>
      <c r="O2535" s="934" t="s">
        <v>256</v>
      </c>
      <c r="P2535" s="75" t="str">
        <f>IF(AND('331-CT'!$E$7=TH!H2535,OR(N2535="331",O2535="331")),"x","")</f>
        <v/>
      </c>
      <c r="Q2535" s="75" t="str">
        <f>IF(AND(B2535='111'!$L$11,OR($N2535=$Q$7,$O2535=$Q$7)),"x","")</f>
        <v/>
      </c>
      <c r="R2535" s="75" t="str">
        <f>IF(AND($N2535=$Q$7,$B2535&lt;'111'!$L$11),"x","")</f>
        <v/>
      </c>
      <c r="S2535" s="75" t="str">
        <f>IF(AND($O2535=$Q$7,$B2535&lt;'111'!$L$11),"x","")</f>
        <v/>
      </c>
      <c r="T2535" s="75" t="str">
        <f>IF(ISERROR(FIND('112'!$M$9,G2535,1)),"",IF((AND(FIND('112'!$M$9,G2535,1)&gt;=1,B2535='112'!$K$9,OR($N2535='112'!$I$6,$O2535='112'!$I$6))),"x",""))</f>
        <v/>
      </c>
      <c r="U2535" s="75" t="str">
        <f>IF(ISERROR(FIND('112'!$M$9,G2535,1)),"",IF((AND(LEFT(G2535,2)=LEFT('112'!$M$9,2),B2535&lt;'112'!$K$9,$N2535='112'!$I$6)),"x",""))</f>
        <v/>
      </c>
      <c r="V2535" s="75" t="str">
        <f>IF(ISERROR(FIND('112'!$M$9,G2535,1)),"",IF((AND(RIGHT(G2535,2)=RIGHT('112'!$M$9,2),B2535&lt;'112'!$K$9,$O2535='112'!$I$6)),"x",""))</f>
        <v/>
      </c>
      <c r="W2535" s="75" t="str">
        <f>IF(AND('341-CT'!$H$9=H2535,OR(LEFT(N2535,3)=$W$7,LEFT(O2535,3)=$W$7)),"x","")</f>
        <v/>
      </c>
      <c r="X2535" s="75" t="str">
        <f>IF(OR(TH!N2535=TH!$X$7,O2535=TH!$X$7),"x","")</f>
        <v/>
      </c>
      <c r="Y2535" s="75" t="str">
        <f>IF(AND(OR(N2535="131",O2535="131"),H2535='131-CT'!$H$9),"x","")</f>
        <v/>
      </c>
      <c r="Z2535" s="75"/>
      <c r="AA2535" s="75" t="str">
        <f>IF(AND(MONTH(E2535)='IN-NX'!$J$5,'IN-NX'!$D$7=D2535),"x","")</f>
        <v/>
      </c>
      <c r="AB2535" s="75" t="str">
        <f>IF(AND(OR(LEFT(TH!N2535,2)="15",LEFT(TH!O2535,2)="15"),LEFT(TH!O2535,3)&lt;&gt;"111",'152-CT'!$J$8=TH!F2535),"x","")</f>
        <v/>
      </c>
      <c r="AC2535" s="75" t="str">
        <f>IF(AND(OR(LEFT(TH!N2535,2)="15",LEFT(TH!O2535,2)="15"),TK!$E$7=TH!F2535),"x","")</f>
        <v/>
      </c>
      <c r="AD2535" s="75" t="str">
        <f>IF(AND(N2535="1521",MONTH(C2535)='BK-NL'!$M$11),"x","")</f>
        <v/>
      </c>
    </row>
    <row r="2536" spans="1:30" s="1264" customFormat="1" ht="16.5" customHeight="1">
      <c r="A2536" s="309" t="str">
        <f>IF(B2536&lt;&gt;"",IF(AND(B2536='IN-TC'!$S$4,OR(TH!N2536="1111",TH!O2536="1111")),TH!D2536,""),"")</f>
        <v/>
      </c>
      <c r="B2536" s="1282">
        <f t="shared" ref="B2536:B2538" si="868">IF(C2536&lt;&gt;"",MONTH(C2536),"")</f>
        <v>11</v>
      </c>
      <c r="C2536" s="929">
        <v>43062</v>
      </c>
      <c r="D2536" s="929" t="s">
        <v>902</v>
      </c>
      <c r="E2536" s="929">
        <f t="shared" ref="E2536:E2538" si="869">C2536</f>
        <v>43062</v>
      </c>
      <c r="F2536" s="930" t="s">
        <v>1096</v>
      </c>
      <c r="G2536" s="930" t="s">
        <v>1713</v>
      </c>
      <c r="H2536" s="73" t="s">
        <v>2407</v>
      </c>
      <c r="I2536" s="371"/>
      <c r="J2536" s="378"/>
      <c r="K2536" s="371">
        <v>1156.94</v>
      </c>
      <c r="L2536" s="377">
        <v>22720</v>
      </c>
      <c r="M2536" s="74">
        <f t="shared" si="867"/>
        <v>26285677</v>
      </c>
      <c r="N2536" s="934" t="s">
        <v>99</v>
      </c>
      <c r="O2536" s="934" t="s">
        <v>256</v>
      </c>
      <c r="P2536" s="75" t="str">
        <f>IF(AND('331-CT'!$E$7=TH!H2536,OR(N2536="331",O2536="331")),"x","")</f>
        <v/>
      </c>
      <c r="Q2536" s="75" t="str">
        <f>IF(AND(B2536='111'!$L$11,OR($N2536=$Q$7,$O2536=$Q$7)),"x","")</f>
        <v/>
      </c>
      <c r="R2536" s="75" t="str">
        <f>IF(AND($N2536=$Q$7,$B2536&lt;'111'!$L$11),"x","")</f>
        <v/>
      </c>
      <c r="S2536" s="75" t="str">
        <f>IF(AND($O2536=$Q$7,$B2536&lt;'111'!$L$11),"x","")</f>
        <v/>
      </c>
      <c r="T2536" s="75" t="str">
        <f>IF(ISERROR(FIND('112'!$M$9,G2536,1)),"",IF((AND(FIND('112'!$M$9,G2536,1)&gt;=1,B2536='112'!$K$9,OR($N2536='112'!$I$6,$O2536='112'!$I$6))),"x",""))</f>
        <v/>
      </c>
      <c r="U2536" s="75" t="str">
        <f>IF(ISERROR(FIND('112'!$M$9,G2536,1)),"",IF((AND(LEFT(G2536,2)=LEFT('112'!$M$9,2),B2536&lt;'112'!$K$9,$N2536='112'!$I$6)),"x",""))</f>
        <v/>
      </c>
      <c r="V2536" s="75" t="str">
        <f>IF(ISERROR(FIND('112'!$M$9,G2536,1)),"",IF((AND(RIGHT(G2536,2)=RIGHT('112'!$M$9,2),B2536&lt;'112'!$K$9,$O2536='112'!$I$6)),"x",""))</f>
        <v/>
      </c>
      <c r="W2536" s="75" t="str">
        <f>IF(AND('341-CT'!$H$9=H2536,OR(LEFT(N2536,3)=$W$7,LEFT(O2536,3)=$W$7)),"x","")</f>
        <v/>
      </c>
      <c r="X2536" s="75" t="str">
        <f>IF(OR(TH!N2536=TH!$X$7,O2536=TH!$X$7),"x","")</f>
        <v/>
      </c>
      <c r="Y2536" s="75" t="str">
        <f>IF(AND(OR(N2536="131",O2536="131"),H2536='131-CT'!$H$9),"x","")</f>
        <v/>
      </c>
      <c r="Z2536" s="75"/>
      <c r="AA2536" s="75" t="str">
        <f>IF(AND(MONTH(E2536)='IN-NX'!$J$5,'IN-NX'!$D$7=D2536),"x","")</f>
        <v/>
      </c>
      <c r="AB2536" s="75" t="str">
        <f>IF(AND(OR(LEFT(TH!N2536,2)="15",LEFT(TH!O2536,2)="15"),LEFT(TH!O2536,3)&lt;&gt;"111",'152-CT'!$J$8=TH!F2536),"x","")</f>
        <v/>
      </c>
      <c r="AC2536" s="75" t="str">
        <f>IF(AND(OR(LEFT(TH!N2536,2)="15",LEFT(TH!O2536,2)="15"),TK!$E$7=TH!F2536),"x","")</f>
        <v/>
      </c>
      <c r="AD2536" s="75" t="str">
        <f>IF(AND(N2536="1521",MONTH(C2536)='BK-NL'!$M$11),"x","")</f>
        <v/>
      </c>
    </row>
    <row r="2537" spans="1:30" s="1264" customFormat="1" ht="16.5" customHeight="1">
      <c r="A2537" s="309" t="str">
        <f>IF(B2537&lt;&gt;"",IF(AND(B2537='IN-TC'!$S$4,OR(TH!N2537="1111",TH!O2537="1111")),TH!D2537,""),"")</f>
        <v/>
      </c>
      <c r="B2537" s="1282">
        <f t="shared" si="868"/>
        <v>11</v>
      </c>
      <c r="C2537" s="929">
        <v>43062</v>
      </c>
      <c r="D2537" s="929" t="s">
        <v>902</v>
      </c>
      <c r="E2537" s="929">
        <f t="shared" si="869"/>
        <v>43062</v>
      </c>
      <c r="F2537" s="930" t="s">
        <v>1096</v>
      </c>
      <c r="G2537" s="930" t="s">
        <v>1713</v>
      </c>
      <c r="H2537" s="73" t="s">
        <v>2408</v>
      </c>
      <c r="I2537" s="371"/>
      <c r="J2537" s="378"/>
      <c r="K2537" s="371">
        <v>1314.28</v>
      </c>
      <c r="L2537" s="377">
        <v>22720</v>
      </c>
      <c r="M2537" s="74">
        <f t="shared" si="867"/>
        <v>29860442</v>
      </c>
      <c r="N2537" s="934" t="s">
        <v>99</v>
      </c>
      <c r="O2537" s="934" t="s">
        <v>256</v>
      </c>
      <c r="P2537" s="75" t="str">
        <f>IF(AND('331-CT'!$E$7=TH!H2537,OR(N2537="331",O2537="331")),"x","")</f>
        <v/>
      </c>
      <c r="Q2537" s="75" t="str">
        <f>IF(AND(B2537='111'!$L$11,OR($N2537=$Q$7,$O2537=$Q$7)),"x","")</f>
        <v/>
      </c>
      <c r="R2537" s="75" t="str">
        <f>IF(AND($N2537=$Q$7,$B2537&lt;'111'!$L$11),"x","")</f>
        <v/>
      </c>
      <c r="S2537" s="75" t="str">
        <f>IF(AND($O2537=$Q$7,$B2537&lt;'111'!$L$11),"x","")</f>
        <v/>
      </c>
      <c r="T2537" s="75" t="str">
        <f>IF(ISERROR(FIND('112'!$M$9,G2537,1)),"",IF((AND(FIND('112'!$M$9,G2537,1)&gt;=1,B2537='112'!$K$9,OR($N2537='112'!$I$6,$O2537='112'!$I$6))),"x",""))</f>
        <v/>
      </c>
      <c r="U2537" s="75" t="str">
        <f>IF(ISERROR(FIND('112'!$M$9,G2537,1)),"",IF((AND(LEFT(G2537,2)=LEFT('112'!$M$9,2),B2537&lt;'112'!$K$9,$N2537='112'!$I$6)),"x",""))</f>
        <v/>
      </c>
      <c r="V2537" s="75" t="str">
        <f>IF(ISERROR(FIND('112'!$M$9,G2537,1)),"",IF((AND(RIGHT(G2537,2)=RIGHT('112'!$M$9,2),B2537&lt;'112'!$K$9,$O2537='112'!$I$6)),"x",""))</f>
        <v/>
      </c>
      <c r="W2537" s="75" t="str">
        <f>IF(AND('341-CT'!$H$9=H2537,OR(LEFT(N2537,3)=$W$7,LEFT(O2537,3)=$W$7)),"x","")</f>
        <v/>
      </c>
      <c r="X2537" s="75" t="str">
        <f>IF(OR(TH!N2537=TH!$X$7,O2537=TH!$X$7),"x","")</f>
        <v/>
      </c>
      <c r="Y2537" s="75" t="str">
        <f>IF(AND(OR(N2537="131",O2537="131"),H2537='131-CT'!$H$9),"x","")</f>
        <v/>
      </c>
      <c r="Z2537" s="75"/>
      <c r="AA2537" s="75" t="str">
        <f>IF(AND(MONTH(E2537)='IN-NX'!$J$5,'IN-NX'!$D$7=D2537),"x","")</f>
        <v/>
      </c>
      <c r="AB2537" s="75" t="str">
        <f>IF(AND(OR(LEFT(TH!N2537,2)="15",LEFT(TH!O2537,2)="15"),LEFT(TH!O2537,3)&lt;&gt;"111",'152-CT'!$J$8=TH!F2537),"x","")</f>
        <v/>
      </c>
      <c r="AC2537" s="75" t="str">
        <f>IF(AND(OR(LEFT(TH!N2537,2)="15",LEFT(TH!O2537,2)="15"),TK!$E$7=TH!F2537),"x","")</f>
        <v/>
      </c>
      <c r="AD2537" s="75" t="str">
        <f>IF(AND(N2537="1521",MONTH(C2537)='BK-NL'!$M$11),"x","")</f>
        <v/>
      </c>
    </row>
    <row r="2538" spans="1:30" s="1264" customFormat="1" ht="16.5" customHeight="1">
      <c r="A2538" s="309" t="str">
        <f>IF(B2538&lt;&gt;"",IF(AND(B2538='IN-TC'!$S$4,OR(TH!N2538="1111",TH!O2538="1111")),TH!D2538,""),"")</f>
        <v/>
      </c>
      <c r="B2538" s="1282">
        <f t="shared" si="868"/>
        <v>11</v>
      </c>
      <c r="C2538" s="929">
        <v>43066</v>
      </c>
      <c r="D2538" s="929" t="s">
        <v>902</v>
      </c>
      <c r="E2538" s="929">
        <f t="shared" si="869"/>
        <v>43066</v>
      </c>
      <c r="F2538" s="72" t="s">
        <v>1321</v>
      </c>
      <c r="G2538" s="930" t="s">
        <v>1713</v>
      </c>
      <c r="H2538" s="296" t="s">
        <v>2406</v>
      </c>
      <c r="I2538" s="371"/>
      <c r="J2538" s="378"/>
      <c r="K2538" s="371">
        <v>3700</v>
      </c>
      <c r="L2538" s="1214">
        <v>22720</v>
      </c>
      <c r="M2538" s="74">
        <f t="shared" ref="M2538:M2543" si="870">ROUND(K2538*L2538,0)</f>
        <v>84064000</v>
      </c>
      <c r="N2538" s="934" t="s">
        <v>250</v>
      </c>
      <c r="O2538" s="934" t="s">
        <v>256</v>
      </c>
      <c r="P2538" s="75" t="str">
        <f>IF(AND('331-CT'!$E$7=TH!H2538,OR(N2538="331",O2538="331")),"x","")</f>
        <v/>
      </c>
      <c r="Q2538" s="75" t="str">
        <f>IF(AND(B2538='111'!$L$11,OR($N2538=$Q$7,$O2538=$Q$7)),"x","")</f>
        <v/>
      </c>
      <c r="R2538" s="75" t="str">
        <f>IF(AND($N2538=$Q$7,$B2538&lt;'111'!$L$11),"x","")</f>
        <v/>
      </c>
      <c r="S2538" s="75" t="str">
        <f>IF(AND($O2538=$Q$7,$B2538&lt;'111'!$L$11),"x","")</f>
        <v/>
      </c>
      <c r="T2538" s="75" t="str">
        <f>IF(ISERROR(FIND('112'!$M$9,G2538,1)),"",IF((AND(FIND('112'!$M$9,G2538,1)&gt;=1,B2538='112'!$K$9,OR($N2538='112'!$I$6,$O2538='112'!$I$6))),"x",""))</f>
        <v/>
      </c>
      <c r="U2538" s="75" t="str">
        <f>IF(ISERROR(FIND('112'!$M$9,G2538,1)),"",IF((AND(LEFT(G2538,2)=LEFT('112'!$M$9,2),B2538&lt;'112'!$K$9,$N2538='112'!$I$6)),"x",""))</f>
        <v/>
      </c>
      <c r="V2538" s="75" t="str">
        <f>IF(ISERROR(FIND('112'!$M$9,G2538,1)),"",IF((AND(RIGHT(G2538,2)=RIGHT('112'!$M$9,2),B2538&lt;'112'!$K$9,$O2538='112'!$I$6)),"x",""))</f>
        <v/>
      </c>
      <c r="W2538" s="75" t="str">
        <f>IF(AND('341-CT'!$H$9=H2538,OR(LEFT(N2538,3)=$W$7,LEFT(O2538,3)=$W$7)),"x","")</f>
        <v/>
      </c>
      <c r="X2538" s="75" t="str">
        <f>IF(OR(TH!N2538=TH!$X$7,O2538=TH!$X$7),"x","")</f>
        <v/>
      </c>
      <c r="Y2538" s="75" t="str">
        <f>IF(AND(OR(N2538="131",O2538="131"),H2538='131-CT'!$H$9),"x","")</f>
        <v/>
      </c>
      <c r="Z2538" s="75"/>
      <c r="AA2538" s="75" t="str">
        <f>IF(AND(MONTH(E2538)='IN-NX'!$J$5,'IN-NX'!$D$7=D2538),"x","")</f>
        <v/>
      </c>
      <c r="AB2538" s="75" t="str">
        <f>IF(AND(OR(LEFT(TH!N2538,2)="15",LEFT(TH!O2538,2)="15"),LEFT(TH!O2538,3)&lt;&gt;"111",'152-CT'!$J$8=TH!F2538),"x","")</f>
        <v/>
      </c>
      <c r="AC2538" s="75" t="str">
        <f>IF(AND(OR(LEFT(TH!N2538,2)="15",LEFT(TH!O2538,2)="15"),TK!$E$7=TH!F2538),"x","")</f>
        <v/>
      </c>
      <c r="AD2538" s="75" t="str">
        <f>IF(AND(N2538="1521",MONTH(C2538)='BK-NL'!$M$11),"x","")</f>
        <v/>
      </c>
    </row>
    <row r="2539" spans="1:30" s="1264" customFormat="1" ht="16.5" customHeight="1">
      <c r="A2539" s="309" t="str">
        <f>IF(B2539&lt;&gt;"",IF(AND(B2539='IN-TC'!$S$4,OR(TH!N2539="1111",TH!O2539="1111")),TH!D2539,""),"")</f>
        <v/>
      </c>
      <c r="B2539" s="1282">
        <f t="shared" ref="B2539" si="871">IF(C2539&lt;&gt;"",MONTH(C2539),"")</f>
        <v>11</v>
      </c>
      <c r="C2539" s="929">
        <v>43066</v>
      </c>
      <c r="D2539" s="929" t="s">
        <v>902</v>
      </c>
      <c r="E2539" s="929">
        <f t="shared" ref="E2539:E2540" si="872">C2539</f>
        <v>43066</v>
      </c>
      <c r="F2539" s="930" t="s">
        <v>1096</v>
      </c>
      <c r="G2539" s="930" t="s">
        <v>1713</v>
      </c>
      <c r="H2539" s="296" t="s">
        <v>2406</v>
      </c>
      <c r="I2539" s="371"/>
      <c r="J2539" s="378"/>
      <c r="K2539" s="371">
        <v>238.79</v>
      </c>
      <c r="L2539" s="1214">
        <v>22720</v>
      </c>
      <c r="M2539" s="74">
        <f t="shared" si="870"/>
        <v>5425309</v>
      </c>
      <c r="N2539" s="934" t="s">
        <v>99</v>
      </c>
      <c r="O2539" s="934" t="s">
        <v>256</v>
      </c>
      <c r="P2539" s="75" t="str">
        <f>IF(AND('331-CT'!$E$7=TH!H2539,OR(N2539="331",O2539="331")),"x","")</f>
        <v/>
      </c>
      <c r="Q2539" s="75" t="str">
        <f>IF(AND(B2539='111'!$L$11,OR($N2539=$Q$7,$O2539=$Q$7)),"x","")</f>
        <v/>
      </c>
      <c r="R2539" s="75" t="str">
        <f>IF(AND($N2539=$Q$7,$B2539&lt;'111'!$L$11),"x","")</f>
        <v/>
      </c>
      <c r="S2539" s="75" t="str">
        <f>IF(AND($O2539=$Q$7,$B2539&lt;'111'!$L$11),"x","")</f>
        <v/>
      </c>
      <c r="T2539" s="75" t="str">
        <f>IF(ISERROR(FIND('112'!$M$9,G2539,1)),"",IF((AND(FIND('112'!$M$9,G2539,1)&gt;=1,B2539='112'!$K$9,OR($N2539='112'!$I$6,$O2539='112'!$I$6))),"x",""))</f>
        <v/>
      </c>
      <c r="U2539" s="75" t="str">
        <f>IF(ISERROR(FIND('112'!$M$9,G2539,1)),"",IF((AND(LEFT(G2539,2)=LEFT('112'!$M$9,2),B2539&lt;'112'!$K$9,$N2539='112'!$I$6)),"x",""))</f>
        <v/>
      </c>
      <c r="V2539" s="75" t="str">
        <f>IF(ISERROR(FIND('112'!$M$9,G2539,1)),"",IF((AND(RIGHT(G2539,2)=RIGHT('112'!$M$9,2),B2539&lt;'112'!$K$9,$O2539='112'!$I$6)),"x",""))</f>
        <v/>
      </c>
      <c r="W2539" s="75" t="str">
        <f>IF(AND('341-CT'!$H$9=H2539,OR(LEFT(N2539,3)=$W$7,LEFT(O2539,3)=$W$7)),"x","")</f>
        <v/>
      </c>
      <c r="X2539" s="75" t="str">
        <f>IF(OR(TH!N2539=TH!$X$7,O2539=TH!$X$7),"x","")</f>
        <v/>
      </c>
      <c r="Y2539" s="75" t="str">
        <f>IF(AND(OR(N2539="131",O2539="131"),H2539='131-CT'!$H$9),"x","")</f>
        <v/>
      </c>
      <c r="Z2539" s="75"/>
      <c r="AA2539" s="75" t="str">
        <f>IF(AND(MONTH(E2539)='IN-NX'!$J$5,'IN-NX'!$D$7=D2539),"x","")</f>
        <v/>
      </c>
      <c r="AB2539" s="75" t="str">
        <f>IF(AND(OR(LEFT(TH!N2539,2)="15",LEFT(TH!O2539,2)="15"),LEFT(TH!O2539,3)&lt;&gt;"111",'152-CT'!$J$8=TH!F2539),"x","")</f>
        <v/>
      </c>
      <c r="AC2539" s="75" t="str">
        <f>IF(AND(OR(LEFT(TH!N2539,2)="15",LEFT(TH!O2539,2)="15"),TK!$E$7=TH!F2539),"x","")</f>
        <v/>
      </c>
      <c r="AD2539" s="75" t="str">
        <f>IF(AND(N2539="1521",MONTH(C2539)='BK-NL'!$M$11),"x","")</f>
        <v/>
      </c>
    </row>
    <row r="2540" spans="1:30" s="1264" customFormat="1" ht="16.5" customHeight="1">
      <c r="A2540" s="309" t="str">
        <f>IF(B2540&lt;&gt;"",IF(AND(B2540='IN-TC'!$S$4,OR(TH!N2540="1111",TH!O2540="1111")),TH!D2540,""),"")</f>
        <v/>
      </c>
      <c r="B2540" s="1282">
        <f t="shared" si="859"/>
        <v>11</v>
      </c>
      <c r="C2540" s="929">
        <v>43066</v>
      </c>
      <c r="D2540" s="929" t="s">
        <v>902</v>
      </c>
      <c r="E2540" s="929">
        <f t="shared" si="872"/>
        <v>43066</v>
      </c>
      <c r="F2540" s="72" t="s">
        <v>1321</v>
      </c>
      <c r="G2540" s="930" t="s">
        <v>1713</v>
      </c>
      <c r="H2540" s="73" t="s">
        <v>2413</v>
      </c>
      <c r="I2540" s="371"/>
      <c r="J2540" s="378"/>
      <c r="K2540" s="371">
        <v>8240</v>
      </c>
      <c r="L2540" s="1214">
        <v>22720</v>
      </c>
      <c r="M2540" s="74">
        <f t="shared" si="870"/>
        <v>187212800</v>
      </c>
      <c r="N2540" s="934" t="s">
        <v>250</v>
      </c>
      <c r="O2540" s="934" t="s">
        <v>256</v>
      </c>
      <c r="P2540" s="75" t="str">
        <f>IF(AND('331-CT'!$E$7=TH!H2540,OR(N2540="331",O2540="331")),"x","")</f>
        <v/>
      </c>
      <c r="Q2540" s="75" t="str">
        <f>IF(AND(B2540='111'!$L$11,OR($N2540=$Q$7,$O2540=$Q$7)),"x","")</f>
        <v/>
      </c>
      <c r="R2540" s="75" t="str">
        <f>IF(AND($N2540=$Q$7,$B2540&lt;'111'!$L$11),"x","")</f>
        <v/>
      </c>
      <c r="S2540" s="75" t="str">
        <f>IF(AND($O2540=$Q$7,$B2540&lt;'111'!$L$11),"x","")</f>
        <v/>
      </c>
      <c r="T2540" s="75" t="str">
        <f>IF(ISERROR(FIND('112'!$M$9,G2540,1)),"",IF((AND(FIND('112'!$M$9,G2540,1)&gt;=1,B2540='112'!$K$9,OR($N2540='112'!$I$6,$O2540='112'!$I$6))),"x",""))</f>
        <v/>
      </c>
      <c r="U2540" s="75" t="str">
        <f>IF(ISERROR(FIND('112'!$M$9,G2540,1)),"",IF((AND(LEFT(G2540,2)=LEFT('112'!$M$9,2),B2540&lt;'112'!$K$9,$N2540='112'!$I$6)),"x",""))</f>
        <v/>
      </c>
      <c r="V2540" s="75" t="str">
        <f>IF(ISERROR(FIND('112'!$M$9,G2540,1)),"",IF((AND(RIGHT(G2540,2)=RIGHT('112'!$M$9,2),B2540&lt;'112'!$K$9,$O2540='112'!$I$6)),"x",""))</f>
        <v/>
      </c>
      <c r="W2540" s="75" t="str">
        <f>IF(AND('341-CT'!$H$9=H2540,OR(LEFT(N2540,3)=$W$7,LEFT(O2540,3)=$W$7)),"x","")</f>
        <v/>
      </c>
      <c r="X2540" s="75" t="str">
        <f>IF(OR(TH!N2540=TH!$X$7,O2540=TH!$X$7),"x","")</f>
        <v/>
      </c>
      <c r="Y2540" s="75" t="str">
        <f>IF(AND(OR(N2540="131",O2540="131"),H2540='131-CT'!$H$9),"x","")</f>
        <v/>
      </c>
      <c r="Z2540" s="75"/>
      <c r="AA2540" s="75" t="str">
        <f>IF(AND(MONTH(E2540)='IN-NX'!$J$5,'IN-NX'!$D$7=D2540),"x","")</f>
        <v/>
      </c>
      <c r="AB2540" s="75" t="str">
        <f>IF(AND(OR(LEFT(TH!N2540,2)="15",LEFT(TH!O2540,2)="15"),LEFT(TH!O2540,3)&lt;&gt;"111",'152-CT'!$J$8=TH!F2540),"x","")</f>
        <v/>
      </c>
      <c r="AC2540" s="75" t="str">
        <f>IF(AND(OR(LEFT(TH!N2540,2)="15",LEFT(TH!O2540,2)="15"),TK!$E$7=TH!F2540),"x","")</f>
        <v/>
      </c>
      <c r="AD2540" s="75" t="str">
        <f>IF(AND(N2540="1521",MONTH(C2540)='BK-NL'!$M$11),"x","")</f>
        <v/>
      </c>
    </row>
    <row r="2541" spans="1:30" s="1264" customFormat="1" ht="16.5" customHeight="1">
      <c r="A2541" s="309" t="str">
        <f>IF(B2541&lt;&gt;"",IF(AND(B2541='IN-TC'!$S$4,OR(TH!N2541="1111",TH!O2541="1111")),TH!D2541,""),"")</f>
        <v/>
      </c>
      <c r="B2541" s="1282">
        <f t="shared" si="859"/>
        <v>11</v>
      </c>
      <c r="C2541" s="929">
        <v>43066</v>
      </c>
      <c r="D2541" s="929" t="s">
        <v>902</v>
      </c>
      <c r="E2541" s="929">
        <f t="shared" ref="E2541:E2542" si="873">C2541</f>
        <v>43066</v>
      </c>
      <c r="F2541" s="930" t="s">
        <v>1096</v>
      </c>
      <c r="G2541" s="930" t="s">
        <v>1713</v>
      </c>
      <c r="H2541" s="73" t="s">
        <v>2413</v>
      </c>
      <c r="I2541" s="371"/>
      <c r="J2541" s="378"/>
      <c r="K2541" s="371">
        <v>781.17</v>
      </c>
      <c r="L2541" s="1214">
        <v>22720</v>
      </c>
      <c r="M2541" s="74">
        <f t="shared" si="870"/>
        <v>17748182</v>
      </c>
      <c r="N2541" s="934" t="s">
        <v>99</v>
      </c>
      <c r="O2541" s="934" t="s">
        <v>256</v>
      </c>
      <c r="P2541" s="75" t="str">
        <f>IF(AND('331-CT'!$E$7=TH!H2541,OR(N2541="331",O2541="331")),"x","")</f>
        <v/>
      </c>
      <c r="Q2541" s="75" t="str">
        <f>IF(AND(B2541='111'!$L$11,OR($N2541=$Q$7,$O2541=$Q$7)),"x","")</f>
        <v/>
      </c>
      <c r="R2541" s="75" t="str">
        <f>IF(AND($N2541=$Q$7,$B2541&lt;'111'!$L$11),"x","")</f>
        <v/>
      </c>
      <c r="S2541" s="75" t="str">
        <f>IF(AND($O2541=$Q$7,$B2541&lt;'111'!$L$11),"x","")</f>
        <v/>
      </c>
      <c r="T2541" s="75" t="str">
        <f>IF(ISERROR(FIND('112'!$M$9,G2541,1)),"",IF((AND(FIND('112'!$M$9,G2541,1)&gt;=1,B2541='112'!$K$9,OR($N2541='112'!$I$6,$O2541='112'!$I$6))),"x",""))</f>
        <v/>
      </c>
      <c r="U2541" s="75" t="str">
        <f>IF(ISERROR(FIND('112'!$M$9,G2541,1)),"",IF((AND(LEFT(G2541,2)=LEFT('112'!$M$9,2),B2541&lt;'112'!$K$9,$N2541='112'!$I$6)),"x",""))</f>
        <v/>
      </c>
      <c r="V2541" s="75" t="str">
        <f>IF(ISERROR(FIND('112'!$M$9,G2541,1)),"",IF((AND(RIGHT(G2541,2)=RIGHT('112'!$M$9,2),B2541&lt;'112'!$K$9,$O2541='112'!$I$6)),"x",""))</f>
        <v/>
      </c>
      <c r="W2541" s="75" t="str">
        <f>IF(AND('341-CT'!$H$9=H2541,OR(LEFT(N2541,3)=$W$7,LEFT(O2541,3)=$W$7)),"x","")</f>
        <v/>
      </c>
      <c r="X2541" s="75" t="str">
        <f>IF(OR(TH!N2541=TH!$X$7,O2541=TH!$X$7),"x","")</f>
        <v/>
      </c>
      <c r="Y2541" s="75" t="str">
        <f>IF(AND(OR(N2541="131",O2541="131"),H2541='131-CT'!$H$9),"x","")</f>
        <v/>
      </c>
      <c r="Z2541" s="75"/>
      <c r="AA2541" s="75" t="str">
        <f>IF(AND(MONTH(E2541)='IN-NX'!$J$5,'IN-NX'!$D$7=D2541),"x","")</f>
        <v/>
      </c>
      <c r="AB2541" s="75" t="str">
        <f>IF(AND(OR(LEFT(TH!N2541,2)="15",LEFT(TH!O2541,2)="15"),LEFT(TH!O2541,3)&lt;&gt;"111",'152-CT'!$J$8=TH!F2541),"x","")</f>
        <v/>
      </c>
      <c r="AC2541" s="75" t="str">
        <f>IF(AND(OR(LEFT(TH!N2541,2)="15",LEFT(TH!O2541,2)="15"),TK!$E$7=TH!F2541),"x","")</f>
        <v/>
      </c>
      <c r="AD2541" s="75" t="str">
        <f>IF(AND(N2541="1521",MONTH(C2541)='BK-NL'!$M$11),"x","")</f>
        <v/>
      </c>
    </row>
    <row r="2542" spans="1:30" s="1264" customFormat="1" ht="16.5" customHeight="1">
      <c r="A2542" s="309" t="str">
        <f>IF(B2542&lt;&gt;"",IF(AND(B2542='IN-TC'!$S$4,OR(TH!N2542="1111",TH!O2542="1111")),TH!D2542,""),"")</f>
        <v/>
      </c>
      <c r="B2542" s="1282">
        <f t="shared" ref="B2542" si="874">IF(C2542&lt;&gt;"",MONTH(C2542),"")</f>
        <v>11</v>
      </c>
      <c r="C2542" s="929">
        <v>43068</v>
      </c>
      <c r="D2542" s="929" t="s">
        <v>902</v>
      </c>
      <c r="E2542" s="929">
        <f t="shared" si="873"/>
        <v>43068</v>
      </c>
      <c r="F2542" s="930" t="s">
        <v>1307</v>
      </c>
      <c r="G2542" s="930" t="s">
        <v>1713</v>
      </c>
      <c r="H2542" s="73" t="s">
        <v>759</v>
      </c>
      <c r="I2542" s="371"/>
      <c r="J2542" s="378"/>
      <c r="K2542" s="371">
        <v>220</v>
      </c>
      <c r="L2542" s="377">
        <v>22722</v>
      </c>
      <c r="M2542" s="74">
        <f t="shared" si="870"/>
        <v>4998840</v>
      </c>
      <c r="N2542" s="934" t="s">
        <v>101</v>
      </c>
      <c r="O2542" s="934" t="s">
        <v>256</v>
      </c>
      <c r="P2542" s="75" t="str">
        <f>IF(AND('331-CT'!$E$7=TH!H2542,OR(N2542="331",O2542="331")),"x","")</f>
        <v/>
      </c>
      <c r="Q2542" s="75" t="str">
        <f>IF(AND(B2542='111'!$L$11,OR($N2542=$Q$7,$O2542=$Q$7)),"x","")</f>
        <v/>
      </c>
      <c r="R2542" s="75" t="str">
        <f>IF(AND($N2542=$Q$7,$B2542&lt;'111'!$L$11),"x","")</f>
        <v/>
      </c>
      <c r="S2542" s="75" t="str">
        <f>IF(AND($O2542=$Q$7,$B2542&lt;'111'!$L$11),"x","")</f>
        <v/>
      </c>
      <c r="T2542" s="75" t="str">
        <f>IF(ISERROR(FIND('112'!$M$9,G2542,1)),"",IF((AND(FIND('112'!$M$9,G2542,1)&gt;=1,B2542='112'!$K$9,OR($N2542='112'!$I$6,$O2542='112'!$I$6))),"x",""))</f>
        <v/>
      </c>
      <c r="U2542" s="75" t="str">
        <f>IF(ISERROR(FIND('112'!$M$9,G2542,1)),"",IF((AND(LEFT(G2542,2)=LEFT('112'!$M$9,2),B2542&lt;'112'!$K$9,$N2542='112'!$I$6)),"x",""))</f>
        <v/>
      </c>
      <c r="V2542" s="75" t="str">
        <f>IF(ISERROR(FIND('112'!$M$9,G2542,1)),"",IF((AND(RIGHT(G2542,2)=RIGHT('112'!$M$9,2),B2542&lt;'112'!$K$9,$O2542='112'!$I$6)),"x",""))</f>
        <v/>
      </c>
      <c r="W2542" s="75" t="str">
        <f>IF(AND('341-CT'!$H$9=H2542,OR(LEFT(N2542,3)=$W$7,LEFT(O2542,3)=$W$7)),"x","")</f>
        <v/>
      </c>
      <c r="X2542" s="75" t="str">
        <f>IF(OR(TH!N2542=TH!$X$7,O2542=TH!$X$7),"x","")</f>
        <v/>
      </c>
      <c r="Y2542" s="75" t="str">
        <f>IF(AND(OR(N2542="131",O2542="131"),H2542='131-CT'!$H$9),"x","")</f>
        <v/>
      </c>
      <c r="Z2542" s="75"/>
      <c r="AA2542" s="75" t="str">
        <f>IF(AND(MONTH(E2542)='IN-NX'!$J$5,'IN-NX'!$D$7=D2542),"x","")</f>
        <v/>
      </c>
      <c r="AB2542" s="75" t="str">
        <f>IF(AND(OR(LEFT(TH!N2542,2)="15",LEFT(TH!O2542,2)="15"),LEFT(TH!O2542,3)&lt;&gt;"111",'152-CT'!$J$8=TH!F2542),"x","")</f>
        <v/>
      </c>
      <c r="AC2542" s="75" t="str">
        <f>IF(AND(OR(LEFT(TH!N2542,2)="15",LEFT(TH!O2542,2)="15"),TK!$E$7=TH!F2542),"x","")</f>
        <v/>
      </c>
      <c r="AD2542" s="75" t="str">
        <f>IF(AND(N2542="1521",MONTH(C2542)='BK-NL'!$M$11),"x","")</f>
        <v/>
      </c>
    </row>
    <row r="2543" spans="1:30" s="1264" customFormat="1" ht="16.5" customHeight="1">
      <c r="A2543" s="309" t="str">
        <f>IF(B2543&lt;&gt;"",IF(AND(B2543='IN-TC'!$S$4,OR(TH!N2543="1111",TH!O2543="1111")),TH!D2543,""),"")</f>
        <v/>
      </c>
      <c r="B2543" s="1282">
        <f t="shared" ref="B2543:B2571" si="875">IF(C2543&lt;&gt;"",MONTH(C2543),"")</f>
        <v>11</v>
      </c>
      <c r="C2543" s="929">
        <v>43068</v>
      </c>
      <c r="D2543" s="929" t="s">
        <v>903</v>
      </c>
      <c r="E2543" s="929">
        <f t="shared" ref="E2543" si="876">C2543</f>
        <v>43068</v>
      </c>
      <c r="F2543" s="930" t="s">
        <v>1086</v>
      </c>
      <c r="G2543" s="930" t="s">
        <v>1713</v>
      </c>
      <c r="H2543" s="73" t="s">
        <v>759</v>
      </c>
      <c r="I2543" s="371"/>
      <c r="J2543" s="378"/>
      <c r="K2543" s="371">
        <v>628271.4</v>
      </c>
      <c r="L2543" s="377">
        <v>22722</v>
      </c>
      <c r="M2543" s="1214">
        <f t="shared" si="870"/>
        <v>14275582751</v>
      </c>
      <c r="N2543" s="934" t="s">
        <v>256</v>
      </c>
      <c r="O2543" s="934" t="s">
        <v>536</v>
      </c>
      <c r="P2543" s="75" t="str">
        <f>IF(AND('331-CT'!$E$7=TH!H2543,OR(N2543="331",O2543="331")),"x","")</f>
        <v/>
      </c>
      <c r="Q2543" s="75" t="str">
        <f>IF(AND(B2543='111'!$L$11,OR($N2543=$Q$7,$O2543=$Q$7)),"x","")</f>
        <v/>
      </c>
      <c r="R2543" s="75" t="str">
        <f>IF(AND($N2543=$Q$7,$B2543&lt;'111'!$L$11),"x","")</f>
        <v/>
      </c>
      <c r="S2543" s="75" t="str">
        <f>IF(AND($O2543=$Q$7,$B2543&lt;'111'!$L$11),"x","")</f>
        <v/>
      </c>
      <c r="T2543" s="75" t="str">
        <f>IF(ISERROR(FIND('112'!$M$9,G2543,1)),"",IF((AND(FIND('112'!$M$9,G2543,1)&gt;=1,B2543='112'!$K$9,OR($N2543='112'!$I$6,$O2543='112'!$I$6))),"x",""))</f>
        <v/>
      </c>
      <c r="U2543" s="75" t="str">
        <f>IF(ISERROR(FIND('112'!$M$9,G2543,1)),"",IF((AND(LEFT(G2543,2)=LEFT('112'!$M$9,2),B2543&lt;'112'!$K$9,$N2543='112'!$I$6)),"x",""))</f>
        <v/>
      </c>
      <c r="V2543" s="75" t="str">
        <f>IF(ISERROR(FIND('112'!$M$9,G2543,1)),"",IF((AND(RIGHT(G2543,2)=RIGHT('112'!$M$9,2),B2543&lt;'112'!$K$9,$O2543='112'!$I$6)),"x",""))</f>
        <v/>
      </c>
      <c r="W2543" s="75" t="str">
        <f>IF(AND('341-CT'!$H$9=H2543,OR(LEFT(N2543,3)=$W$7,LEFT(O2543,3)=$W$7)),"x","")</f>
        <v/>
      </c>
      <c r="X2543" s="75" t="str">
        <f>IF(OR(TH!N2543=TH!$X$7,O2543=TH!$X$7),"x","")</f>
        <v/>
      </c>
      <c r="Y2543" s="75" t="str">
        <f>IF(AND(OR(N2543="131",O2543="131"),H2543='131-CT'!$H$9),"x","")</f>
        <v/>
      </c>
      <c r="Z2543" s="75"/>
      <c r="AA2543" s="75" t="str">
        <f>IF(AND(MONTH(E2543)='IN-NX'!$J$5,'IN-NX'!$D$7=D2543),"x","")</f>
        <v/>
      </c>
      <c r="AB2543" s="75" t="str">
        <f>IF(AND(OR(LEFT(TH!N2543,2)="15",LEFT(TH!O2543,2)="15"),LEFT(TH!O2543,3)&lt;&gt;"111",'152-CT'!$J$8=TH!F2543),"x","")</f>
        <v/>
      </c>
      <c r="AC2543" s="75" t="str">
        <f>IF(AND(OR(LEFT(TH!N2543,2)="15",LEFT(TH!O2543,2)="15"),TK!$E$7=TH!F2543),"x","")</f>
        <v/>
      </c>
      <c r="AD2543" s="75" t="str">
        <f>IF(AND(N2543="1521",MONTH(C2543)='BK-NL'!$M$11),"x","")</f>
        <v/>
      </c>
    </row>
    <row r="2544" spans="1:30" s="1264" customFormat="1" ht="16.5" customHeight="1">
      <c r="A2544" s="309" t="str">
        <f>IF(B2544&lt;&gt;"",IF(AND(B2544='IN-TC'!$S$4,OR(TH!N2544="1111",TH!O2544="1111")),TH!D2544,""),"")</f>
        <v/>
      </c>
      <c r="B2544" s="1282">
        <f t="shared" ref="B2544" si="877">IF(C2544&lt;&gt;"",MONTH(C2544),"")</f>
        <v>11</v>
      </c>
      <c r="C2544" s="929">
        <v>43068</v>
      </c>
      <c r="D2544" s="929" t="s">
        <v>530</v>
      </c>
      <c r="E2544" s="929">
        <f t="shared" ref="E2544" si="878">C2544</f>
        <v>43068</v>
      </c>
      <c r="F2544" s="930" t="s">
        <v>1010</v>
      </c>
      <c r="G2544" s="930" t="s">
        <v>1713</v>
      </c>
      <c r="H2544" s="73" t="s">
        <v>759</v>
      </c>
      <c r="I2544" s="371"/>
      <c r="J2544" s="378"/>
      <c r="K2544" s="371"/>
      <c r="L2544" s="377"/>
      <c r="M2544" s="74">
        <v>19366712</v>
      </c>
      <c r="N2544" s="934" t="s">
        <v>536</v>
      </c>
      <c r="O2544" s="934" t="s">
        <v>43</v>
      </c>
      <c r="P2544" s="75" t="str">
        <f>IF(AND('331-CT'!$E$7=TH!H2544,OR(N2544="331",O2544="331")),"x","")</f>
        <v/>
      </c>
      <c r="Q2544" s="75" t="str">
        <f>IF(AND(B2544='111'!$L$11,OR($N2544=$Q$7,$O2544=$Q$7)),"x","")</f>
        <v/>
      </c>
      <c r="R2544" s="75" t="str">
        <f>IF(AND($N2544=$Q$7,$B2544&lt;'111'!$L$11),"x","")</f>
        <v/>
      </c>
      <c r="S2544" s="75" t="str">
        <f>IF(AND($O2544=$Q$7,$B2544&lt;'111'!$L$11),"x","")</f>
        <v/>
      </c>
      <c r="T2544" s="75" t="str">
        <f>IF(ISERROR(FIND('112'!$M$9,G2544,1)),"",IF((AND(FIND('112'!$M$9,G2544,1)&gt;=1,B2544='112'!$K$9,OR($N2544='112'!$I$6,$O2544='112'!$I$6))),"x",""))</f>
        <v/>
      </c>
      <c r="U2544" s="75" t="str">
        <f>IF(ISERROR(FIND('112'!$M$9,G2544,1)),"",IF((AND(LEFT(G2544,2)=LEFT('112'!$M$9,2),B2544&lt;'112'!$K$9,$N2544='112'!$I$6)),"x",""))</f>
        <v/>
      </c>
      <c r="V2544" s="75" t="str">
        <f>IF(ISERROR(FIND('112'!$M$9,G2544,1)),"",IF((AND(RIGHT(G2544,2)=RIGHT('112'!$M$9,2),B2544&lt;'112'!$K$9,$O2544='112'!$I$6)),"x",""))</f>
        <v/>
      </c>
      <c r="W2544" s="75" t="str">
        <f>IF(AND('341-CT'!$H$9=H2544,OR(LEFT(N2544,3)=$W$7,LEFT(O2544,3)=$W$7)),"x","")</f>
        <v/>
      </c>
      <c r="X2544" s="75" t="str">
        <f>IF(OR(TH!N2544=TH!$X$7,O2544=TH!$X$7),"x","")</f>
        <v/>
      </c>
      <c r="Y2544" s="75" t="str">
        <f>IF(AND(OR(N2544="131",O2544="131"),H2544='131-CT'!$H$9),"x","")</f>
        <v/>
      </c>
      <c r="Z2544" s="75"/>
      <c r="AA2544" s="75" t="str">
        <f>IF(AND(MONTH(E2544)='IN-NX'!$J$5,'IN-NX'!$D$7=D2544),"x","")</f>
        <v/>
      </c>
      <c r="AB2544" s="75" t="str">
        <f>IF(AND(OR(LEFT(TH!N2544,2)="15",LEFT(TH!O2544,2)="15"),LEFT(TH!O2544,3)&lt;&gt;"111",'152-CT'!$J$8=TH!F2544),"x","")</f>
        <v/>
      </c>
      <c r="AC2544" s="75" t="str">
        <f>IF(AND(OR(LEFT(TH!N2544,2)="15",LEFT(TH!O2544,2)="15"),TK!$E$7=TH!F2544),"x","")</f>
        <v/>
      </c>
      <c r="AD2544" s="75" t="str">
        <f>IF(AND(N2544="1521",MONTH(C2544)='BK-NL'!$M$11),"x","")</f>
        <v/>
      </c>
    </row>
    <row r="2545" spans="1:30" s="1264" customFormat="1" ht="16.5" customHeight="1">
      <c r="A2545" s="309" t="str">
        <f>IF(B2545&lt;&gt;"",IF(AND(B2545='IN-TC'!$S$4,OR(TH!N2545="1111",TH!O2545="1111")),TH!D2545,""),"")</f>
        <v/>
      </c>
      <c r="B2545" s="1283">
        <f t="shared" si="875"/>
        <v>12</v>
      </c>
      <c r="C2545" s="929">
        <v>43075</v>
      </c>
      <c r="D2545" s="929" t="s">
        <v>902</v>
      </c>
      <c r="E2545" s="929">
        <f t="shared" si="866"/>
        <v>43075</v>
      </c>
      <c r="F2545" s="930" t="s">
        <v>1307</v>
      </c>
      <c r="G2545" s="930" t="s">
        <v>1713</v>
      </c>
      <c r="H2545" s="73" t="s">
        <v>759</v>
      </c>
      <c r="I2545" s="371"/>
      <c r="J2545" s="378"/>
      <c r="K2545" s="371">
        <v>220</v>
      </c>
      <c r="L2545" s="377">
        <v>22705</v>
      </c>
      <c r="M2545" s="74">
        <f>ROUND(K2545*L2545,0)</f>
        <v>4995100</v>
      </c>
      <c r="N2545" s="934" t="s">
        <v>101</v>
      </c>
      <c r="O2545" s="934" t="s">
        <v>256</v>
      </c>
      <c r="P2545" s="75" t="str">
        <f>IF(AND('331-CT'!$E$7=TH!H2545,OR(N2545="331",O2545="331")),"x","")</f>
        <v/>
      </c>
      <c r="Q2545" s="75" t="str">
        <f>IF(AND(B2545='111'!$L$11,OR($N2545=$Q$7,$O2545=$Q$7)),"x","")</f>
        <v/>
      </c>
      <c r="R2545" s="75" t="str">
        <f>IF(AND($N2545=$Q$7,$B2545&lt;'111'!$L$11),"x","")</f>
        <v/>
      </c>
      <c r="S2545" s="75" t="str">
        <f>IF(AND($O2545=$Q$7,$B2545&lt;'111'!$L$11),"x","")</f>
        <v/>
      </c>
      <c r="T2545" s="75" t="str">
        <f>IF(ISERROR(FIND('112'!$M$9,G2545,1)),"",IF((AND(FIND('112'!$M$9,G2545,1)&gt;=1,B2545='112'!$K$9,OR($N2545='112'!$I$6,$O2545='112'!$I$6))),"x",""))</f>
        <v/>
      </c>
      <c r="U2545" s="75" t="str">
        <f>IF(ISERROR(FIND('112'!$M$9,G2545,1)),"",IF((AND(LEFT(G2545,2)=LEFT('112'!$M$9,2),B2545&lt;'112'!$K$9,$N2545='112'!$I$6)),"x",""))</f>
        <v/>
      </c>
      <c r="V2545" s="75" t="str">
        <f>IF(ISERROR(FIND('112'!$M$9,G2545,1)),"",IF((AND(RIGHT(G2545,2)=RIGHT('112'!$M$9,2),B2545&lt;'112'!$K$9,$O2545='112'!$I$6)),"x",""))</f>
        <v/>
      </c>
      <c r="W2545" s="75" t="str">
        <f>IF(AND('341-CT'!$H$9=H2545,OR(LEFT(N2545,3)=$W$7,LEFT(O2545,3)=$W$7)),"x","")</f>
        <v/>
      </c>
      <c r="X2545" s="75" t="str">
        <f>IF(OR(TH!N2545=TH!$X$7,O2545=TH!$X$7),"x","")</f>
        <v/>
      </c>
      <c r="Y2545" s="75" t="str">
        <f>IF(AND(OR(N2545="131",O2545="131"),H2545='131-CT'!$H$9),"x","")</f>
        <v/>
      </c>
      <c r="Z2545" s="75"/>
      <c r="AA2545" s="75" t="str">
        <f>IF(AND(MONTH(E2545)='IN-NX'!$J$5,'IN-NX'!$D$7=D2545),"x","")</f>
        <v/>
      </c>
      <c r="AB2545" s="75" t="str">
        <f>IF(AND(OR(LEFT(TH!N2545,2)="15",LEFT(TH!O2545,2)="15"),LEFT(TH!O2545,3)&lt;&gt;"111",'152-CT'!$J$8=TH!F2545),"x","")</f>
        <v/>
      </c>
      <c r="AC2545" s="75" t="str">
        <f>IF(AND(OR(LEFT(TH!N2545,2)="15",LEFT(TH!O2545,2)="15"),TK!$E$7=TH!F2545),"x","")</f>
        <v/>
      </c>
      <c r="AD2545" s="75" t="str">
        <f>IF(AND(N2545="1521",MONTH(C2545)='BK-NL'!$M$11),"x","")</f>
        <v/>
      </c>
    </row>
    <row r="2546" spans="1:30" s="1264" customFormat="1" ht="16.5" customHeight="1">
      <c r="A2546" s="309" t="str">
        <f>IF(B2546&lt;&gt;"",IF(AND(B2546='IN-TC'!$S$4,OR(TH!N2546="1111",TH!O2546="1111")),TH!D2546,""),"")</f>
        <v/>
      </c>
      <c r="B2546" s="1283">
        <f t="shared" si="875"/>
        <v>12</v>
      </c>
      <c r="C2546" s="929">
        <v>43075</v>
      </c>
      <c r="D2546" s="929" t="s">
        <v>903</v>
      </c>
      <c r="E2546" s="929">
        <f t="shared" si="866"/>
        <v>43075</v>
      </c>
      <c r="F2546" s="930" t="s">
        <v>1086</v>
      </c>
      <c r="G2546" s="930" t="s">
        <v>1713</v>
      </c>
      <c r="H2546" s="73" t="s">
        <v>759</v>
      </c>
      <c r="I2546" s="371"/>
      <c r="J2546" s="378"/>
      <c r="K2546" s="371">
        <v>722030.4</v>
      </c>
      <c r="L2546" s="377">
        <v>22705</v>
      </c>
      <c r="M2546" s="1214">
        <f t="shared" ref="M2546" si="879">ROUND(K2546*L2546,0)</f>
        <v>16393700232</v>
      </c>
      <c r="N2546" s="934" t="s">
        <v>256</v>
      </c>
      <c r="O2546" s="934" t="s">
        <v>536</v>
      </c>
      <c r="P2546" s="75" t="str">
        <f>IF(AND('331-CT'!$E$7=TH!H2546,OR(N2546="331",O2546="331")),"x","")</f>
        <v/>
      </c>
      <c r="Q2546" s="75" t="str">
        <f>IF(AND(B2546='111'!$L$11,OR($N2546=$Q$7,$O2546=$Q$7)),"x","")</f>
        <v/>
      </c>
      <c r="R2546" s="75" t="str">
        <f>IF(AND($N2546=$Q$7,$B2546&lt;'111'!$L$11),"x","")</f>
        <v/>
      </c>
      <c r="S2546" s="75" t="str">
        <f>IF(AND($O2546=$Q$7,$B2546&lt;'111'!$L$11),"x","")</f>
        <v/>
      </c>
      <c r="T2546" s="75" t="str">
        <f>IF(ISERROR(FIND('112'!$M$9,G2546,1)),"",IF((AND(FIND('112'!$M$9,G2546,1)&gt;=1,B2546='112'!$K$9,OR($N2546='112'!$I$6,$O2546='112'!$I$6))),"x",""))</f>
        <v/>
      </c>
      <c r="U2546" s="75" t="str">
        <f>IF(ISERROR(FIND('112'!$M$9,G2546,1)),"",IF((AND(LEFT(G2546,2)=LEFT('112'!$M$9,2),B2546&lt;'112'!$K$9,$N2546='112'!$I$6)),"x",""))</f>
        <v/>
      </c>
      <c r="V2546" s="75" t="str">
        <f>IF(ISERROR(FIND('112'!$M$9,G2546,1)),"",IF((AND(RIGHT(G2546,2)=RIGHT('112'!$M$9,2),B2546&lt;'112'!$K$9,$O2546='112'!$I$6)),"x",""))</f>
        <v/>
      </c>
      <c r="W2546" s="75" t="str">
        <f>IF(AND('341-CT'!$H$9=H2546,OR(LEFT(N2546,3)=$W$7,LEFT(O2546,3)=$W$7)),"x","")</f>
        <v/>
      </c>
      <c r="X2546" s="75" t="str">
        <f>IF(OR(TH!N2546=TH!$X$7,O2546=TH!$X$7),"x","")</f>
        <v/>
      </c>
      <c r="Y2546" s="75" t="str">
        <f>IF(AND(OR(N2546="131",O2546="131"),H2546='131-CT'!$H$9),"x","")</f>
        <v/>
      </c>
      <c r="Z2546" s="75"/>
      <c r="AA2546" s="75" t="str">
        <f>IF(AND(MONTH(E2546)='IN-NX'!$J$5,'IN-NX'!$D$7=D2546),"x","")</f>
        <v/>
      </c>
      <c r="AB2546" s="75" t="str">
        <f>IF(AND(OR(LEFT(TH!N2546,2)="15",LEFT(TH!O2546,2)="15"),LEFT(TH!O2546,3)&lt;&gt;"111",'152-CT'!$J$8=TH!F2546),"x","")</f>
        <v/>
      </c>
      <c r="AC2546" s="75" t="str">
        <f>IF(AND(OR(LEFT(TH!N2546,2)="15",LEFT(TH!O2546,2)="15"),TK!$E$7=TH!F2546),"x","")</f>
        <v/>
      </c>
      <c r="AD2546" s="75" t="str">
        <f>IF(AND(N2546="1521",MONTH(C2546)='BK-NL'!$M$11),"x","")</f>
        <v/>
      </c>
    </row>
    <row r="2547" spans="1:30" s="1264" customFormat="1" ht="16.5" customHeight="1">
      <c r="A2547" s="309" t="str">
        <f>IF(B2547&lt;&gt;"",IF(AND(B2547='IN-TC'!$S$4,OR(TH!N2547="1111",TH!O2547="1111")),TH!D2547,""),"")</f>
        <v/>
      </c>
      <c r="B2547" s="1283">
        <f t="shared" ref="B2547" si="880">IF(C2547&lt;&gt;"",MONTH(C2547),"")</f>
        <v>12</v>
      </c>
      <c r="C2547" s="929">
        <v>43075</v>
      </c>
      <c r="D2547" s="929" t="s">
        <v>530</v>
      </c>
      <c r="E2547" s="929">
        <f t="shared" ref="E2547" si="881">C2547</f>
        <v>43075</v>
      </c>
      <c r="F2547" s="930" t="s">
        <v>1010</v>
      </c>
      <c r="G2547" s="930" t="s">
        <v>1713</v>
      </c>
      <c r="H2547" s="73" t="s">
        <v>759</v>
      </c>
      <c r="I2547" s="371"/>
      <c r="J2547" s="378"/>
      <c r="K2547" s="371"/>
      <c r="L2547" s="377"/>
      <c r="M2547" s="74">
        <v>7220304</v>
      </c>
      <c r="N2547" s="934" t="s">
        <v>536</v>
      </c>
      <c r="O2547" s="934" t="s">
        <v>43</v>
      </c>
      <c r="P2547" s="75" t="str">
        <f>IF(AND('331-CT'!$E$7=TH!H2547,OR(N2547="331",O2547="331")),"x","")</f>
        <v/>
      </c>
      <c r="Q2547" s="75" t="str">
        <f>IF(AND(B2547='111'!$L$11,OR($N2547=$Q$7,$O2547=$Q$7)),"x","")</f>
        <v/>
      </c>
      <c r="R2547" s="75" t="str">
        <f>IF(AND($N2547=$Q$7,$B2547&lt;'111'!$L$11),"x","")</f>
        <v/>
      </c>
      <c r="S2547" s="75" t="str">
        <f>IF(AND($O2547=$Q$7,$B2547&lt;'111'!$L$11),"x","")</f>
        <v/>
      </c>
      <c r="T2547" s="75" t="str">
        <f>IF(ISERROR(FIND('112'!$M$9,G2547,1)),"",IF((AND(FIND('112'!$M$9,G2547,1)&gt;=1,B2547='112'!$K$9,OR($N2547='112'!$I$6,$O2547='112'!$I$6))),"x",""))</f>
        <v/>
      </c>
      <c r="U2547" s="75" t="str">
        <f>IF(ISERROR(FIND('112'!$M$9,G2547,1)),"",IF((AND(LEFT(G2547,2)=LEFT('112'!$M$9,2),B2547&lt;'112'!$K$9,$N2547='112'!$I$6)),"x",""))</f>
        <v/>
      </c>
      <c r="V2547" s="75" t="str">
        <f>IF(ISERROR(FIND('112'!$M$9,G2547,1)),"",IF((AND(RIGHT(G2547,2)=RIGHT('112'!$M$9,2),B2547&lt;'112'!$K$9,$O2547='112'!$I$6)),"x",""))</f>
        <v/>
      </c>
      <c r="W2547" s="75" t="str">
        <f>IF(AND('341-CT'!$H$9=H2547,OR(LEFT(N2547,3)=$W$7,LEFT(O2547,3)=$W$7)),"x","")</f>
        <v/>
      </c>
      <c r="X2547" s="75" t="str">
        <f>IF(OR(TH!N2547=TH!$X$7,O2547=TH!$X$7),"x","")</f>
        <v/>
      </c>
      <c r="Y2547" s="75" t="str">
        <f>IF(AND(OR(N2547="131",O2547="131"),H2547='131-CT'!$H$9),"x","")</f>
        <v/>
      </c>
      <c r="Z2547" s="75"/>
      <c r="AA2547" s="75" t="str">
        <f>IF(AND(MONTH(E2547)='IN-NX'!$J$5,'IN-NX'!$D$7=D2547),"x","")</f>
        <v/>
      </c>
      <c r="AB2547" s="75" t="str">
        <f>IF(AND(OR(LEFT(TH!N2547,2)="15",LEFT(TH!O2547,2)="15"),LEFT(TH!O2547,3)&lt;&gt;"111",'152-CT'!$J$8=TH!F2547),"x","")</f>
        <v/>
      </c>
      <c r="AC2547" s="75" t="str">
        <f>IF(AND(OR(LEFT(TH!N2547,2)="15",LEFT(TH!O2547,2)="15"),TK!$E$7=TH!F2547),"x","")</f>
        <v/>
      </c>
      <c r="AD2547" s="75" t="str">
        <f>IF(AND(N2547="1521",MONTH(C2547)='BK-NL'!$M$11),"x","")</f>
        <v/>
      </c>
    </row>
    <row r="2548" spans="1:30" s="1264" customFormat="1" ht="16.5" customHeight="1">
      <c r="A2548" s="309" t="str">
        <f>IF(B2548&lt;&gt;"",IF(AND(B2548='IN-TC'!$S$4,OR(TH!N2548="1111",TH!O2548="1111")),TH!D2548,""),"")</f>
        <v/>
      </c>
      <c r="B2548" s="1283">
        <f t="shared" si="875"/>
        <v>12</v>
      </c>
      <c r="C2548" s="929">
        <v>43076</v>
      </c>
      <c r="D2548" s="929" t="s">
        <v>902</v>
      </c>
      <c r="E2548" s="929">
        <f t="shared" si="866"/>
        <v>43076</v>
      </c>
      <c r="F2548" s="930" t="s">
        <v>1321</v>
      </c>
      <c r="G2548" s="930" t="s">
        <v>1713</v>
      </c>
      <c r="H2548" s="73" t="s">
        <v>2914</v>
      </c>
      <c r="I2548" s="371"/>
      <c r="J2548" s="378"/>
      <c r="K2548" s="371">
        <v>279400</v>
      </c>
      <c r="L2548" s="377">
        <v>22705</v>
      </c>
      <c r="M2548" s="74">
        <f t="shared" ref="M2548:M2550" si="882">ROUND(K2548*L2548,0)</f>
        <v>6343777000</v>
      </c>
      <c r="N2548" s="934" t="s">
        <v>250</v>
      </c>
      <c r="O2548" s="934" t="s">
        <v>256</v>
      </c>
      <c r="P2548" s="75" t="str">
        <f>IF(AND('331-CT'!$E$7=TH!H2548,OR(N2548="331",O2548="331")),"x","")</f>
        <v/>
      </c>
      <c r="Q2548" s="75" t="str">
        <f>IF(AND(B2548='111'!$L$11,OR($N2548=$Q$7,$O2548=$Q$7)),"x","")</f>
        <v/>
      </c>
      <c r="R2548" s="75" t="str">
        <f>IF(AND($N2548=$Q$7,$B2548&lt;'111'!$L$11),"x","")</f>
        <v/>
      </c>
      <c r="S2548" s="75" t="str">
        <f>IF(AND($O2548=$Q$7,$B2548&lt;'111'!$L$11),"x","")</f>
        <v/>
      </c>
      <c r="T2548" s="75" t="str">
        <f>IF(ISERROR(FIND('112'!$M$9,G2548,1)),"",IF((AND(FIND('112'!$M$9,G2548,1)&gt;=1,B2548='112'!$K$9,OR($N2548='112'!$I$6,$O2548='112'!$I$6))),"x",""))</f>
        <v/>
      </c>
      <c r="U2548" s="75" t="str">
        <f>IF(ISERROR(FIND('112'!$M$9,G2548,1)),"",IF((AND(LEFT(G2548,2)=LEFT('112'!$M$9,2),B2548&lt;'112'!$K$9,$N2548='112'!$I$6)),"x",""))</f>
        <v/>
      </c>
      <c r="V2548" s="75" t="str">
        <f>IF(ISERROR(FIND('112'!$M$9,G2548,1)),"",IF((AND(RIGHT(G2548,2)=RIGHT('112'!$M$9,2),B2548&lt;'112'!$K$9,$O2548='112'!$I$6)),"x",""))</f>
        <v/>
      </c>
      <c r="W2548" s="75" t="str">
        <f>IF(AND('341-CT'!$H$9=H2548,OR(LEFT(N2548,3)=$W$7,LEFT(O2548,3)=$W$7)),"x","")</f>
        <v/>
      </c>
      <c r="X2548" s="75" t="str">
        <f>IF(OR(TH!N2548=TH!$X$7,O2548=TH!$X$7),"x","")</f>
        <v/>
      </c>
      <c r="Y2548" s="75" t="str">
        <f>IF(AND(OR(N2548="131",O2548="131"),H2548='131-CT'!$H$9),"x","")</f>
        <v/>
      </c>
      <c r="Z2548" s="75"/>
      <c r="AA2548" s="75" t="str">
        <f>IF(AND(MONTH(E2548)='IN-NX'!$J$5,'IN-NX'!$D$7=D2548),"x","")</f>
        <v/>
      </c>
      <c r="AB2548" s="75" t="str">
        <f>IF(AND(OR(LEFT(TH!N2548,2)="15",LEFT(TH!O2548,2)="15"),LEFT(TH!O2548,3)&lt;&gt;"111",'152-CT'!$J$8=TH!F2548),"x","")</f>
        <v/>
      </c>
      <c r="AC2548" s="75" t="str">
        <f>IF(AND(OR(LEFT(TH!N2548,2)="15",LEFT(TH!O2548,2)="15"),TK!$E$7=TH!F2548),"x","")</f>
        <v/>
      </c>
      <c r="AD2548" s="75" t="str">
        <f>IF(AND(N2548="1521",MONTH(C2548)='BK-NL'!$M$11),"x","")</f>
        <v/>
      </c>
    </row>
    <row r="2549" spans="1:30" s="1264" customFormat="1" ht="16.5" customHeight="1">
      <c r="A2549" s="309" t="str">
        <f>IF(B2549&lt;&gt;"",IF(AND(B2549='IN-TC'!$S$4,OR(TH!N2549="1111",TH!O2549="1111")),TH!D2549,""),"")</f>
        <v/>
      </c>
      <c r="B2549" s="1283">
        <f t="shared" ref="B2549:B2550" si="883">IF(C2549&lt;&gt;"",MONTH(C2549),"")</f>
        <v>12</v>
      </c>
      <c r="C2549" s="929">
        <v>43076</v>
      </c>
      <c r="D2549" s="929" t="s">
        <v>902</v>
      </c>
      <c r="E2549" s="929">
        <f t="shared" ref="E2549:E2550" si="884">C2549</f>
        <v>43076</v>
      </c>
      <c r="F2549" s="930" t="s">
        <v>1321</v>
      </c>
      <c r="G2549" s="930" t="s">
        <v>1713</v>
      </c>
      <c r="H2549" s="73" t="s">
        <v>2913</v>
      </c>
      <c r="I2549" s="371"/>
      <c r="J2549" s="378"/>
      <c r="K2549" s="371">
        <v>423960</v>
      </c>
      <c r="L2549" s="377">
        <v>22705</v>
      </c>
      <c r="M2549" s="74">
        <f t="shared" si="882"/>
        <v>9626011800</v>
      </c>
      <c r="N2549" s="934" t="s">
        <v>250</v>
      </c>
      <c r="O2549" s="934" t="s">
        <v>256</v>
      </c>
      <c r="P2549" s="75" t="str">
        <f>IF(AND('331-CT'!$E$7=TH!H2549,OR(N2549="331",O2549="331")),"x","")</f>
        <v/>
      </c>
      <c r="Q2549" s="75" t="str">
        <f>IF(AND(B2549='111'!$L$11,OR($N2549=$Q$7,$O2549=$Q$7)),"x","")</f>
        <v/>
      </c>
      <c r="R2549" s="75" t="str">
        <f>IF(AND($N2549=$Q$7,$B2549&lt;'111'!$L$11),"x","")</f>
        <v/>
      </c>
      <c r="S2549" s="75" t="str">
        <f>IF(AND($O2549=$Q$7,$B2549&lt;'111'!$L$11),"x","")</f>
        <v/>
      </c>
      <c r="T2549" s="75" t="str">
        <f>IF(ISERROR(FIND('112'!$M$9,G2549,1)),"",IF((AND(FIND('112'!$M$9,G2549,1)&gt;=1,B2549='112'!$K$9,OR($N2549='112'!$I$6,$O2549='112'!$I$6))),"x",""))</f>
        <v/>
      </c>
      <c r="U2549" s="75" t="str">
        <f>IF(ISERROR(FIND('112'!$M$9,G2549,1)),"",IF((AND(LEFT(G2549,2)=LEFT('112'!$M$9,2),B2549&lt;'112'!$K$9,$N2549='112'!$I$6)),"x",""))</f>
        <v/>
      </c>
      <c r="V2549" s="75" t="str">
        <f>IF(ISERROR(FIND('112'!$M$9,G2549,1)),"",IF((AND(RIGHT(G2549,2)=RIGHT('112'!$M$9,2),B2549&lt;'112'!$K$9,$O2549='112'!$I$6)),"x",""))</f>
        <v/>
      </c>
      <c r="W2549" s="75" t="str">
        <f>IF(AND('341-CT'!$H$9=H2549,OR(LEFT(N2549,3)=$W$7,LEFT(O2549,3)=$W$7)),"x","")</f>
        <v/>
      </c>
      <c r="X2549" s="75" t="str">
        <f>IF(OR(TH!N2549=TH!$X$7,O2549=TH!$X$7),"x","")</f>
        <v/>
      </c>
      <c r="Y2549" s="75" t="str">
        <f>IF(AND(OR(N2549="131",O2549="131"),H2549='131-CT'!$H$9),"x","")</f>
        <v/>
      </c>
      <c r="Z2549" s="75"/>
      <c r="AA2549" s="75" t="str">
        <f>IF(AND(MONTH(E2549)='IN-NX'!$J$5,'IN-NX'!$D$7=D2549),"x","")</f>
        <v/>
      </c>
      <c r="AB2549" s="75" t="str">
        <f>IF(AND(OR(LEFT(TH!N2549,2)="15",LEFT(TH!O2549,2)="15"),LEFT(TH!O2549,3)&lt;&gt;"111",'152-CT'!$J$8=TH!F2549),"x","")</f>
        <v/>
      </c>
      <c r="AC2549" s="75" t="str">
        <f>IF(AND(OR(LEFT(TH!N2549,2)="15",LEFT(TH!O2549,2)="15"),TK!$E$7=TH!F2549),"x","")</f>
        <v/>
      </c>
      <c r="AD2549" s="75" t="str">
        <f>IF(AND(N2549="1521",MONTH(C2549)='BK-NL'!$M$11),"x","")</f>
        <v/>
      </c>
    </row>
    <row r="2550" spans="1:30" s="1264" customFormat="1" ht="16.5" customHeight="1">
      <c r="A2550" s="309" t="str">
        <f>IF(B2550&lt;&gt;"",IF(AND(B2550='IN-TC'!$S$4,OR(TH!N2550="1111",TH!O2550="1111")),TH!D2550,""),"")</f>
        <v/>
      </c>
      <c r="B2550" s="1283">
        <f t="shared" si="883"/>
        <v>12</v>
      </c>
      <c r="C2550" s="929">
        <v>43076</v>
      </c>
      <c r="D2550" s="929" t="s">
        <v>902</v>
      </c>
      <c r="E2550" s="929">
        <f t="shared" si="884"/>
        <v>43076</v>
      </c>
      <c r="F2550" s="930" t="s">
        <v>1096</v>
      </c>
      <c r="G2550" s="930" t="s">
        <v>1713</v>
      </c>
      <c r="H2550" s="73" t="s">
        <v>2408</v>
      </c>
      <c r="I2550" s="371"/>
      <c r="J2550" s="378"/>
      <c r="K2550" s="371">
        <v>593.54</v>
      </c>
      <c r="L2550" s="377">
        <v>22705</v>
      </c>
      <c r="M2550" s="74">
        <f t="shared" si="882"/>
        <v>13476326</v>
      </c>
      <c r="N2550" s="934" t="s">
        <v>99</v>
      </c>
      <c r="O2550" s="934" t="s">
        <v>256</v>
      </c>
      <c r="P2550" s="75" t="str">
        <f>IF(AND('331-CT'!$E$7=TH!H2550,OR(N2550="331",O2550="331")),"x","")</f>
        <v/>
      </c>
      <c r="Q2550" s="75" t="str">
        <f>IF(AND(B2550='111'!$L$11,OR($N2550=$Q$7,$O2550=$Q$7)),"x","")</f>
        <v/>
      </c>
      <c r="R2550" s="75" t="str">
        <f>IF(AND($N2550=$Q$7,$B2550&lt;'111'!$L$11),"x","")</f>
        <v/>
      </c>
      <c r="S2550" s="75" t="str">
        <f>IF(AND($O2550=$Q$7,$B2550&lt;'111'!$L$11),"x","")</f>
        <v/>
      </c>
      <c r="T2550" s="75" t="str">
        <f>IF(ISERROR(FIND('112'!$M$9,G2550,1)),"",IF((AND(FIND('112'!$M$9,G2550,1)&gt;=1,B2550='112'!$K$9,OR($N2550='112'!$I$6,$O2550='112'!$I$6))),"x",""))</f>
        <v/>
      </c>
      <c r="U2550" s="75" t="str">
        <f>IF(ISERROR(FIND('112'!$M$9,G2550,1)),"",IF((AND(LEFT(G2550,2)=LEFT('112'!$M$9,2),B2550&lt;'112'!$K$9,$N2550='112'!$I$6)),"x",""))</f>
        <v/>
      </c>
      <c r="V2550" s="75" t="str">
        <f>IF(ISERROR(FIND('112'!$M$9,G2550,1)),"",IF((AND(RIGHT(G2550,2)=RIGHT('112'!$M$9,2),B2550&lt;'112'!$K$9,$O2550='112'!$I$6)),"x",""))</f>
        <v/>
      </c>
      <c r="W2550" s="75" t="str">
        <f>IF(AND('341-CT'!$H$9=H2550,OR(LEFT(N2550,3)=$W$7,LEFT(O2550,3)=$W$7)),"x","")</f>
        <v/>
      </c>
      <c r="X2550" s="75" t="str">
        <f>IF(OR(TH!N2550=TH!$X$7,O2550=TH!$X$7),"x","")</f>
        <v/>
      </c>
      <c r="Y2550" s="75" t="str">
        <f>IF(AND(OR(N2550="131",O2550="131"),H2550='131-CT'!$H$9),"x","")</f>
        <v/>
      </c>
      <c r="Z2550" s="75"/>
      <c r="AA2550" s="75" t="str">
        <f>IF(AND(MONTH(E2550)='IN-NX'!$J$5,'IN-NX'!$D$7=D2550),"x","")</f>
        <v/>
      </c>
      <c r="AB2550" s="75" t="str">
        <f>IF(AND(OR(LEFT(TH!N2550,2)="15",LEFT(TH!O2550,2)="15"),LEFT(TH!O2550,3)&lt;&gt;"111",'152-CT'!$J$8=TH!F2550),"x","")</f>
        <v/>
      </c>
      <c r="AC2550" s="75" t="str">
        <f>IF(AND(OR(LEFT(TH!N2550,2)="15",LEFT(TH!O2550,2)="15"),TK!$E$7=TH!F2550),"x","")</f>
        <v/>
      </c>
      <c r="AD2550" s="75" t="str">
        <f>IF(AND(N2550="1521",MONTH(C2550)='BK-NL'!$M$11),"x","")</f>
        <v/>
      </c>
    </row>
    <row r="2551" spans="1:30" s="1264" customFormat="1" ht="16.5" customHeight="1">
      <c r="A2551" s="309" t="str">
        <f>IF(B2551&lt;&gt;"",IF(AND(B2551='IN-TC'!$S$4,OR(TH!N2551="1111",TH!O2551="1111")),TH!D2551,""),"")</f>
        <v/>
      </c>
      <c r="B2551" s="1283">
        <f t="shared" ref="B2551" si="885">IF(C2551&lt;&gt;"",MONTH(C2551),"")</f>
        <v>12</v>
      </c>
      <c r="C2551" s="929">
        <v>43076</v>
      </c>
      <c r="D2551" s="929" t="s">
        <v>530</v>
      </c>
      <c r="E2551" s="929">
        <f t="shared" ref="E2551" si="886">C2551</f>
        <v>43076</v>
      </c>
      <c r="F2551" s="930" t="s">
        <v>1010</v>
      </c>
      <c r="G2551" s="930" t="s">
        <v>1713</v>
      </c>
      <c r="H2551" s="73" t="s">
        <v>2913</v>
      </c>
      <c r="I2551" s="371"/>
      <c r="J2551" s="378"/>
      <c r="K2551" s="371"/>
      <c r="L2551" s="377"/>
      <c r="M2551" s="74">
        <v>7207320</v>
      </c>
      <c r="N2551" s="934" t="s">
        <v>250</v>
      </c>
      <c r="O2551" s="934" t="s">
        <v>43</v>
      </c>
      <c r="P2551" s="75" t="str">
        <f>IF(AND('331-CT'!$E$7=TH!H2551,OR(N2551="331",O2551="331")),"x","")</f>
        <v/>
      </c>
      <c r="Q2551" s="75" t="str">
        <f>IF(AND(B2551='111'!$L$11,OR($N2551=$Q$7,$O2551=$Q$7)),"x","")</f>
        <v/>
      </c>
      <c r="R2551" s="75" t="str">
        <f>IF(AND($N2551=$Q$7,$B2551&lt;'111'!$L$11),"x","")</f>
        <v/>
      </c>
      <c r="S2551" s="75" t="str">
        <f>IF(AND($O2551=$Q$7,$B2551&lt;'111'!$L$11),"x","")</f>
        <v/>
      </c>
      <c r="T2551" s="75" t="str">
        <f>IF(ISERROR(FIND('112'!$M$9,G2551,1)),"",IF((AND(FIND('112'!$M$9,G2551,1)&gt;=1,B2551='112'!$K$9,OR($N2551='112'!$I$6,$O2551='112'!$I$6))),"x",""))</f>
        <v/>
      </c>
      <c r="U2551" s="75" t="str">
        <f>IF(ISERROR(FIND('112'!$M$9,G2551,1)),"",IF((AND(LEFT(G2551,2)=LEFT('112'!$M$9,2),B2551&lt;'112'!$K$9,$N2551='112'!$I$6)),"x",""))</f>
        <v/>
      </c>
      <c r="V2551" s="75" t="str">
        <f>IF(ISERROR(FIND('112'!$M$9,G2551,1)),"",IF((AND(RIGHT(G2551,2)=RIGHT('112'!$M$9,2),B2551&lt;'112'!$K$9,$O2551='112'!$I$6)),"x",""))</f>
        <v/>
      </c>
      <c r="W2551" s="75" t="str">
        <f>IF(AND('341-CT'!$H$9=H2551,OR(LEFT(N2551,3)=$W$7,LEFT(O2551,3)=$W$7)),"x","")</f>
        <v/>
      </c>
      <c r="X2551" s="75" t="str">
        <f>IF(OR(TH!N2551=TH!$X$7,O2551=TH!$X$7),"x","")</f>
        <v/>
      </c>
      <c r="Y2551" s="75" t="str">
        <f>IF(AND(OR(N2551="131",O2551="131"),H2551='131-CT'!$H$9),"x","")</f>
        <v/>
      </c>
      <c r="Z2551" s="75"/>
      <c r="AA2551" s="75" t="str">
        <f>IF(AND(MONTH(E2551)='IN-NX'!$J$5,'IN-NX'!$D$7=D2551),"x","")</f>
        <v/>
      </c>
      <c r="AB2551" s="75" t="str">
        <f>IF(AND(OR(LEFT(TH!N2551,2)="15",LEFT(TH!O2551,2)="15"),LEFT(TH!O2551,3)&lt;&gt;"111",'152-CT'!$J$8=TH!F2551),"x","")</f>
        <v/>
      </c>
      <c r="AC2551" s="75" t="str">
        <f>IF(AND(OR(LEFT(TH!N2551,2)="15",LEFT(TH!O2551,2)="15"),TK!$E$7=TH!F2551),"x","")</f>
        <v/>
      </c>
      <c r="AD2551" s="75" t="str">
        <f>IF(AND(N2551="1521",MONTH(C2551)='BK-NL'!$M$11),"x","")</f>
        <v/>
      </c>
    </row>
    <row r="2552" spans="1:30" s="1264" customFormat="1" ht="16.5" customHeight="1">
      <c r="A2552" s="309" t="str">
        <f>IF(B2552&lt;&gt;"",IF(AND(B2552='IN-TC'!$S$4,OR(TH!N2552="1111",TH!O2552="1111")),TH!D2552,""),"")</f>
        <v/>
      </c>
      <c r="B2552" s="1283">
        <f t="shared" ref="B2552:B2554" si="887">IF(C2552&lt;&gt;"",MONTH(C2552),"")</f>
        <v>12</v>
      </c>
      <c r="C2552" s="929">
        <v>43076</v>
      </c>
      <c r="D2552" s="929" t="s">
        <v>902</v>
      </c>
      <c r="E2552" s="929">
        <f t="shared" ref="E2552:E2554" si="888">C2552</f>
        <v>43076</v>
      </c>
      <c r="F2552" s="930" t="s">
        <v>1321</v>
      </c>
      <c r="G2552" s="930" t="s">
        <v>1713</v>
      </c>
      <c r="H2552" s="73" t="s">
        <v>2914</v>
      </c>
      <c r="I2552" s="371"/>
      <c r="J2552" s="378"/>
      <c r="K2552" s="371">
        <v>18000</v>
      </c>
      <c r="L2552" s="377">
        <v>22705</v>
      </c>
      <c r="M2552" s="74">
        <f t="shared" ref="M2552:M2554" si="889">ROUND(K2552*L2552,0)</f>
        <v>408690000</v>
      </c>
      <c r="N2552" s="934" t="s">
        <v>250</v>
      </c>
      <c r="O2552" s="934" t="s">
        <v>256</v>
      </c>
      <c r="P2552" s="75" t="str">
        <f>IF(AND('331-CT'!$E$7=TH!H2552,OR(N2552="331",O2552="331")),"x","")</f>
        <v/>
      </c>
      <c r="Q2552" s="75" t="str">
        <f>IF(AND(B2552='111'!$L$11,OR($N2552=$Q$7,$O2552=$Q$7)),"x","")</f>
        <v/>
      </c>
      <c r="R2552" s="75" t="str">
        <f>IF(AND($N2552=$Q$7,$B2552&lt;'111'!$L$11),"x","")</f>
        <v/>
      </c>
      <c r="S2552" s="75" t="str">
        <f>IF(AND($O2552=$Q$7,$B2552&lt;'111'!$L$11),"x","")</f>
        <v/>
      </c>
      <c r="T2552" s="75" t="str">
        <f>IF(ISERROR(FIND('112'!$M$9,G2552,1)),"",IF((AND(FIND('112'!$M$9,G2552,1)&gt;=1,B2552='112'!$K$9,OR($N2552='112'!$I$6,$O2552='112'!$I$6))),"x",""))</f>
        <v/>
      </c>
      <c r="U2552" s="75" t="str">
        <f>IF(ISERROR(FIND('112'!$M$9,G2552,1)),"",IF((AND(LEFT(G2552,2)=LEFT('112'!$M$9,2),B2552&lt;'112'!$K$9,$N2552='112'!$I$6)),"x",""))</f>
        <v/>
      </c>
      <c r="V2552" s="75" t="str">
        <f>IF(ISERROR(FIND('112'!$M$9,G2552,1)),"",IF((AND(RIGHT(G2552,2)=RIGHT('112'!$M$9,2),B2552&lt;'112'!$K$9,$O2552='112'!$I$6)),"x",""))</f>
        <v/>
      </c>
      <c r="W2552" s="75" t="str">
        <f>IF(AND('341-CT'!$H$9=H2552,OR(LEFT(N2552,3)=$W$7,LEFT(O2552,3)=$W$7)),"x","")</f>
        <v/>
      </c>
      <c r="X2552" s="75" t="str">
        <f>IF(OR(TH!N2552=TH!$X$7,O2552=TH!$X$7),"x","")</f>
        <v/>
      </c>
      <c r="Y2552" s="75" t="str">
        <f>IF(AND(OR(N2552="131",O2552="131"),H2552='131-CT'!$H$9),"x","")</f>
        <v/>
      </c>
      <c r="Z2552" s="75"/>
      <c r="AA2552" s="75" t="str">
        <f>IF(AND(MONTH(E2552)='IN-NX'!$J$5,'IN-NX'!$D$7=D2552),"x","")</f>
        <v/>
      </c>
      <c r="AB2552" s="75" t="str">
        <f>IF(AND(OR(LEFT(TH!N2552,2)="15",LEFT(TH!O2552,2)="15"),LEFT(TH!O2552,3)&lt;&gt;"111",'152-CT'!$J$8=TH!F2552),"x","")</f>
        <v/>
      </c>
      <c r="AC2552" s="75" t="str">
        <f>IF(AND(OR(LEFT(TH!N2552,2)="15",LEFT(TH!O2552,2)="15"),TK!$E$7=TH!F2552),"x","")</f>
        <v/>
      </c>
      <c r="AD2552" s="75" t="str">
        <f>IF(AND(N2552="1521",MONTH(C2552)='BK-NL'!$M$11),"x","")</f>
        <v/>
      </c>
    </row>
    <row r="2553" spans="1:30" s="1264" customFormat="1" ht="16.5" customHeight="1">
      <c r="A2553" s="309" t="str">
        <f>IF(B2553&lt;&gt;"",IF(AND(B2553='IN-TC'!$S$4,OR(TH!N2553="1111",TH!O2553="1111")),TH!D2553,""),"")</f>
        <v/>
      </c>
      <c r="B2553" s="1283">
        <f t="shared" si="887"/>
        <v>12</v>
      </c>
      <c r="C2553" s="929">
        <v>43083</v>
      </c>
      <c r="D2553" s="929" t="s">
        <v>902</v>
      </c>
      <c r="E2553" s="929">
        <f t="shared" si="888"/>
        <v>43083</v>
      </c>
      <c r="F2553" s="930" t="s">
        <v>1307</v>
      </c>
      <c r="G2553" s="930" t="s">
        <v>1713</v>
      </c>
      <c r="H2553" s="73" t="s">
        <v>759</v>
      </c>
      <c r="I2553" s="371"/>
      <c r="J2553" s="378"/>
      <c r="K2553" s="371">
        <v>220</v>
      </c>
      <c r="L2553" s="377">
        <v>22705</v>
      </c>
      <c r="M2553" s="74">
        <f t="shared" si="889"/>
        <v>4995100</v>
      </c>
      <c r="N2553" s="934" t="s">
        <v>101</v>
      </c>
      <c r="O2553" s="934" t="s">
        <v>256</v>
      </c>
      <c r="P2553" s="75" t="str">
        <f>IF(AND('331-CT'!$E$7=TH!H2553,OR(N2553="331",O2553="331")),"x","")</f>
        <v/>
      </c>
      <c r="Q2553" s="75" t="str">
        <f>IF(AND(B2553='111'!$L$11,OR($N2553=$Q$7,$O2553=$Q$7)),"x","")</f>
        <v/>
      </c>
      <c r="R2553" s="75" t="str">
        <f>IF(AND($N2553=$Q$7,$B2553&lt;'111'!$L$11),"x","")</f>
        <v/>
      </c>
      <c r="S2553" s="75" t="str">
        <f>IF(AND($O2553=$Q$7,$B2553&lt;'111'!$L$11),"x","")</f>
        <v/>
      </c>
      <c r="T2553" s="75" t="str">
        <f>IF(ISERROR(FIND('112'!$M$9,G2553,1)),"",IF((AND(FIND('112'!$M$9,G2553,1)&gt;=1,B2553='112'!$K$9,OR($N2553='112'!$I$6,$O2553='112'!$I$6))),"x",""))</f>
        <v/>
      </c>
      <c r="U2553" s="75" t="str">
        <f>IF(ISERROR(FIND('112'!$M$9,G2553,1)),"",IF((AND(LEFT(G2553,2)=LEFT('112'!$M$9,2),B2553&lt;'112'!$K$9,$N2553='112'!$I$6)),"x",""))</f>
        <v/>
      </c>
      <c r="V2553" s="75" t="str">
        <f>IF(ISERROR(FIND('112'!$M$9,G2553,1)),"",IF((AND(RIGHT(G2553,2)=RIGHT('112'!$M$9,2),B2553&lt;'112'!$K$9,$O2553='112'!$I$6)),"x",""))</f>
        <v/>
      </c>
      <c r="W2553" s="75" t="str">
        <f>IF(AND('341-CT'!$H$9=H2553,OR(LEFT(N2553,3)=$W$7,LEFT(O2553,3)=$W$7)),"x","")</f>
        <v/>
      </c>
      <c r="X2553" s="75" t="str">
        <f>IF(OR(TH!N2553=TH!$X$7,O2553=TH!$X$7),"x","")</f>
        <v/>
      </c>
      <c r="Y2553" s="75" t="str">
        <f>IF(AND(OR(N2553="131",O2553="131"),H2553='131-CT'!$H$9),"x","")</f>
        <v/>
      </c>
      <c r="Z2553" s="75"/>
      <c r="AA2553" s="75" t="str">
        <f>IF(AND(MONTH(E2553)='IN-NX'!$J$5,'IN-NX'!$D$7=D2553),"x","")</f>
        <v/>
      </c>
      <c r="AB2553" s="75" t="str">
        <f>IF(AND(OR(LEFT(TH!N2553,2)="15",LEFT(TH!O2553,2)="15"),LEFT(TH!O2553,3)&lt;&gt;"111",'152-CT'!$J$8=TH!F2553),"x","")</f>
        <v/>
      </c>
      <c r="AC2553" s="75" t="str">
        <f>IF(AND(OR(LEFT(TH!N2553,2)="15",LEFT(TH!O2553,2)="15"),TK!$E$7=TH!F2553),"x","")</f>
        <v/>
      </c>
      <c r="AD2553" s="75" t="str">
        <f>IF(AND(N2553="1521",MONTH(C2553)='BK-NL'!$M$11),"x","")</f>
        <v/>
      </c>
    </row>
    <row r="2554" spans="1:30" s="1264" customFormat="1" ht="16.5" customHeight="1">
      <c r="A2554" s="309" t="str">
        <f>IF(B2554&lt;&gt;"",IF(AND(B2554='IN-TC'!$S$4,OR(TH!N2554="1111",TH!O2554="1111")),TH!D2554,""),"")</f>
        <v/>
      </c>
      <c r="B2554" s="1283">
        <f t="shared" si="887"/>
        <v>12</v>
      </c>
      <c r="C2554" s="929">
        <v>43083</v>
      </c>
      <c r="D2554" s="929" t="s">
        <v>903</v>
      </c>
      <c r="E2554" s="929">
        <f t="shared" si="888"/>
        <v>43083</v>
      </c>
      <c r="F2554" s="930" t="s">
        <v>1086</v>
      </c>
      <c r="G2554" s="930" t="s">
        <v>1713</v>
      </c>
      <c r="H2554" s="73" t="s">
        <v>759</v>
      </c>
      <c r="I2554" s="371"/>
      <c r="J2554" s="378"/>
      <c r="K2554" s="371">
        <v>464991.8</v>
      </c>
      <c r="L2554" s="377">
        <v>22705</v>
      </c>
      <c r="M2554" s="1214">
        <f t="shared" si="889"/>
        <v>10557638819</v>
      </c>
      <c r="N2554" s="934" t="s">
        <v>256</v>
      </c>
      <c r="O2554" s="934" t="s">
        <v>536</v>
      </c>
      <c r="P2554" s="75" t="str">
        <f>IF(AND('331-CT'!$E$7=TH!H2554,OR(N2554="331",O2554="331")),"x","")</f>
        <v/>
      </c>
      <c r="Q2554" s="75" t="str">
        <f>IF(AND(B2554='111'!$L$11,OR($N2554=$Q$7,$O2554=$Q$7)),"x","")</f>
        <v/>
      </c>
      <c r="R2554" s="75" t="str">
        <f>IF(AND($N2554=$Q$7,$B2554&lt;'111'!$L$11),"x","")</f>
        <v/>
      </c>
      <c r="S2554" s="75" t="str">
        <f>IF(AND($O2554=$Q$7,$B2554&lt;'111'!$L$11),"x","")</f>
        <v/>
      </c>
      <c r="T2554" s="75" t="str">
        <f>IF(ISERROR(FIND('112'!$M$9,G2554,1)),"",IF((AND(FIND('112'!$M$9,G2554,1)&gt;=1,B2554='112'!$K$9,OR($N2554='112'!$I$6,$O2554='112'!$I$6))),"x",""))</f>
        <v/>
      </c>
      <c r="U2554" s="75" t="str">
        <f>IF(ISERROR(FIND('112'!$M$9,G2554,1)),"",IF((AND(LEFT(G2554,2)=LEFT('112'!$M$9,2),B2554&lt;'112'!$K$9,$N2554='112'!$I$6)),"x",""))</f>
        <v/>
      </c>
      <c r="V2554" s="75" t="str">
        <f>IF(ISERROR(FIND('112'!$M$9,G2554,1)),"",IF((AND(RIGHT(G2554,2)=RIGHT('112'!$M$9,2),B2554&lt;'112'!$K$9,$O2554='112'!$I$6)),"x",""))</f>
        <v/>
      </c>
      <c r="W2554" s="75" t="str">
        <f>IF(AND('341-CT'!$H$9=H2554,OR(LEFT(N2554,3)=$W$7,LEFT(O2554,3)=$W$7)),"x","")</f>
        <v/>
      </c>
      <c r="X2554" s="75" t="str">
        <f>IF(OR(TH!N2554=TH!$X$7,O2554=TH!$X$7),"x","")</f>
        <v/>
      </c>
      <c r="Y2554" s="75" t="str">
        <f>IF(AND(OR(N2554="131",O2554="131"),H2554='131-CT'!$H$9),"x","")</f>
        <v/>
      </c>
      <c r="Z2554" s="75"/>
      <c r="AA2554" s="75" t="str">
        <f>IF(AND(MONTH(E2554)='IN-NX'!$J$5,'IN-NX'!$D$7=D2554),"x","")</f>
        <v/>
      </c>
      <c r="AB2554" s="75" t="str">
        <f>IF(AND(OR(LEFT(TH!N2554,2)="15",LEFT(TH!O2554,2)="15"),LEFT(TH!O2554,3)&lt;&gt;"111",'152-CT'!$J$8=TH!F2554),"x","")</f>
        <v/>
      </c>
      <c r="AC2554" s="75" t="str">
        <f>IF(AND(OR(LEFT(TH!N2554,2)="15",LEFT(TH!O2554,2)="15"),TK!$E$7=TH!F2554),"x","")</f>
        <v/>
      </c>
      <c r="AD2554" s="75" t="str">
        <f>IF(AND(N2554="1521",MONTH(C2554)='BK-NL'!$M$11),"x","")</f>
        <v/>
      </c>
    </row>
    <row r="2555" spans="1:30" s="1264" customFormat="1" ht="16.5" customHeight="1">
      <c r="A2555" s="309" t="str">
        <f>IF(B2555&lt;&gt;"",IF(AND(B2555='IN-TC'!$S$4,OR(TH!N2555="1111",TH!O2555="1111")),TH!D2555,""),"")</f>
        <v/>
      </c>
      <c r="B2555" s="1283">
        <f t="shared" ref="B2555" si="890">IF(C2555&lt;&gt;"",MONTH(C2555),"")</f>
        <v>12</v>
      </c>
      <c r="C2555" s="929">
        <v>43083</v>
      </c>
      <c r="D2555" s="929" t="s">
        <v>530</v>
      </c>
      <c r="E2555" s="929">
        <f t="shared" ref="E2555" si="891">C2555</f>
        <v>43083</v>
      </c>
      <c r="F2555" s="930" t="s">
        <v>1010</v>
      </c>
      <c r="G2555" s="930" t="s">
        <v>1713</v>
      </c>
      <c r="H2555" s="73" t="s">
        <v>759</v>
      </c>
      <c r="I2555" s="371"/>
      <c r="J2555" s="378"/>
      <c r="K2555" s="371"/>
      <c r="L2555" s="377"/>
      <c r="M2555" s="74">
        <v>10276266</v>
      </c>
      <c r="N2555" s="934" t="s">
        <v>536</v>
      </c>
      <c r="O2555" s="934" t="s">
        <v>43</v>
      </c>
      <c r="P2555" s="75" t="str">
        <f>IF(AND('331-CT'!$E$7=TH!H2555,OR(N2555="331",O2555="331")),"x","")</f>
        <v/>
      </c>
      <c r="Q2555" s="75" t="str">
        <f>IF(AND(B2555='111'!$L$11,OR($N2555=$Q$7,$O2555=$Q$7)),"x","")</f>
        <v/>
      </c>
      <c r="R2555" s="75" t="str">
        <f>IF(AND($N2555=$Q$7,$B2555&lt;'111'!$L$11),"x","")</f>
        <v/>
      </c>
      <c r="S2555" s="75" t="str">
        <f>IF(AND($O2555=$Q$7,$B2555&lt;'111'!$L$11),"x","")</f>
        <v/>
      </c>
      <c r="T2555" s="75" t="str">
        <f>IF(ISERROR(FIND('112'!$M$9,G2555,1)),"",IF((AND(FIND('112'!$M$9,G2555,1)&gt;=1,B2555='112'!$K$9,OR($N2555='112'!$I$6,$O2555='112'!$I$6))),"x",""))</f>
        <v/>
      </c>
      <c r="U2555" s="75" t="str">
        <f>IF(ISERROR(FIND('112'!$M$9,G2555,1)),"",IF((AND(LEFT(G2555,2)=LEFT('112'!$M$9,2),B2555&lt;'112'!$K$9,$N2555='112'!$I$6)),"x",""))</f>
        <v/>
      </c>
      <c r="V2555" s="75" t="str">
        <f>IF(ISERROR(FIND('112'!$M$9,G2555,1)),"",IF((AND(RIGHT(G2555,2)=RIGHT('112'!$M$9,2),B2555&lt;'112'!$K$9,$O2555='112'!$I$6)),"x",""))</f>
        <v/>
      </c>
      <c r="W2555" s="75" t="str">
        <f>IF(AND('341-CT'!$H$9=H2555,OR(LEFT(N2555,3)=$W$7,LEFT(O2555,3)=$W$7)),"x","")</f>
        <v/>
      </c>
      <c r="X2555" s="75" t="str">
        <f>IF(OR(TH!N2555=TH!$X$7,O2555=TH!$X$7),"x","")</f>
        <v/>
      </c>
      <c r="Y2555" s="75" t="str">
        <f>IF(AND(OR(N2555="131",O2555="131"),H2555='131-CT'!$H$9),"x","")</f>
        <v/>
      </c>
      <c r="Z2555" s="75"/>
      <c r="AA2555" s="75" t="str">
        <f>IF(AND(MONTH(E2555)='IN-NX'!$J$5,'IN-NX'!$D$7=D2555),"x","")</f>
        <v/>
      </c>
      <c r="AB2555" s="75" t="str">
        <f>IF(AND(OR(LEFT(TH!N2555,2)="15",LEFT(TH!O2555,2)="15"),LEFT(TH!O2555,3)&lt;&gt;"111",'152-CT'!$J$8=TH!F2555),"x","")</f>
        <v/>
      </c>
      <c r="AC2555" s="75" t="str">
        <f>IF(AND(OR(LEFT(TH!N2555,2)="15",LEFT(TH!O2555,2)="15"),TK!$E$7=TH!F2555),"x","")</f>
        <v/>
      </c>
      <c r="AD2555" s="75" t="str">
        <f>IF(AND(N2555="1521",MONTH(C2555)='BK-NL'!$M$11),"x","")</f>
        <v/>
      </c>
    </row>
    <row r="2556" spans="1:30" s="1264" customFormat="1" ht="16.5" customHeight="1">
      <c r="A2556" s="309" t="str">
        <f>IF(B2556&lt;&gt;"",IF(AND(B2556='IN-TC'!$S$4,OR(TH!N2556="1111",TH!O2556="1111")),TH!D2556,""),"")</f>
        <v/>
      </c>
      <c r="B2556" s="1283">
        <f t="shared" ref="B2556" si="892">IF(C2556&lt;&gt;"",MONTH(C2556),"")</f>
        <v>12</v>
      </c>
      <c r="C2556" s="929">
        <v>43084</v>
      </c>
      <c r="D2556" s="929" t="s">
        <v>902</v>
      </c>
      <c r="E2556" s="929">
        <f t="shared" ref="E2556" si="893">C2556</f>
        <v>43084</v>
      </c>
      <c r="F2556" s="930" t="s">
        <v>1321</v>
      </c>
      <c r="G2556" s="930" t="s">
        <v>1713</v>
      </c>
      <c r="H2556" s="73" t="s">
        <v>2914</v>
      </c>
      <c r="I2556" s="371"/>
      <c r="J2556" s="378"/>
      <c r="K2556" s="371">
        <v>119150</v>
      </c>
      <c r="L2556" s="377">
        <v>22705</v>
      </c>
      <c r="M2556" s="74">
        <f t="shared" ref="M2556:M2557" si="894">ROUND(K2556*L2556,0)</f>
        <v>2705300750</v>
      </c>
      <c r="N2556" s="934" t="s">
        <v>250</v>
      </c>
      <c r="O2556" s="934" t="s">
        <v>256</v>
      </c>
      <c r="P2556" s="75" t="str">
        <f>IF(AND('331-CT'!$E$7=TH!H2556,OR(N2556="331",O2556="331")),"x","")</f>
        <v/>
      </c>
      <c r="Q2556" s="75" t="str">
        <f>IF(AND(B2556='111'!$L$11,OR($N2556=$Q$7,$O2556=$Q$7)),"x","")</f>
        <v/>
      </c>
      <c r="R2556" s="75" t="str">
        <f>IF(AND($N2556=$Q$7,$B2556&lt;'111'!$L$11),"x","")</f>
        <v/>
      </c>
      <c r="S2556" s="75" t="str">
        <f>IF(AND($O2556=$Q$7,$B2556&lt;'111'!$L$11),"x","")</f>
        <v/>
      </c>
      <c r="T2556" s="75" t="str">
        <f>IF(ISERROR(FIND('112'!$M$9,G2556,1)),"",IF((AND(FIND('112'!$M$9,G2556,1)&gt;=1,B2556='112'!$K$9,OR($N2556='112'!$I$6,$O2556='112'!$I$6))),"x",""))</f>
        <v/>
      </c>
      <c r="U2556" s="75" t="str">
        <f>IF(ISERROR(FIND('112'!$M$9,G2556,1)),"",IF((AND(LEFT(G2556,2)=LEFT('112'!$M$9,2),B2556&lt;'112'!$K$9,$N2556='112'!$I$6)),"x",""))</f>
        <v/>
      </c>
      <c r="V2556" s="75" t="str">
        <f>IF(ISERROR(FIND('112'!$M$9,G2556,1)),"",IF((AND(RIGHT(G2556,2)=RIGHT('112'!$M$9,2),B2556&lt;'112'!$K$9,$O2556='112'!$I$6)),"x",""))</f>
        <v/>
      </c>
      <c r="W2556" s="75" t="str">
        <f>IF(AND('341-CT'!$H$9=H2556,OR(LEFT(N2556,3)=$W$7,LEFT(O2556,3)=$W$7)),"x","")</f>
        <v/>
      </c>
      <c r="X2556" s="75" t="str">
        <f>IF(OR(TH!N2556=TH!$X$7,O2556=TH!$X$7),"x","")</f>
        <v/>
      </c>
      <c r="Y2556" s="75" t="str">
        <f>IF(AND(OR(N2556="131",O2556="131"),H2556='131-CT'!$H$9),"x","")</f>
        <v/>
      </c>
      <c r="Z2556" s="75"/>
      <c r="AA2556" s="75" t="str">
        <f>IF(AND(MONTH(E2556)='IN-NX'!$J$5,'IN-NX'!$D$7=D2556),"x","")</f>
        <v/>
      </c>
      <c r="AB2556" s="75" t="str">
        <f>IF(AND(OR(LEFT(TH!N2556,2)="15",LEFT(TH!O2556,2)="15"),LEFT(TH!O2556,3)&lt;&gt;"111",'152-CT'!$J$8=TH!F2556),"x","")</f>
        <v/>
      </c>
      <c r="AC2556" s="75" t="str">
        <f>IF(AND(OR(LEFT(TH!N2556,2)="15",LEFT(TH!O2556,2)="15"),TK!$E$7=TH!F2556),"x","")</f>
        <v/>
      </c>
      <c r="AD2556" s="75" t="str">
        <f>IF(AND(N2556="1521",MONTH(C2556)='BK-NL'!$M$11),"x","")</f>
        <v/>
      </c>
    </row>
    <row r="2557" spans="1:30" s="1264" customFormat="1" ht="16.5" customHeight="1">
      <c r="A2557" s="309" t="str">
        <f>IF(B2557&lt;&gt;"",IF(AND(B2557='IN-TC'!$S$4,OR(TH!N2557="1111",TH!O2557="1111")),TH!D2557,""),"")</f>
        <v/>
      </c>
      <c r="B2557" s="1283">
        <f t="shared" ref="B2557" si="895">IF(C2557&lt;&gt;"",MONTH(C2557),"")</f>
        <v>12</v>
      </c>
      <c r="C2557" s="929">
        <v>43084</v>
      </c>
      <c r="D2557" s="929" t="s">
        <v>902</v>
      </c>
      <c r="E2557" s="929">
        <f t="shared" ref="E2557" si="896">C2557</f>
        <v>43084</v>
      </c>
      <c r="F2557" s="930" t="s">
        <v>1096</v>
      </c>
      <c r="G2557" s="930" t="s">
        <v>1713</v>
      </c>
      <c r="H2557" s="73" t="s">
        <v>2409</v>
      </c>
      <c r="I2557" s="371"/>
      <c r="J2557" s="378"/>
      <c r="K2557" s="371">
        <v>584.26</v>
      </c>
      <c r="L2557" s="377">
        <v>22705</v>
      </c>
      <c r="M2557" s="74">
        <f t="shared" si="894"/>
        <v>13265623</v>
      </c>
      <c r="N2557" s="934" t="s">
        <v>99</v>
      </c>
      <c r="O2557" s="934" t="s">
        <v>256</v>
      </c>
      <c r="P2557" s="75" t="str">
        <f>IF(AND('331-CT'!$E$7=TH!H2557,OR(N2557="331",O2557="331")),"x","")</f>
        <v/>
      </c>
      <c r="Q2557" s="75" t="str">
        <f>IF(AND(B2557='111'!$L$11,OR($N2557=$Q$7,$O2557=$Q$7)),"x","")</f>
        <v/>
      </c>
      <c r="R2557" s="75" t="str">
        <f>IF(AND($N2557=$Q$7,$B2557&lt;'111'!$L$11),"x","")</f>
        <v/>
      </c>
      <c r="S2557" s="75" t="str">
        <f>IF(AND($O2557=$Q$7,$B2557&lt;'111'!$L$11),"x","")</f>
        <v/>
      </c>
      <c r="T2557" s="75" t="str">
        <f>IF(ISERROR(FIND('112'!$M$9,G2557,1)),"",IF((AND(FIND('112'!$M$9,G2557,1)&gt;=1,B2557='112'!$K$9,OR($N2557='112'!$I$6,$O2557='112'!$I$6))),"x",""))</f>
        <v/>
      </c>
      <c r="U2557" s="75" t="str">
        <f>IF(ISERROR(FIND('112'!$M$9,G2557,1)),"",IF((AND(LEFT(G2557,2)=LEFT('112'!$M$9,2),B2557&lt;'112'!$K$9,$N2557='112'!$I$6)),"x",""))</f>
        <v/>
      </c>
      <c r="V2557" s="75" t="str">
        <f>IF(ISERROR(FIND('112'!$M$9,G2557,1)),"",IF((AND(RIGHT(G2557,2)=RIGHT('112'!$M$9,2),B2557&lt;'112'!$K$9,$O2557='112'!$I$6)),"x",""))</f>
        <v/>
      </c>
      <c r="W2557" s="75" t="str">
        <f>IF(AND('341-CT'!$H$9=H2557,OR(LEFT(N2557,3)=$W$7,LEFT(O2557,3)=$W$7)),"x","")</f>
        <v/>
      </c>
      <c r="X2557" s="75" t="str">
        <f>IF(OR(TH!N2557=TH!$X$7,O2557=TH!$X$7),"x","")</f>
        <v/>
      </c>
      <c r="Y2557" s="75" t="str">
        <f>IF(AND(OR(N2557="131",O2557="131"),H2557='131-CT'!$H$9),"x","")</f>
        <v/>
      </c>
      <c r="Z2557" s="75"/>
      <c r="AA2557" s="75" t="str">
        <f>IF(AND(MONTH(E2557)='IN-NX'!$J$5,'IN-NX'!$D$7=D2557),"x","")</f>
        <v/>
      </c>
      <c r="AB2557" s="75" t="str">
        <f>IF(AND(OR(LEFT(TH!N2557,2)="15",LEFT(TH!O2557,2)="15"),LEFT(TH!O2557,3)&lt;&gt;"111",'152-CT'!$J$8=TH!F2557),"x","")</f>
        <v/>
      </c>
      <c r="AC2557" s="75" t="str">
        <f>IF(AND(OR(LEFT(TH!N2557,2)="15",LEFT(TH!O2557,2)="15"),TK!$E$7=TH!F2557),"x","")</f>
        <v/>
      </c>
      <c r="AD2557" s="75" t="str">
        <f>IF(AND(N2557="1521",MONTH(C2557)='BK-NL'!$M$11),"x","")</f>
        <v/>
      </c>
    </row>
    <row r="2558" spans="1:30" s="1264" customFormat="1" ht="16.5" customHeight="1">
      <c r="A2558" s="309" t="str">
        <f>IF(B2558&lt;&gt;"",IF(AND(B2558='IN-TC'!$S$4,OR(TH!N2558="1111",TH!O2558="1111")),TH!D2558,""),"")</f>
        <v/>
      </c>
      <c r="B2558" s="1283">
        <f t="shared" ref="B2558" si="897">IF(C2558&lt;&gt;"",MONTH(C2558),"")</f>
        <v>12</v>
      </c>
      <c r="C2558" s="929">
        <v>43084</v>
      </c>
      <c r="D2558" s="929" t="s">
        <v>530</v>
      </c>
      <c r="E2558" s="929">
        <f t="shared" ref="E2558" si="898">C2558</f>
        <v>43084</v>
      </c>
      <c r="F2558" s="930" t="s">
        <v>1010</v>
      </c>
      <c r="G2558" s="930" t="s">
        <v>1713</v>
      </c>
      <c r="H2558" s="73" t="s">
        <v>2914</v>
      </c>
      <c r="I2558" s="371"/>
      <c r="J2558" s="378"/>
      <c r="K2558" s="371"/>
      <c r="L2558" s="377"/>
      <c r="M2558" s="74">
        <v>7081350</v>
      </c>
      <c r="N2558" s="934" t="s">
        <v>250</v>
      </c>
      <c r="O2558" s="934" t="s">
        <v>43</v>
      </c>
      <c r="P2558" s="75" t="str">
        <f>IF(AND('331-CT'!$E$7=TH!H2558,OR(N2558="331",O2558="331")),"x","")</f>
        <v/>
      </c>
      <c r="Q2558" s="75" t="str">
        <f>IF(AND(B2558='111'!$L$11,OR($N2558=$Q$7,$O2558=$Q$7)),"x","")</f>
        <v/>
      </c>
      <c r="R2558" s="75" t="str">
        <f>IF(AND($N2558=$Q$7,$B2558&lt;'111'!$L$11),"x","")</f>
        <v/>
      </c>
      <c r="S2558" s="75" t="str">
        <f>IF(AND($O2558=$Q$7,$B2558&lt;'111'!$L$11),"x","")</f>
        <v/>
      </c>
      <c r="T2558" s="75" t="str">
        <f>IF(ISERROR(FIND('112'!$M$9,G2558,1)),"",IF((AND(FIND('112'!$M$9,G2558,1)&gt;=1,B2558='112'!$K$9,OR($N2558='112'!$I$6,$O2558='112'!$I$6))),"x",""))</f>
        <v/>
      </c>
      <c r="U2558" s="75" t="str">
        <f>IF(ISERROR(FIND('112'!$M$9,G2558,1)),"",IF((AND(LEFT(G2558,2)=LEFT('112'!$M$9,2),B2558&lt;'112'!$K$9,$N2558='112'!$I$6)),"x",""))</f>
        <v/>
      </c>
      <c r="V2558" s="75" t="str">
        <f>IF(ISERROR(FIND('112'!$M$9,G2558,1)),"",IF((AND(RIGHT(G2558,2)=RIGHT('112'!$M$9,2),B2558&lt;'112'!$K$9,$O2558='112'!$I$6)),"x",""))</f>
        <v/>
      </c>
      <c r="W2558" s="75" t="str">
        <f>IF(AND('341-CT'!$H$9=H2558,OR(LEFT(N2558,3)=$W$7,LEFT(O2558,3)=$W$7)),"x","")</f>
        <v/>
      </c>
      <c r="X2558" s="75" t="str">
        <f>IF(OR(TH!N2558=TH!$X$7,O2558=TH!$X$7),"x","")</f>
        <v/>
      </c>
      <c r="Y2558" s="75" t="str">
        <f>IF(AND(OR(N2558="131",O2558="131"),H2558='131-CT'!$H$9),"x","")</f>
        <v/>
      </c>
      <c r="Z2558" s="75"/>
      <c r="AA2558" s="75" t="str">
        <f>IF(AND(MONTH(E2558)='IN-NX'!$J$5,'IN-NX'!$D$7=D2558),"x","")</f>
        <v/>
      </c>
      <c r="AB2558" s="75" t="str">
        <f>IF(AND(OR(LEFT(TH!N2558,2)="15",LEFT(TH!O2558,2)="15"),LEFT(TH!O2558,3)&lt;&gt;"111",'152-CT'!$J$8=TH!F2558),"x","")</f>
        <v/>
      </c>
      <c r="AC2558" s="75" t="str">
        <f>IF(AND(OR(LEFT(TH!N2558,2)="15",LEFT(TH!O2558,2)="15"),TK!$E$7=TH!F2558),"x","")</f>
        <v/>
      </c>
      <c r="AD2558" s="75" t="str">
        <f>IF(AND(N2558="1521",MONTH(C2558)='BK-NL'!$M$11),"x","")</f>
        <v/>
      </c>
    </row>
    <row r="2559" spans="1:30" s="1264" customFormat="1" ht="16.5" customHeight="1">
      <c r="A2559" s="309" t="str">
        <f>IF(B2559&lt;&gt;"",IF(AND(B2559='IN-TC'!$S$4,OR(TH!N2559="1111",TH!O2559="1111")),TH!D2559,""),"")</f>
        <v/>
      </c>
      <c r="B2559" s="1283">
        <f t="shared" si="875"/>
        <v>12</v>
      </c>
      <c r="C2559" s="929">
        <v>43084</v>
      </c>
      <c r="D2559" s="929" t="s">
        <v>902</v>
      </c>
      <c r="E2559" s="929">
        <f t="shared" ref="E2559:E2561" si="899">C2559</f>
        <v>43084</v>
      </c>
      <c r="F2559" s="930" t="s">
        <v>1321</v>
      </c>
      <c r="G2559" s="930" t="s">
        <v>1713</v>
      </c>
      <c r="H2559" s="73" t="s">
        <v>2915</v>
      </c>
      <c r="I2559" s="371"/>
      <c r="J2559" s="378"/>
      <c r="K2559" s="371">
        <v>345050</v>
      </c>
      <c r="L2559" s="377">
        <v>22705</v>
      </c>
      <c r="M2559" s="74">
        <f t="shared" ref="M2559:M2561" si="900">ROUND(K2559*L2559,0)</f>
        <v>7834360250</v>
      </c>
      <c r="N2559" s="934" t="s">
        <v>250</v>
      </c>
      <c r="O2559" s="934" t="s">
        <v>256</v>
      </c>
      <c r="P2559" s="75" t="str">
        <f>IF(AND('331-CT'!$E$7=TH!H2559,OR(N2559="331",O2559="331")),"x","")</f>
        <v/>
      </c>
      <c r="Q2559" s="75" t="str">
        <f>IF(AND(B2559='111'!$L$11,OR($N2559=$Q$7,$O2559=$Q$7)),"x","")</f>
        <v/>
      </c>
      <c r="R2559" s="75" t="str">
        <f>IF(AND($N2559=$Q$7,$B2559&lt;'111'!$L$11),"x","")</f>
        <v/>
      </c>
      <c r="S2559" s="75" t="str">
        <f>IF(AND($O2559=$Q$7,$B2559&lt;'111'!$L$11),"x","")</f>
        <v/>
      </c>
      <c r="T2559" s="75" t="str">
        <f>IF(ISERROR(FIND('112'!$M$9,G2559,1)),"",IF((AND(FIND('112'!$M$9,G2559,1)&gt;=1,B2559='112'!$K$9,OR($N2559='112'!$I$6,$O2559='112'!$I$6))),"x",""))</f>
        <v/>
      </c>
      <c r="U2559" s="75" t="str">
        <f>IF(ISERROR(FIND('112'!$M$9,G2559,1)),"",IF((AND(LEFT(G2559,2)=LEFT('112'!$M$9,2),B2559&lt;'112'!$K$9,$N2559='112'!$I$6)),"x",""))</f>
        <v/>
      </c>
      <c r="V2559" s="75" t="str">
        <f>IF(ISERROR(FIND('112'!$M$9,G2559,1)),"",IF((AND(RIGHT(G2559,2)=RIGHT('112'!$M$9,2),B2559&lt;'112'!$K$9,$O2559='112'!$I$6)),"x",""))</f>
        <v/>
      </c>
      <c r="W2559" s="75" t="str">
        <f>IF(AND('341-CT'!$H$9=H2559,OR(LEFT(N2559,3)=$W$7,LEFT(O2559,3)=$W$7)),"x","")</f>
        <v/>
      </c>
      <c r="X2559" s="75" t="str">
        <f>IF(OR(TH!N2559=TH!$X$7,O2559=TH!$X$7),"x","")</f>
        <v/>
      </c>
      <c r="Y2559" s="75" t="str">
        <f>IF(AND(OR(N2559="131",O2559="131"),H2559='131-CT'!$H$9),"x","")</f>
        <v/>
      </c>
      <c r="Z2559" s="75"/>
      <c r="AA2559" s="75" t="str">
        <f>IF(AND(MONTH(E2559)='IN-NX'!$J$5,'IN-NX'!$D$7=D2559),"x","")</f>
        <v/>
      </c>
      <c r="AB2559" s="75" t="str">
        <f>IF(AND(OR(LEFT(TH!N2559,2)="15",LEFT(TH!O2559,2)="15"),LEFT(TH!O2559,3)&lt;&gt;"111",'152-CT'!$J$8=TH!F2559),"x","")</f>
        <v/>
      </c>
      <c r="AC2559" s="75" t="str">
        <f>IF(AND(OR(LEFT(TH!N2559,2)="15",LEFT(TH!O2559,2)="15"),TK!$E$7=TH!F2559),"x","")</f>
        <v/>
      </c>
      <c r="AD2559" s="75" t="str">
        <f>IF(AND(N2559="1521",MONTH(C2559)='BK-NL'!$M$11),"x","")</f>
        <v/>
      </c>
    </row>
    <row r="2560" spans="1:30" s="1264" customFormat="1" ht="16.5" customHeight="1">
      <c r="A2560" s="309" t="str">
        <f>IF(B2560&lt;&gt;"",IF(AND(B2560='IN-TC'!$S$4,OR(TH!N2560="1111",TH!O2560="1111")),TH!D2560,""),"")</f>
        <v/>
      </c>
      <c r="B2560" s="1283">
        <f t="shared" si="875"/>
        <v>12</v>
      </c>
      <c r="C2560" s="929">
        <v>43089</v>
      </c>
      <c r="D2560" s="929" t="s">
        <v>902</v>
      </c>
      <c r="E2560" s="929">
        <f t="shared" si="899"/>
        <v>43089</v>
      </c>
      <c r="F2560" s="930" t="s">
        <v>1307</v>
      </c>
      <c r="G2560" s="930" t="s">
        <v>1713</v>
      </c>
      <c r="H2560" s="73" t="s">
        <v>759</v>
      </c>
      <c r="I2560" s="371"/>
      <c r="J2560" s="378"/>
      <c r="K2560" s="371">
        <v>134.69999999999999</v>
      </c>
      <c r="L2560" s="377">
        <v>22705</v>
      </c>
      <c r="M2560" s="74">
        <f t="shared" si="900"/>
        <v>3058364</v>
      </c>
      <c r="N2560" s="934" t="s">
        <v>101</v>
      </c>
      <c r="O2560" s="934" t="s">
        <v>256</v>
      </c>
      <c r="P2560" s="75" t="str">
        <f>IF(AND('331-CT'!$E$7=TH!H2560,OR(N2560="331",O2560="331")),"x","")</f>
        <v/>
      </c>
      <c r="Q2560" s="75" t="str">
        <f>IF(AND(B2560='111'!$L$11,OR($N2560=$Q$7,$O2560=$Q$7)),"x","")</f>
        <v/>
      </c>
      <c r="R2560" s="75" t="str">
        <f>IF(AND($N2560=$Q$7,$B2560&lt;'111'!$L$11),"x","")</f>
        <v/>
      </c>
      <c r="S2560" s="75" t="str">
        <f>IF(AND($O2560=$Q$7,$B2560&lt;'111'!$L$11),"x","")</f>
        <v/>
      </c>
      <c r="T2560" s="75" t="str">
        <f>IF(ISERROR(FIND('112'!$M$9,G2560,1)),"",IF((AND(FIND('112'!$M$9,G2560,1)&gt;=1,B2560='112'!$K$9,OR($N2560='112'!$I$6,$O2560='112'!$I$6))),"x",""))</f>
        <v/>
      </c>
      <c r="U2560" s="75" t="str">
        <f>IF(ISERROR(FIND('112'!$M$9,G2560,1)),"",IF((AND(LEFT(G2560,2)=LEFT('112'!$M$9,2),B2560&lt;'112'!$K$9,$N2560='112'!$I$6)),"x",""))</f>
        <v/>
      </c>
      <c r="V2560" s="75" t="str">
        <f>IF(ISERROR(FIND('112'!$M$9,G2560,1)),"",IF((AND(RIGHT(G2560,2)=RIGHT('112'!$M$9,2),B2560&lt;'112'!$K$9,$O2560='112'!$I$6)),"x",""))</f>
        <v/>
      </c>
      <c r="W2560" s="75" t="str">
        <f>IF(AND('341-CT'!$H$9=H2560,OR(LEFT(N2560,3)=$W$7,LEFT(O2560,3)=$W$7)),"x","")</f>
        <v/>
      </c>
      <c r="X2560" s="75" t="str">
        <f>IF(OR(TH!N2560=TH!$X$7,O2560=TH!$X$7),"x","")</f>
        <v/>
      </c>
      <c r="Y2560" s="75" t="str">
        <f>IF(AND(OR(N2560="131",O2560="131"),H2560='131-CT'!$H$9),"x","")</f>
        <v/>
      </c>
      <c r="Z2560" s="75"/>
      <c r="AA2560" s="75" t="str">
        <f>IF(AND(MONTH(E2560)='IN-NX'!$J$5,'IN-NX'!$D$7=D2560),"x","")</f>
        <v/>
      </c>
      <c r="AB2560" s="75" t="str">
        <f>IF(AND(OR(LEFT(TH!N2560,2)="15",LEFT(TH!O2560,2)="15"),LEFT(TH!O2560,3)&lt;&gt;"111",'152-CT'!$J$8=TH!F2560),"x","")</f>
        <v/>
      </c>
      <c r="AC2560" s="75" t="str">
        <f>IF(AND(OR(LEFT(TH!N2560,2)="15",LEFT(TH!O2560,2)="15"),TK!$E$7=TH!F2560),"x","")</f>
        <v/>
      </c>
      <c r="AD2560" s="75" t="str">
        <f>IF(AND(N2560="1521",MONTH(C2560)='BK-NL'!$M$11),"x","")</f>
        <v/>
      </c>
    </row>
    <row r="2561" spans="1:30" s="1264" customFormat="1" ht="16.5" customHeight="1">
      <c r="A2561" s="309" t="str">
        <f>IF(B2561&lt;&gt;"",IF(AND(B2561='IN-TC'!$S$4,OR(TH!N2561="1111",TH!O2561="1111")),TH!D2561,""),"")</f>
        <v/>
      </c>
      <c r="B2561" s="1283">
        <f t="shared" si="875"/>
        <v>12</v>
      </c>
      <c r="C2561" s="929">
        <v>43089</v>
      </c>
      <c r="D2561" s="929" t="s">
        <v>903</v>
      </c>
      <c r="E2561" s="929">
        <f t="shared" si="899"/>
        <v>43089</v>
      </c>
      <c r="F2561" s="930" t="s">
        <v>1086</v>
      </c>
      <c r="G2561" s="930" t="s">
        <v>1713</v>
      </c>
      <c r="H2561" s="73" t="s">
        <v>759</v>
      </c>
      <c r="I2561" s="371"/>
      <c r="J2561" s="378"/>
      <c r="K2561" s="371">
        <v>244899.20000000001</v>
      </c>
      <c r="L2561" s="377">
        <v>22705</v>
      </c>
      <c r="M2561" s="1214">
        <f t="shared" si="900"/>
        <v>5560436336</v>
      </c>
      <c r="N2561" s="934" t="s">
        <v>256</v>
      </c>
      <c r="O2561" s="934" t="s">
        <v>536</v>
      </c>
      <c r="P2561" s="75" t="str">
        <f>IF(AND('331-CT'!$E$7=TH!H2561,OR(N2561="331",O2561="331")),"x","")</f>
        <v/>
      </c>
      <c r="Q2561" s="75" t="str">
        <f>IF(AND(B2561='111'!$L$11,OR($N2561=$Q$7,$O2561=$Q$7)),"x","")</f>
        <v/>
      </c>
      <c r="R2561" s="75" t="str">
        <f>IF(AND($N2561=$Q$7,$B2561&lt;'111'!$L$11),"x","")</f>
        <v/>
      </c>
      <c r="S2561" s="75" t="str">
        <f>IF(AND($O2561=$Q$7,$B2561&lt;'111'!$L$11),"x","")</f>
        <v/>
      </c>
      <c r="T2561" s="75" t="str">
        <f>IF(ISERROR(FIND('112'!$M$9,G2561,1)),"",IF((AND(FIND('112'!$M$9,G2561,1)&gt;=1,B2561='112'!$K$9,OR($N2561='112'!$I$6,$O2561='112'!$I$6))),"x",""))</f>
        <v/>
      </c>
      <c r="U2561" s="75" t="str">
        <f>IF(ISERROR(FIND('112'!$M$9,G2561,1)),"",IF((AND(LEFT(G2561,2)=LEFT('112'!$M$9,2),B2561&lt;'112'!$K$9,$N2561='112'!$I$6)),"x",""))</f>
        <v/>
      </c>
      <c r="V2561" s="75" t="str">
        <f>IF(ISERROR(FIND('112'!$M$9,G2561,1)),"",IF((AND(RIGHT(G2561,2)=RIGHT('112'!$M$9,2),B2561&lt;'112'!$K$9,$O2561='112'!$I$6)),"x",""))</f>
        <v/>
      </c>
      <c r="W2561" s="75" t="str">
        <f>IF(AND('341-CT'!$H$9=H2561,OR(LEFT(N2561,3)=$W$7,LEFT(O2561,3)=$W$7)),"x","")</f>
        <v/>
      </c>
      <c r="X2561" s="75" t="str">
        <f>IF(OR(TH!N2561=TH!$X$7,O2561=TH!$X$7),"x","")</f>
        <v/>
      </c>
      <c r="Y2561" s="75" t="str">
        <f>IF(AND(OR(N2561="131",O2561="131"),H2561='131-CT'!$H$9),"x","")</f>
        <v/>
      </c>
      <c r="Z2561" s="75"/>
      <c r="AA2561" s="75" t="str">
        <f>IF(AND(MONTH(E2561)='IN-NX'!$J$5,'IN-NX'!$D$7=D2561),"x","")</f>
        <v/>
      </c>
      <c r="AB2561" s="75" t="str">
        <f>IF(AND(OR(LEFT(TH!N2561,2)="15",LEFT(TH!O2561,2)="15"),LEFT(TH!O2561,3)&lt;&gt;"111",'152-CT'!$J$8=TH!F2561),"x","")</f>
        <v/>
      </c>
      <c r="AC2561" s="75" t="str">
        <f>IF(AND(OR(LEFT(TH!N2561,2)="15",LEFT(TH!O2561,2)="15"),TK!$E$7=TH!F2561),"x","")</f>
        <v/>
      </c>
      <c r="AD2561" s="75" t="str">
        <f>IF(AND(N2561="1521",MONTH(C2561)='BK-NL'!$M$11),"x","")</f>
        <v/>
      </c>
    </row>
    <row r="2562" spans="1:30" s="1264" customFormat="1" ht="16.5" customHeight="1">
      <c r="A2562" s="309" t="str">
        <f>IF(B2562&lt;&gt;"",IF(AND(B2562='IN-TC'!$S$4,OR(TH!N2562="1111",TH!O2562="1111")),TH!D2562,""),"")</f>
        <v/>
      </c>
      <c r="B2562" s="1283">
        <f t="shared" ref="B2562" si="901">IF(C2562&lt;&gt;"",MONTH(C2562),"")</f>
        <v>12</v>
      </c>
      <c r="C2562" s="929">
        <v>43089</v>
      </c>
      <c r="D2562" s="929" t="s">
        <v>530</v>
      </c>
      <c r="E2562" s="929">
        <f t="shared" ref="E2562" si="902">C2562</f>
        <v>43089</v>
      </c>
      <c r="F2562" s="930" t="s">
        <v>1010</v>
      </c>
      <c r="G2562" s="930" t="s">
        <v>1713</v>
      </c>
      <c r="H2562" s="73" t="s">
        <v>759</v>
      </c>
      <c r="I2562" s="371"/>
      <c r="J2562" s="378"/>
      <c r="K2562" s="371"/>
      <c r="L2562" s="377"/>
      <c r="M2562" s="74">
        <v>4897984</v>
      </c>
      <c r="N2562" s="934" t="s">
        <v>536</v>
      </c>
      <c r="O2562" s="934" t="s">
        <v>43</v>
      </c>
      <c r="P2562" s="75" t="str">
        <f>IF(AND('331-CT'!$E$7=TH!H2562,OR(N2562="331",O2562="331")),"x","")</f>
        <v/>
      </c>
      <c r="Q2562" s="75" t="str">
        <f>IF(AND(B2562='111'!$L$11,OR($N2562=$Q$7,$O2562=$Q$7)),"x","")</f>
        <v/>
      </c>
      <c r="R2562" s="75" t="str">
        <f>IF(AND($N2562=$Q$7,$B2562&lt;'111'!$L$11),"x","")</f>
        <v/>
      </c>
      <c r="S2562" s="75" t="str">
        <f>IF(AND($O2562=$Q$7,$B2562&lt;'111'!$L$11),"x","")</f>
        <v/>
      </c>
      <c r="T2562" s="75" t="str">
        <f>IF(ISERROR(FIND('112'!$M$9,G2562,1)),"",IF((AND(FIND('112'!$M$9,G2562,1)&gt;=1,B2562='112'!$K$9,OR($N2562='112'!$I$6,$O2562='112'!$I$6))),"x",""))</f>
        <v/>
      </c>
      <c r="U2562" s="75" t="str">
        <f>IF(ISERROR(FIND('112'!$M$9,G2562,1)),"",IF((AND(LEFT(G2562,2)=LEFT('112'!$M$9,2),B2562&lt;'112'!$K$9,$N2562='112'!$I$6)),"x",""))</f>
        <v/>
      </c>
      <c r="V2562" s="75" t="str">
        <f>IF(ISERROR(FIND('112'!$M$9,G2562,1)),"",IF((AND(RIGHT(G2562,2)=RIGHT('112'!$M$9,2),B2562&lt;'112'!$K$9,$O2562='112'!$I$6)),"x",""))</f>
        <v/>
      </c>
      <c r="W2562" s="75" t="str">
        <f>IF(AND('341-CT'!$H$9=H2562,OR(LEFT(N2562,3)=$W$7,LEFT(O2562,3)=$W$7)),"x","")</f>
        <v/>
      </c>
      <c r="X2562" s="75" t="str">
        <f>IF(OR(TH!N2562=TH!$X$7,O2562=TH!$X$7),"x","")</f>
        <v/>
      </c>
      <c r="Y2562" s="75" t="str">
        <f>IF(AND(OR(N2562="131",O2562="131"),H2562='131-CT'!$H$9),"x","")</f>
        <v/>
      </c>
      <c r="Z2562" s="75"/>
      <c r="AA2562" s="75" t="str">
        <f>IF(AND(MONTH(E2562)='IN-NX'!$J$5,'IN-NX'!$D$7=D2562),"x","")</f>
        <v/>
      </c>
      <c r="AB2562" s="75" t="str">
        <f>IF(AND(OR(LEFT(TH!N2562,2)="15",LEFT(TH!O2562,2)="15"),LEFT(TH!O2562,3)&lt;&gt;"111",'152-CT'!$J$8=TH!F2562),"x","")</f>
        <v/>
      </c>
      <c r="AC2562" s="75" t="str">
        <f>IF(AND(OR(LEFT(TH!N2562,2)="15",LEFT(TH!O2562,2)="15"),TK!$E$7=TH!F2562),"x","")</f>
        <v/>
      </c>
      <c r="AD2562" s="75" t="str">
        <f>IF(AND(N2562="1521",MONTH(C2562)='BK-NL'!$M$11),"x","")</f>
        <v/>
      </c>
    </row>
    <row r="2563" spans="1:30" s="1264" customFormat="1" ht="16.5" customHeight="1">
      <c r="A2563" s="309" t="str">
        <f>IF(B2563&lt;&gt;"",IF(AND(B2563='IN-TC'!$S$4,OR(TH!N2563="1111",TH!O2563="1111")),TH!D2563,""),"")</f>
        <v/>
      </c>
      <c r="B2563" s="1283">
        <f t="shared" ref="B2563" si="903">IF(C2563&lt;&gt;"",MONTH(C2563),"")</f>
        <v>12</v>
      </c>
      <c r="C2563" s="929">
        <v>43090</v>
      </c>
      <c r="D2563" s="929" t="s">
        <v>902</v>
      </c>
      <c r="E2563" s="929">
        <f t="shared" ref="E2563" si="904">C2563</f>
        <v>43090</v>
      </c>
      <c r="F2563" s="930" t="s">
        <v>919</v>
      </c>
      <c r="G2563" s="930" t="s">
        <v>1713</v>
      </c>
      <c r="H2563" s="73" t="s">
        <v>1771</v>
      </c>
      <c r="I2563" s="371"/>
      <c r="J2563" s="378"/>
      <c r="K2563" s="371">
        <v>48.52</v>
      </c>
      <c r="L2563" s="377">
        <v>22705</v>
      </c>
      <c r="M2563" s="74">
        <f t="shared" ref="M2563:M2565" si="905">ROUND(K2563*L2563,0)</f>
        <v>1101647</v>
      </c>
      <c r="N2563" s="934" t="s">
        <v>101</v>
      </c>
      <c r="O2563" s="934" t="s">
        <v>256</v>
      </c>
      <c r="P2563" s="75" t="str">
        <f>IF(AND('331-CT'!$E$7=TH!H2563,OR(N2563="331",O2563="331")),"x","")</f>
        <v/>
      </c>
      <c r="Q2563" s="75" t="str">
        <f>IF(AND(B2563='111'!$L$11,OR($N2563=$Q$7,$O2563=$Q$7)),"x","")</f>
        <v/>
      </c>
      <c r="R2563" s="75" t="str">
        <f>IF(AND($N2563=$Q$7,$B2563&lt;'111'!$L$11),"x","")</f>
        <v/>
      </c>
      <c r="S2563" s="75" t="str">
        <f>IF(AND($O2563=$Q$7,$B2563&lt;'111'!$L$11),"x","")</f>
        <v/>
      </c>
      <c r="T2563" s="75" t="str">
        <f>IF(ISERROR(FIND('112'!$M$9,G2563,1)),"",IF((AND(FIND('112'!$M$9,G2563,1)&gt;=1,B2563='112'!$K$9,OR($N2563='112'!$I$6,$O2563='112'!$I$6))),"x",""))</f>
        <v/>
      </c>
      <c r="U2563" s="75" t="str">
        <f>IF(ISERROR(FIND('112'!$M$9,G2563,1)),"",IF((AND(LEFT(G2563,2)=LEFT('112'!$M$9,2),B2563&lt;'112'!$K$9,$N2563='112'!$I$6)),"x",""))</f>
        <v/>
      </c>
      <c r="V2563" s="75" t="str">
        <f>IF(ISERROR(FIND('112'!$M$9,G2563,1)),"",IF((AND(RIGHT(G2563,2)=RIGHT('112'!$M$9,2),B2563&lt;'112'!$K$9,$O2563='112'!$I$6)),"x",""))</f>
        <v/>
      </c>
      <c r="W2563" s="75" t="str">
        <f>IF(AND('341-CT'!$H$9=H2563,OR(LEFT(N2563,3)=$W$7,LEFT(O2563,3)=$W$7)),"x","")</f>
        <v/>
      </c>
      <c r="X2563" s="75" t="str">
        <f>IF(OR(TH!N2563=TH!$X$7,O2563=TH!$X$7),"x","")</f>
        <v/>
      </c>
      <c r="Y2563" s="75" t="str">
        <f>IF(AND(OR(N2563="131",O2563="131"),H2563='131-CT'!$H$9),"x","")</f>
        <v/>
      </c>
      <c r="Z2563" s="75"/>
      <c r="AA2563" s="75" t="str">
        <f>IF(AND(MONTH(E2563)='IN-NX'!$J$5,'IN-NX'!$D$7=D2563),"x","")</f>
        <v/>
      </c>
      <c r="AB2563" s="75" t="str">
        <f>IF(AND(OR(LEFT(TH!N2563,2)="15",LEFT(TH!O2563,2)="15"),LEFT(TH!O2563,3)&lt;&gt;"111",'152-CT'!$J$8=TH!F2563),"x","")</f>
        <v/>
      </c>
      <c r="AC2563" s="75" t="str">
        <f>IF(AND(OR(LEFT(TH!N2563,2)="15",LEFT(TH!O2563,2)="15"),TK!$E$7=TH!F2563),"x","")</f>
        <v/>
      </c>
      <c r="AD2563" s="75" t="str">
        <f>IF(AND(N2563="1521",MONTH(C2563)='BK-NL'!$M$11),"x","")</f>
        <v/>
      </c>
    </row>
    <row r="2564" spans="1:30" s="1264" customFormat="1" ht="16.5" customHeight="1">
      <c r="A2564" s="309" t="str">
        <f>IF(B2564&lt;&gt;"",IF(AND(B2564='IN-TC'!$S$4,OR(TH!N2564="1111",TH!O2564="1111")),TH!D2564,""),"")</f>
        <v/>
      </c>
      <c r="B2564" s="1283">
        <f t="shared" ref="B2564:B2565" si="906">IF(C2564&lt;&gt;"",MONTH(C2564),"")</f>
        <v>12</v>
      </c>
      <c r="C2564" s="929">
        <v>43090</v>
      </c>
      <c r="D2564" s="929" t="s">
        <v>902</v>
      </c>
      <c r="E2564" s="929">
        <f t="shared" ref="E2564:E2565" si="907">C2564</f>
        <v>43090</v>
      </c>
      <c r="F2564" s="930" t="s">
        <v>1321</v>
      </c>
      <c r="G2564" s="930" t="s">
        <v>1713</v>
      </c>
      <c r="H2564" s="73" t="s">
        <v>2915</v>
      </c>
      <c r="I2564" s="371"/>
      <c r="J2564" s="378"/>
      <c r="K2564" s="371">
        <v>88350</v>
      </c>
      <c r="L2564" s="377">
        <v>22705</v>
      </c>
      <c r="M2564" s="74">
        <f t="shared" si="905"/>
        <v>2005986750</v>
      </c>
      <c r="N2564" s="934" t="s">
        <v>250</v>
      </c>
      <c r="O2564" s="934" t="s">
        <v>256</v>
      </c>
      <c r="P2564" s="75" t="str">
        <f>IF(AND('331-CT'!$E$7=TH!H2564,OR(N2564="331",O2564="331")),"x","")</f>
        <v/>
      </c>
      <c r="Q2564" s="75" t="str">
        <f>IF(AND(B2564='111'!$L$11,OR($N2564=$Q$7,$O2564=$Q$7)),"x","")</f>
        <v/>
      </c>
      <c r="R2564" s="75" t="str">
        <f>IF(AND($N2564=$Q$7,$B2564&lt;'111'!$L$11),"x","")</f>
        <v/>
      </c>
      <c r="S2564" s="75" t="str">
        <f>IF(AND($O2564=$Q$7,$B2564&lt;'111'!$L$11),"x","")</f>
        <v/>
      </c>
      <c r="T2564" s="75" t="str">
        <f>IF(ISERROR(FIND('112'!$M$9,G2564,1)),"",IF((AND(FIND('112'!$M$9,G2564,1)&gt;=1,B2564='112'!$K$9,OR($N2564='112'!$I$6,$O2564='112'!$I$6))),"x",""))</f>
        <v/>
      </c>
      <c r="U2564" s="75" t="str">
        <f>IF(ISERROR(FIND('112'!$M$9,G2564,1)),"",IF((AND(LEFT(G2564,2)=LEFT('112'!$M$9,2),B2564&lt;'112'!$K$9,$N2564='112'!$I$6)),"x",""))</f>
        <v/>
      </c>
      <c r="V2564" s="75" t="str">
        <f>IF(ISERROR(FIND('112'!$M$9,G2564,1)),"",IF((AND(RIGHT(G2564,2)=RIGHT('112'!$M$9,2),B2564&lt;'112'!$K$9,$O2564='112'!$I$6)),"x",""))</f>
        <v/>
      </c>
      <c r="W2564" s="75" t="str">
        <f>IF(AND('341-CT'!$H$9=H2564,OR(LEFT(N2564,3)=$W$7,LEFT(O2564,3)=$W$7)),"x","")</f>
        <v/>
      </c>
      <c r="X2564" s="75" t="str">
        <f>IF(OR(TH!N2564=TH!$X$7,O2564=TH!$X$7),"x","")</f>
        <v/>
      </c>
      <c r="Y2564" s="75" t="str">
        <f>IF(AND(OR(N2564="131",O2564="131"),H2564='131-CT'!$H$9),"x","")</f>
        <v/>
      </c>
      <c r="Z2564" s="75"/>
      <c r="AA2564" s="75" t="str">
        <f>IF(AND(MONTH(E2564)='IN-NX'!$J$5,'IN-NX'!$D$7=D2564),"x","")</f>
        <v/>
      </c>
      <c r="AB2564" s="75" t="str">
        <f>IF(AND(OR(LEFT(TH!N2564,2)="15",LEFT(TH!O2564,2)="15"),LEFT(TH!O2564,3)&lt;&gt;"111",'152-CT'!$J$8=TH!F2564),"x","")</f>
        <v/>
      </c>
      <c r="AC2564" s="75" t="str">
        <f>IF(AND(OR(LEFT(TH!N2564,2)="15",LEFT(TH!O2564,2)="15"),TK!$E$7=TH!F2564),"x","")</f>
        <v/>
      </c>
      <c r="AD2564" s="75" t="str">
        <f>IF(AND(N2564="1521",MONTH(C2564)='BK-NL'!$M$11),"x","")</f>
        <v/>
      </c>
    </row>
    <row r="2565" spans="1:30" s="1264" customFormat="1" ht="16.5" customHeight="1">
      <c r="A2565" s="309" t="str">
        <f>IF(B2565&lt;&gt;"",IF(AND(B2565='IN-TC'!$S$4,OR(TH!N2565="1111",TH!O2565="1111")),TH!D2565,""),"")</f>
        <v/>
      </c>
      <c r="B2565" s="1283">
        <f t="shared" si="906"/>
        <v>12</v>
      </c>
      <c r="C2565" s="929">
        <v>43090</v>
      </c>
      <c r="D2565" s="929" t="s">
        <v>902</v>
      </c>
      <c r="E2565" s="929">
        <f t="shared" si="907"/>
        <v>43090</v>
      </c>
      <c r="F2565" s="930" t="s">
        <v>1096</v>
      </c>
      <c r="G2565" s="930" t="s">
        <v>1713</v>
      </c>
      <c r="H2565" s="73" t="s">
        <v>2407</v>
      </c>
      <c r="I2565" s="371"/>
      <c r="J2565" s="378"/>
      <c r="K2565" s="371">
        <v>866.7</v>
      </c>
      <c r="L2565" s="377">
        <v>22705</v>
      </c>
      <c r="M2565" s="74">
        <f t="shared" si="905"/>
        <v>19678424</v>
      </c>
      <c r="N2565" s="934" t="s">
        <v>99</v>
      </c>
      <c r="O2565" s="934" t="s">
        <v>256</v>
      </c>
      <c r="P2565" s="75" t="str">
        <f>IF(AND('331-CT'!$E$7=TH!H2565,OR(N2565="331",O2565="331")),"x","")</f>
        <v/>
      </c>
      <c r="Q2565" s="75" t="str">
        <f>IF(AND(B2565='111'!$L$11,OR($N2565=$Q$7,$O2565=$Q$7)),"x","")</f>
        <v/>
      </c>
      <c r="R2565" s="75" t="str">
        <f>IF(AND($N2565=$Q$7,$B2565&lt;'111'!$L$11),"x","")</f>
        <v/>
      </c>
      <c r="S2565" s="75" t="str">
        <f>IF(AND($O2565=$Q$7,$B2565&lt;'111'!$L$11),"x","")</f>
        <v/>
      </c>
      <c r="T2565" s="75" t="str">
        <f>IF(ISERROR(FIND('112'!$M$9,G2565,1)),"",IF((AND(FIND('112'!$M$9,G2565,1)&gt;=1,B2565='112'!$K$9,OR($N2565='112'!$I$6,$O2565='112'!$I$6))),"x",""))</f>
        <v/>
      </c>
      <c r="U2565" s="75" t="str">
        <f>IF(ISERROR(FIND('112'!$M$9,G2565,1)),"",IF((AND(LEFT(G2565,2)=LEFT('112'!$M$9,2),B2565&lt;'112'!$K$9,$N2565='112'!$I$6)),"x",""))</f>
        <v/>
      </c>
      <c r="V2565" s="75" t="str">
        <f>IF(ISERROR(FIND('112'!$M$9,G2565,1)),"",IF((AND(RIGHT(G2565,2)=RIGHT('112'!$M$9,2),B2565&lt;'112'!$K$9,$O2565='112'!$I$6)),"x",""))</f>
        <v/>
      </c>
      <c r="W2565" s="75" t="str">
        <f>IF(AND('341-CT'!$H$9=H2565,OR(LEFT(N2565,3)=$W$7,LEFT(O2565,3)=$W$7)),"x","")</f>
        <v/>
      </c>
      <c r="X2565" s="75" t="str">
        <f>IF(OR(TH!N2565=TH!$X$7,O2565=TH!$X$7),"x","")</f>
        <v/>
      </c>
      <c r="Y2565" s="75" t="str">
        <f>IF(AND(OR(N2565="131",O2565="131"),H2565='131-CT'!$H$9),"x","")</f>
        <v/>
      </c>
      <c r="Z2565" s="75"/>
      <c r="AA2565" s="75" t="str">
        <f>IF(AND(MONTH(E2565)='IN-NX'!$J$5,'IN-NX'!$D$7=D2565),"x","")</f>
        <v/>
      </c>
      <c r="AB2565" s="75" t="str">
        <f>IF(AND(OR(LEFT(TH!N2565,2)="15",LEFT(TH!O2565,2)="15"),LEFT(TH!O2565,3)&lt;&gt;"111",'152-CT'!$J$8=TH!F2565),"x","")</f>
        <v/>
      </c>
      <c r="AC2565" s="75" t="str">
        <f>IF(AND(OR(LEFT(TH!N2565,2)="15",LEFT(TH!O2565,2)="15"),TK!$E$7=TH!F2565),"x","")</f>
        <v/>
      </c>
      <c r="AD2565" s="75" t="str">
        <f>IF(AND(N2565="1521",MONTH(C2565)='BK-NL'!$M$11),"x","")</f>
        <v/>
      </c>
    </row>
    <row r="2566" spans="1:30" s="1264" customFormat="1" ht="16.5" customHeight="1">
      <c r="A2566" s="309" t="str">
        <f>IF(B2566&lt;&gt;"",IF(AND(B2566='IN-TC'!$S$4,OR(TH!N2566="1111",TH!O2566="1111")),TH!D2566,""),"")</f>
        <v/>
      </c>
      <c r="B2566" s="1283">
        <f t="shared" ref="B2566" si="908">IF(C2566&lt;&gt;"",MONTH(C2566),"")</f>
        <v>12</v>
      </c>
      <c r="C2566" s="929">
        <v>43090</v>
      </c>
      <c r="D2566" s="929" t="s">
        <v>530</v>
      </c>
      <c r="E2566" s="929">
        <f t="shared" ref="E2566" si="909">C2566</f>
        <v>43090</v>
      </c>
      <c r="F2566" s="930" t="s">
        <v>1010</v>
      </c>
      <c r="G2566" s="930" t="s">
        <v>1713</v>
      </c>
      <c r="H2566" s="73" t="s">
        <v>2915</v>
      </c>
      <c r="I2566" s="371"/>
      <c r="J2566" s="378"/>
      <c r="K2566" s="371"/>
      <c r="L2566" s="377"/>
      <c r="M2566" s="74">
        <v>6934400</v>
      </c>
      <c r="N2566" s="934" t="s">
        <v>250</v>
      </c>
      <c r="O2566" s="934" t="s">
        <v>43</v>
      </c>
      <c r="P2566" s="75" t="str">
        <f>IF(AND('331-CT'!$E$7=TH!H2566,OR(N2566="331",O2566="331")),"x","")</f>
        <v/>
      </c>
      <c r="Q2566" s="75" t="str">
        <f>IF(AND(B2566='111'!$L$11,OR($N2566=$Q$7,$O2566=$Q$7)),"x","")</f>
        <v/>
      </c>
      <c r="R2566" s="75" t="str">
        <f>IF(AND($N2566=$Q$7,$B2566&lt;'111'!$L$11),"x","")</f>
        <v/>
      </c>
      <c r="S2566" s="75" t="str">
        <f>IF(AND($O2566=$Q$7,$B2566&lt;'111'!$L$11),"x","")</f>
        <v/>
      </c>
      <c r="T2566" s="75" t="str">
        <f>IF(ISERROR(FIND('112'!$M$9,G2566,1)),"",IF((AND(FIND('112'!$M$9,G2566,1)&gt;=1,B2566='112'!$K$9,OR($N2566='112'!$I$6,$O2566='112'!$I$6))),"x",""))</f>
        <v/>
      </c>
      <c r="U2566" s="75" t="str">
        <f>IF(ISERROR(FIND('112'!$M$9,G2566,1)),"",IF((AND(LEFT(G2566,2)=LEFT('112'!$M$9,2),B2566&lt;'112'!$K$9,$N2566='112'!$I$6)),"x",""))</f>
        <v/>
      </c>
      <c r="V2566" s="75" t="str">
        <f>IF(ISERROR(FIND('112'!$M$9,G2566,1)),"",IF((AND(RIGHT(G2566,2)=RIGHT('112'!$M$9,2),B2566&lt;'112'!$K$9,$O2566='112'!$I$6)),"x",""))</f>
        <v/>
      </c>
      <c r="W2566" s="75" t="str">
        <f>IF(AND('341-CT'!$H$9=H2566,OR(LEFT(N2566,3)=$W$7,LEFT(O2566,3)=$W$7)),"x","")</f>
        <v/>
      </c>
      <c r="X2566" s="75" t="str">
        <f>IF(OR(TH!N2566=TH!$X$7,O2566=TH!$X$7),"x","")</f>
        <v/>
      </c>
      <c r="Y2566" s="75" t="str">
        <f>IF(AND(OR(N2566="131",O2566="131"),H2566='131-CT'!$H$9),"x","")</f>
        <v/>
      </c>
      <c r="Z2566" s="75"/>
      <c r="AA2566" s="75" t="str">
        <f>IF(AND(MONTH(E2566)='IN-NX'!$J$5,'IN-NX'!$D$7=D2566),"x","")</f>
        <v/>
      </c>
      <c r="AB2566" s="75" t="str">
        <f>IF(AND(OR(LEFT(TH!N2566,2)="15",LEFT(TH!O2566,2)="15"),LEFT(TH!O2566,3)&lt;&gt;"111",'152-CT'!$J$8=TH!F2566),"x","")</f>
        <v/>
      </c>
      <c r="AC2566" s="75" t="str">
        <f>IF(AND(OR(LEFT(TH!N2566,2)="15",LEFT(TH!O2566,2)="15"),TK!$E$7=TH!F2566),"x","")</f>
        <v/>
      </c>
      <c r="AD2566" s="75" t="str">
        <f>IF(AND(N2566="1521",MONTH(C2566)='BK-NL'!$M$11),"x","")</f>
        <v/>
      </c>
    </row>
    <row r="2567" spans="1:30" s="1264" customFormat="1" ht="16.5" customHeight="1">
      <c r="A2567" s="309" t="str">
        <f>IF(B2567&lt;&gt;"",IF(AND(B2567='IN-TC'!$S$4,OR(TH!N2567="1111",TH!O2567="1111")),TH!D2567,""),"")</f>
        <v/>
      </c>
      <c r="B2567" s="1283">
        <f t="shared" ref="B2567:B2570" si="910">IF(C2567&lt;&gt;"",MONTH(C2567),"")</f>
        <v>12</v>
      </c>
      <c r="C2567" s="929">
        <v>43092</v>
      </c>
      <c r="D2567" s="929" t="s">
        <v>902</v>
      </c>
      <c r="E2567" s="929">
        <f t="shared" ref="E2567:E2570" si="911">C2567</f>
        <v>43092</v>
      </c>
      <c r="F2567" s="930" t="s">
        <v>1096</v>
      </c>
      <c r="G2567" s="930" t="s">
        <v>1713</v>
      </c>
      <c r="H2567" s="73" t="s">
        <v>2779</v>
      </c>
      <c r="I2567" s="371"/>
      <c r="J2567" s="378"/>
      <c r="K2567" s="371">
        <v>819.85</v>
      </c>
      <c r="L2567" s="377">
        <v>22705</v>
      </c>
      <c r="M2567" s="74">
        <f t="shared" ref="M2567:M2576" si="912">ROUND(K2567*L2567,0)</f>
        <v>18614694</v>
      </c>
      <c r="N2567" s="934" t="s">
        <v>99</v>
      </c>
      <c r="O2567" s="934" t="s">
        <v>256</v>
      </c>
      <c r="P2567" s="75" t="str">
        <f>IF(AND('331-CT'!$E$7=TH!H2567,OR(N2567="331",O2567="331")),"x","")</f>
        <v/>
      </c>
      <c r="Q2567" s="75" t="str">
        <f>IF(AND(B2567='111'!$L$11,OR($N2567=$Q$7,$O2567=$Q$7)),"x","")</f>
        <v/>
      </c>
      <c r="R2567" s="75" t="str">
        <f>IF(AND($N2567=$Q$7,$B2567&lt;'111'!$L$11),"x","")</f>
        <v/>
      </c>
      <c r="S2567" s="75" t="str">
        <f>IF(AND($O2567=$Q$7,$B2567&lt;'111'!$L$11),"x","")</f>
        <v/>
      </c>
      <c r="T2567" s="75" t="str">
        <f>IF(ISERROR(FIND('112'!$M$9,G2567,1)),"",IF((AND(FIND('112'!$M$9,G2567,1)&gt;=1,B2567='112'!$K$9,OR($N2567='112'!$I$6,$O2567='112'!$I$6))),"x",""))</f>
        <v/>
      </c>
      <c r="U2567" s="75" t="str">
        <f>IF(ISERROR(FIND('112'!$M$9,G2567,1)),"",IF((AND(LEFT(G2567,2)=LEFT('112'!$M$9,2),B2567&lt;'112'!$K$9,$N2567='112'!$I$6)),"x",""))</f>
        <v/>
      </c>
      <c r="V2567" s="75" t="str">
        <f>IF(ISERROR(FIND('112'!$M$9,G2567,1)),"",IF((AND(RIGHT(G2567,2)=RIGHT('112'!$M$9,2),B2567&lt;'112'!$K$9,$O2567='112'!$I$6)),"x",""))</f>
        <v/>
      </c>
      <c r="W2567" s="75" t="str">
        <f>IF(AND('341-CT'!$H$9=H2567,OR(LEFT(N2567,3)=$W$7,LEFT(O2567,3)=$W$7)),"x","")</f>
        <v/>
      </c>
      <c r="X2567" s="75" t="str">
        <f>IF(OR(TH!N2567=TH!$X$7,O2567=TH!$X$7),"x","")</f>
        <v/>
      </c>
      <c r="Y2567" s="75" t="str">
        <f>IF(AND(OR(N2567="131",O2567="131"),H2567='131-CT'!$H$9),"x","")</f>
        <v/>
      </c>
      <c r="Z2567" s="75"/>
      <c r="AA2567" s="75" t="str">
        <f>IF(AND(MONTH(E2567)='IN-NX'!$J$5,'IN-NX'!$D$7=D2567),"x","")</f>
        <v/>
      </c>
      <c r="AB2567" s="75" t="str">
        <f>IF(AND(OR(LEFT(TH!N2567,2)="15",LEFT(TH!O2567,2)="15"),LEFT(TH!O2567,3)&lt;&gt;"111",'152-CT'!$J$8=TH!F2567),"x","")</f>
        <v/>
      </c>
      <c r="AC2567" s="75" t="str">
        <f>IF(AND(OR(LEFT(TH!N2567,2)="15",LEFT(TH!O2567,2)="15"),TK!$E$7=TH!F2567),"x","")</f>
        <v/>
      </c>
      <c r="AD2567" s="75" t="str">
        <f>IF(AND(N2567="1521",MONTH(C2567)='BK-NL'!$M$11),"x","")</f>
        <v/>
      </c>
    </row>
    <row r="2568" spans="1:30" s="1264" customFormat="1" ht="16.5" customHeight="1">
      <c r="A2568" s="309" t="str">
        <f>IF(B2568&lt;&gt;"",IF(AND(B2568='IN-TC'!$S$4,OR(TH!N2568="1111",TH!O2568="1111")),TH!D2568,""),"")</f>
        <v/>
      </c>
      <c r="B2568" s="1283">
        <f t="shared" si="910"/>
        <v>12</v>
      </c>
      <c r="C2568" s="929">
        <v>43092</v>
      </c>
      <c r="D2568" s="929" t="s">
        <v>902</v>
      </c>
      <c r="E2568" s="929">
        <f t="shared" si="911"/>
        <v>43092</v>
      </c>
      <c r="F2568" s="930" t="s">
        <v>1096</v>
      </c>
      <c r="G2568" s="930" t="s">
        <v>1713</v>
      </c>
      <c r="H2568" s="73" t="s">
        <v>2780</v>
      </c>
      <c r="I2568" s="371"/>
      <c r="J2568" s="378"/>
      <c r="K2568" s="371">
        <v>897.69</v>
      </c>
      <c r="L2568" s="377">
        <v>22705</v>
      </c>
      <c r="M2568" s="74">
        <f t="shared" si="912"/>
        <v>20382051</v>
      </c>
      <c r="N2568" s="934" t="s">
        <v>99</v>
      </c>
      <c r="O2568" s="934" t="s">
        <v>256</v>
      </c>
      <c r="P2568" s="75" t="str">
        <f>IF(AND('331-CT'!$E$7=TH!H2568,OR(N2568="331",O2568="331")),"x","")</f>
        <v/>
      </c>
      <c r="Q2568" s="75" t="str">
        <f>IF(AND(B2568='111'!$L$11,OR($N2568=$Q$7,$O2568=$Q$7)),"x","")</f>
        <v/>
      </c>
      <c r="R2568" s="75" t="str">
        <f>IF(AND($N2568=$Q$7,$B2568&lt;'111'!$L$11),"x","")</f>
        <v/>
      </c>
      <c r="S2568" s="75" t="str">
        <f>IF(AND($O2568=$Q$7,$B2568&lt;'111'!$L$11),"x","")</f>
        <v/>
      </c>
      <c r="T2568" s="75" t="str">
        <f>IF(ISERROR(FIND('112'!$M$9,G2568,1)),"",IF((AND(FIND('112'!$M$9,G2568,1)&gt;=1,B2568='112'!$K$9,OR($N2568='112'!$I$6,$O2568='112'!$I$6))),"x",""))</f>
        <v/>
      </c>
      <c r="U2568" s="75" t="str">
        <f>IF(ISERROR(FIND('112'!$M$9,G2568,1)),"",IF((AND(LEFT(G2568,2)=LEFT('112'!$M$9,2),B2568&lt;'112'!$K$9,$N2568='112'!$I$6)),"x",""))</f>
        <v/>
      </c>
      <c r="V2568" s="75" t="str">
        <f>IF(ISERROR(FIND('112'!$M$9,G2568,1)),"",IF((AND(RIGHT(G2568,2)=RIGHT('112'!$M$9,2),B2568&lt;'112'!$K$9,$O2568='112'!$I$6)),"x",""))</f>
        <v/>
      </c>
      <c r="W2568" s="75" t="str">
        <f>IF(AND('341-CT'!$H$9=H2568,OR(LEFT(N2568,3)=$W$7,LEFT(O2568,3)=$W$7)),"x","")</f>
        <v/>
      </c>
      <c r="X2568" s="75" t="str">
        <f>IF(OR(TH!N2568=TH!$X$7,O2568=TH!$X$7),"x","")</f>
        <v/>
      </c>
      <c r="Y2568" s="75" t="str">
        <f>IF(AND(OR(N2568="131",O2568="131"),H2568='131-CT'!$H$9),"x","")</f>
        <v/>
      </c>
      <c r="Z2568" s="75"/>
      <c r="AA2568" s="75" t="str">
        <f>IF(AND(MONTH(E2568)='IN-NX'!$J$5,'IN-NX'!$D$7=D2568),"x","")</f>
        <v/>
      </c>
      <c r="AB2568" s="75" t="str">
        <f>IF(AND(OR(LEFT(TH!N2568,2)="15",LEFT(TH!O2568,2)="15"),LEFT(TH!O2568,3)&lt;&gt;"111",'152-CT'!$J$8=TH!F2568),"x","")</f>
        <v/>
      </c>
      <c r="AC2568" s="75" t="str">
        <f>IF(AND(OR(LEFT(TH!N2568,2)="15",LEFT(TH!O2568,2)="15"),TK!$E$7=TH!F2568),"x","")</f>
        <v/>
      </c>
      <c r="AD2568" s="75" t="str">
        <f>IF(AND(N2568="1521",MONTH(C2568)='BK-NL'!$M$11),"x","")</f>
        <v/>
      </c>
    </row>
    <row r="2569" spans="1:30" s="1264" customFormat="1" ht="16.5" customHeight="1">
      <c r="A2569" s="309" t="str">
        <f>IF(B2569&lt;&gt;"",IF(AND(B2569='IN-TC'!$S$4,OR(TH!N2569="1111",TH!O2569="1111")),TH!D2569,""),"")</f>
        <v/>
      </c>
      <c r="B2569" s="1283">
        <f t="shared" si="910"/>
        <v>12</v>
      </c>
      <c r="C2569" s="929">
        <v>43092</v>
      </c>
      <c r="D2569" s="929" t="s">
        <v>902</v>
      </c>
      <c r="E2569" s="929">
        <f t="shared" si="911"/>
        <v>43092</v>
      </c>
      <c r="F2569" s="930" t="s">
        <v>1096</v>
      </c>
      <c r="G2569" s="930" t="s">
        <v>1713</v>
      </c>
      <c r="H2569" s="73" t="s">
        <v>2781</v>
      </c>
      <c r="I2569" s="371"/>
      <c r="J2569" s="378"/>
      <c r="K2569" s="371">
        <v>830.95</v>
      </c>
      <c r="L2569" s="377">
        <v>22705</v>
      </c>
      <c r="M2569" s="74">
        <f t="shared" si="912"/>
        <v>18866720</v>
      </c>
      <c r="N2569" s="934" t="s">
        <v>99</v>
      </c>
      <c r="O2569" s="934" t="s">
        <v>256</v>
      </c>
      <c r="P2569" s="75" t="str">
        <f>IF(AND('331-CT'!$E$7=TH!H2569,OR(N2569="331",O2569="331")),"x","")</f>
        <v/>
      </c>
      <c r="Q2569" s="75" t="str">
        <f>IF(AND(B2569='111'!$L$11,OR($N2569=$Q$7,$O2569=$Q$7)),"x","")</f>
        <v/>
      </c>
      <c r="R2569" s="75" t="str">
        <f>IF(AND($N2569=$Q$7,$B2569&lt;'111'!$L$11),"x","")</f>
        <v/>
      </c>
      <c r="S2569" s="75" t="str">
        <f>IF(AND($O2569=$Q$7,$B2569&lt;'111'!$L$11),"x","")</f>
        <v/>
      </c>
      <c r="T2569" s="75" t="str">
        <f>IF(ISERROR(FIND('112'!$M$9,G2569,1)),"",IF((AND(FIND('112'!$M$9,G2569,1)&gt;=1,B2569='112'!$K$9,OR($N2569='112'!$I$6,$O2569='112'!$I$6))),"x",""))</f>
        <v/>
      </c>
      <c r="U2569" s="75" t="str">
        <f>IF(ISERROR(FIND('112'!$M$9,G2569,1)),"",IF((AND(LEFT(G2569,2)=LEFT('112'!$M$9,2),B2569&lt;'112'!$K$9,$N2569='112'!$I$6)),"x",""))</f>
        <v/>
      </c>
      <c r="V2569" s="75" t="str">
        <f>IF(ISERROR(FIND('112'!$M$9,G2569,1)),"",IF((AND(RIGHT(G2569,2)=RIGHT('112'!$M$9,2),B2569&lt;'112'!$K$9,$O2569='112'!$I$6)),"x",""))</f>
        <v/>
      </c>
      <c r="W2569" s="75" t="str">
        <f>IF(AND('341-CT'!$H$9=H2569,OR(LEFT(N2569,3)=$W$7,LEFT(O2569,3)=$W$7)),"x","")</f>
        <v/>
      </c>
      <c r="X2569" s="75" t="str">
        <f>IF(OR(TH!N2569=TH!$X$7,O2569=TH!$X$7),"x","")</f>
        <v/>
      </c>
      <c r="Y2569" s="75" t="str">
        <f>IF(AND(OR(N2569="131",O2569="131"),H2569='131-CT'!$H$9),"x","")</f>
        <v/>
      </c>
      <c r="Z2569" s="75"/>
      <c r="AA2569" s="75" t="str">
        <f>IF(AND(MONTH(E2569)='IN-NX'!$J$5,'IN-NX'!$D$7=D2569),"x","")</f>
        <v/>
      </c>
      <c r="AB2569" s="75" t="str">
        <f>IF(AND(OR(LEFT(TH!N2569,2)="15",LEFT(TH!O2569,2)="15"),LEFT(TH!O2569,3)&lt;&gt;"111",'152-CT'!$J$8=TH!F2569),"x","")</f>
        <v/>
      </c>
      <c r="AC2569" s="75" t="str">
        <f>IF(AND(OR(LEFT(TH!N2569,2)="15",LEFT(TH!O2569,2)="15"),TK!$E$7=TH!F2569),"x","")</f>
        <v/>
      </c>
      <c r="AD2569" s="75" t="str">
        <f>IF(AND(N2569="1521",MONTH(C2569)='BK-NL'!$M$11),"x","")</f>
        <v/>
      </c>
    </row>
    <row r="2570" spans="1:30" s="1264" customFormat="1" ht="16.5" customHeight="1">
      <c r="A2570" s="309" t="str">
        <f>IF(B2570&lt;&gt;"",IF(AND(B2570='IN-TC'!$S$4,OR(TH!N2570="1111",TH!O2570="1111")),TH!D2570,""),"")</f>
        <v/>
      </c>
      <c r="B2570" s="1283">
        <f t="shared" si="910"/>
        <v>12</v>
      </c>
      <c r="C2570" s="929">
        <v>43092</v>
      </c>
      <c r="D2570" s="929" t="s">
        <v>902</v>
      </c>
      <c r="E2570" s="929">
        <f t="shared" si="911"/>
        <v>43092</v>
      </c>
      <c r="F2570" s="930" t="s">
        <v>1096</v>
      </c>
      <c r="G2570" s="930" t="s">
        <v>1713</v>
      </c>
      <c r="H2570" s="73" t="s">
        <v>2782</v>
      </c>
      <c r="I2570" s="371"/>
      <c r="J2570" s="378"/>
      <c r="K2570" s="371">
        <v>1579.45</v>
      </c>
      <c r="L2570" s="377">
        <v>22705</v>
      </c>
      <c r="M2570" s="74">
        <f t="shared" si="912"/>
        <v>35861412</v>
      </c>
      <c r="N2570" s="934" t="s">
        <v>99</v>
      </c>
      <c r="O2570" s="934" t="s">
        <v>256</v>
      </c>
      <c r="P2570" s="75" t="str">
        <f>IF(AND('331-CT'!$E$7=TH!H2570,OR(N2570="331",O2570="331")),"x","")</f>
        <v/>
      </c>
      <c r="Q2570" s="75" t="str">
        <f>IF(AND(B2570='111'!$L$11,OR($N2570=$Q$7,$O2570=$Q$7)),"x","")</f>
        <v/>
      </c>
      <c r="R2570" s="75" t="str">
        <f>IF(AND($N2570=$Q$7,$B2570&lt;'111'!$L$11),"x","")</f>
        <v/>
      </c>
      <c r="S2570" s="75" t="str">
        <f>IF(AND($O2570=$Q$7,$B2570&lt;'111'!$L$11),"x","")</f>
        <v/>
      </c>
      <c r="T2570" s="75" t="str">
        <f>IF(ISERROR(FIND('112'!$M$9,G2570,1)),"",IF((AND(FIND('112'!$M$9,G2570,1)&gt;=1,B2570='112'!$K$9,OR($N2570='112'!$I$6,$O2570='112'!$I$6))),"x",""))</f>
        <v/>
      </c>
      <c r="U2570" s="75" t="str">
        <f>IF(ISERROR(FIND('112'!$M$9,G2570,1)),"",IF((AND(LEFT(G2570,2)=LEFT('112'!$M$9,2),B2570&lt;'112'!$K$9,$N2570='112'!$I$6)),"x",""))</f>
        <v/>
      </c>
      <c r="V2570" s="75" t="str">
        <f>IF(ISERROR(FIND('112'!$M$9,G2570,1)),"",IF((AND(RIGHT(G2570,2)=RIGHT('112'!$M$9,2),B2570&lt;'112'!$K$9,$O2570='112'!$I$6)),"x",""))</f>
        <v/>
      </c>
      <c r="W2570" s="75" t="str">
        <f>IF(AND('341-CT'!$H$9=H2570,OR(LEFT(N2570,3)=$W$7,LEFT(O2570,3)=$W$7)),"x","")</f>
        <v/>
      </c>
      <c r="X2570" s="75" t="str">
        <f>IF(OR(TH!N2570=TH!$X$7,O2570=TH!$X$7),"x","")</f>
        <v/>
      </c>
      <c r="Y2570" s="75" t="str">
        <f>IF(AND(OR(N2570="131",O2570="131"),H2570='131-CT'!$H$9),"x","")</f>
        <v/>
      </c>
      <c r="Z2570" s="75"/>
      <c r="AA2570" s="75" t="str">
        <f>IF(AND(MONTH(E2570)='IN-NX'!$J$5,'IN-NX'!$D$7=D2570),"x","")</f>
        <v/>
      </c>
      <c r="AB2570" s="75" t="str">
        <f>IF(AND(OR(LEFT(TH!N2570,2)="15",LEFT(TH!O2570,2)="15"),LEFT(TH!O2570,3)&lt;&gt;"111",'152-CT'!$J$8=TH!F2570),"x","")</f>
        <v/>
      </c>
      <c r="AC2570" s="75" t="str">
        <f>IF(AND(OR(LEFT(TH!N2570,2)="15",LEFT(TH!O2570,2)="15"),TK!$E$7=TH!F2570),"x","")</f>
        <v/>
      </c>
      <c r="AD2570" s="75" t="str">
        <f>IF(AND(N2570="1521",MONTH(C2570)='BK-NL'!$M$11),"x","")</f>
        <v/>
      </c>
    </row>
    <row r="2571" spans="1:30" s="1264" customFormat="1" ht="16.5" customHeight="1">
      <c r="A2571" s="309" t="str">
        <f>IF(B2571&lt;&gt;"",IF(AND(B2571='IN-TC'!$S$4,OR(TH!N2571="1111",TH!O2571="1111")),TH!D2571,""),"")</f>
        <v/>
      </c>
      <c r="B2571" s="1283">
        <f t="shared" si="875"/>
        <v>12</v>
      </c>
      <c r="C2571" s="929">
        <v>43095</v>
      </c>
      <c r="D2571" s="929" t="s">
        <v>902</v>
      </c>
      <c r="E2571" s="929">
        <f t="shared" ref="E2571" si="913">C2571</f>
        <v>43095</v>
      </c>
      <c r="F2571" s="930" t="s">
        <v>1321</v>
      </c>
      <c r="G2571" s="930" t="s">
        <v>1713</v>
      </c>
      <c r="H2571" s="296" t="s">
        <v>2406</v>
      </c>
      <c r="I2571" s="371"/>
      <c r="J2571" s="378"/>
      <c r="K2571" s="371">
        <v>3700</v>
      </c>
      <c r="L2571" s="377">
        <v>22705</v>
      </c>
      <c r="M2571" s="74">
        <f t="shared" ref="M2571:M2575" si="914">ROUND(K2571*L2571,0)</f>
        <v>84008500</v>
      </c>
      <c r="N2571" s="934" t="s">
        <v>250</v>
      </c>
      <c r="O2571" s="934" t="s">
        <v>256</v>
      </c>
      <c r="P2571" s="75" t="str">
        <f>IF(AND('331-CT'!$E$7=TH!H2571,OR(N2571="331",O2571="331")),"x","")</f>
        <v/>
      </c>
      <c r="Q2571" s="75" t="str">
        <f>IF(AND(B2571='111'!$L$11,OR($N2571=$Q$7,$O2571=$Q$7)),"x","")</f>
        <v/>
      </c>
      <c r="R2571" s="75" t="str">
        <f>IF(AND($N2571=$Q$7,$B2571&lt;'111'!$L$11),"x","")</f>
        <v/>
      </c>
      <c r="S2571" s="75" t="str">
        <f>IF(AND($O2571=$Q$7,$B2571&lt;'111'!$L$11),"x","")</f>
        <v/>
      </c>
      <c r="T2571" s="75" t="str">
        <f>IF(ISERROR(FIND('112'!$M$9,G2571,1)),"",IF((AND(FIND('112'!$M$9,G2571,1)&gt;=1,B2571='112'!$K$9,OR($N2571='112'!$I$6,$O2571='112'!$I$6))),"x",""))</f>
        <v/>
      </c>
      <c r="U2571" s="75" t="str">
        <f>IF(ISERROR(FIND('112'!$M$9,G2571,1)),"",IF((AND(LEFT(G2571,2)=LEFT('112'!$M$9,2),B2571&lt;'112'!$K$9,$N2571='112'!$I$6)),"x",""))</f>
        <v/>
      </c>
      <c r="V2571" s="75" t="str">
        <f>IF(ISERROR(FIND('112'!$M$9,G2571,1)),"",IF((AND(RIGHT(G2571,2)=RIGHT('112'!$M$9,2),B2571&lt;'112'!$K$9,$O2571='112'!$I$6)),"x",""))</f>
        <v/>
      </c>
      <c r="W2571" s="75" t="str">
        <f>IF(AND('341-CT'!$H$9=H2571,OR(LEFT(N2571,3)=$W$7,LEFT(O2571,3)=$W$7)),"x","")</f>
        <v/>
      </c>
      <c r="X2571" s="75" t="str">
        <f>IF(OR(TH!N2571=TH!$X$7,O2571=TH!$X$7),"x","")</f>
        <v/>
      </c>
      <c r="Y2571" s="75" t="str">
        <f>IF(AND(OR(N2571="131",O2571="131"),H2571='131-CT'!$H$9),"x","")</f>
        <v/>
      </c>
      <c r="Z2571" s="75"/>
      <c r="AA2571" s="75" t="str">
        <f>IF(AND(MONTH(E2571)='IN-NX'!$J$5,'IN-NX'!$D$7=D2571),"x","")</f>
        <v/>
      </c>
      <c r="AB2571" s="75" t="str">
        <f>IF(AND(OR(LEFT(TH!N2571,2)="15",LEFT(TH!O2571,2)="15"),LEFT(TH!O2571,3)&lt;&gt;"111",'152-CT'!$J$8=TH!F2571),"x","")</f>
        <v/>
      </c>
      <c r="AC2571" s="75" t="str">
        <f>IF(AND(OR(LEFT(TH!N2571,2)="15",LEFT(TH!O2571,2)="15"),TK!$E$7=TH!F2571),"x","")</f>
        <v/>
      </c>
      <c r="AD2571" s="75" t="str">
        <f>IF(AND(N2571="1521",MONTH(C2571)='BK-NL'!$M$11),"x","")</f>
        <v/>
      </c>
    </row>
    <row r="2572" spans="1:30" s="1264" customFormat="1" ht="16.5" customHeight="1">
      <c r="A2572" s="309" t="str">
        <f>IF(B2572&lt;&gt;"",IF(AND(B2572='IN-TC'!$S$4,OR(TH!N2572="1111",TH!O2572="1111")),TH!D2572,""),"")</f>
        <v/>
      </c>
      <c r="B2572" s="1283">
        <f t="shared" ref="B2572" si="915">IF(C2572&lt;&gt;"",MONTH(C2572),"")</f>
        <v>12</v>
      </c>
      <c r="C2572" s="929">
        <v>43095</v>
      </c>
      <c r="D2572" s="929" t="s">
        <v>902</v>
      </c>
      <c r="E2572" s="929">
        <f t="shared" ref="E2572" si="916">C2572</f>
        <v>43095</v>
      </c>
      <c r="F2572" s="930" t="s">
        <v>1096</v>
      </c>
      <c r="G2572" s="930" t="s">
        <v>1713</v>
      </c>
      <c r="H2572" s="296" t="s">
        <v>2406</v>
      </c>
      <c r="I2572" s="371"/>
      <c r="J2572" s="378"/>
      <c r="K2572" s="371">
        <v>188.98</v>
      </c>
      <c r="L2572" s="377">
        <v>22705</v>
      </c>
      <c r="M2572" s="74">
        <f t="shared" si="912"/>
        <v>4290791</v>
      </c>
      <c r="N2572" s="934" t="s">
        <v>99</v>
      </c>
      <c r="O2572" s="934" t="s">
        <v>256</v>
      </c>
      <c r="P2572" s="75" t="str">
        <f>IF(AND('331-CT'!$E$7=TH!H2572,OR(N2572="331",O2572="331")),"x","")</f>
        <v/>
      </c>
      <c r="Q2572" s="75" t="str">
        <f>IF(AND(B2572='111'!$L$11,OR($N2572=$Q$7,$O2572=$Q$7)),"x","")</f>
        <v/>
      </c>
      <c r="R2572" s="75" t="str">
        <f>IF(AND($N2572=$Q$7,$B2572&lt;'111'!$L$11),"x","")</f>
        <v/>
      </c>
      <c r="S2572" s="75" t="str">
        <f>IF(AND($O2572=$Q$7,$B2572&lt;'111'!$L$11),"x","")</f>
        <v/>
      </c>
      <c r="T2572" s="75" t="str">
        <f>IF(ISERROR(FIND('112'!$M$9,G2572,1)),"",IF((AND(FIND('112'!$M$9,G2572,1)&gt;=1,B2572='112'!$K$9,OR($N2572='112'!$I$6,$O2572='112'!$I$6))),"x",""))</f>
        <v/>
      </c>
      <c r="U2572" s="75" t="str">
        <f>IF(ISERROR(FIND('112'!$M$9,G2572,1)),"",IF((AND(LEFT(G2572,2)=LEFT('112'!$M$9,2),B2572&lt;'112'!$K$9,$N2572='112'!$I$6)),"x",""))</f>
        <v/>
      </c>
      <c r="V2572" s="75" t="str">
        <f>IF(ISERROR(FIND('112'!$M$9,G2572,1)),"",IF((AND(RIGHT(G2572,2)=RIGHT('112'!$M$9,2),B2572&lt;'112'!$K$9,$O2572='112'!$I$6)),"x",""))</f>
        <v/>
      </c>
      <c r="W2572" s="75" t="str">
        <f>IF(AND('341-CT'!$H$9=H2572,OR(LEFT(N2572,3)=$W$7,LEFT(O2572,3)=$W$7)),"x","")</f>
        <v/>
      </c>
      <c r="X2572" s="75" t="str">
        <f>IF(OR(TH!N2572=TH!$X$7,O2572=TH!$X$7),"x","")</f>
        <v/>
      </c>
      <c r="Y2572" s="75" t="str">
        <f>IF(AND(OR(N2572="131",O2572="131"),H2572='131-CT'!$H$9),"x","")</f>
        <v/>
      </c>
      <c r="Z2572" s="75"/>
      <c r="AA2572" s="75" t="str">
        <f>IF(AND(MONTH(E2572)='IN-NX'!$J$5,'IN-NX'!$D$7=D2572),"x","")</f>
        <v/>
      </c>
      <c r="AB2572" s="75" t="str">
        <f>IF(AND(OR(LEFT(TH!N2572,2)="15",LEFT(TH!O2572,2)="15"),LEFT(TH!O2572,3)&lt;&gt;"111",'152-CT'!$J$8=TH!F2572),"x","")</f>
        <v/>
      </c>
      <c r="AC2572" s="75" t="str">
        <f>IF(AND(OR(LEFT(TH!N2572,2)="15",LEFT(TH!O2572,2)="15"),TK!$E$7=TH!F2572),"x","")</f>
        <v/>
      </c>
      <c r="AD2572" s="75" t="str">
        <f>IF(AND(N2572="1521",MONTH(C2572)='BK-NL'!$M$11),"x","")</f>
        <v/>
      </c>
    </row>
    <row r="2573" spans="1:30" s="1264" customFormat="1" ht="16.5" customHeight="1">
      <c r="A2573" s="309" t="str">
        <f>IF(B2573&lt;&gt;"",IF(AND(B2573='IN-TC'!$S$4,OR(TH!N2573="1111",TH!O2573="1111")),TH!D2573,""),"")</f>
        <v/>
      </c>
      <c r="B2573" s="1283">
        <f t="shared" ref="B2573" si="917">IF(C2573&lt;&gt;"",MONTH(C2573),"")</f>
        <v>12</v>
      </c>
      <c r="C2573" s="929">
        <v>43095</v>
      </c>
      <c r="D2573" s="929" t="s">
        <v>902</v>
      </c>
      <c r="E2573" s="929">
        <f t="shared" ref="E2573" si="918">C2573</f>
        <v>43095</v>
      </c>
      <c r="F2573" s="930" t="s">
        <v>1321</v>
      </c>
      <c r="G2573" s="930" t="s">
        <v>1713</v>
      </c>
      <c r="H2573" s="73" t="s">
        <v>2806</v>
      </c>
      <c r="I2573" s="371"/>
      <c r="J2573" s="378"/>
      <c r="K2573" s="371">
        <v>2000</v>
      </c>
      <c r="L2573" s="377">
        <v>22705</v>
      </c>
      <c r="M2573" s="74">
        <f t="shared" si="914"/>
        <v>45410000</v>
      </c>
      <c r="N2573" s="934" t="s">
        <v>250</v>
      </c>
      <c r="O2573" s="934" t="s">
        <v>256</v>
      </c>
      <c r="P2573" s="75" t="str">
        <f>IF(AND('331-CT'!$E$7=TH!H2573,OR(N2573="331",O2573="331")),"x","")</f>
        <v/>
      </c>
      <c r="Q2573" s="75" t="str">
        <f>IF(AND(B2573='111'!$L$11,OR($N2573=$Q$7,$O2573=$Q$7)),"x","")</f>
        <v/>
      </c>
      <c r="R2573" s="75" t="str">
        <f>IF(AND($N2573=$Q$7,$B2573&lt;'111'!$L$11),"x","")</f>
        <v/>
      </c>
      <c r="S2573" s="75" t="str">
        <f>IF(AND($O2573=$Q$7,$B2573&lt;'111'!$L$11),"x","")</f>
        <v/>
      </c>
      <c r="T2573" s="75" t="str">
        <f>IF(ISERROR(FIND('112'!$M$9,G2573,1)),"",IF((AND(FIND('112'!$M$9,G2573,1)&gt;=1,B2573='112'!$K$9,OR($N2573='112'!$I$6,$O2573='112'!$I$6))),"x",""))</f>
        <v/>
      </c>
      <c r="U2573" s="75" t="str">
        <f>IF(ISERROR(FIND('112'!$M$9,G2573,1)),"",IF((AND(LEFT(G2573,2)=LEFT('112'!$M$9,2),B2573&lt;'112'!$K$9,$N2573='112'!$I$6)),"x",""))</f>
        <v/>
      </c>
      <c r="V2573" s="75" t="str">
        <f>IF(ISERROR(FIND('112'!$M$9,G2573,1)),"",IF((AND(RIGHT(G2573,2)=RIGHT('112'!$M$9,2),B2573&lt;'112'!$K$9,$O2573='112'!$I$6)),"x",""))</f>
        <v/>
      </c>
      <c r="W2573" s="75" t="str">
        <f>IF(AND('341-CT'!$H$9=H2573,OR(LEFT(N2573,3)=$W$7,LEFT(O2573,3)=$W$7)),"x","")</f>
        <v/>
      </c>
      <c r="X2573" s="75" t="str">
        <f>IF(OR(TH!N2573=TH!$X$7,O2573=TH!$X$7),"x","")</f>
        <v/>
      </c>
      <c r="Y2573" s="75" t="str">
        <f>IF(AND(OR(N2573="131",O2573="131"),H2573='131-CT'!$H$9),"x","")</f>
        <v/>
      </c>
      <c r="Z2573" s="75"/>
      <c r="AA2573" s="75" t="str">
        <f>IF(AND(MONTH(E2573)='IN-NX'!$J$5,'IN-NX'!$D$7=D2573),"x","")</f>
        <v/>
      </c>
      <c r="AB2573" s="75" t="str">
        <f>IF(AND(OR(LEFT(TH!N2573,2)="15",LEFT(TH!O2573,2)="15"),LEFT(TH!O2573,3)&lt;&gt;"111",'152-CT'!$J$8=TH!F2573),"x","")</f>
        <v/>
      </c>
      <c r="AC2573" s="75" t="str">
        <f>IF(AND(OR(LEFT(TH!N2573,2)="15",LEFT(TH!O2573,2)="15"),TK!$E$7=TH!F2573),"x","")</f>
        <v/>
      </c>
      <c r="AD2573" s="75" t="str">
        <f>IF(AND(N2573="1521",MONTH(C2573)='BK-NL'!$M$11),"x","")</f>
        <v/>
      </c>
    </row>
    <row r="2574" spans="1:30" s="1264" customFormat="1" ht="16.5" customHeight="1">
      <c r="A2574" s="309" t="str">
        <f>IF(B2574&lt;&gt;"",IF(AND(B2574='IN-TC'!$S$4,OR(TH!N2574="1111",TH!O2574="1111")),TH!D2574,""),"")</f>
        <v/>
      </c>
      <c r="B2574" s="1283">
        <f t="shared" ref="B2574:B2575" si="919">IF(C2574&lt;&gt;"",MONTH(C2574),"")</f>
        <v>12</v>
      </c>
      <c r="C2574" s="929">
        <v>43095</v>
      </c>
      <c r="D2574" s="929" t="s">
        <v>902</v>
      </c>
      <c r="E2574" s="929">
        <f t="shared" ref="E2574:E2575" si="920">C2574</f>
        <v>43095</v>
      </c>
      <c r="F2574" s="930" t="s">
        <v>1096</v>
      </c>
      <c r="G2574" s="930" t="s">
        <v>1713</v>
      </c>
      <c r="H2574" s="73" t="s">
        <v>2806</v>
      </c>
      <c r="I2574" s="371"/>
      <c r="J2574" s="378"/>
      <c r="K2574" s="371">
        <v>167.36</v>
      </c>
      <c r="L2574" s="377">
        <v>22705</v>
      </c>
      <c r="M2574" s="74">
        <f t="shared" si="912"/>
        <v>3799909</v>
      </c>
      <c r="N2574" s="934" t="s">
        <v>99</v>
      </c>
      <c r="O2574" s="934" t="s">
        <v>256</v>
      </c>
      <c r="P2574" s="75" t="str">
        <f>IF(AND('331-CT'!$E$7=TH!H2574,OR(N2574="331",O2574="331")),"x","")</f>
        <v/>
      </c>
      <c r="Q2574" s="75" t="str">
        <f>IF(AND(B2574='111'!$L$11,OR($N2574=$Q$7,$O2574=$Q$7)),"x","")</f>
        <v/>
      </c>
      <c r="R2574" s="75" t="str">
        <f>IF(AND($N2574=$Q$7,$B2574&lt;'111'!$L$11),"x","")</f>
        <v/>
      </c>
      <c r="S2574" s="75" t="str">
        <f>IF(AND($O2574=$Q$7,$B2574&lt;'111'!$L$11),"x","")</f>
        <v/>
      </c>
      <c r="T2574" s="75" t="str">
        <f>IF(ISERROR(FIND('112'!$M$9,G2574,1)),"",IF((AND(FIND('112'!$M$9,G2574,1)&gt;=1,B2574='112'!$K$9,OR($N2574='112'!$I$6,$O2574='112'!$I$6))),"x",""))</f>
        <v/>
      </c>
      <c r="U2574" s="75" t="str">
        <f>IF(ISERROR(FIND('112'!$M$9,G2574,1)),"",IF((AND(LEFT(G2574,2)=LEFT('112'!$M$9,2),B2574&lt;'112'!$K$9,$N2574='112'!$I$6)),"x",""))</f>
        <v/>
      </c>
      <c r="V2574" s="75" t="str">
        <f>IF(ISERROR(FIND('112'!$M$9,G2574,1)),"",IF((AND(RIGHT(G2574,2)=RIGHT('112'!$M$9,2),B2574&lt;'112'!$K$9,$O2574='112'!$I$6)),"x",""))</f>
        <v/>
      </c>
      <c r="W2574" s="75" t="str">
        <f>IF(AND('341-CT'!$H$9=H2574,OR(LEFT(N2574,3)=$W$7,LEFT(O2574,3)=$W$7)),"x","")</f>
        <v/>
      </c>
      <c r="X2574" s="75" t="str">
        <f>IF(OR(TH!N2574=TH!$X$7,O2574=TH!$X$7),"x","")</f>
        <v/>
      </c>
      <c r="Y2574" s="75" t="str">
        <f>IF(AND(OR(N2574="131",O2574="131"),H2574='131-CT'!$H$9),"x","")</f>
        <v/>
      </c>
      <c r="Z2574" s="75"/>
      <c r="AA2574" s="75" t="str">
        <f>IF(AND(MONTH(E2574)='IN-NX'!$J$5,'IN-NX'!$D$7=D2574),"x","")</f>
        <v/>
      </c>
      <c r="AB2574" s="75" t="str">
        <f>IF(AND(OR(LEFT(TH!N2574,2)="15",LEFT(TH!O2574,2)="15"),LEFT(TH!O2574,3)&lt;&gt;"111",'152-CT'!$J$8=TH!F2574),"x","")</f>
        <v/>
      </c>
      <c r="AC2574" s="75" t="str">
        <f>IF(AND(OR(LEFT(TH!N2574,2)="15",LEFT(TH!O2574,2)="15"),TK!$E$7=TH!F2574),"x","")</f>
        <v/>
      </c>
      <c r="AD2574" s="75" t="str">
        <f>IF(AND(N2574="1521",MONTH(C2574)='BK-NL'!$M$11),"x","")</f>
        <v/>
      </c>
    </row>
    <row r="2575" spans="1:30" s="1264" customFormat="1" ht="16.5" customHeight="1">
      <c r="A2575" s="309" t="str">
        <f>IF(B2575&lt;&gt;"",IF(AND(B2575='IN-TC'!$S$4,OR(TH!N2575="1111",TH!O2575="1111")),TH!D2575,""),"")</f>
        <v/>
      </c>
      <c r="B2575" s="1283">
        <f t="shared" si="919"/>
        <v>12</v>
      </c>
      <c r="C2575" s="929">
        <v>43095</v>
      </c>
      <c r="D2575" s="929" t="s">
        <v>902</v>
      </c>
      <c r="E2575" s="929">
        <f t="shared" si="920"/>
        <v>43095</v>
      </c>
      <c r="F2575" s="930" t="s">
        <v>1321</v>
      </c>
      <c r="G2575" s="930" t="s">
        <v>1713</v>
      </c>
      <c r="H2575" s="73" t="s">
        <v>2413</v>
      </c>
      <c r="I2575" s="371"/>
      <c r="J2575" s="378"/>
      <c r="K2575" s="371">
        <v>8240</v>
      </c>
      <c r="L2575" s="377">
        <v>22705</v>
      </c>
      <c r="M2575" s="74">
        <f t="shared" si="914"/>
        <v>187089200</v>
      </c>
      <c r="N2575" s="934" t="s">
        <v>250</v>
      </c>
      <c r="O2575" s="934" t="s">
        <v>256</v>
      </c>
      <c r="P2575" s="75" t="str">
        <f>IF(AND('331-CT'!$E$7=TH!H2575,OR(N2575="331",O2575="331")),"x","")</f>
        <v/>
      </c>
      <c r="Q2575" s="75" t="str">
        <f>IF(AND(B2575='111'!$L$11,OR($N2575=$Q$7,$O2575=$Q$7)),"x","")</f>
        <v/>
      </c>
      <c r="R2575" s="75" t="str">
        <f>IF(AND($N2575=$Q$7,$B2575&lt;'111'!$L$11),"x","")</f>
        <v/>
      </c>
      <c r="S2575" s="75" t="str">
        <f>IF(AND($O2575=$Q$7,$B2575&lt;'111'!$L$11),"x","")</f>
        <v/>
      </c>
      <c r="T2575" s="75" t="str">
        <f>IF(ISERROR(FIND('112'!$M$9,G2575,1)),"",IF((AND(FIND('112'!$M$9,G2575,1)&gt;=1,B2575='112'!$K$9,OR($N2575='112'!$I$6,$O2575='112'!$I$6))),"x",""))</f>
        <v/>
      </c>
      <c r="U2575" s="75" t="str">
        <f>IF(ISERROR(FIND('112'!$M$9,G2575,1)),"",IF((AND(LEFT(G2575,2)=LEFT('112'!$M$9,2),B2575&lt;'112'!$K$9,$N2575='112'!$I$6)),"x",""))</f>
        <v/>
      </c>
      <c r="V2575" s="75" t="str">
        <f>IF(ISERROR(FIND('112'!$M$9,G2575,1)),"",IF((AND(RIGHT(G2575,2)=RIGHT('112'!$M$9,2),B2575&lt;'112'!$K$9,$O2575='112'!$I$6)),"x",""))</f>
        <v/>
      </c>
      <c r="W2575" s="75" t="str">
        <f>IF(AND('341-CT'!$H$9=H2575,OR(LEFT(N2575,3)=$W$7,LEFT(O2575,3)=$W$7)),"x","")</f>
        <v/>
      </c>
      <c r="X2575" s="75" t="str">
        <f>IF(OR(TH!N2575=TH!$X$7,O2575=TH!$X$7),"x","")</f>
        <v/>
      </c>
      <c r="Y2575" s="75" t="str">
        <f>IF(AND(OR(N2575="131",O2575="131"),H2575='131-CT'!$H$9),"x","")</f>
        <v/>
      </c>
      <c r="Z2575" s="75"/>
      <c r="AA2575" s="75" t="str">
        <f>IF(AND(MONTH(E2575)='IN-NX'!$J$5,'IN-NX'!$D$7=D2575),"x","")</f>
        <v/>
      </c>
      <c r="AB2575" s="75" t="str">
        <f>IF(AND(OR(LEFT(TH!N2575,2)="15",LEFT(TH!O2575,2)="15"),LEFT(TH!O2575,3)&lt;&gt;"111",'152-CT'!$J$8=TH!F2575),"x","")</f>
        <v/>
      </c>
      <c r="AC2575" s="75" t="str">
        <f>IF(AND(OR(LEFT(TH!N2575,2)="15",LEFT(TH!O2575,2)="15"),TK!$E$7=TH!F2575),"x","")</f>
        <v/>
      </c>
      <c r="AD2575" s="75" t="str">
        <f>IF(AND(N2575="1521",MONTH(C2575)='BK-NL'!$M$11),"x","")</f>
        <v/>
      </c>
    </row>
    <row r="2576" spans="1:30" s="1264" customFormat="1" ht="16.5" customHeight="1">
      <c r="A2576" s="309" t="str">
        <f>IF(B2576&lt;&gt;"",IF(AND(B2576='IN-TC'!$S$4,OR(TH!N2576="1111",TH!O2576="1111")),TH!D2576,""),"")</f>
        <v/>
      </c>
      <c r="B2576" s="1283">
        <f t="shared" ref="B2576" si="921">IF(C2576&lt;&gt;"",MONTH(C2576),"")</f>
        <v>12</v>
      </c>
      <c r="C2576" s="929">
        <v>43095</v>
      </c>
      <c r="D2576" s="929" t="s">
        <v>902</v>
      </c>
      <c r="E2576" s="929">
        <f t="shared" ref="E2576" si="922">C2576</f>
        <v>43095</v>
      </c>
      <c r="F2576" s="930" t="s">
        <v>1096</v>
      </c>
      <c r="G2576" s="930" t="s">
        <v>1713</v>
      </c>
      <c r="H2576" s="73" t="s">
        <v>2413</v>
      </c>
      <c r="I2576" s="371"/>
      <c r="J2576" s="378"/>
      <c r="K2576" s="371">
        <v>643.54999999999995</v>
      </c>
      <c r="L2576" s="377">
        <v>22705</v>
      </c>
      <c r="M2576" s="74">
        <f t="shared" si="912"/>
        <v>14611803</v>
      </c>
      <c r="N2576" s="934" t="s">
        <v>99</v>
      </c>
      <c r="O2576" s="934" t="s">
        <v>256</v>
      </c>
      <c r="P2576" s="75" t="str">
        <f>IF(AND('331-CT'!$E$7=TH!H2576,OR(N2576="331",O2576="331")),"x","")</f>
        <v/>
      </c>
      <c r="Q2576" s="75" t="str">
        <f>IF(AND(B2576='111'!$L$11,OR($N2576=$Q$7,$O2576=$Q$7)),"x","")</f>
        <v/>
      </c>
      <c r="R2576" s="75" t="str">
        <f>IF(AND($N2576=$Q$7,$B2576&lt;'111'!$L$11),"x","")</f>
        <v/>
      </c>
      <c r="S2576" s="75" t="str">
        <f>IF(AND($O2576=$Q$7,$B2576&lt;'111'!$L$11),"x","")</f>
        <v/>
      </c>
      <c r="T2576" s="75" t="str">
        <f>IF(ISERROR(FIND('112'!$M$9,G2576,1)),"",IF((AND(FIND('112'!$M$9,G2576,1)&gt;=1,B2576='112'!$K$9,OR($N2576='112'!$I$6,$O2576='112'!$I$6))),"x",""))</f>
        <v/>
      </c>
      <c r="U2576" s="75" t="str">
        <f>IF(ISERROR(FIND('112'!$M$9,G2576,1)),"",IF((AND(LEFT(G2576,2)=LEFT('112'!$M$9,2),B2576&lt;'112'!$K$9,$N2576='112'!$I$6)),"x",""))</f>
        <v/>
      </c>
      <c r="V2576" s="75" t="str">
        <f>IF(ISERROR(FIND('112'!$M$9,G2576,1)),"",IF((AND(RIGHT(G2576,2)=RIGHT('112'!$M$9,2),B2576&lt;'112'!$K$9,$O2576='112'!$I$6)),"x",""))</f>
        <v/>
      </c>
      <c r="W2576" s="75" t="str">
        <f>IF(AND('341-CT'!$H$9=H2576,OR(LEFT(N2576,3)=$W$7,LEFT(O2576,3)=$W$7)),"x","")</f>
        <v/>
      </c>
      <c r="X2576" s="75" t="str">
        <f>IF(OR(TH!N2576=TH!$X$7,O2576=TH!$X$7),"x","")</f>
        <v/>
      </c>
      <c r="Y2576" s="75" t="str">
        <f>IF(AND(OR(N2576="131",O2576="131"),H2576='131-CT'!$H$9),"x","")</f>
        <v/>
      </c>
      <c r="Z2576" s="75"/>
      <c r="AA2576" s="75" t="str">
        <f>IF(AND(MONTH(E2576)='IN-NX'!$J$5,'IN-NX'!$D$7=D2576),"x","")</f>
        <v/>
      </c>
      <c r="AB2576" s="75" t="str">
        <f>IF(AND(OR(LEFT(TH!N2576,2)="15",LEFT(TH!O2576,2)="15"),LEFT(TH!O2576,3)&lt;&gt;"111",'152-CT'!$J$8=TH!F2576),"x","")</f>
        <v/>
      </c>
      <c r="AC2576" s="75" t="str">
        <f>IF(AND(OR(LEFT(TH!N2576,2)="15",LEFT(TH!O2576,2)="15"),TK!$E$7=TH!F2576),"x","")</f>
        <v/>
      </c>
      <c r="AD2576" s="75" t="str">
        <f>IF(AND(N2576="1521",MONTH(C2576)='BK-NL'!$M$11),"x","")</f>
        <v/>
      </c>
    </row>
    <row r="2577" spans="1:30" s="1264" customFormat="1" ht="16.5" customHeight="1">
      <c r="A2577" s="309" t="str">
        <f>IF(B2577&lt;&gt;"",IF(AND(B2577='IN-TC'!$S$4,OR(TH!N2577="1111",TH!O2577="1111")),TH!D2577,""),"")</f>
        <v/>
      </c>
      <c r="B2577" s="1311">
        <f t="shared" ref="B2577:B2640" si="923">IF(C2577&lt;&gt;"",MONTH(C2577),"")</f>
        <v>1</v>
      </c>
      <c r="C2577" s="71">
        <v>42741</v>
      </c>
      <c r="D2577" s="71" t="s">
        <v>902</v>
      </c>
      <c r="E2577" s="929">
        <v>42741</v>
      </c>
      <c r="F2577" s="73" t="s">
        <v>1321</v>
      </c>
      <c r="G2577" s="72" t="s">
        <v>585</v>
      </c>
      <c r="H2577" s="73" t="s">
        <v>757</v>
      </c>
      <c r="I2577" s="371"/>
      <c r="J2577" s="377"/>
      <c r="K2577" s="371">
        <v>43000</v>
      </c>
      <c r="L2577" s="377">
        <v>22750</v>
      </c>
      <c r="M2577" s="74">
        <f>ROUND(K2577*L2577,0)</f>
        <v>978250000</v>
      </c>
      <c r="N2577" s="1224" t="s">
        <v>250</v>
      </c>
      <c r="O2577" s="934" t="s">
        <v>256</v>
      </c>
      <c r="P2577" s="75" t="str">
        <f>IF(AND('331-CT'!$E$7=TH!H2577,OR(N2577="331",O2577="331")),"x","")</f>
        <v/>
      </c>
      <c r="Q2577" s="75" t="str">
        <f>IF(AND(B2577='111'!$L$11,OR($N2577=$Q$7,$O2577=$Q$7)),"x","")</f>
        <v/>
      </c>
      <c r="R2577" s="75" t="str">
        <f>IF(AND($N2577=$Q$7,$B2577&lt;'111'!$L$11),"x","")</f>
        <v/>
      </c>
      <c r="S2577" s="75" t="str">
        <f>IF(AND($O2577=$Q$7,$B2577&lt;'111'!$L$11),"x","")</f>
        <v/>
      </c>
      <c r="T2577" s="75" t="str">
        <f>IF(ISERROR(FIND('112'!$M$9,G2577,1)),"",IF((AND(FIND('112'!$M$9,G2577,1)&gt;=1,B2577='112'!$K$9,OR($N2577='112'!$I$6,$O2577='112'!$I$6))),"x",""))</f>
        <v/>
      </c>
      <c r="U2577" s="75" t="str">
        <f>IF(ISERROR(FIND('112'!$M$9,G2577,1)),"",IF((AND(LEFT(G2577,2)=LEFT('112'!$M$9,2),B2577&lt;'112'!$K$9,$N2577='112'!$I$6)),"x",""))</f>
        <v/>
      </c>
      <c r="V2577" s="75" t="str">
        <f>IF(ISERROR(FIND('112'!$M$9,G2577,1)),"",IF((AND(RIGHT(G2577,2)=RIGHT('112'!$M$9,2),B2577&lt;'112'!$K$9,$O2577='112'!$I$6)),"x",""))</f>
        <v/>
      </c>
      <c r="W2577" s="75" t="str">
        <f>IF(AND('341-CT'!$H$9=H2577,OR(LEFT(N2577,3)=$W$7,LEFT(O2577,3)=$W$7)),"x","")</f>
        <v/>
      </c>
      <c r="X2577" s="75" t="str">
        <f>IF(OR(TH!N2577=TH!$X$7,O2577=TH!$X$7),"x","")</f>
        <v/>
      </c>
      <c r="Y2577" s="75" t="str">
        <f>IF(AND(OR(N2577="131",O2577="131"),H2577='131-CT'!$H$9),"x","")</f>
        <v/>
      </c>
      <c r="Z2577" s="75"/>
      <c r="AA2577" s="75" t="str">
        <f>IF(AND(MONTH(E2577)='IN-NX'!$J$5,'IN-NX'!$D$7=D2577),"x","")</f>
        <v/>
      </c>
      <c r="AB2577" s="75" t="str">
        <f>IF(AND(OR(LEFT(TH!N2577,2)="15",LEFT(TH!O2577,2)="15"),LEFT(TH!O2577,3)&lt;&gt;"111",'152-CT'!$J$8=TH!F2577),"x","")</f>
        <v/>
      </c>
      <c r="AC2577" s="75" t="str">
        <f>IF(AND(OR(LEFT(TH!N2577,2)="15",LEFT(TH!O2577,2)="15"),TK!$E$7=TH!F2577),"x","")</f>
        <v/>
      </c>
      <c r="AD2577" s="75" t="str">
        <f>IF(AND(N2577="1521",MONTH(C2577)='BK-NL'!$M$11),"x","")</f>
        <v/>
      </c>
    </row>
    <row r="2578" spans="1:30" s="1264" customFormat="1" ht="16.5" customHeight="1">
      <c r="A2578" s="309" t="str">
        <f>IF(B2578&lt;&gt;"",IF(AND(B2578='IN-TC'!$S$4,OR(TH!N2578="1111",TH!O2578="1111")),TH!D2578,""),"")</f>
        <v/>
      </c>
      <c r="B2578" s="1311">
        <f t="shared" si="923"/>
        <v>1</v>
      </c>
      <c r="C2578" s="71">
        <v>42741</v>
      </c>
      <c r="D2578" s="71" t="s">
        <v>530</v>
      </c>
      <c r="E2578" s="929">
        <v>42741</v>
      </c>
      <c r="F2578" s="73" t="s">
        <v>1010</v>
      </c>
      <c r="G2578" s="72" t="s">
        <v>585</v>
      </c>
      <c r="H2578" s="73" t="s">
        <v>757</v>
      </c>
      <c r="I2578" s="371"/>
      <c r="J2578" s="377"/>
      <c r="K2578" s="371"/>
      <c r="L2578" s="377"/>
      <c r="M2578" s="74">
        <v>18920000</v>
      </c>
      <c r="N2578" s="1224" t="s">
        <v>99</v>
      </c>
      <c r="O2578" s="75" t="s">
        <v>250</v>
      </c>
      <c r="P2578" s="75" t="str">
        <f>IF(AND('331-CT'!$E$7=TH!H2578,OR(N2578="331",O2578="331")),"x","")</f>
        <v/>
      </c>
      <c r="Q2578" s="75" t="str">
        <f>IF(AND(B2578='111'!$L$11,OR($N2578=$Q$7,$O2578=$Q$7)),"x","")</f>
        <v/>
      </c>
      <c r="R2578" s="75" t="str">
        <f>IF(AND($N2578=$Q$7,$B2578&lt;'111'!$L$11),"x","")</f>
        <v/>
      </c>
      <c r="S2578" s="75" t="str">
        <f>IF(AND($O2578=$Q$7,$B2578&lt;'111'!$L$11),"x","")</f>
        <v/>
      </c>
      <c r="T2578" s="75" t="str">
        <f>IF(ISERROR(FIND('112'!$M$9,G2578,1)),"",IF((AND(FIND('112'!$M$9,G2578,1)&gt;=1,B2578='112'!$K$9,OR($N2578='112'!$I$6,$O2578='112'!$I$6))),"x",""))</f>
        <v/>
      </c>
      <c r="U2578" s="75" t="str">
        <f>IF(ISERROR(FIND('112'!$M$9,G2578,1)),"",IF((AND(LEFT(G2578,2)=LEFT('112'!$M$9,2),B2578&lt;'112'!$K$9,$N2578='112'!$I$6)),"x",""))</f>
        <v/>
      </c>
      <c r="V2578" s="75" t="str">
        <f>IF(ISERROR(FIND('112'!$M$9,G2578,1)),"",IF((AND(RIGHT(G2578,2)=RIGHT('112'!$M$9,2),B2578&lt;'112'!$K$9,$O2578='112'!$I$6)),"x",""))</f>
        <v/>
      </c>
      <c r="W2578" s="75" t="str">
        <f>IF(AND('341-CT'!$H$9=H2578,OR(LEFT(N2578,3)=$W$7,LEFT(O2578,3)=$W$7)),"x","")</f>
        <v/>
      </c>
      <c r="X2578" s="75" t="str">
        <f>IF(OR(TH!N2578=TH!$X$7,O2578=TH!$X$7),"x","")</f>
        <v/>
      </c>
      <c r="Y2578" s="75" t="str">
        <f>IF(AND(OR(N2578="131",O2578="131"),H2578='131-CT'!$H$9),"x","")</f>
        <v/>
      </c>
      <c r="Z2578" s="75"/>
      <c r="AA2578" s="75" t="str">
        <f>IF(AND(MONTH(E2578)='IN-NX'!$J$5,'IN-NX'!$D$7=D2578),"x","")</f>
        <v/>
      </c>
      <c r="AB2578" s="75" t="str">
        <f>IF(AND(OR(LEFT(TH!N2578,2)="15",LEFT(TH!O2578,2)="15"),LEFT(TH!O2578,3)&lt;&gt;"111",'152-CT'!$J$8=TH!F2578),"x","")</f>
        <v/>
      </c>
      <c r="AC2578" s="75" t="str">
        <f>IF(AND(OR(LEFT(TH!N2578,2)="15",LEFT(TH!O2578,2)="15"),TK!$E$7=TH!F2578),"x","")</f>
        <v/>
      </c>
      <c r="AD2578" s="75" t="str">
        <f>IF(AND(N2578="1521",MONTH(C2578)='BK-NL'!$M$11),"x","")</f>
        <v/>
      </c>
    </row>
    <row r="2579" spans="1:30" s="1264" customFormat="1" ht="16.5" customHeight="1">
      <c r="A2579" s="309" t="str">
        <f>IF(B2579&lt;&gt;"",IF(AND(B2579='IN-TC'!$S$4,OR(TH!N2579="1111",TH!O2579="1111")),TH!D2579,""),"")</f>
        <v/>
      </c>
      <c r="B2579" s="1311">
        <f t="shared" si="923"/>
        <v>1</v>
      </c>
      <c r="C2579" s="71">
        <v>42741</v>
      </c>
      <c r="D2579" s="71" t="s">
        <v>902</v>
      </c>
      <c r="E2579" s="929">
        <v>42741</v>
      </c>
      <c r="F2579" s="73" t="s">
        <v>1096</v>
      </c>
      <c r="G2579" s="72" t="s">
        <v>585</v>
      </c>
      <c r="H2579" s="73" t="s">
        <v>757</v>
      </c>
      <c r="I2579" s="371"/>
      <c r="J2579" s="377"/>
      <c r="K2579" s="371">
        <v>82.42</v>
      </c>
      <c r="L2579" s="377">
        <v>22750</v>
      </c>
      <c r="M2579" s="74">
        <f t="shared" ref="M2579:M2582" si="924">ROUND(K2579*L2579,0)</f>
        <v>1875055</v>
      </c>
      <c r="N2579" s="1224" t="s">
        <v>99</v>
      </c>
      <c r="O2579" s="934" t="s">
        <v>256</v>
      </c>
      <c r="P2579" s="75" t="str">
        <f>IF(AND('331-CT'!$E$7=TH!H2579,OR(N2579="331",O2579="331")),"x","")</f>
        <v/>
      </c>
      <c r="Q2579" s="75" t="str">
        <f>IF(AND(B2579='111'!$L$11,OR($N2579=$Q$7,$O2579=$Q$7)),"x","")</f>
        <v/>
      </c>
      <c r="R2579" s="75" t="str">
        <f>IF(AND($N2579=$Q$7,$B2579&lt;'111'!$L$11),"x","")</f>
        <v/>
      </c>
      <c r="S2579" s="75" t="str">
        <f>IF(AND($O2579=$Q$7,$B2579&lt;'111'!$L$11),"x","")</f>
        <v/>
      </c>
      <c r="T2579" s="75" t="str">
        <f>IF(ISERROR(FIND('112'!$M$9,G2579,1)),"",IF((AND(FIND('112'!$M$9,G2579,1)&gt;=1,B2579='112'!$K$9,OR($N2579='112'!$I$6,$O2579='112'!$I$6))),"x",""))</f>
        <v/>
      </c>
      <c r="U2579" s="75" t="str">
        <f>IF(ISERROR(FIND('112'!$M$9,G2579,1)),"",IF((AND(LEFT(G2579,2)=LEFT('112'!$M$9,2),B2579&lt;'112'!$K$9,$N2579='112'!$I$6)),"x",""))</f>
        <v/>
      </c>
      <c r="V2579" s="75" t="str">
        <f>IF(ISERROR(FIND('112'!$M$9,G2579,1)),"",IF((AND(RIGHT(G2579,2)=RIGHT('112'!$M$9,2),B2579&lt;'112'!$K$9,$O2579='112'!$I$6)),"x",""))</f>
        <v/>
      </c>
      <c r="W2579" s="75" t="str">
        <f>IF(AND('341-CT'!$H$9=H2579,OR(LEFT(N2579,3)=$W$7,LEFT(O2579,3)=$W$7)),"x","")</f>
        <v/>
      </c>
      <c r="X2579" s="75" t="str">
        <f>IF(OR(TH!N2579=TH!$X$7,O2579=TH!$X$7),"x","")</f>
        <v/>
      </c>
      <c r="Y2579" s="75" t="str">
        <f>IF(AND(OR(N2579="131",O2579="131"),H2579='131-CT'!$H$9),"x","")</f>
        <v/>
      </c>
      <c r="Z2579" s="75"/>
      <c r="AA2579" s="75" t="str">
        <f>IF(AND(MONTH(E2579)='IN-NX'!$J$5,'IN-NX'!$D$7=D2579),"x","")</f>
        <v/>
      </c>
      <c r="AB2579" s="75" t="str">
        <f>IF(AND(OR(LEFT(TH!N2579,2)="15",LEFT(TH!O2579,2)="15"),LEFT(TH!O2579,3)&lt;&gt;"111",'152-CT'!$J$8=TH!F2579),"x","")</f>
        <v/>
      </c>
      <c r="AC2579" s="75" t="str">
        <f>IF(AND(OR(LEFT(TH!N2579,2)="15",LEFT(TH!O2579,2)="15"),TK!$E$7=TH!F2579),"x","")</f>
        <v/>
      </c>
      <c r="AD2579" s="75" t="str">
        <f>IF(AND(N2579="1521",MONTH(C2579)='BK-NL'!$M$11),"x","")</f>
        <v/>
      </c>
    </row>
    <row r="2580" spans="1:30" s="1264" customFormat="1" ht="16.5" customHeight="1">
      <c r="A2580" s="309" t="str">
        <f>IF(B2580&lt;&gt;"",IF(AND(B2580='IN-TC'!$S$4,OR(TH!N2580="1111",TH!O2580="1111")),TH!D2580,""),"")</f>
        <v/>
      </c>
      <c r="B2580" s="1311">
        <f t="shared" si="923"/>
        <v>1</v>
      </c>
      <c r="C2580" s="71">
        <v>42758</v>
      </c>
      <c r="D2580" s="71" t="s">
        <v>902</v>
      </c>
      <c r="E2580" s="929">
        <v>42758</v>
      </c>
      <c r="F2580" s="73" t="s">
        <v>1096</v>
      </c>
      <c r="G2580" s="72" t="s">
        <v>585</v>
      </c>
      <c r="H2580" s="73" t="s">
        <v>758</v>
      </c>
      <c r="I2580" s="371"/>
      <c r="J2580" s="377"/>
      <c r="K2580" s="371">
        <v>135.25</v>
      </c>
      <c r="L2580" s="377">
        <v>22750</v>
      </c>
      <c r="M2580" s="74">
        <f t="shared" si="924"/>
        <v>3076938</v>
      </c>
      <c r="N2580" s="1224" t="s">
        <v>99</v>
      </c>
      <c r="O2580" s="934" t="s">
        <v>256</v>
      </c>
      <c r="P2580" s="75" t="str">
        <f>IF(AND('331-CT'!$E$7=TH!H2580,OR(N2580="331",O2580="331")),"x","")</f>
        <v/>
      </c>
      <c r="Q2580" s="75" t="str">
        <f>IF(AND(B2580='111'!$L$11,OR($N2580=$Q$7,$O2580=$Q$7)),"x","")</f>
        <v/>
      </c>
      <c r="R2580" s="75" t="str">
        <f>IF(AND($N2580=$Q$7,$B2580&lt;'111'!$L$11),"x","")</f>
        <v/>
      </c>
      <c r="S2580" s="75" t="str">
        <f>IF(AND($O2580=$Q$7,$B2580&lt;'111'!$L$11),"x","")</f>
        <v/>
      </c>
      <c r="T2580" s="75" t="str">
        <f>IF(ISERROR(FIND('112'!$M$9,G2580,1)),"",IF((AND(FIND('112'!$M$9,G2580,1)&gt;=1,B2580='112'!$K$9,OR($N2580='112'!$I$6,$O2580='112'!$I$6))),"x",""))</f>
        <v/>
      </c>
      <c r="U2580" s="75" t="str">
        <f>IF(ISERROR(FIND('112'!$M$9,G2580,1)),"",IF((AND(LEFT(G2580,2)=LEFT('112'!$M$9,2),B2580&lt;'112'!$K$9,$N2580='112'!$I$6)),"x",""))</f>
        <v/>
      </c>
      <c r="V2580" s="75" t="str">
        <f>IF(ISERROR(FIND('112'!$M$9,G2580,1)),"",IF((AND(RIGHT(G2580,2)=RIGHT('112'!$M$9,2),B2580&lt;'112'!$K$9,$O2580='112'!$I$6)),"x",""))</f>
        <v/>
      </c>
      <c r="W2580" s="75" t="str">
        <f>IF(AND('341-CT'!$H$9=H2580,OR(LEFT(N2580,3)=$W$7,LEFT(O2580,3)=$W$7)),"x","")</f>
        <v/>
      </c>
      <c r="X2580" s="75" t="str">
        <f>IF(OR(TH!N2580=TH!$X$7,O2580=TH!$X$7),"x","")</f>
        <v/>
      </c>
      <c r="Y2580" s="75" t="str">
        <f>IF(AND(OR(N2580="131",O2580="131"),H2580='131-CT'!$H$9),"x","")</f>
        <v/>
      </c>
      <c r="Z2580" s="75"/>
      <c r="AA2580" s="75" t="str">
        <f>IF(AND(MONTH(E2580)='IN-NX'!$J$5,'IN-NX'!$D$7=D2580),"x","")</f>
        <v/>
      </c>
      <c r="AB2580" s="75" t="str">
        <f>IF(AND(OR(LEFT(TH!N2580,2)="15",LEFT(TH!O2580,2)="15"),LEFT(TH!O2580,3)&lt;&gt;"111",'152-CT'!$J$8=TH!F2580),"x","")</f>
        <v/>
      </c>
      <c r="AC2580" s="75" t="str">
        <f>IF(AND(OR(LEFT(TH!N2580,2)="15",LEFT(TH!O2580,2)="15"),TK!$E$7=TH!F2580),"x","")</f>
        <v/>
      </c>
      <c r="AD2580" s="75" t="str">
        <f>IF(AND(N2580="1521",MONTH(C2580)='BK-NL'!$M$11),"x","")</f>
        <v/>
      </c>
    </row>
    <row r="2581" spans="1:30" s="1264" customFormat="1" ht="16.5" customHeight="1">
      <c r="A2581" s="309" t="str">
        <f>IF(B2581&lt;&gt;"",IF(AND(B2581='IN-TC'!$S$4,OR(TH!N2581="1111",TH!O2581="1111")),TH!D2581,""),"")</f>
        <v/>
      </c>
      <c r="B2581" s="1311">
        <f t="shared" si="923"/>
        <v>1</v>
      </c>
      <c r="C2581" s="71">
        <v>42758</v>
      </c>
      <c r="D2581" s="71" t="s">
        <v>902</v>
      </c>
      <c r="E2581" s="929">
        <v>42758</v>
      </c>
      <c r="F2581" s="73" t="s">
        <v>1096</v>
      </c>
      <c r="G2581" s="72" t="s">
        <v>585</v>
      </c>
      <c r="H2581" s="73" t="s">
        <v>807</v>
      </c>
      <c r="I2581" s="371"/>
      <c r="J2581" s="377"/>
      <c r="K2581" s="371">
        <v>156.80000000000001</v>
      </c>
      <c r="L2581" s="377">
        <v>22750</v>
      </c>
      <c r="M2581" s="74">
        <f t="shared" si="924"/>
        <v>3567200</v>
      </c>
      <c r="N2581" s="1224" t="s">
        <v>99</v>
      </c>
      <c r="O2581" s="934" t="s">
        <v>256</v>
      </c>
      <c r="P2581" s="75" t="str">
        <f>IF(AND('331-CT'!$E$7=TH!H2581,OR(N2581="331",O2581="331")),"x","")</f>
        <v/>
      </c>
      <c r="Q2581" s="75" t="str">
        <f>IF(AND(B2581='111'!$L$11,OR($N2581=$Q$7,$O2581=$Q$7)),"x","")</f>
        <v/>
      </c>
      <c r="R2581" s="75" t="str">
        <f>IF(AND($N2581=$Q$7,$B2581&lt;'111'!$L$11),"x","")</f>
        <v/>
      </c>
      <c r="S2581" s="75" t="str">
        <f>IF(AND($O2581=$Q$7,$B2581&lt;'111'!$L$11),"x","")</f>
        <v/>
      </c>
      <c r="T2581" s="75" t="str">
        <f>IF(ISERROR(FIND('112'!$M$9,G2581,1)),"",IF((AND(FIND('112'!$M$9,G2581,1)&gt;=1,B2581='112'!$K$9,OR($N2581='112'!$I$6,$O2581='112'!$I$6))),"x",""))</f>
        <v/>
      </c>
      <c r="U2581" s="75" t="str">
        <f>IF(ISERROR(FIND('112'!$M$9,G2581,1)),"",IF((AND(LEFT(G2581,2)=LEFT('112'!$M$9,2),B2581&lt;'112'!$K$9,$N2581='112'!$I$6)),"x",""))</f>
        <v/>
      </c>
      <c r="V2581" s="75" t="str">
        <f>IF(ISERROR(FIND('112'!$M$9,G2581,1)),"",IF((AND(RIGHT(G2581,2)=RIGHT('112'!$M$9,2),B2581&lt;'112'!$K$9,$O2581='112'!$I$6)),"x",""))</f>
        <v/>
      </c>
      <c r="W2581" s="75" t="str">
        <f>IF(AND('341-CT'!$H$9=H2581,OR(LEFT(N2581,3)=$W$7,LEFT(O2581,3)=$W$7)),"x","")</f>
        <v/>
      </c>
      <c r="X2581" s="75" t="str">
        <f>IF(OR(TH!N2581=TH!$X$7,O2581=TH!$X$7),"x","")</f>
        <v/>
      </c>
      <c r="Y2581" s="75" t="str">
        <f>IF(AND(OR(N2581="131",O2581="131"),H2581='131-CT'!$H$9),"x","")</f>
        <v/>
      </c>
      <c r="Z2581" s="75"/>
      <c r="AA2581" s="75" t="str">
        <f>IF(AND(MONTH(E2581)='IN-NX'!$J$5,'IN-NX'!$D$7=D2581),"x","")</f>
        <v/>
      </c>
      <c r="AB2581" s="75" t="str">
        <f>IF(AND(OR(LEFT(TH!N2581,2)="15",LEFT(TH!O2581,2)="15"),LEFT(TH!O2581,3)&lt;&gt;"111",'152-CT'!$J$8=TH!F2581),"x","")</f>
        <v/>
      </c>
      <c r="AC2581" s="75" t="str">
        <f>IF(AND(OR(LEFT(TH!N2581,2)="15",LEFT(TH!O2581,2)="15"),TK!$E$7=TH!F2581),"x","")</f>
        <v/>
      </c>
      <c r="AD2581" s="75" t="str">
        <f>IF(AND(N2581="1521",MONTH(C2581)='BK-NL'!$M$11),"x","")</f>
        <v/>
      </c>
    </row>
    <row r="2582" spans="1:30" s="1264" customFormat="1" ht="16.5" customHeight="1">
      <c r="A2582" s="309" t="str">
        <f>IF(B2582&lt;&gt;"",IF(AND(B2582='IN-TC'!$S$4,OR(TH!N2582="1111",TH!O2582="1111")),TH!D2582,""),"")</f>
        <v/>
      </c>
      <c r="B2582" s="1311">
        <f t="shared" si="923"/>
        <v>1</v>
      </c>
      <c r="C2582" s="71">
        <v>42759</v>
      </c>
      <c r="D2582" s="71" t="s">
        <v>902</v>
      </c>
      <c r="E2582" s="929">
        <v>42759</v>
      </c>
      <c r="F2582" s="73" t="s">
        <v>1096</v>
      </c>
      <c r="G2582" s="72" t="s">
        <v>585</v>
      </c>
      <c r="H2582" s="73" t="s">
        <v>806</v>
      </c>
      <c r="I2582" s="371"/>
      <c r="J2582" s="377"/>
      <c r="K2582" s="371">
        <v>100</v>
      </c>
      <c r="L2582" s="377">
        <v>22750</v>
      </c>
      <c r="M2582" s="74">
        <f t="shared" si="924"/>
        <v>2275000</v>
      </c>
      <c r="N2582" s="1224" t="s">
        <v>99</v>
      </c>
      <c r="O2582" s="934" t="s">
        <v>256</v>
      </c>
      <c r="P2582" s="75" t="str">
        <f>IF(AND('331-CT'!$E$7=TH!H2582,OR(N2582="331",O2582="331")),"x","")</f>
        <v/>
      </c>
      <c r="Q2582" s="75" t="str">
        <f>IF(AND(B2582='111'!$L$11,OR($N2582=$Q$7,$O2582=$Q$7)),"x","")</f>
        <v/>
      </c>
      <c r="R2582" s="75" t="str">
        <f>IF(AND($N2582=$Q$7,$B2582&lt;'111'!$L$11),"x","")</f>
        <v/>
      </c>
      <c r="S2582" s="75" t="str">
        <f>IF(AND($O2582=$Q$7,$B2582&lt;'111'!$L$11),"x","")</f>
        <v/>
      </c>
      <c r="T2582" s="75" t="str">
        <f>IF(ISERROR(FIND('112'!$M$9,G2582,1)),"",IF((AND(FIND('112'!$M$9,G2582,1)&gt;=1,B2582='112'!$K$9,OR($N2582='112'!$I$6,$O2582='112'!$I$6))),"x",""))</f>
        <v/>
      </c>
      <c r="U2582" s="75" t="str">
        <f>IF(ISERROR(FIND('112'!$M$9,G2582,1)),"",IF((AND(LEFT(G2582,2)=LEFT('112'!$M$9,2),B2582&lt;'112'!$K$9,$N2582='112'!$I$6)),"x",""))</f>
        <v/>
      </c>
      <c r="V2582" s="75" t="str">
        <f>IF(ISERROR(FIND('112'!$M$9,G2582,1)),"",IF((AND(RIGHT(G2582,2)=RIGHT('112'!$M$9,2),B2582&lt;'112'!$K$9,$O2582='112'!$I$6)),"x",""))</f>
        <v/>
      </c>
      <c r="W2582" s="75" t="str">
        <f>IF(AND('341-CT'!$H$9=H2582,OR(LEFT(N2582,3)=$W$7,LEFT(O2582,3)=$W$7)),"x","")</f>
        <v/>
      </c>
      <c r="X2582" s="75" t="str">
        <f>IF(OR(TH!N2582=TH!$X$7,O2582=TH!$X$7),"x","")</f>
        <v/>
      </c>
      <c r="Y2582" s="75" t="str">
        <f>IF(AND(OR(N2582="131",O2582="131"),H2582='131-CT'!$H$9),"x","")</f>
        <v/>
      </c>
      <c r="Z2582" s="75"/>
      <c r="AA2582" s="75" t="str">
        <f>IF(AND(MONTH(E2582)='IN-NX'!$J$5,'IN-NX'!$D$7=D2582),"x","")</f>
        <v/>
      </c>
      <c r="AB2582" s="75" t="str">
        <f>IF(AND(OR(LEFT(TH!N2582,2)="15",LEFT(TH!O2582,2)="15"),LEFT(TH!O2582,3)&lt;&gt;"111",'152-CT'!$J$8=TH!F2582),"x","")</f>
        <v/>
      </c>
      <c r="AC2582" s="75" t="str">
        <f>IF(AND(OR(LEFT(TH!N2582,2)="15",LEFT(TH!O2582,2)="15"),TK!$E$7=TH!F2582),"x","")</f>
        <v/>
      </c>
      <c r="AD2582" s="75" t="str">
        <f>IF(AND(N2582="1521",MONTH(C2582)='BK-NL'!$M$11),"x","")</f>
        <v/>
      </c>
    </row>
    <row r="2583" spans="1:30" s="1264" customFormat="1" ht="16.5" customHeight="1">
      <c r="A2583" s="309" t="str">
        <f>IF(B2583&lt;&gt;"",IF(AND(B2583='IN-TC'!$S$4,OR(TH!N2583="1111",TH!O2583="1111")),TH!D2583,""),"")</f>
        <v/>
      </c>
      <c r="B2583" s="1312">
        <f t="shared" si="923"/>
        <v>2</v>
      </c>
      <c r="C2583" s="71">
        <v>42774</v>
      </c>
      <c r="D2583" s="71" t="s">
        <v>902</v>
      </c>
      <c r="E2583" s="929">
        <v>42774</v>
      </c>
      <c r="F2583" s="73" t="s">
        <v>1321</v>
      </c>
      <c r="G2583" s="72" t="s">
        <v>585</v>
      </c>
      <c r="H2583" s="73" t="s">
        <v>758</v>
      </c>
      <c r="I2583" s="371"/>
      <c r="J2583" s="377"/>
      <c r="K2583" s="371">
        <v>52300</v>
      </c>
      <c r="L2583" s="377">
        <v>22770</v>
      </c>
      <c r="M2583" s="74">
        <f t="shared" ref="M2583" si="925">ROUND(K2583*L2583,0)</f>
        <v>1190871000</v>
      </c>
      <c r="N2583" s="75" t="s">
        <v>250</v>
      </c>
      <c r="O2583" s="934" t="s">
        <v>256</v>
      </c>
      <c r="P2583" s="75" t="str">
        <f>IF(AND('331-CT'!$E$7=TH!H2583,OR(N2583="331",O2583="331")),"x","")</f>
        <v/>
      </c>
      <c r="Q2583" s="75" t="str">
        <f>IF(AND(B2583='111'!$L$11,OR($N2583=$Q$7,$O2583=$Q$7)),"x","")</f>
        <v/>
      </c>
      <c r="R2583" s="75" t="str">
        <f>IF(AND($N2583=$Q$7,$B2583&lt;'111'!$L$11),"x","")</f>
        <v/>
      </c>
      <c r="S2583" s="75" t="str">
        <f>IF(AND($O2583=$Q$7,$B2583&lt;'111'!$L$11),"x","")</f>
        <v/>
      </c>
      <c r="T2583" s="75" t="str">
        <f>IF(ISERROR(FIND('112'!$M$9,G2583,1)),"",IF((AND(FIND('112'!$M$9,G2583,1)&gt;=1,B2583='112'!$K$9,OR($N2583='112'!$I$6,$O2583='112'!$I$6))),"x",""))</f>
        <v/>
      </c>
      <c r="U2583" s="75" t="str">
        <f>IF(ISERROR(FIND('112'!$M$9,G2583,1)),"",IF((AND(LEFT(G2583,2)=LEFT('112'!$M$9,2),B2583&lt;'112'!$K$9,$N2583='112'!$I$6)),"x",""))</f>
        <v/>
      </c>
      <c r="V2583" s="75" t="str">
        <f>IF(ISERROR(FIND('112'!$M$9,G2583,1)),"",IF((AND(RIGHT(G2583,2)=RIGHT('112'!$M$9,2),B2583&lt;'112'!$K$9,$O2583='112'!$I$6)),"x",""))</f>
        <v/>
      </c>
      <c r="W2583" s="75" t="str">
        <f>IF(AND('341-CT'!$H$9=H2583,OR(LEFT(N2583,3)=$W$7,LEFT(O2583,3)=$W$7)),"x","")</f>
        <v/>
      </c>
      <c r="X2583" s="75" t="str">
        <f>IF(OR(TH!N2583=TH!$X$7,O2583=TH!$X$7),"x","")</f>
        <v/>
      </c>
      <c r="Y2583" s="75" t="str">
        <f>IF(AND(OR(N2583="131",O2583="131"),H2583='131-CT'!$H$9),"x","")</f>
        <v/>
      </c>
      <c r="Z2583" s="75"/>
      <c r="AA2583" s="75" t="str">
        <f>IF(AND(MONTH(E2583)='IN-NX'!$J$5,'IN-NX'!$D$7=D2583),"x","")</f>
        <v/>
      </c>
      <c r="AB2583" s="75" t="str">
        <f>IF(AND(OR(LEFT(TH!N2583,2)="15",LEFT(TH!O2583,2)="15"),LEFT(TH!O2583,3)&lt;&gt;"111",'152-CT'!$J$8=TH!F2583),"x","")</f>
        <v/>
      </c>
      <c r="AC2583" s="75" t="str">
        <f>IF(AND(OR(LEFT(TH!N2583,2)="15",LEFT(TH!O2583,2)="15"),TK!$E$7=TH!F2583),"x","")</f>
        <v/>
      </c>
      <c r="AD2583" s="75" t="str">
        <f>IF(AND(N2583="1521",MONTH(C2583)='BK-NL'!$M$11),"x","")</f>
        <v/>
      </c>
    </row>
    <row r="2584" spans="1:30" s="1264" customFormat="1" ht="16.5" customHeight="1">
      <c r="A2584" s="309" t="str">
        <f>IF(B2584&lt;&gt;"",IF(AND(B2584='IN-TC'!$S$4,OR(TH!N2584="1111",TH!O2584="1111")),TH!D2584,""),"")</f>
        <v/>
      </c>
      <c r="B2584" s="1312">
        <f t="shared" si="923"/>
        <v>2</v>
      </c>
      <c r="C2584" s="71">
        <v>42774</v>
      </c>
      <c r="D2584" s="71" t="s">
        <v>530</v>
      </c>
      <c r="E2584" s="929">
        <v>42774</v>
      </c>
      <c r="F2584" s="73" t="s">
        <v>1010</v>
      </c>
      <c r="G2584" s="72" t="s">
        <v>585</v>
      </c>
      <c r="H2584" s="73" t="s">
        <v>758</v>
      </c>
      <c r="I2584" s="371"/>
      <c r="J2584" s="377"/>
      <c r="K2584" s="371"/>
      <c r="L2584" s="377"/>
      <c r="M2584" s="74">
        <v>24842500</v>
      </c>
      <c r="N2584" s="75" t="s">
        <v>99</v>
      </c>
      <c r="O2584" s="75" t="s">
        <v>250</v>
      </c>
      <c r="P2584" s="75" t="str">
        <f>IF(AND('331-CT'!$E$7=TH!H2584,OR(N2584="331",O2584="331")),"x","")</f>
        <v/>
      </c>
      <c r="Q2584" s="75" t="str">
        <f>IF(AND(B2584='111'!$L$11,OR($N2584=$Q$7,$O2584=$Q$7)),"x","")</f>
        <v/>
      </c>
      <c r="R2584" s="75" t="str">
        <f>IF(AND($N2584=$Q$7,$B2584&lt;'111'!$L$11),"x","")</f>
        <v/>
      </c>
      <c r="S2584" s="75" t="str">
        <f>IF(AND($O2584=$Q$7,$B2584&lt;'111'!$L$11),"x","")</f>
        <v/>
      </c>
      <c r="T2584" s="75" t="str">
        <f>IF(ISERROR(FIND('112'!$M$9,G2584,1)),"",IF((AND(FIND('112'!$M$9,G2584,1)&gt;=1,B2584='112'!$K$9,OR($N2584='112'!$I$6,$O2584='112'!$I$6))),"x",""))</f>
        <v/>
      </c>
      <c r="U2584" s="75" t="str">
        <f>IF(ISERROR(FIND('112'!$M$9,G2584,1)),"",IF((AND(LEFT(G2584,2)=LEFT('112'!$M$9,2),B2584&lt;'112'!$K$9,$N2584='112'!$I$6)),"x",""))</f>
        <v/>
      </c>
      <c r="V2584" s="75" t="str">
        <f>IF(ISERROR(FIND('112'!$M$9,G2584,1)),"",IF((AND(RIGHT(G2584,2)=RIGHT('112'!$M$9,2),B2584&lt;'112'!$K$9,$O2584='112'!$I$6)),"x",""))</f>
        <v/>
      </c>
      <c r="W2584" s="75" t="str">
        <f>IF(AND('341-CT'!$H$9=H2584,OR(LEFT(N2584,3)=$W$7,LEFT(O2584,3)=$W$7)),"x","")</f>
        <v/>
      </c>
      <c r="X2584" s="75" t="str">
        <f>IF(OR(TH!N2584=TH!$X$7,O2584=TH!$X$7),"x","")</f>
        <v/>
      </c>
      <c r="Y2584" s="75" t="str">
        <f>IF(AND(OR(N2584="131",O2584="131"),H2584='131-CT'!$H$9),"x","")</f>
        <v/>
      </c>
      <c r="Z2584" s="75"/>
      <c r="AA2584" s="75" t="str">
        <f>IF(AND(MONTH(E2584)='IN-NX'!$J$5,'IN-NX'!$D$7=D2584),"x","")</f>
        <v/>
      </c>
      <c r="AB2584" s="75" t="str">
        <f>IF(AND(OR(LEFT(TH!N2584,2)="15",LEFT(TH!O2584,2)="15"),LEFT(TH!O2584,3)&lt;&gt;"111",'152-CT'!$J$8=TH!F2584),"x","")</f>
        <v/>
      </c>
      <c r="AC2584" s="75" t="str">
        <f>IF(AND(OR(LEFT(TH!N2584,2)="15",LEFT(TH!O2584,2)="15"),TK!$E$7=TH!F2584),"x","")</f>
        <v/>
      </c>
      <c r="AD2584" s="75" t="str">
        <f>IF(AND(N2584="1521",MONTH(C2584)='BK-NL'!$M$11),"x","")</f>
        <v/>
      </c>
    </row>
    <row r="2585" spans="1:30" s="1264" customFormat="1" ht="16.5" customHeight="1">
      <c r="A2585" s="309" t="str">
        <f>IF(B2585&lt;&gt;"",IF(AND(B2585='IN-TC'!$S$4,OR(TH!N2585="1111",TH!O2585="1111")),TH!D2585,""),"")</f>
        <v/>
      </c>
      <c r="B2585" s="1312">
        <f t="shared" si="923"/>
        <v>2</v>
      </c>
      <c r="C2585" s="71">
        <v>42774</v>
      </c>
      <c r="D2585" s="71" t="s">
        <v>902</v>
      </c>
      <c r="E2585" s="929">
        <v>42774</v>
      </c>
      <c r="F2585" s="73" t="s">
        <v>1096</v>
      </c>
      <c r="G2585" s="72" t="s">
        <v>585</v>
      </c>
      <c r="H2585" s="73" t="s">
        <v>758</v>
      </c>
      <c r="I2585" s="371"/>
      <c r="J2585" s="377"/>
      <c r="K2585" s="371">
        <v>111.14</v>
      </c>
      <c r="L2585" s="377">
        <v>22770</v>
      </c>
      <c r="M2585" s="74">
        <f t="shared" ref="M2585:M2588" si="926">ROUND(K2585*L2585,0)</f>
        <v>2530658</v>
      </c>
      <c r="N2585" s="75" t="s">
        <v>99</v>
      </c>
      <c r="O2585" s="934" t="s">
        <v>256</v>
      </c>
      <c r="P2585" s="75" t="str">
        <f>IF(AND('331-CT'!$E$7=TH!H2585,OR(N2585="331",O2585="331")),"x","")</f>
        <v/>
      </c>
      <c r="Q2585" s="75" t="str">
        <f>IF(AND(B2585='111'!$L$11,OR($N2585=$Q$7,$O2585=$Q$7)),"x","")</f>
        <v/>
      </c>
      <c r="R2585" s="75" t="str">
        <f>IF(AND($N2585=$Q$7,$B2585&lt;'111'!$L$11),"x","")</f>
        <v/>
      </c>
      <c r="S2585" s="75" t="str">
        <f>IF(AND($O2585=$Q$7,$B2585&lt;'111'!$L$11),"x","")</f>
        <v/>
      </c>
      <c r="T2585" s="75" t="str">
        <f>IF(ISERROR(FIND('112'!$M$9,G2585,1)),"",IF((AND(FIND('112'!$M$9,G2585,1)&gt;=1,B2585='112'!$K$9,OR($N2585='112'!$I$6,$O2585='112'!$I$6))),"x",""))</f>
        <v/>
      </c>
      <c r="U2585" s="75" t="str">
        <f>IF(ISERROR(FIND('112'!$M$9,G2585,1)),"",IF((AND(LEFT(G2585,2)=LEFT('112'!$M$9,2),B2585&lt;'112'!$K$9,$N2585='112'!$I$6)),"x",""))</f>
        <v/>
      </c>
      <c r="V2585" s="75" t="str">
        <f>IF(ISERROR(FIND('112'!$M$9,G2585,1)),"",IF((AND(RIGHT(G2585,2)=RIGHT('112'!$M$9,2),B2585&lt;'112'!$K$9,$O2585='112'!$I$6)),"x",""))</f>
        <v/>
      </c>
      <c r="W2585" s="75" t="str">
        <f>IF(AND('341-CT'!$H$9=H2585,OR(LEFT(N2585,3)=$W$7,LEFT(O2585,3)=$W$7)),"x","")</f>
        <v/>
      </c>
      <c r="X2585" s="75" t="str">
        <f>IF(OR(TH!N2585=TH!$X$7,O2585=TH!$X$7),"x","")</f>
        <v/>
      </c>
      <c r="Y2585" s="75" t="str">
        <f>IF(AND(OR(N2585="131",O2585="131"),H2585='131-CT'!$H$9),"x","")</f>
        <v/>
      </c>
      <c r="Z2585" s="75"/>
      <c r="AA2585" s="75" t="str">
        <f>IF(AND(MONTH(E2585)='IN-NX'!$J$5,'IN-NX'!$D$7=D2585),"x","")</f>
        <v/>
      </c>
      <c r="AB2585" s="75" t="str">
        <f>IF(AND(OR(LEFT(TH!N2585,2)="15",LEFT(TH!O2585,2)="15"),LEFT(TH!O2585,3)&lt;&gt;"111",'152-CT'!$J$8=TH!F2585),"x","")</f>
        <v/>
      </c>
      <c r="AC2585" s="75" t="str">
        <f>IF(AND(OR(LEFT(TH!N2585,2)="15",LEFT(TH!O2585,2)="15"),TK!$E$7=TH!F2585),"x","")</f>
        <v/>
      </c>
      <c r="AD2585" s="75" t="str">
        <f>IF(AND(N2585="1521",MONTH(C2585)='BK-NL'!$M$11),"x","")</f>
        <v/>
      </c>
    </row>
    <row r="2586" spans="1:30" s="1264" customFormat="1" ht="16.5" customHeight="1">
      <c r="A2586" s="309" t="str">
        <f>IF(B2586&lt;&gt;"",IF(AND(B2586='IN-TC'!$S$4,OR(TH!N2586="1111",TH!O2586="1111")),TH!D2586,""),"")</f>
        <v/>
      </c>
      <c r="B2586" s="1312">
        <f t="shared" si="923"/>
        <v>2</v>
      </c>
      <c r="C2586" s="71">
        <v>42781</v>
      </c>
      <c r="D2586" s="71" t="s">
        <v>902</v>
      </c>
      <c r="E2586" s="929">
        <v>42781</v>
      </c>
      <c r="F2586" s="73" t="s">
        <v>1096</v>
      </c>
      <c r="G2586" s="72" t="s">
        <v>585</v>
      </c>
      <c r="H2586" s="72" t="s">
        <v>806</v>
      </c>
      <c r="I2586" s="371"/>
      <c r="J2586" s="377"/>
      <c r="K2586" s="371">
        <v>240.25</v>
      </c>
      <c r="L2586" s="377">
        <v>22770</v>
      </c>
      <c r="M2586" s="74">
        <f t="shared" si="926"/>
        <v>5470493</v>
      </c>
      <c r="N2586" s="75" t="s">
        <v>99</v>
      </c>
      <c r="O2586" s="934" t="s">
        <v>256</v>
      </c>
      <c r="P2586" s="75" t="str">
        <f>IF(AND('331-CT'!$E$7=TH!H2586,OR(N2586="331",O2586="331")),"x","")</f>
        <v/>
      </c>
      <c r="Q2586" s="75" t="str">
        <f>IF(AND(B2586='111'!$L$11,OR($N2586=$Q$7,$O2586=$Q$7)),"x","")</f>
        <v/>
      </c>
      <c r="R2586" s="75" t="str">
        <f>IF(AND($N2586=$Q$7,$B2586&lt;'111'!$L$11),"x","")</f>
        <v/>
      </c>
      <c r="S2586" s="75" t="str">
        <f>IF(AND($O2586=$Q$7,$B2586&lt;'111'!$L$11),"x","")</f>
        <v/>
      </c>
      <c r="T2586" s="75" t="str">
        <f>IF(ISERROR(FIND('112'!$M$9,G2586,1)),"",IF((AND(FIND('112'!$M$9,G2586,1)&gt;=1,B2586='112'!$K$9,OR($N2586='112'!$I$6,$O2586='112'!$I$6))),"x",""))</f>
        <v/>
      </c>
      <c r="U2586" s="75" t="str">
        <f>IF(ISERROR(FIND('112'!$M$9,G2586,1)),"",IF((AND(LEFT(G2586,2)=LEFT('112'!$M$9,2),B2586&lt;'112'!$K$9,$N2586='112'!$I$6)),"x",""))</f>
        <v/>
      </c>
      <c r="V2586" s="75" t="str">
        <f>IF(ISERROR(FIND('112'!$M$9,G2586,1)),"",IF((AND(RIGHT(G2586,2)=RIGHT('112'!$M$9,2),B2586&lt;'112'!$K$9,$O2586='112'!$I$6)),"x",""))</f>
        <v/>
      </c>
      <c r="W2586" s="75" t="str">
        <f>IF(AND('341-CT'!$H$9=H2586,OR(LEFT(N2586,3)=$W$7,LEFT(O2586,3)=$W$7)),"x","")</f>
        <v/>
      </c>
      <c r="X2586" s="75" t="str">
        <f>IF(OR(TH!N2586=TH!$X$7,O2586=TH!$X$7),"x","")</f>
        <v/>
      </c>
      <c r="Y2586" s="75" t="str">
        <f>IF(AND(OR(N2586="131",O2586="131"),H2586='131-CT'!$H$9),"x","")</f>
        <v/>
      </c>
      <c r="Z2586" s="75"/>
      <c r="AA2586" s="75" t="str">
        <f>IF(AND(MONTH(E2586)='IN-NX'!$J$5,'IN-NX'!$D$7=D2586),"x","")</f>
        <v/>
      </c>
      <c r="AB2586" s="75" t="str">
        <f>IF(AND(OR(LEFT(TH!N2586,2)="15",LEFT(TH!O2586,2)="15"),LEFT(TH!O2586,3)&lt;&gt;"111",'152-CT'!$J$8=TH!F2586),"x","")</f>
        <v/>
      </c>
      <c r="AC2586" s="75" t="str">
        <f>IF(AND(OR(LEFT(TH!N2586,2)="15",LEFT(TH!O2586,2)="15"),TK!$E$7=TH!F2586),"x","")</f>
        <v/>
      </c>
      <c r="AD2586" s="75" t="str">
        <f>IF(AND(N2586="1521",MONTH(C2586)='BK-NL'!$M$11),"x","")</f>
        <v/>
      </c>
    </row>
    <row r="2587" spans="1:30" s="1264" customFormat="1" ht="16.5" customHeight="1">
      <c r="A2587" s="309" t="str">
        <f>IF(B2587&lt;&gt;"",IF(AND(B2587='IN-TC'!$S$4,OR(TH!N2587="1111",TH!O2587="1111")),TH!D2587,""),"")</f>
        <v/>
      </c>
      <c r="B2587" s="1312">
        <f t="shared" si="923"/>
        <v>2</v>
      </c>
      <c r="C2587" s="71">
        <v>42781</v>
      </c>
      <c r="D2587" s="71" t="s">
        <v>902</v>
      </c>
      <c r="E2587" s="929">
        <v>42781</v>
      </c>
      <c r="F2587" s="73" t="s">
        <v>1096</v>
      </c>
      <c r="G2587" s="72" t="s">
        <v>585</v>
      </c>
      <c r="H2587" s="72" t="s">
        <v>807</v>
      </c>
      <c r="I2587" s="371"/>
      <c r="J2587" s="377"/>
      <c r="K2587" s="371">
        <v>151.77000000000001</v>
      </c>
      <c r="L2587" s="377">
        <v>22770</v>
      </c>
      <c r="M2587" s="74">
        <f t="shared" si="926"/>
        <v>3455803</v>
      </c>
      <c r="N2587" s="75" t="s">
        <v>99</v>
      </c>
      <c r="O2587" s="934" t="s">
        <v>256</v>
      </c>
      <c r="P2587" s="75" t="str">
        <f>IF(AND('331-CT'!$E$7=TH!H2587,OR(N2587="331",O2587="331")),"x","")</f>
        <v/>
      </c>
      <c r="Q2587" s="75" t="str">
        <f>IF(AND(B2587='111'!$L$11,OR($N2587=$Q$7,$O2587=$Q$7)),"x","")</f>
        <v/>
      </c>
      <c r="R2587" s="75" t="str">
        <f>IF(AND($N2587=$Q$7,$B2587&lt;'111'!$L$11),"x","")</f>
        <v/>
      </c>
      <c r="S2587" s="75" t="str">
        <f>IF(AND($O2587=$Q$7,$B2587&lt;'111'!$L$11),"x","")</f>
        <v/>
      </c>
      <c r="T2587" s="75" t="str">
        <f>IF(ISERROR(FIND('112'!$M$9,G2587,1)),"",IF((AND(FIND('112'!$M$9,G2587,1)&gt;=1,B2587='112'!$K$9,OR($N2587='112'!$I$6,$O2587='112'!$I$6))),"x",""))</f>
        <v/>
      </c>
      <c r="U2587" s="75" t="str">
        <f>IF(ISERROR(FIND('112'!$M$9,G2587,1)),"",IF((AND(LEFT(G2587,2)=LEFT('112'!$M$9,2),B2587&lt;'112'!$K$9,$N2587='112'!$I$6)),"x",""))</f>
        <v/>
      </c>
      <c r="V2587" s="75" t="str">
        <f>IF(ISERROR(FIND('112'!$M$9,G2587,1)),"",IF((AND(RIGHT(G2587,2)=RIGHT('112'!$M$9,2),B2587&lt;'112'!$K$9,$O2587='112'!$I$6)),"x",""))</f>
        <v/>
      </c>
      <c r="W2587" s="75" t="str">
        <f>IF(AND('341-CT'!$H$9=H2587,OR(LEFT(N2587,3)=$W$7,LEFT(O2587,3)=$W$7)),"x","")</f>
        <v/>
      </c>
      <c r="X2587" s="75" t="str">
        <f>IF(OR(TH!N2587=TH!$X$7,O2587=TH!$X$7),"x","")</f>
        <v/>
      </c>
      <c r="Y2587" s="75" t="str">
        <f>IF(AND(OR(N2587="131",O2587="131"),H2587='131-CT'!$H$9),"x","")</f>
        <v/>
      </c>
      <c r="Z2587" s="75"/>
      <c r="AA2587" s="75" t="str">
        <f>IF(AND(MONTH(E2587)='IN-NX'!$J$5,'IN-NX'!$D$7=D2587),"x","")</f>
        <v/>
      </c>
      <c r="AB2587" s="75" t="str">
        <f>IF(AND(OR(LEFT(TH!N2587,2)="15",LEFT(TH!O2587,2)="15"),LEFT(TH!O2587,3)&lt;&gt;"111",'152-CT'!$J$8=TH!F2587),"x","")</f>
        <v/>
      </c>
      <c r="AC2587" s="75" t="str">
        <f>IF(AND(OR(LEFT(TH!N2587,2)="15",LEFT(TH!O2587,2)="15"),TK!$E$7=TH!F2587),"x","")</f>
        <v/>
      </c>
      <c r="AD2587" s="75" t="str">
        <f>IF(AND(N2587="1521",MONTH(C2587)='BK-NL'!$M$11),"x","")</f>
        <v/>
      </c>
    </row>
    <row r="2588" spans="1:30" s="1264" customFormat="1" ht="16.5" customHeight="1">
      <c r="A2588" s="309" t="str">
        <f>IF(B2588&lt;&gt;"",IF(AND(B2588='IN-TC'!$S$4,OR(TH!N2588="1111",TH!O2588="1111")),TH!D2588,""),"")</f>
        <v/>
      </c>
      <c r="B2588" s="1312">
        <f t="shared" si="923"/>
        <v>2</v>
      </c>
      <c r="C2588" s="71">
        <v>42781</v>
      </c>
      <c r="D2588" s="71" t="s">
        <v>902</v>
      </c>
      <c r="E2588" s="929">
        <v>42781</v>
      </c>
      <c r="F2588" s="73" t="s">
        <v>1096</v>
      </c>
      <c r="G2588" s="72" t="s">
        <v>585</v>
      </c>
      <c r="H2588" s="735" t="s">
        <v>927</v>
      </c>
      <c r="I2588" s="371"/>
      <c r="J2588" s="377"/>
      <c r="K2588" s="371">
        <v>116.46</v>
      </c>
      <c r="L2588" s="377">
        <v>22770</v>
      </c>
      <c r="M2588" s="74">
        <f t="shared" si="926"/>
        <v>2651794</v>
      </c>
      <c r="N2588" s="75" t="s">
        <v>99</v>
      </c>
      <c r="O2588" s="934" t="s">
        <v>256</v>
      </c>
      <c r="P2588" s="75" t="str">
        <f>IF(AND('331-CT'!$E$7=TH!H2588,OR(N2588="331",O2588="331")),"x","")</f>
        <v/>
      </c>
      <c r="Q2588" s="75" t="str">
        <f>IF(AND(B2588='111'!$L$11,OR($N2588=$Q$7,$O2588=$Q$7)),"x","")</f>
        <v/>
      </c>
      <c r="R2588" s="75" t="str">
        <f>IF(AND($N2588=$Q$7,$B2588&lt;'111'!$L$11),"x","")</f>
        <v/>
      </c>
      <c r="S2588" s="75" t="str">
        <f>IF(AND($O2588=$Q$7,$B2588&lt;'111'!$L$11),"x","")</f>
        <v/>
      </c>
      <c r="T2588" s="75" t="str">
        <f>IF(ISERROR(FIND('112'!$M$9,G2588,1)),"",IF((AND(FIND('112'!$M$9,G2588,1)&gt;=1,B2588='112'!$K$9,OR($N2588='112'!$I$6,$O2588='112'!$I$6))),"x",""))</f>
        <v/>
      </c>
      <c r="U2588" s="75" t="str">
        <f>IF(ISERROR(FIND('112'!$M$9,G2588,1)),"",IF((AND(LEFT(G2588,2)=LEFT('112'!$M$9,2),B2588&lt;'112'!$K$9,$N2588='112'!$I$6)),"x",""))</f>
        <v/>
      </c>
      <c r="V2588" s="75" t="str">
        <f>IF(ISERROR(FIND('112'!$M$9,G2588,1)),"",IF((AND(RIGHT(G2588,2)=RIGHT('112'!$M$9,2),B2588&lt;'112'!$K$9,$O2588='112'!$I$6)),"x",""))</f>
        <v/>
      </c>
      <c r="W2588" s="75" t="str">
        <f>IF(AND('341-CT'!$H$9=H2588,OR(LEFT(N2588,3)=$W$7,LEFT(O2588,3)=$W$7)),"x","")</f>
        <v/>
      </c>
      <c r="X2588" s="75" t="str">
        <f>IF(OR(TH!N2588=TH!$X$7,O2588=TH!$X$7),"x","")</f>
        <v/>
      </c>
      <c r="Y2588" s="75" t="str">
        <f>IF(AND(OR(N2588="131",O2588="131"),H2588='131-CT'!$H$9),"x","")</f>
        <v/>
      </c>
      <c r="Z2588" s="75"/>
      <c r="AA2588" s="75" t="str">
        <f>IF(AND(MONTH(E2588)='IN-NX'!$J$5,'IN-NX'!$D$7=D2588),"x","")</f>
        <v/>
      </c>
      <c r="AB2588" s="75" t="str">
        <f>IF(AND(OR(LEFT(TH!N2588,2)="15",LEFT(TH!O2588,2)="15"),LEFT(TH!O2588,3)&lt;&gt;"111",'152-CT'!$J$8=TH!F2588),"x","")</f>
        <v/>
      </c>
      <c r="AC2588" s="75" t="str">
        <f>IF(AND(OR(LEFT(TH!N2588,2)="15",LEFT(TH!O2588,2)="15"),TK!$E$7=TH!F2588),"x","")</f>
        <v/>
      </c>
      <c r="AD2588" s="75" t="str">
        <f>IF(AND(N2588="1521",MONTH(C2588)='BK-NL'!$M$11),"x","")</f>
        <v/>
      </c>
    </row>
    <row r="2589" spans="1:30" s="1264" customFormat="1" ht="16.5" customHeight="1">
      <c r="A2589" s="309" t="str">
        <f>IF(B2589&lt;&gt;"",IF(AND(B2589='IN-TC'!$S$4,OR(TH!N2589="1111",TH!O2589="1111")),TH!D2589,""),"")</f>
        <v/>
      </c>
      <c r="B2589" s="1312">
        <f t="shared" si="923"/>
        <v>2</v>
      </c>
      <c r="C2589" s="71">
        <v>42793</v>
      </c>
      <c r="D2589" s="71" t="s">
        <v>903</v>
      </c>
      <c r="E2589" s="929">
        <v>42793</v>
      </c>
      <c r="F2589" s="73" t="s">
        <v>907</v>
      </c>
      <c r="G2589" s="72" t="s">
        <v>585</v>
      </c>
      <c r="H2589" s="73" t="s">
        <v>845</v>
      </c>
      <c r="I2589" s="371"/>
      <c r="J2589" s="377"/>
      <c r="K2589" s="371">
        <v>450000</v>
      </c>
      <c r="L2589" s="377">
        <v>22776</v>
      </c>
      <c r="M2589" s="74">
        <f t="shared" ref="M2589:M2594" si="927">ROUND(K2589*L2589,0)</f>
        <v>10249200000</v>
      </c>
      <c r="N2589" s="75" t="s">
        <v>26</v>
      </c>
      <c r="O2589" s="934" t="s">
        <v>256</v>
      </c>
      <c r="P2589" s="75" t="str">
        <f>IF(AND('331-CT'!$E$7=TH!H2589,OR(N2589="331",O2589="331")),"x","")</f>
        <v/>
      </c>
      <c r="Q2589" s="75" t="str">
        <f>IF(AND(B2589='111'!$L$11,OR($N2589=$Q$7,$O2589=$Q$7)),"x","")</f>
        <v/>
      </c>
      <c r="R2589" s="75" t="str">
        <f>IF(AND($N2589=$Q$7,$B2589&lt;'111'!$L$11),"x","")</f>
        <v/>
      </c>
      <c r="S2589" s="75" t="str">
        <f>IF(AND($O2589=$Q$7,$B2589&lt;'111'!$L$11),"x","")</f>
        <v/>
      </c>
      <c r="T2589" s="75" t="str">
        <f>IF(ISERROR(FIND('112'!$M$9,G2589,1)),"",IF((AND(FIND('112'!$M$9,G2589,1)&gt;=1,B2589='112'!$K$9,OR($N2589='112'!$I$6,$O2589='112'!$I$6))),"x",""))</f>
        <v/>
      </c>
      <c r="U2589" s="75" t="str">
        <f>IF(ISERROR(FIND('112'!$M$9,G2589,1)),"",IF((AND(LEFT(G2589,2)=LEFT('112'!$M$9,2),B2589&lt;'112'!$K$9,$N2589='112'!$I$6)),"x",""))</f>
        <v/>
      </c>
      <c r="V2589" s="75" t="str">
        <f>IF(ISERROR(FIND('112'!$M$9,G2589,1)),"",IF((AND(RIGHT(G2589,2)=RIGHT('112'!$M$9,2),B2589&lt;'112'!$K$9,$O2589='112'!$I$6)),"x",""))</f>
        <v/>
      </c>
      <c r="W2589" s="75" t="str">
        <f>IF(AND('341-CT'!$H$9=H2589,OR(LEFT(N2589,3)=$W$7,LEFT(O2589,3)=$W$7)),"x","")</f>
        <v/>
      </c>
      <c r="X2589" s="75" t="str">
        <f>IF(OR(TH!N2589=TH!$X$7,O2589=TH!$X$7),"x","")</f>
        <v/>
      </c>
      <c r="Y2589" s="75" t="str">
        <f>IF(AND(OR(N2589="131",O2589="131"),H2589='131-CT'!$H$9),"x","")</f>
        <v/>
      </c>
      <c r="Z2589" s="75"/>
      <c r="AA2589" s="75" t="str">
        <f>IF(AND(MONTH(E2589)='IN-NX'!$J$5,'IN-NX'!$D$7=D2589),"x","")</f>
        <v/>
      </c>
      <c r="AB2589" s="75" t="str">
        <f>IF(AND(OR(LEFT(TH!N2589,2)="15",LEFT(TH!O2589,2)="15"),LEFT(TH!O2589,3)&lt;&gt;"111",'152-CT'!$J$8=TH!F2589),"x","")</f>
        <v/>
      </c>
      <c r="AC2589" s="75" t="str">
        <f>IF(AND(OR(LEFT(TH!N2589,2)="15",LEFT(TH!O2589,2)="15"),TK!$E$7=TH!F2589),"x","")</f>
        <v/>
      </c>
      <c r="AD2589" s="75" t="str">
        <f>IF(AND(N2589="1521",MONTH(C2589)='BK-NL'!$M$11),"x","")</f>
        <v/>
      </c>
    </row>
    <row r="2590" spans="1:30" s="1264" customFormat="1" ht="16.5" customHeight="1">
      <c r="A2590" s="309" t="str">
        <f>IF(B2590&lt;&gt;"",IF(AND(B2590='IN-TC'!$S$4,OR(TH!N2590="1111",TH!O2590="1111")),TH!D2590,""),"")</f>
        <v/>
      </c>
      <c r="B2590" s="1312">
        <f t="shared" si="923"/>
        <v>2</v>
      </c>
      <c r="C2590" s="71">
        <v>42793</v>
      </c>
      <c r="D2590" s="71" t="s">
        <v>903</v>
      </c>
      <c r="E2590" s="71">
        <v>42793</v>
      </c>
      <c r="F2590" s="73" t="s">
        <v>918</v>
      </c>
      <c r="G2590" s="72" t="s">
        <v>925</v>
      </c>
      <c r="H2590" s="735" t="s">
        <v>835</v>
      </c>
      <c r="I2590" s="371"/>
      <c r="J2590" s="377"/>
      <c r="K2590" s="371">
        <v>450000</v>
      </c>
      <c r="L2590" s="377">
        <v>22700</v>
      </c>
      <c r="M2590" s="1214">
        <f t="shared" si="927"/>
        <v>10215000000</v>
      </c>
      <c r="N2590" s="1224" t="s">
        <v>256</v>
      </c>
      <c r="O2590" s="934" t="s">
        <v>256</v>
      </c>
      <c r="P2590" s="75" t="str">
        <f>IF(AND('331-CT'!$E$7=TH!H2590,OR(N2590="331",O2590="331")),"x","")</f>
        <v/>
      </c>
      <c r="Q2590" s="75" t="str">
        <f>IF(AND(B2590='111'!$L$11,OR($N2590=$Q$7,$O2590=$Q$7)),"x","")</f>
        <v/>
      </c>
      <c r="R2590" s="75" t="str">
        <f>IF(AND($N2590=$Q$7,$B2590&lt;'111'!$L$11),"x","")</f>
        <v/>
      </c>
      <c r="S2590" s="75" t="str">
        <f>IF(AND($O2590=$Q$7,$B2590&lt;'111'!$L$11),"x","")</f>
        <v/>
      </c>
      <c r="T2590" s="75" t="str">
        <f>IF(ISERROR(FIND('112'!$M$9,G2590,1)),"",IF((AND(FIND('112'!$M$9,G2590,1)&gt;=1,B2590='112'!$K$9,OR($N2590='112'!$I$6,$O2590='112'!$I$6))),"x",""))</f>
        <v/>
      </c>
      <c r="U2590" s="75" t="str">
        <f>IF(ISERROR(FIND('112'!$M$9,G2590,1)),"",IF((AND(LEFT(G2590,2)=LEFT('112'!$M$9,2),B2590&lt;'112'!$K$9,$N2590='112'!$I$6)),"x",""))</f>
        <v/>
      </c>
      <c r="V2590" s="75" t="str">
        <f>IF(ISERROR(FIND('112'!$M$9,G2590,1)),"",IF((AND(RIGHT(G2590,2)=RIGHT('112'!$M$9,2),B2590&lt;'112'!$K$9,$O2590='112'!$I$6)),"x",""))</f>
        <v/>
      </c>
      <c r="W2590" s="75" t="str">
        <f>IF(AND('341-CT'!$H$9=H2590,OR(LEFT(N2590,3)=$W$7,LEFT(O2590,3)=$W$7)),"x","")</f>
        <v/>
      </c>
      <c r="X2590" s="75" t="str">
        <f>IF(OR(TH!N2590=TH!$X$7,O2590=TH!$X$7),"x","")</f>
        <v/>
      </c>
      <c r="Y2590" s="75" t="str">
        <f>IF(AND(OR(N2590="131",O2590="131"),H2590='131-CT'!$H$9),"x","")</f>
        <v/>
      </c>
      <c r="Z2590" s="75"/>
      <c r="AA2590" s="75" t="str">
        <f>IF(AND(MONTH(E2590)='IN-NX'!$J$5,'IN-NX'!$D$7=D2590),"x","")</f>
        <v/>
      </c>
      <c r="AB2590" s="75" t="str">
        <f>IF(AND(OR(LEFT(TH!N2590,2)="15",LEFT(TH!O2590,2)="15"),LEFT(TH!O2590,3)&lt;&gt;"111",'152-CT'!$J$8=TH!F2590),"x","")</f>
        <v/>
      </c>
      <c r="AC2590" s="75" t="str">
        <f>IF(AND(OR(LEFT(TH!N2590,2)="15",LEFT(TH!O2590,2)="15"),TK!$E$7=TH!F2590),"x","")</f>
        <v/>
      </c>
      <c r="AD2590" s="75" t="str">
        <f>IF(AND(N2590="1521",MONTH(C2590)='BK-NL'!$M$11),"x","")</f>
        <v/>
      </c>
    </row>
    <row r="2591" spans="1:30" s="1264" customFormat="1" ht="16.5" customHeight="1">
      <c r="A2591" s="309" t="str">
        <f>IF(B2591&lt;&gt;"",IF(AND(B2591='IN-TC'!$S$4,OR(TH!N2591="1111",TH!O2591="1111")),TH!D2591,""),"")</f>
        <v/>
      </c>
      <c r="B2591" s="1313">
        <f t="shared" si="923"/>
        <v>3</v>
      </c>
      <c r="C2591" s="71">
        <v>42810</v>
      </c>
      <c r="D2591" s="71" t="s">
        <v>902</v>
      </c>
      <c r="E2591" s="929">
        <v>42810</v>
      </c>
      <c r="F2591" s="73" t="s">
        <v>1096</v>
      </c>
      <c r="G2591" s="72" t="s">
        <v>585</v>
      </c>
      <c r="H2591" s="735" t="s">
        <v>927</v>
      </c>
      <c r="I2591" s="371"/>
      <c r="J2591" s="377"/>
      <c r="K2591" s="371">
        <v>83.62</v>
      </c>
      <c r="L2591" s="377">
        <v>22800</v>
      </c>
      <c r="M2591" s="74">
        <f t="shared" si="927"/>
        <v>1906536</v>
      </c>
      <c r="N2591" s="75" t="s">
        <v>99</v>
      </c>
      <c r="O2591" s="934" t="s">
        <v>256</v>
      </c>
      <c r="P2591" s="75" t="str">
        <f>IF(AND('331-CT'!$E$7=TH!H2591,OR(N2591="331",O2591="331")),"x","")</f>
        <v/>
      </c>
      <c r="Q2591" s="75" t="str">
        <f>IF(AND(B2591='111'!$L$11,OR($N2591=$Q$7,$O2591=$Q$7)),"x","")</f>
        <v/>
      </c>
      <c r="R2591" s="75" t="str">
        <f>IF(AND($N2591=$Q$7,$B2591&lt;'111'!$L$11),"x","")</f>
        <v/>
      </c>
      <c r="S2591" s="75" t="str">
        <f>IF(AND($O2591=$Q$7,$B2591&lt;'111'!$L$11),"x","")</f>
        <v/>
      </c>
      <c r="T2591" s="75" t="str">
        <f>IF(ISERROR(FIND('112'!$M$9,G2591,1)),"",IF((AND(FIND('112'!$M$9,G2591,1)&gt;=1,B2591='112'!$K$9,OR($N2591='112'!$I$6,$O2591='112'!$I$6))),"x",""))</f>
        <v/>
      </c>
      <c r="U2591" s="75" t="str">
        <f>IF(ISERROR(FIND('112'!$M$9,G2591,1)),"",IF((AND(LEFT(G2591,2)=LEFT('112'!$M$9,2),B2591&lt;'112'!$K$9,$N2591='112'!$I$6)),"x",""))</f>
        <v/>
      </c>
      <c r="V2591" s="75" t="str">
        <f>IF(ISERROR(FIND('112'!$M$9,G2591,1)),"",IF((AND(RIGHT(G2591,2)=RIGHT('112'!$M$9,2),B2591&lt;'112'!$K$9,$O2591='112'!$I$6)),"x",""))</f>
        <v/>
      </c>
      <c r="W2591" s="75" t="str">
        <f>IF(AND('341-CT'!$H$9=H2591,OR(LEFT(N2591,3)=$W$7,LEFT(O2591,3)=$W$7)),"x","")</f>
        <v/>
      </c>
      <c r="X2591" s="75" t="str">
        <f>IF(OR(TH!N2591=TH!$X$7,O2591=TH!$X$7),"x","")</f>
        <v/>
      </c>
      <c r="Y2591" s="75" t="str">
        <f>IF(AND(OR(N2591="131",O2591="131"),H2591='131-CT'!$H$9),"x","")</f>
        <v/>
      </c>
      <c r="Z2591" s="75"/>
      <c r="AA2591" s="75" t="str">
        <f>IF(AND(MONTH(E2591)='IN-NX'!$J$5,'IN-NX'!$D$7=D2591),"x","")</f>
        <v/>
      </c>
      <c r="AB2591" s="75" t="str">
        <f>IF(AND(OR(LEFT(TH!N2591,2)="15",LEFT(TH!O2591,2)="15"),LEFT(TH!O2591,3)&lt;&gt;"111",'152-CT'!$J$8=TH!F2591),"x","")</f>
        <v/>
      </c>
      <c r="AC2591" s="75" t="str">
        <f>IF(AND(OR(LEFT(TH!N2591,2)="15",LEFT(TH!O2591,2)="15"),TK!$E$7=TH!F2591),"x","")</f>
        <v/>
      </c>
      <c r="AD2591" s="75" t="str">
        <f>IF(AND(N2591="1521",MONTH(C2591)='BK-NL'!$M$11),"x","")</f>
        <v/>
      </c>
    </row>
    <row r="2592" spans="1:30" s="1264" customFormat="1" ht="16.5" customHeight="1">
      <c r="A2592" s="309" t="str">
        <f>IF(B2592&lt;&gt;"",IF(AND(B2592='IN-TC'!$S$4,OR(TH!N2592="1111",TH!O2592="1111")),TH!D2592,""),"")</f>
        <v/>
      </c>
      <c r="B2592" s="1314">
        <f t="shared" si="923"/>
        <v>4</v>
      </c>
      <c r="C2592" s="71">
        <v>42842</v>
      </c>
      <c r="D2592" s="71" t="s">
        <v>902</v>
      </c>
      <c r="E2592" s="71">
        <f t="shared" ref="E2592:E2623" si="928">C2592</f>
        <v>42842</v>
      </c>
      <c r="F2592" s="73" t="s">
        <v>919</v>
      </c>
      <c r="G2592" s="72" t="s">
        <v>585</v>
      </c>
      <c r="H2592" s="73" t="s">
        <v>845</v>
      </c>
      <c r="I2592" s="371"/>
      <c r="J2592" s="377"/>
      <c r="K2592" s="371">
        <v>3</v>
      </c>
      <c r="L2592" s="377">
        <v>22720</v>
      </c>
      <c r="M2592" s="74">
        <f t="shared" si="927"/>
        <v>68160</v>
      </c>
      <c r="N2592" s="75" t="s">
        <v>101</v>
      </c>
      <c r="O2592" s="934" t="s">
        <v>256</v>
      </c>
      <c r="P2592" s="75" t="str">
        <f>IF(AND('331-CT'!$E$7=TH!H2592,OR(N2592="331",O2592="331")),"x","")</f>
        <v/>
      </c>
      <c r="Q2592" s="75" t="str">
        <f>IF(AND(B2592='111'!$L$11,OR($N2592=$Q$7,$O2592=$Q$7)),"x","")</f>
        <v/>
      </c>
      <c r="R2592" s="75" t="str">
        <f>IF(AND($N2592=$Q$7,$B2592&lt;'111'!$L$11),"x","")</f>
        <v/>
      </c>
      <c r="S2592" s="75" t="str">
        <f>IF(AND($O2592=$Q$7,$B2592&lt;'111'!$L$11),"x","")</f>
        <v/>
      </c>
      <c r="T2592" s="75" t="str">
        <f>IF(ISERROR(FIND('112'!$M$9,G2592,1)),"",IF((AND(FIND('112'!$M$9,G2592,1)&gt;=1,B2592='112'!$K$9,OR($N2592='112'!$I$6,$O2592='112'!$I$6))),"x",""))</f>
        <v/>
      </c>
      <c r="U2592" s="75" t="str">
        <f>IF(ISERROR(FIND('112'!$M$9,G2592,1)),"",IF((AND(LEFT(G2592,2)=LEFT('112'!$M$9,2),B2592&lt;'112'!$K$9,$N2592='112'!$I$6)),"x",""))</f>
        <v/>
      </c>
      <c r="V2592" s="75" t="str">
        <f>IF(ISERROR(FIND('112'!$M$9,G2592,1)),"",IF((AND(RIGHT(G2592,2)=RIGHT('112'!$M$9,2),B2592&lt;'112'!$K$9,$O2592='112'!$I$6)),"x",""))</f>
        <v/>
      </c>
      <c r="W2592" s="75" t="str">
        <f>IF(AND('341-CT'!$H$9=H2592,OR(LEFT(N2592,3)=$W$7,LEFT(O2592,3)=$W$7)),"x","")</f>
        <v/>
      </c>
      <c r="X2592" s="75" t="str">
        <f>IF(OR(TH!N2592=TH!$X$7,O2592=TH!$X$7),"x","")</f>
        <v/>
      </c>
      <c r="Y2592" s="75" t="str">
        <f>IF(AND(OR(N2592="131",O2592="131"),H2592='131-CT'!$H$9),"x","")</f>
        <v/>
      </c>
      <c r="Z2592" s="75"/>
      <c r="AA2592" s="75" t="str">
        <f>IF(AND(MONTH(E2592)='IN-NX'!$J$5,'IN-NX'!$D$7=D2592),"x","")</f>
        <v/>
      </c>
      <c r="AB2592" s="75" t="str">
        <f>IF(AND(OR(LEFT(TH!N2592,2)="15",LEFT(TH!O2592,2)="15"),LEFT(TH!O2592,3)&lt;&gt;"111",'152-CT'!$J$8=TH!F2592),"x","")</f>
        <v/>
      </c>
      <c r="AC2592" s="75" t="str">
        <f>IF(AND(OR(LEFT(TH!N2592,2)="15",LEFT(TH!O2592,2)="15"),TK!$E$7=TH!F2592),"x","")</f>
        <v/>
      </c>
      <c r="AD2592" s="75" t="str">
        <f>IF(AND(N2592="1521",MONTH(C2592)='BK-NL'!$M$11),"x","")</f>
        <v/>
      </c>
    </row>
    <row r="2593" spans="1:30" s="1264" customFormat="1" ht="16.5" customHeight="1">
      <c r="A2593" s="309" t="str">
        <f>IF(B2593&lt;&gt;"",IF(AND(B2593='IN-TC'!$S$4,OR(TH!N2593="1111",TH!O2593="1111")),TH!D2593,""),"")</f>
        <v/>
      </c>
      <c r="B2593" s="1314">
        <f t="shared" si="923"/>
        <v>4</v>
      </c>
      <c r="C2593" s="71">
        <v>42842</v>
      </c>
      <c r="D2593" s="71" t="s">
        <v>902</v>
      </c>
      <c r="E2593" s="71">
        <f t="shared" si="928"/>
        <v>42842</v>
      </c>
      <c r="F2593" s="73" t="s">
        <v>920</v>
      </c>
      <c r="G2593" s="72" t="s">
        <v>585</v>
      </c>
      <c r="H2593" s="73" t="s">
        <v>845</v>
      </c>
      <c r="I2593" s="371"/>
      <c r="J2593" s="377"/>
      <c r="K2593" s="371">
        <v>0.3</v>
      </c>
      <c r="L2593" s="377">
        <v>22720</v>
      </c>
      <c r="M2593" s="74">
        <f t="shared" si="927"/>
        <v>6816</v>
      </c>
      <c r="N2593" s="75" t="s">
        <v>9</v>
      </c>
      <c r="O2593" s="934" t="s">
        <v>256</v>
      </c>
      <c r="P2593" s="75" t="str">
        <f>IF(AND('331-CT'!$E$7=TH!H2593,OR(N2593="331",O2593="331")),"x","")</f>
        <v/>
      </c>
      <c r="Q2593" s="75" t="str">
        <f>IF(AND(B2593='111'!$L$11,OR($N2593=$Q$7,$O2593=$Q$7)),"x","")</f>
        <v/>
      </c>
      <c r="R2593" s="75" t="str">
        <f>IF(AND($N2593=$Q$7,$B2593&lt;'111'!$L$11),"x","")</f>
        <v/>
      </c>
      <c r="S2593" s="75" t="str">
        <f>IF(AND($O2593=$Q$7,$B2593&lt;'111'!$L$11),"x","")</f>
        <v/>
      </c>
      <c r="T2593" s="75" t="str">
        <f>IF(ISERROR(FIND('112'!$M$9,G2593,1)),"",IF((AND(FIND('112'!$M$9,G2593,1)&gt;=1,B2593='112'!$K$9,OR($N2593='112'!$I$6,$O2593='112'!$I$6))),"x",""))</f>
        <v/>
      </c>
      <c r="U2593" s="75" t="str">
        <f>IF(ISERROR(FIND('112'!$M$9,G2593,1)),"",IF((AND(LEFT(G2593,2)=LEFT('112'!$M$9,2),B2593&lt;'112'!$K$9,$N2593='112'!$I$6)),"x",""))</f>
        <v/>
      </c>
      <c r="V2593" s="75" t="str">
        <f>IF(ISERROR(FIND('112'!$M$9,G2593,1)),"",IF((AND(RIGHT(G2593,2)=RIGHT('112'!$M$9,2),B2593&lt;'112'!$K$9,$O2593='112'!$I$6)),"x",""))</f>
        <v/>
      </c>
      <c r="W2593" s="75" t="str">
        <f>IF(AND('341-CT'!$H$9=H2593,OR(LEFT(N2593,3)=$W$7,LEFT(O2593,3)=$W$7)),"x","")</f>
        <v/>
      </c>
      <c r="X2593" s="75" t="str">
        <f>IF(OR(TH!N2593=TH!$X$7,O2593=TH!$X$7),"x","")</f>
        <v/>
      </c>
      <c r="Y2593" s="75" t="str">
        <f>IF(AND(OR(N2593="131",O2593="131"),H2593='131-CT'!$H$9),"x","")</f>
        <v/>
      </c>
      <c r="Z2593" s="75"/>
      <c r="AA2593" s="75" t="str">
        <f>IF(AND(MONTH(E2593)='IN-NX'!$J$5,'IN-NX'!$D$7=D2593),"x","")</f>
        <v/>
      </c>
      <c r="AB2593" s="75" t="str">
        <f>IF(AND(OR(LEFT(TH!N2593,2)="15",LEFT(TH!O2593,2)="15"),LEFT(TH!O2593,3)&lt;&gt;"111",'152-CT'!$J$8=TH!F2593),"x","")</f>
        <v/>
      </c>
      <c r="AC2593" s="75" t="str">
        <f>IF(AND(OR(LEFT(TH!N2593,2)="15",LEFT(TH!O2593,2)="15"),TK!$E$7=TH!F2593),"x","")</f>
        <v/>
      </c>
      <c r="AD2593" s="75" t="str">
        <f>IF(AND(N2593="1521",MONTH(C2593)='BK-NL'!$M$11),"x","")</f>
        <v/>
      </c>
    </row>
    <row r="2594" spans="1:30" s="1264" customFormat="1" ht="16.5" customHeight="1">
      <c r="A2594" s="309" t="str">
        <f>IF(B2594&lt;&gt;"",IF(AND(B2594='IN-TC'!$S$4,OR(TH!N2594="1111",TH!O2594="1111")),TH!D2594,""),"")</f>
        <v/>
      </c>
      <c r="B2594" s="1314">
        <f t="shared" si="923"/>
        <v>4</v>
      </c>
      <c r="C2594" s="71">
        <v>42842</v>
      </c>
      <c r="D2594" s="71" t="s">
        <v>903</v>
      </c>
      <c r="E2594" s="71">
        <f t="shared" si="928"/>
        <v>42842</v>
      </c>
      <c r="F2594" s="73" t="s">
        <v>1086</v>
      </c>
      <c r="G2594" s="72" t="s">
        <v>585</v>
      </c>
      <c r="H2594" s="73" t="s">
        <v>759</v>
      </c>
      <c r="I2594" s="371"/>
      <c r="J2594" s="377"/>
      <c r="K2594" s="1213">
        <v>348138.05</v>
      </c>
      <c r="L2594" s="377">
        <v>22740</v>
      </c>
      <c r="M2594" s="1214">
        <f t="shared" si="927"/>
        <v>7916659257</v>
      </c>
      <c r="N2594" s="75" t="s">
        <v>256</v>
      </c>
      <c r="O2594" s="75" t="s">
        <v>536</v>
      </c>
      <c r="P2594" s="75" t="str">
        <f>IF(AND('331-CT'!$E$7=TH!H2594,OR(N2594="331",O2594="331")),"x","")</f>
        <v/>
      </c>
      <c r="Q2594" s="75" t="str">
        <f>IF(AND(B2594='111'!$L$11,OR($N2594=$Q$7,$O2594=$Q$7)),"x","")</f>
        <v/>
      </c>
      <c r="R2594" s="75" t="str">
        <f>IF(AND($N2594=$Q$7,$B2594&lt;'111'!$L$11),"x","")</f>
        <v/>
      </c>
      <c r="S2594" s="75" t="str">
        <f>IF(AND($O2594=$Q$7,$B2594&lt;'111'!$L$11),"x","")</f>
        <v/>
      </c>
      <c r="T2594" s="75" t="str">
        <f>IF(ISERROR(FIND('112'!$M$9,G2594,1)),"",IF((AND(FIND('112'!$M$9,G2594,1)&gt;=1,B2594='112'!$K$9,OR($N2594='112'!$I$6,$O2594='112'!$I$6))),"x",""))</f>
        <v/>
      </c>
      <c r="U2594" s="75" t="str">
        <f>IF(ISERROR(FIND('112'!$M$9,G2594,1)),"",IF((AND(LEFT(G2594,2)=LEFT('112'!$M$9,2),B2594&lt;'112'!$K$9,$N2594='112'!$I$6)),"x",""))</f>
        <v/>
      </c>
      <c r="V2594" s="75" t="str">
        <f>IF(ISERROR(FIND('112'!$M$9,G2594,1)),"",IF((AND(RIGHT(G2594,2)=RIGHT('112'!$M$9,2),B2594&lt;'112'!$K$9,$O2594='112'!$I$6)),"x",""))</f>
        <v/>
      </c>
      <c r="W2594" s="75" t="str">
        <f>IF(AND('341-CT'!$H$9=H2594,OR(LEFT(N2594,3)=$W$7,LEFT(O2594,3)=$W$7)),"x","")</f>
        <v/>
      </c>
      <c r="X2594" s="75" t="str">
        <f>IF(OR(TH!N2594=TH!$X$7,O2594=TH!$X$7),"x","")</f>
        <v/>
      </c>
      <c r="Y2594" s="75" t="str">
        <f>IF(AND(OR(N2594="131",O2594="131"),H2594='131-CT'!$H$9),"x","")</f>
        <v/>
      </c>
      <c r="Z2594" s="75"/>
      <c r="AA2594" s="75" t="str">
        <f>IF(AND(MONTH(E2594)='IN-NX'!$J$5,'IN-NX'!$D$7=D2594),"x","")</f>
        <v/>
      </c>
      <c r="AB2594" s="75" t="str">
        <f>IF(AND(OR(LEFT(TH!N2594,2)="15",LEFT(TH!O2594,2)="15"),LEFT(TH!O2594,3)&lt;&gt;"111",'152-CT'!$J$8=TH!F2594),"x","")</f>
        <v/>
      </c>
      <c r="AC2594" s="75" t="str">
        <f>IF(AND(OR(LEFT(TH!N2594,2)="15",LEFT(TH!O2594,2)="15"),TK!$E$7=TH!F2594),"x","")</f>
        <v/>
      </c>
      <c r="AD2594" s="75" t="str">
        <f>IF(AND(N2594="1521",MONTH(C2594)='BK-NL'!$M$11),"x","")</f>
        <v/>
      </c>
    </row>
    <row r="2595" spans="1:30" s="1264" customFormat="1" ht="16.5" customHeight="1">
      <c r="A2595" s="309" t="str">
        <f>IF(B2595&lt;&gt;"",IF(AND(B2595='IN-TC'!$S$4,OR(TH!N2595="1111",TH!O2595="1111")),TH!D2595,""),"")</f>
        <v/>
      </c>
      <c r="B2595" s="1314">
        <f t="shared" si="923"/>
        <v>4</v>
      </c>
      <c r="C2595" s="71">
        <v>42842</v>
      </c>
      <c r="D2595" s="71" t="s">
        <v>530</v>
      </c>
      <c r="E2595" s="71">
        <f t="shared" si="928"/>
        <v>42842</v>
      </c>
      <c r="F2595" s="73" t="s">
        <v>1027</v>
      </c>
      <c r="G2595" s="72" t="s">
        <v>585</v>
      </c>
      <c r="H2595" s="73" t="s">
        <v>759</v>
      </c>
      <c r="I2595" s="371"/>
      <c r="J2595" s="377"/>
      <c r="K2595" s="1213">
        <v>117</v>
      </c>
      <c r="L2595" s="377">
        <v>22740</v>
      </c>
      <c r="M2595" s="933">
        <f t="shared" ref="M2595:M2640" si="929">ROUND(L2595*K2595,0)</f>
        <v>2660580</v>
      </c>
      <c r="N2595" s="75" t="s">
        <v>101</v>
      </c>
      <c r="O2595" s="75" t="s">
        <v>536</v>
      </c>
      <c r="P2595" s="75" t="str">
        <f>IF(AND('331-CT'!$E$7=TH!H2595,OR(N2595="331",O2595="331")),"x","")</f>
        <v/>
      </c>
      <c r="Q2595" s="75" t="str">
        <f>IF(AND(B2595='111'!$L$11,OR($N2595=$Q$7,$O2595=$Q$7)),"x","")</f>
        <v/>
      </c>
      <c r="R2595" s="75" t="str">
        <f>IF(AND($N2595=$Q$7,$B2595&lt;'111'!$L$11),"x","")</f>
        <v/>
      </c>
      <c r="S2595" s="75" t="str">
        <f>IF(AND($O2595=$Q$7,$B2595&lt;'111'!$L$11),"x","")</f>
        <v/>
      </c>
      <c r="T2595" s="75" t="str">
        <f>IF(ISERROR(FIND('112'!$M$9,G2595,1)),"",IF((AND(FIND('112'!$M$9,G2595,1)&gt;=1,B2595='112'!$K$9,OR($N2595='112'!$I$6,$O2595='112'!$I$6))),"x",""))</f>
        <v/>
      </c>
      <c r="U2595" s="75" t="str">
        <f>IF(ISERROR(FIND('112'!$M$9,G2595,1)),"",IF((AND(LEFT(G2595,2)=LEFT('112'!$M$9,2),B2595&lt;'112'!$K$9,$N2595='112'!$I$6)),"x",""))</f>
        <v/>
      </c>
      <c r="V2595" s="75" t="str">
        <f>IF(ISERROR(FIND('112'!$M$9,G2595,1)),"",IF((AND(RIGHT(G2595,2)=RIGHT('112'!$M$9,2),B2595&lt;'112'!$K$9,$O2595='112'!$I$6)),"x",""))</f>
        <v/>
      </c>
      <c r="W2595" s="75" t="str">
        <f>IF(AND('341-CT'!$H$9=H2595,OR(LEFT(N2595,3)=$W$7,LEFT(O2595,3)=$W$7)),"x","")</f>
        <v/>
      </c>
      <c r="X2595" s="75" t="str">
        <f>IF(OR(TH!N2595=TH!$X$7,O2595=TH!$X$7),"x","")</f>
        <v/>
      </c>
      <c r="Y2595" s="75" t="str">
        <f>IF(AND(OR(N2595="131",O2595="131"),H2595='131-CT'!$H$9),"x","")</f>
        <v/>
      </c>
      <c r="Z2595" s="75"/>
      <c r="AA2595" s="75" t="str">
        <f>IF(AND(MONTH(E2595)='IN-NX'!$J$5,'IN-NX'!$D$7=D2595),"x","")</f>
        <v/>
      </c>
      <c r="AB2595" s="75" t="str">
        <f>IF(AND(OR(LEFT(TH!N2595,2)="15",LEFT(TH!O2595,2)="15"),LEFT(TH!O2595,3)&lt;&gt;"111",'152-CT'!$J$8=TH!F2595),"x","")</f>
        <v/>
      </c>
      <c r="AC2595" s="75" t="str">
        <f>IF(AND(OR(LEFT(TH!N2595,2)="15",LEFT(TH!O2595,2)="15"),TK!$E$7=TH!F2595),"x","")</f>
        <v/>
      </c>
      <c r="AD2595" s="75" t="str">
        <f>IF(AND(N2595="1521",MONTH(C2595)='BK-NL'!$M$11),"x","")</f>
        <v/>
      </c>
    </row>
    <row r="2596" spans="1:30" s="1264" customFormat="1" ht="16.5" customHeight="1">
      <c r="A2596" s="309" t="str">
        <f>IF(B2596&lt;&gt;"",IF(AND(B2596='IN-TC'!$S$4,OR(TH!N2596="1111",TH!O2596="1111")),TH!D2596,""),"")</f>
        <v/>
      </c>
      <c r="B2596" s="1314">
        <f t="shared" si="923"/>
        <v>4</v>
      </c>
      <c r="C2596" s="71">
        <v>42842</v>
      </c>
      <c r="D2596" s="71" t="s">
        <v>902</v>
      </c>
      <c r="E2596" s="71">
        <f t="shared" si="928"/>
        <v>42842</v>
      </c>
      <c r="F2596" s="73" t="s">
        <v>1321</v>
      </c>
      <c r="G2596" s="72" t="s">
        <v>585</v>
      </c>
      <c r="H2596" s="73" t="s">
        <v>806</v>
      </c>
      <c r="I2596" s="371"/>
      <c r="J2596" s="377"/>
      <c r="K2596" s="371">
        <v>93000</v>
      </c>
      <c r="L2596" s="377">
        <v>22730</v>
      </c>
      <c r="M2596" s="74">
        <f t="shared" ref="M2596:M2597" si="930">ROUND(K2596*L2596,0)</f>
        <v>2113890000</v>
      </c>
      <c r="N2596" s="75" t="s">
        <v>250</v>
      </c>
      <c r="O2596" s="934" t="s">
        <v>256</v>
      </c>
      <c r="P2596" s="75" t="str">
        <f>IF(AND('331-CT'!$E$7=TH!H2596,OR(N2596="331",O2596="331")),"x","")</f>
        <v/>
      </c>
      <c r="Q2596" s="75" t="str">
        <f>IF(AND(B2596='111'!$L$11,OR($N2596=$Q$7,$O2596=$Q$7)),"x","")</f>
        <v/>
      </c>
      <c r="R2596" s="75" t="str">
        <f>IF(AND($N2596=$Q$7,$B2596&lt;'111'!$L$11),"x","")</f>
        <v/>
      </c>
      <c r="S2596" s="75" t="str">
        <f>IF(AND($O2596=$Q$7,$B2596&lt;'111'!$L$11),"x","")</f>
        <v/>
      </c>
      <c r="T2596" s="75" t="str">
        <f>IF(ISERROR(FIND('112'!$M$9,G2596,1)),"",IF((AND(FIND('112'!$M$9,G2596,1)&gt;=1,B2596='112'!$K$9,OR($N2596='112'!$I$6,$O2596='112'!$I$6))),"x",""))</f>
        <v/>
      </c>
      <c r="U2596" s="75" t="str">
        <f>IF(ISERROR(FIND('112'!$M$9,G2596,1)),"",IF((AND(LEFT(G2596,2)=LEFT('112'!$M$9,2),B2596&lt;'112'!$K$9,$N2596='112'!$I$6)),"x",""))</f>
        <v/>
      </c>
      <c r="V2596" s="75" t="str">
        <f>IF(ISERROR(FIND('112'!$M$9,G2596,1)),"",IF((AND(RIGHT(G2596,2)=RIGHT('112'!$M$9,2),B2596&lt;'112'!$K$9,$O2596='112'!$I$6)),"x",""))</f>
        <v/>
      </c>
      <c r="W2596" s="75" t="str">
        <f>IF(AND('341-CT'!$H$9=H2596,OR(LEFT(N2596,3)=$W$7,LEFT(O2596,3)=$W$7)),"x","")</f>
        <v/>
      </c>
      <c r="X2596" s="75" t="str">
        <f>IF(OR(TH!N2596=TH!$X$7,O2596=TH!$X$7),"x","")</f>
        <v/>
      </c>
      <c r="Y2596" s="75" t="str">
        <f>IF(AND(OR(N2596="131",O2596="131"),H2596='131-CT'!$H$9),"x","")</f>
        <v/>
      </c>
      <c r="Z2596" s="75"/>
      <c r="AA2596" s="75" t="str">
        <f>IF(AND(MONTH(E2596)='IN-NX'!$J$5,'IN-NX'!$D$7=D2596),"x","")</f>
        <v/>
      </c>
      <c r="AB2596" s="75" t="str">
        <f>IF(AND(OR(LEFT(TH!N2596,2)="15",LEFT(TH!O2596,2)="15"),LEFT(TH!O2596,3)&lt;&gt;"111",'152-CT'!$J$8=TH!F2596),"x","")</f>
        <v/>
      </c>
      <c r="AC2596" s="75" t="str">
        <f>IF(AND(OR(LEFT(TH!N2596,2)="15",LEFT(TH!O2596,2)="15"),TK!$E$7=TH!F2596),"x","")</f>
        <v/>
      </c>
      <c r="AD2596" s="75" t="str">
        <f>IF(AND(N2596="1521",MONTH(C2596)='BK-NL'!$M$11),"x","")</f>
        <v/>
      </c>
    </row>
    <row r="2597" spans="1:30" s="1264" customFormat="1" ht="16.5" customHeight="1">
      <c r="A2597" s="309" t="str">
        <f>IF(B2597&lt;&gt;"",IF(AND(B2597='IN-TC'!$S$4,OR(TH!N2597="1111",TH!O2597="1111")),TH!D2597,""),"")</f>
        <v/>
      </c>
      <c r="B2597" s="1314">
        <f t="shared" si="923"/>
        <v>4</v>
      </c>
      <c r="C2597" s="71">
        <v>42842</v>
      </c>
      <c r="D2597" s="71" t="s">
        <v>902</v>
      </c>
      <c r="E2597" s="71">
        <f t="shared" si="928"/>
        <v>42842</v>
      </c>
      <c r="F2597" s="73" t="s">
        <v>1096</v>
      </c>
      <c r="G2597" s="72" t="s">
        <v>585</v>
      </c>
      <c r="H2597" s="73" t="s">
        <v>806</v>
      </c>
      <c r="I2597" s="371"/>
      <c r="J2597" s="377"/>
      <c r="K2597" s="371">
        <v>298.45</v>
      </c>
      <c r="L2597" s="377">
        <v>22730</v>
      </c>
      <c r="M2597" s="74">
        <f t="shared" si="930"/>
        <v>6783769</v>
      </c>
      <c r="N2597" s="75" t="s">
        <v>99</v>
      </c>
      <c r="O2597" s="934" t="s">
        <v>256</v>
      </c>
      <c r="P2597" s="75" t="str">
        <f>IF(AND('331-CT'!$E$7=TH!H2597,OR(N2597="331",O2597="331")),"x","")</f>
        <v/>
      </c>
      <c r="Q2597" s="75" t="str">
        <f>IF(AND(B2597='111'!$L$11,OR($N2597=$Q$7,$O2597=$Q$7)),"x","")</f>
        <v/>
      </c>
      <c r="R2597" s="75" t="str">
        <f>IF(AND($N2597=$Q$7,$B2597&lt;'111'!$L$11),"x","")</f>
        <v/>
      </c>
      <c r="S2597" s="75" t="str">
        <f>IF(AND($O2597=$Q$7,$B2597&lt;'111'!$L$11),"x","")</f>
        <v/>
      </c>
      <c r="T2597" s="75" t="str">
        <f>IF(ISERROR(FIND('112'!$M$9,G2597,1)),"",IF((AND(FIND('112'!$M$9,G2597,1)&gt;=1,B2597='112'!$K$9,OR($N2597='112'!$I$6,$O2597='112'!$I$6))),"x",""))</f>
        <v/>
      </c>
      <c r="U2597" s="75" t="str">
        <f>IF(ISERROR(FIND('112'!$M$9,G2597,1)),"",IF((AND(LEFT(G2597,2)=LEFT('112'!$M$9,2),B2597&lt;'112'!$K$9,$N2597='112'!$I$6)),"x",""))</f>
        <v/>
      </c>
      <c r="V2597" s="75" t="str">
        <f>IF(ISERROR(FIND('112'!$M$9,G2597,1)),"",IF((AND(RIGHT(G2597,2)=RIGHT('112'!$M$9,2),B2597&lt;'112'!$K$9,$O2597='112'!$I$6)),"x",""))</f>
        <v/>
      </c>
      <c r="W2597" s="75" t="str">
        <f>IF(AND('341-CT'!$H$9=H2597,OR(LEFT(N2597,3)=$W$7,LEFT(O2597,3)=$W$7)),"x","")</f>
        <v/>
      </c>
      <c r="X2597" s="75" t="str">
        <f>IF(OR(TH!N2597=TH!$X$7,O2597=TH!$X$7),"x","")</f>
        <v/>
      </c>
      <c r="Y2597" s="75" t="str">
        <f>IF(AND(OR(N2597="131",O2597="131"),H2597='131-CT'!$H$9),"x","")</f>
        <v/>
      </c>
      <c r="Z2597" s="75"/>
      <c r="AA2597" s="75" t="str">
        <f>IF(AND(MONTH(E2597)='IN-NX'!$J$5,'IN-NX'!$D$7=D2597),"x","")</f>
        <v/>
      </c>
      <c r="AB2597" s="75" t="str">
        <f>IF(AND(OR(LEFT(TH!N2597,2)="15",LEFT(TH!O2597,2)="15"),LEFT(TH!O2597,3)&lt;&gt;"111",'152-CT'!$J$8=TH!F2597),"x","")</f>
        <v/>
      </c>
      <c r="AC2597" s="75" t="str">
        <f>IF(AND(OR(LEFT(TH!N2597,2)="15",LEFT(TH!O2597,2)="15"),TK!$E$7=TH!F2597),"x","")</f>
        <v/>
      </c>
      <c r="AD2597" s="75" t="str">
        <f>IF(AND(N2597="1521",MONTH(C2597)='BK-NL'!$M$11),"x","")</f>
        <v/>
      </c>
    </row>
    <row r="2598" spans="1:30" s="1264" customFormat="1" ht="16.5" customHeight="1">
      <c r="A2598" s="309" t="str">
        <f>IF(B2598&lt;&gt;"",IF(AND(B2598='IN-TC'!$S$4,OR(TH!N2598="1111",TH!O2598="1111")),TH!D2598,""),"")</f>
        <v/>
      </c>
      <c r="B2598" s="1314">
        <f t="shared" si="923"/>
        <v>4</v>
      </c>
      <c r="C2598" s="71">
        <v>42842</v>
      </c>
      <c r="D2598" s="71" t="s">
        <v>530</v>
      </c>
      <c r="E2598" s="71">
        <f t="shared" si="928"/>
        <v>42842</v>
      </c>
      <c r="F2598" s="73" t="s">
        <v>1010</v>
      </c>
      <c r="G2598" s="72" t="s">
        <v>585</v>
      </c>
      <c r="H2598" s="73" t="s">
        <v>806</v>
      </c>
      <c r="I2598" s="371"/>
      <c r="J2598" s="377"/>
      <c r="K2598" s="371"/>
      <c r="L2598" s="377"/>
      <c r="M2598" s="74">
        <v>465000</v>
      </c>
      <c r="N2598" s="75" t="s">
        <v>99</v>
      </c>
      <c r="O2598" s="75" t="s">
        <v>250</v>
      </c>
      <c r="P2598" s="75" t="str">
        <f>IF(AND('331-CT'!$E$7=TH!H2598,OR(N2598="331",O2598="331")),"x","")</f>
        <v/>
      </c>
      <c r="Q2598" s="75" t="str">
        <f>IF(AND(B2598='111'!$L$11,OR($N2598=$Q$7,$O2598=$Q$7)),"x","")</f>
        <v/>
      </c>
      <c r="R2598" s="75" t="str">
        <f>IF(AND($N2598=$Q$7,$B2598&lt;'111'!$L$11),"x","")</f>
        <v/>
      </c>
      <c r="S2598" s="75" t="str">
        <f>IF(AND($O2598=$Q$7,$B2598&lt;'111'!$L$11),"x","")</f>
        <v/>
      </c>
      <c r="T2598" s="75" t="str">
        <f>IF(ISERROR(FIND('112'!$M$9,G2598,1)),"",IF((AND(FIND('112'!$M$9,G2598,1)&gt;=1,B2598='112'!$K$9,OR($N2598='112'!$I$6,$O2598='112'!$I$6))),"x",""))</f>
        <v/>
      </c>
      <c r="U2598" s="75" t="str">
        <f>IF(ISERROR(FIND('112'!$M$9,G2598,1)),"",IF((AND(LEFT(G2598,2)=LEFT('112'!$M$9,2),B2598&lt;'112'!$K$9,$N2598='112'!$I$6)),"x",""))</f>
        <v/>
      </c>
      <c r="V2598" s="75" t="str">
        <f>IF(ISERROR(FIND('112'!$M$9,G2598,1)),"",IF((AND(RIGHT(G2598,2)=RIGHT('112'!$M$9,2),B2598&lt;'112'!$K$9,$O2598='112'!$I$6)),"x",""))</f>
        <v/>
      </c>
      <c r="W2598" s="75" t="str">
        <f>IF(AND('341-CT'!$H$9=H2598,OR(LEFT(N2598,3)=$W$7,LEFT(O2598,3)=$W$7)),"x","")</f>
        <v/>
      </c>
      <c r="X2598" s="75" t="str">
        <f>IF(OR(TH!N2598=TH!$X$7,O2598=TH!$X$7),"x","")</f>
        <v/>
      </c>
      <c r="Y2598" s="75" t="str">
        <f>IF(AND(OR(N2598="131",O2598="131"),H2598='131-CT'!$H$9),"x","")</f>
        <v/>
      </c>
      <c r="Z2598" s="75"/>
      <c r="AA2598" s="75" t="str">
        <f>IF(AND(MONTH(E2598)='IN-NX'!$J$5,'IN-NX'!$D$7=D2598),"x","")</f>
        <v/>
      </c>
      <c r="AB2598" s="75" t="str">
        <f>IF(AND(OR(LEFT(TH!N2598,2)="15",LEFT(TH!O2598,2)="15"),LEFT(TH!O2598,3)&lt;&gt;"111",'152-CT'!$J$8=TH!F2598),"x","")</f>
        <v/>
      </c>
      <c r="AC2598" s="75" t="str">
        <f>IF(AND(OR(LEFT(TH!N2598,2)="15",LEFT(TH!O2598,2)="15"),TK!$E$7=TH!F2598),"x","")</f>
        <v/>
      </c>
      <c r="AD2598" s="75" t="str">
        <f>IF(AND(N2598="1521",MONTH(C2598)='BK-NL'!$M$11),"x","")</f>
        <v/>
      </c>
    </row>
    <row r="2599" spans="1:30" s="1264" customFormat="1" ht="16.5" customHeight="1">
      <c r="A2599" s="309" t="str">
        <f>IF(B2599&lt;&gt;"",IF(AND(B2599='IN-TC'!$S$4,OR(TH!N2599="1111",TH!O2599="1111")),TH!D2599,""),"")</f>
        <v/>
      </c>
      <c r="B2599" s="1314">
        <f t="shared" si="923"/>
        <v>4</v>
      </c>
      <c r="C2599" s="71">
        <v>42842</v>
      </c>
      <c r="D2599" s="71" t="s">
        <v>902</v>
      </c>
      <c r="E2599" s="71">
        <f t="shared" si="928"/>
        <v>42842</v>
      </c>
      <c r="F2599" s="73" t="s">
        <v>1321</v>
      </c>
      <c r="G2599" s="72" t="s">
        <v>585</v>
      </c>
      <c r="H2599" s="73" t="s">
        <v>807</v>
      </c>
      <c r="I2599" s="371"/>
      <c r="J2599" s="377"/>
      <c r="K2599" s="371">
        <v>70500</v>
      </c>
      <c r="L2599" s="377">
        <v>22730</v>
      </c>
      <c r="M2599" s="74">
        <f t="shared" ref="M2599:M2600" si="931">ROUND(K2599*L2599,0)</f>
        <v>1602465000</v>
      </c>
      <c r="N2599" s="75" t="s">
        <v>250</v>
      </c>
      <c r="O2599" s="934" t="s">
        <v>256</v>
      </c>
      <c r="P2599" s="75" t="str">
        <f>IF(AND('331-CT'!$E$7=TH!H2599,OR(N2599="331",O2599="331")),"x","")</f>
        <v/>
      </c>
      <c r="Q2599" s="75" t="str">
        <f>IF(AND(B2599='111'!$L$11,OR($N2599=$Q$7,$O2599=$Q$7)),"x","")</f>
        <v/>
      </c>
      <c r="R2599" s="75" t="str">
        <f>IF(AND($N2599=$Q$7,$B2599&lt;'111'!$L$11),"x","")</f>
        <v/>
      </c>
      <c r="S2599" s="75" t="str">
        <f>IF(AND($O2599=$Q$7,$B2599&lt;'111'!$L$11),"x","")</f>
        <v/>
      </c>
      <c r="T2599" s="75" t="str">
        <f>IF(ISERROR(FIND('112'!$M$9,G2599,1)),"",IF((AND(FIND('112'!$M$9,G2599,1)&gt;=1,B2599='112'!$K$9,OR($N2599='112'!$I$6,$O2599='112'!$I$6))),"x",""))</f>
        <v/>
      </c>
      <c r="U2599" s="75" t="str">
        <f>IF(ISERROR(FIND('112'!$M$9,G2599,1)),"",IF((AND(LEFT(G2599,2)=LEFT('112'!$M$9,2),B2599&lt;'112'!$K$9,$N2599='112'!$I$6)),"x",""))</f>
        <v/>
      </c>
      <c r="V2599" s="75" t="str">
        <f>IF(ISERROR(FIND('112'!$M$9,G2599,1)),"",IF((AND(RIGHT(G2599,2)=RIGHT('112'!$M$9,2),B2599&lt;'112'!$K$9,$O2599='112'!$I$6)),"x",""))</f>
        <v/>
      </c>
      <c r="W2599" s="75" t="str">
        <f>IF(AND('341-CT'!$H$9=H2599,OR(LEFT(N2599,3)=$W$7,LEFT(O2599,3)=$W$7)),"x","")</f>
        <v/>
      </c>
      <c r="X2599" s="75" t="str">
        <f>IF(OR(TH!N2599=TH!$X$7,O2599=TH!$X$7),"x","")</f>
        <v/>
      </c>
      <c r="Y2599" s="75" t="str">
        <f>IF(AND(OR(N2599="131",O2599="131"),H2599='131-CT'!$H$9),"x","")</f>
        <v/>
      </c>
      <c r="Z2599" s="75"/>
      <c r="AA2599" s="75" t="str">
        <f>IF(AND(MONTH(E2599)='IN-NX'!$J$5,'IN-NX'!$D$7=D2599),"x","")</f>
        <v/>
      </c>
      <c r="AB2599" s="75" t="str">
        <f>IF(AND(OR(LEFT(TH!N2599,2)="15",LEFT(TH!O2599,2)="15"),LEFT(TH!O2599,3)&lt;&gt;"111",'152-CT'!$J$8=TH!F2599),"x","")</f>
        <v/>
      </c>
      <c r="AC2599" s="75" t="str">
        <f>IF(AND(OR(LEFT(TH!N2599,2)="15",LEFT(TH!O2599,2)="15"),TK!$E$7=TH!F2599),"x","")</f>
        <v/>
      </c>
      <c r="AD2599" s="75" t="str">
        <f>IF(AND(N2599="1521",MONTH(C2599)='BK-NL'!$M$11),"x","")</f>
        <v/>
      </c>
    </row>
    <row r="2600" spans="1:30" s="1264" customFormat="1" ht="16.5" customHeight="1">
      <c r="A2600" s="309" t="str">
        <f>IF(B2600&lt;&gt;"",IF(AND(B2600='IN-TC'!$S$4,OR(TH!N2600="1111",TH!O2600="1111")),TH!D2600,""),"")</f>
        <v/>
      </c>
      <c r="B2600" s="1314">
        <f t="shared" si="923"/>
        <v>4</v>
      </c>
      <c r="C2600" s="71">
        <v>42842</v>
      </c>
      <c r="D2600" s="71" t="s">
        <v>902</v>
      </c>
      <c r="E2600" s="71">
        <f t="shared" si="928"/>
        <v>42842</v>
      </c>
      <c r="F2600" s="73" t="s">
        <v>1096</v>
      </c>
      <c r="G2600" s="72" t="s">
        <v>585</v>
      </c>
      <c r="H2600" s="73" t="s">
        <v>807</v>
      </c>
      <c r="I2600" s="371"/>
      <c r="J2600" s="377"/>
      <c r="K2600" s="371">
        <v>193.93</v>
      </c>
      <c r="L2600" s="377">
        <v>22730</v>
      </c>
      <c r="M2600" s="74">
        <f t="shared" si="931"/>
        <v>4408029</v>
      </c>
      <c r="N2600" s="75" t="s">
        <v>99</v>
      </c>
      <c r="O2600" s="934" t="s">
        <v>256</v>
      </c>
      <c r="P2600" s="75" t="str">
        <f>IF(AND('331-CT'!$E$7=TH!H2600,OR(N2600="331",O2600="331")),"x","")</f>
        <v/>
      </c>
      <c r="Q2600" s="75" t="str">
        <f>IF(AND(B2600='111'!$L$11,OR($N2600=$Q$7,$O2600=$Q$7)),"x","")</f>
        <v/>
      </c>
      <c r="R2600" s="75" t="str">
        <f>IF(AND($N2600=$Q$7,$B2600&lt;'111'!$L$11),"x","")</f>
        <v/>
      </c>
      <c r="S2600" s="75" t="str">
        <f>IF(AND($O2600=$Q$7,$B2600&lt;'111'!$L$11),"x","")</f>
        <v/>
      </c>
      <c r="T2600" s="75" t="str">
        <f>IF(ISERROR(FIND('112'!$M$9,G2600,1)),"",IF((AND(FIND('112'!$M$9,G2600,1)&gt;=1,B2600='112'!$K$9,OR($N2600='112'!$I$6,$O2600='112'!$I$6))),"x",""))</f>
        <v/>
      </c>
      <c r="U2600" s="75" t="str">
        <f>IF(ISERROR(FIND('112'!$M$9,G2600,1)),"",IF((AND(LEFT(G2600,2)=LEFT('112'!$M$9,2),B2600&lt;'112'!$K$9,$N2600='112'!$I$6)),"x",""))</f>
        <v/>
      </c>
      <c r="V2600" s="75" t="str">
        <f>IF(ISERROR(FIND('112'!$M$9,G2600,1)),"",IF((AND(RIGHT(G2600,2)=RIGHT('112'!$M$9,2),B2600&lt;'112'!$K$9,$O2600='112'!$I$6)),"x",""))</f>
        <v/>
      </c>
      <c r="W2600" s="75" t="str">
        <f>IF(AND('341-CT'!$H$9=H2600,OR(LEFT(N2600,3)=$W$7,LEFT(O2600,3)=$W$7)),"x","")</f>
        <v/>
      </c>
      <c r="X2600" s="75" t="str">
        <f>IF(OR(TH!N2600=TH!$X$7,O2600=TH!$X$7),"x","")</f>
        <v/>
      </c>
      <c r="Y2600" s="75" t="str">
        <f>IF(AND(OR(N2600="131",O2600="131"),H2600='131-CT'!$H$9),"x","")</f>
        <v/>
      </c>
      <c r="Z2600" s="75"/>
      <c r="AA2600" s="75" t="str">
        <f>IF(AND(MONTH(E2600)='IN-NX'!$J$5,'IN-NX'!$D$7=D2600),"x","")</f>
        <v/>
      </c>
      <c r="AB2600" s="75" t="str">
        <f>IF(AND(OR(LEFT(TH!N2600,2)="15",LEFT(TH!O2600,2)="15"),LEFT(TH!O2600,3)&lt;&gt;"111",'152-CT'!$J$8=TH!F2600),"x","")</f>
        <v/>
      </c>
      <c r="AC2600" s="75" t="str">
        <f>IF(AND(OR(LEFT(TH!N2600,2)="15",LEFT(TH!O2600,2)="15"),TK!$E$7=TH!F2600),"x","")</f>
        <v/>
      </c>
      <c r="AD2600" s="75" t="str">
        <f>IF(AND(N2600="1521",MONTH(C2600)='BK-NL'!$M$11),"x","")</f>
        <v/>
      </c>
    </row>
    <row r="2601" spans="1:30" s="1264" customFormat="1" ht="16.5" customHeight="1">
      <c r="A2601" s="309" t="str">
        <f>IF(B2601&lt;&gt;"",IF(AND(B2601='IN-TC'!$S$4,OR(TH!N2601="1111",TH!O2601="1111")),TH!D2601,""),"")</f>
        <v/>
      </c>
      <c r="B2601" s="1314">
        <f t="shared" si="923"/>
        <v>4</v>
      </c>
      <c r="C2601" s="71">
        <v>42842</v>
      </c>
      <c r="D2601" s="71" t="s">
        <v>530</v>
      </c>
      <c r="E2601" s="71">
        <f t="shared" si="928"/>
        <v>42842</v>
      </c>
      <c r="F2601" s="73" t="s">
        <v>1010</v>
      </c>
      <c r="G2601" s="72" t="s">
        <v>585</v>
      </c>
      <c r="H2601" s="73" t="s">
        <v>807</v>
      </c>
      <c r="I2601" s="371"/>
      <c r="J2601" s="377"/>
      <c r="K2601" s="371"/>
      <c r="L2601" s="377"/>
      <c r="M2601" s="74">
        <v>1762500</v>
      </c>
      <c r="N2601" s="75" t="s">
        <v>99</v>
      </c>
      <c r="O2601" s="75" t="s">
        <v>250</v>
      </c>
      <c r="P2601" s="75" t="str">
        <f>IF(AND('331-CT'!$E$7=TH!H2601,OR(N2601="331",O2601="331")),"x","")</f>
        <v/>
      </c>
      <c r="Q2601" s="75" t="str">
        <f>IF(AND(B2601='111'!$L$11,OR($N2601=$Q$7,$O2601=$Q$7)),"x","")</f>
        <v/>
      </c>
      <c r="R2601" s="75" t="str">
        <f>IF(AND($N2601=$Q$7,$B2601&lt;'111'!$L$11),"x","")</f>
        <v/>
      </c>
      <c r="S2601" s="75" t="str">
        <f>IF(AND($O2601=$Q$7,$B2601&lt;'111'!$L$11),"x","")</f>
        <v/>
      </c>
      <c r="T2601" s="75" t="str">
        <f>IF(ISERROR(FIND('112'!$M$9,G2601,1)),"",IF((AND(FIND('112'!$M$9,G2601,1)&gt;=1,B2601='112'!$K$9,OR($N2601='112'!$I$6,$O2601='112'!$I$6))),"x",""))</f>
        <v/>
      </c>
      <c r="U2601" s="75" t="str">
        <f>IF(ISERROR(FIND('112'!$M$9,G2601,1)),"",IF((AND(LEFT(G2601,2)=LEFT('112'!$M$9,2),B2601&lt;'112'!$K$9,$N2601='112'!$I$6)),"x",""))</f>
        <v/>
      </c>
      <c r="V2601" s="75" t="str">
        <f>IF(ISERROR(FIND('112'!$M$9,G2601,1)),"",IF((AND(RIGHT(G2601,2)=RIGHT('112'!$M$9,2),B2601&lt;'112'!$K$9,$O2601='112'!$I$6)),"x",""))</f>
        <v/>
      </c>
      <c r="W2601" s="75" t="str">
        <f>IF(AND('341-CT'!$H$9=H2601,OR(LEFT(N2601,3)=$W$7,LEFT(O2601,3)=$W$7)),"x","")</f>
        <v/>
      </c>
      <c r="X2601" s="75" t="str">
        <f>IF(OR(TH!N2601=TH!$X$7,O2601=TH!$X$7),"x","")</f>
        <v/>
      </c>
      <c r="Y2601" s="75" t="str">
        <f>IF(AND(OR(N2601="131",O2601="131"),H2601='131-CT'!$H$9),"x","")</f>
        <v/>
      </c>
      <c r="Z2601" s="75"/>
      <c r="AA2601" s="75" t="str">
        <f>IF(AND(MONTH(E2601)='IN-NX'!$J$5,'IN-NX'!$D$7=D2601),"x","")</f>
        <v/>
      </c>
      <c r="AB2601" s="75" t="str">
        <f>IF(AND(OR(LEFT(TH!N2601,2)="15",LEFT(TH!O2601,2)="15"),LEFT(TH!O2601,3)&lt;&gt;"111",'152-CT'!$J$8=TH!F2601),"x","")</f>
        <v/>
      </c>
      <c r="AC2601" s="75" t="str">
        <f>IF(AND(OR(LEFT(TH!N2601,2)="15",LEFT(TH!O2601,2)="15"),TK!$E$7=TH!F2601),"x","")</f>
        <v/>
      </c>
      <c r="AD2601" s="75" t="str">
        <f>IF(AND(N2601="1521",MONTH(C2601)='BK-NL'!$M$11),"x","")</f>
        <v/>
      </c>
    </row>
    <row r="2602" spans="1:30" s="1264" customFormat="1" ht="16.5" customHeight="1">
      <c r="A2602" s="309" t="str">
        <f>IF(B2602&lt;&gt;"",IF(AND(B2602='IN-TC'!$S$4,OR(TH!N2602="1111",TH!O2602="1111")),TH!D2602,""),"")</f>
        <v/>
      </c>
      <c r="B2602" s="1314">
        <f t="shared" si="923"/>
        <v>4</v>
      </c>
      <c r="C2602" s="71">
        <v>42842</v>
      </c>
      <c r="D2602" s="71" t="s">
        <v>902</v>
      </c>
      <c r="E2602" s="71">
        <f t="shared" si="928"/>
        <v>42842</v>
      </c>
      <c r="F2602" s="73" t="s">
        <v>1321</v>
      </c>
      <c r="G2602" s="72" t="s">
        <v>585</v>
      </c>
      <c r="H2602" s="735" t="s">
        <v>927</v>
      </c>
      <c r="I2602" s="371"/>
      <c r="J2602" s="377"/>
      <c r="K2602" s="371">
        <v>43000</v>
      </c>
      <c r="L2602" s="377">
        <v>22730</v>
      </c>
      <c r="M2602" s="74">
        <f t="shared" ref="M2602:M2603" si="932">ROUND(K2602*L2602,0)</f>
        <v>977390000</v>
      </c>
      <c r="N2602" s="75" t="s">
        <v>250</v>
      </c>
      <c r="O2602" s="934" t="s">
        <v>256</v>
      </c>
      <c r="P2602" s="75" t="str">
        <f>IF(AND('331-CT'!$E$7=TH!H2602,OR(N2602="331",O2602="331")),"x","")</f>
        <v/>
      </c>
      <c r="Q2602" s="75" t="str">
        <f>IF(AND(B2602='111'!$L$11,OR($N2602=$Q$7,$O2602=$Q$7)),"x","")</f>
        <v/>
      </c>
      <c r="R2602" s="75" t="str">
        <f>IF(AND($N2602=$Q$7,$B2602&lt;'111'!$L$11),"x","")</f>
        <v/>
      </c>
      <c r="S2602" s="75" t="str">
        <f>IF(AND($O2602=$Q$7,$B2602&lt;'111'!$L$11),"x","")</f>
        <v/>
      </c>
      <c r="T2602" s="75" t="str">
        <f>IF(ISERROR(FIND('112'!$M$9,G2602,1)),"",IF((AND(FIND('112'!$M$9,G2602,1)&gt;=1,B2602='112'!$K$9,OR($N2602='112'!$I$6,$O2602='112'!$I$6))),"x",""))</f>
        <v/>
      </c>
      <c r="U2602" s="75" t="str">
        <f>IF(ISERROR(FIND('112'!$M$9,G2602,1)),"",IF((AND(LEFT(G2602,2)=LEFT('112'!$M$9,2),B2602&lt;'112'!$K$9,$N2602='112'!$I$6)),"x",""))</f>
        <v/>
      </c>
      <c r="V2602" s="75" t="str">
        <f>IF(ISERROR(FIND('112'!$M$9,G2602,1)),"",IF((AND(RIGHT(G2602,2)=RIGHT('112'!$M$9,2),B2602&lt;'112'!$K$9,$O2602='112'!$I$6)),"x",""))</f>
        <v/>
      </c>
      <c r="W2602" s="75" t="str">
        <f>IF(AND('341-CT'!$H$9=H2602,OR(LEFT(N2602,3)=$W$7,LEFT(O2602,3)=$W$7)),"x","")</f>
        <v/>
      </c>
      <c r="X2602" s="75" t="str">
        <f>IF(OR(TH!N2602=TH!$X$7,O2602=TH!$X$7),"x","")</f>
        <v/>
      </c>
      <c r="Y2602" s="75" t="str">
        <f>IF(AND(OR(N2602="131",O2602="131"),H2602='131-CT'!$H$9),"x","")</f>
        <v/>
      </c>
      <c r="Z2602" s="75"/>
      <c r="AA2602" s="75" t="str">
        <f>IF(AND(MONTH(E2602)='IN-NX'!$J$5,'IN-NX'!$D$7=D2602),"x","")</f>
        <v/>
      </c>
      <c r="AB2602" s="75" t="str">
        <f>IF(AND(OR(LEFT(TH!N2602,2)="15",LEFT(TH!O2602,2)="15"),LEFT(TH!O2602,3)&lt;&gt;"111",'152-CT'!$J$8=TH!F2602),"x","")</f>
        <v/>
      </c>
      <c r="AC2602" s="75" t="str">
        <f>IF(AND(OR(LEFT(TH!N2602,2)="15",LEFT(TH!O2602,2)="15"),TK!$E$7=TH!F2602),"x","")</f>
        <v/>
      </c>
      <c r="AD2602" s="75" t="str">
        <f>IF(AND(N2602="1521",MONTH(C2602)='BK-NL'!$M$11),"x","")</f>
        <v/>
      </c>
    </row>
    <row r="2603" spans="1:30" s="1264" customFormat="1" ht="16.5" customHeight="1">
      <c r="A2603" s="309" t="str">
        <f>IF(B2603&lt;&gt;"",IF(AND(B2603='IN-TC'!$S$4,OR(TH!N2603="1111",TH!O2603="1111")),TH!D2603,""),"")</f>
        <v/>
      </c>
      <c r="B2603" s="1314">
        <f t="shared" si="923"/>
        <v>4</v>
      </c>
      <c r="C2603" s="71">
        <v>42842</v>
      </c>
      <c r="D2603" s="71" t="s">
        <v>902</v>
      </c>
      <c r="E2603" s="71">
        <f t="shared" si="928"/>
        <v>42842</v>
      </c>
      <c r="F2603" s="73" t="s">
        <v>1096</v>
      </c>
      <c r="G2603" s="72" t="s">
        <v>585</v>
      </c>
      <c r="H2603" s="735" t="s">
        <v>927</v>
      </c>
      <c r="I2603" s="371"/>
      <c r="J2603" s="377"/>
      <c r="K2603" s="371">
        <v>104.55</v>
      </c>
      <c r="L2603" s="377">
        <v>22730</v>
      </c>
      <c r="M2603" s="74">
        <f t="shared" si="932"/>
        <v>2376422</v>
      </c>
      <c r="N2603" s="75" t="s">
        <v>99</v>
      </c>
      <c r="O2603" s="934" t="s">
        <v>256</v>
      </c>
      <c r="P2603" s="75" t="str">
        <f>IF(AND('331-CT'!$E$7=TH!H2603,OR(N2603="331",O2603="331")),"x","")</f>
        <v/>
      </c>
      <c r="Q2603" s="75" t="str">
        <f>IF(AND(B2603='111'!$L$11,OR($N2603=$Q$7,$O2603=$Q$7)),"x","")</f>
        <v/>
      </c>
      <c r="R2603" s="75" t="str">
        <f>IF(AND($N2603=$Q$7,$B2603&lt;'111'!$L$11),"x","")</f>
        <v/>
      </c>
      <c r="S2603" s="75" t="str">
        <f>IF(AND($O2603=$Q$7,$B2603&lt;'111'!$L$11),"x","")</f>
        <v/>
      </c>
      <c r="T2603" s="75" t="str">
        <f>IF(ISERROR(FIND('112'!$M$9,G2603,1)),"",IF((AND(FIND('112'!$M$9,G2603,1)&gt;=1,B2603='112'!$K$9,OR($N2603='112'!$I$6,$O2603='112'!$I$6))),"x",""))</f>
        <v/>
      </c>
      <c r="U2603" s="75" t="str">
        <f>IF(ISERROR(FIND('112'!$M$9,G2603,1)),"",IF((AND(LEFT(G2603,2)=LEFT('112'!$M$9,2),B2603&lt;'112'!$K$9,$N2603='112'!$I$6)),"x",""))</f>
        <v/>
      </c>
      <c r="V2603" s="75" t="str">
        <f>IF(ISERROR(FIND('112'!$M$9,G2603,1)),"",IF((AND(RIGHT(G2603,2)=RIGHT('112'!$M$9,2),B2603&lt;'112'!$K$9,$O2603='112'!$I$6)),"x",""))</f>
        <v/>
      </c>
      <c r="W2603" s="75" t="str">
        <f>IF(AND('341-CT'!$H$9=H2603,OR(LEFT(N2603,3)=$W$7,LEFT(O2603,3)=$W$7)),"x","")</f>
        <v/>
      </c>
      <c r="X2603" s="75" t="str">
        <f>IF(OR(TH!N2603=TH!$X$7,O2603=TH!$X$7),"x","")</f>
        <v/>
      </c>
      <c r="Y2603" s="75" t="str">
        <f>IF(AND(OR(N2603="131",O2603="131"),H2603='131-CT'!$H$9),"x","")</f>
        <v/>
      </c>
      <c r="Z2603" s="75"/>
      <c r="AA2603" s="75" t="str">
        <f>IF(AND(MONTH(E2603)='IN-NX'!$J$5,'IN-NX'!$D$7=D2603),"x","")</f>
        <v/>
      </c>
      <c r="AB2603" s="75" t="str">
        <f>IF(AND(OR(LEFT(TH!N2603,2)="15",LEFT(TH!O2603,2)="15"),LEFT(TH!O2603,3)&lt;&gt;"111",'152-CT'!$J$8=TH!F2603),"x","")</f>
        <v/>
      </c>
      <c r="AC2603" s="75" t="str">
        <f>IF(AND(OR(LEFT(TH!N2603,2)="15",LEFT(TH!O2603,2)="15"),TK!$E$7=TH!F2603),"x","")</f>
        <v/>
      </c>
      <c r="AD2603" s="75" t="str">
        <f>IF(AND(N2603="1521",MONTH(C2603)='BK-NL'!$M$11),"x","")</f>
        <v/>
      </c>
    </row>
    <row r="2604" spans="1:30" s="1264" customFormat="1" ht="16.5" customHeight="1">
      <c r="A2604" s="309" t="str">
        <f>IF(B2604&lt;&gt;"",IF(AND(B2604='IN-TC'!$S$4,OR(TH!N2604="1111",TH!O2604="1111")),TH!D2604,""),"")</f>
        <v/>
      </c>
      <c r="B2604" s="1314">
        <f t="shared" si="923"/>
        <v>4</v>
      </c>
      <c r="C2604" s="71">
        <v>42842</v>
      </c>
      <c r="D2604" s="71" t="s">
        <v>530</v>
      </c>
      <c r="E2604" s="71">
        <f t="shared" si="928"/>
        <v>42842</v>
      </c>
      <c r="F2604" s="73" t="s">
        <v>1010</v>
      </c>
      <c r="G2604" s="72" t="s">
        <v>585</v>
      </c>
      <c r="H2604" s="735" t="s">
        <v>927</v>
      </c>
      <c r="I2604" s="371"/>
      <c r="J2604" s="377"/>
      <c r="K2604" s="371"/>
      <c r="L2604" s="377"/>
      <c r="M2604" s="74">
        <v>7955000</v>
      </c>
      <c r="N2604" s="75" t="s">
        <v>99</v>
      </c>
      <c r="O2604" s="75" t="s">
        <v>250</v>
      </c>
      <c r="P2604" s="75" t="str">
        <f>IF(AND('331-CT'!$E$7=TH!H2604,OR(N2604="331",O2604="331")),"x","")</f>
        <v/>
      </c>
      <c r="Q2604" s="75" t="str">
        <f>IF(AND(B2604='111'!$L$11,OR($N2604=$Q$7,$O2604=$Q$7)),"x","")</f>
        <v/>
      </c>
      <c r="R2604" s="75" t="str">
        <f>IF(AND($N2604=$Q$7,$B2604&lt;'111'!$L$11),"x","")</f>
        <v/>
      </c>
      <c r="S2604" s="75" t="str">
        <f>IF(AND($O2604=$Q$7,$B2604&lt;'111'!$L$11),"x","")</f>
        <v/>
      </c>
      <c r="T2604" s="75" t="str">
        <f>IF(ISERROR(FIND('112'!$M$9,G2604,1)),"",IF((AND(FIND('112'!$M$9,G2604,1)&gt;=1,B2604='112'!$K$9,OR($N2604='112'!$I$6,$O2604='112'!$I$6))),"x",""))</f>
        <v/>
      </c>
      <c r="U2604" s="75" t="str">
        <f>IF(ISERROR(FIND('112'!$M$9,G2604,1)),"",IF((AND(LEFT(G2604,2)=LEFT('112'!$M$9,2),B2604&lt;'112'!$K$9,$N2604='112'!$I$6)),"x",""))</f>
        <v/>
      </c>
      <c r="V2604" s="75" t="str">
        <f>IF(ISERROR(FIND('112'!$M$9,G2604,1)),"",IF((AND(RIGHT(G2604,2)=RIGHT('112'!$M$9,2),B2604&lt;'112'!$K$9,$O2604='112'!$I$6)),"x",""))</f>
        <v/>
      </c>
      <c r="W2604" s="75" t="str">
        <f>IF(AND('341-CT'!$H$9=H2604,OR(LEFT(N2604,3)=$W$7,LEFT(O2604,3)=$W$7)),"x","")</f>
        <v/>
      </c>
      <c r="X2604" s="75" t="str">
        <f>IF(OR(TH!N2604=TH!$X$7,O2604=TH!$X$7),"x","")</f>
        <v/>
      </c>
      <c r="Y2604" s="75" t="str">
        <f>IF(AND(OR(N2604="131",O2604="131"),H2604='131-CT'!$H$9),"x","")</f>
        <v/>
      </c>
      <c r="Z2604" s="75"/>
      <c r="AA2604" s="75" t="str">
        <f>IF(AND(MONTH(E2604)='IN-NX'!$J$5,'IN-NX'!$D$7=D2604),"x","")</f>
        <v/>
      </c>
      <c r="AB2604" s="75" t="str">
        <f>IF(AND(OR(LEFT(TH!N2604,2)="15",LEFT(TH!O2604,2)="15"),LEFT(TH!O2604,3)&lt;&gt;"111",'152-CT'!$J$8=TH!F2604),"x","")</f>
        <v/>
      </c>
      <c r="AC2604" s="75" t="str">
        <f>IF(AND(OR(LEFT(TH!N2604,2)="15",LEFT(TH!O2604,2)="15"),TK!$E$7=TH!F2604),"x","")</f>
        <v/>
      </c>
      <c r="AD2604" s="75" t="str">
        <f>IF(AND(N2604="1521",MONTH(C2604)='BK-NL'!$M$11),"x","")</f>
        <v/>
      </c>
    </row>
    <row r="2605" spans="1:30" s="1264" customFormat="1" ht="16.5" customHeight="1">
      <c r="A2605" s="309" t="str">
        <f>IF(B2605&lt;&gt;"",IF(AND(B2605='IN-TC'!$S$4,OR(TH!N2605="1111",TH!O2605="1111")),TH!D2605,""),"")</f>
        <v/>
      </c>
      <c r="B2605" s="1314">
        <f t="shared" si="923"/>
        <v>4</v>
      </c>
      <c r="C2605" s="71">
        <v>42842</v>
      </c>
      <c r="D2605" s="71" t="s">
        <v>902</v>
      </c>
      <c r="E2605" s="71">
        <f t="shared" si="928"/>
        <v>42842</v>
      </c>
      <c r="F2605" s="73" t="s">
        <v>1321</v>
      </c>
      <c r="G2605" s="72" t="s">
        <v>585</v>
      </c>
      <c r="H2605" s="735" t="s">
        <v>1095</v>
      </c>
      <c r="I2605" s="1213"/>
      <c r="J2605" s="1214"/>
      <c r="K2605" s="1213">
        <v>52300</v>
      </c>
      <c r="L2605" s="377">
        <v>22730</v>
      </c>
      <c r="M2605" s="74">
        <f t="shared" ref="M2605:M2606" si="933">ROUND(K2605*L2605,0)</f>
        <v>1188779000</v>
      </c>
      <c r="N2605" s="75" t="s">
        <v>250</v>
      </c>
      <c r="O2605" s="934" t="s">
        <v>256</v>
      </c>
      <c r="P2605" s="75" t="str">
        <f>IF(AND('331-CT'!$E$7=TH!H2605,OR(N2605="331",O2605="331")),"x","")</f>
        <v/>
      </c>
      <c r="Q2605" s="75" t="str">
        <f>IF(AND(B2605='111'!$L$11,OR($N2605=$Q$7,$O2605=$Q$7)),"x","")</f>
        <v/>
      </c>
      <c r="R2605" s="75" t="str">
        <f>IF(AND($N2605=$Q$7,$B2605&lt;'111'!$L$11),"x","")</f>
        <v/>
      </c>
      <c r="S2605" s="75" t="str">
        <f>IF(AND($O2605=$Q$7,$B2605&lt;'111'!$L$11),"x","")</f>
        <v/>
      </c>
      <c r="T2605" s="75" t="str">
        <f>IF(ISERROR(FIND('112'!$M$9,G2605,1)),"",IF((AND(FIND('112'!$M$9,G2605,1)&gt;=1,B2605='112'!$K$9,OR($N2605='112'!$I$6,$O2605='112'!$I$6))),"x",""))</f>
        <v/>
      </c>
      <c r="U2605" s="75" t="str">
        <f>IF(ISERROR(FIND('112'!$M$9,G2605,1)),"",IF((AND(LEFT(G2605,2)=LEFT('112'!$M$9,2),B2605&lt;'112'!$K$9,$N2605='112'!$I$6)),"x",""))</f>
        <v/>
      </c>
      <c r="V2605" s="75" t="str">
        <f>IF(ISERROR(FIND('112'!$M$9,G2605,1)),"",IF((AND(RIGHT(G2605,2)=RIGHT('112'!$M$9,2),B2605&lt;'112'!$K$9,$O2605='112'!$I$6)),"x",""))</f>
        <v/>
      </c>
      <c r="W2605" s="75" t="str">
        <f>IF(AND('341-CT'!$H$9=H2605,OR(LEFT(N2605,3)=$W$7,LEFT(O2605,3)=$W$7)),"x","")</f>
        <v/>
      </c>
      <c r="X2605" s="75" t="str">
        <f>IF(OR(TH!N2605=TH!$X$7,O2605=TH!$X$7),"x","")</f>
        <v/>
      </c>
      <c r="Y2605" s="75" t="str">
        <f>IF(AND(OR(N2605="131",O2605="131"),H2605='131-CT'!$H$9),"x","")</f>
        <v/>
      </c>
      <c r="Z2605" s="75"/>
      <c r="AA2605" s="75" t="str">
        <f>IF(AND(MONTH(E2605)='IN-NX'!$J$5,'IN-NX'!$D$7=D2605),"x","")</f>
        <v/>
      </c>
      <c r="AB2605" s="75" t="str">
        <f>IF(AND(OR(LEFT(TH!N2605,2)="15",LEFT(TH!O2605,2)="15"),LEFT(TH!O2605,3)&lt;&gt;"111",'152-CT'!$J$8=TH!F2605),"x","")</f>
        <v/>
      </c>
      <c r="AC2605" s="75" t="str">
        <f>IF(AND(OR(LEFT(TH!N2605,2)="15",LEFT(TH!O2605,2)="15"),TK!$E$7=TH!F2605),"x","")</f>
        <v/>
      </c>
      <c r="AD2605" s="75" t="str">
        <f>IF(AND(N2605="1521",MONTH(C2605)='BK-NL'!$M$11),"x","")</f>
        <v/>
      </c>
    </row>
    <row r="2606" spans="1:30" s="1264" customFormat="1" ht="16.5" customHeight="1">
      <c r="A2606" s="309" t="str">
        <f>IF(B2606&lt;&gt;"",IF(AND(B2606='IN-TC'!$S$4,OR(TH!N2606="1111",TH!O2606="1111")),TH!D2606,""),"")</f>
        <v/>
      </c>
      <c r="B2606" s="1314">
        <f t="shared" si="923"/>
        <v>4</v>
      </c>
      <c r="C2606" s="71">
        <v>42842</v>
      </c>
      <c r="D2606" s="71" t="s">
        <v>902</v>
      </c>
      <c r="E2606" s="71">
        <f t="shared" si="928"/>
        <v>42842</v>
      </c>
      <c r="F2606" s="73" t="s">
        <v>1096</v>
      </c>
      <c r="G2606" s="72" t="s">
        <v>585</v>
      </c>
      <c r="H2606" s="735" t="s">
        <v>1095</v>
      </c>
      <c r="I2606" s="371"/>
      <c r="J2606" s="377"/>
      <c r="K2606" s="371">
        <v>119.87</v>
      </c>
      <c r="L2606" s="377">
        <v>22730</v>
      </c>
      <c r="M2606" s="74">
        <f t="shared" si="933"/>
        <v>2724645</v>
      </c>
      <c r="N2606" s="75" t="s">
        <v>99</v>
      </c>
      <c r="O2606" s="934" t="s">
        <v>256</v>
      </c>
      <c r="P2606" s="75" t="str">
        <f>IF(AND('331-CT'!$E$7=TH!H2606,OR(N2606="331",O2606="331")),"x","")</f>
        <v/>
      </c>
      <c r="Q2606" s="75" t="str">
        <f>IF(AND(B2606='111'!$L$11,OR($N2606=$Q$7,$O2606=$Q$7)),"x","")</f>
        <v/>
      </c>
      <c r="R2606" s="75" t="str">
        <f>IF(AND($N2606=$Q$7,$B2606&lt;'111'!$L$11),"x","")</f>
        <v/>
      </c>
      <c r="S2606" s="75" t="str">
        <f>IF(AND($O2606=$Q$7,$B2606&lt;'111'!$L$11),"x","")</f>
        <v/>
      </c>
      <c r="T2606" s="75" t="str">
        <f>IF(ISERROR(FIND('112'!$M$9,G2606,1)),"",IF((AND(FIND('112'!$M$9,G2606,1)&gt;=1,B2606='112'!$K$9,OR($N2606='112'!$I$6,$O2606='112'!$I$6))),"x",""))</f>
        <v/>
      </c>
      <c r="U2606" s="75" t="str">
        <f>IF(ISERROR(FIND('112'!$M$9,G2606,1)),"",IF((AND(LEFT(G2606,2)=LEFT('112'!$M$9,2),B2606&lt;'112'!$K$9,$N2606='112'!$I$6)),"x",""))</f>
        <v/>
      </c>
      <c r="V2606" s="75" t="str">
        <f>IF(ISERROR(FIND('112'!$M$9,G2606,1)),"",IF((AND(RIGHT(G2606,2)=RIGHT('112'!$M$9,2),B2606&lt;'112'!$K$9,$O2606='112'!$I$6)),"x",""))</f>
        <v/>
      </c>
      <c r="W2606" s="75" t="str">
        <f>IF(AND('341-CT'!$H$9=H2606,OR(LEFT(N2606,3)=$W$7,LEFT(O2606,3)=$W$7)),"x","")</f>
        <v/>
      </c>
      <c r="X2606" s="75" t="str">
        <f>IF(OR(TH!N2606=TH!$X$7,O2606=TH!$X$7),"x","")</f>
        <v/>
      </c>
      <c r="Y2606" s="75" t="str">
        <f>IF(AND(OR(N2606="131",O2606="131"),H2606='131-CT'!$H$9),"x","")</f>
        <v/>
      </c>
      <c r="Z2606" s="75"/>
      <c r="AA2606" s="75" t="str">
        <f>IF(AND(MONTH(E2606)='IN-NX'!$J$5,'IN-NX'!$D$7=D2606),"x","")</f>
        <v/>
      </c>
      <c r="AB2606" s="75" t="str">
        <f>IF(AND(OR(LEFT(TH!N2606,2)="15",LEFT(TH!O2606,2)="15"),LEFT(TH!O2606,3)&lt;&gt;"111",'152-CT'!$J$8=TH!F2606),"x","")</f>
        <v/>
      </c>
      <c r="AC2606" s="75" t="str">
        <f>IF(AND(OR(LEFT(TH!N2606,2)="15",LEFT(TH!O2606,2)="15"),TK!$E$7=TH!F2606),"x","")</f>
        <v/>
      </c>
      <c r="AD2606" s="75" t="str">
        <f>IF(AND(N2606="1521",MONTH(C2606)='BK-NL'!$M$11),"x","")</f>
        <v/>
      </c>
    </row>
    <row r="2607" spans="1:30" s="1264" customFormat="1" ht="16.5" customHeight="1">
      <c r="A2607" s="309" t="str">
        <f>IF(B2607&lt;&gt;"",IF(AND(B2607='IN-TC'!$S$4,OR(TH!N2607="1111",TH!O2607="1111")),TH!D2607,""),"")</f>
        <v/>
      </c>
      <c r="B2607" s="1314">
        <f t="shared" si="923"/>
        <v>4</v>
      </c>
      <c r="C2607" s="71">
        <v>42842</v>
      </c>
      <c r="D2607" s="71" t="s">
        <v>530</v>
      </c>
      <c r="E2607" s="71">
        <f t="shared" si="928"/>
        <v>42842</v>
      </c>
      <c r="F2607" s="73" t="s">
        <v>1010</v>
      </c>
      <c r="G2607" s="72" t="s">
        <v>585</v>
      </c>
      <c r="H2607" s="735" t="s">
        <v>1095</v>
      </c>
      <c r="I2607" s="371"/>
      <c r="J2607" s="377"/>
      <c r="K2607" s="371"/>
      <c r="L2607" s="377"/>
      <c r="M2607" s="74">
        <v>3661000</v>
      </c>
      <c r="N2607" s="75" t="s">
        <v>99</v>
      </c>
      <c r="O2607" s="75" t="s">
        <v>250</v>
      </c>
      <c r="P2607" s="75" t="str">
        <f>IF(AND('331-CT'!$E$7=TH!H2607,OR(N2607="331",O2607="331")),"x","")</f>
        <v/>
      </c>
      <c r="Q2607" s="75" t="str">
        <f>IF(AND(B2607='111'!$L$11,OR($N2607=$Q$7,$O2607=$Q$7)),"x","")</f>
        <v/>
      </c>
      <c r="R2607" s="75" t="str">
        <f>IF(AND($N2607=$Q$7,$B2607&lt;'111'!$L$11),"x","")</f>
        <v/>
      </c>
      <c r="S2607" s="75" t="str">
        <f>IF(AND($O2607=$Q$7,$B2607&lt;'111'!$L$11),"x","")</f>
        <v/>
      </c>
      <c r="T2607" s="75" t="str">
        <f>IF(ISERROR(FIND('112'!$M$9,G2607,1)),"",IF((AND(FIND('112'!$M$9,G2607,1)&gt;=1,B2607='112'!$K$9,OR($N2607='112'!$I$6,$O2607='112'!$I$6))),"x",""))</f>
        <v/>
      </c>
      <c r="U2607" s="75" t="str">
        <f>IF(ISERROR(FIND('112'!$M$9,G2607,1)),"",IF((AND(LEFT(G2607,2)=LEFT('112'!$M$9,2),B2607&lt;'112'!$K$9,$N2607='112'!$I$6)),"x",""))</f>
        <v/>
      </c>
      <c r="V2607" s="75" t="str">
        <f>IF(ISERROR(FIND('112'!$M$9,G2607,1)),"",IF((AND(RIGHT(G2607,2)=RIGHT('112'!$M$9,2),B2607&lt;'112'!$K$9,$O2607='112'!$I$6)),"x",""))</f>
        <v/>
      </c>
      <c r="W2607" s="75" t="str">
        <f>IF(AND('341-CT'!$H$9=H2607,OR(LEFT(N2607,3)=$W$7,LEFT(O2607,3)=$W$7)),"x","")</f>
        <v/>
      </c>
      <c r="X2607" s="75" t="str">
        <f>IF(OR(TH!N2607=TH!$X$7,O2607=TH!$X$7),"x","")</f>
        <v/>
      </c>
      <c r="Y2607" s="75" t="str">
        <f>IF(AND(OR(N2607="131",O2607="131"),H2607='131-CT'!$H$9),"x","")</f>
        <v/>
      </c>
      <c r="Z2607" s="75"/>
      <c r="AA2607" s="75" t="str">
        <f>IF(AND(MONTH(E2607)='IN-NX'!$J$5,'IN-NX'!$D$7=D2607),"x","")</f>
        <v/>
      </c>
      <c r="AB2607" s="75" t="str">
        <f>IF(AND(OR(LEFT(TH!N2607,2)="15",LEFT(TH!O2607,2)="15"),LEFT(TH!O2607,3)&lt;&gt;"111",'152-CT'!$J$8=TH!F2607),"x","")</f>
        <v/>
      </c>
      <c r="AC2607" s="75" t="str">
        <f>IF(AND(OR(LEFT(TH!N2607,2)="15",LEFT(TH!O2607,2)="15"),TK!$E$7=TH!F2607),"x","")</f>
        <v/>
      </c>
      <c r="AD2607" s="75" t="str">
        <f>IF(AND(N2607="1521",MONTH(C2607)='BK-NL'!$M$11),"x","")</f>
        <v/>
      </c>
    </row>
    <row r="2608" spans="1:30" s="1264" customFormat="1" ht="16.5" customHeight="1">
      <c r="A2608" s="309" t="str">
        <f>IF(B2608&lt;&gt;"",IF(AND(B2608='IN-TC'!$S$4,OR(TH!N2608="1111",TH!O2608="1111")),TH!D2608,""),"")</f>
        <v/>
      </c>
      <c r="B2608" s="1275">
        <f t="shared" si="923"/>
        <v>5</v>
      </c>
      <c r="C2608" s="929">
        <v>42867</v>
      </c>
      <c r="D2608" s="71" t="s">
        <v>903</v>
      </c>
      <c r="E2608" s="929">
        <f t="shared" si="928"/>
        <v>42867</v>
      </c>
      <c r="F2608" s="73" t="s">
        <v>918</v>
      </c>
      <c r="G2608" s="930" t="s">
        <v>1542</v>
      </c>
      <c r="H2608" s="735" t="s">
        <v>845</v>
      </c>
      <c r="I2608" s="371"/>
      <c r="J2608" s="377"/>
      <c r="K2608" s="371">
        <v>355800</v>
      </c>
      <c r="L2608" s="377">
        <v>22675</v>
      </c>
      <c r="M2608" s="1214">
        <f t="shared" ref="M2608" si="934">ROUND(K2608*L2608,0)</f>
        <v>8067765000</v>
      </c>
      <c r="N2608" s="934" t="s">
        <v>256</v>
      </c>
      <c r="O2608" s="934" t="s">
        <v>256</v>
      </c>
      <c r="P2608" s="75" t="str">
        <f>IF(AND('331-CT'!$E$7=TH!H2608,OR(N2608="331",O2608="331")),"x","")</f>
        <v/>
      </c>
      <c r="Q2608" s="75" t="str">
        <f>IF(AND(B2608='111'!$L$11,OR($N2608=$Q$7,$O2608=$Q$7)),"x","")</f>
        <v/>
      </c>
      <c r="R2608" s="75" t="str">
        <f>IF(AND($N2608=$Q$7,$B2608&lt;'111'!$L$11),"x","")</f>
        <v/>
      </c>
      <c r="S2608" s="75" t="str">
        <f>IF(AND($O2608=$Q$7,$B2608&lt;'111'!$L$11),"x","")</f>
        <v/>
      </c>
      <c r="T2608" s="75" t="str">
        <f>IF(ISERROR(FIND('112'!$M$9,G2608,1)),"",IF((AND(FIND('112'!$M$9,G2608,1)&gt;=1,B2608='112'!$K$9,OR($N2608='112'!$I$6,$O2608='112'!$I$6))),"x",""))</f>
        <v/>
      </c>
      <c r="U2608" s="75" t="str">
        <f>IF(ISERROR(FIND('112'!$M$9,G2608,1)),"",IF((AND(LEFT(G2608,2)=LEFT('112'!$M$9,2),B2608&lt;'112'!$K$9,$N2608='112'!$I$6)),"x",""))</f>
        <v/>
      </c>
      <c r="V2608" s="75" t="str">
        <f>IF(ISERROR(FIND('112'!$M$9,G2608,1)),"",IF((AND(RIGHT(G2608,2)=RIGHT('112'!$M$9,2),B2608&lt;'112'!$K$9,$O2608='112'!$I$6)),"x",""))</f>
        <v/>
      </c>
      <c r="W2608" s="75" t="str">
        <f>IF(AND('341-CT'!$H$9=H2608,OR(LEFT(N2608,3)=$W$7,LEFT(O2608,3)=$W$7)),"x","")</f>
        <v/>
      </c>
      <c r="X2608" s="75" t="str">
        <f>IF(OR(TH!N2608=TH!$X$7,O2608=TH!$X$7),"x","")</f>
        <v/>
      </c>
      <c r="Y2608" s="75" t="str">
        <f>IF(AND(OR(N2608="131",O2608="131"),H2608='131-CT'!$H$9),"x","")</f>
        <v/>
      </c>
      <c r="Z2608" s="75"/>
      <c r="AA2608" s="75" t="str">
        <f>IF(AND(MONTH(E2608)='IN-NX'!$J$5,'IN-NX'!$D$7=D2608),"x","")</f>
        <v/>
      </c>
      <c r="AB2608" s="75" t="str">
        <f>IF(AND(OR(LEFT(TH!N2608,2)="15",LEFT(TH!O2608,2)="15"),LEFT(TH!O2608,3)&lt;&gt;"111",'152-CT'!$J$8=TH!F2608),"x","")</f>
        <v/>
      </c>
      <c r="AC2608" s="75" t="str">
        <f>IF(AND(OR(LEFT(TH!N2608,2)="15",LEFT(TH!O2608,2)="15"),TK!$E$7=TH!F2608),"x","")</f>
        <v/>
      </c>
      <c r="AD2608" s="75" t="str">
        <f>IF(AND(N2608="1521",MONTH(C2608)='BK-NL'!$M$11),"x","")</f>
        <v/>
      </c>
    </row>
    <row r="2609" spans="1:33" s="1264" customFormat="1" ht="16.5" customHeight="1">
      <c r="A2609" s="309" t="str">
        <f>IF(B2609&lt;&gt;"",IF(AND(B2609='IN-TC'!$S$4,OR(TH!N2609="1111",TH!O2609="1111")),TH!D2609,""),"")</f>
        <v/>
      </c>
      <c r="B2609" s="1275">
        <f t="shared" si="923"/>
        <v>5</v>
      </c>
      <c r="C2609" s="71">
        <v>42870</v>
      </c>
      <c r="D2609" s="929" t="s">
        <v>903</v>
      </c>
      <c r="E2609" s="71">
        <f t="shared" si="928"/>
        <v>42870</v>
      </c>
      <c r="F2609" s="73" t="s">
        <v>907</v>
      </c>
      <c r="G2609" s="72" t="s">
        <v>585</v>
      </c>
      <c r="H2609" s="735" t="s">
        <v>845</v>
      </c>
      <c r="I2609" s="371"/>
      <c r="J2609" s="377"/>
      <c r="K2609" s="371">
        <v>355800</v>
      </c>
      <c r="L2609" s="377">
        <v>22675</v>
      </c>
      <c r="M2609" s="74">
        <f t="shared" ref="M2609:M2612" si="935">ROUND(K2609*L2609,0)</f>
        <v>8067765000</v>
      </c>
      <c r="N2609" s="75" t="s">
        <v>26</v>
      </c>
      <c r="O2609" s="934" t="s">
        <v>256</v>
      </c>
      <c r="P2609" s="75" t="str">
        <f>IF(AND('331-CT'!$E$7=TH!H2609,OR(N2609="331",O2609="331")),"x","")</f>
        <v/>
      </c>
      <c r="Q2609" s="75" t="str">
        <f>IF(AND(B2609='111'!$L$11,OR($N2609=$Q$7,$O2609=$Q$7)),"x","")</f>
        <v/>
      </c>
      <c r="R2609" s="75" t="str">
        <f>IF(AND($N2609=$Q$7,$B2609&lt;'111'!$L$11),"x","")</f>
        <v/>
      </c>
      <c r="S2609" s="75" t="str">
        <f>IF(AND($O2609=$Q$7,$B2609&lt;'111'!$L$11),"x","")</f>
        <v/>
      </c>
      <c r="T2609" s="75" t="str">
        <f>IF(ISERROR(FIND('112'!$M$9,G2609,1)),"",IF((AND(FIND('112'!$M$9,G2609,1)&gt;=1,B2609='112'!$K$9,OR($N2609='112'!$I$6,$O2609='112'!$I$6))),"x",""))</f>
        <v/>
      </c>
      <c r="U2609" s="75" t="str">
        <f>IF(ISERROR(FIND('112'!$M$9,G2609,1)),"",IF((AND(LEFT(G2609,2)=LEFT('112'!$M$9,2),B2609&lt;'112'!$K$9,$N2609='112'!$I$6)),"x",""))</f>
        <v/>
      </c>
      <c r="V2609" s="75" t="str">
        <f>IF(ISERROR(FIND('112'!$M$9,G2609,1)),"",IF((AND(RIGHT(G2609,2)=RIGHT('112'!$M$9,2),B2609&lt;'112'!$K$9,$O2609='112'!$I$6)),"x",""))</f>
        <v/>
      </c>
      <c r="W2609" s="75" t="str">
        <f>IF(AND('341-CT'!$H$9=H2609,OR(LEFT(N2609,3)=$W$7,LEFT(O2609,3)=$W$7)),"x","")</f>
        <v/>
      </c>
      <c r="X2609" s="75" t="str">
        <f>IF(OR(TH!N2609=TH!$X$7,O2609=TH!$X$7),"x","")</f>
        <v/>
      </c>
      <c r="Y2609" s="75" t="str">
        <f>IF(AND(OR(N2609="131",O2609="131"),H2609='131-CT'!$H$9),"x","")</f>
        <v/>
      </c>
      <c r="Z2609" s="75"/>
      <c r="AA2609" s="75" t="str">
        <f>IF(AND(MONTH(E2609)='IN-NX'!$J$5,'IN-NX'!$D$7=D2609),"x","")</f>
        <v/>
      </c>
      <c r="AB2609" s="75" t="str">
        <f>IF(AND(OR(LEFT(TH!N2609,2)="15",LEFT(TH!O2609,2)="15"),LEFT(TH!O2609,3)&lt;&gt;"111",'152-CT'!$J$8=TH!F2609),"x","")</f>
        <v/>
      </c>
      <c r="AC2609" s="75" t="str">
        <f>IF(AND(OR(LEFT(TH!N2609,2)="15",LEFT(TH!O2609,2)="15"),TK!$E$7=TH!F2609),"x","")</f>
        <v/>
      </c>
      <c r="AD2609" s="75" t="str">
        <f>IF(AND(N2609="1521",MONTH(C2609)='BK-NL'!$M$11),"x","")</f>
        <v/>
      </c>
    </row>
    <row r="2610" spans="1:33" s="1264" customFormat="1" ht="16.5" customHeight="1">
      <c r="A2610" s="309" t="str">
        <f>IF(B2610&lt;&gt;"",IF(AND(B2610='IN-TC'!$S$4,OR(TH!N2610="1111",TH!O2610="1111")),TH!D2610,""),"")</f>
        <v/>
      </c>
      <c r="B2610" s="1315">
        <f t="shared" si="923"/>
        <v>6</v>
      </c>
      <c r="C2610" s="71">
        <v>42915</v>
      </c>
      <c r="D2610" s="71" t="s">
        <v>903</v>
      </c>
      <c r="E2610" s="71">
        <f t="shared" si="928"/>
        <v>42915</v>
      </c>
      <c r="F2610" s="73" t="s">
        <v>918</v>
      </c>
      <c r="G2610" s="72" t="s">
        <v>925</v>
      </c>
      <c r="H2610" s="73" t="s">
        <v>835</v>
      </c>
      <c r="I2610" s="371"/>
      <c r="J2610" s="377"/>
      <c r="K2610" s="371">
        <v>243800</v>
      </c>
      <c r="L2610" s="377">
        <v>22700</v>
      </c>
      <c r="M2610" s="1214">
        <f t="shared" si="935"/>
        <v>5534260000</v>
      </c>
      <c r="N2610" s="75" t="s">
        <v>256</v>
      </c>
      <c r="O2610" s="934" t="s">
        <v>256</v>
      </c>
      <c r="P2610" s="75" t="str">
        <f>IF(AND('331-CT'!$E$7=TH!H2610,OR(N2610="331",O2610="331")),"x","")</f>
        <v/>
      </c>
      <c r="Q2610" s="75" t="str">
        <f>IF(AND(B2610='111'!$L$11,OR($N2610=$Q$7,$O2610=$Q$7)),"x","")</f>
        <v/>
      </c>
      <c r="R2610" s="75" t="str">
        <f>IF(AND($N2610=$Q$7,$B2610&lt;'111'!$L$11),"x","")</f>
        <v/>
      </c>
      <c r="S2610" s="75" t="str">
        <f>IF(AND($O2610=$Q$7,$B2610&lt;'111'!$L$11),"x","")</f>
        <v/>
      </c>
      <c r="T2610" s="75" t="str">
        <f>IF(ISERROR(FIND('112'!$M$9,G2610,1)),"",IF((AND(FIND('112'!$M$9,G2610,1)&gt;=1,B2610='112'!$K$9,OR($N2610='112'!$I$6,$O2610='112'!$I$6))),"x",""))</f>
        <v/>
      </c>
      <c r="U2610" s="75" t="str">
        <f>IF(ISERROR(FIND('112'!$M$9,G2610,1)),"",IF((AND(LEFT(G2610,2)=LEFT('112'!$M$9,2),B2610&lt;'112'!$K$9,$N2610='112'!$I$6)),"x",""))</f>
        <v/>
      </c>
      <c r="V2610" s="75" t="str">
        <f>IF(ISERROR(FIND('112'!$M$9,G2610,1)),"",IF((AND(RIGHT(G2610,2)=RIGHT('112'!$M$9,2),B2610&lt;'112'!$K$9,$O2610='112'!$I$6)),"x",""))</f>
        <v/>
      </c>
      <c r="W2610" s="75" t="str">
        <f>IF(AND('341-CT'!$H$9=H2610,OR(LEFT(N2610,3)=$W$7,LEFT(O2610,3)=$W$7)),"x","")</f>
        <v/>
      </c>
      <c r="X2610" s="75" t="str">
        <f>IF(OR(TH!N2610=TH!$X$7,O2610=TH!$X$7),"x","")</f>
        <v/>
      </c>
      <c r="Y2610" s="75" t="str">
        <f>IF(AND(OR(N2610="131",O2610="131"),H2610='131-CT'!$H$9),"x","")</f>
        <v/>
      </c>
      <c r="Z2610" s="75"/>
      <c r="AA2610" s="75" t="str">
        <f>IF(AND(MONTH(E2610)='IN-NX'!$J$5,'IN-NX'!$D$7=D2610),"x","")</f>
        <v/>
      </c>
      <c r="AB2610" s="75" t="str">
        <f>IF(AND(OR(LEFT(TH!N2610,2)="15",LEFT(TH!O2610,2)="15"),LEFT(TH!O2610,3)&lt;&gt;"111",'152-CT'!$J$8=TH!F2610),"x","")</f>
        <v/>
      </c>
      <c r="AC2610" s="75" t="str">
        <f>IF(AND(OR(LEFT(TH!N2610,2)="15",LEFT(TH!O2610,2)="15"),TK!$E$7=TH!F2610),"x","")</f>
        <v/>
      </c>
      <c r="AD2610" s="75" t="str">
        <f>IF(AND(N2610="1521",MONTH(C2610)='BK-NL'!$M$11),"x","")</f>
        <v/>
      </c>
    </row>
    <row r="2611" spans="1:33" s="1264" customFormat="1" ht="16.5" customHeight="1">
      <c r="A2611" s="309" t="str">
        <f>IF(B2611&lt;&gt;"",IF(AND(B2611='IN-TC'!$S$4,OR(TH!N2611="1111",TH!O2611="1111")),TH!D2611,""),"")</f>
        <v/>
      </c>
      <c r="B2611" s="1277">
        <f t="shared" si="923"/>
        <v>7</v>
      </c>
      <c r="C2611" s="71">
        <v>42919</v>
      </c>
      <c r="D2611" s="71" t="s">
        <v>903</v>
      </c>
      <c r="E2611" s="71">
        <f t="shared" si="928"/>
        <v>42919</v>
      </c>
      <c r="F2611" s="73" t="s">
        <v>907</v>
      </c>
      <c r="G2611" s="72" t="s">
        <v>585</v>
      </c>
      <c r="H2611" s="296" t="s">
        <v>845</v>
      </c>
      <c r="I2611" s="371"/>
      <c r="J2611" s="377"/>
      <c r="K2611" s="371">
        <v>243800</v>
      </c>
      <c r="L2611" s="377">
        <v>22720</v>
      </c>
      <c r="M2611" s="74">
        <f t="shared" si="935"/>
        <v>5539136000</v>
      </c>
      <c r="N2611" s="75" t="s">
        <v>26</v>
      </c>
      <c r="O2611" s="934" t="s">
        <v>256</v>
      </c>
      <c r="P2611" s="75" t="str">
        <f>IF(AND('331-CT'!$E$7=TH!H2611,OR(N2611="331",O2611="331")),"x","")</f>
        <v/>
      </c>
      <c r="Q2611" s="75" t="str">
        <f>IF(AND(B2611='111'!$L$11,OR($N2611=$Q$7,$O2611=$Q$7)),"x","")</f>
        <v/>
      </c>
      <c r="R2611" s="75" t="str">
        <f>IF(AND($N2611=$Q$7,$B2611&lt;'111'!$L$11),"x","")</f>
        <v/>
      </c>
      <c r="S2611" s="75" t="str">
        <f>IF(AND($O2611=$Q$7,$B2611&lt;'111'!$L$11),"x","")</f>
        <v/>
      </c>
      <c r="T2611" s="75" t="str">
        <f>IF(ISERROR(FIND('112'!$M$9,G2611,1)),"",IF((AND(FIND('112'!$M$9,G2611,1)&gt;=1,B2611='112'!$K$9,OR($N2611='112'!$I$6,$O2611='112'!$I$6))),"x",""))</f>
        <v/>
      </c>
      <c r="U2611" s="75" t="str">
        <f>IF(ISERROR(FIND('112'!$M$9,G2611,1)),"",IF((AND(LEFT(G2611,2)=LEFT('112'!$M$9,2),B2611&lt;'112'!$K$9,$N2611='112'!$I$6)),"x",""))</f>
        <v/>
      </c>
      <c r="V2611" s="75" t="str">
        <f>IF(ISERROR(FIND('112'!$M$9,G2611,1)),"",IF((AND(RIGHT(G2611,2)=RIGHT('112'!$M$9,2),B2611&lt;'112'!$K$9,$O2611='112'!$I$6)),"x",""))</f>
        <v/>
      </c>
      <c r="W2611" s="75" t="str">
        <f>IF(AND('341-CT'!$H$9=H2611,OR(LEFT(N2611,3)=$W$7,LEFT(O2611,3)=$W$7)),"x","")</f>
        <v/>
      </c>
      <c r="X2611" s="75" t="str">
        <f>IF(OR(TH!N2611=TH!$X$7,O2611=TH!$X$7),"x","")</f>
        <v/>
      </c>
      <c r="Y2611" s="75" t="str">
        <f>IF(AND(OR(N2611="131",O2611="131"),H2611='131-CT'!$H$9),"x","")</f>
        <v/>
      </c>
      <c r="Z2611" s="75"/>
      <c r="AA2611" s="75" t="str">
        <f>IF(AND(MONTH(E2611)='IN-NX'!$J$5,'IN-NX'!$D$7=D2611),"x","")</f>
        <v/>
      </c>
      <c r="AB2611" s="75" t="str">
        <f>IF(AND(OR(LEFT(TH!N2611,2)="15",LEFT(TH!O2611,2)="15"),LEFT(TH!O2611,3)&lt;&gt;"111",'152-CT'!$J$8=TH!F2611),"x","")</f>
        <v/>
      </c>
      <c r="AC2611" s="75" t="str">
        <f>IF(AND(OR(LEFT(TH!N2611,2)="15",LEFT(TH!O2611,2)="15"),TK!$E$7=TH!F2611),"x","")</f>
        <v/>
      </c>
      <c r="AD2611" s="75" t="str">
        <f>IF(AND(N2611="1521",MONTH(C2611)='BK-NL'!$M$11),"x","")</f>
        <v/>
      </c>
    </row>
    <row r="2612" spans="1:33" s="1264" customFormat="1" ht="16.5" customHeight="1">
      <c r="A2612" s="309" t="str">
        <f>IF(B2612&lt;&gt;"",IF(AND(B2612='IN-TC'!$S$4,OR(TH!N2612="1111",TH!O2612="1111")),TH!D2612,""),"")</f>
        <v/>
      </c>
      <c r="B2612" s="1277">
        <f t="shared" si="923"/>
        <v>7</v>
      </c>
      <c r="C2612" s="71">
        <v>42921</v>
      </c>
      <c r="D2612" s="71" t="s">
        <v>903</v>
      </c>
      <c r="E2612" s="71">
        <f t="shared" si="928"/>
        <v>42921</v>
      </c>
      <c r="F2612" s="73" t="s">
        <v>1086</v>
      </c>
      <c r="G2612" s="72" t="s">
        <v>585</v>
      </c>
      <c r="H2612" s="296" t="s">
        <v>1601</v>
      </c>
      <c r="I2612" s="371"/>
      <c r="J2612" s="377"/>
      <c r="K2612" s="371">
        <v>3144.94</v>
      </c>
      <c r="L2612" s="377">
        <v>22690</v>
      </c>
      <c r="M2612" s="1214">
        <f t="shared" si="935"/>
        <v>71358689</v>
      </c>
      <c r="N2612" s="75" t="s">
        <v>256</v>
      </c>
      <c r="O2612" s="75" t="s">
        <v>536</v>
      </c>
      <c r="P2612" s="75" t="str">
        <f>IF(AND('331-CT'!$E$7=TH!H2612,OR(N2612="331",O2612="331")),"x","")</f>
        <v/>
      </c>
      <c r="Q2612" s="75" t="str">
        <f>IF(AND(B2612='111'!$L$11,OR($N2612=$Q$7,$O2612=$Q$7)),"x","")</f>
        <v/>
      </c>
      <c r="R2612" s="75" t="str">
        <f>IF(AND($N2612=$Q$7,$B2612&lt;'111'!$L$11),"x","")</f>
        <v/>
      </c>
      <c r="S2612" s="75" t="str">
        <f>IF(AND($O2612=$Q$7,$B2612&lt;'111'!$L$11),"x","")</f>
        <v/>
      </c>
      <c r="T2612" s="75" t="str">
        <f>IF(ISERROR(FIND('112'!$M$9,G2612,1)),"",IF((AND(FIND('112'!$M$9,G2612,1)&gt;=1,B2612='112'!$K$9,OR($N2612='112'!$I$6,$O2612='112'!$I$6))),"x",""))</f>
        <v/>
      </c>
      <c r="U2612" s="75" t="str">
        <f>IF(ISERROR(FIND('112'!$M$9,G2612,1)),"",IF((AND(LEFT(G2612,2)=LEFT('112'!$M$9,2),B2612&lt;'112'!$K$9,$N2612='112'!$I$6)),"x",""))</f>
        <v/>
      </c>
      <c r="V2612" s="75" t="str">
        <f>IF(ISERROR(FIND('112'!$M$9,G2612,1)),"",IF((AND(RIGHT(G2612,2)=RIGHT('112'!$M$9,2),B2612&lt;'112'!$K$9,$O2612='112'!$I$6)),"x",""))</f>
        <v/>
      </c>
      <c r="W2612" s="75" t="str">
        <f>IF(AND('341-CT'!$H$9=H2612,OR(LEFT(N2612,3)=$W$7,LEFT(O2612,3)=$W$7)),"x","")</f>
        <v/>
      </c>
      <c r="X2612" s="75" t="str">
        <f>IF(OR(TH!N2612=TH!$X$7,O2612=TH!$X$7),"x","")</f>
        <v/>
      </c>
      <c r="Y2612" s="75" t="str">
        <f>IF(AND(OR(N2612="131",O2612="131"),H2612='131-CT'!$H$9),"x","")</f>
        <v/>
      </c>
      <c r="Z2612" s="75"/>
      <c r="AA2612" s="75" t="str">
        <f>IF(AND(MONTH(E2612)='IN-NX'!$J$5,'IN-NX'!$D$7=D2612),"x","")</f>
        <v/>
      </c>
      <c r="AB2612" s="75" t="str">
        <f>IF(AND(OR(LEFT(TH!N2612,2)="15",LEFT(TH!O2612,2)="15"),LEFT(TH!O2612,3)&lt;&gt;"111",'152-CT'!$J$8=TH!F2612),"x","")</f>
        <v/>
      </c>
      <c r="AC2612" s="75" t="str">
        <f>IF(AND(OR(LEFT(TH!N2612,2)="15",LEFT(TH!O2612,2)="15"),TK!$E$7=TH!F2612),"x","")</f>
        <v/>
      </c>
      <c r="AD2612" s="75" t="str">
        <f>IF(AND(N2612="1521",MONTH(C2612)='BK-NL'!$M$11),"x","")</f>
        <v/>
      </c>
    </row>
    <row r="2613" spans="1:33" s="1264" customFormat="1" ht="16.5" customHeight="1">
      <c r="A2613" s="309" t="str">
        <f>IF(B2613&lt;&gt;"",IF(AND(B2613='IN-TC'!$S$4,OR(TH!N2613="1111",TH!O2613="1111")),TH!D2613,""),"")</f>
        <v/>
      </c>
      <c r="B2613" s="1277">
        <f t="shared" si="923"/>
        <v>7</v>
      </c>
      <c r="C2613" s="71">
        <v>42921</v>
      </c>
      <c r="D2613" s="71" t="s">
        <v>530</v>
      </c>
      <c r="E2613" s="71">
        <f t="shared" si="928"/>
        <v>42921</v>
      </c>
      <c r="F2613" s="73" t="s">
        <v>1861</v>
      </c>
      <c r="G2613" s="72" t="s">
        <v>585</v>
      </c>
      <c r="H2613" s="296" t="s">
        <v>1601</v>
      </c>
      <c r="I2613" s="371"/>
      <c r="J2613" s="377"/>
      <c r="K2613" s="371">
        <v>106.11</v>
      </c>
      <c r="L2613" s="377">
        <v>22690</v>
      </c>
      <c r="M2613" s="933">
        <f t="shared" si="929"/>
        <v>2407636</v>
      </c>
      <c r="N2613" s="75" t="s">
        <v>101</v>
      </c>
      <c r="O2613" s="75" t="s">
        <v>536</v>
      </c>
      <c r="P2613" s="75" t="str">
        <f>IF(AND('331-CT'!$E$7=TH!H2613,OR(N2613="331",O2613="331")),"x","")</f>
        <v/>
      </c>
      <c r="Q2613" s="75" t="str">
        <f>IF(AND(B2613='111'!$L$11,OR($N2613=$Q$7,$O2613=$Q$7)),"x","")</f>
        <v/>
      </c>
      <c r="R2613" s="75" t="str">
        <f>IF(AND($N2613=$Q$7,$B2613&lt;'111'!$L$11),"x","")</f>
        <v/>
      </c>
      <c r="S2613" s="75" t="str">
        <f>IF(AND($O2613=$Q$7,$B2613&lt;'111'!$L$11),"x","")</f>
        <v/>
      </c>
      <c r="T2613" s="75" t="str">
        <f>IF(ISERROR(FIND('112'!$M$9,G2613,1)),"",IF((AND(FIND('112'!$M$9,G2613,1)&gt;=1,B2613='112'!$K$9,OR($N2613='112'!$I$6,$O2613='112'!$I$6))),"x",""))</f>
        <v/>
      </c>
      <c r="U2613" s="75" t="str">
        <f>IF(ISERROR(FIND('112'!$M$9,G2613,1)),"",IF((AND(LEFT(G2613,2)=LEFT('112'!$M$9,2),B2613&lt;'112'!$K$9,$N2613='112'!$I$6)),"x",""))</f>
        <v/>
      </c>
      <c r="V2613" s="75" t="str">
        <f>IF(ISERROR(FIND('112'!$M$9,G2613,1)),"",IF((AND(RIGHT(G2613,2)=RIGHT('112'!$M$9,2),B2613&lt;'112'!$K$9,$O2613='112'!$I$6)),"x",""))</f>
        <v/>
      </c>
      <c r="W2613" s="75" t="str">
        <f>IF(AND('341-CT'!$H$9=H2613,OR(LEFT(N2613,3)=$W$7,LEFT(O2613,3)=$W$7)),"x","")</f>
        <v/>
      </c>
      <c r="X2613" s="75" t="str">
        <f>IF(OR(TH!N2613=TH!$X$7,O2613=TH!$X$7),"x","")</f>
        <v/>
      </c>
      <c r="Y2613" s="75" t="str">
        <f>IF(AND(OR(N2613="131",O2613="131"),H2613='131-CT'!$H$9),"x","")</f>
        <v/>
      </c>
      <c r="Z2613" s="75"/>
      <c r="AA2613" s="75" t="str">
        <f>IF(AND(MONTH(E2613)='IN-NX'!$J$5,'IN-NX'!$D$7=D2613),"x","")</f>
        <v/>
      </c>
      <c r="AB2613" s="75" t="str">
        <f>IF(AND(OR(LEFT(TH!N2613,2)="15",LEFT(TH!O2613,2)="15"),LEFT(TH!O2613,3)&lt;&gt;"111",'152-CT'!$J$8=TH!F2613),"x","")</f>
        <v/>
      </c>
      <c r="AC2613" s="75" t="str">
        <f>IF(AND(OR(LEFT(TH!N2613,2)="15",LEFT(TH!O2613,2)="15"),TK!$E$7=TH!F2613),"x","")</f>
        <v/>
      </c>
      <c r="AD2613" s="75" t="str">
        <f>IF(AND(N2613="1521",MONTH(C2613)='BK-NL'!$M$11),"x","")</f>
        <v/>
      </c>
    </row>
    <row r="2614" spans="1:33" s="1264" customFormat="1" ht="16.5" customHeight="1">
      <c r="A2614" s="309" t="str">
        <f>IF(B2614&lt;&gt;"",IF(AND(B2614='IN-TC'!$S$4,OR(TH!N2614="1111",TH!O2614="1111")),TH!D2614,""),"")</f>
        <v/>
      </c>
      <c r="B2614" s="1277">
        <f t="shared" si="923"/>
        <v>7</v>
      </c>
      <c r="C2614" s="71">
        <v>42921</v>
      </c>
      <c r="D2614" s="71" t="s">
        <v>530</v>
      </c>
      <c r="E2614" s="71">
        <f t="shared" si="928"/>
        <v>42921</v>
      </c>
      <c r="F2614" s="73" t="s">
        <v>1862</v>
      </c>
      <c r="G2614" s="72" t="s">
        <v>585</v>
      </c>
      <c r="H2614" s="296" t="s">
        <v>1601</v>
      </c>
      <c r="I2614" s="371"/>
      <c r="J2614" s="377"/>
      <c r="K2614" s="371">
        <v>10.61</v>
      </c>
      <c r="L2614" s="377">
        <v>22690</v>
      </c>
      <c r="M2614" s="933">
        <v>240741</v>
      </c>
      <c r="N2614" s="75" t="s">
        <v>9</v>
      </c>
      <c r="O2614" s="75" t="s">
        <v>536</v>
      </c>
      <c r="P2614" s="75" t="str">
        <f>IF(AND('331-CT'!$E$7=TH!H2614,OR(N2614="331",O2614="331")),"x","")</f>
        <v/>
      </c>
      <c r="Q2614" s="75" t="str">
        <f>IF(AND(B2614='111'!$L$11,OR($N2614=$Q$7,$O2614=$Q$7)),"x","")</f>
        <v/>
      </c>
      <c r="R2614" s="75" t="str">
        <f>IF(AND($N2614=$Q$7,$B2614&lt;'111'!$L$11),"x","")</f>
        <v/>
      </c>
      <c r="S2614" s="75" t="str">
        <f>IF(AND($O2614=$Q$7,$B2614&lt;'111'!$L$11),"x","")</f>
        <v/>
      </c>
      <c r="T2614" s="75" t="str">
        <f>IF(ISERROR(FIND('112'!$M$9,G2614,1)),"",IF((AND(FIND('112'!$M$9,G2614,1)&gt;=1,B2614='112'!$K$9,OR($N2614='112'!$I$6,$O2614='112'!$I$6))),"x",""))</f>
        <v/>
      </c>
      <c r="U2614" s="75" t="str">
        <f>IF(ISERROR(FIND('112'!$M$9,G2614,1)),"",IF((AND(LEFT(G2614,2)=LEFT('112'!$M$9,2),B2614&lt;'112'!$K$9,$N2614='112'!$I$6)),"x",""))</f>
        <v/>
      </c>
      <c r="V2614" s="75" t="str">
        <f>IF(ISERROR(FIND('112'!$M$9,G2614,1)),"",IF((AND(RIGHT(G2614,2)=RIGHT('112'!$M$9,2),B2614&lt;'112'!$K$9,$O2614='112'!$I$6)),"x",""))</f>
        <v/>
      </c>
      <c r="W2614" s="75" t="str">
        <f>IF(AND('341-CT'!$H$9=H2614,OR(LEFT(N2614,3)=$W$7,LEFT(O2614,3)=$W$7)),"x","")</f>
        <v/>
      </c>
      <c r="X2614" s="75" t="str">
        <f>IF(OR(TH!N2614=TH!$X$7,O2614=TH!$X$7),"x","")</f>
        <v/>
      </c>
      <c r="Y2614" s="75" t="str">
        <f>IF(AND(OR(N2614="131",O2614="131"),H2614='131-CT'!$H$9),"x","")</f>
        <v/>
      </c>
      <c r="Z2614" s="75"/>
      <c r="AA2614" s="75" t="str">
        <f>IF(AND(MONTH(E2614)='IN-NX'!$J$5,'IN-NX'!$D$7=D2614),"x","")</f>
        <v/>
      </c>
      <c r="AB2614" s="75" t="str">
        <f>IF(AND(OR(LEFT(TH!N2614,2)="15",LEFT(TH!O2614,2)="15"),LEFT(TH!O2614,3)&lt;&gt;"111",'152-CT'!$J$8=TH!F2614),"x","")</f>
        <v/>
      </c>
      <c r="AC2614" s="75" t="str">
        <f>IF(AND(OR(LEFT(TH!N2614,2)="15",LEFT(TH!O2614,2)="15"),TK!$E$7=TH!F2614),"x","")</f>
        <v/>
      </c>
      <c r="AD2614" s="75" t="str">
        <f>IF(AND(N2614="1521",MONTH(C2614)='BK-NL'!$M$11),"x","")</f>
        <v/>
      </c>
      <c r="AE2614" s="1264">
        <v>7</v>
      </c>
      <c r="AG2614" s="1264">
        <f>ROUND(K2614*L2614,0)</f>
        <v>240741</v>
      </c>
    </row>
    <row r="2615" spans="1:33" s="1264" customFormat="1" ht="16.5" customHeight="1">
      <c r="A2615" s="309" t="str">
        <f>IF(B2615&lt;&gt;"",IF(AND(B2615='IN-TC'!$S$4,OR(TH!N2615="1111",TH!O2615="1111")),TH!D2615,""),"")</f>
        <v/>
      </c>
      <c r="B2615" s="1277">
        <f t="shared" si="923"/>
        <v>7</v>
      </c>
      <c r="C2615" s="71">
        <v>42921</v>
      </c>
      <c r="D2615" s="71" t="s">
        <v>530</v>
      </c>
      <c r="E2615" s="71">
        <f t="shared" si="928"/>
        <v>42921</v>
      </c>
      <c r="F2615" s="73" t="s">
        <v>1863</v>
      </c>
      <c r="G2615" s="72" t="s">
        <v>585</v>
      </c>
      <c r="H2615" s="296" t="s">
        <v>1601</v>
      </c>
      <c r="I2615" s="371"/>
      <c r="J2615" s="377"/>
      <c r="K2615" s="371">
        <v>29.22</v>
      </c>
      <c r="L2615" s="377">
        <v>22690</v>
      </c>
      <c r="M2615" s="933">
        <f t="shared" si="929"/>
        <v>663002</v>
      </c>
      <c r="N2615" s="75" t="s">
        <v>101</v>
      </c>
      <c r="O2615" s="75" t="s">
        <v>536</v>
      </c>
      <c r="P2615" s="75" t="str">
        <f>IF(AND('331-CT'!$E$7=TH!H2615,OR(N2615="331",O2615="331")),"x","")</f>
        <v/>
      </c>
      <c r="Q2615" s="75" t="str">
        <f>IF(AND(B2615='111'!$L$11,OR($N2615=$Q$7,$O2615=$Q$7)),"x","")</f>
        <v/>
      </c>
      <c r="R2615" s="75" t="str">
        <f>IF(AND($N2615=$Q$7,$B2615&lt;'111'!$L$11),"x","")</f>
        <v/>
      </c>
      <c r="S2615" s="75" t="str">
        <f>IF(AND($O2615=$Q$7,$B2615&lt;'111'!$L$11),"x","")</f>
        <v/>
      </c>
      <c r="T2615" s="75" t="str">
        <f>IF(ISERROR(FIND('112'!$M$9,G2615,1)),"",IF((AND(FIND('112'!$M$9,G2615,1)&gt;=1,B2615='112'!$K$9,OR($N2615='112'!$I$6,$O2615='112'!$I$6))),"x",""))</f>
        <v/>
      </c>
      <c r="U2615" s="75" t="str">
        <f>IF(ISERROR(FIND('112'!$M$9,G2615,1)),"",IF((AND(LEFT(G2615,2)=LEFT('112'!$M$9,2),B2615&lt;'112'!$K$9,$N2615='112'!$I$6)),"x",""))</f>
        <v/>
      </c>
      <c r="V2615" s="75" t="str">
        <f>IF(ISERROR(FIND('112'!$M$9,G2615,1)),"",IF((AND(RIGHT(G2615,2)=RIGHT('112'!$M$9,2),B2615&lt;'112'!$K$9,$O2615='112'!$I$6)),"x",""))</f>
        <v/>
      </c>
      <c r="W2615" s="75" t="str">
        <f>IF(AND('341-CT'!$H$9=H2615,OR(LEFT(N2615,3)=$W$7,LEFT(O2615,3)=$W$7)),"x","")</f>
        <v/>
      </c>
      <c r="X2615" s="75" t="str">
        <f>IF(OR(TH!N2615=TH!$X$7,O2615=TH!$X$7),"x","")</f>
        <v/>
      </c>
      <c r="Y2615" s="75" t="str">
        <f>IF(AND(OR(N2615="131",O2615="131"),H2615='131-CT'!$H$9),"x","")</f>
        <v/>
      </c>
      <c r="Z2615" s="75"/>
      <c r="AA2615" s="75" t="str">
        <f>IF(AND(MONTH(E2615)='IN-NX'!$J$5,'IN-NX'!$D$7=D2615),"x","")</f>
        <v/>
      </c>
      <c r="AB2615" s="75" t="str">
        <f>IF(AND(OR(LEFT(TH!N2615,2)="15",LEFT(TH!O2615,2)="15"),LEFT(TH!O2615,3)&lt;&gt;"111",'152-CT'!$J$8=TH!F2615),"x","")</f>
        <v/>
      </c>
      <c r="AC2615" s="75" t="str">
        <f>IF(AND(OR(LEFT(TH!N2615,2)="15",LEFT(TH!O2615,2)="15"),TK!$E$7=TH!F2615),"x","")</f>
        <v/>
      </c>
      <c r="AD2615" s="75" t="str">
        <f>IF(AND(N2615="1521",MONTH(C2615)='BK-NL'!$M$11),"x","")</f>
        <v/>
      </c>
    </row>
    <row r="2616" spans="1:33" s="1264" customFormat="1" ht="16.5" customHeight="1">
      <c r="A2616" s="309" t="str">
        <f>IF(B2616&lt;&gt;"",IF(AND(B2616='IN-TC'!$S$4,OR(TH!N2616="1111",TH!O2616="1111")),TH!D2616,""),"")</f>
        <v/>
      </c>
      <c r="B2616" s="1277">
        <f t="shared" si="923"/>
        <v>7</v>
      </c>
      <c r="C2616" s="71">
        <v>42921</v>
      </c>
      <c r="D2616" s="71" t="s">
        <v>530</v>
      </c>
      <c r="E2616" s="71">
        <f t="shared" si="928"/>
        <v>42921</v>
      </c>
      <c r="F2616" s="73" t="s">
        <v>1864</v>
      </c>
      <c r="G2616" s="72" t="s">
        <v>585</v>
      </c>
      <c r="H2616" s="296" t="s">
        <v>1601</v>
      </c>
      <c r="I2616" s="371"/>
      <c r="J2616" s="377"/>
      <c r="K2616" s="371">
        <v>2.92</v>
      </c>
      <c r="L2616" s="377">
        <v>22690</v>
      </c>
      <c r="M2616" s="933">
        <v>66255</v>
      </c>
      <c r="N2616" s="75" t="s">
        <v>9</v>
      </c>
      <c r="O2616" s="75" t="s">
        <v>536</v>
      </c>
      <c r="P2616" s="75" t="str">
        <f>IF(AND('331-CT'!$E$7=TH!H2616,OR(N2616="331",O2616="331")),"x","")</f>
        <v/>
      </c>
      <c r="Q2616" s="75" t="str">
        <f>IF(AND(B2616='111'!$L$11,OR($N2616=$Q$7,$O2616=$Q$7)),"x","")</f>
        <v/>
      </c>
      <c r="R2616" s="75" t="str">
        <f>IF(AND($N2616=$Q$7,$B2616&lt;'111'!$L$11),"x","")</f>
        <v/>
      </c>
      <c r="S2616" s="75" t="str">
        <f>IF(AND($O2616=$Q$7,$B2616&lt;'111'!$L$11),"x","")</f>
        <v/>
      </c>
      <c r="T2616" s="75" t="str">
        <f>IF(ISERROR(FIND('112'!$M$9,G2616,1)),"",IF((AND(FIND('112'!$M$9,G2616,1)&gt;=1,B2616='112'!$K$9,OR($N2616='112'!$I$6,$O2616='112'!$I$6))),"x",""))</f>
        <v/>
      </c>
      <c r="U2616" s="75" t="str">
        <f>IF(ISERROR(FIND('112'!$M$9,G2616,1)),"",IF((AND(LEFT(G2616,2)=LEFT('112'!$M$9,2),B2616&lt;'112'!$K$9,$N2616='112'!$I$6)),"x",""))</f>
        <v/>
      </c>
      <c r="V2616" s="75" t="str">
        <f>IF(ISERROR(FIND('112'!$M$9,G2616,1)),"",IF((AND(RIGHT(G2616,2)=RIGHT('112'!$M$9,2),B2616&lt;'112'!$K$9,$O2616='112'!$I$6)),"x",""))</f>
        <v/>
      </c>
      <c r="W2616" s="75" t="str">
        <f>IF(AND('341-CT'!$H$9=H2616,OR(LEFT(N2616,3)=$W$7,LEFT(O2616,3)=$W$7)),"x","")</f>
        <v/>
      </c>
      <c r="X2616" s="75" t="str">
        <f>IF(OR(TH!N2616=TH!$X$7,O2616=TH!$X$7),"x","")</f>
        <v/>
      </c>
      <c r="Y2616" s="75" t="str">
        <f>IF(AND(OR(N2616="131",O2616="131"),H2616='131-CT'!$H$9),"x","")</f>
        <v/>
      </c>
      <c r="Z2616" s="75"/>
      <c r="AA2616" s="75" t="str">
        <f>IF(AND(MONTH(E2616)='IN-NX'!$J$5,'IN-NX'!$D$7=D2616),"x","")</f>
        <v/>
      </c>
      <c r="AB2616" s="75" t="str">
        <f>IF(AND(OR(LEFT(TH!N2616,2)="15",LEFT(TH!O2616,2)="15"),LEFT(TH!O2616,3)&lt;&gt;"111",'152-CT'!$J$8=TH!F2616),"x","")</f>
        <v/>
      </c>
      <c r="AC2616" s="75" t="str">
        <f>IF(AND(OR(LEFT(TH!N2616,2)="15",LEFT(TH!O2616,2)="15"),TK!$E$7=TH!F2616),"x","")</f>
        <v/>
      </c>
      <c r="AD2616" s="75" t="str">
        <f>IF(AND(N2616="1521",MONTH(C2616)='BK-NL'!$M$11),"x","")</f>
        <v/>
      </c>
      <c r="AE2616" s="1264">
        <v>7</v>
      </c>
      <c r="AG2616" s="1264">
        <f>ROUND(K2616*L2616,0)</f>
        <v>66255</v>
      </c>
    </row>
    <row r="2617" spans="1:33" s="1264" customFormat="1" ht="16.5" customHeight="1">
      <c r="A2617" s="309" t="str">
        <f>IF(B2617&lt;&gt;"",IF(AND(B2617='IN-TC'!$S$4,OR(TH!N2617="1111",TH!O2617="1111")),TH!D2617,""),"")</f>
        <v/>
      </c>
      <c r="B2617" s="1277">
        <f t="shared" si="923"/>
        <v>7</v>
      </c>
      <c r="C2617" s="71">
        <v>42921</v>
      </c>
      <c r="D2617" s="71" t="s">
        <v>530</v>
      </c>
      <c r="E2617" s="71">
        <f t="shared" si="928"/>
        <v>42921</v>
      </c>
      <c r="F2617" s="73" t="s">
        <v>1865</v>
      </c>
      <c r="G2617" s="72" t="s">
        <v>585</v>
      </c>
      <c r="H2617" s="296" t="s">
        <v>1601</v>
      </c>
      <c r="I2617" s="371"/>
      <c r="J2617" s="377"/>
      <c r="K2617" s="371">
        <v>10</v>
      </c>
      <c r="L2617" s="377">
        <v>22690</v>
      </c>
      <c r="M2617" s="933">
        <f t="shared" si="929"/>
        <v>226900</v>
      </c>
      <c r="N2617" s="75" t="s">
        <v>101</v>
      </c>
      <c r="O2617" s="75" t="s">
        <v>536</v>
      </c>
      <c r="P2617" s="75" t="str">
        <f>IF(AND('331-CT'!$E$7=TH!H2617,OR(N2617="331",O2617="331")),"x","")</f>
        <v/>
      </c>
      <c r="Q2617" s="75" t="str">
        <f>IF(AND(B2617='111'!$L$11,OR($N2617=$Q$7,$O2617=$Q$7)),"x","")</f>
        <v/>
      </c>
      <c r="R2617" s="75" t="str">
        <f>IF(AND($N2617=$Q$7,$B2617&lt;'111'!$L$11),"x","")</f>
        <v/>
      </c>
      <c r="S2617" s="75" t="str">
        <f>IF(AND($O2617=$Q$7,$B2617&lt;'111'!$L$11),"x","")</f>
        <v/>
      </c>
      <c r="T2617" s="75" t="str">
        <f>IF(ISERROR(FIND('112'!$M$9,G2617,1)),"",IF((AND(FIND('112'!$M$9,G2617,1)&gt;=1,B2617='112'!$K$9,OR($N2617='112'!$I$6,$O2617='112'!$I$6))),"x",""))</f>
        <v/>
      </c>
      <c r="U2617" s="75" t="str">
        <f>IF(ISERROR(FIND('112'!$M$9,G2617,1)),"",IF((AND(LEFT(G2617,2)=LEFT('112'!$M$9,2),B2617&lt;'112'!$K$9,$N2617='112'!$I$6)),"x",""))</f>
        <v/>
      </c>
      <c r="V2617" s="75" t="str">
        <f>IF(ISERROR(FIND('112'!$M$9,G2617,1)),"",IF((AND(RIGHT(G2617,2)=RIGHT('112'!$M$9,2),B2617&lt;'112'!$K$9,$O2617='112'!$I$6)),"x",""))</f>
        <v/>
      </c>
      <c r="W2617" s="75" t="str">
        <f>IF(AND('341-CT'!$H$9=H2617,OR(LEFT(N2617,3)=$W$7,LEFT(O2617,3)=$W$7)),"x","")</f>
        <v/>
      </c>
      <c r="X2617" s="75" t="str">
        <f>IF(OR(TH!N2617=TH!$X$7,O2617=TH!$X$7),"x","")</f>
        <v/>
      </c>
      <c r="Y2617" s="75" t="str">
        <f>IF(AND(OR(N2617="131",O2617="131"),H2617='131-CT'!$H$9),"x","")</f>
        <v/>
      </c>
      <c r="Z2617" s="75"/>
      <c r="AA2617" s="75" t="str">
        <f>IF(AND(MONTH(E2617)='IN-NX'!$J$5,'IN-NX'!$D$7=D2617),"x","")</f>
        <v/>
      </c>
      <c r="AB2617" s="75" t="str">
        <f>IF(AND(OR(LEFT(TH!N2617,2)="15",LEFT(TH!O2617,2)="15"),LEFT(TH!O2617,3)&lt;&gt;"111",'152-CT'!$J$8=TH!F2617),"x","")</f>
        <v/>
      </c>
      <c r="AC2617" s="75" t="str">
        <f>IF(AND(OR(LEFT(TH!N2617,2)="15",LEFT(TH!O2617,2)="15"),TK!$E$7=TH!F2617),"x","")</f>
        <v/>
      </c>
      <c r="AD2617" s="75" t="str">
        <f>IF(AND(N2617="1521",MONTH(C2617)='BK-NL'!$M$11),"x","")</f>
        <v/>
      </c>
    </row>
    <row r="2618" spans="1:33" s="1264" customFormat="1" ht="16.5" customHeight="1">
      <c r="A2618" s="309" t="str">
        <f>IF(B2618&lt;&gt;"",IF(AND(B2618='IN-TC'!$S$4,OR(TH!N2618="1111",TH!O2618="1111")),TH!D2618,""),"")</f>
        <v/>
      </c>
      <c r="B2618" s="1277">
        <f t="shared" si="923"/>
        <v>7</v>
      </c>
      <c r="C2618" s="71">
        <v>42921</v>
      </c>
      <c r="D2618" s="71" t="s">
        <v>530</v>
      </c>
      <c r="E2618" s="71">
        <f t="shared" si="928"/>
        <v>42921</v>
      </c>
      <c r="F2618" s="73" t="s">
        <v>1866</v>
      </c>
      <c r="G2618" s="72" t="s">
        <v>585</v>
      </c>
      <c r="H2618" s="296" t="s">
        <v>1601</v>
      </c>
      <c r="I2618" s="371"/>
      <c r="J2618" s="377"/>
      <c r="K2618" s="371">
        <v>1</v>
      </c>
      <c r="L2618" s="377">
        <v>22690</v>
      </c>
      <c r="M2618" s="933">
        <v>22690</v>
      </c>
      <c r="N2618" s="75" t="s">
        <v>9</v>
      </c>
      <c r="O2618" s="75" t="s">
        <v>536</v>
      </c>
      <c r="P2618" s="75" t="str">
        <f>IF(AND('331-CT'!$E$7=TH!H2618,OR(N2618="331",O2618="331")),"x","")</f>
        <v/>
      </c>
      <c r="Q2618" s="75" t="str">
        <f>IF(AND(B2618='111'!$L$11,OR($N2618=$Q$7,$O2618=$Q$7)),"x","")</f>
        <v/>
      </c>
      <c r="R2618" s="75" t="str">
        <f>IF(AND($N2618=$Q$7,$B2618&lt;'111'!$L$11),"x","")</f>
        <v/>
      </c>
      <c r="S2618" s="75" t="str">
        <f>IF(AND($O2618=$Q$7,$B2618&lt;'111'!$L$11),"x","")</f>
        <v/>
      </c>
      <c r="T2618" s="75" t="str">
        <f>IF(ISERROR(FIND('112'!$M$9,G2618,1)),"",IF((AND(FIND('112'!$M$9,G2618,1)&gt;=1,B2618='112'!$K$9,OR($N2618='112'!$I$6,$O2618='112'!$I$6))),"x",""))</f>
        <v/>
      </c>
      <c r="U2618" s="75" t="str">
        <f>IF(ISERROR(FIND('112'!$M$9,G2618,1)),"",IF((AND(LEFT(G2618,2)=LEFT('112'!$M$9,2),B2618&lt;'112'!$K$9,$N2618='112'!$I$6)),"x",""))</f>
        <v/>
      </c>
      <c r="V2618" s="75" t="str">
        <f>IF(ISERROR(FIND('112'!$M$9,G2618,1)),"",IF((AND(RIGHT(G2618,2)=RIGHT('112'!$M$9,2),B2618&lt;'112'!$K$9,$O2618='112'!$I$6)),"x",""))</f>
        <v/>
      </c>
      <c r="W2618" s="75" t="str">
        <f>IF(AND('341-CT'!$H$9=H2618,OR(LEFT(N2618,3)=$W$7,LEFT(O2618,3)=$W$7)),"x","")</f>
        <v/>
      </c>
      <c r="X2618" s="75" t="str">
        <f>IF(OR(TH!N2618=TH!$X$7,O2618=TH!$X$7),"x","")</f>
        <v/>
      </c>
      <c r="Y2618" s="75" t="str">
        <f>IF(AND(OR(N2618="131",O2618="131"),H2618='131-CT'!$H$9),"x","")</f>
        <v/>
      </c>
      <c r="Z2618" s="75"/>
      <c r="AA2618" s="75" t="str">
        <f>IF(AND(MONTH(E2618)='IN-NX'!$J$5,'IN-NX'!$D$7=D2618),"x","")</f>
        <v/>
      </c>
      <c r="AB2618" s="75" t="str">
        <f>IF(AND(OR(LEFT(TH!N2618,2)="15",LEFT(TH!O2618,2)="15"),LEFT(TH!O2618,3)&lt;&gt;"111",'152-CT'!$J$8=TH!F2618),"x","")</f>
        <v/>
      </c>
      <c r="AC2618" s="75" t="str">
        <f>IF(AND(OR(LEFT(TH!N2618,2)="15",LEFT(TH!O2618,2)="15"),TK!$E$7=TH!F2618),"x","")</f>
        <v/>
      </c>
      <c r="AD2618" s="75" t="str">
        <f>IF(AND(N2618="1521",MONTH(C2618)='BK-NL'!$M$11),"x","")</f>
        <v/>
      </c>
      <c r="AE2618" s="1264">
        <v>7</v>
      </c>
      <c r="AG2618" s="1264">
        <f>ROUND(K2618*L2618,0)</f>
        <v>22690</v>
      </c>
    </row>
    <row r="2619" spans="1:33" s="1264" customFormat="1" ht="16.5" customHeight="1">
      <c r="A2619" s="309" t="str">
        <f>IF(B2619&lt;&gt;"",IF(AND(B2619='IN-TC'!$S$4,OR(TH!N2619="1111",TH!O2619="1111")),TH!D2619,""),"")</f>
        <v/>
      </c>
      <c r="B2619" s="1277">
        <f t="shared" si="923"/>
        <v>7</v>
      </c>
      <c r="C2619" s="71">
        <v>42921</v>
      </c>
      <c r="D2619" s="71" t="s">
        <v>530</v>
      </c>
      <c r="E2619" s="71">
        <f t="shared" si="928"/>
        <v>42921</v>
      </c>
      <c r="F2619" s="73" t="s">
        <v>1867</v>
      </c>
      <c r="G2619" s="72" t="s">
        <v>585</v>
      </c>
      <c r="H2619" s="296" t="s">
        <v>1601</v>
      </c>
      <c r="I2619" s="371"/>
      <c r="J2619" s="377"/>
      <c r="K2619" s="371">
        <v>67.2</v>
      </c>
      <c r="L2619" s="377">
        <v>22690</v>
      </c>
      <c r="M2619" s="933">
        <f t="shared" si="929"/>
        <v>1524768</v>
      </c>
      <c r="N2619" s="75" t="s">
        <v>99</v>
      </c>
      <c r="O2619" s="75" t="s">
        <v>536</v>
      </c>
      <c r="P2619" s="75" t="str">
        <f>IF(AND('331-CT'!$E$7=TH!H2619,OR(N2619="331",O2619="331")),"x","")</f>
        <v/>
      </c>
      <c r="Q2619" s="75" t="str">
        <f>IF(AND(B2619='111'!$L$11,OR($N2619=$Q$7,$O2619=$Q$7)),"x","")</f>
        <v/>
      </c>
      <c r="R2619" s="75" t="str">
        <f>IF(AND($N2619=$Q$7,$B2619&lt;'111'!$L$11),"x","")</f>
        <v/>
      </c>
      <c r="S2619" s="75" t="str">
        <f>IF(AND($O2619=$Q$7,$B2619&lt;'111'!$L$11),"x","")</f>
        <v/>
      </c>
      <c r="T2619" s="75" t="str">
        <f>IF(ISERROR(FIND('112'!$M$9,G2619,1)),"",IF((AND(FIND('112'!$M$9,G2619,1)&gt;=1,B2619='112'!$K$9,OR($N2619='112'!$I$6,$O2619='112'!$I$6))),"x",""))</f>
        <v/>
      </c>
      <c r="U2619" s="75" t="str">
        <f>IF(ISERROR(FIND('112'!$M$9,G2619,1)),"",IF((AND(LEFT(G2619,2)=LEFT('112'!$M$9,2),B2619&lt;'112'!$K$9,$N2619='112'!$I$6)),"x",""))</f>
        <v/>
      </c>
      <c r="V2619" s="75" t="str">
        <f>IF(ISERROR(FIND('112'!$M$9,G2619,1)),"",IF((AND(RIGHT(G2619,2)=RIGHT('112'!$M$9,2),B2619&lt;'112'!$K$9,$O2619='112'!$I$6)),"x",""))</f>
        <v/>
      </c>
      <c r="W2619" s="75" t="str">
        <f>IF(AND('341-CT'!$H$9=H2619,OR(LEFT(N2619,3)=$W$7,LEFT(O2619,3)=$W$7)),"x","")</f>
        <v/>
      </c>
      <c r="X2619" s="75" t="str">
        <f>IF(OR(TH!N2619=TH!$X$7,O2619=TH!$X$7),"x","")</f>
        <v/>
      </c>
      <c r="Y2619" s="75" t="str">
        <f>IF(AND(OR(N2619="131",O2619="131"),H2619='131-CT'!$H$9),"x","")</f>
        <v/>
      </c>
      <c r="Z2619" s="75"/>
      <c r="AA2619" s="75" t="str">
        <f>IF(AND(MONTH(E2619)='IN-NX'!$J$5,'IN-NX'!$D$7=D2619),"x","")</f>
        <v/>
      </c>
      <c r="AB2619" s="75" t="str">
        <f>IF(AND(OR(LEFT(TH!N2619,2)="15",LEFT(TH!O2619,2)="15"),LEFT(TH!O2619,3)&lt;&gt;"111",'152-CT'!$J$8=TH!F2619),"x","")</f>
        <v/>
      </c>
      <c r="AC2619" s="75" t="str">
        <f>IF(AND(OR(LEFT(TH!N2619,2)="15",LEFT(TH!O2619,2)="15"),TK!$E$7=TH!F2619),"x","")</f>
        <v/>
      </c>
      <c r="AD2619" s="75" t="str">
        <f>IF(AND(N2619="1521",MONTH(C2619)='BK-NL'!$M$11),"x","")</f>
        <v/>
      </c>
    </row>
    <row r="2620" spans="1:33" s="1264" customFormat="1" ht="16.5" customHeight="1">
      <c r="A2620" s="309" t="str">
        <f>IF(B2620&lt;&gt;"",IF(AND(B2620='IN-TC'!$S$4,OR(TH!N2620="1111",TH!O2620="1111")),TH!D2620,""),"")</f>
        <v/>
      </c>
      <c r="B2620" s="1277">
        <f t="shared" si="923"/>
        <v>7</v>
      </c>
      <c r="C2620" s="71">
        <v>42921</v>
      </c>
      <c r="D2620" s="71" t="s">
        <v>530</v>
      </c>
      <c r="E2620" s="71">
        <f t="shared" si="928"/>
        <v>42921</v>
      </c>
      <c r="F2620" s="73" t="s">
        <v>1027</v>
      </c>
      <c r="G2620" s="72" t="s">
        <v>585</v>
      </c>
      <c r="H2620" s="296" t="s">
        <v>1601</v>
      </c>
      <c r="I2620" s="371"/>
      <c r="J2620" s="377"/>
      <c r="K2620" s="371">
        <v>168</v>
      </c>
      <c r="L2620" s="377">
        <v>22690</v>
      </c>
      <c r="M2620" s="933">
        <f t="shared" si="929"/>
        <v>3811920</v>
      </c>
      <c r="N2620" s="75" t="s">
        <v>101</v>
      </c>
      <c r="O2620" s="75" t="s">
        <v>536</v>
      </c>
      <c r="P2620" s="75" t="str">
        <f>IF(AND('331-CT'!$E$7=TH!H2620,OR(N2620="331",O2620="331")),"x","")</f>
        <v/>
      </c>
      <c r="Q2620" s="75" t="str">
        <f>IF(AND(B2620='111'!$L$11,OR($N2620=$Q$7,$O2620=$Q$7)),"x","")</f>
        <v/>
      </c>
      <c r="R2620" s="75" t="str">
        <f>IF(AND($N2620=$Q$7,$B2620&lt;'111'!$L$11),"x","")</f>
        <v/>
      </c>
      <c r="S2620" s="75" t="str">
        <f>IF(AND($O2620=$Q$7,$B2620&lt;'111'!$L$11),"x","")</f>
        <v/>
      </c>
      <c r="T2620" s="75" t="str">
        <f>IF(ISERROR(FIND('112'!$M$9,G2620,1)),"",IF((AND(FIND('112'!$M$9,G2620,1)&gt;=1,B2620='112'!$K$9,OR($N2620='112'!$I$6,$O2620='112'!$I$6))),"x",""))</f>
        <v/>
      </c>
      <c r="U2620" s="75" t="str">
        <f>IF(ISERROR(FIND('112'!$M$9,G2620,1)),"",IF((AND(LEFT(G2620,2)=LEFT('112'!$M$9,2),B2620&lt;'112'!$K$9,$N2620='112'!$I$6)),"x",""))</f>
        <v/>
      </c>
      <c r="V2620" s="75" t="str">
        <f>IF(ISERROR(FIND('112'!$M$9,G2620,1)),"",IF((AND(RIGHT(G2620,2)=RIGHT('112'!$M$9,2),B2620&lt;'112'!$K$9,$O2620='112'!$I$6)),"x",""))</f>
        <v/>
      </c>
      <c r="W2620" s="75" t="str">
        <f>IF(AND('341-CT'!$H$9=H2620,OR(LEFT(N2620,3)=$W$7,LEFT(O2620,3)=$W$7)),"x","")</f>
        <v/>
      </c>
      <c r="X2620" s="75" t="str">
        <f>IF(OR(TH!N2620=TH!$X$7,O2620=TH!$X$7),"x","")</f>
        <v/>
      </c>
      <c r="Y2620" s="75" t="str">
        <f>IF(AND(OR(N2620="131",O2620="131"),H2620='131-CT'!$H$9),"x","")</f>
        <v/>
      </c>
      <c r="Z2620" s="75"/>
      <c r="AA2620" s="75" t="str">
        <f>IF(AND(MONTH(E2620)='IN-NX'!$J$5,'IN-NX'!$D$7=D2620),"x","")</f>
        <v/>
      </c>
      <c r="AB2620" s="75" t="str">
        <f>IF(AND(OR(LEFT(TH!N2620,2)="15",LEFT(TH!O2620,2)="15"),LEFT(TH!O2620,3)&lt;&gt;"111",'152-CT'!$J$8=TH!F2620),"x","")</f>
        <v/>
      </c>
      <c r="AC2620" s="75" t="str">
        <f>IF(AND(OR(LEFT(TH!N2620,2)="15",LEFT(TH!O2620,2)="15"),TK!$E$7=TH!F2620),"x","")</f>
        <v/>
      </c>
      <c r="AD2620" s="75" t="str">
        <f>IF(AND(N2620="1521",MONTH(C2620)='BK-NL'!$M$11),"x","")</f>
        <v/>
      </c>
    </row>
    <row r="2621" spans="1:33" s="1264" customFormat="1" ht="16.5" customHeight="1">
      <c r="A2621" s="309" t="str">
        <f>IF(B2621&lt;&gt;"",IF(AND(B2621='IN-TC'!$S$4,OR(TH!N2621="1111",TH!O2621="1111")),TH!D2621,""),"")</f>
        <v/>
      </c>
      <c r="B2621" s="1277">
        <f t="shared" si="923"/>
        <v>7</v>
      </c>
      <c r="C2621" s="71">
        <v>42921</v>
      </c>
      <c r="D2621" s="71" t="s">
        <v>530</v>
      </c>
      <c r="E2621" s="71">
        <f t="shared" si="928"/>
        <v>42921</v>
      </c>
      <c r="F2621" s="73" t="s">
        <v>1010</v>
      </c>
      <c r="G2621" s="72" t="s">
        <v>585</v>
      </c>
      <c r="H2621" s="296" t="s">
        <v>1601</v>
      </c>
      <c r="I2621" s="371"/>
      <c r="J2621" s="377"/>
      <c r="K2621" s="371"/>
      <c r="L2621" s="377"/>
      <c r="M2621" s="74">
        <v>4827901</v>
      </c>
      <c r="N2621" s="75" t="s">
        <v>536</v>
      </c>
      <c r="O2621" s="934" t="s">
        <v>43</v>
      </c>
      <c r="P2621" s="75" t="str">
        <f>IF(AND('331-CT'!$E$7=TH!H2621,OR(N2621="331",O2621="331")),"x","")</f>
        <v/>
      </c>
      <c r="Q2621" s="75" t="str">
        <f>IF(AND(B2621='111'!$L$11,OR($N2621=$Q$7,$O2621=$Q$7)),"x","")</f>
        <v/>
      </c>
      <c r="R2621" s="75" t="str">
        <f>IF(AND($N2621=$Q$7,$B2621&lt;'111'!$L$11),"x","")</f>
        <v/>
      </c>
      <c r="S2621" s="75" t="str">
        <f>IF(AND($O2621=$Q$7,$B2621&lt;'111'!$L$11),"x","")</f>
        <v/>
      </c>
      <c r="T2621" s="75" t="str">
        <f>IF(ISERROR(FIND('112'!$M$9,G2621,1)),"",IF((AND(FIND('112'!$M$9,G2621,1)&gt;=1,B2621='112'!$K$9,OR($N2621='112'!$I$6,$O2621='112'!$I$6))),"x",""))</f>
        <v/>
      </c>
      <c r="U2621" s="75" t="str">
        <f>IF(ISERROR(FIND('112'!$M$9,G2621,1)),"",IF((AND(LEFT(G2621,2)=LEFT('112'!$M$9,2),B2621&lt;'112'!$K$9,$N2621='112'!$I$6)),"x",""))</f>
        <v/>
      </c>
      <c r="V2621" s="75" t="str">
        <f>IF(ISERROR(FIND('112'!$M$9,G2621,1)),"",IF((AND(RIGHT(G2621,2)=RIGHT('112'!$M$9,2),B2621&lt;'112'!$K$9,$O2621='112'!$I$6)),"x",""))</f>
        <v/>
      </c>
      <c r="W2621" s="75" t="str">
        <f>IF(AND('341-CT'!$H$9=H2621,OR(LEFT(N2621,3)=$W$7,LEFT(O2621,3)=$W$7)),"x","")</f>
        <v/>
      </c>
      <c r="X2621" s="75" t="str">
        <f>IF(OR(TH!N2621=TH!$X$7,O2621=TH!$X$7),"x","")</f>
        <v/>
      </c>
      <c r="Y2621" s="75" t="str">
        <f>IF(AND(OR(N2621="131",O2621="131"),H2621='131-CT'!$H$9),"x","")</f>
        <v/>
      </c>
      <c r="Z2621" s="75"/>
      <c r="AA2621" s="75" t="str">
        <f>IF(AND(MONTH(E2621)='IN-NX'!$J$5,'IN-NX'!$D$7=D2621),"x","")</f>
        <v/>
      </c>
      <c r="AB2621" s="75" t="str">
        <f>IF(AND(OR(LEFT(TH!N2621,2)="15",LEFT(TH!O2621,2)="15"),LEFT(TH!O2621,3)&lt;&gt;"111",'152-CT'!$J$8=TH!F2621),"x","")</f>
        <v/>
      </c>
      <c r="AC2621" s="75" t="str">
        <f>IF(AND(OR(LEFT(TH!N2621,2)="15",LEFT(TH!O2621,2)="15"),TK!$E$7=TH!F2621),"x","")</f>
        <v/>
      </c>
      <c r="AD2621" s="75" t="str">
        <f>IF(AND(N2621="1521",MONTH(C2621)='BK-NL'!$M$11),"x","")</f>
        <v/>
      </c>
    </row>
    <row r="2622" spans="1:33" s="1264" customFormat="1" ht="16.5" customHeight="1">
      <c r="A2622" s="309" t="str">
        <f>IF(B2622&lt;&gt;"",IF(AND(B2622='IN-TC'!$S$4,OR(TH!N2622="1111",TH!O2622="1111")),TH!D2622,""),"")</f>
        <v/>
      </c>
      <c r="B2622" s="1277">
        <f t="shared" si="923"/>
        <v>7</v>
      </c>
      <c r="C2622" s="71">
        <v>42923</v>
      </c>
      <c r="D2622" s="71" t="s">
        <v>903</v>
      </c>
      <c r="E2622" s="71">
        <f t="shared" si="928"/>
        <v>42923</v>
      </c>
      <c r="F2622" s="73" t="s">
        <v>1086</v>
      </c>
      <c r="G2622" s="72" t="s">
        <v>585</v>
      </c>
      <c r="H2622" s="296" t="s">
        <v>822</v>
      </c>
      <c r="I2622" s="371"/>
      <c r="J2622" s="377"/>
      <c r="K2622" s="371">
        <v>2681.21</v>
      </c>
      <c r="L2622" s="377">
        <v>22720</v>
      </c>
      <c r="M2622" s="1214">
        <f t="shared" ref="M2622" si="936">ROUND(K2622*L2622,0)</f>
        <v>60917091</v>
      </c>
      <c r="N2622" s="75" t="s">
        <v>256</v>
      </c>
      <c r="O2622" s="75" t="s">
        <v>536</v>
      </c>
      <c r="P2622" s="75" t="str">
        <f>IF(AND('331-CT'!$E$7=TH!H2622,OR(N2622="331",O2622="331")),"x","")</f>
        <v/>
      </c>
      <c r="Q2622" s="75" t="str">
        <f>IF(AND(B2622='111'!$L$11,OR($N2622=$Q$7,$O2622=$Q$7)),"x","")</f>
        <v/>
      </c>
      <c r="R2622" s="75" t="str">
        <f>IF(AND($N2622=$Q$7,$B2622&lt;'111'!$L$11),"x","")</f>
        <v/>
      </c>
      <c r="S2622" s="75" t="str">
        <f>IF(AND($O2622=$Q$7,$B2622&lt;'111'!$L$11),"x","")</f>
        <v/>
      </c>
      <c r="T2622" s="75" t="str">
        <f>IF(ISERROR(FIND('112'!$M$9,G2622,1)),"",IF((AND(FIND('112'!$M$9,G2622,1)&gt;=1,B2622='112'!$K$9,OR($N2622='112'!$I$6,$O2622='112'!$I$6))),"x",""))</f>
        <v/>
      </c>
      <c r="U2622" s="75" t="str">
        <f>IF(ISERROR(FIND('112'!$M$9,G2622,1)),"",IF((AND(LEFT(G2622,2)=LEFT('112'!$M$9,2),B2622&lt;'112'!$K$9,$N2622='112'!$I$6)),"x",""))</f>
        <v/>
      </c>
      <c r="V2622" s="75" t="str">
        <f>IF(ISERROR(FIND('112'!$M$9,G2622,1)),"",IF((AND(RIGHT(G2622,2)=RIGHT('112'!$M$9,2),B2622&lt;'112'!$K$9,$O2622='112'!$I$6)),"x",""))</f>
        <v/>
      </c>
      <c r="W2622" s="75" t="str">
        <f>IF(AND('341-CT'!$H$9=H2622,OR(LEFT(N2622,3)=$W$7,LEFT(O2622,3)=$W$7)),"x","")</f>
        <v/>
      </c>
      <c r="X2622" s="75" t="str">
        <f>IF(OR(TH!N2622=TH!$X$7,O2622=TH!$X$7),"x","")</f>
        <v/>
      </c>
      <c r="Y2622" s="75" t="str">
        <f>IF(AND(OR(N2622="131",O2622="131"),H2622='131-CT'!$H$9),"x","")</f>
        <v/>
      </c>
      <c r="Z2622" s="75"/>
      <c r="AA2622" s="75" t="str">
        <f>IF(AND(MONTH(E2622)='IN-NX'!$J$5,'IN-NX'!$D$7=D2622),"x","")</f>
        <v/>
      </c>
      <c r="AB2622" s="75" t="str">
        <f>IF(AND(OR(LEFT(TH!N2622,2)="15",LEFT(TH!O2622,2)="15"),LEFT(TH!O2622,3)&lt;&gt;"111",'152-CT'!$J$8=TH!F2622),"x","")</f>
        <v/>
      </c>
      <c r="AC2622" s="75" t="str">
        <f>IF(AND(OR(LEFT(TH!N2622,2)="15",LEFT(TH!O2622,2)="15"),TK!$E$7=TH!F2622),"x","")</f>
        <v/>
      </c>
      <c r="AD2622" s="75" t="str">
        <f>IF(AND(N2622="1521",MONTH(C2622)='BK-NL'!$M$11),"x","")</f>
        <v/>
      </c>
    </row>
    <row r="2623" spans="1:33" s="1264" customFormat="1" ht="16.5" customHeight="1">
      <c r="A2623" s="309" t="str">
        <f>IF(B2623&lt;&gt;"",IF(AND(B2623='IN-TC'!$S$4,OR(TH!N2623="1111",TH!O2623="1111")),TH!D2623,""),"")</f>
        <v/>
      </c>
      <c r="B2623" s="1277">
        <f t="shared" si="923"/>
        <v>7</v>
      </c>
      <c r="C2623" s="71">
        <v>42923</v>
      </c>
      <c r="D2623" s="71" t="s">
        <v>530</v>
      </c>
      <c r="E2623" s="71">
        <f t="shared" si="928"/>
        <v>42923</v>
      </c>
      <c r="F2623" s="73" t="s">
        <v>1861</v>
      </c>
      <c r="G2623" s="72" t="s">
        <v>585</v>
      </c>
      <c r="H2623" s="296" t="s">
        <v>822</v>
      </c>
      <c r="I2623" s="371"/>
      <c r="J2623" s="377"/>
      <c r="K2623" s="371">
        <v>88.65</v>
      </c>
      <c r="L2623" s="377">
        <v>22720</v>
      </c>
      <c r="M2623" s="933">
        <f t="shared" si="929"/>
        <v>2014128</v>
      </c>
      <c r="N2623" s="75" t="s">
        <v>101</v>
      </c>
      <c r="O2623" s="75" t="s">
        <v>536</v>
      </c>
      <c r="P2623" s="75" t="str">
        <f>IF(AND('331-CT'!$E$7=TH!H2623,OR(N2623="331",O2623="331")),"x","")</f>
        <v/>
      </c>
      <c r="Q2623" s="75" t="str">
        <f>IF(AND(B2623='111'!$L$11,OR($N2623=$Q$7,$O2623=$Q$7)),"x","")</f>
        <v/>
      </c>
      <c r="R2623" s="75" t="str">
        <f>IF(AND($N2623=$Q$7,$B2623&lt;'111'!$L$11),"x","")</f>
        <v/>
      </c>
      <c r="S2623" s="75" t="str">
        <f>IF(AND($O2623=$Q$7,$B2623&lt;'111'!$L$11),"x","")</f>
        <v/>
      </c>
      <c r="T2623" s="75" t="str">
        <f>IF(ISERROR(FIND('112'!$M$9,G2623,1)),"",IF((AND(FIND('112'!$M$9,G2623,1)&gt;=1,B2623='112'!$K$9,OR($N2623='112'!$I$6,$O2623='112'!$I$6))),"x",""))</f>
        <v/>
      </c>
      <c r="U2623" s="75" t="str">
        <f>IF(ISERROR(FIND('112'!$M$9,G2623,1)),"",IF((AND(LEFT(G2623,2)=LEFT('112'!$M$9,2),B2623&lt;'112'!$K$9,$N2623='112'!$I$6)),"x",""))</f>
        <v/>
      </c>
      <c r="V2623" s="75" t="str">
        <f>IF(ISERROR(FIND('112'!$M$9,G2623,1)),"",IF((AND(RIGHT(G2623,2)=RIGHT('112'!$M$9,2),B2623&lt;'112'!$K$9,$O2623='112'!$I$6)),"x",""))</f>
        <v/>
      </c>
      <c r="W2623" s="75" t="str">
        <f>IF(AND('341-CT'!$H$9=H2623,OR(LEFT(N2623,3)=$W$7,LEFT(O2623,3)=$W$7)),"x","")</f>
        <v/>
      </c>
      <c r="X2623" s="75" t="str">
        <f>IF(OR(TH!N2623=TH!$X$7,O2623=TH!$X$7),"x","")</f>
        <v/>
      </c>
      <c r="Y2623" s="75" t="str">
        <f>IF(AND(OR(N2623="131",O2623="131"),H2623='131-CT'!$H$9),"x","")</f>
        <v/>
      </c>
      <c r="Z2623" s="75"/>
      <c r="AA2623" s="75" t="str">
        <f>IF(AND(MONTH(E2623)='IN-NX'!$J$5,'IN-NX'!$D$7=D2623),"x","")</f>
        <v/>
      </c>
      <c r="AB2623" s="75" t="str">
        <f>IF(AND(OR(LEFT(TH!N2623,2)="15",LEFT(TH!O2623,2)="15"),LEFT(TH!O2623,3)&lt;&gt;"111",'152-CT'!$J$8=TH!F2623),"x","")</f>
        <v/>
      </c>
      <c r="AC2623" s="75" t="str">
        <f>IF(AND(OR(LEFT(TH!N2623,2)="15",LEFT(TH!O2623,2)="15"),TK!$E$7=TH!F2623),"x","")</f>
        <v/>
      </c>
      <c r="AD2623" s="75" t="str">
        <f>IF(AND(N2623="1521",MONTH(C2623)='BK-NL'!$M$11),"x","")</f>
        <v/>
      </c>
    </row>
    <row r="2624" spans="1:33" s="1264" customFormat="1" ht="16.5" customHeight="1">
      <c r="A2624" s="309" t="str">
        <f>IF(B2624&lt;&gt;"",IF(AND(B2624='IN-TC'!$S$4,OR(TH!N2624="1111",TH!O2624="1111")),TH!D2624,""),"")</f>
        <v/>
      </c>
      <c r="B2624" s="1277">
        <f t="shared" si="923"/>
        <v>7</v>
      </c>
      <c r="C2624" s="71">
        <v>42923</v>
      </c>
      <c r="D2624" s="71" t="s">
        <v>530</v>
      </c>
      <c r="E2624" s="71">
        <f t="shared" ref="E2624:E2645" si="937">C2624</f>
        <v>42923</v>
      </c>
      <c r="F2624" s="73" t="s">
        <v>1862</v>
      </c>
      <c r="G2624" s="72" t="s">
        <v>585</v>
      </c>
      <c r="H2624" s="296" t="s">
        <v>822</v>
      </c>
      <c r="I2624" s="371"/>
      <c r="J2624" s="377"/>
      <c r="K2624" s="371">
        <v>8.8699999999999992</v>
      </c>
      <c r="L2624" s="377">
        <v>22720</v>
      </c>
      <c r="M2624" s="933">
        <v>201526</v>
      </c>
      <c r="N2624" s="75" t="s">
        <v>9</v>
      </c>
      <c r="O2624" s="75" t="s">
        <v>536</v>
      </c>
      <c r="P2624" s="75" t="str">
        <f>IF(AND('331-CT'!$E$7=TH!H2624,OR(N2624="331",O2624="331")),"x","")</f>
        <v/>
      </c>
      <c r="Q2624" s="75" t="str">
        <f>IF(AND(B2624='111'!$L$11,OR($N2624=$Q$7,$O2624=$Q$7)),"x","")</f>
        <v/>
      </c>
      <c r="R2624" s="75" t="str">
        <f>IF(AND($N2624=$Q$7,$B2624&lt;'111'!$L$11),"x","")</f>
        <v/>
      </c>
      <c r="S2624" s="75" t="str">
        <f>IF(AND($O2624=$Q$7,$B2624&lt;'111'!$L$11),"x","")</f>
        <v/>
      </c>
      <c r="T2624" s="75" t="str">
        <f>IF(ISERROR(FIND('112'!$M$9,G2624,1)),"",IF((AND(FIND('112'!$M$9,G2624,1)&gt;=1,B2624='112'!$K$9,OR($N2624='112'!$I$6,$O2624='112'!$I$6))),"x",""))</f>
        <v/>
      </c>
      <c r="U2624" s="75" t="str">
        <f>IF(ISERROR(FIND('112'!$M$9,G2624,1)),"",IF((AND(LEFT(G2624,2)=LEFT('112'!$M$9,2),B2624&lt;'112'!$K$9,$N2624='112'!$I$6)),"x",""))</f>
        <v/>
      </c>
      <c r="V2624" s="75" t="str">
        <f>IF(ISERROR(FIND('112'!$M$9,G2624,1)),"",IF((AND(RIGHT(G2624,2)=RIGHT('112'!$M$9,2),B2624&lt;'112'!$K$9,$O2624='112'!$I$6)),"x",""))</f>
        <v/>
      </c>
      <c r="W2624" s="75" t="str">
        <f>IF(AND('341-CT'!$H$9=H2624,OR(LEFT(N2624,3)=$W$7,LEFT(O2624,3)=$W$7)),"x","")</f>
        <v/>
      </c>
      <c r="X2624" s="75" t="str">
        <f>IF(OR(TH!N2624=TH!$X$7,O2624=TH!$X$7),"x","")</f>
        <v/>
      </c>
      <c r="Y2624" s="75" t="str">
        <f>IF(AND(OR(N2624="131",O2624="131"),H2624='131-CT'!$H$9),"x","")</f>
        <v/>
      </c>
      <c r="Z2624" s="75"/>
      <c r="AA2624" s="75" t="str">
        <f>IF(AND(MONTH(E2624)='IN-NX'!$J$5,'IN-NX'!$D$7=D2624),"x","")</f>
        <v/>
      </c>
      <c r="AB2624" s="75" t="str">
        <f>IF(AND(OR(LEFT(TH!N2624,2)="15",LEFT(TH!O2624,2)="15"),LEFT(TH!O2624,3)&lt;&gt;"111",'152-CT'!$J$8=TH!F2624),"x","")</f>
        <v/>
      </c>
      <c r="AC2624" s="75" t="str">
        <f>IF(AND(OR(LEFT(TH!N2624,2)="15",LEFT(TH!O2624,2)="15"),TK!$E$7=TH!F2624),"x","")</f>
        <v/>
      </c>
      <c r="AD2624" s="75" t="str">
        <f>IF(AND(N2624="1521",MONTH(C2624)='BK-NL'!$M$11),"x","")</f>
        <v/>
      </c>
      <c r="AE2624" s="1264">
        <v>7</v>
      </c>
      <c r="AG2624" s="1264">
        <f>ROUND(K2624*L2624,0)</f>
        <v>201526</v>
      </c>
    </row>
    <row r="2625" spans="1:33" s="1264" customFormat="1" ht="16.5" customHeight="1">
      <c r="A2625" s="309" t="str">
        <f>IF(B2625&lt;&gt;"",IF(AND(B2625='IN-TC'!$S$4,OR(TH!N2625="1111",TH!O2625="1111")),TH!D2625,""),"")</f>
        <v/>
      </c>
      <c r="B2625" s="1277">
        <f t="shared" si="923"/>
        <v>7</v>
      </c>
      <c r="C2625" s="71">
        <v>42923</v>
      </c>
      <c r="D2625" s="71" t="s">
        <v>530</v>
      </c>
      <c r="E2625" s="71">
        <f t="shared" si="937"/>
        <v>42923</v>
      </c>
      <c r="F2625" s="73" t="s">
        <v>1863</v>
      </c>
      <c r="G2625" s="72" t="s">
        <v>585</v>
      </c>
      <c r="H2625" s="296" t="s">
        <v>822</v>
      </c>
      <c r="I2625" s="371"/>
      <c r="J2625" s="377"/>
      <c r="K2625" s="371">
        <v>24.22</v>
      </c>
      <c r="L2625" s="377">
        <v>22720</v>
      </c>
      <c r="M2625" s="933">
        <f t="shared" si="929"/>
        <v>550278</v>
      </c>
      <c r="N2625" s="75" t="s">
        <v>101</v>
      </c>
      <c r="O2625" s="75" t="s">
        <v>536</v>
      </c>
      <c r="P2625" s="75" t="str">
        <f>IF(AND('331-CT'!$E$7=TH!H2625,OR(N2625="331",O2625="331")),"x","")</f>
        <v/>
      </c>
      <c r="Q2625" s="75" t="str">
        <f>IF(AND(B2625='111'!$L$11,OR($N2625=$Q$7,$O2625=$Q$7)),"x","")</f>
        <v/>
      </c>
      <c r="R2625" s="75" t="str">
        <f>IF(AND($N2625=$Q$7,$B2625&lt;'111'!$L$11),"x","")</f>
        <v/>
      </c>
      <c r="S2625" s="75" t="str">
        <f>IF(AND($O2625=$Q$7,$B2625&lt;'111'!$L$11),"x","")</f>
        <v/>
      </c>
      <c r="T2625" s="75" t="str">
        <f>IF(ISERROR(FIND('112'!$M$9,G2625,1)),"",IF((AND(FIND('112'!$M$9,G2625,1)&gt;=1,B2625='112'!$K$9,OR($N2625='112'!$I$6,$O2625='112'!$I$6))),"x",""))</f>
        <v/>
      </c>
      <c r="U2625" s="75" t="str">
        <f>IF(ISERROR(FIND('112'!$M$9,G2625,1)),"",IF((AND(LEFT(G2625,2)=LEFT('112'!$M$9,2),B2625&lt;'112'!$K$9,$N2625='112'!$I$6)),"x",""))</f>
        <v/>
      </c>
      <c r="V2625" s="75" t="str">
        <f>IF(ISERROR(FIND('112'!$M$9,G2625,1)),"",IF((AND(RIGHT(G2625,2)=RIGHT('112'!$M$9,2),B2625&lt;'112'!$K$9,$O2625='112'!$I$6)),"x",""))</f>
        <v/>
      </c>
      <c r="W2625" s="75" t="str">
        <f>IF(AND('341-CT'!$H$9=H2625,OR(LEFT(N2625,3)=$W$7,LEFT(O2625,3)=$W$7)),"x","")</f>
        <v/>
      </c>
      <c r="X2625" s="75" t="str">
        <f>IF(OR(TH!N2625=TH!$X$7,O2625=TH!$X$7),"x","")</f>
        <v/>
      </c>
      <c r="Y2625" s="75" t="str">
        <f>IF(AND(OR(N2625="131",O2625="131"),H2625='131-CT'!$H$9),"x","")</f>
        <v/>
      </c>
      <c r="Z2625" s="75"/>
      <c r="AA2625" s="75" t="str">
        <f>IF(AND(MONTH(E2625)='IN-NX'!$J$5,'IN-NX'!$D$7=D2625),"x","")</f>
        <v/>
      </c>
      <c r="AB2625" s="75" t="str">
        <f>IF(AND(OR(LEFT(TH!N2625,2)="15",LEFT(TH!O2625,2)="15"),LEFT(TH!O2625,3)&lt;&gt;"111",'152-CT'!$J$8=TH!F2625),"x","")</f>
        <v/>
      </c>
      <c r="AC2625" s="75" t="str">
        <f>IF(AND(OR(LEFT(TH!N2625,2)="15",LEFT(TH!O2625,2)="15"),TK!$E$7=TH!F2625),"x","")</f>
        <v/>
      </c>
      <c r="AD2625" s="75" t="str">
        <f>IF(AND(N2625="1521",MONTH(C2625)='BK-NL'!$M$11),"x","")</f>
        <v/>
      </c>
    </row>
    <row r="2626" spans="1:33" s="1264" customFormat="1" ht="16.5" customHeight="1">
      <c r="A2626" s="309" t="str">
        <f>IF(B2626&lt;&gt;"",IF(AND(B2626='IN-TC'!$S$4,OR(TH!N2626="1111",TH!O2626="1111")),TH!D2626,""),"")</f>
        <v/>
      </c>
      <c r="B2626" s="1277">
        <f t="shared" si="923"/>
        <v>7</v>
      </c>
      <c r="C2626" s="71">
        <v>42923</v>
      </c>
      <c r="D2626" s="71" t="s">
        <v>530</v>
      </c>
      <c r="E2626" s="71">
        <f t="shared" si="937"/>
        <v>42923</v>
      </c>
      <c r="F2626" s="73" t="s">
        <v>1864</v>
      </c>
      <c r="G2626" s="72" t="s">
        <v>585</v>
      </c>
      <c r="H2626" s="296" t="s">
        <v>822</v>
      </c>
      <c r="I2626" s="371"/>
      <c r="J2626" s="377"/>
      <c r="K2626" s="371">
        <v>2.42</v>
      </c>
      <c r="L2626" s="377">
        <v>22720</v>
      </c>
      <c r="M2626" s="933">
        <v>54982</v>
      </c>
      <c r="N2626" s="75" t="s">
        <v>9</v>
      </c>
      <c r="O2626" s="75" t="s">
        <v>536</v>
      </c>
      <c r="P2626" s="75" t="str">
        <f>IF(AND('331-CT'!$E$7=TH!H2626,OR(N2626="331",O2626="331")),"x","")</f>
        <v/>
      </c>
      <c r="Q2626" s="75" t="str">
        <f>IF(AND(B2626='111'!$L$11,OR($N2626=$Q$7,$O2626=$Q$7)),"x","")</f>
        <v/>
      </c>
      <c r="R2626" s="75" t="str">
        <f>IF(AND($N2626=$Q$7,$B2626&lt;'111'!$L$11),"x","")</f>
        <v/>
      </c>
      <c r="S2626" s="75" t="str">
        <f>IF(AND($O2626=$Q$7,$B2626&lt;'111'!$L$11),"x","")</f>
        <v/>
      </c>
      <c r="T2626" s="75" t="str">
        <f>IF(ISERROR(FIND('112'!$M$9,G2626,1)),"",IF((AND(FIND('112'!$M$9,G2626,1)&gt;=1,B2626='112'!$K$9,OR($N2626='112'!$I$6,$O2626='112'!$I$6))),"x",""))</f>
        <v/>
      </c>
      <c r="U2626" s="75" t="str">
        <f>IF(ISERROR(FIND('112'!$M$9,G2626,1)),"",IF((AND(LEFT(G2626,2)=LEFT('112'!$M$9,2),B2626&lt;'112'!$K$9,$N2626='112'!$I$6)),"x",""))</f>
        <v/>
      </c>
      <c r="V2626" s="75" t="str">
        <f>IF(ISERROR(FIND('112'!$M$9,G2626,1)),"",IF((AND(RIGHT(G2626,2)=RIGHT('112'!$M$9,2),B2626&lt;'112'!$K$9,$O2626='112'!$I$6)),"x",""))</f>
        <v/>
      </c>
      <c r="W2626" s="75" t="str">
        <f>IF(AND('341-CT'!$H$9=H2626,OR(LEFT(N2626,3)=$W$7,LEFT(O2626,3)=$W$7)),"x","")</f>
        <v/>
      </c>
      <c r="X2626" s="75" t="str">
        <f>IF(OR(TH!N2626=TH!$X$7,O2626=TH!$X$7),"x","")</f>
        <v/>
      </c>
      <c r="Y2626" s="75" t="str">
        <f>IF(AND(OR(N2626="131",O2626="131"),H2626='131-CT'!$H$9),"x","")</f>
        <v/>
      </c>
      <c r="Z2626" s="75"/>
      <c r="AA2626" s="75" t="str">
        <f>IF(AND(MONTH(E2626)='IN-NX'!$J$5,'IN-NX'!$D$7=D2626),"x","")</f>
        <v/>
      </c>
      <c r="AB2626" s="75" t="str">
        <f>IF(AND(OR(LEFT(TH!N2626,2)="15",LEFT(TH!O2626,2)="15"),LEFT(TH!O2626,3)&lt;&gt;"111",'152-CT'!$J$8=TH!F2626),"x","")</f>
        <v/>
      </c>
      <c r="AC2626" s="75" t="str">
        <f>IF(AND(OR(LEFT(TH!N2626,2)="15",LEFT(TH!O2626,2)="15"),TK!$E$7=TH!F2626),"x","")</f>
        <v/>
      </c>
      <c r="AD2626" s="75" t="str">
        <f>IF(AND(N2626="1521",MONTH(C2626)='BK-NL'!$M$11),"x","")</f>
        <v/>
      </c>
      <c r="AE2626" s="1264">
        <v>7</v>
      </c>
      <c r="AG2626" s="1264">
        <f>ROUND(K2626*L2626,0)</f>
        <v>54982</v>
      </c>
    </row>
    <row r="2627" spans="1:33" s="1264" customFormat="1" ht="16.5" customHeight="1">
      <c r="A2627" s="309" t="str">
        <f>IF(B2627&lt;&gt;"",IF(AND(B2627='IN-TC'!$S$4,OR(TH!N2627="1111",TH!O2627="1111")),TH!D2627,""),"")</f>
        <v/>
      </c>
      <c r="B2627" s="1277">
        <f t="shared" si="923"/>
        <v>7</v>
      </c>
      <c r="C2627" s="71">
        <v>42923</v>
      </c>
      <c r="D2627" s="71" t="s">
        <v>530</v>
      </c>
      <c r="E2627" s="71">
        <f t="shared" si="937"/>
        <v>42923</v>
      </c>
      <c r="F2627" s="73" t="s">
        <v>1865</v>
      </c>
      <c r="G2627" s="72" t="s">
        <v>585</v>
      </c>
      <c r="H2627" s="296" t="s">
        <v>822</v>
      </c>
      <c r="I2627" s="371"/>
      <c r="J2627" s="377"/>
      <c r="K2627" s="371">
        <v>10</v>
      </c>
      <c r="L2627" s="377">
        <v>22720</v>
      </c>
      <c r="M2627" s="933">
        <f t="shared" si="929"/>
        <v>227200</v>
      </c>
      <c r="N2627" s="75" t="s">
        <v>101</v>
      </c>
      <c r="O2627" s="75" t="s">
        <v>536</v>
      </c>
      <c r="P2627" s="75" t="str">
        <f>IF(AND('331-CT'!$E$7=TH!H2627,OR(N2627="331",O2627="331")),"x","")</f>
        <v/>
      </c>
      <c r="Q2627" s="75" t="str">
        <f>IF(AND(B2627='111'!$L$11,OR($N2627=$Q$7,$O2627=$Q$7)),"x","")</f>
        <v/>
      </c>
      <c r="R2627" s="75" t="str">
        <f>IF(AND($N2627=$Q$7,$B2627&lt;'111'!$L$11),"x","")</f>
        <v/>
      </c>
      <c r="S2627" s="75" t="str">
        <f>IF(AND($O2627=$Q$7,$B2627&lt;'111'!$L$11),"x","")</f>
        <v/>
      </c>
      <c r="T2627" s="75" t="str">
        <f>IF(ISERROR(FIND('112'!$M$9,G2627,1)),"",IF((AND(FIND('112'!$M$9,G2627,1)&gt;=1,B2627='112'!$K$9,OR($N2627='112'!$I$6,$O2627='112'!$I$6))),"x",""))</f>
        <v/>
      </c>
      <c r="U2627" s="75" t="str">
        <f>IF(ISERROR(FIND('112'!$M$9,G2627,1)),"",IF((AND(LEFT(G2627,2)=LEFT('112'!$M$9,2),B2627&lt;'112'!$K$9,$N2627='112'!$I$6)),"x",""))</f>
        <v/>
      </c>
      <c r="V2627" s="75" t="str">
        <f>IF(ISERROR(FIND('112'!$M$9,G2627,1)),"",IF((AND(RIGHT(G2627,2)=RIGHT('112'!$M$9,2),B2627&lt;'112'!$K$9,$O2627='112'!$I$6)),"x",""))</f>
        <v/>
      </c>
      <c r="W2627" s="75" t="str">
        <f>IF(AND('341-CT'!$H$9=H2627,OR(LEFT(N2627,3)=$W$7,LEFT(O2627,3)=$W$7)),"x","")</f>
        <v/>
      </c>
      <c r="X2627" s="75" t="str">
        <f>IF(OR(TH!N2627=TH!$X$7,O2627=TH!$X$7),"x","")</f>
        <v/>
      </c>
      <c r="Y2627" s="75" t="str">
        <f>IF(AND(OR(N2627="131",O2627="131"),H2627='131-CT'!$H$9),"x","")</f>
        <v/>
      </c>
      <c r="Z2627" s="75"/>
      <c r="AA2627" s="75" t="str">
        <f>IF(AND(MONTH(E2627)='IN-NX'!$J$5,'IN-NX'!$D$7=D2627),"x","")</f>
        <v/>
      </c>
      <c r="AB2627" s="75" t="str">
        <f>IF(AND(OR(LEFT(TH!N2627,2)="15",LEFT(TH!O2627,2)="15"),LEFT(TH!O2627,3)&lt;&gt;"111",'152-CT'!$J$8=TH!F2627),"x","")</f>
        <v/>
      </c>
      <c r="AC2627" s="75" t="str">
        <f>IF(AND(OR(LEFT(TH!N2627,2)="15",LEFT(TH!O2627,2)="15"),TK!$E$7=TH!F2627),"x","")</f>
        <v/>
      </c>
      <c r="AD2627" s="75" t="str">
        <f>IF(AND(N2627="1521",MONTH(C2627)='BK-NL'!$M$11),"x","")</f>
        <v/>
      </c>
    </row>
    <row r="2628" spans="1:33" s="1264" customFormat="1" ht="16.5" customHeight="1">
      <c r="A2628" s="309" t="str">
        <f>IF(B2628&lt;&gt;"",IF(AND(B2628='IN-TC'!$S$4,OR(TH!N2628="1111",TH!O2628="1111")),TH!D2628,""),"")</f>
        <v/>
      </c>
      <c r="B2628" s="1277">
        <f t="shared" si="923"/>
        <v>7</v>
      </c>
      <c r="C2628" s="71">
        <v>42923</v>
      </c>
      <c r="D2628" s="71" t="s">
        <v>530</v>
      </c>
      <c r="E2628" s="71">
        <f t="shared" si="937"/>
        <v>42923</v>
      </c>
      <c r="F2628" s="73" t="s">
        <v>1866</v>
      </c>
      <c r="G2628" s="72" t="s">
        <v>585</v>
      </c>
      <c r="H2628" s="296" t="s">
        <v>822</v>
      </c>
      <c r="I2628" s="371"/>
      <c r="J2628" s="377"/>
      <c r="K2628" s="371">
        <v>1</v>
      </c>
      <c r="L2628" s="377">
        <v>22720</v>
      </c>
      <c r="M2628" s="933">
        <v>22720</v>
      </c>
      <c r="N2628" s="75" t="s">
        <v>9</v>
      </c>
      <c r="O2628" s="75" t="s">
        <v>536</v>
      </c>
      <c r="P2628" s="75" t="str">
        <f>IF(AND('331-CT'!$E$7=TH!H2628,OR(N2628="331",O2628="331")),"x","")</f>
        <v/>
      </c>
      <c r="Q2628" s="75" t="str">
        <f>IF(AND(B2628='111'!$L$11,OR($N2628=$Q$7,$O2628=$Q$7)),"x","")</f>
        <v/>
      </c>
      <c r="R2628" s="75" t="str">
        <f>IF(AND($N2628=$Q$7,$B2628&lt;'111'!$L$11),"x","")</f>
        <v/>
      </c>
      <c r="S2628" s="75" t="str">
        <f>IF(AND($O2628=$Q$7,$B2628&lt;'111'!$L$11),"x","")</f>
        <v/>
      </c>
      <c r="T2628" s="75" t="str">
        <f>IF(ISERROR(FIND('112'!$M$9,G2628,1)),"",IF((AND(FIND('112'!$M$9,G2628,1)&gt;=1,B2628='112'!$K$9,OR($N2628='112'!$I$6,$O2628='112'!$I$6))),"x",""))</f>
        <v/>
      </c>
      <c r="U2628" s="75" t="str">
        <f>IF(ISERROR(FIND('112'!$M$9,G2628,1)),"",IF((AND(LEFT(G2628,2)=LEFT('112'!$M$9,2),B2628&lt;'112'!$K$9,$N2628='112'!$I$6)),"x",""))</f>
        <v/>
      </c>
      <c r="V2628" s="75" t="str">
        <f>IF(ISERROR(FIND('112'!$M$9,G2628,1)),"",IF((AND(RIGHT(G2628,2)=RIGHT('112'!$M$9,2),B2628&lt;'112'!$K$9,$O2628='112'!$I$6)),"x",""))</f>
        <v/>
      </c>
      <c r="W2628" s="75" t="str">
        <f>IF(AND('341-CT'!$H$9=H2628,OR(LEFT(N2628,3)=$W$7,LEFT(O2628,3)=$W$7)),"x","")</f>
        <v/>
      </c>
      <c r="X2628" s="75" t="str">
        <f>IF(OR(TH!N2628=TH!$X$7,O2628=TH!$X$7),"x","")</f>
        <v/>
      </c>
      <c r="Y2628" s="75" t="str">
        <f>IF(AND(OR(N2628="131",O2628="131"),H2628='131-CT'!$H$9),"x","")</f>
        <v/>
      </c>
      <c r="Z2628" s="75"/>
      <c r="AA2628" s="75" t="str">
        <f>IF(AND(MONTH(E2628)='IN-NX'!$J$5,'IN-NX'!$D$7=D2628),"x","")</f>
        <v/>
      </c>
      <c r="AB2628" s="75" t="str">
        <f>IF(AND(OR(LEFT(TH!N2628,2)="15",LEFT(TH!O2628,2)="15"),LEFT(TH!O2628,3)&lt;&gt;"111",'152-CT'!$J$8=TH!F2628),"x","")</f>
        <v/>
      </c>
      <c r="AC2628" s="75" t="str">
        <f>IF(AND(OR(LEFT(TH!N2628,2)="15",LEFT(TH!O2628,2)="15"),TK!$E$7=TH!F2628),"x","")</f>
        <v/>
      </c>
      <c r="AD2628" s="75" t="str">
        <f>IF(AND(N2628="1521",MONTH(C2628)='BK-NL'!$M$11),"x","")</f>
        <v/>
      </c>
      <c r="AE2628" s="1264">
        <v>7</v>
      </c>
      <c r="AG2628" s="1264">
        <f>ROUND(K2628*L2628,0)</f>
        <v>22720</v>
      </c>
    </row>
    <row r="2629" spans="1:33" s="1264" customFormat="1" ht="16.5" customHeight="1">
      <c r="A2629" s="309" t="str">
        <f>IF(B2629&lt;&gt;"",IF(AND(B2629='IN-TC'!$S$4,OR(TH!N2629="1111",TH!O2629="1111")),TH!D2629,""),"")</f>
        <v/>
      </c>
      <c r="B2629" s="1277">
        <f t="shared" si="923"/>
        <v>7</v>
      </c>
      <c r="C2629" s="71">
        <v>42923</v>
      </c>
      <c r="D2629" s="71" t="s">
        <v>530</v>
      </c>
      <c r="E2629" s="71">
        <f t="shared" si="937"/>
        <v>42923</v>
      </c>
      <c r="F2629" s="73" t="s">
        <v>1867</v>
      </c>
      <c r="G2629" s="72" t="s">
        <v>585</v>
      </c>
      <c r="H2629" s="296" t="s">
        <v>822</v>
      </c>
      <c r="I2629" s="371"/>
      <c r="J2629" s="377"/>
      <c r="K2629" s="371">
        <v>43.63</v>
      </c>
      <c r="L2629" s="377">
        <v>22720</v>
      </c>
      <c r="M2629" s="933">
        <f t="shared" si="929"/>
        <v>991274</v>
      </c>
      <c r="N2629" s="75" t="s">
        <v>99</v>
      </c>
      <c r="O2629" s="75" t="s">
        <v>536</v>
      </c>
      <c r="P2629" s="75" t="str">
        <f>IF(AND('331-CT'!$E$7=TH!H2629,OR(N2629="331",O2629="331")),"x","")</f>
        <v/>
      </c>
      <c r="Q2629" s="75" t="str">
        <f>IF(AND(B2629='111'!$L$11,OR($N2629=$Q$7,$O2629=$Q$7)),"x","")</f>
        <v/>
      </c>
      <c r="R2629" s="75" t="str">
        <f>IF(AND($N2629=$Q$7,$B2629&lt;'111'!$L$11),"x","")</f>
        <v/>
      </c>
      <c r="S2629" s="75" t="str">
        <f>IF(AND($O2629=$Q$7,$B2629&lt;'111'!$L$11),"x","")</f>
        <v/>
      </c>
      <c r="T2629" s="75" t="str">
        <f>IF(ISERROR(FIND('112'!$M$9,G2629,1)),"",IF((AND(FIND('112'!$M$9,G2629,1)&gt;=1,B2629='112'!$K$9,OR($N2629='112'!$I$6,$O2629='112'!$I$6))),"x",""))</f>
        <v/>
      </c>
      <c r="U2629" s="75" t="str">
        <f>IF(ISERROR(FIND('112'!$M$9,G2629,1)),"",IF((AND(LEFT(G2629,2)=LEFT('112'!$M$9,2),B2629&lt;'112'!$K$9,$N2629='112'!$I$6)),"x",""))</f>
        <v/>
      </c>
      <c r="V2629" s="75" t="str">
        <f>IF(ISERROR(FIND('112'!$M$9,G2629,1)),"",IF((AND(RIGHT(G2629,2)=RIGHT('112'!$M$9,2),B2629&lt;'112'!$K$9,$O2629='112'!$I$6)),"x",""))</f>
        <v/>
      </c>
      <c r="W2629" s="75" t="str">
        <f>IF(AND('341-CT'!$H$9=H2629,OR(LEFT(N2629,3)=$W$7,LEFT(O2629,3)=$W$7)),"x","")</f>
        <v/>
      </c>
      <c r="X2629" s="75" t="str">
        <f>IF(OR(TH!N2629=TH!$X$7,O2629=TH!$X$7),"x","")</f>
        <v/>
      </c>
      <c r="Y2629" s="75" t="str">
        <f>IF(AND(OR(N2629="131",O2629="131"),H2629='131-CT'!$H$9),"x","")</f>
        <v/>
      </c>
      <c r="Z2629" s="75"/>
      <c r="AA2629" s="75" t="str">
        <f>IF(AND(MONTH(E2629)='IN-NX'!$J$5,'IN-NX'!$D$7=D2629),"x","")</f>
        <v/>
      </c>
      <c r="AB2629" s="75" t="str">
        <f>IF(AND(OR(LEFT(TH!N2629,2)="15",LEFT(TH!O2629,2)="15"),LEFT(TH!O2629,3)&lt;&gt;"111",'152-CT'!$J$8=TH!F2629),"x","")</f>
        <v/>
      </c>
      <c r="AC2629" s="75" t="str">
        <f>IF(AND(OR(LEFT(TH!N2629,2)="15",LEFT(TH!O2629,2)="15"),TK!$E$7=TH!F2629),"x","")</f>
        <v/>
      </c>
      <c r="AD2629" s="75" t="str">
        <f>IF(AND(N2629="1521",MONTH(C2629)='BK-NL'!$M$11),"x","")</f>
        <v/>
      </c>
    </row>
    <row r="2630" spans="1:33" s="1264" customFormat="1" ht="16.5" customHeight="1">
      <c r="A2630" s="309" t="str">
        <f>IF(B2630&lt;&gt;"",IF(AND(B2630='IN-TC'!$S$4,OR(TH!N2630="1111",TH!O2630="1111")),TH!D2630,""),"")</f>
        <v/>
      </c>
      <c r="B2630" s="1277">
        <f t="shared" si="923"/>
        <v>7</v>
      </c>
      <c r="C2630" s="71">
        <v>42923</v>
      </c>
      <c r="D2630" s="71" t="s">
        <v>530</v>
      </c>
      <c r="E2630" s="71">
        <f t="shared" si="937"/>
        <v>42923</v>
      </c>
      <c r="F2630" s="73" t="s">
        <v>1027</v>
      </c>
      <c r="G2630" s="72" t="s">
        <v>585</v>
      </c>
      <c r="H2630" s="296" t="s">
        <v>822</v>
      </c>
      <c r="I2630" s="371"/>
      <c r="J2630" s="377"/>
      <c r="K2630" s="371">
        <v>140</v>
      </c>
      <c r="L2630" s="377">
        <v>22720</v>
      </c>
      <c r="M2630" s="933">
        <f t="shared" si="929"/>
        <v>3180800</v>
      </c>
      <c r="N2630" s="75" t="s">
        <v>101</v>
      </c>
      <c r="O2630" s="75" t="s">
        <v>536</v>
      </c>
      <c r="P2630" s="75" t="str">
        <f>IF(AND('331-CT'!$E$7=TH!H2630,OR(N2630="331",O2630="331")),"x","")</f>
        <v/>
      </c>
      <c r="Q2630" s="75" t="str">
        <f>IF(AND(B2630='111'!$L$11,OR($N2630=$Q$7,$O2630=$Q$7)),"x","")</f>
        <v/>
      </c>
      <c r="R2630" s="75" t="str">
        <f>IF(AND($N2630=$Q$7,$B2630&lt;'111'!$L$11),"x","")</f>
        <v/>
      </c>
      <c r="S2630" s="75" t="str">
        <f>IF(AND($O2630=$Q$7,$B2630&lt;'111'!$L$11),"x","")</f>
        <v/>
      </c>
      <c r="T2630" s="75" t="str">
        <f>IF(ISERROR(FIND('112'!$M$9,G2630,1)),"",IF((AND(FIND('112'!$M$9,G2630,1)&gt;=1,B2630='112'!$K$9,OR($N2630='112'!$I$6,$O2630='112'!$I$6))),"x",""))</f>
        <v/>
      </c>
      <c r="U2630" s="75" t="str">
        <f>IF(ISERROR(FIND('112'!$M$9,G2630,1)),"",IF((AND(LEFT(G2630,2)=LEFT('112'!$M$9,2),B2630&lt;'112'!$K$9,$N2630='112'!$I$6)),"x",""))</f>
        <v/>
      </c>
      <c r="V2630" s="75" t="str">
        <f>IF(ISERROR(FIND('112'!$M$9,G2630,1)),"",IF((AND(RIGHT(G2630,2)=RIGHT('112'!$M$9,2),B2630&lt;'112'!$K$9,$O2630='112'!$I$6)),"x",""))</f>
        <v/>
      </c>
      <c r="W2630" s="75" t="str">
        <f>IF(AND('341-CT'!$H$9=H2630,OR(LEFT(N2630,3)=$W$7,LEFT(O2630,3)=$W$7)),"x","")</f>
        <v/>
      </c>
      <c r="X2630" s="75" t="str">
        <f>IF(OR(TH!N2630=TH!$X$7,O2630=TH!$X$7),"x","")</f>
        <v/>
      </c>
      <c r="Y2630" s="75" t="str">
        <f>IF(AND(OR(N2630="131",O2630="131"),H2630='131-CT'!$H$9),"x","")</f>
        <v/>
      </c>
      <c r="Z2630" s="75"/>
      <c r="AA2630" s="75" t="str">
        <f>IF(AND(MONTH(E2630)='IN-NX'!$J$5,'IN-NX'!$D$7=D2630),"x","")</f>
        <v/>
      </c>
      <c r="AB2630" s="75" t="str">
        <f>IF(AND(OR(LEFT(TH!N2630,2)="15",LEFT(TH!O2630,2)="15"),LEFT(TH!O2630,3)&lt;&gt;"111",'152-CT'!$J$8=TH!F2630),"x","")</f>
        <v/>
      </c>
      <c r="AC2630" s="75" t="str">
        <f>IF(AND(OR(LEFT(TH!N2630,2)="15",LEFT(TH!O2630,2)="15"),TK!$E$7=TH!F2630),"x","")</f>
        <v/>
      </c>
      <c r="AD2630" s="75" t="str">
        <f>IF(AND(N2630="1521",MONTH(C2630)='BK-NL'!$M$11),"x","")</f>
        <v/>
      </c>
    </row>
    <row r="2631" spans="1:33" s="1264" customFormat="1" ht="16.5" customHeight="1">
      <c r="A2631" s="309" t="str">
        <f>IF(B2631&lt;&gt;"",IF(AND(B2631='IN-TC'!$S$4,OR(TH!N2631="1111",TH!O2631="1111")),TH!D2631,""),"")</f>
        <v/>
      </c>
      <c r="B2631" s="1277">
        <f t="shared" si="923"/>
        <v>7</v>
      </c>
      <c r="C2631" s="71">
        <v>42923</v>
      </c>
      <c r="D2631" s="71" t="s">
        <v>530</v>
      </c>
      <c r="E2631" s="71">
        <f t="shared" si="937"/>
        <v>42923</v>
      </c>
      <c r="F2631" s="73" t="s">
        <v>1010</v>
      </c>
      <c r="G2631" s="72" t="s">
        <v>585</v>
      </c>
      <c r="H2631" s="296" t="s">
        <v>822</v>
      </c>
      <c r="I2631" s="371"/>
      <c r="J2631" s="377"/>
      <c r="K2631" s="371"/>
      <c r="L2631" s="377"/>
      <c r="M2631" s="74">
        <v>1492499</v>
      </c>
      <c r="N2631" s="75" t="s">
        <v>536</v>
      </c>
      <c r="O2631" s="934" t="s">
        <v>43</v>
      </c>
      <c r="P2631" s="75" t="str">
        <f>IF(AND('331-CT'!$E$7=TH!H2631,OR(N2631="331",O2631="331")),"x","")</f>
        <v/>
      </c>
      <c r="Q2631" s="75" t="str">
        <f>IF(AND(B2631='111'!$L$11,OR($N2631=$Q$7,$O2631=$Q$7)),"x","")</f>
        <v/>
      </c>
      <c r="R2631" s="75" t="str">
        <f>IF(AND($N2631=$Q$7,$B2631&lt;'111'!$L$11),"x","")</f>
        <v/>
      </c>
      <c r="S2631" s="75" t="str">
        <f>IF(AND($O2631=$Q$7,$B2631&lt;'111'!$L$11),"x","")</f>
        <v/>
      </c>
      <c r="T2631" s="75" t="str">
        <f>IF(ISERROR(FIND('112'!$M$9,G2631,1)),"",IF((AND(FIND('112'!$M$9,G2631,1)&gt;=1,B2631='112'!$K$9,OR($N2631='112'!$I$6,$O2631='112'!$I$6))),"x",""))</f>
        <v/>
      </c>
      <c r="U2631" s="75" t="str">
        <f>IF(ISERROR(FIND('112'!$M$9,G2631,1)),"",IF((AND(LEFT(G2631,2)=LEFT('112'!$M$9,2),B2631&lt;'112'!$K$9,$N2631='112'!$I$6)),"x",""))</f>
        <v/>
      </c>
      <c r="V2631" s="75" t="str">
        <f>IF(ISERROR(FIND('112'!$M$9,G2631,1)),"",IF((AND(RIGHT(G2631,2)=RIGHT('112'!$M$9,2),B2631&lt;'112'!$K$9,$O2631='112'!$I$6)),"x",""))</f>
        <v/>
      </c>
      <c r="W2631" s="75" t="str">
        <f>IF(AND('341-CT'!$H$9=H2631,OR(LEFT(N2631,3)=$W$7,LEFT(O2631,3)=$W$7)),"x","")</f>
        <v/>
      </c>
      <c r="X2631" s="75" t="str">
        <f>IF(OR(TH!N2631=TH!$X$7,O2631=TH!$X$7),"x","")</f>
        <v/>
      </c>
      <c r="Y2631" s="75" t="str">
        <f>IF(AND(OR(N2631="131",O2631="131"),H2631='131-CT'!$H$9),"x","")</f>
        <v/>
      </c>
      <c r="Z2631" s="75"/>
      <c r="AA2631" s="75" t="str">
        <f>IF(AND(MONTH(E2631)='IN-NX'!$J$5,'IN-NX'!$D$7=D2631),"x","")</f>
        <v/>
      </c>
      <c r="AB2631" s="75" t="str">
        <f>IF(AND(OR(LEFT(TH!N2631,2)="15",LEFT(TH!O2631,2)="15"),LEFT(TH!O2631,3)&lt;&gt;"111",'152-CT'!$J$8=TH!F2631),"x","")</f>
        <v/>
      </c>
      <c r="AC2631" s="75" t="str">
        <f>IF(AND(OR(LEFT(TH!N2631,2)="15",LEFT(TH!O2631,2)="15"),TK!$E$7=TH!F2631),"x","")</f>
        <v/>
      </c>
      <c r="AD2631" s="75" t="str">
        <f>IF(AND(N2631="1521",MONTH(C2631)='BK-NL'!$M$11),"x","")</f>
        <v/>
      </c>
    </row>
    <row r="2632" spans="1:33" s="1264" customFormat="1" ht="16.5" customHeight="1">
      <c r="A2632" s="309" t="str">
        <f>IF(B2632&lt;&gt;"",IF(AND(B2632='IN-TC'!$S$4,OR(TH!N2632="1111",TH!O2632="1111")),TH!D2632,""),"")</f>
        <v/>
      </c>
      <c r="B2632" s="1277">
        <f t="shared" si="923"/>
        <v>7</v>
      </c>
      <c r="C2632" s="71">
        <v>42933</v>
      </c>
      <c r="D2632" s="71" t="s">
        <v>903</v>
      </c>
      <c r="E2632" s="71">
        <f t="shared" si="937"/>
        <v>42933</v>
      </c>
      <c r="F2632" s="73" t="s">
        <v>1086</v>
      </c>
      <c r="G2632" s="72" t="s">
        <v>585</v>
      </c>
      <c r="H2632" s="296" t="s">
        <v>1642</v>
      </c>
      <c r="I2632" s="371"/>
      <c r="J2632" s="377"/>
      <c r="K2632" s="371">
        <v>566.26</v>
      </c>
      <c r="L2632" s="377">
        <v>22690</v>
      </c>
      <c r="M2632" s="1214">
        <f t="shared" ref="M2632" si="938">ROUND(K2632*L2632,0)</f>
        <v>12848439</v>
      </c>
      <c r="N2632" s="75" t="s">
        <v>256</v>
      </c>
      <c r="O2632" s="75" t="s">
        <v>536</v>
      </c>
      <c r="P2632" s="75" t="str">
        <f>IF(AND('331-CT'!$E$7=TH!H2632,OR(N2632="331",O2632="331")),"x","")</f>
        <v/>
      </c>
      <c r="Q2632" s="75" t="str">
        <f>IF(AND(B2632='111'!$L$11,OR($N2632=$Q$7,$O2632=$Q$7)),"x","")</f>
        <v/>
      </c>
      <c r="R2632" s="75" t="str">
        <f>IF(AND($N2632=$Q$7,$B2632&lt;'111'!$L$11),"x","")</f>
        <v/>
      </c>
      <c r="S2632" s="75" t="str">
        <f>IF(AND($O2632=$Q$7,$B2632&lt;'111'!$L$11),"x","")</f>
        <v/>
      </c>
      <c r="T2632" s="75" t="str">
        <f>IF(ISERROR(FIND('112'!$M$9,G2632,1)),"",IF((AND(FIND('112'!$M$9,G2632,1)&gt;=1,B2632='112'!$K$9,OR($N2632='112'!$I$6,$O2632='112'!$I$6))),"x",""))</f>
        <v/>
      </c>
      <c r="U2632" s="75" t="str">
        <f>IF(ISERROR(FIND('112'!$M$9,G2632,1)),"",IF((AND(LEFT(G2632,2)=LEFT('112'!$M$9,2),B2632&lt;'112'!$K$9,$N2632='112'!$I$6)),"x",""))</f>
        <v/>
      </c>
      <c r="V2632" s="75" t="str">
        <f>IF(ISERROR(FIND('112'!$M$9,G2632,1)),"",IF((AND(RIGHT(G2632,2)=RIGHT('112'!$M$9,2),B2632&lt;'112'!$K$9,$O2632='112'!$I$6)),"x",""))</f>
        <v/>
      </c>
      <c r="W2632" s="75" t="str">
        <f>IF(AND('341-CT'!$H$9=H2632,OR(LEFT(N2632,3)=$W$7,LEFT(O2632,3)=$W$7)),"x","")</f>
        <v/>
      </c>
      <c r="X2632" s="75" t="str">
        <f>IF(OR(TH!N2632=TH!$X$7,O2632=TH!$X$7),"x","")</f>
        <v/>
      </c>
      <c r="Y2632" s="75" t="str">
        <f>IF(AND(OR(N2632="131",O2632="131"),H2632='131-CT'!$H$9),"x","")</f>
        <v/>
      </c>
      <c r="Z2632" s="75"/>
      <c r="AA2632" s="75" t="str">
        <f>IF(AND(MONTH(E2632)='IN-NX'!$J$5,'IN-NX'!$D$7=D2632),"x","")</f>
        <v/>
      </c>
      <c r="AB2632" s="75" t="str">
        <f>IF(AND(OR(LEFT(TH!N2632,2)="15",LEFT(TH!O2632,2)="15"),LEFT(TH!O2632,3)&lt;&gt;"111",'152-CT'!$J$8=TH!F2632),"x","")</f>
        <v/>
      </c>
      <c r="AC2632" s="75" t="str">
        <f>IF(AND(OR(LEFT(TH!N2632,2)="15",LEFT(TH!O2632,2)="15"),TK!$E$7=TH!F2632),"x","")</f>
        <v/>
      </c>
      <c r="AD2632" s="75" t="str">
        <f>IF(AND(N2632="1521",MONTH(C2632)='BK-NL'!$M$11),"x","")</f>
        <v/>
      </c>
    </row>
    <row r="2633" spans="1:33" s="1264" customFormat="1" ht="16.5" customHeight="1">
      <c r="A2633" s="309" t="str">
        <f>IF(B2633&lt;&gt;"",IF(AND(B2633='IN-TC'!$S$4,OR(TH!N2633="1111",TH!O2633="1111")),TH!D2633,""),"")</f>
        <v/>
      </c>
      <c r="B2633" s="1277">
        <f t="shared" si="923"/>
        <v>7</v>
      </c>
      <c r="C2633" s="71">
        <v>42933</v>
      </c>
      <c r="D2633" s="71" t="s">
        <v>530</v>
      </c>
      <c r="E2633" s="71">
        <f t="shared" si="937"/>
        <v>42933</v>
      </c>
      <c r="F2633" s="73" t="s">
        <v>1861</v>
      </c>
      <c r="G2633" s="72" t="s">
        <v>585</v>
      </c>
      <c r="H2633" s="296" t="s">
        <v>1642</v>
      </c>
      <c r="I2633" s="371"/>
      <c r="J2633" s="377"/>
      <c r="K2633" s="371">
        <v>20.48</v>
      </c>
      <c r="L2633" s="377">
        <v>22690</v>
      </c>
      <c r="M2633" s="933">
        <f t="shared" si="929"/>
        <v>464691</v>
      </c>
      <c r="N2633" s="75" t="s">
        <v>101</v>
      </c>
      <c r="O2633" s="75" t="s">
        <v>536</v>
      </c>
      <c r="P2633" s="75" t="str">
        <f>IF(AND('331-CT'!$E$7=TH!H2633,OR(N2633="331",O2633="331")),"x","")</f>
        <v/>
      </c>
      <c r="Q2633" s="75" t="str">
        <f>IF(AND(B2633='111'!$L$11,OR($N2633=$Q$7,$O2633=$Q$7)),"x","")</f>
        <v/>
      </c>
      <c r="R2633" s="75" t="str">
        <f>IF(AND($N2633=$Q$7,$B2633&lt;'111'!$L$11),"x","")</f>
        <v/>
      </c>
      <c r="S2633" s="75" t="str">
        <f>IF(AND($O2633=$Q$7,$B2633&lt;'111'!$L$11),"x","")</f>
        <v/>
      </c>
      <c r="T2633" s="75" t="str">
        <f>IF(ISERROR(FIND('112'!$M$9,G2633,1)),"",IF((AND(FIND('112'!$M$9,G2633,1)&gt;=1,B2633='112'!$K$9,OR($N2633='112'!$I$6,$O2633='112'!$I$6))),"x",""))</f>
        <v/>
      </c>
      <c r="U2633" s="75" t="str">
        <f>IF(ISERROR(FIND('112'!$M$9,G2633,1)),"",IF((AND(LEFT(G2633,2)=LEFT('112'!$M$9,2),B2633&lt;'112'!$K$9,$N2633='112'!$I$6)),"x",""))</f>
        <v/>
      </c>
      <c r="V2633" s="75" t="str">
        <f>IF(ISERROR(FIND('112'!$M$9,G2633,1)),"",IF((AND(RIGHT(G2633,2)=RIGHT('112'!$M$9,2),B2633&lt;'112'!$K$9,$O2633='112'!$I$6)),"x",""))</f>
        <v/>
      </c>
      <c r="W2633" s="75" t="str">
        <f>IF(AND('341-CT'!$H$9=H2633,OR(LEFT(N2633,3)=$W$7,LEFT(O2633,3)=$W$7)),"x","")</f>
        <v/>
      </c>
      <c r="X2633" s="75" t="str">
        <f>IF(OR(TH!N2633=TH!$X$7,O2633=TH!$X$7),"x","")</f>
        <v/>
      </c>
      <c r="Y2633" s="75" t="str">
        <f>IF(AND(OR(N2633="131",O2633="131"),H2633='131-CT'!$H$9),"x","")</f>
        <v/>
      </c>
      <c r="Z2633" s="75"/>
      <c r="AA2633" s="75" t="str">
        <f>IF(AND(MONTH(E2633)='IN-NX'!$J$5,'IN-NX'!$D$7=D2633),"x","")</f>
        <v/>
      </c>
      <c r="AB2633" s="75" t="str">
        <f>IF(AND(OR(LEFT(TH!N2633,2)="15",LEFT(TH!O2633,2)="15"),LEFT(TH!O2633,3)&lt;&gt;"111",'152-CT'!$J$8=TH!F2633),"x","")</f>
        <v/>
      </c>
      <c r="AC2633" s="75" t="str">
        <f>IF(AND(OR(LEFT(TH!N2633,2)="15",LEFT(TH!O2633,2)="15"),TK!$E$7=TH!F2633),"x","")</f>
        <v/>
      </c>
      <c r="AD2633" s="75" t="str">
        <f>IF(AND(N2633="1521",MONTH(C2633)='BK-NL'!$M$11),"x","")</f>
        <v/>
      </c>
    </row>
    <row r="2634" spans="1:33" s="1264" customFormat="1" ht="16.5" customHeight="1">
      <c r="A2634" s="309" t="str">
        <f>IF(B2634&lt;&gt;"",IF(AND(B2634='IN-TC'!$S$4,OR(TH!N2634="1111",TH!O2634="1111")),TH!D2634,""),"")</f>
        <v/>
      </c>
      <c r="B2634" s="1277">
        <f t="shared" si="923"/>
        <v>7</v>
      </c>
      <c r="C2634" s="71">
        <v>42933</v>
      </c>
      <c r="D2634" s="71" t="s">
        <v>530</v>
      </c>
      <c r="E2634" s="71">
        <f t="shared" si="937"/>
        <v>42933</v>
      </c>
      <c r="F2634" s="73" t="s">
        <v>1862</v>
      </c>
      <c r="G2634" s="72" t="s">
        <v>585</v>
      </c>
      <c r="H2634" s="296" t="s">
        <v>1642</v>
      </c>
      <c r="I2634" s="371"/>
      <c r="J2634" s="377"/>
      <c r="K2634" s="371">
        <v>2.0499999999999998</v>
      </c>
      <c r="L2634" s="377">
        <v>22690</v>
      </c>
      <c r="M2634" s="933">
        <v>46515</v>
      </c>
      <c r="N2634" s="75" t="s">
        <v>9</v>
      </c>
      <c r="O2634" s="75" t="s">
        <v>536</v>
      </c>
      <c r="P2634" s="75" t="str">
        <f>IF(AND('331-CT'!$E$7=TH!H2634,OR(N2634="331",O2634="331")),"x","")</f>
        <v/>
      </c>
      <c r="Q2634" s="75" t="str">
        <f>IF(AND(B2634='111'!$L$11,OR($N2634=$Q$7,$O2634=$Q$7)),"x","")</f>
        <v/>
      </c>
      <c r="R2634" s="75" t="str">
        <f>IF(AND($N2634=$Q$7,$B2634&lt;'111'!$L$11),"x","")</f>
        <v/>
      </c>
      <c r="S2634" s="75" t="str">
        <f>IF(AND($O2634=$Q$7,$B2634&lt;'111'!$L$11),"x","")</f>
        <v/>
      </c>
      <c r="T2634" s="75" t="str">
        <f>IF(ISERROR(FIND('112'!$M$9,G2634,1)),"",IF((AND(FIND('112'!$M$9,G2634,1)&gt;=1,B2634='112'!$K$9,OR($N2634='112'!$I$6,$O2634='112'!$I$6))),"x",""))</f>
        <v/>
      </c>
      <c r="U2634" s="75" t="str">
        <f>IF(ISERROR(FIND('112'!$M$9,G2634,1)),"",IF((AND(LEFT(G2634,2)=LEFT('112'!$M$9,2),B2634&lt;'112'!$K$9,$N2634='112'!$I$6)),"x",""))</f>
        <v/>
      </c>
      <c r="V2634" s="75" t="str">
        <f>IF(ISERROR(FIND('112'!$M$9,G2634,1)),"",IF((AND(RIGHT(G2634,2)=RIGHT('112'!$M$9,2),B2634&lt;'112'!$K$9,$O2634='112'!$I$6)),"x",""))</f>
        <v/>
      </c>
      <c r="W2634" s="75" t="str">
        <f>IF(AND('341-CT'!$H$9=H2634,OR(LEFT(N2634,3)=$W$7,LEFT(O2634,3)=$W$7)),"x","")</f>
        <v/>
      </c>
      <c r="X2634" s="75" t="str">
        <f>IF(OR(TH!N2634=TH!$X$7,O2634=TH!$X$7),"x","")</f>
        <v/>
      </c>
      <c r="Y2634" s="75" t="str">
        <f>IF(AND(OR(N2634="131",O2634="131"),H2634='131-CT'!$H$9),"x","")</f>
        <v/>
      </c>
      <c r="Z2634" s="75"/>
      <c r="AA2634" s="75" t="str">
        <f>IF(AND(MONTH(E2634)='IN-NX'!$J$5,'IN-NX'!$D$7=D2634),"x","")</f>
        <v/>
      </c>
      <c r="AB2634" s="75" t="str">
        <f>IF(AND(OR(LEFT(TH!N2634,2)="15",LEFT(TH!O2634,2)="15"),LEFT(TH!O2634,3)&lt;&gt;"111",'152-CT'!$J$8=TH!F2634),"x","")</f>
        <v/>
      </c>
      <c r="AC2634" s="75" t="str">
        <f>IF(AND(OR(LEFT(TH!N2634,2)="15",LEFT(TH!O2634,2)="15"),TK!$E$7=TH!F2634),"x","")</f>
        <v/>
      </c>
      <c r="AD2634" s="75" t="str">
        <f>IF(AND(N2634="1521",MONTH(C2634)='BK-NL'!$M$11),"x","")</f>
        <v/>
      </c>
      <c r="AE2634" s="1264">
        <v>7</v>
      </c>
      <c r="AG2634" s="1264">
        <f>ROUND(K2634*L2634,0)</f>
        <v>46515</v>
      </c>
    </row>
    <row r="2635" spans="1:33" s="1264" customFormat="1" ht="16.5" customHeight="1">
      <c r="A2635" s="309" t="str">
        <f>IF(B2635&lt;&gt;"",IF(AND(B2635='IN-TC'!$S$4,OR(TH!N2635="1111",TH!O2635="1111")),TH!D2635,""),"")</f>
        <v/>
      </c>
      <c r="B2635" s="1277">
        <f t="shared" si="923"/>
        <v>7</v>
      </c>
      <c r="C2635" s="71">
        <v>42933</v>
      </c>
      <c r="D2635" s="71" t="s">
        <v>530</v>
      </c>
      <c r="E2635" s="71">
        <f t="shared" si="937"/>
        <v>42933</v>
      </c>
      <c r="F2635" s="73" t="s">
        <v>1863</v>
      </c>
      <c r="G2635" s="72" t="s">
        <v>585</v>
      </c>
      <c r="H2635" s="296" t="s">
        <v>1642</v>
      </c>
      <c r="I2635" s="371"/>
      <c r="J2635" s="377"/>
      <c r="K2635" s="371">
        <v>10</v>
      </c>
      <c r="L2635" s="377">
        <v>22690</v>
      </c>
      <c r="M2635" s="933">
        <f t="shared" si="929"/>
        <v>226900</v>
      </c>
      <c r="N2635" s="75" t="s">
        <v>101</v>
      </c>
      <c r="O2635" s="75" t="s">
        <v>536</v>
      </c>
      <c r="P2635" s="75" t="str">
        <f>IF(AND('331-CT'!$E$7=TH!H2635,OR(N2635="331",O2635="331")),"x","")</f>
        <v/>
      </c>
      <c r="Q2635" s="75" t="str">
        <f>IF(AND(B2635='111'!$L$11,OR($N2635=$Q$7,$O2635=$Q$7)),"x","")</f>
        <v/>
      </c>
      <c r="R2635" s="75" t="str">
        <f>IF(AND($N2635=$Q$7,$B2635&lt;'111'!$L$11),"x","")</f>
        <v/>
      </c>
      <c r="S2635" s="75" t="str">
        <f>IF(AND($O2635=$Q$7,$B2635&lt;'111'!$L$11),"x","")</f>
        <v/>
      </c>
      <c r="T2635" s="75" t="str">
        <f>IF(ISERROR(FIND('112'!$M$9,G2635,1)),"",IF((AND(FIND('112'!$M$9,G2635,1)&gt;=1,B2635='112'!$K$9,OR($N2635='112'!$I$6,$O2635='112'!$I$6))),"x",""))</f>
        <v/>
      </c>
      <c r="U2635" s="75" t="str">
        <f>IF(ISERROR(FIND('112'!$M$9,G2635,1)),"",IF((AND(LEFT(G2635,2)=LEFT('112'!$M$9,2),B2635&lt;'112'!$K$9,$N2635='112'!$I$6)),"x",""))</f>
        <v/>
      </c>
      <c r="V2635" s="75" t="str">
        <f>IF(ISERROR(FIND('112'!$M$9,G2635,1)),"",IF((AND(RIGHT(G2635,2)=RIGHT('112'!$M$9,2),B2635&lt;'112'!$K$9,$O2635='112'!$I$6)),"x",""))</f>
        <v/>
      </c>
      <c r="W2635" s="75" t="str">
        <f>IF(AND('341-CT'!$H$9=H2635,OR(LEFT(N2635,3)=$W$7,LEFT(O2635,3)=$W$7)),"x","")</f>
        <v/>
      </c>
      <c r="X2635" s="75" t="str">
        <f>IF(OR(TH!N2635=TH!$X$7,O2635=TH!$X$7),"x","")</f>
        <v/>
      </c>
      <c r="Y2635" s="75" t="str">
        <f>IF(AND(OR(N2635="131",O2635="131"),H2635='131-CT'!$H$9),"x","")</f>
        <v/>
      </c>
      <c r="Z2635" s="75"/>
      <c r="AA2635" s="75" t="str">
        <f>IF(AND(MONTH(E2635)='IN-NX'!$J$5,'IN-NX'!$D$7=D2635),"x","")</f>
        <v/>
      </c>
      <c r="AB2635" s="75" t="str">
        <f>IF(AND(OR(LEFT(TH!N2635,2)="15",LEFT(TH!O2635,2)="15"),LEFT(TH!O2635,3)&lt;&gt;"111",'152-CT'!$J$8=TH!F2635),"x","")</f>
        <v/>
      </c>
      <c r="AC2635" s="75" t="str">
        <f>IF(AND(OR(LEFT(TH!N2635,2)="15",LEFT(TH!O2635,2)="15"),TK!$E$7=TH!F2635),"x","")</f>
        <v/>
      </c>
      <c r="AD2635" s="75" t="str">
        <f>IF(AND(N2635="1521",MONTH(C2635)='BK-NL'!$M$11),"x","")</f>
        <v/>
      </c>
    </row>
    <row r="2636" spans="1:33" s="1264" customFormat="1" ht="16.5" customHeight="1">
      <c r="A2636" s="309" t="str">
        <f>IF(B2636&lt;&gt;"",IF(AND(B2636='IN-TC'!$S$4,OR(TH!N2636="1111",TH!O2636="1111")),TH!D2636,""),"")</f>
        <v/>
      </c>
      <c r="B2636" s="1277">
        <f t="shared" si="923"/>
        <v>7</v>
      </c>
      <c r="C2636" s="71">
        <v>42933</v>
      </c>
      <c r="D2636" s="71" t="s">
        <v>530</v>
      </c>
      <c r="E2636" s="71">
        <f t="shared" si="937"/>
        <v>42933</v>
      </c>
      <c r="F2636" s="73" t="s">
        <v>1864</v>
      </c>
      <c r="G2636" s="72" t="s">
        <v>585</v>
      </c>
      <c r="H2636" s="296" t="s">
        <v>1642</v>
      </c>
      <c r="I2636" s="371"/>
      <c r="J2636" s="377"/>
      <c r="K2636" s="371">
        <v>1</v>
      </c>
      <c r="L2636" s="377">
        <v>22690</v>
      </c>
      <c r="M2636" s="933">
        <v>22690</v>
      </c>
      <c r="N2636" s="75" t="s">
        <v>9</v>
      </c>
      <c r="O2636" s="75" t="s">
        <v>536</v>
      </c>
      <c r="P2636" s="75" t="str">
        <f>IF(AND('331-CT'!$E$7=TH!H2636,OR(N2636="331",O2636="331")),"x","")</f>
        <v/>
      </c>
      <c r="Q2636" s="75" t="str">
        <f>IF(AND(B2636='111'!$L$11,OR($N2636=$Q$7,$O2636=$Q$7)),"x","")</f>
        <v/>
      </c>
      <c r="R2636" s="75" t="str">
        <f>IF(AND($N2636=$Q$7,$B2636&lt;'111'!$L$11),"x","")</f>
        <v/>
      </c>
      <c r="S2636" s="75" t="str">
        <f>IF(AND($O2636=$Q$7,$B2636&lt;'111'!$L$11),"x","")</f>
        <v/>
      </c>
      <c r="T2636" s="75" t="str">
        <f>IF(ISERROR(FIND('112'!$M$9,G2636,1)),"",IF((AND(FIND('112'!$M$9,G2636,1)&gt;=1,B2636='112'!$K$9,OR($N2636='112'!$I$6,$O2636='112'!$I$6))),"x",""))</f>
        <v/>
      </c>
      <c r="U2636" s="75" t="str">
        <f>IF(ISERROR(FIND('112'!$M$9,G2636,1)),"",IF((AND(LEFT(G2636,2)=LEFT('112'!$M$9,2),B2636&lt;'112'!$K$9,$N2636='112'!$I$6)),"x",""))</f>
        <v/>
      </c>
      <c r="V2636" s="75" t="str">
        <f>IF(ISERROR(FIND('112'!$M$9,G2636,1)),"",IF((AND(RIGHT(G2636,2)=RIGHT('112'!$M$9,2),B2636&lt;'112'!$K$9,$O2636='112'!$I$6)),"x",""))</f>
        <v/>
      </c>
      <c r="W2636" s="75" t="str">
        <f>IF(AND('341-CT'!$H$9=H2636,OR(LEFT(N2636,3)=$W$7,LEFT(O2636,3)=$W$7)),"x","")</f>
        <v/>
      </c>
      <c r="X2636" s="75" t="str">
        <f>IF(OR(TH!N2636=TH!$X$7,O2636=TH!$X$7),"x","")</f>
        <v/>
      </c>
      <c r="Y2636" s="75" t="str">
        <f>IF(AND(OR(N2636="131",O2636="131"),H2636='131-CT'!$H$9),"x","")</f>
        <v/>
      </c>
      <c r="Z2636" s="75"/>
      <c r="AA2636" s="75" t="str">
        <f>IF(AND(MONTH(E2636)='IN-NX'!$J$5,'IN-NX'!$D$7=D2636),"x","")</f>
        <v/>
      </c>
      <c r="AB2636" s="75" t="str">
        <f>IF(AND(OR(LEFT(TH!N2636,2)="15",LEFT(TH!O2636,2)="15"),LEFT(TH!O2636,3)&lt;&gt;"111",'152-CT'!$J$8=TH!F2636),"x","")</f>
        <v/>
      </c>
      <c r="AC2636" s="75" t="str">
        <f>IF(AND(OR(LEFT(TH!N2636,2)="15",LEFT(TH!O2636,2)="15"),TK!$E$7=TH!F2636),"x","")</f>
        <v/>
      </c>
      <c r="AD2636" s="75" t="str">
        <f>IF(AND(N2636="1521",MONTH(C2636)='BK-NL'!$M$11),"x","")</f>
        <v/>
      </c>
      <c r="AE2636" s="1264">
        <v>7</v>
      </c>
      <c r="AG2636" s="1264">
        <f>ROUND(K2636*L2636,0)</f>
        <v>22690</v>
      </c>
    </row>
    <row r="2637" spans="1:33" s="1264" customFormat="1" ht="16.5" customHeight="1">
      <c r="A2637" s="309" t="str">
        <f>IF(B2637&lt;&gt;"",IF(AND(B2637='IN-TC'!$S$4,OR(TH!N2637="1111",TH!O2637="1111")),TH!D2637,""),"")</f>
        <v/>
      </c>
      <c r="B2637" s="1277">
        <f t="shared" si="923"/>
        <v>7</v>
      </c>
      <c r="C2637" s="71">
        <v>42933</v>
      </c>
      <c r="D2637" s="71" t="s">
        <v>530</v>
      </c>
      <c r="E2637" s="71">
        <f t="shared" si="937"/>
        <v>42933</v>
      </c>
      <c r="F2637" s="73" t="s">
        <v>1865</v>
      </c>
      <c r="G2637" s="72" t="s">
        <v>585</v>
      </c>
      <c r="H2637" s="296" t="s">
        <v>1642</v>
      </c>
      <c r="I2637" s="371"/>
      <c r="J2637" s="377"/>
      <c r="K2637" s="371">
        <v>29.22</v>
      </c>
      <c r="L2637" s="377">
        <v>22690</v>
      </c>
      <c r="M2637" s="933">
        <f t="shared" si="929"/>
        <v>663002</v>
      </c>
      <c r="N2637" s="75" t="s">
        <v>101</v>
      </c>
      <c r="O2637" s="75" t="s">
        <v>536</v>
      </c>
      <c r="P2637" s="75" t="str">
        <f>IF(AND('331-CT'!$E$7=TH!H2637,OR(N2637="331",O2637="331")),"x","")</f>
        <v/>
      </c>
      <c r="Q2637" s="75" t="str">
        <f>IF(AND(B2637='111'!$L$11,OR($N2637=$Q$7,$O2637=$Q$7)),"x","")</f>
        <v/>
      </c>
      <c r="R2637" s="75" t="str">
        <f>IF(AND($N2637=$Q$7,$B2637&lt;'111'!$L$11),"x","")</f>
        <v/>
      </c>
      <c r="S2637" s="75" t="str">
        <f>IF(AND($O2637=$Q$7,$B2637&lt;'111'!$L$11),"x","")</f>
        <v/>
      </c>
      <c r="T2637" s="75" t="str">
        <f>IF(ISERROR(FIND('112'!$M$9,G2637,1)),"",IF((AND(FIND('112'!$M$9,G2637,1)&gt;=1,B2637='112'!$K$9,OR($N2637='112'!$I$6,$O2637='112'!$I$6))),"x",""))</f>
        <v/>
      </c>
      <c r="U2637" s="75" t="str">
        <f>IF(ISERROR(FIND('112'!$M$9,G2637,1)),"",IF((AND(LEFT(G2637,2)=LEFT('112'!$M$9,2),B2637&lt;'112'!$K$9,$N2637='112'!$I$6)),"x",""))</f>
        <v/>
      </c>
      <c r="V2637" s="75" t="str">
        <f>IF(ISERROR(FIND('112'!$M$9,G2637,1)),"",IF((AND(RIGHT(G2637,2)=RIGHT('112'!$M$9,2),B2637&lt;'112'!$K$9,$O2637='112'!$I$6)),"x",""))</f>
        <v/>
      </c>
      <c r="W2637" s="75" t="str">
        <f>IF(AND('341-CT'!$H$9=H2637,OR(LEFT(N2637,3)=$W$7,LEFT(O2637,3)=$W$7)),"x","")</f>
        <v/>
      </c>
      <c r="X2637" s="75" t="str">
        <f>IF(OR(TH!N2637=TH!$X$7,O2637=TH!$X$7),"x","")</f>
        <v/>
      </c>
      <c r="Y2637" s="75" t="str">
        <f>IF(AND(OR(N2637="131",O2637="131"),H2637='131-CT'!$H$9),"x","")</f>
        <v/>
      </c>
      <c r="Z2637" s="75"/>
      <c r="AA2637" s="75" t="str">
        <f>IF(AND(MONTH(E2637)='IN-NX'!$J$5,'IN-NX'!$D$7=D2637),"x","")</f>
        <v/>
      </c>
      <c r="AB2637" s="75" t="str">
        <f>IF(AND(OR(LEFT(TH!N2637,2)="15",LEFT(TH!O2637,2)="15"),LEFT(TH!O2637,3)&lt;&gt;"111",'152-CT'!$J$8=TH!F2637),"x","")</f>
        <v/>
      </c>
      <c r="AC2637" s="75" t="str">
        <f>IF(AND(OR(LEFT(TH!N2637,2)="15",LEFT(TH!O2637,2)="15"),TK!$E$7=TH!F2637),"x","")</f>
        <v/>
      </c>
      <c r="AD2637" s="75" t="str">
        <f>IF(AND(N2637="1521",MONTH(C2637)='BK-NL'!$M$11),"x","")</f>
        <v/>
      </c>
    </row>
    <row r="2638" spans="1:33" s="1264" customFormat="1" ht="16.5" customHeight="1">
      <c r="A2638" s="309" t="str">
        <f>IF(B2638&lt;&gt;"",IF(AND(B2638='IN-TC'!$S$4,OR(TH!N2638="1111",TH!O2638="1111")),TH!D2638,""),"")</f>
        <v/>
      </c>
      <c r="B2638" s="1277">
        <f t="shared" si="923"/>
        <v>7</v>
      </c>
      <c r="C2638" s="71">
        <v>42933</v>
      </c>
      <c r="D2638" s="71" t="s">
        <v>530</v>
      </c>
      <c r="E2638" s="71">
        <f t="shared" si="937"/>
        <v>42933</v>
      </c>
      <c r="F2638" s="73" t="s">
        <v>1866</v>
      </c>
      <c r="G2638" s="72" t="s">
        <v>585</v>
      </c>
      <c r="H2638" s="296" t="s">
        <v>1642</v>
      </c>
      <c r="I2638" s="371"/>
      <c r="J2638" s="377"/>
      <c r="K2638" s="371">
        <v>2.92</v>
      </c>
      <c r="L2638" s="377">
        <v>22690</v>
      </c>
      <c r="M2638" s="933">
        <v>66255</v>
      </c>
      <c r="N2638" s="75" t="s">
        <v>9</v>
      </c>
      <c r="O2638" s="75" t="s">
        <v>536</v>
      </c>
      <c r="P2638" s="75" t="str">
        <f>IF(AND('331-CT'!$E$7=TH!H2638,OR(N2638="331",O2638="331")),"x","")</f>
        <v/>
      </c>
      <c r="Q2638" s="75" t="str">
        <f>IF(AND(B2638='111'!$L$11,OR($N2638=$Q$7,$O2638=$Q$7)),"x","")</f>
        <v/>
      </c>
      <c r="R2638" s="75" t="str">
        <f>IF(AND($N2638=$Q$7,$B2638&lt;'111'!$L$11),"x","")</f>
        <v/>
      </c>
      <c r="S2638" s="75" t="str">
        <f>IF(AND($O2638=$Q$7,$B2638&lt;'111'!$L$11),"x","")</f>
        <v/>
      </c>
      <c r="T2638" s="75" t="str">
        <f>IF(ISERROR(FIND('112'!$M$9,G2638,1)),"",IF((AND(FIND('112'!$M$9,G2638,1)&gt;=1,B2638='112'!$K$9,OR($N2638='112'!$I$6,$O2638='112'!$I$6))),"x",""))</f>
        <v/>
      </c>
      <c r="U2638" s="75" t="str">
        <f>IF(ISERROR(FIND('112'!$M$9,G2638,1)),"",IF((AND(LEFT(G2638,2)=LEFT('112'!$M$9,2),B2638&lt;'112'!$K$9,$N2638='112'!$I$6)),"x",""))</f>
        <v/>
      </c>
      <c r="V2638" s="75" t="str">
        <f>IF(ISERROR(FIND('112'!$M$9,G2638,1)),"",IF((AND(RIGHT(G2638,2)=RIGHT('112'!$M$9,2),B2638&lt;'112'!$K$9,$O2638='112'!$I$6)),"x",""))</f>
        <v/>
      </c>
      <c r="W2638" s="75" t="str">
        <f>IF(AND('341-CT'!$H$9=H2638,OR(LEFT(N2638,3)=$W$7,LEFT(O2638,3)=$W$7)),"x","")</f>
        <v/>
      </c>
      <c r="X2638" s="75" t="str">
        <f>IF(OR(TH!N2638=TH!$X$7,O2638=TH!$X$7),"x","")</f>
        <v/>
      </c>
      <c r="Y2638" s="75" t="str">
        <f>IF(AND(OR(N2638="131",O2638="131"),H2638='131-CT'!$H$9),"x","")</f>
        <v/>
      </c>
      <c r="Z2638" s="75"/>
      <c r="AA2638" s="75" t="str">
        <f>IF(AND(MONTH(E2638)='IN-NX'!$J$5,'IN-NX'!$D$7=D2638),"x","")</f>
        <v/>
      </c>
      <c r="AB2638" s="75" t="str">
        <f>IF(AND(OR(LEFT(TH!N2638,2)="15",LEFT(TH!O2638,2)="15"),LEFT(TH!O2638,3)&lt;&gt;"111",'152-CT'!$J$8=TH!F2638),"x","")</f>
        <v/>
      </c>
      <c r="AC2638" s="75" t="str">
        <f>IF(AND(OR(LEFT(TH!N2638,2)="15",LEFT(TH!O2638,2)="15"),TK!$E$7=TH!F2638),"x","")</f>
        <v/>
      </c>
      <c r="AD2638" s="75" t="str">
        <f>IF(AND(N2638="1521",MONTH(C2638)='BK-NL'!$M$11),"x","")</f>
        <v/>
      </c>
      <c r="AE2638" s="1264">
        <v>7</v>
      </c>
      <c r="AG2638" s="1264">
        <f>ROUND(K2638*L2638,0)</f>
        <v>66255</v>
      </c>
    </row>
    <row r="2639" spans="1:33" s="1264" customFormat="1" ht="16.5" customHeight="1">
      <c r="A2639" s="309" t="str">
        <f>IF(B2639&lt;&gt;"",IF(AND(B2639='IN-TC'!$S$4,OR(TH!N2639="1111",TH!O2639="1111")),TH!D2639,""),"")</f>
        <v/>
      </c>
      <c r="B2639" s="1277">
        <f t="shared" si="923"/>
        <v>7</v>
      </c>
      <c r="C2639" s="71">
        <v>42933</v>
      </c>
      <c r="D2639" s="71" t="s">
        <v>530</v>
      </c>
      <c r="E2639" s="71">
        <f t="shared" si="937"/>
        <v>42933</v>
      </c>
      <c r="F2639" s="73" t="s">
        <v>1867</v>
      </c>
      <c r="G2639" s="72" t="s">
        <v>585</v>
      </c>
      <c r="H2639" s="296" t="s">
        <v>1642</v>
      </c>
      <c r="I2639" s="371"/>
      <c r="J2639" s="377"/>
      <c r="K2639" s="371">
        <v>20.07</v>
      </c>
      <c r="L2639" s="377">
        <v>22690</v>
      </c>
      <c r="M2639" s="933">
        <f t="shared" si="929"/>
        <v>455388</v>
      </c>
      <c r="N2639" s="75" t="s">
        <v>99</v>
      </c>
      <c r="O2639" s="75" t="s">
        <v>536</v>
      </c>
      <c r="P2639" s="75" t="str">
        <f>IF(AND('331-CT'!$E$7=TH!H2639,OR(N2639="331",O2639="331")),"x","")</f>
        <v/>
      </c>
      <c r="Q2639" s="75" t="str">
        <f>IF(AND(B2639='111'!$L$11,OR($N2639=$Q$7,$O2639=$Q$7)),"x","")</f>
        <v/>
      </c>
      <c r="R2639" s="75" t="str">
        <f>IF(AND($N2639=$Q$7,$B2639&lt;'111'!$L$11),"x","")</f>
        <v/>
      </c>
      <c r="S2639" s="75" t="str">
        <f>IF(AND($O2639=$Q$7,$B2639&lt;'111'!$L$11),"x","")</f>
        <v/>
      </c>
      <c r="T2639" s="75" t="str">
        <f>IF(ISERROR(FIND('112'!$M$9,G2639,1)),"",IF((AND(FIND('112'!$M$9,G2639,1)&gt;=1,B2639='112'!$K$9,OR($N2639='112'!$I$6,$O2639='112'!$I$6))),"x",""))</f>
        <v/>
      </c>
      <c r="U2639" s="75" t="str">
        <f>IF(ISERROR(FIND('112'!$M$9,G2639,1)),"",IF((AND(LEFT(G2639,2)=LEFT('112'!$M$9,2),B2639&lt;'112'!$K$9,$N2639='112'!$I$6)),"x",""))</f>
        <v/>
      </c>
      <c r="V2639" s="75" t="str">
        <f>IF(ISERROR(FIND('112'!$M$9,G2639,1)),"",IF((AND(RIGHT(G2639,2)=RIGHT('112'!$M$9,2),B2639&lt;'112'!$K$9,$O2639='112'!$I$6)),"x",""))</f>
        <v/>
      </c>
      <c r="W2639" s="75" t="str">
        <f>IF(AND('341-CT'!$H$9=H2639,OR(LEFT(N2639,3)=$W$7,LEFT(O2639,3)=$W$7)),"x","")</f>
        <v/>
      </c>
      <c r="X2639" s="75" t="str">
        <f>IF(OR(TH!N2639=TH!$X$7,O2639=TH!$X$7),"x","")</f>
        <v/>
      </c>
      <c r="Y2639" s="75" t="str">
        <f>IF(AND(OR(N2639="131",O2639="131"),H2639='131-CT'!$H$9),"x","")</f>
        <v/>
      </c>
      <c r="Z2639" s="75"/>
      <c r="AA2639" s="75" t="str">
        <f>IF(AND(MONTH(E2639)='IN-NX'!$J$5,'IN-NX'!$D$7=D2639),"x","")</f>
        <v/>
      </c>
      <c r="AB2639" s="75" t="str">
        <f>IF(AND(OR(LEFT(TH!N2639,2)="15",LEFT(TH!O2639,2)="15"),LEFT(TH!O2639,3)&lt;&gt;"111",'152-CT'!$J$8=TH!F2639),"x","")</f>
        <v/>
      </c>
      <c r="AC2639" s="75" t="str">
        <f>IF(AND(OR(LEFT(TH!N2639,2)="15",LEFT(TH!O2639,2)="15"),TK!$E$7=TH!F2639),"x","")</f>
        <v/>
      </c>
      <c r="AD2639" s="75" t="str">
        <f>IF(AND(N2639="1521",MONTH(C2639)='BK-NL'!$M$11),"x","")</f>
        <v/>
      </c>
    </row>
    <row r="2640" spans="1:33" s="1264" customFormat="1" ht="16.5" customHeight="1">
      <c r="A2640" s="309" t="str">
        <f>IF(B2640&lt;&gt;"",IF(AND(B2640='IN-TC'!$S$4,OR(TH!N2640="1111",TH!O2640="1111")),TH!D2640,""),"")</f>
        <v/>
      </c>
      <c r="B2640" s="1277">
        <f t="shared" si="923"/>
        <v>7</v>
      </c>
      <c r="C2640" s="71">
        <v>42933</v>
      </c>
      <c r="D2640" s="71" t="s">
        <v>530</v>
      </c>
      <c r="E2640" s="71">
        <f t="shared" si="937"/>
        <v>42933</v>
      </c>
      <c r="F2640" s="73" t="s">
        <v>1027</v>
      </c>
      <c r="G2640" s="72" t="s">
        <v>585</v>
      </c>
      <c r="H2640" s="296" t="s">
        <v>1642</v>
      </c>
      <c r="I2640" s="371"/>
      <c r="J2640" s="377"/>
      <c r="K2640" s="371">
        <v>98</v>
      </c>
      <c r="L2640" s="377">
        <v>22690</v>
      </c>
      <c r="M2640" s="933">
        <f t="shared" si="929"/>
        <v>2223620</v>
      </c>
      <c r="N2640" s="75" t="s">
        <v>101</v>
      </c>
      <c r="O2640" s="75" t="s">
        <v>536</v>
      </c>
      <c r="P2640" s="75" t="str">
        <f>IF(AND('331-CT'!$E$7=TH!H2640,OR(N2640="331",O2640="331")),"x","")</f>
        <v/>
      </c>
      <c r="Q2640" s="75" t="str">
        <f>IF(AND(B2640='111'!$L$11,OR($N2640=$Q$7,$O2640=$Q$7)),"x","")</f>
        <v/>
      </c>
      <c r="R2640" s="75" t="str">
        <f>IF(AND($N2640=$Q$7,$B2640&lt;'111'!$L$11),"x","")</f>
        <v/>
      </c>
      <c r="S2640" s="75" t="str">
        <f>IF(AND($O2640=$Q$7,$B2640&lt;'111'!$L$11),"x","")</f>
        <v/>
      </c>
      <c r="T2640" s="75" t="str">
        <f>IF(ISERROR(FIND('112'!$M$9,G2640,1)),"",IF((AND(FIND('112'!$M$9,G2640,1)&gt;=1,B2640='112'!$K$9,OR($N2640='112'!$I$6,$O2640='112'!$I$6))),"x",""))</f>
        <v/>
      </c>
      <c r="U2640" s="75" t="str">
        <f>IF(ISERROR(FIND('112'!$M$9,G2640,1)),"",IF((AND(LEFT(G2640,2)=LEFT('112'!$M$9,2),B2640&lt;'112'!$K$9,$N2640='112'!$I$6)),"x",""))</f>
        <v/>
      </c>
      <c r="V2640" s="75" t="str">
        <f>IF(ISERROR(FIND('112'!$M$9,G2640,1)),"",IF((AND(RIGHT(G2640,2)=RIGHT('112'!$M$9,2),B2640&lt;'112'!$K$9,$O2640='112'!$I$6)),"x",""))</f>
        <v/>
      </c>
      <c r="W2640" s="75" t="str">
        <f>IF(AND('341-CT'!$H$9=H2640,OR(LEFT(N2640,3)=$W$7,LEFT(O2640,3)=$W$7)),"x","")</f>
        <v/>
      </c>
      <c r="X2640" s="75" t="str">
        <f>IF(OR(TH!N2640=TH!$X$7,O2640=TH!$X$7),"x","")</f>
        <v/>
      </c>
      <c r="Y2640" s="75" t="str">
        <f>IF(AND(OR(N2640="131",O2640="131"),H2640='131-CT'!$H$9),"x","")</f>
        <v/>
      </c>
      <c r="Z2640" s="75"/>
      <c r="AA2640" s="75" t="str">
        <f>IF(AND(MONTH(E2640)='IN-NX'!$J$5,'IN-NX'!$D$7=D2640),"x","")</f>
        <v/>
      </c>
      <c r="AB2640" s="75" t="str">
        <f>IF(AND(OR(LEFT(TH!N2640,2)="15",LEFT(TH!O2640,2)="15"),LEFT(TH!O2640,3)&lt;&gt;"111",'152-CT'!$J$8=TH!F2640),"x","")</f>
        <v/>
      </c>
      <c r="AC2640" s="75" t="str">
        <f>IF(AND(OR(LEFT(TH!N2640,2)="15",LEFT(TH!O2640,2)="15"),TK!$E$7=TH!F2640),"x","")</f>
        <v/>
      </c>
      <c r="AD2640" s="75" t="str">
        <f>IF(AND(N2640="1521",MONTH(C2640)='BK-NL'!$M$11),"x","")</f>
        <v/>
      </c>
    </row>
    <row r="2641" spans="1:33" s="1264" customFormat="1" ht="16.5" customHeight="1">
      <c r="A2641" s="309" t="str">
        <f>IF(B2641&lt;&gt;"",IF(AND(B2641='IN-TC'!$S$4,OR(TH!N2641="1111",TH!O2641="1111")),TH!D2641,""),"")</f>
        <v/>
      </c>
      <c r="B2641" s="1277">
        <f t="shared" ref="B2641:B2650" si="939">IF(C2641&lt;&gt;"",MONTH(C2641),"")</f>
        <v>7</v>
      </c>
      <c r="C2641" s="71">
        <v>42933</v>
      </c>
      <c r="D2641" s="71" t="s">
        <v>530</v>
      </c>
      <c r="E2641" s="71">
        <f t="shared" si="937"/>
        <v>42933</v>
      </c>
      <c r="F2641" s="73" t="s">
        <v>1010</v>
      </c>
      <c r="G2641" s="72" t="s">
        <v>585</v>
      </c>
      <c r="H2641" s="296" t="s">
        <v>1642</v>
      </c>
      <c r="I2641" s="371"/>
      <c r="J2641" s="377"/>
      <c r="K2641" s="371"/>
      <c r="L2641" s="377"/>
      <c r="M2641" s="74">
        <v>387000</v>
      </c>
      <c r="N2641" s="75" t="s">
        <v>536</v>
      </c>
      <c r="O2641" s="934" t="s">
        <v>43</v>
      </c>
      <c r="P2641" s="75" t="str">
        <f>IF(AND('331-CT'!$E$7=TH!H2641,OR(N2641="331",O2641="331")),"x","")</f>
        <v/>
      </c>
      <c r="Q2641" s="75" t="str">
        <f>IF(AND(B2641='111'!$L$11,OR($N2641=$Q$7,$O2641=$Q$7)),"x","")</f>
        <v/>
      </c>
      <c r="R2641" s="75" t="str">
        <f>IF(AND($N2641=$Q$7,$B2641&lt;'111'!$L$11),"x","")</f>
        <v/>
      </c>
      <c r="S2641" s="75" t="str">
        <f>IF(AND($O2641=$Q$7,$B2641&lt;'111'!$L$11),"x","")</f>
        <v/>
      </c>
      <c r="T2641" s="75" t="str">
        <f>IF(ISERROR(FIND('112'!$M$9,G2641,1)),"",IF((AND(FIND('112'!$M$9,G2641,1)&gt;=1,B2641='112'!$K$9,OR($N2641='112'!$I$6,$O2641='112'!$I$6))),"x",""))</f>
        <v/>
      </c>
      <c r="U2641" s="75" t="str">
        <f>IF(ISERROR(FIND('112'!$M$9,G2641,1)),"",IF((AND(LEFT(G2641,2)=LEFT('112'!$M$9,2),B2641&lt;'112'!$K$9,$N2641='112'!$I$6)),"x",""))</f>
        <v/>
      </c>
      <c r="V2641" s="75" t="str">
        <f>IF(ISERROR(FIND('112'!$M$9,G2641,1)),"",IF((AND(RIGHT(G2641,2)=RIGHT('112'!$M$9,2),B2641&lt;'112'!$K$9,$O2641='112'!$I$6)),"x",""))</f>
        <v/>
      </c>
      <c r="W2641" s="75" t="str">
        <f>IF(AND('341-CT'!$H$9=H2641,OR(LEFT(N2641,3)=$W$7,LEFT(O2641,3)=$W$7)),"x","")</f>
        <v/>
      </c>
      <c r="X2641" s="75" t="str">
        <f>IF(OR(TH!N2641=TH!$X$7,O2641=TH!$X$7),"x","")</f>
        <v/>
      </c>
      <c r="Y2641" s="75" t="str">
        <f>IF(AND(OR(N2641="131",O2641="131"),H2641='131-CT'!$H$9),"x","")</f>
        <v/>
      </c>
      <c r="Z2641" s="75"/>
      <c r="AA2641" s="75" t="str">
        <f>IF(AND(MONTH(E2641)='IN-NX'!$J$5,'IN-NX'!$D$7=D2641),"x","")</f>
        <v/>
      </c>
      <c r="AB2641" s="75" t="str">
        <f>IF(AND(OR(LEFT(TH!N2641,2)="15",LEFT(TH!O2641,2)="15"),LEFT(TH!O2641,3)&lt;&gt;"111",'152-CT'!$J$8=TH!F2641),"x","")</f>
        <v/>
      </c>
      <c r="AC2641" s="75" t="str">
        <f>IF(AND(OR(LEFT(TH!N2641,2)="15",LEFT(TH!O2641,2)="15"),TK!$E$7=TH!F2641),"x","")</f>
        <v/>
      </c>
      <c r="AD2641" s="75" t="str">
        <f>IF(AND(N2641="1521",MONTH(C2641)='BK-NL'!$M$11),"x","")</f>
        <v/>
      </c>
    </row>
    <row r="2642" spans="1:33" s="1264" customFormat="1" ht="16.5" customHeight="1">
      <c r="A2642" s="309" t="str">
        <f>IF(B2642&lt;&gt;"",IF(AND(B2642='IN-TC'!$S$4,OR(TH!N2642="1111",TH!O2642="1111")),TH!D2642,""),"")</f>
        <v/>
      </c>
      <c r="B2642" s="1277">
        <f t="shared" si="939"/>
        <v>7</v>
      </c>
      <c r="C2642" s="71">
        <v>42941</v>
      </c>
      <c r="D2642" s="71" t="s">
        <v>902</v>
      </c>
      <c r="E2642" s="71">
        <f t="shared" si="937"/>
        <v>42941</v>
      </c>
      <c r="F2642" s="73" t="s">
        <v>919</v>
      </c>
      <c r="G2642" s="72" t="s">
        <v>585</v>
      </c>
      <c r="H2642" s="296" t="s">
        <v>845</v>
      </c>
      <c r="I2642" s="371"/>
      <c r="J2642" s="377"/>
      <c r="K2642" s="371">
        <v>3</v>
      </c>
      <c r="L2642" s="377">
        <v>22725</v>
      </c>
      <c r="M2642" s="74">
        <f t="shared" ref="M2642:M2650" si="940">ROUND(K2642*L2642,0)</f>
        <v>68175</v>
      </c>
      <c r="N2642" s="75" t="s">
        <v>101</v>
      </c>
      <c r="O2642" s="934" t="s">
        <v>256</v>
      </c>
      <c r="P2642" s="75" t="str">
        <f>IF(AND('331-CT'!$E$7=TH!H2642,OR(N2642="331",O2642="331")),"x","")</f>
        <v/>
      </c>
      <c r="Q2642" s="75" t="str">
        <f>IF(AND(B2642='111'!$L$11,OR($N2642=$Q$7,$O2642=$Q$7)),"x","")</f>
        <v/>
      </c>
      <c r="R2642" s="75" t="str">
        <f>IF(AND($N2642=$Q$7,$B2642&lt;'111'!$L$11),"x","")</f>
        <v/>
      </c>
      <c r="S2642" s="75" t="str">
        <f>IF(AND($O2642=$Q$7,$B2642&lt;'111'!$L$11),"x","")</f>
        <v/>
      </c>
      <c r="T2642" s="75" t="str">
        <f>IF(ISERROR(FIND('112'!$M$9,G2642,1)),"",IF((AND(FIND('112'!$M$9,G2642,1)&gt;=1,B2642='112'!$K$9,OR($N2642='112'!$I$6,$O2642='112'!$I$6))),"x",""))</f>
        <v/>
      </c>
      <c r="U2642" s="75" t="str">
        <f>IF(ISERROR(FIND('112'!$M$9,G2642,1)),"",IF((AND(LEFT(G2642,2)=LEFT('112'!$M$9,2),B2642&lt;'112'!$K$9,$N2642='112'!$I$6)),"x",""))</f>
        <v/>
      </c>
      <c r="V2642" s="75" t="str">
        <f>IF(ISERROR(FIND('112'!$M$9,G2642,1)),"",IF((AND(RIGHT(G2642,2)=RIGHT('112'!$M$9,2),B2642&lt;'112'!$K$9,$O2642='112'!$I$6)),"x",""))</f>
        <v/>
      </c>
      <c r="W2642" s="75" t="str">
        <f>IF(AND('341-CT'!$H$9=H2642,OR(LEFT(N2642,3)=$W$7,LEFT(O2642,3)=$W$7)),"x","")</f>
        <v/>
      </c>
      <c r="X2642" s="75" t="str">
        <f>IF(OR(TH!N2642=TH!$X$7,O2642=TH!$X$7),"x","")</f>
        <v/>
      </c>
      <c r="Y2642" s="75" t="str">
        <f>IF(AND(OR(N2642="131",O2642="131"),H2642='131-CT'!$H$9),"x","")</f>
        <v/>
      </c>
      <c r="Z2642" s="75"/>
      <c r="AA2642" s="75" t="str">
        <f>IF(AND(MONTH(E2642)='IN-NX'!$J$5,'IN-NX'!$D$7=D2642),"x","")</f>
        <v/>
      </c>
      <c r="AB2642" s="75" t="str">
        <f>IF(AND(OR(LEFT(TH!N2642,2)="15",LEFT(TH!O2642,2)="15"),LEFT(TH!O2642,3)&lt;&gt;"111",'152-CT'!$J$8=TH!F2642),"x","")</f>
        <v/>
      </c>
      <c r="AC2642" s="75" t="str">
        <f>IF(AND(OR(LEFT(TH!N2642,2)="15",LEFT(TH!O2642,2)="15"),TK!$E$7=TH!F2642),"x","")</f>
        <v/>
      </c>
      <c r="AD2642" s="75" t="str">
        <f>IF(AND(N2642="1521",MONTH(C2642)='BK-NL'!$M$11),"x","")</f>
        <v/>
      </c>
    </row>
    <row r="2643" spans="1:33" s="1264" customFormat="1" ht="16.5" customHeight="1">
      <c r="A2643" s="309" t="str">
        <f>IF(B2643&lt;&gt;"",IF(AND(B2643='IN-TC'!$S$4,OR(TH!N2643="1111",TH!O2643="1111")),TH!D2643,""),"")</f>
        <v/>
      </c>
      <c r="B2643" s="1277">
        <f t="shared" si="939"/>
        <v>7</v>
      </c>
      <c r="C2643" s="71">
        <v>42941</v>
      </c>
      <c r="D2643" s="71" t="s">
        <v>902</v>
      </c>
      <c r="E2643" s="71">
        <f t="shared" si="937"/>
        <v>42941</v>
      </c>
      <c r="F2643" s="73" t="s">
        <v>920</v>
      </c>
      <c r="G2643" s="72" t="s">
        <v>585</v>
      </c>
      <c r="H2643" s="296" t="s">
        <v>845</v>
      </c>
      <c r="I2643" s="371"/>
      <c r="J2643" s="377"/>
      <c r="K2643" s="371">
        <v>0.3</v>
      </c>
      <c r="L2643" s="377">
        <v>22725</v>
      </c>
      <c r="M2643" s="74">
        <f t="shared" si="940"/>
        <v>6818</v>
      </c>
      <c r="N2643" s="75" t="s">
        <v>9</v>
      </c>
      <c r="O2643" s="934" t="s">
        <v>256</v>
      </c>
      <c r="P2643" s="75" t="str">
        <f>IF(AND('331-CT'!$E$7=TH!H2643,OR(N2643="331",O2643="331")),"x","")</f>
        <v/>
      </c>
      <c r="Q2643" s="75" t="str">
        <f>IF(AND(B2643='111'!$L$11,OR($N2643=$Q$7,$O2643=$Q$7)),"x","")</f>
        <v/>
      </c>
      <c r="R2643" s="75" t="str">
        <f>IF(AND($N2643=$Q$7,$B2643&lt;'111'!$L$11),"x","")</f>
        <v/>
      </c>
      <c r="S2643" s="75" t="str">
        <f>IF(AND($O2643=$Q$7,$B2643&lt;'111'!$L$11),"x","")</f>
        <v/>
      </c>
      <c r="T2643" s="75" t="str">
        <f>IF(ISERROR(FIND('112'!$M$9,G2643,1)),"",IF((AND(FIND('112'!$M$9,G2643,1)&gt;=1,B2643='112'!$K$9,OR($N2643='112'!$I$6,$O2643='112'!$I$6))),"x",""))</f>
        <v/>
      </c>
      <c r="U2643" s="75" t="str">
        <f>IF(ISERROR(FIND('112'!$M$9,G2643,1)),"",IF((AND(LEFT(G2643,2)=LEFT('112'!$M$9,2),B2643&lt;'112'!$K$9,$N2643='112'!$I$6)),"x",""))</f>
        <v/>
      </c>
      <c r="V2643" s="75" t="str">
        <f>IF(ISERROR(FIND('112'!$M$9,G2643,1)),"",IF((AND(RIGHT(G2643,2)=RIGHT('112'!$M$9,2),B2643&lt;'112'!$K$9,$O2643='112'!$I$6)),"x",""))</f>
        <v/>
      </c>
      <c r="W2643" s="75" t="str">
        <f>IF(AND('341-CT'!$H$9=H2643,OR(LEFT(N2643,3)=$W$7,LEFT(O2643,3)=$W$7)),"x","")</f>
        <v/>
      </c>
      <c r="X2643" s="75" t="str">
        <f>IF(OR(TH!N2643=TH!$X$7,O2643=TH!$X$7),"x","")</f>
        <v/>
      </c>
      <c r="Y2643" s="75" t="str">
        <f>IF(AND(OR(N2643="131",O2643="131"),H2643='131-CT'!$H$9),"x","")</f>
        <v/>
      </c>
      <c r="Z2643" s="75"/>
      <c r="AA2643" s="75" t="str">
        <f>IF(AND(MONTH(E2643)='IN-NX'!$J$5,'IN-NX'!$D$7=D2643),"x","")</f>
        <v/>
      </c>
      <c r="AB2643" s="75" t="str">
        <f>IF(AND(OR(LEFT(TH!N2643,2)="15",LEFT(TH!O2643,2)="15"),LEFT(TH!O2643,3)&lt;&gt;"111",'152-CT'!$J$8=TH!F2643),"x","")</f>
        <v/>
      </c>
      <c r="AC2643" s="75" t="str">
        <f>IF(AND(OR(LEFT(TH!N2643,2)="15",LEFT(TH!O2643,2)="15"),TK!$E$7=TH!F2643),"x","")</f>
        <v/>
      </c>
      <c r="AD2643" s="75" t="str">
        <f>IF(AND(N2643="1521",MONTH(C2643)='BK-NL'!$M$11),"x","")</f>
        <v/>
      </c>
      <c r="AE2643" s="1264">
        <v>7</v>
      </c>
      <c r="AG2643" s="1264">
        <f>ROUND(K2643*L2643,0)</f>
        <v>6818</v>
      </c>
    </row>
    <row r="2644" spans="1:33" s="1264" customFormat="1" ht="16.5" customHeight="1">
      <c r="A2644" s="309" t="str">
        <f>IF(B2644&lt;&gt;"",IF(AND(B2644='IN-TC'!$S$4,OR(TH!N2644="1111",TH!O2644="1111")),TH!D2644,""),"")</f>
        <v/>
      </c>
      <c r="B2644" s="1277">
        <f t="shared" si="939"/>
        <v>7</v>
      </c>
      <c r="C2644" s="71">
        <v>42941</v>
      </c>
      <c r="D2644" s="71" t="s">
        <v>902</v>
      </c>
      <c r="E2644" s="71">
        <f t="shared" si="937"/>
        <v>42941</v>
      </c>
      <c r="F2644" s="73" t="s">
        <v>919</v>
      </c>
      <c r="G2644" s="72" t="s">
        <v>585</v>
      </c>
      <c r="H2644" s="296" t="s">
        <v>845</v>
      </c>
      <c r="I2644" s="371"/>
      <c r="J2644" s="377"/>
      <c r="K2644" s="371">
        <v>3</v>
      </c>
      <c r="L2644" s="377">
        <v>22725</v>
      </c>
      <c r="M2644" s="74">
        <f t="shared" si="940"/>
        <v>68175</v>
      </c>
      <c r="N2644" s="75" t="s">
        <v>101</v>
      </c>
      <c r="O2644" s="934" t="s">
        <v>256</v>
      </c>
      <c r="P2644" s="75" t="str">
        <f>IF(AND('331-CT'!$E$7=TH!H2644,OR(N2644="331",O2644="331")),"x","")</f>
        <v/>
      </c>
      <c r="Q2644" s="75" t="str">
        <f>IF(AND(B2644='111'!$L$11,OR($N2644=$Q$7,$O2644=$Q$7)),"x","")</f>
        <v/>
      </c>
      <c r="R2644" s="75" t="str">
        <f>IF(AND($N2644=$Q$7,$B2644&lt;'111'!$L$11),"x","")</f>
        <v/>
      </c>
      <c r="S2644" s="75" t="str">
        <f>IF(AND($O2644=$Q$7,$B2644&lt;'111'!$L$11),"x","")</f>
        <v/>
      </c>
      <c r="T2644" s="75" t="str">
        <f>IF(ISERROR(FIND('112'!$M$9,G2644,1)),"",IF((AND(FIND('112'!$M$9,G2644,1)&gt;=1,B2644='112'!$K$9,OR($N2644='112'!$I$6,$O2644='112'!$I$6))),"x",""))</f>
        <v/>
      </c>
      <c r="U2644" s="75" t="str">
        <f>IF(ISERROR(FIND('112'!$M$9,G2644,1)),"",IF((AND(LEFT(G2644,2)=LEFT('112'!$M$9,2),B2644&lt;'112'!$K$9,$N2644='112'!$I$6)),"x",""))</f>
        <v/>
      </c>
      <c r="V2644" s="75" t="str">
        <f>IF(ISERROR(FIND('112'!$M$9,G2644,1)),"",IF((AND(RIGHT(G2644,2)=RIGHT('112'!$M$9,2),B2644&lt;'112'!$K$9,$O2644='112'!$I$6)),"x",""))</f>
        <v/>
      </c>
      <c r="W2644" s="75" t="str">
        <f>IF(AND('341-CT'!$H$9=H2644,OR(LEFT(N2644,3)=$W$7,LEFT(O2644,3)=$W$7)),"x","")</f>
        <v/>
      </c>
      <c r="X2644" s="75" t="str">
        <f>IF(OR(TH!N2644=TH!$X$7,O2644=TH!$X$7),"x","")</f>
        <v/>
      </c>
      <c r="Y2644" s="75" t="str">
        <f>IF(AND(OR(N2644="131",O2644="131"),H2644='131-CT'!$H$9),"x","")</f>
        <v/>
      </c>
      <c r="Z2644" s="75"/>
      <c r="AA2644" s="75" t="str">
        <f>IF(AND(MONTH(E2644)='IN-NX'!$J$5,'IN-NX'!$D$7=D2644),"x","")</f>
        <v/>
      </c>
      <c r="AB2644" s="75" t="str">
        <f>IF(AND(OR(LEFT(TH!N2644,2)="15",LEFT(TH!O2644,2)="15"),LEFT(TH!O2644,3)&lt;&gt;"111",'152-CT'!$J$8=TH!F2644),"x","")</f>
        <v/>
      </c>
      <c r="AC2644" s="75" t="str">
        <f>IF(AND(OR(LEFT(TH!N2644,2)="15",LEFT(TH!O2644,2)="15"),TK!$E$7=TH!F2644),"x","")</f>
        <v/>
      </c>
      <c r="AD2644" s="75" t="str">
        <f>IF(AND(N2644="1521",MONTH(C2644)='BK-NL'!$M$11),"x","")</f>
        <v/>
      </c>
    </row>
    <row r="2645" spans="1:33" s="1264" customFormat="1" ht="16.5" customHeight="1">
      <c r="A2645" s="309" t="str">
        <f>IF(B2645&lt;&gt;"",IF(AND(B2645='IN-TC'!$S$4,OR(TH!N2645="1111",TH!O2645="1111")),TH!D2645,""),"")</f>
        <v/>
      </c>
      <c r="B2645" s="1277">
        <f t="shared" si="939"/>
        <v>7</v>
      </c>
      <c r="C2645" s="71">
        <v>42941</v>
      </c>
      <c r="D2645" s="71" t="s">
        <v>902</v>
      </c>
      <c r="E2645" s="71">
        <f t="shared" si="937"/>
        <v>42941</v>
      </c>
      <c r="F2645" s="73" t="s">
        <v>920</v>
      </c>
      <c r="G2645" s="72" t="s">
        <v>585</v>
      </c>
      <c r="H2645" s="296" t="s">
        <v>845</v>
      </c>
      <c r="I2645" s="371"/>
      <c r="J2645" s="377"/>
      <c r="K2645" s="371">
        <v>0.3</v>
      </c>
      <c r="L2645" s="377">
        <v>22725</v>
      </c>
      <c r="M2645" s="74">
        <f t="shared" si="940"/>
        <v>6818</v>
      </c>
      <c r="N2645" s="75" t="s">
        <v>9</v>
      </c>
      <c r="O2645" s="934" t="s">
        <v>256</v>
      </c>
      <c r="P2645" s="75" t="str">
        <f>IF(AND('331-CT'!$E$7=TH!H2645,OR(N2645="331",O2645="331")),"x","")</f>
        <v/>
      </c>
      <c r="Q2645" s="75" t="str">
        <f>IF(AND(B2645='111'!$L$11,OR($N2645=$Q$7,$O2645=$Q$7)),"x","")</f>
        <v/>
      </c>
      <c r="R2645" s="75" t="str">
        <f>IF(AND($N2645=$Q$7,$B2645&lt;'111'!$L$11),"x","")</f>
        <v/>
      </c>
      <c r="S2645" s="75" t="str">
        <f>IF(AND($O2645=$Q$7,$B2645&lt;'111'!$L$11),"x","")</f>
        <v/>
      </c>
      <c r="T2645" s="75" t="str">
        <f>IF(ISERROR(FIND('112'!$M$9,G2645,1)),"",IF((AND(FIND('112'!$M$9,G2645,1)&gt;=1,B2645='112'!$K$9,OR($N2645='112'!$I$6,$O2645='112'!$I$6))),"x",""))</f>
        <v/>
      </c>
      <c r="U2645" s="75" t="str">
        <f>IF(ISERROR(FIND('112'!$M$9,G2645,1)),"",IF((AND(LEFT(G2645,2)=LEFT('112'!$M$9,2),B2645&lt;'112'!$K$9,$N2645='112'!$I$6)),"x",""))</f>
        <v/>
      </c>
      <c r="V2645" s="75" t="str">
        <f>IF(ISERROR(FIND('112'!$M$9,G2645,1)),"",IF((AND(RIGHT(G2645,2)=RIGHT('112'!$M$9,2),B2645&lt;'112'!$K$9,$O2645='112'!$I$6)),"x",""))</f>
        <v/>
      </c>
      <c r="W2645" s="75" t="str">
        <f>IF(AND('341-CT'!$H$9=H2645,OR(LEFT(N2645,3)=$W$7,LEFT(O2645,3)=$W$7)),"x","")</f>
        <v/>
      </c>
      <c r="X2645" s="75" t="str">
        <f>IF(OR(TH!N2645=TH!$X$7,O2645=TH!$X$7),"x","")</f>
        <v/>
      </c>
      <c r="Y2645" s="75" t="str">
        <f>IF(AND(OR(N2645="131",O2645="131"),H2645='131-CT'!$H$9),"x","")</f>
        <v/>
      </c>
      <c r="Z2645" s="75"/>
      <c r="AA2645" s="75" t="str">
        <f>IF(AND(MONTH(E2645)='IN-NX'!$J$5,'IN-NX'!$D$7=D2645),"x","")</f>
        <v/>
      </c>
      <c r="AB2645" s="75" t="str">
        <f>IF(AND(OR(LEFT(TH!N2645,2)="15",LEFT(TH!O2645,2)="15"),LEFT(TH!O2645,3)&lt;&gt;"111",'152-CT'!$J$8=TH!F2645),"x","")</f>
        <v/>
      </c>
      <c r="AC2645" s="75" t="str">
        <f>IF(AND(OR(LEFT(TH!N2645,2)="15",LEFT(TH!O2645,2)="15"),TK!$E$7=TH!F2645),"x","")</f>
        <v/>
      </c>
      <c r="AD2645" s="75" t="str">
        <f>IF(AND(N2645="1521",MONTH(C2645)='BK-NL'!$M$11),"x","")</f>
        <v/>
      </c>
      <c r="AE2645" s="1264">
        <v>7</v>
      </c>
      <c r="AG2645" s="1264">
        <f>ROUND(K2645*L2645,0)</f>
        <v>6818</v>
      </c>
    </row>
    <row r="2646" spans="1:33" s="1264" customFormat="1" ht="16.5" customHeight="1">
      <c r="A2646" s="309" t="str">
        <f>IF(B2646&lt;&gt;"",IF(AND(B2646='IN-TC'!$S$4,OR(TH!N2646="1111",TH!O2646="1111")),TH!D2646,""),"")</f>
        <v/>
      </c>
      <c r="B2646" s="1282">
        <f t="shared" si="939"/>
        <v>11</v>
      </c>
      <c r="C2646" s="71">
        <v>43045</v>
      </c>
      <c r="D2646" s="71" t="s">
        <v>902</v>
      </c>
      <c r="E2646" s="71">
        <f t="shared" ref="E2646:E2650" si="941">C2646</f>
        <v>43045</v>
      </c>
      <c r="F2646" s="73" t="s">
        <v>2786</v>
      </c>
      <c r="G2646" s="72" t="s">
        <v>585</v>
      </c>
      <c r="H2646" s="296" t="s">
        <v>845</v>
      </c>
      <c r="I2646" s="371"/>
      <c r="J2646" s="377"/>
      <c r="K2646" s="371">
        <v>578.5</v>
      </c>
      <c r="L2646" s="377">
        <v>22750</v>
      </c>
      <c r="M2646" s="74">
        <f t="shared" si="940"/>
        <v>13160875</v>
      </c>
      <c r="N2646" s="75" t="s">
        <v>101</v>
      </c>
      <c r="O2646" s="934" t="s">
        <v>256</v>
      </c>
      <c r="P2646" s="75" t="str">
        <f>IF(AND('331-CT'!$E$7=TH!H2646,OR(N2646="331",O2646="331")),"x","")</f>
        <v/>
      </c>
      <c r="Q2646" s="75" t="str">
        <f>IF(AND(B2646='111'!$L$11,OR($N2646=$Q$7,$O2646=$Q$7)),"x","")</f>
        <v/>
      </c>
      <c r="R2646" s="75" t="str">
        <f>IF(AND($N2646=$Q$7,$B2646&lt;'111'!$L$11),"x","")</f>
        <v/>
      </c>
      <c r="S2646" s="75" t="str">
        <f>IF(AND($O2646=$Q$7,$B2646&lt;'111'!$L$11),"x","")</f>
        <v/>
      </c>
      <c r="T2646" s="75" t="str">
        <f>IF(ISERROR(FIND('112'!$M$9,G2646,1)),"",IF((AND(FIND('112'!$M$9,G2646,1)&gt;=1,B2646='112'!$K$9,OR($N2646='112'!$I$6,$O2646='112'!$I$6))),"x",""))</f>
        <v/>
      </c>
      <c r="U2646" s="75" t="str">
        <f>IF(ISERROR(FIND('112'!$M$9,G2646,1)),"",IF((AND(LEFT(G2646,2)=LEFT('112'!$M$9,2),B2646&lt;'112'!$K$9,$N2646='112'!$I$6)),"x",""))</f>
        <v/>
      </c>
      <c r="V2646" s="75" t="str">
        <f>IF(ISERROR(FIND('112'!$M$9,G2646,1)),"",IF((AND(RIGHT(G2646,2)=RIGHT('112'!$M$9,2),B2646&lt;'112'!$K$9,$O2646='112'!$I$6)),"x",""))</f>
        <v/>
      </c>
      <c r="W2646" s="75" t="str">
        <f>IF(AND('341-CT'!$H$9=H2646,OR(LEFT(N2646,3)=$W$7,LEFT(O2646,3)=$W$7)),"x","")</f>
        <v/>
      </c>
      <c r="X2646" s="75" t="str">
        <f>IF(OR(TH!N2646=TH!$X$7,O2646=TH!$X$7),"x","")</f>
        <v/>
      </c>
      <c r="Y2646" s="75" t="str">
        <f>IF(AND(OR(N2646="131",O2646="131"),H2646='131-CT'!$H$9),"x","")</f>
        <v/>
      </c>
      <c r="Z2646" s="75"/>
      <c r="AA2646" s="75" t="str">
        <f>IF(AND(MONTH(E2646)='IN-NX'!$J$5,'IN-NX'!$D$7=D2646),"x","")</f>
        <v/>
      </c>
      <c r="AB2646" s="75" t="str">
        <f>IF(AND(OR(LEFT(TH!N2646,2)="15",LEFT(TH!O2646,2)="15"),LEFT(TH!O2646,3)&lt;&gt;"111",'152-CT'!$J$8=TH!F2646),"x","")</f>
        <v/>
      </c>
      <c r="AC2646" s="75" t="str">
        <f>IF(AND(OR(LEFT(TH!N2646,2)="15",LEFT(TH!O2646,2)="15"),TK!$E$7=TH!F2646),"x","")</f>
        <v/>
      </c>
      <c r="AD2646" s="75" t="str">
        <f>IF(AND(N2646="1521",MONTH(C2646)='BK-NL'!$M$11),"x","")</f>
        <v/>
      </c>
    </row>
    <row r="2647" spans="1:33" s="1264" customFormat="1" ht="16.5" customHeight="1">
      <c r="A2647" s="309" t="str">
        <f>IF(B2647&lt;&gt;"",IF(AND(B2647='IN-TC'!$S$4,OR(TH!N2647="1111",TH!O2647="1111")),TH!D2647,""),"")</f>
        <v/>
      </c>
      <c r="B2647" s="1282">
        <f t="shared" si="939"/>
        <v>11</v>
      </c>
      <c r="C2647" s="71">
        <v>43045</v>
      </c>
      <c r="D2647" s="71" t="s">
        <v>902</v>
      </c>
      <c r="E2647" s="71">
        <f t="shared" ref="E2647" si="942">C2647</f>
        <v>43045</v>
      </c>
      <c r="F2647" s="73" t="s">
        <v>1307</v>
      </c>
      <c r="G2647" s="72" t="s">
        <v>585</v>
      </c>
      <c r="H2647" s="296" t="s">
        <v>845</v>
      </c>
      <c r="I2647" s="371"/>
      <c r="J2647" s="377"/>
      <c r="K2647" s="371">
        <v>10</v>
      </c>
      <c r="L2647" s="377">
        <v>22750</v>
      </c>
      <c r="M2647" s="74">
        <f t="shared" si="940"/>
        <v>227500</v>
      </c>
      <c r="N2647" s="75" t="s">
        <v>101</v>
      </c>
      <c r="O2647" s="934" t="s">
        <v>256</v>
      </c>
      <c r="P2647" s="75" t="str">
        <f>IF(AND('331-CT'!$E$7=TH!H2647,OR(N2647="331",O2647="331")),"x","")</f>
        <v/>
      </c>
      <c r="Q2647" s="75" t="str">
        <f>IF(AND(B2647='111'!$L$11,OR($N2647=$Q$7,$O2647=$Q$7)),"x","")</f>
        <v/>
      </c>
      <c r="R2647" s="75" t="str">
        <f>IF(AND($N2647=$Q$7,$B2647&lt;'111'!$L$11),"x","")</f>
        <v/>
      </c>
      <c r="S2647" s="75" t="str">
        <f>IF(AND($O2647=$Q$7,$B2647&lt;'111'!$L$11),"x","")</f>
        <v/>
      </c>
      <c r="T2647" s="75" t="str">
        <f>IF(ISERROR(FIND('112'!$M$9,G2647,1)),"",IF((AND(FIND('112'!$M$9,G2647,1)&gt;=1,B2647='112'!$K$9,OR($N2647='112'!$I$6,$O2647='112'!$I$6))),"x",""))</f>
        <v/>
      </c>
      <c r="U2647" s="75" t="str">
        <f>IF(ISERROR(FIND('112'!$M$9,G2647,1)),"",IF((AND(LEFT(G2647,2)=LEFT('112'!$M$9,2),B2647&lt;'112'!$K$9,$N2647='112'!$I$6)),"x",""))</f>
        <v/>
      </c>
      <c r="V2647" s="75" t="str">
        <f>IF(ISERROR(FIND('112'!$M$9,G2647,1)),"",IF((AND(RIGHT(G2647,2)=RIGHT('112'!$M$9,2),B2647&lt;'112'!$K$9,$O2647='112'!$I$6)),"x",""))</f>
        <v/>
      </c>
      <c r="W2647" s="75" t="str">
        <f>IF(AND('341-CT'!$H$9=H2647,OR(LEFT(N2647,3)=$W$7,LEFT(O2647,3)=$W$7)),"x","")</f>
        <v/>
      </c>
      <c r="X2647" s="75" t="str">
        <f>IF(OR(TH!N2647=TH!$X$7,O2647=TH!$X$7),"x","")</f>
        <v/>
      </c>
      <c r="Y2647" s="75" t="str">
        <f>IF(AND(OR(N2647="131",O2647="131"),H2647='131-CT'!$H$9),"x","")</f>
        <v/>
      </c>
      <c r="Z2647" s="75"/>
      <c r="AA2647" s="75" t="str">
        <f>IF(AND(MONTH(E2647)='IN-NX'!$J$5,'IN-NX'!$D$7=D2647),"x","")</f>
        <v/>
      </c>
      <c r="AB2647" s="75" t="str">
        <f>IF(AND(OR(LEFT(TH!N2647,2)="15",LEFT(TH!O2647,2)="15"),LEFT(TH!O2647,3)&lt;&gt;"111",'152-CT'!$J$8=TH!F2647),"x","")</f>
        <v/>
      </c>
      <c r="AC2647" s="75" t="str">
        <f>IF(AND(OR(LEFT(TH!N2647,2)="15",LEFT(TH!O2647,2)="15"),TK!$E$7=TH!F2647),"x","")</f>
        <v/>
      </c>
      <c r="AD2647" s="75" t="str">
        <f>IF(AND(N2647="1521",MONTH(C2647)='BK-NL'!$M$11),"x","")</f>
        <v/>
      </c>
      <c r="AE2647" s="1264">
        <v>12</v>
      </c>
    </row>
    <row r="2648" spans="1:33" s="1264" customFormat="1" ht="16.5" customHeight="1">
      <c r="A2648" s="309" t="str">
        <f>IF(B2648&lt;&gt;"",IF(AND(B2648='IN-TC'!$S$4,OR(TH!N2648="1111",TH!O2648="1111")),TH!D2648,""),"")</f>
        <v/>
      </c>
      <c r="B2648" s="1282">
        <f t="shared" si="939"/>
        <v>11</v>
      </c>
      <c r="C2648" s="71">
        <v>43045</v>
      </c>
      <c r="D2648" s="71" t="s">
        <v>902</v>
      </c>
      <c r="E2648" s="71">
        <f t="shared" si="941"/>
        <v>43045</v>
      </c>
      <c r="F2648" s="73" t="s">
        <v>1314</v>
      </c>
      <c r="G2648" s="72" t="s">
        <v>585</v>
      </c>
      <c r="H2648" s="296" t="s">
        <v>845</v>
      </c>
      <c r="I2648" s="371"/>
      <c r="J2648" s="377"/>
      <c r="K2648" s="371">
        <v>1</v>
      </c>
      <c r="L2648" s="377">
        <v>22750</v>
      </c>
      <c r="M2648" s="74">
        <f t="shared" si="940"/>
        <v>22750</v>
      </c>
      <c r="N2648" s="75" t="s">
        <v>9</v>
      </c>
      <c r="O2648" s="934" t="s">
        <v>256</v>
      </c>
      <c r="P2648" s="75" t="str">
        <f>IF(AND('331-CT'!$E$7=TH!H2648,OR(N2648="331",O2648="331")),"x","")</f>
        <v/>
      </c>
      <c r="Q2648" s="75" t="str">
        <f>IF(AND(B2648='111'!$L$11,OR($N2648=$Q$7,$O2648=$Q$7)),"x","")</f>
        <v/>
      </c>
      <c r="R2648" s="75" t="str">
        <f>IF(AND($N2648=$Q$7,$B2648&lt;'111'!$L$11),"x","")</f>
        <v/>
      </c>
      <c r="S2648" s="75" t="str">
        <f>IF(AND($O2648=$Q$7,$B2648&lt;'111'!$L$11),"x","")</f>
        <v/>
      </c>
      <c r="T2648" s="75" t="str">
        <f>IF(ISERROR(FIND('112'!$M$9,G2648,1)),"",IF((AND(FIND('112'!$M$9,G2648,1)&gt;=1,B2648='112'!$K$9,OR($N2648='112'!$I$6,$O2648='112'!$I$6))),"x",""))</f>
        <v/>
      </c>
      <c r="U2648" s="75" t="str">
        <f>IF(ISERROR(FIND('112'!$M$9,G2648,1)),"",IF((AND(LEFT(G2648,2)=LEFT('112'!$M$9,2),B2648&lt;'112'!$K$9,$N2648='112'!$I$6)),"x",""))</f>
        <v/>
      </c>
      <c r="V2648" s="75" t="str">
        <f>IF(ISERROR(FIND('112'!$M$9,G2648,1)),"",IF((AND(RIGHT(G2648,2)=RIGHT('112'!$M$9,2),B2648&lt;'112'!$K$9,$O2648='112'!$I$6)),"x",""))</f>
        <v/>
      </c>
      <c r="W2648" s="75" t="str">
        <f>IF(AND('341-CT'!$H$9=H2648,OR(LEFT(N2648,3)=$W$7,LEFT(O2648,3)=$W$7)),"x","")</f>
        <v/>
      </c>
      <c r="X2648" s="75" t="str">
        <f>IF(OR(TH!N2648=TH!$X$7,O2648=TH!$X$7),"x","")</f>
        <v/>
      </c>
      <c r="Y2648" s="75" t="str">
        <f>IF(AND(OR(N2648="131",O2648="131"),H2648='131-CT'!$H$9),"x","")</f>
        <v/>
      </c>
      <c r="Z2648" s="75"/>
      <c r="AA2648" s="75" t="str">
        <f>IF(AND(MONTH(E2648)='IN-NX'!$J$5,'IN-NX'!$D$7=D2648),"x","")</f>
        <v/>
      </c>
      <c r="AB2648" s="75" t="str">
        <f>IF(AND(OR(LEFT(TH!N2648,2)="15",LEFT(TH!O2648,2)="15"),LEFT(TH!O2648,3)&lt;&gt;"111",'152-CT'!$J$8=TH!F2648),"x","")</f>
        <v/>
      </c>
      <c r="AC2648" s="75" t="str">
        <f>IF(AND(OR(LEFT(TH!N2648,2)="15",LEFT(TH!O2648,2)="15"),TK!$E$7=TH!F2648),"x","")</f>
        <v/>
      </c>
      <c r="AD2648" s="75" t="str">
        <f>IF(AND(N2648="1521",MONTH(C2648)='BK-NL'!$M$11),"x","")</f>
        <v/>
      </c>
      <c r="AE2648" s="1264">
        <v>12</v>
      </c>
    </row>
    <row r="2649" spans="1:33" s="1264" customFormat="1" ht="16.5" customHeight="1">
      <c r="A2649" s="309" t="str">
        <f>IF(B2649&lt;&gt;"",IF(AND(B2649='IN-TC'!$S$4,OR(TH!N2649="1111",TH!O2649="1111")),TH!D2649,""),"")</f>
        <v/>
      </c>
      <c r="B2649" s="1282">
        <f t="shared" si="939"/>
        <v>11</v>
      </c>
      <c r="C2649" s="71">
        <v>43045</v>
      </c>
      <c r="D2649" s="71" t="s">
        <v>902</v>
      </c>
      <c r="E2649" s="71">
        <f t="shared" si="941"/>
        <v>43045</v>
      </c>
      <c r="F2649" s="73" t="s">
        <v>2784</v>
      </c>
      <c r="G2649" s="72" t="s">
        <v>585</v>
      </c>
      <c r="H2649" s="296" t="s">
        <v>845</v>
      </c>
      <c r="I2649" s="371"/>
      <c r="J2649" s="377"/>
      <c r="K2649" s="371">
        <v>5</v>
      </c>
      <c r="L2649" s="377">
        <v>22750</v>
      </c>
      <c r="M2649" s="74">
        <f t="shared" si="940"/>
        <v>113750</v>
      </c>
      <c r="N2649" s="75" t="s">
        <v>101</v>
      </c>
      <c r="O2649" s="934" t="s">
        <v>256</v>
      </c>
      <c r="P2649" s="75" t="str">
        <f>IF(AND('331-CT'!$E$7=TH!H2649,OR(N2649="331",O2649="331")),"x","")</f>
        <v/>
      </c>
      <c r="Q2649" s="75" t="str">
        <f>IF(AND(B2649='111'!$L$11,OR($N2649=$Q$7,$O2649=$Q$7)),"x","")</f>
        <v/>
      </c>
      <c r="R2649" s="75" t="str">
        <f>IF(AND($N2649=$Q$7,$B2649&lt;'111'!$L$11),"x","")</f>
        <v/>
      </c>
      <c r="S2649" s="75" t="str">
        <f>IF(AND($O2649=$Q$7,$B2649&lt;'111'!$L$11),"x","")</f>
        <v/>
      </c>
      <c r="T2649" s="75" t="str">
        <f>IF(ISERROR(FIND('112'!$M$9,G2649,1)),"",IF((AND(FIND('112'!$M$9,G2649,1)&gt;=1,B2649='112'!$K$9,OR($N2649='112'!$I$6,$O2649='112'!$I$6))),"x",""))</f>
        <v/>
      </c>
      <c r="U2649" s="75" t="str">
        <f>IF(ISERROR(FIND('112'!$M$9,G2649,1)),"",IF((AND(LEFT(G2649,2)=LEFT('112'!$M$9,2),B2649&lt;'112'!$K$9,$N2649='112'!$I$6)),"x",""))</f>
        <v/>
      </c>
      <c r="V2649" s="75" t="str">
        <f>IF(ISERROR(FIND('112'!$M$9,G2649,1)),"",IF((AND(RIGHT(G2649,2)=RIGHT('112'!$M$9,2),B2649&lt;'112'!$K$9,$O2649='112'!$I$6)),"x",""))</f>
        <v/>
      </c>
      <c r="W2649" s="75" t="str">
        <f>IF(AND('341-CT'!$H$9=H2649,OR(LEFT(N2649,3)=$W$7,LEFT(O2649,3)=$W$7)),"x","")</f>
        <v/>
      </c>
      <c r="X2649" s="75" t="str">
        <f>IF(OR(TH!N2649=TH!$X$7,O2649=TH!$X$7),"x","")</f>
        <v/>
      </c>
      <c r="Y2649" s="75" t="str">
        <f>IF(AND(OR(N2649="131",O2649="131"),H2649='131-CT'!$H$9),"x","")</f>
        <v/>
      </c>
      <c r="Z2649" s="75"/>
      <c r="AA2649" s="75" t="str">
        <f>IF(AND(MONTH(E2649)='IN-NX'!$J$5,'IN-NX'!$D$7=D2649),"x","")</f>
        <v/>
      </c>
      <c r="AB2649" s="75" t="str">
        <f>IF(AND(OR(LEFT(TH!N2649,2)="15",LEFT(TH!O2649,2)="15"),LEFT(TH!O2649,3)&lt;&gt;"111",'152-CT'!$J$8=TH!F2649),"x","")</f>
        <v/>
      </c>
      <c r="AC2649" s="75" t="str">
        <f>IF(AND(OR(LEFT(TH!N2649,2)="15",LEFT(TH!O2649,2)="15"),TK!$E$7=TH!F2649),"x","")</f>
        <v/>
      </c>
      <c r="AD2649" s="75" t="str">
        <f>IF(AND(N2649="1521",MONTH(C2649)='BK-NL'!$M$11),"x","")</f>
        <v/>
      </c>
      <c r="AE2649" s="1264">
        <v>12</v>
      </c>
    </row>
    <row r="2650" spans="1:33" s="1264" customFormat="1" ht="16.5" customHeight="1">
      <c r="A2650" s="309" t="str">
        <f>IF(B2650&lt;&gt;"",IF(AND(B2650='IN-TC'!$S$4,OR(TH!N2650="1111",TH!O2650="1111")),TH!D2650,""),"")</f>
        <v/>
      </c>
      <c r="B2650" s="1282">
        <f t="shared" si="939"/>
        <v>11</v>
      </c>
      <c r="C2650" s="71">
        <v>43045</v>
      </c>
      <c r="D2650" s="71" t="s">
        <v>902</v>
      </c>
      <c r="E2650" s="71">
        <f t="shared" si="941"/>
        <v>43045</v>
      </c>
      <c r="F2650" s="73" t="s">
        <v>2785</v>
      </c>
      <c r="G2650" s="72" t="s">
        <v>585</v>
      </c>
      <c r="H2650" s="296" t="s">
        <v>845</v>
      </c>
      <c r="I2650" s="371"/>
      <c r="J2650" s="377"/>
      <c r="K2650" s="371">
        <v>0.5</v>
      </c>
      <c r="L2650" s="377">
        <v>22750</v>
      </c>
      <c r="M2650" s="74">
        <f t="shared" si="940"/>
        <v>11375</v>
      </c>
      <c r="N2650" s="75" t="s">
        <v>9</v>
      </c>
      <c r="O2650" s="934" t="s">
        <v>256</v>
      </c>
      <c r="P2650" s="75" t="str">
        <f>IF(AND('331-CT'!$E$7=TH!H2650,OR(N2650="331",O2650="331")),"x","")</f>
        <v/>
      </c>
      <c r="Q2650" s="75" t="str">
        <f>IF(AND(B2650='111'!$L$11,OR($N2650=$Q$7,$O2650=$Q$7)),"x","")</f>
        <v/>
      </c>
      <c r="R2650" s="75" t="str">
        <f>IF(AND($N2650=$Q$7,$B2650&lt;'111'!$L$11),"x","")</f>
        <v/>
      </c>
      <c r="S2650" s="75" t="str">
        <f>IF(AND($O2650=$Q$7,$B2650&lt;'111'!$L$11),"x","")</f>
        <v/>
      </c>
      <c r="T2650" s="75" t="str">
        <f>IF(ISERROR(FIND('112'!$M$9,G2650,1)),"",IF((AND(FIND('112'!$M$9,G2650,1)&gt;=1,B2650='112'!$K$9,OR($N2650='112'!$I$6,$O2650='112'!$I$6))),"x",""))</f>
        <v/>
      </c>
      <c r="U2650" s="75" t="str">
        <f>IF(ISERROR(FIND('112'!$M$9,G2650,1)),"",IF((AND(LEFT(G2650,2)=LEFT('112'!$M$9,2),B2650&lt;'112'!$K$9,$N2650='112'!$I$6)),"x",""))</f>
        <v/>
      </c>
      <c r="V2650" s="75" t="str">
        <f>IF(ISERROR(FIND('112'!$M$9,G2650,1)),"",IF((AND(RIGHT(G2650,2)=RIGHT('112'!$M$9,2),B2650&lt;'112'!$K$9,$O2650='112'!$I$6)),"x",""))</f>
        <v/>
      </c>
      <c r="W2650" s="75" t="str">
        <f>IF(AND('341-CT'!$H$9=H2650,OR(LEFT(N2650,3)=$W$7,LEFT(O2650,3)=$W$7)),"x","")</f>
        <v/>
      </c>
      <c r="X2650" s="75" t="str">
        <f>IF(OR(TH!N2650=TH!$X$7,O2650=TH!$X$7),"x","")</f>
        <v/>
      </c>
      <c r="Y2650" s="75" t="str">
        <f>IF(AND(OR(N2650="131",O2650="131"),H2650='131-CT'!$H$9),"x","")</f>
        <v/>
      </c>
      <c r="Z2650" s="75"/>
      <c r="AA2650" s="75" t="str">
        <f>IF(AND(MONTH(E2650)='IN-NX'!$J$5,'IN-NX'!$D$7=D2650),"x","")</f>
        <v/>
      </c>
      <c r="AB2650" s="75" t="str">
        <f>IF(AND(OR(LEFT(TH!N2650,2)="15",LEFT(TH!O2650,2)="15"),LEFT(TH!O2650,3)&lt;&gt;"111",'152-CT'!$J$8=TH!F2650),"x","")</f>
        <v/>
      </c>
      <c r="AC2650" s="75" t="str">
        <f>IF(AND(OR(LEFT(TH!N2650,2)="15",LEFT(TH!O2650,2)="15"),TK!$E$7=TH!F2650),"x","")</f>
        <v/>
      </c>
      <c r="AD2650" s="75" t="str">
        <f>IF(AND(N2650="1521",MONTH(C2650)='BK-NL'!$M$11),"x","")</f>
        <v/>
      </c>
      <c r="AE2650" s="1264">
        <v>12</v>
      </c>
    </row>
    <row r="2651" spans="1:33" s="1264" customFormat="1" ht="16.5" customHeight="1">
      <c r="A2651" s="309" t="str">
        <f>IF(B2651&lt;&gt;"",IF(AND(B2651='IN-TC'!$S$4,OR(TH!N2651="1111",TH!O2651="1111")),TH!D2651,""),"")</f>
        <v/>
      </c>
      <c r="B2651" s="1311">
        <f t="shared" ref="B2651:B2714" si="943">IF(C2651&lt;&gt;"",MONTH(C2651),"")</f>
        <v>1</v>
      </c>
      <c r="C2651" s="71">
        <v>42740</v>
      </c>
      <c r="D2651" s="71" t="s">
        <v>902</v>
      </c>
      <c r="E2651" s="929">
        <v>42740</v>
      </c>
      <c r="F2651" s="72" t="s">
        <v>1096</v>
      </c>
      <c r="G2651" s="72" t="s">
        <v>747</v>
      </c>
      <c r="H2651" s="735" t="s">
        <v>835</v>
      </c>
      <c r="I2651" s="371"/>
      <c r="J2651" s="932"/>
      <c r="K2651" s="371">
        <v>103.84</v>
      </c>
      <c r="L2651" s="377">
        <v>22500</v>
      </c>
      <c r="M2651" s="74">
        <f t="shared" ref="M2651" si="944">ROUND(K2651*L2651,0)</f>
        <v>2336400</v>
      </c>
      <c r="N2651" s="934" t="s">
        <v>99</v>
      </c>
      <c r="O2651" s="934" t="s">
        <v>256</v>
      </c>
      <c r="P2651" s="75" t="str">
        <f>IF(AND('331-CT'!$E$7=TH!H2651,OR(N2651="331",O2651="331")),"x","")</f>
        <v/>
      </c>
      <c r="Q2651" s="75" t="str">
        <f>IF(AND(B2651='111'!$L$11,OR($N2651=$Q$7,$O2651=$Q$7)),"x","")</f>
        <v/>
      </c>
      <c r="R2651" s="75" t="str">
        <f>IF(AND($N2651=$Q$7,$B2651&lt;'111'!$L$11),"x","")</f>
        <v/>
      </c>
      <c r="S2651" s="75" t="str">
        <f>IF(AND($O2651=$Q$7,$B2651&lt;'111'!$L$11),"x","")</f>
        <v/>
      </c>
      <c r="T2651" s="75" t="str">
        <f>IF(ISERROR(FIND('112'!$M$9,G2651,1)),"",IF((AND(FIND('112'!$M$9,G2651,1)&gt;=1,B2651='112'!$K$9,OR($N2651='112'!$I$6,$O2651='112'!$I$6))),"x",""))</f>
        <v/>
      </c>
      <c r="U2651" s="75" t="str">
        <f>IF(ISERROR(FIND('112'!$M$9,G2651,1)),"",IF((AND(LEFT(G2651,2)=LEFT('112'!$M$9,2),B2651&lt;'112'!$K$9,$N2651='112'!$I$6)),"x",""))</f>
        <v/>
      </c>
      <c r="V2651" s="75" t="str">
        <f>IF(ISERROR(FIND('112'!$M$9,G2651,1)),"",IF((AND(RIGHT(G2651,2)=RIGHT('112'!$M$9,2),B2651&lt;'112'!$K$9,$O2651='112'!$I$6)),"x",""))</f>
        <v/>
      </c>
      <c r="W2651" s="75" t="str">
        <f>IF(AND('341-CT'!$H$9=H2651,OR(LEFT(N2651,3)=$W$7,LEFT(O2651,3)=$W$7)),"x","")</f>
        <v/>
      </c>
      <c r="X2651" s="75" t="str">
        <f>IF(OR(TH!N2651=TH!$X$7,O2651=TH!$X$7),"x","")</f>
        <v/>
      </c>
      <c r="Y2651" s="75" t="str">
        <f>IF(AND(OR(N2651="131",O2651="131"),H2651='131-CT'!$H$9),"x","")</f>
        <v/>
      </c>
      <c r="Z2651" s="75"/>
      <c r="AA2651" s="75" t="str">
        <f>IF(AND(MONTH(E2651)='IN-NX'!$J$5,'IN-NX'!$D$7=D2651),"x","")</f>
        <v/>
      </c>
      <c r="AB2651" s="75" t="str">
        <f>IF(AND(OR(LEFT(TH!N2651,2)="15",LEFT(TH!O2651,2)="15"),LEFT(TH!O2651,3)&lt;&gt;"111",'152-CT'!$J$8=TH!F2651),"x","")</f>
        <v/>
      </c>
      <c r="AC2651" s="75" t="str">
        <f>IF(AND(OR(LEFT(TH!N2651,2)="15",LEFT(TH!O2651,2)="15"),TK!$E$7=TH!F2651),"x","")</f>
        <v/>
      </c>
      <c r="AD2651" s="75" t="str">
        <f>IF(AND(N2651="1521",MONTH(C2651)='BK-NL'!$M$11),"x","")</f>
        <v/>
      </c>
    </row>
    <row r="2652" spans="1:33" s="1264" customFormat="1" ht="16.5" customHeight="1">
      <c r="A2652" s="309" t="str">
        <f>IF(B2652&lt;&gt;"",IF(AND(B2652='IN-TC'!$S$4,OR(TH!N2652="1111",TH!O2652="1111")),TH!D2652,""),"")</f>
        <v/>
      </c>
      <c r="B2652" s="1311">
        <f t="shared" si="943"/>
        <v>1</v>
      </c>
      <c r="C2652" s="71">
        <v>42740</v>
      </c>
      <c r="D2652" s="71" t="s">
        <v>902</v>
      </c>
      <c r="E2652" s="929">
        <v>42740</v>
      </c>
      <c r="F2652" s="72" t="s">
        <v>1321</v>
      </c>
      <c r="G2652" s="72" t="s">
        <v>747</v>
      </c>
      <c r="H2652" s="1184" t="s">
        <v>756</v>
      </c>
      <c r="I2652" s="371"/>
      <c r="J2652" s="932"/>
      <c r="K2652" s="371">
        <v>76.510000000000005</v>
      </c>
      <c r="L2652" s="377">
        <v>22500</v>
      </c>
      <c r="M2652" s="74">
        <f t="shared" ref="M2652:M2654" si="945">ROUND(K2652*L2652,0)</f>
        <v>1721475</v>
      </c>
      <c r="N2652" s="934" t="s">
        <v>250</v>
      </c>
      <c r="O2652" s="934" t="s">
        <v>256</v>
      </c>
      <c r="P2652" s="75" t="str">
        <f>IF(AND('331-CT'!$E$7=TH!H2652,OR(N2652="331",O2652="331")),"x","")</f>
        <v/>
      </c>
      <c r="Q2652" s="75" t="str">
        <f>IF(AND(B2652='111'!$L$11,OR($N2652=$Q$7,$O2652=$Q$7)),"x","")</f>
        <v/>
      </c>
      <c r="R2652" s="75" t="str">
        <f>IF(AND($N2652=$Q$7,$B2652&lt;'111'!$L$11),"x","")</f>
        <v/>
      </c>
      <c r="S2652" s="75" t="str">
        <f>IF(AND($O2652=$Q$7,$B2652&lt;'111'!$L$11),"x","")</f>
        <v/>
      </c>
      <c r="T2652" s="75" t="str">
        <f>IF(ISERROR(FIND('112'!$M$9,G2652,1)),"",IF((AND(FIND('112'!$M$9,G2652,1)&gt;=1,B2652='112'!$K$9,OR($N2652='112'!$I$6,$O2652='112'!$I$6))),"x",""))</f>
        <v/>
      </c>
      <c r="U2652" s="75" t="str">
        <f>IF(ISERROR(FIND('112'!$M$9,G2652,1)),"",IF((AND(LEFT(G2652,2)=LEFT('112'!$M$9,2),B2652&lt;'112'!$K$9,$N2652='112'!$I$6)),"x",""))</f>
        <v/>
      </c>
      <c r="V2652" s="75" t="str">
        <f>IF(ISERROR(FIND('112'!$M$9,G2652,1)),"",IF((AND(RIGHT(G2652,2)=RIGHT('112'!$M$9,2),B2652&lt;'112'!$K$9,$O2652='112'!$I$6)),"x",""))</f>
        <v/>
      </c>
      <c r="W2652" s="75" t="str">
        <f>IF(AND('341-CT'!$H$9=H2652,OR(LEFT(N2652,3)=$W$7,LEFT(O2652,3)=$W$7)),"x","")</f>
        <v/>
      </c>
      <c r="X2652" s="75" t="str">
        <f>IF(OR(TH!N2652=TH!$X$7,O2652=TH!$X$7),"x","")</f>
        <v/>
      </c>
      <c r="Y2652" s="75" t="str">
        <f>IF(AND(OR(N2652="131",O2652="131"),H2652='131-CT'!$H$9),"x","")</f>
        <v/>
      </c>
      <c r="Z2652" s="75"/>
      <c r="AA2652" s="75" t="str">
        <f>IF(AND(MONTH(E2652)='IN-NX'!$J$5,'IN-NX'!$D$7=D2652),"x","")</f>
        <v/>
      </c>
      <c r="AB2652" s="75" t="str">
        <f>IF(AND(OR(LEFT(TH!N2652,2)="15",LEFT(TH!O2652,2)="15"),LEFT(TH!O2652,3)&lt;&gt;"111",'152-CT'!$J$8=TH!F2652),"x","")</f>
        <v/>
      </c>
      <c r="AC2652" s="75" t="str">
        <f>IF(AND(OR(LEFT(TH!N2652,2)="15",LEFT(TH!O2652,2)="15"),TK!$E$7=TH!F2652),"x","")</f>
        <v/>
      </c>
      <c r="AD2652" s="75" t="str">
        <f>IF(AND(N2652="1521",MONTH(C2652)='BK-NL'!$M$11),"x","")</f>
        <v/>
      </c>
    </row>
    <row r="2653" spans="1:33" s="1264" customFormat="1" ht="16.5" customHeight="1">
      <c r="A2653" s="309" t="str">
        <f>IF(B2653&lt;&gt;"",IF(AND(B2653='IN-TC'!$S$4,OR(TH!N2653="1111",TH!O2653="1111")),TH!D2653,""),"")</f>
        <v/>
      </c>
      <c r="B2653" s="1311">
        <f t="shared" si="943"/>
        <v>1</v>
      </c>
      <c r="C2653" s="929">
        <v>42741</v>
      </c>
      <c r="D2653" s="71" t="s">
        <v>902</v>
      </c>
      <c r="E2653" s="929">
        <v>42741</v>
      </c>
      <c r="F2653" s="930" t="s">
        <v>907</v>
      </c>
      <c r="G2653" s="976" t="s">
        <v>747</v>
      </c>
      <c r="H2653" s="73" t="s">
        <v>835</v>
      </c>
      <c r="I2653" s="371"/>
      <c r="J2653" s="932"/>
      <c r="K2653" s="371">
        <v>11000</v>
      </c>
      <c r="L2653" s="377">
        <v>22558</v>
      </c>
      <c r="M2653" s="74">
        <f t="shared" si="945"/>
        <v>248138000</v>
      </c>
      <c r="N2653" s="934" t="s">
        <v>26</v>
      </c>
      <c r="O2653" s="934" t="s">
        <v>256</v>
      </c>
      <c r="P2653" s="75" t="str">
        <f>IF(AND('331-CT'!$E$7=TH!H2653,OR(N2653="331",O2653="331")),"x","")</f>
        <v/>
      </c>
      <c r="Q2653" s="75" t="str">
        <f>IF(AND(B2653='111'!$L$11,OR($N2653=$Q$7,$O2653=$Q$7)),"x","")</f>
        <v/>
      </c>
      <c r="R2653" s="75" t="str">
        <f>IF(AND($N2653=$Q$7,$B2653&lt;'111'!$L$11),"x","")</f>
        <v/>
      </c>
      <c r="S2653" s="75" t="str">
        <f>IF(AND($O2653=$Q$7,$B2653&lt;'111'!$L$11),"x","")</f>
        <v/>
      </c>
      <c r="T2653" s="75" t="str">
        <f>IF(ISERROR(FIND('112'!$M$9,G2653,1)),"",IF((AND(FIND('112'!$M$9,G2653,1)&gt;=1,B2653='112'!$K$9,OR($N2653='112'!$I$6,$O2653='112'!$I$6))),"x",""))</f>
        <v/>
      </c>
      <c r="U2653" s="75" t="str">
        <f>IF(ISERROR(FIND('112'!$M$9,G2653,1)),"",IF((AND(LEFT(G2653,2)=LEFT('112'!$M$9,2),B2653&lt;'112'!$K$9,$N2653='112'!$I$6)),"x",""))</f>
        <v/>
      </c>
      <c r="V2653" s="75" t="str">
        <f>IF(ISERROR(FIND('112'!$M$9,G2653,1)),"",IF((AND(RIGHT(G2653,2)=RIGHT('112'!$M$9,2),B2653&lt;'112'!$K$9,$O2653='112'!$I$6)),"x",""))</f>
        <v/>
      </c>
      <c r="W2653" s="75" t="str">
        <f>IF(AND('341-CT'!$H$9=H2653,OR(LEFT(N2653,3)=$W$7,LEFT(O2653,3)=$W$7)),"x","")</f>
        <v/>
      </c>
      <c r="X2653" s="75" t="str">
        <f>IF(OR(TH!N2653=TH!$X$7,O2653=TH!$X$7),"x","")</f>
        <v/>
      </c>
      <c r="Y2653" s="75" t="str">
        <f>IF(AND(OR(N2653="131",O2653="131"),H2653='131-CT'!$H$9),"x","")</f>
        <v/>
      </c>
      <c r="Z2653" s="75"/>
      <c r="AA2653" s="75" t="str">
        <f>IF(AND(MONTH(E2653)='IN-NX'!$J$5,'IN-NX'!$D$7=D2653),"x","")</f>
        <v/>
      </c>
      <c r="AB2653" s="75" t="str">
        <f>IF(AND(OR(LEFT(TH!N2653,2)="15",LEFT(TH!O2653,2)="15"),LEFT(TH!O2653,3)&lt;&gt;"111",'152-CT'!$J$8=TH!F2653),"x","")</f>
        <v/>
      </c>
      <c r="AC2653" s="75" t="str">
        <f>IF(AND(OR(LEFT(TH!N2653,2)="15",LEFT(TH!O2653,2)="15"),TK!$E$7=TH!F2653),"x","")</f>
        <v/>
      </c>
      <c r="AD2653" s="75" t="str">
        <f>IF(AND(N2653="1521",MONTH(C2653)='BK-NL'!$M$11),"x","")</f>
        <v/>
      </c>
    </row>
    <row r="2654" spans="1:33" s="1264" customFormat="1" ht="16.5" customHeight="1">
      <c r="A2654" s="309" t="str">
        <f>IF(B2654&lt;&gt;"",IF(AND(B2654='IN-TC'!$S$4,OR(TH!N2654="1111",TH!O2654="1111")),TH!D2654,""),"")</f>
        <v/>
      </c>
      <c r="B2654" s="1311">
        <f t="shared" si="943"/>
        <v>1</v>
      </c>
      <c r="C2654" s="1233">
        <v>42741</v>
      </c>
      <c r="D2654" s="71" t="s">
        <v>903</v>
      </c>
      <c r="E2654" s="929">
        <v>42741</v>
      </c>
      <c r="F2654" s="72" t="s">
        <v>917</v>
      </c>
      <c r="G2654" s="72" t="s">
        <v>747</v>
      </c>
      <c r="H2654" s="73" t="s">
        <v>759</v>
      </c>
      <c r="I2654" s="371"/>
      <c r="J2654" s="932"/>
      <c r="K2654" s="371">
        <v>144188.68</v>
      </c>
      <c r="L2654" s="377">
        <v>22500</v>
      </c>
      <c r="M2654" s="1214">
        <f t="shared" si="945"/>
        <v>3244245300</v>
      </c>
      <c r="N2654" s="934" t="s">
        <v>256</v>
      </c>
      <c r="O2654" s="934" t="s">
        <v>536</v>
      </c>
      <c r="P2654" s="75" t="str">
        <f>IF(AND('331-CT'!$E$7=TH!H2654,OR(N2654="331",O2654="331")),"x","")</f>
        <v/>
      </c>
      <c r="Q2654" s="75" t="str">
        <f>IF(AND(B2654='111'!$L$11,OR($N2654=$Q$7,$O2654=$Q$7)),"x","")</f>
        <v/>
      </c>
      <c r="R2654" s="75" t="str">
        <f>IF(AND($N2654=$Q$7,$B2654&lt;'111'!$L$11),"x","")</f>
        <v/>
      </c>
      <c r="S2654" s="75" t="str">
        <f>IF(AND($O2654=$Q$7,$B2654&lt;'111'!$L$11),"x","")</f>
        <v/>
      </c>
      <c r="T2654" s="75" t="str">
        <f>IF(ISERROR(FIND('112'!$M$9,G2654,1)),"",IF((AND(FIND('112'!$M$9,G2654,1)&gt;=1,B2654='112'!$K$9,OR($N2654='112'!$I$6,$O2654='112'!$I$6))),"x",""))</f>
        <v/>
      </c>
      <c r="U2654" s="75" t="str">
        <f>IF(ISERROR(FIND('112'!$M$9,G2654,1)),"",IF((AND(LEFT(G2654,2)=LEFT('112'!$M$9,2),B2654&lt;'112'!$K$9,$N2654='112'!$I$6)),"x",""))</f>
        <v/>
      </c>
      <c r="V2654" s="75" t="str">
        <f>IF(ISERROR(FIND('112'!$M$9,G2654,1)),"",IF((AND(RIGHT(G2654,2)=RIGHT('112'!$M$9,2),B2654&lt;'112'!$K$9,$O2654='112'!$I$6)),"x",""))</f>
        <v/>
      </c>
      <c r="W2654" s="75" t="str">
        <f>IF(AND('341-CT'!$H$9=H2654,OR(LEFT(N2654,3)=$W$7,LEFT(O2654,3)=$W$7)),"x","")</f>
        <v/>
      </c>
      <c r="X2654" s="75" t="str">
        <f>IF(OR(TH!N2654=TH!$X$7,O2654=TH!$X$7),"x","")</f>
        <v/>
      </c>
      <c r="Y2654" s="75" t="str">
        <f>IF(AND(OR(N2654="131",O2654="131"),H2654='131-CT'!$H$9),"x","")</f>
        <v/>
      </c>
      <c r="Z2654" s="75"/>
      <c r="AA2654" s="75" t="str">
        <f>IF(AND(MONTH(E2654)='IN-NX'!$J$5,'IN-NX'!$D$7=D2654),"x","")</f>
        <v/>
      </c>
      <c r="AB2654" s="75" t="str">
        <f>IF(AND(OR(LEFT(TH!N2654,2)="15",LEFT(TH!O2654,2)="15"),LEFT(TH!O2654,3)&lt;&gt;"111",'152-CT'!$J$8=TH!F2654),"x","")</f>
        <v/>
      </c>
      <c r="AC2654" s="75" t="str">
        <f>IF(AND(OR(LEFT(TH!N2654,2)="15",LEFT(TH!O2654,2)="15"),TK!$E$7=TH!F2654),"x","")</f>
        <v/>
      </c>
      <c r="AD2654" s="75" t="str">
        <f>IF(AND(N2654="1521",MONTH(C2654)='BK-NL'!$M$11),"x","")</f>
        <v/>
      </c>
    </row>
    <row r="2655" spans="1:33" s="1264" customFormat="1" ht="16.5" customHeight="1">
      <c r="A2655" s="309" t="str">
        <f>IF(B2655&lt;&gt;"",IF(AND(B2655='IN-TC'!$S$4,OR(TH!N2655="1111",TH!O2655="1111")),TH!D2655,""),"")</f>
        <v/>
      </c>
      <c r="B2655" s="1311">
        <f t="shared" si="943"/>
        <v>1</v>
      </c>
      <c r="C2655" s="1233">
        <v>42741</v>
      </c>
      <c r="D2655" s="929" t="s">
        <v>530</v>
      </c>
      <c r="E2655" s="929">
        <v>42741</v>
      </c>
      <c r="F2655" s="72" t="s">
        <v>1003</v>
      </c>
      <c r="G2655" s="72" t="s">
        <v>747</v>
      </c>
      <c r="H2655" s="73" t="s">
        <v>759</v>
      </c>
      <c r="I2655" s="1234"/>
      <c r="J2655" s="1235"/>
      <c r="K2655" s="371">
        <v>12</v>
      </c>
      <c r="L2655" s="377">
        <v>22500</v>
      </c>
      <c r="M2655" s="933">
        <f t="shared" ref="M2655" si="946">ROUND(L2655*K2655,0)</f>
        <v>270000</v>
      </c>
      <c r="N2655" s="934" t="s">
        <v>101</v>
      </c>
      <c r="O2655" s="934" t="s">
        <v>536</v>
      </c>
      <c r="P2655" s="75" t="str">
        <f>IF(AND('331-CT'!$E$7=TH!H2655,OR(N2655="331",O2655="331")),"x","")</f>
        <v/>
      </c>
      <c r="Q2655" s="75" t="str">
        <f>IF(AND(B2655='111'!$L$11,OR($N2655=$Q$7,$O2655=$Q$7)),"x","")</f>
        <v/>
      </c>
      <c r="R2655" s="75" t="str">
        <f>IF(AND($N2655=$Q$7,$B2655&lt;'111'!$L$11),"x","")</f>
        <v/>
      </c>
      <c r="S2655" s="75" t="str">
        <f>IF(AND($O2655=$Q$7,$B2655&lt;'111'!$L$11),"x","")</f>
        <v/>
      </c>
      <c r="T2655" s="75" t="str">
        <f>IF(ISERROR(FIND('112'!$M$9,G2655,1)),"",IF((AND(FIND('112'!$M$9,G2655,1)&gt;=1,B2655='112'!$K$9,OR($N2655='112'!$I$6,$O2655='112'!$I$6))),"x",""))</f>
        <v/>
      </c>
      <c r="U2655" s="75" t="str">
        <f>IF(ISERROR(FIND('112'!$M$9,G2655,1)),"",IF((AND(LEFT(G2655,2)=LEFT('112'!$M$9,2),B2655&lt;'112'!$K$9,$N2655='112'!$I$6)),"x",""))</f>
        <v/>
      </c>
      <c r="V2655" s="75" t="str">
        <f>IF(ISERROR(FIND('112'!$M$9,G2655,1)),"",IF((AND(RIGHT(G2655,2)=RIGHT('112'!$M$9,2),B2655&lt;'112'!$K$9,$O2655='112'!$I$6)),"x",""))</f>
        <v/>
      </c>
      <c r="W2655" s="75" t="str">
        <f>IF(AND('341-CT'!$H$9=H2655,OR(LEFT(N2655,3)=$W$7,LEFT(O2655,3)=$W$7)),"x","")</f>
        <v/>
      </c>
      <c r="X2655" s="75" t="str">
        <f>IF(OR(TH!N2655=TH!$X$7,O2655=TH!$X$7),"x","")</f>
        <v/>
      </c>
      <c r="Y2655" s="75" t="str">
        <f>IF(AND(OR(N2655="131",O2655="131"),H2655='131-CT'!$H$9),"x","")</f>
        <v/>
      </c>
      <c r="Z2655" s="75"/>
      <c r="AA2655" s="75" t="str">
        <f>IF(AND(MONTH(E2655)='IN-NX'!$J$5,'IN-NX'!$D$7=D2655),"x","")</f>
        <v/>
      </c>
      <c r="AB2655" s="75" t="str">
        <f>IF(AND(OR(LEFT(TH!N2655,2)="15",LEFT(TH!O2655,2)="15"),LEFT(TH!O2655,3)&lt;&gt;"111",'152-CT'!$J$8=TH!F2655),"x","")</f>
        <v/>
      </c>
      <c r="AC2655" s="75" t="str">
        <f>IF(AND(OR(LEFT(TH!N2655,2)="15",LEFT(TH!O2655,2)="15"),TK!$E$7=TH!F2655),"x","")</f>
        <v/>
      </c>
      <c r="AD2655" s="75" t="str">
        <f>IF(AND(N2655="1521",MONTH(C2655)='BK-NL'!$M$11),"x","")</f>
        <v/>
      </c>
    </row>
    <row r="2656" spans="1:33" s="1264" customFormat="1" ht="16.5" customHeight="1">
      <c r="A2656" s="309" t="str">
        <f>IF(B2656&lt;&gt;"",IF(AND(B2656='IN-TC'!$S$4,OR(TH!N2656="1111",TH!O2656="1111")),TH!D2656,""),"")</f>
        <v/>
      </c>
      <c r="B2656" s="1311">
        <f t="shared" si="943"/>
        <v>1</v>
      </c>
      <c r="C2656" s="1233">
        <v>42741</v>
      </c>
      <c r="D2656" s="71" t="s">
        <v>903</v>
      </c>
      <c r="E2656" s="929">
        <v>42741</v>
      </c>
      <c r="F2656" s="72" t="s">
        <v>918</v>
      </c>
      <c r="G2656" s="72" t="s">
        <v>925</v>
      </c>
      <c r="H2656" s="735" t="s">
        <v>835</v>
      </c>
      <c r="I2656" s="1234"/>
      <c r="J2656" s="1235"/>
      <c r="K2656" s="371">
        <v>43500</v>
      </c>
      <c r="L2656" s="377">
        <v>22500</v>
      </c>
      <c r="M2656" s="1214">
        <f t="shared" ref="M2656" si="947">ROUND(K2656*L2656,0)</f>
        <v>978750000</v>
      </c>
      <c r="N2656" s="934" t="s">
        <v>256</v>
      </c>
      <c r="O2656" s="934" t="s">
        <v>256</v>
      </c>
      <c r="P2656" s="75" t="str">
        <f>IF(AND('331-CT'!$E$7=TH!H2656,OR(N2656="331",O2656="331")),"x","")</f>
        <v/>
      </c>
      <c r="Q2656" s="75" t="str">
        <f>IF(AND(B2656='111'!$L$11,OR($N2656=$Q$7,$O2656=$Q$7)),"x","")</f>
        <v/>
      </c>
      <c r="R2656" s="75" t="str">
        <f>IF(AND($N2656=$Q$7,$B2656&lt;'111'!$L$11),"x","")</f>
        <v/>
      </c>
      <c r="S2656" s="75" t="str">
        <f>IF(AND($O2656=$Q$7,$B2656&lt;'111'!$L$11),"x","")</f>
        <v/>
      </c>
      <c r="T2656" s="75" t="str">
        <f>IF(ISERROR(FIND('112'!$M$9,G2656,1)),"",IF((AND(FIND('112'!$M$9,G2656,1)&gt;=1,B2656='112'!$K$9,OR($N2656='112'!$I$6,$O2656='112'!$I$6))),"x",""))</f>
        <v/>
      </c>
      <c r="U2656" s="75" t="str">
        <f>IF(ISERROR(FIND('112'!$M$9,G2656,1)),"",IF((AND(LEFT(G2656,2)=LEFT('112'!$M$9,2),B2656&lt;'112'!$K$9,$N2656='112'!$I$6)),"x",""))</f>
        <v/>
      </c>
      <c r="V2656" s="75" t="str">
        <f>IF(ISERROR(FIND('112'!$M$9,G2656,1)),"",IF((AND(RIGHT(G2656,2)=RIGHT('112'!$M$9,2),B2656&lt;'112'!$K$9,$O2656='112'!$I$6)),"x",""))</f>
        <v/>
      </c>
      <c r="W2656" s="75" t="str">
        <f>IF(AND('341-CT'!$H$9=H2656,OR(LEFT(N2656,3)=$W$7,LEFT(O2656,3)=$W$7)),"x","")</f>
        <v/>
      </c>
      <c r="X2656" s="75" t="str">
        <f>IF(OR(TH!N2656=TH!$X$7,O2656=TH!$X$7),"x","")</f>
        <v/>
      </c>
      <c r="Y2656" s="75" t="str">
        <f>IF(AND(OR(N2656="131",O2656="131"),H2656='131-CT'!$H$9),"x","")</f>
        <v/>
      </c>
      <c r="Z2656" s="75"/>
      <c r="AA2656" s="75" t="str">
        <f>IF(AND(MONTH(E2656)='IN-NX'!$J$5,'IN-NX'!$D$7=D2656),"x","")</f>
        <v/>
      </c>
      <c r="AB2656" s="75" t="str">
        <f>IF(AND(OR(LEFT(TH!N2656,2)="15",LEFT(TH!O2656,2)="15"),LEFT(TH!O2656,3)&lt;&gt;"111",'152-CT'!$J$8=TH!F2656),"x","")</f>
        <v/>
      </c>
      <c r="AC2656" s="75" t="str">
        <f>IF(AND(OR(LEFT(TH!N2656,2)="15",LEFT(TH!O2656,2)="15"),TK!$E$7=TH!F2656),"x","")</f>
        <v/>
      </c>
      <c r="AD2656" s="75" t="str">
        <f>IF(AND(N2656="1521",MONTH(C2656)='BK-NL'!$M$11),"x","")</f>
        <v/>
      </c>
    </row>
    <row r="2657" spans="1:30" s="1264" customFormat="1" ht="16.5" customHeight="1">
      <c r="A2657" s="309" t="str">
        <f>IF(B2657&lt;&gt;"",IF(AND(B2657='IN-TC'!$S$4,OR(TH!N2657="1111",TH!O2657="1111")),TH!D2657,""),"")</f>
        <v/>
      </c>
      <c r="B2657" s="1311">
        <f t="shared" si="943"/>
        <v>1</v>
      </c>
      <c r="C2657" s="1233">
        <v>42741</v>
      </c>
      <c r="D2657" s="71" t="s">
        <v>902</v>
      </c>
      <c r="E2657" s="929">
        <v>42741</v>
      </c>
      <c r="F2657" s="72" t="s">
        <v>919</v>
      </c>
      <c r="G2657" s="72" t="s">
        <v>747</v>
      </c>
      <c r="H2657" s="735" t="s">
        <v>835</v>
      </c>
      <c r="I2657" s="1234"/>
      <c r="J2657" s="1235"/>
      <c r="K2657" s="371">
        <v>3</v>
      </c>
      <c r="L2657" s="377">
        <v>22500</v>
      </c>
      <c r="M2657" s="74">
        <f t="shared" ref="M2657:M2660" si="948">ROUND(K2657*L2657,0)</f>
        <v>67500</v>
      </c>
      <c r="N2657" s="934" t="s">
        <v>101</v>
      </c>
      <c r="O2657" s="934" t="s">
        <v>256</v>
      </c>
      <c r="P2657" s="75" t="str">
        <f>IF(AND('331-CT'!$E$7=TH!H2657,OR(N2657="331",O2657="331")),"x","")</f>
        <v/>
      </c>
      <c r="Q2657" s="75" t="str">
        <f>IF(AND(B2657='111'!$L$11,OR($N2657=$Q$7,$O2657=$Q$7)),"x","")</f>
        <v/>
      </c>
      <c r="R2657" s="75" t="str">
        <f>IF(AND($N2657=$Q$7,$B2657&lt;'111'!$L$11),"x","")</f>
        <v/>
      </c>
      <c r="S2657" s="75" t="str">
        <f>IF(AND($O2657=$Q$7,$B2657&lt;'111'!$L$11),"x","")</f>
        <v/>
      </c>
      <c r="T2657" s="75" t="str">
        <f>IF(ISERROR(FIND('112'!$M$9,G2657,1)),"",IF((AND(FIND('112'!$M$9,G2657,1)&gt;=1,B2657='112'!$K$9,OR($N2657='112'!$I$6,$O2657='112'!$I$6))),"x",""))</f>
        <v/>
      </c>
      <c r="U2657" s="75" t="str">
        <f>IF(ISERROR(FIND('112'!$M$9,G2657,1)),"",IF((AND(LEFT(G2657,2)=LEFT('112'!$M$9,2),B2657&lt;'112'!$K$9,$N2657='112'!$I$6)),"x",""))</f>
        <v/>
      </c>
      <c r="V2657" s="75" t="str">
        <f>IF(ISERROR(FIND('112'!$M$9,G2657,1)),"",IF((AND(RIGHT(G2657,2)=RIGHT('112'!$M$9,2),B2657&lt;'112'!$K$9,$O2657='112'!$I$6)),"x",""))</f>
        <v/>
      </c>
      <c r="W2657" s="75" t="str">
        <f>IF(AND('341-CT'!$H$9=H2657,OR(LEFT(N2657,3)=$W$7,LEFT(O2657,3)=$W$7)),"x","")</f>
        <v/>
      </c>
      <c r="X2657" s="75" t="str">
        <f>IF(OR(TH!N2657=TH!$X$7,O2657=TH!$X$7),"x","")</f>
        <v/>
      </c>
      <c r="Y2657" s="75" t="str">
        <f>IF(AND(OR(N2657="131",O2657="131"),H2657='131-CT'!$H$9),"x","")</f>
        <v/>
      </c>
      <c r="Z2657" s="75"/>
      <c r="AA2657" s="75" t="str">
        <f>IF(AND(MONTH(E2657)='IN-NX'!$J$5,'IN-NX'!$D$7=D2657),"x","")</f>
        <v/>
      </c>
      <c r="AB2657" s="75" t="str">
        <f>IF(AND(OR(LEFT(TH!N2657,2)="15",LEFT(TH!O2657,2)="15"),LEFT(TH!O2657,3)&lt;&gt;"111",'152-CT'!$J$8=TH!F2657),"x","")</f>
        <v/>
      </c>
      <c r="AC2657" s="75" t="str">
        <f>IF(AND(OR(LEFT(TH!N2657,2)="15",LEFT(TH!O2657,2)="15"),TK!$E$7=TH!F2657),"x","")</f>
        <v/>
      </c>
      <c r="AD2657" s="75" t="str">
        <f>IF(AND(N2657="1521",MONTH(C2657)='BK-NL'!$M$11),"x","")</f>
        <v/>
      </c>
    </row>
    <row r="2658" spans="1:30" s="1264" customFormat="1" ht="16.5" customHeight="1">
      <c r="A2658" s="309" t="str">
        <f>IF(B2658&lt;&gt;"",IF(AND(B2658='IN-TC'!$S$4,OR(TH!N2658="1111",TH!O2658="1111")),TH!D2658,""),"")</f>
        <v/>
      </c>
      <c r="B2658" s="1311">
        <f t="shared" si="943"/>
        <v>1</v>
      </c>
      <c r="C2658" s="71">
        <v>42741</v>
      </c>
      <c r="D2658" s="71" t="s">
        <v>902</v>
      </c>
      <c r="E2658" s="929">
        <v>42741</v>
      </c>
      <c r="F2658" s="72" t="s">
        <v>920</v>
      </c>
      <c r="G2658" s="72" t="s">
        <v>747</v>
      </c>
      <c r="H2658" s="735" t="s">
        <v>835</v>
      </c>
      <c r="I2658" s="371"/>
      <c r="J2658" s="932"/>
      <c r="K2658" s="371">
        <v>0.3</v>
      </c>
      <c r="L2658" s="377">
        <v>22500</v>
      </c>
      <c r="M2658" s="74">
        <f t="shared" si="948"/>
        <v>6750</v>
      </c>
      <c r="N2658" s="934" t="s">
        <v>9</v>
      </c>
      <c r="O2658" s="934" t="s">
        <v>256</v>
      </c>
      <c r="P2658" s="75" t="str">
        <f>IF(AND('331-CT'!$E$7=TH!H2658,OR(N2658="331",O2658="331")),"x","")</f>
        <v/>
      </c>
      <c r="Q2658" s="75" t="str">
        <f>IF(AND(B2658='111'!$L$11,OR($N2658=$Q$7,$O2658=$Q$7)),"x","")</f>
        <v/>
      </c>
      <c r="R2658" s="75" t="str">
        <f>IF(AND($N2658=$Q$7,$B2658&lt;'111'!$L$11),"x","")</f>
        <v/>
      </c>
      <c r="S2658" s="75" t="str">
        <f>IF(AND($O2658=$Q$7,$B2658&lt;'111'!$L$11),"x","")</f>
        <v/>
      </c>
      <c r="T2658" s="75" t="str">
        <f>IF(ISERROR(FIND('112'!$M$9,G2658,1)),"",IF((AND(FIND('112'!$M$9,G2658,1)&gt;=1,B2658='112'!$K$9,OR($N2658='112'!$I$6,$O2658='112'!$I$6))),"x",""))</f>
        <v/>
      </c>
      <c r="U2658" s="75" t="str">
        <f>IF(ISERROR(FIND('112'!$M$9,G2658,1)),"",IF((AND(LEFT(G2658,2)=LEFT('112'!$M$9,2),B2658&lt;'112'!$K$9,$N2658='112'!$I$6)),"x",""))</f>
        <v/>
      </c>
      <c r="V2658" s="75" t="str">
        <f>IF(ISERROR(FIND('112'!$M$9,G2658,1)),"",IF((AND(RIGHT(G2658,2)=RIGHT('112'!$M$9,2),B2658&lt;'112'!$K$9,$O2658='112'!$I$6)),"x",""))</f>
        <v/>
      </c>
      <c r="W2658" s="75" t="str">
        <f>IF(AND('341-CT'!$H$9=H2658,OR(LEFT(N2658,3)=$W$7,LEFT(O2658,3)=$W$7)),"x","")</f>
        <v/>
      </c>
      <c r="X2658" s="75" t="str">
        <f>IF(OR(TH!N2658=TH!$X$7,O2658=TH!$X$7),"x","")</f>
        <v/>
      </c>
      <c r="Y2658" s="75" t="str">
        <f>IF(AND(OR(N2658="131",O2658="131"),H2658='131-CT'!$H$9),"x","")</f>
        <v/>
      </c>
      <c r="Z2658" s="75"/>
      <c r="AA2658" s="75" t="str">
        <f>IF(AND(MONTH(E2658)='IN-NX'!$J$5,'IN-NX'!$D$7=D2658),"x","")</f>
        <v/>
      </c>
      <c r="AB2658" s="75" t="str">
        <f>IF(AND(OR(LEFT(TH!N2658,2)="15",LEFT(TH!O2658,2)="15"),LEFT(TH!O2658,3)&lt;&gt;"111",'152-CT'!$J$8=TH!F2658),"x","")</f>
        <v/>
      </c>
      <c r="AC2658" s="75" t="str">
        <f>IF(AND(OR(LEFT(TH!N2658,2)="15",LEFT(TH!O2658,2)="15"),TK!$E$7=TH!F2658),"x","")</f>
        <v/>
      </c>
      <c r="AD2658" s="75" t="str">
        <f>IF(AND(N2658="1521",MONTH(C2658)='BK-NL'!$M$11),"x","")</f>
        <v/>
      </c>
    </row>
    <row r="2659" spans="1:30" s="1264" customFormat="1" ht="16.5" customHeight="1">
      <c r="A2659" s="309" t="str">
        <f>IF(B2659&lt;&gt;"",IF(AND(B2659='IN-TC'!$S$4,OR(TH!N2659="1111",TH!O2659="1111")),TH!D2659,""),"")</f>
        <v/>
      </c>
      <c r="B2659" s="1311">
        <f t="shared" si="943"/>
        <v>1</v>
      </c>
      <c r="C2659" s="71">
        <v>42741</v>
      </c>
      <c r="D2659" s="71" t="s">
        <v>902</v>
      </c>
      <c r="E2659" s="929">
        <v>42741</v>
      </c>
      <c r="F2659" s="72" t="s">
        <v>1321</v>
      </c>
      <c r="G2659" s="72" t="s">
        <v>747</v>
      </c>
      <c r="H2659" s="1184" t="s">
        <v>756</v>
      </c>
      <c r="I2659" s="371"/>
      <c r="J2659" s="932"/>
      <c r="K2659" s="371">
        <v>88923.49</v>
      </c>
      <c r="L2659" s="377">
        <v>22500</v>
      </c>
      <c r="M2659" s="74">
        <f t="shared" si="948"/>
        <v>2000778525</v>
      </c>
      <c r="N2659" s="934" t="s">
        <v>250</v>
      </c>
      <c r="O2659" s="934" t="s">
        <v>256</v>
      </c>
      <c r="P2659" s="75" t="str">
        <f>IF(AND('331-CT'!$E$7=TH!H2659,OR(N2659="331",O2659="331")),"x","")</f>
        <v/>
      </c>
      <c r="Q2659" s="75" t="str">
        <f>IF(AND(B2659='111'!$L$11,OR($N2659=$Q$7,$O2659=$Q$7)),"x","")</f>
        <v/>
      </c>
      <c r="R2659" s="75" t="str">
        <f>IF(AND($N2659=$Q$7,$B2659&lt;'111'!$L$11),"x","")</f>
        <v/>
      </c>
      <c r="S2659" s="75" t="str">
        <f>IF(AND($O2659=$Q$7,$B2659&lt;'111'!$L$11),"x","")</f>
        <v/>
      </c>
      <c r="T2659" s="75" t="str">
        <f>IF(ISERROR(FIND('112'!$M$9,G2659,1)),"",IF((AND(FIND('112'!$M$9,G2659,1)&gt;=1,B2659='112'!$K$9,OR($N2659='112'!$I$6,$O2659='112'!$I$6))),"x",""))</f>
        <v/>
      </c>
      <c r="U2659" s="75" t="str">
        <f>IF(ISERROR(FIND('112'!$M$9,G2659,1)),"",IF((AND(LEFT(G2659,2)=LEFT('112'!$M$9,2),B2659&lt;'112'!$K$9,$N2659='112'!$I$6)),"x",""))</f>
        <v/>
      </c>
      <c r="V2659" s="75" t="str">
        <f>IF(ISERROR(FIND('112'!$M$9,G2659,1)),"",IF((AND(RIGHT(G2659,2)=RIGHT('112'!$M$9,2),B2659&lt;'112'!$K$9,$O2659='112'!$I$6)),"x",""))</f>
        <v/>
      </c>
      <c r="W2659" s="75" t="str">
        <f>IF(AND('341-CT'!$H$9=H2659,OR(LEFT(N2659,3)=$W$7,LEFT(O2659,3)=$W$7)),"x","")</f>
        <v/>
      </c>
      <c r="X2659" s="75" t="str">
        <f>IF(OR(TH!N2659=TH!$X$7,O2659=TH!$X$7),"x","")</f>
        <v/>
      </c>
      <c r="Y2659" s="75" t="str">
        <f>IF(AND(OR(N2659="131",O2659="131"),H2659='131-CT'!$H$9),"x","")</f>
        <v/>
      </c>
      <c r="Z2659" s="75"/>
      <c r="AA2659" s="75" t="str">
        <f>IF(AND(MONTH(E2659)='IN-NX'!$J$5,'IN-NX'!$D$7=D2659),"x","")</f>
        <v/>
      </c>
      <c r="AB2659" s="75" t="str">
        <f>IF(AND(OR(LEFT(TH!N2659,2)="15",LEFT(TH!O2659,2)="15"),LEFT(TH!O2659,3)&lt;&gt;"111",'152-CT'!$J$8=TH!F2659),"x","")</f>
        <v/>
      </c>
      <c r="AC2659" s="75" t="str">
        <f>IF(AND(OR(LEFT(TH!N2659,2)="15",LEFT(TH!O2659,2)="15"),TK!$E$7=TH!F2659),"x","")</f>
        <v/>
      </c>
      <c r="AD2659" s="75" t="str">
        <f>IF(AND(N2659="1521",MONTH(C2659)='BK-NL'!$M$11),"x","")</f>
        <v/>
      </c>
    </row>
    <row r="2660" spans="1:30" s="1264" customFormat="1" ht="16.5" customHeight="1">
      <c r="A2660" s="309" t="str">
        <f>IF(B2660&lt;&gt;"",IF(AND(B2660='IN-TC'!$S$4,OR(TH!N2660="1111",TH!O2660="1111")),TH!D2660,""),"")</f>
        <v/>
      </c>
      <c r="B2660" s="1311">
        <f t="shared" si="943"/>
        <v>1</v>
      </c>
      <c r="C2660" s="71">
        <v>42741</v>
      </c>
      <c r="D2660" s="71" t="s">
        <v>902</v>
      </c>
      <c r="E2660" s="929">
        <v>42741</v>
      </c>
      <c r="F2660" s="72" t="s">
        <v>1096</v>
      </c>
      <c r="G2660" s="72" t="s">
        <v>747</v>
      </c>
      <c r="H2660" s="1184" t="s">
        <v>756</v>
      </c>
      <c r="I2660" s="371"/>
      <c r="J2660" s="932"/>
      <c r="K2660" s="371">
        <f>88934.61-K2659</f>
        <v>11.119999999995343</v>
      </c>
      <c r="L2660" s="377">
        <v>22500</v>
      </c>
      <c r="M2660" s="74">
        <f t="shared" si="948"/>
        <v>250200</v>
      </c>
      <c r="N2660" s="934" t="s">
        <v>99</v>
      </c>
      <c r="O2660" s="934" t="s">
        <v>256</v>
      </c>
      <c r="P2660" s="75" t="str">
        <f>IF(AND('331-CT'!$E$7=TH!H2660,OR(N2660="331",O2660="331")),"x","")</f>
        <v/>
      </c>
      <c r="Q2660" s="75" t="str">
        <f>IF(AND(B2660='111'!$L$11,OR($N2660=$Q$7,$O2660=$Q$7)),"x","")</f>
        <v/>
      </c>
      <c r="R2660" s="75" t="str">
        <f>IF(AND($N2660=$Q$7,$B2660&lt;'111'!$L$11),"x","")</f>
        <v/>
      </c>
      <c r="S2660" s="75" t="str">
        <f>IF(AND($O2660=$Q$7,$B2660&lt;'111'!$L$11),"x","")</f>
        <v/>
      </c>
      <c r="T2660" s="75" t="str">
        <f>IF(ISERROR(FIND('112'!$M$9,G2660,1)),"",IF((AND(FIND('112'!$M$9,G2660,1)&gt;=1,B2660='112'!$K$9,OR($N2660='112'!$I$6,$O2660='112'!$I$6))),"x",""))</f>
        <v/>
      </c>
      <c r="U2660" s="75" t="str">
        <f>IF(ISERROR(FIND('112'!$M$9,G2660,1)),"",IF((AND(LEFT(G2660,2)=LEFT('112'!$M$9,2),B2660&lt;'112'!$K$9,$N2660='112'!$I$6)),"x",""))</f>
        <v/>
      </c>
      <c r="V2660" s="75" t="str">
        <f>IF(ISERROR(FIND('112'!$M$9,G2660,1)),"",IF((AND(RIGHT(G2660,2)=RIGHT('112'!$M$9,2),B2660&lt;'112'!$K$9,$O2660='112'!$I$6)),"x",""))</f>
        <v/>
      </c>
      <c r="W2660" s="75" t="str">
        <f>IF(AND('341-CT'!$H$9=H2660,OR(LEFT(N2660,3)=$W$7,LEFT(O2660,3)=$W$7)),"x","")</f>
        <v/>
      </c>
      <c r="X2660" s="75" t="str">
        <f>IF(OR(TH!N2660=TH!$X$7,O2660=TH!$X$7),"x","")</f>
        <v/>
      </c>
      <c r="Y2660" s="75" t="str">
        <f>IF(AND(OR(N2660="131",O2660="131"),H2660='131-CT'!$H$9),"x","")</f>
        <v/>
      </c>
      <c r="Z2660" s="75"/>
      <c r="AA2660" s="75" t="str">
        <f>IF(AND(MONTH(E2660)='IN-NX'!$J$5,'IN-NX'!$D$7=D2660),"x","")</f>
        <v/>
      </c>
      <c r="AB2660" s="75" t="str">
        <f>IF(AND(OR(LEFT(TH!N2660,2)="15",LEFT(TH!O2660,2)="15"),LEFT(TH!O2660,3)&lt;&gt;"111",'152-CT'!$J$8=TH!F2660),"x","")</f>
        <v/>
      </c>
      <c r="AC2660" s="75" t="str">
        <f>IF(AND(OR(LEFT(TH!N2660,2)="15",LEFT(TH!O2660,2)="15"),TK!$E$7=TH!F2660),"x","")</f>
        <v/>
      </c>
      <c r="AD2660" s="75" t="str">
        <f>IF(AND(N2660="1521",MONTH(C2660)='BK-NL'!$M$11),"x","")</f>
        <v/>
      </c>
    </row>
    <row r="2661" spans="1:30" s="1264" customFormat="1" ht="16.5" customHeight="1">
      <c r="A2661" s="309" t="str">
        <f>IF(B2661&lt;&gt;"",IF(AND(B2661='IN-TC'!$S$4,OR(TH!N2661="1111",TH!O2661="1111")),TH!D2661,""),"")</f>
        <v/>
      </c>
      <c r="B2661" s="1311">
        <f t="shared" si="943"/>
        <v>1</v>
      </c>
      <c r="C2661" s="71">
        <v>42741</v>
      </c>
      <c r="D2661" s="929" t="s">
        <v>530</v>
      </c>
      <c r="E2661" s="929">
        <v>42741</v>
      </c>
      <c r="F2661" s="72" t="s">
        <v>1010</v>
      </c>
      <c r="G2661" s="72" t="s">
        <v>747</v>
      </c>
      <c r="H2661" s="1184" t="s">
        <v>756</v>
      </c>
      <c r="I2661" s="371"/>
      <c r="J2661" s="932"/>
      <c r="K2661" s="371"/>
      <c r="L2661" s="377"/>
      <c r="M2661" s="933">
        <v>18512000</v>
      </c>
      <c r="N2661" s="934" t="s">
        <v>99</v>
      </c>
      <c r="O2661" s="934" t="s">
        <v>250</v>
      </c>
      <c r="P2661" s="75" t="str">
        <f>IF(AND('331-CT'!$E$7=TH!H2661,OR(N2661="331",O2661="331")),"x","")</f>
        <v/>
      </c>
      <c r="Q2661" s="75" t="str">
        <f>IF(AND(B2661='111'!$L$11,OR($N2661=$Q$7,$O2661=$Q$7)),"x","")</f>
        <v/>
      </c>
      <c r="R2661" s="75" t="str">
        <f>IF(AND($N2661=$Q$7,$B2661&lt;'111'!$L$11),"x","")</f>
        <v/>
      </c>
      <c r="S2661" s="75" t="str">
        <f>IF(AND($O2661=$Q$7,$B2661&lt;'111'!$L$11),"x","")</f>
        <v/>
      </c>
      <c r="T2661" s="75" t="str">
        <f>IF(ISERROR(FIND('112'!$M$9,G2661,1)),"",IF((AND(FIND('112'!$M$9,G2661,1)&gt;=1,B2661='112'!$K$9,OR($N2661='112'!$I$6,$O2661='112'!$I$6))),"x",""))</f>
        <v/>
      </c>
      <c r="U2661" s="75" t="str">
        <f>IF(ISERROR(FIND('112'!$M$9,G2661,1)),"",IF((AND(LEFT(G2661,2)=LEFT('112'!$M$9,2),B2661&lt;'112'!$K$9,$N2661='112'!$I$6)),"x",""))</f>
        <v/>
      </c>
      <c r="V2661" s="75" t="str">
        <f>IF(ISERROR(FIND('112'!$M$9,G2661,1)),"",IF((AND(RIGHT(G2661,2)=RIGHT('112'!$M$9,2),B2661&lt;'112'!$K$9,$O2661='112'!$I$6)),"x",""))</f>
        <v/>
      </c>
      <c r="W2661" s="75" t="str">
        <f>IF(AND('341-CT'!$H$9=H2661,OR(LEFT(N2661,3)=$W$7,LEFT(O2661,3)=$W$7)),"x","")</f>
        <v/>
      </c>
      <c r="X2661" s="75" t="str">
        <f>IF(OR(TH!N2661=TH!$X$7,O2661=TH!$X$7),"x","")</f>
        <v/>
      </c>
      <c r="Y2661" s="75" t="str">
        <f>IF(AND(OR(N2661="131",O2661="131"),H2661='131-CT'!$H$9),"x","")</f>
        <v/>
      </c>
      <c r="Z2661" s="75"/>
      <c r="AA2661" s="75" t="str">
        <f>IF(AND(MONTH(E2661)='IN-NX'!$J$5,'IN-NX'!$D$7=D2661),"x","")</f>
        <v/>
      </c>
      <c r="AB2661" s="75" t="str">
        <f>IF(AND(OR(LEFT(TH!N2661,2)="15",LEFT(TH!O2661,2)="15"),LEFT(TH!O2661,3)&lt;&gt;"111",'152-CT'!$J$8=TH!F2661),"x","")</f>
        <v/>
      </c>
      <c r="AC2661" s="75" t="str">
        <f>IF(AND(OR(LEFT(TH!N2661,2)="15",LEFT(TH!O2661,2)="15"),TK!$E$7=TH!F2661),"x","")</f>
        <v/>
      </c>
      <c r="AD2661" s="75" t="str">
        <f>IF(AND(N2661="1521",MONTH(C2661)='BK-NL'!$M$11),"x","")</f>
        <v/>
      </c>
    </row>
    <row r="2662" spans="1:30" s="1264" customFormat="1" ht="16.5" customHeight="1">
      <c r="A2662" s="309" t="str">
        <f>IF(B2662&lt;&gt;"",IF(AND(B2662='IN-TC'!$S$4,OR(TH!N2662="1111",TH!O2662="1111")),TH!D2662,""),"")</f>
        <v/>
      </c>
      <c r="B2662" s="1311">
        <f t="shared" si="943"/>
        <v>1</v>
      </c>
      <c r="C2662" s="71">
        <v>42745</v>
      </c>
      <c r="D2662" s="71" t="s">
        <v>902</v>
      </c>
      <c r="E2662" s="929">
        <v>42745</v>
      </c>
      <c r="F2662" s="72" t="s">
        <v>921</v>
      </c>
      <c r="G2662" s="72" t="s">
        <v>747</v>
      </c>
      <c r="H2662" s="735" t="s">
        <v>835</v>
      </c>
      <c r="I2662" s="371"/>
      <c r="J2662" s="932"/>
      <c r="K2662" s="371">
        <v>10</v>
      </c>
      <c r="L2662" s="377">
        <v>22500</v>
      </c>
      <c r="M2662" s="74">
        <f t="shared" ref="M2662:M2664" si="949">ROUND(K2662*L2662,0)</f>
        <v>225000</v>
      </c>
      <c r="N2662" s="934" t="s">
        <v>101</v>
      </c>
      <c r="O2662" s="934" t="s">
        <v>256</v>
      </c>
      <c r="P2662" s="75" t="str">
        <f>IF(AND('331-CT'!$E$7=TH!H2662,OR(N2662="331",O2662="331")),"x","")</f>
        <v/>
      </c>
      <c r="Q2662" s="75" t="str">
        <f>IF(AND(B2662='111'!$L$11,OR($N2662=$Q$7,$O2662=$Q$7)),"x","")</f>
        <v/>
      </c>
      <c r="R2662" s="75" t="str">
        <f>IF(AND($N2662=$Q$7,$B2662&lt;'111'!$L$11),"x","")</f>
        <v/>
      </c>
      <c r="S2662" s="75" t="str">
        <f>IF(AND($O2662=$Q$7,$B2662&lt;'111'!$L$11),"x","")</f>
        <v/>
      </c>
      <c r="T2662" s="75" t="str">
        <f>IF(ISERROR(FIND('112'!$M$9,G2662,1)),"",IF((AND(FIND('112'!$M$9,G2662,1)&gt;=1,B2662='112'!$K$9,OR($N2662='112'!$I$6,$O2662='112'!$I$6))),"x",""))</f>
        <v/>
      </c>
      <c r="U2662" s="75" t="str">
        <f>IF(ISERROR(FIND('112'!$M$9,G2662,1)),"",IF((AND(LEFT(G2662,2)=LEFT('112'!$M$9,2),B2662&lt;'112'!$K$9,$N2662='112'!$I$6)),"x",""))</f>
        <v/>
      </c>
      <c r="V2662" s="75" t="str">
        <f>IF(ISERROR(FIND('112'!$M$9,G2662,1)),"",IF((AND(RIGHT(G2662,2)=RIGHT('112'!$M$9,2),B2662&lt;'112'!$K$9,$O2662='112'!$I$6)),"x",""))</f>
        <v/>
      </c>
      <c r="W2662" s="75" t="str">
        <f>IF(AND('341-CT'!$H$9=H2662,OR(LEFT(N2662,3)=$W$7,LEFT(O2662,3)=$W$7)),"x","")</f>
        <v/>
      </c>
      <c r="X2662" s="75" t="str">
        <f>IF(OR(TH!N2662=TH!$X$7,O2662=TH!$X$7),"x","")</f>
        <v/>
      </c>
      <c r="Y2662" s="75" t="str">
        <f>IF(AND(OR(N2662="131",O2662="131"),H2662='131-CT'!$H$9),"x","")</f>
        <v/>
      </c>
      <c r="Z2662" s="75"/>
      <c r="AA2662" s="75" t="str">
        <f>IF(AND(MONTH(E2662)='IN-NX'!$J$5,'IN-NX'!$D$7=D2662),"x","")</f>
        <v/>
      </c>
      <c r="AB2662" s="75" t="str">
        <f>IF(AND(OR(LEFT(TH!N2662,2)="15",LEFT(TH!O2662,2)="15"),LEFT(TH!O2662,3)&lt;&gt;"111",'152-CT'!$J$8=TH!F2662),"x","")</f>
        <v/>
      </c>
      <c r="AC2662" s="75" t="str">
        <f>IF(AND(OR(LEFT(TH!N2662,2)="15",LEFT(TH!O2662,2)="15"),TK!$E$7=TH!F2662),"x","")</f>
        <v/>
      </c>
      <c r="AD2662" s="75" t="str">
        <f>IF(AND(N2662="1521",MONTH(C2662)='BK-NL'!$M$11),"x","")</f>
        <v/>
      </c>
    </row>
    <row r="2663" spans="1:30" s="1264" customFormat="1" ht="16.5" customHeight="1">
      <c r="A2663" s="309" t="str">
        <f>IF(B2663&lt;&gt;"",IF(AND(B2663='IN-TC'!$S$4,OR(TH!N2663="1111",TH!O2663="1111")),TH!D2663,""),"")</f>
        <v/>
      </c>
      <c r="B2663" s="1311">
        <f t="shared" si="943"/>
        <v>1</v>
      </c>
      <c r="C2663" s="929">
        <v>42746</v>
      </c>
      <c r="D2663" s="71" t="s">
        <v>902</v>
      </c>
      <c r="E2663" s="929">
        <v>42746</v>
      </c>
      <c r="F2663" s="930" t="s">
        <v>907</v>
      </c>
      <c r="G2663" s="976" t="s">
        <v>747</v>
      </c>
      <c r="H2663" s="73" t="s">
        <v>835</v>
      </c>
      <c r="I2663" s="371"/>
      <c r="J2663" s="932"/>
      <c r="K2663" s="371">
        <v>294900</v>
      </c>
      <c r="L2663" s="377">
        <v>22560</v>
      </c>
      <c r="M2663" s="74">
        <f t="shared" si="949"/>
        <v>6652944000</v>
      </c>
      <c r="N2663" s="934" t="s">
        <v>26</v>
      </c>
      <c r="O2663" s="934" t="s">
        <v>256</v>
      </c>
      <c r="P2663" s="75" t="str">
        <f>IF(AND('331-CT'!$E$7=TH!H2663,OR(N2663="331",O2663="331")),"x","")</f>
        <v/>
      </c>
      <c r="Q2663" s="75" t="str">
        <f>IF(AND(B2663='111'!$L$11,OR($N2663=$Q$7,$O2663=$Q$7)),"x","")</f>
        <v/>
      </c>
      <c r="R2663" s="75" t="str">
        <f>IF(AND($N2663=$Q$7,$B2663&lt;'111'!$L$11),"x","")</f>
        <v/>
      </c>
      <c r="S2663" s="75" t="str">
        <f>IF(AND($O2663=$Q$7,$B2663&lt;'111'!$L$11),"x","")</f>
        <v/>
      </c>
      <c r="T2663" s="75" t="str">
        <f>IF(ISERROR(FIND('112'!$M$9,G2663,1)),"",IF((AND(FIND('112'!$M$9,G2663,1)&gt;=1,B2663='112'!$K$9,OR($N2663='112'!$I$6,$O2663='112'!$I$6))),"x",""))</f>
        <v/>
      </c>
      <c r="U2663" s="75" t="str">
        <f>IF(ISERROR(FIND('112'!$M$9,G2663,1)),"",IF((AND(LEFT(G2663,2)=LEFT('112'!$M$9,2),B2663&lt;'112'!$K$9,$N2663='112'!$I$6)),"x",""))</f>
        <v/>
      </c>
      <c r="V2663" s="75" t="str">
        <f>IF(ISERROR(FIND('112'!$M$9,G2663,1)),"",IF((AND(RIGHT(G2663,2)=RIGHT('112'!$M$9,2),B2663&lt;'112'!$K$9,$O2663='112'!$I$6)),"x",""))</f>
        <v/>
      </c>
      <c r="W2663" s="75" t="str">
        <f>IF(AND('341-CT'!$H$9=H2663,OR(LEFT(N2663,3)=$W$7,LEFT(O2663,3)=$W$7)),"x","")</f>
        <v/>
      </c>
      <c r="X2663" s="75" t="str">
        <f>IF(OR(TH!N2663=TH!$X$7,O2663=TH!$X$7),"x","")</f>
        <v/>
      </c>
      <c r="Y2663" s="75" t="str">
        <f>IF(AND(OR(N2663="131",O2663="131"),H2663='131-CT'!$H$9),"x","")</f>
        <v/>
      </c>
      <c r="Z2663" s="75"/>
      <c r="AA2663" s="75" t="str">
        <f>IF(AND(MONTH(E2663)='IN-NX'!$J$5,'IN-NX'!$D$7=D2663),"x","")</f>
        <v/>
      </c>
      <c r="AB2663" s="75" t="str">
        <f>IF(AND(OR(LEFT(TH!N2663,2)="15",LEFT(TH!O2663,2)="15"),LEFT(TH!O2663,3)&lt;&gt;"111",'152-CT'!$J$8=TH!F2663),"x","")</f>
        <v/>
      </c>
      <c r="AC2663" s="75" t="str">
        <f>IF(AND(OR(LEFT(TH!N2663,2)="15",LEFT(TH!O2663,2)="15"),TK!$E$7=TH!F2663),"x","")</f>
        <v/>
      </c>
      <c r="AD2663" s="75" t="str">
        <f>IF(AND(N2663="1521",MONTH(C2663)='BK-NL'!$M$11),"x","")</f>
        <v/>
      </c>
    </row>
    <row r="2664" spans="1:30" s="1264" customFormat="1" ht="16.5" customHeight="1">
      <c r="A2664" s="309" t="str">
        <f>IF(B2664&lt;&gt;"",IF(AND(B2664='IN-TC'!$S$4,OR(TH!N2664="1111",TH!O2664="1111")),TH!D2664,""),"")</f>
        <v/>
      </c>
      <c r="B2664" s="1311">
        <f t="shared" si="943"/>
        <v>1</v>
      </c>
      <c r="C2664" s="71">
        <v>42746</v>
      </c>
      <c r="D2664" s="71" t="s">
        <v>903</v>
      </c>
      <c r="E2664" s="929">
        <v>42746</v>
      </c>
      <c r="F2664" s="72" t="s">
        <v>917</v>
      </c>
      <c r="G2664" s="72" t="s">
        <v>747</v>
      </c>
      <c r="H2664" s="73" t="s">
        <v>759</v>
      </c>
      <c r="I2664" s="371"/>
      <c r="J2664" s="932"/>
      <c r="K2664" s="371">
        <v>294308</v>
      </c>
      <c r="L2664" s="377">
        <v>22500</v>
      </c>
      <c r="M2664" s="1214">
        <f t="shared" si="949"/>
        <v>6621930000</v>
      </c>
      <c r="N2664" s="934" t="s">
        <v>256</v>
      </c>
      <c r="O2664" s="934" t="s">
        <v>536</v>
      </c>
      <c r="P2664" s="75" t="str">
        <f>IF(AND('331-CT'!$E$7=TH!H2664,OR(N2664="331",O2664="331")),"x","")</f>
        <v/>
      </c>
      <c r="Q2664" s="75" t="str">
        <f>IF(AND(B2664='111'!$L$11,OR($N2664=$Q$7,$O2664=$Q$7)),"x","")</f>
        <v/>
      </c>
      <c r="R2664" s="75" t="str">
        <f>IF(AND($N2664=$Q$7,$B2664&lt;'111'!$L$11),"x","")</f>
        <v/>
      </c>
      <c r="S2664" s="75" t="str">
        <f>IF(AND($O2664=$Q$7,$B2664&lt;'111'!$L$11),"x","")</f>
        <v/>
      </c>
      <c r="T2664" s="75" t="str">
        <f>IF(ISERROR(FIND('112'!$M$9,G2664,1)),"",IF((AND(FIND('112'!$M$9,G2664,1)&gt;=1,B2664='112'!$K$9,OR($N2664='112'!$I$6,$O2664='112'!$I$6))),"x",""))</f>
        <v/>
      </c>
      <c r="U2664" s="75" t="str">
        <f>IF(ISERROR(FIND('112'!$M$9,G2664,1)),"",IF((AND(LEFT(G2664,2)=LEFT('112'!$M$9,2),B2664&lt;'112'!$K$9,$N2664='112'!$I$6)),"x",""))</f>
        <v/>
      </c>
      <c r="V2664" s="75" t="str">
        <f>IF(ISERROR(FIND('112'!$M$9,G2664,1)),"",IF((AND(RIGHT(G2664,2)=RIGHT('112'!$M$9,2),B2664&lt;'112'!$K$9,$O2664='112'!$I$6)),"x",""))</f>
        <v/>
      </c>
      <c r="W2664" s="75" t="str">
        <f>IF(AND('341-CT'!$H$9=H2664,OR(LEFT(N2664,3)=$W$7,LEFT(O2664,3)=$W$7)),"x","")</f>
        <v/>
      </c>
      <c r="X2664" s="75" t="str">
        <f>IF(OR(TH!N2664=TH!$X$7,O2664=TH!$X$7),"x","")</f>
        <v/>
      </c>
      <c r="Y2664" s="75" t="str">
        <f>IF(AND(OR(N2664="131",O2664="131"),H2664='131-CT'!$H$9),"x","")</f>
        <v/>
      </c>
      <c r="Z2664" s="75"/>
      <c r="AA2664" s="75" t="str">
        <f>IF(AND(MONTH(E2664)='IN-NX'!$J$5,'IN-NX'!$D$7=D2664),"x","")</f>
        <v/>
      </c>
      <c r="AB2664" s="75" t="str">
        <f>IF(AND(OR(LEFT(TH!N2664,2)="15",LEFT(TH!O2664,2)="15"),LEFT(TH!O2664,3)&lt;&gt;"111",'152-CT'!$J$8=TH!F2664),"x","")</f>
        <v/>
      </c>
      <c r="AC2664" s="75" t="str">
        <f>IF(AND(OR(LEFT(TH!N2664,2)="15",LEFT(TH!O2664,2)="15"),TK!$E$7=TH!F2664),"x","")</f>
        <v/>
      </c>
      <c r="AD2664" s="75" t="str">
        <f>IF(AND(N2664="1521",MONTH(C2664)='BK-NL'!$M$11),"x","")</f>
        <v/>
      </c>
    </row>
    <row r="2665" spans="1:30" s="1264" customFormat="1" ht="16.5" customHeight="1">
      <c r="A2665" s="309" t="str">
        <f>IF(B2665&lt;&gt;"",IF(AND(B2665='IN-TC'!$S$4,OR(TH!N2665="1111",TH!O2665="1111")),TH!D2665,""),"")</f>
        <v/>
      </c>
      <c r="B2665" s="1311">
        <f t="shared" si="943"/>
        <v>1</v>
      </c>
      <c r="C2665" s="71">
        <v>42746</v>
      </c>
      <c r="D2665" s="929" t="s">
        <v>530</v>
      </c>
      <c r="E2665" s="929">
        <v>42746</v>
      </c>
      <c r="F2665" s="72" t="s">
        <v>1027</v>
      </c>
      <c r="G2665" s="72" t="s">
        <v>747</v>
      </c>
      <c r="H2665" s="73" t="s">
        <v>759</v>
      </c>
      <c r="I2665" s="371"/>
      <c r="J2665" s="932"/>
      <c r="K2665" s="371">
        <v>12</v>
      </c>
      <c r="L2665" s="377">
        <v>22500</v>
      </c>
      <c r="M2665" s="933">
        <f t="shared" ref="M2665:M2669" si="950">ROUND(L2665*K2665,0)</f>
        <v>270000</v>
      </c>
      <c r="N2665" s="934" t="s">
        <v>101</v>
      </c>
      <c r="O2665" s="934" t="s">
        <v>536</v>
      </c>
      <c r="P2665" s="75" t="str">
        <f>IF(AND('331-CT'!$E$7=TH!H2665,OR(N2665="331",O2665="331")),"x","")</f>
        <v/>
      </c>
      <c r="Q2665" s="75" t="str">
        <f>IF(AND(B2665='111'!$L$11,OR($N2665=$Q$7,$O2665=$Q$7)),"x","")</f>
        <v/>
      </c>
      <c r="R2665" s="75" t="str">
        <f>IF(AND($N2665=$Q$7,$B2665&lt;'111'!$L$11),"x","")</f>
        <v/>
      </c>
      <c r="S2665" s="75" t="str">
        <f>IF(AND($O2665=$Q$7,$B2665&lt;'111'!$L$11),"x","")</f>
        <v/>
      </c>
      <c r="T2665" s="75" t="str">
        <f>IF(ISERROR(FIND('112'!$M$9,G2665,1)),"",IF((AND(FIND('112'!$M$9,G2665,1)&gt;=1,B2665='112'!$K$9,OR($N2665='112'!$I$6,$O2665='112'!$I$6))),"x",""))</f>
        <v/>
      </c>
      <c r="U2665" s="75" t="str">
        <f>IF(ISERROR(FIND('112'!$M$9,G2665,1)),"",IF((AND(LEFT(G2665,2)=LEFT('112'!$M$9,2),B2665&lt;'112'!$K$9,$N2665='112'!$I$6)),"x",""))</f>
        <v/>
      </c>
      <c r="V2665" s="75" t="str">
        <f>IF(ISERROR(FIND('112'!$M$9,G2665,1)),"",IF((AND(RIGHT(G2665,2)=RIGHT('112'!$M$9,2),B2665&lt;'112'!$K$9,$O2665='112'!$I$6)),"x",""))</f>
        <v/>
      </c>
      <c r="W2665" s="75" t="str">
        <f>IF(AND('341-CT'!$H$9=H2665,OR(LEFT(N2665,3)=$W$7,LEFT(O2665,3)=$W$7)),"x","")</f>
        <v/>
      </c>
      <c r="X2665" s="75" t="str">
        <f>IF(OR(TH!N2665=TH!$X$7,O2665=TH!$X$7),"x","")</f>
        <v/>
      </c>
      <c r="Y2665" s="75" t="str">
        <f>IF(AND(OR(N2665="131",O2665="131"),H2665='131-CT'!$H$9),"x","")</f>
        <v/>
      </c>
      <c r="Z2665" s="75"/>
      <c r="AA2665" s="75" t="str">
        <f>IF(AND(MONTH(E2665)='IN-NX'!$J$5,'IN-NX'!$D$7=D2665),"x","")</f>
        <v/>
      </c>
      <c r="AB2665" s="75" t="str">
        <f>IF(AND(OR(LEFT(TH!N2665,2)="15",LEFT(TH!O2665,2)="15"),LEFT(TH!O2665,3)&lt;&gt;"111",'152-CT'!$J$8=TH!F2665),"x","")</f>
        <v/>
      </c>
      <c r="AC2665" s="75" t="str">
        <f>IF(AND(OR(LEFT(TH!N2665,2)="15",LEFT(TH!O2665,2)="15"),TK!$E$7=TH!F2665),"x","")</f>
        <v/>
      </c>
      <c r="AD2665" s="75" t="str">
        <f>IF(AND(N2665="1521",MONTH(C2665)='BK-NL'!$M$11),"x","")</f>
        <v/>
      </c>
    </row>
    <row r="2666" spans="1:30" s="1264" customFormat="1" ht="16.5" customHeight="1">
      <c r="A2666" s="309" t="str">
        <f>IF(B2666&lt;&gt;"",IF(AND(B2666='IN-TC'!$S$4,OR(TH!N2666="1111",TH!O2666="1111")),TH!D2666,""),"")</f>
        <v/>
      </c>
      <c r="B2666" s="1311">
        <f t="shared" si="943"/>
        <v>1</v>
      </c>
      <c r="C2666" s="71">
        <v>42746</v>
      </c>
      <c r="D2666" s="71" t="s">
        <v>902</v>
      </c>
      <c r="E2666" s="929">
        <v>42746</v>
      </c>
      <c r="F2666" s="72" t="s">
        <v>922</v>
      </c>
      <c r="G2666" s="72" t="s">
        <v>747</v>
      </c>
      <c r="H2666" s="735" t="s">
        <v>835</v>
      </c>
      <c r="I2666" s="371"/>
      <c r="J2666" s="932"/>
      <c r="K2666" s="371">
        <v>110</v>
      </c>
      <c r="L2666" s="377">
        <v>22500</v>
      </c>
      <c r="M2666" s="74">
        <f t="shared" ref="M2666:M2668" si="951">ROUND(K2666*L2666,0)</f>
        <v>2475000</v>
      </c>
      <c r="N2666" s="934" t="s">
        <v>101</v>
      </c>
      <c r="O2666" s="934" t="s">
        <v>256</v>
      </c>
      <c r="P2666" s="75" t="str">
        <f>IF(AND('331-CT'!$E$7=TH!H2666,OR(N2666="331",O2666="331")),"x","")</f>
        <v/>
      </c>
      <c r="Q2666" s="75" t="str">
        <f>IF(AND(B2666='111'!$L$11,OR($N2666=$Q$7,$O2666=$Q$7)),"x","")</f>
        <v/>
      </c>
      <c r="R2666" s="75" t="str">
        <f>IF(AND($N2666=$Q$7,$B2666&lt;'111'!$L$11),"x","")</f>
        <v/>
      </c>
      <c r="S2666" s="75" t="str">
        <f>IF(AND($O2666=$Q$7,$B2666&lt;'111'!$L$11),"x","")</f>
        <v/>
      </c>
      <c r="T2666" s="75" t="str">
        <f>IF(ISERROR(FIND('112'!$M$9,G2666,1)),"",IF((AND(FIND('112'!$M$9,G2666,1)&gt;=1,B2666='112'!$K$9,OR($N2666='112'!$I$6,$O2666='112'!$I$6))),"x",""))</f>
        <v/>
      </c>
      <c r="U2666" s="75" t="str">
        <f>IF(ISERROR(FIND('112'!$M$9,G2666,1)),"",IF((AND(LEFT(G2666,2)=LEFT('112'!$M$9,2),B2666&lt;'112'!$K$9,$N2666='112'!$I$6)),"x",""))</f>
        <v/>
      </c>
      <c r="V2666" s="75" t="str">
        <f>IF(ISERROR(FIND('112'!$M$9,G2666,1)),"",IF((AND(RIGHT(G2666,2)=RIGHT('112'!$M$9,2),B2666&lt;'112'!$K$9,$O2666='112'!$I$6)),"x",""))</f>
        <v/>
      </c>
      <c r="W2666" s="75" t="str">
        <f>IF(AND('341-CT'!$H$9=H2666,OR(LEFT(N2666,3)=$W$7,LEFT(O2666,3)=$W$7)),"x","")</f>
        <v/>
      </c>
      <c r="X2666" s="75" t="str">
        <f>IF(OR(TH!N2666=TH!$X$7,O2666=TH!$X$7),"x","")</f>
        <v/>
      </c>
      <c r="Y2666" s="75" t="str">
        <f>IF(AND(OR(N2666="131",O2666="131"),H2666='131-CT'!$H$9),"x","")</f>
        <v/>
      </c>
      <c r="Z2666" s="75"/>
      <c r="AA2666" s="75" t="str">
        <f>IF(AND(MONTH(E2666)='IN-NX'!$J$5,'IN-NX'!$D$7=D2666),"x","")</f>
        <v/>
      </c>
      <c r="AB2666" s="75" t="str">
        <f>IF(AND(OR(LEFT(TH!N2666,2)="15",LEFT(TH!O2666,2)="15"),LEFT(TH!O2666,3)&lt;&gt;"111",'152-CT'!$J$8=TH!F2666),"x","")</f>
        <v/>
      </c>
      <c r="AC2666" s="75" t="str">
        <f>IF(AND(OR(LEFT(TH!N2666,2)="15",LEFT(TH!O2666,2)="15"),TK!$E$7=TH!F2666),"x","")</f>
        <v/>
      </c>
      <c r="AD2666" s="75" t="str">
        <f>IF(AND(N2666="1521",MONTH(C2666)='BK-NL'!$M$11),"x","")</f>
        <v/>
      </c>
    </row>
    <row r="2667" spans="1:30" s="1264" customFormat="1" ht="16.5" customHeight="1">
      <c r="A2667" s="309" t="str">
        <f>IF(B2667&lt;&gt;"",IF(AND(B2667='IN-TC'!$S$4,OR(TH!N2667="1111",TH!O2667="1111")),TH!D2667,""),"")</f>
        <v/>
      </c>
      <c r="B2667" s="1311">
        <f t="shared" si="943"/>
        <v>1</v>
      </c>
      <c r="C2667" s="71">
        <v>42758</v>
      </c>
      <c r="D2667" s="71" t="s">
        <v>902</v>
      </c>
      <c r="E2667" s="929">
        <v>42758</v>
      </c>
      <c r="F2667" s="72" t="s">
        <v>1096</v>
      </c>
      <c r="G2667" s="72" t="s">
        <v>747</v>
      </c>
      <c r="H2667" s="735" t="s">
        <v>835</v>
      </c>
      <c r="I2667" s="371"/>
      <c r="J2667" s="932"/>
      <c r="K2667" s="371">
        <v>38.770000000000003</v>
      </c>
      <c r="L2667" s="377">
        <v>22500</v>
      </c>
      <c r="M2667" s="74">
        <f t="shared" si="951"/>
        <v>872325</v>
      </c>
      <c r="N2667" s="934" t="s">
        <v>99</v>
      </c>
      <c r="O2667" s="934" t="s">
        <v>256</v>
      </c>
      <c r="P2667" s="75" t="str">
        <f>IF(AND('331-CT'!$E$7=TH!H2667,OR(N2667="331",O2667="331")),"x","")</f>
        <v/>
      </c>
      <c r="Q2667" s="75" t="str">
        <f>IF(AND(B2667='111'!$L$11,OR($N2667=$Q$7,$O2667=$Q$7)),"x","")</f>
        <v/>
      </c>
      <c r="R2667" s="75" t="str">
        <f>IF(AND($N2667=$Q$7,$B2667&lt;'111'!$L$11),"x","")</f>
        <v/>
      </c>
      <c r="S2667" s="75" t="str">
        <f>IF(AND($O2667=$Q$7,$B2667&lt;'111'!$L$11),"x","")</f>
        <v/>
      </c>
      <c r="T2667" s="75" t="str">
        <f>IF(ISERROR(FIND('112'!$M$9,G2667,1)),"",IF((AND(FIND('112'!$M$9,G2667,1)&gt;=1,B2667='112'!$K$9,OR($N2667='112'!$I$6,$O2667='112'!$I$6))),"x",""))</f>
        <v/>
      </c>
      <c r="U2667" s="75" t="str">
        <f>IF(ISERROR(FIND('112'!$M$9,G2667,1)),"",IF((AND(LEFT(G2667,2)=LEFT('112'!$M$9,2),B2667&lt;'112'!$K$9,$N2667='112'!$I$6)),"x",""))</f>
        <v/>
      </c>
      <c r="V2667" s="75" t="str">
        <f>IF(ISERROR(FIND('112'!$M$9,G2667,1)),"",IF((AND(RIGHT(G2667,2)=RIGHT('112'!$M$9,2),B2667&lt;'112'!$K$9,$O2667='112'!$I$6)),"x",""))</f>
        <v/>
      </c>
      <c r="W2667" s="75" t="str">
        <f>IF(AND('341-CT'!$H$9=H2667,OR(LEFT(N2667,3)=$W$7,LEFT(O2667,3)=$W$7)),"x","")</f>
        <v/>
      </c>
      <c r="X2667" s="75" t="str">
        <f>IF(OR(TH!N2667=TH!$X$7,O2667=TH!$X$7),"x","")</f>
        <v/>
      </c>
      <c r="Y2667" s="75" t="str">
        <f>IF(AND(OR(N2667="131",O2667="131"),H2667='131-CT'!$H$9),"x","")</f>
        <v/>
      </c>
      <c r="Z2667" s="75"/>
      <c r="AA2667" s="75" t="str">
        <f>IF(AND(MONTH(E2667)='IN-NX'!$J$5,'IN-NX'!$D$7=D2667),"x","")</f>
        <v/>
      </c>
      <c r="AB2667" s="75" t="str">
        <f>IF(AND(OR(LEFT(TH!N2667,2)="15",LEFT(TH!O2667,2)="15"),LEFT(TH!O2667,3)&lt;&gt;"111",'152-CT'!$J$8=TH!F2667),"x","")</f>
        <v/>
      </c>
      <c r="AC2667" s="75" t="str">
        <f>IF(AND(OR(LEFT(TH!N2667,2)="15",LEFT(TH!O2667,2)="15"),TK!$E$7=TH!F2667),"x","")</f>
        <v/>
      </c>
      <c r="AD2667" s="75" t="str">
        <f>IF(AND(N2667="1521",MONTH(C2667)='BK-NL'!$M$11),"x","")</f>
        <v/>
      </c>
    </row>
    <row r="2668" spans="1:30" s="1264" customFormat="1" ht="16.5" customHeight="1">
      <c r="A2668" s="309" t="str">
        <f>IF(B2668&lt;&gt;"",IF(AND(B2668='IN-TC'!$S$4,OR(TH!N2668="1111",TH!O2668="1111")),TH!D2668,""),"")</f>
        <v/>
      </c>
      <c r="B2668" s="1311">
        <f t="shared" si="943"/>
        <v>1</v>
      </c>
      <c r="C2668" s="71">
        <v>42760</v>
      </c>
      <c r="D2668" s="71" t="s">
        <v>903</v>
      </c>
      <c r="E2668" s="929">
        <v>42760</v>
      </c>
      <c r="F2668" s="72" t="s">
        <v>917</v>
      </c>
      <c r="G2668" s="72" t="s">
        <v>747</v>
      </c>
      <c r="H2668" s="735" t="s">
        <v>822</v>
      </c>
      <c r="I2668" s="371"/>
      <c r="J2668" s="932"/>
      <c r="K2668" s="371">
        <v>42100</v>
      </c>
      <c r="L2668" s="377">
        <v>22500</v>
      </c>
      <c r="M2668" s="1214">
        <f t="shared" si="951"/>
        <v>947250000</v>
      </c>
      <c r="N2668" s="934" t="s">
        <v>256</v>
      </c>
      <c r="O2668" s="934" t="s">
        <v>536</v>
      </c>
      <c r="P2668" s="75" t="str">
        <f>IF(AND('331-CT'!$E$7=TH!H2668,OR(N2668="331",O2668="331")),"x","")</f>
        <v/>
      </c>
      <c r="Q2668" s="75" t="str">
        <f>IF(AND(B2668='111'!$L$11,OR($N2668=$Q$7,$O2668=$Q$7)),"x","")</f>
        <v/>
      </c>
      <c r="R2668" s="75" t="str">
        <f>IF(AND($N2668=$Q$7,$B2668&lt;'111'!$L$11),"x","")</f>
        <v/>
      </c>
      <c r="S2668" s="75" t="str">
        <f>IF(AND($O2668=$Q$7,$B2668&lt;'111'!$L$11),"x","")</f>
        <v/>
      </c>
      <c r="T2668" s="75" t="str">
        <f>IF(ISERROR(FIND('112'!$M$9,G2668,1)),"",IF((AND(FIND('112'!$M$9,G2668,1)&gt;=1,B2668='112'!$K$9,OR($N2668='112'!$I$6,$O2668='112'!$I$6))),"x",""))</f>
        <v/>
      </c>
      <c r="U2668" s="75" t="str">
        <f>IF(ISERROR(FIND('112'!$M$9,G2668,1)),"",IF((AND(LEFT(G2668,2)=LEFT('112'!$M$9,2),B2668&lt;'112'!$K$9,$N2668='112'!$I$6)),"x",""))</f>
        <v/>
      </c>
      <c r="V2668" s="75" t="str">
        <f>IF(ISERROR(FIND('112'!$M$9,G2668,1)),"",IF((AND(RIGHT(G2668,2)=RIGHT('112'!$M$9,2),B2668&lt;'112'!$K$9,$O2668='112'!$I$6)),"x",""))</f>
        <v/>
      </c>
      <c r="W2668" s="75" t="str">
        <f>IF(AND('341-CT'!$H$9=H2668,OR(LEFT(N2668,3)=$W$7,LEFT(O2668,3)=$W$7)),"x","")</f>
        <v/>
      </c>
      <c r="X2668" s="75" t="str">
        <f>IF(OR(TH!N2668=TH!$X$7,O2668=TH!$X$7),"x","")</f>
        <v/>
      </c>
      <c r="Y2668" s="75" t="str">
        <f>IF(AND(OR(N2668="131",O2668="131"),H2668='131-CT'!$H$9),"x","")</f>
        <v/>
      </c>
      <c r="Z2668" s="75"/>
      <c r="AA2668" s="75" t="str">
        <f>IF(AND(MONTH(E2668)='IN-NX'!$J$5,'IN-NX'!$D$7=D2668),"x","")</f>
        <v/>
      </c>
      <c r="AB2668" s="75" t="str">
        <f>IF(AND(OR(LEFT(TH!N2668,2)="15",LEFT(TH!O2668,2)="15"),LEFT(TH!O2668,3)&lt;&gt;"111",'152-CT'!$J$8=TH!F2668),"x","")</f>
        <v/>
      </c>
      <c r="AC2668" s="75" t="str">
        <f>IF(AND(OR(LEFT(TH!N2668,2)="15",LEFT(TH!O2668,2)="15"),TK!$E$7=TH!F2668),"x","")</f>
        <v/>
      </c>
      <c r="AD2668" s="75" t="str">
        <f>IF(AND(N2668="1521",MONTH(C2668)='BK-NL'!$M$11),"x","")</f>
        <v/>
      </c>
    </row>
    <row r="2669" spans="1:30" s="1264" customFormat="1" ht="16.5" customHeight="1">
      <c r="A2669" s="309" t="str">
        <f>IF(B2669&lt;&gt;"",IF(AND(B2669='IN-TC'!$S$4,OR(TH!N2669="1111",TH!O2669="1111")),TH!D2669,""),"")</f>
        <v/>
      </c>
      <c r="B2669" s="1311">
        <f t="shared" si="943"/>
        <v>1</v>
      </c>
      <c r="C2669" s="71">
        <v>42760</v>
      </c>
      <c r="D2669" s="929" t="s">
        <v>530</v>
      </c>
      <c r="E2669" s="929">
        <v>42760</v>
      </c>
      <c r="F2669" s="72" t="s">
        <v>1003</v>
      </c>
      <c r="G2669" s="72" t="s">
        <v>747</v>
      </c>
      <c r="H2669" s="735" t="s">
        <v>822</v>
      </c>
      <c r="I2669" s="371"/>
      <c r="J2669" s="932"/>
      <c r="K2669" s="371">
        <v>140</v>
      </c>
      <c r="L2669" s="377">
        <v>22500</v>
      </c>
      <c r="M2669" s="933">
        <f t="shared" si="950"/>
        <v>3150000</v>
      </c>
      <c r="N2669" s="934" t="s">
        <v>101</v>
      </c>
      <c r="O2669" s="934" t="s">
        <v>536</v>
      </c>
      <c r="P2669" s="75" t="str">
        <f>IF(AND('331-CT'!$E$7=TH!H2669,OR(N2669="331",O2669="331")),"x","")</f>
        <v/>
      </c>
      <c r="Q2669" s="75" t="str">
        <f>IF(AND(B2669='111'!$L$11,OR($N2669=$Q$7,$O2669=$Q$7)),"x","")</f>
        <v/>
      </c>
      <c r="R2669" s="75" t="str">
        <f>IF(AND($N2669=$Q$7,$B2669&lt;'111'!$L$11),"x","")</f>
        <v/>
      </c>
      <c r="S2669" s="75" t="str">
        <f>IF(AND($O2669=$Q$7,$B2669&lt;'111'!$L$11),"x","")</f>
        <v/>
      </c>
      <c r="T2669" s="75" t="str">
        <f>IF(ISERROR(FIND('112'!$M$9,G2669,1)),"",IF((AND(FIND('112'!$M$9,G2669,1)&gt;=1,B2669='112'!$K$9,OR($N2669='112'!$I$6,$O2669='112'!$I$6))),"x",""))</f>
        <v/>
      </c>
      <c r="U2669" s="75" t="str">
        <f>IF(ISERROR(FIND('112'!$M$9,G2669,1)),"",IF((AND(LEFT(G2669,2)=LEFT('112'!$M$9,2),B2669&lt;'112'!$K$9,$N2669='112'!$I$6)),"x",""))</f>
        <v/>
      </c>
      <c r="V2669" s="75" t="str">
        <f>IF(ISERROR(FIND('112'!$M$9,G2669,1)),"",IF((AND(RIGHT(G2669,2)=RIGHT('112'!$M$9,2),B2669&lt;'112'!$K$9,$O2669='112'!$I$6)),"x",""))</f>
        <v/>
      </c>
      <c r="W2669" s="75" t="str">
        <f>IF(AND('341-CT'!$H$9=H2669,OR(LEFT(N2669,3)=$W$7,LEFT(O2669,3)=$W$7)),"x","")</f>
        <v/>
      </c>
      <c r="X2669" s="75" t="str">
        <f>IF(OR(TH!N2669=TH!$X$7,O2669=TH!$X$7),"x","")</f>
        <v/>
      </c>
      <c r="Y2669" s="75" t="str">
        <f>IF(AND(OR(N2669="131",O2669="131"),H2669='131-CT'!$H$9),"x","")</f>
        <v/>
      </c>
      <c r="Z2669" s="75"/>
      <c r="AA2669" s="75" t="str">
        <f>IF(AND(MONTH(E2669)='IN-NX'!$J$5,'IN-NX'!$D$7=D2669),"x","")</f>
        <v/>
      </c>
      <c r="AB2669" s="75" t="str">
        <f>IF(AND(OR(LEFT(TH!N2669,2)="15",LEFT(TH!O2669,2)="15"),LEFT(TH!O2669,3)&lt;&gt;"111",'152-CT'!$J$8=TH!F2669),"x","")</f>
        <v/>
      </c>
      <c r="AC2669" s="75" t="str">
        <f>IF(AND(OR(LEFT(TH!N2669,2)="15",LEFT(TH!O2669,2)="15"),TK!$E$7=TH!F2669),"x","")</f>
        <v/>
      </c>
      <c r="AD2669" s="75" t="str">
        <f>IF(AND(N2669="1521",MONTH(C2669)='BK-NL'!$M$11),"x","")</f>
        <v/>
      </c>
    </row>
    <row r="2670" spans="1:30" s="1264" customFormat="1" ht="16.5" customHeight="1">
      <c r="A2670" s="309" t="str">
        <f>IF(B2670&lt;&gt;"",IF(AND(B2670='IN-TC'!$S$4,OR(TH!N2670="1111",TH!O2670="1111")),TH!D2670,""),"")</f>
        <v/>
      </c>
      <c r="B2670" s="1311">
        <f t="shared" si="943"/>
        <v>1</v>
      </c>
      <c r="C2670" s="71">
        <v>42760</v>
      </c>
      <c r="D2670" s="929" t="s">
        <v>530</v>
      </c>
      <c r="E2670" s="929">
        <v>42760</v>
      </c>
      <c r="F2670" s="72" t="s">
        <v>1010</v>
      </c>
      <c r="G2670" s="72" t="s">
        <v>747</v>
      </c>
      <c r="H2670" s="735" t="s">
        <v>822</v>
      </c>
      <c r="I2670" s="371"/>
      <c r="J2670" s="932"/>
      <c r="K2670" s="371"/>
      <c r="L2670" s="377"/>
      <c r="M2670" s="933">
        <v>4012800</v>
      </c>
      <c r="N2670" s="934" t="s">
        <v>99</v>
      </c>
      <c r="O2670" s="934" t="s">
        <v>536</v>
      </c>
      <c r="P2670" s="75" t="str">
        <f>IF(AND('331-CT'!$E$7=TH!H2670,OR(N2670="331",O2670="331")),"x","")</f>
        <v/>
      </c>
      <c r="Q2670" s="75" t="str">
        <f>IF(AND(B2670='111'!$L$11,OR($N2670=$Q$7,$O2670=$Q$7)),"x","")</f>
        <v/>
      </c>
      <c r="R2670" s="75" t="str">
        <f>IF(AND($N2670=$Q$7,$B2670&lt;'111'!$L$11),"x","")</f>
        <v/>
      </c>
      <c r="S2670" s="75" t="str">
        <f>IF(AND($O2670=$Q$7,$B2670&lt;'111'!$L$11),"x","")</f>
        <v/>
      </c>
      <c r="T2670" s="75" t="str">
        <f>IF(ISERROR(FIND('112'!$M$9,G2670,1)),"",IF((AND(FIND('112'!$M$9,G2670,1)&gt;=1,B2670='112'!$K$9,OR($N2670='112'!$I$6,$O2670='112'!$I$6))),"x",""))</f>
        <v/>
      </c>
      <c r="U2670" s="75" t="str">
        <f>IF(ISERROR(FIND('112'!$M$9,G2670,1)),"",IF((AND(LEFT(G2670,2)=LEFT('112'!$M$9,2),B2670&lt;'112'!$K$9,$N2670='112'!$I$6)),"x",""))</f>
        <v/>
      </c>
      <c r="V2670" s="75" t="str">
        <f>IF(ISERROR(FIND('112'!$M$9,G2670,1)),"",IF((AND(RIGHT(G2670,2)=RIGHT('112'!$M$9,2),B2670&lt;'112'!$K$9,$O2670='112'!$I$6)),"x",""))</f>
        <v/>
      </c>
      <c r="W2670" s="75" t="str">
        <f>IF(AND('341-CT'!$H$9=H2670,OR(LEFT(N2670,3)=$W$7,LEFT(O2670,3)=$W$7)),"x","")</f>
        <v/>
      </c>
      <c r="X2670" s="75" t="str">
        <f>IF(OR(TH!N2670=TH!$X$7,O2670=TH!$X$7),"x","")</f>
        <v/>
      </c>
      <c r="Y2670" s="75" t="str">
        <f>IF(AND(OR(N2670="131",O2670="131"),H2670='131-CT'!$H$9),"x","")</f>
        <v/>
      </c>
      <c r="Z2670" s="75"/>
      <c r="AA2670" s="75" t="str">
        <f>IF(AND(MONTH(E2670)='IN-NX'!$J$5,'IN-NX'!$D$7=D2670),"x","")</f>
        <v/>
      </c>
      <c r="AB2670" s="75" t="str">
        <f>IF(AND(OR(LEFT(TH!N2670,2)="15",LEFT(TH!O2670,2)="15"),LEFT(TH!O2670,3)&lt;&gt;"111",'152-CT'!$J$8=TH!F2670),"x","")</f>
        <v/>
      </c>
      <c r="AC2670" s="75" t="str">
        <f>IF(AND(OR(LEFT(TH!N2670,2)="15",LEFT(TH!O2670,2)="15"),TK!$E$7=TH!F2670),"x","")</f>
        <v/>
      </c>
      <c r="AD2670" s="75" t="str">
        <f>IF(AND(N2670="1521",MONTH(C2670)='BK-NL'!$M$11),"x","")</f>
        <v/>
      </c>
    </row>
    <row r="2671" spans="1:30" s="1264" customFormat="1" ht="16.5" customHeight="1">
      <c r="A2671" s="309" t="str">
        <f>IF(B2671&lt;&gt;"",IF(AND(B2671='IN-TC'!$S$4,OR(TH!N2671="1111",TH!O2671="1111")),TH!D2671,""),"")</f>
        <v/>
      </c>
      <c r="B2671" s="1311">
        <f t="shared" si="943"/>
        <v>1</v>
      </c>
      <c r="C2671" s="71">
        <v>42760</v>
      </c>
      <c r="D2671" s="71" t="s">
        <v>902</v>
      </c>
      <c r="E2671" s="929">
        <v>42760</v>
      </c>
      <c r="F2671" s="72" t="s">
        <v>924</v>
      </c>
      <c r="G2671" s="72" t="s">
        <v>747</v>
      </c>
      <c r="H2671" s="1236" t="s">
        <v>2443</v>
      </c>
      <c r="I2671" s="371"/>
      <c r="J2671" s="932"/>
      <c r="K2671" s="371">
        <v>40000</v>
      </c>
      <c r="L2671" s="377">
        <v>22500</v>
      </c>
      <c r="M2671" s="74">
        <f t="shared" ref="M2671:M2672" si="952">ROUND(K2671*L2671,0)</f>
        <v>900000000</v>
      </c>
      <c r="N2671" s="934" t="s">
        <v>250</v>
      </c>
      <c r="O2671" s="934" t="s">
        <v>256</v>
      </c>
      <c r="P2671" s="75" t="str">
        <f>IF(AND('331-CT'!$E$7=TH!H2671,OR(N2671="331",O2671="331")),"x","")</f>
        <v/>
      </c>
      <c r="Q2671" s="75" t="str">
        <f>IF(AND(B2671='111'!$L$11,OR($N2671=$Q$7,$O2671=$Q$7)),"x","")</f>
        <v/>
      </c>
      <c r="R2671" s="75" t="str">
        <f>IF(AND($N2671=$Q$7,$B2671&lt;'111'!$L$11),"x","")</f>
        <v/>
      </c>
      <c r="S2671" s="75" t="str">
        <f>IF(AND($O2671=$Q$7,$B2671&lt;'111'!$L$11),"x","")</f>
        <v/>
      </c>
      <c r="T2671" s="75" t="str">
        <f>IF(ISERROR(FIND('112'!$M$9,G2671,1)),"",IF((AND(FIND('112'!$M$9,G2671,1)&gt;=1,B2671='112'!$K$9,OR($N2671='112'!$I$6,$O2671='112'!$I$6))),"x",""))</f>
        <v/>
      </c>
      <c r="U2671" s="75" t="str">
        <f>IF(ISERROR(FIND('112'!$M$9,G2671,1)),"",IF((AND(LEFT(G2671,2)=LEFT('112'!$M$9,2),B2671&lt;'112'!$K$9,$N2671='112'!$I$6)),"x",""))</f>
        <v/>
      </c>
      <c r="V2671" s="75" t="str">
        <f>IF(ISERROR(FIND('112'!$M$9,G2671,1)),"",IF((AND(RIGHT(G2671,2)=RIGHT('112'!$M$9,2),B2671&lt;'112'!$K$9,$O2671='112'!$I$6)),"x",""))</f>
        <v/>
      </c>
      <c r="W2671" s="75" t="str">
        <f>IF(AND('341-CT'!$H$9=H2671,OR(LEFT(N2671,3)=$W$7,LEFT(O2671,3)=$W$7)),"x","")</f>
        <v/>
      </c>
      <c r="X2671" s="75" t="str">
        <f>IF(OR(TH!N2671=TH!$X$7,O2671=TH!$X$7),"x","")</f>
        <v/>
      </c>
      <c r="Y2671" s="75" t="str">
        <f>IF(AND(OR(N2671="131",O2671="131"),H2671='131-CT'!$H$9),"x","")</f>
        <v/>
      </c>
      <c r="Z2671" s="75"/>
      <c r="AA2671" s="75" t="str">
        <f>IF(AND(MONTH(E2671)='IN-NX'!$J$5,'IN-NX'!$D$7=D2671),"x","")</f>
        <v/>
      </c>
      <c r="AB2671" s="75" t="str">
        <f>IF(AND(OR(LEFT(TH!N2671,2)="15",LEFT(TH!O2671,2)="15"),LEFT(TH!O2671,3)&lt;&gt;"111",'152-CT'!$J$8=TH!F2671),"x","")</f>
        <v/>
      </c>
      <c r="AC2671" s="75" t="str">
        <f>IF(AND(OR(LEFT(TH!N2671,2)="15",LEFT(TH!O2671,2)="15"),TK!$E$7=TH!F2671),"x","")</f>
        <v/>
      </c>
      <c r="AD2671" s="75" t="str">
        <f>IF(AND(N2671="1521",MONTH(C2671)='BK-NL'!$M$11),"x","")</f>
        <v/>
      </c>
    </row>
    <row r="2672" spans="1:30" s="1264" customFormat="1" ht="16.5" customHeight="1">
      <c r="A2672" s="309" t="str">
        <f>IF(B2672&lt;&gt;"",IF(AND(B2672='IN-TC'!$S$4,OR(TH!N2672="1111",TH!O2672="1111")),TH!D2672,""),"")</f>
        <v/>
      </c>
      <c r="B2672" s="1311">
        <f t="shared" si="943"/>
        <v>1</v>
      </c>
      <c r="C2672" s="71">
        <v>42760</v>
      </c>
      <c r="D2672" s="71" t="s">
        <v>902</v>
      </c>
      <c r="E2672" s="929">
        <v>42760</v>
      </c>
      <c r="F2672" s="72" t="s">
        <v>1096</v>
      </c>
      <c r="G2672" s="72" t="s">
        <v>747</v>
      </c>
      <c r="H2672" s="1236" t="s">
        <v>2443</v>
      </c>
      <c r="I2672" s="371"/>
      <c r="J2672" s="932"/>
      <c r="K2672" s="371">
        <v>40.01</v>
      </c>
      <c r="L2672" s="377">
        <v>22500</v>
      </c>
      <c r="M2672" s="74">
        <f t="shared" si="952"/>
        <v>900225</v>
      </c>
      <c r="N2672" s="934" t="s">
        <v>99</v>
      </c>
      <c r="O2672" s="934" t="s">
        <v>256</v>
      </c>
      <c r="P2672" s="75" t="str">
        <f>IF(AND('331-CT'!$E$7=TH!H2672,OR(N2672="331",O2672="331")),"x","")</f>
        <v/>
      </c>
      <c r="Q2672" s="75" t="str">
        <f>IF(AND(B2672='111'!$L$11,OR($N2672=$Q$7,$O2672=$Q$7)),"x","")</f>
        <v/>
      </c>
      <c r="R2672" s="75" t="str">
        <f>IF(AND($N2672=$Q$7,$B2672&lt;'111'!$L$11),"x","")</f>
        <v/>
      </c>
      <c r="S2672" s="75" t="str">
        <f>IF(AND($O2672=$Q$7,$B2672&lt;'111'!$L$11),"x","")</f>
        <v/>
      </c>
      <c r="T2672" s="75" t="str">
        <f>IF(ISERROR(FIND('112'!$M$9,G2672,1)),"",IF((AND(FIND('112'!$M$9,G2672,1)&gt;=1,B2672='112'!$K$9,OR($N2672='112'!$I$6,$O2672='112'!$I$6))),"x",""))</f>
        <v/>
      </c>
      <c r="U2672" s="75" t="str">
        <f>IF(ISERROR(FIND('112'!$M$9,G2672,1)),"",IF((AND(LEFT(G2672,2)=LEFT('112'!$M$9,2),B2672&lt;'112'!$K$9,$N2672='112'!$I$6)),"x",""))</f>
        <v/>
      </c>
      <c r="V2672" s="75" t="str">
        <f>IF(ISERROR(FIND('112'!$M$9,G2672,1)),"",IF((AND(RIGHT(G2672,2)=RIGHT('112'!$M$9,2),B2672&lt;'112'!$K$9,$O2672='112'!$I$6)),"x",""))</f>
        <v/>
      </c>
      <c r="W2672" s="75" t="str">
        <f>IF(AND('341-CT'!$H$9=H2672,OR(LEFT(N2672,3)=$W$7,LEFT(O2672,3)=$W$7)),"x","")</f>
        <v/>
      </c>
      <c r="X2672" s="75" t="str">
        <f>IF(OR(TH!N2672=TH!$X$7,O2672=TH!$X$7),"x","")</f>
        <v/>
      </c>
      <c r="Y2672" s="75" t="str">
        <f>IF(AND(OR(N2672="131",O2672="131"),H2672='131-CT'!$H$9),"x","")</f>
        <v/>
      </c>
      <c r="Z2672" s="75"/>
      <c r="AA2672" s="75" t="str">
        <f>IF(AND(MONTH(E2672)='IN-NX'!$J$5,'IN-NX'!$D$7=D2672),"x","")</f>
        <v/>
      </c>
      <c r="AB2672" s="75" t="str">
        <f>IF(AND(OR(LEFT(TH!N2672,2)="15",LEFT(TH!O2672,2)="15"),LEFT(TH!O2672,3)&lt;&gt;"111",'152-CT'!$J$8=TH!F2672),"x","")</f>
        <v/>
      </c>
      <c r="AC2672" s="75" t="str">
        <f>IF(AND(OR(LEFT(TH!N2672,2)="15",LEFT(TH!O2672,2)="15"),TK!$E$7=TH!F2672),"x","")</f>
        <v/>
      </c>
      <c r="AD2672" s="75" t="str">
        <f>IF(AND(N2672="1521",MONTH(C2672)='BK-NL'!$M$11),"x","")</f>
        <v/>
      </c>
    </row>
    <row r="2673" spans="1:30" s="1264" customFormat="1" ht="16.5" customHeight="1">
      <c r="A2673" s="309" t="str">
        <f>IF(B2673&lt;&gt;"",IF(AND(B2673='IN-TC'!$S$4,OR(TH!N2673="1111",TH!O2673="1111")),TH!D2673,""),"")</f>
        <v/>
      </c>
      <c r="B2673" s="1311">
        <f t="shared" si="943"/>
        <v>1</v>
      </c>
      <c r="C2673" s="71">
        <v>42760</v>
      </c>
      <c r="D2673" s="929" t="s">
        <v>530</v>
      </c>
      <c r="E2673" s="929">
        <v>42760</v>
      </c>
      <c r="F2673" s="72" t="s">
        <v>1010</v>
      </c>
      <c r="G2673" s="72" t="s">
        <v>747</v>
      </c>
      <c r="H2673" s="1236" t="s">
        <v>2443</v>
      </c>
      <c r="I2673" s="371"/>
      <c r="J2673" s="932"/>
      <c r="K2673" s="371"/>
      <c r="L2673" s="377"/>
      <c r="M2673" s="933">
        <v>2200000</v>
      </c>
      <c r="N2673" s="934" t="s">
        <v>250</v>
      </c>
      <c r="O2673" s="934" t="s">
        <v>43</v>
      </c>
      <c r="P2673" s="75" t="str">
        <f>IF(AND('331-CT'!$E$7=TH!H2673,OR(N2673="331",O2673="331")),"x","")</f>
        <v/>
      </c>
      <c r="Q2673" s="75" t="str">
        <f>IF(AND(B2673='111'!$L$11,OR($N2673=$Q$7,$O2673=$Q$7)),"x","")</f>
        <v/>
      </c>
      <c r="R2673" s="75" t="str">
        <f>IF(AND($N2673=$Q$7,$B2673&lt;'111'!$L$11),"x","")</f>
        <v/>
      </c>
      <c r="S2673" s="75" t="str">
        <f>IF(AND($O2673=$Q$7,$B2673&lt;'111'!$L$11),"x","")</f>
        <v/>
      </c>
      <c r="T2673" s="75" t="str">
        <f>IF(ISERROR(FIND('112'!$M$9,G2673,1)),"",IF((AND(FIND('112'!$M$9,G2673,1)&gt;=1,B2673='112'!$K$9,OR($N2673='112'!$I$6,$O2673='112'!$I$6))),"x",""))</f>
        <v/>
      </c>
      <c r="U2673" s="75" t="str">
        <f>IF(ISERROR(FIND('112'!$M$9,G2673,1)),"",IF((AND(LEFT(G2673,2)=LEFT('112'!$M$9,2),B2673&lt;'112'!$K$9,$N2673='112'!$I$6)),"x",""))</f>
        <v/>
      </c>
      <c r="V2673" s="75" t="str">
        <f>IF(ISERROR(FIND('112'!$M$9,G2673,1)),"",IF((AND(RIGHT(G2673,2)=RIGHT('112'!$M$9,2),B2673&lt;'112'!$K$9,$O2673='112'!$I$6)),"x",""))</f>
        <v/>
      </c>
      <c r="W2673" s="75" t="str">
        <f>IF(AND('341-CT'!$H$9=H2673,OR(LEFT(N2673,3)=$W$7,LEFT(O2673,3)=$W$7)),"x","")</f>
        <v/>
      </c>
      <c r="X2673" s="75" t="str">
        <f>IF(OR(TH!N2673=TH!$X$7,O2673=TH!$X$7),"x","")</f>
        <v/>
      </c>
      <c r="Y2673" s="75" t="str">
        <f>IF(AND(OR(N2673="131",O2673="131"),H2673='131-CT'!$H$9),"x","")</f>
        <v/>
      </c>
      <c r="Z2673" s="75"/>
      <c r="AA2673" s="75" t="str">
        <f>IF(AND(MONTH(E2673)='IN-NX'!$J$5,'IN-NX'!$D$7=D2673),"x","")</f>
        <v/>
      </c>
      <c r="AB2673" s="75" t="str">
        <f>IF(AND(OR(LEFT(TH!N2673,2)="15",LEFT(TH!O2673,2)="15"),LEFT(TH!O2673,3)&lt;&gt;"111",'152-CT'!$J$8=TH!F2673),"x","")</f>
        <v/>
      </c>
      <c r="AC2673" s="75" t="str">
        <f>IF(AND(OR(LEFT(TH!N2673,2)="15",LEFT(TH!O2673,2)="15"),TK!$E$7=TH!F2673),"x","")</f>
        <v/>
      </c>
      <c r="AD2673" s="75" t="str">
        <f>IF(AND(N2673="1521",MONTH(C2673)='BK-NL'!$M$11),"x","")</f>
        <v/>
      </c>
    </row>
    <row r="2674" spans="1:30" s="1264" customFormat="1" ht="16.5" customHeight="1">
      <c r="A2674" s="309" t="str">
        <f>IF(B2674&lt;&gt;"",IF(AND(B2674='IN-TC'!$S$4,OR(TH!N2674="1111",TH!O2674="1111")),TH!D2674,""),"")</f>
        <v/>
      </c>
      <c r="B2674" s="1311">
        <f t="shared" si="943"/>
        <v>1</v>
      </c>
      <c r="C2674" s="71">
        <v>42760</v>
      </c>
      <c r="D2674" s="71" t="s">
        <v>903</v>
      </c>
      <c r="E2674" s="929">
        <v>42760</v>
      </c>
      <c r="F2674" s="72" t="s">
        <v>2436</v>
      </c>
      <c r="G2674" s="72" t="s">
        <v>747</v>
      </c>
      <c r="H2674" s="735" t="s">
        <v>2448</v>
      </c>
      <c r="I2674" s="371"/>
      <c r="J2674" s="932"/>
      <c r="K2674" s="371">
        <v>51400</v>
      </c>
      <c r="L2674" s="377">
        <v>22500</v>
      </c>
      <c r="M2674" s="1214">
        <f t="shared" ref="M2674" si="953">ROUND(K2674*L2674,0)</f>
        <v>1156500000</v>
      </c>
      <c r="N2674" s="934" t="s">
        <v>256</v>
      </c>
      <c r="O2674" s="934" t="s">
        <v>250</v>
      </c>
      <c r="P2674" s="75" t="str">
        <f>IF(AND('331-CT'!$E$7=TH!H2674,OR(N2674="331",O2674="331")),"x","")</f>
        <v/>
      </c>
      <c r="Q2674" s="75" t="str">
        <f>IF(AND(B2674='111'!$L$11,OR($N2674=$Q$7,$O2674=$Q$7)),"x","")</f>
        <v/>
      </c>
      <c r="R2674" s="75" t="str">
        <f>IF(AND($N2674=$Q$7,$B2674&lt;'111'!$L$11),"x","")</f>
        <v/>
      </c>
      <c r="S2674" s="75" t="str">
        <f>IF(AND($O2674=$Q$7,$B2674&lt;'111'!$L$11),"x","")</f>
        <v/>
      </c>
      <c r="T2674" s="75" t="str">
        <f>IF(ISERROR(FIND('112'!$M$9,G2674,1)),"",IF((AND(FIND('112'!$M$9,G2674,1)&gt;=1,B2674='112'!$K$9,OR($N2674='112'!$I$6,$O2674='112'!$I$6))),"x",""))</f>
        <v/>
      </c>
      <c r="U2674" s="75" t="str">
        <f>IF(ISERROR(FIND('112'!$M$9,G2674,1)),"",IF((AND(LEFT(G2674,2)=LEFT('112'!$M$9,2),B2674&lt;'112'!$K$9,$N2674='112'!$I$6)),"x",""))</f>
        <v/>
      </c>
      <c r="V2674" s="75" t="str">
        <f>IF(ISERROR(FIND('112'!$M$9,G2674,1)),"",IF((AND(RIGHT(G2674,2)=RIGHT('112'!$M$9,2),B2674&lt;'112'!$K$9,$O2674='112'!$I$6)),"x",""))</f>
        <v/>
      </c>
      <c r="W2674" s="75" t="str">
        <f>IF(AND('341-CT'!$H$9=H2674,OR(LEFT(N2674,3)=$W$7,LEFT(O2674,3)=$W$7)),"x","")</f>
        <v/>
      </c>
      <c r="X2674" s="75" t="str">
        <f>IF(OR(TH!N2674=TH!$X$7,O2674=TH!$X$7),"x","")</f>
        <v/>
      </c>
      <c r="Y2674" s="75" t="str">
        <f>IF(AND(OR(N2674="131",O2674="131"),H2674='131-CT'!$H$9),"x","")</f>
        <v/>
      </c>
      <c r="Z2674" s="75"/>
      <c r="AA2674" s="75" t="str">
        <f>IF(AND(MONTH(E2674)='IN-NX'!$J$5,'IN-NX'!$D$7=D2674),"x","")</f>
        <v/>
      </c>
      <c r="AB2674" s="75" t="str">
        <f>IF(AND(OR(LEFT(TH!N2674,2)="15",LEFT(TH!O2674,2)="15"),LEFT(TH!O2674,3)&lt;&gt;"111",'152-CT'!$J$8=TH!F2674),"x","")</f>
        <v/>
      </c>
      <c r="AC2674" s="75" t="str">
        <f>IF(AND(OR(LEFT(TH!N2674,2)="15",LEFT(TH!O2674,2)="15"),TK!$E$7=TH!F2674),"x","")</f>
        <v/>
      </c>
      <c r="AD2674" s="75" t="str">
        <f>IF(AND(N2674="1521",MONTH(C2674)='BK-NL'!$M$11),"x","")</f>
        <v/>
      </c>
    </row>
    <row r="2675" spans="1:30" s="1264" customFormat="1" ht="16.5" customHeight="1">
      <c r="A2675" s="309" t="str">
        <f>IF(B2675&lt;&gt;"",IF(AND(B2675='IN-TC'!$S$4,OR(TH!N2675="1111",TH!O2675="1111")),TH!D2675,""),"")</f>
        <v/>
      </c>
      <c r="B2675" s="1311">
        <f t="shared" si="943"/>
        <v>1</v>
      </c>
      <c r="C2675" s="71">
        <v>42760</v>
      </c>
      <c r="D2675" s="71" t="s">
        <v>902</v>
      </c>
      <c r="E2675" s="929">
        <v>42760</v>
      </c>
      <c r="F2675" s="72" t="s">
        <v>924</v>
      </c>
      <c r="G2675" s="72" t="s">
        <v>747</v>
      </c>
      <c r="H2675" s="735" t="s">
        <v>1006</v>
      </c>
      <c r="I2675" s="371"/>
      <c r="J2675" s="932"/>
      <c r="K2675" s="371">
        <v>50400</v>
      </c>
      <c r="L2675" s="377">
        <v>22500</v>
      </c>
      <c r="M2675" s="74">
        <f t="shared" ref="M2675:M2676" si="954">ROUND(K2675*L2675,0)</f>
        <v>1134000000</v>
      </c>
      <c r="N2675" s="934" t="s">
        <v>250</v>
      </c>
      <c r="O2675" s="934" t="s">
        <v>256</v>
      </c>
      <c r="P2675" s="75" t="str">
        <f>IF(AND('331-CT'!$E$7=TH!H2675,OR(N2675="331",O2675="331")),"x","")</f>
        <v/>
      </c>
      <c r="Q2675" s="75" t="str">
        <f>IF(AND(B2675='111'!$L$11,OR($N2675=$Q$7,$O2675=$Q$7)),"x","")</f>
        <v/>
      </c>
      <c r="R2675" s="75" t="str">
        <f>IF(AND($N2675=$Q$7,$B2675&lt;'111'!$L$11),"x","")</f>
        <v/>
      </c>
      <c r="S2675" s="75" t="str">
        <f>IF(AND($O2675=$Q$7,$B2675&lt;'111'!$L$11),"x","")</f>
        <v/>
      </c>
      <c r="T2675" s="75" t="str">
        <f>IF(ISERROR(FIND('112'!$M$9,G2675,1)),"",IF((AND(FIND('112'!$M$9,G2675,1)&gt;=1,B2675='112'!$K$9,OR($N2675='112'!$I$6,$O2675='112'!$I$6))),"x",""))</f>
        <v/>
      </c>
      <c r="U2675" s="75" t="str">
        <f>IF(ISERROR(FIND('112'!$M$9,G2675,1)),"",IF((AND(LEFT(G2675,2)=LEFT('112'!$M$9,2),B2675&lt;'112'!$K$9,$N2675='112'!$I$6)),"x",""))</f>
        <v/>
      </c>
      <c r="V2675" s="75" t="str">
        <f>IF(ISERROR(FIND('112'!$M$9,G2675,1)),"",IF((AND(RIGHT(G2675,2)=RIGHT('112'!$M$9,2),B2675&lt;'112'!$K$9,$O2675='112'!$I$6)),"x",""))</f>
        <v/>
      </c>
      <c r="W2675" s="75" t="str">
        <f>IF(AND('341-CT'!$H$9=H2675,OR(LEFT(N2675,3)=$W$7,LEFT(O2675,3)=$W$7)),"x","")</f>
        <v/>
      </c>
      <c r="X2675" s="75" t="str">
        <f>IF(OR(TH!N2675=TH!$X$7,O2675=TH!$X$7),"x","")</f>
        <v/>
      </c>
      <c r="Y2675" s="75" t="str">
        <f>IF(AND(OR(N2675="131",O2675="131"),H2675='131-CT'!$H$9),"x","")</f>
        <v/>
      </c>
      <c r="Z2675" s="75"/>
      <c r="AA2675" s="75" t="str">
        <f>IF(AND(MONTH(E2675)='IN-NX'!$J$5,'IN-NX'!$D$7=D2675),"x","")</f>
        <v/>
      </c>
      <c r="AB2675" s="75" t="str">
        <f>IF(AND(OR(LEFT(TH!N2675,2)="15",LEFT(TH!O2675,2)="15"),LEFT(TH!O2675,3)&lt;&gt;"111",'152-CT'!$J$8=TH!F2675),"x","")</f>
        <v/>
      </c>
      <c r="AC2675" s="75" t="str">
        <f>IF(AND(OR(LEFT(TH!N2675,2)="15",LEFT(TH!O2675,2)="15"),TK!$E$7=TH!F2675),"x","")</f>
        <v/>
      </c>
      <c r="AD2675" s="75" t="str">
        <f>IF(AND(N2675="1521",MONTH(C2675)='BK-NL'!$M$11),"x","")</f>
        <v/>
      </c>
    </row>
    <row r="2676" spans="1:30" s="1264" customFormat="1" ht="16.5" customHeight="1">
      <c r="A2676" s="309" t="str">
        <f>IF(B2676&lt;&gt;"",IF(AND(B2676='IN-TC'!$S$4,OR(TH!N2676="1111",TH!O2676="1111")),TH!D2676,""),"")</f>
        <v/>
      </c>
      <c r="B2676" s="1311">
        <f t="shared" si="943"/>
        <v>1</v>
      </c>
      <c r="C2676" s="71">
        <v>42760</v>
      </c>
      <c r="D2676" s="71" t="s">
        <v>902</v>
      </c>
      <c r="E2676" s="929">
        <v>42760</v>
      </c>
      <c r="F2676" s="72" t="s">
        <v>1096</v>
      </c>
      <c r="G2676" s="72" t="s">
        <v>747</v>
      </c>
      <c r="H2676" s="735" t="s">
        <v>1006</v>
      </c>
      <c r="I2676" s="371"/>
      <c r="J2676" s="932"/>
      <c r="K2676" s="371">
        <v>142.83000000000001</v>
      </c>
      <c r="L2676" s="377">
        <v>22500</v>
      </c>
      <c r="M2676" s="74">
        <f t="shared" si="954"/>
        <v>3213675</v>
      </c>
      <c r="N2676" s="934" t="s">
        <v>99</v>
      </c>
      <c r="O2676" s="934" t="s">
        <v>256</v>
      </c>
      <c r="P2676" s="75" t="str">
        <f>IF(AND('331-CT'!$E$7=TH!H2676,OR(N2676="331",O2676="331")),"x","")</f>
        <v/>
      </c>
      <c r="Q2676" s="75" t="str">
        <f>IF(AND(B2676='111'!$L$11,OR($N2676=$Q$7,$O2676=$Q$7)),"x","")</f>
        <v/>
      </c>
      <c r="R2676" s="75" t="str">
        <f>IF(AND($N2676=$Q$7,$B2676&lt;'111'!$L$11),"x","")</f>
        <v/>
      </c>
      <c r="S2676" s="75" t="str">
        <f>IF(AND($O2676=$Q$7,$B2676&lt;'111'!$L$11),"x","")</f>
        <v/>
      </c>
      <c r="T2676" s="75" t="str">
        <f>IF(ISERROR(FIND('112'!$M$9,G2676,1)),"",IF((AND(FIND('112'!$M$9,G2676,1)&gt;=1,B2676='112'!$K$9,OR($N2676='112'!$I$6,$O2676='112'!$I$6))),"x",""))</f>
        <v/>
      </c>
      <c r="U2676" s="75" t="str">
        <f>IF(ISERROR(FIND('112'!$M$9,G2676,1)),"",IF((AND(LEFT(G2676,2)=LEFT('112'!$M$9,2),B2676&lt;'112'!$K$9,$N2676='112'!$I$6)),"x",""))</f>
        <v/>
      </c>
      <c r="V2676" s="75" t="str">
        <f>IF(ISERROR(FIND('112'!$M$9,G2676,1)),"",IF((AND(RIGHT(G2676,2)=RIGHT('112'!$M$9,2),B2676&lt;'112'!$K$9,$O2676='112'!$I$6)),"x",""))</f>
        <v/>
      </c>
      <c r="W2676" s="75" t="str">
        <f>IF(AND('341-CT'!$H$9=H2676,OR(LEFT(N2676,3)=$W$7,LEFT(O2676,3)=$W$7)),"x","")</f>
        <v/>
      </c>
      <c r="X2676" s="75" t="str">
        <f>IF(OR(TH!N2676=TH!$X$7,O2676=TH!$X$7),"x","")</f>
        <v/>
      </c>
      <c r="Y2676" s="75" t="str">
        <f>IF(AND(OR(N2676="131",O2676="131"),H2676='131-CT'!$H$9),"x","")</f>
        <v/>
      </c>
      <c r="Z2676" s="75"/>
      <c r="AA2676" s="75" t="str">
        <f>IF(AND(MONTH(E2676)='IN-NX'!$J$5,'IN-NX'!$D$7=D2676),"x","")</f>
        <v/>
      </c>
      <c r="AB2676" s="75" t="str">
        <f>IF(AND(OR(LEFT(TH!N2676,2)="15",LEFT(TH!O2676,2)="15"),LEFT(TH!O2676,3)&lt;&gt;"111",'152-CT'!$J$8=TH!F2676),"x","")</f>
        <v/>
      </c>
      <c r="AC2676" s="75" t="str">
        <f>IF(AND(OR(LEFT(TH!N2676,2)="15",LEFT(TH!O2676,2)="15"),TK!$E$7=TH!F2676),"x","")</f>
        <v/>
      </c>
      <c r="AD2676" s="75" t="str">
        <f>IF(AND(N2676="1521",MONTH(C2676)='BK-NL'!$M$11),"x","")</f>
        <v/>
      </c>
    </row>
    <row r="2677" spans="1:30" s="1264" customFormat="1" ht="16.5" customHeight="1">
      <c r="A2677" s="309" t="str">
        <f>IF(B2677&lt;&gt;"",IF(AND(B2677='IN-TC'!$S$4,OR(TH!N2677="1111",TH!O2677="1111")),TH!D2677,""),"")</f>
        <v/>
      </c>
      <c r="B2677" s="1311">
        <f t="shared" si="943"/>
        <v>1</v>
      </c>
      <c r="C2677" s="71">
        <v>42760</v>
      </c>
      <c r="D2677" s="929" t="s">
        <v>530</v>
      </c>
      <c r="E2677" s="929">
        <v>42760</v>
      </c>
      <c r="F2677" s="72" t="s">
        <v>1010</v>
      </c>
      <c r="G2677" s="72" t="s">
        <v>747</v>
      </c>
      <c r="H2677" s="735" t="s">
        <v>1006</v>
      </c>
      <c r="I2677" s="371"/>
      <c r="J2677" s="932"/>
      <c r="K2677" s="371"/>
      <c r="L2677" s="377"/>
      <c r="M2677" s="933">
        <v>5644800</v>
      </c>
      <c r="N2677" s="934" t="s">
        <v>250</v>
      </c>
      <c r="O2677" s="934" t="s">
        <v>43</v>
      </c>
      <c r="P2677" s="75" t="str">
        <f>IF(AND('331-CT'!$E$7=TH!H2677,OR(N2677="331",O2677="331")),"x","")</f>
        <v/>
      </c>
      <c r="Q2677" s="75" t="str">
        <f>IF(AND(B2677='111'!$L$11,OR($N2677=$Q$7,$O2677=$Q$7)),"x","")</f>
        <v/>
      </c>
      <c r="R2677" s="75" t="str">
        <f>IF(AND($N2677=$Q$7,$B2677&lt;'111'!$L$11),"x","")</f>
        <v/>
      </c>
      <c r="S2677" s="75" t="str">
        <f>IF(AND($O2677=$Q$7,$B2677&lt;'111'!$L$11),"x","")</f>
        <v/>
      </c>
      <c r="T2677" s="75" t="str">
        <f>IF(ISERROR(FIND('112'!$M$9,G2677,1)),"",IF((AND(FIND('112'!$M$9,G2677,1)&gt;=1,B2677='112'!$K$9,OR($N2677='112'!$I$6,$O2677='112'!$I$6))),"x",""))</f>
        <v/>
      </c>
      <c r="U2677" s="75" t="str">
        <f>IF(ISERROR(FIND('112'!$M$9,G2677,1)),"",IF((AND(LEFT(G2677,2)=LEFT('112'!$M$9,2),B2677&lt;'112'!$K$9,$N2677='112'!$I$6)),"x",""))</f>
        <v/>
      </c>
      <c r="V2677" s="75" t="str">
        <f>IF(ISERROR(FIND('112'!$M$9,G2677,1)),"",IF((AND(RIGHT(G2677,2)=RIGHT('112'!$M$9,2),B2677&lt;'112'!$K$9,$O2677='112'!$I$6)),"x",""))</f>
        <v/>
      </c>
      <c r="W2677" s="75" t="str">
        <f>IF(AND('341-CT'!$H$9=H2677,OR(LEFT(N2677,3)=$W$7,LEFT(O2677,3)=$W$7)),"x","")</f>
        <v/>
      </c>
      <c r="X2677" s="75" t="str">
        <f>IF(OR(TH!N2677=TH!$X$7,O2677=TH!$X$7),"x","")</f>
        <v/>
      </c>
      <c r="Y2677" s="75" t="str">
        <f>IF(AND(OR(N2677="131",O2677="131"),H2677='131-CT'!$H$9),"x","")</f>
        <v/>
      </c>
      <c r="Z2677" s="75"/>
      <c r="AA2677" s="75" t="str">
        <f>IF(AND(MONTH(E2677)='IN-NX'!$J$5,'IN-NX'!$D$7=D2677),"x","")</f>
        <v/>
      </c>
      <c r="AB2677" s="75" t="str">
        <f>IF(AND(OR(LEFT(TH!N2677,2)="15",LEFT(TH!O2677,2)="15"),LEFT(TH!O2677,3)&lt;&gt;"111",'152-CT'!$J$8=TH!F2677),"x","")</f>
        <v/>
      </c>
      <c r="AC2677" s="75" t="str">
        <f>IF(AND(OR(LEFT(TH!N2677,2)="15",LEFT(TH!O2677,2)="15"),TK!$E$7=TH!F2677),"x","")</f>
        <v/>
      </c>
      <c r="AD2677" s="75" t="str">
        <f>IF(AND(N2677="1521",MONTH(C2677)='BK-NL'!$M$11),"x","")</f>
        <v/>
      </c>
    </row>
    <row r="2678" spans="1:30" s="1264" customFormat="1" ht="16.5" customHeight="1">
      <c r="A2678" s="309" t="str">
        <f>IF(B2678&lt;&gt;"",IF(AND(B2678='IN-TC'!$S$4,OR(TH!N2678="1111",TH!O2678="1111")),TH!D2678,""),"")</f>
        <v/>
      </c>
      <c r="B2678" s="1311">
        <f t="shared" si="943"/>
        <v>1</v>
      </c>
      <c r="C2678" s="71">
        <v>42760</v>
      </c>
      <c r="D2678" s="71" t="s">
        <v>902</v>
      </c>
      <c r="E2678" s="929">
        <v>42760</v>
      </c>
      <c r="F2678" s="72" t="s">
        <v>1096</v>
      </c>
      <c r="G2678" s="72" t="s">
        <v>747</v>
      </c>
      <c r="H2678" s="735" t="s">
        <v>835</v>
      </c>
      <c r="I2678" s="371"/>
      <c r="J2678" s="932"/>
      <c r="K2678" s="371">
        <v>192.44</v>
      </c>
      <c r="L2678" s="377">
        <v>22500</v>
      </c>
      <c r="M2678" s="74">
        <f t="shared" ref="M2678:M2687" si="955">ROUND(K2678*L2678,0)</f>
        <v>4329900</v>
      </c>
      <c r="N2678" s="934" t="s">
        <v>99</v>
      </c>
      <c r="O2678" s="934" t="s">
        <v>256</v>
      </c>
      <c r="P2678" s="75" t="str">
        <f>IF(AND('331-CT'!$E$7=TH!H2678,OR(N2678="331",O2678="331")),"x","")</f>
        <v/>
      </c>
      <c r="Q2678" s="75" t="str">
        <f>IF(AND(B2678='111'!$L$11,OR($N2678=$Q$7,$O2678=$Q$7)),"x","")</f>
        <v/>
      </c>
      <c r="R2678" s="75" t="str">
        <f>IF(AND($N2678=$Q$7,$B2678&lt;'111'!$L$11),"x","")</f>
        <v/>
      </c>
      <c r="S2678" s="75" t="str">
        <f>IF(AND($O2678=$Q$7,$B2678&lt;'111'!$L$11),"x","")</f>
        <v/>
      </c>
      <c r="T2678" s="75" t="str">
        <f>IF(ISERROR(FIND('112'!$M$9,G2678,1)),"",IF((AND(FIND('112'!$M$9,G2678,1)&gt;=1,B2678='112'!$K$9,OR($N2678='112'!$I$6,$O2678='112'!$I$6))),"x",""))</f>
        <v/>
      </c>
      <c r="U2678" s="75" t="str">
        <f>IF(ISERROR(FIND('112'!$M$9,G2678,1)),"",IF((AND(LEFT(G2678,2)=LEFT('112'!$M$9,2),B2678&lt;'112'!$K$9,$N2678='112'!$I$6)),"x",""))</f>
        <v/>
      </c>
      <c r="V2678" s="75" t="str">
        <f>IF(ISERROR(FIND('112'!$M$9,G2678,1)),"",IF((AND(RIGHT(G2678,2)=RIGHT('112'!$M$9,2),B2678&lt;'112'!$K$9,$O2678='112'!$I$6)),"x",""))</f>
        <v/>
      </c>
      <c r="W2678" s="75" t="str">
        <f>IF(AND('341-CT'!$H$9=H2678,OR(LEFT(N2678,3)=$W$7,LEFT(O2678,3)=$W$7)),"x","")</f>
        <v/>
      </c>
      <c r="X2678" s="75" t="str">
        <f>IF(OR(TH!N2678=TH!$X$7,O2678=TH!$X$7),"x","")</f>
        <v/>
      </c>
      <c r="Y2678" s="75" t="str">
        <f>IF(AND(OR(N2678="131",O2678="131"),H2678='131-CT'!$H$9),"x","")</f>
        <v/>
      </c>
      <c r="Z2678" s="75"/>
      <c r="AA2678" s="75" t="str">
        <f>IF(AND(MONTH(E2678)='IN-NX'!$J$5,'IN-NX'!$D$7=D2678),"x","")</f>
        <v/>
      </c>
      <c r="AB2678" s="75" t="str">
        <f>IF(AND(OR(LEFT(TH!N2678,2)="15",LEFT(TH!O2678,2)="15"),LEFT(TH!O2678,3)&lt;&gt;"111",'152-CT'!$J$8=TH!F2678),"x","")</f>
        <v/>
      </c>
      <c r="AC2678" s="75" t="str">
        <f>IF(AND(OR(LEFT(TH!N2678,2)="15",LEFT(TH!O2678,2)="15"),TK!$E$7=TH!F2678),"x","")</f>
        <v/>
      </c>
      <c r="AD2678" s="75" t="str">
        <f>IF(AND(N2678="1521",MONTH(C2678)='BK-NL'!$M$11),"x","")</f>
        <v/>
      </c>
    </row>
    <row r="2679" spans="1:30" s="1264" customFormat="1" ht="16.5" customHeight="1">
      <c r="A2679" s="309" t="str">
        <f>IF(B2679&lt;&gt;"",IF(AND(B2679='IN-TC'!$S$4,OR(TH!N2679="1111",TH!O2679="1111")),TH!D2679,""),"")</f>
        <v/>
      </c>
      <c r="B2679" s="1311">
        <f t="shared" si="943"/>
        <v>1</v>
      </c>
      <c r="C2679" s="71">
        <v>42760</v>
      </c>
      <c r="D2679" s="71" t="s">
        <v>902</v>
      </c>
      <c r="E2679" s="929">
        <v>42760</v>
      </c>
      <c r="F2679" s="72" t="s">
        <v>1096</v>
      </c>
      <c r="G2679" s="72" t="s">
        <v>747</v>
      </c>
      <c r="H2679" s="735" t="s">
        <v>835</v>
      </c>
      <c r="I2679" s="371"/>
      <c r="J2679" s="932"/>
      <c r="K2679" s="371">
        <v>162.75</v>
      </c>
      <c r="L2679" s="377">
        <v>22500</v>
      </c>
      <c r="M2679" s="74">
        <f t="shared" si="955"/>
        <v>3661875</v>
      </c>
      <c r="N2679" s="934" t="s">
        <v>99</v>
      </c>
      <c r="O2679" s="934" t="s">
        <v>256</v>
      </c>
      <c r="P2679" s="75" t="str">
        <f>IF(AND('331-CT'!$E$7=TH!H2679,OR(N2679="331",O2679="331")),"x","")</f>
        <v/>
      </c>
      <c r="Q2679" s="75" t="str">
        <f>IF(AND(B2679='111'!$L$11,OR($N2679=$Q$7,$O2679=$Q$7)),"x","")</f>
        <v/>
      </c>
      <c r="R2679" s="75" t="str">
        <f>IF(AND($N2679=$Q$7,$B2679&lt;'111'!$L$11),"x","")</f>
        <v/>
      </c>
      <c r="S2679" s="75" t="str">
        <f>IF(AND($O2679=$Q$7,$B2679&lt;'111'!$L$11),"x","")</f>
        <v/>
      </c>
      <c r="T2679" s="75" t="str">
        <f>IF(ISERROR(FIND('112'!$M$9,G2679,1)),"",IF((AND(FIND('112'!$M$9,G2679,1)&gt;=1,B2679='112'!$K$9,OR($N2679='112'!$I$6,$O2679='112'!$I$6))),"x",""))</f>
        <v/>
      </c>
      <c r="U2679" s="75" t="str">
        <f>IF(ISERROR(FIND('112'!$M$9,G2679,1)),"",IF((AND(LEFT(G2679,2)=LEFT('112'!$M$9,2),B2679&lt;'112'!$K$9,$N2679='112'!$I$6)),"x",""))</f>
        <v/>
      </c>
      <c r="V2679" s="75" t="str">
        <f>IF(ISERROR(FIND('112'!$M$9,G2679,1)),"",IF((AND(RIGHT(G2679,2)=RIGHT('112'!$M$9,2),B2679&lt;'112'!$K$9,$O2679='112'!$I$6)),"x",""))</f>
        <v/>
      </c>
      <c r="W2679" s="75" t="str">
        <f>IF(AND('341-CT'!$H$9=H2679,OR(LEFT(N2679,3)=$W$7,LEFT(O2679,3)=$W$7)),"x","")</f>
        <v/>
      </c>
      <c r="X2679" s="75" t="str">
        <f>IF(OR(TH!N2679=TH!$X$7,O2679=TH!$X$7),"x","")</f>
        <v/>
      </c>
      <c r="Y2679" s="75" t="str">
        <f>IF(AND(OR(N2679="131",O2679="131"),H2679='131-CT'!$H$9),"x","")</f>
        <v/>
      </c>
      <c r="Z2679" s="75"/>
      <c r="AA2679" s="75" t="str">
        <f>IF(AND(MONTH(E2679)='IN-NX'!$J$5,'IN-NX'!$D$7=D2679),"x","")</f>
        <v/>
      </c>
      <c r="AB2679" s="75" t="str">
        <f>IF(AND(OR(LEFT(TH!N2679,2)="15",LEFT(TH!O2679,2)="15"),LEFT(TH!O2679,3)&lt;&gt;"111",'152-CT'!$J$8=TH!F2679),"x","")</f>
        <v/>
      </c>
      <c r="AC2679" s="75" t="str">
        <f>IF(AND(OR(LEFT(TH!N2679,2)="15",LEFT(TH!O2679,2)="15"),TK!$E$7=TH!F2679),"x","")</f>
        <v/>
      </c>
      <c r="AD2679" s="75" t="str">
        <f>IF(AND(N2679="1521",MONTH(C2679)='BK-NL'!$M$11),"x","")</f>
        <v/>
      </c>
    </row>
    <row r="2680" spans="1:30" s="1264" customFormat="1" ht="16.5" customHeight="1">
      <c r="A2680" s="309" t="str">
        <f>IF(B2680&lt;&gt;"",IF(AND(B2680='IN-TC'!$S$4,OR(TH!N2680="1111",TH!O2680="1111")),TH!D2680,""),"")</f>
        <v/>
      </c>
      <c r="B2680" s="1311">
        <f t="shared" si="943"/>
        <v>1</v>
      </c>
      <c r="C2680" s="71">
        <v>42760</v>
      </c>
      <c r="D2680" s="71" t="s">
        <v>902</v>
      </c>
      <c r="E2680" s="929">
        <v>42760</v>
      </c>
      <c r="F2680" s="72" t="s">
        <v>1096</v>
      </c>
      <c r="G2680" s="72" t="s">
        <v>747</v>
      </c>
      <c r="H2680" s="735" t="s">
        <v>835</v>
      </c>
      <c r="I2680" s="371"/>
      <c r="J2680" s="932"/>
      <c r="K2680" s="371">
        <v>229.91</v>
      </c>
      <c r="L2680" s="377">
        <v>22500</v>
      </c>
      <c r="M2680" s="74">
        <f t="shared" si="955"/>
        <v>5172975</v>
      </c>
      <c r="N2680" s="934" t="s">
        <v>99</v>
      </c>
      <c r="O2680" s="934" t="s">
        <v>256</v>
      </c>
      <c r="P2680" s="75" t="str">
        <f>IF(AND('331-CT'!$E$7=TH!H2680,OR(N2680="331",O2680="331")),"x","")</f>
        <v/>
      </c>
      <c r="Q2680" s="75" t="str">
        <f>IF(AND(B2680='111'!$L$11,OR($N2680=$Q$7,$O2680=$Q$7)),"x","")</f>
        <v/>
      </c>
      <c r="R2680" s="75" t="str">
        <f>IF(AND($N2680=$Q$7,$B2680&lt;'111'!$L$11),"x","")</f>
        <v/>
      </c>
      <c r="S2680" s="75" t="str">
        <f>IF(AND($O2680=$Q$7,$B2680&lt;'111'!$L$11),"x","")</f>
        <v/>
      </c>
      <c r="T2680" s="75" t="str">
        <f>IF(ISERROR(FIND('112'!$M$9,G2680,1)),"",IF((AND(FIND('112'!$M$9,G2680,1)&gt;=1,B2680='112'!$K$9,OR($N2680='112'!$I$6,$O2680='112'!$I$6))),"x",""))</f>
        <v/>
      </c>
      <c r="U2680" s="75" t="str">
        <f>IF(ISERROR(FIND('112'!$M$9,G2680,1)),"",IF((AND(LEFT(G2680,2)=LEFT('112'!$M$9,2),B2680&lt;'112'!$K$9,$N2680='112'!$I$6)),"x",""))</f>
        <v/>
      </c>
      <c r="V2680" s="75" t="str">
        <f>IF(ISERROR(FIND('112'!$M$9,G2680,1)),"",IF((AND(RIGHT(G2680,2)=RIGHT('112'!$M$9,2),B2680&lt;'112'!$K$9,$O2680='112'!$I$6)),"x",""))</f>
        <v/>
      </c>
      <c r="W2680" s="75" t="str">
        <f>IF(AND('341-CT'!$H$9=H2680,OR(LEFT(N2680,3)=$W$7,LEFT(O2680,3)=$W$7)),"x","")</f>
        <v/>
      </c>
      <c r="X2680" s="75" t="str">
        <f>IF(OR(TH!N2680=TH!$X$7,O2680=TH!$X$7),"x","")</f>
        <v/>
      </c>
      <c r="Y2680" s="75" t="str">
        <f>IF(AND(OR(N2680="131",O2680="131"),H2680='131-CT'!$H$9),"x","")</f>
        <v/>
      </c>
      <c r="Z2680" s="75"/>
      <c r="AA2680" s="75" t="str">
        <f>IF(AND(MONTH(E2680)='IN-NX'!$J$5,'IN-NX'!$D$7=D2680),"x","")</f>
        <v/>
      </c>
      <c r="AB2680" s="75" t="str">
        <f>IF(AND(OR(LEFT(TH!N2680,2)="15",LEFT(TH!O2680,2)="15"),LEFT(TH!O2680,3)&lt;&gt;"111",'152-CT'!$J$8=TH!F2680),"x","")</f>
        <v/>
      </c>
      <c r="AC2680" s="75" t="str">
        <f>IF(AND(OR(LEFT(TH!N2680,2)="15",LEFT(TH!O2680,2)="15"),TK!$E$7=TH!F2680),"x","")</f>
        <v/>
      </c>
      <c r="AD2680" s="75" t="str">
        <f>IF(AND(N2680="1521",MONTH(C2680)='BK-NL'!$M$11),"x","")</f>
        <v/>
      </c>
    </row>
    <row r="2681" spans="1:30" s="1264" customFormat="1" ht="16.5" customHeight="1">
      <c r="A2681" s="309" t="str">
        <f>IF(B2681&lt;&gt;"",IF(AND(B2681='IN-TC'!$S$4,OR(TH!N2681="1111",TH!O2681="1111")),TH!D2681,""),"")</f>
        <v/>
      </c>
      <c r="B2681" s="1311">
        <f t="shared" si="943"/>
        <v>1</v>
      </c>
      <c r="C2681" s="71">
        <v>42760</v>
      </c>
      <c r="D2681" s="71" t="s">
        <v>902</v>
      </c>
      <c r="E2681" s="929">
        <v>42760</v>
      </c>
      <c r="F2681" s="72" t="s">
        <v>1096</v>
      </c>
      <c r="G2681" s="72" t="s">
        <v>747</v>
      </c>
      <c r="H2681" s="735" t="s">
        <v>835</v>
      </c>
      <c r="I2681" s="371"/>
      <c r="J2681" s="932"/>
      <c r="K2681" s="371">
        <v>211.83</v>
      </c>
      <c r="L2681" s="377">
        <v>22500</v>
      </c>
      <c r="M2681" s="74">
        <f t="shared" si="955"/>
        <v>4766175</v>
      </c>
      <c r="N2681" s="934" t="s">
        <v>99</v>
      </c>
      <c r="O2681" s="934" t="s">
        <v>256</v>
      </c>
      <c r="P2681" s="75" t="str">
        <f>IF(AND('331-CT'!$E$7=TH!H2681,OR(N2681="331",O2681="331")),"x","")</f>
        <v/>
      </c>
      <c r="Q2681" s="75" t="str">
        <f>IF(AND(B2681='111'!$L$11,OR($N2681=$Q$7,$O2681=$Q$7)),"x","")</f>
        <v/>
      </c>
      <c r="R2681" s="75" t="str">
        <f>IF(AND($N2681=$Q$7,$B2681&lt;'111'!$L$11),"x","")</f>
        <v/>
      </c>
      <c r="S2681" s="75" t="str">
        <f>IF(AND($O2681=$Q$7,$B2681&lt;'111'!$L$11),"x","")</f>
        <v/>
      </c>
      <c r="T2681" s="75" t="str">
        <f>IF(ISERROR(FIND('112'!$M$9,G2681,1)),"",IF((AND(FIND('112'!$M$9,G2681,1)&gt;=1,B2681='112'!$K$9,OR($N2681='112'!$I$6,$O2681='112'!$I$6))),"x",""))</f>
        <v/>
      </c>
      <c r="U2681" s="75" t="str">
        <f>IF(ISERROR(FIND('112'!$M$9,G2681,1)),"",IF((AND(LEFT(G2681,2)=LEFT('112'!$M$9,2),B2681&lt;'112'!$K$9,$N2681='112'!$I$6)),"x",""))</f>
        <v/>
      </c>
      <c r="V2681" s="75" t="str">
        <f>IF(ISERROR(FIND('112'!$M$9,G2681,1)),"",IF((AND(RIGHT(G2681,2)=RIGHT('112'!$M$9,2),B2681&lt;'112'!$K$9,$O2681='112'!$I$6)),"x",""))</f>
        <v/>
      </c>
      <c r="W2681" s="75" t="str">
        <f>IF(AND('341-CT'!$H$9=H2681,OR(LEFT(N2681,3)=$W$7,LEFT(O2681,3)=$W$7)),"x","")</f>
        <v/>
      </c>
      <c r="X2681" s="75" t="str">
        <f>IF(OR(TH!N2681=TH!$X$7,O2681=TH!$X$7),"x","")</f>
        <v/>
      </c>
      <c r="Y2681" s="75" t="str">
        <f>IF(AND(OR(N2681="131",O2681="131"),H2681='131-CT'!$H$9),"x","")</f>
        <v/>
      </c>
      <c r="Z2681" s="75"/>
      <c r="AA2681" s="75" t="str">
        <f>IF(AND(MONTH(E2681)='IN-NX'!$J$5,'IN-NX'!$D$7=D2681),"x","")</f>
        <v/>
      </c>
      <c r="AB2681" s="75" t="str">
        <f>IF(AND(OR(LEFT(TH!N2681,2)="15",LEFT(TH!O2681,2)="15"),LEFT(TH!O2681,3)&lt;&gt;"111",'152-CT'!$J$8=TH!F2681),"x","")</f>
        <v/>
      </c>
      <c r="AC2681" s="75" t="str">
        <f>IF(AND(OR(LEFT(TH!N2681,2)="15",LEFT(TH!O2681,2)="15"),TK!$E$7=TH!F2681),"x","")</f>
        <v/>
      </c>
      <c r="AD2681" s="75" t="str">
        <f>IF(AND(N2681="1521",MONTH(C2681)='BK-NL'!$M$11),"x","")</f>
        <v/>
      </c>
    </row>
    <row r="2682" spans="1:30" s="1264" customFormat="1" ht="16.5" customHeight="1">
      <c r="A2682" s="309" t="str">
        <f>IF(B2682&lt;&gt;"",IF(AND(B2682='IN-TC'!$S$4,OR(TH!N2682="1111",TH!O2682="1111")),TH!D2682,""),"")</f>
        <v/>
      </c>
      <c r="B2682" s="1311">
        <f t="shared" si="943"/>
        <v>1</v>
      </c>
      <c r="C2682" s="71">
        <v>42760</v>
      </c>
      <c r="D2682" s="71" t="s">
        <v>902</v>
      </c>
      <c r="E2682" s="929">
        <v>42760</v>
      </c>
      <c r="F2682" s="72" t="s">
        <v>1096</v>
      </c>
      <c r="G2682" s="72" t="s">
        <v>747</v>
      </c>
      <c r="H2682" s="735" t="s">
        <v>835</v>
      </c>
      <c r="I2682" s="371"/>
      <c r="J2682" s="932"/>
      <c r="K2682" s="371">
        <v>248</v>
      </c>
      <c r="L2682" s="377">
        <v>22500</v>
      </c>
      <c r="M2682" s="74">
        <f t="shared" si="955"/>
        <v>5580000</v>
      </c>
      <c r="N2682" s="934" t="s">
        <v>99</v>
      </c>
      <c r="O2682" s="934" t="s">
        <v>256</v>
      </c>
      <c r="P2682" s="75" t="str">
        <f>IF(AND('331-CT'!$E$7=TH!H2682,OR(N2682="331",O2682="331")),"x","")</f>
        <v/>
      </c>
      <c r="Q2682" s="75" t="str">
        <f>IF(AND(B2682='111'!$L$11,OR($N2682=$Q$7,$O2682=$Q$7)),"x","")</f>
        <v/>
      </c>
      <c r="R2682" s="75" t="str">
        <f>IF(AND($N2682=$Q$7,$B2682&lt;'111'!$L$11),"x","")</f>
        <v/>
      </c>
      <c r="S2682" s="75" t="str">
        <f>IF(AND($O2682=$Q$7,$B2682&lt;'111'!$L$11),"x","")</f>
        <v/>
      </c>
      <c r="T2682" s="75" t="str">
        <f>IF(ISERROR(FIND('112'!$M$9,G2682,1)),"",IF((AND(FIND('112'!$M$9,G2682,1)&gt;=1,B2682='112'!$K$9,OR($N2682='112'!$I$6,$O2682='112'!$I$6))),"x",""))</f>
        <v/>
      </c>
      <c r="U2682" s="75" t="str">
        <f>IF(ISERROR(FIND('112'!$M$9,G2682,1)),"",IF((AND(LEFT(G2682,2)=LEFT('112'!$M$9,2),B2682&lt;'112'!$K$9,$N2682='112'!$I$6)),"x",""))</f>
        <v/>
      </c>
      <c r="V2682" s="75" t="str">
        <f>IF(ISERROR(FIND('112'!$M$9,G2682,1)),"",IF((AND(RIGHT(G2682,2)=RIGHT('112'!$M$9,2),B2682&lt;'112'!$K$9,$O2682='112'!$I$6)),"x",""))</f>
        <v/>
      </c>
      <c r="W2682" s="75" t="str">
        <f>IF(AND('341-CT'!$H$9=H2682,OR(LEFT(N2682,3)=$W$7,LEFT(O2682,3)=$W$7)),"x","")</f>
        <v/>
      </c>
      <c r="X2682" s="75" t="str">
        <f>IF(OR(TH!N2682=TH!$X$7,O2682=TH!$X$7),"x","")</f>
        <v/>
      </c>
      <c r="Y2682" s="75" t="str">
        <f>IF(AND(OR(N2682="131",O2682="131"),H2682='131-CT'!$H$9),"x","")</f>
        <v/>
      </c>
      <c r="Z2682" s="75"/>
      <c r="AA2682" s="75" t="str">
        <f>IF(AND(MONTH(E2682)='IN-NX'!$J$5,'IN-NX'!$D$7=D2682),"x","")</f>
        <v/>
      </c>
      <c r="AB2682" s="75" t="str">
        <f>IF(AND(OR(LEFT(TH!N2682,2)="15",LEFT(TH!O2682,2)="15"),LEFT(TH!O2682,3)&lt;&gt;"111",'152-CT'!$J$8=TH!F2682),"x","")</f>
        <v/>
      </c>
      <c r="AC2682" s="75" t="str">
        <f>IF(AND(OR(LEFT(TH!N2682,2)="15",LEFT(TH!O2682,2)="15"),TK!$E$7=TH!F2682),"x","")</f>
        <v/>
      </c>
      <c r="AD2682" s="75" t="str">
        <f>IF(AND(N2682="1521",MONTH(C2682)='BK-NL'!$M$11),"x","")</f>
        <v/>
      </c>
    </row>
    <row r="2683" spans="1:30" s="1264" customFormat="1" ht="16.5" customHeight="1">
      <c r="A2683" s="309" t="str">
        <f>IF(B2683&lt;&gt;"",IF(AND(B2683='IN-TC'!$S$4,OR(TH!N2683="1111",TH!O2683="1111")),TH!D2683,""),"")</f>
        <v/>
      </c>
      <c r="B2683" s="1311">
        <f t="shared" si="943"/>
        <v>1</v>
      </c>
      <c r="C2683" s="71">
        <v>42760</v>
      </c>
      <c r="D2683" s="71" t="s">
        <v>902</v>
      </c>
      <c r="E2683" s="929">
        <v>42760</v>
      </c>
      <c r="F2683" s="72" t="s">
        <v>1096</v>
      </c>
      <c r="G2683" s="72" t="s">
        <v>747</v>
      </c>
      <c r="H2683" s="735" t="s">
        <v>835</v>
      </c>
      <c r="I2683" s="371"/>
      <c r="J2683" s="932"/>
      <c r="K2683" s="371">
        <v>227.34</v>
      </c>
      <c r="L2683" s="377">
        <v>22500</v>
      </c>
      <c r="M2683" s="74">
        <f t="shared" si="955"/>
        <v>5115150</v>
      </c>
      <c r="N2683" s="934" t="s">
        <v>99</v>
      </c>
      <c r="O2683" s="934" t="s">
        <v>256</v>
      </c>
      <c r="P2683" s="75" t="str">
        <f>IF(AND('331-CT'!$E$7=TH!H2683,OR(N2683="331",O2683="331")),"x","")</f>
        <v/>
      </c>
      <c r="Q2683" s="75" t="str">
        <f>IF(AND(B2683='111'!$L$11,OR($N2683=$Q$7,$O2683=$Q$7)),"x","")</f>
        <v/>
      </c>
      <c r="R2683" s="75" t="str">
        <f>IF(AND($N2683=$Q$7,$B2683&lt;'111'!$L$11),"x","")</f>
        <v/>
      </c>
      <c r="S2683" s="75" t="str">
        <f>IF(AND($O2683=$Q$7,$B2683&lt;'111'!$L$11),"x","")</f>
        <v/>
      </c>
      <c r="T2683" s="75" t="str">
        <f>IF(ISERROR(FIND('112'!$M$9,G2683,1)),"",IF((AND(FIND('112'!$M$9,G2683,1)&gt;=1,B2683='112'!$K$9,OR($N2683='112'!$I$6,$O2683='112'!$I$6))),"x",""))</f>
        <v/>
      </c>
      <c r="U2683" s="75" t="str">
        <f>IF(ISERROR(FIND('112'!$M$9,G2683,1)),"",IF((AND(LEFT(G2683,2)=LEFT('112'!$M$9,2),B2683&lt;'112'!$K$9,$N2683='112'!$I$6)),"x",""))</f>
        <v/>
      </c>
      <c r="V2683" s="75" t="str">
        <f>IF(ISERROR(FIND('112'!$M$9,G2683,1)),"",IF((AND(RIGHT(G2683,2)=RIGHT('112'!$M$9,2),B2683&lt;'112'!$K$9,$O2683='112'!$I$6)),"x",""))</f>
        <v/>
      </c>
      <c r="W2683" s="75" t="str">
        <f>IF(AND('341-CT'!$H$9=H2683,OR(LEFT(N2683,3)=$W$7,LEFT(O2683,3)=$W$7)),"x","")</f>
        <v/>
      </c>
      <c r="X2683" s="75" t="str">
        <f>IF(OR(TH!N2683=TH!$X$7,O2683=TH!$X$7),"x","")</f>
        <v/>
      </c>
      <c r="Y2683" s="75" t="str">
        <f>IF(AND(OR(N2683="131",O2683="131"),H2683='131-CT'!$H$9),"x","")</f>
        <v/>
      </c>
      <c r="Z2683" s="75"/>
      <c r="AA2683" s="75" t="str">
        <f>IF(AND(MONTH(E2683)='IN-NX'!$J$5,'IN-NX'!$D$7=D2683),"x","")</f>
        <v/>
      </c>
      <c r="AB2683" s="75" t="str">
        <f>IF(AND(OR(LEFT(TH!N2683,2)="15",LEFT(TH!O2683,2)="15"),LEFT(TH!O2683,3)&lt;&gt;"111",'152-CT'!$J$8=TH!F2683),"x","")</f>
        <v/>
      </c>
      <c r="AC2683" s="75" t="str">
        <f>IF(AND(OR(LEFT(TH!N2683,2)="15",LEFT(TH!O2683,2)="15"),TK!$E$7=TH!F2683),"x","")</f>
        <v/>
      </c>
      <c r="AD2683" s="75" t="str">
        <f>IF(AND(N2683="1521",MONTH(C2683)='BK-NL'!$M$11),"x","")</f>
        <v/>
      </c>
    </row>
    <row r="2684" spans="1:30" s="1264" customFormat="1" ht="16.5" customHeight="1">
      <c r="A2684" s="309" t="str">
        <f>IF(B2684&lt;&gt;"",IF(AND(B2684='IN-TC'!$S$4,OR(TH!N2684="1111",TH!O2684="1111")),TH!D2684,""),"")</f>
        <v/>
      </c>
      <c r="B2684" s="1311">
        <f t="shared" si="943"/>
        <v>1</v>
      </c>
      <c r="C2684" s="71">
        <v>42760</v>
      </c>
      <c r="D2684" s="71" t="s">
        <v>902</v>
      </c>
      <c r="E2684" s="929">
        <v>42760</v>
      </c>
      <c r="F2684" s="72" t="s">
        <v>1096</v>
      </c>
      <c r="G2684" s="72" t="s">
        <v>747</v>
      </c>
      <c r="H2684" s="735" t="s">
        <v>835</v>
      </c>
      <c r="I2684" s="371"/>
      <c r="J2684" s="932"/>
      <c r="K2684" s="371">
        <v>248</v>
      </c>
      <c r="L2684" s="377">
        <v>22500</v>
      </c>
      <c r="M2684" s="74">
        <f t="shared" si="955"/>
        <v>5580000</v>
      </c>
      <c r="N2684" s="934" t="s">
        <v>99</v>
      </c>
      <c r="O2684" s="934" t="s">
        <v>256</v>
      </c>
      <c r="P2684" s="75" t="str">
        <f>IF(AND('331-CT'!$E$7=TH!H2684,OR(N2684="331",O2684="331")),"x","")</f>
        <v/>
      </c>
      <c r="Q2684" s="75" t="str">
        <f>IF(AND(B2684='111'!$L$11,OR($N2684=$Q$7,$O2684=$Q$7)),"x","")</f>
        <v/>
      </c>
      <c r="R2684" s="75" t="str">
        <f>IF(AND($N2684=$Q$7,$B2684&lt;'111'!$L$11),"x","")</f>
        <v/>
      </c>
      <c r="S2684" s="75" t="str">
        <f>IF(AND($O2684=$Q$7,$B2684&lt;'111'!$L$11),"x","")</f>
        <v/>
      </c>
      <c r="T2684" s="75" t="str">
        <f>IF(ISERROR(FIND('112'!$M$9,G2684,1)),"",IF((AND(FIND('112'!$M$9,G2684,1)&gt;=1,B2684='112'!$K$9,OR($N2684='112'!$I$6,$O2684='112'!$I$6))),"x",""))</f>
        <v/>
      </c>
      <c r="U2684" s="75" t="str">
        <f>IF(ISERROR(FIND('112'!$M$9,G2684,1)),"",IF((AND(LEFT(G2684,2)=LEFT('112'!$M$9,2),B2684&lt;'112'!$K$9,$N2684='112'!$I$6)),"x",""))</f>
        <v/>
      </c>
      <c r="V2684" s="75" t="str">
        <f>IF(ISERROR(FIND('112'!$M$9,G2684,1)),"",IF((AND(RIGHT(G2684,2)=RIGHT('112'!$M$9,2),B2684&lt;'112'!$K$9,$O2684='112'!$I$6)),"x",""))</f>
        <v/>
      </c>
      <c r="W2684" s="75" t="str">
        <f>IF(AND('341-CT'!$H$9=H2684,OR(LEFT(N2684,3)=$W$7,LEFT(O2684,3)=$W$7)),"x","")</f>
        <v/>
      </c>
      <c r="X2684" s="75" t="str">
        <f>IF(OR(TH!N2684=TH!$X$7,O2684=TH!$X$7),"x","")</f>
        <v/>
      </c>
      <c r="Y2684" s="75" t="str">
        <f>IF(AND(OR(N2684="131",O2684="131"),H2684='131-CT'!$H$9),"x","")</f>
        <v/>
      </c>
      <c r="Z2684" s="75"/>
      <c r="AA2684" s="75" t="str">
        <f>IF(AND(MONTH(E2684)='IN-NX'!$J$5,'IN-NX'!$D$7=D2684),"x","")</f>
        <v/>
      </c>
      <c r="AB2684" s="75" t="str">
        <f>IF(AND(OR(LEFT(TH!N2684,2)="15",LEFT(TH!O2684,2)="15"),LEFT(TH!O2684,3)&lt;&gt;"111",'152-CT'!$J$8=TH!F2684),"x","")</f>
        <v/>
      </c>
      <c r="AC2684" s="75" t="str">
        <f>IF(AND(OR(LEFT(TH!N2684,2)="15",LEFT(TH!O2684,2)="15"),TK!$E$7=TH!F2684),"x","")</f>
        <v/>
      </c>
      <c r="AD2684" s="75" t="str">
        <f>IF(AND(N2684="1521",MONTH(C2684)='BK-NL'!$M$11),"x","")</f>
        <v/>
      </c>
    </row>
    <row r="2685" spans="1:30" s="1264" customFormat="1" ht="16.5" customHeight="1">
      <c r="A2685" s="309" t="str">
        <f>IF(B2685&lt;&gt;"",IF(AND(B2685='IN-TC'!$S$4,OR(TH!N2685="1111",TH!O2685="1111")),TH!D2685,""),"")</f>
        <v/>
      </c>
      <c r="B2685" s="1311">
        <f t="shared" si="943"/>
        <v>1</v>
      </c>
      <c r="C2685" s="71">
        <v>42760</v>
      </c>
      <c r="D2685" s="71" t="s">
        <v>902</v>
      </c>
      <c r="E2685" s="929">
        <v>42760</v>
      </c>
      <c r="F2685" s="72" t="s">
        <v>1096</v>
      </c>
      <c r="G2685" s="72" t="s">
        <v>747</v>
      </c>
      <c r="H2685" s="735" t="s">
        <v>835</v>
      </c>
      <c r="I2685" s="371"/>
      <c r="J2685" s="932"/>
      <c r="K2685" s="371">
        <v>124</v>
      </c>
      <c r="L2685" s="377">
        <v>22500</v>
      </c>
      <c r="M2685" s="74">
        <f t="shared" si="955"/>
        <v>2790000</v>
      </c>
      <c r="N2685" s="934" t="s">
        <v>99</v>
      </c>
      <c r="O2685" s="934" t="s">
        <v>256</v>
      </c>
      <c r="P2685" s="75" t="str">
        <f>IF(AND('331-CT'!$E$7=TH!H2685,OR(N2685="331",O2685="331")),"x","")</f>
        <v/>
      </c>
      <c r="Q2685" s="75" t="str">
        <f>IF(AND(B2685='111'!$L$11,OR($N2685=$Q$7,$O2685=$Q$7)),"x","")</f>
        <v/>
      </c>
      <c r="R2685" s="75" t="str">
        <f>IF(AND($N2685=$Q$7,$B2685&lt;'111'!$L$11),"x","")</f>
        <v/>
      </c>
      <c r="S2685" s="75" t="str">
        <f>IF(AND($O2685=$Q$7,$B2685&lt;'111'!$L$11),"x","")</f>
        <v/>
      </c>
      <c r="T2685" s="75" t="str">
        <f>IF(ISERROR(FIND('112'!$M$9,G2685,1)),"",IF((AND(FIND('112'!$M$9,G2685,1)&gt;=1,B2685='112'!$K$9,OR($N2685='112'!$I$6,$O2685='112'!$I$6))),"x",""))</f>
        <v/>
      </c>
      <c r="U2685" s="75" t="str">
        <f>IF(ISERROR(FIND('112'!$M$9,G2685,1)),"",IF((AND(LEFT(G2685,2)=LEFT('112'!$M$9,2),B2685&lt;'112'!$K$9,$N2685='112'!$I$6)),"x",""))</f>
        <v/>
      </c>
      <c r="V2685" s="75" t="str">
        <f>IF(ISERROR(FIND('112'!$M$9,G2685,1)),"",IF((AND(RIGHT(G2685,2)=RIGHT('112'!$M$9,2),B2685&lt;'112'!$K$9,$O2685='112'!$I$6)),"x",""))</f>
        <v/>
      </c>
      <c r="W2685" s="75" t="str">
        <f>IF(AND('341-CT'!$H$9=H2685,OR(LEFT(N2685,3)=$W$7,LEFT(O2685,3)=$W$7)),"x","")</f>
        <v/>
      </c>
      <c r="X2685" s="75" t="str">
        <f>IF(OR(TH!N2685=TH!$X$7,O2685=TH!$X$7),"x","")</f>
        <v/>
      </c>
      <c r="Y2685" s="75" t="str">
        <f>IF(AND(OR(N2685="131",O2685="131"),H2685='131-CT'!$H$9),"x","")</f>
        <v/>
      </c>
      <c r="Z2685" s="75"/>
      <c r="AA2685" s="75" t="str">
        <f>IF(AND(MONTH(E2685)='IN-NX'!$J$5,'IN-NX'!$D$7=D2685),"x","")</f>
        <v/>
      </c>
      <c r="AB2685" s="75" t="str">
        <f>IF(AND(OR(LEFT(TH!N2685,2)="15",LEFT(TH!O2685,2)="15"),LEFT(TH!O2685,3)&lt;&gt;"111",'152-CT'!$J$8=TH!F2685),"x","")</f>
        <v/>
      </c>
      <c r="AC2685" s="75" t="str">
        <f>IF(AND(OR(LEFT(TH!N2685,2)="15",LEFT(TH!O2685,2)="15"),TK!$E$7=TH!F2685),"x","")</f>
        <v/>
      </c>
      <c r="AD2685" s="75" t="str">
        <f>IF(AND(N2685="1521",MONTH(C2685)='BK-NL'!$M$11),"x","")</f>
        <v/>
      </c>
    </row>
    <row r="2686" spans="1:30" s="1264" customFormat="1" ht="16.5" customHeight="1">
      <c r="A2686" s="309" t="str">
        <f>IF(B2686&lt;&gt;"",IF(AND(B2686='IN-TC'!$S$4,OR(TH!N2686="1111",TH!O2686="1111")),TH!D2686,""),"")</f>
        <v/>
      </c>
      <c r="B2686" s="1311">
        <f t="shared" si="943"/>
        <v>1</v>
      </c>
      <c r="C2686" s="71">
        <v>42760</v>
      </c>
      <c r="D2686" s="71" t="s">
        <v>902</v>
      </c>
      <c r="E2686" s="929">
        <v>42760</v>
      </c>
      <c r="F2686" s="72" t="s">
        <v>1096</v>
      </c>
      <c r="G2686" s="72" t="s">
        <v>747</v>
      </c>
      <c r="H2686" s="735" t="s">
        <v>835</v>
      </c>
      <c r="I2686" s="371"/>
      <c r="J2686" s="932"/>
      <c r="K2686" s="371">
        <v>170</v>
      </c>
      <c r="L2686" s="377">
        <v>22500</v>
      </c>
      <c r="M2686" s="74">
        <f t="shared" si="955"/>
        <v>3825000</v>
      </c>
      <c r="N2686" s="934" t="s">
        <v>99</v>
      </c>
      <c r="O2686" s="934" t="s">
        <v>256</v>
      </c>
      <c r="P2686" s="75" t="str">
        <f>IF(AND('331-CT'!$E$7=TH!H2686,OR(N2686="331",O2686="331")),"x","")</f>
        <v/>
      </c>
      <c r="Q2686" s="75" t="str">
        <f>IF(AND(B2686='111'!$L$11,OR($N2686=$Q$7,$O2686=$Q$7)),"x","")</f>
        <v/>
      </c>
      <c r="R2686" s="75" t="str">
        <f>IF(AND($N2686=$Q$7,$B2686&lt;'111'!$L$11),"x","")</f>
        <v/>
      </c>
      <c r="S2686" s="75" t="str">
        <f>IF(AND($O2686=$Q$7,$B2686&lt;'111'!$L$11),"x","")</f>
        <v/>
      </c>
      <c r="T2686" s="75" t="str">
        <f>IF(ISERROR(FIND('112'!$M$9,G2686,1)),"",IF((AND(FIND('112'!$M$9,G2686,1)&gt;=1,B2686='112'!$K$9,OR($N2686='112'!$I$6,$O2686='112'!$I$6))),"x",""))</f>
        <v/>
      </c>
      <c r="U2686" s="75" t="str">
        <f>IF(ISERROR(FIND('112'!$M$9,G2686,1)),"",IF((AND(LEFT(G2686,2)=LEFT('112'!$M$9,2),B2686&lt;'112'!$K$9,$N2686='112'!$I$6)),"x",""))</f>
        <v/>
      </c>
      <c r="V2686" s="75" t="str">
        <f>IF(ISERROR(FIND('112'!$M$9,G2686,1)),"",IF((AND(RIGHT(G2686,2)=RIGHT('112'!$M$9,2),B2686&lt;'112'!$K$9,$O2686='112'!$I$6)),"x",""))</f>
        <v/>
      </c>
      <c r="W2686" s="75" t="str">
        <f>IF(AND('341-CT'!$H$9=H2686,OR(LEFT(N2686,3)=$W$7,LEFT(O2686,3)=$W$7)),"x","")</f>
        <v/>
      </c>
      <c r="X2686" s="75" t="str">
        <f>IF(OR(TH!N2686=TH!$X$7,O2686=TH!$X$7),"x","")</f>
        <v/>
      </c>
      <c r="Y2686" s="75" t="str">
        <f>IF(AND(OR(N2686="131",O2686="131"),H2686='131-CT'!$H$9),"x","")</f>
        <v/>
      </c>
      <c r="Z2686" s="75"/>
      <c r="AA2686" s="75" t="str">
        <f>IF(AND(MONTH(E2686)='IN-NX'!$J$5,'IN-NX'!$D$7=D2686),"x","")</f>
        <v/>
      </c>
      <c r="AB2686" s="75" t="str">
        <f>IF(AND(OR(LEFT(TH!N2686,2)="15",LEFT(TH!O2686,2)="15"),LEFT(TH!O2686,3)&lt;&gt;"111",'152-CT'!$J$8=TH!F2686),"x","")</f>
        <v/>
      </c>
      <c r="AC2686" s="75" t="str">
        <f>IF(AND(OR(LEFT(TH!N2686,2)="15",LEFT(TH!O2686,2)="15"),TK!$E$7=TH!F2686),"x","")</f>
        <v/>
      </c>
      <c r="AD2686" s="75" t="str">
        <f>IF(AND(N2686="1521",MONTH(C2686)='BK-NL'!$M$11),"x","")</f>
        <v/>
      </c>
    </row>
    <row r="2687" spans="1:30" s="1264" customFormat="1" ht="16.5" customHeight="1">
      <c r="A2687" s="309" t="str">
        <f>IF(B2687&lt;&gt;"",IF(AND(B2687='IN-TC'!$S$4,OR(TH!N2687="1111",TH!O2687="1111")),TH!D2687,""),"")</f>
        <v/>
      </c>
      <c r="B2687" s="1311">
        <f t="shared" si="943"/>
        <v>1</v>
      </c>
      <c r="C2687" s="71">
        <v>42760</v>
      </c>
      <c r="D2687" s="71" t="s">
        <v>902</v>
      </c>
      <c r="E2687" s="929">
        <v>42760</v>
      </c>
      <c r="F2687" s="72" t="s">
        <v>1096</v>
      </c>
      <c r="G2687" s="72" t="s">
        <v>747</v>
      </c>
      <c r="H2687" s="735" t="s">
        <v>835</v>
      </c>
      <c r="I2687" s="371"/>
      <c r="J2687" s="932"/>
      <c r="K2687" s="371">
        <v>353.92</v>
      </c>
      <c r="L2687" s="377">
        <v>22500</v>
      </c>
      <c r="M2687" s="74">
        <f t="shared" si="955"/>
        <v>7963200</v>
      </c>
      <c r="N2687" s="934" t="s">
        <v>99</v>
      </c>
      <c r="O2687" s="934" t="s">
        <v>256</v>
      </c>
      <c r="P2687" s="75" t="str">
        <f>IF(AND('331-CT'!$E$7=TH!H2687,OR(N2687="331",O2687="331")),"x","")</f>
        <v/>
      </c>
      <c r="Q2687" s="75" t="str">
        <f>IF(AND(B2687='111'!$L$11,OR($N2687=$Q$7,$O2687=$Q$7)),"x","")</f>
        <v/>
      </c>
      <c r="R2687" s="75" t="str">
        <f>IF(AND($N2687=$Q$7,$B2687&lt;'111'!$L$11),"x","")</f>
        <v/>
      </c>
      <c r="S2687" s="75" t="str">
        <f>IF(AND($O2687=$Q$7,$B2687&lt;'111'!$L$11),"x","")</f>
        <v/>
      </c>
      <c r="T2687" s="75" t="str">
        <f>IF(ISERROR(FIND('112'!$M$9,G2687,1)),"",IF((AND(FIND('112'!$M$9,G2687,1)&gt;=1,B2687='112'!$K$9,OR($N2687='112'!$I$6,$O2687='112'!$I$6))),"x",""))</f>
        <v/>
      </c>
      <c r="U2687" s="75" t="str">
        <f>IF(ISERROR(FIND('112'!$M$9,G2687,1)),"",IF((AND(LEFT(G2687,2)=LEFT('112'!$M$9,2),B2687&lt;'112'!$K$9,$N2687='112'!$I$6)),"x",""))</f>
        <v/>
      </c>
      <c r="V2687" s="75" t="str">
        <f>IF(ISERROR(FIND('112'!$M$9,G2687,1)),"",IF((AND(RIGHT(G2687,2)=RIGHT('112'!$M$9,2),B2687&lt;'112'!$K$9,$O2687='112'!$I$6)),"x",""))</f>
        <v/>
      </c>
      <c r="W2687" s="75" t="str">
        <f>IF(AND('341-CT'!$H$9=H2687,OR(LEFT(N2687,3)=$W$7,LEFT(O2687,3)=$W$7)),"x","")</f>
        <v/>
      </c>
      <c r="X2687" s="75" t="str">
        <f>IF(OR(TH!N2687=TH!$X$7,O2687=TH!$X$7),"x","")</f>
        <v/>
      </c>
      <c r="Y2687" s="75" t="str">
        <f>IF(AND(OR(N2687="131",O2687="131"),H2687='131-CT'!$H$9),"x","")</f>
        <v/>
      </c>
      <c r="Z2687" s="75"/>
      <c r="AA2687" s="75" t="str">
        <f>IF(AND(MONTH(E2687)='IN-NX'!$J$5,'IN-NX'!$D$7=D2687),"x","")</f>
        <v/>
      </c>
      <c r="AB2687" s="75" t="str">
        <f>IF(AND(OR(LEFT(TH!N2687,2)="15",LEFT(TH!O2687,2)="15"),LEFT(TH!O2687,3)&lt;&gt;"111",'152-CT'!$J$8=TH!F2687),"x","")</f>
        <v/>
      </c>
      <c r="AC2687" s="75" t="str">
        <f>IF(AND(OR(LEFT(TH!N2687,2)="15",LEFT(TH!O2687,2)="15"),TK!$E$7=TH!F2687),"x","")</f>
        <v/>
      </c>
      <c r="AD2687" s="75" t="str">
        <f>IF(AND(N2687="1521",MONTH(C2687)='BK-NL'!$M$11),"x","")</f>
        <v/>
      </c>
    </row>
    <row r="2688" spans="1:30" s="1264" customFormat="1" ht="16.5" customHeight="1">
      <c r="A2688" s="309" t="str">
        <f>IF(B2688&lt;&gt;"",IF(AND(B2688='IN-TC'!$S$4,OR(TH!N2688="1111",TH!O2688="1111")),TH!D2688,""),"")</f>
        <v/>
      </c>
      <c r="B2688" s="1312">
        <f t="shared" si="943"/>
        <v>2</v>
      </c>
      <c r="C2688" s="71">
        <v>42768</v>
      </c>
      <c r="D2688" s="71" t="s">
        <v>903</v>
      </c>
      <c r="E2688" s="71">
        <v>42768</v>
      </c>
      <c r="F2688" s="72" t="s">
        <v>1079</v>
      </c>
      <c r="G2688" s="72" t="s">
        <v>747</v>
      </c>
      <c r="H2688" s="735" t="s">
        <v>546</v>
      </c>
      <c r="I2688" s="371"/>
      <c r="J2688" s="377"/>
      <c r="K2688" s="371">
        <v>43317</v>
      </c>
      <c r="L2688" s="377">
        <v>22700</v>
      </c>
      <c r="M2688" s="1214">
        <f t="shared" ref="M2688" si="956">ROUND(K2688*L2688,0)</f>
        <v>983295900</v>
      </c>
      <c r="N2688" s="75" t="s">
        <v>256</v>
      </c>
      <c r="O2688" s="75" t="s">
        <v>536</v>
      </c>
      <c r="P2688" s="75" t="str">
        <f>IF(AND('331-CT'!$E$7=TH!H2688,OR(N2688="331",O2688="331")),"x","")</f>
        <v/>
      </c>
      <c r="Q2688" s="75" t="str">
        <f>IF(AND(B2688='111'!$L$11,OR($N2688=$Q$7,$O2688=$Q$7)),"x","")</f>
        <v/>
      </c>
      <c r="R2688" s="75" t="str">
        <f>IF(AND($N2688=$Q$7,$B2688&lt;'111'!$L$11),"x","")</f>
        <v/>
      </c>
      <c r="S2688" s="75" t="str">
        <f>IF(AND($O2688=$Q$7,$B2688&lt;'111'!$L$11),"x","")</f>
        <v/>
      </c>
      <c r="T2688" s="75" t="str">
        <f>IF(ISERROR(FIND('112'!$M$9,G2688,1)),"",IF((AND(FIND('112'!$M$9,G2688,1)&gt;=1,B2688='112'!$K$9,OR($N2688='112'!$I$6,$O2688='112'!$I$6))),"x",""))</f>
        <v/>
      </c>
      <c r="U2688" s="75" t="str">
        <f>IF(ISERROR(FIND('112'!$M$9,G2688,1)),"",IF((AND(LEFT(G2688,2)=LEFT('112'!$M$9,2),B2688&lt;'112'!$K$9,$N2688='112'!$I$6)),"x",""))</f>
        <v/>
      </c>
      <c r="V2688" s="75" t="str">
        <f>IF(ISERROR(FIND('112'!$M$9,G2688,1)),"",IF((AND(RIGHT(G2688,2)=RIGHT('112'!$M$9,2),B2688&lt;'112'!$K$9,$O2688='112'!$I$6)),"x",""))</f>
        <v/>
      </c>
      <c r="W2688" s="75" t="str">
        <f>IF(AND('341-CT'!$H$9=H2688,OR(LEFT(N2688,3)=$W$7,LEFT(O2688,3)=$W$7)),"x","")</f>
        <v/>
      </c>
      <c r="X2688" s="75" t="str">
        <f>IF(OR(TH!N2688=TH!$X$7,O2688=TH!$X$7),"x","")</f>
        <v/>
      </c>
      <c r="Y2688" s="75" t="str">
        <f>IF(AND(OR(N2688="131",O2688="131"),H2688='131-CT'!$H$9),"x","")</f>
        <v/>
      </c>
      <c r="Z2688" s="75"/>
      <c r="AA2688" s="75" t="str">
        <f>IF(AND(MONTH(E2688)='IN-NX'!$J$5,'IN-NX'!$D$7=D2688),"x","")</f>
        <v/>
      </c>
      <c r="AB2688" s="75" t="str">
        <f>IF(AND(OR(LEFT(TH!N2688,2)="15",LEFT(TH!O2688,2)="15"),LEFT(TH!O2688,3)&lt;&gt;"111",'152-CT'!$J$8=TH!F2688),"x","")</f>
        <v/>
      </c>
      <c r="AC2688" s="75" t="str">
        <f>IF(AND(OR(LEFT(TH!N2688,2)="15",LEFT(TH!O2688,2)="15"),TK!$E$7=TH!F2688),"x","")</f>
        <v/>
      </c>
      <c r="AD2688" s="75" t="str">
        <f>IF(AND(N2688="1521",MONTH(C2688)='BK-NL'!$M$11),"x","")</f>
        <v/>
      </c>
    </row>
    <row r="2689" spans="1:30" s="1264" customFormat="1" ht="16.5" customHeight="1">
      <c r="A2689" s="309" t="str">
        <f>IF(B2689&lt;&gt;"",IF(AND(B2689='IN-TC'!$S$4,OR(TH!N2689="1111",TH!O2689="1111")),TH!D2689,""),"")</f>
        <v/>
      </c>
      <c r="B2689" s="1312">
        <f t="shared" si="943"/>
        <v>2</v>
      </c>
      <c r="C2689" s="71">
        <v>42768</v>
      </c>
      <c r="D2689" s="71" t="s">
        <v>530</v>
      </c>
      <c r="E2689" s="71">
        <v>42768</v>
      </c>
      <c r="F2689" s="72" t="s">
        <v>1080</v>
      </c>
      <c r="G2689" s="72" t="s">
        <v>747</v>
      </c>
      <c r="H2689" s="735" t="s">
        <v>546</v>
      </c>
      <c r="I2689" s="371"/>
      <c r="J2689" s="377"/>
      <c r="K2689" s="371">
        <v>84</v>
      </c>
      <c r="L2689" s="377">
        <v>22700</v>
      </c>
      <c r="M2689" s="933">
        <f t="shared" ref="M2689" si="957">ROUND(L2689*K2689,0)</f>
        <v>1906800</v>
      </c>
      <c r="N2689" s="75" t="s">
        <v>101</v>
      </c>
      <c r="O2689" s="75" t="s">
        <v>536</v>
      </c>
      <c r="P2689" s="75" t="str">
        <f>IF(AND('331-CT'!$E$7=TH!H2689,OR(N2689="331",O2689="331")),"x","")</f>
        <v/>
      </c>
      <c r="Q2689" s="75" t="str">
        <f>IF(AND(B2689='111'!$L$11,OR($N2689=$Q$7,$O2689=$Q$7)),"x","")</f>
        <v/>
      </c>
      <c r="R2689" s="75" t="str">
        <f>IF(AND($N2689=$Q$7,$B2689&lt;'111'!$L$11),"x","")</f>
        <v/>
      </c>
      <c r="S2689" s="75" t="str">
        <f>IF(AND($O2689=$Q$7,$B2689&lt;'111'!$L$11),"x","")</f>
        <v/>
      </c>
      <c r="T2689" s="75" t="str">
        <f>IF(ISERROR(FIND('112'!$M$9,G2689,1)),"",IF((AND(FIND('112'!$M$9,G2689,1)&gt;=1,B2689='112'!$K$9,OR($N2689='112'!$I$6,$O2689='112'!$I$6))),"x",""))</f>
        <v/>
      </c>
      <c r="U2689" s="75" t="str">
        <f>IF(ISERROR(FIND('112'!$M$9,G2689,1)),"",IF((AND(LEFT(G2689,2)=LEFT('112'!$M$9,2),B2689&lt;'112'!$K$9,$N2689='112'!$I$6)),"x",""))</f>
        <v/>
      </c>
      <c r="V2689" s="75" t="str">
        <f>IF(ISERROR(FIND('112'!$M$9,G2689,1)),"",IF((AND(RIGHT(G2689,2)=RIGHT('112'!$M$9,2),B2689&lt;'112'!$K$9,$O2689='112'!$I$6)),"x",""))</f>
        <v/>
      </c>
      <c r="W2689" s="75" t="str">
        <f>IF(AND('341-CT'!$H$9=H2689,OR(LEFT(N2689,3)=$W$7,LEFT(O2689,3)=$W$7)),"x","")</f>
        <v/>
      </c>
      <c r="X2689" s="75" t="str">
        <f>IF(OR(TH!N2689=TH!$X$7,O2689=TH!$X$7),"x","")</f>
        <v/>
      </c>
      <c r="Y2689" s="75" t="str">
        <f>IF(AND(OR(N2689="131",O2689="131"),H2689='131-CT'!$H$9),"x","")</f>
        <v/>
      </c>
      <c r="Z2689" s="75"/>
      <c r="AA2689" s="75" t="str">
        <f>IF(AND(MONTH(E2689)='IN-NX'!$J$5,'IN-NX'!$D$7=D2689),"x","")</f>
        <v/>
      </c>
      <c r="AB2689" s="75" t="str">
        <f>IF(AND(OR(LEFT(TH!N2689,2)="15",LEFT(TH!O2689,2)="15"),LEFT(TH!O2689,3)&lt;&gt;"111",'152-CT'!$J$8=TH!F2689),"x","")</f>
        <v/>
      </c>
      <c r="AC2689" s="75" t="str">
        <f>IF(AND(OR(LEFT(TH!N2689,2)="15",LEFT(TH!O2689,2)="15"),TK!$E$7=TH!F2689),"x","")</f>
        <v/>
      </c>
      <c r="AD2689" s="75" t="str">
        <f>IF(AND(N2689="1521",MONTH(C2689)='BK-NL'!$M$11),"x","")</f>
        <v/>
      </c>
    </row>
    <row r="2690" spans="1:30" s="1264" customFormat="1" ht="16.5" customHeight="1">
      <c r="A2690" s="309" t="str">
        <f>IF(B2690&lt;&gt;"",IF(AND(B2690='IN-TC'!$S$4,OR(TH!N2690="1111",TH!O2690="1111")),TH!D2690,""),"")</f>
        <v/>
      </c>
      <c r="B2690" s="1312">
        <f t="shared" si="943"/>
        <v>2</v>
      </c>
      <c r="C2690" s="71">
        <v>42768</v>
      </c>
      <c r="D2690" s="71" t="s">
        <v>530</v>
      </c>
      <c r="E2690" s="71">
        <v>42768</v>
      </c>
      <c r="F2690" s="72" t="s">
        <v>1010</v>
      </c>
      <c r="G2690" s="72" t="s">
        <v>747</v>
      </c>
      <c r="H2690" s="735" t="s">
        <v>546</v>
      </c>
      <c r="I2690" s="371"/>
      <c r="J2690" s="377"/>
      <c r="K2690" s="371"/>
      <c r="L2690" s="377"/>
      <c r="M2690" s="74">
        <v>4557105</v>
      </c>
      <c r="N2690" s="75" t="s">
        <v>536</v>
      </c>
      <c r="O2690" s="934" t="s">
        <v>43</v>
      </c>
      <c r="P2690" s="75" t="str">
        <f>IF(AND('331-CT'!$E$7=TH!H2690,OR(N2690="331",O2690="331")),"x","")</f>
        <v/>
      </c>
      <c r="Q2690" s="75" t="str">
        <f>IF(AND(B2690='111'!$L$11,OR($N2690=$Q$7,$O2690=$Q$7)),"x","")</f>
        <v/>
      </c>
      <c r="R2690" s="75" t="str">
        <f>IF(AND($N2690=$Q$7,$B2690&lt;'111'!$L$11),"x","")</f>
        <v/>
      </c>
      <c r="S2690" s="75" t="str">
        <f>IF(AND($O2690=$Q$7,$B2690&lt;'111'!$L$11),"x","")</f>
        <v/>
      </c>
      <c r="T2690" s="75" t="str">
        <f>IF(ISERROR(FIND('112'!$M$9,G2690,1)),"",IF((AND(FIND('112'!$M$9,G2690,1)&gt;=1,B2690='112'!$K$9,OR($N2690='112'!$I$6,$O2690='112'!$I$6))),"x",""))</f>
        <v/>
      </c>
      <c r="U2690" s="75" t="str">
        <f>IF(ISERROR(FIND('112'!$M$9,G2690,1)),"",IF((AND(LEFT(G2690,2)=LEFT('112'!$M$9,2),B2690&lt;'112'!$K$9,$N2690='112'!$I$6)),"x",""))</f>
        <v/>
      </c>
      <c r="V2690" s="75" t="str">
        <f>IF(ISERROR(FIND('112'!$M$9,G2690,1)),"",IF((AND(RIGHT(G2690,2)=RIGHT('112'!$M$9,2),B2690&lt;'112'!$K$9,$O2690='112'!$I$6)),"x",""))</f>
        <v/>
      </c>
      <c r="W2690" s="75" t="str">
        <f>IF(AND('341-CT'!$H$9=H2690,OR(LEFT(N2690,3)=$W$7,LEFT(O2690,3)=$W$7)),"x","")</f>
        <v/>
      </c>
      <c r="X2690" s="75" t="str">
        <f>IF(OR(TH!N2690=TH!$X$7,O2690=TH!$X$7),"x","")</f>
        <v/>
      </c>
      <c r="Y2690" s="75" t="str">
        <f>IF(AND(OR(N2690="131",O2690="131"),H2690='131-CT'!$H$9),"x","")</f>
        <v/>
      </c>
      <c r="Z2690" s="75"/>
      <c r="AA2690" s="75" t="str">
        <f>IF(AND(MONTH(E2690)='IN-NX'!$J$5,'IN-NX'!$D$7=D2690),"x","")</f>
        <v/>
      </c>
      <c r="AB2690" s="75" t="str">
        <f>IF(AND(OR(LEFT(TH!N2690,2)="15",LEFT(TH!O2690,2)="15"),LEFT(TH!O2690,3)&lt;&gt;"111",'152-CT'!$J$8=TH!F2690),"x","")</f>
        <v/>
      </c>
      <c r="AC2690" s="75" t="str">
        <f>IF(AND(OR(LEFT(TH!N2690,2)="15",LEFT(TH!O2690,2)="15"),TK!$E$7=TH!F2690),"x","")</f>
        <v/>
      </c>
      <c r="AD2690" s="75" t="str">
        <f>IF(AND(N2690="1521",MONTH(C2690)='BK-NL'!$M$11),"x","")</f>
        <v/>
      </c>
    </row>
    <row r="2691" spans="1:30" s="1264" customFormat="1" ht="16.5" customHeight="1">
      <c r="A2691" s="309" t="str">
        <f>IF(B2691&lt;&gt;"",IF(AND(B2691='IN-TC'!$S$4,OR(TH!N2691="1111",TH!O2691="1111")),TH!D2691,""),"")</f>
        <v/>
      </c>
      <c r="B2691" s="1312">
        <f t="shared" si="943"/>
        <v>2</v>
      </c>
      <c r="C2691" s="71">
        <v>42768</v>
      </c>
      <c r="D2691" s="71" t="s">
        <v>903</v>
      </c>
      <c r="E2691" s="71">
        <v>42768</v>
      </c>
      <c r="F2691" s="72" t="s">
        <v>1079</v>
      </c>
      <c r="G2691" s="72" t="s">
        <v>747</v>
      </c>
      <c r="H2691" s="735" t="s">
        <v>822</v>
      </c>
      <c r="I2691" s="371"/>
      <c r="J2691" s="377"/>
      <c r="K2691" s="371">
        <v>107860</v>
      </c>
      <c r="L2691" s="377">
        <v>22700</v>
      </c>
      <c r="M2691" s="1214">
        <f t="shared" ref="M2691" si="958">ROUND(K2691*L2691,0)</f>
        <v>2448422000</v>
      </c>
      <c r="N2691" s="75" t="s">
        <v>256</v>
      </c>
      <c r="O2691" s="75" t="s">
        <v>536</v>
      </c>
      <c r="P2691" s="75" t="str">
        <f>IF(AND('331-CT'!$E$7=TH!H2691,OR(N2691="331",O2691="331")),"x","")</f>
        <v/>
      </c>
      <c r="Q2691" s="75" t="str">
        <f>IF(AND(B2691='111'!$L$11,OR($N2691=$Q$7,$O2691=$Q$7)),"x","")</f>
        <v/>
      </c>
      <c r="R2691" s="75" t="str">
        <f>IF(AND($N2691=$Q$7,$B2691&lt;'111'!$L$11),"x","")</f>
        <v/>
      </c>
      <c r="S2691" s="75" t="str">
        <f>IF(AND($O2691=$Q$7,$B2691&lt;'111'!$L$11),"x","")</f>
        <v/>
      </c>
      <c r="T2691" s="75" t="str">
        <f>IF(ISERROR(FIND('112'!$M$9,G2691,1)),"",IF((AND(FIND('112'!$M$9,G2691,1)&gt;=1,B2691='112'!$K$9,OR($N2691='112'!$I$6,$O2691='112'!$I$6))),"x",""))</f>
        <v/>
      </c>
      <c r="U2691" s="75" t="str">
        <f>IF(ISERROR(FIND('112'!$M$9,G2691,1)),"",IF((AND(LEFT(G2691,2)=LEFT('112'!$M$9,2),B2691&lt;'112'!$K$9,$N2691='112'!$I$6)),"x",""))</f>
        <v/>
      </c>
      <c r="V2691" s="75" t="str">
        <f>IF(ISERROR(FIND('112'!$M$9,G2691,1)),"",IF((AND(RIGHT(G2691,2)=RIGHT('112'!$M$9,2),B2691&lt;'112'!$K$9,$O2691='112'!$I$6)),"x",""))</f>
        <v/>
      </c>
      <c r="W2691" s="75" t="str">
        <f>IF(AND('341-CT'!$H$9=H2691,OR(LEFT(N2691,3)=$W$7,LEFT(O2691,3)=$W$7)),"x","")</f>
        <v/>
      </c>
      <c r="X2691" s="75" t="str">
        <f>IF(OR(TH!N2691=TH!$X$7,O2691=TH!$X$7),"x","")</f>
        <v/>
      </c>
      <c r="Y2691" s="75" t="str">
        <f>IF(AND(OR(N2691="131",O2691="131"),H2691='131-CT'!$H$9),"x","")</f>
        <v/>
      </c>
      <c r="Z2691" s="75"/>
      <c r="AA2691" s="75" t="str">
        <f>IF(AND(MONTH(E2691)='IN-NX'!$J$5,'IN-NX'!$D$7=D2691),"x","")</f>
        <v/>
      </c>
      <c r="AB2691" s="75" t="str">
        <f>IF(AND(OR(LEFT(TH!N2691,2)="15",LEFT(TH!O2691,2)="15"),LEFT(TH!O2691,3)&lt;&gt;"111",'152-CT'!$J$8=TH!F2691),"x","")</f>
        <v/>
      </c>
      <c r="AC2691" s="75" t="str">
        <f>IF(AND(OR(LEFT(TH!N2691,2)="15",LEFT(TH!O2691,2)="15"),TK!$E$7=TH!F2691),"x","")</f>
        <v/>
      </c>
      <c r="AD2691" s="75" t="str">
        <f>IF(AND(N2691="1521",MONTH(C2691)='BK-NL'!$M$11),"x","")</f>
        <v/>
      </c>
    </row>
    <row r="2692" spans="1:30" s="1264" customFormat="1" ht="16.5" customHeight="1">
      <c r="A2692" s="309" t="str">
        <f>IF(B2692&lt;&gt;"",IF(AND(B2692='IN-TC'!$S$4,OR(TH!N2692="1111",TH!O2692="1111")),TH!D2692,""),"")</f>
        <v/>
      </c>
      <c r="B2692" s="1312">
        <f t="shared" si="943"/>
        <v>2</v>
      </c>
      <c r="C2692" s="71">
        <v>42768</v>
      </c>
      <c r="D2692" s="71" t="s">
        <v>530</v>
      </c>
      <c r="E2692" s="71">
        <v>42768</v>
      </c>
      <c r="F2692" s="72" t="s">
        <v>1080</v>
      </c>
      <c r="G2692" s="72" t="s">
        <v>747</v>
      </c>
      <c r="H2692" s="735" t="s">
        <v>822</v>
      </c>
      <c r="I2692" s="371"/>
      <c r="J2692" s="377"/>
      <c r="K2692" s="371">
        <v>140</v>
      </c>
      <c r="L2692" s="377">
        <v>22700</v>
      </c>
      <c r="M2692" s="933">
        <f>ROUND(L2692*K2692,0)</f>
        <v>3178000</v>
      </c>
      <c r="N2692" s="75" t="s">
        <v>101</v>
      </c>
      <c r="O2692" s="75" t="s">
        <v>536</v>
      </c>
      <c r="P2692" s="75" t="str">
        <f>IF(AND('331-CT'!$E$7=TH!H2692,OR(N2692="331",O2692="331")),"x","")</f>
        <v/>
      </c>
      <c r="Q2692" s="75" t="str">
        <f>IF(AND(B2692='111'!$L$11,OR($N2692=$Q$7,$O2692=$Q$7)),"x","")</f>
        <v/>
      </c>
      <c r="R2692" s="75" t="str">
        <f>IF(AND($N2692=$Q$7,$B2692&lt;'111'!$L$11),"x","")</f>
        <v/>
      </c>
      <c r="S2692" s="75" t="str">
        <f>IF(AND($O2692=$Q$7,$B2692&lt;'111'!$L$11),"x","")</f>
        <v/>
      </c>
      <c r="T2692" s="75" t="str">
        <f>IF(ISERROR(FIND('112'!$M$9,G2692,1)),"",IF((AND(FIND('112'!$M$9,G2692,1)&gt;=1,B2692='112'!$K$9,OR($N2692='112'!$I$6,$O2692='112'!$I$6))),"x",""))</f>
        <v/>
      </c>
      <c r="U2692" s="75" t="str">
        <f>IF(ISERROR(FIND('112'!$M$9,G2692,1)),"",IF((AND(LEFT(G2692,2)=LEFT('112'!$M$9,2),B2692&lt;'112'!$K$9,$N2692='112'!$I$6)),"x",""))</f>
        <v/>
      </c>
      <c r="V2692" s="75" t="str">
        <f>IF(ISERROR(FIND('112'!$M$9,G2692,1)),"",IF((AND(RIGHT(G2692,2)=RIGHT('112'!$M$9,2),B2692&lt;'112'!$K$9,$O2692='112'!$I$6)),"x",""))</f>
        <v/>
      </c>
      <c r="W2692" s="75" t="str">
        <f>IF(AND('341-CT'!$H$9=H2692,OR(LEFT(N2692,3)=$W$7,LEFT(O2692,3)=$W$7)),"x","")</f>
        <v/>
      </c>
      <c r="X2692" s="75" t="str">
        <f>IF(OR(TH!N2692=TH!$X$7,O2692=TH!$X$7),"x","")</f>
        <v/>
      </c>
      <c r="Y2692" s="75" t="str">
        <f>IF(AND(OR(N2692="131",O2692="131"),H2692='131-CT'!$H$9),"x","")</f>
        <v/>
      </c>
      <c r="Z2692" s="75"/>
      <c r="AA2692" s="75" t="str">
        <f>IF(AND(MONTH(E2692)='IN-NX'!$J$5,'IN-NX'!$D$7=D2692),"x","")</f>
        <v/>
      </c>
      <c r="AB2692" s="75" t="str">
        <f>IF(AND(OR(LEFT(TH!N2692,2)="15",LEFT(TH!O2692,2)="15"),LEFT(TH!O2692,3)&lt;&gt;"111",'152-CT'!$J$8=TH!F2692),"x","")</f>
        <v/>
      </c>
      <c r="AC2692" s="75" t="str">
        <f>IF(AND(OR(LEFT(TH!N2692,2)="15",LEFT(TH!O2692,2)="15"),TK!$E$7=TH!F2692),"x","")</f>
        <v/>
      </c>
      <c r="AD2692" s="75" t="str">
        <f>IF(AND(N2692="1521",MONTH(C2692)='BK-NL'!$M$11),"x","")</f>
        <v/>
      </c>
    </row>
    <row r="2693" spans="1:30" s="1264" customFormat="1" ht="16.5" customHeight="1">
      <c r="A2693" s="309" t="str">
        <f>IF(B2693&lt;&gt;"",IF(AND(B2693='IN-TC'!$S$4,OR(TH!N2693="1111",TH!O2693="1111")),TH!D2693,""),"")</f>
        <v/>
      </c>
      <c r="B2693" s="1312">
        <f t="shared" si="943"/>
        <v>2</v>
      </c>
      <c r="C2693" s="71">
        <v>42768</v>
      </c>
      <c r="D2693" s="71" t="s">
        <v>530</v>
      </c>
      <c r="E2693" s="71">
        <v>42768</v>
      </c>
      <c r="F2693" s="72" t="s">
        <v>1010</v>
      </c>
      <c r="G2693" s="72" t="s">
        <v>747</v>
      </c>
      <c r="H2693" s="735" t="s">
        <v>822</v>
      </c>
      <c r="I2693" s="371"/>
      <c r="J2693" s="377"/>
      <c r="K2693" s="371"/>
      <c r="L2693" s="377"/>
      <c r="M2693" s="74">
        <v>11340000</v>
      </c>
      <c r="N2693" s="75" t="s">
        <v>536</v>
      </c>
      <c r="O2693" s="934" t="s">
        <v>43</v>
      </c>
      <c r="P2693" s="75" t="str">
        <f>IF(AND('331-CT'!$E$7=TH!H2693,OR(N2693="331",O2693="331")),"x","")</f>
        <v/>
      </c>
      <c r="Q2693" s="75" t="str">
        <f>IF(AND(B2693='111'!$L$11,OR($N2693=$Q$7,$O2693=$Q$7)),"x","")</f>
        <v/>
      </c>
      <c r="R2693" s="75" t="str">
        <f>IF(AND($N2693=$Q$7,$B2693&lt;'111'!$L$11),"x","")</f>
        <v/>
      </c>
      <c r="S2693" s="75" t="str">
        <f>IF(AND($O2693=$Q$7,$B2693&lt;'111'!$L$11),"x","")</f>
        <v/>
      </c>
      <c r="T2693" s="75" t="str">
        <f>IF(ISERROR(FIND('112'!$M$9,G2693,1)),"",IF((AND(FIND('112'!$M$9,G2693,1)&gt;=1,B2693='112'!$K$9,OR($N2693='112'!$I$6,$O2693='112'!$I$6))),"x",""))</f>
        <v/>
      </c>
      <c r="U2693" s="75" t="str">
        <f>IF(ISERROR(FIND('112'!$M$9,G2693,1)),"",IF((AND(LEFT(G2693,2)=LEFT('112'!$M$9,2),B2693&lt;'112'!$K$9,$N2693='112'!$I$6)),"x",""))</f>
        <v/>
      </c>
      <c r="V2693" s="75" t="str">
        <f>IF(ISERROR(FIND('112'!$M$9,G2693,1)),"",IF((AND(RIGHT(G2693,2)=RIGHT('112'!$M$9,2),B2693&lt;'112'!$K$9,$O2693='112'!$I$6)),"x",""))</f>
        <v/>
      </c>
      <c r="W2693" s="75" t="str">
        <f>IF(AND('341-CT'!$H$9=H2693,OR(LEFT(N2693,3)=$W$7,LEFT(O2693,3)=$W$7)),"x","")</f>
        <v/>
      </c>
      <c r="X2693" s="75" t="str">
        <f>IF(OR(TH!N2693=TH!$X$7,O2693=TH!$X$7),"x","")</f>
        <v/>
      </c>
      <c r="Y2693" s="75" t="str">
        <f>IF(AND(OR(N2693="131",O2693="131"),H2693='131-CT'!$H$9),"x","")</f>
        <v/>
      </c>
      <c r="Z2693" s="75"/>
      <c r="AA2693" s="75" t="str">
        <f>IF(AND(MONTH(E2693)='IN-NX'!$J$5,'IN-NX'!$D$7=D2693),"x","")</f>
        <v/>
      </c>
      <c r="AB2693" s="75" t="str">
        <f>IF(AND(OR(LEFT(TH!N2693,2)="15",LEFT(TH!O2693,2)="15"),LEFT(TH!O2693,3)&lt;&gt;"111",'152-CT'!$J$8=TH!F2693),"x","")</f>
        <v/>
      </c>
      <c r="AC2693" s="75" t="str">
        <f>IF(AND(OR(LEFT(TH!N2693,2)="15",LEFT(TH!O2693,2)="15"),TK!$E$7=TH!F2693),"x","")</f>
        <v/>
      </c>
      <c r="AD2693" s="75" t="str">
        <f>IF(AND(N2693="1521",MONTH(C2693)='BK-NL'!$M$11),"x","")</f>
        <v/>
      </c>
    </row>
    <row r="2694" spans="1:30" s="1264" customFormat="1" ht="16.5" customHeight="1">
      <c r="A2694" s="309" t="str">
        <f>IF(B2694&lt;&gt;"",IF(AND(B2694='IN-TC'!$S$4,OR(TH!N2694="1111",TH!O2694="1111")),TH!D2694,""),"")</f>
        <v/>
      </c>
      <c r="B2694" s="1312">
        <f t="shared" si="943"/>
        <v>2</v>
      </c>
      <c r="C2694" s="71">
        <v>42768</v>
      </c>
      <c r="D2694" s="71" t="s">
        <v>903</v>
      </c>
      <c r="E2694" s="71">
        <v>42768</v>
      </c>
      <c r="F2694" s="72" t="s">
        <v>1079</v>
      </c>
      <c r="G2694" s="72" t="s">
        <v>747</v>
      </c>
      <c r="H2694" s="735" t="s">
        <v>738</v>
      </c>
      <c r="I2694" s="371"/>
      <c r="J2694" s="377"/>
      <c r="K2694" s="371">
        <v>41588</v>
      </c>
      <c r="L2694" s="377">
        <v>22700</v>
      </c>
      <c r="M2694" s="1214">
        <f t="shared" ref="M2694" si="959">ROUND(K2694*L2694,0)</f>
        <v>944047600</v>
      </c>
      <c r="N2694" s="75" t="s">
        <v>256</v>
      </c>
      <c r="O2694" s="75" t="s">
        <v>536</v>
      </c>
      <c r="P2694" s="75" t="str">
        <f>IF(AND('331-CT'!$E$7=TH!H2694,OR(N2694="331",O2694="331")),"x","")</f>
        <v/>
      </c>
      <c r="Q2694" s="75" t="str">
        <f>IF(AND(B2694='111'!$L$11,OR($N2694=$Q$7,$O2694=$Q$7)),"x","")</f>
        <v/>
      </c>
      <c r="R2694" s="75" t="str">
        <f>IF(AND($N2694=$Q$7,$B2694&lt;'111'!$L$11),"x","")</f>
        <v/>
      </c>
      <c r="S2694" s="75" t="str">
        <f>IF(AND($O2694=$Q$7,$B2694&lt;'111'!$L$11),"x","")</f>
        <v/>
      </c>
      <c r="T2694" s="75" t="str">
        <f>IF(ISERROR(FIND('112'!$M$9,G2694,1)),"",IF((AND(FIND('112'!$M$9,G2694,1)&gt;=1,B2694='112'!$K$9,OR($N2694='112'!$I$6,$O2694='112'!$I$6))),"x",""))</f>
        <v/>
      </c>
      <c r="U2694" s="75" t="str">
        <f>IF(ISERROR(FIND('112'!$M$9,G2694,1)),"",IF((AND(LEFT(G2694,2)=LEFT('112'!$M$9,2),B2694&lt;'112'!$K$9,$N2694='112'!$I$6)),"x",""))</f>
        <v/>
      </c>
      <c r="V2694" s="75" t="str">
        <f>IF(ISERROR(FIND('112'!$M$9,G2694,1)),"",IF((AND(RIGHT(G2694,2)=RIGHT('112'!$M$9,2),B2694&lt;'112'!$K$9,$O2694='112'!$I$6)),"x",""))</f>
        <v/>
      </c>
      <c r="W2694" s="75" t="str">
        <f>IF(AND('341-CT'!$H$9=H2694,OR(LEFT(N2694,3)=$W$7,LEFT(O2694,3)=$W$7)),"x","")</f>
        <v/>
      </c>
      <c r="X2694" s="75" t="str">
        <f>IF(OR(TH!N2694=TH!$X$7,O2694=TH!$X$7),"x","")</f>
        <v/>
      </c>
      <c r="Y2694" s="75" t="str">
        <f>IF(AND(OR(N2694="131",O2694="131"),H2694='131-CT'!$H$9),"x","")</f>
        <v/>
      </c>
      <c r="Z2694" s="75"/>
      <c r="AA2694" s="75" t="str">
        <f>IF(AND(MONTH(E2694)='IN-NX'!$J$5,'IN-NX'!$D$7=D2694),"x","")</f>
        <v/>
      </c>
      <c r="AB2694" s="75" t="str">
        <f>IF(AND(OR(LEFT(TH!N2694,2)="15",LEFT(TH!O2694,2)="15"),LEFT(TH!O2694,3)&lt;&gt;"111",'152-CT'!$J$8=TH!F2694),"x","")</f>
        <v/>
      </c>
      <c r="AC2694" s="75" t="str">
        <f>IF(AND(OR(LEFT(TH!N2694,2)="15",LEFT(TH!O2694,2)="15"),TK!$E$7=TH!F2694),"x","")</f>
        <v/>
      </c>
      <c r="AD2694" s="75" t="str">
        <f>IF(AND(N2694="1521",MONTH(C2694)='BK-NL'!$M$11),"x","")</f>
        <v/>
      </c>
    </row>
    <row r="2695" spans="1:30" s="1264" customFormat="1" ht="16.5" customHeight="1">
      <c r="A2695" s="309" t="str">
        <f>IF(B2695&lt;&gt;"",IF(AND(B2695='IN-TC'!$S$4,OR(TH!N2695="1111",TH!O2695="1111")),TH!D2695,""),"")</f>
        <v/>
      </c>
      <c r="B2695" s="1312">
        <f t="shared" si="943"/>
        <v>2</v>
      </c>
      <c r="C2695" s="71">
        <v>42768</v>
      </c>
      <c r="D2695" s="71" t="s">
        <v>530</v>
      </c>
      <c r="E2695" s="71">
        <v>42768</v>
      </c>
      <c r="F2695" s="72" t="s">
        <v>1080</v>
      </c>
      <c r="G2695" s="72" t="s">
        <v>747</v>
      </c>
      <c r="H2695" s="735" t="s">
        <v>738</v>
      </c>
      <c r="I2695" s="371"/>
      <c r="J2695" s="377"/>
      <c r="K2695" s="371">
        <v>172</v>
      </c>
      <c r="L2695" s="377">
        <v>22700</v>
      </c>
      <c r="M2695" s="933">
        <f>ROUND(L2695*K2695,0)</f>
        <v>3904400</v>
      </c>
      <c r="N2695" s="75" t="s">
        <v>101</v>
      </c>
      <c r="O2695" s="75" t="s">
        <v>536</v>
      </c>
      <c r="P2695" s="75" t="str">
        <f>IF(AND('331-CT'!$E$7=TH!H2695,OR(N2695="331",O2695="331")),"x","")</f>
        <v/>
      </c>
      <c r="Q2695" s="75" t="str">
        <f>IF(AND(B2695='111'!$L$11,OR($N2695=$Q$7,$O2695=$Q$7)),"x","")</f>
        <v/>
      </c>
      <c r="R2695" s="75" t="str">
        <f>IF(AND($N2695=$Q$7,$B2695&lt;'111'!$L$11),"x","")</f>
        <v/>
      </c>
      <c r="S2695" s="75" t="str">
        <f>IF(AND($O2695=$Q$7,$B2695&lt;'111'!$L$11),"x","")</f>
        <v/>
      </c>
      <c r="T2695" s="75" t="str">
        <f>IF(ISERROR(FIND('112'!$M$9,G2695,1)),"",IF((AND(FIND('112'!$M$9,G2695,1)&gt;=1,B2695='112'!$K$9,OR($N2695='112'!$I$6,$O2695='112'!$I$6))),"x",""))</f>
        <v/>
      </c>
      <c r="U2695" s="75" t="str">
        <f>IF(ISERROR(FIND('112'!$M$9,G2695,1)),"",IF((AND(LEFT(G2695,2)=LEFT('112'!$M$9,2),B2695&lt;'112'!$K$9,$N2695='112'!$I$6)),"x",""))</f>
        <v/>
      </c>
      <c r="V2695" s="75" t="str">
        <f>IF(ISERROR(FIND('112'!$M$9,G2695,1)),"",IF((AND(RIGHT(G2695,2)=RIGHT('112'!$M$9,2),B2695&lt;'112'!$K$9,$O2695='112'!$I$6)),"x",""))</f>
        <v/>
      </c>
      <c r="W2695" s="75" t="str">
        <f>IF(AND('341-CT'!$H$9=H2695,OR(LEFT(N2695,3)=$W$7,LEFT(O2695,3)=$W$7)),"x","")</f>
        <v/>
      </c>
      <c r="X2695" s="75" t="str">
        <f>IF(OR(TH!N2695=TH!$X$7,O2695=TH!$X$7),"x","")</f>
        <v/>
      </c>
      <c r="Y2695" s="75" t="str">
        <f>IF(AND(OR(N2695="131",O2695="131"),H2695='131-CT'!$H$9),"x","")</f>
        <v/>
      </c>
      <c r="Z2695" s="75"/>
      <c r="AA2695" s="75" t="str">
        <f>IF(AND(MONTH(E2695)='IN-NX'!$J$5,'IN-NX'!$D$7=D2695),"x","")</f>
        <v/>
      </c>
      <c r="AB2695" s="75" t="str">
        <f>IF(AND(OR(LEFT(TH!N2695,2)="15",LEFT(TH!O2695,2)="15"),LEFT(TH!O2695,3)&lt;&gt;"111",'152-CT'!$J$8=TH!F2695),"x","")</f>
        <v/>
      </c>
      <c r="AC2695" s="75" t="str">
        <f>IF(AND(OR(LEFT(TH!N2695,2)="15",LEFT(TH!O2695,2)="15"),TK!$E$7=TH!F2695),"x","")</f>
        <v/>
      </c>
      <c r="AD2695" s="75" t="str">
        <f>IF(AND(N2695="1521",MONTH(C2695)='BK-NL'!$M$11),"x","")</f>
        <v/>
      </c>
    </row>
    <row r="2696" spans="1:30" s="1264" customFormat="1" ht="16.5" customHeight="1">
      <c r="A2696" s="309" t="str">
        <f>IF(B2696&lt;&gt;"",IF(AND(B2696='IN-TC'!$S$4,OR(TH!N2696="1111",TH!O2696="1111")),TH!D2696,""),"")</f>
        <v/>
      </c>
      <c r="B2696" s="1312">
        <f t="shared" si="943"/>
        <v>2</v>
      </c>
      <c r="C2696" s="71">
        <v>42768</v>
      </c>
      <c r="D2696" s="71" t="s">
        <v>530</v>
      </c>
      <c r="E2696" s="71">
        <v>42768</v>
      </c>
      <c r="F2696" s="72" t="s">
        <v>1010</v>
      </c>
      <c r="G2696" s="72" t="s">
        <v>747</v>
      </c>
      <c r="H2696" s="735" t="s">
        <v>738</v>
      </c>
      <c r="I2696" s="371"/>
      <c r="J2696" s="377"/>
      <c r="K2696" s="371"/>
      <c r="L2696" s="377"/>
      <c r="M2696" s="74">
        <v>7099200</v>
      </c>
      <c r="N2696" s="75" t="s">
        <v>536</v>
      </c>
      <c r="O2696" s="934" t="s">
        <v>43</v>
      </c>
      <c r="P2696" s="75" t="str">
        <f>IF(AND('331-CT'!$E$7=TH!H2696,OR(N2696="331",O2696="331")),"x","")</f>
        <v/>
      </c>
      <c r="Q2696" s="75" t="str">
        <f>IF(AND(B2696='111'!$L$11,OR($N2696=$Q$7,$O2696=$Q$7)),"x","")</f>
        <v/>
      </c>
      <c r="R2696" s="75" t="str">
        <f>IF(AND($N2696=$Q$7,$B2696&lt;'111'!$L$11),"x","")</f>
        <v/>
      </c>
      <c r="S2696" s="75" t="str">
        <f>IF(AND($O2696=$Q$7,$B2696&lt;'111'!$L$11),"x","")</f>
        <v/>
      </c>
      <c r="T2696" s="75" t="str">
        <f>IF(ISERROR(FIND('112'!$M$9,G2696,1)),"",IF((AND(FIND('112'!$M$9,G2696,1)&gt;=1,B2696='112'!$K$9,OR($N2696='112'!$I$6,$O2696='112'!$I$6))),"x",""))</f>
        <v/>
      </c>
      <c r="U2696" s="75" t="str">
        <f>IF(ISERROR(FIND('112'!$M$9,G2696,1)),"",IF((AND(LEFT(G2696,2)=LEFT('112'!$M$9,2),B2696&lt;'112'!$K$9,$N2696='112'!$I$6)),"x",""))</f>
        <v/>
      </c>
      <c r="V2696" s="75" t="str">
        <f>IF(ISERROR(FIND('112'!$M$9,G2696,1)),"",IF((AND(RIGHT(G2696,2)=RIGHT('112'!$M$9,2),B2696&lt;'112'!$K$9,$O2696='112'!$I$6)),"x",""))</f>
        <v/>
      </c>
      <c r="W2696" s="75" t="str">
        <f>IF(AND('341-CT'!$H$9=H2696,OR(LEFT(N2696,3)=$W$7,LEFT(O2696,3)=$W$7)),"x","")</f>
        <v/>
      </c>
      <c r="X2696" s="75" t="str">
        <f>IF(OR(TH!N2696=TH!$X$7,O2696=TH!$X$7),"x","")</f>
        <v/>
      </c>
      <c r="Y2696" s="75" t="str">
        <f>IF(AND(OR(N2696="131",O2696="131"),H2696='131-CT'!$H$9),"x","")</f>
        <v/>
      </c>
      <c r="Z2696" s="75"/>
      <c r="AA2696" s="75" t="str">
        <f>IF(AND(MONTH(E2696)='IN-NX'!$J$5,'IN-NX'!$D$7=D2696),"x","")</f>
        <v/>
      </c>
      <c r="AB2696" s="75" t="str">
        <f>IF(AND(OR(LEFT(TH!N2696,2)="15",LEFT(TH!O2696,2)="15"),LEFT(TH!O2696,3)&lt;&gt;"111",'152-CT'!$J$8=TH!F2696),"x","")</f>
        <v/>
      </c>
      <c r="AC2696" s="75" t="str">
        <f>IF(AND(OR(LEFT(TH!N2696,2)="15",LEFT(TH!O2696,2)="15"),TK!$E$7=TH!F2696),"x","")</f>
        <v/>
      </c>
      <c r="AD2696" s="75" t="str">
        <f>IF(AND(N2696="1521",MONTH(C2696)='BK-NL'!$M$11),"x","")</f>
        <v/>
      </c>
    </row>
    <row r="2697" spans="1:30" s="1264" customFormat="1" ht="16.5" customHeight="1">
      <c r="A2697" s="309" t="str">
        <f>IF(B2697&lt;&gt;"",IF(AND(B2697='IN-TC'!$S$4,OR(TH!N2697="1111",TH!O2697="1111")),TH!D2697,""),"")</f>
        <v/>
      </c>
      <c r="B2697" s="1312">
        <f t="shared" si="943"/>
        <v>2</v>
      </c>
      <c r="C2697" s="71">
        <v>42768</v>
      </c>
      <c r="D2697" s="71" t="s">
        <v>902</v>
      </c>
      <c r="E2697" s="71">
        <v>42768</v>
      </c>
      <c r="F2697" s="72" t="s">
        <v>924</v>
      </c>
      <c r="G2697" s="72" t="s">
        <v>747</v>
      </c>
      <c r="H2697" s="735" t="s">
        <v>2445</v>
      </c>
      <c r="I2697" s="371"/>
      <c r="J2697" s="377"/>
      <c r="K2697" s="371">
        <v>41200</v>
      </c>
      <c r="L2697" s="377">
        <v>22700</v>
      </c>
      <c r="M2697" s="74">
        <f t="shared" ref="M2697:M2698" si="960">ROUND(K2697*L2697,0)</f>
        <v>935240000</v>
      </c>
      <c r="N2697" s="75" t="s">
        <v>250</v>
      </c>
      <c r="O2697" s="934" t="s">
        <v>256</v>
      </c>
      <c r="P2697" s="75" t="str">
        <f>IF(AND('331-CT'!$E$7=TH!H2697,OR(N2697="331",O2697="331")),"x","")</f>
        <v/>
      </c>
      <c r="Q2697" s="75" t="str">
        <f>IF(AND(B2697='111'!$L$11,OR($N2697=$Q$7,$O2697=$Q$7)),"x","")</f>
        <v/>
      </c>
      <c r="R2697" s="75" t="str">
        <f>IF(AND($N2697=$Q$7,$B2697&lt;'111'!$L$11),"x","")</f>
        <v/>
      </c>
      <c r="S2697" s="75" t="str">
        <f>IF(AND($O2697=$Q$7,$B2697&lt;'111'!$L$11),"x","")</f>
        <v/>
      </c>
      <c r="T2697" s="75" t="str">
        <f>IF(ISERROR(FIND('112'!$M$9,G2697,1)),"",IF((AND(FIND('112'!$M$9,G2697,1)&gt;=1,B2697='112'!$K$9,OR($N2697='112'!$I$6,$O2697='112'!$I$6))),"x",""))</f>
        <v/>
      </c>
      <c r="U2697" s="75" t="str">
        <f>IF(ISERROR(FIND('112'!$M$9,G2697,1)),"",IF((AND(LEFT(G2697,2)=LEFT('112'!$M$9,2),B2697&lt;'112'!$K$9,$N2697='112'!$I$6)),"x",""))</f>
        <v/>
      </c>
      <c r="V2697" s="75" t="str">
        <f>IF(ISERROR(FIND('112'!$M$9,G2697,1)),"",IF((AND(RIGHT(G2697,2)=RIGHT('112'!$M$9,2),B2697&lt;'112'!$K$9,$O2697='112'!$I$6)),"x",""))</f>
        <v/>
      </c>
      <c r="W2697" s="75" t="str">
        <f>IF(AND('341-CT'!$H$9=H2697,OR(LEFT(N2697,3)=$W$7,LEFT(O2697,3)=$W$7)),"x","")</f>
        <v/>
      </c>
      <c r="X2697" s="75" t="str">
        <f>IF(OR(TH!N2697=TH!$X$7,O2697=TH!$X$7),"x","")</f>
        <v/>
      </c>
      <c r="Y2697" s="75" t="str">
        <f>IF(AND(OR(N2697="131",O2697="131"),H2697='131-CT'!$H$9),"x","")</f>
        <v/>
      </c>
      <c r="Z2697" s="75"/>
      <c r="AA2697" s="75" t="str">
        <f>IF(AND(MONTH(E2697)='IN-NX'!$J$5,'IN-NX'!$D$7=D2697),"x","")</f>
        <v/>
      </c>
      <c r="AB2697" s="75" t="str">
        <f>IF(AND(OR(LEFT(TH!N2697,2)="15",LEFT(TH!O2697,2)="15"),LEFT(TH!O2697,3)&lt;&gt;"111",'152-CT'!$J$8=TH!F2697),"x","")</f>
        <v/>
      </c>
      <c r="AC2697" s="75" t="str">
        <f>IF(AND(OR(LEFT(TH!N2697,2)="15",LEFT(TH!O2697,2)="15"),TK!$E$7=TH!F2697),"x","")</f>
        <v/>
      </c>
      <c r="AD2697" s="75" t="str">
        <f>IF(AND(N2697="1521",MONTH(C2697)='BK-NL'!$M$11),"x","")</f>
        <v/>
      </c>
    </row>
    <row r="2698" spans="1:30" s="1264" customFormat="1" ht="16.5" customHeight="1">
      <c r="A2698" s="309" t="str">
        <f>IF(B2698&lt;&gt;"",IF(AND(B2698='IN-TC'!$S$4,OR(TH!N2698="1111",TH!O2698="1111")),TH!D2698,""),"")</f>
        <v/>
      </c>
      <c r="B2698" s="1312">
        <f t="shared" si="943"/>
        <v>2</v>
      </c>
      <c r="C2698" s="71">
        <v>42768</v>
      </c>
      <c r="D2698" s="71" t="s">
        <v>902</v>
      </c>
      <c r="E2698" s="71">
        <v>42768</v>
      </c>
      <c r="F2698" s="72" t="s">
        <v>1096</v>
      </c>
      <c r="G2698" s="72" t="s">
        <v>747</v>
      </c>
      <c r="H2698" s="735" t="s">
        <v>2445</v>
      </c>
      <c r="I2698" s="371"/>
      <c r="J2698" s="377"/>
      <c r="K2698" s="371">
        <v>48.07</v>
      </c>
      <c r="L2698" s="377">
        <v>22700</v>
      </c>
      <c r="M2698" s="74">
        <f t="shared" si="960"/>
        <v>1091189</v>
      </c>
      <c r="N2698" s="75" t="s">
        <v>99</v>
      </c>
      <c r="O2698" s="934" t="s">
        <v>256</v>
      </c>
      <c r="P2698" s="75" t="str">
        <f>IF(AND('331-CT'!$E$7=TH!H2698,OR(N2698="331",O2698="331")),"x","")</f>
        <v/>
      </c>
      <c r="Q2698" s="75" t="str">
        <f>IF(AND(B2698='111'!$L$11,OR($N2698=$Q$7,$O2698=$Q$7)),"x","")</f>
        <v/>
      </c>
      <c r="R2698" s="75" t="str">
        <f>IF(AND($N2698=$Q$7,$B2698&lt;'111'!$L$11),"x","")</f>
        <v/>
      </c>
      <c r="S2698" s="75" t="str">
        <f>IF(AND($O2698=$Q$7,$B2698&lt;'111'!$L$11),"x","")</f>
        <v/>
      </c>
      <c r="T2698" s="75" t="str">
        <f>IF(ISERROR(FIND('112'!$M$9,G2698,1)),"",IF((AND(FIND('112'!$M$9,G2698,1)&gt;=1,B2698='112'!$K$9,OR($N2698='112'!$I$6,$O2698='112'!$I$6))),"x",""))</f>
        <v/>
      </c>
      <c r="U2698" s="75" t="str">
        <f>IF(ISERROR(FIND('112'!$M$9,G2698,1)),"",IF((AND(LEFT(G2698,2)=LEFT('112'!$M$9,2),B2698&lt;'112'!$K$9,$N2698='112'!$I$6)),"x",""))</f>
        <v/>
      </c>
      <c r="V2698" s="75" t="str">
        <f>IF(ISERROR(FIND('112'!$M$9,G2698,1)),"",IF((AND(RIGHT(G2698,2)=RIGHT('112'!$M$9,2),B2698&lt;'112'!$K$9,$O2698='112'!$I$6)),"x",""))</f>
        <v/>
      </c>
      <c r="W2698" s="75" t="str">
        <f>IF(AND('341-CT'!$H$9=H2698,OR(LEFT(N2698,3)=$W$7,LEFT(O2698,3)=$W$7)),"x","")</f>
        <v/>
      </c>
      <c r="X2698" s="75" t="str">
        <f>IF(OR(TH!N2698=TH!$X$7,O2698=TH!$X$7),"x","")</f>
        <v/>
      </c>
      <c r="Y2698" s="75" t="str">
        <f>IF(AND(OR(N2698="131",O2698="131"),H2698='131-CT'!$H$9),"x","")</f>
        <v/>
      </c>
      <c r="Z2698" s="75"/>
      <c r="AA2698" s="75" t="str">
        <f>IF(AND(MONTH(E2698)='IN-NX'!$J$5,'IN-NX'!$D$7=D2698),"x","")</f>
        <v/>
      </c>
      <c r="AB2698" s="75" t="str">
        <f>IF(AND(OR(LEFT(TH!N2698,2)="15",LEFT(TH!O2698,2)="15"),LEFT(TH!O2698,3)&lt;&gt;"111",'152-CT'!$J$8=TH!F2698),"x","")</f>
        <v/>
      </c>
      <c r="AC2698" s="75" t="str">
        <f>IF(AND(OR(LEFT(TH!N2698,2)="15",LEFT(TH!O2698,2)="15"),TK!$E$7=TH!F2698),"x","")</f>
        <v/>
      </c>
      <c r="AD2698" s="75" t="str">
        <f>IF(AND(N2698="1521",MONTH(C2698)='BK-NL'!$M$11),"x","")</f>
        <v/>
      </c>
    </row>
    <row r="2699" spans="1:30" s="1264" customFormat="1" ht="16.5" customHeight="1">
      <c r="A2699" s="309" t="str">
        <f>IF(B2699&lt;&gt;"",IF(AND(B2699='IN-TC'!$S$4,OR(TH!N2699="1111",TH!O2699="1111")),TH!D2699,""),"")</f>
        <v/>
      </c>
      <c r="B2699" s="1312">
        <f t="shared" si="943"/>
        <v>2</v>
      </c>
      <c r="C2699" s="71">
        <v>42768</v>
      </c>
      <c r="D2699" s="71" t="s">
        <v>530</v>
      </c>
      <c r="E2699" s="71">
        <v>42768</v>
      </c>
      <c r="F2699" s="72" t="s">
        <v>1010</v>
      </c>
      <c r="G2699" s="72" t="s">
        <v>747</v>
      </c>
      <c r="H2699" s="735" t="s">
        <v>2445</v>
      </c>
      <c r="I2699" s="371"/>
      <c r="J2699" s="377"/>
      <c r="K2699" s="371"/>
      <c r="L2699" s="377"/>
      <c r="M2699" s="74">
        <v>6056400</v>
      </c>
      <c r="N2699" s="75" t="s">
        <v>99</v>
      </c>
      <c r="O2699" s="75" t="s">
        <v>250</v>
      </c>
      <c r="P2699" s="75" t="str">
        <f>IF(AND('331-CT'!$E$7=TH!H2699,OR(N2699="331",O2699="331")),"x","")</f>
        <v/>
      </c>
      <c r="Q2699" s="75" t="str">
        <f>IF(AND(B2699='111'!$L$11,OR($N2699=$Q$7,$O2699=$Q$7)),"x","")</f>
        <v/>
      </c>
      <c r="R2699" s="75" t="str">
        <f>IF(AND($N2699=$Q$7,$B2699&lt;'111'!$L$11),"x","")</f>
        <v/>
      </c>
      <c r="S2699" s="75" t="str">
        <f>IF(AND($O2699=$Q$7,$B2699&lt;'111'!$L$11),"x","")</f>
        <v/>
      </c>
      <c r="T2699" s="75" t="str">
        <f>IF(ISERROR(FIND('112'!$M$9,G2699,1)),"",IF((AND(FIND('112'!$M$9,G2699,1)&gt;=1,B2699='112'!$K$9,OR($N2699='112'!$I$6,$O2699='112'!$I$6))),"x",""))</f>
        <v/>
      </c>
      <c r="U2699" s="75" t="str">
        <f>IF(ISERROR(FIND('112'!$M$9,G2699,1)),"",IF((AND(LEFT(G2699,2)=LEFT('112'!$M$9,2),B2699&lt;'112'!$K$9,$N2699='112'!$I$6)),"x",""))</f>
        <v/>
      </c>
      <c r="V2699" s="75" t="str">
        <f>IF(ISERROR(FIND('112'!$M$9,G2699,1)),"",IF((AND(RIGHT(G2699,2)=RIGHT('112'!$M$9,2),B2699&lt;'112'!$K$9,$O2699='112'!$I$6)),"x",""))</f>
        <v/>
      </c>
      <c r="W2699" s="75" t="str">
        <f>IF(AND('341-CT'!$H$9=H2699,OR(LEFT(N2699,3)=$W$7,LEFT(O2699,3)=$W$7)),"x","")</f>
        <v/>
      </c>
      <c r="X2699" s="75" t="str">
        <f>IF(OR(TH!N2699=TH!$X$7,O2699=TH!$X$7),"x","")</f>
        <v/>
      </c>
      <c r="Y2699" s="75" t="str">
        <f>IF(AND(OR(N2699="131",O2699="131"),H2699='131-CT'!$H$9),"x","")</f>
        <v/>
      </c>
      <c r="Z2699" s="75"/>
      <c r="AA2699" s="75" t="str">
        <f>IF(AND(MONTH(E2699)='IN-NX'!$J$5,'IN-NX'!$D$7=D2699),"x","")</f>
        <v/>
      </c>
      <c r="AB2699" s="75" t="str">
        <f>IF(AND(OR(LEFT(TH!N2699,2)="15",LEFT(TH!O2699,2)="15"),LEFT(TH!O2699,3)&lt;&gt;"111",'152-CT'!$J$8=TH!F2699),"x","")</f>
        <v/>
      </c>
      <c r="AC2699" s="75" t="str">
        <f>IF(AND(OR(LEFT(TH!N2699,2)="15",LEFT(TH!O2699,2)="15"),TK!$E$7=TH!F2699),"x","")</f>
        <v/>
      </c>
      <c r="AD2699" s="75" t="str">
        <f>IF(AND(N2699="1521",MONTH(C2699)='BK-NL'!$M$11),"x","")</f>
        <v/>
      </c>
    </row>
    <row r="2700" spans="1:30" s="1264" customFormat="1" ht="16.5" customHeight="1">
      <c r="A2700" s="309" t="str">
        <f>IF(B2700&lt;&gt;"",IF(AND(B2700='IN-TC'!$S$4,OR(TH!N2700="1111",TH!O2700="1111")),TH!D2700,""),"")</f>
        <v/>
      </c>
      <c r="B2700" s="1312">
        <f t="shared" si="943"/>
        <v>2</v>
      </c>
      <c r="C2700" s="71">
        <v>42768</v>
      </c>
      <c r="D2700" s="71" t="s">
        <v>902</v>
      </c>
      <c r="E2700" s="71">
        <v>42768</v>
      </c>
      <c r="F2700" s="72" t="s">
        <v>924</v>
      </c>
      <c r="G2700" s="72" t="s">
        <v>747</v>
      </c>
      <c r="H2700" s="735" t="s">
        <v>2444</v>
      </c>
      <c r="I2700" s="371"/>
      <c r="J2700" s="377"/>
      <c r="K2700" s="371">
        <v>102600</v>
      </c>
      <c r="L2700" s="377">
        <v>22700</v>
      </c>
      <c r="M2700" s="74">
        <f t="shared" ref="M2700:M2701" si="961">ROUND(K2700*L2700,0)</f>
        <v>2329020000</v>
      </c>
      <c r="N2700" s="75" t="s">
        <v>250</v>
      </c>
      <c r="O2700" s="934" t="s">
        <v>256</v>
      </c>
      <c r="P2700" s="75" t="str">
        <f>IF(AND('331-CT'!$E$7=TH!H2700,OR(N2700="331",O2700="331")),"x","")</f>
        <v/>
      </c>
      <c r="Q2700" s="75" t="str">
        <f>IF(AND(B2700='111'!$L$11,OR($N2700=$Q$7,$O2700=$Q$7)),"x","")</f>
        <v/>
      </c>
      <c r="R2700" s="75" t="str">
        <f>IF(AND($N2700=$Q$7,$B2700&lt;'111'!$L$11),"x","")</f>
        <v/>
      </c>
      <c r="S2700" s="75" t="str">
        <f>IF(AND($O2700=$Q$7,$B2700&lt;'111'!$L$11),"x","")</f>
        <v/>
      </c>
      <c r="T2700" s="75" t="str">
        <f>IF(ISERROR(FIND('112'!$M$9,G2700,1)),"",IF((AND(FIND('112'!$M$9,G2700,1)&gt;=1,B2700='112'!$K$9,OR($N2700='112'!$I$6,$O2700='112'!$I$6))),"x",""))</f>
        <v/>
      </c>
      <c r="U2700" s="75" t="str">
        <f>IF(ISERROR(FIND('112'!$M$9,G2700,1)),"",IF((AND(LEFT(G2700,2)=LEFT('112'!$M$9,2),B2700&lt;'112'!$K$9,$N2700='112'!$I$6)),"x",""))</f>
        <v/>
      </c>
      <c r="V2700" s="75" t="str">
        <f>IF(ISERROR(FIND('112'!$M$9,G2700,1)),"",IF((AND(RIGHT(G2700,2)=RIGHT('112'!$M$9,2),B2700&lt;'112'!$K$9,$O2700='112'!$I$6)),"x",""))</f>
        <v/>
      </c>
      <c r="W2700" s="75" t="str">
        <f>IF(AND('341-CT'!$H$9=H2700,OR(LEFT(N2700,3)=$W$7,LEFT(O2700,3)=$W$7)),"x","")</f>
        <v/>
      </c>
      <c r="X2700" s="75" t="str">
        <f>IF(OR(TH!N2700=TH!$X$7,O2700=TH!$X$7),"x","")</f>
        <v/>
      </c>
      <c r="Y2700" s="75" t="str">
        <f>IF(AND(OR(N2700="131",O2700="131"),H2700='131-CT'!$H$9),"x","")</f>
        <v/>
      </c>
      <c r="Z2700" s="75"/>
      <c r="AA2700" s="75" t="str">
        <f>IF(AND(MONTH(E2700)='IN-NX'!$J$5,'IN-NX'!$D$7=D2700),"x","")</f>
        <v/>
      </c>
      <c r="AB2700" s="75" t="str">
        <f>IF(AND(OR(LEFT(TH!N2700,2)="15",LEFT(TH!O2700,2)="15"),LEFT(TH!O2700,3)&lt;&gt;"111",'152-CT'!$J$8=TH!F2700),"x","")</f>
        <v/>
      </c>
      <c r="AC2700" s="75" t="str">
        <f>IF(AND(OR(LEFT(TH!N2700,2)="15",LEFT(TH!O2700,2)="15"),TK!$E$7=TH!F2700),"x","")</f>
        <v/>
      </c>
      <c r="AD2700" s="75" t="str">
        <f>IF(AND(N2700="1521",MONTH(C2700)='BK-NL'!$M$11),"x","")</f>
        <v/>
      </c>
    </row>
    <row r="2701" spans="1:30" s="1264" customFormat="1" ht="16.5" customHeight="1">
      <c r="A2701" s="309" t="str">
        <f>IF(B2701&lt;&gt;"",IF(AND(B2701='IN-TC'!$S$4,OR(TH!N2701="1111",TH!O2701="1111")),TH!D2701,""),"")</f>
        <v/>
      </c>
      <c r="B2701" s="1312">
        <f t="shared" si="943"/>
        <v>2</v>
      </c>
      <c r="C2701" s="71">
        <v>42768</v>
      </c>
      <c r="D2701" s="71" t="s">
        <v>902</v>
      </c>
      <c r="E2701" s="71">
        <v>42768</v>
      </c>
      <c r="F2701" s="72" t="s">
        <v>1096</v>
      </c>
      <c r="G2701" s="72" t="s">
        <v>747</v>
      </c>
      <c r="H2701" s="735" t="s">
        <v>2444</v>
      </c>
      <c r="I2701" s="371"/>
      <c r="J2701" s="377"/>
      <c r="K2701" s="371">
        <v>145.35000000000582</v>
      </c>
      <c r="L2701" s="377">
        <v>22700</v>
      </c>
      <c r="M2701" s="74">
        <f t="shared" si="961"/>
        <v>3299445</v>
      </c>
      <c r="N2701" s="75" t="s">
        <v>99</v>
      </c>
      <c r="O2701" s="934" t="s">
        <v>256</v>
      </c>
      <c r="P2701" s="75" t="str">
        <f>IF(AND('331-CT'!$E$7=TH!H2701,OR(N2701="331",O2701="331")),"x","")</f>
        <v/>
      </c>
      <c r="Q2701" s="75" t="str">
        <f>IF(AND(B2701='111'!$L$11,OR($N2701=$Q$7,$O2701=$Q$7)),"x","")</f>
        <v/>
      </c>
      <c r="R2701" s="75" t="str">
        <f>IF(AND($N2701=$Q$7,$B2701&lt;'111'!$L$11),"x","")</f>
        <v/>
      </c>
      <c r="S2701" s="75" t="str">
        <f>IF(AND($O2701=$Q$7,$B2701&lt;'111'!$L$11),"x","")</f>
        <v/>
      </c>
      <c r="T2701" s="75" t="str">
        <f>IF(ISERROR(FIND('112'!$M$9,G2701,1)),"",IF((AND(FIND('112'!$M$9,G2701,1)&gt;=1,B2701='112'!$K$9,OR($N2701='112'!$I$6,$O2701='112'!$I$6))),"x",""))</f>
        <v/>
      </c>
      <c r="U2701" s="75" t="str">
        <f>IF(ISERROR(FIND('112'!$M$9,G2701,1)),"",IF((AND(LEFT(G2701,2)=LEFT('112'!$M$9,2),B2701&lt;'112'!$K$9,$N2701='112'!$I$6)),"x",""))</f>
        <v/>
      </c>
      <c r="V2701" s="75" t="str">
        <f>IF(ISERROR(FIND('112'!$M$9,G2701,1)),"",IF((AND(RIGHT(G2701,2)=RIGHT('112'!$M$9,2),B2701&lt;'112'!$K$9,$O2701='112'!$I$6)),"x",""))</f>
        <v/>
      </c>
      <c r="W2701" s="75" t="str">
        <f>IF(AND('341-CT'!$H$9=H2701,OR(LEFT(N2701,3)=$W$7,LEFT(O2701,3)=$W$7)),"x","")</f>
        <v/>
      </c>
      <c r="X2701" s="75" t="str">
        <f>IF(OR(TH!N2701=TH!$X$7,O2701=TH!$X$7),"x","")</f>
        <v/>
      </c>
      <c r="Y2701" s="75" t="str">
        <f>IF(AND(OR(N2701="131",O2701="131"),H2701='131-CT'!$H$9),"x","")</f>
        <v/>
      </c>
      <c r="Z2701" s="75"/>
      <c r="AA2701" s="75" t="str">
        <f>IF(AND(MONTH(E2701)='IN-NX'!$J$5,'IN-NX'!$D$7=D2701),"x","")</f>
        <v/>
      </c>
      <c r="AB2701" s="75" t="str">
        <f>IF(AND(OR(LEFT(TH!N2701,2)="15",LEFT(TH!O2701,2)="15"),LEFT(TH!O2701,3)&lt;&gt;"111",'152-CT'!$J$8=TH!F2701),"x","")</f>
        <v/>
      </c>
      <c r="AC2701" s="75" t="str">
        <f>IF(AND(OR(LEFT(TH!N2701,2)="15",LEFT(TH!O2701,2)="15"),TK!$E$7=TH!F2701),"x","")</f>
        <v/>
      </c>
      <c r="AD2701" s="75" t="str">
        <f>IF(AND(N2701="1521",MONTH(C2701)='BK-NL'!$M$11),"x","")</f>
        <v/>
      </c>
    </row>
    <row r="2702" spans="1:30" s="1264" customFormat="1" ht="16.5" customHeight="1">
      <c r="A2702" s="309" t="str">
        <f>IF(B2702&lt;&gt;"",IF(AND(B2702='IN-TC'!$S$4,OR(TH!N2702="1111",TH!O2702="1111")),TH!D2702,""),"")</f>
        <v/>
      </c>
      <c r="B2702" s="1312">
        <f t="shared" si="943"/>
        <v>2</v>
      </c>
      <c r="C2702" s="71">
        <v>42768</v>
      </c>
      <c r="D2702" s="71" t="s">
        <v>530</v>
      </c>
      <c r="E2702" s="71">
        <v>42768</v>
      </c>
      <c r="F2702" s="72" t="s">
        <v>1010</v>
      </c>
      <c r="G2702" s="72" t="s">
        <v>747</v>
      </c>
      <c r="H2702" s="735" t="s">
        <v>2444</v>
      </c>
      <c r="I2702" s="371"/>
      <c r="J2702" s="377"/>
      <c r="K2702" s="371"/>
      <c r="L2702" s="377"/>
      <c r="M2702" s="74">
        <v>14569200</v>
      </c>
      <c r="N2702" s="75" t="s">
        <v>99</v>
      </c>
      <c r="O2702" s="75" t="s">
        <v>250</v>
      </c>
      <c r="P2702" s="75" t="str">
        <f>IF(AND('331-CT'!$E$7=TH!H2702,OR(N2702="331",O2702="331")),"x","")</f>
        <v/>
      </c>
      <c r="Q2702" s="75" t="str">
        <f>IF(AND(B2702='111'!$L$11,OR($N2702=$Q$7,$O2702=$Q$7)),"x","")</f>
        <v/>
      </c>
      <c r="R2702" s="75" t="str">
        <f>IF(AND($N2702=$Q$7,$B2702&lt;'111'!$L$11),"x","")</f>
        <v/>
      </c>
      <c r="S2702" s="75" t="str">
        <f>IF(AND($O2702=$Q$7,$B2702&lt;'111'!$L$11),"x","")</f>
        <v/>
      </c>
      <c r="T2702" s="75" t="str">
        <f>IF(ISERROR(FIND('112'!$M$9,G2702,1)),"",IF((AND(FIND('112'!$M$9,G2702,1)&gt;=1,B2702='112'!$K$9,OR($N2702='112'!$I$6,$O2702='112'!$I$6))),"x",""))</f>
        <v/>
      </c>
      <c r="U2702" s="75" t="str">
        <f>IF(ISERROR(FIND('112'!$M$9,G2702,1)),"",IF((AND(LEFT(G2702,2)=LEFT('112'!$M$9,2),B2702&lt;'112'!$K$9,$N2702='112'!$I$6)),"x",""))</f>
        <v/>
      </c>
      <c r="V2702" s="75" t="str">
        <f>IF(ISERROR(FIND('112'!$M$9,G2702,1)),"",IF((AND(RIGHT(G2702,2)=RIGHT('112'!$M$9,2),B2702&lt;'112'!$K$9,$O2702='112'!$I$6)),"x",""))</f>
        <v/>
      </c>
      <c r="W2702" s="75" t="str">
        <f>IF(AND('341-CT'!$H$9=H2702,OR(LEFT(N2702,3)=$W$7,LEFT(O2702,3)=$W$7)),"x","")</f>
        <v/>
      </c>
      <c r="X2702" s="75" t="str">
        <f>IF(OR(TH!N2702=TH!$X$7,O2702=TH!$X$7),"x","")</f>
        <v/>
      </c>
      <c r="Y2702" s="75" t="str">
        <f>IF(AND(OR(N2702="131",O2702="131"),H2702='131-CT'!$H$9),"x","")</f>
        <v/>
      </c>
      <c r="Z2702" s="75"/>
      <c r="AA2702" s="75" t="str">
        <f>IF(AND(MONTH(E2702)='IN-NX'!$J$5,'IN-NX'!$D$7=D2702),"x","")</f>
        <v/>
      </c>
      <c r="AB2702" s="75" t="str">
        <f>IF(AND(OR(LEFT(TH!N2702,2)="15",LEFT(TH!O2702,2)="15"),LEFT(TH!O2702,3)&lt;&gt;"111",'152-CT'!$J$8=TH!F2702),"x","")</f>
        <v/>
      </c>
      <c r="AC2702" s="75" t="str">
        <f>IF(AND(OR(LEFT(TH!N2702,2)="15",LEFT(TH!O2702,2)="15"),TK!$E$7=TH!F2702),"x","")</f>
        <v/>
      </c>
      <c r="AD2702" s="75" t="str">
        <f>IF(AND(N2702="1521",MONTH(C2702)='BK-NL'!$M$11),"x","")</f>
        <v/>
      </c>
    </row>
    <row r="2703" spans="1:30" s="1264" customFormat="1" ht="16.5" customHeight="1">
      <c r="A2703" s="309" t="str">
        <f>IF(B2703&lt;&gt;"",IF(AND(B2703='IN-TC'!$S$4,OR(TH!N2703="1111",TH!O2703="1111")),TH!D2703,""),"")</f>
        <v/>
      </c>
      <c r="B2703" s="1312">
        <f t="shared" si="943"/>
        <v>2</v>
      </c>
      <c r="C2703" s="71">
        <v>42768</v>
      </c>
      <c r="D2703" s="71" t="s">
        <v>902</v>
      </c>
      <c r="E2703" s="71">
        <v>42768</v>
      </c>
      <c r="F2703" s="72" t="s">
        <v>924</v>
      </c>
      <c r="G2703" s="72" t="s">
        <v>747</v>
      </c>
      <c r="H2703" s="72" t="s">
        <v>2446</v>
      </c>
      <c r="I2703" s="371"/>
      <c r="J2703" s="377"/>
      <c r="K2703" s="371">
        <v>37584</v>
      </c>
      <c r="L2703" s="377">
        <v>22700</v>
      </c>
      <c r="M2703" s="74">
        <f t="shared" ref="M2703:M2704" si="962">ROUND(K2703*L2703,0)</f>
        <v>853156800</v>
      </c>
      <c r="N2703" s="75" t="s">
        <v>250</v>
      </c>
      <c r="O2703" s="934" t="s">
        <v>256</v>
      </c>
      <c r="P2703" s="75" t="str">
        <f>IF(AND('331-CT'!$E$7=TH!H2703,OR(N2703="331",O2703="331")),"x","")</f>
        <v/>
      </c>
      <c r="Q2703" s="75" t="str">
        <f>IF(AND(B2703='111'!$L$11,OR($N2703=$Q$7,$O2703=$Q$7)),"x","")</f>
        <v/>
      </c>
      <c r="R2703" s="75" t="str">
        <f>IF(AND($N2703=$Q$7,$B2703&lt;'111'!$L$11),"x","")</f>
        <v/>
      </c>
      <c r="S2703" s="75" t="str">
        <f>IF(AND($O2703=$Q$7,$B2703&lt;'111'!$L$11),"x","")</f>
        <v/>
      </c>
      <c r="T2703" s="75" t="str">
        <f>IF(ISERROR(FIND('112'!$M$9,G2703,1)),"",IF((AND(FIND('112'!$M$9,G2703,1)&gt;=1,B2703='112'!$K$9,OR($N2703='112'!$I$6,$O2703='112'!$I$6))),"x",""))</f>
        <v/>
      </c>
      <c r="U2703" s="75" t="str">
        <f>IF(ISERROR(FIND('112'!$M$9,G2703,1)),"",IF((AND(LEFT(G2703,2)=LEFT('112'!$M$9,2),B2703&lt;'112'!$K$9,$N2703='112'!$I$6)),"x",""))</f>
        <v/>
      </c>
      <c r="V2703" s="75" t="str">
        <f>IF(ISERROR(FIND('112'!$M$9,G2703,1)),"",IF((AND(RIGHT(G2703,2)=RIGHT('112'!$M$9,2),B2703&lt;'112'!$K$9,$O2703='112'!$I$6)),"x",""))</f>
        <v/>
      </c>
      <c r="W2703" s="75" t="str">
        <f>IF(AND('341-CT'!$H$9=H2703,OR(LEFT(N2703,3)=$W$7,LEFT(O2703,3)=$W$7)),"x","")</f>
        <v/>
      </c>
      <c r="X2703" s="75" t="str">
        <f>IF(OR(TH!N2703=TH!$X$7,O2703=TH!$X$7),"x","")</f>
        <v/>
      </c>
      <c r="Y2703" s="75" t="str">
        <f>IF(AND(OR(N2703="131",O2703="131"),H2703='131-CT'!$H$9),"x","")</f>
        <v/>
      </c>
      <c r="Z2703" s="75"/>
      <c r="AA2703" s="75" t="str">
        <f>IF(AND(MONTH(E2703)='IN-NX'!$J$5,'IN-NX'!$D$7=D2703),"x","")</f>
        <v/>
      </c>
      <c r="AB2703" s="75" t="str">
        <f>IF(AND(OR(LEFT(TH!N2703,2)="15",LEFT(TH!O2703,2)="15"),LEFT(TH!O2703,3)&lt;&gt;"111",'152-CT'!$J$8=TH!F2703),"x","")</f>
        <v/>
      </c>
      <c r="AC2703" s="75" t="str">
        <f>IF(AND(OR(LEFT(TH!N2703,2)="15",LEFT(TH!O2703,2)="15"),TK!$E$7=TH!F2703),"x","")</f>
        <v/>
      </c>
      <c r="AD2703" s="75" t="str">
        <f>IF(AND(N2703="1521",MONTH(C2703)='BK-NL'!$M$11),"x","")</f>
        <v/>
      </c>
    </row>
    <row r="2704" spans="1:30" s="1264" customFormat="1" ht="16.5" customHeight="1">
      <c r="A2704" s="309" t="str">
        <f>IF(B2704&lt;&gt;"",IF(AND(B2704='IN-TC'!$S$4,OR(TH!N2704="1111",TH!O2704="1111")),TH!D2704,""),"")</f>
        <v/>
      </c>
      <c r="B2704" s="1312">
        <f t="shared" si="943"/>
        <v>2</v>
      </c>
      <c r="C2704" s="71">
        <v>42768</v>
      </c>
      <c r="D2704" s="71" t="s">
        <v>902</v>
      </c>
      <c r="E2704" s="71">
        <v>42768</v>
      </c>
      <c r="F2704" s="72" t="s">
        <v>1096</v>
      </c>
      <c r="G2704" s="72" t="s">
        <v>747</v>
      </c>
      <c r="H2704" s="72" t="s">
        <v>2446</v>
      </c>
      <c r="I2704" s="371"/>
      <c r="J2704" s="377"/>
      <c r="K2704" s="371">
        <v>43.849999999998545</v>
      </c>
      <c r="L2704" s="377">
        <v>22700</v>
      </c>
      <c r="M2704" s="74">
        <f t="shared" si="962"/>
        <v>995395</v>
      </c>
      <c r="N2704" s="75" t="s">
        <v>99</v>
      </c>
      <c r="O2704" s="934" t="s">
        <v>256</v>
      </c>
      <c r="P2704" s="75" t="str">
        <f>IF(AND('331-CT'!$E$7=TH!H2704,OR(N2704="331",O2704="331")),"x","")</f>
        <v/>
      </c>
      <c r="Q2704" s="75" t="str">
        <f>IF(AND(B2704='111'!$L$11,OR($N2704=$Q$7,$O2704=$Q$7)),"x","")</f>
        <v/>
      </c>
      <c r="R2704" s="75" t="str">
        <f>IF(AND($N2704=$Q$7,$B2704&lt;'111'!$L$11),"x","")</f>
        <v/>
      </c>
      <c r="S2704" s="75" t="str">
        <f>IF(AND($O2704=$Q$7,$B2704&lt;'111'!$L$11),"x","")</f>
        <v/>
      </c>
      <c r="T2704" s="75" t="str">
        <f>IF(ISERROR(FIND('112'!$M$9,G2704,1)),"",IF((AND(FIND('112'!$M$9,G2704,1)&gt;=1,B2704='112'!$K$9,OR($N2704='112'!$I$6,$O2704='112'!$I$6))),"x",""))</f>
        <v/>
      </c>
      <c r="U2704" s="75" t="str">
        <f>IF(ISERROR(FIND('112'!$M$9,G2704,1)),"",IF((AND(LEFT(G2704,2)=LEFT('112'!$M$9,2),B2704&lt;'112'!$K$9,$N2704='112'!$I$6)),"x",""))</f>
        <v/>
      </c>
      <c r="V2704" s="75" t="str">
        <f>IF(ISERROR(FIND('112'!$M$9,G2704,1)),"",IF((AND(RIGHT(G2704,2)=RIGHT('112'!$M$9,2),B2704&lt;'112'!$K$9,$O2704='112'!$I$6)),"x",""))</f>
        <v/>
      </c>
      <c r="W2704" s="75" t="str">
        <f>IF(AND('341-CT'!$H$9=H2704,OR(LEFT(N2704,3)=$W$7,LEFT(O2704,3)=$W$7)),"x","")</f>
        <v/>
      </c>
      <c r="X2704" s="75" t="str">
        <f>IF(OR(TH!N2704=TH!$X$7,O2704=TH!$X$7),"x","")</f>
        <v/>
      </c>
      <c r="Y2704" s="75" t="str">
        <f>IF(AND(OR(N2704="131",O2704="131"),H2704='131-CT'!$H$9),"x","")</f>
        <v/>
      </c>
      <c r="Z2704" s="75"/>
      <c r="AA2704" s="75" t="str">
        <f>IF(AND(MONTH(E2704)='IN-NX'!$J$5,'IN-NX'!$D$7=D2704),"x","")</f>
        <v/>
      </c>
      <c r="AB2704" s="75" t="str">
        <f>IF(AND(OR(LEFT(TH!N2704,2)="15",LEFT(TH!O2704,2)="15"),LEFT(TH!O2704,3)&lt;&gt;"111",'152-CT'!$J$8=TH!F2704),"x","")</f>
        <v/>
      </c>
      <c r="AC2704" s="75" t="str">
        <f>IF(AND(OR(LEFT(TH!N2704,2)="15",LEFT(TH!O2704,2)="15"),TK!$E$7=TH!F2704),"x","")</f>
        <v/>
      </c>
      <c r="AD2704" s="75" t="str">
        <f>IF(AND(N2704="1521",MONTH(C2704)='BK-NL'!$M$11),"x","")</f>
        <v/>
      </c>
    </row>
    <row r="2705" spans="1:30" s="1264" customFormat="1" ht="16.5" customHeight="1">
      <c r="A2705" s="309" t="str">
        <f>IF(B2705&lt;&gt;"",IF(AND(B2705='IN-TC'!$S$4,OR(TH!N2705="1111",TH!O2705="1111")),TH!D2705,""),"")</f>
        <v/>
      </c>
      <c r="B2705" s="1312">
        <f t="shared" si="943"/>
        <v>2</v>
      </c>
      <c r="C2705" s="71">
        <v>42768</v>
      </c>
      <c r="D2705" s="71" t="s">
        <v>530</v>
      </c>
      <c r="E2705" s="71">
        <v>42768</v>
      </c>
      <c r="F2705" s="72" t="s">
        <v>1010</v>
      </c>
      <c r="G2705" s="72" t="s">
        <v>747</v>
      </c>
      <c r="H2705" s="72" t="s">
        <v>2446</v>
      </c>
      <c r="I2705" s="371"/>
      <c r="J2705" s="377"/>
      <c r="K2705" s="371"/>
      <c r="L2705" s="377"/>
      <c r="M2705" s="74">
        <v>5524848</v>
      </c>
      <c r="N2705" s="75" t="s">
        <v>99</v>
      </c>
      <c r="O2705" s="75" t="s">
        <v>250</v>
      </c>
      <c r="P2705" s="75" t="str">
        <f>IF(AND('331-CT'!$E$7=TH!H2705,OR(N2705="331",O2705="331")),"x","")</f>
        <v/>
      </c>
      <c r="Q2705" s="75" t="str">
        <f>IF(AND(B2705='111'!$L$11,OR($N2705=$Q$7,$O2705=$Q$7)),"x","")</f>
        <v/>
      </c>
      <c r="R2705" s="75" t="str">
        <f>IF(AND($N2705=$Q$7,$B2705&lt;'111'!$L$11),"x","")</f>
        <v/>
      </c>
      <c r="S2705" s="75" t="str">
        <f>IF(AND($O2705=$Q$7,$B2705&lt;'111'!$L$11),"x","")</f>
        <v/>
      </c>
      <c r="T2705" s="75" t="str">
        <f>IF(ISERROR(FIND('112'!$M$9,G2705,1)),"",IF((AND(FIND('112'!$M$9,G2705,1)&gt;=1,B2705='112'!$K$9,OR($N2705='112'!$I$6,$O2705='112'!$I$6))),"x",""))</f>
        <v/>
      </c>
      <c r="U2705" s="75" t="str">
        <f>IF(ISERROR(FIND('112'!$M$9,G2705,1)),"",IF((AND(LEFT(G2705,2)=LEFT('112'!$M$9,2),B2705&lt;'112'!$K$9,$N2705='112'!$I$6)),"x",""))</f>
        <v/>
      </c>
      <c r="V2705" s="75" t="str">
        <f>IF(ISERROR(FIND('112'!$M$9,G2705,1)),"",IF((AND(RIGHT(G2705,2)=RIGHT('112'!$M$9,2),B2705&lt;'112'!$K$9,$O2705='112'!$I$6)),"x",""))</f>
        <v/>
      </c>
      <c r="W2705" s="75" t="str">
        <f>IF(AND('341-CT'!$H$9=H2705,OR(LEFT(N2705,3)=$W$7,LEFT(O2705,3)=$W$7)),"x","")</f>
        <v/>
      </c>
      <c r="X2705" s="75" t="str">
        <f>IF(OR(TH!N2705=TH!$X$7,O2705=TH!$X$7),"x","")</f>
        <v/>
      </c>
      <c r="Y2705" s="75" t="str">
        <f>IF(AND(OR(N2705="131",O2705="131"),H2705='131-CT'!$H$9),"x","")</f>
        <v/>
      </c>
      <c r="Z2705" s="75"/>
      <c r="AA2705" s="75" t="str">
        <f>IF(AND(MONTH(E2705)='IN-NX'!$J$5,'IN-NX'!$D$7=D2705),"x","")</f>
        <v/>
      </c>
      <c r="AB2705" s="75" t="str">
        <f>IF(AND(OR(LEFT(TH!N2705,2)="15",LEFT(TH!O2705,2)="15"),LEFT(TH!O2705,3)&lt;&gt;"111",'152-CT'!$J$8=TH!F2705),"x","")</f>
        <v/>
      </c>
      <c r="AC2705" s="75" t="str">
        <f>IF(AND(OR(LEFT(TH!N2705,2)="15",LEFT(TH!O2705,2)="15"),TK!$E$7=TH!F2705),"x","")</f>
        <v/>
      </c>
      <c r="AD2705" s="75" t="str">
        <f>IF(AND(N2705="1521",MONTH(C2705)='BK-NL'!$M$11),"x","")</f>
        <v/>
      </c>
    </row>
    <row r="2706" spans="1:30" s="1264" customFormat="1" ht="16.5" customHeight="1">
      <c r="A2706" s="309" t="str">
        <f>IF(B2706&lt;&gt;"",IF(AND(B2706='IN-TC'!$S$4,OR(TH!N2706="1111",TH!O2706="1111")),TH!D2706,""),"")</f>
        <v/>
      </c>
      <c r="B2706" s="1312">
        <f t="shared" si="943"/>
        <v>2</v>
      </c>
      <c r="C2706" s="71">
        <v>42774</v>
      </c>
      <c r="D2706" s="71" t="s">
        <v>902</v>
      </c>
      <c r="E2706" s="71">
        <v>42774</v>
      </c>
      <c r="F2706" s="72" t="s">
        <v>907</v>
      </c>
      <c r="G2706" s="72" t="s">
        <v>747</v>
      </c>
      <c r="H2706" s="735" t="s">
        <v>835</v>
      </c>
      <c r="I2706" s="371"/>
      <c r="J2706" s="377"/>
      <c r="K2706" s="371">
        <v>48500</v>
      </c>
      <c r="L2706" s="377">
        <v>22661</v>
      </c>
      <c r="M2706" s="74">
        <f>ROUND(K2706*L2706,0)</f>
        <v>1099058500</v>
      </c>
      <c r="N2706" s="75" t="s">
        <v>26</v>
      </c>
      <c r="O2706" s="934" t="s">
        <v>256</v>
      </c>
      <c r="P2706" s="75" t="str">
        <f>IF(AND('331-CT'!$E$7=TH!H2706,OR(N2706="331",O2706="331")),"x","")</f>
        <v/>
      </c>
      <c r="Q2706" s="75" t="str">
        <f>IF(AND(B2706='111'!$L$11,OR($N2706=$Q$7,$O2706=$Q$7)),"x","")</f>
        <v/>
      </c>
      <c r="R2706" s="75" t="str">
        <f>IF(AND($N2706=$Q$7,$B2706&lt;'111'!$L$11),"x","")</f>
        <v/>
      </c>
      <c r="S2706" s="75" t="str">
        <f>IF(AND($O2706=$Q$7,$B2706&lt;'111'!$L$11),"x","")</f>
        <v/>
      </c>
      <c r="T2706" s="75" t="str">
        <f>IF(ISERROR(FIND('112'!$M$9,G2706,1)),"",IF((AND(FIND('112'!$M$9,G2706,1)&gt;=1,B2706='112'!$K$9,OR($N2706='112'!$I$6,$O2706='112'!$I$6))),"x",""))</f>
        <v/>
      </c>
      <c r="U2706" s="75" t="str">
        <f>IF(ISERROR(FIND('112'!$M$9,G2706,1)),"",IF((AND(LEFT(G2706,2)=LEFT('112'!$M$9,2),B2706&lt;'112'!$K$9,$N2706='112'!$I$6)),"x",""))</f>
        <v/>
      </c>
      <c r="V2706" s="75" t="str">
        <f>IF(ISERROR(FIND('112'!$M$9,G2706,1)),"",IF((AND(RIGHT(G2706,2)=RIGHT('112'!$M$9,2),B2706&lt;'112'!$K$9,$O2706='112'!$I$6)),"x",""))</f>
        <v/>
      </c>
      <c r="W2706" s="75" t="str">
        <f>IF(AND('341-CT'!$H$9=H2706,OR(LEFT(N2706,3)=$W$7,LEFT(O2706,3)=$W$7)),"x","")</f>
        <v/>
      </c>
      <c r="X2706" s="75" t="str">
        <f>IF(OR(TH!N2706=TH!$X$7,O2706=TH!$X$7),"x","")</f>
        <v/>
      </c>
      <c r="Y2706" s="75" t="str">
        <f>IF(AND(OR(N2706="131",O2706="131"),H2706='131-CT'!$H$9),"x","")</f>
        <v/>
      </c>
      <c r="Z2706" s="75"/>
      <c r="AA2706" s="75" t="str">
        <f>IF(AND(MONTH(E2706)='IN-NX'!$J$5,'IN-NX'!$D$7=D2706),"x","")</f>
        <v/>
      </c>
      <c r="AB2706" s="75" t="str">
        <f>IF(AND(OR(LEFT(TH!N2706,2)="15",LEFT(TH!O2706,2)="15"),LEFT(TH!O2706,3)&lt;&gt;"111",'152-CT'!$J$8=TH!F2706),"x","")</f>
        <v/>
      </c>
      <c r="AC2706" s="75" t="str">
        <f>IF(AND(OR(LEFT(TH!N2706,2)="15",LEFT(TH!O2706,2)="15"),TK!$E$7=TH!F2706),"x","")</f>
        <v/>
      </c>
      <c r="AD2706" s="75" t="str">
        <f>IF(AND(N2706="1521",MONTH(C2706)='BK-NL'!$M$11),"x","")</f>
        <v/>
      </c>
    </row>
    <row r="2707" spans="1:30" s="1264" customFormat="1" ht="16.5" customHeight="1">
      <c r="A2707" s="309" t="str">
        <f>IF(B2707&lt;&gt;"",IF(AND(B2707='IN-TC'!$S$4,OR(TH!N2707="1111",TH!O2707="1111")),TH!D2707,""),"")</f>
        <v/>
      </c>
      <c r="B2707" s="1312">
        <f t="shared" si="943"/>
        <v>2</v>
      </c>
      <c r="C2707" s="71">
        <v>42774</v>
      </c>
      <c r="D2707" s="71" t="s">
        <v>903</v>
      </c>
      <c r="E2707" s="71">
        <v>42774</v>
      </c>
      <c r="F2707" s="72" t="s">
        <v>917</v>
      </c>
      <c r="G2707" s="72" t="s">
        <v>747</v>
      </c>
      <c r="H2707" s="735" t="s">
        <v>759</v>
      </c>
      <c r="I2707" s="371"/>
      <c r="J2707" s="377"/>
      <c r="K2707" s="371">
        <v>149355.4</v>
      </c>
      <c r="L2707" s="377">
        <v>22700</v>
      </c>
      <c r="M2707" s="1214">
        <f t="shared" ref="M2707" si="963">ROUND(K2707*L2707,0)</f>
        <v>3390367580</v>
      </c>
      <c r="N2707" s="1224" t="s">
        <v>256</v>
      </c>
      <c r="O2707" s="75" t="s">
        <v>536</v>
      </c>
      <c r="P2707" s="75" t="str">
        <f>IF(AND('331-CT'!$E$7=TH!H2707,OR(N2707="331",O2707="331")),"x","")</f>
        <v/>
      </c>
      <c r="Q2707" s="75" t="str">
        <f>IF(AND(B2707='111'!$L$11,OR($N2707=$Q$7,$O2707=$Q$7)),"x","")</f>
        <v/>
      </c>
      <c r="R2707" s="75" t="str">
        <f>IF(AND($N2707=$Q$7,$B2707&lt;'111'!$L$11),"x","")</f>
        <v/>
      </c>
      <c r="S2707" s="75" t="str">
        <f>IF(AND($O2707=$Q$7,$B2707&lt;'111'!$L$11),"x","")</f>
        <v/>
      </c>
      <c r="T2707" s="75" t="str">
        <f>IF(ISERROR(FIND('112'!$M$9,G2707,1)),"",IF((AND(FIND('112'!$M$9,G2707,1)&gt;=1,B2707='112'!$K$9,OR($N2707='112'!$I$6,$O2707='112'!$I$6))),"x",""))</f>
        <v/>
      </c>
      <c r="U2707" s="75" t="str">
        <f>IF(ISERROR(FIND('112'!$M$9,G2707,1)),"",IF((AND(LEFT(G2707,2)=LEFT('112'!$M$9,2),B2707&lt;'112'!$K$9,$N2707='112'!$I$6)),"x",""))</f>
        <v/>
      </c>
      <c r="V2707" s="75" t="str">
        <f>IF(ISERROR(FIND('112'!$M$9,G2707,1)),"",IF((AND(RIGHT(G2707,2)=RIGHT('112'!$M$9,2),B2707&lt;'112'!$K$9,$O2707='112'!$I$6)),"x",""))</f>
        <v/>
      </c>
      <c r="W2707" s="75" t="str">
        <f>IF(AND('341-CT'!$H$9=H2707,OR(LEFT(N2707,3)=$W$7,LEFT(O2707,3)=$W$7)),"x","")</f>
        <v/>
      </c>
      <c r="X2707" s="75" t="str">
        <f>IF(OR(TH!N2707=TH!$X$7,O2707=TH!$X$7),"x","")</f>
        <v/>
      </c>
      <c r="Y2707" s="75" t="str">
        <f>IF(AND(OR(N2707="131",O2707="131"),H2707='131-CT'!$H$9),"x","")</f>
        <v/>
      </c>
      <c r="Z2707" s="75"/>
      <c r="AA2707" s="75" t="str">
        <f>IF(AND(MONTH(E2707)='IN-NX'!$J$5,'IN-NX'!$D$7=D2707),"x","")</f>
        <v/>
      </c>
      <c r="AB2707" s="75" t="str">
        <f>IF(AND(OR(LEFT(TH!N2707,2)="15",LEFT(TH!O2707,2)="15"),LEFT(TH!O2707,3)&lt;&gt;"111",'152-CT'!$J$8=TH!F2707),"x","")</f>
        <v/>
      </c>
      <c r="AC2707" s="75" t="str">
        <f>IF(AND(OR(LEFT(TH!N2707,2)="15",LEFT(TH!O2707,2)="15"),TK!$E$7=TH!F2707),"x","")</f>
        <v/>
      </c>
      <c r="AD2707" s="75" t="str">
        <f>IF(AND(N2707="1521",MONTH(C2707)='BK-NL'!$M$11),"x","")</f>
        <v/>
      </c>
    </row>
    <row r="2708" spans="1:30" s="1264" customFormat="1" ht="16.5" customHeight="1">
      <c r="A2708" s="309" t="str">
        <f>IF(B2708&lt;&gt;"",IF(AND(B2708='IN-TC'!$S$4,OR(TH!N2708="1111",TH!O2708="1111")),TH!D2708,""),"")</f>
        <v/>
      </c>
      <c r="B2708" s="1312">
        <f t="shared" si="943"/>
        <v>2</v>
      </c>
      <c r="C2708" s="71">
        <v>42774</v>
      </c>
      <c r="D2708" s="71" t="s">
        <v>530</v>
      </c>
      <c r="E2708" s="71">
        <v>42774</v>
      </c>
      <c r="F2708" s="72" t="s">
        <v>1027</v>
      </c>
      <c r="G2708" s="72" t="s">
        <v>747</v>
      </c>
      <c r="H2708" s="735" t="s">
        <v>759</v>
      </c>
      <c r="I2708" s="371"/>
      <c r="J2708" s="377"/>
      <c r="K2708" s="371">
        <v>12</v>
      </c>
      <c r="L2708" s="377">
        <v>22700</v>
      </c>
      <c r="M2708" s="933">
        <f t="shared" ref="M2708:M2710" si="964">ROUND(L2708*K2708,0)</f>
        <v>272400</v>
      </c>
      <c r="N2708" s="1224" t="s">
        <v>101</v>
      </c>
      <c r="O2708" s="75" t="s">
        <v>536</v>
      </c>
      <c r="P2708" s="75" t="str">
        <f>IF(AND('331-CT'!$E$7=TH!H2708,OR(N2708="331",O2708="331")),"x","")</f>
        <v/>
      </c>
      <c r="Q2708" s="75" t="str">
        <f>IF(AND(B2708='111'!$L$11,OR($N2708=$Q$7,$O2708=$Q$7)),"x","")</f>
        <v/>
      </c>
      <c r="R2708" s="75" t="str">
        <f>IF(AND($N2708=$Q$7,$B2708&lt;'111'!$L$11),"x","")</f>
        <v/>
      </c>
      <c r="S2708" s="75" t="str">
        <f>IF(AND($O2708=$Q$7,$B2708&lt;'111'!$L$11),"x","")</f>
        <v/>
      </c>
      <c r="T2708" s="75" t="str">
        <f>IF(ISERROR(FIND('112'!$M$9,G2708,1)),"",IF((AND(FIND('112'!$M$9,G2708,1)&gt;=1,B2708='112'!$K$9,OR($N2708='112'!$I$6,$O2708='112'!$I$6))),"x",""))</f>
        <v/>
      </c>
      <c r="U2708" s="75" t="str">
        <f>IF(ISERROR(FIND('112'!$M$9,G2708,1)),"",IF((AND(LEFT(G2708,2)=LEFT('112'!$M$9,2),B2708&lt;'112'!$K$9,$N2708='112'!$I$6)),"x",""))</f>
        <v/>
      </c>
      <c r="V2708" s="75" t="str">
        <f>IF(ISERROR(FIND('112'!$M$9,G2708,1)),"",IF((AND(RIGHT(G2708,2)=RIGHT('112'!$M$9,2),B2708&lt;'112'!$K$9,$O2708='112'!$I$6)),"x",""))</f>
        <v/>
      </c>
      <c r="W2708" s="75" t="str">
        <f>IF(AND('341-CT'!$H$9=H2708,OR(LEFT(N2708,3)=$W$7,LEFT(O2708,3)=$W$7)),"x","")</f>
        <v/>
      </c>
      <c r="X2708" s="75" t="str">
        <f>IF(OR(TH!N2708=TH!$X$7,O2708=TH!$X$7),"x","")</f>
        <v/>
      </c>
      <c r="Y2708" s="75" t="str">
        <f>IF(AND(OR(N2708="131",O2708="131"),H2708='131-CT'!$H$9),"x","")</f>
        <v/>
      </c>
      <c r="Z2708" s="75"/>
      <c r="AA2708" s="75" t="str">
        <f>IF(AND(MONTH(E2708)='IN-NX'!$J$5,'IN-NX'!$D$7=D2708),"x","")</f>
        <v/>
      </c>
      <c r="AB2708" s="75" t="str">
        <f>IF(AND(OR(LEFT(TH!N2708,2)="15",LEFT(TH!O2708,2)="15"),LEFT(TH!O2708,3)&lt;&gt;"111",'152-CT'!$J$8=TH!F2708),"x","")</f>
        <v/>
      </c>
      <c r="AC2708" s="75" t="str">
        <f>IF(AND(OR(LEFT(TH!N2708,2)="15",LEFT(TH!O2708,2)="15"),TK!$E$7=TH!F2708),"x","")</f>
        <v/>
      </c>
      <c r="AD2708" s="75" t="str">
        <f>IF(AND(N2708="1521",MONTH(C2708)='BK-NL'!$M$11),"x","")</f>
        <v/>
      </c>
    </row>
    <row r="2709" spans="1:30" s="1264" customFormat="1" ht="16.5" customHeight="1">
      <c r="A2709" s="309" t="str">
        <f>IF(B2709&lt;&gt;"",IF(AND(B2709='IN-TC'!$S$4,OR(TH!N2709="1111",TH!O2709="1111")),TH!D2709,""),"")</f>
        <v/>
      </c>
      <c r="B2709" s="1312">
        <f t="shared" si="943"/>
        <v>2</v>
      </c>
      <c r="C2709" s="71">
        <v>42774</v>
      </c>
      <c r="D2709" s="71" t="s">
        <v>903</v>
      </c>
      <c r="E2709" s="71">
        <v>42774</v>
      </c>
      <c r="F2709" s="72" t="s">
        <v>1079</v>
      </c>
      <c r="G2709" s="72" t="s">
        <v>747</v>
      </c>
      <c r="H2709" s="735" t="s">
        <v>746</v>
      </c>
      <c r="I2709" s="371"/>
      <c r="J2709" s="377"/>
      <c r="K2709" s="371">
        <v>71910</v>
      </c>
      <c r="L2709" s="377">
        <v>22700</v>
      </c>
      <c r="M2709" s="1214">
        <f t="shared" ref="M2709" si="965">ROUND(K2709*L2709,0)</f>
        <v>1632357000</v>
      </c>
      <c r="N2709" s="75" t="s">
        <v>256</v>
      </c>
      <c r="O2709" s="75" t="s">
        <v>536</v>
      </c>
      <c r="P2709" s="75" t="str">
        <f>IF(AND('331-CT'!$E$7=TH!H2709,OR(N2709="331",O2709="331")),"x","")</f>
        <v/>
      </c>
      <c r="Q2709" s="75" t="str">
        <f>IF(AND(B2709='111'!$L$11,OR($N2709=$Q$7,$O2709=$Q$7)),"x","")</f>
        <v/>
      </c>
      <c r="R2709" s="75" t="str">
        <f>IF(AND($N2709=$Q$7,$B2709&lt;'111'!$L$11),"x","")</f>
        <v/>
      </c>
      <c r="S2709" s="75" t="str">
        <f>IF(AND($O2709=$Q$7,$B2709&lt;'111'!$L$11),"x","")</f>
        <v/>
      </c>
      <c r="T2709" s="75" t="str">
        <f>IF(ISERROR(FIND('112'!$M$9,G2709,1)),"",IF((AND(FIND('112'!$M$9,G2709,1)&gt;=1,B2709='112'!$K$9,OR($N2709='112'!$I$6,$O2709='112'!$I$6))),"x",""))</f>
        <v/>
      </c>
      <c r="U2709" s="75" t="str">
        <f>IF(ISERROR(FIND('112'!$M$9,G2709,1)),"",IF((AND(LEFT(G2709,2)=LEFT('112'!$M$9,2),B2709&lt;'112'!$K$9,$N2709='112'!$I$6)),"x",""))</f>
        <v/>
      </c>
      <c r="V2709" s="75" t="str">
        <f>IF(ISERROR(FIND('112'!$M$9,G2709,1)),"",IF((AND(RIGHT(G2709,2)=RIGHT('112'!$M$9,2),B2709&lt;'112'!$K$9,$O2709='112'!$I$6)),"x",""))</f>
        <v/>
      </c>
      <c r="W2709" s="75" t="str">
        <f>IF(AND('341-CT'!$H$9=H2709,OR(LEFT(N2709,3)=$W$7,LEFT(O2709,3)=$W$7)),"x","")</f>
        <v/>
      </c>
      <c r="X2709" s="75" t="str">
        <f>IF(OR(TH!N2709=TH!$X$7,O2709=TH!$X$7),"x","")</f>
        <v/>
      </c>
      <c r="Y2709" s="75" t="str">
        <f>IF(AND(OR(N2709="131",O2709="131"),H2709='131-CT'!$H$9),"x","")</f>
        <v/>
      </c>
      <c r="Z2709" s="75"/>
      <c r="AA2709" s="75" t="str">
        <f>IF(AND(MONTH(E2709)='IN-NX'!$J$5,'IN-NX'!$D$7=D2709),"x","")</f>
        <v/>
      </c>
      <c r="AB2709" s="75" t="str">
        <f>IF(AND(OR(LEFT(TH!N2709,2)="15",LEFT(TH!O2709,2)="15"),LEFT(TH!O2709,3)&lt;&gt;"111",'152-CT'!$J$8=TH!F2709),"x","")</f>
        <v/>
      </c>
      <c r="AC2709" s="75" t="str">
        <f>IF(AND(OR(LEFT(TH!N2709,2)="15",LEFT(TH!O2709,2)="15"),TK!$E$7=TH!F2709),"x","")</f>
        <v/>
      </c>
      <c r="AD2709" s="75" t="str">
        <f>IF(AND(N2709="1521",MONTH(C2709)='BK-NL'!$M$11),"x","")</f>
        <v/>
      </c>
    </row>
    <row r="2710" spans="1:30" s="1264" customFormat="1" ht="16.5" customHeight="1">
      <c r="A2710" s="309" t="str">
        <f>IF(B2710&lt;&gt;"",IF(AND(B2710='IN-TC'!$S$4,OR(TH!N2710="1111",TH!O2710="1111")),TH!D2710,""),"")</f>
        <v/>
      </c>
      <c r="B2710" s="1312">
        <f t="shared" si="943"/>
        <v>2</v>
      </c>
      <c r="C2710" s="71">
        <v>42774</v>
      </c>
      <c r="D2710" s="71" t="s">
        <v>530</v>
      </c>
      <c r="E2710" s="71">
        <v>42774</v>
      </c>
      <c r="F2710" s="72" t="s">
        <v>1080</v>
      </c>
      <c r="G2710" s="72" t="s">
        <v>747</v>
      </c>
      <c r="H2710" s="735" t="s">
        <v>746</v>
      </c>
      <c r="I2710" s="371"/>
      <c r="J2710" s="377"/>
      <c r="K2710" s="371">
        <v>90</v>
      </c>
      <c r="L2710" s="377">
        <v>22700</v>
      </c>
      <c r="M2710" s="933">
        <f t="shared" si="964"/>
        <v>2043000</v>
      </c>
      <c r="N2710" s="75" t="s">
        <v>101</v>
      </c>
      <c r="O2710" s="75" t="s">
        <v>536</v>
      </c>
      <c r="P2710" s="75" t="str">
        <f>IF(AND('331-CT'!$E$7=TH!H2710,OR(N2710="331",O2710="331")),"x","")</f>
        <v/>
      </c>
      <c r="Q2710" s="75" t="str">
        <f>IF(AND(B2710='111'!$L$11,OR($N2710=$Q$7,$O2710=$Q$7)),"x","")</f>
        <v/>
      </c>
      <c r="R2710" s="75" t="str">
        <f>IF(AND($N2710=$Q$7,$B2710&lt;'111'!$L$11),"x","")</f>
        <v/>
      </c>
      <c r="S2710" s="75" t="str">
        <f>IF(AND($O2710=$Q$7,$B2710&lt;'111'!$L$11),"x","")</f>
        <v/>
      </c>
      <c r="T2710" s="75" t="str">
        <f>IF(ISERROR(FIND('112'!$M$9,G2710,1)),"",IF((AND(FIND('112'!$M$9,G2710,1)&gt;=1,B2710='112'!$K$9,OR($N2710='112'!$I$6,$O2710='112'!$I$6))),"x",""))</f>
        <v/>
      </c>
      <c r="U2710" s="75" t="str">
        <f>IF(ISERROR(FIND('112'!$M$9,G2710,1)),"",IF((AND(LEFT(G2710,2)=LEFT('112'!$M$9,2),B2710&lt;'112'!$K$9,$N2710='112'!$I$6)),"x",""))</f>
        <v/>
      </c>
      <c r="V2710" s="75" t="str">
        <f>IF(ISERROR(FIND('112'!$M$9,G2710,1)),"",IF((AND(RIGHT(G2710,2)=RIGHT('112'!$M$9,2),B2710&lt;'112'!$K$9,$O2710='112'!$I$6)),"x",""))</f>
        <v/>
      </c>
      <c r="W2710" s="75" t="str">
        <f>IF(AND('341-CT'!$H$9=H2710,OR(LEFT(N2710,3)=$W$7,LEFT(O2710,3)=$W$7)),"x","")</f>
        <v/>
      </c>
      <c r="X2710" s="75" t="str">
        <f>IF(OR(TH!N2710=TH!$X$7,O2710=TH!$X$7),"x","")</f>
        <v/>
      </c>
      <c r="Y2710" s="75" t="str">
        <f>IF(AND(OR(N2710="131",O2710="131"),H2710='131-CT'!$H$9),"x","")</f>
        <v/>
      </c>
      <c r="Z2710" s="75"/>
      <c r="AA2710" s="75" t="str">
        <f>IF(AND(MONTH(E2710)='IN-NX'!$J$5,'IN-NX'!$D$7=D2710),"x","")</f>
        <v/>
      </c>
      <c r="AB2710" s="75" t="str">
        <f>IF(AND(OR(LEFT(TH!N2710,2)="15",LEFT(TH!O2710,2)="15"),LEFT(TH!O2710,3)&lt;&gt;"111",'152-CT'!$J$8=TH!F2710),"x","")</f>
        <v/>
      </c>
      <c r="AC2710" s="75" t="str">
        <f>IF(AND(OR(LEFT(TH!N2710,2)="15",LEFT(TH!O2710,2)="15"),TK!$E$7=TH!F2710),"x","")</f>
        <v/>
      </c>
      <c r="AD2710" s="75" t="str">
        <f>IF(AND(N2710="1521",MONTH(C2710)='BK-NL'!$M$11),"x","")</f>
        <v/>
      </c>
    </row>
    <row r="2711" spans="1:30" s="1264" customFormat="1" ht="16.5" customHeight="1">
      <c r="A2711" s="309" t="str">
        <f>IF(B2711&lt;&gt;"",IF(AND(B2711='IN-TC'!$S$4,OR(TH!N2711="1111",TH!O2711="1111")),TH!D2711,""),"")</f>
        <v/>
      </c>
      <c r="B2711" s="1312">
        <f t="shared" si="943"/>
        <v>2</v>
      </c>
      <c r="C2711" s="71">
        <v>42774</v>
      </c>
      <c r="D2711" s="71" t="s">
        <v>530</v>
      </c>
      <c r="E2711" s="71">
        <v>42774</v>
      </c>
      <c r="F2711" s="72" t="s">
        <v>1010</v>
      </c>
      <c r="G2711" s="72" t="s">
        <v>747</v>
      </c>
      <c r="H2711" s="735" t="s">
        <v>746</v>
      </c>
      <c r="I2711" s="371"/>
      <c r="J2711" s="377"/>
      <c r="K2711" s="371"/>
      <c r="L2711" s="377"/>
      <c r="M2711" s="74">
        <v>12240000</v>
      </c>
      <c r="N2711" s="75" t="s">
        <v>536</v>
      </c>
      <c r="O2711" s="934" t="s">
        <v>43</v>
      </c>
      <c r="P2711" s="75" t="str">
        <f>IF(AND('331-CT'!$E$7=TH!H2711,OR(N2711="331",O2711="331")),"x","")</f>
        <v/>
      </c>
      <c r="Q2711" s="75" t="str">
        <f>IF(AND(B2711='111'!$L$11,OR($N2711=$Q$7,$O2711=$Q$7)),"x","")</f>
        <v/>
      </c>
      <c r="R2711" s="75" t="str">
        <f>IF(AND($N2711=$Q$7,$B2711&lt;'111'!$L$11),"x","")</f>
        <v/>
      </c>
      <c r="S2711" s="75" t="str">
        <f>IF(AND($O2711=$Q$7,$B2711&lt;'111'!$L$11),"x","")</f>
        <v/>
      </c>
      <c r="T2711" s="75" t="str">
        <f>IF(ISERROR(FIND('112'!$M$9,G2711,1)),"",IF((AND(FIND('112'!$M$9,G2711,1)&gt;=1,B2711='112'!$K$9,OR($N2711='112'!$I$6,$O2711='112'!$I$6))),"x",""))</f>
        <v/>
      </c>
      <c r="U2711" s="75" t="str">
        <f>IF(ISERROR(FIND('112'!$M$9,G2711,1)),"",IF((AND(LEFT(G2711,2)=LEFT('112'!$M$9,2),B2711&lt;'112'!$K$9,$N2711='112'!$I$6)),"x",""))</f>
        <v/>
      </c>
      <c r="V2711" s="75" t="str">
        <f>IF(ISERROR(FIND('112'!$M$9,G2711,1)),"",IF((AND(RIGHT(G2711,2)=RIGHT('112'!$M$9,2),B2711&lt;'112'!$K$9,$O2711='112'!$I$6)),"x",""))</f>
        <v/>
      </c>
      <c r="W2711" s="75" t="str">
        <f>IF(AND('341-CT'!$H$9=H2711,OR(LEFT(N2711,3)=$W$7,LEFT(O2711,3)=$W$7)),"x","")</f>
        <v/>
      </c>
      <c r="X2711" s="75" t="str">
        <f>IF(OR(TH!N2711=TH!$X$7,O2711=TH!$X$7),"x","")</f>
        <v/>
      </c>
      <c r="Y2711" s="75" t="str">
        <f>IF(AND(OR(N2711="131",O2711="131"),H2711='131-CT'!$H$9),"x","")</f>
        <v/>
      </c>
      <c r="Z2711" s="75"/>
      <c r="AA2711" s="75" t="str">
        <f>IF(AND(MONTH(E2711)='IN-NX'!$J$5,'IN-NX'!$D$7=D2711),"x","")</f>
        <v/>
      </c>
      <c r="AB2711" s="75" t="str">
        <f>IF(AND(OR(LEFT(TH!N2711,2)="15",LEFT(TH!O2711,2)="15"),LEFT(TH!O2711,3)&lt;&gt;"111",'152-CT'!$J$8=TH!F2711),"x","")</f>
        <v/>
      </c>
      <c r="AC2711" s="75" t="str">
        <f>IF(AND(OR(LEFT(TH!N2711,2)="15",LEFT(TH!O2711,2)="15"),TK!$E$7=TH!F2711),"x","")</f>
        <v/>
      </c>
      <c r="AD2711" s="75" t="str">
        <f>IF(AND(N2711="1521",MONTH(C2711)='BK-NL'!$M$11),"x","")</f>
        <v/>
      </c>
    </row>
    <row r="2712" spans="1:30" s="1264" customFormat="1" ht="16.5" customHeight="1">
      <c r="A2712" s="309" t="str">
        <f>IF(B2712&lt;&gt;"",IF(AND(B2712='IN-TC'!$S$4,OR(TH!N2712="1111",TH!O2712="1111")),TH!D2712,""),"")</f>
        <v/>
      </c>
      <c r="B2712" s="1312">
        <f t="shared" si="943"/>
        <v>2</v>
      </c>
      <c r="C2712" s="71">
        <v>42774</v>
      </c>
      <c r="D2712" s="71" t="s">
        <v>903</v>
      </c>
      <c r="E2712" s="71">
        <v>42774</v>
      </c>
      <c r="F2712" s="72" t="s">
        <v>918</v>
      </c>
      <c r="G2712" s="72" t="s">
        <v>925</v>
      </c>
      <c r="H2712" s="735" t="s">
        <v>835</v>
      </c>
      <c r="I2712" s="371"/>
      <c r="J2712" s="377"/>
      <c r="K2712" s="371">
        <v>53000</v>
      </c>
      <c r="L2712" s="377">
        <v>22700</v>
      </c>
      <c r="M2712" s="1214">
        <f t="shared" ref="M2712" si="966">ROUND(K2712*L2712,0)</f>
        <v>1203100000</v>
      </c>
      <c r="N2712" s="1224" t="s">
        <v>256</v>
      </c>
      <c r="O2712" s="934" t="s">
        <v>256</v>
      </c>
      <c r="P2712" s="75" t="str">
        <f>IF(AND('331-CT'!$E$7=TH!H2712,OR(N2712="331",O2712="331")),"x","")</f>
        <v/>
      </c>
      <c r="Q2712" s="75" t="str">
        <f>IF(AND(B2712='111'!$L$11,OR($N2712=$Q$7,$O2712=$Q$7)),"x","")</f>
        <v/>
      </c>
      <c r="R2712" s="75" t="str">
        <f>IF(AND($N2712=$Q$7,$B2712&lt;'111'!$L$11),"x","")</f>
        <v/>
      </c>
      <c r="S2712" s="75" t="str">
        <f>IF(AND($O2712=$Q$7,$B2712&lt;'111'!$L$11),"x","")</f>
        <v/>
      </c>
      <c r="T2712" s="75" t="str">
        <f>IF(ISERROR(FIND('112'!$M$9,G2712,1)),"",IF((AND(FIND('112'!$M$9,G2712,1)&gt;=1,B2712='112'!$K$9,OR($N2712='112'!$I$6,$O2712='112'!$I$6))),"x",""))</f>
        <v/>
      </c>
      <c r="U2712" s="75" t="str">
        <f>IF(ISERROR(FIND('112'!$M$9,G2712,1)),"",IF((AND(LEFT(G2712,2)=LEFT('112'!$M$9,2),B2712&lt;'112'!$K$9,$N2712='112'!$I$6)),"x",""))</f>
        <v/>
      </c>
      <c r="V2712" s="75" t="str">
        <f>IF(ISERROR(FIND('112'!$M$9,G2712,1)),"",IF((AND(RIGHT(G2712,2)=RIGHT('112'!$M$9,2),B2712&lt;'112'!$K$9,$O2712='112'!$I$6)),"x",""))</f>
        <v/>
      </c>
      <c r="W2712" s="75" t="str">
        <f>IF(AND('341-CT'!$H$9=H2712,OR(LEFT(N2712,3)=$W$7,LEFT(O2712,3)=$W$7)),"x","")</f>
        <v/>
      </c>
      <c r="X2712" s="75" t="str">
        <f>IF(OR(TH!N2712=TH!$X$7,O2712=TH!$X$7),"x","")</f>
        <v/>
      </c>
      <c r="Y2712" s="75" t="str">
        <f>IF(AND(OR(N2712="131",O2712="131"),H2712='131-CT'!$H$9),"x","")</f>
        <v/>
      </c>
      <c r="Z2712" s="75"/>
      <c r="AA2712" s="75" t="str">
        <f>IF(AND(MONTH(E2712)='IN-NX'!$J$5,'IN-NX'!$D$7=D2712),"x","")</f>
        <v/>
      </c>
      <c r="AB2712" s="75" t="str">
        <f>IF(AND(OR(LEFT(TH!N2712,2)="15",LEFT(TH!O2712,2)="15"),LEFT(TH!O2712,3)&lt;&gt;"111",'152-CT'!$J$8=TH!F2712),"x","")</f>
        <v/>
      </c>
      <c r="AC2712" s="75" t="str">
        <f>IF(AND(OR(LEFT(TH!N2712,2)="15",LEFT(TH!O2712,2)="15"),TK!$E$7=TH!F2712),"x","")</f>
        <v/>
      </c>
      <c r="AD2712" s="75" t="str">
        <f>IF(AND(N2712="1521",MONTH(C2712)='BK-NL'!$M$11),"x","")</f>
        <v/>
      </c>
    </row>
    <row r="2713" spans="1:30" s="1264" customFormat="1" ht="16.5" customHeight="1">
      <c r="A2713" s="309" t="str">
        <f>IF(B2713&lt;&gt;"",IF(AND(B2713='IN-TC'!$S$4,OR(TH!N2713="1111",TH!O2713="1111")),TH!D2713,""),"")</f>
        <v/>
      </c>
      <c r="B2713" s="1312">
        <f t="shared" si="943"/>
        <v>2</v>
      </c>
      <c r="C2713" s="71">
        <v>42774</v>
      </c>
      <c r="D2713" s="71" t="s">
        <v>902</v>
      </c>
      <c r="E2713" s="71">
        <v>42774</v>
      </c>
      <c r="F2713" s="72" t="s">
        <v>870</v>
      </c>
      <c r="G2713" s="72" t="s">
        <v>747</v>
      </c>
      <c r="H2713" s="735" t="s">
        <v>835</v>
      </c>
      <c r="I2713" s="371"/>
      <c r="J2713" s="377"/>
      <c r="K2713" s="371">
        <v>3</v>
      </c>
      <c r="L2713" s="377">
        <v>22700</v>
      </c>
      <c r="M2713" s="74">
        <f t="shared" ref="M2713:M2716" si="967">ROUND(K2713*L2713,0)</f>
        <v>68100</v>
      </c>
      <c r="N2713" s="1224" t="s">
        <v>101</v>
      </c>
      <c r="O2713" s="934" t="s">
        <v>256</v>
      </c>
      <c r="P2713" s="75" t="str">
        <f>IF(AND('331-CT'!$E$7=TH!H2713,OR(N2713="331",O2713="331")),"x","")</f>
        <v/>
      </c>
      <c r="Q2713" s="75" t="str">
        <f>IF(AND(B2713='111'!$L$11,OR($N2713=$Q$7,$O2713=$Q$7)),"x","")</f>
        <v/>
      </c>
      <c r="R2713" s="75" t="str">
        <f>IF(AND($N2713=$Q$7,$B2713&lt;'111'!$L$11),"x","")</f>
        <v/>
      </c>
      <c r="S2713" s="75" t="str">
        <f>IF(AND($O2713=$Q$7,$B2713&lt;'111'!$L$11),"x","")</f>
        <v/>
      </c>
      <c r="T2713" s="75" t="str">
        <f>IF(ISERROR(FIND('112'!$M$9,G2713,1)),"",IF((AND(FIND('112'!$M$9,G2713,1)&gt;=1,B2713='112'!$K$9,OR($N2713='112'!$I$6,$O2713='112'!$I$6))),"x",""))</f>
        <v/>
      </c>
      <c r="U2713" s="75" t="str">
        <f>IF(ISERROR(FIND('112'!$M$9,G2713,1)),"",IF((AND(LEFT(G2713,2)=LEFT('112'!$M$9,2),B2713&lt;'112'!$K$9,$N2713='112'!$I$6)),"x",""))</f>
        <v/>
      </c>
      <c r="V2713" s="75" t="str">
        <f>IF(ISERROR(FIND('112'!$M$9,G2713,1)),"",IF((AND(RIGHT(G2713,2)=RIGHT('112'!$M$9,2),B2713&lt;'112'!$K$9,$O2713='112'!$I$6)),"x",""))</f>
        <v/>
      </c>
      <c r="W2713" s="75" t="str">
        <f>IF(AND('341-CT'!$H$9=H2713,OR(LEFT(N2713,3)=$W$7,LEFT(O2713,3)=$W$7)),"x","")</f>
        <v/>
      </c>
      <c r="X2713" s="75" t="str">
        <f>IF(OR(TH!N2713=TH!$X$7,O2713=TH!$X$7),"x","")</f>
        <v/>
      </c>
      <c r="Y2713" s="75" t="str">
        <f>IF(AND(OR(N2713="131",O2713="131"),H2713='131-CT'!$H$9),"x","")</f>
        <v/>
      </c>
      <c r="Z2713" s="75"/>
      <c r="AA2713" s="75" t="str">
        <f>IF(AND(MONTH(E2713)='IN-NX'!$J$5,'IN-NX'!$D$7=D2713),"x","")</f>
        <v/>
      </c>
      <c r="AB2713" s="75" t="str">
        <f>IF(AND(OR(LEFT(TH!N2713,2)="15",LEFT(TH!O2713,2)="15"),LEFT(TH!O2713,3)&lt;&gt;"111",'152-CT'!$J$8=TH!F2713),"x","")</f>
        <v/>
      </c>
      <c r="AC2713" s="75" t="str">
        <f>IF(AND(OR(LEFT(TH!N2713,2)="15",LEFT(TH!O2713,2)="15"),TK!$E$7=TH!F2713),"x","")</f>
        <v/>
      </c>
      <c r="AD2713" s="75" t="str">
        <f>IF(AND(N2713="1521",MONTH(C2713)='BK-NL'!$M$11),"x","")</f>
        <v/>
      </c>
    </row>
    <row r="2714" spans="1:30" s="1264" customFormat="1" ht="16.5" customHeight="1">
      <c r="A2714" s="309" t="str">
        <f>IF(B2714&lt;&gt;"",IF(AND(B2714='IN-TC'!$S$4,OR(TH!N2714="1111",TH!O2714="1111")),TH!D2714,""),"")</f>
        <v/>
      </c>
      <c r="B2714" s="1312">
        <f t="shared" si="943"/>
        <v>2</v>
      </c>
      <c r="C2714" s="71">
        <v>42774</v>
      </c>
      <c r="D2714" s="71" t="s">
        <v>902</v>
      </c>
      <c r="E2714" s="71">
        <v>42774</v>
      </c>
      <c r="F2714" s="72" t="s">
        <v>898</v>
      </c>
      <c r="G2714" s="72" t="s">
        <v>747</v>
      </c>
      <c r="H2714" s="735" t="s">
        <v>835</v>
      </c>
      <c r="I2714" s="371"/>
      <c r="J2714" s="377"/>
      <c r="K2714" s="371">
        <v>0.3</v>
      </c>
      <c r="L2714" s="377">
        <v>22700</v>
      </c>
      <c r="M2714" s="74">
        <f t="shared" si="967"/>
        <v>6810</v>
      </c>
      <c r="N2714" s="1224" t="s">
        <v>9</v>
      </c>
      <c r="O2714" s="934" t="s">
        <v>256</v>
      </c>
      <c r="P2714" s="75" t="str">
        <f>IF(AND('331-CT'!$E$7=TH!H2714,OR(N2714="331",O2714="331")),"x","")</f>
        <v/>
      </c>
      <c r="Q2714" s="75" t="str">
        <f>IF(AND(B2714='111'!$L$11,OR($N2714=$Q$7,$O2714=$Q$7)),"x","")</f>
        <v/>
      </c>
      <c r="R2714" s="75" t="str">
        <f>IF(AND($N2714=$Q$7,$B2714&lt;'111'!$L$11),"x","")</f>
        <v/>
      </c>
      <c r="S2714" s="75" t="str">
        <f>IF(AND($O2714=$Q$7,$B2714&lt;'111'!$L$11),"x","")</f>
        <v/>
      </c>
      <c r="T2714" s="75" t="str">
        <f>IF(ISERROR(FIND('112'!$M$9,G2714,1)),"",IF((AND(FIND('112'!$M$9,G2714,1)&gt;=1,B2714='112'!$K$9,OR($N2714='112'!$I$6,$O2714='112'!$I$6))),"x",""))</f>
        <v/>
      </c>
      <c r="U2714" s="75" t="str">
        <f>IF(ISERROR(FIND('112'!$M$9,G2714,1)),"",IF((AND(LEFT(G2714,2)=LEFT('112'!$M$9,2),B2714&lt;'112'!$K$9,$N2714='112'!$I$6)),"x",""))</f>
        <v/>
      </c>
      <c r="V2714" s="75" t="str">
        <f>IF(ISERROR(FIND('112'!$M$9,G2714,1)),"",IF((AND(RIGHT(G2714,2)=RIGHT('112'!$M$9,2),B2714&lt;'112'!$K$9,$O2714='112'!$I$6)),"x",""))</f>
        <v/>
      </c>
      <c r="W2714" s="75" t="str">
        <f>IF(AND('341-CT'!$H$9=H2714,OR(LEFT(N2714,3)=$W$7,LEFT(O2714,3)=$W$7)),"x","")</f>
        <v/>
      </c>
      <c r="X2714" s="75" t="str">
        <f>IF(OR(TH!N2714=TH!$X$7,O2714=TH!$X$7),"x","")</f>
        <v/>
      </c>
      <c r="Y2714" s="75" t="str">
        <f>IF(AND(OR(N2714="131",O2714="131"),H2714='131-CT'!$H$9),"x","")</f>
        <v/>
      </c>
      <c r="Z2714" s="75"/>
      <c r="AA2714" s="75" t="str">
        <f>IF(AND(MONTH(E2714)='IN-NX'!$J$5,'IN-NX'!$D$7=D2714),"x","")</f>
        <v/>
      </c>
      <c r="AB2714" s="75" t="str">
        <f>IF(AND(OR(LEFT(TH!N2714,2)="15",LEFT(TH!O2714,2)="15"),LEFT(TH!O2714,3)&lt;&gt;"111",'152-CT'!$J$8=TH!F2714),"x","")</f>
        <v/>
      </c>
      <c r="AC2714" s="75" t="str">
        <f>IF(AND(OR(LEFT(TH!N2714,2)="15",LEFT(TH!O2714,2)="15"),TK!$E$7=TH!F2714),"x","")</f>
        <v/>
      </c>
      <c r="AD2714" s="75" t="str">
        <f>IF(AND(N2714="1521",MONTH(C2714)='BK-NL'!$M$11),"x","")</f>
        <v/>
      </c>
    </row>
    <row r="2715" spans="1:30" s="1264" customFormat="1" ht="16.5" customHeight="1">
      <c r="A2715" s="309" t="str">
        <f>IF(B2715&lt;&gt;"",IF(AND(B2715='IN-TC'!$S$4,OR(TH!N2715="1111",TH!O2715="1111")),TH!D2715,""),"")</f>
        <v/>
      </c>
      <c r="B2715" s="1312">
        <f t="shared" ref="B2715:B2778" si="968">IF(C2715&lt;&gt;"",MONTH(C2715),"")</f>
        <v>2</v>
      </c>
      <c r="C2715" s="71">
        <v>42774</v>
      </c>
      <c r="D2715" s="71" t="s">
        <v>902</v>
      </c>
      <c r="E2715" s="71">
        <v>42774</v>
      </c>
      <c r="F2715" s="72" t="s">
        <v>1026</v>
      </c>
      <c r="G2715" s="72" t="s">
        <v>747</v>
      </c>
      <c r="H2715" s="735" t="s">
        <v>2448</v>
      </c>
      <c r="I2715" s="371"/>
      <c r="J2715" s="377"/>
      <c r="K2715" s="371">
        <v>68400</v>
      </c>
      <c r="L2715" s="377">
        <v>22700</v>
      </c>
      <c r="M2715" s="74">
        <f t="shared" si="967"/>
        <v>1552680000</v>
      </c>
      <c r="N2715" s="1224" t="s">
        <v>250</v>
      </c>
      <c r="O2715" s="934" t="s">
        <v>256</v>
      </c>
      <c r="P2715" s="75" t="str">
        <f>IF(AND('331-CT'!$E$7=TH!H2715,OR(N2715="331",O2715="331")),"x","")</f>
        <v/>
      </c>
      <c r="Q2715" s="75" t="str">
        <f>IF(AND(B2715='111'!$L$11,OR($N2715=$Q$7,$O2715=$Q$7)),"x","")</f>
        <v/>
      </c>
      <c r="R2715" s="75" t="str">
        <f>IF(AND($N2715=$Q$7,$B2715&lt;'111'!$L$11),"x","")</f>
        <v/>
      </c>
      <c r="S2715" s="75" t="str">
        <f>IF(AND($O2715=$Q$7,$B2715&lt;'111'!$L$11),"x","")</f>
        <v/>
      </c>
      <c r="T2715" s="75" t="str">
        <f>IF(ISERROR(FIND('112'!$M$9,G2715,1)),"",IF((AND(FIND('112'!$M$9,G2715,1)&gt;=1,B2715='112'!$K$9,OR($N2715='112'!$I$6,$O2715='112'!$I$6))),"x",""))</f>
        <v/>
      </c>
      <c r="U2715" s="75" t="str">
        <f>IF(ISERROR(FIND('112'!$M$9,G2715,1)),"",IF((AND(LEFT(G2715,2)=LEFT('112'!$M$9,2),B2715&lt;'112'!$K$9,$N2715='112'!$I$6)),"x",""))</f>
        <v/>
      </c>
      <c r="V2715" s="75" t="str">
        <f>IF(ISERROR(FIND('112'!$M$9,G2715,1)),"",IF((AND(RIGHT(G2715,2)=RIGHT('112'!$M$9,2),B2715&lt;'112'!$K$9,$O2715='112'!$I$6)),"x",""))</f>
        <v/>
      </c>
      <c r="W2715" s="75" t="str">
        <f>IF(AND('341-CT'!$H$9=H2715,OR(LEFT(N2715,3)=$W$7,LEFT(O2715,3)=$W$7)),"x","")</f>
        <v/>
      </c>
      <c r="X2715" s="75" t="str">
        <f>IF(OR(TH!N2715=TH!$X$7,O2715=TH!$X$7),"x","")</f>
        <v/>
      </c>
      <c r="Y2715" s="75" t="str">
        <f>IF(AND(OR(N2715="131",O2715="131"),H2715='131-CT'!$H$9),"x","")</f>
        <v/>
      </c>
      <c r="Z2715" s="75"/>
      <c r="AA2715" s="75" t="str">
        <f>IF(AND(MONTH(E2715)='IN-NX'!$J$5,'IN-NX'!$D$7=D2715),"x","")</f>
        <v/>
      </c>
      <c r="AB2715" s="75" t="str">
        <f>IF(AND(OR(LEFT(TH!N2715,2)="15",LEFT(TH!O2715,2)="15"),LEFT(TH!O2715,3)&lt;&gt;"111",'152-CT'!$J$8=TH!F2715),"x","")</f>
        <v/>
      </c>
      <c r="AC2715" s="75" t="str">
        <f>IF(AND(OR(LEFT(TH!N2715,2)="15",LEFT(TH!O2715,2)="15"),TK!$E$7=TH!F2715),"x","")</f>
        <v/>
      </c>
      <c r="AD2715" s="75" t="str">
        <f>IF(AND(N2715="1521",MONTH(C2715)='BK-NL'!$M$11),"x","")</f>
        <v/>
      </c>
    </row>
    <row r="2716" spans="1:30" s="1264" customFormat="1" ht="16.5" customHeight="1">
      <c r="A2716" s="309" t="str">
        <f>IF(B2716&lt;&gt;"",IF(AND(B2716='IN-TC'!$S$4,OR(TH!N2716="1111",TH!O2716="1111")),TH!D2716,""),"")</f>
        <v/>
      </c>
      <c r="B2716" s="1312">
        <f t="shared" si="968"/>
        <v>2</v>
      </c>
      <c r="C2716" s="71">
        <v>42774</v>
      </c>
      <c r="D2716" s="71" t="s">
        <v>902</v>
      </c>
      <c r="E2716" s="71">
        <v>42774</v>
      </c>
      <c r="F2716" s="72" t="s">
        <v>1096</v>
      </c>
      <c r="G2716" s="72" t="s">
        <v>747</v>
      </c>
      <c r="H2716" s="735" t="s">
        <v>2448</v>
      </c>
      <c r="I2716" s="371"/>
      <c r="J2716" s="377"/>
      <c r="K2716" s="371">
        <v>79.8</v>
      </c>
      <c r="L2716" s="377">
        <v>22700</v>
      </c>
      <c r="M2716" s="74">
        <f t="shared" si="967"/>
        <v>1811460</v>
      </c>
      <c r="N2716" s="1224" t="s">
        <v>99</v>
      </c>
      <c r="O2716" s="934" t="s">
        <v>256</v>
      </c>
      <c r="P2716" s="75" t="str">
        <f>IF(AND('331-CT'!$E$7=TH!H2716,OR(N2716="331",O2716="331")),"x","")</f>
        <v/>
      </c>
      <c r="Q2716" s="75" t="str">
        <f>IF(AND(B2716='111'!$L$11,OR($N2716=$Q$7,$O2716=$Q$7)),"x","")</f>
        <v/>
      </c>
      <c r="R2716" s="75" t="str">
        <f>IF(AND($N2716=$Q$7,$B2716&lt;'111'!$L$11),"x","")</f>
        <v/>
      </c>
      <c r="S2716" s="75" t="str">
        <f>IF(AND($O2716=$Q$7,$B2716&lt;'111'!$L$11),"x","")</f>
        <v/>
      </c>
      <c r="T2716" s="75" t="str">
        <f>IF(ISERROR(FIND('112'!$M$9,G2716,1)),"",IF((AND(FIND('112'!$M$9,G2716,1)&gt;=1,B2716='112'!$K$9,OR($N2716='112'!$I$6,$O2716='112'!$I$6))),"x",""))</f>
        <v/>
      </c>
      <c r="U2716" s="75" t="str">
        <f>IF(ISERROR(FIND('112'!$M$9,G2716,1)),"",IF((AND(LEFT(G2716,2)=LEFT('112'!$M$9,2),B2716&lt;'112'!$K$9,$N2716='112'!$I$6)),"x",""))</f>
        <v/>
      </c>
      <c r="V2716" s="75" t="str">
        <f>IF(ISERROR(FIND('112'!$M$9,G2716,1)),"",IF((AND(RIGHT(G2716,2)=RIGHT('112'!$M$9,2),B2716&lt;'112'!$K$9,$O2716='112'!$I$6)),"x",""))</f>
        <v/>
      </c>
      <c r="W2716" s="75" t="str">
        <f>IF(AND('341-CT'!$H$9=H2716,OR(LEFT(N2716,3)=$W$7,LEFT(O2716,3)=$W$7)),"x","")</f>
        <v/>
      </c>
      <c r="X2716" s="75" t="str">
        <f>IF(OR(TH!N2716=TH!$X$7,O2716=TH!$X$7),"x","")</f>
        <v/>
      </c>
      <c r="Y2716" s="75" t="str">
        <f>IF(AND(OR(N2716="131",O2716="131"),H2716='131-CT'!$H$9),"x","")</f>
        <v/>
      </c>
      <c r="Z2716" s="75"/>
      <c r="AA2716" s="75" t="str">
        <f>IF(AND(MONTH(E2716)='IN-NX'!$J$5,'IN-NX'!$D$7=D2716),"x","")</f>
        <v/>
      </c>
      <c r="AB2716" s="75" t="str">
        <f>IF(AND(OR(LEFT(TH!N2716,2)="15",LEFT(TH!O2716,2)="15"),LEFT(TH!O2716,3)&lt;&gt;"111",'152-CT'!$J$8=TH!F2716),"x","")</f>
        <v/>
      </c>
      <c r="AC2716" s="75" t="str">
        <f>IF(AND(OR(LEFT(TH!N2716,2)="15",LEFT(TH!O2716,2)="15"),TK!$E$7=TH!F2716),"x","")</f>
        <v/>
      </c>
      <c r="AD2716" s="75" t="str">
        <f>IF(AND(N2716="1521",MONTH(C2716)='BK-NL'!$M$11),"x","")</f>
        <v/>
      </c>
    </row>
    <row r="2717" spans="1:30" s="1264" customFormat="1" ht="16.5" customHeight="1">
      <c r="A2717" s="309" t="str">
        <f>IF(B2717&lt;&gt;"",IF(AND(B2717='IN-TC'!$S$4,OR(TH!N2717="1111",TH!O2717="1111")),TH!D2717,""),"")</f>
        <v/>
      </c>
      <c r="B2717" s="1312">
        <f t="shared" si="968"/>
        <v>2</v>
      </c>
      <c r="C2717" s="71">
        <v>42774</v>
      </c>
      <c r="D2717" s="71" t="s">
        <v>902</v>
      </c>
      <c r="E2717" s="71">
        <v>42774</v>
      </c>
      <c r="F2717" s="72" t="s">
        <v>1010</v>
      </c>
      <c r="G2717" s="72" t="s">
        <v>747</v>
      </c>
      <c r="H2717" s="735" t="s">
        <v>2448</v>
      </c>
      <c r="I2717" s="371"/>
      <c r="J2717" s="377"/>
      <c r="K2717" s="371"/>
      <c r="L2717" s="377"/>
      <c r="M2717" s="933">
        <v>13680000</v>
      </c>
      <c r="N2717" s="1224" t="s">
        <v>99</v>
      </c>
      <c r="O2717" s="75" t="s">
        <v>250</v>
      </c>
      <c r="P2717" s="75" t="str">
        <f>IF(AND('331-CT'!$E$7=TH!H2717,OR(N2717="331",O2717="331")),"x","")</f>
        <v/>
      </c>
      <c r="Q2717" s="75" t="str">
        <f>IF(AND(B2717='111'!$L$11,OR($N2717=$Q$7,$O2717=$Q$7)),"x","")</f>
        <v/>
      </c>
      <c r="R2717" s="75" t="str">
        <f>IF(AND($N2717=$Q$7,$B2717&lt;'111'!$L$11),"x","")</f>
        <v/>
      </c>
      <c r="S2717" s="75" t="str">
        <f>IF(AND($O2717=$Q$7,$B2717&lt;'111'!$L$11),"x","")</f>
        <v/>
      </c>
      <c r="T2717" s="75" t="str">
        <f>IF(ISERROR(FIND('112'!$M$9,G2717,1)),"",IF((AND(FIND('112'!$M$9,G2717,1)&gt;=1,B2717='112'!$K$9,OR($N2717='112'!$I$6,$O2717='112'!$I$6))),"x",""))</f>
        <v/>
      </c>
      <c r="U2717" s="75" t="str">
        <f>IF(ISERROR(FIND('112'!$M$9,G2717,1)),"",IF((AND(LEFT(G2717,2)=LEFT('112'!$M$9,2),B2717&lt;'112'!$K$9,$N2717='112'!$I$6)),"x",""))</f>
        <v/>
      </c>
      <c r="V2717" s="75" t="str">
        <f>IF(ISERROR(FIND('112'!$M$9,G2717,1)),"",IF((AND(RIGHT(G2717,2)=RIGHT('112'!$M$9,2),B2717&lt;'112'!$K$9,$O2717='112'!$I$6)),"x",""))</f>
        <v/>
      </c>
      <c r="W2717" s="75" t="str">
        <f>IF(AND('341-CT'!$H$9=H2717,OR(LEFT(N2717,3)=$W$7,LEFT(O2717,3)=$W$7)),"x","")</f>
        <v/>
      </c>
      <c r="X2717" s="75" t="str">
        <f>IF(OR(TH!N2717=TH!$X$7,O2717=TH!$X$7),"x","")</f>
        <v/>
      </c>
      <c r="Y2717" s="75" t="str">
        <f>IF(AND(OR(N2717="131",O2717="131"),H2717='131-CT'!$H$9),"x","")</f>
        <v/>
      </c>
      <c r="Z2717" s="75"/>
      <c r="AA2717" s="75" t="str">
        <f>IF(AND(MONTH(E2717)='IN-NX'!$J$5,'IN-NX'!$D$7=D2717),"x","")</f>
        <v/>
      </c>
      <c r="AB2717" s="75" t="str">
        <f>IF(AND(OR(LEFT(TH!N2717,2)="15",LEFT(TH!O2717,2)="15"),LEFT(TH!O2717,3)&lt;&gt;"111",'152-CT'!$J$8=TH!F2717),"x","")</f>
        <v/>
      </c>
      <c r="AC2717" s="75" t="str">
        <f>IF(AND(OR(LEFT(TH!N2717,2)="15",LEFT(TH!O2717,2)="15"),TK!$E$7=TH!F2717),"x","")</f>
        <v/>
      </c>
      <c r="AD2717" s="75" t="str">
        <f>IF(AND(N2717="1521",MONTH(C2717)='BK-NL'!$M$11),"x","")</f>
        <v/>
      </c>
    </row>
    <row r="2718" spans="1:30" s="1264" customFormat="1" ht="16.5" customHeight="1">
      <c r="A2718" s="309" t="str">
        <f>IF(B2718&lt;&gt;"",IF(AND(B2718='IN-TC'!$S$4,OR(TH!N2718="1111",TH!O2718="1111")),TH!D2718,""),"")</f>
        <v/>
      </c>
      <c r="B2718" s="1312">
        <f t="shared" si="968"/>
        <v>2</v>
      </c>
      <c r="C2718" s="71">
        <v>42774</v>
      </c>
      <c r="D2718" s="71" t="s">
        <v>902</v>
      </c>
      <c r="E2718" s="71">
        <v>42774</v>
      </c>
      <c r="F2718" s="72" t="s">
        <v>924</v>
      </c>
      <c r="G2718" s="72" t="s">
        <v>747</v>
      </c>
      <c r="H2718" s="735" t="s">
        <v>760</v>
      </c>
      <c r="I2718" s="371"/>
      <c r="J2718" s="377"/>
      <c r="K2718" s="371">
        <v>63000</v>
      </c>
      <c r="L2718" s="377">
        <v>22700</v>
      </c>
      <c r="M2718" s="74">
        <f t="shared" ref="M2718:M2719" si="969">ROUND(K2718*L2718,0)</f>
        <v>1430100000</v>
      </c>
      <c r="N2718" s="1224" t="s">
        <v>250</v>
      </c>
      <c r="O2718" s="934" t="s">
        <v>256</v>
      </c>
      <c r="P2718" s="75" t="str">
        <f>IF(AND('331-CT'!$E$7=TH!H2718,OR(N2718="331",O2718="331")),"x","")</f>
        <v/>
      </c>
      <c r="Q2718" s="75" t="str">
        <f>IF(AND(B2718='111'!$L$11,OR($N2718=$Q$7,$O2718=$Q$7)),"x","")</f>
        <v/>
      </c>
      <c r="R2718" s="75" t="str">
        <f>IF(AND($N2718=$Q$7,$B2718&lt;'111'!$L$11),"x","")</f>
        <v/>
      </c>
      <c r="S2718" s="75" t="str">
        <f>IF(AND($O2718=$Q$7,$B2718&lt;'111'!$L$11),"x","")</f>
        <v/>
      </c>
      <c r="T2718" s="75" t="str">
        <f>IF(ISERROR(FIND('112'!$M$9,G2718,1)),"",IF((AND(FIND('112'!$M$9,G2718,1)&gt;=1,B2718='112'!$K$9,OR($N2718='112'!$I$6,$O2718='112'!$I$6))),"x",""))</f>
        <v/>
      </c>
      <c r="U2718" s="75" t="str">
        <f>IF(ISERROR(FIND('112'!$M$9,G2718,1)),"",IF((AND(LEFT(G2718,2)=LEFT('112'!$M$9,2),B2718&lt;'112'!$K$9,$N2718='112'!$I$6)),"x",""))</f>
        <v/>
      </c>
      <c r="V2718" s="75" t="str">
        <f>IF(ISERROR(FIND('112'!$M$9,G2718,1)),"",IF((AND(RIGHT(G2718,2)=RIGHT('112'!$M$9,2),B2718&lt;'112'!$K$9,$O2718='112'!$I$6)),"x",""))</f>
        <v/>
      </c>
      <c r="W2718" s="75" t="str">
        <f>IF(AND('341-CT'!$H$9=H2718,OR(LEFT(N2718,3)=$W$7,LEFT(O2718,3)=$W$7)),"x","")</f>
        <v/>
      </c>
      <c r="X2718" s="75" t="str">
        <f>IF(OR(TH!N2718=TH!$X$7,O2718=TH!$X$7),"x","")</f>
        <v/>
      </c>
      <c r="Y2718" s="75" t="str">
        <f>IF(AND(OR(N2718="131",O2718="131"),H2718='131-CT'!$H$9),"x","")</f>
        <v/>
      </c>
      <c r="Z2718" s="75"/>
      <c r="AA2718" s="75" t="str">
        <f>IF(AND(MONTH(E2718)='IN-NX'!$J$5,'IN-NX'!$D$7=D2718),"x","")</f>
        <v/>
      </c>
      <c r="AB2718" s="75" t="str">
        <f>IF(AND(OR(LEFT(TH!N2718,2)="15",LEFT(TH!O2718,2)="15"),LEFT(TH!O2718,3)&lt;&gt;"111",'152-CT'!$J$8=TH!F2718),"x","")</f>
        <v/>
      </c>
      <c r="AC2718" s="75" t="str">
        <f>IF(AND(OR(LEFT(TH!N2718,2)="15",LEFT(TH!O2718,2)="15"),TK!$E$7=TH!F2718),"x","")</f>
        <v/>
      </c>
      <c r="AD2718" s="75" t="str">
        <f>IF(AND(N2718="1521",MONTH(C2718)='BK-NL'!$M$11),"x","")</f>
        <v/>
      </c>
    </row>
    <row r="2719" spans="1:30" s="1264" customFormat="1" ht="16.5" customHeight="1">
      <c r="A2719" s="309" t="str">
        <f>IF(B2719&lt;&gt;"",IF(AND(B2719='IN-TC'!$S$4,OR(TH!N2719="1111",TH!O2719="1111")),TH!D2719,""),"")</f>
        <v/>
      </c>
      <c r="B2719" s="1312">
        <f t="shared" si="968"/>
        <v>2</v>
      </c>
      <c r="C2719" s="71">
        <v>42774</v>
      </c>
      <c r="D2719" s="71" t="s">
        <v>902</v>
      </c>
      <c r="E2719" s="71">
        <v>42774</v>
      </c>
      <c r="F2719" s="72" t="s">
        <v>1096</v>
      </c>
      <c r="G2719" s="72" t="s">
        <v>747</v>
      </c>
      <c r="H2719" s="735" t="s">
        <v>760</v>
      </c>
      <c r="I2719" s="371"/>
      <c r="J2719" s="377"/>
      <c r="K2719" s="371">
        <v>89.29</v>
      </c>
      <c r="L2719" s="377">
        <v>22700</v>
      </c>
      <c r="M2719" s="74">
        <f t="shared" si="969"/>
        <v>2026883</v>
      </c>
      <c r="N2719" s="1224" t="s">
        <v>99</v>
      </c>
      <c r="O2719" s="934" t="s">
        <v>256</v>
      </c>
      <c r="P2719" s="75" t="str">
        <f>IF(AND('331-CT'!$E$7=TH!H2719,OR(N2719="331",O2719="331")),"x","")</f>
        <v/>
      </c>
      <c r="Q2719" s="75" t="str">
        <f>IF(AND(B2719='111'!$L$11,OR($N2719=$Q$7,$O2719=$Q$7)),"x","")</f>
        <v/>
      </c>
      <c r="R2719" s="75" t="str">
        <f>IF(AND($N2719=$Q$7,$B2719&lt;'111'!$L$11),"x","")</f>
        <v/>
      </c>
      <c r="S2719" s="75" t="str">
        <f>IF(AND($O2719=$Q$7,$B2719&lt;'111'!$L$11),"x","")</f>
        <v/>
      </c>
      <c r="T2719" s="75" t="str">
        <f>IF(ISERROR(FIND('112'!$M$9,G2719,1)),"",IF((AND(FIND('112'!$M$9,G2719,1)&gt;=1,B2719='112'!$K$9,OR($N2719='112'!$I$6,$O2719='112'!$I$6))),"x",""))</f>
        <v/>
      </c>
      <c r="U2719" s="75" t="str">
        <f>IF(ISERROR(FIND('112'!$M$9,G2719,1)),"",IF((AND(LEFT(G2719,2)=LEFT('112'!$M$9,2),B2719&lt;'112'!$K$9,$N2719='112'!$I$6)),"x",""))</f>
        <v/>
      </c>
      <c r="V2719" s="75" t="str">
        <f>IF(ISERROR(FIND('112'!$M$9,G2719,1)),"",IF((AND(RIGHT(G2719,2)=RIGHT('112'!$M$9,2),B2719&lt;'112'!$K$9,$O2719='112'!$I$6)),"x",""))</f>
        <v/>
      </c>
      <c r="W2719" s="75" t="str">
        <f>IF(AND('341-CT'!$H$9=H2719,OR(LEFT(N2719,3)=$W$7,LEFT(O2719,3)=$W$7)),"x","")</f>
        <v/>
      </c>
      <c r="X2719" s="75" t="str">
        <f>IF(OR(TH!N2719=TH!$X$7,O2719=TH!$X$7),"x","")</f>
        <v/>
      </c>
      <c r="Y2719" s="75" t="str">
        <f>IF(AND(OR(N2719="131",O2719="131"),H2719='131-CT'!$H$9),"x","")</f>
        <v/>
      </c>
      <c r="Z2719" s="75"/>
      <c r="AA2719" s="75" t="str">
        <f>IF(AND(MONTH(E2719)='IN-NX'!$J$5,'IN-NX'!$D$7=D2719),"x","")</f>
        <v/>
      </c>
      <c r="AB2719" s="75" t="str">
        <f>IF(AND(OR(LEFT(TH!N2719,2)="15",LEFT(TH!O2719,2)="15"),LEFT(TH!O2719,3)&lt;&gt;"111",'152-CT'!$J$8=TH!F2719),"x","")</f>
        <v/>
      </c>
      <c r="AC2719" s="75" t="str">
        <f>IF(AND(OR(LEFT(TH!N2719,2)="15",LEFT(TH!O2719,2)="15"),TK!$E$7=TH!F2719),"x","")</f>
        <v/>
      </c>
      <c r="AD2719" s="75" t="str">
        <f>IF(AND(N2719="1521",MONTH(C2719)='BK-NL'!$M$11),"x","")</f>
        <v/>
      </c>
    </row>
    <row r="2720" spans="1:30" s="1264" customFormat="1" ht="16.5" customHeight="1">
      <c r="A2720" s="309" t="str">
        <f>IF(B2720&lt;&gt;"",IF(AND(B2720='IN-TC'!$S$4,OR(TH!N2720="1111",TH!O2720="1111")),TH!D2720,""),"")</f>
        <v/>
      </c>
      <c r="B2720" s="1312">
        <f t="shared" si="968"/>
        <v>2</v>
      </c>
      <c r="C2720" s="71">
        <v>42774</v>
      </c>
      <c r="D2720" s="71" t="s">
        <v>530</v>
      </c>
      <c r="E2720" s="71">
        <v>42774</v>
      </c>
      <c r="F2720" s="72" t="s">
        <v>1010</v>
      </c>
      <c r="G2720" s="72" t="s">
        <v>747</v>
      </c>
      <c r="H2720" s="735" t="s">
        <v>760</v>
      </c>
      <c r="I2720" s="371"/>
      <c r="J2720" s="377"/>
      <c r="K2720" s="371"/>
      <c r="L2720" s="377"/>
      <c r="M2720" s="933">
        <v>25704000</v>
      </c>
      <c r="N2720" s="1224" t="s">
        <v>99</v>
      </c>
      <c r="O2720" s="75" t="s">
        <v>250</v>
      </c>
      <c r="P2720" s="75" t="str">
        <f>IF(AND('331-CT'!$E$7=TH!H2720,OR(N2720="331",O2720="331")),"x","")</f>
        <v/>
      </c>
      <c r="Q2720" s="75" t="str">
        <f>IF(AND(B2720='111'!$L$11,OR($N2720=$Q$7,$O2720=$Q$7)),"x","")</f>
        <v/>
      </c>
      <c r="R2720" s="75" t="str">
        <f>IF(AND($N2720=$Q$7,$B2720&lt;'111'!$L$11),"x","")</f>
        <v/>
      </c>
      <c r="S2720" s="75" t="str">
        <f>IF(AND($O2720=$Q$7,$B2720&lt;'111'!$L$11),"x","")</f>
        <v/>
      </c>
      <c r="T2720" s="75" t="str">
        <f>IF(ISERROR(FIND('112'!$M$9,G2720,1)),"",IF((AND(FIND('112'!$M$9,G2720,1)&gt;=1,B2720='112'!$K$9,OR($N2720='112'!$I$6,$O2720='112'!$I$6))),"x",""))</f>
        <v/>
      </c>
      <c r="U2720" s="75" t="str">
        <f>IF(ISERROR(FIND('112'!$M$9,G2720,1)),"",IF((AND(LEFT(G2720,2)=LEFT('112'!$M$9,2),B2720&lt;'112'!$K$9,$N2720='112'!$I$6)),"x",""))</f>
        <v/>
      </c>
      <c r="V2720" s="75" t="str">
        <f>IF(ISERROR(FIND('112'!$M$9,G2720,1)),"",IF((AND(RIGHT(G2720,2)=RIGHT('112'!$M$9,2),B2720&lt;'112'!$K$9,$O2720='112'!$I$6)),"x",""))</f>
        <v/>
      </c>
      <c r="W2720" s="75" t="str">
        <f>IF(AND('341-CT'!$H$9=H2720,OR(LEFT(N2720,3)=$W$7,LEFT(O2720,3)=$W$7)),"x","")</f>
        <v/>
      </c>
      <c r="X2720" s="75" t="str">
        <f>IF(OR(TH!N2720=TH!$X$7,O2720=TH!$X$7),"x","")</f>
        <v/>
      </c>
      <c r="Y2720" s="75" t="str">
        <f>IF(AND(OR(N2720="131",O2720="131"),H2720='131-CT'!$H$9),"x","")</f>
        <v/>
      </c>
      <c r="Z2720" s="75"/>
      <c r="AA2720" s="75" t="str">
        <f>IF(AND(MONTH(E2720)='IN-NX'!$J$5,'IN-NX'!$D$7=D2720),"x","")</f>
        <v/>
      </c>
      <c r="AB2720" s="75" t="str">
        <f>IF(AND(OR(LEFT(TH!N2720,2)="15",LEFT(TH!O2720,2)="15"),LEFT(TH!O2720,3)&lt;&gt;"111",'152-CT'!$J$8=TH!F2720),"x","")</f>
        <v/>
      </c>
      <c r="AC2720" s="75" t="str">
        <f>IF(AND(OR(LEFT(TH!N2720,2)="15",LEFT(TH!O2720,2)="15"),TK!$E$7=TH!F2720),"x","")</f>
        <v/>
      </c>
      <c r="AD2720" s="75" t="str">
        <f>IF(AND(N2720="1521",MONTH(C2720)='BK-NL'!$M$11),"x","")</f>
        <v/>
      </c>
    </row>
    <row r="2721" spans="1:30" s="1264" customFormat="1" ht="16.5" customHeight="1">
      <c r="A2721" s="309" t="str">
        <f>IF(B2721&lt;&gt;"",IF(AND(B2721='IN-TC'!$S$4,OR(TH!N2721="1111",TH!O2721="1111")),TH!D2721,""),"")</f>
        <v/>
      </c>
      <c r="B2721" s="1312">
        <f t="shared" si="968"/>
        <v>2</v>
      </c>
      <c r="C2721" s="71">
        <v>42779</v>
      </c>
      <c r="D2721" s="71" t="s">
        <v>903</v>
      </c>
      <c r="E2721" s="71">
        <v>42779</v>
      </c>
      <c r="F2721" s="72" t="s">
        <v>917</v>
      </c>
      <c r="G2721" s="72" t="s">
        <v>747</v>
      </c>
      <c r="H2721" s="735" t="s">
        <v>759</v>
      </c>
      <c r="I2721" s="371"/>
      <c r="J2721" s="377"/>
      <c r="K2721" s="371">
        <v>277610.8</v>
      </c>
      <c r="L2721" s="377">
        <v>22700</v>
      </c>
      <c r="M2721" s="1214">
        <f t="shared" ref="M2721" si="970">ROUND(K2721*L2721,0)</f>
        <v>6301765160</v>
      </c>
      <c r="N2721" s="1224" t="s">
        <v>256</v>
      </c>
      <c r="O2721" s="75" t="s">
        <v>536</v>
      </c>
      <c r="P2721" s="75" t="str">
        <f>IF(AND('331-CT'!$E$7=TH!H2721,OR(N2721="331",O2721="331")),"x","")</f>
        <v/>
      </c>
      <c r="Q2721" s="75" t="str">
        <f>IF(AND(B2721='111'!$L$11,OR($N2721=$Q$7,$O2721=$Q$7)),"x","")</f>
        <v/>
      </c>
      <c r="R2721" s="75" t="str">
        <f>IF(AND($N2721=$Q$7,$B2721&lt;'111'!$L$11),"x","")</f>
        <v/>
      </c>
      <c r="S2721" s="75" t="str">
        <f>IF(AND($O2721=$Q$7,$B2721&lt;'111'!$L$11),"x","")</f>
        <v/>
      </c>
      <c r="T2721" s="75" t="str">
        <f>IF(ISERROR(FIND('112'!$M$9,G2721,1)),"",IF((AND(FIND('112'!$M$9,G2721,1)&gt;=1,B2721='112'!$K$9,OR($N2721='112'!$I$6,$O2721='112'!$I$6))),"x",""))</f>
        <v/>
      </c>
      <c r="U2721" s="75" t="str">
        <f>IF(ISERROR(FIND('112'!$M$9,G2721,1)),"",IF((AND(LEFT(G2721,2)=LEFT('112'!$M$9,2),B2721&lt;'112'!$K$9,$N2721='112'!$I$6)),"x",""))</f>
        <v/>
      </c>
      <c r="V2721" s="75" t="str">
        <f>IF(ISERROR(FIND('112'!$M$9,G2721,1)),"",IF((AND(RIGHT(G2721,2)=RIGHT('112'!$M$9,2),B2721&lt;'112'!$K$9,$O2721='112'!$I$6)),"x",""))</f>
        <v/>
      </c>
      <c r="W2721" s="75" t="str">
        <f>IF(AND('341-CT'!$H$9=H2721,OR(LEFT(N2721,3)=$W$7,LEFT(O2721,3)=$W$7)),"x","")</f>
        <v/>
      </c>
      <c r="X2721" s="75" t="str">
        <f>IF(OR(TH!N2721=TH!$X$7,O2721=TH!$X$7),"x","")</f>
        <v/>
      </c>
      <c r="Y2721" s="75" t="str">
        <f>IF(AND(OR(N2721="131",O2721="131"),H2721='131-CT'!$H$9),"x","")</f>
        <v/>
      </c>
      <c r="Z2721" s="75"/>
      <c r="AA2721" s="75" t="str">
        <f>IF(AND(MONTH(E2721)='IN-NX'!$J$5,'IN-NX'!$D$7=D2721),"x","")</f>
        <v/>
      </c>
      <c r="AB2721" s="75" t="str">
        <f>IF(AND(OR(LEFT(TH!N2721,2)="15",LEFT(TH!O2721,2)="15"),LEFT(TH!O2721,3)&lt;&gt;"111",'152-CT'!$J$8=TH!F2721),"x","")</f>
        <v/>
      </c>
      <c r="AC2721" s="75" t="str">
        <f>IF(AND(OR(LEFT(TH!N2721,2)="15",LEFT(TH!O2721,2)="15"),TK!$E$7=TH!F2721),"x","")</f>
        <v/>
      </c>
      <c r="AD2721" s="75" t="str">
        <f>IF(AND(N2721="1521",MONTH(C2721)='BK-NL'!$M$11),"x","")</f>
        <v/>
      </c>
    </row>
    <row r="2722" spans="1:30" s="1264" customFormat="1" ht="16.5" customHeight="1">
      <c r="A2722" s="309" t="str">
        <f>IF(B2722&lt;&gt;"",IF(AND(B2722='IN-TC'!$S$4,OR(TH!N2722="1111",TH!O2722="1111")),TH!D2722,""),"")</f>
        <v/>
      </c>
      <c r="B2722" s="1312">
        <f t="shared" si="968"/>
        <v>2</v>
      </c>
      <c r="C2722" s="71">
        <v>42779</v>
      </c>
      <c r="D2722" s="71" t="s">
        <v>530</v>
      </c>
      <c r="E2722" s="71">
        <v>42779</v>
      </c>
      <c r="F2722" s="72" t="s">
        <v>1027</v>
      </c>
      <c r="G2722" s="72" t="s">
        <v>747</v>
      </c>
      <c r="H2722" s="735" t="s">
        <v>759</v>
      </c>
      <c r="I2722" s="371"/>
      <c r="J2722" s="377"/>
      <c r="K2722" s="371">
        <v>12</v>
      </c>
      <c r="L2722" s="377">
        <v>22700</v>
      </c>
      <c r="M2722" s="933">
        <f>ROUND(L2722*K2722,0)</f>
        <v>272400</v>
      </c>
      <c r="N2722" s="1224" t="s">
        <v>101</v>
      </c>
      <c r="O2722" s="75" t="s">
        <v>536</v>
      </c>
      <c r="P2722" s="75" t="str">
        <f>IF(AND('331-CT'!$E$7=TH!H2722,OR(N2722="331",O2722="331")),"x","")</f>
        <v/>
      </c>
      <c r="Q2722" s="75" t="str">
        <f>IF(AND(B2722='111'!$L$11,OR($N2722=$Q$7,$O2722=$Q$7)),"x","")</f>
        <v/>
      </c>
      <c r="R2722" s="75" t="str">
        <f>IF(AND($N2722=$Q$7,$B2722&lt;'111'!$L$11),"x","")</f>
        <v/>
      </c>
      <c r="S2722" s="75" t="str">
        <f>IF(AND($O2722=$Q$7,$B2722&lt;'111'!$L$11),"x","")</f>
        <v/>
      </c>
      <c r="T2722" s="75" t="str">
        <f>IF(ISERROR(FIND('112'!$M$9,G2722,1)),"",IF((AND(FIND('112'!$M$9,G2722,1)&gt;=1,B2722='112'!$K$9,OR($N2722='112'!$I$6,$O2722='112'!$I$6))),"x",""))</f>
        <v/>
      </c>
      <c r="U2722" s="75" t="str">
        <f>IF(ISERROR(FIND('112'!$M$9,G2722,1)),"",IF((AND(LEFT(G2722,2)=LEFT('112'!$M$9,2),B2722&lt;'112'!$K$9,$N2722='112'!$I$6)),"x",""))</f>
        <v/>
      </c>
      <c r="V2722" s="75" t="str">
        <f>IF(ISERROR(FIND('112'!$M$9,G2722,1)),"",IF((AND(RIGHT(G2722,2)=RIGHT('112'!$M$9,2),B2722&lt;'112'!$K$9,$O2722='112'!$I$6)),"x",""))</f>
        <v/>
      </c>
      <c r="W2722" s="75" t="str">
        <f>IF(AND('341-CT'!$H$9=H2722,OR(LEFT(N2722,3)=$W$7,LEFT(O2722,3)=$W$7)),"x","")</f>
        <v/>
      </c>
      <c r="X2722" s="75" t="str">
        <f>IF(OR(TH!N2722=TH!$X$7,O2722=TH!$X$7),"x","")</f>
        <v/>
      </c>
      <c r="Y2722" s="75" t="str">
        <f>IF(AND(OR(N2722="131",O2722="131"),H2722='131-CT'!$H$9),"x","")</f>
        <v/>
      </c>
      <c r="Z2722" s="75"/>
      <c r="AA2722" s="75" t="str">
        <f>IF(AND(MONTH(E2722)='IN-NX'!$J$5,'IN-NX'!$D$7=D2722),"x","")</f>
        <v/>
      </c>
      <c r="AB2722" s="75" t="str">
        <f>IF(AND(OR(LEFT(TH!N2722,2)="15",LEFT(TH!O2722,2)="15"),LEFT(TH!O2722,3)&lt;&gt;"111",'152-CT'!$J$8=TH!F2722),"x","")</f>
        <v/>
      </c>
      <c r="AC2722" s="75" t="str">
        <f>IF(AND(OR(LEFT(TH!N2722,2)="15",LEFT(TH!O2722,2)="15"),TK!$E$7=TH!F2722),"x","")</f>
        <v/>
      </c>
      <c r="AD2722" s="75" t="str">
        <f>IF(AND(N2722="1521",MONTH(C2722)='BK-NL'!$M$11),"x","")</f>
        <v/>
      </c>
    </row>
    <row r="2723" spans="1:30" s="1264" customFormat="1" ht="16.5" customHeight="1">
      <c r="A2723" s="309" t="str">
        <f>IF(B2723&lt;&gt;"",IF(AND(B2723='IN-TC'!$S$4,OR(TH!N2723="1111",TH!O2723="1111")),TH!D2723,""),"")</f>
        <v/>
      </c>
      <c r="B2723" s="1312">
        <f t="shared" si="968"/>
        <v>2</v>
      </c>
      <c r="C2723" s="71">
        <v>42779</v>
      </c>
      <c r="D2723" s="71" t="s">
        <v>902</v>
      </c>
      <c r="E2723" s="71">
        <v>42779</v>
      </c>
      <c r="F2723" s="72" t="s">
        <v>907</v>
      </c>
      <c r="G2723" s="72" t="s">
        <v>747</v>
      </c>
      <c r="H2723" s="735" t="s">
        <v>835</v>
      </c>
      <c r="I2723" s="371"/>
      <c r="J2723" s="377"/>
      <c r="K2723" s="371">
        <v>277600</v>
      </c>
      <c r="L2723" s="377">
        <v>22672</v>
      </c>
      <c r="M2723" s="74">
        <f t="shared" ref="M2723:M2725" si="971">ROUND(K2723*L2723,0)</f>
        <v>6293747200</v>
      </c>
      <c r="N2723" s="75" t="s">
        <v>26</v>
      </c>
      <c r="O2723" s="934" t="s">
        <v>256</v>
      </c>
      <c r="P2723" s="75" t="str">
        <f>IF(AND('331-CT'!$E$7=TH!H2723,OR(N2723="331",O2723="331")),"x","")</f>
        <v/>
      </c>
      <c r="Q2723" s="75" t="str">
        <f>IF(AND(B2723='111'!$L$11,OR($N2723=$Q$7,$O2723=$Q$7)),"x","")</f>
        <v/>
      </c>
      <c r="R2723" s="75" t="str">
        <f>IF(AND($N2723=$Q$7,$B2723&lt;'111'!$L$11),"x","")</f>
        <v/>
      </c>
      <c r="S2723" s="75" t="str">
        <f>IF(AND($O2723=$Q$7,$B2723&lt;'111'!$L$11),"x","")</f>
        <v/>
      </c>
      <c r="T2723" s="75" t="str">
        <f>IF(ISERROR(FIND('112'!$M$9,G2723,1)),"",IF((AND(FIND('112'!$M$9,G2723,1)&gt;=1,B2723='112'!$K$9,OR($N2723='112'!$I$6,$O2723='112'!$I$6))),"x",""))</f>
        <v/>
      </c>
      <c r="U2723" s="75" t="str">
        <f>IF(ISERROR(FIND('112'!$M$9,G2723,1)),"",IF((AND(LEFT(G2723,2)=LEFT('112'!$M$9,2),B2723&lt;'112'!$K$9,$N2723='112'!$I$6)),"x",""))</f>
        <v/>
      </c>
      <c r="V2723" s="75" t="str">
        <f>IF(ISERROR(FIND('112'!$M$9,G2723,1)),"",IF((AND(RIGHT(G2723,2)=RIGHT('112'!$M$9,2),B2723&lt;'112'!$K$9,$O2723='112'!$I$6)),"x",""))</f>
        <v/>
      </c>
      <c r="W2723" s="75" t="str">
        <f>IF(AND('341-CT'!$H$9=H2723,OR(LEFT(N2723,3)=$W$7,LEFT(O2723,3)=$W$7)),"x","")</f>
        <v/>
      </c>
      <c r="X2723" s="75" t="str">
        <f>IF(OR(TH!N2723=TH!$X$7,O2723=TH!$X$7),"x","")</f>
        <v/>
      </c>
      <c r="Y2723" s="75" t="str">
        <f>IF(AND(OR(N2723="131",O2723="131"),H2723='131-CT'!$H$9),"x","")</f>
        <v/>
      </c>
      <c r="Z2723" s="75"/>
      <c r="AA2723" s="75" t="str">
        <f>IF(AND(MONTH(E2723)='IN-NX'!$J$5,'IN-NX'!$D$7=D2723),"x","")</f>
        <v/>
      </c>
      <c r="AB2723" s="75" t="str">
        <f>IF(AND(OR(LEFT(TH!N2723,2)="15",LEFT(TH!O2723,2)="15"),LEFT(TH!O2723,3)&lt;&gt;"111",'152-CT'!$J$8=TH!F2723),"x","")</f>
        <v/>
      </c>
      <c r="AC2723" s="75" t="str">
        <f>IF(AND(OR(LEFT(TH!N2723,2)="15",LEFT(TH!O2723,2)="15"),TK!$E$7=TH!F2723),"x","")</f>
        <v/>
      </c>
      <c r="AD2723" s="75" t="str">
        <f>IF(AND(N2723="1521",MONTH(C2723)='BK-NL'!$M$11),"x","")</f>
        <v/>
      </c>
    </row>
    <row r="2724" spans="1:30" s="1264" customFormat="1" ht="16.5" customHeight="1">
      <c r="A2724" s="309" t="str">
        <f>IF(B2724&lt;&gt;"",IF(AND(B2724='IN-TC'!$S$4,OR(TH!N2724="1111",TH!O2724="1111")),TH!D2724,""),"")</f>
        <v/>
      </c>
      <c r="B2724" s="1312">
        <f t="shared" si="968"/>
        <v>2</v>
      </c>
      <c r="C2724" s="71">
        <v>42782</v>
      </c>
      <c r="D2724" s="71" t="s">
        <v>902</v>
      </c>
      <c r="E2724" s="71">
        <v>42782</v>
      </c>
      <c r="F2724" s="72" t="s">
        <v>907</v>
      </c>
      <c r="G2724" s="72" t="s">
        <v>747</v>
      </c>
      <c r="H2724" s="735" t="s">
        <v>835</v>
      </c>
      <c r="I2724" s="371"/>
      <c r="J2724" s="377"/>
      <c r="K2724" s="371">
        <v>441500</v>
      </c>
      <c r="L2724" s="377">
        <v>22750</v>
      </c>
      <c r="M2724" s="74">
        <f t="shared" si="971"/>
        <v>10044125000</v>
      </c>
      <c r="N2724" s="75" t="s">
        <v>26</v>
      </c>
      <c r="O2724" s="934" t="s">
        <v>256</v>
      </c>
      <c r="P2724" s="75" t="str">
        <f>IF(AND('331-CT'!$E$7=TH!H2724,OR(N2724="331",O2724="331")),"x","")</f>
        <v/>
      </c>
      <c r="Q2724" s="75" t="str">
        <f>IF(AND(B2724='111'!$L$11,OR($N2724=$Q$7,$O2724=$Q$7)),"x","")</f>
        <v/>
      </c>
      <c r="R2724" s="75" t="str">
        <f>IF(AND($N2724=$Q$7,$B2724&lt;'111'!$L$11),"x","")</f>
        <v/>
      </c>
      <c r="S2724" s="75" t="str">
        <f>IF(AND($O2724=$Q$7,$B2724&lt;'111'!$L$11),"x","")</f>
        <v/>
      </c>
      <c r="T2724" s="75" t="str">
        <f>IF(ISERROR(FIND('112'!$M$9,G2724,1)),"",IF((AND(FIND('112'!$M$9,G2724,1)&gt;=1,B2724='112'!$K$9,OR($N2724='112'!$I$6,$O2724='112'!$I$6))),"x",""))</f>
        <v/>
      </c>
      <c r="U2724" s="75" t="str">
        <f>IF(ISERROR(FIND('112'!$M$9,G2724,1)),"",IF((AND(LEFT(G2724,2)=LEFT('112'!$M$9,2),B2724&lt;'112'!$K$9,$N2724='112'!$I$6)),"x",""))</f>
        <v/>
      </c>
      <c r="V2724" s="75" t="str">
        <f>IF(ISERROR(FIND('112'!$M$9,G2724,1)),"",IF((AND(RIGHT(G2724,2)=RIGHT('112'!$M$9,2),B2724&lt;'112'!$K$9,$O2724='112'!$I$6)),"x",""))</f>
        <v/>
      </c>
      <c r="W2724" s="75" t="str">
        <f>IF(AND('341-CT'!$H$9=H2724,OR(LEFT(N2724,3)=$W$7,LEFT(O2724,3)=$W$7)),"x","")</f>
        <v/>
      </c>
      <c r="X2724" s="75" t="str">
        <f>IF(OR(TH!N2724=TH!$X$7,O2724=TH!$X$7),"x","")</f>
        <v/>
      </c>
      <c r="Y2724" s="75" t="str">
        <f>IF(AND(OR(N2724="131",O2724="131"),H2724='131-CT'!$H$9),"x","")</f>
        <v/>
      </c>
      <c r="Z2724" s="75"/>
      <c r="AA2724" s="75" t="str">
        <f>IF(AND(MONTH(E2724)='IN-NX'!$J$5,'IN-NX'!$D$7=D2724),"x","")</f>
        <v/>
      </c>
      <c r="AB2724" s="75" t="str">
        <f>IF(AND(OR(LEFT(TH!N2724,2)="15",LEFT(TH!O2724,2)="15"),LEFT(TH!O2724,3)&lt;&gt;"111",'152-CT'!$J$8=TH!F2724),"x","")</f>
        <v/>
      </c>
      <c r="AC2724" s="75" t="str">
        <f>IF(AND(OR(LEFT(TH!N2724,2)="15",LEFT(TH!O2724,2)="15"),TK!$E$7=TH!F2724),"x","")</f>
        <v/>
      </c>
      <c r="AD2724" s="75" t="str">
        <f>IF(AND(N2724="1521",MONTH(C2724)='BK-NL'!$M$11),"x","")</f>
        <v/>
      </c>
    </row>
    <row r="2725" spans="1:30" s="1264" customFormat="1" ht="16.5" customHeight="1">
      <c r="A2725" s="309" t="str">
        <f>IF(B2725&lt;&gt;"",IF(AND(B2725='IN-TC'!$S$4,OR(TH!N2725="1111",TH!O2725="1111")),TH!D2725,""),"")</f>
        <v/>
      </c>
      <c r="B2725" s="1312">
        <f t="shared" si="968"/>
        <v>2</v>
      </c>
      <c r="C2725" s="71">
        <v>42782</v>
      </c>
      <c r="D2725" s="71" t="s">
        <v>903</v>
      </c>
      <c r="E2725" s="71">
        <v>42782</v>
      </c>
      <c r="F2725" s="72" t="s">
        <v>917</v>
      </c>
      <c r="G2725" s="72" t="s">
        <v>747</v>
      </c>
      <c r="H2725" s="735" t="s">
        <v>759</v>
      </c>
      <c r="I2725" s="371"/>
      <c r="J2725" s="377"/>
      <c r="K2725" s="371">
        <v>441468</v>
      </c>
      <c r="L2725" s="377">
        <v>22700</v>
      </c>
      <c r="M2725" s="1214">
        <f t="shared" si="971"/>
        <v>10021323600</v>
      </c>
      <c r="N2725" s="1224" t="s">
        <v>256</v>
      </c>
      <c r="O2725" s="75" t="s">
        <v>536</v>
      </c>
      <c r="P2725" s="75" t="str">
        <f>IF(AND('331-CT'!$E$7=TH!H2725,OR(N2725="331",O2725="331")),"x","")</f>
        <v/>
      </c>
      <c r="Q2725" s="75" t="str">
        <f>IF(AND(B2725='111'!$L$11,OR($N2725=$Q$7,$O2725=$Q$7)),"x","")</f>
        <v/>
      </c>
      <c r="R2725" s="75" t="str">
        <f>IF(AND($N2725=$Q$7,$B2725&lt;'111'!$L$11),"x","")</f>
        <v/>
      </c>
      <c r="S2725" s="75" t="str">
        <f>IF(AND($O2725=$Q$7,$B2725&lt;'111'!$L$11),"x","")</f>
        <v/>
      </c>
      <c r="T2725" s="75" t="str">
        <f>IF(ISERROR(FIND('112'!$M$9,G2725,1)),"",IF((AND(FIND('112'!$M$9,G2725,1)&gt;=1,B2725='112'!$K$9,OR($N2725='112'!$I$6,$O2725='112'!$I$6))),"x",""))</f>
        <v/>
      </c>
      <c r="U2725" s="75" t="str">
        <f>IF(ISERROR(FIND('112'!$M$9,G2725,1)),"",IF((AND(LEFT(G2725,2)=LEFT('112'!$M$9,2),B2725&lt;'112'!$K$9,$N2725='112'!$I$6)),"x",""))</f>
        <v/>
      </c>
      <c r="V2725" s="75" t="str">
        <f>IF(ISERROR(FIND('112'!$M$9,G2725,1)),"",IF((AND(RIGHT(G2725,2)=RIGHT('112'!$M$9,2),B2725&lt;'112'!$K$9,$O2725='112'!$I$6)),"x",""))</f>
        <v/>
      </c>
      <c r="W2725" s="75" t="str">
        <f>IF(AND('341-CT'!$H$9=H2725,OR(LEFT(N2725,3)=$W$7,LEFT(O2725,3)=$W$7)),"x","")</f>
        <v/>
      </c>
      <c r="X2725" s="75" t="str">
        <f>IF(OR(TH!N2725=TH!$X$7,O2725=TH!$X$7),"x","")</f>
        <v/>
      </c>
      <c r="Y2725" s="75" t="str">
        <f>IF(AND(OR(N2725="131",O2725="131"),H2725='131-CT'!$H$9),"x","")</f>
        <v/>
      </c>
      <c r="Z2725" s="75"/>
      <c r="AA2725" s="75" t="str">
        <f>IF(AND(MONTH(E2725)='IN-NX'!$J$5,'IN-NX'!$D$7=D2725),"x","")</f>
        <v/>
      </c>
      <c r="AB2725" s="75" t="str">
        <f>IF(AND(OR(LEFT(TH!N2725,2)="15",LEFT(TH!O2725,2)="15"),LEFT(TH!O2725,3)&lt;&gt;"111",'152-CT'!$J$8=TH!F2725),"x","")</f>
        <v/>
      </c>
      <c r="AC2725" s="75" t="str">
        <f>IF(AND(OR(LEFT(TH!N2725,2)="15",LEFT(TH!O2725,2)="15"),TK!$E$7=TH!F2725),"x","")</f>
        <v/>
      </c>
      <c r="AD2725" s="75" t="str">
        <f>IF(AND(N2725="1521",MONTH(C2725)='BK-NL'!$M$11),"x","")</f>
        <v/>
      </c>
    </row>
    <row r="2726" spans="1:30" s="1264" customFormat="1" ht="16.5" customHeight="1">
      <c r="A2726" s="309" t="str">
        <f>IF(B2726&lt;&gt;"",IF(AND(B2726='IN-TC'!$S$4,OR(TH!N2726="1111",TH!O2726="1111")),TH!D2726,""),"")</f>
        <v/>
      </c>
      <c r="B2726" s="1312">
        <f t="shared" si="968"/>
        <v>2</v>
      </c>
      <c r="C2726" s="71">
        <v>42782</v>
      </c>
      <c r="D2726" s="71" t="s">
        <v>530</v>
      </c>
      <c r="E2726" s="71">
        <v>42782</v>
      </c>
      <c r="F2726" s="72" t="s">
        <v>1027</v>
      </c>
      <c r="G2726" s="72" t="s">
        <v>747</v>
      </c>
      <c r="H2726" s="735" t="s">
        <v>759</v>
      </c>
      <c r="I2726" s="371"/>
      <c r="J2726" s="377"/>
      <c r="K2726" s="371">
        <v>12</v>
      </c>
      <c r="L2726" s="377">
        <v>22700</v>
      </c>
      <c r="M2726" s="933">
        <f t="shared" ref="M2726:M2738" si="972">ROUND(L2726*K2726,0)</f>
        <v>272400</v>
      </c>
      <c r="N2726" s="1224" t="s">
        <v>101</v>
      </c>
      <c r="O2726" s="75" t="s">
        <v>536</v>
      </c>
      <c r="P2726" s="75" t="str">
        <f>IF(AND('331-CT'!$E$7=TH!H2726,OR(N2726="331",O2726="331")),"x","")</f>
        <v/>
      </c>
      <c r="Q2726" s="75" t="str">
        <f>IF(AND(B2726='111'!$L$11,OR($N2726=$Q$7,$O2726=$Q$7)),"x","")</f>
        <v/>
      </c>
      <c r="R2726" s="75" t="str">
        <f>IF(AND($N2726=$Q$7,$B2726&lt;'111'!$L$11),"x","")</f>
        <v/>
      </c>
      <c r="S2726" s="75" t="str">
        <f>IF(AND($O2726=$Q$7,$B2726&lt;'111'!$L$11),"x","")</f>
        <v/>
      </c>
      <c r="T2726" s="75" t="str">
        <f>IF(ISERROR(FIND('112'!$M$9,G2726,1)),"",IF((AND(FIND('112'!$M$9,G2726,1)&gt;=1,B2726='112'!$K$9,OR($N2726='112'!$I$6,$O2726='112'!$I$6))),"x",""))</f>
        <v/>
      </c>
      <c r="U2726" s="75" t="str">
        <f>IF(ISERROR(FIND('112'!$M$9,G2726,1)),"",IF((AND(LEFT(G2726,2)=LEFT('112'!$M$9,2),B2726&lt;'112'!$K$9,$N2726='112'!$I$6)),"x",""))</f>
        <v/>
      </c>
      <c r="V2726" s="75" t="str">
        <f>IF(ISERROR(FIND('112'!$M$9,G2726,1)),"",IF((AND(RIGHT(G2726,2)=RIGHT('112'!$M$9,2),B2726&lt;'112'!$K$9,$O2726='112'!$I$6)),"x",""))</f>
        <v/>
      </c>
      <c r="W2726" s="75" t="str">
        <f>IF(AND('341-CT'!$H$9=H2726,OR(LEFT(N2726,3)=$W$7,LEFT(O2726,3)=$W$7)),"x","")</f>
        <v/>
      </c>
      <c r="X2726" s="75" t="str">
        <f>IF(OR(TH!N2726=TH!$X$7,O2726=TH!$X$7),"x","")</f>
        <v/>
      </c>
      <c r="Y2726" s="75" t="str">
        <f>IF(AND(OR(N2726="131",O2726="131"),H2726='131-CT'!$H$9),"x","")</f>
        <v/>
      </c>
      <c r="Z2726" s="75"/>
      <c r="AA2726" s="75" t="str">
        <f>IF(AND(MONTH(E2726)='IN-NX'!$J$5,'IN-NX'!$D$7=D2726),"x","")</f>
        <v/>
      </c>
      <c r="AB2726" s="75" t="str">
        <f>IF(AND(OR(LEFT(TH!N2726,2)="15",LEFT(TH!O2726,2)="15"),LEFT(TH!O2726,3)&lt;&gt;"111",'152-CT'!$J$8=TH!F2726),"x","")</f>
        <v/>
      </c>
      <c r="AC2726" s="75" t="str">
        <f>IF(AND(OR(LEFT(TH!N2726,2)="15",LEFT(TH!O2726,2)="15"),TK!$E$7=TH!F2726),"x","")</f>
        <v/>
      </c>
      <c r="AD2726" s="75" t="str">
        <f>IF(AND(N2726="1521",MONTH(C2726)='BK-NL'!$M$11),"x","")</f>
        <v/>
      </c>
    </row>
    <row r="2727" spans="1:30" s="1264" customFormat="1" ht="16.5" customHeight="1">
      <c r="A2727" s="309" t="str">
        <f>IF(B2727&lt;&gt;"",IF(AND(B2727='IN-TC'!$S$4,OR(TH!N2727="1111",TH!O2727="1111")),TH!D2727,""),"")</f>
        <v/>
      </c>
      <c r="B2727" s="1312">
        <f t="shared" si="968"/>
        <v>2</v>
      </c>
      <c r="C2727" s="71">
        <v>42784</v>
      </c>
      <c r="D2727" s="71" t="s">
        <v>902</v>
      </c>
      <c r="E2727" s="71">
        <v>42784</v>
      </c>
      <c r="F2727" s="72" t="s">
        <v>1096</v>
      </c>
      <c r="G2727" s="72" t="s">
        <v>747</v>
      </c>
      <c r="H2727" s="735" t="s">
        <v>835</v>
      </c>
      <c r="I2727" s="371"/>
      <c r="J2727" s="377"/>
      <c r="K2727" s="371">
        <v>0.06</v>
      </c>
      <c r="L2727" s="377">
        <v>22700</v>
      </c>
      <c r="M2727" s="74">
        <f t="shared" ref="M2727:M2735" si="973">ROUND(K2727*L2727,0)</f>
        <v>1362</v>
      </c>
      <c r="N2727" s="1224" t="s">
        <v>99</v>
      </c>
      <c r="O2727" s="934" t="s">
        <v>256</v>
      </c>
      <c r="P2727" s="75" t="str">
        <f>IF(AND('331-CT'!$E$7=TH!H2727,OR(N2727="331",O2727="331")),"x","")</f>
        <v/>
      </c>
      <c r="Q2727" s="75" t="str">
        <f>IF(AND(B2727='111'!$L$11,OR($N2727=$Q$7,$O2727=$Q$7)),"x","")</f>
        <v/>
      </c>
      <c r="R2727" s="75" t="str">
        <f>IF(AND($N2727=$Q$7,$B2727&lt;'111'!$L$11),"x","")</f>
        <v/>
      </c>
      <c r="S2727" s="75" t="str">
        <f>IF(AND($O2727=$Q$7,$B2727&lt;'111'!$L$11),"x","")</f>
        <v/>
      </c>
      <c r="T2727" s="75" t="str">
        <f>IF(ISERROR(FIND('112'!$M$9,G2727,1)),"",IF((AND(FIND('112'!$M$9,G2727,1)&gt;=1,B2727='112'!$K$9,OR($N2727='112'!$I$6,$O2727='112'!$I$6))),"x",""))</f>
        <v/>
      </c>
      <c r="U2727" s="75" t="str">
        <f>IF(ISERROR(FIND('112'!$M$9,G2727,1)),"",IF((AND(LEFT(G2727,2)=LEFT('112'!$M$9,2),B2727&lt;'112'!$K$9,$N2727='112'!$I$6)),"x",""))</f>
        <v/>
      </c>
      <c r="V2727" s="75" t="str">
        <f>IF(ISERROR(FIND('112'!$M$9,G2727,1)),"",IF((AND(RIGHT(G2727,2)=RIGHT('112'!$M$9,2),B2727&lt;'112'!$K$9,$O2727='112'!$I$6)),"x",""))</f>
        <v/>
      </c>
      <c r="W2727" s="75" t="str">
        <f>IF(AND('341-CT'!$H$9=H2727,OR(LEFT(N2727,3)=$W$7,LEFT(O2727,3)=$W$7)),"x","")</f>
        <v/>
      </c>
      <c r="X2727" s="75" t="str">
        <f>IF(OR(TH!N2727=TH!$X$7,O2727=TH!$X$7),"x","")</f>
        <v/>
      </c>
      <c r="Y2727" s="75" t="str">
        <f>IF(AND(OR(N2727="131",O2727="131"),H2727='131-CT'!$H$9),"x","")</f>
        <v/>
      </c>
      <c r="Z2727" s="75"/>
      <c r="AA2727" s="75" t="str">
        <f>IF(AND(MONTH(E2727)='IN-NX'!$J$5,'IN-NX'!$D$7=D2727),"x","")</f>
        <v/>
      </c>
      <c r="AB2727" s="75" t="str">
        <f>IF(AND(OR(LEFT(TH!N2727,2)="15",LEFT(TH!O2727,2)="15"),LEFT(TH!O2727,3)&lt;&gt;"111",'152-CT'!$J$8=TH!F2727),"x","")</f>
        <v/>
      </c>
      <c r="AC2727" s="75" t="str">
        <f>IF(AND(OR(LEFT(TH!N2727,2)="15",LEFT(TH!O2727,2)="15"),TK!$E$7=TH!F2727),"x","")</f>
        <v/>
      </c>
      <c r="AD2727" s="75" t="str">
        <f>IF(AND(N2727="1521",MONTH(C2727)='BK-NL'!$M$11),"x","")</f>
        <v/>
      </c>
    </row>
    <row r="2728" spans="1:30" s="1264" customFormat="1" ht="16.5" customHeight="1">
      <c r="A2728" s="309" t="str">
        <f>IF(B2728&lt;&gt;"",IF(AND(B2728='IN-TC'!$S$4,OR(TH!N2728="1111",TH!O2728="1111")),TH!D2728,""),"")</f>
        <v/>
      </c>
      <c r="B2728" s="1312">
        <f t="shared" si="968"/>
        <v>2</v>
      </c>
      <c r="C2728" s="71">
        <v>42784</v>
      </c>
      <c r="D2728" s="71" t="s">
        <v>902</v>
      </c>
      <c r="E2728" s="71">
        <v>42784</v>
      </c>
      <c r="F2728" s="72" t="s">
        <v>1096</v>
      </c>
      <c r="G2728" s="72" t="s">
        <v>747</v>
      </c>
      <c r="H2728" s="735" t="s">
        <v>835</v>
      </c>
      <c r="I2728" s="371"/>
      <c r="J2728" s="377"/>
      <c r="K2728" s="371">
        <v>0.06</v>
      </c>
      <c r="L2728" s="377">
        <v>22700</v>
      </c>
      <c r="M2728" s="74">
        <f t="shared" si="973"/>
        <v>1362</v>
      </c>
      <c r="N2728" s="1224" t="s">
        <v>99</v>
      </c>
      <c r="O2728" s="934" t="s">
        <v>256</v>
      </c>
      <c r="P2728" s="75" t="str">
        <f>IF(AND('331-CT'!$E$7=TH!H2728,OR(N2728="331",O2728="331")),"x","")</f>
        <v/>
      </c>
      <c r="Q2728" s="75" t="str">
        <f>IF(AND(B2728='111'!$L$11,OR($N2728=$Q$7,$O2728=$Q$7)),"x","")</f>
        <v/>
      </c>
      <c r="R2728" s="75" t="str">
        <f>IF(AND($N2728=$Q$7,$B2728&lt;'111'!$L$11),"x","")</f>
        <v/>
      </c>
      <c r="S2728" s="75" t="str">
        <f>IF(AND($O2728=$Q$7,$B2728&lt;'111'!$L$11),"x","")</f>
        <v/>
      </c>
      <c r="T2728" s="75" t="str">
        <f>IF(ISERROR(FIND('112'!$M$9,G2728,1)),"",IF((AND(FIND('112'!$M$9,G2728,1)&gt;=1,B2728='112'!$K$9,OR($N2728='112'!$I$6,$O2728='112'!$I$6))),"x",""))</f>
        <v/>
      </c>
      <c r="U2728" s="75" t="str">
        <f>IF(ISERROR(FIND('112'!$M$9,G2728,1)),"",IF((AND(LEFT(G2728,2)=LEFT('112'!$M$9,2),B2728&lt;'112'!$K$9,$N2728='112'!$I$6)),"x",""))</f>
        <v/>
      </c>
      <c r="V2728" s="75" t="str">
        <f>IF(ISERROR(FIND('112'!$M$9,G2728,1)),"",IF((AND(RIGHT(G2728,2)=RIGHT('112'!$M$9,2),B2728&lt;'112'!$K$9,$O2728='112'!$I$6)),"x",""))</f>
        <v/>
      </c>
      <c r="W2728" s="75" t="str">
        <f>IF(AND('341-CT'!$H$9=H2728,OR(LEFT(N2728,3)=$W$7,LEFT(O2728,3)=$W$7)),"x","")</f>
        <v/>
      </c>
      <c r="X2728" s="75" t="str">
        <f>IF(OR(TH!N2728=TH!$X$7,O2728=TH!$X$7),"x","")</f>
        <v/>
      </c>
      <c r="Y2728" s="75" t="str">
        <f>IF(AND(OR(N2728="131",O2728="131"),H2728='131-CT'!$H$9),"x","")</f>
        <v/>
      </c>
      <c r="Z2728" s="75"/>
      <c r="AA2728" s="75" t="str">
        <f>IF(AND(MONTH(E2728)='IN-NX'!$J$5,'IN-NX'!$D$7=D2728),"x","")</f>
        <v/>
      </c>
      <c r="AB2728" s="75" t="str">
        <f>IF(AND(OR(LEFT(TH!N2728,2)="15",LEFT(TH!O2728,2)="15"),LEFT(TH!O2728,3)&lt;&gt;"111",'152-CT'!$J$8=TH!F2728),"x","")</f>
        <v/>
      </c>
      <c r="AC2728" s="75" t="str">
        <f>IF(AND(OR(LEFT(TH!N2728,2)="15",LEFT(TH!O2728,2)="15"),TK!$E$7=TH!F2728),"x","")</f>
        <v/>
      </c>
      <c r="AD2728" s="75" t="str">
        <f>IF(AND(N2728="1521",MONTH(C2728)='BK-NL'!$M$11),"x","")</f>
        <v/>
      </c>
    </row>
    <row r="2729" spans="1:30" s="1264" customFormat="1" ht="16.5" customHeight="1">
      <c r="A2729" s="309" t="str">
        <f>IF(B2729&lt;&gt;"",IF(AND(B2729='IN-TC'!$S$4,OR(TH!N2729="1111",TH!O2729="1111")),TH!D2729,""),"")</f>
        <v/>
      </c>
      <c r="B2729" s="1312">
        <f t="shared" si="968"/>
        <v>2</v>
      </c>
      <c r="C2729" s="71">
        <v>42784</v>
      </c>
      <c r="D2729" s="71" t="s">
        <v>902</v>
      </c>
      <c r="E2729" s="71">
        <v>42784</v>
      </c>
      <c r="F2729" s="72" t="s">
        <v>1096</v>
      </c>
      <c r="G2729" s="72" t="s">
        <v>747</v>
      </c>
      <c r="H2729" s="735" t="s">
        <v>835</v>
      </c>
      <c r="I2729" s="371"/>
      <c r="J2729" s="377"/>
      <c r="K2729" s="371">
        <v>0.05</v>
      </c>
      <c r="L2729" s="377">
        <v>22700</v>
      </c>
      <c r="M2729" s="74">
        <f t="shared" si="973"/>
        <v>1135</v>
      </c>
      <c r="N2729" s="1224" t="s">
        <v>99</v>
      </c>
      <c r="O2729" s="934" t="s">
        <v>256</v>
      </c>
      <c r="P2729" s="75" t="str">
        <f>IF(AND('331-CT'!$E$7=TH!H2729,OR(N2729="331",O2729="331")),"x","")</f>
        <v/>
      </c>
      <c r="Q2729" s="75" t="str">
        <f>IF(AND(B2729='111'!$L$11,OR($N2729=$Q$7,$O2729=$Q$7)),"x","")</f>
        <v/>
      </c>
      <c r="R2729" s="75" t="str">
        <f>IF(AND($N2729=$Q$7,$B2729&lt;'111'!$L$11),"x","")</f>
        <v/>
      </c>
      <c r="S2729" s="75" t="str">
        <f>IF(AND($O2729=$Q$7,$B2729&lt;'111'!$L$11),"x","")</f>
        <v/>
      </c>
      <c r="T2729" s="75" t="str">
        <f>IF(ISERROR(FIND('112'!$M$9,G2729,1)),"",IF((AND(FIND('112'!$M$9,G2729,1)&gt;=1,B2729='112'!$K$9,OR($N2729='112'!$I$6,$O2729='112'!$I$6))),"x",""))</f>
        <v/>
      </c>
      <c r="U2729" s="75" t="str">
        <f>IF(ISERROR(FIND('112'!$M$9,G2729,1)),"",IF((AND(LEFT(G2729,2)=LEFT('112'!$M$9,2),B2729&lt;'112'!$K$9,$N2729='112'!$I$6)),"x",""))</f>
        <v/>
      </c>
      <c r="V2729" s="75" t="str">
        <f>IF(ISERROR(FIND('112'!$M$9,G2729,1)),"",IF((AND(RIGHT(G2729,2)=RIGHT('112'!$M$9,2),B2729&lt;'112'!$K$9,$O2729='112'!$I$6)),"x",""))</f>
        <v/>
      </c>
      <c r="W2729" s="75" t="str">
        <f>IF(AND('341-CT'!$H$9=H2729,OR(LEFT(N2729,3)=$W$7,LEFT(O2729,3)=$W$7)),"x","")</f>
        <v/>
      </c>
      <c r="X2729" s="75" t="str">
        <f>IF(OR(TH!N2729=TH!$X$7,O2729=TH!$X$7),"x","")</f>
        <v/>
      </c>
      <c r="Y2729" s="75" t="str">
        <f>IF(AND(OR(N2729="131",O2729="131"),H2729='131-CT'!$H$9),"x","")</f>
        <v/>
      </c>
      <c r="Z2729" s="75"/>
      <c r="AA2729" s="75" t="str">
        <f>IF(AND(MONTH(E2729)='IN-NX'!$J$5,'IN-NX'!$D$7=D2729),"x","")</f>
        <v/>
      </c>
      <c r="AB2729" s="75" t="str">
        <f>IF(AND(OR(LEFT(TH!N2729,2)="15",LEFT(TH!O2729,2)="15"),LEFT(TH!O2729,3)&lt;&gt;"111",'152-CT'!$J$8=TH!F2729),"x","")</f>
        <v/>
      </c>
      <c r="AC2729" s="75" t="str">
        <f>IF(AND(OR(LEFT(TH!N2729,2)="15",LEFT(TH!O2729,2)="15"),TK!$E$7=TH!F2729),"x","")</f>
        <v/>
      </c>
      <c r="AD2729" s="75" t="str">
        <f>IF(AND(N2729="1521",MONTH(C2729)='BK-NL'!$M$11),"x","")</f>
        <v/>
      </c>
    </row>
    <row r="2730" spans="1:30" s="1264" customFormat="1" ht="16.5" customHeight="1">
      <c r="A2730" s="309" t="str">
        <f>IF(B2730&lt;&gt;"",IF(AND(B2730='IN-TC'!$S$4,OR(TH!N2730="1111",TH!O2730="1111")),TH!D2730,""),"")</f>
        <v/>
      </c>
      <c r="B2730" s="1312">
        <f t="shared" si="968"/>
        <v>2</v>
      </c>
      <c r="C2730" s="71">
        <v>42784</v>
      </c>
      <c r="D2730" s="71" t="s">
        <v>902</v>
      </c>
      <c r="E2730" s="71">
        <v>42784</v>
      </c>
      <c r="F2730" s="72" t="s">
        <v>1096</v>
      </c>
      <c r="G2730" s="72" t="s">
        <v>747</v>
      </c>
      <c r="H2730" s="735" t="s">
        <v>835</v>
      </c>
      <c r="I2730" s="371"/>
      <c r="J2730" s="377"/>
      <c r="K2730" s="371">
        <v>0.06</v>
      </c>
      <c r="L2730" s="377">
        <v>22700</v>
      </c>
      <c r="M2730" s="74">
        <f t="shared" si="973"/>
        <v>1362</v>
      </c>
      <c r="N2730" s="1224" t="s">
        <v>99</v>
      </c>
      <c r="O2730" s="934" t="s">
        <v>256</v>
      </c>
      <c r="P2730" s="75" t="str">
        <f>IF(AND('331-CT'!$E$7=TH!H2730,OR(N2730="331",O2730="331")),"x","")</f>
        <v/>
      </c>
      <c r="Q2730" s="75" t="str">
        <f>IF(AND(B2730='111'!$L$11,OR($N2730=$Q$7,$O2730=$Q$7)),"x","")</f>
        <v/>
      </c>
      <c r="R2730" s="75" t="str">
        <f>IF(AND($N2730=$Q$7,$B2730&lt;'111'!$L$11),"x","")</f>
        <v/>
      </c>
      <c r="S2730" s="75" t="str">
        <f>IF(AND($O2730=$Q$7,$B2730&lt;'111'!$L$11),"x","")</f>
        <v/>
      </c>
      <c r="T2730" s="75" t="str">
        <f>IF(ISERROR(FIND('112'!$M$9,G2730,1)),"",IF((AND(FIND('112'!$M$9,G2730,1)&gt;=1,B2730='112'!$K$9,OR($N2730='112'!$I$6,$O2730='112'!$I$6))),"x",""))</f>
        <v/>
      </c>
      <c r="U2730" s="75" t="str">
        <f>IF(ISERROR(FIND('112'!$M$9,G2730,1)),"",IF((AND(LEFT(G2730,2)=LEFT('112'!$M$9,2),B2730&lt;'112'!$K$9,$N2730='112'!$I$6)),"x",""))</f>
        <v/>
      </c>
      <c r="V2730" s="75" t="str">
        <f>IF(ISERROR(FIND('112'!$M$9,G2730,1)),"",IF((AND(RIGHT(G2730,2)=RIGHT('112'!$M$9,2),B2730&lt;'112'!$K$9,$O2730='112'!$I$6)),"x",""))</f>
        <v/>
      </c>
      <c r="W2730" s="75" t="str">
        <f>IF(AND('341-CT'!$H$9=H2730,OR(LEFT(N2730,3)=$W$7,LEFT(O2730,3)=$W$7)),"x","")</f>
        <v/>
      </c>
      <c r="X2730" s="75" t="str">
        <f>IF(OR(TH!N2730=TH!$X$7,O2730=TH!$X$7),"x","")</f>
        <v/>
      </c>
      <c r="Y2730" s="75" t="str">
        <f>IF(AND(OR(N2730="131",O2730="131"),H2730='131-CT'!$H$9),"x","")</f>
        <v/>
      </c>
      <c r="Z2730" s="75"/>
      <c r="AA2730" s="75" t="str">
        <f>IF(AND(MONTH(E2730)='IN-NX'!$J$5,'IN-NX'!$D$7=D2730),"x","")</f>
        <v/>
      </c>
      <c r="AB2730" s="75" t="str">
        <f>IF(AND(OR(LEFT(TH!N2730,2)="15",LEFT(TH!O2730,2)="15"),LEFT(TH!O2730,3)&lt;&gt;"111",'152-CT'!$J$8=TH!F2730),"x","")</f>
        <v/>
      </c>
      <c r="AC2730" s="75" t="str">
        <f>IF(AND(OR(LEFT(TH!N2730,2)="15",LEFT(TH!O2730,2)="15"),TK!$E$7=TH!F2730),"x","")</f>
        <v/>
      </c>
      <c r="AD2730" s="75" t="str">
        <f>IF(AND(N2730="1521",MONTH(C2730)='BK-NL'!$M$11),"x","")</f>
        <v/>
      </c>
    </row>
    <row r="2731" spans="1:30" s="1264" customFormat="1" ht="16.5" customHeight="1">
      <c r="A2731" s="309" t="str">
        <f>IF(B2731&lt;&gt;"",IF(AND(B2731='IN-TC'!$S$4,OR(TH!N2731="1111",TH!O2731="1111")),TH!D2731,""),"")</f>
        <v/>
      </c>
      <c r="B2731" s="1312">
        <f t="shared" si="968"/>
        <v>2</v>
      </c>
      <c r="C2731" s="71">
        <v>42784</v>
      </c>
      <c r="D2731" s="71" t="s">
        <v>902</v>
      </c>
      <c r="E2731" s="71">
        <v>42784</v>
      </c>
      <c r="F2731" s="72" t="s">
        <v>1096</v>
      </c>
      <c r="G2731" s="72" t="s">
        <v>747</v>
      </c>
      <c r="H2731" s="735" t="s">
        <v>835</v>
      </c>
      <c r="I2731" s="371"/>
      <c r="J2731" s="377"/>
      <c r="K2731" s="371">
        <v>0.06</v>
      </c>
      <c r="L2731" s="377">
        <v>22700</v>
      </c>
      <c r="M2731" s="74">
        <f t="shared" si="973"/>
        <v>1362</v>
      </c>
      <c r="N2731" s="1224" t="s">
        <v>99</v>
      </c>
      <c r="O2731" s="934" t="s">
        <v>256</v>
      </c>
      <c r="P2731" s="75" t="str">
        <f>IF(AND('331-CT'!$E$7=TH!H2731,OR(N2731="331",O2731="331")),"x","")</f>
        <v/>
      </c>
      <c r="Q2731" s="75" t="str">
        <f>IF(AND(B2731='111'!$L$11,OR($N2731=$Q$7,$O2731=$Q$7)),"x","")</f>
        <v/>
      </c>
      <c r="R2731" s="75" t="str">
        <f>IF(AND($N2731=$Q$7,$B2731&lt;'111'!$L$11),"x","")</f>
        <v/>
      </c>
      <c r="S2731" s="75" t="str">
        <f>IF(AND($O2731=$Q$7,$B2731&lt;'111'!$L$11),"x","")</f>
        <v/>
      </c>
      <c r="T2731" s="75" t="str">
        <f>IF(ISERROR(FIND('112'!$M$9,G2731,1)),"",IF((AND(FIND('112'!$M$9,G2731,1)&gt;=1,B2731='112'!$K$9,OR($N2731='112'!$I$6,$O2731='112'!$I$6))),"x",""))</f>
        <v/>
      </c>
      <c r="U2731" s="75" t="str">
        <f>IF(ISERROR(FIND('112'!$M$9,G2731,1)),"",IF((AND(LEFT(G2731,2)=LEFT('112'!$M$9,2),B2731&lt;'112'!$K$9,$N2731='112'!$I$6)),"x",""))</f>
        <v/>
      </c>
      <c r="V2731" s="75" t="str">
        <f>IF(ISERROR(FIND('112'!$M$9,G2731,1)),"",IF((AND(RIGHT(G2731,2)=RIGHT('112'!$M$9,2),B2731&lt;'112'!$K$9,$O2731='112'!$I$6)),"x",""))</f>
        <v/>
      </c>
      <c r="W2731" s="75" t="str">
        <f>IF(AND('341-CT'!$H$9=H2731,OR(LEFT(N2731,3)=$W$7,LEFT(O2731,3)=$W$7)),"x","")</f>
        <v/>
      </c>
      <c r="X2731" s="75" t="str">
        <f>IF(OR(TH!N2731=TH!$X$7,O2731=TH!$X$7),"x","")</f>
        <v/>
      </c>
      <c r="Y2731" s="75" t="str">
        <f>IF(AND(OR(N2731="131",O2731="131"),H2731='131-CT'!$H$9),"x","")</f>
        <v/>
      </c>
      <c r="Z2731" s="75"/>
      <c r="AA2731" s="75" t="str">
        <f>IF(AND(MONTH(E2731)='IN-NX'!$J$5,'IN-NX'!$D$7=D2731),"x","")</f>
        <v/>
      </c>
      <c r="AB2731" s="75" t="str">
        <f>IF(AND(OR(LEFT(TH!N2731,2)="15",LEFT(TH!O2731,2)="15"),LEFT(TH!O2731,3)&lt;&gt;"111",'152-CT'!$J$8=TH!F2731),"x","")</f>
        <v/>
      </c>
      <c r="AC2731" s="75" t="str">
        <f>IF(AND(OR(LEFT(TH!N2731,2)="15",LEFT(TH!O2731,2)="15"),TK!$E$7=TH!F2731),"x","")</f>
        <v/>
      </c>
      <c r="AD2731" s="75" t="str">
        <f>IF(AND(N2731="1521",MONTH(C2731)='BK-NL'!$M$11),"x","")</f>
        <v/>
      </c>
    </row>
    <row r="2732" spans="1:30" s="1264" customFormat="1" ht="16.5" customHeight="1">
      <c r="A2732" s="309" t="str">
        <f>IF(B2732&lt;&gt;"",IF(AND(B2732='IN-TC'!$S$4,OR(TH!N2732="1111",TH!O2732="1111")),TH!D2732,""),"")</f>
        <v/>
      </c>
      <c r="B2732" s="1312">
        <f t="shared" si="968"/>
        <v>2</v>
      </c>
      <c r="C2732" s="71">
        <v>42784</v>
      </c>
      <c r="D2732" s="71" t="s">
        <v>902</v>
      </c>
      <c r="E2732" s="71">
        <v>42784</v>
      </c>
      <c r="F2732" s="72" t="s">
        <v>1096</v>
      </c>
      <c r="G2732" s="72" t="s">
        <v>747</v>
      </c>
      <c r="H2732" s="735" t="s">
        <v>835</v>
      </c>
      <c r="I2732" s="371"/>
      <c r="J2732" s="377"/>
      <c r="K2732" s="371">
        <v>0.05</v>
      </c>
      <c r="L2732" s="377">
        <v>22700</v>
      </c>
      <c r="M2732" s="74">
        <f t="shared" si="973"/>
        <v>1135</v>
      </c>
      <c r="N2732" s="1224" t="s">
        <v>99</v>
      </c>
      <c r="O2732" s="934" t="s">
        <v>256</v>
      </c>
      <c r="P2732" s="75" t="str">
        <f>IF(AND('331-CT'!$E$7=TH!H2732,OR(N2732="331",O2732="331")),"x","")</f>
        <v/>
      </c>
      <c r="Q2732" s="75" t="str">
        <f>IF(AND(B2732='111'!$L$11,OR($N2732=$Q$7,$O2732=$Q$7)),"x","")</f>
        <v/>
      </c>
      <c r="R2732" s="75" t="str">
        <f>IF(AND($N2732=$Q$7,$B2732&lt;'111'!$L$11),"x","")</f>
        <v/>
      </c>
      <c r="S2732" s="75" t="str">
        <f>IF(AND($O2732=$Q$7,$B2732&lt;'111'!$L$11),"x","")</f>
        <v/>
      </c>
      <c r="T2732" s="75" t="str">
        <f>IF(ISERROR(FIND('112'!$M$9,G2732,1)),"",IF((AND(FIND('112'!$M$9,G2732,1)&gt;=1,B2732='112'!$K$9,OR($N2732='112'!$I$6,$O2732='112'!$I$6))),"x",""))</f>
        <v/>
      </c>
      <c r="U2732" s="75" t="str">
        <f>IF(ISERROR(FIND('112'!$M$9,G2732,1)),"",IF((AND(LEFT(G2732,2)=LEFT('112'!$M$9,2),B2732&lt;'112'!$K$9,$N2732='112'!$I$6)),"x",""))</f>
        <v/>
      </c>
      <c r="V2732" s="75" t="str">
        <f>IF(ISERROR(FIND('112'!$M$9,G2732,1)),"",IF((AND(RIGHT(G2732,2)=RIGHT('112'!$M$9,2),B2732&lt;'112'!$K$9,$O2732='112'!$I$6)),"x",""))</f>
        <v/>
      </c>
      <c r="W2732" s="75" t="str">
        <f>IF(AND('341-CT'!$H$9=H2732,OR(LEFT(N2732,3)=$W$7,LEFT(O2732,3)=$W$7)),"x","")</f>
        <v/>
      </c>
      <c r="X2732" s="75" t="str">
        <f>IF(OR(TH!N2732=TH!$X$7,O2732=TH!$X$7),"x","")</f>
        <v/>
      </c>
      <c r="Y2732" s="75" t="str">
        <f>IF(AND(OR(N2732="131",O2732="131"),H2732='131-CT'!$H$9),"x","")</f>
        <v/>
      </c>
      <c r="Z2732" s="75"/>
      <c r="AA2732" s="75" t="str">
        <f>IF(AND(MONTH(E2732)='IN-NX'!$J$5,'IN-NX'!$D$7=D2732),"x","")</f>
        <v/>
      </c>
      <c r="AB2732" s="75" t="str">
        <f>IF(AND(OR(LEFT(TH!N2732,2)="15",LEFT(TH!O2732,2)="15"),LEFT(TH!O2732,3)&lt;&gt;"111",'152-CT'!$J$8=TH!F2732),"x","")</f>
        <v/>
      </c>
      <c r="AC2732" s="75" t="str">
        <f>IF(AND(OR(LEFT(TH!N2732,2)="15",LEFT(TH!O2732,2)="15"),TK!$E$7=TH!F2732),"x","")</f>
        <v/>
      </c>
      <c r="AD2732" s="75" t="str">
        <f>IF(AND(N2732="1521",MONTH(C2732)='BK-NL'!$M$11),"x","")</f>
        <v/>
      </c>
    </row>
    <row r="2733" spans="1:30" s="1264" customFormat="1" ht="16.5" customHeight="1">
      <c r="A2733" s="309" t="str">
        <f>IF(B2733&lt;&gt;"",IF(AND(B2733='IN-TC'!$S$4,OR(TH!N2733="1111",TH!O2733="1111")),TH!D2733,""),"")</f>
        <v/>
      </c>
      <c r="B2733" s="1312">
        <f t="shared" si="968"/>
        <v>2</v>
      </c>
      <c r="C2733" s="71">
        <v>42784</v>
      </c>
      <c r="D2733" s="71" t="s">
        <v>902</v>
      </c>
      <c r="E2733" s="71">
        <v>42784</v>
      </c>
      <c r="F2733" s="72" t="s">
        <v>1096</v>
      </c>
      <c r="G2733" s="72" t="s">
        <v>747</v>
      </c>
      <c r="H2733" s="735" t="s">
        <v>835</v>
      </c>
      <c r="I2733" s="371"/>
      <c r="J2733" s="377"/>
      <c r="K2733" s="371">
        <v>0.09</v>
      </c>
      <c r="L2733" s="377">
        <v>22700</v>
      </c>
      <c r="M2733" s="74">
        <f t="shared" si="973"/>
        <v>2043</v>
      </c>
      <c r="N2733" s="1224" t="s">
        <v>99</v>
      </c>
      <c r="O2733" s="934" t="s">
        <v>256</v>
      </c>
      <c r="P2733" s="75" t="str">
        <f>IF(AND('331-CT'!$E$7=TH!H2733,OR(N2733="331",O2733="331")),"x","")</f>
        <v/>
      </c>
      <c r="Q2733" s="75" t="str">
        <f>IF(AND(B2733='111'!$L$11,OR($N2733=$Q$7,$O2733=$Q$7)),"x","")</f>
        <v/>
      </c>
      <c r="R2733" s="75" t="str">
        <f>IF(AND($N2733=$Q$7,$B2733&lt;'111'!$L$11),"x","")</f>
        <v/>
      </c>
      <c r="S2733" s="75" t="str">
        <f>IF(AND($O2733=$Q$7,$B2733&lt;'111'!$L$11),"x","")</f>
        <v/>
      </c>
      <c r="T2733" s="75" t="str">
        <f>IF(ISERROR(FIND('112'!$M$9,G2733,1)),"",IF((AND(FIND('112'!$M$9,G2733,1)&gt;=1,B2733='112'!$K$9,OR($N2733='112'!$I$6,$O2733='112'!$I$6))),"x",""))</f>
        <v/>
      </c>
      <c r="U2733" s="75" t="str">
        <f>IF(ISERROR(FIND('112'!$M$9,G2733,1)),"",IF((AND(LEFT(G2733,2)=LEFT('112'!$M$9,2),B2733&lt;'112'!$K$9,$N2733='112'!$I$6)),"x",""))</f>
        <v/>
      </c>
      <c r="V2733" s="75" t="str">
        <f>IF(ISERROR(FIND('112'!$M$9,G2733,1)),"",IF((AND(RIGHT(G2733,2)=RIGHT('112'!$M$9,2),B2733&lt;'112'!$K$9,$O2733='112'!$I$6)),"x",""))</f>
        <v/>
      </c>
      <c r="W2733" s="75" t="str">
        <f>IF(AND('341-CT'!$H$9=H2733,OR(LEFT(N2733,3)=$W$7,LEFT(O2733,3)=$W$7)),"x","")</f>
        <v/>
      </c>
      <c r="X2733" s="75" t="str">
        <f>IF(OR(TH!N2733=TH!$X$7,O2733=TH!$X$7),"x","")</f>
        <v/>
      </c>
      <c r="Y2733" s="75" t="str">
        <f>IF(AND(OR(N2733="131",O2733="131"),H2733='131-CT'!$H$9),"x","")</f>
        <v/>
      </c>
      <c r="Z2733" s="75"/>
      <c r="AA2733" s="75" t="str">
        <f>IF(AND(MONTH(E2733)='IN-NX'!$J$5,'IN-NX'!$D$7=D2733),"x","")</f>
        <v/>
      </c>
      <c r="AB2733" s="75" t="str">
        <f>IF(AND(OR(LEFT(TH!N2733,2)="15",LEFT(TH!O2733,2)="15"),LEFT(TH!O2733,3)&lt;&gt;"111",'152-CT'!$J$8=TH!F2733),"x","")</f>
        <v/>
      </c>
      <c r="AC2733" s="75" t="str">
        <f>IF(AND(OR(LEFT(TH!N2733,2)="15",LEFT(TH!O2733,2)="15"),TK!$E$7=TH!F2733),"x","")</f>
        <v/>
      </c>
      <c r="AD2733" s="75" t="str">
        <f>IF(AND(N2733="1521",MONTH(C2733)='BK-NL'!$M$11),"x","")</f>
        <v/>
      </c>
    </row>
    <row r="2734" spans="1:30" s="1264" customFormat="1" ht="16.5" customHeight="1">
      <c r="A2734" s="309" t="str">
        <f>IF(B2734&lt;&gt;"",IF(AND(B2734='IN-TC'!$S$4,OR(TH!N2734="1111",TH!O2734="1111")),TH!D2734,""),"")</f>
        <v/>
      </c>
      <c r="B2734" s="1312">
        <f t="shared" si="968"/>
        <v>2</v>
      </c>
      <c r="C2734" s="71">
        <v>42784</v>
      </c>
      <c r="D2734" s="71" t="s">
        <v>902</v>
      </c>
      <c r="E2734" s="71">
        <v>42784</v>
      </c>
      <c r="F2734" s="72" t="s">
        <v>1096</v>
      </c>
      <c r="G2734" s="72" t="s">
        <v>747</v>
      </c>
      <c r="H2734" s="735" t="s">
        <v>835</v>
      </c>
      <c r="I2734" s="371"/>
      <c r="J2734" s="377"/>
      <c r="K2734" s="371">
        <v>0.04</v>
      </c>
      <c r="L2734" s="377">
        <v>22700</v>
      </c>
      <c r="M2734" s="74">
        <f t="shared" si="973"/>
        <v>908</v>
      </c>
      <c r="N2734" s="1224" t="s">
        <v>99</v>
      </c>
      <c r="O2734" s="934" t="s">
        <v>256</v>
      </c>
      <c r="P2734" s="75" t="str">
        <f>IF(AND('331-CT'!$E$7=TH!H2734,OR(N2734="331",O2734="331")),"x","")</f>
        <v/>
      </c>
      <c r="Q2734" s="75" t="str">
        <f>IF(AND(B2734='111'!$L$11,OR($N2734=$Q$7,$O2734=$Q$7)),"x","")</f>
        <v/>
      </c>
      <c r="R2734" s="75" t="str">
        <f>IF(AND($N2734=$Q$7,$B2734&lt;'111'!$L$11),"x","")</f>
        <v/>
      </c>
      <c r="S2734" s="75" t="str">
        <f>IF(AND($O2734=$Q$7,$B2734&lt;'111'!$L$11),"x","")</f>
        <v/>
      </c>
      <c r="T2734" s="75" t="str">
        <f>IF(ISERROR(FIND('112'!$M$9,G2734,1)),"",IF((AND(FIND('112'!$M$9,G2734,1)&gt;=1,B2734='112'!$K$9,OR($N2734='112'!$I$6,$O2734='112'!$I$6))),"x",""))</f>
        <v/>
      </c>
      <c r="U2734" s="75" t="str">
        <f>IF(ISERROR(FIND('112'!$M$9,G2734,1)),"",IF((AND(LEFT(G2734,2)=LEFT('112'!$M$9,2),B2734&lt;'112'!$K$9,$N2734='112'!$I$6)),"x",""))</f>
        <v/>
      </c>
      <c r="V2734" s="75" t="str">
        <f>IF(ISERROR(FIND('112'!$M$9,G2734,1)),"",IF((AND(RIGHT(G2734,2)=RIGHT('112'!$M$9,2),B2734&lt;'112'!$K$9,$O2734='112'!$I$6)),"x",""))</f>
        <v/>
      </c>
      <c r="W2734" s="75" t="str">
        <f>IF(AND('341-CT'!$H$9=H2734,OR(LEFT(N2734,3)=$W$7,LEFT(O2734,3)=$W$7)),"x","")</f>
        <v/>
      </c>
      <c r="X2734" s="75" t="str">
        <f>IF(OR(TH!N2734=TH!$X$7,O2734=TH!$X$7),"x","")</f>
        <v/>
      </c>
      <c r="Y2734" s="75" t="str">
        <f>IF(AND(OR(N2734="131",O2734="131"),H2734='131-CT'!$H$9),"x","")</f>
        <v/>
      </c>
      <c r="Z2734" s="75"/>
      <c r="AA2734" s="75" t="str">
        <f>IF(AND(MONTH(E2734)='IN-NX'!$J$5,'IN-NX'!$D$7=D2734),"x","")</f>
        <v/>
      </c>
      <c r="AB2734" s="75" t="str">
        <f>IF(AND(OR(LEFT(TH!N2734,2)="15",LEFT(TH!O2734,2)="15"),LEFT(TH!O2734,3)&lt;&gt;"111",'152-CT'!$J$8=TH!F2734),"x","")</f>
        <v/>
      </c>
      <c r="AC2734" s="75" t="str">
        <f>IF(AND(OR(LEFT(TH!N2734,2)="15",LEFT(TH!O2734,2)="15"),TK!$E$7=TH!F2734),"x","")</f>
        <v/>
      </c>
      <c r="AD2734" s="75" t="str">
        <f>IF(AND(N2734="1521",MONTH(C2734)='BK-NL'!$M$11),"x","")</f>
        <v/>
      </c>
    </row>
    <row r="2735" spans="1:30" s="1264" customFormat="1" ht="16.5" customHeight="1">
      <c r="A2735" s="309" t="str">
        <f>IF(B2735&lt;&gt;"",IF(AND(B2735='IN-TC'!$S$4,OR(TH!N2735="1111",TH!O2735="1111")),TH!D2735,""),"")</f>
        <v/>
      </c>
      <c r="B2735" s="1312">
        <f t="shared" si="968"/>
        <v>2</v>
      </c>
      <c r="C2735" s="71">
        <v>42784</v>
      </c>
      <c r="D2735" s="71" t="s">
        <v>902</v>
      </c>
      <c r="E2735" s="71">
        <v>42784</v>
      </c>
      <c r="F2735" s="72" t="s">
        <v>1096</v>
      </c>
      <c r="G2735" s="72" t="s">
        <v>747</v>
      </c>
      <c r="H2735" s="735" t="s">
        <v>835</v>
      </c>
      <c r="I2735" s="371"/>
      <c r="J2735" s="377"/>
      <c r="K2735" s="371">
        <v>0.03</v>
      </c>
      <c r="L2735" s="377">
        <v>22700</v>
      </c>
      <c r="M2735" s="74">
        <f t="shared" si="973"/>
        <v>681</v>
      </c>
      <c r="N2735" s="1224" t="s">
        <v>99</v>
      </c>
      <c r="O2735" s="934" t="s">
        <v>256</v>
      </c>
      <c r="P2735" s="75" t="str">
        <f>IF(AND('331-CT'!$E$7=TH!H2735,OR(N2735="331",O2735="331")),"x","")</f>
        <v/>
      </c>
      <c r="Q2735" s="75" t="str">
        <f>IF(AND(B2735='111'!$L$11,OR($N2735=$Q$7,$O2735=$Q$7)),"x","")</f>
        <v/>
      </c>
      <c r="R2735" s="75" t="str">
        <f>IF(AND($N2735=$Q$7,$B2735&lt;'111'!$L$11),"x","")</f>
        <v/>
      </c>
      <c r="S2735" s="75" t="str">
        <f>IF(AND($O2735=$Q$7,$B2735&lt;'111'!$L$11),"x","")</f>
        <v/>
      </c>
      <c r="T2735" s="75" t="str">
        <f>IF(ISERROR(FIND('112'!$M$9,G2735,1)),"",IF((AND(FIND('112'!$M$9,G2735,1)&gt;=1,B2735='112'!$K$9,OR($N2735='112'!$I$6,$O2735='112'!$I$6))),"x",""))</f>
        <v/>
      </c>
      <c r="U2735" s="75" t="str">
        <f>IF(ISERROR(FIND('112'!$M$9,G2735,1)),"",IF((AND(LEFT(G2735,2)=LEFT('112'!$M$9,2),B2735&lt;'112'!$K$9,$N2735='112'!$I$6)),"x",""))</f>
        <v/>
      </c>
      <c r="V2735" s="75" t="str">
        <f>IF(ISERROR(FIND('112'!$M$9,G2735,1)),"",IF((AND(RIGHT(G2735,2)=RIGHT('112'!$M$9,2),B2735&lt;'112'!$K$9,$O2735='112'!$I$6)),"x",""))</f>
        <v/>
      </c>
      <c r="W2735" s="75" t="str">
        <f>IF(AND('341-CT'!$H$9=H2735,OR(LEFT(N2735,3)=$W$7,LEFT(O2735,3)=$W$7)),"x","")</f>
        <v/>
      </c>
      <c r="X2735" s="75" t="str">
        <f>IF(OR(TH!N2735=TH!$X$7,O2735=TH!$X$7),"x","")</f>
        <v/>
      </c>
      <c r="Y2735" s="75" t="str">
        <f>IF(AND(OR(N2735="131",O2735="131"),H2735='131-CT'!$H$9),"x","")</f>
        <v/>
      </c>
      <c r="Z2735" s="75"/>
      <c r="AA2735" s="75" t="str">
        <f>IF(AND(MONTH(E2735)='IN-NX'!$J$5,'IN-NX'!$D$7=D2735),"x","")</f>
        <v/>
      </c>
      <c r="AB2735" s="75" t="str">
        <f>IF(AND(OR(LEFT(TH!N2735,2)="15",LEFT(TH!O2735,2)="15"),LEFT(TH!O2735,3)&lt;&gt;"111",'152-CT'!$J$8=TH!F2735),"x","")</f>
        <v/>
      </c>
      <c r="AC2735" s="75" t="str">
        <f>IF(AND(OR(LEFT(TH!N2735,2)="15",LEFT(TH!O2735,2)="15"),TK!$E$7=TH!F2735),"x","")</f>
        <v/>
      </c>
      <c r="AD2735" s="75" t="str">
        <f>IF(AND(N2735="1521",MONTH(C2735)='BK-NL'!$M$11),"x","")</f>
        <v/>
      </c>
    </row>
    <row r="2736" spans="1:30" s="1264" customFormat="1" ht="16.5" customHeight="1">
      <c r="A2736" s="309" t="str">
        <f>IF(B2736&lt;&gt;"",IF(AND(B2736='IN-TC'!$S$4,OR(TH!N2736="1111",TH!O2736="1111")),TH!D2736,""),"")</f>
        <v/>
      </c>
      <c r="B2736" s="1312">
        <f t="shared" si="968"/>
        <v>2</v>
      </c>
      <c r="C2736" s="71">
        <v>42788</v>
      </c>
      <c r="D2736" s="71" t="s">
        <v>902</v>
      </c>
      <c r="E2736" s="71">
        <v>42788</v>
      </c>
      <c r="F2736" s="72" t="s">
        <v>907</v>
      </c>
      <c r="G2736" s="72" t="s">
        <v>747</v>
      </c>
      <c r="H2736" s="735" t="s">
        <v>835</v>
      </c>
      <c r="I2736" s="371"/>
      <c r="J2736" s="377"/>
      <c r="K2736" s="371">
        <v>356000</v>
      </c>
      <c r="L2736" s="377">
        <v>22830</v>
      </c>
      <c r="M2736" s="74">
        <f t="shared" ref="M2736:M2737" si="974">ROUND(K2736*L2736,0)</f>
        <v>8127480000</v>
      </c>
      <c r="N2736" s="75" t="s">
        <v>26</v>
      </c>
      <c r="O2736" s="934" t="s">
        <v>256</v>
      </c>
      <c r="P2736" s="75" t="str">
        <f>IF(AND('331-CT'!$E$7=TH!H2736,OR(N2736="331",O2736="331")),"x","")</f>
        <v/>
      </c>
      <c r="Q2736" s="75" t="str">
        <f>IF(AND(B2736='111'!$L$11,OR($N2736=$Q$7,$O2736=$Q$7)),"x","")</f>
        <v/>
      </c>
      <c r="R2736" s="75" t="str">
        <f>IF(AND($N2736=$Q$7,$B2736&lt;'111'!$L$11),"x","")</f>
        <v/>
      </c>
      <c r="S2736" s="75" t="str">
        <f>IF(AND($O2736=$Q$7,$B2736&lt;'111'!$L$11),"x","")</f>
        <v/>
      </c>
      <c r="T2736" s="75" t="str">
        <f>IF(ISERROR(FIND('112'!$M$9,G2736,1)),"",IF((AND(FIND('112'!$M$9,G2736,1)&gt;=1,B2736='112'!$K$9,OR($N2736='112'!$I$6,$O2736='112'!$I$6))),"x",""))</f>
        <v/>
      </c>
      <c r="U2736" s="75" t="str">
        <f>IF(ISERROR(FIND('112'!$M$9,G2736,1)),"",IF((AND(LEFT(G2736,2)=LEFT('112'!$M$9,2),B2736&lt;'112'!$K$9,$N2736='112'!$I$6)),"x",""))</f>
        <v/>
      </c>
      <c r="V2736" s="75" t="str">
        <f>IF(ISERROR(FIND('112'!$M$9,G2736,1)),"",IF((AND(RIGHT(G2736,2)=RIGHT('112'!$M$9,2),B2736&lt;'112'!$K$9,$O2736='112'!$I$6)),"x",""))</f>
        <v/>
      </c>
      <c r="W2736" s="75" t="str">
        <f>IF(AND('341-CT'!$H$9=H2736,OR(LEFT(N2736,3)=$W$7,LEFT(O2736,3)=$W$7)),"x","")</f>
        <v/>
      </c>
      <c r="X2736" s="75" t="str">
        <f>IF(OR(TH!N2736=TH!$X$7,O2736=TH!$X$7),"x","")</f>
        <v/>
      </c>
      <c r="Y2736" s="75" t="str">
        <f>IF(AND(OR(N2736="131",O2736="131"),H2736='131-CT'!$H$9),"x","")</f>
        <v/>
      </c>
      <c r="Z2736" s="75"/>
      <c r="AA2736" s="75" t="str">
        <f>IF(AND(MONTH(E2736)='IN-NX'!$J$5,'IN-NX'!$D$7=D2736),"x","")</f>
        <v/>
      </c>
      <c r="AB2736" s="75" t="str">
        <f>IF(AND(OR(LEFT(TH!N2736,2)="15",LEFT(TH!O2736,2)="15"),LEFT(TH!O2736,3)&lt;&gt;"111",'152-CT'!$J$8=TH!F2736),"x","")</f>
        <v/>
      </c>
      <c r="AC2736" s="75" t="str">
        <f>IF(AND(OR(LEFT(TH!N2736,2)="15",LEFT(TH!O2736,2)="15"),TK!$E$7=TH!F2736),"x","")</f>
        <v/>
      </c>
      <c r="AD2736" s="75" t="str">
        <f>IF(AND(N2736="1521",MONTH(C2736)='BK-NL'!$M$11),"x","")</f>
        <v/>
      </c>
    </row>
    <row r="2737" spans="1:30" s="1264" customFormat="1" ht="16.5" customHeight="1">
      <c r="A2737" s="309" t="str">
        <f>IF(B2737&lt;&gt;"",IF(AND(B2737='IN-TC'!$S$4,OR(TH!N2737="1111",TH!O2737="1111")),TH!D2737,""),"")</f>
        <v/>
      </c>
      <c r="B2737" s="1312">
        <f t="shared" si="968"/>
        <v>2</v>
      </c>
      <c r="C2737" s="71">
        <v>42788</v>
      </c>
      <c r="D2737" s="71" t="s">
        <v>903</v>
      </c>
      <c r="E2737" s="71">
        <v>42788</v>
      </c>
      <c r="F2737" s="72" t="s">
        <v>917</v>
      </c>
      <c r="G2737" s="72" t="s">
        <v>747</v>
      </c>
      <c r="H2737" s="735" t="s">
        <v>759</v>
      </c>
      <c r="I2737" s="371"/>
      <c r="J2737" s="377"/>
      <c r="K2737" s="371">
        <v>448090.2</v>
      </c>
      <c r="L2737" s="377">
        <v>22700</v>
      </c>
      <c r="M2737" s="1214">
        <f t="shared" si="974"/>
        <v>10171647540</v>
      </c>
      <c r="N2737" s="1224" t="s">
        <v>256</v>
      </c>
      <c r="O2737" s="75" t="s">
        <v>536</v>
      </c>
      <c r="P2737" s="75" t="str">
        <f>IF(AND('331-CT'!$E$7=TH!H2737,OR(N2737="331",O2737="331")),"x","")</f>
        <v/>
      </c>
      <c r="Q2737" s="75" t="str">
        <f>IF(AND(B2737='111'!$L$11,OR($N2737=$Q$7,$O2737=$Q$7)),"x","")</f>
        <v/>
      </c>
      <c r="R2737" s="75" t="str">
        <f>IF(AND($N2737=$Q$7,$B2737&lt;'111'!$L$11),"x","")</f>
        <v/>
      </c>
      <c r="S2737" s="75" t="str">
        <f>IF(AND($O2737=$Q$7,$B2737&lt;'111'!$L$11),"x","")</f>
        <v/>
      </c>
      <c r="T2737" s="75" t="str">
        <f>IF(ISERROR(FIND('112'!$M$9,G2737,1)),"",IF((AND(FIND('112'!$M$9,G2737,1)&gt;=1,B2737='112'!$K$9,OR($N2737='112'!$I$6,$O2737='112'!$I$6))),"x",""))</f>
        <v/>
      </c>
      <c r="U2737" s="75" t="str">
        <f>IF(ISERROR(FIND('112'!$M$9,G2737,1)),"",IF((AND(LEFT(G2737,2)=LEFT('112'!$M$9,2),B2737&lt;'112'!$K$9,$N2737='112'!$I$6)),"x",""))</f>
        <v/>
      </c>
      <c r="V2737" s="75" t="str">
        <f>IF(ISERROR(FIND('112'!$M$9,G2737,1)),"",IF((AND(RIGHT(G2737,2)=RIGHT('112'!$M$9,2),B2737&lt;'112'!$K$9,$O2737='112'!$I$6)),"x",""))</f>
        <v/>
      </c>
      <c r="W2737" s="75" t="str">
        <f>IF(AND('341-CT'!$H$9=H2737,OR(LEFT(N2737,3)=$W$7,LEFT(O2737,3)=$W$7)),"x","")</f>
        <v/>
      </c>
      <c r="X2737" s="75" t="str">
        <f>IF(OR(TH!N2737=TH!$X$7,O2737=TH!$X$7),"x","")</f>
        <v/>
      </c>
      <c r="Y2737" s="75" t="str">
        <f>IF(AND(OR(N2737="131",O2737="131"),H2737='131-CT'!$H$9),"x","")</f>
        <v/>
      </c>
      <c r="Z2737" s="75"/>
      <c r="AA2737" s="75" t="str">
        <f>IF(AND(MONTH(E2737)='IN-NX'!$J$5,'IN-NX'!$D$7=D2737),"x","")</f>
        <v/>
      </c>
      <c r="AB2737" s="75" t="str">
        <f>IF(AND(OR(LEFT(TH!N2737,2)="15",LEFT(TH!O2737,2)="15"),LEFT(TH!O2737,3)&lt;&gt;"111",'152-CT'!$J$8=TH!F2737),"x","")</f>
        <v/>
      </c>
      <c r="AC2737" s="75" t="str">
        <f>IF(AND(OR(LEFT(TH!N2737,2)="15",LEFT(TH!O2737,2)="15"),TK!$E$7=TH!F2737),"x","")</f>
        <v/>
      </c>
      <c r="AD2737" s="75" t="str">
        <f>IF(AND(N2737="1521",MONTH(C2737)='BK-NL'!$M$11),"x","")</f>
        <v/>
      </c>
    </row>
    <row r="2738" spans="1:30" s="1264" customFormat="1" ht="16.5" customHeight="1">
      <c r="A2738" s="309" t="str">
        <f>IF(B2738&lt;&gt;"",IF(AND(B2738='IN-TC'!$S$4,OR(TH!N2738="1111",TH!O2738="1111")),TH!D2738,""),"")</f>
        <v/>
      </c>
      <c r="B2738" s="1312">
        <f t="shared" si="968"/>
        <v>2</v>
      </c>
      <c r="C2738" s="71">
        <v>42788</v>
      </c>
      <c r="D2738" s="71" t="s">
        <v>530</v>
      </c>
      <c r="E2738" s="71">
        <v>42788</v>
      </c>
      <c r="F2738" s="72" t="s">
        <v>1027</v>
      </c>
      <c r="G2738" s="72" t="s">
        <v>747</v>
      </c>
      <c r="H2738" s="735" t="s">
        <v>759</v>
      </c>
      <c r="I2738" s="371"/>
      <c r="J2738" s="377"/>
      <c r="K2738" s="371">
        <v>12</v>
      </c>
      <c r="L2738" s="377">
        <v>22700</v>
      </c>
      <c r="M2738" s="933">
        <f t="shared" si="972"/>
        <v>272400</v>
      </c>
      <c r="N2738" s="1224" t="s">
        <v>101</v>
      </c>
      <c r="O2738" s="75" t="s">
        <v>536</v>
      </c>
      <c r="P2738" s="75" t="str">
        <f>IF(AND('331-CT'!$E$7=TH!H2738,OR(N2738="331",O2738="331")),"x","")</f>
        <v/>
      </c>
      <c r="Q2738" s="75" t="str">
        <f>IF(AND(B2738='111'!$L$11,OR($N2738=$Q$7,$O2738=$Q$7)),"x","")</f>
        <v/>
      </c>
      <c r="R2738" s="75" t="str">
        <f>IF(AND($N2738=$Q$7,$B2738&lt;'111'!$L$11),"x","")</f>
        <v/>
      </c>
      <c r="S2738" s="75" t="str">
        <f>IF(AND($O2738=$Q$7,$B2738&lt;'111'!$L$11),"x","")</f>
        <v/>
      </c>
      <c r="T2738" s="75" t="str">
        <f>IF(ISERROR(FIND('112'!$M$9,G2738,1)),"",IF((AND(FIND('112'!$M$9,G2738,1)&gt;=1,B2738='112'!$K$9,OR($N2738='112'!$I$6,$O2738='112'!$I$6))),"x",""))</f>
        <v/>
      </c>
      <c r="U2738" s="75" t="str">
        <f>IF(ISERROR(FIND('112'!$M$9,G2738,1)),"",IF((AND(LEFT(G2738,2)=LEFT('112'!$M$9,2),B2738&lt;'112'!$K$9,$N2738='112'!$I$6)),"x",""))</f>
        <v/>
      </c>
      <c r="V2738" s="75" t="str">
        <f>IF(ISERROR(FIND('112'!$M$9,G2738,1)),"",IF((AND(RIGHT(G2738,2)=RIGHT('112'!$M$9,2),B2738&lt;'112'!$K$9,$O2738='112'!$I$6)),"x",""))</f>
        <v/>
      </c>
      <c r="W2738" s="75" t="str">
        <f>IF(AND('341-CT'!$H$9=H2738,OR(LEFT(N2738,3)=$W$7,LEFT(O2738,3)=$W$7)),"x","")</f>
        <v/>
      </c>
      <c r="X2738" s="75" t="str">
        <f>IF(OR(TH!N2738=TH!$X$7,O2738=TH!$X$7),"x","")</f>
        <v/>
      </c>
      <c r="Y2738" s="75" t="str">
        <f>IF(AND(OR(N2738="131",O2738="131"),H2738='131-CT'!$H$9),"x","")</f>
        <v/>
      </c>
      <c r="Z2738" s="75"/>
      <c r="AA2738" s="75" t="str">
        <f>IF(AND(MONTH(E2738)='IN-NX'!$J$5,'IN-NX'!$D$7=D2738),"x","")</f>
        <v/>
      </c>
      <c r="AB2738" s="75" t="str">
        <f>IF(AND(OR(LEFT(TH!N2738,2)="15",LEFT(TH!O2738,2)="15"),LEFT(TH!O2738,3)&lt;&gt;"111",'152-CT'!$J$8=TH!F2738),"x","")</f>
        <v/>
      </c>
      <c r="AC2738" s="75" t="str">
        <f>IF(AND(OR(LEFT(TH!N2738,2)="15",LEFT(TH!O2738,2)="15"),TK!$E$7=TH!F2738),"x","")</f>
        <v/>
      </c>
      <c r="AD2738" s="75" t="str">
        <f>IF(AND(N2738="1521",MONTH(C2738)='BK-NL'!$M$11),"x","")</f>
        <v/>
      </c>
    </row>
    <row r="2739" spans="1:30" s="1264" customFormat="1" ht="16.5" customHeight="1">
      <c r="A2739" s="309" t="str">
        <f>IF(B2739&lt;&gt;"",IF(AND(B2739='IN-TC'!$S$4,OR(TH!N2739="1111",TH!O2739="1111")),TH!D2739,""),"")</f>
        <v/>
      </c>
      <c r="B2739" s="1312">
        <f t="shared" si="968"/>
        <v>2</v>
      </c>
      <c r="C2739" s="71">
        <v>42788</v>
      </c>
      <c r="D2739" s="71" t="s">
        <v>902</v>
      </c>
      <c r="E2739" s="71">
        <v>42788</v>
      </c>
      <c r="F2739" s="72" t="s">
        <v>870</v>
      </c>
      <c r="G2739" s="72" t="s">
        <v>747</v>
      </c>
      <c r="H2739" s="735" t="s">
        <v>835</v>
      </c>
      <c r="I2739" s="371"/>
      <c r="J2739" s="377"/>
      <c r="K2739" s="371">
        <v>100</v>
      </c>
      <c r="L2739" s="377">
        <v>22700</v>
      </c>
      <c r="M2739" s="74">
        <f t="shared" ref="M2739:M2742" si="975">ROUND(K2739*L2739,0)</f>
        <v>2270000</v>
      </c>
      <c r="N2739" s="1224" t="s">
        <v>101</v>
      </c>
      <c r="O2739" s="934" t="s">
        <v>256</v>
      </c>
      <c r="P2739" s="75" t="str">
        <f>IF(AND('331-CT'!$E$7=TH!H2739,OR(N2739="331",O2739="331")),"x","")</f>
        <v/>
      </c>
      <c r="Q2739" s="75" t="str">
        <f>IF(AND(B2739='111'!$L$11,OR($N2739=$Q$7,$O2739=$Q$7)),"x","")</f>
        <v/>
      </c>
      <c r="R2739" s="75" t="str">
        <f>IF(AND($N2739=$Q$7,$B2739&lt;'111'!$L$11),"x","")</f>
        <v/>
      </c>
      <c r="S2739" s="75" t="str">
        <f>IF(AND($O2739=$Q$7,$B2739&lt;'111'!$L$11),"x","")</f>
        <v/>
      </c>
      <c r="T2739" s="75" t="str">
        <f>IF(ISERROR(FIND('112'!$M$9,G2739,1)),"",IF((AND(FIND('112'!$M$9,G2739,1)&gt;=1,B2739='112'!$K$9,OR($N2739='112'!$I$6,$O2739='112'!$I$6))),"x",""))</f>
        <v/>
      </c>
      <c r="U2739" s="75" t="str">
        <f>IF(ISERROR(FIND('112'!$M$9,G2739,1)),"",IF((AND(LEFT(G2739,2)=LEFT('112'!$M$9,2),B2739&lt;'112'!$K$9,$N2739='112'!$I$6)),"x",""))</f>
        <v/>
      </c>
      <c r="V2739" s="75" t="str">
        <f>IF(ISERROR(FIND('112'!$M$9,G2739,1)),"",IF((AND(RIGHT(G2739,2)=RIGHT('112'!$M$9,2),B2739&lt;'112'!$K$9,$O2739='112'!$I$6)),"x",""))</f>
        <v/>
      </c>
      <c r="W2739" s="75" t="str">
        <f>IF(AND('341-CT'!$H$9=H2739,OR(LEFT(N2739,3)=$W$7,LEFT(O2739,3)=$W$7)),"x","")</f>
        <v/>
      </c>
      <c r="X2739" s="75" t="str">
        <f>IF(OR(TH!N2739=TH!$X$7,O2739=TH!$X$7),"x","")</f>
        <v/>
      </c>
      <c r="Y2739" s="75" t="str">
        <f>IF(AND(OR(N2739="131",O2739="131"),H2739='131-CT'!$H$9),"x","")</f>
        <v/>
      </c>
      <c r="Z2739" s="75"/>
      <c r="AA2739" s="75" t="str">
        <f>IF(AND(MONTH(E2739)='IN-NX'!$J$5,'IN-NX'!$D$7=D2739),"x","")</f>
        <v/>
      </c>
      <c r="AB2739" s="75" t="str">
        <f>IF(AND(OR(LEFT(TH!N2739,2)="15",LEFT(TH!O2739,2)="15"),LEFT(TH!O2739,3)&lt;&gt;"111",'152-CT'!$J$8=TH!F2739),"x","")</f>
        <v/>
      </c>
      <c r="AC2739" s="75" t="str">
        <f>IF(AND(OR(LEFT(TH!N2739,2)="15",LEFT(TH!O2739,2)="15"),TK!$E$7=TH!F2739),"x","")</f>
        <v/>
      </c>
      <c r="AD2739" s="75" t="str">
        <f>IF(AND(N2739="1521",MONTH(C2739)='BK-NL'!$M$11),"x","")</f>
        <v/>
      </c>
    </row>
    <row r="2740" spans="1:30" s="1264" customFormat="1" ht="16.5" customHeight="1">
      <c r="A2740" s="309" t="str">
        <f>IF(B2740&lt;&gt;"",IF(AND(B2740='IN-TC'!$S$4,OR(TH!N2740="1111",TH!O2740="1111")),TH!D2740,""),"")</f>
        <v/>
      </c>
      <c r="B2740" s="1312">
        <f t="shared" si="968"/>
        <v>2</v>
      </c>
      <c r="C2740" s="71">
        <v>42788</v>
      </c>
      <c r="D2740" s="71" t="s">
        <v>902</v>
      </c>
      <c r="E2740" s="71">
        <v>42788</v>
      </c>
      <c r="F2740" s="72" t="s">
        <v>898</v>
      </c>
      <c r="G2740" s="72" t="s">
        <v>747</v>
      </c>
      <c r="H2740" s="735" t="s">
        <v>835</v>
      </c>
      <c r="I2740" s="371"/>
      <c r="J2740" s="377"/>
      <c r="K2740" s="371">
        <v>10</v>
      </c>
      <c r="L2740" s="377">
        <v>22700</v>
      </c>
      <c r="M2740" s="74">
        <f t="shared" si="975"/>
        <v>227000</v>
      </c>
      <c r="N2740" s="1224" t="s">
        <v>9</v>
      </c>
      <c r="O2740" s="934" t="s">
        <v>256</v>
      </c>
      <c r="P2740" s="75" t="str">
        <f>IF(AND('331-CT'!$E$7=TH!H2740,OR(N2740="331",O2740="331")),"x","")</f>
        <v/>
      </c>
      <c r="Q2740" s="75" t="str">
        <f>IF(AND(B2740='111'!$L$11,OR($N2740=$Q$7,$O2740=$Q$7)),"x","")</f>
        <v/>
      </c>
      <c r="R2740" s="75" t="str">
        <f>IF(AND($N2740=$Q$7,$B2740&lt;'111'!$L$11),"x","")</f>
        <v/>
      </c>
      <c r="S2740" s="75" t="str">
        <f>IF(AND($O2740=$Q$7,$B2740&lt;'111'!$L$11),"x","")</f>
        <v/>
      </c>
      <c r="T2740" s="75" t="str">
        <f>IF(ISERROR(FIND('112'!$M$9,G2740,1)),"",IF((AND(FIND('112'!$M$9,G2740,1)&gt;=1,B2740='112'!$K$9,OR($N2740='112'!$I$6,$O2740='112'!$I$6))),"x",""))</f>
        <v/>
      </c>
      <c r="U2740" s="75" t="str">
        <f>IF(ISERROR(FIND('112'!$M$9,G2740,1)),"",IF((AND(LEFT(G2740,2)=LEFT('112'!$M$9,2),B2740&lt;'112'!$K$9,$N2740='112'!$I$6)),"x",""))</f>
        <v/>
      </c>
      <c r="V2740" s="75" t="str">
        <f>IF(ISERROR(FIND('112'!$M$9,G2740,1)),"",IF((AND(RIGHT(G2740,2)=RIGHT('112'!$M$9,2),B2740&lt;'112'!$K$9,$O2740='112'!$I$6)),"x",""))</f>
        <v/>
      </c>
      <c r="W2740" s="75" t="str">
        <f>IF(AND('341-CT'!$H$9=H2740,OR(LEFT(N2740,3)=$W$7,LEFT(O2740,3)=$W$7)),"x","")</f>
        <v/>
      </c>
      <c r="X2740" s="75" t="str">
        <f>IF(OR(TH!N2740=TH!$X$7,O2740=TH!$X$7),"x","")</f>
        <v/>
      </c>
      <c r="Y2740" s="75" t="str">
        <f>IF(AND(OR(N2740="131",O2740="131"),H2740='131-CT'!$H$9),"x","")</f>
        <v/>
      </c>
      <c r="Z2740" s="75"/>
      <c r="AA2740" s="75" t="str">
        <f>IF(AND(MONTH(E2740)='IN-NX'!$J$5,'IN-NX'!$D$7=D2740),"x","")</f>
        <v/>
      </c>
      <c r="AB2740" s="75" t="str">
        <f>IF(AND(OR(LEFT(TH!N2740,2)="15",LEFT(TH!O2740,2)="15"),LEFT(TH!O2740,3)&lt;&gt;"111",'152-CT'!$J$8=TH!F2740),"x","")</f>
        <v/>
      </c>
      <c r="AC2740" s="75" t="str">
        <f>IF(AND(OR(LEFT(TH!N2740,2)="15",LEFT(TH!O2740,2)="15"),TK!$E$7=TH!F2740),"x","")</f>
        <v/>
      </c>
      <c r="AD2740" s="75" t="str">
        <f>IF(AND(N2740="1521",MONTH(C2740)='BK-NL'!$M$11),"x","")</f>
        <v/>
      </c>
    </row>
    <row r="2741" spans="1:30" s="1264" customFormat="1" ht="16.5" customHeight="1">
      <c r="A2741" s="309" t="str">
        <f>IF(B2741&lt;&gt;"",IF(AND(B2741='IN-TC'!$S$4,OR(TH!N2741="1111",TH!O2741="1111")),TH!D2741,""),"")</f>
        <v/>
      </c>
      <c r="B2741" s="1312">
        <f t="shared" si="968"/>
        <v>2</v>
      </c>
      <c r="C2741" s="71">
        <v>42788</v>
      </c>
      <c r="D2741" s="71" t="s">
        <v>902</v>
      </c>
      <c r="E2741" s="71">
        <v>42788</v>
      </c>
      <c r="F2741" s="72" t="s">
        <v>1096</v>
      </c>
      <c r="G2741" s="72" t="s">
        <v>747</v>
      </c>
      <c r="H2741" s="735" t="s">
        <v>835</v>
      </c>
      <c r="I2741" s="371"/>
      <c r="J2741" s="377"/>
      <c r="K2741" s="371">
        <v>29.83</v>
      </c>
      <c r="L2741" s="377">
        <v>22700</v>
      </c>
      <c r="M2741" s="74">
        <f t="shared" si="975"/>
        <v>677141</v>
      </c>
      <c r="N2741" s="75" t="s">
        <v>99</v>
      </c>
      <c r="O2741" s="934" t="s">
        <v>256</v>
      </c>
      <c r="P2741" s="75" t="str">
        <f>IF(AND('331-CT'!$E$7=TH!H2741,OR(N2741="331",O2741="331")),"x","")</f>
        <v/>
      </c>
      <c r="Q2741" s="75" t="str">
        <f>IF(AND(B2741='111'!$L$11,OR($N2741=$Q$7,$O2741=$Q$7)),"x","")</f>
        <v/>
      </c>
      <c r="R2741" s="75" t="str">
        <f>IF(AND($N2741=$Q$7,$B2741&lt;'111'!$L$11),"x","")</f>
        <v/>
      </c>
      <c r="S2741" s="75" t="str">
        <f>IF(AND($O2741=$Q$7,$B2741&lt;'111'!$L$11),"x","")</f>
        <v/>
      </c>
      <c r="T2741" s="75" t="str">
        <f>IF(ISERROR(FIND('112'!$M$9,G2741,1)),"",IF((AND(FIND('112'!$M$9,G2741,1)&gt;=1,B2741='112'!$K$9,OR($N2741='112'!$I$6,$O2741='112'!$I$6))),"x",""))</f>
        <v/>
      </c>
      <c r="U2741" s="75" t="str">
        <f>IF(ISERROR(FIND('112'!$M$9,G2741,1)),"",IF((AND(LEFT(G2741,2)=LEFT('112'!$M$9,2),B2741&lt;'112'!$K$9,$N2741='112'!$I$6)),"x",""))</f>
        <v/>
      </c>
      <c r="V2741" s="75" t="str">
        <f>IF(ISERROR(FIND('112'!$M$9,G2741,1)),"",IF((AND(RIGHT(G2741,2)=RIGHT('112'!$M$9,2),B2741&lt;'112'!$K$9,$O2741='112'!$I$6)),"x",""))</f>
        <v/>
      </c>
      <c r="W2741" s="75" t="str">
        <f>IF(AND('341-CT'!$H$9=H2741,OR(LEFT(N2741,3)=$W$7,LEFT(O2741,3)=$W$7)),"x","")</f>
        <v/>
      </c>
      <c r="X2741" s="75" t="str">
        <f>IF(OR(TH!N2741=TH!$X$7,O2741=TH!$X$7),"x","")</f>
        <v/>
      </c>
      <c r="Y2741" s="75" t="str">
        <f>IF(AND(OR(N2741="131",O2741="131"),H2741='131-CT'!$H$9),"x","")</f>
        <v/>
      </c>
      <c r="Z2741" s="75"/>
      <c r="AA2741" s="75" t="str">
        <f>IF(AND(MONTH(E2741)='IN-NX'!$J$5,'IN-NX'!$D$7=D2741),"x","")</f>
        <v/>
      </c>
      <c r="AB2741" s="75" t="str">
        <f>IF(AND(OR(LEFT(TH!N2741,2)="15",LEFT(TH!O2741,2)="15"),LEFT(TH!O2741,3)&lt;&gt;"111",'152-CT'!$J$8=TH!F2741),"x","")</f>
        <v/>
      </c>
      <c r="AC2741" s="75" t="str">
        <f>IF(AND(OR(LEFT(TH!N2741,2)="15",LEFT(TH!O2741,2)="15"),TK!$E$7=TH!F2741),"x","")</f>
        <v/>
      </c>
      <c r="AD2741" s="75" t="str">
        <f>IF(AND(N2741="1521",MONTH(C2741)='BK-NL'!$M$11),"x","")</f>
        <v/>
      </c>
    </row>
    <row r="2742" spans="1:30" s="1264" customFormat="1" ht="16.5" customHeight="1">
      <c r="A2742" s="309" t="str">
        <f>IF(B2742&lt;&gt;"",IF(AND(B2742='IN-TC'!$S$4,OR(TH!N2742="1111",TH!O2742="1111")),TH!D2742,""),"")</f>
        <v/>
      </c>
      <c r="B2742" s="1312">
        <f t="shared" si="968"/>
        <v>2</v>
      </c>
      <c r="C2742" s="71">
        <v>42788</v>
      </c>
      <c r="D2742" s="71" t="s">
        <v>902</v>
      </c>
      <c r="E2742" s="71">
        <v>42788</v>
      </c>
      <c r="F2742" s="72" t="s">
        <v>1321</v>
      </c>
      <c r="G2742" s="72" t="s">
        <v>747</v>
      </c>
      <c r="H2742" s="735" t="s">
        <v>761</v>
      </c>
      <c r="I2742" s="371"/>
      <c r="J2742" s="377"/>
      <c r="K2742" s="371">
        <v>89500</v>
      </c>
      <c r="L2742" s="377">
        <v>22700</v>
      </c>
      <c r="M2742" s="74">
        <f t="shared" si="975"/>
        <v>2031650000</v>
      </c>
      <c r="N2742" s="75" t="s">
        <v>250</v>
      </c>
      <c r="O2742" s="934" t="s">
        <v>256</v>
      </c>
      <c r="P2742" s="75" t="str">
        <f>IF(AND('331-CT'!$E$7=TH!H2742,OR(N2742="331",O2742="331")),"x","")</f>
        <v/>
      </c>
      <c r="Q2742" s="75" t="str">
        <f>IF(AND(B2742='111'!$L$11,OR($N2742=$Q$7,$O2742=$Q$7)),"x","")</f>
        <v/>
      </c>
      <c r="R2742" s="75" t="str">
        <f>IF(AND($N2742=$Q$7,$B2742&lt;'111'!$L$11),"x","")</f>
        <v/>
      </c>
      <c r="S2742" s="75" t="str">
        <f>IF(AND($O2742=$Q$7,$B2742&lt;'111'!$L$11),"x","")</f>
        <v/>
      </c>
      <c r="T2742" s="75" t="str">
        <f>IF(ISERROR(FIND('112'!$M$9,G2742,1)),"",IF((AND(FIND('112'!$M$9,G2742,1)&gt;=1,B2742='112'!$K$9,OR($N2742='112'!$I$6,$O2742='112'!$I$6))),"x",""))</f>
        <v/>
      </c>
      <c r="U2742" s="75" t="str">
        <f>IF(ISERROR(FIND('112'!$M$9,G2742,1)),"",IF((AND(LEFT(G2742,2)=LEFT('112'!$M$9,2),B2742&lt;'112'!$K$9,$N2742='112'!$I$6)),"x",""))</f>
        <v/>
      </c>
      <c r="V2742" s="75" t="str">
        <f>IF(ISERROR(FIND('112'!$M$9,G2742,1)),"",IF((AND(RIGHT(G2742,2)=RIGHT('112'!$M$9,2),B2742&lt;'112'!$K$9,$O2742='112'!$I$6)),"x",""))</f>
        <v/>
      </c>
      <c r="W2742" s="75" t="str">
        <f>IF(AND('341-CT'!$H$9=H2742,OR(LEFT(N2742,3)=$W$7,LEFT(O2742,3)=$W$7)),"x","")</f>
        <v/>
      </c>
      <c r="X2742" s="75" t="str">
        <f>IF(OR(TH!N2742=TH!$X$7,O2742=TH!$X$7),"x","")</f>
        <v/>
      </c>
      <c r="Y2742" s="75" t="str">
        <f>IF(AND(OR(N2742="131",O2742="131"),H2742='131-CT'!$H$9),"x","")</f>
        <v/>
      </c>
      <c r="Z2742" s="75"/>
      <c r="AA2742" s="75" t="str">
        <f>IF(AND(MONTH(E2742)='IN-NX'!$J$5,'IN-NX'!$D$7=D2742),"x","")</f>
        <v/>
      </c>
      <c r="AB2742" s="75" t="str">
        <f>IF(AND(OR(LEFT(TH!N2742,2)="15",LEFT(TH!O2742,2)="15"),LEFT(TH!O2742,3)&lt;&gt;"111",'152-CT'!$J$8=TH!F2742),"x","")</f>
        <v/>
      </c>
      <c r="AC2742" s="75" t="str">
        <f>IF(AND(OR(LEFT(TH!N2742,2)="15",LEFT(TH!O2742,2)="15"),TK!$E$7=TH!F2742),"x","")</f>
        <v/>
      </c>
      <c r="AD2742" s="75" t="str">
        <f>IF(AND(N2742="1521",MONTH(C2742)='BK-NL'!$M$11),"x","")</f>
        <v/>
      </c>
    </row>
    <row r="2743" spans="1:30" s="1264" customFormat="1" ht="16.5" customHeight="1">
      <c r="A2743" s="309" t="str">
        <f>IF(B2743&lt;&gt;"",IF(AND(B2743='IN-TC'!$S$4,OR(TH!N2743="1111",TH!O2743="1111")),TH!D2743,""),"")</f>
        <v/>
      </c>
      <c r="B2743" s="1312">
        <f t="shared" si="968"/>
        <v>2</v>
      </c>
      <c r="C2743" s="71">
        <v>42788</v>
      </c>
      <c r="D2743" s="71" t="s">
        <v>530</v>
      </c>
      <c r="E2743" s="71">
        <v>42788</v>
      </c>
      <c r="F2743" s="72" t="s">
        <v>1010</v>
      </c>
      <c r="G2743" s="72" t="s">
        <v>747</v>
      </c>
      <c r="H2743" s="735" t="s">
        <v>761</v>
      </c>
      <c r="I2743" s="371"/>
      <c r="J2743" s="377"/>
      <c r="K2743" s="371"/>
      <c r="L2743" s="377"/>
      <c r="M2743" s="933">
        <v>35084000</v>
      </c>
      <c r="N2743" s="75" t="s">
        <v>99</v>
      </c>
      <c r="O2743" s="75" t="s">
        <v>250</v>
      </c>
      <c r="P2743" s="75" t="str">
        <f>IF(AND('331-CT'!$E$7=TH!H2743,OR(N2743="331",O2743="331")),"x","")</f>
        <v/>
      </c>
      <c r="Q2743" s="75" t="str">
        <f>IF(AND(B2743='111'!$L$11,OR($N2743=$Q$7,$O2743=$Q$7)),"x","")</f>
        <v/>
      </c>
      <c r="R2743" s="75" t="str">
        <f>IF(AND($N2743=$Q$7,$B2743&lt;'111'!$L$11),"x","")</f>
        <v/>
      </c>
      <c r="S2743" s="75" t="str">
        <f>IF(AND($O2743=$Q$7,$B2743&lt;'111'!$L$11),"x","")</f>
        <v/>
      </c>
      <c r="T2743" s="75" t="str">
        <f>IF(ISERROR(FIND('112'!$M$9,G2743,1)),"",IF((AND(FIND('112'!$M$9,G2743,1)&gt;=1,B2743='112'!$K$9,OR($N2743='112'!$I$6,$O2743='112'!$I$6))),"x",""))</f>
        <v/>
      </c>
      <c r="U2743" s="75" t="str">
        <f>IF(ISERROR(FIND('112'!$M$9,G2743,1)),"",IF((AND(LEFT(G2743,2)=LEFT('112'!$M$9,2),B2743&lt;'112'!$K$9,$N2743='112'!$I$6)),"x",""))</f>
        <v/>
      </c>
      <c r="V2743" s="75" t="str">
        <f>IF(ISERROR(FIND('112'!$M$9,G2743,1)),"",IF((AND(RIGHT(G2743,2)=RIGHT('112'!$M$9,2),B2743&lt;'112'!$K$9,$O2743='112'!$I$6)),"x",""))</f>
        <v/>
      </c>
      <c r="W2743" s="75" t="str">
        <f>IF(AND('341-CT'!$H$9=H2743,OR(LEFT(N2743,3)=$W$7,LEFT(O2743,3)=$W$7)),"x","")</f>
        <v/>
      </c>
      <c r="X2743" s="75" t="str">
        <f>IF(OR(TH!N2743=TH!$X$7,O2743=TH!$X$7),"x","")</f>
        <v/>
      </c>
      <c r="Y2743" s="75" t="str">
        <f>IF(AND(OR(N2743="131",O2743="131"),H2743='131-CT'!$H$9),"x","")</f>
        <v/>
      </c>
      <c r="Z2743" s="75"/>
      <c r="AA2743" s="75" t="str">
        <f>IF(AND(MONTH(E2743)='IN-NX'!$J$5,'IN-NX'!$D$7=D2743),"x","")</f>
        <v/>
      </c>
      <c r="AB2743" s="75" t="str">
        <f>IF(AND(OR(LEFT(TH!N2743,2)="15",LEFT(TH!O2743,2)="15"),LEFT(TH!O2743,3)&lt;&gt;"111",'152-CT'!$J$8=TH!F2743),"x","")</f>
        <v/>
      </c>
      <c r="AC2743" s="75" t="str">
        <f>IF(AND(OR(LEFT(TH!N2743,2)="15",LEFT(TH!O2743,2)="15"),TK!$E$7=TH!F2743),"x","")</f>
        <v/>
      </c>
      <c r="AD2743" s="75" t="str">
        <f>IF(AND(N2743="1521",MONTH(C2743)='BK-NL'!$M$11),"x","")</f>
        <v/>
      </c>
    </row>
    <row r="2744" spans="1:30" s="1264" customFormat="1" ht="16.5" customHeight="1">
      <c r="A2744" s="309" t="str">
        <f>IF(B2744&lt;&gt;"",IF(AND(B2744='IN-TC'!$S$4,OR(TH!N2744="1111",TH!O2744="1111")),TH!D2744,""),"")</f>
        <v/>
      </c>
      <c r="B2744" s="1312">
        <f t="shared" si="968"/>
        <v>2</v>
      </c>
      <c r="C2744" s="71">
        <v>42788</v>
      </c>
      <c r="D2744" s="71" t="s">
        <v>902</v>
      </c>
      <c r="E2744" s="71">
        <v>42788</v>
      </c>
      <c r="F2744" s="72" t="s">
        <v>1096</v>
      </c>
      <c r="G2744" s="72" t="s">
        <v>747</v>
      </c>
      <c r="H2744" s="735" t="s">
        <v>835</v>
      </c>
      <c r="I2744" s="371"/>
      <c r="J2744" s="377"/>
      <c r="K2744" s="371">
        <v>201.37</v>
      </c>
      <c r="L2744" s="377">
        <v>22700</v>
      </c>
      <c r="M2744" s="74">
        <f t="shared" ref="M2744:M2764" si="976">ROUND(K2744*L2744,0)</f>
        <v>4571099</v>
      </c>
      <c r="N2744" s="75" t="s">
        <v>99</v>
      </c>
      <c r="O2744" s="934" t="s">
        <v>256</v>
      </c>
      <c r="P2744" s="75" t="str">
        <f>IF(AND('331-CT'!$E$7=TH!H2744,OR(N2744="331",O2744="331")),"x","")</f>
        <v/>
      </c>
      <c r="Q2744" s="75" t="str">
        <f>IF(AND(B2744='111'!$L$11,OR($N2744=$Q$7,$O2744=$Q$7)),"x","")</f>
        <v/>
      </c>
      <c r="R2744" s="75" t="str">
        <f>IF(AND($N2744=$Q$7,$B2744&lt;'111'!$L$11),"x","")</f>
        <v/>
      </c>
      <c r="S2744" s="75" t="str">
        <f>IF(AND($O2744=$Q$7,$B2744&lt;'111'!$L$11),"x","")</f>
        <v/>
      </c>
      <c r="T2744" s="75" t="str">
        <f>IF(ISERROR(FIND('112'!$M$9,G2744,1)),"",IF((AND(FIND('112'!$M$9,G2744,1)&gt;=1,B2744='112'!$K$9,OR($N2744='112'!$I$6,$O2744='112'!$I$6))),"x",""))</f>
        <v/>
      </c>
      <c r="U2744" s="75" t="str">
        <f>IF(ISERROR(FIND('112'!$M$9,G2744,1)),"",IF((AND(LEFT(G2744,2)=LEFT('112'!$M$9,2),B2744&lt;'112'!$K$9,$N2744='112'!$I$6)),"x",""))</f>
        <v/>
      </c>
      <c r="V2744" s="75" t="str">
        <f>IF(ISERROR(FIND('112'!$M$9,G2744,1)),"",IF((AND(RIGHT(G2744,2)=RIGHT('112'!$M$9,2),B2744&lt;'112'!$K$9,$O2744='112'!$I$6)),"x",""))</f>
        <v/>
      </c>
      <c r="W2744" s="75" t="str">
        <f>IF(AND('341-CT'!$H$9=H2744,OR(LEFT(N2744,3)=$W$7,LEFT(O2744,3)=$W$7)),"x","")</f>
        <v/>
      </c>
      <c r="X2744" s="75" t="str">
        <f>IF(OR(TH!N2744=TH!$X$7,O2744=TH!$X$7),"x","")</f>
        <v/>
      </c>
      <c r="Y2744" s="75" t="str">
        <f>IF(AND(OR(N2744="131",O2744="131"),H2744='131-CT'!$H$9),"x","")</f>
        <v/>
      </c>
      <c r="Z2744" s="75"/>
      <c r="AA2744" s="75" t="str">
        <f>IF(AND(MONTH(E2744)='IN-NX'!$J$5,'IN-NX'!$D$7=D2744),"x","")</f>
        <v/>
      </c>
      <c r="AB2744" s="75" t="str">
        <f>IF(AND(OR(LEFT(TH!N2744,2)="15",LEFT(TH!O2744,2)="15"),LEFT(TH!O2744,3)&lt;&gt;"111",'152-CT'!$J$8=TH!F2744),"x","")</f>
        <v/>
      </c>
      <c r="AC2744" s="75" t="str">
        <f>IF(AND(OR(LEFT(TH!N2744,2)="15",LEFT(TH!O2744,2)="15"),TK!$E$7=TH!F2744),"x","")</f>
        <v/>
      </c>
      <c r="AD2744" s="75" t="str">
        <f>IF(AND(N2744="1521",MONTH(C2744)='BK-NL'!$M$11),"x","")</f>
        <v/>
      </c>
    </row>
    <row r="2745" spans="1:30" s="1264" customFormat="1" ht="16.5" customHeight="1">
      <c r="A2745" s="309" t="str">
        <f>IF(B2745&lt;&gt;"",IF(AND(B2745='IN-TC'!$S$4,OR(TH!N2745="1111",TH!O2745="1111")),TH!D2745,""),"")</f>
        <v/>
      </c>
      <c r="B2745" s="1312">
        <f t="shared" si="968"/>
        <v>2</v>
      </c>
      <c r="C2745" s="71">
        <v>42788</v>
      </c>
      <c r="D2745" s="71" t="s">
        <v>902</v>
      </c>
      <c r="E2745" s="71">
        <v>42788</v>
      </c>
      <c r="F2745" s="72" t="s">
        <v>1096</v>
      </c>
      <c r="G2745" s="72" t="s">
        <v>747</v>
      </c>
      <c r="H2745" s="735" t="s">
        <v>835</v>
      </c>
      <c r="I2745" s="371"/>
      <c r="J2745" s="377"/>
      <c r="K2745" s="371">
        <v>216</v>
      </c>
      <c r="L2745" s="377">
        <v>22700</v>
      </c>
      <c r="M2745" s="74">
        <f t="shared" si="976"/>
        <v>4903200</v>
      </c>
      <c r="N2745" s="75" t="s">
        <v>99</v>
      </c>
      <c r="O2745" s="934" t="s">
        <v>256</v>
      </c>
      <c r="P2745" s="75" t="str">
        <f>IF(AND('331-CT'!$E$7=TH!H2745,OR(N2745="331",O2745="331")),"x","")</f>
        <v/>
      </c>
      <c r="Q2745" s="75" t="str">
        <f>IF(AND(B2745='111'!$L$11,OR($N2745=$Q$7,$O2745=$Q$7)),"x","")</f>
        <v/>
      </c>
      <c r="R2745" s="75" t="str">
        <f>IF(AND($N2745=$Q$7,$B2745&lt;'111'!$L$11),"x","")</f>
        <v/>
      </c>
      <c r="S2745" s="75" t="str">
        <f>IF(AND($O2745=$Q$7,$B2745&lt;'111'!$L$11),"x","")</f>
        <v/>
      </c>
      <c r="T2745" s="75" t="str">
        <f>IF(ISERROR(FIND('112'!$M$9,G2745,1)),"",IF((AND(FIND('112'!$M$9,G2745,1)&gt;=1,B2745='112'!$K$9,OR($N2745='112'!$I$6,$O2745='112'!$I$6))),"x",""))</f>
        <v/>
      </c>
      <c r="U2745" s="75" t="str">
        <f>IF(ISERROR(FIND('112'!$M$9,G2745,1)),"",IF((AND(LEFT(G2745,2)=LEFT('112'!$M$9,2),B2745&lt;'112'!$K$9,$N2745='112'!$I$6)),"x",""))</f>
        <v/>
      </c>
      <c r="V2745" s="75" t="str">
        <f>IF(ISERROR(FIND('112'!$M$9,G2745,1)),"",IF((AND(RIGHT(G2745,2)=RIGHT('112'!$M$9,2),B2745&lt;'112'!$K$9,$O2745='112'!$I$6)),"x",""))</f>
        <v/>
      </c>
      <c r="W2745" s="75" t="str">
        <f>IF(AND('341-CT'!$H$9=H2745,OR(LEFT(N2745,3)=$W$7,LEFT(O2745,3)=$W$7)),"x","")</f>
        <v/>
      </c>
      <c r="X2745" s="75" t="str">
        <f>IF(OR(TH!N2745=TH!$X$7,O2745=TH!$X$7),"x","")</f>
        <v/>
      </c>
      <c r="Y2745" s="75" t="str">
        <f>IF(AND(OR(N2745="131",O2745="131"),H2745='131-CT'!$H$9),"x","")</f>
        <v/>
      </c>
      <c r="Z2745" s="75"/>
      <c r="AA2745" s="75" t="str">
        <f>IF(AND(MONTH(E2745)='IN-NX'!$J$5,'IN-NX'!$D$7=D2745),"x","")</f>
        <v/>
      </c>
      <c r="AB2745" s="75" t="str">
        <f>IF(AND(OR(LEFT(TH!N2745,2)="15",LEFT(TH!O2745,2)="15"),LEFT(TH!O2745,3)&lt;&gt;"111",'152-CT'!$J$8=TH!F2745),"x","")</f>
        <v/>
      </c>
      <c r="AC2745" s="75" t="str">
        <f>IF(AND(OR(LEFT(TH!N2745,2)="15",LEFT(TH!O2745,2)="15"),TK!$E$7=TH!F2745),"x","")</f>
        <v/>
      </c>
      <c r="AD2745" s="75" t="str">
        <f>IF(AND(N2745="1521",MONTH(C2745)='BK-NL'!$M$11),"x","")</f>
        <v/>
      </c>
    </row>
    <row r="2746" spans="1:30" s="1264" customFormat="1" ht="16.5" customHeight="1">
      <c r="A2746" s="309" t="str">
        <f>IF(B2746&lt;&gt;"",IF(AND(B2746='IN-TC'!$S$4,OR(TH!N2746="1111",TH!O2746="1111")),TH!D2746,""),"")</f>
        <v/>
      </c>
      <c r="B2746" s="1312">
        <f t="shared" si="968"/>
        <v>2</v>
      </c>
      <c r="C2746" s="71">
        <v>42788</v>
      </c>
      <c r="D2746" s="71" t="s">
        <v>902</v>
      </c>
      <c r="E2746" s="71">
        <v>42788</v>
      </c>
      <c r="F2746" s="72" t="s">
        <v>1096</v>
      </c>
      <c r="G2746" s="72" t="s">
        <v>747</v>
      </c>
      <c r="H2746" s="735" t="s">
        <v>835</v>
      </c>
      <c r="I2746" s="371"/>
      <c r="J2746" s="377"/>
      <c r="K2746" s="371">
        <v>127.75</v>
      </c>
      <c r="L2746" s="377">
        <v>22700</v>
      </c>
      <c r="M2746" s="74">
        <f t="shared" si="976"/>
        <v>2899925</v>
      </c>
      <c r="N2746" s="75" t="s">
        <v>99</v>
      </c>
      <c r="O2746" s="934" t="s">
        <v>256</v>
      </c>
      <c r="P2746" s="75" t="str">
        <f>IF(AND('331-CT'!$E$7=TH!H2746,OR(N2746="331",O2746="331")),"x","")</f>
        <v/>
      </c>
      <c r="Q2746" s="75" t="str">
        <f>IF(AND(B2746='111'!$L$11,OR($N2746=$Q$7,$O2746=$Q$7)),"x","")</f>
        <v/>
      </c>
      <c r="R2746" s="75" t="str">
        <f>IF(AND($N2746=$Q$7,$B2746&lt;'111'!$L$11),"x","")</f>
        <v/>
      </c>
      <c r="S2746" s="75" t="str">
        <f>IF(AND($O2746=$Q$7,$B2746&lt;'111'!$L$11),"x","")</f>
        <v/>
      </c>
      <c r="T2746" s="75" t="str">
        <f>IF(ISERROR(FIND('112'!$M$9,G2746,1)),"",IF((AND(FIND('112'!$M$9,G2746,1)&gt;=1,B2746='112'!$K$9,OR($N2746='112'!$I$6,$O2746='112'!$I$6))),"x",""))</f>
        <v/>
      </c>
      <c r="U2746" s="75" t="str">
        <f>IF(ISERROR(FIND('112'!$M$9,G2746,1)),"",IF((AND(LEFT(G2746,2)=LEFT('112'!$M$9,2),B2746&lt;'112'!$K$9,$N2746='112'!$I$6)),"x",""))</f>
        <v/>
      </c>
      <c r="V2746" s="75" t="str">
        <f>IF(ISERROR(FIND('112'!$M$9,G2746,1)),"",IF((AND(RIGHT(G2746,2)=RIGHT('112'!$M$9,2),B2746&lt;'112'!$K$9,$O2746='112'!$I$6)),"x",""))</f>
        <v/>
      </c>
      <c r="W2746" s="75" t="str">
        <f>IF(AND('341-CT'!$H$9=H2746,OR(LEFT(N2746,3)=$W$7,LEFT(O2746,3)=$W$7)),"x","")</f>
        <v/>
      </c>
      <c r="X2746" s="75" t="str">
        <f>IF(OR(TH!N2746=TH!$X$7,O2746=TH!$X$7),"x","")</f>
        <v/>
      </c>
      <c r="Y2746" s="75" t="str">
        <f>IF(AND(OR(N2746="131",O2746="131"),H2746='131-CT'!$H$9),"x","")</f>
        <v/>
      </c>
      <c r="Z2746" s="75"/>
      <c r="AA2746" s="75" t="str">
        <f>IF(AND(MONTH(E2746)='IN-NX'!$J$5,'IN-NX'!$D$7=D2746),"x","")</f>
        <v/>
      </c>
      <c r="AB2746" s="75" t="str">
        <f>IF(AND(OR(LEFT(TH!N2746,2)="15",LEFT(TH!O2746,2)="15"),LEFT(TH!O2746,3)&lt;&gt;"111",'152-CT'!$J$8=TH!F2746),"x","")</f>
        <v/>
      </c>
      <c r="AC2746" s="75" t="str">
        <f>IF(AND(OR(LEFT(TH!N2746,2)="15",LEFT(TH!O2746,2)="15"),TK!$E$7=TH!F2746),"x","")</f>
        <v/>
      </c>
      <c r="AD2746" s="75" t="str">
        <f>IF(AND(N2746="1521",MONTH(C2746)='BK-NL'!$M$11),"x","")</f>
        <v/>
      </c>
    </row>
    <row r="2747" spans="1:30" s="1264" customFormat="1" ht="16.5" customHeight="1">
      <c r="A2747" s="309" t="str">
        <f>IF(B2747&lt;&gt;"",IF(AND(B2747='IN-TC'!$S$4,OR(TH!N2747="1111",TH!O2747="1111")),TH!D2747,""),"")</f>
        <v/>
      </c>
      <c r="B2747" s="1312">
        <f t="shared" si="968"/>
        <v>2</v>
      </c>
      <c r="C2747" s="71">
        <v>42788</v>
      </c>
      <c r="D2747" s="71" t="s">
        <v>902</v>
      </c>
      <c r="E2747" s="71">
        <v>42788</v>
      </c>
      <c r="F2747" s="72" t="s">
        <v>1096</v>
      </c>
      <c r="G2747" s="72" t="s">
        <v>747</v>
      </c>
      <c r="H2747" s="735" t="s">
        <v>835</v>
      </c>
      <c r="I2747" s="371"/>
      <c r="J2747" s="377"/>
      <c r="K2747" s="371">
        <v>191.25</v>
      </c>
      <c r="L2747" s="377">
        <v>22700</v>
      </c>
      <c r="M2747" s="74">
        <f t="shared" si="976"/>
        <v>4341375</v>
      </c>
      <c r="N2747" s="75" t="s">
        <v>99</v>
      </c>
      <c r="O2747" s="934" t="s">
        <v>256</v>
      </c>
      <c r="P2747" s="75" t="str">
        <f>IF(AND('331-CT'!$E$7=TH!H2747,OR(N2747="331",O2747="331")),"x","")</f>
        <v/>
      </c>
      <c r="Q2747" s="75" t="str">
        <f>IF(AND(B2747='111'!$L$11,OR($N2747=$Q$7,$O2747=$Q$7)),"x","")</f>
        <v/>
      </c>
      <c r="R2747" s="75" t="str">
        <f>IF(AND($N2747=$Q$7,$B2747&lt;'111'!$L$11),"x","")</f>
        <v/>
      </c>
      <c r="S2747" s="75" t="str">
        <f>IF(AND($O2747=$Q$7,$B2747&lt;'111'!$L$11),"x","")</f>
        <v/>
      </c>
      <c r="T2747" s="75" t="str">
        <f>IF(ISERROR(FIND('112'!$M$9,G2747,1)),"",IF((AND(FIND('112'!$M$9,G2747,1)&gt;=1,B2747='112'!$K$9,OR($N2747='112'!$I$6,$O2747='112'!$I$6))),"x",""))</f>
        <v/>
      </c>
      <c r="U2747" s="75" t="str">
        <f>IF(ISERROR(FIND('112'!$M$9,G2747,1)),"",IF((AND(LEFT(G2747,2)=LEFT('112'!$M$9,2),B2747&lt;'112'!$K$9,$N2747='112'!$I$6)),"x",""))</f>
        <v/>
      </c>
      <c r="V2747" s="75" t="str">
        <f>IF(ISERROR(FIND('112'!$M$9,G2747,1)),"",IF((AND(RIGHT(G2747,2)=RIGHT('112'!$M$9,2),B2747&lt;'112'!$K$9,$O2747='112'!$I$6)),"x",""))</f>
        <v/>
      </c>
      <c r="W2747" s="75" t="str">
        <f>IF(AND('341-CT'!$H$9=H2747,OR(LEFT(N2747,3)=$W$7,LEFT(O2747,3)=$W$7)),"x","")</f>
        <v/>
      </c>
      <c r="X2747" s="75" t="str">
        <f>IF(OR(TH!N2747=TH!$X$7,O2747=TH!$X$7),"x","")</f>
        <v/>
      </c>
      <c r="Y2747" s="75" t="str">
        <f>IF(AND(OR(N2747="131",O2747="131"),H2747='131-CT'!$H$9),"x","")</f>
        <v/>
      </c>
      <c r="Z2747" s="75"/>
      <c r="AA2747" s="75" t="str">
        <f>IF(AND(MONTH(E2747)='IN-NX'!$J$5,'IN-NX'!$D$7=D2747),"x","")</f>
        <v/>
      </c>
      <c r="AB2747" s="75" t="str">
        <f>IF(AND(OR(LEFT(TH!N2747,2)="15",LEFT(TH!O2747,2)="15"),LEFT(TH!O2747,3)&lt;&gt;"111",'152-CT'!$J$8=TH!F2747),"x","")</f>
        <v/>
      </c>
      <c r="AC2747" s="75" t="str">
        <f>IF(AND(OR(LEFT(TH!N2747,2)="15",LEFT(TH!O2747,2)="15"),TK!$E$7=TH!F2747),"x","")</f>
        <v/>
      </c>
      <c r="AD2747" s="75" t="str">
        <f>IF(AND(N2747="1521",MONTH(C2747)='BK-NL'!$M$11),"x","")</f>
        <v/>
      </c>
    </row>
    <row r="2748" spans="1:30" s="1264" customFormat="1" ht="16.5" customHeight="1">
      <c r="A2748" s="309" t="str">
        <f>IF(B2748&lt;&gt;"",IF(AND(B2748='IN-TC'!$S$4,OR(TH!N2748="1111",TH!O2748="1111")),TH!D2748,""),"")</f>
        <v/>
      </c>
      <c r="B2748" s="1312">
        <f t="shared" si="968"/>
        <v>2</v>
      </c>
      <c r="C2748" s="71">
        <v>42788</v>
      </c>
      <c r="D2748" s="71" t="s">
        <v>902</v>
      </c>
      <c r="E2748" s="71">
        <v>42788</v>
      </c>
      <c r="F2748" s="72" t="s">
        <v>1096</v>
      </c>
      <c r="G2748" s="72" t="s">
        <v>747</v>
      </c>
      <c r="H2748" s="735" t="s">
        <v>835</v>
      </c>
      <c r="I2748" s="371"/>
      <c r="J2748" s="377"/>
      <c r="K2748" s="371">
        <v>308.25</v>
      </c>
      <c r="L2748" s="377">
        <v>22700</v>
      </c>
      <c r="M2748" s="74">
        <f t="shared" si="976"/>
        <v>6997275</v>
      </c>
      <c r="N2748" s="75" t="s">
        <v>99</v>
      </c>
      <c r="O2748" s="934" t="s">
        <v>256</v>
      </c>
      <c r="P2748" s="75" t="str">
        <f>IF(AND('331-CT'!$E$7=TH!H2748,OR(N2748="331",O2748="331")),"x","")</f>
        <v/>
      </c>
      <c r="Q2748" s="75" t="str">
        <f>IF(AND(B2748='111'!$L$11,OR($N2748=$Q$7,$O2748=$Q$7)),"x","")</f>
        <v/>
      </c>
      <c r="R2748" s="75" t="str">
        <f>IF(AND($N2748=$Q$7,$B2748&lt;'111'!$L$11),"x","")</f>
        <v/>
      </c>
      <c r="S2748" s="75" t="str">
        <f>IF(AND($O2748=$Q$7,$B2748&lt;'111'!$L$11),"x","")</f>
        <v/>
      </c>
      <c r="T2748" s="75" t="str">
        <f>IF(ISERROR(FIND('112'!$M$9,G2748,1)),"",IF((AND(FIND('112'!$M$9,G2748,1)&gt;=1,B2748='112'!$K$9,OR($N2748='112'!$I$6,$O2748='112'!$I$6))),"x",""))</f>
        <v/>
      </c>
      <c r="U2748" s="75" t="str">
        <f>IF(ISERROR(FIND('112'!$M$9,G2748,1)),"",IF((AND(LEFT(G2748,2)=LEFT('112'!$M$9,2),B2748&lt;'112'!$K$9,$N2748='112'!$I$6)),"x",""))</f>
        <v/>
      </c>
      <c r="V2748" s="75" t="str">
        <f>IF(ISERROR(FIND('112'!$M$9,G2748,1)),"",IF((AND(RIGHT(G2748,2)=RIGHT('112'!$M$9,2),B2748&lt;'112'!$K$9,$O2748='112'!$I$6)),"x",""))</f>
        <v/>
      </c>
      <c r="W2748" s="75" t="str">
        <f>IF(AND('341-CT'!$H$9=H2748,OR(LEFT(N2748,3)=$W$7,LEFT(O2748,3)=$W$7)),"x","")</f>
        <v/>
      </c>
      <c r="X2748" s="75" t="str">
        <f>IF(OR(TH!N2748=TH!$X$7,O2748=TH!$X$7),"x","")</f>
        <v/>
      </c>
      <c r="Y2748" s="75" t="str">
        <f>IF(AND(OR(N2748="131",O2748="131"),H2748='131-CT'!$H$9),"x","")</f>
        <v/>
      </c>
      <c r="Z2748" s="75"/>
      <c r="AA2748" s="75" t="str">
        <f>IF(AND(MONTH(E2748)='IN-NX'!$J$5,'IN-NX'!$D$7=D2748),"x","")</f>
        <v/>
      </c>
      <c r="AB2748" s="75" t="str">
        <f>IF(AND(OR(LEFT(TH!N2748,2)="15",LEFT(TH!O2748,2)="15"),LEFT(TH!O2748,3)&lt;&gt;"111",'152-CT'!$J$8=TH!F2748),"x","")</f>
        <v/>
      </c>
      <c r="AC2748" s="75" t="str">
        <f>IF(AND(OR(LEFT(TH!N2748,2)="15",LEFT(TH!O2748,2)="15"),TK!$E$7=TH!F2748),"x","")</f>
        <v/>
      </c>
      <c r="AD2748" s="75" t="str">
        <f>IF(AND(N2748="1521",MONTH(C2748)='BK-NL'!$M$11),"x","")</f>
        <v/>
      </c>
    </row>
    <row r="2749" spans="1:30" s="1264" customFormat="1" ht="16.5" customHeight="1">
      <c r="A2749" s="309" t="str">
        <f>IF(B2749&lt;&gt;"",IF(AND(B2749='IN-TC'!$S$4,OR(TH!N2749="1111",TH!O2749="1111")),TH!D2749,""),"")</f>
        <v/>
      </c>
      <c r="B2749" s="1312">
        <f t="shared" si="968"/>
        <v>2</v>
      </c>
      <c r="C2749" s="71">
        <v>42788</v>
      </c>
      <c r="D2749" s="71" t="s">
        <v>902</v>
      </c>
      <c r="E2749" s="71">
        <v>42788</v>
      </c>
      <c r="F2749" s="72" t="s">
        <v>1096</v>
      </c>
      <c r="G2749" s="72" t="s">
        <v>747</v>
      </c>
      <c r="H2749" s="735" t="s">
        <v>835</v>
      </c>
      <c r="I2749" s="371"/>
      <c r="J2749" s="377"/>
      <c r="K2749" s="371">
        <v>198</v>
      </c>
      <c r="L2749" s="377">
        <v>22700</v>
      </c>
      <c r="M2749" s="74">
        <f t="shared" si="976"/>
        <v>4494600</v>
      </c>
      <c r="N2749" s="75" t="s">
        <v>99</v>
      </c>
      <c r="O2749" s="934" t="s">
        <v>256</v>
      </c>
      <c r="P2749" s="75" t="str">
        <f>IF(AND('331-CT'!$E$7=TH!H2749,OR(N2749="331",O2749="331")),"x","")</f>
        <v/>
      </c>
      <c r="Q2749" s="75" t="str">
        <f>IF(AND(B2749='111'!$L$11,OR($N2749=$Q$7,$O2749=$Q$7)),"x","")</f>
        <v/>
      </c>
      <c r="R2749" s="75" t="str">
        <f>IF(AND($N2749=$Q$7,$B2749&lt;'111'!$L$11),"x","")</f>
        <v/>
      </c>
      <c r="S2749" s="75" t="str">
        <f>IF(AND($O2749=$Q$7,$B2749&lt;'111'!$L$11),"x","")</f>
        <v/>
      </c>
      <c r="T2749" s="75" t="str">
        <f>IF(ISERROR(FIND('112'!$M$9,G2749,1)),"",IF((AND(FIND('112'!$M$9,G2749,1)&gt;=1,B2749='112'!$K$9,OR($N2749='112'!$I$6,$O2749='112'!$I$6))),"x",""))</f>
        <v/>
      </c>
      <c r="U2749" s="75" t="str">
        <f>IF(ISERROR(FIND('112'!$M$9,G2749,1)),"",IF((AND(LEFT(G2749,2)=LEFT('112'!$M$9,2),B2749&lt;'112'!$K$9,$N2749='112'!$I$6)),"x",""))</f>
        <v/>
      </c>
      <c r="V2749" s="75" t="str">
        <f>IF(ISERROR(FIND('112'!$M$9,G2749,1)),"",IF((AND(RIGHT(G2749,2)=RIGHT('112'!$M$9,2),B2749&lt;'112'!$K$9,$O2749='112'!$I$6)),"x",""))</f>
        <v/>
      </c>
      <c r="W2749" s="75" t="str">
        <f>IF(AND('341-CT'!$H$9=H2749,OR(LEFT(N2749,3)=$W$7,LEFT(O2749,3)=$W$7)),"x","")</f>
        <v/>
      </c>
      <c r="X2749" s="75" t="str">
        <f>IF(OR(TH!N2749=TH!$X$7,O2749=TH!$X$7),"x","")</f>
        <v/>
      </c>
      <c r="Y2749" s="75" t="str">
        <f>IF(AND(OR(N2749="131",O2749="131"),H2749='131-CT'!$H$9),"x","")</f>
        <v/>
      </c>
      <c r="Z2749" s="75"/>
      <c r="AA2749" s="75" t="str">
        <f>IF(AND(MONTH(E2749)='IN-NX'!$J$5,'IN-NX'!$D$7=D2749),"x","")</f>
        <v/>
      </c>
      <c r="AB2749" s="75" t="str">
        <f>IF(AND(OR(LEFT(TH!N2749,2)="15",LEFT(TH!O2749,2)="15"),LEFT(TH!O2749,3)&lt;&gt;"111",'152-CT'!$J$8=TH!F2749),"x","")</f>
        <v/>
      </c>
      <c r="AC2749" s="75" t="str">
        <f>IF(AND(OR(LEFT(TH!N2749,2)="15",LEFT(TH!O2749,2)="15"),TK!$E$7=TH!F2749),"x","")</f>
        <v/>
      </c>
      <c r="AD2749" s="75" t="str">
        <f>IF(AND(N2749="1521",MONTH(C2749)='BK-NL'!$M$11),"x","")</f>
        <v/>
      </c>
    </row>
    <row r="2750" spans="1:30" s="1264" customFormat="1" ht="16.5" customHeight="1">
      <c r="A2750" s="309" t="str">
        <f>IF(B2750&lt;&gt;"",IF(AND(B2750='IN-TC'!$S$4,OR(TH!N2750="1111",TH!O2750="1111")),TH!D2750,""),"")</f>
        <v/>
      </c>
      <c r="B2750" s="1312">
        <f t="shared" si="968"/>
        <v>2</v>
      </c>
      <c r="C2750" s="71">
        <v>42788</v>
      </c>
      <c r="D2750" s="71" t="s">
        <v>902</v>
      </c>
      <c r="E2750" s="71">
        <v>42788</v>
      </c>
      <c r="F2750" s="72" t="s">
        <v>1096</v>
      </c>
      <c r="G2750" s="72" t="s">
        <v>747</v>
      </c>
      <c r="H2750" s="735" t="s">
        <v>835</v>
      </c>
      <c r="I2750" s="371"/>
      <c r="J2750" s="377"/>
      <c r="K2750" s="371">
        <v>200.25</v>
      </c>
      <c r="L2750" s="377">
        <v>22700</v>
      </c>
      <c r="M2750" s="74">
        <f t="shared" si="976"/>
        <v>4545675</v>
      </c>
      <c r="N2750" s="75" t="s">
        <v>99</v>
      </c>
      <c r="O2750" s="934" t="s">
        <v>256</v>
      </c>
      <c r="P2750" s="75" t="str">
        <f>IF(AND('331-CT'!$E$7=TH!H2750,OR(N2750="331",O2750="331")),"x","")</f>
        <v/>
      </c>
      <c r="Q2750" s="75" t="str">
        <f>IF(AND(B2750='111'!$L$11,OR($N2750=$Q$7,$O2750=$Q$7)),"x","")</f>
        <v/>
      </c>
      <c r="R2750" s="75" t="str">
        <f>IF(AND($N2750=$Q$7,$B2750&lt;'111'!$L$11),"x","")</f>
        <v/>
      </c>
      <c r="S2750" s="75" t="str">
        <f>IF(AND($O2750=$Q$7,$B2750&lt;'111'!$L$11),"x","")</f>
        <v/>
      </c>
      <c r="T2750" s="75" t="str">
        <f>IF(ISERROR(FIND('112'!$M$9,G2750,1)),"",IF((AND(FIND('112'!$M$9,G2750,1)&gt;=1,B2750='112'!$K$9,OR($N2750='112'!$I$6,$O2750='112'!$I$6))),"x",""))</f>
        <v/>
      </c>
      <c r="U2750" s="75" t="str">
        <f>IF(ISERROR(FIND('112'!$M$9,G2750,1)),"",IF((AND(LEFT(G2750,2)=LEFT('112'!$M$9,2),B2750&lt;'112'!$K$9,$N2750='112'!$I$6)),"x",""))</f>
        <v/>
      </c>
      <c r="V2750" s="75" t="str">
        <f>IF(ISERROR(FIND('112'!$M$9,G2750,1)),"",IF((AND(RIGHT(G2750,2)=RIGHT('112'!$M$9,2),B2750&lt;'112'!$K$9,$O2750='112'!$I$6)),"x",""))</f>
        <v/>
      </c>
      <c r="W2750" s="75" t="str">
        <f>IF(AND('341-CT'!$H$9=H2750,OR(LEFT(N2750,3)=$W$7,LEFT(O2750,3)=$W$7)),"x","")</f>
        <v/>
      </c>
      <c r="X2750" s="75" t="str">
        <f>IF(OR(TH!N2750=TH!$X$7,O2750=TH!$X$7),"x","")</f>
        <v/>
      </c>
      <c r="Y2750" s="75" t="str">
        <f>IF(AND(OR(N2750="131",O2750="131"),H2750='131-CT'!$H$9),"x","")</f>
        <v/>
      </c>
      <c r="Z2750" s="75"/>
      <c r="AA2750" s="75" t="str">
        <f>IF(AND(MONTH(E2750)='IN-NX'!$J$5,'IN-NX'!$D$7=D2750),"x","")</f>
        <v/>
      </c>
      <c r="AB2750" s="75" t="str">
        <f>IF(AND(OR(LEFT(TH!N2750,2)="15",LEFT(TH!O2750,2)="15"),LEFT(TH!O2750,3)&lt;&gt;"111",'152-CT'!$J$8=TH!F2750),"x","")</f>
        <v/>
      </c>
      <c r="AC2750" s="75" t="str">
        <f>IF(AND(OR(LEFT(TH!N2750,2)="15",LEFT(TH!O2750,2)="15"),TK!$E$7=TH!F2750),"x","")</f>
        <v/>
      </c>
      <c r="AD2750" s="75" t="str">
        <f>IF(AND(N2750="1521",MONTH(C2750)='BK-NL'!$M$11),"x","")</f>
        <v/>
      </c>
    </row>
    <row r="2751" spans="1:30" s="1264" customFormat="1" ht="16.5" customHeight="1">
      <c r="A2751" s="309" t="str">
        <f>IF(B2751&lt;&gt;"",IF(AND(B2751='IN-TC'!$S$4,OR(TH!N2751="1111",TH!O2751="1111")),TH!D2751,""),"")</f>
        <v/>
      </c>
      <c r="B2751" s="1312">
        <f t="shared" si="968"/>
        <v>2</v>
      </c>
      <c r="C2751" s="71">
        <v>42788</v>
      </c>
      <c r="D2751" s="71" t="s">
        <v>902</v>
      </c>
      <c r="E2751" s="71">
        <v>42788</v>
      </c>
      <c r="F2751" s="72" t="s">
        <v>1096</v>
      </c>
      <c r="G2751" s="72" t="s">
        <v>747</v>
      </c>
      <c r="H2751" s="735" t="s">
        <v>835</v>
      </c>
      <c r="I2751" s="371"/>
      <c r="J2751" s="377"/>
      <c r="K2751" s="371">
        <v>52.5</v>
      </c>
      <c r="L2751" s="377">
        <v>22700</v>
      </c>
      <c r="M2751" s="74">
        <f t="shared" si="976"/>
        <v>1191750</v>
      </c>
      <c r="N2751" s="75" t="s">
        <v>99</v>
      </c>
      <c r="O2751" s="934" t="s">
        <v>256</v>
      </c>
      <c r="P2751" s="75" t="str">
        <f>IF(AND('331-CT'!$E$7=TH!H2751,OR(N2751="331",O2751="331")),"x","")</f>
        <v/>
      </c>
      <c r="Q2751" s="75" t="str">
        <f>IF(AND(B2751='111'!$L$11,OR($N2751=$Q$7,$O2751=$Q$7)),"x","")</f>
        <v/>
      </c>
      <c r="R2751" s="75" t="str">
        <f>IF(AND($N2751=$Q$7,$B2751&lt;'111'!$L$11),"x","")</f>
        <v/>
      </c>
      <c r="S2751" s="75" t="str">
        <f>IF(AND($O2751=$Q$7,$B2751&lt;'111'!$L$11),"x","")</f>
        <v/>
      </c>
      <c r="T2751" s="75" t="str">
        <f>IF(ISERROR(FIND('112'!$M$9,G2751,1)),"",IF((AND(FIND('112'!$M$9,G2751,1)&gt;=1,B2751='112'!$K$9,OR($N2751='112'!$I$6,$O2751='112'!$I$6))),"x",""))</f>
        <v/>
      </c>
      <c r="U2751" s="75" t="str">
        <f>IF(ISERROR(FIND('112'!$M$9,G2751,1)),"",IF((AND(LEFT(G2751,2)=LEFT('112'!$M$9,2),B2751&lt;'112'!$K$9,$N2751='112'!$I$6)),"x",""))</f>
        <v/>
      </c>
      <c r="V2751" s="75" t="str">
        <f>IF(ISERROR(FIND('112'!$M$9,G2751,1)),"",IF((AND(RIGHT(G2751,2)=RIGHT('112'!$M$9,2),B2751&lt;'112'!$K$9,$O2751='112'!$I$6)),"x",""))</f>
        <v/>
      </c>
      <c r="W2751" s="75" t="str">
        <f>IF(AND('341-CT'!$H$9=H2751,OR(LEFT(N2751,3)=$W$7,LEFT(O2751,3)=$W$7)),"x","")</f>
        <v/>
      </c>
      <c r="X2751" s="75" t="str">
        <f>IF(OR(TH!N2751=TH!$X$7,O2751=TH!$X$7),"x","")</f>
        <v/>
      </c>
      <c r="Y2751" s="75" t="str">
        <f>IF(AND(OR(N2751="131",O2751="131"),H2751='131-CT'!$H$9),"x","")</f>
        <v/>
      </c>
      <c r="Z2751" s="75"/>
      <c r="AA2751" s="75" t="str">
        <f>IF(AND(MONTH(E2751)='IN-NX'!$J$5,'IN-NX'!$D$7=D2751),"x","")</f>
        <v/>
      </c>
      <c r="AB2751" s="75" t="str">
        <f>IF(AND(OR(LEFT(TH!N2751,2)="15",LEFT(TH!O2751,2)="15"),LEFT(TH!O2751,3)&lt;&gt;"111",'152-CT'!$J$8=TH!F2751),"x","")</f>
        <v/>
      </c>
      <c r="AC2751" s="75" t="str">
        <f>IF(AND(OR(LEFT(TH!N2751,2)="15",LEFT(TH!O2751,2)="15"),TK!$E$7=TH!F2751),"x","")</f>
        <v/>
      </c>
      <c r="AD2751" s="75" t="str">
        <f>IF(AND(N2751="1521",MONTH(C2751)='BK-NL'!$M$11),"x","")</f>
        <v/>
      </c>
    </row>
    <row r="2752" spans="1:30" s="1264" customFormat="1" ht="16.5" customHeight="1">
      <c r="A2752" s="309" t="str">
        <f>IF(B2752&lt;&gt;"",IF(AND(B2752='IN-TC'!$S$4,OR(TH!N2752="1111",TH!O2752="1111")),TH!D2752,""),"")</f>
        <v/>
      </c>
      <c r="B2752" s="1312">
        <f t="shared" si="968"/>
        <v>2</v>
      </c>
      <c r="C2752" s="71">
        <v>42788</v>
      </c>
      <c r="D2752" s="71" t="s">
        <v>902</v>
      </c>
      <c r="E2752" s="71">
        <v>42788</v>
      </c>
      <c r="F2752" s="72" t="s">
        <v>1096</v>
      </c>
      <c r="G2752" s="72" t="s">
        <v>747</v>
      </c>
      <c r="H2752" s="735" t="s">
        <v>835</v>
      </c>
      <c r="I2752" s="371"/>
      <c r="J2752" s="377"/>
      <c r="K2752" s="371">
        <v>216</v>
      </c>
      <c r="L2752" s="377">
        <v>22700</v>
      </c>
      <c r="M2752" s="74">
        <f t="shared" si="976"/>
        <v>4903200</v>
      </c>
      <c r="N2752" s="75" t="s">
        <v>99</v>
      </c>
      <c r="O2752" s="934" t="s">
        <v>256</v>
      </c>
      <c r="P2752" s="75" t="str">
        <f>IF(AND('331-CT'!$E$7=TH!H2752,OR(N2752="331",O2752="331")),"x","")</f>
        <v/>
      </c>
      <c r="Q2752" s="75" t="str">
        <f>IF(AND(B2752='111'!$L$11,OR($N2752=$Q$7,$O2752=$Q$7)),"x","")</f>
        <v/>
      </c>
      <c r="R2752" s="75" t="str">
        <f>IF(AND($N2752=$Q$7,$B2752&lt;'111'!$L$11),"x","")</f>
        <v/>
      </c>
      <c r="S2752" s="75" t="str">
        <f>IF(AND($O2752=$Q$7,$B2752&lt;'111'!$L$11),"x","")</f>
        <v/>
      </c>
      <c r="T2752" s="75" t="str">
        <f>IF(ISERROR(FIND('112'!$M$9,G2752,1)),"",IF((AND(FIND('112'!$M$9,G2752,1)&gt;=1,B2752='112'!$K$9,OR($N2752='112'!$I$6,$O2752='112'!$I$6))),"x",""))</f>
        <v/>
      </c>
      <c r="U2752" s="75" t="str">
        <f>IF(ISERROR(FIND('112'!$M$9,G2752,1)),"",IF((AND(LEFT(G2752,2)=LEFT('112'!$M$9,2),B2752&lt;'112'!$K$9,$N2752='112'!$I$6)),"x",""))</f>
        <v/>
      </c>
      <c r="V2752" s="75" t="str">
        <f>IF(ISERROR(FIND('112'!$M$9,G2752,1)),"",IF((AND(RIGHT(G2752,2)=RIGHT('112'!$M$9,2),B2752&lt;'112'!$K$9,$O2752='112'!$I$6)),"x",""))</f>
        <v/>
      </c>
      <c r="W2752" s="75" t="str">
        <f>IF(AND('341-CT'!$H$9=H2752,OR(LEFT(N2752,3)=$W$7,LEFT(O2752,3)=$W$7)),"x","")</f>
        <v/>
      </c>
      <c r="X2752" s="75" t="str">
        <f>IF(OR(TH!N2752=TH!$X$7,O2752=TH!$X$7),"x","")</f>
        <v/>
      </c>
      <c r="Y2752" s="75" t="str">
        <f>IF(AND(OR(N2752="131",O2752="131"),H2752='131-CT'!$H$9),"x","")</f>
        <v/>
      </c>
      <c r="Z2752" s="75"/>
      <c r="AA2752" s="75" t="str">
        <f>IF(AND(MONTH(E2752)='IN-NX'!$J$5,'IN-NX'!$D$7=D2752),"x","")</f>
        <v/>
      </c>
      <c r="AB2752" s="75" t="str">
        <f>IF(AND(OR(LEFT(TH!N2752,2)="15",LEFT(TH!O2752,2)="15"),LEFT(TH!O2752,3)&lt;&gt;"111",'152-CT'!$J$8=TH!F2752),"x","")</f>
        <v/>
      </c>
      <c r="AC2752" s="75" t="str">
        <f>IF(AND(OR(LEFT(TH!N2752,2)="15",LEFT(TH!O2752,2)="15"),TK!$E$7=TH!F2752),"x","")</f>
        <v/>
      </c>
      <c r="AD2752" s="75" t="str">
        <f>IF(AND(N2752="1521",MONTH(C2752)='BK-NL'!$M$11),"x","")</f>
        <v/>
      </c>
    </row>
    <row r="2753" spans="1:30" s="1264" customFormat="1" ht="16.5" customHeight="1">
      <c r="A2753" s="309" t="str">
        <f>IF(B2753&lt;&gt;"",IF(AND(B2753='IN-TC'!$S$4,OR(TH!N2753="1111",TH!O2753="1111")),TH!D2753,""),"")</f>
        <v/>
      </c>
      <c r="B2753" s="1312">
        <f t="shared" si="968"/>
        <v>2</v>
      </c>
      <c r="C2753" s="71">
        <v>42788</v>
      </c>
      <c r="D2753" s="71" t="s">
        <v>902</v>
      </c>
      <c r="E2753" s="71">
        <v>42788</v>
      </c>
      <c r="F2753" s="72" t="s">
        <v>1096</v>
      </c>
      <c r="G2753" s="72" t="s">
        <v>747</v>
      </c>
      <c r="H2753" s="735" t="s">
        <v>835</v>
      </c>
      <c r="I2753" s="371"/>
      <c r="J2753" s="377"/>
      <c r="K2753" s="371">
        <v>184.5</v>
      </c>
      <c r="L2753" s="377">
        <v>22700</v>
      </c>
      <c r="M2753" s="74">
        <f t="shared" si="976"/>
        <v>4188150</v>
      </c>
      <c r="N2753" s="75" t="s">
        <v>99</v>
      </c>
      <c r="O2753" s="934" t="s">
        <v>256</v>
      </c>
      <c r="P2753" s="75" t="str">
        <f>IF(AND('331-CT'!$E$7=TH!H2753,OR(N2753="331",O2753="331")),"x","")</f>
        <v/>
      </c>
      <c r="Q2753" s="75" t="str">
        <f>IF(AND(B2753='111'!$L$11,OR($N2753=$Q$7,$O2753=$Q$7)),"x","")</f>
        <v/>
      </c>
      <c r="R2753" s="75" t="str">
        <f>IF(AND($N2753=$Q$7,$B2753&lt;'111'!$L$11),"x","")</f>
        <v/>
      </c>
      <c r="S2753" s="75" t="str">
        <f>IF(AND($O2753=$Q$7,$B2753&lt;'111'!$L$11),"x","")</f>
        <v/>
      </c>
      <c r="T2753" s="75" t="str">
        <f>IF(ISERROR(FIND('112'!$M$9,G2753,1)),"",IF((AND(FIND('112'!$M$9,G2753,1)&gt;=1,B2753='112'!$K$9,OR($N2753='112'!$I$6,$O2753='112'!$I$6))),"x",""))</f>
        <v/>
      </c>
      <c r="U2753" s="75" t="str">
        <f>IF(ISERROR(FIND('112'!$M$9,G2753,1)),"",IF((AND(LEFT(G2753,2)=LEFT('112'!$M$9,2),B2753&lt;'112'!$K$9,$N2753='112'!$I$6)),"x",""))</f>
        <v/>
      </c>
      <c r="V2753" s="75" t="str">
        <f>IF(ISERROR(FIND('112'!$M$9,G2753,1)),"",IF((AND(RIGHT(G2753,2)=RIGHT('112'!$M$9,2),B2753&lt;'112'!$K$9,$O2753='112'!$I$6)),"x",""))</f>
        <v/>
      </c>
      <c r="W2753" s="75" t="str">
        <f>IF(AND('341-CT'!$H$9=H2753,OR(LEFT(N2753,3)=$W$7,LEFT(O2753,3)=$W$7)),"x","")</f>
        <v/>
      </c>
      <c r="X2753" s="75" t="str">
        <f>IF(OR(TH!N2753=TH!$X$7,O2753=TH!$X$7),"x","")</f>
        <v/>
      </c>
      <c r="Y2753" s="75" t="str">
        <f>IF(AND(OR(N2753="131",O2753="131"),H2753='131-CT'!$H$9),"x","")</f>
        <v/>
      </c>
      <c r="Z2753" s="75"/>
      <c r="AA2753" s="75" t="str">
        <f>IF(AND(MONTH(E2753)='IN-NX'!$J$5,'IN-NX'!$D$7=D2753),"x","")</f>
        <v/>
      </c>
      <c r="AB2753" s="75" t="str">
        <f>IF(AND(OR(LEFT(TH!N2753,2)="15",LEFT(TH!O2753,2)="15"),LEFT(TH!O2753,3)&lt;&gt;"111",'152-CT'!$J$8=TH!F2753),"x","")</f>
        <v/>
      </c>
      <c r="AC2753" s="75" t="str">
        <f>IF(AND(OR(LEFT(TH!N2753,2)="15",LEFT(TH!O2753,2)="15"),TK!$E$7=TH!F2753),"x","")</f>
        <v/>
      </c>
      <c r="AD2753" s="75" t="str">
        <f>IF(AND(N2753="1521",MONTH(C2753)='BK-NL'!$M$11),"x","")</f>
        <v/>
      </c>
    </row>
    <row r="2754" spans="1:30" s="1264" customFormat="1" ht="16.5" customHeight="1">
      <c r="A2754" s="309" t="str">
        <f>IF(B2754&lt;&gt;"",IF(AND(B2754='IN-TC'!$S$4,OR(TH!N2754="1111",TH!O2754="1111")),TH!D2754,""),"")</f>
        <v/>
      </c>
      <c r="B2754" s="1312">
        <f t="shared" si="968"/>
        <v>2</v>
      </c>
      <c r="C2754" s="71">
        <v>42788</v>
      </c>
      <c r="D2754" s="71" t="s">
        <v>902</v>
      </c>
      <c r="E2754" s="71">
        <v>42788</v>
      </c>
      <c r="F2754" s="72" t="s">
        <v>1096</v>
      </c>
      <c r="G2754" s="72" t="s">
        <v>747</v>
      </c>
      <c r="H2754" s="735" t="s">
        <v>835</v>
      </c>
      <c r="I2754" s="371"/>
      <c r="J2754" s="377"/>
      <c r="K2754" s="371">
        <v>209.25</v>
      </c>
      <c r="L2754" s="377">
        <v>22700</v>
      </c>
      <c r="M2754" s="74">
        <f t="shared" si="976"/>
        <v>4749975</v>
      </c>
      <c r="N2754" s="75" t="s">
        <v>99</v>
      </c>
      <c r="O2754" s="934" t="s">
        <v>256</v>
      </c>
      <c r="P2754" s="75" t="str">
        <f>IF(AND('331-CT'!$E$7=TH!H2754,OR(N2754="331",O2754="331")),"x","")</f>
        <v/>
      </c>
      <c r="Q2754" s="75" t="str">
        <f>IF(AND(B2754='111'!$L$11,OR($N2754=$Q$7,$O2754=$Q$7)),"x","")</f>
        <v/>
      </c>
      <c r="R2754" s="75" t="str">
        <f>IF(AND($N2754=$Q$7,$B2754&lt;'111'!$L$11),"x","")</f>
        <v/>
      </c>
      <c r="S2754" s="75" t="str">
        <f>IF(AND($O2754=$Q$7,$B2754&lt;'111'!$L$11),"x","")</f>
        <v/>
      </c>
      <c r="T2754" s="75" t="str">
        <f>IF(ISERROR(FIND('112'!$M$9,G2754,1)),"",IF((AND(FIND('112'!$M$9,G2754,1)&gt;=1,B2754='112'!$K$9,OR($N2754='112'!$I$6,$O2754='112'!$I$6))),"x",""))</f>
        <v/>
      </c>
      <c r="U2754" s="75" t="str">
        <f>IF(ISERROR(FIND('112'!$M$9,G2754,1)),"",IF((AND(LEFT(G2754,2)=LEFT('112'!$M$9,2),B2754&lt;'112'!$K$9,$N2754='112'!$I$6)),"x",""))</f>
        <v/>
      </c>
      <c r="V2754" s="75" t="str">
        <f>IF(ISERROR(FIND('112'!$M$9,G2754,1)),"",IF((AND(RIGHT(G2754,2)=RIGHT('112'!$M$9,2),B2754&lt;'112'!$K$9,$O2754='112'!$I$6)),"x",""))</f>
        <v/>
      </c>
      <c r="W2754" s="75" t="str">
        <f>IF(AND('341-CT'!$H$9=H2754,OR(LEFT(N2754,3)=$W$7,LEFT(O2754,3)=$W$7)),"x","")</f>
        <v/>
      </c>
      <c r="X2754" s="75" t="str">
        <f>IF(OR(TH!N2754=TH!$X$7,O2754=TH!$X$7),"x","")</f>
        <v/>
      </c>
      <c r="Y2754" s="75" t="str">
        <f>IF(AND(OR(N2754="131",O2754="131"),H2754='131-CT'!$H$9),"x","")</f>
        <v/>
      </c>
      <c r="Z2754" s="75"/>
      <c r="AA2754" s="75" t="str">
        <f>IF(AND(MONTH(E2754)='IN-NX'!$J$5,'IN-NX'!$D$7=D2754),"x","")</f>
        <v/>
      </c>
      <c r="AB2754" s="75" t="str">
        <f>IF(AND(OR(LEFT(TH!N2754,2)="15",LEFT(TH!O2754,2)="15"),LEFT(TH!O2754,3)&lt;&gt;"111",'152-CT'!$J$8=TH!F2754),"x","")</f>
        <v/>
      </c>
      <c r="AC2754" s="75" t="str">
        <f>IF(AND(OR(LEFT(TH!N2754,2)="15",LEFT(TH!O2754,2)="15"),TK!$E$7=TH!F2754),"x","")</f>
        <v/>
      </c>
      <c r="AD2754" s="75" t="str">
        <f>IF(AND(N2754="1521",MONTH(C2754)='BK-NL'!$M$11),"x","")</f>
        <v/>
      </c>
    </row>
    <row r="2755" spans="1:30" s="1264" customFormat="1" ht="16.5" customHeight="1">
      <c r="A2755" s="309" t="str">
        <f>IF(B2755&lt;&gt;"",IF(AND(B2755='IN-TC'!$S$4,OR(TH!N2755="1111",TH!O2755="1111")),TH!D2755,""),"")</f>
        <v/>
      </c>
      <c r="B2755" s="1312">
        <f t="shared" si="968"/>
        <v>2</v>
      </c>
      <c r="C2755" s="71">
        <v>42788</v>
      </c>
      <c r="D2755" s="71" t="s">
        <v>902</v>
      </c>
      <c r="E2755" s="71">
        <v>42788</v>
      </c>
      <c r="F2755" s="72" t="s">
        <v>1096</v>
      </c>
      <c r="G2755" s="72" t="s">
        <v>747</v>
      </c>
      <c r="H2755" s="735" t="s">
        <v>835</v>
      </c>
      <c r="I2755" s="371"/>
      <c r="J2755" s="377"/>
      <c r="K2755" s="371">
        <v>32</v>
      </c>
      <c r="L2755" s="377">
        <v>22700</v>
      </c>
      <c r="M2755" s="74">
        <f t="shared" si="976"/>
        <v>726400</v>
      </c>
      <c r="N2755" s="75" t="s">
        <v>99</v>
      </c>
      <c r="O2755" s="934" t="s">
        <v>256</v>
      </c>
      <c r="P2755" s="75" t="str">
        <f>IF(AND('331-CT'!$E$7=TH!H2755,OR(N2755="331",O2755="331")),"x","")</f>
        <v/>
      </c>
      <c r="Q2755" s="75" t="str">
        <f>IF(AND(B2755='111'!$L$11,OR($N2755=$Q$7,$O2755=$Q$7)),"x","")</f>
        <v/>
      </c>
      <c r="R2755" s="75" t="str">
        <f>IF(AND($N2755=$Q$7,$B2755&lt;'111'!$L$11),"x","")</f>
        <v/>
      </c>
      <c r="S2755" s="75" t="str">
        <f>IF(AND($O2755=$Q$7,$B2755&lt;'111'!$L$11),"x","")</f>
        <v/>
      </c>
      <c r="T2755" s="75" t="str">
        <f>IF(ISERROR(FIND('112'!$M$9,G2755,1)),"",IF((AND(FIND('112'!$M$9,G2755,1)&gt;=1,B2755='112'!$K$9,OR($N2755='112'!$I$6,$O2755='112'!$I$6))),"x",""))</f>
        <v/>
      </c>
      <c r="U2755" s="75" t="str">
        <f>IF(ISERROR(FIND('112'!$M$9,G2755,1)),"",IF((AND(LEFT(G2755,2)=LEFT('112'!$M$9,2),B2755&lt;'112'!$K$9,$N2755='112'!$I$6)),"x",""))</f>
        <v/>
      </c>
      <c r="V2755" s="75" t="str">
        <f>IF(ISERROR(FIND('112'!$M$9,G2755,1)),"",IF((AND(RIGHT(G2755,2)=RIGHT('112'!$M$9,2),B2755&lt;'112'!$K$9,$O2755='112'!$I$6)),"x",""))</f>
        <v/>
      </c>
      <c r="W2755" s="75" t="str">
        <f>IF(AND('341-CT'!$H$9=H2755,OR(LEFT(N2755,3)=$W$7,LEFT(O2755,3)=$W$7)),"x","")</f>
        <v/>
      </c>
      <c r="X2755" s="75" t="str">
        <f>IF(OR(TH!N2755=TH!$X$7,O2755=TH!$X$7),"x","")</f>
        <v/>
      </c>
      <c r="Y2755" s="75" t="str">
        <f>IF(AND(OR(N2755="131",O2755="131"),H2755='131-CT'!$H$9),"x","")</f>
        <v/>
      </c>
      <c r="Z2755" s="75"/>
      <c r="AA2755" s="75" t="str">
        <f>IF(AND(MONTH(E2755)='IN-NX'!$J$5,'IN-NX'!$D$7=D2755),"x","")</f>
        <v/>
      </c>
      <c r="AB2755" s="75" t="str">
        <f>IF(AND(OR(LEFT(TH!N2755,2)="15",LEFT(TH!O2755,2)="15"),LEFT(TH!O2755,3)&lt;&gt;"111",'152-CT'!$J$8=TH!F2755),"x","")</f>
        <v/>
      </c>
      <c r="AC2755" s="75" t="str">
        <f>IF(AND(OR(LEFT(TH!N2755,2)="15",LEFT(TH!O2755,2)="15"),TK!$E$7=TH!F2755),"x","")</f>
        <v/>
      </c>
      <c r="AD2755" s="75" t="str">
        <f>IF(AND(N2755="1521",MONTH(C2755)='BK-NL'!$M$11),"x","")</f>
        <v/>
      </c>
    </row>
    <row r="2756" spans="1:30" s="1264" customFormat="1" ht="16.5" customHeight="1">
      <c r="A2756" s="309" t="str">
        <f>IF(B2756&lt;&gt;"",IF(AND(B2756='IN-TC'!$S$4,OR(TH!N2756="1111",TH!O2756="1111")),TH!D2756,""),"")</f>
        <v/>
      </c>
      <c r="B2756" s="1312">
        <f t="shared" si="968"/>
        <v>2</v>
      </c>
      <c r="C2756" s="71">
        <v>42788</v>
      </c>
      <c r="D2756" s="71" t="s">
        <v>902</v>
      </c>
      <c r="E2756" s="71">
        <v>42788</v>
      </c>
      <c r="F2756" s="72" t="s">
        <v>1096</v>
      </c>
      <c r="G2756" s="72" t="s">
        <v>747</v>
      </c>
      <c r="H2756" s="735" t="s">
        <v>835</v>
      </c>
      <c r="I2756" s="371"/>
      <c r="J2756" s="377"/>
      <c r="K2756" s="371">
        <v>21</v>
      </c>
      <c r="L2756" s="377">
        <v>22700</v>
      </c>
      <c r="M2756" s="74">
        <f t="shared" si="976"/>
        <v>476700</v>
      </c>
      <c r="N2756" s="75" t="s">
        <v>99</v>
      </c>
      <c r="O2756" s="934" t="s">
        <v>256</v>
      </c>
      <c r="P2756" s="75" t="str">
        <f>IF(AND('331-CT'!$E$7=TH!H2756,OR(N2756="331",O2756="331")),"x","")</f>
        <v/>
      </c>
      <c r="Q2756" s="75" t="str">
        <f>IF(AND(B2756='111'!$L$11,OR($N2756=$Q$7,$O2756=$Q$7)),"x","")</f>
        <v/>
      </c>
      <c r="R2756" s="75" t="str">
        <f>IF(AND($N2756=$Q$7,$B2756&lt;'111'!$L$11),"x","")</f>
        <v/>
      </c>
      <c r="S2756" s="75" t="str">
        <f>IF(AND($O2756=$Q$7,$B2756&lt;'111'!$L$11),"x","")</f>
        <v/>
      </c>
      <c r="T2756" s="75" t="str">
        <f>IF(ISERROR(FIND('112'!$M$9,G2756,1)),"",IF((AND(FIND('112'!$M$9,G2756,1)&gt;=1,B2756='112'!$K$9,OR($N2756='112'!$I$6,$O2756='112'!$I$6))),"x",""))</f>
        <v/>
      </c>
      <c r="U2756" s="75" t="str">
        <f>IF(ISERROR(FIND('112'!$M$9,G2756,1)),"",IF((AND(LEFT(G2756,2)=LEFT('112'!$M$9,2),B2756&lt;'112'!$K$9,$N2756='112'!$I$6)),"x",""))</f>
        <v/>
      </c>
      <c r="V2756" s="75" t="str">
        <f>IF(ISERROR(FIND('112'!$M$9,G2756,1)),"",IF((AND(RIGHT(G2756,2)=RIGHT('112'!$M$9,2),B2756&lt;'112'!$K$9,$O2756='112'!$I$6)),"x",""))</f>
        <v/>
      </c>
      <c r="W2756" s="75" t="str">
        <f>IF(AND('341-CT'!$H$9=H2756,OR(LEFT(N2756,3)=$W$7,LEFT(O2756,3)=$W$7)),"x","")</f>
        <v/>
      </c>
      <c r="X2756" s="75" t="str">
        <f>IF(OR(TH!N2756=TH!$X$7,O2756=TH!$X$7),"x","")</f>
        <v/>
      </c>
      <c r="Y2756" s="75" t="str">
        <f>IF(AND(OR(N2756="131",O2756="131"),H2756='131-CT'!$H$9),"x","")</f>
        <v/>
      </c>
      <c r="Z2756" s="75"/>
      <c r="AA2756" s="75" t="str">
        <f>IF(AND(MONTH(E2756)='IN-NX'!$J$5,'IN-NX'!$D$7=D2756),"x","")</f>
        <v/>
      </c>
      <c r="AB2756" s="75" t="str">
        <f>IF(AND(OR(LEFT(TH!N2756,2)="15",LEFT(TH!O2756,2)="15"),LEFT(TH!O2756,3)&lt;&gt;"111",'152-CT'!$J$8=TH!F2756),"x","")</f>
        <v/>
      </c>
      <c r="AC2756" s="75" t="str">
        <f>IF(AND(OR(LEFT(TH!N2756,2)="15",LEFT(TH!O2756,2)="15"),TK!$E$7=TH!F2756),"x","")</f>
        <v/>
      </c>
      <c r="AD2756" s="75" t="str">
        <f>IF(AND(N2756="1521",MONTH(C2756)='BK-NL'!$M$11),"x","")</f>
        <v/>
      </c>
    </row>
    <row r="2757" spans="1:30" s="1264" customFormat="1" ht="16.5" customHeight="1">
      <c r="A2757" s="309" t="str">
        <f>IF(B2757&lt;&gt;"",IF(AND(B2757='IN-TC'!$S$4,OR(TH!N2757="1111",TH!O2757="1111")),TH!D2757,""),"")</f>
        <v/>
      </c>
      <c r="B2757" s="1312">
        <f t="shared" si="968"/>
        <v>2</v>
      </c>
      <c r="C2757" s="71">
        <v>42788</v>
      </c>
      <c r="D2757" s="71" t="s">
        <v>902</v>
      </c>
      <c r="E2757" s="71">
        <v>42788</v>
      </c>
      <c r="F2757" s="72" t="s">
        <v>1096</v>
      </c>
      <c r="G2757" s="72" t="s">
        <v>747</v>
      </c>
      <c r="H2757" s="735" t="s">
        <v>835</v>
      </c>
      <c r="I2757" s="371"/>
      <c r="J2757" s="377"/>
      <c r="K2757" s="371">
        <v>45.67</v>
      </c>
      <c r="L2757" s="377">
        <v>22700</v>
      </c>
      <c r="M2757" s="74">
        <f t="shared" si="976"/>
        <v>1036709</v>
      </c>
      <c r="N2757" s="75" t="s">
        <v>99</v>
      </c>
      <c r="O2757" s="934" t="s">
        <v>256</v>
      </c>
      <c r="P2757" s="75" t="str">
        <f>IF(AND('331-CT'!$E$7=TH!H2757,OR(N2757="331",O2757="331")),"x","")</f>
        <v/>
      </c>
      <c r="Q2757" s="75" t="str">
        <f>IF(AND(B2757='111'!$L$11,OR($N2757=$Q$7,$O2757=$Q$7)),"x","")</f>
        <v/>
      </c>
      <c r="R2757" s="75" t="str">
        <f>IF(AND($N2757=$Q$7,$B2757&lt;'111'!$L$11),"x","")</f>
        <v/>
      </c>
      <c r="S2757" s="75" t="str">
        <f>IF(AND($O2757=$Q$7,$B2757&lt;'111'!$L$11),"x","")</f>
        <v/>
      </c>
      <c r="T2757" s="75" t="str">
        <f>IF(ISERROR(FIND('112'!$M$9,G2757,1)),"",IF((AND(FIND('112'!$M$9,G2757,1)&gt;=1,B2757='112'!$K$9,OR($N2757='112'!$I$6,$O2757='112'!$I$6))),"x",""))</f>
        <v/>
      </c>
      <c r="U2757" s="75" t="str">
        <f>IF(ISERROR(FIND('112'!$M$9,G2757,1)),"",IF((AND(LEFT(G2757,2)=LEFT('112'!$M$9,2),B2757&lt;'112'!$K$9,$N2757='112'!$I$6)),"x",""))</f>
        <v/>
      </c>
      <c r="V2757" s="75" t="str">
        <f>IF(ISERROR(FIND('112'!$M$9,G2757,1)),"",IF((AND(RIGHT(G2757,2)=RIGHT('112'!$M$9,2),B2757&lt;'112'!$K$9,$O2757='112'!$I$6)),"x",""))</f>
        <v/>
      </c>
      <c r="W2757" s="75" t="str">
        <f>IF(AND('341-CT'!$H$9=H2757,OR(LEFT(N2757,3)=$W$7,LEFT(O2757,3)=$W$7)),"x","")</f>
        <v/>
      </c>
      <c r="X2757" s="75" t="str">
        <f>IF(OR(TH!N2757=TH!$X$7,O2757=TH!$X$7),"x","")</f>
        <v/>
      </c>
      <c r="Y2757" s="75" t="str">
        <f>IF(AND(OR(N2757="131",O2757="131"),H2757='131-CT'!$H$9),"x","")</f>
        <v/>
      </c>
      <c r="Z2757" s="75"/>
      <c r="AA2757" s="75" t="str">
        <f>IF(AND(MONTH(E2757)='IN-NX'!$J$5,'IN-NX'!$D$7=D2757),"x","")</f>
        <v/>
      </c>
      <c r="AB2757" s="75" t="str">
        <f>IF(AND(OR(LEFT(TH!N2757,2)="15",LEFT(TH!O2757,2)="15"),LEFT(TH!O2757,3)&lt;&gt;"111",'152-CT'!$J$8=TH!F2757),"x","")</f>
        <v/>
      </c>
      <c r="AC2757" s="75" t="str">
        <f>IF(AND(OR(LEFT(TH!N2757,2)="15",LEFT(TH!O2757,2)="15"),TK!$E$7=TH!F2757),"x","")</f>
        <v/>
      </c>
      <c r="AD2757" s="75" t="str">
        <f>IF(AND(N2757="1521",MONTH(C2757)='BK-NL'!$M$11),"x","")</f>
        <v/>
      </c>
    </row>
    <row r="2758" spans="1:30" s="1264" customFormat="1" ht="16.5" customHeight="1">
      <c r="A2758" s="309" t="str">
        <f>IF(B2758&lt;&gt;"",IF(AND(B2758='IN-TC'!$S$4,OR(TH!N2758="1111",TH!O2758="1111")),TH!D2758,""),"")</f>
        <v/>
      </c>
      <c r="B2758" s="1312">
        <f t="shared" si="968"/>
        <v>2</v>
      </c>
      <c r="C2758" s="71">
        <v>42788</v>
      </c>
      <c r="D2758" s="71" t="s">
        <v>902</v>
      </c>
      <c r="E2758" s="71">
        <v>42788</v>
      </c>
      <c r="F2758" s="72" t="s">
        <v>1096</v>
      </c>
      <c r="G2758" s="72" t="s">
        <v>747</v>
      </c>
      <c r="H2758" s="735" t="s">
        <v>835</v>
      </c>
      <c r="I2758" s="371"/>
      <c r="J2758" s="377"/>
      <c r="K2758" s="371">
        <v>31</v>
      </c>
      <c r="L2758" s="377">
        <v>22700</v>
      </c>
      <c r="M2758" s="74">
        <f t="shared" si="976"/>
        <v>703700</v>
      </c>
      <c r="N2758" s="75" t="s">
        <v>99</v>
      </c>
      <c r="O2758" s="934" t="s">
        <v>256</v>
      </c>
      <c r="P2758" s="75" t="str">
        <f>IF(AND('331-CT'!$E$7=TH!H2758,OR(N2758="331",O2758="331")),"x","")</f>
        <v/>
      </c>
      <c r="Q2758" s="75" t="str">
        <f>IF(AND(B2758='111'!$L$11,OR($N2758=$Q$7,$O2758=$Q$7)),"x","")</f>
        <v/>
      </c>
      <c r="R2758" s="75" t="str">
        <f>IF(AND($N2758=$Q$7,$B2758&lt;'111'!$L$11),"x","")</f>
        <v/>
      </c>
      <c r="S2758" s="75" t="str">
        <f>IF(AND($O2758=$Q$7,$B2758&lt;'111'!$L$11),"x","")</f>
        <v/>
      </c>
      <c r="T2758" s="75" t="str">
        <f>IF(ISERROR(FIND('112'!$M$9,G2758,1)),"",IF((AND(FIND('112'!$M$9,G2758,1)&gt;=1,B2758='112'!$K$9,OR($N2758='112'!$I$6,$O2758='112'!$I$6))),"x",""))</f>
        <v/>
      </c>
      <c r="U2758" s="75" t="str">
        <f>IF(ISERROR(FIND('112'!$M$9,G2758,1)),"",IF((AND(LEFT(G2758,2)=LEFT('112'!$M$9,2),B2758&lt;'112'!$K$9,$N2758='112'!$I$6)),"x",""))</f>
        <v/>
      </c>
      <c r="V2758" s="75" t="str">
        <f>IF(ISERROR(FIND('112'!$M$9,G2758,1)),"",IF((AND(RIGHT(G2758,2)=RIGHT('112'!$M$9,2),B2758&lt;'112'!$K$9,$O2758='112'!$I$6)),"x",""))</f>
        <v/>
      </c>
      <c r="W2758" s="75" t="str">
        <f>IF(AND('341-CT'!$H$9=H2758,OR(LEFT(N2758,3)=$W$7,LEFT(O2758,3)=$W$7)),"x","")</f>
        <v/>
      </c>
      <c r="X2758" s="75" t="str">
        <f>IF(OR(TH!N2758=TH!$X$7,O2758=TH!$X$7),"x","")</f>
        <v/>
      </c>
      <c r="Y2758" s="75" t="str">
        <f>IF(AND(OR(N2758="131",O2758="131"),H2758='131-CT'!$H$9),"x","")</f>
        <v/>
      </c>
      <c r="Z2758" s="75"/>
      <c r="AA2758" s="75" t="str">
        <f>IF(AND(MONTH(E2758)='IN-NX'!$J$5,'IN-NX'!$D$7=D2758),"x","")</f>
        <v/>
      </c>
      <c r="AB2758" s="75" t="str">
        <f>IF(AND(OR(LEFT(TH!N2758,2)="15",LEFT(TH!O2758,2)="15"),LEFT(TH!O2758,3)&lt;&gt;"111",'152-CT'!$J$8=TH!F2758),"x","")</f>
        <v/>
      </c>
      <c r="AC2758" s="75" t="str">
        <f>IF(AND(OR(LEFT(TH!N2758,2)="15",LEFT(TH!O2758,2)="15"),TK!$E$7=TH!F2758),"x","")</f>
        <v/>
      </c>
      <c r="AD2758" s="75" t="str">
        <f>IF(AND(N2758="1521",MONTH(C2758)='BK-NL'!$M$11),"x","")</f>
        <v/>
      </c>
    </row>
    <row r="2759" spans="1:30" s="1264" customFormat="1" ht="16.5" customHeight="1">
      <c r="A2759" s="309" t="str">
        <f>IF(B2759&lt;&gt;"",IF(AND(B2759='IN-TC'!$S$4,OR(TH!N2759="1111",TH!O2759="1111")),TH!D2759,""),"")</f>
        <v/>
      </c>
      <c r="B2759" s="1312">
        <f t="shared" si="968"/>
        <v>2</v>
      </c>
      <c r="C2759" s="71">
        <v>42788</v>
      </c>
      <c r="D2759" s="71" t="s">
        <v>902</v>
      </c>
      <c r="E2759" s="71">
        <v>42788</v>
      </c>
      <c r="F2759" s="72" t="s">
        <v>1096</v>
      </c>
      <c r="G2759" s="72" t="s">
        <v>747</v>
      </c>
      <c r="H2759" s="735" t="s">
        <v>835</v>
      </c>
      <c r="I2759" s="371"/>
      <c r="J2759" s="377"/>
      <c r="K2759" s="371">
        <v>29.67</v>
      </c>
      <c r="L2759" s="377">
        <v>22700</v>
      </c>
      <c r="M2759" s="74">
        <f t="shared" si="976"/>
        <v>673509</v>
      </c>
      <c r="N2759" s="75" t="s">
        <v>99</v>
      </c>
      <c r="O2759" s="934" t="s">
        <v>256</v>
      </c>
      <c r="P2759" s="75" t="str">
        <f>IF(AND('331-CT'!$E$7=TH!H2759,OR(N2759="331",O2759="331")),"x","")</f>
        <v/>
      </c>
      <c r="Q2759" s="75" t="str">
        <f>IF(AND(B2759='111'!$L$11,OR($N2759=$Q$7,$O2759=$Q$7)),"x","")</f>
        <v/>
      </c>
      <c r="R2759" s="75" t="str">
        <f>IF(AND($N2759=$Q$7,$B2759&lt;'111'!$L$11),"x","")</f>
        <v/>
      </c>
      <c r="S2759" s="75" t="str">
        <f>IF(AND($O2759=$Q$7,$B2759&lt;'111'!$L$11),"x","")</f>
        <v/>
      </c>
      <c r="T2759" s="75" t="str">
        <f>IF(ISERROR(FIND('112'!$M$9,G2759,1)),"",IF((AND(FIND('112'!$M$9,G2759,1)&gt;=1,B2759='112'!$K$9,OR($N2759='112'!$I$6,$O2759='112'!$I$6))),"x",""))</f>
        <v/>
      </c>
      <c r="U2759" s="75" t="str">
        <f>IF(ISERROR(FIND('112'!$M$9,G2759,1)),"",IF((AND(LEFT(G2759,2)=LEFT('112'!$M$9,2),B2759&lt;'112'!$K$9,$N2759='112'!$I$6)),"x",""))</f>
        <v/>
      </c>
      <c r="V2759" s="75" t="str">
        <f>IF(ISERROR(FIND('112'!$M$9,G2759,1)),"",IF((AND(RIGHT(G2759,2)=RIGHT('112'!$M$9,2),B2759&lt;'112'!$K$9,$O2759='112'!$I$6)),"x",""))</f>
        <v/>
      </c>
      <c r="W2759" s="75" t="str">
        <f>IF(AND('341-CT'!$H$9=H2759,OR(LEFT(N2759,3)=$W$7,LEFT(O2759,3)=$W$7)),"x","")</f>
        <v/>
      </c>
      <c r="X2759" s="75" t="str">
        <f>IF(OR(TH!N2759=TH!$X$7,O2759=TH!$X$7),"x","")</f>
        <v/>
      </c>
      <c r="Y2759" s="75" t="str">
        <f>IF(AND(OR(N2759="131",O2759="131"),H2759='131-CT'!$H$9),"x","")</f>
        <v/>
      </c>
      <c r="Z2759" s="75"/>
      <c r="AA2759" s="75" t="str">
        <f>IF(AND(MONTH(E2759)='IN-NX'!$J$5,'IN-NX'!$D$7=D2759),"x","")</f>
        <v/>
      </c>
      <c r="AB2759" s="75" t="str">
        <f>IF(AND(OR(LEFT(TH!N2759,2)="15",LEFT(TH!O2759,2)="15"),LEFT(TH!O2759,3)&lt;&gt;"111",'152-CT'!$J$8=TH!F2759),"x","")</f>
        <v/>
      </c>
      <c r="AC2759" s="75" t="str">
        <f>IF(AND(OR(LEFT(TH!N2759,2)="15",LEFT(TH!O2759,2)="15"),TK!$E$7=TH!F2759),"x","")</f>
        <v/>
      </c>
      <c r="AD2759" s="75" t="str">
        <f>IF(AND(N2759="1521",MONTH(C2759)='BK-NL'!$M$11),"x","")</f>
        <v/>
      </c>
    </row>
    <row r="2760" spans="1:30" s="1264" customFormat="1" ht="16.5" customHeight="1">
      <c r="A2760" s="309" t="str">
        <f>IF(B2760&lt;&gt;"",IF(AND(B2760='IN-TC'!$S$4,OR(TH!N2760="1111",TH!O2760="1111")),TH!D2760,""),"")</f>
        <v/>
      </c>
      <c r="B2760" s="1312">
        <f t="shared" si="968"/>
        <v>2</v>
      </c>
      <c r="C2760" s="71">
        <v>42788</v>
      </c>
      <c r="D2760" s="71" t="s">
        <v>902</v>
      </c>
      <c r="E2760" s="71">
        <v>42788</v>
      </c>
      <c r="F2760" s="72" t="s">
        <v>1096</v>
      </c>
      <c r="G2760" s="72" t="s">
        <v>747</v>
      </c>
      <c r="H2760" s="735" t="s">
        <v>835</v>
      </c>
      <c r="I2760" s="371"/>
      <c r="J2760" s="377"/>
      <c r="K2760" s="371">
        <v>32</v>
      </c>
      <c r="L2760" s="377">
        <v>22700</v>
      </c>
      <c r="M2760" s="74">
        <f t="shared" si="976"/>
        <v>726400</v>
      </c>
      <c r="N2760" s="75" t="s">
        <v>99</v>
      </c>
      <c r="O2760" s="934" t="s">
        <v>256</v>
      </c>
      <c r="P2760" s="75" t="str">
        <f>IF(AND('331-CT'!$E$7=TH!H2760,OR(N2760="331",O2760="331")),"x","")</f>
        <v/>
      </c>
      <c r="Q2760" s="75" t="str">
        <f>IF(AND(B2760='111'!$L$11,OR($N2760=$Q$7,$O2760=$Q$7)),"x","")</f>
        <v/>
      </c>
      <c r="R2760" s="75" t="str">
        <f>IF(AND($N2760=$Q$7,$B2760&lt;'111'!$L$11),"x","")</f>
        <v/>
      </c>
      <c r="S2760" s="75" t="str">
        <f>IF(AND($O2760=$Q$7,$B2760&lt;'111'!$L$11),"x","")</f>
        <v/>
      </c>
      <c r="T2760" s="75" t="str">
        <f>IF(ISERROR(FIND('112'!$M$9,G2760,1)),"",IF((AND(FIND('112'!$M$9,G2760,1)&gt;=1,B2760='112'!$K$9,OR($N2760='112'!$I$6,$O2760='112'!$I$6))),"x",""))</f>
        <v/>
      </c>
      <c r="U2760" s="75" t="str">
        <f>IF(ISERROR(FIND('112'!$M$9,G2760,1)),"",IF((AND(LEFT(G2760,2)=LEFT('112'!$M$9,2),B2760&lt;'112'!$K$9,$N2760='112'!$I$6)),"x",""))</f>
        <v/>
      </c>
      <c r="V2760" s="75" t="str">
        <f>IF(ISERROR(FIND('112'!$M$9,G2760,1)),"",IF((AND(RIGHT(G2760,2)=RIGHT('112'!$M$9,2),B2760&lt;'112'!$K$9,$O2760='112'!$I$6)),"x",""))</f>
        <v/>
      </c>
      <c r="W2760" s="75" t="str">
        <f>IF(AND('341-CT'!$H$9=H2760,OR(LEFT(N2760,3)=$W$7,LEFT(O2760,3)=$W$7)),"x","")</f>
        <v/>
      </c>
      <c r="X2760" s="75" t="str">
        <f>IF(OR(TH!N2760=TH!$X$7,O2760=TH!$X$7),"x","")</f>
        <v/>
      </c>
      <c r="Y2760" s="75" t="str">
        <f>IF(AND(OR(N2760="131",O2760="131"),H2760='131-CT'!$H$9),"x","")</f>
        <v/>
      </c>
      <c r="Z2760" s="75"/>
      <c r="AA2760" s="75" t="str">
        <f>IF(AND(MONTH(E2760)='IN-NX'!$J$5,'IN-NX'!$D$7=D2760),"x","")</f>
        <v/>
      </c>
      <c r="AB2760" s="75" t="str">
        <f>IF(AND(OR(LEFT(TH!N2760,2)="15",LEFT(TH!O2760,2)="15"),LEFT(TH!O2760,3)&lt;&gt;"111",'152-CT'!$J$8=TH!F2760),"x","")</f>
        <v/>
      </c>
      <c r="AC2760" s="75" t="str">
        <f>IF(AND(OR(LEFT(TH!N2760,2)="15",LEFT(TH!O2760,2)="15"),TK!$E$7=TH!F2760),"x","")</f>
        <v/>
      </c>
      <c r="AD2760" s="75" t="str">
        <f>IF(AND(N2760="1521",MONTH(C2760)='BK-NL'!$M$11),"x","")</f>
        <v/>
      </c>
    </row>
    <row r="2761" spans="1:30" s="1264" customFormat="1" ht="16.5" customHeight="1">
      <c r="A2761" s="309" t="str">
        <f>IF(B2761&lt;&gt;"",IF(AND(B2761='IN-TC'!$S$4,OR(TH!N2761="1111",TH!O2761="1111")),TH!D2761,""),"")</f>
        <v/>
      </c>
      <c r="B2761" s="1312">
        <f t="shared" si="968"/>
        <v>2</v>
      </c>
      <c r="C2761" s="71">
        <v>42788</v>
      </c>
      <c r="D2761" s="71" t="s">
        <v>902</v>
      </c>
      <c r="E2761" s="71">
        <v>42788</v>
      </c>
      <c r="F2761" s="72" t="s">
        <v>1096</v>
      </c>
      <c r="G2761" s="72" t="s">
        <v>747</v>
      </c>
      <c r="H2761" s="735" t="s">
        <v>835</v>
      </c>
      <c r="I2761" s="371"/>
      <c r="J2761" s="377"/>
      <c r="K2761" s="371">
        <v>28.33</v>
      </c>
      <c r="L2761" s="377">
        <v>22700</v>
      </c>
      <c r="M2761" s="74">
        <f t="shared" si="976"/>
        <v>643091</v>
      </c>
      <c r="N2761" s="75" t="s">
        <v>99</v>
      </c>
      <c r="O2761" s="934" t="s">
        <v>256</v>
      </c>
      <c r="P2761" s="75" t="str">
        <f>IF(AND('331-CT'!$E$7=TH!H2761,OR(N2761="331",O2761="331")),"x","")</f>
        <v/>
      </c>
      <c r="Q2761" s="75" t="str">
        <f>IF(AND(B2761='111'!$L$11,OR($N2761=$Q$7,$O2761=$Q$7)),"x","")</f>
        <v/>
      </c>
      <c r="R2761" s="75" t="str">
        <f>IF(AND($N2761=$Q$7,$B2761&lt;'111'!$L$11),"x","")</f>
        <v/>
      </c>
      <c r="S2761" s="75" t="str">
        <f>IF(AND($O2761=$Q$7,$B2761&lt;'111'!$L$11),"x","")</f>
        <v/>
      </c>
      <c r="T2761" s="75" t="str">
        <f>IF(ISERROR(FIND('112'!$M$9,G2761,1)),"",IF((AND(FIND('112'!$M$9,G2761,1)&gt;=1,B2761='112'!$K$9,OR($N2761='112'!$I$6,$O2761='112'!$I$6))),"x",""))</f>
        <v/>
      </c>
      <c r="U2761" s="75" t="str">
        <f>IF(ISERROR(FIND('112'!$M$9,G2761,1)),"",IF((AND(LEFT(G2761,2)=LEFT('112'!$M$9,2),B2761&lt;'112'!$K$9,$N2761='112'!$I$6)),"x",""))</f>
        <v/>
      </c>
      <c r="V2761" s="75" t="str">
        <f>IF(ISERROR(FIND('112'!$M$9,G2761,1)),"",IF((AND(RIGHT(G2761,2)=RIGHT('112'!$M$9,2),B2761&lt;'112'!$K$9,$O2761='112'!$I$6)),"x",""))</f>
        <v/>
      </c>
      <c r="W2761" s="75" t="str">
        <f>IF(AND('341-CT'!$H$9=H2761,OR(LEFT(N2761,3)=$W$7,LEFT(O2761,3)=$W$7)),"x","")</f>
        <v/>
      </c>
      <c r="X2761" s="75" t="str">
        <f>IF(OR(TH!N2761=TH!$X$7,O2761=TH!$X$7),"x","")</f>
        <v/>
      </c>
      <c r="Y2761" s="75" t="str">
        <f>IF(AND(OR(N2761="131",O2761="131"),H2761='131-CT'!$H$9),"x","")</f>
        <v/>
      </c>
      <c r="Z2761" s="75"/>
      <c r="AA2761" s="75" t="str">
        <f>IF(AND(MONTH(E2761)='IN-NX'!$J$5,'IN-NX'!$D$7=D2761),"x","")</f>
        <v/>
      </c>
      <c r="AB2761" s="75" t="str">
        <f>IF(AND(OR(LEFT(TH!N2761,2)="15",LEFT(TH!O2761,2)="15"),LEFT(TH!O2761,3)&lt;&gt;"111",'152-CT'!$J$8=TH!F2761),"x","")</f>
        <v/>
      </c>
      <c r="AC2761" s="75" t="str">
        <f>IF(AND(OR(LEFT(TH!N2761,2)="15",LEFT(TH!O2761,2)="15"),TK!$E$7=TH!F2761),"x","")</f>
        <v/>
      </c>
      <c r="AD2761" s="75" t="str">
        <f>IF(AND(N2761="1521",MONTH(C2761)='BK-NL'!$M$11),"x","")</f>
        <v/>
      </c>
    </row>
    <row r="2762" spans="1:30" s="1264" customFormat="1" ht="16.5" customHeight="1">
      <c r="A2762" s="309" t="str">
        <f>IF(B2762&lt;&gt;"",IF(AND(B2762='IN-TC'!$S$4,OR(TH!N2762="1111",TH!O2762="1111")),TH!D2762,""),"")</f>
        <v/>
      </c>
      <c r="B2762" s="1312">
        <f t="shared" si="968"/>
        <v>2</v>
      </c>
      <c r="C2762" s="71">
        <v>42788</v>
      </c>
      <c r="D2762" s="71" t="s">
        <v>902</v>
      </c>
      <c r="E2762" s="71">
        <v>42788</v>
      </c>
      <c r="F2762" s="72" t="s">
        <v>1096</v>
      </c>
      <c r="G2762" s="72" t="s">
        <v>747</v>
      </c>
      <c r="H2762" s="735" t="s">
        <v>835</v>
      </c>
      <c r="I2762" s="371"/>
      <c r="J2762" s="377"/>
      <c r="K2762" s="371">
        <v>27.33</v>
      </c>
      <c r="L2762" s="377">
        <v>22700</v>
      </c>
      <c r="M2762" s="74">
        <f t="shared" si="976"/>
        <v>620391</v>
      </c>
      <c r="N2762" s="75" t="s">
        <v>99</v>
      </c>
      <c r="O2762" s="934" t="s">
        <v>256</v>
      </c>
      <c r="P2762" s="75" t="str">
        <f>IF(AND('331-CT'!$E$7=TH!H2762,OR(N2762="331",O2762="331")),"x","")</f>
        <v/>
      </c>
      <c r="Q2762" s="75" t="str">
        <f>IF(AND(B2762='111'!$L$11,OR($N2762=$Q$7,$O2762=$Q$7)),"x","")</f>
        <v/>
      </c>
      <c r="R2762" s="75" t="str">
        <f>IF(AND($N2762=$Q$7,$B2762&lt;'111'!$L$11),"x","")</f>
        <v/>
      </c>
      <c r="S2762" s="75" t="str">
        <f>IF(AND($O2762=$Q$7,$B2762&lt;'111'!$L$11),"x","")</f>
        <v/>
      </c>
      <c r="T2762" s="75" t="str">
        <f>IF(ISERROR(FIND('112'!$M$9,G2762,1)),"",IF((AND(FIND('112'!$M$9,G2762,1)&gt;=1,B2762='112'!$K$9,OR($N2762='112'!$I$6,$O2762='112'!$I$6))),"x",""))</f>
        <v/>
      </c>
      <c r="U2762" s="75" t="str">
        <f>IF(ISERROR(FIND('112'!$M$9,G2762,1)),"",IF((AND(LEFT(G2762,2)=LEFT('112'!$M$9,2),B2762&lt;'112'!$K$9,$N2762='112'!$I$6)),"x",""))</f>
        <v/>
      </c>
      <c r="V2762" s="75" t="str">
        <f>IF(ISERROR(FIND('112'!$M$9,G2762,1)),"",IF((AND(RIGHT(G2762,2)=RIGHT('112'!$M$9,2),B2762&lt;'112'!$K$9,$O2762='112'!$I$6)),"x",""))</f>
        <v/>
      </c>
      <c r="W2762" s="75" t="str">
        <f>IF(AND('341-CT'!$H$9=H2762,OR(LEFT(N2762,3)=$W$7,LEFT(O2762,3)=$W$7)),"x","")</f>
        <v/>
      </c>
      <c r="X2762" s="75" t="str">
        <f>IF(OR(TH!N2762=TH!$X$7,O2762=TH!$X$7),"x","")</f>
        <v/>
      </c>
      <c r="Y2762" s="75" t="str">
        <f>IF(AND(OR(N2762="131",O2762="131"),H2762='131-CT'!$H$9),"x","")</f>
        <v/>
      </c>
      <c r="Z2762" s="75"/>
      <c r="AA2762" s="75" t="str">
        <f>IF(AND(MONTH(E2762)='IN-NX'!$J$5,'IN-NX'!$D$7=D2762),"x","")</f>
        <v/>
      </c>
      <c r="AB2762" s="75" t="str">
        <f>IF(AND(OR(LEFT(TH!N2762,2)="15",LEFT(TH!O2762,2)="15"),LEFT(TH!O2762,3)&lt;&gt;"111",'152-CT'!$J$8=TH!F2762),"x","")</f>
        <v/>
      </c>
      <c r="AC2762" s="75" t="str">
        <f>IF(AND(OR(LEFT(TH!N2762,2)="15",LEFT(TH!O2762,2)="15"),TK!$E$7=TH!F2762),"x","")</f>
        <v/>
      </c>
      <c r="AD2762" s="75" t="str">
        <f>IF(AND(N2762="1521",MONTH(C2762)='BK-NL'!$M$11),"x","")</f>
        <v/>
      </c>
    </row>
    <row r="2763" spans="1:30" s="1264" customFormat="1" ht="16.5" customHeight="1">
      <c r="A2763" s="309" t="str">
        <f>IF(B2763&lt;&gt;"",IF(AND(B2763='IN-TC'!$S$4,OR(TH!N2763="1111",TH!O2763="1111")),TH!D2763,""),"")</f>
        <v/>
      </c>
      <c r="B2763" s="1312">
        <f t="shared" si="968"/>
        <v>2</v>
      </c>
      <c r="C2763" s="71">
        <v>42788</v>
      </c>
      <c r="D2763" s="71" t="s">
        <v>902</v>
      </c>
      <c r="E2763" s="71">
        <v>42788</v>
      </c>
      <c r="F2763" s="72" t="s">
        <v>1096</v>
      </c>
      <c r="G2763" s="72" t="s">
        <v>747</v>
      </c>
      <c r="H2763" s="735" t="s">
        <v>835</v>
      </c>
      <c r="I2763" s="371"/>
      <c r="J2763" s="377"/>
      <c r="K2763" s="371">
        <v>17.03</v>
      </c>
      <c r="L2763" s="377">
        <v>22700</v>
      </c>
      <c r="M2763" s="74">
        <f t="shared" si="976"/>
        <v>386581</v>
      </c>
      <c r="N2763" s="75" t="s">
        <v>99</v>
      </c>
      <c r="O2763" s="934" t="s">
        <v>256</v>
      </c>
      <c r="P2763" s="75" t="str">
        <f>IF(AND('331-CT'!$E$7=TH!H2763,OR(N2763="331",O2763="331")),"x","")</f>
        <v/>
      </c>
      <c r="Q2763" s="75" t="str">
        <f>IF(AND(B2763='111'!$L$11,OR($N2763=$Q$7,$O2763=$Q$7)),"x","")</f>
        <v/>
      </c>
      <c r="R2763" s="75" t="str">
        <f>IF(AND($N2763=$Q$7,$B2763&lt;'111'!$L$11),"x","")</f>
        <v/>
      </c>
      <c r="S2763" s="75" t="str">
        <f>IF(AND($O2763=$Q$7,$B2763&lt;'111'!$L$11),"x","")</f>
        <v/>
      </c>
      <c r="T2763" s="75" t="str">
        <f>IF(ISERROR(FIND('112'!$M$9,G2763,1)),"",IF((AND(FIND('112'!$M$9,G2763,1)&gt;=1,B2763='112'!$K$9,OR($N2763='112'!$I$6,$O2763='112'!$I$6))),"x",""))</f>
        <v/>
      </c>
      <c r="U2763" s="75" t="str">
        <f>IF(ISERROR(FIND('112'!$M$9,G2763,1)),"",IF((AND(LEFT(G2763,2)=LEFT('112'!$M$9,2),B2763&lt;'112'!$K$9,$N2763='112'!$I$6)),"x",""))</f>
        <v/>
      </c>
      <c r="V2763" s="75" t="str">
        <f>IF(ISERROR(FIND('112'!$M$9,G2763,1)),"",IF((AND(RIGHT(G2763,2)=RIGHT('112'!$M$9,2),B2763&lt;'112'!$K$9,$O2763='112'!$I$6)),"x",""))</f>
        <v/>
      </c>
      <c r="W2763" s="75" t="str">
        <f>IF(AND('341-CT'!$H$9=H2763,OR(LEFT(N2763,3)=$W$7,LEFT(O2763,3)=$W$7)),"x","")</f>
        <v/>
      </c>
      <c r="X2763" s="75" t="str">
        <f>IF(OR(TH!N2763=TH!$X$7,O2763=TH!$X$7),"x","")</f>
        <v/>
      </c>
      <c r="Y2763" s="75" t="str">
        <f>IF(AND(OR(N2763="131",O2763="131"),H2763='131-CT'!$H$9),"x","")</f>
        <v/>
      </c>
      <c r="Z2763" s="75"/>
      <c r="AA2763" s="75" t="str">
        <f>IF(AND(MONTH(E2763)='IN-NX'!$J$5,'IN-NX'!$D$7=D2763),"x","")</f>
        <v/>
      </c>
      <c r="AB2763" s="75" t="str">
        <f>IF(AND(OR(LEFT(TH!N2763,2)="15",LEFT(TH!O2763,2)="15"),LEFT(TH!O2763,3)&lt;&gt;"111",'152-CT'!$J$8=TH!F2763),"x","")</f>
        <v/>
      </c>
      <c r="AC2763" s="75" t="str">
        <f>IF(AND(OR(LEFT(TH!N2763,2)="15",LEFT(TH!O2763,2)="15"),TK!$E$7=TH!F2763),"x","")</f>
        <v/>
      </c>
      <c r="AD2763" s="75" t="str">
        <f>IF(AND(N2763="1521",MONTH(C2763)='BK-NL'!$M$11),"x","")</f>
        <v/>
      </c>
    </row>
    <row r="2764" spans="1:30" s="1264" customFormat="1" ht="16.5" customHeight="1">
      <c r="A2764" s="309" t="str">
        <f>IF(B2764&lt;&gt;"",IF(AND(B2764='IN-TC'!$S$4,OR(TH!N2764="1111",TH!O2764="1111")),TH!D2764,""),"")</f>
        <v/>
      </c>
      <c r="B2764" s="1312">
        <f t="shared" si="968"/>
        <v>2</v>
      </c>
      <c r="C2764" s="71">
        <v>42788</v>
      </c>
      <c r="D2764" s="71" t="s">
        <v>902</v>
      </c>
      <c r="E2764" s="71">
        <v>42788</v>
      </c>
      <c r="F2764" s="72" t="s">
        <v>1096</v>
      </c>
      <c r="G2764" s="72" t="s">
        <v>747</v>
      </c>
      <c r="H2764" s="735" t="s">
        <v>835</v>
      </c>
      <c r="I2764" s="371"/>
      <c r="J2764" s="377"/>
      <c r="K2764" s="371">
        <v>29.33</v>
      </c>
      <c r="L2764" s="377">
        <v>22700</v>
      </c>
      <c r="M2764" s="74">
        <f t="shared" si="976"/>
        <v>665791</v>
      </c>
      <c r="N2764" s="75" t="s">
        <v>99</v>
      </c>
      <c r="O2764" s="934" t="s">
        <v>256</v>
      </c>
      <c r="P2764" s="75" t="str">
        <f>IF(AND('331-CT'!$E$7=TH!H2764,OR(N2764="331",O2764="331")),"x","")</f>
        <v/>
      </c>
      <c r="Q2764" s="75" t="str">
        <f>IF(AND(B2764='111'!$L$11,OR($N2764=$Q$7,$O2764=$Q$7)),"x","")</f>
        <v/>
      </c>
      <c r="R2764" s="75" t="str">
        <f>IF(AND($N2764=$Q$7,$B2764&lt;'111'!$L$11),"x","")</f>
        <v/>
      </c>
      <c r="S2764" s="75" t="str">
        <f>IF(AND($O2764=$Q$7,$B2764&lt;'111'!$L$11),"x","")</f>
        <v/>
      </c>
      <c r="T2764" s="75" t="str">
        <f>IF(ISERROR(FIND('112'!$M$9,G2764,1)),"",IF((AND(FIND('112'!$M$9,G2764,1)&gt;=1,B2764='112'!$K$9,OR($N2764='112'!$I$6,$O2764='112'!$I$6))),"x",""))</f>
        <v/>
      </c>
      <c r="U2764" s="75" t="str">
        <f>IF(ISERROR(FIND('112'!$M$9,G2764,1)),"",IF((AND(LEFT(G2764,2)=LEFT('112'!$M$9,2),B2764&lt;'112'!$K$9,$N2764='112'!$I$6)),"x",""))</f>
        <v/>
      </c>
      <c r="V2764" s="75" t="str">
        <f>IF(ISERROR(FIND('112'!$M$9,G2764,1)),"",IF((AND(RIGHT(G2764,2)=RIGHT('112'!$M$9,2),B2764&lt;'112'!$K$9,$O2764='112'!$I$6)),"x",""))</f>
        <v/>
      </c>
      <c r="W2764" s="75" t="str">
        <f>IF(AND('341-CT'!$H$9=H2764,OR(LEFT(N2764,3)=$W$7,LEFT(O2764,3)=$W$7)),"x","")</f>
        <v/>
      </c>
      <c r="X2764" s="75" t="str">
        <f>IF(OR(TH!N2764=TH!$X$7,O2764=TH!$X$7),"x","")</f>
        <v/>
      </c>
      <c r="Y2764" s="75" t="str">
        <f>IF(AND(OR(N2764="131",O2764="131"),H2764='131-CT'!$H$9),"x","")</f>
        <v/>
      </c>
      <c r="Z2764" s="75"/>
      <c r="AA2764" s="75" t="str">
        <f>IF(AND(MONTH(E2764)='IN-NX'!$J$5,'IN-NX'!$D$7=D2764),"x","")</f>
        <v/>
      </c>
      <c r="AB2764" s="75" t="str">
        <f>IF(AND(OR(LEFT(TH!N2764,2)="15",LEFT(TH!O2764,2)="15"),LEFT(TH!O2764,3)&lt;&gt;"111",'152-CT'!$J$8=TH!F2764),"x","")</f>
        <v/>
      </c>
      <c r="AC2764" s="75" t="str">
        <f>IF(AND(OR(LEFT(TH!N2764,2)="15",LEFT(TH!O2764,2)="15"),TK!$E$7=TH!F2764),"x","")</f>
        <v/>
      </c>
      <c r="AD2764" s="75" t="str">
        <f>IF(AND(N2764="1521",MONTH(C2764)='BK-NL'!$M$11),"x","")</f>
        <v/>
      </c>
    </row>
    <row r="2765" spans="1:30" s="1264" customFormat="1" ht="16.5" customHeight="1">
      <c r="A2765" s="309" t="str">
        <f>IF(B2765&lt;&gt;"",IF(AND(B2765='IN-TC'!$S$4,OR(TH!N2765="1111",TH!O2765="1111")),TH!D2765,""),"")</f>
        <v/>
      </c>
      <c r="B2765" s="1312">
        <f t="shared" si="968"/>
        <v>2</v>
      </c>
      <c r="C2765" s="71">
        <v>42790</v>
      </c>
      <c r="D2765" s="71" t="s">
        <v>903</v>
      </c>
      <c r="E2765" s="71">
        <v>42790</v>
      </c>
      <c r="F2765" s="72" t="s">
        <v>917</v>
      </c>
      <c r="G2765" s="72" t="s">
        <v>747</v>
      </c>
      <c r="H2765" s="735" t="s">
        <v>759</v>
      </c>
      <c r="I2765" s="371"/>
      <c r="J2765" s="377"/>
      <c r="K2765" s="371">
        <v>450229.68</v>
      </c>
      <c r="L2765" s="377">
        <v>22700</v>
      </c>
      <c r="M2765" s="1214">
        <f t="shared" ref="M2765" si="977">ROUND(K2765*L2765,0)</f>
        <v>10220213736</v>
      </c>
      <c r="N2765" s="1224" t="s">
        <v>256</v>
      </c>
      <c r="O2765" s="75" t="s">
        <v>536</v>
      </c>
      <c r="P2765" s="75" t="str">
        <f>IF(AND('331-CT'!$E$7=TH!H2765,OR(N2765="331",O2765="331")),"x","")</f>
        <v/>
      </c>
      <c r="Q2765" s="75" t="str">
        <f>IF(AND(B2765='111'!$L$11,OR($N2765=$Q$7,$O2765=$Q$7)),"x","")</f>
        <v/>
      </c>
      <c r="R2765" s="75" t="str">
        <f>IF(AND($N2765=$Q$7,$B2765&lt;'111'!$L$11),"x","")</f>
        <v/>
      </c>
      <c r="S2765" s="75" t="str">
        <f>IF(AND($O2765=$Q$7,$B2765&lt;'111'!$L$11),"x","")</f>
        <v/>
      </c>
      <c r="T2765" s="75" t="str">
        <f>IF(ISERROR(FIND('112'!$M$9,G2765,1)),"",IF((AND(FIND('112'!$M$9,G2765,1)&gt;=1,B2765='112'!$K$9,OR($N2765='112'!$I$6,$O2765='112'!$I$6))),"x",""))</f>
        <v/>
      </c>
      <c r="U2765" s="75" t="str">
        <f>IF(ISERROR(FIND('112'!$M$9,G2765,1)),"",IF((AND(LEFT(G2765,2)=LEFT('112'!$M$9,2),B2765&lt;'112'!$K$9,$N2765='112'!$I$6)),"x",""))</f>
        <v/>
      </c>
      <c r="V2765" s="75" t="str">
        <f>IF(ISERROR(FIND('112'!$M$9,G2765,1)),"",IF((AND(RIGHT(G2765,2)=RIGHT('112'!$M$9,2),B2765&lt;'112'!$K$9,$O2765='112'!$I$6)),"x",""))</f>
        <v/>
      </c>
      <c r="W2765" s="75" t="str">
        <f>IF(AND('341-CT'!$H$9=H2765,OR(LEFT(N2765,3)=$W$7,LEFT(O2765,3)=$W$7)),"x","")</f>
        <v/>
      </c>
      <c r="X2765" s="75" t="str">
        <f>IF(OR(TH!N2765=TH!$X$7,O2765=TH!$X$7),"x","")</f>
        <v/>
      </c>
      <c r="Y2765" s="75" t="str">
        <f>IF(AND(OR(N2765="131",O2765="131"),H2765='131-CT'!$H$9),"x","")</f>
        <v/>
      </c>
      <c r="Z2765" s="75"/>
      <c r="AA2765" s="75" t="str">
        <f>IF(AND(MONTH(E2765)='IN-NX'!$J$5,'IN-NX'!$D$7=D2765),"x","")</f>
        <v/>
      </c>
      <c r="AB2765" s="75" t="str">
        <f>IF(AND(OR(LEFT(TH!N2765,2)="15",LEFT(TH!O2765,2)="15"),LEFT(TH!O2765,3)&lt;&gt;"111",'152-CT'!$J$8=TH!F2765),"x","")</f>
        <v/>
      </c>
      <c r="AC2765" s="75" t="str">
        <f>IF(AND(OR(LEFT(TH!N2765,2)="15",LEFT(TH!O2765,2)="15"),TK!$E$7=TH!F2765),"x","")</f>
        <v/>
      </c>
      <c r="AD2765" s="75" t="str">
        <f>IF(AND(N2765="1521",MONTH(C2765)='BK-NL'!$M$11),"x","")</f>
        <v/>
      </c>
    </row>
    <row r="2766" spans="1:30" s="1264" customFormat="1" ht="16.5" customHeight="1">
      <c r="A2766" s="309" t="str">
        <f>IF(B2766&lt;&gt;"",IF(AND(B2766='IN-TC'!$S$4,OR(TH!N2766="1111",TH!O2766="1111")),TH!D2766,""),"")</f>
        <v/>
      </c>
      <c r="B2766" s="1312">
        <f t="shared" si="968"/>
        <v>2</v>
      </c>
      <c r="C2766" s="71">
        <v>42790</v>
      </c>
      <c r="D2766" s="71" t="s">
        <v>530</v>
      </c>
      <c r="E2766" s="71">
        <v>42790</v>
      </c>
      <c r="F2766" s="72" t="s">
        <v>1027</v>
      </c>
      <c r="G2766" s="72" t="s">
        <v>747</v>
      </c>
      <c r="H2766" s="735" t="s">
        <v>759</v>
      </c>
      <c r="I2766" s="371"/>
      <c r="J2766" s="377"/>
      <c r="K2766" s="371">
        <v>12</v>
      </c>
      <c r="L2766" s="377">
        <v>22700</v>
      </c>
      <c r="M2766" s="933">
        <f t="shared" ref="M2766:M2770" si="978">ROUND(L2766*K2766,0)</f>
        <v>272400</v>
      </c>
      <c r="N2766" s="1224" t="s">
        <v>101</v>
      </c>
      <c r="O2766" s="75" t="s">
        <v>536</v>
      </c>
      <c r="P2766" s="75" t="str">
        <f>IF(AND('331-CT'!$E$7=TH!H2766,OR(N2766="331",O2766="331")),"x","")</f>
        <v/>
      </c>
      <c r="Q2766" s="75" t="str">
        <f>IF(AND(B2766='111'!$L$11,OR($N2766=$Q$7,$O2766=$Q$7)),"x","")</f>
        <v/>
      </c>
      <c r="R2766" s="75" t="str">
        <f>IF(AND($N2766=$Q$7,$B2766&lt;'111'!$L$11),"x","")</f>
        <v/>
      </c>
      <c r="S2766" s="75" t="str">
        <f>IF(AND($O2766=$Q$7,$B2766&lt;'111'!$L$11),"x","")</f>
        <v/>
      </c>
      <c r="T2766" s="75" t="str">
        <f>IF(ISERROR(FIND('112'!$M$9,G2766,1)),"",IF((AND(FIND('112'!$M$9,G2766,1)&gt;=1,B2766='112'!$K$9,OR($N2766='112'!$I$6,$O2766='112'!$I$6))),"x",""))</f>
        <v/>
      </c>
      <c r="U2766" s="75" t="str">
        <f>IF(ISERROR(FIND('112'!$M$9,G2766,1)),"",IF((AND(LEFT(G2766,2)=LEFT('112'!$M$9,2),B2766&lt;'112'!$K$9,$N2766='112'!$I$6)),"x",""))</f>
        <v/>
      </c>
      <c r="V2766" s="75" t="str">
        <f>IF(ISERROR(FIND('112'!$M$9,G2766,1)),"",IF((AND(RIGHT(G2766,2)=RIGHT('112'!$M$9,2),B2766&lt;'112'!$K$9,$O2766='112'!$I$6)),"x",""))</f>
        <v/>
      </c>
      <c r="W2766" s="75" t="str">
        <f>IF(AND('341-CT'!$H$9=H2766,OR(LEFT(N2766,3)=$W$7,LEFT(O2766,3)=$W$7)),"x","")</f>
        <v/>
      </c>
      <c r="X2766" s="75" t="str">
        <f>IF(OR(TH!N2766=TH!$X$7,O2766=TH!$X$7),"x","")</f>
        <v/>
      </c>
      <c r="Y2766" s="75" t="str">
        <f>IF(AND(OR(N2766="131",O2766="131"),H2766='131-CT'!$H$9),"x","")</f>
        <v/>
      </c>
      <c r="Z2766" s="75"/>
      <c r="AA2766" s="75" t="str">
        <f>IF(AND(MONTH(E2766)='IN-NX'!$J$5,'IN-NX'!$D$7=D2766),"x","")</f>
        <v/>
      </c>
      <c r="AB2766" s="75" t="str">
        <f>IF(AND(OR(LEFT(TH!N2766,2)="15",LEFT(TH!O2766,2)="15"),LEFT(TH!O2766,3)&lt;&gt;"111",'152-CT'!$J$8=TH!F2766),"x","")</f>
        <v/>
      </c>
      <c r="AC2766" s="75" t="str">
        <f>IF(AND(OR(LEFT(TH!N2766,2)="15",LEFT(TH!O2766,2)="15"),TK!$E$7=TH!F2766),"x","")</f>
        <v/>
      </c>
      <c r="AD2766" s="75" t="str">
        <f>IF(AND(N2766="1521",MONTH(C2766)='BK-NL'!$M$11),"x","")</f>
        <v/>
      </c>
    </row>
    <row r="2767" spans="1:30" s="1264" customFormat="1" ht="16.5" customHeight="1">
      <c r="A2767" s="309" t="str">
        <f>IF(B2767&lt;&gt;"",IF(AND(B2767='IN-TC'!$S$4,OR(TH!N2767="1111",TH!O2767="1111")),TH!D2767,""),"")</f>
        <v/>
      </c>
      <c r="B2767" s="1312">
        <f t="shared" si="968"/>
        <v>2</v>
      </c>
      <c r="C2767" s="71">
        <v>42793</v>
      </c>
      <c r="D2767" s="71" t="s">
        <v>902</v>
      </c>
      <c r="E2767" s="71">
        <v>42793</v>
      </c>
      <c r="F2767" s="72" t="s">
        <v>870</v>
      </c>
      <c r="G2767" s="72" t="s">
        <v>747</v>
      </c>
      <c r="H2767" s="735" t="s">
        <v>835</v>
      </c>
      <c r="I2767" s="371"/>
      <c r="J2767" s="377"/>
      <c r="K2767" s="371">
        <v>3</v>
      </c>
      <c r="L2767" s="377">
        <v>22700</v>
      </c>
      <c r="M2767" s="74">
        <f t="shared" ref="M2767:M2769" si="979">ROUND(K2767*L2767,0)</f>
        <v>68100</v>
      </c>
      <c r="N2767" s="1224" t="s">
        <v>101</v>
      </c>
      <c r="O2767" s="934" t="s">
        <v>256</v>
      </c>
      <c r="P2767" s="75" t="str">
        <f>IF(AND('331-CT'!$E$7=TH!H2767,OR(N2767="331",O2767="331")),"x","")</f>
        <v/>
      </c>
      <c r="Q2767" s="75" t="str">
        <f>IF(AND(B2767='111'!$L$11,OR($N2767=$Q$7,$O2767=$Q$7)),"x","")</f>
        <v/>
      </c>
      <c r="R2767" s="75" t="str">
        <f>IF(AND($N2767=$Q$7,$B2767&lt;'111'!$L$11),"x","")</f>
        <v/>
      </c>
      <c r="S2767" s="75" t="str">
        <f>IF(AND($O2767=$Q$7,$B2767&lt;'111'!$L$11),"x","")</f>
        <v/>
      </c>
      <c r="T2767" s="75" t="str">
        <f>IF(ISERROR(FIND('112'!$M$9,G2767,1)),"",IF((AND(FIND('112'!$M$9,G2767,1)&gt;=1,B2767='112'!$K$9,OR($N2767='112'!$I$6,$O2767='112'!$I$6))),"x",""))</f>
        <v/>
      </c>
      <c r="U2767" s="75" t="str">
        <f>IF(ISERROR(FIND('112'!$M$9,G2767,1)),"",IF((AND(LEFT(G2767,2)=LEFT('112'!$M$9,2),B2767&lt;'112'!$K$9,$N2767='112'!$I$6)),"x",""))</f>
        <v/>
      </c>
      <c r="V2767" s="75" t="str">
        <f>IF(ISERROR(FIND('112'!$M$9,G2767,1)),"",IF((AND(RIGHT(G2767,2)=RIGHT('112'!$M$9,2),B2767&lt;'112'!$K$9,$O2767='112'!$I$6)),"x",""))</f>
        <v/>
      </c>
      <c r="W2767" s="75" t="str">
        <f>IF(AND('341-CT'!$H$9=H2767,OR(LEFT(N2767,3)=$W$7,LEFT(O2767,3)=$W$7)),"x","")</f>
        <v/>
      </c>
      <c r="X2767" s="75" t="str">
        <f>IF(OR(TH!N2767=TH!$X$7,O2767=TH!$X$7),"x","")</f>
        <v/>
      </c>
      <c r="Y2767" s="75" t="str">
        <f>IF(AND(OR(N2767="131",O2767="131"),H2767='131-CT'!$H$9),"x","")</f>
        <v/>
      </c>
      <c r="Z2767" s="75"/>
      <c r="AA2767" s="75" t="str">
        <f>IF(AND(MONTH(E2767)='IN-NX'!$J$5,'IN-NX'!$D$7=D2767),"x","")</f>
        <v/>
      </c>
      <c r="AB2767" s="75" t="str">
        <f>IF(AND(OR(LEFT(TH!N2767,2)="15",LEFT(TH!O2767,2)="15"),LEFT(TH!O2767,3)&lt;&gt;"111",'152-CT'!$J$8=TH!F2767),"x","")</f>
        <v/>
      </c>
      <c r="AC2767" s="75" t="str">
        <f>IF(AND(OR(LEFT(TH!N2767,2)="15",LEFT(TH!O2767,2)="15"),TK!$E$7=TH!F2767),"x","")</f>
        <v/>
      </c>
      <c r="AD2767" s="75" t="str">
        <f>IF(AND(N2767="1521",MONTH(C2767)='BK-NL'!$M$11),"x","")</f>
        <v/>
      </c>
    </row>
    <row r="2768" spans="1:30" s="1264" customFormat="1" ht="16.5" customHeight="1">
      <c r="A2768" s="309" t="str">
        <f>IF(B2768&lt;&gt;"",IF(AND(B2768='IN-TC'!$S$4,OR(TH!N2768="1111",TH!O2768="1111")),TH!D2768,""),"")</f>
        <v/>
      </c>
      <c r="B2768" s="1312">
        <f t="shared" si="968"/>
        <v>2</v>
      </c>
      <c r="C2768" s="71">
        <v>42793</v>
      </c>
      <c r="D2768" s="71" t="s">
        <v>902</v>
      </c>
      <c r="E2768" s="71">
        <v>42793</v>
      </c>
      <c r="F2768" s="72" t="s">
        <v>898</v>
      </c>
      <c r="G2768" s="72" t="s">
        <v>747</v>
      </c>
      <c r="H2768" s="735" t="s">
        <v>835</v>
      </c>
      <c r="I2768" s="371"/>
      <c r="J2768" s="377"/>
      <c r="K2768" s="371">
        <v>0.3</v>
      </c>
      <c r="L2768" s="377">
        <v>22700</v>
      </c>
      <c r="M2768" s="74">
        <f t="shared" si="979"/>
        <v>6810</v>
      </c>
      <c r="N2768" s="1224" t="s">
        <v>9</v>
      </c>
      <c r="O2768" s="934" t="s">
        <v>256</v>
      </c>
      <c r="P2768" s="75" t="str">
        <f>IF(AND('331-CT'!$E$7=TH!H2768,OR(N2768="331",O2768="331")),"x","")</f>
        <v/>
      </c>
      <c r="Q2768" s="75" t="str">
        <f>IF(AND(B2768='111'!$L$11,OR($N2768=$Q$7,$O2768=$Q$7)),"x","")</f>
        <v/>
      </c>
      <c r="R2768" s="75" t="str">
        <f>IF(AND($N2768=$Q$7,$B2768&lt;'111'!$L$11),"x","")</f>
        <v/>
      </c>
      <c r="S2768" s="75" t="str">
        <f>IF(AND($O2768=$Q$7,$B2768&lt;'111'!$L$11),"x","")</f>
        <v/>
      </c>
      <c r="T2768" s="75" t="str">
        <f>IF(ISERROR(FIND('112'!$M$9,G2768,1)),"",IF((AND(FIND('112'!$M$9,G2768,1)&gt;=1,B2768='112'!$K$9,OR($N2768='112'!$I$6,$O2768='112'!$I$6))),"x",""))</f>
        <v/>
      </c>
      <c r="U2768" s="75" t="str">
        <f>IF(ISERROR(FIND('112'!$M$9,G2768,1)),"",IF((AND(LEFT(G2768,2)=LEFT('112'!$M$9,2),B2768&lt;'112'!$K$9,$N2768='112'!$I$6)),"x",""))</f>
        <v/>
      </c>
      <c r="V2768" s="75" t="str">
        <f>IF(ISERROR(FIND('112'!$M$9,G2768,1)),"",IF((AND(RIGHT(G2768,2)=RIGHT('112'!$M$9,2),B2768&lt;'112'!$K$9,$O2768='112'!$I$6)),"x",""))</f>
        <v/>
      </c>
      <c r="W2768" s="75" t="str">
        <f>IF(AND('341-CT'!$H$9=H2768,OR(LEFT(N2768,3)=$W$7,LEFT(O2768,3)=$W$7)),"x","")</f>
        <v/>
      </c>
      <c r="X2768" s="75" t="str">
        <f>IF(OR(TH!N2768=TH!$X$7,O2768=TH!$X$7),"x","")</f>
        <v/>
      </c>
      <c r="Y2768" s="75" t="str">
        <f>IF(AND(OR(N2768="131",O2768="131"),H2768='131-CT'!$H$9),"x","")</f>
        <v/>
      </c>
      <c r="Z2768" s="75"/>
      <c r="AA2768" s="75" t="str">
        <f>IF(AND(MONTH(E2768)='IN-NX'!$J$5,'IN-NX'!$D$7=D2768),"x","")</f>
        <v/>
      </c>
      <c r="AB2768" s="75" t="str">
        <f>IF(AND(OR(LEFT(TH!N2768,2)="15",LEFT(TH!O2768,2)="15"),LEFT(TH!O2768,3)&lt;&gt;"111",'152-CT'!$J$8=TH!F2768),"x","")</f>
        <v/>
      </c>
      <c r="AC2768" s="75" t="str">
        <f>IF(AND(OR(LEFT(TH!N2768,2)="15",LEFT(TH!O2768,2)="15"),TK!$E$7=TH!F2768),"x","")</f>
        <v/>
      </c>
      <c r="AD2768" s="75" t="str">
        <f>IF(AND(N2768="1521",MONTH(C2768)='BK-NL'!$M$11),"x","")</f>
        <v/>
      </c>
    </row>
    <row r="2769" spans="1:30" s="1264" customFormat="1" ht="16.5" customHeight="1">
      <c r="A2769" s="309" t="str">
        <f>IF(B2769&lt;&gt;"",IF(AND(B2769='IN-TC'!$S$4,OR(TH!N2769="1111",TH!O2769="1111")),TH!D2769,""),"")</f>
        <v/>
      </c>
      <c r="B2769" s="1313">
        <f t="shared" si="968"/>
        <v>3</v>
      </c>
      <c r="C2769" s="71">
        <v>42796</v>
      </c>
      <c r="D2769" s="71" t="s">
        <v>903</v>
      </c>
      <c r="E2769" s="71">
        <v>42796</v>
      </c>
      <c r="F2769" s="72" t="s">
        <v>917</v>
      </c>
      <c r="G2769" s="72" t="s">
        <v>747</v>
      </c>
      <c r="H2769" s="735" t="s">
        <v>759</v>
      </c>
      <c r="I2769" s="371"/>
      <c r="J2769" s="377"/>
      <c r="K2769" s="371">
        <v>448090.2</v>
      </c>
      <c r="L2769" s="377">
        <v>22700</v>
      </c>
      <c r="M2769" s="1214">
        <f t="shared" si="979"/>
        <v>10171647540</v>
      </c>
      <c r="N2769" s="1224" t="s">
        <v>256</v>
      </c>
      <c r="O2769" s="75" t="s">
        <v>536</v>
      </c>
      <c r="P2769" s="75" t="str">
        <f>IF(AND('331-CT'!$E$7=TH!H2769,OR(N2769="331",O2769="331")),"x","")</f>
        <v/>
      </c>
      <c r="Q2769" s="75" t="str">
        <f>IF(AND(B2769='111'!$L$11,OR($N2769=$Q$7,$O2769=$Q$7)),"x","")</f>
        <v/>
      </c>
      <c r="R2769" s="75" t="str">
        <f>IF(AND($N2769=$Q$7,$B2769&lt;'111'!$L$11),"x","")</f>
        <v/>
      </c>
      <c r="S2769" s="75" t="str">
        <f>IF(AND($O2769=$Q$7,$B2769&lt;'111'!$L$11),"x","")</f>
        <v/>
      </c>
      <c r="T2769" s="75" t="str">
        <f>IF(ISERROR(FIND('112'!$M$9,G2769,1)),"",IF((AND(FIND('112'!$M$9,G2769,1)&gt;=1,B2769='112'!$K$9,OR($N2769='112'!$I$6,$O2769='112'!$I$6))),"x",""))</f>
        <v/>
      </c>
      <c r="U2769" s="75" t="str">
        <f>IF(ISERROR(FIND('112'!$M$9,G2769,1)),"",IF((AND(LEFT(G2769,2)=LEFT('112'!$M$9,2),B2769&lt;'112'!$K$9,$N2769='112'!$I$6)),"x",""))</f>
        <v/>
      </c>
      <c r="V2769" s="75" t="str">
        <f>IF(ISERROR(FIND('112'!$M$9,G2769,1)),"",IF((AND(RIGHT(G2769,2)=RIGHT('112'!$M$9,2),B2769&lt;'112'!$K$9,$O2769='112'!$I$6)),"x",""))</f>
        <v/>
      </c>
      <c r="W2769" s="75" t="str">
        <f>IF(AND('341-CT'!$H$9=H2769,OR(LEFT(N2769,3)=$W$7,LEFT(O2769,3)=$W$7)),"x","")</f>
        <v/>
      </c>
      <c r="X2769" s="75" t="str">
        <f>IF(OR(TH!N2769=TH!$X$7,O2769=TH!$X$7),"x","")</f>
        <v/>
      </c>
      <c r="Y2769" s="75" t="str">
        <f>IF(AND(OR(N2769="131",O2769="131"),H2769='131-CT'!$H$9),"x","")</f>
        <v/>
      </c>
      <c r="Z2769" s="75"/>
      <c r="AA2769" s="75" t="str">
        <f>IF(AND(MONTH(E2769)='IN-NX'!$J$5,'IN-NX'!$D$7=D2769),"x","")</f>
        <v/>
      </c>
      <c r="AB2769" s="75" t="str">
        <f>IF(AND(OR(LEFT(TH!N2769,2)="15",LEFT(TH!O2769,2)="15"),LEFT(TH!O2769,3)&lt;&gt;"111",'152-CT'!$J$8=TH!F2769),"x","")</f>
        <v/>
      </c>
      <c r="AC2769" s="75" t="str">
        <f>IF(AND(OR(LEFT(TH!N2769,2)="15",LEFT(TH!O2769,2)="15"),TK!$E$7=TH!F2769),"x","")</f>
        <v/>
      </c>
      <c r="AD2769" s="75" t="str">
        <f>IF(AND(N2769="1521",MONTH(C2769)='BK-NL'!$M$11),"x","")</f>
        <v/>
      </c>
    </row>
    <row r="2770" spans="1:30" s="1264" customFormat="1" ht="16.5" customHeight="1">
      <c r="A2770" s="309" t="str">
        <f>IF(B2770&lt;&gt;"",IF(AND(B2770='IN-TC'!$S$4,OR(TH!N2770="1111",TH!O2770="1111")),TH!D2770,""),"")</f>
        <v/>
      </c>
      <c r="B2770" s="1313">
        <f t="shared" si="968"/>
        <v>3</v>
      </c>
      <c r="C2770" s="71">
        <v>42796</v>
      </c>
      <c r="D2770" s="71" t="s">
        <v>530</v>
      </c>
      <c r="E2770" s="71">
        <v>42796</v>
      </c>
      <c r="F2770" s="72" t="s">
        <v>1027</v>
      </c>
      <c r="G2770" s="72" t="s">
        <v>747</v>
      </c>
      <c r="H2770" s="735" t="s">
        <v>759</v>
      </c>
      <c r="I2770" s="371"/>
      <c r="J2770" s="377"/>
      <c r="K2770" s="371">
        <v>12</v>
      </c>
      <c r="L2770" s="377">
        <v>22700</v>
      </c>
      <c r="M2770" s="933">
        <f t="shared" si="978"/>
        <v>272400</v>
      </c>
      <c r="N2770" s="1224" t="s">
        <v>101</v>
      </c>
      <c r="O2770" s="75" t="s">
        <v>536</v>
      </c>
      <c r="P2770" s="75" t="str">
        <f>IF(AND('331-CT'!$E$7=TH!H2770,OR(N2770="331",O2770="331")),"x","")</f>
        <v/>
      </c>
      <c r="Q2770" s="75" t="str">
        <f>IF(AND(B2770='111'!$L$11,OR($N2770=$Q$7,$O2770=$Q$7)),"x","")</f>
        <v/>
      </c>
      <c r="R2770" s="75" t="str">
        <f>IF(AND($N2770=$Q$7,$B2770&lt;'111'!$L$11),"x","")</f>
        <v/>
      </c>
      <c r="S2770" s="75" t="str">
        <f>IF(AND($O2770=$Q$7,$B2770&lt;'111'!$L$11),"x","")</f>
        <v/>
      </c>
      <c r="T2770" s="75" t="str">
        <f>IF(ISERROR(FIND('112'!$M$9,G2770,1)),"",IF((AND(FIND('112'!$M$9,G2770,1)&gt;=1,B2770='112'!$K$9,OR($N2770='112'!$I$6,$O2770='112'!$I$6))),"x",""))</f>
        <v/>
      </c>
      <c r="U2770" s="75" t="str">
        <f>IF(ISERROR(FIND('112'!$M$9,G2770,1)),"",IF((AND(LEFT(G2770,2)=LEFT('112'!$M$9,2),B2770&lt;'112'!$K$9,$N2770='112'!$I$6)),"x",""))</f>
        <v/>
      </c>
      <c r="V2770" s="75" t="str">
        <f>IF(ISERROR(FIND('112'!$M$9,G2770,1)),"",IF((AND(RIGHT(G2770,2)=RIGHT('112'!$M$9,2),B2770&lt;'112'!$K$9,$O2770='112'!$I$6)),"x",""))</f>
        <v/>
      </c>
      <c r="W2770" s="75" t="str">
        <f>IF(AND('341-CT'!$H$9=H2770,OR(LEFT(N2770,3)=$W$7,LEFT(O2770,3)=$W$7)),"x","")</f>
        <v/>
      </c>
      <c r="X2770" s="75" t="str">
        <f>IF(OR(TH!N2770=TH!$X$7,O2770=TH!$X$7),"x","")</f>
        <v/>
      </c>
      <c r="Y2770" s="75" t="str">
        <f>IF(AND(OR(N2770="131",O2770="131"),H2770='131-CT'!$H$9),"x","")</f>
        <v/>
      </c>
      <c r="Z2770" s="75"/>
      <c r="AA2770" s="75" t="str">
        <f>IF(AND(MONTH(E2770)='IN-NX'!$J$5,'IN-NX'!$D$7=D2770),"x","")</f>
        <v/>
      </c>
      <c r="AB2770" s="75" t="str">
        <f>IF(AND(OR(LEFT(TH!N2770,2)="15",LEFT(TH!O2770,2)="15"),LEFT(TH!O2770,3)&lt;&gt;"111",'152-CT'!$J$8=TH!F2770),"x","")</f>
        <v/>
      </c>
      <c r="AC2770" s="75" t="str">
        <f>IF(AND(OR(LEFT(TH!N2770,2)="15",LEFT(TH!O2770,2)="15"),TK!$E$7=TH!F2770),"x","")</f>
        <v/>
      </c>
      <c r="AD2770" s="75" t="str">
        <f>IF(AND(N2770="1521",MONTH(C2770)='BK-NL'!$M$11),"x","")</f>
        <v/>
      </c>
    </row>
    <row r="2771" spans="1:30" s="1264" customFormat="1" ht="16.5" customHeight="1">
      <c r="A2771" s="309" t="str">
        <f>IF(B2771&lt;&gt;"",IF(AND(B2771='IN-TC'!$S$4,OR(TH!N2771="1111",TH!O2771="1111")),TH!D2771,""),"")</f>
        <v/>
      </c>
      <c r="B2771" s="1313">
        <f t="shared" si="968"/>
        <v>3</v>
      </c>
      <c r="C2771" s="71">
        <v>42796</v>
      </c>
      <c r="D2771" s="71" t="s">
        <v>530</v>
      </c>
      <c r="E2771" s="71">
        <v>42796</v>
      </c>
      <c r="F2771" s="72" t="s">
        <v>1010</v>
      </c>
      <c r="G2771" s="72" t="s">
        <v>747</v>
      </c>
      <c r="H2771" s="735" t="s">
        <v>759</v>
      </c>
      <c r="I2771" s="371"/>
      <c r="J2771" s="377"/>
      <c r="K2771" s="371"/>
      <c r="L2771" s="377"/>
      <c r="M2771" s="933">
        <v>39700778</v>
      </c>
      <c r="N2771" s="1224" t="s">
        <v>99</v>
      </c>
      <c r="O2771" s="75" t="s">
        <v>536</v>
      </c>
      <c r="P2771" s="75" t="str">
        <f>IF(AND('331-CT'!$E$7=TH!H2771,OR(N2771="331",O2771="331")),"x","")</f>
        <v/>
      </c>
      <c r="Q2771" s="75" t="str">
        <f>IF(AND(B2771='111'!$L$11,OR($N2771=$Q$7,$O2771=$Q$7)),"x","")</f>
        <v/>
      </c>
      <c r="R2771" s="75" t="str">
        <f>IF(AND($N2771=$Q$7,$B2771&lt;'111'!$L$11),"x","")</f>
        <v/>
      </c>
      <c r="S2771" s="75" t="str">
        <f>IF(AND($O2771=$Q$7,$B2771&lt;'111'!$L$11),"x","")</f>
        <v/>
      </c>
      <c r="T2771" s="75" t="str">
        <f>IF(ISERROR(FIND('112'!$M$9,G2771,1)),"",IF((AND(FIND('112'!$M$9,G2771,1)&gt;=1,B2771='112'!$K$9,OR($N2771='112'!$I$6,$O2771='112'!$I$6))),"x",""))</f>
        <v/>
      </c>
      <c r="U2771" s="75" t="str">
        <f>IF(ISERROR(FIND('112'!$M$9,G2771,1)),"",IF((AND(LEFT(G2771,2)=LEFT('112'!$M$9,2),B2771&lt;'112'!$K$9,$N2771='112'!$I$6)),"x",""))</f>
        <v/>
      </c>
      <c r="V2771" s="75" t="str">
        <f>IF(ISERROR(FIND('112'!$M$9,G2771,1)),"",IF((AND(RIGHT(G2771,2)=RIGHT('112'!$M$9,2),B2771&lt;'112'!$K$9,$O2771='112'!$I$6)),"x",""))</f>
        <v/>
      </c>
      <c r="W2771" s="75" t="str">
        <f>IF(AND('341-CT'!$H$9=H2771,OR(LEFT(N2771,3)=$W$7,LEFT(O2771,3)=$W$7)),"x","")</f>
        <v/>
      </c>
      <c r="X2771" s="75" t="str">
        <f>IF(OR(TH!N2771=TH!$X$7,O2771=TH!$X$7),"x","")</f>
        <v/>
      </c>
      <c r="Y2771" s="75" t="str">
        <f>IF(AND(OR(N2771="131",O2771="131"),H2771='131-CT'!$H$9),"x","")</f>
        <v/>
      </c>
      <c r="Z2771" s="75"/>
      <c r="AA2771" s="75" t="str">
        <f>IF(AND(MONTH(E2771)='IN-NX'!$J$5,'IN-NX'!$D$7=D2771),"x","")</f>
        <v/>
      </c>
      <c r="AB2771" s="75" t="str">
        <f>IF(AND(OR(LEFT(TH!N2771,2)="15",LEFT(TH!O2771,2)="15"),LEFT(TH!O2771,3)&lt;&gt;"111",'152-CT'!$J$8=TH!F2771),"x","")</f>
        <v/>
      </c>
      <c r="AC2771" s="75" t="str">
        <f>IF(AND(OR(LEFT(TH!N2771,2)="15",LEFT(TH!O2771,2)="15"),TK!$E$7=TH!F2771),"x","")</f>
        <v/>
      </c>
      <c r="AD2771" s="75" t="str">
        <f>IF(AND(N2771="1521",MONTH(C2771)='BK-NL'!$M$11),"x","")</f>
        <v/>
      </c>
    </row>
    <row r="2772" spans="1:30" s="1264" customFormat="1" ht="16.5" customHeight="1">
      <c r="A2772" s="309" t="str">
        <f>IF(B2772&lt;&gt;"",IF(AND(B2772='IN-TC'!$S$4,OR(TH!N2772="1111",TH!O2772="1111")),TH!D2772,""),"")</f>
        <v/>
      </c>
      <c r="B2772" s="1313">
        <f t="shared" si="968"/>
        <v>3</v>
      </c>
      <c r="C2772" s="71">
        <v>42796</v>
      </c>
      <c r="D2772" s="71" t="s">
        <v>902</v>
      </c>
      <c r="E2772" s="71">
        <v>42796</v>
      </c>
      <c r="F2772" s="72" t="s">
        <v>2709</v>
      </c>
      <c r="G2772" s="72" t="s">
        <v>747</v>
      </c>
      <c r="H2772" s="735" t="s">
        <v>1637</v>
      </c>
      <c r="I2772" s="371"/>
      <c r="J2772" s="377"/>
      <c r="K2772" s="371">
        <v>58.67</v>
      </c>
      <c r="L2772" s="377">
        <v>22700</v>
      </c>
      <c r="M2772" s="74">
        <f t="shared" ref="M2772" si="980">ROUND(K2772*L2772,0)</f>
        <v>1331809</v>
      </c>
      <c r="N2772" s="1224" t="s">
        <v>99</v>
      </c>
      <c r="O2772" s="934" t="s">
        <v>256</v>
      </c>
      <c r="P2772" s="75" t="str">
        <f>IF(AND('331-CT'!$E$7=TH!H2772,OR(N2772="331",O2772="331")),"x","")</f>
        <v/>
      </c>
      <c r="Q2772" s="75" t="str">
        <f>IF(AND(B2772='111'!$L$11,OR($N2772=$Q$7,$O2772=$Q$7)),"x","")</f>
        <v/>
      </c>
      <c r="R2772" s="75" t="str">
        <f>IF(AND($N2772=$Q$7,$B2772&lt;'111'!$L$11),"x","")</f>
        <v/>
      </c>
      <c r="S2772" s="75" t="str">
        <f>IF(AND($O2772=$Q$7,$B2772&lt;'111'!$L$11),"x","")</f>
        <v/>
      </c>
      <c r="T2772" s="75" t="str">
        <f>IF(ISERROR(FIND('112'!$M$9,G2772,1)),"",IF((AND(FIND('112'!$M$9,G2772,1)&gt;=1,B2772='112'!$K$9,OR($N2772='112'!$I$6,$O2772='112'!$I$6))),"x",""))</f>
        <v/>
      </c>
      <c r="U2772" s="75" t="str">
        <f>IF(ISERROR(FIND('112'!$M$9,G2772,1)),"",IF((AND(LEFT(G2772,2)=LEFT('112'!$M$9,2),B2772&lt;'112'!$K$9,$N2772='112'!$I$6)),"x",""))</f>
        <v/>
      </c>
      <c r="V2772" s="75" t="str">
        <f>IF(ISERROR(FIND('112'!$M$9,G2772,1)),"",IF((AND(RIGHT(G2772,2)=RIGHT('112'!$M$9,2),B2772&lt;'112'!$K$9,$O2772='112'!$I$6)),"x",""))</f>
        <v/>
      </c>
      <c r="W2772" s="75" t="str">
        <f>IF(AND('341-CT'!$H$9=H2772,OR(LEFT(N2772,3)=$W$7,LEFT(O2772,3)=$W$7)),"x","")</f>
        <v/>
      </c>
      <c r="X2772" s="75" t="str">
        <f>IF(OR(TH!N2772=TH!$X$7,O2772=TH!$X$7),"x","")</f>
        <v/>
      </c>
      <c r="Y2772" s="75" t="str">
        <f>IF(AND(OR(N2772="131",O2772="131"),H2772='131-CT'!$H$9),"x","")</f>
        <v/>
      </c>
      <c r="Z2772" s="75"/>
      <c r="AA2772" s="75" t="str">
        <f>IF(AND(MONTH(E2772)='IN-NX'!$J$5,'IN-NX'!$D$7=D2772),"x","")</f>
        <v/>
      </c>
      <c r="AB2772" s="75" t="str">
        <f>IF(AND(OR(LEFT(TH!N2772,2)="15",LEFT(TH!O2772,2)="15"),LEFT(TH!O2772,3)&lt;&gt;"111",'152-CT'!$J$8=TH!F2772),"x","")</f>
        <v/>
      </c>
      <c r="AC2772" s="75" t="str">
        <f>IF(AND(OR(LEFT(TH!N2772,2)="15",LEFT(TH!O2772,2)="15"),TK!$E$7=TH!F2772),"x","")</f>
        <v/>
      </c>
      <c r="AD2772" s="75" t="str">
        <f>IF(AND(N2772="1521",MONTH(C2772)='BK-NL'!$M$11),"x","")</f>
        <v/>
      </c>
    </row>
    <row r="2773" spans="1:30" s="1264" customFormat="1" ht="16.5" customHeight="1">
      <c r="A2773" s="309" t="str">
        <f>IF(B2773&lt;&gt;"",IF(AND(B2773='IN-TC'!$S$4,OR(TH!N2773="1111",TH!O2773="1111")),TH!D2773,""),"")</f>
        <v/>
      </c>
      <c r="B2773" s="1313">
        <f t="shared" si="968"/>
        <v>3</v>
      </c>
      <c r="C2773" s="71">
        <v>42796</v>
      </c>
      <c r="D2773" s="71" t="s">
        <v>902</v>
      </c>
      <c r="E2773" s="71">
        <v>42796</v>
      </c>
      <c r="F2773" s="72" t="s">
        <v>1321</v>
      </c>
      <c r="G2773" s="72" t="s">
        <v>747</v>
      </c>
      <c r="H2773" s="735" t="s">
        <v>784</v>
      </c>
      <c r="I2773" s="371"/>
      <c r="J2773" s="377"/>
      <c r="K2773" s="371">
        <v>88000</v>
      </c>
      <c r="L2773" s="377">
        <v>22700</v>
      </c>
      <c r="M2773" s="74">
        <f t="shared" ref="M2773" si="981">ROUND(K2773*L2773,0)</f>
        <v>1997600000</v>
      </c>
      <c r="N2773" s="1224" t="s">
        <v>250</v>
      </c>
      <c r="O2773" s="934" t="s">
        <v>256</v>
      </c>
      <c r="P2773" s="75" t="str">
        <f>IF(AND('331-CT'!$E$7=TH!H2773,OR(N2773="331",O2773="331")),"x","")</f>
        <v/>
      </c>
      <c r="Q2773" s="75" t="str">
        <f>IF(AND(B2773='111'!$L$11,OR($N2773=$Q$7,$O2773=$Q$7)),"x","")</f>
        <v/>
      </c>
      <c r="R2773" s="75" t="str">
        <f>IF(AND($N2773=$Q$7,$B2773&lt;'111'!$L$11),"x","")</f>
        <v/>
      </c>
      <c r="S2773" s="75" t="str">
        <f>IF(AND($O2773=$Q$7,$B2773&lt;'111'!$L$11),"x","")</f>
        <v/>
      </c>
      <c r="T2773" s="75" t="str">
        <f>IF(ISERROR(FIND('112'!$M$9,G2773,1)),"",IF((AND(FIND('112'!$M$9,G2773,1)&gt;=1,B2773='112'!$K$9,OR($N2773='112'!$I$6,$O2773='112'!$I$6))),"x",""))</f>
        <v/>
      </c>
      <c r="U2773" s="75" t="str">
        <f>IF(ISERROR(FIND('112'!$M$9,G2773,1)),"",IF((AND(LEFT(G2773,2)=LEFT('112'!$M$9,2),B2773&lt;'112'!$K$9,$N2773='112'!$I$6)),"x",""))</f>
        <v/>
      </c>
      <c r="V2773" s="75" t="str">
        <f>IF(ISERROR(FIND('112'!$M$9,G2773,1)),"",IF((AND(RIGHT(G2773,2)=RIGHT('112'!$M$9,2),B2773&lt;'112'!$K$9,$O2773='112'!$I$6)),"x",""))</f>
        <v/>
      </c>
      <c r="W2773" s="75" t="str">
        <f>IF(AND('341-CT'!$H$9=H2773,OR(LEFT(N2773,3)=$W$7,LEFT(O2773,3)=$W$7)),"x","")</f>
        <v/>
      </c>
      <c r="X2773" s="75" t="str">
        <f>IF(OR(TH!N2773=TH!$X$7,O2773=TH!$X$7),"x","")</f>
        <v/>
      </c>
      <c r="Y2773" s="75" t="str">
        <f>IF(AND(OR(N2773="131",O2773="131"),H2773='131-CT'!$H$9),"x","")</f>
        <v/>
      </c>
      <c r="Z2773" s="75"/>
      <c r="AA2773" s="75" t="str">
        <f>IF(AND(MONTH(E2773)='IN-NX'!$J$5,'IN-NX'!$D$7=D2773),"x","")</f>
        <v/>
      </c>
      <c r="AB2773" s="75" t="str">
        <f>IF(AND(OR(LEFT(TH!N2773,2)="15",LEFT(TH!O2773,2)="15"),LEFT(TH!O2773,3)&lt;&gt;"111",'152-CT'!$J$8=TH!F2773),"x","")</f>
        <v/>
      </c>
      <c r="AC2773" s="75" t="str">
        <f>IF(AND(OR(LEFT(TH!N2773,2)="15",LEFT(TH!O2773,2)="15"),TK!$E$7=TH!F2773),"x","")</f>
        <v/>
      </c>
      <c r="AD2773" s="75" t="str">
        <f>IF(AND(N2773="1521",MONTH(C2773)='BK-NL'!$M$11),"x","")</f>
        <v/>
      </c>
    </row>
    <row r="2774" spans="1:30" s="1264" customFormat="1" ht="16.5" customHeight="1">
      <c r="A2774" s="309" t="str">
        <f>IF(B2774&lt;&gt;"",IF(AND(B2774='IN-TC'!$S$4,OR(TH!N2774="1111",TH!O2774="1111")),TH!D2774,""),"")</f>
        <v/>
      </c>
      <c r="B2774" s="1313">
        <f t="shared" si="968"/>
        <v>3</v>
      </c>
      <c r="C2774" s="71">
        <v>42796</v>
      </c>
      <c r="D2774" s="71" t="s">
        <v>902</v>
      </c>
      <c r="E2774" s="71">
        <v>42796</v>
      </c>
      <c r="F2774" s="72" t="s">
        <v>1010</v>
      </c>
      <c r="G2774" s="72" t="s">
        <v>747</v>
      </c>
      <c r="H2774" s="735" t="s">
        <v>784</v>
      </c>
      <c r="I2774" s="371"/>
      <c r="J2774" s="377"/>
      <c r="K2774" s="371"/>
      <c r="L2774" s="377"/>
      <c r="M2774" s="933">
        <v>35640000</v>
      </c>
      <c r="N2774" s="1224" t="s">
        <v>99</v>
      </c>
      <c r="O2774" s="75" t="s">
        <v>250</v>
      </c>
      <c r="P2774" s="75" t="str">
        <f>IF(AND('331-CT'!$E$7=TH!H2774,OR(N2774="331",O2774="331")),"x","")</f>
        <v/>
      </c>
      <c r="Q2774" s="75" t="str">
        <f>IF(AND(B2774='111'!$L$11,OR($N2774=$Q$7,$O2774=$Q$7)),"x","")</f>
        <v/>
      </c>
      <c r="R2774" s="75" t="str">
        <f>IF(AND($N2774=$Q$7,$B2774&lt;'111'!$L$11),"x","")</f>
        <v/>
      </c>
      <c r="S2774" s="75" t="str">
        <f>IF(AND($O2774=$Q$7,$B2774&lt;'111'!$L$11),"x","")</f>
        <v/>
      </c>
      <c r="T2774" s="75" t="str">
        <f>IF(ISERROR(FIND('112'!$M$9,G2774,1)),"",IF((AND(FIND('112'!$M$9,G2774,1)&gt;=1,B2774='112'!$K$9,OR($N2774='112'!$I$6,$O2774='112'!$I$6))),"x",""))</f>
        <v/>
      </c>
      <c r="U2774" s="75" t="str">
        <f>IF(ISERROR(FIND('112'!$M$9,G2774,1)),"",IF((AND(LEFT(G2774,2)=LEFT('112'!$M$9,2),B2774&lt;'112'!$K$9,$N2774='112'!$I$6)),"x",""))</f>
        <v/>
      </c>
      <c r="V2774" s="75" t="str">
        <f>IF(ISERROR(FIND('112'!$M$9,G2774,1)),"",IF((AND(RIGHT(G2774,2)=RIGHT('112'!$M$9,2),B2774&lt;'112'!$K$9,$O2774='112'!$I$6)),"x",""))</f>
        <v/>
      </c>
      <c r="W2774" s="75" t="str">
        <f>IF(AND('341-CT'!$H$9=H2774,OR(LEFT(N2774,3)=$W$7,LEFT(O2774,3)=$W$7)),"x","")</f>
        <v/>
      </c>
      <c r="X2774" s="75" t="str">
        <f>IF(OR(TH!N2774=TH!$X$7,O2774=TH!$X$7),"x","")</f>
        <v/>
      </c>
      <c r="Y2774" s="75" t="str">
        <f>IF(AND(OR(N2774="131",O2774="131"),H2774='131-CT'!$H$9),"x","")</f>
        <v/>
      </c>
      <c r="Z2774" s="75"/>
      <c r="AA2774" s="75" t="str">
        <f>IF(AND(MONTH(E2774)='IN-NX'!$J$5,'IN-NX'!$D$7=D2774),"x","")</f>
        <v/>
      </c>
      <c r="AB2774" s="75" t="str">
        <f>IF(AND(OR(LEFT(TH!N2774,2)="15",LEFT(TH!O2774,2)="15"),LEFT(TH!O2774,3)&lt;&gt;"111",'152-CT'!$J$8=TH!F2774),"x","")</f>
        <v/>
      </c>
      <c r="AC2774" s="75" t="str">
        <f>IF(AND(OR(LEFT(TH!N2774,2)="15",LEFT(TH!O2774,2)="15"),TK!$E$7=TH!F2774),"x","")</f>
        <v/>
      </c>
      <c r="AD2774" s="75" t="str">
        <f>IF(AND(N2774="1521",MONTH(C2774)='BK-NL'!$M$11),"x","")</f>
        <v/>
      </c>
    </row>
    <row r="2775" spans="1:30" s="1264" customFormat="1" ht="16.5" customHeight="1">
      <c r="A2775" s="309" t="str">
        <f>IF(B2775&lt;&gt;"",IF(AND(B2775='IN-TC'!$S$4,OR(TH!N2775="1111",TH!O2775="1111")),TH!D2775,""),"")</f>
        <v/>
      </c>
      <c r="B2775" s="1313">
        <f t="shared" si="968"/>
        <v>3</v>
      </c>
      <c r="C2775" s="71">
        <v>42797</v>
      </c>
      <c r="D2775" s="71" t="s">
        <v>902</v>
      </c>
      <c r="E2775" s="71">
        <v>42797</v>
      </c>
      <c r="F2775" s="72" t="s">
        <v>907</v>
      </c>
      <c r="G2775" s="72" t="s">
        <v>747</v>
      </c>
      <c r="H2775" s="735" t="s">
        <v>835</v>
      </c>
      <c r="I2775" s="371"/>
      <c r="J2775" s="377"/>
      <c r="K2775" s="371">
        <v>360300</v>
      </c>
      <c r="L2775" s="377">
        <v>22830</v>
      </c>
      <c r="M2775" s="74">
        <f>ROUND(K2775*L2775,0)</f>
        <v>8225649000</v>
      </c>
      <c r="N2775" s="1224" t="s">
        <v>26</v>
      </c>
      <c r="O2775" s="934" t="s">
        <v>256</v>
      </c>
      <c r="P2775" s="75" t="str">
        <f>IF(AND('331-CT'!$E$7=TH!H2775,OR(N2775="331",O2775="331")),"x","")</f>
        <v/>
      </c>
      <c r="Q2775" s="75" t="str">
        <f>IF(AND(B2775='111'!$L$11,OR($N2775=$Q$7,$O2775=$Q$7)),"x","")</f>
        <v/>
      </c>
      <c r="R2775" s="75" t="str">
        <f>IF(AND($N2775=$Q$7,$B2775&lt;'111'!$L$11),"x","")</f>
        <v/>
      </c>
      <c r="S2775" s="75" t="str">
        <f>IF(AND($O2775=$Q$7,$B2775&lt;'111'!$L$11),"x","")</f>
        <v/>
      </c>
      <c r="T2775" s="75" t="str">
        <f>IF(ISERROR(FIND('112'!$M$9,G2775,1)),"",IF((AND(FIND('112'!$M$9,G2775,1)&gt;=1,B2775='112'!$K$9,OR($N2775='112'!$I$6,$O2775='112'!$I$6))),"x",""))</f>
        <v/>
      </c>
      <c r="U2775" s="75" t="str">
        <f>IF(ISERROR(FIND('112'!$M$9,G2775,1)),"",IF((AND(LEFT(G2775,2)=LEFT('112'!$M$9,2),B2775&lt;'112'!$K$9,$N2775='112'!$I$6)),"x",""))</f>
        <v/>
      </c>
      <c r="V2775" s="75" t="str">
        <f>IF(ISERROR(FIND('112'!$M$9,G2775,1)),"",IF((AND(RIGHT(G2775,2)=RIGHT('112'!$M$9,2),B2775&lt;'112'!$K$9,$O2775='112'!$I$6)),"x",""))</f>
        <v/>
      </c>
      <c r="W2775" s="75" t="str">
        <f>IF(AND('341-CT'!$H$9=H2775,OR(LEFT(N2775,3)=$W$7,LEFT(O2775,3)=$W$7)),"x","")</f>
        <v/>
      </c>
      <c r="X2775" s="75" t="str">
        <f>IF(OR(TH!N2775=TH!$X$7,O2775=TH!$X$7),"x","")</f>
        <v/>
      </c>
      <c r="Y2775" s="75" t="str">
        <f>IF(AND(OR(N2775="131",O2775="131"),H2775='131-CT'!$H$9),"x","")</f>
        <v/>
      </c>
      <c r="Z2775" s="75"/>
      <c r="AA2775" s="75" t="str">
        <f>IF(AND(MONTH(E2775)='IN-NX'!$J$5,'IN-NX'!$D$7=D2775),"x","")</f>
        <v/>
      </c>
      <c r="AB2775" s="75" t="str">
        <f>IF(AND(OR(LEFT(TH!N2775,2)="15",LEFT(TH!O2775,2)="15"),LEFT(TH!O2775,3)&lt;&gt;"111",'152-CT'!$J$8=TH!F2775),"x","")</f>
        <v/>
      </c>
      <c r="AC2775" s="75" t="str">
        <f>IF(AND(OR(LEFT(TH!N2775,2)="15",LEFT(TH!O2775,2)="15"),TK!$E$7=TH!F2775),"x","")</f>
        <v/>
      </c>
      <c r="AD2775" s="75" t="str">
        <f>IF(AND(N2775="1521",MONTH(C2775)='BK-NL'!$M$11),"x","")</f>
        <v/>
      </c>
    </row>
    <row r="2776" spans="1:30" s="1264" customFormat="1" ht="16.5" customHeight="1">
      <c r="A2776" s="309" t="str">
        <f>IF(B2776&lt;&gt;"",IF(AND(B2776='IN-TC'!$S$4,OR(TH!N2776="1111",TH!O2776="1111")),TH!D2776,""),"")</f>
        <v/>
      </c>
      <c r="B2776" s="1313">
        <f t="shared" si="968"/>
        <v>3</v>
      </c>
      <c r="C2776" s="71">
        <v>42808</v>
      </c>
      <c r="D2776" s="71" t="s">
        <v>903</v>
      </c>
      <c r="E2776" s="71">
        <v>42808</v>
      </c>
      <c r="F2776" s="72" t="s">
        <v>1086</v>
      </c>
      <c r="G2776" s="72" t="s">
        <v>747</v>
      </c>
      <c r="H2776" s="735" t="s">
        <v>1387</v>
      </c>
      <c r="I2776" s="371"/>
      <c r="J2776" s="377"/>
      <c r="K2776" s="371">
        <v>14964.08</v>
      </c>
      <c r="L2776" s="377">
        <v>22800</v>
      </c>
      <c r="M2776" s="1214">
        <f t="shared" ref="M2776" si="982">ROUND(K2776*L2776,0)</f>
        <v>341181024</v>
      </c>
      <c r="N2776" s="1224" t="s">
        <v>256</v>
      </c>
      <c r="O2776" s="75" t="s">
        <v>536</v>
      </c>
      <c r="P2776" s="75" t="str">
        <f>IF(AND('331-CT'!$E$7=TH!H2776,OR(N2776="331",O2776="331")),"x","")</f>
        <v/>
      </c>
      <c r="Q2776" s="75" t="str">
        <f>IF(AND(B2776='111'!$L$11,OR($N2776=$Q$7,$O2776=$Q$7)),"x","")</f>
        <v/>
      </c>
      <c r="R2776" s="75" t="str">
        <f>IF(AND($N2776=$Q$7,$B2776&lt;'111'!$L$11),"x","")</f>
        <v/>
      </c>
      <c r="S2776" s="75" t="str">
        <f>IF(AND($O2776=$Q$7,$B2776&lt;'111'!$L$11),"x","")</f>
        <v/>
      </c>
      <c r="T2776" s="75" t="str">
        <f>IF(ISERROR(FIND('112'!$M$9,G2776,1)),"",IF((AND(FIND('112'!$M$9,G2776,1)&gt;=1,B2776='112'!$K$9,OR($N2776='112'!$I$6,$O2776='112'!$I$6))),"x",""))</f>
        <v/>
      </c>
      <c r="U2776" s="75" t="str">
        <f>IF(ISERROR(FIND('112'!$M$9,G2776,1)),"",IF((AND(LEFT(G2776,2)=LEFT('112'!$M$9,2),B2776&lt;'112'!$K$9,$N2776='112'!$I$6)),"x",""))</f>
        <v/>
      </c>
      <c r="V2776" s="75" t="str">
        <f>IF(ISERROR(FIND('112'!$M$9,G2776,1)),"",IF((AND(RIGHT(G2776,2)=RIGHT('112'!$M$9,2),B2776&lt;'112'!$K$9,$O2776='112'!$I$6)),"x",""))</f>
        <v/>
      </c>
      <c r="W2776" s="75" t="str">
        <f>IF(AND('341-CT'!$H$9=H2776,OR(LEFT(N2776,3)=$W$7,LEFT(O2776,3)=$W$7)),"x","")</f>
        <v/>
      </c>
      <c r="X2776" s="75" t="str">
        <f>IF(OR(TH!N2776=TH!$X$7,O2776=TH!$X$7),"x","")</f>
        <v/>
      </c>
      <c r="Y2776" s="75" t="str">
        <f>IF(AND(OR(N2776="131",O2776="131"),H2776='131-CT'!$H$9),"x","")</f>
        <v/>
      </c>
      <c r="Z2776" s="75"/>
      <c r="AA2776" s="75" t="str">
        <f>IF(AND(MONTH(E2776)='IN-NX'!$J$5,'IN-NX'!$D$7=D2776),"x","")</f>
        <v/>
      </c>
      <c r="AB2776" s="75" t="str">
        <f>IF(AND(OR(LEFT(TH!N2776,2)="15",LEFT(TH!O2776,2)="15"),LEFT(TH!O2776,3)&lt;&gt;"111",'152-CT'!$J$8=TH!F2776),"x","")</f>
        <v/>
      </c>
      <c r="AC2776" s="75" t="str">
        <f>IF(AND(OR(LEFT(TH!N2776,2)="15",LEFT(TH!O2776,2)="15"),TK!$E$7=TH!F2776),"x","")</f>
        <v/>
      </c>
      <c r="AD2776" s="75" t="str">
        <f>IF(AND(N2776="1521",MONTH(C2776)='BK-NL'!$M$11),"x","")</f>
        <v/>
      </c>
    </row>
    <row r="2777" spans="1:30" s="1264" customFormat="1" ht="16.5" customHeight="1">
      <c r="A2777" s="309" t="str">
        <f>IF(B2777&lt;&gt;"",IF(AND(B2777='IN-TC'!$S$4,OR(TH!N2777="1111",TH!O2777="1111")),TH!D2777,""),"")</f>
        <v/>
      </c>
      <c r="B2777" s="1313">
        <f t="shared" si="968"/>
        <v>3</v>
      </c>
      <c r="C2777" s="71">
        <v>42808</v>
      </c>
      <c r="D2777" s="71" t="s">
        <v>530</v>
      </c>
      <c r="E2777" s="71">
        <v>42808</v>
      </c>
      <c r="F2777" s="72" t="s">
        <v>1027</v>
      </c>
      <c r="G2777" s="72" t="s">
        <v>747</v>
      </c>
      <c r="H2777" s="735" t="s">
        <v>1387</v>
      </c>
      <c r="I2777" s="371"/>
      <c r="J2777" s="377"/>
      <c r="K2777" s="371">
        <v>35.92</v>
      </c>
      <c r="L2777" s="377">
        <v>22800</v>
      </c>
      <c r="M2777" s="933">
        <f t="shared" ref="M2777:M2780" si="983">ROUND(L2777*K2777,0)</f>
        <v>818976</v>
      </c>
      <c r="N2777" s="1224" t="s">
        <v>101</v>
      </c>
      <c r="O2777" s="75" t="s">
        <v>536</v>
      </c>
      <c r="P2777" s="75" t="str">
        <f>IF(AND('331-CT'!$E$7=TH!H2777,OR(N2777="331",O2777="331")),"x","")</f>
        <v/>
      </c>
      <c r="Q2777" s="75" t="str">
        <f>IF(AND(B2777='111'!$L$11,OR($N2777=$Q$7,$O2777=$Q$7)),"x","")</f>
        <v/>
      </c>
      <c r="R2777" s="75" t="str">
        <f>IF(AND($N2777=$Q$7,$B2777&lt;'111'!$L$11),"x","")</f>
        <v/>
      </c>
      <c r="S2777" s="75" t="str">
        <f>IF(AND($O2777=$Q$7,$B2777&lt;'111'!$L$11),"x","")</f>
        <v/>
      </c>
      <c r="T2777" s="75" t="str">
        <f>IF(ISERROR(FIND('112'!$M$9,G2777,1)),"",IF((AND(FIND('112'!$M$9,G2777,1)&gt;=1,B2777='112'!$K$9,OR($N2777='112'!$I$6,$O2777='112'!$I$6))),"x",""))</f>
        <v/>
      </c>
      <c r="U2777" s="75" t="str">
        <f>IF(ISERROR(FIND('112'!$M$9,G2777,1)),"",IF((AND(LEFT(G2777,2)=LEFT('112'!$M$9,2),B2777&lt;'112'!$K$9,$N2777='112'!$I$6)),"x",""))</f>
        <v/>
      </c>
      <c r="V2777" s="75" t="str">
        <f>IF(ISERROR(FIND('112'!$M$9,G2777,1)),"",IF((AND(RIGHT(G2777,2)=RIGHT('112'!$M$9,2),B2777&lt;'112'!$K$9,$O2777='112'!$I$6)),"x",""))</f>
        <v/>
      </c>
      <c r="W2777" s="75" t="str">
        <f>IF(AND('341-CT'!$H$9=H2777,OR(LEFT(N2777,3)=$W$7,LEFT(O2777,3)=$W$7)),"x","")</f>
        <v/>
      </c>
      <c r="X2777" s="75" t="str">
        <f>IF(OR(TH!N2777=TH!$X$7,O2777=TH!$X$7),"x","")</f>
        <v/>
      </c>
      <c r="Y2777" s="75" t="str">
        <f>IF(AND(OR(N2777="131",O2777="131"),H2777='131-CT'!$H$9),"x","")</f>
        <v/>
      </c>
      <c r="Z2777" s="75"/>
      <c r="AA2777" s="75" t="str">
        <f>IF(AND(MONTH(E2777)='IN-NX'!$J$5,'IN-NX'!$D$7=D2777),"x","")</f>
        <v/>
      </c>
      <c r="AB2777" s="75" t="str">
        <f>IF(AND(OR(LEFT(TH!N2777,2)="15",LEFT(TH!O2777,2)="15"),LEFT(TH!O2777,3)&lt;&gt;"111",'152-CT'!$J$8=TH!F2777),"x","")</f>
        <v/>
      </c>
      <c r="AC2777" s="75" t="str">
        <f>IF(AND(OR(LEFT(TH!N2777,2)="15",LEFT(TH!O2777,2)="15"),TK!$E$7=TH!F2777),"x","")</f>
        <v/>
      </c>
      <c r="AD2777" s="75" t="str">
        <f>IF(AND(N2777="1521",MONTH(C2777)='BK-NL'!$M$11),"x","")</f>
        <v/>
      </c>
    </row>
    <row r="2778" spans="1:30" s="1264" customFormat="1" ht="16.5" customHeight="1">
      <c r="A2778" s="309" t="str">
        <f>IF(B2778&lt;&gt;"",IF(AND(B2778='IN-TC'!$S$4,OR(TH!N2778="1111",TH!O2778="1111")),TH!D2778,""),"")</f>
        <v/>
      </c>
      <c r="B2778" s="1313">
        <f t="shared" si="968"/>
        <v>3</v>
      </c>
      <c r="C2778" s="71">
        <v>42808</v>
      </c>
      <c r="D2778" s="71" t="s">
        <v>902</v>
      </c>
      <c r="E2778" s="71">
        <v>42808</v>
      </c>
      <c r="F2778" s="72" t="s">
        <v>907</v>
      </c>
      <c r="G2778" s="72" t="s">
        <v>747</v>
      </c>
      <c r="H2778" s="735" t="s">
        <v>835</v>
      </c>
      <c r="I2778" s="371"/>
      <c r="J2778" s="377"/>
      <c r="K2778" s="371">
        <v>15000</v>
      </c>
      <c r="L2778" s="377">
        <v>22750</v>
      </c>
      <c r="M2778" s="933">
        <f t="shared" si="983"/>
        <v>341250000</v>
      </c>
      <c r="N2778" s="1224" t="s">
        <v>26</v>
      </c>
      <c r="O2778" s="934" t="s">
        <v>256</v>
      </c>
      <c r="P2778" s="75" t="str">
        <f>IF(AND('331-CT'!$E$7=TH!H2778,OR(N2778="331",O2778="331")),"x","")</f>
        <v/>
      </c>
      <c r="Q2778" s="75" t="str">
        <f>IF(AND(B2778='111'!$L$11,OR($N2778=$Q$7,$O2778=$Q$7)),"x","")</f>
        <v/>
      </c>
      <c r="R2778" s="75" t="str">
        <f>IF(AND($N2778=$Q$7,$B2778&lt;'111'!$L$11),"x","")</f>
        <v/>
      </c>
      <c r="S2778" s="75" t="str">
        <f>IF(AND($O2778=$Q$7,$B2778&lt;'111'!$L$11),"x","")</f>
        <v/>
      </c>
      <c r="T2778" s="75" t="str">
        <f>IF(ISERROR(FIND('112'!$M$9,G2778,1)),"",IF((AND(FIND('112'!$M$9,G2778,1)&gt;=1,B2778='112'!$K$9,OR($N2778='112'!$I$6,$O2778='112'!$I$6))),"x",""))</f>
        <v/>
      </c>
      <c r="U2778" s="75" t="str">
        <f>IF(ISERROR(FIND('112'!$M$9,G2778,1)),"",IF((AND(LEFT(G2778,2)=LEFT('112'!$M$9,2),B2778&lt;'112'!$K$9,$N2778='112'!$I$6)),"x",""))</f>
        <v/>
      </c>
      <c r="V2778" s="75" t="str">
        <f>IF(ISERROR(FIND('112'!$M$9,G2778,1)),"",IF((AND(RIGHT(G2778,2)=RIGHT('112'!$M$9,2),B2778&lt;'112'!$K$9,$O2778='112'!$I$6)),"x",""))</f>
        <v/>
      </c>
      <c r="W2778" s="75" t="str">
        <f>IF(AND('341-CT'!$H$9=H2778,OR(LEFT(N2778,3)=$W$7,LEFT(O2778,3)=$W$7)),"x","")</f>
        <v/>
      </c>
      <c r="X2778" s="75" t="str">
        <f>IF(OR(TH!N2778=TH!$X$7,O2778=TH!$X$7),"x","")</f>
        <v/>
      </c>
      <c r="Y2778" s="75" t="str">
        <f>IF(AND(OR(N2778="131",O2778="131"),H2778='131-CT'!$H$9),"x","")</f>
        <v/>
      </c>
      <c r="Z2778" s="75"/>
      <c r="AA2778" s="75" t="str">
        <f>IF(AND(MONTH(E2778)='IN-NX'!$J$5,'IN-NX'!$D$7=D2778),"x","")</f>
        <v/>
      </c>
      <c r="AB2778" s="75" t="str">
        <f>IF(AND(OR(LEFT(TH!N2778,2)="15",LEFT(TH!O2778,2)="15"),LEFT(TH!O2778,3)&lt;&gt;"111",'152-CT'!$J$8=TH!F2778),"x","")</f>
        <v/>
      </c>
      <c r="AC2778" s="75" t="str">
        <f>IF(AND(OR(LEFT(TH!N2778,2)="15",LEFT(TH!O2778,2)="15"),TK!$E$7=TH!F2778),"x","")</f>
        <v/>
      </c>
      <c r="AD2778" s="75" t="str">
        <f>IF(AND(N2778="1521",MONTH(C2778)='BK-NL'!$M$11),"x","")</f>
        <v/>
      </c>
    </row>
    <row r="2779" spans="1:30" s="1264" customFormat="1" ht="16.5" customHeight="1">
      <c r="A2779" s="309" t="str">
        <f>IF(B2779&lt;&gt;"",IF(AND(B2779='IN-TC'!$S$4,OR(TH!N2779="1111",TH!O2779="1111")),TH!D2779,""),"")</f>
        <v/>
      </c>
      <c r="B2779" s="1313">
        <f t="shared" ref="B2779:B2845" si="984">IF(C2779&lt;&gt;"",MONTH(C2779),"")</f>
        <v>3</v>
      </c>
      <c r="C2779" s="71">
        <v>42810</v>
      </c>
      <c r="D2779" s="71" t="s">
        <v>903</v>
      </c>
      <c r="E2779" s="71">
        <v>42810</v>
      </c>
      <c r="F2779" s="72" t="s">
        <v>1199</v>
      </c>
      <c r="G2779" s="72" t="s">
        <v>747</v>
      </c>
      <c r="H2779" s="735" t="s">
        <v>546</v>
      </c>
      <c r="I2779" s="371"/>
      <c r="J2779" s="377"/>
      <c r="K2779" s="371">
        <v>24972</v>
      </c>
      <c r="L2779" s="377">
        <v>22750</v>
      </c>
      <c r="M2779" s="1214">
        <f t="shared" ref="M2779" si="985">ROUND(K2779*L2779,0)</f>
        <v>568113000</v>
      </c>
      <c r="N2779" s="1224" t="s">
        <v>256</v>
      </c>
      <c r="O2779" s="75" t="s">
        <v>536</v>
      </c>
      <c r="P2779" s="75" t="str">
        <f>IF(AND('331-CT'!$E$7=TH!H2779,OR(N2779="331",O2779="331")),"x","")</f>
        <v/>
      </c>
      <c r="Q2779" s="75" t="str">
        <f>IF(AND(B2779='111'!$L$11,OR($N2779=$Q$7,$O2779=$Q$7)),"x","")</f>
        <v/>
      </c>
      <c r="R2779" s="75" t="str">
        <f>IF(AND($N2779=$Q$7,$B2779&lt;'111'!$L$11),"x","")</f>
        <v/>
      </c>
      <c r="S2779" s="75" t="str">
        <f>IF(AND($O2779=$Q$7,$B2779&lt;'111'!$L$11),"x","")</f>
        <v/>
      </c>
      <c r="T2779" s="75" t="str">
        <f>IF(ISERROR(FIND('112'!$M$9,G2779,1)),"",IF((AND(FIND('112'!$M$9,G2779,1)&gt;=1,B2779='112'!$K$9,OR($N2779='112'!$I$6,$O2779='112'!$I$6))),"x",""))</f>
        <v/>
      </c>
      <c r="U2779" s="75" t="str">
        <f>IF(ISERROR(FIND('112'!$M$9,G2779,1)),"",IF((AND(LEFT(G2779,2)=LEFT('112'!$M$9,2),B2779&lt;'112'!$K$9,$N2779='112'!$I$6)),"x",""))</f>
        <v/>
      </c>
      <c r="V2779" s="75" t="str">
        <f>IF(ISERROR(FIND('112'!$M$9,G2779,1)),"",IF((AND(RIGHT(G2779,2)=RIGHT('112'!$M$9,2),B2779&lt;'112'!$K$9,$O2779='112'!$I$6)),"x",""))</f>
        <v/>
      </c>
      <c r="W2779" s="75" t="str">
        <f>IF(AND('341-CT'!$H$9=H2779,OR(LEFT(N2779,3)=$W$7,LEFT(O2779,3)=$W$7)),"x","")</f>
        <v/>
      </c>
      <c r="X2779" s="75" t="str">
        <f>IF(OR(TH!N2779=TH!$X$7,O2779=TH!$X$7),"x","")</f>
        <v/>
      </c>
      <c r="Y2779" s="75" t="str">
        <f>IF(AND(OR(N2779="131",O2779="131"),H2779='131-CT'!$H$9),"x","")</f>
        <v/>
      </c>
      <c r="Z2779" s="75"/>
      <c r="AA2779" s="75" t="str">
        <f>IF(AND(MONTH(E2779)='IN-NX'!$J$5,'IN-NX'!$D$7=D2779),"x","")</f>
        <v/>
      </c>
      <c r="AB2779" s="75" t="str">
        <f>IF(AND(OR(LEFT(TH!N2779,2)="15",LEFT(TH!O2779,2)="15"),LEFT(TH!O2779,3)&lt;&gt;"111",'152-CT'!$J$8=TH!F2779),"x","")</f>
        <v/>
      </c>
      <c r="AC2779" s="75" t="str">
        <f>IF(AND(OR(LEFT(TH!N2779,2)="15",LEFT(TH!O2779,2)="15"),TK!$E$7=TH!F2779),"x","")</f>
        <v/>
      </c>
      <c r="AD2779" s="75" t="str">
        <f>IF(AND(N2779="1521",MONTH(C2779)='BK-NL'!$M$11),"x","")</f>
        <v/>
      </c>
    </row>
    <row r="2780" spans="1:30" s="1264" customFormat="1" ht="16.5" customHeight="1">
      <c r="A2780" s="309" t="str">
        <f>IF(B2780&lt;&gt;"",IF(AND(B2780='IN-TC'!$S$4,OR(TH!N2780="1111",TH!O2780="1111")),TH!D2780,""),"")</f>
        <v/>
      </c>
      <c r="B2780" s="1313">
        <f t="shared" si="984"/>
        <v>3</v>
      </c>
      <c r="C2780" s="71">
        <v>42810</v>
      </c>
      <c r="D2780" s="71" t="s">
        <v>530</v>
      </c>
      <c r="E2780" s="71">
        <v>42810</v>
      </c>
      <c r="F2780" s="72" t="s">
        <v>1027</v>
      </c>
      <c r="G2780" s="72" t="s">
        <v>747</v>
      </c>
      <c r="H2780" s="735" t="s">
        <v>546</v>
      </c>
      <c r="I2780" s="371"/>
      <c r="J2780" s="377"/>
      <c r="K2780" s="371">
        <v>84</v>
      </c>
      <c r="L2780" s="377">
        <v>22750</v>
      </c>
      <c r="M2780" s="933">
        <f t="shared" si="983"/>
        <v>1911000</v>
      </c>
      <c r="N2780" s="1224" t="s">
        <v>101</v>
      </c>
      <c r="O2780" s="75" t="s">
        <v>536</v>
      </c>
      <c r="P2780" s="75" t="str">
        <f>IF(AND('331-CT'!$E$7=TH!H2780,OR(N2780="331",O2780="331")),"x","")</f>
        <v/>
      </c>
      <c r="Q2780" s="75" t="str">
        <f>IF(AND(B2780='111'!$L$11,OR($N2780=$Q$7,$O2780=$Q$7)),"x","")</f>
        <v/>
      </c>
      <c r="R2780" s="75" t="str">
        <f>IF(AND($N2780=$Q$7,$B2780&lt;'111'!$L$11),"x","")</f>
        <v/>
      </c>
      <c r="S2780" s="75" t="str">
        <f>IF(AND($O2780=$Q$7,$B2780&lt;'111'!$L$11),"x","")</f>
        <v/>
      </c>
      <c r="T2780" s="75" t="str">
        <f>IF(ISERROR(FIND('112'!$M$9,G2780,1)),"",IF((AND(FIND('112'!$M$9,G2780,1)&gt;=1,B2780='112'!$K$9,OR($N2780='112'!$I$6,$O2780='112'!$I$6))),"x",""))</f>
        <v/>
      </c>
      <c r="U2780" s="75" t="str">
        <f>IF(ISERROR(FIND('112'!$M$9,G2780,1)),"",IF((AND(LEFT(G2780,2)=LEFT('112'!$M$9,2),B2780&lt;'112'!$K$9,$N2780='112'!$I$6)),"x",""))</f>
        <v/>
      </c>
      <c r="V2780" s="75" t="str">
        <f>IF(ISERROR(FIND('112'!$M$9,G2780,1)),"",IF((AND(RIGHT(G2780,2)=RIGHT('112'!$M$9,2),B2780&lt;'112'!$K$9,$O2780='112'!$I$6)),"x",""))</f>
        <v/>
      </c>
      <c r="W2780" s="75" t="str">
        <f>IF(AND('341-CT'!$H$9=H2780,OR(LEFT(N2780,3)=$W$7,LEFT(O2780,3)=$W$7)),"x","")</f>
        <v/>
      </c>
      <c r="X2780" s="75" t="str">
        <f>IF(OR(TH!N2780=TH!$X$7,O2780=TH!$X$7),"x","")</f>
        <v/>
      </c>
      <c r="Y2780" s="75" t="str">
        <f>IF(AND(OR(N2780="131",O2780="131"),H2780='131-CT'!$H$9),"x","")</f>
        <v/>
      </c>
      <c r="Z2780" s="75"/>
      <c r="AA2780" s="75" t="str">
        <f>IF(AND(MONTH(E2780)='IN-NX'!$J$5,'IN-NX'!$D$7=D2780),"x","")</f>
        <v/>
      </c>
      <c r="AB2780" s="75" t="str">
        <f>IF(AND(OR(LEFT(TH!N2780,2)="15",LEFT(TH!O2780,2)="15"),LEFT(TH!O2780,3)&lt;&gt;"111",'152-CT'!$J$8=TH!F2780),"x","")</f>
        <v/>
      </c>
      <c r="AC2780" s="75" t="str">
        <f>IF(AND(OR(LEFT(TH!N2780,2)="15",LEFT(TH!O2780,2)="15"),TK!$E$7=TH!F2780),"x","")</f>
        <v/>
      </c>
      <c r="AD2780" s="75" t="str">
        <f>IF(AND(N2780="1521",MONTH(C2780)='BK-NL'!$M$11),"x","")</f>
        <v/>
      </c>
    </row>
    <row r="2781" spans="1:30" s="1264" customFormat="1" ht="16.5" customHeight="1">
      <c r="A2781" s="309" t="str">
        <f>IF(B2781&lt;&gt;"",IF(AND(B2781='IN-TC'!$S$4,OR(TH!N2781="1111",TH!O2781="1111")),TH!D2781,""),"")</f>
        <v/>
      </c>
      <c r="B2781" s="1313">
        <f t="shared" si="984"/>
        <v>3</v>
      </c>
      <c r="C2781" s="71">
        <v>42810</v>
      </c>
      <c r="D2781" s="71" t="s">
        <v>530</v>
      </c>
      <c r="E2781" s="71">
        <v>42810</v>
      </c>
      <c r="F2781" s="72" t="s">
        <v>1010</v>
      </c>
      <c r="G2781" s="72" t="s">
        <v>747</v>
      </c>
      <c r="H2781" s="735" t="s">
        <v>546</v>
      </c>
      <c r="I2781" s="371"/>
      <c r="J2781" s="377"/>
      <c r="K2781" s="371"/>
      <c r="L2781" s="377"/>
      <c r="M2781" s="933">
        <v>1127520</v>
      </c>
      <c r="N2781" s="1224" t="s">
        <v>99</v>
      </c>
      <c r="O2781" s="75" t="s">
        <v>536</v>
      </c>
      <c r="P2781" s="75" t="str">
        <f>IF(AND('331-CT'!$E$7=TH!H2781,OR(N2781="331",O2781="331")),"x","")</f>
        <v/>
      </c>
      <c r="Q2781" s="75" t="str">
        <f>IF(AND(B2781='111'!$L$11,OR($N2781=$Q$7,$O2781=$Q$7)),"x","")</f>
        <v/>
      </c>
      <c r="R2781" s="75" t="str">
        <f>IF(AND($N2781=$Q$7,$B2781&lt;'111'!$L$11),"x","")</f>
        <v/>
      </c>
      <c r="S2781" s="75" t="str">
        <f>IF(AND($O2781=$Q$7,$B2781&lt;'111'!$L$11),"x","")</f>
        <v/>
      </c>
      <c r="T2781" s="75" t="str">
        <f>IF(ISERROR(FIND('112'!$M$9,G2781,1)),"",IF((AND(FIND('112'!$M$9,G2781,1)&gt;=1,B2781='112'!$K$9,OR($N2781='112'!$I$6,$O2781='112'!$I$6))),"x",""))</f>
        <v/>
      </c>
      <c r="U2781" s="75" t="str">
        <f>IF(ISERROR(FIND('112'!$M$9,G2781,1)),"",IF((AND(LEFT(G2781,2)=LEFT('112'!$M$9,2),B2781&lt;'112'!$K$9,$N2781='112'!$I$6)),"x",""))</f>
        <v/>
      </c>
      <c r="V2781" s="75" t="str">
        <f>IF(ISERROR(FIND('112'!$M$9,G2781,1)),"",IF((AND(RIGHT(G2781,2)=RIGHT('112'!$M$9,2),B2781&lt;'112'!$K$9,$O2781='112'!$I$6)),"x",""))</f>
        <v/>
      </c>
      <c r="W2781" s="75" t="str">
        <f>IF(AND('341-CT'!$H$9=H2781,OR(LEFT(N2781,3)=$W$7,LEFT(O2781,3)=$W$7)),"x","")</f>
        <v/>
      </c>
      <c r="X2781" s="75" t="str">
        <f>IF(OR(TH!N2781=TH!$X$7,O2781=TH!$X$7),"x","")</f>
        <v/>
      </c>
      <c r="Y2781" s="75" t="str">
        <f>IF(AND(OR(N2781="131",O2781="131"),H2781='131-CT'!$H$9),"x","")</f>
        <v/>
      </c>
      <c r="Z2781" s="75"/>
      <c r="AA2781" s="75" t="str">
        <f>IF(AND(MONTH(E2781)='IN-NX'!$J$5,'IN-NX'!$D$7=D2781),"x","")</f>
        <v/>
      </c>
      <c r="AB2781" s="75" t="str">
        <f>IF(AND(OR(LEFT(TH!N2781,2)="15",LEFT(TH!O2781,2)="15"),LEFT(TH!O2781,3)&lt;&gt;"111",'152-CT'!$J$8=TH!F2781),"x","")</f>
        <v/>
      </c>
      <c r="AC2781" s="75" t="str">
        <f>IF(AND(OR(LEFT(TH!N2781,2)="15",LEFT(TH!O2781,2)="15"),TK!$E$7=TH!F2781),"x","")</f>
        <v/>
      </c>
      <c r="AD2781" s="75" t="str">
        <f>IF(AND(N2781="1521",MONTH(C2781)='BK-NL'!$M$11),"x","")</f>
        <v/>
      </c>
    </row>
    <row r="2782" spans="1:30" s="1264" customFormat="1" ht="16.5" customHeight="1">
      <c r="A2782" s="309" t="str">
        <f>IF(B2782&lt;&gt;"",IF(AND(B2782='IN-TC'!$S$4,OR(TH!N2782="1111",TH!O2782="1111")),TH!D2782,""),"")</f>
        <v/>
      </c>
      <c r="B2782" s="1313">
        <f t="shared" si="984"/>
        <v>3</v>
      </c>
      <c r="C2782" s="71">
        <v>42810</v>
      </c>
      <c r="D2782" s="71" t="s">
        <v>902</v>
      </c>
      <c r="E2782" s="71">
        <v>42810</v>
      </c>
      <c r="F2782" s="72" t="s">
        <v>1096</v>
      </c>
      <c r="G2782" s="72" t="s">
        <v>747</v>
      </c>
      <c r="H2782" s="735" t="s">
        <v>1638</v>
      </c>
      <c r="I2782" s="371"/>
      <c r="J2782" s="377"/>
      <c r="K2782" s="371">
        <v>11.9</v>
      </c>
      <c r="L2782" s="377">
        <v>22750</v>
      </c>
      <c r="M2782" s="74">
        <f t="shared" ref="M2782" si="986">ROUND(K2782*L2782,0)</f>
        <v>270725</v>
      </c>
      <c r="N2782" s="75" t="s">
        <v>99</v>
      </c>
      <c r="O2782" s="934" t="s">
        <v>256</v>
      </c>
      <c r="P2782" s="75" t="str">
        <f>IF(AND('331-CT'!$E$7=TH!H2782,OR(N2782="331",O2782="331")),"x","")</f>
        <v/>
      </c>
      <c r="Q2782" s="75" t="str">
        <f>IF(AND(B2782='111'!$L$11,OR($N2782=$Q$7,$O2782=$Q$7)),"x","")</f>
        <v/>
      </c>
      <c r="R2782" s="75" t="str">
        <f>IF(AND($N2782=$Q$7,$B2782&lt;'111'!$L$11),"x","")</f>
        <v/>
      </c>
      <c r="S2782" s="75" t="str">
        <f>IF(AND($O2782=$Q$7,$B2782&lt;'111'!$L$11),"x","")</f>
        <v/>
      </c>
      <c r="T2782" s="75" t="str">
        <f>IF(ISERROR(FIND('112'!$M$9,G2782,1)),"",IF((AND(FIND('112'!$M$9,G2782,1)&gt;=1,B2782='112'!$K$9,OR($N2782='112'!$I$6,$O2782='112'!$I$6))),"x",""))</f>
        <v/>
      </c>
      <c r="U2782" s="75" t="str">
        <f>IF(ISERROR(FIND('112'!$M$9,G2782,1)),"",IF((AND(LEFT(G2782,2)=LEFT('112'!$M$9,2),B2782&lt;'112'!$K$9,$N2782='112'!$I$6)),"x",""))</f>
        <v/>
      </c>
      <c r="V2782" s="75" t="str">
        <f>IF(ISERROR(FIND('112'!$M$9,G2782,1)),"",IF((AND(RIGHT(G2782,2)=RIGHT('112'!$M$9,2),B2782&lt;'112'!$K$9,$O2782='112'!$I$6)),"x",""))</f>
        <v/>
      </c>
      <c r="W2782" s="75" t="str">
        <f>IF(AND('341-CT'!$H$9=H2782,OR(LEFT(N2782,3)=$W$7,LEFT(O2782,3)=$W$7)),"x","")</f>
        <v/>
      </c>
      <c r="X2782" s="75" t="str">
        <f>IF(OR(TH!N2782=TH!$X$7,O2782=TH!$X$7),"x","")</f>
        <v/>
      </c>
      <c r="Y2782" s="75" t="str">
        <f>IF(AND(OR(N2782="131",O2782="131"),H2782='131-CT'!$H$9),"x","")</f>
        <v/>
      </c>
      <c r="Z2782" s="75"/>
      <c r="AA2782" s="75" t="str">
        <f>IF(AND(MONTH(E2782)='IN-NX'!$J$5,'IN-NX'!$D$7=D2782),"x","")</f>
        <v/>
      </c>
      <c r="AB2782" s="75" t="str">
        <f>IF(AND(OR(LEFT(TH!N2782,2)="15",LEFT(TH!O2782,2)="15"),LEFT(TH!O2782,3)&lt;&gt;"111",'152-CT'!$J$8=TH!F2782),"x","")</f>
        <v/>
      </c>
      <c r="AC2782" s="75" t="str">
        <f>IF(AND(OR(LEFT(TH!N2782,2)="15",LEFT(TH!O2782,2)="15"),TK!$E$7=TH!F2782),"x","")</f>
        <v/>
      </c>
      <c r="AD2782" s="75" t="str">
        <f>IF(AND(N2782="1521",MONTH(C2782)='BK-NL'!$M$11),"x","")</f>
        <v/>
      </c>
    </row>
    <row r="2783" spans="1:30" s="1264" customFormat="1" ht="16.5" customHeight="1">
      <c r="A2783" s="309" t="str">
        <f>IF(B2783&lt;&gt;"",IF(AND(B2783='IN-TC'!$S$4,OR(TH!N2783="1111",TH!O2783="1111")),TH!D2783,""),"")</f>
        <v/>
      </c>
      <c r="B2783" s="1313">
        <f t="shared" si="984"/>
        <v>3</v>
      </c>
      <c r="C2783" s="71">
        <v>42810</v>
      </c>
      <c r="D2783" s="71" t="s">
        <v>902</v>
      </c>
      <c r="E2783" s="71">
        <v>42810</v>
      </c>
      <c r="F2783" s="72" t="s">
        <v>1321</v>
      </c>
      <c r="G2783" s="72" t="s">
        <v>747</v>
      </c>
      <c r="H2783" s="72" t="s">
        <v>2449</v>
      </c>
      <c r="I2783" s="371"/>
      <c r="J2783" s="377"/>
      <c r="K2783" s="371">
        <v>23800</v>
      </c>
      <c r="L2783" s="377">
        <v>22750</v>
      </c>
      <c r="M2783" s="74">
        <f t="shared" ref="M2783" si="987">ROUND(K2783*L2783,0)</f>
        <v>541450000</v>
      </c>
      <c r="N2783" s="1224" t="s">
        <v>250</v>
      </c>
      <c r="O2783" s="934" t="s">
        <v>256</v>
      </c>
      <c r="P2783" s="75" t="str">
        <f>IF(AND('331-CT'!$E$7=TH!H2783,OR(N2783="331",O2783="331")),"x","")</f>
        <v/>
      </c>
      <c r="Q2783" s="75" t="str">
        <f>IF(AND(B2783='111'!$L$11,OR($N2783=$Q$7,$O2783=$Q$7)),"x","")</f>
        <v/>
      </c>
      <c r="R2783" s="75" t="str">
        <f>IF(AND($N2783=$Q$7,$B2783&lt;'111'!$L$11),"x","")</f>
        <v/>
      </c>
      <c r="S2783" s="75" t="str">
        <f>IF(AND($O2783=$Q$7,$B2783&lt;'111'!$L$11),"x","")</f>
        <v/>
      </c>
      <c r="T2783" s="75" t="str">
        <f>IF(ISERROR(FIND('112'!$M$9,G2783,1)),"",IF((AND(FIND('112'!$M$9,G2783,1)&gt;=1,B2783='112'!$K$9,OR($N2783='112'!$I$6,$O2783='112'!$I$6))),"x",""))</f>
        <v/>
      </c>
      <c r="U2783" s="75" t="str">
        <f>IF(ISERROR(FIND('112'!$M$9,G2783,1)),"",IF((AND(LEFT(G2783,2)=LEFT('112'!$M$9,2),B2783&lt;'112'!$K$9,$N2783='112'!$I$6)),"x",""))</f>
        <v/>
      </c>
      <c r="V2783" s="75" t="str">
        <f>IF(ISERROR(FIND('112'!$M$9,G2783,1)),"",IF((AND(RIGHT(G2783,2)=RIGHT('112'!$M$9,2),B2783&lt;'112'!$K$9,$O2783='112'!$I$6)),"x",""))</f>
        <v/>
      </c>
      <c r="W2783" s="75" t="str">
        <f>IF(AND('341-CT'!$H$9=H2783,OR(LEFT(N2783,3)=$W$7,LEFT(O2783,3)=$W$7)),"x","")</f>
        <v/>
      </c>
      <c r="X2783" s="75" t="str">
        <f>IF(OR(TH!N2783=TH!$X$7,O2783=TH!$X$7),"x","")</f>
        <v/>
      </c>
      <c r="Y2783" s="75" t="str">
        <f>IF(AND(OR(N2783="131",O2783="131"),H2783='131-CT'!$H$9),"x","")</f>
        <v/>
      </c>
      <c r="Z2783" s="75"/>
      <c r="AA2783" s="75" t="str">
        <f>IF(AND(MONTH(E2783)='IN-NX'!$J$5,'IN-NX'!$D$7=D2783),"x","")</f>
        <v/>
      </c>
      <c r="AB2783" s="75" t="str">
        <f>IF(AND(OR(LEFT(TH!N2783,2)="15",LEFT(TH!O2783,2)="15"),LEFT(TH!O2783,3)&lt;&gt;"111",'152-CT'!$J$8=TH!F2783),"x","")</f>
        <v/>
      </c>
      <c r="AC2783" s="75" t="str">
        <f>IF(AND(OR(LEFT(TH!N2783,2)="15",LEFT(TH!O2783,2)="15"),TK!$E$7=TH!F2783),"x","")</f>
        <v/>
      </c>
      <c r="AD2783" s="75" t="str">
        <f>IF(AND(N2783="1521",MONTH(C2783)='BK-NL'!$M$11),"x","")</f>
        <v/>
      </c>
    </row>
    <row r="2784" spans="1:30" s="1264" customFormat="1" ht="16.5" customHeight="1">
      <c r="A2784" s="309" t="str">
        <f>IF(B2784&lt;&gt;"",IF(AND(B2784='IN-TC'!$S$4,OR(TH!N2784="1111",TH!O2784="1111")),TH!D2784,""),"")</f>
        <v/>
      </c>
      <c r="B2784" s="1313">
        <f t="shared" si="984"/>
        <v>3</v>
      </c>
      <c r="C2784" s="71">
        <v>42810</v>
      </c>
      <c r="D2784" s="71" t="s">
        <v>530</v>
      </c>
      <c r="E2784" s="71">
        <v>42810</v>
      </c>
      <c r="F2784" s="72" t="s">
        <v>1010</v>
      </c>
      <c r="G2784" s="72" t="s">
        <v>747</v>
      </c>
      <c r="H2784" s="72" t="s">
        <v>2449</v>
      </c>
      <c r="I2784" s="371"/>
      <c r="J2784" s="377"/>
      <c r="K2784" s="371"/>
      <c r="L2784" s="377"/>
      <c r="M2784" s="933">
        <v>952000</v>
      </c>
      <c r="N2784" s="1224" t="s">
        <v>250</v>
      </c>
      <c r="O2784" s="934" t="s">
        <v>43</v>
      </c>
      <c r="P2784" s="75" t="str">
        <f>IF(AND('331-CT'!$E$7=TH!H2784,OR(N2784="331",O2784="331")),"x","")</f>
        <v/>
      </c>
      <c r="Q2784" s="75" t="str">
        <f>IF(AND(B2784='111'!$L$11,OR($N2784=$Q$7,$O2784=$Q$7)),"x","")</f>
        <v/>
      </c>
      <c r="R2784" s="75" t="str">
        <f>IF(AND($N2784=$Q$7,$B2784&lt;'111'!$L$11),"x","")</f>
        <v/>
      </c>
      <c r="S2784" s="75" t="str">
        <f>IF(AND($O2784=$Q$7,$B2784&lt;'111'!$L$11),"x","")</f>
        <v/>
      </c>
      <c r="T2784" s="75" t="str">
        <f>IF(ISERROR(FIND('112'!$M$9,G2784,1)),"",IF((AND(FIND('112'!$M$9,G2784,1)&gt;=1,B2784='112'!$K$9,OR($N2784='112'!$I$6,$O2784='112'!$I$6))),"x",""))</f>
        <v/>
      </c>
      <c r="U2784" s="75" t="str">
        <f>IF(ISERROR(FIND('112'!$M$9,G2784,1)),"",IF((AND(LEFT(G2784,2)=LEFT('112'!$M$9,2),B2784&lt;'112'!$K$9,$N2784='112'!$I$6)),"x",""))</f>
        <v/>
      </c>
      <c r="V2784" s="75" t="str">
        <f>IF(ISERROR(FIND('112'!$M$9,G2784,1)),"",IF((AND(RIGHT(G2784,2)=RIGHT('112'!$M$9,2),B2784&lt;'112'!$K$9,$O2784='112'!$I$6)),"x",""))</f>
        <v/>
      </c>
      <c r="W2784" s="75" t="str">
        <f>IF(AND('341-CT'!$H$9=H2784,OR(LEFT(N2784,3)=$W$7,LEFT(O2784,3)=$W$7)),"x","")</f>
        <v/>
      </c>
      <c r="X2784" s="75" t="str">
        <f>IF(OR(TH!N2784=TH!$X$7,O2784=TH!$X$7),"x","")</f>
        <v/>
      </c>
      <c r="Y2784" s="75" t="str">
        <f>IF(AND(OR(N2784="131",O2784="131"),H2784='131-CT'!$H$9),"x","")</f>
        <v/>
      </c>
      <c r="Z2784" s="75"/>
      <c r="AA2784" s="75" t="str">
        <f>IF(AND(MONTH(E2784)='IN-NX'!$J$5,'IN-NX'!$D$7=D2784),"x","")</f>
        <v/>
      </c>
      <c r="AB2784" s="75" t="str">
        <f>IF(AND(OR(LEFT(TH!N2784,2)="15",LEFT(TH!O2784,2)="15"),LEFT(TH!O2784,3)&lt;&gt;"111",'152-CT'!$J$8=TH!F2784),"x","")</f>
        <v/>
      </c>
      <c r="AC2784" s="75" t="str">
        <f>IF(AND(OR(LEFT(TH!N2784,2)="15",LEFT(TH!O2784,2)="15"),TK!$E$7=TH!F2784),"x","")</f>
        <v/>
      </c>
      <c r="AD2784" s="75" t="str">
        <f>IF(AND(N2784="1521",MONTH(C2784)='BK-NL'!$M$11),"x","")</f>
        <v/>
      </c>
    </row>
    <row r="2785" spans="1:30" s="1264" customFormat="1" ht="16.5" customHeight="1">
      <c r="A2785" s="309" t="str">
        <f>IF(B2785&lt;&gt;"",IF(AND(B2785='IN-TC'!$S$4,OR(TH!N2785="1111",TH!O2785="1111")),TH!D2785,""),"")</f>
        <v/>
      </c>
      <c r="B2785" s="1313">
        <f t="shared" si="984"/>
        <v>3</v>
      </c>
      <c r="C2785" s="71">
        <v>42816</v>
      </c>
      <c r="D2785" s="71" t="s">
        <v>902</v>
      </c>
      <c r="E2785" s="71">
        <v>42816</v>
      </c>
      <c r="F2785" s="72" t="s">
        <v>1096</v>
      </c>
      <c r="G2785" s="72" t="s">
        <v>747</v>
      </c>
      <c r="H2785" s="735" t="s">
        <v>835</v>
      </c>
      <c r="I2785" s="371"/>
      <c r="J2785" s="377"/>
      <c r="K2785" s="371">
        <v>108.29</v>
      </c>
      <c r="L2785" s="377">
        <v>22750</v>
      </c>
      <c r="M2785" s="74">
        <f t="shared" ref="M2785:M2791" si="988">ROUND(K2785*L2785,0)</f>
        <v>2463598</v>
      </c>
      <c r="N2785" s="75" t="s">
        <v>99</v>
      </c>
      <c r="O2785" s="934" t="s">
        <v>256</v>
      </c>
      <c r="P2785" s="75" t="str">
        <f>IF(AND('331-CT'!$E$7=TH!H2785,OR(N2785="331",O2785="331")),"x","")</f>
        <v/>
      </c>
      <c r="Q2785" s="75" t="str">
        <f>IF(AND(B2785='111'!$L$11,OR($N2785=$Q$7,$O2785=$Q$7)),"x","")</f>
        <v/>
      </c>
      <c r="R2785" s="75" t="str">
        <f>IF(AND($N2785=$Q$7,$B2785&lt;'111'!$L$11),"x","")</f>
        <v/>
      </c>
      <c r="S2785" s="75" t="str">
        <f>IF(AND($O2785=$Q$7,$B2785&lt;'111'!$L$11),"x","")</f>
        <v/>
      </c>
      <c r="T2785" s="75" t="str">
        <f>IF(ISERROR(FIND('112'!$M$9,G2785,1)),"",IF((AND(FIND('112'!$M$9,G2785,1)&gt;=1,B2785='112'!$K$9,OR($N2785='112'!$I$6,$O2785='112'!$I$6))),"x",""))</f>
        <v/>
      </c>
      <c r="U2785" s="75" t="str">
        <f>IF(ISERROR(FIND('112'!$M$9,G2785,1)),"",IF((AND(LEFT(G2785,2)=LEFT('112'!$M$9,2),B2785&lt;'112'!$K$9,$N2785='112'!$I$6)),"x",""))</f>
        <v/>
      </c>
      <c r="V2785" s="75" t="str">
        <f>IF(ISERROR(FIND('112'!$M$9,G2785,1)),"",IF((AND(RIGHT(G2785,2)=RIGHT('112'!$M$9,2),B2785&lt;'112'!$K$9,$O2785='112'!$I$6)),"x",""))</f>
        <v/>
      </c>
      <c r="W2785" s="75" t="str">
        <f>IF(AND('341-CT'!$H$9=H2785,OR(LEFT(N2785,3)=$W$7,LEFT(O2785,3)=$W$7)),"x","")</f>
        <v/>
      </c>
      <c r="X2785" s="75" t="str">
        <f>IF(OR(TH!N2785=TH!$X$7,O2785=TH!$X$7),"x","")</f>
        <v/>
      </c>
      <c r="Y2785" s="75" t="str">
        <f>IF(AND(OR(N2785="131",O2785="131"),H2785='131-CT'!$H$9),"x","")</f>
        <v/>
      </c>
      <c r="Z2785" s="75"/>
      <c r="AA2785" s="75" t="str">
        <f>IF(AND(MONTH(E2785)='IN-NX'!$J$5,'IN-NX'!$D$7=D2785),"x","")</f>
        <v/>
      </c>
      <c r="AB2785" s="75" t="str">
        <f>IF(AND(OR(LEFT(TH!N2785,2)="15",LEFT(TH!O2785,2)="15"),LEFT(TH!O2785,3)&lt;&gt;"111",'152-CT'!$J$8=TH!F2785),"x","")</f>
        <v/>
      </c>
      <c r="AC2785" s="75" t="str">
        <f>IF(AND(OR(LEFT(TH!N2785,2)="15",LEFT(TH!O2785,2)="15"),TK!$E$7=TH!F2785),"x","")</f>
        <v/>
      </c>
      <c r="AD2785" s="75" t="str">
        <f>IF(AND(N2785="1521",MONTH(C2785)='BK-NL'!$M$11),"x","")</f>
        <v/>
      </c>
    </row>
    <row r="2786" spans="1:30" s="1264" customFormat="1" ht="16.5" customHeight="1">
      <c r="A2786" s="309" t="str">
        <f>IF(B2786&lt;&gt;"",IF(AND(B2786='IN-TC'!$S$4,OR(TH!N2786="1111",TH!O2786="1111")),TH!D2786,""),"")</f>
        <v/>
      </c>
      <c r="B2786" s="1313">
        <f t="shared" si="984"/>
        <v>3</v>
      </c>
      <c r="C2786" s="71">
        <v>42816</v>
      </c>
      <c r="D2786" s="71" t="s">
        <v>902</v>
      </c>
      <c r="E2786" s="71">
        <v>42816</v>
      </c>
      <c r="F2786" s="72" t="s">
        <v>1096</v>
      </c>
      <c r="G2786" s="72" t="s">
        <v>747</v>
      </c>
      <c r="H2786" s="735" t="s">
        <v>835</v>
      </c>
      <c r="I2786" s="371"/>
      <c r="J2786" s="377"/>
      <c r="K2786" s="371">
        <v>194.83</v>
      </c>
      <c r="L2786" s="377">
        <v>22750</v>
      </c>
      <c r="M2786" s="74">
        <f t="shared" si="988"/>
        <v>4432383</v>
      </c>
      <c r="N2786" s="75" t="s">
        <v>99</v>
      </c>
      <c r="O2786" s="934" t="s">
        <v>256</v>
      </c>
      <c r="P2786" s="75" t="str">
        <f>IF(AND('331-CT'!$E$7=TH!H2786,OR(N2786="331",O2786="331")),"x","")</f>
        <v/>
      </c>
      <c r="Q2786" s="75" t="str">
        <f>IF(AND(B2786='111'!$L$11,OR($N2786=$Q$7,$O2786=$Q$7)),"x","")</f>
        <v/>
      </c>
      <c r="R2786" s="75" t="str">
        <f>IF(AND($N2786=$Q$7,$B2786&lt;'111'!$L$11),"x","")</f>
        <v/>
      </c>
      <c r="S2786" s="75" t="str">
        <f>IF(AND($O2786=$Q$7,$B2786&lt;'111'!$L$11),"x","")</f>
        <v/>
      </c>
      <c r="T2786" s="75" t="str">
        <f>IF(ISERROR(FIND('112'!$M$9,G2786,1)),"",IF((AND(FIND('112'!$M$9,G2786,1)&gt;=1,B2786='112'!$K$9,OR($N2786='112'!$I$6,$O2786='112'!$I$6))),"x",""))</f>
        <v/>
      </c>
      <c r="U2786" s="75" t="str">
        <f>IF(ISERROR(FIND('112'!$M$9,G2786,1)),"",IF((AND(LEFT(G2786,2)=LEFT('112'!$M$9,2),B2786&lt;'112'!$K$9,$N2786='112'!$I$6)),"x",""))</f>
        <v/>
      </c>
      <c r="V2786" s="75" t="str">
        <f>IF(ISERROR(FIND('112'!$M$9,G2786,1)),"",IF((AND(RIGHT(G2786,2)=RIGHT('112'!$M$9,2),B2786&lt;'112'!$K$9,$O2786='112'!$I$6)),"x",""))</f>
        <v/>
      </c>
      <c r="W2786" s="75" t="str">
        <f>IF(AND('341-CT'!$H$9=H2786,OR(LEFT(N2786,3)=$W$7,LEFT(O2786,3)=$W$7)),"x","")</f>
        <v/>
      </c>
      <c r="X2786" s="75" t="str">
        <f>IF(OR(TH!N2786=TH!$X$7,O2786=TH!$X$7),"x","")</f>
        <v/>
      </c>
      <c r="Y2786" s="75" t="str">
        <f>IF(AND(OR(N2786="131",O2786="131"),H2786='131-CT'!$H$9),"x","")</f>
        <v/>
      </c>
      <c r="Z2786" s="75"/>
      <c r="AA2786" s="75" t="str">
        <f>IF(AND(MONTH(E2786)='IN-NX'!$J$5,'IN-NX'!$D$7=D2786),"x","")</f>
        <v/>
      </c>
      <c r="AB2786" s="75" t="str">
        <f>IF(AND(OR(LEFT(TH!N2786,2)="15",LEFT(TH!O2786,2)="15"),LEFT(TH!O2786,3)&lt;&gt;"111",'152-CT'!$J$8=TH!F2786),"x","")</f>
        <v/>
      </c>
      <c r="AC2786" s="75" t="str">
        <f>IF(AND(OR(LEFT(TH!N2786,2)="15",LEFT(TH!O2786,2)="15"),TK!$E$7=TH!F2786),"x","")</f>
        <v/>
      </c>
      <c r="AD2786" s="75" t="str">
        <f>IF(AND(N2786="1521",MONTH(C2786)='BK-NL'!$M$11),"x","")</f>
        <v/>
      </c>
    </row>
    <row r="2787" spans="1:30" s="1264" customFormat="1" ht="16.5" customHeight="1">
      <c r="A2787" s="309" t="str">
        <f>IF(B2787&lt;&gt;"",IF(AND(B2787='IN-TC'!$S$4,OR(TH!N2787="1111",TH!O2787="1111")),TH!D2787,""),"")</f>
        <v/>
      </c>
      <c r="B2787" s="1313">
        <f t="shared" si="984"/>
        <v>3</v>
      </c>
      <c r="C2787" s="71">
        <v>42816</v>
      </c>
      <c r="D2787" s="71" t="s">
        <v>902</v>
      </c>
      <c r="E2787" s="71">
        <v>42816</v>
      </c>
      <c r="F2787" s="72" t="s">
        <v>1096</v>
      </c>
      <c r="G2787" s="72" t="s">
        <v>747</v>
      </c>
      <c r="H2787" s="735" t="s">
        <v>835</v>
      </c>
      <c r="I2787" s="371"/>
      <c r="J2787" s="377"/>
      <c r="K2787" s="371">
        <v>138.54</v>
      </c>
      <c r="L2787" s="377">
        <v>22750</v>
      </c>
      <c r="M2787" s="74">
        <f t="shared" si="988"/>
        <v>3151785</v>
      </c>
      <c r="N2787" s="75" t="s">
        <v>99</v>
      </c>
      <c r="O2787" s="934" t="s">
        <v>256</v>
      </c>
      <c r="P2787" s="75" t="str">
        <f>IF(AND('331-CT'!$E$7=TH!H2787,OR(N2787="331",O2787="331")),"x","")</f>
        <v/>
      </c>
      <c r="Q2787" s="75" t="str">
        <f>IF(AND(B2787='111'!$L$11,OR($N2787=$Q$7,$O2787=$Q$7)),"x","")</f>
        <v/>
      </c>
      <c r="R2787" s="75" t="str">
        <f>IF(AND($N2787=$Q$7,$B2787&lt;'111'!$L$11),"x","")</f>
        <v/>
      </c>
      <c r="S2787" s="75" t="str">
        <f>IF(AND($O2787=$Q$7,$B2787&lt;'111'!$L$11),"x","")</f>
        <v/>
      </c>
      <c r="T2787" s="75" t="str">
        <f>IF(ISERROR(FIND('112'!$M$9,G2787,1)),"",IF((AND(FIND('112'!$M$9,G2787,1)&gt;=1,B2787='112'!$K$9,OR($N2787='112'!$I$6,$O2787='112'!$I$6))),"x",""))</f>
        <v/>
      </c>
      <c r="U2787" s="75" t="str">
        <f>IF(ISERROR(FIND('112'!$M$9,G2787,1)),"",IF((AND(LEFT(G2787,2)=LEFT('112'!$M$9,2),B2787&lt;'112'!$K$9,$N2787='112'!$I$6)),"x",""))</f>
        <v/>
      </c>
      <c r="V2787" s="75" t="str">
        <f>IF(ISERROR(FIND('112'!$M$9,G2787,1)),"",IF((AND(RIGHT(G2787,2)=RIGHT('112'!$M$9,2),B2787&lt;'112'!$K$9,$O2787='112'!$I$6)),"x",""))</f>
        <v/>
      </c>
      <c r="W2787" s="75" t="str">
        <f>IF(AND('341-CT'!$H$9=H2787,OR(LEFT(N2787,3)=$W$7,LEFT(O2787,3)=$W$7)),"x","")</f>
        <v/>
      </c>
      <c r="X2787" s="75" t="str">
        <f>IF(OR(TH!N2787=TH!$X$7,O2787=TH!$X$7),"x","")</f>
        <v/>
      </c>
      <c r="Y2787" s="75" t="str">
        <f>IF(AND(OR(N2787="131",O2787="131"),H2787='131-CT'!$H$9),"x","")</f>
        <v/>
      </c>
      <c r="Z2787" s="75"/>
      <c r="AA2787" s="75" t="str">
        <f>IF(AND(MONTH(E2787)='IN-NX'!$J$5,'IN-NX'!$D$7=D2787),"x","")</f>
        <v/>
      </c>
      <c r="AB2787" s="75" t="str">
        <f>IF(AND(OR(LEFT(TH!N2787,2)="15",LEFT(TH!O2787,2)="15"),LEFT(TH!O2787,3)&lt;&gt;"111",'152-CT'!$J$8=TH!F2787),"x","")</f>
        <v/>
      </c>
      <c r="AC2787" s="75" t="str">
        <f>IF(AND(OR(LEFT(TH!N2787,2)="15",LEFT(TH!O2787,2)="15"),TK!$E$7=TH!F2787),"x","")</f>
        <v/>
      </c>
      <c r="AD2787" s="75" t="str">
        <f>IF(AND(N2787="1521",MONTH(C2787)='BK-NL'!$M$11),"x","")</f>
        <v/>
      </c>
    </row>
    <row r="2788" spans="1:30" s="1264" customFormat="1" ht="16.5" customHeight="1">
      <c r="A2788" s="309" t="str">
        <f>IF(B2788&lt;&gt;"",IF(AND(B2788='IN-TC'!$S$4,OR(TH!N2788="1111",TH!O2788="1111")),TH!D2788,""),"")</f>
        <v/>
      </c>
      <c r="B2788" s="1313">
        <f t="shared" si="984"/>
        <v>3</v>
      </c>
      <c r="C2788" s="71">
        <v>42816</v>
      </c>
      <c r="D2788" s="71" t="s">
        <v>902</v>
      </c>
      <c r="E2788" s="71">
        <v>42816</v>
      </c>
      <c r="F2788" s="72" t="s">
        <v>1096</v>
      </c>
      <c r="G2788" s="72" t="s">
        <v>747</v>
      </c>
      <c r="H2788" s="735" t="s">
        <v>835</v>
      </c>
      <c r="I2788" s="371"/>
      <c r="J2788" s="377"/>
      <c r="K2788" s="371">
        <v>191.33</v>
      </c>
      <c r="L2788" s="377">
        <v>22750</v>
      </c>
      <c r="M2788" s="74">
        <f t="shared" si="988"/>
        <v>4352758</v>
      </c>
      <c r="N2788" s="75" t="s">
        <v>99</v>
      </c>
      <c r="O2788" s="934" t="s">
        <v>256</v>
      </c>
      <c r="P2788" s="75" t="str">
        <f>IF(AND('331-CT'!$E$7=TH!H2788,OR(N2788="331",O2788="331")),"x","")</f>
        <v/>
      </c>
      <c r="Q2788" s="75" t="str">
        <f>IF(AND(B2788='111'!$L$11,OR($N2788=$Q$7,$O2788=$Q$7)),"x","")</f>
        <v/>
      </c>
      <c r="R2788" s="75" t="str">
        <f>IF(AND($N2788=$Q$7,$B2788&lt;'111'!$L$11),"x","")</f>
        <v/>
      </c>
      <c r="S2788" s="75" t="str">
        <f>IF(AND($O2788=$Q$7,$B2788&lt;'111'!$L$11),"x","")</f>
        <v/>
      </c>
      <c r="T2788" s="75" t="str">
        <f>IF(ISERROR(FIND('112'!$M$9,G2788,1)),"",IF((AND(FIND('112'!$M$9,G2788,1)&gt;=1,B2788='112'!$K$9,OR($N2788='112'!$I$6,$O2788='112'!$I$6))),"x",""))</f>
        <v/>
      </c>
      <c r="U2788" s="75" t="str">
        <f>IF(ISERROR(FIND('112'!$M$9,G2788,1)),"",IF((AND(LEFT(G2788,2)=LEFT('112'!$M$9,2),B2788&lt;'112'!$K$9,$N2788='112'!$I$6)),"x",""))</f>
        <v/>
      </c>
      <c r="V2788" s="75" t="str">
        <f>IF(ISERROR(FIND('112'!$M$9,G2788,1)),"",IF((AND(RIGHT(G2788,2)=RIGHT('112'!$M$9,2),B2788&lt;'112'!$K$9,$O2788='112'!$I$6)),"x",""))</f>
        <v/>
      </c>
      <c r="W2788" s="75" t="str">
        <f>IF(AND('341-CT'!$H$9=H2788,OR(LEFT(N2788,3)=$W$7,LEFT(O2788,3)=$W$7)),"x","")</f>
        <v/>
      </c>
      <c r="X2788" s="75" t="str">
        <f>IF(OR(TH!N2788=TH!$X$7,O2788=TH!$X$7),"x","")</f>
        <v/>
      </c>
      <c r="Y2788" s="75" t="str">
        <f>IF(AND(OR(N2788="131",O2788="131"),H2788='131-CT'!$H$9),"x","")</f>
        <v/>
      </c>
      <c r="Z2788" s="75"/>
      <c r="AA2788" s="75" t="str">
        <f>IF(AND(MONTH(E2788)='IN-NX'!$J$5,'IN-NX'!$D$7=D2788),"x","")</f>
        <v/>
      </c>
      <c r="AB2788" s="75" t="str">
        <f>IF(AND(OR(LEFT(TH!N2788,2)="15",LEFT(TH!O2788,2)="15"),LEFT(TH!O2788,3)&lt;&gt;"111",'152-CT'!$J$8=TH!F2788),"x","")</f>
        <v/>
      </c>
      <c r="AC2788" s="75" t="str">
        <f>IF(AND(OR(LEFT(TH!N2788,2)="15",LEFT(TH!O2788,2)="15"),TK!$E$7=TH!F2788),"x","")</f>
        <v/>
      </c>
      <c r="AD2788" s="75" t="str">
        <f>IF(AND(N2788="1521",MONTH(C2788)='BK-NL'!$M$11),"x","")</f>
        <v/>
      </c>
    </row>
    <row r="2789" spans="1:30" s="1264" customFormat="1" ht="16.5" customHeight="1">
      <c r="A2789" s="309" t="str">
        <f>IF(B2789&lt;&gt;"",IF(AND(B2789='IN-TC'!$S$4,OR(TH!N2789="1111",TH!O2789="1111")),TH!D2789,""),"")</f>
        <v/>
      </c>
      <c r="B2789" s="1313">
        <f t="shared" si="984"/>
        <v>3</v>
      </c>
      <c r="C2789" s="71">
        <v>42816</v>
      </c>
      <c r="D2789" s="71" t="s">
        <v>902</v>
      </c>
      <c r="E2789" s="71">
        <v>42816</v>
      </c>
      <c r="F2789" s="72" t="s">
        <v>1096</v>
      </c>
      <c r="G2789" s="72" t="s">
        <v>747</v>
      </c>
      <c r="H2789" s="735" t="s">
        <v>835</v>
      </c>
      <c r="I2789" s="371"/>
      <c r="J2789" s="377"/>
      <c r="K2789" s="371">
        <v>217</v>
      </c>
      <c r="L2789" s="377">
        <v>22750</v>
      </c>
      <c r="M2789" s="74">
        <f t="shared" si="988"/>
        <v>4936750</v>
      </c>
      <c r="N2789" s="75" t="s">
        <v>99</v>
      </c>
      <c r="O2789" s="934" t="s">
        <v>256</v>
      </c>
      <c r="P2789" s="75" t="str">
        <f>IF(AND('331-CT'!$E$7=TH!H2789,OR(N2789="331",O2789="331")),"x","")</f>
        <v/>
      </c>
      <c r="Q2789" s="75" t="str">
        <f>IF(AND(B2789='111'!$L$11,OR($N2789=$Q$7,$O2789=$Q$7)),"x","")</f>
        <v/>
      </c>
      <c r="R2789" s="75" t="str">
        <f>IF(AND($N2789=$Q$7,$B2789&lt;'111'!$L$11),"x","")</f>
        <v/>
      </c>
      <c r="S2789" s="75" t="str">
        <f>IF(AND($O2789=$Q$7,$B2789&lt;'111'!$L$11),"x","")</f>
        <v/>
      </c>
      <c r="T2789" s="75" t="str">
        <f>IF(ISERROR(FIND('112'!$M$9,G2789,1)),"",IF((AND(FIND('112'!$M$9,G2789,1)&gt;=1,B2789='112'!$K$9,OR($N2789='112'!$I$6,$O2789='112'!$I$6))),"x",""))</f>
        <v/>
      </c>
      <c r="U2789" s="75" t="str">
        <f>IF(ISERROR(FIND('112'!$M$9,G2789,1)),"",IF((AND(LEFT(G2789,2)=LEFT('112'!$M$9,2),B2789&lt;'112'!$K$9,$N2789='112'!$I$6)),"x",""))</f>
        <v/>
      </c>
      <c r="V2789" s="75" t="str">
        <f>IF(ISERROR(FIND('112'!$M$9,G2789,1)),"",IF((AND(RIGHT(G2789,2)=RIGHT('112'!$M$9,2),B2789&lt;'112'!$K$9,$O2789='112'!$I$6)),"x",""))</f>
        <v/>
      </c>
      <c r="W2789" s="75" t="str">
        <f>IF(AND('341-CT'!$H$9=H2789,OR(LEFT(N2789,3)=$W$7,LEFT(O2789,3)=$W$7)),"x","")</f>
        <v/>
      </c>
      <c r="X2789" s="75" t="str">
        <f>IF(OR(TH!N2789=TH!$X$7,O2789=TH!$X$7),"x","")</f>
        <v/>
      </c>
      <c r="Y2789" s="75" t="str">
        <f>IF(AND(OR(N2789="131",O2789="131"),H2789='131-CT'!$H$9),"x","")</f>
        <v/>
      </c>
      <c r="Z2789" s="75"/>
      <c r="AA2789" s="75" t="str">
        <f>IF(AND(MONTH(E2789)='IN-NX'!$J$5,'IN-NX'!$D$7=D2789),"x","")</f>
        <v/>
      </c>
      <c r="AB2789" s="75" t="str">
        <f>IF(AND(OR(LEFT(TH!N2789,2)="15",LEFT(TH!O2789,2)="15"),LEFT(TH!O2789,3)&lt;&gt;"111",'152-CT'!$J$8=TH!F2789),"x","")</f>
        <v/>
      </c>
      <c r="AC2789" s="75" t="str">
        <f>IF(AND(OR(LEFT(TH!N2789,2)="15",LEFT(TH!O2789,2)="15"),TK!$E$7=TH!F2789),"x","")</f>
        <v/>
      </c>
      <c r="AD2789" s="75" t="str">
        <f>IF(AND(N2789="1521",MONTH(C2789)='BK-NL'!$M$11),"x","")</f>
        <v/>
      </c>
    </row>
    <row r="2790" spans="1:30" s="1264" customFormat="1" ht="16.5" customHeight="1">
      <c r="A2790" s="309" t="str">
        <f>IF(B2790&lt;&gt;"",IF(AND(B2790='IN-TC'!$S$4,OR(TH!N2790="1111",TH!O2790="1111")),TH!D2790,""),"")</f>
        <v/>
      </c>
      <c r="B2790" s="1313">
        <f t="shared" si="984"/>
        <v>3</v>
      </c>
      <c r="C2790" s="71">
        <v>42816</v>
      </c>
      <c r="D2790" s="71" t="s">
        <v>902</v>
      </c>
      <c r="E2790" s="71">
        <v>42816</v>
      </c>
      <c r="F2790" s="72" t="s">
        <v>1096</v>
      </c>
      <c r="G2790" s="72" t="s">
        <v>747</v>
      </c>
      <c r="H2790" s="735" t="s">
        <v>835</v>
      </c>
      <c r="I2790" s="371"/>
      <c r="J2790" s="377"/>
      <c r="K2790" s="371">
        <v>224</v>
      </c>
      <c r="L2790" s="377">
        <v>22750</v>
      </c>
      <c r="M2790" s="74">
        <f t="shared" si="988"/>
        <v>5096000</v>
      </c>
      <c r="N2790" s="75" t="s">
        <v>99</v>
      </c>
      <c r="O2790" s="934" t="s">
        <v>256</v>
      </c>
      <c r="P2790" s="75" t="str">
        <f>IF(AND('331-CT'!$E$7=TH!H2790,OR(N2790="331",O2790="331")),"x","")</f>
        <v/>
      </c>
      <c r="Q2790" s="75" t="str">
        <f>IF(AND(B2790='111'!$L$11,OR($N2790=$Q$7,$O2790=$Q$7)),"x","")</f>
        <v/>
      </c>
      <c r="R2790" s="75" t="str">
        <f>IF(AND($N2790=$Q$7,$B2790&lt;'111'!$L$11),"x","")</f>
        <v/>
      </c>
      <c r="S2790" s="75" t="str">
        <f>IF(AND($O2790=$Q$7,$B2790&lt;'111'!$L$11),"x","")</f>
        <v/>
      </c>
      <c r="T2790" s="75" t="str">
        <f>IF(ISERROR(FIND('112'!$M$9,G2790,1)),"",IF((AND(FIND('112'!$M$9,G2790,1)&gt;=1,B2790='112'!$K$9,OR($N2790='112'!$I$6,$O2790='112'!$I$6))),"x",""))</f>
        <v/>
      </c>
      <c r="U2790" s="75" t="str">
        <f>IF(ISERROR(FIND('112'!$M$9,G2790,1)),"",IF((AND(LEFT(G2790,2)=LEFT('112'!$M$9,2),B2790&lt;'112'!$K$9,$N2790='112'!$I$6)),"x",""))</f>
        <v/>
      </c>
      <c r="V2790" s="75" t="str">
        <f>IF(ISERROR(FIND('112'!$M$9,G2790,1)),"",IF((AND(RIGHT(G2790,2)=RIGHT('112'!$M$9,2),B2790&lt;'112'!$K$9,$O2790='112'!$I$6)),"x",""))</f>
        <v/>
      </c>
      <c r="W2790" s="75" t="str">
        <f>IF(AND('341-CT'!$H$9=H2790,OR(LEFT(N2790,3)=$W$7,LEFT(O2790,3)=$W$7)),"x","")</f>
        <v/>
      </c>
      <c r="X2790" s="75" t="str">
        <f>IF(OR(TH!N2790=TH!$X$7,O2790=TH!$X$7),"x","")</f>
        <v/>
      </c>
      <c r="Y2790" s="75" t="str">
        <f>IF(AND(OR(N2790="131",O2790="131"),H2790='131-CT'!$H$9),"x","")</f>
        <v/>
      </c>
      <c r="Z2790" s="75"/>
      <c r="AA2790" s="75" t="str">
        <f>IF(AND(MONTH(E2790)='IN-NX'!$J$5,'IN-NX'!$D$7=D2790),"x","")</f>
        <v/>
      </c>
      <c r="AB2790" s="75" t="str">
        <f>IF(AND(OR(LEFT(TH!N2790,2)="15",LEFT(TH!O2790,2)="15"),LEFT(TH!O2790,3)&lt;&gt;"111",'152-CT'!$J$8=TH!F2790),"x","")</f>
        <v/>
      </c>
      <c r="AC2790" s="75" t="str">
        <f>IF(AND(OR(LEFT(TH!N2790,2)="15",LEFT(TH!O2790,2)="15"),TK!$E$7=TH!F2790),"x","")</f>
        <v/>
      </c>
      <c r="AD2790" s="75" t="str">
        <f>IF(AND(N2790="1521",MONTH(C2790)='BK-NL'!$M$11),"x","")</f>
        <v/>
      </c>
    </row>
    <row r="2791" spans="1:30" s="1264" customFormat="1" ht="16.5" customHeight="1">
      <c r="A2791" s="309" t="str">
        <f>IF(B2791&lt;&gt;"",IF(AND(B2791='IN-TC'!$S$4,OR(TH!N2791="1111",TH!O2791="1111")),TH!D2791,""),"")</f>
        <v/>
      </c>
      <c r="B2791" s="1313">
        <f t="shared" si="984"/>
        <v>3</v>
      </c>
      <c r="C2791" s="71">
        <v>42816</v>
      </c>
      <c r="D2791" s="71" t="s">
        <v>902</v>
      </c>
      <c r="E2791" s="71">
        <v>42816</v>
      </c>
      <c r="F2791" s="72" t="s">
        <v>1096</v>
      </c>
      <c r="G2791" s="72" t="s">
        <v>747</v>
      </c>
      <c r="H2791" s="735" t="s">
        <v>835</v>
      </c>
      <c r="I2791" s="371"/>
      <c r="J2791" s="377"/>
      <c r="K2791" s="371">
        <v>224</v>
      </c>
      <c r="L2791" s="377">
        <v>22750</v>
      </c>
      <c r="M2791" s="74">
        <f t="shared" si="988"/>
        <v>5096000</v>
      </c>
      <c r="N2791" s="75" t="s">
        <v>99</v>
      </c>
      <c r="O2791" s="934" t="s">
        <v>256</v>
      </c>
      <c r="P2791" s="75" t="str">
        <f>IF(AND('331-CT'!$E$7=TH!H2791,OR(N2791="331",O2791="331")),"x","")</f>
        <v/>
      </c>
      <c r="Q2791" s="75" t="str">
        <f>IF(AND(B2791='111'!$L$11,OR($N2791=$Q$7,$O2791=$Q$7)),"x","")</f>
        <v/>
      </c>
      <c r="R2791" s="75" t="str">
        <f>IF(AND($N2791=$Q$7,$B2791&lt;'111'!$L$11),"x","")</f>
        <v/>
      </c>
      <c r="S2791" s="75" t="str">
        <f>IF(AND($O2791=$Q$7,$B2791&lt;'111'!$L$11),"x","")</f>
        <v/>
      </c>
      <c r="T2791" s="75" t="str">
        <f>IF(ISERROR(FIND('112'!$M$9,G2791,1)),"",IF((AND(FIND('112'!$M$9,G2791,1)&gt;=1,B2791='112'!$K$9,OR($N2791='112'!$I$6,$O2791='112'!$I$6))),"x",""))</f>
        <v/>
      </c>
      <c r="U2791" s="75" t="str">
        <f>IF(ISERROR(FIND('112'!$M$9,G2791,1)),"",IF((AND(LEFT(G2791,2)=LEFT('112'!$M$9,2),B2791&lt;'112'!$K$9,$N2791='112'!$I$6)),"x",""))</f>
        <v/>
      </c>
      <c r="V2791" s="75" t="str">
        <f>IF(ISERROR(FIND('112'!$M$9,G2791,1)),"",IF((AND(RIGHT(G2791,2)=RIGHT('112'!$M$9,2),B2791&lt;'112'!$K$9,$O2791='112'!$I$6)),"x",""))</f>
        <v/>
      </c>
      <c r="W2791" s="75" t="str">
        <f>IF(AND('341-CT'!$H$9=H2791,OR(LEFT(N2791,3)=$W$7,LEFT(O2791,3)=$W$7)),"x","")</f>
        <v/>
      </c>
      <c r="X2791" s="75" t="str">
        <f>IF(OR(TH!N2791=TH!$X$7,O2791=TH!$X$7),"x","")</f>
        <v/>
      </c>
      <c r="Y2791" s="75" t="str">
        <f>IF(AND(OR(N2791="131",O2791="131"),H2791='131-CT'!$H$9),"x","")</f>
        <v/>
      </c>
      <c r="Z2791" s="75"/>
      <c r="AA2791" s="75" t="str">
        <f>IF(AND(MONTH(E2791)='IN-NX'!$J$5,'IN-NX'!$D$7=D2791),"x","")</f>
        <v/>
      </c>
      <c r="AB2791" s="75" t="str">
        <f>IF(AND(OR(LEFT(TH!N2791,2)="15",LEFT(TH!O2791,2)="15"),LEFT(TH!O2791,3)&lt;&gt;"111",'152-CT'!$J$8=TH!F2791),"x","")</f>
        <v/>
      </c>
      <c r="AC2791" s="75" t="str">
        <f>IF(AND(OR(LEFT(TH!N2791,2)="15",LEFT(TH!O2791,2)="15"),TK!$E$7=TH!F2791),"x","")</f>
        <v/>
      </c>
      <c r="AD2791" s="75" t="str">
        <f>IF(AND(N2791="1521",MONTH(C2791)='BK-NL'!$M$11),"x","")</f>
        <v/>
      </c>
    </row>
    <row r="2792" spans="1:30" s="1264" customFormat="1" ht="16.5" customHeight="1">
      <c r="A2792" s="309" t="str">
        <f>IF(B2792&lt;&gt;"",IF(AND(B2792='IN-TC'!$S$4,OR(TH!N2792="1111",TH!O2792="1111")),TH!D2792,""),"")</f>
        <v/>
      </c>
      <c r="B2792" s="1313">
        <f t="shared" si="984"/>
        <v>3</v>
      </c>
      <c r="C2792" s="71">
        <v>42825</v>
      </c>
      <c r="D2792" s="71" t="s">
        <v>902</v>
      </c>
      <c r="E2792" s="71">
        <v>42825</v>
      </c>
      <c r="F2792" s="72" t="s">
        <v>1201</v>
      </c>
      <c r="G2792" s="72" t="s">
        <v>747</v>
      </c>
      <c r="H2792" s="735" t="s">
        <v>546</v>
      </c>
      <c r="I2792" s="371"/>
      <c r="J2792" s="377"/>
      <c r="K2792" s="371">
        <v>10998</v>
      </c>
      <c r="L2792" s="377">
        <v>22790</v>
      </c>
      <c r="M2792" s="74">
        <f t="shared" ref="M2792" si="989">ROUND(K2792*L2792,0)</f>
        <v>250644420</v>
      </c>
      <c r="N2792" s="1224" t="s">
        <v>536</v>
      </c>
      <c r="O2792" s="934" t="s">
        <v>256</v>
      </c>
      <c r="P2792" s="75" t="str">
        <f>IF(AND('331-CT'!$E$7=TH!H2792,OR(N2792="331",O2792="331")),"x","")</f>
        <v/>
      </c>
      <c r="Q2792" s="75" t="str">
        <f>IF(AND(B2792='111'!$L$11,OR($N2792=$Q$7,$O2792=$Q$7)),"x","")</f>
        <v/>
      </c>
      <c r="R2792" s="75" t="str">
        <f>IF(AND($N2792=$Q$7,$B2792&lt;'111'!$L$11),"x","")</f>
        <v/>
      </c>
      <c r="S2792" s="75" t="str">
        <f>IF(AND($O2792=$Q$7,$B2792&lt;'111'!$L$11),"x","")</f>
        <v/>
      </c>
      <c r="T2792" s="75" t="str">
        <f>IF(ISERROR(FIND('112'!$M$9,G2792,1)),"",IF((AND(FIND('112'!$M$9,G2792,1)&gt;=1,B2792='112'!$K$9,OR($N2792='112'!$I$6,$O2792='112'!$I$6))),"x",""))</f>
        <v/>
      </c>
      <c r="U2792" s="75" t="str">
        <f>IF(ISERROR(FIND('112'!$M$9,G2792,1)),"",IF((AND(LEFT(G2792,2)=LEFT('112'!$M$9,2),B2792&lt;'112'!$K$9,$N2792='112'!$I$6)),"x",""))</f>
        <v/>
      </c>
      <c r="V2792" s="75" t="str">
        <f>IF(ISERROR(FIND('112'!$M$9,G2792,1)),"",IF((AND(RIGHT(G2792,2)=RIGHT('112'!$M$9,2),B2792&lt;'112'!$K$9,$O2792='112'!$I$6)),"x",""))</f>
        <v/>
      </c>
      <c r="W2792" s="75" t="str">
        <f>IF(AND('341-CT'!$H$9=H2792,OR(LEFT(N2792,3)=$W$7,LEFT(O2792,3)=$W$7)),"x","")</f>
        <v/>
      </c>
      <c r="X2792" s="75" t="str">
        <f>IF(OR(TH!N2792=TH!$X$7,O2792=TH!$X$7),"x","")</f>
        <v/>
      </c>
      <c r="Y2792" s="75" t="str">
        <f>IF(AND(OR(N2792="131",O2792="131"),H2792='131-CT'!$H$9),"x","")</f>
        <v/>
      </c>
      <c r="Z2792" s="75"/>
      <c r="AA2792" s="75" t="str">
        <f>IF(AND(MONTH(E2792)='IN-NX'!$J$5,'IN-NX'!$D$7=D2792),"x","")</f>
        <v/>
      </c>
      <c r="AB2792" s="75" t="str">
        <f>IF(AND(OR(LEFT(TH!N2792,2)="15",LEFT(TH!O2792,2)="15"),LEFT(TH!O2792,3)&lt;&gt;"111",'152-CT'!$J$8=TH!F2792),"x","")</f>
        <v/>
      </c>
      <c r="AC2792" s="75" t="str">
        <f>IF(AND(OR(LEFT(TH!N2792,2)="15",LEFT(TH!O2792,2)="15"),TK!$E$7=TH!F2792),"x","")</f>
        <v/>
      </c>
      <c r="AD2792" s="75" t="str">
        <f>IF(AND(N2792="1521",MONTH(C2792)='BK-NL'!$M$11),"x","")</f>
        <v/>
      </c>
    </row>
    <row r="2793" spans="1:30" s="1264" customFormat="1" ht="16.5" customHeight="1">
      <c r="A2793" s="309" t="str">
        <f>IF(B2793&lt;&gt;"",IF(AND(B2793='IN-TC'!$S$4,OR(TH!N2793="1111",TH!O2793="1111")),TH!D2793,""),"")</f>
        <v/>
      </c>
      <c r="B2793" s="1313">
        <f t="shared" si="984"/>
        <v>3</v>
      </c>
      <c r="C2793" s="71">
        <v>42825</v>
      </c>
      <c r="D2793" s="71" t="s">
        <v>530</v>
      </c>
      <c r="E2793" s="71">
        <v>42825</v>
      </c>
      <c r="F2793" s="72" t="s">
        <v>1010</v>
      </c>
      <c r="G2793" s="72" t="s">
        <v>747</v>
      </c>
      <c r="H2793" s="735" t="s">
        <v>546</v>
      </c>
      <c r="I2793" s="371"/>
      <c r="J2793" s="377"/>
      <c r="K2793" s="371"/>
      <c r="L2793" s="377"/>
      <c r="M2793" s="933">
        <v>5718960</v>
      </c>
      <c r="N2793" s="75" t="s">
        <v>99</v>
      </c>
      <c r="O2793" s="75" t="s">
        <v>536</v>
      </c>
      <c r="P2793" s="75" t="str">
        <f>IF(AND('331-CT'!$E$7=TH!H2793,OR(N2793="331",O2793="331")),"x","")</f>
        <v/>
      </c>
      <c r="Q2793" s="75" t="str">
        <f>IF(AND(B2793='111'!$L$11,OR($N2793=$Q$7,$O2793=$Q$7)),"x","")</f>
        <v/>
      </c>
      <c r="R2793" s="75" t="str">
        <f>IF(AND($N2793=$Q$7,$B2793&lt;'111'!$L$11),"x","")</f>
        <v/>
      </c>
      <c r="S2793" s="75" t="str">
        <f>IF(AND($O2793=$Q$7,$B2793&lt;'111'!$L$11),"x","")</f>
        <v/>
      </c>
      <c r="T2793" s="75" t="str">
        <f>IF(ISERROR(FIND('112'!$M$9,G2793,1)),"",IF((AND(FIND('112'!$M$9,G2793,1)&gt;=1,B2793='112'!$K$9,OR($N2793='112'!$I$6,$O2793='112'!$I$6))),"x",""))</f>
        <v/>
      </c>
      <c r="U2793" s="75" t="str">
        <f>IF(ISERROR(FIND('112'!$M$9,G2793,1)),"",IF((AND(LEFT(G2793,2)=LEFT('112'!$M$9,2),B2793&lt;'112'!$K$9,$N2793='112'!$I$6)),"x",""))</f>
        <v/>
      </c>
      <c r="V2793" s="75" t="str">
        <f>IF(ISERROR(FIND('112'!$M$9,G2793,1)),"",IF((AND(RIGHT(G2793,2)=RIGHT('112'!$M$9,2),B2793&lt;'112'!$K$9,$O2793='112'!$I$6)),"x",""))</f>
        <v/>
      </c>
      <c r="W2793" s="75" t="str">
        <f>IF(AND('341-CT'!$H$9=H2793,OR(LEFT(N2793,3)=$W$7,LEFT(O2793,3)=$W$7)),"x","")</f>
        <v/>
      </c>
      <c r="X2793" s="75" t="str">
        <f>IF(OR(TH!N2793=TH!$X$7,O2793=TH!$X$7),"x","")</f>
        <v/>
      </c>
      <c r="Y2793" s="75" t="str">
        <f>IF(AND(OR(N2793="131",O2793="131"),H2793='131-CT'!$H$9),"x","")</f>
        <v/>
      </c>
      <c r="Z2793" s="75"/>
      <c r="AA2793" s="75" t="str">
        <f>IF(AND(MONTH(E2793)='IN-NX'!$J$5,'IN-NX'!$D$7=D2793),"x","")</f>
        <v/>
      </c>
      <c r="AB2793" s="75" t="str">
        <f>IF(AND(OR(LEFT(TH!N2793,2)="15",LEFT(TH!O2793,2)="15"),LEFT(TH!O2793,3)&lt;&gt;"111",'152-CT'!$J$8=TH!F2793),"x","")</f>
        <v/>
      </c>
      <c r="AC2793" s="75" t="str">
        <f>IF(AND(OR(LEFT(TH!N2793,2)="15",LEFT(TH!O2793,2)="15"),TK!$E$7=TH!F2793),"x","")</f>
        <v/>
      </c>
      <c r="AD2793" s="75" t="str">
        <f>IF(AND(N2793="1521",MONTH(C2793)='BK-NL'!$M$11),"x","")</f>
        <v/>
      </c>
    </row>
    <row r="2794" spans="1:30" s="1264" customFormat="1" ht="16.5" customHeight="1">
      <c r="A2794" s="309" t="str">
        <f>IF(B2794&lt;&gt;"",IF(AND(B2794='IN-TC'!$S$4,OR(TH!N2794="1111",TH!O2794="1111")),TH!D2794,""),"")</f>
        <v/>
      </c>
      <c r="B2794" s="1313">
        <f t="shared" si="984"/>
        <v>3</v>
      </c>
      <c r="C2794" s="71">
        <v>42825</v>
      </c>
      <c r="D2794" s="71" t="s">
        <v>902</v>
      </c>
      <c r="E2794" s="71">
        <v>42825</v>
      </c>
      <c r="F2794" s="72" t="s">
        <v>1096</v>
      </c>
      <c r="G2794" s="72" t="s">
        <v>747</v>
      </c>
      <c r="H2794" s="735" t="s">
        <v>835</v>
      </c>
      <c r="I2794" s="371"/>
      <c r="J2794" s="377"/>
      <c r="K2794" s="371">
        <v>0.36</v>
      </c>
      <c r="L2794" s="377">
        <v>22790</v>
      </c>
      <c r="M2794" s="74">
        <f t="shared" ref="M2794:M2803" si="990">ROUND(K2794*L2794,0)</f>
        <v>8204</v>
      </c>
      <c r="N2794" s="75" t="s">
        <v>99</v>
      </c>
      <c r="O2794" s="934" t="s">
        <v>256</v>
      </c>
      <c r="P2794" s="75" t="str">
        <f>IF(AND('331-CT'!$E$7=TH!H2794,OR(N2794="331",O2794="331")),"x","")</f>
        <v/>
      </c>
      <c r="Q2794" s="75" t="str">
        <f>IF(AND(B2794='111'!$L$11,OR($N2794=$Q$7,$O2794=$Q$7)),"x","")</f>
        <v/>
      </c>
      <c r="R2794" s="75" t="str">
        <f>IF(AND($N2794=$Q$7,$B2794&lt;'111'!$L$11),"x","")</f>
        <v/>
      </c>
      <c r="S2794" s="75" t="str">
        <f>IF(AND($O2794=$Q$7,$B2794&lt;'111'!$L$11),"x","")</f>
        <v/>
      </c>
      <c r="T2794" s="75" t="str">
        <f>IF(ISERROR(FIND('112'!$M$9,G2794,1)),"",IF((AND(FIND('112'!$M$9,G2794,1)&gt;=1,B2794='112'!$K$9,OR($N2794='112'!$I$6,$O2794='112'!$I$6))),"x",""))</f>
        <v/>
      </c>
      <c r="U2794" s="75" t="str">
        <f>IF(ISERROR(FIND('112'!$M$9,G2794,1)),"",IF((AND(LEFT(G2794,2)=LEFT('112'!$M$9,2),B2794&lt;'112'!$K$9,$N2794='112'!$I$6)),"x",""))</f>
        <v/>
      </c>
      <c r="V2794" s="75" t="str">
        <f>IF(ISERROR(FIND('112'!$M$9,G2794,1)),"",IF((AND(RIGHT(G2794,2)=RIGHT('112'!$M$9,2),B2794&lt;'112'!$K$9,$O2794='112'!$I$6)),"x",""))</f>
        <v/>
      </c>
      <c r="W2794" s="75" t="str">
        <f>IF(AND('341-CT'!$H$9=H2794,OR(LEFT(N2794,3)=$W$7,LEFT(O2794,3)=$W$7)),"x","")</f>
        <v/>
      </c>
      <c r="X2794" s="75" t="str">
        <f>IF(OR(TH!N2794=TH!$X$7,O2794=TH!$X$7),"x","")</f>
        <v/>
      </c>
      <c r="Y2794" s="75" t="str">
        <f>IF(AND(OR(N2794="131",O2794="131"),H2794='131-CT'!$H$9),"x","")</f>
        <v/>
      </c>
      <c r="Z2794" s="75"/>
      <c r="AA2794" s="75" t="str">
        <f>IF(AND(MONTH(E2794)='IN-NX'!$J$5,'IN-NX'!$D$7=D2794),"x","")</f>
        <v/>
      </c>
      <c r="AB2794" s="75" t="str">
        <f>IF(AND(OR(LEFT(TH!N2794,2)="15",LEFT(TH!O2794,2)="15"),LEFT(TH!O2794,3)&lt;&gt;"111",'152-CT'!$J$8=TH!F2794),"x","")</f>
        <v/>
      </c>
      <c r="AC2794" s="75" t="str">
        <f>IF(AND(OR(LEFT(TH!N2794,2)="15",LEFT(TH!O2794,2)="15"),TK!$E$7=TH!F2794),"x","")</f>
        <v/>
      </c>
      <c r="AD2794" s="75" t="str">
        <f>IF(AND(N2794="1521",MONTH(C2794)='BK-NL'!$M$11),"x","")</f>
        <v/>
      </c>
    </row>
    <row r="2795" spans="1:30" s="1264" customFormat="1" ht="16.5" customHeight="1">
      <c r="A2795" s="309" t="str">
        <f>IF(B2795&lt;&gt;"",IF(AND(B2795='IN-TC'!$S$4,OR(TH!N2795="1111",TH!O2795="1111")),TH!D2795,""),"")</f>
        <v/>
      </c>
      <c r="B2795" s="1313">
        <f t="shared" si="984"/>
        <v>3</v>
      </c>
      <c r="C2795" s="71">
        <v>42825</v>
      </c>
      <c r="D2795" s="71" t="s">
        <v>902</v>
      </c>
      <c r="E2795" s="71">
        <v>42825</v>
      </c>
      <c r="F2795" s="72" t="s">
        <v>1096</v>
      </c>
      <c r="G2795" s="72" t="s">
        <v>747</v>
      </c>
      <c r="H2795" s="735" t="s">
        <v>835</v>
      </c>
      <c r="I2795" s="371"/>
      <c r="J2795" s="377"/>
      <c r="K2795" s="371">
        <v>319.67</v>
      </c>
      <c r="L2795" s="377">
        <v>22790</v>
      </c>
      <c r="M2795" s="74">
        <f t="shared" si="990"/>
        <v>7285279</v>
      </c>
      <c r="N2795" s="75" t="s">
        <v>99</v>
      </c>
      <c r="O2795" s="934" t="s">
        <v>256</v>
      </c>
      <c r="P2795" s="75" t="str">
        <f>IF(AND('331-CT'!$E$7=TH!H2795,OR(N2795="331",O2795="331")),"x","")</f>
        <v/>
      </c>
      <c r="Q2795" s="75" t="str">
        <f>IF(AND(B2795='111'!$L$11,OR($N2795=$Q$7,$O2795=$Q$7)),"x","")</f>
        <v/>
      </c>
      <c r="R2795" s="75" t="str">
        <f>IF(AND($N2795=$Q$7,$B2795&lt;'111'!$L$11),"x","")</f>
        <v/>
      </c>
      <c r="S2795" s="75" t="str">
        <f>IF(AND($O2795=$Q$7,$B2795&lt;'111'!$L$11),"x","")</f>
        <v/>
      </c>
      <c r="T2795" s="75" t="str">
        <f>IF(ISERROR(FIND('112'!$M$9,G2795,1)),"",IF((AND(FIND('112'!$M$9,G2795,1)&gt;=1,B2795='112'!$K$9,OR($N2795='112'!$I$6,$O2795='112'!$I$6))),"x",""))</f>
        <v/>
      </c>
      <c r="U2795" s="75" t="str">
        <f>IF(ISERROR(FIND('112'!$M$9,G2795,1)),"",IF((AND(LEFT(G2795,2)=LEFT('112'!$M$9,2),B2795&lt;'112'!$K$9,$N2795='112'!$I$6)),"x",""))</f>
        <v/>
      </c>
      <c r="V2795" s="75" t="str">
        <f>IF(ISERROR(FIND('112'!$M$9,G2795,1)),"",IF((AND(RIGHT(G2795,2)=RIGHT('112'!$M$9,2),B2795&lt;'112'!$K$9,$O2795='112'!$I$6)),"x",""))</f>
        <v/>
      </c>
      <c r="W2795" s="75" t="str">
        <f>IF(AND('341-CT'!$H$9=H2795,OR(LEFT(N2795,3)=$W$7,LEFT(O2795,3)=$W$7)),"x","")</f>
        <v/>
      </c>
      <c r="X2795" s="75" t="str">
        <f>IF(OR(TH!N2795=TH!$X$7,O2795=TH!$X$7),"x","")</f>
        <v/>
      </c>
      <c r="Y2795" s="75" t="str">
        <f>IF(AND(OR(N2795="131",O2795="131"),H2795='131-CT'!$H$9),"x","")</f>
        <v/>
      </c>
      <c r="Z2795" s="75"/>
      <c r="AA2795" s="75" t="str">
        <f>IF(AND(MONTH(E2795)='IN-NX'!$J$5,'IN-NX'!$D$7=D2795),"x","")</f>
        <v/>
      </c>
      <c r="AB2795" s="75" t="str">
        <f>IF(AND(OR(LEFT(TH!N2795,2)="15",LEFT(TH!O2795,2)="15"),LEFT(TH!O2795,3)&lt;&gt;"111",'152-CT'!$J$8=TH!F2795),"x","")</f>
        <v/>
      </c>
      <c r="AC2795" s="75" t="str">
        <f>IF(AND(OR(LEFT(TH!N2795,2)="15",LEFT(TH!O2795,2)="15"),TK!$E$7=TH!F2795),"x","")</f>
        <v/>
      </c>
      <c r="AD2795" s="75" t="str">
        <f>IF(AND(N2795="1521",MONTH(C2795)='BK-NL'!$M$11),"x","")</f>
        <v/>
      </c>
    </row>
    <row r="2796" spans="1:30" s="1264" customFormat="1" ht="16.5" customHeight="1">
      <c r="A2796" s="309" t="str">
        <f>IF(B2796&lt;&gt;"",IF(AND(B2796='IN-TC'!$S$4,OR(TH!N2796="1111",TH!O2796="1111")),TH!D2796,""),"")</f>
        <v/>
      </c>
      <c r="B2796" s="1313">
        <f t="shared" si="984"/>
        <v>3</v>
      </c>
      <c r="C2796" s="71">
        <v>42825</v>
      </c>
      <c r="D2796" s="71" t="s">
        <v>902</v>
      </c>
      <c r="E2796" s="71">
        <v>42825</v>
      </c>
      <c r="F2796" s="72" t="s">
        <v>1096</v>
      </c>
      <c r="G2796" s="72" t="s">
        <v>747</v>
      </c>
      <c r="H2796" s="735" t="s">
        <v>835</v>
      </c>
      <c r="I2796" s="371"/>
      <c r="J2796" s="377"/>
      <c r="K2796" s="371">
        <v>0.23</v>
      </c>
      <c r="L2796" s="377">
        <v>22790</v>
      </c>
      <c r="M2796" s="74">
        <f t="shared" si="990"/>
        <v>5242</v>
      </c>
      <c r="N2796" s="75" t="s">
        <v>99</v>
      </c>
      <c r="O2796" s="934" t="s">
        <v>256</v>
      </c>
      <c r="P2796" s="75" t="str">
        <f>IF(AND('331-CT'!$E$7=TH!H2796,OR(N2796="331",O2796="331")),"x","")</f>
        <v/>
      </c>
      <c r="Q2796" s="75" t="str">
        <f>IF(AND(B2796='111'!$L$11,OR($N2796=$Q$7,$O2796=$Q$7)),"x","")</f>
        <v/>
      </c>
      <c r="R2796" s="75" t="str">
        <f>IF(AND($N2796=$Q$7,$B2796&lt;'111'!$L$11),"x","")</f>
        <v/>
      </c>
      <c r="S2796" s="75" t="str">
        <f>IF(AND($O2796=$Q$7,$B2796&lt;'111'!$L$11),"x","")</f>
        <v/>
      </c>
      <c r="T2796" s="75" t="str">
        <f>IF(ISERROR(FIND('112'!$M$9,G2796,1)),"",IF((AND(FIND('112'!$M$9,G2796,1)&gt;=1,B2796='112'!$K$9,OR($N2796='112'!$I$6,$O2796='112'!$I$6))),"x",""))</f>
        <v/>
      </c>
      <c r="U2796" s="75" t="str">
        <f>IF(ISERROR(FIND('112'!$M$9,G2796,1)),"",IF((AND(LEFT(G2796,2)=LEFT('112'!$M$9,2),B2796&lt;'112'!$K$9,$N2796='112'!$I$6)),"x",""))</f>
        <v/>
      </c>
      <c r="V2796" s="75" t="str">
        <f>IF(ISERROR(FIND('112'!$M$9,G2796,1)),"",IF((AND(RIGHT(G2796,2)=RIGHT('112'!$M$9,2),B2796&lt;'112'!$K$9,$O2796='112'!$I$6)),"x",""))</f>
        <v/>
      </c>
      <c r="W2796" s="75" t="str">
        <f>IF(AND('341-CT'!$H$9=H2796,OR(LEFT(N2796,3)=$W$7,LEFT(O2796,3)=$W$7)),"x","")</f>
        <v/>
      </c>
      <c r="X2796" s="75" t="str">
        <f>IF(OR(TH!N2796=TH!$X$7,O2796=TH!$X$7),"x","")</f>
        <v/>
      </c>
      <c r="Y2796" s="75" t="str">
        <f>IF(AND(OR(N2796="131",O2796="131"),H2796='131-CT'!$H$9),"x","")</f>
        <v/>
      </c>
      <c r="Z2796" s="75"/>
      <c r="AA2796" s="75" t="str">
        <f>IF(AND(MONTH(E2796)='IN-NX'!$J$5,'IN-NX'!$D$7=D2796),"x","")</f>
        <v/>
      </c>
      <c r="AB2796" s="75" t="str">
        <f>IF(AND(OR(LEFT(TH!N2796,2)="15",LEFT(TH!O2796,2)="15"),LEFT(TH!O2796,3)&lt;&gt;"111",'152-CT'!$J$8=TH!F2796),"x","")</f>
        <v/>
      </c>
      <c r="AC2796" s="75" t="str">
        <f>IF(AND(OR(LEFT(TH!N2796,2)="15",LEFT(TH!O2796,2)="15"),TK!$E$7=TH!F2796),"x","")</f>
        <v/>
      </c>
      <c r="AD2796" s="75" t="str">
        <f>IF(AND(N2796="1521",MONTH(C2796)='BK-NL'!$M$11),"x","")</f>
        <v/>
      </c>
    </row>
    <row r="2797" spans="1:30" s="1264" customFormat="1" ht="16.5" customHeight="1">
      <c r="A2797" s="309" t="str">
        <f>IF(B2797&lt;&gt;"",IF(AND(B2797='IN-TC'!$S$4,OR(TH!N2797="1111",TH!O2797="1111")),TH!D2797,""),"")</f>
        <v/>
      </c>
      <c r="B2797" s="1313">
        <f t="shared" si="984"/>
        <v>3</v>
      </c>
      <c r="C2797" s="71">
        <v>42825</v>
      </c>
      <c r="D2797" s="71" t="s">
        <v>902</v>
      </c>
      <c r="E2797" s="71">
        <v>42825</v>
      </c>
      <c r="F2797" s="72" t="s">
        <v>1096</v>
      </c>
      <c r="G2797" s="72" t="s">
        <v>747</v>
      </c>
      <c r="H2797" s="735" t="s">
        <v>835</v>
      </c>
      <c r="I2797" s="371"/>
      <c r="J2797" s="377"/>
      <c r="K2797" s="371">
        <v>207.67</v>
      </c>
      <c r="L2797" s="377">
        <v>22790</v>
      </c>
      <c r="M2797" s="74">
        <f t="shared" si="990"/>
        <v>4732799</v>
      </c>
      <c r="N2797" s="75" t="s">
        <v>99</v>
      </c>
      <c r="O2797" s="934" t="s">
        <v>256</v>
      </c>
      <c r="P2797" s="75" t="str">
        <f>IF(AND('331-CT'!$E$7=TH!H2797,OR(N2797="331",O2797="331")),"x","")</f>
        <v/>
      </c>
      <c r="Q2797" s="75" t="str">
        <f>IF(AND(B2797='111'!$L$11,OR($N2797=$Q$7,$O2797=$Q$7)),"x","")</f>
        <v/>
      </c>
      <c r="R2797" s="75" t="str">
        <f>IF(AND($N2797=$Q$7,$B2797&lt;'111'!$L$11),"x","")</f>
        <v/>
      </c>
      <c r="S2797" s="75" t="str">
        <f>IF(AND($O2797=$Q$7,$B2797&lt;'111'!$L$11),"x","")</f>
        <v/>
      </c>
      <c r="T2797" s="75" t="str">
        <f>IF(ISERROR(FIND('112'!$M$9,G2797,1)),"",IF((AND(FIND('112'!$M$9,G2797,1)&gt;=1,B2797='112'!$K$9,OR($N2797='112'!$I$6,$O2797='112'!$I$6))),"x",""))</f>
        <v/>
      </c>
      <c r="U2797" s="75" t="str">
        <f>IF(ISERROR(FIND('112'!$M$9,G2797,1)),"",IF((AND(LEFT(G2797,2)=LEFT('112'!$M$9,2),B2797&lt;'112'!$K$9,$N2797='112'!$I$6)),"x",""))</f>
        <v/>
      </c>
      <c r="V2797" s="75" t="str">
        <f>IF(ISERROR(FIND('112'!$M$9,G2797,1)),"",IF((AND(RIGHT(G2797,2)=RIGHT('112'!$M$9,2),B2797&lt;'112'!$K$9,$O2797='112'!$I$6)),"x",""))</f>
        <v/>
      </c>
      <c r="W2797" s="75" t="str">
        <f>IF(AND('341-CT'!$H$9=H2797,OR(LEFT(N2797,3)=$W$7,LEFT(O2797,3)=$W$7)),"x","")</f>
        <v/>
      </c>
      <c r="X2797" s="75" t="str">
        <f>IF(OR(TH!N2797=TH!$X$7,O2797=TH!$X$7),"x","")</f>
        <v/>
      </c>
      <c r="Y2797" s="75" t="str">
        <f>IF(AND(OR(N2797="131",O2797="131"),H2797='131-CT'!$H$9),"x","")</f>
        <v/>
      </c>
      <c r="Z2797" s="75"/>
      <c r="AA2797" s="75" t="str">
        <f>IF(AND(MONTH(E2797)='IN-NX'!$J$5,'IN-NX'!$D$7=D2797),"x","")</f>
        <v/>
      </c>
      <c r="AB2797" s="75" t="str">
        <f>IF(AND(OR(LEFT(TH!N2797,2)="15",LEFT(TH!O2797,2)="15"),LEFT(TH!O2797,3)&lt;&gt;"111",'152-CT'!$J$8=TH!F2797),"x","")</f>
        <v/>
      </c>
      <c r="AC2797" s="75" t="str">
        <f>IF(AND(OR(LEFT(TH!N2797,2)="15",LEFT(TH!O2797,2)="15"),TK!$E$7=TH!F2797),"x","")</f>
        <v/>
      </c>
      <c r="AD2797" s="75" t="str">
        <f>IF(AND(N2797="1521",MONTH(C2797)='BK-NL'!$M$11),"x","")</f>
        <v/>
      </c>
    </row>
    <row r="2798" spans="1:30" s="1264" customFormat="1" ht="16.5" customHeight="1">
      <c r="A2798" s="309" t="str">
        <f>IF(B2798&lt;&gt;"",IF(AND(B2798='IN-TC'!$S$4,OR(TH!N2798="1111",TH!O2798="1111")),TH!D2798,""),"")</f>
        <v/>
      </c>
      <c r="B2798" s="1313">
        <f t="shared" si="984"/>
        <v>3</v>
      </c>
      <c r="C2798" s="71">
        <v>42825</v>
      </c>
      <c r="D2798" s="71" t="s">
        <v>902</v>
      </c>
      <c r="E2798" s="71">
        <v>42825</v>
      </c>
      <c r="F2798" s="72" t="s">
        <v>1096</v>
      </c>
      <c r="G2798" s="72" t="s">
        <v>747</v>
      </c>
      <c r="H2798" s="735" t="s">
        <v>835</v>
      </c>
      <c r="I2798" s="371"/>
      <c r="J2798" s="377"/>
      <c r="K2798" s="371">
        <v>0.22</v>
      </c>
      <c r="L2798" s="377">
        <v>22790</v>
      </c>
      <c r="M2798" s="74">
        <f t="shared" si="990"/>
        <v>5014</v>
      </c>
      <c r="N2798" s="75" t="s">
        <v>99</v>
      </c>
      <c r="O2798" s="934" t="s">
        <v>256</v>
      </c>
      <c r="P2798" s="75" t="str">
        <f>IF(AND('331-CT'!$E$7=TH!H2798,OR(N2798="331",O2798="331")),"x","")</f>
        <v/>
      </c>
      <c r="Q2798" s="75" t="str">
        <f>IF(AND(B2798='111'!$L$11,OR($N2798=$Q$7,$O2798=$Q$7)),"x","")</f>
        <v/>
      </c>
      <c r="R2798" s="75" t="str">
        <f>IF(AND($N2798=$Q$7,$B2798&lt;'111'!$L$11),"x","")</f>
        <v/>
      </c>
      <c r="S2798" s="75" t="str">
        <f>IF(AND($O2798=$Q$7,$B2798&lt;'111'!$L$11),"x","")</f>
        <v/>
      </c>
      <c r="T2798" s="75" t="str">
        <f>IF(ISERROR(FIND('112'!$M$9,G2798,1)),"",IF((AND(FIND('112'!$M$9,G2798,1)&gt;=1,B2798='112'!$K$9,OR($N2798='112'!$I$6,$O2798='112'!$I$6))),"x",""))</f>
        <v/>
      </c>
      <c r="U2798" s="75" t="str">
        <f>IF(ISERROR(FIND('112'!$M$9,G2798,1)),"",IF((AND(LEFT(G2798,2)=LEFT('112'!$M$9,2),B2798&lt;'112'!$K$9,$N2798='112'!$I$6)),"x",""))</f>
        <v/>
      </c>
      <c r="V2798" s="75" t="str">
        <f>IF(ISERROR(FIND('112'!$M$9,G2798,1)),"",IF((AND(RIGHT(G2798,2)=RIGHT('112'!$M$9,2),B2798&lt;'112'!$K$9,$O2798='112'!$I$6)),"x",""))</f>
        <v/>
      </c>
      <c r="W2798" s="75" t="str">
        <f>IF(AND('341-CT'!$H$9=H2798,OR(LEFT(N2798,3)=$W$7,LEFT(O2798,3)=$W$7)),"x","")</f>
        <v/>
      </c>
      <c r="X2798" s="75" t="str">
        <f>IF(OR(TH!N2798=TH!$X$7,O2798=TH!$X$7),"x","")</f>
        <v/>
      </c>
      <c r="Y2798" s="75" t="str">
        <f>IF(AND(OR(N2798="131",O2798="131"),H2798='131-CT'!$H$9),"x","")</f>
        <v/>
      </c>
      <c r="Z2798" s="75"/>
      <c r="AA2798" s="75" t="str">
        <f>IF(AND(MONTH(E2798)='IN-NX'!$J$5,'IN-NX'!$D$7=D2798),"x","")</f>
        <v/>
      </c>
      <c r="AB2798" s="75" t="str">
        <f>IF(AND(OR(LEFT(TH!N2798,2)="15",LEFT(TH!O2798,2)="15"),LEFT(TH!O2798,3)&lt;&gt;"111",'152-CT'!$J$8=TH!F2798),"x","")</f>
        <v/>
      </c>
      <c r="AC2798" s="75" t="str">
        <f>IF(AND(OR(LEFT(TH!N2798,2)="15",LEFT(TH!O2798,2)="15"),TK!$E$7=TH!F2798),"x","")</f>
        <v/>
      </c>
      <c r="AD2798" s="75" t="str">
        <f>IF(AND(N2798="1521",MONTH(C2798)='BK-NL'!$M$11),"x","")</f>
        <v/>
      </c>
    </row>
    <row r="2799" spans="1:30" s="1264" customFormat="1" ht="16.5" customHeight="1">
      <c r="A2799" s="309" t="str">
        <f>IF(B2799&lt;&gt;"",IF(AND(B2799='IN-TC'!$S$4,OR(TH!N2799="1111",TH!O2799="1111")),TH!D2799,""),"")</f>
        <v/>
      </c>
      <c r="B2799" s="1313">
        <f t="shared" si="984"/>
        <v>3</v>
      </c>
      <c r="C2799" s="71">
        <v>42825</v>
      </c>
      <c r="D2799" s="71" t="s">
        <v>902</v>
      </c>
      <c r="E2799" s="71">
        <v>42825</v>
      </c>
      <c r="F2799" s="72" t="s">
        <v>1096</v>
      </c>
      <c r="G2799" s="72" t="s">
        <v>747</v>
      </c>
      <c r="H2799" s="735" t="s">
        <v>835</v>
      </c>
      <c r="I2799" s="371"/>
      <c r="J2799" s="377"/>
      <c r="K2799" s="371">
        <v>198.33</v>
      </c>
      <c r="L2799" s="377">
        <v>22790</v>
      </c>
      <c r="M2799" s="74">
        <f t="shared" si="990"/>
        <v>4519941</v>
      </c>
      <c r="N2799" s="75" t="s">
        <v>99</v>
      </c>
      <c r="O2799" s="934" t="s">
        <v>256</v>
      </c>
      <c r="P2799" s="75" t="str">
        <f>IF(AND('331-CT'!$E$7=TH!H2799,OR(N2799="331",O2799="331")),"x","")</f>
        <v/>
      </c>
      <c r="Q2799" s="75" t="str">
        <f>IF(AND(B2799='111'!$L$11,OR($N2799=$Q$7,$O2799=$Q$7)),"x","")</f>
        <v/>
      </c>
      <c r="R2799" s="75" t="str">
        <f>IF(AND($N2799=$Q$7,$B2799&lt;'111'!$L$11),"x","")</f>
        <v/>
      </c>
      <c r="S2799" s="75" t="str">
        <f>IF(AND($O2799=$Q$7,$B2799&lt;'111'!$L$11),"x","")</f>
        <v/>
      </c>
      <c r="T2799" s="75" t="str">
        <f>IF(ISERROR(FIND('112'!$M$9,G2799,1)),"",IF((AND(FIND('112'!$M$9,G2799,1)&gt;=1,B2799='112'!$K$9,OR($N2799='112'!$I$6,$O2799='112'!$I$6))),"x",""))</f>
        <v/>
      </c>
      <c r="U2799" s="75" t="str">
        <f>IF(ISERROR(FIND('112'!$M$9,G2799,1)),"",IF((AND(LEFT(G2799,2)=LEFT('112'!$M$9,2),B2799&lt;'112'!$K$9,$N2799='112'!$I$6)),"x",""))</f>
        <v/>
      </c>
      <c r="V2799" s="75" t="str">
        <f>IF(ISERROR(FIND('112'!$M$9,G2799,1)),"",IF((AND(RIGHT(G2799,2)=RIGHT('112'!$M$9,2),B2799&lt;'112'!$K$9,$O2799='112'!$I$6)),"x",""))</f>
        <v/>
      </c>
      <c r="W2799" s="75" t="str">
        <f>IF(AND('341-CT'!$H$9=H2799,OR(LEFT(N2799,3)=$W$7,LEFT(O2799,3)=$W$7)),"x","")</f>
        <v/>
      </c>
      <c r="X2799" s="75" t="str">
        <f>IF(OR(TH!N2799=TH!$X$7,O2799=TH!$X$7),"x","")</f>
        <v/>
      </c>
      <c r="Y2799" s="75" t="str">
        <f>IF(AND(OR(N2799="131",O2799="131"),H2799='131-CT'!$H$9),"x","")</f>
        <v/>
      </c>
      <c r="Z2799" s="75"/>
      <c r="AA2799" s="75" t="str">
        <f>IF(AND(MONTH(E2799)='IN-NX'!$J$5,'IN-NX'!$D$7=D2799),"x","")</f>
        <v/>
      </c>
      <c r="AB2799" s="75" t="str">
        <f>IF(AND(OR(LEFT(TH!N2799,2)="15",LEFT(TH!O2799,2)="15"),LEFT(TH!O2799,3)&lt;&gt;"111",'152-CT'!$J$8=TH!F2799),"x","")</f>
        <v/>
      </c>
      <c r="AC2799" s="75" t="str">
        <f>IF(AND(OR(LEFT(TH!N2799,2)="15",LEFT(TH!O2799,2)="15"),TK!$E$7=TH!F2799),"x","")</f>
        <v/>
      </c>
      <c r="AD2799" s="75" t="str">
        <f>IF(AND(N2799="1521",MONTH(C2799)='BK-NL'!$M$11),"x","")</f>
        <v/>
      </c>
    </row>
    <row r="2800" spans="1:30" s="1264" customFormat="1" ht="16.5" customHeight="1">
      <c r="A2800" s="309" t="str">
        <f>IF(B2800&lt;&gt;"",IF(AND(B2800='IN-TC'!$S$4,OR(TH!N2800="1111",TH!O2800="1111")),TH!D2800,""),"")</f>
        <v/>
      </c>
      <c r="B2800" s="1313">
        <f t="shared" si="984"/>
        <v>3</v>
      </c>
      <c r="C2800" s="71">
        <v>42825</v>
      </c>
      <c r="D2800" s="71" t="s">
        <v>902</v>
      </c>
      <c r="E2800" s="71">
        <v>42825</v>
      </c>
      <c r="F2800" s="72" t="s">
        <v>1096</v>
      </c>
      <c r="G2800" s="72" t="s">
        <v>747</v>
      </c>
      <c r="H2800" s="735" t="s">
        <v>835</v>
      </c>
      <c r="I2800" s="371"/>
      <c r="J2800" s="377"/>
      <c r="K2800" s="371">
        <v>0.04</v>
      </c>
      <c r="L2800" s="377">
        <v>22790</v>
      </c>
      <c r="M2800" s="74">
        <f t="shared" si="990"/>
        <v>912</v>
      </c>
      <c r="N2800" s="75" t="s">
        <v>99</v>
      </c>
      <c r="O2800" s="934" t="s">
        <v>256</v>
      </c>
      <c r="P2800" s="75" t="str">
        <f>IF(AND('331-CT'!$E$7=TH!H2800,OR(N2800="331",O2800="331")),"x","")</f>
        <v/>
      </c>
      <c r="Q2800" s="75" t="str">
        <f>IF(AND(B2800='111'!$L$11,OR($N2800=$Q$7,$O2800=$Q$7)),"x","")</f>
        <v/>
      </c>
      <c r="R2800" s="75" t="str">
        <f>IF(AND($N2800=$Q$7,$B2800&lt;'111'!$L$11),"x","")</f>
        <v/>
      </c>
      <c r="S2800" s="75" t="str">
        <f>IF(AND($O2800=$Q$7,$B2800&lt;'111'!$L$11),"x","")</f>
        <v/>
      </c>
      <c r="T2800" s="75" t="str">
        <f>IF(ISERROR(FIND('112'!$M$9,G2800,1)),"",IF((AND(FIND('112'!$M$9,G2800,1)&gt;=1,B2800='112'!$K$9,OR($N2800='112'!$I$6,$O2800='112'!$I$6))),"x",""))</f>
        <v/>
      </c>
      <c r="U2800" s="75" t="str">
        <f>IF(ISERROR(FIND('112'!$M$9,G2800,1)),"",IF((AND(LEFT(G2800,2)=LEFT('112'!$M$9,2),B2800&lt;'112'!$K$9,$N2800='112'!$I$6)),"x",""))</f>
        <v/>
      </c>
      <c r="V2800" s="75" t="str">
        <f>IF(ISERROR(FIND('112'!$M$9,G2800,1)),"",IF((AND(RIGHT(G2800,2)=RIGHT('112'!$M$9,2),B2800&lt;'112'!$K$9,$O2800='112'!$I$6)),"x",""))</f>
        <v/>
      </c>
      <c r="W2800" s="75" t="str">
        <f>IF(AND('341-CT'!$H$9=H2800,OR(LEFT(N2800,3)=$W$7,LEFT(O2800,3)=$W$7)),"x","")</f>
        <v/>
      </c>
      <c r="X2800" s="75" t="str">
        <f>IF(OR(TH!N2800=TH!$X$7,O2800=TH!$X$7),"x","")</f>
        <v/>
      </c>
      <c r="Y2800" s="75" t="str">
        <f>IF(AND(OR(N2800="131",O2800="131"),H2800='131-CT'!$H$9),"x","")</f>
        <v/>
      </c>
      <c r="Z2800" s="75"/>
      <c r="AA2800" s="75" t="str">
        <f>IF(AND(MONTH(E2800)='IN-NX'!$J$5,'IN-NX'!$D$7=D2800),"x","")</f>
        <v/>
      </c>
      <c r="AB2800" s="75" t="str">
        <f>IF(AND(OR(LEFT(TH!N2800,2)="15",LEFT(TH!O2800,2)="15"),LEFT(TH!O2800,3)&lt;&gt;"111",'152-CT'!$J$8=TH!F2800),"x","")</f>
        <v/>
      </c>
      <c r="AC2800" s="75" t="str">
        <f>IF(AND(OR(LEFT(TH!N2800,2)="15",LEFT(TH!O2800,2)="15"),TK!$E$7=TH!F2800),"x","")</f>
        <v/>
      </c>
      <c r="AD2800" s="75" t="str">
        <f>IF(AND(N2800="1521",MONTH(C2800)='BK-NL'!$M$11),"x","")</f>
        <v/>
      </c>
    </row>
    <row r="2801" spans="1:30" s="1264" customFormat="1" ht="16.5" customHeight="1">
      <c r="A2801" s="309" t="str">
        <f>IF(B2801&lt;&gt;"",IF(AND(B2801='IN-TC'!$S$4,OR(TH!N2801="1111",TH!O2801="1111")),TH!D2801,""),"")</f>
        <v/>
      </c>
      <c r="B2801" s="1313">
        <f t="shared" si="984"/>
        <v>3</v>
      </c>
      <c r="C2801" s="71">
        <v>42825</v>
      </c>
      <c r="D2801" s="71" t="s">
        <v>902</v>
      </c>
      <c r="E2801" s="71">
        <v>42825</v>
      </c>
      <c r="F2801" s="72" t="s">
        <v>1096</v>
      </c>
      <c r="G2801" s="72" t="s">
        <v>747</v>
      </c>
      <c r="H2801" s="735" t="s">
        <v>835</v>
      </c>
      <c r="I2801" s="371"/>
      <c r="J2801" s="377"/>
      <c r="K2801" s="371">
        <v>38.71</v>
      </c>
      <c r="L2801" s="377">
        <v>22790</v>
      </c>
      <c r="M2801" s="74">
        <f t="shared" si="990"/>
        <v>882201</v>
      </c>
      <c r="N2801" s="75" t="s">
        <v>99</v>
      </c>
      <c r="O2801" s="934" t="s">
        <v>256</v>
      </c>
      <c r="P2801" s="75" t="str">
        <f>IF(AND('331-CT'!$E$7=TH!H2801,OR(N2801="331",O2801="331")),"x","")</f>
        <v/>
      </c>
      <c r="Q2801" s="75" t="str">
        <f>IF(AND(B2801='111'!$L$11,OR($N2801=$Q$7,$O2801=$Q$7)),"x","")</f>
        <v/>
      </c>
      <c r="R2801" s="75" t="str">
        <f>IF(AND($N2801=$Q$7,$B2801&lt;'111'!$L$11),"x","")</f>
        <v/>
      </c>
      <c r="S2801" s="75" t="str">
        <f>IF(AND($O2801=$Q$7,$B2801&lt;'111'!$L$11),"x","")</f>
        <v/>
      </c>
      <c r="T2801" s="75" t="str">
        <f>IF(ISERROR(FIND('112'!$M$9,G2801,1)),"",IF((AND(FIND('112'!$M$9,G2801,1)&gt;=1,B2801='112'!$K$9,OR($N2801='112'!$I$6,$O2801='112'!$I$6))),"x",""))</f>
        <v/>
      </c>
      <c r="U2801" s="75" t="str">
        <f>IF(ISERROR(FIND('112'!$M$9,G2801,1)),"",IF((AND(LEFT(G2801,2)=LEFT('112'!$M$9,2),B2801&lt;'112'!$K$9,$N2801='112'!$I$6)),"x",""))</f>
        <v/>
      </c>
      <c r="V2801" s="75" t="str">
        <f>IF(ISERROR(FIND('112'!$M$9,G2801,1)),"",IF((AND(RIGHT(G2801,2)=RIGHT('112'!$M$9,2),B2801&lt;'112'!$K$9,$O2801='112'!$I$6)),"x",""))</f>
        <v/>
      </c>
      <c r="W2801" s="75" t="str">
        <f>IF(AND('341-CT'!$H$9=H2801,OR(LEFT(N2801,3)=$W$7,LEFT(O2801,3)=$W$7)),"x","")</f>
        <v/>
      </c>
      <c r="X2801" s="75" t="str">
        <f>IF(OR(TH!N2801=TH!$X$7,O2801=TH!$X$7),"x","")</f>
        <v/>
      </c>
      <c r="Y2801" s="75" t="str">
        <f>IF(AND(OR(N2801="131",O2801="131"),H2801='131-CT'!$H$9),"x","")</f>
        <v/>
      </c>
      <c r="Z2801" s="75"/>
      <c r="AA2801" s="75" t="str">
        <f>IF(AND(MONTH(E2801)='IN-NX'!$J$5,'IN-NX'!$D$7=D2801),"x","")</f>
        <v/>
      </c>
      <c r="AB2801" s="75" t="str">
        <f>IF(AND(OR(LEFT(TH!N2801,2)="15",LEFT(TH!O2801,2)="15"),LEFT(TH!O2801,3)&lt;&gt;"111",'152-CT'!$J$8=TH!F2801),"x","")</f>
        <v/>
      </c>
      <c r="AC2801" s="75" t="str">
        <f>IF(AND(OR(LEFT(TH!N2801,2)="15",LEFT(TH!O2801,2)="15"),TK!$E$7=TH!F2801),"x","")</f>
        <v/>
      </c>
      <c r="AD2801" s="75" t="str">
        <f>IF(AND(N2801="1521",MONTH(C2801)='BK-NL'!$M$11),"x","")</f>
        <v/>
      </c>
    </row>
    <row r="2802" spans="1:30" s="1264" customFormat="1" ht="16.5" customHeight="1">
      <c r="A2802" s="309" t="str">
        <f>IF(B2802&lt;&gt;"",IF(AND(B2802='IN-TC'!$S$4,OR(TH!N2802="1111",TH!O2802="1111")),TH!D2802,""),"")</f>
        <v/>
      </c>
      <c r="B2802" s="1313">
        <f t="shared" si="984"/>
        <v>3</v>
      </c>
      <c r="C2802" s="71">
        <v>42825</v>
      </c>
      <c r="D2802" s="71" t="s">
        <v>902</v>
      </c>
      <c r="E2802" s="71">
        <v>42825</v>
      </c>
      <c r="F2802" s="72" t="s">
        <v>1096</v>
      </c>
      <c r="G2802" s="72" t="s">
        <v>747</v>
      </c>
      <c r="H2802" s="735" t="s">
        <v>835</v>
      </c>
      <c r="I2802" s="371"/>
      <c r="J2802" s="377"/>
      <c r="K2802" s="371">
        <v>0.13</v>
      </c>
      <c r="L2802" s="377">
        <v>22790</v>
      </c>
      <c r="M2802" s="74">
        <f t="shared" si="990"/>
        <v>2963</v>
      </c>
      <c r="N2802" s="75" t="s">
        <v>99</v>
      </c>
      <c r="O2802" s="934" t="s">
        <v>256</v>
      </c>
      <c r="P2802" s="75" t="str">
        <f>IF(AND('331-CT'!$E$7=TH!H2802,OR(N2802="331",O2802="331")),"x","")</f>
        <v/>
      </c>
      <c r="Q2802" s="75" t="str">
        <f>IF(AND(B2802='111'!$L$11,OR($N2802=$Q$7,$O2802=$Q$7)),"x","")</f>
        <v/>
      </c>
      <c r="R2802" s="75" t="str">
        <f>IF(AND($N2802=$Q$7,$B2802&lt;'111'!$L$11),"x","")</f>
        <v/>
      </c>
      <c r="S2802" s="75" t="str">
        <f>IF(AND($O2802=$Q$7,$B2802&lt;'111'!$L$11),"x","")</f>
        <v/>
      </c>
      <c r="T2802" s="75" t="str">
        <f>IF(ISERROR(FIND('112'!$M$9,G2802,1)),"",IF((AND(FIND('112'!$M$9,G2802,1)&gt;=1,B2802='112'!$K$9,OR($N2802='112'!$I$6,$O2802='112'!$I$6))),"x",""))</f>
        <v/>
      </c>
      <c r="U2802" s="75" t="str">
        <f>IF(ISERROR(FIND('112'!$M$9,G2802,1)),"",IF((AND(LEFT(G2802,2)=LEFT('112'!$M$9,2),B2802&lt;'112'!$K$9,$N2802='112'!$I$6)),"x",""))</f>
        <v/>
      </c>
      <c r="V2802" s="75" t="str">
        <f>IF(ISERROR(FIND('112'!$M$9,G2802,1)),"",IF((AND(RIGHT(G2802,2)=RIGHT('112'!$M$9,2),B2802&lt;'112'!$K$9,$O2802='112'!$I$6)),"x",""))</f>
        <v/>
      </c>
      <c r="W2802" s="75" t="str">
        <f>IF(AND('341-CT'!$H$9=H2802,OR(LEFT(N2802,3)=$W$7,LEFT(O2802,3)=$W$7)),"x","")</f>
        <v/>
      </c>
      <c r="X2802" s="75" t="str">
        <f>IF(OR(TH!N2802=TH!$X$7,O2802=TH!$X$7),"x","")</f>
        <v/>
      </c>
      <c r="Y2802" s="75" t="str">
        <f>IF(AND(OR(N2802="131",O2802="131"),H2802='131-CT'!$H$9),"x","")</f>
        <v/>
      </c>
      <c r="Z2802" s="75"/>
      <c r="AA2802" s="75" t="str">
        <f>IF(AND(MONTH(E2802)='IN-NX'!$J$5,'IN-NX'!$D$7=D2802),"x","")</f>
        <v/>
      </c>
      <c r="AB2802" s="75" t="str">
        <f>IF(AND(OR(LEFT(TH!N2802,2)="15",LEFT(TH!O2802,2)="15"),LEFT(TH!O2802,3)&lt;&gt;"111",'152-CT'!$J$8=TH!F2802),"x","")</f>
        <v/>
      </c>
      <c r="AC2802" s="75" t="str">
        <f>IF(AND(OR(LEFT(TH!N2802,2)="15",LEFT(TH!O2802,2)="15"),TK!$E$7=TH!F2802),"x","")</f>
        <v/>
      </c>
      <c r="AD2802" s="75" t="str">
        <f>IF(AND(N2802="1521",MONTH(C2802)='BK-NL'!$M$11),"x","")</f>
        <v/>
      </c>
    </row>
    <row r="2803" spans="1:30" s="1264" customFormat="1" ht="16.5" customHeight="1">
      <c r="A2803" s="309" t="str">
        <f>IF(B2803&lt;&gt;"",IF(AND(B2803='IN-TC'!$S$4,OR(TH!N2803="1111",TH!O2803="1111")),TH!D2803,""),"")</f>
        <v/>
      </c>
      <c r="B2803" s="1313">
        <f t="shared" si="984"/>
        <v>3</v>
      </c>
      <c r="C2803" s="71">
        <v>42825</v>
      </c>
      <c r="D2803" s="71" t="s">
        <v>902</v>
      </c>
      <c r="E2803" s="71">
        <v>42825</v>
      </c>
      <c r="F2803" s="72" t="s">
        <v>1096</v>
      </c>
      <c r="G2803" s="72" t="s">
        <v>747</v>
      </c>
      <c r="H2803" s="735" t="s">
        <v>835</v>
      </c>
      <c r="I2803" s="371"/>
      <c r="J2803" s="377"/>
      <c r="K2803" s="371">
        <v>119.23</v>
      </c>
      <c r="L2803" s="377">
        <v>22790</v>
      </c>
      <c r="M2803" s="74">
        <f t="shared" si="990"/>
        <v>2717252</v>
      </c>
      <c r="N2803" s="75" t="s">
        <v>99</v>
      </c>
      <c r="O2803" s="934" t="s">
        <v>256</v>
      </c>
      <c r="P2803" s="75" t="str">
        <f>IF(AND('331-CT'!$E$7=TH!H2803,OR(N2803="331",O2803="331")),"x","")</f>
        <v/>
      </c>
      <c r="Q2803" s="75" t="str">
        <f>IF(AND(B2803='111'!$L$11,OR($N2803=$Q$7,$O2803=$Q$7)),"x","")</f>
        <v/>
      </c>
      <c r="R2803" s="75" t="str">
        <f>IF(AND($N2803=$Q$7,$B2803&lt;'111'!$L$11),"x","")</f>
        <v/>
      </c>
      <c r="S2803" s="75" t="str">
        <f>IF(AND($O2803=$Q$7,$B2803&lt;'111'!$L$11),"x","")</f>
        <v/>
      </c>
      <c r="T2803" s="75" t="str">
        <f>IF(ISERROR(FIND('112'!$M$9,G2803,1)),"",IF((AND(FIND('112'!$M$9,G2803,1)&gt;=1,B2803='112'!$K$9,OR($N2803='112'!$I$6,$O2803='112'!$I$6))),"x",""))</f>
        <v/>
      </c>
      <c r="U2803" s="75" t="str">
        <f>IF(ISERROR(FIND('112'!$M$9,G2803,1)),"",IF((AND(LEFT(G2803,2)=LEFT('112'!$M$9,2),B2803&lt;'112'!$K$9,$N2803='112'!$I$6)),"x",""))</f>
        <v/>
      </c>
      <c r="V2803" s="75" t="str">
        <f>IF(ISERROR(FIND('112'!$M$9,G2803,1)),"",IF((AND(RIGHT(G2803,2)=RIGHT('112'!$M$9,2),B2803&lt;'112'!$K$9,$O2803='112'!$I$6)),"x",""))</f>
        <v/>
      </c>
      <c r="W2803" s="75" t="str">
        <f>IF(AND('341-CT'!$H$9=H2803,OR(LEFT(N2803,3)=$W$7,LEFT(O2803,3)=$W$7)),"x","")</f>
        <v/>
      </c>
      <c r="X2803" s="75" t="str">
        <f>IF(OR(TH!N2803=TH!$X$7,O2803=TH!$X$7),"x","")</f>
        <v/>
      </c>
      <c r="Y2803" s="75" t="str">
        <f>IF(AND(OR(N2803="131",O2803="131"),H2803='131-CT'!$H$9),"x","")</f>
        <v/>
      </c>
      <c r="Z2803" s="75"/>
      <c r="AA2803" s="75" t="str">
        <f>IF(AND(MONTH(E2803)='IN-NX'!$J$5,'IN-NX'!$D$7=D2803),"x","")</f>
        <v/>
      </c>
      <c r="AB2803" s="75" t="str">
        <f>IF(AND(OR(LEFT(TH!N2803,2)="15",LEFT(TH!O2803,2)="15"),LEFT(TH!O2803,3)&lt;&gt;"111",'152-CT'!$J$8=TH!F2803),"x","")</f>
        <v/>
      </c>
      <c r="AC2803" s="75" t="str">
        <f>IF(AND(OR(LEFT(TH!N2803,2)="15",LEFT(TH!O2803,2)="15"),TK!$E$7=TH!F2803),"x","")</f>
        <v/>
      </c>
      <c r="AD2803" s="75" t="str">
        <f>IF(AND(N2803="1521",MONTH(C2803)='BK-NL'!$M$11),"x","")</f>
        <v/>
      </c>
    </row>
    <row r="2804" spans="1:30" s="1264" customFormat="1" ht="16.5" customHeight="1">
      <c r="A2804" s="309" t="str">
        <f>IF(B2804&lt;&gt;"",IF(AND(B2804='IN-TC'!$S$4,OR(TH!N2804="1111",TH!O2804="1111")),TH!D2804,""),"")</f>
        <v/>
      </c>
      <c r="B2804" s="1313">
        <f t="shared" si="984"/>
        <v>3</v>
      </c>
      <c r="C2804" s="71">
        <v>42825</v>
      </c>
      <c r="D2804" s="71" t="s">
        <v>903</v>
      </c>
      <c r="E2804" s="71">
        <v>42825</v>
      </c>
      <c r="F2804" s="72" t="s">
        <v>1200</v>
      </c>
      <c r="G2804" s="72" t="s">
        <v>747</v>
      </c>
      <c r="H2804" s="735" t="s">
        <v>835</v>
      </c>
      <c r="I2804" s="371"/>
      <c r="J2804" s="377"/>
      <c r="K2804" s="371">
        <v>11882.6</v>
      </c>
      <c r="L2804" s="377">
        <v>22790</v>
      </c>
      <c r="M2804" s="1214">
        <f t="shared" ref="M2804:M2806" si="991">ROUND(K2804*L2804,0)</f>
        <v>270804454</v>
      </c>
      <c r="N2804" s="1224" t="s">
        <v>256</v>
      </c>
      <c r="O2804" s="75" t="s">
        <v>26</v>
      </c>
      <c r="P2804" s="75" t="str">
        <f>IF(AND('331-CT'!$E$7=TH!H2804,OR(N2804="331",O2804="331")),"x","")</f>
        <v/>
      </c>
      <c r="Q2804" s="75" t="str">
        <f>IF(AND(B2804='111'!$L$11,OR($N2804=$Q$7,$O2804=$Q$7)),"x","")</f>
        <v/>
      </c>
      <c r="R2804" s="75" t="str">
        <f>IF(AND($N2804=$Q$7,$B2804&lt;'111'!$L$11),"x","")</f>
        <v/>
      </c>
      <c r="S2804" s="75" t="str">
        <f>IF(AND($O2804=$Q$7,$B2804&lt;'111'!$L$11),"x","")</f>
        <v/>
      </c>
      <c r="T2804" s="75" t="str">
        <f>IF(ISERROR(FIND('112'!$M$9,G2804,1)),"",IF((AND(FIND('112'!$M$9,G2804,1)&gt;=1,B2804='112'!$K$9,OR($N2804='112'!$I$6,$O2804='112'!$I$6))),"x",""))</f>
        <v/>
      </c>
      <c r="U2804" s="75" t="str">
        <f>IF(ISERROR(FIND('112'!$M$9,G2804,1)),"",IF((AND(LEFT(G2804,2)=LEFT('112'!$M$9,2),B2804&lt;'112'!$K$9,$N2804='112'!$I$6)),"x",""))</f>
        <v/>
      </c>
      <c r="V2804" s="75" t="str">
        <f>IF(ISERROR(FIND('112'!$M$9,G2804,1)),"",IF((AND(RIGHT(G2804,2)=RIGHT('112'!$M$9,2),B2804&lt;'112'!$K$9,$O2804='112'!$I$6)),"x",""))</f>
        <v/>
      </c>
      <c r="W2804" s="75" t="str">
        <f>IF(AND('341-CT'!$H$9=H2804,OR(LEFT(N2804,3)=$W$7,LEFT(O2804,3)=$W$7)),"x","")</f>
        <v/>
      </c>
      <c r="X2804" s="75" t="str">
        <f>IF(OR(TH!N2804=TH!$X$7,O2804=TH!$X$7),"x","")</f>
        <v/>
      </c>
      <c r="Y2804" s="75" t="str">
        <f>IF(AND(OR(N2804="131",O2804="131"),H2804='131-CT'!$H$9),"x","")</f>
        <v/>
      </c>
      <c r="Z2804" s="75"/>
      <c r="AA2804" s="75" t="str">
        <f>IF(AND(MONTH(E2804)='IN-NX'!$J$5,'IN-NX'!$D$7=D2804),"x","")</f>
        <v/>
      </c>
      <c r="AB2804" s="75" t="str">
        <f>IF(AND(OR(LEFT(TH!N2804,2)="15",LEFT(TH!O2804,2)="15"),LEFT(TH!O2804,3)&lt;&gt;"111",'152-CT'!$J$8=TH!F2804),"x","")</f>
        <v/>
      </c>
      <c r="AC2804" s="75" t="str">
        <f>IF(AND(OR(LEFT(TH!N2804,2)="15",LEFT(TH!O2804,2)="15"),TK!$E$7=TH!F2804),"x","")</f>
        <v/>
      </c>
      <c r="AD2804" s="75" t="str">
        <f>IF(AND(N2804="1521",MONTH(C2804)='BK-NL'!$M$11),"x","")</f>
        <v/>
      </c>
    </row>
    <row r="2805" spans="1:30" s="1264" customFormat="1" ht="16.5" customHeight="1">
      <c r="A2805" s="309" t="str">
        <f>IF(B2805&lt;&gt;"",IF(AND(B2805='IN-TC'!$S$4,OR(TH!N2805="1111",TH!O2805="1111")),TH!D2805,""),"")</f>
        <v/>
      </c>
      <c r="B2805" s="1314">
        <f t="shared" si="984"/>
        <v>4</v>
      </c>
      <c r="C2805" s="71">
        <v>42828</v>
      </c>
      <c r="D2805" s="71" t="s">
        <v>902</v>
      </c>
      <c r="E2805" s="71">
        <f t="shared" ref="E2805:E2839" si="992">C2805</f>
        <v>42828</v>
      </c>
      <c r="F2805" s="72" t="s">
        <v>907</v>
      </c>
      <c r="G2805" s="72" t="s">
        <v>747</v>
      </c>
      <c r="H2805" s="735" t="s">
        <v>835</v>
      </c>
      <c r="I2805" s="371"/>
      <c r="J2805" s="377"/>
      <c r="K2805" s="371">
        <v>322500</v>
      </c>
      <c r="L2805" s="377">
        <v>22731</v>
      </c>
      <c r="M2805" s="74">
        <f t="shared" si="991"/>
        <v>7330747500</v>
      </c>
      <c r="N2805" s="75" t="s">
        <v>26</v>
      </c>
      <c r="O2805" s="934" t="s">
        <v>256</v>
      </c>
      <c r="P2805" s="75" t="str">
        <f>IF(AND('331-CT'!$E$7=TH!H2805,OR(N2805="331",O2805="331")),"x","")</f>
        <v/>
      </c>
      <c r="Q2805" s="75" t="str">
        <f>IF(AND(B2805='111'!$L$11,OR($N2805=$Q$7,$O2805=$Q$7)),"x","")</f>
        <v/>
      </c>
      <c r="R2805" s="75" t="str">
        <f>IF(AND($N2805=$Q$7,$B2805&lt;'111'!$L$11),"x","")</f>
        <v/>
      </c>
      <c r="S2805" s="75" t="str">
        <f>IF(AND($O2805=$Q$7,$B2805&lt;'111'!$L$11),"x","")</f>
        <v/>
      </c>
      <c r="T2805" s="75" t="str">
        <f>IF(ISERROR(FIND('112'!$M$9,G2805,1)),"",IF((AND(FIND('112'!$M$9,G2805,1)&gt;=1,B2805='112'!$K$9,OR($N2805='112'!$I$6,$O2805='112'!$I$6))),"x",""))</f>
        <v/>
      </c>
      <c r="U2805" s="75" t="str">
        <f>IF(ISERROR(FIND('112'!$M$9,G2805,1)),"",IF((AND(LEFT(G2805,2)=LEFT('112'!$M$9,2),B2805&lt;'112'!$K$9,$N2805='112'!$I$6)),"x",""))</f>
        <v/>
      </c>
      <c r="V2805" s="75" t="str">
        <f>IF(ISERROR(FIND('112'!$M$9,G2805,1)),"",IF((AND(RIGHT(G2805,2)=RIGHT('112'!$M$9,2),B2805&lt;'112'!$K$9,$O2805='112'!$I$6)),"x",""))</f>
        <v/>
      </c>
      <c r="W2805" s="75" t="str">
        <f>IF(AND('341-CT'!$H$9=H2805,OR(LEFT(N2805,3)=$W$7,LEFT(O2805,3)=$W$7)),"x","")</f>
        <v/>
      </c>
      <c r="X2805" s="75" t="str">
        <f>IF(OR(TH!N2805=TH!$X$7,O2805=TH!$X$7),"x","")</f>
        <v/>
      </c>
      <c r="Y2805" s="75" t="str">
        <f>IF(AND(OR(N2805="131",O2805="131"),H2805='131-CT'!$H$9),"x","")</f>
        <v/>
      </c>
      <c r="Z2805" s="75"/>
      <c r="AA2805" s="75" t="str">
        <f>IF(AND(MONTH(E2805)='IN-NX'!$J$5,'IN-NX'!$D$7=D2805),"x","")</f>
        <v/>
      </c>
      <c r="AB2805" s="75" t="str">
        <f>IF(AND(OR(LEFT(TH!N2805,2)="15",LEFT(TH!O2805,2)="15"),LEFT(TH!O2805,3)&lt;&gt;"111",'152-CT'!$J$8=TH!F2805),"x","")</f>
        <v/>
      </c>
      <c r="AC2805" s="75" t="str">
        <f>IF(AND(OR(LEFT(TH!N2805,2)="15",LEFT(TH!O2805,2)="15"),TK!$E$7=TH!F2805),"x","")</f>
        <v/>
      </c>
      <c r="AD2805" s="75" t="str">
        <f>IF(AND(N2805="1521",MONTH(C2805)='BK-NL'!$M$11),"x","")</f>
        <v/>
      </c>
    </row>
    <row r="2806" spans="1:30" s="1264" customFormat="1" ht="16.5" customHeight="1">
      <c r="A2806" s="309" t="str">
        <f>IF(B2806&lt;&gt;"",IF(AND(B2806='IN-TC'!$S$4,OR(TH!N2806="1111",TH!O2806="1111")),TH!D2806,""),"")</f>
        <v/>
      </c>
      <c r="B2806" s="1314">
        <f t="shared" si="984"/>
        <v>4</v>
      </c>
      <c r="C2806" s="71">
        <v>42828</v>
      </c>
      <c r="D2806" s="71" t="s">
        <v>903</v>
      </c>
      <c r="E2806" s="71">
        <f t="shared" si="992"/>
        <v>42828</v>
      </c>
      <c r="F2806" s="72" t="s">
        <v>1086</v>
      </c>
      <c r="G2806" s="72" t="s">
        <v>747</v>
      </c>
      <c r="H2806" s="73" t="s">
        <v>759</v>
      </c>
      <c r="I2806" s="371"/>
      <c r="J2806" s="377"/>
      <c r="K2806" s="1213">
        <v>418934.45</v>
      </c>
      <c r="L2806" s="377">
        <v>22720</v>
      </c>
      <c r="M2806" s="1214">
        <f t="shared" si="991"/>
        <v>9518190704</v>
      </c>
      <c r="N2806" s="75" t="s">
        <v>256</v>
      </c>
      <c r="O2806" s="75" t="s">
        <v>536</v>
      </c>
      <c r="P2806" s="75" t="str">
        <f>IF(AND('331-CT'!$E$7=TH!H2806,OR(N2806="331",O2806="331")),"x","")</f>
        <v/>
      </c>
      <c r="Q2806" s="75" t="str">
        <f>IF(AND(B2806='111'!$L$11,OR($N2806=$Q$7,$O2806=$Q$7)),"x","")</f>
        <v/>
      </c>
      <c r="R2806" s="75" t="str">
        <f>IF(AND($N2806=$Q$7,$B2806&lt;'111'!$L$11),"x","")</f>
        <v/>
      </c>
      <c r="S2806" s="75" t="str">
        <f>IF(AND($O2806=$Q$7,$B2806&lt;'111'!$L$11),"x","")</f>
        <v/>
      </c>
      <c r="T2806" s="75" t="str">
        <f>IF(ISERROR(FIND('112'!$M$9,G2806,1)),"",IF((AND(FIND('112'!$M$9,G2806,1)&gt;=1,B2806='112'!$K$9,OR($N2806='112'!$I$6,$O2806='112'!$I$6))),"x",""))</f>
        <v/>
      </c>
      <c r="U2806" s="75" t="str">
        <f>IF(ISERROR(FIND('112'!$M$9,G2806,1)),"",IF((AND(LEFT(G2806,2)=LEFT('112'!$M$9,2),B2806&lt;'112'!$K$9,$N2806='112'!$I$6)),"x",""))</f>
        <v/>
      </c>
      <c r="V2806" s="75" t="str">
        <f>IF(ISERROR(FIND('112'!$M$9,G2806,1)),"",IF((AND(RIGHT(G2806,2)=RIGHT('112'!$M$9,2),B2806&lt;'112'!$K$9,$O2806='112'!$I$6)),"x",""))</f>
        <v/>
      </c>
      <c r="W2806" s="75" t="str">
        <f>IF(AND('341-CT'!$H$9=H2806,OR(LEFT(N2806,3)=$W$7,LEFT(O2806,3)=$W$7)),"x","")</f>
        <v/>
      </c>
      <c r="X2806" s="75" t="str">
        <f>IF(OR(TH!N2806=TH!$X$7,O2806=TH!$X$7),"x","")</f>
        <v/>
      </c>
      <c r="Y2806" s="75" t="str">
        <f>IF(AND(OR(N2806="131",O2806="131"),H2806='131-CT'!$H$9),"x","")</f>
        <v/>
      </c>
      <c r="Z2806" s="75"/>
      <c r="AA2806" s="75" t="str">
        <f>IF(AND(MONTH(E2806)='IN-NX'!$J$5,'IN-NX'!$D$7=D2806),"x","")</f>
        <v/>
      </c>
      <c r="AB2806" s="75" t="str">
        <f>IF(AND(OR(LEFT(TH!N2806,2)="15",LEFT(TH!O2806,2)="15"),LEFT(TH!O2806,3)&lt;&gt;"111",'152-CT'!$J$8=TH!F2806),"x","")</f>
        <v/>
      </c>
      <c r="AC2806" s="75" t="str">
        <f>IF(AND(OR(LEFT(TH!N2806,2)="15",LEFT(TH!O2806,2)="15"),TK!$E$7=TH!F2806),"x","")</f>
        <v/>
      </c>
      <c r="AD2806" s="75" t="str">
        <f>IF(AND(N2806="1521",MONTH(C2806)='BK-NL'!$M$11),"x","")</f>
        <v/>
      </c>
    </row>
    <row r="2807" spans="1:30" s="1264" customFormat="1" ht="16.5" customHeight="1">
      <c r="A2807" s="309" t="str">
        <f>IF(B2807&lt;&gt;"",IF(AND(B2807='IN-TC'!$S$4,OR(TH!N2807="1111",TH!O2807="1111")),TH!D2807,""),"")</f>
        <v/>
      </c>
      <c r="B2807" s="1314">
        <f t="shared" si="984"/>
        <v>4</v>
      </c>
      <c r="C2807" s="71">
        <v>42828</v>
      </c>
      <c r="D2807" s="71" t="s">
        <v>530</v>
      </c>
      <c r="E2807" s="71">
        <f t="shared" si="992"/>
        <v>42828</v>
      </c>
      <c r="F2807" s="72" t="s">
        <v>1027</v>
      </c>
      <c r="G2807" s="72" t="s">
        <v>747</v>
      </c>
      <c r="H2807" s="73" t="s">
        <v>759</v>
      </c>
      <c r="I2807" s="371"/>
      <c r="J2807" s="377"/>
      <c r="K2807" s="1213">
        <v>12</v>
      </c>
      <c r="L2807" s="377">
        <v>22720</v>
      </c>
      <c r="M2807" s="933">
        <f t="shared" ref="M2807:M2861" si="993">ROUND(L2807*K2807,0)</f>
        <v>272640</v>
      </c>
      <c r="N2807" s="75" t="s">
        <v>101</v>
      </c>
      <c r="O2807" s="75" t="s">
        <v>536</v>
      </c>
      <c r="P2807" s="75" t="str">
        <f>IF(AND('331-CT'!$E$7=TH!H2807,OR(N2807="331",O2807="331")),"x","")</f>
        <v/>
      </c>
      <c r="Q2807" s="75" t="str">
        <f>IF(AND(B2807='111'!$L$11,OR($N2807=$Q$7,$O2807=$Q$7)),"x","")</f>
        <v/>
      </c>
      <c r="R2807" s="75" t="str">
        <f>IF(AND($N2807=$Q$7,$B2807&lt;'111'!$L$11),"x","")</f>
        <v/>
      </c>
      <c r="S2807" s="75" t="str">
        <f>IF(AND($O2807=$Q$7,$B2807&lt;'111'!$L$11),"x","")</f>
        <v/>
      </c>
      <c r="T2807" s="75" t="str">
        <f>IF(ISERROR(FIND('112'!$M$9,G2807,1)),"",IF((AND(FIND('112'!$M$9,G2807,1)&gt;=1,B2807='112'!$K$9,OR($N2807='112'!$I$6,$O2807='112'!$I$6))),"x",""))</f>
        <v/>
      </c>
      <c r="U2807" s="75" t="str">
        <f>IF(ISERROR(FIND('112'!$M$9,G2807,1)),"",IF((AND(LEFT(G2807,2)=LEFT('112'!$M$9,2),B2807&lt;'112'!$K$9,$N2807='112'!$I$6)),"x",""))</f>
        <v/>
      </c>
      <c r="V2807" s="75" t="str">
        <f>IF(ISERROR(FIND('112'!$M$9,G2807,1)),"",IF((AND(RIGHT(G2807,2)=RIGHT('112'!$M$9,2),B2807&lt;'112'!$K$9,$O2807='112'!$I$6)),"x",""))</f>
        <v/>
      </c>
      <c r="W2807" s="75" t="str">
        <f>IF(AND('341-CT'!$H$9=H2807,OR(LEFT(N2807,3)=$W$7,LEFT(O2807,3)=$W$7)),"x","")</f>
        <v/>
      </c>
      <c r="X2807" s="75" t="str">
        <f>IF(OR(TH!N2807=TH!$X$7,O2807=TH!$X$7),"x","")</f>
        <v/>
      </c>
      <c r="Y2807" s="75" t="str">
        <f>IF(AND(OR(N2807="131",O2807="131"),H2807='131-CT'!$H$9),"x","")</f>
        <v/>
      </c>
      <c r="Z2807" s="75"/>
      <c r="AA2807" s="75" t="str">
        <f>IF(AND(MONTH(E2807)='IN-NX'!$J$5,'IN-NX'!$D$7=D2807),"x","")</f>
        <v/>
      </c>
      <c r="AB2807" s="75" t="str">
        <f>IF(AND(OR(LEFT(TH!N2807,2)="15",LEFT(TH!O2807,2)="15"),LEFT(TH!O2807,3)&lt;&gt;"111",'152-CT'!$J$8=TH!F2807),"x","")</f>
        <v/>
      </c>
      <c r="AC2807" s="75" t="str">
        <f>IF(AND(OR(LEFT(TH!N2807,2)="15",LEFT(TH!O2807,2)="15"),TK!$E$7=TH!F2807),"x","")</f>
        <v/>
      </c>
      <c r="AD2807" s="75" t="str">
        <f>IF(AND(N2807="1521",MONTH(C2807)='BK-NL'!$M$11),"x","")</f>
        <v/>
      </c>
    </row>
    <row r="2808" spans="1:30" s="1264" customFormat="1" ht="16.5" customHeight="1">
      <c r="A2808" s="309" t="str">
        <f>IF(B2808&lt;&gt;"",IF(AND(B2808='IN-TC'!$S$4,OR(TH!N2808="1111",TH!O2808="1111")),TH!D2808,""),"")</f>
        <v/>
      </c>
      <c r="B2808" s="1314">
        <f t="shared" ref="B2808" si="994">IF(C2808&lt;&gt;"",MONTH(C2808),"")</f>
        <v>4</v>
      </c>
      <c r="C2808" s="71">
        <v>42828</v>
      </c>
      <c r="D2808" s="71" t="s">
        <v>530</v>
      </c>
      <c r="E2808" s="71">
        <f t="shared" ref="E2808" si="995">C2808</f>
        <v>42828</v>
      </c>
      <c r="F2808" s="72" t="s">
        <v>1010</v>
      </c>
      <c r="G2808" s="72" t="s">
        <v>747</v>
      </c>
      <c r="H2808" s="73" t="s">
        <v>759</v>
      </c>
      <c r="I2808" s="371"/>
      <c r="J2808" s="377"/>
      <c r="K2808" s="1213"/>
      <c r="L2808" s="377"/>
      <c r="M2808" s="933">
        <v>25136787</v>
      </c>
      <c r="N2808" s="75" t="s">
        <v>99</v>
      </c>
      <c r="O2808" s="75" t="s">
        <v>536</v>
      </c>
      <c r="P2808" s="75" t="str">
        <f>IF(AND('331-CT'!$E$7=TH!H2808,OR(N2808="331",O2808="331")),"x","")</f>
        <v/>
      </c>
      <c r="Q2808" s="75" t="str">
        <f>IF(AND(B2808='111'!$L$11,OR($N2808=$Q$7,$O2808=$Q$7)),"x","")</f>
        <v/>
      </c>
      <c r="R2808" s="75" t="str">
        <f>IF(AND($N2808=$Q$7,$B2808&lt;'111'!$L$11),"x","")</f>
        <v/>
      </c>
      <c r="S2808" s="75" t="str">
        <f>IF(AND($O2808=$Q$7,$B2808&lt;'111'!$L$11),"x","")</f>
        <v/>
      </c>
      <c r="T2808" s="75" t="str">
        <f>IF(ISERROR(FIND('112'!$M$9,G2808,1)),"",IF((AND(FIND('112'!$M$9,G2808,1)&gt;=1,B2808='112'!$K$9,OR($N2808='112'!$I$6,$O2808='112'!$I$6))),"x",""))</f>
        <v/>
      </c>
      <c r="U2808" s="75" t="str">
        <f>IF(ISERROR(FIND('112'!$M$9,G2808,1)),"",IF((AND(LEFT(G2808,2)=LEFT('112'!$M$9,2),B2808&lt;'112'!$K$9,$N2808='112'!$I$6)),"x",""))</f>
        <v/>
      </c>
      <c r="V2808" s="75" t="str">
        <f>IF(ISERROR(FIND('112'!$M$9,G2808,1)),"",IF((AND(RIGHT(G2808,2)=RIGHT('112'!$M$9,2),B2808&lt;'112'!$K$9,$O2808='112'!$I$6)),"x",""))</f>
        <v/>
      </c>
      <c r="W2808" s="75" t="str">
        <f>IF(AND('341-CT'!$H$9=H2808,OR(LEFT(N2808,3)=$W$7,LEFT(O2808,3)=$W$7)),"x","")</f>
        <v/>
      </c>
      <c r="X2808" s="75" t="str">
        <f>IF(OR(TH!N2808=TH!$X$7,O2808=TH!$X$7),"x","")</f>
        <v/>
      </c>
      <c r="Y2808" s="75" t="str">
        <f>IF(AND(OR(N2808="131",O2808="131"),H2808='131-CT'!$H$9),"x","")</f>
        <v/>
      </c>
      <c r="Z2808" s="75"/>
      <c r="AA2808" s="75" t="str">
        <f>IF(AND(MONTH(E2808)='IN-NX'!$J$5,'IN-NX'!$D$7=D2808),"x","")</f>
        <v/>
      </c>
      <c r="AB2808" s="75" t="str">
        <f>IF(AND(OR(LEFT(TH!N2808,2)="15",LEFT(TH!O2808,2)="15"),LEFT(TH!O2808,3)&lt;&gt;"111",'152-CT'!$J$8=TH!F2808),"x","")</f>
        <v/>
      </c>
      <c r="AC2808" s="75" t="str">
        <f>IF(AND(OR(LEFT(TH!N2808,2)="15",LEFT(TH!O2808,2)="15"),TK!$E$7=TH!F2808),"x","")</f>
        <v/>
      </c>
      <c r="AD2808" s="75" t="str">
        <f>IF(AND(N2808="1521",MONTH(C2808)='BK-NL'!$M$11),"x","")</f>
        <v/>
      </c>
    </row>
    <row r="2809" spans="1:30" s="1264" customFormat="1" ht="16.5" customHeight="1">
      <c r="A2809" s="309" t="str">
        <f>IF(B2809&lt;&gt;"",IF(AND(B2809='IN-TC'!$S$4,OR(TH!N2809="1111",TH!O2809="1111")),TH!D2809,""),"")</f>
        <v/>
      </c>
      <c r="B2809" s="1314">
        <f t="shared" si="984"/>
        <v>4</v>
      </c>
      <c r="C2809" s="71">
        <v>42828</v>
      </c>
      <c r="D2809" s="71" t="s">
        <v>902</v>
      </c>
      <c r="E2809" s="71">
        <f t="shared" si="992"/>
        <v>42828</v>
      </c>
      <c r="F2809" s="72" t="s">
        <v>1321</v>
      </c>
      <c r="G2809" s="72" t="s">
        <v>747</v>
      </c>
      <c r="H2809" s="735" t="s">
        <v>782</v>
      </c>
      <c r="I2809" s="371"/>
      <c r="J2809" s="377"/>
      <c r="K2809" s="371">
        <v>96000</v>
      </c>
      <c r="L2809" s="377">
        <v>22730</v>
      </c>
      <c r="M2809" s="74">
        <f t="shared" ref="M2809:M2810" si="996">ROUND(K2809*L2809,0)</f>
        <v>2182080000</v>
      </c>
      <c r="N2809" s="75" t="s">
        <v>250</v>
      </c>
      <c r="O2809" s="934" t="s">
        <v>256</v>
      </c>
      <c r="P2809" s="75" t="str">
        <f>IF(AND('331-CT'!$E$7=TH!H2809,OR(N2809="331",O2809="331")),"x","")</f>
        <v/>
      </c>
      <c r="Q2809" s="75" t="str">
        <f>IF(AND(B2809='111'!$L$11,OR($N2809=$Q$7,$O2809=$Q$7)),"x","")</f>
        <v/>
      </c>
      <c r="R2809" s="75" t="str">
        <f>IF(AND($N2809=$Q$7,$B2809&lt;'111'!$L$11),"x","")</f>
        <v/>
      </c>
      <c r="S2809" s="75" t="str">
        <f>IF(AND($O2809=$Q$7,$B2809&lt;'111'!$L$11),"x","")</f>
        <v/>
      </c>
      <c r="T2809" s="75" t="str">
        <f>IF(ISERROR(FIND('112'!$M$9,G2809,1)),"",IF((AND(FIND('112'!$M$9,G2809,1)&gt;=1,B2809='112'!$K$9,OR($N2809='112'!$I$6,$O2809='112'!$I$6))),"x",""))</f>
        <v/>
      </c>
      <c r="U2809" s="75" t="str">
        <f>IF(ISERROR(FIND('112'!$M$9,G2809,1)),"",IF((AND(LEFT(G2809,2)=LEFT('112'!$M$9,2),B2809&lt;'112'!$K$9,$N2809='112'!$I$6)),"x",""))</f>
        <v/>
      </c>
      <c r="V2809" s="75" t="str">
        <f>IF(ISERROR(FIND('112'!$M$9,G2809,1)),"",IF((AND(RIGHT(G2809,2)=RIGHT('112'!$M$9,2),B2809&lt;'112'!$K$9,$O2809='112'!$I$6)),"x",""))</f>
        <v/>
      </c>
      <c r="W2809" s="75" t="str">
        <f>IF(AND('341-CT'!$H$9=H2809,OR(LEFT(N2809,3)=$W$7,LEFT(O2809,3)=$W$7)),"x","")</f>
        <v/>
      </c>
      <c r="X2809" s="75" t="str">
        <f>IF(OR(TH!N2809=TH!$X$7,O2809=TH!$X$7),"x","")</f>
        <v/>
      </c>
      <c r="Y2809" s="75" t="str">
        <f>IF(AND(OR(N2809="131",O2809="131"),H2809='131-CT'!$H$9),"x","")</f>
        <v/>
      </c>
      <c r="Z2809" s="75"/>
      <c r="AA2809" s="75" t="str">
        <f>IF(AND(MONTH(E2809)='IN-NX'!$J$5,'IN-NX'!$D$7=D2809),"x","")</f>
        <v/>
      </c>
      <c r="AB2809" s="75" t="str">
        <f>IF(AND(OR(LEFT(TH!N2809,2)="15",LEFT(TH!O2809,2)="15"),LEFT(TH!O2809,3)&lt;&gt;"111",'152-CT'!$J$8=TH!F2809),"x","")</f>
        <v/>
      </c>
      <c r="AC2809" s="75" t="str">
        <f>IF(AND(OR(LEFT(TH!N2809,2)="15",LEFT(TH!O2809,2)="15"),TK!$E$7=TH!F2809),"x","")</f>
        <v/>
      </c>
      <c r="AD2809" s="75" t="str">
        <f>IF(AND(N2809="1521",MONTH(C2809)='BK-NL'!$M$11),"x","")</f>
        <v/>
      </c>
    </row>
    <row r="2810" spans="1:30" s="1264" customFormat="1" ht="16.5" customHeight="1">
      <c r="A2810" s="309" t="str">
        <f>IF(B2810&lt;&gt;"",IF(AND(B2810='IN-TC'!$S$4,OR(TH!N2810="1111",TH!O2810="1111")),TH!D2810,""),"")</f>
        <v/>
      </c>
      <c r="B2810" s="1314">
        <f t="shared" si="984"/>
        <v>4</v>
      </c>
      <c r="C2810" s="71">
        <v>42828</v>
      </c>
      <c r="D2810" s="71" t="s">
        <v>902</v>
      </c>
      <c r="E2810" s="71">
        <f t="shared" si="992"/>
        <v>42828</v>
      </c>
      <c r="F2810" s="72" t="s">
        <v>1096</v>
      </c>
      <c r="G2810" s="72" t="s">
        <v>747</v>
      </c>
      <c r="H2810" s="735" t="s">
        <v>835</v>
      </c>
      <c r="I2810" s="371"/>
      <c r="J2810" s="377"/>
      <c r="K2810" s="371">
        <v>96</v>
      </c>
      <c r="L2810" s="377">
        <v>22730</v>
      </c>
      <c r="M2810" s="74">
        <f t="shared" si="996"/>
        <v>2182080</v>
      </c>
      <c r="N2810" s="75" t="s">
        <v>99</v>
      </c>
      <c r="O2810" s="934" t="s">
        <v>256</v>
      </c>
      <c r="P2810" s="75" t="str">
        <f>IF(AND('331-CT'!$E$7=TH!H2810,OR(N2810="331",O2810="331")),"x","")</f>
        <v/>
      </c>
      <c r="Q2810" s="75" t="str">
        <f>IF(AND(B2810='111'!$L$11,OR($N2810=$Q$7,$O2810=$Q$7)),"x","")</f>
        <v/>
      </c>
      <c r="R2810" s="75" t="str">
        <f>IF(AND($N2810=$Q$7,$B2810&lt;'111'!$L$11),"x","")</f>
        <v/>
      </c>
      <c r="S2810" s="75" t="str">
        <f>IF(AND($O2810=$Q$7,$B2810&lt;'111'!$L$11),"x","")</f>
        <v/>
      </c>
      <c r="T2810" s="75" t="str">
        <f>IF(ISERROR(FIND('112'!$M$9,G2810,1)),"",IF((AND(FIND('112'!$M$9,G2810,1)&gt;=1,B2810='112'!$K$9,OR($N2810='112'!$I$6,$O2810='112'!$I$6))),"x",""))</f>
        <v/>
      </c>
      <c r="U2810" s="75" t="str">
        <f>IF(ISERROR(FIND('112'!$M$9,G2810,1)),"",IF((AND(LEFT(G2810,2)=LEFT('112'!$M$9,2),B2810&lt;'112'!$K$9,$N2810='112'!$I$6)),"x",""))</f>
        <v/>
      </c>
      <c r="V2810" s="75" t="str">
        <f>IF(ISERROR(FIND('112'!$M$9,G2810,1)),"",IF((AND(RIGHT(G2810,2)=RIGHT('112'!$M$9,2),B2810&lt;'112'!$K$9,$O2810='112'!$I$6)),"x",""))</f>
        <v/>
      </c>
      <c r="W2810" s="75" t="str">
        <f>IF(AND('341-CT'!$H$9=H2810,OR(LEFT(N2810,3)=$W$7,LEFT(O2810,3)=$W$7)),"x","")</f>
        <v/>
      </c>
      <c r="X2810" s="75" t="str">
        <f>IF(OR(TH!N2810=TH!$X$7,O2810=TH!$X$7),"x","")</f>
        <v/>
      </c>
      <c r="Y2810" s="75" t="str">
        <f>IF(AND(OR(N2810="131",O2810="131"),H2810='131-CT'!$H$9),"x","")</f>
        <v/>
      </c>
      <c r="Z2810" s="75"/>
      <c r="AA2810" s="75" t="str">
        <f>IF(AND(MONTH(E2810)='IN-NX'!$J$5,'IN-NX'!$D$7=D2810),"x","")</f>
        <v/>
      </c>
      <c r="AB2810" s="75" t="str">
        <f>IF(AND(OR(LEFT(TH!N2810,2)="15",LEFT(TH!O2810,2)="15"),LEFT(TH!O2810,3)&lt;&gt;"111",'152-CT'!$J$8=TH!F2810),"x","")</f>
        <v/>
      </c>
      <c r="AC2810" s="75" t="str">
        <f>IF(AND(OR(LEFT(TH!N2810,2)="15",LEFT(TH!O2810,2)="15"),TK!$E$7=TH!F2810),"x","")</f>
        <v/>
      </c>
      <c r="AD2810" s="75" t="str">
        <f>IF(AND(N2810="1521",MONTH(C2810)='BK-NL'!$M$11),"x","")</f>
        <v/>
      </c>
    </row>
    <row r="2811" spans="1:30" s="1264" customFormat="1" ht="16.5" customHeight="1">
      <c r="A2811" s="309" t="str">
        <f>IF(B2811&lt;&gt;"",IF(AND(B2811='IN-TC'!$S$4,OR(TH!N2811="1111",TH!O2811="1111")),TH!D2811,""),"")</f>
        <v/>
      </c>
      <c r="B2811" s="1314">
        <f t="shared" si="984"/>
        <v>4</v>
      </c>
      <c r="C2811" s="71">
        <v>42828</v>
      </c>
      <c r="D2811" s="71" t="s">
        <v>530</v>
      </c>
      <c r="E2811" s="71">
        <f t="shared" si="992"/>
        <v>42828</v>
      </c>
      <c r="F2811" s="72" t="s">
        <v>1010</v>
      </c>
      <c r="G2811" s="72" t="s">
        <v>747</v>
      </c>
      <c r="H2811" s="735" t="s">
        <v>782</v>
      </c>
      <c r="I2811" s="371"/>
      <c r="J2811" s="377"/>
      <c r="K2811" s="1213"/>
      <c r="L2811" s="377"/>
      <c r="M2811" s="74">
        <v>41664000</v>
      </c>
      <c r="N2811" s="75" t="s">
        <v>99</v>
      </c>
      <c r="O2811" s="75" t="s">
        <v>250</v>
      </c>
      <c r="P2811" s="75" t="str">
        <f>IF(AND('331-CT'!$E$7=TH!H2811,OR(N2811="331",O2811="331")),"x","")</f>
        <v/>
      </c>
      <c r="Q2811" s="75" t="str">
        <f>IF(AND(B2811='111'!$L$11,OR($N2811=$Q$7,$O2811=$Q$7)),"x","")</f>
        <v/>
      </c>
      <c r="R2811" s="75" t="str">
        <f>IF(AND($N2811=$Q$7,$B2811&lt;'111'!$L$11),"x","")</f>
        <v/>
      </c>
      <c r="S2811" s="75" t="str">
        <f>IF(AND($O2811=$Q$7,$B2811&lt;'111'!$L$11),"x","")</f>
        <v/>
      </c>
      <c r="T2811" s="75" t="str">
        <f>IF(ISERROR(FIND('112'!$M$9,G2811,1)),"",IF((AND(FIND('112'!$M$9,G2811,1)&gt;=1,B2811='112'!$K$9,OR($N2811='112'!$I$6,$O2811='112'!$I$6))),"x",""))</f>
        <v/>
      </c>
      <c r="U2811" s="75" t="str">
        <f>IF(ISERROR(FIND('112'!$M$9,G2811,1)),"",IF((AND(LEFT(G2811,2)=LEFT('112'!$M$9,2),B2811&lt;'112'!$K$9,$N2811='112'!$I$6)),"x",""))</f>
        <v/>
      </c>
      <c r="V2811" s="75" t="str">
        <f>IF(ISERROR(FIND('112'!$M$9,G2811,1)),"",IF((AND(RIGHT(G2811,2)=RIGHT('112'!$M$9,2),B2811&lt;'112'!$K$9,$O2811='112'!$I$6)),"x",""))</f>
        <v/>
      </c>
      <c r="W2811" s="75" t="str">
        <f>IF(AND('341-CT'!$H$9=H2811,OR(LEFT(N2811,3)=$W$7,LEFT(O2811,3)=$W$7)),"x","")</f>
        <v/>
      </c>
      <c r="X2811" s="75" t="str">
        <f>IF(OR(TH!N2811=TH!$X$7,O2811=TH!$X$7),"x","")</f>
        <v/>
      </c>
      <c r="Y2811" s="75" t="str">
        <f>IF(AND(OR(N2811="131",O2811="131"),H2811='131-CT'!$H$9),"x","")</f>
        <v/>
      </c>
      <c r="Z2811" s="75"/>
      <c r="AA2811" s="75" t="str">
        <f>IF(AND(MONTH(E2811)='IN-NX'!$J$5,'IN-NX'!$D$7=D2811),"x","")</f>
        <v/>
      </c>
      <c r="AB2811" s="75" t="str">
        <f>IF(AND(OR(LEFT(TH!N2811,2)="15",LEFT(TH!O2811,2)="15"),LEFT(TH!O2811,3)&lt;&gt;"111",'152-CT'!$J$8=TH!F2811),"x","")</f>
        <v/>
      </c>
      <c r="AC2811" s="75" t="str">
        <f>IF(AND(OR(LEFT(TH!N2811,2)="15",LEFT(TH!O2811,2)="15"),TK!$E$7=TH!F2811),"x","")</f>
        <v/>
      </c>
      <c r="AD2811" s="75" t="str">
        <f>IF(AND(N2811="1521",MONTH(C2811)='BK-NL'!$M$11),"x","")</f>
        <v/>
      </c>
    </row>
    <row r="2812" spans="1:30" s="1264" customFormat="1" ht="16.5" customHeight="1">
      <c r="A2812" s="309" t="str">
        <f>IF(B2812&lt;&gt;"",IF(AND(B2812='IN-TC'!$S$4,OR(TH!N2812="1111",TH!O2812="1111")),TH!D2812,""),"")</f>
        <v/>
      </c>
      <c r="B2812" s="1314">
        <f t="shared" si="984"/>
        <v>4</v>
      </c>
      <c r="C2812" s="71">
        <v>42842</v>
      </c>
      <c r="D2812" s="71" t="s">
        <v>902</v>
      </c>
      <c r="E2812" s="71">
        <f t="shared" si="992"/>
        <v>42842</v>
      </c>
      <c r="F2812" s="72" t="s">
        <v>907</v>
      </c>
      <c r="G2812" s="72" t="s">
        <v>747</v>
      </c>
      <c r="H2812" s="735" t="s">
        <v>835</v>
      </c>
      <c r="I2812" s="371"/>
      <c r="J2812" s="377"/>
      <c r="K2812" s="371">
        <v>82200</v>
      </c>
      <c r="L2812" s="377">
        <v>22720</v>
      </c>
      <c r="M2812" s="74">
        <f t="shared" ref="M2812:M2817" si="997">ROUND(K2812*L2812,0)</f>
        <v>1867584000</v>
      </c>
      <c r="N2812" s="75" t="s">
        <v>26</v>
      </c>
      <c r="O2812" s="934" t="s">
        <v>256</v>
      </c>
      <c r="P2812" s="75" t="str">
        <f>IF(AND('331-CT'!$E$7=TH!H2812,OR(N2812="331",O2812="331")),"x","")</f>
        <v/>
      </c>
      <c r="Q2812" s="75" t="str">
        <f>IF(AND(B2812='111'!$L$11,OR($N2812=$Q$7,$O2812=$Q$7)),"x","")</f>
        <v/>
      </c>
      <c r="R2812" s="75" t="str">
        <f>IF(AND($N2812=$Q$7,$B2812&lt;'111'!$L$11),"x","")</f>
        <v/>
      </c>
      <c r="S2812" s="75" t="str">
        <f>IF(AND($O2812=$Q$7,$B2812&lt;'111'!$L$11),"x","")</f>
        <v/>
      </c>
      <c r="T2812" s="75" t="str">
        <f>IF(ISERROR(FIND('112'!$M$9,G2812,1)),"",IF((AND(FIND('112'!$M$9,G2812,1)&gt;=1,B2812='112'!$K$9,OR($N2812='112'!$I$6,$O2812='112'!$I$6))),"x",""))</f>
        <v/>
      </c>
      <c r="U2812" s="75" t="str">
        <f>IF(ISERROR(FIND('112'!$M$9,G2812,1)),"",IF((AND(LEFT(G2812,2)=LEFT('112'!$M$9,2),B2812&lt;'112'!$K$9,$N2812='112'!$I$6)),"x",""))</f>
        <v/>
      </c>
      <c r="V2812" s="75" t="str">
        <f>IF(ISERROR(FIND('112'!$M$9,G2812,1)),"",IF((AND(RIGHT(G2812,2)=RIGHT('112'!$M$9,2),B2812&lt;'112'!$K$9,$O2812='112'!$I$6)),"x",""))</f>
        <v/>
      </c>
      <c r="W2812" s="75" t="str">
        <f>IF(AND('341-CT'!$H$9=H2812,OR(LEFT(N2812,3)=$W$7,LEFT(O2812,3)=$W$7)),"x","")</f>
        <v/>
      </c>
      <c r="X2812" s="75" t="str">
        <f>IF(OR(TH!N2812=TH!$X$7,O2812=TH!$X$7),"x","")</f>
        <v/>
      </c>
      <c r="Y2812" s="75" t="str">
        <f>IF(AND(OR(N2812="131",O2812="131"),H2812='131-CT'!$H$9),"x","")</f>
        <v/>
      </c>
      <c r="Z2812" s="75"/>
      <c r="AA2812" s="75" t="str">
        <f>IF(AND(MONTH(E2812)='IN-NX'!$J$5,'IN-NX'!$D$7=D2812),"x","")</f>
        <v/>
      </c>
      <c r="AB2812" s="75" t="str">
        <f>IF(AND(OR(LEFT(TH!N2812,2)="15",LEFT(TH!O2812,2)="15"),LEFT(TH!O2812,3)&lt;&gt;"111",'152-CT'!$J$8=TH!F2812),"x","")</f>
        <v/>
      </c>
      <c r="AC2812" s="75" t="str">
        <f>IF(AND(OR(LEFT(TH!N2812,2)="15",LEFT(TH!O2812,2)="15"),TK!$E$7=TH!F2812),"x","")</f>
        <v/>
      </c>
      <c r="AD2812" s="75" t="str">
        <f>IF(AND(N2812="1521",MONTH(C2812)='BK-NL'!$M$11),"x","")</f>
        <v/>
      </c>
    </row>
    <row r="2813" spans="1:30" s="1264" customFormat="1" ht="16.5" customHeight="1">
      <c r="A2813" s="309" t="str">
        <f>IF(B2813&lt;&gt;"",IF(AND(B2813='IN-TC'!$S$4,OR(TH!N2813="1111",TH!O2813="1111")),TH!D2813,""),"")</f>
        <v/>
      </c>
      <c r="B2813" s="1314">
        <f t="shared" si="984"/>
        <v>4</v>
      </c>
      <c r="C2813" s="71">
        <v>42842</v>
      </c>
      <c r="D2813" s="71" t="s">
        <v>903</v>
      </c>
      <c r="E2813" s="71">
        <f t="shared" si="992"/>
        <v>42842</v>
      </c>
      <c r="F2813" s="72" t="s">
        <v>918</v>
      </c>
      <c r="G2813" s="72" t="s">
        <v>1320</v>
      </c>
      <c r="H2813" s="735" t="s">
        <v>835</v>
      </c>
      <c r="I2813" s="371"/>
      <c r="J2813" s="377"/>
      <c r="K2813" s="371">
        <v>88600</v>
      </c>
      <c r="L2813" s="377">
        <v>22720</v>
      </c>
      <c r="M2813" s="1214">
        <f t="shared" si="997"/>
        <v>2012992000</v>
      </c>
      <c r="N2813" s="75" t="s">
        <v>256</v>
      </c>
      <c r="O2813" s="934" t="s">
        <v>256</v>
      </c>
      <c r="P2813" s="75" t="str">
        <f>IF(AND('331-CT'!$E$7=TH!H2813,OR(N2813="331",O2813="331")),"x","")</f>
        <v/>
      </c>
      <c r="Q2813" s="75" t="str">
        <f>IF(AND(B2813='111'!$L$11,OR($N2813=$Q$7,$O2813=$Q$7)),"x","")</f>
        <v/>
      </c>
      <c r="R2813" s="75" t="str">
        <f>IF(AND($N2813=$Q$7,$B2813&lt;'111'!$L$11),"x","")</f>
        <v/>
      </c>
      <c r="S2813" s="75" t="str">
        <f>IF(AND($O2813=$Q$7,$B2813&lt;'111'!$L$11),"x","")</f>
        <v/>
      </c>
      <c r="T2813" s="75" t="str">
        <f>IF(ISERROR(FIND('112'!$M$9,G2813,1)),"",IF((AND(FIND('112'!$M$9,G2813,1)&gt;=1,B2813='112'!$K$9,OR($N2813='112'!$I$6,$O2813='112'!$I$6))),"x",""))</f>
        <v/>
      </c>
      <c r="U2813" s="75" t="str">
        <f>IF(ISERROR(FIND('112'!$M$9,G2813,1)),"",IF((AND(LEFT(G2813,2)=LEFT('112'!$M$9,2),B2813&lt;'112'!$K$9,$N2813='112'!$I$6)),"x",""))</f>
        <v/>
      </c>
      <c r="V2813" s="75" t="str">
        <f>IF(ISERROR(FIND('112'!$M$9,G2813,1)),"",IF((AND(RIGHT(G2813,2)=RIGHT('112'!$M$9,2),B2813&lt;'112'!$K$9,$O2813='112'!$I$6)),"x",""))</f>
        <v/>
      </c>
      <c r="W2813" s="75" t="str">
        <f>IF(AND('341-CT'!$H$9=H2813,OR(LEFT(N2813,3)=$W$7,LEFT(O2813,3)=$W$7)),"x","")</f>
        <v/>
      </c>
      <c r="X2813" s="75" t="str">
        <f>IF(OR(TH!N2813=TH!$X$7,O2813=TH!$X$7),"x","")</f>
        <v/>
      </c>
      <c r="Y2813" s="75" t="str">
        <f>IF(AND(OR(N2813="131",O2813="131"),H2813='131-CT'!$H$9),"x","")</f>
        <v/>
      </c>
      <c r="Z2813" s="75"/>
      <c r="AA2813" s="75" t="str">
        <f>IF(AND(MONTH(E2813)='IN-NX'!$J$5,'IN-NX'!$D$7=D2813),"x","")</f>
        <v/>
      </c>
      <c r="AB2813" s="75" t="str">
        <f>IF(AND(OR(LEFT(TH!N2813,2)="15",LEFT(TH!O2813,2)="15"),LEFT(TH!O2813,3)&lt;&gt;"111",'152-CT'!$J$8=TH!F2813),"x","")</f>
        <v/>
      </c>
      <c r="AC2813" s="75" t="str">
        <f>IF(AND(OR(LEFT(TH!N2813,2)="15",LEFT(TH!O2813,2)="15"),TK!$E$7=TH!F2813),"x","")</f>
        <v/>
      </c>
      <c r="AD2813" s="75" t="str">
        <f>IF(AND(N2813="1521",MONTH(C2813)='BK-NL'!$M$11),"x","")</f>
        <v/>
      </c>
    </row>
    <row r="2814" spans="1:30" s="1264" customFormat="1" ht="16.5" customHeight="1">
      <c r="A2814" s="309" t="str">
        <f>IF(B2814&lt;&gt;"",IF(AND(B2814='IN-TC'!$S$4,OR(TH!N2814="1111",TH!O2814="1111")),TH!D2814,""),"")</f>
        <v/>
      </c>
      <c r="B2814" s="1314">
        <f t="shared" si="984"/>
        <v>4</v>
      </c>
      <c r="C2814" s="71">
        <v>42842</v>
      </c>
      <c r="D2814" s="71" t="s">
        <v>902</v>
      </c>
      <c r="E2814" s="71">
        <f t="shared" si="992"/>
        <v>42842</v>
      </c>
      <c r="F2814" s="72" t="s">
        <v>1319</v>
      </c>
      <c r="G2814" s="72" t="s">
        <v>747</v>
      </c>
      <c r="H2814" s="735" t="s">
        <v>783</v>
      </c>
      <c r="I2814" s="371"/>
      <c r="J2814" s="377"/>
      <c r="K2814" s="371">
        <v>208</v>
      </c>
      <c r="L2814" s="377">
        <v>22720</v>
      </c>
      <c r="M2814" s="74">
        <f t="shared" si="997"/>
        <v>4725760</v>
      </c>
      <c r="N2814" s="75" t="s">
        <v>99</v>
      </c>
      <c r="O2814" s="934" t="s">
        <v>256</v>
      </c>
      <c r="P2814" s="75" t="str">
        <f>IF(AND('331-CT'!$E$7=TH!H2814,OR(N2814="331",O2814="331")),"x","")</f>
        <v/>
      </c>
      <c r="Q2814" s="75" t="str">
        <f>IF(AND(B2814='111'!$L$11,OR($N2814=$Q$7,$O2814=$Q$7)),"x","")</f>
        <v/>
      </c>
      <c r="R2814" s="75" t="str">
        <f>IF(AND($N2814=$Q$7,$B2814&lt;'111'!$L$11),"x","")</f>
        <v/>
      </c>
      <c r="S2814" s="75" t="str">
        <f>IF(AND($O2814=$Q$7,$B2814&lt;'111'!$L$11),"x","")</f>
        <v/>
      </c>
      <c r="T2814" s="75" t="str">
        <f>IF(ISERROR(FIND('112'!$M$9,G2814,1)),"",IF((AND(FIND('112'!$M$9,G2814,1)&gt;=1,B2814='112'!$K$9,OR($N2814='112'!$I$6,$O2814='112'!$I$6))),"x",""))</f>
        <v/>
      </c>
      <c r="U2814" s="75" t="str">
        <f>IF(ISERROR(FIND('112'!$M$9,G2814,1)),"",IF((AND(LEFT(G2814,2)=LEFT('112'!$M$9,2),B2814&lt;'112'!$K$9,$N2814='112'!$I$6)),"x",""))</f>
        <v/>
      </c>
      <c r="V2814" s="75" t="str">
        <f>IF(ISERROR(FIND('112'!$M$9,G2814,1)),"",IF((AND(RIGHT(G2814,2)=RIGHT('112'!$M$9,2),B2814&lt;'112'!$K$9,$O2814='112'!$I$6)),"x",""))</f>
        <v/>
      </c>
      <c r="W2814" s="75" t="str">
        <f>IF(AND('341-CT'!$H$9=H2814,OR(LEFT(N2814,3)=$W$7,LEFT(O2814,3)=$W$7)),"x","")</f>
        <v/>
      </c>
      <c r="X2814" s="75" t="str">
        <f>IF(OR(TH!N2814=TH!$X$7,O2814=TH!$X$7),"x","")</f>
        <v/>
      </c>
      <c r="Y2814" s="75" t="str">
        <f>IF(AND(OR(N2814="131",O2814="131"),H2814='131-CT'!$H$9),"x","")</f>
        <v/>
      </c>
      <c r="Z2814" s="75"/>
      <c r="AA2814" s="75" t="str">
        <f>IF(AND(MONTH(E2814)='IN-NX'!$J$5,'IN-NX'!$D$7=D2814),"x","")</f>
        <v/>
      </c>
      <c r="AB2814" s="75" t="str">
        <f>IF(AND(OR(LEFT(TH!N2814,2)="15",LEFT(TH!O2814,2)="15"),LEFT(TH!O2814,3)&lt;&gt;"111",'152-CT'!$J$8=TH!F2814),"x","")</f>
        <v/>
      </c>
      <c r="AC2814" s="75" t="str">
        <f>IF(AND(OR(LEFT(TH!N2814,2)="15",LEFT(TH!O2814,2)="15"),TK!$E$7=TH!F2814),"x","")</f>
        <v/>
      </c>
      <c r="AD2814" s="75" t="str">
        <f>IF(AND(N2814="1521",MONTH(C2814)='BK-NL'!$M$11),"x","")</f>
        <v/>
      </c>
    </row>
    <row r="2815" spans="1:30" s="1264" customFormat="1" ht="16.5" customHeight="1">
      <c r="A2815" s="309" t="str">
        <f>IF(B2815&lt;&gt;"",IF(AND(B2815='IN-TC'!$S$4,OR(TH!N2815="1111",TH!O2815="1111")),TH!D2815,""),"")</f>
        <v/>
      </c>
      <c r="B2815" s="1314">
        <f t="shared" si="984"/>
        <v>4</v>
      </c>
      <c r="C2815" s="71">
        <v>42842</v>
      </c>
      <c r="D2815" s="71" t="s">
        <v>902</v>
      </c>
      <c r="E2815" s="71">
        <f t="shared" si="992"/>
        <v>42842</v>
      </c>
      <c r="F2815" s="72" t="s">
        <v>1318</v>
      </c>
      <c r="G2815" s="72" t="s">
        <v>747</v>
      </c>
      <c r="H2815" s="735" t="s">
        <v>783</v>
      </c>
      <c r="I2815" s="371"/>
      <c r="J2815" s="377"/>
      <c r="K2815" s="371">
        <v>6530.46</v>
      </c>
      <c r="L2815" s="377">
        <v>22720</v>
      </c>
      <c r="M2815" s="74">
        <f t="shared" si="997"/>
        <v>148372051</v>
      </c>
      <c r="N2815" s="75" t="s">
        <v>250</v>
      </c>
      <c r="O2815" s="934" t="s">
        <v>256</v>
      </c>
      <c r="P2815" s="75" t="str">
        <f>IF(AND('331-CT'!$E$7=TH!H2815,OR(N2815="331",O2815="331")),"x","")</f>
        <v/>
      </c>
      <c r="Q2815" s="75" t="str">
        <f>IF(AND(B2815='111'!$L$11,OR($N2815=$Q$7,$O2815=$Q$7)),"x","")</f>
        <v/>
      </c>
      <c r="R2815" s="75" t="str">
        <f>IF(AND($N2815=$Q$7,$B2815&lt;'111'!$L$11),"x","")</f>
        <v/>
      </c>
      <c r="S2815" s="75" t="str">
        <f>IF(AND($O2815=$Q$7,$B2815&lt;'111'!$L$11),"x","")</f>
        <v/>
      </c>
      <c r="T2815" s="75" t="str">
        <f>IF(ISERROR(FIND('112'!$M$9,G2815,1)),"",IF((AND(FIND('112'!$M$9,G2815,1)&gt;=1,B2815='112'!$K$9,OR($N2815='112'!$I$6,$O2815='112'!$I$6))),"x",""))</f>
        <v/>
      </c>
      <c r="U2815" s="75" t="str">
        <f>IF(ISERROR(FIND('112'!$M$9,G2815,1)),"",IF((AND(LEFT(G2815,2)=LEFT('112'!$M$9,2),B2815&lt;'112'!$K$9,$N2815='112'!$I$6)),"x",""))</f>
        <v/>
      </c>
      <c r="V2815" s="75" t="str">
        <f>IF(ISERROR(FIND('112'!$M$9,G2815,1)),"",IF((AND(RIGHT(G2815,2)=RIGHT('112'!$M$9,2),B2815&lt;'112'!$K$9,$O2815='112'!$I$6)),"x",""))</f>
        <v/>
      </c>
      <c r="W2815" s="75" t="str">
        <f>IF(AND('341-CT'!$H$9=H2815,OR(LEFT(N2815,3)=$W$7,LEFT(O2815,3)=$W$7)),"x","")</f>
        <v/>
      </c>
      <c r="X2815" s="75" t="str">
        <f>IF(OR(TH!N2815=TH!$X$7,O2815=TH!$X$7),"x","")</f>
        <v/>
      </c>
      <c r="Y2815" s="75" t="str">
        <f>IF(AND(OR(N2815="131",O2815="131"),H2815='131-CT'!$H$9),"x","")</f>
        <v/>
      </c>
      <c r="Z2815" s="75"/>
      <c r="AA2815" s="75" t="str">
        <f>IF(AND(MONTH(E2815)='IN-NX'!$J$5,'IN-NX'!$D$7=D2815),"x","")</f>
        <v/>
      </c>
      <c r="AB2815" s="75" t="str">
        <f>IF(AND(OR(LEFT(TH!N2815,2)="15",LEFT(TH!O2815,2)="15"),LEFT(TH!O2815,3)&lt;&gt;"111",'152-CT'!$J$8=TH!F2815),"x","")</f>
        <v/>
      </c>
      <c r="AC2815" s="75" t="str">
        <f>IF(AND(OR(LEFT(TH!N2815,2)="15",LEFT(TH!O2815,2)="15"),TK!$E$7=TH!F2815),"x","")</f>
        <v/>
      </c>
      <c r="AD2815" s="75" t="str">
        <f>IF(AND(N2815="1521",MONTH(C2815)='BK-NL'!$M$11),"x","")</f>
        <v/>
      </c>
    </row>
    <row r="2816" spans="1:30" s="1264" customFormat="1" ht="16.5" customHeight="1">
      <c r="A2816" s="309" t="str">
        <f>IF(B2816&lt;&gt;"",IF(AND(B2816='IN-TC'!$S$4,OR(TH!N2816="1111",TH!O2816="1111")),TH!D2816,""),"")</f>
        <v/>
      </c>
      <c r="B2816" s="1314">
        <f t="shared" si="984"/>
        <v>4</v>
      </c>
      <c r="C2816" s="71">
        <v>42843</v>
      </c>
      <c r="D2816" s="71" t="s">
        <v>903</v>
      </c>
      <c r="E2816" s="71">
        <f t="shared" si="992"/>
        <v>42843</v>
      </c>
      <c r="F2816" s="72" t="s">
        <v>2463</v>
      </c>
      <c r="G2816" s="72" t="s">
        <v>747</v>
      </c>
      <c r="H2816" s="1236" t="s">
        <v>2462</v>
      </c>
      <c r="I2816" s="371"/>
      <c r="J2816" s="377"/>
      <c r="K2816" s="371">
        <v>89469.54</v>
      </c>
      <c r="L2816" s="377">
        <v>22720</v>
      </c>
      <c r="M2816" s="1214">
        <f t="shared" si="997"/>
        <v>2032747949</v>
      </c>
      <c r="N2816" s="75" t="s">
        <v>256</v>
      </c>
      <c r="O2816" s="75" t="s">
        <v>250</v>
      </c>
      <c r="P2816" s="75" t="str">
        <f>IF(AND('331-CT'!$E$7=TH!H2816,OR(N2816="331",O2816="331")),"x","")</f>
        <v/>
      </c>
      <c r="Q2816" s="75" t="str">
        <f>IF(AND(B2816='111'!$L$11,OR($N2816=$Q$7,$O2816=$Q$7)),"x","")</f>
        <v/>
      </c>
      <c r="R2816" s="75" t="str">
        <f>IF(AND($N2816=$Q$7,$B2816&lt;'111'!$L$11),"x","")</f>
        <v/>
      </c>
      <c r="S2816" s="75" t="str">
        <f>IF(AND($O2816=$Q$7,$B2816&lt;'111'!$L$11),"x","")</f>
        <v/>
      </c>
      <c r="T2816" s="75" t="str">
        <f>IF(ISERROR(FIND('112'!$M$9,G2816,1)),"",IF((AND(FIND('112'!$M$9,G2816,1)&gt;=1,B2816='112'!$K$9,OR($N2816='112'!$I$6,$O2816='112'!$I$6))),"x",""))</f>
        <v/>
      </c>
      <c r="U2816" s="75" t="str">
        <f>IF(ISERROR(FIND('112'!$M$9,G2816,1)),"",IF((AND(LEFT(G2816,2)=LEFT('112'!$M$9,2),B2816&lt;'112'!$K$9,$N2816='112'!$I$6)),"x",""))</f>
        <v/>
      </c>
      <c r="V2816" s="75" t="str">
        <f>IF(ISERROR(FIND('112'!$M$9,G2816,1)),"",IF((AND(RIGHT(G2816,2)=RIGHT('112'!$M$9,2),B2816&lt;'112'!$K$9,$O2816='112'!$I$6)),"x",""))</f>
        <v/>
      </c>
      <c r="W2816" s="75" t="str">
        <f>IF(AND('341-CT'!$H$9=H2816,OR(LEFT(N2816,3)=$W$7,LEFT(O2816,3)=$W$7)),"x","")</f>
        <v/>
      </c>
      <c r="X2816" s="75" t="str">
        <f>IF(OR(TH!N2816=TH!$X$7,O2816=TH!$X$7),"x","")</f>
        <v/>
      </c>
      <c r="Y2816" s="75" t="str">
        <f>IF(AND(OR(N2816="131",O2816="131"),H2816='131-CT'!$H$9),"x","")</f>
        <v/>
      </c>
      <c r="Z2816" s="75"/>
      <c r="AA2816" s="75" t="str">
        <f>IF(AND(MONTH(E2816)='IN-NX'!$J$5,'IN-NX'!$D$7=D2816),"x","")</f>
        <v/>
      </c>
      <c r="AB2816" s="75" t="str">
        <f>IF(AND(OR(LEFT(TH!N2816,2)="15",LEFT(TH!O2816,2)="15"),LEFT(TH!O2816,3)&lt;&gt;"111",'152-CT'!$J$8=TH!F2816),"x","")</f>
        <v/>
      </c>
      <c r="AC2816" s="75" t="str">
        <f>IF(AND(OR(LEFT(TH!N2816,2)="15",LEFT(TH!O2816,2)="15"),TK!$E$7=TH!F2816),"x","")</f>
        <v/>
      </c>
      <c r="AD2816" s="75" t="str">
        <f>IF(AND(N2816="1521",MONTH(C2816)='BK-NL'!$M$11),"x","")</f>
        <v/>
      </c>
    </row>
    <row r="2817" spans="1:30" s="1264" customFormat="1" ht="16.5" customHeight="1">
      <c r="A2817" s="309" t="str">
        <f>IF(B2817&lt;&gt;"",IF(AND(B2817='IN-TC'!$S$4,OR(TH!N2817="1111",TH!O2817="1111")),TH!D2817,""),"")</f>
        <v/>
      </c>
      <c r="B2817" s="1314">
        <f t="shared" si="984"/>
        <v>4</v>
      </c>
      <c r="C2817" s="71">
        <v>42843</v>
      </c>
      <c r="D2817" s="71" t="s">
        <v>902</v>
      </c>
      <c r="E2817" s="71">
        <f t="shared" si="992"/>
        <v>42843</v>
      </c>
      <c r="F2817" s="72" t="s">
        <v>1318</v>
      </c>
      <c r="G2817" s="72" t="s">
        <v>747</v>
      </c>
      <c r="H2817" s="735" t="s">
        <v>783</v>
      </c>
      <c r="I2817" s="371"/>
      <c r="J2817" s="377"/>
      <c r="K2817" s="371">
        <v>11.18</v>
      </c>
      <c r="L2817" s="377">
        <v>22720</v>
      </c>
      <c r="M2817" s="74">
        <f t="shared" si="997"/>
        <v>254010</v>
      </c>
      <c r="N2817" s="75" t="s">
        <v>250</v>
      </c>
      <c r="O2817" s="934" t="s">
        <v>256</v>
      </c>
      <c r="P2817" s="75" t="str">
        <f>IF(AND('331-CT'!$E$7=TH!H2817,OR(N2817="331",O2817="331")),"x","")</f>
        <v/>
      </c>
      <c r="Q2817" s="75" t="str">
        <f>IF(AND(B2817='111'!$L$11,OR($N2817=$Q$7,$O2817=$Q$7)),"x","")</f>
        <v/>
      </c>
      <c r="R2817" s="75" t="str">
        <f>IF(AND($N2817=$Q$7,$B2817&lt;'111'!$L$11),"x","")</f>
        <v/>
      </c>
      <c r="S2817" s="75" t="str">
        <f>IF(AND($O2817=$Q$7,$B2817&lt;'111'!$L$11),"x","")</f>
        <v/>
      </c>
      <c r="T2817" s="75" t="str">
        <f>IF(ISERROR(FIND('112'!$M$9,G2817,1)),"",IF((AND(FIND('112'!$M$9,G2817,1)&gt;=1,B2817='112'!$K$9,OR($N2817='112'!$I$6,$O2817='112'!$I$6))),"x",""))</f>
        <v/>
      </c>
      <c r="U2817" s="75" t="str">
        <f>IF(ISERROR(FIND('112'!$M$9,G2817,1)),"",IF((AND(LEFT(G2817,2)=LEFT('112'!$M$9,2),B2817&lt;'112'!$K$9,$N2817='112'!$I$6)),"x",""))</f>
        <v/>
      </c>
      <c r="V2817" s="75" t="str">
        <f>IF(ISERROR(FIND('112'!$M$9,G2817,1)),"",IF((AND(RIGHT(G2817,2)=RIGHT('112'!$M$9,2),B2817&lt;'112'!$K$9,$O2817='112'!$I$6)),"x",""))</f>
        <v/>
      </c>
      <c r="W2817" s="75" t="str">
        <f>IF(AND('341-CT'!$H$9=H2817,OR(LEFT(N2817,3)=$W$7,LEFT(O2817,3)=$W$7)),"x","")</f>
        <v/>
      </c>
      <c r="X2817" s="75" t="str">
        <f>IF(OR(TH!N2817=TH!$X$7,O2817=TH!$X$7),"x","")</f>
        <v/>
      </c>
      <c r="Y2817" s="75" t="str">
        <f>IF(AND(OR(N2817="131",O2817="131"),H2817='131-CT'!$H$9),"x","")</f>
        <v/>
      </c>
      <c r="Z2817" s="75"/>
      <c r="AA2817" s="75" t="str">
        <f>IF(AND(MONTH(E2817)='IN-NX'!$J$5,'IN-NX'!$D$7=D2817),"x","")</f>
        <v/>
      </c>
      <c r="AB2817" s="75" t="str">
        <f>IF(AND(OR(LEFT(TH!N2817,2)="15",LEFT(TH!O2817,2)="15"),LEFT(TH!O2817,3)&lt;&gt;"111",'152-CT'!$J$8=TH!F2817),"x","")</f>
        <v/>
      </c>
      <c r="AC2817" s="75" t="str">
        <f>IF(AND(OR(LEFT(TH!N2817,2)="15",LEFT(TH!O2817,2)="15"),TK!$E$7=TH!F2817),"x","")</f>
        <v/>
      </c>
      <c r="AD2817" s="75" t="str">
        <f>IF(AND(N2817="1521",MONTH(C2817)='BK-NL'!$M$11),"x","")</f>
        <v/>
      </c>
    </row>
    <row r="2818" spans="1:30" s="1264" customFormat="1" ht="16.5" customHeight="1">
      <c r="A2818" s="309" t="str">
        <f>IF(B2818&lt;&gt;"",IF(AND(B2818='IN-TC'!$S$4,OR(TH!N2818="1111",TH!O2818="1111")),TH!D2818,""),"")</f>
        <v/>
      </c>
      <c r="B2818" s="1314">
        <f t="shared" si="984"/>
        <v>4</v>
      </c>
      <c r="C2818" s="71">
        <v>42843</v>
      </c>
      <c r="D2818" s="71" t="s">
        <v>902</v>
      </c>
      <c r="E2818" s="71">
        <f t="shared" si="992"/>
        <v>42843</v>
      </c>
      <c r="F2818" s="72" t="s">
        <v>1318</v>
      </c>
      <c r="G2818" s="72" t="s">
        <v>747</v>
      </c>
      <c r="H2818" s="735" t="s">
        <v>783</v>
      </c>
      <c r="I2818" s="371"/>
      <c r="J2818" s="377"/>
      <c r="K2818" s="371">
        <v>89458.36</v>
      </c>
      <c r="L2818" s="377">
        <v>22720</v>
      </c>
      <c r="M2818" s="74">
        <f t="shared" ref="M2818" si="998">ROUND(K2818*L2818,0)</f>
        <v>2032493939</v>
      </c>
      <c r="N2818" s="75" t="s">
        <v>250</v>
      </c>
      <c r="O2818" s="934" t="s">
        <v>256</v>
      </c>
      <c r="P2818" s="75" t="str">
        <f>IF(AND('331-CT'!$E$7=TH!H2818,OR(N2818="331",O2818="331")),"x","")</f>
        <v/>
      </c>
      <c r="Q2818" s="75" t="str">
        <f>IF(AND(B2818='111'!$L$11,OR($N2818=$Q$7,$O2818=$Q$7)),"x","")</f>
        <v/>
      </c>
      <c r="R2818" s="75" t="str">
        <f>IF(AND($N2818=$Q$7,$B2818&lt;'111'!$L$11),"x","")</f>
        <v/>
      </c>
      <c r="S2818" s="75" t="str">
        <f>IF(AND($O2818=$Q$7,$B2818&lt;'111'!$L$11),"x","")</f>
        <v/>
      </c>
      <c r="T2818" s="75" t="str">
        <f>IF(ISERROR(FIND('112'!$M$9,G2818,1)),"",IF((AND(FIND('112'!$M$9,G2818,1)&gt;=1,B2818='112'!$K$9,OR($N2818='112'!$I$6,$O2818='112'!$I$6))),"x",""))</f>
        <v/>
      </c>
      <c r="U2818" s="75" t="str">
        <f>IF(ISERROR(FIND('112'!$M$9,G2818,1)),"",IF((AND(LEFT(G2818,2)=LEFT('112'!$M$9,2),B2818&lt;'112'!$K$9,$N2818='112'!$I$6)),"x",""))</f>
        <v/>
      </c>
      <c r="V2818" s="75" t="str">
        <f>IF(ISERROR(FIND('112'!$M$9,G2818,1)),"",IF((AND(RIGHT(G2818,2)=RIGHT('112'!$M$9,2),B2818&lt;'112'!$K$9,$O2818='112'!$I$6)),"x",""))</f>
        <v/>
      </c>
      <c r="W2818" s="75" t="str">
        <f>IF(AND('341-CT'!$H$9=H2818,OR(LEFT(N2818,3)=$W$7,LEFT(O2818,3)=$W$7)),"x","")</f>
        <v/>
      </c>
      <c r="X2818" s="75" t="str">
        <f>IF(OR(TH!N2818=TH!$X$7,O2818=TH!$X$7),"x","")</f>
        <v/>
      </c>
      <c r="Y2818" s="75" t="str">
        <f>IF(AND(OR(N2818="131",O2818="131"),H2818='131-CT'!$H$9),"x","")</f>
        <v/>
      </c>
      <c r="Z2818" s="75"/>
      <c r="AA2818" s="75" t="str">
        <f>IF(AND(MONTH(E2818)='IN-NX'!$J$5,'IN-NX'!$D$7=D2818),"x","")</f>
        <v/>
      </c>
      <c r="AB2818" s="75" t="str">
        <f>IF(AND(OR(LEFT(TH!N2818,2)="15",LEFT(TH!O2818,2)="15"),LEFT(TH!O2818,3)&lt;&gt;"111",'152-CT'!$J$8=TH!F2818),"x","")</f>
        <v/>
      </c>
      <c r="AC2818" s="75" t="str">
        <f>IF(AND(OR(LEFT(TH!N2818,2)="15",LEFT(TH!O2818,2)="15"),TK!$E$7=TH!F2818),"x","")</f>
        <v/>
      </c>
      <c r="AD2818" s="75" t="str">
        <f>IF(AND(N2818="1521",MONTH(C2818)='BK-NL'!$M$11),"x","")</f>
        <v/>
      </c>
    </row>
    <row r="2819" spans="1:30" s="1264" customFormat="1" ht="16.5" customHeight="1">
      <c r="A2819" s="309" t="str">
        <f>IF(B2819&lt;&gt;"",IF(AND(B2819='IN-TC'!$S$4,OR(TH!N2819="1111",TH!O2819="1111")),TH!D2819,""),"")</f>
        <v/>
      </c>
      <c r="B2819" s="1314">
        <f t="shared" si="984"/>
        <v>4</v>
      </c>
      <c r="C2819" s="71">
        <v>42843</v>
      </c>
      <c r="D2819" s="71" t="s">
        <v>530</v>
      </c>
      <c r="E2819" s="71">
        <f t="shared" si="992"/>
        <v>42843</v>
      </c>
      <c r="F2819" s="72" t="s">
        <v>1010</v>
      </c>
      <c r="G2819" s="72" t="s">
        <v>747</v>
      </c>
      <c r="H2819" s="735" t="s">
        <v>783</v>
      </c>
      <c r="I2819" s="371"/>
      <c r="J2819" s="377"/>
      <c r="K2819" s="371"/>
      <c r="L2819" s="377"/>
      <c r="M2819" s="74">
        <v>40224000</v>
      </c>
      <c r="N2819" s="75" t="s">
        <v>99</v>
      </c>
      <c r="O2819" s="75" t="s">
        <v>250</v>
      </c>
      <c r="P2819" s="75" t="str">
        <f>IF(AND('331-CT'!$E$7=TH!H2819,OR(N2819="331",O2819="331")),"x","")</f>
        <v/>
      </c>
      <c r="Q2819" s="75" t="str">
        <f>IF(AND(B2819='111'!$L$11,OR($N2819=$Q$7,$O2819=$Q$7)),"x","")</f>
        <v/>
      </c>
      <c r="R2819" s="75" t="str">
        <f>IF(AND($N2819=$Q$7,$B2819&lt;'111'!$L$11),"x","")</f>
        <v/>
      </c>
      <c r="S2819" s="75" t="str">
        <f>IF(AND($O2819=$Q$7,$B2819&lt;'111'!$L$11),"x","")</f>
        <v/>
      </c>
      <c r="T2819" s="75" t="str">
        <f>IF(ISERROR(FIND('112'!$M$9,G2819,1)),"",IF((AND(FIND('112'!$M$9,G2819,1)&gt;=1,B2819='112'!$K$9,OR($N2819='112'!$I$6,$O2819='112'!$I$6))),"x",""))</f>
        <v/>
      </c>
      <c r="U2819" s="75" t="str">
        <f>IF(ISERROR(FIND('112'!$M$9,G2819,1)),"",IF((AND(LEFT(G2819,2)=LEFT('112'!$M$9,2),B2819&lt;'112'!$K$9,$N2819='112'!$I$6)),"x",""))</f>
        <v/>
      </c>
      <c r="V2819" s="75" t="str">
        <f>IF(ISERROR(FIND('112'!$M$9,G2819,1)),"",IF((AND(RIGHT(G2819,2)=RIGHT('112'!$M$9,2),B2819&lt;'112'!$K$9,$O2819='112'!$I$6)),"x",""))</f>
        <v/>
      </c>
      <c r="W2819" s="75" t="str">
        <f>IF(AND('341-CT'!$H$9=H2819,OR(LEFT(N2819,3)=$W$7,LEFT(O2819,3)=$W$7)),"x","")</f>
        <v/>
      </c>
      <c r="X2819" s="75" t="str">
        <f>IF(OR(TH!N2819=TH!$X$7,O2819=TH!$X$7),"x","")</f>
        <v/>
      </c>
      <c r="Y2819" s="75" t="str">
        <f>IF(AND(OR(N2819="131",O2819="131"),H2819='131-CT'!$H$9),"x","")</f>
        <v/>
      </c>
      <c r="Z2819" s="75"/>
      <c r="AA2819" s="75" t="str">
        <f>IF(AND(MONTH(E2819)='IN-NX'!$J$5,'IN-NX'!$D$7=D2819),"x","")</f>
        <v/>
      </c>
      <c r="AB2819" s="75" t="str">
        <f>IF(AND(OR(LEFT(TH!N2819,2)="15",LEFT(TH!O2819,2)="15"),LEFT(TH!O2819,3)&lt;&gt;"111",'152-CT'!$J$8=TH!F2819),"x","")</f>
        <v/>
      </c>
      <c r="AC2819" s="75" t="str">
        <f>IF(AND(OR(LEFT(TH!N2819,2)="15",LEFT(TH!O2819,2)="15"),TK!$E$7=TH!F2819),"x","")</f>
        <v/>
      </c>
      <c r="AD2819" s="75" t="str">
        <f>IF(AND(N2819="1521",MONTH(C2819)='BK-NL'!$M$11),"x","")</f>
        <v/>
      </c>
    </row>
    <row r="2820" spans="1:30" s="1264" customFormat="1" ht="16.5" customHeight="1">
      <c r="A2820" s="309" t="str">
        <f>IF(B2820&lt;&gt;"",IF(AND(B2820='IN-TC'!$S$4,OR(TH!N2820="1111",TH!O2820="1111")),TH!D2820,""),"")</f>
        <v/>
      </c>
      <c r="B2820" s="1314">
        <f t="shared" si="984"/>
        <v>4</v>
      </c>
      <c r="C2820" s="71">
        <v>42845</v>
      </c>
      <c r="D2820" s="71" t="s">
        <v>902</v>
      </c>
      <c r="E2820" s="71">
        <f t="shared" si="992"/>
        <v>42845</v>
      </c>
      <c r="F2820" s="72" t="s">
        <v>252</v>
      </c>
      <c r="G2820" s="72" t="s">
        <v>747</v>
      </c>
      <c r="H2820" s="735" t="s">
        <v>2034</v>
      </c>
      <c r="I2820" s="371"/>
      <c r="J2820" s="377"/>
      <c r="K2820" s="371">
        <v>6600</v>
      </c>
      <c r="L2820" s="377">
        <v>22698</v>
      </c>
      <c r="M2820" s="1214">
        <f t="shared" ref="M2820" si="999">ROUND(K2820*L2820,0)</f>
        <v>149806800</v>
      </c>
      <c r="N2820" s="75" t="s">
        <v>256</v>
      </c>
      <c r="O2820" s="934" t="s">
        <v>250</v>
      </c>
      <c r="P2820" s="75" t="str">
        <f>IF(AND('331-CT'!$E$7=TH!H2820,OR(N2820="331",O2820="331")),"x","")</f>
        <v/>
      </c>
      <c r="Q2820" s="75" t="str">
        <f>IF(AND(B2820='111'!$L$11,OR($N2820=$Q$7,$O2820=$Q$7)),"x","")</f>
        <v/>
      </c>
      <c r="R2820" s="75" t="str">
        <f>IF(AND($N2820=$Q$7,$B2820&lt;'111'!$L$11),"x","")</f>
        <v/>
      </c>
      <c r="S2820" s="75" t="str">
        <f>IF(AND($O2820=$Q$7,$B2820&lt;'111'!$L$11),"x","")</f>
        <v/>
      </c>
      <c r="T2820" s="75" t="str">
        <f>IF(ISERROR(FIND('112'!$M$9,G2820,1)),"",IF((AND(FIND('112'!$M$9,G2820,1)&gt;=1,B2820='112'!$K$9,OR($N2820='112'!$I$6,$O2820='112'!$I$6))),"x",""))</f>
        <v/>
      </c>
      <c r="U2820" s="75" t="str">
        <f>IF(ISERROR(FIND('112'!$M$9,G2820,1)),"",IF((AND(LEFT(G2820,2)=LEFT('112'!$M$9,2),B2820&lt;'112'!$K$9,$N2820='112'!$I$6)),"x",""))</f>
        <v/>
      </c>
      <c r="V2820" s="75" t="str">
        <f>IF(ISERROR(FIND('112'!$M$9,G2820,1)),"",IF((AND(RIGHT(G2820,2)=RIGHT('112'!$M$9,2),B2820&lt;'112'!$K$9,$O2820='112'!$I$6)),"x",""))</f>
        <v/>
      </c>
      <c r="W2820" s="75" t="str">
        <f>IF(AND('341-CT'!$H$9=H2820,OR(LEFT(N2820,3)=$W$7,LEFT(O2820,3)=$W$7)),"x","")</f>
        <v/>
      </c>
      <c r="X2820" s="75" t="str">
        <f>IF(OR(TH!N2820=TH!$X$7,O2820=TH!$X$7),"x","")</f>
        <v/>
      </c>
      <c r="Y2820" s="75" t="str">
        <f>IF(AND(OR(N2820="131",O2820="131"),H2820='131-CT'!$H$9),"x","")</f>
        <v/>
      </c>
      <c r="Z2820" s="75"/>
      <c r="AA2820" s="75" t="str">
        <f>IF(AND(MONTH(E2820)='IN-NX'!$J$5,'IN-NX'!$D$7=D2820),"x","")</f>
        <v/>
      </c>
      <c r="AB2820" s="75" t="str">
        <f>IF(AND(OR(LEFT(TH!N2820,2)="15",LEFT(TH!O2820,2)="15"),LEFT(TH!O2820,3)&lt;&gt;"111",'152-CT'!$J$8=TH!F2820),"x","")</f>
        <v/>
      </c>
      <c r="AC2820" s="75" t="str">
        <f>IF(AND(OR(LEFT(TH!N2820,2)="15",LEFT(TH!O2820,2)="15"),TK!$E$7=TH!F2820),"x","")</f>
        <v/>
      </c>
      <c r="AD2820" s="75" t="str">
        <f>IF(AND(N2820="1521",MONTH(C2820)='BK-NL'!$M$11),"x","")</f>
        <v/>
      </c>
    </row>
    <row r="2821" spans="1:30" s="1264" customFormat="1" ht="16.5" customHeight="1">
      <c r="A2821" s="309" t="str">
        <f>IF(B2821&lt;&gt;"",IF(AND(B2821='IN-TC'!$S$4,OR(TH!N2821="1111",TH!O2821="1111")),TH!D2821,""),"")</f>
        <v/>
      </c>
      <c r="B2821" s="1314">
        <f t="shared" ref="B2821" si="1000">IF(C2821&lt;&gt;"",MONTH(C2821),"")</f>
        <v>4</v>
      </c>
      <c r="C2821" s="71">
        <v>42845</v>
      </c>
      <c r="D2821" s="71" t="s">
        <v>902</v>
      </c>
      <c r="E2821" s="71">
        <f t="shared" ref="E2821" si="1001">C2821</f>
        <v>42845</v>
      </c>
      <c r="F2821" s="72" t="s">
        <v>2474</v>
      </c>
      <c r="G2821" s="72" t="s">
        <v>747</v>
      </c>
      <c r="H2821" s="735" t="s">
        <v>776</v>
      </c>
      <c r="I2821" s="371"/>
      <c r="J2821" s="377"/>
      <c r="K2821" s="371">
        <v>6600</v>
      </c>
      <c r="L2821" s="377">
        <v>22698</v>
      </c>
      <c r="M2821" s="74">
        <f>ROUND(K2821*L2821,0)</f>
        <v>149806800</v>
      </c>
      <c r="N2821" s="75" t="s">
        <v>8</v>
      </c>
      <c r="O2821" s="934" t="s">
        <v>256</v>
      </c>
      <c r="P2821" s="75" t="str">
        <f>IF(AND('331-CT'!$E$7=TH!H2821,OR(N2821="331",O2821="331")),"x","")</f>
        <v/>
      </c>
      <c r="Q2821" s="75" t="str">
        <f>IF(AND(B2821='111'!$L$11,OR($N2821=$Q$7,$O2821=$Q$7)),"x","")</f>
        <v/>
      </c>
      <c r="R2821" s="75" t="str">
        <f>IF(AND($N2821=$Q$7,$B2821&lt;'111'!$L$11),"x","")</f>
        <v/>
      </c>
      <c r="S2821" s="75" t="str">
        <f>IF(AND($O2821=$Q$7,$B2821&lt;'111'!$L$11),"x","")</f>
        <v/>
      </c>
      <c r="T2821" s="75" t="str">
        <f>IF(ISERROR(FIND('112'!$M$9,G2821,1)),"",IF((AND(FIND('112'!$M$9,G2821,1)&gt;=1,B2821='112'!$K$9,OR($N2821='112'!$I$6,$O2821='112'!$I$6))),"x",""))</f>
        <v/>
      </c>
      <c r="U2821" s="75" t="str">
        <f>IF(ISERROR(FIND('112'!$M$9,G2821,1)),"",IF((AND(LEFT(G2821,2)=LEFT('112'!$M$9,2),B2821&lt;'112'!$K$9,$N2821='112'!$I$6)),"x",""))</f>
        <v/>
      </c>
      <c r="V2821" s="75" t="str">
        <f>IF(ISERROR(FIND('112'!$M$9,G2821,1)),"",IF((AND(RIGHT(G2821,2)=RIGHT('112'!$M$9,2),B2821&lt;'112'!$K$9,$O2821='112'!$I$6)),"x",""))</f>
        <v/>
      </c>
      <c r="W2821" s="75" t="str">
        <f>IF(AND('341-CT'!$H$9=H2821,OR(LEFT(N2821,3)=$W$7,LEFT(O2821,3)=$W$7)),"x","")</f>
        <v/>
      </c>
      <c r="X2821" s="75" t="str">
        <f>IF(OR(TH!N2821=TH!$X$7,O2821=TH!$X$7),"x","")</f>
        <v/>
      </c>
      <c r="Y2821" s="75" t="str">
        <f>IF(AND(OR(N2821="131",O2821="131"),H2821='131-CT'!$H$9),"x","")</f>
        <v/>
      </c>
      <c r="Z2821" s="75"/>
      <c r="AA2821" s="75" t="str">
        <f>IF(AND(MONTH(E2821)='IN-NX'!$J$5,'IN-NX'!$D$7=D2821),"x","")</f>
        <v/>
      </c>
      <c r="AB2821" s="75" t="str">
        <f>IF(AND(OR(LEFT(TH!N2821,2)="15",LEFT(TH!O2821,2)="15"),LEFT(TH!O2821,3)&lt;&gt;"111",'152-CT'!$J$8=TH!F2821),"x","")</f>
        <v/>
      </c>
      <c r="AC2821" s="75" t="str">
        <f>IF(AND(OR(LEFT(TH!N2821,2)="15",LEFT(TH!O2821,2)="15"),TK!$E$7=TH!F2821),"x","")</f>
        <v/>
      </c>
      <c r="AD2821" s="75" t="str">
        <f>IF(AND(N2821="1521",MONTH(C2821)='BK-NL'!$M$11),"x","")</f>
        <v/>
      </c>
    </row>
    <row r="2822" spans="1:30" s="1264" customFormat="1" ht="16.5" customHeight="1">
      <c r="A2822" s="309" t="str">
        <f>IF(B2822&lt;&gt;"",IF(AND(B2822='IN-TC'!$S$4,OR(TH!N2822="1111",TH!O2822="1111")),TH!D2822,""),"")</f>
        <v/>
      </c>
      <c r="B2822" s="1314">
        <f t="shared" ref="B2822" si="1002">IF(C2822&lt;&gt;"",MONTH(C2822),"")</f>
        <v>4</v>
      </c>
      <c r="C2822" s="71">
        <v>42845</v>
      </c>
      <c r="D2822" s="71" t="s">
        <v>530</v>
      </c>
      <c r="E2822" s="71">
        <f t="shared" ref="E2822" si="1003">C2822</f>
        <v>42845</v>
      </c>
      <c r="F2822" s="72" t="s">
        <v>1010</v>
      </c>
      <c r="G2822" s="72" t="s">
        <v>747</v>
      </c>
      <c r="H2822" s="735" t="s">
        <v>776</v>
      </c>
      <c r="I2822" s="371"/>
      <c r="J2822" s="377"/>
      <c r="K2822" s="371"/>
      <c r="L2822" s="377"/>
      <c r="M2822" s="933">
        <v>382800</v>
      </c>
      <c r="N2822" s="75" t="s">
        <v>99</v>
      </c>
      <c r="O2822" s="934" t="s">
        <v>8</v>
      </c>
      <c r="P2822" s="75" t="str">
        <f>IF(AND('331-CT'!$E$7=TH!H2822,OR(N2822="331",O2822="331")),"x","")</f>
        <v/>
      </c>
      <c r="Q2822" s="75" t="str">
        <f>IF(AND(B2822='111'!$L$11,OR($N2822=$Q$7,$O2822=$Q$7)),"x","")</f>
        <v/>
      </c>
      <c r="R2822" s="75" t="str">
        <f>IF(AND($N2822=$Q$7,$B2822&lt;'111'!$L$11),"x","")</f>
        <v/>
      </c>
      <c r="S2822" s="75" t="str">
        <f>IF(AND($O2822=$Q$7,$B2822&lt;'111'!$L$11),"x","")</f>
        <v/>
      </c>
      <c r="T2822" s="75" t="str">
        <f>IF(ISERROR(FIND('112'!$M$9,G2822,1)),"",IF((AND(FIND('112'!$M$9,G2822,1)&gt;=1,B2822='112'!$K$9,OR($N2822='112'!$I$6,$O2822='112'!$I$6))),"x",""))</f>
        <v/>
      </c>
      <c r="U2822" s="75" t="str">
        <f>IF(ISERROR(FIND('112'!$M$9,G2822,1)),"",IF((AND(LEFT(G2822,2)=LEFT('112'!$M$9,2),B2822&lt;'112'!$K$9,$N2822='112'!$I$6)),"x",""))</f>
        <v/>
      </c>
      <c r="V2822" s="75" t="str">
        <f>IF(ISERROR(FIND('112'!$M$9,G2822,1)),"",IF((AND(RIGHT(G2822,2)=RIGHT('112'!$M$9,2),B2822&lt;'112'!$K$9,$O2822='112'!$I$6)),"x",""))</f>
        <v/>
      </c>
      <c r="W2822" s="75" t="str">
        <f>IF(AND('341-CT'!$H$9=H2822,OR(LEFT(N2822,3)=$W$7,LEFT(O2822,3)=$W$7)),"x","")</f>
        <v/>
      </c>
      <c r="X2822" s="75" t="str">
        <f>IF(OR(TH!N2822=TH!$X$7,O2822=TH!$X$7),"x","")</f>
        <v/>
      </c>
      <c r="Y2822" s="75" t="str">
        <f>IF(AND(OR(N2822="131",O2822="131"),H2822='131-CT'!$H$9),"x","")</f>
        <v/>
      </c>
      <c r="Z2822" s="75"/>
      <c r="AA2822" s="75" t="str">
        <f>IF(AND(MONTH(E2822)='IN-NX'!$J$5,'IN-NX'!$D$7=D2822),"x","")</f>
        <v/>
      </c>
      <c r="AB2822" s="75" t="str">
        <f>IF(AND(OR(LEFT(TH!N2822,2)="15",LEFT(TH!O2822,2)="15"),LEFT(TH!O2822,3)&lt;&gt;"111",'152-CT'!$J$8=TH!F2822),"x","")</f>
        <v/>
      </c>
      <c r="AC2822" s="75" t="str">
        <f>IF(AND(OR(LEFT(TH!N2822,2)="15",LEFT(TH!O2822,2)="15"),TK!$E$7=TH!F2822),"x","")</f>
        <v/>
      </c>
      <c r="AD2822" s="75" t="str">
        <f>IF(AND(N2822="1521",MONTH(C2822)='BK-NL'!$M$11),"x","")</f>
        <v/>
      </c>
    </row>
    <row r="2823" spans="1:30" s="1264" customFormat="1" ht="16.5" customHeight="1">
      <c r="A2823" s="309" t="str">
        <f>IF(B2823&lt;&gt;"",IF(AND(B2823='IN-TC'!$S$4,OR(TH!N2823="1111",TH!O2823="1111")),TH!D2823,""),"")</f>
        <v/>
      </c>
      <c r="B2823" s="1314">
        <f t="shared" si="984"/>
        <v>4</v>
      </c>
      <c r="C2823" s="71">
        <v>42849</v>
      </c>
      <c r="D2823" s="71" t="s">
        <v>902</v>
      </c>
      <c r="E2823" s="71">
        <f t="shared" si="992"/>
        <v>42849</v>
      </c>
      <c r="F2823" s="72" t="s">
        <v>907</v>
      </c>
      <c r="G2823" s="72" t="s">
        <v>747</v>
      </c>
      <c r="H2823" s="735" t="s">
        <v>835</v>
      </c>
      <c r="I2823" s="371"/>
      <c r="J2823" s="377"/>
      <c r="K2823" s="371">
        <v>23500</v>
      </c>
      <c r="L2823" s="377">
        <v>22693</v>
      </c>
      <c r="M2823" s="74">
        <f t="shared" ref="M2823:M2825" si="1004">ROUND(K2823*L2823,0)</f>
        <v>533285500</v>
      </c>
      <c r="N2823" s="75" t="s">
        <v>26</v>
      </c>
      <c r="O2823" s="75" t="s">
        <v>256</v>
      </c>
      <c r="P2823" s="75" t="str">
        <f>IF(AND('331-CT'!$E$7=TH!H2823,OR(N2823="331",O2823="331")),"x","")</f>
        <v/>
      </c>
      <c r="Q2823" s="75" t="str">
        <f>IF(AND(B2823='111'!$L$11,OR($N2823=$Q$7,$O2823=$Q$7)),"x","")</f>
        <v/>
      </c>
      <c r="R2823" s="75" t="str">
        <f>IF(AND($N2823=$Q$7,$B2823&lt;'111'!$L$11),"x","")</f>
        <v/>
      </c>
      <c r="S2823" s="75" t="str">
        <f>IF(AND($O2823=$Q$7,$B2823&lt;'111'!$L$11),"x","")</f>
        <v/>
      </c>
      <c r="T2823" s="75" t="str">
        <f>IF(ISERROR(FIND('112'!$M$9,G2823,1)),"",IF((AND(FIND('112'!$M$9,G2823,1)&gt;=1,B2823='112'!$K$9,OR($N2823='112'!$I$6,$O2823='112'!$I$6))),"x",""))</f>
        <v/>
      </c>
      <c r="U2823" s="75" t="str">
        <f>IF(ISERROR(FIND('112'!$M$9,G2823,1)),"",IF((AND(LEFT(G2823,2)=LEFT('112'!$M$9,2),B2823&lt;'112'!$K$9,$N2823='112'!$I$6)),"x",""))</f>
        <v/>
      </c>
      <c r="V2823" s="75" t="str">
        <f>IF(ISERROR(FIND('112'!$M$9,G2823,1)),"",IF((AND(RIGHT(G2823,2)=RIGHT('112'!$M$9,2),B2823&lt;'112'!$K$9,$O2823='112'!$I$6)),"x",""))</f>
        <v/>
      </c>
      <c r="W2823" s="75" t="str">
        <f>IF(AND('341-CT'!$H$9=H2823,OR(LEFT(N2823,3)=$W$7,LEFT(O2823,3)=$W$7)),"x","")</f>
        <v/>
      </c>
      <c r="X2823" s="75" t="str">
        <f>IF(OR(TH!N2823=TH!$X$7,O2823=TH!$X$7),"x","")</f>
        <v/>
      </c>
      <c r="Y2823" s="75" t="str">
        <f>IF(AND(OR(N2823="131",O2823="131"),H2823='131-CT'!$H$9),"x","")</f>
        <v/>
      </c>
      <c r="Z2823" s="75"/>
      <c r="AA2823" s="75" t="str">
        <f>IF(AND(MONTH(E2823)='IN-NX'!$J$5,'IN-NX'!$D$7=D2823),"x","")</f>
        <v/>
      </c>
      <c r="AB2823" s="75" t="str">
        <f>IF(AND(OR(LEFT(TH!N2823,2)="15",LEFT(TH!O2823,2)="15"),LEFT(TH!O2823,3)&lt;&gt;"111",'152-CT'!$J$8=TH!F2823),"x","")</f>
        <v/>
      </c>
      <c r="AC2823" s="75" t="str">
        <f>IF(AND(OR(LEFT(TH!N2823,2)="15",LEFT(TH!O2823,2)="15"),TK!$E$7=TH!F2823),"x","")</f>
        <v/>
      </c>
      <c r="AD2823" s="75" t="str">
        <f>IF(AND(N2823="1521",MONTH(C2823)='BK-NL'!$M$11),"x","")</f>
        <v/>
      </c>
    </row>
    <row r="2824" spans="1:30" s="1264" customFormat="1" ht="16.5" customHeight="1">
      <c r="A2824" s="309" t="str">
        <f>IF(B2824&lt;&gt;"",IF(AND(B2824='IN-TC'!$S$4,OR(TH!N2824="1111",TH!O2824="1111")),TH!D2824,""),"")</f>
        <v/>
      </c>
      <c r="B2824" s="1314">
        <f t="shared" si="984"/>
        <v>4</v>
      </c>
      <c r="C2824" s="71">
        <v>42849</v>
      </c>
      <c r="D2824" s="71" t="s">
        <v>902</v>
      </c>
      <c r="E2824" s="71">
        <f t="shared" si="992"/>
        <v>42849</v>
      </c>
      <c r="F2824" s="72" t="s">
        <v>907</v>
      </c>
      <c r="G2824" s="72" t="s">
        <v>747</v>
      </c>
      <c r="H2824" s="735" t="s">
        <v>835</v>
      </c>
      <c r="I2824" s="371"/>
      <c r="J2824" s="377"/>
      <c r="K2824" s="371">
        <v>413000</v>
      </c>
      <c r="L2824" s="377">
        <v>22709</v>
      </c>
      <c r="M2824" s="74">
        <f t="shared" si="1004"/>
        <v>9378817000</v>
      </c>
      <c r="N2824" s="75" t="s">
        <v>26</v>
      </c>
      <c r="O2824" s="934" t="s">
        <v>256</v>
      </c>
      <c r="P2824" s="75" t="str">
        <f>IF(AND('331-CT'!$E$7=TH!H2824,OR(N2824="331",O2824="331")),"x","")</f>
        <v/>
      </c>
      <c r="Q2824" s="75" t="str">
        <f>IF(AND(B2824='111'!$L$11,OR($N2824=$Q$7,$O2824=$Q$7)),"x","")</f>
        <v/>
      </c>
      <c r="R2824" s="75" t="str">
        <f>IF(AND($N2824=$Q$7,$B2824&lt;'111'!$L$11),"x","")</f>
        <v/>
      </c>
      <c r="S2824" s="75" t="str">
        <f>IF(AND($O2824=$Q$7,$B2824&lt;'111'!$L$11),"x","")</f>
        <v/>
      </c>
      <c r="T2824" s="75" t="str">
        <f>IF(ISERROR(FIND('112'!$M$9,G2824,1)),"",IF((AND(FIND('112'!$M$9,G2824,1)&gt;=1,B2824='112'!$K$9,OR($N2824='112'!$I$6,$O2824='112'!$I$6))),"x",""))</f>
        <v/>
      </c>
      <c r="U2824" s="75" t="str">
        <f>IF(ISERROR(FIND('112'!$M$9,G2824,1)),"",IF((AND(LEFT(G2824,2)=LEFT('112'!$M$9,2),B2824&lt;'112'!$K$9,$N2824='112'!$I$6)),"x",""))</f>
        <v/>
      </c>
      <c r="V2824" s="75" t="str">
        <f>IF(ISERROR(FIND('112'!$M$9,G2824,1)),"",IF((AND(RIGHT(G2824,2)=RIGHT('112'!$M$9,2),B2824&lt;'112'!$K$9,$O2824='112'!$I$6)),"x",""))</f>
        <v/>
      </c>
      <c r="W2824" s="75" t="str">
        <f>IF(AND('341-CT'!$H$9=H2824,OR(LEFT(N2824,3)=$W$7,LEFT(O2824,3)=$W$7)),"x","")</f>
        <v/>
      </c>
      <c r="X2824" s="75" t="str">
        <f>IF(OR(TH!N2824=TH!$X$7,O2824=TH!$X$7),"x","")</f>
        <v/>
      </c>
      <c r="Y2824" s="75" t="str">
        <f>IF(AND(OR(N2824="131",O2824="131"),H2824='131-CT'!$H$9),"x","")</f>
        <v/>
      </c>
      <c r="Z2824" s="75"/>
      <c r="AA2824" s="75" t="str">
        <f>IF(AND(MONTH(E2824)='IN-NX'!$J$5,'IN-NX'!$D$7=D2824),"x","")</f>
        <v/>
      </c>
      <c r="AB2824" s="75" t="str">
        <f>IF(AND(OR(LEFT(TH!N2824,2)="15",LEFT(TH!O2824,2)="15"),LEFT(TH!O2824,3)&lt;&gt;"111",'152-CT'!$J$8=TH!F2824),"x","")</f>
        <v/>
      </c>
      <c r="AC2824" s="75" t="str">
        <f>IF(AND(OR(LEFT(TH!N2824,2)="15",LEFT(TH!O2824,2)="15"),TK!$E$7=TH!F2824),"x","")</f>
        <v/>
      </c>
      <c r="AD2824" s="75" t="str">
        <f>IF(AND(N2824="1521",MONTH(C2824)='BK-NL'!$M$11),"x","")</f>
        <v/>
      </c>
    </row>
    <row r="2825" spans="1:30" s="1264" customFormat="1" ht="16.5" customHeight="1">
      <c r="A2825" s="309" t="str">
        <f>IF(B2825&lt;&gt;"",IF(AND(B2825='IN-TC'!$S$4,OR(TH!N2825="1111",TH!O2825="1111")),TH!D2825,""),"")</f>
        <v/>
      </c>
      <c r="B2825" s="1314">
        <f t="shared" si="984"/>
        <v>4</v>
      </c>
      <c r="C2825" s="71">
        <v>42849</v>
      </c>
      <c r="D2825" s="71" t="s">
        <v>903</v>
      </c>
      <c r="E2825" s="71">
        <f t="shared" si="992"/>
        <v>42849</v>
      </c>
      <c r="F2825" s="72" t="s">
        <v>1086</v>
      </c>
      <c r="G2825" s="72" t="s">
        <v>747</v>
      </c>
      <c r="H2825" s="735" t="s">
        <v>1387</v>
      </c>
      <c r="I2825" s="371"/>
      <c r="J2825" s="377"/>
      <c r="K2825" s="371">
        <v>23963.86</v>
      </c>
      <c r="L2825" s="377">
        <v>22720</v>
      </c>
      <c r="M2825" s="1214">
        <f t="shared" si="1004"/>
        <v>544458899</v>
      </c>
      <c r="N2825" s="75" t="s">
        <v>256</v>
      </c>
      <c r="O2825" s="75" t="s">
        <v>536</v>
      </c>
      <c r="P2825" s="75" t="str">
        <f>IF(AND('331-CT'!$E$7=TH!H2825,OR(N2825="331",O2825="331")),"x","")</f>
        <v/>
      </c>
      <c r="Q2825" s="75" t="str">
        <f>IF(AND(B2825='111'!$L$11,OR($N2825=$Q$7,$O2825=$Q$7)),"x","")</f>
        <v/>
      </c>
      <c r="R2825" s="75" t="str">
        <f>IF(AND($N2825=$Q$7,$B2825&lt;'111'!$L$11),"x","")</f>
        <v/>
      </c>
      <c r="S2825" s="75" t="str">
        <f>IF(AND($O2825=$Q$7,$B2825&lt;'111'!$L$11),"x","")</f>
        <v/>
      </c>
      <c r="T2825" s="75" t="str">
        <f>IF(ISERROR(FIND('112'!$M$9,G2825,1)),"",IF((AND(FIND('112'!$M$9,G2825,1)&gt;=1,B2825='112'!$K$9,OR($N2825='112'!$I$6,$O2825='112'!$I$6))),"x",""))</f>
        <v/>
      </c>
      <c r="U2825" s="75" t="str">
        <f>IF(ISERROR(FIND('112'!$M$9,G2825,1)),"",IF((AND(LEFT(G2825,2)=LEFT('112'!$M$9,2),B2825&lt;'112'!$K$9,$N2825='112'!$I$6)),"x",""))</f>
        <v/>
      </c>
      <c r="V2825" s="75" t="str">
        <f>IF(ISERROR(FIND('112'!$M$9,G2825,1)),"",IF((AND(RIGHT(G2825,2)=RIGHT('112'!$M$9,2),B2825&lt;'112'!$K$9,$O2825='112'!$I$6)),"x",""))</f>
        <v/>
      </c>
      <c r="W2825" s="75" t="str">
        <f>IF(AND('341-CT'!$H$9=H2825,OR(LEFT(N2825,3)=$W$7,LEFT(O2825,3)=$W$7)),"x","")</f>
        <v/>
      </c>
      <c r="X2825" s="75" t="str">
        <f>IF(OR(TH!N2825=TH!$X$7,O2825=TH!$X$7),"x","")</f>
        <v/>
      </c>
      <c r="Y2825" s="75" t="str">
        <f>IF(AND(OR(N2825="131",O2825="131"),H2825='131-CT'!$H$9),"x","")</f>
        <v/>
      </c>
      <c r="Z2825" s="75"/>
      <c r="AA2825" s="75" t="str">
        <f>IF(AND(MONTH(E2825)='IN-NX'!$J$5,'IN-NX'!$D$7=D2825),"x","")</f>
        <v/>
      </c>
      <c r="AB2825" s="75" t="str">
        <f>IF(AND(OR(LEFT(TH!N2825,2)="15",LEFT(TH!O2825,2)="15"),LEFT(TH!O2825,3)&lt;&gt;"111",'152-CT'!$J$8=TH!F2825),"x","")</f>
        <v/>
      </c>
      <c r="AC2825" s="75" t="str">
        <f>IF(AND(OR(LEFT(TH!N2825,2)="15",LEFT(TH!O2825,2)="15"),TK!$E$7=TH!F2825),"x","")</f>
        <v/>
      </c>
      <c r="AD2825" s="75" t="str">
        <f>IF(AND(N2825="1521",MONTH(C2825)='BK-NL'!$M$11),"x","")</f>
        <v/>
      </c>
    </row>
    <row r="2826" spans="1:30" s="1264" customFormat="1" ht="16.5" customHeight="1">
      <c r="A2826" s="309" t="str">
        <f>IF(B2826&lt;&gt;"",IF(AND(B2826='IN-TC'!$S$4,OR(TH!N2826="1111",TH!O2826="1111")),TH!D2826,""),"")</f>
        <v/>
      </c>
      <c r="B2826" s="1314">
        <f t="shared" si="984"/>
        <v>4</v>
      </c>
      <c r="C2826" s="71">
        <v>42849</v>
      </c>
      <c r="D2826" s="71" t="s">
        <v>903</v>
      </c>
      <c r="E2826" s="71">
        <f t="shared" si="992"/>
        <v>42849</v>
      </c>
      <c r="F2826" s="72" t="s">
        <v>1027</v>
      </c>
      <c r="G2826" s="72" t="s">
        <v>747</v>
      </c>
      <c r="H2826" s="735" t="s">
        <v>1387</v>
      </c>
      <c r="I2826" s="371"/>
      <c r="J2826" s="377"/>
      <c r="K2826" s="371">
        <v>36.14</v>
      </c>
      <c r="L2826" s="377">
        <v>22720</v>
      </c>
      <c r="M2826" s="933">
        <f t="shared" ref="M2826" si="1005">ROUND(L2826*K2826,0)</f>
        <v>821101</v>
      </c>
      <c r="N2826" s="75" t="s">
        <v>101</v>
      </c>
      <c r="O2826" s="75" t="s">
        <v>536</v>
      </c>
      <c r="P2826" s="75" t="str">
        <f>IF(AND('331-CT'!$E$7=TH!H2826,OR(N2826="331",O2826="331")),"x","")</f>
        <v/>
      </c>
      <c r="Q2826" s="75" t="str">
        <f>IF(AND(B2826='111'!$L$11,OR($N2826=$Q$7,$O2826=$Q$7)),"x","")</f>
        <v/>
      </c>
      <c r="R2826" s="75" t="str">
        <f>IF(AND($N2826=$Q$7,$B2826&lt;'111'!$L$11),"x","")</f>
        <v/>
      </c>
      <c r="S2826" s="75" t="str">
        <f>IF(AND($O2826=$Q$7,$B2826&lt;'111'!$L$11),"x","")</f>
        <v/>
      </c>
      <c r="T2826" s="75" t="str">
        <f>IF(ISERROR(FIND('112'!$M$9,G2826,1)),"",IF((AND(FIND('112'!$M$9,G2826,1)&gt;=1,B2826='112'!$K$9,OR($N2826='112'!$I$6,$O2826='112'!$I$6))),"x",""))</f>
        <v/>
      </c>
      <c r="U2826" s="75" t="str">
        <f>IF(ISERROR(FIND('112'!$M$9,G2826,1)),"",IF((AND(LEFT(G2826,2)=LEFT('112'!$M$9,2),B2826&lt;'112'!$K$9,$N2826='112'!$I$6)),"x",""))</f>
        <v/>
      </c>
      <c r="V2826" s="75" t="str">
        <f>IF(ISERROR(FIND('112'!$M$9,G2826,1)),"",IF((AND(RIGHT(G2826,2)=RIGHT('112'!$M$9,2),B2826&lt;'112'!$K$9,$O2826='112'!$I$6)),"x",""))</f>
        <v/>
      </c>
      <c r="W2826" s="75" t="str">
        <f>IF(AND('341-CT'!$H$9=H2826,OR(LEFT(N2826,3)=$W$7,LEFT(O2826,3)=$W$7)),"x","")</f>
        <v/>
      </c>
      <c r="X2826" s="75" t="str">
        <f>IF(OR(TH!N2826=TH!$X$7,O2826=TH!$X$7),"x","")</f>
        <v/>
      </c>
      <c r="Y2826" s="75" t="str">
        <f>IF(AND(OR(N2826="131",O2826="131"),H2826='131-CT'!$H$9),"x","")</f>
        <v/>
      </c>
      <c r="Z2826" s="75"/>
      <c r="AA2826" s="75" t="str">
        <f>IF(AND(MONTH(E2826)='IN-NX'!$J$5,'IN-NX'!$D$7=D2826),"x","")</f>
        <v/>
      </c>
      <c r="AB2826" s="75" t="str">
        <f>IF(AND(OR(LEFT(TH!N2826,2)="15",LEFT(TH!O2826,2)="15"),LEFT(TH!O2826,3)&lt;&gt;"111",'152-CT'!$J$8=TH!F2826),"x","")</f>
        <v/>
      </c>
      <c r="AC2826" s="75" t="str">
        <f>IF(AND(OR(LEFT(TH!N2826,2)="15",LEFT(TH!O2826,2)="15"),TK!$E$7=TH!F2826),"x","")</f>
        <v/>
      </c>
      <c r="AD2826" s="75" t="str">
        <f>IF(AND(N2826="1521",MONTH(C2826)='BK-NL'!$M$11),"x","")</f>
        <v/>
      </c>
    </row>
    <row r="2827" spans="1:30" s="1264" customFormat="1" ht="16.5" customHeight="1">
      <c r="A2827" s="309" t="str">
        <f>IF(B2827&lt;&gt;"",IF(AND(B2827='IN-TC'!$S$4,OR(TH!N2827="1111",TH!O2827="1111")),TH!D2827,""),"")</f>
        <v/>
      </c>
      <c r="B2827" s="1314">
        <f t="shared" si="984"/>
        <v>4</v>
      </c>
      <c r="C2827" s="71">
        <v>42849</v>
      </c>
      <c r="D2827" s="71" t="s">
        <v>903</v>
      </c>
      <c r="E2827" s="71">
        <f t="shared" si="992"/>
        <v>42849</v>
      </c>
      <c r="F2827" s="72" t="s">
        <v>1086</v>
      </c>
      <c r="G2827" s="72" t="s">
        <v>747</v>
      </c>
      <c r="H2827" s="73" t="s">
        <v>759</v>
      </c>
      <c r="I2827" s="371"/>
      <c r="J2827" s="377"/>
      <c r="K2827" s="1213">
        <v>449673.6</v>
      </c>
      <c r="L2827" s="377">
        <v>22750</v>
      </c>
      <c r="M2827" s="1214">
        <f t="shared" ref="M2827" si="1006">ROUND(K2827*L2827,0)</f>
        <v>10230074400</v>
      </c>
      <c r="N2827" s="75" t="s">
        <v>256</v>
      </c>
      <c r="O2827" s="75" t="s">
        <v>536</v>
      </c>
      <c r="P2827" s="75" t="str">
        <f>IF(AND('331-CT'!$E$7=TH!H2827,OR(N2827="331",O2827="331")),"x","")</f>
        <v/>
      </c>
      <c r="Q2827" s="75" t="str">
        <f>IF(AND(B2827='111'!$L$11,OR($N2827=$Q$7,$O2827=$Q$7)),"x","")</f>
        <v/>
      </c>
      <c r="R2827" s="75" t="str">
        <f>IF(AND($N2827=$Q$7,$B2827&lt;'111'!$L$11),"x","")</f>
        <v/>
      </c>
      <c r="S2827" s="75" t="str">
        <f>IF(AND($O2827=$Q$7,$B2827&lt;'111'!$L$11),"x","")</f>
        <v/>
      </c>
      <c r="T2827" s="75" t="str">
        <f>IF(ISERROR(FIND('112'!$M$9,G2827,1)),"",IF((AND(FIND('112'!$M$9,G2827,1)&gt;=1,B2827='112'!$K$9,OR($N2827='112'!$I$6,$O2827='112'!$I$6))),"x",""))</f>
        <v/>
      </c>
      <c r="U2827" s="75" t="str">
        <f>IF(ISERROR(FIND('112'!$M$9,G2827,1)),"",IF((AND(LEFT(G2827,2)=LEFT('112'!$M$9,2),B2827&lt;'112'!$K$9,$N2827='112'!$I$6)),"x",""))</f>
        <v/>
      </c>
      <c r="V2827" s="75" t="str">
        <f>IF(ISERROR(FIND('112'!$M$9,G2827,1)),"",IF((AND(RIGHT(G2827,2)=RIGHT('112'!$M$9,2),B2827&lt;'112'!$K$9,$O2827='112'!$I$6)),"x",""))</f>
        <v/>
      </c>
      <c r="W2827" s="75" t="str">
        <f>IF(AND('341-CT'!$H$9=H2827,OR(LEFT(N2827,3)=$W$7,LEFT(O2827,3)=$W$7)),"x","")</f>
        <v/>
      </c>
      <c r="X2827" s="75" t="str">
        <f>IF(OR(TH!N2827=TH!$X$7,O2827=TH!$X$7),"x","")</f>
        <v/>
      </c>
      <c r="Y2827" s="75" t="str">
        <f>IF(AND(OR(N2827="131",O2827="131"),H2827='131-CT'!$H$9),"x","")</f>
        <v/>
      </c>
      <c r="Z2827" s="75"/>
      <c r="AA2827" s="75" t="str">
        <f>IF(AND(MONTH(E2827)='IN-NX'!$J$5,'IN-NX'!$D$7=D2827),"x","")</f>
        <v/>
      </c>
      <c r="AB2827" s="75" t="str">
        <f>IF(AND(OR(LEFT(TH!N2827,2)="15",LEFT(TH!O2827,2)="15"),LEFT(TH!O2827,3)&lt;&gt;"111",'152-CT'!$J$8=TH!F2827),"x","")</f>
        <v/>
      </c>
      <c r="AC2827" s="75" t="str">
        <f>IF(AND(OR(LEFT(TH!N2827,2)="15",LEFT(TH!O2827,2)="15"),TK!$E$7=TH!F2827),"x","")</f>
        <v/>
      </c>
      <c r="AD2827" s="75" t="str">
        <f>IF(AND(N2827="1521",MONTH(C2827)='BK-NL'!$M$11),"x","")</f>
        <v/>
      </c>
    </row>
    <row r="2828" spans="1:30" s="1264" customFormat="1" ht="16.5" customHeight="1">
      <c r="A2828" s="309" t="str">
        <f>IF(B2828&lt;&gt;"",IF(AND(B2828='IN-TC'!$S$4,OR(TH!N2828="1111",TH!O2828="1111")),TH!D2828,""),"")</f>
        <v/>
      </c>
      <c r="B2828" s="1314">
        <f t="shared" si="984"/>
        <v>4</v>
      </c>
      <c r="C2828" s="71">
        <v>42849</v>
      </c>
      <c r="D2828" s="71" t="s">
        <v>530</v>
      </c>
      <c r="E2828" s="71">
        <f t="shared" si="992"/>
        <v>42849</v>
      </c>
      <c r="F2828" s="72" t="s">
        <v>1027</v>
      </c>
      <c r="G2828" s="72" t="s">
        <v>747</v>
      </c>
      <c r="H2828" s="73" t="s">
        <v>759</v>
      </c>
      <c r="I2828" s="371"/>
      <c r="J2828" s="377"/>
      <c r="K2828" s="1213">
        <v>12</v>
      </c>
      <c r="L2828" s="377">
        <v>22750</v>
      </c>
      <c r="M2828" s="933">
        <f t="shared" si="993"/>
        <v>273000</v>
      </c>
      <c r="N2828" s="75" t="s">
        <v>101</v>
      </c>
      <c r="O2828" s="75" t="s">
        <v>536</v>
      </c>
      <c r="P2828" s="75" t="str">
        <f>IF(AND('331-CT'!$E$7=TH!H2828,OR(N2828="331",O2828="331")),"x","")</f>
        <v/>
      </c>
      <c r="Q2828" s="75" t="str">
        <f>IF(AND(B2828='111'!$L$11,OR($N2828=$Q$7,$O2828=$Q$7)),"x","")</f>
        <v/>
      </c>
      <c r="R2828" s="75" t="str">
        <f>IF(AND($N2828=$Q$7,$B2828&lt;'111'!$L$11),"x","")</f>
        <v/>
      </c>
      <c r="S2828" s="75" t="str">
        <f>IF(AND($O2828=$Q$7,$B2828&lt;'111'!$L$11),"x","")</f>
        <v/>
      </c>
      <c r="T2828" s="75" t="str">
        <f>IF(ISERROR(FIND('112'!$M$9,G2828,1)),"",IF((AND(FIND('112'!$M$9,G2828,1)&gt;=1,B2828='112'!$K$9,OR($N2828='112'!$I$6,$O2828='112'!$I$6))),"x",""))</f>
        <v/>
      </c>
      <c r="U2828" s="75" t="str">
        <f>IF(ISERROR(FIND('112'!$M$9,G2828,1)),"",IF((AND(LEFT(G2828,2)=LEFT('112'!$M$9,2),B2828&lt;'112'!$K$9,$N2828='112'!$I$6)),"x",""))</f>
        <v/>
      </c>
      <c r="V2828" s="75" t="str">
        <f>IF(ISERROR(FIND('112'!$M$9,G2828,1)),"",IF((AND(RIGHT(G2828,2)=RIGHT('112'!$M$9,2),B2828&lt;'112'!$K$9,$O2828='112'!$I$6)),"x",""))</f>
        <v/>
      </c>
      <c r="W2828" s="75" t="str">
        <f>IF(AND('341-CT'!$H$9=H2828,OR(LEFT(N2828,3)=$W$7,LEFT(O2828,3)=$W$7)),"x","")</f>
        <v/>
      </c>
      <c r="X2828" s="75" t="str">
        <f>IF(OR(TH!N2828=TH!$X$7,O2828=TH!$X$7),"x","")</f>
        <v/>
      </c>
      <c r="Y2828" s="75" t="str">
        <f>IF(AND(OR(N2828="131",O2828="131"),H2828='131-CT'!$H$9),"x","")</f>
        <v/>
      </c>
      <c r="Z2828" s="75"/>
      <c r="AA2828" s="75" t="str">
        <f>IF(AND(MONTH(E2828)='IN-NX'!$J$5,'IN-NX'!$D$7=D2828),"x","")</f>
        <v/>
      </c>
      <c r="AB2828" s="75" t="str">
        <f>IF(AND(OR(LEFT(TH!N2828,2)="15",LEFT(TH!O2828,2)="15"),LEFT(TH!O2828,3)&lt;&gt;"111",'152-CT'!$J$8=TH!F2828),"x","")</f>
        <v/>
      </c>
      <c r="AC2828" s="75" t="str">
        <f>IF(AND(OR(LEFT(TH!N2828,2)="15",LEFT(TH!O2828,2)="15"),TK!$E$7=TH!F2828),"x","")</f>
        <v/>
      </c>
      <c r="AD2828" s="75" t="str">
        <f>IF(AND(N2828="1521",MONTH(C2828)='BK-NL'!$M$11),"x","")</f>
        <v/>
      </c>
    </row>
    <row r="2829" spans="1:30" s="1264" customFormat="1" ht="16.5" customHeight="1">
      <c r="A2829" s="309" t="str">
        <f>IF(B2829&lt;&gt;"",IF(AND(B2829='IN-TC'!$S$4,OR(TH!N2829="1111",TH!O2829="1111")),TH!D2829,""),"")</f>
        <v/>
      </c>
      <c r="B2829" s="1314">
        <f t="shared" si="984"/>
        <v>4</v>
      </c>
      <c r="C2829" s="71">
        <v>42849</v>
      </c>
      <c r="D2829" s="71" t="s">
        <v>902</v>
      </c>
      <c r="E2829" s="71">
        <f t="shared" si="992"/>
        <v>42849</v>
      </c>
      <c r="F2829" s="72" t="s">
        <v>1318</v>
      </c>
      <c r="G2829" s="72" t="s">
        <v>747</v>
      </c>
      <c r="H2829" s="72" t="s">
        <v>2450</v>
      </c>
      <c r="I2829" s="371"/>
      <c r="J2829" s="377"/>
      <c r="K2829" s="371">
        <v>33700</v>
      </c>
      <c r="L2829" s="377">
        <v>22773</v>
      </c>
      <c r="M2829" s="74">
        <f t="shared" ref="M2829:M2844" si="1007">ROUND(K2829*L2829,0)</f>
        <v>767450100</v>
      </c>
      <c r="N2829" s="75" t="s">
        <v>250</v>
      </c>
      <c r="O2829" s="934" t="s">
        <v>256</v>
      </c>
      <c r="P2829" s="75" t="str">
        <f>IF(AND('331-CT'!$E$7=TH!H2829,OR(N2829="331",O2829="331")),"x","")</f>
        <v/>
      </c>
      <c r="Q2829" s="75" t="str">
        <f>IF(AND(B2829='111'!$L$11,OR($N2829=$Q$7,$O2829=$Q$7)),"x","")</f>
        <v/>
      </c>
      <c r="R2829" s="75" t="str">
        <f>IF(AND($N2829=$Q$7,$B2829&lt;'111'!$L$11),"x","")</f>
        <v/>
      </c>
      <c r="S2829" s="75" t="str">
        <f>IF(AND($O2829=$Q$7,$B2829&lt;'111'!$L$11),"x","")</f>
        <v/>
      </c>
      <c r="T2829" s="75" t="str">
        <f>IF(ISERROR(FIND('112'!$M$9,G2829,1)),"",IF((AND(FIND('112'!$M$9,G2829,1)&gt;=1,B2829='112'!$K$9,OR($N2829='112'!$I$6,$O2829='112'!$I$6))),"x",""))</f>
        <v/>
      </c>
      <c r="U2829" s="75" t="str">
        <f>IF(ISERROR(FIND('112'!$M$9,G2829,1)),"",IF((AND(LEFT(G2829,2)=LEFT('112'!$M$9,2),B2829&lt;'112'!$K$9,$N2829='112'!$I$6)),"x",""))</f>
        <v/>
      </c>
      <c r="V2829" s="75" t="str">
        <f>IF(ISERROR(FIND('112'!$M$9,G2829,1)),"",IF((AND(RIGHT(G2829,2)=RIGHT('112'!$M$9,2),B2829&lt;'112'!$K$9,$O2829='112'!$I$6)),"x",""))</f>
        <v/>
      </c>
      <c r="W2829" s="75" t="str">
        <f>IF(AND('341-CT'!$H$9=H2829,OR(LEFT(N2829,3)=$W$7,LEFT(O2829,3)=$W$7)),"x","")</f>
        <v/>
      </c>
      <c r="X2829" s="75" t="str">
        <f>IF(OR(TH!N2829=TH!$X$7,O2829=TH!$X$7),"x","")</f>
        <v/>
      </c>
      <c r="Y2829" s="75" t="str">
        <f>IF(AND(OR(N2829="131",O2829="131"),H2829='131-CT'!$H$9),"x","")</f>
        <v/>
      </c>
      <c r="Z2829" s="75"/>
      <c r="AA2829" s="75" t="str">
        <f>IF(AND(MONTH(E2829)='IN-NX'!$J$5,'IN-NX'!$D$7=D2829),"x","")</f>
        <v/>
      </c>
      <c r="AB2829" s="75" t="str">
        <f>IF(AND(OR(LEFT(TH!N2829,2)="15",LEFT(TH!O2829,2)="15"),LEFT(TH!O2829,3)&lt;&gt;"111",'152-CT'!$J$8=TH!F2829),"x","")</f>
        <v/>
      </c>
      <c r="AC2829" s="75" t="str">
        <f>IF(AND(OR(LEFT(TH!N2829,2)="15",LEFT(TH!O2829,2)="15"),TK!$E$7=TH!F2829),"x","")</f>
        <v/>
      </c>
      <c r="AD2829" s="75" t="str">
        <f>IF(AND(N2829="1521",MONTH(C2829)='BK-NL'!$M$11),"x","")</f>
        <v/>
      </c>
    </row>
    <row r="2830" spans="1:30" s="1264" customFormat="1" ht="16.5" customHeight="1">
      <c r="A2830" s="309" t="str">
        <f>IF(B2830&lt;&gt;"",IF(AND(B2830='IN-TC'!$S$4,OR(TH!N2830="1111",TH!O2830="1111")),TH!D2830,""),"")</f>
        <v/>
      </c>
      <c r="B2830" s="1314">
        <f t="shared" si="984"/>
        <v>4</v>
      </c>
      <c r="C2830" s="71">
        <v>42849</v>
      </c>
      <c r="D2830" s="71" t="s">
        <v>902</v>
      </c>
      <c r="E2830" s="71">
        <f t="shared" si="992"/>
        <v>42849</v>
      </c>
      <c r="F2830" s="72" t="s">
        <v>916</v>
      </c>
      <c r="G2830" s="72" t="s">
        <v>747</v>
      </c>
      <c r="H2830" s="72" t="s">
        <v>2450</v>
      </c>
      <c r="I2830" s="371"/>
      <c r="J2830" s="377"/>
      <c r="K2830" s="371">
        <v>5.62</v>
      </c>
      <c r="L2830" s="377">
        <v>22773</v>
      </c>
      <c r="M2830" s="74">
        <f t="shared" si="1007"/>
        <v>127984</v>
      </c>
      <c r="N2830" s="75" t="s">
        <v>99</v>
      </c>
      <c r="O2830" s="934" t="s">
        <v>256</v>
      </c>
      <c r="P2830" s="75" t="str">
        <f>IF(AND('331-CT'!$E$7=TH!H2830,OR(N2830="331",O2830="331")),"x","")</f>
        <v/>
      </c>
      <c r="Q2830" s="75" t="str">
        <f>IF(AND(B2830='111'!$L$11,OR($N2830=$Q$7,$O2830=$Q$7)),"x","")</f>
        <v/>
      </c>
      <c r="R2830" s="75" t="str">
        <f>IF(AND($N2830=$Q$7,$B2830&lt;'111'!$L$11),"x","")</f>
        <v/>
      </c>
      <c r="S2830" s="75" t="str">
        <f>IF(AND($O2830=$Q$7,$B2830&lt;'111'!$L$11),"x","")</f>
        <v/>
      </c>
      <c r="T2830" s="75" t="str">
        <f>IF(ISERROR(FIND('112'!$M$9,G2830,1)),"",IF((AND(FIND('112'!$M$9,G2830,1)&gt;=1,B2830='112'!$K$9,OR($N2830='112'!$I$6,$O2830='112'!$I$6))),"x",""))</f>
        <v/>
      </c>
      <c r="U2830" s="75" t="str">
        <f>IF(ISERROR(FIND('112'!$M$9,G2830,1)),"",IF((AND(LEFT(G2830,2)=LEFT('112'!$M$9,2),B2830&lt;'112'!$K$9,$N2830='112'!$I$6)),"x",""))</f>
        <v/>
      </c>
      <c r="V2830" s="75" t="str">
        <f>IF(ISERROR(FIND('112'!$M$9,G2830,1)),"",IF((AND(RIGHT(G2830,2)=RIGHT('112'!$M$9,2),B2830&lt;'112'!$K$9,$O2830='112'!$I$6)),"x",""))</f>
        <v/>
      </c>
      <c r="W2830" s="75" t="str">
        <f>IF(AND('341-CT'!$H$9=H2830,OR(LEFT(N2830,3)=$W$7,LEFT(O2830,3)=$W$7)),"x","")</f>
        <v/>
      </c>
      <c r="X2830" s="75" t="str">
        <f>IF(OR(TH!N2830=TH!$X$7,O2830=TH!$X$7),"x","")</f>
        <v/>
      </c>
      <c r="Y2830" s="75" t="str">
        <f>IF(AND(OR(N2830="131",O2830="131"),H2830='131-CT'!$H$9),"x","")</f>
        <v/>
      </c>
      <c r="Z2830" s="75"/>
      <c r="AA2830" s="75" t="str">
        <f>IF(AND(MONTH(E2830)='IN-NX'!$J$5,'IN-NX'!$D$7=D2830),"x","")</f>
        <v/>
      </c>
      <c r="AB2830" s="75" t="str">
        <f>IF(AND(OR(LEFT(TH!N2830,2)="15",LEFT(TH!O2830,2)="15"),LEFT(TH!O2830,3)&lt;&gt;"111",'152-CT'!$J$8=TH!F2830),"x","")</f>
        <v/>
      </c>
      <c r="AC2830" s="75" t="str">
        <f>IF(AND(OR(LEFT(TH!N2830,2)="15",LEFT(TH!O2830,2)="15"),TK!$E$7=TH!F2830),"x","")</f>
        <v/>
      </c>
      <c r="AD2830" s="75" t="str">
        <f>IF(AND(N2830="1521",MONTH(C2830)='BK-NL'!$M$11),"x","")</f>
        <v/>
      </c>
    </row>
    <row r="2831" spans="1:30" s="1264" customFormat="1" ht="16.5" customHeight="1">
      <c r="A2831" s="309" t="str">
        <f>IF(B2831&lt;&gt;"",IF(AND(B2831='IN-TC'!$S$4,OR(TH!N2831="1111",TH!O2831="1111")),TH!D2831,""),"")</f>
        <v/>
      </c>
      <c r="B2831" s="1314">
        <f t="shared" si="984"/>
        <v>4</v>
      </c>
      <c r="C2831" s="71">
        <v>42849</v>
      </c>
      <c r="D2831" s="71" t="s">
        <v>902</v>
      </c>
      <c r="E2831" s="71">
        <f t="shared" si="992"/>
        <v>42849</v>
      </c>
      <c r="F2831" s="72" t="s">
        <v>1096</v>
      </c>
      <c r="G2831" s="72" t="s">
        <v>747</v>
      </c>
      <c r="H2831" s="735" t="s">
        <v>835</v>
      </c>
      <c r="I2831" s="371"/>
      <c r="J2831" s="377"/>
      <c r="K2831" s="371">
        <v>11.19</v>
      </c>
      <c r="L2831" s="377">
        <v>22773</v>
      </c>
      <c r="M2831" s="74">
        <f t="shared" si="1007"/>
        <v>254830</v>
      </c>
      <c r="N2831" s="75" t="s">
        <v>99</v>
      </c>
      <c r="O2831" s="934" t="s">
        <v>256</v>
      </c>
      <c r="P2831" s="75" t="str">
        <f>IF(AND('331-CT'!$E$7=TH!H2831,OR(N2831="331",O2831="331")),"x","")</f>
        <v/>
      </c>
      <c r="Q2831" s="75" t="str">
        <f>IF(AND(B2831='111'!$L$11,OR($N2831=$Q$7,$O2831=$Q$7)),"x","")</f>
        <v/>
      </c>
      <c r="R2831" s="75" t="str">
        <f>IF(AND($N2831=$Q$7,$B2831&lt;'111'!$L$11),"x","")</f>
        <v/>
      </c>
      <c r="S2831" s="75" t="str">
        <f>IF(AND($O2831=$Q$7,$B2831&lt;'111'!$L$11),"x","")</f>
        <v/>
      </c>
      <c r="T2831" s="75" t="str">
        <f>IF(ISERROR(FIND('112'!$M$9,G2831,1)),"",IF((AND(FIND('112'!$M$9,G2831,1)&gt;=1,B2831='112'!$K$9,OR($N2831='112'!$I$6,$O2831='112'!$I$6))),"x",""))</f>
        <v/>
      </c>
      <c r="U2831" s="75" t="str">
        <f>IF(ISERROR(FIND('112'!$M$9,G2831,1)),"",IF((AND(LEFT(G2831,2)=LEFT('112'!$M$9,2),B2831&lt;'112'!$K$9,$N2831='112'!$I$6)),"x",""))</f>
        <v/>
      </c>
      <c r="V2831" s="75" t="str">
        <f>IF(ISERROR(FIND('112'!$M$9,G2831,1)),"",IF((AND(RIGHT(G2831,2)=RIGHT('112'!$M$9,2),B2831&lt;'112'!$K$9,$O2831='112'!$I$6)),"x",""))</f>
        <v/>
      </c>
      <c r="W2831" s="75" t="str">
        <f>IF(AND('341-CT'!$H$9=H2831,OR(LEFT(N2831,3)=$W$7,LEFT(O2831,3)=$W$7)),"x","")</f>
        <v/>
      </c>
      <c r="X2831" s="75" t="str">
        <f>IF(OR(TH!N2831=TH!$X$7,O2831=TH!$X$7),"x","")</f>
        <v/>
      </c>
      <c r="Y2831" s="75" t="str">
        <f>IF(AND(OR(N2831="131",O2831="131"),H2831='131-CT'!$H$9),"x","")</f>
        <v/>
      </c>
      <c r="Z2831" s="75"/>
      <c r="AA2831" s="75" t="str">
        <f>IF(AND(MONTH(E2831)='IN-NX'!$J$5,'IN-NX'!$D$7=D2831),"x","")</f>
        <v/>
      </c>
      <c r="AB2831" s="75" t="str">
        <f>IF(AND(OR(LEFT(TH!N2831,2)="15",LEFT(TH!O2831,2)="15"),LEFT(TH!O2831,3)&lt;&gt;"111",'152-CT'!$J$8=TH!F2831),"x","")</f>
        <v/>
      </c>
      <c r="AC2831" s="75" t="str">
        <f>IF(AND(OR(LEFT(TH!N2831,2)="15",LEFT(TH!O2831,2)="15"),TK!$E$7=TH!F2831),"x","")</f>
        <v/>
      </c>
      <c r="AD2831" s="75" t="str">
        <f>IF(AND(N2831="1521",MONTH(C2831)='BK-NL'!$M$11),"x","")</f>
        <v/>
      </c>
    </row>
    <row r="2832" spans="1:30" s="1264" customFormat="1" ht="16.5" customHeight="1">
      <c r="A2832" s="309" t="str">
        <f>IF(B2832&lt;&gt;"",IF(AND(B2832='IN-TC'!$S$4,OR(TH!N2832="1111",TH!O2832="1111")),TH!D2832,""),"")</f>
        <v/>
      </c>
      <c r="B2832" s="1314">
        <f t="shared" si="984"/>
        <v>4</v>
      </c>
      <c r="C2832" s="71">
        <v>42849</v>
      </c>
      <c r="D2832" s="71" t="s">
        <v>902</v>
      </c>
      <c r="E2832" s="71">
        <f t="shared" si="992"/>
        <v>42849</v>
      </c>
      <c r="F2832" s="72" t="s">
        <v>1096</v>
      </c>
      <c r="G2832" s="72" t="s">
        <v>747</v>
      </c>
      <c r="H2832" s="735" t="s">
        <v>835</v>
      </c>
      <c r="I2832" s="371"/>
      <c r="J2832" s="377"/>
      <c r="K2832" s="371">
        <v>226.1</v>
      </c>
      <c r="L2832" s="377">
        <v>22773</v>
      </c>
      <c r="M2832" s="74">
        <f t="shared" si="1007"/>
        <v>5148975</v>
      </c>
      <c r="N2832" s="75" t="s">
        <v>99</v>
      </c>
      <c r="O2832" s="934" t="s">
        <v>256</v>
      </c>
      <c r="P2832" s="75" t="str">
        <f>IF(AND('331-CT'!$E$7=TH!H2832,OR(N2832="331",O2832="331")),"x","")</f>
        <v/>
      </c>
      <c r="Q2832" s="75" t="str">
        <f>IF(AND(B2832='111'!$L$11,OR($N2832=$Q$7,$O2832=$Q$7)),"x","")</f>
        <v/>
      </c>
      <c r="R2832" s="75" t="str">
        <f>IF(AND($N2832=$Q$7,$B2832&lt;'111'!$L$11),"x","")</f>
        <v/>
      </c>
      <c r="S2832" s="75" t="str">
        <f>IF(AND($O2832=$Q$7,$B2832&lt;'111'!$L$11),"x","")</f>
        <v/>
      </c>
      <c r="T2832" s="75" t="str">
        <f>IF(ISERROR(FIND('112'!$M$9,G2832,1)),"",IF((AND(FIND('112'!$M$9,G2832,1)&gt;=1,B2832='112'!$K$9,OR($N2832='112'!$I$6,$O2832='112'!$I$6))),"x",""))</f>
        <v/>
      </c>
      <c r="U2832" s="75" t="str">
        <f>IF(ISERROR(FIND('112'!$M$9,G2832,1)),"",IF((AND(LEFT(G2832,2)=LEFT('112'!$M$9,2),B2832&lt;'112'!$K$9,$N2832='112'!$I$6)),"x",""))</f>
        <v/>
      </c>
      <c r="V2832" s="75" t="str">
        <f>IF(ISERROR(FIND('112'!$M$9,G2832,1)),"",IF((AND(RIGHT(G2832,2)=RIGHT('112'!$M$9,2),B2832&lt;'112'!$K$9,$O2832='112'!$I$6)),"x",""))</f>
        <v/>
      </c>
      <c r="W2832" s="75" t="str">
        <f>IF(AND('341-CT'!$H$9=H2832,OR(LEFT(N2832,3)=$W$7,LEFT(O2832,3)=$W$7)),"x","")</f>
        <v/>
      </c>
      <c r="X2832" s="75" t="str">
        <f>IF(OR(TH!N2832=TH!$X$7,O2832=TH!$X$7),"x","")</f>
        <v/>
      </c>
      <c r="Y2832" s="75" t="str">
        <f>IF(AND(OR(N2832="131",O2832="131"),H2832='131-CT'!$H$9),"x","")</f>
        <v/>
      </c>
      <c r="Z2832" s="75"/>
      <c r="AA2832" s="75" t="str">
        <f>IF(AND(MONTH(E2832)='IN-NX'!$J$5,'IN-NX'!$D$7=D2832),"x","")</f>
        <v/>
      </c>
      <c r="AB2832" s="75" t="str">
        <f>IF(AND(OR(LEFT(TH!N2832,2)="15",LEFT(TH!O2832,2)="15"),LEFT(TH!O2832,3)&lt;&gt;"111",'152-CT'!$J$8=TH!F2832),"x","")</f>
        <v/>
      </c>
      <c r="AC2832" s="75" t="str">
        <f>IF(AND(OR(LEFT(TH!N2832,2)="15",LEFT(TH!O2832,2)="15"),TK!$E$7=TH!F2832),"x","")</f>
        <v/>
      </c>
      <c r="AD2832" s="75" t="str">
        <f>IF(AND(N2832="1521",MONTH(C2832)='BK-NL'!$M$11),"x","")</f>
        <v/>
      </c>
    </row>
    <row r="2833" spans="1:30" s="1264" customFormat="1" ht="16.5" customHeight="1">
      <c r="A2833" s="309" t="str">
        <f>IF(B2833&lt;&gt;"",IF(AND(B2833='IN-TC'!$S$4,OR(TH!N2833="1111",TH!O2833="1111")),TH!D2833,""),"")</f>
        <v/>
      </c>
      <c r="B2833" s="1314">
        <f t="shared" si="984"/>
        <v>4</v>
      </c>
      <c r="C2833" s="71">
        <v>42849</v>
      </c>
      <c r="D2833" s="71" t="s">
        <v>902</v>
      </c>
      <c r="E2833" s="71">
        <f t="shared" si="992"/>
        <v>42849</v>
      </c>
      <c r="F2833" s="72" t="s">
        <v>1096</v>
      </c>
      <c r="G2833" s="72" t="s">
        <v>747</v>
      </c>
      <c r="H2833" s="735" t="s">
        <v>835</v>
      </c>
      <c r="I2833" s="371"/>
      <c r="J2833" s="377"/>
      <c r="K2833" s="371">
        <v>219.63</v>
      </c>
      <c r="L2833" s="377">
        <v>22773</v>
      </c>
      <c r="M2833" s="74">
        <f t="shared" si="1007"/>
        <v>5001634</v>
      </c>
      <c r="N2833" s="75" t="s">
        <v>99</v>
      </c>
      <c r="O2833" s="934" t="s">
        <v>256</v>
      </c>
      <c r="P2833" s="75" t="str">
        <f>IF(AND('331-CT'!$E$7=TH!H2833,OR(N2833="331",O2833="331")),"x","")</f>
        <v/>
      </c>
      <c r="Q2833" s="75" t="str">
        <f>IF(AND(B2833='111'!$L$11,OR($N2833=$Q$7,$O2833=$Q$7)),"x","")</f>
        <v/>
      </c>
      <c r="R2833" s="75" t="str">
        <f>IF(AND($N2833=$Q$7,$B2833&lt;'111'!$L$11),"x","")</f>
        <v/>
      </c>
      <c r="S2833" s="75" t="str">
        <f>IF(AND($O2833=$Q$7,$B2833&lt;'111'!$L$11),"x","")</f>
        <v/>
      </c>
      <c r="T2833" s="75" t="str">
        <f>IF(ISERROR(FIND('112'!$M$9,G2833,1)),"",IF((AND(FIND('112'!$M$9,G2833,1)&gt;=1,B2833='112'!$K$9,OR($N2833='112'!$I$6,$O2833='112'!$I$6))),"x",""))</f>
        <v/>
      </c>
      <c r="U2833" s="75" t="str">
        <f>IF(ISERROR(FIND('112'!$M$9,G2833,1)),"",IF((AND(LEFT(G2833,2)=LEFT('112'!$M$9,2),B2833&lt;'112'!$K$9,$N2833='112'!$I$6)),"x",""))</f>
        <v/>
      </c>
      <c r="V2833" s="75" t="str">
        <f>IF(ISERROR(FIND('112'!$M$9,G2833,1)),"",IF((AND(RIGHT(G2833,2)=RIGHT('112'!$M$9,2),B2833&lt;'112'!$K$9,$O2833='112'!$I$6)),"x",""))</f>
        <v/>
      </c>
      <c r="W2833" s="75" t="str">
        <f>IF(AND('341-CT'!$H$9=H2833,OR(LEFT(N2833,3)=$W$7,LEFT(O2833,3)=$W$7)),"x","")</f>
        <v/>
      </c>
      <c r="X2833" s="75" t="str">
        <f>IF(OR(TH!N2833=TH!$X$7,O2833=TH!$X$7),"x","")</f>
        <v/>
      </c>
      <c r="Y2833" s="75" t="str">
        <f>IF(AND(OR(N2833="131",O2833="131"),H2833='131-CT'!$H$9),"x","")</f>
        <v/>
      </c>
      <c r="Z2833" s="75"/>
      <c r="AA2833" s="75" t="str">
        <f>IF(AND(MONTH(E2833)='IN-NX'!$J$5,'IN-NX'!$D$7=D2833),"x","")</f>
        <v/>
      </c>
      <c r="AB2833" s="75" t="str">
        <f>IF(AND(OR(LEFT(TH!N2833,2)="15",LEFT(TH!O2833,2)="15"),LEFT(TH!O2833,3)&lt;&gt;"111",'152-CT'!$J$8=TH!F2833),"x","")</f>
        <v/>
      </c>
      <c r="AC2833" s="75" t="str">
        <f>IF(AND(OR(LEFT(TH!N2833,2)="15",LEFT(TH!O2833,2)="15"),TK!$E$7=TH!F2833),"x","")</f>
        <v/>
      </c>
      <c r="AD2833" s="75" t="str">
        <f>IF(AND(N2833="1521",MONTH(C2833)='BK-NL'!$M$11),"x","")</f>
        <v/>
      </c>
    </row>
    <row r="2834" spans="1:30" s="1264" customFormat="1" ht="16.5" customHeight="1">
      <c r="A2834" s="309" t="str">
        <f>IF(B2834&lt;&gt;"",IF(AND(B2834='IN-TC'!$S$4,OR(TH!N2834="1111",TH!O2834="1111")),TH!D2834,""),"")</f>
        <v/>
      </c>
      <c r="B2834" s="1314">
        <f t="shared" si="984"/>
        <v>4</v>
      </c>
      <c r="C2834" s="71">
        <v>42849</v>
      </c>
      <c r="D2834" s="71" t="s">
        <v>902</v>
      </c>
      <c r="E2834" s="71">
        <f t="shared" si="992"/>
        <v>42849</v>
      </c>
      <c r="F2834" s="72" t="s">
        <v>1096</v>
      </c>
      <c r="G2834" s="72" t="s">
        <v>747</v>
      </c>
      <c r="H2834" s="735" t="s">
        <v>835</v>
      </c>
      <c r="I2834" s="371"/>
      <c r="J2834" s="377"/>
      <c r="K2834" s="371">
        <v>190.06</v>
      </c>
      <c r="L2834" s="377">
        <v>22773</v>
      </c>
      <c r="M2834" s="74">
        <f t="shared" si="1007"/>
        <v>4328236</v>
      </c>
      <c r="N2834" s="75" t="s">
        <v>99</v>
      </c>
      <c r="O2834" s="934" t="s">
        <v>256</v>
      </c>
      <c r="P2834" s="75" t="str">
        <f>IF(AND('331-CT'!$E$7=TH!H2834,OR(N2834="331",O2834="331")),"x","")</f>
        <v/>
      </c>
      <c r="Q2834" s="75" t="str">
        <f>IF(AND(B2834='111'!$L$11,OR($N2834=$Q$7,$O2834=$Q$7)),"x","")</f>
        <v/>
      </c>
      <c r="R2834" s="75" t="str">
        <f>IF(AND($N2834=$Q$7,$B2834&lt;'111'!$L$11),"x","")</f>
        <v/>
      </c>
      <c r="S2834" s="75" t="str">
        <f>IF(AND($O2834=$Q$7,$B2834&lt;'111'!$L$11),"x","")</f>
        <v/>
      </c>
      <c r="T2834" s="75" t="str">
        <f>IF(ISERROR(FIND('112'!$M$9,G2834,1)),"",IF((AND(FIND('112'!$M$9,G2834,1)&gt;=1,B2834='112'!$K$9,OR($N2834='112'!$I$6,$O2834='112'!$I$6))),"x",""))</f>
        <v/>
      </c>
      <c r="U2834" s="75" t="str">
        <f>IF(ISERROR(FIND('112'!$M$9,G2834,1)),"",IF((AND(LEFT(G2834,2)=LEFT('112'!$M$9,2),B2834&lt;'112'!$K$9,$N2834='112'!$I$6)),"x",""))</f>
        <v/>
      </c>
      <c r="V2834" s="75" t="str">
        <f>IF(ISERROR(FIND('112'!$M$9,G2834,1)),"",IF((AND(RIGHT(G2834,2)=RIGHT('112'!$M$9,2),B2834&lt;'112'!$K$9,$O2834='112'!$I$6)),"x",""))</f>
        <v/>
      </c>
      <c r="W2834" s="75" t="str">
        <f>IF(AND('341-CT'!$H$9=H2834,OR(LEFT(N2834,3)=$W$7,LEFT(O2834,3)=$W$7)),"x","")</f>
        <v/>
      </c>
      <c r="X2834" s="75" t="str">
        <f>IF(OR(TH!N2834=TH!$X$7,O2834=TH!$X$7),"x","")</f>
        <v/>
      </c>
      <c r="Y2834" s="75" t="str">
        <f>IF(AND(OR(N2834="131",O2834="131"),H2834='131-CT'!$H$9),"x","")</f>
        <v/>
      </c>
      <c r="Z2834" s="75"/>
      <c r="AA2834" s="75" t="str">
        <f>IF(AND(MONTH(E2834)='IN-NX'!$J$5,'IN-NX'!$D$7=D2834),"x","")</f>
        <v/>
      </c>
      <c r="AB2834" s="75" t="str">
        <f>IF(AND(OR(LEFT(TH!N2834,2)="15",LEFT(TH!O2834,2)="15"),LEFT(TH!O2834,3)&lt;&gt;"111",'152-CT'!$J$8=TH!F2834),"x","")</f>
        <v/>
      </c>
      <c r="AC2834" s="75" t="str">
        <f>IF(AND(OR(LEFT(TH!N2834,2)="15",LEFT(TH!O2834,2)="15"),TK!$E$7=TH!F2834),"x","")</f>
        <v/>
      </c>
      <c r="AD2834" s="75" t="str">
        <f>IF(AND(N2834="1521",MONTH(C2834)='BK-NL'!$M$11),"x","")</f>
        <v/>
      </c>
    </row>
    <row r="2835" spans="1:30" s="1264" customFormat="1" ht="16.5" customHeight="1">
      <c r="A2835" s="309" t="str">
        <f>IF(B2835&lt;&gt;"",IF(AND(B2835='IN-TC'!$S$4,OR(TH!N2835="1111",TH!O2835="1111")),TH!D2835,""),"")</f>
        <v/>
      </c>
      <c r="B2835" s="1314">
        <f t="shared" si="984"/>
        <v>4</v>
      </c>
      <c r="C2835" s="71">
        <v>42849</v>
      </c>
      <c r="D2835" s="71" t="s">
        <v>902</v>
      </c>
      <c r="E2835" s="71">
        <f t="shared" si="992"/>
        <v>42849</v>
      </c>
      <c r="F2835" s="72" t="s">
        <v>1096</v>
      </c>
      <c r="G2835" s="72" t="s">
        <v>747</v>
      </c>
      <c r="H2835" s="735" t="s">
        <v>835</v>
      </c>
      <c r="I2835" s="371"/>
      <c r="J2835" s="377"/>
      <c r="K2835" s="371">
        <v>240.31</v>
      </c>
      <c r="L2835" s="377">
        <v>22773</v>
      </c>
      <c r="M2835" s="74">
        <f t="shared" si="1007"/>
        <v>5472580</v>
      </c>
      <c r="N2835" s="75" t="s">
        <v>99</v>
      </c>
      <c r="O2835" s="934" t="s">
        <v>256</v>
      </c>
      <c r="P2835" s="75" t="str">
        <f>IF(AND('331-CT'!$E$7=TH!H2835,OR(N2835="331",O2835="331")),"x","")</f>
        <v/>
      </c>
      <c r="Q2835" s="75" t="str">
        <f>IF(AND(B2835='111'!$L$11,OR($N2835=$Q$7,$O2835=$Q$7)),"x","")</f>
        <v/>
      </c>
      <c r="R2835" s="75" t="str">
        <f>IF(AND($N2835=$Q$7,$B2835&lt;'111'!$L$11),"x","")</f>
        <v/>
      </c>
      <c r="S2835" s="75" t="str">
        <f>IF(AND($O2835=$Q$7,$B2835&lt;'111'!$L$11),"x","")</f>
        <v/>
      </c>
      <c r="T2835" s="75" t="str">
        <f>IF(ISERROR(FIND('112'!$M$9,G2835,1)),"",IF((AND(FIND('112'!$M$9,G2835,1)&gt;=1,B2835='112'!$K$9,OR($N2835='112'!$I$6,$O2835='112'!$I$6))),"x",""))</f>
        <v/>
      </c>
      <c r="U2835" s="75" t="str">
        <f>IF(ISERROR(FIND('112'!$M$9,G2835,1)),"",IF((AND(LEFT(G2835,2)=LEFT('112'!$M$9,2),B2835&lt;'112'!$K$9,$N2835='112'!$I$6)),"x",""))</f>
        <v/>
      </c>
      <c r="V2835" s="75" t="str">
        <f>IF(ISERROR(FIND('112'!$M$9,G2835,1)),"",IF((AND(RIGHT(G2835,2)=RIGHT('112'!$M$9,2),B2835&lt;'112'!$K$9,$O2835='112'!$I$6)),"x",""))</f>
        <v/>
      </c>
      <c r="W2835" s="75" t="str">
        <f>IF(AND('341-CT'!$H$9=H2835,OR(LEFT(N2835,3)=$W$7,LEFT(O2835,3)=$W$7)),"x","")</f>
        <v/>
      </c>
      <c r="X2835" s="75" t="str">
        <f>IF(OR(TH!N2835=TH!$X$7,O2835=TH!$X$7),"x","")</f>
        <v/>
      </c>
      <c r="Y2835" s="75" t="str">
        <f>IF(AND(OR(N2835="131",O2835="131"),H2835='131-CT'!$H$9),"x","")</f>
        <v/>
      </c>
      <c r="Z2835" s="75"/>
      <c r="AA2835" s="75" t="str">
        <f>IF(AND(MONTH(E2835)='IN-NX'!$J$5,'IN-NX'!$D$7=D2835),"x","")</f>
        <v/>
      </c>
      <c r="AB2835" s="75" t="str">
        <f>IF(AND(OR(LEFT(TH!N2835,2)="15",LEFT(TH!O2835,2)="15"),LEFT(TH!O2835,3)&lt;&gt;"111",'152-CT'!$J$8=TH!F2835),"x","")</f>
        <v/>
      </c>
      <c r="AC2835" s="75" t="str">
        <f>IF(AND(OR(LEFT(TH!N2835,2)="15",LEFT(TH!O2835,2)="15"),TK!$E$7=TH!F2835),"x","")</f>
        <v/>
      </c>
      <c r="AD2835" s="75" t="str">
        <f>IF(AND(N2835="1521",MONTH(C2835)='BK-NL'!$M$11),"x","")</f>
        <v/>
      </c>
    </row>
    <row r="2836" spans="1:30" s="1264" customFormat="1" ht="16.5" customHeight="1">
      <c r="A2836" s="309" t="str">
        <f>IF(B2836&lt;&gt;"",IF(AND(B2836='IN-TC'!$S$4,OR(TH!N2836="1111",TH!O2836="1111")),TH!D2836,""),"")</f>
        <v/>
      </c>
      <c r="B2836" s="1314">
        <f t="shared" si="984"/>
        <v>4</v>
      </c>
      <c r="C2836" s="71">
        <v>42849</v>
      </c>
      <c r="D2836" s="71" t="s">
        <v>902</v>
      </c>
      <c r="E2836" s="71">
        <f t="shared" si="992"/>
        <v>42849</v>
      </c>
      <c r="F2836" s="72" t="s">
        <v>1096</v>
      </c>
      <c r="G2836" s="72" t="s">
        <v>747</v>
      </c>
      <c r="H2836" s="735" t="s">
        <v>835</v>
      </c>
      <c r="I2836" s="371"/>
      <c r="J2836" s="377"/>
      <c r="K2836" s="371">
        <v>229.98</v>
      </c>
      <c r="L2836" s="377">
        <v>22773</v>
      </c>
      <c r="M2836" s="74">
        <f t="shared" si="1007"/>
        <v>5237335</v>
      </c>
      <c r="N2836" s="75" t="s">
        <v>99</v>
      </c>
      <c r="O2836" s="934" t="s">
        <v>256</v>
      </c>
      <c r="P2836" s="75" t="str">
        <f>IF(AND('331-CT'!$E$7=TH!H2836,OR(N2836="331",O2836="331")),"x","")</f>
        <v/>
      </c>
      <c r="Q2836" s="75" t="str">
        <f>IF(AND(B2836='111'!$L$11,OR($N2836=$Q$7,$O2836=$Q$7)),"x","")</f>
        <v/>
      </c>
      <c r="R2836" s="75" t="str">
        <f>IF(AND($N2836=$Q$7,$B2836&lt;'111'!$L$11),"x","")</f>
        <v/>
      </c>
      <c r="S2836" s="75" t="str">
        <f>IF(AND($O2836=$Q$7,$B2836&lt;'111'!$L$11),"x","")</f>
        <v/>
      </c>
      <c r="T2836" s="75" t="str">
        <f>IF(ISERROR(FIND('112'!$M$9,G2836,1)),"",IF((AND(FIND('112'!$M$9,G2836,1)&gt;=1,B2836='112'!$K$9,OR($N2836='112'!$I$6,$O2836='112'!$I$6))),"x",""))</f>
        <v/>
      </c>
      <c r="U2836" s="75" t="str">
        <f>IF(ISERROR(FIND('112'!$M$9,G2836,1)),"",IF((AND(LEFT(G2836,2)=LEFT('112'!$M$9,2),B2836&lt;'112'!$K$9,$N2836='112'!$I$6)),"x",""))</f>
        <v/>
      </c>
      <c r="V2836" s="75" t="str">
        <f>IF(ISERROR(FIND('112'!$M$9,G2836,1)),"",IF((AND(RIGHT(G2836,2)=RIGHT('112'!$M$9,2),B2836&lt;'112'!$K$9,$O2836='112'!$I$6)),"x",""))</f>
        <v/>
      </c>
      <c r="W2836" s="75" t="str">
        <f>IF(AND('341-CT'!$H$9=H2836,OR(LEFT(N2836,3)=$W$7,LEFT(O2836,3)=$W$7)),"x","")</f>
        <v/>
      </c>
      <c r="X2836" s="75" t="str">
        <f>IF(OR(TH!N2836=TH!$X$7,O2836=TH!$X$7),"x","")</f>
        <v/>
      </c>
      <c r="Y2836" s="75" t="str">
        <f>IF(AND(OR(N2836="131",O2836="131"),H2836='131-CT'!$H$9),"x","")</f>
        <v/>
      </c>
      <c r="Z2836" s="75"/>
      <c r="AA2836" s="75" t="str">
        <f>IF(AND(MONTH(E2836)='IN-NX'!$J$5,'IN-NX'!$D$7=D2836),"x","")</f>
        <v/>
      </c>
      <c r="AB2836" s="75" t="str">
        <f>IF(AND(OR(LEFT(TH!N2836,2)="15",LEFT(TH!O2836,2)="15"),LEFT(TH!O2836,3)&lt;&gt;"111",'152-CT'!$J$8=TH!F2836),"x","")</f>
        <v/>
      </c>
      <c r="AC2836" s="75" t="str">
        <f>IF(AND(OR(LEFT(TH!N2836,2)="15",LEFT(TH!O2836,2)="15"),TK!$E$7=TH!F2836),"x","")</f>
        <v/>
      </c>
      <c r="AD2836" s="75" t="str">
        <f>IF(AND(N2836="1521",MONTH(C2836)='BK-NL'!$M$11),"x","")</f>
        <v/>
      </c>
    </row>
    <row r="2837" spans="1:30" s="1264" customFormat="1" ht="16.5" customHeight="1">
      <c r="A2837" s="309" t="str">
        <f>IF(B2837&lt;&gt;"",IF(AND(B2837='IN-TC'!$S$4,OR(TH!N2837="1111",TH!O2837="1111")),TH!D2837,""),"")</f>
        <v/>
      </c>
      <c r="B2837" s="1314">
        <f t="shared" si="984"/>
        <v>4</v>
      </c>
      <c r="C2837" s="71">
        <v>42849</v>
      </c>
      <c r="D2837" s="71" t="s">
        <v>902</v>
      </c>
      <c r="E2837" s="71">
        <f t="shared" si="992"/>
        <v>42849</v>
      </c>
      <c r="F2837" s="72" t="s">
        <v>1096</v>
      </c>
      <c r="G2837" s="72" t="s">
        <v>747</v>
      </c>
      <c r="H2837" s="735" t="s">
        <v>835</v>
      </c>
      <c r="I2837" s="371"/>
      <c r="J2837" s="377"/>
      <c r="K2837" s="371">
        <v>132.04</v>
      </c>
      <c r="L2837" s="377">
        <v>22773</v>
      </c>
      <c r="M2837" s="74">
        <f t="shared" si="1007"/>
        <v>3006947</v>
      </c>
      <c r="N2837" s="75" t="s">
        <v>99</v>
      </c>
      <c r="O2837" s="934" t="s">
        <v>256</v>
      </c>
      <c r="P2837" s="75" t="str">
        <f>IF(AND('331-CT'!$E$7=TH!H2837,OR(N2837="331",O2837="331")),"x","")</f>
        <v/>
      </c>
      <c r="Q2837" s="75" t="str">
        <f>IF(AND(B2837='111'!$L$11,OR($N2837=$Q$7,$O2837=$Q$7)),"x","")</f>
        <v/>
      </c>
      <c r="R2837" s="75" t="str">
        <f>IF(AND($N2837=$Q$7,$B2837&lt;'111'!$L$11),"x","")</f>
        <v/>
      </c>
      <c r="S2837" s="75" t="str">
        <f>IF(AND($O2837=$Q$7,$B2837&lt;'111'!$L$11),"x","")</f>
        <v/>
      </c>
      <c r="T2837" s="75" t="str">
        <f>IF(ISERROR(FIND('112'!$M$9,G2837,1)),"",IF((AND(FIND('112'!$M$9,G2837,1)&gt;=1,B2837='112'!$K$9,OR($N2837='112'!$I$6,$O2837='112'!$I$6))),"x",""))</f>
        <v/>
      </c>
      <c r="U2837" s="75" t="str">
        <f>IF(ISERROR(FIND('112'!$M$9,G2837,1)),"",IF((AND(LEFT(G2837,2)=LEFT('112'!$M$9,2),B2837&lt;'112'!$K$9,$N2837='112'!$I$6)),"x",""))</f>
        <v/>
      </c>
      <c r="V2837" s="75" t="str">
        <f>IF(ISERROR(FIND('112'!$M$9,G2837,1)),"",IF((AND(RIGHT(G2837,2)=RIGHT('112'!$M$9,2),B2837&lt;'112'!$K$9,$O2837='112'!$I$6)),"x",""))</f>
        <v/>
      </c>
      <c r="W2837" s="75" t="str">
        <f>IF(AND('341-CT'!$H$9=H2837,OR(LEFT(N2837,3)=$W$7,LEFT(O2837,3)=$W$7)),"x","")</f>
        <v/>
      </c>
      <c r="X2837" s="75" t="str">
        <f>IF(OR(TH!N2837=TH!$X$7,O2837=TH!$X$7),"x","")</f>
        <v/>
      </c>
      <c r="Y2837" s="75" t="str">
        <f>IF(AND(OR(N2837="131",O2837="131"),H2837='131-CT'!$H$9),"x","")</f>
        <v/>
      </c>
      <c r="Z2837" s="75"/>
      <c r="AA2837" s="75" t="str">
        <f>IF(AND(MONTH(E2837)='IN-NX'!$J$5,'IN-NX'!$D$7=D2837),"x","")</f>
        <v/>
      </c>
      <c r="AB2837" s="75" t="str">
        <f>IF(AND(OR(LEFT(TH!N2837,2)="15",LEFT(TH!O2837,2)="15"),LEFT(TH!O2837,3)&lt;&gt;"111",'152-CT'!$J$8=TH!F2837),"x","")</f>
        <v/>
      </c>
      <c r="AC2837" s="75" t="str">
        <f>IF(AND(OR(LEFT(TH!N2837,2)="15",LEFT(TH!O2837,2)="15"),TK!$E$7=TH!F2837),"x","")</f>
        <v/>
      </c>
      <c r="AD2837" s="75" t="str">
        <f>IF(AND(N2837="1521",MONTH(C2837)='BK-NL'!$M$11),"x","")</f>
        <v/>
      </c>
    </row>
    <row r="2838" spans="1:30" s="1264" customFormat="1" ht="16.5" customHeight="1">
      <c r="A2838" s="309" t="str">
        <f>IF(B2838&lt;&gt;"",IF(AND(B2838='IN-TC'!$S$4,OR(TH!N2838="1111",TH!O2838="1111")),TH!D2838,""),"")</f>
        <v/>
      </c>
      <c r="B2838" s="1314">
        <f t="shared" si="984"/>
        <v>4</v>
      </c>
      <c r="C2838" s="71">
        <v>42849</v>
      </c>
      <c r="D2838" s="71" t="s">
        <v>902</v>
      </c>
      <c r="E2838" s="71">
        <f t="shared" si="992"/>
        <v>42849</v>
      </c>
      <c r="F2838" s="72" t="s">
        <v>1096</v>
      </c>
      <c r="G2838" s="72" t="s">
        <v>747</v>
      </c>
      <c r="H2838" s="735" t="s">
        <v>835</v>
      </c>
      <c r="I2838" s="371"/>
      <c r="J2838" s="377"/>
      <c r="K2838" s="371">
        <v>162.79</v>
      </c>
      <c r="L2838" s="377">
        <v>22773</v>
      </c>
      <c r="M2838" s="74">
        <f t="shared" si="1007"/>
        <v>3707217</v>
      </c>
      <c r="N2838" s="75" t="s">
        <v>99</v>
      </c>
      <c r="O2838" s="934" t="s">
        <v>256</v>
      </c>
      <c r="P2838" s="75" t="str">
        <f>IF(AND('331-CT'!$E$7=TH!H2838,OR(N2838="331",O2838="331")),"x","")</f>
        <v/>
      </c>
      <c r="Q2838" s="75" t="str">
        <f>IF(AND(B2838='111'!$L$11,OR($N2838=$Q$7,$O2838=$Q$7)),"x","")</f>
        <v/>
      </c>
      <c r="R2838" s="75" t="str">
        <f>IF(AND($N2838=$Q$7,$B2838&lt;'111'!$L$11),"x","")</f>
        <v/>
      </c>
      <c r="S2838" s="75" t="str">
        <f>IF(AND($O2838=$Q$7,$B2838&lt;'111'!$L$11),"x","")</f>
        <v/>
      </c>
      <c r="T2838" s="75" t="str">
        <f>IF(ISERROR(FIND('112'!$M$9,G2838,1)),"",IF((AND(FIND('112'!$M$9,G2838,1)&gt;=1,B2838='112'!$K$9,OR($N2838='112'!$I$6,$O2838='112'!$I$6))),"x",""))</f>
        <v/>
      </c>
      <c r="U2838" s="75" t="str">
        <f>IF(ISERROR(FIND('112'!$M$9,G2838,1)),"",IF((AND(LEFT(G2838,2)=LEFT('112'!$M$9,2),B2838&lt;'112'!$K$9,$N2838='112'!$I$6)),"x",""))</f>
        <v/>
      </c>
      <c r="V2838" s="75" t="str">
        <f>IF(ISERROR(FIND('112'!$M$9,G2838,1)),"",IF((AND(RIGHT(G2838,2)=RIGHT('112'!$M$9,2),B2838&lt;'112'!$K$9,$O2838='112'!$I$6)),"x",""))</f>
        <v/>
      </c>
      <c r="W2838" s="75" t="str">
        <f>IF(AND('341-CT'!$H$9=H2838,OR(LEFT(N2838,3)=$W$7,LEFT(O2838,3)=$W$7)),"x","")</f>
        <v/>
      </c>
      <c r="X2838" s="75" t="str">
        <f>IF(OR(TH!N2838=TH!$X$7,O2838=TH!$X$7),"x","")</f>
        <v/>
      </c>
      <c r="Y2838" s="75" t="str">
        <f>IF(AND(OR(N2838="131",O2838="131"),H2838='131-CT'!$H$9),"x","")</f>
        <v/>
      </c>
      <c r="Z2838" s="75"/>
      <c r="AA2838" s="75" t="str">
        <f>IF(AND(MONTH(E2838)='IN-NX'!$J$5,'IN-NX'!$D$7=D2838),"x","")</f>
        <v/>
      </c>
      <c r="AB2838" s="75" t="str">
        <f>IF(AND(OR(LEFT(TH!N2838,2)="15",LEFT(TH!O2838,2)="15"),LEFT(TH!O2838,3)&lt;&gt;"111",'152-CT'!$J$8=TH!F2838),"x","")</f>
        <v/>
      </c>
      <c r="AC2838" s="75" t="str">
        <f>IF(AND(OR(LEFT(TH!N2838,2)="15",LEFT(TH!O2838,2)="15"),TK!$E$7=TH!F2838),"x","")</f>
        <v/>
      </c>
      <c r="AD2838" s="75" t="str">
        <f>IF(AND(N2838="1521",MONTH(C2838)='BK-NL'!$M$11),"x","")</f>
        <v/>
      </c>
    </row>
    <row r="2839" spans="1:30" s="1264" customFormat="1" ht="16.5" customHeight="1">
      <c r="A2839" s="309" t="str">
        <f>IF(B2839&lt;&gt;"",IF(AND(B2839='IN-TC'!$S$4,OR(TH!N2839="1111",TH!O2839="1111")),TH!D2839,""),"")</f>
        <v/>
      </c>
      <c r="B2839" s="1314">
        <f t="shared" si="984"/>
        <v>4</v>
      </c>
      <c r="C2839" s="71">
        <v>42849</v>
      </c>
      <c r="D2839" s="71" t="s">
        <v>902</v>
      </c>
      <c r="E2839" s="71">
        <f t="shared" si="992"/>
        <v>42849</v>
      </c>
      <c r="F2839" s="72" t="s">
        <v>1096</v>
      </c>
      <c r="G2839" s="72" t="s">
        <v>747</v>
      </c>
      <c r="H2839" s="735" t="s">
        <v>835</v>
      </c>
      <c r="I2839" s="371"/>
      <c r="J2839" s="377"/>
      <c r="K2839" s="371">
        <v>211.88</v>
      </c>
      <c r="L2839" s="377">
        <v>22773</v>
      </c>
      <c r="M2839" s="74">
        <f t="shared" si="1007"/>
        <v>4825143</v>
      </c>
      <c r="N2839" s="75" t="s">
        <v>99</v>
      </c>
      <c r="O2839" s="934" t="s">
        <v>256</v>
      </c>
      <c r="P2839" s="75" t="str">
        <f>IF(AND('331-CT'!$E$7=TH!H2839,OR(N2839="331",O2839="331")),"x","")</f>
        <v/>
      </c>
      <c r="Q2839" s="75" t="str">
        <f>IF(AND(B2839='111'!$L$11,OR($N2839=$Q$7,$O2839=$Q$7)),"x","")</f>
        <v/>
      </c>
      <c r="R2839" s="75" t="str">
        <f>IF(AND($N2839=$Q$7,$B2839&lt;'111'!$L$11),"x","")</f>
        <v/>
      </c>
      <c r="S2839" s="75" t="str">
        <f>IF(AND($O2839=$Q$7,$B2839&lt;'111'!$L$11),"x","")</f>
        <v/>
      </c>
      <c r="T2839" s="75" t="str">
        <f>IF(ISERROR(FIND('112'!$M$9,G2839,1)),"",IF((AND(FIND('112'!$M$9,G2839,1)&gt;=1,B2839='112'!$K$9,OR($N2839='112'!$I$6,$O2839='112'!$I$6))),"x",""))</f>
        <v/>
      </c>
      <c r="U2839" s="75" t="str">
        <f>IF(ISERROR(FIND('112'!$M$9,G2839,1)),"",IF((AND(LEFT(G2839,2)=LEFT('112'!$M$9,2),B2839&lt;'112'!$K$9,$N2839='112'!$I$6)),"x",""))</f>
        <v/>
      </c>
      <c r="V2839" s="75" t="str">
        <f>IF(ISERROR(FIND('112'!$M$9,G2839,1)),"",IF((AND(RIGHT(G2839,2)=RIGHT('112'!$M$9,2),B2839&lt;'112'!$K$9,$O2839='112'!$I$6)),"x",""))</f>
        <v/>
      </c>
      <c r="W2839" s="75" t="str">
        <f>IF(AND('341-CT'!$H$9=H2839,OR(LEFT(N2839,3)=$W$7,LEFT(O2839,3)=$W$7)),"x","")</f>
        <v/>
      </c>
      <c r="X2839" s="75" t="str">
        <f>IF(OR(TH!N2839=TH!$X$7,O2839=TH!$X$7),"x","")</f>
        <v/>
      </c>
      <c r="Y2839" s="75" t="str">
        <f>IF(AND(OR(N2839="131",O2839="131"),H2839='131-CT'!$H$9),"x","")</f>
        <v/>
      </c>
      <c r="Z2839" s="75"/>
      <c r="AA2839" s="75" t="str">
        <f>IF(AND(MONTH(E2839)='IN-NX'!$J$5,'IN-NX'!$D$7=D2839),"x","")</f>
        <v/>
      </c>
      <c r="AB2839" s="75" t="str">
        <f>IF(AND(OR(LEFT(TH!N2839,2)="15",LEFT(TH!O2839,2)="15"),LEFT(TH!O2839,3)&lt;&gt;"111",'152-CT'!$J$8=TH!F2839),"x","")</f>
        <v/>
      </c>
      <c r="AC2839" s="75" t="str">
        <f>IF(AND(OR(LEFT(TH!N2839,2)="15",LEFT(TH!O2839,2)="15"),TK!$E$7=TH!F2839),"x","")</f>
        <v/>
      </c>
      <c r="AD2839" s="75" t="str">
        <f>IF(AND(N2839="1521",MONTH(C2839)='BK-NL'!$M$11),"x","")</f>
        <v/>
      </c>
    </row>
    <row r="2840" spans="1:30" s="1264" customFormat="1" ht="16.5" customHeight="1">
      <c r="A2840" s="309" t="str">
        <f>IF(B2840&lt;&gt;"",IF(AND(B2840='IN-TC'!$S$4,OR(TH!N2840="1111",TH!O2840="1111")),TH!D2840,""),"")</f>
        <v/>
      </c>
      <c r="B2840" s="1314">
        <f t="shared" si="984"/>
        <v>4</v>
      </c>
      <c r="C2840" s="71">
        <v>42849</v>
      </c>
      <c r="D2840" s="71" t="s">
        <v>902</v>
      </c>
      <c r="E2840" s="71">
        <f t="shared" ref="E2840:E2875" si="1008">C2840</f>
        <v>42849</v>
      </c>
      <c r="F2840" s="72" t="s">
        <v>1096</v>
      </c>
      <c r="G2840" s="72" t="s">
        <v>747</v>
      </c>
      <c r="H2840" s="735" t="s">
        <v>835</v>
      </c>
      <c r="I2840" s="371"/>
      <c r="J2840" s="377"/>
      <c r="K2840" s="371">
        <v>92.7</v>
      </c>
      <c r="L2840" s="377">
        <v>22773</v>
      </c>
      <c r="M2840" s="74">
        <f t="shared" si="1007"/>
        <v>2111057</v>
      </c>
      <c r="N2840" s="75" t="s">
        <v>99</v>
      </c>
      <c r="O2840" s="934" t="s">
        <v>256</v>
      </c>
      <c r="P2840" s="75" t="str">
        <f>IF(AND('331-CT'!$E$7=TH!H2840,OR(N2840="331",O2840="331")),"x","")</f>
        <v/>
      </c>
      <c r="Q2840" s="75" t="str">
        <f>IF(AND(B2840='111'!$L$11,OR($N2840=$Q$7,$O2840=$Q$7)),"x","")</f>
        <v/>
      </c>
      <c r="R2840" s="75" t="str">
        <f>IF(AND($N2840=$Q$7,$B2840&lt;'111'!$L$11),"x","")</f>
        <v/>
      </c>
      <c r="S2840" s="75" t="str">
        <f>IF(AND($O2840=$Q$7,$B2840&lt;'111'!$L$11),"x","")</f>
        <v/>
      </c>
      <c r="T2840" s="75" t="str">
        <f>IF(ISERROR(FIND('112'!$M$9,G2840,1)),"",IF((AND(FIND('112'!$M$9,G2840,1)&gt;=1,B2840='112'!$K$9,OR($N2840='112'!$I$6,$O2840='112'!$I$6))),"x",""))</f>
        <v/>
      </c>
      <c r="U2840" s="75" t="str">
        <f>IF(ISERROR(FIND('112'!$M$9,G2840,1)),"",IF((AND(LEFT(G2840,2)=LEFT('112'!$M$9,2),B2840&lt;'112'!$K$9,$N2840='112'!$I$6)),"x",""))</f>
        <v/>
      </c>
      <c r="V2840" s="75" t="str">
        <f>IF(ISERROR(FIND('112'!$M$9,G2840,1)),"",IF((AND(RIGHT(G2840,2)=RIGHT('112'!$M$9,2),B2840&lt;'112'!$K$9,$O2840='112'!$I$6)),"x",""))</f>
        <v/>
      </c>
      <c r="W2840" s="75" t="str">
        <f>IF(AND('341-CT'!$H$9=H2840,OR(LEFT(N2840,3)=$W$7,LEFT(O2840,3)=$W$7)),"x","")</f>
        <v/>
      </c>
      <c r="X2840" s="75" t="str">
        <f>IF(OR(TH!N2840=TH!$X$7,O2840=TH!$X$7),"x","")</f>
        <v/>
      </c>
      <c r="Y2840" s="75" t="str">
        <f>IF(AND(OR(N2840="131",O2840="131"),H2840='131-CT'!$H$9),"x","")</f>
        <v/>
      </c>
      <c r="Z2840" s="75"/>
      <c r="AA2840" s="75" t="str">
        <f>IF(AND(MONTH(E2840)='IN-NX'!$J$5,'IN-NX'!$D$7=D2840),"x","")</f>
        <v/>
      </c>
      <c r="AB2840" s="75" t="str">
        <f>IF(AND(OR(LEFT(TH!N2840,2)="15",LEFT(TH!O2840,2)="15"),LEFT(TH!O2840,3)&lt;&gt;"111",'152-CT'!$J$8=TH!F2840),"x","")</f>
        <v/>
      </c>
      <c r="AC2840" s="75" t="str">
        <f>IF(AND(OR(LEFT(TH!N2840,2)="15",LEFT(TH!O2840,2)="15"),TK!$E$7=TH!F2840),"x","")</f>
        <v/>
      </c>
      <c r="AD2840" s="75" t="str">
        <f>IF(AND(N2840="1521",MONTH(C2840)='BK-NL'!$M$11),"x","")</f>
        <v/>
      </c>
    </row>
    <row r="2841" spans="1:30" s="1264" customFormat="1" ht="16.5" customHeight="1">
      <c r="A2841" s="309" t="str">
        <f>IF(B2841&lt;&gt;"",IF(AND(B2841='IN-TC'!$S$4,OR(TH!N2841="1111",TH!O2841="1111")),TH!D2841,""),"")</f>
        <v/>
      </c>
      <c r="B2841" s="1314">
        <f t="shared" si="984"/>
        <v>4</v>
      </c>
      <c r="C2841" s="71">
        <v>42849</v>
      </c>
      <c r="D2841" s="71" t="s">
        <v>902</v>
      </c>
      <c r="E2841" s="71">
        <f t="shared" si="1008"/>
        <v>42849</v>
      </c>
      <c r="F2841" s="72" t="s">
        <v>1096</v>
      </c>
      <c r="G2841" s="72" t="s">
        <v>747</v>
      </c>
      <c r="H2841" s="735" t="s">
        <v>835</v>
      </c>
      <c r="I2841" s="371"/>
      <c r="J2841" s="377"/>
      <c r="K2841" s="371">
        <v>215.76</v>
      </c>
      <c r="L2841" s="377">
        <v>22773</v>
      </c>
      <c r="M2841" s="74">
        <f t="shared" si="1007"/>
        <v>4913502</v>
      </c>
      <c r="N2841" s="75" t="s">
        <v>99</v>
      </c>
      <c r="O2841" s="934" t="s">
        <v>256</v>
      </c>
      <c r="P2841" s="75" t="str">
        <f>IF(AND('331-CT'!$E$7=TH!H2841,OR(N2841="331",O2841="331")),"x","")</f>
        <v/>
      </c>
      <c r="Q2841" s="75" t="str">
        <f>IF(AND(B2841='111'!$L$11,OR($N2841=$Q$7,$O2841=$Q$7)),"x","")</f>
        <v/>
      </c>
      <c r="R2841" s="75" t="str">
        <f>IF(AND($N2841=$Q$7,$B2841&lt;'111'!$L$11),"x","")</f>
        <v/>
      </c>
      <c r="S2841" s="75" t="str">
        <f>IF(AND($O2841=$Q$7,$B2841&lt;'111'!$L$11),"x","")</f>
        <v/>
      </c>
      <c r="T2841" s="75" t="str">
        <f>IF(ISERROR(FIND('112'!$M$9,G2841,1)),"",IF((AND(FIND('112'!$M$9,G2841,1)&gt;=1,B2841='112'!$K$9,OR($N2841='112'!$I$6,$O2841='112'!$I$6))),"x",""))</f>
        <v/>
      </c>
      <c r="U2841" s="75" t="str">
        <f>IF(ISERROR(FIND('112'!$M$9,G2841,1)),"",IF((AND(LEFT(G2841,2)=LEFT('112'!$M$9,2),B2841&lt;'112'!$K$9,$N2841='112'!$I$6)),"x",""))</f>
        <v/>
      </c>
      <c r="V2841" s="75" t="str">
        <f>IF(ISERROR(FIND('112'!$M$9,G2841,1)),"",IF((AND(RIGHT(G2841,2)=RIGHT('112'!$M$9,2),B2841&lt;'112'!$K$9,$O2841='112'!$I$6)),"x",""))</f>
        <v/>
      </c>
      <c r="W2841" s="75" t="str">
        <f>IF(AND('341-CT'!$H$9=H2841,OR(LEFT(N2841,3)=$W$7,LEFT(O2841,3)=$W$7)),"x","")</f>
        <v/>
      </c>
      <c r="X2841" s="75" t="str">
        <f>IF(OR(TH!N2841=TH!$X$7,O2841=TH!$X$7),"x","")</f>
        <v/>
      </c>
      <c r="Y2841" s="75" t="str">
        <f>IF(AND(OR(N2841="131",O2841="131"),H2841='131-CT'!$H$9),"x","")</f>
        <v/>
      </c>
      <c r="Z2841" s="75"/>
      <c r="AA2841" s="75" t="str">
        <f>IF(AND(MONTH(E2841)='IN-NX'!$J$5,'IN-NX'!$D$7=D2841),"x","")</f>
        <v/>
      </c>
      <c r="AB2841" s="75" t="str">
        <f>IF(AND(OR(LEFT(TH!N2841,2)="15",LEFT(TH!O2841,2)="15"),LEFT(TH!O2841,3)&lt;&gt;"111",'152-CT'!$J$8=TH!F2841),"x","")</f>
        <v/>
      </c>
      <c r="AC2841" s="75" t="str">
        <f>IF(AND(OR(LEFT(TH!N2841,2)="15",LEFT(TH!O2841,2)="15"),TK!$E$7=TH!F2841),"x","")</f>
        <v/>
      </c>
      <c r="AD2841" s="75" t="str">
        <f>IF(AND(N2841="1521",MONTH(C2841)='BK-NL'!$M$11),"x","")</f>
        <v/>
      </c>
    </row>
    <row r="2842" spans="1:30" s="1264" customFormat="1" ht="16.5" customHeight="1">
      <c r="A2842" s="309" t="str">
        <f>IF(B2842&lt;&gt;"",IF(AND(B2842='IN-TC'!$S$4,OR(TH!N2842="1111",TH!O2842="1111")),TH!D2842,""),"")</f>
        <v/>
      </c>
      <c r="B2842" s="1314">
        <f t="shared" si="984"/>
        <v>4</v>
      </c>
      <c r="C2842" s="71">
        <v>42849</v>
      </c>
      <c r="D2842" s="71" t="s">
        <v>902</v>
      </c>
      <c r="E2842" s="71">
        <f t="shared" si="1008"/>
        <v>42849</v>
      </c>
      <c r="F2842" s="72" t="s">
        <v>1096</v>
      </c>
      <c r="G2842" s="72" t="s">
        <v>747</v>
      </c>
      <c r="H2842" s="735" t="s">
        <v>835</v>
      </c>
      <c r="I2842" s="371"/>
      <c r="J2842" s="377"/>
      <c r="K2842" s="371">
        <v>354.01</v>
      </c>
      <c r="L2842" s="377">
        <v>22773</v>
      </c>
      <c r="M2842" s="74">
        <f t="shared" si="1007"/>
        <v>8061870</v>
      </c>
      <c r="N2842" s="75" t="s">
        <v>99</v>
      </c>
      <c r="O2842" s="934" t="s">
        <v>256</v>
      </c>
      <c r="P2842" s="75" t="str">
        <f>IF(AND('331-CT'!$E$7=TH!H2842,OR(N2842="331",O2842="331")),"x","")</f>
        <v/>
      </c>
      <c r="Q2842" s="75" t="str">
        <f>IF(AND(B2842='111'!$L$11,OR($N2842=$Q$7,$O2842=$Q$7)),"x","")</f>
        <v/>
      </c>
      <c r="R2842" s="75" t="str">
        <f>IF(AND($N2842=$Q$7,$B2842&lt;'111'!$L$11),"x","")</f>
        <v/>
      </c>
      <c r="S2842" s="75" t="str">
        <f>IF(AND($O2842=$Q$7,$B2842&lt;'111'!$L$11),"x","")</f>
        <v/>
      </c>
      <c r="T2842" s="75" t="str">
        <f>IF(ISERROR(FIND('112'!$M$9,G2842,1)),"",IF((AND(FIND('112'!$M$9,G2842,1)&gt;=1,B2842='112'!$K$9,OR($N2842='112'!$I$6,$O2842='112'!$I$6))),"x",""))</f>
        <v/>
      </c>
      <c r="U2842" s="75" t="str">
        <f>IF(ISERROR(FIND('112'!$M$9,G2842,1)),"",IF((AND(LEFT(G2842,2)=LEFT('112'!$M$9,2),B2842&lt;'112'!$K$9,$N2842='112'!$I$6)),"x",""))</f>
        <v/>
      </c>
      <c r="V2842" s="75" t="str">
        <f>IF(ISERROR(FIND('112'!$M$9,G2842,1)),"",IF((AND(RIGHT(G2842,2)=RIGHT('112'!$M$9,2),B2842&lt;'112'!$K$9,$O2842='112'!$I$6)),"x",""))</f>
        <v/>
      </c>
      <c r="W2842" s="75" t="str">
        <f>IF(AND('341-CT'!$H$9=H2842,OR(LEFT(N2842,3)=$W$7,LEFT(O2842,3)=$W$7)),"x","")</f>
        <v/>
      </c>
      <c r="X2842" s="75" t="str">
        <f>IF(OR(TH!N2842=TH!$X$7,O2842=TH!$X$7),"x","")</f>
        <v/>
      </c>
      <c r="Y2842" s="75" t="str">
        <f>IF(AND(OR(N2842="131",O2842="131"),H2842='131-CT'!$H$9),"x","")</f>
        <v/>
      </c>
      <c r="Z2842" s="75"/>
      <c r="AA2842" s="75" t="str">
        <f>IF(AND(MONTH(E2842)='IN-NX'!$J$5,'IN-NX'!$D$7=D2842),"x","")</f>
        <v/>
      </c>
      <c r="AB2842" s="75" t="str">
        <f>IF(AND(OR(LEFT(TH!N2842,2)="15",LEFT(TH!O2842,2)="15"),LEFT(TH!O2842,3)&lt;&gt;"111",'152-CT'!$J$8=TH!F2842),"x","")</f>
        <v/>
      </c>
      <c r="AC2842" s="75" t="str">
        <f>IF(AND(OR(LEFT(TH!N2842,2)="15",LEFT(TH!O2842,2)="15"),TK!$E$7=TH!F2842),"x","")</f>
        <v/>
      </c>
      <c r="AD2842" s="75" t="str">
        <f>IF(AND(N2842="1521",MONTH(C2842)='BK-NL'!$M$11),"x","")</f>
        <v/>
      </c>
    </row>
    <row r="2843" spans="1:30" s="1264" customFormat="1" ht="16.5" customHeight="1">
      <c r="A2843" s="309" t="str">
        <f>IF(B2843&lt;&gt;"",IF(AND(B2843='IN-TC'!$S$4,OR(TH!N2843="1111",TH!O2843="1111")),TH!D2843,""),"")</f>
        <v/>
      </c>
      <c r="B2843" s="1314">
        <f t="shared" si="984"/>
        <v>4</v>
      </c>
      <c r="C2843" s="71">
        <v>42850</v>
      </c>
      <c r="D2843" s="71" t="s">
        <v>902</v>
      </c>
      <c r="E2843" s="71">
        <f t="shared" si="1008"/>
        <v>42850</v>
      </c>
      <c r="F2843" s="72" t="s">
        <v>1203</v>
      </c>
      <c r="G2843" s="72" t="s">
        <v>747</v>
      </c>
      <c r="H2843" s="735" t="s">
        <v>835</v>
      </c>
      <c r="I2843" s="371"/>
      <c r="J2843" s="377"/>
      <c r="K2843" s="371">
        <v>10</v>
      </c>
      <c r="L2843" s="377">
        <v>22773</v>
      </c>
      <c r="M2843" s="74">
        <f t="shared" si="1007"/>
        <v>227730</v>
      </c>
      <c r="N2843" s="75" t="s">
        <v>101</v>
      </c>
      <c r="O2843" s="934" t="s">
        <v>256</v>
      </c>
      <c r="P2843" s="75" t="str">
        <f>IF(AND('331-CT'!$E$7=TH!H2843,OR(N2843="331",O2843="331")),"x","")</f>
        <v/>
      </c>
      <c r="Q2843" s="75" t="str">
        <f>IF(AND(B2843='111'!$L$11,OR($N2843=$Q$7,$O2843=$Q$7)),"x","")</f>
        <v/>
      </c>
      <c r="R2843" s="75" t="str">
        <f>IF(AND($N2843=$Q$7,$B2843&lt;'111'!$L$11),"x","")</f>
        <v/>
      </c>
      <c r="S2843" s="75" t="str">
        <f>IF(AND($O2843=$Q$7,$B2843&lt;'111'!$L$11),"x","")</f>
        <v/>
      </c>
      <c r="T2843" s="75" t="str">
        <f>IF(ISERROR(FIND('112'!$M$9,G2843,1)),"",IF((AND(FIND('112'!$M$9,G2843,1)&gt;=1,B2843='112'!$K$9,OR($N2843='112'!$I$6,$O2843='112'!$I$6))),"x",""))</f>
        <v/>
      </c>
      <c r="U2843" s="75" t="str">
        <f>IF(ISERROR(FIND('112'!$M$9,G2843,1)),"",IF((AND(LEFT(G2843,2)=LEFT('112'!$M$9,2),B2843&lt;'112'!$K$9,$N2843='112'!$I$6)),"x",""))</f>
        <v/>
      </c>
      <c r="V2843" s="75" t="str">
        <f>IF(ISERROR(FIND('112'!$M$9,G2843,1)),"",IF((AND(RIGHT(G2843,2)=RIGHT('112'!$M$9,2),B2843&lt;'112'!$K$9,$O2843='112'!$I$6)),"x",""))</f>
        <v/>
      </c>
      <c r="W2843" s="75" t="str">
        <f>IF(AND('341-CT'!$H$9=H2843,OR(LEFT(N2843,3)=$W$7,LEFT(O2843,3)=$W$7)),"x","")</f>
        <v/>
      </c>
      <c r="X2843" s="75" t="str">
        <f>IF(OR(TH!N2843=TH!$X$7,O2843=TH!$X$7),"x","")</f>
        <v/>
      </c>
      <c r="Y2843" s="75" t="str">
        <f>IF(AND(OR(N2843="131",O2843="131"),H2843='131-CT'!$H$9),"x","")</f>
        <v/>
      </c>
      <c r="Z2843" s="75"/>
      <c r="AA2843" s="75" t="str">
        <f>IF(AND(MONTH(E2843)='IN-NX'!$J$5,'IN-NX'!$D$7=D2843),"x","")</f>
        <v/>
      </c>
      <c r="AB2843" s="75" t="str">
        <f>IF(AND(OR(LEFT(TH!N2843,2)="15",LEFT(TH!O2843,2)="15"),LEFT(TH!O2843,3)&lt;&gt;"111",'152-CT'!$J$8=TH!F2843),"x","")</f>
        <v/>
      </c>
      <c r="AC2843" s="75" t="str">
        <f>IF(AND(OR(LEFT(TH!N2843,2)="15",LEFT(TH!O2843,2)="15"),TK!$E$7=TH!F2843),"x","")</f>
        <v/>
      </c>
      <c r="AD2843" s="75" t="str">
        <f>IF(AND(N2843="1521",MONTH(C2843)='BK-NL'!$M$11),"x","")</f>
        <v/>
      </c>
    </row>
    <row r="2844" spans="1:30" s="1264" customFormat="1" ht="16.5" customHeight="1">
      <c r="A2844" s="309" t="str">
        <f>IF(B2844&lt;&gt;"",IF(AND(B2844='IN-TC'!$S$4,OR(TH!N2844="1111",TH!O2844="1111")),TH!D2844,""),"")</f>
        <v/>
      </c>
      <c r="B2844" s="1314">
        <f t="shared" si="984"/>
        <v>4</v>
      </c>
      <c r="C2844" s="929">
        <v>42853</v>
      </c>
      <c r="D2844" s="71" t="s">
        <v>903</v>
      </c>
      <c r="E2844" s="929">
        <f t="shared" si="1008"/>
        <v>42853</v>
      </c>
      <c r="F2844" s="930" t="s">
        <v>1086</v>
      </c>
      <c r="G2844" s="72" t="s">
        <v>747</v>
      </c>
      <c r="H2844" s="735" t="s">
        <v>822</v>
      </c>
      <c r="I2844" s="371"/>
      <c r="J2844" s="377"/>
      <c r="K2844" s="371">
        <v>115660</v>
      </c>
      <c r="L2844" s="377">
        <v>22700</v>
      </c>
      <c r="M2844" s="1214">
        <f t="shared" si="1007"/>
        <v>2625482000</v>
      </c>
      <c r="N2844" s="934" t="s">
        <v>256</v>
      </c>
      <c r="O2844" s="75" t="s">
        <v>536</v>
      </c>
      <c r="P2844" s="75" t="str">
        <f>IF(AND('331-CT'!$E$7=TH!H2844,OR(N2844="331",O2844="331")),"x","")</f>
        <v/>
      </c>
      <c r="Q2844" s="75" t="str">
        <f>IF(AND(B2844='111'!$L$11,OR($N2844=$Q$7,$O2844=$Q$7)),"x","")</f>
        <v/>
      </c>
      <c r="R2844" s="75" t="str">
        <f>IF(AND($N2844=$Q$7,$B2844&lt;'111'!$L$11),"x","")</f>
        <v/>
      </c>
      <c r="S2844" s="75" t="str">
        <f>IF(AND($O2844=$Q$7,$B2844&lt;'111'!$L$11),"x","")</f>
        <v/>
      </c>
      <c r="T2844" s="75" t="str">
        <f>IF(ISERROR(FIND('112'!$M$9,G2844,1)),"",IF((AND(FIND('112'!$M$9,G2844,1)&gt;=1,B2844='112'!$K$9,OR($N2844='112'!$I$6,$O2844='112'!$I$6))),"x",""))</f>
        <v/>
      </c>
      <c r="U2844" s="75" t="str">
        <f>IF(ISERROR(FIND('112'!$M$9,G2844,1)),"",IF((AND(LEFT(G2844,2)=LEFT('112'!$M$9,2),B2844&lt;'112'!$K$9,$N2844='112'!$I$6)),"x",""))</f>
        <v/>
      </c>
      <c r="V2844" s="75" t="str">
        <f>IF(ISERROR(FIND('112'!$M$9,G2844,1)),"",IF((AND(RIGHT(G2844,2)=RIGHT('112'!$M$9,2),B2844&lt;'112'!$K$9,$O2844='112'!$I$6)),"x",""))</f>
        <v/>
      </c>
      <c r="W2844" s="75" t="str">
        <f>IF(AND('341-CT'!$H$9=H2844,OR(LEFT(N2844,3)=$W$7,LEFT(O2844,3)=$W$7)),"x","")</f>
        <v/>
      </c>
      <c r="X2844" s="75" t="str">
        <f>IF(OR(TH!N2844=TH!$X$7,O2844=TH!$X$7),"x","")</f>
        <v/>
      </c>
      <c r="Y2844" s="75" t="str">
        <f>IF(AND(OR(N2844="131",O2844="131"),H2844='131-CT'!$H$9),"x","")</f>
        <v/>
      </c>
      <c r="Z2844" s="75"/>
      <c r="AA2844" s="75" t="str">
        <f>IF(AND(MONTH(E2844)='IN-NX'!$J$5,'IN-NX'!$D$7=D2844),"x","")</f>
        <v/>
      </c>
      <c r="AB2844" s="75" t="str">
        <f>IF(AND(OR(LEFT(TH!N2844,2)="15",LEFT(TH!O2844,2)="15"),LEFT(TH!O2844,3)&lt;&gt;"111",'152-CT'!$J$8=TH!F2844),"x","")</f>
        <v/>
      </c>
      <c r="AC2844" s="75" t="str">
        <f>IF(AND(OR(LEFT(TH!N2844,2)="15",LEFT(TH!O2844,2)="15"),TK!$E$7=TH!F2844),"x","")</f>
        <v/>
      </c>
      <c r="AD2844" s="75" t="str">
        <f>IF(AND(N2844="1521",MONTH(C2844)='BK-NL'!$M$11),"x","")</f>
        <v/>
      </c>
    </row>
    <row r="2845" spans="1:30" s="1264" customFormat="1" ht="16.5" customHeight="1">
      <c r="A2845" s="309" t="str">
        <f>IF(B2845&lt;&gt;"",IF(AND(B2845='IN-TC'!$S$4,OR(TH!N2845="1111",TH!O2845="1111")),TH!D2845,""),"")</f>
        <v/>
      </c>
      <c r="B2845" s="1314">
        <f t="shared" si="984"/>
        <v>4</v>
      </c>
      <c r="C2845" s="929">
        <v>42853</v>
      </c>
      <c r="D2845" s="929" t="s">
        <v>530</v>
      </c>
      <c r="E2845" s="929">
        <f t="shared" si="1008"/>
        <v>42853</v>
      </c>
      <c r="F2845" s="930" t="s">
        <v>1027</v>
      </c>
      <c r="G2845" s="72" t="s">
        <v>747</v>
      </c>
      <c r="H2845" s="735" t="s">
        <v>822</v>
      </c>
      <c r="I2845" s="371"/>
      <c r="J2845" s="377"/>
      <c r="K2845" s="371">
        <v>140</v>
      </c>
      <c r="L2845" s="377">
        <v>22700</v>
      </c>
      <c r="M2845" s="933">
        <f t="shared" si="993"/>
        <v>3178000</v>
      </c>
      <c r="N2845" s="934" t="s">
        <v>101</v>
      </c>
      <c r="O2845" s="75" t="s">
        <v>536</v>
      </c>
      <c r="P2845" s="75" t="str">
        <f>IF(AND('331-CT'!$E$7=TH!H2845,OR(N2845="331",O2845="331")),"x","")</f>
        <v/>
      </c>
      <c r="Q2845" s="75" t="str">
        <f>IF(AND(B2845='111'!$L$11,OR($N2845=$Q$7,$O2845=$Q$7)),"x","")</f>
        <v/>
      </c>
      <c r="R2845" s="75" t="str">
        <f>IF(AND($N2845=$Q$7,$B2845&lt;'111'!$L$11),"x","")</f>
        <v/>
      </c>
      <c r="S2845" s="75" t="str">
        <f>IF(AND($O2845=$Q$7,$B2845&lt;'111'!$L$11),"x","")</f>
        <v/>
      </c>
      <c r="T2845" s="75" t="str">
        <f>IF(ISERROR(FIND('112'!$M$9,G2845,1)),"",IF((AND(FIND('112'!$M$9,G2845,1)&gt;=1,B2845='112'!$K$9,OR($N2845='112'!$I$6,$O2845='112'!$I$6))),"x",""))</f>
        <v/>
      </c>
      <c r="U2845" s="75" t="str">
        <f>IF(ISERROR(FIND('112'!$M$9,G2845,1)),"",IF((AND(LEFT(G2845,2)=LEFT('112'!$M$9,2),B2845&lt;'112'!$K$9,$N2845='112'!$I$6)),"x",""))</f>
        <v/>
      </c>
      <c r="V2845" s="75" t="str">
        <f>IF(ISERROR(FIND('112'!$M$9,G2845,1)),"",IF((AND(RIGHT(G2845,2)=RIGHT('112'!$M$9,2),B2845&lt;'112'!$K$9,$O2845='112'!$I$6)),"x",""))</f>
        <v/>
      </c>
      <c r="W2845" s="75" t="str">
        <f>IF(AND('341-CT'!$H$9=H2845,OR(LEFT(N2845,3)=$W$7,LEFT(O2845,3)=$W$7)),"x","")</f>
        <v/>
      </c>
      <c r="X2845" s="75" t="str">
        <f>IF(OR(TH!N2845=TH!$X$7,O2845=TH!$X$7),"x","")</f>
        <v/>
      </c>
      <c r="Y2845" s="75" t="str">
        <f>IF(AND(OR(N2845="131",O2845="131"),H2845='131-CT'!$H$9),"x","")</f>
        <v/>
      </c>
      <c r="Z2845" s="75"/>
      <c r="AA2845" s="75" t="str">
        <f>IF(AND(MONTH(E2845)='IN-NX'!$J$5,'IN-NX'!$D$7=D2845),"x","")</f>
        <v/>
      </c>
      <c r="AB2845" s="75" t="str">
        <f>IF(AND(OR(LEFT(TH!N2845,2)="15",LEFT(TH!O2845,2)="15"),LEFT(TH!O2845,3)&lt;&gt;"111",'152-CT'!$J$8=TH!F2845),"x","")</f>
        <v/>
      </c>
      <c r="AC2845" s="75" t="str">
        <f>IF(AND(OR(LEFT(TH!N2845,2)="15",LEFT(TH!O2845,2)="15"),TK!$E$7=TH!F2845),"x","")</f>
        <v/>
      </c>
      <c r="AD2845" s="75" t="str">
        <f>IF(AND(N2845="1521",MONTH(C2845)='BK-NL'!$M$11),"x","")</f>
        <v/>
      </c>
    </row>
    <row r="2846" spans="1:30" s="1264" customFormat="1" ht="16.5" customHeight="1">
      <c r="A2846" s="309" t="str">
        <f>IF(B2846&lt;&gt;"",IF(AND(B2846='IN-TC'!$S$4,OR(TH!N2846="1111",TH!O2846="1111")),TH!D2846,""),"")</f>
        <v/>
      </c>
      <c r="B2846" s="1314">
        <f t="shared" ref="B2846:B2916" si="1009">IF(C2846&lt;&gt;"",MONTH(C2846),"")</f>
        <v>4</v>
      </c>
      <c r="C2846" s="929">
        <v>42853</v>
      </c>
      <c r="D2846" s="71" t="s">
        <v>530</v>
      </c>
      <c r="E2846" s="71">
        <f t="shared" si="1008"/>
        <v>42853</v>
      </c>
      <c r="F2846" s="72" t="s">
        <v>1010</v>
      </c>
      <c r="G2846" s="72" t="s">
        <v>747</v>
      </c>
      <c r="H2846" s="735" t="s">
        <v>822</v>
      </c>
      <c r="I2846" s="371"/>
      <c r="J2846" s="377"/>
      <c r="K2846" s="1213"/>
      <c r="L2846" s="377"/>
      <c r="M2846" s="74">
        <v>6948000</v>
      </c>
      <c r="N2846" s="75" t="s">
        <v>536</v>
      </c>
      <c r="O2846" s="934" t="s">
        <v>43</v>
      </c>
      <c r="P2846" s="75" t="str">
        <f>IF(AND('331-CT'!$E$7=TH!H2846,OR(N2846="331",O2846="331")),"x","")</f>
        <v/>
      </c>
      <c r="Q2846" s="75" t="str">
        <f>IF(AND(B2846='111'!$L$11,OR($N2846=$Q$7,$O2846=$Q$7)),"x","")</f>
        <v/>
      </c>
      <c r="R2846" s="75" t="str">
        <f>IF(AND($N2846=$Q$7,$B2846&lt;'111'!$L$11),"x","")</f>
        <v/>
      </c>
      <c r="S2846" s="75" t="str">
        <f>IF(AND($O2846=$Q$7,$B2846&lt;'111'!$L$11),"x","")</f>
        <v/>
      </c>
      <c r="T2846" s="75" t="str">
        <f>IF(ISERROR(FIND('112'!$M$9,G2846,1)),"",IF((AND(FIND('112'!$M$9,G2846,1)&gt;=1,B2846='112'!$K$9,OR($N2846='112'!$I$6,$O2846='112'!$I$6))),"x",""))</f>
        <v/>
      </c>
      <c r="U2846" s="75" t="str">
        <f>IF(ISERROR(FIND('112'!$M$9,G2846,1)),"",IF((AND(LEFT(G2846,2)=LEFT('112'!$M$9,2),B2846&lt;'112'!$K$9,$N2846='112'!$I$6)),"x",""))</f>
        <v/>
      </c>
      <c r="V2846" s="75" t="str">
        <f>IF(ISERROR(FIND('112'!$M$9,G2846,1)),"",IF((AND(RIGHT(G2846,2)=RIGHT('112'!$M$9,2),B2846&lt;'112'!$K$9,$O2846='112'!$I$6)),"x",""))</f>
        <v/>
      </c>
      <c r="W2846" s="75" t="str">
        <f>IF(AND('341-CT'!$H$9=H2846,OR(LEFT(N2846,3)=$W$7,LEFT(O2846,3)=$W$7)),"x","")</f>
        <v/>
      </c>
      <c r="X2846" s="75" t="str">
        <f>IF(OR(TH!N2846=TH!$X$7,O2846=TH!$X$7),"x","")</f>
        <v/>
      </c>
      <c r="Y2846" s="75" t="str">
        <f>IF(AND(OR(N2846="131",O2846="131"),H2846='131-CT'!$H$9),"x","")</f>
        <v/>
      </c>
      <c r="Z2846" s="75"/>
      <c r="AA2846" s="75" t="str">
        <f>IF(AND(MONTH(E2846)='IN-NX'!$J$5,'IN-NX'!$D$7=D2846),"x","")</f>
        <v/>
      </c>
      <c r="AB2846" s="75" t="str">
        <f>IF(AND(OR(LEFT(TH!N2846,2)="15",LEFT(TH!O2846,2)="15"),LEFT(TH!O2846,3)&lt;&gt;"111",'152-CT'!$J$8=TH!F2846),"x","")</f>
        <v/>
      </c>
      <c r="AC2846" s="75" t="str">
        <f>IF(AND(OR(LEFT(TH!N2846,2)="15",LEFT(TH!O2846,2)="15"),TK!$E$7=TH!F2846),"x","")</f>
        <v/>
      </c>
      <c r="AD2846" s="75" t="str">
        <f>IF(AND(N2846="1521",MONTH(C2846)='BK-NL'!$M$11),"x","")</f>
        <v/>
      </c>
    </row>
    <row r="2847" spans="1:30" s="1264" customFormat="1" ht="16.5" customHeight="1">
      <c r="A2847" s="309" t="str">
        <f>IF(B2847&lt;&gt;"",IF(AND(B2847='IN-TC'!$S$4,OR(TH!N2847="1111",TH!O2847="1111")),TH!D2847,""),"")</f>
        <v/>
      </c>
      <c r="B2847" s="1314">
        <f t="shared" si="1009"/>
        <v>4</v>
      </c>
      <c r="C2847" s="929">
        <v>42853</v>
      </c>
      <c r="D2847" s="71" t="s">
        <v>902</v>
      </c>
      <c r="E2847" s="71">
        <f t="shared" si="1008"/>
        <v>42853</v>
      </c>
      <c r="F2847" s="72" t="s">
        <v>1321</v>
      </c>
      <c r="G2847" s="72" t="s">
        <v>747</v>
      </c>
      <c r="H2847" s="1236" t="s">
        <v>2462</v>
      </c>
      <c r="I2847" s="371"/>
      <c r="J2847" s="377"/>
      <c r="K2847" s="1213">
        <v>110000</v>
      </c>
      <c r="L2847" s="377">
        <v>22700</v>
      </c>
      <c r="M2847" s="74">
        <f t="shared" ref="M2847:M2848" si="1010">ROUND(K2847*L2847,0)</f>
        <v>2497000000</v>
      </c>
      <c r="N2847" s="75" t="s">
        <v>250</v>
      </c>
      <c r="O2847" s="934" t="s">
        <v>256</v>
      </c>
      <c r="P2847" s="75" t="str">
        <f>IF(AND('331-CT'!$E$7=TH!H2847,OR(N2847="331",O2847="331")),"x","")</f>
        <v/>
      </c>
      <c r="Q2847" s="75" t="str">
        <f>IF(AND(B2847='111'!$L$11,OR($N2847=$Q$7,$O2847=$Q$7)),"x","")</f>
        <v/>
      </c>
      <c r="R2847" s="75" t="str">
        <f>IF(AND($N2847=$Q$7,$B2847&lt;'111'!$L$11),"x","")</f>
        <v/>
      </c>
      <c r="S2847" s="75" t="str">
        <f>IF(AND($O2847=$Q$7,$B2847&lt;'111'!$L$11),"x","")</f>
        <v/>
      </c>
      <c r="T2847" s="75" t="str">
        <f>IF(ISERROR(FIND('112'!$M$9,G2847,1)),"",IF((AND(FIND('112'!$M$9,G2847,1)&gt;=1,B2847='112'!$K$9,OR($N2847='112'!$I$6,$O2847='112'!$I$6))),"x",""))</f>
        <v/>
      </c>
      <c r="U2847" s="75" t="str">
        <f>IF(ISERROR(FIND('112'!$M$9,G2847,1)),"",IF((AND(LEFT(G2847,2)=LEFT('112'!$M$9,2),B2847&lt;'112'!$K$9,$N2847='112'!$I$6)),"x",""))</f>
        <v/>
      </c>
      <c r="V2847" s="75" t="str">
        <f>IF(ISERROR(FIND('112'!$M$9,G2847,1)),"",IF((AND(RIGHT(G2847,2)=RIGHT('112'!$M$9,2),B2847&lt;'112'!$K$9,$O2847='112'!$I$6)),"x",""))</f>
        <v/>
      </c>
      <c r="W2847" s="75" t="str">
        <f>IF(AND('341-CT'!$H$9=H2847,OR(LEFT(N2847,3)=$W$7,LEFT(O2847,3)=$W$7)),"x","")</f>
        <v/>
      </c>
      <c r="X2847" s="75" t="str">
        <f>IF(OR(TH!N2847=TH!$X$7,O2847=TH!$X$7),"x","")</f>
        <v/>
      </c>
      <c r="Y2847" s="75" t="str">
        <f>IF(AND(OR(N2847="131",O2847="131"),H2847='131-CT'!$H$9),"x","")</f>
        <v/>
      </c>
      <c r="Z2847" s="75"/>
      <c r="AA2847" s="75" t="str">
        <f>IF(AND(MONTH(E2847)='IN-NX'!$J$5,'IN-NX'!$D$7=D2847),"x","")</f>
        <v/>
      </c>
      <c r="AB2847" s="75" t="str">
        <f>IF(AND(OR(LEFT(TH!N2847,2)="15",LEFT(TH!O2847,2)="15"),LEFT(TH!O2847,3)&lt;&gt;"111",'152-CT'!$J$8=TH!F2847),"x","")</f>
        <v/>
      </c>
      <c r="AC2847" s="75" t="str">
        <f>IF(AND(OR(LEFT(TH!N2847,2)="15",LEFT(TH!O2847,2)="15"),TK!$E$7=TH!F2847),"x","")</f>
        <v/>
      </c>
      <c r="AD2847" s="75" t="str">
        <f>IF(AND(N2847="1521",MONTH(C2847)='BK-NL'!$M$11),"x","")</f>
        <v/>
      </c>
    </row>
    <row r="2848" spans="1:30" s="1264" customFormat="1" ht="16.5" customHeight="1">
      <c r="A2848" s="309" t="str">
        <f>IF(B2848&lt;&gt;"",IF(AND(B2848='IN-TC'!$S$4,OR(TH!N2848="1111",TH!O2848="1111")),TH!D2848,""),"")</f>
        <v/>
      </c>
      <c r="B2848" s="1314">
        <f t="shared" si="1009"/>
        <v>4</v>
      </c>
      <c r="C2848" s="929">
        <v>42853</v>
      </c>
      <c r="D2848" s="71" t="s">
        <v>902</v>
      </c>
      <c r="E2848" s="71">
        <f t="shared" si="1008"/>
        <v>42853</v>
      </c>
      <c r="F2848" s="72" t="s">
        <v>916</v>
      </c>
      <c r="G2848" s="72" t="s">
        <v>747</v>
      </c>
      <c r="H2848" s="1236" t="s">
        <v>2462</v>
      </c>
      <c r="I2848" s="371"/>
      <c r="J2848" s="377"/>
      <c r="K2848" s="1213">
        <v>114.58</v>
      </c>
      <c r="L2848" s="377">
        <v>22700</v>
      </c>
      <c r="M2848" s="74">
        <f t="shared" si="1010"/>
        <v>2600966</v>
      </c>
      <c r="N2848" s="75" t="s">
        <v>99</v>
      </c>
      <c r="O2848" s="934" t="s">
        <v>256</v>
      </c>
      <c r="P2848" s="75" t="str">
        <f>IF(AND('331-CT'!$E$7=TH!H2848,OR(N2848="331",O2848="331")),"x","")</f>
        <v/>
      </c>
      <c r="Q2848" s="75" t="str">
        <f>IF(AND(B2848='111'!$L$11,OR($N2848=$Q$7,$O2848=$Q$7)),"x","")</f>
        <v/>
      </c>
      <c r="R2848" s="75" t="str">
        <f>IF(AND($N2848=$Q$7,$B2848&lt;'111'!$L$11),"x","")</f>
        <v/>
      </c>
      <c r="S2848" s="75" t="str">
        <f>IF(AND($O2848=$Q$7,$B2848&lt;'111'!$L$11),"x","")</f>
        <v/>
      </c>
      <c r="T2848" s="75" t="str">
        <f>IF(ISERROR(FIND('112'!$M$9,G2848,1)),"",IF((AND(FIND('112'!$M$9,G2848,1)&gt;=1,B2848='112'!$K$9,OR($N2848='112'!$I$6,$O2848='112'!$I$6))),"x",""))</f>
        <v/>
      </c>
      <c r="U2848" s="75" t="str">
        <f>IF(ISERROR(FIND('112'!$M$9,G2848,1)),"",IF((AND(LEFT(G2848,2)=LEFT('112'!$M$9,2),B2848&lt;'112'!$K$9,$N2848='112'!$I$6)),"x",""))</f>
        <v/>
      </c>
      <c r="V2848" s="75" t="str">
        <f>IF(ISERROR(FIND('112'!$M$9,G2848,1)),"",IF((AND(RIGHT(G2848,2)=RIGHT('112'!$M$9,2),B2848&lt;'112'!$K$9,$O2848='112'!$I$6)),"x",""))</f>
        <v/>
      </c>
      <c r="W2848" s="75" t="str">
        <f>IF(AND('341-CT'!$H$9=H2848,OR(LEFT(N2848,3)=$W$7,LEFT(O2848,3)=$W$7)),"x","")</f>
        <v/>
      </c>
      <c r="X2848" s="75" t="str">
        <f>IF(OR(TH!N2848=TH!$X$7,O2848=TH!$X$7),"x","")</f>
        <v/>
      </c>
      <c r="Y2848" s="75" t="str">
        <f>IF(AND(OR(N2848="131",O2848="131"),H2848='131-CT'!$H$9),"x","")</f>
        <v/>
      </c>
      <c r="Z2848" s="75"/>
      <c r="AA2848" s="75" t="str">
        <f>IF(AND(MONTH(E2848)='IN-NX'!$J$5,'IN-NX'!$D$7=D2848),"x","")</f>
        <v/>
      </c>
      <c r="AB2848" s="75" t="str">
        <f>IF(AND(OR(LEFT(TH!N2848,2)="15",LEFT(TH!O2848,2)="15"),LEFT(TH!O2848,3)&lt;&gt;"111",'152-CT'!$J$8=TH!F2848),"x","")</f>
        <v/>
      </c>
      <c r="AC2848" s="75" t="str">
        <f>IF(AND(OR(LEFT(TH!N2848,2)="15",LEFT(TH!O2848,2)="15"),TK!$E$7=TH!F2848),"x","")</f>
        <v/>
      </c>
      <c r="AD2848" s="75" t="str">
        <f>IF(AND(N2848="1521",MONTH(C2848)='BK-NL'!$M$11),"x","")</f>
        <v/>
      </c>
    </row>
    <row r="2849" spans="1:30" s="1264" customFormat="1" ht="16.5" customHeight="1">
      <c r="A2849" s="309" t="str">
        <f>IF(B2849&lt;&gt;"",IF(AND(B2849='IN-TC'!$S$4,OR(TH!N2849="1111",TH!O2849="1111")),TH!D2849,""),"")</f>
        <v/>
      </c>
      <c r="B2849" s="1314">
        <f t="shared" si="1009"/>
        <v>4</v>
      </c>
      <c r="C2849" s="929">
        <v>42853</v>
      </c>
      <c r="D2849" s="71" t="s">
        <v>530</v>
      </c>
      <c r="E2849" s="71">
        <f t="shared" si="1008"/>
        <v>42853</v>
      </c>
      <c r="F2849" s="72" t="s">
        <v>1010</v>
      </c>
      <c r="G2849" s="72" t="s">
        <v>747</v>
      </c>
      <c r="H2849" s="1236" t="s">
        <v>2462</v>
      </c>
      <c r="I2849" s="371"/>
      <c r="J2849" s="377"/>
      <c r="K2849" s="1213"/>
      <c r="L2849" s="377"/>
      <c r="M2849" s="74">
        <v>2241061</v>
      </c>
      <c r="N2849" s="75" t="s">
        <v>250</v>
      </c>
      <c r="O2849" s="934" t="s">
        <v>43</v>
      </c>
      <c r="P2849" s="75" t="str">
        <f>IF(AND('331-CT'!$E$7=TH!H2849,OR(N2849="331",O2849="331")),"x","")</f>
        <v/>
      </c>
      <c r="Q2849" s="75" t="str">
        <f>IF(AND(B2849='111'!$L$11,OR($N2849=$Q$7,$O2849=$Q$7)),"x","")</f>
        <v/>
      </c>
      <c r="R2849" s="75" t="str">
        <f>IF(AND($N2849=$Q$7,$B2849&lt;'111'!$L$11),"x","")</f>
        <v/>
      </c>
      <c r="S2849" s="75" t="str">
        <f>IF(AND($O2849=$Q$7,$B2849&lt;'111'!$L$11),"x","")</f>
        <v/>
      </c>
      <c r="T2849" s="75" t="str">
        <f>IF(ISERROR(FIND('112'!$M$9,G2849,1)),"",IF((AND(FIND('112'!$M$9,G2849,1)&gt;=1,B2849='112'!$K$9,OR($N2849='112'!$I$6,$O2849='112'!$I$6))),"x",""))</f>
        <v/>
      </c>
      <c r="U2849" s="75" t="str">
        <f>IF(ISERROR(FIND('112'!$M$9,G2849,1)),"",IF((AND(LEFT(G2849,2)=LEFT('112'!$M$9,2),B2849&lt;'112'!$K$9,$N2849='112'!$I$6)),"x",""))</f>
        <v/>
      </c>
      <c r="V2849" s="75" t="str">
        <f>IF(ISERROR(FIND('112'!$M$9,G2849,1)),"",IF((AND(RIGHT(G2849,2)=RIGHT('112'!$M$9,2),B2849&lt;'112'!$K$9,$O2849='112'!$I$6)),"x",""))</f>
        <v/>
      </c>
      <c r="W2849" s="75" t="str">
        <f>IF(AND('341-CT'!$H$9=H2849,OR(LEFT(N2849,3)=$W$7,LEFT(O2849,3)=$W$7)),"x","")</f>
        <v/>
      </c>
      <c r="X2849" s="75" t="str">
        <f>IF(OR(TH!N2849=TH!$X$7,O2849=TH!$X$7),"x","")</f>
        <v/>
      </c>
      <c r="Y2849" s="75" t="str">
        <f>IF(AND(OR(N2849="131",O2849="131"),H2849='131-CT'!$H$9),"x","")</f>
        <v/>
      </c>
      <c r="Z2849" s="75"/>
      <c r="AA2849" s="75" t="str">
        <f>IF(AND(MONTH(E2849)='IN-NX'!$J$5,'IN-NX'!$D$7=D2849),"x","")</f>
        <v/>
      </c>
      <c r="AB2849" s="75" t="str">
        <f>IF(AND(OR(LEFT(TH!N2849,2)="15",LEFT(TH!O2849,2)="15"),LEFT(TH!O2849,3)&lt;&gt;"111",'152-CT'!$J$8=TH!F2849),"x","")</f>
        <v/>
      </c>
      <c r="AC2849" s="75" t="str">
        <f>IF(AND(OR(LEFT(TH!N2849,2)="15",LEFT(TH!O2849,2)="15"),TK!$E$7=TH!F2849),"x","")</f>
        <v/>
      </c>
      <c r="AD2849" s="75" t="str">
        <f>IF(AND(N2849="1521",MONTH(C2849)='BK-NL'!$M$11),"x","")</f>
        <v/>
      </c>
    </row>
    <row r="2850" spans="1:30" s="1264" customFormat="1" ht="16.5" customHeight="1">
      <c r="A2850" s="309" t="str">
        <f>IF(B2850&lt;&gt;"",IF(AND(B2850='IN-TC'!$S$4,OR(TH!N2850="1111",TH!O2850="1111")),TH!D2850,""),"")</f>
        <v/>
      </c>
      <c r="B2850" s="1275">
        <f t="shared" si="1009"/>
        <v>5</v>
      </c>
      <c r="C2850" s="71">
        <v>42858</v>
      </c>
      <c r="D2850" s="71" t="s">
        <v>903</v>
      </c>
      <c r="E2850" s="929">
        <f t="shared" si="1008"/>
        <v>42858</v>
      </c>
      <c r="F2850" s="72" t="s">
        <v>1086</v>
      </c>
      <c r="G2850" s="72" t="s">
        <v>747</v>
      </c>
      <c r="H2850" s="735" t="s">
        <v>545</v>
      </c>
      <c r="I2850" s="1213"/>
      <c r="J2850" s="1214"/>
      <c r="K2850" s="1213">
        <v>14939.78</v>
      </c>
      <c r="L2850" s="1214">
        <v>22720</v>
      </c>
      <c r="M2850" s="1214">
        <f t="shared" ref="M2850" si="1011">ROUND(K2850*L2850,0)</f>
        <v>339431802</v>
      </c>
      <c r="N2850" s="75" t="s">
        <v>256</v>
      </c>
      <c r="O2850" s="75" t="s">
        <v>536</v>
      </c>
      <c r="P2850" s="75" t="str">
        <f>IF(AND('331-CT'!$E$7=TH!H2850,OR(N2850="331",O2850="331")),"x","")</f>
        <v/>
      </c>
      <c r="Q2850" s="75" t="str">
        <f>IF(AND(B2850='111'!$L$11,OR($N2850=$Q$7,$O2850=$Q$7)),"x","")</f>
        <v/>
      </c>
      <c r="R2850" s="75" t="str">
        <f>IF(AND($N2850=$Q$7,$B2850&lt;'111'!$L$11),"x","")</f>
        <v/>
      </c>
      <c r="S2850" s="75" t="str">
        <f>IF(AND($O2850=$Q$7,$B2850&lt;'111'!$L$11),"x","")</f>
        <v/>
      </c>
      <c r="T2850" s="75" t="str">
        <f>IF(ISERROR(FIND('112'!$M$9,G2850,1)),"",IF((AND(FIND('112'!$M$9,G2850,1)&gt;=1,B2850='112'!$K$9,OR($N2850='112'!$I$6,$O2850='112'!$I$6))),"x",""))</f>
        <v/>
      </c>
      <c r="U2850" s="75" t="str">
        <f>IF(ISERROR(FIND('112'!$M$9,G2850,1)),"",IF((AND(LEFT(G2850,2)=LEFT('112'!$M$9,2),B2850&lt;'112'!$K$9,$N2850='112'!$I$6)),"x",""))</f>
        <v/>
      </c>
      <c r="V2850" s="75" t="str">
        <f>IF(ISERROR(FIND('112'!$M$9,G2850,1)),"",IF((AND(RIGHT(G2850,2)=RIGHT('112'!$M$9,2),B2850&lt;'112'!$K$9,$O2850='112'!$I$6)),"x",""))</f>
        <v/>
      </c>
      <c r="W2850" s="75" t="str">
        <f>IF(AND('341-CT'!$H$9=H2850,OR(LEFT(N2850,3)=$W$7,LEFT(O2850,3)=$W$7)),"x","")</f>
        <v/>
      </c>
      <c r="X2850" s="75" t="str">
        <f>IF(OR(TH!N2850=TH!$X$7,O2850=TH!$X$7),"x","")</f>
        <v/>
      </c>
      <c r="Y2850" s="75" t="str">
        <f>IF(AND(OR(N2850="131",O2850="131"),H2850='131-CT'!$H$9),"x","")</f>
        <v/>
      </c>
      <c r="Z2850" s="75"/>
      <c r="AA2850" s="75" t="str">
        <f>IF(AND(MONTH(E2850)='IN-NX'!$J$5,'IN-NX'!$D$7=D2850),"x","")</f>
        <v/>
      </c>
      <c r="AB2850" s="75" t="str">
        <f>IF(AND(OR(LEFT(TH!N2850,2)="15",LEFT(TH!O2850,2)="15"),LEFT(TH!O2850,3)&lt;&gt;"111",'152-CT'!$J$8=TH!F2850),"x","")</f>
        <v/>
      </c>
      <c r="AC2850" s="75" t="str">
        <f>IF(AND(OR(LEFT(TH!N2850,2)="15",LEFT(TH!O2850,2)="15"),TK!$E$7=TH!F2850),"x","")</f>
        <v/>
      </c>
      <c r="AD2850" s="75" t="str">
        <f>IF(AND(N2850="1521",MONTH(C2850)='BK-NL'!$M$11),"x","")</f>
        <v/>
      </c>
    </row>
    <row r="2851" spans="1:30" s="1264" customFormat="1" ht="16.5" customHeight="1">
      <c r="A2851" s="309" t="str">
        <f>IF(B2851&lt;&gt;"",IF(AND(B2851='IN-TC'!$S$4,OR(TH!N2851="1111",TH!O2851="1111")),TH!D2851,""),"")</f>
        <v/>
      </c>
      <c r="B2851" s="1275">
        <f t="shared" si="1009"/>
        <v>5</v>
      </c>
      <c r="C2851" s="71">
        <v>42858</v>
      </c>
      <c r="D2851" s="71" t="s">
        <v>530</v>
      </c>
      <c r="E2851" s="929">
        <f t="shared" si="1008"/>
        <v>42858</v>
      </c>
      <c r="F2851" s="930" t="s">
        <v>1027</v>
      </c>
      <c r="G2851" s="72" t="s">
        <v>747</v>
      </c>
      <c r="H2851" s="735" t="s">
        <v>545</v>
      </c>
      <c r="I2851" s="1213"/>
      <c r="J2851" s="1214"/>
      <c r="K2851" s="1213">
        <v>60.22</v>
      </c>
      <c r="L2851" s="1214">
        <v>22720</v>
      </c>
      <c r="M2851" s="933">
        <f t="shared" ref="M2851" si="1012">ROUND(L2851*K2851,0)</f>
        <v>1368198</v>
      </c>
      <c r="N2851" s="934" t="s">
        <v>101</v>
      </c>
      <c r="O2851" s="75" t="s">
        <v>536</v>
      </c>
      <c r="P2851" s="75" t="str">
        <f>IF(AND('331-CT'!$E$7=TH!H2851,OR(N2851="331",O2851="331")),"x","")</f>
        <v/>
      </c>
      <c r="Q2851" s="75" t="str">
        <f>IF(AND(B2851='111'!$L$11,OR($N2851=$Q$7,$O2851=$Q$7)),"x","")</f>
        <v/>
      </c>
      <c r="R2851" s="75" t="str">
        <f>IF(AND($N2851=$Q$7,$B2851&lt;'111'!$L$11),"x","")</f>
        <v/>
      </c>
      <c r="S2851" s="75" t="str">
        <f>IF(AND($O2851=$Q$7,$B2851&lt;'111'!$L$11),"x","")</f>
        <v/>
      </c>
      <c r="T2851" s="75" t="str">
        <f>IF(ISERROR(FIND('112'!$M$9,G2851,1)),"",IF((AND(FIND('112'!$M$9,G2851,1)&gt;=1,B2851='112'!$K$9,OR($N2851='112'!$I$6,$O2851='112'!$I$6))),"x",""))</f>
        <v/>
      </c>
      <c r="U2851" s="75" t="str">
        <f>IF(ISERROR(FIND('112'!$M$9,G2851,1)),"",IF((AND(LEFT(G2851,2)=LEFT('112'!$M$9,2),B2851&lt;'112'!$K$9,$N2851='112'!$I$6)),"x",""))</f>
        <v/>
      </c>
      <c r="V2851" s="75" t="str">
        <f>IF(ISERROR(FIND('112'!$M$9,G2851,1)),"",IF((AND(RIGHT(G2851,2)=RIGHT('112'!$M$9,2),B2851&lt;'112'!$K$9,$O2851='112'!$I$6)),"x",""))</f>
        <v/>
      </c>
      <c r="W2851" s="75" t="str">
        <f>IF(AND('341-CT'!$H$9=H2851,OR(LEFT(N2851,3)=$W$7,LEFT(O2851,3)=$W$7)),"x","")</f>
        <v/>
      </c>
      <c r="X2851" s="75" t="str">
        <f>IF(OR(TH!N2851=TH!$X$7,O2851=TH!$X$7),"x","")</f>
        <v/>
      </c>
      <c r="Y2851" s="75" t="str">
        <f>IF(AND(OR(N2851="131",O2851="131"),H2851='131-CT'!$H$9),"x","")</f>
        <v/>
      </c>
      <c r="Z2851" s="75"/>
      <c r="AA2851" s="75" t="str">
        <f>IF(AND(MONTH(E2851)='IN-NX'!$J$5,'IN-NX'!$D$7=D2851),"x","")</f>
        <v/>
      </c>
      <c r="AB2851" s="75" t="str">
        <f>IF(AND(OR(LEFT(TH!N2851,2)="15",LEFT(TH!O2851,2)="15"),LEFT(TH!O2851,3)&lt;&gt;"111",'152-CT'!$J$8=TH!F2851),"x","")</f>
        <v/>
      </c>
      <c r="AC2851" s="75" t="str">
        <f>IF(AND(OR(LEFT(TH!N2851,2)="15",LEFT(TH!O2851,2)="15"),TK!$E$7=TH!F2851),"x","")</f>
        <v/>
      </c>
      <c r="AD2851" s="75" t="str">
        <f>IF(AND(N2851="1521",MONTH(C2851)='BK-NL'!$M$11),"x","")</f>
        <v/>
      </c>
    </row>
    <row r="2852" spans="1:30" s="1264" customFormat="1" ht="16.5" customHeight="1">
      <c r="A2852" s="309" t="str">
        <f>IF(B2852&lt;&gt;"",IF(AND(B2852='IN-TC'!$S$4,OR(TH!N2852="1111",TH!O2852="1111")),TH!D2852,""),"")</f>
        <v/>
      </c>
      <c r="B2852" s="1275">
        <f t="shared" si="1009"/>
        <v>5</v>
      </c>
      <c r="C2852" s="929">
        <v>42859</v>
      </c>
      <c r="D2852" s="71" t="s">
        <v>902</v>
      </c>
      <c r="E2852" s="929">
        <f t="shared" si="1008"/>
        <v>42859</v>
      </c>
      <c r="F2852" s="73" t="s">
        <v>907</v>
      </c>
      <c r="G2852" s="930" t="s">
        <v>747</v>
      </c>
      <c r="H2852" s="296" t="s">
        <v>835</v>
      </c>
      <c r="I2852" s="371"/>
      <c r="J2852" s="377"/>
      <c r="K2852" s="371">
        <v>21400</v>
      </c>
      <c r="L2852" s="377">
        <v>22730</v>
      </c>
      <c r="M2852" s="74">
        <f t="shared" ref="M2852:M2854" si="1013">ROUND(K2852*L2852,0)</f>
        <v>486422000</v>
      </c>
      <c r="N2852" s="934" t="s">
        <v>26</v>
      </c>
      <c r="O2852" s="934" t="s">
        <v>256</v>
      </c>
      <c r="P2852" s="75" t="str">
        <f>IF(AND('331-CT'!$E$7=TH!H2852,OR(N2852="331",O2852="331")),"x","")</f>
        <v/>
      </c>
      <c r="Q2852" s="75" t="str">
        <f>IF(AND(B2852='111'!$L$11,OR($N2852=$Q$7,$O2852=$Q$7)),"x","")</f>
        <v/>
      </c>
      <c r="R2852" s="75" t="str">
        <f>IF(AND($N2852=$Q$7,$B2852&lt;'111'!$L$11),"x","")</f>
        <v/>
      </c>
      <c r="S2852" s="75" t="str">
        <f>IF(AND($O2852=$Q$7,$B2852&lt;'111'!$L$11),"x","")</f>
        <v/>
      </c>
      <c r="T2852" s="75" t="str">
        <f>IF(ISERROR(FIND('112'!$M$9,G2852,1)),"",IF((AND(FIND('112'!$M$9,G2852,1)&gt;=1,B2852='112'!$K$9,OR($N2852='112'!$I$6,$O2852='112'!$I$6))),"x",""))</f>
        <v/>
      </c>
      <c r="U2852" s="75" t="str">
        <f>IF(ISERROR(FIND('112'!$M$9,G2852,1)),"",IF((AND(LEFT(G2852,2)=LEFT('112'!$M$9,2),B2852&lt;'112'!$K$9,$N2852='112'!$I$6)),"x",""))</f>
        <v/>
      </c>
      <c r="V2852" s="75" t="str">
        <f>IF(ISERROR(FIND('112'!$M$9,G2852,1)),"",IF((AND(RIGHT(G2852,2)=RIGHT('112'!$M$9,2),B2852&lt;'112'!$K$9,$O2852='112'!$I$6)),"x",""))</f>
        <v/>
      </c>
      <c r="W2852" s="75" t="str">
        <f>IF(AND('341-CT'!$H$9=H2852,OR(LEFT(N2852,3)=$W$7,LEFT(O2852,3)=$W$7)),"x","")</f>
        <v/>
      </c>
      <c r="X2852" s="75" t="str">
        <f>IF(OR(TH!N2852=TH!$X$7,O2852=TH!$X$7),"x","")</f>
        <v/>
      </c>
      <c r="Y2852" s="75" t="str">
        <f>IF(AND(OR(N2852="131",O2852="131"),H2852='131-CT'!$H$9),"x","")</f>
        <v/>
      </c>
      <c r="Z2852" s="75"/>
      <c r="AA2852" s="75" t="str">
        <f>IF(AND(MONTH(E2852)='IN-NX'!$J$5,'IN-NX'!$D$7=D2852),"x","")</f>
        <v/>
      </c>
      <c r="AB2852" s="75" t="str">
        <f>IF(AND(OR(LEFT(TH!N2852,2)="15",LEFT(TH!O2852,2)="15"),LEFT(TH!O2852,3)&lt;&gt;"111",'152-CT'!$J$8=TH!F2852),"x","")</f>
        <v/>
      </c>
      <c r="AC2852" s="75" t="str">
        <f>IF(AND(OR(LEFT(TH!N2852,2)="15",LEFT(TH!O2852,2)="15"),TK!$E$7=TH!F2852),"x","")</f>
        <v/>
      </c>
      <c r="AD2852" s="75" t="str">
        <f>IF(AND(N2852="1521",MONTH(C2852)='BK-NL'!$M$11),"x","")</f>
        <v/>
      </c>
    </row>
    <row r="2853" spans="1:30" s="1264" customFormat="1" ht="16.5" customHeight="1">
      <c r="A2853" s="309" t="str">
        <f>IF(B2853&lt;&gt;"",IF(AND(B2853='IN-TC'!$S$4,OR(TH!N2853="1111",TH!O2853="1111")),TH!D2853,""),"")</f>
        <v/>
      </c>
      <c r="B2853" s="1275">
        <f t="shared" si="1009"/>
        <v>5</v>
      </c>
      <c r="C2853" s="71">
        <v>42863</v>
      </c>
      <c r="D2853" s="71" t="s">
        <v>902</v>
      </c>
      <c r="E2853" s="71">
        <f t="shared" si="1008"/>
        <v>42863</v>
      </c>
      <c r="F2853" s="72" t="s">
        <v>907</v>
      </c>
      <c r="G2853" s="930" t="s">
        <v>747</v>
      </c>
      <c r="H2853" s="296" t="s">
        <v>835</v>
      </c>
      <c r="I2853" s="371"/>
      <c r="J2853" s="377"/>
      <c r="K2853" s="371">
        <v>204000</v>
      </c>
      <c r="L2853" s="377">
        <v>22712</v>
      </c>
      <c r="M2853" s="74">
        <f t="shared" si="1013"/>
        <v>4633248000</v>
      </c>
      <c r="N2853" s="75" t="s">
        <v>26</v>
      </c>
      <c r="O2853" s="934" t="s">
        <v>256</v>
      </c>
      <c r="P2853" s="75" t="str">
        <f>IF(AND('331-CT'!$E$7=TH!H2853,OR(N2853="331",O2853="331")),"x","")</f>
        <v/>
      </c>
      <c r="Q2853" s="75" t="str">
        <f>IF(AND(B2853='111'!$L$11,OR($N2853=$Q$7,$O2853=$Q$7)),"x","")</f>
        <v/>
      </c>
      <c r="R2853" s="75" t="str">
        <f>IF(AND($N2853=$Q$7,$B2853&lt;'111'!$L$11),"x","")</f>
        <v/>
      </c>
      <c r="S2853" s="75" t="str">
        <f>IF(AND($O2853=$Q$7,$B2853&lt;'111'!$L$11),"x","")</f>
        <v/>
      </c>
      <c r="T2853" s="75" t="str">
        <f>IF(ISERROR(FIND('112'!$M$9,G2853,1)),"",IF((AND(FIND('112'!$M$9,G2853,1)&gt;=1,B2853='112'!$K$9,OR($N2853='112'!$I$6,$O2853='112'!$I$6))),"x",""))</f>
        <v/>
      </c>
      <c r="U2853" s="75" t="str">
        <f>IF(ISERROR(FIND('112'!$M$9,G2853,1)),"",IF((AND(LEFT(G2853,2)=LEFT('112'!$M$9,2),B2853&lt;'112'!$K$9,$N2853='112'!$I$6)),"x",""))</f>
        <v/>
      </c>
      <c r="V2853" s="75" t="str">
        <f>IF(ISERROR(FIND('112'!$M$9,G2853,1)),"",IF((AND(RIGHT(G2853,2)=RIGHT('112'!$M$9,2),B2853&lt;'112'!$K$9,$O2853='112'!$I$6)),"x",""))</f>
        <v/>
      </c>
      <c r="W2853" s="75" t="str">
        <f>IF(AND('341-CT'!$H$9=H2853,OR(LEFT(N2853,3)=$W$7,LEFT(O2853,3)=$W$7)),"x","")</f>
        <v/>
      </c>
      <c r="X2853" s="75" t="str">
        <f>IF(OR(TH!N2853=TH!$X$7,O2853=TH!$X$7),"x","")</f>
        <v/>
      </c>
      <c r="Y2853" s="75" t="str">
        <f>IF(AND(OR(N2853="131",O2853="131"),H2853='131-CT'!$H$9),"x","")</f>
        <v/>
      </c>
      <c r="Z2853" s="75"/>
      <c r="AA2853" s="75" t="str">
        <f>IF(AND(MONTH(E2853)='IN-NX'!$J$5,'IN-NX'!$D$7=D2853),"x","")</f>
        <v/>
      </c>
      <c r="AB2853" s="75" t="str">
        <f>IF(AND(OR(LEFT(TH!N2853,2)="15",LEFT(TH!O2853,2)="15"),LEFT(TH!O2853,3)&lt;&gt;"111",'152-CT'!$J$8=TH!F2853),"x","")</f>
        <v/>
      </c>
      <c r="AC2853" s="75" t="str">
        <f>IF(AND(OR(LEFT(TH!N2853,2)="15",LEFT(TH!O2853,2)="15"),TK!$E$7=TH!F2853),"x","")</f>
        <v/>
      </c>
      <c r="AD2853" s="75" t="str">
        <f>IF(AND(N2853="1521",MONTH(C2853)='BK-NL'!$M$11),"x","")</f>
        <v/>
      </c>
    </row>
    <row r="2854" spans="1:30" s="1264" customFormat="1" ht="16.5" customHeight="1">
      <c r="A2854" s="309" t="str">
        <f>IF(B2854&lt;&gt;"",IF(AND(B2854='IN-TC'!$S$4,OR(TH!N2854="1111",TH!O2854="1111")),TH!D2854,""),"")</f>
        <v/>
      </c>
      <c r="B2854" s="1275">
        <f t="shared" si="1009"/>
        <v>5</v>
      </c>
      <c r="C2854" s="71">
        <v>42863</v>
      </c>
      <c r="D2854" s="71" t="s">
        <v>903</v>
      </c>
      <c r="E2854" s="929">
        <f t="shared" si="1008"/>
        <v>42863</v>
      </c>
      <c r="F2854" s="72" t="s">
        <v>1086</v>
      </c>
      <c r="G2854" s="72" t="s">
        <v>747</v>
      </c>
      <c r="H2854" s="73" t="s">
        <v>759</v>
      </c>
      <c r="I2854" s="1213"/>
      <c r="J2854" s="1214"/>
      <c r="K2854" s="1213">
        <v>286055.59999999998</v>
      </c>
      <c r="L2854" s="1214">
        <v>22710</v>
      </c>
      <c r="M2854" s="1214">
        <f t="shared" si="1013"/>
        <v>6496322676</v>
      </c>
      <c r="N2854" s="75" t="s">
        <v>256</v>
      </c>
      <c r="O2854" s="75" t="s">
        <v>536</v>
      </c>
      <c r="P2854" s="75" t="str">
        <f>IF(AND('331-CT'!$E$7=TH!H2854,OR(N2854="331",O2854="331")),"x","")</f>
        <v/>
      </c>
      <c r="Q2854" s="75" t="str">
        <f>IF(AND(B2854='111'!$L$11,OR($N2854=$Q$7,$O2854=$Q$7)),"x","")</f>
        <v/>
      </c>
      <c r="R2854" s="75" t="str">
        <f>IF(AND($N2854=$Q$7,$B2854&lt;'111'!$L$11),"x","")</f>
        <v/>
      </c>
      <c r="S2854" s="75" t="str">
        <f>IF(AND($O2854=$Q$7,$B2854&lt;'111'!$L$11),"x","")</f>
        <v/>
      </c>
      <c r="T2854" s="75" t="str">
        <f>IF(ISERROR(FIND('112'!$M$9,G2854,1)),"",IF((AND(FIND('112'!$M$9,G2854,1)&gt;=1,B2854='112'!$K$9,OR($N2854='112'!$I$6,$O2854='112'!$I$6))),"x",""))</f>
        <v/>
      </c>
      <c r="U2854" s="75" t="str">
        <f>IF(ISERROR(FIND('112'!$M$9,G2854,1)),"",IF((AND(LEFT(G2854,2)=LEFT('112'!$M$9,2),B2854&lt;'112'!$K$9,$N2854='112'!$I$6)),"x",""))</f>
        <v/>
      </c>
      <c r="V2854" s="75" t="str">
        <f>IF(ISERROR(FIND('112'!$M$9,G2854,1)),"",IF((AND(RIGHT(G2854,2)=RIGHT('112'!$M$9,2),B2854&lt;'112'!$K$9,$O2854='112'!$I$6)),"x",""))</f>
        <v/>
      </c>
      <c r="W2854" s="75" t="str">
        <f>IF(AND('341-CT'!$H$9=H2854,OR(LEFT(N2854,3)=$W$7,LEFT(O2854,3)=$W$7)),"x","")</f>
        <v/>
      </c>
      <c r="X2854" s="75" t="str">
        <f>IF(OR(TH!N2854=TH!$X$7,O2854=TH!$X$7),"x","")</f>
        <v/>
      </c>
      <c r="Y2854" s="75" t="str">
        <f>IF(AND(OR(N2854="131",O2854="131"),H2854='131-CT'!$H$9),"x","")</f>
        <v/>
      </c>
      <c r="Z2854" s="75"/>
      <c r="AA2854" s="75" t="str">
        <f>IF(AND(MONTH(E2854)='IN-NX'!$J$5,'IN-NX'!$D$7=D2854),"x","")</f>
        <v/>
      </c>
      <c r="AB2854" s="75" t="str">
        <f>IF(AND(OR(LEFT(TH!N2854,2)="15",LEFT(TH!O2854,2)="15"),LEFT(TH!O2854,3)&lt;&gt;"111",'152-CT'!$J$8=TH!F2854),"x","")</f>
        <v/>
      </c>
      <c r="AC2854" s="75" t="str">
        <f>IF(AND(OR(LEFT(TH!N2854,2)="15",LEFT(TH!O2854,2)="15"),TK!$E$7=TH!F2854),"x","")</f>
        <v/>
      </c>
      <c r="AD2854" s="75" t="str">
        <f>IF(AND(N2854="1521",MONTH(C2854)='BK-NL'!$M$11),"x","")</f>
        <v/>
      </c>
    </row>
    <row r="2855" spans="1:30" s="1264" customFormat="1" ht="16.5" customHeight="1">
      <c r="A2855" s="309" t="str">
        <f>IF(B2855&lt;&gt;"",IF(AND(B2855='IN-TC'!$S$4,OR(TH!N2855="1111",TH!O2855="1111")),TH!D2855,""),"")</f>
        <v/>
      </c>
      <c r="B2855" s="1275">
        <f t="shared" si="1009"/>
        <v>5</v>
      </c>
      <c r="C2855" s="71">
        <v>42863</v>
      </c>
      <c r="D2855" s="71" t="s">
        <v>530</v>
      </c>
      <c r="E2855" s="929">
        <f t="shared" si="1008"/>
        <v>42863</v>
      </c>
      <c r="F2855" s="72" t="s">
        <v>1027</v>
      </c>
      <c r="G2855" s="72" t="s">
        <v>747</v>
      </c>
      <c r="H2855" s="73" t="s">
        <v>759</v>
      </c>
      <c r="I2855" s="1213"/>
      <c r="J2855" s="1214"/>
      <c r="K2855" s="1213">
        <v>12</v>
      </c>
      <c r="L2855" s="1214">
        <v>22710</v>
      </c>
      <c r="M2855" s="933">
        <f t="shared" si="993"/>
        <v>272520</v>
      </c>
      <c r="N2855" s="75" t="s">
        <v>101</v>
      </c>
      <c r="O2855" s="75" t="s">
        <v>536</v>
      </c>
      <c r="P2855" s="75" t="str">
        <f>IF(AND('331-CT'!$E$7=TH!H2855,OR(N2855="331",O2855="331")),"x","")</f>
        <v/>
      </c>
      <c r="Q2855" s="75" t="str">
        <f>IF(AND(B2855='111'!$L$11,OR($N2855=$Q$7,$O2855=$Q$7)),"x","")</f>
        <v/>
      </c>
      <c r="R2855" s="75" t="str">
        <f>IF(AND($N2855=$Q$7,$B2855&lt;'111'!$L$11),"x","")</f>
        <v/>
      </c>
      <c r="S2855" s="75" t="str">
        <f>IF(AND($O2855=$Q$7,$B2855&lt;'111'!$L$11),"x","")</f>
        <v/>
      </c>
      <c r="T2855" s="75" t="str">
        <f>IF(ISERROR(FIND('112'!$M$9,G2855,1)),"",IF((AND(FIND('112'!$M$9,G2855,1)&gt;=1,B2855='112'!$K$9,OR($N2855='112'!$I$6,$O2855='112'!$I$6))),"x",""))</f>
        <v/>
      </c>
      <c r="U2855" s="75" t="str">
        <f>IF(ISERROR(FIND('112'!$M$9,G2855,1)),"",IF((AND(LEFT(G2855,2)=LEFT('112'!$M$9,2),B2855&lt;'112'!$K$9,$N2855='112'!$I$6)),"x",""))</f>
        <v/>
      </c>
      <c r="V2855" s="75" t="str">
        <f>IF(ISERROR(FIND('112'!$M$9,G2855,1)),"",IF((AND(RIGHT(G2855,2)=RIGHT('112'!$M$9,2),B2855&lt;'112'!$K$9,$O2855='112'!$I$6)),"x",""))</f>
        <v/>
      </c>
      <c r="W2855" s="75" t="str">
        <f>IF(AND('341-CT'!$H$9=H2855,OR(LEFT(N2855,3)=$W$7,LEFT(O2855,3)=$W$7)),"x","")</f>
        <v/>
      </c>
      <c r="X2855" s="75" t="str">
        <f>IF(OR(TH!N2855=TH!$X$7,O2855=TH!$X$7),"x","")</f>
        <v/>
      </c>
      <c r="Y2855" s="75" t="str">
        <f>IF(AND(OR(N2855="131",O2855="131"),H2855='131-CT'!$H$9),"x","")</f>
        <v/>
      </c>
      <c r="Z2855" s="75"/>
      <c r="AA2855" s="75" t="str">
        <f>IF(AND(MONTH(E2855)='IN-NX'!$J$5,'IN-NX'!$D$7=D2855),"x","")</f>
        <v/>
      </c>
      <c r="AB2855" s="75" t="str">
        <f>IF(AND(OR(LEFT(TH!N2855,2)="15",LEFT(TH!O2855,2)="15"),LEFT(TH!O2855,3)&lt;&gt;"111",'152-CT'!$J$8=TH!F2855),"x","")</f>
        <v/>
      </c>
      <c r="AC2855" s="75" t="str">
        <f>IF(AND(OR(LEFT(TH!N2855,2)="15",LEFT(TH!O2855,2)="15"),TK!$E$7=TH!F2855),"x","")</f>
        <v/>
      </c>
      <c r="AD2855" s="75" t="str">
        <f>IF(AND(N2855="1521",MONTH(C2855)='BK-NL'!$M$11),"x","")</f>
        <v/>
      </c>
    </row>
    <row r="2856" spans="1:30" s="1264" customFormat="1" ht="16.5" customHeight="1">
      <c r="A2856" s="309" t="str">
        <f>IF(B2856&lt;&gt;"",IF(AND(B2856='IN-TC'!$S$4,OR(TH!N2856="1111",TH!O2856="1111")),TH!D2856,""),"")</f>
        <v/>
      </c>
      <c r="B2856" s="1275">
        <f t="shared" ref="B2856" si="1014">IF(C2856&lt;&gt;"",MONTH(C2856),"")</f>
        <v>5</v>
      </c>
      <c r="C2856" s="71">
        <v>42863</v>
      </c>
      <c r="D2856" s="71" t="s">
        <v>530</v>
      </c>
      <c r="E2856" s="929">
        <f t="shared" ref="E2856" si="1015">C2856</f>
        <v>42863</v>
      </c>
      <c r="F2856" s="72" t="s">
        <v>1010</v>
      </c>
      <c r="G2856" s="72" t="s">
        <v>747</v>
      </c>
      <c r="H2856" s="73" t="s">
        <v>759</v>
      </c>
      <c r="I2856" s="1213"/>
      <c r="J2856" s="1214"/>
      <c r="K2856" s="1213"/>
      <c r="L2856" s="1214"/>
      <c r="M2856" s="933">
        <v>20024732</v>
      </c>
      <c r="N2856" s="75" t="s">
        <v>536</v>
      </c>
      <c r="O2856" s="75" t="s">
        <v>43</v>
      </c>
      <c r="P2856" s="75" t="str">
        <f>IF(AND('331-CT'!$E$7=TH!H2856,OR(N2856="331",O2856="331")),"x","")</f>
        <v/>
      </c>
      <c r="Q2856" s="75" t="str">
        <f>IF(AND(B2856='111'!$L$11,OR($N2856=$Q$7,$O2856=$Q$7)),"x","")</f>
        <v/>
      </c>
      <c r="R2856" s="75" t="str">
        <f>IF(AND($N2856=$Q$7,$B2856&lt;'111'!$L$11),"x","")</f>
        <v/>
      </c>
      <c r="S2856" s="75" t="str">
        <f>IF(AND($O2856=$Q$7,$B2856&lt;'111'!$L$11),"x","")</f>
        <v/>
      </c>
      <c r="T2856" s="75" t="str">
        <f>IF(ISERROR(FIND('112'!$M$9,G2856,1)),"",IF((AND(FIND('112'!$M$9,G2856,1)&gt;=1,B2856='112'!$K$9,OR($N2856='112'!$I$6,$O2856='112'!$I$6))),"x",""))</f>
        <v/>
      </c>
      <c r="U2856" s="75" t="str">
        <f>IF(ISERROR(FIND('112'!$M$9,G2856,1)),"",IF((AND(LEFT(G2856,2)=LEFT('112'!$M$9,2),B2856&lt;'112'!$K$9,$N2856='112'!$I$6)),"x",""))</f>
        <v/>
      </c>
      <c r="V2856" s="75" t="str">
        <f>IF(ISERROR(FIND('112'!$M$9,G2856,1)),"",IF((AND(RIGHT(G2856,2)=RIGHT('112'!$M$9,2),B2856&lt;'112'!$K$9,$O2856='112'!$I$6)),"x",""))</f>
        <v/>
      </c>
      <c r="W2856" s="75" t="str">
        <f>IF(AND('341-CT'!$H$9=H2856,OR(LEFT(N2856,3)=$W$7,LEFT(O2856,3)=$W$7)),"x","")</f>
        <v/>
      </c>
      <c r="X2856" s="75" t="str">
        <f>IF(OR(TH!N2856=TH!$X$7,O2856=TH!$X$7),"x","")</f>
        <v/>
      </c>
      <c r="Y2856" s="75" t="str">
        <f>IF(AND(OR(N2856="131",O2856="131"),H2856='131-CT'!$H$9),"x","")</f>
        <v/>
      </c>
      <c r="Z2856" s="75"/>
      <c r="AA2856" s="75" t="str">
        <f>IF(AND(MONTH(E2856)='IN-NX'!$J$5,'IN-NX'!$D$7=D2856),"x","")</f>
        <v/>
      </c>
      <c r="AB2856" s="75" t="str">
        <f>IF(AND(OR(LEFT(TH!N2856,2)="15",LEFT(TH!O2856,2)="15"),LEFT(TH!O2856,3)&lt;&gt;"111",'152-CT'!$J$8=TH!F2856),"x","")</f>
        <v/>
      </c>
      <c r="AC2856" s="75" t="str">
        <f>IF(AND(OR(LEFT(TH!N2856,2)="15",LEFT(TH!O2856,2)="15"),TK!$E$7=TH!F2856),"x","")</f>
        <v/>
      </c>
      <c r="AD2856" s="75" t="str">
        <f>IF(AND(N2856="1521",MONTH(C2856)='BK-NL'!$M$11),"x","")</f>
        <v/>
      </c>
    </row>
    <row r="2857" spans="1:30" s="1264" customFormat="1" ht="16.5" customHeight="1">
      <c r="A2857" s="309" t="str">
        <f>IF(B2857&lt;&gt;"",IF(AND(B2857='IN-TC'!$S$4,OR(TH!N2857="1111",TH!O2857="1111")),TH!D2857,""),"")</f>
        <v/>
      </c>
      <c r="B2857" s="1275">
        <f t="shared" si="1009"/>
        <v>5</v>
      </c>
      <c r="C2857" s="71">
        <v>42863</v>
      </c>
      <c r="D2857" s="71" t="s">
        <v>902</v>
      </c>
      <c r="E2857" s="929">
        <f t="shared" si="1008"/>
        <v>42863</v>
      </c>
      <c r="F2857" s="72" t="s">
        <v>1096</v>
      </c>
      <c r="G2857" s="72" t="s">
        <v>747</v>
      </c>
      <c r="H2857" s="296" t="s">
        <v>835</v>
      </c>
      <c r="I2857" s="1213"/>
      <c r="J2857" s="1214"/>
      <c r="K2857" s="1213">
        <v>109.33</v>
      </c>
      <c r="L2857" s="1214">
        <v>22710</v>
      </c>
      <c r="M2857" s="74">
        <f t="shared" ref="M2857" si="1016">ROUND(K2857*L2857,0)</f>
        <v>2482884</v>
      </c>
      <c r="N2857" s="75" t="s">
        <v>99</v>
      </c>
      <c r="O2857" s="934" t="s">
        <v>256</v>
      </c>
      <c r="P2857" s="75" t="str">
        <f>IF(AND('331-CT'!$E$7=TH!H2857,OR(N2857="331",O2857="331")),"x","")</f>
        <v/>
      </c>
      <c r="Q2857" s="75" t="str">
        <f>IF(AND(B2857='111'!$L$11,OR($N2857=$Q$7,$O2857=$Q$7)),"x","")</f>
        <v/>
      </c>
      <c r="R2857" s="75" t="str">
        <f>IF(AND($N2857=$Q$7,$B2857&lt;'111'!$L$11),"x","")</f>
        <v/>
      </c>
      <c r="S2857" s="75" t="str">
        <f>IF(AND($O2857=$Q$7,$B2857&lt;'111'!$L$11),"x","")</f>
        <v/>
      </c>
      <c r="T2857" s="75" t="str">
        <f>IF(ISERROR(FIND('112'!$M$9,G2857,1)),"",IF((AND(FIND('112'!$M$9,G2857,1)&gt;=1,B2857='112'!$K$9,OR($N2857='112'!$I$6,$O2857='112'!$I$6))),"x",""))</f>
        <v/>
      </c>
      <c r="U2857" s="75" t="str">
        <f>IF(ISERROR(FIND('112'!$M$9,G2857,1)),"",IF((AND(LEFT(G2857,2)=LEFT('112'!$M$9,2),B2857&lt;'112'!$K$9,$N2857='112'!$I$6)),"x",""))</f>
        <v/>
      </c>
      <c r="V2857" s="75" t="str">
        <f>IF(ISERROR(FIND('112'!$M$9,G2857,1)),"",IF((AND(RIGHT(G2857,2)=RIGHT('112'!$M$9,2),B2857&lt;'112'!$K$9,$O2857='112'!$I$6)),"x",""))</f>
        <v/>
      </c>
      <c r="W2857" s="75" t="str">
        <f>IF(AND('341-CT'!$H$9=H2857,OR(LEFT(N2857,3)=$W$7,LEFT(O2857,3)=$W$7)),"x","")</f>
        <v/>
      </c>
      <c r="X2857" s="75" t="str">
        <f>IF(OR(TH!N2857=TH!$X$7,O2857=TH!$X$7),"x","")</f>
        <v/>
      </c>
      <c r="Y2857" s="75" t="str">
        <f>IF(AND(OR(N2857="131",O2857="131"),H2857='131-CT'!$H$9),"x","")</f>
        <v/>
      </c>
      <c r="Z2857" s="75"/>
      <c r="AA2857" s="75" t="str">
        <f>IF(AND(MONTH(E2857)='IN-NX'!$J$5,'IN-NX'!$D$7=D2857),"x","")</f>
        <v/>
      </c>
      <c r="AB2857" s="75" t="str">
        <f>IF(AND(OR(LEFT(TH!N2857,2)="15",LEFT(TH!O2857,2)="15"),LEFT(TH!O2857,3)&lt;&gt;"111",'152-CT'!$J$8=TH!F2857),"x","")</f>
        <v/>
      </c>
      <c r="AC2857" s="75" t="str">
        <f>IF(AND(OR(LEFT(TH!N2857,2)="15",LEFT(TH!O2857,2)="15"),TK!$E$7=TH!F2857),"x","")</f>
        <v/>
      </c>
      <c r="AD2857" s="75" t="str">
        <f>IF(AND(N2857="1521",MONTH(C2857)='BK-NL'!$M$11),"x","")</f>
        <v/>
      </c>
    </row>
    <row r="2858" spans="1:30" s="1264" customFormat="1" ht="16.5" customHeight="1">
      <c r="A2858" s="309" t="str">
        <f>IF(B2858&lt;&gt;"",IF(AND(B2858='IN-TC'!$S$4,OR(TH!N2858="1111",TH!O2858="1111")),TH!D2858,""),"")</f>
        <v/>
      </c>
      <c r="B2858" s="1275">
        <f t="shared" si="1009"/>
        <v>5</v>
      </c>
      <c r="C2858" s="71">
        <v>42863</v>
      </c>
      <c r="D2858" s="71" t="s">
        <v>902</v>
      </c>
      <c r="E2858" s="929">
        <f t="shared" si="1008"/>
        <v>42863</v>
      </c>
      <c r="F2858" s="72" t="s">
        <v>1321</v>
      </c>
      <c r="G2858" s="72" t="s">
        <v>747</v>
      </c>
      <c r="H2858" s="1184" t="s">
        <v>1004</v>
      </c>
      <c r="I2858" s="1213"/>
      <c r="J2858" s="1214"/>
      <c r="K2858" s="1213">
        <v>82000</v>
      </c>
      <c r="L2858" s="1214">
        <v>22710</v>
      </c>
      <c r="M2858" s="74">
        <f t="shared" ref="M2858" si="1017">ROUND(K2858*L2858,0)</f>
        <v>1862220000</v>
      </c>
      <c r="N2858" s="75" t="s">
        <v>250</v>
      </c>
      <c r="O2858" s="934" t="s">
        <v>256</v>
      </c>
      <c r="P2858" s="75" t="str">
        <f>IF(AND('331-CT'!$E$7=TH!H2858,OR(N2858="331",O2858="331")),"x","")</f>
        <v/>
      </c>
      <c r="Q2858" s="75" t="str">
        <f>IF(AND(B2858='111'!$L$11,OR($N2858=$Q$7,$O2858=$Q$7)),"x","")</f>
        <v/>
      </c>
      <c r="R2858" s="75" t="str">
        <f>IF(AND($N2858=$Q$7,$B2858&lt;'111'!$L$11),"x","")</f>
        <v/>
      </c>
      <c r="S2858" s="75" t="str">
        <f>IF(AND($O2858=$Q$7,$B2858&lt;'111'!$L$11),"x","")</f>
        <v/>
      </c>
      <c r="T2858" s="75" t="str">
        <f>IF(ISERROR(FIND('112'!$M$9,G2858,1)),"",IF((AND(FIND('112'!$M$9,G2858,1)&gt;=1,B2858='112'!$K$9,OR($N2858='112'!$I$6,$O2858='112'!$I$6))),"x",""))</f>
        <v/>
      </c>
      <c r="U2858" s="75" t="str">
        <f>IF(ISERROR(FIND('112'!$M$9,G2858,1)),"",IF((AND(LEFT(G2858,2)=LEFT('112'!$M$9,2),B2858&lt;'112'!$K$9,$N2858='112'!$I$6)),"x",""))</f>
        <v/>
      </c>
      <c r="V2858" s="75" t="str">
        <f>IF(ISERROR(FIND('112'!$M$9,G2858,1)),"",IF((AND(RIGHT(G2858,2)=RIGHT('112'!$M$9,2),B2858&lt;'112'!$K$9,$O2858='112'!$I$6)),"x",""))</f>
        <v/>
      </c>
      <c r="W2858" s="75" t="str">
        <f>IF(AND('341-CT'!$H$9=H2858,OR(LEFT(N2858,3)=$W$7,LEFT(O2858,3)=$W$7)),"x","")</f>
        <v/>
      </c>
      <c r="X2858" s="75" t="str">
        <f>IF(OR(TH!N2858=TH!$X$7,O2858=TH!$X$7),"x","")</f>
        <v/>
      </c>
      <c r="Y2858" s="75" t="str">
        <f>IF(AND(OR(N2858="131",O2858="131"),H2858='131-CT'!$H$9),"x","")</f>
        <v/>
      </c>
      <c r="Z2858" s="75"/>
      <c r="AA2858" s="75" t="str">
        <f>IF(AND(MONTH(E2858)='IN-NX'!$J$5,'IN-NX'!$D$7=D2858),"x","")</f>
        <v/>
      </c>
      <c r="AB2858" s="75" t="str">
        <f>IF(AND(OR(LEFT(TH!N2858,2)="15",LEFT(TH!O2858,2)="15"),LEFT(TH!O2858,3)&lt;&gt;"111",'152-CT'!$J$8=TH!F2858),"x","")</f>
        <v/>
      </c>
      <c r="AC2858" s="75" t="str">
        <f>IF(AND(OR(LEFT(TH!N2858,2)="15",LEFT(TH!O2858,2)="15"),TK!$E$7=TH!F2858),"x","")</f>
        <v/>
      </c>
      <c r="AD2858" s="75" t="str">
        <f>IF(AND(N2858="1521",MONTH(C2858)='BK-NL'!$M$11),"x","")</f>
        <v/>
      </c>
    </row>
    <row r="2859" spans="1:30" s="1264" customFormat="1" ht="16.5" customHeight="1">
      <c r="A2859" s="309" t="str">
        <f>IF(B2859&lt;&gt;"",IF(AND(B2859='IN-TC'!$S$4,OR(TH!N2859="1111",TH!O2859="1111")),TH!D2859,""),"")</f>
        <v/>
      </c>
      <c r="B2859" s="1275">
        <f t="shared" si="1009"/>
        <v>5</v>
      </c>
      <c r="C2859" s="71">
        <v>42863</v>
      </c>
      <c r="D2859" s="71" t="s">
        <v>530</v>
      </c>
      <c r="E2859" s="929">
        <f t="shared" si="1008"/>
        <v>42863</v>
      </c>
      <c r="F2859" s="72" t="s">
        <v>1010</v>
      </c>
      <c r="G2859" s="72" t="s">
        <v>747</v>
      </c>
      <c r="H2859" s="1184" t="s">
        <v>1004</v>
      </c>
      <c r="I2859" s="1213"/>
      <c r="J2859" s="1214"/>
      <c r="K2859" s="1213"/>
      <c r="L2859" s="1214"/>
      <c r="M2859" s="74">
        <v>32554000</v>
      </c>
      <c r="N2859" s="75" t="s">
        <v>99</v>
      </c>
      <c r="O2859" s="75" t="s">
        <v>250</v>
      </c>
      <c r="P2859" s="75" t="str">
        <f>IF(AND('331-CT'!$E$7=TH!H2859,OR(N2859="331",O2859="331")),"x","")</f>
        <v/>
      </c>
      <c r="Q2859" s="75" t="str">
        <f>IF(AND(B2859='111'!$L$11,OR($N2859=$Q$7,$O2859=$Q$7)),"x","")</f>
        <v/>
      </c>
      <c r="R2859" s="75" t="str">
        <f>IF(AND($N2859=$Q$7,$B2859&lt;'111'!$L$11),"x","")</f>
        <v/>
      </c>
      <c r="S2859" s="75" t="str">
        <f>IF(AND($O2859=$Q$7,$B2859&lt;'111'!$L$11),"x","")</f>
        <v/>
      </c>
      <c r="T2859" s="75" t="str">
        <f>IF(ISERROR(FIND('112'!$M$9,G2859,1)),"",IF((AND(FIND('112'!$M$9,G2859,1)&gt;=1,B2859='112'!$K$9,OR($N2859='112'!$I$6,$O2859='112'!$I$6))),"x",""))</f>
        <v/>
      </c>
      <c r="U2859" s="75" t="str">
        <f>IF(ISERROR(FIND('112'!$M$9,G2859,1)),"",IF((AND(LEFT(G2859,2)=LEFT('112'!$M$9,2),B2859&lt;'112'!$K$9,$N2859='112'!$I$6)),"x",""))</f>
        <v/>
      </c>
      <c r="V2859" s="75" t="str">
        <f>IF(ISERROR(FIND('112'!$M$9,G2859,1)),"",IF((AND(RIGHT(G2859,2)=RIGHT('112'!$M$9,2),B2859&lt;'112'!$K$9,$O2859='112'!$I$6)),"x",""))</f>
        <v/>
      </c>
      <c r="W2859" s="75" t="str">
        <f>IF(AND('341-CT'!$H$9=H2859,OR(LEFT(N2859,3)=$W$7,LEFT(O2859,3)=$W$7)),"x","")</f>
        <v/>
      </c>
      <c r="X2859" s="75" t="str">
        <f>IF(OR(TH!N2859=TH!$X$7,O2859=TH!$X$7),"x","")</f>
        <v/>
      </c>
      <c r="Y2859" s="75" t="str">
        <f>IF(AND(OR(N2859="131",O2859="131"),H2859='131-CT'!$H$9),"x","")</f>
        <v/>
      </c>
      <c r="Z2859" s="75"/>
      <c r="AA2859" s="75" t="str">
        <f>IF(AND(MONTH(E2859)='IN-NX'!$J$5,'IN-NX'!$D$7=D2859),"x","")</f>
        <v/>
      </c>
      <c r="AB2859" s="75" t="str">
        <f>IF(AND(OR(LEFT(TH!N2859,2)="15",LEFT(TH!O2859,2)="15"),LEFT(TH!O2859,3)&lt;&gt;"111",'152-CT'!$J$8=TH!F2859),"x","")</f>
        <v/>
      </c>
      <c r="AC2859" s="75" t="str">
        <f>IF(AND(OR(LEFT(TH!N2859,2)="15",LEFT(TH!O2859,2)="15"),TK!$E$7=TH!F2859),"x","")</f>
        <v/>
      </c>
      <c r="AD2859" s="75" t="str">
        <f>IF(AND(N2859="1521",MONTH(C2859)='BK-NL'!$M$11),"x","")</f>
        <v/>
      </c>
    </row>
    <row r="2860" spans="1:30" s="1264" customFormat="1" ht="16.5" customHeight="1">
      <c r="A2860" s="309" t="str">
        <f>IF(B2860&lt;&gt;"",IF(AND(B2860='IN-TC'!$S$4,OR(TH!N2860="1111",TH!O2860="1111")),TH!D2860,""),"")</f>
        <v/>
      </c>
      <c r="B2860" s="1275">
        <f t="shared" si="1009"/>
        <v>5</v>
      </c>
      <c r="C2860" s="71">
        <v>42866</v>
      </c>
      <c r="D2860" s="71" t="s">
        <v>903</v>
      </c>
      <c r="E2860" s="929">
        <f t="shared" si="1008"/>
        <v>42866</v>
      </c>
      <c r="F2860" s="72" t="s">
        <v>1086</v>
      </c>
      <c r="G2860" s="72" t="s">
        <v>747</v>
      </c>
      <c r="H2860" s="73" t="s">
        <v>759</v>
      </c>
      <c r="I2860" s="1213"/>
      <c r="J2860" s="1214"/>
      <c r="K2860" s="1213">
        <v>444923.4</v>
      </c>
      <c r="L2860" s="1214">
        <v>22710</v>
      </c>
      <c r="M2860" s="1214">
        <f t="shared" ref="M2860" si="1018">ROUND(K2860*L2860,0)</f>
        <v>10104210414</v>
      </c>
      <c r="N2860" s="75" t="s">
        <v>256</v>
      </c>
      <c r="O2860" s="75" t="s">
        <v>536</v>
      </c>
      <c r="P2860" s="75" t="str">
        <f>IF(AND('331-CT'!$E$7=TH!H2860,OR(N2860="331",O2860="331")),"x","")</f>
        <v/>
      </c>
      <c r="Q2860" s="75" t="str">
        <f>IF(AND(B2860='111'!$L$11,OR($N2860=$Q$7,$O2860=$Q$7)),"x","")</f>
        <v/>
      </c>
      <c r="R2860" s="75" t="str">
        <f>IF(AND($N2860=$Q$7,$B2860&lt;'111'!$L$11),"x","")</f>
        <v/>
      </c>
      <c r="S2860" s="75" t="str">
        <f>IF(AND($O2860=$Q$7,$B2860&lt;'111'!$L$11),"x","")</f>
        <v/>
      </c>
      <c r="T2860" s="75" t="str">
        <f>IF(ISERROR(FIND('112'!$M$9,G2860,1)),"",IF((AND(FIND('112'!$M$9,G2860,1)&gt;=1,B2860='112'!$K$9,OR($N2860='112'!$I$6,$O2860='112'!$I$6))),"x",""))</f>
        <v/>
      </c>
      <c r="U2860" s="75" t="str">
        <f>IF(ISERROR(FIND('112'!$M$9,G2860,1)),"",IF((AND(LEFT(G2860,2)=LEFT('112'!$M$9,2),B2860&lt;'112'!$K$9,$N2860='112'!$I$6)),"x",""))</f>
        <v/>
      </c>
      <c r="V2860" s="75" t="str">
        <f>IF(ISERROR(FIND('112'!$M$9,G2860,1)),"",IF((AND(RIGHT(G2860,2)=RIGHT('112'!$M$9,2),B2860&lt;'112'!$K$9,$O2860='112'!$I$6)),"x",""))</f>
        <v/>
      </c>
      <c r="W2860" s="75" t="str">
        <f>IF(AND('341-CT'!$H$9=H2860,OR(LEFT(N2860,3)=$W$7,LEFT(O2860,3)=$W$7)),"x","")</f>
        <v/>
      </c>
      <c r="X2860" s="75" t="str">
        <f>IF(OR(TH!N2860=TH!$X$7,O2860=TH!$X$7),"x","")</f>
        <v/>
      </c>
      <c r="Y2860" s="75" t="str">
        <f>IF(AND(OR(N2860="131",O2860="131"),H2860='131-CT'!$H$9),"x","")</f>
        <v/>
      </c>
      <c r="Z2860" s="75"/>
      <c r="AA2860" s="75" t="str">
        <f>IF(AND(MONTH(E2860)='IN-NX'!$J$5,'IN-NX'!$D$7=D2860),"x","")</f>
        <v/>
      </c>
      <c r="AB2860" s="75" t="str">
        <f>IF(AND(OR(LEFT(TH!N2860,2)="15",LEFT(TH!O2860,2)="15"),LEFT(TH!O2860,3)&lt;&gt;"111",'152-CT'!$J$8=TH!F2860),"x","")</f>
        <v/>
      </c>
      <c r="AC2860" s="75" t="str">
        <f>IF(AND(OR(LEFT(TH!N2860,2)="15",LEFT(TH!O2860,2)="15"),TK!$E$7=TH!F2860),"x","")</f>
        <v/>
      </c>
      <c r="AD2860" s="75" t="str">
        <f>IF(AND(N2860="1521",MONTH(C2860)='BK-NL'!$M$11),"x","")</f>
        <v/>
      </c>
    </row>
    <row r="2861" spans="1:30" s="1264" customFormat="1" ht="16.5" customHeight="1">
      <c r="A2861" s="309" t="str">
        <f>IF(B2861&lt;&gt;"",IF(AND(B2861='IN-TC'!$S$4,OR(TH!N2861="1111",TH!O2861="1111")),TH!D2861,""),"")</f>
        <v/>
      </c>
      <c r="B2861" s="1275">
        <f t="shared" si="1009"/>
        <v>5</v>
      </c>
      <c r="C2861" s="71">
        <v>42866</v>
      </c>
      <c r="D2861" s="71" t="s">
        <v>530</v>
      </c>
      <c r="E2861" s="929">
        <f t="shared" si="1008"/>
        <v>42866</v>
      </c>
      <c r="F2861" s="72" t="s">
        <v>1027</v>
      </c>
      <c r="G2861" s="72" t="s">
        <v>747</v>
      </c>
      <c r="H2861" s="73" t="s">
        <v>759</v>
      </c>
      <c r="I2861" s="1213"/>
      <c r="J2861" s="1214"/>
      <c r="K2861" s="1213">
        <v>12</v>
      </c>
      <c r="L2861" s="1214">
        <v>22710</v>
      </c>
      <c r="M2861" s="933">
        <f t="shared" si="993"/>
        <v>272520</v>
      </c>
      <c r="N2861" s="75" t="s">
        <v>101</v>
      </c>
      <c r="O2861" s="75" t="s">
        <v>536</v>
      </c>
      <c r="P2861" s="75" t="str">
        <f>IF(AND('331-CT'!$E$7=TH!H2861,OR(N2861="331",O2861="331")),"x","")</f>
        <v/>
      </c>
      <c r="Q2861" s="75" t="str">
        <f>IF(AND(B2861='111'!$L$11,OR($N2861=$Q$7,$O2861=$Q$7)),"x","")</f>
        <v/>
      </c>
      <c r="R2861" s="75" t="str">
        <f>IF(AND($N2861=$Q$7,$B2861&lt;'111'!$L$11),"x","")</f>
        <v/>
      </c>
      <c r="S2861" s="75" t="str">
        <f>IF(AND($O2861=$Q$7,$B2861&lt;'111'!$L$11),"x","")</f>
        <v/>
      </c>
      <c r="T2861" s="75" t="str">
        <f>IF(ISERROR(FIND('112'!$M$9,G2861,1)),"",IF((AND(FIND('112'!$M$9,G2861,1)&gt;=1,B2861='112'!$K$9,OR($N2861='112'!$I$6,$O2861='112'!$I$6))),"x",""))</f>
        <v/>
      </c>
      <c r="U2861" s="75" t="str">
        <f>IF(ISERROR(FIND('112'!$M$9,G2861,1)),"",IF((AND(LEFT(G2861,2)=LEFT('112'!$M$9,2),B2861&lt;'112'!$K$9,$N2861='112'!$I$6)),"x",""))</f>
        <v/>
      </c>
      <c r="V2861" s="75" t="str">
        <f>IF(ISERROR(FIND('112'!$M$9,G2861,1)),"",IF((AND(RIGHT(G2861,2)=RIGHT('112'!$M$9,2),B2861&lt;'112'!$K$9,$O2861='112'!$I$6)),"x",""))</f>
        <v/>
      </c>
      <c r="W2861" s="75" t="str">
        <f>IF(AND('341-CT'!$H$9=H2861,OR(LEFT(N2861,3)=$W$7,LEFT(O2861,3)=$W$7)),"x","")</f>
        <v/>
      </c>
      <c r="X2861" s="75" t="str">
        <f>IF(OR(TH!N2861=TH!$X$7,O2861=TH!$X$7),"x","")</f>
        <v/>
      </c>
      <c r="Y2861" s="75" t="str">
        <f>IF(AND(OR(N2861="131",O2861="131"),H2861='131-CT'!$H$9),"x","")</f>
        <v/>
      </c>
      <c r="Z2861" s="75"/>
      <c r="AA2861" s="75" t="str">
        <f>IF(AND(MONTH(E2861)='IN-NX'!$J$5,'IN-NX'!$D$7=D2861),"x","")</f>
        <v/>
      </c>
      <c r="AB2861" s="75" t="str">
        <f>IF(AND(OR(LEFT(TH!N2861,2)="15",LEFT(TH!O2861,2)="15"),LEFT(TH!O2861,3)&lt;&gt;"111",'152-CT'!$J$8=TH!F2861),"x","")</f>
        <v/>
      </c>
      <c r="AC2861" s="75" t="str">
        <f>IF(AND(OR(LEFT(TH!N2861,2)="15",LEFT(TH!O2861,2)="15"),TK!$E$7=TH!F2861),"x","")</f>
        <v/>
      </c>
      <c r="AD2861" s="75" t="str">
        <f>IF(AND(N2861="1521",MONTH(C2861)='BK-NL'!$M$11),"x","")</f>
        <v/>
      </c>
    </row>
    <row r="2862" spans="1:30" s="1264" customFormat="1" ht="16.5" customHeight="1">
      <c r="A2862" s="309" t="str">
        <f>IF(B2862&lt;&gt;"",IF(AND(B2862='IN-TC'!$S$4,OR(TH!N2862="1111",TH!O2862="1111")),TH!D2862,""),"")</f>
        <v/>
      </c>
      <c r="B2862" s="1275">
        <f t="shared" ref="B2862" si="1019">IF(C2862&lt;&gt;"",MONTH(C2862),"")</f>
        <v>5</v>
      </c>
      <c r="C2862" s="71">
        <v>42866</v>
      </c>
      <c r="D2862" s="71" t="s">
        <v>530</v>
      </c>
      <c r="E2862" s="929">
        <f t="shared" ref="E2862" si="1020">C2862</f>
        <v>42866</v>
      </c>
      <c r="F2862" s="72" t="s">
        <v>1010</v>
      </c>
      <c r="G2862" s="72" t="s">
        <v>747</v>
      </c>
      <c r="H2862" s="73" t="s">
        <v>759</v>
      </c>
      <c r="I2862" s="1213"/>
      <c r="J2862" s="1214"/>
      <c r="K2862" s="1213"/>
      <c r="L2862" s="1214"/>
      <c r="M2862" s="933">
        <v>4449354</v>
      </c>
      <c r="N2862" s="75" t="s">
        <v>99</v>
      </c>
      <c r="O2862" s="75" t="s">
        <v>536</v>
      </c>
      <c r="P2862" s="75" t="str">
        <f>IF(AND('331-CT'!$E$7=TH!H2862,OR(N2862="331",O2862="331")),"x","")</f>
        <v/>
      </c>
      <c r="Q2862" s="75" t="str">
        <f>IF(AND(B2862='111'!$L$11,OR($N2862=$Q$7,$O2862=$Q$7)),"x","")</f>
        <v/>
      </c>
      <c r="R2862" s="75" t="str">
        <f>IF(AND($N2862=$Q$7,$B2862&lt;'111'!$L$11),"x","")</f>
        <v/>
      </c>
      <c r="S2862" s="75" t="str">
        <f>IF(AND($O2862=$Q$7,$B2862&lt;'111'!$L$11),"x","")</f>
        <v/>
      </c>
      <c r="T2862" s="75" t="str">
        <f>IF(ISERROR(FIND('112'!$M$9,G2862,1)),"",IF((AND(FIND('112'!$M$9,G2862,1)&gt;=1,B2862='112'!$K$9,OR($N2862='112'!$I$6,$O2862='112'!$I$6))),"x",""))</f>
        <v/>
      </c>
      <c r="U2862" s="75" t="str">
        <f>IF(ISERROR(FIND('112'!$M$9,G2862,1)),"",IF((AND(LEFT(G2862,2)=LEFT('112'!$M$9,2),B2862&lt;'112'!$K$9,$N2862='112'!$I$6)),"x",""))</f>
        <v/>
      </c>
      <c r="V2862" s="75" t="str">
        <f>IF(ISERROR(FIND('112'!$M$9,G2862,1)),"",IF((AND(RIGHT(G2862,2)=RIGHT('112'!$M$9,2),B2862&lt;'112'!$K$9,$O2862='112'!$I$6)),"x",""))</f>
        <v/>
      </c>
      <c r="W2862" s="75" t="str">
        <f>IF(AND('341-CT'!$H$9=H2862,OR(LEFT(N2862,3)=$W$7,LEFT(O2862,3)=$W$7)),"x","")</f>
        <v/>
      </c>
      <c r="X2862" s="75" t="str">
        <f>IF(OR(TH!N2862=TH!$X$7,O2862=TH!$X$7),"x","")</f>
        <v/>
      </c>
      <c r="Y2862" s="75" t="str">
        <f>IF(AND(OR(N2862="131",O2862="131"),H2862='131-CT'!$H$9),"x","")</f>
        <v/>
      </c>
      <c r="Z2862" s="75"/>
      <c r="AA2862" s="75" t="str">
        <f>IF(AND(MONTH(E2862)='IN-NX'!$J$5,'IN-NX'!$D$7=D2862),"x","")</f>
        <v/>
      </c>
      <c r="AB2862" s="75" t="str">
        <f>IF(AND(OR(LEFT(TH!N2862,2)="15",LEFT(TH!O2862,2)="15"),LEFT(TH!O2862,3)&lt;&gt;"111",'152-CT'!$J$8=TH!F2862),"x","")</f>
        <v/>
      </c>
      <c r="AC2862" s="75" t="str">
        <f>IF(AND(OR(LEFT(TH!N2862,2)="15",LEFT(TH!O2862,2)="15"),TK!$E$7=TH!F2862),"x","")</f>
        <v/>
      </c>
      <c r="AD2862" s="75" t="str">
        <f>IF(AND(N2862="1521",MONTH(C2862)='BK-NL'!$M$11),"x","")</f>
        <v/>
      </c>
    </row>
    <row r="2863" spans="1:30" s="1264" customFormat="1" ht="16.5" customHeight="1">
      <c r="A2863" s="309" t="str">
        <f>IF(B2863&lt;&gt;"",IF(AND(B2863='IN-TC'!$S$4,OR(TH!N2863="1111",TH!O2863="1111")),TH!D2863,""),"")</f>
        <v/>
      </c>
      <c r="B2863" s="1275">
        <f t="shared" si="1009"/>
        <v>5</v>
      </c>
      <c r="C2863" s="71">
        <v>42866</v>
      </c>
      <c r="D2863" s="71" t="s">
        <v>902</v>
      </c>
      <c r="E2863" s="929">
        <f t="shared" si="1008"/>
        <v>42866</v>
      </c>
      <c r="F2863" s="72" t="s">
        <v>1321</v>
      </c>
      <c r="G2863" s="72" t="s">
        <v>747</v>
      </c>
      <c r="H2863" s="1184" t="s">
        <v>1005</v>
      </c>
      <c r="I2863" s="1213"/>
      <c r="J2863" s="1214"/>
      <c r="K2863" s="1213">
        <v>89000</v>
      </c>
      <c r="L2863" s="1214">
        <v>22710</v>
      </c>
      <c r="M2863" s="74">
        <f t="shared" ref="M2863:M2864" si="1021">ROUND(K2863*L2863,0)</f>
        <v>2021190000</v>
      </c>
      <c r="N2863" s="75" t="s">
        <v>250</v>
      </c>
      <c r="O2863" s="934" t="s">
        <v>256</v>
      </c>
      <c r="P2863" s="75" t="str">
        <f>IF(AND('331-CT'!$E$7=TH!H2863,OR(N2863="331",O2863="331")),"x","")</f>
        <v/>
      </c>
      <c r="Q2863" s="75" t="str">
        <f>IF(AND(B2863='111'!$L$11,OR($N2863=$Q$7,$O2863=$Q$7)),"x","")</f>
        <v/>
      </c>
      <c r="R2863" s="75" t="str">
        <f>IF(AND($N2863=$Q$7,$B2863&lt;'111'!$L$11),"x","")</f>
        <v/>
      </c>
      <c r="S2863" s="75" t="str">
        <f>IF(AND($O2863=$Q$7,$B2863&lt;'111'!$L$11),"x","")</f>
        <v/>
      </c>
      <c r="T2863" s="75" t="str">
        <f>IF(ISERROR(FIND('112'!$M$9,G2863,1)),"",IF((AND(FIND('112'!$M$9,G2863,1)&gt;=1,B2863='112'!$K$9,OR($N2863='112'!$I$6,$O2863='112'!$I$6))),"x",""))</f>
        <v/>
      </c>
      <c r="U2863" s="75" t="str">
        <f>IF(ISERROR(FIND('112'!$M$9,G2863,1)),"",IF((AND(LEFT(G2863,2)=LEFT('112'!$M$9,2),B2863&lt;'112'!$K$9,$N2863='112'!$I$6)),"x",""))</f>
        <v/>
      </c>
      <c r="V2863" s="75" t="str">
        <f>IF(ISERROR(FIND('112'!$M$9,G2863,1)),"",IF((AND(RIGHT(G2863,2)=RIGHT('112'!$M$9,2),B2863&lt;'112'!$K$9,$O2863='112'!$I$6)),"x",""))</f>
        <v/>
      </c>
      <c r="W2863" s="75" t="str">
        <f>IF(AND('341-CT'!$H$9=H2863,OR(LEFT(N2863,3)=$W$7,LEFT(O2863,3)=$W$7)),"x","")</f>
        <v/>
      </c>
      <c r="X2863" s="75" t="str">
        <f>IF(OR(TH!N2863=TH!$X$7,O2863=TH!$X$7),"x","")</f>
        <v/>
      </c>
      <c r="Y2863" s="75" t="str">
        <f>IF(AND(OR(N2863="131",O2863="131"),H2863='131-CT'!$H$9),"x","")</f>
        <v/>
      </c>
      <c r="Z2863" s="75"/>
      <c r="AA2863" s="75" t="str">
        <f>IF(AND(MONTH(E2863)='IN-NX'!$J$5,'IN-NX'!$D$7=D2863),"x","")</f>
        <v/>
      </c>
      <c r="AB2863" s="75" t="str">
        <f>IF(AND(OR(LEFT(TH!N2863,2)="15",LEFT(TH!O2863,2)="15"),LEFT(TH!O2863,3)&lt;&gt;"111",'152-CT'!$J$8=TH!F2863),"x","")</f>
        <v/>
      </c>
      <c r="AC2863" s="75" t="str">
        <f>IF(AND(OR(LEFT(TH!N2863,2)="15",LEFT(TH!O2863,2)="15"),TK!$E$7=TH!F2863),"x","")</f>
        <v/>
      </c>
      <c r="AD2863" s="75" t="str">
        <f>IF(AND(N2863="1521",MONTH(C2863)='BK-NL'!$M$11),"x","")</f>
        <v/>
      </c>
    </row>
    <row r="2864" spans="1:30" s="1264" customFormat="1" ht="16.5" customHeight="1">
      <c r="A2864" s="309" t="str">
        <f>IF(B2864&lt;&gt;"",IF(AND(B2864='IN-TC'!$S$4,OR(TH!N2864="1111",TH!O2864="1111")),TH!D2864,""),"")</f>
        <v/>
      </c>
      <c r="B2864" s="1275">
        <f t="shared" si="1009"/>
        <v>5</v>
      </c>
      <c r="C2864" s="71">
        <v>42866</v>
      </c>
      <c r="D2864" s="71" t="s">
        <v>902</v>
      </c>
      <c r="E2864" s="929">
        <f t="shared" si="1008"/>
        <v>42866</v>
      </c>
      <c r="F2864" s="72" t="s">
        <v>1096</v>
      </c>
      <c r="G2864" s="72" t="s">
        <v>747</v>
      </c>
      <c r="H2864" s="1184" t="s">
        <v>1005</v>
      </c>
      <c r="I2864" s="1213"/>
      <c r="J2864" s="1214"/>
      <c r="K2864" s="1213">
        <v>140.91999999999999</v>
      </c>
      <c r="L2864" s="1214">
        <v>22710</v>
      </c>
      <c r="M2864" s="74">
        <f t="shared" si="1021"/>
        <v>3200293</v>
      </c>
      <c r="N2864" s="75" t="s">
        <v>99</v>
      </c>
      <c r="O2864" s="934" t="s">
        <v>256</v>
      </c>
      <c r="P2864" s="75" t="str">
        <f>IF(AND('331-CT'!$E$7=TH!H2864,OR(N2864="331",O2864="331")),"x","")</f>
        <v/>
      </c>
      <c r="Q2864" s="75" t="str">
        <f>IF(AND(B2864='111'!$L$11,OR($N2864=$Q$7,$O2864=$Q$7)),"x","")</f>
        <v/>
      </c>
      <c r="R2864" s="75" t="str">
        <f>IF(AND($N2864=$Q$7,$B2864&lt;'111'!$L$11),"x","")</f>
        <v/>
      </c>
      <c r="S2864" s="75" t="str">
        <f>IF(AND($O2864=$Q$7,$B2864&lt;'111'!$L$11),"x","")</f>
        <v/>
      </c>
      <c r="T2864" s="75" t="str">
        <f>IF(ISERROR(FIND('112'!$M$9,G2864,1)),"",IF((AND(FIND('112'!$M$9,G2864,1)&gt;=1,B2864='112'!$K$9,OR($N2864='112'!$I$6,$O2864='112'!$I$6))),"x",""))</f>
        <v/>
      </c>
      <c r="U2864" s="75" t="str">
        <f>IF(ISERROR(FIND('112'!$M$9,G2864,1)),"",IF((AND(LEFT(G2864,2)=LEFT('112'!$M$9,2),B2864&lt;'112'!$K$9,$N2864='112'!$I$6)),"x",""))</f>
        <v/>
      </c>
      <c r="V2864" s="75" t="str">
        <f>IF(ISERROR(FIND('112'!$M$9,G2864,1)),"",IF((AND(RIGHT(G2864,2)=RIGHT('112'!$M$9,2),B2864&lt;'112'!$K$9,$O2864='112'!$I$6)),"x",""))</f>
        <v/>
      </c>
      <c r="W2864" s="75" t="str">
        <f>IF(AND('341-CT'!$H$9=H2864,OR(LEFT(N2864,3)=$W$7,LEFT(O2864,3)=$W$7)),"x","")</f>
        <v/>
      </c>
      <c r="X2864" s="75" t="str">
        <f>IF(OR(TH!N2864=TH!$X$7,O2864=TH!$X$7),"x","")</f>
        <v/>
      </c>
      <c r="Y2864" s="75" t="str">
        <f>IF(AND(OR(N2864="131",O2864="131"),H2864='131-CT'!$H$9),"x","")</f>
        <v/>
      </c>
      <c r="Z2864" s="75"/>
      <c r="AA2864" s="75" t="str">
        <f>IF(AND(MONTH(E2864)='IN-NX'!$J$5,'IN-NX'!$D$7=D2864),"x","")</f>
        <v/>
      </c>
      <c r="AB2864" s="75" t="str">
        <f>IF(AND(OR(LEFT(TH!N2864,2)="15",LEFT(TH!O2864,2)="15"),LEFT(TH!O2864,3)&lt;&gt;"111",'152-CT'!$J$8=TH!F2864),"x","")</f>
        <v/>
      </c>
      <c r="AC2864" s="75" t="str">
        <f>IF(AND(OR(LEFT(TH!N2864,2)="15",LEFT(TH!O2864,2)="15"),TK!$E$7=TH!F2864),"x","")</f>
        <v/>
      </c>
      <c r="AD2864" s="75" t="str">
        <f>IF(AND(N2864="1521",MONTH(C2864)='BK-NL'!$M$11),"x","")</f>
        <v/>
      </c>
    </row>
    <row r="2865" spans="1:30" s="1264" customFormat="1" ht="16.5" customHeight="1">
      <c r="A2865" s="309" t="str">
        <f>IF(B2865&lt;&gt;"",IF(AND(B2865='IN-TC'!$S$4,OR(TH!N2865="1111",TH!O2865="1111")),TH!D2865,""),"")</f>
        <v/>
      </c>
      <c r="B2865" s="1275">
        <f t="shared" si="1009"/>
        <v>5</v>
      </c>
      <c r="C2865" s="71">
        <v>42866</v>
      </c>
      <c r="D2865" s="71" t="s">
        <v>902</v>
      </c>
      <c r="E2865" s="929">
        <f t="shared" si="1008"/>
        <v>42866</v>
      </c>
      <c r="F2865" s="72" t="s">
        <v>1010</v>
      </c>
      <c r="G2865" s="72" t="s">
        <v>747</v>
      </c>
      <c r="H2865" s="1184" t="s">
        <v>1005</v>
      </c>
      <c r="I2865" s="1213"/>
      <c r="J2865" s="1214"/>
      <c r="K2865" s="1213"/>
      <c r="L2865" s="1214"/>
      <c r="M2865" s="74">
        <v>32485000</v>
      </c>
      <c r="N2865" s="75" t="s">
        <v>99</v>
      </c>
      <c r="O2865" s="75" t="s">
        <v>250</v>
      </c>
      <c r="P2865" s="75" t="str">
        <f>IF(AND('331-CT'!$E$7=TH!H2865,OR(N2865="331",O2865="331")),"x","")</f>
        <v/>
      </c>
      <c r="Q2865" s="75" t="str">
        <f>IF(AND(B2865='111'!$L$11,OR($N2865=$Q$7,$O2865=$Q$7)),"x","")</f>
        <v/>
      </c>
      <c r="R2865" s="75" t="str">
        <f>IF(AND($N2865=$Q$7,$B2865&lt;'111'!$L$11),"x","")</f>
        <v/>
      </c>
      <c r="S2865" s="75" t="str">
        <f>IF(AND($O2865=$Q$7,$B2865&lt;'111'!$L$11),"x","")</f>
        <v/>
      </c>
      <c r="T2865" s="75" t="str">
        <f>IF(ISERROR(FIND('112'!$M$9,G2865,1)),"",IF((AND(FIND('112'!$M$9,G2865,1)&gt;=1,B2865='112'!$K$9,OR($N2865='112'!$I$6,$O2865='112'!$I$6))),"x",""))</f>
        <v/>
      </c>
      <c r="U2865" s="75" t="str">
        <f>IF(ISERROR(FIND('112'!$M$9,G2865,1)),"",IF((AND(LEFT(G2865,2)=LEFT('112'!$M$9,2),B2865&lt;'112'!$K$9,$N2865='112'!$I$6)),"x",""))</f>
        <v/>
      </c>
      <c r="V2865" s="75" t="str">
        <f>IF(ISERROR(FIND('112'!$M$9,G2865,1)),"",IF((AND(RIGHT(G2865,2)=RIGHT('112'!$M$9,2),B2865&lt;'112'!$K$9,$O2865='112'!$I$6)),"x",""))</f>
        <v/>
      </c>
      <c r="W2865" s="75" t="str">
        <f>IF(AND('341-CT'!$H$9=H2865,OR(LEFT(N2865,3)=$W$7,LEFT(O2865,3)=$W$7)),"x","")</f>
        <v/>
      </c>
      <c r="X2865" s="75" t="str">
        <f>IF(OR(TH!N2865=TH!$X$7,O2865=TH!$X$7),"x","")</f>
        <v/>
      </c>
      <c r="Y2865" s="75" t="str">
        <f>IF(AND(OR(N2865="131",O2865="131"),H2865='131-CT'!$H$9),"x","")</f>
        <v/>
      </c>
      <c r="Z2865" s="75"/>
      <c r="AA2865" s="75" t="str">
        <f>IF(AND(MONTH(E2865)='IN-NX'!$J$5,'IN-NX'!$D$7=D2865),"x","")</f>
        <v/>
      </c>
      <c r="AB2865" s="75" t="str">
        <f>IF(AND(OR(LEFT(TH!N2865,2)="15",LEFT(TH!O2865,2)="15"),LEFT(TH!O2865,3)&lt;&gt;"111",'152-CT'!$J$8=TH!F2865),"x","")</f>
        <v/>
      </c>
      <c r="AC2865" s="75" t="str">
        <f>IF(AND(OR(LEFT(TH!N2865,2)="15",LEFT(TH!O2865,2)="15"),TK!$E$7=TH!F2865),"x","")</f>
        <v/>
      </c>
      <c r="AD2865" s="75" t="str">
        <f>IF(AND(N2865="1521",MONTH(C2865)='BK-NL'!$M$11),"x","")</f>
        <v/>
      </c>
    </row>
    <row r="2866" spans="1:30" s="1264" customFormat="1" ht="16.5" customHeight="1">
      <c r="A2866" s="309" t="str">
        <f>IF(B2866&lt;&gt;"",IF(AND(B2866='IN-TC'!$S$4,OR(TH!N2866="1111",TH!O2866="1111")),TH!D2866,""),"")</f>
        <v/>
      </c>
      <c r="B2866" s="1275">
        <f t="shared" si="1009"/>
        <v>5</v>
      </c>
      <c r="C2866" s="71">
        <v>42867</v>
      </c>
      <c r="D2866" s="71" t="s">
        <v>902</v>
      </c>
      <c r="E2866" s="929">
        <f t="shared" si="1008"/>
        <v>42867</v>
      </c>
      <c r="F2866" s="72" t="s">
        <v>919</v>
      </c>
      <c r="G2866" s="72" t="s">
        <v>747</v>
      </c>
      <c r="H2866" s="73" t="s">
        <v>835</v>
      </c>
      <c r="I2866" s="1213"/>
      <c r="J2866" s="1214"/>
      <c r="K2866" s="1213">
        <v>3</v>
      </c>
      <c r="L2866" s="1214">
        <v>22677</v>
      </c>
      <c r="M2866" s="74">
        <f t="shared" ref="M2866:M2869" si="1022">ROUND(K2866*L2866,0)</f>
        <v>68031</v>
      </c>
      <c r="N2866" s="75" t="s">
        <v>101</v>
      </c>
      <c r="O2866" s="934" t="s">
        <v>256</v>
      </c>
      <c r="P2866" s="75" t="str">
        <f>IF(AND('331-CT'!$E$7=TH!H2866,OR(N2866="331",O2866="331")),"x","")</f>
        <v/>
      </c>
      <c r="Q2866" s="75" t="str">
        <f>IF(AND(B2866='111'!$L$11,OR($N2866=$Q$7,$O2866=$Q$7)),"x","")</f>
        <v/>
      </c>
      <c r="R2866" s="75" t="str">
        <f>IF(AND($N2866=$Q$7,$B2866&lt;'111'!$L$11),"x","")</f>
        <v/>
      </c>
      <c r="S2866" s="75" t="str">
        <f>IF(AND($O2866=$Q$7,$B2866&lt;'111'!$L$11),"x","")</f>
        <v/>
      </c>
      <c r="T2866" s="75" t="str">
        <f>IF(ISERROR(FIND('112'!$M$9,G2866,1)),"",IF((AND(FIND('112'!$M$9,G2866,1)&gt;=1,B2866='112'!$K$9,OR($N2866='112'!$I$6,$O2866='112'!$I$6))),"x",""))</f>
        <v/>
      </c>
      <c r="U2866" s="75" t="str">
        <f>IF(ISERROR(FIND('112'!$M$9,G2866,1)),"",IF((AND(LEFT(G2866,2)=LEFT('112'!$M$9,2),B2866&lt;'112'!$K$9,$N2866='112'!$I$6)),"x",""))</f>
        <v/>
      </c>
      <c r="V2866" s="75" t="str">
        <f>IF(ISERROR(FIND('112'!$M$9,G2866,1)),"",IF((AND(RIGHT(G2866,2)=RIGHT('112'!$M$9,2),B2866&lt;'112'!$K$9,$O2866='112'!$I$6)),"x",""))</f>
        <v/>
      </c>
      <c r="W2866" s="75" t="str">
        <f>IF(AND('341-CT'!$H$9=H2866,OR(LEFT(N2866,3)=$W$7,LEFT(O2866,3)=$W$7)),"x","")</f>
        <v/>
      </c>
      <c r="X2866" s="75" t="str">
        <f>IF(OR(TH!N2866=TH!$X$7,O2866=TH!$X$7),"x","")</f>
        <v/>
      </c>
      <c r="Y2866" s="75" t="str">
        <f>IF(AND(OR(N2866="131",O2866="131"),H2866='131-CT'!$H$9),"x","")</f>
        <v/>
      </c>
      <c r="Z2866" s="75"/>
      <c r="AA2866" s="75" t="str">
        <f>IF(AND(MONTH(E2866)='IN-NX'!$J$5,'IN-NX'!$D$7=D2866),"x","")</f>
        <v/>
      </c>
      <c r="AB2866" s="75" t="str">
        <f>IF(AND(OR(LEFT(TH!N2866,2)="15",LEFT(TH!O2866,2)="15"),LEFT(TH!O2866,3)&lt;&gt;"111",'152-CT'!$J$8=TH!F2866),"x","")</f>
        <v/>
      </c>
      <c r="AC2866" s="75" t="str">
        <f>IF(AND(OR(LEFT(TH!N2866,2)="15",LEFT(TH!O2866,2)="15"),TK!$E$7=TH!F2866),"x","")</f>
        <v/>
      </c>
      <c r="AD2866" s="75" t="str">
        <f>IF(AND(N2866="1521",MONTH(C2866)='BK-NL'!$M$11),"x","")</f>
        <v/>
      </c>
    </row>
    <row r="2867" spans="1:30" s="1264" customFormat="1" ht="16.5" customHeight="1">
      <c r="A2867" s="309" t="str">
        <f>IF(B2867&lt;&gt;"",IF(AND(B2867='IN-TC'!$S$4,OR(TH!N2867="1111",TH!O2867="1111")),TH!D2867,""),"")</f>
        <v/>
      </c>
      <c r="B2867" s="1275">
        <f t="shared" si="1009"/>
        <v>5</v>
      </c>
      <c r="C2867" s="71">
        <v>42867</v>
      </c>
      <c r="D2867" s="71" t="s">
        <v>902</v>
      </c>
      <c r="E2867" s="929">
        <f t="shared" si="1008"/>
        <v>42867</v>
      </c>
      <c r="F2867" s="72" t="s">
        <v>920</v>
      </c>
      <c r="G2867" s="72" t="s">
        <v>747</v>
      </c>
      <c r="H2867" s="73" t="s">
        <v>835</v>
      </c>
      <c r="I2867" s="1213"/>
      <c r="J2867" s="1214"/>
      <c r="K2867" s="1213">
        <v>0.3</v>
      </c>
      <c r="L2867" s="1214">
        <v>22677</v>
      </c>
      <c r="M2867" s="74">
        <f t="shared" si="1022"/>
        <v>6803</v>
      </c>
      <c r="N2867" s="75" t="s">
        <v>9</v>
      </c>
      <c r="O2867" s="934" t="s">
        <v>256</v>
      </c>
      <c r="P2867" s="75" t="str">
        <f>IF(AND('331-CT'!$E$7=TH!H2867,OR(N2867="331",O2867="331")),"x","")</f>
        <v/>
      </c>
      <c r="Q2867" s="75" t="str">
        <f>IF(AND(B2867='111'!$L$11,OR($N2867=$Q$7,$O2867=$Q$7)),"x","")</f>
        <v/>
      </c>
      <c r="R2867" s="75" t="str">
        <f>IF(AND($N2867=$Q$7,$B2867&lt;'111'!$L$11),"x","")</f>
        <v/>
      </c>
      <c r="S2867" s="75" t="str">
        <f>IF(AND($O2867=$Q$7,$B2867&lt;'111'!$L$11),"x","")</f>
        <v/>
      </c>
      <c r="T2867" s="75" t="str">
        <f>IF(ISERROR(FIND('112'!$M$9,G2867,1)),"",IF((AND(FIND('112'!$M$9,G2867,1)&gt;=1,B2867='112'!$K$9,OR($N2867='112'!$I$6,$O2867='112'!$I$6))),"x",""))</f>
        <v/>
      </c>
      <c r="U2867" s="75" t="str">
        <f>IF(ISERROR(FIND('112'!$M$9,G2867,1)),"",IF((AND(LEFT(G2867,2)=LEFT('112'!$M$9,2),B2867&lt;'112'!$K$9,$N2867='112'!$I$6)),"x",""))</f>
        <v/>
      </c>
      <c r="V2867" s="75" t="str">
        <f>IF(ISERROR(FIND('112'!$M$9,G2867,1)),"",IF((AND(RIGHT(G2867,2)=RIGHT('112'!$M$9,2),B2867&lt;'112'!$K$9,$O2867='112'!$I$6)),"x",""))</f>
        <v/>
      </c>
      <c r="W2867" s="75" t="str">
        <f>IF(AND('341-CT'!$H$9=H2867,OR(LEFT(N2867,3)=$W$7,LEFT(O2867,3)=$W$7)),"x","")</f>
        <v/>
      </c>
      <c r="X2867" s="75" t="str">
        <f>IF(OR(TH!N2867=TH!$X$7,O2867=TH!$X$7),"x","")</f>
        <v/>
      </c>
      <c r="Y2867" s="75" t="str">
        <f>IF(AND(OR(N2867="131",O2867="131"),H2867='131-CT'!$H$9),"x","")</f>
        <v/>
      </c>
      <c r="Z2867" s="75"/>
      <c r="AA2867" s="75" t="str">
        <f>IF(AND(MONTH(E2867)='IN-NX'!$J$5,'IN-NX'!$D$7=D2867),"x","")</f>
        <v/>
      </c>
      <c r="AB2867" s="75" t="str">
        <f>IF(AND(OR(LEFT(TH!N2867,2)="15",LEFT(TH!O2867,2)="15"),LEFT(TH!O2867,3)&lt;&gt;"111",'152-CT'!$J$8=TH!F2867),"x","")</f>
        <v/>
      </c>
      <c r="AC2867" s="75" t="str">
        <f>IF(AND(OR(LEFT(TH!N2867,2)="15",LEFT(TH!O2867,2)="15"),TK!$E$7=TH!F2867),"x","")</f>
        <v/>
      </c>
      <c r="AD2867" s="75" t="str">
        <f>IF(AND(N2867="1521",MONTH(C2867)='BK-NL'!$M$11),"x","")</f>
        <v/>
      </c>
    </row>
    <row r="2868" spans="1:30" s="1264" customFormat="1" ht="16.5" customHeight="1">
      <c r="A2868" s="309" t="str">
        <f>IF(B2868&lt;&gt;"",IF(AND(B2868='IN-TC'!$S$4,OR(TH!N2868="1111",TH!O2868="1111")),TH!D2868,""),"")</f>
        <v/>
      </c>
      <c r="B2868" s="1275">
        <f t="shared" si="1009"/>
        <v>5</v>
      </c>
      <c r="C2868" s="71">
        <v>42872</v>
      </c>
      <c r="D2868" s="71" t="s">
        <v>902</v>
      </c>
      <c r="E2868" s="929">
        <f t="shared" ref="E2868:E2869" si="1023">C2868</f>
        <v>42872</v>
      </c>
      <c r="F2868" s="72" t="s">
        <v>2438</v>
      </c>
      <c r="G2868" s="72" t="s">
        <v>747</v>
      </c>
      <c r="H2868" s="73" t="s">
        <v>2451</v>
      </c>
      <c r="I2868" s="371"/>
      <c r="J2868" s="377"/>
      <c r="K2868" s="371">
        <v>51100</v>
      </c>
      <c r="L2868" s="1214">
        <v>22677</v>
      </c>
      <c r="M2868" s="1214">
        <f t="shared" si="1022"/>
        <v>1158794700</v>
      </c>
      <c r="N2868" s="75" t="s">
        <v>256</v>
      </c>
      <c r="O2868" s="934" t="s">
        <v>250</v>
      </c>
      <c r="P2868" s="75" t="str">
        <f>IF(AND('331-CT'!$E$7=TH!H2868,OR(N2868="331",O2868="331")),"x","")</f>
        <v/>
      </c>
      <c r="Q2868" s="75" t="str">
        <f>IF(AND(B2868='111'!$L$11,OR($N2868=$Q$7,$O2868=$Q$7)),"x","")</f>
        <v/>
      </c>
      <c r="R2868" s="75" t="str">
        <f>IF(AND($N2868=$Q$7,$B2868&lt;'111'!$L$11),"x","")</f>
        <v/>
      </c>
      <c r="S2868" s="75" t="str">
        <f>IF(AND($O2868=$Q$7,$B2868&lt;'111'!$L$11),"x","")</f>
        <v/>
      </c>
      <c r="T2868" s="75" t="str">
        <f>IF(ISERROR(FIND('112'!$M$9,G2868,1)),"",IF((AND(FIND('112'!$M$9,G2868,1)&gt;=1,B2868='112'!$K$9,OR($N2868='112'!$I$6,$O2868='112'!$I$6))),"x",""))</f>
        <v/>
      </c>
      <c r="U2868" s="75" t="str">
        <f>IF(ISERROR(FIND('112'!$M$9,G2868,1)),"",IF((AND(LEFT(G2868,2)=LEFT('112'!$M$9,2),B2868&lt;'112'!$K$9,$N2868='112'!$I$6)),"x",""))</f>
        <v/>
      </c>
      <c r="V2868" s="75" t="str">
        <f>IF(ISERROR(FIND('112'!$M$9,G2868,1)),"",IF((AND(RIGHT(G2868,2)=RIGHT('112'!$M$9,2),B2868&lt;'112'!$K$9,$O2868='112'!$I$6)),"x",""))</f>
        <v/>
      </c>
      <c r="W2868" s="75" t="str">
        <f>IF(AND('341-CT'!$H$9=H2868,OR(LEFT(N2868,3)=$W$7,LEFT(O2868,3)=$W$7)),"x","")</f>
        <v/>
      </c>
      <c r="X2868" s="75" t="str">
        <f>IF(OR(TH!N2868=TH!$X$7,O2868=TH!$X$7),"x","")</f>
        <v/>
      </c>
      <c r="Y2868" s="75" t="str">
        <f>IF(AND(OR(N2868="131",O2868="131"),H2868='131-CT'!$H$9),"x","")</f>
        <v/>
      </c>
      <c r="Z2868" s="75"/>
      <c r="AA2868" s="75" t="str">
        <f>IF(AND(MONTH(E2868)='IN-NX'!$J$5,'IN-NX'!$D$7=D2868),"x","")</f>
        <v/>
      </c>
      <c r="AB2868" s="75" t="str">
        <f>IF(AND(OR(LEFT(TH!N2868,2)="15",LEFT(TH!O2868,2)="15"),LEFT(TH!O2868,3)&lt;&gt;"111",'152-CT'!$J$8=TH!F2868),"x","")</f>
        <v/>
      </c>
      <c r="AC2868" s="75" t="str">
        <f>IF(AND(OR(LEFT(TH!N2868,2)="15",LEFT(TH!O2868,2)="15"),TK!$E$7=TH!F2868),"x","")</f>
        <v/>
      </c>
      <c r="AD2868" s="75" t="str">
        <f>IF(AND(N2868="1521",MONTH(C2868)='BK-NL'!$M$11),"x","")</f>
        <v/>
      </c>
    </row>
    <row r="2869" spans="1:30" s="1264" customFormat="1" ht="16.5" customHeight="1">
      <c r="A2869" s="309" t="str">
        <f>IF(B2869&lt;&gt;"",IF(AND(B2869='IN-TC'!$S$4,OR(TH!N2869="1111",TH!O2869="1111")),TH!D2869,""),"")</f>
        <v/>
      </c>
      <c r="B2869" s="1275">
        <f t="shared" si="1009"/>
        <v>5</v>
      </c>
      <c r="C2869" s="71">
        <v>42872</v>
      </c>
      <c r="D2869" s="71" t="s">
        <v>902</v>
      </c>
      <c r="E2869" s="929">
        <f t="shared" si="1023"/>
        <v>42872</v>
      </c>
      <c r="F2869" s="72" t="s">
        <v>1321</v>
      </c>
      <c r="G2869" s="72" t="s">
        <v>747</v>
      </c>
      <c r="H2869" s="73" t="s">
        <v>2447</v>
      </c>
      <c r="I2869" s="73"/>
      <c r="J2869" s="377"/>
      <c r="K2869" s="371">
        <v>51100</v>
      </c>
      <c r="L2869" s="1214">
        <v>22677</v>
      </c>
      <c r="M2869" s="74">
        <f t="shared" si="1022"/>
        <v>1158794700</v>
      </c>
      <c r="N2869" s="75" t="s">
        <v>250</v>
      </c>
      <c r="O2869" s="934" t="s">
        <v>256</v>
      </c>
      <c r="P2869" s="75" t="str">
        <f>IF(AND('331-CT'!$E$7=TH!H2869,OR(N2869="331",O2869="331")),"x","")</f>
        <v/>
      </c>
      <c r="Q2869" s="75" t="str">
        <f>IF(AND(B2869='111'!$L$11,OR($N2869=$Q$7,$O2869=$Q$7)),"x","")</f>
        <v/>
      </c>
      <c r="R2869" s="75" t="str">
        <f>IF(AND($N2869=$Q$7,$B2869&lt;'111'!$L$11),"x","")</f>
        <v/>
      </c>
      <c r="S2869" s="75" t="str">
        <f>IF(AND($O2869=$Q$7,$B2869&lt;'111'!$L$11),"x","")</f>
        <v/>
      </c>
      <c r="T2869" s="75" t="str">
        <f>IF(ISERROR(FIND('112'!$M$9,G2869,1)),"",IF((AND(FIND('112'!$M$9,G2869,1)&gt;=1,B2869='112'!$K$9,OR($N2869='112'!$I$6,$O2869='112'!$I$6))),"x",""))</f>
        <v/>
      </c>
      <c r="U2869" s="75" t="str">
        <f>IF(ISERROR(FIND('112'!$M$9,G2869,1)),"",IF((AND(LEFT(G2869,2)=LEFT('112'!$M$9,2),B2869&lt;'112'!$K$9,$N2869='112'!$I$6)),"x",""))</f>
        <v/>
      </c>
      <c r="V2869" s="75" t="str">
        <f>IF(ISERROR(FIND('112'!$M$9,G2869,1)),"",IF((AND(RIGHT(G2869,2)=RIGHT('112'!$M$9,2),B2869&lt;'112'!$K$9,$O2869='112'!$I$6)),"x",""))</f>
        <v/>
      </c>
      <c r="W2869" s="75" t="str">
        <f>IF(AND('341-CT'!$H$9=H2869,OR(LEFT(N2869,3)=$W$7,LEFT(O2869,3)=$W$7)),"x","")</f>
        <v/>
      </c>
      <c r="X2869" s="75" t="str">
        <f>IF(OR(TH!N2869=TH!$X$7,O2869=TH!$X$7),"x","")</f>
        <v/>
      </c>
      <c r="Y2869" s="75" t="str">
        <f>IF(AND(OR(N2869="131",O2869="131"),H2869='131-CT'!$H$9),"x","")</f>
        <v/>
      </c>
      <c r="Z2869" s="75"/>
      <c r="AA2869" s="75" t="str">
        <f>IF(AND(MONTH(E2869)='IN-NX'!$J$5,'IN-NX'!$D$7=D2869),"x","")</f>
        <v/>
      </c>
      <c r="AB2869" s="75" t="str">
        <f>IF(AND(OR(LEFT(TH!N2869,2)="15",LEFT(TH!O2869,2)="15"),LEFT(TH!O2869,3)&lt;&gt;"111",'152-CT'!$J$8=TH!F2869),"x","")</f>
        <v/>
      </c>
      <c r="AC2869" s="75" t="str">
        <f>IF(AND(OR(LEFT(TH!N2869,2)="15",LEFT(TH!O2869,2)="15"),TK!$E$7=TH!F2869),"x","")</f>
        <v/>
      </c>
      <c r="AD2869" s="75" t="str">
        <f>IF(AND(N2869="1521",MONTH(C2869)='BK-NL'!$M$11),"x","")</f>
        <v/>
      </c>
    </row>
    <row r="2870" spans="1:30" s="1264" customFormat="1" ht="16.5" customHeight="1">
      <c r="A2870" s="309" t="str">
        <f>IF(B2870&lt;&gt;"",IF(AND(B2870='IN-TC'!$S$4,OR(TH!N2870="1111",TH!O2870="1111")),TH!D2870,""),"")</f>
        <v/>
      </c>
      <c r="B2870" s="1275">
        <f t="shared" si="1009"/>
        <v>5</v>
      </c>
      <c r="C2870" s="71">
        <v>42872</v>
      </c>
      <c r="D2870" s="71" t="s">
        <v>902</v>
      </c>
      <c r="E2870" s="929">
        <f t="shared" ref="E2870" si="1024">C2870</f>
        <v>42872</v>
      </c>
      <c r="F2870" s="72" t="s">
        <v>1010</v>
      </c>
      <c r="G2870" s="72" t="s">
        <v>747</v>
      </c>
      <c r="H2870" s="73" t="s">
        <v>2447</v>
      </c>
      <c r="I2870" s="73"/>
      <c r="J2870" s="377"/>
      <c r="K2870" s="371"/>
      <c r="L2870" s="1214"/>
      <c r="M2870" s="933">
        <v>6336400</v>
      </c>
      <c r="N2870" s="75" t="s">
        <v>99</v>
      </c>
      <c r="O2870" s="934" t="s">
        <v>250</v>
      </c>
      <c r="P2870" s="75" t="str">
        <f>IF(AND('331-CT'!$E$7=TH!H2870,OR(N2870="331",O2870="331")),"x","")</f>
        <v/>
      </c>
      <c r="Q2870" s="75" t="str">
        <f>IF(AND(B2870='111'!$L$11,OR($N2870=$Q$7,$O2870=$Q$7)),"x","")</f>
        <v/>
      </c>
      <c r="R2870" s="75" t="str">
        <f>IF(AND($N2870=$Q$7,$B2870&lt;'111'!$L$11),"x","")</f>
        <v/>
      </c>
      <c r="S2870" s="75" t="str">
        <f>IF(AND($O2870=$Q$7,$B2870&lt;'111'!$L$11),"x","")</f>
        <v/>
      </c>
      <c r="T2870" s="75" t="str">
        <f>IF(ISERROR(FIND('112'!$M$9,G2870,1)),"",IF((AND(FIND('112'!$M$9,G2870,1)&gt;=1,B2870='112'!$K$9,OR($N2870='112'!$I$6,$O2870='112'!$I$6))),"x",""))</f>
        <v/>
      </c>
      <c r="U2870" s="75" t="str">
        <f>IF(ISERROR(FIND('112'!$M$9,G2870,1)),"",IF((AND(LEFT(G2870,2)=LEFT('112'!$M$9,2),B2870&lt;'112'!$K$9,$N2870='112'!$I$6)),"x",""))</f>
        <v/>
      </c>
      <c r="V2870" s="75" t="str">
        <f>IF(ISERROR(FIND('112'!$M$9,G2870,1)),"",IF((AND(RIGHT(G2870,2)=RIGHT('112'!$M$9,2),B2870&lt;'112'!$K$9,$O2870='112'!$I$6)),"x",""))</f>
        <v/>
      </c>
      <c r="W2870" s="75" t="str">
        <f>IF(AND('341-CT'!$H$9=H2870,OR(LEFT(N2870,3)=$W$7,LEFT(O2870,3)=$W$7)),"x","")</f>
        <v/>
      </c>
      <c r="X2870" s="75" t="str">
        <f>IF(OR(TH!N2870=TH!$X$7,O2870=TH!$X$7),"x","")</f>
        <v/>
      </c>
      <c r="Y2870" s="75" t="str">
        <f>IF(AND(OR(N2870="131",O2870="131"),H2870='131-CT'!$H$9),"x","")</f>
        <v/>
      </c>
      <c r="Z2870" s="75"/>
      <c r="AA2870" s="75" t="str">
        <f>IF(AND(MONTH(E2870)='IN-NX'!$J$5,'IN-NX'!$D$7=D2870),"x","")</f>
        <v/>
      </c>
      <c r="AB2870" s="75" t="str">
        <f>IF(AND(OR(LEFT(TH!N2870,2)="15",LEFT(TH!O2870,2)="15"),LEFT(TH!O2870,3)&lt;&gt;"111",'152-CT'!$J$8=TH!F2870),"x","")</f>
        <v/>
      </c>
      <c r="AC2870" s="75" t="str">
        <f>IF(AND(OR(LEFT(TH!N2870,2)="15",LEFT(TH!O2870,2)="15"),TK!$E$7=TH!F2870),"x","")</f>
        <v/>
      </c>
      <c r="AD2870" s="75" t="str">
        <f>IF(AND(N2870="1521",MONTH(C2870)='BK-NL'!$M$11),"x","")</f>
        <v/>
      </c>
    </row>
    <row r="2871" spans="1:30" s="1264" customFormat="1" ht="16.5" customHeight="1">
      <c r="A2871" s="309" t="str">
        <f>IF(B2871&lt;&gt;"",IF(AND(B2871='IN-TC'!$S$4,OR(TH!N2871="1111",TH!O2871="1111")),TH!D2871,""),"")</f>
        <v/>
      </c>
      <c r="B2871" s="1275">
        <f t="shared" si="1009"/>
        <v>5</v>
      </c>
      <c r="C2871" s="71">
        <v>42872</v>
      </c>
      <c r="D2871" s="71" t="s">
        <v>902</v>
      </c>
      <c r="E2871" s="929">
        <f t="shared" si="1008"/>
        <v>42872</v>
      </c>
      <c r="F2871" s="72" t="s">
        <v>1096</v>
      </c>
      <c r="G2871" s="72" t="s">
        <v>747</v>
      </c>
      <c r="H2871" s="73" t="s">
        <v>835</v>
      </c>
      <c r="I2871" s="73"/>
      <c r="J2871" s="1214"/>
      <c r="K2871" s="1213">
        <v>6.46</v>
      </c>
      <c r="L2871" s="1214">
        <v>22677</v>
      </c>
      <c r="M2871" s="74">
        <f t="shared" ref="M2871" si="1025">ROUND(K2871*L2871,0)</f>
        <v>146493</v>
      </c>
      <c r="N2871" s="75" t="s">
        <v>99</v>
      </c>
      <c r="O2871" s="934" t="s">
        <v>256</v>
      </c>
      <c r="P2871" s="75" t="str">
        <f>IF(AND('331-CT'!$E$7=TH!H2871,OR(N2871="331",O2871="331")),"x","")</f>
        <v/>
      </c>
      <c r="Q2871" s="75" t="str">
        <f>IF(AND(B2871='111'!$L$11,OR($N2871=$Q$7,$O2871=$Q$7)),"x","")</f>
        <v/>
      </c>
      <c r="R2871" s="75" t="str">
        <f>IF(AND($N2871=$Q$7,$B2871&lt;'111'!$L$11),"x","")</f>
        <v/>
      </c>
      <c r="S2871" s="75" t="str">
        <f>IF(AND($O2871=$Q$7,$B2871&lt;'111'!$L$11),"x","")</f>
        <v/>
      </c>
      <c r="T2871" s="75" t="str">
        <f>IF(ISERROR(FIND('112'!$M$9,G2871,1)),"",IF((AND(FIND('112'!$M$9,G2871,1)&gt;=1,B2871='112'!$K$9,OR($N2871='112'!$I$6,$O2871='112'!$I$6))),"x",""))</f>
        <v/>
      </c>
      <c r="U2871" s="75" t="str">
        <f>IF(ISERROR(FIND('112'!$M$9,G2871,1)),"",IF((AND(LEFT(G2871,2)=LEFT('112'!$M$9,2),B2871&lt;'112'!$K$9,$N2871='112'!$I$6)),"x",""))</f>
        <v/>
      </c>
      <c r="V2871" s="75" t="str">
        <f>IF(ISERROR(FIND('112'!$M$9,G2871,1)),"",IF((AND(RIGHT(G2871,2)=RIGHT('112'!$M$9,2),B2871&lt;'112'!$K$9,$O2871='112'!$I$6)),"x",""))</f>
        <v/>
      </c>
      <c r="W2871" s="75" t="str">
        <f>IF(AND('341-CT'!$H$9=H2871,OR(LEFT(N2871,3)=$W$7,LEFT(O2871,3)=$W$7)),"x","")</f>
        <v/>
      </c>
      <c r="X2871" s="75" t="str">
        <f>IF(OR(TH!N2871=TH!$X$7,O2871=TH!$X$7),"x","")</f>
        <v/>
      </c>
      <c r="Y2871" s="75" t="str">
        <f>IF(AND(OR(N2871="131",O2871="131"),H2871='131-CT'!$H$9),"x","")</f>
        <v/>
      </c>
      <c r="Z2871" s="75"/>
      <c r="AA2871" s="75" t="str">
        <f>IF(AND(MONTH(E2871)='IN-NX'!$J$5,'IN-NX'!$D$7=D2871),"x","")</f>
        <v/>
      </c>
      <c r="AB2871" s="75" t="str">
        <f>IF(AND(OR(LEFT(TH!N2871,2)="15",LEFT(TH!O2871,2)="15"),LEFT(TH!O2871,3)&lt;&gt;"111",'152-CT'!$J$8=TH!F2871),"x","")</f>
        <v/>
      </c>
      <c r="AC2871" s="75" t="str">
        <f>IF(AND(OR(LEFT(TH!N2871,2)="15",LEFT(TH!O2871,2)="15"),TK!$E$7=TH!F2871),"x","")</f>
        <v/>
      </c>
      <c r="AD2871" s="75" t="str">
        <f>IF(AND(N2871="1521",MONTH(C2871)='BK-NL'!$M$11),"x","")</f>
        <v/>
      </c>
    </row>
    <row r="2872" spans="1:30" s="1264" customFormat="1" ht="16.5" customHeight="1">
      <c r="A2872" s="309" t="str">
        <f>IF(B2872&lt;&gt;"",IF(AND(B2872='IN-TC'!$S$4,OR(TH!N2872="1111",TH!O2872="1111")),TH!D2872,""),"")</f>
        <v/>
      </c>
      <c r="B2872" s="1275">
        <f t="shared" si="1009"/>
        <v>5</v>
      </c>
      <c r="C2872" s="71">
        <v>42873</v>
      </c>
      <c r="D2872" s="71" t="s">
        <v>903</v>
      </c>
      <c r="E2872" s="929">
        <f t="shared" si="1008"/>
        <v>42873</v>
      </c>
      <c r="F2872" s="72" t="s">
        <v>1086</v>
      </c>
      <c r="G2872" s="72" t="s">
        <v>747</v>
      </c>
      <c r="H2872" s="73" t="s">
        <v>759</v>
      </c>
      <c r="I2872" s="73"/>
      <c r="J2872" s="1214"/>
      <c r="K2872" s="1213">
        <v>174747.2</v>
      </c>
      <c r="L2872" s="1214">
        <v>22670</v>
      </c>
      <c r="M2872" s="1214">
        <f t="shared" ref="M2872" si="1026">ROUND(K2872*L2872,0)</f>
        <v>3961519024</v>
      </c>
      <c r="N2872" s="75" t="s">
        <v>256</v>
      </c>
      <c r="O2872" s="75" t="s">
        <v>536</v>
      </c>
      <c r="P2872" s="75" t="str">
        <f>IF(AND('331-CT'!$E$7=TH!H2872,OR(N2872="331",O2872="331")),"x","")</f>
        <v/>
      </c>
      <c r="Q2872" s="75" t="str">
        <f>IF(AND(B2872='111'!$L$11,OR($N2872=$Q$7,$O2872=$Q$7)),"x","")</f>
        <v/>
      </c>
      <c r="R2872" s="75" t="str">
        <f>IF(AND($N2872=$Q$7,$B2872&lt;'111'!$L$11),"x","")</f>
        <v/>
      </c>
      <c r="S2872" s="75" t="str">
        <f>IF(AND($O2872=$Q$7,$B2872&lt;'111'!$L$11),"x","")</f>
        <v/>
      </c>
      <c r="T2872" s="75" t="str">
        <f>IF(ISERROR(FIND('112'!$M$9,G2872,1)),"",IF((AND(FIND('112'!$M$9,G2872,1)&gt;=1,B2872='112'!$K$9,OR($N2872='112'!$I$6,$O2872='112'!$I$6))),"x",""))</f>
        <v/>
      </c>
      <c r="U2872" s="75" t="str">
        <f>IF(ISERROR(FIND('112'!$M$9,G2872,1)),"",IF((AND(LEFT(G2872,2)=LEFT('112'!$M$9,2),B2872&lt;'112'!$K$9,$N2872='112'!$I$6)),"x",""))</f>
        <v/>
      </c>
      <c r="V2872" s="75" t="str">
        <f>IF(ISERROR(FIND('112'!$M$9,G2872,1)),"",IF((AND(RIGHT(G2872,2)=RIGHT('112'!$M$9,2),B2872&lt;'112'!$K$9,$O2872='112'!$I$6)),"x",""))</f>
        <v/>
      </c>
      <c r="W2872" s="75" t="str">
        <f>IF(AND('341-CT'!$H$9=H2872,OR(LEFT(N2872,3)=$W$7,LEFT(O2872,3)=$W$7)),"x","")</f>
        <v/>
      </c>
      <c r="X2872" s="75" t="str">
        <f>IF(OR(TH!N2872=TH!$X$7,O2872=TH!$X$7),"x","")</f>
        <v/>
      </c>
      <c r="Y2872" s="75" t="str">
        <f>IF(AND(OR(N2872="131",O2872="131"),H2872='131-CT'!$H$9),"x","")</f>
        <v/>
      </c>
      <c r="Z2872" s="75"/>
      <c r="AA2872" s="75" t="str">
        <f>IF(AND(MONTH(E2872)='IN-NX'!$J$5,'IN-NX'!$D$7=D2872),"x","")</f>
        <v/>
      </c>
      <c r="AB2872" s="75" t="str">
        <f>IF(AND(OR(LEFT(TH!N2872,2)="15",LEFT(TH!O2872,2)="15"),LEFT(TH!O2872,3)&lt;&gt;"111",'152-CT'!$J$8=TH!F2872),"x","")</f>
        <v/>
      </c>
      <c r="AC2872" s="75" t="str">
        <f>IF(AND(OR(LEFT(TH!N2872,2)="15",LEFT(TH!O2872,2)="15"),TK!$E$7=TH!F2872),"x","")</f>
        <v/>
      </c>
      <c r="AD2872" s="75" t="str">
        <f>IF(AND(N2872="1521",MONTH(C2872)='BK-NL'!$M$11),"x","")</f>
        <v/>
      </c>
    </row>
    <row r="2873" spans="1:30" s="1264" customFormat="1" ht="16.5" customHeight="1">
      <c r="A2873" s="309" t="str">
        <f>IF(B2873&lt;&gt;"",IF(AND(B2873='IN-TC'!$S$4,OR(TH!N2873="1111",TH!O2873="1111")),TH!D2873,""),"")</f>
        <v/>
      </c>
      <c r="B2873" s="1275">
        <f t="shared" si="1009"/>
        <v>5</v>
      </c>
      <c r="C2873" s="71">
        <v>42873</v>
      </c>
      <c r="D2873" s="71" t="s">
        <v>530</v>
      </c>
      <c r="E2873" s="929">
        <f t="shared" si="1008"/>
        <v>42873</v>
      </c>
      <c r="F2873" s="72" t="s">
        <v>1027</v>
      </c>
      <c r="G2873" s="72" t="s">
        <v>747</v>
      </c>
      <c r="H2873" s="73" t="s">
        <v>759</v>
      </c>
      <c r="I2873" s="73"/>
      <c r="J2873" s="1214"/>
      <c r="K2873" s="1213">
        <v>12</v>
      </c>
      <c r="L2873" s="1214">
        <v>22670</v>
      </c>
      <c r="M2873" s="933">
        <f t="shared" ref="M2873:M2914" si="1027">ROUND(L2873*K2873,0)</f>
        <v>272040</v>
      </c>
      <c r="N2873" s="75" t="s">
        <v>101</v>
      </c>
      <c r="O2873" s="75" t="s">
        <v>536</v>
      </c>
      <c r="P2873" s="75" t="str">
        <f>IF(AND('331-CT'!$E$7=TH!H2873,OR(N2873="331",O2873="331")),"x","")</f>
        <v/>
      </c>
      <c r="Q2873" s="75" t="str">
        <f>IF(AND(B2873='111'!$L$11,OR($N2873=$Q$7,$O2873=$Q$7)),"x","")</f>
        <v/>
      </c>
      <c r="R2873" s="75" t="str">
        <f>IF(AND($N2873=$Q$7,$B2873&lt;'111'!$L$11),"x","")</f>
        <v/>
      </c>
      <c r="S2873" s="75" t="str">
        <f>IF(AND($O2873=$Q$7,$B2873&lt;'111'!$L$11),"x","")</f>
        <v/>
      </c>
      <c r="T2873" s="75" t="str">
        <f>IF(ISERROR(FIND('112'!$M$9,G2873,1)),"",IF((AND(FIND('112'!$M$9,G2873,1)&gt;=1,B2873='112'!$K$9,OR($N2873='112'!$I$6,$O2873='112'!$I$6))),"x",""))</f>
        <v/>
      </c>
      <c r="U2873" s="75" t="str">
        <f>IF(ISERROR(FIND('112'!$M$9,G2873,1)),"",IF((AND(LEFT(G2873,2)=LEFT('112'!$M$9,2),B2873&lt;'112'!$K$9,$N2873='112'!$I$6)),"x",""))</f>
        <v/>
      </c>
      <c r="V2873" s="75" t="str">
        <f>IF(ISERROR(FIND('112'!$M$9,G2873,1)),"",IF((AND(RIGHT(G2873,2)=RIGHT('112'!$M$9,2),B2873&lt;'112'!$K$9,$O2873='112'!$I$6)),"x",""))</f>
        <v/>
      </c>
      <c r="W2873" s="75" t="str">
        <f>IF(AND('341-CT'!$H$9=H2873,OR(LEFT(N2873,3)=$W$7,LEFT(O2873,3)=$W$7)),"x","")</f>
        <v/>
      </c>
      <c r="X2873" s="75" t="str">
        <f>IF(OR(TH!N2873=TH!$X$7,O2873=TH!$X$7),"x","")</f>
        <v/>
      </c>
      <c r="Y2873" s="75" t="str">
        <f>IF(AND(OR(N2873="131",O2873="131"),H2873='131-CT'!$H$9),"x","")</f>
        <v/>
      </c>
      <c r="Z2873" s="75"/>
      <c r="AA2873" s="75" t="str">
        <f>IF(AND(MONTH(E2873)='IN-NX'!$J$5,'IN-NX'!$D$7=D2873),"x","")</f>
        <v/>
      </c>
      <c r="AB2873" s="75" t="str">
        <f>IF(AND(OR(LEFT(TH!N2873,2)="15",LEFT(TH!O2873,2)="15"),LEFT(TH!O2873,3)&lt;&gt;"111",'152-CT'!$J$8=TH!F2873),"x","")</f>
        <v/>
      </c>
      <c r="AC2873" s="75" t="str">
        <f>IF(AND(OR(LEFT(TH!N2873,2)="15",LEFT(TH!O2873,2)="15"),TK!$E$7=TH!F2873),"x","")</f>
        <v/>
      </c>
      <c r="AD2873" s="75" t="str">
        <f>IF(AND(N2873="1521",MONTH(C2873)='BK-NL'!$M$11),"x","")</f>
        <v/>
      </c>
    </row>
    <row r="2874" spans="1:30" s="1264" customFormat="1" ht="16.5" customHeight="1">
      <c r="A2874" s="309" t="str">
        <f>IF(B2874&lt;&gt;"",IF(AND(B2874='IN-TC'!$S$4,OR(TH!N2874="1111",TH!O2874="1111")),TH!D2874,""),"")</f>
        <v/>
      </c>
      <c r="B2874" s="1275">
        <f t="shared" si="1009"/>
        <v>5</v>
      </c>
      <c r="C2874" s="929">
        <v>42874</v>
      </c>
      <c r="D2874" s="71" t="s">
        <v>902</v>
      </c>
      <c r="E2874" s="929">
        <f t="shared" si="1008"/>
        <v>42874</v>
      </c>
      <c r="F2874" s="73" t="s">
        <v>907</v>
      </c>
      <c r="G2874" s="930" t="s">
        <v>747</v>
      </c>
      <c r="H2874" s="296" t="s">
        <v>835</v>
      </c>
      <c r="I2874" s="73"/>
      <c r="J2874" s="377"/>
      <c r="K2874" s="371">
        <v>185000</v>
      </c>
      <c r="L2874" s="377">
        <v>22686</v>
      </c>
      <c r="M2874" s="933">
        <f t="shared" si="1027"/>
        <v>4196910000</v>
      </c>
      <c r="N2874" s="934" t="s">
        <v>26</v>
      </c>
      <c r="O2874" s="934" t="s">
        <v>256</v>
      </c>
      <c r="P2874" s="75" t="str">
        <f>IF(AND('331-CT'!$E$7=TH!H2874,OR(N2874="331",O2874="331")),"x","")</f>
        <v/>
      </c>
      <c r="Q2874" s="75" t="str">
        <f>IF(AND(B2874='111'!$L$11,OR($N2874=$Q$7,$O2874=$Q$7)),"x","")</f>
        <v/>
      </c>
      <c r="R2874" s="75" t="str">
        <f>IF(AND($N2874=$Q$7,$B2874&lt;'111'!$L$11),"x","")</f>
        <v/>
      </c>
      <c r="S2874" s="75" t="str">
        <f>IF(AND($O2874=$Q$7,$B2874&lt;'111'!$L$11),"x","")</f>
        <v/>
      </c>
      <c r="T2874" s="75" t="str">
        <f>IF(ISERROR(FIND('112'!$M$9,G2874,1)),"",IF((AND(FIND('112'!$M$9,G2874,1)&gt;=1,B2874='112'!$K$9,OR($N2874='112'!$I$6,$O2874='112'!$I$6))),"x",""))</f>
        <v/>
      </c>
      <c r="U2874" s="75" t="str">
        <f>IF(ISERROR(FIND('112'!$M$9,G2874,1)),"",IF((AND(LEFT(G2874,2)=LEFT('112'!$M$9,2),B2874&lt;'112'!$K$9,$N2874='112'!$I$6)),"x",""))</f>
        <v/>
      </c>
      <c r="V2874" s="75" t="str">
        <f>IF(ISERROR(FIND('112'!$M$9,G2874,1)),"",IF((AND(RIGHT(G2874,2)=RIGHT('112'!$M$9,2),B2874&lt;'112'!$K$9,$O2874='112'!$I$6)),"x",""))</f>
        <v/>
      </c>
      <c r="W2874" s="75" t="str">
        <f>IF(AND('341-CT'!$H$9=H2874,OR(LEFT(N2874,3)=$W$7,LEFT(O2874,3)=$W$7)),"x","")</f>
        <v/>
      </c>
      <c r="X2874" s="75" t="str">
        <f>IF(OR(TH!N2874=TH!$X$7,O2874=TH!$X$7),"x","")</f>
        <v/>
      </c>
      <c r="Y2874" s="75" t="str">
        <f>IF(AND(OR(N2874="131",O2874="131"),H2874='131-CT'!$H$9),"x","")</f>
        <v/>
      </c>
      <c r="Z2874" s="75"/>
      <c r="AA2874" s="75" t="str">
        <f>IF(AND(MONTH(E2874)='IN-NX'!$J$5,'IN-NX'!$D$7=D2874),"x","")</f>
        <v/>
      </c>
      <c r="AB2874" s="75" t="str">
        <f>IF(AND(OR(LEFT(TH!N2874,2)="15",LEFT(TH!O2874,2)="15"),LEFT(TH!O2874,3)&lt;&gt;"111",'152-CT'!$J$8=TH!F2874),"x","")</f>
        <v/>
      </c>
      <c r="AC2874" s="75" t="str">
        <f>IF(AND(OR(LEFT(TH!N2874,2)="15",LEFT(TH!O2874,2)="15"),TK!$E$7=TH!F2874),"x","")</f>
        <v/>
      </c>
      <c r="AD2874" s="75" t="str">
        <f>IF(AND(N2874="1521",MONTH(C2874)='BK-NL'!$M$11),"x","")</f>
        <v/>
      </c>
    </row>
    <row r="2875" spans="1:30" s="1264" customFormat="1" ht="16.5" customHeight="1">
      <c r="A2875" s="309" t="str">
        <f>IF(B2875&lt;&gt;"",IF(AND(B2875='IN-TC'!$S$4,OR(TH!N2875="1111",TH!O2875="1111")),TH!D2875,""),"")</f>
        <v/>
      </c>
      <c r="B2875" s="1275">
        <f t="shared" si="1009"/>
        <v>5</v>
      </c>
      <c r="C2875" s="71">
        <v>42874</v>
      </c>
      <c r="D2875" s="71" t="s">
        <v>903</v>
      </c>
      <c r="E2875" s="929">
        <f t="shared" si="1008"/>
        <v>42874</v>
      </c>
      <c r="F2875" s="72" t="s">
        <v>1086</v>
      </c>
      <c r="G2875" s="72" t="s">
        <v>747</v>
      </c>
      <c r="H2875" s="735" t="s">
        <v>1387</v>
      </c>
      <c r="I2875" s="73"/>
      <c r="J2875" s="1214"/>
      <c r="K2875" s="1213">
        <v>10663.29</v>
      </c>
      <c r="L2875" s="1214">
        <v>22670</v>
      </c>
      <c r="M2875" s="1214">
        <f t="shared" ref="M2875" si="1028">ROUND(K2875*L2875,0)</f>
        <v>241736784</v>
      </c>
      <c r="N2875" s="75" t="s">
        <v>256</v>
      </c>
      <c r="O2875" s="75" t="s">
        <v>536</v>
      </c>
      <c r="P2875" s="75" t="str">
        <f>IF(AND('331-CT'!$E$7=TH!H2875,OR(N2875="331",O2875="331")),"x","")</f>
        <v/>
      </c>
      <c r="Q2875" s="75" t="str">
        <f>IF(AND(B2875='111'!$L$11,OR($N2875=$Q$7,$O2875=$Q$7)),"x","")</f>
        <v/>
      </c>
      <c r="R2875" s="75" t="str">
        <f>IF(AND($N2875=$Q$7,$B2875&lt;'111'!$L$11),"x","")</f>
        <v/>
      </c>
      <c r="S2875" s="75" t="str">
        <f>IF(AND($O2875=$Q$7,$B2875&lt;'111'!$L$11),"x","")</f>
        <v/>
      </c>
      <c r="T2875" s="75" t="str">
        <f>IF(ISERROR(FIND('112'!$M$9,G2875,1)),"",IF((AND(FIND('112'!$M$9,G2875,1)&gt;=1,B2875='112'!$K$9,OR($N2875='112'!$I$6,$O2875='112'!$I$6))),"x",""))</f>
        <v/>
      </c>
      <c r="U2875" s="75" t="str">
        <f>IF(ISERROR(FIND('112'!$M$9,G2875,1)),"",IF((AND(LEFT(G2875,2)=LEFT('112'!$M$9,2),B2875&lt;'112'!$K$9,$N2875='112'!$I$6)),"x",""))</f>
        <v/>
      </c>
      <c r="V2875" s="75" t="str">
        <f>IF(ISERROR(FIND('112'!$M$9,G2875,1)),"",IF((AND(RIGHT(G2875,2)=RIGHT('112'!$M$9,2),B2875&lt;'112'!$K$9,$O2875='112'!$I$6)),"x",""))</f>
        <v/>
      </c>
      <c r="W2875" s="75" t="str">
        <f>IF(AND('341-CT'!$H$9=H2875,OR(LEFT(N2875,3)=$W$7,LEFT(O2875,3)=$W$7)),"x","")</f>
        <v/>
      </c>
      <c r="X2875" s="75" t="str">
        <f>IF(OR(TH!N2875=TH!$X$7,O2875=TH!$X$7),"x","")</f>
        <v/>
      </c>
      <c r="Y2875" s="75" t="str">
        <f>IF(AND(OR(N2875="131",O2875="131"),H2875='131-CT'!$H$9),"x","")</f>
        <v/>
      </c>
      <c r="Z2875" s="75"/>
      <c r="AA2875" s="75" t="str">
        <f>IF(AND(MONTH(E2875)='IN-NX'!$J$5,'IN-NX'!$D$7=D2875),"x","")</f>
        <v/>
      </c>
      <c r="AB2875" s="75" t="str">
        <f>IF(AND(OR(LEFT(TH!N2875,2)="15",LEFT(TH!O2875,2)="15"),LEFT(TH!O2875,3)&lt;&gt;"111",'152-CT'!$J$8=TH!F2875),"x","")</f>
        <v/>
      </c>
      <c r="AC2875" s="75" t="str">
        <f>IF(AND(OR(LEFT(TH!N2875,2)="15",LEFT(TH!O2875,2)="15"),TK!$E$7=TH!F2875),"x","")</f>
        <v/>
      </c>
      <c r="AD2875" s="75" t="str">
        <f>IF(AND(N2875="1521",MONTH(C2875)='BK-NL'!$M$11),"x","")</f>
        <v/>
      </c>
    </row>
    <row r="2876" spans="1:30" s="1264" customFormat="1" ht="16.5" customHeight="1">
      <c r="A2876" s="309" t="str">
        <f>IF(B2876&lt;&gt;"",IF(AND(B2876='IN-TC'!$S$4,OR(TH!N2876="1111",TH!O2876="1111")),TH!D2876,""),"")</f>
        <v/>
      </c>
      <c r="B2876" s="1275">
        <f t="shared" si="1009"/>
        <v>5</v>
      </c>
      <c r="C2876" s="71">
        <v>42874</v>
      </c>
      <c r="D2876" s="71" t="s">
        <v>530</v>
      </c>
      <c r="E2876" s="71">
        <f t="shared" ref="E2876:E2909" si="1029">C2876</f>
        <v>42874</v>
      </c>
      <c r="F2876" s="72" t="s">
        <v>1027</v>
      </c>
      <c r="G2876" s="72" t="s">
        <v>747</v>
      </c>
      <c r="H2876" s="735" t="s">
        <v>1387</v>
      </c>
      <c r="I2876" s="73"/>
      <c r="J2876" s="377"/>
      <c r="K2876" s="371">
        <v>36.71</v>
      </c>
      <c r="L2876" s="1214">
        <v>22670</v>
      </c>
      <c r="M2876" s="933">
        <f t="shared" si="1027"/>
        <v>832216</v>
      </c>
      <c r="N2876" s="75" t="s">
        <v>101</v>
      </c>
      <c r="O2876" s="75" t="s">
        <v>536</v>
      </c>
      <c r="P2876" s="75" t="str">
        <f>IF(AND('331-CT'!$E$7=TH!H2876,OR(N2876="331",O2876="331")),"x","")</f>
        <v/>
      </c>
      <c r="Q2876" s="75" t="str">
        <f>IF(AND(B2876='111'!$L$11,OR($N2876=$Q$7,$O2876=$Q$7)),"x","")</f>
        <v/>
      </c>
      <c r="R2876" s="75" t="str">
        <f>IF(AND($N2876=$Q$7,$B2876&lt;'111'!$L$11),"x","")</f>
        <v/>
      </c>
      <c r="S2876" s="75" t="str">
        <f>IF(AND($O2876=$Q$7,$B2876&lt;'111'!$L$11),"x","")</f>
        <v/>
      </c>
      <c r="T2876" s="75" t="str">
        <f>IF(ISERROR(FIND('112'!$M$9,G2876,1)),"",IF((AND(FIND('112'!$M$9,G2876,1)&gt;=1,B2876='112'!$K$9,OR($N2876='112'!$I$6,$O2876='112'!$I$6))),"x",""))</f>
        <v/>
      </c>
      <c r="U2876" s="75" t="str">
        <f>IF(ISERROR(FIND('112'!$M$9,G2876,1)),"",IF((AND(LEFT(G2876,2)=LEFT('112'!$M$9,2),B2876&lt;'112'!$K$9,$N2876='112'!$I$6)),"x",""))</f>
        <v/>
      </c>
      <c r="V2876" s="75" t="str">
        <f>IF(ISERROR(FIND('112'!$M$9,G2876,1)),"",IF((AND(RIGHT(G2876,2)=RIGHT('112'!$M$9,2),B2876&lt;'112'!$K$9,$O2876='112'!$I$6)),"x",""))</f>
        <v/>
      </c>
      <c r="W2876" s="75" t="str">
        <f>IF(AND('341-CT'!$H$9=H2876,OR(LEFT(N2876,3)=$W$7,LEFT(O2876,3)=$W$7)),"x","")</f>
        <v/>
      </c>
      <c r="X2876" s="75" t="str">
        <f>IF(OR(TH!N2876=TH!$X$7,O2876=TH!$X$7),"x","")</f>
        <v/>
      </c>
      <c r="Y2876" s="75" t="str">
        <f>IF(AND(OR(N2876="131",O2876="131"),H2876='131-CT'!$H$9),"x","")</f>
        <v/>
      </c>
      <c r="Z2876" s="75"/>
      <c r="AA2876" s="75" t="str">
        <f>IF(AND(MONTH(E2876)='IN-NX'!$J$5,'IN-NX'!$D$7=D2876),"x","")</f>
        <v/>
      </c>
      <c r="AB2876" s="75" t="str">
        <f>IF(AND(OR(LEFT(TH!N2876,2)="15",LEFT(TH!O2876,2)="15"),LEFT(TH!O2876,3)&lt;&gt;"111",'152-CT'!$J$8=TH!F2876),"x","")</f>
        <v/>
      </c>
      <c r="AC2876" s="75" t="str">
        <f>IF(AND(OR(LEFT(TH!N2876,2)="15",LEFT(TH!O2876,2)="15"),TK!$E$7=TH!F2876),"x","")</f>
        <v/>
      </c>
      <c r="AD2876" s="75" t="str">
        <f>IF(AND(N2876="1521",MONTH(C2876)='BK-NL'!$M$11),"x","")</f>
        <v/>
      </c>
    </row>
    <row r="2877" spans="1:30" s="1264" customFormat="1" ht="16.5" customHeight="1">
      <c r="A2877" s="309" t="str">
        <f>IF(B2877&lt;&gt;"",IF(AND(B2877='IN-TC'!$S$4,OR(TH!N2877="1111",TH!O2877="1111")),TH!D2877,""),"")</f>
        <v/>
      </c>
      <c r="B2877" s="1275">
        <f t="shared" si="1009"/>
        <v>5</v>
      </c>
      <c r="C2877" s="71">
        <v>42874</v>
      </c>
      <c r="D2877" s="71" t="s">
        <v>530</v>
      </c>
      <c r="E2877" s="71">
        <f t="shared" si="1029"/>
        <v>42874</v>
      </c>
      <c r="F2877" s="72" t="s">
        <v>1010</v>
      </c>
      <c r="G2877" s="72" t="s">
        <v>747</v>
      </c>
      <c r="H2877" s="735" t="s">
        <v>1387</v>
      </c>
      <c r="I2877" s="73"/>
      <c r="J2877" s="377"/>
      <c r="K2877" s="371"/>
      <c r="L2877" s="1214"/>
      <c r="M2877" s="933">
        <v>913500</v>
      </c>
      <c r="N2877" s="75" t="s">
        <v>536</v>
      </c>
      <c r="O2877" s="75" t="s">
        <v>43</v>
      </c>
      <c r="P2877" s="75" t="str">
        <f>IF(AND('331-CT'!$E$7=TH!H2877,OR(N2877="331",O2877="331")),"x","")</f>
        <v/>
      </c>
      <c r="Q2877" s="75" t="str">
        <f>IF(AND(B2877='111'!$L$11,OR($N2877=$Q$7,$O2877=$Q$7)),"x","")</f>
        <v/>
      </c>
      <c r="R2877" s="75" t="str">
        <f>IF(AND($N2877=$Q$7,$B2877&lt;'111'!$L$11),"x","")</f>
        <v/>
      </c>
      <c r="S2877" s="75" t="str">
        <f>IF(AND($O2877=$Q$7,$B2877&lt;'111'!$L$11),"x","")</f>
        <v/>
      </c>
      <c r="T2877" s="75" t="str">
        <f>IF(ISERROR(FIND('112'!$M$9,G2877,1)),"",IF((AND(FIND('112'!$M$9,G2877,1)&gt;=1,B2877='112'!$K$9,OR($N2877='112'!$I$6,$O2877='112'!$I$6))),"x",""))</f>
        <v/>
      </c>
      <c r="U2877" s="75" t="str">
        <f>IF(ISERROR(FIND('112'!$M$9,G2877,1)),"",IF((AND(LEFT(G2877,2)=LEFT('112'!$M$9,2),B2877&lt;'112'!$K$9,$N2877='112'!$I$6)),"x",""))</f>
        <v/>
      </c>
      <c r="V2877" s="75" t="str">
        <f>IF(ISERROR(FIND('112'!$M$9,G2877,1)),"",IF((AND(RIGHT(G2877,2)=RIGHT('112'!$M$9,2),B2877&lt;'112'!$K$9,$O2877='112'!$I$6)),"x",""))</f>
        <v/>
      </c>
      <c r="W2877" s="75" t="str">
        <f>IF(AND('341-CT'!$H$9=H2877,OR(LEFT(N2877,3)=$W$7,LEFT(O2877,3)=$W$7)),"x","")</f>
        <v/>
      </c>
      <c r="X2877" s="75" t="str">
        <f>IF(OR(TH!N2877=TH!$X$7,O2877=TH!$X$7),"x","")</f>
        <v/>
      </c>
      <c r="Y2877" s="75" t="str">
        <f>IF(AND(OR(N2877="131",O2877="131"),H2877='131-CT'!$H$9),"x","")</f>
        <v/>
      </c>
      <c r="Z2877" s="75"/>
      <c r="AA2877" s="75" t="str">
        <f>IF(AND(MONTH(E2877)='IN-NX'!$J$5,'IN-NX'!$D$7=D2877),"x","")</f>
        <v/>
      </c>
      <c r="AB2877" s="75" t="str">
        <f>IF(AND(OR(LEFT(TH!N2877,2)="15",LEFT(TH!O2877,2)="15"),LEFT(TH!O2877,3)&lt;&gt;"111",'152-CT'!$J$8=TH!F2877),"x","")</f>
        <v/>
      </c>
      <c r="AC2877" s="75" t="str">
        <f>IF(AND(OR(LEFT(TH!N2877,2)="15",LEFT(TH!O2877,2)="15"),TK!$E$7=TH!F2877),"x","")</f>
        <v/>
      </c>
      <c r="AD2877" s="75" t="str">
        <f>IF(AND(N2877="1521",MONTH(C2877)='BK-NL'!$M$11),"x","")</f>
        <v/>
      </c>
    </row>
    <row r="2878" spans="1:30" s="1264" customFormat="1" ht="16.5" customHeight="1">
      <c r="A2878" s="309" t="str">
        <f>IF(B2878&lt;&gt;"",IF(AND(B2878='IN-TC'!$S$4,OR(TH!N2878="1111",TH!O2878="1111")),TH!D2878,""),"")</f>
        <v/>
      </c>
      <c r="B2878" s="1275">
        <f t="shared" si="1009"/>
        <v>5</v>
      </c>
      <c r="C2878" s="71">
        <v>42877</v>
      </c>
      <c r="D2878" s="71" t="s">
        <v>902</v>
      </c>
      <c r="E2878" s="929">
        <f t="shared" si="1029"/>
        <v>42877</v>
      </c>
      <c r="F2878" s="72" t="s">
        <v>916</v>
      </c>
      <c r="G2878" s="72" t="s">
        <v>747</v>
      </c>
      <c r="H2878" s="73" t="s">
        <v>1082</v>
      </c>
      <c r="I2878" s="73"/>
      <c r="J2878" s="377"/>
      <c r="K2878" s="371">
        <v>208.75</v>
      </c>
      <c r="L2878" s="377">
        <v>22700</v>
      </c>
      <c r="M2878" s="74">
        <f t="shared" ref="M2878:M2881" si="1030">ROUND(K2878*L2878,0)</f>
        <v>4738625</v>
      </c>
      <c r="N2878" s="75" t="s">
        <v>99</v>
      </c>
      <c r="O2878" s="934" t="s">
        <v>256</v>
      </c>
      <c r="P2878" s="75" t="str">
        <f>IF(AND('331-CT'!$E$7=TH!H2878,OR(N2878="331",O2878="331")),"x","")</f>
        <v/>
      </c>
      <c r="Q2878" s="75" t="str">
        <f>IF(AND(B2878='111'!$L$11,OR($N2878=$Q$7,$O2878=$Q$7)),"x","")</f>
        <v/>
      </c>
      <c r="R2878" s="75" t="str">
        <f>IF(AND($N2878=$Q$7,$B2878&lt;'111'!$L$11),"x","")</f>
        <v/>
      </c>
      <c r="S2878" s="75" t="str">
        <f>IF(AND($O2878=$Q$7,$B2878&lt;'111'!$L$11),"x","")</f>
        <v/>
      </c>
      <c r="T2878" s="75" t="str">
        <f>IF(ISERROR(FIND('112'!$M$9,G2878,1)),"",IF((AND(FIND('112'!$M$9,G2878,1)&gt;=1,B2878='112'!$K$9,OR($N2878='112'!$I$6,$O2878='112'!$I$6))),"x",""))</f>
        <v/>
      </c>
      <c r="U2878" s="75" t="str">
        <f>IF(ISERROR(FIND('112'!$M$9,G2878,1)),"",IF((AND(LEFT(G2878,2)=LEFT('112'!$M$9,2),B2878&lt;'112'!$K$9,$N2878='112'!$I$6)),"x",""))</f>
        <v/>
      </c>
      <c r="V2878" s="75" t="str">
        <f>IF(ISERROR(FIND('112'!$M$9,G2878,1)),"",IF((AND(RIGHT(G2878,2)=RIGHT('112'!$M$9,2),B2878&lt;'112'!$K$9,$O2878='112'!$I$6)),"x",""))</f>
        <v/>
      </c>
      <c r="W2878" s="75" t="str">
        <f>IF(AND('341-CT'!$H$9=H2878,OR(LEFT(N2878,3)=$W$7,LEFT(O2878,3)=$W$7)),"x","")</f>
        <v/>
      </c>
      <c r="X2878" s="75" t="str">
        <f>IF(OR(TH!N2878=TH!$X$7,O2878=TH!$X$7),"x","")</f>
        <v/>
      </c>
      <c r="Y2878" s="75" t="str">
        <f>IF(AND(OR(N2878="131",O2878="131"),H2878='131-CT'!$H$9),"x","")</f>
        <v/>
      </c>
      <c r="Z2878" s="75"/>
      <c r="AA2878" s="75" t="str">
        <f>IF(AND(MONTH(E2878)='IN-NX'!$J$5,'IN-NX'!$D$7=D2878),"x","")</f>
        <v/>
      </c>
      <c r="AB2878" s="75" t="str">
        <f>IF(AND(OR(LEFT(TH!N2878,2)="15",LEFT(TH!O2878,2)="15"),LEFT(TH!O2878,3)&lt;&gt;"111",'152-CT'!$J$8=TH!F2878),"x","")</f>
        <v/>
      </c>
      <c r="AC2878" s="75" t="str">
        <f>IF(AND(OR(LEFT(TH!N2878,2)="15",LEFT(TH!O2878,2)="15"),TK!$E$7=TH!F2878),"x","")</f>
        <v/>
      </c>
      <c r="AD2878" s="75" t="str">
        <f>IF(AND(N2878="1521",MONTH(C2878)='BK-NL'!$M$11),"x","")</f>
        <v/>
      </c>
    </row>
    <row r="2879" spans="1:30" s="1264" customFormat="1" ht="16.5" customHeight="1">
      <c r="A2879" s="309" t="str">
        <f>IF(B2879&lt;&gt;"",IF(AND(B2879='IN-TC'!$S$4,OR(TH!N2879="1111",TH!O2879="1111")),TH!D2879,""),"")</f>
        <v/>
      </c>
      <c r="B2879" s="1275">
        <f t="shared" si="1009"/>
        <v>5</v>
      </c>
      <c r="C2879" s="71">
        <v>42877</v>
      </c>
      <c r="D2879" s="71" t="s">
        <v>902</v>
      </c>
      <c r="E2879" s="929">
        <f t="shared" si="1029"/>
        <v>42877</v>
      </c>
      <c r="F2879" s="72" t="s">
        <v>916</v>
      </c>
      <c r="G2879" s="72" t="s">
        <v>747</v>
      </c>
      <c r="H2879" s="296" t="s">
        <v>1559</v>
      </c>
      <c r="I2879" s="73"/>
      <c r="J2879" s="377"/>
      <c r="K2879" s="371">
        <v>119.58</v>
      </c>
      <c r="L2879" s="377">
        <v>22700</v>
      </c>
      <c r="M2879" s="74">
        <f t="shared" si="1030"/>
        <v>2714466</v>
      </c>
      <c r="N2879" s="75" t="s">
        <v>99</v>
      </c>
      <c r="O2879" s="934" t="s">
        <v>256</v>
      </c>
      <c r="P2879" s="75" t="str">
        <f>IF(AND('331-CT'!$E$7=TH!H2879,OR(N2879="331",O2879="331")),"x","")</f>
        <v/>
      </c>
      <c r="Q2879" s="75" t="str">
        <f>IF(AND(B2879='111'!$L$11,OR($N2879=$Q$7,$O2879=$Q$7)),"x","")</f>
        <v/>
      </c>
      <c r="R2879" s="75" t="str">
        <f>IF(AND($N2879=$Q$7,$B2879&lt;'111'!$L$11),"x","")</f>
        <v/>
      </c>
      <c r="S2879" s="75" t="str">
        <f>IF(AND($O2879=$Q$7,$B2879&lt;'111'!$L$11),"x","")</f>
        <v/>
      </c>
      <c r="T2879" s="75" t="str">
        <f>IF(ISERROR(FIND('112'!$M$9,G2879,1)),"",IF((AND(FIND('112'!$M$9,G2879,1)&gt;=1,B2879='112'!$K$9,OR($N2879='112'!$I$6,$O2879='112'!$I$6))),"x",""))</f>
        <v/>
      </c>
      <c r="U2879" s="75" t="str">
        <f>IF(ISERROR(FIND('112'!$M$9,G2879,1)),"",IF((AND(LEFT(G2879,2)=LEFT('112'!$M$9,2),B2879&lt;'112'!$K$9,$N2879='112'!$I$6)),"x",""))</f>
        <v/>
      </c>
      <c r="V2879" s="75" t="str">
        <f>IF(ISERROR(FIND('112'!$M$9,G2879,1)),"",IF((AND(RIGHT(G2879,2)=RIGHT('112'!$M$9,2),B2879&lt;'112'!$K$9,$O2879='112'!$I$6)),"x",""))</f>
        <v/>
      </c>
      <c r="W2879" s="75" t="str">
        <f>IF(AND('341-CT'!$H$9=H2879,OR(LEFT(N2879,3)=$W$7,LEFT(O2879,3)=$W$7)),"x","")</f>
        <v/>
      </c>
      <c r="X2879" s="75" t="str">
        <f>IF(OR(TH!N2879=TH!$X$7,O2879=TH!$X$7),"x","")</f>
        <v/>
      </c>
      <c r="Y2879" s="75" t="str">
        <f>IF(AND(OR(N2879="131",O2879="131"),H2879='131-CT'!$H$9),"x","")</f>
        <v/>
      </c>
      <c r="Z2879" s="75"/>
      <c r="AA2879" s="75" t="str">
        <f>IF(AND(MONTH(E2879)='IN-NX'!$J$5,'IN-NX'!$D$7=D2879),"x","")</f>
        <v/>
      </c>
      <c r="AB2879" s="75" t="str">
        <f>IF(AND(OR(LEFT(TH!N2879,2)="15",LEFT(TH!O2879,2)="15"),LEFT(TH!O2879,3)&lt;&gt;"111",'152-CT'!$J$8=TH!F2879),"x","")</f>
        <v/>
      </c>
      <c r="AC2879" s="75" t="str">
        <f>IF(AND(OR(LEFT(TH!N2879,2)="15",LEFT(TH!O2879,2)="15"),TK!$E$7=TH!F2879),"x","")</f>
        <v/>
      </c>
      <c r="AD2879" s="75" t="str">
        <f>IF(AND(N2879="1521",MONTH(C2879)='BK-NL'!$M$11),"x","")</f>
        <v/>
      </c>
    </row>
    <row r="2880" spans="1:30" s="1264" customFormat="1" ht="16.5" customHeight="1">
      <c r="A2880" s="309" t="str">
        <f>IF(B2880&lt;&gt;"",IF(AND(B2880='IN-TC'!$S$4,OR(TH!N2880="1111",TH!O2880="1111")),TH!D2880,""),"")</f>
        <v/>
      </c>
      <c r="B2880" s="1275">
        <f t="shared" si="1009"/>
        <v>5</v>
      </c>
      <c r="C2880" s="71">
        <v>42877</v>
      </c>
      <c r="D2880" s="71" t="s">
        <v>902</v>
      </c>
      <c r="E2880" s="929">
        <f t="shared" si="1029"/>
        <v>42877</v>
      </c>
      <c r="F2880" s="72" t="s">
        <v>1096</v>
      </c>
      <c r="G2880" s="72" t="s">
        <v>747</v>
      </c>
      <c r="H2880" s="73" t="s">
        <v>835</v>
      </c>
      <c r="I2880" s="73"/>
      <c r="J2880" s="377"/>
      <c r="K2880" s="371">
        <v>212.5</v>
      </c>
      <c r="L2880" s="377">
        <v>22700</v>
      </c>
      <c r="M2880" s="74">
        <f t="shared" si="1030"/>
        <v>4823750</v>
      </c>
      <c r="N2880" s="75" t="s">
        <v>99</v>
      </c>
      <c r="O2880" s="934" t="s">
        <v>256</v>
      </c>
      <c r="P2880" s="75" t="str">
        <f>IF(AND('331-CT'!$E$7=TH!H2880,OR(N2880="331",O2880="331")),"x","")</f>
        <v/>
      </c>
      <c r="Q2880" s="75" t="str">
        <f>IF(AND(B2880='111'!$L$11,OR($N2880=$Q$7,$O2880=$Q$7)),"x","")</f>
        <v/>
      </c>
      <c r="R2880" s="75" t="str">
        <f>IF(AND($N2880=$Q$7,$B2880&lt;'111'!$L$11),"x","")</f>
        <v/>
      </c>
      <c r="S2880" s="75" t="str">
        <f>IF(AND($O2880=$Q$7,$B2880&lt;'111'!$L$11),"x","")</f>
        <v/>
      </c>
      <c r="T2880" s="75" t="str">
        <f>IF(ISERROR(FIND('112'!$M$9,G2880,1)),"",IF((AND(FIND('112'!$M$9,G2880,1)&gt;=1,B2880='112'!$K$9,OR($N2880='112'!$I$6,$O2880='112'!$I$6))),"x",""))</f>
        <v/>
      </c>
      <c r="U2880" s="75" t="str">
        <f>IF(ISERROR(FIND('112'!$M$9,G2880,1)),"",IF((AND(LEFT(G2880,2)=LEFT('112'!$M$9,2),B2880&lt;'112'!$K$9,$N2880='112'!$I$6)),"x",""))</f>
        <v/>
      </c>
      <c r="V2880" s="75" t="str">
        <f>IF(ISERROR(FIND('112'!$M$9,G2880,1)),"",IF((AND(RIGHT(G2880,2)=RIGHT('112'!$M$9,2),B2880&lt;'112'!$K$9,$O2880='112'!$I$6)),"x",""))</f>
        <v/>
      </c>
      <c r="W2880" s="75" t="str">
        <f>IF(AND('341-CT'!$H$9=H2880,OR(LEFT(N2880,3)=$W$7,LEFT(O2880,3)=$W$7)),"x","")</f>
        <v/>
      </c>
      <c r="X2880" s="75" t="str">
        <f>IF(OR(TH!N2880=TH!$X$7,O2880=TH!$X$7),"x","")</f>
        <v/>
      </c>
      <c r="Y2880" s="75" t="str">
        <f>IF(AND(OR(N2880="131",O2880="131"),H2880='131-CT'!$H$9),"x","")</f>
        <v/>
      </c>
      <c r="Z2880" s="75"/>
      <c r="AA2880" s="75" t="str">
        <f>IF(AND(MONTH(E2880)='IN-NX'!$J$5,'IN-NX'!$D$7=D2880),"x","")</f>
        <v/>
      </c>
      <c r="AB2880" s="75" t="str">
        <f>IF(AND(OR(LEFT(TH!N2880,2)="15",LEFT(TH!O2880,2)="15"),LEFT(TH!O2880,3)&lt;&gt;"111",'152-CT'!$J$8=TH!F2880),"x","")</f>
        <v/>
      </c>
      <c r="AC2880" s="75" t="str">
        <f>IF(AND(OR(LEFT(TH!N2880,2)="15",LEFT(TH!O2880,2)="15"),TK!$E$7=TH!F2880),"x","")</f>
        <v/>
      </c>
      <c r="AD2880" s="75" t="str">
        <f>IF(AND(N2880="1521",MONTH(C2880)='BK-NL'!$M$11),"x","")</f>
        <v/>
      </c>
    </row>
    <row r="2881" spans="1:30" s="1264" customFormat="1" ht="16.5" customHeight="1">
      <c r="A2881" s="309" t="str">
        <f>IF(B2881&lt;&gt;"",IF(AND(B2881='IN-TC'!$S$4,OR(TH!N2881="1111",TH!O2881="1111")),TH!D2881,""),"")</f>
        <v/>
      </c>
      <c r="B2881" s="1275">
        <f t="shared" si="1009"/>
        <v>5</v>
      </c>
      <c r="C2881" s="71">
        <v>42877</v>
      </c>
      <c r="D2881" s="71" t="s">
        <v>902</v>
      </c>
      <c r="E2881" s="929">
        <f t="shared" si="1029"/>
        <v>42877</v>
      </c>
      <c r="F2881" s="72" t="s">
        <v>1096</v>
      </c>
      <c r="G2881" s="72" t="s">
        <v>747</v>
      </c>
      <c r="H2881" s="73" t="s">
        <v>835</v>
      </c>
      <c r="I2881" s="73"/>
      <c r="J2881" s="377"/>
      <c r="K2881" s="371">
        <v>9.24</v>
      </c>
      <c r="L2881" s="377">
        <v>22700</v>
      </c>
      <c r="M2881" s="74">
        <f t="shared" si="1030"/>
        <v>209748</v>
      </c>
      <c r="N2881" s="75" t="s">
        <v>99</v>
      </c>
      <c r="O2881" s="934" t="s">
        <v>256</v>
      </c>
      <c r="P2881" s="75" t="str">
        <f>IF(AND('331-CT'!$E$7=TH!H2881,OR(N2881="331",O2881="331")),"x","")</f>
        <v/>
      </c>
      <c r="Q2881" s="75" t="str">
        <f>IF(AND(B2881='111'!$L$11,OR($N2881=$Q$7,$O2881=$Q$7)),"x","")</f>
        <v/>
      </c>
      <c r="R2881" s="75" t="str">
        <f>IF(AND($N2881=$Q$7,$B2881&lt;'111'!$L$11),"x","")</f>
        <v/>
      </c>
      <c r="S2881" s="75" t="str">
        <f>IF(AND($O2881=$Q$7,$B2881&lt;'111'!$L$11),"x","")</f>
        <v/>
      </c>
      <c r="T2881" s="75" t="str">
        <f>IF(ISERROR(FIND('112'!$M$9,G2881,1)),"",IF((AND(FIND('112'!$M$9,G2881,1)&gt;=1,B2881='112'!$K$9,OR($N2881='112'!$I$6,$O2881='112'!$I$6))),"x",""))</f>
        <v/>
      </c>
      <c r="U2881" s="75" t="str">
        <f>IF(ISERROR(FIND('112'!$M$9,G2881,1)),"",IF((AND(LEFT(G2881,2)=LEFT('112'!$M$9,2),B2881&lt;'112'!$K$9,$N2881='112'!$I$6)),"x",""))</f>
        <v/>
      </c>
      <c r="V2881" s="75" t="str">
        <f>IF(ISERROR(FIND('112'!$M$9,G2881,1)),"",IF((AND(RIGHT(G2881,2)=RIGHT('112'!$M$9,2),B2881&lt;'112'!$K$9,$O2881='112'!$I$6)),"x",""))</f>
        <v/>
      </c>
      <c r="W2881" s="75" t="str">
        <f>IF(AND('341-CT'!$H$9=H2881,OR(LEFT(N2881,3)=$W$7,LEFT(O2881,3)=$W$7)),"x","")</f>
        <v/>
      </c>
      <c r="X2881" s="75" t="str">
        <f>IF(OR(TH!N2881=TH!$X$7,O2881=TH!$X$7),"x","")</f>
        <v/>
      </c>
      <c r="Y2881" s="75" t="str">
        <f>IF(AND(OR(N2881="131",O2881="131"),H2881='131-CT'!$H$9),"x","")</f>
        <v/>
      </c>
      <c r="Z2881" s="75"/>
      <c r="AA2881" s="75" t="str">
        <f>IF(AND(MONTH(E2881)='IN-NX'!$J$5,'IN-NX'!$D$7=D2881),"x","")</f>
        <v/>
      </c>
      <c r="AB2881" s="75" t="str">
        <f>IF(AND(OR(LEFT(TH!N2881,2)="15",LEFT(TH!O2881,2)="15"),LEFT(TH!O2881,3)&lt;&gt;"111",'152-CT'!$J$8=TH!F2881),"x","")</f>
        <v/>
      </c>
      <c r="AC2881" s="75" t="str">
        <f>IF(AND(OR(LEFT(TH!N2881,2)="15",LEFT(TH!O2881,2)="15"),TK!$E$7=TH!F2881),"x","")</f>
        <v/>
      </c>
      <c r="AD2881" s="75" t="str">
        <f>IF(AND(N2881="1521",MONTH(C2881)='BK-NL'!$M$11),"x","")</f>
        <v/>
      </c>
    </row>
    <row r="2882" spans="1:30" s="1264" customFormat="1" ht="16.5" customHeight="1">
      <c r="A2882" s="309" t="str">
        <f>IF(B2882&lt;&gt;"",IF(AND(B2882='IN-TC'!$S$4,OR(TH!N2882="1111",TH!O2882="1111")),TH!D2882,""),"")</f>
        <v/>
      </c>
      <c r="B2882" s="1275">
        <f t="shared" si="1009"/>
        <v>5</v>
      </c>
      <c r="C2882" s="71">
        <v>42879</v>
      </c>
      <c r="D2882" s="71" t="s">
        <v>903</v>
      </c>
      <c r="E2882" s="929">
        <f t="shared" si="1029"/>
        <v>42879</v>
      </c>
      <c r="F2882" s="72" t="s">
        <v>1199</v>
      </c>
      <c r="G2882" s="72" t="s">
        <v>747</v>
      </c>
      <c r="H2882" s="73" t="s">
        <v>746</v>
      </c>
      <c r="I2882" s="73"/>
      <c r="J2882" s="1214"/>
      <c r="K2882" s="1213">
        <v>82680</v>
      </c>
      <c r="L2882" s="377">
        <v>22700</v>
      </c>
      <c r="M2882" s="1214">
        <f t="shared" ref="M2882" si="1031">ROUND(K2882*L2882,0)</f>
        <v>1876836000</v>
      </c>
      <c r="N2882" s="75" t="s">
        <v>256</v>
      </c>
      <c r="O2882" s="75" t="s">
        <v>536</v>
      </c>
      <c r="P2882" s="75" t="str">
        <f>IF(AND('331-CT'!$E$7=TH!H2882,OR(N2882="331",O2882="331")),"x","")</f>
        <v/>
      </c>
      <c r="Q2882" s="75" t="str">
        <f>IF(AND(B2882='111'!$L$11,OR($N2882=$Q$7,$O2882=$Q$7)),"x","")</f>
        <v/>
      </c>
      <c r="R2882" s="75" t="str">
        <f>IF(AND($N2882=$Q$7,$B2882&lt;'111'!$L$11),"x","")</f>
        <v/>
      </c>
      <c r="S2882" s="75" t="str">
        <f>IF(AND($O2882=$Q$7,$B2882&lt;'111'!$L$11),"x","")</f>
        <v/>
      </c>
      <c r="T2882" s="75" t="str">
        <f>IF(ISERROR(FIND('112'!$M$9,G2882,1)),"",IF((AND(FIND('112'!$M$9,G2882,1)&gt;=1,B2882='112'!$K$9,OR($N2882='112'!$I$6,$O2882='112'!$I$6))),"x",""))</f>
        <v/>
      </c>
      <c r="U2882" s="75" t="str">
        <f>IF(ISERROR(FIND('112'!$M$9,G2882,1)),"",IF((AND(LEFT(G2882,2)=LEFT('112'!$M$9,2),B2882&lt;'112'!$K$9,$N2882='112'!$I$6)),"x",""))</f>
        <v/>
      </c>
      <c r="V2882" s="75" t="str">
        <f>IF(ISERROR(FIND('112'!$M$9,G2882,1)),"",IF((AND(RIGHT(G2882,2)=RIGHT('112'!$M$9,2),B2882&lt;'112'!$K$9,$O2882='112'!$I$6)),"x",""))</f>
        <v/>
      </c>
      <c r="W2882" s="75" t="str">
        <f>IF(AND('341-CT'!$H$9=H2882,OR(LEFT(N2882,3)=$W$7,LEFT(O2882,3)=$W$7)),"x","")</f>
        <v/>
      </c>
      <c r="X2882" s="75" t="str">
        <f>IF(OR(TH!N2882=TH!$X$7,O2882=TH!$X$7),"x","")</f>
        <v/>
      </c>
      <c r="Y2882" s="75" t="str">
        <f>IF(AND(OR(N2882="131",O2882="131"),H2882='131-CT'!$H$9),"x","")</f>
        <v/>
      </c>
      <c r="Z2882" s="75"/>
      <c r="AA2882" s="75" t="str">
        <f>IF(AND(MONTH(E2882)='IN-NX'!$J$5,'IN-NX'!$D$7=D2882),"x","")</f>
        <v/>
      </c>
      <c r="AB2882" s="75" t="str">
        <f>IF(AND(OR(LEFT(TH!N2882,2)="15",LEFT(TH!O2882,2)="15"),LEFT(TH!O2882,3)&lt;&gt;"111",'152-CT'!$J$8=TH!F2882),"x","")</f>
        <v/>
      </c>
      <c r="AC2882" s="75" t="str">
        <f>IF(AND(OR(LEFT(TH!N2882,2)="15",LEFT(TH!O2882,2)="15"),TK!$E$7=TH!F2882),"x","")</f>
        <v/>
      </c>
      <c r="AD2882" s="75" t="str">
        <f>IF(AND(N2882="1521",MONTH(C2882)='BK-NL'!$M$11),"x","")</f>
        <v/>
      </c>
    </row>
    <row r="2883" spans="1:30" s="1264" customFormat="1" ht="16.5" customHeight="1">
      <c r="A2883" s="309" t="str">
        <f>IF(B2883&lt;&gt;"",IF(AND(B2883='IN-TC'!$S$4,OR(TH!N2883="1111",TH!O2883="1111")),TH!D2883,""),"")</f>
        <v/>
      </c>
      <c r="B2883" s="1275">
        <f t="shared" si="1009"/>
        <v>5</v>
      </c>
      <c r="C2883" s="71">
        <v>42879</v>
      </c>
      <c r="D2883" s="71" t="s">
        <v>530</v>
      </c>
      <c r="E2883" s="929">
        <f t="shared" si="1029"/>
        <v>42879</v>
      </c>
      <c r="F2883" s="72" t="s">
        <v>1027</v>
      </c>
      <c r="G2883" s="72" t="s">
        <v>747</v>
      </c>
      <c r="H2883" s="73" t="s">
        <v>746</v>
      </c>
      <c r="I2883" s="73"/>
      <c r="J2883" s="1214"/>
      <c r="K2883" s="1213">
        <v>120</v>
      </c>
      <c r="L2883" s="377">
        <v>22700</v>
      </c>
      <c r="M2883" s="933">
        <f t="shared" si="1027"/>
        <v>2724000</v>
      </c>
      <c r="N2883" s="75" t="s">
        <v>101</v>
      </c>
      <c r="O2883" s="75" t="s">
        <v>536</v>
      </c>
      <c r="P2883" s="75" t="str">
        <f>IF(AND('331-CT'!$E$7=TH!H2883,OR(N2883="331",O2883="331")),"x","")</f>
        <v/>
      </c>
      <c r="Q2883" s="75" t="str">
        <f>IF(AND(B2883='111'!$L$11,OR($N2883=$Q$7,$O2883=$Q$7)),"x","")</f>
        <v/>
      </c>
      <c r="R2883" s="75" t="str">
        <f>IF(AND($N2883=$Q$7,$B2883&lt;'111'!$L$11),"x","")</f>
        <v/>
      </c>
      <c r="S2883" s="75" t="str">
        <f>IF(AND($O2883=$Q$7,$B2883&lt;'111'!$L$11),"x","")</f>
        <v/>
      </c>
      <c r="T2883" s="75" t="str">
        <f>IF(ISERROR(FIND('112'!$M$9,G2883,1)),"",IF((AND(FIND('112'!$M$9,G2883,1)&gt;=1,B2883='112'!$K$9,OR($N2883='112'!$I$6,$O2883='112'!$I$6))),"x",""))</f>
        <v/>
      </c>
      <c r="U2883" s="75" t="str">
        <f>IF(ISERROR(FIND('112'!$M$9,G2883,1)),"",IF((AND(LEFT(G2883,2)=LEFT('112'!$M$9,2),B2883&lt;'112'!$K$9,$N2883='112'!$I$6)),"x",""))</f>
        <v/>
      </c>
      <c r="V2883" s="75" t="str">
        <f>IF(ISERROR(FIND('112'!$M$9,G2883,1)),"",IF((AND(RIGHT(G2883,2)=RIGHT('112'!$M$9,2),B2883&lt;'112'!$K$9,$O2883='112'!$I$6)),"x",""))</f>
        <v/>
      </c>
      <c r="W2883" s="75" t="str">
        <f>IF(AND('341-CT'!$H$9=H2883,OR(LEFT(N2883,3)=$W$7,LEFT(O2883,3)=$W$7)),"x","")</f>
        <v/>
      </c>
      <c r="X2883" s="75" t="str">
        <f>IF(OR(TH!N2883=TH!$X$7,O2883=TH!$X$7),"x","")</f>
        <v/>
      </c>
      <c r="Y2883" s="75" t="str">
        <f>IF(AND(OR(N2883="131",O2883="131"),H2883='131-CT'!$H$9),"x","")</f>
        <v/>
      </c>
      <c r="Z2883" s="75"/>
      <c r="AA2883" s="75" t="str">
        <f>IF(AND(MONTH(E2883)='IN-NX'!$J$5,'IN-NX'!$D$7=D2883),"x","")</f>
        <v/>
      </c>
      <c r="AB2883" s="75" t="str">
        <f>IF(AND(OR(LEFT(TH!N2883,2)="15",LEFT(TH!O2883,2)="15"),LEFT(TH!O2883,3)&lt;&gt;"111",'152-CT'!$J$8=TH!F2883),"x","")</f>
        <v/>
      </c>
      <c r="AC2883" s="75" t="str">
        <f>IF(AND(OR(LEFT(TH!N2883,2)="15",LEFT(TH!O2883,2)="15"),TK!$E$7=TH!F2883),"x","")</f>
        <v/>
      </c>
      <c r="AD2883" s="75" t="str">
        <f>IF(AND(N2883="1521",MONTH(C2883)='BK-NL'!$M$11),"x","")</f>
        <v/>
      </c>
    </row>
    <row r="2884" spans="1:30" s="1264" customFormat="1" ht="16.5" customHeight="1">
      <c r="A2884" s="309" t="str">
        <f>IF(B2884&lt;&gt;"",IF(AND(B2884='IN-TC'!$S$4,OR(TH!N2884="1111",TH!O2884="1111")),TH!D2884,""),"")</f>
        <v/>
      </c>
      <c r="B2884" s="1275">
        <f t="shared" si="1009"/>
        <v>5</v>
      </c>
      <c r="C2884" s="71">
        <v>42879</v>
      </c>
      <c r="D2884" s="71" t="s">
        <v>530</v>
      </c>
      <c r="E2884" s="929">
        <f t="shared" si="1029"/>
        <v>42879</v>
      </c>
      <c r="F2884" s="72" t="s">
        <v>1010</v>
      </c>
      <c r="G2884" s="72" t="s">
        <v>747</v>
      </c>
      <c r="H2884" s="73" t="s">
        <v>746</v>
      </c>
      <c r="I2884" s="73"/>
      <c r="J2884" s="1214"/>
      <c r="K2884" s="1213"/>
      <c r="L2884" s="377"/>
      <c r="M2884" s="74">
        <v>2070000</v>
      </c>
      <c r="N2884" s="75" t="s">
        <v>536</v>
      </c>
      <c r="O2884" s="934" t="s">
        <v>43</v>
      </c>
      <c r="P2884" s="75" t="str">
        <f>IF(AND('331-CT'!$E$7=TH!H2884,OR(N2884="331",O2884="331")),"x","")</f>
        <v/>
      </c>
      <c r="Q2884" s="75" t="str">
        <f>IF(AND(B2884='111'!$L$11,OR($N2884=$Q$7,$O2884=$Q$7)),"x","")</f>
        <v/>
      </c>
      <c r="R2884" s="75" t="str">
        <f>IF(AND($N2884=$Q$7,$B2884&lt;'111'!$L$11),"x","")</f>
        <v/>
      </c>
      <c r="S2884" s="75" t="str">
        <f>IF(AND($O2884=$Q$7,$B2884&lt;'111'!$L$11),"x","")</f>
        <v/>
      </c>
      <c r="T2884" s="75" t="str">
        <f>IF(ISERROR(FIND('112'!$M$9,G2884,1)),"",IF((AND(FIND('112'!$M$9,G2884,1)&gt;=1,B2884='112'!$K$9,OR($N2884='112'!$I$6,$O2884='112'!$I$6))),"x",""))</f>
        <v/>
      </c>
      <c r="U2884" s="75" t="str">
        <f>IF(ISERROR(FIND('112'!$M$9,G2884,1)),"",IF((AND(LEFT(G2884,2)=LEFT('112'!$M$9,2),B2884&lt;'112'!$K$9,$N2884='112'!$I$6)),"x",""))</f>
        <v/>
      </c>
      <c r="V2884" s="75" t="str">
        <f>IF(ISERROR(FIND('112'!$M$9,G2884,1)),"",IF((AND(RIGHT(G2884,2)=RIGHT('112'!$M$9,2),B2884&lt;'112'!$K$9,$O2884='112'!$I$6)),"x",""))</f>
        <v/>
      </c>
      <c r="W2884" s="75" t="str">
        <f>IF(AND('341-CT'!$H$9=H2884,OR(LEFT(N2884,3)=$W$7,LEFT(O2884,3)=$W$7)),"x","")</f>
        <v/>
      </c>
      <c r="X2884" s="75" t="str">
        <f>IF(OR(TH!N2884=TH!$X$7,O2884=TH!$X$7),"x","")</f>
        <v/>
      </c>
      <c r="Y2884" s="75" t="str">
        <f>IF(AND(OR(N2884="131",O2884="131"),H2884='131-CT'!$H$9),"x","")</f>
        <v/>
      </c>
      <c r="Z2884" s="75"/>
      <c r="AA2884" s="75" t="str">
        <f>IF(AND(MONTH(E2884)='IN-NX'!$J$5,'IN-NX'!$D$7=D2884),"x","")</f>
        <v/>
      </c>
      <c r="AB2884" s="75" t="str">
        <f>IF(AND(OR(LEFT(TH!N2884,2)="15",LEFT(TH!O2884,2)="15"),LEFT(TH!O2884,3)&lt;&gt;"111",'152-CT'!$J$8=TH!F2884),"x","")</f>
        <v/>
      </c>
      <c r="AC2884" s="75" t="str">
        <f>IF(AND(OR(LEFT(TH!N2884,2)="15",LEFT(TH!O2884,2)="15"),TK!$E$7=TH!F2884),"x","")</f>
        <v/>
      </c>
      <c r="AD2884" s="75" t="str">
        <f>IF(AND(N2884="1521",MONTH(C2884)='BK-NL'!$M$11),"x","")</f>
        <v/>
      </c>
    </row>
    <row r="2885" spans="1:30" s="1264" customFormat="1" ht="16.5" customHeight="1">
      <c r="A2885" s="309" t="str">
        <f>IF(B2885&lt;&gt;"",IF(AND(B2885='IN-TC'!$S$4,OR(TH!N2885="1111",TH!O2885="1111")),TH!D2885,""),"")</f>
        <v/>
      </c>
      <c r="B2885" s="1275">
        <f t="shared" si="1009"/>
        <v>5</v>
      </c>
      <c r="C2885" s="71">
        <v>42879</v>
      </c>
      <c r="D2885" s="71" t="s">
        <v>902</v>
      </c>
      <c r="E2885" s="929">
        <f t="shared" si="1029"/>
        <v>42879</v>
      </c>
      <c r="F2885" s="72" t="s">
        <v>1096</v>
      </c>
      <c r="G2885" s="72" t="s">
        <v>747</v>
      </c>
      <c r="H2885" s="73" t="s">
        <v>835</v>
      </c>
      <c r="I2885" s="73"/>
      <c r="J2885" s="377"/>
      <c r="K2885" s="371">
        <v>53.49</v>
      </c>
      <c r="L2885" s="377">
        <v>22700</v>
      </c>
      <c r="M2885" s="74">
        <f t="shared" ref="M2885" si="1032">ROUND(K2885*L2885,0)</f>
        <v>1214223</v>
      </c>
      <c r="N2885" s="75" t="s">
        <v>99</v>
      </c>
      <c r="O2885" s="934" t="s">
        <v>256</v>
      </c>
      <c r="P2885" s="75" t="str">
        <f>IF(AND('331-CT'!$E$7=TH!H2885,OR(N2885="331",O2885="331")),"x","")</f>
        <v/>
      </c>
      <c r="Q2885" s="75" t="str">
        <f>IF(AND(B2885='111'!$L$11,OR($N2885=$Q$7,$O2885=$Q$7)),"x","")</f>
        <v/>
      </c>
      <c r="R2885" s="75" t="str">
        <f>IF(AND($N2885=$Q$7,$B2885&lt;'111'!$L$11),"x","")</f>
        <v/>
      </c>
      <c r="S2885" s="75" t="str">
        <f>IF(AND($O2885=$Q$7,$B2885&lt;'111'!$L$11),"x","")</f>
        <v/>
      </c>
      <c r="T2885" s="75" t="str">
        <f>IF(ISERROR(FIND('112'!$M$9,G2885,1)),"",IF((AND(FIND('112'!$M$9,G2885,1)&gt;=1,B2885='112'!$K$9,OR($N2885='112'!$I$6,$O2885='112'!$I$6))),"x",""))</f>
        <v/>
      </c>
      <c r="U2885" s="75" t="str">
        <f>IF(ISERROR(FIND('112'!$M$9,G2885,1)),"",IF((AND(LEFT(G2885,2)=LEFT('112'!$M$9,2),B2885&lt;'112'!$K$9,$N2885='112'!$I$6)),"x",""))</f>
        <v/>
      </c>
      <c r="V2885" s="75" t="str">
        <f>IF(ISERROR(FIND('112'!$M$9,G2885,1)),"",IF((AND(RIGHT(G2885,2)=RIGHT('112'!$M$9,2),B2885&lt;'112'!$K$9,$O2885='112'!$I$6)),"x",""))</f>
        <v/>
      </c>
      <c r="W2885" s="75" t="str">
        <f>IF(AND('341-CT'!$H$9=H2885,OR(LEFT(N2885,3)=$W$7,LEFT(O2885,3)=$W$7)),"x","")</f>
        <v/>
      </c>
      <c r="X2885" s="75" t="str">
        <f>IF(OR(TH!N2885=TH!$X$7,O2885=TH!$X$7),"x","")</f>
        <v/>
      </c>
      <c r="Y2885" s="75" t="str">
        <f>IF(AND(OR(N2885="131",O2885="131"),H2885='131-CT'!$H$9),"x","")</f>
        <v/>
      </c>
      <c r="Z2885" s="75"/>
      <c r="AA2885" s="75" t="str">
        <f>IF(AND(MONTH(E2885)='IN-NX'!$J$5,'IN-NX'!$D$7=D2885),"x","")</f>
        <v/>
      </c>
      <c r="AB2885" s="75" t="str">
        <f>IF(AND(OR(LEFT(TH!N2885,2)="15",LEFT(TH!O2885,2)="15"),LEFT(TH!O2885,3)&lt;&gt;"111",'152-CT'!$J$8=TH!F2885),"x","")</f>
        <v/>
      </c>
      <c r="AC2885" s="75" t="str">
        <f>IF(AND(OR(LEFT(TH!N2885,2)="15",LEFT(TH!O2885,2)="15"),TK!$E$7=TH!F2885),"x","")</f>
        <v/>
      </c>
      <c r="AD2885" s="75" t="str">
        <f>IF(AND(N2885="1521",MONTH(C2885)='BK-NL'!$M$11),"x","")</f>
        <v/>
      </c>
    </row>
    <row r="2886" spans="1:30" s="1264" customFormat="1" ht="16.5" customHeight="1">
      <c r="A2886" s="309" t="str">
        <f>IF(B2886&lt;&gt;"",IF(AND(B2886='IN-TC'!$S$4,OR(TH!N2886="1111",TH!O2886="1111")),TH!D2886,""),"")</f>
        <v/>
      </c>
      <c r="B2886" s="1275">
        <f t="shared" si="1009"/>
        <v>5</v>
      </c>
      <c r="C2886" s="71">
        <v>42879</v>
      </c>
      <c r="D2886" s="71" t="s">
        <v>902</v>
      </c>
      <c r="E2886" s="929">
        <f t="shared" si="1029"/>
        <v>42879</v>
      </c>
      <c r="F2886" s="72" t="s">
        <v>1321</v>
      </c>
      <c r="G2886" s="72" t="s">
        <v>747</v>
      </c>
      <c r="H2886" s="73" t="s">
        <v>2451</v>
      </c>
      <c r="I2886" s="73"/>
      <c r="J2886" s="377"/>
      <c r="K2886" s="371">
        <v>78500</v>
      </c>
      <c r="L2886" s="377">
        <v>22700</v>
      </c>
      <c r="M2886" s="74">
        <f t="shared" ref="M2886:M2887" si="1033">ROUND(K2886*L2886,0)</f>
        <v>1781950000</v>
      </c>
      <c r="N2886" s="75" t="s">
        <v>250</v>
      </c>
      <c r="O2886" s="934" t="s">
        <v>256</v>
      </c>
      <c r="P2886" s="75" t="str">
        <f>IF(AND('331-CT'!$E$7=TH!H2886,OR(N2886="331",O2886="331")),"x","")</f>
        <v/>
      </c>
      <c r="Q2886" s="75" t="str">
        <f>IF(AND(B2886='111'!$L$11,OR($N2886=$Q$7,$O2886=$Q$7)),"x","")</f>
        <v/>
      </c>
      <c r="R2886" s="75" t="str">
        <f>IF(AND($N2886=$Q$7,$B2886&lt;'111'!$L$11),"x","")</f>
        <v/>
      </c>
      <c r="S2886" s="75" t="str">
        <f>IF(AND($O2886=$Q$7,$B2886&lt;'111'!$L$11),"x","")</f>
        <v/>
      </c>
      <c r="T2886" s="75" t="str">
        <f>IF(ISERROR(FIND('112'!$M$9,G2886,1)),"",IF((AND(FIND('112'!$M$9,G2886,1)&gt;=1,B2886='112'!$K$9,OR($N2886='112'!$I$6,$O2886='112'!$I$6))),"x",""))</f>
        <v/>
      </c>
      <c r="U2886" s="75" t="str">
        <f>IF(ISERROR(FIND('112'!$M$9,G2886,1)),"",IF((AND(LEFT(G2886,2)=LEFT('112'!$M$9,2),B2886&lt;'112'!$K$9,$N2886='112'!$I$6)),"x",""))</f>
        <v/>
      </c>
      <c r="V2886" s="75" t="str">
        <f>IF(ISERROR(FIND('112'!$M$9,G2886,1)),"",IF((AND(RIGHT(G2886,2)=RIGHT('112'!$M$9,2),B2886&lt;'112'!$K$9,$O2886='112'!$I$6)),"x",""))</f>
        <v/>
      </c>
      <c r="W2886" s="75" t="str">
        <f>IF(AND('341-CT'!$H$9=H2886,OR(LEFT(N2886,3)=$W$7,LEFT(O2886,3)=$W$7)),"x","")</f>
        <v/>
      </c>
      <c r="X2886" s="75" t="str">
        <f>IF(OR(TH!N2886=TH!$X$7,O2886=TH!$X$7),"x","")</f>
        <v/>
      </c>
      <c r="Y2886" s="75" t="str">
        <f>IF(AND(OR(N2886="131",O2886="131"),H2886='131-CT'!$H$9),"x","")</f>
        <v/>
      </c>
      <c r="Z2886" s="75"/>
      <c r="AA2886" s="75" t="str">
        <f>IF(AND(MONTH(E2886)='IN-NX'!$J$5,'IN-NX'!$D$7=D2886),"x","")</f>
        <v/>
      </c>
      <c r="AB2886" s="75" t="str">
        <f>IF(AND(OR(LEFT(TH!N2886,2)="15",LEFT(TH!O2886,2)="15"),LEFT(TH!O2886,3)&lt;&gt;"111",'152-CT'!$J$8=TH!F2886),"x","")</f>
        <v/>
      </c>
      <c r="AC2886" s="75" t="str">
        <f>IF(AND(OR(LEFT(TH!N2886,2)="15",LEFT(TH!O2886,2)="15"),TK!$E$7=TH!F2886),"x","")</f>
        <v/>
      </c>
      <c r="AD2886" s="75" t="str">
        <f>IF(AND(N2886="1521",MONTH(C2886)='BK-NL'!$M$11),"x","")</f>
        <v/>
      </c>
    </row>
    <row r="2887" spans="1:30" s="1264" customFormat="1" ht="16.5" customHeight="1">
      <c r="A2887" s="309" t="str">
        <f>IF(B2887&lt;&gt;"",IF(AND(B2887='IN-TC'!$S$4,OR(TH!N2887="1111",TH!O2887="1111")),TH!D2887,""),"")</f>
        <v/>
      </c>
      <c r="B2887" s="1275">
        <f t="shared" ref="B2887:B2888" si="1034">IF(C2887&lt;&gt;"",MONTH(C2887),"")</f>
        <v>5</v>
      </c>
      <c r="C2887" s="71">
        <v>42879</v>
      </c>
      <c r="D2887" s="71" t="s">
        <v>902</v>
      </c>
      <c r="E2887" s="929">
        <f t="shared" ref="E2887:E2888" si="1035">C2887</f>
        <v>42879</v>
      </c>
      <c r="F2887" s="72" t="s">
        <v>1096</v>
      </c>
      <c r="G2887" s="72" t="s">
        <v>747</v>
      </c>
      <c r="H2887" s="73" t="s">
        <v>2451</v>
      </c>
      <c r="I2887" s="73"/>
      <c r="J2887" s="377"/>
      <c r="K2887" s="371">
        <v>100</v>
      </c>
      <c r="L2887" s="377">
        <v>22700</v>
      </c>
      <c r="M2887" s="74">
        <f t="shared" si="1033"/>
        <v>2270000</v>
      </c>
      <c r="N2887" s="75" t="s">
        <v>99</v>
      </c>
      <c r="O2887" s="934" t="s">
        <v>256</v>
      </c>
      <c r="P2887" s="75" t="str">
        <f>IF(AND('331-CT'!$E$7=TH!H2887,OR(N2887="331",O2887="331")),"x","")</f>
        <v/>
      </c>
      <c r="Q2887" s="75" t="str">
        <f>IF(AND(B2887='111'!$L$11,OR($N2887=$Q$7,$O2887=$Q$7)),"x","")</f>
        <v/>
      </c>
      <c r="R2887" s="75" t="str">
        <f>IF(AND($N2887=$Q$7,$B2887&lt;'111'!$L$11),"x","")</f>
        <v/>
      </c>
      <c r="S2887" s="75" t="str">
        <f>IF(AND($O2887=$Q$7,$B2887&lt;'111'!$L$11),"x","")</f>
        <v/>
      </c>
      <c r="T2887" s="75" t="str">
        <f>IF(ISERROR(FIND('112'!$M$9,G2887,1)),"",IF((AND(FIND('112'!$M$9,G2887,1)&gt;=1,B2887='112'!$K$9,OR($N2887='112'!$I$6,$O2887='112'!$I$6))),"x",""))</f>
        <v/>
      </c>
      <c r="U2887" s="75" t="str">
        <f>IF(ISERROR(FIND('112'!$M$9,G2887,1)),"",IF((AND(LEFT(G2887,2)=LEFT('112'!$M$9,2),B2887&lt;'112'!$K$9,$N2887='112'!$I$6)),"x",""))</f>
        <v/>
      </c>
      <c r="V2887" s="75" t="str">
        <f>IF(ISERROR(FIND('112'!$M$9,G2887,1)),"",IF((AND(RIGHT(G2887,2)=RIGHT('112'!$M$9,2),B2887&lt;'112'!$K$9,$O2887='112'!$I$6)),"x",""))</f>
        <v/>
      </c>
      <c r="W2887" s="75" t="str">
        <f>IF(AND('341-CT'!$H$9=H2887,OR(LEFT(N2887,3)=$W$7,LEFT(O2887,3)=$W$7)),"x","")</f>
        <v/>
      </c>
      <c r="X2887" s="75" t="str">
        <f>IF(OR(TH!N2887=TH!$X$7,O2887=TH!$X$7),"x","")</f>
        <v/>
      </c>
      <c r="Y2887" s="75" t="str">
        <f>IF(AND(OR(N2887="131",O2887="131"),H2887='131-CT'!$H$9),"x","")</f>
        <v/>
      </c>
      <c r="Z2887" s="75"/>
      <c r="AA2887" s="75" t="str">
        <f>IF(AND(MONTH(E2887)='IN-NX'!$J$5,'IN-NX'!$D$7=D2887),"x","")</f>
        <v/>
      </c>
      <c r="AB2887" s="75" t="str">
        <f>IF(AND(OR(LEFT(TH!N2887,2)="15",LEFT(TH!O2887,2)="15"),LEFT(TH!O2887,3)&lt;&gt;"111",'152-CT'!$J$8=TH!F2887),"x","")</f>
        <v/>
      </c>
      <c r="AC2887" s="75" t="str">
        <f>IF(AND(OR(LEFT(TH!N2887,2)="15",LEFT(TH!O2887,2)="15"),TK!$E$7=TH!F2887),"x","")</f>
        <v/>
      </c>
      <c r="AD2887" s="75" t="str">
        <f>IF(AND(N2887="1521",MONTH(C2887)='BK-NL'!$M$11),"x","")</f>
        <v/>
      </c>
    </row>
    <row r="2888" spans="1:30" s="1264" customFormat="1" ht="16.5" customHeight="1">
      <c r="A2888" s="309" t="str">
        <f>IF(B2888&lt;&gt;"",IF(AND(B2888='IN-TC'!$S$4,OR(TH!N2888="1111",TH!O2888="1111")),TH!D2888,""),"")</f>
        <v/>
      </c>
      <c r="B2888" s="1275">
        <f t="shared" si="1034"/>
        <v>5</v>
      </c>
      <c r="C2888" s="71">
        <v>42879</v>
      </c>
      <c r="D2888" s="71" t="s">
        <v>530</v>
      </c>
      <c r="E2888" s="929">
        <f t="shared" si="1035"/>
        <v>42879</v>
      </c>
      <c r="F2888" s="72" t="s">
        <v>1010</v>
      </c>
      <c r="G2888" s="72" t="s">
        <v>747</v>
      </c>
      <c r="H2888" s="73" t="s">
        <v>2451</v>
      </c>
      <c r="I2888" s="73"/>
      <c r="J2888" s="377"/>
      <c r="K2888" s="371"/>
      <c r="L2888" s="377"/>
      <c r="M2888" s="933">
        <v>2134300</v>
      </c>
      <c r="N2888" s="75" t="s">
        <v>99</v>
      </c>
      <c r="O2888" s="934" t="s">
        <v>250</v>
      </c>
      <c r="P2888" s="75" t="str">
        <f>IF(AND('331-CT'!$E$7=TH!H2888,OR(N2888="331",O2888="331")),"x","")</f>
        <v/>
      </c>
      <c r="Q2888" s="75" t="str">
        <f>IF(AND(B2888='111'!$L$11,OR($N2888=$Q$7,$O2888=$Q$7)),"x","")</f>
        <v/>
      </c>
      <c r="R2888" s="75" t="str">
        <f>IF(AND($N2888=$Q$7,$B2888&lt;'111'!$L$11),"x","")</f>
        <v/>
      </c>
      <c r="S2888" s="75" t="str">
        <f>IF(AND($O2888=$Q$7,$B2888&lt;'111'!$L$11),"x","")</f>
        <v/>
      </c>
      <c r="T2888" s="75" t="str">
        <f>IF(ISERROR(FIND('112'!$M$9,G2888,1)),"",IF((AND(FIND('112'!$M$9,G2888,1)&gt;=1,B2888='112'!$K$9,OR($N2888='112'!$I$6,$O2888='112'!$I$6))),"x",""))</f>
        <v/>
      </c>
      <c r="U2888" s="75" t="str">
        <f>IF(ISERROR(FIND('112'!$M$9,G2888,1)),"",IF((AND(LEFT(G2888,2)=LEFT('112'!$M$9,2),B2888&lt;'112'!$K$9,$N2888='112'!$I$6)),"x",""))</f>
        <v/>
      </c>
      <c r="V2888" s="75" t="str">
        <f>IF(ISERROR(FIND('112'!$M$9,G2888,1)),"",IF((AND(RIGHT(G2888,2)=RIGHT('112'!$M$9,2),B2888&lt;'112'!$K$9,$O2888='112'!$I$6)),"x",""))</f>
        <v/>
      </c>
      <c r="W2888" s="75" t="str">
        <f>IF(AND('341-CT'!$H$9=H2888,OR(LEFT(N2888,3)=$W$7,LEFT(O2888,3)=$W$7)),"x","")</f>
        <v/>
      </c>
      <c r="X2888" s="75" t="str">
        <f>IF(OR(TH!N2888=TH!$X$7,O2888=TH!$X$7),"x","")</f>
        <v/>
      </c>
      <c r="Y2888" s="75" t="str">
        <f>IF(AND(OR(N2888="131",O2888="131"),H2888='131-CT'!$H$9),"x","")</f>
        <v/>
      </c>
      <c r="Z2888" s="75"/>
      <c r="AA2888" s="75" t="str">
        <f>IF(AND(MONTH(E2888)='IN-NX'!$J$5,'IN-NX'!$D$7=D2888),"x","")</f>
        <v/>
      </c>
      <c r="AB2888" s="75" t="str">
        <f>IF(AND(OR(LEFT(TH!N2888,2)="15",LEFT(TH!O2888,2)="15"),LEFT(TH!O2888,3)&lt;&gt;"111",'152-CT'!$J$8=TH!F2888),"x","")</f>
        <v/>
      </c>
      <c r="AC2888" s="75" t="str">
        <f>IF(AND(OR(LEFT(TH!N2888,2)="15",LEFT(TH!O2888,2)="15"),TK!$E$7=TH!F2888),"x","")</f>
        <v/>
      </c>
      <c r="AD2888" s="75" t="str">
        <f>IF(AND(N2888="1521",MONTH(C2888)='BK-NL'!$M$11),"x","")</f>
        <v/>
      </c>
    </row>
    <row r="2889" spans="1:30" s="1264" customFormat="1" ht="16.5" customHeight="1">
      <c r="A2889" s="309" t="str">
        <f>IF(B2889&lt;&gt;"",IF(AND(B2889='IN-TC'!$S$4,OR(TH!N2889="1111",TH!O2889="1111")),TH!D2889,""),"")</f>
        <v/>
      </c>
      <c r="B2889" s="1275">
        <f t="shared" si="1009"/>
        <v>5</v>
      </c>
      <c r="C2889" s="71">
        <v>42879</v>
      </c>
      <c r="D2889" s="71" t="s">
        <v>902</v>
      </c>
      <c r="E2889" s="929">
        <f t="shared" si="1029"/>
        <v>42879</v>
      </c>
      <c r="F2889" s="72" t="s">
        <v>1096</v>
      </c>
      <c r="G2889" s="72" t="s">
        <v>747</v>
      </c>
      <c r="H2889" s="73" t="s">
        <v>835</v>
      </c>
      <c r="I2889" s="73"/>
      <c r="J2889" s="377"/>
      <c r="K2889" s="371">
        <v>300.08999999999997</v>
      </c>
      <c r="L2889" s="377">
        <v>22700</v>
      </c>
      <c r="M2889" s="74">
        <f t="shared" ref="M2889:M2897" si="1036">ROUND(K2889*L2889,0)</f>
        <v>6812043</v>
      </c>
      <c r="N2889" s="75" t="s">
        <v>99</v>
      </c>
      <c r="O2889" s="934" t="s">
        <v>256</v>
      </c>
      <c r="P2889" s="75" t="str">
        <f>IF(AND('331-CT'!$E$7=TH!H2889,OR(N2889="331",O2889="331")),"x","")</f>
        <v/>
      </c>
      <c r="Q2889" s="75" t="str">
        <f>IF(AND(B2889='111'!$L$11,OR($N2889=$Q$7,$O2889=$Q$7)),"x","")</f>
        <v/>
      </c>
      <c r="R2889" s="75" t="str">
        <f>IF(AND($N2889=$Q$7,$B2889&lt;'111'!$L$11),"x","")</f>
        <v/>
      </c>
      <c r="S2889" s="75" t="str">
        <f>IF(AND($O2889=$Q$7,$B2889&lt;'111'!$L$11),"x","")</f>
        <v/>
      </c>
      <c r="T2889" s="75" t="str">
        <f>IF(ISERROR(FIND('112'!$M$9,G2889,1)),"",IF((AND(FIND('112'!$M$9,G2889,1)&gt;=1,B2889='112'!$K$9,OR($N2889='112'!$I$6,$O2889='112'!$I$6))),"x",""))</f>
        <v/>
      </c>
      <c r="U2889" s="75" t="str">
        <f>IF(ISERROR(FIND('112'!$M$9,G2889,1)),"",IF((AND(LEFT(G2889,2)=LEFT('112'!$M$9,2),B2889&lt;'112'!$K$9,$N2889='112'!$I$6)),"x",""))</f>
        <v/>
      </c>
      <c r="V2889" s="75" t="str">
        <f>IF(ISERROR(FIND('112'!$M$9,G2889,1)),"",IF((AND(RIGHT(G2889,2)=RIGHT('112'!$M$9,2),B2889&lt;'112'!$K$9,$O2889='112'!$I$6)),"x",""))</f>
        <v/>
      </c>
      <c r="W2889" s="75" t="str">
        <f>IF(AND('341-CT'!$H$9=H2889,OR(LEFT(N2889,3)=$W$7,LEFT(O2889,3)=$W$7)),"x","")</f>
        <v/>
      </c>
      <c r="X2889" s="75" t="str">
        <f>IF(OR(TH!N2889=TH!$X$7,O2889=TH!$X$7),"x","")</f>
        <v/>
      </c>
      <c r="Y2889" s="75" t="str">
        <f>IF(AND(OR(N2889="131",O2889="131"),H2889='131-CT'!$H$9),"x","")</f>
        <v/>
      </c>
      <c r="Z2889" s="75"/>
      <c r="AA2889" s="75" t="str">
        <f>IF(AND(MONTH(E2889)='IN-NX'!$J$5,'IN-NX'!$D$7=D2889),"x","")</f>
        <v/>
      </c>
      <c r="AB2889" s="75" t="str">
        <f>IF(AND(OR(LEFT(TH!N2889,2)="15",LEFT(TH!O2889,2)="15"),LEFT(TH!O2889,3)&lt;&gt;"111",'152-CT'!$J$8=TH!F2889),"x","")</f>
        <v/>
      </c>
      <c r="AC2889" s="75" t="str">
        <f>IF(AND(OR(LEFT(TH!N2889,2)="15",LEFT(TH!O2889,2)="15"),TK!$E$7=TH!F2889),"x","")</f>
        <v/>
      </c>
      <c r="AD2889" s="75" t="str">
        <f>IF(AND(N2889="1521",MONTH(C2889)='BK-NL'!$M$11),"x","")</f>
        <v/>
      </c>
    </row>
    <row r="2890" spans="1:30" s="1264" customFormat="1" ht="16.5" customHeight="1">
      <c r="A2890" s="309" t="str">
        <f>IF(B2890&lt;&gt;"",IF(AND(B2890='IN-TC'!$S$4,OR(TH!N2890="1111",TH!O2890="1111")),TH!D2890,""),"")</f>
        <v/>
      </c>
      <c r="B2890" s="1275">
        <f t="shared" si="1009"/>
        <v>5</v>
      </c>
      <c r="C2890" s="71">
        <v>42879</v>
      </c>
      <c r="D2890" s="71" t="s">
        <v>902</v>
      </c>
      <c r="E2890" s="929">
        <f t="shared" si="1029"/>
        <v>42879</v>
      </c>
      <c r="F2890" s="72" t="s">
        <v>1096</v>
      </c>
      <c r="G2890" s="72" t="s">
        <v>747</v>
      </c>
      <c r="H2890" s="73" t="s">
        <v>835</v>
      </c>
      <c r="I2890" s="73"/>
      <c r="J2890" s="377"/>
      <c r="K2890" s="371">
        <v>342.59</v>
      </c>
      <c r="L2890" s="377">
        <v>22700</v>
      </c>
      <c r="M2890" s="74">
        <f t="shared" si="1036"/>
        <v>7776793</v>
      </c>
      <c r="N2890" s="75" t="s">
        <v>99</v>
      </c>
      <c r="O2890" s="934" t="s">
        <v>256</v>
      </c>
      <c r="P2890" s="75" t="str">
        <f>IF(AND('331-CT'!$E$7=TH!H2890,OR(N2890="331",O2890="331")),"x","")</f>
        <v/>
      </c>
      <c r="Q2890" s="75" t="str">
        <f>IF(AND(B2890='111'!$L$11,OR($N2890=$Q$7,$O2890=$Q$7)),"x","")</f>
        <v/>
      </c>
      <c r="R2890" s="75" t="str">
        <f>IF(AND($N2890=$Q$7,$B2890&lt;'111'!$L$11),"x","")</f>
        <v/>
      </c>
      <c r="S2890" s="75" t="str">
        <f>IF(AND($O2890=$Q$7,$B2890&lt;'111'!$L$11),"x","")</f>
        <v/>
      </c>
      <c r="T2890" s="75" t="str">
        <f>IF(ISERROR(FIND('112'!$M$9,G2890,1)),"",IF((AND(FIND('112'!$M$9,G2890,1)&gt;=1,B2890='112'!$K$9,OR($N2890='112'!$I$6,$O2890='112'!$I$6))),"x",""))</f>
        <v/>
      </c>
      <c r="U2890" s="75" t="str">
        <f>IF(ISERROR(FIND('112'!$M$9,G2890,1)),"",IF((AND(LEFT(G2890,2)=LEFT('112'!$M$9,2),B2890&lt;'112'!$K$9,$N2890='112'!$I$6)),"x",""))</f>
        <v/>
      </c>
      <c r="V2890" s="75" t="str">
        <f>IF(ISERROR(FIND('112'!$M$9,G2890,1)),"",IF((AND(RIGHT(G2890,2)=RIGHT('112'!$M$9,2),B2890&lt;'112'!$K$9,$O2890='112'!$I$6)),"x",""))</f>
        <v/>
      </c>
      <c r="W2890" s="75" t="str">
        <f>IF(AND('341-CT'!$H$9=H2890,OR(LEFT(N2890,3)=$W$7,LEFT(O2890,3)=$W$7)),"x","")</f>
        <v/>
      </c>
      <c r="X2890" s="75" t="str">
        <f>IF(OR(TH!N2890=TH!$X$7,O2890=TH!$X$7),"x","")</f>
        <v/>
      </c>
      <c r="Y2890" s="75" t="str">
        <f>IF(AND(OR(N2890="131",O2890="131"),H2890='131-CT'!$H$9),"x","")</f>
        <v/>
      </c>
      <c r="Z2890" s="75"/>
      <c r="AA2890" s="75" t="str">
        <f>IF(AND(MONTH(E2890)='IN-NX'!$J$5,'IN-NX'!$D$7=D2890),"x","")</f>
        <v/>
      </c>
      <c r="AB2890" s="75" t="str">
        <f>IF(AND(OR(LEFT(TH!N2890,2)="15",LEFT(TH!O2890,2)="15"),LEFT(TH!O2890,3)&lt;&gt;"111",'152-CT'!$J$8=TH!F2890),"x","")</f>
        <v/>
      </c>
      <c r="AC2890" s="75" t="str">
        <f>IF(AND(OR(LEFT(TH!N2890,2)="15",LEFT(TH!O2890,2)="15"),TK!$E$7=TH!F2890),"x","")</f>
        <v/>
      </c>
      <c r="AD2890" s="75" t="str">
        <f>IF(AND(N2890="1521",MONTH(C2890)='BK-NL'!$M$11),"x","")</f>
        <v/>
      </c>
    </row>
    <row r="2891" spans="1:30" s="1264" customFormat="1" ht="16.5" customHeight="1">
      <c r="A2891" s="309" t="str">
        <f>IF(B2891&lt;&gt;"",IF(AND(B2891='IN-TC'!$S$4,OR(TH!N2891="1111",TH!O2891="1111")),TH!D2891,""),"")</f>
        <v/>
      </c>
      <c r="B2891" s="1275">
        <f t="shared" si="1009"/>
        <v>5</v>
      </c>
      <c r="C2891" s="71">
        <v>42879</v>
      </c>
      <c r="D2891" s="71" t="s">
        <v>902</v>
      </c>
      <c r="E2891" s="929">
        <f t="shared" si="1029"/>
        <v>42879</v>
      </c>
      <c r="F2891" s="72" t="s">
        <v>1096</v>
      </c>
      <c r="G2891" s="72" t="s">
        <v>747</v>
      </c>
      <c r="H2891" s="73" t="s">
        <v>835</v>
      </c>
      <c r="I2891" s="73"/>
      <c r="J2891" s="377"/>
      <c r="K2891" s="371">
        <v>232.56</v>
      </c>
      <c r="L2891" s="377">
        <v>22700</v>
      </c>
      <c r="M2891" s="74">
        <f t="shared" si="1036"/>
        <v>5279112</v>
      </c>
      <c r="N2891" s="75" t="s">
        <v>99</v>
      </c>
      <c r="O2891" s="934" t="s">
        <v>256</v>
      </c>
      <c r="P2891" s="75" t="str">
        <f>IF(AND('331-CT'!$E$7=TH!H2891,OR(N2891="331",O2891="331")),"x","")</f>
        <v/>
      </c>
      <c r="Q2891" s="75" t="str">
        <f>IF(AND(B2891='111'!$L$11,OR($N2891=$Q$7,$O2891=$Q$7)),"x","")</f>
        <v/>
      </c>
      <c r="R2891" s="75" t="str">
        <f>IF(AND($N2891=$Q$7,$B2891&lt;'111'!$L$11),"x","")</f>
        <v/>
      </c>
      <c r="S2891" s="75" t="str">
        <f>IF(AND($O2891=$Q$7,$B2891&lt;'111'!$L$11),"x","")</f>
        <v/>
      </c>
      <c r="T2891" s="75" t="str">
        <f>IF(ISERROR(FIND('112'!$M$9,G2891,1)),"",IF((AND(FIND('112'!$M$9,G2891,1)&gt;=1,B2891='112'!$K$9,OR($N2891='112'!$I$6,$O2891='112'!$I$6))),"x",""))</f>
        <v/>
      </c>
      <c r="U2891" s="75" t="str">
        <f>IF(ISERROR(FIND('112'!$M$9,G2891,1)),"",IF((AND(LEFT(G2891,2)=LEFT('112'!$M$9,2),B2891&lt;'112'!$K$9,$N2891='112'!$I$6)),"x",""))</f>
        <v/>
      </c>
      <c r="V2891" s="75" t="str">
        <f>IF(ISERROR(FIND('112'!$M$9,G2891,1)),"",IF((AND(RIGHT(G2891,2)=RIGHT('112'!$M$9,2),B2891&lt;'112'!$K$9,$O2891='112'!$I$6)),"x",""))</f>
        <v/>
      </c>
      <c r="W2891" s="75" t="str">
        <f>IF(AND('341-CT'!$H$9=H2891,OR(LEFT(N2891,3)=$W$7,LEFT(O2891,3)=$W$7)),"x","")</f>
        <v/>
      </c>
      <c r="X2891" s="75" t="str">
        <f>IF(OR(TH!N2891=TH!$X$7,O2891=TH!$X$7),"x","")</f>
        <v/>
      </c>
      <c r="Y2891" s="75" t="str">
        <f>IF(AND(OR(N2891="131",O2891="131"),H2891='131-CT'!$H$9),"x","")</f>
        <v/>
      </c>
      <c r="Z2891" s="75"/>
      <c r="AA2891" s="75" t="str">
        <f>IF(AND(MONTH(E2891)='IN-NX'!$J$5,'IN-NX'!$D$7=D2891),"x","")</f>
        <v/>
      </c>
      <c r="AB2891" s="75" t="str">
        <f>IF(AND(OR(LEFT(TH!N2891,2)="15",LEFT(TH!O2891,2)="15"),LEFT(TH!O2891,3)&lt;&gt;"111",'152-CT'!$J$8=TH!F2891),"x","")</f>
        <v/>
      </c>
      <c r="AC2891" s="75" t="str">
        <f>IF(AND(OR(LEFT(TH!N2891,2)="15",LEFT(TH!O2891,2)="15"),TK!$E$7=TH!F2891),"x","")</f>
        <v/>
      </c>
      <c r="AD2891" s="75" t="str">
        <f>IF(AND(N2891="1521",MONTH(C2891)='BK-NL'!$M$11),"x","")</f>
        <v/>
      </c>
    </row>
    <row r="2892" spans="1:30" s="1264" customFormat="1" ht="16.5" customHeight="1">
      <c r="A2892" s="309" t="str">
        <f>IF(B2892&lt;&gt;"",IF(AND(B2892='IN-TC'!$S$4,OR(TH!N2892="1111",TH!O2892="1111")),TH!D2892,""),"")</f>
        <v/>
      </c>
      <c r="B2892" s="1275">
        <f t="shared" si="1009"/>
        <v>5</v>
      </c>
      <c r="C2892" s="71">
        <v>42879</v>
      </c>
      <c r="D2892" s="71" t="s">
        <v>902</v>
      </c>
      <c r="E2892" s="929">
        <f t="shared" si="1029"/>
        <v>42879</v>
      </c>
      <c r="F2892" s="72" t="s">
        <v>1096</v>
      </c>
      <c r="G2892" s="72" t="s">
        <v>747</v>
      </c>
      <c r="H2892" s="73" t="s">
        <v>835</v>
      </c>
      <c r="I2892" s="73"/>
      <c r="J2892" s="377"/>
      <c r="K2892" s="371">
        <v>148.30000000000001</v>
      </c>
      <c r="L2892" s="377">
        <v>22700</v>
      </c>
      <c r="M2892" s="74">
        <f t="shared" si="1036"/>
        <v>3366410</v>
      </c>
      <c r="N2892" s="75" t="s">
        <v>99</v>
      </c>
      <c r="O2892" s="934" t="s">
        <v>256</v>
      </c>
      <c r="P2892" s="75" t="str">
        <f>IF(AND('331-CT'!$E$7=TH!H2892,OR(N2892="331",O2892="331")),"x","")</f>
        <v/>
      </c>
      <c r="Q2892" s="75" t="str">
        <f>IF(AND(B2892='111'!$L$11,OR($N2892=$Q$7,$O2892=$Q$7)),"x","")</f>
        <v/>
      </c>
      <c r="R2892" s="75" t="str">
        <f>IF(AND($N2892=$Q$7,$B2892&lt;'111'!$L$11),"x","")</f>
        <v/>
      </c>
      <c r="S2892" s="75" t="str">
        <f>IF(AND($O2892=$Q$7,$B2892&lt;'111'!$L$11),"x","")</f>
        <v/>
      </c>
      <c r="T2892" s="75" t="str">
        <f>IF(ISERROR(FIND('112'!$M$9,G2892,1)),"",IF((AND(FIND('112'!$M$9,G2892,1)&gt;=1,B2892='112'!$K$9,OR($N2892='112'!$I$6,$O2892='112'!$I$6))),"x",""))</f>
        <v/>
      </c>
      <c r="U2892" s="75" t="str">
        <f>IF(ISERROR(FIND('112'!$M$9,G2892,1)),"",IF((AND(LEFT(G2892,2)=LEFT('112'!$M$9,2),B2892&lt;'112'!$K$9,$N2892='112'!$I$6)),"x",""))</f>
        <v/>
      </c>
      <c r="V2892" s="75" t="str">
        <f>IF(ISERROR(FIND('112'!$M$9,G2892,1)),"",IF((AND(RIGHT(G2892,2)=RIGHT('112'!$M$9,2),B2892&lt;'112'!$K$9,$O2892='112'!$I$6)),"x",""))</f>
        <v/>
      </c>
      <c r="W2892" s="75" t="str">
        <f>IF(AND('341-CT'!$H$9=H2892,OR(LEFT(N2892,3)=$W$7,LEFT(O2892,3)=$W$7)),"x","")</f>
        <v/>
      </c>
      <c r="X2892" s="75" t="str">
        <f>IF(OR(TH!N2892=TH!$X$7,O2892=TH!$X$7),"x","")</f>
        <v/>
      </c>
      <c r="Y2892" s="75" t="str">
        <f>IF(AND(OR(N2892="131",O2892="131"),H2892='131-CT'!$H$9),"x","")</f>
        <v/>
      </c>
      <c r="Z2892" s="75"/>
      <c r="AA2892" s="75" t="str">
        <f>IF(AND(MONTH(E2892)='IN-NX'!$J$5,'IN-NX'!$D$7=D2892),"x","")</f>
        <v/>
      </c>
      <c r="AB2892" s="75" t="str">
        <f>IF(AND(OR(LEFT(TH!N2892,2)="15",LEFT(TH!O2892,2)="15"),LEFT(TH!O2892,3)&lt;&gt;"111",'152-CT'!$J$8=TH!F2892),"x","")</f>
        <v/>
      </c>
      <c r="AC2892" s="75" t="str">
        <f>IF(AND(OR(LEFT(TH!N2892,2)="15",LEFT(TH!O2892,2)="15"),TK!$E$7=TH!F2892),"x","")</f>
        <v/>
      </c>
      <c r="AD2892" s="75" t="str">
        <f>IF(AND(N2892="1521",MONTH(C2892)='BK-NL'!$M$11),"x","")</f>
        <v/>
      </c>
    </row>
    <row r="2893" spans="1:30" s="1264" customFormat="1" ht="16.5" customHeight="1">
      <c r="A2893" s="309" t="str">
        <f>IF(B2893&lt;&gt;"",IF(AND(B2893='IN-TC'!$S$4,OR(TH!N2893="1111",TH!O2893="1111")),TH!D2893,""),"")</f>
        <v/>
      </c>
      <c r="B2893" s="1275">
        <f t="shared" si="1009"/>
        <v>5</v>
      </c>
      <c r="C2893" s="71">
        <v>42879</v>
      </c>
      <c r="D2893" s="71" t="s">
        <v>902</v>
      </c>
      <c r="E2893" s="929">
        <f t="shared" si="1029"/>
        <v>42879</v>
      </c>
      <c r="F2893" s="72" t="s">
        <v>1096</v>
      </c>
      <c r="G2893" s="72" t="s">
        <v>747</v>
      </c>
      <c r="H2893" s="73" t="s">
        <v>835</v>
      </c>
      <c r="I2893" s="73"/>
      <c r="J2893" s="377"/>
      <c r="K2893" s="371">
        <v>108.36</v>
      </c>
      <c r="L2893" s="377">
        <v>22700</v>
      </c>
      <c r="M2893" s="74">
        <f t="shared" si="1036"/>
        <v>2459772</v>
      </c>
      <c r="N2893" s="75" t="s">
        <v>99</v>
      </c>
      <c r="O2893" s="934" t="s">
        <v>256</v>
      </c>
      <c r="P2893" s="75" t="str">
        <f>IF(AND('331-CT'!$E$7=TH!H2893,OR(N2893="331",O2893="331")),"x","")</f>
        <v/>
      </c>
      <c r="Q2893" s="75" t="str">
        <f>IF(AND(B2893='111'!$L$11,OR($N2893=$Q$7,$O2893=$Q$7)),"x","")</f>
        <v/>
      </c>
      <c r="R2893" s="75" t="str">
        <f>IF(AND($N2893=$Q$7,$B2893&lt;'111'!$L$11),"x","")</f>
        <v/>
      </c>
      <c r="S2893" s="75" t="str">
        <f>IF(AND($O2893=$Q$7,$B2893&lt;'111'!$L$11),"x","")</f>
        <v/>
      </c>
      <c r="T2893" s="75" t="str">
        <f>IF(ISERROR(FIND('112'!$M$9,G2893,1)),"",IF((AND(FIND('112'!$M$9,G2893,1)&gt;=1,B2893='112'!$K$9,OR($N2893='112'!$I$6,$O2893='112'!$I$6))),"x",""))</f>
        <v/>
      </c>
      <c r="U2893" s="75" t="str">
        <f>IF(ISERROR(FIND('112'!$M$9,G2893,1)),"",IF((AND(LEFT(G2893,2)=LEFT('112'!$M$9,2),B2893&lt;'112'!$K$9,$N2893='112'!$I$6)),"x",""))</f>
        <v/>
      </c>
      <c r="V2893" s="75" t="str">
        <f>IF(ISERROR(FIND('112'!$M$9,G2893,1)),"",IF((AND(RIGHT(G2893,2)=RIGHT('112'!$M$9,2),B2893&lt;'112'!$K$9,$O2893='112'!$I$6)),"x",""))</f>
        <v/>
      </c>
      <c r="W2893" s="75" t="str">
        <f>IF(AND('341-CT'!$H$9=H2893,OR(LEFT(N2893,3)=$W$7,LEFT(O2893,3)=$W$7)),"x","")</f>
        <v/>
      </c>
      <c r="X2893" s="75" t="str">
        <f>IF(OR(TH!N2893=TH!$X$7,O2893=TH!$X$7),"x","")</f>
        <v/>
      </c>
      <c r="Y2893" s="75" t="str">
        <f>IF(AND(OR(N2893="131",O2893="131"),H2893='131-CT'!$H$9),"x","")</f>
        <v/>
      </c>
      <c r="Z2893" s="75"/>
      <c r="AA2893" s="75" t="str">
        <f>IF(AND(MONTH(E2893)='IN-NX'!$J$5,'IN-NX'!$D$7=D2893),"x","")</f>
        <v/>
      </c>
      <c r="AB2893" s="75" t="str">
        <f>IF(AND(OR(LEFT(TH!N2893,2)="15",LEFT(TH!O2893,2)="15"),LEFT(TH!O2893,3)&lt;&gt;"111",'152-CT'!$J$8=TH!F2893),"x","")</f>
        <v/>
      </c>
      <c r="AC2893" s="75" t="str">
        <f>IF(AND(OR(LEFT(TH!N2893,2)="15",LEFT(TH!O2893,2)="15"),TK!$E$7=TH!F2893),"x","")</f>
        <v/>
      </c>
      <c r="AD2893" s="75" t="str">
        <f>IF(AND(N2893="1521",MONTH(C2893)='BK-NL'!$M$11),"x","")</f>
        <v/>
      </c>
    </row>
    <row r="2894" spans="1:30" s="1264" customFormat="1" ht="16.5" customHeight="1">
      <c r="A2894" s="309" t="str">
        <f>IF(B2894&lt;&gt;"",IF(AND(B2894='IN-TC'!$S$4,OR(TH!N2894="1111",TH!O2894="1111")),TH!D2894,""),"")</f>
        <v/>
      </c>
      <c r="B2894" s="1275">
        <f t="shared" si="1009"/>
        <v>5</v>
      </c>
      <c r="C2894" s="71">
        <v>42879</v>
      </c>
      <c r="D2894" s="71" t="s">
        <v>902</v>
      </c>
      <c r="E2894" s="929">
        <f t="shared" si="1029"/>
        <v>42879</v>
      </c>
      <c r="F2894" s="72" t="s">
        <v>1096</v>
      </c>
      <c r="G2894" s="72" t="s">
        <v>747</v>
      </c>
      <c r="H2894" s="73" t="s">
        <v>835</v>
      </c>
      <c r="I2894" s="73"/>
      <c r="J2894" s="377"/>
      <c r="K2894" s="371">
        <v>286.55</v>
      </c>
      <c r="L2894" s="377">
        <v>22700</v>
      </c>
      <c r="M2894" s="74">
        <f t="shared" si="1036"/>
        <v>6504685</v>
      </c>
      <c r="N2894" s="75" t="s">
        <v>99</v>
      </c>
      <c r="O2894" s="934" t="s">
        <v>256</v>
      </c>
      <c r="P2894" s="75" t="str">
        <f>IF(AND('331-CT'!$E$7=TH!H2894,OR(N2894="331",O2894="331")),"x","")</f>
        <v/>
      </c>
      <c r="Q2894" s="75" t="str">
        <f>IF(AND(B2894='111'!$L$11,OR($N2894=$Q$7,$O2894=$Q$7)),"x","")</f>
        <v/>
      </c>
      <c r="R2894" s="75" t="str">
        <f>IF(AND($N2894=$Q$7,$B2894&lt;'111'!$L$11),"x","")</f>
        <v/>
      </c>
      <c r="S2894" s="75" t="str">
        <f>IF(AND($O2894=$Q$7,$B2894&lt;'111'!$L$11),"x","")</f>
        <v/>
      </c>
      <c r="T2894" s="75" t="str">
        <f>IF(ISERROR(FIND('112'!$M$9,G2894,1)),"",IF((AND(FIND('112'!$M$9,G2894,1)&gt;=1,B2894='112'!$K$9,OR($N2894='112'!$I$6,$O2894='112'!$I$6))),"x",""))</f>
        <v/>
      </c>
      <c r="U2894" s="75" t="str">
        <f>IF(ISERROR(FIND('112'!$M$9,G2894,1)),"",IF((AND(LEFT(G2894,2)=LEFT('112'!$M$9,2),B2894&lt;'112'!$K$9,$N2894='112'!$I$6)),"x",""))</f>
        <v/>
      </c>
      <c r="V2894" s="75" t="str">
        <f>IF(ISERROR(FIND('112'!$M$9,G2894,1)),"",IF((AND(RIGHT(G2894,2)=RIGHT('112'!$M$9,2),B2894&lt;'112'!$K$9,$O2894='112'!$I$6)),"x",""))</f>
        <v/>
      </c>
      <c r="W2894" s="75" t="str">
        <f>IF(AND('341-CT'!$H$9=H2894,OR(LEFT(N2894,3)=$W$7,LEFT(O2894,3)=$W$7)),"x","")</f>
        <v/>
      </c>
      <c r="X2894" s="75" t="str">
        <f>IF(OR(TH!N2894=TH!$X$7,O2894=TH!$X$7),"x","")</f>
        <v/>
      </c>
      <c r="Y2894" s="75" t="str">
        <f>IF(AND(OR(N2894="131",O2894="131"),H2894='131-CT'!$H$9),"x","")</f>
        <v/>
      </c>
      <c r="Z2894" s="75"/>
      <c r="AA2894" s="75" t="str">
        <f>IF(AND(MONTH(E2894)='IN-NX'!$J$5,'IN-NX'!$D$7=D2894),"x","")</f>
        <v/>
      </c>
      <c r="AB2894" s="75" t="str">
        <f>IF(AND(OR(LEFT(TH!N2894,2)="15",LEFT(TH!O2894,2)="15"),LEFT(TH!O2894,3)&lt;&gt;"111",'152-CT'!$J$8=TH!F2894),"x","")</f>
        <v/>
      </c>
      <c r="AC2894" s="75" t="str">
        <f>IF(AND(OR(LEFT(TH!N2894,2)="15",LEFT(TH!O2894,2)="15"),TK!$E$7=TH!F2894),"x","")</f>
        <v/>
      </c>
      <c r="AD2894" s="75" t="str">
        <f>IF(AND(N2894="1521",MONTH(C2894)='BK-NL'!$M$11),"x","")</f>
        <v/>
      </c>
    </row>
    <row r="2895" spans="1:30" s="1264" customFormat="1" ht="16.5" customHeight="1">
      <c r="A2895" s="309" t="str">
        <f>IF(B2895&lt;&gt;"",IF(AND(B2895='IN-TC'!$S$4,OR(TH!N2895="1111",TH!O2895="1111")),TH!D2895,""),"")</f>
        <v/>
      </c>
      <c r="B2895" s="1275">
        <f t="shared" si="1009"/>
        <v>5</v>
      </c>
      <c r="C2895" s="71">
        <v>42879</v>
      </c>
      <c r="D2895" s="71" t="s">
        <v>902</v>
      </c>
      <c r="E2895" s="929">
        <f t="shared" si="1029"/>
        <v>42879</v>
      </c>
      <c r="F2895" s="72" t="s">
        <v>1096</v>
      </c>
      <c r="G2895" s="72" t="s">
        <v>747</v>
      </c>
      <c r="H2895" s="73" t="s">
        <v>835</v>
      </c>
      <c r="I2895" s="73"/>
      <c r="J2895" s="377"/>
      <c r="K2895" s="371">
        <v>100.03</v>
      </c>
      <c r="L2895" s="377">
        <v>22700</v>
      </c>
      <c r="M2895" s="74">
        <f t="shared" si="1036"/>
        <v>2270681</v>
      </c>
      <c r="N2895" s="75" t="s">
        <v>99</v>
      </c>
      <c r="O2895" s="934" t="s">
        <v>256</v>
      </c>
      <c r="P2895" s="75" t="str">
        <f>IF(AND('331-CT'!$E$7=TH!H2895,OR(N2895="331",O2895="331")),"x","")</f>
        <v/>
      </c>
      <c r="Q2895" s="75" t="str">
        <f>IF(AND(B2895='111'!$L$11,OR($N2895=$Q$7,$O2895=$Q$7)),"x","")</f>
        <v/>
      </c>
      <c r="R2895" s="75" t="str">
        <f>IF(AND($N2895=$Q$7,$B2895&lt;'111'!$L$11),"x","")</f>
        <v/>
      </c>
      <c r="S2895" s="75" t="str">
        <f>IF(AND($O2895=$Q$7,$B2895&lt;'111'!$L$11),"x","")</f>
        <v/>
      </c>
      <c r="T2895" s="75" t="str">
        <f>IF(ISERROR(FIND('112'!$M$9,G2895,1)),"",IF((AND(FIND('112'!$M$9,G2895,1)&gt;=1,B2895='112'!$K$9,OR($N2895='112'!$I$6,$O2895='112'!$I$6))),"x",""))</f>
        <v/>
      </c>
      <c r="U2895" s="75" t="str">
        <f>IF(ISERROR(FIND('112'!$M$9,G2895,1)),"",IF((AND(LEFT(G2895,2)=LEFT('112'!$M$9,2),B2895&lt;'112'!$K$9,$N2895='112'!$I$6)),"x",""))</f>
        <v/>
      </c>
      <c r="V2895" s="75" t="str">
        <f>IF(ISERROR(FIND('112'!$M$9,G2895,1)),"",IF((AND(RIGHT(G2895,2)=RIGHT('112'!$M$9,2),B2895&lt;'112'!$K$9,$O2895='112'!$I$6)),"x",""))</f>
        <v/>
      </c>
      <c r="W2895" s="75" t="str">
        <f>IF(AND('341-CT'!$H$9=H2895,OR(LEFT(N2895,3)=$W$7,LEFT(O2895,3)=$W$7)),"x","")</f>
        <v/>
      </c>
      <c r="X2895" s="75" t="str">
        <f>IF(OR(TH!N2895=TH!$X$7,O2895=TH!$X$7),"x","")</f>
        <v/>
      </c>
      <c r="Y2895" s="75" t="str">
        <f>IF(AND(OR(N2895="131",O2895="131"),H2895='131-CT'!$H$9),"x","")</f>
        <v/>
      </c>
      <c r="Z2895" s="75"/>
      <c r="AA2895" s="75" t="str">
        <f>IF(AND(MONTH(E2895)='IN-NX'!$J$5,'IN-NX'!$D$7=D2895),"x","")</f>
        <v/>
      </c>
      <c r="AB2895" s="75" t="str">
        <f>IF(AND(OR(LEFT(TH!N2895,2)="15",LEFT(TH!O2895,2)="15"),LEFT(TH!O2895,3)&lt;&gt;"111",'152-CT'!$J$8=TH!F2895),"x","")</f>
        <v/>
      </c>
      <c r="AC2895" s="75" t="str">
        <f>IF(AND(OR(LEFT(TH!N2895,2)="15",LEFT(TH!O2895,2)="15"),TK!$E$7=TH!F2895),"x","")</f>
        <v/>
      </c>
      <c r="AD2895" s="75" t="str">
        <f>IF(AND(N2895="1521",MONTH(C2895)='BK-NL'!$M$11),"x","")</f>
        <v/>
      </c>
    </row>
    <row r="2896" spans="1:30" s="1264" customFormat="1" ht="16.5" customHeight="1">
      <c r="A2896" s="309" t="str">
        <f>IF(B2896&lt;&gt;"",IF(AND(B2896='IN-TC'!$S$4,OR(TH!N2896="1111",TH!O2896="1111")),TH!D2896,""),"")</f>
        <v/>
      </c>
      <c r="B2896" s="1275">
        <f t="shared" si="1009"/>
        <v>5</v>
      </c>
      <c r="C2896" s="71">
        <v>42879</v>
      </c>
      <c r="D2896" s="71" t="s">
        <v>902</v>
      </c>
      <c r="E2896" s="929">
        <f t="shared" si="1029"/>
        <v>42879</v>
      </c>
      <c r="F2896" s="72" t="s">
        <v>1096</v>
      </c>
      <c r="G2896" s="72" t="s">
        <v>747</v>
      </c>
      <c r="H2896" s="73" t="s">
        <v>835</v>
      </c>
      <c r="I2896" s="73"/>
      <c r="J2896" s="377"/>
      <c r="K2896" s="371">
        <v>218.8</v>
      </c>
      <c r="L2896" s="377">
        <v>22700</v>
      </c>
      <c r="M2896" s="74">
        <f t="shared" si="1036"/>
        <v>4966760</v>
      </c>
      <c r="N2896" s="75" t="s">
        <v>99</v>
      </c>
      <c r="O2896" s="934" t="s">
        <v>256</v>
      </c>
      <c r="P2896" s="75" t="str">
        <f>IF(AND('331-CT'!$E$7=TH!H2896,OR(N2896="331",O2896="331")),"x","")</f>
        <v/>
      </c>
      <c r="Q2896" s="75" t="str">
        <f>IF(AND(B2896='111'!$L$11,OR($N2896=$Q$7,$O2896=$Q$7)),"x","")</f>
        <v/>
      </c>
      <c r="R2896" s="75" t="str">
        <f>IF(AND($N2896=$Q$7,$B2896&lt;'111'!$L$11),"x","")</f>
        <v/>
      </c>
      <c r="S2896" s="75" t="str">
        <f>IF(AND($O2896=$Q$7,$B2896&lt;'111'!$L$11),"x","")</f>
        <v/>
      </c>
      <c r="T2896" s="75" t="str">
        <f>IF(ISERROR(FIND('112'!$M$9,G2896,1)),"",IF((AND(FIND('112'!$M$9,G2896,1)&gt;=1,B2896='112'!$K$9,OR($N2896='112'!$I$6,$O2896='112'!$I$6))),"x",""))</f>
        <v/>
      </c>
      <c r="U2896" s="75" t="str">
        <f>IF(ISERROR(FIND('112'!$M$9,G2896,1)),"",IF((AND(LEFT(G2896,2)=LEFT('112'!$M$9,2),B2896&lt;'112'!$K$9,$N2896='112'!$I$6)),"x",""))</f>
        <v/>
      </c>
      <c r="V2896" s="75" t="str">
        <f>IF(ISERROR(FIND('112'!$M$9,G2896,1)),"",IF((AND(RIGHT(G2896,2)=RIGHT('112'!$M$9,2),B2896&lt;'112'!$K$9,$O2896='112'!$I$6)),"x",""))</f>
        <v/>
      </c>
      <c r="W2896" s="75" t="str">
        <f>IF(AND('341-CT'!$H$9=H2896,OR(LEFT(N2896,3)=$W$7,LEFT(O2896,3)=$W$7)),"x","")</f>
        <v/>
      </c>
      <c r="X2896" s="75" t="str">
        <f>IF(OR(TH!N2896=TH!$X$7,O2896=TH!$X$7),"x","")</f>
        <v/>
      </c>
      <c r="Y2896" s="75" t="str">
        <f>IF(AND(OR(N2896="131",O2896="131"),H2896='131-CT'!$H$9),"x","")</f>
        <v/>
      </c>
      <c r="Z2896" s="75"/>
      <c r="AA2896" s="75" t="str">
        <f>IF(AND(MONTH(E2896)='IN-NX'!$J$5,'IN-NX'!$D$7=D2896),"x","")</f>
        <v/>
      </c>
      <c r="AB2896" s="75" t="str">
        <f>IF(AND(OR(LEFT(TH!N2896,2)="15",LEFT(TH!O2896,2)="15"),LEFT(TH!O2896,3)&lt;&gt;"111",'152-CT'!$J$8=TH!F2896),"x","")</f>
        <v/>
      </c>
      <c r="AC2896" s="75" t="str">
        <f>IF(AND(OR(LEFT(TH!N2896,2)="15",LEFT(TH!O2896,2)="15"),TK!$E$7=TH!F2896),"x","")</f>
        <v/>
      </c>
      <c r="AD2896" s="75" t="str">
        <f>IF(AND(N2896="1521",MONTH(C2896)='BK-NL'!$M$11),"x","")</f>
        <v/>
      </c>
    </row>
    <row r="2897" spans="1:30" s="1264" customFormat="1" ht="16.5" customHeight="1">
      <c r="A2897" s="309" t="str">
        <f>IF(B2897&lt;&gt;"",IF(AND(B2897='IN-TC'!$S$4,OR(TH!N2897="1111",TH!O2897="1111")),TH!D2897,""),"")</f>
        <v/>
      </c>
      <c r="B2897" s="1275">
        <f t="shared" si="1009"/>
        <v>5</v>
      </c>
      <c r="C2897" s="71">
        <v>42879</v>
      </c>
      <c r="D2897" s="71" t="s">
        <v>902</v>
      </c>
      <c r="E2897" s="929">
        <f t="shared" si="1029"/>
        <v>42879</v>
      </c>
      <c r="F2897" s="72" t="s">
        <v>1096</v>
      </c>
      <c r="G2897" s="72" t="s">
        <v>747</v>
      </c>
      <c r="H2897" s="73" t="s">
        <v>835</v>
      </c>
      <c r="I2897" s="73"/>
      <c r="J2897" s="377"/>
      <c r="K2897" s="371">
        <v>910.28</v>
      </c>
      <c r="L2897" s="377">
        <v>22700</v>
      </c>
      <c r="M2897" s="74">
        <f t="shared" si="1036"/>
        <v>20663356</v>
      </c>
      <c r="N2897" s="75" t="s">
        <v>99</v>
      </c>
      <c r="O2897" s="934" t="s">
        <v>256</v>
      </c>
      <c r="P2897" s="75" t="str">
        <f>IF(AND('331-CT'!$E$7=TH!H2897,OR(N2897="331",O2897="331")),"x","")</f>
        <v/>
      </c>
      <c r="Q2897" s="75" t="str">
        <f>IF(AND(B2897='111'!$L$11,OR($N2897=$Q$7,$O2897=$Q$7)),"x","")</f>
        <v/>
      </c>
      <c r="R2897" s="75" t="str">
        <f>IF(AND($N2897=$Q$7,$B2897&lt;'111'!$L$11),"x","")</f>
        <v/>
      </c>
      <c r="S2897" s="75" t="str">
        <f>IF(AND($O2897=$Q$7,$B2897&lt;'111'!$L$11),"x","")</f>
        <v/>
      </c>
      <c r="T2897" s="75" t="str">
        <f>IF(ISERROR(FIND('112'!$M$9,G2897,1)),"",IF((AND(FIND('112'!$M$9,G2897,1)&gt;=1,B2897='112'!$K$9,OR($N2897='112'!$I$6,$O2897='112'!$I$6))),"x",""))</f>
        <v/>
      </c>
      <c r="U2897" s="75" t="str">
        <f>IF(ISERROR(FIND('112'!$M$9,G2897,1)),"",IF((AND(LEFT(G2897,2)=LEFT('112'!$M$9,2),B2897&lt;'112'!$K$9,$N2897='112'!$I$6)),"x",""))</f>
        <v/>
      </c>
      <c r="V2897" s="75" t="str">
        <f>IF(ISERROR(FIND('112'!$M$9,G2897,1)),"",IF((AND(RIGHT(G2897,2)=RIGHT('112'!$M$9,2),B2897&lt;'112'!$K$9,$O2897='112'!$I$6)),"x",""))</f>
        <v/>
      </c>
      <c r="W2897" s="75" t="str">
        <f>IF(AND('341-CT'!$H$9=H2897,OR(LEFT(N2897,3)=$W$7,LEFT(O2897,3)=$W$7)),"x","")</f>
        <v/>
      </c>
      <c r="X2897" s="75" t="str">
        <f>IF(OR(TH!N2897=TH!$X$7,O2897=TH!$X$7),"x","")</f>
        <v/>
      </c>
      <c r="Y2897" s="75" t="str">
        <f>IF(AND(OR(N2897="131",O2897="131"),H2897='131-CT'!$H$9),"x","")</f>
        <v/>
      </c>
      <c r="Z2897" s="75"/>
      <c r="AA2897" s="75" t="str">
        <f>IF(AND(MONTH(E2897)='IN-NX'!$J$5,'IN-NX'!$D$7=D2897),"x","")</f>
        <v/>
      </c>
      <c r="AB2897" s="75" t="str">
        <f>IF(AND(OR(LEFT(TH!N2897,2)="15",LEFT(TH!O2897,2)="15"),LEFT(TH!O2897,3)&lt;&gt;"111",'152-CT'!$J$8=TH!F2897),"x","")</f>
        <v/>
      </c>
      <c r="AC2897" s="75" t="str">
        <f>IF(AND(OR(LEFT(TH!N2897,2)="15",LEFT(TH!O2897,2)="15"),TK!$E$7=TH!F2897),"x","")</f>
        <v/>
      </c>
      <c r="AD2897" s="75" t="str">
        <f>IF(AND(N2897="1521",MONTH(C2897)='BK-NL'!$M$11),"x","")</f>
        <v/>
      </c>
    </row>
    <row r="2898" spans="1:30" s="1264" customFormat="1" ht="16.5" customHeight="1">
      <c r="A2898" s="309" t="str">
        <f>IF(B2898&lt;&gt;"",IF(AND(B2898='IN-TC'!$S$4,OR(TH!N2898="1111",TH!O2898="1111")),TH!D2898,""),"")</f>
        <v/>
      </c>
      <c r="B2898" s="1275">
        <f t="shared" si="1009"/>
        <v>5</v>
      </c>
      <c r="C2898" s="71">
        <v>42884</v>
      </c>
      <c r="D2898" s="71" t="s">
        <v>903</v>
      </c>
      <c r="E2898" s="929">
        <f t="shared" si="1029"/>
        <v>42884</v>
      </c>
      <c r="F2898" s="72" t="s">
        <v>1199</v>
      </c>
      <c r="G2898" s="72" t="s">
        <v>747</v>
      </c>
      <c r="H2898" s="1184" t="s">
        <v>544</v>
      </c>
      <c r="I2898" s="73"/>
      <c r="J2898" s="1214"/>
      <c r="K2898" s="1213">
        <v>37785.599999999999</v>
      </c>
      <c r="L2898" s="377">
        <v>22700</v>
      </c>
      <c r="M2898" s="1214">
        <f t="shared" ref="M2898" si="1037">ROUND(K2898*L2898,0)</f>
        <v>857733120</v>
      </c>
      <c r="N2898" s="75" t="s">
        <v>256</v>
      </c>
      <c r="O2898" s="75" t="s">
        <v>536</v>
      </c>
      <c r="P2898" s="75" t="str">
        <f>IF(AND('331-CT'!$E$7=TH!H2898,OR(N2898="331",O2898="331")),"x","")</f>
        <v/>
      </c>
      <c r="Q2898" s="75" t="str">
        <f>IF(AND(B2898='111'!$L$11,OR($N2898=$Q$7,$O2898=$Q$7)),"x","")</f>
        <v/>
      </c>
      <c r="R2898" s="75" t="str">
        <f>IF(AND($N2898=$Q$7,$B2898&lt;'111'!$L$11),"x","")</f>
        <v/>
      </c>
      <c r="S2898" s="75" t="str">
        <f>IF(AND($O2898=$Q$7,$B2898&lt;'111'!$L$11),"x","")</f>
        <v/>
      </c>
      <c r="T2898" s="75" t="str">
        <f>IF(ISERROR(FIND('112'!$M$9,G2898,1)),"",IF((AND(FIND('112'!$M$9,G2898,1)&gt;=1,B2898='112'!$K$9,OR($N2898='112'!$I$6,$O2898='112'!$I$6))),"x",""))</f>
        <v/>
      </c>
      <c r="U2898" s="75" t="str">
        <f>IF(ISERROR(FIND('112'!$M$9,G2898,1)),"",IF((AND(LEFT(G2898,2)=LEFT('112'!$M$9,2),B2898&lt;'112'!$K$9,$N2898='112'!$I$6)),"x",""))</f>
        <v/>
      </c>
      <c r="V2898" s="75" t="str">
        <f>IF(ISERROR(FIND('112'!$M$9,G2898,1)),"",IF((AND(RIGHT(G2898,2)=RIGHT('112'!$M$9,2),B2898&lt;'112'!$K$9,$O2898='112'!$I$6)),"x",""))</f>
        <v/>
      </c>
      <c r="W2898" s="75" t="str">
        <f>IF(AND('341-CT'!$H$9=H2898,OR(LEFT(N2898,3)=$W$7,LEFT(O2898,3)=$W$7)),"x","")</f>
        <v/>
      </c>
      <c r="X2898" s="75" t="str">
        <f>IF(OR(TH!N2898=TH!$X$7,O2898=TH!$X$7),"x","")</f>
        <v/>
      </c>
      <c r="Y2898" s="75" t="str">
        <f>IF(AND(OR(N2898="131",O2898="131"),H2898='131-CT'!$H$9),"x","")</f>
        <v/>
      </c>
      <c r="Z2898" s="75"/>
      <c r="AA2898" s="75" t="str">
        <f>IF(AND(MONTH(E2898)='IN-NX'!$J$5,'IN-NX'!$D$7=D2898),"x","")</f>
        <v/>
      </c>
      <c r="AB2898" s="75" t="str">
        <f>IF(AND(OR(LEFT(TH!N2898,2)="15",LEFT(TH!O2898,2)="15"),LEFT(TH!O2898,3)&lt;&gt;"111",'152-CT'!$J$8=TH!F2898),"x","")</f>
        <v/>
      </c>
      <c r="AC2898" s="75" t="str">
        <f>IF(AND(OR(LEFT(TH!N2898,2)="15",LEFT(TH!O2898,2)="15"),TK!$E$7=TH!F2898),"x","")</f>
        <v/>
      </c>
      <c r="AD2898" s="75" t="str">
        <f>IF(AND(N2898="1521",MONTH(C2898)='BK-NL'!$M$11),"x","")</f>
        <v/>
      </c>
    </row>
    <row r="2899" spans="1:30" s="1264" customFormat="1" ht="16.5" customHeight="1">
      <c r="A2899" s="309" t="str">
        <f>IF(B2899&lt;&gt;"",IF(AND(B2899='IN-TC'!$S$4,OR(TH!N2899="1111",TH!O2899="1111")),TH!D2899,""),"")</f>
        <v/>
      </c>
      <c r="B2899" s="1275">
        <f t="shared" si="1009"/>
        <v>5</v>
      </c>
      <c r="C2899" s="71">
        <v>42884</v>
      </c>
      <c r="D2899" s="71" t="s">
        <v>530</v>
      </c>
      <c r="E2899" s="929">
        <f t="shared" si="1029"/>
        <v>42884</v>
      </c>
      <c r="F2899" s="72" t="s">
        <v>1027</v>
      </c>
      <c r="G2899" s="72" t="s">
        <v>747</v>
      </c>
      <c r="H2899" s="1184" t="s">
        <v>544</v>
      </c>
      <c r="I2899" s="73"/>
      <c r="J2899" s="1214"/>
      <c r="K2899" s="1213">
        <v>160</v>
      </c>
      <c r="L2899" s="377">
        <v>22700</v>
      </c>
      <c r="M2899" s="933">
        <f t="shared" si="1027"/>
        <v>3632000</v>
      </c>
      <c r="N2899" s="75" t="s">
        <v>101</v>
      </c>
      <c r="O2899" s="75" t="s">
        <v>536</v>
      </c>
      <c r="P2899" s="75" t="str">
        <f>IF(AND('331-CT'!$E$7=TH!H2899,OR(N2899="331",O2899="331")),"x","")</f>
        <v/>
      </c>
      <c r="Q2899" s="75" t="str">
        <f>IF(AND(B2899='111'!$L$11,OR($N2899=$Q$7,$O2899=$Q$7)),"x","")</f>
        <v/>
      </c>
      <c r="R2899" s="75" t="str">
        <f>IF(AND($N2899=$Q$7,$B2899&lt;'111'!$L$11),"x","")</f>
        <v/>
      </c>
      <c r="S2899" s="75" t="str">
        <f>IF(AND($O2899=$Q$7,$B2899&lt;'111'!$L$11),"x","")</f>
        <v/>
      </c>
      <c r="T2899" s="75" t="str">
        <f>IF(ISERROR(FIND('112'!$M$9,G2899,1)),"",IF((AND(FIND('112'!$M$9,G2899,1)&gt;=1,B2899='112'!$K$9,OR($N2899='112'!$I$6,$O2899='112'!$I$6))),"x",""))</f>
        <v/>
      </c>
      <c r="U2899" s="75" t="str">
        <f>IF(ISERROR(FIND('112'!$M$9,G2899,1)),"",IF((AND(LEFT(G2899,2)=LEFT('112'!$M$9,2),B2899&lt;'112'!$K$9,$N2899='112'!$I$6)),"x",""))</f>
        <v/>
      </c>
      <c r="V2899" s="75" t="str">
        <f>IF(ISERROR(FIND('112'!$M$9,G2899,1)),"",IF((AND(RIGHT(G2899,2)=RIGHT('112'!$M$9,2),B2899&lt;'112'!$K$9,$O2899='112'!$I$6)),"x",""))</f>
        <v/>
      </c>
      <c r="W2899" s="75" t="str">
        <f>IF(AND('341-CT'!$H$9=H2899,OR(LEFT(N2899,3)=$W$7,LEFT(O2899,3)=$W$7)),"x","")</f>
        <v/>
      </c>
      <c r="X2899" s="75" t="str">
        <f>IF(OR(TH!N2899=TH!$X$7,O2899=TH!$X$7),"x","")</f>
        <v/>
      </c>
      <c r="Y2899" s="75" t="str">
        <f>IF(AND(OR(N2899="131",O2899="131"),H2899='131-CT'!$H$9),"x","")</f>
        <v/>
      </c>
      <c r="Z2899" s="75"/>
      <c r="AA2899" s="75" t="str">
        <f>IF(AND(MONTH(E2899)='IN-NX'!$J$5,'IN-NX'!$D$7=D2899),"x","")</f>
        <v/>
      </c>
      <c r="AB2899" s="75" t="str">
        <f>IF(AND(OR(LEFT(TH!N2899,2)="15",LEFT(TH!O2899,2)="15"),LEFT(TH!O2899,3)&lt;&gt;"111",'152-CT'!$J$8=TH!F2899),"x","")</f>
        <v/>
      </c>
      <c r="AC2899" s="75" t="str">
        <f>IF(AND(OR(LEFT(TH!N2899,2)="15",LEFT(TH!O2899,2)="15"),TK!$E$7=TH!F2899),"x","")</f>
        <v/>
      </c>
      <c r="AD2899" s="75" t="str">
        <f>IF(AND(N2899="1521",MONTH(C2899)='BK-NL'!$M$11),"x","")</f>
        <v/>
      </c>
    </row>
    <row r="2900" spans="1:30" s="1264" customFormat="1" ht="16.5" customHeight="1">
      <c r="A2900" s="309" t="str">
        <f>IF(B2900&lt;&gt;"",IF(AND(B2900='IN-TC'!$S$4,OR(TH!N2900="1111",TH!O2900="1111")),TH!D2900,""),"")</f>
        <v/>
      </c>
      <c r="B2900" s="1275">
        <f t="shared" si="1009"/>
        <v>5</v>
      </c>
      <c r="C2900" s="71">
        <v>42884</v>
      </c>
      <c r="D2900" s="71" t="s">
        <v>530</v>
      </c>
      <c r="E2900" s="929">
        <f t="shared" si="1029"/>
        <v>42884</v>
      </c>
      <c r="F2900" s="72" t="s">
        <v>1010</v>
      </c>
      <c r="G2900" s="72" t="s">
        <v>747</v>
      </c>
      <c r="H2900" s="1184" t="s">
        <v>544</v>
      </c>
      <c r="I2900" s="73"/>
      <c r="J2900" s="1214"/>
      <c r="K2900" s="1213"/>
      <c r="L2900" s="377">
        <v>22700</v>
      </c>
      <c r="M2900" s="74">
        <v>948640</v>
      </c>
      <c r="N2900" s="75" t="s">
        <v>536</v>
      </c>
      <c r="O2900" s="934" t="s">
        <v>43</v>
      </c>
      <c r="P2900" s="75" t="str">
        <f>IF(AND('331-CT'!$E$7=TH!H2900,OR(N2900="331",O2900="331")),"x","")</f>
        <v/>
      </c>
      <c r="Q2900" s="75" t="str">
        <f>IF(AND(B2900='111'!$L$11,OR($N2900=$Q$7,$O2900=$Q$7)),"x","")</f>
        <v/>
      </c>
      <c r="R2900" s="75" t="str">
        <f>IF(AND($N2900=$Q$7,$B2900&lt;'111'!$L$11),"x","")</f>
        <v/>
      </c>
      <c r="S2900" s="75" t="str">
        <f>IF(AND($O2900=$Q$7,$B2900&lt;'111'!$L$11),"x","")</f>
        <v/>
      </c>
      <c r="T2900" s="75" t="str">
        <f>IF(ISERROR(FIND('112'!$M$9,G2900,1)),"",IF((AND(FIND('112'!$M$9,G2900,1)&gt;=1,B2900='112'!$K$9,OR($N2900='112'!$I$6,$O2900='112'!$I$6))),"x",""))</f>
        <v/>
      </c>
      <c r="U2900" s="75" t="str">
        <f>IF(ISERROR(FIND('112'!$M$9,G2900,1)),"",IF((AND(LEFT(G2900,2)=LEFT('112'!$M$9,2),B2900&lt;'112'!$K$9,$N2900='112'!$I$6)),"x",""))</f>
        <v/>
      </c>
      <c r="V2900" s="75" t="str">
        <f>IF(ISERROR(FIND('112'!$M$9,G2900,1)),"",IF((AND(RIGHT(G2900,2)=RIGHT('112'!$M$9,2),B2900&lt;'112'!$K$9,$O2900='112'!$I$6)),"x",""))</f>
        <v/>
      </c>
      <c r="W2900" s="75" t="str">
        <f>IF(AND('341-CT'!$H$9=H2900,OR(LEFT(N2900,3)=$W$7,LEFT(O2900,3)=$W$7)),"x","")</f>
        <v/>
      </c>
      <c r="X2900" s="75" t="str">
        <f>IF(OR(TH!N2900=TH!$X$7,O2900=TH!$X$7),"x","")</f>
        <v/>
      </c>
      <c r="Y2900" s="75" t="str">
        <f>IF(AND(OR(N2900="131",O2900="131"),H2900='131-CT'!$H$9),"x","")</f>
        <v/>
      </c>
      <c r="Z2900" s="75"/>
      <c r="AA2900" s="75" t="str">
        <f>IF(AND(MONTH(E2900)='IN-NX'!$J$5,'IN-NX'!$D$7=D2900),"x","")</f>
        <v/>
      </c>
      <c r="AB2900" s="75" t="str">
        <f>IF(AND(OR(LEFT(TH!N2900,2)="15",LEFT(TH!O2900,2)="15"),LEFT(TH!O2900,3)&lt;&gt;"111",'152-CT'!$J$8=TH!F2900),"x","")</f>
        <v/>
      </c>
      <c r="AC2900" s="75" t="str">
        <f>IF(AND(OR(LEFT(TH!N2900,2)="15",LEFT(TH!O2900,2)="15"),TK!$E$7=TH!F2900),"x","")</f>
        <v/>
      </c>
      <c r="AD2900" s="75" t="str">
        <f>IF(AND(N2900="1521",MONTH(C2900)='BK-NL'!$M$11),"x","")</f>
        <v/>
      </c>
    </row>
    <row r="2901" spans="1:30" s="1264" customFormat="1" ht="16.5" customHeight="1">
      <c r="A2901" s="309" t="str">
        <f>IF(B2901&lt;&gt;"",IF(AND(B2901='IN-TC'!$S$4,OR(TH!N2901="1111",TH!O2901="1111")),TH!D2901,""),"")</f>
        <v/>
      </c>
      <c r="B2901" s="1275">
        <f t="shared" si="1009"/>
        <v>5</v>
      </c>
      <c r="C2901" s="71">
        <v>42884</v>
      </c>
      <c r="D2901" s="71" t="s">
        <v>902</v>
      </c>
      <c r="E2901" s="929">
        <f t="shared" si="1029"/>
        <v>42884</v>
      </c>
      <c r="F2901" s="72" t="s">
        <v>1096</v>
      </c>
      <c r="G2901" s="72" t="s">
        <v>747</v>
      </c>
      <c r="H2901" s="72" t="s">
        <v>2452</v>
      </c>
      <c r="I2901" s="73"/>
      <c r="J2901" s="377"/>
      <c r="K2901" s="371">
        <v>42</v>
      </c>
      <c r="L2901" s="377">
        <v>22700</v>
      </c>
      <c r="M2901" s="74">
        <f t="shared" ref="M2901" si="1038">ROUND(K2901*L2901,0)</f>
        <v>953400</v>
      </c>
      <c r="N2901" s="75" t="s">
        <v>99</v>
      </c>
      <c r="O2901" s="934" t="s">
        <v>256</v>
      </c>
      <c r="P2901" s="75" t="str">
        <f>IF(AND('331-CT'!$E$7=TH!H2901,OR(N2901="331",O2901="331")),"x","")</f>
        <v/>
      </c>
      <c r="Q2901" s="75" t="str">
        <f>IF(AND(B2901='111'!$L$11,OR($N2901=$Q$7,$O2901=$Q$7)),"x","")</f>
        <v/>
      </c>
      <c r="R2901" s="75" t="str">
        <f>IF(AND($N2901=$Q$7,$B2901&lt;'111'!$L$11),"x","")</f>
        <v/>
      </c>
      <c r="S2901" s="75" t="str">
        <f>IF(AND($O2901=$Q$7,$B2901&lt;'111'!$L$11),"x","")</f>
        <v/>
      </c>
      <c r="T2901" s="75" t="str">
        <f>IF(ISERROR(FIND('112'!$M$9,G2901,1)),"",IF((AND(FIND('112'!$M$9,G2901,1)&gt;=1,B2901='112'!$K$9,OR($N2901='112'!$I$6,$O2901='112'!$I$6))),"x",""))</f>
        <v/>
      </c>
      <c r="U2901" s="75" t="str">
        <f>IF(ISERROR(FIND('112'!$M$9,G2901,1)),"",IF((AND(LEFT(G2901,2)=LEFT('112'!$M$9,2),B2901&lt;'112'!$K$9,$N2901='112'!$I$6)),"x",""))</f>
        <v/>
      </c>
      <c r="V2901" s="75" t="str">
        <f>IF(ISERROR(FIND('112'!$M$9,G2901,1)),"",IF((AND(RIGHT(G2901,2)=RIGHT('112'!$M$9,2),B2901&lt;'112'!$K$9,$O2901='112'!$I$6)),"x",""))</f>
        <v/>
      </c>
      <c r="W2901" s="75" t="str">
        <f>IF(AND('341-CT'!$H$9=H2901,OR(LEFT(N2901,3)=$W$7,LEFT(O2901,3)=$W$7)),"x","")</f>
        <v/>
      </c>
      <c r="X2901" s="75" t="str">
        <f>IF(OR(TH!N2901=TH!$X$7,O2901=TH!$X$7),"x","")</f>
        <v/>
      </c>
      <c r="Y2901" s="75" t="str">
        <f>IF(AND(OR(N2901="131",O2901="131"),H2901='131-CT'!$H$9),"x","")</f>
        <v/>
      </c>
      <c r="Z2901" s="75"/>
      <c r="AA2901" s="75" t="str">
        <f>IF(AND(MONTH(E2901)='IN-NX'!$J$5,'IN-NX'!$D$7=D2901),"x","")</f>
        <v/>
      </c>
      <c r="AB2901" s="75" t="str">
        <f>IF(AND(OR(LEFT(TH!N2901,2)="15",LEFT(TH!O2901,2)="15"),LEFT(TH!O2901,3)&lt;&gt;"111",'152-CT'!$J$8=TH!F2901),"x","")</f>
        <v/>
      </c>
      <c r="AC2901" s="75" t="str">
        <f>IF(AND(OR(LEFT(TH!N2901,2)="15",LEFT(TH!O2901,2)="15"),TK!$E$7=TH!F2901),"x","")</f>
        <v/>
      </c>
      <c r="AD2901" s="75" t="str">
        <f>IF(AND(N2901="1521",MONTH(C2901)='BK-NL'!$M$11),"x","")</f>
        <v/>
      </c>
    </row>
    <row r="2902" spans="1:30" s="1264" customFormat="1" ht="16.5" customHeight="1">
      <c r="A2902" s="309" t="str">
        <f>IF(B2902&lt;&gt;"",IF(AND(B2902='IN-TC'!$S$4,OR(TH!N2902="1111",TH!O2902="1111")),TH!D2902,""),"")</f>
        <v/>
      </c>
      <c r="B2902" s="1275">
        <f t="shared" si="1009"/>
        <v>5</v>
      </c>
      <c r="C2902" s="71">
        <v>42884</v>
      </c>
      <c r="D2902" s="71" t="s">
        <v>902</v>
      </c>
      <c r="E2902" s="929">
        <f t="shared" si="1029"/>
        <v>42884</v>
      </c>
      <c r="F2902" s="72" t="s">
        <v>1321</v>
      </c>
      <c r="G2902" s="72" t="s">
        <v>747</v>
      </c>
      <c r="H2902" s="72" t="s">
        <v>2452</v>
      </c>
      <c r="I2902" s="73"/>
      <c r="J2902" s="377"/>
      <c r="K2902" s="371">
        <v>36000</v>
      </c>
      <c r="L2902" s="377">
        <v>22700</v>
      </c>
      <c r="M2902" s="74">
        <f t="shared" ref="M2902:M2903" si="1039">ROUND(K2902*L2902,0)</f>
        <v>817200000</v>
      </c>
      <c r="N2902" s="75" t="s">
        <v>250</v>
      </c>
      <c r="O2902" s="934" t="s">
        <v>256</v>
      </c>
      <c r="P2902" s="75" t="str">
        <f>IF(AND('331-CT'!$E$7=TH!H2902,OR(N2902="331",O2902="331")),"x","")</f>
        <v/>
      </c>
      <c r="Q2902" s="75" t="str">
        <f>IF(AND(B2902='111'!$L$11,OR($N2902=$Q$7,$O2902=$Q$7)),"x","")</f>
        <v/>
      </c>
      <c r="R2902" s="75" t="str">
        <f>IF(AND($N2902=$Q$7,$B2902&lt;'111'!$L$11),"x","")</f>
        <v/>
      </c>
      <c r="S2902" s="75" t="str">
        <f>IF(AND($O2902=$Q$7,$B2902&lt;'111'!$L$11),"x","")</f>
        <v/>
      </c>
      <c r="T2902" s="75" t="str">
        <f>IF(ISERROR(FIND('112'!$M$9,G2902,1)),"",IF((AND(FIND('112'!$M$9,G2902,1)&gt;=1,B2902='112'!$K$9,OR($N2902='112'!$I$6,$O2902='112'!$I$6))),"x",""))</f>
        <v/>
      </c>
      <c r="U2902" s="75" t="str">
        <f>IF(ISERROR(FIND('112'!$M$9,G2902,1)),"",IF((AND(LEFT(G2902,2)=LEFT('112'!$M$9,2),B2902&lt;'112'!$K$9,$N2902='112'!$I$6)),"x",""))</f>
        <v/>
      </c>
      <c r="V2902" s="75" t="str">
        <f>IF(ISERROR(FIND('112'!$M$9,G2902,1)),"",IF((AND(RIGHT(G2902,2)=RIGHT('112'!$M$9,2),B2902&lt;'112'!$K$9,$O2902='112'!$I$6)),"x",""))</f>
        <v/>
      </c>
      <c r="W2902" s="75" t="str">
        <f>IF(AND('341-CT'!$H$9=H2902,OR(LEFT(N2902,3)=$W$7,LEFT(O2902,3)=$W$7)),"x","")</f>
        <v/>
      </c>
      <c r="X2902" s="75" t="str">
        <f>IF(OR(TH!N2902=TH!$X$7,O2902=TH!$X$7),"x","")</f>
        <v/>
      </c>
      <c r="Y2902" s="75" t="str">
        <f>IF(AND(OR(N2902="131",O2902="131"),H2902='131-CT'!$H$9),"x","")</f>
        <v/>
      </c>
      <c r="Z2902" s="75"/>
      <c r="AA2902" s="75" t="str">
        <f>IF(AND(MONTH(E2902)='IN-NX'!$J$5,'IN-NX'!$D$7=D2902),"x","")</f>
        <v/>
      </c>
      <c r="AB2902" s="75" t="str">
        <f>IF(AND(OR(LEFT(TH!N2902,2)="15",LEFT(TH!O2902,2)="15"),LEFT(TH!O2902,3)&lt;&gt;"111",'152-CT'!$J$8=TH!F2902),"x","")</f>
        <v/>
      </c>
      <c r="AC2902" s="75" t="str">
        <f>IF(AND(OR(LEFT(TH!N2902,2)="15",LEFT(TH!O2902,2)="15"),TK!$E$7=TH!F2902),"x","")</f>
        <v/>
      </c>
      <c r="AD2902" s="75" t="str">
        <f>IF(AND(N2902="1521",MONTH(C2902)='BK-NL'!$M$11),"x","")</f>
        <v/>
      </c>
    </row>
    <row r="2903" spans="1:30" s="1264" customFormat="1" ht="16.5" customHeight="1">
      <c r="A2903" s="309" t="str">
        <f>IF(B2903&lt;&gt;"",IF(AND(B2903='IN-TC'!$S$4,OR(TH!N2903="1111",TH!O2903="1111")),TH!D2903,""),"")</f>
        <v/>
      </c>
      <c r="B2903" s="1275">
        <f t="shared" si="1009"/>
        <v>5</v>
      </c>
      <c r="C2903" s="71">
        <v>42885</v>
      </c>
      <c r="D2903" s="71" t="s">
        <v>903</v>
      </c>
      <c r="E2903" s="929">
        <f t="shared" si="1029"/>
        <v>42885</v>
      </c>
      <c r="F2903" s="72" t="s">
        <v>1199</v>
      </c>
      <c r="G2903" s="72" t="s">
        <v>747</v>
      </c>
      <c r="H2903" s="735" t="s">
        <v>1403</v>
      </c>
      <c r="I2903" s="73"/>
      <c r="J2903" s="1214"/>
      <c r="K2903" s="1213">
        <v>52530</v>
      </c>
      <c r="L2903" s="377">
        <v>22700</v>
      </c>
      <c r="M2903" s="1214">
        <f t="shared" si="1039"/>
        <v>1192431000</v>
      </c>
      <c r="N2903" s="75" t="s">
        <v>256</v>
      </c>
      <c r="O2903" s="75" t="s">
        <v>536</v>
      </c>
      <c r="P2903" s="75" t="str">
        <f>IF(AND('331-CT'!$E$7=TH!H2903,OR(N2903="331",O2903="331")),"x","")</f>
        <v/>
      </c>
      <c r="Q2903" s="75" t="str">
        <f>IF(AND(B2903='111'!$L$11,OR($N2903=$Q$7,$O2903=$Q$7)),"x","")</f>
        <v/>
      </c>
      <c r="R2903" s="75" t="str">
        <f>IF(AND($N2903=$Q$7,$B2903&lt;'111'!$L$11),"x","")</f>
        <v/>
      </c>
      <c r="S2903" s="75" t="str">
        <f>IF(AND($O2903=$Q$7,$B2903&lt;'111'!$L$11),"x","")</f>
        <v/>
      </c>
      <c r="T2903" s="75" t="str">
        <f>IF(ISERROR(FIND('112'!$M$9,G2903,1)),"",IF((AND(FIND('112'!$M$9,G2903,1)&gt;=1,B2903='112'!$K$9,OR($N2903='112'!$I$6,$O2903='112'!$I$6))),"x",""))</f>
        <v/>
      </c>
      <c r="U2903" s="75" t="str">
        <f>IF(ISERROR(FIND('112'!$M$9,G2903,1)),"",IF((AND(LEFT(G2903,2)=LEFT('112'!$M$9,2),B2903&lt;'112'!$K$9,$N2903='112'!$I$6)),"x",""))</f>
        <v/>
      </c>
      <c r="V2903" s="75" t="str">
        <f>IF(ISERROR(FIND('112'!$M$9,G2903,1)),"",IF((AND(RIGHT(G2903,2)=RIGHT('112'!$M$9,2),B2903&lt;'112'!$K$9,$O2903='112'!$I$6)),"x",""))</f>
        <v/>
      </c>
      <c r="W2903" s="75" t="str">
        <f>IF(AND('341-CT'!$H$9=H2903,OR(LEFT(N2903,3)=$W$7,LEFT(O2903,3)=$W$7)),"x","")</f>
        <v/>
      </c>
      <c r="X2903" s="75" t="str">
        <f>IF(OR(TH!N2903=TH!$X$7,O2903=TH!$X$7),"x","")</f>
        <v/>
      </c>
      <c r="Y2903" s="75" t="str">
        <f>IF(AND(OR(N2903="131",O2903="131"),H2903='131-CT'!$H$9),"x","")</f>
        <v/>
      </c>
      <c r="Z2903" s="75"/>
      <c r="AA2903" s="75" t="str">
        <f>IF(AND(MONTH(E2903)='IN-NX'!$J$5,'IN-NX'!$D$7=D2903),"x","")</f>
        <v/>
      </c>
      <c r="AB2903" s="75" t="str">
        <f>IF(AND(OR(LEFT(TH!N2903,2)="15",LEFT(TH!O2903,2)="15"),LEFT(TH!O2903,3)&lt;&gt;"111",'152-CT'!$J$8=TH!F2903),"x","")</f>
        <v/>
      </c>
      <c r="AC2903" s="75" t="str">
        <f>IF(AND(OR(LEFT(TH!N2903,2)="15",LEFT(TH!O2903,2)="15"),TK!$E$7=TH!F2903),"x","")</f>
        <v/>
      </c>
      <c r="AD2903" s="75" t="str">
        <f>IF(AND(N2903="1521",MONTH(C2903)='BK-NL'!$M$11),"x","")</f>
        <v/>
      </c>
    </row>
    <row r="2904" spans="1:30" s="1264" customFormat="1" ht="16.5" customHeight="1">
      <c r="A2904" s="309" t="str">
        <f>IF(B2904&lt;&gt;"",IF(AND(B2904='IN-TC'!$S$4,OR(TH!N2904="1111",TH!O2904="1111")),TH!D2904,""),"")</f>
        <v/>
      </c>
      <c r="B2904" s="1275">
        <f t="shared" si="1009"/>
        <v>5</v>
      </c>
      <c r="C2904" s="71">
        <v>42885</v>
      </c>
      <c r="D2904" s="71" t="s">
        <v>530</v>
      </c>
      <c r="E2904" s="929">
        <f t="shared" si="1029"/>
        <v>42885</v>
      </c>
      <c r="F2904" s="72" t="s">
        <v>1027</v>
      </c>
      <c r="G2904" s="72" t="s">
        <v>747</v>
      </c>
      <c r="H2904" s="735" t="s">
        <v>1403</v>
      </c>
      <c r="I2904" s="73"/>
      <c r="J2904" s="1214"/>
      <c r="K2904" s="1213">
        <v>120</v>
      </c>
      <c r="L2904" s="377">
        <v>22700</v>
      </c>
      <c r="M2904" s="933">
        <f t="shared" si="1027"/>
        <v>2724000</v>
      </c>
      <c r="N2904" s="75" t="s">
        <v>101</v>
      </c>
      <c r="O2904" s="75" t="s">
        <v>536</v>
      </c>
      <c r="P2904" s="75" t="str">
        <f>IF(AND('331-CT'!$E$7=TH!H2904,OR(N2904="331",O2904="331")),"x","")</f>
        <v/>
      </c>
      <c r="Q2904" s="75" t="str">
        <f>IF(AND(B2904='111'!$L$11,OR($N2904=$Q$7,$O2904=$Q$7)),"x","")</f>
        <v/>
      </c>
      <c r="R2904" s="75" t="str">
        <f>IF(AND($N2904=$Q$7,$B2904&lt;'111'!$L$11),"x","")</f>
        <v/>
      </c>
      <c r="S2904" s="75" t="str">
        <f>IF(AND($O2904=$Q$7,$B2904&lt;'111'!$L$11),"x","")</f>
        <v/>
      </c>
      <c r="T2904" s="75" t="str">
        <f>IF(ISERROR(FIND('112'!$M$9,G2904,1)),"",IF((AND(FIND('112'!$M$9,G2904,1)&gt;=1,B2904='112'!$K$9,OR($N2904='112'!$I$6,$O2904='112'!$I$6))),"x",""))</f>
        <v/>
      </c>
      <c r="U2904" s="75" t="str">
        <f>IF(ISERROR(FIND('112'!$M$9,G2904,1)),"",IF((AND(LEFT(G2904,2)=LEFT('112'!$M$9,2),B2904&lt;'112'!$K$9,$N2904='112'!$I$6)),"x",""))</f>
        <v/>
      </c>
      <c r="V2904" s="75" t="str">
        <f>IF(ISERROR(FIND('112'!$M$9,G2904,1)),"",IF((AND(RIGHT(G2904,2)=RIGHT('112'!$M$9,2),B2904&lt;'112'!$K$9,$O2904='112'!$I$6)),"x",""))</f>
        <v/>
      </c>
      <c r="W2904" s="75" t="str">
        <f>IF(AND('341-CT'!$H$9=H2904,OR(LEFT(N2904,3)=$W$7,LEFT(O2904,3)=$W$7)),"x","")</f>
        <v/>
      </c>
      <c r="X2904" s="75" t="str">
        <f>IF(OR(TH!N2904=TH!$X$7,O2904=TH!$X$7),"x","")</f>
        <v/>
      </c>
      <c r="Y2904" s="75" t="str">
        <f>IF(AND(OR(N2904="131",O2904="131"),H2904='131-CT'!$H$9),"x","")</f>
        <v/>
      </c>
      <c r="Z2904" s="75"/>
      <c r="AA2904" s="75" t="str">
        <f>IF(AND(MONTH(E2904)='IN-NX'!$J$5,'IN-NX'!$D$7=D2904),"x","")</f>
        <v/>
      </c>
      <c r="AB2904" s="75" t="str">
        <f>IF(AND(OR(LEFT(TH!N2904,2)="15",LEFT(TH!O2904,2)="15"),LEFT(TH!O2904,3)&lt;&gt;"111",'152-CT'!$J$8=TH!F2904),"x","")</f>
        <v/>
      </c>
      <c r="AC2904" s="75" t="str">
        <f>IF(AND(OR(LEFT(TH!N2904,2)="15",LEFT(TH!O2904,2)="15"),TK!$E$7=TH!F2904),"x","")</f>
        <v/>
      </c>
      <c r="AD2904" s="75" t="str">
        <f>IF(AND(N2904="1521",MONTH(C2904)='BK-NL'!$M$11),"x","")</f>
        <v/>
      </c>
    </row>
    <row r="2905" spans="1:30" s="1264" customFormat="1" ht="16.5" customHeight="1">
      <c r="A2905" s="309" t="str">
        <f>IF(B2905&lt;&gt;"",IF(AND(B2905='IN-TC'!$S$4,OR(TH!N2905="1111",TH!O2905="1111")),TH!D2905,""),"")</f>
        <v/>
      </c>
      <c r="B2905" s="1275">
        <f t="shared" si="1009"/>
        <v>5</v>
      </c>
      <c r="C2905" s="71">
        <v>42885</v>
      </c>
      <c r="D2905" s="71" t="s">
        <v>530</v>
      </c>
      <c r="E2905" s="929">
        <f t="shared" si="1029"/>
        <v>42885</v>
      </c>
      <c r="F2905" s="72" t="s">
        <v>1010</v>
      </c>
      <c r="G2905" s="72" t="s">
        <v>747</v>
      </c>
      <c r="H2905" s="735" t="s">
        <v>1403</v>
      </c>
      <c r="I2905" s="73"/>
      <c r="J2905" s="1214"/>
      <c r="K2905" s="1213"/>
      <c r="L2905" s="377"/>
      <c r="M2905" s="74">
        <v>2053350</v>
      </c>
      <c r="N2905" s="75" t="s">
        <v>536</v>
      </c>
      <c r="O2905" s="934" t="s">
        <v>43</v>
      </c>
      <c r="P2905" s="75" t="str">
        <f>IF(AND('331-CT'!$E$7=TH!H2905,OR(N2905="331",O2905="331")),"x","")</f>
        <v/>
      </c>
      <c r="Q2905" s="75" t="str">
        <f>IF(AND(B2905='111'!$L$11,OR($N2905=$Q$7,$O2905=$Q$7)),"x","")</f>
        <v/>
      </c>
      <c r="R2905" s="75" t="str">
        <f>IF(AND($N2905=$Q$7,$B2905&lt;'111'!$L$11),"x","")</f>
        <v/>
      </c>
      <c r="S2905" s="75" t="str">
        <f>IF(AND($O2905=$Q$7,$B2905&lt;'111'!$L$11),"x","")</f>
        <v/>
      </c>
      <c r="T2905" s="75" t="str">
        <f>IF(ISERROR(FIND('112'!$M$9,G2905,1)),"",IF((AND(FIND('112'!$M$9,G2905,1)&gt;=1,B2905='112'!$K$9,OR($N2905='112'!$I$6,$O2905='112'!$I$6))),"x",""))</f>
        <v/>
      </c>
      <c r="U2905" s="75" t="str">
        <f>IF(ISERROR(FIND('112'!$M$9,G2905,1)),"",IF((AND(LEFT(G2905,2)=LEFT('112'!$M$9,2),B2905&lt;'112'!$K$9,$N2905='112'!$I$6)),"x",""))</f>
        <v/>
      </c>
      <c r="V2905" s="75" t="str">
        <f>IF(ISERROR(FIND('112'!$M$9,G2905,1)),"",IF((AND(RIGHT(G2905,2)=RIGHT('112'!$M$9,2),B2905&lt;'112'!$K$9,$O2905='112'!$I$6)),"x",""))</f>
        <v/>
      </c>
      <c r="W2905" s="75" t="str">
        <f>IF(AND('341-CT'!$H$9=H2905,OR(LEFT(N2905,3)=$W$7,LEFT(O2905,3)=$W$7)),"x","")</f>
        <v/>
      </c>
      <c r="X2905" s="75" t="str">
        <f>IF(OR(TH!N2905=TH!$X$7,O2905=TH!$X$7),"x","")</f>
        <v/>
      </c>
      <c r="Y2905" s="75" t="str">
        <f>IF(AND(OR(N2905="131",O2905="131"),H2905='131-CT'!$H$9),"x","")</f>
        <v/>
      </c>
      <c r="Z2905" s="75"/>
      <c r="AA2905" s="75" t="str">
        <f>IF(AND(MONTH(E2905)='IN-NX'!$J$5,'IN-NX'!$D$7=D2905),"x","")</f>
        <v/>
      </c>
      <c r="AB2905" s="75" t="str">
        <f>IF(AND(OR(LEFT(TH!N2905,2)="15",LEFT(TH!O2905,2)="15"),LEFT(TH!O2905,3)&lt;&gt;"111",'152-CT'!$J$8=TH!F2905),"x","")</f>
        <v/>
      </c>
      <c r="AC2905" s="75" t="str">
        <f>IF(AND(OR(LEFT(TH!N2905,2)="15",LEFT(TH!O2905,2)="15"),TK!$E$7=TH!F2905),"x","")</f>
        <v/>
      </c>
      <c r="AD2905" s="75" t="str">
        <f>IF(AND(N2905="1521",MONTH(C2905)='BK-NL'!$M$11),"x","")</f>
        <v/>
      </c>
    </row>
    <row r="2906" spans="1:30" s="1264" customFormat="1" ht="16.5" customHeight="1">
      <c r="A2906" s="309" t="str">
        <f>IF(B2906&lt;&gt;"",IF(AND(B2906='IN-TC'!$S$4,OR(TH!N2906="1111",TH!O2906="1111")),TH!D2906,""),"")</f>
        <v/>
      </c>
      <c r="B2906" s="1275">
        <f t="shared" si="1009"/>
        <v>5</v>
      </c>
      <c r="C2906" s="71">
        <v>42885</v>
      </c>
      <c r="D2906" s="71" t="s">
        <v>902</v>
      </c>
      <c r="E2906" s="929">
        <f t="shared" si="1029"/>
        <v>42885</v>
      </c>
      <c r="F2906" s="72" t="s">
        <v>1096</v>
      </c>
      <c r="G2906" s="72" t="s">
        <v>747</v>
      </c>
      <c r="H2906" s="72" t="s">
        <v>2454</v>
      </c>
      <c r="I2906" s="73"/>
      <c r="J2906" s="377"/>
      <c r="K2906" s="371">
        <v>24.31</v>
      </c>
      <c r="L2906" s="377">
        <v>22700</v>
      </c>
      <c r="M2906" s="74">
        <f t="shared" ref="M2906" si="1040">ROUND(K2906*L2906,0)</f>
        <v>551837</v>
      </c>
      <c r="N2906" s="75" t="s">
        <v>99</v>
      </c>
      <c r="O2906" s="934" t="s">
        <v>256</v>
      </c>
      <c r="P2906" s="75" t="str">
        <f>IF(AND('331-CT'!$E$7=TH!H2906,OR(N2906="331",O2906="331")),"x","")</f>
        <v/>
      </c>
      <c r="Q2906" s="75" t="str">
        <f>IF(AND(B2906='111'!$L$11,OR($N2906=$Q$7,$O2906=$Q$7)),"x","")</f>
        <v/>
      </c>
      <c r="R2906" s="75" t="str">
        <f>IF(AND($N2906=$Q$7,$B2906&lt;'111'!$L$11),"x","")</f>
        <v/>
      </c>
      <c r="S2906" s="75" t="str">
        <f>IF(AND($O2906=$Q$7,$B2906&lt;'111'!$L$11),"x","")</f>
        <v/>
      </c>
      <c r="T2906" s="75" t="str">
        <f>IF(ISERROR(FIND('112'!$M$9,G2906,1)),"",IF((AND(FIND('112'!$M$9,G2906,1)&gt;=1,B2906='112'!$K$9,OR($N2906='112'!$I$6,$O2906='112'!$I$6))),"x",""))</f>
        <v/>
      </c>
      <c r="U2906" s="75" t="str">
        <f>IF(ISERROR(FIND('112'!$M$9,G2906,1)),"",IF((AND(LEFT(G2906,2)=LEFT('112'!$M$9,2),B2906&lt;'112'!$K$9,$N2906='112'!$I$6)),"x",""))</f>
        <v/>
      </c>
      <c r="V2906" s="75" t="str">
        <f>IF(ISERROR(FIND('112'!$M$9,G2906,1)),"",IF((AND(RIGHT(G2906,2)=RIGHT('112'!$M$9,2),B2906&lt;'112'!$K$9,$O2906='112'!$I$6)),"x",""))</f>
        <v/>
      </c>
      <c r="W2906" s="75" t="str">
        <f>IF(AND('341-CT'!$H$9=H2906,OR(LEFT(N2906,3)=$W$7,LEFT(O2906,3)=$W$7)),"x","")</f>
        <v/>
      </c>
      <c r="X2906" s="75" t="str">
        <f>IF(OR(TH!N2906=TH!$X$7,O2906=TH!$X$7),"x","")</f>
        <v/>
      </c>
      <c r="Y2906" s="75" t="str">
        <f>IF(AND(OR(N2906="131",O2906="131"),H2906='131-CT'!$H$9),"x","")</f>
        <v/>
      </c>
      <c r="Z2906" s="75"/>
      <c r="AA2906" s="75" t="str">
        <f>IF(AND(MONTH(E2906)='IN-NX'!$J$5,'IN-NX'!$D$7=D2906),"x","")</f>
        <v/>
      </c>
      <c r="AB2906" s="75" t="str">
        <f>IF(AND(OR(LEFT(TH!N2906,2)="15",LEFT(TH!O2906,2)="15"),LEFT(TH!O2906,3)&lt;&gt;"111",'152-CT'!$J$8=TH!F2906),"x","")</f>
        <v/>
      </c>
      <c r="AC2906" s="75" t="str">
        <f>IF(AND(OR(LEFT(TH!N2906,2)="15",LEFT(TH!O2906,2)="15"),TK!$E$7=TH!F2906),"x","")</f>
        <v/>
      </c>
      <c r="AD2906" s="75" t="str">
        <f>IF(AND(N2906="1521",MONTH(C2906)='BK-NL'!$M$11),"x","")</f>
        <v/>
      </c>
    </row>
    <row r="2907" spans="1:30" s="1264" customFormat="1" ht="16.5" customHeight="1">
      <c r="A2907" s="309" t="str">
        <f>IF(B2907&lt;&gt;"",IF(AND(B2907='IN-TC'!$S$4,OR(TH!N2907="1111",TH!O2907="1111")),TH!D2907,""),"")</f>
        <v/>
      </c>
      <c r="B2907" s="1275">
        <f t="shared" si="1009"/>
        <v>5</v>
      </c>
      <c r="C2907" s="71">
        <v>42885</v>
      </c>
      <c r="D2907" s="71" t="s">
        <v>902</v>
      </c>
      <c r="E2907" s="929">
        <f t="shared" si="1029"/>
        <v>42885</v>
      </c>
      <c r="F2907" s="72" t="s">
        <v>1321</v>
      </c>
      <c r="G2907" s="72" t="s">
        <v>747</v>
      </c>
      <c r="H2907" s="72" t="s">
        <v>2454</v>
      </c>
      <c r="I2907" s="73"/>
      <c r="J2907" s="377"/>
      <c r="K2907" s="371">
        <v>50000</v>
      </c>
      <c r="L2907" s="377">
        <v>22700</v>
      </c>
      <c r="M2907" s="74">
        <f t="shared" ref="M2907" si="1041">ROUND(K2907*L2907,0)</f>
        <v>1135000000</v>
      </c>
      <c r="N2907" s="75" t="s">
        <v>250</v>
      </c>
      <c r="O2907" s="934" t="s">
        <v>256</v>
      </c>
      <c r="P2907" s="75" t="str">
        <f>IF(AND('331-CT'!$E$7=TH!H2907,OR(N2907="331",O2907="331")),"x","")</f>
        <v/>
      </c>
      <c r="Q2907" s="75" t="str">
        <f>IF(AND(B2907='111'!$L$11,OR($N2907=$Q$7,$O2907=$Q$7)),"x","")</f>
        <v/>
      </c>
      <c r="R2907" s="75" t="str">
        <f>IF(AND($N2907=$Q$7,$B2907&lt;'111'!$L$11),"x","")</f>
        <v/>
      </c>
      <c r="S2907" s="75" t="str">
        <f>IF(AND($O2907=$Q$7,$B2907&lt;'111'!$L$11),"x","")</f>
        <v/>
      </c>
      <c r="T2907" s="75" t="str">
        <f>IF(ISERROR(FIND('112'!$M$9,G2907,1)),"",IF((AND(FIND('112'!$M$9,G2907,1)&gt;=1,B2907='112'!$K$9,OR($N2907='112'!$I$6,$O2907='112'!$I$6))),"x",""))</f>
        <v/>
      </c>
      <c r="U2907" s="75" t="str">
        <f>IF(ISERROR(FIND('112'!$M$9,G2907,1)),"",IF((AND(LEFT(G2907,2)=LEFT('112'!$M$9,2),B2907&lt;'112'!$K$9,$N2907='112'!$I$6)),"x",""))</f>
        <v/>
      </c>
      <c r="V2907" s="75" t="str">
        <f>IF(ISERROR(FIND('112'!$M$9,G2907,1)),"",IF((AND(RIGHT(G2907,2)=RIGHT('112'!$M$9,2),B2907&lt;'112'!$K$9,$O2907='112'!$I$6)),"x",""))</f>
        <v/>
      </c>
      <c r="W2907" s="75" t="str">
        <f>IF(AND('341-CT'!$H$9=H2907,OR(LEFT(N2907,3)=$W$7,LEFT(O2907,3)=$W$7)),"x","")</f>
        <v/>
      </c>
      <c r="X2907" s="75" t="str">
        <f>IF(OR(TH!N2907=TH!$X$7,O2907=TH!$X$7),"x","")</f>
        <v/>
      </c>
      <c r="Y2907" s="75" t="str">
        <f>IF(AND(OR(N2907="131",O2907="131"),H2907='131-CT'!$H$9),"x","")</f>
        <v/>
      </c>
      <c r="Z2907" s="75"/>
      <c r="AA2907" s="75" t="str">
        <f>IF(AND(MONTH(E2907)='IN-NX'!$J$5,'IN-NX'!$D$7=D2907),"x","")</f>
        <v/>
      </c>
      <c r="AB2907" s="75" t="str">
        <f>IF(AND(OR(LEFT(TH!N2907,2)="15",LEFT(TH!O2907,2)="15"),LEFT(TH!O2907,3)&lt;&gt;"111",'152-CT'!$J$8=TH!F2907),"x","")</f>
        <v/>
      </c>
      <c r="AC2907" s="75" t="str">
        <f>IF(AND(OR(LEFT(TH!N2907,2)="15",LEFT(TH!O2907,2)="15"),TK!$E$7=TH!F2907),"x","")</f>
        <v/>
      </c>
      <c r="AD2907" s="75" t="str">
        <f>IF(AND(N2907="1521",MONTH(C2907)='BK-NL'!$M$11),"x","")</f>
        <v/>
      </c>
    </row>
    <row r="2908" spans="1:30" s="1264" customFormat="1" ht="16.5" customHeight="1">
      <c r="A2908" s="309" t="str">
        <f>IF(B2908&lt;&gt;"",IF(AND(B2908='IN-TC'!$S$4,OR(TH!N2908="1111",TH!O2908="1111")),TH!D2908,""),"")</f>
        <v/>
      </c>
      <c r="B2908" s="1275">
        <f t="shared" si="1009"/>
        <v>5</v>
      </c>
      <c r="C2908" s="71">
        <v>42885</v>
      </c>
      <c r="D2908" s="71" t="s">
        <v>530</v>
      </c>
      <c r="E2908" s="929">
        <f t="shared" si="1029"/>
        <v>42885</v>
      </c>
      <c r="F2908" s="72" t="s">
        <v>1010</v>
      </c>
      <c r="G2908" s="72" t="s">
        <v>747</v>
      </c>
      <c r="H2908" s="72" t="s">
        <v>2454</v>
      </c>
      <c r="I2908" s="73"/>
      <c r="J2908" s="377"/>
      <c r="K2908" s="371"/>
      <c r="L2908" s="377"/>
      <c r="M2908" s="74">
        <v>1750000</v>
      </c>
      <c r="N2908" s="75" t="s">
        <v>99</v>
      </c>
      <c r="O2908" s="75" t="s">
        <v>250</v>
      </c>
      <c r="P2908" s="75" t="str">
        <f>IF(AND('331-CT'!$E$7=TH!H2908,OR(N2908="331",O2908="331")),"x","")</f>
        <v/>
      </c>
      <c r="Q2908" s="75" t="str">
        <f>IF(AND(B2908='111'!$L$11,OR($N2908=$Q$7,$O2908=$Q$7)),"x","")</f>
        <v/>
      </c>
      <c r="R2908" s="75" t="str">
        <f>IF(AND($N2908=$Q$7,$B2908&lt;'111'!$L$11),"x","")</f>
        <v/>
      </c>
      <c r="S2908" s="75" t="str">
        <f>IF(AND($O2908=$Q$7,$B2908&lt;'111'!$L$11),"x","")</f>
        <v/>
      </c>
      <c r="T2908" s="75" t="str">
        <f>IF(ISERROR(FIND('112'!$M$9,G2908,1)),"",IF((AND(FIND('112'!$M$9,G2908,1)&gt;=1,B2908='112'!$K$9,OR($N2908='112'!$I$6,$O2908='112'!$I$6))),"x",""))</f>
        <v/>
      </c>
      <c r="U2908" s="75" t="str">
        <f>IF(ISERROR(FIND('112'!$M$9,G2908,1)),"",IF((AND(LEFT(G2908,2)=LEFT('112'!$M$9,2),B2908&lt;'112'!$K$9,$N2908='112'!$I$6)),"x",""))</f>
        <v/>
      </c>
      <c r="V2908" s="75" t="str">
        <f>IF(ISERROR(FIND('112'!$M$9,G2908,1)),"",IF((AND(RIGHT(G2908,2)=RIGHT('112'!$M$9,2),B2908&lt;'112'!$K$9,$O2908='112'!$I$6)),"x",""))</f>
        <v/>
      </c>
      <c r="W2908" s="75" t="str">
        <f>IF(AND('341-CT'!$H$9=H2908,OR(LEFT(N2908,3)=$W$7,LEFT(O2908,3)=$W$7)),"x","")</f>
        <v/>
      </c>
      <c r="X2908" s="75" t="str">
        <f>IF(OR(TH!N2908=TH!$X$7,O2908=TH!$X$7),"x","")</f>
        <v/>
      </c>
      <c r="Y2908" s="75" t="str">
        <f>IF(AND(OR(N2908="131",O2908="131"),H2908='131-CT'!$H$9),"x","")</f>
        <v/>
      </c>
      <c r="Z2908" s="75"/>
      <c r="AA2908" s="75" t="str">
        <f>IF(AND(MONTH(E2908)='IN-NX'!$J$5,'IN-NX'!$D$7=D2908),"x","")</f>
        <v/>
      </c>
      <c r="AB2908" s="75" t="str">
        <f>IF(AND(OR(LEFT(TH!N2908,2)="15",LEFT(TH!O2908,2)="15"),LEFT(TH!O2908,3)&lt;&gt;"111",'152-CT'!$J$8=TH!F2908),"x","")</f>
        <v/>
      </c>
      <c r="AC2908" s="75" t="str">
        <f>IF(AND(OR(LEFT(TH!N2908,2)="15",LEFT(TH!O2908,2)="15"),TK!$E$7=TH!F2908),"x","")</f>
        <v/>
      </c>
      <c r="AD2908" s="75" t="str">
        <f>IF(AND(N2908="1521",MONTH(C2908)='BK-NL'!$M$11),"x","")</f>
        <v/>
      </c>
    </row>
    <row r="2909" spans="1:30" s="1264" customFormat="1" ht="16.5" customHeight="1">
      <c r="A2909" s="309" t="str">
        <f>IF(B2909&lt;&gt;"",IF(AND(B2909='IN-TC'!$S$4,OR(TH!N2909="1111",TH!O2909="1111")),TH!D2909,""),"")</f>
        <v/>
      </c>
      <c r="B2909" s="1275">
        <f t="shared" si="1009"/>
        <v>5</v>
      </c>
      <c r="C2909" s="929">
        <v>42885</v>
      </c>
      <c r="D2909" s="71" t="s">
        <v>902</v>
      </c>
      <c r="E2909" s="929">
        <f t="shared" si="1029"/>
        <v>42885</v>
      </c>
      <c r="F2909" s="72" t="s">
        <v>907</v>
      </c>
      <c r="G2909" s="930" t="s">
        <v>747</v>
      </c>
      <c r="H2909" s="296" t="s">
        <v>835</v>
      </c>
      <c r="I2909" s="73"/>
      <c r="J2909" s="377"/>
      <c r="K2909" s="371">
        <v>5500</v>
      </c>
      <c r="L2909" s="377">
        <v>22760</v>
      </c>
      <c r="M2909" s="74">
        <f t="shared" ref="M2909:M2911" si="1042">ROUND(K2909*L2909,0)</f>
        <v>125180000</v>
      </c>
      <c r="N2909" s="75" t="s">
        <v>26</v>
      </c>
      <c r="O2909" s="934" t="s">
        <v>256</v>
      </c>
      <c r="P2909" s="75" t="str">
        <f>IF(AND('331-CT'!$E$7=TH!H2909,OR(N2909="331",O2909="331")),"x","")</f>
        <v/>
      </c>
      <c r="Q2909" s="75" t="str">
        <f>IF(AND(B2909='111'!$L$11,OR($N2909=$Q$7,$O2909=$Q$7)),"x","")</f>
        <v/>
      </c>
      <c r="R2909" s="75" t="str">
        <f>IF(AND($N2909=$Q$7,$B2909&lt;'111'!$L$11),"x","")</f>
        <v/>
      </c>
      <c r="S2909" s="75" t="str">
        <f>IF(AND($O2909=$Q$7,$B2909&lt;'111'!$L$11),"x","")</f>
        <v/>
      </c>
      <c r="T2909" s="75" t="str">
        <f>IF(ISERROR(FIND('112'!$M$9,G2909,1)),"",IF((AND(FIND('112'!$M$9,G2909,1)&gt;=1,B2909='112'!$K$9,OR($N2909='112'!$I$6,$O2909='112'!$I$6))),"x",""))</f>
        <v/>
      </c>
      <c r="U2909" s="75" t="str">
        <f>IF(ISERROR(FIND('112'!$M$9,G2909,1)),"",IF((AND(LEFT(G2909,2)=LEFT('112'!$M$9,2),B2909&lt;'112'!$K$9,$N2909='112'!$I$6)),"x",""))</f>
        <v/>
      </c>
      <c r="V2909" s="75" t="str">
        <f>IF(ISERROR(FIND('112'!$M$9,G2909,1)),"",IF((AND(RIGHT(G2909,2)=RIGHT('112'!$M$9,2),B2909&lt;'112'!$K$9,$O2909='112'!$I$6)),"x",""))</f>
        <v/>
      </c>
      <c r="W2909" s="75" t="str">
        <f>IF(AND('341-CT'!$H$9=H2909,OR(LEFT(N2909,3)=$W$7,LEFT(O2909,3)=$W$7)),"x","")</f>
        <v/>
      </c>
      <c r="X2909" s="75" t="str">
        <f>IF(OR(TH!N2909=TH!$X$7,O2909=TH!$X$7),"x","")</f>
        <v/>
      </c>
      <c r="Y2909" s="75" t="str">
        <f>IF(AND(OR(N2909="131",O2909="131"),H2909='131-CT'!$H$9),"x","")</f>
        <v/>
      </c>
      <c r="Z2909" s="75"/>
      <c r="AA2909" s="75" t="str">
        <f>IF(AND(MONTH(E2909)='IN-NX'!$J$5,'IN-NX'!$D$7=D2909),"x","")</f>
        <v/>
      </c>
      <c r="AB2909" s="75" t="str">
        <f>IF(AND(OR(LEFT(TH!N2909,2)="15",LEFT(TH!O2909,2)="15"),LEFT(TH!O2909,3)&lt;&gt;"111",'152-CT'!$J$8=TH!F2909),"x","")</f>
        <v/>
      </c>
      <c r="AC2909" s="75" t="str">
        <f>IF(AND(OR(LEFT(TH!N2909,2)="15",LEFT(TH!O2909,2)="15"),TK!$E$7=TH!F2909),"x","")</f>
        <v/>
      </c>
      <c r="AD2909" s="75" t="str">
        <f>IF(AND(N2909="1521",MONTH(C2909)='BK-NL'!$M$11),"x","")</f>
        <v/>
      </c>
    </row>
    <row r="2910" spans="1:30" s="1264" customFormat="1" ht="16.5" customHeight="1">
      <c r="A2910" s="309" t="str">
        <f>IF(B2910&lt;&gt;"",IF(AND(B2910='IN-TC'!$S$4,OR(TH!N2910="1111",TH!O2910="1111")),TH!D2910,""),"")</f>
        <v/>
      </c>
      <c r="B2910" s="1275">
        <f t="shared" si="1009"/>
        <v>5</v>
      </c>
      <c r="C2910" s="929">
        <v>42886</v>
      </c>
      <c r="D2910" s="71" t="s">
        <v>902</v>
      </c>
      <c r="E2910" s="929">
        <f t="shared" ref="E2910:E2919" si="1043">C2910</f>
        <v>42886</v>
      </c>
      <c r="F2910" s="72" t="s">
        <v>907</v>
      </c>
      <c r="G2910" s="930" t="s">
        <v>747</v>
      </c>
      <c r="H2910" s="296" t="s">
        <v>835</v>
      </c>
      <c r="I2910" s="73"/>
      <c r="J2910" s="377"/>
      <c r="K2910" s="371">
        <v>14900</v>
      </c>
      <c r="L2910" s="377">
        <v>22670</v>
      </c>
      <c r="M2910" s="74">
        <f t="shared" si="1042"/>
        <v>337783000</v>
      </c>
      <c r="N2910" s="75" t="s">
        <v>26</v>
      </c>
      <c r="O2910" s="934" t="s">
        <v>256</v>
      </c>
      <c r="P2910" s="75" t="str">
        <f>IF(AND('331-CT'!$E$7=TH!H2910,OR(N2910="331",O2910="331")),"x","")</f>
        <v/>
      </c>
      <c r="Q2910" s="75" t="str">
        <f>IF(AND(B2910='111'!$L$11,OR($N2910=$Q$7,$O2910=$Q$7)),"x","")</f>
        <v/>
      </c>
      <c r="R2910" s="75" t="str">
        <f>IF(AND($N2910=$Q$7,$B2910&lt;'111'!$L$11),"x","")</f>
        <v/>
      </c>
      <c r="S2910" s="75" t="str">
        <f>IF(AND($O2910=$Q$7,$B2910&lt;'111'!$L$11),"x","")</f>
        <v/>
      </c>
      <c r="T2910" s="75" t="str">
        <f>IF(ISERROR(FIND('112'!$M$9,G2910,1)),"",IF((AND(FIND('112'!$M$9,G2910,1)&gt;=1,B2910='112'!$K$9,OR($N2910='112'!$I$6,$O2910='112'!$I$6))),"x",""))</f>
        <v/>
      </c>
      <c r="U2910" s="75" t="str">
        <f>IF(ISERROR(FIND('112'!$M$9,G2910,1)),"",IF((AND(LEFT(G2910,2)=LEFT('112'!$M$9,2),B2910&lt;'112'!$K$9,$N2910='112'!$I$6)),"x",""))</f>
        <v/>
      </c>
      <c r="V2910" s="75" t="str">
        <f>IF(ISERROR(FIND('112'!$M$9,G2910,1)),"",IF((AND(RIGHT(G2910,2)=RIGHT('112'!$M$9,2),B2910&lt;'112'!$K$9,$O2910='112'!$I$6)),"x",""))</f>
        <v/>
      </c>
      <c r="W2910" s="75" t="str">
        <f>IF(AND('341-CT'!$H$9=H2910,OR(LEFT(N2910,3)=$W$7,LEFT(O2910,3)=$W$7)),"x","")</f>
        <v/>
      </c>
      <c r="X2910" s="75" t="str">
        <f>IF(OR(TH!N2910=TH!$X$7,O2910=TH!$X$7),"x","")</f>
        <v/>
      </c>
      <c r="Y2910" s="75" t="str">
        <f>IF(AND(OR(N2910="131",O2910="131"),H2910='131-CT'!$H$9),"x","")</f>
        <v/>
      </c>
      <c r="Z2910" s="75"/>
      <c r="AA2910" s="75" t="str">
        <f>IF(AND(MONTH(E2910)='IN-NX'!$J$5,'IN-NX'!$D$7=D2910),"x","")</f>
        <v/>
      </c>
      <c r="AB2910" s="75" t="str">
        <f>IF(AND(OR(LEFT(TH!N2910,2)="15",LEFT(TH!O2910,2)="15"),LEFT(TH!O2910,3)&lt;&gt;"111",'152-CT'!$J$8=TH!F2910),"x","")</f>
        <v/>
      </c>
      <c r="AC2910" s="75" t="str">
        <f>IF(AND(OR(LEFT(TH!N2910,2)="15",LEFT(TH!O2910,2)="15"),TK!$E$7=TH!F2910),"x","")</f>
        <v/>
      </c>
      <c r="AD2910" s="75" t="str">
        <f>IF(AND(N2910="1521",MONTH(C2910)='BK-NL'!$M$11),"x","")</f>
        <v/>
      </c>
    </row>
    <row r="2911" spans="1:30" s="1264" customFormat="1" ht="16.5" customHeight="1">
      <c r="A2911" s="309" t="str">
        <f>IF(B2911&lt;&gt;"",IF(AND(B2911='IN-TC'!$S$4,OR(TH!N2911="1111",TH!O2911="1111")),TH!D2911,""),"")</f>
        <v/>
      </c>
      <c r="B2911" s="1275">
        <f t="shared" si="1009"/>
        <v>5</v>
      </c>
      <c r="C2911" s="71">
        <v>42886</v>
      </c>
      <c r="D2911" s="71" t="s">
        <v>903</v>
      </c>
      <c r="E2911" s="929">
        <f t="shared" si="1043"/>
        <v>42886</v>
      </c>
      <c r="F2911" s="72" t="s">
        <v>1086</v>
      </c>
      <c r="G2911" s="72" t="s">
        <v>747</v>
      </c>
      <c r="H2911" s="735" t="s">
        <v>545</v>
      </c>
      <c r="I2911" s="73"/>
      <c r="J2911" s="1214"/>
      <c r="K2911" s="1213">
        <v>14961.26</v>
      </c>
      <c r="L2911" s="1214">
        <v>22670</v>
      </c>
      <c r="M2911" s="1214">
        <f t="shared" si="1042"/>
        <v>339171764</v>
      </c>
      <c r="N2911" s="75" t="s">
        <v>256</v>
      </c>
      <c r="O2911" s="75" t="s">
        <v>536</v>
      </c>
      <c r="P2911" s="75" t="str">
        <f>IF(AND('331-CT'!$E$7=TH!H2911,OR(N2911="331",O2911="331")),"x","")</f>
        <v/>
      </c>
      <c r="Q2911" s="75" t="str">
        <f>IF(AND(B2911='111'!$L$11,OR($N2911=$Q$7,$O2911=$Q$7)),"x","")</f>
        <v/>
      </c>
      <c r="R2911" s="75" t="str">
        <f>IF(AND($N2911=$Q$7,$B2911&lt;'111'!$L$11),"x","")</f>
        <v/>
      </c>
      <c r="S2911" s="75" t="str">
        <f>IF(AND($O2911=$Q$7,$B2911&lt;'111'!$L$11),"x","")</f>
        <v/>
      </c>
      <c r="T2911" s="75" t="str">
        <f>IF(ISERROR(FIND('112'!$M$9,G2911,1)),"",IF((AND(FIND('112'!$M$9,G2911,1)&gt;=1,B2911='112'!$K$9,OR($N2911='112'!$I$6,$O2911='112'!$I$6))),"x",""))</f>
        <v/>
      </c>
      <c r="U2911" s="75" t="str">
        <f>IF(ISERROR(FIND('112'!$M$9,G2911,1)),"",IF((AND(LEFT(G2911,2)=LEFT('112'!$M$9,2),B2911&lt;'112'!$K$9,$N2911='112'!$I$6)),"x",""))</f>
        <v/>
      </c>
      <c r="V2911" s="75" t="str">
        <f>IF(ISERROR(FIND('112'!$M$9,G2911,1)),"",IF((AND(RIGHT(G2911,2)=RIGHT('112'!$M$9,2),B2911&lt;'112'!$K$9,$O2911='112'!$I$6)),"x",""))</f>
        <v/>
      </c>
      <c r="W2911" s="75" t="str">
        <f>IF(AND('341-CT'!$H$9=H2911,OR(LEFT(N2911,3)=$W$7,LEFT(O2911,3)=$W$7)),"x","")</f>
        <v/>
      </c>
      <c r="X2911" s="75" t="str">
        <f>IF(OR(TH!N2911=TH!$X$7,O2911=TH!$X$7),"x","")</f>
        <v/>
      </c>
      <c r="Y2911" s="75" t="str">
        <f>IF(AND(OR(N2911="131",O2911="131"),H2911='131-CT'!$H$9),"x","")</f>
        <v/>
      </c>
      <c r="Z2911" s="75"/>
      <c r="AA2911" s="75" t="str">
        <f>IF(AND(MONTH(E2911)='IN-NX'!$J$5,'IN-NX'!$D$7=D2911),"x","")</f>
        <v/>
      </c>
      <c r="AB2911" s="75" t="str">
        <f>IF(AND(OR(LEFT(TH!N2911,2)="15",LEFT(TH!O2911,2)="15"),LEFT(TH!O2911,3)&lt;&gt;"111",'152-CT'!$J$8=TH!F2911),"x","")</f>
        <v/>
      </c>
      <c r="AC2911" s="75" t="str">
        <f>IF(AND(OR(LEFT(TH!N2911,2)="15",LEFT(TH!O2911,2)="15"),TK!$E$7=TH!F2911),"x","")</f>
        <v/>
      </c>
      <c r="AD2911" s="75" t="str">
        <f>IF(AND(N2911="1521",MONTH(C2911)='BK-NL'!$M$11),"x","")</f>
        <v/>
      </c>
    </row>
    <row r="2912" spans="1:30" s="1264" customFormat="1" ht="16.5" customHeight="1">
      <c r="A2912" s="309" t="str">
        <f>IF(B2912&lt;&gt;"",IF(AND(B2912='IN-TC'!$S$4,OR(TH!N2912="1111",TH!O2912="1111")),TH!D2912,""),"")</f>
        <v/>
      </c>
      <c r="B2912" s="1275">
        <f t="shared" si="1009"/>
        <v>5</v>
      </c>
      <c r="C2912" s="71">
        <v>42886</v>
      </c>
      <c r="D2912" s="71" t="s">
        <v>530</v>
      </c>
      <c r="E2912" s="929">
        <f t="shared" si="1043"/>
        <v>42886</v>
      </c>
      <c r="F2912" s="1082" t="s">
        <v>1027</v>
      </c>
      <c r="G2912" s="72" t="s">
        <v>747</v>
      </c>
      <c r="H2912" s="735" t="s">
        <v>545</v>
      </c>
      <c r="I2912" s="73"/>
      <c r="J2912" s="1214"/>
      <c r="K2912" s="1213">
        <v>38.74</v>
      </c>
      <c r="L2912" s="1214">
        <v>22670</v>
      </c>
      <c r="M2912" s="933">
        <f t="shared" ref="M2912" si="1044">ROUND(L2912*K2912,0)</f>
        <v>878236</v>
      </c>
      <c r="N2912" s="75" t="s">
        <v>101</v>
      </c>
      <c r="O2912" s="75" t="s">
        <v>536</v>
      </c>
      <c r="P2912" s="75" t="str">
        <f>IF(AND('331-CT'!$E$7=TH!H2912,OR(N2912="331",O2912="331")),"x","")</f>
        <v/>
      </c>
      <c r="Q2912" s="75" t="str">
        <f>IF(AND(B2912='111'!$L$11,OR($N2912=$Q$7,$O2912=$Q$7)),"x","")</f>
        <v/>
      </c>
      <c r="R2912" s="75" t="str">
        <f>IF(AND($N2912=$Q$7,$B2912&lt;'111'!$L$11),"x","")</f>
        <v/>
      </c>
      <c r="S2912" s="75" t="str">
        <f>IF(AND($O2912=$Q$7,$B2912&lt;'111'!$L$11),"x","")</f>
        <v/>
      </c>
      <c r="T2912" s="75" t="str">
        <f>IF(ISERROR(FIND('112'!$M$9,G2912,1)),"",IF((AND(FIND('112'!$M$9,G2912,1)&gt;=1,B2912='112'!$K$9,OR($N2912='112'!$I$6,$O2912='112'!$I$6))),"x",""))</f>
        <v/>
      </c>
      <c r="U2912" s="75" t="str">
        <f>IF(ISERROR(FIND('112'!$M$9,G2912,1)),"",IF((AND(LEFT(G2912,2)=LEFT('112'!$M$9,2),B2912&lt;'112'!$K$9,$N2912='112'!$I$6)),"x",""))</f>
        <v/>
      </c>
      <c r="V2912" s="75" t="str">
        <f>IF(ISERROR(FIND('112'!$M$9,G2912,1)),"",IF((AND(RIGHT(G2912,2)=RIGHT('112'!$M$9,2),B2912&lt;'112'!$K$9,$O2912='112'!$I$6)),"x",""))</f>
        <v/>
      </c>
      <c r="W2912" s="75" t="str">
        <f>IF(AND('341-CT'!$H$9=H2912,OR(LEFT(N2912,3)=$W$7,LEFT(O2912,3)=$W$7)),"x","")</f>
        <v/>
      </c>
      <c r="X2912" s="75" t="str">
        <f>IF(OR(TH!N2912=TH!$X$7,O2912=TH!$X$7),"x","")</f>
        <v/>
      </c>
      <c r="Y2912" s="75" t="str">
        <f>IF(AND(OR(N2912="131",O2912="131"),H2912='131-CT'!$H$9),"x","")</f>
        <v/>
      </c>
      <c r="Z2912" s="75"/>
      <c r="AA2912" s="75" t="str">
        <f>IF(AND(MONTH(E2912)='IN-NX'!$J$5,'IN-NX'!$D$7=D2912),"x","")</f>
        <v/>
      </c>
      <c r="AB2912" s="75" t="str">
        <f>IF(AND(OR(LEFT(TH!N2912,2)="15",LEFT(TH!O2912,2)="15"),LEFT(TH!O2912,3)&lt;&gt;"111",'152-CT'!$J$8=TH!F2912),"x","")</f>
        <v/>
      </c>
      <c r="AC2912" s="75" t="str">
        <f>IF(AND(OR(LEFT(TH!N2912,2)="15",LEFT(TH!O2912,2)="15"),TK!$E$7=TH!F2912),"x","")</f>
        <v/>
      </c>
      <c r="AD2912" s="75" t="str">
        <f>IF(AND(N2912="1521",MONTH(C2912)='BK-NL'!$M$11),"x","")</f>
        <v/>
      </c>
    </row>
    <row r="2913" spans="1:30" s="1264" customFormat="1" ht="16.5" customHeight="1">
      <c r="A2913" s="309" t="str">
        <f>IF(B2913&lt;&gt;"",IF(AND(B2913='IN-TC'!$S$4,OR(TH!N2913="1111",TH!O2913="1111")),TH!D2913,""),"")</f>
        <v/>
      </c>
      <c r="B2913" s="1315">
        <f t="shared" si="1009"/>
        <v>6</v>
      </c>
      <c r="C2913" s="71">
        <v>42892</v>
      </c>
      <c r="D2913" s="71" t="s">
        <v>903</v>
      </c>
      <c r="E2913" s="71">
        <f t="shared" si="1043"/>
        <v>42892</v>
      </c>
      <c r="F2913" s="1082" t="s">
        <v>1086</v>
      </c>
      <c r="G2913" s="72" t="s">
        <v>747</v>
      </c>
      <c r="H2913" s="296" t="s">
        <v>759</v>
      </c>
      <c r="I2913" s="73"/>
      <c r="J2913" s="377"/>
      <c r="K2913" s="371">
        <v>369448</v>
      </c>
      <c r="L2913" s="377">
        <v>22705</v>
      </c>
      <c r="M2913" s="1214">
        <f t="shared" ref="M2913" si="1045">ROUND(K2913*L2913,0)</f>
        <v>8388316840</v>
      </c>
      <c r="N2913" s="75" t="s">
        <v>256</v>
      </c>
      <c r="O2913" s="75" t="s">
        <v>536</v>
      </c>
      <c r="P2913" s="75" t="str">
        <f>IF(AND('331-CT'!$E$7=TH!H2913,OR(N2913="331",O2913="331")),"x","")</f>
        <v/>
      </c>
      <c r="Q2913" s="75" t="str">
        <f>IF(AND(B2913='111'!$L$11,OR($N2913=$Q$7,$O2913=$Q$7)),"x","")</f>
        <v/>
      </c>
      <c r="R2913" s="75" t="str">
        <f>IF(AND($N2913=$Q$7,$B2913&lt;'111'!$L$11),"x","")</f>
        <v/>
      </c>
      <c r="S2913" s="75" t="str">
        <f>IF(AND($O2913=$Q$7,$B2913&lt;'111'!$L$11),"x","")</f>
        <v/>
      </c>
      <c r="T2913" s="75" t="str">
        <f>IF(ISERROR(FIND('112'!$M$9,G2913,1)),"",IF((AND(FIND('112'!$M$9,G2913,1)&gt;=1,B2913='112'!$K$9,OR($N2913='112'!$I$6,$O2913='112'!$I$6))),"x",""))</f>
        <v/>
      </c>
      <c r="U2913" s="75" t="str">
        <f>IF(ISERROR(FIND('112'!$M$9,G2913,1)),"",IF((AND(LEFT(G2913,2)=LEFT('112'!$M$9,2),B2913&lt;'112'!$K$9,$N2913='112'!$I$6)),"x",""))</f>
        <v/>
      </c>
      <c r="V2913" s="75" t="str">
        <f>IF(ISERROR(FIND('112'!$M$9,G2913,1)),"",IF((AND(RIGHT(G2913,2)=RIGHT('112'!$M$9,2),B2913&lt;'112'!$K$9,$O2913='112'!$I$6)),"x",""))</f>
        <v/>
      </c>
      <c r="W2913" s="75" t="str">
        <f>IF(AND('341-CT'!$H$9=H2913,OR(LEFT(N2913,3)=$W$7,LEFT(O2913,3)=$W$7)),"x","")</f>
        <v/>
      </c>
      <c r="X2913" s="75" t="str">
        <f>IF(OR(TH!N2913=TH!$X$7,O2913=TH!$X$7),"x","")</f>
        <v/>
      </c>
      <c r="Y2913" s="75" t="str">
        <f>IF(AND(OR(N2913="131",O2913="131"),H2913='131-CT'!$H$9),"x","")</f>
        <v/>
      </c>
      <c r="Z2913" s="75"/>
      <c r="AA2913" s="75" t="str">
        <f>IF(AND(MONTH(E2913)='IN-NX'!$J$5,'IN-NX'!$D$7=D2913),"x","")</f>
        <v/>
      </c>
      <c r="AB2913" s="75" t="str">
        <f>IF(AND(OR(LEFT(TH!N2913,2)="15",LEFT(TH!O2913,2)="15"),LEFT(TH!O2913,3)&lt;&gt;"111",'152-CT'!$J$8=TH!F2913),"x","")</f>
        <v/>
      </c>
      <c r="AC2913" s="75" t="str">
        <f>IF(AND(OR(LEFT(TH!N2913,2)="15",LEFT(TH!O2913,2)="15"),TK!$E$7=TH!F2913),"x","")</f>
        <v/>
      </c>
      <c r="AD2913" s="75" t="str">
        <f>IF(AND(N2913="1521",MONTH(C2913)='BK-NL'!$M$11),"x","")</f>
        <v/>
      </c>
    </row>
    <row r="2914" spans="1:30" s="1264" customFormat="1" ht="16.5" customHeight="1">
      <c r="A2914" s="309" t="str">
        <f>IF(B2914&lt;&gt;"",IF(AND(B2914='IN-TC'!$S$4,OR(TH!N2914="1111",TH!O2914="1111")),TH!D2914,""),"")</f>
        <v/>
      </c>
      <c r="B2914" s="1315">
        <f t="shared" si="1009"/>
        <v>6</v>
      </c>
      <c r="C2914" s="71">
        <v>42892</v>
      </c>
      <c r="D2914" s="71" t="s">
        <v>530</v>
      </c>
      <c r="E2914" s="71">
        <f t="shared" si="1043"/>
        <v>42892</v>
      </c>
      <c r="F2914" s="1082" t="s">
        <v>1027</v>
      </c>
      <c r="G2914" s="72" t="s">
        <v>747</v>
      </c>
      <c r="H2914" s="296" t="s">
        <v>759</v>
      </c>
      <c r="I2914" s="73"/>
      <c r="J2914" s="377"/>
      <c r="K2914" s="371">
        <v>12</v>
      </c>
      <c r="L2914" s="377">
        <v>22705</v>
      </c>
      <c r="M2914" s="933">
        <f t="shared" si="1027"/>
        <v>272460</v>
      </c>
      <c r="N2914" s="75" t="s">
        <v>101</v>
      </c>
      <c r="O2914" s="75" t="s">
        <v>536</v>
      </c>
      <c r="P2914" s="75" t="str">
        <f>IF(AND('331-CT'!$E$7=TH!H2914,OR(N2914="331",O2914="331")),"x","")</f>
        <v/>
      </c>
      <c r="Q2914" s="75" t="str">
        <f>IF(AND(B2914='111'!$L$11,OR($N2914=$Q$7,$O2914=$Q$7)),"x","")</f>
        <v/>
      </c>
      <c r="R2914" s="75" t="str">
        <f>IF(AND($N2914=$Q$7,$B2914&lt;'111'!$L$11),"x","")</f>
        <v/>
      </c>
      <c r="S2914" s="75" t="str">
        <f>IF(AND($O2914=$Q$7,$B2914&lt;'111'!$L$11),"x","")</f>
        <v/>
      </c>
      <c r="T2914" s="75" t="str">
        <f>IF(ISERROR(FIND('112'!$M$9,G2914,1)),"",IF((AND(FIND('112'!$M$9,G2914,1)&gt;=1,B2914='112'!$K$9,OR($N2914='112'!$I$6,$O2914='112'!$I$6))),"x",""))</f>
        <v/>
      </c>
      <c r="U2914" s="75" t="str">
        <f>IF(ISERROR(FIND('112'!$M$9,G2914,1)),"",IF((AND(LEFT(G2914,2)=LEFT('112'!$M$9,2),B2914&lt;'112'!$K$9,$N2914='112'!$I$6)),"x",""))</f>
        <v/>
      </c>
      <c r="V2914" s="75" t="str">
        <f>IF(ISERROR(FIND('112'!$M$9,G2914,1)),"",IF((AND(RIGHT(G2914,2)=RIGHT('112'!$M$9,2),B2914&lt;'112'!$K$9,$O2914='112'!$I$6)),"x",""))</f>
        <v/>
      </c>
      <c r="W2914" s="75" t="str">
        <f>IF(AND('341-CT'!$H$9=H2914,OR(LEFT(N2914,3)=$W$7,LEFT(O2914,3)=$W$7)),"x","")</f>
        <v/>
      </c>
      <c r="X2914" s="75" t="str">
        <f>IF(OR(TH!N2914=TH!$X$7,O2914=TH!$X$7),"x","")</f>
        <v/>
      </c>
      <c r="Y2914" s="75" t="str">
        <f>IF(AND(OR(N2914="131",O2914="131"),H2914='131-CT'!$H$9),"x","")</f>
        <v/>
      </c>
      <c r="Z2914" s="75"/>
      <c r="AA2914" s="75" t="str">
        <f>IF(AND(MONTH(E2914)='IN-NX'!$J$5,'IN-NX'!$D$7=D2914),"x","")</f>
        <v/>
      </c>
      <c r="AB2914" s="75" t="str">
        <f>IF(AND(OR(LEFT(TH!N2914,2)="15",LEFT(TH!O2914,2)="15"),LEFT(TH!O2914,3)&lt;&gt;"111",'152-CT'!$J$8=TH!F2914),"x","")</f>
        <v/>
      </c>
      <c r="AC2914" s="75" t="str">
        <f>IF(AND(OR(LEFT(TH!N2914,2)="15",LEFT(TH!O2914,2)="15"),TK!$E$7=TH!F2914),"x","")</f>
        <v/>
      </c>
      <c r="AD2914" s="75" t="str">
        <f>IF(AND(N2914="1521",MONTH(C2914)='BK-NL'!$M$11),"x","")</f>
        <v/>
      </c>
    </row>
    <row r="2915" spans="1:30" s="1264" customFormat="1" ht="16.5" customHeight="1">
      <c r="A2915" s="309" t="str">
        <f>IF(B2915&lt;&gt;"",IF(AND(B2915='IN-TC'!$S$4,OR(TH!N2915="1111",TH!O2915="1111")),TH!D2915,""),"")</f>
        <v/>
      </c>
      <c r="B2915" s="1315">
        <f t="shared" ref="B2915" si="1046">IF(C2915&lt;&gt;"",MONTH(C2915),"")</f>
        <v>6</v>
      </c>
      <c r="C2915" s="71">
        <v>42892</v>
      </c>
      <c r="D2915" s="71" t="s">
        <v>530</v>
      </c>
      <c r="E2915" s="71">
        <f t="shared" ref="E2915" si="1047">C2915</f>
        <v>42892</v>
      </c>
      <c r="F2915" s="1082" t="s">
        <v>1010</v>
      </c>
      <c r="G2915" s="72" t="s">
        <v>747</v>
      </c>
      <c r="H2915" s="296" t="s">
        <v>759</v>
      </c>
      <c r="I2915" s="73"/>
      <c r="J2915" s="377"/>
      <c r="K2915" s="371"/>
      <c r="L2915" s="377"/>
      <c r="M2915" s="933">
        <v>7090076</v>
      </c>
      <c r="N2915" s="75" t="s">
        <v>536</v>
      </c>
      <c r="O2915" s="75" t="s">
        <v>43</v>
      </c>
      <c r="P2915" s="75" t="str">
        <f>IF(AND('331-CT'!$E$7=TH!H2915,OR(N2915="331",O2915="331")),"x","")</f>
        <v/>
      </c>
      <c r="Q2915" s="75" t="str">
        <f>IF(AND(B2915='111'!$L$11,OR($N2915=$Q$7,$O2915=$Q$7)),"x","")</f>
        <v/>
      </c>
      <c r="R2915" s="75" t="str">
        <f>IF(AND($N2915=$Q$7,$B2915&lt;'111'!$L$11),"x","")</f>
        <v/>
      </c>
      <c r="S2915" s="75" t="str">
        <f>IF(AND($O2915=$Q$7,$B2915&lt;'111'!$L$11),"x","")</f>
        <v/>
      </c>
      <c r="T2915" s="75" t="str">
        <f>IF(ISERROR(FIND('112'!$M$9,G2915,1)),"",IF((AND(FIND('112'!$M$9,G2915,1)&gt;=1,B2915='112'!$K$9,OR($N2915='112'!$I$6,$O2915='112'!$I$6))),"x",""))</f>
        <v/>
      </c>
      <c r="U2915" s="75" t="str">
        <f>IF(ISERROR(FIND('112'!$M$9,G2915,1)),"",IF((AND(LEFT(G2915,2)=LEFT('112'!$M$9,2),B2915&lt;'112'!$K$9,$N2915='112'!$I$6)),"x",""))</f>
        <v/>
      </c>
      <c r="V2915" s="75" t="str">
        <f>IF(ISERROR(FIND('112'!$M$9,G2915,1)),"",IF((AND(RIGHT(G2915,2)=RIGHT('112'!$M$9,2),B2915&lt;'112'!$K$9,$O2915='112'!$I$6)),"x",""))</f>
        <v/>
      </c>
      <c r="W2915" s="75" t="str">
        <f>IF(AND('341-CT'!$H$9=H2915,OR(LEFT(N2915,3)=$W$7,LEFT(O2915,3)=$W$7)),"x","")</f>
        <v/>
      </c>
      <c r="X2915" s="75" t="str">
        <f>IF(OR(TH!N2915=TH!$X$7,O2915=TH!$X$7),"x","")</f>
        <v/>
      </c>
      <c r="Y2915" s="75" t="str">
        <f>IF(AND(OR(N2915="131",O2915="131"),H2915='131-CT'!$H$9),"x","")</f>
        <v/>
      </c>
      <c r="Z2915" s="75"/>
      <c r="AA2915" s="75" t="str">
        <f>IF(AND(MONTH(E2915)='IN-NX'!$J$5,'IN-NX'!$D$7=D2915),"x","")</f>
        <v/>
      </c>
      <c r="AB2915" s="75" t="str">
        <f>IF(AND(OR(LEFT(TH!N2915,2)="15",LEFT(TH!O2915,2)="15"),LEFT(TH!O2915,3)&lt;&gt;"111",'152-CT'!$J$8=TH!F2915),"x","")</f>
        <v/>
      </c>
      <c r="AC2915" s="75" t="str">
        <f>IF(AND(OR(LEFT(TH!N2915,2)="15",LEFT(TH!O2915,2)="15"),TK!$E$7=TH!F2915),"x","")</f>
        <v/>
      </c>
      <c r="AD2915" s="75" t="str">
        <f>IF(AND(N2915="1521",MONTH(C2915)='BK-NL'!$M$11),"x","")</f>
        <v/>
      </c>
    </row>
    <row r="2916" spans="1:30" s="1264" customFormat="1" ht="16.5" customHeight="1">
      <c r="A2916" s="309" t="str">
        <f>IF(B2916&lt;&gt;"",IF(AND(B2916='IN-TC'!$S$4,OR(TH!N2916="1111",TH!O2916="1111")),TH!D2916,""),"")</f>
        <v/>
      </c>
      <c r="B2916" s="1315">
        <f t="shared" si="1009"/>
        <v>6</v>
      </c>
      <c r="C2916" s="71">
        <v>42892</v>
      </c>
      <c r="D2916" s="71" t="s">
        <v>902</v>
      </c>
      <c r="E2916" s="71">
        <f t="shared" si="1043"/>
        <v>42892</v>
      </c>
      <c r="F2916" s="72" t="s">
        <v>1321</v>
      </c>
      <c r="G2916" s="72" t="s">
        <v>747</v>
      </c>
      <c r="H2916" s="735" t="s">
        <v>1007</v>
      </c>
      <c r="I2916" s="73"/>
      <c r="J2916" s="377"/>
      <c r="K2916" s="371">
        <v>70000</v>
      </c>
      <c r="L2916" s="377">
        <v>22700</v>
      </c>
      <c r="M2916" s="74">
        <f t="shared" ref="M2916:M2919" si="1048">ROUND(K2916*L2916,0)</f>
        <v>1589000000</v>
      </c>
      <c r="N2916" s="75" t="s">
        <v>250</v>
      </c>
      <c r="O2916" s="934" t="s">
        <v>256</v>
      </c>
      <c r="P2916" s="75" t="str">
        <f>IF(AND('331-CT'!$E$7=TH!H2916,OR(N2916="331",O2916="331")),"x","")</f>
        <v/>
      </c>
      <c r="Q2916" s="75" t="str">
        <f>IF(AND(B2916='111'!$L$11,OR($N2916=$Q$7,$O2916=$Q$7)),"x","")</f>
        <v/>
      </c>
      <c r="R2916" s="75" t="str">
        <f>IF(AND($N2916=$Q$7,$B2916&lt;'111'!$L$11),"x","")</f>
        <v/>
      </c>
      <c r="S2916" s="75" t="str">
        <f>IF(AND($O2916=$Q$7,$B2916&lt;'111'!$L$11),"x","")</f>
        <v/>
      </c>
      <c r="T2916" s="75" t="str">
        <f>IF(ISERROR(FIND('112'!$M$9,G2916,1)),"",IF((AND(FIND('112'!$M$9,G2916,1)&gt;=1,B2916='112'!$K$9,OR($N2916='112'!$I$6,$O2916='112'!$I$6))),"x",""))</f>
        <v/>
      </c>
      <c r="U2916" s="75" t="str">
        <f>IF(ISERROR(FIND('112'!$M$9,G2916,1)),"",IF((AND(LEFT(G2916,2)=LEFT('112'!$M$9,2),B2916&lt;'112'!$K$9,$N2916='112'!$I$6)),"x",""))</f>
        <v/>
      </c>
      <c r="V2916" s="75" t="str">
        <f>IF(ISERROR(FIND('112'!$M$9,G2916,1)),"",IF((AND(RIGHT(G2916,2)=RIGHT('112'!$M$9,2),B2916&lt;'112'!$K$9,$O2916='112'!$I$6)),"x",""))</f>
        <v/>
      </c>
      <c r="W2916" s="75" t="str">
        <f>IF(AND('341-CT'!$H$9=H2916,OR(LEFT(N2916,3)=$W$7,LEFT(O2916,3)=$W$7)),"x","")</f>
        <v/>
      </c>
      <c r="X2916" s="75" t="str">
        <f>IF(OR(TH!N2916=TH!$X$7,O2916=TH!$X$7),"x","")</f>
        <v/>
      </c>
      <c r="Y2916" s="75" t="str">
        <f>IF(AND(OR(N2916="131",O2916="131"),H2916='131-CT'!$H$9),"x","")</f>
        <v/>
      </c>
      <c r="Z2916" s="75"/>
      <c r="AA2916" s="75" t="str">
        <f>IF(AND(MONTH(E2916)='IN-NX'!$J$5,'IN-NX'!$D$7=D2916),"x","")</f>
        <v/>
      </c>
      <c r="AB2916" s="75" t="str">
        <f>IF(AND(OR(LEFT(TH!N2916,2)="15",LEFT(TH!O2916,2)="15"),LEFT(TH!O2916,3)&lt;&gt;"111",'152-CT'!$J$8=TH!F2916),"x","")</f>
        <v/>
      </c>
      <c r="AC2916" s="75" t="str">
        <f>IF(AND(OR(LEFT(TH!N2916,2)="15",LEFT(TH!O2916,2)="15"),TK!$E$7=TH!F2916),"x","")</f>
        <v/>
      </c>
      <c r="AD2916" s="75" t="str">
        <f>IF(AND(N2916="1521",MONTH(C2916)='BK-NL'!$M$11),"x","")</f>
        <v/>
      </c>
    </row>
    <row r="2917" spans="1:30" s="1264" customFormat="1" ht="16.5" customHeight="1">
      <c r="A2917" s="309" t="str">
        <f>IF(B2917&lt;&gt;"",IF(AND(B2917='IN-TC'!$S$4,OR(TH!N2917="1111",TH!O2917="1111")),TH!D2917,""),"")</f>
        <v/>
      </c>
      <c r="B2917" s="1315">
        <f t="shared" ref="B2917:B2982" si="1049">IF(C2917&lt;&gt;"",MONTH(C2917),"")</f>
        <v>6</v>
      </c>
      <c r="C2917" s="71">
        <v>42892</v>
      </c>
      <c r="D2917" s="71" t="s">
        <v>902</v>
      </c>
      <c r="E2917" s="71">
        <f t="shared" si="1043"/>
        <v>42892</v>
      </c>
      <c r="F2917" s="73" t="s">
        <v>907</v>
      </c>
      <c r="G2917" s="72" t="s">
        <v>747</v>
      </c>
      <c r="H2917" s="73" t="s">
        <v>835</v>
      </c>
      <c r="I2917" s="73"/>
      <c r="J2917" s="377"/>
      <c r="K2917" s="371">
        <v>299000</v>
      </c>
      <c r="L2917" s="377">
        <v>22705</v>
      </c>
      <c r="M2917" s="74">
        <f t="shared" si="1048"/>
        <v>6788795000</v>
      </c>
      <c r="N2917" s="75" t="s">
        <v>26</v>
      </c>
      <c r="O2917" s="934" t="s">
        <v>256</v>
      </c>
      <c r="P2917" s="75" t="str">
        <f>IF(AND('331-CT'!$E$7=TH!H2917,OR(N2917="331",O2917="331")),"x","")</f>
        <v/>
      </c>
      <c r="Q2917" s="75" t="str">
        <f>IF(AND(B2917='111'!$L$11,OR($N2917=$Q$7,$O2917=$Q$7)),"x","")</f>
        <v/>
      </c>
      <c r="R2917" s="75" t="str">
        <f>IF(AND($N2917=$Q$7,$B2917&lt;'111'!$L$11),"x","")</f>
        <v/>
      </c>
      <c r="S2917" s="75" t="str">
        <f>IF(AND($O2917=$Q$7,$B2917&lt;'111'!$L$11),"x","")</f>
        <v/>
      </c>
      <c r="T2917" s="75" t="str">
        <f>IF(ISERROR(FIND('112'!$M$9,G2917,1)),"",IF((AND(FIND('112'!$M$9,G2917,1)&gt;=1,B2917='112'!$K$9,OR($N2917='112'!$I$6,$O2917='112'!$I$6))),"x",""))</f>
        <v/>
      </c>
      <c r="U2917" s="75" t="str">
        <f>IF(ISERROR(FIND('112'!$M$9,G2917,1)),"",IF((AND(LEFT(G2917,2)=LEFT('112'!$M$9,2),B2917&lt;'112'!$K$9,$N2917='112'!$I$6)),"x",""))</f>
        <v/>
      </c>
      <c r="V2917" s="75" t="str">
        <f>IF(ISERROR(FIND('112'!$M$9,G2917,1)),"",IF((AND(RIGHT(G2917,2)=RIGHT('112'!$M$9,2),B2917&lt;'112'!$K$9,$O2917='112'!$I$6)),"x",""))</f>
        <v/>
      </c>
      <c r="W2917" s="75" t="str">
        <f>IF(AND('341-CT'!$H$9=H2917,OR(LEFT(N2917,3)=$W$7,LEFT(O2917,3)=$W$7)),"x","")</f>
        <v/>
      </c>
      <c r="X2917" s="75" t="str">
        <f>IF(OR(TH!N2917=TH!$X$7,O2917=TH!$X$7),"x","")</f>
        <v/>
      </c>
      <c r="Y2917" s="75" t="str">
        <f>IF(AND(OR(N2917="131",O2917="131"),H2917='131-CT'!$H$9),"x","")</f>
        <v/>
      </c>
      <c r="Z2917" s="75"/>
      <c r="AA2917" s="75" t="str">
        <f>IF(AND(MONTH(E2917)='IN-NX'!$J$5,'IN-NX'!$D$7=D2917),"x","")</f>
        <v/>
      </c>
      <c r="AB2917" s="75" t="str">
        <f>IF(AND(OR(LEFT(TH!N2917,2)="15",LEFT(TH!O2917,2)="15"),LEFT(TH!O2917,3)&lt;&gt;"111",'152-CT'!$J$8=TH!F2917),"x","")</f>
        <v/>
      </c>
      <c r="AC2917" s="75" t="str">
        <f>IF(AND(OR(LEFT(TH!N2917,2)="15",LEFT(TH!O2917,2)="15"),TK!$E$7=TH!F2917),"x","")</f>
        <v/>
      </c>
      <c r="AD2917" s="75" t="str">
        <f>IF(AND(N2917="1521",MONTH(C2917)='BK-NL'!$M$11),"x","")</f>
        <v/>
      </c>
    </row>
    <row r="2918" spans="1:30" s="1264" customFormat="1" ht="16.5" customHeight="1">
      <c r="A2918" s="309" t="str">
        <f>IF(B2918&lt;&gt;"",IF(AND(B2918='IN-TC'!$S$4,OR(TH!N2918="1111",TH!O2918="1111")),TH!D2918,""),"")</f>
        <v/>
      </c>
      <c r="B2918" s="1315">
        <f t="shared" si="1049"/>
        <v>6</v>
      </c>
      <c r="C2918" s="71">
        <v>42899</v>
      </c>
      <c r="D2918" s="71" t="s">
        <v>903</v>
      </c>
      <c r="E2918" s="71">
        <f t="shared" si="1043"/>
        <v>42899</v>
      </c>
      <c r="F2918" s="73" t="s">
        <v>2441</v>
      </c>
      <c r="G2918" s="72" t="s">
        <v>747</v>
      </c>
      <c r="H2918" s="73" t="s">
        <v>2455</v>
      </c>
      <c r="I2918" s="73"/>
      <c r="J2918" s="377"/>
      <c r="K2918" s="371">
        <v>67000</v>
      </c>
      <c r="L2918" s="377">
        <v>22700</v>
      </c>
      <c r="M2918" s="1214">
        <f t="shared" si="1048"/>
        <v>1520900000</v>
      </c>
      <c r="N2918" s="75" t="s">
        <v>256</v>
      </c>
      <c r="O2918" s="75" t="s">
        <v>250</v>
      </c>
      <c r="P2918" s="75" t="str">
        <f>IF(AND('331-CT'!$E$7=TH!H2918,OR(N2918="331",O2918="331")),"x","")</f>
        <v/>
      </c>
      <c r="Q2918" s="75" t="str">
        <f>IF(AND(B2918='111'!$L$11,OR($N2918=$Q$7,$O2918=$Q$7)),"x","")</f>
        <v/>
      </c>
      <c r="R2918" s="75" t="str">
        <f>IF(AND($N2918=$Q$7,$B2918&lt;'111'!$L$11),"x","")</f>
        <v/>
      </c>
      <c r="S2918" s="75" t="str">
        <f>IF(AND($O2918=$Q$7,$B2918&lt;'111'!$L$11),"x","")</f>
        <v/>
      </c>
      <c r="T2918" s="75" t="str">
        <f>IF(ISERROR(FIND('112'!$M$9,G2918,1)),"",IF((AND(FIND('112'!$M$9,G2918,1)&gt;=1,B2918='112'!$K$9,OR($N2918='112'!$I$6,$O2918='112'!$I$6))),"x",""))</f>
        <v/>
      </c>
      <c r="U2918" s="75" t="str">
        <f>IF(ISERROR(FIND('112'!$M$9,G2918,1)),"",IF((AND(LEFT(G2918,2)=LEFT('112'!$M$9,2),B2918&lt;'112'!$K$9,$N2918='112'!$I$6)),"x",""))</f>
        <v/>
      </c>
      <c r="V2918" s="75" t="str">
        <f>IF(ISERROR(FIND('112'!$M$9,G2918,1)),"",IF((AND(RIGHT(G2918,2)=RIGHT('112'!$M$9,2),B2918&lt;'112'!$K$9,$O2918='112'!$I$6)),"x",""))</f>
        <v/>
      </c>
      <c r="W2918" s="75" t="str">
        <f>IF(AND('341-CT'!$H$9=H2918,OR(LEFT(N2918,3)=$W$7,LEFT(O2918,3)=$W$7)),"x","")</f>
        <v/>
      </c>
      <c r="X2918" s="75" t="str">
        <f>IF(OR(TH!N2918=TH!$X$7,O2918=TH!$X$7),"x","")</f>
        <v/>
      </c>
      <c r="Y2918" s="75" t="str">
        <f>IF(AND(OR(N2918="131",O2918="131"),H2918='131-CT'!$H$9),"x","")</f>
        <v/>
      </c>
      <c r="Z2918" s="75"/>
      <c r="AA2918" s="75" t="str">
        <f>IF(AND(MONTH(E2918)='IN-NX'!$J$5,'IN-NX'!$D$7=D2918),"x","")</f>
        <v/>
      </c>
      <c r="AB2918" s="75" t="str">
        <f>IF(AND(OR(LEFT(TH!N2918,2)="15",LEFT(TH!O2918,2)="15"),LEFT(TH!O2918,3)&lt;&gt;"111",'152-CT'!$J$8=TH!F2918),"x","")</f>
        <v/>
      </c>
      <c r="AC2918" s="75" t="str">
        <f>IF(AND(OR(LEFT(TH!N2918,2)="15",LEFT(TH!O2918,2)="15"),TK!$E$7=TH!F2918),"x","")</f>
        <v/>
      </c>
      <c r="AD2918" s="75" t="str">
        <f>IF(AND(N2918="1521",MONTH(C2918)='BK-NL'!$M$11),"x","")</f>
        <v/>
      </c>
    </row>
    <row r="2919" spans="1:30" s="1264" customFormat="1" ht="16.5" customHeight="1">
      <c r="A2919" s="309" t="str">
        <f>IF(B2919&lt;&gt;"",IF(AND(B2919='IN-TC'!$S$4,OR(TH!N2919="1111",TH!O2919="1111")),TH!D2919,""),"")</f>
        <v/>
      </c>
      <c r="B2919" s="1315">
        <f t="shared" si="1049"/>
        <v>6</v>
      </c>
      <c r="C2919" s="71">
        <v>42899</v>
      </c>
      <c r="D2919" s="71" t="s">
        <v>902</v>
      </c>
      <c r="E2919" s="71">
        <f t="shared" si="1043"/>
        <v>42899</v>
      </c>
      <c r="F2919" s="72" t="s">
        <v>1096</v>
      </c>
      <c r="G2919" s="72" t="s">
        <v>747</v>
      </c>
      <c r="H2919" s="73" t="s">
        <v>835</v>
      </c>
      <c r="I2919" s="73"/>
      <c r="J2919" s="377"/>
      <c r="K2919" s="371">
        <v>210.33</v>
      </c>
      <c r="L2919" s="377">
        <v>22700</v>
      </c>
      <c r="M2919" s="74">
        <f t="shared" si="1048"/>
        <v>4774491</v>
      </c>
      <c r="N2919" s="75" t="s">
        <v>99</v>
      </c>
      <c r="O2919" s="934" t="s">
        <v>256</v>
      </c>
      <c r="P2919" s="75" t="str">
        <f>IF(AND('331-CT'!$E$7=TH!H2919,OR(N2919="331",O2919="331")),"x","")</f>
        <v/>
      </c>
      <c r="Q2919" s="75" t="str">
        <f>IF(AND(B2919='111'!$L$11,OR($N2919=$Q$7,$O2919=$Q$7)),"x","")</f>
        <v/>
      </c>
      <c r="R2919" s="75" t="str">
        <f>IF(AND($N2919=$Q$7,$B2919&lt;'111'!$L$11),"x","")</f>
        <v/>
      </c>
      <c r="S2919" s="75" t="str">
        <f>IF(AND($O2919=$Q$7,$B2919&lt;'111'!$L$11),"x","")</f>
        <v/>
      </c>
      <c r="T2919" s="75" t="str">
        <f>IF(ISERROR(FIND('112'!$M$9,G2919,1)),"",IF((AND(FIND('112'!$M$9,G2919,1)&gt;=1,B2919='112'!$K$9,OR($N2919='112'!$I$6,$O2919='112'!$I$6))),"x",""))</f>
        <v/>
      </c>
      <c r="U2919" s="75" t="str">
        <f>IF(ISERROR(FIND('112'!$M$9,G2919,1)),"",IF((AND(LEFT(G2919,2)=LEFT('112'!$M$9,2),B2919&lt;'112'!$K$9,$N2919='112'!$I$6)),"x",""))</f>
        <v/>
      </c>
      <c r="V2919" s="75" t="str">
        <f>IF(ISERROR(FIND('112'!$M$9,G2919,1)),"",IF((AND(RIGHT(G2919,2)=RIGHT('112'!$M$9,2),B2919&lt;'112'!$K$9,$O2919='112'!$I$6)),"x",""))</f>
        <v/>
      </c>
      <c r="W2919" s="75" t="str">
        <f>IF(AND('341-CT'!$H$9=H2919,OR(LEFT(N2919,3)=$W$7,LEFT(O2919,3)=$W$7)),"x","")</f>
        <v/>
      </c>
      <c r="X2919" s="75" t="str">
        <f>IF(OR(TH!N2919=TH!$X$7,O2919=TH!$X$7),"x","")</f>
        <v/>
      </c>
      <c r="Y2919" s="75" t="str">
        <f>IF(AND(OR(N2919="131",O2919="131"),H2919='131-CT'!$H$9),"x","")</f>
        <v/>
      </c>
      <c r="Z2919" s="75"/>
      <c r="AA2919" s="75" t="str">
        <f>IF(AND(MONTH(E2919)='IN-NX'!$J$5,'IN-NX'!$D$7=D2919),"x","")</f>
        <v/>
      </c>
      <c r="AB2919" s="75" t="str">
        <f>IF(AND(OR(LEFT(TH!N2919,2)="15",LEFT(TH!O2919,2)="15"),LEFT(TH!O2919,3)&lt;&gt;"111",'152-CT'!$J$8=TH!F2919),"x","")</f>
        <v/>
      </c>
      <c r="AC2919" s="75" t="str">
        <f>IF(AND(OR(LEFT(TH!N2919,2)="15",LEFT(TH!O2919,2)="15"),TK!$E$7=TH!F2919),"x","")</f>
        <v/>
      </c>
      <c r="AD2919" s="75" t="str">
        <f>IF(AND(N2919="1521",MONTH(C2919)='BK-NL'!$M$11),"x","")</f>
        <v/>
      </c>
    </row>
    <row r="2920" spans="1:30" s="1264" customFormat="1" ht="16.5" customHeight="1">
      <c r="A2920" s="309" t="str">
        <f>IF(B2920&lt;&gt;"",IF(AND(B2920='IN-TC'!$S$4,OR(TH!N2920="1111",TH!O2920="1111")),TH!D2920,""),"")</f>
        <v/>
      </c>
      <c r="B2920" s="1315">
        <f t="shared" si="1049"/>
        <v>6</v>
      </c>
      <c r="C2920" s="1233">
        <v>42899</v>
      </c>
      <c r="D2920" s="71" t="s">
        <v>902</v>
      </c>
      <c r="E2920" s="71">
        <v>42899</v>
      </c>
      <c r="F2920" s="72" t="s">
        <v>1321</v>
      </c>
      <c r="G2920" s="72" t="s">
        <v>747</v>
      </c>
      <c r="H2920" s="735" t="s">
        <v>1007</v>
      </c>
      <c r="I2920" s="73"/>
      <c r="J2920" s="1237"/>
      <c r="K2920" s="371">
        <v>67000</v>
      </c>
      <c r="L2920" s="377">
        <v>22700</v>
      </c>
      <c r="M2920" s="74">
        <f t="shared" ref="M2920" si="1050">ROUND(K2920*L2920,0)</f>
        <v>1520900000</v>
      </c>
      <c r="N2920" s="75" t="s">
        <v>250</v>
      </c>
      <c r="O2920" s="934" t="s">
        <v>256</v>
      </c>
      <c r="P2920" s="75" t="str">
        <f>IF(AND('331-CT'!$E$7=TH!H2920,OR(N2920="331",O2920="331")),"x","")</f>
        <v/>
      </c>
      <c r="Q2920" s="75" t="str">
        <f>IF(AND(B2920='111'!$L$11,OR($N2920=$Q$7,$O2920=$Q$7)),"x","")</f>
        <v/>
      </c>
      <c r="R2920" s="75" t="str">
        <f>IF(AND($N2920=$Q$7,$B2920&lt;'111'!$L$11),"x","")</f>
        <v/>
      </c>
      <c r="S2920" s="75" t="str">
        <f>IF(AND($O2920=$Q$7,$B2920&lt;'111'!$L$11),"x","")</f>
        <v/>
      </c>
      <c r="T2920" s="75" t="str">
        <f>IF(ISERROR(FIND('112'!$M$9,G2920,1)),"",IF((AND(FIND('112'!$M$9,G2920,1)&gt;=1,B2920='112'!$K$9,OR($N2920='112'!$I$6,$O2920='112'!$I$6))),"x",""))</f>
        <v/>
      </c>
      <c r="U2920" s="75" t="str">
        <f>IF(ISERROR(FIND('112'!$M$9,G2920,1)),"",IF((AND(LEFT(G2920,2)=LEFT('112'!$M$9,2),B2920&lt;'112'!$K$9,$N2920='112'!$I$6)),"x",""))</f>
        <v/>
      </c>
      <c r="V2920" s="75" t="str">
        <f>IF(ISERROR(FIND('112'!$M$9,G2920,1)),"",IF((AND(RIGHT(G2920,2)=RIGHT('112'!$M$9,2),B2920&lt;'112'!$K$9,$O2920='112'!$I$6)),"x",""))</f>
        <v/>
      </c>
      <c r="W2920" s="75" t="str">
        <f>IF(AND('341-CT'!$H$9=H2920,OR(LEFT(N2920,3)=$W$7,LEFT(O2920,3)=$W$7)),"x","")</f>
        <v/>
      </c>
      <c r="X2920" s="75" t="str">
        <f>IF(OR(TH!N2920=TH!$X$7,O2920=TH!$X$7),"x","")</f>
        <v/>
      </c>
      <c r="Y2920" s="75" t="str">
        <f>IF(AND(OR(N2920="131",O2920="131"),H2920='131-CT'!$H$9),"x","")</f>
        <v/>
      </c>
      <c r="Z2920" s="75"/>
      <c r="AA2920" s="75" t="str">
        <f>IF(AND(MONTH(E2920)='IN-NX'!$J$5,'IN-NX'!$D$7=D2920),"x","")</f>
        <v/>
      </c>
      <c r="AB2920" s="75" t="str">
        <f>IF(AND(OR(LEFT(TH!N2920,2)="15",LEFT(TH!O2920,2)="15"),LEFT(TH!O2920,3)&lt;&gt;"111",'152-CT'!$J$8=TH!F2920),"x","")</f>
        <v/>
      </c>
      <c r="AC2920" s="75" t="str">
        <f>IF(AND(OR(LEFT(TH!N2920,2)="15",LEFT(TH!O2920,2)="15"),TK!$E$7=TH!F2920),"x","")</f>
        <v/>
      </c>
      <c r="AD2920" s="75" t="str">
        <f>IF(AND(N2920="1521",MONTH(C2920)='BK-NL'!$M$11),"x","")</f>
        <v/>
      </c>
    </row>
    <row r="2921" spans="1:30" s="1264" customFormat="1" ht="16.5" customHeight="1">
      <c r="A2921" s="309" t="str">
        <f>IF(B2921&lt;&gt;"",IF(AND(B2921='IN-TC'!$S$4,OR(TH!N2921="1111",TH!O2921="1111")),TH!D2921,""),"")</f>
        <v/>
      </c>
      <c r="B2921" s="1315">
        <f t="shared" si="1049"/>
        <v>6</v>
      </c>
      <c r="C2921" s="71">
        <v>42899</v>
      </c>
      <c r="D2921" s="71" t="s">
        <v>530</v>
      </c>
      <c r="E2921" s="71">
        <v>42899</v>
      </c>
      <c r="F2921" s="73" t="s">
        <v>1010</v>
      </c>
      <c r="G2921" s="72" t="s">
        <v>747</v>
      </c>
      <c r="H2921" s="735" t="s">
        <v>1007</v>
      </c>
      <c r="I2921" s="73"/>
      <c r="J2921" s="377"/>
      <c r="K2921" s="371"/>
      <c r="L2921" s="377"/>
      <c r="M2921" s="74">
        <v>1370000</v>
      </c>
      <c r="N2921" s="75" t="s">
        <v>250</v>
      </c>
      <c r="O2921" s="934" t="s">
        <v>43</v>
      </c>
      <c r="P2921" s="75" t="str">
        <f>IF(AND('331-CT'!$E$7=TH!H2921,OR(N2921="331",O2921="331")),"x","")</f>
        <v/>
      </c>
      <c r="Q2921" s="75" t="str">
        <f>IF(AND(B2921='111'!$L$11,OR($N2921=$Q$7,$O2921=$Q$7)),"x","")</f>
        <v/>
      </c>
      <c r="R2921" s="75" t="str">
        <f>IF(AND($N2921=$Q$7,$B2921&lt;'111'!$L$11),"x","")</f>
        <v/>
      </c>
      <c r="S2921" s="75" t="str">
        <f>IF(AND($O2921=$Q$7,$B2921&lt;'111'!$L$11),"x","")</f>
        <v/>
      </c>
      <c r="T2921" s="75" t="str">
        <f>IF(ISERROR(FIND('112'!$M$9,G2921,1)),"",IF((AND(FIND('112'!$M$9,G2921,1)&gt;=1,B2921='112'!$K$9,OR($N2921='112'!$I$6,$O2921='112'!$I$6))),"x",""))</f>
        <v/>
      </c>
      <c r="U2921" s="75" t="str">
        <f>IF(ISERROR(FIND('112'!$M$9,G2921,1)),"",IF((AND(LEFT(G2921,2)=LEFT('112'!$M$9,2),B2921&lt;'112'!$K$9,$N2921='112'!$I$6)),"x",""))</f>
        <v/>
      </c>
      <c r="V2921" s="75" t="str">
        <f>IF(ISERROR(FIND('112'!$M$9,G2921,1)),"",IF((AND(RIGHT(G2921,2)=RIGHT('112'!$M$9,2),B2921&lt;'112'!$K$9,$O2921='112'!$I$6)),"x",""))</f>
        <v/>
      </c>
      <c r="W2921" s="75" t="str">
        <f>IF(AND('341-CT'!$H$9=H2921,OR(LEFT(N2921,3)=$W$7,LEFT(O2921,3)=$W$7)),"x","")</f>
        <v/>
      </c>
      <c r="X2921" s="75" t="str">
        <f>IF(OR(TH!N2921=TH!$X$7,O2921=TH!$X$7),"x","")</f>
        <v/>
      </c>
      <c r="Y2921" s="75" t="str">
        <f>IF(AND(OR(N2921="131",O2921="131"),H2921='131-CT'!$H$9),"x","")</f>
        <v/>
      </c>
      <c r="Z2921" s="75"/>
      <c r="AA2921" s="75" t="str">
        <f>IF(AND(MONTH(E2921)='IN-NX'!$J$5,'IN-NX'!$D$7=D2921),"x","")</f>
        <v/>
      </c>
      <c r="AB2921" s="75" t="str">
        <f>IF(AND(OR(LEFT(TH!N2921,2)="15",LEFT(TH!O2921,2)="15"),LEFT(TH!O2921,3)&lt;&gt;"111",'152-CT'!$J$8=TH!F2921),"x","")</f>
        <v/>
      </c>
      <c r="AC2921" s="75" t="str">
        <f>IF(AND(OR(LEFT(TH!N2921,2)="15",LEFT(TH!O2921,2)="15"),TK!$E$7=TH!F2921),"x","")</f>
        <v/>
      </c>
      <c r="AD2921" s="75" t="str">
        <f>IF(AND(N2921="1521",MONTH(C2921)='BK-NL'!$M$11),"x","")</f>
        <v/>
      </c>
    </row>
    <row r="2922" spans="1:30" s="1264" customFormat="1" ht="16.5" customHeight="1">
      <c r="A2922" s="309" t="str">
        <f>IF(B2922&lt;&gt;"",IF(AND(B2922='IN-TC'!$S$4,OR(TH!N2922="1111",TH!O2922="1111")),TH!D2922,""),"")</f>
        <v/>
      </c>
      <c r="B2922" s="1315">
        <f t="shared" si="1049"/>
        <v>6</v>
      </c>
      <c r="C2922" s="1233">
        <v>42904</v>
      </c>
      <c r="D2922" s="71" t="s">
        <v>902</v>
      </c>
      <c r="E2922" s="71">
        <v>42904</v>
      </c>
      <c r="F2922" s="72" t="s">
        <v>1321</v>
      </c>
      <c r="G2922" s="72" t="s">
        <v>747</v>
      </c>
      <c r="H2922" s="296" t="s">
        <v>2453</v>
      </c>
      <c r="I2922" s="73"/>
      <c r="J2922" s="1237"/>
      <c r="K2922" s="371">
        <v>427.17</v>
      </c>
      <c r="L2922" s="377">
        <v>22675</v>
      </c>
      <c r="M2922" s="74">
        <f t="shared" ref="M2922:M2924" si="1051">ROUND(K2922*L2922,0)</f>
        <v>9686080</v>
      </c>
      <c r="N2922" s="75" t="s">
        <v>250</v>
      </c>
      <c r="O2922" s="934" t="s">
        <v>256</v>
      </c>
      <c r="P2922" s="75" t="str">
        <f>IF(AND('331-CT'!$E$7=TH!H2922,OR(N2922="331",O2922="331")),"x","")</f>
        <v/>
      </c>
      <c r="Q2922" s="75" t="str">
        <f>IF(AND(B2922='111'!$L$11,OR($N2922=$Q$7,$O2922=$Q$7)),"x","")</f>
        <v/>
      </c>
      <c r="R2922" s="75" t="str">
        <f>IF(AND($N2922=$Q$7,$B2922&lt;'111'!$L$11),"x","")</f>
        <v/>
      </c>
      <c r="S2922" s="75" t="str">
        <f>IF(AND($O2922=$Q$7,$B2922&lt;'111'!$L$11),"x","")</f>
        <v/>
      </c>
      <c r="T2922" s="75" t="str">
        <f>IF(ISERROR(FIND('112'!$M$9,G2922,1)),"",IF((AND(FIND('112'!$M$9,G2922,1)&gt;=1,B2922='112'!$K$9,OR($N2922='112'!$I$6,$O2922='112'!$I$6))),"x",""))</f>
        <v/>
      </c>
      <c r="U2922" s="75" t="str">
        <f>IF(ISERROR(FIND('112'!$M$9,G2922,1)),"",IF((AND(LEFT(G2922,2)=LEFT('112'!$M$9,2),B2922&lt;'112'!$K$9,$N2922='112'!$I$6)),"x",""))</f>
        <v/>
      </c>
      <c r="V2922" s="75" t="str">
        <f>IF(ISERROR(FIND('112'!$M$9,G2922,1)),"",IF((AND(RIGHT(G2922,2)=RIGHT('112'!$M$9,2),B2922&lt;'112'!$K$9,$O2922='112'!$I$6)),"x",""))</f>
        <v/>
      </c>
      <c r="W2922" s="75" t="str">
        <f>IF(AND('341-CT'!$H$9=H2922,OR(LEFT(N2922,3)=$W$7,LEFT(O2922,3)=$W$7)),"x","")</f>
        <v/>
      </c>
      <c r="X2922" s="75" t="str">
        <f>IF(OR(TH!N2922=TH!$X$7,O2922=TH!$X$7),"x","")</f>
        <v/>
      </c>
      <c r="Y2922" s="75" t="str">
        <f>IF(AND(OR(N2922="131",O2922="131"),H2922='131-CT'!$H$9),"x","")</f>
        <v/>
      </c>
      <c r="Z2922" s="75"/>
      <c r="AA2922" s="75" t="str">
        <f>IF(AND(MONTH(E2922)='IN-NX'!$J$5,'IN-NX'!$D$7=D2922),"x","")</f>
        <v/>
      </c>
      <c r="AB2922" s="75" t="str">
        <f>IF(AND(OR(LEFT(TH!N2922,2)="15",LEFT(TH!O2922,2)="15"),LEFT(TH!O2922,3)&lt;&gt;"111",'152-CT'!$J$8=TH!F2922),"x","")</f>
        <v/>
      </c>
      <c r="AC2922" s="75" t="str">
        <f>IF(AND(OR(LEFT(TH!N2922,2)="15",LEFT(TH!O2922,2)="15"),TK!$E$7=TH!F2922),"x","")</f>
        <v/>
      </c>
      <c r="AD2922" s="75" t="str">
        <f>IF(AND(N2922="1521",MONTH(C2922)='BK-NL'!$M$11),"x","")</f>
        <v/>
      </c>
    </row>
    <row r="2923" spans="1:30" s="1264" customFormat="1" ht="16.5" customHeight="1">
      <c r="A2923" s="309" t="str">
        <f>IF(B2923&lt;&gt;"",IF(AND(B2923='IN-TC'!$S$4,OR(TH!N2923="1111",TH!O2923="1111")),TH!D2923,""),"")</f>
        <v/>
      </c>
      <c r="B2923" s="1315">
        <f t="shared" si="1049"/>
        <v>6</v>
      </c>
      <c r="C2923" s="1233">
        <v>42906</v>
      </c>
      <c r="D2923" s="71" t="s">
        <v>902</v>
      </c>
      <c r="E2923" s="71">
        <v>42904</v>
      </c>
      <c r="F2923" s="72" t="s">
        <v>1321</v>
      </c>
      <c r="G2923" s="72" t="s">
        <v>747</v>
      </c>
      <c r="H2923" s="296" t="s">
        <v>2453</v>
      </c>
      <c r="I2923" s="73"/>
      <c r="J2923" s="1237"/>
      <c r="K2923" s="371">
        <v>9568.5</v>
      </c>
      <c r="L2923" s="377">
        <v>22675</v>
      </c>
      <c r="M2923" s="74">
        <f t="shared" si="1051"/>
        <v>216965738</v>
      </c>
      <c r="N2923" s="75" t="s">
        <v>250</v>
      </c>
      <c r="O2923" s="934" t="s">
        <v>256</v>
      </c>
      <c r="P2923" s="75" t="str">
        <f>IF(AND('331-CT'!$E$7=TH!H2923,OR(N2923="331",O2923="331")),"x","")</f>
        <v/>
      </c>
      <c r="Q2923" s="75" t="str">
        <f>IF(AND(B2923='111'!$L$11,OR($N2923=$Q$7,$O2923=$Q$7)),"x","")</f>
        <v/>
      </c>
      <c r="R2923" s="75" t="str">
        <f>IF(AND($N2923=$Q$7,$B2923&lt;'111'!$L$11),"x","")</f>
        <v/>
      </c>
      <c r="S2923" s="75" t="str">
        <f>IF(AND($O2923=$Q$7,$B2923&lt;'111'!$L$11),"x","")</f>
        <v/>
      </c>
      <c r="T2923" s="75" t="str">
        <f>IF(ISERROR(FIND('112'!$M$9,G2923,1)),"",IF((AND(FIND('112'!$M$9,G2923,1)&gt;=1,B2923='112'!$K$9,OR($N2923='112'!$I$6,$O2923='112'!$I$6))),"x",""))</f>
        <v/>
      </c>
      <c r="U2923" s="75" t="str">
        <f>IF(ISERROR(FIND('112'!$M$9,G2923,1)),"",IF((AND(LEFT(G2923,2)=LEFT('112'!$M$9,2),B2923&lt;'112'!$K$9,$N2923='112'!$I$6)),"x",""))</f>
        <v/>
      </c>
      <c r="V2923" s="75" t="str">
        <f>IF(ISERROR(FIND('112'!$M$9,G2923,1)),"",IF((AND(RIGHT(G2923,2)=RIGHT('112'!$M$9,2),B2923&lt;'112'!$K$9,$O2923='112'!$I$6)),"x",""))</f>
        <v/>
      </c>
      <c r="W2923" s="75" t="str">
        <f>IF(AND('341-CT'!$H$9=H2923,OR(LEFT(N2923,3)=$W$7,LEFT(O2923,3)=$W$7)),"x","")</f>
        <v/>
      </c>
      <c r="X2923" s="75" t="str">
        <f>IF(OR(TH!N2923=TH!$X$7,O2923=TH!$X$7),"x","")</f>
        <v/>
      </c>
      <c r="Y2923" s="75" t="str">
        <f>IF(AND(OR(N2923="131",O2923="131"),H2923='131-CT'!$H$9),"x","")</f>
        <v/>
      </c>
      <c r="Z2923" s="75"/>
      <c r="AA2923" s="75" t="str">
        <f>IF(AND(MONTH(E2923)='IN-NX'!$J$5,'IN-NX'!$D$7=D2923),"x","")</f>
        <v/>
      </c>
      <c r="AB2923" s="75" t="str">
        <f>IF(AND(OR(LEFT(TH!N2923,2)="15",LEFT(TH!O2923,2)="15"),LEFT(TH!O2923,3)&lt;&gt;"111",'152-CT'!$J$8=TH!F2923),"x","")</f>
        <v/>
      </c>
      <c r="AC2923" s="75" t="str">
        <f>IF(AND(OR(LEFT(TH!N2923,2)="15",LEFT(TH!O2923,2)="15"),TK!$E$7=TH!F2923),"x","")</f>
        <v/>
      </c>
      <c r="AD2923" s="75" t="str">
        <f>IF(AND(N2923="1521",MONTH(C2923)='BK-NL'!$M$11),"x","")</f>
        <v/>
      </c>
    </row>
    <row r="2924" spans="1:30" s="1264" customFormat="1" ht="16.5" customHeight="1">
      <c r="A2924" s="309" t="str">
        <f>IF(B2924&lt;&gt;"",IF(AND(B2924='IN-TC'!$S$4,OR(TH!N2924="1111",TH!O2924="1111")),TH!D2924,""),"")</f>
        <v/>
      </c>
      <c r="B2924" s="1315">
        <f t="shared" si="1049"/>
        <v>6</v>
      </c>
      <c r="C2924" s="1233">
        <v>42906</v>
      </c>
      <c r="D2924" s="71" t="s">
        <v>903</v>
      </c>
      <c r="E2924" s="71">
        <v>42906</v>
      </c>
      <c r="F2924" s="73" t="s">
        <v>1086</v>
      </c>
      <c r="G2924" s="72" t="s">
        <v>747</v>
      </c>
      <c r="H2924" s="735" t="s">
        <v>1139</v>
      </c>
      <c r="I2924" s="73"/>
      <c r="J2924" s="377"/>
      <c r="K2924" s="371">
        <v>9568.5</v>
      </c>
      <c r="L2924" s="377">
        <v>22700</v>
      </c>
      <c r="M2924" s="1214">
        <f t="shared" si="1051"/>
        <v>217204950</v>
      </c>
      <c r="N2924" s="75" t="s">
        <v>256</v>
      </c>
      <c r="O2924" s="75" t="s">
        <v>536</v>
      </c>
      <c r="P2924" s="75" t="str">
        <f>IF(AND('331-CT'!$E$7=TH!H2924,OR(N2924="331",O2924="331")),"x","")</f>
        <v/>
      </c>
      <c r="Q2924" s="75" t="str">
        <f>IF(AND(B2924='111'!$L$11,OR($N2924=$Q$7,$O2924=$Q$7)),"x","")</f>
        <v/>
      </c>
      <c r="R2924" s="75" t="str">
        <f>IF(AND($N2924=$Q$7,$B2924&lt;'111'!$L$11),"x","")</f>
        <v/>
      </c>
      <c r="S2924" s="75" t="str">
        <f>IF(AND($O2924=$Q$7,$B2924&lt;'111'!$L$11),"x","")</f>
        <v/>
      </c>
      <c r="T2924" s="75" t="str">
        <f>IF(ISERROR(FIND('112'!$M$9,G2924,1)),"",IF((AND(FIND('112'!$M$9,G2924,1)&gt;=1,B2924='112'!$K$9,OR($N2924='112'!$I$6,$O2924='112'!$I$6))),"x",""))</f>
        <v/>
      </c>
      <c r="U2924" s="75" t="str">
        <f>IF(ISERROR(FIND('112'!$M$9,G2924,1)),"",IF((AND(LEFT(G2924,2)=LEFT('112'!$M$9,2),B2924&lt;'112'!$K$9,$N2924='112'!$I$6)),"x",""))</f>
        <v/>
      </c>
      <c r="V2924" s="75" t="str">
        <f>IF(ISERROR(FIND('112'!$M$9,G2924,1)),"",IF((AND(RIGHT(G2924,2)=RIGHT('112'!$M$9,2),B2924&lt;'112'!$K$9,$O2924='112'!$I$6)),"x",""))</f>
        <v/>
      </c>
      <c r="W2924" s="75" t="str">
        <f>IF(AND('341-CT'!$H$9=H2924,OR(LEFT(N2924,3)=$W$7,LEFT(O2924,3)=$W$7)),"x","")</f>
        <v/>
      </c>
      <c r="X2924" s="75" t="str">
        <f>IF(OR(TH!N2924=TH!$X$7,O2924=TH!$X$7),"x","")</f>
        <v/>
      </c>
      <c r="Y2924" s="75" t="str">
        <f>IF(AND(OR(N2924="131",O2924="131"),H2924='131-CT'!$H$9),"x","")</f>
        <v/>
      </c>
      <c r="Z2924" s="75"/>
      <c r="AA2924" s="75" t="str">
        <f>IF(AND(MONTH(E2924)='IN-NX'!$J$5,'IN-NX'!$D$7=D2924),"x","")</f>
        <v/>
      </c>
      <c r="AB2924" s="75" t="str">
        <f>IF(AND(OR(LEFT(TH!N2924,2)="15",LEFT(TH!O2924,2)="15"),LEFT(TH!O2924,3)&lt;&gt;"111",'152-CT'!$J$8=TH!F2924),"x","")</f>
        <v/>
      </c>
      <c r="AC2924" s="75" t="str">
        <f>IF(AND(OR(LEFT(TH!N2924,2)="15",LEFT(TH!O2924,2)="15"),TK!$E$7=TH!F2924),"x","")</f>
        <v/>
      </c>
      <c r="AD2924" s="75" t="str">
        <f>IF(AND(N2924="1521",MONTH(C2924)='BK-NL'!$M$11),"x","")</f>
        <v/>
      </c>
    </row>
    <row r="2925" spans="1:30" s="1264" customFormat="1" ht="16.5" customHeight="1">
      <c r="A2925" s="309" t="str">
        <f>IF(B2925&lt;&gt;"",IF(AND(B2925='IN-TC'!$S$4,OR(TH!N2925="1111",TH!O2925="1111")),TH!D2925,""),"")</f>
        <v/>
      </c>
      <c r="B2925" s="1315">
        <f t="shared" si="1049"/>
        <v>6</v>
      </c>
      <c r="C2925" s="1233">
        <v>42906</v>
      </c>
      <c r="D2925" s="71" t="s">
        <v>902</v>
      </c>
      <c r="E2925" s="71">
        <v>42906</v>
      </c>
      <c r="F2925" s="73" t="s">
        <v>1027</v>
      </c>
      <c r="G2925" s="72" t="s">
        <v>747</v>
      </c>
      <c r="H2925" s="735" t="s">
        <v>1139</v>
      </c>
      <c r="I2925" s="73"/>
      <c r="J2925" s="377"/>
      <c r="K2925" s="371">
        <v>31.5</v>
      </c>
      <c r="L2925" s="377">
        <v>22700</v>
      </c>
      <c r="M2925" s="933">
        <f t="shared" ref="M2925:M2986" si="1052">ROUND(L2925*K2925,0)</f>
        <v>715050</v>
      </c>
      <c r="N2925" s="75" t="s">
        <v>101</v>
      </c>
      <c r="O2925" s="75" t="s">
        <v>536</v>
      </c>
      <c r="P2925" s="75" t="str">
        <f>IF(AND('331-CT'!$E$7=TH!H2925,OR(N2925="331",O2925="331")),"x","")</f>
        <v/>
      </c>
      <c r="Q2925" s="75" t="str">
        <f>IF(AND(B2925='111'!$L$11,OR($N2925=$Q$7,$O2925=$Q$7)),"x","")</f>
        <v/>
      </c>
      <c r="R2925" s="75" t="str">
        <f>IF(AND($N2925=$Q$7,$B2925&lt;'111'!$L$11),"x","")</f>
        <v/>
      </c>
      <c r="S2925" s="75" t="str">
        <f>IF(AND($O2925=$Q$7,$B2925&lt;'111'!$L$11),"x","")</f>
        <v/>
      </c>
      <c r="T2925" s="75" t="str">
        <f>IF(ISERROR(FIND('112'!$M$9,G2925,1)),"",IF((AND(FIND('112'!$M$9,G2925,1)&gt;=1,B2925='112'!$K$9,OR($N2925='112'!$I$6,$O2925='112'!$I$6))),"x",""))</f>
        <v/>
      </c>
      <c r="U2925" s="75" t="str">
        <f>IF(ISERROR(FIND('112'!$M$9,G2925,1)),"",IF((AND(LEFT(G2925,2)=LEFT('112'!$M$9,2),B2925&lt;'112'!$K$9,$N2925='112'!$I$6)),"x",""))</f>
        <v/>
      </c>
      <c r="V2925" s="75" t="str">
        <f>IF(ISERROR(FIND('112'!$M$9,G2925,1)),"",IF((AND(RIGHT(G2925,2)=RIGHT('112'!$M$9,2),B2925&lt;'112'!$K$9,$O2925='112'!$I$6)),"x",""))</f>
        <v/>
      </c>
      <c r="W2925" s="75" t="str">
        <f>IF(AND('341-CT'!$H$9=H2925,OR(LEFT(N2925,3)=$W$7,LEFT(O2925,3)=$W$7)),"x","")</f>
        <v/>
      </c>
      <c r="X2925" s="75" t="str">
        <f>IF(OR(TH!N2925=TH!$X$7,O2925=TH!$X$7),"x","")</f>
        <v/>
      </c>
      <c r="Y2925" s="75" t="str">
        <f>IF(AND(OR(N2925="131",O2925="131"),H2925='131-CT'!$H$9),"x","")</f>
        <v/>
      </c>
      <c r="Z2925" s="75"/>
      <c r="AA2925" s="75" t="str">
        <f>IF(AND(MONTH(E2925)='IN-NX'!$J$5,'IN-NX'!$D$7=D2925),"x","")</f>
        <v/>
      </c>
      <c r="AB2925" s="75" t="str">
        <f>IF(AND(OR(LEFT(TH!N2925,2)="15",LEFT(TH!O2925,2)="15"),LEFT(TH!O2925,3)&lt;&gt;"111",'152-CT'!$J$8=TH!F2925),"x","")</f>
        <v/>
      </c>
      <c r="AC2925" s="75" t="str">
        <f>IF(AND(OR(LEFT(TH!N2925,2)="15",LEFT(TH!O2925,2)="15"),TK!$E$7=TH!F2925),"x","")</f>
        <v/>
      </c>
      <c r="AD2925" s="75" t="str">
        <f>IF(AND(N2925="1521",MONTH(C2925)='BK-NL'!$M$11),"x","")</f>
        <v/>
      </c>
    </row>
    <row r="2926" spans="1:30" s="1264" customFormat="1" ht="16.5" customHeight="1">
      <c r="A2926" s="309" t="str">
        <f>IF(B2926&lt;&gt;"",IF(AND(B2926='IN-TC'!$S$4,OR(TH!N2926="1111",TH!O2926="1111")),TH!D2926,""),"")</f>
        <v/>
      </c>
      <c r="B2926" s="1315">
        <f t="shared" si="1049"/>
        <v>6</v>
      </c>
      <c r="C2926" s="1233">
        <v>42907</v>
      </c>
      <c r="D2926" s="71" t="s">
        <v>902</v>
      </c>
      <c r="E2926" s="71">
        <f t="shared" ref="E2926:E2994" si="1053">C2926</f>
        <v>42907</v>
      </c>
      <c r="F2926" s="73" t="s">
        <v>907</v>
      </c>
      <c r="G2926" s="72" t="s">
        <v>747</v>
      </c>
      <c r="H2926" s="73" t="s">
        <v>835</v>
      </c>
      <c r="I2926" s="73"/>
      <c r="J2926" s="377"/>
      <c r="K2926" s="371">
        <v>328200</v>
      </c>
      <c r="L2926" s="377">
        <v>22715</v>
      </c>
      <c r="M2926" s="933">
        <f t="shared" si="1052"/>
        <v>7455063000</v>
      </c>
      <c r="N2926" s="75" t="s">
        <v>26</v>
      </c>
      <c r="O2926" s="934" t="s">
        <v>256</v>
      </c>
      <c r="P2926" s="75" t="str">
        <f>IF(AND('331-CT'!$E$7=TH!H2926,OR(N2926="331",O2926="331")),"x","")</f>
        <v/>
      </c>
      <c r="Q2926" s="75" t="str">
        <f>IF(AND(B2926='111'!$L$11,OR($N2926=$Q$7,$O2926=$Q$7)),"x","")</f>
        <v/>
      </c>
      <c r="R2926" s="75" t="str">
        <f>IF(AND($N2926=$Q$7,$B2926&lt;'111'!$L$11),"x","")</f>
        <v/>
      </c>
      <c r="S2926" s="75" t="str">
        <f>IF(AND($O2926=$Q$7,$B2926&lt;'111'!$L$11),"x","")</f>
        <v/>
      </c>
      <c r="T2926" s="75" t="str">
        <f>IF(ISERROR(FIND('112'!$M$9,G2926,1)),"",IF((AND(FIND('112'!$M$9,G2926,1)&gt;=1,B2926='112'!$K$9,OR($N2926='112'!$I$6,$O2926='112'!$I$6))),"x",""))</f>
        <v/>
      </c>
      <c r="U2926" s="75" t="str">
        <f>IF(ISERROR(FIND('112'!$M$9,G2926,1)),"",IF((AND(LEFT(G2926,2)=LEFT('112'!$M$9,2),B2926&lt;'112'!$K$9,$N2926='112'!$I$6)),"x",""))</f>
        <v/>
      </c>
      <c r="V2926" s="75" t="str">
        <f>IF(ISERROR(FIND('112'!$M$9,G2926,1)),"",IF((AND(RIGHT(G2926,2)=RIGHT('112'!$M$9,2),B2926&lt;'112'!$K$9,$O2926='112'!$I$6)),"x",""))</f>
        <v/>
      </c>
      <c r="W2926" s="75" t="str">
        <f>IF(AND('341-CT'!$H$9=H2926,OR(LEFT(N2926,3)=$W$7,LEFT(O2926,3)=$W$7)),"x","")</f>
        <v/>
      </c>
      <c r="X2926" s="75" t="str">
        <f>IF(OR(TH!N2926=TH!$X$7,O2926=TH!$X$7),"x","")</f>
        <v/>
      </c>
      <c r="Y2926" s="75" t="str">
        <f>IF(AND(OR(N2926="131",O2926="131"),H2926='131-CT'!$H$9),"x","")</f>
        <v/>
      </c>
      <c r="Z2926" s="75"/>
      <c r="AA2926" s="75" t="str">
        <f>IF(AND(MONTH(E2926)='IN-NX'!$J$5,'IN-NX'!$D$7=D2926),"x","")</f>
        <v/>
      </c>
      <c r="AB2926" s="75" t="str">
        <f>IF(AND(OR(LEFT(TH!N2926,2)="15",LEFT(TH!O2926,2)="15"),LEFT(TH!O2926,3)&lt;&gt;"111",'152-CT'!$J$8=TH!F2926),"x","")</f>
        <v/>
      </c>
      <c r="AC2926" s="75" t="str">
        <f>IF(AND(OR(LEFT(TH!N2926,2)="15",LEFT(TH!O2926,2)="15"),TK!$E$7=TH!F2926),"x","")</f>
        <v/>
      </c>
      <c r="AD2926" s="75" t="str">
        <f>IF(AND(N2926="1521",MONTH(C2926)='BK-NL'!$M$11),"x","")</f>
        <v/>
      </c>
    </row>
    <row r="2927" spans="1:30" s="1264" customFormat="1" ht="16.5" customHeight="1">
      <c r="A2927" s="309" t="str">
        <f>IF(B2927&lt;&gt;"",IF(AND(B2927='IN-TC'!$S$4,OR(TH!N2927="1111",TH!O2927="1111")),TH!D2927,""),"")</f>
        <v/>
      </c>
      <c r="B2927" s="1315">
        <f t="shared" si="1049"/>
        <v>6</v>
      </c>
      <c r="C2927" s="1233">
        <v>42907</v>
      </c>
      <c r="D2927" s="71" t="s">
        <v>903</v>
      </c>
      <c r="E2927" s="71">
        <f t="shared" si="1053"/>
        <v>42907</v>
      </c>
      <c r="F2927" s="1082" t="s">
        <v>1086</v>
      </c>
      <c r="G2927" s="72" t="s">
        <v>747</v>
      </c>
      <c r="H2927" s="296" t="s">
        <v>759</v>
      </c>
      <c r="I2927" s="73"/>
      <c r="J2927" s="1237"/>
      <c r="K2927" s="371">
        <v>444923.4</v>
      </c>
      <c r="L2927" s="377">
        <v>22700</v>
      </c>
      <c r="M2927" s="1214">
        <f t="shared" ref="M2927" si="1054">ROUND(K2927*L2927,0)</f>
        <v>10099761180</v>
      </c>
      <c r="N2927" s="75" t="s">
        <v>256</v>
      </c>
      <c r="O2927" s="75" t="s">
        <v>536</v>
      </c>
      <c r="P2927" s="75" t="str">
        <f>IF(AND('331-CT'!$E$7=TH!H2927,OR(N2927="331",O2927="331")),"x","")</f>
        <v/>
      </c>
      <c r="Q2927" s="75" t="str">
        <f>IF(AND(B2927='111'!$L$11,OR($N2927=$Q$7,$O2927=$Q$7)),"x","")</f>
        <v/>
      </c>
      <c r="R2927" s="75" t="str">
        <f>IF(AND($N2927=$Q$7,$B2927&lt;'111'!$L$11),"x","")</f>
        <v/>
      </c>
      <c r="S2927" s="75" t="str">
        <f>IF(AND($O2927=$Q$7,$B2927&lt;'111'!$L$11),"x","")</f>
        <v/>
      </c>
      <c r="T2927" s="75" t="str">
        <f>IF(ISERROR(FIND('112'!$M$9,G2927,1)),"",IF((AND(FIND('112'!$M$9,G2927,1)&gt;=1,B2927='112'!$K$9,OR($N2927='112'!$I$6,$O2927='112'!$I$6))),"x",""))</f>
        <v/>
      </c>
      <c r="U2927" s="75" t="str">
        <f>IF(ISERROR(FIND('112'!$M$9,G2927,1)),"",IF((AND(LEFT(G2927,2)=LEFT('112'!$M$9,2),B2927&lt;'112'!$K$9,$N2927='112'!$I$6)),"x",""))</f>
        <v/>
      </c>
      <c r="V2927" s="75" t="str">
        <f>IF(ISERROR(FIND('112'!$M$9,G2927,1)),"",IF((AND(RIGHT(G2927,2)=RIGHT('112'!$M$9,2),B2927&lt;'112'!$K$9,$O2927='112'!$I$6)),"x",""))</f>
        <v/>
      </c>
      <c r="W2927" s="75" t="str">
        <f>IF(AND('341-CT'!$H$9=H2927,OR(LEFT(N2927,3)=$W$7,LEFT(O2927,3)=$W$7)),"x","")</f>
        <v/>
      </c>
      <c r="X2927" s="75" t="str">
        <f>IF(OR(TH!N2927=TH!$X$7,O2927=TH!$X$7),"x","")</f>
        <v/>
      </c>
      <c r="Y2927" s="75" t="str">
        <f>IF(AND(OR(N2927="131",O2927="131"),H2927='131-CT'!$H$9),"x","")</f>
        <v/>
      </c>
      <c r="Z2927" s="75"/>
      <c r="AA2927" s="75" t="str">
        <f>IF(AND(MONTH(E2927)='IN-NX'!$J$5,'IN-NX'!$D$7=D2927),"x","")</f>
        <v/>
      </c>
      <c r="AB2927" s="75" t="str">
        <f>IF(AND(OR(LEFT(TH!N2927,2)="15",LEFT(TH!O2927,2)="15"),LEFT(TH!O2927,3)&lt;&gt;"111",'152-CT'!$J$8=TH!F2927),"x","")</f>
        <v/>
      </c>
      <c r="AC2927" s="75" t="str">
        <f>IF(AND(OR(LEFT(TH!N2927,2)="15",LEFT(TH!O2927,2)="15"),TK!$E$7=TH!F2927),"x","")</f>
        <v/>
      </c>
      <c r="AD2927" s="75" t="str">
        <f>IF(AND(N2927="1521",MONTH(C2927)='BK-NL'!$M$11),"x","")</f>
        <v/>
      </c>
    </row>
    <row r="2928" spans="1:30" s="1264" customFormat="1" ht="16.5" customHeight="1">
      <c r="A2928" s="309" t="str">
        <f>IF(B2928&lt;&gt;"",IF(AND(B2928='IN-TC'!$S$4,OR(TH!N2928="1111",TH!O2928="1111")),TH!D2928,""),"")</f>
        <v/>
      </c>
      <c r="B2928" s="1315">
        <f t="shared" si="1049"/>
        <v>6</v>
      </c>
      <c r="C2928" s="1233">
        <v>42907</v>
      </c>
      <c r="D2928" s="71" t="s">
        <v>530</v>
      </c>
      <c r="E2928" s="71">
        <f t="shared" si="1053"/>
        <v>42907</v>
      </c>
      <c r="F2928" s="1082" t="s">
        <v>1027</v>
      </c>
      <c r="G2928" s="72" t="s">
        <v>747</v>
      </c>
      <c r="H2928" s="296" t="s">
        <v>759</v>
      </c>
      <c r="I2928" s="73"/>
      <c r="J2928" s="1237"/>
      <c r="K2928" s="371">
        <v>12</v>
      </c>
      <c r="L2928" s="377">
        <v>22700</v>
      </c>
      <c r="M2928" s="933">
        <f t="shared" si="1052"/>
        <v>272400</v>
      </c>
      <c r="N2928" s="75" t="s">
        <v>101</v>
      </c>
      <c r="O2928" s="75" t="s">
        <v>536</v>
      </c>
      <c r="P2928" s="75" t="str">
        <f>IF(AND('331-CT'!$E$7=TH!H2928,OR(N2928="331",O2928="331")),"x","")</f>
        <v/>
      </c>
      <c r="Q2928" s="75" t="str">
        <f>IF(AND(B2928='111'!$L$11,OR($N2928=$Q$7,$O2928=$Q$7)),"x","")</f>
        <v/>
      </c>
      <c r="R2928" s="75" t="str">
        <f>IF(AND($N2928=$Q$7,$B2928&lt;'111'!$L$11),"x","")</f>
        <v/>
      </c>
      <c r="S2928" s="75" t="str">
        <f>IF(AND($O2928=$Q$7,$B2928&lt;'111'!$L$11),"x","")</f>
        <v/>
      </c>
      <c r="T2928" s="75" t="str">
        <f>IF(ISERROR(FIND('112'!$M$9,G2928,1)),"",IF((AND(FIND('112'!$M$9,G2928,1)&gt;=1,B2928='112'!$K$9,OR($N2928='112'!$I$6,$O2928='112'!$I$6))),"x",""))</f>
        <v/>
      </c>
      <c r="U2928" s="75" t="str">
        <f>IF(ISERROR(FIND('112'!$M$9,G2928,1)),"",IF((AND(LEFT(G2928,2)=LEFT('112'!$M$9,2),B2928&lt;'112'!$K$9,$N2928='112'!$I$6)),"x",""))</f>
        <v/>
      </c>
      <c r="V2928" s="75" t="str">
        <f>IF(ISERROR(FIND('112'!$M$9,G2928,1)),"",IF((AND(RIGHT(G2928,2)=RIGHT('112'!$M$9,2),B2928&lt;'112'!$K$9,$O2928='112'!$I$6)),"x",""))</f>
        <v/>
      </c>
      <c r="W2928" s="75" t="str">
        <f>IF(AND('341-CT'!$H$9=H2928,OR(LEFT(N2928,3)=$W$7,LEFT(O2928,3)=$W$7)),"x","")</f>
        <v/>
      </c>
      <c r="X2928" s="75" t="str">
        <f>IF(OR(TH!N2928=TH!$X$7,O2928=TH!$X$7),"x","")</f>
        <v/>
      </c>
      <c r="Y2928" s="75" t="str">
        <f>IF(AND(OR(N2928="131",O2928="131"),H2928='131-CT'!$H$9),"x","")</f>
        <v/>
      </c>
      <c r="Z2928" s="75"/>
      <c r="AA2928" s="75" t="str">
        <f>IF(AND(MONTH(E2928)='IN-NX'!$J$5,'IN-NX'!$D$7=D2928),"x","")</f>
        <v/>
      </c>
      <c r="AB2928" s="75" t="str">
        <f>IF(AND(OR(LEFT(TH!N2928,2)="15",LEFT(TH!O2928,2)="15"),LEFT(TH!O2928,3)&lt;&gt;"111",'152-CT'!$J$8=TH!F2928),"x","")</f>
        <v/>
      </c>
      <c r="AC2928" s="75" t="str">
        <f>IF(AND(OR(LEFT(TH!N2928,2)="15",LEFT(TH!O2928,2)="15"),TK!$E$7=TH!F2928),"x","")</f>
        <v/>
      </c>
      <c r="AD2928" s="75" t="str">
        <f>IF(AND(N2928="1521",MONTH(C2928)='BK-NL'!$M$11),"x","")</f>
        <v/>
      </c>
    </row>
    <row r="2929" spans="1:30" s="1264" customFormat="1" ht="16.5" customHeight="1">
      <c r="A2929" s="309" t="str">
        <f>IF(B2929&lt;&gt;"",IF(AND(B2929='IN-TC'!$S$4,OR(TH!N2929="1111",TH!O2929="1111")),TH!D2929,""),"")</f>
        <v/>
      </c>
      <c r="B2929" s="1315">
        <f t="shared" ref="B2929" si="1055">IF(C2929&lt;&gt;"",MONTH(C2929),"")</f>
        <v>6</v>
      </c>
      <c r="C2929" s="1233">
        <v>42907</v>
      </c>
      <c r="D2929" s="71" t="s">
        <v>530</v>
      </c>
      <c r="E2929" s="71">
        <f t="shared" ref="E2929" si="1056">C2929</f>
        <v>42907</v>
      </c>
      <c r="F2929" s="1082" t="s">
        <v>1010</v>
      </c>
      <c r="G2929" s="72" t="s">
        <v>747</v>
      </c>
      <c r="H2929" s="296" t="s">
        <v>759</v>
      </c>
      <c r="I2929" s="73"/>
      <c r="J2929" s="1237"/>
      <c r="K2929" s="371"/>
      <c r="L2929" s="377"/>
      <c r="M2929" s="933">
        <v>8898708</v>
      </c>
      <c r="N2929" s="75" t="s">
        <v>99</v>
      </c>
      <c r="O2929" s="75" t="s">
        <v>536</v>
      </c>
      <c r="P2929" s="75" t="str">
        <f>IF(AND('331-CT'!$E$7=TH!H2929,OR(N2929="331",O2929="331")),"x","")</f>
        <v/>
      </c>
      <c r="Q2929" s="75" t="str">
        <f>IF(AND(B2929='111'!$L$11,OR($N2929=$Q$7,$O2929=$Q$7)),"x","")</f>
        <v/>
      </c>
      <c r="R2929" s="75" t="str">
        <f>IF(AND($N2929=$Q$7,$B2929&lt;'111'!$L$11),"x","")</f>
        <v/>
      </c>
      <c r="S2929" s="75" t="str">
        <f>IF(AND($O2929=$Q$7,$B2929&lt;'111'!$L$11),"x","")</f>
        <v/>
      </c>
      <c r="T2929" s="75" t="str">
        <f>IF(ISERROR(FIND('112'!$M$9,G2929,1)),"",IF((AND(FIND('112'!$M$9,G2929,1)&gt;=1,B2929='112'!$K$9,OR($N2929='112'!$I$6,$O2929='112'!$I$6))),"x",""))</f>
        <v/>
      </c>
      <c r="U2929" s="75" t="str">
        <f>IF(ISERROR(FIND('112'!$M$9,G2929,1)),"",IF((AND(LEFT(G2929,2)=LEFT('112'!$M$9,2),B2929&lt;'112'!$K$9,$N2929='112'!$I$6)),"x",""))</f>
        <v/>
      </c>
      <c r="V2929" s="75" t="str">
        <f>IF(ISERROR(FIND('112'!$M$9,G2929,1)),"",IF((AND(RIGHT(G2929,2)=RIGHT('112'!$M$9,2),B2929&lt;'112'!$K$9,$O2929='112'!$I$6)),"x",""))</f>
        <v/>
      </c>
      <c r="W2929" s="75" t="str">
        <f>IF(AND('341-CT'!$H$9=H2929,OR(LEFT(N2929,3)=$W$7,LEFT(O2929,3)=$W$7)),"x","")</f>
        <v/>
      </c>
      <c r="X2929" s="75" t="str">
        <f>IF(OR(TH!N2929=TH!$X$7,O2929=TH!$X$7),"x","")</f>
        <v/>
      </c>
      <c r="Y2929" s="75" t="str">
        <f>IF(AND(OR(N2929="131",O2929="131"),H2929='131-CT'!$H$9),"x","")</f>
        <v/>
      </c>
      <c r="Z2929" s="75"/>
      <c r="AA2929" s="75" t="str">
        <f>IF(AND(MONTH(E2929)='IN-NX'!$J$5,'IN-NX'!$D$7=D2929),"x","")</f>
        <v/>
      </c>
      <c r="AB2929" s="75" t="str">
        <f>IF(AND(OR(LEFT(TH!N2929,2)="15",LEFT(TH!O2929,2)="15"),LEFT(TH!O2929,3)&lt;&gt;"111",'152-CT'!$J$8=TH!F2929),"x","")</f>
        <v/>
      </c>
      <c r="AC2929" s="75" t="str">
        <f>IF(AND(OR(LEFT(TH!N2929,2)="15",LEFT(TH!O2929,2)="15"),TK!$E$7=TH!F2929),"x","")</f>
        <v/>
      </c>
      <c r="AD2929" s="75" t="str">
        <f>IF(AND(N2929="1521",MONTH(C2929)='BK-NL'!$M$11),"x","")</f>
        <v/>
      </c>
    </row>
    <row r="2930" spans="1:30" s="1264" customFormat="1" ht="16.5" customHeight="1">
      <c r="A2930" s="309" t="str">
        <f>IF(B2930&lt;&gt;"",IF(AND(B2930='IN-TC'!$S$4,OR(TH!N2930="1111",TH!O2930="1111")),TH!D2930,""),"")</f>
        <v/>
      </c>
      <c r="B2930" s="1315">
        <f t="shared" si="1049"/>
        <v>6</v>
      </c>
      <c r="C2930" s="71">
        <v>42907</v>
      </c>
      <c r="D2930" s="71" t="s">
        <v>903</v>
      </c>
      <c r="E2930" s="71">
        <f t="shared" si="1053"/>
        <v>42907</v>
      </c>
      <c r="F2930" s="1082" t="s">
        <v>1086</v>
      </c>
      <c r="G2930" s="72" t="s">
        <v>747</v>
      </c>
      <c r="H2930" s="735" t="s">
        <v>1548</v>
      </c>
      <c r="I2930" s="73"/>
      <c r="J2930" s="377"/>
      <c r="K2930" s="371">
        <v>85030</v>
      </c>
      <c r="L2930" s="377">
        <v>22700</v>
      </c>
      <c r="M2930" s="1214">
        <f t="shared" ref="M2930" si="1057">ROUND(K2930*L2930,0)</f>
        <v>1930181000</v>
      </c>
      <c r="N2930" s="75" t="s">
        <v>256</v>
      </c>
      <c r="O2930" s="75" t="s">
        <v>536</v>
      </c>
      <c r="P2930" s="75" t="str">
        <f>IF(AND('331-CT'!$E$7=TH!H2930,OR(N2930="331",O2930="331")),"x","")</f>
        <v/>
      </c>
      <c r="Q2930" s="75" t="str">
        <f>IF(AND(B2930='111'!$L$11,OR($N2930=$Q$7,$O2930=$Q$7)),"x","")</f>
        <v/>
      </c>
      <c r="R2930" s="75" t="str">
        <f>IF(AND($N2930=$Q$7,$B2930&lt;'111'!$L$11),"x","")</f>
        <v/>
      </c>
      <c r="S2930" s="75" t="str">
        <f>IF(AND($O2930=$Q$7,$B2930&lt;'111'!$L$11),"x","")</f>
        <v/>
      </c>
      <c r="T2930" s="75" t="str">
        <f>IF(ISERROR(FIND('112'!$M$9,G2930,1)),"",IF((AND(FIND('112'!$M$9,G2930,1)&gt;=1,B2930='112'!$K$9,OR($N2930='112'!$I$6,$O2930='112'!$I$6))),"x",""))</f>
        <v/>
      </c>
      <c r="U2930" s="75" t="str">
        <f>IF(ISERROR(FIND('112'!$M$9,G2930,1)),"",IF((AND(LEFT(G2930,2)=LEFT('112'!$M$9,2),B2930&lt;'112'!$K$9,$N2930='112'!$I$6)),"x",""))</f>
        <v/>
      </c>
      <c r="V2930" s="75" t="str">
        <f>IF(ISERROR(FIND('112'!$M$9,G2930,1)),"",IF((AND(RIGHT(G2930,2)=RIGHT('112'!$M$9,2),B2930&lt;'112'!$K$9,$O2930='112'!$I$6)),"x",""))</f>
        <v/>
      </c>
      <c r="W2930" s="75" t="str">
        <f>IF(AND('341-CT'!$H$9=H2930,OR(LEFT(N2930,3)=$W$7,LEFT(O2930,3)=$W$7)),"x","")</f>
        <v/>
      </c>
      <c r="X2930" s="75" t="str">
        <f>IF(OR(TH!N2930=TH!$X$7,O2930=TH!$X$7),"x","")</f>
        <v/>
      </c>
      <c r="Y2930" s="75" t="str">
        <f>IF(AND(OR(N2930="131",O2930="131"),H2930='131-CT'!$H$9),"x","")</f>
        <v/>
      </c>
      <c r="Z2930" s="75"/>
      <c r="AA2930" s="75" t="str">
        <f>IF(AND(MONTH(E2930)='IN-NX'!$J$5,'IN-NX'!$D$7=D2930),"x","")</f>
        <v/>
      </c>
      <c r="AB2930" s="75" t="str">
        <f>IF(AND(OR(LEFT(TH!N2930,2)="15",LEFT(TH!O2930,2)="15"),LEFT(TH!O2930,3)&lt;&gt;"111",'152-CT'!$J$8=TH!F2930),"x","")</f>
        <v/>
      </c>
      <c r="AC2930" s="75" t="str">
        <f>IF(AND(OR(LEFT(TH!N2930,2)="15",LEFT(TH!O2930,2)="15"),TK!$E$7=TH!F2930),"x","")</f>
        <v/>
      </c>
      <c r="AD2930" s="75" t="str">
        <f>IF(AND(N2930="1521",MONTH(C2930)='BK-NL'!$M$11),"x","")</f>
        <v/>
      </c>
    </row>
    <row r="2931" spans="1:30" s="1264" customFormat="1" ht="16.5" customHeight="1">
      <c r="A2931" s="309" t="str">
        <f>IF(B2931&lt;&gt;"",IF(AND(B2931='IN-TC'!$S$4,OR(TH!N2931="1111",TH!O2931="1111")),TH!D2931,""),"")</f>
        <v/>
      </c>
      <c r="B2931" s="1315">
        <f t="shared" si="1049"/>
        <v>6</v>
      </c>
      <c r="C2931" s="71">
        <v>42907</v>
      </c>
      <c r="D2931" s="71" t="s">
        <v>530</v>
      </c>
      <c r="E2931" s="71">
        <f t="shared" si="1053"/>
        <v>42907</v>
      </c>
      <c r="F2931" s="1082" t="s">
        <v>1027</v>
      </c>
      <c r="G2931" s="72" t="s">
        <v>747</v>
      </c>
      <c r="H2931" s="735" t="s">
        <v>1548</v>
      </c>
      <c r="I2931" s="73"/>
      <c r="J2931" s="377"/>
      <c r="K2931" s="371">
        <v>230</v>
      </c>
      <c r="L2931" s="377">
        <v>22700</v>
      </c>
      <c r="M2931" s="933">
        <f t="shared" si="1052"/>
        <v>5221000</v>
      </c>
      <c r="N2931" s="75" t="s">
        <v>101</v>
      </c>
      <c r="O2931" s="75" t="s">
        <v>536</v>
      </c>
      <c r="P2931" s="75" t="str">
        <f>IF(AND('331-CT'!$E$7=TH!H2931,OR(N2931="331",O2931="331")),"x","")</f>
        <v/>
      </c>
      <c r="Q2931" s="75" t="str">
        <f>IF(AND(B2931='111'!$L$11,OR($N2931=$Q$7,$O2931=$Q$7)),"x","")</f>
        <v/>
      </c>
      <c r="R2931" s="75" t="str">
        <f>IF(AND($N2931=$Q$7,$B2931&lt;'111'!$L$11),"x","")</f>
        <v/>
      </c>
      <c r="S2931" s="75" t="str">
        <f>IF(AND($O2931=$Q$7,$B2931&lt;'111'!$L$11),"x","")</f>
        <v/>
      </c>
      <c r="T2931" s="75" t="str">
        <f>IF(ISERROR(FIND('112'!$M$9,G2931,1)),"",IF((AND(FIND('112'!$M$9,G2931,1)&gt;=1,B2931='112'!$K$9,OR($N2931='112'!$I$6,$O2931='112'!$I$6))),"x",""))</f>
        <v/>
      </c>
      <c r="U2931" s="75" t="str">
        <f>IF(ISERROR(FIND('112'!$M$9,G2931,1)),"",IF((AND(LEFT(G2931,2)=LEFT('112'!$M$9,2),B2931&lt;'112'!$K$9,$N2931='112'!$I$6)),"x",""))</f>
        <v/>
      </c>
      <c r="V2931" s="75" t="str">
        <f>IF(ISERROR(FIND('112'!$M$9,G2931,1)),"",IF((AND(RIGHT(G2931,2)=RIGHT('112'!$M$9,2),B2931&lt;'112'!$K$9,$O2931='112'!$I$6)),"x",""))</f>
        <v/>
      </c>
      <c r="W2931" s="75" t="str">
        <f>IF(AND('341-CT'!$H$9=H2931,OR(LEFT(N2931,3)=$W$7,LEFT(O2931,3)=$W$7)),"x","")</f>
        <v/>
      </c>
      <c r="X2931" s="75" t="str">
        <f>IF(OR(TH!N2931=TH!$X$7,O2931=TH!$X$7),"x","")</f>
        <v/>
      </c>
      <c r="Y2931" s="75" t="str">
        <f>IF(AND(OR(N2931="131",O2931="131"),H2931='131-CT'!$H$9),"x","")</f>
        <v/>
      </c>
      <c r="Z2931" s="75"/>
      <c r="AA2931" s="75" t="str">
        <f>IF(AND(MONTH(E2931)='IN-NX'!$J$5,'IN-NX'!$D$7=D2931),"x","")</f>
        <v/>
      </c>
      <c r="AB2931" s="75" t="str">
        <f>IF(AND(OR(LEFT(TH!N2931,2)="15",LEFT(TH!O2931,2)="15"),LEFT(TH!O2931,3)&lt;&gt;"111",'152-CT'!$J$8=TH!F2931),"x","")</f>
        <v/>
      </c>
      <c r="AC2931" s="75" t="str">
        <f>IF(AND(OR(LEFT(TH!N2931,2)="15",LEFT(TH!O2931,2)="15"),TK!$E$7=TH!F2931),"x","")</f>
        <v/>
      </c>
      <c r="AD2931" s="75" t="str">
        <f>IF(AND(N2931="1521",MONTH(C2931)='BK-NL'!$M$11),"x","")</f>
        <v/>
      </c>
    </row>
    <row r="2932" spans="1:30" s="1264" customFormat="1" ht="16.5" customHeight="1">
      <c r="A2932" s="309" t="str">
        <f>IF(B2932&lt;&gt;"",IF(AND(B2932='IN-TC'!$S$4,OR(TH!N2932="1111",TH!O2932="1111")),TH!D2932,""),"")</f>
        <v/>
      </c>
      <c r="B2932" s="1315">
        <f t="shared" si="1049"/>
        <v>6</v>
      </c>
      <c r="C2932" s="71">
        <v>42907</v>
      </c>
      <c r="D2932" s="71" t="s">
        <v>530</v>
      </c>
      <c r="E2932" s="71">
        <f t="shared" si="1053"/>
        <v>42907</v>
      </c>
      <c r="F2932" s="1082" t="s">
        <v>1010</v>
      </c>
      <c r="G2932" s="72" t="s">
        <v>747</v>
      </c>
      <c r="H2932" s="735" t="s">
        <v>1548</v>
      </c>
      <c r="I2932" s="73"/>
      <c r="J2932" s="377"/>
      <c r="K2932" s="371"/>
      <c r="L2932" s="377"/>
      <c r="M2932" s="74">
        <v>3410400</v>
      </c>
      <c r="N2932" s="75" t="s">
        <v>536</v>
      </c>
      <c r="O2932" s="934" t="s">
        <v>43</v>
      </c>
      <c r="P2932" s="75" t="str">
        <f>IF(AND('331-CT'!$E$7=TH!H2932,OR(N2932="331",O2932="331")),"x","")</f>
        <v/>
      </c>
      <c r="Q2932" s="75" t="str">
        <f>IF(AND(B2932='111'!$L$11,OR($N2932=$Q$7,$O2932=$Q$7)),"x","")</f>
        <v/>
      </c>
      <c r="R2932" s="75" t="str">
        <f>IF(AND($N2932=$Q$7,$B2932&lt;'111'!$L$11),"x","")</f>
        <v/>
      </c>
      <c r="S2932" s="75" t="str">
        <f>IF(AND($O2932=$Q$7,$B2932&lt;'111'!$L$11),"x","")</f>
        <v/>
      </c>
      <c r="T2932" s="75" t="str">
        <f>IF(ISERROR(FIND('112'!$M$9,G2932,1)),"",IF((AND(FIND('112'!$M$9,G2932,1)&gt;=1,B2932='112'!$K$9,OR($N2932='112'!$I$6,$O2932='112'!$I$6))),"x",""))</f>
        <v/>
      </c>
      <c r="U2932" s="75" t="str">
        <f>IF(ISERROR(FIND('112'!$M$9,G2932,1)),"",IF((AND(LEFT(G2932,2)=LEFT('112'!$M$9,2),B2932&lt;'112'!$K$9,$N2932='112'!$I$6)),"x",""))</f>
        <v/>
      </c>
      <c r="V2932" s="75" t="str">
        <f>IF(ISERROR(FIND('112'!$M$9,G2932,1)),"",IF((AND(RIGHT(G2932,2)=RIGHT('112'!$M$9,2),B2932&lt;'112'!$K$9,$O2932='112'!$I$6)),"x",""))</f>
        <v/>
      </c>
      <c r="W2932" s="75" t="str">
        <f>IF(AND('341-CT'!$H$9=H2932,OR(LEFT(N2932,3)=$W$7,LEFT(O2932,3)=$W$7)),"x","")</f>
        <v/>
      </c>
      <c r="X2932" s="75" t="str">
        <f>IF(OR(TH!N2932=TH!$X$7,O2932=TH!$X$7),"x","")</f>
        <v/>
      </c>
      <c r="Y2932" s="75" t="str">
        <f>IF(AND(OR(N2932="131",O2932="131"),H2932='131-CT'!$H$9),"x","")</f>
        <v/>
      </c>
      <c r="Z2932" s="75"/>
      <c r="AA2932" s="75" t="str">
        <f>IF(AND(MONTH(E2932)='IN-NX'!$J$5,'IN-NX'!$D$7=D2932),"x","")</f>
        <v/>
      </c>
      <c r="AB2932" s="75" t="str">
        <f>IF(AND(OR(LEFT(TH!N2932,2)="15",LEFT(TH!O2932,2)="15"),LEFT(TH!O2932,3)&lt;&gt;"111",'152-CT'!$J$8=TH!F2932),"x","")</f>
        <v/>
      </c>
      <c r="AC2932" s="75" t="str">
        <f>IF(AND(OR(LEFT(TH!N2932,2)="15",LEFT(TH!O2932,2)="15"),TK!$E$7=TH!F2932),"x","")</f>
        <v/>
      </c>
      <c r="AD2932" s="75" t="str">
        <f>IF(AND(N2932="1521",MONTH(C2932)='BK-NL'!$M$11),"x","")</f>
        <v/>
      </c>
    </row>
    <row r="2933" spans="1:30" s="1264" customFormat="1" ht="16.5" customHeight="1">
      <c r="A2933" s="309" t="str">
        <f>IF(B2933&lt;&gt;"",IF(AND(B2933='IN-TC'!$S$4,OR(TH!N2933="1111",TH!O2933="1111")),TH!D2933,""),"")</f>
        <v/>
      </c>
      <c r="B2933" s="1315">
        <f t="shared" si="1049"/>
        <v>6</v>
      </c>
      <c r="C2933" s="71">
        <v>42907</v>
      </c>
      <c r="D2933" s="71" t="s">
        <v>902</v>
      </c>
      <c r="E2933" s="71">
        <f t="shared" si="1053"/>
        <v>42907</v>
      </c>
      <c r="F2933" s="73" t="s">
        <v>1549</v>
      </c>
      <c r="G2933" s="72" t="s">
        <v>747</v>
      </c>
      <c r="H2933" s="73" t="s">
        <v>835</v>
      </c>
      <c r="I2933" s="73"/>
      <c r="J2933" s="377"/>
      <c r="K2933" s="371">
        <v>5</v>
      </c>
      <c r="L2933" s="377">
        <v>22700</v>
      </c>
      <c r="M2933" s="74">
        <f t="shared" ref="M2933:M2942" si="1058">ROUND(K2933*L2933,0)</f>
        <v>113500</v>
      </c>
      <c r="N2933" s="75" t="s">
        <v>101</v>
      </c>
      <c r="O2933" s="934" t="s">
        <v>256</v>
      </c>
      <c r="P2933" s="75" t="str">
        <f>IF(AND('331-CT'!$E$7=TH!H2933,OR(N2933="331",O2933="331")),"x","")</f>
        <v/>
      </c>
      <c r="Q2933" s="75" t="str">
        <f>IF(AND(B2933='111'!$L$11,OR($N2933=$Q$7,$O2933=$Q$7)),"x","")</f>
        <v/>
      </c>
      <c r="R2933" s="75" t="str">
        <f>IF(AND($N2933=$Q$7,$B2933&lt;'111'!$L$11),"x","")</f>
        <v/>
      </c>
      <c r="S2933" s="75" t="str">
        <f>IF(AND($O2933=$Q$7,$B2933&lt;'111'!$L$11),"x","")</f>
        <v/>
      </c>
      <c r="T2933" s="75" t="str">
        <f>IF(ISERROR(FIND('112'!$M$9,G2933,1)),"",IF((AND(FIND('112'!$M$9,G2933,1)&gt;=1,B2933='112'!$K$9,OR($N2933='112'!$I$6,$O2933='112'!$I$6))),"x",""))</f>
        <v/>
      </c>
      <c r="U2933" s="75" t="str">
        <f>IF(ISERROR(FIND('112'!$M$9,G2933,1)),"",IF((AND(LEFT(G2933,2)=LEFT('112'!$M$9,2),B2933&lt;'112'!$K$9,$N2933='112'!$I$6)),"x",""))</f>
        <v/>
      </c>
      <c r="V2933" s="75" t="str">
        <f>IF(ISERROR(FIND('112'!$M$9,G2933,1)),"",IF((AND(RIGHT(G2933,2)=RIGHT('112'!$M$9,2),B2933&lt;'112'!$K$9,$O2933='112'!$I$6)),"x",""))</f>
        <v/>
      </c>
      <c r="W2933" s="75" t="str">
        <f>IF(AND('341-CT'!$H$9=H2933,OR(LEFT(N2933,3)=$W$7,LEFT(O2933,3)=$W$7)),"x","")</f>
        <v/>
      </c>
      <c r="X2933" s="75" t="str">
        <f>IF(OR(TH!N2933=TH!$X$7,O2933=TH!$X$7),"x","")</f>
        <v/>
      </c>
      <c r="Y2933" s="75" t="str">
        <f>IF(AND(OR(N2933="131",O2933="131"),H2933='131-CT'!$H$9),"x","")</f>
        <v/>
      </c>
      <c r="Z2933" s="75"/>
      <c r="AA2933" s="75" t="str">
        <f>IF(AND(MONTH(E2933)='IN-NX'!$J$5,'IN-NX'!$D$7=D2933),"x","")</f>
        <v/>
      </c>
      <c r="AB2933" s="75" t="str">
        <f>IF(AND(OR(LEFT(TH!N2933,2)="15",LEFT(TH!O2933,2)="15"),LEFT(TH!O2933,3)&lt;&gt;"111",'152-CT'!$J$8=TH!F2933),"x","")</f>
        <v/>
      </c>
      <c r="AC2933" s="75" t="str">
        <f>IF(AND(OR(LEFT(TH!N2933,2)="15",LEFT(TH!O2933,2)="15"),TK!$E$7=TH!F2933),"x","")</f>
        <v/>
      </c>
      <c r="AD2933" s="75" t="str">
        <f>IF(AND(N2933="1521",MONTH(C2933)='BK-NL'!$M$11),"x","")</f>
        <v/>
      </c>
    </row>
    <row r="2934" spans="1:30" s="1264" customFormat="1" ht="16.5" customHeight="1">
      <c r="A2934" s="309" t="str">
        <f>IF(B2934&lt;&gt;"",IF(AND(B2934='IN-TC'!$S$4,OR(TH!N2934="1111",TH!O2934="1111")),TH!D2934,""),"")</f>
        <v/>
      </c>
      <c r="B2934" s="1315">
        <f t="shared" si="1049"/>
        <v>6</v>
      </c>
      <c r="C2934" s="71">
        <v>42907</v>
      </c>
      <c r="D2934" s="71" t="s">
        <v>902</v>
      </c>
      <c r="E2934" s="71">
        <f t="shared" si="1053"/>
        <v>42907</v>
      </c>
      <c r="F2934" s="73" t="s">
        <v>1552</v>
      </c>
      <c r="G2934" s="72" t="s">
        <v>747</v>
      </c>
      <c r="H2934" s="73" t="s">
        <v>835</v>
      </c>
      <c r="I2934" s="73"/>
      <c r="J2934" s="377"/>
      <c r="K2934" s="371">
        <v>0.5</v>
      </c>
      <c r="L2934" s="377">
        <v>22700</v>
      </c>
      <c r="M2934" s="74">
        <f t="shared" si="1058"/>
        <v>11350</v>
      </c>
      <c r="N2934" s="75" t="s">
        <v>9</v>
      </c>
      <c r="O2934" s="934" t="s">
        <v>256</v>
      </c>
      <c r="P2934" s="75" t="str">
        <f>IF(AND('331-CT'!$E$7=TH!H2934,OR(N2934="331",O2934="331")),"x","")</f>
        <v/>
      </c>
      <c r="Q2934" s="75" t="str">
        <f>IF(AND(B2934='111'!$L$11,OR($N2934=$Q$7,$O2934=$Q$7)),"x","")</f>
        <v/>
      </c>
      <c r="R2934" s="75" t="str">
        <f>IF(AND($N2934=$Q$7,$B2934&lt;'111'!$L$11),"x","")</f>
        <v/>
      </c>
      <c r="S2934" s="75" t="str">
        <f>IF(AND($O2934=$Q$7,$B2934&lt;'111'!$L$11),"x","")</f>
        <v/>
      </c>
      <c r="T2934" s="75" t="str">
        <f>IF(ISERROR(FIND('112'!$M$9,G2934,1)),"",IF((AND(FIND('112'!$M$9,G2934,1)&gt;=1,B2934='112'!$K$9,OR($N2934='112'!$I$6,$O2934='112'!$I$6))),"x",""))</f>
        <v/>
      </c>
      <c r="U2934" s="75" t="str">
        <f>IF(ISERROR(FIND('112'!$M$9,G2934,1)),"",IF((AND(LEFT(G2934,2)=LEFT('112'!$M$9,2),B2934&lt;'112'!$K$9,$N2934='112'!$I$6)),"x",""))</f>
        <v/>
      </c>
      <c r="V2934" s="75" t="str">
        <f>IF(ISERROR(FIND('112'!$M$9,G2934,1)),"",IF((AND(RIGHT(G2934,2)=RIGHT('112'!$M$9,2),B2934&lt;'112'!$K$9,$O2934='112'!$I$6)),"x",""))</f>
        <v/>
      </c>
      <c r="W2934" s="75" t="str">
        <f>IF(AND('341-CT'!$H$9=H2934,OR(LEFT(N2934,3)=$W$7,LEFT(O2934,3)=$W$7)),"x","")</f>
        <v/>
      </c>
      <c r="X2934" s="75" t="str">
        <f>IF(OR(TH!N2934=TH!$X$7,O2934=TH!$X$7),"x","")</f>
        <v/>
      </c>
      <c r="Y2934" s="75" t="str">
        <f>IF(AND(OR(N2934="131",O2934="131"),H2934='131-CT'!$H$9),"x","")</f>
        <v/>
      </c>
      <c r="Z2934" s="75"/>
      <c r="AA2934" s="75" t="str">
        <f>IF(AND(MONTH(E2934)='IN-NX'!$J$5,'IN-NX'!$D$7=D2934),"x","")</f>
        <v/>
      </c>
      <c r="AB2934" s="75" t="str">
        <f>IF(AND(OR(LEFT(TH!N2934,2)="15",LEFT(TH!O2934,2)="15"),LEFT(TH!O2934,3)&lt;&gt;"111",'152-CT'!$J$8=TH!F2934),"x","")</f>
        <v/>
      </c>
      <c r="AC2934" s="75" t="str">
        <f>IF(AND(OR(LEFT(TH!N2934,2)="15",LEFT(TH!O2934,2)="15"),TK!$E$7=TH!F2934),"x","")</f>
        <v/>
      </c>
      <c r="AD2934" s="75" t="str">
        <f>IF(AND(N2934="1521",MONTH(C2934)='BK-NL'!$M$11),"x","")</f>
        <v/>
      </c>
    </row>
    <row r="2935" spans="1:30" s="1264" customFormat="1" ht="16.5" customHeight="1">
      <c r="A2935" s="309" t="str">
        <f>IF(B2935&lt;&gt;"",IF(AND(B2935='IN-TC'!$S$4,OR(TH!N2935="1111",TH!O2935="1111")),TH!D2935,""),"")</f>
        <v/>
      </c>
      <c r="B2935" s="1315">
        <f t="shared" si="1049"/>
        <v>6</v>
      </c>
      <c r="C2935" s="71">
        <v>42907</v>
      </c>
      <c r="D2935" s="71" t="s">
        <v>902</v>
      </c>
      <c r="E2935" s="71">
        <f t="shared" si="1053"/>
        <v>42907</v>
      </c>
      <c r="F2935" s="73" t="s">
        <v>1549</v>
      </c>
      <c r="G2935" s="72" t="s">
        <v>747</v>
      </c>
      <c r="H2935" s="73" t="s">
        <v>835</v>
      </c>
      <c r="I2935" s="73"/>
      <c r="J2935" s="377"/>
      <c r="K2935" s="371">
        <v>102.31</v>
      </c>
      <c r="L2935" s="377">
        <v>22700</v>
      </c>
      <c r="M2935" s="74">
        <f t="shared" si="1058"/>
        <v>2322437</v>
      </c>
      <c r="N2935" s="75" t="s">
        <v>101</v>
      </c>
      <c r="O2935" s="934" t="s">
        <v>256</v>
      </c>
      <c r="P2935" s="75" t="str">
        <f>IF(AND('331-CT'!$E$7=TH!H2935,OR(N2935="331",O2935="331")),"x","")</f>
        <v/>
      </c>
      <c r="Q2935" s="75" t="str">
        <f>IF(AND(B2935='111'!$L$11,OR($N2935=$Q$7,$O2935=$Q$7)),"x","")</f>
        <v/>
      </c>
      <c r="R2935" s="75" t="str">
        <f>IF(AND($N2935=$Q$7,$B2935&lt;'111'!$L$11),"x","")</f>
        <v/>
      </c>
      <c r="S2935" s="75" t="str">
        <f>IF(AND($O2935=$Q$7,$B2935&lt;'111'!$L$11),"x","")</f>
        <v/>
      </c>
      <c r="T2935" s="75" t="str">
        <f>IF(ISERROR(FIND('112'!$M$9,G2935,1)),"",IF((AND(FIND('112'!$M$9,G2935,1)&gt;=1,B2935='112'!$K$9,OR($N2935='112'!$I$6,$O2935='112'!$I$6))),"x",""))</f>
        <v/>
      </c>
      <c r="U2935" s="75" t="str">
        <f>IF(ISERROR(FIND('112'!$M$9,G2935,1)),"",IF((AND(LEFT(G2935,2)=LEFT('112'!$M$9,2),B2935&lt;'112'!$K$9,$N2935='112'!$I$6)),"x",""))</f>
        <v/>
      </c>
      <c r="V2935" s="75" t="str">
        <f>IF(ISERROR(FIND('112'!$M$9,G2935,1)),"",IF((AND(RIGHT(G2935,2)=RIGHT('112'!$M$9,2),B2935&lt;'112'!$K$9,$O2935='112'!$I$6)),"x",""))</f>
        <v/>
      </c>
      <c r="W2935" s="75" t="str">
        <f>IF(AND('341-CT'!$H$9=H2935,OR(LEFT(N2935,3)=$W$7,LEFT(O2935,3)=$W$7)),"x","")</f>
        <v/>
      </c>
      <c r="X2935" s="75" t="str">
        <f>IF(OR(TH!N2935=TH!$X$7,O2935=TH!$X$7),"x","")</f>
        <v/>
      </c>
      <c r="Y2935" s="75" t="str">
        <f>IF(AND(OR(N2935="131",O2935="131"),H2935='131-CT'!$H$9),"x","")</f>
        <v/>
      </c>
      <c r="Z2935" s="75"/>
      <c r="AA2935" s="75" t="str">
        <f>IF(AND(MONTH(E2935)='IN-NX'!$J$5,'IN-NX'!$D$7=D2935),"x","")</f>
        <v/>
      </c>
      <c r="AB2935" s="75" t="str">
        <f>IF(AND(OR(LEFT(TH!N2935,2)="15",LEFT(TH!O2935,2)="15"),LEFT(TH!O2935,3)&lt;&gt;"111",'152-CT'!$J$8=TH!F2935),"x","")</f>
        <v/>
      </c>
      <c r="AC2935" s="75" t="str">
        <f>IF(AND(OR(LEFT(TH!N2935,2)="15",LEFT(TH!O2935,2)="15"),TK!$E$7=TH!F2935),"x","")</f>
        <v/>
      </c>
      <c r="AD2935" s="75" t="str">
        <f>IF(AND(N2935="1521",MONTH(C2935)='BK-NL'!$M$11),"x","")</f>
        <v/>
      </c>
    </row>
    <row r="2936" spans="1:30" s="1264" customFormat="1" ht="16.5" customHeight="1">
      <c r="A2936" s="309" t="str">
        <f>IF(B2936&lt;&gt;"",IF(AND(B2936='IN-TC'!$S$4,OR(TH!N2936="1111",TH!O2936="1111")),TH!D2936,""),"")</f>
        <v/>
      </c>
      <c r="B2936" s="1315">
        <f t="shared" si="1049"/>
        <v>6</v>
      </c>
      <c r="C2936" s="71">
        <v>42907</v>
      </c>
      <c r="D2936" s="71" t="s">
        <v>902</v>
      </c>
      <c r="E2936" s="71">
        <f t="shared" si="1053"/>
        <v>42907</v>
      </c>
      <c r="F2936" s="73" t="s">
        <v>1552</v>
      </c>
      <c r="G2936" s="72" t="s">
        <v>747</v>
      </c>
      <c r="H2936" s="73" t="s">
        <v>835</v>
      </c>
      <c r="I2936" s="73"/>
      <c r="J2936" s="377"/>
      <c r="K2936" s="371">
        <v>10.23</v>
      </c>
      <c r="L2936" s="377">
        <v>22700</v>
      </c>
      <c r="M2936" s="74">
        <f t="shared" si="1058"/>
        <v>232221</v>
      </c>
      <c r="N2936" s="75" t="s">
        <v>9</v>
      </c>
      <c r="O2936" s="934" t="s">
        <v>256</v>
      </c>
      <c r="P2936" s="75" t="str">
        <f>IF(AND('331-CT'!$E$7=TH!H2936,OR(N2936="331",O2936="331")),"x","")</f>
        <v/>
      </c>
      <c r="Q2936" s="75" t="str">
        <f>IF(AND(B2936='111'!$L$11,OR($N2936=$Q$7,$O2936=$Q$7)),"x","")</f>
        <v/>
      </c>
      <c r="R2936" s="75" t="str">
        <f>IF(AND($N2936=$Q$7,$B2936&lt;'111'!$L$11),"x","")</f>
        <v/>
      </c>
      <c r="S2936" s="75" t="str">
        <f>IF(AND($O2936=$Q$7,$B2936&lt;'111'!$L$11),"x","")</f>
        <v/>
      </c>
      <c r="T2936" s="75" t="str">
        <f>IF(ISERROR(FIND('112'!$M$9,G2936,1)),"",IF((AND(FIND('112'!$M$9,G2936,1)&gt;=1,B2936='112'!$K$9,OR($N2936='112'!$I$6,$O2936='112'!$I$6))),"x",""))</f>
        <v/>
      </c>
      <c r="U2936" s="75" t="str">
        <f>IF(ISERROR(FIND('112'!$M$9,G2936,1)),"",IF((AND(LEFT(G2936,2)=LEFT('112'!$M$9,2),B2936&lt;'112'!$K$9,$N2936='112'!$I$6)),"x",""))</f>
        <v/>
      </c>
      <c r="V2936" s="75" t="str">
        <f>IF(ISERROR(FIND('112'!$M$9,G2936,1)),"",IF((AND(RIGHT(G2936,2)=RIGHT('112'!$M$9,2),B2936&lt;'112'!$K$9,$O2936='112'!$I$6)),"x",""))</f>
        <v/>
      </c>
      <c r="W2936" s="75" t="str">
        <f>IF(AND('341-CT'!$H$9=H2936,OR(LEFT(N2936,3)=$W$7,LEFT(O2936,3)=$W$7)),"x","")</f>
        <v/>
      </c>
      <c r="X2936" s="75" t="str">
        <f>IF(OR(TH!N2936=TH!$X$7,O2936=TH!$X$7),"x","")</f>
        <v/>
      </c>
      <c r="Y2936" s="75" t="str">
        <f>IF(AND(OR(N2936="131",O2936="131"),H2936='131-CT'!$H$9),"x","")</f>
        <v/>
      </c>
      <c r="Z2936" s="75"/>
      <c r="AA2936" s="75" t="str">
        <f>IF(AND(MONTH(E2936)='IN-NX'!$J$5,'IN-NX'!$D$7=D2936),"x","")</f>
        <v/>
      </c>
      <c r="AB2936" s="75" t="str">
        <f>IF(AND(OR(LEFT(TH!N2936,2)="15",LEFT(TH!O2936,2)="15"),LEFT(TH!O2936,3)&lt;&gt;"111",'152-CT'!$J$8=TH!F2936),"x","")</f>
        <v/>
      </c>
      <c r="AC2936" s="75" t="str">
        <f>IF(AND(OR(LEFT(TH!N2936,2)="15",LEFT(TH!O2936,2)="15"),TK!$E$7=TH!F2936),"x","")</f>
        <v/>
      </c>
      <c r="AD2936" s="75" t="str">
        <f>IF(AND(N2936="1521",MONTH(C2936)='BK-NL'!$M$11),"x","")</f>
        <v/>
      </c>
    </row>
    <row r="2937" spans="1:30" s="1264" customFormat="1" ht="16.5" customHeight="1">
      <c r="A2937" s="309" t="str">
        <f>IF(B2937&lt;&gt;"",IF(AND(B2937='IN-TC'!$S$4,OR(TH!N2937="1111",TH!O2937="1111")),TH!D2937,""),"")</f>
        <v/>
      </c>
      <c r="B2937" s="1315">
        <f t="shared" si="1049"/>
        <v>6</v>
      </c>
      <c r="C2937" s="71">
        <v>42907</v>
      </c>
      <c r="D2937" s="71" t="s">
        <v>902</v>
      </c>
      <c r="E2937" s="71">
        <f t="shared" si="1053"/>
        <v>42907</v>
      </c>
      <c r="F2937" s="73" t="s">
        <v>1549</v>
      </c>
      <c r="G2937" s="72" t="s">
        <v>747</v>
      </c>
      <c r="H2937" s="73" t="s">
        <v>835</v>
      </c>
      <c r="I2937" s="73"/>
      <c r="J2937" s="377"/>
      <c r="K2937" s="371">
        <v>100</v>
      </c>
      <c r="L2937" s="377">
        <v>22700</v>
      </c>
      <c r="M2937" s="74">
        <f t="shared" si="1058"/>
        <v>2270000</v>
      </c>
      <c r="N2937" s="75" t="s">
        <v>101</v>
      </c>
      <c r="O2937" s="934" t="s">
        <v>256</v>
      </c>
      <c r="P2937" s="75" t="str">
        <f>IF(AND('331-CT'!$E$7=TH!H2937,OR(N2937="331",O2937="331")),"x","")</f>
        <v/>
      </c>
      <c r="Q2937" s="75" t="str">
        <f>IF(AND(B2937='111'!$L$11,OR($N2937=$Q$7,$O2937=$Q$7)),"x","")</f>
        <v/>
      </c>
      <c r="R2937" s="75" t="str">
        <f>IF(AND($N2937=$Q$7,$B2937&lt;'111'!$L$11),"x","")</f>
        <v/>
      </c>
      <c r="S2937" s="75" t="str">
        <f>IF(AND($O2937=$Q$7,$B2937&lt;'111'!$L$11),"x","")</f>
        <v/>
      </c>
      <c r="T2937" s="75" t="str">
        <f>IF(ISERROR(FIND('112'!$M$9,G2937,1)),"",IF((AND(FIND('112'!$M$9,G2937,1)&gt;=1,B2937='112'!$K$9,OR($N2937='112'!$I$6,$O2937='112'!$I$6))),"x",""))</f>
        <v/>
      </c>
      <c r="U2937" s="75" t="str">
        <f>IF(ISERROR(FIND('112'!$M$9,G2937,1)),"",IF((AND(LEFT(G2937,2)=LEFT('112'!$M$9,2),B2937&lt;'112'!$K$9,$N2937='112'!$I$6)),"x",""))</f>
        <v/>
      </c>
      <c r="V2937" s="75" t="str">
        <f>IF(ISERROR(FIND('112'!$M$9,G2937,1)),"",IF((AND(RIGHT(G2937,2)=RIGHT('112'!$M$9,2),B2937&lt;'112'!$K$9,$O2937='112'!$I$6)),"x",""))</f>
        <v/>
      </c>
      <c r="W2937" s="75" t="str">
        <f>IF(AND('341-CT'!$H$9=H2937,OR(LEFT(N2937,3)=$W$7,LEFT(O2937,3)=$W$7)),"x","")</f>
        <v/>
      </c>
      <c r="X2937" s="75" t="str">
        <f>IF(OR(TH!N2937=TH!$X$7,O2937=TH!$X$7),"x","")</f>
        <v/>
      </c>
      <c r="Y2937" s="75" t="str">
        <f>IF(AND(OR(N2937="131",O2937="131"),H2937='131-CT'!$H$9),"x","")</f>
        <v/>
      </c>
      <c r="Z2937" s="75"/>
      <c r="AA2937" s="75" t="str">
        <f>IF(AND(MONTH(E2937)='IN-NX'!$J$5,'IN-NX'!$D$7=D2937),"x","")</f>
        <v/>
      </c>
      <c r="AB2937" s="75" t="str">
        <f>IF(AND(OR(LEFT(TH!N2937,2)="15",LEFT(TH!O2937,2)="15"),LEFT(TH!O2937,3)&lt;&gt;"111",'152-CT'!$J$8=TH!F2937),"x","")</f>
        <v/>
      </c>
      <c r="AC2937" s="75" t="str">
        <f>IF(AND(OR(LEFT(TH!N2937,2)="15",LEFT(TH!O2937,2)="15"),TK!$E$7=TH!F2937),"x","")</f>
        <v/>
      </c>
      <c r="AD2937" s="75" t="str">
        <f>IF(AND(N2937="1521",MONTH(C2937)='BK-NL'!$M$11),"x","")</f>
        <v/>
      </c>
    </row>
    <row r="2938" spans="1:30" s="1264" customFormat="1" ht="16.5" customHeight="1">
      <c r="A2938" s="309" t="str">
        <f>IF(B2938&lt;&gt;"",IF(AND(B2938='IN-TC'!$S$4,OR(TH!N2938="1111",TH!O2938="1111")),TH!D2938,""),"")</f>
        <v/>
      </c>
      <c r="B2938" s="1315">
        <f t="shared" si="1049"/>
        <v>6</v>
      </c>
      <c r="C2938" s="71">
        <v>42907</v>
      </c>
      <c r="D2938" s="71" t="s">
        <v>902</v>
      </c>
      <c r="E2938" s="71">
        <f t="shared" si="1053"/>
        <v>42907</v>
      </c>
      <c r="F2938" s="73" t="s">
        <v>1552</v>
      </c>
      <c r="G2938" s="72" t="s">
        <v>747</v>
      </c>
      <c r="H2938" s="73" t="s">
        <v>835</v>
      </c>
      <c r="I2938" s="73"/>
      <c r="J2938" s="377"/>
      <c r="K2938" s="371">
        <v>10</v>
      </c>
      <c r="L2938" s="377">
        <v>22700</v>
      </c>
      <c r="M2938" s="74">
        <f t="shared" si="1058"/>
        <v>227000</v>
      </c>
      <c r="N2938" s="75" t="s">
        <v>9</v>
      </c>
      <c r="O2938" s="934" t="s">
        <v>256</v>
      </c>
      <c r="P2938" s="75" t="str">
        <f>IF(AND('331-CT'!$E$7=TH!H2938,OR(N2938="331",O2938="331")),"x","")</f>
        <v/>
      </c>
      <c r="Q2938" s="75" t="str">
        <f>IF(AND(B2938='111'!$L$11,OR($N2938=$Q$7,$O2938=$Q$7)),"x","")</f>
        <v/>
      </c>
      <c r="R2938" s="75" t="str">
        <f>IF(AND($N2938=$Q$7,$B2938&lt;'111'!$L$11),"x","")</f>
        <v/>
      </c>
      <c r="S2938" s="75" t="str">
        <f>IF(AND($O2938=$Q$7,$B2938&lt;'111'!$L$11),"x","")</f>
        <v/>
      </c>
      <c r="T2938" s="75" t="str">
        <f>IF(ISERROR(FIND('112'!$M$9,G2938,1)),"",IF((AND(FIND('112'!$M$9,G2938,1)&gt;=1,B2938='112'!$K$9,OR($N2938='112'!$I$6,$O2938='112'!$I$6))),"x",""))</f>
        <v/>
      </c>
      <c r="U2938" s="75" t="str">
        <f>IF(ISERROR(FIND('112'!$M$9,G2938,1)),"",IF((AND(LEFT(G2938,2)=LEFT('112'!$M$9,2),B2938&lt;'112'!$K$9,$N2938='112'!$I$6)),"x",""))</f>
        <v/>
      </c>
      <c r="V2938" s="75" t="str">
        <f>IF(ISERROR(FIND('112'!$M$9,G2938,1)),"",IF((AND(RIGHT(G2938,2)=RIGHT('112'!$M$9,2),B2938&lt;'112'!$K$9,$O2938='112'!$I$6)),"x",""))</f>
        <v/>
      </c>
      <c r="W2938" s="75" t="str">
        <f>IF(AND('341-CT'!$H$9=H2938,OR(LEFT(N2938,3)=$W$7,LEFT(O2938,3)=$W$7)),"x","")</f>
        <v/>
      </c>
      <c r="X2938" s="75" t="str">
        <f>IF(OR(TH!N2938=TH!$X$7,O2938=TH!$X$7),"x","")</f>
        <v/>
      </c>
      <c r="Y2938" s="75" t="str">
        <f>IF(AND(OR(N2938="131",O2938="131"),H2938='131-CT'!$H$9),"x","")</f>
        <v/>
      </c>
      <c r="Z2938" s="75"/>
      <c r="AA2938" s="75" t="str">
        <f>IF(AND(MONTH(E2938)='IN-NX'!$J$5,'IN-NX'!$D$7=D2938),"x","")</f>
        <v/>
      </c>
      <c r="AB2938" s="75" t="str">
        <f>IF(AND(OR(LEFT(TH!N2938,2)="15",LEFT(TH!O2938,2)="15"),LEFT(TH!O2938,3)&lt;&gt;"111",'152-CT'!$J$8=TH!F2938),"x","")</f>
        <v/>
      </c>
      <c r="AC2938" s="75" t="str">
        <f>IF(AND(OR(LEFT(TH!N2938,2)="15",LEFT(TH!O2938,2)="15"),TK!$E$7=TH!F2938),"x","")</f>
        <v/>
      </c>
      <c r="AD2938" s="75" t="str">
        <f>IF(AND(N2938="1521",MONTH(C2938)='BK-NL'!$M$11),"x","")</f>
        <v/>
      </c>
    </row>
    <row r="2939" spans="1:30" s="1264" customFormat="1" ht="16.5" customHeight="1">
      <c r="A2939" s="309" t="str">
        <f>IF(B2939&lt;&gt;"",IF(AND(B2939='IN-TC'!$S$4,OR(TH!N2939="1111",TH!O2939="1111")),TH!D2939,""),"")</f>
        <v/>
      </c>
      <c r="B2939" s="1315">
        <f t="shared" si="1049"/>
        <v>6</v>
      </c>
      <c r="C2939" s="71">
        <v>42907</v>
      </c>
      <c r="D2939" s="71" t="s">
        <v>902</v>
      </c>
      <c r="E2939" s="71">
        <f t="shared" si="1053"/>
        <v>42907</v>
      </c>
      <c r="F2939" s="73" t="s">
        <v>1625</v>
      </c>
      <c r="G2939" s="72" t="s">
        <v>747</v>
      </c>
      <c r="H2939" s="296" t="s">
        <v>2453</v>
      </c>
      <c r="I2939" s="73"/>
      <c r="J2939" s="377"/>
      <c r="K2939" s="371">
        <v>0.05</v>
      </c>
      <c r="L2939" s="377">
        <v>22700</v>
      </c>
      <c r="M2939" s="74">
        <f t="shared" si="1058"/>
        <v>1135</v>
      </c>
      <c r="N2939" s="75" t="s">
        <v>99</v>
      </c>
      <c r="O2939" s="934" t="s">
        <v>256</v>
      </c>
      <c r="P2939" s="75" t="str">
        <f>IF(AND('331-CT'!$E$7=TH!H2939,OR(N2939="331",O2939="331")),"x","")</f>
        <v/>
      </c>
      <c r="Q2939" s="75" t="str">
        <f>IF(AND(B2939='111'!$L$11,OR($N2939=$Q$7,$O2939=$Q$7)),"x","")</f>
        <v/>
      </c>
      <c r="R2939" s="75" t="str">
        <f>IF(AND($N2939=$Q$7,$B2939&lt;'111'!$L$11),"x","")</f>
        <v/>
      </c>
      <c r="S2939" s="75" t="str">
        <f>IF(AND($O2939=$Q$7,$B2939&lt;'111'!$L$11),"x","")</f>
        <v/>
      </c>
      <c r="T2939" s="75" t="str">
        <f>IF(ISERROR(FIND('112'!$M$9,G2939,1)),"",IF((AND(FIND('112'!$M$9,G2939,1)&gt;=1,B2939='112'!$K$9,OR($N2939='112'!$I$6,$O2939='112'!$I$6))),"x",""))</f>
        <v/>
      </c>
      <c r="U2939" s="75" t="str">
        <f>IF(ISERROR(FIND('112'!$M$9,G2939,1)),"",IF((AND(LEFT(G2939,2)=LEFT('112'!$M$9,2),B2939&lt;'112'!$K$9,$N2939='112'!$I$6)),"x",""))</f>
        <v/>
      </c>
      <c r="V2939" s="75" t="str">
        <f>IF(ISERROR(FIND('112'!$M$9,G2939,1)),"",IF((AND(RIGHT(G2939,2)=RIGHT('112'!$M$9,2),B2939&lt;'112'!$K$9,$O2939='112'!$I$6)),"x",""))</f>
        <v/>
      </c>
      <c r="W2939" s="75" t="str">
        <f>IF(AND('341-CT'!$H$9=H2939,OR(LEFT(N2939,3)=$W$7,LEFT(O2939,3)=$W$7)),"x","")</f>
        <v/>
      </c>
      <c r="X2939" s="75" t="str">
        <f>IF(OR(TH!N2939=TH!$X$7,O2939=TH!$X$7),"x","")</f>
        <v/>
      </c>
      <c r="Y2939" s="75" t="str">
        <f>IF(AND(OR(N2939="131",O2939="131"),H2939='131-CT'!$H$9),"x","")</f>
        <v/>
      </c>
      <c r="Z2939" s="75"/>
      <c r="AA2939" s="75" t="str">
        <f>IF(AND(MONTH(E2939)='IN-NX'!$J$5,'IN-NX'!$D$7=D2939),"x","")</f>
        <v/>
      </c>
      <c r="AB2939" s="75" t="str">
        <f>IF(AND(OR(LEFT(TH!N2939,2)="15",LEFT(TH!O2939,2)="15"),LEFT(TH!O2939,3)&lt;&gt;"111",'152-CT'!$J$8=TH!F2939),"x","")</f>
        <v/>
      </c>
      <c r="AC2939" s="75" t="str">
        <f>IF(AND(OR(LEFT(TH!N2939,2)="15",LEFT(TH!O2939,2)="15"),TK!$E$7=TH!F2939),"x","")</f>
        <v/>
      </c>
      <c r="AD2939" s="75" t="str">
        <f>IF(AND(N2939="1521",MONTH(C2939)='BK-NL'!$M$11),"x","")</f>
        <v/>
      </c>
    </row>
    <row r="2940" spans="1:30" s="1264" customFormat="1" ht="16.5" customHeight="1">
      <c r="A2940" s="309" t="str">
        <f>IF(B2940&lt;&gt;"",IF(AND(B2940='IN-TC'!$S$4,OR(TH!N2940="1111",TH!O2940="1111")),TH!D2940,""),"")</f>
        <v/>
      </c>
      <c r="B2940" s="1315">
        <f t="shared" si="1049"/>
        <v>6</v>
      </c>
      <c r="C2940" s="71">
        <v>42907</v>
      </c>
      <c r="D2940" s="71" t="s">
        <v>902</v>
      </c>
      <c r="E2940" s="71">
        <f t="shared" si="1053"/>
        <v>42907</v>
      </c>
      <c r="F2940" s="1238" t="s">
        <v>1623</v>
      </c>
      <c r="G2940" s="72" t="s">
        <v>747</v>
      </c>
      <c r="H2940" s="296" t="s">
        <v>2453</v>
      </c>
      <c r="I2940" s="73"/>
      <c r="J2940" s="1239"/>
      <c r="K2940" s="1213">
        <v>17.52</v>
      </c>
      <c r="L2940" s="377">
        <v>22700</v>
      </c>
      <c r="M2940" s="74">
        <f t="shared" si="1058"/>
        <v>397704</v>
      </c>
      <c r="N2940" s="75" t="s">
        <v>99</v>
      </c>
      <c r="O2940" s="934" t="s">
        <v>256</v>
      </c>
      <c r="P2940" s="75" t="str">
        <f>IF(AND('331-CT'!$E$7=TH!H2940,OR(N2940="331",O2940="331")),"x","")</f>
        <v/>
      </c>
      <c r="Q2940" s="75" t="str">
        <f>IF(AND(B2940='111'!$L$11,OR($N2940=$Q$7,$O2940=$Q$7)),"x","")</f>
        <v/>
      </c>
      <c r="R2940" s="75" t="str">
        <f>IF(AND($N2940=$Q$7,$B2940&lt;'111'!$L$11),"x","")</f>
        <v/>
      </c>
      <c r="S2940" s="75" t="str">
        <f>IF(AND($O2940=$Q$7,$B2940&lt;'111'!$L$11),"x","")</f>
        <v/>
      </c>
      <c r="T2940" s="75" t="str">
        <f>IF(ISERROR(FIND('112'!$M$9,G2940,1)),"",IF((AND(FIND('112'!$M$9,G2940,1)&gt;=1,B2940='112'!$K$9,OR($N2940='112'!$I$6,$O2940='112'!$I$6))),"x",""))</f>
        <v/>
      </c>
      <c r="U2940" s="75" t="str">
        <f>IF(ISERROR(FIND('112'!$M$9,G2940,1)),"",IF((AND(LEFT(G2940,2)=LEFT('112'!$M$9,2),B2940&lt;'112'!$K$9,$N2940='112'!$I$6)),"x",""))</f>
        <v/>
      </c>
      <c r="V2940" s="75" t="str">
        <f>IF(ISERROR(FIND('112'!$M$9,G2940,1)),"",IF((AND(RIGHT(G2940,2)=RIGHT('112'!$M$9,2),B2940&lt;'112'!$K$9,$O2940='112'!$I$6)),"x",""))</f>
        <v/>
      </c>
      <c r="W2940" s="75" t="str">
        <f>IF(AND('341-CT'!$H$9=H2940,OR(LEFT(N2940,3)=$W$7,LEFT(O2940,3)=$W$7)),"x","")</f>
        <v/>
      </c>
      <c r="X2940" s="75" t="str">
        <f>IF(OR(TH!N2940=TH!$X$7,O2940=TH!$X$7),"x","")</f>
        <v/>
      </c>
      <c r="Y2940" s="75" t="str">
        <f>IF(AND(OR(N2940="131",O2940="131"),H2940='131-CT'!$H$9),"x","")</f>
        <v/>
      </c>
      <c r="Z2940" s="75"/>
      <c r="AA2940" s="75" t="str">
        <f>IF(AND(MONTH(E2940)='IN-NX'!$J$5,'IN-NX'!$D$7=D2940),"x","")</f>
        <v/>
      </c>
      <c r="AB2940" s="75" t="str">
        <f>IF(AND(OR(LEFT(TH!N2940,2)="15",LEFT(TH!O2940,2)="15"),LEFT(TH!O2940,3)&lt;&gt;"111",'152-CT'!$J$8=TH!F2940),"x","")</f>
        <v/>
      </c>
      <c r="AC2940" s="75" t="str">
        <f>IF(AND(OR(LEFT(TH!N2940,2)="15",LEFT(TH!O2940,2)="15"),TK!$E$7=TH!F2940),"x","")</f>
        <v/>
      </c>
      <c r="AD2940" s="75" t="str">
        <f>IF(AND(N2940="1521",MONTH(C2940)='BK-NL'!$M$11),"x","")</f>
        <v/>
      </c>
    </row>
    <row r="2941" spans="1:30" s="1264" customFormat="1" ht="16.5" customHeight="1">
      <c r="A2941" s="309" t="str">
        <f>IF(B2941&lt;&gt;"",IF(AND(B2941='IN-TC'!$S$4,OR(TH!N2941="1111",TH!O2941="1111")),TH!D2941,""),"")</f>
        <v/>
      </c>
      <c r="B2941" s="1315">
        <f t="shared" si="1049"/>
        <v>6</v>
      </c>
      <c r="C2941" s="71">
        <v>42907</v>
      </c>
      <c r="D2941" s="71" t="s">
        <v>902</v>
      </c>
      <c r="E2941" s="71">
        <f t="shared" si="1053"/>
        <v>42907</v>
      </c>
      <c r="F2941" s="1238" t="s">
        <v>1624</v>
      </c>
      <c r="G2941" s="72" t="s">
        <v>747</v>
      </c>
      <c r="H2941" s="296" t="s">
        <v>2453</v>
      </c>
      <c r="I2941" s="73"/>
      <c r="J2941" s="1239"/>
      <c r="K2941" s="1213">
        <v>115.31</v>
      </c>
      <c r="L2941" s="377">
        <v>22700</v>
      </c>
      <c r="M2941" s="74">
        <f t="shared" si="1058"/>
        <v>2617537</v>
      </c>
      <c r="N2941" s="75" t="s">
        <v>99</v>
      </c>
      <c r="O2941" s="934" t="s">
        <v>256</v>
      </c>
      <c r="P2941" s="75" t="str">
        <f>IF(AND('331-CT'!$E$7=TH!H2941,OR(N2941="331",O2941="331")),"x","")</f>
        <v/>
      </c>
      <c r="Q2941" s="75" t="str">
        <f>IF(AND(B2941='111'!$L$11,OR($N2941=$Q$7,$O2941=$Q$7)),"x","")</f>
        <v/>
      </c>
      <c r="R2941" s="75" t="str">
        <f>IF(AND($N2941=$Q$7,$B2941&lt;'111'!$L$11),"x","")</f>
        <v/>
      </c>
      <c r="S2941" s="75" t="str">
        <f>IF(AND($O2941=$Q$7,$B2941&lt;'111'!$L$11),"x","")</f>
        <v/>
      </c>
      <c r="T2941" s="75" t="str">
        <f>IF(ISERROR(FIND('112'!$M$9,G2941,1)),"",IF((AND(FIND('112'!$M$9,G2941,1)&gt;=1,B2941='112'!$K$9,OR($N2941='112'!$I$6,$O2941='112'!$I$6))),"x",""))</f>
        <v/>
      </c>
      <c r="U2941" s="75" t="str">
        <f>IF(ISERROR(FIND('112'!$M$9,G2941,1)),"",IF((AND(LEFT(G2941,2)=LEFT('112'!$M$9,2),B2941&lt;'112'!$K$9,$N2941='112'!$I$6)),"x",""))</f>
        <v/>
      </c>
      <c r="V2941" s="75" t="str">
        <f>IF(ISERROR(FIND('112'!$M$9,G2941,1)),"",IF((AND(RIGHT(G2941,2)=RIGHT('112'!$M$9,2),B2941&lt;'112'!$K$9,$O2941='112'!$I$6)),"x",""))</f>
        <v/>
      </c>
      <c r="W2941" s="75" t="str">
        <f>IF(AND('341-CT'!$H$9=H2941,OR(LEFT(N2941,3)=$W$7,LEFT(O2941,3)=$W$7)),"x","")</f>
        <v/>
      </c>
      <c r="X2941" s="75" t="str">
        <f>IF(OR(TH!N2941=TH!$X$7,O2941=TH!$X$7),"x","")</f>
        <v/>
      </c>
      <c r="Y2941" s="75" t="str">
        <f>IF(AND(OR(N2941="131",O2941="131"),H2941='131-CT'!$H$9),"x","")</f>
        <v/>
      </c>
      <c r="Z2941" s="75"/>
      <c r="AA2941" s="75" t="str">
        <f>IF(AND(MONTH(E2941)='IN-NX'!$J$5,'IN-NX'!$D$7=D2941),"x","")</f>
        <v/>
      </c>
      <c r="AB2941" s="75" t="str">
        <f>IF(AND(OR(LEFT(TH!N2941,2)="15",LEFT(TH!O2941,2)="15"),LEFT(TH!O2941,3)&lt;&gt;"111",'152-CT'!$J$8=TH!F2941),"x","")</f>
        <v/>
      </c>
      <c r="AC2941" s="75" t="str">
        <f>IF(AND(OR(LEFT(TH!N2941,2)="15",LEFT(TH!O2941,2)="15"),TK!$E$7=TH!F2941),"x","")</f>
        <v/>
      </c>
      <c r="AD2941" s="75" t="str">
        <f>IF(AND(N2941="1521",MONTH(C2941)='BK-NL'!$M$11),"x","")</f>
        <v/>
      </c>
    </row>
    <row r="2942" spans="1:30" s="1264" customFormat="1" ht="16.5" customHeight="1">
      <c r="A2942" s="309" t="str">
        <f>IF(B2942&lt;&gt;"",IF(AND(B2942='IN-TC'!$S$4,OR(TH!N2942="1111",TH!O2942="1111")),TH!D2942,""),"")</f>
        <v/>
      </c>
      <c r="B2942" s="1315">
        <f t="shared" si="1049"/>
        <v>6</v>
      </c>
      <c r="C2942" s="71">
        <v>42907</v>
      </c>
      <c r="D2942" s="71" t="s">
        <v>902</v>
      </c>
      <c r="E2942" s="71">
        <f t="shared" si="1053"/>
        <v>42907</v>
      </c>
      <c r="F2942" s="72" t="s">
        <v>1321</v>
      </c>
      <c r="G2942" s="72" t="s">
        <v>747</v>
      </c>
      <c r="H2942" s="296" t="s">
        <v>2453</v>
      </c>
      <c r="I2942" s="73"/>
      <c r="J2942" s="1239"/>
      <c r="K2942" s="1213">
        <v>31004.33</v>
      </c>
      <c r="L2942" s="377">
        <v>22700</v>
      </c>
      <c r="M2942" s="74">
        <f t="shared" si="1058"/>
        <v>703798291</v>
      </c>
      <c r="N2942" s="75" t="s">
        <v>250</v>
      </c>
      <c r="O2942" s="934" t="s">
        <v>256</v>
      </c>
      <c r="P2942" s="75" t="str">
        <f>IF(AND('331-CT'!$E$7=TH!H2942,OR(N2942="331",O2942="331")),"x","")</f>
        <v/>
      </c>
      <c r="Q2942" s="75" t="str">
        <f>IF(AND(B2942='111'!$L$11,OR($N2942=$Q$7,$O2942=$Q$7)),"x","")</f>
        <v/>
      </c>
      <c r="R2942" s="75" t="str">
        <f>IF(AND($N2942=$Q$7,$B2942&lt;'111'!$L$11),"x","")</f>
        <v/>
      </c>
      <c r="S2942" s="75" t="str">
        <f>IF(AND($O2942=$Q$7,$B2942&lt;'111'!$L$11),"x","")</f>
        <v/>
      </c>
      <c r="T2942" s="75" t="str">
        <f>IF(ISERROR(FIND('112'!$M$9,G2942,1)),"",IF((AND(FIND('112'!$M$9,G2942,1)&gt;=1,B2942='112'!$K$9,OR($N2942='112'!$I$6,$O2942='112'!$I$6))),"x",""))</f>
        <v/>
      </c>
      <c r="U2942" s="75" t="str">
        <f>IF(ISERROR(FIND('112'!$M$9,G2942,1)),"",IF((AND(LEFT(G2942,2)=LEFT('112'!$M$9,2),B2942&lt;'112'!$K$9,$N2942='112'!$I$6)),"x",""))</f>
        <v/>
      </c>
      <c r="V2942" s="75" t="str">
        <f>IF(ISERROR(FIND('112'!$M$9,G2942,1)),"",IF((AND(RIGHT(G2942,2)=RIGHT('112'!$M$9,2),B2942&lt;'112'!$K$9,$O2942='112'!$I$6)),"x",""))</f>
        <v/>
      </c>
      <c r="W2942" s="75" t="str">
        <f>IF(AND('341-CT'!$H$9=H2942,OR(LEFT(N2942,3)=$W$7,LEFT(O2942,3)=$W$7)),"x","")</f>
        <v/>
      </c>
      <c r="X2942" s="75" t="str">
        <f>IF(OR(TH!N2942=TH!$X$7,O2942=TH!$X$7),"x","")</f>
        <v/>
      </c>
      <c r="Y2942" s="75" t="str">
        <f>IF(AND(OR(N2942="131",O2942="131"),H2942='131-CT'!$H$9),"x","")</f>
        <v/>
      </c>
      <c r="Z2942" s="75"/>
      <c r="AA2942" s="75" t="str">
        <f>IF(AND(MONTH(E2942)='IN-NX'!$J$5,'IN-NX'!$D$7=D2942),"x","")</f>
        <v/>
      </c>
      <c r="AB2942" s="75" t="str">
        <f>IF(AND(OR(LEFT(TH!N2942,2)="15",LEFT(TH!O2942,2)="15"),LEFT(TH!O2942,3)&lt;&gt;"111",'152-CT'!$J$8=TH!F2942),"x","")</f>
        <v/>
      </c>
      <c r="AC2942" s="75" t="str">
        <f>IF(AND(OR(LEFT(TH!N2942,2)="15",LEFT(TH!O2942,2)="15"),TK!$E$7=TH!F2942),"x","")</f>
        <v/>
      </c>
      <c r="AD2942" s="75" t="str">
        <f>IF(AND(N2942="1521",MONTH(C2942)='BK-NL'!$M$11),"x","")</f>
        <v/>
      </c>
    </row>
    <row r="2943" spans="1:30" s="1264" customFormat="1" ht="16.5" customHeight="1">
      <c r="A2943" s="309" t="str">
        <f>IF(B2943&lt;&gt;"",IF(AND(B2943='IN-TC'!$S$4,OR(TH!N2943="1111",TH!O2943="1111")),TH!D2943,""),"")</f>
        <v/>
      </c>
      <c r="B2943" s="1315">
        <f t="shared" si="1049"/>
        <v>6</v>
      </c>
      <c r="C2943" s="71">
        <v>42907</v>
      </c>
      <c r="D2943" s="71" t="s">
        <v>530</v>
      </c>
      <c r="E2943" s="71">
        <f t="shared" si="1053"/>
        <v>42907</v>
      </c>
      <c r="F2943" s="1238" t="s">
        <v>1010</v>
      </c>
      <c r="G2943" s="72" t="s">
        <v>747</v>
      </c>
      <c r="H2943" s="296" t="s">
        <v>2453</v>
      </c>
      <c r="I2943" s="73"/>
      <c r="J2943" s="1239"/>
      <c r="K2943" s="1213"/>
      <c r="L2943" s="377"/>
      <c r="M2943" s="74">
        <v>775109</v>
      </c>
      <c r="N2943" s="75" t="s">
        <v>99</v>
      </c>
      <c r="O2943" s="75" t="s">
        <v>250</v>
      </c>
      <c r="P2943" s="75" t="str">
        <f>IF(AND('331-CT'!$E$7=TH!H2943,OR(N2943="331",O2943="331")),"x","")</f>
        <v/>
      </c>
      <c r="Q2943" s="75" t="str">
        <f>IF(AND(B2943='111'!$L$11,OR($N2943=$Q$7,$O2943=$Q$7)),"x","")</f>
        <v/>
      </c>
      <c r="R2943" s="75" t="str">
        <f>IF(AND($N2943=$Q$7,$B2943&lt;'111'!$L$11),"x","")</f>
        <v/>
      </c>
      <c r="S2943" s="75" t="str">
        <f>IF(AND($O2943=$Q$7,$B2943&lt;'111'!$L$11),"x","")</f>
        <v/>
      </c>
      <c r="T2943" s="75" t="str">
        <f>IF(ISERROR(FIND('112'!$M$9,G2943,1)),"",IF((AND(FIND('112'!$M$9,G2943,1)&gt;=1,B2943='112'!$K$9,OR($N2943='112'!$I$6,$O2943='112'!$I$6))),"x",""))</f>
        <v/>
      </c>
      <c r="U2943" s="75" t="str">
        <f>IF(ISERROR(FIND('112'!$M$9,G2943,1)),"",IF((AND(LEFT(G2943,2)=LEFT('112'!$M$9,2),B2943&lt;'112'!$K$9,$N2943='112'!$I$6)),"x",""))</f>
        <v/>
      </c>
      <c r="V2943" s="75" t="str">
        <f>IF(ISERROR(FIND('112'!$M$9,G2943,1)),"",IF((AND(RIGHT(G2943,2)=RIGHT('112'!$M$9,2),B2943&lt;'112'!$K$9,$O2943='112'!$I$6)),"x",""))</f>
        <v/>
      </c>
      <c r="W2943" s="75" t="str">
        <f>IF(AND('341-CT'!$H$9=H2943,OR(LEFT(N2943,3)=$W$7,LEFT(O2943,3)=$W$7)),"x","")</f>
        <v/>
      </c>
      <c r="X2943" s="75" t="str">
        <f>IF(OR(TH!N2943=TH!$X$7,O2943=TH!$X$7),"x","")</f>
        <v/>
      </c>
      <c r="Y2943" s="75" t="str">
        <f>IF(AND(OR(N2943="131",O2943="131"),H2943='131-CT'!$H$9),"x","")</f>
        <v/>
      </c>
      <c r="Z2943" s="75"/>
      <c r="AA2943" s="75" t="str">
        <f>IF(AND(MONTH(E2943)='IN-NX'!$J$5,'IN-NX'!$D$7=D2943),"x","")</f>
        <v/>
      </c>
      <c r="AB2943" s="75" t="str">
        <f>IF(AND(OR(LEFT(TH!N2943,2)="15",LEFT(TH!O2943,2)="15"),LEFT(TH!O2943,3)&lt;&gt;"111",'152-CT'!$J$8=TH!F2943),"x","")</f>
        <v/>
      </c>
      <c r="AC2943" s="75" t="str">
        <f>IF(AND(OR(LEFT(TH!N2943,2)="15",LEFT(TH!O2943,2)="15"),TK!$E$7=TH!F2943),"x","")</f>
        <v/>
      </c>
      <c r="AD2943" s="75" t="str">
        <f>IF(AND(N2943="1521",MONTH(C2943)='BK-NL'!$M$11),"x","")</f>
        <v/>
      </c>
    </row>
    <row r="2944" spans="1:30" s="1264" customFormat="1" ht="16.5" customHeight="1">
      <c r="A2944" s="309" t="str">
        <f>IF(B2944&lt;&gt;"",IF(AND(B2944='IN-TC'!$S$4,OR(TH!N2944="1111",TH!O2944="1111")),TH!D2944,""),"")</f>
        <v/>
      </c>
      <c r="B2944" s="1315">
        <f t="shared" si="1049"/>
        <v>6</v>
      </c>
      <c r="C2944" s="71">
        <v>42907</v>
      </c>
      <c r="D2944" s="71" t="s">
        <v>902</v>
      </c>
      <c r="E2944" s="71">
        <f t="shared" si="1053"/>
        <v>42907</v>
      </c>
      <c r="F2944" s="72" t="s">
        <v>1096</v>
      </c>
      <c r="G2944" s="72" t="s">
        <v>747</v>
      </c>
      <c r="H2944" s="73" t="s">
        <v>2328</v>
      </c>
      <c r="I2944" s="73"/>
      <c r="J2944" s="1239"/>
      <c r="K2944" s="1213">
        <v>62.92</v>
      </c>
      <c r="L2944" s="377">
        <v>22700</v>
      </c>
      <c r="M2944" s="74">
        <f t="shared" ref="M2944" si="1059">ROUND(K2944*L2944,0)</f>
        <v>1428284</v>
      </c>
      <c r="N2944" s="75" t="s">
        <v>99</v>
      </c>
      <c r="O2944" s="934" t="s">
        <v>256</v>
      </c>
      <c r="P2944" s="75" t="str">
        <f>IF(AND('331-CT'!$E$7=TH!H2944,OR(N2944="331",O2944="331")),"x","")</f>
        <v/>
      </c>
      <c r="Q2944" s="75" t="str">
        <f>IF(AND(B2944='111'!$L$11,OR($N2944=$Q$7,$O2944=$Q$7)),"x","")</f>
        <v/>
      </c>
      <c r="R2944" s="75" t="str">
        <f>IF(AND($N2944=$Q$7,$B2944&lt;'111'!$L$11),"x","")</f>
        <v/>
      </c>
      <c r="S2944" s="75" t="str">
        <f>IF(AND($O2944=$Q$7,$B2944&lt;'111'!$L$11),"x","")</f>
        <v/>
      </c>
      <c r="T2944" s="75" t="str">
        <f>IF(ISERROR(FIND('112'!$M$9,G2944,1)),"",IF((AND(FIND('112'!$M$9,G2944,1)&gt;=1,B2944='112'!$K$9,OR($N2944='112'!$I$6,$O2944='112'!$I$6))),"x",""))</f>
        <v/>
      </c>
      <c r="U2944" s="75" t="str">
        <f>IF(ISERROR(FIND('112'!$M$9,G2944,1)),"",IF((AND(LEFT(G2944,2)=LEFT('112'!$M$9,2),B2944&lt;'112'!$K$9,$N2944='112'!$I$6)),"x",""))</f>
        <v/>
      </c>
      <c r="V2944" s="75" t="str">
        <f>IF(ISERROR(FIND('112'!$M$9,G2944,1)),"",IF((AND(RIGHT(G2944,2)=RIGHT('112'!$M$9,2),B2944&lt;'112'!$K$9,$O2944='112'!$I$6)),"x",""))</f>
        <v/>
      </c>
      <c r="W2944" s="75" t="str">
        <f>IF(AND('341-CT'!$H$9=H2944,OR(LEFT(N2944,3)=$W$7,LEFT(O2944,3)=$W$7)),"x","")</f>
        <v/>
      </c>
      <c r="X2944" s="75" t="str">
        <f>IF(OR(TH!N2944=TH!$X$7,O2944=TH!$X$7),"x","")</f>
        <v/>
      </c>
      <c r="Y2944" s="75" t="str">
        <f>IF(AND(OR(N2944="131",O2944="131"),H2944='131-CT'!$H$9),"x","")</f>
        <v/>
      </c>
      <c r="Z2944" s="75"/>
      <c r="AA2944" s="75" t="str">
        <f>IF(AND(MONTH(E2944)='IN-NX'!$J$5,'IN-NX'!$D$7=D2944),"x","")</f>
        <v/>
      </c>
      <c r="AB2944" s="75" t="str">
        <f>IF(AND(OR(LEFT(TH!N2944,2)="15",LEFT(TH!O2944,2)="15"),LEFT(TH!O2944,3)&lt;&gt;"111",'152-CT'!$J$8=TH!F2944),"x","")</f>
        <v/>
      </c>
      <c r="AC2944" s="75" t="str">
        <f>IF(AND(OR(LEFT(TH!N2944,2)="15",LEFT(TH!O2944,2)="15"),TK!$E$7=TH!F2944),"x","")</f>
        <v/>
      </c>
      <c r="AD2944" s="75" t="str">
        <f>IF(AND(N2944="1521",MONTH(C2944)='BK-NL'!$M$11),"x","")</f>
        <v/>
      </c>
    </row>
    <row r="2945" spans="1:30" s="1264" customFormat="1" ht="16.5" customHeight="1">
      <c r="A2945" s="309" t="str">
        <f>IF(B2945&lt;&gt;"",IF(AND(B2945='IN-TC'!$S$4,OR(TH!N2945="1111",TH!O2945="1111")),TH!D2945,""),"")</f>
        <v/>
      </c>
      <c r="B2945" s="1315">
        <f t="shared" si="1049"/>
        <v>6</v>
      </c>
      <c r="C2945" s="71">
        <v>42907</v>
      </c>
      <c r="D2945" s="71" t="s">
        <v>902</v>
      </c>
      <c r="E2945" s="71">
        <f t="shared" si="1053"/>
        <v>42907</v>
      </c>
      <c r="F2945" s="72" t="s">
        <v>1321</v>
      </c>
      <c r="G2945" s="72" t="s">
        <v>747</v>
      </c>
      <c r="H2945" s="73" t="s">
        <v>2455</v>
      </c>
      <c r="I2945" s="73"/>
      <c r="J2945" s="1239"/>
      <c r="K2945" s="1213">
        <v>80900</v>
      </c>
      <c r="L2945" s="377">
        <v>22700</v>
      </c>
      <c r="M2945" s="74">
        <f t="shared" ref="M2945" si="1060">ROUND(K2945*L2945,0)</f>
        <v>1836430000</v>
      </c>
      <c r="N2945" s="75" t="s">
        <v>250</v>
      </c>
      <c r="O2945" s="934" t="s">
        <v>256</v>
      </c>
      <c r="P2945" s="75" t="str">
        <f>IF(AND('331-CT'!$E$7=TH!H2945,OR(N2945="331",O2945="331")),"x","")</f>
        <v/>
      </c>
      <c r="Q2945" s="75" t="str">
        <f>IF(AND(B2945='111'!$L$11,OR($N2945=$Q$7,$O2945=$Q$7)),"x","")</f>
        <v/>
      </c>
      <c r="R2945" s="75" t="str">
        <f>IF(AND($N2945=$Q$7,$B2945&lt;'111'!$L$11),"x","")</f>
        <v/>
      </c>
      <c r="S2945" s="75" t="str">
        <f>IF(AND($O2945=$Q$7,$B2945&lt;'111'!$L$11),"x","")</f>
        <v/>
      </c>
      <c r="T2945" s="75" t="str">
        <f>IF(ISERROR(FIND('112'!$M$9,G2945,1)),"",IF((AND(FIND('112'!$M$9,G2945,1)&gt;=1,B2945='112'!$K$9,OR($N2945='112'!$I$6,$O2945='112'!$I$6))),"x",""))</f>
        <v/>
      </c>
      <c r="U2945" s="75" t="str">
        <f>IF(ISERROR(FIND('112'!$M$9,G2945,1)),"",IF((AND(LEFT(G2945,2)=LEFT('112'!$M$9,2),B2945&lt;'112'!$K$9,$N2945='112'!$I$6)),"x",""))</f>
        <v/>
      </c>
      <c r="V2945" s="75" t="str">
        <f>IF(ISERROR(FIND('112'!$M$9,G2945,1)),"",IF((AND(RIGHT(G2945,2)=RIGHT('112'!$M$9,2),B2945&lt;'112'!$K$9,$O2945='112'!$I$6)),"x",""))</f>
        <v/>
      </c>
      <c r="W2945" s="75" t="str">
        <f>IF(AND('341-CT'!$H$9=H2945,OR(LEFT(N2945,3)=$W$7,LEFT(O2945,3)=$W$7)),"x","")</f>
        <v/>
      </c>
      <c r="X2945" s="75" t="str">
        <f>IF(OR(TH!N2945=TH!$X$7,O2945=TH!$X$7),"x","")</f>
        <v/>
      </c>
      <c r="Y2945" s="75" t="str">
        <f>IF(AND(OR(N2945="131",O2945="131"),H2945='131-CT'!$H$9),"x","")</f>
        <v/>
      </c>
      <c r="Z2945" s="75"/>
      <c r="AA2945" s="75" t="str">
        <f>IF(AND(MONTH(E2945)='IN-NX'!$J$5,'IN-NX'!$D$7=D2945),"x","")</f>
        <v/>
      </c>
      <c r="AB2945" s="75" t="str">
        <f>IF(AND(OR(LEFT(TH!N2945,2)="15",LEFT(TH!O2945,2)="15"),LEFT(TH!O2945,3)&lt;&gt;"111",'152-CT'!$J$8=TH!F2945),"x","")</f>
        <v/>
      </c>
      <c r="AC2945" s="75" t="str">
        <f>IF(AND(OR(LEFT(TH!N2945,2)="15",LEFT(TH!O2945,2)="15"),TK!$E$7=TH!F2945),"x","")</f>
        <v/>
      </c>
      <c r="AD2945" s="75" t="str">
        <f>IF(AND(N2945="1521",MONTH(C2945)='BK-NL'!$M$11),"x","")</f>
        <v/>
      </c>
    </row>
    <row r="2946" spans="1:30" s="1264" customFormat="1" ht="16.5" customHeight="1">
      <c r="A2946" s="309" t="str">
        <f>IF(B2946&lt;&gt;"",IF(AND(B2946='IN-TC'!$S$4,OR(TH!N2946="1111",TH!O2946="1111")),TH!D2946,""),"")</f>
        <v/>
      </c>
      <c r="B2946" s="1315">
        <f t="shared" si="1049"/>
        <v>6</v>
      </c>
      <c r="C2946" s="71">
        <v>42907</v>
      </c>
      <c r="D2946" s="71" t="s">
        <v>530</v>
      </c>
      <c r="E2946" s="71">
        <f t="shared" si="1053"/>
        <v>42907</v>
      </c>
      <c r="F2946" s="1238" t="s">
        <v>1010</v>
      </c>
      <c r="G2946" s="72" t="s">
        <v>747</v>
      </c>
      <c r="H2946" s="73" t="s">
        <v>2455</v>
      </c>
      <c r="I2946" s="73"/>
      <c r="J2946" s="1239"/>
      <c r="K2946" s="1213"/>
      <c r="L2946" s="377"/>
      <c r="M2946" s="74">
        <v>291900</v>
      </c>
      <c r="N2946" s="75" t="s">
        <v>99</v>
      </c>
      <c r="O2946" s="75" t="s">
        <v>250</v>
      </c>
      <c r="P2946" s="75" t="str">
        <f>IF(AND('331-CT'!$E$7=TH!H2946,OR(N2946="331",O2946="331")),"x","")</f>
        <v/>
      </c>
      <c r="Q2946" s="75" t="str">
        <f>IF(AND(B2946='111'!$L$11,OR($N2946=$Q$7,$O2946=$Q$7)),"x","")</f>
        <v/>
      </c>
      <c r="R2946" s="75" t="str">
        <f>IF(AND($N2946=$Q$7,$B2946&lt;'111'!$L$11),"x","")</f>
        <v/>
      </c>
      <c r="S2946" s="75" t="str">
        <f>IF(AND($O2946=$Q$7,$B2946&lt;'111'!$L$11),"x","")</f>
        <v/>
      </c>
      <c r="T2946" s="75" t="str">
        <f>IF(ISERROR(FIND('112'!$M$9,G2946,1)),"",IF((AND(FIND('112'!$M$9,G2946,1)&gt;=1,B2946='112'!$K$9,OR($N2946='112'!$I$6,$O2946='112'!$I$6))),"x",""))</f>
        <v/>
      </c>
      <c r="U2946" s="75" t="str">
        <f>IF(ISERROR(FIND('112'!$M$9,G2946,1)),"",IF((AND(LEFT(G2946,2)=LEFT('112'!$M$9,2),B2946&lt;'112'!$K$9,$N2946='112'!$I$6)),"x",""))</f>
        <v/>
      </c>
      <c r="V2946" s="75" t="str">
        <f>IF(ISERROR(FIND('112'!$M$9,G2946,1)),"",IF((AND(RIGHT(G2946,2)=RIGHT('112'!$M$9,2),B2946&lt;'112'!$K$9,$O2946='112'!$I$6)),"x",""))</f>
        <v/>
      </c>
      <c r="W2946" s="75" t="str">
        <f>IF(AND('341-CT'!$H$9=H2946,OR(LEFT(N2946,3)=$W$7,LEFT(O2946,3)=$W$7)),"x","")</f>
        <v/>
      </c>
      <c r="X2946" s="75" t="str">
        <f>IF(OR(TH!N2946=TH!$X$7,O2946=TH!$X$7),"x","")</f>
        <v/>
      </c>
      <c r="Y2946" s="75" t="str">
        <f>IF(AND(OR(N2946="131",O2946="131"),H2946='131-CT'!$H$9),"x","")</f>
        <v/>
      </c>
      <c r="Z2946" s="75"/>
      <c r="AA2946" s="75" t="str">
        <f>IF(AND(MONTH(E2946)='IN-NX'!$J$5,'IN-NX'!$D$7=D2946),"x","")</f>
        <v/>
      </c>
      <c r="AB2946" s="75" t="str">
        <f>IF(AND(OR(LEFT(TH!N2946,2)="15",LEFT(TH!O2946,2)="15"),LEFT(TH!O2946,3)&lt;&gt;"111",'152-CT'!$J$8=TH!F2946),"x","")</f>
        <v/>
      </c>
      <c r="AC2946" s="75" t="str">
        <f>IF(AND(OR(LEFT(TH!N2946,2)="15",LEFT(TH!O2946,2)="15"),TK!$E$7=TH!F2946),"x","")</f>
        <v/>
      </c>
      <c r="AD2946" s="75" t="str">
        <f>IF(AND(N2946="1521",MONTH(C2946)='BK-NL'!$M$11),"x","")</f>
        <v/>
      </c>
    </row>
    <row r="2947" spans="1:30" s="1264" customFormat="1" ht="16.5" customHeight="1">
      <c r="A2947" s="309" t="str">
        <f>IF(B2947&lt;&gt;"",IF(AND(B2947='IN-TC'!$S$4,OR(TH!N2947="1111",TH!O2947="1111")),TH!D2947,""),"")</f>
        <v/>
      </c>
      <c r="B2947" s="1315">
        <f t="shared" si="1049"/>
        <v>6</v>
      </c>
      <c r="C2947" s="71">
        <v>42907</v>
      </c>
      <c r="D2947" s="71" t="s">
        <v>902</v>
      </c>
      <c r="E2947" s="71">
        <f t="shared" si="1053"/>
        <v>42907</v>
      </c>
      <c r="F2947" s="72" t="s">
        <v>1096</v>
      </c>
      <c r="G2947" s="72" t="s">
        <v>747</v>
      </c>
      <c r="H2947" s="735" t="s">
        <v>1008</v>
      </c>
      <c r="I2947" s="73"/>
      <c r="J2947" s="1239"/>
      <c r="K2947" s="1213">
        <v>212.5</v>
      </c>
      <c r="L2947" s="377">
        <v>22700</v>
      </c>
      <c r="M2947" s="74">
        <f t="shared" ref="M2947" si="1061">ROUND(K2947*L2947,0)</f>
        <v>4823750</v>
      </c>
      <c r="N2947" s="75" t="s">
        <v>99</v>
      </c>
      <c r="O2947" s="934" t="s">
        <v>256</v>
      </c>
      <c r="P2947" s="75" t="str">
        <f>IF(AND('331-CT'!$E$7=TH!H2947,OR(N2947="331",O2947="331")),"x","")</f>
        <v/>
      </c>
      <c r="Q2947" s="75" t="str">
        <f>IF(AND(B2947='111'!$L$11,OR($N2947=$Q$7,$O2947=$Q$7)),"x","")</f>
        <v/>
      </c>
      <c r="R2947" s="75" t="str">
        <f>IF(AND($N2947=$Q$7,$B2947&lt;'111'!$L$11),"x","")</f>
        <v/>
      </c>
      <c r="S2947" s="75" t="str">
        <f>IF(AND($O2947=$Q$7,$B2947&lt;'111'!$L$11),"x","")</f>
        <v/>
      </c>
      <c r="T2947" s="75" t="str">
        <f>IF(ISERROR(FIND('112'!$M$9,G2947,1)),"",IF((AND(FIND('112'!$M$9,G2947,1)&gt;=1,B2947='112'!$K$9,OR($N2947='112'!$I$6,$O2947='112'!$I$6))),"x",""))</f>
        <v/>
      </c>
      <c r="U2947" s="75" t="str">
        <f>IF(ISERROR(FIND('112'!$M$9,G2947,1)),"",IF((AND(LEFT(G2947,2)=LEFT('112'!$M$9,2),B2947&lt;'112'!$K$9,$N2947='112'!$I$6)),"x",""))</f>
        <v/>
      </c>
      <c r="V2947" s="75" t="str">
        <f>IF(ISERROR(FIND('112'!$M$9,G2947,1)),"",IF((AND(RIGHT(G2947,2)=RIGHT('112'!$M$9,2),B2947&lt;'112'!$K$9,$O2947='112'!$I$6)),"x",""))</f>
        <v/>
      </c>
      <c r="W2947" s="75" t="str">
        <f>IF(AND('341-CT'!$H$9=H2947,OR(LEFT(N2947,3)=$W$7,LEFT(O2947,3)=$W$7)),"x","")</f>
        <v/>
      </c>
      <c r="X2947" s="75" t="str">
        <f>IF(OR(TH!N2947=TH!$X$7,O2947=TH!$X$7),"x","")</f>
        <v/>
      </c>
      <c r="Y2947" s="75" t="str">
        <f>IF(AND(OR(N2947="131",O2947="131"),H2947='131-CT'!$H$9),"x","")</f>
        <v/>
      </c>
      <c r="Z2947" s="75"/>
      <c r="AA2947" s="75" t="str">
        <f>IF(AND(MONTH(E2947)='IN-NX'!$J$5,'IN-NX'!$D$7=D2947),"x","")</f>
        <v/>
      </c>
      <c r="AB2947" s="75" t="str">
        <f>IF(AND(OR(LEFT(TH!N2947,2)="15",LEFT(TH!O2947,2)="15"),LEFT(TH!O2947,3)&lt;&gt;"111",'152-CT'!$J$8=TH!F2947),"x","")</f>
        <v/>
      </c>
      <c r="AC2947" s="75" t="str">
        <f>IF(AND(OR(LEFT(TH!N2947,2)="15",LEFT(TH!O2947,2)="15"),TK!$E$7=TH!F2947),"x","")</f>
        <v/>
      </c>
      <c r="AD2947" s="75" t="str">
        <f>IF(AND(N2947="1521",MONTH(C2947)='BK-NL'!$M$11),"x","")</f>
        <v/>
      </c>
    </row>
    <row r="2948" spans="1:30" s="1264" customFormat="1" ht="16.5" customHeight="1">
      <c r="A2948" s="309" t="str">
        <f>IF(B2948&lt;&gt;"",IF(AND(B2948='IN-TC'!$S$4,OR(TH!N2948="1111",TH!O2948="1111")),TH!D2948,""),"")</f>
        <v/>
      </c>
      <c r="B2948" s="1315">
        <f t="shared" si="1049"/>
        <v>6</v>
      </c>
      <c r="C2948" s="71">
        <v>42907</v>
      </c>
      <c r="D2948" s="71" t="s">
        <v>902</v>
      </c>
      <c r="E2948" s="71">
        <f t="shared" si="1053"/>
        <v>42907</v>
      </c>
      <c r="F2948" s="72" t="s">
        <v>1321</v>
      </c>
      <c r="G2948" s="72" t="s">
        <v>747</v>
      </c>
      <c r="H2948" s="735" t="s">
        <v>1008</v>
      </c>
      <c r="I2948" s="73"/>
      <c r="J2948" s="1239"/>
      <c r="K2948" s="1213">
        <v>85000</v>
      </c>
      <c r="L2948" s="377">
        <v>22700</v>
      </c>
      <c r="M2948" s="74">
        <f t="shared" ref="M2948" si="1062">ROUND(K2948*L2948,0)</f>
        <v>1929500000</v>
      </c>
      <c r="N2948" s="75" t="s">
        <v>250</v>
      </c>
      <c r="O2948" s="934" t="s">
        <v>256</v>
      </c>
      <c r="P2948" s="75" t="str">
        <f>IF(AND('331-CT'!$E$7=TH!H2948,OR(N2948="331",O2948="331")),"x","")</f>
        <v/>
      </c>
      <c r="Q2948" s="75" t="str">
        <f>IF(AND(B2948='111'!$L$11,OR($N2948=$Q$7,$O2948=$Q$7)),"x","")</f>
        <v/>
      </c>
      <c r="R2948" s="75" t="str">
        <f>IF(AND($N2948=$Q$7,$B2948&lt;'111'!$L$11),"x","")</f>
        <v/>
      </c>
      <c r="S2948" s="75" t="str">
        <f>IF(AND($O2948=$Q$7,$B2948&lt;'111'!$L$11),"x","")</f>
        <v/>
      </c>
      <c r="T2948" s="75" t="str">
        <f>IF(ISERROR(FIND('112'!$M$9,G2948,1)),"",IF((AND(FIND('112'!$M$9,G2948,1)&gt;=1,B2948='112'!$K$9,OR($N2948='112'!$I$6,$O2948='112'!$I$6))),"x",""))</f>
        <v/>
      </c>
      <c r="U2948" s="75" t="str">
        <f>IF(ISERROR(FIND('112'!$M$9,G2948,1)),"",IF((AND(LEFT(G2948,2)=LEFT('112'!$M$9,2),B2948&lt;'112'!$K$9,$N2948='112'!$I$6)),"x",""))</f>
        <v/>
      </c>
      <c r="V2948" s="75" t="str">
        <f>IF(ISERROR(FIND('112'!$M$9,G2948,1)),"",IF((AND(RIGHT(G2948,2)=RIGHT('112'!$M$9,2),B2948&lt;'112'!$K$9,$O2948='112'!$I$6)),"x",""))</f>
        <v/>
      </c>
      <c r="W2948" s="75" t="str">
        <f>IF(AND('341-CT'!$H$9=H2948,OR(LEFT(N2948,3)=$W$7,LEFT(O2948,3)=$W$7)),"x","")</f>
        <v/>
      </c>
      <c r="X2948" s="75" t="str">
        <f>IF(OR(TH!N2948=TH!$X$7,O2948=TH!$X$7),"x","")</f>
        <v/>
      </c>
      <c r="Y2948" s="75" t="str">
        <f>IF(AND(OR(N2948="131",O2948="131"),H2948='131-CT'!$H$9),"x","")</f>
        <v/>
      </c>
      <c r="Z2948" s="75"/>
      <c r="AA2948" s="75" t="str">
        <f>IF(AND(MONTH(E2948)='IN-NX'!$J$5,'IN-NX'!$D$7=D2948),"x","")</f>
        <v/>
      </c>
      <c r="AB2948" s="75" t="str">
        <f>IF(AND(OR(LEFT(TH!N2948,2)="15",LEFT(TH!O2948,2)="15"),LEFT(TH!O2948,3)&lt;&gt;"111",'152-CT'!$J$8=TH!F2948),"x","")</f>
        <v/>
      </c>
      <c r="AC2948" s="75" t="str">
        <f>IF(AND(OR(LEFT(TH!N2948,2)="15",LEFT(TH!O2948,2)="15"),TK!$E$7=TH!F2948),"x","")</f>
        <v/>
      </c>
      <c r="AD2948" s="75" t="str">
        <f>IF(AND(N2948="1521",MONTH(C2948)='BK-NL'!$M$11),"x","")</f>
        <v/>
      </c>
    </row>
    <row r="2949" spans="1:30" s="1264" customFormat="1" ht="16.5" customHeight="1">
      <c r="A2949" s="309" t="str">
        <f>IF(B2949&lt;&gt;"",IF(AND(B2949='IN-TC'!$S$4,OR(TH!N2949="1111",TH!O2949="1111")),TH!D2949,""),"")</f>
        <v/>
      </c>
      <c r="B2949" s="1315">
        <f t="shared" si="1049"/>
        <v>6</v>
      </c>
      <c r="C2949" s="71">
        <v>42907</v>
      </c>
      <c r="D2949" s="71" t="s">
        <v>530</v>
      </c>
      <c r="E2949" s="71">
        <f t="shared" si="1053"/>
        <v>42907</v>
      </c>
      <c r="F2949" s="1238" t="s">
        <v>1010</v>
      </c>
      <c r="G2949" s="72" t="s">
        <v>747</v>
      </c>
      <c r="H2949" s="735" t="s">
        <v>1008</v>
      </c>
      <c r="I2949" s="73"/>
      <c r="J2949" s="1239"/>
      <c r="K2949" s="1213"/>
      <c r="L2949" s="377"/>
      <c r="M2949" s="74">
        <v>5100000</v>
      </c>
      <c r="N2949" s="75" t="s">
        <v>250</v>
      </c>
      <c r="O2949" s="934" t="s">
        <v>43</v>
      </c>
      <c r="P2949" s="75" t="str">
        <f>IF(AND('331-CT'!$E$7=TH!H2949,OR(N2949="331",O2949="331")),"x","")</f>
        <v/>
      </c>
      <c r="Q2949" s="75" t="str">
        <f>IF(AND(B2949='111'!$L$11,OR($N2949=$Q$7,$O2949=$Q$7)),"x","")</f>
        <v/>
      </c>
      <c r="R2949" s="75" t="str">
        <f>IF(AND($N2949=$Q$7,$B2949&lt;'111'!$L$11),"x","")</f>
        <v/>
      </c>
      <c r="S2949" s="75" t="str">
        <f>IF(AND($O2949=$Q$7,$B2949&lt;'111'!$L$11),"x","")</f>
        <v/>
      </c>
      <c r="T2949" s="75" t="str">
        <f>IF(ISERROR(FIND('112'!$M$9,G2949,1)),"",IF((AND(FIND('112'!$M$9,G2949,1)&gt;=1,B2949='112'!$K$9,OR($N2949='112'!$I$6,$O2949='112'!$I$6))),"x",""))</f>
        <v/>
      </c>
      <c r="U2949" s="75" t="str">
        <f>IF(ISERROR(FIND('112'!$M$9,G2949,1)),"",IF((AND(LEFT(G2949,2)=LEFT('112'!$M$9,2),B2949&lt;'112'!$K$9,$N2949='112'!$I$6)),"x",""))</f>
        <v/>
      </c>
      <c r="V2949" s="75" t="str">
        <f>IF(ISERROR(FIND('112'!$M$9,G2949,1)),"",IF((AND(RIGHT(G2949,2)=RIGHT('112'!$M$9,2),B2949&lt;'112'!$K$9,$O2949='112'!$I$6)),"x",""))</f>
        <v/>
      </c>
      <c r="W2949" s="75" t="str">
        <f>IF(AND('341-CT'!$H$9=H2949,OR(LEFT(N2949,3)=$W$7,LEFT(O2949,3)=$W$7)),"x","")</f>
        <v/>
      </c>
      <c r="X2949" s="75" t="str">
        <f>IF(OR(TH!N2949=TH!$X$7,O2949=TH!$X$7),"x","")</f>
        <v/>
      </c>
      <c r="Y2949" s="75" t="str">
        <f>IF(AND(OR(N2949="131",O2949="131"),H2949='131-CT'!$H$9),"x","")</f>
        <v/>
      </c>
      <c r="Z2949" s="75"/>
      <c r="AA2949" s="75" t="str">
        <f>IF(AND(MONTH(E2949)='IN-NX'!$J$5,'IN-NX'!$D$7=D2949),"x","")</f>
        <v/>
      </c>
      <c r="AB2949" s="75" t="str">
        <f>IF(AND(OR(LEFT(TH!N2949,2)="15",LEFT(TH!O2949,2)="15"),LEFT(TH!O2949,3)&lt;&gt;"111",'152-CT'!$J$8=TH!F2949),"x","")</f>
        <v/>
      </c>
      <c r="AC2949" s="75" t="str">
        <f>IF(AND(OR(LEFT(TH!N2949,2)="15",LEFT(TH!O2949,2)="15"),TK!$E$7=TH!F2949),"x","")</f>
        <v/>
      </c>
      <c r="AD2949" s="75" t="str">
        <f>IF(AND(N2949="1521",MONTH(C2949)='BK-NL'!$M$11),"x","")</f>
        <v/>
      </c>
    </row>
    <row r="2950" spans="1:30" s="1264" customFormat="1" ht="16.5" customHeight="1">
      <c r="A2950" s="309" t="str">
        <f>IF(B2950&lt;&gt;"",IF(AND(B2950='IN-TC'!$S$4,OR(TH!N2950="1111",TH!O2950="1111")),TH!D2950,""),"")</f>
        <v/>
      </c>
      <c r="B2950" s="1315">
        <f t="shared" si="1049"/>
        <v>6</v>
      </c>
      <c r="C2950" s="71">
        <v>42908</v>
      </c>
      <c r="D2950" s="71" t="s">
        <v>902</v>
      </c>
      <c r="E2950" s="71">
        <f t="shared" si="1053"/>
        <v>42908</v>
      </c>
      <c r="F2950" s="72" t="s">
        <v>1096</v>
      </c>
      <c r="G2950" s="72" t="s">
        <v>747</v>
      </c>
      <c r="H2950" s="735" t="s">
        <v>1626</v>
      </c>
      <c r="I2950" s="73"/>
      <c r="J2950" s="1239"/>
      <c r="K2950" s="1213">
        <v>264.79000000000002</v>
      </c>
      <c r="L2950" s="377">
        <v>22700</v>
      </c>
      <c r="M2950" s="74">
        <f t="shared" ref="M2950:M2962" si="1063">ROUND(K2950*L2950,0)</f>
        <v>6010733</v>
      </c>
      <c r="N2950" s="75" t="s">
        <v>99</v>
      </c>
      <c r="O2950" s="934" t="s">
        <v>256</v>
      </c>
      <c r="P2950" s="75" t="str">
        <f>IF(AND('331-CT'!$E$7=TH!H2950,OR(N2950="331",O2950="331")),"x","")</f>
        <v/>
      </c>
      <c r="Q2950" s="75" t="str">
        <f>IF(AND(B2950='111'!$L$11,OR($N2950=$Q$7,$O2950=$Q$7)),"x","")</f>
        <v/>
      </c>
      <c r="R2950" s="75" t="str">
        <f>IF(AND($N2950=$Q$7,$B2950&lt;'111'!$L$11),"x","")</f>
        <v/>
      </c>
      <c r="S2950" s="75" t="str">
        <f>IF(AND($O2950=$Q$7,$B2950&lt;'111'!$L$11),"x","")</f>
        <v/>
      </c>
      <c r="T2950" s="75" t="str">
        <f>IF(ISERROR(FIND('112'!$M$9,G2950,1)),"",IF((AND(FIND('112'!$M$9,G2950,1)&gt;=1,B2950='112'!$K$9,OR($N2950='112'!$I$6,$O2950='112'!$I$6))),"x",""))</f>
        <v/>
      </c>
      <c r="U2950" s="75" t="str">
        <f>IF(ISERROR(FIND('112'!$M$9,G2950,1)),"",IF((AND(LEFT(G2950,2)=LEFT('112'!$M$9,2),B2950&lt;'112'!$K$9,$N2950='112'!$I$6)),"x",""))</f>
        <v/>
      </c>
      <c r="V2950" s="75" t="str">
        <f>IF(ISERROR(FIND('112'!$M$9,G2950,1)),"",IF((AND(RIGHT(G2950,2)=RIGHT('112'!$M$9,2),B2950&lt;'112'!$K$9,$O2950='112'!$I$6)),"x",""))</f>
        <v/>
      </c>
      <c r="W2950" s="75" t="str">
        <f>IF(AND('341-CT'!$H$9=H2950,OR(LEFT(N2950,3)=$W$7,LEFT(O2950,3)=$W$7)),"x","")</f>
        <v/>
      </c>
      <c r="X2950" s="75" t="str">
        <f>IF(OR(TH!N2950=TH!$X$7,O2950=TH!$X$7),"x","")</f>
        <v/>
      </c>
      <c r="Y2950" s="75" t="str">
        <f>IF(AND(OR(N2950="131",O2950="131"),H2950='131-CT'!$H$9),"x","")</f>
        <v/>
      </c>
      <c r="Z2950" s="75"/>
      <c r="AA2950" s="75" t="str">
        <f>IF(AND(MONTH(E2950)='IN-NX'!$J$5,'IN-NX'!$D$7=D2950),"x","")</f>
        <v/>
      </c>
      <c r="AB2950" s="75" t="str">
        <f>IF(AND(OR(LEFT(TH!N2950,2)="15",LEFT(TH!O2950,2)="15"),LEFT(TH!O2950,3)&lt;&gt;"111",'152-CT'!$J$8=TH!F2950),"x","")</f>
        <v/>
      </c>
      <c r="AC2950" s="75" t="str">
        <f>IF(AND(OR(LEFT(TH!N2950,2)="15",LEFT(TH!O2950,2)="15"),TK!$E$7=TH!F2950),"x","")</f>
        <v/>
      </c>
      <c r="AD2950" s="75" t="str">
        <f>IF(AND(N2950="1521",MONTH(C2950)='BK-NL'!$M$11),"x","")</f>
        <v/>
      </c>
    </row>
    <row r="2951" spans="1:30" s="1264" customFormat="1" ht="16.5" customHeight="1">
      <c r="A2951" s="309" t="str">
        <f>IF(B2951&lt;&gt;"",IF(AND(B2951='IN-TC'!$S$4,OR(TH!N2951="1111",TH!O2951="1111")),TH!D2951,""),"")</f>
        <v/>
      </c>
      <c r="B2951" s="1315">
        <f t="shared" si="1049"/>
        <v>6</v>
      </c>
      <c r="C2951" s="71">
        <v>42908</v>
      </c>
      <c r="D2951" s="71" t="s">
        <v>902</v>
      </c>
      <c r="E2951" s="71">
        <f t="shared" si="1053"/>
        <v>42908</v>
      </c>
      <c r="F2951" s="72" t="s">
        <v>1096</v>
      </c>
      <c r="G2951" s="72" t="s">
        <v>747</v>
      </c>
      <c r="H2951" s="735" t="s">
        <v>1627</v>
      </c>
      <c r="I2951" s="73"/>
      <c r="J2951" s="1218"/>
      <c r="K2951" s="1213">
        <v>62.81</v>
      </c>
      <c r="L2951" s="377">
        <v>22700</v>
      </c>
      <c r="M2951" s="74">
        <f t="shared" si="1063"/>
        <v>1425787</v>
      </c>
      <c r="N2951" s="75" t="s">
        <v>99</v>
      </c>
      <c r="O2951" s="934" t="s">
        <v>256</v>
      </c>
      <c r="P2951" s="75" t="str">
        <f>IF(AND('331-CT'!$E$7=TH!H2951,OR(N2951="331",O2951="331")),"x","")</f>
        <v/>
      </c>
      <c r="Q2951" s="75" t="str">
        <f>IF(AND(B2951='111'!$L$11,OR($N2951=$Q$7,$O2951=$Q$7)),"x","")</f>
        <v/>
      </c>
      <c r="R2951" s="75" t="str">
        <f>IF(AND($N2951=$Q$7,$B2951&lt;'111'!$L$11),"x","")</f>
        <v/>
      </c>
      <c r="S2951" s="75" t="str">
        <f>IF(AND($O2951=$Q$7,$B2951&lt;'111'!$L$11),"x","")</f>
        <v/>
      </c>
      <c r="T2951" s="75" t="str">
        <f>IF(ISERROR(FIND('112'!$M$9,G2951,1)),"",IF((AND(FIND('112'!$M$9,G2951,1)&gt;=1,B2951='112'!$K$9,OR($N2951='112'!$I$6,$O2951='112'!$I$6))),"x",""))</f>
        <v/>
      </c>
      <c r="U2951" s="75" t="str">
        <f>IF(ISERROR(FIND('112'!$M$9,G2951,1)),"",IF((AND(LEFT(G2951,2)=LEFT('112'!$M$9,2),B2951&lt;'112'!$K$9,$N2951='112'!$I$6)),"x",""))</f>
        <v/>
      </c>
      <c r="V2951" s="75" t="str">
        <f>IF(ISERROR(FIND('112'!$M$9,G2951,1)),"",IF((AND(RIGHT(G2951,2)=RIGHT('112'!$M$9,2),B2951&lt;'112'!$K$9,$O2951='112'!$I$6)),"x",""))</f>
        <v/>
      </c>
      <c r="W2951" s="75" t="str">
        <f>IF(AND('341-CT'!$H$9=H2951,OR(LEFT(N2951,3)=$W$7,LEFT(O2951,3)=$W$7)),"x","")</f>
        <v/>
      </c>
      <c r="X2951" s="75" t="str">
        <f>IF(OR(TH!N2951=TH!$X$7,O2951=TH!$X$7),"x","")</f>
        <v/>
      </c>
      <c r="Y2951" s="75" t="str">
        <f>IF(AND(OR(N2951="131",O2951="131"),H2951='131-CT'!$H$9),"x","")</f>
        <v/>
      </c>
      <c r="Z2951" s="75"/>
      <c r="AA2951" s="75" t="str">
        <f>IF(AND(MONTH(E2951)='IN-NX'!$J$5,'IN-NX'!$D$7=D2951),"x","")</f>
        <v/>
      </c>
      <c r="AB2951" s="75" t="str">
        <f>IF(AND(OR(LEFT(TH!N2951,2)="15",LEFT(TH!O2951,2)="15"),LEFT(TH!O2951,3)&lt;&gt;"111",'152-CT'!$J$8=TH!F2951),"x","")</f>
        <v/>
      </c>
      <c r="AC2951" s="75" t="str">
        <f>IF(AND(OR(LEFT(TH!N2951,2)="15",LEFT(TH!O2951,2)="15"),TK!$E$7=TH!F2951),"x","")</f>
        <v/>
      </c>
      <c r="AD2951" s="75" t="str">
        <f>IF(AND(N2951="1521",MONTH(C2951)='BK-NL'!$M$11),"x","")</f>
        <v/>
      </c>
    </row>
    <row r="2952" spans="1:30" s="1264" customFormat="1" ht="16.5" customHeight="1">
      <c r="A2952" s="309" t="str">
        <f>IF(B2952&lt;&gt;"",IF(AND(B2952='IN-TC'!$S$4,OR(TH!N2952="1111",TH!O2952="1111")),TH!D2952,""),"")</f>
        <v/>
      </c>
      <c r="B2952" s="1315">
        <f t="shared" si="1049"/>
        <v>6</v>
      </c>
      <c r="C2952" s="71">
        <v>42908</v>
      </c>
      <c r="D2952" s="71" t="s">
        <v>902</v>
      </c>
      <c r="E2952" s="71">
        <f t="shared" si="1053"/>
        <v>42908</v>
      </c>
      <c r="F2952" s="72" t="s">
        <v>1096</v>
      </c>
      <c r="G2952" s="72" t="s">
        <v>747</v>
      </c>
      <c r="H2952" s="735" t="s">
        <v>1628</v>
      </c>
      <c r="I2952" s="73"/>
      <c r="J2952" s="1218"/>
      <c r="K2952" s="1213">
        <v>355.21</v>
      </c>
      <c r="L2952" s="377">
        <v>22700</v>
      </c>
      <c r="M2952" s="74">
        <f t="shared" si="1063"/>
        <v>8063267</v>
      </c>
      <c r="N2952" s="75" t="s">
        <v>99</v>
      </c>
      <c r="O2952" s="934" t="s">
        <v>256</v>
      </c>
      <c r="P2952" s="75" t="str">
        <f>IF(AND('331-CT'!$E$7=TH!H2952,OR(N2952="331",O2952="331")),"x","")</f>
        <v/>
      </c>
      <c r="Q2952" s="75" t="str">
        <f>IF(AND(B2952='111'!$L$11,OR($N2952=$Q$7,$O2952=$Q$7)),"x","")</f>
        <v/>
      </c>
      <c r="R2952" s="75" t="str">
        <f>IF(AND($N2952=$Q$7,$B2952&lt;'111'!$L$11),"x","")</f>
        <v/>
      </c>
      <c r="S2952" s="75" t="str">
        <f>IF(AND($O2952=$Q$7,$B2952&lt;'111'!$L$11),"x","")</f>
        <v/>
      </c>
      <c r="T2952" s="75" t="str">
        <f>IF(ISERROR(FIND('112'!$M$9,G2952,1)),"",IF((AND(FIND('112'!$M$9,G2952,1)&gt;=1,B2952='112'!$K$9,OR($N2952='112'!$I$6,$O2952='112'!$I$6))),"x",""))</f>
        <v/>
      </c>
      <c r="U2952" s="75" t="str">
        <f>IF(ISERROR(FIND('112'!$M$9,G2952,1)),"",IF((AND(LEFT(G2952,2)=LEFT('112'!$M$9,2),B2952&lt;'112'!$K$9,$N2952='112'!$I$6)),"x",""))</f>
        <v/>
      </c>
      <c r="V2952" s="75" t="str">
        <f>IF(ISERROR(FIND('112'!$M$9,G2952,1)),"",IF((AND(RIGHT(G2952,2)=RIGHT('112'!$M$9,2),B2952&lt;'112'!$K$9,$O2952='112'!$I$6)),"x",""))</f>
        <v/>
      </c>
      <c r="W2952" s="75" t="str">
        <f>IF(AND('341-CT'!$H$9=H2952,OR(LEFT(N2952,3)=$W$7,LEFT(O2952,3)=$W$7)),"x","")</f>
        <v/>
      </c>
      <c r="X2952" s="75" t="str">
        <f>IF(OR(TH!N2952=TH!$X$7,O2952=TH!$X$7),"x","")</f>
        <v/>
      </c>
      <c r="Y2952" s="75" t="str">
        <f>IF(AND(OR(N2952="131",O2952="131"),H2952='131-CT'!$H$9),"x","")</f>
        <v/>
      </c>
      <c r="Z2952" s="75"/>
      <c r="AA2952" s="75" t="str">
        <f>IF(AND(MONTH(E2952)='IN-NX'!$J$5,'IN-NX'!$D$7=D2952),"x","")</f>
        <v/>
      </c>
      <c r="AB2952" s="75" t="str">
        <f>IF(AND(OR(LEFT(TH!N2952,2)="15",LEFT(TH!O2952,2)="15"),LEFT(TH!O2952,3)&lt;&gt;"111",'152-CT'!$J$8=TH!F2952),"x","")</f>
        <v/>
      </c>
      <c r="AC2952" s="75" t="str">
        <f>IF(AND(OR(LEFT(TH!N2952,2)="15",LEFT(TH!O2952,2)="15"),TK!$E$7=TH!F2952),"x","")</f>
        <v/>
      </c>
      <c r="AD2952" s="75" t="str">
        <f>IF(AND(N2952="1521",MONTH(C2952)='BK-NL'!$M$11),"x","")</f>
        <v/>
      </c>
    </row>
    <row r="2953" spans="1:30" s="1264" customFormat="1" ht="16.5" customHeight="1">
      <c r="A2953" s="309" t="str">
        <f>IF(B2953&lt;&gt;"",IF(AND(B2953='IN-TC'!$S$4,OR(TH!N2953="1111",TH!O2953="1111")),TH!D2953,""),"")</f>
        <v/>
      </c>
      <c r="B2953" s="1315">
        <f t="shared" si="1049"/>
        <v>6</v>
      </c>
      <c r="C2953" s="71">
        <v>42908</v>
      </c>
      <c r="D2953" s="71" t="s">
        <v>902</v>
      </c>
      <c r="E2953" s="71">
        <f t="shared" si="1053"/>
        <v>42908</v>
      </c>
      <c r="F2953" s="72" t="s">
        <v>1096</v>
      </c>
      <c r="G2953" s="72" t="s">
        <v>747</v>
      </c>
      <c r="H2953" s="735" t="s">
        <v>1629</v>
      </c>
      <c r="I2953" s="73"/>
      <c r="J2953" s="1218"/>
      <c r="K2953" s="1213">
        <v>129.16999999999999</v>
      </c>
      <c r="L2953" s="377">
        <v>22700</v>
      </c>
      <c r="M2953" s="74">
        <f t="shared" si="1063"/>
        <v>2932159</v>
      </c>
      <c r="N2953" s="75" t="s">
        <v>99</v>
      </c>
      <c r="O2953" s="934" t="s">
        <v>256</v>
      </c>
      <c r="P2953" s="75" t="str">
        <f>IF(AND('331-CT'!$E$7=TH!H2953,OR(N2953="331",O2953="331")),"x","")</f>
        <v/>
      </c>
      <c r="Q2953" s="75" t="str">
        <f>IF(AND(B2953='111'!$L$11,OR($N2953=$Q$7,$O2953=$Q$7)),"x","")</f>
        <v/>
      </c>
      <c r="R2953" s="75" t="str">
        <f>IF(AND($N2953=$Q$7,$B2953&lt;'111'!$L$11),"x","")</f>
        <v/>
      </c>
      <c r="S2953" s="75" t="str">
        <f>IF(AND($O2953=$Q$7,$B2953&lt;'111'!$L$11),"x","")</f>
        <v/>
      </c>
      <c r="T2953" s="75" t="str">
        <f>IF(ISERROR(FIND('112'!$M$9,G2953,1)),"",IF((AND(FIND('112'!$M$9,G2953,1)&gt;=1,B2953='112'!$K$9,OR($N2953='112'!$I$6,$O2953='112'!$I$6))),"x",""))</f>
        <v/>
      </c>
      <c r="U2953" s="75" t="str">
        <f>IF(ISERROR(FIND('112'!$M$9,G2953,1)),"",IF((AND(LEFT(G2953,2)=LEFT('112'!$M$9,2),B2953&lt;'112'!$K$9,$N2953='112'!$I$6)),"x",""))</f>
        <v/>
      </c>
      <c r="V2953" s="75" t="str">
        <f>IF(ISERROR(FIND('112'!$M$9,G2953,1)),"",IF((AND(RIGHT(G2953,2)=RIGHT('112'!$M$9,2),B2953&lt;'112'!$K$9,$O2953='112'!$I$6)),"x",""))</f>
        <v/>
      </c>
      <c r="W2953" s="75" t="str">
        <f>IF(AND('341-CT'!$H$9=H2953,OR(LEFT(N2953,3)=$W$7,LEFT(O2953,3)=$W$7)),"x","")</f>
        <v/>
      </c>
      <c r="X2953" s="75" t="str">
        <f>IF(OR(TH!N2953=TH!$X$7,O2953=TH!$X$7),"x","")</f>
        <v/>
      </c>
      <c r="Y2953" s="75" t="str">
        <f>IF(AND(OR(N2953="131",O2953="131"),H2953='131-CT'!$H$9),"x","")</f>
        <v/>
      </c>
      <c r="Z2953" s="75"/>
      <c r="AA2953" s="75" t="str">
        <f>IF(AND(MONTH(E2953)='IN-NX'!$J$5,'IN-NX'!$D$7=D2953),"x","")</f>
        <v/>
      </c>
      <c r="AB2953" s="75" t="str">
        <f>IF(AND(OR(LEFT(TH!N2953,2)="15",LEFT(TH!O2953,2)="15"),LEFT(TH!O2953,3)&lt;&gt;"111",'152-CT'!$J$8=TH!F2953),"x","")</f>
        <v/>
      </c>
      <c r="AC2953" s="75" t="str">
        <f>IF(AND(OR(LEFT(TH!N2953,2)="15",LEFT(TH!O2953,2)="15"),TK!$E$7=TH!F2953),"x","")</f>
        <v/>
      </c>
      <c r="AD2953" s="75" t="str">
        <f>IF(AND(N2953="1521",MONTH(C2953)='BK-NL'!$M$11),"x","")</f>
        <v/>
      </c>
    </row>
    <row r="2954" spans="1:30" s="1264" customFormat="1" ht="16.5" customHeight="1">
      <c r="A2954" s="309" t="str">
        <f>IF(B2954&lt;&gt;"",IF(AND(B2954='IN-TC'!$S$4,OR(TH!N2954="1111",TH!O2954="1111")),TH!D2954,""),"")</f>
        <v/>
      </c>
      <c r="B2954" s="1315">
        <f t="shared" si="1049"/>
        <v>6</v>
      </c>
      <c r="C2954" s="71">
        <v>42908</v>
      </c>
      <c r="D2954" s="71" t="s">
        <v>902</v>
      </c>
      <c r="E2954" s="71">
        <f t="shared" si="1053"/>
        <v>42908</v>
      </c>
      <c r="F2954" s="72" t="s">
        <v>1096</v>
      </c>
      <c r="G2954" s="72" t="s">
        <v>747</v>
      </c>
      <c r="H2954" s="735" t="s">
        <v>1630</v>
      </c>
      <c r="I2954" s="73"/>
      <c r="J2954" s="1218"/>
      <c r="K2954" s="1213">
        <v>240.25</v>
      </c>
      <c r="L2954" s="377">
        <v>22700</v>
      </c>
      <c r="M2954" s="74">
        <f t="shared" si="1063"/>
        <v>5453675</v>
      </c>
      <c r="N2954" s="75" t="s">
        <v>99</v>
      </c>
      <c r="O2954" s="934" t="s">
        <v>256</v>
      </c>
      <c r="P2954" s="75" t="str">
        <f>IF(AND('331-CT'!$E$7=TH!H2954,OR(N2954="331",O2954="331")),"x","")</f>
        <v/>
      </c>
      <c r="Q2954" s="75" t="str">
        <f>IF(AND(B2954='111'!$L$11,OR($N2954=$Q$7,$O2954=$Q$7)),"x","")</f>
        <v/>
      </c>
      <c r="R2954" s="75" t="str">
        <f>IF(AND($N2954=$Q$7,$B2954&lt;'111'!$L$11),"x","")</f>
        <v/>
      </c>
      <c r="S2954" s="75" t="str">
        <f>IF(AND($O2954=$Q$7,$B2954&lt;'111'!$L$11),"x","")</f>
        <v/>
      </c>
      <c r="T2954" s="75" t="str">
        <f>IF(ISERROR(FIND('112'!$M$9,G2954,1)),"",IF((AND(FIND('112'!$M$9,G2954,1)&gt;=1,B2954='112'!$K$9,OR($N2954='112'!$I$6,$O2954='112'!$I$6))),"x",""))</f>
        <v/>
      </c>
      <c r="U2954" s="75" t="str">
        <f>IF(ISERROR(FIND('112'!$M$9,G2954,1)),"",IF((AND(LEFT(G2954,2)=LEFT('112'!$M$9,2),B2954&lt;'112'!$K$9,$N2954='112'!$I$6)),"x",""))</f>
        <v/>
      </c>
      <c r="V2954" s="75" t="str">
        <f>IF(ISERROR(FIND('112'!$M$9,G2954,1)),"",IF((AND(RIGHT(G2954,2)=RIGHT('112'!$M$9,2),B2954&lt;'112'!$K$9,$O2954='112'!$I$6)),"x",""))</f>
        <v/>
      </c>
      <c r="W2954" s="75" t="str">
        <f>IF(AND('341-CT'!$H$9=H2954,OR(LEFT(N2954,3)=$W$7,LEFT(O2954,3)=$W$7)),"x","")</f>
        <v/>
      </c>
      <c r="X2954" s="75" t="str">
        <f>IF(OR(TH!N2954=TH!$X$7,O2954=TH!$X$7),"x","")</f>
        <v/>
      </c>
      <c r="Y2954" s="75" t="str">
        <f>IF(AND(OR(N2954="131",O2954="131"),H2954='131-CT'!$H$9),"x","")</f>
        <v/>
      </c>
      <c r="Z2954" s="75"/>
      <c r="AA2954" s="75" t="str">
        <f>IF(AND(MONTH(E2954)='IN-NX'!$J$5,'IN-NX'!$D$7=D2954),"x","")</f>
        <v/>
      </c>
      <c r="AB2954" s="75" t="str">
        <f>IF(AND(OR(LEFT(TH!N2954,2)="15",LEFT(TH!O2954,2)="15"),LEFT(TH!O2954,3)&lt;&gt;"111",'152-CT'!$J$8=TH!F2954),"x","")</f>
        <v/>
      </c>
      <c r="AC2954" s="75" t="str">
        <f>IF(AND(OR(LEFT(TH!N2954,2)="15",LEFT(TH!O2954,2)="15"),TK!$E$7=TH!F2954),"x","")</f>
        <v/>
      </c>
      <c r="AD2954" s="75" t="str">
        <f>IF(AND(N2954="1521",MONTH(C2954)='BK-NL'!$M$11),"x","")</f>
        <v/>
      </c>
    </row>
    <row r="2955" spans="1:30" s="1264" customFormat="1" ht="16.5" customHeight="1">
      <c r="A2955" s="309" t="str">
        <f>IF(B2955&lt;&gt;"",IF(AND(B2955='IN-TC'!$S$4,OR(TH!N2955="1111",TH!O2955="1111")),TH!D2955,""),"")</f>
        <v/>
      </c>
      <c r="B2955" s="1315">
        <f t="shared" si="1049"/>
        <v>6</v>
      </c>
      <c r="C2955" s="71">
        <v>42908</v>
      </c>
      <c r="D2955" s="71" t="s">
        <v>902</v>
      </c>
      <c r="E2955" s="71">
        <f t="shared" si="1053"/>
        <v>42908</v>
      </c>
      <c r="F2955" s="72" t="s">
        <v>1096</v>
      </c>
      <c r="G2955" s="72" t="s">
        <v>747</v>
      </c>
      <c r="H2955" s="735" t="s">
        <v>1631</v>
      </c>
      <c r="I2955" s="73"/>
      <c r="J2955" s="1218"/>
      <c r="K2955" s="1213">
        <v>380.1</v>
      </c>
      <c r="L2955" s="377">
        <v>22700</v>
      </c>
      <c r="M2955" s="74">
        <f t="shared" si="1063"/>
        <v>8628270</v>
      </c>
      <c r="N2955" s="75" t="s">
        <v>99</v>
      </c>
      <c r="O2955" s="934" t="s">
        <v>256</v>
      </c>
      <c r="P2955" s="75" t="str">
        <f>IF(AND('331-CT'!$E$7=TH!H2955,OR(N2955="331",O2955="331")),"x","")</f>
        <v/>
      </c>
      <c r="Q2955" s="75" t="str">
        <f>IF(AND(B2955='111'!$L$11,OR($N2955=$Q$7,$O2955=$Q$7)),"x","")</f>
        <v/>
      </c>
      <c r="R2955" s="75" t="str">
        <f>IF(AND($N2955=$Q$7,$B2955&lt;'111'!$L$11),"x","")</f>
        <v/>
      </c>
      <c r="S2955" s="75" t="str">
        <f>IF(AND($O2955=$Q$7,$B2955&lt;'111'!$L$11),"x","")</f>
        <v/>
      </c>
      <c r="T2955" s="75" t="str">
        <f>IF(ISERROR(FIND('112'!$M$9,G2955,1)),"",IF((AND(FIND('112'!$M$9,G2955,1)&gt;=1,B2955='112'!$K$9,OR($N2955='112'!$I$6,$O2955='112'!$I$6))),"x",""))</f>
        <v/>
      </c>
      <c r="U2955" s="75" t="str">
        <f>IF(ISERROR(FIND('112'!$M$9,G2955,1)),"",IF((AND(LEFT(G2955,2)=LEFT('112'!$M$9,2),B2955&lt;'112'!$K$9,$N2955='112'!$I$6)),"x",""))</f>
        <v/>
      </c>
      <c r="V2955" s="75" t="str">
        <f>IF(ISERROR(FIND('112'!$M$9,G2955,1)),"",IF((AND(RIGHT(G2955,2)=RIGHT('112'!$M$9,2),B2955&lt;'112'!$K$9,$O2955='112'!$I$6)),"x",""))</f>
        <v/>
      </c>
      <c r="W2955" s="75" t="str">
        <f>IF(AND('341-CT'!$H$9=H2955,OR(LEFT(N2955,3)=$W$7,LEFT(O2955,3)=$W$7)),"x","")</f>
        <v/>
      </c>
      <c r="X2955" s="75" t="str">
        <f>IF(OR(TH!N2955=TH!$X$7,O2955=TH!$X$7),"x","")</f>
        <v/>
      </c>
      <c r="Y2955" s="75" t="str">
        <f>IF(AND(OR(N2955="131",O2955="131"),H2955='131-CT'!$H$9),"x","")</f>
        <v/>
      </c>
      <c r="Z2955" s="75"/>
      <c r="AA2955" s="75" t="str">
        <f>IF(AND(MONTH(E2955)='IN-NX'!$J$5,'IN-NX'!$D$7=D2955),"x","")</f>
        <v/>
      </c>
      <c r="AB2955" s="75" t="str">
        <f>IF(AND(OR(LEFT(TH!N2955,2)="15",LEFT(TH!O2955,2)="15"),LEFT(TH!O2955,3)&lt;&gt;"111",'152-CT'!$J$8=TH!F2955),"x","")</f>
        <v/>
      </c>
      <c r="AC2955" s="75" t="str">
        <f>IF(AND(OR(LEFT(TH!N2955,2)="15",LEFT(TH!O2955,2)="15"),TK!$E$7=TH!F2955),"x","")</f>
        <v/>
      </c>
      <c r="AD2955" s="75" t="str">
        <f>IF(AND(N2955="1521",MONTH(C2955)='BK-NL'!$M$11),"x","")</f>
        <v/>
      </c>
    </row>
    <row r="2956" spans="1:30" s="1264" customFormat="1" ht="16.5" customHeight="1">
      <c r="A2956" s="309" t="str">
        <f>IF(B2956&lt;&gt;"",IF(AND(B2956='IN-TC'!$S$4,OR(TH!N2956="1111",TH!O2956="1111")),TH!D2956,""),"")</f>
        <v/>
      </c>
      <c r="B2956" s="1315">
        <f t="shared" si="1049"/>
        <v>6</v>
      </c>
      <c r="C2956" s="71">
        <v>42908</v>
      </c>
      <c r="D2956" s="71" t="s">
        <v>902</v>
      </c>
      <c r="E2956" s="71">
        <f t="shared" si="1053"/>
        <v>42908</v>
      </c>
      <c r="F2956" s="72" t="s">
        <v>1096</v>
      </c>
      <c r="G2956" s="72" t="s">
        <v>747</v>
      </c>
      <c r="H2956" s="735" t="s">
        <v>1632</v>
      </c>
      <c r="I2956" s="73"/>
      <c r="J2956" s="1218"/>
      <c r="K2956" s="1213">
        <v>310</v>
      </c>
      <c r="L2956" s="377">
        <v>22700</v>
      </c>
      <c r="M2956" s="74">
        <f t="shared" si="1063"/>
        <v>7037000</v>
      </c>
      <c r="N2956" s="75" t="s">
        <v>99</v>
      </c>
      <c r="O2956" s="934" t="s">
        <v>256</v>
      </c>
      <c r="P2956" s="75" t="str">
        <f>IF(AND('331-CT'!$E$7=TH!H2956,OR(N2956="331",O2956="331")),"x","")</f>
        <v/>
      </c>
      <c r="Q2956" s="75" t="str">
        <f>IF(AND(B2956='111'!$L$11,OR($N2956=$Q$7,$O2956=$Q$7)),"x","")</f>
        <v/>
      </c>
      <c r="R2956" s="75" t="str">
        <f>IF(AND($N2956=$Q$7,$B2956&lt;'111'!$L$11),"x","")</f>
        <v/>
      </c>
      <c r="S2956" s="75" t="str">
        <f>IF(AND($O2956=$Q$7,$B2956&lt;'111'!$L$11),"x","")</f>
        <v/>
      </c>
      <c r="T2956" s="75" t="str">
        <f>IF(ISERROR(FIND('112'!$M$9,G2956,1)),"",IF((AND(FIND('112'!$M$9,G2956,1)&gt;=1,B2956='112'!$K$9,OR($N2956='112'!$I$6,$O2956='112'!$I$6))),"x",""))</f>
        <v/>
      </c>
      <c r="U2956" s="75" t="str">
        <f>IF(ISERROR(FIND('112'!$M$9,G2956,1)),"",IF((AND(LEFT(G2956,2)=LEFT('112'!$M$9,2),B2956&lt;'112'!$K$9,$N2956='112'!$I$6)),"x",""))</f>
        <v/>
      </c>
      <c r="V2956" s="75" t="str">
        <f>IF(ISERROR(FIND('112'!$M$9,G2956,1)),"",IF((AND(RIGHT(G2956,2)=RIGHT('112'!$M$9,2),B2956&lt;'112'!$K$9,$O2956='112'!$I$6)),"x",""))</f>
        <v/>
      </c>
      <c r="W2956" s="75" t="str">
        <f>IF(AND('341-CT'!$H$9=H2956,OR(LEFT(N2956,3)=$W$7,LEFT(O2956,3)=$W$7)),"x","")</f>
        <v/>
      </c>
      <c r="X2956" s="75" t="str">
        <f>IF(OR(TH!N2956=TH!$X$7,O2956=TH!$X$7),"x","")</f>
        <v/>
      </c>
      <c r="Y2956" s="75" t="str">
        <f>IF(AND(OR(N2956="131",O2956="131"),H2956='131-CT'!$H$9),"x","")</f>
        <v/>
      </c>
      <c r="Z2956" s="75"/>
      <c r="AA2956" s="75" t="str">
        <f>IF(AND(MONTH(E2956)='IN-NX'!$J$5,'IN-NX'!$D$7=D2956),"x","")</f>
        <v/>
      </c>
      <c r="AB2956" s="75" t="str">
        <f>IF(AND(OR(LEFT(TH!N2956,2)="15",LEFT(TH!O2956,2)="15"),LEFT(TH!O2956,3)&lt;&gt;"111",'152-CT'!$J$8=TH!F2956),"x","")</f>
        <v/>
      </c>
      <c r="AC2956" s="75" t="str">
        <f>IF(AND(OR(LEFT(TH!N2956,2)="15",LEFT(TH!O2956,2)="15"),TK!$E$7=TH!F2956),"x","")</f>
        <v/>
      </c>
      <c r="AD2956" s="75" t="str">
        <f>IF(AND(N2956="1521",MONTH(C2956)='BK-NL'!$M$11),"x","")</f>
        <v/>
      </c>
    </row>
    <row r="2957" spans="1:30" s="1264" customFormat="1" ht="16.5" customHeight="1">
      <c r="A2957" s="309" t="str">
        <f>IF(B2957&lt;&gt;"",IF(AND(B2957='IN-TC'!$S$4,OR(TH!N2957="1111",TH!O2957="1111")),TH!D2957,""),"")</f>
        <v/>
      </c>
      <c r="B2957" s="1315">
        <f t="shared" si="1049"/>
        <v>6</v>
      </c>
      <c r="C2957" s="71">
        <v>42908</v>
      </c>
      <c r="D2957" s="71" t="s">
        <v>902</v>
      </c>
      <c r="E2957" s="71">
        <f t="shared" si="1053"/>
        <v>42908</v>
      </c>
      <c r="F2957" s="72" t="s">
        <v>1096</v>
      </c>
      <c r="G2957" s="72" t="s">
        <v>747</v>
      </c>
      <c r="H2957" s="735" t="s">
        <v>1633</v>
      </c>
      <c r="I2957" s="73"/>
      <c r="J2957" s="1218"/>
      <c r="K2957" s="1213">
        <v>162.75</v>
      </c>
      <c r="L2957" s="377">
        <v>22700</v>
      </c>
      <c r="M2957" s="74">
        <f t="shared" si="1063"/>
        <v>3694425</v>
      </c>
      <c r="N2957" s="75" t="s">
        <v>99</v>
      </c>
      <c r="O2957" s="934" t="s">
        <v>256</v>
      </c>
      <c r="P2957" s="75" t="str">
        <f>IF(AND('331-CT'!$E$7=TH!H2957,OR(N2957="331",O2957="331")),"x","")</f>
        <v/>
      </c>
      <c r="Q2957" s="75" t="str">
        <f>IF(AND(B2957='111'!$L$11,OR($N2957=$Q$7,$O2957=$Q$7)),"x","")</f>
        <v/>
      </c>
      <c r="R2957" s="75" t="str">
        <f>IF(AND($N2957=$Q$7,$B2957&lt;'111'!$L$11),"x","")</f>
        <v/>
      </c>
      <c r="S2957" s="75" t="str">
        <f>IF(AND($O2957=$Q$7,$B2957&lt;'111'!$L$11),"x","")</f>
        <v/>
      </c>
      <c r="T2957" s="75" t="str">
        <f>IF(ISERROR(FIND('112'!$M$9,G2957,1)),"",IF((AND(FIND('112'!$M$9,G2957,1)&gt;=1,B2957='112'!$K$9,OR($N2957='112'!$I$6,$O2957='112'!$I$6))),"x",""))</f>
        <v/>
      </c>
      <c r="U2957" s="75" t="str">
        <f>IF(ISERROR(FIND('112'!$M$9,G2957,1)),"",IF((AND(LEFT(G2957,2)=LEFT('112'!$M$9,2),B2957&lt;'112'!$K$9,$N2957='112'!$I$6)),"x",""))</f>
        <v/>
      </c>
      <c r="V2957" s="75" t="str">
        <f>IF(ISERROR(FIND('112'!$M$9,G2957,1)),"",IF((AND(RIGHT(G2957,2)=RIGHT('112'!$M$9,2),B2957&lt;'112'!$K$9,$O2957='112'!$I$6)),"x",""))</f>
        <v/>
      </c>
      <c r="W2957" s="75" t="str">
        <f>IF(AND('341-CT'!$H$9=H2957,OR(LEFT(N2957,3)=$W$7,LEFT(O2957,3)=$W$7)),"x","")</f>
        <v/>
      </c>
      <c r="X2957" s="75" t="str">
        <f>IF(OR(TH!N2957=TH!$X$7,O2957=TH!$X$7),"x","")</f>
        <v/>
      </c>
      <c r="Y2957" s="75" t="str">
        <f>IF(AND(OR(N2957="131",O2957="131"),H2957='131-CT'!$H$9),"x","")</f>
        <v/>
      </c>
      <c r="Z2957" s="75"/>
      <c r="AA2957" s="75" t="str">
        <f>IF(AND(MONTH(E2957)='IN-NX'!$J$5,'IN-NX'!$D$7=D2957),"x","")</f>
        <v/>
      </c>
      <c r="AB2957" s="75" t="str">
        <f>IF(AND(OR(LEFT(TH!N2957,2)="15",LEFT(TH!O2957,2)="15"),LEFT(TH!O2957,3)&lt;&gt;"111",'152-CT'!$J$8=TH!F2957),"x","")</f>
        <v/>
      </c>
      <c r="AC2957" s="75" t="str">
        <f>IF(AND(OR(LEFT(TH!N2957,2)="15",LEFT(TH!O2957,2)="15"),TK!$E$7=TH!F2957),"x","")</f>
        <v/>
      </c>
      <c r="AD2957" s="75" t="str">
        <f>IF(AND(N2957="1521",MONTH(C2957)='BK-NL'!$M$11),"x","")</f>
        <v/>
      </c>
    </row>
    <row r="2958" spans="1:30" s="1264" customFormat="1" ht="16.5" customHeight="1">
      <c r="A2958" s="309" t="str">
        <f>IF(B2958&lt;&gt;"",IF(AND(B2958='IN-TC'!$S$4,OR(TH!N2958="1111",TH!O2958="1111")),TH!D2958,""),"")</f>
        <v/>
      </c>
      <c r="B2958" s="1315">
        <f t="shared" si="1049"/>
        <v>6</v>
      </c>
      <c r="C2958" s="71">
        <v>42908</v>
      </c>
      <c r="D2958" s="71" t="s">
        <v>902</v>
      </c>
      <c r="E2958" s="71">
        <f t="shared" si="1053"/>
        <v>42908</v>
      </c>
      <c r="F2958" s="72" t="s">
        <v>1096</v>
      </c>
      <c r="G2958" s="72" t="s">
        <v>747</v>
      </c>
      <c r="H2958" s="735" t="s">
        <v>1634</v>
      </c>
      <c r="I2958" s="73"/>
      <c r="J2958" s="1218"/>
      <c r="K2958" s="1213">
        <v>116.67</v>
      </c>
      <c r="L2958" s="377">
        <v>22700</v>
      </c>
      <c r="M2958" s="74">
        <f t="shared" si="1063"/>
        <v>2648409</v>
      </c>
      <c r="N2958" s="75" t="s">
        <v>99</v>
      </c>
      <c r="O2958" s="934" t="s">
        <v>256</v>
      </c>
      <c r="P2958" s="75" t="str">
        <f>IF(AND('331-CT'!$E$7=TH!H2958,OR(N2958="331",O2958="331")),"x","")</f>
        <v/>
      </c>
      <c r="Q2958" s="75" t="str">
        <f>IF(AND(B2958='111'!$L$11,OR($N2958=$Q$7,$O2958=$Q$7)),"x","")</f>
        <v/>
      </c>
      <c r="R2958" s="75" t="str">
        <f>IF(AND($N2958=$Q$7,$B2958&lt;'111'!$L$11),"x","")</f>
        <v/>
      </c>
      <c r="S2958" s="75" t="str">
        <f>IF(AND($O2958=$Q$7,$B2958&lt;'111'!$L$11),"x","")</f>
        <v/>
      </c>
      <c r="T2958" s="75" t="str">
        <f>IF(ISERROR(FIND('112'!$M$9,G2958,1)),"",IF((AND(FIND('112'!$M$9,G2958,1)&gt;=1,B2958='112'!$K$9,OR($N2958='112'!$I$6,$O2958='112'!$I$6))),"x",""))</f>
        <v/>
      </c>
      <c r="U2958" s="75" t="str">
        <f>IF(ISERROR(FIND('112'!$M$9,G2958,1)),"",IF((AND(LEFT(G2958,2)=LEFT('112'!$M$9,2),B2958&lt;'112'!$K$9,$N2958='112'!$I$6)),"x",""))</f>
        <v/>
      </c>
      <c r="V2958" s="75" t="str">
        <f>IF(ISERROR(FIND('112'!$M$9,G2958,1)),"",IF((AND(RIGHT(G2958,2)=RIGHT('112'!$M$9,2),B2958&lt;'112'!$K$9,$O2958='112'!$I$6)),"x",""))</f>
        <v/>
      </c>
      <c r="W2958" s="75" t="str">
        <f>IF(AND('341-CT'!$H$9=H2958,OR(LEFT(N2958,3)=$W$7,LEFT(O2958,3)=$W$7)),"x","")</f>
        <v/>
      </c>
      <c r="X2958" s="75" t="str">
        <f>IF(OR(TH!N2958=TH!$X$7,O2958=TH!$X$7),"x","")</f>
        <v/>
      </c>
      <c r="Y2958" s="75" t="str">
        <f>IF(AND(OR(N2958="131",O2958="131"),H2958='131-CT'!$H$9),"x","")</f>
        <v/>
      </c>
      <c r="Z2958" s="75"/>
      <c r="AA2958" s="75" t="str">
        <f>IF(AND(MONTH(E2958)='IN-NX'!$J$5,'IN-NX'!$D$7=D2958),"x","")</f>
        <v/>
      </c>
      <c r="AB2958" s="75" t="str">
        <f>IF(AND(OR(LEFT(TH!N2958,2)="15",LEFT(TH!O2958,2)="15"),LEFT(TH!O2958,3)&lt;&gt;"111",'152-CT'!$J$8=TH!F2958),"x","")</f>
        <v/>
      </c>
      <c r="AC2958" s="75" t="str">
        <f>IF(AND(OR(LEFT(TH!N2958,2)="15",LEFT(TH!O2958,2)="15"),TK!$E$7=TH!F2958),"x","")</f>
        <v/>
      </c>
      <c r="AD2958" s="75" t="str">
        <f>IF(AND(N2958="1521",MONTH(C2958)='BK-NL'!$M$11),"x","")</f>
        <v/>
      </c>
    </row>
    <row r="2959" spans="1:30" s="1264" customFormat="1" ht="16.5" customHeight="1">
      <c r="A2959" s="309" t="str">
        <f>IF(B2959&lt;&gt;"",IF(AND(B2959='IN-TC'!$S$4,OR(TH!N2959="1111",TH!O2959="1111")),TH!D2959,""),"")</f>
        <v/>
      </c>
      <c r="B2959" s="1315">
        <f t="shared" si="1049"/>
        <v>6</v>
      </c>
      <c r="C2959" s="71">
        <v>42908</v>
      </c>
      <c r="D2959" s="71" t="s">
        <v>902</v>
      </c>
      <c r="E2959" s="71">
        <f t="shared" si="1053"/>
        <v>42908</v>
      </c>
      <c r="F2959" s="72" t="s">
        <v>1096</v>
      </c>
      <c r="G2959" s="72" t="s">
        <v>747</v>
      </c>
      <c r="H2959" s="735" t="s">
        <v>1635</v>
      </c>
      <c r="I2959" s="73"/>
      <c r="J2959" s="1218"/>
      <c r="K2959" s="1213">
        <v>226.04</v>
      </c>
      <c r="L2959" s="377">
        <v>22700</v>
      </c>
      <c r="M2959" s="74">
        <f t="shared" si="1063"/>
        <v>5131108</v>
      </c>
      <c r="N2959" s="75" t="s">
        <v>99</v>
      </c>
      <c r="O2959" s="934" t="s">
        <v>256</v>
      </c>
      <c r="P2959" s="75" t="str">
        <f>IF(AND('331-CT'!$E$7=TH!H2959,OR(N2959="331",O2959="331")),"x","")</f>
        <v/>
      </c>
      <c r="Q2959" s="75" t="str">
        <f>IF(AND(B2959='111'!$L$11,OR($N2959=$Q$7,$O2959=$Q$7)),"x","")</f>
        <v/>
      </c>
      <c r="R2959" s="75" t="str">
        <f>IF(AND($N2959=$Q$7,$B2959&lt;'111'!$L$11),"x","")</f>
        <v/>
      </c>
      <c r="S2959" s="75" t="str">
        <f>IF(AND($O2959=$Q$7,$B2959&lt;'111'!$L$11),"x","")</f>
        <v/>
      </c>
      <c r="T2959" s="75" t="str">
        <f>IF(ISERROR(FIND('112'!$M$9,G2959,1)),"",IF((AND(FIND('112'!$M$9,G2959,1)&gt;=1,B2959='112'!$K$9,OR($N2959='112'!$I$6,$O2959='112'!$I$6))),"x",""))</f>
        <v/>
      </c>
      <c r="U2959" s="75" t="str">
        <f>IF(ISERROR(FIND('112'!$M$9,G2959,1)),"",IF((AND(LEFT(G2959,2)=LEFT('112'!$M$9,2),B2959&lt;'112'!$K$9,$N2959='112'!$I$6)),"x",""))</f>
        <v/>
      </c>
      <c r="V2959" s="75" t="str">
        <f>IF(ISERROR(FIND('112'!$M$9,G2959,1)),"",IF((AND(RIGHT(G2959,2)=RIGHT('112'!$M$9,2),B2959&lt;'112'!$K$9,$O2959='112'!$I$6)),"x",""))</f>
        <v/>
      </c>
      <c r="W2959" s="75" t="str">
        <f>IF(AND('341-CT'!$H$9=H2959,OR(LEFT(N2959,3)=$W$7,LEFT(O2959,3)=$W$7)),"x","")</f>
        <v/>
      </c>
      <c r="X2959" s="75" t="str">
        <f>IF(OR(TH!N2959=TH!$X$7,O2959=TH!$X$7),"x","")</f>
        <v/>
      </c>
      <c r="Y2959" s="75" t="str">
        <f>IF(AND(OR(N2959="131",O2959="131"),H2959='131-CT'!$H$9),"x","")</f>
        <v/>
      </c>
      <c r="Z2959" s="75"/>
      <c r="AA2959" s="75" t="str">
        <f>IF(AND(MONTH(E2959)='IN-NX'!$J$5,'IN-NX'!$D$7=D2959),"x","")</f>
        <v/>
      </c>
      <c r="AB2959" s="75" t="str">
        <f>IF(AND(OR(LEFT(TH!N2959,2)="15",LEFT(TH!O2959,2)="15"),LEFT(TH!O2959,3)&lt;&gt;"111",'152-CT'!$J$8=TH!F2959),"x","")</f>
        <v/>
      </c>
      <c r="AC2959" s="75" t="str">
        <f>IF(AND(OR(LEFT(TH!N2959,2)="15",LEFT(TH!O2959,2)="15"),TK!$E$7=TH!F2959),"x","")</f>
        <v/>
      </c>
      <c r="AD2959" s="75" t="str">
        <f>IF(AND(N2959="1521",MONTH(C2959)='BK-NL'!$M$11),"x","")</f>
        <v/>
      </c>
    </row>
    <row r="2960" spans="1:30" s="1264" customFormat="1" ht="16.5" customHeight="1">
      <c r="A2960" s="309" t="str">
        <f>IF(B2960&lt;&gt;"",IF(AND(B2960='IN-TC'!$S$4,OR(TH!N2960="1111",TH!O2960="1111")),TH!D2960,""),"")</f>
        <v/>
      </c>
      <c r="B2960" s="1315">
        <f t="shared" si="1049"/>
        <v>6</v>
      </c>
      <c r="C2960" s="71">
        <v>42908</v>
      </c>
      <c r="D2960" s="71" t="s">
        <v>902</v>
      </c>
      <c r="E2960" s="71">
        <f t="shared" si="1053"/>
        <v>42908</v>
      </c>
      <c r="F2960" s="72" t="s">
        <v>1096</v>
      </c>
      <c r="G2960" s="72" t="s">
        <v>747</v>
      </c>
      <c r="H2960" s="735" t="s">
        <v>1636</v>
      </c>
      <c r="I2960" s="73"/>
      <c r="J2960" s="1218"/>
      <c r="K2960" s="1213">
        <v>129.16999999999999</v>
      </c>
      <c r="L2960" s="377">
        <v>22700</v>
      </c>
      <c r="M2960" s="74">
        <f t="shared" si="1063"/>
        <v>2932159</v>
      </c>
      <c r="N2960" s="75" t="s">
        <v>99</v>
      </c>
      <c r="O2960" s="934" t="s">
        <v>256</v>
      </c>
      <c r="P2960" s="75" t="str">
        <f>IF(AND('331-CT'!$E$7=TH!H2960,OR(N2960="331",O2960="331")),"x","")</f>
        <v/>
      </c>
      <c r="Q2960" s="75" t="str">
        <f>IF(AND(B2960='111'!$L$11,OR($N2960=$Q$7,$O2960=$Q$7)),"x","")</f>
        <v/>
      </c>
      <c r="R2960" s="75" t="str">
        <f>IF(AND($N2960=$Q$7,$B2960&lt;'111'!$L$11),"x","")</f>
        <v/>
      </c>
      <c r="S2960" s="75" t="str">
        <f>IF(AND($O2960=$Q$7,$B2960&lt;'111'!$L$11),"x","")</f>
        <v/>
      </c>
      <c r="T2960" s="75" t="str">
        <f>IF(ISERROR(FIND('112'!$M$9,G2960,1)),"",IF((AND(FIND('112'!$M$9,G2960,1)&gt;=1,B2960='112'!$K$9,OR($N2960='112'!$I$6,$O2960='112'!$I$6))),"x",""))</f>
        <v/>
      </c>
      <c r="U2960" s="75" t="str">
        <f>IF(ISERROR(FIND('112'!$M$9,G2960,1)),"",IF((AND(LEFT(G2960,2)=LEFT('112'!$M$9,2),B2960&lt;'112'!$K$9,$N2960='112'!$I$6)),"x",""))</f>
        <v/>
      </c>
      <c r="V2960" s="75" t="str">
        <f>IF(ISERROR(FIND('112'!$M$9,G2960,1)),"",IF((AND(RIGHT(G2960,2)=RIGHT('112'!$M$9,2),B2960&lt;'112'!$K$9,$O2960='112'!$I$6)),"x",""))</f>
        <v/>
      </c>
      <c r="W2960" s="75" t="str">
        <f>IF(AND('341-CT'!$H$9=H2960,OR(LEFT(N2960,3)=$W$7,LEFT(O2960,3)=$W$7)),"x","")</f>
        <v/>
      </c>
      <c r="X2960" s="75" t="str">
        <f>IF(OR(TH!N2960=TH!$X$7,O2960=TH!$X$7),"x","")</f>
        <v/>
      </c>
      <c r="Y2960" s="75" t="str">
        <f>IF(AND(OR(N2960="131",O2960="131"),H2960='131-CT'!$H$9),"x","")</f>
        <v/>
      </c>
      <c r="Z2960" s="75"/>
      <c r="AA2960" s="75" t="str">
        <f>IF(AND(MONTH(E2960)='IN-NX'!$J$5,'IN-NX'!$D$7=D2960),"x","")</f>
        <v/>
      </c>
      <c r="AB2960" s="75" t="str">
        <f>IF(AND(OR(LEFT(TH!N2960,2)="15",LEFT(TH!O2960,2)="15"),LEFT(TH!O2960,3)&lt;&gt;"111",'152-CT'!$J$8=TH!F2960),"x","")</f>
        <v/>
      </c>
      <c r="AC2960" s="75" t="str">
        <f>IF(AND(OR(LEFT(TH!N2960,2)="15",LEFT(TH!O2960,2)="15"),TK!$E$7=TH!F2960),"x","")</f>
        <v/>
      </c>
      <c r="AD2960" s="75" t="str">
        <f>IF(AND(N2960="1521",MONTH(C2960)='BK-NL'!$M$11),"x","")</f>
        <v/>
      </c>
    </row>
    <row r="2961" spans="1:30" s="1264" customFormat="1" ht="16.5" customHeight="1">
      <c r="A2961" s="309" t="str">
        <f>IF(B2961&lt;&gt;"",IF(AND(B2961='IN-TC'!$S$4,OR(TH!N2961="1111",TH!O2961="1111")),TH!D2961,""),"")</f>
        <v/>
      </c>
      <c r="B2961" s="1315">
        <f t="shared" si="1049"/>
        <v>6</v>
      </c>
      <c r="C2961" s="71">
        <v>42908</v>
      </c>
      <c r="D2961" s="71" t="s">
        <v>902</v>
      </c>
      <c r="E2961" s="71">
        <f t="shared" si="1053"/>
        <v>42908</v>
      </c>
      <c r="F2961" s="72" t="s">
        <v>1096</v>
      </c>
      <c r="G2961" s="72" t="s">
        <v>747</v>
      </c>
      <c r="H2961" s="1236" t="s">
        <v>2034</v>
      </c>
      <c r="I2961" s="73"/>
      <c r="J2961" s="1218"/>
      <c r="K2961" s="1213">
        <v>881.56</v>
      </c>
      <c r="L2961" s="377">
        <v>22700</v>
      </c>
      <c r="M2961" s="74">
        <f t="shared" si="1063"/>
        <v>20011412</v>
      </c>
      <c r="N2961" s="75" t="s">
        <v>99</v>
      </c>
      <c r="O2961" s="934" t="s">
        <v>256</v>
      </c>
      <c r="P2961" s="75" t="str">
        <f>IF(AND('331-CT'!$E$7=TH!H2961,OR(N2961="331",O2961="331")),"x","")</f>
        <v/>
      </c>
      <c r="Q2961" s="75" t="str">
        <f>IF(AND(B2961='111'!$L$11,OR($N2961=$Q$7,$O2961=$Q$7)),"x","")</f>
        <v/>
      </c>
      <c r="R2961" s="75" t="str">
        <f>IF(AND($N2961=$Q$7,$B2961&lt;'111'!$L$11),"x","")</f>
        <v/>
      </c>
      <c r="S2961" s="75" t="str">
        <f>IF(AND($O2961=$Q$7,$B2961&lt;'111'!$L$11),"x","")</f>
        <v/>
      </c>
      <c r="T2961" s="75" t="str">
        <f>IF(ISERROR(FIND('112'!$M$9,G2961,1)),"",IF((AND(FIND('112'!$M$9,G2961,1)&gt;=1,B2961='112'!$K$9,OR($N2961='112'!$I$6,$O2961='112'!$I$6))),"x",""))</f>
        <v/>
      </c>
      <c r="U2961" s="75" t="str">
        <f>IF(ISERROR(FIND('112'!$M$9,G2961,1)),"",IF((AND(LEFT(G2961,2)=LEFT('112'!$M$9,2),B2961&lt;'112'!$K$9,$N2961='112'!$I$6)),"x",""))</f>
        <v/>
      </c>
      <c r="V2961" s="75" t="str">
        <f>IF(ISERROR(FIND('112'!$M$9,G2961,1)),"",IF((AND(RIGHT(G2961,2)=RIGHT('112'!$M$9,2),B2961&lt;'112'!$K$9,$O2961='112'!$I$6)),"x",""))</f>
        <v/>
      </c>
      <c r="W2961" s="75" t="str">
        <f>IF(AND('341-CT'!$H$9=H2961,OR(LEFT(N2961,3)=$W$7,LEFT(O2961,3)=$W$7)),"x","")</f>
        <v/>
      </c>
      <c r="X2961" s="75" t="str">
        <f>IF(OR(TH!N2961=TH!$X$7,O2961=TH!$X$7),"x","")</f>
        <v/>
      </c>
      <c r="Y2961" s="75" t="str">
        <f>IF(AND(OR(N2961="131",O2961="131"),H2961='131-CT'!$H$9),"x","")</f>
        <v/>
      </c>
      <c r="Z2961" s="75"/>
      <c r="AA2961" s="75" t="str">
        <f>IF(AND(MONTH(E2961)='IN-NX'!$J$5,'IN-NX'!$D$7=D2961),"x","")</f>
        <v/>
      </c>
      <c r="AB2961" s="75" t="str">
        <f>IF(AND(OR(LEFT(TH!N2961,2)="15",LEFT(TH!O2961,2)="15"),LEFT(TH!O2961,3)&lt;&gt;"111",'152-CT'!$J$8=TH!F2961),"x","")</f>
        <v/>
      </c>
      <c r="AC2961" s="75" t="str">
        <f>IF(AND(OR(LEFT(TH!N2961,2)="15",LEFT(TH!O2961,2)="15"),TK!$E$7=TH!F2961),"x","")</f>
        <v/>
      </c>
      <c r="AD2961" s="75" t="str">
        <f>IF(AND(N2961="1521",MONTH(C2961)='BK-NL'!$M$11),"x","")</f>
        <v/>
      </c>
    </row>
    <row r="2962" spans="1:30" s="1264" customFormat="1" ht="16.5" customHeight="1">
      <c r="A2962" s="309" t="str">
        <f>IF(B2962&lt;&gt;"",IF(AND(B2962='IN-TC'!$S$4,OR(TH!N2962="1111",TH!O2962="1111")),TH!D2962,""),"")</f>
        <v/>
      </c>
      <c r="B2962" s="1315">
        <f t="shared" si="1049"/>
        <v>6</v>
      </c>
      <c r="C2962" s="71">
        <v>42908</v>
      </c>
      <c r="D2962" s="71" t="s">
        <v>902</v>
      </c>
      <c r="E2962" s="71">
        <f t="shared" si="1053"/>
        <v>42908</v>
      </c>
      <c r="F2962" s="72" t="s">
        <v>1096</v>
      </c>
      <c r="G2962" s="72" t="s">
        <v>747</v>
      </c>
      <c r="H2962" s="735" t="s">
        <v>1643</v>
      </c>
      <c r="I2962" s="73"/>
      <c r="J2962" s="1218"/>
      <c r="K2962" s="1213">
        <v>215.71</v>
      </c>
      <c r="L2962" s="377">
        <v>22700</v>
      </c>
      <c r="M2962" s="74">
        <f t="shared" si="1063"/>
        <v>4896617</v>
      </c>
      <c r="N2962" s="75" t="s">
        <v>99</v>
      </c>
      <c r="O2962" s="934" t="s">
        <v>256</v>
      </c>
      <c r="P2962" s="75" t="str">
        <f>IF(AND('331-CT'!$E$7=TH!H2962,OR(N2962="331",O2962="331")),"x","")</f>
        <v/>
      </c>
      <c r="Q2962" s="75" t="str">
        <f>IF(AND(B2962='111'!$L$11,OR($N2962=$Q$7,$O2962=$Q$7)),"x","")</f>
        <v/>
      </c>
      <c r="R2962" s="75" t="str">
        <f>IF(AND($N2962=$Q$7,$B2962&lt;'111'!$L$11),"x","")</f>
        <v/>
      </c>
      <c r="S2962" s="75" t="str">
        <f>IF(AND($O2962=$Q$7,$B2962&lt;'111'!$L$11),"x","")</f>
        <v/>
      </c>
      <c r="T2962" s="75" t="str">
        <f>IF(ISERROR(FIND('112'!$M$9,G2962,1)),"",IF((AND(FIND('112'!$M$9,G2962,1)&gt;=1,B2962='112'!$K$9,OR($N2962='112'!$I$6,$O2962='112'!$I$6))),"x",""))</f>
        <v/>
      </c>
      <c r="U2962" s="75" t="str">
        <f>IF(ISERROR(FIND('112'!$M$9,G2962,1)),"",IF((AND(LEFT(G2962,2)=LEFT('112'!$M$9,2),B2962&lt;'112'!$K$9,$N2962='112'!$I$6)),"x",""))</f>
        <v/>
      </c>
      <c r="V2962" s="75" t="str">
        <f>IF(ISERROR(FIND('112'!$M$9,G2962,1)),"",IF((AND(RIGHT(G2962,2)=RIGHT('112'!$M$9,2),B2962&lt;'112'!$K$9,$O2962='112'!$I$6)),"x",""))</f>
        <v/>
      </c>
      <c r="W2962" s="75" t="str">
        <f>IF(AND('341-CT'!$H$9=H2962,OR(LEFT(N2962,3)=$W$7,LEFT(O2962,3)=$W$7)),"x","")</f>
        <v/>
      </c>
      <c r="X2962" s="75" t="str">
        <f>IF(OR(TH!N2962=TH!$X$7,O2962=TH!$X$7),"x","")</f>
        <v/>
      </c>
      <c r="Y2962" s="75" t="str">
        <f>IF(AND(OR(N2962="131",O2962="131"),H2962='131-CT'!$H$9),"x","")</f>
        <v/>
      </c>
      <c r="Z2962" s="75"/>
      <c r="AA2962" s="75" t="str">
        <f>IF(AND(MONTH(E2962)='IN-NX'!$J$5,'IN-NX'!$D$7=D2962),"x","")</f>
        <v/>
      </c>
      <c r="AB2962" s="75" t="str">
        <f>IF(AND(OR(LEFT(TH!N2962,2)="15",LEFT(TH!O2962,2)="15"),LEFT(TH!O2962,3)&lt;&gt;"111",'152-CT'!$J$8=TH!F2962),"x","")</f>
        <v/>
      </c>
      <c r="AC2962" s="75" t="str">
        <f>IF(AND(OR(LEFT(TH!N2962,2)="15",LEFT(TH!O2962,2)="15"),TK!$E$7=TH!F2962),"x","")</f>
        <v/>
      </c>
      <c r="AD2962" s="75" t="str">
        <f>IF(AND(N2962="1521",MONTH(C2962)='BK-NL'!$M$11),"x","")</f>
        <v/>
      </c>
    </row>
    <row r="2963" spans="1:30" s="1264" customFormat="1" ht="16.5" customHeight="1">
      <c r="A2963" s="309" t="str">
        <f>IF(B2963&lt;&gt;"",IF(AND(B2963='IN-TC'!$S$4,OR(TH!N2963="1111",TH!O2963="1111")),TH!D2963,""),"")</f>
        <v/>
      </c>
      <c r="B2963" s="1315">
        <f t="shared" si="1049"/>
        <v>6</v>
      </c>
      <c r="C2963" s="71">
        <v>42912</v>
      </c>
      <c r="D2963" s="71" t="s">
        <v>902</v>
      </c>
      <c r="E2963" s="71">
        <f t="shared" si="1053"/>
        <v>42912</v>
      </c>
      <c r="F2963" s="1240" t="s">
        <v>919</v>
      </c>
      <c r="G2963" s="72" t="s">
        <v>747</v>
      </c>
      <c r="H2963" s="73" t="s">
        <v>835</v>
      </c>
      <c r="I2963" s="73"/>
      <c r="J2963" s="1218"/>
      <c r="K2963" s="1213">
        <v>3</v>
      </c>
      <c r="L2963" s="377">
        <v>22700</v>
      </c>
      <c r="M2963" s="74">
        <f t="shared" ref="M2963:M2966" si="1064">ROUND(K2963*L2963,0)</f>
        <v>68100</v>
      </c>
      <c r="N2963" s="75" t="s">
        <v>101</v>
      </c>
      <c r="O2963" s="934" t="s">
        <v>256</v>
      </c>
      <c r="P2963" s="75" t="str">
        <f>IF(AND('331-CT'!$E$7=TH!H2963,OR(N2963="331",O2963="331")),"x","")</f>
        <v/>
      </c>
      <c r="Q2963" s="75" t="str">
        <f>IF(AND(B2963='111'!$L$11,OR($N2963=$Q$7,$O2963=$Q$7)),"x","")</f>
        <v/>
      </c>
      <c r="R2963" s="75" t="str">
        <f>IF(AND($N2963=$Q$7,$B2963&lt;'111'!$L$11),"x","")</f>
        <v/>
      </c>
      <c r="S2963" s="75" t="str">
        <f>IF(AND($O2963=$Q$7,$B2963&lt;'111'!$L$11),"x","")</f>
        <v/>
      </c>
      <c r="T2963" s="75" t="str">
        <f>IF(ISERROR(FIND('112'!$M$9,G2963,1)),"",IF((AND(FIND('112'!$M$9,G2963,1)&gt;=1,B2963='112'!$K$9,OR($N2963='112'!$I$6,$O2963='112'!$I$6))),"x",""))</f>
        <v/>
      </c>
      <c r="U2963" s="75" t="str">
        <f>IF(ISERROR(FIND('112'!$M$9,G2963,1)),"",IF((AND(LEFT(G2963,2)=LEFT('112'!$M$9,2),B2963&lt;'112'!$K$9,$N2963='112'!$I$6)),"x",""))</f>
        <v/>
      </c>
      <c r="V2963" s="75" t="str">
        <f>IF(ISERROR(FIND('112'!$M$9,G2963,1)),"",IF((AND(RIGHT(G2963,2)=RIGHT('112'!$M$9,2),B2963&lt;'112'!$K$9,$O2963='112'!$I$6)),"x",""))</f>
        <v/>
      </c>
      <c r="W2963" s="75" t="str">
        <f>IF(AND('341-CT'!$H$9=H2963,OR(LEFT(N2963,3)=$W$7,LEFT(O2963,3)=$W$7)),"x","")</f>
        <v/>
      </c>
      <c r="X2963" s="75" t="str">
        <f>IF(OR(TH!N2963=TH!$X$7,O2963=TH!$X$7),"x","")</f>
        <v/>
      </c>
      <c r="Y2963" s="75" t="str">
        <f>IF(AND(OR(N2963="131",O2963="131"),H2963='131-CT'!$H$9),"x","")</f>
        <v/>
      </c>
      <c r="Z2963" s="75"/>
      <c r="AA2963" s="75" t="str">
        <f>IF(AND(MONTH(E2963)='IN-NX'!$J$5,'IN-NX'!$D$7=D2963),"x","")</f>
        <v/>
      </c>
      <c r="AB2963" s="75" t="str">
        <f>IF(AND(OR(LEFT(TH!N2963,2)="15",LEFT(TH!O2963,2)="15"),LEFT(TH!O2963,3)&lt;&gt;"111",'152-CT'!$J$8=TH!F2963),"x","")</f>
        <v/>
      </c>
      <c r="AC2963" s="75" t="str">
        <f>IF(AND(OR(LEFT(TH!N2963,2)="15",LEFT(TH!O2963,2)="15"),TK!$E$7=TH!F2963),"x","")</f>
        <v/>
      </c>
      <c r="AD2963" s="75" t="str">
        <f>IF(AND(N2963="1521",MONTH(C2963)='BK-NL'!$M$11),"x","")</f>
        <v/>
      </c>
    </row>
    <row r="2964" spans="1:30" s="1264" customFormat="1" ht="16.5" customHeight="1">
      <c r="A2964" s="309" t="str">
        <f>IF(B2964&lt;&gt;"",IF(AND(B2964='IN-TC'!$S$4,OR(TH!N2964="1111",TH!O2964="1111")),TH!D2964,""),"")</f>
        <v/>
      </c>
      <c r="B2964" s="1315">
        <f t="shared" si="1049"/>
        <v>6</v>
      </c>
      <c r="C2964" s="71">
        <v>42912</v>
      </c>
      <c r="D2964" s="71" t="s">
        <v>902</v>
      </c>
      <c r="E2964" s="71">
        <f t="shared" si="1053"/>
        <v>42912</v>
      </c>
      <c r="F2964" s="1240" t="s">
        <v>920</v>
      </c>
      <c r="G2964" s="72" t="s">
        <v>747</v>
      </c>
      <c r="H2964" s="73" t="s">
        <v>835</v>
      </c>
      <c r="I2964" s="73"/>
      <c r="J2964" s="1218"/>
      <c r="K2964" s="1213">
        <v>0.3</v>
      </c>
      <c r="L2964" s="377">
        <v>22700</v>
      </c>
      <c r="M2964" s="74">
        <f t="shared" si="1064"/>
        <v>6810</v>
      </c>
      <c r="N2964" s="75" t="s">
        <v>9</v>
      </c>
      <c r="O2964" s="934" t="s">
        <v>256</v>
      </c>
      <c r="P2964" s="75" t="str">
        <f>IF(AND('331-CT'!$E$7=TH!H2964,OR(N2964="331",O2964="331")),"x","")</f>
        <v/>
      </c>
      <c r="Q2964" s="75" t="str">
        <f>IF(AND(B2964='111'!$L$11,OR($N2964=$Q$7,$O2964=$Q$7)),"x","")</f>
        <v/>
      </c>
      <c r="R2964" s="75" t="str">
        <f>IF(AND($N2964=$Q$7,$B2964&lt;'111'!$L$11),"x","")</f>
        <v/>
      </c>
      <c r="S2964" s="75" t="str">
        <f>IF(AND($O2964=$Q$7,$B2964&lt;'111'!$L$11),"x","")</f>
        <v/>
      </c>
      <c r="T2964" s="75" t="str">
        <f>IF(ISERROR(FIND('112'!$M$9,G2964,1)),"",IF((AND(FIND('112'!$M$9,G2964,1)&gt;=1,B2964='112'!$K$9,OR($N2964='112'!$I$6,$O2964='112'!$I$6))),"x",""))</f>
        <v/>
      </c>
      <c r="U2964" s="75" t="str">
        <f>IF(ISERROR(FIND('112'!$M$9,G2964,1)),"",IF((AND(LEFT(G2964,2)=LEFT('112'!$M$9,2),B2964&lt;'112'!$K$9,$N2964='112'!$I$6)),"x",""))</f>
        <v/>
      </c>
      <c r="V2964" s="75" t="str">
        <f>IF(ISERROR(FIND('112'!$M$9,G2964,1)),"",IF((AND(RIGHT(G2964,2)=RIGHT('112'!$M$9,2),B2964&lt;'112'!$K$9,$O2964='112'!$I$6)),"x",""))</f>
        <v/>
      </c>
      <c r="W2964" s="75" t="str">
        <f>IF(AND('341-CT'!$H$9=H2964,OR(LEFT(N2964,3)=$W$7,LEFT(O2964,3)=$W$7)),"x","")</f>
        <v/>
      </c>
      <c r="X2964" s="75" t="str">
        <f>IF(OR(TH!N2964=TH!$X$7,O2964=TH!$X$7),"x","")</f>
        <v/>
      </c>
      <c r="Y2964" s="75" t="str">
        <f>IF(AND(OR(N2964="131",O2964="131"),H2964='131-CT'!$H$9),"x","")</f>
        <v/>
      </c>
      <c r="Z2964" s="75"/>
      <c r="AA2964" s="75" t="str">
        <f>IF(AND(MONTH(E2964)='IN-NX'!$J$5,'IN-NX'!$D$7=D2964),"x","")</f>
        <v/>
      </c>
      <c r="AB2964" s="75" t="str">
        <f>IF(AND(OR(LEFT(TH!N2964,2)="15",LEFT(TH!O2964,2)="15"),LEFT(TH!O2964,3)&lt;&gt;"111",'152-CT'!$J$8=TH!F2964),"x","")</f>
        <v/>
      </c>
      <c r="AC2964" s="75" t="str">
        <f>IF(AND(OR(LEFT(TH!N2964,2)="15",LEFT(TH!O2964,2)="15"),TK!$E$7=TH!F2964),"x","")</f>
        <v/>
      </c>
      <c r="AD2964" s="75" t="str">
        <f>IF(AND(N2964="1521",MONTH(C2964)='BK-NL'!$M$11),"x","")</f>
        <v/>
      </c>
    </row>
    <row r="2965" spans="1:30" s="1264" customFormat="1" ht="16.5" customHeight="1">
      <c r="A2965" s="309" t="str">
        <f>IF(B2965&lt;&gt;"",IF(AND(B2965='IN-TC'!$S$4,OR(TH!N2965="1111",TH!O2965="1111")),TH!D2965,""),"")</f>
        <v/>
      </c>
      <c r="B2965" s="1315">
        <f t="shared" si="1049"/>
        <v>6</v>
      </c>
      <c r="C2965" s="71">
        <v>42913</v>
      </c>
      <c r="D2965" s="71" t="s">
        <v>902</v>
      </c>
      <c r="E2965" s="71">
        <f t="shared" si="1053"/>
        <v>42913</v>
      </c>
      <c r="F2965" s="73" t="s">
        <v>907</v>
      </c>
      <c r="G2965" s="72" t="s">
        <v>747</v>
      </c>
      <c r="H2965" s="73" t="s">
        <v>835</v>
      </c>
      <c r="I2965" s="73"/>
      <c r="J2965" s="377"/>
      <c r="K2965" s="371">
        <v>200000</v>
      </c>
      <c r="L2965" s="377">
        <v>22731</v>
      </c>
      <c r="M2965" s="74">
        <f t="shared" si="1064"/>
        <v>4546200000</v>
      </c>
      <c r="N2965" s="75" t="s">
        <v>26</v>
      </c>
      <c r="O2965" s="934" t="s">
        <v>256</v>
      </c>
      <c r="P2965" s="75" t="str">
        <f>IF(AND('331-CT'!$E$7=TH!H2965,OR(N2965="331",O2965="331")),"x","")</f>
        <v/>
      </c>
      <c r="Q2965" s="75" t="str">
        <f>IF(AND(B2965='111'!$L$11,OR($N2965=$Q$7,$O2965=$Q$7)),"x","")</f>
        <v/>
      </c>
      <c r="R2965" s="75" t="str">
        <f>IF(AND($N2965=$Q$7,$B2965&lt;'111'!$L$11),"x","")</f>
        <v/>
      </c>
      <c r="S2965" s="75" t="str">
        <f>IF(AND($O2965=$Q$7,$B2965&lt;'111'!$L$11),"x","")</f>
        <v/>
      </c>
      <c r="T2965" s="75" t="str">
        <f>IF(ISERROR(FIND('112'!$M$9,G2965,1)),"",IF((AND(FIND('112'!$M$9,G2965,1)&gt;=1,B2965='112'!$K$9,OR($N2965='112'!$I$6,$O2965='112'!$I$6))),"x",""))</f>
        <v/>
      </c>
      <c r="U2965" s="75" t="str">
        <f>IF(ISERROR(FIND('112'!$M$9,G2965,1)),"",IF((AND(LEFT(G2965,2)=LEFT('112'!$M$9,2),B2965&lt;'112'!$K$9,$N2965='112'!$I$6)),"x",""))</f>
        <v/>
      </c>
      <c r="V2965" s="75" t="str">
        <f>IF(ISERROR(FIND('112'!$M$9,G2965,1)),"",IF((AND(RIGHT(G2965,2)=RIGHT('112'!$M$9,2),B2965&lt;'112'!$K$9,$O2965='112'!$I$6)),"x",""))</f>
        <v/>
      </c>
      <c r="W2965" s="75" t="str">
        <f>IF(AND('341-CT'!$H$9=H2965,OR(LEFT(N2965,3)=$W$7,LEFT(O2965,3)=$W$7)),"x","")</f>
        <v/>
      </c>
      <c r="X2965" s="75" t="str">
        <f>IF(OR(TH!N2965=TH!$X$7,O2965=TH!$X$7),"x","")</f>
        <v/>
      </c>
      <c r="Y2965" s="75" t="str">
        <f>IF(AND(OR(N2965="131",O2965="131"),H2965='131-CT'!$H$9),"x","")</f>
        <v/>
      </c>
      <c r="Z2965" s="75"/>
      <c r="AA2965" s="75" t="str">
        <f>IF(AND(MONTH(E2965)='IN-NX'!$J$5,'IN-NX'!$D$7=D2965),"x","")</f>
        <v/>
      </c>
      <c r="AB2965" s="75" t="str">
        <f>IF(AND(OR(LEFT(TH!N2965,2)="15",LEFT(TH!O2965,2)="15"),LEFT(TH!O2965,3)&lt;&gt;"111",'152-CT'!$J$8=TH!F2965),"x","")</f>
        <v/>
      </c>
      <c r="AC2965" s="75" t="str">
        <f>IF(AND(OR(LEFT(TH!N2965,2)="15",LEFT(TH!O2965,2)="15"),TK!$E$7=TH!F2965),"x","")</f>
        <v/>
      </c>
      <c r="AD2965" s="75" t="str">
        <f>IF(AND(N2965="1521",MONTH(C2965)='BK-NL'!$M$11),"x","")</f>
        <v/>
      </c>
    </row>
    <row r="2966" spans="1:30" s="1264" customFormat="1" ht="16.5" customHeight="1">
      <c r="A2966" s="309" t="str">
        <f>IF(B2966&lt;&gt;"",IF(AND(B2966='IN-TC'!$S$4,OR(TH!N2966="1111",TH!O2966="1111")),TH!D2966,""),"")</f>
        <v/>
      </c>
      <c r="B2966" s="1315">
        <f t="shared" si="1049"/>
        <v>6</v>
      </c>
      <c r="C2966" s="71">
        <v>42913</v>
      </c>
      <c r="D2966" s="71" t="s">
        <v>903</v>
      </c>
      <c r="E2966" s="71">
        <f t="shared" si="1053"/>
        <v>42913</v>
      </c>
      <c r="F2966" s="1240" t="s">
        <v>1086</v>
      </c>
      <c r="G2966" s="72" t="s">
        <v>747</v>
      </c>
      <c r="H2966" s="73" t="s">
        <v>759</v>
      </c>
      <c r="I2966" s="73"/>
      <c r="J2966" s="1218"/>
      <c r="K2966" s="1213">
        <v>443340</v>
      </c>
      <c r="L2966" s="377">
        <v>22700</v>
      </c>
      <c r="M2966" s="1214">
        <f t="shared" si="1064"/>
        <v>10063818000</v>
      </c>
      <c r="N2966" s="75" t="s">
        <v>256</v>
      </c>
      <c r="O2966" s="75" t="s">
        <v>536</v>
      </c>
      <c r="P2966" s="75" t="str">
        <f>IF(AND('331-CT'!$E$7=TH!H2966,OR(N2966="331",O2966="331")),"x","")</f>
        <v/>
      </c>
      <c r="Q2966" s="75" t="str">
        <f>IF(AND(B2966='111'!$L$11,OR($N2966=$Q$7,$O2966=$Q$7)),"x","")</f>
        <v/>
      </c>
      <c r="R2966" s="75" t="str">
        <f>IF(AND($N2966=$Q$7,$B2966&lt;'111'!$L$11),"x","")</f>
        <v/>
      </c>
      <c r="S2966" s="75" t="str">
        <f>IF(AND($O2966=$Q$7,$B2966&lt;'111'!$L$11),"x","")</f>
        <v/>
      </c>
      <c r="T2966" s="75" t="str">
        <f>IF(ISERROR(FIND('112'!$M$9,G2966,1)),"",IF((AND(FIND('112'!$M$9,G2966,1)&gt;=1,B2966='112'!$K$9,OR($N2966='112'!$I$6,$O2966='112'!$I$6))),"x",""))</f>
        <v/>
      </c>
      <c r="U2966" s="75" t="str">
        <f>IF(ISERROR(FIND('112'!$M$9,G2966,1)),"",IF((AND(LEFT(G2966,2)=LEFT('112'!$M$9,2),B2966&lt;'112'!$K$9,$N2966='112'!$I$6)),"x",""))</f>
        <v/>
      </c>
      <c r="V2966" s="75" t="str">
        <f>IF(ISERROR(FIND('112'!$M$9,G2966,1)),"",IF((AND(RIGHT(G2966,2)=RIGHT('112'!$M$9,2),B2966&lt;'112'!$K$9,$O2966='112'!$I$6)),"x",""))</f>
        <v/>
      </c>
      <c r="W2966" s="75" t="str">
        <f>IF(AND('341-CT'!$H$9=H2966,OR(LEFT(N2966,3)=$W$7,LEFT(O2966,3)=$W$7)),"x","")</f>
        <v/>
      </c>
      <c r="X2966" s="75" t="str">
        <f>IF(OR(TH!N2966=TH!$X$7,O2966=TH!$X$7),"x","")</f>
        <v/>
      </c>
      <c r="Y2966" s="75" t="str">
        <f>IF(AND(OR(N2966="131",O2966="131"),H2966='131-CT'!$H$9),"x","")</f>
        <v/>
      </c>
      <c r="Z2966" s="75"/>
      <c r="AA2966" s="75" t="str">
        <f>IF(AND(MONTH(E2966)='IN-NX'!$J$5,'IN-NX'!$D$7=D2966),"x","")</f>
        <v/>
      </c>
      <c r="AB2966" s="75" t="str">
        <f>IF(AND(OR(LEFT(TH!N2966,2)="15",LEFT(TH!O2966,2)="15"),LEFT(TH!O2966,3)&lt;&gt;"111",'152-CT'!$J$8=TH!F2966),"x","")</f>
        <v/>
      </c>
      <c r="AC2966" s="75" t="str">
        <f>IF(AND(OR(LEFT(TH!N2966,2)="15",LEFT(TH!O2966,2)="15"),TK!$E$7=TH!F2966),"x","")</f>
        <v/>
      </c>
      <c r="AD2966" s="75" t="str">
        <f>IF(AND(N2966="1521",MONTH(C2966)='BK-NL'!$M$11),"x","")</f>
        <v/>
      </c>
    </row>
    <row r="2967" spans="1:30" s="1264" customFormat="1" ht="16.5" customHeight="1">
      <c r="A2967" s="309" t="str">
        <f>IF(B2967&lt;&gt;"",IF(AND(B2967='IN-TC'!$S$4,OR(TH!N2967="1111",TH!O2967="1111")),TH!D2967,""),"")</f>
        <v/>
      </c>
      <c r="B2967" s="1315">
        <f t="shared" si="1049"/>
        <v>6</v>
      </c>
      <c r="C2967" s="71">
        <v>42913</v>
      </c>
      <c r="D2967" s="71" t="s">
        <v>530</v>
      </c>
      <c r="E2967" s="71">
        <f t="shared" si="1053"/>
        <v>42913</v>
      </c>
      <c r="F2967" s="1240" t="s">
        <v>1027</v>
      </c>
      <c r="G2967" s="72" t="s">
        <v>747</v>
      </c>
      <c r="H2967" s="73" t="s">
        <v>759</v>
      </c>
      <c r="I2967" s="73"/>
      <c r="J2967" s="1218"/>
      <c r="K2967" s="1213">
        <v>12</v>
      </c>
      <c r="L2967" s="377">
        <v>22700</v>
      </c>
      <c r="M2967" s="933">
        <f t="shared" si="1052"/>
        <v>272400</v>
      </c>
      <c r="N2967" s="75" t="s">
        <v>101</v>
      </c>
      <c r="O2967" s="75" t="s">
        <v>536</v>
      </c>
      <c r="P2967" s="75" t="str">
        <f>IF(AND('331-CT'!$E$7=TH!H2967,OR(N2967="331",O2967="331")),"x","")</f>
        <v/>
      </c>
      <c r="Q2967" s="75" t="str">
        <f>IF(AND(B2967='111'!$L$11,OR($N2967=$Q$7,$O2967=$Q$7)),"x","")</f>
        <v/>
      </c>
      <c r="R2967" s="75" t="str">
        <f>IF(AND($N2967=$Q$7,$B2967&lt;'111'!$L$11),"x","")</f>
        <v/>
      </c>
      <c r="S2967" s="75" t="str">
        <f>IF(AND($O2967=$Q$7,$B2967&lt;'111'!$L$11),"x","")</f>
        <v/>
      </c>
      <c r="T2967" s="75" t="str">
        <f>IF(ISERROR(FIND('112'!$M$9,G2967,1)),"",IF((AND(FIND('112'!$M$9,G2967,1)&gt;=1,B2967='112'!$K$9,OR($N2967='112'!$I$6,$O2967='112'!$I$6))),"x",""))</f>
        <v/>
      </c>
      <c r="U2967" s="75" t="str">
        <f>IF(ISERROR(FIND('112'!$M$9,G2967,1)),"",IF((AND(LEFT(G2967,2)=LEFT('112'!$M$9,2),B2967&lt;'112'!$K$9,$N2967='112'!$I$6)),"x",""))</f>
        <v/>
      </c>
      <c r="V2967" s="75" t="str">
        <f>IF(ISERROR(FIND('112'!$M$9,G2967,1)),"",IF((AND(RIGHT(G2967,2)=RIGHT('112'!$M$9,2),B2967&lt;'112'!$K$9,$O2967='112'!$I$6)),"x",""))</f>
        <v/>
      </c>
      <c r="W2967" s="75" t="str">
        <f>IF(AND('341-CT'!$H$9=H2967,OR(LEFT(N2967,3)=$W$7,LEFT(O2967,3)=$W$7)),"x","")</f>
        <v/>
      </c>
      <c r="X2967" s="75" t="str">
        <f>IF(OR(TH!N2967=TH!$X$7,O2967=TH!$X$7),"x","")</f>
        <v/>
      </c>
      <c r="Y2967" s="75" t="str">
        <f>IF(AND(OR(N2967="131",O2967="131"),H2967='131-CT'!$H$9),"x","")</f>
        <v/>
      </c>
      <c r="Z2967" s="75"/>
      <c r="AA2967" s="75" t="str">
        <f>IF(AND(MONTH(E2967)='IN-NX'!$J$5,'IN-NX'!$D$7=D2967),"x","")</f>
        <v/>
      </c>
      <c r="AB2967" s="75" t="str">
        <f>IF(AND(OR(LEFT(TH!N2967,2)="15",LEFT(TH!O2967,2)="15"),LEFT(TH!O2967,3)&lt;&gt;"111",'152-CT'!$J$8=TH!F2967),"x","")</f>
        <v/>
      </c>
      <c r="AC2967" s="75" t="str">
        <f>IF(AND(OR(LEFT(TH!N2967,2)="15",LEFT(TH!O2967,2)="15"),TK!$E$7=TH!F2967),"x","")</f>
        <v/>
      </c>
      <c r="AD2967" s="75" t="str">
        <f>IF(AND(N2967="1521",MONTH(C2967)='BK-NL'!$M$11),"x","")</f>
        <v/>
      </c>
    </row>
    <row r="2968" spans="1:30" s="1264" customFormat="1" ht="16.5" customHeight="1">
      <c r="A2968" s="309" t="str">
        <f>IF(B2968&lt;&gt;"",IF(AND(B2968='IN-TC'!$S$4,OR(TH!N2968="1111",TH!O2968="1111")),TH!D2968,""),"")</f>
        <v/>
      </c>
      <c r="B2968" s="1315">
        <f t="shared" ref="B2968" si="1065">IF(C2968&lt;&gt;"",MONTH(C2968),"")</f>
        <v>6</v>
      </c>
      <c r="C2968" s="71">
        <v>42913</v>
      </c>
      <c r="D2968" s="71" t="s">
        <v>530</v>
      </c>
      <c r="E2968" s="71">
        <f t="shared" ref="E2968" si="1066">C2968</f>
        <v>42913</v>
      </c>
      <c r="F2968" s="1240" t="s">
        <v>1010</v>
      </c>
      <c r="G2968" s="72" t="s">
        <v>747</v>
      </c>
      <c r="H2968" s="73" t="s">
        <v>759</v>
      </c>
      <c r="I2968" s="73"/>
      <c r="J2968" s="1218"/>
      <c r="K2968" s="1213"/>
      <c r="L2968" s="377"/>
      <c r="M2968" s="933">
        <v>26601120</v>
      </c>
      <c r="N2968" s="75" t="s">
        <v>536</v>
      </c>
      <c r="O2968" s="75" t="s">
        <v>43</v>
      </c>
      <c r="P2968" s="75" t="str">
        <f>IF(AND('331-CT'!$E$7=TH!H2968,OR(N2968="331",O2968="331")),"x","")</f>
        <v/>
      </c>
      <c r="Q2968" s="75" t="str">
        <f>IF(AND(B2968='111'!$L$11,OR($N2968=$Q$7,$O2968=$Q$7)),"x","")</f>
        <v/>
      </c>
      <c r="R2968" s="75" t="str">
        <f>IF(AND($N2968=$Q$7,$B2968&lt;'111'!$L$11),"x","")</f>
        <v/>
      </c>
      <c r="S2968" s="75" t="str">
        <f>IF(AND($O2968=$Q$7,$B2968&lt;'111'!$L$11),"x","")</f>
        <v/>
      </c>
      <c r="T2968" s="75" t="str">
        <f>IF(ISERROR(FIND('112'!$M$9,G2968,1)),"",IF((AND(FIND('112'!$M$9,G2968,1)&gt;=1,B2968='112'!$K$9,OR($N2968='112'!$I$6,$O2968='112'!$I$6))),"x",""))</f>
        <v/>
      </c>
      <c r="U2968" s="75" t="str">
        <f>IF(ISERROR(FIND('112'!$M$9,G2968,1)),"",IF((AND(LEFT(G2968,2)=LEFT('112'!$M$9,2),B2968&lt;'112'!$K$9,$N2968='112'!$I$6)),"x",""))</f>
        <v/>
      </c>
      <c r="V2968" s="75" t="str">
        <f>IF(ISERROR(FIND('112'!$M$9,G2968,1)),"",IF((AND(RIGHT(G2968,2)=RIGHT('112'!$M$9,2),B2968&lt;'112'!$K$9,$O2968='112'!$I$6)),"x",""))</f>
        <v/>
      </c>
      <c r="W2968" s="75" t="str">
        <f>IF(AND('341-CT'!$H$9=H2968,OR(LEFT(N2968,3)=$W$7,LEFT(O2968,3)=$W$7)),"x","")</f>
        <v/>
      </c>
      <c r="X2968" s="75" t="str">
        <f>IF(OR(TH!N2968=TH!$X$7,O2968=TH!$X$7),"x","")</f>
        <v/>
      </c>
      <c r="Y2968" s="75" t="str">
        <f>IF(AND(OR(N2968="131",O2968="131"),H2968='131-CT'!$H$9),"x","")</f>
        <v/>
      </c>
      <c r="Z2968" s="75"/>
      <c r="AA2968" s="75" t="str">
        <f>IF(AND(MONTH(E2968)='IN-NX'!$J$5,'IN-NX'!$D$7=D2968),"x","")</f>
        <v/>
      </c>
      <c r="AB2968" s="75" t="str">
        <f>IF(AND(OR(LEFT(TH!N2968,2)="15",LEFT(TH!O2968,2)="15"),LEFT(TH!O2968,3)&lt;&gt;"111",'152-CT'!$J$8=TH!F2968),"x","")</f>
        <v/>
      </c>
      <c r="AC2968" s="75" t="str">
        <f>IF(AND(OR(LEFT(TH!N2968,2)="15",LEFT(TH!O2968,2)="15"),TK!$E$7=TH!F2968),"x","")</f>
        <v/>
      </c>
      <c r="AD2968" s="75" t="str">
        <f>IF(AND(N2968="1521",MONTH(C2968)='BK-NL'!$M$11),"x","")</f>
        <v/>
      </c>
    </row>
    <row r="2969" spans="1:30" s="1264" customFormat="1" ht="16.5" customHeight="1">
      <c r="A2969" s="309" t="str">
        <f>IF(B2969&lt;&gt;"",IF(AND(B2969='IN-TC'!$S$4,OR(TH!N2969="1111",TH!O2969="1111")),TH!D2969,""),"")</f>
        <v/>
      </c>
      <c r="B2969" s="1315">
        <f t="shared" si="1049"/>
        <v>6</v>
      </c>
      <c r="C2969" s="71">
        <v>42915</v>
      </c>
      <c r="D2969" s="71" t="s">
        <v>902</v>
      </c>
      <c r="E2969" s="71">
        <f t="shared" si="1053"/>
        <v>42915</v>
      </c>
      <c r="F2969" s="1240" t="s">
        <v>919</v>
      </c>
      <c r="G2969" s="72" t="s">
        <v>747</v>
      </c>
      <c r="H2969" s="73" t="s">
        <v>835</v>
      </c>
      <c r="I2969" s="73"/>
      <c r="J2969" s="1228"/>
      <c r="K2969" s="1213">
        <v>3</v>
      </c>
      <c r="L2969" s="377">
        <v>22700</v>
      </c>
      <c r="M2969" s="74">
        <f t="shared" ref="M2969:M2971" si="1067">ROUND(K2969*L2969,0)</f>
        <v>68100</v>
      </c>
      <c r="N2969" s="75" t="s">
        <v>101</v>
      </c>
      <c r="O2969" s="934" t="s">
        <v>256</v>
      </c>
      <c r="P2969" s="75" t="str">
        <f>IF(AND('331-CT'!$E$7=TH!H2969,OR(N2969="331",O2969="331")),"x","")</f>
        <v/>
      </c>
      <c r="Q2969" s="75" t="str">
        <f>IF(AND(B2969='111'!$L$11,OR($N2969=$Q$7,$O2969=$Q$7)),"x","")</f>
        <v/>
      </c>
      <c r="R2969" s="75" t="str">
        <f>IF(AND($N2969=$Q$7,$B2969&lt;'111'!$L$11),"x","")</f>
        <v/>
      </c>
      <c r="S2969" s="75" t="str">
        <f>IF(AND($O2969=$Q$7,$B2969&lt;'111'!$L$11),"x","")</f>
        <v/>
      </c>
      <c r="T2969" s="75" t="str">
        <f>IF(ISERROR(FIND('112'!$M$9,G2969,1)),"",IF((AND(FIND('112'!$M$9,G2969,1)&gt;=1,B2969='112'!$K$9,OR($N2969='112'!$I$6,$O2969='112'!$I$6))),"x",""))</f>
        <v/>
      </c>
      <c r="U2969" s="75" t="str">
        <f>IF(ISERROR(FIND('112'!$M$9,G2969,1)),"",IF((AND(LEFT(G2969,2)=LEFT('112'!$M$9,2),B2969&lt;'112'!$K$9,$N2969='112'!$I$6)),"x",""))</f>
        <v/>
      </c>
      <c r="V2969" s="75" t="str">
        <f>IF(ISERROR(FIND('112'!$M$9,G2969,1)),"",IF((AND(RIGHT(G2969,2)=RIGHT('112'!$M$9,2),B2969&lt;'112'!$K$9,$O2969='112'!$I$6)),"x",""))</f>
        <v/>
      </c>
      <c r="W2969" s="75" t="str">
        <f>IF(AND('341-CT'!$H$9=H2969,OR(LEFT(N2969,3)=$W$7,LEFT(O2969,3)=$W$7)),"x","")</f>
        <v/>
      </c>
      <c r="X2969" s="75" t="str">
        <f>IF(OR(TH!N2969=TH!$X$7,O2969=TH!$X$7),"x","")</f>
        <v/>
      </c>
      <c r="Y2969" s="75" t="str">
        <f>IF(AND(OR(N2969="131",O2969="131"),H2969='131-CT'!$H$9),"x","")</f>
        <v/>
      </c>
      <c r="Z2969" s="75"/>
      <c r="AA2969" s="75" t="str">
        <f>IF(AND(MONTH(E2969)='IN-NX'!$J$5,'IN-NX'!$D$7=D2969),"x","")</f>
        <v/>
      </c>
      <c r="AB2969" s="75" t="str">
        <f>IF(AND(OR(LEFT(TH!N2969,2)="15",LEFT(TH!O2969,2)="15"),LEFT(TH!O2969,3)&lt;&gt;"111",'152-CT'!$J$8=TH!F2969),"x","")</f>
        <v/>
      </c>
      <c r="AC2969" s="75" t="str">
        <f>IF(AND(OR(LEFT(TH!N2969,2)="15",LEFT(TH!O2969,2)="15"),TK!$E$7=TH!F2969),"x","")</f>
        <v/>
      </c>
      <c r="AD2969" s="75" t="str">
        <f>IF(AND(N2969="1521",MONTH(C2969)='BK-NL'!$M$11),"x","")</f>
        <v/>
      </c>
    </row>
    <row r="2970" spans="1:30" s="1264" customFormat="1" ht="16.5" customHeight="1">
      <c r="A2970" s="309" t="str">
        <f>IF(B2970&lt;&gt;"",IF(AND(B2970='IN-TC'!$S$4,OR(TH!N2970="1111",TH!O2970="1111")),TH!D2970,""),"")</f>
        <v/>
      </c>
      <c r="B2970" s="1315">
        <f t="shared" si="1049"/>
        <v>6</v>
      </c>
      <c r="C2970" s="71">
        <v>42915</v>
      </c>
      <c r="D2970" s="71" t="s">
        <v>902</v>
      </c>
      <c r="E2970" s="71">
        <f t="shared" si="1053"/>
        <v>42915</v>
      </c>
      <c r="F2970" s="1240" t="s">
        <v>920</v>
      </c>
      <c r="G2970" s="72" t="s">
        <v>747</v>
      </c>
      <c r="H2970" s="73" t="s">
        <v>835</v>
      </c>
      <c r="I2970" s="73"/>
      <c r="J2970" s="377"/>
      <c r="K2970" s="371">
        <v>0.3</v>
      </c>
      <c r="L2970" s="377">
        <v>22700</v>
      </c>
      <c r="M2970" s="74">
        <f t="shared" si="1067"/>
        <v>6810</v>
      </c>
      <c r="N2970" s="75" t="s">
        <v>9</v>
      </c>
      <c r="O2970" s="934" t="s">
        <v>256</v>
      </c>
      <c r="P2970" s="75" t="str">
        <f>IF(AND('331-CT'!$E$7=TH!H2970,OR(N2970="331",O2970="331")),"x","")</f>
        <v/>
      </c>
      <c r="Q2970" s="75" t="str">
        <f>IF(AND(B2970='111'!$L$11,OR($N2970=$Q$7,$O2970=$Q$7)),"x","")</f>
        <v/>
      </c>
      <c r="R2970" s="75" t="str">
        <f>IF(AND($N2970=$Q$7,$B2970&lt;'111'!$L$11),"x","")</f>
        <v/>
      </c>
      <c r="S2970" s="75" t="str">
        <f>IF(AND($O2970=$Q$7,$B2970&lt;'111'!$L$11),"x","")</f>
        <v/>
      </c>
      <c r="T2970" s="75" t="str">
        <f>IF(ISERROR(FIND('112'!$M$9,G2970,1)),"",IF((AND(FIND('112'!$M$9,G2970,1)&gt;=1,B2970='112'!$K$9,OR($N2970='112'!$I$6,$O2970='112'!$I$6))),"x",""))</f>
        <v/>
      </c>
      <c r="U2970" s="75" t="str">
        <f>IF(ISERROR(FIND('112'!$M$9,G2970,1)),"",IF((AND(LEFT(G2970,2)=LEFT('112'!$M$9,2),B2970&lt;'112'!$K$9,$N2970='112'!$I$6)),"x",""))</f>
        <v/>
      </c>
      <c r="V2970" s="75" t="str">
        <f>IF(ISERROR(FIND('112'!$M$9,G2970,1)),"",IF((AND(RIGHT(G2970,2)=RIGHT('112'!$M$9,2),B2970&lt;'112'!$K$9,$O2970='112'!$I$6)),"x",""))</f>
        <v/>
      </c>
      <c r="W2970" s="75" t="str">
        <f>IF(AND('341-CT'!$H$9=H2970,OR(LEFT(N2970,3)=$W$7,LEFT(O2970,3)=$W$7)),"x","")</f>
        <v/>
      </c>
      <c r="X2970" s="75" t="str">
        <f>IF(OR(TH!N2970=TH!$X$7,O2970=TH!$X$7),"x","")</f>
        <v/>
      </c>
      <c r="Y2970" s="75" t="str">
        <f>IF(AND(OR(N2970="131",O2970="131"),H2970='131-CT'!$H$9),"x","")</f>
        <v/>
      </c>
      <c r="Z2970" s="75"/>
      <c r="AA2970" s="75" t="str">
        <f>IF(AND(MONTH(E2970)='IN-NX'!$J$5,'IN-NX'!$D$7=D2970),"x","")</f>
        <v/>
      </c>
      <c r="AB2970" s="75" t="str">
        <f>IF(AND(OR(LEFT(TH!N2970,2)="15",LEFT(TH!O2970,2)="15"),LEFT(TH!O2970,3)&lt;&gt;"111",'152-CT'!$J$8=TH!F2970),"x","")</f>
        <v/>
      </c>
      <c r="AC2970" s="75" t="str">
        <f>IF(AND(OR(LEFT(TH!N2970,2)="15",LEFT(TH!O2970,2)="15"),TK!$E$7=TH!F2970),"x","")</f>
        <v/>
      </c>
      <c r="AD2970" s="75" t="str">
        <f>IF(AND(N2970="1521",MONTH(C2970)='BK-NL'!$M$11),"x","")</f>
        <v/>
      </c>
    </row>
    <row r="2971" spans="1:30" s="1264" customFormat="1" ht="16.5" customHeight="1">
      <c r="A2971" s="309" t="str">
        <f>IF(B2971&lt;&gt;"",IF(AND(B2971='IN-TC'!$S$4,OR(TH!N2971="1111",TH!O2971="1111")),TH!D2971,""),"")</f>
        <v/>
      </c>
      <c r="B2971" s="1277">
        <f t="shared" si="1049"/>
        <v>7</v>
      </c>
      <c r="C2971" s="71">
        <v>42919</v>
      </c>
      <c r="D2971" s="71" t="s">
        <v>903</v>
      </c>
      <c r="E2971" s="71">
        <f t="shared" si="1053"/>
        <v>42919</v>
      </c>
      <c r="F2971" s="73" t="s">
        <v>1086</v>
      </c>
      <c r="G2971" s="72" t="s">
        <v>747</v>
      </c>
      <c r="H2971" s="735" t="s">
        <v>546</v>
      </c>
      <c r="I2971" s="73"/>
      <c r="J2971" s="377"/>
      <c r="K2971" s="371">
        <v>27698</v>
      </c>
      <c r="L2971" s="377">
        <v>22725</v>
      </c>
      <c r="M2971" s="1214">
        <f t="shared" si="1067"/>
        <v>629437050</v>
      </c>
      <c r="N2971" s="75" t="s">
        <v>256</v>
      </c>
      <c r="O2971" s="75" t="s">
        <v>536</v>
      </c>
      <c r="P2971" s="75" t="str">
        <f>IF(AND('331-CT'!$E$7=TH!H2971,OR(N2971="331",O2971="331")),"x","")</f>
        <v/>
      </c>
      <c r="Q2971" s="75" t="str">
        <f>IF(AND(B2971='111'!$L$11,OR($N2971=$Q$7,$O2971=$Q$7)),"x","")</f>
        <v/>
      </c>
      <c r="R2971" s="75" t="str">
        <f>IF(AND($N2971=$Q$7,$B2971&lt;'111'!$L$11),"x","")</f>
        <v/>
      </c>
      <c r="S2971" s="75" t="str">
        <f>IF(AND($O2971=$Q$7,$B2971&lt;'111'!$L$11),"x","")</f>
        <v/>
      </c>
      <c r="T2971" s="75" t="str">
        <f>IF(ISERROR(FIND('112'!$M$9,G2971,1)),"",IF((AND(FIND('112'!$M$9,G2971,1)&gt;=1,B2971='112'!$K$9,OR($N2971='112'!$I$6,$O2971='112'!$I$6))),"x",""))</f>
        <v/>
      </c>
      <c r="U2971" s="75" t="str">
        <f>IF(ISERROR(FIND('112'!$M$9,G2971,1)),"",IF((AND(LEFT(G2971,2)=LEFT('112'!$M$9,2),B2971&lt;'112'!$K$9,$N2971='112'!$I$6)),"x",""))</f>
        <v/>
      </c>
      <c r="V2971" s="75" t="str">
        <f>IF(ISERROR(FIND('112'!$M$9,G2971,1)),"",IF((AND(RIGHT(G2971,2)=RIGHT('112'!$M$9,2),B2971&lt;'112'!$K$9,$O2971='112'!$I$6)),"x",""))</f>
        <v/>
      </c>
      <c r="W2971" s="75" t="str">
        <f>IF(AND('341-CT'!$H$9=H2971,OR(LEFT(N2971,3)=$W$7,LEFT(O2971,3)=$W$7)),"x","")</f>
        <v/>
      </c>
      <c r="X2971" s="75" t="str">
        <f>IF(OR(TH!N2971=TH!$X$7,O2971=TH!$X$7),"x","")</f>
        <v/>
      </c>
      <c r="Y2971" s="75" t="str">
        <f>IF(AND(OR(N2971="131",O2971="131"),H2971='131-CT'!$H$9),"x","")</f>
        <v/>
      </c>
      <c r="Z2971" s="75"/>
      <c r="AA2971" s="75" t="str">
        <f>IF(AND(MONTH(E2971)='IN-NX'!$J$5,'IN-NX'!$D$7=D2971),"x","")</f>
        <v/>
      </c>
      <c r="AB2971" s="75" t="str">
        <f>IF(AND(OR(LEFT(TH!N2971,2)="15",LEFT(TH!O2971,2)="15"),LEFT(TH!O2971,3)&lt;&gt;"111",'152-CT'!$J$8=TH!F2971),"x","")</f>
        <v/>
      </c>
      <c r="AC2971" s="75" t="str">
        <f>IF(AND(OR(LEFT(TH!N2971,2)="15",LEFT(TH!O2971,2)="15"),TK!$E$7=TH!F2971),"x","")</f>
        <v/>
      </c>
      <c r="AD2971" s="75" t="str">
        <f>IF(AND(N2971="1521",MONTH(C2971)='BK-NL'!$M$11),"x","")</f>
        <v/>
      </c>
    </row>
    <row r="2972" spans="1:30" s="1264" customFormat="1" ht="16.5" customHeight="1">
      <c r="A2972" s="309" t="str">
        <f>IF(B2972&lt;&gt;"",IF(AND(B2972='IN-TC'!$S$4,OR(TH!N2972="1111",TH!O2972="1111")),TH!D2972,""),"")</f>
        <v/>
      </c>
      <c r="B2972" s="1277">
        <f t="shared" si="1049"/>
        <v>7</v>
      </c>
      <c r="C2972" s="71">
        <v>42919</v>
      </c>
      <c r="D2972" s="71" t="s">
        <v>530</v>
      </c>
      <c r="E2972" s="71">
        <f t="shared" si="1053"/>
        <v>42919</v>
      </c>
      <c r="F2972" s="73" t="s">
        <v>1027</v>
      </c>
      <c r="G2972" s="72" t="s">
        <v>747</v>
      </c>
      <c r="H2972" s="735" t="s">
        <v>546</v>
      </c>
      <c r="I2972" s="73"/>
      <c r="J2972" s="377"/>
      <c r="K2972" s="371">
        <v>52</v>
      </c>
      <c r="L2972" s="377">
        <v>22725</v>
      </c>
      <c r="M2972" s="933">
        <f t="shared" si="1052"/>
        <v>1181700</v>
      </c>
      <c r="N2972" s="75" t="s">
        <v>101</v>
      </c>
      <c r="O2972" s="75" t="s">
        <v>536</v>
      </c>
      <c r="P2972" s="75" t="str">
        <f>IF(AND('331-CT'!$E$7=TH!H2972,OR(N2972="331",O2972="331")),"x","")</f>
        <v/>
      </c>
      <c r="Q2972" s="75" t="str">
        <f>IF(AND(B2972='111'!$L$11,OR($N2972=$Q$7,$O2972=$Q$7)),"x","")</f>
        <v/>
      </c>
      <c r="R2972" s="75" t="str">
        <f>IF(AND($N2972=$Q$7,$B2972&lt;'111'!$L$11),"x","")</f>
        <v/>
      </c>
      <c r="S2972" s="75" t="str">
        <f>IF(AND($O2972=$Q$7,$B2972&lt;'111'!$L$11),"x","")</f>
        <v/>
      </c>
      <c r="T2972" s="75" t="str">
        <f>IF(ISERROR(FIND('112'!$M$9,G2972,1)),"",IF((AND(FIND('112'!$M$9,G2972,1)&gt;=1,B2972='112'!$K$9,OR($N2972='112'!$I$6,$O2972='112'!$I$6))),"x",""))</f>
        <v/>
      </c>
      <c r="U2972" s="75" t="str">
        <f>IF(ISERROR(FIND('112'!$M$9,G2972,1)),"",IF((AND(LEFT(G2972,2)=LEFT('112'!$M$9,2),B2972&lt;'112'!$K$9,$N2972='112'!$I$6)),"x",""))</f>
        <v/>
      </c>
      <c r="V2972" s="75" t="str">
        <f>IF(ISERROR(FIND('112'!$M$9,G2972,1)),"",IF((AND(RIGHT(G2972,2)=RIGHT('112'!$M$9,2),B2972&lt;'112'!$K$9,$O2972='112'!$I$6)),"x",""))</f>
        <v/>
      </c>
      <c r="W2972" s="75" t="str">
        <f>IF(AND('341-CT'!$H$9=H2972,OR(LEFT(N2972,3)=$W$7,LEFT(O2972,3)=$W$7)),"x","")</f>
        <v/>
      </c>
      <c r="X2972" s="75" t="str">
        <f>IF(OR(TH!N2972=TH!$X$7,O2972=TH!$X$7),"x","")</f>
        <v/>
      </c>
      <c r="Y2972" s="75" t="str">
        <f>IF(AND(OR(N2972="131",O2972="131"),H2972='131-CT'!$H$9),"x","")</f>
        <v/>
      </c>
      <c r="Z2972" s="75"/>
      <c r="AA2972" s="75" t="str">
        <f>IF(AND(MONTH(E2972)='IN-NX'!$J$5,'IN-NX'!$D$7=D2972),"x","")</f>
        <v/>
      </c>
      <c r="AB2972" s="75" t="str">
        <f>IF(AND(OR(LEFT(TH!N2972,2)="15",LEFT(TH!O2972,2)="15"),LEFT(TH!O2972,3)&lt;&gt;"111",'152-CT'!$J$8=TH!F2972),"x","")</f>
        <v/>
      </c>
      <c r="AC2972" s="75" t="str">
        <f>IF(AND(OR(LEFT(TH!N2972,2)="15",LEFT(TH!O2972,2)="15"),TK!$E$7=TH!F2972),"x","")</f>
        <v/>
      </c>
      <c r="AD2972" s="75" t="str">
        <f>IF(AND(N2972="1521",MONTH(C2972)='BK-NL'!$M$11),"x","")</f>
        <v/>
      </c>
    </row>
    <row r="2973" spans="1:30" s="1264" customFormat="1" ht="16.5" customHeight="1">
      <c r="A2973" s="309" t="str">
        <f>IF(B2973&lt;&gt;"",IF(AND(B2973='IN-TC'!$S$4,OR(TH!N2973="1111",TH!O2973="1111")),TH!D2973,""),"")</f>
        <v/>
      </c>
      <c r="B2973" s="1277">
        <f t="shared" si="1049"/>
        <v>7</v>
      </c>
      <c r="C2973" s="71">
        <v>42919</v>
      </c>
      <c r="D2973" s="71" t="s">
        <v>530</v>
      </c>
      <c r="E2973" s="71">
        <f t="shared" si="1053"/>
        <v>42919</v>
      </c>
      <c r="F2973" s="73" t="s">
        <v>1010</v>
      </c>
      <c r="G2973" s="72" t="s">
        <v>747</v>
      </c>
      <c r="H2973" s="735" t="s">
        <v>546</v>
      </c>
      <c r="I2973" s="73"/>
      <c r="J2973" s="377"/>
      <c r="K2973" s="371"/>
      <c r="L2973" s="377"/>
      <c r="M2973" s="74">
        <v>1942500</v>
      </c>
      <c r="N2973" s="75" t="s">
        <v>536</v>
      </c>
      <c r="O2973" s="934" t="s">
        <v>43</v>
      </c>
      <c r="P2973" s="75" t="str">
        <f>IF(AND('331-CT'!$E$7=TH!H2973,OR(N2973="331",O2973="331")),"x","")</f>
        <v/>
      </c>
      <c r="Q2973" s="75" t="str">
        <f>IF(AND(B2973='111'!$L$11,OR($N2973=$Q$7,$O2973=$Q$7)),"x","")</f>
        <v/>
      </c>
      <c r="R2973" s="75" t="str">
        <f>IF(AND($N2973=$Q$7,$B2973&lt;'111'!$L$11),"x","")</f>
        <v/>
      </c>
      <c r="S2973" s="75" t="str">
        <f>IF(AND($O2973=$Q$7,$B2973&lt;'111'!$L$11),"x","")</f>
        <v/>
      </c>
      <c r="T2973" s="75" t="str">
        <f>IF(ISERROR(FIND('112'!$M$9,G2973,1)),"",IF((AND(FIND('112'!$M$9,G2973,1)&gt;=1,B2973='112'!$K$9,OR($N2973='112'!$I$6,$O2973='112'!$I$6))),"x",""))</f>
        <v/>
      </c>
      <c r="U2973" s="75" t="str">
        <f>IF(ISERROR(FIND('112'!$M$9,G2973,1)),"",IF((AND(LEFT(G2973,2)=LEFT('112'!$M$9,2),B2973&lt;'112'!$K$9,$N2973='112'!$I$6)),"x",""))</f>
        <v/>
      </c>
      <c r="V2973" s="75" t="str">
        <f>IF(ISERROR(FIND('112'!$M$9,G2973,1)),"",IF((AND(RIGHT(G2973,2)=RIGHT('112'!$M$9,2),B2973&lt;'112'!$K$9,$O2973='112'!$I$6)),"x",""))</f>
        <v/>
      </c>
      <c r="W2973" s="75" t="str">
        <f>IF(AND('341-CT'!$H$9=H2973,OR(LEFT(N2973,3)=$W$7,LEFT(O2973,3)=$W$7)),"x","")</f>
        <v/>
      </c>
      <c r="X2973" s="75" t="str">
        <f>IF(OR(TH!N2973=TH!$X$7,O2973=TH!$X$7),"x","")</f>
        <v/>
      </c>
      <c r="Y2973" s="75" t="str">
        <f>IF(AND(OR(N2973="131",O2973="131"),H2973='131-CT'!$H$9),"x","")</f>
        <v/>
      </c>
      <c r="Z2973" s="75"/>
      <c r="AA2973" s="75" t="str">
        <f>IF(AND(MONTH(E2973)='IN-NX'!$J$5,'IN-NX'!$D$7=D2973),"x","")</f>
        <v/>
      </c>
      <c r="AB2973" s="75" t="str">
        <f>IF(AND(OR(LEFT(TH!N2973,2)="15",LEFT(TH!O2973,2)="15"),LEFT(TH!O2973,3)&lt;&gt;"111",'152-CT'!$J$8=TH!F2973),"x","")</f>
        <v/>
      </c>
      <c r="AC2973" s="75" t="str">
        <f>IF(AND(OR(LEFT(TH!N2973,2)="15",LEFT(TH!O2973,2)="15"),TK!$E$7=TH!F2973),"x","")</f>
        <v/>
      </c>
      <c r="AD2973" s="75" t="str">
        <f>IF(AND(N2973="1521",MONTH(C2973)='BK-NL'!$M$11),"x","")</f>
        <v/>
      </c>
    </row>
    <row r="2974" spans="1:30" s="1264" customFormat="1" ht="16.5" customHeight="1">
      <c r="A2974" s="309" t="str">
        <f>IF(B2974&lt;&gt;"",IF(AND(B2974='IN-TC'!$S$4,OR(TH!N2974="1111",TH!O2974="1111")),TH!D2974,""),"")</f>
        <v/>
      </c>
      <c r="B2974" s="1277">
        <f t="shared" si="1049"/>
        <v>7</v>
      </c>
      <c r="C2974" s="71">
        <v>42920</v>
      </c>
      <c r="D2974" s="71" t="s">
        <v>903</v>
      </c>
      <c r="E2974" s="71">
        <f t="shared" si="1053"/>
        <v>42920</v>
      </c>
      <c r="F2974" s="1240" t="s">
        <v>1086</v>
      </c>
      <c r="G2974" s="72" t="s">
        <v>747</v>
      </c>
      <c r="H2974" s="73" t="s">
        <v>759</v>
      </c>
      <c r="I2974" s="73"/>
      <c r="J2974" s="1218"/>
      <c r="K2974" s="1213">
        <v>419583.91</v>
      </c>
      <c r="L2974" s="377">
        <v>22725</v>
      </c>
      <c r="M2974" s="1214">
        <f t="shared" ref="M2974" si="1068">ROUND(K2974*L2974,0)</f>
        <v>9535044355</v>
      </c>
      <c r="N2974" s="75" t="s">
        <v>256</v>
      </c>
      <c r="O2974" s="75" t="s">
        <v>536</v>
      </c>
      <c r="P2974" s="75" t="str">
        <f>IF(AND('331-CT'!$E$7=TH!H2974,OR(N2974="331",O2974="331")),"x","")</f>
        <v/>
      </c>
      <c r="Q2974" s="75" t="str">
        <f>IF(AND(B2974='111'!$L$11,OR($N2974=$Q$7,$O2974=$Q$7)),"x","")</f>
        <v/>
      </c>
      <c r="R2974" s="75" t="str">
        <f>IF(AND($N2974=$Q$7,$B2974&lt;'111'!$L$11),"x","")</f>
        <v/>
      </c>
      <c r="S2974" s="75" t="str">
        <f>IF(AND($O2974=$Q$7,$B2974&lt;'111'!$L$11),"x","")</f>
        <v/>
      </c>
      <c r="T2974" s="75" t="str">
        <f>IF(ISERROR(FIND('112'!$M$9,G2974,1)),"",IF((AND(FIND('112'!$M$9,G2974,1)&gt;=1,B2974='112'!$K$9,OR($N2974='112'!$I$6,$O2974='112'!$I$6))),"x",""))</f>
        <v/>
      </c>
      <c r="U2974" s="75" t="str">
        <f>IF(ISERROR(FIND('112'!$M$9,G2974,1)),"",IF((AND(LEFT(G2974,2)=LEFT('112'!$M$9,2),B2974&lt;'112'!$K$9,$N2974='112'!$I$6)),"x",""))</f>
        <v/>
      </c>
      <c r="V2974" s="75" t="str">
        <f>IF(ISERROR(FIND('112'!$M$9,G2974,1)),"",IF((AND(RIGHT(G2974,2)=RIGHT('112'!$M$9,2),B2974&lt;'112'!$K$9,$O2974='112'!$I$6)),"x",""))</f>
        <v/>
      </c>
      <c r="W2974" s="75" t="str">
        <f>IF(AND('341-CT'!$H$9=H2974,OR(LEFT(N2974,3)=$W$7,LEFT(O2974,3)=$W$7)),"x","")</f>
        <v/>
      </c>
      <c r="X2974" s="75" t="str">
        <f>IF(OR(TH!N2974=TH!$X$7,O2974=TH!$X$7),"x","")</f>
        <v/>
      </c>
      <c r="Y2974" s="75" t="str">
        <f>IF(AND(OR(N2974="131",O2974="131"),H2974='131-CT'!$H$9),"x","")</f>
        <v/>
      </c>
      <c r="Z2974" s="75"/>
      <c r="AA2974" s="75" t="str">
        <f>IF(AND(MONTH(E2974)='IN-NX'!$J$5,'IN-NX'!$D$7=D2974),"x","")</f>
        <v/>
      </c>
      <c r="AB2974" s="75" t="str">
        <f>IF(AND(OR(LEFT(TH!N2974,2)="15",LEFT(TH!O2974,2)="15"),LEFT(TH!O2974,3)&lt;&gt;"111",'152-CT'!$J$8=TH!F2974),"x","")</f>
        <v/>
      </c>
      <c r="AC2974" s="75" t="str">
        <f>IF(AND(OR(LEFT(TH!N2974,2)="15",LEFT(TH!O2974,2)="15"),TK!$E$7=TH!F2974),"x","")</f>
        <v/>
      </c>
      <c r="AD2974" s="75" t="str">
        <f>IF(AND(N2974="1521",MONTH(C2974)='BK-NL'!$M$11),"x","")</f>
        <v/>
      </c>
    </row>
    <row r="2975" spans="1:30" s="1264" customFormat="1" ht="16.5" customHeight="1">
      <c r="A2975" s="309" t="str">
        <f>IF(B2975&lt;&gt;"",IF(AND(B2975='IN-TC'!$S$4,OR(TH!N2975="1111",TH!O2975="1111")),TH!D2975,""),"")</f>
        <v/>
      </c>
      <c r="B2975" s="1277">
        <f t="shared" si="1049"/>
        <v>7</v>
      </c>
      <c r="C2975" s="71">
        <v>42920</v>
      </c>
      <c r="D2975" s="71" t="s">
        <v>530</v>
      </c>
      <c r="E2975" s="71">
        <f t="shared" si="1053"/>
        <v>42920</v>
      </c>
      <c r="F2975" s="1240" t="s">
        <v>1027</v>
      </c>
      <c r="G2975" s="72" t="s">
        <v>747</v>
      </c>
      <c r="H2975" s="73" t="s">
        <v>759</v>
      </c>
      <c r="I2975" s="73"/>
      <c r="J2975" s="1218"/>
      <c r="K2975" s="1213">
        <v>17.09</v>
      </c>
      <c r="L2975" s="377">
        <v>22725</v>
      </c>
      <c r="M2975" s="933">
        <f t="shared" si="1052"/>
        <v>388370</v>
      </c>
      <c r="N2975" s="75" t="s">
        <v>101</v>
      </c>
      <c r="O2975" s="75" t="s">
        <v>536</v>
      </c>
      <c r="P2975" s="75" t="str">
        <f>IF(AND('331-CT'!$E$7=TH!H2975,OR(N2975="331",O2975="331")),"x","")</f>
        <v/>
      </c>
      <c r="Q2975" s="75" t="str">
        <f>IF(AND(B2975='111'!$L$11,OR($N2975=$Q$7,$O2975=$Q$7)),"x","")</f>
        <v/>
      </c>
      <c r="R2975" s="75" t="str">
        <f>IF(AND($N2975=$Q$7,$B2975&lt;'111'!$L$11),"x","")</f>
        <v/>
      </c>
      <c r="S2975" s="75" t="str">
        <f>IF(AND($O2975=$Q$7,$B2975&lt;'111'!$L$11),"x","")</f>
        <v/>
      </c>
      <c r="T2975" s="75" t="str">
        <f>IF(ISERROR(FIND('112'!$M$9,G2975,1)),"",IF((AND(FIND('112'!$M$9,G2975,1)&gt;=1,B2975='112'!$K$9,OR($N2975='112'!$I$6,$O2975='112'!$I$6))),"x",""))</f>
        <v/>
      </c>
      <c r="U2975" s="75" t="str">
        <f>IF(ISERROR(FIND('112'!$M$9,G2975,1)),"",IF((AND(LEFT(G2975,2)=LEFT('112'!$M$9,2),B2975&lt;'112'!$K$9,$N2975='112'!$I$6)),"x",""))</f>
        <v/>
      </c>
      <c r="V2975" s="75" t="str">
        <f>IF(ISERROR(FIND('112'!$M$9,G2975,1)),"",IF((AND(RIGHT(G2975,2)=RIGHT('112'!$M$9,2),B2975&lt;'112'!$K$9,$O2975='112'!$I$6)),"x",""))</f>
        <v/>
      </c>
      <c r="W2975" s="75" t="str">
        <f>IF(AND('341-CT'!$H$9=H2975,OR(LEFT(N2975,3)=$W$7,LEFT(O2975,3)=$W$7)),"x","")</f>
        <v/>
      </c>
      <c r="X2975" s="75" t="str">
        <f>IF(OR(TH!N2975=TH!$X$7,O2975=TH!$X$7),"x","")</f>
        <v/>
      </c>
      <c r="Y2975" s="75" t="str">
        <f>IF(AND(OR(N2975="131",O2975="131"),H2975='131-CT'!$H$9),"x","")</f>
        <v/>
      </c>
      <c r="Z2975" s="75"/>
      <c r="AA2975" s="75" t="str">
        <f>IF(AND(MONTH(E2975)='IN-NX'!$J$5,'IN-NX'!$D$7=D2975),"x","")</f>
        <v/>
      </c>
      <c r="AB2975" s="75" t="str">
        <f>IF(AND(OR(LEFT(TH!N2975,2)="15",LEFT(TH!O2975,2)="15"),LEFT(TH!O2975,3)&lt;&gt;"111",'152-CT'!$J$8=TH!F2975),"x","")</f>
        <v/>
      </c>
      <c r="AC2975" s="75" t="str">
        <f>IF(AND(OR(LEFT(TH!N2975,2)="15",LEFT(TH!O2975,2)="15"),TK!$E$7=TH!F2975),"x","")</f>
        <v/>
      </c>
      <c r="AD2975" s="75" t="str">
        <f>IF(AND(N2975="1521",MONTH(C2975)='BK-NL'!$M$11),"x","")</f>
        <v/>
      </c>
    </row>
    <row r="2976" spans="1:30" s="1264" customFormat="1" ht="16.5" customHeight="1">
      <c r="A2976" s="309" t="str">
        <f>IF(B2976&lt;&gt;"",IF(AND(B2976='IN-TC'!$S$4,OR(TH!N2976="1111",TH!O2976="1111")),TH!D2976,""),"")</f>
        <v/>
      </c>
      <c r="B2976" s="1277">
        <f t="shared" ref="B2976" si="1069">IF(C2976&lt;&gt;"",MONTH(C2976),"")</f>
        <v>7</v>
      </c>
      <c r="C2976" s="71">
        <v>42920</v>
      </c>
      <c r="D2976" s="71" t="s">
        <v>530</v>
      </c>
      <c r="E2976" s="71">
        <f t="shared" ref="E2976" si="1070">C2976</f>
        <v>42920</v>
      </c>
      <c r="F2976" s="1240" t="s">
        <v>1010</v>
      </c>
      <c r="G2976" s="72" t="s">
        <v>747</v>
      </c>
      <c r="H2976" s="73" t="s">
        <v>759</v>
      </c>
      <c r="I2976" s="73"/>
      <c r="J2976" s="1218"/>
      <c r="K2976" s="1213"/>
      <c r="L2976" s="377"/>
      <c r="M2976" s="933">
        <v>20980050</v>
      </c>
      <c r="N2976" s="75" t="s">
        <v>536</v>
      </c>
      <c r="O2976" s="75" t="s">
        <v>43</v>
      </c>
      <c r="P2976" s="75" t="str">
        <f>IF(AND('331-CT'!$E$7=TH!H2976,OR(N2976="331",O2976="331")),"x","")</f>
        <v/>
      </c>
      <c r="Q2976" s="75" t="str">
        <f>IF(AND(B2976='111'!$L$11,OR($N2976=$Q$7,$O2976=$Q$7)),"x","")</f>
        <v/>
      </c>
      <c r="R2976" s="75" t="str">
        <f>IF(AND($N2976=$Q$7,$B2976&lt;'111'!$L$11),"x","")</f>
        <v/>
      </c>
      <c r="S2976" s="75" t="str">
        <f>IF(AND($O2976=$Q$7,$B2976&lt;'111'!$L$11),"x","")</f>
        <v/>
      </c>
      <c r="T2976" s="75" t="str">
        <f>IF(ISERROR(FIND('112'!$M$9,G2976,1)),"",IF((AND(FIND('112'!$M$9,G2976,1)&gt;=1,B2976='112'!$K$9,OR($N2976='112'!$I$6,$O2976='112'!$I$6))),"x",""))</f>
        <v/>
      </c>
      <c r="U2976" s="75" t="str">
        <f>IF(ISERROR(FIND('112'!$M$9,G2976,1)),"",IF((AND(LEFT(G2976,2)=LEFT('112'!$M$9,2),B2976&lt;'112'!$K$9,$N2976='112'!$I$6)),"x",""))</f>
        <v/>
      </c>
      <c r="V2976" s="75" t="str">
        <f>IF(ISERROR(FIND('112'!$M$9,G2976,1)),"",IF((AND(RIGHT(G2976,2)=RIGHT('112'!$M$9,2),B2976&lt;'112'!$K$9,$O2976='112'!$I$6)),"x",""))</f>
        <v/>
      </c>
      <c r="W2976" s="75" t="str">
        <f>IF(AND('341-CT'!$H$9=H2976,OR(LEFT(N2976,3)=$W$7,LEFT(O2976,3)=$W$7)),"x","")</f>
        <v/>
      </c>
      <c r="X2976" s="75" t="str">
        <f>IF(OR(TH!N2976=TH!$X$7,O2976=TH!$X$7),"x","")</f>
        <v/>
      </c>
      <c r="Y2976" s="75" t="str">
        <f>IF(AND(OR(N2976="131",O2976="131"),H2976='131-CT'!$H$9),"x","")</f>
        <v/>
      </c>
      <c r="Z2976" s="75"/>
      <c r="AA2976" s="75" t="str">
        <f>IF(AND(MONTH(E2976)='IN-NX'!$J$5,'IN-NX'!$D$7=D2976),"x","")</f>
        <v/>
      </c>
      <c r="AB2976" s="75" t="str">
        <f>IF(AND(OR(LEFT(TH!N2976,2)="15",LEFT(TH!O2976,2)="15"),LEFT(TH!O2976,3)&lt;&gt;"111",'152-CT'!$J$8=TH!F2976),"x","")</f>
        <v/>
      </c>
      <c r="AC2976" s="75" t="str">
        <f>IF(AND(OR(LEFT(TH!N2976,2)="15",LEFT(TH!O2976,2)="15"),TK!$E$7=TH!F2976),"x","")</f>
        <v/>
      </c>
      <c r="AD2976" s="75" t="str">
        <f>IF(AND(N2976="1521",MONTH(C2976)='BK-NL'!$M$11),"x","")</f>
        <v/>
      </c>
    </row>
    <row r="2977" spans="1:30" s="1264" customFormat="1" ht="16.5" customHeight="1">
      <c r="A2977" s="309" t="str">
        <f>IF(B2977&lt;&gt;"",IF(AND(B2977='IN-TC'!$S$4,OR(TH!N2977="1111",TH!O2977="1111")),TH!D2977,""),"")</f>
        <v/>
      </c>
      <c r="B2977" s="1277">
        <f t="shared" si="1049"/>
        <v>7</v>
      </c>
      <c r="C2977" s="71">
        <v>42921</v>
      </c>
      <c r="D2977" s="71" t="s">
        <v>902</v>
      </c>
      <c r="E2977" s="71">
        <f t="shared" si="1053"/>
        <v>42921</v>
      </c>
      <c r="F2977" s="73" t="s">
        <v>907</v>
      </c>
      <c r="G2977" s="72" t="s">
        <v>747</v>
      </c>
      <c r="H2977" s="73" t="s">
        <v>835</v>
      </c>
      <c r="I2977" s="73"/>
      <c r="J2977" s="377"/>
      <c r="K2977" s="371">
        <v>350000</v>
      </c>
      <c r="L2977" s="377">
        <v>22732</v>
      </c>
      <c r="M2977" s="74">
        <f t="shared" ref="M2977:M2979" si="1071">ROUND(K2977*L2977,0)</f>
        <v>7956200000</v>
      </c>
      <c r="N2977" s="75" t="s">
        <v>26</v>
      </c>
      <c r="O2977" s="934" t="s">
        <v>256</v>
      </c>
      <c r="P2977" s="75" t="str">
        <f>IF(AND('331-CT'!$E$7=TH!H2977,OR(N2977="331",O2977="331")),"x","")</f>
        <v/>
      </c>
      <c r="Q2977" s="75" t="str">
        <f>IF(AND(B2977='111'!$L$11,OR($N2977=$Q$7,$O2977=$Q$7)),"x","")</f>
        <v/>
      </c>
      <c r="R2977" s="75" t="str">
        <f>IF(AND($N2977=$Q$7,$B2977&lt;'111'!$L$11),"x","")</f>
        <v/>
      </c>
      <c r="S2977" s="75" t="str">
        <f>IF(AND($O2977=$Q$7,$B2977&lt;'111'!$L$11),"x","")</f>
        <v/>
      </c>
      <c r="T2977" s="75" t="str">
        <f>IF(ISERROR(FIND('112'!$M$9,G2977,1)),"",IF((AND(FIND('112'!$M$9,G2977,1)&gt;=1,B2977='112'!$K$9,OR($N2977='112'!$I$6,$O2977='112'!$I$6))),"x",""))</f>
        <v/>
      </c>
      <c r="U2977" s="75" t="str">
        <f>IF(ISERROR(FIND('112'!$M$9,G2977,1)),"",IF((AND(LEFT(G2977,2)=LEFT('112'!$M$9,2),B2977&lt;'112'!$K$9,$N2977='112'!$I$6)),"x",""))</f>
        <v/>
      </c>
      <c r="V2977" s="75" t="str">
        <f>IF(ISERROR(FIND('112'!$M$9,G2977,1)),"",IF((AND(RIGHT(G2977,2)=RIGHT('112'!$M$9,2),B2977&lt;'112'!$K$9,$O2977='112'!$I$6)),"x",""))</f>
        <v/>
      </c>
      <c r="W2977" s="75" t="str">
        <f>IF(AND('341-CT'!$H$9=H2977,OR(LEFT(N2977,3)=$W$7,LEFT(O2977,3)=$W$7)),"x","")</f>
        <v/>
      </c>
      <c r="X2977" s="75" t="str">
        <f>IF(OR(TH!N2977=TH!$X$7,O2977=TH!$X$7),"x","")</f>
        <v/>
      </c>
      <c r="Y2977" s="75" t="str">
        <f>IF(AND(OR(N2977="131",O2977="131"),H2977='131-CT'!$H$9),"x","")</f>
        <v/>
      </c>
      <c r="Z2977" s="75"/>
      <c r="AA2977" s="75" t="str">
        <f>IF(AND(MONTH(E2977)='IN-NX'!$J$5,'IN-NX'!$D$7=D2977),"x","")</f>
        <v/>
      </c>
      <c r="AB2977" s="75" t="str">
        <f>IF(AND(OR(LEFT(TH!N2977,2)="15",LEFT(TH!O2977,2)="15"),LEFT(TH!O2977,3)&lt;&gt;"111",'152-CT'!$J$8=TH!F2977),"x","")</f>
        <v/>
      </c>
      <c r="AC2977" s="75" t="str">
        <f>IF(AND(OR(LEFT(TH!N2977,2)="15",LEFT(TH!O2977,2)="15"),TK!$E$7=TH!F2977),"x","")</f>
        <v/>
      </c>
      <c r="AD2977" s="75" t="str">
        <f>IF(AND(N2977="1521",MONTH(C2977)='BK-NL'!$M$11),"x","")</f>
        <v/>
      </c>
    </row>
    <row r="2978" spans="1:30" s="1264" customFormat="1" ht="16.5" customHeight="1">
      <c r="A2978" s="309" t="str">
        <f>IF(B2978&lt;&gt;"",IF(AND(B2978='IN-TC'!$S$4,OR(TH!N2978="1111",TH!O2978="1111")),TH!D2978,""),"")</f>
        <v/>
      </c>
      <c r="B2978" s="1277">
        <f t="shared" si="1049"/>
        <v>7</v>
      </c>
      <c r="C2978" s="1225">
        <v>42921</v>
      </c>
      <c r="D2978" s="71" t="s">
        <v>902</v>
      </c>
      <c r="E2978" s="71">
        <f t="shared" si="1053"/>
        <v>42921</v>
      </c>
      <c r="F2978" s="72" t="s">
        <v>1096</v>
      </c>
      <c r="G2978" s="72" t="s">
        <v>747</v>
      </c>
      <c r="H2978" s="73" t="s">
        <v>835</v>
      </c>
      <c r="I2978" s="73"/>
      <c r="J2978" s="1239"/>
      <c r="K2978" s="1213">
        <v>100.75</v>
      </c>
      <c r="L2978" s="1214">
        <v>22725</v>
      </c>
      <c r="M2978" s="74">
        <f t="shared" si="1071"/>
        <v>2289544</v>
      </c>
      <c r="N2978" s="75" t="s">
        <v>99</v>
      </c>
      <c r="O2978" s="934" t="s">
        <v>256</v>
      </c>
      <c r="P2978" s="75" t="str">
        <f>IF(AND('331-CT'!$E$7=TH!H2978,OR(N2978="331",O2978="331")),"x","")</f>
        <v/>
      </c>
      <c r="Q2978" s="75" t="str">
        <f>IF(AND(B2978='111'!$L$11,OR($N2978=$Q$7,$O2978=$Q$7)),"x","")</f>
        <v/>
      </c>
      <c r="R2978" s="75" t="str">
        <f>IF(AND($N2978=$Q$7,$B2978&lt;'111'!$L$11),"x","")</f>
        <v/>
      </c>
      <c r="S2978" s="75" t="str">
        <f>IF(AND($O2978=$Q$7,$B2978&lt;'111'!$L$11),"x","")</f>
        <v/>
      </c>
      <c r="T2978" s="75" t="str">
        <f>IF(ISERROR(FIND('112'!$M$9,G2978,1)),"",IF((AND(FIND('112'!$M$9,G2978,1)&gt;=1,B2978='112'!$K$9,OR($N2978='112'!$I$6,$O2978='112'!$I$6))),"x",""))</f>
        <v/>
      </c>
      <c r="U2978" s="75" t="str">
        <f>IF(ISERROR(FIND('112'!$M$9,G2978,1)),"",IF((AND(LEFT(G2978,2)=LEFT('112'!$M$9,2),B2978&lt;'112'!$K$9,$N2978='112'!$I$6)),"x",""))</f>
        <v/>
      </c>
      <c r="V2978" s="75" t="str">
        <f>IF(ISERROR(FIND('112'!$M$9,G2978,1)),"",IF((AND(RIGHT(G2978,2)=RIGHT('112'!$M$9,2),B2978&lt;'112'!$K$9,$O2978='112'!$I$6)),"x",""))</f>
        <v/>
      </c>
      <c r="W2978" s="75" t="str">
        <f>IF(AND('341-CT'!$H$9=H2978,OR(LEFT(N2978,3)=$W$7,LEFT(O2978,3)=$W$7)),"x","")</f>
        <v/>
      </c>
      <c r="X2978" s="75" t="str">
        <f>IF(OR(TH!N2978=TH!$X$7,O2978=TH!$X$7),"x","")</f>
        <v/>
      </c>
      <c r="Y2978" s="75" t="str">
        <f>IF(AND(OR(N2978="131",O2978="131"),H2978='131-CT'!$H$9),"x","")</f>
        <v/>
      </c>
      <c r="Z2978" s="75"/>
      <c r="AA2978" s="75" t="str">
        <f>IF(AND(MONTH(E2978)='IN-NX'!$J$5,'IN-NX'!$D$7=D2978),"x","")</f>
        <v/>
      </c>
      <c r="AB2978" s="75" t="str">
        <f>IF(AND(OR(LEFT(TH!N2978,2)="15",LEFT(TH!O2978,2)="15"),LEFT(TH!O2978,3)&lt;&gt;"111",'152-CT'!$J$8=TH!F2978),"x","")</f>
        <v/>
      </c>
      <c r="AC2978" s="75" t="str">
        <f>IF(AND(OR(LEFT(TH!N2978,2)="15",LEFT(TH!O2978,2)="15"),TK!$E$7=TH!F2978),"x","")</f>
        <v/>
      </c>
      <c r="AD2978" s="75" t="str">
        <f>IF(AND(N2978="1521",MONTH(C2978)='BK-NL'!$M$11),"x","")</f>
        <v/>
      </c>
    </row>
    <row r="2979" spans="1:30" s="1264" customFormat="1" ht="16.5" customHeight="1">
      <c r="A2979" s="309" t="str">
        <f>IF(B2979&lt;&gt;"",IF(AND(B2979='IN-TC'!$S$4,OR(TH!N2979="1111",TH!O2979="1111")),TH!D2979,""),"")</f>
        <v/>
      </c>
      <c r="B2979" s="1277">
        <f t="shared" si="1049"/>
        <v>7</v>
      </c>
      <c r="C2979" s="1225">
        <v>42921</v>
      </c>
      <c r="D2979" s="71" t="s">
        <v>902</v>
      </c>
      <c r="E2979" s="71">
        <f t="shared" si="1053"/>
        <v>42921</v>
      </c>
      <c r="F2979" s="72" t="s">
        <v>1321</v>
      </c>
      <c r="G2979" s="72" t="s">
        <v>747</v>
      </c>
      <c r="H2979" s="1236" t="s">
        <v>1083</v>
      </c>
      <c r="I2979" s="73"/>
      <c r="J2979" s="1239"/>
      <c r="K2979" s="1213">
        <v>93000</v>
      </c>
      <c r="L2979" s="1214">
        <v>22725</v>
      </c>
      <c r="M2979" s="74">
        <f t="shared" si="1071"/>
        <v>2113425000</v>
      </c>
      <c r="N2979" s="75" t="s">
        <v>250</v>
      </c>
      <c r="O2979" s="934" t="s">
        <v>256</v>
      </c>
      <c r="P2979" s="75" t="str">
        <f>IF(AND('331-CT'!$E$7=TH!H2979,OR(N2979="331",O2979="331")),"x","")</f>
        <v/>
      </c>
      <c r="Q2979" s="75" t="str">
        <f>IF(AND(B2979='111'!$L$11,OR($N2979=$Q$7,$O2979=$Q$7)),"x","")</f>
        <v/>
      </c>
      <c r="R2979" s="75" t="str">
        <f>IF(AND($N2979=$Q$7,$B2979&lt;'111'!$L$11),"x","")</f>
        <v/>
      </c>
      <c r="S2979" s="75" t="str">
        <f>IF(AND($O2979=$Q$7,$B2979&lt;'111'!$L$11),"x","")</f>
        <v/>
      </c>
      <c r="T2979" s="75" t="str">
        <f>IF(ISERROR(FIND('112'!$M$9,G2979,1)),"",IF((AND(FIND('112'!$M$9,G2979,1)&gt;=1,B2979='112'!$K$9,OR($N2979='112'!$I$6,$O2979='112'!$I$6))),"x",""))</f>
        <v/>
      </c>
      <c r="U2979" s="75" t="str">
        <f>IF(ISERROR(FIND('112'!$M$9,G2979,1)),"",IF((AND(LEFT(G2979,2)=LEFT('112'!$M$9,2),B2979&lt;'112'!$K$9,$N2979='112'!$I$6)),"x",""))</f>
        <v/>
      </c>
      <c r="V2979" s="75" t="str">
        <f>IF(ISERROR(FIND('112'!$M$9,G2979,1)),"",IF((AND(RIGHT(G2979,2)=RIGHT('112'!$M$9,2),B2979&lt;'112'!$K$9,$O2979='112'!$I$6)),"x",""))</f>
        <v/>
      </c>
      <c r="W2979" s="75" t="str">
        <f>IF(AND('341-CT'!$H$9=H2979,OR(LEFT(N2979,3)=$W$7,LEFT(O2979,3)=$W$7)),"x","")</f>
        <v/>
      </c>
      <c r="X2979" s="75" t="str">
        <f>IF(OR(TH!N2979=TH!$X$7,O2979=TH!$X$7),"x","")</f>
        <v/>
      </c>
      <c r="Y2979" s="75" t="str">
        <f>IF(AND(OR(N2979="131",O2979="131"),H2979='131-CT'!$H$9),"x","")</f>
        <v/>
      </c>
      <c r="Z2979" s="75"/>
      <c r="AA2979" s="75" t="str">
        <f>IF(AND(MONTH(E2979)='IN-NX'!$J$5,'IN-NX'!$D$7=D2979),"x","")</f>
        <v/>
      </c>
      <c r="AB2979" s="75" t="str">
        <f>IF(AND(OR(LEFT(TH!N2979,2)="15",LEFT(TH!O2979,2)="15"),LEFT(TH!O2979,3)&lt;&gt;"111",'152-CT'!$J$8=TH!F2979),"x","")</f>
        <v/>
      </c>
      <c r="AC2979" s="75" t="str">
        <f>IF(AND(OR(LEFT(TH!N2979,2)="15",LEFT(TH!O2979,2)="15"),TK!$E$7=TH!F2979),"x","")</f>
        <v/>
      </c>
      <c r="AD2979" s="75" t="str">
        <f>IF(AND(N2979="1521",MONTH(C2979)='BK-NL'!$M$11),"x","")</f>
        <v/>
      </c>
    </row>
    <row r="2980" spans="1:30" s="1264" customFormat="1" ht="16.5" customHeight="1">
      <c r="A2980" s="309" t="str">
        <f>IF(B2980&lt;&gt;"",IF(AND(B2980='IN-TC'!$S$4,OR(TH!N2980="1111",TH!O2980="1111")),TH!D2980,""),"")</f>
        <v/>
      </c>
      <c r="B2980" s="1277">
        <f t="shared" si="1049"/>
        <v>7</v>
      </c>
      <c r="C2980" s="1225">
        <v>42921</v>
      </c>
      <c r="D2980" s="71" t="s">
        <v>530</v>
      </c>
      <c r="E2980" s="71">
        <f t="shared" si="1053"/>
        <v>42921</v>
      </c>
      <c r="F2980" s="1238" t="s">
        <v>1010</v>
      </c>
      <c r="G2980" s="72" t="s">
        <v>747</v>
      </c>
      <c r="H2980" s="1236" t="s">
        <v>1083</v>
      </c>
      <c r="I2980" s="73"/>
      <c r="J2980" s="1239"/>
      <c r="K2980" s="1213"/>
      <c r="L2980" s="1214"/>
      <c r="M2980" s="74">
        <v>15531000</v>
      </c>
      <c r="N2980" s="75" t="s">
        <v>99</v>
      </c>
      <c r="O2980" s="75" t="s">
        <v>250</v>
      </c>
      <c r="P2980" s="75" t="str">
        <f>IF(AND('331-CT'!$E$7=TH!H2980,OR(N2980="331",O2980="331")),"x","")</f>
        <v/>
      </c>
      <c r="Q2980" s="75" t="str">
        <f>IF(AND(B2980='111'!$L$11,OR($N2980=$Q$7,$O2980=$Q$7)),"x","")</f>
        <v/>
      </c>
      <c r="R2980" s="75" t="str">
        <f>IF(AND($N2980=$Q$7,$B2980&lt;'111'!$L$11),"x","")</f>
        <v/>
      </c>
      <c r="S2980" s="75" t="str">
        <f>IF(AND($O2980=$Q$7,$B2980&lt;'111'!$L$11),"x","")</f>
        <v/>
      </c>
      <c r="T2980" s="75" t="str">
        <f>IF(ISERROR(FIND('112'!$M$9,G2980,1)),"",IF((AND(FIND('112'!$M$9,G2980,1)&gt;=1,B2980='112'!$K$9,OR($N2980='112'!$I$6,$O2980='112'!$I$6))),"x",""))</f>
        <v/>
      </c>
      <c r="U2980" s="75" t="str">
        <f>IF(ISERROR(FIND('112'!$M$9,G2980,1)),"",IF((AND(LEFT(G2980,2)=LEFT('112'!$M$9,2),B2980&lt;'112'!$K$9,$N2980='112'!$I$6)),"x",""))</f>
        <v/>
      </c>
      <c r="V2980" s="75" t="str">
        <f>IF(ISERROR(FIND('112'!$M$9,G2980,1)),"",IF((AND(RIGHT(G2980,2)=RIGHT('112'!$M$9,2),B2980&lt;'112'!$K$9,$O2980='112'!$I$6)),"x",""))</f>
        <v/>
      </c>
      <c r="W2980" s="75" t="str">
        <f>IF(AND('341-CT'!$H$9=H2980,OR(LEFT(N2980,3)=$W$7,LEFT(O2980,3)=$W$7)),"x","")</f>
        <v/>
      </c>
      <c r="X2980" s="75" t="str">
        <f>IF(OR(TH!N2980=TH!$X$7,O2980=TH!$X$7),"x","")</f>
        <v/>
      </c>
      <c r="Y2980" s="75" t="str">
        <f>IF(AND(OR(N2980="131",O2980="131"),H2980='131-CT'!$H$9),"x","")</f>
        <v/>
      </c>
      <c r="Z2980" s="75"/>
      <c r="AA2980" s="75" t="str">
        <f>IF(AND(MONTH(E2980)='IN-NX'!$J$5,'IN-NX'!$D$7=D2980),"x","")</f>
        <v/>
      </c>
      <c r="AB2980" s="75" t="str">
        <f>IF(AND(OR(LEFT(TH!N2980,2)="15",LEFT(TH!O2980,2)="15"),LEFT(TH!O2980,3)&lt;&gt;"111",'152-CT'!$J$8=TH!F2980),"x","")</f>
        <v/>
      </c>
      <c r="AC2980" s="75" t="str">
        <f>IF(AND(OR(LEFT(TH!N2980,2)="15",LEFT(TH!O2980,2)="15"),TK!$E$7=TH!F2980),"x","")</f>
        <v/>
      </c>
      <c r="AD2980" s="75" t="str">
        <f>IF(AND(N2980="1521",MONTH(C2980)='BK-NL'!$M$11),"x","")</f>
        <v/>
      </c>
    </row>
    <row r="2981" spans="1:30" s="1264" customFormat="1" ht="16.5" customHeight="1">
      <c r="A2981" s="309" t="str">
        <f>IF(B2981&lt;&gt;"",IF(AND(B2981='IN-TC'!$S$4,OR(TH!N2981="1111",TH!O2981="1111")),TH!D2981,""),"")</f>
        <v/>
      </c>
      <c r="B2981" s="1277">
        <f t="shared" si="1049"/>
        <v>7</v>
      </c>
      <c r="C2981" s="71">
        <v>42923</v>
      </c>
      <c r="D2981" s="71" t="s">
        <v>903</v>
      </c>
      <c r="E2981" s="71">
        <f t="shared" si="1053"/>
        <v>42923</v>
      </c>
      <c r="F2981" s="1240" t="s">
        <v>1086</v>
      </c>
      <c r="G2981" s="72" t="s">
        <v>747</v>
      </c>
      <c r="H2981" s="73" t="s">
        <v>759</v>
      </c>
      <c r="I2981" s="73"/>
      <c r="J2981" s="1218"/>
      <c r="K2981" s="1213">
        <v>419584.02</v>
      </c>
      <c r="L2981" s="377">
        <v>22725</v>
      </c>
      <c r="M2981" s="1214">
        <f t="shared" ref="M2981" si="1072">ROUND(K2981*L2981,0)</f>
        <v>9535046855</v>
      </c>
      <c r="N2981" s="75" t="s">
        <v>256</v>
      </c>
      <c r="O2981" s="75" t="s">
        <v>536</v>
      </c>
      <c r="P2981" s="75" t="str">
        <f>IF(AND('331-CT'!$E$7=TH!H2981,OR(N2981="331",O2981="331")),"x","")</f>
        <v/>
      </c>
      <c r="Q2981" s="75" t="str">
        <f>IF(AND(B2981='111'!$L$11,OR($N2981=$Q$7,$O2981=$Q$7)),"x","")</f>
        <v/>
      </c>
      <c r="R2981" s="75" t="str">
        <f>IF(AND($N2981=$Q$7,$B2981&lt;'111'!$L$11),"x","")</f>
        <v/>
      </c>
      <c r="S2981" s="75" t="str">
        <f>IF(AND($O2981=$Q$7,$B2981&lt;'111'!$L$11),"x","")</f>
        <v/>
      </c>
      <c r="T2981" s="75" t="str">
        <f>IF(ISERROR(FIND('112'!$M$9,G2981,1)),"",IF((AND(FIND('112'!$M$9,G2981,1)&gt;=1,B2981='112'!$K$9,OR($N2981='112'!$I$6,$O2981='112'!$I$6))),"x",""))</f>
        <v/>
      </c>
      <c r="U2981" s="75" t="str">
        <f>IF(ISERROR(FIND('112'!$M$9,G2981,1)),"",IF((AND(LEFT(G2981,2)=LEFT('112'!$M$9,2),B2981&lt;'112'!$K$9,$N2981='112'!$I$6)),"x",""))</f>
        <v/>
      </c>
      <c r="V2981" s="75" t="str">
        <f>IF(ISERROR(FIND('112'!$M$9,G2981,1)),"",IF((AND(RIGHT(G2981,2)=RIGHT('112'!$M$9,2),B2981&lt;'112'!$K$9,$O2981='112'!$I$6)),"x",""))</f>
        <v/>
      </c>
      <c r="W2981" s="75" t="str">
        <f>IF(AND('341-CT'!$H$9=H2981,OR(LEFT(N2981,3)=$W$7,LEFT(O2981,3)=$W$7)),"x","")</f>
        <v/>
      </c>
      <c r="X2981" s="75" t="str">
        <f>IF(OR(TH!N2981=TH!$X$7,O2981=TH!$X$7),"x","")</f>
        <v/>
      </c>
      <c r="Y2981" s="75" t="str">
        <f>IF(AND(OR(N2981="131",O2981="131"),H2981='131-CT'!$H$9),"x","")</f>
        <v/>
      </c>
      <c r="Z2981" s="75"/>
      <c r="AA2981" s="75" t="str">
        <f>IF(AND(MONTH(E2981)='IN-NX'!$J$5,'IN-NX'!$D$7=D2981),"x","")</f>
        <v/>
      </c>
      <c r="AB2981" s="75" t="str">
        <f>IF(AND(OR(LEFT(TH!N2981,2)="15",LEFT(TH!O2981,2)="15"),LEFT(TH!O2981,3)&lt;&gt;"111",'152-CT'!$J$8=TH!F2981),"x","")</f>
        <v/>
      </c>
      <c r="AC2981" s="75" t="str">
        <f>IF(AND(OR(LEFT(TH!N2981,2)="15",LEFT(TH!O2981,2)="15"),TK!$E$7=TH!F2981),"x","")</f>
        <v/>
      </c>
      <c r="AD2981" s="75" t="str">
        <f>IF(AND(N2981="1521",MONTH(C2981)='BK-NL'!$M$11),"x","")</f>
        <v/>
      </c>
    </row>
    <row r="2982" spans="1:30" s="1264" customFormat="1" ht="16.5" customHeight="1">
      <c r="A2982" s="309" t="str">
        <f>IF(B2982&lt;&gt;"",IF(AND(B2982='IN-TC'!$S$4,OR(TH!N2982="1111",TH!O2982="1111")),TH!D2982,""),"")</f>
        <v/>
      </c>
      <c r="B2982" s="1277">
        <f t="shared" si="1049"/>
        <v>7</v>
      </c>
      <c r="C2982" s="71">
        <v>42923</v>
      </c>
      <c r="D2982" s="71" t="s">
        <v>530</v>
      </c>
      <c r="E2982" s="71">
        <f t="shared" si="1053"/>
        <v>42923</v>
      </c>
      <c r="F2982" s="1240" t="s">
        <v>1027</v>
      </c>
      <c r="G2982" s="72" t="s">
        <v>747</v>
      </c>
      <c r="H2982" s="73" t="s">
        <v>759</v>
      </c>
      <c r="I2982" s="73"/>
      <c r="J2982" s="1218"/>
      <c r="K2982" s="1213">
        <v>16.98</v>
      </c>
      <c r="L2982" s="377">
        <v>22725</v>
      </c>
      <c r="M2982" s="933">
        <f t="shared" si="1052"/>
        <v>385871</v>
      </c>
      <c r="N2982" s="75" t="s">
        <v>101</v>
      </c>
      <c r="O2982" s="75" t="s">
        <v>536</v>
      </c>
      <c r="P2982" s="75" t="str">
        <f>IF(AND('331-CT'!$E$7=TH!H2982,OR(N2982="331",O2982="331")),"x","")</f>
        <v/>
      </c>
      <c r="Q2982" s="75" t="str">
        <f>IF(AND(B2982='111'!$L$11,OR($N2982=$Q$7,$O2982=$Q$7)),"x","")</f>
        <v/>
      </c>
      <c r="R2982" s="75" t="str">
        <f>IF(AND($N2982=$Q$7,$B2982&lt;'111'!$L$11),"x","")</f>
        <v/>
      </c>
      <c r="S2982" s="75" t="str">
        <f>IF(AND($O2982=$Q$7,$B2982&lt;'111'!$L$11),"x","")</f>
        <v/>
      </c>
      <c r="T2982" s="75" t="str">
        <f>IF(ISERROR(FIND('112'!$M$9,G2982,1)),"",IF((AND(FIND('112'!$M$9,G2982,1)&gt;=1,B2982='112'!$K$9,OR($N2982='112'!$I$6,$O2982='112'!$I$6))),"x",""))</f>
        <v/>
      </c>
      <c r="U2982" s="75" t="str">
        <f>IF(ISERROR(FIND('112'!$M$9,G2982,1)),"",IF((AND(LEFT(G2982,2)=LEFT('112'!$M$9,2),B2982&lt;'112'!$K$9,$N2982='112'!$I$6)),"x",""))</f>
        <v/>
      </c>
      <c r="V2982" s="75" t="str">
        <f>IF(ISERROR(FIND('112'!$M$9,G2982,1)),"",IF((AND(RIGHT(G2982,2)=RIGHT('112'!$M$9,2),B2982&lt;'112'!$K$9,$O2982='112'!$I$6)),"x",""))</f>
        <v/>
      </c>
      <c r="W2982" s="75" t="str">
        <f>IF(AND('341-CT'!$H$9=H2982,OR(LEFT(N2982,3)=$W$7,LEFT(O2982,3)=$W$7)),"x","")</f>
        <v/>
      </c>
      <c r="X2982" s="75" t="str">
        <f>IF(OR(TH!N2982=TH!$X$7,O2982=TH!$X$7),"x","")</f>
        <v/>
      </c>
      <c r="Y2982" s="75" t="str">
        <f>IF(AND(OR(N2982="131",O2982="131"),H2982='131-CT'!$H$9),"x","")</f>
        <v/>
      </c>
      <c r="Z2982" s="75"/>
      <c r="AA2982" s="75" t="str">
        <f>IF(AND(MONTH(E2982)='IN-NX'!$J$5,'IN-NX'!$D$7=D2982),"x","")</f>
        <v/>
      </c>
      <c r="AB2982" s="75" t="str">
        <f>IF(AND(OR(LEFT(TH!N2982,2)="15",LEFT(TH!O2982,2)="15"),LEFT(TH!O2982,3)&lt;&gt;"111",'152-CT'!$J$8=TH!F2982),"x","")</f>
        <v/>
      </c>
      <c r="AC2982" s="75" t="str">
        <f>IF(AND(OR(LEFT(TH!N2982,2)="15",LEFT(TH!O2982,2)="15"),TK!$E$7=TH!F2982),"x","")</f>
        <v/>
      </c>
      <c r="AD2982" s="75" t="str">
        <f>IF(AND(N2982="1521",MONTH(C2982)='BK-NL'!$M$11),"x","")</f>
        <v/>
      </c>
    </row>
    <row r="2983" spans="1:30" s="1264" customFormat="1" ht="16.5" customHeight="1">
      <c r="A2983" s="309" t="str">
        <f>IF(B2983&lt;&gt;"",IF(AND(B2983='IN-TC'!$S$4,OR(TH!N2983="1111",TH!O2983="1111")),TH!D2983,""),"")</f>
        <v/>
      </c>
      <c r="B2983" s="1277">
        <f t="shared" ref="B2983" si="1073">IF(C2983&lt;&gt;"",MONTH(C2983),"")</f>
        <v>7</v>
      </c>
      <c r="C2983" s="71">
        <v>42923</v>
      </c>
      <c r="D2983" s="71" t="s">
        <v>530</v>
      </c>
      <c r="E2983" s="71">
        <f t="shared" ref="E2983" si="1074">C2983</f>
        <v>42923</v>
      </c>
      <c r="F2983" s="1240" t="s">
        <v>1010</v>
      </c>
      <c r="G2983" s="72" t="s">
        <v>747</v>
      </c>
      <c r="H2983" s="73" t="s">
        <v>759</v>
      </c>
      <c r="I2983" s="73"/>
      <c r="J2983" s="1218"/>
      <c r="K2983" s="1213"/>
      <c r="L2983" s="377"/>
      <c r="M2983" s="933">
        <v>20980051</v>
      </c>
      <c r="N2983" s="75" t="s">
        <v>536</v>
      </c>
      <c r="O2983" s="75" t="s">
        <v>43</v>
      </c>
      <c r="P2983" s="75" t="str">
        <f>IF(AND('331-CT'!$E$7=TH!H2983,OR(N2983="331",O2983="331")),"x","")</f>
        <v/>
      </c>
      <c r="Q2983" s="75" t="str">
        <f>IF(AND(B2983='111'!$L$11,OR($N2983=$Q$7,$O2983=$Q$7)),"x","")</f>
        <v/>
      </c>
      <c r="R2983" s="75" t="str">
        <f>IF(AND($N2983=$Q$7,$B2983&lt;'111'!$L$11),"x","")</f>
        <v/>
      </c>
      <c r="S2983" s="75" t="str">
        <f>IF(AND($O2983=$Q$7,$B2983&lt;'111'!$L$11),"x","")</f>
        <v/>
      </c>
      <c r="T2983" s="75" t="str">
        <f>IF(ISERROR(FIND('112'!$M$9,G2983,1)),"",IF((AND(FIND('112'!$M$9,G2983,1)&gt;=1,B2983='112'!$K$9,OR($N2983='112'!$I$6,$O2983='112'!$I$6))),"x",""))</f>
        <v/>
      </c>
      <c r="U2983" s="75" t="str">
        <f>IF(ISERROR(FIND('112'!$M$9,G2983,1)),"",IF((AND(LEFT(G2983,2)=LEFT('112'!$M$9,2),B2983&lt;'112'!$K$9,$N2983='112'!$I$6)),"x",""))</f>
        <v/>
      </c>
      <c r="V2983" s="75" t="str">
        <f>IF(ISERROR(FIND('112'!$M$9,G2983,1)),"",IF((AND(RIGHT(G2983,2)=RIGHT('112'!$M$9,2),B2983&lt;'112'!$K$9,$O2983='112'!$I$6)),"x",""))</f>
        <v/>
      </c>
      <c r="W2983" s="75" t="str">
        <f>IF(AND('341-CT'!$H$9=H2983,OR(LEFT(N2983,3)=$W$7,LEFT(O2983,3)=$W$7)),"x","")</f>
        <v/>
      </c>
      <c r="X2983" s="75" t="str">
        <f>IF(OR(TH!N2983=TH!$X$7,O2983=TH!$X$7),"x","")</f>
        <v/>
      </c>
      <c r="Y2983" s="75" t="str">
        <f>IF(AND(OR(N2983="131",O2983="131"),H2983='131-CT'!$H$9),"x","")</f>
        <v/>
      </c>
      <c r="Z2983" s="75"/>
      <c r="AA2983" s="75" t="str">
        <f>IF(AND(MONTH(E2983)='IN-NX'!$J$5,'IN-NX'!$D$7=D2983),"x","")</f>
        <v/>
      </c>
      <c r="AB2983" s="75" t="str">
        <f>IF(AND(OR(LEFT(TH!N2983,2)="15",LEFT(TH!O2983,2)="15"),LEFT(TH!O2983,3)&lt;&gt;"111",'152-CT'!$J$8=TH!F2983),"x","")</f>
        <v/>
      </c>
      <c r="AC2983" s="75" t="str">
        <f>IF(AND(OR(LEFT(TH!N2983,2)="15",LEFT(TH!O2983,2)="15"),TK!$E$7=TH!F2983),"x","")</f>
        <v/>
      </c>
      <c r="AD2983" s="75" t="str">
        <f>IF(AND(N2983="1521",MONTH(C2983)='BK-NL'!$M$11),"x","")</f>
        <v/>
      </c>
    </row>
    <row r="2984" spans="1:30" s="1264" customFormat="1" ht="16.5" customHeight="1">
      <c r="A2984" s="309" t="str">
        <f>IF(B2984&lt;&gt;"",IF(AND(B2984='IN-TC'!$S$4,OR(TH!N2984="1111",TH!O2984="1111")),TH!D2984,""),"")</f>
        <v/>
      </c>
      <c r="B2984" s="1277">
        <f t="shared" ref="B2984:B3052" si="1075">IF(C2984&lt;&gt;"",MONTH(C2984),"")</f>
        <v>7</v>
      </c>
      <c r="C2984" s="71">
        <v>42923</v>
      </c>
      <c r="D2984" s="71" t="s">
        <v>902</v>
      </c>
      <c r="E2984" s="71">
        <f t="shared" si="1053"/>
        <v>42923</v>
      </c>
      <c r="F2984" s="73" t="s">
        <v>907</v>
      </c>
      <c r="G2984" s="72" t="s">
        <v>747</v>
      </c>
      <c r="H2984" s="73" t="s">
        <v>835</v>
      </c>
      <c r="I2984" s="73"/>
      <c r="J2984" s="377"/>
      <c r="K2984" s="371">
        <v>419000</v>
      </c>
      <c r="L2984" s="377">
        <v>22735</v>
      </c>
      <c r="M2984" s="74">
        <f>ROUND(K2984*L2984,0)</f>
        <v>9525965000</v>
      </c>
      <c r="N2984" s="75" t="s">
        <v>26</v>
      </c>
      <c r="O2984" s="934" t="s">
        <v>256</v>
      </c>
      <c r="P2984" s="75" t="str">
        <f>IF(AND('331-CT'!$E$7=TH!H2984,OR(N2984="331",O2984="331")),"x","")</f>
        <v/>
      </c>
      <c r="Q2984" s="75" t="str">
        <f>IF(AND(B2984='111'!$L$11,OR($N2984=$Q$7,$O2984=$Q$7)),"x","")</f>
        <v/>
      </c>
      <c r="R2984" s="75" t="str">
        <f>IF(AND($N2984=$Q$7,$B2984&lt;'111'!$L$11),"x","")</f>
        <v/>
      </c>
      <c r="S2984" s="75" t="str">
        <f>IF(AND($O2984=$Q$7,$B2984&lt;'111'!$L$11),"x","")</f>
        <v/>
      </c>
      <c r="T2984" s="75" t="str">
        <f>IF(ISERROR(FIND('112'!$M$9,G2984,1)),"",IF((AND(FIND('112'!$M$9,G2984,1)&gt;=1,B2984='112'!$K$9,OR($N2984='112'!$I$6,$O2984='112'!$I$6))),"x",""))</f>
        <v/>
      </c>
      <c r="U2984" s="75" t="str">
        <f>IF(ISERROR(FIND('112'!$M$9,G2984,1)),"",IF((AND(LEFT(G2984,2)=LEFT('112'!$M$9,2),B2984&lt;'112'!$K$9,$N2984='112'!$I$6)),"x",""))</f>
        <v/>
      </c>
      <c r="V2984" s="75" t="str">
        <f>IF(ISERROR(FIND('112'!$M$9,G2984,1)),"",IF((AND(RIGHT(G2984,2)=RIGHT('112'!$M$9,2),B2984&lt;'112'!$K$9,$O2984='112'!$I$6)),"x",""))</f>
        <v/>
      </c>
      <c r="W2984" s="75" t="str">
        <f>IF(AND('341-CT'!$H$9=H2984,OR(LEFT(N2984,3)=$W$7,LEFT(O2984,3)=$W$7)),"x","")</f>
        <v/>
      </c>
      <c r="X2984" s="75" t="str">
        <f>IF(OR(TH!N2984=TH!$X$7,O2984=TH!$X$7),"x","")</f>
        <v/>
      </c>
      <c r="Y2984" s="75" t="str">
        <f>IF(AND(OR(N2984="131",O2984="131"),H2984='131-CT'!$H$9),"x","")</f>
        <v/>
      </c>
      <c r="Z2984" s="75"/>
      <c r="AA2984" s="75" t="str">
        <f>IF(AND(MONTH(E2984)='IN-NX'!$J$5,'IN-NX'!$D$7=D2984),"x","")</f>
        <v/>
      </c>
      <c r="AB2984" s="75" t="str">
        <f>IF(AND(OR(LEFT(TH!N2984,2)="15",LEFT(TH!O2984,2)="15"),LEFT(TH!O2984,3)&lt;&gt;"111",'152-CT'!$J$8=TH!F2984),"x","")</f>
        <v/>
      </c>
      <c r="AC2984" s="75" t="str">
        <f>IF(AND(OR(LEFT(TH!N2984,2)="15",LEFT(TH!O2984,2)="15"),TK!$E$7=TH!F2984),"x","")</f>
        <v/>
      </c>
      <c r="AD2984" s="75" t="str">
        <f>IF(AND(N2984="1521",MONTH(C2984)='BK-NL'!$M$11),"x","")</f>
        <v/>
      </c>
    </row>
    <row r="2985" spans="1:30" s="1264" customFormat="1" ht="16.5" customHeight="1">
      <c r="A2985" s="309" t="str">
        <f>IF(B2985&lt;&gt;"",IF(AND(B2985='IN-TC'!$S$4,OR(TH!N2985="1111",TH!O2985="1111")),TH!D2985,""),"")</f>
        <v/>
      </c>
      <c r="B2985" s="1277">
        <f t="shared" si="1075"/>
        <v>7</v>
      </c>
      <c r="C2985" s="71">
        <v>42927</v>
      </c>
      <c r="D2985" s="71" t="s">
        <v>903</v>
      </c>
      <c r="E2985" s="71">
        <f t="shared" si="1053"/>
        <v>42927</v>
      </c>
      <c r="F2985" s="1240" t="s">
        <v>1086</v>
      </c>
      <c r="G2985" s="72" t="s">
        <v>747</v>
      </c>
      <c r="H2985" s="73" t="s">
        <v>759</v>
      </c>
      <c r="I2985" s="73"/>
      <c r="J2985" s="1218"/>
      <c r="K2985" s="1213">
        <v>419583.87</v>
      </c>
      <c r="L2985" s="377">
        <v>22725</v>
      </c>
      <c r="M2985" s="1214">
        <f t="shared" ref="M2985" si="1076">ROUND(K2985*L2985,0)</f>
        <v>9535043446</v>
      </c>
      <c r="N2985" s="75" t="s">
        <v>256</v>
      </c>
      <c r="O2985" s="75" t="s">
        <v>536</v>
      </c>
      <c r="P2985" s="75" t="str">
        <f>IF(AND('331-CT'!$E$7=TH!H2985,OR(N2985="331",O2985="331")),"x","")</f>
        <v/>
      </c>
      <c r="Q2985" s="75" t="str">
        <f>IF(AND(B2985='111'!$L$11,OR($N2985=$Q$7,$O2985=$Q$7)),"x","")</f>
        <v/>
      </c>
      <c r="R2985" s="75" t="str">
        <f>IF(AND($N2985=$Q$7,$B2985&lt;'111'!$L$11),"x","")</f>
        <v/>
      </c>
      <c r="S2985" s="75" t="str">
        <f>IF(AND($O2985=$Q$7,$B2985&lt;'111'!$L$11),"x","")</f>
        <v/>
      </c>
      <c r="T2985" s="75" t="str">
        <f>IF(ISERROR(FIND('112'!$M$9,G2985,1)),"",IF((AND(FIND('112'!$M$9,G2985,1)&gt;=1,B2985='112'!$K$9,OR($N2985='112'!$I$6,$O2985='112'!$I$6))),"x",""))</f>
        <v/>
      </c>
      <c r="U2985" s="75" t="str">
        <f>IF(ISERROR(FIND('112'!$M$9,G2985,1)),"",IF((AND(LEFT(G2985,2)=LEFT('112'!$M$9,2),B2985&lt;'112'!$K$9,$N2985='112'!$I$6)),"x",""))</f>
        <v/>
      </c>
      <c r="V2985" s="75" t="str">
        <f>IF(ISERROR(FIND('112'!$M$9,G2985,1)),"",IF((AND(RIGHT(G2985,2)=RIGHT('112'!$M$9,2),B2985&lt;'112'!$K$9,$O2985='112'!$I$6)),"x",""))</f>
        <v/>
      </c>
      <c r="W2985" s="75" t="str">
        <f>IF(AND('341-CT'!$H$9=H2985,OR(LEFT(N2985,3)=$W$7,LEFT(O2985,3)=$W$7)),"x","")</f>
        <v/>
      </c>
      <c r="X2985" s="75" t="str">
        <f>IF(OR(TH!N2985=TH!$X$7,O2985=TH!$X$7),"x","")</f>
        <v/>
      </c>
      <c r="Y2985" s="75" t="str">
        <f>IF(AND(OR(N2985="131",O2985="131"),H2985='131-CT'!$H$9),"x","")</f>
        <v/>
      </c>
      <c r="Z2985" s="75"/>
      <c r="AA2985" s="75" t="str">
        <f>IF(AND(MONTH(E2985)='IN-NX'!$J$5,'IN-NX'!$D$7=D2985),"x","")</f>
        <v/>
      </c>
      <c r="AB2985" s="75" t="str">
        <f>IF(AND(OR(LEFT(TH!N2985,2)="15",LEFT(TH!O2985,2)="15"),LEFT(TH!O2985,3)&lt;&gt;"111",'152-CT'!$J$8=TH!F2985),"x","")</f>
        <v/>
      </c>
      <c r="AC2985" s="75" t="str">
        <f>IF(AND(OR(LEFT(TH!N2985,2)="15",LEFT(TH!O2985,2)="15"),TK!$E$7=TH!F2985),"x","")</f>
        <v/>
      </c>
      <c r="AD2985" s="75" t="str">
        <f>IF(AND(N2985="1521",MONTH(C2985)='BK-NL'!$M$11),"x","")</f>
        <v/>
      </c>
    </row>
    <row r="2986" spans="1:30" s="1264" customFormat="1" ht="16.5" customHeight="1">
      <c r="A2986" s="309" t="str">
        <f>IF(B2986&lt;&gt;"",IF(AND(B2986='IN-TC'!$S$4,OR(TH!N2986="1111",TH!O2986="1111")),TH!D2986,""),"")</f>
        <v/>
      </c>
      <c r="B2986" s="1277">
        <f t="shared" si="1075"/>
        <v>7</v>
      </c>
      <c r="C2986" s="71">
        <v>42927</v>
      </c>
      <c r="D2986" s="71" t="s">
        <v>530</v>
      </c>
      <c r="E2986" s="71">
        <f t="shared" si="1053"/>
        <v>42927</v>
      </c>
      <c r="F2986" s="1240" t="s">
        <v>1027</v>
      </c>
      <c r="G2986" s="72" t="s">
        <v>747</v>
      </c>
      <c r="H2986" s="73" t="s">
        <v>759</v>
      </c>
      <c r="I2986" s="73"/>
      <c r="J2986" s="1218"/>
      <c r="K2986" s="1213">
        <v>17.13</v>
      </c>
      <c r="L2986" s="377">
        <v>22725</v>
      </c>
      <c r="M2986" s="933">
        <f t="shared" si="1052"/>
        <v>389279</v>
      </c>
      <c r="N2986" s="75" t="s">
        <v>101</v>
      </c>
      <c r="O2986" s="75" t="s">
        <v>536</v>
      </c>
      <c r="P2986" s="75" t="str">
        <f>IF(AND('331-CT'!$E$7=TH!H2986,OR(N2986="331",O2986="331")),"x","")</f>
        <v/>
      </c>
      <c r="Q2986" s="75" t="str">
        <f>IF(AND(B2986='111'!$L$11,OR($N2986=$Q$7,$O2986=$Q$7)),"x","")</f>
        <v/>
      </c>
      <c r="R2986" s="75" t="str">
        <f>IF(AND($N2986=$Q$7,$B2986&lt;'111'!$L$11),"x","")</f>
        <v/>
      </c>
      <c r="S2986" s="75" t="str">
        <f>IF(AND($O2986=$Q$7,$B2986&lt;'111'!$L$11),"x","")</f>
        <v/>
      </c>
      <c r="T2986" s="75" t="str">
        <f>IF(ISERROR(FIND('112'!$M$9,G2986,1)),"",IF((AND(FIND('112'!$M$9,G2986,1)&gt;=1,B2986='112'!$K$9,OR($N2986='112'!$I$6,$O2986='112'!$I$6))),"x",""))</f>
        <v/>
      </c>
      <c r="U2986" s="75" t="str">
        <f>IF(ISERROR(FIND('112'!$M$9,G2986,1)),"",IF((AND(LEFT(G2986,2)=LEFT('112'!$M$9,2),B2986&lt;'112'!$K$9,$N2986='112'!$I$6)),"x",""))</f>
        <v/>
      </c>
      <c r="V2986" s="75" t="str">
        <f>IF(ISERROR(FIND('112'!$M$9,G2986,1)),"",IF((AND(RIGHT(G2986,2)=RIGHT('112'!$M$9,2),B2986&lt;'112'!$K$9,$O2986='112'!$I$6)),"x",""))</f>
        <v/>
      </c>
      <c r="W2986" s="75" t="str">
        <f>IF(AND('341-CT'!$H$9=H2986,OR(LEFT(N2986,3)=$W$7,LEFT(O2986,3)=$W$7)),"x","")</f>
        <v/>
      </c>
      <c r="X2986" s="75" t="str">
        <f>IF(OR(TH!N2986=TH!$X$7,O2986=TH!$X$7),"x","")</f>
        <v/>
      </c>
      <c r="Y2986" s="75" t="str">
        <f>IF(AND(OR(N2986="131",O2986="131"),H2986='131-CT'!$H$9),"x","")</f>
        <v/>
      </c>
      <c r="Z2986" s="75"/>
      <c r="AA2986" s="75" t="str">
        <f>IF(AND(MONTH(E2986)='IN-NX'!$J$5,'IN-NX'!$D$7=D2986),"x","")</f>
        <v/>
      </c>
      <c r="AB2986" s="75" t="str">
        <f>IF(AND(OR(LEFT(TH!N2986,2)="15",LEFT(TH!O2986,2)="15"),LEFT(TH!O2986,3)&lt;&gt;"111",'152-CT'!$J$8=TH!F2986),"x","")</f>
        <v/>
      </c>
      <c r="AC2986" s="75" t="str">
        <f>IF(AND(OR(LEFT(TH!N2986,2)="15",LEFT(TH!O2986,2)="15"),TK!$E$7=TH!F2986),"x","")</f>
        <v/>
      </c>
      <c r="AD2986" s="75" t="str">
        <f>IF(AND(N2986="1521",MONTH(C2986)='BK-NL'!$M$11),"x","")</f>
        <v/>
      </c>
    </row>
    <row r="2987" spans="1:30" s="1264" customFormat="1" ht="16.5" customHeight="1">
      <c r="A2987" s="309" t="str">
        <f>IF(B2987&lt;&gt;"",IF(AND(B2987='IN-TC'!$S$4,OR(TH!N2987="1111",TH!O2987="1111")),TH!D2987,""),"")</f>
        <v/>
      </c>
      <c r="B2987" s="1277">
        <f t="shared" ref="B2987" si="1077">IF(C2987&lt;&gt;"",MONTH(C2987),"")</f>
        <v>7</v>
      </c>
      <c r="C2987" s="71">
        <v>42927</v>
      </c>
      <c r="D2987" s="71" t="s">
        <v>530</v>
      </c>
      <c r="E2987" s="71">
        <f t="shared" ref="E2987" si="1078">C2987</f>
        <v>42927</v>
      </c>
      <c r="F2987" s="1240" t="s">
        <v>1010</v>
      </c>
      <c r="G2987" s="72" t="s">
        <v>747</v>
      </c>
      <c r="H2987" s="73" t="s">
        <v>759</v>
      </c>
      <c r="I2987" s="73"/>
      <c r="J2987" s="1218"/>
      <c r="K2987" s="1213"/>
      <c r="L2987" s="377"/>
      <c r="M2987" s="933">
        <v>20980050</v>
      </c>
      <c r="N2987" s="75" t="s">
        <v>536</v>
      </c>
      <c r="O2987" s="75" t="s">
        <v>43</v>
      </c>
      <c r="P2987" s="75" t="str">
        <f>IF(AND('331-CT'!$E$7=TH!H2987,OR(N2987="331",O2987="331")),"x","")</f>
        <v/>
      </c>
      <c r="Q2987" s="75" t="str">
        <f>IF(AND(B2987='111'!$L$11,OR($N2987=$Q$7,$O2987=$Q$7)),"x","")</f>
        <v/>
      </c>
      <c r="R2987" s="75" t="str">
        <f>IF(AND($N2987=$Q$7,$B2987&lt;'111'!$L$11),"x","")</f>
        <v/>
      </c>
      <c r="S2987" s="75" t="str">
        <f>IF(AND($O2987=$Q$7,$B2987&lt;'111'!$L$11),"x","")</f>
        <v/>
      </c>
      <c r="T2987" s="75" t="str">
        <f>IF(ISERROR(FIND('112'!$M$9,G2987,1)),"",IF((AND(FIND('112'!$M$9,G2987,1)&gt;=1,B2987='112'!$K$9,OR($N2987='112'!$I$6,$O2987='112'!$I$6))),"x",""))</f>
        <v/>
      </c>
      <c r="U2987" s="75" t="str">
        <f>IF(ISERROR(FIND('112'!$M$9,G2987,1)),"",IF((AND(LEFT(G2987,2)=LEFT('112'!$M$9,2),B2987&lt;'112'!$K$9,$N2987='112'!$I$6)),"x",""))</f>
        <v/>
      </c>
      <c r="V2987" s="75" t="str">
        <f>IF(ISERROR(FIND('112'!$M$9,G2987,1)),"",IF((AND(RIGHT(G2987,2)=RIGHT('112'!$M$9,2),B2987&lt;'112'!$K$9,$O2987='112'!$I$6)),"x",""))</f>
        <v/>
      </c>
      <c r="W2987" s="75" t="str">
        <f>IF(AND('341-CT'!$H$9=H2987,OR(LEFT(N2987,3)=$W$7,LEFT(O2987,3)=$W$7)),"x","")</f>
        <v/>
      </c>
      <c r="X2987" s="75" t="str">
        <f>IF(OR(TH!N2987=TH!$X$7,O2987=TH!$X$7),"x","")</f>
        <v/>
      </c>
      <c r="Y2987" s="75" t="str">
        <f>IF(AND(OR(N2987="131",O2987="131"),H2987='131-CT'!$H$9),"x","")</f>
        <v/>
      </c>
      <c r="Z2987" s="75"/>
      <c r="AA2987" s="75" t="str">
        <f>IF(AND(MONTH(E2987)='IN-NX'!$J$5,'IN-NX'!$D$7=D2987),"x","")</f>
        <v/>
      </c>
      <c r="AB2987" s="75" t="str">
        <f>IF(AND(OR(LEFT(TH!N2987,2)="15",LEFT(TH!O2987,2)="15"),LEFT(TH!O2987,3)&lt;&gt;"111",'152-CT'!$J$8=TH!F2987),"x","")</f>
        <v/>
      </c>
      <c r="AC2987" s="75" t="str">
        <f>IF(AND(OR(LEFT(TH!N2987,2)="15",LEFT(TH!O2987,2)="15"),TK!$E$7=TH!F2987),"x","")</f>
        <v/>
      </c>
      <c r="AD2987" s="75" t="str">
        <f>IF(AND(N2987="1521",MONTH(C2987)='BK-NL'!$M$11),"x","")</f>
        <v/>
      </c>
    </row>
    <row r="2988" spans="1:30" s="1264" customFormat="1" ht="16.5" customHeight="1">
      <c r="A2988" s="309" t="str">
        <f>IF(B2988&lt;&gt;"",IF(AND(B2988='IN-TC'!$S$4,OR(TH!N2988="1111",TH!O2988="1111")),TH!D2988,""),"")</f>
        <v/>
      </c>
      <c r="B2988" s="1277">
        <f t="shared" si="1075"/>
        <v>7</v>
      </c>
      <c r="C2988" s="71">
        <v>42930</v>
      </c>
      <c r="D2988" s="71" t="s">
        <v>903</v>
      </c>
      <c r="E2988" s="71">
        <f t="shared" si="1053"/>
        <v>42930</v>
      </c>
      <c r="F2988" s="1240" t="s">
        <v>1086</v>
      </c>
      <c r="G2988" s="72" t="s">
        <v>747</v>
      </c>
      <c r="H2988" s="73" t="s">
        <v>759</v>
      </c>
      <c r="I2988" s="73"/>
      <c r="J2988" s="1218"/>
      <c r="K2988" s="1213">
        <v>419583.82</v>
      </c>
      <c r="L2988" s="377">
        <v>22725</v>
      </c>
      <c r="M2988" s="1214">
        <f t="shared" ref="M2988" si="1079">ROUND(K2988*L2988,0)</f>
        <v>9535042310</v>
      </c>
      <c r="N2988" s="75" t="s">
        <v>256</v>
      </c>
      <c r="O2988" s="75" t="s">
        <v>536</v>
      </c>
      <c r="P2988" s="75" t="str">
        <f>IF(AND('331-CT'!$E$7=TH!H2988,OR(N2988="331",O2988="331")),"x","")</f>
        <v/>
      </c>
      <c r="Q2988" s="75" t="str">
        <f>IF(AND(B2988='111'!$L$11,OR($N2988=$Q$7,$O2988=$Q$7)),"x","")</f>
        <v/>
      </c>
      <c r="R2988" s="75" t="str">
        <f>IF(AND($N2988=$Q$7,$B2988&lt;'111'!$L$11),"x","")</f>
        <v/>
      </c>
      <c r="S2988" s="75" t="str">
        <f>IF(AND($O2988=$Q$7,$B2988&lt;'111'!$L$11),"x","")</f>
        <v/>
      </c>
      <c r="T2988" s="75" t="str">
        <f>IF(ISERROR(FIND('112'!$M$9,G2988,1)),"",IF((AND(FIND('112'!$M$9,G2988,1)&gt;=1,B2988='112'!$K$9,OR($N2988='112'!$I$6,$O2988='112'!$I$6))),"x",""))</f>
        <v/>
      </c>
      <c r="U2988" s="75" t="str">
        <f>IF(ISERROR(FIND('112'!$M$9,G2988,1)),"",IF((AND(LEFT(G2988,2)=LEFT('112'!$M$9,2),B2988&lt;'112'!$K$9,$N2988='112'!$I$6)),"x",""))</f>
        <v/>
      </c>
      <c r="V2988" s="75" t="str">
        <f>IF(ISERROR(FIND('112'!$M$9,G2988,1)),"",IF((AND(RIGHT(G2988,2)=RIGHT('112'!$M$9,2),B2988&lt;'112'!$K$9,$O2988='112'!$I$6)),"x",""))</f>
        <v/>
      </c>
      <c r="W2988" s="75" t="str">
        <f>IF(AND('341-CT'!$H$9=H2988,OR(LEFT(N2988,3)=$W$7,LEFT(O2988,3)=$W$7)),"x","")</f>
        <v/>
      </c>
      <c r="X2988" s="75" t="str">
        <f>IF(OR(TH!N2988=TH!$X$7,O2988=TH!$X$7),"x","")</f>
        <v/>
      </c>
      <c r="Y2988" s="75" t="str">
        <f>IF(AND(OR(N2988="131",O2988="131"),H2988='131-CT'!$H$9),"x","")</f>
        <v/>
      </c>
      <c r="Z2988" s="75"/>
      <c r="AA2988" s="75" t="str">
        <f>IF(AND(MONTH(E2988)='IN-NX'!$J$5,'IN-NX'!$D$7=D2988),"x","")</f>
        <v/>
      </c>
      <c r="AB2988" s="75" t="str">
        <f>IF(AND(OR(LEFT(TH!N2988,2)="15",LEFT(TH!O2988,2)="15"),LEFT(TH!O2988,3)&lt;&gt;"111",'152-CT'!$J$8=TH!F2988),"x","")</f>
        <v/>
      </c>
      <c r="AC2988" s="75" t="str">
        <f>IF(AND(OR(LEFT(TH!N2988,2)="15",LEFT(TH!O2988,2)="15"),TK!$E$7=TH!F2988),"x","")</f>
        <v/>
      </c>
      <c r="AD2988" s="75" t="str">
        <f>IF(AND(N2988="1521",MONTH(C2988)='BK-NL'!$M$11),"x","")</f>
        <v/>
      </c>
    </row>
    <row r="2989" spans="1:30" s="1264" customFormat="1" ht="16.5" customHeight="1">
      <c r="A2989" s="309" t="str">
        <f>IF(B2989&lt;&gt;"",IF(AND(B2989='IN-TC'!$S$4,OR(TH!N2989="1111",TH!O2989="1111")),TH!D2989,""),"")</f>
        <v/>
      </c>
      <c r="B2989" s="1277">
        <f t="shared" si="1075"/>
        <v>7</v>
      </c>
      <c r="C2989" s="71">
        <v>42930</v>
      </c>
      <c r="D2989" s="71" t="s">
        <v>530</v>
      </c>
      <c r="E2989" s="71">
        <f t="shared" si="1053"/>
        <v>42930</v>
      </c>
      <c r="F2989" s="1240" t="s">
        <v>1027</v>
      </c>
      <c r="G2989" s="72" t="s">
        <v>747</v>
      </c>
      <c r="H2989" s="73" t="s">
        <v>759</v>
      </c>
      <c r="I2989" s="73"/>
      <c r="J2989" s="1218"/>
      <c r="K2989" s="1213">
        <v>17.18</v>
      </c>
      <c r="L2989" s="377">
        <v>22725</v>
      </c>
      <c r="M2989" s="933">
        <f t="shared" ref="M2989" si="1080">ROUND(L2989*K2989,0)</f>
        <v>390416</v>
      </c>
      <c r="N2989" s="75" t="s">
        <v>101</v>
      </c>
      <c r="O2989" s="75" t="s">
        <v>536</v>
      </c>
      <c r="P2989" s="75" t="str">
        <f>IF(AND('331-CT'!$E$7=TH!H2989,OR(N2989="331",O2989="331")),"x","")</f>
        <v/>
      </c>
      <c r="Q2989" s="75" t="str">
        <f>IF(AND(B2989='111'!$L$11,OR($N2989=$Q$7,$O2989=$Q$7)),"x","")</f>
        <v/>
      </c>
      <c r="R2989" s="75" t="str">
        <f>IF(AND($N2989=$Q$7,$B2989&lt;'111'!$L$11),"x","")</f>
        <v/>
      </c>
      <c r="S2989" s="75" t="str">
        <f>IF(AND($O2989=$Q$7,$B2989&lt;'111'!$L$11),"x","")</f>
        <v/>
      </c>
      <c r="T2989" s="75" t="str">
        <f>IF(ISERROR(FIND('112'!$M$9,G2989,1)),"",IF((AND(FIND('112'!$M$9,G2989,1)&gt;=1,B2989='112'!$K$9,OR($N2989='112'!$I$6,$O2989='112'!$I$6))),"x",""))</f>
        <v/>
      </c>
      <c r="U2989" s="75" t="str">
        <f>IF(ISERROR(FIND('112'!$M$9,G2989,1)),"",IF((AND(LEFT(G2989,2)=LEFT('112'!$M$9,2),B2989&lt;'112'!$K$9,$N2989='112'!$I$6)),"x",""))</f>
        <v/>
      </c>
      <c r="V2989" s="75" t="str">
        <f>IF(ISERROR(FIND('112'!$M$9,G2989,1)),"",IF((AND(RIGHT(G2989,2)=RIGHT('112'!$M$9,2),B2989&lt;'112'!$K$9,$O2989='112'!$I$6)),"x",""))</f>
        <v/>
      </c>
      <c r="W2989" s="75" t="str">
        <f>IF(AND('341-CT'!$H$9=H2989,OR(LEFT(N2989,3)=$W$7,LEFT(O2989,3)=$W$7)),"x","")</f>
        <v/>
      </c>
      <c r="X2989" s="75" t="str">
        <f>IF(OR(TH!N2989=TH!$X$7,O2989=TH!$X$7),"x","")</f>
        <v/>
      </c>
      <c r="Y2989" s="75" t="str">
        <f>IF(AND(OR(N2989="131",O2989="131"),H2989='131-CT'!$H$9),"x","")</f>
        <v/>
      </c>
      <c r="Z2989" s="75"/>
      <c r="AA2989" s="75" t="str">
        <f>IF(AND(MONTH(E2989)='IN-NX'!$J$5,'IN-NX'!$D$7=D2989),"x","")</f>
        <v/>
      </c>
      <c r="AB2989" s="75" t="str">
        <f>IF(AND(OR(LEFT(TH!N2989,2)="15",LEFT(TH!O2989,2)="15"),LEFT(TH!O2989,3)&lt;&gt;"111",'152-CT'!$J$8=TH!F2989),"x","")</f>
        <v/>
      </c>
      <c r="AC2989" s="75" t="str">
        <f>IF(AND(OR(LEFT(TH!N2989,2)="15",LEFT(TH!O2989,2)="15"),TK!$E$7=TH!F2989),"x","")</f>
        <v/>
      </c>
      <c r="AD2989" s="75" t="str">
        <f>IF(AND(N2989="1521",MONTH(C2989)='BK-NL'!$M$11),"x","")</f>
        <v/>
      </c>
    </row>
    <row r="2990" spans="1:30" s="1264" customFormat="1" ht="16.5" customHeight="1">
      <c r="A2990" s="309" t="str">
        <f>IF(B2990&lt;&gt;"",IF(AND(B2990='IN-TC'!$S$4,OR(TH!N2990="1111",TH!O2990="1111")),TH!D2990,""),"")</f>
        <v/>
      </c>
      <c r="B2990" s="1277">
        <f t="shared" ref="B2990" si="1081">IF(C2990&lt;&gt;"",MONTH(C2990),"")</f>
        <v>7</v>
      </c>
      <c r="C2990" s="71">
        <v>42930</v>
      </c>
      <c r="D2990" s="71" t="s">
        <v>530</v>
      </c>
      <c r="E2990" s="71">
        <f t="shared" ref="E2990" si="1082">C2990</f>
        <v>42930</v>
      </c>
      <c r="F2990" s="1240" t="s">
        <v>1010</v>
      </c>
      <c r="G2990" s="72" t="s">
        <v>747</v>
      </c>
      <c r="H2990" s="73" t="s">
        <v>759</v>
      </c>
      <c r="I2990" s="73"/>
      <c r="J2990" s="1218"/>
      <c r="K2990" s="1213"/>
      <c r="L2990" s="377"/>
      <c r="M2990" s="933">
        <v>26854465</v>
      </c>
      <c r="N2990" s="75" t="s">
        <v>536</v>
      </c>
      <c r="O2990" s="75" t="s">
        <v>43</v>
      </c>
      <c r="P2990" s="75" t="str">
        <f>IF(AND('331-CT'!$E$7=TH!H2990,OR(N2990="331",O2990="331")),"x","")</f>
        <v/>
      </c>
      <c r="Q2990" s="75" t="str">
        <f>IF(AND(B2990='111'!$L$11,OR($N2990=$Q$7,$O2990=$Q$7)),"x","")</f>
        <v/>
      </c>
      <c r="R2990" s="75" t="str">
        <f>IF(AND($N2990=$Q$7,$B2990&lt;'111'!$L$11),"x","")</f>
        <v/>
      </c>
      <c r="S2990" s="75" t="str">
        <f>IF(AND($O2990=$Q$7,$B2990&lt;'111'!$L$11),"x","")</f>
        <v/>
      </c>
      <c r="T2990" s="75" t="str">
        <f>IF(ISERROR(FIND('112'!$M$9,G2990,1)),"",IF((AND(FIND('112'!$M$9,G2990,1)&gt;=1,B2990='112'!$K$9,OR($N2990='112'!$I$6,$O2990='112'!$I$6))),"x",""))</f>
        <v/>
      </c>
      <c r="U2990" s="75" t="str">
        <f>IF(ISERROR(FIND('112'!$M$9,G2990,1)),"",IF((AND(LEFT(G2990,2)=LEFT('112'!$M$9,2),B2990&lt;'112'!$K$9,$N2990='112'!$I$6)),"x",""))</f>
        <v/>
      </c>
      <c r="V2990" s="75" t="str">
        <f>IF(ISERROR(FIND('112'!$M$9,G2990,1)),"",IF((AND(RIGHT(G2990,2)=RIGHT('112'!$M$9,2),B2990&lt;'112'!$K$9,$O2990='112'!$I$6)),"x",""))</f>
        <v/>
      </c>
      <c r="W2990" s="75" t="str">
        <f>IF(AND('341-CT'!$H$9=H2990,OR(LEFT(N2990,3)=$W$7,LEFT(O2990,3)=$W$7)),"x","")</f>
        <v/>
      </c>
      <c r="X2990" s="75" t="str">
        <f>IF(OR(TH!N2990=TH!$X$7,O2990=TH!$X$7),"x","")</f>
        <v/>
      </c>
      <c r="Y2990" s="75" t="str">
        <f>IF(AND(OR(N2990="131",O2990="131"),H2990='131-CT'!$H$9),"x","")</f>
        <v/>
      </c>
      <c r="Z2990" s="75"/>
      <c r="AA2990" s="75" t="str">
        <f>IF(AND(MONTH(E2990)='IN-NX'!$J$5,'IN-NX'!$D$7=D2990),"x","")</f>
        <v/>
      </c>
      <c r="AB2990" s="75" t="str">
        <f>IF(AND(OR(LEFT(TH!N2990,2)="15",LEFT(TH!O2990,2)="15"),LEFT(TH!O2990,3)&lt;&gt;"111",'152-CT'!$J$8=TH!F2990),"x","")</f>
        <v/>
      </c>
      <c r="AC2990" s="75" t="str">
        <f>IF(AND(OR(LEFT(TH!N2990,2)="15",LEFT(TH!O2990,2)="15"),TK!$E$7=TH!F2990),"x","")</f>
        <v/>
      </c>
      <c r="AD2990" s="75" t="str">
        <f>IF(AND(N2990="1521",MONTH(C2990)='BK-NL'!$M$11),"x","")</f>
        <v/>
      </c>
    </row>
    <row r="2991" spans="1:30" s="1264" customFormat="1" ht="16.5" customHeight="1">
      <c r="A2991" s="309" t="str">
        <f>IF(B2991&lt;&gt;"",IF(AND(B2991='IN-TC'!$S$4,OR(TH!N2991="1111",TH!O2991="1111")),TH!D2991,""),"")</f>
        <v/>
      </c>
      <c r="B2991" s="1277">
        <f t="shared" si="1075"/>
        <v>7</v>
      </c>
      <c r="C2991" s="71">
        <v>42930</v>
      </c>
      <c r="D2991" s="71" t="s">
        <v>902</v>
      </c>
      <c r="E2991" s="71">
        <f t="shared" si="1053"/>
        <v>42930</v>
      </c>
      <c r="F2991" s="73" t="s">
        <v>907</v>
      </c>
      <c r="G2991" s="72" t="s">
        <v>747</v>
      </c>
      <c r="H2991" s="73" t="s">
        <v>835</v>
      </c>
      <c r="I2991" s="73"/>
      <c r="J2991" s="377"/>
      <c r="K2991" s="371">
        <v>419000</v>
      </c>
      <c r="L2991" s="377">
        <v>22725</v>
      </c>
      <c r="M2991" s="74">
        <f t="shared" ref="M2991:M2994" si="1083">ROUND(K2991*L2991,0)</f>
        <v>9521775000</v>
      </c>
      <c r="N2991" s="75" t="s">
        <v>26</v>
      </c>
      <c r="O2991" s="934" t="s">
        <v>256</v>
      </c>
      <c r="P2991" s="75" t="str">
        <f>IF(AND('331-CT'!$E$7=TH!H2991,OR(N2991="331",O2991="331")),"x","")</f>
        <v/>
      </c>
      <c r="Q2991" s="75" t="str">
        <f>IF(AND(B2991='111'!$L$11,OR($N2991=$Q$7,$O2991=$Q$7)),"x","")</f>
        <v/>
      </c>
      <c r="R2991" s="75" t="str">
        <f>IF(AND($N2991=$Q$7,$B2991&lt;'111'!$L$11),"x","")</f>
        <v/>
      </c>
      <c r="S2991" s="75" t="str">
        <f>IF(AND($O2991=$Q$7,$B2991&lt;'111'!$L$11),"x","")</f>
        <v/>
      </c>
      <c r="T2991" s="75" t="str">
        <f>IF(ISERROR(FIND('112'!$M$9,G2991,1)),"",IF((AND(FIND('112'!$M$9,G2991,1)&gt;=1,B2991='112'!$K$9,OR($N2991='112'!$I$6,$O2991='112'!$I$6))),"x",""))</f>
        <v/>
      </c>
      <c r="U2991" s="75" t="str">
        <f>IF(ISERROR(FIND('112'!$M$9,G2991,1)),"",IF((AND(LEFT(G2991,2)=LEFT('112'!$M$9,2),B2991&lt;'112'!$K$9,$N2991='112'!$I$6)),"x",""))</f>
        <v/>
      </c>
      <c r="V2991" s="75" t="str">
        <f>IF(ISERROR(FIND('112'!$M$9,G2991,1)),"",IF((AND(RIGHT(G2991,2)=RIGHT('112'!$M$9,2),B2991&lt;'112'!$K$9,$O2991='112'!$I$6)),"x",""))</f>
        <v/>
      </c>
      <c r="W2991" s="75" t="str">
        <f>IF(AND('341-CT'!$H$9=H2991,OR(LEFT(N2991,3)=$W$7,LEFT(O2991,3)=$W$7)),"x","")</f>
        <v/>
      </c>
      <c r="X2991" s="75" t="str">
        <f>IF(OR(TH!N2991=TH!$X$7,O2991=TH!$X$7),"x","")</f>
        <v/>
      </c>
      <c r="Y2991" s="75" t="str">
        <f>IF(AND(OR(N2991="131",O2991="131"),H2991='131-CT'!$H$9),"x","")</f>
        <v/>
      </c>
      <c r="Z2991" s="75"/>
      <c r="AA2991" s="75" t="str">
        <f>IF(AND(MONTH(E2991)='IN-NX'!$J$5,'IN-NX'!$D$7=D2991),"x","")</f>
        <v/>
      </c>
      <c r="AB2991" s="75" t="str">
        <f>IF(AND(OR(LEFT(TH!N2991,2)="15",LEFT(TH!O2991,2)="15"),LEFT(TH!O2991,3)&lt;&gt;"111",'152-CT'!$J$8=TH!F2991),"x","")</f>
        <v/>
      </c>
      <c r="AC2991" s="75" t="str">
        <f>IF(AND(OR(LEFT(TH!N2991,2)="15",LEFT(TH!O2991,2)="15"),TK!$E$7=TH!F2991),"x","")</f>
        <v/>
      </c>
      <c r="AD2991" s="75" t="str">
        <f>IF(AND(N2991="1521",MONTH(C2991)='BK-NL'!$M$11),"x","")</f>
        <v/>
      </c>
    </row>
    <row r="2992" spans="1:30" s="1264" customFormat="1" ht="16.5" customHeight="1">
      <c r="A2992" s="309" t="str">
        <f>IF(B2992&lt;&gt;"",IF(AND(B2992='IN-TC'!$S$4,OR(TH!N2992="1111",TH!O2992="1111")),TH!D2992,""),"")</f>
        <v/>
      </c>
      <c r="B2992" s="1277">
        <f t="shared" si="1075"/>
        <v>7</v>
      </c>
      <c r="C2992" s="71">
        <v>42933</v>
      </c>
      <c r="D2992" s="71" t="s">
        <v>902</v>
      </c>
      <c r="E2992" s="71">
        <f t="shared" si="1053"/>
        <v>42933</v>
      </c>
      <c r="F2992" s="73" t="s">
        <v>907</v>
      </c>
      <c r="G2992" s="72" t="s">
        <v>747</v>
      </c>
      <c r="H2992" s="73" t="s">
        <v>835</v>
      </c>
      <c r="I2992" s="73"/>
      <c r="J2992" s="377"/>
      <c r="K2992" s="371">
        <v>420000</v>
      </c>
      <c r="L2992" s="377">
        <v>22718</v>
      </c>
      <c r="M2992" s="74">
        <f t="shared" si="1083"/>
        <v>9541560000</v>
      </c>
      <c r="N2992" s="75" t="s">
        <v>26</v>
      </c>
      <c r="O2992" s="934" t="s">
        <v>256</v>
      </c>
      <c r="P2992" s="75" t="str">
        <f>IF(AND('331-CT'!$E$7=TH!H2992,OR(N2992="331",O2992="331")),"x","")</f>
        <v/>
      </c>
      <c r="Q2992" s="75" t="str">
        <f>IF(AND(B2992='111'!$L$11,OR($N2992=$Q$7,$O2992=$Q$7)),"x","")</f>
        <v/>
      </c>
      <c r="R2992" s="75" t="str">
        <f>IF(AND($N2992=$Q$7,$B2992&lt;'111'!$L$11),"x","")</f>
        <v/>
      </c>
      <c r="S2992" s="75" t="str">
        <f>IF(AND($O2992=$Q$7,$B2992&lt;'111'!$L$11),"x","")</f>
        <v/>
      </c>
      <c r="T2992" s="75" t="str">
        <f>IF(ISERROR(FIND('112'!$M$9,G2992,1)),"",IF((AND(FIND('112'!$M$9,G2992,1)&gt;=1,B2992='112'!$K$9,OR($N2992='112'!$I$6,$O2992='112'!$I$6))),"x",""))</f>
        <v/>
      </c>
      <c r="U2992" s="75" t="str">
        <f>IF(ISERROR(FIND('112'!$M$9,G2992,1)),"",IF((AND(LEFT(G2992,2)=LEFT('112'!$M$9,2),B2992&lt;'112'!$K$9,$N2992='112'!$I$6)),"x",""))</f>
        <v/>
      </c>
      <c r="V2992" s="75" t="str">
        <f>IF(ISERROR(FIND('112'!$M$9,G2992,1)),"",IF((AND(RIGHT(G2992,2)=RIGHT('112'!$M$9,2),B2992&lt;'112'!$K$9,$O2992='112'!$I$6)),"x",""))</f>
        <v/>
      </c>
      <c r="W2992" s="75" t="str">
        <f>IF(AND('341-CT'!$H$9=H2992,OR(LEFT(N2992,3)=$W$7,LEFT(O2992,3)=$W$7)),"x","")</f>
        <v/>
      </c>
      <c r="X2992" s="75" t="str">
        <f>IF(OR(TH!N2992=TH!$X$7,O2992=TH!$X$7),"x","")</f>
        <v/>
      </c>
      <c r="Y2992" s="75" t="str">
        <f>IF(AND(OR(N2992="131",O2992="131"),H2992='131-CT'!$H$9),"x","")</f>
        <v/>
      </c>
      <c r="Z2992" s="75"/>
      <c r="AA2992" s="75" t="str">
        <f>IF(AND(MONTH(E2992)='IN-NX'!$J$5,'IN-NX'!$D$7=D2992),"x","")</f>
        <v/>
      </c>
      <c r="AB2992" s="75" t="str">
        <f>IF(AND(OR(LEFT(TH!N2992,2)="15",LEFT(TH!O2992,2)="15"),LEFT(TH!O2992,3)&lt;&gt;"111",'152-CT'!$J$8=TH!F2992),"x","")</f>
        <v/>
      </c>
      <c r="AC2992" s="75" t="str">
        <f>IF(AND(OR(LEFT(TH!N2992,2)="15",LEFT(TH!O2992,2)="15"),TK!$E$7=TH!F2992),"x","")</f>
        <v/>
      </c>
      <c r="AD2992" s="75" t="str">
        <f>IF(AND(N2992="1521",MONTH(C2992)='BK-NL'!$M$11),"x","")</f>
        <v/>
      </c>
    </row>
    <row r="2993" spans="1:30" s="1264" customFormat="1" ht="16.5" customHeight="1">
      <c r="A2993" s="309" t="str">
        <f>IF(B2993&lt;&gt;"",IF(AND(B2993='IN-TC'!$S$4,OR(TH!N2993="1111",TH!O2993="1111")),TH!D2993,""),"")</f>
        <v/>
      </c>
      <c r="B2993" s="1277">
        <f t="shared" si="1075"/>
        <v>7</v>
      </c>
      <c r="C2993" s="71">
        <v>42935</v>
      </c>
      <c r="D2993" s="71" t="s">
        <v>902</v>
      </c>
      <c r="E2993" s="71">
        <f t="shared" si="1053"/>
        <v>42935</v>
      </c>
      <c r="F2993" s="73" t="s">
        <v>907</v>
      </c>
      <c r="G2993" s="72" t="s">
        <v>747</v>
      </c>
      <c r="H2993" s="73" t="s">
        <v>835</v>
      </c>
      <c r="I2993" s="73"/>
      <c r="J2993" s="377"/>
      <c r="K2993" s="371">
        <v>50000</v>
      </c>
      <c r="L2993" s="377">
        <v>22720</v>
      </c>
      <c r="M2993" s="74">
        <f t="shared" si="1083"/>
        <v>1136000000</v>
      </c>
      <c r="N2993" s="75" t="s">
        <v>26</v>
      </c>
      <c r="O2993" s="934" t="s">
        <v>256</v>
      </c>
      <c r="P2993" s="75" t="str">
        <f>IF(AND('331-CT'!$E$7=TH!H2993,OR(N2993="331",O2993="331")),"x","")</f>
        <v/>
      </c>
      <c r="Q2993" s="75" t="str">
        <f>IF(AND(B2993='111'!$L$11,OR($N2993=$Q$7,$O2993=$Q$7)),"x","")</f>
        <v/>
      </c>
      <c r="R2993" s="75" t="str">
        <f>IF(AND($N2993=$Q$7,$B2993&lt;'111'!$L$11),"x","")</f>
        <v/>
      </c>
      <c r="S2993" s="75" t="str">
        <f>IF(AND($O2993=$Q$7,$B2993&lt;'111'!$L$11),"x","")</f>
        <v/>
      </c>
      <c r="T2993" s="75" t="str">
        <f>IF(ISERROR(FIND('112'!$M$9,G2993,1)),"",IF((AND(FIND('112'!$M$9,G2993,1)&gt;=1,B2993='112'!$K$9,OR($N2993='112'!$I$6,$O2993='112'!$I$6))),"x",""))</f>
        <v/>
      </c>
      <c r="U2993" s="75" t="str">
        <f>IF(ISERROR(FIND('112'!$M$9,G2993,1)),"",IF((AND(LEFT(G2993,2)=LEFT('112'!$M$9,2),B2993&lt;'112'!$K$9,$N2993='112'!$I$6)),"x",""))</f>
        <v/>
      </c>
      <c r="V2993" s="75" t="str">
        <f>IF(ISERROR(FIND('112'!$M$9,G2993,1)),"",IF((AND(RIGHT(G2993,2)=RIGHT('112'!$M$9,2),B2993&lt;'112'!$K$9,$O2993='112'!$I$6)),"x",""))</f>
        <v/>
      </c>
      <c r="W2993" s="75" t="str">
        <f>IF(AND('341-CT'!$H$9=H2993,OR(LEFT(N2993,3)=$W$7,LEFT(O2993,3)=$W$7)),"x","")</f>
        <v/>
      </c>
      <c r="X2993" s="75" t="str">
        <f>IF(OR(TH!N2993=TH!$X$7,O2993=TH!$X$7),"x","")</f>
        <v/>
      </c>
      <c r="Y2993" s="75" t="str">
        <f>IF(AND(OR(N2993="131",O2993="131"),H2993='131-CT'!$H$9),"x","")</f>
        <v/>
      </c>
      <c r="Z2993" s="75"/>
      <c r="AA2993" s="75" t="str">
        <f>IF(AND(MONTH(E2993)='IN-NX'!$J$5,'IN-NX'!$D$7=D2993),"x","")</f>
        <v/>
      </c>
      <c r="AB2993" s="75" t="str">
        <f>IF(AND(OR(LEFT(TH!N2993,2)="15",LEFT(TH!O2993,2)="15"),LEFT(TH!O2993,3)&lt;&gt;"111",'152-CT'!$J$8=TH!F2993),"x","")</f>
        <v/>
      </c>
      <c r="AC2993" s="75" t="str">
        <f>IF(AND(OR(LEFT(TH!N2993,2)="15",LEFT(TH!O2993,2)="15"),TK!$E$7=TH!F2993),"x","")</f>
        <v/>
      </c>
      <c r="AD2993" s="75" t="str">
        <f>IF(AND(N2993="1521",MONTH(C2993)='BK-NL'!$M$11),"x","")</f>
        <v/>
      </c>
    </row>
    <row r="2994" spans="1:30" s="1264" customFormat="1" ht="16.5" customHeight="1">
      <c r="A2994" s="309" t="str">
        <f>IF(B2994&lt;&gt;"",IF(AND(B2994='IN-TC'!$S$4,OR(TH!N2994="1111",TH!O2994="1111")),TH!D2994,""),"")</f>
        <v/>
      </c>
      <c r="B2994" s="1277">
        <f t="shared" si="1075"/>
        <v>7</v>
      </c>
      <c r="C2994" s="71">
        <v>42935</v>
      </c>
      <c r="D2994" s="71" t="s">
        <v>903</v>
      </c>
      <c r="E2994" s="71">
        <f t="shared" si="1053"/>
        <v>42935</v>
      </c>
      <c r="F2994" s="1240" t="s">
        <v>1086</v>
      </c>
      <c r="G2994" s="72" t="s">
        <v>747</v>
      </c>
      <c r="H2994" s="73" t="s">
        <v>759</v>
      </c>
      <c r="I2994" s="73"/>
      <c r="J2994" s="1218"/>
      <c r="K2994" s="1213">
        <v>419583.82</v>
      </c>
      <c r="L2994" s="377">
        <v>22725</v>
      </c>
      <c r="M2994" s="1214">
        <f t="shared" si="1083"/>
        <v>9535042310</v>
      </c>
      <c r="N2994" s="75" t="s">
        <v>256</v>
      </c>
      <c r="O2994" s="75" t="s">
        <v>536</v>
      </c>
      <c r="P2994" s="75" t="str">
        <f>IF(AND('331-CT'!$E$7=TH!H2994,OR(N2994="331",O2994="331")),"x","")</f>
        <v/>
      </c>
      <c r="Q2994" s="75" t="str">
        <f>IF(AND(B2994='111'!$L$11,OR($N2994=$Q$7,$O2994=$Q$7)),"x","")</f>
        <v/>
      </c>
      <c r="R2994" s="75" t="str">
        <f>IF(AND($N2994=$Q$7,$B2994&lt;'111'!$L$11),"x","")</f>
        <v/>
      </c>
      <c r="S2994" s="75" t="str">
        <f>IF(AND($O2994=$Q$7,$B2994&lt;'111'!$L$11),"x","")</f>
        <v/>
      </c>
      <c r="T2994" s="75" t="str">
        <f>IF(ISERROR(FIND('112'!$M$9,G2994,1)),"",IF((AND(FIND('112'!$M$9,G2994,1)&gt;=1,B2994='112'!$K$9,OR($N2994='112'!$I$6,$O2994='112'!$I$6))),"x",""))</f>
        <v/>
      </c>
      <c r="U2994" s="75" t="str">
        <f>IF(ISERROR(FIND('112'!$M$9,G2994,1)),"",IF((AND(LEFT(G2994,2)=LEFT('112'!$M$9,2),B2994&lt;'112'!$K$9,$N2994='112'!$I$6)),"x",""))</f>
        <v/>
      </c>
      <c r="V2994" s="75" t="str">
        <f>IF(ISERROR(FIND('112'!$M$9,G2994,1)),"",IF((AND(RIGHT(G2994,2)=RIGHT('112'!$M$9,2),B2994&lt;'112'!$K$9,$O2994='112'!$I$6)),"x",""))</f>
        <v/>
      </c>
      <c r="W2994" s="75" t="str">
        <f>IF(AND('341-CT'!$H$9=H2994,OR(LEFT(N2994,3)=$W$7,LEFT(O2994,3)=$W$7)),"x","")</f>
        <v/>
      </c>
      <c r="X2994" s="75" t="str">
        <f>IF(OR(TH!N2994=TH!$X$7,O2994=TH!$X$7),"x","")</f>
        <v/>
      </c>
      <c r="Y2994" s="75" t="str">
        <f>IF(AND(OR(N2994="131",O2994="131"),H2994='131-CT'!$H$9),"x","")</f>
        <v/>
      </c>
      <c r="Z2994" s="75"/>
      <c r="AA2994" s="75" t="str">
        <f>IF(AND(MONTH(E2994)='IN-NX'!$J$5,'IN-NX'!$D$7=D2994),"x","")</f>
        <v/>
      </c>
      <c r="AB2994" s="75" t="str">
        <f>IF(AND(OR(LEFT(TH!N2994,2)="15",LEFT(TH!O2994,2)="15"),LEFT(TH!O2994,3)&lt;&gt;"111",'152-CT'!$J$8=TH!F2994),"x","")</f>
        <v/>
      </c>
      <c r="AC2994" s="75" t="str">
        <f>IF(AND(OR(LEFT(TH!N2994,2)="15",LEFT(TH!O2994,2)="15"),TK!$E$7=TH!F2994),"x","")</f>
        <v/>
      </c>
      <c r="AD2994" s="75" t="str">
        <f>IF(AND(N2994="1521",MONTH(C2994)='BK-NL'!$M$11),"x","")</f>
        <v/>
      </c>
    </row>
    <row r="2995" spans="1:30" s="1264" customFormat="1" ht="16.5" customHeight="1">
      <c r="A2995" s="309" t="str">
        <f>IF(B2995&lt;&gt;"",IF(AND(B2995='IN-TC'!$S$4,OR(TH!N2995="1111",TH!O2995="1111")),TH!D2995,""),"")</f>
        <v/>
      </c>
      <c r="B2995" s="1277">
        <f t="shared" si="1075"/>
        <v>7</v>
      </c>
      <c r="C2995" s="71">
        <v>42935</v>
      </c>
      <c r="D2995" s="71" t="s">
        <v>530</v>
      </c>
      <c r="E2995" s="71">
        <f t="shared" ref="E2995:E3061" si="1084">C2995</f>
        <v>42935</v>
      </c>
      <c r="F2995" s="1240" t="s">
        <v>1027</v>
      </c>
      <c r="G2995" s="72" t="s">
        <v>747</v>
      </c>
      <c r="H2995" s="73" t="s">
        <v>759</v>
      </c>
      <c r="I2995" s="73"/>
      <c r="J2995" s="1218"/>
      <c r="K2995" s="1213">
        <v>17.18</v>
      </c>
      <c r="L2995" s="377">
        <v>22725</v>
      </c>
      <c r="M2995" s="933">
        <f t="shared" ref="M2995:M3039" si="1085">ROUND(L2995*K2995,0)</f>
        <v>390416</v>
      </c>
      <c r="N2995" s="75" t="s">
        <v>101</v>
      </c>
      <c r="O2995" s="75" t="s">
        <v>536</v>
      </c>
      <c r="P2995" s="75" t="str">
        <f>IF(AND('331-CT'!$E$7=TH!H2995,OR(N2995="331",O2995="331")),"x","")</f>
        <v/>
      </c>
      <c r="Q2995" s="75" t="str">
        <f>IF(AND(B2995='111'!$L$11,OR($N2995=$Q$7,$O2995=$Q$7)),"x","")</f>
        <v/>
      </c>
      <c r="R2995" s="75" t="str">
        <f>IF(AND($N2995=$Q$7,$B2995&lt;'111'!$L$11),"x","")</f>
        <v/>
      </c>
      <c r="S2995" s="75" t="str">
        <f>IF(AND($O2995=$Q$7,$B2995&lt;'111'!$L$11),"x","")</f>
        <v/>
      </c>
      <c r="T2995" s="75" t="str">
        <f>IF(ISERROR(FIND('112'!$M$9,G2995,1)),"",IF((AND(FIND('112'!$M$9,G2995,1)&gt;=1,B2995='112'!$K$9,OR($N2995='112'!$I$6,$O2995='112'!$I$6))),"x",""))</f>
        <v/>
      </c>
      <c r="U2995" s="75" t="str">
        <f>IF(ISERROR(FIND('112'!$M$9,G2995,1)),"",IF((AND(LEFT(G2995,2)=LEFT('112'!$M$9,2),B2995&lt;'112'!$K$9,$N2995='112'!$I$6)),"x",""))</f>
        <v/>
      </c>
      <c r="V2995" s="75" t="str">
        <f>IF(ISERROR(FIND('112'!$M$9,G2995,1)),"",IF((AND(RIGHT(G2995,2)=RIGHT('112'!$M$9,2),B2995&lt;'112'!$K$9,$O2995='112'!$I$6)),"x",""))</f>
        <v/>
      </c>
      <c r="W2995" s="75" t="str">
        <f>IF(AND('341-CT'!$H$9=H2995,OR(LEFT(N2995,3)=$W$7,LEFT(O2995,3)=$W$7)),"x","")</f>
        <v/>
      </c>
      <c r="X2995" s="75" t="str">
        <f>IF(OR(TH!N2995=TH!$X$7,O2995=TH!$X$7),"x","")</f>
        <v/>
      </c>
      <c r="Y2995" s="75" t="str">
        <f>IF(AND(OR(N2995="131",O2995="131"),H2995='131-CT'!$H$9),"x","")</f>
        <v/>
      </c>
      <c r="Z2995" s="75"/>
      <c r="AA2995" s="75" t="str">
        <f>IF(AND(MONTH(E2995)='IN-NX'!$J$5,'IN-NX'!$D$7=D2995),"x","")</f>
        <v/>
      </c>
      <c r="AB2995" s="75" t="str">
        <f>IF(AND(OR(LEFT(TH!N2995,2)="15",LEFT(TH!O2995,2)="15"),LEFT(TH!O2995,3)&lt;&gt;"111",'152-CT'!$J$8=TH!F2995),"x","")</f>
        <v/>
      </c>
      <c r="AC2995" s="75" t="str">
        <f>IF(AND(OR(LEFT(TH!N2995,2)="15",LEFT(TH!O2995,2)="15"),TK!$E$7=TH!F2995),"x","")</f>
        <v/>
      </c>
      <c r="AD2995" s="75" t="str">
        <f>IF(AND(N2995="1521",MONTH(C2995)='BK-NL'!$M$11),"x","")</f>
        <v/>
      </c>
    </row>
    <row r="2996" spans="1:30" s="1264" customFormat="1" ht="16.5" customHeight="1">
      <c r="A2996" s="309" t="str">
        <f>IF(B2996&lt;&gt;"",IF(AND(B2996='IN-TC'!$S$4,OR(TH!N2996="1111",TH!O2996="1111")),TH!D2996,""),"")</f>
        <v/>
      </c>
      <c r="B2996" s="1277">
        <f t="shared" ref="B2996" si="1086">IF(C2996&lt;&gt;"",MONTH(C2996),"")</f>
        <v>7</v>
      </c>
      <c r="C2996" s="71">
        <v>42935</v>
      </c>
      <c r="D2996" s="71" t="s">
        <v>530</v>
      </c>
      <c r="E2996" s="71">
        <f t="shared" ref="E2996" si="1087">C2996</f>
        <v>42935</v>
      </c>
      <c r="F2996" s="1240" t="s">
        <v>1010</v>
      </c>
      <c r="G2996" s="72" t="s">
        <v>747</v>
      </c>
      <c r="H2996" s="73" t="s">
        <v>759</v>
      </c>
      <c r="I2996" s="73"/>
      <c r="J2996" s="1218"/>
      <c r="K2996" s="1213"/>
      <c r="L2996" s="377"/>
      <c r="M2996" s="933">
        <v>26854465</v>
      </c>
      <c r="N2996" s="75" t="s">
        <v>536</v>
      </c>
      <c r="O2996" s="75" t="s">
        <v>43</v>
      </c>
      <c r="P2996" s="75" t="str">
        <f>IF(AND('331-CT'!$E$7=TH!H2996,OR(N2996="331",O2996="331")),"x","")</f>
        <v/>
      </c>
      <c r="Q2996" s="75" t="str">
        <f>IF(AND(B2996='111'!$L$11,OR($N2996=$Q$7,$O2996=$Q$7)),"x","")</f>
        <v/>
      </c>
      <c r="R2996" s="75" t="str">
        <f>IF(AND($N2996=$Q$7,$B2996&lt;'111'!$L$11),"x","")</f>
        <v/>
      </c>
      <c r="S2996" s="75" t="str">
        <f>IF(AND($O2996=$Q$7,$B2996&lt;'111'!$L$11),"x","")</f>
        <v/>
      </c>
      <c r="T2996" s="75" t="str">
        <f>IF(ISERROR(FIND('112'!$M$9,G2996,1)),"",IF((AND(FIND('112'!$M$9,G2996,1)&gt;=1,B2996='112'!$K$9,OR($N2996='112'!$I$6,$O2996='112'!$I$6))),"x",""))</f>
        <v/>
      </c>
      <c r="U2996" s="75" t="str">
        <f>IF(ISERROR(FIND('112'!$M$9,G2996,1)),"",IF((AND(LEFT(G2996,2)=LEFT('112'!$M$9,2),B2996&lt;'112'!$K$9,$N2996='112'!$I$6)),"x",""))</f>
        <v/>
      </c>
      <c r="V2996" s="75" t="str">
        <f>IF(ISERROR(FIND('112'!$M$9,G2996,1)),"",IF((AND(RIGHT(G2996,2)=RIGHT('112'!$M$9,2),B2996&lt;'112'!$K$9,$O2996='112'!$I$6)),"x",""))</f>
        <v/>
      </c>
      <c r="W2996" s="75" t="str">
        <f>IF(AND('341-CT'!$H$9=H2996,OR(LEFT(N2996,3)=$W$7,LEFT(O2996,3)=$W$7)),"x","")</f>
        <v/>
      </c>
      <c r="X2996" s="75" t="str">
        <f>IF(OR(TH!N2996=TH!$X$7,O2996=TH!$X$7),"x","")</f>
        <v/>
      </c>
      <c r="Y2996" s="75" t="str">
        <f>IF(AND(OR(N2996="131",O2996="131"),H2996='131-CT'!$H$9),"x","")</f>
        <v/>
      </c>
      <c r="Z2996" s="75"/>
      <c r="AA2996" s="75" t="str">
        <f>IF(AND(MONTH(E2996)='IN-NX'!$J$5,'IN-NX'!$D$7=D2996),"x","")</f>
        <v/>
      </c>
      <c r="AB2996" s="75" t="str">
        <f>IF(AND(OR(LEFT(TH!N2996,2)="15",LEFT(TH!O2996,2)="15"),LEFT(TH!O2996,3)&lt;&gt;"111",'152-CT'!$J$8=TH!F2996),"x","")</f>
        <v/>
      </c>
      <c r="AC2996" s="75" t="str">
        <f>IF(AND(OR(LEFT(TH!N2996,2)="15",LEFT(TH!O2996,2)="15"),TK!$E$7=TH!F2996),"x","")</f>
        <v/>
      </c>
      <c r="AD2996" s="75" t="str">
        <f>IF(AND(N2996="1521",MONTH(C2996)='BK-NL'!$M$11),"x","")</f>
        <v/>
      </c>
    </row>
    <row r="2997" spans="1:30" s="1264" customFormat="1" ht="16.5" customHeight="1">
      <c r="A2997" s="309" t="str">
        <f>IF(B2997&lt;&gt;"",IF(AND(B2997='IN-TC'!$S$4,OR(TH!N2997="1111",TH!O2997="1111")),TH!D2997,""),"")</f>
        <v/>
      </c>
      <c r="B2997" s="1277">
        <f t="shared" si="1075"/>
        <v>7</v>
      </c>
      <c r="C2997" s="71">
        <v>42938</v>
      </c>
      <c r="D2997" s="71" t="s">
        <v>902</v>
      </c>
      <c r="E2997" s="71">
        <f t="shared" si="1084"/>
        <v>42938</v>
      </c>
      <c r="F2997" s="72" t="s">
        <v>1096</v>
      </c>
      <c r="G2997" s="72" t="s">
        <v>747</v>
      </c>
      <c r="H2997" s="735" t="s">
        <v>1759</v>
      </c>
      <c r="I2997" s="73"/>
      <c r="J2997" s="1239"/>
      <c r="K2997" s="1213">
        <v>201.25</v>
      </c>
      <c r="L2997" s="377">
        <v>22700</v>
      </c>
      <c r="M2997" s="74">
        <f t="shared" ref="M2997:M3011" si="1088">ROUND(K2997*L2997,0)</f>
        <v>4568375</v>
      </c>
      <c r="N2997" s="75" t="s">
        <v>99</v>
      </c>
      <c r="O2997" s="934" t="s">
        <v>256</v>
      </c>
      <c r="P2997" s="75" t="str">
        <f>IF(AND('331-CT'!$E$7=TH!H2997,OR(N2997="331",O2997="331")),"x","")</f>
        <v/>
      </c>
      <c r="Q2997" s="75" t="str">
        <f>IF(AND(B2997='111'!$L$11,OR($N2997=$Q$7,$O2997=$Q$7)),"x","")</f>
        <v/>
      </c>
      <c r="R2997" s="75" t="str">
        <f>IF(AND($N2997=$Q$7,$B2997&lt;'111'!$L$11),"x","")</f>
        <v/>
      </c>
      <c r="S2997" s="75" t="str">
        <f>IF(AND($O2997=$Q$7,$B2997&lt;'111'!$L$11),"x","")</f>
        <v/>
      </c>
      <c r="T2997" s="75" t="str">
        <f>IF(ISERROR(FIND('112'!$M$9,G2997,1)),"",IF((AND(FIND('112'!$M$9,G2997,1)&gt;=1,B2997='112'!$K$9,OR($N2997='112'!$I$6,$O2997='112'!$I$6))),"x",""))</f>
        <v/>
      </c>
      <c r="U2997" s="75" t="str">
        <f>IF(ISERROR(FIND('112'!$M$9,G2997,1)),"",IF((AND(LEFT(G2997,2)=LEFT('112'!$M$9,2),B2997&lt;'112'!$K$9,$N2997='112'!$I$6)),"x",""))</f>
        <v/>
      </c>
      <c r="V2997" s="75" t="str">
        <f>IF(ISERROR(FIND('112'!$M$9,G2997,1)),"",IF((AND(RIGHT(G2997,2)=RIGHT('112'!$M$9,2),B2997&lt;'112'!$K$9,$O2997='112'!$I$6)),"x",""))</f>
        <v/>
      </c>
      <c r="W2997" s="75" t="str">
        <f>IF(AND('341-CT'!$H$9=H2997,OR(LEFT(N2997,3)=$W$7,LEFT(O2997,3)=$W$7)),"x","")</f>
        <v/>
      </c>
      <c r="X2997" s="75" t="str">
        <f>IF(OR(TH!N2997=TH!$X$7,O2997=TH!$X$7),"x","")</f>
        <v/>
      </c>
      <c r="Y2997" s="75" t="str">
        <f>IF(AND(OR(N2997="131",O2997="131"),H2997='131-CT'!$H$9),"x","")</f>
        <v/>
      </c>
      <c r="Z2997" s="75"/>
      <c r="AA2997" s="75" t="str">
        <f>IF(AND(MONTH(E2997)='IN-NX'!$J$5,'IN-NX'!$D$7=D2997),"x","")</f>
        <v/>
      </c>
      <c r="AB2997" s="75" t="str">
        <f>IF(AND(OR(LEFT(TH!N2997,2)="15",LEFT(TH!O2997,2)="15"),LEFT(TH!O2997,3)&lt;&gt;"111",'152-CT'!$J$8=TH!F2997),"x","")</f>
        <v/>
      </c>
      <c r="AC2997" s="75" t="str">
        <f>IF(AND(OR(LEFT(TH!N2997,2)="15",LEFT(TH!O2997,2)="15"),TK!$E$7=TH!F2997),"x","")</f>
        <v/>
      </c>
      <c r="AD2997" s="75" t="str">
        <f>IF(AND(N2997="1521",MONTH(C2997)='BK-NL'!$M$11),"x","")</f>
        <v/>
      </c>
    </row>
    <row r="2998" spans="1:30" s="1264" customFormat="1" ht="16.5" customHeight="1">
      <c r="A2998" s="309" t="str">
        <f>IF(B2998&lt;&gt;"",IF(AND(B2998='IN-TC'!$S$4,OR(TH!N2998="1111",TH!O2998="1111")),TH!D2998,""),"")</f>
        <v/>
      </c>
      <c r="B2998" s="1277">
        <f t="shared" si="1075"/>
        <v>7</v>
      </c>
      <c r="C2998" s="71">
        <v>42938</v>
      </c>
      <c r="D2998" s="71" t="s">
        <v>902</v>
      </c>
      <c r="E2998" s="71">
        <f t="shared" si="1084"/>
        <v>42938</v>
      </c>
      <c r="F2998" s="72" t="s">
        <v>1096</v>
      </c>
      <c r="G2998" s="72" t="s">
        <v>747</v>
      </c>
      <c r="H2998" s="735" t="s">
        <v>1635</v>
      </c>
      <c r="I2998" s="73"/>
      <c r="J2998" s="1218"/>
      <c r="K2998" s="1213">
        <v>218.75</v>
      </c>
      <c r="L2998" s="377">
        <v>22700</v>
      </c>
      <c r="M2998" s="74">
        <f t="shared" si="1088"/>
        <v>4965625</v>
      </c>
      <c r="N2998" s="75" t="s">
        <v>99</v>
      </c>
      <c r="O2998" s="934" t="s">
        <v>256</v>
      </c>
      <c r="P2998" s="75" t="str">
        <f>IF(AND('331-CT'!$E$7=TH!H2998,OR(N2998="331",O2998="331")),"x","")</f>
        <v/>
      </c>
      <c r="Q2998" s="75" t="str">
        <f>IF(AND(B2998='111'!$L$11,OR($N2998=$Q$7,$O2998=$Q$7)),"x","")</f>
        <v/>
      </c>
      <c r="R2998" s="75" t="str">
        <f>IF(AND($N2998=$Q$7,$B2998&lt;'111'!$L$11),"x","")</f>
        <v/>
      </c>
      <c r="S2998" s="75" t="str">
        <f>IF(AND($O2998=$Q$7,$B2998&lt;'111'!$L$11),"x","")</f>
        <v/>
      </c>
      <c r="T2998" s="75" t="str">
        <f>IF(ISERROR(FIND('112'!$M$9,G2998,1)),"",IF((AND(FIND('112'!$M$9,G2998,1)&gt;=1,B2998='112'!$K$9,OR($N2998='112'!$I$6,$O2998='112'!$I$6))),"x",""))</f>
        <v/>
      </c>
      <c r="U2998" s="75" t="str">
        <f>IF(ISERROR(FIND('112'!$M$9,G2998,1)),"",IF((AND(LEFT(G2998,2)=LEFT('112'!$M$9,2),B2998&lt;'112'!$K$9,$N2998='112'!$I$6)),"x",""))</f>
        <v/>
      </c>
      <c r="V2998" s="75" t="str">
        <f>IF(ISERROR(FIND('112'!$M$9,G2998,1)),"",IF((AND(RIGHT(G2998,2)=RIGHT('112'!$M$9,2),B2998&lt;'112'!$K$9,$O2998='112'!$I$6)),"x",""))</f>
        <v/>
      </c>
      <c r="W2998" s="75" t="str">
        <f>IF(AND('341-CT'!$H$9=H2998,OR(LEFT(N2998,3)=$W$7,LEFT(O2998,3)=$W$7)),"x","")</f>
        <v/>
      </c>
      <c r="X2998" s="75" t="str">
        <f>IF(OR(TH!N2998=TH!$X$7,O2998=TH!$X$7),"x","")</f>
        <v/>
      </c>
      <c r="Y2998" s="75" t="str">
        <f>IF(AND(OR(N2998="131",O2998="131"),H2998='131-CT'!$H$9),"x","")</f>
        <v/>
      </c>
      <c r="Z2998" s="75"/>
      <c r="AA2998" s="75" t="str">
        <f>IF(AND(MONTH(E2998)='IN-NX'!$J$5,'IN-NX'!$D$7=D2998),"x","")</f>
        <v/>
      </c>
      <c r="AB2998" s="75" t="str">
        <f>IF(AND(OR(LEFT(TH!N2998,2)="15",LEFT(TH!O2998,2)="15"),LEFT(TH!O2998,3)&lt;&gt;"111",'152-CT'!$J$8=TH!F2998),"x","")</f>
        <v/>
      </c>
      <c r="AC2998" s="75" t="str">
        <f>IF(AND(OR(LEFT(TH!N2998,2)="15",LEFT(TH!O2998,2)="15"),TK!$E$7=TH!F2998),"x","")</f>
        <v/>
      </c>
      <c r="AD2998" s="75" t="str">
        <f>IF(AND(N2998="1521",MONTH(C2998)='BK-NL'!$M$11),"x","")</f>
        <v/>
      </c>
    </row>
    <row r="2999" spans="1:30" s="1264" customFormat="1" ht="16.5" customHeight="1">
      <c r="A2999" s="309" t="str">
        <f>IF(B2999&lt;&gt;"",IF(AND(B2999='IN-TC'!$S$4,OR(TH!N2999="1111",TH!O2999="1111")),TH!D2999,""),"")</f>
        <v/>
      </c>
      <c r="B2999" s="1277">
        <f t="shared" si="1075"/>
        <v>7</v>
      </c>
      <c r="C2999" s="71">
        <v>42938</v>
      </c>
      <c r="D2999" s="71" t="s">
        <v>902</v>
      </c>
      <c r="E2999" s="71">
        <f t="shared" si="1084"/>
        <v>42938</v>
      </c>
      <c r="F2999" s="72" t="s">
        <v>1096</v>
      </c>
      <c r="G2999" s="72" t="s">
        <v>747</v>
      </c>
      <c r="H2999" s="73" t="s">
        <v>835</v>
      </c>
      <c r="I2999" s="73"/>
      <c r="J2999" s="1218"/>
      <c r="K2999" s="1213">
        <v>154.25</v>
      </c>
      <c r="L2999" s="377">
        <v>22700</v>
      </c>
      <c r="M2999" s="74">
        <f t="shared" si="1088"/>
        <v>3501475</v>
      </c>
      <c r="N2999" s="75" t="s">
        <v>99</v>
      </c>
      <c r="O2999" s="934" t="s">
        <v>256</v>
      </c>
      <c r="P2999" s="75" t="str">
        <f>IF(AND('331-CT'!$E$7=TH!H2999,OR(N2999="331",O2999="331")),"x","")</f>
        <v/>
      </c>
      <c r="Q2999" s="75" t="str">
        <f>IF(AND(B2999='111'!$L$11,OR($N2999=$Q$7,$O2999=$Q$7)),"x","")</f>
        <v/>
      </c>
      <c r="R2999" s="75" t="str">
        <f>IF(AND($N2999=$Q$7,$B2999&lt;'111'!$L$11),"x","")</f>
        <v/>
      </c>
      <c r="S2999" s="75" t="str">
        <f>IF(AND($O2999=$Q$7,$B2999&lt;'111'!$L$11),"x","")</f>
        <v/>
      </c>
      <c r="T2999" s="75" t="str">
        <f>IF(ISERROR(FIND('112'!$M$9,G2999,1)),"",IF((AND(FIND('112'!$M$9,G2999,1)&gt;=1,B2999='112'!$K$9,OR($N2999='112'!$I$6,$O2999='112'!$I$6))),"x",""))</f>
        <v/>
      </c>
      <c r="U2999" s="75" t="str">
        <f>IF(ISERROR(FIND('112'!$M$9,G2999,1)),"",IF((AND(LEFT(G2999,2)=LEFT('112'!$M$9,2),B2999&lt;'112'!$K$9,$N2999='112'!$I$6)),"x",""))</f>
        <v/>
      </c>
      <c r="V2999" s="75" t="str">
        <f>IF(ISERROR(FIND('112'!$M$9,G2999,1)),"",IF((AND(RIGHT(G2999,2)=RIGHT('112'!$M$9,2),B2999&lt;'112'!$K$9,$O2999='112'!$I$6)),"x",""))</f>
        <v/>
      </c>
      <c r="W2999" s="75" t="str">
        <f>IF(AND('341-CT'!$H$9=H2999,OR(LEFT(N2999,3)=$W$7,LEFT(O2999,3)=$W$7)),"x","")</f>
        <v/>
      </c>
      <c r="X2999" s="75" t="str">
        <f>IF(OR(TH!N2999=TH!$X$7,O2999=TH!$X$7),"x","")</f>
        <v/>
      </c>
      <c r="Y2999" s="75" t="str">
        <f>IF(AND(OR(N2999="131",O2999="131"),H2999='131-CT'!$H$9),"x","")</f>
        <v/>
      </c>
      <c r="Z2999" s="75"/>
      <c r="AA2999" s="75" t="str">
        <f>IF(AND(MONTH(E2999)='IN-NX'!$J$5,'IN-NX'!$D$7=D2999),"x","")</f>
        <v/>
      </c>
      <c r="AB2999" s="75" t="str">
        <f>IF(AND(OR(LEFT(TH!N2999,2)="15",LEFT(TH!O2999,2)="15"),LEFT(TH!O2999,3)&lt;&gt;"111",'152-CT'!$J$8=TH!F2999),"x","")</f>
        <v/>
      </c>
      <c r="AC2999" s="75" t="str">
        <f>IF(AND(OR(LEFT(TH!N2999,2)="15",LEFT(TH!O2999,2)="15"),TK!$E$7=TH!F2999),"x","")</f>
        <v/>
      </c>
      <c r="AD2999" s="75" t="str">
        <f>IF(AND(N2999="1521",MONTH(C2999)='BK-NL'!$M$11),"x","")</f>
        <v/>
      </c>
    </row>
    <row r="3000" spans="1:30" s="1264" customFormat="1" ht="16.5" customHeight="1">
      <c r="A3000" s="309" t="str">
        <f>IF(B3000&lt;&gt;"",IF(AND(B3000='IN-TC'!$S$4,OR(TH!N3000="1111",TH!O3000="1111")),TH!D3000,""),"")</f>
        <v/>
      </c>
      <c r="B3000" s="1277">
        <f t="shared" si="1075"/>
        <v>7</v>
      </c>
      <c r="C3000" s="71">
        <v>42938</v>
      </c>
      <c r="D3000" s="71" t="s">
        <v>902</v>
      </c>
      <c r="E3000" s="71">
        <f t="shared" si="1084"/>
        <v>42938</v>
      </c>
      <c r="F3000" s="72" t="s">
        <v>1096</v>
      </c>
      <c r="G3000" s="72" t="s">
        <v>747</v>
      </c>
      <c r="H3000" s="735" t="s">
        <v>1634</v>
      </c>
      <c r="I3000" s="73"/>
      <c r="J3000" s="1218"/>
      <c r="K3000" s="1213">
        <v>218.75</v>
      </c>
      <c r="L3000" s="377">
        <v>22700</v>
      </c>
      <c r="M3000" s="74">
        <f t="shared" si="1088"/>
        <v>4965625</v>
      </c>
      <c r="N3000" s="75" t="s">
        <v>99</v>
      </c>
      <c r="O3000" s="934" t="s">
        <v>256</v>
      </c>
      <c r="P3000" s="75" t="str">
        <f>IF(AND('331-CT'!$E$7=TH!H3000,OR(N3000="331",O3000="331")),"x","")</f>
        <v/>
      </c>
      <c r="Q3000" s="75" t="str">
        <f>IF(AND(B3000='111'!$L$11,OR($N3000=$Q$7,$O3000=$Q$7)),"x","")</f>
        <v/>
      </c>
      <c r="R3000" s="75" t="str">
        <f>IF(AND($N3000=$Q$7,$B3000&lt;'111'!$L$11),"x","")</f>
        <v/>
      </c>
      <c r="S3000" s="75" t="str">
        <f>IF(AND($O3000=$Q$7,$B3000&lt;'111'!$L$11),"x","")</f>
        <v/>
      </c>
      <c r="T3000" s="75" t="str">
        <f>IF(ISERROR(FIND('112'!$M$9,G3000,1)),"",IF((AND(FIND('112'!$M$9,G3000,1)&gt;=1,B3000='112'!$K$9,OR($N3000='112'!$I$6,$O3000='112'!$I$6))),"x",""))</f>
        <v/>
      </c>
      <c r="U3000" s="75" t="str">
        <f>IF(ISERROR(FIND('112'!$M$9,G3000,1)),"",IF((AND(LEFT(G3000,2)=LEFT('112'!$M$9,2),B3000&lt;'112'!$K$9,$N3000='112'!$I$6)),"x",""))</f>
        <v/>
      </c>
      <c r="V3000" s="75" t="str">
        <f>IF(ISERROR(FIND('112'!$M$9,G3000,1)),"",IF((AND(RIGHT(G3000,2)=RIGHT('112'!$M$9,2),B3000&lt;'112'!$K$9,$O3000='112'!$I$6)),"x",""))</f>
        <v/>
      </c>
      <c r="W3000" s="75" t="str">
        <f>IF(AND('341-CT'!$H$9=H3000,OR(LEFT(N3000,3)=$W$7,LEFT(O3000,3)=$W$7)),"x","")</f>
        <v/>
      </c>
      <c r="X3000" s="75" t="str">
        <f>IF(OR(TH!N3000=TH!$X$7,O3000=TH!$X$7),"x","")</f>
        <v/>
      </c>
      <c r="Y3000" s="75" t="str">
        <f>IF(AND(OR(N3000="131",O3000="131"),H3000='131-CT'!$H$9),"x","")</f>
        <v/>
      </c>
      <c r="Z3000" s="75"/>
      <c r="AA3000" s="75" t="str">
        <f>IF(AND(MONTH(E3000)='IN-NX'!$J$5,'IN-NX'!$D$7=D3000),"x","")</f>
        <v/>
      </c>
      <c r="AB3000" s="75" t="str">
        <f>IF(AND(OR(LEFT(TH!N3000,2)="15",LEFT(TH!O3000,2)="15"),LEFT(TH!O3000,3)&lt;&gt;"111",'152-CT'!$J$8=TH!F3000),"x","")</f>
        <v/>
      </c>
      <c r="AC3000" s="75" t="str">
        <f>IF(AND(OR(LEFT(TH!N3000,2)="15",LEFT(TH!O3000,2)="15"),TK!$E$7=TH!F3000),"x","")</f>
        <v/>
      </c>
      <c r="AD3000" s="75" t="str">
        <f>IF(AND(N3000="1521",MONTH(C3000)='BK-NL'!$M$11),"x","")</f>
        <v/>
      </c>
    </row>
    <row r="3001" spans="1:30" s="1264" customFormat="1" ht="16.5" customHeight="1">
      <c r="A3001" s="309" t="str">
        <f>IF(B3001&lt;&gt;"",IF(AND(B3001='IN-TC'!$S$4,OR(TH!N3001="1111",TH!O3001="1111")),TH!D3001,""),"")</f>
        <v/>
      </c>
      <c r="B3001" s="1277">
        <f t="shared" si="1075"/>
        <v>7</v>
      </c>
      <c r="C3001" s="1233">
        <v>42938</v>
      </c>
      <c r="D3001" s="71" t="s">
        <v>902</v>
      </c>
      <c r="E3001" s="71">
        <f t="shared" si="1084"/>
        <v>42938</v>
      </c>
      <c r="F3001" s="72" t="s">
        <v>1096</v>
      </c>
      <c r="G3001" s="72" t="s">
        <v>747</v>
      </c>
      <c r="H3001" s="735" t="s">
        <v>1627</v>
      </c>
      <c r="I3001" s="73"/>
      <c r="J3001" s="1228"/>
      <c r="K3001" s="1213">
        <v>209.38</v>
      </c>
      <c r="L3001" s="377">
        <v>22700</v>
      </c>
      <c r="M3001" s="74">
        <f t="shared" si="1088"/>
        <v>4752926</v>
      </c>
      <c r="N3001" s="75" t="s">
        <v>99</v>
      </c>
      <c r="O3001" s="934" t="s">
        <v>256</v>
      </c>
      <c r="P3001" s="75" t="str">
        <f>IF(AND('331-CT'!$E$7=TH!H3001,OR(N3001="331",O3001="331")),"x","")</f>
        <v/>
      </c>
      <c r="Q3001" s="75" t="str">
        <f>IF(AND(B3001='111'!$L$11,OR($N3001=$Q$7,$O3001=$Q$7)),"x","")</f>
        <v/>
      </c>
      <c r="R3001" s="75" t="str">
        <f>IF(AND($N3001=$Q$7,$B3001&lt;'111'!$L$11),"x","")</f>
        <v/>
      </c>
      <c r="S3001" s="75" t="str">
        <f>IF(AND($O3001=$Q$7,$B3001&lt;'111'!$L$11),"x","")</f>
        <v/>
      </c>
      <c r="T3001" s="75" t="str">
        <f>IF(ISERROR(FIND('112'!$M$9,G3001,1)),"",IF((AND(FIND('112'!$M$9,G3001,1)&gt;=1,B3001='112'!$K$9,OR($N3001='112'!$I$6,$O3001='112'!$I$6))),"x",""))</f>
        <v/>
      </c>
      <c r="U3001" s="75" t="str">
        <f>IF(ISERROR(FIND('112'!$M$9,G3001,1)),"",IF((AND(LEFT(G3001,2)=LEFT('112'!$M$9,2),B3001&lt;'112'!$K$9,$N3001='112'!$I$6)),"x",""))</f>
        <v/>
      </c>
      <c r="V3001" s="75" t="str">
        <f>IF(ISERROR(FIND('112'!$M$9,G3001,1)),"",IF((AND(RIGHT(G3001,2)=RIGHT('112'!$M$9,2),B3001&lt;'112'!$K$9,$O3001='112'!$I$6)),"x",""))</f>
        <v/>
      </c>
      <c r="W3001" s="75" t="str">
        <f>IF(AND('341-CT'!$H$9=H3001,OR(LEFT(N3001,3)=$W$7,LEFT(O3001,3)=$W$7)),"x","")</f>
        <v/>
      </c>
      <c r="X3001" s="75" t="str">
        <f>IF(OR(TH!N3001=TH!$X$7,O3001=TH!$X$7),"x","")</f>
        <v/>
      </c>
      <c r="Y3001" s="75" t="str">
        <f>IF(AND(OR(N3001="131",O3001="131"),H3001='131-CT'!$H$9),"x","")</f>
        <v/>
      </c>
      <c r="Z3001" s="75"/>
      <c r="AA3001" s="75" t="str">
        <f>IF(AND(MONTH(E3001)='IN-NX'!$J$5,'IN-NX'!$D$7=D3001),"x","")</f>
        <v/>
      </c>
      <c r="AB3001" s="75" t="str">
        <f>IF(AND(OR(LEFT(TH!N3001,2)="15",LEFT(TH!O3001,2)="15"),LEFT(TH!O3001,3)&lt;&gt;"111",'152-CT'!$J$8=TH!F3001),"x","")</f>
        <v/>
      </c>
      <c r="AC3001" s="75" t="str">
        <f>IF(AND(OR(LEFT(TH!N3001,2)="15",LEFT(TH!O3001,2)="15"),TK!$E$7=TH!F3001),"x","")</f>
        <v/>
      </c>
      <c r="AD3001" s="75" t="str">
        <f>IF(AND(N3001="1521",MONTH(C3001)='BK-NL'!$M$11),"x","")</f>
        <v/>
      </c>
    </row>
    <row r="3002" spans="1:30" s="1264" customFormat="1" ht="16.5" customHeight="1">
      <c r="A3002" s="309" t="str">
        <f>IF(B3002&lt;&gt;"",IF(AND(B3002='IN-TC'!$S$4,OR(TH!N3002="1111",TH!O3002="1111")),TH!D3002,""),"")</f>
        <v/>
      </c>
      <c r="B3002" s="1277">
        <f t="shared" si="1075"/>
        <v>7</v>
      </c>
      <c r="C3002" s="1233">
        <v>42938</v>
      </c>
      <c r="D3002" s="71" t="s">
        <v>902</v>
      </c>
      <c r="E3002" s="71">
        <f t="shared" si="1084"/>
        <v>42938</v>
      </c>
      <c r="F3002" s="72" t="s">
        <v>1096</v>
      </c>
      <c r="G3002" s="72" t="s">
        <v>747</v>
      </c>
      <c r="H3002" s="735" t="s">
        <v>1633</v>
      </c>
      <c r="I3002" s="73"/>
      <c r="J3002" s="1228"/>
      <c r="K3002" s="1213">
        <v>157.5</v>
      </c>
      <c r="L3002" s="377">
        <v>22700</v>
      </c>
      <c r="M3002" s="74">
        <f t="shared" si="1088"/>
        <v>3575250</v>
      </c>
      <c r="N3002" s="75" t="s">
        <v>99</v>
      </c>
      <c r="O3002" s="934" t="s">
        <v>256</v>
      </c>
      <c r="P3002" s="75" t="str">
        <f>IF(AND('331-CT'!$E$7=TH!H3002,OR(N3002="331",O3002="331")),"x","")</f>
        <v/>
      </c>
      <c r="Q3002" s="75" t="str">
        <f>IF(AND(B3002='111'!$L$11,OR($N3002=$Q$7,$O3002=$Q$7)),"x","")</f>
        <v/>
      </c>
      <c r="R3002" s="75" t="str">
        <f>IF(AND($N3002=$Q$7,$B3002&lt;'111'!$L$11),"x","")</f>
        <v/>
      </c>
      <c r="S3002" s="75" t="str">
        <f>IF(AND($O3002=$Q$7,$B3002&lt;'111'!$L$11),"x","")</f>
        <v/>
      </c>
      <c r="T3002" s="75" t="str">
        <f>IF(ISERROR(FIND('112'!$M$9,G3002,1)),"",IF((AND(FIND('112'!$M$9,G3002,1)&gt;=1,B3002='112'!$K$9,OR($N3002='112'!$I$6,$O3002='112'!$I$6))),"x",""))</f>
        <v/>
      </c>
      <c r="U3002" s="75" t="str">
        <f>IF(ISERROR(FIND('112'!$M$9,G3002,1)),"",IF((AND(LEFT(G3002,2)=LEFT('112'!$M$9,2),B3002&lt;'112'!$K$9,$N3002='112'!$I$6)),"x",""))</f>
        <v/>
      </c>
      <c r="V3002" s="75" t="str">
        <f>IF(ISERROR(FIND('112'!$M$9,G3002,1)),"",IF((AND(RIGHT(G3002,2)=RIGHT('112'!$M$9,2),B3002&lt;'112'!$K$9,$O3002='112'!$I$6)),"x",""))</f>
        <v/>
      </c>
      <c r="W3002" s="75" t="str">
        <f>IF(AND('341-CT'!$H$9=H3002,OR(LEFT(N3002,3)=$W$7,LEFT(O3002,3)=$W$7)),"x","")</f>
        <v/>
      </c>
      <c r="X3002" s="75" t="str">
        <f>IF(OR(TH!N3002=TH!$X$7,O3002=TH!$X$7),"x","")</f>
        <v/>
      </c>
      <c r="Y3002" s="75" t="str">
        <f>IF(AND(OR(N3002="131",O3002="131"),H3002='131-CT'!$H$9),"x","")</f>
        <v/>
      </c>
      <c r="Z3002" s="75"/>
      <c r="AA3002" s="75" t="str">
        <f>IF(AND(MONTH(E3002)='IN-NX'!$J$5,'IN-NX'!$D$7=D3002),"x","")</f>
        <v/>
      </c>
      <c r="AB3002" s="75" t="str">
        <f>IF(AND(OR(LEFT(TH!N3002,2)="15",LEFT(TH!O3002,2)="15"),LEFT(TH!O3002,3)&lt;&gt;"111",'152-CT'!$J$8=TH!F3002),"x","")</f>
        <v/>
      </c>
      <c r="AC3002" s="75" t="str">
        <f>IF(AND(OR(LEFT(TH!N3002,2)="15",LEFT(TH!O3002,2)="15"),TK!$E$7=TH!F3002),"x","")</f>
        <v/>
      </c>
      <c r="AD3002" s="75" t="str">
        <f>IF(AND(N3002="1521",MONTH(C3002)='BK-NL'!$M$11),"x","")</f>
        <v/>
      </c>
    </row>
    <row r="3003" spans="1:30" s="1264" customFormat="1" ht="16.5" customHeight="1">
      <c r="A3003" s="309" t="str">
        <f>IF(B3003&lt;&gt;"",IF(AND(B3003='IN-TC'!$S$4,OR(TH!N3003="1111",TH!O3003="1111")),TH!D3003,""),"")</f>
        <v/>
      </c>
      <c r="B3003" s="1277">
        <f t="shared" si="1075"/>
        <v>7</v>
      </c>
      <c r="C3003" s="1233">
        <v>42938</v>
      </c>
      <c r="D3003" s="71" t="s">
        <v>902</v>
      </c>
      <c r="E3003" s="71">
        <f t="shared" si="1084"/>
        <v>42938</v>
      </c>
      <c r="F3003" s="72" t="s">
        <v>1096</v>
      </c>
      <c r="G3003" s="72" t="s">
        <v>747</v>
      </c>
      <c r="H3003" s="735" t="s">
        <v>1643</v>
      </c>
      <c r="I3003" s="73"/>
      <c r="J3003" s="1228"/>
      <c r="K3003" s="1213">
        <v>208.75</v>
      </c>
      <c r="L3003" s="377">
        <v>22700</v>
      </c>
      <c r="M3003" s="74">
        <f t="shared" si="1088"/>
        <v>4738625</v>
      </c>
      <c r="N3003" s="75" t="s">
        <v>99</v>
      </c>
      <c r="O3003" s="934" t="s">
        <v>256</v>
      </c>
      <c r="P3003" s="75" t="str">
        <f>IF(AND('331-CT'!$E$7=TH!H3003,OR(N3003="331",O3003="331")),"x","")</f>
        <v/>
      </c>
      <c r="Q3003" s="75" t="str">
        <f>IF(AND(B3003='111'!$L$11,OR($N3003=$Q$7,$O3003=$Q$7)),"x","")</f>
        <v/>
      </c>
      <c r="R3003" s="75" t="str">
        <f>IF(AND($N3003=$Q$7,$B3003&lt;'111'!$L$11),"x","")</f>
        <v/>
      </c>
      <c r="S3003" s="75" t="str">
        <f>IF(AND($O3003=$Q$7,$B3003&lt;'111'!$L$11),"x","")</f>
        <v/>
      </c>
      <c r="T3003" s="75" t="str">
        <f>IF(ISERROR(FIND('112'!$M$9,G3003,1)),"",IF((AND(FIND('112'!$M$9,G3003,1)&gt;=1,B3003='112'!$K$9,OR($N3003='112'!$I$6,$O3003='112'!$I$6))),"x",""))</f>
        <v/>
      </c>
      <c r="U3003" s="75" t="str">
        <f>IF(ISERROR(FIND('112'!$M$9,G3003,1)),"",IF((AND(LEFT(G3003,2)=LEFT('112'!$M$9,2),B3003&lt;'112'!$K$9,$N3003='112'!$I$6)),"x",""))</f>
        <v/>
      </c>
      <c r="V3003" s="75" t="str">
        <f>IF(ISERROR(FIND('112'!$M$9,G3003,1)),"",IF((AND(RIGHT(G3003,2)=RIGHT('112'!$M$9,2),B3003&lt;'112'!$K$9,$O3003='112'!$I$6)),"x",""))</f>
        <v/>
      </c>
      <c r="W3003" s="75" t="str">
        <f>IF(AND('341-CT'!$H$9=H3003,OR(LEFT(N3003,3)=$W$7,LEFT(O3003,3)=$W$7)),"x","")</f>
        <v/>
      </c>
      <c r="X3003" s="75" t="str">
        <f>IF(OR(TH!N3003=TH!$X$7,O3003=TH!$X$7),"x","")</f>
        <v/>
      </c>
      <c r="Y3003" s="75" t="str">
        <f>IF(AND(OR(N3003="131",O3003="131"),H3003='131-CT'!$H$9),"x","")</f>
        <v/>
      </c>
      <c r="Z3003" s="75"/>
      <c r="AA3003" s="75" t="str">
        <f>IF(AND(MONTH(E3003)='IN-NX'!$J$5,'IN-NX'!$D$7=D3003),"x","")</f>
        <v/>
      </c>
      <c r="AB3003" s="75" t="str">
        <f>IF(AND(OR(LEFT(TH!N3003,2)="15",LEFT(TH!O3003,2)="15"),LEFT(TH!O3003,3)&lt;&gt;"111",'152-CT'!$J$8=TH!F3003),"x","")</f>
        <v/>
      </c>
      <c r="AC3003" s="75" t="str">
        <f>IF(AND(OR(LEFT(TH!N3003,2)="15",LEFT(TH!O3003,2)="15"),TK!$E$7=TH!F3003),"x","")</f>
        <v/>
      </c>
      <c r="AD3003" s="75" t="str">
        <f>IF(AND(N3003="1521",MONTH(C3003)='BK-NL'!$M$11),"x","")</f>
        <v/>
      </c>
    </row>
    <row r="3004" spans="1:30" s="1264" customFormat="1" ht="16.5" customHeight="1">
      <c r="A3004" s="309" t="str">
        <f>IF(B3004&lt;&gt;"",IF(AND(B3004='IN-TC'!$S$4,OR(TH!N3004="1111",TH!O3004="1111")),TH!D3004,""),"")</f>
        <v/>
      </c>
      <c r="B3004" s="1277">
        <f t="shared" si="1075"/>
        <v>7</v>
      </c>
      <c r="C3004" s="71">
        <v>42938</v>
      </c>
      <c r="D3004" s="71" t="s">
        <v>902</v>
      </c>
      <c r="E3004" s="71">
        <f t="shared" si="1084"/>
        <v>42938</v>
      </c>
      <c r="F3004" s="72" t="s">
        <v>1096</v>
      </c>
      <c r="G3004" s="72" t="s">
        <v>747</v>
      </c>
      <c r="H3004" s="735" t="s">
        <v>1631</v>
      </c>
      <c r="I3004" s="73"/>
      <c r="J3004" s="1218"/>
      <c r="K3004" s="1213">
        <v>278.13</v>
      </c>
      <c r="L3004" s="377">
        <v>22700</v>
      </c>
      <c r="M3004" s="74">
        <f t="shared" si="1088"/>
        <v>6313551</v>
      </c>
      <c r="N3004" s="75" t="s">
        <v>99</v>
      </c>
      <c r="O3004" s="934" t="s">
        <v>256</v>
      </c>
      <c r="P3004" s="75" t="str">
        <f>IF(AND('331-CT'!$E$7=TH!H3004,OR(N3004="331",O3004="331")),"x","")</f>
        <v/>
      </c>
      <c r="Q3004" s="75" t="str">
        <f>IF(AND(B3004='111'!$L$11,OR($N3004=$Q$7,$O3004=$Q$7)),"x","")</f>
        <v/>
      </c>
      <c r="R3004" s="75" t="str">
        <f>IF(AND($N3004=$Q$7,$B3004&lt;'111'!$L$11),"x","")</f>
        <v/>
      </c>
      <c r="S3004" s="75" t="str">
        <f>IF(AND($O3004=$Q$7,$B3004&lt;'111'!$L$11),"x","")</f>
        <v/>
      </c>
      <c r="T3004" s="75" t="str">
        <f>IF(ISERROR(FIND('112'!$M$9,G3004,1)),"",IF((AND(FIND('112'!$M$9,G3004,1)&gt;=1,B3004='112'!$K$9,OR($N3004='112'!$I$6,$O3004='112'!$I$6))),"x",""))</f>
        <v/>
      </c>
      <c r="U3004" s="75" t="str">
        <f>IF(ISERROR(FIND('112'!$M$9,G3004,1)),"",IF((AND(LEFT(G3004,2)=LEFT('112'!$M$9,2),B3004&lt;'112'!$K$9,$N3004='112'!$I$6)),"x",""))</f>
        <v/>
      </c>
      <c r="V3004" s="75" t="str">
        <f>IF(ISERROR(FIND('112'!$M$9,G3004,1)),"",IF((AND(RIGHT(G3004,2)=RIGHT('112'!$M$9,2),B3004&lt;'112'!$K$9,$O3004='112'!$I$6)),"x",""))</f>
        <v/>
      </c>
      <c r="W3004" s="75" t="str">
        <f>IF(AND('341-CT'!$H$9=H3004,OR(LEFT(N3004,3)=$W$7,LEFT(O3004,3)=$W$7)),"x","")</f>
        <v/>
      </c>
      <c r="X3004" s="75" t="str">
        <f>IF(OR(TH!N3004=TH!$X$7,O3004=TH!$X$7),"x","")</f>
        <v/>
      </c>
      <c r="Y3004" s="75" t="str">
        <f>IF(AND(OR(N3004="131",O3004="131"),H3004='131-CT'!$H$9),"x","")</f>
        <v/>
      </c>
      <c r="Z3004" s="75"/>
      <c r="AA3004" s="75" t="str">
        <f>IF(AND(MONTH(E3004)='IN-NX'!$J$5,'IN-NX'!$D$7=D3004),"x","")</f>
        <v/>
      </c>
      <c r="AB3004" s="75" t="str">
        <f>IF(AND(OR(LEFT(TH!N3004,2)="15",LEFT(TH!O3004,2)="15"),LEFT(TH!O3004,3)&lt;&gt;"111",'152-CT'!$J$8=TH!F3004),"x","")</f>
        <v/>
      </c>
      <c r="AC3004" s="75" t="str">
        <f>IF(AND(OR(LEFT(TH!N3004,2)="15",LEFT(TH!O3004,2)="15"),TK!$E$7=TH!F3004),"x","")</f>
        <v/>
      </c>
      <c r="AD3004" s="75" t="str">
        <f>IF(AND(N3004="1521",MONTH(C3004)='BK-NL'!$M$11),"x","")</f>
        <v/>
      </c>
    </row>
    <row r="3005" spans="1:30" s="1264" customFormat="1" ht="16.5" customHeight="1">
      <c r="A3005" s="309" t="str">
        <f>IF(B3005&lt;&gt;"",IF(AND(B3005='IN-TC'!$S$4,OR(TH!N3005="1111",TH!O3005="1111")),TH!D3005,""),"")</f>
        <v/>
      </c>
      <c r="B3005" s="1277">
        <f t="shared" si="1075"/>
        <v>7</v>
      </c>
      <c r="C3005" s="71">
        <v>42938</v>
      </c>
      <c r="D3005" s="71" t="s">
        <v>902</v>
      </c>
      <c r="E3005" s="71">
        <f t="shared" si="1084"/>
        <v>42938</v>
      </c>
      <c r="F3005" s="72" t="s">
        <v>1096</v>
      </c>
      <c r="G3005" s="72" t="s">
        <v>747</v>
      </c>
      <c r="H3005" s="735" t="s">
        <v>1760</v>
      </c>
      <c r="I3005" s="73"/>
      <c r="J3005" s="1218"/>
      <c r="K3005" s="1213">
        <v>163.80000000000001</v>
      </c>
      <c r="L3005" s="377">
        <v>22700</v>
      </c>
      <c r="M3005" s="74">
        <f t="shared" si="1088"/>
        <v>3718260</v>
      </c>
      <c r="N3005" s="75" t="s">
        <v>99</v>
      </c>
      <c r="O3005" s="934" t="s">
        <v>256</v>
      </c>
      <c r="P3005" s="75" t="str">
        <f>IF(AND('331-CT'!$E$7=TH!H3005,OR(N3005="331",O3005="331")),"x","")</f>
        <v/>
      </c>
      <c r="Q3005" s="75" t="str">
        <f>IF(AND(B3005='111'!$L$11,OR($N3005=$Q$7,$O3005=$Q$7)),"x","")</f>
        <v/>
      </c>
      <c r="R3005" s="75" t="str">
        <f>IF(AND($N3005=$Q$7,$B3005&lt;'111'!$L$11),"x","")</f>
        <v/>
      </c>
      <c r="S3005" s="75" t="str">
        <f>IF(AND($O3005=$Q$7,$B3005&lt;'111'!$L$11),"x","")</f>
        <v/>
      </c>
      <c r="T3005" s="75" t="str">
        <f>IF(ISERROR(FIND('112'!$M$9,G3005,1)),"",IF((AND(FIND('112'!$M$9,G3005,1)&gt;=1,B3005='112'!$K$9,OR($N3005='112'!$I$6,$O3005='112'!$I$6))),"x",""))</f>
        <v/>
      </c>
      <c r="U3005" s="75" t="str">
        <f>IF(ISERROR(FIND('112'!$M$9,G3005,1)),"",IF((AND(LEFT(G3005,2)=LEFT('112'!$M$9,2),B3005&lt;'112'!$K$9,$N3005='112'!$I$6)),"x",""))</f>
        <v/>
      </c>
      <c r="V3005" s="75" t="str">
        <f>IF(ISERROR(FIND('112'!$M$9,G3005,1)),"",IF((AND(RIGHT(G3005,2)=RIGHT('112'!$M$9,2),B3005&lt;'112'!$K$9,$O3005='112'!$I$6)),"x",""))</f>
        <v/>
      </c>
      <c r="W3005" s="75" t="str">
        <f>IF(AND('341-CT'!$H$9=H3005,OR(LEFT(N3005,3)=$W$7,LEFT(O3005,3)=$W$7)),"x","")</f>
        <v/>
      </c>
      <c r="X3005" s="75" t="str">
        <f>IF(OR(TH!N3005=TH!$X$7,O3005=TH!$X$7),"x","")</f>
        <v/>
      </c>
      <c r="Y3005" s="75" t="str">
        <f>IF(AND(OR(N3005="131",O3005="131"),H3005='131-CT'!$H$9),"x","")</f>
        <v/>
      </c>
      <c r="Z3005" s="75"/>
      <c r="AA3005" s="75" t="str">
        <f>IF(AND(MONTH(E3005)='IN-NX'!$J$5,'IN-NX'!$D$7=D3005),"x","")</f>
        <v/>
      </c>
      <c r="AB3005" s="75" t="str">
        <f>IF(AND(OR(LEFT(TH!N3005,2)="15",LEFT(TH!O3005,2)="15"),LEFT(TH!O3005,3)&lt;&gt;"111",'152-CT'!$J$8=TH!F3005),"x","")</f>
        <v/>
      </c>
      <c r="AC3005" s="75" t="str">
        <f>IF(AND(OR(LEFT(TH!N3005,2)="15",LEFT(TH!O3005,2)="15"),TK!$E$7=TH!F3005),"x","")</f>
        <v/>
      </c>
      <c r="AD3005" s="75" t="str">
        <f>IF(AND(N3005="1521",MONTH(C3005)='BK-NL'!$M$11),"x","")</f>
        <v/>
      </c>
    </row>
    <row r="3006" spans="1:30" s="1264" customFormat="1" ht="16.5" customHeight="1">
      <c r="A3006" s="309" t="str">
        <f>IF(B3006&lt;&gt;"",IF(AND(B3006='IN-TC'!$S$4,OR(TH!N3006="1111",TH!O3006="1111")),TH!D3006,""),"")</f>
        <v/>
      </c>
      <c r="B3006" s="1277">
        <f t="shared" si="1075"/>
        <v>7</v>
      </c>
      <c r="C3006" s="71">
        <v>42938</v>
      </c>
      <c r="D3006" s="71" t="s">
        <v>902</v>
      </c>
      <c r="E3006" s="71">
        <f t="shared" si="1084"/>
        <v>42938</v>
      </c>
      <c r="F3006" s="72" t="s">
        <v>1096</v>
      </c>
      <c r="G3006" s="72" t="s">
        <v>747</v>
      </c>
      <c r="H3006" s="735" t="s">
        <v>1628</v>
      </c>
      <c r="I3006" s="73"/>
      <c r="J3006" s="1218"/>
      <c r="K3006" s="1213">
        <v>343.75</v>
      </c>
      <c r="L3006" s="377">
        <v>22700</v>
      </c>
      <c r="M3006" s="74">
        <f t="shared" si="1088"/>
        <v>7803125</v>
      </c>
      <c r="N3006" s="75" t="s">
        <v>99</v>
      </c>
      <c r="O3006" s="934" t="s">
        <v>256</v>
      </c>
      <c r="P3006" s="75" t="str">
        <f>IF(AND('331-CT'!$E$7=TH!H3006,OR(N3006="331",O3006="331")),"x","")</f>
        <v/>
      </c>
      <c r="Q3006" s="75" t="str">
        <f>IF(AND(B3006='111'!$L$11,OR($N3006=$Q$7,$O3006=$Q$7)),"x","")</f>
        <v/>
      </c>
      <c r="R3006" s="75" t="str">
        <f>IF(AND($N3006=$Q$7,$B3006&lt;'111'!$L$11),"x","")</f>
        <v/>
      </c>
      <c r="S3006" s="75" t="str">
        <f>IF(AND($O3006=$Q$7,$B3006&lt;'111'!$L$11),"x","")</f>
        <v/>
      </c>
      <c r="T3006" s="75" t="str">
        <f>IF(ISERROR(FIND('112'!$M$9,G3006,1)),"",IF((AND(FIND('112'!$M$9,G3006,1)&gt;=1,B3006='112'!$K$9,OR($N3006='112'!$I$6,$O3006='112'!$I$6))),"x",""))</f>
        <v/>
      </c>
      <c r="U3006" s="75" t="str">
        <f>IF(ISERROR(FIND('112'!$M$9,G3006,1)),"",IF((AND(LEFT(G3006,2)=LEFT('112'!$M$9,2),B3006&lt;'112'!$K$9,$N3006='112'!$I$6)),"x",""))</f>
        <v/>
      </c>
      <c r="V3006" s="75" t="str">
        <f>IF(ISERROR(FIND('112'!$M$9,G3006,1)),"",IF((AND(RIGHT(G3006,2)=RIGHT('112'!$M$9,2),B3006&lt;'112'!$K$9,$O3006='112'!$I$6)),"x",""))</f>
        <v/>
      </c>
      <c r="W3006" s="75" t="str">
        <f>IF(AND('341-CT'!$H$9=H3006,OR(LEFT(N3006,3)=$W$7,LEFT(O3006,3)=$W$7)),"x","")</f>
        <v/>
      </c>
      <c r="X3006" s="75" t="str">
        <f>IF(OR(TH!N3006=TH!$X$7,O3006=TH!$X$7),"x","")</f>
        <v/>
      </c>
      <c r="Y3006" s="75" t="str">
        <f>IF(AND(OR(N3006="131",O3006="131"),H3006='131-CT'!$H$9),"x","")</f>
        <v/>
      </c>
      <c r="Z3006" s="75"/>
      <c r="AA3006" s="75" t="str">
        <f>IF(AND(MONTH(E3006)='IN-NX'!$J$5,'IN-NX'!$D$7=D3006),"x","")</f>
        <v/>
      </c>
      <c r="AB3006" s="75" t="str">
        <f>IF(AND(OR(LEFT(TH!N3006,2)="15",LEFT(TH!O3006,2)="15"),LEFT(TH!O3006,3)&lt;&gt;"111",'152-CT'!$J$8=TH!F3006),"x","")</f>
        <v/>
      </c>
      <c r="AC3006" s="75" t="str">
        <f>IF(AND(OR(LEFT(TH!N3006,2)="15",LEFT(TH!O3006,2)="15"),TK!$E$7=TH!F3006),"x","")</f>
        <v/>
      </c>
      <c r="AD3006" s="75" t="str">
        <f>IF(AND(N3006="1521",MONTH(C3006)='BK-NL'!$M$11),"x","")</f>
        <v/>
      </c>
    </row>
    <row r="3007" spans="1:30" s="1264" customFormat="1" ht="16.5" customHeight="1">
      <c r="A3007" s="309" t="str">
        <f>IF(B3007&lt;&gt;"",IF(AND(B3007='IN-TC'!$S$4,OR(TH!N3007="1111",TH!O3007="1111")),TH!D3007,""),"")</f>
        <v/>
      </c>
      <c r="B3007" s="1277">
        <f t="shared" si="1075"/>
        <v>7</v>
      </c>
      <c r="C3007" s="71">
        <v>42938</v>
      </c>
      <c r="D3007" s="71" t="s">
        <v>902</v>
      </c>
      <c r="E3007" s="71">
        <f t="shared" si="1084"/>
        <v>42938</v>
      </c>
      <c r="F3007" s="72" t="s">
        <v>1096</v>
      </c>
      <c r="G3007" s="72" t="s">
        <v>747</v>
      </c>
      <c r="H3007" s="735" t="s">
        <v>1629</v>
      </c>
      <c r="I3007" s="73"/>
      <c r="J3007" s="1218"/>
      <c r="K3007" s="1213">
        <v>125</v>
      </c>
      <c r="L3007" s="377">
        <v>22700</v>
      </c>
      <c r="M3007" s="74">
        <f t="shared" si="1088"/>
        <v>2837500</v>
      </c>
      <c r="N3007" s="75" t="s">
        <v>99</v>
      </c>
      <c r="O3007" s="934" t="s">
        <v>256</v>
      </c>
      <c r="P3007" s="75" t="str">
        <f>IF(AND('331-CT'!$E$7=TH!H3007,OR(N3007="331",O3007="331")),"x","")</f>
        <v/>
      </c>
      <c r="Q3007" s="75" t="str">
        <f>IF(AND(B3007='111'!$L$11,OR($N3007=$Q$7,$O3007=$Q$7)),"x","")</f>
        <v/>
      </c>
      <c r="R3007" s="75" t="str">
        <f>IF(AND($N3007=$Q$7,$B3007&lt;'111'!$L$11),"x","")</f>
        <v/>
      </c>
      <c r="S3007" s="75" t="str">
        <f>IF(AND($O3007=$Q$7,$B3007&lt;'111'!$L$11),"x","")</f>
        <v/>
      </c>
      <c r="T3007" s="75" t="str">
        <f>IF(ISERROR(FIND('112'!$M$9,G3007,1)),"",IF((AND(FIND('112'!$M$9,G3007,1)&gt;=1,B3007='112'!$K$9,OR($N3007='112'!$I$6,$O3007='112'!$I$6))),"x",""))</f>
        <v/>
      </c>
      <c r="U3007" s="75" t="str">
        <f>IF(ISERROR(FIND('112'!$M$9,G3007,1)),"",IF((AND(LEFT(G3007,2)=LEFT('112'!$M$9,2),B3007&lt;'112'!$K$9,$N3007='112'!$I$6)),"x",""))</f>
        <v/>
      </c>
      <c r="V3007" s="75" t="str">
        <f>IF(ISERROR(FIND('112'!$M$9,G3007,1)),"",IF((AND(RIGHT(G3007,2)=RIGHT('112'!$M$9,2),B3007&lt;'112'!$K$9,$O3007='112'!$I$6)),"x",""))</f>
        <v/>
      </c>
      <c r="W3007" s="75" t="str">
        <f>IF(AND('341-CT'!$H$9=H3007,OR(LEFT(N3007,3)=$W$7,LEFT(O3007,3)=$W$7)),"x","")</f>
        <v/>
      </c>
      <c r="X3007" s="75" t="str">
        <f>IF(OR(TH!N3007=TH!$X$7,O3007=TH!$X$7),"x","")</f>
        <v/>
      </c>
      <c r="Y3007" s="75" t="str">
        <f>IF(AND(OR(N3007="131",O3007="131"),H3007='131-CT'!$H$9),"x","")</f>
        <v/>
      </c>
      <c r="Z3007" s="75"/>
      <c r="AA3007" s="75" t="str">
        <f>IF(AND(MONTH(E3007)='IN-NX'!$J$5,'IN-NX'!$D$7=D3007),"x","")</f>
        <v/>
      </c>
      <c r="AB3007" s="75" t="str">
        <f>IF(AND(OR(LEFT(TH!N3007,2)="15",LEFT(TH!O3007,2)="15"),LEFT(TH!O3007,3)&lt;&gt;"111",'152-CT'!$J$8=TH!F3007),"x","")</f>
        <v/>
      </c>
      <c r="AC3007" s="75" t="str">
        <f>IF(AND(OR(LEFT(TH!N3007,2)="15",LEFT(TH!O3007,2)="15"),TK!$E$7=TH!F3007),"x","")</f>
        <v/>
      </c>
      <c r="AD3007" s="75" t="str">
        <f>IF(AND(N3007="1521",MONTH(C3007)='BK-NL'!$M$11),"x","")</f>
        <v/>
      </c>
    </row>
    <row r="3008" spans="1:30" s="1264" customFormat="1" ht="16.5" customHeight="1">
      <c r="A3008" s="309" t="str">
        <f>IF(B3008&lt;&gt;"",IF(AND(B3008='IN-TC'!$S$4,OR(TH!N3008="1111",TH!O3008="1111")),TH!D3008,""),"")</f>
        <v/>
      </c>
      <c r="B3008" s="1277">
        <f t="shared" si="1075"/>
        <v>7</v>
      </c>
      <c r="C3008" s="71">
        <v>42938</v>
      </c>
      <c r="D3008" s="71" t="s">
        <v>902</v>
      </c>
      <c r="E3008" s="71">
        <f t="shared" si="1084"/>
        <v>42938</v>
      </c>
      <c r="F3008" s="72" t="s">
        <v>1096</v>
      </c>
      <c r="G3008" s="72" t="s">
        <v>747</v>
      </c>
      <c r="H3008" s="735" t="s">
        <v>1626</v>
      </c>
      <c r="I3008" s="73"/>
      <c r="J3008" s="1218"/>
      <c r="K3008" s="1213">
        <v>256.25</v>
      </c>
      <c r="L3008" s="377">
        <v>22700</v>
      </c>
      <c r="M3008" s="74">
        <f t="shared" si="1088"/>
        <v>5816875</v>
      </c>
      <c r="N3008" s="75" t="s">
        <v>99</v>
      </c>
      <c r="O3008" s="934" t="s">
        <v>256</v>
      </c>
      <c r="P3008" s="75" t="str">
        <f>IF(AND('331-CT'!$E$7=TH!H3008,OR(N3008="331",O3008="331")),"x","")</f>
        <v/>
      </c>
      <c r="Q3008" s="75" t="str">
        <f>IF(AND(B3008='111'!$L$11,OR($N3008=$Q$7,$O3008=$Q$7)),"x","")</f>
        <v/>
      </c>
      <c r="R3008" s="75" t="str">
        <f>IF(AND($N3008=$Q$7,$B3008&lt;'111'!$L$11),"x","")</f>
        <v/>
      </c>
      <c r="S3008" s="75" t="str">
        <f>IF(AND($O3008=$Q$7,$B3008&lt;'111'!$L$11),"x","")</f>
        <v/>
      </c>
      <c r="T3008" s="75" t="str">
        <f>IF(ISERROR(FIND('112'!$M$9,G3008,1)),"",IF((AND(FIND('112'!$M$9,G3008,1)&gt;=1,B3008='112'!$K$9,OR($N3008='112'!$I$6,$O3008='112'!$I$6))),"x",""))</f>
        <v/>
      </c>
      <c r="U3008" s="75" t="str">
        <f>IF(ISERROR(FIND('112'!$M$9,G3008,1)),"",IF((AND(LEFT(G3008,2)=LEFT('112'!$M$9,2),B3008&lt;'112'!$K$9,$N3008='112'!$I$6)),"x",""))</f>
        <v/>
      </c>
      <c r="V3008" s="75" t="str">
        <f>IF(ISERROR(FIND('112'!$M$9,G3008,1)),"",IF((AND(RIGHT(G3008,2)=RIGHT('112'!$M$9,2),B3008&lt;'112'!$K$9,$O3008='112'!$I$6)),"x",""))</f>
        <v/>
      </c>
      <c r="W3008" s="75" t="str">
        <f>IF(AND('341-CT'!$H$9=H3008,OR(LEFT(N3008,3)=$W$7,LEFT(O3008,3)=$W$7)),"x","")</f>
        <v/>
      </c>
      <c r="X3008" s="75" t="str">
        <f>IF(OR(TH!N3008=TH!$X$7,O3008=TH!$X$7),"x","")</f>
        <v/>
      </c>
      <c r="Y3008" s="75" t="str">
        <f>IF(AND(OR(N3008="131",O3008="131"),H3008='131-CT'!$H$9),"x","")</f>
        <v/>
      </c>
      <c r="Z3008" s="75"/>
      <c r="AA3008" s="75" t="str">
        <f>IF(AND(MONTH(E3008)='IN-NX'!$J$5,'IN-NX'!$D$7=D3008),"x","")</f>
        <v/>
      </c>
      <c r="AB3008" s="75" t="str">
        <f>IF(AND(OR(LEFT(TH!N3008,2)="15",LEFT(TH!O3008,2)="15"),LEFT(TH!O3008,3)&lt;&gt;"111",'152-CT'!$J$8=TH!F3008),"x","")</f>
        <v/>
      </c>
      <c r="AC3008" s="75" t="str">
        <f>IF(AND(OR(LEFT(TH!N3008,2)="15",LEFT(TH!O3008,2)="15"),TK!$E$7=TH!F3008),"x","")</f>
        <v/>
      </c>
      <c r="AD3008" s="75" t="str">
        <f>IF(AND(N3008="1521",MONTH(C3008)='BK-NL'!$M$11),"x","")</f>
        <v/>
      </c>
    </row>
    <row r="3009" spans="1:30" s="1264" customFormat="1" ht="16.5" customHeight="1">
      <c r="A3009" s="309" t="str">
        <f>IF(B3009&lt;&gt;"",IF(AND(B3009='IN-TC'!$S$4,OR(TH!N3009="1111",TH!O3009="1111")),TH!D3009,""),"")</f>
        <v/>
      </c>
      <c r="B3009" s="1277">
        <f t="shared" si="1075"/>
        <v>7</v>
      </c>
      <c r="C3009" s="71">
        <v>42938</v>
      </c>
      <c r="D3009" s="71" t="s">
        <v>902</v>
      </c>
      <c r="E3009" s="71">
        <f t="shared" si="1084"/>
        <v>42938</v>
      </c>
      <c r="F3009" s="72" t="s">
        <v>1096</v>
      </c>
      <c r="G3009" s="72" t="s">
        <v>747</v>
      </c>
      <c r="H3009" s="735" t="s">
        <v>1632</v>
      </c>
      <c r="I3009" s="73"/>
      <c r="J3009" s="1218"/>
      <c r="K3009" s="1213">
        <v>314</v>
      </c>
      <c r="L3009" s="377">
        <v>22700</v>
      </c>
      <c r="M3009" s="74">
        <f t="shared" si="1088"/>
        <v>7127800</v>
      </c>
      <c r="N3009" s="75" t="s">
        <v>99</v>
      </c>
      <c r="O3009" s="934" t="s">
        <v>256</v>
      </c>
      <c r="P3009" s="75" t="str">
        <f>IF(AND('331-CT'!$E$7=TH!H3009,OR(N3009="331",O3009="331")),"x","")</f>
        <v/>
      </c>
      <c r="Q3009" s="75" t="str">
        <f>IF(AND(B3009='111'!$L$11,OR($N3009=$Q$7,$O3009=$Q$7)),"x","")</f>
        <v/>
      </c>
      <c r="R3009" s="75" t="str">
        <f>IF(AND($N3009=$Q$7,$B3009&lt;'111'!$L$11),"x","")</f>
        <v/>
      </c>
      <c r="S3009" s="75" t="str">
        <f>IF(AND($O3009=$Q$7,$B3009&lt;'111'!$L$11),"x","")</f>
        <v/>
      </c>
      <c r="T3009" s="75" t="str">
        <f>IF(ISERROR(FIND('112'!$M$9,G3009,1)),"",IF((AND(FIND('112'!$M$9,G3009,1)&gt;=1,B3009='112'!$K$9,OR($N3009='112'!$I$6,$O3009='112'!$I$6))),"x",""))</f>
        <v/>
      </c>
      <c r="U3009" s="75" t="str">
        <f>IF(ISERROR(FIND('112'!$M$9,G3009,1)),"",IF((AND(LEFT(G3009,2)=LEFT('112'!$M$9,2),B3009&lt;'112'!$K$9,$N3009='112'!$I$6)),"x",""))</f>
        <v/>
      </c>
      <c r="V3009" s="75" t="str">
        <f>IF(ISERROR(FIND('112'!$M$9,G3009,1)),"",IF((AND(RIGHT(G3009,2)=RIGHT('112'!$M$9,2),B3009&lt;'112'!$K$9,$O3009='112'!$I$6)),"x",""))</f>
        <v/>
      </c>
      <c r="W3009" s="75" t="str">
        <f>IF(AND('341-CT'!$H$9=H3009,OR(LEFT(N3009,3)=$W$7,LEFT(O3009,3)=$W$7)),"x","")</f>
        <v/>
      </c>
      <c r="X3009" s="75" t="str">
        <f>IF(OR(TH!N3009=TH!$X$7,O3009=TH!$X$7),"x","")</f>
        <v/>
      </c>
      <c r="Y3009" s="75" t="str">
        <f>IF(AND(OR(N3009="131",O3009="131"),H3009='131-CT'!$H$9),"x","")</f>
        <v/>
      </c>
      <c r="Z3009" s="75"/>
      <c r="AA3009" s="75" t="str">
        <f>IF(AND(MONTH(E3009)='IN-NX'!$J$5,'IN-NX'!$D$7=D3009),"x","")</f>
        <v/>
      </c>
      <c r="AB3009" s="75" t="str">
        <f>IF(AND(OR(LEFT(TH!N3009,2)="15",LEFT(TH!O3009,2)="15"),LEFT(TH!O3009,3)&lt;&gt;"111",'152-CT'!$J$8=TH!F3009),"x","")</f>
        <v/>
      </c>
      <c r="AC3009" s="75" t="str">
        <f>IF(AND(OR(LEFT(TH!N3009,2)="15",LEFT(TH!O3009,2)="15"),TK!$E$7=TH!F3009),"x","")</f>
        <v/>
      </c>
      <c r="AD3009" s="75" t="str">
        <f>IF(AND(N3009="1521",MONTH(C3009)='BK-NL'!$M$11),"x","")</f>
        <v/>
      </c>
    </row>
    <row r="3010" spans="1:30" s="1264" customFormat="1" ht="16.5" customHeight="1">
      <c r="A3010" s="309" t="str">
        <f>IF(B3010&lt;&gt;"",IF(AND(B3010='IN-TC'!$S$4,OR(TH!N3010="1111",TH!O3010="1111")),TH!D3010,""),"")</f>
        <v/>
      </c>
      <c r="B3010" s="1277">
        <f t="shared" si="1075"/>
        <v>7</v>
      </c>
      <c r="C3010" s="71">
        <v>42938</v>
      </c>
      <c r="D3010" s="71" t="s">
        <v>902</v>
      </c>
      <c r="E3010" s="71">
        <f t="shared" si="1084"/>
        <v>42938</v>
      </c>
      <c r="F3010" s="72" t="s">
        <v>1096</v>
      </c>
      <c r="G3010" s="72" t="s">
        <v>747</v>
      </c>
      <c r="H3010" s="1236" t="s">
        <v>2034</v>
      </c>
      <c r="I3010" s="73"/>
      <c r="J3010" s="1218"/>
      <c r="K3010" s="1213">
        <v>853.13</v>
      </c>
      <c r="L3010" s="377">
        <v>22700</v>
      </c>
      <c r="M3010" s="74">
        <f t="shared" si="1088"/>
        <v>19366051</v>
      </c>
      <c r="N3010" s="75" t="s">
        <v>99</v>
      </c>
      <c r="O3010" s="934" t="s">
        <v>256</v>
      </c>
      <c r="P3010" s="75" t="str">
        <f>IF(AND('331-CT'!$E$7=TH!H3010,OR(N3010="331",O3010="331")),"x","")</f>
        <v/>
      </c>
      <c r="Q3010" s="75" t="str">
        <f>IF(AND(B3010='111'!$L$11,OR($N3010=$Q$7,$O3010=$Q$7)),"x","")</f>
        <v/>
      </c>
      <c r="R3010" s="75" t="str">
        <f>IF(AND($N3010=$Q$7,$B3010&lt;'111'!$L$11),"x","")</f>
        <v/>
      </c>
      <c r="S3010" s="75" t="str">
        <f>IF(AND($O3010=$Q$7,$B3010&lt;'111'!$L$11),"x","")</f>
        <v/>
      </c>
      <c r="T3010" s="75" t="str">
        <f>IF(ISERROR(FIND('112'!$M$9,G3010,1)),"",IF((AND(FIND('112'!$M$9,G3010,1)&gt;=1,B3010='112'!$K$9,OR($N3010='112'!$I$6,$O3010='112'!$I$6))),"x",""))</f>
        <v/>
      </c>
      <c r="U3010" s="75" t="str">
        <f>IF(ISERROR(FIND('112'!$M$9,G3010,1)),"",IF((AND(LEFT(G3010,2)=LEFT('112'!$M$9,2),B3010&lt;'112'!$K$9,$N3010='112'!$I$6)),"x",""))</f>
        <v/>
      </c>
      <c r="V3010" s="75" t="str">
        <f>IF(ISERROR(FIND('112'!$M$9,G3010,1)),"",IF((AND(RIGHT(G3010,2)=RIGHT('112'!$M$9,2),B3010&lt;'112'!$K$9,$O3010='112'!$I$6)),"x",""))</f>
        <v/>
      </c>
      <c r="W3010" s="75" t="str">
        <f>IF(AND('341-CT'!$H$9=H3010,OR(LEFT(N3010,3)=$W$7,LEFT(O3010,3)=$W$7)),"x","")</f>
        <v/>
      </c>
      <c r="X3010" s="75" t="str">
        <f>IF(OR(TH!N3010=TH!$X$7,O3010=TH!$X$7),"x","")</f>
        <v/>
      </c>
      <c r="Y3010" s="75" t="str">
        <f>IF(AND(OR(N3010="131",O3010="131"),H3010='131-CT'!$H$9),"x","")</f>
        <v/>
      </c>
      <c r="Z3010" s="75"/>
      <c r="AA3010" s="75" t="str">
        <f>IF(AND(MONTH(E3010)='IN-NX'!$J$5,'IN-NX'!$D$7=D3010),"x","")</f>
        <v/>
      </c>
      <c r="AB3010" s="75" t="str">
        <f>IF(AND(OR(LEFT(TH!N3010,2)="15",LEFT(TH!O3010,2)="15"),LEFT(TH!O3010,3)&lt;&gt;"111",'152-CT'!$J$8=TH!F3010),"x","")</f>
        <v/>
      </c>
      <c r="AC3010" s="75" t="str">
        <f>IF(AND(OR(LEFT(TH!N3010,2)="15",LEFT(TH!O3010,2)="15"),TK!$E$7=TH!F3010),"x","")</f>
        <v/>
      </c>
      <c r="AD3010" s="75" t="str">
        <f>IF(AND(N3010="1521",MONTH(C3010)='BK-NL'!$M$11),"x","")</f>
        <v/>
      </c>
    </row>
    <row r="3011" spans="1:30" s="1264" customFormat="1" ht="16.5" customHeight="1">
      <c r="A3011" s="309" t="str">
        <f>IF(B3011&lt;&gt;"",IF(AND(B3011='IN-TC'!$S$4,OR(TH!N3011="1111",TH!O3011="1111")),TH!D3011,""),"")</f>
        <v/>
      </c>
      <c r="B3011" s="1277">
        <f t="shared" si="1075"/>
        <v>7</v>
      </c>
      <c r="C3011" s="71">
        <v>42938</v>
      </c>
      <c r="D3011" s="71" t="s">
        <v>902</v>
      </c>
      <c r="E3011" s="71">
        <f t="shared" si="1084"/>
        <v>42938</v>
      </c>
      <c r="F3011" s="72" t="s">
        <v>1096</v>
      </c>
      <c r="G3011" s="72" t="s">
        <v>747</v>
      </c>
      <c r="H3011" s="735" t="s">
        <v>1636</v>
      </c>
      <c r="I3011" s="73"/>
      <c r="J3011" s="1228"/>
      <c r="K3011" s="1213">
        <v>125</v>
      </c>
      <c r="L3011" s="377">
        <v>22700</v>
      </c>
      <c r="M3011" s="74">
        <f t="shared" si="1088"/>
        <v>2837500</v>
      </c>
      <c r="N3011" s="75" t="s">
        <v>99</v>
      </c>
      <c r="O3011" s="934" t="s">
        <v>256</v>
      </c>
      <c r="P3011" s="75" t="str">
        <f>IF(AND('331-CT'!$E$7=TH!H3011,OR(N3011="331",O3011="331")),"x","")</f>
        <v/>
      </c>
      <c r="Q3011" s="75" t="str">
        <f>IF(AND(B3011='111'!$L$11,OR($N3011=$Q$7,$O3011=$Q$7)),"x","")</f>
        <v/>
      </c>
      <c r="R3011" s="75" t="str">
        <f>IF(AND($N3011=$Q$7,$B3011&lt;'111'!$L$11),"x","")</f>
        <v/>
      </c>
      <c r="S3011" s="75" t="str">
        <f>IF(AND($O3011=$Q$7,$B3011&lt;'111'!$L$11),"x","")</f>
        <v/>
      </c>
      <c r="T3011" s="75" t="str">
        <f>IF(ISERROR(FIND('112'!$M$9,G3011,1)),"",IF((AND(FIND('112'!$M$9,G3011,1)&gt;=1,B3011='112'!$K$9,OR($N3011='112'!$I$6,$O3011='112'!$I$6))),"x",""))</f>
        <v/>
      </c>
      <c r="U3011" s="75" t="str">
        <f>IF(ISERROR(FIND('112'!$M$9,G3011,1)),"",IF((AND(LEFT(G3011,2)=LEFT('112'!$M$9,2),B3011&lt;'112'!$K$9,$N3011='112'!$I$6)),"x",""))</f>
        <v/>
      </c>
      <c r="V3011" s="75" t="str">
        <f>IF(ISERROR(FIND('112'!$M$9,G3011,1)),"",IF((AND(RIGHT(G3011,2)=RIGHT('112'!$M$9,2),B3011&lt;'112'!$K$9,$O3011='112'!$I$6)),"x",""))</f>
        <v/>
      </c>
      <c r="W3011" s="75" t="str">
        <f>IF(AND('341-CT'!$H$9=H3011,OR(LEFT(N3011,3)=$W$7,LEFT(O3011,3)=$W$7)),"x","")</f>
        <v/>
      </c>
      <c r="X3011" s="75" t="str">
        <f>IF(OR(TH!N3011=TH!$X$7,O3011=TH!$X$7),"x","")</f>
        <v/>
      </c>
      <c r="Y3011" s="75" t="str">
        <f>IF(AND(OR(N3011="131",O3011="131"),H3011='131-CT'!$H$9),"x","")</f>
        <v/>
      </c>
      <c r="Z3011" s="75"/>
      <c r="AA3011" s="75" t="str">
        <f>IF(AND(MONTH(E3011)='IN-NX'!$J$5,'IN-NX'!$D$7=D3011),"x","")</f>
        <v/>
      </c>
      <c r="AB3011" s="75" t="str">
        <f>IF(AND(OR(LEFT(TH!N3011,2)="15",LEFT(TH!O3011,2)="15"),LEFT(TH!O3011,3)&lt;&gt;"111",'152-CT'!$J$8=TH!F3011),"x","")</f>
        <v/>
      </c>
      <c r="AC3011" s="75" t="str">
        <f>IF(AND(OR(LEFT(TH!N3011,2)="15",LEFT(TH!O3011,2)="15"),TK!$E$7=TH!F3011),"x","")</f>
        <v/>
      </c>
      <c r="AD3011" s="75" t="str">
        <f>IF(AND(N3011="1521",MONTH(C3011)='BK-NL'!$M$11),"x","")</f>
        <v/>
      </c>
    </row>
    <row r="3012" spans="1:30" s="1264" customFormat="1" ht="16.5" customHeight="1">
      <c r="A3012" s="309" t="str">
        <f>IF(B3012&lt;&gt;"",IF(AND(B3012='IN-TC'!$S$4,OR(TH!N3012="1111",TH!O3012="1111")),TH!D3012,""),"")</f>
        <v/>
      </c>
      <c r="B3012" s="1277">
        <f t="shared" si="1075"/>
        <v>7</v>
      </c>
      <c r="C3012" s="71">
        <v>42941</v>
      </c>
      <c r="D3012" s="71" t="s">
        <v>903</v>
      </c>
      <c r="E3012" s="71">
        <f t="shared" si="1084"/>
        <v>42941</v>
      </c>
      <c r="F3012" s="73" t="s">
        <v>1086</v>
      </c>
      <c r="G3012" s="72" t="s">
        <v>747</v>
      </c>
      <c r="H3012" s="296" t="s">
        <v>1677</v>
      </c>
      <c r="I3012" s="73"/>
      <c r="J3012" s="377"/>
      <c r="K3012" s="371">
        <v>63838</v>
      </c>
      <c r="L3012" s="377">
        <v>22725</v>
      </c>
      <c r="M3012" s="1214">
        <f t="shared" ref="M3012" si="1089">ROUND(K3012*L3012,0)</f>
        <v>1450718550</v>
      </c>
      <c r="N3012" s="75" t="s">
        <v>256</v>
      </c>
      <c r="O3012" s="75" t="s">
        <v>536</v>
      </c>
      <c r="P3012" s="75" t="str">
        <f>IF(AND('331-CT'!$E$7=TH!H3012,OR(N3012="331",O3012="331")),"x","")</f>
        <v/>
      </c>
      <c r="Q3012" s="75" t="str">
        <f>IF(AND(B3012='111'!$L$11,OR($N3012=$Q$7,$O3012=$Q$7)),"x","")</f>
        <v/>
      </c>
      <c r="R3012" s="75" t="str">
        <f>IF(AND($N3012=$Q$7,$B3012&lt;'111'!$L$11),"x","")</f>
        <v/>
      </c>
      <c r="S3012" s="75" t="str">
        <f>IF(AND($O3012=$Q$7,$B3012&lt;'111'!$L$11),"x","")</f>
        <v/>
      </c>
      <c r="T3012" s="75" t="str">
        <f>IF(ISERROR(FIND('112'!$M$9,G3012,1)),"",IF((AND(FIND('112'!$M$9,G3012,1)&gt;=1,B3012='112'!$K$9,OR($N3012='112'!$I$6,$O3012='112'!$I$6))),"x",""))</f>
        <v/>
      </c>
      <c r="U3012" s="75" t="str">
        <f>IF(ISERROR(FIND('112'!$M$9,G3012,1)),"",IF((AND(LEFT(G3012,2)=LEFT('112'!$M$9,2),B3012&lt;'112'!$K$9,$N3012='112'!$I$6)),"x",""))</f>
        <v/>
      </c>
      <c r="V3012" s="75" t="str">
        <f>IF(ISERROR(FIND('112'!$M$9,G3012,1)),"",IF((AND(RIGHT(G3012,2)=RIGHT('112'!$M$9,2),B3012&lt;'112'!$K$9,$O3012='112'!$I$6)),"x",""))</f>
        <v/>
      </c>
      <c r="W3012" s="75" t="str">
        <f>IF(AND('341-CT'!$H$9=H3012,OR(LEFT(N3012,3)=$W$7,LEFT(O3012,3)=$W$7)),"x","")</f>
        <v/>
      </c>
      <c r="X3012" s="75" t="str">
        <f>IF(OR(TH!N3012=TH!$X$7,O3012=TH!$X$7),"x","")</f>
        <v/>
      </c>
      <c r="Y3012" s="75" t="str">
        <f>IF(AND(OR(N3012="131",O3012="131"),H3012='131-CT'!$H$9),"x","")</f>
        <v/>
      </c>
      <c r="Z3012" s="75"/>
      <c r="AA3012" s="75" t="str">
        <f>IF(AND(MONTH(E3012)='IN-NX'!$J$5,'IN-NX'!$D$7=D3012),"x","")</f>
        <v/>
      </c>
      <c r="AB3012" s="75" t="str">
        <f>IF(AND(OR(LEFT(TH!N3012,2)="15",LEFT(TH!O3012,2)="15"),LEFT(TH!O3012,3)&lt;&gt;"111",'152-CT'!$J$8=TH!F3012),"x","")</f>
        <v/>
      </c>
      <c r="AC3012" s="75" t="str">
        <f>IF(AND(OR(LEFT(TH!N3012,2)="15",LEFT(TH!O3012,2)="15"),TK!$E$7=TH!F3012),"x","")</f>
        <v/>
      </c>
      <c r="AD3012" s="75" t="str">
        <f>IF(AND(N3012="1521",MONTH(C3012)='BK-NL'!$M$11),"x","")</f>
        <v/>
      </c>
    </row>
    <row r="3013" spans="1:30" s="1264" customFormat="1" ht="16.5" customHeight="1">
      <c r="A3013" s="309" t="str">
        <f>IF(B3013&lt;&gt;"",IF(AND(B3013='IN-TC'!$S$4,OR(TH!N3013="1111",TH!O3013="1111")),TH!D3013,""),"")</f>
        <v/>
      </c>
      <c r="B3013" s="1277">
        <f t="shared" si="1075"/>
        <v>7</v>
      </c>
      <c r="C3013" s="71">
        <v>42941</v>
      </c>
      <c r="D3013" s="71" t="s">
        <v>530</v>
      </c>
      <c r="E3013" s="71">
        <f t="shared" si="1084"/>
        <v>42941</v>
      </c>
      <c r="F3013" s="73" t="s">
        <v>1027</v>
      </c>
      <c r="G3013" s="72" t="s">
        <v>747</v>
      </c>
      <c r="H3013" s="296" t="s">
        <v>1677</v>
      </c>
      <c r="I3013" s="73"/>
      <c r="J3013" s="377"/>
      <c r="K3013" s="371">
        <v>162</v>
      </c>
      <c r="L3013" s="377">
        <v>22725</v>
      </c>
      <c r="M3013" s="933">
        <f t="shared" si="1085"/>
        <v>3681450</v>
      </c>
      <c r="N3013" s="75" t="s">
        <v>101</v>
      </c>
      <c r="O3013" s="75" t="s">
        <v>536</v>
      </c>
      <c r="P3013" s="75" t="str">
        <f>IF(AND('331-CT'!$E$7=TH!H3013,OR(N3013="331",O3013="331")),"x","")</f>
        <v/>
      </c>
      <c r="Q3013" s="75" t="str">
        <f>IF(AND(B3013='111'!$L$11,OR($N3013=$Q$7,$O3013=$Q$7)),"x","")</f>
        <v/>
      </c>
      <c r="R3013" s="75" t="str">
        <f>IF(AND($N3013=$Q$7,$B3013&lt;'111'!$L$11),"x","")</f>
        <v/>
      </c>
      <c r="S3013" s="75" t="str">
        <f>IF(AND($O3013=$Q$7,$B3013&lt;'111'!$L$11),"x","")</f>
        <v/>
      </c>
      <c r="T3013" s="75" t="str">
        <f>IF(ISERROR(FIND('112'!$M$9,G3013,1)),"",IF((AND(FIND('112'!$M$9,G3013,1)&gt;=1,B3013='112'!$K$9,OR($N3013='112'!$I$6,$O3013='112'!$I$6))),"x",""))</f>
        <v/>
      </c>
      <c r="U3013" s="75" t="str">
        <f>IF(ISERROR(FIND('112'!$M$9,G3013,1)),"",IF((AND(LEFT(G3013,2)=LEFT('112'!$M$9,2),B3013&lt;'112'!$K$9,$N3013='112'!$I$6)),"x",""))</f>
        <v/>
      </c>
      <c r="V3013" s="75" t="str">
        <f>IF(ISERROR(FIND('112'!$M$9,G3013,1)),"",IF((AND(RIGHT(G3013,2)=RIGHT('112'!$M$9,2),B3013&lt;'112'!$K$9,$O3013='112'!$I$6)),"x",""))</f>
        <v/>
      </c>
      <c r="W3013" s="75" t="str">
        <f>IF(AND('341-CT'!$H$9=H3013,OR(LEFT(N3013,3)=$W$7,LEFT(O3013,3)=$W$7)),"x","")</f>
        <v/>
      </c>
      <c r="X3013" s="75" t="str">
        <f>IF(OR(TH!N3013=TH!$X$7,O3013=TH!$X$7),"x","")</f>
        <v/>
      </c>
      <c r="Y3013" s="75" t="str">
        <f>IF(AND(OR(N3013="131",O3013="131"),H3013='131-CT'!$H$9),"x","")</f>
        <v/>
      </c>
      <c r="Z3013" s="75"/>
      <c r="AA3013" s="75" t="str">
        <f>IF(AND(MONTH(E3013)='IN-NX'!$J$5,'IN-NX'!$D$7=D3013),"x","")</f>
        <v/>
      </c>
      <c r="AB3013" s="75" t="str">
        <f>IF(AND(OR(LEFT(TH!N3013,2)="15",LEFT(TH!O3013,2)="15"),LEFT(TH!O3013,3)&lt;&gt;"111",'152-CT'!$J$8=TH!F3013),"x","")</f>
        <v/>
      </c>
      <c r="AC3013" s="75" t="str">
        <f>IF(AND(OR(LEFT(TH!N3013,2)="15",LEFT(TH!O3013,2)="15"),TK!$E$7=TH!F3013),"x","")</f>
        <v/>
      </c>
      <c r="AD3013" s="75" t="str">
        <f>IF(AND(N3013="1521",MONTH(C3013)='BK-NL'!$M$11),"x","")</f>
        <v/>
      </c>
    </row>
    <row r="3014" spans="1:30" s="1264" customFormat="1" ht="16.5" customHeight="1">
      <c r="A3014" s="309" t="str">
        <f>IF(B3014&lt;&gt;"",IF(AND(B3014='IN-TC'!$S$4,OR(TH!N3014="1111",TH!O3014="1111")),TH!D3014,""),"")</f>
        <v/>
      </c>
      <c r="B3014" s="1277">
        <f t="shared" si="1075"/>
        <v>7</v>
      </c>
      <c r="C3014" s="71">
        <v>42941</v>
      </c>
      <c r="D3014" s="71" t="s">
        <v>530</v>
      </c>
      <c r="E3014" s="71">
        <f t="shared" si="1084"/>
        <v>42941</v>
      </c>
      <c r="F3014" s="73" t="s">
        <v>1010</v>
      </c>
      <c r="G3014" s="72" t="s">
        <v>747</v>
      </c>
      <c r="H3014" s="296" t="s">
        <v>1677</v>
      </c>
      <c r="I3014" s="73"/>
      <c r="J3014" s="377"/>
      <c r="K3014" s="371"/>
      <c r="L3014" s="377"/>
      <c r="M3014" s="74">
        <v>960000</v>
      </c>
      <c r="N3014" s="75" t="s">
        <v>536</v>
      </c>
      <c r="O3014" s="934" t="s">
        <v>43</v>
      </c>
      <c r="P3014" s="75" t="str">
        <f>IF(AND('331-CT'!$E$7=TH!H3014,OR(N3014="331",O3014="331")),"x","")</f>
        <v/>
      </c>
      <c r="Q3014" s="75" t="str">
        <f>IF(AND(B3014='111'!$L$11,OR($N3014=$Q$7,$O3014=$Q$7)),"x","")</f>
        <v/>
      </c>
      <c r="R3014" s="75" t="str">
        <f>IF(AND($N3014=$Q$7,$B3014&lt;'111'!$L$11),"x","")</f>
        <v/>
      </c>
      <c r="S3014" s="75" t="str">
        <f>IF(AND($O3014=$Q$7,$B3014&lt;'111'!$L$11),"x","")</f>
        <v/>
      </c>
      <c r="T3014" s="75" t="str">
        <f>IF(ISERROR(FIND('112'!$M$9,G3014,1)),"",IF((AND(FIND('112'!$M$9,G3014,1)&gt;=1,B3014='112'!$K$9,OR($N3014='112'!$I$6,$O3014='112'!$I$6))),"x",""))</f>
        <v/>
      </c>
      <c r="U3014" s="75" t="str">
        <f>IF(ISERROR(FIND('112'!$M$9,G3014,1)),"",IF((AND(LEFT(G3014,2)=LEFT('112'!$M$9,2),B3014&lt;'112'!$K$9,$N3014='112'!$I$6)),"x",""))</f>
        <v/>
      </c>
      <c r="V3014" s="75" t="str">
        <f>IF(ISERROR(FIND('112'!$M$9,G3014,1)),"",IF((AND(RIGHT(G3014,2)=RIGHT('112'!$M$9,2),B3014&lt;'112'!$K$9,$O3014='112'!$I$6)),"x",""))</f>
        <v/>
      </c>
      <c r="W3014" s="75" t="str">
        <f>IF(AND('341-CT'!$H$9=H3014,OR(LEFT(N3014,3)=$W$7,LEFT(O3014,3)=$W$7)),"x","")</f>
        <v/>
      </c>
      <c r="X3014" s="75" t="str">
        <f>IF(OR(TH!N3014=TH!$X$7,O3014=TH!$X$7),"x","")</f>
        <v/>
      </c>
      <c r="Y3014" s="75" t="str">
        <f>IF(AND(OR(N3014="131",O3014="131"),H3014='131-CT'!$H$9),"x","")</f>
        <v/>
      </c>
      <c r="Z3014" s="75"/>
      <c r="AA3014" s="75" t="str">
        <f>IF(AND(MONTH(E3014)='IN-NX'!$J$5,'IN-NX'!$D$7=D3014),"x","")</f>
        <v/>
      </c>
      <c r="AB3014" s="75" t="str">
        <f>IF(AND(OR(LEFT(TH!N3014,2)="15",LEFT(TH!O3014,2)="15"),LEFT(TH!O3014,3)&lt;&gt;"111",'152-CT'!$J$8=TH!F3014),"x","")</f>
        <v/>
      </c>
      <c r="AC3014" s="75" t="str">
        <f>IF(AND(OR(LEFT(TH!N3014,2)="15",LEFT(TH!O3014,2)="15"),TK!$E$7=TH!F3014),"x","")</f>
        <v/>
      </c>
      <c r="AD3014" s="75" t="str">
        <f>IF(AND(N3014="1521",MONTH(C3014)='BK-NL'!$M$11),"x","")</f>
        <v/>
      </c>
    </row>
    <row r="3015" spans="1:30" s="1264" customFormat="1" ht="16.5" customHeight="1">
      <c r="A3015" s="309" t="str">
        <f>IF(B3015&lt;&gt;"",IF(AND(B3015='IN-TC'!$S$4,OR(TH!N3015="1111",TH!O3015="1111")),TH!D3015,""),"")</f>
        <v/>
      </c>
      <c r="B3015" s="1277">
        <f t="shared" si="1075"/>
        <v>7</v>
      </c>
      <c r="C3015" s="71">
        <v>42941</v>
      </c>
      <c r="D3015" s="71" t="s">
        <v>903</v>
      </c>
      <c r="E3015" s="71">
        <f t="shared" si="1084"/>
        <v>42941</v>
      </c>
      <c r="F3015" s="72" t="s">
        <v>918</v>
      </c>
      <c r="G3015" s="72" t="s">
        <v>1320</v>
      </c>
      <c r="H3015" s="73" t="s">
        <v>835</v>
      </c>
      <c r="I3015" s="73"/>
      <c r="J3015" s="378"/>
      <c r="K3015" s="371">
        <v>2300</v>
      </c>
      <c r="L3015" s="377">
        <v>22725</v>
      </c>
      <c r="M3015" s="1214">
        <f t="shared" ref="M3015:M3016" si="1090">ROUND(K3015*L3015,0)</f>
        <v>52267500</v>
      </c>
      <c r="N3015" s="75" t="s">
        <v>256</v>
      </c>
      <c r="O3015" s="934" t="s">
        <v>256</v>
      </c>
      <c r="P3015" s="75" t="str">
        <f>IF(AND('331-CT'!$E$7=TH!H3015,OR(N3015="331",O3015="331")),"x","")</f>
        <v/>
      </c>
      <c r="Q3015" s="75" t="str">
        <f>IF(AND(B3015='111'!$L$11,OR($N3015=$Q$7,$O3015=$Q$7)),"x","")</f>
        <v/>
      </c>
      <c r="R3015" s="75" t="str">
        <f>IF(AND($N3015=$Q$7,$B3015&lt;'111'!$L$11),"x","")</f>
        <v/>
      </c>
      <c r="S3015" s="75" t="str">
        <f>IF(AND($O3015=$Q$7,$B3015&lt;'111'!$L$11),"x","")</f>
        <v/>
      </c>
      <c r="T3015" s="75" t="str">
        <f>IF(ISERROR(FIND('112'!$M$9,G3015,1)),"",IF((AND(FIND('112'!$M$9,G3015,1)&gt;=1,B3015='112'!$K$9,OR($N3015='112'!$I$6,$O3015='112'!$I$6))),"x",""))</f>
        <v/>
      </c>
      <c r="U3015" s="75" t="str">
        <f>IF(ISERROR(FIND('112'!$M$9,G3015,1)),"",IF((AND(LEFT(G3015,2)=LEFT('112'!$M$9,2),B3015&lt;'112'!$K$9,$N3015='112'!$I$6)),"x",""))</f>
        <v/>
      </c>
      <c r="V3015" s="75" t="str">
        <f>IF(ISERROR(FIND('112'!$M$9,G3015,1)),"",IF((AND(RIGHT(G3015,2)=RIGHT('112'!$M$9,2),B3015&lt;'112'!$K$9,$O3015='112'!$I$6)),"x",""))</f>
        <v/>
      </c>
      <c r="W3015" s="75" t="str">
        <f>IF(AND('341-CT'!$H$9=H3015,OR(LEFT(N3015,3)=$W$7,LEFT(O3015,3)=$W$7)),"x","")</f>
        <v/>
      </c>
      <c r="X3015" s="75" t="str">
        <f>IF(OR(TH!N3015=TH!$X$7,O3015=TH!$X$7),"x","")</f>
        <v/>
      </c>
      <c r="Y3015" s="75" t="str">
        <f>IF(AND(OR(N3015="131",O3015="131"),H3015='131-CT'!$H$9),"x","")</f>
        <v/>
      </c>
      <c r="Z3015" s="75"/>
      <c r="AA3015" s="75" t="str">
        <f>IF(AND(MONTH(E3015)='IN-NX'!$J$5,'IN-NX'!$D$7=D3015),"x","")</f>
        <v/>
      </c>
      <c r="AB3015" s="75" t="str">
        <f>IF(AND(OR(LEFT(TH!N3015,2)="15",LEFT(TH!O3015,2)="15"),LEFT(TH!O3015,3)&lt;&gt;"111",'152-CT'!$J$8=TH!F3015),"x","")</f>
        <v/>
      </c>
      <c r="AC3015" s="75" t="str">
        <f>IF(AND(OR(LEFT(TH!N3015,2)="15",LEFT(TH!O3015,2)="15"),TK!$E$7=TH!F3015),"x","")</f>
        <v/>
      </c>
      <c r="AD3015" s="75" t="str">
        <f>IF(AND(N3015="1521",MONTH(C3015)='BK-NL'!$M$11),"x","")</f>
        <v/>
      </c>
    </row>
    <row r="3016" spans="1:30" s="1264" customFormat="1" ht="16.5" customHeight="1">
      <c r="A3016" s="309" t="str">
        <f>IF(B3016&lt;&gt;"",IF(AND(B3016='IN-TC'!$S$4,OR(TH!N3016="1111",TH!O3016="1111")),TH!D3016,""),"")</f>
        <v/>
      </c>
      <c r="B3016" s="1277">
        <f t="shared" si="1075"/>
        <v>7</v>
      </c>
      <c r="C3016" s="71">
        <v>42941</v>
      </c>
      <c r="D3016" s="71" t="s">
        <v>902</v>
      </c>
      <c r="E3016" s="71">
        <f t="shared" si="1084"/>
        <v>42941</v>
      </c>
      <c r="F3016" s="72" t="s">
        <v>1096</v>
      </c>
      <c r="G3016" s="72" t="s">
        <v>747</v>
      </c>
      <c r="H3016" s="73" t="s">
        <v>835</v>
      </c>
      <c r="I3016" s="73"/>
      <c r="J3016" s="1239"/>
      <c r="K3016" s="1213">
        <v>76.84</v>
      </c>
      <c r="L3016" s="1214">
        <v>22725</v>
      </c>
      <c r="M3016" s="74">
        <f t="shared" si="1090"/>
        <v>1746189</v>
      </c>
      <c r="N3016" s="75" t="s">
        <v>99</v>
      </c>
      <c r="O3016" s="934" t="s">
        <v>256</v>
      </c>
      <c r="P3016" s="75" t="str">
        <f>IF(AND('331-CT'!$E$7=TH!H3016,OR(N3016="331",O3016="331")),"x","")</f>
        <v/>
      </c>
      <c r="Q3016" s="75" t="str">
        <f>IF(AND(B3016='111'!$L$11,OR($N3016=$Q$7,$O3016=$Q$7)),"x","")</f>
        <v/>
      </c>
      <c r="R3016" s="75" t="str">
        <f>IF(AND($N3016=$Q$7,$B3016&lt;'111'!$L$11),"x","")</f>
        <v/>
      </c>
      <c r="S3016" s="75" t="str">
        <f>IF(AND($O3016=$Q$7,$B3016&lt;'111'!$L$11),"x","")</f>
        <v/>
      </c>
      <c r="T3016" s="75" t="str">
        <f>IF(ISERROR(FIND('112'!$M$9,G3016,1)),"",IF((AND(FIND('112'!$M$9,G3016,1)&gt;=1,B3016='112'!$K$9,OR($N3016='112'!$I$6,$O3016='112'!$I$6))),"x",""))</f>
        <v/>
      </c>
      <c r="U3016" s="75" t="str">
        <f>IF(ISERROR(FIND('112'!$M$9,G3016,1)),"",IF((AND(LEFT(G3016,2)=LEFT('112'!$M$9,2),B3016&lt;'112'!$K$9,$N3016='112'!$I$6)),"x",""))</f>
        <v/>
      </c>
      <c r="V3016" s="75" t="str">
        <f>IF(ISERROR(FIND('112'!$M$9,G3016,1)),"",IF((AND(RIGHT(G3016,2)=RIGHT('112'!$M$9,2),B3016&lt;'112'!$K$9,$O3016='112'!$I$6)),"x",""))</f>
        <v/>
      </c>
      <c r="W3016" s="75" t="str">
        <f>IF(AND('341-CT'!$H$9=H3016,OR(LEFT(N3016,3)=$W$7,LEFT(O3016,3)=$W$7)),"x","")</f>
        <v/>
      </c>
      <c r="X3016" s="75" t="str">
        <f>IF(OR(TH!N3016=TH!$X$7,O3016=TH!$X$7),"x","")</f>
        <v/>
      </c>
      <c r="Y3016" s="75" t="str">
        <f>IF(AND(OR(N3016="131",O3016="131"),H3016='131-CT'!$H$9),"x","")</f>
        <v/>
      </c>
      <c r="Z3016" s="75"/>
      <c r="AA3016" s="75" t="str">
        <f>IF(AND(MONTH(E3016)='IN-NX'!$J$5,'IN-NX'!$D$7=D3016),"x","")</f>
        <v/>
      </c>
      <c r="AB3016" s="75" t="str">
        <f>IF(AND(OR(LEFT(TH!N3016,2)="15",LEFT(TH!O3016,2)="15"),LEFT(TH!O3016,3)&lt;&gt;"111",'152-CT'!$J$8=TH!F3016),"x","")</f>
        <v/>
      </c>
      <c r="AC3016" s="75" t="str">
        <f>IF(AND(OR(LEFT(TH!N3016,2)="15",LEFT(TH!O3016,2)="15"),TK!$E$7=TH!F3016),"x","")</f>
        <v/>
      </c>
      <c r="AD3016" s="75" t="str">
        <f>IF(AND(N3016="1521",MONTH(C3016)='BK-NL'!$M$11),"x","")</f>
        <v/>
      </c>
    </row>
    <row r="3017" spans="1:30" s="1264" customFormat="1" ht="16.5" customHeight="1">
      <c r="A3017" s="309" t="str">
        <f>IF(B3017&lt;&gt;"",IF(AND(B3017='IN-TC'!$S$4,OR(TH!N3017="1111",TH!O3017="1111")),TH!D3017,""),"")</f>
        <v/>
      </c>
      <c r="B3017" s="1277">
        <f t="shared" si="1075"/>
        <v>7</v>
      </c>
      <c r="C3017" s="71">
        <v>42941</v>
      </c>
      <c r="D3017" s="71" t="s">
        <v>902</v>
      </c>
      <c r="E3017" s="71">
        <f t="shared" si="1084"/>
        <v>42941</v>
      </c>
      <c r="F3017" s="72" t="s">
        <v>1321</v>
      </c>
      <c r="G3017" s="72" t="s">
        <v>747</v>
      </c>
      <c r="H3017" s="73" t="s">
        <v>2460</v>
      </c>
      <c r="I3017" s="73"/>
      <c r="J3017" s="1239"/>
      <c r="K3017" s="1213">
        <v>60800</v>
      </c>
      <c r="L3017" s="1214">
        <v>22725</v>
      </c>
      <c r="M3017" s="74">
        <f t="shared" ref="M3017" si="1091">ROUND(K3017*L3017,0)</f>
        <v>1381680000</v>
      </c>
      <c r="N3017" s="75" t="s">
        <v>250</v>
      </c>
      <c r="O3017" s="934" t="s">
        <v>256</v>
      </c>
      <c r="P3017" s="75" t="str">
        <f>IF(AND('331-CT'!$E$7=TH!H3017,OR(N3017="331",O3017="331")),"x","")</f>
        <v/>
      </c>
      <c r="Q3017" s="75" t="str">
        <f>IF(AND(B3017='111'!$L$11,OR($N3017=$Q$7,$O3017=$Q$7)),"x","")</f>
        <v/>
      </c>
      <c r="R3017" s="75" t="str">
        <f>IF(AND($N3017=$Q$7,$B3017&lt;'111'!$L$11),"x","")</f>
        <v/>
      </c>
      <c r="S3017" s="75" t="str">
        <f>IF(AND($O3017=$Q$7,$B3017&lt;'111'!$L$11),"x","")</f>
        <v/>
      </c>
      <c r="T3017" s="75" t="str">
        <f>IF(ISERROR(FIND('112'!$M$9,G3017,1)),"",IF((AND(FIND('112'!$M$9,G3017,1)&gt;=1,B3017='112'!$K$9,OR($N3017='112'!$I$6,$O3017='112'!$I$6))),"x",""))</f>
        <v/>
      </c>
      <c r="U3017" s="75" t="str">
        <f>IF(ISERROR(FIND('112'!$M$9,G3017,1)),"",IF((AND(LEFT(G3017,2)=LEFT('112'!$M$9,2),B3017&lt;'112'!$K$9,$N3017='112'!$I$6)),"x",""))</f>
        <v/>
      </c>
      <c r="V3017" s="75" t="str">
        <f>IF(ISERROR(FIND('112'!$M$9,G3017,1)),"",IF((AND(RIGHT(G3017,2)=RIGHT('112'!$M$9,2),B3017&lt;'112'!$K$9,$O3017='112'!$I$6)),"x",""))</f>
        <v/>
      </c>
      <c r="W3017" s="75" t="str">
        <f>IF(AND('341-CT'!$H$9=H3017,OR(LEFT(N3017,3)=$W$7,LEFT(O3017,3)=$W$7)),"x","")</f>
        <v/>
      </c>
      <c r="X3017" s="75" t="str">
        <f>IF(OR(TH!N3017=TH!$X$7,O3017=TH!$X$7),"x","")</f>
        <v/>
      </c>
      <c r="Y3017" s="75" t="str">
        <f>IF(AND(OR(N3017="131",O3017="131"),H3017='131-CT'!$H$9),"x","")</f>
        <v/>
      </c>
      <c r="Z3017" s="75"/>
      <c r="AA3017" s="75" t="str">
        <f>IF(AND(MONTH(E3017)='IN-NX'!$J$5,'IN-NX'!$D$7=D3017),"x","")</f>
        <v/>
      </c>
      <c r="AB3017" s="75" t="str">
        <f>IF(AND(OR(LEFT(TH!N3017,2)="15",LEFT(TH!O3017,2)="15"),LEFT(TH!O3017,3)&lt;&gt;"111",'152-CT'!$J$8=TH!F3017),"x","")</f>
        <v/>
      </c>
      <c r="AC3017" s="75" t="str">
        <f>IF(AND(OR(LEFT(TH!N3017,2)="15",LEFT(TH!O3017,2)="15"),TK!$E$7=TH!F3017),"x","")</f>
        <v/>
      </c>
      <c r="AD3017" s="75" t="str">
        <f>IF(AND(N3017="1521",MONTH(C3017)='BK-NL'!$M$11),"x","")</f>
        <v/>
      </c>
    </row>
    <row r="3018" spans="1:30" s="1264" customFormat="1" ht="16.5" customHeight="1">
      <c r="A3018" s="309" t="str">
        <f>IF(B3018&lt;&gt;"",IF(AND(B3018='IN-TC'!$S$4,OR(TH!N3018="1111",TH!O3018="1111")),TH!D3018,""),"")</f>
        <v/>
      </c>
      <c r="B3018" s="1277">
        <f t="shared" si="1075"/>
        <v>7</v>
      </c>
      <c r="C3018" s="71">
        <v>42941</v>
      </c>
      <c r="D3018" s="71" t="s">
        <v>530</v>
      </c>
      <c r="E3018" s="71">
        <f t="shared" si="1084"/>
        <v>42941</v>
      </c>
      <c r="F3018" s="1238" t="s">
        <v>1010</v>
      </c>
      <c r="G3018" s="72" t="s">
        <v>747</v>
      </c>
      <c r="H3018" s="73" t="s">
        <v>2460</v>
      </c>
      <c r="I3018" s="73"/>
      <c r="J3018" s="1239"/>
      <c r="K3018" s="1213"/>
      <c r="L3018" s="1214"/>
      <c r="M3018" s="74">
        <v>608000</v>
      </c>
      <c r="N3018" s="75" t="s">
        <v>99</v>
      </c>
      <c r="O3018" s="75" t="s">
        <v>250</v>
      </c>
      <c r="P3018" s="75" t="str">
        <f>IF(AND('331-CT'!$E$7=TH!H3018,OR(N3018="331",O3018="331")),"x","")</f>
        <v/>
      </c>
      <c r="Q3018" s="75" t="str">
        <f>IF(AND(B3018='111'!$L$11,OR($N3018=$Q$7,$O3018=$Q$7)),"x","")</f>
        <v/>
      </c>
      <c r="R3018" s="75" t="str">
        <f>IF(AND($N3018=$Q$7,$B3018&lt;'111'!$L$11),"x","")</f>
        <v/>
      </c>
      <c r="S3018" s="75" t="str">
        <f>IF(AND($O3018=$Q$7,$B3018&lt;'111'!$L$11),"x","")</f>
        <v/>
      </c>
      <c r="T3018" s="75" t="str">
        <f>IF(ISERROR(FIND('112'!$M$9,G3018,1)),"",IF((AND(FIND('112'!$M$9,G3018,1)&gt;=1,B3018='112'!$K$9,OR($N3018='112'!$I$6,$O3018='112'!$I$6))),"x",""))</f>
        <v/>
      </c>
      <c r="U3018" s="75" t="str">
        <f>IF(ISERROR(FIND('112'!$M$9,G3018,1)),"",IF((AND(LEFT(G3018,2)=LEFT('112'!$M$9,2),B3018&lt;'112'!$K$9,$N3018='112'!$I$6)),"x",""))</f>
        <v/>
      </c>
      <c r="V3018" s="75" t="str">
        <f>IF(ISERROR(FIND('112'!$M$9,G3018,1)),"",IF((AND(RIGHT(G3018,2)=RIGHT('112'!$M$9,2),B3018&lt;'112'!$K$9,$O3018='112'!$I$6)),"x",""))</f>
        <v/>
      </c>
      <c r="W3018" s="75" t="str">
        <f>IF(AND('341-CT'!$H$9=H3018,OR(LEFT(N3018,3)=$W$7,LEFT(O3018,3)=$W$7)),"x","")</f>
        <v/>
      </c>
      <c r="X3018" s="75" t="str">
        <f>IF(OR(TH!N3018=TH!$X$7,O3018=TH!$X$7),"x","")</f>
        <v/>
      </c>
      <c r="Y3018" s="75" t="str">
        <f>IF(AND(OR(N3018="131",O3018="131"),H3018='131-CT'!$H$9),"x","")</f>
        <v/>
      </c>
      <c r="Z3018" s="75"/>
      <c r="AA3018" s="75" t="str">
        <f>IF(AND(MONTH(E3018)='IN-NX'!$J$5,'IN-NX'!$D$7=D3018),"x","")</f>
        <v/>
      </c>
      <c r="AB3018" s="75" t="str">
        <f>IF(AND(OR(LEFT(TH!N3018,2)="15",LEFT(TH!O3018,2)="15"),LEFT(TH!O3018,3)&lt;&gt;"111",'152-CT'!$J$8=TH!F3018),"x","")</f>
        <v/>
      </c>
      <c r="AC3018" s="75" t="str">
        <f>IF(AND(OR(LEFT(TH!N3018,2)="15",LEFT(TH!O3018,2)="15"),TK!$E$7=TH!F3018),"x","")</f>
        <v/>
      </c>
      <c r="AD3018" s="75" t="str">
        <f>IF(AND(N3018="1521",MONTH(C3018)='BK-NL'!$M$11),"x","")</f>
        <v/>
      </c>
    </row>
    <row r="3019" spans="1:30" s="1264" customFormat="1" ht="16.5" customHeight="1">
      <c r="A3019" s="309" t="str">
        <f>IF(B3019&lt;&gt;"",IF(AND(B3019='IN-TC'!$S$4,OR(TH!N3019="1111",TH!O3019="1111")),TH!D3019,""),"")</f>
        <v/>
      </c>
      <c r="B3019" s="1277">
        <f t="shared" si="1075"/>
        <v>7</v>
      </c>
      <c r="C3019" s="71">
        <v>42942</v>
      </c>
      <c r="D3019" s="71" t="s">
        <v>902</v>
      </c>
      <c r="E3019" s="71">
        <f t="shared" si="1084"/>
        <v>42942</v>
      </c>
      <c r="F3019" s="73" t="s">
        <v>907</v>
      </c>
      <c r="G3019" s="72" t="s">
        <v>747</v>
      </c>
      <c r="H3019" s="73" t="s">
        <v>835</v>
      </c>
      <c r="I3019" s="73"/>
      <c r="J3019" s="377"/>
      <c r="K3019" s="371">
        <v>376000</v>
      </c>
      <c r="L3019" s="377">
        <v>22725</v>
      </c>
      <c r="M3019" s="74">
        <f>ROUND(K3019*L3019,0)</f>
        <v>8544600000</v>
      </c>
      <c r="N3019" s="75" t="s">
        <v>26</v>
      </c>
      <c r="O3019" s="934" t="s">
        <v>256</v>
      </c>
      <c r="P3019" s="75" t="str">
        <f>IF(AND('331-CT'!$E$7=TH!H3019,OR(N3019="331",O3019="331")),"x","")</f>
        <v/>
      </c>
      <c r="Q3019" s="75" t="str">
        <f>IF(AND(B3019='111'!$L$11,OR($N3019=$Q$7,$O3019=$Q$7)),"x","")</f>
        <v/>
      </c>
      <c r="R3019" s="75" t="str">
        <f>IF(AND($N3019=$Q$7,$B3019&lt;'111'!$L$11),"x","")</f>
        <v/>
      </c>
      <c r="S3019" s="75" t="str">
        <f>IF(AND($O3019=$Q$7,$B3019&lt;'111'!$L$11),"x","")</f>
        <v/>
      </c>
      <c r="T3019" s="75" t="str">
        <f>IF(ISERROR(FIND('112'!$M$9,G3019,1)),"",IF((AND(FIND('112'!$M$9,G3019,1)&gt;=1,B3019='112'!$K$9,OR($N3019='112'!$I$6,$O3019='112'!$I$6))),"x",""))</f>
        <v/>
      </c>
      <c r="U3019" s="75" t="str">
        <f>IF(ISERROR(FIND('112'!$M$9,G3019,1)),"",IF((AND(LEFT(G3019,2)=LEFT('112'!$M$9,2),B3019&lt;'112'!$K$9,$N3019='112'!$I$6)),"x",""))</f>
        <v/>
      </c>
      <c r="V3019" s="75" t="str">
        <f>IF(ISERROR(FIND('112'!$M$9,G3019,1)),"",IF((AND(RIGHT(G3019,2)=RIGHT('112'!$M$9,2),B3019&lt;'112'!$K$9,$O3019='112'!$I$6)),"x",""))</f>
        <v/>
      </c>
      <c r="W3019" s="75" t="str">
        <f>IF(AND('341-CT'!$H$9=H3019,OR(LEFT(N3019,3)=$W$7,LEFT(O3019,3)=$W$7)),"x","")</f>
        <v/>
      </c>
      <c r="X3019" s="75" t="str">
        <f>IF(OR(TH!N3019=TH!$X$7,O3019=TH!$X$7),"x","")</f>
        <v/>
      </c>
      <c r="Y3019" s="75" t="str">
        <f>IF(AND(OR(N3019="131",O3019="131"),H3019='131-CT'!$H$9),"x","")</f>
        <v/>
      </c>
      <c r="Z3019" s="75"/>
      <c r="AA3019" s="75" t="str">
        <f>IF(AND(MONTH(E3019)='IN-NX'!$J$5,'IN-NX'!$D$7=D3019),"x","")</f>
        <v/>
      </c>
      <c r="AB3019" s="75" t="str">
        <f>IF(AND(OR(LEFT(TH!N3019,2)="15",LEFT(TH!O3019,2)="15"),LEFT(TH!O3019,3)&lt;&gt;"111",'152-CT'!$J$8=TH!F3019),"x","")</f>
        <v/>
      </c>
      <c r="AC3019" s="75" t="str">
        <f>IF(AND(OR(LEFT(TH!N3019,2)="15",LEFT(TH!O3019,2)="15"),TK!$E$7=TH!F3019),"x","")</f>
        <v/>
      </c>
      <c r="AD3019" s="75" t="str">
        <f>IF(AND(N3019="1521",MONTH(C3019)='BK-NL'!$M$11),"x","")</f>
        <v/>
      </c>
    </row>
    <row r="3020" spans="1:30" s="1264" customFormat="1" ht="16.5" customHeight="1">
      <c r="A3020" s="309" t="str">
        <f>IF(B3020&lt;&gt;"",IF(AND(B3020='IN-TC'!$S$4,OR(TH!N3020="1111",TH!O3020="1111")),TH!D3020,""),"")</f>
        <v/>
      </c>
      <c r="B3020" s="1279">
        <f t="shared" si="1075"/>
        <v>8</v>
      </c>
      <c r="C3020" s="71">
        <v>42954</v>
      </c>
      <c r="D3020" s="71" t="s">
        <v>903</v>
      </c>
      <c r="E3020" s="71">
        <f t="shared" si="1084"/>
        <v>42954</v>
      </c>
      <c r="F3020" s="72" t="s">
        <v>1086</v>
      </c>
      <c r="G3020" s="72" t="s">
        <v>747</v>
      </c>
      <c r="H3020" s="73" t="s">
        <v>759</v>
      </c>
      <c r="I3020" s="73"/>
      <c r="J3020" s="378"/>
      <c r="K3020" s="371">
        <v>279716.25</v>
      </c>
      <c r="L3020" s="377">
        <v>22695</v>
      </c>
      <c r="M3020" s="1214">
        <f t="shared" ref="M3020" si="1092">ROUND(K3020*L3020,0)</f>
        <v>6348160294</v>
      </c>
      <c r="N3020" s="75" t="s">
        <v>256</v>
      </c>
      <c r="O3020" s="75" t="s">
        <v>536</v>
      </c>
      <c r="P3020" s="75" t="str">
        <f>IF(AND('331-CT'!$E$7=TH!H3020,OR(N3020="331",O3020="331")),"x","")</f>
        <v/>
      </c>
      <c r="Q3020" s="75" t="str">
        <f>IF(AND(B3020='111'!$L$11,OR($N3020=$Q$7,$O3020=$Q$7)),"x","")</f>
        <v/>
      </c>
      <c r="R3020" s="75" t="str">
        <f>IF(AND($N3020=$Q$7,$B3020&lt;'111'!$L$11),"x","")</f>
        <v/>
      </c>
      <c r="S3020" s="75" t="str">
        <f>IF(AND($O3020=$Q$7,$B3020&lt;'111'!$L$11),"x","")</f>
        <v/>
      </c>
      <c r="T3020" s="75" t="str">
        <f>IF(ISERROR(FIND('112'!$M$9,G3020,1)),"",IF((AND(FIND('112'!$M$9,G3020,1)&gt;=1,B3020='112'!$K$9,OR($N3020='112'!$I$6,$O3020='112'!$I$6))),"x",""))</f>
        <v/>
      </c>
      <c r="U3020" s="75" t="str">
        <f>IF(ISERROR(FIND('112'!$M$9,G3020,1)),"",IF((AND(LEFT(G3020,2)=LEFT('112'!$M$9,2),B3020&lt;'112'!$K$9,$N3020='112'!$I$6)),"x",""))</f>
        <v/>
      </c>
      <c r="V3020" s="75" t="str">
        <f>IF(ISERROR(FIND('112'!$M$9,G3020,1)),"",IF((AND(RIGHT(G3020,2)=RIGHT('112'!$M$9,2),B3020&lt;'112'!$K$9,$O3020='112'!$I$6)),"x",""))</f>
        <v/>
      </c>
      <c r="W3020" s="75" t="str">
        <f>IF(AND('341-CT'!$H$9=H3020,OR(LEFT(N3020,3)=$W$7,LEFT(O3020,3)=$W$7)),"x","")</f>
        <v/>
      </c>
      <c r="X3020" s="75" t="str">
        <f>IF(OR(TH!N3020=TH!$X$7,O3020=TH!$X$7),"x","")</f>
        <v/>
      </c>
      <c r="Y3020" s="75" t="str">
        <f>IF(AND(OR(N3020="131",O3020="131"),H3020='131-CT'!$H$9),"x","")</f>
        <v/>
      </c>
      <c r="Z3020" s="75"/>
      <c r="AA3020" s="75" t="str">
        <f>IF(AND(MONTH(E3020)='IN-NX'!$J$5,'IN-NX'!$D$7=D3020),"x","")</f>
        <v/>
      </c>
      <c r="AB3020" s="75" t="str">
        <f>IF(AND(OR(LEFT(TH!N3020,2)="15",LEFT(TH!O3020,2)="15"),LEFT(TH!O3020,3)&lt;&gt;"111",'152-CT'!$J$8=TH!F3020),"x","")</f>
        <v/>
      </c>
      <c r="AC3020" s="75" t="str">
        <f>IF(AND(OR(LEFT(TH!N3020,2)="15",LEFT(TH!O3020,2)="15"),TK!$E$7=TH!F3020),"x","")</f>
        <v/>
      </c>
      <c r="AD3020" s="75" t="str">
        <f>IF(AND(N3020="1521",MONTH(C3020)='BK-NL'!$M$11),"x","")</f>
        <v/>
      </c>
    </row>
    <row r="3021" spans="1:30" s="1264" customFormat="1" ht="16.5" customHeight="1">
      <c r="A3021" s="309" t="str">
        <f>IF(B3021&lt;&gt;"",IF(AND(B3021='IN-TC'!$S$4,OR(TH!N3021="1111",TH!O3021="1111")),TH!D3021,""),"")</f>
        <v/>
      </c>
      <c r="B3021" s="1279">
        <f t="shared" si="1075"/>
        <v>8</v>
      </c>
      <c r="C3021" s="71">
        <v>42954</v>
      </c>
      <c r="D3021" s="71" t="s">
        <v>530</v>
      </c>
      <c r="E3021" s="71">
        <f t="shared" si="1084"/>
        <v>42954</v>
      </c>
      <c r="F3021" s="1240" t="s">
        <v>1027</v>
      </c>
      <c r="G3021" s="72" t="s">
        <v>747</v>
      </c>
      <c r="H3021" s="73" t="s">
        <v>759</v>
      </c>
      <c r="I3021" s="73"/>
      <c r="J3021" s="1218"/>
      <c r="K3021" s="1213">
        <v>17.75</v>
      </c>
      <c r="L3021" s="377">
        <v>22695</v>
      </c>
      <c r="M3021" s="933">
        <f t="shared" ref="M3021" si="1093">ROUND(L3021*K3021,0)</f>
        <v>402836</v>
      </c>
      <c r="N3021" s="75" t="s">
        <v>101</v>
      </c>
      <c r="O3021" s="75" t="s">
        <v>536</v>
      </c>
      <c r="P3021" s="75" t="str">
        <f>IF(AND('331-CT'!$E$7=TH!H3021,OR(N3021="331",O3021="331")),"x","")</f>
        <v/>
      </c>
      <c r="Q3021" s="75" t="str">
        <f>IF(AND(B3021='111'!$L$11,OR($N3021=$Q$7,$O3021=$Q$7)),"x","")</f>
        <v/>
      </c>
      <c r="R3021" s="75" t="str">
        <f>IF(AND($N3021=$Q$7,$B3021&lt;'111'!$L$11),"x","")</f>
        <v/>
      </c>
      <c r="S3021" s="75" t="str">
        <f>IF(AND($O3021=$Q$7,$B3021&lt;'111'!$L$11),"x","")</f>
        <v/>
      </c>
      <c r="T3021" s="75" t="str">
        <f>IF(ISERROR(FIND('112'!$M$9,G3021,1)),"",IF((AND(FIND('112'!$M$9,G3021,1)&gt;=1,B3021='112'!$K$9,OR($N3021='112'!$I$6,$O3021='112'!$I$6))),"x",""))</f>
        <v/>
      </c>
      <c r="U3021" s="75" t="str">
        <f>IF(ISERROR(FIND('112'!$M$9,G3021,1)),"",IF((AND(LEFT(G3021,2)=LEFT('112'!$M$9,2),B3021&lt;'112'!$K$9,$N3021='112'!$I$6)),"x",""))</f>
        <v/>
      </c>
      <c r="V3021" s="75" t="str">
        <f>IF(ISERROR(FIND('112'!$M$9,G3021,1)),"",IF((AND(RIGHT(G3021,2)=RIGHT('112'!$M$9,2),B3021&lt;'112'!$K$9,$O3021='112'!$I$6)),"x",""))</f>
        <v/>
      </c>
      <c r="W3021" s="75" t="str">
        <f>IF(AND('341-CT'!$H$9=H3021,OR(LEFT(N3021,3)=$W$7,LEFT(O3021,3)=$W$7)),"x","")</f>
        <v/>
      </c>
      <c r="X3021" s="75" t="str">
        <f>IF(OR(TH!N3021=TH!$X$7,O3021=TH!$X$7),"x","")</f>
        <v/>
      </c>
      <c r="Y3021" s="75" t="str">
        <f>IF(AND(OR(N3021="131",O3021="131"),H3021='131-CT'!$H$9),"x","")</f>
        <v/>
      </c>
      <c r="Z3021" s="75"/>
      <c r="AA3021" s="75" t="str">
        <f>IF(AND(MONTH(E3021)='IN-NX'!$J$5,'IN-NX'!$D$7=D3021),"x","")</f>
        <v/>
      </c>
      <c r="AB3021" s="75" t="str">
        <f>IF(AND(OR(LEFT(TH!N3021,2)="15",LEFT(TH!O3021,2)="15"),LEFT(TH!O3021,3)&lt;&gt;"111",'152-CT'!$J$8=TH!F3021),"x","")</f>
        <v/>
      </c>
      <c r="AC3021" s="75" t="str">
        <f>IF(AND(OR(LEFT(TH!N3021,2)="15",LEFT(TH!O3021,2)="15"),TK!$E$7=TH!F3021),"x","")</f>
        <v/>
      </c>
      <c r="AD3021" s="75" t="str">
        <f>IF(AND(N3021="1521",MONTH(C3021)='BK-NL'!$M$11),"x","")</f>
        <v/>
      </c>
    </row>
    <row r="3022" spans="1:30" s="1264" customFormat="1" ht="16.5" customHeight="1">
      <c r="A3022" s="309" t="str">
        <f>IF(B3022&lt;&gt;"",IF(AND(B3022='IN-TC'!$S$4,OR(TH!N3022="1111",TH!O3022="1111")),TH!D3022,""),"")</f>
        <v/>
      </c>
      <c r="B3022" s="1279">
        <f t="shared" ref="B3022" si="1094">IF(C3022&lt;&gt;"",MONTH(C3022),"")</f>
        <v>8</v>
      </c>
      <c r="C3022" s="71">
        <v>42954</v>
      </c>
      <c r="D3022" s="71" t="s">
        <v>530</v>
      </c>
      <c r="E3022" s="71">
        <f t="shared" ref="E3022" si="1095">C3022</f>
        <v>42954</v>
      </c>
      <c r="F3022" s="1240" t="s">
        <v>1010</v>
      </c>
      <c r="G3022" s="72" t="s">
        <v>747</v>
      </c>
      <c r="H3022" s="73" t="s">
        <v>759</v>
      </c>
      <c r="I3022" s="73"/>
      <c r="J3022" s="1218"/>
      <c r="K3022" s="1213"/>
      <c r="L3022" s="377"/>
      <c r="M3022" s="933">
        <v>12588030</v>
      </c>
      <c r="N3022" s="75" t="s">
        <v>536</v>
      </c>
      <c r="O3022" s="75" t="s">
        <v>43</v>
      </c>
      <c r="P3022" s="75" t="str">
        <f>IF(AND('331-CT'!$E$7=TH!H3022,OR(N3022="331",O3022="331")),"x","")</f>
        <v/>
      </c>
      <c r="Q3022" s="75" t="str">
        <f>IF(AND(B3022='111'!$L$11,OR($N3022=$Q$7,$O3022=$Q$7)),"x","")</f>
        <v/>
      </c>
      <c r="R3022" s="75" t="str">
        <f>IF(AND($N3022=$Q$7,$B3022&lt;'111'!$L$11),"x","")</f>
        <v/>
      </c>
      <c r="S3022" s="75" t="str">
        <f>IF(AND($O3022=$Q$7,$B3022&lt;'111'!$L$11),"x","")</f>
        <v/>
      </c>
      <c r="T3022" s="75" t="str">
        <f>IF(ISERROR(FIND('112'!$M$9,G3022,1)),"",IF((AND(FIND('112'!$M$9,G3022,1)&gt;=1,B3022='112'!$K$9,OR($N3022='112'!$I$6,$O3022='112'!$I$6))),"x",""))</f>
        <v/>
      </c>
      <c r="U3022" s="75" t="str">
        <f>IF(ISERROR(FIND('112'!$M$9,G3022,1)),"",IF((AND(LEFT(G3022,2)=LEFT('112'!$M$9,2),B3022&lt;'112'!$K$9,$N3022='112'!$I$6)),"x",""))</f>
        <v/>
      </c>
      <c r="V3022" s="75" t="str">
        <f>IF(ISERROR(FIND('112'!$M$9,G3022,1)),"",IF((AND(RIGHT(G3022,2)=RIGHT('112'!$M$9,2),B3022&lt;'112'!$K$9,$O3022='112'!$I$6)),"x",""))</f>
        <v/>
      </c>
      <c r="W3022" s="75" t="str">
        <f>IF(AND('341-CT'!$H$9=H3022,OR(LEFT(N3022,3)=$W$7,LEFT(O3022,3)=$W$7)),"x","")</f>
        <v/>
      </c>
      <c r="X3022" s="75" t="str">
        <f>IF(OR(TH!N3022=TH!$X$7,O3022=TH!$X$7),"x","")</f>
        <v/>
      </c>
      <c r="Y3022" s="75" t="str">
        <f>IF(AND(OR(N3022="131",O3022="131"),H3022='131-CT'!$H$9),"x","")</f>
        <v/>
      </c>
      <c r="Z3022" s="75"/>
      <c r="AA3022" s="75" t="str">
        <f>IF(AND(MONTH(E3022)='IN-NX'!$J$5,'IN-NX'!$D$7=D3022),"x","")</f>
        <v/>
      </c>
      <c r="AB3022" s="75" t="str">
        <f>IF(AND(OR(LEFT(TH!N3022,2)="15",LEFT(TH!O3022,2)="15"),LEFT(TH!O3022,3)&lt;&gt;"111",'152-CT'!$J$8=TH!F3022),"x","")</f>
        <v/>
      </c>
      <c r="AC3022" s="75" t="str">
        <f>IF(AND(OR(LEFT(TH!N3022,2)="15",LEFT(TH!O3022,2)="15"),TK!$E$7=TH!F3022),"x","")</f>
        <v/>
      </c>
      <c r="AD3022" s="75" t="str">
        <f>IF(AND(N3022="1521",MONTH(C3022)='BK-NL'!$M$11),"x","")</f>
        <v/>
      </c>
    </row>
    <row r="3023" spans="1:30" s="1264" customFormat="1" ht="16.5" customHeight="1">
      <c r="A3023" s="309" t="str">
        <f>IF(B3023&lt;&gt;"",IF(AND(B3023='IN-TC'!$S$4,OR(TH!N3023="1111",TH!O3023="1111")),TH!D3023,""),"")</f>
        <v/>
      </c>
      <c r="B3023" s="1279">
        <f t="shared" si="1075"/>
        <v>8</v>
      </c>
      <c r="C3023" s="71">
        <v>42954</v>
      </c>
      <c r="D3023" s="71" t="s">
        <v>902</v>
      </c>
      <c r="E3023" s="71">
        <f t="shared" si="1084"/>
        <v>42954</v>
      </c>
      <c r="F3023" s="72" t="s">
        <v>1096</v>
      </c>
      <c r="G3023" s="72" t="s">
        <v>747</v>
      </c>
      <c r="H3023" s="73" t="s">
        <v>1081</v>
      </c>
      <c r="I3023" s="73"/>
      <c r="J3023" s="378"/>
      <c r="K3023" s="371">
        <v>84</v>
      </c>
      <c r="L3023" s="377">
        <v>22695</v>
      </c>
      <c r="M3023" s="74">
        <f t="shared" ref="M3023" si="1096">ROUND(K3023*L3023,0)</f>
        <v>1906380</v>
      </c>
      <c r="N3023" s="75" t="s">
        <v>99</v>
      </c>
      <c r="O3023" s="934" t="s">
        <v>256</v>
      </c>
      <c r="P3023" s="75" t="str">
        <f>IF(AND('331-CT'!$E$7=TH!H3023,OR(N3023="331",O3023="331")),"x","")</f>
        <v/>
      </c>
      <c r="Q3023" s="75" t="str">
        <f>IF(AND(B3023='111'!$L$11,OR($N3023=$Q$7,$O3023=$Q$7)),"x","")</f>
        <v/>
      </c>
      <c r="R3023" s="75" t="str">
        <f>IF(AND($N3023=$Q$7,$B3023&lt;'111'!$L$11),"x","")</f>
        <v/>
      </c>
      <c r="S3023" s="75" t="str">
        <f>IF(AND($O3023=$Q$7,$B3023&lt;'111'!$L$11),"x","")</f>
        <v/>
      </c>
      <c r="T3023" s="75" t="str">
        <f>IF(ISERROR(FIND('112'!$M$9,G3023,1)),"",IF((AND(FIND('112'!$M$9,G3023,1)&gt;=1,B3023='112'!$K$9,OR($N3023='112'!$I$6,$O3023='112'!$I$6))),"x",""))</f>
        <v/>
      </c>
      <c r="U3023" s="75" t="str">
        <f>IF(ISERROR(FIND('112'!$M$9,G3023,1)),"",IF((AND(LEFT(G3023,2)=LEFT('112'!$M$9,2),B3023&lt;'112'!$K$9,$N3023='112'!$I$6)),"x",""))</f>
        <v/>
      </c>
      <c r="V3023" s="75" t="str">
        <f>IF(ISERROR(FIND('112'!$M$9,G3023,1)),"",IF((AND(RIGHT(G3023,2)=RIGHT('112'!$M$9,2),B3023&lt;'112'!$K$9,$O3023='112'!$I$6)),"x",""))</f>
        <v/>
      </c>
      <c r="W3023" s="75" t="str">
        <f>IF(AND('341-CT'!$H$9=H3023,OR(LEFT(N3023,3)=$W$7,LEFT(O3023,3)=$W$7)),"x","")</f>
        <v/>
      </c>
      <c r="X3023" s="75" t="str">
        <f>IF(OR(TH!N3023=TH!$X$7,O3023=TH!$X$7),"x","")</f>
        <v/>
      </c>
      <c r="Y3023" s="75" t="str">
        <f>IF(AND(OR(N3023="131",O3023="131"),H3023='131-CT'!$H$9),"x","")</f>
        <v/>
      </c>
      <c r="Z3023" s="75"/>
      <c r="AA3023" s="75" t="str">
        <f>IF(AND(MONTH(E3023)='IN-NX'!$J$5,'IN-NX'!$D$7=D3023),"x","")</f>
        <v/>
      </c>
      <c r="AB3023" s="75" t="str">
        <f>IF(AND(OR(LEFT(TH!N3023,2)="15",LEFT(TH!O3023,2)="15"),LEFT(TH!O3023,3)&lt;&gt;"111",'152-CT'!$J$8=TH!F3023),"x","")</f>
        <v/>
      </c>
      <c r="AC3023" s="75" t="str">
        <f>IF(AND(OR(LEFT(TH!N3023,2)="15",LEFT(TH!O3023,2)="15"),TK!$E$7=TH!F3023),"x","")</f>
        <v/>
      </c>
      <c r="AD3023" s="75" t="str">
        <f>IF(AND(N3023="1521",MONTH(C3023)='BK-NL'!$M$11),"x","")</f>
        <v/>
      </c>
    </row>
    <row r="3024" spans="1:30" s="1264" customFormat="1" ht="16.5" customHeight="1">
      <c r="A3024" s="309" t="str">
        <f>IF(B3024&lt;&gt;"",IF(AND(B3024='IN-TC'!$S$4,OR(TH!N3024="1111",TH!O3024="1111")),TH!D3024,""),"")</f>
        <v/>
      </c>
      <c r="B3024" s="1279">
        <f t="shared" si="1075"/>
        <v>8</v>
      </c>
      <c r="C3024" s="71">
        <v>42954</v>
      </c>
      <c r="D3024" s="71" t="s">
        <v>902</v>
      </c>
      <c r="E3024" s="71">
        <f t="shared" si="1084"/>
        <v>42954</v>
      </c>
      <c r="F3024" s="72" t="s">
        <v>1321</v>
      </c>
      <c r="G3024" s="72" t="s">
        <v>747</v>
      </c>
      <c r="H3024" s="73" t="s">
        <v>1081</v>
      </c>
      <c r="I3024" s="73"/>
      <c r="J3024" s="378"/>
      <c r="K3024" s="371">
        <v>63000</v>
      </c>
      <c r="L3024" s="377">
        <v>22695</v>
      </c>
      <c r="M3024" s="74">
        <f t="shared" ref="M3024:M3025" si="1097">ROUND(K3024*L3024,0)</f>
        <v>1429785000</v>
      </c>
      <c r="N3024" s="75" t="s">
        <v>250</v>
      </c>
      <c r="O3024" s="934" t="s">
        <v>256</v>
      </c>
      <c r="P3024" s="75" t="str">
        <f>IF(AND('331-CT'!$E$7=TH!H3024,OR(N3024="331",O3024="331")),"x","")</f>
        <v/>
      </c>
      <c r="Q3024" s="75" t="str">
        <f>IF(AND(B3024='111'!$L$11,OR($N3024=$Q$7,$O3024=$Q$7)),"x","")</f>
        <v/>
      </c>
      <c r="R3024" s="75" t="str">
        <f>IF(AND($N3024=$Q$7,$B3024&lt;'111'!$L$11),"x","")</f>
        <v/>
      </c>
      <c r="S3024" s="75" t="str">
        <f>IF(AND($O3024=$Q$7,$B3024&lt;'111'!$L$11),"x","")</f>
        <v/>
      </c>
      <c r="T3024" s="75" t="str">
        <f>IF(ISERROR(FIND('112'!$M$9,G3024,1)),"",IF((AND(FIND('112'!$M$9,G3024,1)&gt;=1,B3024='112'!$K$9,OR($N3024='112'!$I$6,$O3024='112'!$I$6))),"x",""))</f>
        <v/>
      </c>
      <c r="U3024" s="75" t="str">
        <f>IF(ISERROR(FIND('112'!$M$9,G3024,1)),"",IF((AND(LEFT(G3024,2)=LEFT('112'!$M$9,2),B3024&lt;'112'!$K$9,$N3024='112'!$I$6)),"x",""))</f>
        <v/>
      </c>
      <c r="V3024" s="75" t="str">
        <f>IF(ISERROR(FIND('112'!$M$9,G3024,1)),"",IF((AND(RIGHT(G3024,2)=RIGHT('112'!$M$9,2),B3024&lt;'112'!$K$9,$O3024='112'!$I$6)),"x",""))</f>
        <v/>
      </c>
      <c r="W3024" s="75" t="str">
        <f>IF(AND('341-CT'!$H$9=H3024,OR(LEFT(N3024,3)=$W$7,LEFT(O3024,3)=$W$7)),"x","")</f>
        <v/>
      </c>
      <c r="X3024" s="75" t="str">
        <f>IF(OR(TH!N3024=TH!$X$7,O3024=TH!$X$7),"x","")</f>
        <v/>
      </c>
      <c r="Y3024" s="75" t="str">
        <f>IF(AND(OR(N3024="131",O3024="131"),H3024='131-CT'!$H$9),"x","")</f>
        <v/>
      </c>
      <c r="Z3024" s="75"/>
      <c r="AA3024" s="75" t="str">
        <f>IF(AND(MONTH(E3024)='IN-NX'!$J$5,'IN-NX'!$D$7=D3024),"x","")</f>
        <v/>
      </c>
      <c r="AB3024" s="75" t="str">
        <f>IF(AND(OR(LEFT(TH!N3024,2)="15",LEFT(TH!O3024,2)="15"),LEFT(TH!O3024,3)&lt;&gt;"111",'152-CT'!$J$8=TH!F3024),"x","")</f>
        <v/>
      </c>
      <c r="AC3024" s="75" t="str">
        <f>IF(AND(OR(LEFT(TH!N3024,2)="15",LEFT(TH!O3024,2)="15"),TK!$E$7=TH!F3024),"x","")</f>
        <v/>
      </c>
      <c r="AD3024" s="75" t="str">
        <f>IF(AND(N3024="1521",MONTH(C3024)='BK-NL'!$M$11),"x","")</f>
        <v/>
      </c>
    </row>
    <row r="3025" spans="1:30" s="1264" customFormat="1" ht="16.5" customHeight="1">
      <c r="A3025" s="309" t="str">
        <f>IF(B3025&lt;&gt;"",IF(AND(B3025='IN-TC'!$S$4,OR(TH!N3025="1111",TH!O3025="1111")),TH!D3025,""),"")</f>
        <v/>
      </c>
      <c r="B3025" s="1279">
        <f t="shared" si="1075"/>
        <v>8</v>
      </c>
      <c r="C3025" s="71">
        <v>42955</v>
      </c>
      <c r="D3025" s="71" t="s">
        <v>903</v>
      </c>
      <c r="E3025" s="71">
        <f t="shared" si="1084"/>
        <v>42955</v>
      </c>
      <c r="F3025" s="72" t="s">
        <v>1086</v>
      </c>
      <c r="G3025" s="72" t="s">
        <v>747</v>
      </c>
      <c r="H3025" s="735" t="s">
        <v>1642</v>
      </c>
      <c r="I3025" s="73"/>
      <c r="J3025" s="378"/>
      <c r="K3025" s="371">
        <v>31685</v>
      </c>
      <c r="L3025" s="377">
        <v>22695</v>
      </c>
      <c r="M3025" s="1214">
        <f t="shared" si="1097"/>
        <v>719091075</v>
      </c>
      <c r="N3025" s="75" t="s">
        <v>256</v>
      </c>
      <c r="O3025" s="75" t="s">
        <v>536</v>
      </c>
      <c r="P3025" s="75" t="str">
        <f>IF(AND('331-CT'!$E$7=TH!H3025,OR(N3025="331",O3025="331")),"x","")</f>
        <v/>
      </c>
      <c r="Q3025" s="75" t="str">
        <f>IF(AND(B3025='111'!$L$11,OR($N3025=$Q$7,$O3025=$Q$7)),"x","")</f>
        <v/>
      </c>
      <c r="R3025" s="75" t="str">
        <f>IF(AND($N3025=$Q$7,$B3025&lt;'111'!$L$11),"x","")</f>
        <v/>
      </c>
      <c r="S3025" s="75" t="str">
        <f>IF(AND($O3025=$Q$7,$B3025&lt;'111'!$L$11),"x","")</f>
        <v/>
      </c>
      <c r="T3025" s="75" t="str">
        <f>IF(ISERROR(FIND('112'!$M$9,G3025,1)),"",IF((AND(FIND('112'!$M$9,G3025,1)&gt;=1,B3025='112'!$K$9,OR($N3025='112'!$I$6,$O3025='112'!$I$6))),"x",""))</f>
        <v/>
      </c>
      <c r="U3025" s="75" t="str">
        <f>IF(ISERROR(FIND('112'!$M$9,G3025,1)),"",IF((AND(LEFT(G3025,2)=LEFT('112'!$M$9,2),B3025&lt;'112'!$K$9,$N3025='112'!$I$6)),"x",""))</f>
        <v/>
      </c>
      <c r="V3025" s="75" t="str">
        <f>IF(ISERROR(FIND('112'!$M$9,G3025,1)),"",IF((AND(RIGHT(G3025,2)=RIGHT('112'!$M$9,2),B3025&lt;'112'!$K$9,$O3025='112'!$I$6)),"x",""))</f>
        <v/>
      </c>
      <c r="W3025" s="75" t="str">
        <f>IF(AND('341-CT'!$H$9=H3025,OR(LEFT(N3025,3)=$W$7,LEFT(O3025,3)=$W$7)),"x","")</f>
        <v/>
      </c>
      <c r="X3025" s="75" t="str">
        <f>IF(OR(TH!N3025=TH!$X$7,O3025=TH!$X$7),"x","")</f>
        <v/>
      </c>
      <c r="Y3025" s="75" t="str">
        <f>IF(AND(OR(N3025="131",O3025="131"),H3025='131-CT'!$H$9),"x","")</f>
        <v/>
      </c>
      <c r="Z3025" s="75"/>
      <c r="AA3025" s="75" t="str">
        <f>IF(AND(MONTH(E3025)='IN-NX'!$J$5,'IN-NX'!$D$7=D3025),"x","")</f>
        <v/>
      </c>
      <c r="AB3025" s="75" t="str">
        <f>IF(AND(OR(LEFT(TH!N3025,2)="15",LEFT(TH!O3025,2)="15"),LEFT(TH!O3025,3)&lt;&gt;"111",'152-CT'!$J$8=TH!F3025),"x","")</f>
        <v/>
      </c>
      <c r="AC3025" s="75" t="str">
        <f>IF(AND(OR(LEFT(TH!N3025,2)="15",LEFT(TH!O3025,2)="15"),TK!$E$7=TH!F3025),"x","")</f>
        <v/>
      </c>
      <c r="AD3025" s="75" t="str">
        <f>IF(AND(N3025="1521",MONTH(C3025)='BK-NL'!$M$11),"x","")</f>
        <v/>
      </c>
    </row>
    <row r="3026" spans="1:30" s="1264" customFormat="1" ht="16.5" customHeight="1">
      <c r="A3026" s="309" t="str">
        <f>IF(B3026&lt;&gt;"",IF(AND(B3026='IN-TC'!$S$4,OR(TH!N3026="1111",TH!O3026="1111")),TH!D3026,""),"")</f>
        <v/>
      </c>
      <c r="B3026" s="1279">
        <f t="shared" si="1075"/>
        <v>8</v>
      </c>
      <c r="C3026" s="71">
        <v>42955</v>
      </c>
      <c r="D3026" s="71" t="s">
        <v>530</v>
      </c>
      <c r="E3026" s="71">
        <f t="shared" si="1084"/>
        <v>42955</v>
      </c>
      <c r="F3026" s="72" t="s">
        <v>1027</v>
      </c>
      <c r="G3026" s="72" t="s">
        <v>747</v>
      </c>
      <c r="H3026" s="735" t="s">
        <v>1642</v>
      </c>
      <c r="I3026" s="73"/>
      <c r="J3026" s="378"/>
      <c r="K3026" s="371">
        <v>115</v>
      </c>
      <c r="L3026" s="377">
        <v>22695</v>
      </c>
      <c r="M3026" s="933">
        <f t="shared" si="1085"/>
        <v>2609925</v>
      </c>
      <c r="N3026" s="75" t="s">
        <v>101</v>
      </c>
      <c r="O3026" s="75" t="s">
        <v>536</v>
      </c>
      <c r="P3026" s="75" t="str">
        <f>IF(AND('331-CT'!$E$7=TH!H3026,OR(N3026="331",O3026="331")),"x","")</f>
        <v/>
      </c>
      <c r="Q3026" s="75" t="str">
        <f>IF(AND(B3026='111'!$L$11,OR($N3026=$Q$7,$O3026=$Q$7)),"x","")</f>
        <v/>
      </c>
      <c r="R3026" s="75" t="str">
        <f>IF(AND($N3026=$Q$7,$B3026&lt;'111'!$L$11),"x","")</f>
        <v/>
      </c>
      <c r="S3026" s="75" t="str">
        <f>IF(AND($O3026=$Q$7,$B3026&lt;'111'!$L$11),"x","")</f>
        <v/>
      </c>
      <c r="T3026" s="75" t="str">
        <f>IF(ISERROR(FIND('112'!$M$9,G3026,1)),"",IF((AND(FIND('112'!$M$9,G3026,1)&gt;=1,B3026='112'!$K$9,OR($N3026='112'!$I$6,$O3026='112'!$I$6))),"x",""))</f>
        <v/>
      </c>
      <c r="U3026" s="75" t="str">
        <f>IF(ISERROR(FIND('112'!$M$9,G3026,1)),"",IF((AND(LEFT(G3026,2)=LEFT('112'!$M$9,2),B3026&lt;'112'!$K$9,$N3026='112'!$I$6)),"x",""))</f>
        <v/>
      </c>
      <c r="V3026" s="75" t="str">
        <f>IF(ISERROR(FIND('112'!$M$9,G3026,1)),"",IF((AND(RIGHT(G3026,2)=RIGHT('112'!$M$9,2),B3026&lt;'112'!$K$9,$O3026='112'!$I$6)),"x",""))</f>
        <v/>
      </c>
      <c r="W3026" s="75" t="str">
        <f>IF(AND('341-CT'!$H$9=H3026,OR(LEFT(N3026,3)=$W$7,LEFT(O3026,3)=$W$7)),"x","")</f>
        <v/>
      </c>
      <c r="X3026" s="75" t="str">
        <f>IF(OR(TH!N3026=TH!$X$7,O3026=TH!$X$7),"x","")</f>
        <v/>
      </c>
      <c r="Y3026" s="75" t="str">
        <f>IF(AND(OR(N3026="131",O3026="131"),H3026='131-CT'!$H$9),"x","")</f>
        <v/>
      </c>
      <c r="Z3026" s="75"/>
      <c r="AA3026" s="75" t="str">
        <f>IF(AND(MONTH(E3026)='IN-NX'!$J$5,'IN-NX'!$D$7=D3026),"x","")</f>
        <v/>
      </c>
      <c r="AB3026" s="75" t="str">
        <f>IF(AND(OR(LEFT(TH!N3026,2)="15",LEFT(TH!O3026,2)="15"),LEFT(TH!O3026,3)&lt;&gt;"111",'152-CT'!$J$8=TH!F3026),"x","")</f>
        <v/>
      </c>
      <c r="AC3026" s="75" t="str">
        <f>IF(AND(OR(LEFT(TH!N3026,2)="15",LEFT(TH!O3026,2)="15"),TK!$E$7=TH!F3026),"x","")</f>
        <v/>
      </c>
      <c r="AD3026" s="75" t="str">
        <f>IF(AND(N3026="1521",MONTH(C3026)='BK-NL'!$M$11),"x","")</f>
        <v/>
      </c>
    </row>
    <row r="3027" spans="1:30" s="1264" customFormat="1" ht="16.5" customHeight="1">
      <c r="A3027" s="309" t="str">
        <f>IF(B3027&lt;&gt;"",IF(AND(B3027='IN-TC'!$S$4,OR(TH!N3027="1111",TH!O3027="1111")),TH!D3027,""),"")</f>
        <v/>
      </c>
      <c r="B3027" s="1279">
        <f t="shared" si="1075"/>
        <v>8</v>
      </c>
      <c r="C3027" s="71">
        <v>42955</v>
      </c>
      <c r="D3027" s="71" t="s">
        <v>530</v>
      </c>
      <c r="E3027" s="71">
        <f t="shared" si="1084"/>
        <v>42955</v>
      </c>
      <c r="F3027" s="72" t="s">
        <v>1010</v>
      </c>
      <c r="G3027" s="72" t="s">
        <v>747</v>
      </c>
      <c r="H3027" s="735" t="s">
        <v>1642</v>
      </c>
      <c r="I3027" s="73"/>
      <c r="J3027" s="378"/>
      <c r="K3027" s="371"/>
      <c r="L3027" s="377"/>
      <c r="M3027" s="74">
        <v>159000</v>
      </c>
      <c r="N3027" s="75" t="s">
        <v>101</v>
      </c>
      <c r="O3027" s="75" t="s">
        <v>536</v>
      </c>
      <c r="P3027" s="75" t="str">
        <f>IF(AND('331-CT'!$E$7=TH!H3027,OR(N3027="331",O3027="331")),"x","")</f>
        <v/>
      </c>
      <c r="Q3027" s="75" t="str">
        <f>IF(AND(B3027='111'!$L$11,OR($N3027=$Q$7,$O3027=$Q$7)),"x","")</f>
        <v/>
      </c>
      <c r="R3027" s="75" t="str">
        <f>IF(AND($N3027=$Q$7,$B3027&lt;'111'!$L$11),"x","")</f>
        <v/>
      </c>
      <c r="S3027" s="75" t="str">
        <f>IF(AND($O3027=$Q$7,$B3027&lt;'111'!$L$11),"x","")</f>
        <v/>
      </c>
      <c r="T3027" s="75" t="str">
        <f>IF(ISERROR(FIND('112'!$M$9,G3027,1)),"",IF((AND(FIND('112'!$M$9,G3027,1)&gt;=1,B3027='112'!$K$9,OR($N3027='112'!$I$6,$O3027='112'!$I$6))),"x",""))</f>
        <v/>
      </c>
      <c r="U3027" s="75" t="str">
        <f>IF(ISERROR(FIND('112'!$M$9,G3027,1)),"",IF((AND(LEFT(G3027,2)=LEFT('112'!$M$9,2),B3027&lt;'112'!$K$9,$N3027='112'!$I$6)),"x",""))</f>
        <v/>
      </c>
      <c r="V3027" s="75" t="str">
        <f>IF(ISERROR(FIND('112'!$M$9,G3027,1)),"",IF((AND(RIGHT(G3027,2)=RIGHT('112'!$M$9,2),B3027&lt;'112'!$K$9,$O3027='112'!$I$6)),"x",""))</f>
        <v/>
      </c>
      <c r="W3027" s="75" t="str">
        <f>IF(AND('341-CT'!$H$9=H3027,OR(LEFT(N3027,3)=$W$7,LEFT(O3027,3)=$W$7)),"x","")</f>
        <v/>
      </c>
      <c r="X3027" s="75" t="str">
        <f>IF(OR(TH!N3027=TH!$X$7,O3027=TH!$X$7),"x","")</f>
        <v/>
      </c>
      <c r="Y3027" s="75" t="str">
        <f>IF(AND(OR(N3027="131",O3027="131"),H3027='131-CT'!$H$9),"x","")</f>
        <v/>
      </c>
      <c r="Z3027" s="75"/>
      <c r="AA3027" s="75" t="str">
        <f>IF(AND(MONTH(E3027)='IN-NX'!$J$5,'IN-NX'!$D$7=D3027),"x","")</f>
        <v/>
      </c>
      <c r="AB3027" s="75" t="str">
        <f>IF(AND(OR(LEFT(TH!N3027,2)="15",LEFT(TH!O3027,2)="15"),LEFT(TH!O3027,3)&lt;&gt;"111",'152-CT'!$J$8=TH!F3027),"x","")</f>
        <v/>
      </c>
      <c r="AC3027" s="75" t="str">
        <f>IF(AND(OR(LEFT(TH!N3027,2)="15",LEFT(TH!O3027,2)="15"),TK!$E$7=TH!F3027),"x","")</f>
        <v/>
      </c>
      <c r="AD3027" s="75" t="str">
        <f>IF(AND(N3027="1521",MONTH(C3027)='BK-NL'!$M$11),"x","")</f>
        <v/>
      </c>
    </row>
    <row r="3028" spans="1:30" s="1264" customFormat="1" ht="16.5" customHeight="1">
      <c r="A3028" s="309" t="str">
        <f>IF(B3028&lt;&gt;"",IF(AND(B3028='IN-TC'!$S$4,OR(TH!N3028="1111",TH!O3028="1111")),TH!D3028,""),"")</f>
        <v/>
      </c>
      <c r="B3028" s="1279">
        <f t="shared" si="1075"/>
        <v>8</v>
      </c>
      <c r="C3028" s="71">
        <v>42955</v>
      </c>
      <c r="D3028" s="71" t="s">
        <v>902</v>
      </c>
      <c r="E3028" s="71">
        <f t="shared" si="1084"/>
        <v>42955</v>
      </c>
      <c r="F3028" s="72" t="s">
        <v>1096</v>
      </c>
      <c r="G3028" s="72" t="s">
        <v>747</v>
      </c>
      <c r="H3028" s="73" t="s">
        <v>2457</v>
      </c>
      <c r="I3028" s="73"/>
      <c r="J3028" s="378"/>
      <c r="K3028" s="371">
        <v>32.299999999999997</v>
      </c>
      <c r="L3028" s="377">
        <v>22695</v>
      </c>
      <c r="M3028" s="74">
        <f t="shared" ref="M3028" si="1098">ROUND(K3028*L3028,0)</f>
        <v>733049</v>
      </c>
      <c r="N3028" s="75" t="s">
        <v>99</v>
      </c>
      <c r="O3028" s="934" t="s">
        <v>256</v>
      </c>
      <c r="P3028" s="75" t="str">
        <f>IF(AND('331-CT'!$E$7=TH!H3028,OR(N3028="331",O3028="331")),"x","")</f>
        <v/>
      </c>
      <c r="Q3028" s="75" t="str">
        <f>IF(AND(B3028='111'!$L$11,OR($N3028=$Q$7,$O3028=$Q$7)),"x","")</f>
        <v/>
      </c>
      <c r="R3028" s="75" t="str">
        <f>IF(AND($N3028=$Q$7,$B3028&lt;'111'!$L$11),"x","")</f>
        <v/>
      </c>
      <c r="S3028" s="75" t="str">
        <f>IF(AND($O3028=$Q$7,$B3028&lt;'111'!$L$11),"x","")</f>
        <v/>
      </c>
      <c r="T3028" s="75" t="str">
        <f>IF(ISERROR(FIND('112'!$M$9,G3028,1)),"",IF((AND(FIND('112'!$M$9,G3028,1)&gt;=1,B3028='112'!$K$9,OR($N3028='112'!$I$6,$O3028='112'!$I$6))),"x",""))</f>
        <v/>
      </c>
      <c r="U3028" s="75" t="str">
        <f>IF(ISERROR(FIND('112'!$M$9,G3028,1)),"",IF((AND(LEFT(G3028,2)=LEFT('112'!$M$9,2),B3028&lt;'112'!$K$9,$N3028='112'!$I$6)),"x",""))</f>
        <v/>
      </c>
      <c r="V3028" s="75" t="str">
        <f>IF(ISERROR(FIND('112'!$M$9,G3028,1)),"",IF((AND(RIGHT(G3028,2)=RIGHT('112'!$M$9,2),B3028&lt;'112'!$K$9,$O3028='112'!$I$6)),"x",""))</f>
        <v/>
      </c>
      <c r="W3028" s="75" t="str">
        <f>IF(AND('341-CT'!$H$9=H3028,OR(LEFT(N3028,3)=$W$7,LEFT(O3028,3)=$W$7)),"x","")</f>
        <v/>
      </c>
      <c r="X3028" s="75" t="str">
        <f>IF(OR(TH!N3028=TH!$X$7,O3028=TH!$X$7),"x","")</f>
        <v/>
      </c>
      <c r="Y3028" s="75" t="str">
        <f>IF(AND(OR(N3028="131",O3028="131"),H3028='131-CT'!$H$9),"x","")</f>
        <v/>
      </c>
      <c r="Z3028" s="75"/>
      <c r="AA3028" s="75" t="str">
        <f>IF(AND(MONTH(E3028)='IN-NX'!$J$5,'IN-NX'!$D$7=D3028),"x","")</f>
        <v/>
      </c>
      <c r="AB3028" s="75" t="str">
        <f>IF(AND(OR(LEFT(TH!N3028,2)="15",LEFT(TH!O3028,2)="15"),LEFT(TH!O3028,3)&lt;&gt;"111",'152-CT'!$J$8=TH!F3028),"x","")</f>
        <v/>
      </c>
      <c r="AC3028" s="75" t="str">
        <f>IF(AND(OR(LEFT(TH!N3028,2)="15",LEFT(TH!O3028,2)="15"),TK!$E$7=TH!F3028),"x","")</f>
        <v/>
      </c>
      <c r="AD3028" s="75" t="str">
        <f>IF(AND(N3028="1521",MONTH(C3028)='BK-NL'!$M$11),"x","")</f>
        <v/>
      </c>
    </row>
    <row r="3029" spans="1:30" s="1264" customFormat="1" ht="16.5" customHeight="1">
      <c r="A3029" s="309" t="str">
        <f>IF(B3029&lt;&gt;"",IF(AND(B3029='IN-TC'!$S$4,OR(TH!N3029="1111",TH!O3029="1111")),TH!D3029,""),"")</f>
        <v/>
      </c>
      <c r="B3029" s="1279">
        <f t="shared" si="1075"/>
        <v>8</v>
      </c>
      <c r="C3029" s="71">
        <v>42955</v>
      </c>
      <c r="D3029" s="71" t="s">
        <v>902</v>
      </c>
      <c r="E3029" s="71">
        <f t="shared" si="1084"/>
        <v>42955</v>
      </c>
      <c r="F3029" s="72" t="s">
        <v>1321</v>
      </c>
      <c r="G3029" s="72" t="s">
        <v>747</v>
      </c>
      <c r="H3029" s="73" t="s">
        <v>2457</v>
      </c>
      <c r="I3029" s="73"/>
      <c r="J3029" s="378"/>
      <c r="K3029" s="371">
        <v>30200</v>
      </c>
      <c r="L3029" s="377">
        <v>22695</v>
      </c>
      <c r="M3029" s="74">
        <f t="shared" ref="M3029" si="1099">ROUND(K3029*L3029,0)</f>
        <v>685389000</v>
      </c>
      <c r="N3029" s="75" t="s">
        <v>250</v>
      </c>
      <c r="O3029" s="934" t="s">
        <v>256</v>
      </c>
      <c r="P3029" s="75" t="str">
        <f>IF(AND('331-CT'!$E$7=TH!H3029,OR(N3029="331",O3029="331")),"x","")</f>
        <v/>
      </c>
      <c r="Q3029" s="75" t="str">
        <f>IF(AND(B3029='111'!$L$11,OR($N3029=$Q$7,$O3029=$Q$7)),"x","")</f>
        <v/>
      </c>
      <c r="R3029" s="75" t="str">
        <f>IF(AND($N3029=$Q$7,$B3029&lt;'111'!$L$11),"x","")</f>
        <v/>
      </c>
      <c r="S3029" s="75" t="str">
        <f>IF(AND($O3029=$Q$7,$B3029&lt;'111'!$L$11),"x","")</f>
        <v/>
      </c>
      <c r="T3029" s="75" t="str">
        <f>IF(ISERROR(FIND('112'!$M$9,G3029,1)),"",IF((AND(FIND('112'!$M$9,G3029,1)&gt;=1,B3029='112'!$K$9,OR($N3029='112'!$I$6,$O3029='112'!$I$6))),"x",""))</f>
        <v/>
      </c>
      <c r="U3029" s="75" t="str">
        <f>IF(ISERROR(FIND('112'!$M$9,G3029,1)),"",IF((AND(LEFT(G3029,2)=LEFT('112'!$M$9,2),B3029&lt;'112'!$K$9,$N3029='112'!$I$6)),"x",""))</f>
        <v/>
      </c>
      <c r="V3029" s="75" t="str">
        <f>IF(ISERROR(FIND('112'!$M$9,G3029,1)),"",IF((AND(RIGHT(G3029,2)=RIGHT('112'!$M$9,2),B3029&lt;'112'!$K$9,$O3029='112'!$I$6)),"x",""))</f>
        <v/>
      </c>
      <c r="W3029" s="75" t="str">
        <f>IF(AND('341-CT'!$H$9=H3029,OR(LEFT(N3029,3)=$W$7,LEFT(O3029,3)=$W$7)),"x","")</f>
        <v/>
      </c>
      <c r="X3029" s="75" t="str">
        <f>IF(OR(TH!N3029=TH!$X$7,O3029=TH!$X$7),"x","")</f>
        <v/>
      </c>
      <c r="Y3029" s="75" t="str">
        <f>IF(AND(OR(N3029="131",O3029="131"),H3029='131-CT'!$H$9),"x","")</f>
        <v/>
      </c>
      <c r="Z3029" s="75"/>
      <c r="AA3029" s="75" t="str">
        <f>IF(AND(MONTH(E3029)='IN-NX'!$J$5,'IN-NX'!$D$7=D3029),"x","")</f>
        <v/>
      </c>
      <c r="AB3029" s="75" t="str">
        <f>IF(AND(OR(LEFT(TH!N3029,2)="15",LEFT(TH!O3029,2)="15"),LEFT(TH!O3029,3)&lt;&gt;"111",'152-CT'!$J$8=TH!F3029),"x","")</f>
        <v/>
      </c>
      <c r="AC3029" s="75" t="str">
        <f>IF(AND(OR(LEFT(TH!N3029,2)="15",LEFT(TH!O3029,2)="15"),TK!$E$7=TH!F3029),"x","")</f>
        <v/>
      </c>
      <c r="AD3029" s="75" t="str">
        <f>IF(AND(N3029="1521",MONTH(C3029)='BK-NL'!$M$11),"x","")</f>
        <v/>
      </c>
    </row>
    <row r="3030" spans="1:30" s="1264" customFormat="1" ht="16.5" customHeight="1">
      <c r="A3030" s="309" t="str">
        <f>IF(B3030&lt;&gt;"",IF(AND(B3030='IN-TC'!$S$4,OR(TH!N3030="1111",TH!O3030="1111")),TH!D3030,""),"")</f>
        <v/>
      </c>
      <c r="B3030" s="1279">
        <f t="shared" si="1075"/>
        <v>8</v>
      </c>
      <c r="C3030" s="71">
        <v>42955</v>
      </c>
      <c r="D3030" s="71" t="s">
        <v>530</v>
      </c>
      <c r="E3030" s="71">
        <f t="shared" si="1084"/>
        <v>42955</v>
      </c>
      <c r="F3030" s="72" t="s">
        <v>1010</v>
      </c>
      <c r="G3030" s="72" t="s">
        <v>747</v>
      </c>
      <c r="H3030" s="73" t="s">
        <v>2457</v>
      </c>
      <c r="I3030" s="73"/>
      <c r="J3030" s="378"/>
      <c r="K3030" s="371">
        <v>0</v>
      </c>
      <c r="L3030" s="377"/>
      <c r="M3030" s="74">
        <v>755000</v>
      </c>
      <c r="N3030" s="75" t="s">
        <v>250</v>
      </c>
      <c r="O3030" s="934" t="s">
        <v>43</v>
      </c>
      <c r="P3030" s="75" t="str">
        <f>IF(AND('331-CT'!$E$7=TH!H3030,OR(N3030="331",O3030="331")),"x","")</f>
        <v/>
      </c>
      <c r="Q3030" s="75" t="str">
        <f>IF(AND(B3030='111'!$L$11,OR($N3030=$Q$7,$O3030=$Q$7)),"x","")</f>
        <v/>
      </c>
      <c r="R3030" s="75" t="str">
        <f>IF(AND($N3030=$Q$7,$B3030&lt;'111'!$L$11),"x","")</f>
        <v/>
      </c>
      <c r="S3030" s="75" t="str">
        <f>IF(AND($O3030=$Q$7,$B3030&lt;'111'!$L$11),"x","")</f>
        <v/>
      </c>
      <c r="T3030" s="75" t="str">
        <f>IF(ISERROR(FIND('112'!$M$9,G3030,1)),"",IF((AND(FIND('112'!$M$9,G3030,1)&gt;=1,B3030='112'!$K$9,OR($N3030='112'!$I$6,$O3030='112'!$I$6))),"x",""))</f>
        <v/>
      </c>
      <c r="U3030" s="75" t="str">
        <f>IF(ISERROR(FIND('112'!$M$9,G3030,1)),"",IF((AND(LEFT(G3030,2)=LEFT('112'!$M$9,2),B3030&lt;'112'!$K$9,$N3030='112'!$I$6)),"x",""))</f>
        <v/>
      </c>
      <c r="V3030" s="75" t="str">
        <f>IF(ISERROR(FIND('112'!$M$9,G3030,1)),"",IF((AND(RIGHT(G3030,2)=RIGHT('112'!$M$9,2),B3030&lt;'112'!$K$9,$O3030='112'!$I$6)),"x",""))</f>
        <v/>
      </c>
      <c r="W3030" s="75" t="str">
        <f>IF(AND('341-CT'!$H$9=H3030,OR(LEFT(N3030,3)=$W$7,LEFT(O3030,3)=$W$7)),"x","")</f>
        <v/>
      </c>
      <c r="X3030" s="75" t="str">
        <f>IF(OR(TH!N3030=TH!$X$7,O3030=TH!$X$7),"x","")</f>
        <v/>
      </c>
      <c r="Y3030" s="75" t="str">
        <f>IF(AND(OR(N3030="131",O3030="131"),H3030='131-CT'!$H$9),"x","")</f>
        <v/>
      </c>
      <c r="Z3030" s="75"/>
      <c r="AA3030" s="75" t="str">
        <f>IF(AND(MONTH(E3030)='IN-NX'!$J$5,'IN-NX'!$D$7=D3030),"x","")</f>
        <v/>
      </c>
      <c r="AB3030" s="75" t="str">
        <f>IF(AND(OR(LEFT(TH!N3030,2)="15",LEFT(TH!O3030,2)="15"),LEFT(TH!O3030,3)&lt;&gt;"111",'152-CT'!$J$8=TH!F3030),"x","")</f>
        <v/>
      </c>
      <c r="AC3030" s="75" t="str">
        <f>IF(AND(OR(LEFT(TH!N3030,2)="15",LEFT(TH!O3030,2)="15"),TK!$E$7=TH!F3030),"x","")</f>
        <v/>
      </c>
      <c r="AD3030" s="75" t="str">
        <f>IF(AND(N3030="1521",MONTH(C3030)='BK-NL'!$M$11),"x","")</f>
        <v/>
      </c>
    </row>
    <row r="3031" spans="1:30" s="1264" customFormat="1" ht="16.5" customHeight="1">
      <c r="A3031" s="309" t="str">
        <f>IF(B3031&lt;&gt;"",IF(AND(B3031='IN-TC'!$S$4,OR(TH!N3031="1111",TH!O3031="1111")),TH!D3031,""),"")</f>
        <v/>
      </c>
      <c r="B3031" s="1279">
        <f t="shared" si="1075"/>
        <v>8</v>
      </c>
      <c r="C3031" s="71">
        <v>42954</v>
      </c>
      <c r="D3031" s="71" t="s">
        <v>902</v>
      </c>
      <c r="E3031" s="71">
        <f t="shared" si="1084"/>
        <v>42954</v>
      </c>
      <c r="F3031" s="72" t="s">
        <v>907</v>
      </c>
      <c r="G3031" s="72" t="s">
        <v>747</v>
      </c>
      <c r="H3031" s="73" t="s">
        <v>835</v>
      </c>
      <c r="I3031" s="73"/>
      <c r="J3031" s="378"/>
      <c r="K3031" s="371">
        <v>216000</v>
      </c>
      <c r="L3031" s="377">
        <v>22724</v>
      </c>
      <c r="M3031" s="74">
        <f>ROUND(K3031*L3031,0)</f>
        <v>4908384000</v>
      </c>
      <c r="N3031" s="75" t="s">
        <v>26</v>
      </c>
      <c r="O3031" s="934" t="s">
        <v>256</v>
      </c>
      <c r="P3031" s="75" t="str">
        <f>IF(AND('331-CT'!$E$7=TH!H3031,OR(N3031="331",O3031="331")),"x","")</f>
        <v/>
      </c>
      <c r="Q3031" s="75" t="str">
        <f>IF(AND(B3031='111'!$L$11,OR($N3031=$Q$7,$O3031=$Q$7)),"x","")</f>
        <v/>
      </c>
      <c r="R3031" s="75" t="str">
        <f>IF(AND($N3031=$Q$7,$B3031&lt;'111'!$L$11),"x","")</f>
        <v/>
      </c>
      <c r="S3031" s="75" t="str">
        <f>IF(AND($O3031=$Q$7,$B3031&lt;'111'!$L$11),"x","")</f>
        <v/>
      </c>
      <c r="T3031" s="75" t="str">
        <f>IF(ISERROR(FIND('112'!$M$9,G3031,1)),"",IF((AND(FIND('112'!$M$9,G3031,1)&gt;=1,B3031='112'!$K$9,OR($N3031='112'!$I$6,$O3031='112'!$I$6))),"x",""))</f>
        <v/>
      </c>
      <c r="U3031" s="75" t="str">
        <f>IF(ISERROR(FIND('112'!$M$9,G3031,1)),"",IF((AND(LEFT(G3031,2)=LEFT('112'!$M$9,2),B3031&lt;'112'!$K$9,$N3031='112'!$I$6)),"x",""))</f>
        <v/>
      </c>
      <c r="V3031" s="75" t="str">
        <f>IF(ISERROR(FIND('112'!$M$9,G3031,1)),"",IF((AND(RIGHT(G3031,2)=RIGHT('112'!$M$9,2),B3031&lt;'112'!$K$9,$O3031='112'!$I$6)),"x",""))</f>
        <v/>
      </c>
      <c r="W3031" s="75" t="str">
        <f>IF(AND('341-CT'!$H$9=H3031,OR(LEFT(N3031,3)=$W$7,LEFT(O3031,3)=$W$7)),"x","")</f>
        <v/>
      </c>
      <c r="X3031" s="75" t="str">
        <f>IF(OR(TH!N3031=TH!$X$7,O3031=TH!$X$7),"x","")</f>
        <v/>
      </c>
      <c r="Y3031" s="75" t="str">
        <f>IF(AND(OR(N3031="131",O3031="131"),H3031='131-CT'!$H$9),"x","")</f>
        <v/>
      </c>
      <c r="Z3031" s="75"/>
      <c r="AA3031" s="75" t="str">
        <f>IF(AND(MONTH(E3031)='IN-NX'!$J$5,'IN-NX'!$D$7=D3031),"x","")</f>
        <v/>
      </c>
      <c r="AB3031" s="75" t="str">
        <f>IF(AND(OR(LEFT(TH!N3031,2)="15",LEFT(TH!O3031,2)="15"),LEFT(TH!O3031,3)&lt;&gt;"111",'152-CT'!$J$8=TH!F3031),"x","")</f>
        <v/>
      </c>
      <c r="AC3031" s="75" t="str">
        <f>IF(AND(OR(LEFT(TH!N3031,2)="15",LEFT(TH!O3031,2)="15"),TK!$E$7=TH!F3031),"x","")</f>
        <v/>
      </c>
      <c r="AD3031" s="75" t="str">
        <f>IF(AND(N3031="1521",MONTH(C3031)='BK-NL'!$M$11),"x","")</f>
        <v/>
      </c>
    </row>
    <row r="3032" spans="1:30" s="1264" customFormat="1" ht="16.5" customHeight="1">
      <c r="A3032" s="309" t="str">
        <f>IF(B3032&lt;&gt;"",IF(AND(B3032='IN-TC'!$S$4,OR(TH!N3032="1111",TH!O3032="1111")),TH!D3032,""),"")</f>
        <v/>
      </c>
      <c r="B3032" s="1279">
        <f t="shared" si="1075"/>
        <v>8</v>
      </c>
      <c r="C3032" s="71">
        <v>42956</v>
      </c>
      <c r="D3032" s="71" t="s">
        <v>903</v>
      </c>
      <c r="E3032" s="71">
        <f t="shared" si="1084"/>
        <v>42956</v>
      </c>
      <c r="F3032" s="72" t="s">
        <v>1086</v>
      </c>
      <c r="G3032" s="72" t="s">
        <v>747</v>
      </c>
      <c r="H3032" s="735" t="s">
        <v>822</v>
      </c>
      <c r="I3032" s="73"/>
      <c r="J3032" s="378"/>
      <c r="K3032" s="371">
        <v>57958</v>
      </c>
      <c r="L3032" s="377">
        <v>22695</v>
      </c>
      <c r="M3032" s="1214">
        <f t="shared" ref="M3032" si="1100">ROUND(K3032*L3032,0)</f>
        <v>1315356810</v>
      </c>
      <c r="N3032" s="75" t="s">
        <v>256</v>
      </c>
      <c r="O3032" s="75" t="s">
        <v>536</v>
      </c>
      <c r="P3032" s="75" t="str">
        <f>IF(AND('331-CT'!$E$7=TH!H3032,OR(N3032="331",O3032="331")),"x","")</f>
        <v/>
      </c>
      <c r="Q3032" s="75" t="str">
        <f>IF(AND(B3032='111'!$L$11,OR($N3032=$Q$7,$O3032=$Q$7)),"x","")</f>
        <v/>
      </c>
      <c r="R3032" s="75" t="str">
        <f>IF(AND($N3032=$Q$7,$B3032&lt;'111'!$L$11),"x","")</f>
        <v/>
      </c>
      <c r="S3032" s="75" t="str">
        <f>IF(AND($O3032=$Q$7,$B3032&lt;'111'!$L$11),"x","")</f>
        <v/>
      </c>
      <c r="T3032" s="75" t="str">
        <f>IF(ISERROR(FIND('112'!$M$9,G3032,1)),"",IF((AND(FIND('112'!$M$9,G3032,1)&gt;=1,B3032='112'!$K$9,OR($N3032='112'!$I$6,$O3032='112'!$I$6))),"x",""))</f>
        <v/>
      </c>
      <c r="U3032" s="75" t="str">
        <f>IF(ISERROR(FIND('112'!$M$9,G3032,1)),"",IF((AND(LEFT(G3032,2)=LEFT('112'!$M$9,2),B3032&lt;'112'!$K$9,$N3032='112'!$I$6)),"x",""))</f>
        <v/>
      </c>
      <c r="V3032" s="75" t="str">
        <f>IF(ISERROR(FIND('112'!$M$9,G3032,1)),"",IF((AND(RIGHT(G3032,2)=RIGHT('112'!$M$9,2),B3032&lt;'112'!$K$9,$O3032='112'!$I$6)),"x",""))</f>
        <v/>
      </c>
      <c r="W3032" s="75" t="str">
        <f>IF(AND('341-CT'!$H$9=H3032,OR(LEFT(N3032,3)=$W$7,LEFT(O3032,3)=$W$7)),"x","")</f>
        <v/>
      </c>
      <c r="X3032" s="75" t="str">
        <f>IF(OR(TH!N3032=TH!$X$7,O3032=TH!$X$7),"x","")</f>
        <v/>
      </c>
      <c r="Y3032" s="75" t="str">
        <f>IF(AND(OR(N3032="131",O3032="131"),H3032='131-CT'!$H$9),"x","")</f>
        <v/>
      </c>
      <c r="Z3032" s="75"/>
      <c r="AA3032" s="75" t="str">
        <f>IF(AND(MONTH(E3032)='IN-NX'!$J$5,'IN-NX'!$D$7=D3032),"x","")</f>
        <v/>
      </c>
      <c r="AB3032" s="75" t="str">
        <f>IF(AND(OR(LEFT(TH!N3032,2)="15",LEFT(TH!O3032,2)="15"),LEFT(TH!O3032,3)&lt;&gt;"111",'152-CT'!$J$8=TH!F3032),"x","")</f>
        <v/>
      </c>
      <c r="AC3032" s="75" t="str">
        <f>IF(AND(OR(LEFT(TH!N3032,2)="15",LEFT(TH!O3032,2)="15"),TK!$E$7=TH!F3032),"x","")</f>
        <v/>
      </c>
      <c r="AD3032" s="75" t="str">
        <f>IF(AND(N3032="1521",MONTH(C3032)='BK-NL'!$M$11),"x","")</f>
        <v/>
      </c>
    </row>
    <row r="3033" spans="1:30" s="1264" customFormat="1" ht="16.5" customHeight="1">
      <c r="A3033" s="309" t="str">
        <f>IF(B3033&lt;&gt;"",IF(AND(B3033='IN-TC'!$S$4,OR(TH!N3033="1111",TH!O3033="1111")),TH!D3033,""),"")</f>
        <v/>
      </c>
      <c r="B3033" s="1279">
        <f t="shared" si="1075"/>
        <v>8</v>
      </c>
      <c r="C3033" s="71">
        <v>42956</v>
      </c>
      <c r="D3033" s="71" t="s">
        <v>530</v>
      </c>
      <c r="E3033" s="71">
        <f t="shared" si="1084"/>
        <v>42956</v>
      </c>
      <c r="F3033" s="72" t="s">
        <v>1027</v>
      </c>
      <c r="G3033" s="72" t="s">
        <v>747</v>
      </c>
      <c r="H3033" s="735" t="s">
        <v>822</v>
      </c>
      <c r="I3033" s="73"/>
      <c r="J3033" s="378"/>
      <c r="K3033" s="371">
        <v>157</v>
      </c>
      <c r="L3033" s="377">
        <v>22695</v>
      </c>
      <c r="M3033" s="933">
        <f t="shared" si="1085"/>
        <v>3563115</v>
      </c>
      <c r="N3033" s="75" t="s">
        <v>101</v>
      </c>
      <c r="O3033" s="75" t="s">
        <v>536</v>
      </c>
      <c r="P3033" s="75" t="str">
        <f>IF(AND('331-CT'!$E$7=TH!H3033,OR(N3033="331",O3033="331")),"x","")</f>
        <v/>
      </c>
      <c r="Q3033" s="75" t="str">
        <f>IF(AND(B3033='111'!$L$11,OR($N3033=$Q$7,$O3033=$Q$7)),"x","")</f>
        <v/>
      </c>
      <c r="R3033" s="75" t="str">
        <f>IF(AND($N3033=$Q$7,$B3033&lt;'111'!$L$11),"x","")</f>
        <v/>
      </c>
      <c r="S3033" s="75" t="str">
        <f>IF(AND($O3033=$Q$7,$B3033&lt;'111'!$L$11),"x","")</f>
        <v/>
      </c>
      <c r="T3033" s="75" t="str">
        <f>IF(ISERROR(FIND('112'!$M$9,G3033,1)),"",IF((AND(FIND('112'!$M$9,G3033,1)&gt;=1,B3033='112'!$K$9,OR($N3033='112'!$I$6,$O3033='112'!$I$6))),"x",""))</f>
        <v/>
      </c>
      <c r="U3033" s="75" t="str">
        <f>IF(ISERROR(FIND('112'!$M$9,G3033,1)),"",IF((AND(LEFT(G3033,2)=LEFT('112'!$M$9,2),B3033&lt;'112'!$K$9,$N3033='112'!$I$6)),"x",""))</f>
        <v/>
      </c>
      <c r="V3033" s="75" t="str">
        <f>IF(ISERROR(FIND('112'!$M$9,G3033,1)),"",IF((AND(RIGHT(G3033,2)=RIGHT('112'!$M$9,2),B3033&lt;'112'!$K$9,$O3033='112'!$I$6)),"x",""))</f>
        <v/>
      </c>
      <c r="W3033" s="75" t="str">
        <f>IF(AND('341-CT'!$H$9=H3033,OR(LEFT(N3033,3)=$W$7,LEFT(O3033,3)=$W$7)),"x","")</f>
        <v/>
      </c>
      <c r="X3033" s="75" t="str">
        <f>IF(OR(TH!N3033=TH!$X$7,O3033=TH!$X$7),"x","")</f>
        <v/>
      </c>
      <c r="Y3033" s="75" t="str">
        <f>IF(AND(OR(N3033="131",O3033="131"),H3033='131-CT'!$H$9),"x","")</f>
        <v/>
      </c>
      <c r="Z3033" s="75"/>
      <c r="AA3033" s="75" t="str">
        <f>IF(AND(MONTH(E3033)='IN-NX'!$J$5,'IN-NX'!$D$7=D3033),"x","")</f>
        <v/>
      </c>
      <c r="AB3033" s="75" t="str">
        <f>IF(AND(OR(LEFT(TH!N3033,2)="15",LEFT(TH!O3033,2)="15"),LEFT(TH!O3033,3)&lt;&gt;"111",'152-CT'!$J$8=TH!F3033),"x","")</f>
        <v/>
      </c>
      <c r="AC3033" s="75" t="str">
        <f>IF(AND(OR(LEFT(TH!N3033,2)="15",LEFT(TH!O3033,2)="15"),TK!$E$7=TH!F3033),"x","")</f>
        <v/>
      </c>
      <c r="AD3033" s="75" t="str">
        <f>IF(AND(N3033="1521",MONTH(C3033)='BK-NL'!$M$11),"x","")</f>
        <v/>
      </c>
    </row>
    <row r="3034" spans="1:30" s="1264" customFormat="1" ht="16.5" customHeight="1">
      <c r="A3034" s="309" t="str">
        <f>IF(B3034&lt;&gt;"",IF(AND(B3034='IN-TC'!$S$4,OR(TH!N3034="1111",TH!O3034="1111")),TH!D3034,""),"")</f>
        <v/>
      </c>
      <c r="B3034" s="1279">
        <f t="shared" si="1075"/>
        <v>8</v>
      </c>
      <c r="C3034" s="71">
        <v>42956</v>
      </c>
      <c r="D3034" s="71" t="s">
        <v>530</v>
      </c>
      <c r="E3034" s="71">
        <f t="shared" si="1084"/>
        <v>42956</v>
      </c>
      <c r="F3034" s="72" t="s">
        <v>1010</v>
      </c>
      <c r="G3034" s="72" t="s">
        <v>747</v>
      </c>
      <c r="H3034" s="735" t="s">
        <v>822</v>
      </c>
      <c r="I3034" s="73"/>
      <c r="J3034" s="378"/>
      <c r="K3034" s="371"/>
      <c r="L3034" s="377"/>
      <c r="M3034" s="74">
        <v>290575</v>
      </c>
      <c r="N3034" s="75" t="s">
        <v>99</v>
      </c>
      <c r="O3034" s="75" t="s">
        <v>536</v>
      </c>
      <c r="P3034" s="75" t="str">
        <f>IF(AND('331-CT'!$E$7=TH!H3034,OR(N3034="331",O3034="331")),"x","")</f>
        <v/>
      </c>
      <c r="Q3034" s="75" t="str">
        <f>IF(AND(B3034='111'!$L$11,OR($N3034=$Q$7,$O3034=$Q$7)),"x","")</f>
        <v/>
      </c>
      <c r="R3034" s="75" t="str">
        <f>IF(AND($N3034=$Q$7,$B3034&lt;'111'!$L$11),"x","")</f>
        <v/>
      </c>
      <c r="S3034" s="75" t="str">
        <f>IF(AND($O3034=$Q$7,$B3034&lt;'111'!$L$11),"x","")</f>
        <v/>
      </c>
      <c r="T3034" s="75" t="str">
        <f>IF(ISERROR(FIND('112'!$M$9,G3034,1)),"",IF((AND(FIND('112'!$M$9,G3034,1)&gt;=1,B3034='112'!$K$9,OR($N3034='112'!$I$6,$O3034='112'!$I$6))),"x",""))</f>
        <v/>
      </c>
      <c r="U3034" s="75" t="str">
        <f>IF(ISERROR(FIND('112'!$M$9,G3034,1)),"",IF((AND(LEFT(G3034,2)=LEFT('112'!$M$9,2),B3034&lt;'112'!$K$9,$N3034='112'!$I$6)),"x",""))</f>
        <v/>
      </c>
      <c r="V3034" s="75" t="str">
        <f>IF(ISERROR(FIND('112'!$M$9,G3034,1)),"",IF((AND(RIGHT(G3034,2)=RIGHT('112'!$M$9,2),B3034&lt;'112'!$K$9,$O3034='112'!$I$6)),"x",""))</f>
        <v/>
      </c>
      <c r="W3034" s="75" t="str">
        <f>IF(AND('341-CT'!$H$9=H3034,OR(LEFT(N3034,3)=$W$7,LEFT(O3034,3)=$W$7)),"x","")</f>
        <v/>
      </c>
      <c r="X3034" s="75" t="str">
        <f>IF(OR(TH!N3034=TH!$X$7,O3034=TH!$X$7),"x","")</f>
        <v/>
      </c>
      <c r="Y3034" s="75" t="str">
        <f>IF(AND(OR(N3034="131",O3034="131"),H3034='131-CT'!$H$9),"x","")</f>
        <v/>
      </c>
      <c r="Z3034" s="75"/>
      <c r="AA3034" s="75" t="str">
        <f>IF(AND(MONTH(E3034)='IN-NX'!$J$5,'IN-NX'!$D$7=D3034),"x","")</f>
        <v/>
      </c>
      <c r="AB3034" s="75" t="str">
        <f>IF(AND(OR(LEFT(TH!N3034,2)="15",LEFT(TH!O3034,2)="15"),LEFT(TH!O3034,3)&lt;&gt;"111",'152-CT'!$J$8=TH!F3034),"x","")</f>
        <v/>
      </c>
      <c r="AC3034" s="75" t="str">
        <f>IF(AND(OR(LEFT(TH!N3034,2)="15",LEFT(TH!O3034,2)="15"),TK!$E$7=TH!F3034),"x","")</f>
        <v/>
      </c>
      <c r="AD3034" s="75" t="str">
        <f>IF(AND(N3034="1521",MONTH(C3034)='BK-NL'!$M$11),"x","")</f>
        <v/>
      </c>
    </row>
    <row r="3035" spans="1:30" s="1264" customFormat="1" ht="16.5" customHeight="1">
      <c r="A3035" s="309" t="str">
        <f>IF(B3035&lt;&gt;"",IF(AND(B3035='IN-TC'!$S$4,OR(TH!N3035="1111",TH!O3035="1111")),TH!D3035,""),"")</f>
        <v/>
      </c>
      <c r="B3035" s="1279">
        <f t="shared" si="1075"/>
        <v>8</v>
      </c>
      <c r="C3035" s="71">
        <v>42956</v>
      </c>
      <c r="D3035" s="71" t="s">
        <v>902</v>
      </c>
      <c r="E3035" s="71">
        <f t="shared" si="1084"/>
        <v>42956</v>
      </c>
      <c r="F3035" s="72" t="s">
        <v>1096</v>
      </c>
      <c r="G3035" s="72" t="s">
        <v>747</v>
      </c>
      <c r="H3035" s="73" t="s">
        <v>2458</v>
      </c>
      <c r="I3035" s="73"/>
      <c r="J3035" s="378"/>
      <c r="K3035" s="371">
        <v>64.400000000000006</v>
      </c>
      <c r="L3035" s="377">
        <v>22695</v>
      </c>
      <c r="M3035" s="74">
        <f t="shared" ref="M3035" si="1101">ROUND(K3035*L3035,0)</f>
        <v>1461558</v>
      </c>
      <c r="N3035" s="75" t="s">
        <v>99</v>
      </c>
      <c r="O3035" s="934" t="s">
        <v>256</v>
      </c>
      <c r="P3035" s="75" t="str">
        <f>IF(AND('331-CT'!$E$7=TH!H3035,OR(N3035="331",O3035="331")),"x","")</f>
        <v/>
      </c>
      <c r="Q3035" s="75" t="str">
        <f>IF(AND(B3035='111'!$L$11,OR($N3035=$Q$7,$O3035=$Q$7)),"x","")</f>
        <v/>
      </c>
      <c r="R3035" s="75" t="str">
        <f>IF(AND($N3035=$Q$7,$B3035&lt;'111'!$L$11),"x","")</f>
        <v/>
      </c>
      <c r="S3035" s="75" t="str">
        <f>IF(AND($O3035=$Q$7,$B3035&lt;'111'!$L$11),"x","")</f>
        <v/>
      </c>
      <c r="T3035" s="75" t="str">
        <f>IF(ISERROR(FIND('112'!$M$9,G3035,1)),"",IF((AND(FIND('112'!$M$9,G3035,1)&gt;=1,B3035='112'!$K$9,OR($N3035='112'!$I$6,$O3035='112'!$I$6))),"x",""))</f>
        <v/>
      </c>
      <c r="U3035" s="75" t="str">
        <f>IF(ISERROR(FIND('112'!$M$9,G3035,1)),"",IF((AND(LEFT(G3035,2)=LEFT('112'!$M$9,2),B3035&lt;'112'!$K$9,$N3035='112'!$I$6)),"x",""))</f>
        <v/>
      </c>
      <c r="V3035" s="75" t="str">
        <f>IF(ISERROR(FIND('112'!$M$9,G3035,1)),"",IF((AND(RIGHT(G3035,2)=RIGHT('112'!$M$9,2),B3035&lt;'112'!$K$9,$O3035='112'!$I$6)),"x",""))</f>
        <v/>
      </c>
      <c r="W3035" s="75" t="str">
        <f>IF(AND('341-CT'!$H$9=H3035,OR(LEFT(N3035,3)=$W$7,LEFT(O3035,3)=$W$7)),"x","")</f>
        <v/>
      </c>
      <c r="X3035" s="75" t="str">
        <f>IF(OR(TH!N3035=TH!$X$7,O3035=TH!$X$7),"x","")</f>
        <v/>
      </c>
      <c r="Y3035" s="75" t="str">
        <f>IF(AND(OR(N3035="131",O3035="131"),H3035='131-CT'!$H$9),"x","")</f>
        <v/>
      </c>
      <c r="Z3035" s="75"/>
      <c r="AA3035" s="75" t="str">
        <f>IF(AND(MONTH(E3035)='IN-NX'!$J$5,'IN-NX'!$D$7=D3035),"x","")</f>
        <v/>
      </c>
      <c r="AB3035" s="75" t="str">
        <f>IF(AND(OR(LEFT(TH!N3035,2)="15",LEFT(TH!O3035,2)="15"),LEFT(TH!O3035,3)&lt;&gt;"111",'152-CT'!$J$8=TH!F3035),"x","")</f>
        <v/>
      </c>
      <c r="AC3035" s="75" t="str">
        <f>IF(AND(OR(LEFT(TH!N3035,2)="15",LEFT(TH!O3035,2)="15"),TK!$E$7=TH!F3035),"x","")</f>
        <v/>
      </c>
      <c r="AD3035" s="75" t="str">
        <f>IF(AND(N3035="1521",MONTH(C3035)='BK-NL'!$M$11),"x","")</f>
        <v/>
      </c>
    </row>
    <row r="3036" spans="1:30" s="1264" customFormat="1" ht="16.5" customHeight="1">
      <c r="A3036" s="309" t="str">
        <f>IF(B3036&lt;&gt;"",IF(AND(B3036='IN-TC'!$S$4,OR(TH!N3036="1111",TH!O3036="1111")),TH!D3036,""),"")</f>
        <v/>
      </c>
      <c r="B3036" s="1279">
        <f t="shared" si="1075"/>
        <v>8</v>
      </c>
      <c r="C3036" s="71">
        <v>42956</v>
      </c>
      <c r="D3036" s="71" t="s">
        <v>902</v>
      </c>
      <c r="E3036" s="71">
        <f t="shared" si="1084"/>
        <v>42956</v>
      </c>
      <c r="F3036" s="72" t="s">
        <v>1321</v>
      </c>
      <c r="G3036" s="72" t="s">
        <v>747</v>
      </c>
      <c r="H3036" s="73" t="s">
        <v>2458</v>
      </c>
      <c r="I3036" s="73"/>
      <c r="J3036" s="378"/>
      <c r="K3036" s="371">
        <v>55200</v>
      </c>
      <c r="L3036" s="377">
        <v>22695</v>
      </c>
      <c r="M3036" s="74">
        <f t="shared" ref="M3036" si="1102">ROUND(K3036*L3036,0)</f>
        <v>1252764000</v>
      </c>
      <c r="N3036" s="75" t="s">
        <v>250</v>
      </c>
      <c r="O3036" s="934" t="s">
        <v>256</v>
      </c>
      <c r="P3036" s="75" t="str">
        <f>IF(AND('331-CT'!$E$7=TH!H3036,OR(N3036="331",O3036="331")),"x","")</f>
        <v/>
      </c>
      <c r="Q3036" s="75" t="str">
        <f>IF(AND(B3036='111'!$L$11,OR($N3036=$Q$7,$O3036=$Q$7)),"x","")</f>
        <v/>
      </c>
      <c r="R3036" s="75" t="str">
        <f>IF(AND($N3036=$Q$7,$B3036&lt;'111'!$L$11),"x","")</f>
        <v/>
      </c>
      <c r="S3036" s="75" t="str">
        <f>IF(AND($O3036=$Q$7,$B3036&lt;'111'!$L$11),"x","")</f>
        <v/>
      </c>
      <c r="T3036" s="75" t="str">
        <f>IF(ISERROR(FIND('112'!$M$9,G3036,1)),"",IF((AND(FIND('112'!$M$9,G3036,1)&gt;=1,B3036='112'!$K$9,OR($N3036='112'!$I$6,$O3036='112'!$I$6))),"x",""))</f>
        <v/>
      </c>
      <c r="U3036" s="75" t="str">
        <f>IF(ISERROR(FIND('112'!$M$9,G3036,1)),"",IF((AND(LEFT(G3036,2)=LEFT('112'!$M$9,2),B3036&lt;'112'!$K$9,$N3036='112'!$I$6)),"x",""))</f>
        <v/>
      </c>
      <c r="V3036" s="75" t="str">
        <f>IF(ISERROR(FIND('112'!$M$9,G3036,1)),"",IF((AND(RIGHT(G3036,2)=RIGHT('112'!$M$9,2),B3036&lt;'112'!$K$9,$O3036='112'!$I$6)),"x",""))</f>
        <v/>
      </c>
      <c r="W3036" s="75" t="str">
        <f>IF(AND('341-CT'!$H$9=H3036,OR(LEFT(N3036,3)=$W$7,LEFT(O3036,3)=$W$7)),"x","")</f>
        <v/>
      </c>
      <c r="X3036" s="75" t="str">
        <f>IF(OR(TH!N3036=TH!$X$7,O3036=TH!$X$7),"x","")</f>
        <v/>
      </c>
      <c r="Y3036" s="75" t="str">
        <f>IF(AND(OR(N3036="131",O3036="131"),H3036='131-CT'!$H$9),"x","")</f>
        <v/>
      </c>
      <c r="Z3036" s="75"/>
      <c r="AA3036" s="75" t="str">
        <f>IF(AND(MONTH(E3036)='IN-NX'!$J$5,'IN-NX'!$D$7=D3036),"x","")</f>
        <v/>
      </c>
      <c r="AB3036" s="75" t="str">
        <f>IF(AND(OR(LEFT(TH!N3036,2)="15",LEFT(TH!O3036,2)="15"),LEFT(TH!O3036,3)&lt;&gt;"111",'152-CT'!$J$8=TH!F3036),"x","")</f>
        <v/>
      </c>
      <c r="AC3036" s="75" t="str">
        <f>IF(AND(OR(LEFT(TH!N3036,2)="15",LEFT(TH!O3036,2)="15"),TK!$E$7=TH!F3036),"x","")</f>
        <v/>
      </c>
      <c r="AD3036" s="75" t="str">
        <f>IF(AND(N3036="1521",MONTH(C3036)='BK-NL'!$M$11),"x","")</f>
        <v/>
      </c>
    </row>
    <row r="3037" spans="1:30" s="1264" customFormat="1" ht="16.5" customHeight="1">
      <c r="A3037" s="309" t="str">
        <f>IF(B3037&lt;&gt;"",IF(AND(B3037='IN-TC'!$S$4,OR(TH!N3037="1111",TH!O3037="1111")),TH!D3037,""),"")</f>
        <v/>
      </c>
      <c r="B3037" s="1279">
        <f t="shared" si="1075"/>
        <v>8</v>
      </c>
      <c r="C3037" s="71">
        <v>42956</v>
      </c>
      <c r="D3037" s="71" t="s">
        <v>530</v>
      </c>
      <c r="E3037" s="71">
        <f t="shared" si="1084"/>
        <v>42956</v>
      </c>
      <c r="F3037" s="72" t="s">
        <v>1010</v>
      </c>
      <c r="G3037" s="72" t="s">
        <v>747</v>
      </c>
      <c r="H3037" s="73" t="s">
        <v>2458</v>
      </c>
      <c r="I3037" s="73"/>
      <c r="J3037" s="378"/>
      <c r="K3037" s="371">
        <v>0</v>
      </c>
      <c r="L3037" s="377"/>
      <c r="M3037" s="74">
        <v>1214400</v>
      </c>
      <c r="N3037" s="75" t="s">
        <v>250</v>
      </c>
      <c r="O3037" s="934" t="s">
        <v>43</v>
      </c>
      <c r="P3037" s="75" t="str">
        <f>IF(AND('331-CT'!$E$7=TH!H3037,OR(N3037="331",O3037="331")),"x","")</f>
        <v/>
      </c>
      <c r="Q3037" s="75" t="str">
        <f>IF(AND(B3037='111'!$L$11,OR($N3037=$Q$7,$O3037=$Q$7)),"x","")</f>
        <v/>
      </c>
      <c r="R3037" s="75" t="str">
        <f>IF(AND($N3037=$Q$7,$B3037&lt;'111'!$L$11),"x","")</f>
        <v/>
      </c>
      <c r="S3037" s="75" t="str">
        <f>IF(AND($O3037=$Q$7,$B3037&lt;'111'!$L$11),"x","")</f>
        <v/>
      </c>
      <c r="T3037" s="75" t="str">
        <f>IF(ISERROR(FIND('112'!$M$9,G3037,1)),"",IF((AND(FIND('112'!$M$9,G3037,1)&gt;=1,B3037='112'!$K$9,OR($N3037='112'!$I$6,$O3037='112'!$I$6))),"x",""))</f>
        <v/>
      </c>
      <c r="U3037" s="75" t="str">
        <f>IF(ISERROR(FIND('112'!$M$9,G3037,1)),"",IF((AND(LEFT(G3037,2)=LEFT('112'!$M$9,2),B3037&lt;'112'!$K$9,$N3037='112'!$I$6)),"x",""))</f>
        <v/>
      </c>
      <c r="V3037" s="75" t="str">
        <f>IF(ISERROR(FIND('112'!$M$9,G3037,1)),"",IF((AND(RIGHT(G3037,2)=RIGHT('112'!$M$9,2),B3037&lt;'112'!$K$9,$O3037='112'!$I$6)),"x",""))</f>
        <v/>
      </c>
      <c r="W3037" s="75" t="str">
        <f>IF(AND('341-CT'!$H$9=H3037,OR(LEFT(N3037,3)=$W$7,LEFT(O3037,3)=$W$7)),"x","")</f>
        <v/>
      </c>
      <c r="X3037" s="75" t="str">
        <f>IF(OR(TH!N3037=TH!$X$7,O3037=TH!$X$7),"x","")</f>
        <v/>
      </c>
      <c r="Y3037" s="75" t="str">
        <f>IF(AND(OR(N3037="131",O3037="131"),H3037='131-CT'!$H$9),"x","")</f>
        <v/>
      </c>
      <c r="Z3037" s="75"/>
      <c r="AA3037" s="75" t="str">
        <f>IF(AND(MONTH(E3037)='IN-NX'!$J$5,'IN-NX'!$D$7=D3037),"x","")</f>
        <v/>
      </c>
      <c r="AB3037" s="75" t="str">
        <f>IF(AND(OR(LEFT(TH!N3037,2)="15",LEFT(TH!O3037,2)="15"),LEFT(TH!O3037,3)&lt;&gt;"111",'152-CT'!$J$8=TH!F3037),"x","")</f>
        <v/>
      </c>
      <c r="AC3037" s="75" t="str">
        <f>IF(AND(OR(LEFT(TH!N3037,2)="15",LEFT(TH!O3037,2)="15"),TK!$E$7=TH!F3037),"x","")</f>
        <v/>
      </c>
      <c r="AD3037" s="75" t="str">
        <f>IF(AND(N3037="1521",MONTH(C3037)='BK-NL'!$M$11),"x","")</f>
        <v/>
      </c>
    </row>
    <row r="3038" spans="1:30" s="1264" customFormat="1" ht="16.5" customHeight="1">
      <c r="A3038" s="309" t="str">
        <f>IF(B3038&lt;&gt;"",IF(AND(B3038='IN-TC'!$S$4,OR(TH!N3038="1111",TH!O3038="1111")),TH!D3038,""),"")</f>
        <v/>
      </c>
      <c r="B3038" s="1279">
        <f t="shared" si="1075"/>
        <v>8</v>
      </c>
      <c r="C3038" s="71">
        <v>42961</v>
      </c>
      <c r="D3038" s="71" t="s">
        <v>903</v>
      </c>
      <c r="E3038" s="71">
        <f t="shared" si="1084"/>
        <v>42961</v>
      </c>
      <c r="F3038" s="72" t="s">
        <v>1086</v>
      </c>
      <c r="G3038" s="72" t="s">
        <v>747</v>
      </c>
      <c r="H3038" s="73" t="s">
        <v>759</v>
      </c>
      <c r="I3038" s="73"/>
      <c r="J3038" s="378"/>
      <c r="K3038" s="371">
        <v>279716.36</v>
      </c>
      <c r="L3038" s="377">
        <v>22710</v>
      </c>
      <c r="M3038" s="1214">
        <f t="shared" ref="M3038" si="1103">ROUND(K3038*L3038,0)</f>
        <v>6352358536</v>
      </c>
      <c r="N3038" s="75" t="s">
        <v>256</v>
      </c>
      <c r="O3038" s="75" t="s">
        <v>536</v>
      </c>
      <c r="P3038" s="75" t="str">
        <f>IF(AND('331-CT'!$E$7=TH!H3038,OR(N3038="331",O3038="331")),"x","")</f>
        <v/>
      </c>
      <c r="Q3038" s="75" t="str">
        <f>IF(AND(B3038='111'!$L$11,OR($N3038=$Q$7,$O3038=$Q$7)),"x","")</f>
        <v/>
      </c>
      <c r="R3038" s="75" t="str">
        <f>IF(AND($N3038=$Q$7,$B3038&lt;'111'!$L$11),"x","")</f>
        <v/>
      </c>
      <c r="S3038" s="75" t="str">
        <f>IF(AND($O3038=$Q$7,$B3038&lt;'111'!$L$11),"x","")</f>
        <v/>
      </c>
      <c r="T3038" s="75" t="str">
        <f>IF(ISERROR(FIND('112'!$M$9,G3038,1)),"",IF((AND(FIND('112'!$M$9,G3038,1)&gt;=1,B3038='112'!$K$9,OR($N3038='112'!$I$6,$O3038='112'!$I$6))),"x",""))</f>
        <v/>
      </c>
      <c r="U3038" s="75" t="str">
        <f>IF(ISERROR(FIND('112'!$M$9,G3038,1)),"",IF((AND(LEFT(G3038,2)=LEFT('112'!$M$9,2),B3038&lt;'112'!$K$9,$N3038='112'!$I$6)),"x",""))</f>
        <v/>
      </c>
      <c r="V3038" s="75" t="str">
        <f>IF(ISERROR(FIND('112'!$M$9,G3038,1)),"",IF((AND(RIGHT(G3038,2)=RIGHT('112'!$M$9,2),B3038&lt;'112'!$K$9,$O3038='112'!$I$6)),"x",""))</f>
        <v/>
      </c>
      <c r="W3038" s="75" t="str">
        <f>IF(AND('341-CT'!$H$9=H3038,OR(LEFT(N3038,3)=$W$7,LEFT(O3038,3)=$W$7)),"x","")</f>
        <v/>
      </c>
      <c r="X3038" s="75" t="str">
        <f>IF(OR(TH!N3038=TH!$X$7,O3038=TH!$X$7),"x","")</f>
        <v/>
      </c>
      <c r="Y3038" s="75" t="str">
        <f>IF(AND(OR(N3038="131",O3038="131"),H3038='131-CT'!$H$9),"x","")</f>
        <v/>
      </c>
      <c r="Z3038" s="75"/>
      <c r="AA3038" s="75" t="str">
        <f>IF(AND(MONTH(E3038)='IN-NX'!$J$5,'IN-NX'!$D$7=D3038),"x","")</f>
        <v/>
      </c>
      <c r="AB3038" s="75" t="str">
        <f>IF(AND(OR(LEFT(TH!N3038,2)="15",LEFT(TH!O3038,2)="15"),LEFT(TH!O3038,3)&lt;&gt;"111",'152-CT'!$J$8=TH!F3038),"x","")</f>
        <v/>
      </c>
      <c r="AC3038" s="75" t="str">
        <f>IF(AND(OR(LEFT(TH!N3038,2)="15",LEFT(TH!O3038,2)="15"),TK!$E$7=TH!F3038),"x","")</f>
        <v/>
      </c>
      <c r="AD3038" s="75" t="str">
        <f>IF(AND(N3038="1521",MONTH(C3038)='BK-NL'!$M$11),"x","")</f>
        <v/>
      </c>
    </row>
    <row r="3039" spans="1:30" s="1264" customFormat="1" ht="16.5" customHeight="1">
      <c r="A3039" s="309" t="str">
        <f>IF(B3039&lt;&gt;"",IF(AND(B3039='IN-TC'!$S$4,OR(TH!N3039="1111",TH!O3039="1111")),TH!D3039,""),"")</f>
        <v/>
      </c>
      <c r="B3039" s="1279">
        <f t="shared" si="1075"/>
        <v>8</v>
      </c>
      <c r="C3039" s="71">
        <v>42961</v>
      </c>
      <c r="D3039" s="71" t="s">
        <v>530</v>
      </c>
      <c r="E3039" s="71">
        <f t="shared" si="1084"/>
        <v>42961</v>
      </c>
      <c r="F3039" s="1240" t="s">
        <v>1027</v>
      </c>
      <c r="G3039" s="72" t="s">
        <v>747</v>
      </c>
      <c r="H3039" s="73" t="s">
        <v>759</v>
      </c>
      <c r="I3039" s="73"/>
      <c r="J3039" s="1218"/>
      <c r="K3039" s="1213">
        <v>17.64</v>
      </c>
      <c r="L3039" s="377">
        <v>22710</v>
      </c>
      <c r="M3039" s="933">
        <f t="shared" si="1085"/>
        <v>400604</v>
      </c>
      <c r="N3039" s="75" t="s">
        <v>101</v>
      </c>
      <c r="O3039" s="75" t="s">
        <v>536</v>
      </c>
      <c r="P3039" s="75" t="str">
        <f>IF(AND('331-CT'!$E$7=TH!H3039,OR(N3039="331",O3039="331")),"x","")</f>
        <v/>
      </c>
      <c r="Q3039" s="75" t="str">
        <f>IF(AND(B3039='111'!$L$11,OR($N3039=$Q$7,$O3039=$Q$7)),"x","")</f>
        <v/>
      </c>
      <c r="R3039" s="75" t="str">
        <f>IF(AND($N3039=$Q$7,$B3039&lt;'111'!$L$11),"x","")</f>
        <v/>
      </c>
      <c r="S3039" s="75" t="str">
        <f>IF(AND($O3039=$Q$7,$B3039&lt;'111'!$L$11),"x","")</f>
        <v/>
      </c>
      <c r="T3039" s="75" t="str">
        <f>IF(ISERROR(FIND('112'!$M$9,G3039,1)),"",IF((AND(FIND('112'!$M$9,G3039,1)&gt;=1,B3039='112'!$K$9,OR($N3039='112'!$I$6,$O3039='112'!$I$6))),"x",""))</f>
        <v/>
      </c>
      <c r="U3039" s="75" t="str">
        <f>IF(ISERROR(FIND('112'!$M$9,G3039,1)),"",IF((AND(LEFT(G3039,2)=LEFT('112'!$M$9,2),B3039&lt;'112'!$K$9,$N3039='112'!$I$6)),"x",""))</f>
        <v/>
      </c>
      <c r="V3039" s="75" t="str">
        <f>IF(ISERROR(FIND('112'!$M$9,G3039,1)),"",IF((AND(RIGHT(G3039,2)=RIGHT('112'!$M$9,2),B3039&lt;'112'!$K$9,$O3039='112'!$I$6)),"x",""))</f>
        <v/>
      </c>
      <c r="W3039" s="75" t="str">
        <f>IF(AND('341-CT'!$H$9=H3039,OR(LEFT(N3039,3)=$W$7,LEFT(O3039,3)=$W$7)),"x","")</f>
        <v/>
      </c>
      <c r="X3039" s="75" t="str">
        <f>IF(OR(TH!N3039=TH!$X$7,O3039=TH!$X$7),"x","")</f>
        <v/>
      </c>
      <c r="Y3039" s="75" t="str">
        <f>IF(AND(OR(N3039="131",O3039="131"),H3039='131-CT'!$H$9),"x","")</f>
        <v/>
      </c>
      <c r="Z3039" s="75"/>
      <c r="AA3039" s="75" t="str">
        <f>IF(AND(MONTH(E3039)='IN-NX'!$J$5,'IN-NX'!$D$7=D3039),"x","")</f>
        <v/>
      </c>
      <c r="AB3039" s="75" t="str">
        <f>IF(AND(OR(LEFT(TH!N3039,2)="15",LEFT(TH!O3039,2)="15"),LEFT(TH!O3039,3)&lt;&gt;"111",'152-CT'!$J$8=TH!F3039),"x","")</f>
        <v/>
      </c>
      <c r="AC3039" s="75" t="str">
        <f>IF(AND(OR(LEFT(TH!N3039,2)="15",LEFT(TH!O3039,2)="15"),TK!$E$7=TH!F3039),"x","")</f>
        <v/>
      </c>
      <c r="AD3039" s="75" t="str">
        <f>IF(AND(N3039="1521",MONTH(C3039)='BK-NL'!$M$11),"x","")</f>
        <v/>
      </c>
    </row>
    <row r="3040" spans="1:30" s="1264" customFormat="1" ht="16.5" customHeight="1">
      <c r="A3040" s="309" t="str">
        <f>IF(B3040&lt;&gt;"",IF(AND(B3040='IN-TC'!$S$4,OR(TH!N3040="1111",TH!O3040="1111")),TH!D3040,""),"")</f>
        <v/>
      </c>
      <c r="B3040" s="1279">
        <f t="shared" ref="B3040" si="1104">IF(C3040&lt;&gt;"",MONTH(C3040),"")</f>
        <v>8</v>
      </c>
      <c r="C3040" s="71">
        <v>42961</v>
      </c>
      <c r="D3040" s="71" t="s">
        <v>530</v>
      </c>
      <c r="E3040" s="71">
        <f t="shared" ref="E3040" si="1105">C3040</f>
        <v>42961</v>
      </c>
      <c r="F3040" s="1240" t="s">
        <v>1010</v>
      </c>
      <c r="G3040" s="72" t="s">
        <v>747</v>
      </c>
      <c r="H3040" s="73" t="s">
        <v>759</v>
      </c>
      <c r="I3040" s="73"/>
      <c r="J3040" s="1218"/>
      <c r="K3040" s="1213"/>
      <c r="L3040" s="377"/>
      <c r="M3040" s="933">
        <v>13986700</v>
      </c>
      <c r="N3040" s="75" t="s">
        <v>536</v>
      </c>
      <c r="O3040" s="75" t="s">
        <v>43</v>
      </c>
      <c r="P3040" s="75" t="str">
        <f>IF(AND('331-CT'!$E$7=TH!H3040,OR(N3040="331",O3040="331")),"x","")</f>
        <v/>
      </c>
      <c r="Q3040" s="75" t="str">
        <f>IF(AND(B3040='111'!$L$11,OR($N3040=$Q$7,$O3040=$Q$7)),"x","")</f>
        <v/>
      </c>
      <c r="R3040" s="75" t="str">
        <f>IF(AND($N3040=$Q$7,$B3040&lt;'111'!$L$11),"x","")</f>
        <v/>
      </c>
      <c r="S3040" s="75" t="str">
        <f>IF(AND($O3040=$Q$7,$B3040&lt;'111'!$L$11),"x","")</f>
        <v/>
      </c>
      <c r="T3040" s="75" t="str">
        <f>IF(ISERROR(FIND('112'!$M$9,G3040,1)),"",IF((AND(FIND('112'!$M$9,G3040,1)&gt;=1,B3040='112'!$K$9,OR($N3040='112'!$I$6,$O3040='112'!$I$6))),"x",""))</f>
        <v/>
      </c>
      <c r="U3040" s="75" t="str">
        <f>IF(ISERROR(FIND('112'!$M$9,G3040,1)),"",IF((AND(LEFT(G3040,2)=LEFT('112'!$M$9,2),B3040&lt;'112'!$K$9,$N3040='112'!$I$6)),"x",""))</f>
        <v/>
      </c>
      <c r="V3040" s="75" t="str">
        <f>IF(ISERROR(FIND('112'!$M$9,G3040,1)),"",IF((AND(RIGHT(G3040,2)=RIGHT('112'!$M$9,2),B3040&lt;'112'!$K$9,$O3040='112'!$I$6)),"x",""))</f>
        <v/>
      </c>
      <c r="W3040" s="75" t="str">
        <f>IF(AND('341-CT'!$H$9=H3040,OR(LEFT(N3040,3)=$W$7,LEFT(O3040,3)=$W$7)),"x","")</f>
        <v/>
      </c>
      <c r="X3040" s="75" t="str">
        <f>IF(OR(TH!N3040=TH!$X$7,O3040=TH!$X$7),"x","")</f>
        <v/>
      </c>
      <c r="Y3040" s="75" t="str">
        <f>IF(AND(OR(N3040="131",O3040="131"),H3040='131-CT'!$H$9),"x","")</f>
        <v/>
      </c>
      <c r="Z3040" s="75"/>
      <c r="AA3040" s="75" t="str">
        <f>IF(AND(MONTH(E3040)='IN-NX'!$J$5,'IN-NX'!$D$7=D3040),"x","")</f>
        <v/>
      </c>
      <c r="AB3040" s="75" t="str">
        <f>IF(AND(OR(LEFT(TH!N3040,2)="15",LEFT(TH!O3040,2)="15"),LEFT(TH!O3040,3)&lt;&gt;"111",'152-CT'!$J$8=TH!F3040),"x","")</f>
        <v/>
      </c>
      <c r="AC3040" s="75" t="str">
        <f>IF(AND(OR(LEFT(TH!N3040,2)="15",LEFT(TH!O3040,2)="15"),TK!$E$7=TH!F3040),"x","")</f>
        <v/>
      </c>
      <c r="AD3040" s="75" t="str">
        <f>IF(AND(N3040="1521",MONTH(C3040)='BK-NL'!$M$11),"x","")</f>
        <v/>
      </c>
    </row>
    <row r="3041" spans="1:30" s="1264" customFormat="1" ht="16.5" customHeight="1">
      <c r="A3041" s="309" t="str">
        <f>IF(B3041&lt;&gt;"",IF(AND(B3041='IN-TC'!$S$4,OR(TH!N3041="1111",TH!O3041="1111")),TH!D3041,""),"")</f>
        <v/>
      </c>
      <c r="B3041" s="1279">
        <f t="shared" si="1075"/>
        <v>8</v>
      </c>
      <c r="C3041" s="71">
        <v>42961</v>
      </c>
      <c r="D3041" s="71" t="s">
        <v>902</v>
      </c>
      <c r="E3041" s="71">
        <f t="shared" si="1084"/>
        <v>42961</v>
      </c>
      <c r="F3041" s="72" t="s">
        <v>1096</v>
      </c>
      <c r="G3041" s="72" t="s">
        <v>747</v>
      </c>
      <c r="H3041" s="73" t="s">
        <v>1082</v>
      </c>
      <c r="I3041" s="73"/>
      <c r="J3041" s="378"/>
      <c r="K3041" s="371">
        <v>160.04</v>
      </c>
      <c r="L3041" s="377">
        <v>22710</v>
      </c>
      <c r="M3041" s="74">
        <f t="shared" ref="M3041" si="1106">ROUND(K3041*L3041,0)</f>
        <v>3634508</v>
      </c>
      <c r="N3041" s="75" t="s">
        <v>99</v>
      </c>
      <c r="O3041" s="934" t="s">
        <v>256</v>
      </c>
      <c r="P3041" s="75" t="str">
        <f>IF(AND('331-CT'!$E$7=TH!H3041,OR(N3041="331",O3041="331")),"x","")</f>
        <v/>
      </c>
      <c r="Q3041" s="75" t="str">
        <f>IF(AND(B3041='111'!$L$11,OR($N3041=$Q$7,$O3041=$Q$7)),"x","")</f>
        <v/>
      </c>
      <c r="R3041" s="75" t="str">
        <f>IF(AND($N3041=$Q$7,$B3041&lt;'111'!$L$11),"x","")</f>
        <v/>
      </c>
      <c r="S3041" s="75" t="str">
        <f>IF(AND($O3041=$Q$7,$B3041&lt;'111'!$L$11),"x","")</f>
        <v/>
      </c>
      <c r="T3041" s="75" t="str">
        <f>IF(ISERROR(FIND('112'!$M$9,G3041,1)),"",IF((AND(FIND('112'!$M$9,G3041,1)&gt;=1,B3041='112'!$K$9,OR($N3041='112'!$I$6,$O3041='112'!$I$6))),"x",""))</f>
        <v/>
      </c>
      <c r="U3041" s="75" t="str">
        <f>IF(ISERROR(FIND('112'!$M$9,G3041,1)),"",IF((AND(LEFT(G3041,2)=LEFT('112'!$M$9,2),B3041&lt;'112'!$K$9,$N3041='112'!$I$6)),"x",""))</f>
        <v/>
      </c>
      <c r="V3041" s="75" t="str">
        <f>IF(ISERROR(FIND('112'!$M$9,G3041,1)),"",IF((AND(RIGHT(G3041,2)=RIGHT('112'!$M$9,2),B3041&lt;'112'!$K$9,$O3041='112'!$I$6)),"x",""))</f>
        <v/>
      </c>
      <c r="W3041" s="75" t="str">
        <f>IF(AND('341-CT'!$H$9=H3041,OR(LEFT(N3041,3)=$W$7,LEFT(O3041,3)=$W$7)),"x","")</f>
        <v/>
      </c>
      <c r="X3041" s="75" t="str">
        <f>IF(OR(TH!N3041=TH!$X$7,O3041=TH!$X$7),"x","")</f>
        <v/>
      </c>
      <c r="Y3041" s="75" t="str">
        <f>IF(AND(OR(N3041="131",O3041="131"),H3041='131-CT'!$H$9),"x","")</f>
        <v/>
      </c>
      <c r="Z3041" s="75"/>
      <c r="AA3041" s="75" t="str">
        <f>IF(AND(MONTH(E3041)='IN-NX'!$J$5,'IN-NX'!$D$7=D3041),"x","")</f>
        <v/>
      </c>
      <c r="AB3041" s="75" t="str">
        <f>IF(AND(OR(LEFT(TH!N3041,2)="15",LEFT(TH!O3041,2)="15"),LEFT(TH!O3041,3)&lt;&gt;"111",'152-CT'!$J$8=TH!F3041),"x","")</f>
        <v/>
      </c>
      <c r="AC3041" s="75" t="str">
        <f>IF(AND(OR(LEFT(TH!N3041,2)="15",LEFT(TH!O3041,2)="15"),TK!$E$7=TH!F3041),"x","")</f>
        <v/>
      </c>
      <c r="AD3041" s="75" t="str">
        <f>IF(AND(N3041="1521",MONTH(C3041)='BK-NL'!$M$11),"x","")</f>
        <v/>
      </c>
    </row>
    <row r="3042" spans="1:30" s="1264" customFormat="1" ht="16.5" customHeight="1">
      <c r="A3042" s="309" t="str">
        <f>IF(B3042&lt;&gt;"",IF(AND(B3042='IN-TC'!$S$4,OR(TH!N3042="1111",TH!O3042="1111")),TH!D3042,""),"")</f>
        <v/>
      </c>
      <c r="B3042" s="1279">
        <f t="shared" si="1075"/>
        <v>8</v>
      </c>
      <c r="C3042" s="71">
        <v>42961</v>
      </c>
      <c r="D3042" s="71" t="s">
        <v>902</v>
      </c>
      <c r="E3042" s="71">
        <f t="shared" si="1084"/>
        <v>42961</v>
      </c>
      <c r="F3042" s="72" t="s">
        <v>1321</v>
      </c>
      <c r="G3042" s="72" t="s">
        <v>747</v>
      </c>
      <c r="H3042" s="73" t="s">
        <v>1082</v>
      </c>
      <c r="I3042" s="73"/>
      <c r="J3042" s="378"/>
      <c r="K3042" s="371">
        <v>83500</v>
      </c>
      <c r="L3042" s="377">
        <v>22710</v>
      </c>
      <c r="M3042" s="74">
        <f t="shared" ref="M3042" si="1107">ROUND(K3042*L3042,0)</f>
        <v>1896285000</v>
      </c>
      <c r="N3042" s="75" t="s">
        <v>250</v>
      </c>
      <c r="O3042" s="934" t="s">
        <v>256</v>
      </c>
      <c r="P3042" s="75" t="str">
        <f>IF(AND('331-CT'!$E$7=TH!H3042,OR(N3042="331",O3042="331")),"x","")</f>
        <v/>
      </c>
      <c r="Q3042" s="75" t="str">
        <f>IF(AND(B3042='111'!$L$11,OR($N3042=$Q$7,$O3042=$Q$7)),"x","")</f>
        <v/>
      </c>
      <c r="R3042" s="75" t="str">
        <f>IF(AND($N3042=$Q$7,$B3042&lt;'111'!$L$11),"x","")</f>
        <v/>
      </c>
      <c r="S3042" s="75" t="str">
        <f>IF(AND($O3042=$Q$7,$B3042&lt;'111'!$L$11),"x","")</f>
        <v/>
      </c>
      <c r="T3042" s="75" t="str">
        <f>IF(ISERROR(FIND('112'!$M$9,G3042,1)),"",IF((AND(FIND('112'!$M$9,G3042,1)&gt;=1,B3042='112'!$K$9,OR($N3042='112'!$I$6,$O3042='112'!$I$6))),"x",""))</f>
        <v/>
      </c>
      <c r="U3042" s="75" t="str">
        <f>IF(ISERROR(FIND('112'!$M$9,G3042,1)),"",IF((AND(LEFT(G3042,2)=LEFT('112'!$M$9,2),B3042&lt;'112'!$K$9,$N3042='112'!$I$6)),"x",""))</f>
        <v/>
      </c>
      <c r="V3042" s="75" t="str">
        <f>IF(ISERROR(FIND('112'!$M$9,G3042,1)),"",IF((AND(RIGHT(G3042,2)=RIGHT('112'!$M$9,2),B3042&lt;'112'!$K$9,$O3042='112'!$I$6)),"x",""))</f>
        <v/>
      </c>
      <c r="W3042" s="75" t="str">
        <f>IF(AND('341-CT'!$H$9=H3042,OR(LEFT(N3042,3)=$W$7,LEFT(O3042,3)=$W$7)),"x","")</f>
        <v/>
      </c>
      <c r="X3042" s="75" t="str">
        <f>IF(OR(TH!N3042=TH!$X$7,O3042=TH!$X$7),"x","")</f>
        <v/>
      </c>
      <c r="Y3042" s="75" t="str">
        <f>IF(AND(OR(N3042="131",O3042="131"),H3042='131-CT'!$H$9),"x","")</f>
        <v/>
      </c>
      <c r="Z3042" s="75"/>
      <c r="AA3042" s="75" t="str">
        <f>IF(AND(MONTH(E3042)='IN-NX'!$J$5,'IN-NX'!$D$7=D3042),"x","")</f>
        <v/>
      </c>
      <c r="AB3042" s="75" t="str">
        <f>IF(AND(OR(LEFT(TH!N3042,2)="15",LEFT(TH!O3042,2)="15"),LEFT(TH!O3042,3)&lt;&gt;"111",'152-CT'!$J$8=TH!F3042),"x","")</f>
        <v/>
      </c>
      <c r="AC3042" s="75" t="str">
        <f>IF(AND(OR(LEFT(TH!N3042,2)="15",LEFT(TH!O3042,2)="15"),TK!$E$7=TH!F3042),"x","")</f>
        <v/>
      </c>
      <c r="AD3042" s="75" t="str">
        <f>IF(AND(N3042="1521",MONTH(C3042)='BK-NL'!$M$11),"x","")</f>
        <v/>
      </c>
    </row>
    <row r="3043" spans="1:30" s="1264" customFormat="1" ht="16.5" customHeight="1">
      <c r="A3043" s="309" t="str">
        <f>IF(B3043&lt;&gt;"",IF(AND(B3043='IN-TC'!$S$4,OR(TH!N3043="1111",TH!O3043="1111")),TH!D3043,""),"")</f>
        <v/>
      </c>
      <c r="B3043" s="1279">
        <f t="shared" si="1075"/>
        <v>8</v>
      </c>
      <c r="C3043" s="71">
        <v>42961</v>
      </c>
      <c r="D3043" s="71" t="s">
        <v>530</v>
      </c>
      <c r="E3043" s="71">
        <f t="shared" si="1084"/>
        <v>42961</v>
      </c>
      <c r="F3043" s="72" t="s">
        <v>1010</v>
      </c>
      <c r="G3043" s="72" t="s">
        <v>747</v>
      </c>
      <c r="H3043" s="73" t="s">
        <v>1082</v>
      </c>
      <c r="I3043" s="73"/>
      <c r="J3043" s="378"/>
      <c r="K3043" s="371"/>
      <c r="L3043" s="377"/>
      <c r="M3043" s="74">
        <v>10020000</v>
      </c>
      <c r="N3043" s="75" t="s">
        <v>250</v>
      </c>
      <c r="O3043" s="934" t="s">
        <v>43</v>
      </c>
      <c r="P3043" s="75" t="str">
        <f>IF(AND('331-CT'!$E$7=TH!H3043,OR(N3043="331",O3043="331")),"x","")</f>
        <v/>
      </c>
      <c r="Q3043" s="75" t="str">
        <f>IF(AND(B3043='111'!$L$11,OR($N3043=$Q$7,$O3043=$Q$7)),"x","")</f>
        <v/>
      </c>
      <c r="R3043" s="75" t="str">
        <f>IF(AND($N3043=$Q$7,$B3043&lt;'111'!$L$11),"x","")</f>
        <v/>
      </c>
      <c r="S3043" s="75" t="str">
        <f>IF(AND($O3043=$Q$7,$B3043&lt;'111'!$L$11),"x","")</f>
        <v/>
      </c>
      <c r="T3043" s="75" t="str">
        <f>IF(ISERROR(FIND('112'!$M$9,G3043,1)),"",IF((AND(FIND('112'!$M$9,G3043,1)&gt;=1,B3043='112'!$K$9,OR($N3043='112'!$I$6,$O3043='112'!$I$6))),"x",""))</f>
        <v/>
      </c>
      <c r="U3043" s="75" t="str">
        <f>IF(ISERROR(FIND('112'!$M$9,G3043,1)),"",IF((AND(LEFT(G3043,2)=LEFT('112'!$M$9,2),B3043&lt;'112'!$K$9,$N3043='112'!$I$6)),"x",""))</f>
        <v/>
      </c>
      <c r="V3043" s="75" t="str">
        <f>IF(ISERROR(FIND('112'!$M$9,G3043,1)),"",IF((AND(RIGHT(G3043,2)=RIGHT('112'!$M$9,2),B3043&lt;'112'!$K$9,$O3043='112'!$I$6)),"x",""))</f>
        <v/>
      </c>
      <c r="W3043" s="75" t="str">
        <f>IF(AND('341-CT'!$H$9=H3043,OR(LEFT(N3043,3)=$W$7,LEFT(O3043,3)=$W$7)),"x","")</f>
        <v/>
      </c>
      <c r="X3043" s="75" t="str">
        <f>IF(OR(TH!N3043=TH!$X$7,O3043=TH!$X$7),"x","")</f>
        <v/>
      </c>
      <c r="Y3043" s="75" t="str">
        <f>IF(AND(OR(N3043="131",O3043="131"),H3043='131-CT'!$H$9),"x","")</f>
        <v/>
      </c>
      <c r="Z3043" s="75"/>
      <c r="AA3043" s="75" t="str">
        <f>IF(AND(MONTH(E3043)='IN-NX'!$J$5,'IN-NX'!$D$7=D3043),"x","")</f>
        <v/>
      </c>
      <c r="AB3043" s="75" t="str">
        <f>IF(AND(OR(LEFT(TH!N3043,2)="15",LEFT(TH!O3043,2)="15"),LEFT(TH!O3043,3)&lt;&gt;"111",'152-CT'!$J$8=TH!F3043),"x","")</f>
        <v/>
      </c>
      <c r="AC3043" s="75" t="str">
        <f>IF(AND(OR(LEFT(TH!N3043,2)="15",LEFT(TH!O3043,2)="15"),TK!$E$7=TH!F3043),"x","")</f>
        <v/>
      </c>
      <c r="AD3043" s="75" t="str">
        <f>IF(AND(N3043="1521",MONTH(C3043)='BK-NL'!$M$11),"x","")</f>
        <v/>
      </c>
    </row>
    <row r="3044" spans="1:30" s="1264" customFormat="1" ht="16.5" customHeight="1">
      <c r="A3044" s="309" t="str">
        <f>IF(B3044&lt;&gt;"",IF(AND(B3044='IN-TC'!$S$4,OR(TH!N3044="1111",TH!O3044="1111")),TH!D3044,""),"")</f>
        <v/>
      </c>
      <c r="B3044" s="1279">
        <f t="shared" si="1075"/>
        <v>8</v>
      </c>
      <c r="C3044" s="71">
        <v>42964</v>
      </c>
      <c r="D3044" s="71" t="s">
        <v>902</v>
      </c>
      <c r="E3044" s="71">
        <f t="shared" si="1084"/>
        <v>42964</v>
      </c>
      <c r="F3044" s="72" t="s">
        <v>907</v>
      </c>
      <c r="G3044" s="72" t="s">
        <v>747</v>
      </c>
      <c r="H3044" s="73" t="s">
        <v>835</v>
      </c>
      <c r="I3044" s="73"/>
      <c r="J3044" s="378"/>
      <c r="K3044" s="371">
        <v>200000</v>
      </c>
      <c r="L3044" s="377">
        <v>22720</v>
      </c>
      <c r="M3044" s="74">
        <f t="shared" ref="M3044:M3061" si="1108">ROUND(K3044*L3044,0)</f>
        <v>4544000000</v>
      </c>
      <c r="N3044" s="75" t="s">
        <v>26</v>
      </c>
      <c r="O3044" s="934" t="s">
        <v>256</v>
      </c>
      <c r="P3044" s="75" t="str">
        <f>IF(AND('331-CT'!$E$7=TH!H3044,OR(N3044="331",O3044="331")),"x","")</f>
        <v/>
      </c>
      <c r="Q3044" s="75" t="str">
        <f>IF(AND(B3044='111'!$L$11,OR($N3044=$Q$7,$O3044=$Q$7)),"x","")</f>
        <v/>
      </c>
      <c r="R3044" s="75" t="str">
        <f>IF(AND($N3044=$Q$7,$B3044&lt;'111'!$L$11),"x","")</f>
        <v/>
      </c>
      <c r="S3044" s="75" t="str">
        <f>IF(AND($O3044=$Q$7,$B3044&lt;'111'!$L$11),"x","")</f>
        <v/>
      </c>
      <c r="T3044" s="75" t="str">
        <f>IF(ISERROR(FIND('112'!$M$9,G3044,1)),"",IF((AND(FIND('112'!$M$9,G3044,1)&gt;=1,B3044='112'!$K$9,OR($N3044='112'!$I$6,$O3044='112'!$I$6))),"x",""))</f>
        <v/>
      </c>
      <c r="U3044" s="75" t="str">
        <f>IF(ISERROR(FIND('112'!$M$9,G3044,1)),"",IF((AND(LEFT(G3044,2)=LEFT('112'!$M$9,2),B3044&lt;'112'!$K$9,$N3044='112'!$I$6)),"x",""))</f>
        <v/>
      </c>
      <c r="V3044" s="75" t="str">
        <f>IF(ISERROR(FIND('112'!$M$9,G3044,1)),"",IF((AND(RIGHT(G3044,2)=RIGHT('112'!$M$9,2),B3044&lt;'112'!$K$9,$O3044='112'!$I$6)),"x",""))</f>
        <v/>
      </c>
      <c r="W3044" s="75" t="str">
        <f>IF(AND('341-CT'!$H$9=H3044,OR(LEFT(N3044,3)=$W$7,LEFT(O3044,3)=$W$7)),"x","")</f>
        <v/>
      </c>
      <c r="X3044" s="75" t="str">
        <f>IF(OR(TH!N3044=TH!$X$7,O3044=TH!$X$7),"x","")</f>
        <v/>
      </c>
      <c r="Y3044" s="75" t="str">
        <f>IF(AND(OR(N3044="131",O3044="131"),H3044='131-CT'!$H$9),"x","")</f>
        <v/>
      </c>
      <c r="Z3044" s="75"/>
      <c r="AA3044" s="75" t="str">
        <f>IF(AND(MONTH(E3044)='IN-NX'!$J$5,'IN-NX'!$D$7=D3044),"x","")</f>
        <v/>
      </c>
      <c r="AB3044" s="75" t="str">
        <f>IF(AND(OR(LEFT(TH!N3044,2)="15",LEFT(TH!O3044,2)="15"),LEFT(TH!O3044,3)&lt;&gt;"111",'152-CT'!$J$8=TH!F3044),"x","")</f>
        <v/>
      </c>
      <c r="AC3044" s="75" t="str">
        <f>IF(AND(OR(LEFT(TH!N3044,2)="15",LEFT(TH!O3044,2)="15"),TK!$E$7=TH!F3044),"x","")</f>
        <v/>
      </c>
      <c r="AD3044" s="75" t="str">
        <f>IF(AND(N3044="1521",MONTH(C3044)='BK-NL'!$M$11),"x","")</f>
        <v/>
      </c>
    </row>
    <row r="3045" spans="1:30" s="1264" customFormat="1" ht="16.5" customHeight="1">
      <c r="A3045" s="309" t="str">
        <f>IF(B3045&lt;&gt;"",IF(AND(B3045='IN-TC'!$S$4,OR(TH!N3045="1111",TH!O3045="1111")),TH!D3045,""),"")</f>
        <v/>
      </c>
      <c r="B3045" s="1279">
        <f t="shared" si="1075"/>
        <v>8</v>
      </c>
      <c r="C3045" s="71">
        <v>42969</v>
      </c>
      <c r="D3045" s="71" t="s">
        <v>902</v>
      </c>
      <c r="E3045" s="71">
        <f t="shared" si="1084"/>
        <v>42969</v>
      </c>
      <c r="F3045" s="72" t="s">
        <v>1096</v>
      </c>
      <c r="G3045" s="72" t="s">
        <v>747</v>
      </c>
      <c r="H3045" s="73" t="s">
        <v>1558</v>
      </c>
      <c r="I3045" s="73"/>
      <c r="J3045" s="378"/>
      <c r="K3045" s="372">
        <v>330.67</v>
      </c>
      <c r="L3045" s="377">
        <v>22700</v>
      </c>
      <c r="M3045" s="74">
        <f t="shared" si="1108"/>
        <v>7506209</v>
      </c>
      <c r="N3045" s="75" t="s">
        <v>99</v>
      </c>
      <c r="O3045" s="934" t="s">
        <v>256</v>
      </c>
      <c r="P3045" s="75" t="str">
        <f>IF(AND('331-CT'!$E$7=TH!H3045,OR(N3045="331",O3045="331")),"x","")</f>
        <v/>
      </c>
      <c r="Q3045" s="75" t="str">
        <f>IF(AND(B3045='111'!$L$11,OR($N3045=$Q$7,$O3045=$Q$7)),"x","")</f>
        <v/>
      </c>
      <c r="R3045" s="75" t="str">
        <f>IF(AND($N3045=$Q$7,$B3045&lt;'111'!$L$11),"x","")</f>
        <v/>
      </c>
      <c r="S3045" s="75" t="str">
        <f>IF(AND($O3045=$Q$7,$B3045&lt;'111'!$L$11),"x","")</f>
        <v/>
      </c>
      <c r="T3045" s="75" t="str">
        <f>IF(ISERROR(FIND('112'!$M$9,G3045,1)),"",IF((AND(FIND('112'!$M$9,G3045,1)&gt;=1,B3045='112'!$K$9,OR($N3045='112'!$I$6,$O3045='112'!$I$6))),"x",""))</f>
        <v/>
      </c>
      <c r="U3045" s="75" t="str">
        <f>IF(ISERROR(FIND('112'!$M$9,G3045,1)),"",IF((AND(LEFT(G3045,2)=LEFT('112'!$M$9,2),B3045&lt;'112'!$K$9,$N3045='112'!$I$6)),"x",""))</f>
        <v/>
      </c>
      <c r="V3045" s="75" t="str">
        <f>IF(ISERROR(FIND('112'!$M$9,G3045,1)),"",IF((AND(RIGHT(G3045,2)=RIGHT('112'!$M$9,2),B3045&lt;'112'!$K$9,$O3045='112'!$I$6)),"x",""))</f>
        <v/>
      </c>
      <c r="W3045" s="75" t="str">
        <f>IF(AND('341-CT'!$H$9=H3045,OR(LEFT(N3045,3)=$W$7,LEFT(O3045,3)=$W$7)),"x","")</f>
        <v/>
      </c>
      <c r="X3045" s="75" t="str">
        <f>IF(OR(TH!N3045=TH!$X$7,O3045=TH!$X$7),"x","")</f>
        <v/>
      </c>
      <c r="Y3045" s="75" t="str">
        <f>IF(AND(OR(N3045="131",O3045="131"),H3045='131-CT'!$H$9),"x","")</f>
        <v/>
      </c>
      <c r="Z3045" s="75"/>
      <c r="AA3045" s="75" t="str">
        <f>IF(AND(MONTH(E3045)='IN-NX'!$J$5,'IN-NX'!$D$7=D3045),"x","")</f>
        <v/>
      </c>
      <c r="AB3045" s="75" t="str">
        <f>IF(AND(OR(LEFT(TH!N3045,2)="15",LEFT(TH!O3045,2)="15"),LEFT(TH!O3045,3)&lt;&gt;"111",'152-CT'!$J$8=TH!F3045),"x","")</f>
        <v/>
      </c>
      <c r="AC3045" s="75" t="str">
        <f>IF(AND(OR(LEFT(TH!N3045,2)="15",LEFT(TH!O3045,2)="15"),TK!$E$7=TH!F3045),"x","")</f>
        <v/>
      </c>
      <c r="AD3045" s="75" t="str">
        <f>IF(AND(N3045="1521",MONTH(C3045)='BK-NL'!$M$11),"x","")</f>
        <v/>
      </c>
    </row>
    <row r="3046" spans="1:30" s="1264" customFormat="1" ht="16.5" customHeight="1">
      <c r="A3046" s="309" t="str">
        <f>IF(B3046&lt;&gt;"",IF(AND(B3046='IN-TC'!$S$4,OR(TH!N3046="1111",TH!O3046="1111")),TH!D3046,""),"")</f>
        <v/>
      </c>
      <c r="B3046" s="1279">
        <f t="shared" si="1075"/>
        <v>8</v>
      </c>
      <c r="C3046" s="71">
        <v>42969</v>
      </c>
      <c r="D3046" s="71" t="s">
        <v>902</v>
      </c>
      <c r="E3046" s="71">
        <f t="shared" si="1084"/>
        <v>42969</v>
      </c>
      <c r="F3046" s="72" t="s">
        <v>1096</v>
      </c>
      <c r="G3046" s="72" t="s">
        <v>747</v>
      </c>
      <c r="H3046" s="296" t="s">
        <v>1557</v>
      </c>
      <c r="I3046" s="73"/>
      <c r="J3046" s="377"/>
      <c r="K3046" s="371">
        <v>371.25</v>
      </c>
      <c r="L3046" s="377">
        <v>22700</v>
      </c>
      <c r="M3046" s="74">
        <f t="shared" si="1108"/>
        <v>8427375</v>
      </c>
      <c r="N3046" s="75" t="s">
        <v>99</v>
      </c>
      <c r="O3046" s="934" t="s">
        <v>256</v>
      </c>
      <c r="P3046" s="75" t="str">
        <f>IF(AND('331-CT'!$E$7=TH!H3046,OR(N3046="331",O3046="331")),"x","")</f>
        <v/>
      </c>
      <c r="Q3046" s="75" t="str">
        <f>IF(AND(B3046='111'!$L$11,OR($N3046=$Q$7,$O3046=$Q$7)),"x","")</f>
        <v/>
      </c>
      <c r="R3046" s="75" t="str">
        <f>IF(AND($N3046=$Q$7,$B3046&lt;'111'!$L$11),"x","")</f>
        <v/>
      </c>
      <c r="S3046" s="75" t="str">
        <f>IF(AND($O3046=$Q$7,$B3046&lt;'111'!$L$11),"x","")</f>
        <v/>
      </c>
      <c r="T3046" s="75" t="str">
        <f>IF(ISERROR(FIND('112'!$M$9,G3046,1)),"",IF((AND(FIND('112'!$M$9,G3046,1)&gt;=1,B3046='112'!$K$9,OR($N3046='112'!$I$6,$O3046='112'!$I$6))),"x",""))</f>
        <v/>
      </c>
      <c r="U3046" s="75" t="str">
        <f>IF(ISERROR(FIND('112'!$M$9,G3046,1)),"",IF((AND(LEFT(G3046,2)=LEFT('112'!$M$9,2),B3046&lt;'112'!$K$9,$N3046='112'!$I$6)),"x",""))</f>
        <v/>
      </c>
      <c r="V3046" s="75" t="str">
        <f>IF(ISERROR(FIND('112'!$M$9,G3046,1)),"",IF((AND(RIGHT(G3046,2)=RIGHT('112'!$M$9,2),B3046&lt;'112'!$K$9,$O3046='112'!$I$6)),"x",""))</f>
        <v/>
      </c>
      <c r="W3046" s="75" t="str">
        <f>IF(AND('341-CT'!$H$9=H3046,OR(LEFT(N3046,3)=$W$7,LEFT(O3046,3)=$W$7)),"x","")</f>
        <v/>
      </c>
      <c r="X3046" s="75" t="str">
        <f>IF(OR(TH!N3046=TH!$X$7,O3046=TH!$X$7),"x","")</f>
        <v/>
      </c>
      <c r="Y3046" s="75" t="str">
        <f>IF(AND(OR(N3046="131",O3046="131"),H3046='131-CT'!$H$9),"x","")</f>
        <v/>
      </c>
      <c r="Z3046" s="75"/>
      <c r="AA3046" s="75" t="str">
        <f>IF(AND(MONTH(E3046)='IN-NX'!$J$5,'IN-NX'!$D$7=D3046),"x","")</f>
        <v/>
      </c>
      <c r="AB3046" s="75" t="str">
        <f>IF(AND(OR(LEFT(TH!N3046,2)="15",LEFT(TH!O3046,2)="15"),LEFT(TH!O3046,3)&lt;&gt;"111",'152-CT'!$J$8=TH!F3046),"x","")</f>
        <v/>
      </c>
      <c r="AC3046" s="75" t="str">
        <f>IF(AND(OR(LEFT(TH!N3046,2)="15",LEFT(TH!O3046,2)="15"),TK!$E$7=TH!F3046),"x","")</f>
        <v/>
      </c>
      <c r="AD3046" s="75" t="str">
        <f>IF(AND(N3046="1521",MONTH(C3046)='BK-NL'!$M$11),"x","")</f>
        <v/>
      </c>
    </row>
    <row r="3047" spans="1:30" s="1264" customFormat="1" ht="16.5" customHeight="1">
      <c r="A3047" s="309" t="str">
        <f>IF(B3047&lt;&gt;"",IF(AND(B3047='IN-TC'!$S$4,OR(TH!N3047="1111",TH!O3047="1111")),TH!D3047,""),"")</f>
        <v/>
      </c>
      <c r="B3047" s="1279">
        <f t="shared" si="1075"/>
        <v>8</v>
      </c>
      <c r="C3047" s="71">
        <v>42969</v>
      </c>
      <c r="D3047" s="71" t="s">
        <v>902</v>
      </c>
      <c r="E3047" s="71">
        <f t="shared" si="1084"/>
        <v>42969</v>
      </c>
      <c r="F3047" s="72" t="s">
        <v>1096</v>
      </c>
      <c r="G3047" s="72" t="s">
        <v>747</v>
      </c>
      <c r="H3047" s="73" t="s">
        <v>1560</v>
      </c>
      <c r="I3047" s="73"/>
      <c r="J3047" s="1214"/>
      <c r="K3047" s="1213">
        <v>38.659999999999997</v>
      </c>
      <c r="L3047" s="377">
        <v>22700</v>
      </c>
      <c r="M3047" s="74">
        <f t="shared" si="1108"/>
        <v>877582</v>
      </c>
      <c r="N3047" s="75" t="s">
        <v>99</v>
      </c>
      <c r="O3047" s="934" t="s">
        <v>256</v>
      </c>
      <c r="P3047" s="75" t="str">
        <f>IF(AND('331-CT'!$E$7=TH!H3047,OR(N3047="331",O3047="331")),"x","")</f>
        <v/>
      </c>
      <c r="Q3047" s="75" t="str">
        <f>IF(AND(B3047='111'!$L$11,OR($N3047=$Q$7,$O3047=$Q$7)),"x","")</f>
        <v/>
      </c>
      <c r="R3047" s="75" t="str">
        <f>IF(AND($N3047=$Q$7,$B3047&lt;'111'!$L$11),"x","")</f>
        <v/>
      </c>
      <c r="S3047" s="75" t="str">
        <f>IF(AND($O3047=$Q$7,$B3047&lt;'111'!$L$11),"x","")</f>
        <v/>
      </c>
      <c r="T3047" s="75" t="str">
        <f>IF(ISERROR(FIND('112'!$M$9,G3047,1)),"",IF((AND(FIND('112'!$M$9,G3047,1)&gt;=1,B3047='112'!$K$9,OR($N3047='112'!$I$6,$O3047='112'!$I$6))),"x",""))</f>
        <v/>
      </c>
      <c r="U3047" s="75" t="str">
        <f>IF(ISERROR(FIND('112'!$M$9,G3047,1)),"",IF((AND(LEFT(G3047,2)=LEFT('112'!$M$9,2),B3047&lt;'112'!$K$9,$N3047='112'!$I$6)),"x",""))</f>
        <v/>
      </c>
      <c r="V3047" s="75" t="str">
        <f>IF(ISERROR(FIND('112'!$M$9,G3047,1)),"",IF((AND(RIGHT(G3047,2)=RIGHT('112'!$M$9,2),B3047&lt;'112'!$K$9,$O3047='112'!$I$6)),"x",""))</f>
        <v/>
      </c>
      <c r="W3047" s="75" t="str">
        <f>IF(AND('341-CT'!$H$9=H3047,OR(LEFT(N3047,3)=$W$7,LEFT(O3047,3)=$W$7)),"x","")</f>
        <v/>
      </c>
      <c r="X3047" s="75" t="str">
        <f>IF(OR(TH!N3047=TH!$X$7,O3047=TH!$X$7),"x","")</f>
        <v/>
      </c>
      <c r="Y3047" s="75" t="str">
        <f>IF(AND(OR(N3047="131",O3047="131"),H3047='131-CT'!$H$9),"x","")</f>
        <v/>
      </c>
      <c r="Z3047" s="75"/>
      <c r="AA3047" s="75" t="str">
        <f>IF(AND(MONTH(E3047)='IN-NX'!$J$5,'IN-NX'!$D$7=D3047),"x","")</f>
        <v/>
      </c>
      <c r="AB3047" s="75" t="str">
        <f>IF(AND(OR(LEFT(TH!N3047,2)="15",LEFT(TH!O3047,2)="15"),LEFT(TH!O3047,3)&lt;&gt;"111",'152-CT'!$J$8=TH!F3047),"x","")</f>
        <v/>
      </c>
      <c r="AC3047" s="75" t="str">
        <f>IF(AND(OR(LEFT(TH!N3047,2)="15",LEFT(TH!O3047,2)="15"),TK!$E$7=TH!F3047),"x","")</f>
        <v/>
      </c>
      <c r="AD3047" s="75" t="str">
        <f>IF(AND(N3047="1521",MONTH(C3047)='BK-NL'!$M$11),"x","")</f>
        <v/>
      </c>
    </row>
    <row r="3048" spans="1:30" s="1264" customFormat="1" ht="16.5" customHeight="1">
      <c r="A3048" s="309" t="str">
        <f>IF(B3048&lt;&gt;"",IF(AND(B3048='IN-TC'!$S$4,OR(TH!N3048="1111",TH!O3048="1111")),TH!D3048,""),"")</f>
        <v/>
      </c>
      <c r="B3048" s="1279">
        <f t="shared" si="1075"/>
        <v>8</v>
      </c>
      <c r="C3048" s="71">
        <v>42969</v>
      </c>
      <c r="D3048" s="71" t="s">
        <v>902</v>
      </c>
      <c r="E3048" s="71">
        <f t="shared" si="1084"/>
        <v>42969</v>
      </c>
      <c r="F3048" s="72" t="s">
        <v>1096</v>
      </c>
      <c r="G3048" s="72" t="s">
        <v>747</v>
      </c>
      <c r="H3048" s="73" t="s">
        <v>1780</v>
      </c>
      <c r="I3048" s="73"/>
      <c r="J3048" s="1214"/>
      <c r="K3048" s="1213">
        <v>216.35</v>
      </c>
      <c r="L3048" s="377">
        <v>22700</v>
      </c>
      <c r="M3048" s="74">
        <f t="shared" si="1108"/>
        <v>4911145</v>
      </c>
      <c r="N3048" s="75" t="s">
        <v>99</v>
      </c>
      <c r="O3048" s="934" t="s">
        <v>256</v>
      </c>
      <c r="P3048" s="75" t="str">
        <f>IF(AND('331-CT'!$E$7=TH!H3048,OR(N3048="331",O3048="331")),"x","")</f>
        <v/>
      </c>
      <c r="Q3048" s="75" t="str">
        <f>IF(AND(B3048='111'!$L$11,OR($N3048=$Q$7,$O3048=$Q$7)),"x","")</f>
        <v/>
      </c>
      <c r="R3048" s="75" t="str">
        <f>IF(AND($N3048=$Q$7,$B3048&lt;'111'!$L$11),"x","")</f>
        <v/>
      </c>
      <c r="S3048" s="75" t="str">
        <f>IF(AND($O3048=$Q$7,$B3048&lt;'111'!$L$11),"x","")</f>
        <v/>
      </c>
      <c r="T3048" s="75" t="str">
        <f>IF(ISERROR(FIND('112'!$M$9,G3048,1)),"",IF((AND(FIND('112'!$M$9,G3048,1)&gt;=1,B3048='112'!$K$9,OR($N3048='112'!$I$6,$O3048='112'!$I$6))),"x",""))</f>
        <v/>
      </c>
      <c r="U3048" s="75" t="str">
        <f>IF(ISERROR(FIND('112'!$M$9,G3048,1)),"",IF((AND(LEFT(G3048,2)=LEFT('112'!$M$9,2),B3048&lt;'112'!$K$9,$N3048='112'!$I$6)),"x",""))</f>
        <v/>
      </c>
      <c r="V3048" s="75" t="str">
        <f>IF(ISERROR(FIND('112'!$M$9,G3048,1)),"",IF((AND(RIGHT(G3048,2)=RIGHT('112'!$M$9,2),B3048&lt;'112'!$K$9,$O3048='112'!$I$6)),"x",""))</f>
        <v/>
      </c>
      <c r="W3048" s="75" t="str">
        <f>IF(AND('341-CT'!$H$9=H3048,OR(LEFT(N3048,3)=$W$7,LEFT(O3048,3)=$W$7)),"x","")</f>
        <v/>
      </c>
      <c r="X3048" s="75" t="str">
        <f>IF(OR(TH!N3048=TH!$X$7,O3048=TH!$X$7),"x","")</f>
        <v/>
      </c>
      <c r="Y3048" s="75" t="str">
        <f>IF(AND(OR(N3048="131",O3048="131"),H3048='131-CT'!$H$9),"x","")</f>
        <v/>
      </c>
      <c r="Z3048" s="75"/>
      <c r="AA3048" s="75" t="str">
        <f>IF(AND(MONTH(E3048)='IN-NX'!$J$5,'IN-NX'!$D$7=D3048),"x","")</f>
        <v/>
      </c>
      <c r="AB3048" s="75" t="str">
        <f>IF(AND(OR(LEFT(TH!N3048,2)="15",LEFT(TH!O3048,2)="15"),LEFT(TH!O3048,3)&lt;&gt;"111",'152-CT'!$J$8=TH!F3048),"x","")</f>
        <v/>
      </c>
      <c r="AC3048" s="75" t="str">
        <f>IF(AND(OR(LEFT(TH!N3048,2)="15",LEFT(TH!O3048,2)="15"),TK!$E$7=TH!F3048),"x","")</f>
        <v/>
      </c>
      <c r="AD3048" s="75" t="str">
        <f>IF(AND(N3048="1521",MONTH(C3048)='BK-NL'!$M$11),"x","")</f>
        <v/>
      </c>
    </row>
    <row r="3049" spans="1:30" s="1264" customFormat="1" ht="16.5" customHeight="1">
      <c r="A3049" s="309" t="str">
        <f>IF(B3049&lt;&gt;"",IF(AND(B3049='IN-TC'!$S$4,OR(TH!N3049="1111",TH!O3049="1111")),TH!D3049,""),"")</f>
        <v/>
      </c>
      <c r="B3049" s="1279">
        <f t="shared" si="1075"/>
        <v>8</v>
      </c>
      <c r="C3049" s="71">
        <v>42971</v>
      </c>
      <c r="D3049" s="71" t="s">
        <v>903</v>
      </c>
      <c r="E3049" s="71">
        <f t="shared" si="1084"/>
        <v>42971</v>
      </c>
      <c r="F3049" s="72" t="s">
        <v>2464</v>
      </c>
      <c r="G3049" s="72" t="s">
        <v>747</v>
      </c>
      <c r="H3049" s="73" t="s">
        <v>2465</v>
      </c>
      <c r="I3049" s="73"/>
      <c r="J3049" s="378"/>
      <c r="K3049" s="372">
        <v>3105.7</v>
      </c>
      <c r="L3049" s="378">
        <v>22700</v>
      </c>
      <c r="M3049" s="1214">
        <f t="shared" si="1108"/>
        <v>70499390</v>
      </c>
      <c r="N3049" s="75" t="s">
        <v>256</v>
      </c>
      <c r="O3049" s="75" t="s">
        <v>250</v>
      </c>
      <c r="P3049" s="75" t="str">
        <f>IF(AND('331-CT'!$E$7=TH!H3049,OR(N3049="331",O3049="331")),"x","")</f>
        <v/>
      </c>
      <c r="Q3049" s="75" t="str">
        <f>IF(AND(B3049='111'!$L$11,OR($N3049=$Q$7,$O3049=$Q$7)),"x","")</f>
        <v/>
      </c>
      <c r="R3049" s="75" t="str">
        <f>IF(AND($N3049=$Q$7,$B3049&lt;'111'!$L$11),"x","")</f>
        <v/>
      </c>
      <c r="S3049" s="75" t="str">
        <f>IF(AND($O3049=$Q$7,$B3049&lt;'111'!$L$11),"x","")</f>
        <v/>
      </c>
      <c r="T3049" s="75" t="str">
        <f>IF(ISERROR(FIND('112'!$M$9,G3049,1)),"",IF((AND(FIND('112'!$M$9,G3049,1)&gt;=1,B3049='112'!$K$9,OR($N3049='112'!$I$6,$O3049='112'!$I$6))),"x",""))</f>
        <v/>
      </c>
      <c r="U3049" s="75" t="str">
        <f>IF(ISERROR(FIND('112'!$M$9,G3049,1)),"",IF((AND(LEFT(G3049,2)=LEFT('112'!$M$9,2),B3049&lt;'112'!$K$9,$N3049='112'!$I$6)),"x",""))</f>
        <v/>
      </c>
      <c r="V3049" s="75" t="str">
        <f>IF(ISERROR(FIND('112'!$M$9,G3049,1)),"",IF((AND(RIGHT(G3049,2)=RIGHT('112'!$M$9,2),B3049&lt;'112'!$K$9,$O3049='112'!$I$6)),"x",""))</f>
        <v/>
      </c>
      <c r="W3049" s="75" t="str">
        <f>IF(AND('341-CT'!$H$9=H3049,OR(LEFT(N3049,3)=$W$7,LEFT(O3049,3)=$W$7)),"x","")</f>
        <v/>
      </c>
      <c r="X3049" s="75" t="str">
        <f>IF(OR(TH!N3049=TH!$X$7,O3049=TH!$X$7),"x","")</f>
        <v/>
      </c>
      <c r="Y3049" s="75" t="str">
        <f>IF(AND(OR(N3049="131",O3049="131"),H3049='131-CT'!$H$9),"x","")</f>
        <v/>
      </c>
      <c r="Z3049" s="75"/>
      <c r="AA3049" s="75" t="str">
        <f>IF(AND(MONTH(E3049)='IN-NX'!$J$5,'IN-NX'!$D$7=D3049),"x","")</f>
        <v/>
      </c>
      <c r="AB3049" s="75" t="str">
        <f>IF(AND(OR(LEFT(TH!N3049,2)="15",LEFT(TH!O3049,2)="15"),LEFT(TH!O3049,3)&lt;&gt;"111",'152-CT'!$J$8=TH!F3049),"x","")</f>
        <v/>
      </c>
      <c r="AC3049" s="75" t="str">
        <f>IF(AND(OR(LEFT(TH!N3049,2)="15",LEFT(TH!O3049,2)="15"),TK!$E$7=TH!F3049),"x","")</f>
        <v/>
      </c>
      <c r="AD3049" s="75" t="str">
        <f>IF(AND(N3049="1521",MONTH(C3049)='BK-NL'!$M$11),"x","")</f>
        <v/>
      </c>
    </row>
    <row r="3050" spans="1:30" s="1264" customFormat="1" ht="16.5" customHeight="1">
      <c r="A3050" s="309" t="str">
        <f>IF(B3050&lt;&gt;"",IF(AND(B3050='IN-TC'!$S$4,OR(TH!N3050="1111",TH!O3050="1111")),TH!D3050,""),"")</f>
        <v/>
      </c>
      <c r="B3050" s="1279">
        <f t="shared" si="1075"/>
        <v>8</v>
      </c>
      <c r="C3050" s="71">
        <v>42971</v>
      </c>
      <c r="D3050" s="71" t="s">
        <v>902</v>
      </c>
      <c r="E3050" s="71">
        <f t="shared" si="1084"/>
        <v>42971</v>
      </c>
      <c r="F3050" s="72" t="s">
        <v>1096</v>
      </c>
      <c r="G3050" s="72" t="s">
        <v>747</v>
      </c>
      <c r="H3050" s="73" t="s">
        <v>1556</v>
      </c>
      <c r="I3050" s="73"/>
      <c r="J3050" s="1214"/>
      <c r="K3050" s="1213">
        <v>226.1</v>
      </c>
      <c r="L3050" s="377">
        <v>22700</v>
      </c>
      <c r="M3050" s="74">
        <f t="shared" si="1108"/>
        <v>5132470</v>
      </c>
      <c r="N3050" s="75" t="s">
        <v>99</v>
      </c>
      <c r="O3050" s="934" t="s">
        <v>256</v>
      </c>
      <c r="P3050" s="75" t="str">
        <f>IF(AND('331-CT'!$E$7=TH!H3050,OR(N3050="331",O3050="331")),"x","")</f>
        <v/>
      </c>
      <c r="Q3050" s="75" t="str">
        <f>IF(AND(B3050='111'!$L$11,OR($N3050=$Q$7,$O3050=$Q$7)),"x","")</f>
        <v/>
      </c>
      <c r="R3050" s="75" t="str">
        <f>IF(AND($N3050=$Q$7,$B3050&lt;'111'!$L$11),"x","")</f>
        <v/>
      </c>
      <c r="S3050" s="75" t="str">
        <f>IF(AND($O3050=$Q$7,$B3050&lt;'111'!$L$11),"x","")</f>
        <v/>
      </c>
      <c r="T3050" s="75" t="str">
        <f>IF(ISERROR(FIND('112'!$M$9,G3050,1)),"",IF((AND(FIND('112'!$M$9,G3050,1)&gt;=1,B3050='112'!$K$9,OR($N3050='112'!$I$6,$O3050='112'!$I$6))),"x",""))</f>
        <v/>
      </c>
      <c r="U3050" s="75" t="str">
        <f>IF(ISERROR(FIND('112'!$M$9,G3050,1)),"",IF((AND(LEFT(G3050,2)=LEFT('112'!$M$9,2),B3050&lt;'112'!$K$9,$N3050='112'!$I$6)),"x",""))</f>
        <v/>
      </c>
      <c r="V3050" s="75" t="str">
        <f>IF(ISERROR(FIND('112'!$M$9,G3050,1)),"",IF((AND(RIGHT(G3050,2)=RIGHT('112'!$M$9,2),B3050&lt;'112'!$K$9,$O3050='112'!$I$6)),"x",""))</f>
        <v/>
      </c>
      <c r="W3050" s="75" t="str">
        <f>IF(AND('341-CT'!$H$9=H3050,OR(LEFT(N3050,3)=$W$7,LEFT(O3050,3)=$W$7)),"x","")</f>
        <v/>
      </c>
      <c r="X3050" s="75" t="str">
        <f>IF(OR(TH!N3050=TH!$X$7,O3050=TH!$X$7),"x","")</f>
        <v/>
      </c>
      <c r="Y3050" s="75" t="str">
        <f>IF(AND(OR(N3050="131",O3050="131"),H3050='131-CT'!$H$9),"x","")</f>
        <v/>
      </c>
      <c r="Z3050" s="75"/>
      <c r="AA3050" s="75" t="str">
        <f>IF(AND(MONTH(E3050)='IN-NX'!$J$5,'IN-NX'!$D$7=D3050),"x","")</f>
        <v/>
      </c>
      <c r="AB3050" s="75" t="str">
        <f>IF(AND(OR(LEFT(TH!N3050,2)="15",LEFT(TH!O3050,2)="15"),LEFT(TH!O3050,3)&lt;&gt;"111",'152-CT'!$J$8=TH!F3050),"x","")</f>
        <v/>
      </c>
      <c r="AC3050" s="75" t="str">
        <f>IF(AND(OR(LEFT(TH!N3050,2)="15",LEFT(TH!O3050,2)="15"),TK!$E$7=TH!F3050),"x","")</f>
        <v/>
      </c>
      <c r="AD3050" s="75" t="str">
        <f>IF(AND(N3050="1521",MONTH(C3050)='BK-NL'!$M$11),"x","")</f>
        <v/>
      </c>
    </row>
    <row r="3051" spans="1:30" s="1264" customFormat="1" ht="16.5" customHeight="1">
      <c r="A3051" s="309" t="str">
        <f>IF(B3051&lt;&gt;"",IF(AND(B3051='IN-TC'!$S$4,OR(TH!N3051="1111",TH!O3051="1111")),TH!D3051,""),"")</f>
        <v/>
      </c>
      <c r="B3051" s="1279">
        <f t="shared" si="1075"/>
        <v>8</v>
      </c>
      <c r="C3051" s="71">
        <v>42971</v>
      </c>
      <c r="D3051" s="71" t="s">
        <v>902</v>
      </c>
      <c r="E3051" s="71">
        <f t="shared" si="1084"/>
        <v>42971</v>
      </c>
      <c r="F3051" s="72" t="s">
        <v>1096</v>
      </c>
      <c r="G3051" s="72" t="s">
        <v>747</v>
      </c>
      <c r="H3051" s="73" t="s">
        <v>1555</v>
      </c>
      <c r="I3051" s="73"/>
      <c r="J3051" s="1214"/>
      <c r="K3051" s="1213">
        <v>135.05000000000001</v>
      </c>
      <c r="L3051" s="377">
        <v>22700</v>
      </c>
      <c r="M3051" s="74">
        <f t="shared" si="1108"/>
        <v>3065635</v>
      </c>
      <c r="N3051" s="75" t="s">
        <v>99</v>
      </c>
      <c r="O3051" s="934" t="s">
        <v>256</v>
      </c>
      <c r="P3051" s="75" t="str">
        <f>IF(AND('331-CT'!$E$7=TH!H3051,OR(N3051="331",O3051="331")),"x","")</f>
        <v/>
      </c>
      <c r="Q3051" s="75" t="str">
        <f>IF(AND(B3051='111'!$L$11,OR($N3051=$Q$7,$O3051=$Q$7)),"x","")</f>
        <v/>
      </c>
      <c r="R3051" s="75" t="str">
        <f>IF(AND($N3051=$Q$7,$B3051&lt;'111'!$L$11),"x","")</f>
        <v/>
      </c>
      <c r="S3051" s="75" t="str">
        <f>IF(AND($O3051=$Q$7,$B3051&lt;'111'!$L$11),"x","")</f>
        <v/>
      </c>
      <c r="T3051" s="75" t="str">
        <f>IF(ISERROR(FIND('112'!$M$9,G3051,1)),"",IF((AND(FIND('112'!$M$9,G3051,1)&gt;=1,B3051='112'!$K$9,OR($N3051='112'!$I$6,$O3051='112'!$I$6))),"x",""))</f>
        <v/>
      </c>
      <c r="U3051" s="75" t="str">
        <f>IF(ISERROR(FIND('112'!$M$9,G3051,1)),"",IF((AND(LEFT(G3051,2)=LEFT('112'!$M$9,2),B3051&lt;'112'!$K$9,$N3051='112'!$I$6)),"x",""))</f>
        <v/>
      </c>
      <c r="V3051" s="75" t="str">
        <f>IF(ISERROR(FIND('112'!$M$9,G3051,1)),"",IF((AND(RIGHT(G3051,2)=RIGHT('112'!$M$9,2),B3051&lt;'112'!$K$9,$O3051='112'!$I$6)),"x",""))</f>
        <v/>
      </c>
      <c r="W3051" s="75" t="str">
        <f>IF(AND('341-CT'!$H$9=H3051,OR(LEFT(N3051,3)=$W$7,LEFT(O3051,3)=$W$7)),"x","")</f>
        <v/>
      </c>
      <c r="X3051" s="75" t="str">
        <f>IF(OR(TH!N3051=TH!$X$7,O3051=TH!$X$7),"x","")</f>
        <v/>
      </c>
      <c r="Y3051" s="75" t="str">
        <f>IF(AND(OR(N3051="131",O3051="131"),H3051='131-CT'!$H$9),"x","")</f>
        <v/>
      </c>
      <c r="Z3051" s="75"/>
      <c r="AA3051" s="75" t="str">
        <f>IF(AND(MONTH(E3051)='IN-NX'!$J$5,'IN-NX'!$D$7=D3051),"x","")</f>
        <v/>
      </c>
      <c r="AB3051" s="75" t="str">
        <f>IF(AND(OR(LEFT(TH!N3051,2)="15",LEFT(TH!O3051,2)="15"),LEFT(TH!O3051,3)&lt;&gt;"111",'152-CT'!$J$8=TH!F3051),"x","")</f>
        <v/>
      </c>
      <c r="AC3051" s="75" t="str">
        <f>IF(AND(OR(LEFT(TH!N3051,2)="15",LEFT(TH!O3051,2)="15"),TK!$E$7=TH!F3051),"x","")</f>
        <v/>
      </c>
      <c r="AD3051" s="75" t="str">
        <f>IF(AND(N3051="1521",MONTH(C3051)='BK-NL'!$M$11),"x","")</f>
        <v/>
      </c>
    </row>
    <row r="3052" spans="1:30" s="1264" customFormat="1" ht="16.5" customHeight="1">
      <c r="A3052" s="309" t="str">
        <f>IF(B3052&lt;&gt;"",IF(AND(B3052='IN-TC'!$S$4,OR(TH!N3052="1111",TH!O3052="1111")),TH!D3052,""),"")</f>
        <v/>
      </c>
      <c r="B3052" s="1279">
        <f t="shared" si="1075"/>
        <v>8</v>
      </c>
      <c r="C3052" s="71">
        <v>42971</v>
      </c>
      <c r="D3052" s="71" t="s">
        <v>902</v>
      </c>
      <c r="E3052" s="71">
        <f t="shared" si="1084"/>
        <v>42971</v>
      </c>
      <c r="F3052" s="72" t="s">
        <v>1096</v>
      </c>
      <c r="G3052" s="72" t="s">
        <v>747</v>
      </c>
      <c r="H3052" s="73" t="s">
        <v>835</v>
      </c>
      <c r="I3052" s="73"/>
      <c r="J3052" s="1214"/>
      <c r="K3052" s="1213">
        <v>199.3</v>
      </c>
      <c r="L3052" s="377">
        <v>22700</v>
      </c>
      <c r="M3052" s="74">
        <f t="shared" si="1108"/>
        <v>4524110</v>
      </c>
      <c r="N3052" s="75" t="s">
        <v>99</v>
      </c>
      <c r="O3052" s="934" t="s">
        <v>256</v>
      </c>
      <c r="P3052" s="75" t="str">
        <f>IF(AND('331-CT'!$E$7=TH!H3052,OR(N3052="331",O3052="331")),"x","")</f>
        <v/>
      </c>
      <c r="Q3052" s="75" t="str">
        <f>IF(AND(B3052='111'!$L$11,OR($N3052=$Q$7,$O3052=$Q$7)),"x","")</f>
        <v/>
      </c>
      <c r="R3052" s="75" t="str">
        <f>IF(AND($N3052=$Q$7,$B3052&lt;'111'!$L$11),"x","")</f>
        <v/>
      </c>
      <c r="S3052" s="75" t="str">
        <f>IF(AND($O3052=$Q$7,$B3052&lt;'111'!$L$11),"x","")</f>
        <v/>
      </c>
      <c r="T3052" s="75" t="str">
        <f>IF(ISERROR(FIND('112'!$M$9,G3052,1)),"",IF((AND(FIND('112'!$M$9,G3052,1)&gt;=1,B3052='112'!$K$9,OR($N3052='112'!$I$6,$O3052='112'!$I$6))),"x",""))</f>
        <v/>
      </c>
      <c r="U3052" s="75" t="str">
        <f>IF(ISERROR(FIND('112'!$M$9,G3052,1)),"",IF((AND(LEFT(G3052,2)=LEFT('112'!$M$9,2),B3052&lt;'112'!$K$9,$N3052='112'!$I$6)),"x",""))</f>
        <v/>
      </c>
      <c r="V3052" s="75" t="str">
        <f>IF(ISERROR(FIND('112'!$M$9,G3052,1)),"",IF((AND(RIGHT(G3052,2)=RIGHT('112'!$M$9,2),B3052&lt;'112'!$K$9,$O3052='112'!$I$6)),"x",""))</f>
        <v/>
      </c>
      <c r="W3052" s="75" t="str">
        <f>IF(AND('341-CT'!$H$9=H3052,OR(LEFT(N3052,3)=$W$7,LEFT(O3052,3)=$W$7)),"x","")</f>
        <v/>
      </c>
      <c r="X3052" s="75" t="str">
        <f>IF(OR(TH!N3052=TH!$X$7,O3052=TH!$X$7),"x","")</f>
        <v/>
      </c>
      <c r="Y3052" s="75" t="str">
        <f>IF(AND(OR(N3052="131",O3052="131"),H3052='131-CT'!$H$9),"x","")</f>
        <v/>
      </c>
      <c r="Z3052" s="75"/>
      <c r="AA3052" s="75" t="str">
        <f>IF(AND(MONTH(E3052)='IN-NX'!$J$5,'IN-NX'!$D$7=D3052),"x","")</f>
        <v/>
      </c>
      <c r="AB3052" s="75" t="str">
        <f>IF(AND(OR(LEFT(TH!N3052,2)="15",LEFT(TH!O3052,2)="15"),LEFT(TH!O3052,3)&lt;&gt;"111",'152-CT'!$J$8=TH!F3052),"x","")</f>
        <v/>
      </c>
      <c r="AC3052" s="75" t="str">
        <f>IF(AND(OR(LEFT(TH!N3052,2)="15",LEFT(TH!O3052,2)="15"),TK!$E$7=TH!F3052),"x","")</f>
        <v/>
      </c>
      <c r="AD3052" s="75" t="str">
        <f>IF(AND(N3052="1521",MONTH(C3052)='BK-NL'!$M$11),"x","")</f>
        <v/>
      </c>
    </row>
    <row r="3053" spans="1:30" s="1264" customFormat="1" ht="16.5" customHeight="1">
      <c r="A3053" s="309" t="str">
        <f>IF(B3053&lt;&gt;"",IF(AND(B3053='IN-TC'!$S$4,OR(TH!N3053="1111",TH!O3053="1111")),TH!D3053,""),"")</f>
        <v/>
      </c>
      <c r="B3053" s="1279">
        <f t="shared" ref="B3053:B3118" si="1109">IF(C3053&lt;&gt;"",MONTH(C3053),"")</f>
        <v>8</v>
      </c>
      <c r="C3053" s="71">
        <v>42971</v>
      </c>
      <c r="D3053" s="71" t="s">
        <v>902</v>
      </c>
      <c r="E3053" s="71">
        <f t="shared" si="1084"/>
        <v>42971</v>
      </c>
      <c r="F3053" s="72" t="s">
        <v>1096</v>
      </c>
      <c r="G3053" s="72" t="s">
        <v>747</v>
      </c>
      <c r="H3053" s="73" t="s">
        <v>1560</v>
      </c>
      <c r="I3053" s="73"/>
      <c r="J3053" s="1214"/>
      <c r="K3053" s="1213">
        <v>261.81</v>
      </c>
      <c r="L3053" s="377">
        <v>22700</v>
      </c>
      <c r="M3053" s="74">
        <f t="shared" si="1108"/>
        <v>5943087</v>
      </c>
      <c r="N3053" s="75" t="s">
        <v>99</v>
      </c>
      <c r="O3053" s="934" t="s">
        <v>256</v>
      </c>
      <c r="P3053" s="75" t="str">
        <f>IF(AND('331-CT'!$E$7=TH!H3053,OR(N3053="331",O3053="331")),"x","")</f>
        <v/>
      </c>
      <c r="Q3053" s="75" t="str">
        <f>IF(AND(B3053='111'!$L$11,OR($N3053=$Q$7,$O3053=$Q$7)),"x","")</f>
        <v/>
      </c>
      <c r="R3053" s="75" t="str">
        <f>IF(AND($N3053=$Q$7,$B3053&lt;'111'!$L$11),"x","")</f>
        <v/>
      </c>
      <c r="S3053" s="75" t="str">
        <f>IF(AND($O3053=$Q$7,$B3053&lt;'111'!$L$11),"x","")</f>
        <v/>
      </c>
      <c r="T3053" s="75" t="str">
        <f>IF(ISERROR(FIND('112'!$M$9,G3053,1)),"",IF((AND(FIND('112'!$M$9,G3053,1)&gt;=1,B3053='112'!$K$9,OR($N3053='112'!$I$6,$O3053='112'!$I$6))),"x",""))</f>
        <v/>
      </c>
      <c r="U3053" s="75" t="str">
        <f>IF(ISERROR(FIND('112'!$M$9,G3053,1)),"",IF((AND(LEFT(G3053,2)=LEFT('112'!$M$9,2),B3053&lt;'112'!$K$9,$N3053='112'!$I$6)),"x",""))</f>
        <v/>
      </c>
      <c r="V3053" s="75" t="str">
        <f>IF(ISERROR(FIND('112'!$M$9,G3053,1)),"",IF((AND(RIGHT(G3053,2)=RIGHT('112'!$M$9,2),B3053&lt;'112'!$K$9,$O3053='112'!$I$6)),"x",""))</f>
        <v/>
      </c>
      <c r="W3053" s="75" t="str">
        <f>IF(AND('341-CT'!$H$9=H3053,OR(LEFT(N3053,3)=$W$7,LEFT(O3053,3)=$W$7)),"x","")</f>
        <v/>
      </c>
      <c r="X3053" s="75" t="str">
        <f>IF(OR(TH!N3053=TH!$X$7,O3053=TH!$X$7),"x","")</f>
        <v/>
      </c>
      <c r="Y3053" s="75" t="str">
        <f>IF(AND(OR(N3053="131",O3053="131"),H3053='131-CT'!$H$9),"x","")</f>
        <v/>
      </c>
      <c r="Z3053" s="75"/>
      <c r="AA3053" s="75" t="str">
        <f>IF(AND(MONTH(E3053)='IN-NX'!$J$5,'IN-NX'!$D$7=D3053),"x","")</f>
        <v/>
      </c>
      <c r="AB3053" s="75" t="str">
        <f>IF(AND(OR(LEFT(TH!N3053,2)="15",LEFT(TH!O3053,2)="15"),LEFT(TH!O3053,3)&lt;&gt;"111",'152-CT'!$J$8=TH!F3053),"x","")</f>
        <v/>
      </c>
      <c r="AC3053" s="75" t="str">
        <f>IF(AND(OR(LEFT(TH!N3053,2)="15",LEFT(TH!O3053,2)="15"),TK!$E$7=TH!F3053),"x","")</f>
        <v/>
      </c>
      <c r="AD3053" s="75" t="str">
        <f>IF(AND(N3053="1521",MONTH(C3053)='BK-NL'!$M$11),"x","")</f>
        <v/>
      </c>
    </row>
    <row r="3054" spans="1:30" s="1264" customFormat="1" ht="16.5" customHeight="1">
      <c r="A3054" s="309" t="str">
        <f>IF(B3054&lt;&gt;"",IF(AND(B3054='IN-TC'!$S$4,OR(TH!N3054="1111",TH!O3054="1111")),TH!D3054,""),"")</f>
        <v/>
      </c>
      <c r="B3054" s="1279">
        <f t="shared" si="1109"/>
        <v>8</v>
      </c>
      <c r="C3054" s="71">
        <v>42971</v>
      </c>
      <c r="D3054" s="71" t="s">
        <v>902</v>
      </c>
      <c r="E3054" s="71">
        <f t="shared" si="1084"/>
        <v>42971</v>
      </c>
      <c r="F3054" s="72" t="s">
        <v>1096</v>
      </c>
      <c r="G3054" s="72" t="s">
        <v>747</v>
      </c>
      <c r="H3054" s="73" t="s">
        <v>2032</v>
      </c>
      <c r="I3054" s="73"/>
      <c r="J3054" s="1214"/>
      <c r="K3054" s="1213">
        <v>226.11</v>
      </c>
      <c r="L3054" s="377">
        <v>22700</v>
      </c>
      <c r="M3054" s="74">
        <f t="shared" si="1108"/>
        <v>5132697</v>
      </c>
      <c r="N3054" s="75" t="s">
        <v>99</v>
      </c>
      <c r="O3054" s="934" t="s">
        <v>256</v>
      </c>
      <c r="P3054" s="75" t="str">
        <f>IF(AND('331-CT'!$E$7=TH!H3054,OR(N3054="331",O3054="331")),"x","")</f>
        <v/>
      </c>
      <c r="Q3054" s="75" t="str">
        <f>IF(AND(B3054='111'!$L$11,OR($N3054=$Q$7,$O3054=$Q$7)),"x","")</f>
        <v/>
      </c>
      <c r="R3054" s="75" t="str">
        <f>IF(AND($N3054=$Q$7,$B3054&lt;'111'!$L$11),"x","")</f>
        <v/>
      </c>
      <c r="S3054" s="75" t="str">
        <f>IF(AND($O3054=$Q$7,$B3054&lt;'111'!$L$11),"x","")</f>
        <v/>
      </c>
      <c r="T3054" s="75" t="str">
        <f>IF(ISERROR(FIND('112'!$M$9,G3054,1)),"",IF((AND(FIND('112'!$M$9,G3054,1)&gt;=1,B3054='112'!$K$9,OR($N3054='112'!$I$6,$O3054='112'!$I$6))),"x",""))</f>
        <v/>
      </c>
      <c r="U3054" s="75" t="str">
        <f>IF(ISERROR(FIND('112'!$M$9,G3054,1)),"",IF((AND(LEFT(G3054,2)=LEFT('112'!$M$9,2),B3054&lt;'112'!$K$9,$N3054='112'!$I$6)),"x",""))</f>
        <v/>
      </c>
      <c r="V3054" s="75" t="str">
        <f>IF(ISERROR(FIND('112'!$M$9,G3054,1)),"",IF((AND(RIGHT(G3054,2)=RIGHT('112'!$M$9,2),B3054&lt;'112'!$K$9,$O3054='112'!$I$6)),"x",""))</f>
        <v/>
      </c>
      <c r="W3054" s="75" t="str">
        <f>IF(AND('341-CT'!$H$9=H3054,OR(LEFT(N3054,3)=$W$7,LEFT(O3054,3)=$W$7)),"x","")</f>
        <v/>
      </c>
      <c r="X3054" s="75" t="str">
        <f>IF(OR(TH!N3054=TH!$X$7,O3054=TH!$X$7),"x","")</f>
        <v/>
      </c>
      <c r="Y3054" s="75" t="str">
        <f>IF(AND(OR(N3054="131",O3054="131"),H3054='131-CT'!$H$9),"x","")</f>
        <v/>
      </c>
      <c r="Z3054" s="75"/>
      <c r="AA3054" s="75" t="str">
        <f>IF(AND(MONTH(E3054)='IN-NX'!$J$5,'IN-NX'!$D$7=D3054),"x","")</f>
        <v/>
      </c>
      <c r="AB3054" s="75" t="str">
        <f>IF(AND(OR(LEFT(TH!N3054,2)="15",LEFT(TH!O3054,2)="15"),LEFT(TH!O3054,3)&lt;&gt;"111",'152-CT'!$J$8=TH!F3054),"x","")</f>
        <v/>
      </c>
      <c r="AC3054" s="75" t="str">
        <f>IF(AND(OR(LEFT(TH!N3054,2)="15",LEFT(TH!O3054,2)="15"),TK!$E$7=TH!F3054),"x","")</f>
        <v/>
      </c>
      <c r="AD3054" s="75" t="str">
        <f>IF(AND(N3054="1521",MONTH(C3054)='BK-NL'!$M$11),"x","")</f>
        <v/>
      </c>
    </row>
    <row r="3055" spans="1:30" s="1264" customFormat="1" ht="16.5" customHeight="1">
      <c r="A3055" s="309" t="str">
        <f>IF(B3055&lt;&gt;"",IF(AND(B3055='IN-TC'!$S$4,OR(TH!N3055="1111",TH!O3055="1111")),TH!D3055,""),"")</f>
        <v/>
      </c>
      <c r="B3055" s="1279">
        <f t="shared" si="1109"/>
        <v>8</v>
      </c>
      <c r="C3055" s="71">
        <v>42971</v>
      </c>
      <c r="D3055" s="71" t="s">
        <v>902</v>
      </c>
      <c r="E3055" s="71">
        <f t="shared" si="1084"/>
        <v>42971</v>
      </c>
      <c r="F3055" s="72" t="s">
        <v>1096</v>
      </c>
      <c r="G3055" s="72" t="s">
        <v>747</v>
      </c>
      <c r="H3055" s="73" t="s">
        <v>1559</v>
      </c>
      <c r="I3055" s="73"/>
      <c r="J3055" s="1214"/>
      <c r="K3055" s="1213">
        <v>276.83999999999997</v>
      </c>
      <c r="L3055" s="377">
        <v>22700</v>
      </c>
      <c r="M3055" s="74">
        <f t="shared" si="1108"/>
        <v>6284268</v>
      </c>
      <c r="N3055" s="75" t="s">
        <v>99</v>
      </c>
      <c r="O3055" s="934" t="s">
        <v>256</v>
      </c>
      <c r="P3055" s="75" t="str">
        <f>IF(AND('331-CT'!$E$7=TH!H3055,OR(N3055="331",O3055="331")),"x","")</f>
        <v/>
      </c>
      <c r="Q3055" s="75" t="str">
        <f>IF(AND(B3055='111'!$L$11,OR($N3055=$Q$7,$O3055=$Q$7)),"x","")</f>
        <v/>
      </c>
      <c r="R3055" s="75" t="str">
        <f>IF(AND($N3055=$Q$7,$B3055&lt;'111'!$L$11),"x","")</f>
        <v/>
      </c>
      <c r="S3055" s="75" t="str">
        <f>IF(AND($O3055=$Q$7,$B3055&lt;'111'!$L$11),"x","")</f>
        <v/>
      </c>
      <c r="T3055" s="75" t="str">
        <f>IF(ISERROR(FIND('112'!$M$9,G3055,1)),"",IF((AND(FIND('112'!$M$9,G3055,1)&gt;=1,B3055='112'!$K$9,OR($N3055='112'!$I$6,$O3055='112'!$I$6))),"x",""))</f>
        <v/>
      </c>
      <c r="U3055" s="75" t="str">
        <f>IF(ISERROR(FIND('112'!$M$9,G3055,1)),"",IF((AND(LEFT(G3055,2)=LEFT('112'!$M$9,2),B3055&lt;'112'!$K$9,$N3055='112'!$I$6)),"x",""))</f>
        <v/>
      </c>
      <c r="V3055" s="75" t="str">
        <f>IF(ISERROR(FIND('112'!$M$9,G3055,1)),"",IF((AND(RIGHT(G3055,2)=RIGHT('112'!$M$9,2),B3055&lt;'112'!$K$9,$O3055='112'!$I$6)),"x",""))</f>
        <v/>
      </c>
      <c r="W3055" s="75" t="str">
        <f>IF(AND('341-CT'!$H$9=H3055,OR(LEFT(N3055,3)=$W$7,LEFT(O3055,3)=$W$7)),"x","")</f>
        <v/>
      </c>
      <c r="X3055" s="75" t="str">
        <f>IF(OR(TH!N3055=TH!$X$7,O3055=TH!$X$7),"x","")</f>
        <v/>
      </c>
      <c r="Y3055" s="75" t="str">
        <f>IF(AND(OR(N3055="131",O3055="131"),H3055='131-CT'!$H$9),"x","")</f>
        <v/>
      </c>
      <c r="Z3055" s="75"/>
      <c r="AA3055" s="75" t="str">
        <f>IF(AND(MONTH(E3055)='IN-NX'!$J$5,'IN-NX'!$D$7=D3055),"x","")</f>
        <v/>
      </c>
      <c r="AB3055" s="75" t="str">
        <f>IF(AND(OR(LEFT(TH!N3055,2)="15",LEFT(TH!O3055,2)="15"),LEFT(TH!O3055,3)&lt;&gt;"111",'152-CT'!$J$8=TH!F3055),"x","")</f>
        <v/>
      </c>
      <c r="AC3055" s="75" t="str">
        <f>IF(AND(OR(LEFT(TH!N3055,2)="15",LEFT(TH!O3055,2)="15"),TK!$E$7=TH!F3055),"x","")</f>
        <v/>
      </c>
      <c r="AD3055" s="75" t="str">
        <f>IF(AND(N3055="1521",MONTH(C3055)='BK-NL'!$M$11),"x","")</f>
        <v/>
      </c>
    </row>
    <row r="3056" spans="1:30" s="1264" customFormat="1" ht="16.5" customHeight="1">
      <c r="A3056" s="309" t="str">
        <f>IF(B3056&lt;&gt;"",IF(AND(B3056='IN-TC'!$S$4,OR(TH!N3056="1111",TH!O3056="1111")),TH!D3056,""),"")</f>
        <v/>
      </c>
      <c r="B3056" s="1279">
        <f t="shared" si="1109"/>
        <v>8</v>
      </c>
      <c r="C3056" s="71">
        <v>42971</v>
      </c>
      <c r="D3056" s="71" t="s">
        <v>902</v>
      </c>
      <c r="E3056" s="71">
        <f t="shared" si="1084"/>
        <v>42971</v>
      </c>
      <c r="F3056" s="72" t="s">
        <v>1096</v>
      </c>
      <c r="G3056" s="72" t="s">
        <v>747</v>
      </c>
      <c r="H3056" s="73" t="s">
        <v>2033</v>
      </c>
      <c r="I3056" s="73"/>
      <c r="J3056" s="1214"/>
      <c r="K3056" s="1213">
        <v>91.91</v>
      </c>
      <c r="L3056" s="377">
        <v>22700</v>
      </c>
      <c r="M3056" s="74">
        <f t="shared" si="1108"/>
        <v>2086357</v>
      </c>
      <c r="N3056" s="75" t="s">
        <v>99</v>
      </c>
      <c r="O3056" s="934" t="s">
        <v>256</v>
      </c>
      <c r="P3056" s="75" t="str">
        <f>IF(AND('331-CT'!$E$7=TH!H3056,OR(N3056="331",O3056="331")),"x","")</f>
        <v/>
      </c>
      <c r="Q3056" s="75" t="str">
        <f>IF(AND(B3056='111'!$L$11,OR($N3056=$Q$7,$O3056=$Q$7)),"x","")</f>
        <v/>
      </c>
      <c r="R3056" s="75" t="str">
        <f>IF(AND($N3056=$Q$7,$B3056&lt;'111'!$L$11),"x","")</f>
        <v/>
      </c>
      <c r="S3056" s="75" t="str">
        <f>IF(AND($O3056=$Q$7,$B3056&lt;'111'!$L$11),"x","")</f>
        <v/>
      </c>
      <c r="T3056" s="75" t="str">
        <f>IF(ISERROR(FIND('112'!$M$9,G3056,1)),"",IF((AND(FIND('112'!$M$9,G3056,1)&gt;=1,B3056='112'!$K$9,OR($N3056='112'!$I$6,$O3056='112'!$I$6))),"x",""))</f>
        <v/>
      </c>
      <c r="U3056" s="75" t="str">
        <f>IF(ISERROR(FIND('112'!$M$9,G3056,1)),"",IF((AND(LEFT(G3056,2)=LEFT('112'!$M$9,2),B3056&lt;'112'!$K$9,$N3056='112'!$I$6)),"x",""))</f>
        <v/>
      </c>
      <c r="V3056" s="75" t="str">
        <f>IF(ISERROR(FIND('112'!$M$9,G3056,1)),"",IF((AND(RIGHT(G3056,2)=RIGHT('112'!$M$9,2),B3056&lt;'112'!$K$9,$O3056='112'!$I$6)),"x",""))</f>
        <v/>
      </c>
      <c r="W3056" s="75" t="str">
        <f>IF(AND('341-CT'!$H$9=H3056,OR(LEFT(N3056,3)=$W$7,LEFT(O3056,3)=$W$7)),"x","")</f>
        <v/>
      </c>
      <c r="X3056" s="75" t="str">
        <f>IF(OR(TH!N3056=TH!$X$7,O3056=TH!$X$7),"x","")</f>
        <v/>
      </c>
      <c r="Y3056" s="75" t="str">
        <f>IF(AND(OR(N3056="131",O3056="131"),H3056='131-CT'!$H$9),"x","")</f>
        <v/>
      </c>
      <c r="Z3056" s="75"/>
      <c r="AA3056" s="75" t="str">
        <f>IF(AND(MONTH(E3056)='IN-NX'!$J$5,'IN-NX'!$D$7=D3056),"x","")</f>
        <v/>
      </c>
      <c r="AB3056" s="75" t="str">
        <f>IF(AND(OR(LEFT(TH!N3056,2)="15",LEFT(TH!O3056,2)="15"),LEFT(TH!O3056,3)&lt;&gt;"111",'152-CT'!$J$8=TH!F3056),"x","")</f>
        <v/>
      </c>
      <c r="AC3056" s="75" t="str">
        <f>IF(AND(OR(LEFT(TH!N3056,2)="15",LEFT(TH!O3056,2)="15"),TK!$E$7=TH!F3056),"x","")</f>
        <v/>
      </c>
      <c r="AD3056" s="75" t="str">
        <f>IF(AND(N3056="1521",MONTH(C3056)='BK-NL'!$M$11),"x","")</f>
        <v/>
      </c>
    </row>
    <row r="3057" spans="1:31" s="1264" customFormat="1" ht="16.5" customHeight="1">
      <c r="A3057" s="309" t="str">
        <f>IF(B3057&lt;&gt;"",IF(AND(B3057='IN-TC'!$S$4,OR(TH!N3057="1111",TH!O3057="1111")),TH!D3057,""),"")</f>
        <v/>
      </c>
      <c r="B3057" s="1279">
        <f t="shared" si="1109"/>
        <v>8</v>
      </c>
      <c r="C3057" s="71">
        <v>42971</v>
      </c>
      <c r="D3057" s="71" t="s">
        <v>902</v>
      </c>
      <c r="E3057" s="71">
        <f t="shared" si="1084"/>
        <v>42971</v>
      </c>
      <c r="F3057" s="72" t="s">
        <v>1096</v>
      </c>
      <c r="G3057" s="72" t="s">
        <v>747</v>
      </c>
      <c r="H3057" s="73" t="s">
        <v>2028</v>
      </c>
      <c r="I3057" s="73"/>
      <c r="J3057" s="1214"/>
      <c r="K3057" s="1213">
        <v>60.91</v>
      </c>
      <c r="L3057" s="377">
        <v>22700</v>
      </c>
      <c r="M3057" s="74">
        <f t="shared" si="1108"/>
        <v>1382657</v>
      </c>
      <c r="N3057" s="75" t="s">
        <v>99</v>
      </c>
      <c r="O3057" s="934" t="s">
        <v>256</v>
      </c>
      <c r="P3057" s="75" t="str">
        <f>IF(AND('331-CT'!$E$7=TH!H3057,OR(N3057="331",O3057="331")),"x","")</f>
        <v/>
      </c>
      <c r="Q3057" s="75" t="str">
        <f>IF(AND(B3057='111'!$L$11,OR($N3057=$Q$7,$O3057=$Q$7)),"x","")</f>
        <v/>
      </c>
      <c r="R3057" s="75" t="str">
        <f>IF(AND($N3057=$Q$7,$B3057&lt;'111'!$L$11),"x","")</f>
        <v/>
      </c>
      <c r="S3057" s="75" t="str">
        <f>IF(AND($O3057=$Q$7,$B3057&lt;'111'!$L$11),"x","")</f>
        <v/>
      </c>
      <c r="T3057" s="75" t="str">
        <f>IF(ISERROR(FIND('112'!$M$9,G3057,1)),"",IF((AND(FIND('112'!$M$9,G3057,1)&gt;=1,B3057='112'!$K$9,OR($N3057='112'!$I$6,$O3057='112'!$I$6))),"x",""))</f>
        <v/>
      </c>
      <c r="U3057" s="75" t="str">
        <f>IF(ISERROR(FIND('112'!$M$9,G3057,1)),"",IF((AND(LEFT(G3057,2)=LEFT('112'!$M$9,2),B3057&lt;'112'!$K$9,$N3057='112'!$I$6)),"x",""))</f>
        <v/>
      </c>
      <c r="V3057" s="75" t="str">
        <f>IF(ISERROR(FIND('112'!$M$9,G3057,1)),"",IF((AND(RIGHT(G3057,2)=RIGHT('112'!$M$9,2),B3057&lt;'112'!$K$9,$O3057='112'!$I$6)),"x",""))</f>
        <v/>
      </c>
      <c r="W3057" s="75" t="str">
        <f>IF(AND('341-CT'!$H$9=H3057,OR(LEFT(N3057,3)=$W$7,LEFT(O3057,3)=$W$7)),"x","")</f>
        <v/>
      </c>
      <c r="X3057" s="75" t="str">
        <f>IF(OR(TH!N3057=TH!$X$7,O3057=TH!$X$7),"x","")</f>
        <v/>
      </c>
      <c r="Y3057" s="75" t="str">
        <f>IF(AND(OR(N3057="131",O3057="131"),H3057='131-CT'!$H$9),"x","")</f>
        <v/>
      </c>
      <c r="Z3057" s="75"/>
      <c r="AA3057" s="75" t="str">
        <f>IF(AND(MONTH(E3057)='IN-NX'!$J$5,'IN-NX'!$D$7=D3057),"x","")</f>
        <v/>
      </c>
      <c r="AB3057" s="75" t="str">
        <f>IF(AND(OR(LEFT(TH!N3057,2)="15",LEFT(TH!O3057,2)="15"),LEFT(TH!O3057,3)&lt;&gt;"111",'152-CT'!$J$8=TH!F3057),"x","")</f>
        <v/>
      </c>
      <c r="AC3057" s="75" t="str">
        <f>IF(AND(OR(LEFT(TH!N3057,2)="15",LEFT(TH!O3057,2)="15"),TK!$E$7=TH!F3057),"x","")</f>
        <v/>
      </c>
      <c r="AD3057" s="75" t="str">
        <f>IF(AND(N3057="1521",MONTH(C3057)='BK-NL'!$M$11),"x","")</f>
        <v/>
      </c>
    </row>
    <row r="3058" spans="1:31" s="1264" customFormat="1" ht="16.5" customHeight="1">
      <c r="A3058" s="309" t="str">
        <f>IF(B3058&lt;&gt;"",IF(AND(B3058='IN-TC'!$S$4,OR(TH!N3058="1111",TH!O3058="1111")),TH!D3058,""),"")</f>
        <v/>
      </c>
      <c r="B3058" s="1279">
        <f t="shared" si="1109"/>
        <v>8</v>
      </c>
      <c r="C3058" s="71">
        <v>42971</v>
      </c>
      <c r="D3058" s="71" t="s">
        <v>902</v>
      </c>
      <c r="E3058" s="71">
        <f t="shared" si="1084"/>
        <v>42971</v>
      </c>
      <c r="F3058" s="72" t="s">
        <v>1096</v>
      </c>
      <c r="G3058" s="72" t="s">
        <v>747</v>
      </c>
      <c r="H3058" s="73" t="s">
        <v>2035</v>
      </c>
      <c r="I3058" s="73"/>
      <c r="J3058" s="1214"/>
      <c r="K3058" s="1213">
        <v>271.33</v>
      </c>
      <c r="L3058" s="377">
        <v>22700</v>
      </c>
      <c r="M3058" s="74">
        <f t="shared" si="1108"/>
        <v>6159191</v>
      </c>
      <c r="N3058" s="75" t="s">
        <v>99</v>
      </c>
      <c r="O3058" s="934" t="s">
        <v>256</v>
      </c>
      <c r="P3058" s="75" t="str">
        <f>IF(AND('331-CT'!$E$7=TH!H3058,OR(N3058="331",O3058="331")),"x","")</f>
        <v/>
      </c>
      <c r="Q3058" s="75" t="str">
        <f>IF(AND(B3058='111'!$L$11,OR($N3058=$Q$7,$O3058=$Q$7)),"x","")</f>
        <v/>
      </c>
      <c r="R3058" s="75" t="str">
        <f>IF(AND($N3058=$Q$7,$B3058&lt;'111'!$L$11),"x","")</f>
        <v/>
      </c>
      <c r="S3058" s="75" t="str">
        <f>IF(AND($O3058=$Q$7,$B3058&lt;'111'!$L$11),"x","")</f>
        <v/>
      </c>
      <c r="T3058" s="75" t="str">
        <f>IF(ISERROR(FIND('112'!$M$9,G3058,1)),"",IF((AND(FIND('112'!$M$9,G3058,1)&gt;=1,B3058='112'!$K$9,OR($N3058='112'!$I$6,$O3058='112'!$I$6))),"x",""))</f>
        <v/>
      </c>
      <c r="U3058" s="75" t="str">
        <f>IF(ISERROR(FIND('112'!$M$9,G3058,1)),"",IF((AND(LEFT(G3058,2)=LEFT('112'!$M$9,2),B3058&lt;'112'!$K$9,$N3058='112'!$I$6)),"x",""))</f>
        <v/>
      </c>
      <c r="V3058" s="75" t="str">
        <f>IF(ISERROR(FIND('112'!$M$9,G3058,1)),"",IF((AND(RIGHT(G3058,2)=RIGHT('112'!$M$9,2),B3058&lt;'112'!$K$9,$O3058='112'!$I$6)),"x",""))</f>
        <v/>
      </c>
      <c r="W3058" s="75" t="str">
        <f>IF(AND('341-CT'!$H$9=H3058,OR(LEFT(N3058,3)=$W$7,LEFT(O3058,3)=$W$7)),"x","")</f>
        <v/>
      </c>
      <c r="X3058" s="75" t="str">
        <f>IF(OR(TH!N3058=TH!$X$7,O3058=TH!$X$7),"x","")</f>
        <v/>
      </c>
      <c r="Y3058" s="75" t="str">
        <f>IF(AND(OR(N3058="131",O3058="131"),H3058='131-CT'!$H$9),"x","")</f>
        <v/>
      </c>
      <c r="Z3058" s="75"/>
      <c r="AA3058" s="75" t="str">
        <f>IF(AND(MONTH(E3058)='IN-NX'!$J$5,'IN-NX'!$D$7=D3058),"x","")</f>
        <v/>
      </c>
      <c r="AB3058" s="75" t="str">
        <f>IF(AND(OR(LEFT(TH!N3058,2)="15",LEFT(TH!O3058,2)="15"),LEFT(TH!O3058,3)&lt;&gt;"111",'152-CT'!$J$8=TH!F3058),"x","")</f>
        <v/>
      </c>
      <c r="AC3058" s="75" t="str">
        <f>IF(AND(OR(LEFT(TH!N3058,2)="15",LEFT(TH!O3058,2)="15"),TK!$E$7=TH!F3058),"x","")</f>
        <v/>
      </c>
      <c r="AD3058" s="75" t="str">
        <f>IF(AND(N3058="1521",MONTH(C3058)='BK-NL'!$M$11),"x","")</f>
        <v/>
      </c>
    </row>
    <row r="3059" spans="1:31" s="1264" customFormat="1" ht="16.5" customHeight="1">
      <c r="A3059" s="309" t="str">
        <f>IF(B3059&lt;&gt;"",IF(AND(B3059='IN-TC'!$S$4,OR(TH!N3059="1111",TH!O3059="1111")),TH!D3059,""),"")</f>
        <v/>
      </c>
      <c r="B3059" s="1279">
        <f t="shared" si="1109"/>
        <v>8</v>
      </c>
      <c r="C3059" s="71">
        <v>42971</v>
      </c>
      <c r="D3059" s="71" t="s">
        <v>902</v>
      </c>
      <c r="E3059" s="71">
        <f t="shared" si="1084"/>
        <v>42971</v>
      </c>
      <c r="F3059" s="72" t="s">
        <v>1096</v>
      </c>
      <c r="G3059" s="72" t="s">
        <v>747</v>
      </c>
      <c r="H3059" s="73" t="s">
        <v>1781</v>
      </c>
      <c r="I3059" s="73"/>
      <c r="J3059" s="1214"/>
      <c r="K3059" s="1213">
        <v>298.79000000000002</v>
      </c>
      <c r="L3059" s="377">
        <v>22700</v>
      </c>
      <c r="M3059" s="74">
        <f t="shared" si="1108"/>
        <v>6782533</v>
      </c>
      <c r="N3059" s="75" t="s">
        <v>99</v>
      </c>
      <c r="O3059" s="934" t="s">
        <v>256</v>
      </c>
      <c r="P3059" s="75" t="str">
        <f>IF(AND('331-CT'!$E$7=TH!H3059,OR(N3059="331",O3059="331")),"x","")</f>
        <v/>
      </c>
      <c r="Q3059" s="75" t="str">
        <f>IF(AND(B3059='111'!$L$11,OR($N3059=$Q$7,$O3059=$Q$7)),"x","")</f>
        <v/>
      </c>
      <c r="R3059" s="75" t="str">
        <f>IF(AND($N3059=$Q$7,$B3059&lt;'111'!$L$11),"x","")</f>
        <v/>
      </c>
      <c r="S3059" s="75" t="str">
        <f>IF(AND($O3059=$Q$7,$B3059&lt;'111'!$L$11),"x","")</f>
        <v/>
      </c>
      <c r="T3059" s="75" t="str">
        <f>IF(ISERROR(FIND('112'!$M$9,G3059,1)),"",IF((AND(FIND('112'!$M$9,G3059,1)&gt;=1,B3059='112'!$K$9,OR($N3059='112'!$I$6,$O3059='112'!$I$6))),"x",""))</f>
        <v/>
      </c>
      <c r="U3059" s="75" t="str">
        <f>IF(ISERROR(FIND('112'!$M$9,G3059,1)),"",IF((AND(LEFT(G3059,2)=LEFT('112'!$M$9,2),B3059&lt;'112'!$K$9,$N3059='112'!$I$6)),"x",""))</f>
        <v/>
      </c>
      <c r="V3059" s="75" t="str">
        <f>IF(ISERROR(FIND('112'!$M$9,G3059,1)),"",IF((AND(RIGHT(G3059,2)=RIGHT('112'!$M$9,2),B3059&lt;'112'!$K$9,$O3059='112'!$I$6)),"x",""))</f>
        <v/>
      </c>
      <c r="W3059" s="75" t="str">
        <f>IF(AND('341-CT'!$H$9=H3059,OR(LEFT(N3059,3)=$W$7,LEFT(O3059,3)=$W$7)),"x","")</f>
        <v/>
      </c>
      <c r="X3059" s="75" t="str">
        <f>IF(OR(TH!N3059=TH!$X$7,O3059=TH!$X$7),"x","")</f>
        <v/>
      </c>
      <c r="Y3059" s="75" t="str">
        <f>IF(AND(OR(N3059="131",O3059="131"),H3059='131-CT'!$H$9),"x","")</f>
        <v/>
      </c>
      <c r="Z3059" s="75"/>
      <c r="AA3059" s="75" t="str">
        <f>IF(AND(MONTH(E3059)='IN-NX'!$J$5,'IN-NX'!$D$7=D3059),"x","")</f>
        <v/>
      </c>
      <c r="AB3059" s="75" t="str">
        <f>IF(AND(OR(LEFT(TH!N3059,2)="15",LEFT(TH!O3059,2)="15"),LEFT(TH!O3059,3)&lt;&gt;"111",'152-CT'!$J$8=TH!F3059),"x","")</f>
        <v/>
      </c>
      <c r="AC3059" s="75" t="str">
        <f>IF(AND(OR(LEFT(TH!N3059,2)="15",LEFT(TH!O3059,2)="15"),TK!$E$7=TH!F3059),"x","")</f>
        <v/>
      </c>
      <c r="AD3059" s="75" t="str">
        <f>IF(AND(N3059="1521",MONTH(C3059)='BK-NL'!$M$11),"x","")</f>
        <v/>
      </c>
    </row>
    <row r="3060" spans="1:31" s="1264" customFormat="1" ht="16.5" customHeight="1">
      <c r="A3060" s="309" t="str">
        <f>IF(B3060&lt;&gt;"",IF(AND(B3060='IN-TC'!$S$4,OR(TH!N3060="1111",TH!O3060="1111")),TH!D3060,""),"")</f>
        <v/>
      </c>
      <c r="B3060" s="1279">
        <f t="shared" si="1109"/>
        <v>8</v>
      </c>
      <c r="C3060" s="71">
        <v>42971</v>
      </c>
      <c r="D3060" s="71" t="s">
        <v>902</v>
      </c>
      <c r="E3060" s="71">
        <f t="shared" si="1084"/>
        <v>42971</v>
      </c>
      <c r="F3060" s="72" t="s">
        <v>1096</v>
      </c>
      <c r="G3060" s="72" t="s">
        <v>747</v>
      </c>
      <c r="H3060" s="73" t="s">
        <v>1561</v>
      </c>
      <c r="I3060" s="73"/>
      <c r="J3060" s="1214"/>
      <c r="K3060" s="1213">
        <v>135.05000000000001</v>
      </c>
      <c r="L3060" s="377">
        <v>22700</v>
      </c>
      <c r="M3060" s="74">
        <f t="shared" si="1108"/>
        <v>3065635</v>
      </c>
      <c r="N3060" s="75" t="s">
        <v>99</v>
      </c>
      <c r="O3060" s="934" t="s">
        <v>256</v>
      </c>
      <c r="P3060" s="75" t="str">
        <f>IF(AND('331-CT'!$E$7=TH!H3060,OR(N3060="331",O3060="331")),"x","")</f>
        <v/>
      </c>
      <c r="Q3060" s="75" t="str">
        <f>IF(AND(B3060='111'!$L$11,OR($N3060=$Q$7,$O3060=$Q$7)),"x","")</f>
        <v/>
      </c>
      <c r="R3060" s="75" t="str">
        <f>IF(AND($N3060=$Q$7,$B3060&lt;'111'!$L$11),"x","")</f>
        <v/>
      </c>
      <c r="S3060" s="75" t="str">
        <f>IF(AND($O3060=$Q$7,$B3060&lt;'111'!$L$11),"x","")</f>
        <v/>
      </c>
      <c r="T3060" s="75" t="str">
        <f>IF(ISERROR(FIND('112'!$M$9,G3060,1)),"",IF((AND(FIND('112'!$M$9,G3060,1)&gt;=1,B3060='112'!$K$9,OR($N3060='112'!$I$6,$O3060='112'!$I$6))),"x",""))</f>
        <v/>
      </c>
      <c r="U3060" s="75" t="str">
        <f>IF(ISERROR(FIND('112'!$M$9,G3060,1)),"",IF((AND(LEFT(G3060,2)=LEFT('112'!$M$9,2),B3060&lt;'112'!$K$9,$N3060='112'!$I$6)),"x",""))</f>
        <v/>
      </c>
      <c r="V3060" s="75" t="str">
        <f>IF(ISERROR(FIND('112'!$M$9,G3060,1)),"",IF((AND(RIGHT(G3060,2)=RIGHT('112'!$M$9,2),B3060&lt;'112'!$K$9,$O3060='112'!$I$6)),"x",""))</f>
        <v/>
      </c>
      <c r="W3060" s="75" t="str">
        <f>IF(AND('341-CT'!$H$9=H3060,OR(LEFT(N3060,3)=$W$7,LEFT(O3060,3)=$W$7)),"x","")</f>
        <v/>
      </c>
      <c r="X3060" s="75" t="str">
        <f>IF(OR(TH!N3060=TH!$X$7,O3060=TH!$X$7),"x","")</f>
        <v/>
      </c>
      <c r="Y3060" s="75" t="str">
        <f>IF(AND(OR(N3060="131",O3060="131"),H3060='131-CT'!$H$9),"x","")</f>
        <v/>
      </c>
      <c r="Z3060" s="75"/>
      <c r="AA3060" s="75" t="str">
        <f>IF(AND(MONTH(E3060)='IN-NX'!$J$5,'IN-NX'!$D$7=D3060),"x","")</f>
        <v/>
      </c>
      <c r="AB3060" s="75" t="str">
        <f>IF(AND(OR(LEFT(TH!N3060,2)="15",LEFT(TH!O3060,2)="15"),LEFT(TH!O3060,3)&lt;&gt;"111",'152-CT'!$J$8=TH!F3060),"x","")</f>
        <v/>
      </c>
      <c r="AC3060" s="75" t="str">
        <f>IF(AND(OR(LEFT(TH!N3060,2)="15",LEFT(TH!O3060,2)="15"),TK!$E$7=TH!F3060),"x","")</f>
        <v/>
      </c>
      <c r="AD3060" s="75" t="str">
        <f>IF(AND(N3060="1521",MONTH(C3060)='BK-NL'!$M$11),"x","")</f>
        <v/>
      </c>
    </row>
    <row r="3061" spans="1:31" s="1264" customFormat="1" ht="16.5" customHeight="1">
      <c r="A3061" s="309" t="str">
        <f>IF(B3061&lt;&gt;"",IF(AND(B3061='IN-TC'!$S$4,OR(TH!N3061="1111",TH!O3061="1111")),TH!D3061,""),"")</f>
        <v/>
      </c>
      <c r="B3061" s="1279">
        <f t="shared" si="1109"/>
        <v>8</v>
      </c>
      <c r="C3061" s="71">
        <v>42971</v>
      </c>
      <c r="D3061" s="71" t="s">
        <v>902</v>
      </c>
      <c r="E3061" s="71">
        <f t="shared" si="1084"/>
        <v>42971</v>
      </c>
      <c r="F3061" s="72" t="s">
        <v>1096</v>
      </c>
      <c r="G3061" s="72" t="s">
        <v>747</v>
      </c>
      <c r="H3061" s="73" t="s">
        <v>2034</v>
      </c>
      <c r="I3061" s="73"/>
      <c r="J3061" s="1214"/>
      <c r="K3061" s="1213">
        <v>921.69</v>
      </c>
      <c r="L3061" s="377">
        <v>22700</v>
      </c>
      <c r="M3061" s="74">
        <f t="shared" si="1108"/>
        <v>20922363</v>
      </c>
      <c r="N3061" s="75" t="s">
        <v>99</v>
      </c>
      <c r="O3061" s="934" t="s">
        <v>256</v>
      </c>
      <c r="P3061" s="75" t="str">
        <f>IF(AND('331-CT'!$E$7=TH!H3061,OR(N3061="331",O3061="331")),"x","")</f>
        <v/>
      </c>
      <c r="Q3061" s="75" t="str">
        <f>IF(AND(B3061='111'!$L$11,OR($N3061=$Q$7,$O3061=$Q$7)),"x","")</f>
        <v/>
      </c>
      <c r="R3061" s="75" t="str">
        <f>IF(AND($N3061=$Q$7,$B3061&lt;'111'!$L$11),"x","")</f>
        <v/>
      </c>
      <c r="S3061" s="75" t="str">
        <f>IF(AND($O3061=$Q$7,$B3061&lt;'111'!$L$11),"x","")</f>
        <v/>
      </c>
      <c r="T3061" s="75" t="str">
        <f>IF(ISERROR(FIND('112'!$M$9,G3061,1)),"",IF((AND(FIND('112'!$M$9,G3061,1)&gt;=1,B3061='112'!$K$9,OR($N3061='112'!$I$6,$O3061='112'!$I$6))),"x",""))</f>
        <v/>
      </c>
      <c r="U3061" s="75" t="str">
        <f>IF(ISERROR(FIND('112'!$M$9,G3061,1)),"",IF((AND(LEFT(G3061,2)=LEFT('112'!$M$9,2),B3061&lt;'112'!$K$9,$N3061='112'!$I$6)),"x",""))</f>
        <v/>
      </c>
      <c r="V3061" s="75" t="str">
        <f>IF(ISERROR(FIND('112'!$M$9,G3061,1)),"",IF((AND(RIGHT(G3061,2)=RIGHT('112'!$M$9,2),B3061&lt;'112'!$K$9,$O3061='112'!$I$6)),"x",""))</f>
        <v/>
      </c>
      <c r="W3061" s="75" t="str">
        <f>IF(AND('341-CT'!$H$9=H3061,OR(LEFT(N3061,3)=$W$7,LEFT(O3061,3)=$W$7)),"x","")</f>
        <v/>
      </c>
      <c r="X3061" s="75" t="str">
        <f>IF(OR(TH!N3061=TH!$X$7,O3061=TH!$X$7),"x","")</f>
        <v/>
      </c>
      <c r="Y3061" s="75" t="str">
        <f>IF(AND(OR(N3061="131",O3061="131"),H3061='131-CT'!$H$9),"x","")</f>
        <v/>
      </c>
      <c r="Z3061" s="75"/>
      <c r="AA3061" s="75" t="str">
        <f>IF(AND(MONTH(E3061)='IN-NX'!$J$5,'IN-NX'!$D$7=D3061),"x","")</f>
        <v/>
      </c>
      <c r="AB3061" s="75" t="str">
        <f>IF(AND(OR(LEFT(TH!N3061,2)="15",LEFT(TH!O3061,2)="15"),LEFT(TH!O3061,3)&lt;&gt;"111",'152-CT'!$J$8=TH!F3061),"x","")</f>
        <v/>
      </c>
      <c r="AC3061" s="75" t="str">
        <f>IF(AND(OR(LEFT(TH!N3061,2)="15",LEFT(TH!O3061,2)="15"),TK!$E$7=TH!F3061),"x","")</f>
        <v/>
      </c>
      <c r="AD3061" s="75" t="str">
        <f>IF(AND(N3061="1521",MONTH(C3061)='BK-NL'!$M$11),"x","")</f>
        <v/>
      </c>
    </row>
    <row r="3062" spans="1:31" s="1264" customFormat="1" ht="16.5" customHeight="1">
      <c r="A3062" s="309" t="str">
        <f>IF(B3062&lt;&gt;"",IF(AND(B3062='IN-TC'!$S$4,OR(TH!N3062="1111",TH!O3062="1111")),TH!D3062,""),"")</f>
        <v/>
      </c>
      <c r="B3062" s="1279">
        <f t="shared" si="1109"/>
        <v>8</v>
      </c>
      <c r="C3062" s="71">
        <v>42972</v>
      </c>
      <c r="D3062" s="71" t="s">
        <v>903</v>
      </c>
      <c r="E3062" s="71">
        <f t="shared" ref="E3062:E3127" si="1110">C3062</f>
        <v>42972</v>
      </c>
      <c r="F3062" s="72" t="s">
        <v>1086</v>
      </c>
      <c r="G3062" s="72" t="s">
        <v>747</v>
      </c>
      <c r="H3062" s="73" t="s">
        <v>822</v>
      </c>
      <c r="I3062" s="73"/>
      <c r="J3062" s="378"/>
      <c r="K3062" s="371">
        <v>116843</v>
      </c>
      <c r="L3062" s="377">
        <v>22700</v>
      </c>
      <c r="M3062" s="1214">
        <f t="shared" ref="M3062" si="1111">ROUND(K3062*L3062,0)</f>
        <v>2652336100</v>
      </c>
      <c r="N3062" s="75" t="s">
        <v>256</v>
      </c>
      <c r="O3062" s="75" t="s">
        <v>536</v>
      </c>
      <c r="P3062" s="75" t="str">
        <f>IF(AND('331-CT'!$E$7=TH!H3062,OR(N3062="331",O3062="331")),"x","")</f>
        <v/>
      </c>
      <c r="Q3062" s="75" t="str">
        <f>IF(AND(B3062='111'!$L$11,OR($N3062=$Q$7,$O3062=$Q$7)),"x","")</f>
        <v/>
      </c>
      <c r="R3062" s="75" t="str">
        <f>IF(AND($N3062=$Q$7,$B3062&lt;'111'!$L$11),"x","")</f>
        <v/>
      </c>
      <c r="S3062" s="75" t="str">
        <f>IF(AND($O3062=$Q$7,$B3062&lt;'111'!$L$11),"x","")</f>
        <v/>
      </c>
      <c r="T3062" s="75" t="str">
        <f>IF(ISERROR(FIND('112'!$M$9,G3062,1)),"",IF((AND(FIND('112'!$M$9,G3062,1)&gt;=1,B3062='112'!$K$9,OR($N3062='112'!$I$6,$O3062='112'!$I$6))),"x",""))</f>
        <v/>
      </c>
      <c r="U3062" s="75" t="str">
        <f>IF(ISERROR(FIND('112'!$M$9,G3062,1)),"",IF((AND(LEFT(G3062,2)=LEFT('112'!$M$9,2),B3062&lt;'112'!$K$9,$N3062='112'!$I$6)),"x",""))</f>
        <v/>
      </c>
      <c r="V3062" s="75" t="str">
        <f>IF(ISERROR(FIND('112'!$M$9,G3062,1)),"",IF((AND(RIGHT(G3062,2)=RIGHT('112'!$M$9,2),B3062&lt;'112'!$K$9,$O3062='112'!$I$6)),"x",""))</f>
        <v/>
      </c>
      <c r="W3062" s="75" t="str">
        <f>IF(AND('341-CT'!$H$9=H3062,OR(LEFT(N3062,3)=$W$7,LEFT(O3062,3)=$W$7)),"x","")</f>
        <v/>
      </c>
      <c r="X3062" s="75" t="str">
        <f>IF(OR(TH!N3062=TH!$X$7,O3062=TH!$X$7),"x","")</f>
        <v/>
      </c>
      <c r="Y3062" s="75" t="str">
        <f>IF(AND(OR(N3062="131",O3062="131"),H3062='131-CT'!$H$9),"x","")</f>
        <v/>
      </c>
      <c r="Z3062" s="75"/>
      <c r="AA3062" s="75" t="str">
        <f>IF(AND(MONTH(E3062)='IN-NX'!$J$5,'IN-NX'!$D$7=D3062),"x","")</f>
        <v/>
      </c>
      <c r="AB3062" s="75" t="str">
        <f>IF(AND(OR(LEFT(TH!N3062,2)="15",LEFT(TH!O3062,2)="15"),LEFT(TH!O3062,3)&lt;&gt;"111",'152-CT'!$J$8=TH!F3062),"x","")</f>
        <v/>
      </c>
      <c r="AC3062" s="75" t="str">
        <f>IF(AND(OR(LEFT(TH!N3062,2)="15",LEFT(TH!O3062,2)="15"),TK!$E$7=TH!F3062),"x","")</f>
        <v/>
      </c>
      <c r="AD3062" s="75" t="str">
        <f>IF(AND(N3062="1521",MONTH(C3062)='BK-NL'!$M$11),"x","")</f>
        <v/>
      </c>
    </row>
    <row r="3063" spans="1:31" s="1264" customFormat="1" ht="16.5" customHeight="1">
      <c r="A3063" s="309" t="str">
        <f>IF(B3063&lt;&gt;"",IF(AND(B3063='IN-TC'!$S$4,OR(TH!N3063="1111",TH!O3063="1111")),TH!D3063,""),"")</f>
        <v/>
      </c>
      <c r="B3063" s="1279">
        <f t="shared" si="1109"/>
        <v>8</v>
      </c>
      <c r="C3063" s="71">
        <v>42972</v>
      </c>
      <c r="D3063" s="71" t="s">
        <v>530</v>
      </c>
      <c r="E3063" s="71">
        <f t="shared" si="1110"/>
        <v>42972</v>
      </c>
      <c r="F3063" s="72" t="s">
        <v>1027</v>
      </c>
      <c r="G3063" s="72" t="s">
        <v>747</v>
      </c>
      <c r="H3063" s="73" t="s">
        <v>822</v>
      </c>
      <c r="I3063" s="73"/>
      <c r="J3063" s="378"/>
      <c r="K3063" s="371">
        <v>157</v>
      </c>
      <c r="L3063" s="377">
        <v>22700</v>
      </c>
      <c r="M3063" s="933">
        <f t="shared" ref="M3063:M3115" si="1112">ROUND(L3063*K3063,0)</f>
        <v>3563900</v>
      </c>
      <c r="N3063" s="75" t="s">
        <v>101</v>
      </c>
      <c r="O3063" s="75" t="s">
        <v>536</v>
      </c>
      <c r="P3063" s="75" t="str">
        <f>IF(AND('331-CT'!$E$7=TH!H3063,OR(N3063="331",O3063="331")),"x","")</f>
        <v/>
      </c>
      <c r="Q3063" s="75" t="str">
        <f>IF(AND(B3063='111'!$L$11,OR($N3063=$Q$7,$O3063=$Q$7)),"x","")</f>
        <v/>
      </c>
      <c r="R3063" s="75" t="str">
        <f>IF(AND($N3063=$Q$7,$B3063&lt;'111'!$L$11),"x","")</f>
        <v/>
      </c>
      <c r="S3063" s="75" t="str">
        <f>IF(AND($O3063=$Q$7,$B3063&lt;'111'!$L$11),"x","")</f>
        <v/>
      </c>
      <c r="T3063" s="75" t="str">
        <f>IF(ISERROR(FIND('112'!$M$9,G3063,1)),"",IF((AND(FIND('112'!$M$9,G3063,1)&gt;=1,B3063='112'!$K$9,OR($N3063='112'!$I$6,$O3063='112'!$I$6))),"x",""))</f>
        <v/>
      </c>
      <c r="U3063" s="75" t="str">
        <f>IF(ISERROR(FIND('112'!$M$9,G3063,1)),"",IF((AND(LEFT(G3063,2)=LEFT('112'!$M$9,2),B3063&lt;'112'!$K$9,$N3063='112'!$I$6)),"x",""))</f>
        <v/>
      </c>
      <c r="V3063" s="75" t="str">
        <f>IF(ISERROR(FIND('112'!$M$9,G3063,1)),"",IF((AND(RIGHT(G3063,2)=RIGHT('112'!$M$9,2),B3063&lt;'112'!$K$9,$O3063='112'!$I$6)),"x",""))</f>
        <v/>
      </c>
      <c r="W3063" s="75" t="str">
        <f>IF(AND('341-CT'!$H$9=H3063,OR(LEFT(N3063,3)=$W$7,LEFT(O3063,3)=$W$7)),"x","")</f>
        <v/>
      </c>
      <c r="X3063" s="75" t="str">
        <f>IF(OR(TH!N3063=TH!$X$7,O3063=TH!$X$7),"x","")</f>
        <v/>
      </c>
      <c r="Y3063" s="75" t="str">
        <f>IF(AND(OR(N3063="131",O3063="131"),H3063='131-CT'!$H$9),"x","")</f>
        <v/>
      </c>
      <c r="Z3063" s="75"/>
      <c r="AA3063" s="75" t="str">
        <f>IF(AND(MONTH(E3063)='IN-NX'!$J$5,'IN-NX'!$D$7=D3063),"x","")</f>
        <v/>
      </c>
      <c r="AB3063" s="75" t="str">
        <f>IF(AND(OR(LEFT(TH!N3063,2)="15",LEFT(TH!O3063,2)="15"),LEFT(TH!O3063,3)&lt;&gt;"111",'152-CT'!$J$8=TH!F3063),"x","")</f>
        <v/>
      </c>
      <c r="AC3063" s="75" t="str">
        <f>IF(AND(OR(LEFT(TH!N3063,2)="15",LEFT(TH!O3063,2)="15"),TK!$E$7=TH!F3063),"x","")</f>
        <v/>
      </c>
      <c r="AD3063" s="75" t="str">
        <f>IF(AND(N3063="1521",MONTH(C3063)='BK-NL'!$M$11),"x","")</f>
        <v/>
      </c>
    </row>
    <row r="3064" spans="1:31" s="1264" customFormat="1" ht="16.5" customHeight="1">
      <c r="A3064" s="309" t="str">
        <f>IF(B3064&lt;&gt;"",IF(AND(B3064='IN-TC'!$S$4,OR(TH!N3064="1111",TH!O3064="1111")),TH!D3064,""),"")</f>
        <v/>
      </c>
      <c r="B3064" s="1279">
        <f t="shared" si="1109"/>
        <v>8</v>
      </c>
      <c r="C3064" s="71">
        <v>42972</v>
      </c>
      <c r="D3064" s="71" t="s">
        <v>530</v>
      </c>
      <c r="E3064" s="71">
        <f t="shared" si="1110"/>
        <v>42972</v>
      </c>
      <c r="F3064" s="72" t="s">
        <v>1010</v>
      </c>
      <c r="G3064" s="72" t="s">
        <v>747</v>
      </c>
      <c r="H3064" s="73" t="s">
        <v>822</v>
      </c>
      <c r="I3064" s="73"/>
      <c r="J3064" s="378"/>
      <c r="K3064" s="371"/>
      <c r="L3064" s="377"/>
      <c r="M3064" s="74">
        <v>585000</v>
      </c>
      <c r="N3064" s="75" t="s">
        <v>536</v>
      </c>
      <c r="O3064" s="934" t="s">
        <v>43</v>
      </c>
      <c r="P3064" s="75" t="str">
        <f>IF(AND('331-CT'!$E$7=TH!H3064,OR(N3064="331",O3064="331")),"x","")</f>
        <v/>
      </c>
      <c r="Q3064" s="75" t="str">
        <f>IF(AND(B3064='111'!$L$11,OR($N3064=$Q$7,$O3064=$Q$7)),"x","")</f>
        <v/>
      </c>
      <c r="R3064" s="75" t="str">
        <f>IF(AND($N3064=$Q$7,$B3064&lt;'111'!$L$11),"x","")</f>
        <v/>
      </c>
      <c r="S3064" s="75" t="str">
        <f>IF(AND($O3064=$Q$7,$B3064&lt;'111'!$L$11),"x","")</f>
        <v/>
      </c>
      <c r="T3064" s="75" t="str">
        <f>IF(ISERROR(FIND('112'!$M$9,G3064,1)),"",IF((AND(FIND('112'!$M$9,G3064,1)&gt;=1,B3064='112'!$K$9,OR($N3064='112'!$I$6,$O3064='112'!$I$6))),"x",""))</f>
        <v/>
      </c>
      <c r="U3064" s="75" t="str">
        <f>IF(ISERROR(FIND('112'!$M$9,G3064,1)),"",IF((AND(LEFT(G3064,2)=LEFT('112'!$M$9,2),B3064&lt;'112'!$K$9,$N3064='112'!$I$6)),"x",""))</f>
        <v/>
      </c>
      <c r="V3064" s="75" t="str">
        <f>IF(ISERROR(FIND('112'!$M$9,G3064,1)),"",IF((AND(RIGHT(G3064,2)=RIGHT('112'!$M$9,2),B3064&lt;'112'!$K$9,$O3064='112'!$I$6)),"x",""))</f>
        <v/>
      </c>
      <c r="W3064" s="75" t="str">
        <f>IF(AND('341-CT'!$H$9=H3064,OR(LEFT(N3064,3)=$W$7,LEFT(O3064,3)=$W$7)),"x","")</f>
        <v/>
      </c>
      <c r="X3064" s="75" t="str">
        <f>IF(OR(TH!N3064=TH!$X$7,O3064=TH!$X$7),"x","")</f>
        <v/>
      </c>
      <c r="Y3064" s="75" t="str">
        <f>IF(AND(OR(N3064="131",O3064="131"),H3064='131-CT'!$H$9),"x","")</f>
        <v/>
      </c>
      <c r="Z3064" s="75"/>
      <c r="AA3064" s="75" t="str">
        <f>IF(AND(MONTH(E3064)='IN-NX'!$J$5,'IN-NX'!$D$7=D3064),"x","")</f>
        <v/>
      </c>
      <c r="AB3064" s="75" t="str">
        <f>IF(AND(OR(LEFT(TH!N3064,2)="15",LEFT(TH!O3064,2)="15"),LEFT(TH!O3064,3)&lt;&gt;"111",'152-CT'!$J$8=TH!F3064),"x","")</f>
        <v/>
      </c>
      <c r="AC3064" s="75" t="str">
        <f>IF(AND(OR(LEFT(TH!N3064,2)="15",LEFT(TH!O3064,2)="15"),TK!$E$7=TH!F3064),"x","")</f>
        <v/>
      </c>
      <c r="AD3064" s="75" t="str">
        <f>IF(AND(N3064="1521",MONTH(C3064)='BK-NL'!$M$11),"x","")</f>
        <v/>
      </c>
    </row>
    <row r="3065" spans="1:31" s="1264" customFormat="1" ht="16.5" customHeight="1">
      <c r="A3065" s="309" t="str">
        <f>IF(B3065&lt;&gt;"",IF(AND(B3065='IN-TC'!$S$4,OR(TH!N3065="1111",TH!O3065="1111")),TH!D3065,""),"")</f>
        <v/>
      </c>
      <c r="B3065" s="1279">
        <f t="shared" si="1109"/>
        <v>8</v>
      </c>
      <c r="C3065" s="71">
        <v>42972</v>
      </c>
      <c r="D3065" s="71" t="s">
        <v>902</v>
      </c>
      <c r="E3065" s="71">
        <f t="shared" si="1110"/>
        <v>42972</v>
      </c>
      <c r="F3065" s="72" t="s">
        <v>1096</v>
      </c>
      <c r="G3065" s="72" t="s">
        <v>747</v>
      </c>
      <c r="H3065" s="73" t="s">
        <v>2036</v>
      </c>
      <c r="I3065" s="73"/>
      <c r="J3065" s="378"/>
      <c r="K3065" s="371">
        <v>86.45</v>
      </c>
      <c r="L3065" s="377">
        <v>22720</v>
      </c>
      <c r="M3065" s="74">
        <f t="shared" ref="M3065" si="1113">ROUND(K3065*L3065,0)</f>
        <v>1964144</v>
      </c>
      <c r="N3065" s="75" t="s">
        <v>99</v>
      </c>
      <c r="O3065" s="934" t="s">
        <v>256</v>
      </c>
      <c r="P3065" s="75" t="str">
        <f>IF(AND('331-CT'!$E$7=TH!H3065,OR(N3065="331",O3065="331")),"x","")</f>
        <v/>
      </c>
      <c r="Q3065" s="75" t="str">
        <f>IF(AND(B3065='111'!$L$11,OR($N3065=$Q$7,$O3065=$Q$7)),"x","")</f>
        <v/>
      </c>
      <c r="R3065" s="75" t="str">
        <f>IF(AND($N3065=$Q$7,$B3065&lt;'111'!$L$11),"x","")</f>
        <v/>
      </c>
      <c r="S3065" s="75" t="str">
        <f>IF(AND($O3065=$Q$7,$B3065&lt;'111'!$L$11),"x","")</f>
        <v/>
      </c>
      <c r="T3065" s="75" t="str">
        <f>IF(ISERROR(FIND('112'!$M$9,G3065,1)),"",IF((AND(FIND('112'!$M$9,G3065,1)&gt;=1,B3065='112'!$K$9,OR($N3065='112'!$I$6,$O3065='112'!$I$6))),"x",""))</f>
        <v/>
      </c>
      <c r="U3065" s="75" t="str">
        <f>IF(ISERROR(FIND('112'!$M$9,G3065,1)),"",IF((AND(LEFT(G3065,2)=LEFT('112'!$M$9,2),B3065&lt;'112'!$K$9,$N3065='112'!$I$6)),"x",""))</f>
        <v/>
      </c>
      <c r="V3065" s="75" t="str">
        <f>IF(ISERROR(FIND('112'!$M$9,G3065,1)),"",IF((AND(RIGHT(G3065,2)=RIGHT('112'!$M$9,2),B3065&lt;'112'!$K$9,$O3065='112'!$I$6)),"x",""))</f>
        <v/>
      </c>
      <c r="W3065" s="75" t="str">
        <f>IF(AND('341-CT'!$H$9=H3065,OR(LEFT(N3065,3)=$W$7,LEFT(O3065,3)=$W$7)),"x","")</f>
        <v/>
      </c>
      <c r="X3065" s="75" t="str">
        <f>IF(OR(TH!N3065=TH!$X$7,O3065=TH!$X$7),"x","")</f>
        <v/>
      </c>
      <c r="Y3065" s="75" t="str">
        <f>IF(AND(OR(N3065="131",O3065="131"),H3065='131-CT'!$H$9),"x","")</f>
        <v/>
      </c>
      <c r="Z3065" s="75"/>
      <c r="AA3065" s="75" t="str">
        <f>IF(AND(MONTH(E3065)='IN-NX'!$J$5,'IN-NX'!$D$7=D3065),"x","")</f>
        <v/>
      </c>
      <c r="AB3065" s="75" t="str">
        <f>IF(AND(OR(LEFT(TH!N3065,2)="15",LEFT(TH!O3065,2)="15"),LEFT(TH!O3065,3)&lt;&gt;"111",'152-CT'!$J$8=TH!F3065),"x","")</f>
        <v/>
      </c>
      <c r="AC3065" s="75" t="str">
        <f>IF(AND(OR(LEFT(TH!N3065,2)="15",LEFT(TH!O3065,2)="15"),TK!$E$7=TH!F3065),"x","")</f>
        <v/>
      </c>
      <c r="AD3065" s="75" t="str">
        <f>IF(AND(N3065="1521",MONTH(C3065)='BK-NL'!$M$11),"x","")</f>
        <v/>
      </c>
    </row>
    <row r="3066" spans="1:31" s="1264" customFormat="1" ht="16.5" customHeight="1">
      <c r="A3066" s="309" t="str">
        <f>IF(B3066&lt;&gt;"",IF(AND(B3066='IN-TC'!$S$4,OR(TH!N3066="1111",TH!O3066="1111")),TH!D3066,""),"")</f>
        <v/>
      </c>
      <c r="B3066" s="1279">
        <f t="shared" si="1109"/>
        <v>8</v>
      </c>
      <c r="C3066" s="71">
        <v>42972</v>
      </c>
      <c r="D3066" s="71" t="s">
        <v>902</v>
      </c>
      <c r="E3066" s="71">
        <f t="shared" si="1110"/>
        <v>42972</v>
      </c>
      <c r="F3066" s="72" t="s">
        <v>1321</v>
      </c>
      <c r="G3066" s="72" t="s">
        <v>747</v>
      </c>
      <c r="H3066" s="73" t="s">
        <v>2036</v>
      </c>
      <c r="I3066" s="73"/>
      <c r="J3066" s="378"/>
      <c r="K3066" s="371">
        <v>111150</v>
      </c>
      <c r="L3066" s="377">
        <v>22720</v>
      </c>
      <c r="M3066" s="74">
        <f t="shared" ref="M3066:M3070" si="1114">ROUND(K3066*L3066,0)</f>
        <v>2525328000</v>
      </c>
      <c r="N3066" s="75" t="s">
        <v>250</v>
      </c>
      <c r="O3066" s="934" t="s">
        <v>256</v>
      </c>
      <c r="P3066" s="75" t="str">
        <f>IF(AND('331-CT'!$E$7=TH!H3066,OR(N3066="331",O3066="331")),"x","")</f>
        <v/>
      </c>
      <c r="Q3066" s="75" t="str">
        <f>IF(AND(B3066='111'!$L$11,OR($N3066=$Q$7,$O3066=$Q$7)),"x","")</f>
        <v/>
      </c>
      <c r="R3066" s="75" t="str">
        <f>IF(AND($N3066=$Q$7,$B3066&lt;'111'!$L$11),"x","")</f>
        <v/>
      </c>
      <c r="S3066" s="75" t="str">
        <f>IF(AND($O3066=$Q$7,$B3066&lt;'111'!$L$11),"x","")</f>
        <v/>
      </c>
      <c r="T3066" s="75" t="str">
        <f>IF(ISERROR(FIND('112'!$M$9,G3066,1)),"",IF((AND(FIND('112'!$M$9,G3066,1)&gt;=1,B3066='112'!$K$9,OR($N3066='112'!$I$6,$O3066='112'!$I$6))),"x",""))</f>
        <v/>
      </c>
      <c r="U3066" s="75" t="str">
        <f>IF(ISERROR(FIND('112'!$M$9,G3066,1)),"",IF((AND(LEFT(G3066,2)=LEFT('112'!$M$9,2),B3066&lt;'112'!$K$9,$N3066='112'!$I$6)),"x",""))</f>
        <v/>
      </c>
      <c r="V3066" s="75" t="str">
        <f>IF(ISERROR(FIND('112'!$M$9,G3066,1)),"",IF((AND(RIGHT(G3066,2)=RIGHT('112'!$M$9,2),B3066&lt;'112'!$K$9,$O3066='112'!$I$6)),"x",""))</f>
        <v/>
      </c>
      <c r="W3066" s="75" t="str">
        <f>IF(AND('341-CT'!$H$9=H3066,OR(LEFT(N3066,3)=$W$7,LEFT(O3066,3)=$W$7)),"x","")</f>
        <v/>
      </c>
      <c r="X3066" s="75" t="str">
        <f>IF(OR(TH!N3066=TH!$X$7,O3066=TH!$X$7),"x","")</f>
        <v/>
      </c>
      <c r="Y3066" s="75" t="str">
        <f>IF(AND(OR(N3066="131",O3066="131"),H3066='131-CT'!$H$9),"x","")</f>
        <v/>
      </c>
      <c r="Z3066" s="75"/>
      <c r="AA3066" s="75" t="str">
        <f>IF(AND(MONTH(E3066)='IN-NX'!$J$5,'IN-NX'!$D$7=D3066),"x","")</f>
        <v/>
      </c>
      <c r="AB3066" s="75" t="str">
        <f>IF(AND(OR(LEFT(TH!N3066,2)="15",LEFT(TH!O3066,2)="15"),LEFT(TH!O3066,3)&lt;&gt;"111",'152-CT'!$J$8=TH!F3066),"x","")</f>
        <v/>
      </c>
      <c r="AC3066" s="75" t="str">
        <f>IF(AND(OR(LEFT(TH!N3066,2)="15",LEFT(TH!O3066,2)="15"),TK!$E$7=TH!F3066),"x","")</f>
        <v/>
      </c>
      <c r="AD3066" s="75" t="str">
        <f>IF(AND(N3066="1521",MONTH(C3066)='BK-NL'!$M$11),"x","")</f>
        <v/>
      </c>
    </row>
    <row r="3067" spans="1:31" s="1264" customFormat="1" ht="16.5" customHeight="1">
      <c r="A3067" s="309" t="str">
        <f>IF(B3067&lt;&gt;"",IF(AND(B3067='IN-TC'!$S$4,OR(TH!N3067="1111",TH!O3067="1111")),TH!D3067,""),"")</f>
        <v/>
      </c>
      <c r="B3067" s="1279">
        <f t="shared" si="1109"/>
        <v>8</v>
      </c>
      <c r="C3067" s="71">
        <v>42972</v>
      </c>
      <c r="D3067" s="71" t="s">
        <v>902</v>
      </c>
      <c r="E3067" s="71">
        <f t="shared" si="1110"/>
        <v>42972</v>
      </c>
      <c r="F3067" s="72" t="s">
        <v>1307</v>
      </c>
      <c r="G3067" s="72" t="s">
        <v>747</v>
      </c>
      <c r="H3067" s="73" t="s">
        <v>835</v>
      </c>
      <c r="I3067" s="73"/>
      <c r="J3067" s="378"/>
      <c r="K3067" s="371">
        <v>3</v>
      </c>
      <c r="L3067" s="377">
        <v>22720</v>
      </c>
      <c r="M3067" s="74">
        <f t="shared" si="1114"/>
        <v>68160</v>
      </c>
      <c r="N3067" s="75" t="s">
        <v>101</v>
      </c>
      <c r="O3067" s="934" t="s">
        <v>256</v>
      </c>
      <c r="P3067" s="75" t="str">
        <f>IF(AND('331-CT'!$E$7=TH!H3067,OR(N3067="331",O3067="331")),"x","")</f>
        <v/>
      </c>
      <c r="Q3067" s="75" t="str">
        <f>IF(AND(B3067='111'!$L$11,OR($N3067=$Q$7,$O3067=$Q$7)),"x","")</f>
        <v/>
      </c>
      <c r="R3067" s="75" t="str">
        <f>IF(AND($N3067=$Q$7,$B3067&lt;'111'!$L$11),"x","")</f>
        <v/>
      </c>
      <c r="S3067" s="75" t="str">
        <f>IF(AND($O3067=$Q$7,$B3067&lt;'111'!$L$11),"x","")</f>
        <v/>
      </c>
      <c r="T3067" s="75" t="str">
        <f>IF(ISERROR(FIND('112'!$M$9,G3067,1)),"",IF((AND(FIND('112'!$M$9,G3067,1)&gt;=1,B3067='112'!$K$9,OR($N3067='112'!$I$6,$O3067='112'!$I$6))),"x",""))</f>
        <v/>
      </c>
      <c r="U3067" s="75" t="str">
        <f>IF(ISERROR(FIND('112'!$M$9,G3067,1)),"",IF((AND(LEFT(G3067,2)=LEFT('112'!$M$9,2),B3067&lt;'112'!$K$9,$N3067='112'!$I$6)),"x",""))</f>
        <v/>
      </c>
      <c r="V3067" s="75" t="str">
        <f>IF(ISERROR(FIND('112'!$M$9,G3067,1)),"",IF((AND(RIGHT(G3067,2)=RIGHT('112'!$M$9,2),B3067&lt;'112'!$K$9,$O3067='112'!$I$6)),"x",""))</f>
        <v/>
      </c>
      <c r="W3067" s="75" t="str">
        <f>IF(AND('341-CT'!$H$9=H3067,OR(LEFT(N3067,3)=$W$7,LEFT(O3067,3)=$W$7)),"x","")</f>
        <v/>
      </c>
      <c r="X3067" s="75" t="str">
        <f>IF(OR(TH!N3067=TH!$X$7,O3067=TH!$X$7),"x","")</f>
        <v/>
      </c>
      <c r="Y3067" s="75" t="str">
        <f>IF(AND(OR(N3067="131",O3067="131"),H3067='131-CT'!$H$9),"x","")</f>
        <v/>
      </c>
      <c r="Z3067" s="75"/>
      <c r="AA3067" s="75" t="str">
        <f>IF(AND(MONTH(E3067)='IN-NX'!$J$5,'IN-NX'!$D$7=D3067),"x","")</f>
        <v/>
      </c>
      <c r="AB3067" s="75" t="str">
        <f>IF(AND(OR(LEFT(TH!N3067,2)="15",LEFT(TH!O3067,2)="15"),LEFT(TH!O3067,3)&lt;&gt;"111",'152-CT'!$J$8=TH!F3067),"x","")</f>
        <v/>
      </c>
      <c r="AC3067" s="75" t="str">
        <f>IF(AND(OR(LEFT(TH!N3067,2)="15",LEFT(TH!O3067,2)="15"),TK!$E$7=TH!F3067),"x","")</f>
        <v/>
      </c>
      <c r="AD3067" s="75" t="str">
        <f>IF(AND(N3067="1521",MONTH(C3067)='BK-NL'!$M$11),"x","")</f>
        <v/>
      </c>
      <c r="AE3067" s="1264">
        <v>8</v>
      </c>
    </row>
    <row r="3068" spans="1:31" s="1264" customFormat="1" ht="16.5" customHeight="1">
      <c r="A3068" s="309" t="str">
        <f>IF(B3068&lt;&gt;"",IF(AND(B3068='IN-TC'!$S$4,OR(TH!N3068="1111",TH!O3068="1111")),TH!D3068,""),"")</f>
        <v/>
      </c>
      <c r="B3068" s="1279">
        <f t="shared" si="1109"/>
        <v>8</v>
      </c>
      <c r="C3068" s="71">
        <v>42972</v>
      </c>
      <c r="D3068" s="71" t="s">
        <v>902</v>
      </c>
      <c r="E3068" s="71">
        <f t="shared" si="1110"/>
        <v>42972</v>
      </c>
      <c r="F3068" s="72" t="s">
        <v>1314</v>
      </c>
      <c r="G3068" s="72" t="s">
        <v>747</v>
      </c>
      <c r="H3068" s="73" t="s">
        <v>835</v>
      </c>
      <c r="I3068" s="73"/>
      <c r="J3068" s="378"/>
      <c r="K3068" s="371">
        <v>0.3</v>
      </c>
      <c r="L3068" s="377">
        <v>22720</v>
      </c>
      <c r="M3068" s="74">
        <f t="shared" si="1114"/>
        <v>6816</v>
      </c>
      <c r="N3068" s="75" t="s">
        <v>9</v>
      </c>
      <c r="O3068" s="934" t="s">
        <v>256</v>
      </c>
      <c r="P3068" s="75" t="str">
        <f>IF(AND('331-CT'!$E$7=TH!H3068,OR(N3068="331",O3068="331")),"x","")</f>
        <v/>
      </c>
      <c r="Q3068" s="75" t="str">
        <f>IF(AND(B3068='111'!$L$11,OR($N3068=$Q$7,$O3068=$Q$7)),"x","")</f>
        <v/>
      </c>
      <c r="R3068" s="75" t="str">
        <f>IF(AND($N3068=$Q$7,$B3068&lt;'111'!$L$11),"x","")</f>
        <v/>
      </c>
      <c r="S3068" s="75" t="str">
        <f>IF(AND($O3068=$Q$7,$B3068&lt;'111'!$L$11),"x","")</f>
        <v/>
      </c>
      <c r="T3068" s="75" t="str">
        <f>IF(ISERROR(FIND('112'!$M$9,G3068,1)),"",IF((AND(FIND('112'!$M$9,G3068,1)&gt;=1,B3068='112'!$K$9,OR($N3068='112'!$I$6,$O3068='112'!$I$6))),"x",""))</f>
        <v/>
      </c>
      <c r="U3068" s="75" t="str">
        <f>IF(ISERROR(FIND('112'!$M$9,G3068,1)),"",IF((AND(LEFT(G3068,2)=LEFT('112'!$M$9,2),B3068&lt;'112'!$K$9,$N3068='112'!$I$6)),"x",""))</f>
        <v/>
      </c>
      <c r="V3068" s="75" t="str">
        <f>IF(ISERROR(FIND('112'!$M$9,G3068,1)),"",IF((AND(RIGHT(G3068,2)=RIGHT('112'!$M$9,2),B3068&lt;'112'!$K$9,$O3068='112'!$I$6)),"x",""))</f>
        <v/>
      </c>
      <c r="W3068" s="75" t="str">
        <f>IF(AND('341-CT'!$H$9=H3068,OR(LEFT(N3068,3)=$W$7,LEFT(O3068,3)=$W$7)),"x","")</f>
        <v/>
      </c>
      <c r="X3068" s="75" t="str">
        <f>IF(OR(TH!N3068=TH!$X$7,O3068=TH!$X$7),"x","")</f>
        <v/>
      </c>
      <c r="Y3068" s="75" t="str">
        <f>IF(AND(OR(N3068="131",O3068="131"),H3068='131-CT'!$H$9),"x","")</f>
        <v/>
      </c>
      <c r="Z3068" s="75"/>
      <c r="AA3068" s="75" t="str">
        <f>IF(AND(MONTH(E3068)='IN-NX'!$J$5,'IN-NX'!$D$7=D3068),"x","")</f>
        <v/>
      </c>
      <c r="AB3068" s="75" t="str">
        <f>IF(AND(OR(LEFT(TH!N3068,2)="15",LEFT(TH!O3068,2)="15"),LEFT(TH!O3068,3)&lt;&gt;"111",'152-CT'!$J$8=TH!F3068),"x","")</f>
        <v/>
      </c>
      <c r="AC3068" s="75" t="str">
        <f>IF(AND(OR(LEFT(TH!N3068,2)="15",LEFT(TH!O3068,2)="15"),TK!$E$7=TH!F3068),"x","")</f>
        <v/>
      </c>
      <c r="AD3068" s="75" t="str">
        <f>IF(AND(N3068="1521",MONTH(C3068)='BK-NL'!$M$11),"x","")</f>
        <v/>
      </c>
      <c r="AE3068" s="1264">
        <v>8</v>
      </c>
    </row>
    <row r="3069" spans="1:31" s="1264" customFormat="1" ht="16.5" customHeight="1">
      <c r="A3069" s="309" t="str">
        <f>IF(B3069&lt;&gt;"",IF(AND(B3069='IN-TC'!$S$4,OR(TH!N3069="1111",TH!O3069="1111")),TH!D3069,""),"")</f>
        <v/>
      </c>
      <c r="B3069" s="1279">
        <f t="shared" si="1109"/>
        <v>8</v>
      </c>
      <c r="C3069" s="71">
        <v>42975</v>
      </c>
      <c r="D3069" s="71" t="s">
        <v>902</v>
      </c>
      <c r="E3069" s="71">
        <f t="shared" si="1110"/>
        <v>42975</v>
      </c>
      <c r="F3069" s="72" t="s">
        <v>907</v>
      </c>
      <c r="G3069" s="72" t="s">
        <v>747</v>
      </c>
      <c r="H3069" s="73" t="s">
        <v>835</v>
      </c>
      <c r="I3069" s="73"/>
      <c r="J3069" s="378"/>
      <c r="K3069" s="371">
        <v>5000</v>
      </c>
      <c r="L3069" s="377">
        <v>22700</v>
      </c>
      <c r="M3069" s="74">
        <f t="shared" si="1114"/>
        <v>113500000</v>
      </c>
      <c r="N3069" s="75" t="s">
        <v>26</v>
      </c>
      <c r="O3069" s="934" t="s">
        <v>256</v>
      </c>
      <c r="P3069" s="75" t="str">
        <f>IF(AND('331-CT'!$E$7=TH!H3069,OR(N3069="331",O3069="331")),"x","")</f>
        <v/>
      </c>
      <c r="Q3069" s="75" t="str">
        <f>IF(AND(B3069='111'!$L$11,OR($N3069=$Q$7,$O3069=$Q$7)),"x","")</f>
        <v/>
      </c>
      <c r="R3069" s="75" t="str">
        <f>IF(AND($N3069=$Q$7,$B3069&lt;'111'!$L$11),"x","")</f>
        <v/>
      </c>
      <c r="S3069" s="75" t="str">
        <f>IF(AND($O3069=$Q$7,$B3069&lt;'111'!$L$11),"x","")</f>
        <v/>
      </c>
      <c r="T3069" s="75" t="str">
        <f>IF(ISERROR(FIND('112'!$M$9,G3069,1)),"",IF((AND(FIND('112'!$M$9,G3069,1)&gt;=1,B3069='112'!$K$9,OR($N3069='112'!$I$6,$O3069='112'!$I$6))),"x",""))</f>
        <v/>
      </c>
      <c r="U3069" s="75" t="str">
        <f>IF(ISERROR(FIND('112'!$M$9,G3069,1)),"",IF((AND(LEFT(G3069,2)=LEFT('112'!$M$9,2),B3069&lt;'112'!$K$9,$N3069='112'!$I$6)),"x",""))</f>
        <v/>
      </c>
      <c r="V3069" s="75" t="str">
        <f>IF(ISERROR(FIND('112'!$M$9,G3069,1)),"",IF((AND(RIGHT(G3069,2)=RIGHT('112'!$M$9,2),B3069&lt;'112'!$K$9,$O3069='112'!$I$6)),"x",""))</f>
        <v/>
      </c>
      <c r="W3069" s="75" t="str">
        <f>IF(AND('341-CT'!$H$9=H3069,OR(LEFT(N3069,3)=$W$7,LEFT(O3069,3)=$W$7)),"x","")</f>
        <v/>
      </c>
      <c r="X3069" s="75" t="str">
        <f>IF(OR(TH!N3069=TH!$X$7,O3069=TH!$X$7),"x","")</f>
        <v/>
      </c>
      <c r="Y3069" s="75" t="str">
        <f>IF(AND(OR(N3069="131",O3069="131"),H3069='131-CT'!$H$9),"x","")</f>
        <v/>
      </c>
      <c r="Z3069" s="75"/>
      <c r="AA3069" s="75" t="str">
        <f>IF(AND(MONTH(E3069)='IN-NX'!$J$5,'IN-NX'!$D$7=D3069),"x","")</f>
        <v/>
      </c>
      <c r="AB3069" s="75" t="str">
        <f>IF(AND(OR(LEFT(TH!N3069,2)="15",LEFT(TH!O3069,2)="15"),LEFT(TH!O3069,3)&lt;&gt;"111",'152-CT'!$J$8=TH!F3069),"x","")</f>
        <v/>
      </c>
      <c r="AC3069" s="75" t="str">
        <f>IF(AND(OR(LEFT(TH!N3069,2)="15",LEFT(TH!O3069,2)="15"),TK!$E$7=TH!F3069),"x","")</f>
        <v/>
      </c>
      <c r="AD3069" s="75" t="str">
        <f>IF(AND(N3069="1521",MONTH(C3069)='BK-NL'!$M$11),"x","")</f>
        <v/>
      </c>
    </row>
    <row r="3070" spans="1:31" s="1264" customFormat="1" ht="16.5" customHeight="1">
      <c r="A3070" s="309" t="str">
        <f>IF(B3070&lt;&gt;"",IF(AND(B3070='IN-TC'!$S$4,OR(TH!N3070="1111",TH!O3070="1111")),TH!D3070,""),"")</f>
        <v/>
      </c>
      <c r="B3070" s="1279">
        <f t="shared" si="1109"/>
        <v>8</v>
      </c>
      <c r="C3070" s="71">
        <v>42977</v>
      </c>
      <c r="D3070" s="71" t="s">
        <v>903</v>
      </c>
      <c r="E3070" s="71">
        <f t="shared" si="1110"/>
        <v>42977</v>
      </c>
      <c r="F3070" s="72" t="s">
        <v>2464</v>
      </c>
      <c r="G3070" s="72" t="s">
        <v>747</v>
      </c>
      <c r="H3070" s="73" t="s">
        <v>2465</v>
      </c>
      <c r="I3070" s="73"/>
      <c r="J3070" s="378"/>
      <c r="K3070" s="372">
        <v>15000</v>
      </c>
      <c r="L3070" s="378">
        <v>22700</v>
      </c>
      <c r="M3070" s="1214">
        <f t="shared" si="1114"/>
        <v>340500000</v>
      </c>
      <c r="N3070" s="75" t="s">
        <v>256</v>
      </c>
      <c r="O3070" s="75" t="s">
        <v>250</v>
      </c>
      <c r="P3070" s="75" t="str">
        <f>IF(AND('331-CT'!$E$7=TH!H3070,OR(N3070="331",O3070="331")),"x","")</f>
        <v/>
      </c>
      <c r="Q3070" s="75" t="str">
        <f>IF(AND(B3070='111'!$L$11,OR($N3070=$Q$7,$O3070=$Q$7)),"x","")</f>
        <v/>
      </c>
      <c r="R3070" s="75" t="str">
        <f>IF(AND($N3070=$Q$7,$B3070&lt;'111'!$L$11),"x","")</f>
        <v/>
      </c>
      <c r="S3070" s="75" t="str">
        <f>IF(AND($O3070=$Q$7,$B3070&lt;'111'!$L$11),"x","")</f>
        <v/>
      </c>
      <c r="T3070" s="75" t="str">
        <f>IF(ISERROR(FIND('112'!$M$9,G3070,1)),"",IF((AND(FIND('112'!$M$9,G3070,1)&gt;=1,B3070='112'!$K$9,OR($N3070='112'!$I$6,$O3070='112'!$I$6))),"x",""))</f>
        <v/>
      </c>
      <c r="U3070" s="75" t="str">
        <f>IF(ISERROR(FIND('112'!$M$9,G3070,1)),"",IF((AND(LEFT(G3070,2)=LEFT('112'!$M$9,2),B3070&lt;'112'!$K$9,$N3070='112'!$I$6)),"x",""))</f>
        <v/>
      </c>
      <c r="V3070" s="75" t="str">
        <f>IF(ISERROR(FIND('112'!$M$9,G3070,1)),"",IF((AND(RIGHT(G3070,2)=RIGHT('112'!$M$9,2),B3070&lt;'112'!$K$9,$O3070='112'!$I$6)),"x",""))</f>
        <v/>
      </c>
      <c r="W3070" s="75" t="str">
        <f>IF(AND('341-CT'!$H$9=H3070,OR(LEFT(N3070,3)=$W$7,LEFT(O3070,3)=$W$7)),"x","")</f>
        <v/>
      </c>
      <c r="X3070" s="75" t="str">
        <f>IF(OR(TH!N3070=TH!$X$7,O3070=TH!$X$7),"x","")</f>
        <v/>
      </c>
      <c r="Y3070" s="75" t="str">
        <f>IF(AND(OR(N3070="131",O3070="131"),H3070='131-CT'!$H$9),"x","")</f>
        <v/>
      </c>
      <c r="Z3070" s="75"/>
      <c r="AA3070" s="75" t="str">
        <f>IF(AND(MONTH(E3070)='IN-NX'!$J$5,'IN-NX'!$D$7=D3070),"x","")</f>
        <v/>
      </c>
      <c r="AB3070" s="75" t="str">
        <f>IF(AND(OR(LEFT(TH!N3070,2)="15",LEFT(TH!O3070,2)="15"),LEFT(TH!O3070,3)&lt;&gt;"111",'152-CT'!$J$8=TH!F3070),"x","")</f>
        <v/>
      </c>
      <c r="AC3070" s="75" t="str">
        <f>IF(AND(OR(LEFT(TH!N3070,2)="15",LEFT(TH!O3070,2)="15"),TK!$E$7=TH!F3070),"x","")</f>
        <v/>
      </c>
      <c r="AD3070" s="75" t="str">
        <f>IF(AND(N3070="1521",MONTH(C3070)='BK-NL'!$M$11),"x","")</f>
        <v/>
      </c>
    </row>
    <row r="3071" spans="1:31" s="1264" customFormat="1" ht="16.5" customHeight="1">
      <c r="A3071" s="309" t="str">
        <f>IF(B3071&lt;&gt;"",IF(AND(B3071='IN-TC'!$S$4,OR(TH!N3071="1111",TH!O3071="1111")),TH!D3071,""),"")</f>
        <v/>
      </c>
      <c r="B3071" s="1275">
        <f t="shared" si="1109"/>
        <v>9</v>
      </c>
      <c r="C3071" s="71">
        <v>42979</v>
      </c>
      <c r="D3071" s="71" t="s">
        <v>902</v>
      </c>
      <c r="E3071" s="71">
        <f t="shared" si="1110"/>
        <v>42979</v>
      </c>
      <c r="F3071" s="72" t="s">
        <v>907</v>
      </c>
      <c r="G3071" s="72" t="s">
        <v>747</v>
      </c>
      <c r="H3071" s="73" t="s">
        <v>835</v>
      </c>
      <c r="I3071" s="73"/>
      <c r="J3071" s="378"/>
      <c r="K3071" s="371">
        <v>18500</v>
      </c>
      <c r="L3071" s="378">
        <v>22700</v>
      </c>
      <c r="M3071" s="74">
        <f>ROUND(K3071*L3071,0)</f>
        <v>419950000</v>
      </c>
      <c r="N3071" s="75" t="s">
        <v>26</v>
      </c>
      <c r="O3071" s="934" t="s">
        <v>256</v>
      </c>
      <c r="P3071" s="75" t="str">
        <f>IF(AND('331-CT'!$E$7=TH!H3071,OR(N3071="331",O3071="331")),"x","")</f>
        <v/>
      </c>
      <c r="Q3071" s="75" t="str">
        <f>IF(AND(B3071='111'!$L$11,OR($N3071=$Q$7,$O3071=$Q$7)),"x","")</f>
        <v/>
      </c>
      <c r="R3071" s="75" t="str">
        <f>IF(AND($N3071=$Q$7,$B3071&lt;'111'!$L$11),"x","")</f>
        <v/>
      </c>
      <c r="S3071" s="75" t="str">
        <f>IF(AND($O3071=$Q$7,$B3071&lt;'111'!$L$11),"x","")</f>
        <v/>
      </c>
      <c r="T3071" s="75" t="str">
        <f>IF(ISERROR(FIND('112'!$M$9,G3071,1)),"",IF((AND(FIND('112'!$M$9,G3071,1)&gt;=1,B3071='112'!$K$9,OR($N3071='112'!$I$6,$O3071='112'!$I$6))),"x",""))</f>
        <v/>
      </c>
      <c r="U3071" s="75" t="str">
        <f>IF(ISERROR(FIND('112'!$M$9,G3071,1)),"",IF((AND(LEFT(G3071,2)=LEFT('112'!$M$9,2),B3071&lt;'112'!$K$9,$N3071='112'!$I$6)),"x",""))</f>
        <v/>
      </c>
      <c r="V3071" s="75" t="str">
        <f>IF(ISERROR(FIND('112'!$M$9,G3071,1)),"",IF((AND(RIGHT(G3071,2)=RIGHT('112'!$M$9,2),B3071&lt;'112'!$K$9,$O3071='112'!$I$6)),"x",""))</f>
        <v/>
      </c>
      <c r="W3071" s="75" t="str">
        <f>IF(AND('341-CT'!$H$9=H3071,OR(LEFT(N3071,3)=$W$7,LEFT(O3071,3)=$W$7)),"x","")</f>
        <v/>
      </c>
      <c r="X3071" s="75" t="str">
        <f>IF(OR(TH!N3071=TH!$X$7,O3071=TH!$X$7),"x","")</f>
        <v/>
      </c>
      <c r="Y3071" s="75" t="str">
        <f>IF(AND(OR(N3071="131",O3071="131"),H3071='131-CT'!$H$9),"x","")</f>
        <v/>
      </c>
      <c r="Z3071" s="75"/>
      <c r="AA3071" s="75" t="str">
        <f>IF(AND(MONTH(E3071)='IN-NX'!$J$5,'IN-NX'!$D$7=D3071),"x","")</f>
        <v/>
      </c>
      <c r="AB3071" s="75" t="str">
        <f>IF(AND(OR(LEFT(TH!N3071,2)="15",LEFT(TH!O3071,2)="15"),LEFT(TH!O3071,3)&lt;&gt;"111",'152-CT'!$J$8=TH!F3071),"x","")</f>
        <v/>
      </c>
      <c r="AC3071" s="75" t="str">
        <f>IF(AND(OR(LEFT(TH!N3071,2)="15",LEFT(TH!O3071,2)="15"),TK!$E$7=TH!F3071),"x","")</f>
        <v/>
      </c>
      <c r="AD3071" s="75" t="str">
        <f>IF(AND(N3071="1521",MONTH(C3071)='BK-NL'!$M$11),"x","")</f>
        <v/>
      </c>
    </row>
    <row r="3072" spans="1:31" s="1264" customFormat="1" ht="16.5" customHeight="1">
      <c r="A3072" s="309" t="str">
        <f>IF(B3072&lt;&gt;"",IF(AND(B3072='IN-TC'!$S$4,OR(TH!N3072="1111",TH!O3072="1111")),TH!D3072,""),"")</f>
        <v/>
      </c>
      <c r="B3072" s="1275">
        <f t="shared" si="1109"/>
        <v>9</v>
      </c>
      <c r="C3072" s="71">
        <v>42979</v>
      </c>
      <c r="D3072" s="71" t="s">
        <v>903</v>
      </c>
      <c r="E3072" s="71">
        <f t="shared" si="1110"/>
        <v>42979</v>
      </c>
      <c r="F3072" s="72" t="s">
        <v>1086</v>
      </c>
      <c r="G3072" s="72" t="s">
        <v>747</v>
      </c>
      <c r="H3072" s="296" t="s">
        <v>1903</v>
      </c>
      <c r="I3072" s="73"/>
      <c r="J3072" s="378"/>
      <c r="K3072" s="371">
        <v>84013</v>
      </c>
      <c r="L3072" s="377">
        <v>22700</v>
      </c>
      <c r="M3072" s="1214">
        <f t="shared" ref="M3072" si="1115">ROUND(K3072*L3072,0)</f>
        <v>1907095100</v>
      </c>
      <c r="N3072" s="75" t="s">
        <v>256</v>
      </c>
      <c r="O3072" s="75" t="s">
        <v>536</v>
      </c>
      <c r="P3072" s="75" t="str">
        <f>IF(AND('331-CT'!$E$7=TH!H3072,OR(N3072="331",O3072="331")),"x","")</f>
        <v/>
      </c>
      <c r="Q3072" s="75" t="str">
        <f>IF(AND(B3072='111'!$L$11,OR($N3072=$Q$7,$O3072=$Q$7)),"x","")</f>
        <v/>
      </c>
      <c r="R3072" s="75" t="str">
        <f>IF(AND($N3072=$Q$7,$B3072&lt;'111'!$L$11),"x","")</f>
        <v/>
      </c>
      <c r="S3072" s="75" t="str">
        <f>IF(AND($O3072=$Q$7,$B3072&lt;'111'!$L$11),"x","")</f>
        <v/>
      </c>
      <c r="T3072" s="75" t="str">
        <f>IF(ISERROR(FIND('112'!$M$9,G3072,1)),"",IF((AND(FIND('112'!$M$9,G3072,1)&gt;=1,B3072='112'!$K$9,OR($N3072='112'!$I$6,$O3072='112'!$I$6))),"x",""))</f>
        <v/>
      </c>
      <c r="U3072" s="75" t="str">
        <f>IF(ISERROR(FIND('112'!$M$9,G3072,1)),"",IF((AND(LEFT(G3072,2)=LEFT('112'!$M$9,2),B3072&lt;'112'!$K$9,$N3072='112'!$I$6)),"x",""))</f>
        <v/>
      </c>
      <c r="V3072" s="75" t="str">
        <f>IF(ISERROR(FIND('112'!$M$9,G3072,1)),"",IF((AND(RIGHT(G3072,2)=RIGHT('112'!$M$9,2),B3072&lt;'112'!$K$9,$O3072='112'!$I$6)),"x",""))</f>
        <v/>
      </c>
      <c r="W3072" s="75" t="str">
        <f>IF(AND('341-CT'!$H$9=H3072,OR(LEFT(N3072,3)=$W$7,LEFT(O3072,3)=$W$7)),"x","")</f>
        <v/>
      </c>
      <c r="X3072" s="75" t="str">
        <f>IF(OR(TH!N3072=TH!$X$7,O3072=TH!$X$7),"x","")</f>
        <v/>
      </c>
      <c r="Y3072" s="75" t="str">
        <f>IF(AND(OR(N3072="131",O3072="131"),H3072='131-CT'!$H$9),"x","")</f>
        <v/>
      </c>
      <c r="Z3072" s="75"/>
      <c r="AA3072" s="75" t="str">
        <f>IF(AND(MONTH(E3072)='IN-NX'!$J$5,'IN-NX'!$D$7=D3072),"x","")</f>
        <v/>
      </c>
      <c r="AB3072" s="75" t="str">
        <f>IF(AND(OR(LEFT(TH!N3072,2)="15",LEFT(TH!O3072,2)="15"),LEFT(TH!O3072,3)&lt;&gt;"111",'152-CT'!$J$8=TH!F3072),"x","")</f>
        <v/>
      </c>
      <c r="AC3072" s="75" t="str">
        <f>IF(AND(OR(LEFT(TH!N3072,2)="15",LEFT(TH!O3072,2)="15"),TK!$E$7=TH!F3072),"x","")</f>
        <v/>
      </c>
      <c r="AD3072" s="75" t="str">
        <f>IF(AND(N3072="1521",MONTH(C3072)='BK-NL'!$M$11),"x","")</f>
        <v/>
      </c>
    </row>
    <row r="3073" spans="1:31" s="1264" customFormat="1" ht="16.5" customHeight="1">
      <c r="A3073" s="309" t="str">
        <f>IF(B3073&lt;&gt;"",IF(AND(B3073='IN-TC'!$S$4,OR(TH!N3073="1111",TH!O3073="1111")),TH!D3073,""),"")</f>
        <v/>
      </c>
      <c r="B3073" s="1275">
        <f t="shared" si="1109"/>
        <v>9</v>
      </c>
      <c r="C3073" s="71">
        <v>42979</v>
      </c>
      <c r="D3073" s="71" t="s">
        <v>530</v>
      </c>
      <c r="E3073" s="71">
        <f t="shared" si="1110"/>
        <v>42979</v>
      </c>
      <c r="F3073" s="72" t="s">
        <v>1027</v>
      </c>
      <c r="G3073" s="72" t="s">
        <v>747</v>
      </c>
      <c r="H3073" s="296" t="s">
        <v>1903</v>
      </c>
      <c r="I3073" s="73"/>
      <c r="J3073" s="378"/>
      <c r="K3073" s="371">
        <v>187</v>
      </c>
      <c r="L3073" s="377">
        <v>22700</v>
      </c>
      <c r="M3073" s="933">
        <f t="shared" si="1112"/>
        <v>4244900</v>
      </c>
      <c r="N3073" s="75" t="s">
        <v>101</v>
      </c>
      <c r="O3073" s="75" t="s">
        <v>536</v>
      </c>
      <c r="P3073" s="75" t="str">
        <f>IF(AND('331-CT'!$E$7=TH!H3073,OR(N3073="331",O3073="331")),"x","")</f>
        <v/>
      </c>
      <c r="Q3073" s="75" t="str">
        <f>IF(AND(B3073='111'!$L$11,OR($N3073=$Q$7,$O3073=$Q$7)),"x","")</f>
        <v/>
      </c>
      <c r="R3073" s="75" t="str">
        <f>IF(AND($N3073=$Q$7,$B3073&lt;'111'!$L$11),"x","")</f>
        <v/>
      </c>
      <c r="S3073" s="75" t="str">
        <f>IF(AND($O3073=$Q$7,$B3073&lt;'111'!$L$11),"x","")</f>
        <v/>
      </c>
      <c r="T3073" s="75" t="str">
        <f>IF(ISERROR(FIND('112'!$M$9,G3073,1)),"",IF((AND(FIND('112'!$M$9,G3073,1)&gt;=1,B3073='112'!$K$9,OR($N3073='112'!$I$6,$O3073='112'!$I$6))),"x",""))</f>
        <v/>
      </c>
      <c r="U3073" s="75" t="str">
        <f>IF(ISERROR(FIND('112'!$M$9,G3073,1)),"",IF((AND(LEFT(G3073,2)=LEFT('112'!$M$9,2),B3073&lt;'112'!$K$9,$N3073='112'!$I$6)),"x",""))</f>
        <v/>
      </c>
      <c r="V3073" s="75" t="str">
        <f>IF(ISERROR(FIND('112'!$M$9,G3073,1)),"",IF((AND(RIGHT(G3073,2)=RIGHT('112'!$M$9,2),B3073&lt;'112'!$K$9,$O3073='112'!$I$6)),"x",""))</f>
        <v/>
      </c>
      <c r="W3073" s="75" t="str">
        <f>IF(AND('341-CT'!$H$9=H3073,OR(LEFT(N3073,3)=$W$7,LEFT(O3073,3)=$W$7)),"x","")</f>
        <v/>
      </c>
      <c r="X3073" s="75" t="str">
        <f>IF(OR(TH!N3073=TH!$X$7,O3073=TH!$X$7),"x","")</f>
        <v/>
      </c>
      <c r="Y3073" s="75" t="str">
        <f>IF(AND(OR(N3073="131",O3073="131"),H3073='131-CT'!$H$9),"x","")</f>
        <v/>
      </c>
      <c r="Z3073" s="75"/>
      <c r="AA3073" s="75" t="str">
        <f>IF(AND(MONTH(E3073)='IN-NX'!$J$5,'IN-NX'!$D$7=D3073),"x","")</f>
        <v/>
      </c>
      <c r="AB3073" s="75" t="str">
        <f>IF(AND(OR(LEFT(TH!N3073,2)="15",LEFT(TH!O3073,2)="15"),LEFT(TH!O3073,3)&lt;&gt;"111",'152-CT'!$J$8=TH!F3073),"x","")</f>
        <v/>
      </c>
      <c r="AC3073" s="75" t="str">
        <f>IF(AND(OR(LEFT(TH!N3073,2)="15",LEFT(TH!O3073,2)="15"),TK!$E$7=TH!F3073),"x","")</f>
        <v/>
      </c>
      <c r="AD3073" s="75" t="str">
        <f>IF(AND(N3073="1521",MONTH(C3073)='BK-NL'!$M$11),"x","")</f>
        <v/>
      </c>
    </row>
    <row r="3074" spans="1:31" s="1264" customFormat="1" ht="16.5" customHeight="1">
      <c r="A3074" s="309" t="str">
        <f>IF(B3074&lt;&gt;"",IF(AND(B3074='IN-TC'!$S$4,OR(TH!N3074="1111",TH!O3074="1111")),TH!D3074,""),"")</f>
        <v/>
      </c>
      <c r="B3074" s="1275">
        <f t="shared" si="1109"/>
        <v>9</v>
      </c>
      <c r="C3074" s="71">
        <v>42979</v>
      </c>
      <c r="D3074" s="71" t="s">
        <v>530</v>
      </c>
      <c r="E3074" s="71">
        <f t="shared" si="1110"/>
        <v>42979</v>
      </c>
      <c r="F3074" s="72" t="s">
        <v>1010</v>
      </c>
      <c r="G3074" s="72" t="s">
        <v>747</v>
      </c>
      <c r="H3074" s="296" t="s">
        <v>1903</v>
      </c>
      <c r="I3074" s="73"/>
      <c r="J3074" s="378"/>
      <c r="K3074" s="371"/>
      <c r="L3074" s="377"/>
      <c r="M3074" s="74">
        <v>842000</v>
      </c>
      <c r="N3074" s="75" t="s">
        <v>536</v>
      </c>
      <c r="O3074" s="934" t="s">
        <v>43</v>
      </c>
      <c r="P3074" s="75" t="str">
        <f>IF(AND('331-CT'!$E$7=TH!H3074,OR(N3074="331",O3074="331")),"x","")</f>
        <v/>
      </c>
      <c r="Q3074" s="75" t="str">
        <f>IF(AND(B3074='111'!$L$11,OR($N3074=$Q$7,$O3074=$Q$7)),"x","")</f>
        <v/>
      </c>
      <c r="R3074" s="75" t="str">
        <f>IF(AND($N3074=$Q$7,$B3074&lt;'111'!$L$11),"x","")</f>
        <v/>
      </c>
      <c r="S3074" s="75" t="str">
        <f>IF(AND($O3074=$Q$7,$B3074&lt;'111'!$L$11),"x","")</f>
        <v/>
      </c>
      <c r="T3074" s="75" t="str">
        <f>IF(ISERROR(FIND('112'!$M$9,G3074,1)),"",IF((AND(FIND('112'!$M$9,G3074,1)&gt;=1,B3074='112'!$K$9,OR($N3074='112'!$I$6,$O3074='112'!$I$6))),"x",""))</f>
        <v/>
      </c>
      <c r="U3074" s="75" t="str">
        <f>IF(ISERROR(FIND('112'!$M$9,G3074,1)),"",IF((AND(LEFT(G3074,2)=LEFT('112'!$M$9,2),B3074&lt;'112'!$K$9,$N3074='112'!$I$6)),"x",""))</f>
        <v/>
      </c>
      <c r="V3074" s="75" t="str">
        <f>IF(ISERROR(FIND('112'!$M$9,G3074,1)),"",IF((AND(RIGHT(G3074,2)=RIGHT('112'!$M$9,2),B3074&lt;'112'!$K$9,$O3074='112'!$I$6)),"x",""))</f>
        <v/>
      </c>
      <c r="W3074" s="75" t="str">
        <f>IF(AND('341-CT'!$H$9=H3074,OR(LEFT(N3074,3)=$W$7,LEFT(O3074,3)=$W$7)),"x","")</f>
        <v/>
      </c>
      <c r="X3074" s="75" t="str">
        <f>IF(OR(TH!N3074=TH!$X$7,O3074=TH!$X$7),"x","")</f>
        <v/>
      </c>
      <c r="Y3074" s="75" t="str">
        <f>IF(AND(OR(N3074="131",O3074="131"),H3074='131-CT'!$H$9),"x","")</f>
        <v/>
      </c>
      <c r="Z3074" s="75"/>
      <c r="AA3074" s="75" t="str">
        <f>IF(AND(MONTH(E3074)='IN-NX'!$J$5,'IN-NX'!$D$7=D3074),"x","")</f>
        <v/>
      </c>
      <c r="AB3074" s="75" t="str">
        <f>IF(AND(OR(LEFT(TH!N3074,2)="15",LEFT(TH!O3074,2)="15"),LEFT(TH!O3074,3)&lt;&gt;"111",'152-CT'!$J$8=TH!F3074),"x","")</f>
        <v/>
      </c>
      <c r="AC3074" s="75" t="str">
        <f>IF(AND(OR(LEFT(TH!N3074,2)="15",LEFT(TH!O3074,2)="15"),TK!$E$7=TH!F3074),"x","")</f>
        <v/>
      </c>
      <c r="AD3074" s="75" t="str">
        <f>IF(AND(N3074="1521",MONTH(C3074)='BK-NL'!$M$11),"x","")</f>
        <v/>
      </c>
    </row>
    <row r="3075" spans="1:31" s="1264" customFormat="1" ht="16.5" customHeight="1">
      <c r="A3075" s="309" t="str">
        <f>IF(B3075&lt;&gt;"",IF(AND(B3075='IN-TC'!$S$4,OR(TH!N3075="1111",TH!O3075="1111")),TH!D3075,""),"")</f>
        <v/>
      </c>
      <c r="B3075" s="1275">
        <f t="shared" si="1109"/>
        <v>9</v>
      </c>
      <c r="C3075" s="71">
        <v>42979</v>
      </c>
      <c r="D3075" s="71" t="s">
        <v>902</v>
      </c>
      <c r="E3075" s="71">
        <f t="shared" si="1110"/>
        <v>42979</v>
      </c>
      <c r="F3075" s="73" t="s">
        <v>1549</v>
      </c>
      <c r="G3075" s="72" t="s">
        <v>747</v>
      </c>
      <c r="H3075" s="73" t="s">
        <v>835</v>
      </c>
      <c r="I3075" s="73"/>
      <c r="J3075" s="377"/>
      <c r="K3075" s="371">
        <v>5</v>
      </c>
      <c r="L3075" s="377">
        <v>22700</v>
      </c>
      <c r="M3075" s="74">
        <f t="shared" ref="M3075:M3080" si="1116">ROUND(K3075*L3075,0)</f>
        <v>113500</v>
      </c>
      <c r="N3075" s="75" t="s">
        <v>101</v>
      </c>
      <c r="O3075" s="934" t="s">
        <v>256</v>
      </c>
      <c r="P3075" s="75" t="str">
        <f>IF(AND('331-CT'!$E$7=TH!H3075,OR(N3075="331",O3075="331")),"x","")</f>
        <v/>
      </c>
      <c r="Q3075" s="75" t="str">
        <f>IF(AND(B3075='111'!$L$11,OR($N3075=$Q$7,$O3075=$Q$7)),"x","")</f>
        <v/>
      </c>
      <c r="R3075" s="75" t="str">
        <f>IF(AND($N3075=$Q$7,$B3075&lt;'111'!$L$11),"x","")</f>
        <v/>
      </c>
      <c r="S3075" s="75" t="str">
        <f>IF(AND($O3075=$Q$7,$B3075&lt;'111'!$L$11),"x","")</f>
        <v/>
      </c>
      <c r="T3075" s="75" t="str">
        <f>IF(ISERROR(FIND('112'!$M$9,G3075,1)),"",IF((AND(FIND('112'!$M$9,G3075,1)&gt;=1,B3075='112'!$K$9,OR($N3075='112'!$I$6,$O3075='112'!$I$6))),"x",""))</f>
        <v/>
      </c>
      <c r="U3075" s="75" t="str">
        <f>IF(ISERROR(FIND('112'!$M$9,G3075,1)),"",IF((AND(LEFT(G3075,2)=LEFT('112'!$M$9,2),B3075&lt;'112'!$K$9,$N3075='112'!$I$6)),"x",""))</f>
        <v/>
      </c>
      <c r="V3075" s="75" t="str">
        <f>IF(ISERROR(FIND('112'!$M$9,G3075,1)),"",IF((AND(RIGHT(G3075,2)=RIGHT('112'!$M$9,2),B3075&lt;'112'!$K$9,$O3075='112'!$I$6)),"x",""))</f>
        <v/>
      </c>
      <c r="W3075" s="75" t="str">
        <f>IF(AND('341-CT'!$H$9=H3075,OR(LEFT(N3075,3)=$W$7,LEFT(O3075,3)=$W$7)),"x","")</f>
        <v/>
      </c>
      <c r="X3075" s="75" t="str">
        <f>IF(OR(TH!N3075=TH!$X$7,O3075=TH!$X$7),"x","")</f>
        <v/>
      </c>
      <c r="Y3075" s="75" t="str">
        <f>IF(AND(OR(N3075="131",O3075="131"),H3075='131-CT'!$H$9),"x","")</f>
        <v/>
      </c>
      <c r="Z3075" s="75"/>
      <c r="AA3075" s="75" t="str">
        <f>IF(AND(MONTH(E3075)='IN-NX'!$J$5,'IN-NX'!$D$7=D3075),"x","")</f>
        <v/>
      </c>
      <c r="AB3075" s="75" t="str">
        <f>IF(AND(OR(LEFT(TH!N3075,2)="15",LEFT(TH!O3075,2)="15"),LEFT(TH!O3075,3)&lt;&gt;"111",'152-CT'!$J$8=TH!F3075),"x","")</f>
        <v/>
      </c>
      <c r="AC3075" s="75" t="str">
        <f>IF(AND(OR(LEFT(TH!N3075,2)="15",LEFT(TH!O3075,2)="15"),TK!$E$7=TH!F3075),"x","")</f>
        <v/>
      </c>
      <c r="AD3075" s="75" t="str">
        <f>IF(AND(N3075="1521",MONTH(C3075)='BK-NL'!$M$11),"x","")</f>
        <v/>
      </c>
      <c r="AE3075" s="1264">
        <v>9</v>
      </c>
    </row>
    <row r="3076" spans="1:31" s="1264" customFormat="1" ht="16.5" customHeight="1">
      <c r="A3076" s="309" t="str">
        <f>IF(B3076&lt;&gt;"",IF(AND(B3076='IN-TC'!$S$4,OR(TH!N3076="1111",TH!O3076="1111")),TH!D3076,""),"")</f>
        <v/>
      </c>
      <c r="B3076" s="1275">
        <f t="shared" si="1109"/>
        <v>9</v>
      </c>
      <c r="C3076" s="71">
        <v>42979</v>
      </c>
      <c r="D3076" s="71" t="s">
        <v>902</v>
      </c>
      <c r="E3076" s="71">
        <f t="shared" si="1110"/>
        <v>42979</v>
      </c>
      <c r="F3076" s="73" t="s">
        <v>1552</v>
      </c>
      <c r="G3076" s="72" t="s">
        <v>747</v>
      </c>
      <c r="H3076" s="73" t="s">
        <v>835</v>
      </c>
      <c r="I3076" s="73"/>
      <c r="J3076" s="377"/>
      <c r="K3076" s="371">
        <v>0.5</v>
      </c>
      <c r="L3076" s="377">
        <v>22700</v>
      </c>
      <c r="M3076" s="74">
        <f t="shared" si="1116"/>
        <v>11350</v>
      </c>
      <c r="N3076" s="75" t="s">
        <v>9</v>
      </c>
      <c r="O3076" s="934" t="s">
        <v>256</v>
      </c>
      <c r="P3076" s="75" t="str">
        <f>IF(AND('331-CT'!$E$7=TH!H3076,OR(N3076="331",O3076="331")),"x","")</f>
        <v/>
      </c>
      <c r="Q3076" s="75" t="str">
        <f>IF(AND(B3076='111'!$L$11,OR($N3076=$Q$7,$O3076=$Q$7)),"x","")</f>
        <v/>
      </c>
      <c r="R3076" s="75" t="str">
        <f>IF(AND($N3076=$Q$7,$B3076&lt;'111'!$L$11),"x","")</f>
        <v/>
      </c>
      <c r="S3076" s="75" t="str">
        <f>IF(AND($O3076=$Q$7,$B3076&lt;'111'!$L$11),"x","")</f>
        <v/>
      </c>
      <c r="T3076" s="75" t="str">
        <f>IF(ISERROR(FIND('112'!$M$9,G3076,1)),"",IF((AND(FIND('112'!$M$9,G3076,1)&gt;=1,B3076='112'!$K$9,OR($N3076='112'!$I$6,$O3076='112'!$I$6))),"x",""))</f>
        <v/>
      </c>
      <c r="U3076" s="75" t="str">
        <f>IF(ISERROR(FIND('112'!$M$9,G3076,1)),"",IF((AND(LEFT(G3076,2)=LEFT('112'!$M$9,2),B3076&lt;'112'!$K$9,$N3076='112'!$I$6)),"x",""))</f>
        <v/>
      </c>
      <c r="V3076" s="75" t="str">
        <f>IF(ISERROR(FIND('112'!$M$9,G3076,1)),"",IF((AND(RIGHT(G3076,2)=RIGHT('112'!$M$9,2),B3076&lt;'112'!$K$9,$O3076='112'!$I$6)),"x",""))</f>
        <v/>
      </c>
      <c r="W3076" s="75" t="str">
        <f>IF(AND('341-CT'!$H$9=H3076,OR(LEFT(N3076,3)=$W$7,LEFT(O3076,3)=$W$7)),"x","")</f>
        <v/>
      </c>
      <c r="X3076" s="75" t="str">
        <f>IF(OR(TH!N3076=TH!$X$7,O3076=TH!$X$7),"x","")</f>
        <v/>
      </c>
      <c r="Y3076" s="75" t="str">
        <f>IF(AND(OR(N3076="131",O3076="131"),H3076='131-CT'!$H$9),"x","")</f>
        <v/>
      </c>
      <c r="Z3076" s="75"/>
      <c r="AA3076" s="75" t="str">
        <f>IF(AND(MONTH(E3076)='IN-NX'!$J$5,'IN-NX'!$D$7=D3076),"x","")</f>
        <v/>
      </c>
      <c r="AB3076" s="75" t="str">
        <f>IF(AND(OR(LEFT(TH!N3076,2)="15",LEFT(TH!O3076,2)="15"),LEFT(TH!O3076,3)&lt;&gt;"111",'152-CT'!$J$8=TH!F3076),"x","")</f>
        <v/>
      </c>
      <c r="AC3076" s="75" t="str">
        <f>IF(AND(OR(LEFT(TH!N3076,2)="15",LEFT(TH!O3076,2)="15"),TK!$E$7=TH!F3076),"x","")</f>
        <v/>
      </c>
      <c r="AD3076" s="75" t="str">
        <f>IF(AND(N3076="1521",MONTH(C3076)='BK-NL'!$M$11),"x","")</f>
        <v/>
      </c>
      <c r="AE3076" s="1264">
        <v>9</v>
      </c>
    </row>
    <row r="3077" spans="1:31" s="1264" customFormat="1" ht="16.5" customHeight="1">
      <c r="A3077" s="309" t="str">
        <f>IF(B3077&lt;&gt;"",IF(AND(B3077='IN-TC'!$S$4,OR(TH!N3077="1111",TH!O3077="1111")),TH!D3077,""),"")</f>
        <v/>
      </c>
      <c r="B3077" s="1275">
        <f t="shared" si="1109"/>
        <v>9</v>
      </c>
      <c r="C3077" s="71">
        <v>42979</v>
      </c>
      <c r="D3077" s="71" t="s">
        <v>902</v>
      </c>
      <c r="E3077" s="71">
        <f t="shared" si="1110"/>
        <v>42979</v>
      </c>
      <c r="F3077" s="73" t="s">
        <v>1549</v>
      </c>
      <c r="G3077" s="72" t="s">
        <v>747</v>
      </c>
      <c r="H3077" s="73" t="s">
        <v>835</v>
      </c>
      <c r="I3077" s="73"/>
      <c r="J3077" s="377"/>
      <c r="K3077" s="371">
        <v>101.04</v>
      </c>
      <c r="L3077" s="377">
        <v>22700</v>
      </c>
      <c r="M3077" s="74">
        <f t="shared" si="1116"/>
        <v>2293608</v>
      </c>
      <c r="N3077" s="75" t="s">
        <v>101</v>
      </c>
      <c r="O3077" s="934" t="s">
        <v>256</v>
      </c>
      <c r="P3077" s="75" t="str">
        <f>IF(AND('331-CT'!$E$7=TH!H3077,OR(N3077="331",O3077="331")),"x","")</f>
        <v/>
      </c>
      <c r="Q3077" s="75" t="str">
        <f>IF(AND(B3077='111'!$L$11,OR($N3077=$Q$7,$O3077=$Q$7)),"x","")</f>
        <v/>
      </c>
      <c r="R3077" s="75" t="str">
        <f>IF(AND($N3077=$Q$7,$B3077&lt;'111'!$L$11),"x","")</f>
        <v/>
      </c>
      <c r="S3077" s="75" t="str">
        <f>IF(AND($O3077=$Q$7,$B3077&lt;'111'!$L$11),"x","")</f>
        <v/>
      </c>
      <c r="T3077" s="75" t="str">
        <f>IF(ISERROR(FIND('112'!$M$9,G3077,1)),"",IF((AND(FIND('112'!$M$9,G3077,1)&gt;=1,B3077='112'!$K$9,OR($N3077='112'!$I$6,$O3077='112'!$I$6))),"x",""))</f>
        <v/>
      </c>
      <c r="U3077" s="75" t="str">
        <f>IF(ISERROR(FIND('112'!$M$9,G3077,1)),"",IF((AND(LEFT(G3077,2)=LEFT('112'!$M$9,2),B3077&lt;'112'!$K$9,$N3077='112'!$I$6)),"x",""))</f>
        <v/>
      </c>
      <c r="V3077" s="75" t="str">
        <f>IF(ISERROR(FIND('112'!$M$9,G3077,1)),"",IF((AND(RIGHT(G3077,2)=RIGHT('112'!$M$9,2),B3077&lt;'112'!$K$9,$O3077='112'!$I$6)),"x",""))</f>
        <v/>
      </c>
      <c r="W3077" s="75" t="str">
        <f>IF(AND('341-CT'!$H$9=H3077,OR(LEFT(N3077,3)=$W$7,LEFT(O3077,3)=$W$7)),"x","")</f>
        <v/>
      </c>
      <c r="X3077" s="75" t="str">
        <f>IF(OR(TH!N3077=TH!$X$7,O3077=TH!$X$7),"x","")</f>
        <v/>
      </c>
      <c r="Y3077" s="75" t="str">
        <f>IF(AND(OR(N3077="131",O3077="131"),H3077='131-CT'!$H$9),"x","")</f>
        <v/>
      </c>
      <c r="Z3077" s="75"/>
      <c r="AA3077" s="75" t="str">
        <f>IF(AND(MONTH(E3077)='IN-NX'!$J$5,'IN-NX'!$D$7=D3077),"x","")</f>
        <v/>
      </c>
      <c r="AB3077" s="75" t="str">
        <f>IF(AND(OR(LEFT(TH!N3077,2)="15",LEFT(TH!O3077,2)="15"),LEFT(TH!O3077,3)&lt;&gt;"111",'152-CT'!$J$8=TH!F3077),"x","")</f>
        <v/>
      </c>
      <c r="AC3077" s="75" t="str">
        <f>IF(AND(OR(LEFT(TH!N3077,2)="15",LEFT(TH!O3077,2)="15"),TK!$E$7=TH!F3077),"x","")</f>
        <v/>
      </c>
      <c r="AD3077" s="75" t="str">
        <f>IF(AND(N3077="1521",MONTH(C3077)='BK-NL'!$M$11),"x","")</f>
        <v/>
      </c>
      <c r="AE3077" s="1264">
        <v>9</v>
      </c>
    </row>
    <row r="3078" spans="1:31" s="1264" customFormat="1" ht="16.5" customHeight="1">
      <c r="A3078" s="309" t="str">
        <f>IF(B3078&lt;&gt;"",IF(AND(B3078='IN-TC'!$S$4,OR(TH!N3078="1111",TH!O3078="1111")),TH!D3078,""),"")</f>
        <v/>
      </c>
      <c r="B3078" s="1275">
        <f t="shared" si="1109"/>
        <v>9</v>
      </c>
      <c r="C3078" s="71">
        <v>42979</v>
      </c>
      <c r="D3078" s="71" t="s">
        <v>902</v>
      </c>
      <c r="E3078" s="71">
        <f t="shared" si="1110"/>
        <v>42979</v>
      </c>
      <c r="F3078" s="73" t="s">
        <v>1552</v>
      </c>
      <c r="G3078" s="72" t="s">
        <v>747</v>
      </c>
      <c r="H3078" s="73" t="s">
        <v>835</v>
      </c>
      <c r="I3078" s="73"/>
      <c r="J3078" s="377"/>
      <c r="K3078" s="371">
        <v>10.1</v>
      </c>
      <c r="L3078" s="377">
        <v>22700</v>
      </c>
      <c r="M3078" s="74">
        <f t="shared" si="1116"/>
        <v>229270</v>
      </c>
      <c r="N3078" s="75" t="s">
        <v>9</v>
      </c>
      <c r="O3078" s="934" t="s">
        <v>256</v>
      </c>
      <c r="P3078" s="75" t="str">
        <f>IF(AND('331-CT'!$E$7=TH!H3078,OR(N3078="331",O3078="331")),"x","")</f>
        <v/>
      </c>
      <c r="Q3078" s="75" t="str">
        <f>IF(AND(B3078='111'!$L$11,OR($N3078=$Q$7,$O3078=$Q$7)),"x","")</f>
        <v/>
      </c>
      <c r="R3078" s="75" t="str">
        <f>IF(AND($N3078=$Q$7,$B3078&lt;'111'!$L$11),"x","")</f>
        <v/>
      </c>
      <c r="S3078" s="75" t="str">
        <f>IF(AND($O3078=$Q$7,$B3078&lt;'111'!$L$11),"x","")</f>
        <v/>
      </c>
      <c r="T3078" s="75" t="str">
        <f>IF(ISERROR(FIND('112'!$M$9,G3078,1)),"",IF((AND(FIND('112'!$M$9,G3078,1)&gt;=1,B3078='112'!$K$9,OR($N3078='112'!$I$6,$O3078='112'!$I$6))),"x",""))</f>
        <v/>
      </c>
      <c r="U3078" s="75" t="str">
        <f>IF(ISERROR(FIND('112'!$M$9,G3078,1)),"",IF((AND(LEFT(G3078,2)=LEFT('112'!$M$9,2),B3078&lt;'112'!$K$9,$N3078='112'!$I$6)),"x",""))</f>
        <v/>
      </c>
      <c r="V3078" s="75" t="str">
        <f>IF(ISERROR(FIND('112'!$M$9,G3078,1)),"",IF((AND(RIGHT(G3078,2)=RIGHT('112'!$M$9,2),B3078&lt;'112'!$K$9,$O3078='112'!$I$6)),"x",""))</f>
        <v/>
      </c>
      <c r="W3078" s="75" t="str">
        <f>IF(AND('341-CT'!$H$9=H3078,OR(LEFT(N3078,3)=$W$7,LEFT(O3078,3)=$W$7)),"x","")</f>
        <v/>
      </c>
      <c r="X3078" s="75" t="str">
        <f>IF(OR(TH!N3078=TH!$X$7,O3078=TH!$X$7),"x","")</f>
        <v/>
      </c>
      <c r="Y3078" s="75" t="str">
        <f>IF(AND(OR(N3078="131",O3078="131"),H3078='131-CT'!$H$9),"x","")</f>
        <v/>
      </c>
      <c r="Z3078" s="75"/>
      <c r="AA3078" s="75" t="str">
        <f>IF(AND(MONTH(E3078)='IN-NX'!$J$5,'IN-NX'!$D$7=D3078),"x","")</f>
        <v/>
      </c>
      <c r="AB3078" s="75" t="str">
        <f>IF(AND(OR(LEFT(TH!N3078,2)="15",LEFT(TH!O3078,2)="15"),LEFT(TH!O3078,3)&lt;&gt;"111",'152-CT'!$J$8=TH!F3078),"x","")</f>
        <v/>
      </c>
      <c r="AC3078" s="75" t="str">
        <f>IF(AND(OR(LEFT(TH!N3078,2)="15",LEFT(TH!O3078,2)="15"),TK!$E$7=TH!F3078),"x","")</f>
        <v/>
      </c>
      <c r="AD3078" s="75" t="str">
        <f>IF(AND(N3078="1521",MONTH(C3078)='BK-NL'!$M$11),"x","")</f>
        <v/>
      </c>
      <c r="AE3078" s="1264">
        <v>9</v>
      </c>
    </row>
    <row r="3079" spans="1:31" s="1264" customFormat="1" ht="16.5" customHeight="1">
      <c r="A3079" s="309" t="str">
        <f>IF(B3079&lt;&gt;"",IF(AND(B3079='IN-TC'!$S$4,OR(TH!N3079="1111",TH!O3079="1111")),TH!D3079,""),"")</f>
        <v/>
      </c>
      <c r="B3079" s="1275">
        <f t="shared" si="1109"/>
        <v>9</v>
      </c>
      <c r="C3079" s="71">
        <v>42979</v>
      </c>
      <c r="D3079" s="71" t="s">
        <v>902</v>
      </c>
      <c r="E3079" s="71">
        <f t="shared" si="1110"/>
        <v>42979</v>
      </c>
      <c r="F3079" s="72" t="s">
        <v>1096</v>
      </c>
      <c r="G3079" s="72" t="s">
        <v>747</v>
      </c>
      <c r="H3079" s="73" t="s">
        <v>2465</v>
      </c>
      <c r="I3079" s="73"/>
      <c r="J3079" s="378"/>
      <c r="K3079" s="1213">
        <v>62.21</v>
      </c>
      <c r="L3079" s="377">
        <v>22700</v>
      </c>
      <c r="M3079" s="74">
        <f t="shared" si="1116"/>
        <v>1412167</v>
      </c>
      <c r="N3079" s="75" t="s">
        <v>99</v>
      </c>
      <c r="O3079" s="934" t="s">
        <v>256</v>
      </c>
      <c r="P3079" s="75" t="str">
        <f>IF(AND('331-CT'!$E$7=TH!H3079,OR(N3079="331",O3079="331")),"x","")</f>
        <v/>
      </c>
      <c r="Q3079" s="75" t="str">
        <f>IF(AND(B3079='111'!$L$11,OR($N3079=$Q$7,$O3079=$Q$7)),"x","")</f>
        <v/>
      </c>
      <c r="R3079" s="75" t="str">
        <f>IF(AND($N3079=$Q$7,$B3079&lt;'111'!$L$11),"x","")</f>
        <v/>
      </c>
      <c r="S3079" s="75" t="str">
        <f>IF(AND($O3079=$Q$7,$B3079&lt;'111'!$L$11),"x","")</f>
        <v/>
      </c>
      <c r="T3079" s="75" t="str">
        <f>IF(ISERROR(FIND('112'!$M$9,G3079,1)),"",IF((AND(FIND('112'!$M$9,G3079,1)&gt;=1,B3079='112'!$K$9,OR($N3079='112'!$I$6,$O3079='112'!$I$6))),"x",""))</f>
        <v/>
      </c>
      <c r="U3079" s="75" t="str">
        <f>IF(ISERROR(FIND('112'!$M$9,G3079,1)),"",IF((AND(LEFT(G3079,2)=LEFT('112'!$M$9,2),B3079&lt;'112'!$K$9,$N3079='112'!$I$6)),"x",""))</f>
        <v/>
      </c>
      <c r="V3079" s="75" t="str">
        <f>IF(ISERROR(FIND('112'!$M$9,G3079,1)),"",IF((AND(RIGHT(G3079,2)=RIGHT('112'!$M$9,2),B3079&lt;'112'!$K$9,$O3079='112'!$I$6)),"x",""))</f>
        <v/>
      </c>
      <c r="W3079" s="75" t="str">
        <f>IF(AND('341-CT'!$H$9=H3079,OR(LEFT(N3079,3)=$W$7,LEFT(O3079,3)=$W$7)),"x","")</f>
        <v/>
      </c>
      <c r="X3079" s="75" t="str">
        <f>IF(OR(TH!N3079=TH!$X$7,O3079=TH!$X$7),"x","")</f>
        <v/>
      </c>
      <c r="Y3079" s="75" t="str">
        <f>IF(AND(OR(N3079="131",O3079="131"),H3079='131-CT'!$H$9),"x","")</f>
        <v/>
      </c>
      <c r="Z3079" s="75"/>
      <c r="AA3079" s="75" t="str">
        <f>IF(AND(MONTH(E3079)='IN-NX'!$J$5,'IN-NX'!$D$7=D3079),"x","")</f>
        <v/>
      </c>
      <c r="AB3079" s="75" t="str">
        <f>IF(AND(OR(LEFT(TH!N3079,2)="15",LEFT(TH!O3079,2)="15"),LEFT(TH!O3079,3)&lt;&gt;"111",'152-CT'!$J$8=TH!F3079),"x","")</f>
        <v/>
      </c>
      <c r="AC3079" s="75" t="str">
        <f>IF(AND(OR(LEFT(TH!N3079,2)="15",LEFT(TH!O3079,2)="15"),TK!$E$7=TH!F3079),"x","")</f>
        <v/>
      </c>
      <c r="AD3079" s="75" t="str">
        <f>IF(AND(N3079="1521",MONTH(C3079)='BK-NL'!$M$11),"x","")</f>
        <v/>
      </c>
    </row>
    <row r="3080" spans="1:31" s="1264" customFormat="1" ht="16.5" customHeight="1">
      <c r="A3080" s="309" t="str">
        <f>IF(B3080&lt;&gt;"",IF(AND(B3080='IN-TC'!$S$4,OR(TH!N3080="1111",TH!O3080="1111")),TH!D3080,""),"")</f>
        <v/>
      </c>
      <c r="B3080" s="1275">
        <f t="shared" si="1109"/>
        <v>9</v>
      </c>
      <c r="C3080" s="71">
        <v>42979</v>
      </c>
      <c r="D3080" s="71" t="s">
        <v>902</v>
      </c>
      <c r="E3080" s="71">
        <f t="shared" si="1110"/>
        <v>42979</v>
      </c>
      <c r="F3080" s="72" t="s">
        <v>1321</v>
      </c>
      <c r="G3080" s="72" t="s">
        <v>747</v>
      </c>
      <c r="H3080" s="73" t="s">
        <v>2465</v>
      </c>
      <c r="I3080" s="73"/>
      <c r="J3080" s="378"/>
      <c r="K3080" s="1213">
        <v>79990</v>
      </c>
      <c r="L3080" s="377">
        <v>22700</v>
      </c>
      <c r="M3080" s="74">
        <f t="shared" si="1116"/>
        <v>1815773000</v>
      </c>
      <c r="N3080" s="75" t="s">
        <v>250</v>
      </c>
      <c r="O3080" s="934" t="s">
        <v>256</v>
      </c>
      <c r="P3080" s="75" t="str">
        <f>IF(AND('331-CT'!$E$7=TH!H3080,OR(N3080="331",O3080="331")),"x","")</f>
        <v/>
      </c>
      <c r="Q3080" s="75" t="str">
        <f>IF(AND(B3080='111'!$L$11,OR($N3080=$Q$7,$O3080=$Q$7)),"x","")</f>
        <v/>
      </c>
      <c r="R3080" s="75" t="str">
        <f>IF(AND($N3080=$Q$7,$B3080&lt;'111'!$L$11),"x","")</f>
        <v/>
      </c>
      <c r="S3080" s="75" t="str">
        <f>IF(AND($O3080=$Q$7,$B3080&lt;'111'!$L$11),"x","")</f>
        <v/>
      </c>
      <c r="T3080" s="75" t="str">
        <f>IF(ISERROR(FIND('112'!$M$9,G3080,1)),"",IF((AND(FIND('112'!$M$9,G3080,1)&gt;=1,B3080='112'!$K$9,OR($N3080='112'!$I$6,$O3080='112'!$I$6))),"x",""))</f>
        <v/>
      </c>
      <c r="U3080" s="75" t="str">
        <f>IF(ISERROR(FIND('112'!$M$9,G3080,1)),"",IF((AND(LEFT(G3080,2)=LEFT('112'!$M$9,2),B3080&lt;'112'!$K$9,$N3080='112'!$I$6)),"x",""))</f>
        <v/>
      </c>
      <c r="V3080" s="75" t="str">
        <f>IF(ISERROR(FIND('112'!$M$9,G3080,1)),"",IF((AND(RIGHT(G3080,2)=RIGHT('112'!$M$9,2),B3080&lt;'112'!$K$9,$O3080='112'!$I$6)),"x",""))</f>
        <v/>
      </c>
      <c r="W3080" s="75" t="str">
        <f>IF(AND('341-CT'!$H$9=H3080,OR(LEFT(N3080,3)=$W$7,LEFT(O3080,3)=$W$7)),"x","")</f>
        <v/>
      </c>
      <c r="X3080" s="75" t="str">
        <f>IF(OR(TH!N3080=TH!$X$7,O3080=TH!$X$7),"x","")</f>
        <v/>
      </c>
      <c r="Y3080" s="75" t="str">
        <f>IF(AND(OR(N3080="131",O3080="131"),H3080='131-CT'!$H$9),"x","")</f>
        <v/>
      </c>
      <c r="Z3080" s="75"/>
      <c r="AA3080" s="75" t="str">
        <f>IF(AND(MONTH(E3080)='IN-NX'!$J$5,'IN-NX'!$D$7=D3080),"x","")</f>
        <v/>
      </c>
      <c r="AB3080" s="75" t="str">
        <f>IF(AND(OR(LEFT(TH!N3080,2)="15",LEFT(TH!O3080,2)="15"),LEFT(TH!O3080,3)&lt;&gt;"111",'152-CT'!$J$8=TH!F3080),"x","")</f>
        <v/>
      </c>
      <c r="AC3080" s="75" t="str">
        <f>IF(AND(OR(LEFT(TH!N3080,2)="15",LEFT(TH!O3080,2)="15"),TK!$E$7=TH!F3080),"x","")</f>
        <v/>
      </c>
      <c r="AD3080" s="75" t="str">
        <f>IF(AND(N3080="1521",MONTH(C3080)='BK-NL'!$M$11),"x","")</f>
        <v/>
      </c>
    </row>
    <row r="3081" spans="1:31" s="1264" customFormat="1" ht="16.5" customHeight="1">
      <c r="A3081" s="309" t="str">
        <f>IF(B3081&lt;&gt;"",IF(AND(B3081='IN-TC'!$S$4,OR(TH!N3081="1111",TH!O3081="1111")),TH!D3081,""),"")</f>
        <v/>
      </c>
      <c r="B3081" s="1275">
        <f t="shared" ref="B3081" si="1117">IF(C3081&lt;&gt;"",MONTH(C3081),"")</f>
        <v>9</v>
      </c>
      <c r="C3081" s="71">
        <v>42979</v>
      </c>
      <c r="D3081" s="71" t="s">
        <v>530</v>
      </c>
      <c r="E3081" s="71">
        <f t="shared" ref="E3081" si="1118">C3081</f>
        <v>42979</v>
      </c>
      <c r="F3081" s="72" t="s">
        <v>1010</v>
      </c>
      <c r="G3081" s="72" t="s">
        <v>747</v>
      </c>
      <c r="H3081" s="73" t="s">
        <v>2465</v>
      </c>
      <c r="I3081" s="73"/>
      <c r="J3081" s="378"/>
      <c r="K3081" s="1213"/>
      <c r="L3081" s="377"/>
      <c r="M3081" s="933">
        <v>1423339</v>
      </c>
      <c r="N3081" s="75" t="s">
        <v>250</v>
      </c>
      <c r="O3081" s="934" t="s">
        <v>43</v>
      </c>
      <c r="P3081" s="75" t="str">
        <f>IF(AND('331-CT'!$E$7=TH!H3081,OR(N3081="331",O3081="331")),"x","")</f>
        <v/>
      </c>
      <c r="Q3081" s="75" t="str">
        <f>IF(AND(B3081='111'!$L$11,OR($N3081=$Q$7,$O3081=$Q$7)),"x","")</f>
        <v/>
      </c>
      <c r="R3081" s="75" t="str">
        <f>IF(AND($N3081=$Q$7,$B3081&lt;'111'!$L$11),"x","")</f>
        <v/>
      </c>
      <c r="S3081" s="75" t="str">
        <f>IF(AND($O3081=$Q$7,$B3081&lt;'111'!$L$11),"x","")</f>
        <v/>
      </c>
      <c r="T3081" s="75" t="str">
        <f>IF(ISERROR(FIND('112'!$M$9,G3081,1)),"",IF((AND(FIND('112'!$M$9,G3081,1)&gt;=1,B3081='112'!$K$9,OR($N3081='112'!$I$6,$O3081='112'!$I$6))),"x",""))</f>
        <v/>
      </c>
      <c r="U3081" s="75" t="str">
        <f>IF(ISERROR(FIND('112'!$M$9,G3081,1)),"",IF((AND(LEFT(G3081,2)=LEFT('112'!$M$9,2),B3081&lt;'112'!$K$9,$N3081='112'!$I$6)),"x",""))</f>
        <v/>
      </c>
      <c r="V3081" s="75" t="str">
        <f>IF(ISERROR(FIND('112'!$M$9,G3081,1)),"",IF((AND(RIGHT(G3081,2)=RIGHT('112'!$M$9,2),B3081&lt;'112'!$K$9,$O3081='112'!$I$6)),"x",""))</f>
        <v/>
      </c>
      <c r="W3081" s="75" t="str">
        <f>IF(AND('341-CT'!$H$9=H3081,OR(LEFT(N3081,3)=$W$7,LEFT(O3081,3)=$W$7)),"x","")</f>
        <v/>
      </c>
      <c r="X3081" s="75" t="str">
        <f>IF(OR(TH!N3081=TH!$X$7,O3081=TH!$X$7),"x","")</f>
        <v/>
      </c>
      <c r="Y3081" s="75" t="str">
        <f>IF(AND(OR(N3081="131",O3081="131"),H3081='131-CT'!$H$9),"x","")</f>
        <v/>
      </c>
      <c r="Z3081" s="75"/>
      <c r="AA3081" s="75" t="str">
        <f>IF(AND(MONTH(E3081)='IN-NX'!$J$5,'IN-NX'!$D$7=D3081),"x","")</f>
        <v/>
      </c>
      <c r="AB3081" s="75" t="str">
        <f>IF(AND(OR(LEFT(TH!N3081,2)="15",LEFT(TH!O3081,2)="15"),LEFT(TH!O3081,3)&lt;&gt;"111",'152-CT'!$J$8=TH!F3081),"x","")</f>
        <v/>
      </c>
      <c r="AC3081" s="75" t="str">
        <f>IF(AND(OR(LEFT(TH!N3081,2)="15",LEFT(TH!O3081,2)="15"),TK!$E$7=TH!F3081),"x","")</f>
        <v/>
      </c>
      <c r="AD3081" s="75" t="str">
        <f>IF(AND(N3081="1521",MONTH(C3081)='BK-NL'!$M$11),"x","")</f>
        <v/>
      </c>
    </row>
    <row r="3082" spans="1:31" s="1264" customFormat="1" ht="16.5" customHeight="1">
      <c r="A3082" s="309" t="str">
        <f>IF(B3082&lt;&gt;"",IF(AND(B3082='IN-TC'!$S$4,OR(TH!N3082="1111",TH!O3082="1111")),TH!D3082,""),"")</f>
        <v/>
      </c>
      <c r="B3082" s="1275">
        <f t="shared" si="1109"/>
        <v>9</v>
      </c>
      <c r="C3082" s="71">
        <v>42982</v>
      </c>
      <c r="D3082" s="71" t="s">
        <v>902</v>
      </c>
      <c r="E3082" s="71">
        <f t="shared" si="1110"/>
        <v>42982</v>
      </c>
      <c r="F3082" s="72" t="s">
        <v>1321</v>
      </c>
      <c r="G3082" s="72" t="s">
        <v>747</v>
      </c>
      <c r="H3082" s="73" t="s">
        <v>1556</v>
      </c>
      <c r="I3082" s="73"/>
      <c r="J3082" s="378"/>
      <c r="K3082" s="371">
        <v>548.21</v>
      </c>
      <c r="L3082" s="377">
        <v>22700</v>
      </c>
      <c r="M3082" s="74">
        <f t="shared" ref="M3082:M3084" si="1119">ROUND(K3082*L3082,0)</f>
        <v>12444367</v>
      </c>
      <c r="N3082" s="75" t="s">
        <v>250</v>
      </c>
      <c r="O3082" s="934" t="s">
        <v>256</v>
      </c>
      <c r="P3082" s="75" t="str">
        <f>IF(AND('331-CT'!$E$7=TH!H3082,OR(N3082="331",O3082="331")),"x","")</f>
        <v/>
      </c>
      <c r="Q3082" s="75" t="str">
        <f>IF(AND(B3082='111'!$L$11,OR($N3082=$Q$7,$O3082=$Q$7)),"x","")</f>
        <v/>
      </c>
      <c r="R3082" s="75" t="str">
        <f>IF(AND($N3082=$Q$7,$B3082&lt;'111'!$L$11),"x","")</f>
        <v/>
      </c>
      <c r="S3082" s="75" t="str">
        <f>IF(AND($O3082=$Q$7,$B3082&lt;'111'!$L$11),"x","")</f>
        <v/>
      </c>
      <c r="T3082" s="75" t="str">
        <f>IF(ISERROR(FIND('112'!$M$9,G3082,1)),"",IF((AND(FIND('112'!$M$9,G3082,1)&gt;=1,B3082='112'!$K$9,OR($N3082='112'!$I$6,$O3082='112'!$I$6))),"x",""))</f>
        <v/>
      </c>
      <c r="U3082" s="75" t="str">
        <f>IF(ISERROR(FIND('112'!$M$9,G3082,1)),"",IF((AND(LEFT(G3082,2)=LEFT('112'!$M$9,2),B3082&lt;'112'!$K$9,$N3082='112'!$I$6)),"x",""))</f>
        <v/>
      </c>
      <c r="V3082" s="75" t="str">
        <f>IF(ISERROR(FIND('112'!$M$9,G3082,1)),"",IF((AND(RIGHT(G3082,2)=RIGHT('112'!$M$9,2),B3082&lt;'112'!$K$9,$O3082='112'!$I$6)),"x",""))</f>
        <v/>
      </c>
      <c r="W3082" s="75" t="str">
        <f>IF(AND('341-CT'!$H$9=H3082,OR(LEFT(N3082,3)=$W$7,LEFT(O3082,3)=$W$7)),"x","")</f>
        <v/>
      </c>
      <c r="X3082" s="75" t="str">
        <f>IF(OR(TH!N3082=TH!$X$7,O3082=TH!$X$7),"x","")</f>
        <v/>
      </c>
      <c r="Y3082" s="75" t="str">
        <f>IF(AND(OR(N3082="131",O3082="131"),H3082='131-CT'!$H$9),"x","")</f>
        <v/>
      </c>
      <c r="Z3082" s="75"/>
      <c r="AA3082" s="75" t="str">
        <f>IF(AND(MONTH(E3082)='IN-NX'!$J$5,'IN-NX'!$D$7=D3082),"x","")</f>
        <v/>
      </c>
      <c r="AB3082" s="75" t="str">
        <f>IF(AND(OR(LEFT(TH!N3082,2)="15",LEFT(TH!O3082,2)="15"),LEFT(TH!O3082,3)&lt;&gt;"111",'152-CT'!$J$8=TH!F3082),"x","")</f>
        <v/>
      </c>
      <c r="AC3082" s="75" t="str">
        <f>IF(AND(OR(LEFT(TH!N3082,2)="15",LEFT(TH!O3082,2)="15"),TK!$E$7=TH!F3082),"x","")</f>
        <v/>
      </c>
      <c r="AD3082" s="75" t="str">
        <f>IF(AND(N3082="1521",MONTH(C3082)='BK-NL'!$M$11),"x","")</f>
        <v/>
      </c>
    </row>
    <row r="3083" spans="1:31" s="1264" customFormat="1" ht="16.5" customHeight="1">
      <c r="A3083" s="309" t="str">
        <f>IF(B3083&lt;&gt;"",IF(AND(B3083='IN-TC'!$S$4,OR(TH!N3083="1111",TH!O3083="1111")),TH!D3083,""),"")</f>
        <v/>
      </c>
      <c r="B3083" s="1275">
        <f t="shared" si="1109"/>
        <v>9</v>
      </c>
      <c r="C3083" s="71">
        <v>42985</v>
      </c>
      <c r="D3083" s="71" t="s">
        <v>902</v>
      </c>
      <c r="E3083" s="71">
        <f t="shared" si="1110"/>
        <v>42985</v>
      </c>
      <c r="F3083" s="72" t="s">
        <v>907</v>
      </c>
      <c r="G3083" s="72" t="s">
        <v>747</v>
      </c>
      <c r="H3083" s="73" t="s">
        <v>835</v>
      </c>
      <c r="I3083" s="73"/>
      <c r="J3083" s="378"/>
      <c r="K3083" s="371">
        <v>42900</v>
      </c>
      <c r="L3083" s="377">
        <v>22715</v>
      </c>
      <c r="M3083" s="74">
        <f t="shared" si="1119"/>
        <v>974473500</v>
      </c>
      <c r="N3083" s="75" t="s">
        <v>26</v>
      </c>
      <c r="O3083" s="934" t="s">
        <v>256</v>
      </c>
      <c r="P3083" s="75" t="str">
        <f>IF(AND('331-CT'!$E$7=TH!H3083,OR(N3083="331",O3083="331")),"x","")</f>
        <v/>
      </c>
      <c r="Q3083" s="75" t="str">
        <f>IF(AND(B3083='111'!$L$11,OR($N3083=$Q$7,$O3083=$Q$7)),"x","")</f>
        <v/>
      </c>
      <c r="R3083" s="75" t="str">
        <f>IF(AND($N3083=$Q$7,$B3083&lt;'111'!$L$11),"x","")</f>
        <v/>
      </c>
      <c r="S3083" s="75" t="str">
        <f>IF(AND($O3083=$Q$7,$B3083&lt;'111'!$L$11),"x","")</f>
        <v/>
      </c>
      <c r="T3083" s="75" t="str">
        <f>IF(ISERROR(FIND('112'!$M$9,G3083,1)),"",IF((AND(FIND('112'!$M$9,G3083,1)&gt;=1,B3083='112'!$K$9,OR($N3083='112'!$I$6,$O3083='112'!$I$6))),"x",""))</f>
        <v/>
      </c>
      <c r="U3083" s="75" t="str">
        <f>IF(ISERROR(FIND('112'!$M$9,G3083,1)),"",IF((AND(LEFT(G3083,2)=LEFT('112'!$M$9,2),B3083&lt;'112'!$K$9,$N3083='112'!$I$6)),"x",""))</f>
        <v/>
      </c>
      <c r="V3083" s="75" t="str">
        <f>IF(ISERROR(FIND('112'!$M$9,G3083,1)),"",IF((AND(RIGHT(G3083,2)=RIGHT('112'!$M$9,2),B3083&lt;'112'!$K$9,$O3083='112'!$I$6)),"x",""))</f>
        <v/>
      </c>
      <c r="W3083" s="75" t="str">
        <f>IF(AND('341-CT'!$H$9=H3083,OR(LEFT(N3083,3)=$W$7,LEFT(O3083,3)=$W$7)),"x","")</f>
        <v/>
      </c>
      <c r="X3083" s="75" t="str">
        <f>IF(OR(TH!N3083=TH!$X$7,O3083=TH!$X$7),"x","")</f>
        <v/>
      </c>
      <c r="Y3083" s="75" t="str">
        <f>IF(AND(OR(N3083="131",O3083="131"),H3083='131-CT'!$H$9),"x","")</f>
        <v/>
      </c>
      <c r="Z3083" s="75"/>
      <c r="AA3083" s="75" t="str">
        <f>IF(AND(MONTH(E3083)='IN-NX'!$J$5,'IN-NX'!$D$7=D3083),"x","")</f>
        <v/>
      </c>
      <c r="AB3083" s="75" t="str">
        <f>IF(AND(OR(LEFT(TH!N3083,2)="15",LEFT(TH!O3083,2)="15"),LEFT(TH!O3083,3)&lt;&gt;"111",'152-CT'!$J$8=TH!F3083),"x","")</f>
        <v/>
      </c>
      <c r="AC3083" s="75" t="str">
        <f>IF(AND(OR(LEFT(TH!N3083,2)="15",LEFT(TH!O3083,2)="15"),TK!$E$7=TH!F3083),"x","")</f>
        <v/>
      </c>
      <c r="AD3083" s="75" t="str">
        <f>IF(AND(N3083="1521",MONTH(C3083)='BK-NL'!$M$11),"x","")</f>
        <v/>
      </c>
    </row>
    <row r="3084" spans="1:31" s="1264" customFormat="1" ht="16.5" customHeight="1">
      <c r="A3084" s="309" t="str">
        <f>IF(B3084&lt;&gt;"",IF(AND(B3084='IN-TC'!$S$4,OR(TH!N3084="1111",TH!O3084="1111")),TH!D3084,""),"")</f>
        <v/>
      </c>
      <c r="B3084" s="1275">
        <f t="shared" si="1109"/>
        <v>9</v>
      </c>
      <c r="C3084" s="71">
        <v>42985</v>
      </c>
      <c r="D3084" s="71" t="s">
        <v>903</v>
      </c>
      <c r="E3084" s="71">
        <f t="shared" si="1110"/>
        <v>42985</v>
      </c>
      <c r="F3084" s="72" t="s">
        <v>1086</v>
      </c>
      <c r="G3084" s="72" t="s">
        <v>747</v>
      </c>
      <c r="H3084" s="296" t="s">
        <v>1859</v>
      </c>
      <c r="I3084" s="73"/>
      <c r="J3084" s="378"/>
      <c r="K3084" s="371">
        <v>58001.5</v>
      </c>
      <c r="L3084" s="377">
        <v>22700</v>
      </c>
      <c r="M3084" s="1214">
        <f t="shared" si="1119"/>
        <v>1316634050</v>
      </c>
      <c r="N3084" s="75" t="s">
        <v>256</v>
      </c>
      <c r="O3084" s="75" t="s">
        <v>536</v>
      </c>
      <c r="P3084" s="75" t="str">
        <f>IF(AND('331-CT'!$E$7=TH!H3084,OR(N3084="331",O3084="331")),"x","")</f>
        <v/>
      </c>
      <c r="Q3084" s="75" t="str">
        <f>IF(AND(B3084='111'!$L$11,OR($N3084=$Q$7,$O3084=$Q$7)),"x","")</f>
        <v/>
      </c>
      <c r="R3084" s="75" t="str">
        <f>IF(AND($N3084=$Q$7,$B3084&lt;'111'!$L$11),"x","")</f>
        <v/>
      </c>
      <c r="S3084" s="75" t="str">
        <f>IF(AND($O3084=$Q$7,$B3084&lt;'111'!$L$11),"x","")</f>
        <v/>
      </c>
      <c r="T3084" s="75" t="str">
        <f>IF(ISERROR(FIND('112'!$M$9,G3084,1)),"",IF((AND(FIND('112'!$M$9,G3084,1)&gt;=1,B3084='112'!$K$9,OR($N3084='112'!$I$6,$O3084='112'!$I$6))),"x",""))</f>
        <v/>
      </c>
      <c r="U3084" s="75" t="str">
        <f>IF(ISERROR(FIND('112'!$M$9,G3084,1)),"",IF((AND(LEFT(G3084,2)=LEFT('112'!$M$9,2),B3084&lt;'112'!$K$9,$N3084='112'!$I$6)),"x",""))</f>
        <v/>
      </c>
      <c r="V3084" s="75" t="str">
        <f>IF(ISERROR(FIND('112'!$M$9,G3084,1)),"",IF((AND(RIGHT(G3084,2)=RIGHT('112'!$M$9,2),B3084&lt;'112'!$K$9,$O3084='112'!$I$6)),"x",""))</f>
        <v/>
      </c>
      <c r="W3084" s="75" t="str">
        <f>IF(AND('341-CT'!$H$9=H3084,OR(LEFT(N3084,3)=$W$7,LEFT(O3084,3)=$W$7)),"x","")</f>
        <v/>
      </c>
      <c r="X3084" s="75" t="str">
        <f>IF(OR(TH!N3084=TH!$X$7,O3084=TH!$X$7),"x","")</f>
        <v/>
      </c>
      <c r="Y3084" s="75" t="str">
        <f>IF(AND(OR(N3084="131",O3084="131"),H3084='131-CT'!$H$9),"x","")</f>
        <v/>
      </c>
      <c r="Z3084" s="75"/>
      <c r="AA3084" s="75" t="str">
        <f>IF(AND(MONTH(E3084)='IN-NX'!$J$5,'IN-NX'!$D$7=D3084),"x","")</f>
        <v/>
      </c>
      <c r="AB3084" s="75" t="str">
        <f>IF(AND(OR(LEFT(TH!N3084,2)="15",LEFT(TH!O3084,2)="15"),LEFT(TH!O3084,3)&lt;&gt;"111",'152-CT'!$J$8=TH!F3084),"x","")</f>
        <v/>
      </c>
      <c r="AC3084" s="75" t="str">
        <f>IF(AND(OR(LEFT(TH!N3084,2)="15",LEFT(TH!O3084,2)="15"),TK!$E$7=TH!F3084),"x","")</f>
        <v/>
      </c>
      <c r="AD3084" s="75" t="str">
        <f>IF(AND(N3084="1521",MONTH(C3084)='BK-NL'!$M$11),"x","")</f>
        <v/>
      </c>
    </row>
    <row r="3085" spans="1:31" s="1264" customFormat="1" ht="16.5" customHeight="1">
      <c r="A3085" s="309" t="str">
        <f>IF(B3085&lt;&gt;"",IF(AND(B3085='IN-TC'!$S$4,OR(TH!N3085="1111",TH!O3085="1111")),TH!D3085,""),"")</f>
        <v/>
      </c>
      <c r="B3085" s="1275">
        <f t="shared" si="1109"/>
        <v>9</v>
      </c>
      <c r="C3085" s="71">
        <v>42985</v>
      </c>
      <c r="D3085" s="71" t="s">
        <v>530</v>
      </c>
      <c r="E3085" s="71">
        <f t="shared" si="1110"/>
        <v>42985</v>
      </c>
      <c r="F3085" s="72" t="s">
        <v>1027</v>
      </c>
      <c r="G3085" s="72" t="s">
        <v>747</v>
      </c>
      <c r="H3085" s="296" t="s">
        <v>1859</v>
      </c>
      <c r="I3085" s="73"/>
      <c r="J3085" s="378"/>
      <c r="K3085" s="371">
        <v>56.5</v>
      </c>
      <c r="L3085" s="377">
        <v>22700</v>
      </c>
      <c r="M3085" s="933">
        <f t="shared" si="1112"/>
        <v>1282550</v>
      </c>
      <c r="N3085" s="75" t="s">
        <v>101</v>
      </c>
      <c r="O3085" s="75" t="s">
        <v>536</v>
      </c>
      <c r="P3085" s="75" t="str">
        <f>IF(AND('331-CT'!$E$7=TH!H3085,OR(N3085="331",O3085="331")),"x","")</f>
        <v/>
      </c>
      <c r="Q3085" s="75" t="str">
        <f>IF(AND(B3085='111'!$L$11,OR($N3085=$Q$7,$O3085=$Q$7)),"x","")</f>
        <v/>
      </c>
      <c r="R3085" s="75" t="str">
        <f>IF(AND($N3085=$Q$7,$B3085&lt;'111'!$L$11),"x","")</f>
        <v/>
      </c>
      <c r="S3085" s="75" t="str">
        <f>IF(AND($O3085=$Q$7,$B3085&lt;'111'!$L$11),"x","")</f>
        <v/>
      </c>
      <c r="T3085" s="75" t="str">
        <f>IF(ISERROR(FIND('112'!$M$9,G3085,1)),"",IF((AND(FIND('112'!$M$9,G3085,1)&gt;=1,B3085='112'!$K$9,OR($N3085='112'!$I$6,$O3085='112'!$I$6))),"x",""))</f>
        <v/>
      </c>
      <c r="U3085" s="75" t="str">
        <f>IF(ISERROR(FIND('112'!$M$9,G3085,1)),"",IF((AND(LEFT(G3085,2)=LEFT('112'!$M$9,2),B3085&lt;'112'!$K$9,$N3085='112'!$I$6)),"x",""))</f>
        <v/>
      </c>
      <c r="V3085" s="75" t="str">
        <f>IF(ISERROR(FIND('112'!$M$9,G3085,1)),"",IF((AND(RIGHT(G3085,2)=RIGHT('112'!$M$9,2),B3085&lt;'112'!$K$9,$O3085='112'!$I$6)),"x",""))</f>
        <v/>
      </c>
      <c r="W3085" s="75" t="str">
        <f>IF(AND('341-CT'!$H$9=H3085,OR(LEFT(N3085,3)=$W$7,LEFT(O3085,3)=$W$7)),"x","")</f>
        <v/>
      </c>
      <c r="X3085" s="75" t="str">
        <f>IF(OR(TH!N3085=TH!$X$7,O3085=TH!$X$7),"x","")</f>
        <v/>
      </c>
      <c r="Y3085" s="75" t="str">
        <f>IF(AND(OR(N3085="131",O3085="131"),H3085='131-CT'!$H$9),"x","")</f>
        <v/>
      </c>
      <c r="Z3085" s="75"/>
      <c r="AA3085" s="75" t="str">
        <f>IF(AND(MONTH(E3085)='IN-NX'!$J$5,'IN-NX'!$D$7=D3085),"x","")</f>
        <v/>
      </c>
      <c r="AB3085" s="75" t="str">
        <f>IF(AND(OR(LEFT(TH!N3085,2)="15",LEFT(TH!O3085,2)="15"),LEFT(TH!O3085,3)&lt;&gt;"111",'152-CT'!$J$8=TH!F3085),"x","")</f>
        <v/>
      </c>
      <c r="AC3085" s="75" t="str">
        <f>IF(AND(OR(LEFT(TH!N3085,2)="15",LEFT(TH!O3085,2)="15"),TK!$E$7=TH!F3085),"x","")</f>
        <v/>
      </c>
      <c r="AD3085" s="75" t="str">
        <f>IF(AND(N3085="1521",MONTH(C3085)='BK-NL'!$M$11),"x","")</f>
        <v/>
      </c>
    </row>
    <row r="3086" spans="1:31" s="1264" customFormat="1" ht="16.5" customHeight="1">
      <c r="A3086" s="309" t="str">
        <f>IF(B3086&lt;&gt;"",IF(AND(B3086='IN-TC'!$S$4,OR(TH!N3086="1111",TH!O3086="1111")),TH!D3086,""),"")</f>
        <v/>
      </c>
      <c r="B3086" s="1275">
        <f t="shared" si="1109"/>
        <v>9</v>
      </c>
      <c r="C3086" s="71">
        <v>42985</v>
      </c>
      <c r="D3086" s="71" t="s">
        <v>530</v>
      </c>
      <c r="E3086" s="71">
        <f t="shared" si="1110"/>
        <v>42985</v>
      </c>
      <c r="F3086" s="72" t="s">
        <v>1010</v>
      </c>
      <c r="G3086" s="72" t="s">
        <v>747</v>
      </c>
      <c r="H3086" s="296" t="s">
        <v>1859</v>
      </c>
      <c r="I3086" s="73"/>
      <c r="J3086" s="378"/>
      <c r="K3086" s="371"/>
      <c r="L3086" s="377"/>
      <c r="M3086" s="74">
        <v>290290</v>
      </c>
      <c r="N3086" s="75" t="s">
        <v>536</v>
      </c>
      <c r="O3086" s="934" t="s">
        <v>43</v>
      </c>
      <c r="P3086" s="75" t="str">
        <f>IF(AND('331-CT'!$E$7=TH!H3086,OR(N3086="331",O3086="331")),"x","")</f>
        <v/>
      </c>
      <c r="Q3086" s="75" t="str">
        <f>IF(AND(B3086='111'!$L$11,OR($N3086=$Q$7,$O3086=$Q$7)),"x","")</f>
        <v/>
      </c>
      <c r="R3086" s="75" t="str">
        <f>IF(AND($N3086=$Q$7,$B3086&lt;'111'!$L$11),"x","")</f>
        <v/>
      </c>
      <c r="S3086" s="75" t="str">
        <f>IF(AND($O3086=$Q$7,$B3086&lt;'111'!$L$11),"x","")</f>
        <v/>
      </c>
      <c r="T3086" s="75" t="str">
        <f>IF(ISERROR(FIND('112'!$M$9,G3086,1)),"",IF((AND(FIND('112'!$M$9,G3086,1)&gt;=1,B3086='112'!$K$9,OR($N3086='112'!$I$6,$O3086='112'!$I$6))),"x",""))</f>
        <v/>
      </c>
      <c r="U3086" s="75" t="str">
        <f>IF(ISERROR(FIND('112'!$M$9,G3086,1)),"",IF((AND(LEFT(G3086,2)=LEFT('112'!$M$9,2),B3086&lt;'112'!$K$9,$N3086='112'!$I$6)),"x",""))</f>
        <v/>
      </c>
      <c r="V3086" s="75" t="str">
        <f>IF(ISERROR(FIND('112'!$M$9,G3086,1)),"",IF((AND(RIGHT(G3086,2)=RIGHT('112'!$M$9,2),B3086&lt;'112'!$K$9,$O3086='112'!$I$6)),"x",""))</f>
        <v/>
      </c>
      <c r="W3086" s="75" t="str">
        <f>IF(AND('341-CT'!$H$9=H3086,OR(LEFT(N3086,3)=$W$7,LEFT(O3086,3)=$W$7)),"x","")</f>
        <v/>
      </c>
      <c r="X3086" s="75" t="str">
        <f>IF(OR(TH!N3086=TH!$X$7,O3086=TH!$X$7),"x","")</f>
        <v/>
      </c>
      <c r="Y3086" s="75" t="str">
        <f>IF(AND(OR(N3086="131",O3086="131"),H3086='131-CT'!$H$9),"x","")</f>
        <v/>
      </c>
      <c r="Z3086" s="75"/>
      <c r="AA3086" s="75" t="str">
        <f>IF(AND(MONTH(E3086)='IN-NX'!$J$5,'IN-NX'!$D$7=D3086),"x","")</f>
        <v/>
      </c>
      <c r="AB3086" s="75" t="str">
        <f>IF(AND(OR(LEFT(TH!N3086,2)="15",LEFT(TH!O3086,2)="15"),LEFT(TH!O3086,3)&lt;&gt;"111",'152-CT'!$J$8=TH!F3086),"x","")</f>
        <v/>
      </c>
      <c r="AC3086" s="75" t="str">
        <f>IF(AND(OR(LEFT(TH!N3086,2)="15",LEFT(TH!O3086,2)="15"),TK!$E$7=TH!F3086),"x","")</f>
        <v/>
      </c>
      <c r="AD3086" s="75" t="str">
        <f>IF(AND(N3086="1521",MONTH(C3086)='BK-NL'!$M$11),"x","")</f>
        <v/>
      </c>
    </row>
    <row r="3087" spans="1:31" s="1264" customFormat="1" ht="16.5" customHeight="1">
      <c r="A3087" s="309" t="str">
        <f>IF(B3087&lt;&gt;"",IF(AND(B3087='IN-TC'!$S$4,OR(TH!N3087="1111",TH!O3087="1111")),TH!D3087,""),"")</f>
        <v/>
      </c>
      <c r="B3087" s="1275">
        <f t="shared" si="1109"/>
        <v>9</v>
      </c>
      <c r="C3087" s="71">
        <v>42985</v>
      </c>
      <c r="D3087" s="71" t="s">
        <v>902</v>
      </c>
      <c r="E3087" s="71">
        <f t="shared" si="1110"/>
        <v>42985</v>
      </c>
      <c r="F3087" s="72" t="s">
        <v>2115</v>
      </c>
      <c r="G3087" s="72" t="s">
        <v>747</v>
      </c>
      <c r="H3087" s="1186" t="s">
        <v>2124</v>
      </c>
      <c r="I3087" s="73"/>
      <c r="J3087" s="378"/>
      <c r="K3087" s="371">
        <v>15000</v>
      </c>
      <c r="L3087" s="377">
        <v>22700</v>
      </c>
      <c r="M3087" s="74">
        <f>ROUND(K3087*L3087,0)</f>
        <v>340500000</v>
      </c>
      <c r="N3087" s="75" t="s">
        <v>8</v>
      </c>
      <c r="O3087" s="934" t="s">
        <v>256</v>
      </c>
      <c r="P3087" s="75" t="str">
        <f>IF(AND('331-CT'!$E$7=TH!H3087,OR(N3087="331",O3087="331")),"x","")</f>
        <v/>
      </c>
      <c r="Q3087" s="75" t="str">
        <f>IF(AND(B3087='111'!$L$11,OR($N3087=$Q$7,$O3087=$Q$7)),"x","")</f>
        <v/>
      </c>
      <c r="R3087" s="75" t="str">
        <f>IF(AND($N3087=$Q$7,$B3087&lt;'111'!$L$11),"x","")</f>
        <v/>
      </c>
      <c r="S3087" s="75" t="str">
        <f>IF(AND($O3087=$Q$7,$B3087&lt;'111'!$L$11),"x","")</f>
        <v/>
      </c>
      <c r="T3087" s="75" t="str">
        <f>IF(ISERROR(FIND('112'!$M$9,G3087,1)),"",IF((AND(FIND('112'!$M$9,G3087,1)&gt;=1,B3087='112'!$K$9,OR($N3087='112'!$I$6,$O3087='112'!$I$6))),"x",""))</f>
        <v/>
      </c>
      <c r="U3087" s="75" t="str">
        <f>IF(ISERROR(FIND('112'!$M$9,G3087,1)),"",IF((AND(LEFT(G3087,2)=LEFT('112'!$M$9,2),B3087&lt;'112'!$K$9,$N3087='112'!$I$6)),"x",""))</f>
        <v/>
      </c>
      <c r="V3087" s="75" t="str">
        <f>IF(ISERROR(FIND('112'!$M$9,G3087,1)),"",IF((AND(RIGHT(G3087,2)=RIGHT('112'!$M$9,2),B3087&lt;'112'!$K$9,$O3087='112'!$I$6)),"x",""))</f>
        <v/>
      </c>
      <c r="W3087" s="75" t="str">
        <f>IF(AND('341-CT'!$H$9=H3087,OR(LEFT(N3087,3)=$W$7,LEFT(O3087,3)=$W$7)),"x","")</f>
        <v/>
      </c>
      <c r="X3087" s="75" t="str">
        <f>IF(OR(TH!N3087=TH!$X$7,O3087=TH!$X$7),"x","")</f>
        <v/>
      </c>
      <c r="Y3087" s="75" t="str">
        <f>IF(AND(OR(N3087="131",O3087="131"),H3087='131-CT'!$H$9),"x","")</f>
        <v/>
      </c>
      <c r="Z3087" s="75"/>
      <c r="AA3087" s="75" t="str">
        <f>IF(AND(MONTH(E3087)='IN-NX'!$J$5,'IN-NX'!$D$7=D3087),"x","")</f>
        <v/>
      </c>
      <c r="AB3087" s="75" t="str">
        <f>IF(AND(OR(LEFT(TH!N3087,2)="15",LEFT(TH!O3087,2)="15"),LEFT(TH!O3087,3)&lt;&gt;"111",'152-CT'!$J$8=TH!F3087),"x","")</f>
        <v/>
      </c>
      <c r="AC3087" s="75" t="str">
        <f>IF(AND(OR(LEFT(TH!N3087,2)="15",LEFT(TH!O3087,2)="15"),TK!$E$7=TH!F3087),"x","")</f>
        <v/>
      </c>
      <c r="AD3087" s="75" t="str">
        <f>IF(AND(N3087="1521",MONTH(C3087)='BK-NL'!$M$11),"x","")</f>
        <v/>
      </c>
    </row>
    <row r="3088" spans="1:31" s="1264" customFormat="1" ht="16.5" customHeight="1">
      <c r="A3088" s="309" t="str">
        <f>IF(B3088&lt;&gt;"",IF(AND(B3088='IN-TC'!$S$4,OR(TH!N3088="1111",TH!O3088="1111")),TH!D3088,""),"")</f>
        <v/>
      </c>
      <c r="B3088" s="1275">
        <f t="shared" si="1109"/>
        <v>9</v>
      </c>
      <c r="C3088" s="71">
        <v>42985</v>
      </c>
      <c r="D3088" s="71" t="s">
        <v>530</v>
      </c>
      <c r="E3088" s="71">
        <f t="shared" si="1110"/>
        <v>42985</v>
      </c>
      <c r="F3088" s="72" t="s">
        <v>1010</v>
      </c>
      <c r="G3088" s="72" t="s">
        <v>747</v>
      </c>
      <c r="H3088" s="1186" t="s">
        <v>2124</v>
      </c>
      <c r="I3088" s="73"/>
      <c r="J3088" s="378"/>
      <c r="K3088" s="371"/>
      <c r="L3088" s="377"/>
      <c r="M3088" s="74">
        <v>150000</v>
      </c>
      <c r="N3088" s="75" t="s">
        <v>99</v>
      </c>
      <c r="O3088" s="75" t="s">
        <v>8</v>
      </c>
      <c r="P3088" s="75" t="str">
        <f>IF(AND('331-CT'!$E$7=TH!H3088,OR(N3088="331",O3088="331")),"x","")</f>
        <v/>
      </c>
      <c r="Q3088" s="75" t="str">
        <f>IF(AND(B3088='111'!$L$11,OR($N3088=$Q$7,$O3088=$Q$7)),"x","")</f>
        <v/>
      </c>
      <c r="R3088" s="75" t="str">
        <f>IF(AND($N3088=$Q$7,$B3088&lt;'111'!$L$11),"x","")</f>
        <v/>
      </c>
      <c r="S3088" s="75" t="str">
        <f>IF(AND($O3088=$Q$7,$B3088&lt;'111'!$L$11),"x","")</f>
        <v/>
      </c>
      <c r="T3088" s="75" t="str">
        <f>IF(ISERROR(FIND('112'!$M$9,G3088,1)),"",IF((AND(FIND('112'!$M$9,G3088,1)&gt;=1,B3088='112'!$K$9,OR($N3088='112'!$I$6,$O3088='112'!$I$6))),"x",""))</f>
        <v/>
      </c>
      <c r="U3088" s="75" t="str">
        <f>IF(ISERROR(FIND('112'!$M$9,G3088,1)),"",IF((AND(LEFT(G3088,2)=LEFT('112'!$M$9,2),B3088&lt;'112'!$K$9,$N3088='112'!$I$6)),"x",""))</f>
        <v/>
      </c>
      <c r="V3088" s="75" t="str">
        <f>IF(ISERROR(FIND('112'!$M$9,G3088,1)),"",IF((AND(RIGHT(G3088,2)=RIGHT('112'!$M$9,2),B3088&lt;'112'!$K$9,$O3088='112'!$I$6)),"x",""))</f>
        <v/>
      </c>
      <c r="W3088" s="75" t="str">
        <f>IF(AND('341-CT'!$H$9=H3088,OR(LEFT(N3088,3)=$W$7,LEFT(O3088,3)=$W$7)),"x","")</f>
        <v/>
      </c>
      <c r="X3088" s="75" t="str">
        <f>IF(OR(TH!N3088=TH!$X$7,O3088=TH!$X$7),"x","")</f>
        <v/>
      </c>
      <c r="Y3088" s="75" t="str">
        <f>IF(AND(OR(N3088="131",O3088="131"),H3088='131-CT'!$H$9),"x","")</f>
        <v/>
      </c>
      <c r="Z3088" s="75"/>
      <c r="AA3088" s="75" t="str">
        <f>IF(AND(MONTH(E3088)='IN-NX'!$J$5,'IN-NX'!$D$7=D3088),"x","")</f>
        <v/>
      </c>
      <c r="AB3088" s="75" t="str">
        <f>IF(AND(OR(LEFT(TH!N3088,2)="15",LEFT(TH!O3088,2)="15"),LEFT(TH!O3088,3)&lt;&gt;"111",'152-CT'!$J$8=TH!F3088),"x","")</f>
        <v/>
      </c>
      <c r="AC3088" s="75" t="str">
        <f>IF(AND(OR(LEFT(TH!N3088,2)="15",LEFT(TH!O3088,2)="15"),TK!$E$7=TH!F3088),"x","")</f>
        <v/>
      </c>
      <c r="AD3088" s="75" t="str">
        <f>IF(AND(N3088="1521",MONTH(C3088)='BK-NL'!$M$11),"x","")</f>
        <v/>
      </c>
    </row>
    <row r="3089" spans="1:31" s="1264" customFormat="1" ht="16.5" customHeight="1">
      <c r="A3089" s="309" t="str">
        <f>IF(B3089&lt;&gt;"",IF(AND(B3089='IN-TC'!$S$4,OR(TH!N3089="1111",TH!O3089="1111")),TH!D3089,""),"")</f>
        <v/>
      </c>
      <c r="B3089" s="1275">
        <f t="shared" si="1109"/>
        <v>9</v>
      </c>
      <c r="C3089" s="71">
        <v>42985</v>
      </c>
      <c r="D3089" s="71" t="s">
        <v>902</v>
      </c>
      <c r="E3089" s="71">
        <f t="shared" si="1110"/>
        <v>42985</v>
      </c>
      <c r="F3089" s="72" t="s">
        <v>1321</v>
      </c>
      <c r="G3089" s="72" t="s">
        <v>747</v>
      </c>
      <c r="H3089" s="73" t="s">
        <v>1556</v>
      </c>
      <c r="I3089" s="73"/>
      <c r="J3089" s="378"/>
      <c r="K3089" s="371">
        <v>101.5</v>
      </c>
      <c r="L3089" s="377">
        <v>22700</v>
      </c>
      <c r="M3089" s="74">
        <f>ROUND(K3089*L3089,0)</f>
        <v>2304050</v>
      </c>
      <c r="N3089" s="75" t="s">
        <v>250</v>
      </c>
      <c r="O3089" s="934" t="s">
        <v>256</v>
      </c>
      <c r="P3089" s="75" t="str">
        <f>IF(AND('331-CT'!$E$7=TH!H3089,OR(N3089="331",O3089="331")),"x","")</f>
        <v/>
      </c>
      <c r="Q3089" s="75" t="str">
        <f>IF(AND(B3089='111'!$L$11,OR($N3089=$Q$7,$O3089=$Q$7)),"x","")</f>
        <v/>
      </c>
      <c r="R3089" s="75" t="str">
        <f>IF(AND($N3089=$Q$7,$B3089&lt;'111'!$L$11),"x","")</f>
        <v/>
      </c>
      <c r="S3089" s="75" t="str">
        <f>IF(AND($O3089=$Q$7,$B3089&lt;'111'!$L$11),"x","")</f>
        <v/>
      </c>
      <c r="T3089" s="75" t="str">
        <f>IF(ISERROR(FIND('112'!$M$9,G3089,1)),"",IF((AND(FIND('112'!$M$9,G3089,1)&gt;=1,B3089='112'!$K$9,OR($N3089='112'!$I$6,$O3089='112'!$I$6))),"x",""))</f>
        <v/>
      </c>
      <c r="U3089" s="75" t="str">
        <f>IF(ISERROR(FIND('112'!$M$9,G3089,1)),"",IF((AND(LEFT(G3089,2)=LEFT('112'!$M$9,2),B3089&lt;'112'!$K$9,$N3089='112'!$I$6)),"x",""))</f>
        <v/>
      </c>
      <c r="V3089" s="75" t="str">
        <f>IF(ISERROR(FIND('112'!$M$9,G3089,1)),"",IF((AND(RIGHT(G3089,2)=RIGHT('112'!$M$9,2),B3089&lt;'112'!$K$9,$O3089='112'!$I$6)),"x",""))</f>
        <v/>
      </c>
      <c r="W3089" s="75" t="str">
        <f>IF(AND('341-CT'!$H$9=H3089,OR(LEFT(N3089,3)=$W$7,LEFT(O3089,3)=$W$7)),"x","")</f>
        <v/>
      </c>
      <c r="X3089" s="75" t="str">
        <f>IF(OR(TH!N3089=TH!$X$7,O3089=TH!$X$7),"x","")</f>
        <v/>
      </c>
      <c r="Y3089" s="75" t="str">
        <f>IF(AND(OR(N3089="131",O3089="131"),H3089='131-CT'!$H$9),"x","")</f>
        <v/>
      </c>
      <c r="Z3089" s="75"/>
      <c r="AA3089" s="75" t="str">
        <f>IF(AND(MONTH(E3089)='IN-NX'!$J$5,'IN-NX'!$D$7=D3089),"x","")</f>
        <v/>
      </c>
      <c r="AB3089" s="75" t="str">
        <f>IF(AND(OR(LEFT(TH!N3089,2)="15",LEFT(TH!O3089,2)="15"),LEFT(TH!O3089,3)&lt;&gt;"111",'152-CT'!$J$8=TH!F3089),"x","")</f>
        <v/>
      </c>
      <c r="AC3089" s="75" t="str">
        <f>IF(AND(OR(LEFT(TH!N3089,2)="15",LEFT(TH!O3089,2)="15"),TK!$E$7=TH!F3089),"x","")</f>
        <v/>
      </c>
      <c r="AD3089" s="75" t="str">
        <f>IF(AND(N3089="1521",MONTH(C3089)='BK-NL'!$M$11),"x","")</f>
        <v/>
      </c>
    </row>
    <row r="3090" spans="1:31" s="1264" customFormat="1" ht="16.5" customHeight="1">
      <c r="A3090" s="309" t="str">
        <f>IF(B3090&lt;&gt;"",IF(AND(B3090='IN-TC'!$S$4,OR(TH!N3090="1111",TH!O3090="1111")),TH!D3090,""),"")</f>
        <v/>
      </c>
      <c r="B3090" s="1275">
        <f t="shared" si="1109"/>
        <v>9</v>
      </c>
      <c r="C3090" s="71">
        <v>42986</v>
      </c>
      <c r="D3090" s="71" t="s">
        <v>903</v>
      </c>
      <c r="E3090" s="71">
        <f t="shared" si="1110"/>
        <v>42986</v>
      </c>
      <c r="F3090" s="930" t="s">
        <v>2466</v>
      </c>
      <c r="G3090" s="72" t="s">
        <v>747</v>
      </c>
      <c r="H3090" s="73" t="s">
        <v>2467</v>
      </c>
      <c r="I3090" s="73"/>
      <c r="J3090" s="378"/>
      <c r="K3090" s="371">
        <v>86988.6</v>
      </c>
      <c r="L3090" s="377">
        <v>22700</v>
      </c>
      <c r="M3090" s="1214">
        <f t="shared" ref="M3090:M3093" si="1120">ROUND(K3090*L3090,0)</f>
        <v>1974641220</v>
      </c>
      <c r="N3090" s="75" t="s">
        <v>256</v>
      </c>
      <c r="O3090" s="75" t="s">
        <v>250</v>
      </c>
      <c r="P3090" s="75" t="str">
        <f>IF(AND('331-CT'!$E$7=TH!H3090,OR(N3090="331",O3090="331")),"x","")</f>
        <v/>
      </c>
      <c r="Q3090" s="75" t="str">
        <f>IF(AND(B3090='111'!$L$11,OR($N3090=$Q$7,$O3090=$Q$7)),"x","")</f>
        <v/>
      </c>
      <c r="R3090" s="75" t="str">
        <f>IF(AND($N3090=$Q$7,$B3090&lt;'111'!$L$11),"x","")</f>
        <v/>
      </c>
      <c r="S3090" s="75" t="str">
        <f>IF(AND($O3090=$Q$7,$B3090&lt;'111'!$L$11),"x","")</f>
        <v/>
      </c>
      <c r="T3090" s="75" t="str">
        <f>IF(ISERROR(FIND('112'!$M$9,G3090,1)),"",IF((AND(FIND('112'!$M$9,G3090,1)&gt;=1,B3090='112'!$K$9,OR($N3090='112'!$I$6,$O3090='112'!$I$6))),"x",""))</f>
        <v/>
      </c>
      <c r="U3090" s="75" t="str">
        <f>IF(ISERROR(FIND('112'!$M$9,G3090,1)),"",IF((AND(LEFT(G3090,2)=LEFT('112'!$M$9,2),B3090&lt;'112'!$K$9,$N3090='112'!$I$6)),"x",""))</f>
        <v/>
      </c>
      <c r="V3090" s="75" t="str">
        <f>IF(ISERROR(FIND('112'!$M$9,G3090,1)),"",IF((AND(RIGHT(G3090,2)=RIGHT('112'!$M$9,2),B3090&lt;'112'!$K$9,$O3090='112'!$I$6)),"x",""))</f>
        <v/>
      </c>
      <c r="W3090" s="75" t="str">
        <f>IF(AND('341-CT'!$H$9=H3090,OR(LEFT(N3090,3)=$W$7,LEFT(O3090,3)=$W$7)),"x","")</f>
        <v/>
      </c>
      <c r="X3090" s="75" t="str">
        <f>IF(OR(TH!N3090=TH!$X$7,O3090=TH!$X$7),"x","")</f>
        <v/>
      </c>
      <c r="Y3090" s="75" t="str">
        <f>IF(AND(OR(N3090="131",O3090="131"),H3090='131-CT'!$H$9),"x","")</f>
        <v/>
      </c>
      <c r="Z3090" s="75"/>
      <c r="AA3090" s="75" t="str">
        <f>IF(AND(MONTH(E3090)='IN-NX'!$J$5,'IN-NX'!$D$7=D3090),"x","")</f>
        <v/>
      </c>
      <c r="AB3090" s="75" t="str">
        <f>IF(AND(OR(LEFT(TH!N3090,2)="15",LEFT(TH!O3090,2)="15"),LEFT(TH!O3090,3)&lt;&gt;"111",'152-CT'!$J$8=TH!F3090),"x","")</f>
        <v/>
      </c>
      <c r="AC3090" s="75" t="str">
        <f>IF(AND(OR(LEFT(TH!N3090,2)="15",LEFT(TH!O3090,2)="15"),TK!$E$7=TH!F3090),"x","")</f>
        <v/>
      </c>
      <c r="AD3090" s="75" t="str">
        <f>IF(AND(N3090="1521",MONTH(C3090)='BK-NL'!$M$11),"x","")</f>
        <v/>
      </c>
    </row>
    <row r="3091" spans="1:31" s="1264" customFormat="1" ht="16.5" customHeight="1">
      <c r="A3091" s="309" t="str">
        <f>IF(B3091&lt;&gt;"",IF(AND(B3091='IN-TC'!$S$4,OR(TH!N3091="1111",TH!O3091="1111")),TH!D3091,""),"")</f>
        <v/>
      </c>
      <c r="B3091" s="1275">
        <f t="shared" si="1109"/>
        <v>9</v>
      </c>
      <c r="C3091" s="71">
        <v>42986</v>
      </c>
      <c r="D3091" s="71" t="s">
        <v>902</v>
      </c>
      <c r="E3091" s="71">
        <f t="shared" si="1110"/>
        <v>42986</v>
      </c>
      <c r="F3091" s="72" t="s">
        <v>2116</v>
      </c>
      <c r="G3091" s="72" t="s">
        <v>747</v>
      </c>
      <c r="H3091" s="73" t="s">
        <v>1556</v>
      </c>
      <c r="I3091" s="73"/>
      <c r="J3091" s="378"/>
      <c r="K3091" s="371">
        <v>0.05</v>
      </c>
      <c r="L3091" s="377">
        <v>22700</v>
      </c>
      <c r="M3091" s="74">
        <f t="shared" si="1120"/>
        <v>1135</v>
      </c>
      <c r="N3091" s="75" t="s">
        <v>99</v>
      </c>
      <c r="O3091" s="934" t="s">
        <v>256</v>
      </c>
      <c r="P3091" s="75" t="str">
        <f>IF(AND('331-CT'!$E$7=TH!H3091,OR(N3091="331",O3091="331")),"x","")</f>
        <v/>
      </c>
      <c r="Q3091" s="75" t="str">
        <f>IF(AND(B3091='111'!$L$11,OR($N3091=$Q$7,$O3091=$Q$7)),"x","")</f>
        <v/>
      </c>
      <c r="R3091" s="75" t="str">
        <f>IF(AND($N3091=$Q$7,$B3091&lt;'111'!$L$11),"x","")</f>
        <v/>
      </c>
      <c r="S3091" s="75" t="str">
        <f>IF(AND($O3091=$Q$7,$B3091&lt;'111'!$L$11),"x","")</f>
        <v/>
      </c>
      <c r="T3091" s="75" t="str">
        <f>IF(ISERROR(FIND('112'!$M$9,G3091,1)),"",IF((AND(FIND('112'!$M$9,G3091,1)&gt;=1,B3091='112'!$K$9,OR($N3091='112'!$I$6,$O3091='112'!$I$6))),"x",""))</f>
        <v/>
      </c>
      <c r="U3091" s="75" t="str">
        <f>IF(ISERROR(FIND('112'!$M$9,G3091,1)),"",IF((AND(LEFT(G3091,2)=LEFT('112'!$M$9,2),B3091&lt;'112'!$K$9,$N3091='112'!$I$6)),"x",""))</f>
        <v/>
      </c>
      <c r="V3091" s="75" t="str">
        <f>IF(ISERROR(FIND('112'!$M$9,G3091,1)),"",IF((AND(RIGHT(G3091,2)=RIGHT('112'!$M$9,2),B3091&lt;'112'!$K$9,$O3091='112'!$I$6)),"x",""))</f>
        <v/>
      </c>
      <c r="W3091" s="75" t="str">
        <f>IF(AND('341-CT'!$H$9=H3091,OR(LEFT(N3091,3)=$W$7,LEFT(O3091,3)=$W$7)),"x","")</f>
        <v/>
      </c>
      <c r="X3091" s="75" t="str">
        <f>IF(OR(TH!N3091=TH!$X$7,O3091=TH!$X$7),"x","")</f>
        <v/>
      </c>
      <c r="Y3091" s="75" t="str">
        <f>IF(AND(OR(N3091="131",O3091="131"),H3091='131-CT'!$H$9),"x","")</f>
        <v/>
      </c>
      <c r="Z3091" s="75"/>
      <c r="AA3091" s="75" t="str">
        <f>IF(AND(MONTH(E3091)='IN-NX'!$J$5,'IN-NX'!$D$7=D3091),"x","")</f>
        <v/>
      </c>
      <c r="AB3091" s="75" t="str">
        <f>IF(AND(OR(LEFT(TH!N3091,2)="15",LEFT(TH!O3091,2)="15"),LEFT(TH!O3091,3)&lt;&gt;"111",'152-CT'!$J$8=TH!F3091),"x","")</f>
        <v/>
      </c>
      <c r="AC3091" s="75" t="str">
        <f>IF(AND(OR(LEFT(TH!N3091,2)="15",LEFT(TH!O3091,2)="15"),TK!$E$7=TH!F3091),"x","")</f>
        <v/>
      </c>
      <c r="AD3091" s="75" t="str">
        <f>IF(AND(N3091="1521",MONTH(C3091)='BK-NL'!$M$11),"x","")</f>
        <v/>
      </c>
    </row>
    <row r="3092" spans="1:31" s="1264" customFormat="1" ht="16.5" customHeight="1">
      <c r="A3092" s="309" t="str">
        <f>IF(B3092&lt;&gt;"",IF(AND(B3092='IN-TC'!$S$4,OR(TH!N3092="1111",TH!O3092="1111")),TH!D3092,""),"")</f>
        <v/>
      </c>
      <c r="B3092" s="1275">
        <f t="shared" si="1109"/>
        <v>9</v>
      </c>
      <c r="C3092" s="71">
        <v>42986</v>
      </c>
      <c r="D3092" s="71" t="s">
        <v>902</v>
      </c>
      <c r="E3092" s="71">
        <f t="shared" si="1110"/>
        <v>42986</v>
      </c>
      <c r="F3092" s="72" t="s">
        <v>2117</v>
      </c>
      <c r="G3092" s="72" t="s">
        <v>747</v>
      </c>
      <c r="H3092" s="73" t="s">
        <v>1556</v>
      </c>
      <c r="I3092" s="73"/>
      <c r="J3092" s="378"/>
      <c r="K3092" s="371">
        <v>43.47</v>
      </c>
      <c r="L3092" s="377">
        <v>22700</v>
      </c>
      <c r="M3092" s="74">
        <f t="shared" si="1120"/>
        <v>986769</v>
      </c>
      <c r="N3092" s="75" t="s">
        <v>99</v>
      </c>
      <c r="O3092" s="934" t="s">
        <v>256</v>
      </c>
      <c r="P3092" s="75" t="str">
        <f>IF(AND('331-CT'!$E$7=TH!H3092,OR(N3092="331",O3092="331")),"x","")</f>
        <v/>
      </c>
      <c r="Q3092" s="75" t="str">
        <f>IF(AND(B3092='111'!$L$11,OR($N3092=$Q$7,$O3092=$Q$7)),"x","")</f>
        <v/>
      </c>
      <c r="R3092" s="75" t="str">
        <f>IF(AND($N3092=$Q$7,$B3092&lt;'111'!$L$11),"x","")</f>
        <v/>
      </c>
      <c r="S3092" s="75" t="str">
        <f>IF(AND($O3092=$Q$7,$B3092&lt;'111'!$L$11),"x","")</f>
        <v/>
      </c>
      <c r="T3092" s="75" t="str">
        <f>IF(ISERROR(FIND('112'!$M$9,G3092,1)),"",IF((AND(FIND('112'!$M$9,G3092,1)&gt;=1,B3092='112'!$K$9,OR($N3092='112'!$I$6,$O3092='112'!$I$6))),"x",""))</f>
        <v/>
      </c>
      <c r="U3092" s="75" t="str">
        <f>IF(ISERROR(FIND('112'!$M$9,G3092,1)),"",IF((AND(LEFT(G3092,2)=LEFT('112'!$M$9,2),B3092&lt;'112'!$K$9,$N3092='112'!$I$6)),"x",""))</f>
        <v/>
      </c>
      <c r="V3092" s="75" t="str">
        <f>IF(ISERROR(FIND('112'!$M$9,G3092,1)),"",IF((AND(RIGHT(G3092,2)=RIGHT('112'!$M$9,2),B3092&lt;'112'!$K$9,$O3092='112'!$I$6)),"x",""))</f>
        <v/>
      </c>
      <c r="W3092" s="75" t="str">
        <f>IF(AND('341-CT'!$H$9=H3092,OR(LEFT(N3092,3)=$W$7,LEFT(O3092,3)=$W$7)),"x","")</f>
        <v/>
      </c>
      <c r="X3092" s="75" t="str">
        <f>IF(OR(TH!N3092=TH!$X$7,O3092=TH!$X$7),"x","")</f>
        <v/>
      </c>
      <c r="Y3092" s="75" t="str">
        <f>IF(AND(OR(N3092="131",O3092="131"),H3092='131-CT'!$H$9),"x","")</f>
        <v/>
      </c>
      <c r="Z3092" s="75"/>
      <c r="AA3092" s="75" t="str">
        <f>IF(AND(MONTH(E3092)='IN-NX'!$J$5,'IN-NX'!$D$7=D3092),"x","")</f>
        <v/>
      </c>
      <c r="AB3092" s="75" t="str">
        <f>IF(AND(OR(LEFT(TH!N3092,2)="15",LEFT(TH!O3092,2)="15"),LEFT(TH!O3092,3)&lt;&gt;"111",'152-CT'!$J$8=TH!F3092),"x","")</f>
        <v/>
      </c>
      <c r="AC3092" s="75" t="str">
        <f>IF(AND(OR(LEFT(TH!N3092,2)="15",LEFT(TH!O3092,2)="15"),TK!$E$7=TH!F3092),"x","")</f>
        <v/>
      </c>
      <c r="AD3092" s="75" t="str">
        <f>IF(AND(N3092="1521",MONTH(C3092)='BK-NL'!$M$11),"x","")</f>
        <v/>
      </c>
    </row>
    <row r="3093" spans="1:31" s="1264" customFormat="1" ht="16.5" customHeight="1">
      <c r="A3093" s="309" t="str">
        <f>IF(B3093&lt;&gt;"",IF(AND(B3093='IN-TC'!$S$4,OR(TH!N3093="1111",TH!O3093="1111")),TH!D3093,""),"")</f>
        <v/>
      </c>
      <c r="B3093" s="1275">
        <f t="shared" si="1109"/>
        <v>9</v>
      </c>
      <c r="C3093" s="71">
        <v>42986</v>
      </c>
      <c r="D3093" s="71" t="s">
        <v>902</v>
      </c>
      <c r="E3093" s="71">
        <f t="shared" si="1110"/>
        <v>42986</v>
      </c>
      <c r="F3093" s="72" t="s">
        <v>2118</v>
      </c>
      <c r="G3093" s="72" t="s">
        <v>747</v>
      </c>
      <c r="H3093" s="73" t="s">
        <v>1556</v>
      </c>
      <c r="I3093" s="73"/>
      <c r="J3093" s="378"/>
      <c r="K3093" s="371">
        <v>94.79</v>
      </c>
      <c r="L3093" s="377">
        <v>22700</v>
      </c>
      <c r="M3093" s="74">
        <f t="shared" si="1120"/>
        <v>2151733</v>
      </c>
      <c r="N3093" s="75" t="s">
        <v>99</v>
      </c>
      <c r="O3093" s="934" t="s">
        <v>256</v>
      </c>
      <c r="P3093" s="75" t="str">
        <f>IF(AND('331-CT'!$E$7=TH!H3093,OR(N3093="331",O3093="331")),"x","")</f>
        <v/>
      </c>
      <c r="Q3093" s="75" t="str">
        <f>IF(AND(B3093='111'!$L$11,OR($N3093=$Q$7,$O3093=$Q$7)),"x","")</f>
        <v/>
      </c>
      <c r="R3093" s="75" t="str">
        <f>IF(AND($N3093=$Q$7,$B3093&lt;'111'!$L$11),"x","")</f>
        <v/>
      </c>
      <c r="S3093" s="75" t="str">
        <f>IF(AND($O3093=$Q$7,$B3093&lt;'111'!$L$11),"x","")</f>
        <v/>
      </c>
      <c r="T3093" s="75" t="str">
        <f>IF(ISERROR(FIND('112'!$M$9,G3093,1)),"",IF((AND(FIND('112'!$M$9,G3093,1)&gt;=1,B3093='112'!$K$9,OR($N3093='112'!$I$6,$O3093='112'!$I$6))),"x",""))</f>
        <v/>
      </c>
      <c r="U3093" s="75" t="str">
        <f>IF(ISERROR(FIND('112'!$M$9,G3093,1)),"",IF((AND(LEFT(G3093,2)=LEFT('112'!$M$9,2),B3093&lt;'112'!$K$9,$N3093='112'!$I$6)),"x",""))</f>
        <v/>
      </c>
      <c r="V3093" s="75" t="str">
        <f>IF(ISERROR(FIND('112'!$M$9,G3093,1)),"",IF((AND(RIGHT(G3093,2)=RIGHT('112'!$M$9,2),B3093&lt;'112'!$K$9,$O3093='112'!$I$6)),"x",""))</f>
        <v/>
      </c>
      <c r="W3093" s="75" t="str">
        <f>IF(AND('341-CT'!$H$9=H3093,OR(LEFT(N3093,3)=$W$7,LEFT(O3093,3)=$W$7)),"x","")</f>
        <v/>
      </c>
      <c r="X3093" s="75" t="str">
        <f>IF(OR(TH!N3093=TH!$X$7,O3093=TH!$X$7),"x","")</f>
        <v/>
      </c>
      <c r="Y3093" s="75" t="str">
        <f>IF(AND(OR(N3093="131",O3093="131"),H3093='131-CT'!$H$9),"x","")</f>
        <v/>
      </c>
      <c r="Z3093" s="75"/>
      <c r="AA3093" s="75" t="str">
        <f>IF(AND(MONTH(E3093)='IN-NX'!$J$5,'IN-NX'!$D$7=D3093),"x","")</f>
        <v/>
      </c>
      <c r="AB3093" s="75" t="str">
        <f>IF(AND(OR(LEFT(TH!N3093,2)="15",LEFT(TH!O3093,2)="15"),LEFT(TH!O3093,3)&lt;&gt;"111",'152-CT'!$J$8=TH!F3093),"x","")</f>
        <v/>
      </c>
      <c r="AC3093" s="75" t="str">
        <f>IF(AND(OR(LEFT(TH!N3093,2)="15",LEFT(TH!O3093,2)="15"),TK!$E$7=TH!F3093),"x","")</f>
        <v/>
      </c>
      <c r="AD3093" s="75" t="str">
        <f>IF(AND(N3093="1521",MONTH(C3093)='BK-NL'!$M$11),"x","")</f>
        <v/>
      </c>
    </row>
    <row r="3094" spans="1:31" s="1264" customFormat="1" ht="16.5" customHeight="1">
      <c r="A3094" s="309" t="str">
        <f>IF(B3094&lt;&gt;"",IF(AND(B3094='IN-TC'!$S$4,OR(TH!N3094="1111",TH!O3094="1111")),TH!D3094,""),"")</f>
        <v/>
      </c>
      <c r="B3094" s="1275">
        <f t="shared" si="1109"/>
        <v>9</v>
      </c>
      <c r="C3094" s="71">
        <v>42986</v>
      </c>
      <c r="D3094" s="71" t="s">
        <v>902</v>
      </c>
      <c r="E3094" s="71">
        <f t="shared" si="1110"/>
        <v>42986</v>
      </c>
      <c r="F3094" s="72" t="s">
        <v>1321</v>
      </c>
      <c r="G3094" s="72" t="s">
        <v>747</v>
      </c>
      <c r="H3094" s="73" t="s">
        <v>1556</v>
      </c>
      <c r="I3094" s="73"/>
      <c r="J3094" s="378"/>
      <c r="K3094" s="371">
        <v>86850.29</v>
      </c>
      <c r="L3094" s="377">
        <v>22700</v>
      </c>
      <c r="M3094" s="74">
        <f t="shared" ref="M3094:M3095" si="1121">ROUND(K3094*L3094,0)</f>
        <v>1971501583</v>
      </c>
      <c r="N3094" s="75" t="s">
        <v>250</v>
      </c>
      <c r="O3094" s="934" t="s">
        <v>256</v>
      </c>
      <c r="P3094" s="75" t="str">
        <f>IF(AND('331-CT'!$E$7=TH!H3094,OR(N3094="331",O3094="331")),"x","")</f>
        <v/>
      </c>
      <c r="Q3094" s="75" t="str">
        <f>IF(AND(B3094='111'!$L$11,OR($N3094=$Q$7,$O3094=$Q$7)),"x","")</f>
        <v/>
      </c>
      <c r="R3094" s="75" t="str">
        <f>IF(AND($N3094=$Q$7,$B3094&lt;'111'!$L$11),"x","")</f>
        <v/>
      </c>
      <c r="S3094" s="75" t="str">
        <f>IF(AND($O3094=$Q$7,$B3094&lt;'111'!$L$11),"x","")</f>
        <v/>
      </c>
      <c r="T3094" s="75" t="str">
        <f>IF(ISERROR(FIND('112'!$M$9,G3094,1)),"",IF((AND(FIND('112'!$M$9,G3094,1)&gt;=1,B3094='112'!$K$9,OR($N3094='112'!$I$6,$O3094='112'!$I$6))),"x",""))</f>
        <v/>
      </c>
      <c r="U3094" s="75" t="str">
        <f>IF(ISERROR(FIND('112'!$M$9,G3094,1)),"",IF((AND(LEFT(G3094,2)=LEFT('112'!$M$9,2),B3094&lt;'112'!$K$9,$N3094='112'!$I$6)),"x",""))</f>
        <v/>
      </c>
      <c r="V3094" s="75" t="str">
        <f>IF(ISERROR(FIND('112'!$M$9,G3094,1)),"",IF((AND(RIGHT(G3094,2)=RIGHT('112'!$M$9,2),B3094&lt;'112'!$K$9,$O3094='112'!$I$6)),"x",""))</f>
        <v/>
      </c>
      <c r="W3094" s="75" t="str">
        <f>IF(AND('341-CT'!$H$9=H3094,OR(LEFT(N3094,3)=$W$7,LEFT(O3094,3)=$W$7)),"x","")</f>
        <v/>
      </c>
      <c r="X3094" s="75" t="str">
        <f>IF(OR(TH!N3094=TH!$X$7,O3094=TH!$X$7),"x","")</f>
        <v/>
      </c>
      <c r="Y3094" s="75" t="str">
        <f>IF(AND(OR(N3094="131",O3094="131"),H3094='131-CT'!$H$9),"x","")</f>
        <v/>
      </c>
      <c r="Z3094" s="75"/>
      <c r="AA3094" s="75" t="str">
        <f>IF(AND(MONTH(E3094)='IN-NX'!$J$5,'IN-NX'!$D$7=D3094),"x","")</f>
        <v/>
      </c>
      <c r="AB3094" s="75" t="str">
        <f>IF(AND(OR(LEFT(TH!N3094,2)="15",LEFT(TH!O3094,2)="15"),LEFT(TH!O3094,3)&lt;&gt;"111",'152-CT'!$J$8=TH!F3094),"x","")</f>
        <v/>
      </c>
      <c r="AC3094" s="75" t="str">
        <f>IF(AND(OR(LEFT(TH!N3094,2)="15",LEFT(TH!O3094,2)="15"),TK!$E$7=TH!F3094),"x","")</f>
        <v/>
      </c>
      <c r="AD3094" s="75" t="str">
        <f>IF(AND(N3094="1521",MONTH(C3094)='BK-NL'!$M$11),"x","")</f>
        <v/>
      </c>
    </row>
    <row r="3095" spans="1:31" s="1264" customFormat="1" ht="16.5" customHeight="1">
      <c r="A3095" s="309" t="str">
        <f>IF(B3095&lt;&gt;"",IF(AND(B3095='IN-TC'!$S$4,OR(TH!N3095="1111",TH!O3095="1111")),TH!D3095,""),"")</f>
        <v/>
      </c>
      <c r="B3095" s="1275">
        <f t="shared" si="1109"/>
        <v>9</v>
      </c>
      <c r="C3095" s="71">
        <v>42996</v>
      </c>
      <c r="D3095" s="71" t="s">
        <v>903</v>
      </c>
      <c r="E3095" s="71">
        <f t="shared" si="1110"/>
        <v>42996</v>
      </c>
      <c r="F3095" s="72" t="s">
        <v>1086</v>
      </c>
      <c r="G3095" s="72" t="s">
        <v>747</v>
      </c>
      <c r="H3095" s="73" t="s">
        <v>785</v>
      </c>
      <c r="I3095" s="73"/>
      <c r="J3095" s="378"/>
      <c r="K3095" s="371">
        <v>109210.2</v>
      </c>
      <c r="L3095" s="377">
        <v>22700</v>
      </c>
      <c r="M3095" s="1214">
        <f t="shared" si="1121"/>
        <v>2479071540</v>
      </c>
      <c r="N3095" s="75" t="s">
        <v>256</v>
      </c>
      <c r="O3095" s="75" t="s">
        <v>536</v>
      </c>
      <c r="P3095" s="75" t="str">
        <f>IF(AND('331-CT'!$E$7=TH!H3095,OR(N3095="331",O3095="331")),"x","")</f>
        <v/>
      </c>
      <c r="Q3095" s="75" t="str">
        <f>IF(AND(B3095='111'!$L$11,OR($N3095=$Q$7,$O3095=$Q$7)),"x","")</f>
        <v/>
      </c>
      <c r="R3095" s="75" t="str">
        <f>IF(AND($N3095=$Q$7,$B3095&lt;'111'!$L$11),"x","")</f>
        <v/>
      </c>
      <c r="S3095" s="75" t="str">
        <f>IF(AND($O3095=$Q$7,$B3095&lt;'111'!$L$11),"x","")</f>
        <v/>
      </c>
      <c r="T3095" s="75" t="str">
        <f>IF(ISERROR(FIND('112'!$M$9,G3095,1)),"",IF((AND(FIND('112'!$M$9,G3095,1)&gt;=1,B3095='112'!$K$9,OR($N3095='112'!$I$6,$O3095='112'!$I$6))),"x",""))</f>
        <v/>
      </c>
      <c r="U3095" s="75" t="str">
        <f>IF(ISERROR(FIND('112'!$M$9,G3095,1)),"",IF((AND(LEFT(G3095,2)=LEFT('112'!$M$9,2),B3095&lt;'112'!$K$9,$N3095='112'!$I$6)),"x",""))</f>
        <v/>
      </c>
      <c r="V3095" s="75" t="str">
        <f>IF(ISERROR(FIND('112'!$M$9,G3095,1)),"",IF((AND(RIGHT(G3095,2)=RIGHT('112'!$M$9,2),B3095&lt;'112'!$K$9,$O3095='112'!$I$6)),"x",""))</f>
        <v/>
      </c>
      <c r="W3095" s="75" t="str">
        <f>IF(AND('341-CT'!$H$9=H3095,OR(LEFT(N3095,3)=$W$7,LEFT(O3095,3)=$W$7)),"x","")</f>
        <v/>
      </c>
      <c r="X3095" s="75" t="str">
        <f>IF(OR(TH!N3095=TH!$X$7,O3095=TH!$X$7),"x","")</f>
        <v/>
      </c>
      <c r="Y3095" s="75" t="str">
        <f>IF(AND(OR(N3095="131",O3095="131"),H3095='131-CT'!$H$9),"x","")</f>
        <v/>
      </c>
      <c r="Z3095" s="75"/>
      <c r="AA3095" s="75" t="str">
        <f>IF(AND(MONTH(E3095)='IN-NX'!$J$5,'IN-NX'!$D$7=D3095),"x","")</f>
        <v/>
      </c>
      <c r="AB3095" s="75" t="str">
        <f>IF(AND(OR(LEFT(TH!N3095,2)="15",LEFT(TH!O3095,2)="15"),LEFT(TH!O3095,3)&lt;&gt;"111",'152-CT'!$J$8=TH!F3095),"x","")</f>
        <v/>
      </c>
      <c r="AC3095" s="75" t="str">
        <f>IF(AND(OR(LEFT(TH!N3095,2)="15",LEFT(TH!O3095,2)="15"),TK!$E$7=TH!F3095),"x","")</f>
        <v/>
      </c>
      <c r="AD3095" s="75" t="str">
        <f>IF(AND(N3095="1521",MONTH(C3095)='BK-NL'!$M$11),"x","")</f>
        <v/>
      </c>
    </row>
    <row r="3096" spans="1:31" s="1264" customFormat="1" ht="16.5" customHeight="1">
      <c r="A3096" s="309" t="str">
        <f>IF(B3096&lt;&gt;"",IF(AND(B3096='IN-TC'!$S$4,OR(TH!N3096="1111",TH!O3096="1111")),TH!D3096,""),"")</f>
        <v/>
      </c>
      <c r="B3096" s="1275">
        <f t="shared" si="1109"/>
        <v>9</v>
      </c>
      <c r="C3096" s="71">
        <v>42996</v>
      </c>
      <c r="D3096" s="71" t="s">
        <v>530</v>
      </c>
      <c r="E3096" s="71">
        <f t="shared" si="1110"/>
        <v>42996</v>
      </c>
      <c r="F3096" s="72" t="s">
        <v>1027</v>
      </c>
      <c r="G3096" s="72" t="s">
        <v>747</v>
      </c>
      <c r="H3096" s="73" t="s">
        <v>785</v>
      </c>
      <c r="I3096" s="73"/>
      <c r="J3096" s="378"/>
      <c r="K3096" s="371">
        <v>227</v>
      </c>
      <c r="L3096" s="377">
        <v>22700</v>
      </c>
      <c r="M3096" s="933">
        <f t="shared" si="1112"/>
        <v>5152900</v>
      </c>
      <c r="N3096" s="75" t="s">
        <v>101</v>
      </c>
      <c r="O3096" s="75" t="s">
        <v>536</v>
      </c>
      <c r="P3096" s="75" t="str">
        <f>IF(AND('331-CT'!$E$7=TH!H3096,OR(N3096="331",O3096="331")),"x","")</f>
        <v/>
      </c>
      <c r="Q3096" s="75" t="str">
        <f>IF(AND(B3096='111'!$L$11,OR($N3096=$Q$7,$O3096=$Q$7)),"x","")</f>
        <v/>
      </c>
      <c r="R3096" s="75" t="str">
        <f>IF(AND($N3096=$Q$7,$B3096&lt;'111'!$L$11),"x","")</f>
        <v/>
      </c>
      <c r="S3096" s="75" t="str">
        <f>IF(AND($O3096=$Q$7,$B3096&lt;'111'!$L$11),"x","")</f>
        <v/>
      </c>
      <c r="T3096" s="75" t="str">
        <f>IF(ISERROR(FIND('112'!$M$9,G3096,1)),"",IF((AND(FIND('112'!$M$9,G3096,1)&gt;=1,B3096='112'!$K$9,OR($N3096='112'!$I$6,$O3096='112'!$I$6))),"x",""))</f>
        <v/>
      </c>
      <c r="U3096" s="75" t="str">
        <f>IF(ISERROR(FIND('112'!$M$9,G3096,1)),"",IF((AND(LEFT(G3096,2)=LEFT('112'!$M$9,2),B3096&lt;'112'!$K$9,$N3096='112'!$I$6)),"x",""))</f>
        <v/>
      </c>
      <c r="V3096" s="75" t="str">
        <f>IF(ISERROR(FIND('112'!$M$9,G3096,1)),"",IF((AND(RIGHT(G3096,2)=RIGHT('112'!$M$9,2),B3096&lt;'112'!$K$9,$O3096='112'!$I$6)),"x",""))</f>
        <v/>
      </c>
      <c r="W3096" s="75" t="str">
        <f>IF(AND('341-CT'!$H$9=H3096,OR(LEFT(N3096,3)=$W$7,LEFT(O3096,3)=$W$7)),"x","")</f>
        <v/>
      </c>
      <c r="X3096" s="75" t="str">
        <f>IF(OR(TH!N3096=TH!$X$7,O3096=TH!$X$7),"x","")</f>
        <v/>
      </c>
      <c r="Y3096" s="75" t="str">
        <f>IF(AND(OR(N3096="131",O3096="131"),H3096='131-CT'!$H$9),"x","")</f>
        <v/>
      </c>
      <c r="Z3096" s="75"/>
      <c r="AA3096" s="75" t="str">
        <f>IF(AND(MONTH(E3096)='IN-NX'!$J$5,'IN-NX'!$D$7=D3096),"x","")</f>
        <v/>
      </c>
      <c r="AB3096" s="75" t="str">
        <f>IF(AND(OR(LEFT(TH!N3096,2)="15",LEFT(TH!O3096,2)="15"),LEFT(TH!O3096,3)&lt;&gt;"111",'152-CT'!$J$8=TH!F3096),"x","")</f>
        <v/>
      </c>
      <c r="AC3096" s="75" t="str">
        <f>IF(AND(OR(LEFT(TH!N3096,2)="15",LEFT(TH!O3096,2)="15"),TK!$E$7=TH!F3096),"x","")</f>
        <v/>
      </c>
      <c r="AD3096" s="75" t="str">
        <f>IF(AND(N3096="1521",MONTH(C3096)='BK-NL'!$M$11),"x","")</f>
        <v/>
      </c>
    </row>
    <row r="3097" spans="1:31" s="1264" customFormat="1" ht="16.5" customHeight="1">
      <c r="A3097" s="309" t="str">
        <f>IF(B3097&lt;&gt;"",IF(AND(B3097='IN-TC'!$S$4,OR(TH!N3097="1111",TH!O3097="1111")),TH!D3097,""),"")</f>
        <v/>
      </c>
      <c r="B3097" s="1275">
        <f t="shared" si="1109"/>
        <v>9</v>
      </c>
      <c r="C3097" s="71">
        <v>42996</v>
      </c>
      <c r="D3097" s="71" t="s">
        <v>530</v>
      </c>
      <c r="E3097" s="71">
        <f t="shared" si="1110"/>
        <v>42996</v>
      </c>
      <c r="F3097" s="72" t="s">
        <v>1010</v>
      </c>
      <c r="G3097" s="72" t="s">
        <v>747</v>
      </c>
      <c r="H3097" s="73" t="s">
        <v>785</v>
      </c>
      <c r="I3097" s="73"/>
      <c r="J3097" s="378"/>
      <c r="K3097" s="371"/>
      <c r="L3097" s="377"/>
      <c r="M3097" s="74">
        <v>547186</v>
      </c>
      <c r="N3097" s="75" t="s">
        <v>536</v>
      </c>
      <c r="O3097" s="934" t="s">
        <v>43</v>
      </c>
      <c r="P3097" s="75" t="str">
        <f>IF(AND('331-CT'!$E$7=TH!H3097,OR(N3097="331",O3097="331")),"x","")</f>
        <v/>
      </c>
      <c r="Q3097" s="75" t="str">
        <f>IF(AND(B3097='111'!$L$11,OR($N3097=$Q$7,$O3097=$Q$7)),"x","")</f>
        <v/>
      </c>
      <c r="R3097" s="75" t="str">
        <f>IF(AND($N3097=$Q$7,$B3097&lt;'111'!$L$11),"x","")</f>
        <v/>
      </c>
      <c r="S3097" s="75" t="str">
        <f>IF(AND($O3097=$Q$7,$B3097&lt;'111'!$L$11),"x","")</f>
        <v/>
      </c>
      <c r="T3097" s="75" t="str">
        <f>IF(ISERROR(FIND('112'!$M$9,G3097,1)),"",IF((AND(FIND('112'!$M$9,G3097,1)&gt;=1,B3097='112'!$K$9,OR($N3097='112'!$I$6,$O3097='112'!$I$6))),"x",""))</f>
        <v/>
      </c>
      <c r="U3097" s="75" t="str">
        <f>IF(ISERROR(FIND('112'!$M$9,G3097,1)),"",IF((AND(LEFT(G3097,2)=LEFT('112'!$M$9,2),B3097&lt;'112'!$K$9,$N3097='112'!$I$6)),"x",""))</f>
        <v/>
      </c>
      <c r="V3097" s="75" t="str">
        <f>IF(ISERROR(FIND('112'!$M$9,G3097,1)),"",IF((AND(RIGHT(G3097,2)=RIGHT('112'!$M$9,2),B3097&lt;'112'!$K$9,$O3097='112'!$I$6)),"x",""))</f>
        <v/>
      </c>
      <c r="W3097" s="75" t="str">
        <f>IF(AND('341-CT'!$H$9=H3097,OR(LEFT(N3097,3)=$W$7,LEFT(O3097,3)=$W$7)),"x","")</f>
        <v/>
      </c>
      <c r="X3097" s="75" t="str">
        <f>IF(OR(TH!N3097=TH!$X$7,O3097=TH!$X$7),"x","")</f>
        <v/>
      </c>
      <c r="Y3097" s="75" t="str">
        <f>IF(AND(OR(N3097="131",O3097="131"),H3097='131-CT'!$H$9),"x","")</f>
        <v/>
      </c>
      <c r="Z3097" s="75"/>
      <c r="AA3097" s="75" t="str">
        <f>IF(AND(MONTH(E3097)='IN-NX'!$J$5,'IN-NX'!$D$7=D3097),"x","")</f>
        <v/>
      </c>
      <c r="AB3097" s="75" t="str">
        <f>IF(AND(OR(LEFT(TH!N3097,2)="15",LEFT(TH!O3097,2)="15"),LEFT(TH!O3097,3)&lt;&gt;"111",'152-CT'!$J$8=TH!F3097),"x","")</f>
        <v/>
      </c>
      <c r="AC3097" s="75" t="str">
        <f>IF(AND(OR(LEFT(TH!N3097,2)="15",LEFT(TH!O3097,2)="15"),TK!$E$7=TH!F3097),"x","")</f>
        <v/>
      </c>
      <c r="AD3097" s="75" t="str">
        <f>IF(AND(N3097="1521",MONTH(C3097)='BK-NL'!$M$11),"x","")</f>
        <v/>
      </c>
    </row>
    <row r="3098" spans="1:31" s="1264" customFormat="1" ht="16.5" customHeight="1">
      <c r="A3098" s="309" t="str">
        <f>IF(B3098&lt;&gt;"",IF(AND(B3098='IN-TC'!$S$4,OR(TH!N3098="1111",TH!O3098="1111")),TH!D3098,""),"")</f>
        <v/>
      </c>
      <c r="B3098" s="1275">
        <f t="shared" si="1109"/>
        <v>9</v>
      </c>
      <c r="C3098" s="71">
        <v>42996</v>
      </c>
      <c r="D3098" s="71" t="s">
        <v>902</v>
      </c>
      <c r="E3098" s="71">
        <f t="shared" si="1110"/>
        <v>42996</v>
      </c>
      <c r="F3098" s="73" t="s">
        <v>1549</v>
      </c>
      <c r="G3098" s="72" t="s">
        <v>747</v>
      </c>
      <c r="H3098" s="73" t="s">
        <v>835</v>
      </c>
      <c r="I3098" s="73"/>
      <c r="J3098" s="377"/>
      <c r="K3098" s="371">
        <v>5</v>
      </c>
      <c r="L3098" s="377">
        <v>22700</v>
      </c>
      <c r="M3098" s="74">
        <f t="shared" ref="M3098:M3103" si="1122">ROUND(K3098*L3098,0)</f>
        <v>113500</v>
      </c>
      <c r="N3098" s="75" t="s">
        <v>101</v>
      </c>
      <c r="O3098" s="934" t="s">
        <v>256</v>
      </c>
      <c r="P3098" s="75" t="str">
        <f>IF(AND('331-CT'!$E$7=TH!H3098,OR(N3098="331",O3098="331")),"x","")</f>
        <v/>
      </c>
      <c r="Q3098" s="75" t="str">
        <f>IF(AND(B3098='111'!$L$11,OR($N3098=$Q$7,$O3098=$Q$7)),"x","")</f>
        <v/>
      </c>
      <c r="R3098" s="75" t="str">
        <f>IF(AND($N3098=$Q$7,$B3098&lt;'111'!$L$11),"x","")</f>
        <v/>
      </c>
      <c r="S3098" s="75" t="str">
        <f>IF(AND($O3098=$Q$7,$B3098&lt;'111'!$L$11),"x","")</f>
        <v/>
      </c>
      <c r="T3098" s="75" t="str">
        <f>IF(ISERROR(FIND('112'!$M$9,G3098,1)),"",IF((AND(FIND('112'!$M$9,G3098,1)&gt;=1,B3098='112'!$K$9,OR($N3098='112'!$I$6,$O3098='112'!$I$6))),"x",""))</f>
        <v/>
      </c>
      <c r="U3098" s="75" t="str">
        <f>IF(ISERROR(FIND('112'!$M$9,G3098,1)),"",IF((AND(LEFT(G3098,2)=LEFT('112'!$M$9,2),B3098&lt;'112'!$K$9,$N3098='112'!$I$6)),"x",""))</f>
        <v/>
      </c>
      <c r="V3098" s="75" t="str">
        <f>IF(ISERROR(FIND('112'!$M$9,G3098,1)),"",IF((AND(RIGHT(G3098,2)=RIGHT('112'!$M$9,2),B3098&lt;'112'!$K$9,$O3098='112'!$I$6)),"x",""))</f>
        <v/>
      </c>
      <c r="W3098" s="75" t="str">
        <f>IF(AND('341-CT'!$H$9=H3098,OR(LEFT(N3098,3)=$W$7,LEFT(O3098,3)=$W$7)),"x","")</f>
        <v/>
      </c>
      <c r="X3098" s="75" t="str">
        <f>IF(OR(TH!N3098=TH!$X$7,O3098=TH!$X$7),"x","")</f>
        <v/>
      </c>
      <c r="Y3098" s="75" t="str">
        <f>IF(AND(OR(N3098="131",O3098="131"),H3098='131-CT'!$H$9),"x","")</f>
        <v/>
      </c>
      <c r="Z3098" s="75"/>
      <c r="AA3098" s="75" t="str">
        <f>IF(AND(MONTH(E3098)='IN-NX'!$J$5,'IN-NX'!$D$7=D3098),"x","")</f>
        <v/>
      </c>
      <c r="AB3098" s="75" t="str">
        <f>IF(AND(OR(LEFT(TH!N3098,2)="15",LEFT(TH!O3098,2)="15"),LEFT(TH!O3098,3)&lt;&gt;"111",'152-CT'!$J$8=TH!F3098),"x","")</f>
        <v/>
      </c>
      <c r="AC3098" s="75" t="str">
        <f>IF(AND(OR(LEFT(TH!N3098,2)="15",LEFT(TH!O3098,2)="15"),TK!$E$7=TH!F3098),"x","")</f>
        <v/>
      </c>
      <c r="AD3098" s="75" t="str">
        <f>IF(AND(N3098="1521",MONTH(C3098)='BK-NL'!$M$11),"x","")</f>
        <v/>
      </c>
      <c r="AE3098" s="1264">
        <v>9</v>
      </c>
    </row>
    <row r="3099" spans="1:31" s="1264" customFormat="1" ht="16.5" customHeight="1">
      <c r="A3099" s="309" t="str">
        <f>IF(B3099&lt;&gt;"",IF(AND(B3099='IN-TC'!$S$4,OR(TH!N3099="1111",TH!O3099="1111")),TH!D3099,""),"")</f>
        <v/>
      </c>
      <c r="B3099" s="1275">
        <f t="shared" si="1109"/>
        <v>9</v>
      </c>
      <c r="C3099" s="71">
        <v>42996</v>
      </c>
      <c r="D3099" s="71" t="s">
        <v>902</v>
      </c>
      <c r="E3099" s="71">
        <f t="shared" si="1110"/>
        <v>42996</v>
      </c>
      <c r="F3099" s="73" t="s">
        <v>1552</v>
      </c>
      <c r="G3099" s="72" t="s">
        <v>747</v>
      </c>
      <c r="H3099" s="73" t="s">
        <v>835</v>
      </c>
      <c r="I3099" s="73"/>
      <c r="J3099" s="377"/>
      <c r="K3099" s="371">
        <v>0.5</v>
      </c>
      <c r="L3099" s="377">
        <v>22700</v>
      </c>
      <c r="M3099" s="74">
        <f t="shared" si="1122"/>
        <v>11350</v>
      </c>
      <c r="N3099" s="75" t="s">
        <v>9</v>
      </c>
      <c r="O3099" s="934" t="s">
        <v>256</v>
      </c>
      <c r="P3099" s="75" t="str">
        <f>IF(AND('331-CT'!$E$7=TH!H3099,OR(N3099="331",O3099="331")),"x","")</f>
        <v/>
      </c>
      <c r="Q3099" s="75" t="str">
        <f>IF(AND(B3099='111'!$L$11,OR($N3099=$Q$7,$O3099=$Q$7)),"x","")</f>
        <v/>
      </c>
      <c r="R3099" s="75" t="str">
        <f>IF(AND($N3099=$Q$7,$B3099&lt;'111'!$L$11),"x","")</f>
        <v/>
      </c>
      <c r="S3099" s="75" t="str">
        <f>IF(AND($O3099=$Q$7,$B3099&lt;'111'!$L$11),"x","")</f>
        <v/>
      </c>
      <c r="T3099" s="75" t="str">
        <f>IF(ISERROR(FIND('112'!$M$9,G3099,1)),"",IF((AND(FIND('112'!$M$9,G3099,1)&gt;=1,B3099='112'!$K$9,OR($N3099='112'!$I$6,$O3099='112'!$I$6))),"x",""))</f>
        <v/>
      </c>
      <c r="U3099" s="75" t="str">
        <f>IF(ISERROR(FIND('112'!$M$9,G3099,1)),"",IF((AND(LEFT(G3099,2)=LEFT('112'!$M$9,2),B3099&lt;'112'!$K$9,$N3099='112'!$I$6)),"x",""))</f>
        <v/>
      </c>
      <c r="V3099" s="75" t="str">
        <f>IF(ISERROR(FIND('112'!$M$9,G3099,1)),"",IF((AND(RIGHT(G3099,2)=RIGHT('112'!$M$9,2),B3099&lt;'112'!$K$9,$O3099='112'!$I$6)),"x",""))</f>
        <v/>
      </c>
      <c r="W3099" s="75" t="str">
        <f>IF(AND('341-CT'!$H$9=H3099,OR(LEFT(N3099,3)=$W$7,LEFT(O3099,3)=$W$7)),"x","")</f>
        <v/>
      </c>
      <c r="X3099" s="75" t="str">
        <f>IF(OR(TH!N3099=TH!$X$7,O3099=TH!$X$7),"x","")</f>
        <v/>
      </c>
      <c r="Y3099" s="75" t="str">
        <f>IF(AND(OR(N3099="131",O3099="131"),H3099='131-CT'!$H$9),"x","")</f>
        <v/>
      </c>
      <c r="Z3099" s="75"/>
      <c r="AA3099" s="75" t="str">
        <f>IF(AND(MONTH(E3099)='IN-NX'!$J$5,'IN-NX'!$D$7=D3099),"x","")</f>
        <v/>
      </c>
      <c r="AB3099" s="75" t="str">
        <f>IF(AND(OR(LEFT(TH!N3099,2)="15",LEFT(TH!O3099,2)="15"),LEFT(TH!O3099,3)&lt;&gt;"111",'152-CT'!$J$8=TH!F3099),"x","")</f>
        <v/>
      </c>
      <c r="AC3099" s="75" t="str">
        <f>IF(AND(OR(LEFT(TH!N3099,2)="15",LEFT(TH!O3099,2)="15"),TK!$E$7=TH!F3099),"x","")</f>
        <v/>
      </c>
      <c r="AD3099" s="75" t="str">
        <f>IF(AND(N3099="1521",MONTH(C3099)='BK-NL'!$M$11),"x","")</f>
        <v/>
      </c>
      <c r="AE3099" s="1264">
        <v>9</v>
      </c>
    </row>
    <row r="3100" spans="1:31" s="1264" customFormat="1" ht="16.5" customHeight="1">
      <c r="A3100" s="309" t="str">
        <f>IF(B3100&lt;&gt;"",IF(AND(B3100='IN-TC'!$S$4,OR(TH!N3100="1111",TH!O3100="1111")),TH!D3100,""),"")</f>
        <v/>
      </c>
      <c r="B3100" s="1275">
        <f t="shared" si="1109"/>
        <v>9</v>
      </c>
      <c r="C3100" s="71">
        <v>42996</v>
      </c>
      <c r="D3100" s="71" t="s">
        <v>902</v>
      </c>
      <c r="E3100" s="71">
        <f t="shared" si="1110"/>
        <v>42996</v>
      </c>
      <c r="F3100" s="73" t="s">
        <v>1549</v>
      </c>
      <c r="G3100" s="72" t="s">
        <v>747</v>
      </c>
      <c r="H3100" s="73" t="s">
        <v>835</v>
      </c>
      <c r="I3100" s="73"/>
      <c r="J3100" s="377"/>
      <c r="K3100" s="371">
        <v>131.32</v>
      </c>
      <c r="L3100" s="377">
        <v>22700</v>
      </c>
      <c r="M3100" s="74">
        <f t="shared" si="1122"/>
        <v>2980964</v>
      </c>
      <c r="N3100" s="75" t="s">
        <v>101</v>
      </c>
      <c r="O3100" s="934" t="s">
        <v>256</v>
      </c>
      <c r="P3100" s="75" t="str">
        <f>IF(AND('331-CT'!$E$7=TH!H3100,OR(N3100="331",O3100="331")),"x","")</f>
        <v/>
      </c>
      <c r="Q3100" s="75" t="str">
        <f>IF(AND(B3100='111'!$L$11,OR($N3100=$Q$7,$O3100=$Q$7)),"x","")</f>
        <v/>
      </c>
      <c r="R3100" s="75" t="str">
        <f>IF(AND($N3100=$Q$7,$B3100&lt;'111'!$L$11),"x","")</f>
        <v/>
      </c>
      <c r="S3100" s="75" t="str">
        <f>IF(AND($O3100=$Q$7,$B3100&lt;'111'!$L$11),"x","")</f>
        <v/>
      </c>
      <c r="T3100" s="75" t="str">
        <f>IF(ISERROR(FIND('112'!$M$9,G3100,1)),"",IF((AND(FIND('112'!$M$9,G3100,1)&gt;=1,B3100='112'!$K$9,OR($N3100='112'!$I$6,$O3100='112'!$I$6))),"x",""))</f>
        <v/>
      </c>
      <c r="U3100" s="75" t="str">
        <f>IF(ISERROR(FIND('112'!$M$9,G3100,1)),"",IF((AND(LEFT(G3100,2)=LEFT('112'!$M$9,2),B3100&lt;'112'!$K$9,$N3100='112'!$I$6)),"x",""))</f>
        <v/>
      </c>
      <c r="V3100" s="75" t="str">
        <f>IF(ISERROR(FIND('112'!$M$9,G3100,1)),"",IF((AND(RIGHT(G3100,2)=RIGHT('112'!$M$9,2),B3100&lt;'112'!$K$9,$O3100='112'!$I$6)),"x",""))</f>
        <v/>
      </c>
      <c r="W3100" s="75" t="str">
        <f>IF(AND('341-CT'!$H$9=H3100,OR(LEFT(N3100,3)=$W$7,LEFT(O3100,3)=$W$7)),"x","")</f>
        <v/>
      </c>
      <c r="X3100" s="75" t="str">
        <f>IF(OR(TH!N3100=TH!$X$7,O3100=TH!$X$7),"x","")</f>
        <v/>
      </c>
      <c r="Y3100" s="75" t="str">
        <f>IF(AND(OR(N3100="131",O3100="131"),H3100='131-CT'!$H$9),"x","")</f>
        <v/>
      </c>
      <c r="Z3100" s="75"/>
      <c r="AA3100" s="75" t="str">
        <f>IF(AND(MONTH(E3100)='IN-NX'!$J$5,'IN-NX'!$D$7=D3100),"x","")</f>
        <v/>
      </c>
      <c r="AB3100" s="75" t="str">
        <f>IF(AND(OR(LEFT(TH!N3100,2)="15",LEFT(TH!O3100,2)="15"),LEFT(TH!O3100,3)&lt;&gt;"111",'152-CT'!$J$8=TH!F3100),"x","")</f>
        <v/>
      </c>
      <c r="AC3100" s="75" t="str">
        <f>IF(AND(OR(LEFT(TH!N3100,2)="15",LEFT(TH!O3100,2)="15"),TK!$E$7=TH!F3100),"x","")</f>
        <v/>
      </c>
      <c r="AD3100" s="75" t="str">
        <f>IF(AND(N3100="1521",MONTH(C3100)='BK-NL'!$M$11),"x","")</f>
        <v/>
      </c>
      <c r="AE3100" s="1264">
        <v>9</v>
      </c>
    </row>
    <row r="3101" spans="1:31" s="1264" customFormat="1" ht="16.5" customHeight="1">
      <c r="A3101" s="309" t="str">
        <f>IF(B3101&lt;&gt;"",IF(AND(B3101='IN-TC'!$S$4,OR(TH!N3101="1111",TH!O3101="1111")),TH!D3101,""),"")</f>
        <v/>
      </c>
      <c r="B3101" s="1275">
        <f t="shared" si="1109"/>
        <v>9</v>
      </c>
      <c r="C3101" s="71">
        <v>42996</v>
      </c>
      <c r="D3101" s="71" t="s">
        <v>902</v>
      </c>
      <c r="E3101" s="71">
        <f t="shared" si="1110"/>
        <v>42996</v>
      </c>
      <c r="F3101" s="73" t="s">
        <v>1552</v>
      </c>
      <c r="G3101" s="72" t="s">
        <v>747</v>
      </c>
      <c r="H3101" s="73" t="s">
        <v>835</v>
      </c>
      <c r="I3101" s="73"/>
      <c r="J3101" s="377"/>
      <c r="K3101" s="371">
        <v>13.13</v>
      </c>
      <c r="L3101" s="377">
        <v>22700</v>
      </c>
      <c r="M3101" s="74">
        <f t="shared" si="1122"/>
        <v>298051</v>
      </c>
      <c r="N3101" s="75" t="s">
        <v>9</v>
      </c>
      <c r="O3101" s="934" t="s">
        <v>256</v>
      </c>
      <c r="P3101" s="75" t="str">
        <f>IF(AND('331-CT'!$E$7=TH!H3101,OR(N3101="331",O3101="331")),"x","")</f>
        <v/>
      </c>
      <c r="Q3101" s="75" t="str">
        <f>IF(AND(B3101='111'!$L$11,OR($N3101=$Q$7,$O3101=$Q$7)),"x","")</f>
        <v/>
      </c>
      <c r="R3101" s="75" t="str">
        <f>IF(AND($N3101=$Q$7,$B3101&lt;'111'!$L$11),"x","")</f>
        <v/>
      </c>
      <c r="S3101" s="75" t="str">
        <f>IF(AND($O3101=$Q$7,$B3101&lt;'111'!$L$11),"x","")</f>
        <v/>
      </c>
      <c r="T3101" s="75" t="str">
        <f>IF(ISERROR(FIND('112'!$M$9,G3101,1)),"",IF((AND(FIND('112'!$M$9,G3101,1)&gt;=1,B3101='112'!$K$9,OR($N3101='112'!$I$6,$O3101='112'!$I$6))),"x",""))</f>
        <v/>
      </c>
      <c r="U3101" s="75" t="str">
        <f>IF(ISERROR(FIND('112'!$M$9,G3101,1)),"",IF((AND(LEFT(G3101,2)=LEFT('112'!$M$9,2),B3101&lt;'112'!$K$9,$N3101='112'!$I$6)),"x",""))</f>
        <v/>
      </c>
      <c r="V3101" s="75" t="str">
        <f>IF(ISERROR(FIND('112'!$M$9,G3101,1)),"",IF((AND(RIGHT(G3101,2)=RIGHT('112'!$M$9,2),B3101&lt;'112'!$K$9,$O3101='112'!$I$6)),"x",""))</f>
        <v/>
      </c>
      <c r="W3101" s="75" t="str">
        <f>IF(AND('341-CT'!$H$9=H3101,OR(LEFT(N3101,3)=$W$7,LEFT(O3101,3)=$W$7)),"x","")</f>
        <v/>
      </c>
      <c r="X3101" s="75" t="str">
        <f>IF(OR(TH!N3101=TH!$X$7,O3101=TH!$X$7),"x","")</f>
        <v/>
      </c>
      <c r="Y3101" s="75" t="str">
        <f>IF(AND(OR(N3101="131",O3101="131"),H3101='131-CT'!$H$9),"x","")</f>
        <v/>
      </c>
      <c r="Z3101" s="75"/>
      <c r="AA3101" s="75" t="str">
        <f>IF(AND(MONTH(E3101)='IN-NX'!$J$5,'IN-NX'!$D$7=D3101),"x","")</f>
        <v/>
      </c>
      <c r="AB3101" s="75" t="str">
        <f>IF(AND(OR(LEFT(TH!N3101,2)="15",LEFT(TH!O3101,2)="15"),LEFT(TH!O3101,3)&lt;&gt;"111",'152-CT'!$J$8=TH!F3101),"x","")</f>
        <v/>
      </c>
      <c r="AC3101" s="75" t="str">
        <f>IF(AND(OR(LEFT(TH!N3101,2)="15",LEFT(TH!O3101,2)="15"),TK!$E$7=TH!F3101),"x","")</f>
        <v/>
      </c>
      <c r="AD3101" s="75" t="str">
        <f>IF(AND(N3101="1521",MONTH(C3101)='BK-NL'!$M$11),"x","")</f>
        <v/>
      </c>
      <c r="AE3101" s="1264">
        <v>9</v>
      </c>
    </row>
    <row r="3102" spans="1:31" s="1264" customFormat="1" ht="16.5" customHeight="1">
      <c r="A3102" s="309" t="str">
        <f>IF(B3102&lt;&gt;"",IF(AND(B3102='IN-TC'!$S$4,OR(TH!N3102="1111",TH!O3102="1111")),TH!D3102,""),"")</f>
        <v/>
      </c>
      <c r="B3102" s="1275">
        <f t="shared" si="1109"/>
        <v>9</v>
      </c>
      <c r="C3102" s="71">
        <v>42996</v>
      </c>
      <c r="D3102" s="71" t="s">
        <v>902</v>
      </c>
      <c r="E3102" s="71">
        <f t="shared" si="1110"/>
        <v>42996</v>
      </c>
      <c r="F3102" s="72" t="s">
        <v>1321</v>
      </c>
      <c r="G3102" s="72" t="s">
        <v>747</v>
      </c>
      <c r="H3102" s="73" t="s">
        <v>2467</v>
      </c>
      <c r="I3102" s="73"/>
      <c r="J3102" s="378"/>
      <c r="K3102" s="1213">
        <v>103900</v>
      </c>
      <c r="L3102" s="1214">
        <v>22700</v>
      </c>
      <c r="M3102" s="74">
        <f t="shared" si="1122"/>
        <v>2358530000</v>
      </c>
      <c r="N3102" s="75" t="s">
        <v>250</v>
      </c>
      <c r="O3102" s="934" t="s">
        <v>256</v>
      </c>
      <c r="P3102" s="75" t="str">
        <f>IF(AND('331-CT'!$E$7=TH!H3102,OR(N3102="331",O3102="331")),"x","")</f>
        <v/>
      </c>
      <c r="Q3102" s="75" t="str">
        <f>IF(AND(B3102='111'!$L$11,OR($N3102=$Q$7,$O3102=$Q$7)),"x","")</f>
        <v/>
      </c>
      <c r="R3102" s="75" t="str">
        <f>IF(AND($N3102=$Q$7,$B3102&lt;'111'!$L$11),"x","")</f>
        <v/>
      </c>
      <c r="S3102" s="75" t="str">
        <f>IF(AND($O3102=$Q$7,$B3102&lt;'111'!$L$11),"x","")</f>
        <v/>
      </c>
      <c r="T3102" s="75" t="str">
        <f>IF(ISERROR(FIND('112'!$M$9,G3102,1)),"",IF((AND(FIND('112'!$M$9,G3102,1)&gt;=1,B3102='112'!$K$9,OR($N3102='112'!$I$6,$O3102='112'!$I$6))),"x",""))</f>
        <v/>
      </c>
      <c r="U3102" s="75" t="str">
        <f>IF(ISERROR(FIND('112'!$M$9,G3102,1)),"",IF((AND(LEFT(G3102,2)=LEFT('112'!$M$9,2),B3102&lt;'112'!$K$9,$N3102='112'!$I$6)),"x",""))</f>
        <v/>
      </c>
      <c r="V3102" s="75" t="str">
        <f>IF(ISERROR(FIND('112'!$M$9,G3102,1)),"",IF((AND(RIGHT(G3102,2)=RIGHT('112'!$M$9,2),B3102&lt;'112'!$K$9,$O3102='112'!$I$6)),"x",""))</f>
        <v/>
      </c>
      <c r="W3102" s="75" t="str">
        <f>IF(AND('341-CT'!$H$9=H3102,OR(LEFT(N3102,3)=$W$7,LEFT(O3102,3)=$W$7)),"x","")</f>
        <v/>
      </c>
      <c r="X3102" s="75" t="str">
        <f>IF(OR(TH!N3102=TH!$X$7,O3102=TH!$X$7),"x","")</f>
        <v/>
      </c>
      <c r="Y3102" s="75" t="str">
        <f>IF(AND(OR(N3102="131",O3102="131"),H3102='131-CT'!$H$9),"x","")</f>
        <v/>
      </c>
      <c r="Z3102" s="75"/>
      <c r="AA3102" s="75" t="str">
        <f>IF(AND(MONTH(E3102)='IN-NX'!$J$5,'IN-NX'!$D$7=D3102),"x","")</f>
        <v/>
      </c>
      <c r="AB3102" s="75" t="str">
        <f>IF(AND(OR(LEFT(TH!N3102,2)="15",LEFT(TH!O3102,2)="15"),LEFT(TH!O3102,3)&lt;&gt;"111",'152-CT'!$J$8=TH!F3102),"x","")</f>
        <v/>
      </c>
      <c r="AC3102" s="75" t="str">
        <f>IF(AND(OR(LEFT(TH!N3102,2)="15",LEFT(TH!O3102,2)="15"),TK!$E$7=TH!F3102),"x","")</f>
        <v/>
      </c>
      <c r="AD3102" s="75" t="str">
        <f>IF(AND(N3102="1521",MONTH(C3102)='BK-NL'!$M$11),"x","")</f>
        <v/>
      </c>
    </row>
    <row r="3103" spans="1:31" s="1264" customFormat="1" ht="16.5" customHeight="1">
      <c r="A3103" s="309" t="str">
        <f>IF(B3103&lt;&gt;"",IF(AND(B3103='IN-TC'!$S$4,OR(TH!N3103="1111",TH!O3103="1111")),TH!D3103,""),"")</f>
        <v/>
      </c>
      <c r="B3103" s="1275">
        <f t="shared" si="1109"/>
        <v>9</v>
      </c>
      <c r="C3103" s="71">
        <v>42996</v>
      </c>
      <c r="D3103" s="71" t="s">
        <v>902</v>
      </c>
      <c r="E3103" s="71">
        <f t="shared" si="1110"/>
        <v>42996</v>
      </c>
      <c r="F3103" s="72" t="s">
        <v>1096</v>
      </c>
      <c r="G3103" s="72" t="s">
        <v>747</v>
      </c>
      <c r="H3103" s="73" t="s">
        <v>2467</v>
      </c>
      <c r="I3103" s="73"/>
      <c r="J3103" s="378"/>
      <c r="K3103" s="1213">
        <v>101.01</v>
      </c>
      <c r="L3103" s="1214">
        <v>22700</v>
      </c>
      <c r="M3103" s="74">
        <f t="shared" si="1122"/>
        <v>2292927</v>
      </c>
      <c r="N3103" s="75" t="s">
        <v>99</v>
      </c>
      <c r="O3103" s="934" t="s">
        <v>256</v>
      </c>
      <c r="P3103" s="75" t="str">
        <f>IF(AND('331-CT'!$E$7=TH!H3103,OR(N3103="331",O3103="331")),"x","")</f>
        <v/>
      </c>
      <c r="Q3103" s="75" t="str">
        <f>IF(AND(B3103='111'!$L$11,OR($N3103=$Q$7,$O3103=$Q$7)),"x","")</f>
        <v/>
      </c>
      <c r="R3103" s="75" t="str">
        <f>IF(AND($N3103=$Q$7,$B3103&lt;'111'!$L$11),"x","")</f>
        <v/>
      </c>
      <c r="S3103" s="75" t="str">
        <f>IF(AND($O3103=$Q$7,$B3103&lt;'111'!$L$11),"x","")</f>
        <v/>
      </c>
      <c r="T3103" s="75" t="str">
        <f>IF(ISERROR(FIND('112'!$M$9,G3103,1)),"",IF((AND(FIND('112'!$M$9,G3103,1)&gt;=1,B3103='112'!$K$9,OR($N3103='112'!$I$6,$O3103='112'!$I$6))),"x",""))</f>
        <v/>
      </c>
      <c r="U3103" s="75" t="str">
        <f>IF(ISERROR(FIND('112'!$M$9,G3103,1)),"",IF((AND(LEFT(G3103,2)=LEFT('112'!$M$9,2),B3103&lt;'112'!$K$9,$N3103='112'!$I$6)),"x",""))</f>
        <v/>
      </c>
      <c r="V3103" s="75" t="str">
        <f>IF(ISERROR(FIND('112'!$M$9,G3103,1)),"",IF((AND(RIGHT(G3103,2)=RIGHT('112'!$M$9,2),B3103&lt;'112'!$K$9,$O3103='112'!$I$6)),"x",""))</f>
        <v/>
      </c>
      <c r="W3103" s="75" t="str">
        <f>IF(AND('341-CT'!$H$9=H3103,OR(LEFT(N3103,3)=$W$7,LEFT(O3103,3)=$W$7)),"x","")</f>
        <v/>
      </c>
      <c r="X3103" s="75" t="str">
        <f>IF(OR(TH!N3103=TH!$X$7,O3103=TH!$X$7),"x","")</f>
        <v/>
      </c>
      <c r="Y3103" s="75" t="str">
        <f>IF(AND(OR(N3103="131",O3103="131"),H3103='131-CT'!$H$9),"x","")</f>
        <v/>
      </c>
      <c r="Z3103" s="75"/>
      <c r="AA3103" s="75" t="str">
        <f>IF(AND(MONTH(E3103)='IN-NX'!$J$5,'IN-NX'!$D$7=D3103),"x","")</f>
        <v/>
      </c>
      <c r="AB3103" s="75" t="str">
        <f>IF(AND(OR(LEFT(TH!N3103,2)="15",LEFT(TH!O3103,2)="15"),LEFT(TH!O3103,3)&lt;&gt;"111",'152-CT'!$J$8=TH!F3103),"x","")</f>
        <v/>
      </c>
      <c r="AC3103" s="75" t="str">
        <f>IF(AND(OR(LEFT(TH!N3103,2)="15",LEFT(TH!O3103,2)="15"),TK!$E$7=TH!F3103),"x","")</f>
        <v/>
      </c>
      <c r="AD3103" s="75" t="str">
        <f>IF(AND(N3103="1521",MONTH(C3103)='BK-NL'!$M$11),"x","")</f>
        <v/>
      </c>
    </row>
    <row r="3104" spans="1:31" s="1264" customFormat="1" ht="16.5" customHeight="1">
      <c r="A3104" s="309" t="str">
        <f>IF(B3104&lt;&gt;"",IF(AND(B3104='IN-TC'!$S$4,OR(TH!N3104="1111",TH!O3104="1111")),TH!D3104,""),"")</f>
        <v/>
      </c>
      <c r="B3104" s="1275">
        <f t="shared" ref="B3104" si="1123">IF(C3104&lt;&gt;"",MONTH(C3104),"")</f>
        <v>9</v>
      </c>
      <c r="C3104" s="71">
        <v>42996</v>
      </c>
      <c r="D3104" s="71" t="s">
        <v>530</v>
      </c>
      <c r="E3104" s="71">
        <f t="shared" ref="E3104" si="1124">C3104</f>
        <v>42996</v>
      </c>
      <c r="F3104" s="72" t="s">
        <v>1010</v>
      </c>
      <c r="G3104" s="72" t="s">
        <v>747</v>
      </c>
      <c r="H3104" s="73" t="s">
        <v>2467</v>
      </c>
      <c r="I3104" s="73"/>
      <c r="J3104" s="378"/>
      <c r="K3104" s="1213"/>
      <c r="L3104" s="1214"/>
      <c r="M3104" s="933">
        <v>338228</v>
      </c>
      <c r="N3104" s="75" t="s">
        <v>250</v>
      </c>
      <c r="O3104" s="934" t="s">
        <v>43</v>
      </c>
      <c r="P3104" s="75" t="str">
        <f>IF(AND('331-CT'!$E$7=TH!H3104,OR(N3104="331",O3104="331")),"x","")</f>
        <v/>
      </c>
      <c r="Q3104" s="75" t="str">
        <f>IF(AND(B3104='111'!$L$11,OR($N3104=$Q$7,$O3104=$Q$7)),"x","")</f>
        <v/>
      </c>
      <c r="R3104" s="75" t="str">
        <f>IF(AND($N3104=$Q$7,$B3104&lt;'111'!$L$11),"x","")</f>
        <v/>
      </c>
      <c r="S3104" s="75" t="str">
        <f>IF(AND($O3104=$Q$7,$B3104&lt;'111'!$L$11),"x","")</f>
        <v/>
      </c>
      <c r="T3104" s="75" t="str">
        <f>IF(ISERROR(FIND('112'!$M$9,G3104,1)),"",IF((AND(FIND('112'!$M$9,G3104,1)&gt;=1,B3104='112'!$K$9,OR($N3104='112'!$I$6,$O3104='112'!$I$6))),"x",""))</f>
        <v/>
      </c>
      <c r="U3104" s="75" t="str">
        <f>IF(ISERROR(FIND('112'!$M$9,G3104,1)),"",IF((AND(LEFT(G3104,2)=LEFT('112'!$M$9,2),B3104&lt;'112'!$K$9,$N3104='112'!$I$6)),"x",""))</f>
        <v/>
      </c>
      <c r="V3104" s="75" t="str">
        <f>IF(ISERROR(FIND('112'!$M$9,G3104,1)),"",IF((AND(RIGHT(G3104,2)=RIGHT('112'!$M$9,2),B3104&lt;'112'!$K$9,$O3104='112'!$I$6)),"x",""))</f>
        <v/>
      </c>
      <c r="W3104" s="75" t="str">
        <f>IF(AND('341-CT'!$H$9=H3104,OR(LEFT(N3104,3)=$W$7,LEFT(O3104,3)=$W$7)),"x","")</f>
        <v/>
      </c>
      <c r="X3104" s="75" t="str">
        <f>IF(OR(TH!N3104=TH!$X$7,O3104=TH!$X$7),"x","")</f>
        <v/>
      </c>
      <c r="Y3104" s="75" t="str">
        <f>IF(AND(OR(N3104="131",O3104="131"),H3104='131-CT'!$H$9),"x","")</f>
        <v/>
      </c>
      <c r="Z3104" s="75"/>
      <c r="AA3104" s="75" t="str">
        <f>IF(AND(MONTH(E3104)='IN-NX'!$J$5,'IN-NX'!$D$7=D3104),"x","")</f>
        <v/>
      </c>
      <c r="AB3104" s="75" t="str">
        <f>IF(AND(OR(LEFT(TH!N3104,2)="15",LEFT(TH!O3104,2)="15"),LEFT(TH!O3104,3)&lt;&gt;"111",'152-CT'!$J$8=TH!F3104),"x","")</f>
        <v/>
      </c>
      <c r="AC3104" s="75" t="str">
        <f>IF(AND(OR(LEFT(TH!N3104,2)="15",LEFT(TH!O3104,2)="15"),TK!$E$7=TH!F3104),"x","")</f>
        <v/>
      </c>
      <c r="AD3104" s="75" t="str">
        <f>IF(AND(N3104="1521",MONTH(C3104)='BK-NL'!$M$11),"x","")</f>
        <v/>
      </c>
    </row>
    <row r="3105" spans="1:30" s="1264" customFormat="1" ht="16.5" customHeight="1">
      <c r="A3105" s="309" t="str">
        <f>IF(B3105&lt;&gt;"",IF(AND(B3105='IN-TC'!$S$4,OR(TH!N3105="1111",TH!O3105="1111")),TH!D3105,""),"")</f>
        <v/>
      </c>
      <c r="B3105" s="1275">
        <f t="shared" si="1109"/>
        <v>9</v>
      </c>
      <c r="C3105" s="71">
        <v>42997</v>
      </c>
      <c r="D3105" s="71" t="s">
        <v>902</v>
      </c>
      <c r="E3105" s="71">
        <f t="shared" si="1110"/>
        <v>42997</v>
      </c>
      <c r="F3105" s="72" t="s">
        <v>1096</v>
      </c>
      <c r="G3105" s="72" t="s">
        <v>747</v>
      </c>
      <c r="H3105" s="73" t="s">
        <v>835</v>
      </c>
      <c r="I3105" s="73"/>
      <c r="J3105" s="378"/>
      <c r="K3105" s="1213">
        <v>298.67</v>
      </c>
      <c r="L3105" s="1214">
        <v>22700</v>
      </c>
      <c r="M3105" s="74">
        <f t="shared" ref="M3105" si="1125">ROUND(K3105*L3105,0)</f>
        <v>6779809</v>
      </c>
      <c r="N3105" s="75" t="s">
        <v>99</v>
      </c>
      <c r="O3105" s="934" t="s">
        <v>256</v>
      </c>
      <c r="P3105" s="75" t="str">
        <f>IF(AND('331-CT'!$E$7=TH!H3105,OR(N3105="331",O3105="331")),"x","")</f>
        <v/>
      </c>
      <c r="Q3105" s="75" t="str">
        <f>IF(AND(B3105='111'!$L$11,OR($N3105=$Q$7,$O3105=$Q$7)),"x","")</f>
        <v/>
      </c>
      <c r="R3105" s="75" t="str">
        <f>IF(AND($N3105=$Q$7,$B3105&lt;'111'!$L$11),"x","")</f>
        <v/>
      </c>
      <c r="S3105" s="75" t="str">
        <f>IF(AND($O3105=$Q$7,$B3105&lt;'111'!$L$11),"x","")</f>
        <v/>
      </c>
      <c r="T3105" s="75" t="str">
        <f>IF(ISERROR(FIND('112'!$M$9,G3105,1)),"",IF((AND(FIND('112'!$M$9,G3105,1)&gt;=1,B3105='112'!$K$9,OR($N3105='112'!$I$6,$O3105='112'!$I$6))),"x",""))</f>
        <v/>
      </c>
      <c r="U3105" s="75" t="str">
        <f>IF(ISERROR(FIND('112'!$M$9,G3105,1)),"",IF((AND(LEFT(G3105,2)=LEFT('112'!$M$9,2),B3105&lt;'112'!$K$9,$N3105='112'!$I$6)),"x",""))</f>
        <v/>
      </c>
      <c r="V3105" s="75" t="str">
        <f>IF(ISERROR(FIND('112'!$M$9,G3105,1)),"",IF((AND(RIGHT(G3105,2)=RIGHT('112'!$M$9,2),B3105&lt;'112'!$K$9,$O3105='112'!$I$6)),"x",""))</f>
        <v/>
      </c>
      <c r="W3105" s="75" t="str">
        <f>IF(AND('341-CT'!$H$9=H3105,OR(LEFT(N3105,3)=$W$7,LEFT(O3105,3)=$W$7)),"x","")</f>
        <v/>
      </c>
      <c r="X3105" s="75" t="str">
        <f>IF(OR(TH!N3105=TH!$X$7,O3105=TH!$X$7),"x","")</f>
        <v/>
      </c>
      <c r="Y3105" s="75" t="str">
        <f>IF(AND(OR(N3105="131",O3105="131"),H3105='131-CT'!$H$9),"x","")</f>
        <v/>
      </c>
      <c r="Z3105" s="75"/>
      <c r="AA3105" s="75" t="str">
        <f>IF(AND(MONTH(E3105)='IN-NX'!$J$5,'IN-NX'!$D$7=D3105),"x","")</f>
        <v/>
      </c>
      <c r="AB3105" s="75" t="str">
        <f>IF(AND(OR(LEFT(TH!N3105,2)="15",LEFT(TH!O3105,2)="15"),LEFT(TH!O3105,3)&lt;&gt;"111",'152-CT'!$J$8=TH!F3105),"x","")</f>
        <v/>
      </c>
      <c r="AC3105" s="75" t="str">
        <f>IF(AND(OR(LEFT(TH!N3105,2)="15",LEFT(TH!O3105,2)="15"),TK!$E$7=TH!F3105),"x","")</f>
        <v/>
      </c>
      <c r="AD3105" s="75" t="str">
        <f>IF(AND(N3105="1521",MONTH(C3105)='BK-NL'!$M$11),"x","")</f>
        <v/>
      </c>
    </row>
    <row r="3106" spans="1:30" s="1264" customFormat="1" ht="16.5" customHeight="1">
      <c r="A3106" s="309" t="str">
        <f>IF(B3106&lt;&gt;"",IF(AND(B3106='IN-TC'!$S$4,OR(TH!N3106="1111",TH!O3106="1111")),TH!D3106,""),"")</f>
        <v/>
      </c>
      <c r="B3106" s="1275">
        <f t="shared" si="1109"/>
        <v>9</v>
      </c>
      <c r="C3106" s="71">
        <v>42997</v>
      </c>
      <c r="D3106" s="71" t="s">
        <v>902</v>
      </c>
      <c r="E3106" s="71">
        <f t="shared" si="1110"/>
        <v>42997</v>
      </c>
      <c r="F3106" s="72" t="s">
        <v>1321</v>
      </c>
      <c r="G3106" s="72" t="s">
        <v>747</v>
      </c>
      <c r="H3106" s="73" t="s">
        <v>1558</v>
      </c>
      <c r="I3106" s="73"/>
      <c r="J3106" s="378"/>
      <c r="K3106" s="371">
        <v>96000</v>
      </c>
      <c r="L3106" s="1214">
        <v>22700</v>
      </c>
      <c r="M3106" s="74">
        <f t="shared" ref="M3106" si="1126">ROUND(K3106*L3106,0)</f>
        <v>2179200000</v>
      </c>
      <c r="N3106" s="75" t="s">
        <v>250</v>
      </c>
      <c r="O3106" s="934" t="s">
        <v>256</v>
      </c>
      <c r="P3106" s="75" t="str">
        <f>IF(AND('331-CT'!$E$7=TH!H3106,OR(N3106="331",O3106="331")),"x","")</f>
        <v/>
      </c>
      <c r="Q3106" s="75" t="str">
        <f>IF(AND(B3106='111'!$L$11,OR($N3106=$Q$7,$O3106=$Q$7)),"x","")</f>
        <v/>
      </c>
      <c r="R3106" s="75" t="str">
        <f>IF(AND($N3106=$Q$7,$B3106&lt;'111'!$L$11),"x","")</f>
        <v/>
      </c>
      <c r="S3106" s="75" t="str">
        <f>IF(AND($O3106=$Q$7,$B3106&lt;'111'!$L$11),"x","")</f>
        <v/>
      </c>
      <c r="T3106" s="75" t="str">
        <f>IF(ISERROR(FIND('112'!$M$9,G3106,1)),"",IF((AND(FIND('112'!$M$9,G3106,1)&gt;=1,B3106='112'!$K$9,OR($N3106='112'!$I$6,$O3106='112'!$I$6))),"x",""))</f>
        <v/>
      </c>
      <c r="U3106" s="75" t="str">
        <f>IF(ISERROR(FIND('112'!$M$9,G3106,1)),"",IF((AND(LEFT(G3106,2)=LEFT('112'!$M$9,2),B3106&lt;'112'!$K$9,$N3106='112'!$I$6)),"x",""))</f>
        <v/>
      </c>
      <c r="V3106" s="75" t="str">
        <f>IF(ISERROR(FIND('112'!$M$9,G3106,1)),"",IF((AND(RIGHT(G3106,2)=RIGHT('112'!$M$9,2),B3106&lt;'112'!$K$9,$O3106='112'!$I$6)),"x",""))</f>
        <v/>
      </c>
      <c r="W3106" s="75" t="str">
        <f>IF(AND('341-CT'!$H$9=H3106,OR(LEFT(N3106,3)=$W$7,LEFT(O3106,3)=$W$7)),"x","")</f>
        <v/>
      </c>
      <c r="X3106" s="75" t="str">
        <f>IF(OR(TH!N3106=TH!$X$7,O3106=TH!$X$7),"x","")</f>
        <v/>
      </c>
      <c r="Y3106" s="75" t="str">
        <f>IF(AND(OR(N3106="131",O3106="131"),H3106='131-CT'!$H$9),"x","")</f>
        <v/>
      </c>
      <c r="Z3106" s="75"/>
      <c r="AA3106" s="75" t="str">
        <f>IF(AND(MONTH(E3106)='IN-NX'!$J$5,'IN-NX'!$D$7=D3106),"x","")</f>
        <v/>
      </c>
      <c r="AB3106" s="75" t="str">
        <f>IF(AND(OR(LEFT(TH!N3106,2)="15",LEFT(TH!O3106,2)="15"),LEFT(TH!O3106,3)&lt;&gt;"111",'152-CT'!$J$8=TH!F3106),"x","")</f>
        <v/>
      </c>
      <c r="AC3106" s="75" t="str">
        <f>IF(AND(OR(LEFT(TH!N3106,2)="15",LEFT(TH!O3106,2)="15"),TK!$E$7=TH!F3106),"x","")</f>
        <v/>
      </c>
      <c r="AD3106" s="75" t="str">
        <f>IF(AND(N3106="1521",MONTH(C3106)='BK-NL'!$M$11),"x","")</f>
        <v/>
      </c>
    </row>
    <row r="3107" spans="1:30" s="1264" customFormat="1" ht="16.5" customHeight="1">
      <c r="A3107" s="309" t="str">
        <f>IF(B3107&lt;&gt;"",IF(AND(B3107='IN-TC'!$S$4,OR(TH!N3107="1111",TH!O3107="1111")),TH!D3107,""),"")</f>
        <v/>
      </c>
      <c r="B3107" s="1275">
        <f t="shared" si="1109"/>
        <v>9</v>
      </c>
      <c r="C3107" s="71">
        <v>42997</v>
      </c>
      <c r="D3107" s="71" t="s">
        <v>530</v>
      </c>
      <c r="E3107" s="71">
        <f t="shared" si="1110"/>
        <v>42997</v>
      </c>
      <c r="F3107" s="72" t="s">
        <v>1010</v>
      </c>
      <c r="G3107" s="72" t="s">
        <v>747</v>
      </c>
      <c r="H3107" s="73" t="s">
        <v>1558</v>
      </c>
      <c r="I3107" s="73"/>
      <c r="J3107" s="378"/>
      <c r="K3107" s="371"/>
      <c r="L3107" s="377"/>
      <c r="M3107" s="74">
        <v>2976000</v>
      </c>
      <c r="N3107" s="75" t="s">
        <v>250</v>
      </c>
      <c r="O3107" s="934" t="s">
        <v>43</v>
      </c>
      <c r="P3107" s="75" t="str">
        <f>IF(AND('331-CT'!$E$7=TH!H3107,OR(N3107="331",O3107="331")),"x","")</f>
        <v/>
      </c>
      <c r="Q3107" s="75" t="str">
        <f>IF(AND(B3107='111'!$L$11,OR($N3107=$Q$7,$O3107=$Q$7)),"x","")</f>
        <v/>
      </c>
      <c r="R3107" s="75" t="str">
        <f>IF(AND($N3107=$Q$7,$B3107&lt;'111'!$L$11),"x","")</f>
        <v/>
      </c>
      <c r="S3107" s="75" t="str">
        <f>IF(AND($O3107=$Q$7,$B3107&lt;'111'!$L$11),"x","")</f>
        <v/>
      </c>
      <c r="T3107" s="75" t="str">
        <f>IF(ISERROR(FIND('112'!$M$9,G3107,1)),"",IF((AND(FIND('112'!$M$9,G3107,1)&gt;=1,B3107='112'!$K$9,OR($N3107='112'!$I$6,$O3107='112'!$I$6))),"x",""))</f>
        <v/>
      </c>
      <c r="U3107" s="75" t="str">
        <f>IF(ISERROR(FIND('112'!$M$9,G3107,1)),"",IF((AND(LEFT(G3107,2)=LEFT('112'!$M$9,2),B3107&lt;'112'!$K$9,$N3107='112'!$I$6)),"x",""))</f>
        <v/>
      </c>
      <c r="V3107" s="75" t="str">
        <f>IF(ISERROR(FIND('112'!$M$9,G3107,1)),"",IF((AND(RIGHT(G3107,2)=RIGHT('112'!$M$9,2),B3107&lt;'112'!$K$9,$O3107='112'!$I$6)),"x",""))</f>
        <v/>
      </c>
      <c r="W3107" s="75" t="str">
        <f>IF(AND('341-CT'!$H$9=H3107,OR(LEFT(N3107,3)=$W$7,LEFT(O3107,3)=$W$7)),"x","")</f>
        <v/>
      </c>
      <c r="X3107" s="75" t="str">
        <f>IF(OR(TH!N3107=TH!$X$7,O3107=TH!$X$7),"x","")</f>
        <v/>
      </c>
      <c r="Y3107" s="75" t="str">
        <f>IF(AND(OR(N3107="131",O3107="131"),H3107='131-CT'!$H$9),"x","")</f>
        <v/>
      </c>
      <c r="Z3107" s="75"/>
      <c r="AA3107" s="75" t="str">
        <f>IF(AND(MONTH(E3107)='IN-NX'!$J$5,'IN-NX'!$D$7=D3107),"x","")</f>
        <v/>
      </c>
      <c r="AB3107" s="75" t="str">
        <f>IF(AND(OR(LEFT(TH!N3107,2)="15",LEFT(TH!O3107,2)="15"),LEFT(TH!O3107,3)&lt;&gt;"111",'152-CT'!$J$8=TH!F3107),"x","")</f>
        <v/>
      </c>
      <c r="AC3107" s="75" t="str">
        <f>IF(AND(OR(LEFT(TH!N3107,2)="15",LEFT(TH!O3107,2)="15"),TK!$E$7=TH!F3107),"x","")</f>
        <v/>
      </c>
      <c r="AD3107" s="75" t="str">
        <f>IF(AND(N3107="1521",MONTH(C3107)='BK-NL'!$M$11),"x","")</f>
        <v/>
      </c>
    </row>
    <row r="3108" spans="1:30" s="1264" customFormat="1" ht="16.5" customHeight="1">
      <c r="A3108" s="309" t="str">
        <f>IF(B3108&lt;&gt;"",IF(AND(B3108='IN-TC'!$S$4,OR(TH!N3108="1111",TH!O3108="1111")),TH!D3108,""),"")</f>
        <v/>
      </c>
      <c r="B3108" s="1275">
        <f t="shared" si="1109"/>
        <v>9</v>
      </c>
      <c r="C3108" s="71">
        <v>42999</v>
      </c>
      <c r="D3108" s="71" t="s">
        <v>903</v>
      </c>
      <c r="E3108" s="71">
        <f t="shared" si="1110"/>
        <v>42999</v>
      </c>
      <c r="F3108" s="72" t="s">
        <v>1086</v>
      </c>
      <c r="G3108" s="72" t="s">
        <v>747</v>
      </c>
      <c r="H3108" s="73" t="s">
        <v>1859</v>
      </c>
      <c r="I3108" s="73"/>
      <c r="J3108" s="378"/>
      <c r="K3108" s="1213">
        <v>174117.5</v>
      </c>
      <c r="L3108" s="1214">
        <v>22700</v>
      </c>
      <c r="M3108" s="1214">
        <f t="shared" ref="M3108" si="1127">ROUND(K3108*L3108,0)</f>
        <v>3952467250</v>
      </c>
      <c r="N3108" s="75" t="s">
        <v>256</v>
      </c>
      <c r="O3108" s="75" t="s">
        <v>536</v>
      </c>
      <c r="P3108" s="75" t="str">
        <f>IF(AND('331-CT'!$E$7=TH!H3108,OR(N3108="331",O3108="331")),"x","")</f>
        <v/>
      </c>
      <c r="Q3108" s="75" t="str">
        <f>IF(AND(B3108='111'!$L$11,OR($N3108=$Q$7,$O3108=$Q$7)),"x","")</f>
        <v/>
      </c>
      <c r="R3108" s="75" t="str">
        <f>IF(AND($N3108=$Q$7,$B3108&lt;'111'!$L$11),"x","")</f>
        <v/>
      </c>
      <c r="S3108" s="75" t="str">
        <f>IF(AND($O3108=$Q$7,$B3108&lt;'111'!$L$11),"x","")</f>
        <v/>
      </c>
      <c r="T3108" s="75" t="str">
        <f>IF(ISERROR(FIND('112'!$M$9,G3108,1)),"",IF((AND(FIND('112'!$M$9,G3108,1)&gt;=1,B3108='112'!$K$9,OR($N3108='112'!$I$6,$O3108='112'!$I$6))),"x",""))</f>
        <v/>
      </c>
      <c r="U3108" s="75" t="str">
        <f>IF(ISERROR(FIND('112'!$M$9,G3108,1)),"",IF((AND(LEFT(G3108,2)=LEFT('112'!$M$9,2),B3108&lt;'112'!$K$9,$N3108='112'!$I$6)),"x",""))</f>
        <v/>
      </c>
      <c r="V3108" s="75" t="str">
        <f>IF(ISERROR(FIND('112'!$M$9,G3108,1)),"",IF((AND(RIGHT(G3108,2)=RIGHT('112'!$M$9,2),B3108&lt;'112'!$K$9,$O3108='112'!$I$6)),"x",""))</f>
        <v/>
      </c>
      <c r="W3108" s="75" t="str">
        <f>IF(AND('341-CT'!$H$9=H3108,OR(LEFT(N3108,3)=$W$7,LEFT(O3108,3)=$W$7)),"x","")</f>
        <v/>
      </c>
      <c r="X3108" s="75" t="str">
        <f>IF(OR(TH!N3108=TH!$X$7,O3108=TH!$X$7),"x","")</f>
        <v/>
      </c>
      <c r="Y3108" s="75" t="str">
        <f>IF(AND(OR(N3108="131",O3108="131"),H3108='131-CT'!$H$9),"x","")</f>
        <v/>
      </c>
      <c r="Z3108" s="75"/>
      <c r="AA3108" s="75" t="str">
        <f>IF(AND(MONTH(E3108)='IN-NX'!$J$5,'IN-NX'!$D$7=D3108),"x","")</f>
        <v/>
      </c>
      <c r="AB3108" s="75" t="str">
        <f>IF(AND(OR(LEFT(TH!N3108,2)="15",LEFT(TH!O3108,2)="15"),LEFT(TH!O3108,3)&lt;&gt;"111",'152-CT'!$J$8=TH!F3108),"x","")</f>
        <v/>
      </c>
      <c r="AC3108" s="75" t="str">
        <f>IF(AND(OR(LEFT(TH!N3108,2)="15",LEFT(TH!O3108,2)="15"),TK!$E$7=TH!F3108),"x","")</f>
        <v/>
      </c>
      <c r="AD3108" s="75" t="str">
        <f>IF(AND(N3108="1521",MONTH(C3108)='BK-NL'!$M$11),"x","")</f>
        <v/>
      </c>
    </row>
    <row r="3109" spans="1:30" s="1264" customFormat="1" ht="16.5" customHeight="1">
      <c r="A3109" s="309" t="str">
        <f>IF(B3109&lt;&gt;"",IF(AND(B3109='IN-TC'!$S$4,OR(TH!N3109="1111",TH!O3109="1111")),TH!D3109,""),"")</f>
        <v/>
      </c>
      <c r="B3109" s="1275">
        <f t="shared" si="1109"/>
        <v>9</v>
      </c>
      <c r="C3109" s="71">
        <v>42999</v>
      </c>
      <c r="D3109" s="71" t="s">
        <v>530</v>
      </c>
      <c r="E3109" s="71">
        <f t="shared" si="1110"/>
        <v>42999</v>
      </c>
      <c r="F3109" s="72" t="s">
        <v>1027</v>
      </c>
      <c r="G3109" s="72" t="s">
        <v>747</v>
      </c>
      <c r="H3109" s="73" t="s">
        <v>1859</v>
      </c>
      <c r="I3109" s="73"/>
      <c r="J3109" s="378"/>
      <c r="K3109" s="1213">
        <v>56.5</v>
      </c>
      <c r="L3109" s="1214">
        <v>22700</v>
      </c>
      <c r="M3109" s="933">
        <f t="shared" si="1112"/>
        <v>1282550</v>
      </c>
      <c r="N3109" s="75" t="s">
        <v>101</v>
      </c>
      <c r="O3109" s="75" t="s">
        <v>536</v>
      </c>
      <c r="P3109" s="75" t="str">
        <f>IF(AND('331-CT'!$E$7=TH!H3109,OR(N3109="331",O3109="331")),"x","")</f>
        <v/>
      </c>
      <c r="Q3109" s="75" t="str">
        <f>IF(AND(B3109='111'!$L$11,OR($N3109=$Q$7,$O3109=$Q$7)),"x","")</f>
        <v/>
      </c>
      <c r="R3109" s="75" t="str">
        <f>IF(AND($N3109=$Q$7,$B3109&lt;'111'!$L$11),"x","")</f>
        <v/>
      </c>
      <c r="S3109" s="75" t="str">
        <f>IF(AND($O3109=$Q$7,$B3109&lt;'111'!$L$11),"x","")</f>
        <v/>
      </c>
      <c r="T3109" s="75" t="str">
        <f>IF(ISERROR(FIND('112'!$M$9,G3109,1)),"",IF((AND(FIND('112'!$M$9,G3109,1)&gt;=1,B3109='112'!$K$9,OR($N3109='112'!$I$6,$O3109='112'!$I$6))),"x",""))</f>
        <v/>
      </c>
      <c r="U3109" s="75" t="str">
        <f>IF(ISERROR(FIND('112'!$M$9,G3109,1)),"",IF((AND(LEFT(G3109,2)=LEFT('112'!$M$9,2),B3109&lt;'112'!$K$9,$N3109='112'!$I$6)),"x",""))</f>
        <v/>
      </c>
      <c r="V3109" s="75" t="str">
        <f>IF(ISERROR(FIND('112'!$M$9,G3109,1)),"",IF((AND(RIGHT(G3109,2)=RIGHT('112'!$M$9,2),B3109&lt;'112'!$K$9,$O3109='112'!$I$6)),"x",""))</f>
        <v/>
      </c>
      <c r="W3109" s="75" t="str">
        <f>IF(AND('341-CT'!$H$9=H3109,OR(LEFT(N3109,3)=$W$7,LEFT(O3109,3)=$W$7)),"x","")</f>
        <v/>
      </c>
      <c r="X3109" s="75" t="str">
        <f>IF(OR(TH!N3109=TH!$X$7,O3109=TH!$X$7),"x","")</f>
        <v/>
      </c>
      <c r="Y3109" s="75" t="str">
        <f>IF(AND(OR(N3109="131",O3109="131"),H3109='131-CT'!$H$9),"x","")</f>
        <v/>
      </c>
      <c r="Z3109" s="75"/>
      <c r="AA3109" s="75" t="str">
        <f>IF(AND(MONTH(E3109)='IN-NX'!$J$5,'IN-NX'!$D$7=D3109),"x","")</f>
        <v/>
      </c>
      <c r="AB3109" s="75" t="str">
        <f>IF(AND(OR(LEFT(TH!N3109,2)="15",LEFT(TH!O3109,2)="15"),LEFT(TH!O3109,3)&lt;&gt;"111",'152-CT'!$J$8=TH!F3109),"x","")</f>
        <v/>
      </c>
      <c r="AC3109" s="75" t="str">
        <f>IF(AND(OR(LEFT(TH!N3109,2)="15",LEFT(TH!O3109,2)="15"),TK!$E$7=TH!F3109),"x","")</f>
        <v/>
      </c>
      <c r="AD3109" s="75" t="str">
        <f>IF(AND(N3109="1521",MONTH(C3109)='BK-NL'!$M$11),"x","")</f>
        <v/>
      </c>
    </row>
    <row r="3110" spans="1:30" s="1264" customFormat="1" ht="16.5" customHeight="1">
      <c r="A3110" s="309" t="str">
        <f>IF(B3110&lt;&gt;"",IF(AND(B3110='IN-TC'!$S$4,OR(TH!N3110="1111",TH!O3110="1111")),TH!D3110,""),"")</f>
        <v/>
      </c>
      <c r="B3110" s="1275">
        <f t="shared" si="1109"/>
        <v>9</v>
      </c>
      <c r="C3110" s="71">
        <v>42999</v>
      </c>
      <c r="D3110" s="71" t="s">
        <v>530</v>
      </c>
      <c r="E3110" s="71">
        <f t="shared" si="1110"/>
        <v>42999</v>
      </c>
      <c r="F3110" s="72" t="s">
        <v>1010</v>
      </c>
      <c r="G3110" s="72" t="s">
        <v>747</v>
      </c>
      <c r="H3110" s="73" t="s">
        <v>1859</v>
      </c>
      <c r="I3110" s="73"/>
      <c r="J3110" s="378"/>
      <c r="K3110" s="1213"/>
      <c r="L3110" s="1214">
        <v>22700</v>
      </c>
      <c r="M3110" s="74">
        <v>1161160</v>
      </c>
      <c r="N3110" s="75" t="s">
        <v>536</v>
      </c>
      <c r="O3110" s="934" t="s">
        <v>43</v>
      </c>
      <c r="P3110" s="75" t="str">
        <f>IF(AND('331-CT'!$E$7=TH!H3110,OR(N3110="331",O3110="331")),"x","")</f>
        <v/>
      </c>
      <c r="Q3110" s="75" t="str">
        <f>IF(AND(B3110='111'!$L$11,OR($N3110=$Q$7,$O3110=$Q$7)),"x","")</f>
        <v/>
      </c>
      <c r="R3110" s="75" t="str">
        <f>IF(AND($N3110=$Q$7,$B3110&lt;'111'!$L$11),"x","")</f>
        <v/>
      </c>
      <c r="S3110" s="75" t="str">
        <f>IF(AND($O3110=$Q$7,$B3110&lt;'111'!$L$11),"x","")</f>
        <v/>
      </c>
      <c r="T3110" s="75" t="str">
        <f>IF(ISERROR(FIND('112'!$M$9,G3110,1)),"",IF((AND(FIND('112'!$M$9,G3110,1)&gt;=1,B3110='112'!$K$9,OR($N3110='112'!$I$6,$O3110='112'!$I$6))),"x",""))</f>
        <v/>
      </c>
      <c r="U3110" s="75" t="str">
        <f>IF(ISERROR(FIND('112'!$M$9,G3110,1)),"",IF((AND(LEFT(G3110,2)=LEFT('112'!$M$9,2),B3110&lt;'112'!$K$9,$N3110='112'!$I$6)),"x",""))</f>
        <v/>
      </c>
      <c r="V3110" s="75" t="str">
        <f>IF(ISERROR(FIND('112'!$M$9,G3110,1)),"",IF((AND(RIGHT(G3110,2)=RIGHT('112'!$M$9,2),B3110&lt;'112'!$K$9,$O3110='112'!$I$6)),"x",""))</f>
        <v/>
      </c>
      <c r="W3110" s="75" t="str">
        <f>IF(AND('341-CT'!$H$9=H3110,OR(LEFT(N3110,3)=$W$7,LEFT(O3110,3)=$W$7)),"x","")</f>
        <v/>
      </c>
      <c r="X3110" s="75" t="str">
        <f>IF(OR(TH!N3110=TH!$X$7,O3110=TH!$X$7),"x","")</f>
        <v/>
      </c>
      <c r="Y3110" s="75" t="str">
        <f>IF(AND(OR(N3110="131",O3110="131"),H3110='131-CT'!$H$9),"x","")</f>
        <v/>
      </c>
      <c r="Z3110" s="75"/>
      <c r="AA3110" s="75" t="str">
        <f>IF(AND(MONTH(E3110)='IN-NX'!$J$5,'IN-NX'!$D$7=D3110),"x","")</f>
        <v/>
      </c>
      <c r="AB3110" s="75" t="str">
        <f>IF(AND(OR(LEFT(TH!N3110,2)="15",LEFT(TH!O3110,2)="15"),LEFT(TH!O3110,3)&lt;&gt;"111",'152-CT'!$J$8=TH!F3110),"x","")</f>
        <v/>
      </c>
      <c r="AC3110" s="75" t="str">
        <f>IF(AND(OR(LEFT(TH!N3110,2)="15",LEFT(TH!O3110,2)="15"),TK!$E$7=TH!F3110),"x","")</f>
        <v/>
      </c>
      <c r="AD3110" s="75" t="str">
        <f>IF(AND(N3110="1521",MONTH(C3110)='BK-NL'!$M$11),"x","")</f>
        <v/>
      </c>
    </row>
    <row r="3111" spans="1:30" s="1264" customFormat="1" ht="16.5" customHeight="1">
      <c r="A3111" s="309" t="str">
        <f>IF(B3111&lt;&gt;"",IF(AND(B3111='IN-TC'!$S$4,OR(TH!N3111="1111",TH!O3111="1111")),TH!D3111,""),"")</f>
        <v/>
      </c>
      <c r="B3111" s="1275">
        <f t="shared" si="1109"/>
        <v>9</v>
      </c>
      <c r="C3111" s="71">
        <v>43000</v>
      </c>
      <c r="D3111" s="71" t="s">
        <v>902</v>
      </c>
      <c r="E3111" s="71">
        <f t="shared" si="1110"/>
        <v>43000</v>
      </c>
      <c r="F3111" s="72" t="s">
        <v>907</v>
      </c>
      <c r="G3111" s="72" t="s">
        <v>747</v>
      </c>
      <c r="H3111" s="73" t="s">
        <v>835</v>
      </c>
      <c r="I3111" s="73"/>
      <c r="J3111" s="378"/>
      <c r="K3111" s="371">
        <v>177500</v>
      </c>
      <c r="L3111" s="1214">
        <v>22722</v>
      </c>
      <c r="M3111" s="74">
        <f t="shared" ref="M3111:M3114" si="1128">ROUND(K3111*L3111,0)</f>
        <v>4033155000</v>
      </c>
      <c r="N3111" s="75" t="s">
        <v>26</v>
      </c>
      <c r="O3111" s="934" t="s">
        <v>256</v>
      </c>
      <c r="P3111" s="75" t="str">
        <f>IF(AND('331-CT'!$E$7=TH!H3111,OR(N3111="331",O3111="331")),"x","")</f>
        <v/>
      </c>
      <c r="Q3111" s="75" t="str">
        <f>IF(AND(B3111='111'!$L$11,OR($N3111=$Q$7,$O3111=$Q$7)),"x","")</f>
        <v/>
      </c>
      <c r="R3111" s="75" t="str">
        <f>IF(AND($N3111=$Q$7,$B3111&lt;'111'!$L$11),"x","")</f>
        <v/>
      </c>
      <c r="S3111" s="75" t="str">
        <f>IF(AND($O3111=$Q$7,$B3111&lt;'111'!$L$11),"x","")</f>
        <v/>
      </c>
      <c r="T3111" s="75" t="str">
        <f>IF(ISERROR(FIND('112'!$M$9,G3111,1)),"",IF((AND(FIND('112'!$M$9,G3111,1)&gt;=1,B3111='112'!$K$9,OR($N3111='112'!$I$6,$O3111='112'!$I$6))),"x",""))</f>
        <v/>
      </c>
      <c r="U3111" s="75" t="str">
        <f>IF(ISERROR(FIND('112'!$M$9,G3111,1)),"",IF((AND(LEFT(G3111,2)=LEFT('112'!$M$9,2),B3111&lt;'112'!$K$9,$N3111='112'!$I$6)),"x",""))</f>
        <v/>
      </c>
      <c r="V3111" s="75" t="str">
        <f>IF(ISERROR(FIND('112'!$M$9,G3111,1)),"",IF((AND(RIGHT(G3111,2)=RIGHT('112'!$M$9,2),B3111&lt;'112'!$K$9,$O3111='112'!$I$6)),"x",""))</f>
        <v/>
      </c>
      <c r="W3111" s="75" t="str">
        <f>IF(AND('341-CT'!$H$9=H3111,OR(LEFT(N3111,3)=$W$7,LEFT(O3111,3)=$W$7)),"x","")</f>
        <v/>
      </c>
      <c r="X3111" s="75" t="str">
        <f>IF(OR(TH!N3111=TH!$X$7,O3111=TH!$X$7),"x","")</f>
        <v/>
      </c>
      <c r="Y3111" s="75" t="str">
        <f>IF(AND(OR(N3111="131",O3111="131"),H3111='131-CT'!$H$9),"x","")</f>
        <v/>
      </c>
      <c r="Z3111" s="75"/>
      <c r="AA3111" s="75" t="str">
        <f>IF(AND(MONTH(E3111)='IN-NX'!$J$5,'IN-NX'!$D$7=D3111),"x","")</f>
        <v/>
      </c>
      <c r="AB3111" s="75" t="str">
        <f>IF(AND(OR(LEFT(TH!N3111,2)="15",LEFT(TH!O3111,2)="15"),LEFT(TH!O3111,3)&lt;&gt;"111",'152-CT'!$J$8=TH!F3111),"x","")</f>
        <v/>
      </c>
      <c r="AC3111" s="75" t="str">
        <f>IF(AND(OR(LEFT(TH!N3111,2)="15",LEFT(TH!O3111,2)="15"),TK!$E$7=TH!F3111),"x","")</f>
        <v/>
      </c>
      <c r="AD3111" s="75" t="str">
        <f>IF(AND(N3111="1521",MONTH(C3111)='BK-NL'!$M$11),"x","")</f>
        <v/>
      </c>
    </row>
    <row r="3112" spans="1:30" s="1264" customFormat="1" ht="16.5" customHeight="1">
      <c r="A3112" s="309" t="str">
        <f>IF(B3112&lt;&gt;"",IF(AND(B3112='IN-TC'!$S$4,OR(TH!N3112="1111",TH!O3112="1111")),TH!D3112,""),"")</f>
        <v/>
      </c>
      <c r="B3112" s="1275">
        <f t="shared" si="1109"/>
        <v>9</v>
      </c>
      <c r="C3112" s="71">
        <v>43000</v>
      </c>
      <c r="D3112" s="71" t="s">
        <v>902</v>
      </c>
      <c r="E3112" s="71">
        <f t="shared" si="1110"/>
        <v>43000</v>
      </c>
      <c r="F3112" s="72" t="s">
        <v>1096</v>
      </c>
      <c r="G3112" s="72" t="s">
        <v>747</v>
      </c>
      <c r="H3112" s="73" t="s">
        <v>1555</v>
      </c>
      <c r="I3112" s="73"/>
      <c r="J3112" s="378"/>
      <c r="K3112" s="371">
        <v>137.78</v>
      </c>
      <c r="L3112" s="1214">
        <v>22700</v>
      </c>
      <c r="M3112" s="74">
        <f t="shared" si="1128"/>
        <v>3127606</v>
      </c>
      <c r="N3112" s="75" t="s">
        <v>99</v>
      </c>
      <c r="O3112" s="934" t="s">
        <v>256</v>
      </c>
      <c r="P3112" s="75" t="str">
        <f>IF(AND('331-CT'!$E$7=TH!H3112,OR(N3112="331",O3112="331")),"x","")</f>
        <v/>
      </c>
      <c r="Q3112" s="75" t="str">
        <f>IF(AND(B3112='111'!$L$11,OR($N3112=$Q$7,$O3112=$Q$7)),"x","")</f>
        <v/>
      </c>
      <c r="R3112" s="75" t="str">
        <f>IF(AND($N3112=$Q$7,$B3112&lt;'111'!$L$11),"x","")</f>
        <v/>
      </c>
      <c r="S3112" s="75" t="str">
        <f>IF(AND($O3112=$Q$7,$B3112&lt;'111'!$L$11),"x","")</f>
        <v/>
      </c>
      <c r="T3112" s="75" t="str">
        <f>IF(ISERROR(FIND('112'!$M$9,G3112,1)),"",IF((AND(FIND('112'!$M$9,G3112,1)&gt;=1,B3112='112'!$K$9,OR($N3112='112'!$I$6,$O3112='112'!$I$6))),"x",""))</f>
        <v/>
      </c>
      <c r="U3112" s="75" t="str">
        <f>IF(ISERROR(FIND('112'!$M$9,G3112,1)),"",IF((AND(LEFT(G3112,2)=LEFT('112'!$M$9,2),B3112&lt;'112'!$K$9,$N3112='112'!$I$6)),"x",""))</f>
        <v/>
      </c>
      <c r="V3112" s="75" t="str">
        <f>IF(ISERROR(FIND('112'!$M$9,G3112,1)),"",IF((AND(RIGHT(G3112,2)=RIGHT('112'!$M$9,2),B3112&lt;'112'!$K$9,$O3112='112'!$I$6)),"x",""))</f>
        <v/>
      </c>
      <c r="W3112" s="75" t="str">
        <f>IF(AND('341-CT'!$H$9=H3112,OR(LEFT(N3112,3)=$W$7,LEFT(O3112,3)=$W$7)),"x","")</f>
        <v/>
      </c>
      <c r="X3112" s="75" t="str">
        <f>IF(OR(TH!N3112=TH!$X$7,O3112=TH!$X$7),"x","")</f>
        <v/>
      </c>
      <c r="Y3112" s="75" t="str">
        <f>IF(AND(OR(N3112="131",O3112="131"),H3112='131-CT'!$H$9),"x","")</f>
        <v/>
      </c>
      <c r="Z3112" s="75"/>
      <c r="AA3112" s="75" t="str">
        <f>IF(AND(MONTH(E3112)='IN-NX'!$J$5,'IN-NX'!$D$7=D3112),"x","")</f>
        <v/>
      </c>
      <c r="AB3112" s="75" t="str">
        <f>IF(AND(OR(LEFT(TH!N3112,2)="15",LEFT(TH!O3112,2)="15"),LEFT(TH!O3112,3)&lt;&gt;"111",'152-CT'!$J$8=TH!F3112),"x","")</f>
        <v/>
      </c>
      <c r="AC3112" s="75" t="str">
        <f>IF(AND(OR(LEFT(TH!N3112,2)="15",LEFT(TH!O3112,2)="15"),TK!$E$7=TH!F3112),"x","")</f>
        <v/>
      </c>
      <c r="AD3112" s="75" t="str">
        <f>IF(AND(N3112="1521",MONTH(C3112)='BK-NL'!$M$11),"x","")</f>
        <v/>
      </c>
    </row>
    <row r="3113" spans="1:30" s="1264" customFormat="1" ht="16.5" customHeight="1">
      <c r="A3113" s="309" t="str">
        <f>IF(B3113&lt;&gt;"",IF(AND(B3113='IN-TC'!$S$4,OR(TH!N3113="1111",TH!O3113="1111")),TH!D3113,""),"")</f>
        <v/>
      </c>
      <c r="B3113" s="1275">
        <f t="shared" si="1109"/>
        <v>9</v>
      </c>
      <c r="C3113" s="71">
        <v>43000</v>
      </c>
      <c r="D3113" s="71" t="s">
        <v>902</v>
      </c>
      <c r="E3113" s="71">
        <f t="shared" si="1110"/>
        <v>43000</v>
      </c>
      <c r="F3113" s="72" t="s">
        <v>1096</v>
      </c>
      <c r="G3113" s="72" t="s">
        <v>747</v>
      </c>
      <c r="H3113" s="73" t="s">
        <v>1559</v>
      </c>
      <c r="I3113" s="73"/>
      <c r="J3113" s="378"/>
      <c r="K3113" s="371">
        <v>240.29</v>
      </c>
      <c r="L3113" s="1214">
        <v>22700</v>
      </c>
      <c r="M3113" s="74">
        <f t="shared" si="1128"/>
        <v>5454583</v>
      </c>
      <c r="N3113" s="75" t="s">
        <v>99</v>
      </c>
      <c r="O3113" s="934" t="s">
        <v>256</v>
      </c>
      <c r="P3113" s="75" t="str">
        <f>IF(AND('331-CT'!$E$7=TH!H3113,OR(N3113="331",O3113="331")),"x","")</f>
        <v/>
      </c>
      <c r="Q3113" s="75" t="str">
        <f>IF(AND(B3113='111'!$L$11,OR($N3113=$Q$7,$O3113=$Q$7)),"x","")</f>
        <v/>
      </c>
      <c r="R3113" s="75" t="str">
        <f>IF(AND($N3113=$Q$7,$B3113&lt;'111'!$L$11),"x","")</f>
        <v/>
      </c>
      <c r="S3113" s="75" t="str">
        <f>IF(AND($O3113=$Q$7,$B3113&lt;'111'!$L$11),"x","")</f>
        <v/>
      </c>
      <c r="T3113" s="75" t="str">
        <f>IF(ISERROR(FIND('112'!$M$9,G3113,1)),"",IF((AND(FIND('112'!$M$9,G3113,1)&gt;=1,B3113='112'!$K$9,OR($N3113='112'!$I$6,$O3113='112'!$I$6))),"x",""))</f>
        <v/>
      </c>
      <c r="U3113" s="75" t="str">
        <f>IF(ISERROR(FIND('112'!$M$9,G3113,1)),"",IF((AND(LEFT(G3113,2)=LEFT('112'!$M$9,2),B3113&lt;'112'!$K$9,$N3113='112'!$I$6)),"x",""))</f>
        <v/>
      </c>
      <c r="V3113" s="75" t="str">
        <f>IF(ISERROR(FIND('112'!$M$9,G3113,1)),"",IF((AND(RIGHT(G3113,2)=RIGHT('112'!$M$9,2),B3113&lt;'112'!$K$9,$O3113='112'!$I$6)),"x",""))</f>
        <v/>
      </c>
      <c r="W3113" s="75" t="str">
        <f>IF(AND('341-CT'!$H$9=H3113,OR(LEFT(N3113,3)=$W$7,LEFT(O3113,3)=$W$7)),"x","")</f>
        <v/>
      </c>
      <c r="X3113" s="75" t="str">
        <f>IF(OR(TH!N3113=TH!$X$7,O3113=TH!$X$7),"x","")</f>
        <v/>
      </c>
      <c r="Y3113" s="75" t="str">
        <f>IF(AND(OR(N3113="131",O3113="131"),H3113='131-CT'!$H$9),"x","")</f>
        <v/>
      </c>
      <c r="Z3113" s="75"/>
      <c r="AA3113" s="75" t="str">
        <f>IF(AND(MONTH(E3113)='IN-NX'!$J$5,'IN-NX'!$D$7=D3113),"x","")</f>
        <v/>
      </c>
      <c r="AB3113" s="75" t="str">
        <f>IF(AND(OR(LEFT(TH!N3113,2)="15",LEFT(TH!O3113,2)="15"),LEFT(TH!O3113,3)&lt;&gt;"111",'152-CT'!$J$8=TH!F3113),"x","")</f>
        <v/>
      </c>
      <c r="AC3113" s="75" t="str">
        <f>IF(AND(OR(LEFT(TH!N3113,2)="15",LEFT(TH!O3113,2)="15"),TK!$E$7=TH!F3113),"x","")</f>
        <v/>
      </c>
      <c r="AD3113" s="75" t="str">
        <f>IF(AND(N3113="1521",MONTH(C3113)='BK-NL'!$M$11),"x","")</f>
        <v/>
      </c>
    </row>
    <row r="3114" spans="1:30" s="1264" customFormat="1" ht="16.5" customHeight="1">
      <c r="A3114" s="309" t="str">
        <f>IF(B3114&lt;&gt;"",IF(AND(B3114='IN-TC'!$S$4,OR(TH!N3114="1111",TH!O3114="1111")),TH!D3114,""),"")</f>
        <v/>
      </c>
      <c r="B3114" s="1275">
        <f t="shared" si="1109"/>
        <v>9</v>
      </c>
      <c r="C3114" s="71">
        <v>43003</v>
      </c>
      <c r="D3114" s="71" t="s">
        <v>903</v>
      </c>
      <c r="E3114" s="71">
        <f t="shared" si="1110"/>
        <v>43003</v>
      </c>
      <c r="F3114" s="72" t="s">
        <v>1086</v>
      </c>
      <c r="G3114" s="72" t="s">
        <v>747</v>
      </c>
      <c r="H3114" s="73" t="s">
        <v>1859</v>
      </c>
      <c r="I3114" s="73"/>
      <c r="J3114" s="378"/>
      <c r="K3114" s="1213">
        <v>174117.5</v>
      </c>
      <c r="L3114" s="1214">
        <v>22700</v>
      </c>
      <c r="M3114" s="1214">
        <f t="shared" si="1128"/>
        <v>3952467250</v>
      </c>
      <c r="N3114" s="75" t="s">
        <v>256</v>
      </c>
      <c r="O3114" s="75" t="s">
        <v>536</v>
      </c>
      <c r="P3114" s="75" t="str">
        <f>IF(AND('331-CT'!$E$7=TH!H3114,OR(N3114="331",O3114="331")),"x","")</f>
        <v/>
      </c>
      <c r="Q3114" s="75" t="str">
        <f>IF(AND(B3114='111'!$L$11,OR($N3114=$Q$7,$O3114=$Q$7)),"x","")</f>
        <v/>
      </c>
      <c r="R3114" s="75" t="str">
        <f>IF(AND($N3114=$Q$7,$B3114&lt;'111'!$L$11),"x","")</f>
        <v/>
      </c>
      <c r="S3114" s="75" t="str">
        <f>IF(AND($O3114=$Q$7,$B3114&lt;'111'!$L$11),"x","")</f>
        <v/>
      </c>
      <c r="T3114" s="75" t="str">
        <f>IF(ISERROR(FIND('112'!$M$9,G3114,1)),"",IF((AND(FIND('112'!$M$9,G3114,1)&gt;=1,B3114='112'!$K$9,OR($N3114='112'!$I$6,$O3114='112'!$I$6))),"x",""))</f>
        <v/>
      </c>
      <c r="U3114" s="75" t="str">
        <f>IF(ISERROR(FIND('112'!$M$9,G3114,1)),"",IF((AND(LEFT(G3114,2)=LEFT('112'!$M$9,2),B3114&lt;'112'!$K$9,$N3114='112'!$I$6)),"x",""))</f>
        <v/>
      </c>
      <c r="V3114" s="75" t="str">
        <f>IF(ISERROR(FIND('112'!$M$9,G3114,1)),"",IF((AND(RIGHT(G3114,2)=RIGHT('112'!$M$9,2),B3114&lt;'112'!$K$9,$O3114='112'!$I$6)),"x",""))</f>
        <v/>
      </c>
      <c r="W3114" s="75" t="str">
        <f>IF(AND('341-CT'!$H$9=H3114,OR(LEFT(N3114,3)=$W$7,LEFT(O3114,3)=$W$7)),"x","")</f>
        <v/>
      </c>
      <c r="X3114" s="75" t="str">
        <f>IF(OR(TH!N3114=TH!$X$7,O3114=TH!$X$7),"x","")</f>
        <v/>
      </c>
      <c r="Y3114" s="75" t="str">
        <f>IF(AND(OR(N3114="131",O3114="131"),H3114='131-CT'!$H$9),"x","")</f>
        <v/>
      </c>
      <c r="Z3114" s="75"/>
      <c r="AA3114" s="75" t="str">
        <f>IF(AND(MONTH(E3114)='IN-NX'!$J$5,'IN-NX'!$D$7=D3114),"x","")</f>
        <v/>
      </c>
      <c r="AB3114" s="75" t="str">
        <f>IF(AND(OR(LEFT(TH!N3114,2)="15",LEFT(TH!O3114,2)="15"),LEFT(TH!O3114,3)&lt;&gt;"111",'152-CT'!$J$8=TH!F3114),"x","")</f>
        <v/>
      </c>
      <c r="AC3114" s="75" t="str">
        <f>IF(AND(OR(LEFT(TH!N3114,2)="15",LEFT(TH!O3114,2)="15"),TK!$E$7=TH!F3114),"x","")</f>
        <v/>
      </c>
      <c r="AD3114" s="75" t="str">
        <f>IF(AND(N3114="1521",MONTH(C3114)='BK-NL'!$M$11),"x","")</f>
        <v/>
      </c>
    </row>
    <row r="3115" spans="1:30" s="1264" customFormat="1" ht="16.5" customHeight="1">
      <c r="A3115" s="309" t="str">
        <f>IF(B3115&lt;&gt;"",IF(AND(B3115='IN-TC'!$S$4,OR(TH!N3115="1111",TH!O3115="1111")),TH!D3115,""),"")</f>
        <v/>
      </c>
      <c r="B3115" s="1275">
        <f t="shared" si="1109"/>
        <v>9</v>
      </c>
      <c r="C3115" s="71">
        <v>43003</v>
      </c>
      <c r="D3115" s="71" t="s">
        <v>530</v>
      </c>
      <c r="E3115" s="71">
        <f t="shared" si="1110"/>
        <v>43003</v>
      </c>
      <c r="F3115" s="72" t="s">
        <v>1027</v>
      </c>
      <c r="G3115" s="72" t="s">
        <v>747</v>
      </c>
      <c r="H3115" s="73" t="s">
        <v>1859</v>
      </c>
      <c r="I3115" s="73"/>
      <c r="J3115" s="378"/>
      <c r="K3115" s="1213">
        <v>56.5</v>
      </c>
      <c r="L3115" s="1214">
        <v>22700</v>
      </c>
      <c r="M3115" s="933">
        <f t="shared" si="1112"/>
        <v>1282550</v>
      </c>
      <c r="N3115" s="75" t="s">
        <v>101</v>
      </c>
      <c r="O3115" s="75" t="s">
        <v>536</v>
      </c>
      <c r="P3115" s="75" t="str">
        <f>IF(AND('331-CT'!$E$7=TH!H3115,OR(N3115="331",O3115="331")),"x","")</f>
        <v/>
      </c>
      <c r="Q3115" s="75" t="str">
        <f>IF(AND(B3115='111'!$L$11,OR($N3115=$Q$7,$O3115=$Q$7)),"x","")</f>
        <v/>
      </c>
      <c r="R3115" s="75" t="str">
        <f>IF(AND($N3115=$Q$7,$B3115&lt;'111'!$L$11),"x","")</f>
        <v/>
      </c>
      <c r="S3115" s="75" t="str">
        <f>IF(AND($O3115=$Q$7,$B3115&lt;'111'!$L$11),"x","")</f>
        <v/>
      </c>
      <c r="T3115" s="75" t="str">
        <f>IF(ISERROR(FIND('112'!$M$9,G3115,1)),"",IF((AND(FIND('112'!$M$9,G3115,1)&gt;=1,B3115='112'!$K$9,OR($N3115='112'!$I$6,$O3115='112'!$I$6))),"x",""))</f>
        <v/>
      </c>
      <c r="U3115" s="75" t="str">
        <f>IF(ISERROR(FIND('112'!$M$9,G3115,1)),"",IF((AND(LEFT(G3115,2)=LEFT('112'!$M$9,2),B3115&lt;'112'!$K$9,$N3115='112'!$I$6)),"x",""))</f>
        <v/>
      </c>
      <c r="V3115" s="75" t="str">
        <f>IF(ISERROR(FIND('112'!$M$9,G3115,1)),"",IF((AND(RIGHT(G3115,2)=RIGHT('112'!$M$9,2),B3115&lt;'112'!$K$9,$O3115='112'!$I$6)),"x",""))</f>
        <v/>
      </c>
      <c r="W3115" s="75" t="str">
        <f>IF(AND('341-CT'!$H$9=H3115,OR(LEFT(N3115,3)=$W$7,LEFT(O3115,3)=$W$7)),"x","")</f>
        <v/>
      </c>
      <c r="X3115" s="75" t="str">
        <f>IF(OR(TH!N3115=TH!$X$7,O3115=TH!$X$7),"x","")</f>
        <v/>
      </c>
      <c r="Y3115" s="75" t="str">
        <f>IF(AND(OR(N3115="131",O3115="131"),H3115='131-CT'!$H$9),"x","")</f>
        <v/>
      </c>
      <c r="Z3115" s="75"/>
      <c r="AA3115" s="75" t="str">
        <f>IF(AND(MONTH(E3115)='IN-NX'!$J$5,'IN-NX'!$D$7=D3115),"x","")</f>
        <v/>
      </c>
      <c r="AB3115" s="75" t="str">
        <f>IF(AND(OR(LEFT(TH!N3115,2)="15",LEFT(TH!O3115,2)="15"),LEFT(TH!O3115,3)&lt;&gt;"111",'152-CT'!$J$8=TH!F3115),"x","")</f>
        <v/>
      </c>
      <c r="AC3115" s="75" t="str">
        <f>IF(AND(OR(LEFT(TH!N3115,2)="15",LEFT(TH!O3115,2)="15"),TK!$E$7=TH!F3115),"x","")</f>
        <v/>
      </c>
      <c r="AD3115" s="75" t="str">
        <f>IF(AND(N3115="1521",MONTH(C3115)='BK-NL'!$M$11),"x","")</f>
        <v/>
      </c>
    </row>
    <row r="3116" spans="1:30" s="1264" customFormat="1" ht="16.5" customHeight="1">
      <c r="A3116" s="309" t="str">
        <f>IF(B3116&lt;&gt;"",IF(AND(B3116='IN-TC'!$S$4,OR(TH!N3116="1111",TH!O3116="1111")),TH!D3116,""),"")</f>
        <v/>
      </c>
      <c r="B3116" s="1275">
        <f t="shared" si="1109"/>
        <v>9</v>
      </c>
      <c r="C3116" s="71">
        <v>43003</v>
      </c>
      <c r="D3116" s="71" t="s">
        <v>530</v>
      </c>
      <c r="E3116" s="71">
        <f t="shared" si="1110"/>
        <v>43003</v>
      </c>
      <c r="F3116" s="72" t="s">
        <v>1010</v>
      </c>
      <c r="G3116" s="72" t="s">
        <v>747</v>
      </c>
      <c r="H3116" s="73" t="s">
        <v>1859</v>
      </c>
      <c r="I3116" s="73"/>
      <c r="J3116" s="378"/>
      <c r="K3116" s="1213"/>
      <c r="L3116" s="1214">
        <v>22700</v>
      </c>
      <c r="M3116" s="74">
        <v>870870</v>
      </c>
      <c r="N3116" s="75" t="s">
        <v>536</v>
      </c>
      <c r="O3116" s="934" t="s">
        <v>43</v>
      </c>
      <c r="P3116" s="75" t="str">
        <f>IF(AND('331-CT'!$E$7=TH!H3116,OR(N3116="331",O3116="331")),"x","")</f>
        <v/>
      </c>
      <c r="Q3116" s="75" t="str">
        <f>IF(AND(B3116='111'!$L$11,OR($N3116=$Q$7,$O3116=$Q$7)),"x","")</f>
        <v/>
      </c>
      <c r="R3116" s="75" t="str">
        <f>IF(AND($N3116=$Q$7,$B3116&lt;'111'!$L$11),"x","")</f>
        <v/>
      </c>
      <c r="S3116" s="75" t="str">
        <f>IF(AND($O3116=$Q$7,$B3116&lt;'111'!$L$11),"x","")</f>
        <v/>
      </c>
      <c r="T3116" s="75" t="str">
        <f>IF(ISERROR(FIND('112'!$M$9,G3116,1)),"",IF((AND(FIND('112'!$M$9,G3116,1)&gt;=1,B3116='112'!$K$9,OR($N3116='112'!$I$6,$O3116='112'!$I$6))),"x",""))</f>
        <v/>
      </c>
      <c r="U3116" s="75" t="str">
        <f>IF(ISERROR(FIND('112'!$M$9,G3116,1)),"",IF((AND(LEFT(G3116,2)=LEFT('112'!$M$9,2),B3116&lt;'112'!$K$9,$N3116='112'!$I$6)),"x",""))</f>
        <v/>
      </c>
      <c r="V3116" s="75" t="str">
        <f>IF(ISERROR(FIND('112'!$M$9,G3116,1)),"",IF((AND(RIGHT(G3116,2)=RIGHT('112'!$M$9,2),B3116&lt;'112'!$K$9,$O3116='112'!$I$6)),"x",""))</f>
        <v/>
      </c>
      <c r="W3116" s="75" t="str">
        <f>IF(AND('341-CT'!$H$9=H3116,OR(LEFT(N3116,3)=$W$7,LEFT(O3116,3)=$W$7)),"x","")</f>
        <v/>
      </c>
      <c r="X3116" s="75" t="str">
        <f>IF(OR(TH!N3116=TH!$X$7,O3116=TH!$X$7),"x","")</f>
        <v/>
      </c>
      <c r="Y3116" s="75" t="str">
        <f>IF(AND(OR(N3116="131",O3116="131"),H3116='131-CT'!$H$9),"x","")</f>
        <v/>
      </c>
      <c r="Z3116" s="75"/>
      <c r="AA3116" s="75" t="str">
        <f>IF(AND(MONTH(E3116)='IN-NX'!$J$5,'IN-NX'!$D$7=D3116),"x","")</f>
        <v/>
      </c>
      <c r="AB3116" s="75" t="str">
        <f>IF(AND(OR(LEFT(TH!N3116,2)="15",LEFT(TH!O3116,2)="15"),LEFT(TH!O3116,3)&lt;&gt;"111",'152-CT'!$J$8=TH!F3116),"x","")</f>
        <v/>
      </c>
      <c r="AC3116" s="75" t="str">
        <f>IF(AND(OR(LEFT(TH!N3116,2)="15",LEFT(TH!O3116,2)="15"),TK!$E$7=TH!F3116),"x","")</f>
        <v/>
      </c>
      <c r="AD3116" s="75" t="str">
        <f>IF(AND(N3116="1521",MONTH(C3116)='BK-NL'!$M$11),"x","")</f>
        <v/>
      </c>
    </row>
    <row r="3117" spans="1:30" s="1264" customFormat="1" ht="16.5" customHeight="1">
      <c r="A3117" s="309" t="str">
        <f>IF(B3117&lt;&gt;"",IF(AND(B3117='IN-TC'!$S$4,OR(TH!N3117="1111",TH!O3117="1111")),TH!D3117,""),"")</f>
        <v/>
      </c>
      <c r="B3117" s="1275">
        <f t="shared" si="1109"/>
        <v>9</v>
      </c>
      <c r="C3117" s="71">
        <v>43003</v>
      </c>
      <c r="D3117" s="71" t="s">
        <v>902</v>
      </c>
      <c r="E3117" s="71">
        <f t="shared" si="1110"/>
        <v>43003</v>
      </c>
      <c r="F3117" s="72" t="s">
        <v>1096</v>
      </c>
      <c r="G3117" s="72" t="s">
        <v>747</v>
      </c>
      <c r="H3117" s="73" t="s">
        <v>1561</v>
      </c>
      <c r="I3117" s="73"/>
      <c r="J3117" s="378"/>
      <c r="K3117" s="371">
        <v>137.85</v>
      </c>
      <c r="L3117" s="1214">
        <v>22700</v>
      </c>
      <c r="M3117" s="74">
        <f t="shared" ref="M3117:M3129" si="1129">ROUND(K3117*L3117,0)</f>
        <v>3129195</v>
      </c>
      <c r="N3117" s="75" t="s">
        <v>99</v>
      </c>
      <c r="O3117" s="934" t="s">
        <v>256</v>
      </c>
      <c r="P3117" s="75" t="str">
        <f>IF(AND('331-CT'!$E$7=TH!H3117,OR(N3117="331",O3117="331")),"x","")</f>
        <v/>
      </c>
      <c r="Q3117" s="75" t="str">
        <f>IF(AND(B3117='111'!$L$11,OR($N3117=$Q$7,$O3117=$Q$7)),"x","")</f>
        <v/>
      </c>
      <c r="R3117" s="75" t="str">
        <f>IF(AND($N3117=$Q$7,$B3117&lt;'111'!$L$11),"x","")</f>
        <v/>
      </c>
      <c r="S3117" s="75" t="str">
        <f>IF(AND($O3117=$Q$7,$B3117&lt;'111'!$L$11),"x","")</f>
        <v/>
      </c>
      <c r="T3117" s="75" t="str">
        <f>IF(ISERROR(FIND('112'!$M$9,G3117,1)),"",IF((AND(FIND('112'!$M$9,G3117,1)&gt;=1,B3117='112'!$K$9,OR($N3117='112'!$I$6,$O3117='112'!$I$6))),"x",""))</f>
        <v/>
      </c>
      <c r="U3117" s="75" t="str">
        <f>IF(ISERROR(FIND('112'!$M$9,G3117,1)),"",IF((AND(LEFT(G3117,2)=LEFT('112'!$M$9,2),B3117&lt;'112'!$K$9,$N3117='112'!$I$6)),"x",""))</f>
        <v/>
      </c>
      <c r="V3117" s="75" t="str">
        <f>IF(ISERROR(FIND('112'!$M$9,G3117,1)),"",IF((AND(RIGHT(G3117,2)=RIGHT('112'!$M$9,2),B3117&lt;'112'!$K$9,$O3117='112'!$I$6)),"x",""))</f>
        <v/>
      </c>
      <c r="W3117" s="75" t="str">
        <f>IF(AND('341-CT'!$H$9=H3117,OR(LEFT(N3117,3)=$W$7,LEFT(O3117,3)=$W$7)),"x","")</f>
        <v/>
      </c>
      <c r="X3117" s="75" t="str">
        <f>IF(OR(TH!N3117=TH!$X$7,O3117=TH!$X$7),"x","")</f>
        <v/>
      </c>
      <c r="Y3117" s="75" t="str">
        <f>IF(AND(OR(N3117="131",O3117="131"),H3117='131-CT'!$H$9),"x","")</f>
        <v/>
      </c>
      <c r="Z3117" s="75"/>
      <c r="AA3117" s="75" t="str">
        <f>IF(AND(MONTH(E3117)='IN-NX'!$J$5,'IN-NX'!$D$7=D3117),"x","")</f>
        <v/>
      </c>
      <c r="AB3117" s="75" t="str">
        <f>IF(AND(OR(LEFT(TH!N3117,2)="15",LEFT(TH!O3117,2)="15"),LEFT(TH!O3117,3)&lt;&gt;"111",'152-CT'!$J$8=TH!F3117),"x","")</f>
        <v/>
      </c>
      <c r="AC3117" s="75" t="str">
        <f>IF(AND(OR(LEFT(TH!N3117,2)="15",LEFT(TH!O3117,2)="15"),TK!$E$7=TH!F3117),"x","")</f>
        <v/>
      </c>
      <c r="AD3117" s="75" t="str">
        <f>IF(AND(N3117="1521",MONTH(C3117)='BK-NL'!$M$11),"x","")</f>
        <v/>
      </c>
    </row>
    <row r="3118" spans="1:30" s="1264" customFormat="1" ht="16.5" customHeight="1">
      <c r="A3118" s="309" t="str">
        <f>IF(B3118&lt;&gt;"",IF(AND(B3118='IN-TC'!$S$4,OR(TH!N3118="1111",TH!O3118="1111")),TH!D3118,""),"")</f>
        <v/>
      </c>
      <c r="B3118" s="1275">
        <f t="shared" si="1109"/>
        <v>9</v>
      </c>
      <c r="C3118" s="71">
        <v>43003</v>
      </c>
      <c r="D3118" s="71" t="s">
        <v>902</v>
      </c>
      <c r="E3118" s="71">
        <f t="shared" si="1110"/>
        <v>43003</v>
      </c>
      <c r="F3118" s="72" t="s">
        <v>1096</v>
      </c>
      <c r="G3118" s="72" t="s">
        <v>747</v>
      </c>
      <c r="H3118" s="73" t="s">
        <v>2032</v>
      </c>
      <c r="I3118" s="73"/>
      <c r="J3118" s="378"/>
      <c r="K3118" s="371">
        <v>236.37</v>
      </c>
      <c r="L3118" s="1214">
        <v>22700</v>
      </c>
      <c r="M3118" s="74">
        <f t="shared" si="1129"/>
        <v>5365599</v>
      </c>
      <c r="N3118" s="75" t="s">
        <v>99</v>
      </c>
      <c r="O3118" s="934" t="s">
        <v>256</v>
      </c>
      <c r="P3118" s="75" t="str">
        <f>IF(AND('331-CT'!$E$7=TH!H3118,OR(N3118="331",O3118="331")),"x","")</f>
        <v/>
      </c>
      <c r="Q3118" s="75" t="str">
        <f>IF(AND(B3118='111'!$L$11,OR($N3118=$Q$7,$O3118=$Q$7)),"x","")</f>
        <v/>
      </c>
      <c r="R3118" s="75" t="str">
        <f>IF(AND($N3118=$Q$7,$B3118&lt;'111'!$L$11),"x","")</f>
        <v/>
      </c>
      <c r="S3118" s="75" t="str">
        <f>IF(AND($O3118=$Q$7,$B3118&lt;'111'!$L$11),"x","")</f>
        <v/>
      </c>
      <c r="T3118" s="75" t="str">
        <f>IF(ISERROR(FIND('112'!$M$9,G3118,1)),"",IF((AND(FIND('112'!$M$9,G3118,1)&gt;=1,B3118='112'!$K$9,OR($N3118='112'!$I$6,$O3118='112'!$I$6))),"x",""))</f>
        <v/>
      </c>
      <c r="U3118" s="75" t="str">
        <f>IF(ISERROR(FIND('112'!$M$9,G3118,1)),"",IF((AND(LEFT(G3118,2)=LEFT('112'!$M$9,2),B3118&lt;'112'!$K$9,$N3118='112'!$I$6)),"x",""))</f>
        <v/>
      </c>
      <c r="V3118" s="75" t="str">
        <f>IF(ISERROR(FIND('112'!$M$9,G3118,1)),"",IF((AND(RIGHT(G3118,2)=RIGHT('112'!$M$9,2),B3118&lt;'112'!$K$9,$O3118='112'!$I$6)),"x",""))</f>
        <v/>
      </c>
      <c r="W3118" s="75" t="str">
        <f>IF(AND('341-CT'!$H$9=H3118,OR(LEFT(N3118,3)=$W$7,LEFT(O3118,3)=$W$7)),"x","")</f>
        <v/>
      </c>
      <c r="X3118" s="75" t="str">
        <f>IF(OR(TH!N3118=TH!$X$7,O3118=TH!$X$7),"x","")</f>
        <v/>
      </c>
      <c r="Y3118" s="75" t="str">
        <f>IF(AND(OR(N3118="131",O3118="131"),H3118='131-CT'!$H$9),"x","")</f>
        <v/>
      </c>
      <c r="Z3118" s="75"/>
      <c r="AA3118" s="75" t="str">
        <f>IF(AND(MONTH(E3118)='IN-NX'!$J$5,'IN-NX'!$D$7=D3118),"x","")</f>
        <v/>
      </c>
      <c r="AB3118" s="75" t="str">
        <f>IF(AND(OR(LEFT(TH!N3118,2)="15",LEFT(TH!O3118,2)="15"),LEFT(TH!O3118,3)&lt;&gt;"111",'152-CT'!$J$8=TH!F3118),"x","")</f>
        <v/>
      </c>
      <c r="AC3118" s="75" t="str">
        <f>IF(AND(OR(LEFT(TH!N3118,2)="15",LEFT(TH!O3118,2)="15"),TK!$E$7=TH!F3118),"x","")</f>
        <v/>
      </c>
      <c r="AD3118" s="75" t="str">
        <f>IF(AND(N3118="1521",MONTH(C3118)='BK-NL'!$M$11),"x","")</f>
        <v/>
      </c>
    </row>
    <row r="3119" spans="1:30" s="1264" customFormat="1" ht="16.5" customHeight="1">
      <c r="A3119" s="309" t="str">
        <f>IF(B3119&lt;&gt;"",IF(AND(B3119='IN-TC'!$S$4,OR(TH!N3119="1111",TH!O3119="1111")),TH!D3119,""),"")</f>
        <v/>
      </c>
      <c r="B3119" s="1275">
        <f t="shared" ref="B3119:B3141" si="1130">IF(C3119&lt;&gt;"",MONTH(C3119),"")</f>
        <v>9</v>
      </c>
      <c r="C3119" s="71">
        <v>43003</v>
      </c>
      <c r="D3119" s="71" t="s">
        <v>902</v>
      </c>
      <c r="E3119" s="71">
        <f t="shared" si="1110"/>
        <v>43003</v>
      </c>
      <c r="F3119" s="72" t="s">
        <v>1096</v>
      </c>
      <c r="G3119" s="72" t="s">
        <v>747</v>
      </c>
      <c r="H3119" s="73" t="s">
        <v>2035</v>
      </c>
      <c r="I3119" s="73"/>
      <c r="J3119" s="378"/>
      <c r="K3119" s="371">
        <v>271.38</v>
      </c>
      <c r="L3119" s="1214">
        <v>22700</v>
      </c>
      <c r="M3119" s="74">
        <f t="shared" si="1129"/>
        <v>6160326</v>
      </c>
      <c r="N3119" s="75" t="s">
        <v>99</v>
      </c>
      <c r="O3119" s="934" t="s">
        <v>256</v>
      </c>
      <c r="P3119" s="75" t="str">
        <f>IF(AND('331-CT'!$E$7=TH!H3119,OR(N3119="331",O3119="331")),"x","")</f>
        <v/>
      </c>
      <c r="Q3119" s="75" t="str">
        <f>IF(AND(B3119='111'!$L$11,OR($N3119=$Q$7,$O3119=$Q$7)),"x","")</f>
        <v/>
      </c>
      <c r="R3119" s="75" t="str">
        <f>IF(AND($N3119=$Q$7,$B3119&lt;'111'!$L$11),"x","")</f>
        <v/>
      </c>
      <c r="S3119" s="75" t="str">
        <f>IF(AND($O3119=$Q$7,$B3119&lt;'111'!$L$11),"x","")</f>
        <v/>
      </c>
      <c r="T3119" s="75" t="str">
        <f>IF(ISERROR(FIND('112'!$M$9,G3119,1)),"",IF((AND(FIND('112'!$M$9,G3119,1)&gt;=1,B3119='112'!$K$9,OR($N3119='112'!$I$6,$O3119='112'!$I$6))),"x",""))</f>
        <v/>
      </c>
      <c r="U3119" s="75" t="str">
        <f>IF(ISERROR(FIND('112'!$M$9,G3119,1)),"",IF((AND(LEFT(G3119,2)=LEFT('112'!$M$9,2),B3119&lt;'112'!$K$9,$N3119='112'!$I$6)),"x",""))</f>
        <v/>
      </c>
      <c r="V3119" s="75" t="str">
        <f>IF(ISERROR(FIND('112'!$M$9,G3119,1)),"",IF((AND(RIGHT(G3119,2)=RIGHT('112'!$M$9,2),B3119&lt;'112'!$K$9,$O3119='112'!$I$6)),"x",""))</f>
        <v/>
      </c>
      <c r="W3119" s="75" t="str">
        <f>IF(AND('341-CT'!$H$9=H3119,OR(LEFT(N3119,3)=$W$7,LEFT(O3119,3)=$W$7)),"x","")</f>
        <v/>
      </c>
      <c r="X3119" s="75" t="str">
        <f>IF(OR(TH!N3119=TH!$X$7,O3119=TH!$X$7),"x","")</f>
        <v/>
      </c>
      <c r="Y3119" s="75" t="str">
        <f>IF(AND(OR(N3119="131",O3119="131"),H3119='131-CT'!$H$9),"x","")</f>
        <v/>
      </c>
      <c r="Z3119" s="75"/>
      <c r="AA3119" s="75" t="str">
        <f>IF(AND(MONTH(E3119)='IN-NX'!$J$5,'IN-NX'!$D$7=D3119),"x","")</f>
        <v/>
      </c>
      <c r="AB3119" s="75" t="str">
        <f>IF(AND(OR(LEFT(TH!N3119,2)="15",LEFT(TH!O3119,2)="15"),LEFT(TH!O3119,3)&lt;&gt;"111",'152-CT'!$J$8=TH!F3119),"x","")</f>
        <v/>
      </c>
      <c r="AC3119" s="75" t="str">
        <f>IF(AND(OR(LEFT(TH!N3119,2)="15",LEFT(TH!O3119,2)="15"),TK!$E$7=TH!F3119),"x","")</f>
        <v/>
      </c>
      <c r="AD3119" s="75" t="str">
        <f>IF(AND(N3119="1521",MONTH(C3119)='BK-NL'!$M$11),"x","")</f>
        <v/>
      </c>
    </row>
    <row r="3120" spans="1:30" s="1264" customFormat="1" ht="16.5" customHeight="1">
      <c r="A3120" s="309" t="str">
        <f>IF(B3120&lt;&gt;"",IF(AND(B3120='IN-TC'!$S$4,OR(TH!N3120="1111",TH!O3120="1111")),TH!D3120,""),"")</f>
        <v/>
      </c>
      <c r="B3120" s="1275">
        <f t="shared" si="1130"/>
        <v>9</v>
      </c>
      <c r="C3120" s="71">
        <v>43003</v>
      </c>
      <c r="D3120" s="71" t="s">
        <v>902</v>
      </c>
      <c r="E3120" s="71">
        <f t="shared" si="1110"/>
        <v>43003</v>
      </c>
      <c r="F3120" s="72" t="s">
        <v>1096</v>
      </c>
      <c r="G3120" s="72" t="s">
        <v>747</v>
      </c>
      <c r="H3120" s="73" t="s">
        <v>1781</v>
      </c>
      <c r="I3120" s="73"/>
      <c r="J3120" s="378"/>
      <c r="K3120" s="371">
        <v>298.83999999999997</v>
      </c>
      <c r="L3120" s="1214">
        <v>22700</v>
      </c>
      <c r="M3120" s="74">
        <f t="shared" si="1129"/>
        <v>6783668</v>
      </c>
      <c r="N3120" s="75" t="s">
        <v>99</v>
      </c>
      <c r="O3120" s="934" t="s">
        <v>256</v>
      </c>
      <c r="P3120" s="75" t="str">
        <f>IF(AND('331-CT'!$E$7=TH!H3120,OR(N3120="331",O3120="331")),"x","")</f>
        <v/>
      </c>
      <c r="Q3120" s="75" t="str">
        <f>IF(AND(B3120='111'!$L$11,OR($N3120=$Q$7,$O3120=$Q$7)),"x","")</f>
        <v/>
      </c>
      <c r="R3120" s="75" t="str">
        <f>IF(AND($N3120=$Q$7,$B3120&lt;'111'!$L$11),"x","")</f>
        <v/>
      </c>
      <c r="S3120" s="75" t="str">
        <f>IF(AND($O3120=$Q$7,$B3120&lt;'111'!$L$11),"x","")</f>
        <v/>
      </c>
      <c r="T3120" s="75" t="str">
        <f>IF(ISERROR(FIND('112'!$M$9,G3120,1)),"",IF((AND(FIND('112'!$M$9,G3120,1)&gt;=1,B3120='112'!$K$9,OR($N3120='112'!$I$6,$O3120='112'!$I$6))),"x",""))</f>
        <v/>
      </c>
      <c r="U3120" s="75" t="str">
        <f>IF(ISERROR(FIND('112'!$M$9,G3120,1)),"",IF((AND(LEFT(G3120,2)=LEFT('112'!$M$9,2),B3120&lt;'112'!$K$9,$N3120='112'!$I$6)),"x",""))</f>
        <v/>
      </c>
      <c r="V3120" s="75" t="str">
        <f>IF(ISERROR(FIND('112'!$M$9,G3120,1)),"",IF((AND(RIGHT(G3120,2)=RIGHT('112'!$M$9,2),B3120&lt;'112'!$K$9,$O3120='112'!$I$6)),"x",""))</f>
        <v/>
      </c>
      <c r="W3120" s="75" t="str">
        <f>IF(AND('341-CT'!$H$9=H3120,OR(LEFT(N3120,3)=$W$7,LEFT(O3120,3)=$W$7)),"x","")</f>
        <v/>
      </c>
      <c r="X3120" s="75" t="str">
        <f>IF(OR(TH!N3120=TH!$X$7,O3120=TH!$X$7),"x","")</f>
        <v/>
      </c>
      <c r="Y3120" s="75" t="str">
        <f>IF(AND(OR(N3120="131",O3120="131"),H3120='131-CT'!$H$9),"x","")</f>
        <v/>
      </c>
      <c r="Z3120" s="75"/>
      <c r="AA3120" s="75" t="str">
        <f>IF(AND(MONTH(E3120)='IN-NX'!$J$5,'IN-NX'!$D$7=D3120),"x","")</f>
        <v/>
      </c>
      <c r="AB3120" s="75" t="str">
        <f>IF(AND(OR(LEFT(TH!N3120,2)="15",LEFT(TH!O3120,2)="15"),LEFT(TH!O3120,3)&lt;&gt;"111",'152-CT'!$J$8=TH!F3120),"x","")</f>
        <v/>
      </c>
      <c r="AC3120" s="75" t="str">
        <f>IF(AND(OR(LEFT(TH!N3120,2)="15",LEFT(TH!O3120,2)="15"),TK!$E$7=TH!F3120),"x","")</f>
        <v/>
      </c>
      <c r="AD3120" s="75" t="str">
        <f>IF(AND(N3120="1521",MONTH(C3120)='BK-NL'!$M$11),"x","")</f>
        <v/>
      </c>
    </row>
    <row r="3121" spans="1:31" s="1264" customFormat="1" ht="16.5" customHeight="1">
      <c r="A3121" s="309" t="str">
        <f>IF(B3121&lt;&gt;"",IF(AND(B3121='IN-TC'!$S$4,OR(TH!N3121="1111",TH!O3121="1111")),TH!D3121,""),"")</f>
        <v/>
      </c>
      <c r="B3121" s="1275">
        <f t="shared" si="1130"/>
        <v>9</v>
      </c>
      <c r="C3121" s="71">
        <v>43003</v>
      </c>
      <c r="D3121" s="71" t="s">
        <v>902</v>
      </c>
      <c r="E3121" s="71">
        <f t="shared" si="1110"/>
        <v>43003</v>
      </c>
      <c r="F3121" s="72" t="s">
        <v>1096</v>
      </c>
      <c r="G3121" s="72" t="s">
        <v>747</v>
      </c>
      <c r="H3121" s="73" t="s">
        <v>2028</v>
      </c>
      <c r="I3121" s="73"/>
      <c r="J3121" s="378"/>
      <c r="K3121" s="371">
        <v>269.77</v>
      </c>
      <c r="L3121" s="1214">
        <v>22700</v>
      </c>
      <c r="M3121" s="74">
        <f t="shared" si="1129"/>
        <v>6123779</v>
      </c>
      <c r="N3121" s="75" t="s">
        <v>99</v>
      </c>
      <c r="O3121" s="934" t="s">
        <v>256</v>
      </c>
      <c r="P3121" s="75" t="str">
        <f>IF(AND('331-CT'!$E$7=TH!H3121,OR(N3121="331",O3121="331")),"x","")</f>
        <v/>
      </c>
      <c r="Q3121" s="75" t="str">
        <f>IF(AND(B3121='111'!$L$11,OR($N3121=$Q$7,$O3121=$Q$7)),"x","")</f>
        <v/>
      </c>
      <c r="R3121" s="75" t="str">
        <f>IF(AND($N3121=$Q$7,$B3121&lt;'111'!$L$11),"x","")</f>
        <v/>
      </c>
      <c r="S3121" s="75" t="str">
        <f>IF(AND($O3121=$Q$7,$B3121&lt;'111'!$L$11),"x","")</f>
        <v/>
      </c>
      <c r="T3121" s="75" t="str">
        <f>IF(ISERROR(FIND('112'!$M$9,G3121,1)),"",IF((AND(FIND('112'!$M$9,G3121,1)&gt;=1,B3121='112'!$K$9,OR($N3121='112'!$I$6,$O3121='112'!$I$6))),"x",""))</f>
        <v/>
      </c>
      <c r="U3121" s="75" t="str">
        <f>IF(ISERROR(FIND('112'!$M$9,G3121,1)),"",IF((AND(LEFT(G3121,2)=LEFT('112'!$M$9,2),B3121&lt;'112'!$K$9,$N3121='112'!$I$6)),"x",""))</f>
        <v/>
      </c>
      <c r="V3121" s="75" t="str">
        <f>IF(ISERROR(FIND('112'!$M$9,G3121,1)),"",IF((AND(RIGHT(G3121,2)=RIGHT('112'!$M$9,2),B3121&lt;'112'!$K$9,$O3121='112'!$I$6)),"x",""))</f>
        <v/>
      </c>
      <c r="W3121" s="75" t="str">
        <f>IF(AND('341-CT'!$H$9=H3121,OR(LEFT(N3121,3)=$W$7,LEFT(O3121,3)=$W$7)),"x","")</f>
        <v/>
      </c>
      <c r="X3121" s="75" t="str">
        <f>IF(OR(TH!N3121=TH!$X$7,O3121=TH!$X$7),"x","")</f>
        <v/>
      </c>
      <c r="Y3121" s="75" t="str">
        <f>IF(AND(OR(N3121="131",O3121="131"),H3121='131-CT'!$H$9),"x","")</f>
        <v/>
      </c>
      <c r="Z3121" s="75"/>
      <c r="AA3121" s="75" t="str">
        <f>IF(AND(MONTH(E3121)='IN-NX'!$J$5,'IN-NX'!$D$7=D3121),"x","")</f>
        <v/>
      </c>
      <c r="AB3121" s="75" t="str">
        <f>IF(AND(OR(LEFT(TH!N3121,2)="15",LEFT(TH!O3121,2)="15"),LEFT(TH!O3121,3)&lt;&gt;"111",'152-CT'!$J$8=TH!F3121),"x","")</f>
        <v/>
      </c>
      <c r="AC3121" s="75" t="str">
        <f>IF(AND(OR(LEFT(TH!N3121,2)="15",LEFT(TH!O3121,2)="15"),TK!$E$7=TH!F3121),"x","")</f>
        <v/>
      </c>
      <c r="AD3121" s="75" t="str">
        <f>IF(AND(N3121="1521",MONTH(C3121)='BK-NL'!$M$11),"x","")</f>
        <v/>
      </c>
    </row>
    <row r="3122" spans="1:31" s="1264" customFormat="1" ht="16.5" customHeight="1">
      <c r="A3122" s="309" t="str">
        <f>IF(B3122&lt;&gt;"",IF(AND(B3122='IN-TC'!$S$4,OR(TH!N3122="1111",TH!O3122="1111")),TH!D3122,""),"")</f>
        <v/>
      </c>
      <c r="B3122" s="1275">
        <f t="shared" si="1130"/>
        <v>9</v>
      </c>
      <c r="C3122" s="71">
        <v>43003</v>
      </c>
      <c r="D3122" s="71" t="s">
        <v>902</v>
      </c>
      <c r="E3122" s="71">
        <f t="shared" si="1110"/>
        <v>43003</v>
      </c>
      <c r="F3122" s="72" t="s">
        <v>1096</v>
      </c>
      <c r="G3122" s="72" t="s">
        <v>747</v>
      </c>
      <c r="H3122" s="73" t="s">
        <v>2034</v>
      </c>
      <c r="I3122" s="73"/>
      <c r="J3122" s="378"/>
      <c r="K3122" s="371">
        <v>940.8</v>
      </c>
      <c r="L3122" s="1214">
        <v>22700</v>
      </c>
      <c r="M3122" s="74">
        <f t="shared" si="1129"/>
        <v>21356160</v>
      </c>
      <c r="N3122" s="75" t="s">
        <v>99</v>
      </c>
      <c r="O3122" s="934" t="s">
        <v>256</v>
      </c>
      <c r="P3122" s="75" t="str">
        <f>IF(AND('331-CT'!$E$7=TH!H3122,OR(N3122="331",O3122="331")),"x","")</f>
        <v/>
      </c>
      <c r="Q3122" s="75" t="str">
        <f>IF(AND(B3122='111'!$L$11,OR($N3122=$Q$7,$O3122=$Q$7)),"x","")</f>
        <v/>
      </c>
      <c r="R3122" s="75" t="str">
        <f>IF(AND($N3122=$Q$7,$B3122&lt;'111'!$L$11),"x","")</f>
        <v/>
      </c>
      <c r="S3122" s="75" t="str">
        <f>IF(AND($O3122=$Q$7,$B3122&lt;'111'!$L$11),"x","")</f>
        <v/>
      </c>
      <c r="T3122" s="75" t="str">
        <f>IF(ISERROR(FIND('112'!$M$9,G3122,1)),"",IF((AND(FIND('112'!$M$9,G3122,1)&gt;=1,B3122='112'!$K$9,OR($N3122='112'!$I$6,$O3122='112'!$I$6))),"x",""))</f>
        <v/>
      </c>
      <c r="U3122" s="75" t="str">
        <f>IF(ISERROR(FIND('112'!$M$9,G3122,1)),"",IF((AND(LEFT(G3122,2)=LEFT('112'!$M$9,2),B3122&lt;'112'!$K$9,$N3122='112'!$I$6)),"x",""))</f>
        <v/>
      </c>
      <c r="V3122" s="75" t="str">
        <f>IF(ISERROR(FIND('112'!$M$9,G3122,1)),"",IF((AND(RIGHT(G3122,2)=RIGHT('112'!$M$9,2),B3122&lt;'112'!$K$9,$O3122='112'!$I$6)),"x",""))</f>
        <v/>
      </c>
      <c r="W3122" s="75" t="str">
        <f>IF(AND('341-CT'!$H$9=H3122,OR(LEFT(N3122,3)=$W$7,LEFT(O3122,3)=$W$7)),"x","")</f>
        <v/>
      </c>
      <c r="X3122" s="75" t="str">
        <f>IF(OR(TH!N3122=TH!$X$7,O3122=TH!$X$7),"x","")</f>
        <v/>
      </c>
      <c r="Y3122" s="75" t="str">
        <f>IF(AND(OR(N3122="131",O3122="131"),H3122='131-CT'!$H$9),"x","")</f>
        <v/>
      </c>
      <c r="Z3122" s="75"/>
      <c r="AA3122" s="75" t="str">
        <f>IF(AND(MONTH(E3122)='IN-NX'!$J$5,'IN-NX'!$D$7=D3122),"x","")</f>
        <v/>
      </c>
      <c r="AB3122" s="75" t="str">
        <f>IF(AND(OR(LEFT(TH!N3122,2)="15",LEFT(TH!O3122,2)="15"),LEFT(TH!O3122,3)&lt;&gt;"111",'152-CT'!$J$8=TH!F3122),"x","")</f>
        <v/>
      </c>
      <c r="AC3122" s="75" t="str">
        <f>IF(AND(OR(LEFT(TH!N3122,2)="15",LEFT(TH!O3122,2)="15"),TK!$E$7=TH!F3122),"x","")</f>
        <v/>
      </c>
      <c r="AD3122" s="75" t="str">
        <f>IF(AND(N3122="1521",MONTH(C3122)='BK-NL'!$M$11),"x","")</f>
        <v/>
      </c>
    </row>
    <row r="3123" spans="1:31" s="1264" customFormat="1" ht="16.5" customHeight="1">
      <c r="A3123" s="309" t="str">
        <f>IF(B3123&lt;&gt;"",IF(AND(B3123='IN-TC'!$S$4,OR(TH!N3123="1111",TH!O3123="1111")),TH!D3123,""),"")</f>
        <v/>
      </c>
      <c r="B3123" s="1275">
        <f t="shared" si="1130"/>
        <v>9</v>
      </c>
      <c r="C3123" s="71">
        <v>43003</v>
      </c>
      <c r="D3123" s="71" t="s">
        <v>902</v>
      </c>
      <c r="E3123" s="71">
        <f t="shared" si="1110"/>
        <v>43003</v>
      </c>
      <c r="F3123" s="72" t="s">
        <v>1096</v>
      </c>
      <c r="G3123" s="72" t="s">
        <v>747</v>
      </c>
      <c r="H3123" s="73" t="s">
        <v>1557</v>
      </c>
      <c r="I3123" s="73"/>
      <c r="J3123" s="378"/>
      <c r="K3123" s="371">
        <v>379.08</v>
      </c>
      <c r="L3123" s="1214">
        <v>22700</v>
      </c>
      <c r="M3123" s="74">
        <f t="shared" si="1129"/>
        <v>8605116</v>
      </c>
      <c r="N3123" s="75" t="s">
        <v>99</v>
      </c>
      <c r="O3123" s="934" t="s">
        <v>256</v>
      </c>
      <c r="P3123" s="75" t="str">
        <f>IF(AND('331-CT'!$E$7=TH!H3123,OR(N3123="331",O3123="331")),"x","")</f>
        <v/>
      </c>
      <c r="Q3123" s="75" t="str">
        <f>IF(AND(B3123='111'!$L$11,OR($N3123=$Q$7,$O3123=$Q$7)),"x","")</f>
        <v/>
      </c>
      <c r="R3123" s="75" t="str">
        <f>IF(AND($N3123=$Q$7,$B3123&lt;'111'!$L$11),"x","")</f>
        <v/>
      </c>
      <c r="S3123" s="75" t="str">
        <f>IF(AND($O3123=$Q$7,$B3123&lt;'111'!$L$11),"x","")</f>
        <v/>
      </c>
      <c r="T3123" s="75" t="str">
        <f>IF(ISERROR(FIND('112'!$M$9,G3123,1)),"",IF((AND(FIND('112'!$M$9,G3123,1)&gt;=1,B3123='112'!$K$9,OR($N3123='112'!$I$6,$O3123='112'!$I$6))),"x",""))</f>
        <v/>
      </c>
      <c r="U3123" s="75" t="str">
        <f>IF(ISERROR(FIND('112'!$M$9,G3123,1)),"",IF((AND(LEFT(G3123,2)=LEFT('112'!$M$9,2),B3123&lt;'112'!$K$9,$N3123='112'!$I$6)),"x",""))</f>
        <v/>
      </c>
      <c r="V3123" s="75" t="str">
        <f>IF(ISERROR(FIND('112'!$M$9,G3123,1)),"",IF((AND(RIGHT(G3123,2)=RIGHT('112'!$M$9,2),B3123&lt;'112'!$K$9,$O3123='112'!$I$6)),"x",""))</f>
        <v/>
      </c>
      <c r="W3123" s="75" t="str">
        <f>IF(AND('341-CT'!$H$9=H3123,OR(LEFT(N3123,3)=$W$7,LEFT(O3123,3)=$W$7)),"x","")</f>
        <v/>
      </c>
      <c r="X3123" s="75" t="str">
        <f>IF(OR(TH!N3123=TH!$X$7,O3123=TH!$X$7),"x","")</f>
        <v/>
      </c>
      <c r="Y3123" s="75" t="str">
        <f>IF(AND(OR(N3123="131",O3123="131"),H3123='131-CT'!$H$9),"x","")</f>
        <v/>
      </c>
      <c r="Z3123" s="75"/>
      <c r="AA3123" s="75" t="str">
        <f>IF(AND(MONTH(E3123)='IN-NX'!$J$5,'IN-NX'!$D$7=D3123),"x","")</f>
        <v/>
      </c>
      <c r="AB3123" s="75" t="str">
        <f>IF(AND(OR(LEFT(TH!N3123,2)="15",LEFT(TH!O3123,2)="15"),LEFT(TH!O3123,3)&lt;&gt;"111",'152-CT'!$J$8=TH!F3123),"x","")</f>
        <v/>
      </c>
      <c r="AC3123" s="75" t="str">
        <f>IF(AND(OR(LEFT(TH!N3123,2)="15",LEFT(TH!O3123,2)="15"),TK!$E$7=TH!F3123),"x","")</f>
        <v/>
      </c>
      <c r="AD3123" s="75" t="str">
        <f>IF(AND(N3123="1521",MONTH(C3123)='BK-NL'!$M$11),"x","")</f>
        <v/>
      </c>
    </row>
    <row r="3124" spans="1:31" s="1264" customFormat="1" ht="16.5" customHeight="1">
      <c r="A3124" s="309" t="str">
        <f>IF(B3124&lt;&gt;"",IF(AND(B3124='IN-TC'!$S$4,OR(TH!N3124="1111",TH!O3124="1111")),TH!D3124,""),"")</f>
        <v/>
      </c>
      <c r="B3124" s="1275">
        <f t="shared" si="1130"/>
        <v>9</v>
      </c>
      <c r="C3124" s="71">
        <v>43003</v>
      </c>
      <c r="D3124" s="71" t="s">
        <v>902</v>
      </c>
      <c r="E3124" s="71">
        <f t="shared" si="1110"/>
        <v>43003</v>
      </c>
      <c r="F3124" s="72" t="s">
        <v>1096</v>
      </c>
      <c r="G3124" s="72" t="s">
        <v>747</v>
      </c>
      <c r="H3124" s="73" t="s">
        <v>1559</v>
      </c>
      <c r="I3124" s="73"/>
      <c r="J3124" s="378"/>
      <c r="K3124" s="371">
        <v>42.17</v>
      </c>
      <c r="L3124" s="1214">
        <v>22700</v>
      </c>
      <c r="M3124" s="74">
        <f t="shared" si="1129"/>
        <v>957259</v>
      </c>
      <c r="N3124" s="75" t="s">
        <v>99</v>
      </c>
      <c r="O3124" s="934" t="s">
        <v>256</v>
      </c>
      <c r="P3124" s="75" t="str">
        <f>IF(AND('331-CT'!$E$7=TH!H3124,OR(N3124="331",O3124="331")),"x","")</f>
        <v/>
      </c>
      <c r="Q3124" s="75" t="str">
        <f>IF(AND(B3124='111'!$L$11,OR($N3124=$Q$7,$O3124=$Q$7)),"x","")</f>
        <v/>
      </c>
      <c r="R3124" s="75" t="str">
        <f>IF(AND($N3124=$Q$7,$B3124&lt;'111'!$L$11),"x","")</f>
        <v/>
      </c>
      <c r="S3124" s="75" t="str">
        <f>IF(AND($O3124=$Q$7,$B3124&lt;'111'!$L$11),"x","")</f>
        <v/>
      </c>
      <c r="T3124" s="75" t="str">
        <f>IF(ISERROR(FIND('112'!$M$9,G3124,1)),"",IF((AND(FIND('112'!$M$9,G3124,1)&gt;=1,B3124='112'!$K$9,OR($N3124='112'!$I$6,$O3124='112'!$I$6))),"x",""))</f>
        <v/>
      </c>
      <c r="U3124" s="75" t="str">
        <f>IF(ISERROR(FIND('112'!$M$9,G3124,1)),"",IF((AND(LEFT(G3124,2)=LEFT('112'!$M$9,2),B3124&lt;'112'!$K$9,$N3124='112'!$I$6)),"x",""))</f>
        <v/>
      </c>
      <c r="V3124" s="75" t="str">
        <f>IF(ISERROR(FIND('112'!$M$9,G3124,1)),"",IF((AND(RIGHT(G3124,2)=RIGHT('112'!$M$9,2),B3124&lt;'112'!$K$9,$O3124='112'!$I$6)),"x",""))</f>
        <v/>
      </c>
      <c r="W3124" s="75" t="str">
        <f>IF(AND('341-CT'!$H$9=H3124,OR(LEFT(N3124,3)=$W$7,LEFT(O3124,3)=$W$7)),"x","")</f>
        <v/>
      </c>
      <c r="X3124" s="75" t="str">
        <f>IF(OR(TH!N3124=TH!$X$7,O3124=TH!$X$7),"x","")</f>
        <v/>
      </c>
      <c r="Y3124" s="75" t="str">
        <f>IF(AND(OR(N3124="131",O3124="131"),H3124='131-CT'!$H$9),"x","")</f>
        <v/>
      </c>
      <c r="Z3124" s="75"/>
      <c r="AA3124" s="75" t="str">
        <f>IF(AND(MONTH(E3124)='IN-NX'!$J$5,'IN-NX'!$D$7=D3124),"x","")</f>
        <v/>
      </c>
      <c r="AB3124" s="75" t="str">
        <f>IF(AND(OR(LEFT(TH!N3124,2)="15",LEFT(TH!O3124,2)="15"),LEFT(TH!O3124,3)&lt;&gt;"111",'152-CT'!$J$8=TH!F3124),"x","")</f>
        <v/>
      </c>
      <c r="AC3124" s="75" t="str">
        <f>IF(AND(OR(LEFT(TH!N3124,2)="15",LEFT(TH!O3124,2)="15"),TK!$E$7=TH!F3124),"x","")</f>
        <v/>
      </c>
      <c r="AD3124" s="75" t="str">
        <f>IF(AND(N3124="1521",MONTH(C3124)='BK-NL'!$M$11),"x","")</f>
        <v/>
      </c>
    </row>
    <row r="3125" spans="1:31" s="1264" customFormat="1" ht="16.5" customHeight="1">
      <c r="A3125" s="309" t="str">
        <f>IF(B3125&lt;&gt;"",IF(AND(B3125='IN-TC'!$S$4,OR(TH!N3125="1111",TH!O3125="1111")),TH!D3125,""),"")</f>
        <v/>
      </c>
      <c r="B3125" s="1275">
        <f t="shared" si="1130"/>
        <v>9</v>
      </c>
      <c r="C3125" s="71">
        <v>43003</v>
      </c>
      <c r="D3125" s="71" t="s">
        <v>902</v>
      </c>
      <c r="E3125" s="71">
        <f t="shared" si="1110"/>
        <v>43003</v>
      </c>
      <c r="F3125" s="72" t="s">
        <v>1096</v>
      </c>
      <c r="G3125" s="72" t="s">
        <v>747</v>
      </c>
      <c r="H3125" s="73" t="s">
        <v>1560</v>
      </c>
      <c r="I3125" s="73"/>
      <c r="J3125" s="378"/>
      <c r="K3125" s="371">
        <v>306.70999999999998</v>
      </c>
      <c r="L3125" s="1214">
        <v>22700</v>
      </c>
      <c r="M3125" s="74">
        <f t="shared" si="1129"/>
        <v>6962317</v>
      </c>
      <c r="N3125" s="75" t="s">
        <v>99</v>
      </c>
      <c r="O3125" s="934" t="s">
        <v>256</v>
      </c>
      <c r="P3125" s="75" t="str">
        <f>IF(AND('331-CT'!$E$7=TH!H3125,OR(N3125="331",O3125="331")),"x","")</f>
        <v/>
      </c>
      <c r="Q3125" s="75" t="str">
        <f>IF(AND(B3125='111'!$L$11,OR($N3125=$Q$7,$O3125=$Q$7)),"x","")</f>
        <v/>
      </c>
      <c r="R3125" s="75" t="str">
        <f>IF(AND($N3125=$Q$7,$B3125&lt;'111'!$L$11),"x","")</f>
        <v/>
      </c>
      <c r="S3125" s="75" t="str">
        <f>IF(AND($O3125=$Q$7,$B3125&lt;'111'!$L$11),"x","")</f>
        <v/>
      </c>
      <c r="T3125" s="75" t="str">
        <f>IF(ISERROR(FIND('112'!$M$9,G3125,1)),"",IF((AND(FIND('112'!$M$9,G3125,1)&gt;=1,B3125='112'!$K$9,OR($N3125='112'!$I$6,$O3125='112'!$I$6))),"x",""))</f>
        <v/>
      </c>
      <c r="U3125" s="75" t="str">
        <f>IF(ISERROR(FIND('112'!$M$9,G3125,1)),"",IF((AND(LEFT(G3125,2)=LEFT('112'!$M$9,2),B3125&lt;'112'!$K$9,$N3125='112'!$I$6)),"x",""))</f>
        <v/>
      </c>
      <c r="V3125" s="75" t="str">
        <f>IF(ISERROR(FIND('112'!$M$9,G3125,1)),"",IF((AND(RIGHT(G3125,2)=RIGHT('112'!$M$9,2),B3125&lt;'112'!$K$9,$O3125='112'!$I$6)),"x",""))</f>
        <v/>
      </c>
      <c r="W3125" s="75" t="str">
        <f>IF(AND('341-CT'!$H$9=H3125,OR(LEFT(N3125,3)=$W$7,LEFT(O3125,3)=$W$7)),"x","")</f>
        <v/>
      </c>
      <c r="X3125" s="75" t="str">
        <f>IF(OR(TH!N3125=TH!$X$7,O3125=TH!$X$7),"x","")</f>
        <v/>
      </c>
      <c r="Y3125" s="75" t="str">
        <f>IF(AND(OR(N3125="131",O3125="131"),H3125='131-CT'!$H$9),"x","")</f>
        <v/>
      </c>
      <c r="Z3125" s="75"/>
      <c r="AA3125" s="75" t="str">
        <f>IF(AND(MONTH(E3125)='IN-NX'!$J$5,'IN-NX'!$D$7=D3125),"x","")</f>
        <v/>
      </c>
      <c r="AB3125" s="75" t="str">
        <f>IF(AND(OR(LEFT(TH!N3125,2)="15",LEFT(TH!O3125,2)="15"),LEFT(TH!O3125,3)&lt;&gt;"111",'152-CT'!$J$8=TH!F3125),"x","")</f>
        <v/>
      </c>
      <c r="AC3125" s="75" t="str">
        <f>IF(AND(OR(LEFT(TH!N3125,2)="15",LEFT(TH!O3125,2)="15"),TK!$E$7=TH!F3125),"x","")</f>
        <v/>
      </c>
      <c r="AD3125" s="75" t="str">
        <f>IF(AND(N3125="1521",MONTH(C3125)='BK-NL'!$M$11),"x","")</f>
        <v/>
      </c>
    </row>
    <row r="3126" spans="1:31" s="1264" customFormat="1" ht="16.5" customHeight="1">
      <c r="A3126" s="309" t="str">
        <f>IF(B3126&lt;&gt;"",IF(AND(B3126='IN-TC'!$S$4,OR(TH!N3126="1111",TH!O3126="1111")),TH!D3126,""),"")</f>
        <v/>
      </c>
      <c r="B3126" s="1275">
        <f t="shared" si="1130"/>
        <v>9</v>
      </c>
      <c r="C3126" s="71">
        <v>43003</v>
      </c>
      <c r="D3126" s="71" t="s">
        <v>902</v>
      </c>
      <c r="E3126" s="71">
        <f t="shared" si="1110"/>
        <v>43003</v>
      </c>
      <c r="F3126" s="72" t="s">
        <v>1096</v>
      </c>
      <c r="G3126" s="72" t="s">
        <v>747</v>
      </c>
      <c r="H3126" s="73" t="s">
        <v>1780</v>
      </c>
      <c r="I3126" s="73"/>
      <c r="J3126" s="378"/>
      <c r="K3126" s="371">
        <v>226.24</v>
      </c>
      <c r="L3126" s="1214">
        <v>22700</v>
      </c>
      <c r="M3126" s="74">
        <f t="shared" si="1129"/>
        <v>5135648</v>
      </c>
      <c r="N3126" s="75" t="s">
        <v>99</v>
      </c>
      <c r="O3126" s="934" t="s">
        <v>256</v>
      </c>
      <c r="P3126" s="75" t="str">
        <f>IF(AND('331-CT'!$E$7=TH!H3126,OR(N3126="331",O3126="331")),"x","")</f>
        <v/>
      </c>
      <c r="Q3126" s="75" t="str">
        <f>IF(AND(B3126='111'!$L$11,OR($N3126=$Q$7,$O3126=$Q$7)),"x","")</f>
        <v/>
      </c>
      <c r="R3126" s="75" t="str">
        <f>IF(AND($N3126=$Q$7,$B3126&lt;'111'!$L$11),"x","")</f>
        <v/>
      </c>
      <c r="S3126" s="75" t="str">
        <f>IF(AND($O3126=$Q$7,$B3126&lt;'111'!$L$11),"x","")</f>
        <v/>
      </c>
      <c r="T3126" s="75" t="str">
        <f>IF(ISERROR(FIND('112'!$M$9,G3126,1)),"",IF((AND(FIND('112'!$M$9,G3126,1)&gt;=1,B3126='112'!$K$9,OR($N3126='112'!$I$6,$O3126='112'!$I$6))),"x",""))</f>
        <v/>
      </c>
      <c r="U3126" s="75" t="str">
        <f>IF(ISERROR(FIND('112'!$M$9,G3126,1)),"",IF((AND(LEFT(G3126,2)=LEFT('112'!$M$9,2),B3126&lt;'112'!$K$9,$N3126='112'!$I$6)),"x",""))</f>
        <v/>
      </c>
      <c r="V3126" s="75" t="str">
        <f>IF(ISERROR(FIND('112'!$M$9,G3126,1)),"",IF((AND(RIGHT(G3126,2)=RIGHT('112'!$M$9,2),B3126&lt;'112'!$K$9,$O3126='112'!$I$6)),"x",""))</f>
        <v/>
      </c>
      <c r="W3126" s="75" t="str">
        <f>IF(AND('341-CT'!$H$9=H3126,OR(LEFT(N3126,3)=$W$7,LEFT(O3126,3)=$W$7)),"x","")</f>
        <v/>
      </c>
      <c r="X3126" s="75" t="str">
        <f>IF(OR(TH!N3126=TH!$X$7,O3126=TH!$X$7),"x","")</f>
        <v/>
      </c>
      <c r="Y3126" s="75" t="str">
        <f>IF(AND(OR(N3126="131",O3126="131"),H3126='131-CT'!$H$9),"x","")</f>
        <v/>
      </c>
      <c r="Z3126" s="75"/>
      <c r="AA3126" s="75" t="str">
        <f>IF(AND(MONTH(E3126)='IN-NX'!$J$5,'IN-NX'!$D$7=D3126),"x","")</f>
        <v/>
      </c>
      <c r="AB3126" s="75" t="str">
        <f>IF(AND(OR(LEFT(TH!N3126,2)="15",LEFT(TH!O3126,2)="15"),LEFT(TH!O3126,3)&lt;&gt;"111",'152-CT'!$J$8=TH!F3126),"x","")</f>
        <v/>
      </c>
      <c r="AC3126" s="75" t="str">
        <f>IF(AND(OR(LEFT(TH!N3126,2)="15",LEFT(TH!O3126,2)="15"),TK!$E$7=TH!F3126),"x","")</f>
        <v/>
      </c>
      <c r="AD3126" s="75" t="str">
        <f>IF(AND(N3126="1521",MONTH(C3126)='BK-NL'!$M$11),"x","")</f>
        <v/>
      </c>
    </row>
    <row r="3127" spans="1:31" s="1264" customFormat="1" ht="16.5" customHeight="1">
      <c r="A3127" s="309" t="str">
        <f>IF(B3127&lt;&gt;"",IF(AND(B3127='IN-TC'!$S$4,OR(TH!N3127="1111",TH!O3127="1111")),TH!D3127,""),"")</f>
        <v/>
      </c>
      <c r="B3127" s="1275">
        <f t="shared" si="1130"/>
        <v>9</v>
      </c>
      <c r="C3127" s="71">
        <v>43003</v>
      </c>
      <c r="D3127" s="71" t="s">
        <v>902</v>
      </c>
      <c r="E3127" s="71">
        <f t="shared" si="1110"/>
        <v>43003</v>
      </c>
      <c r="F3127" s="72" t="s">
        <v>1096</v>
      </c>
      <c r="G3127" s="72" t="s">
        <v>747</v>
      </c>
      <c r="H3127" s="73" t="s">
        <v>835</v>
      </c>
      <c r="I3127" s="73"/>
      <c r="J3127" s="378"/>
      <c r="K3127" s="371">
        <v>199.33</v>
      </c>
      <c r="L3127" s="1214">
        <v>22700</v>
      </c>
      <c r="M3127" s="74">
        <f t="shared" si="1129"/>
        <v>4524791</v>
      </c>
      <c r="N3127" s="75" t="s">
        <v>99</v>
      </c>
      <c r="O3127" s="934" t="s">
        <v>256</v>
      </c>
      <c r="P3127" s="75" t="str">
        <f>IF(AND('331-CT'!$E$7=TH!H3127,OR(N3127="331",O3127="331")),"x","")</f>
        <v/>
      </c>
      <c r="Q3127" s="75" t="str">
        <f>IF(AND(B3127='111'!$L$11,OR($N3127=$Q$7,$O3127=$Q$7)),"x","")</f>
        <v/>
      </c>
      <c r="R3127" s="75" t="str">
        <f>IF(AND($N3127=$Q$7,$B3127&lt;'111'!$L$11),"x","")</f>
        <v/>
      </c>
      <c r="S3127" s="75" t="str">
        <f>IF(AND($O3127=$Q$7,$B3127&lt;'111'!$L$11),"x","")</f>
        <v/>
      </c>
      <c r="T3127" s="75" t="str">
        <f>IF(ISERROR(FIND('112'!$M$9,G3127,1)),"",IF((AND(FIND('112'!$M$9,G3127,1)&gt;=1,B3127='112'!$K$9,OR($N3127='112'!$I$6,$O3127='112'!$I$6))),"x",""))</f>
        <v/>
      </c>
      <c r="U3127" s="75" t="str">
        <f>IF(ISERROR(FIND('112'!$M$9,G3127,1)),"",IF((AND(LEFT(G3127,2)=LEFT('112'!$M$9,2),B3127&lt;'112'!$K$9,$N3127='112'!$I$6)),"x",""))</f>
        <v/>
      </c>
      <c r="V3127" s="75" t="str">
        <f>IF(ISERROR(FIND('112'!$M$9,G3127,1)),"",IF((AND(RIGHT(G3127,2)=RIGHT('112'!$M$9,2),B3127&lt;'112'!$K$9,$O3127='112'!$I$6)),"x",""))</f>
        <v/>
      </c>
      <c r="W3127" s="75" t="str">
        <f>IF(AND('341-CT'!$H$9=H3127,OR(LEFT(N3127,3)=$W$7,LEFT(O3127,3)=$W$7)),"x","")</f>
        <v/>
      </c>
      <c r="X3127" s="75" t="str">
        <f>IF(OR(TH!N3127=TH!$X$7,O3127=TH!$X$7),"x","")</f>
        <v/>
      </c>
      <c r="Y3127" s="75" t="str">
        <f>IF(AND(OR(N3127="131",O3127="131"),H3127='131-CT'!$H$9),"x","")</f>
        <v/>
      </c>
      <c r="Z3127" s="75"/>
      <c r="AA3127" s="75" t="str">
        <f>IF(AND(MONTH(E3127)='IN-NX'!$J$5,'IN-NX'!$D$7=D3127),"x","")</f>
        <v/>
      </c>
      <c r="AB3127" s="75" t="str">
        <f>IF(AND(OR(LEFT(TH!N3127,2)="15",LEFT(TH!O3127,2)="15"),LEFT(TH!O3127,3)&lt;&gt;"111",'152-CT'!$J$8=TH!F3127),"x","")</f>
        <v/>
      </c>
      <c r="AC3127" s="75" t="str">
        <f>IF(AND(OR(LEFT(TH!N3127,2)="15",LEFT(TH!O3127,2)="15"),TK!$E$7=TH!F3127),"x","")</f>
        <v/>
      </c>
      <c r="AD3127" s="75" t="str">
        <f>IF(AND(N3127="1521",MONTH(C3127)='BK-NL'!$M$11),"x","")</f>
        <v/>
      </c>
    </row>
    <row r="3128" spans="1:31" s="1264" customFormat="1" ht="16.5" customHeight="1">
      <c r="A3128" s="309" t="str">
        <f>IF(B3128&lt;&gt;"",IF(AND(B3128='IN-TC'!$S$4,OR(TH!N3128="1111",TH!O3128="1111")),TH!D3128,""),"")</f>
        <v/>
      </c>
      <c r="B3128" s="1275">
        <f t="shared" si="1130"/>
        <v>9</v>
      </c>
      <c r="C3128" s="71">
        <v>43003</v>
      </c>
      <c r="D3128" s="71" t="s">
        <v>902</v>
      </c>
      <c r="E3128" s="71">
        <f t="shared" ref="E3128:E3162" si="1131">C3128</f>
        <v>43003</v>
      </c>
      <c r="F3128" s="72" t="s">
        <v>1096</v>
      </c>
      <c r="G3128" s="72" t="s">
        <v>747</v>
      </c>
      <c r="H3128" s="73" t="s">
        <v>2033</v>
      </c>
      <c r="I3128" s="73"/>
      <c r="J3128" s="378"/>
      <c r="K3128" s="371">
        <v>203.54</v>
      </c>
      <c r="L3128" s="1214">
        <v>22700</v>
      </c>
      <c r="M3128" s="74">
        <f t="shared" si="1129"/>
        <v>4620358</v>
      </c>
      <c r="N3128" s="75" t="s">
        <v>99</v>
      </c>
      <c r="O3128" s="934" t="s">
        <v>256</v>
      </c>
      <c r="P3128" s="75" t="str">
        <f>IF(AND('331-CT'!$E$7=TH!H3128,OR(N3128="331",O3128="331")),"x","")</f>
        <v/>
      </c>
      <c r="Q3128" s="75" t="str">
        <f>IF(AND(B3128='111'!$L$11,OR($N3128=$Q$7,$O3128=$Q$7)),"x","")</f>
        <v/>
      </c>
      <c r="R3128" s="75" t="str">
        <f>IF(AND($N3128=$Q$7,$B3128&lt;'111'!$L$11),"x","")</f>
        <v/>
      </c>
      <c r="S3128" s="75" t="str">
        <f>IF(AND($O3128=$Q$7,$B3128&lt;'111'!$L$11),"x","")</f>
        <v/>
      </c>
      <c r="T3128" s="75" t="str">
        <f>IF(ISERROR(FIND('112'!$M$9,G3128,1)),"",IF((AND(FIND('112'!$M$9,G3128,1)&gt;=1,B3128='112'!$K$9,OR($N3128='112'!$I$6,$O3128='112'!$I$6))),"x",""))</f>
        <v/>
      </c>
      <c r="U3128" s="75" t="str">
        <f>IF(ISERROR(FIND('112'!$M$9,G3128,1)),"",IF((AND(LEFT(G3128,2)=LEFT('112'!$M$9,2),B3128&lt;'112'!$K$9,$N3128='112'!$I$6)),"x",""))</f>
        <v/>
      </c>
      <c r="V3128" s="75" t="str">
        <f>IF(ISERROR(FIND('112'!$M$9,G3128,1)),"",IF((AND(RIGHT(G3128,2)=RIGHT('112'!$M$9,2),B3128&lt;'112'!$K$9,$O3128='112'!$I$6)),"x",""))</f>
        <v/>
      </c>
      <c r="W3128" s="75" t="str">
        <f>IF(AND('341-CT'!$H$9=H3128,OR(LEFT(N3128,3)=$W$7,LEFT(O3128,3)=$W$7)),"x","")</f>
        <v/>
      </c>
      <c r="X3128" s="75" t="str">
        <f>IF(OR(TH!N3128=TH!$X$7,O3128=TH!$X$7),"x","")</f>
        <v/>
      </c>
      <c r="Y3128" s="75" t="str">
        <f>IF(AND(OR(N3128="131",O3128="131"),H3128='131-CT'!$H$9),"x","")</f>
        <v/>
      </c>
      <c r="Z3128" s="75"/>
      <c r="AA3128" s="75" t="str">
        <f>IF(AND(MONTH(E3128)='IN-NX'!$J$5,'IN-NX'!$D$7=D3128),"x","")</f>
        <v/>
      </c>
      <c r="AB3128" s="75" t="str">
        <f>IF(AND(OR(LEFT(TH!N3128,2)="15",LEFT(TH!O3128,2)="15"),LEFT(TH!O3128,3)&lt;&gt;"111",'152-CT'!$J$8=TH!F3128),"x","")</f>
        <v/>
      </c>
      <c r="AC3128" s="75" t="str">
        <f>IF(AND(OR(LEFT(TH!N3128,2)="15",LEFT(TH!O3128,2)="15"),TK!$E$7=TH!F3128),"x","")</f>
        <v/>
      </c>
      <c r="AD3128" s="75" t="str">
        <f>IF(AND(N3128="1521",MONTH(C3128)='BK-NL'!$M$11),"x","")</f>
        <v/>
      </c>
    </row>
    <row r="3129" spans="1:31" s="1264" customFormat="1" ht="16.5" customHeight="1">
      <c r="A3129" s="309" t="str">
        <f>IF(B3129&lt;&gt;"",IF(AND(B3129='IN-TC'!$S$4,OR(TH!N3129="1111",TH!O3129="1111")),TH!D3129,""),"")</f>
        <v/>
      </c>
      <c r="B3129" s="1275">
        <f t="shared" si="1130"/>
        <v>9</v>
      </c>
      <c r="C3129" s="71">
        <v>43003</v>
      </c>
      <c r="D3129" s="71" t="s">
        <v>902</v>
      </c>
      <c r="E3129" s="71">
        <f t="shared" si="1131"/>
        <v>43003</v>
      </c>
      <c r="F3129" s="72" t="s">
        <v>1096</v>
      </c>
      <c r="G3129" s="72" t="s">
        <v>747</v>
      </c>
      <c r="H3129" s="73" t="s">
        <v>2251</v>
      </c>
      <c r="I3129" s="73"/>
      <c r="J3129" s="378"/>
      <c r="K3129" s="371">
        <v>127.66</v>
      </c>
      <c r="L3129" s="1214">
        <v>22700</v>
      </c>
      <c r="M3129" s="74">
        <f t="shared" si="1129"/>
        <v>2897882</v>
      </c>
      <c r="N3129" s="75" t="s">
        <v>99</v>
      </c>
      <c r="O3129" s="934" t="s">
        <v>256</v>
      </c>
      <c r="P3129" s="75" t="str">
        <f>IF(AND('331-CT'!$E$7=TH!H3129,OR(N3129="331",O3129="331")),"x","")</f>
        <v/>
      </c>
      <c r="Q3129" s="75" t="str">
        <f>IF(AND(B3129='111'!$L$11,OR($N3129=$Q$7,$O3129=$Q$7)),"x","")</f>
        <v/>
      </c>
      <c r="R3129" s="75" t="str">
        <f>IF(AND($N3129=$Q$7,$B3129&lt;'111'!$L$11),"x","")</f>
        <v/>
      </c>
      <c r="S3129" s="75" t="str">
        <f>IF(AND($O3129=$Q$7,$B3129&lt;'111'!$L$11),"x","")</f>
        <v/>
      </c>
      <c r="T3129" s="75" t="str">
        <f>IF(ISERROR(FIND('112'!$M$9,G3129,1)),"",IF((AND(FIND('112'!$M$9,G3129,1)&gt;=1,B3129='112'!$K$9,OR($N3129='112'!$I$6,$O3129='112'!$I$6))),"x",""))</f>
        <v/>
      </c>
      <c r="U3129" s="75" t="str">
        <f>IF(ISERROR(FIND('112'!$M$9,G3129,1)),"",IF((AND(LEFT(G3129,2)=LEFT('112'!$M$9,2),B3129&lt;'112'!$K$9,$N3129='112'!$I$6)),"x",""))</f>
        <v/>
      </c>
      <c r="V3129" s="75" t="str">
        <f>IF(ISERROR(FIND('112'!$M$9,G3129,1)),"",IF((AND(RIGHT(G3129,2)=RIGHT('112'!$M$9,2),B3129&lt;'112'!$K$9,$O3129='112'!$I$6)),"x",""))</f>
        <v/>
      </c>
      <c r="W3129" s="75" t="str">
        <f>IF(AND('341-CT'!$H$9=H3129,OR(LEFT(N3129,3)=$W$7,LEFT(O3129,3)=$W$7)),"x","")</f>
        <v/>
      </c>
      <c r="X3129" s="75" t="str">
        <f>IF(OR(TH!N3129=TH!$X$7,O3129=TH!$X$7),"x","")</f>
        <v/>
      </c>
      <c r="Y3129" s="75" t="str">
        <f>IF(AND(OR(N3129="131",O3129="131"),H3129='131-CT'!$H$9),"x","")</f>
        <v/>
      </c>
      <c r="Z3129" s="75"/>
      <c r="AA3129" s="75" t="str">
        <f>IF(AND(MONTH(E3129)='IN-NX'!$J$5,'IN-NX'!$D$7=D3129),"x","")</f>
        <v/>
      </c>
      <c r="AB3129" s="75" t="str">
        <f>IF(AND(OR(LEFT(TH!N3129,2)="15",LEFT(TH!O3129,2)="15"),LEFT(TH!O3129,3)&lt;&gt;"111",'152-CT'!$J$8=TH!F3129),"x","")</f>
        <v/>
      </c>
      <c r="AC3129" s="75" t="str">
        <f>IF(AND(OR(LEFT(TH!N3129,2)="15",LEFT(TH!O3129,2)="15"),TK!$E$7=TH!F3129),"x","")</f>
        <v/>
      </c>
      <c r="AD3129" s="75" t="str">
        <f>IF(AND(N3129="1521",MONTH(C3129)='BK-NL'!$M$11),"x","")</f>
        <v/>
      </c>
    </row>
    <row r="3130" spans="1:31" s="1264" customFormat="1" ht="16.5" customHeight="1">
      <c r="A3130" s="309" t="str">
        <f>IF(B3130&lt;&gt;"",IF(AND(B3130='IN-TC'!$S$4,OR(TH!N3130="1111",TH!O3130="1111")),TH!D3130,""),"")</f>
        <v/>
      </c>
      <c r="B3130" s="1275">
        <f t="shared" si="1130"/>
        <v>9</v>
      </c>
      <c r="C3130" s="71">
        <v>43004</v>
      </c>
      <c r="D3130" s="71" t="s">
        <v>902</v>
      </c>
      <c r="E3130" s="71">
        <f t="shared" si="1131"/>
        <v>43004</v>
      </c>
      <c r="F3130" s="72" t="s">
        <v>1321</v>
      </c>
      <c r="G3130" s="72" t="s">
        <v>747</v>
      </c>
      <c r="H3130" s="73" t="s">
        <v>2034</v>
      </c>
      <c r="I3130" s="73"/>
      <c r="J3130" s="378"/>
      <c r="K3130" s="371">
        <v>90000</v>
      </c>
      <c r="L3130" s="1214">
        <v>22700</v>
      </c>
      <c r="M3130" s="74">
        <f t="shared" ref="M3130:M3137" si="1132">ROUND(K3130*L3130,0)</f>
        <v>2043000000</v>
      </c>
      <c r="N3130" s="75" t="s">
        <v>250</v>
      </c>
      <c r="O3130" s="934" t="s">
        <v>256</v>
      </c>
      <c r="P3130" s="75" t="str">
        <f>IF(AND('331-CT'!$E$7=TH!H3130,OR(N3130="331",O3130="331")),"x","")</f>
        <v/>
      </c>
      <c r="Q3130" s="75" t="str">
        <f>IF(AND(B3130='111'!$L$11,OR($N3130=$Q$7,$O3130=$Q$7)),"x","")</f>
        <v/>
      </c>
      <c r="R3130" s="75" t="str">
        <f>IF(AND($N3130=$Q$7,$B3130&lt;'111'!$L$11),"x","")</f>
        <v/>
      </c>
      <c r="S3130" s="75" t="str">
        <f>IF(AND($O3130=$Q$7,$B3130&lt;'111'!$L$11),"x","")</f>
        <v/>
      </c>
      <c r="T3130" s="75" t="str">
        <f>IF(ISERROR(FIND('112'!$M$9,G3130,1)),"",IF((AND(FIND('112'!$M$9,G3130,1)&gt;=1,B3130='112'!$K$9,OR($N3130='112'!$I$6,$O3130='112'!$I$6))),"x",""))</f>
        <v/>
      </c>
      <c r="U3130" s="75" t="str">
        <f>IF(ISERROR(FIND('112'!$M$9,G3130,1)),"",IF((AND(LEFT(G3130,2)=LEFT('112'!$M$9,2),B3130&lt;'112'!$K$9,$N3130='112'!$I$6)),"x",""))</f>
        <v/>
      </c>
      <c r="V3130" s="75" t="str">
        <f>IF(ISERROR(FIND('112'!$M$9,G3130,1)),"",IF((AND(RIGHT(G3130,2)=RIGHT('112'!$M$9,2),B3130&lt;'112'!$K$9,$O3130='112'!$I$6)),"x",""))</f>
        <v/>
      </c>
      <c r="W3130" s="75" t="str">
        <f>IF(AND('341-CT'!$H$9=H3130,OR(LEFT(N3130,3)=$W$7,LEFT(O3130,3)=$W$7)),"x","")</f>
        <v/>
      </c>
      <c r="X3130" s="75" t="str">
        <f>IF(OR(TH!N3130=TH!$X$7,O3130=TH!$X$7),"x","")</f>
        <v/>
      </c>
      <c r="Y3130" s="75" t="str">
        <f>IF(AND(OR(N3130="131",O3130="131"),H3130='131-CT'!$H$9),"x","")</f>
        <v/>
      </c>
      <c r="Z3130" s="75"/>
      <c r="AA3130" s="75" t="str">
        <f>IF(AND(MONTH(E3130)='IN-NX'!$J$5,'IN-NX'!$D$7=D3130),"x","")</f>
        <v/>
      </c>
      <c r="AB3130" s="75" t="str">
        <f>IF(AND(OR(LEFT(TH!N3130,2)="15",LEFT(TH!O3130,2)="15"),LEFT(TH!O3130,3)&lt;&gt;"111",'152-CT'!$J$8=TH!F3130),"x","")</f>
        <v/>
      </c>
      <c r="AC3130" s="75" t="str">
        <f>IF(AND(OR(LEFT(TH!N3130,2)="15",LEFT(TH!O3130,2)="15"),TK!$E$7=TH!F3130),"x","")</f>
        <v/>
      </c>
      <c r="AD3130" s="75" t="str">
        <f>IF(AND(N3130="1521",MONTH(C3130)='BK-NL'!$M$11),"x","")</f>
        <v/>
      </c>
    </row>
    <row r="3131" spans="1:31" s="1264" customFormat="1" ht="16.5" customHeight="1">
      <c r="A3131" s="309" t="str">
        <f>IF(B3131&lt;&gt;"",IF(AND(B3131='IN-TC'!$S$4,OR(TH!N3131="1111",TH!O3131="1111")),TH!D3131,""),"")</f>
        <v/>
      </c>
      <c r="B3131" s="1275">
        <f t="shared" si="1130"/>
        <v>9</v>
      </c>
      <c r="C3131" s="71">
        <v>43004</v>
      </c>
      <c r="D3131" s="71" t="s">
        <v>902</v>
      </c>
      <c r="E3131" s="71">
        <f t="shared" si="1131"/>
        <v>43004</v>
      </c>
      <c r="F3131" s="72" t="s">
        <v>907</v>
      </c>
      <c r="G3131" s="72" t="s">
        <v>747</v>
      </c>
      <c r="H3131" s="73" t="s">
        <v>835</v>
      </c>
      <c r="I3131" s="73"/>
      <c r="J3131" s="378"/>
      <c r="K3131" s="371">
        <v>80000</v>
      </c>
      <c r="L3131" s="1214">
        <v>22725</v>
      </c>
      <c r="M3131" s="74">
        <f t="shared" si="1132"/>
        <v>1818000000</v>
      </c>
      <c r="N3131" s="75" t="s">
        <v>26</v>
      </c>
      <c r="O3131" s="934" t="s">
        <v>256</v>
      </c>
      <c r="P3131" s="75" t="str">
        <f>IF(AND('331-CT'!$E$7=TH!H3131,OR(N3131="331",O3131="331")),"x","")</f>
        <v/>
      </c>
      <c r="Q3131" s="75" t="str">
        <f>IF(AND(B3131='111'!$L$11,OR($N3131=$Q$7,$O3131=$Q$7)),"x","")</f>
        <v/>
      </c>
      <c r="R3131" s="75" t="str">
        <f>IF(AND($N3131=$Q$7,$B3131&lt;'111'!$L$11),"x","")</f>
        <v/>
      </c>
      <c r="S3131" s="75" t="str">
        <f>IF(AND($O3131=$Q$7,$B3131&lt;'111'!$L$11),"x","")</f>
        <v/>
      </c>
      <c r="T3131" s="75" t="str">
        <f>IF(ISERROR(FIND('112'!$M$9,G3131,1)),"",IF((AND(FIND('112'!$M$9,G3131,1)&gt;=1,B3131='112'!$K$9,OR($N3131='112'!$I$6,$O3131='112'!$I$6))),"x",""))</f>
        <v/>
      </c>
      <c r="U3131" s="75" t="str">
        <f>IF(ISERROR(FIND('112'!$M$9,G3131,1)),"",IF((AND(LEFT(G3131,2)=LEFT('112'!$M$9,2),B3131&lt;'112'!$K$9,$N3131='112'!$I$6)),"x",""))</f>
        <v/>
      </c>
      <c r="V3131" s="75" t="str">
        <f>IF(ISERROR(FIND('112'!$M$9,G3131,1)),"",IF((AND(RIGHT(G3131,2)=RIGHT('112'!$M$9,2),B3131&lt;'112'!$K$9,$O3131='112'!$I$6)),"x",""))</f>
        <v/>
      </c>
      <c r="W3131" s="75" t="str">
        <f>IF(AND('341-CT'!$H$9=H3131,OR(LEFT(N3131,3)=$W$7,LEFT(O3131,3)=$W$7)),"x","")</f>
        <v/>
      </c>
      <c r="X3131" s="75" t="str">
        <f>IF(OR(TH!N3131=TH!$X$7,O3131=TH!$X$7),"x","")</f>
        <v/>
      </c>
      <c r="Y3131" s="75" t="str">
        <f>IF(AND(OR(N3131="131",O3131="131"),H3131='131-CT'!$H$9),"x","")</f>
        <v/>
      </c>
      <c r="Z3131" s="75"/>
      <c r="AA3131" s="75" t="str">
        <f>IF(AND(MONTH(E3131)='IN-NX'!$J$5,'IN-NX'!$D$7=D3131),"x","")</f>
        <v/>
      </c>
      <c r="AB3131" s="75" t="str">
        <f>IF(AND(OR(LEFT(TH!N3131,2)="15",LEFT(TH!O3131,2)="15"),LEFT(TH!O3131,3)&lt;&gt;"111",'152-CT'!$J$8=TH!F3131),"x","")</f>
        <v/>
      </c>
      <c r="AC3131" s="75" t="str">
        <f>IF(AND(OR(LEFT(TH!N3131,2)="15",LEFT(TH!O3131,2)="15"),TK!$E$7=TH!F3131),"x","")</f>
        <v/>
      </c>
      <c r="AD3131" s="75" t="str">
        <f>IF(AND(N3131="1521",MONTH(C3131)='BK-NL'!$M$11),"x","")</f>
        <v/>
      </c>
    </row>
    <row r="3132" spans="1:31" s="1264" customFormat="1" ht="16.5" customHeight="1">
      <c r="A3132" s="309" t="str">
        <f>IF(B3132&lt;&gt;"",IF(AND(B3132='IN-TC'!$S$4,OR(TH!N3132="1111",TH!O3132="1111")),TH!D3132,""),"")</f>
        <v/>
      </c>
      <c r="B3132" s="1275">
        <f t="shared" si="1130"/>
        <v>9</v>
      </c>
      <c r="C3132" s="71">
        <v>43004</v>
      </c>
      <c r="D3132" s="71" t="s">
        <v>902</v>
      </c>
      <c r="E3132" s="71">
        <f t="shared" si="1131"/>
        <v>43004</v>
      </c>
      <c r="F3132" s="72" t="s">
        <v>2266</v>
      </c>
      <c r="G3132" s="72" t="s">
        <v>747</v>
      </c>
      <c r="H3132" s="73" t="s">
        <v>835</v>
      </c>
      <c r="I3132" s="73"/>
      <c r="J3132" s="378"/>
      <c r="K3132" s="371">
        <v>3</v>
      </c>
      <c r="L3132" s="1214">
        <v>22700</v>
      </c>
      <c r="M3132" s="74">
        <f t="shared" si="1132"/>
        <v>68100</v>
      </c>
      <c r="N3132" s="75" t="s">
        <v>101</v>
      </c>
      <c r="O3132" s="934" t="s">
        <v>256</v>
      </c>
      <c r="P3132" s="75" t="str">
        <f>IF(AND('331-CT'!$E$7=TH!H3132,OR(N3132="331",O3132="331")),"x","")</f>
        <v/>
      </c>
      <c r="Q3132" s="75" t="str">
        <f>IF(AND(B3132='111'!$L$11,OR($N3132=$Q$7,$O3132=$Q$7)),"x","")</f>
        <v/>
      </c>
      <c r="R3132" s="75" t="str">
        <f>IF(AND($N3132=$Q$7,$B3132&lt;'111'!$L$11),"x","")</f>
        <v/>
      </c>
      <c r="S3132" s="75" t="str">
        <f>IF(AND($O3132=$Q$7,$B3132&lt;'111'!$L$11),"x","")</f>
        <v/>
      </c>
      <c r="T3132" s="75" t="str">
        <f>IF(ISERROR(FIND('112'!$M$9,G3132,1)),"",IF((AND(FIND('112'!$M$9,G3132,1)&gt;=1,B3132='112'!$K$9,OR($N3132='112'!$I$6,$O3132='112'!$I$6))),"x",""))</f>
        <v/>
      </c>
      <c r="U3132" s="75" t="str">
        <f>IF(ISERROR(FIND('112'!$M$9,G3132,1)),"",IF((AND(LEFT(G3132,2)=LEFT('112'!$M$9,2),B3132&lt;'112'!$K$9,$N3132='112'!$I$6)),"x",""))</f>
        <v/>
      </c>
      <c r="V3132" s="75" t="str">
        <f>IF(ISERROR(FIND('112'!$M$9,G3132,1)),"",IF((AND(RIGHT(G3132,2)=RIGHT('112'!$M$9,2),B3132&lt;'112'!$K$9,$O3132='112'!$I$6)),"x",""))</f>
        <v/>
      </c>
      <c r="W3132" s="75" t="str">
        <f>IF(AND('341-CT'!$H$9=H3132,OR(LEFT(N3132,3)=$W$7,LEFT(O3132,3)=$W$7)),"x","")</f>
        <v/>
      </c>
      <c r="X3132" s="75" t="str">
        <f>IF(OR(TH!N3132=TH!$X$7,O3132=TH!$X$7),"x","")</f>
        <v/>
      </c>
      <c r="Y3132" s="75" t="str">
        <f>IF(AND(OR(N3132="131",O3132="131"),H3132='131-CT'!$H$9),"x","")</f>
        <v/>
      </c>
      <c r="Z3132" s="75"/>
      <c r="AA3132" s="75" t="str">
        <f>IF(AND(MONTH(E3132)='IN-NX'!$J$5,'IN-NX'!$D$7=D3132),"x","")</f>
        <v/>
      </c>
      <c r="AB3132" s="75" t="str">
        <f>IF(AND(OR(LEFT(TH!N3132,2)="15",LEFT(TH!O3132,2)="15"),LEFT(TH!O3132,3)&lt;&gt;"111",'152-CT'!$J$8=TH!F3132),"x","")</f>
        <v/>
      </c>
      <c r="AC3132" s="75" t="str">
        <f>IF(AND(OR(LEFT(TH!N3132,2)="15",LEFT(TH!O3132,2)="15"),TK!$E$7=TH!F3132),"x","")</f>
        <v/>
      </c>
      <c r="AD3132" s="75" t="str">
        <f>IF(AND(N3132="1521",MONTH(C3132)='BK-NL'!$M$11),"x","")</f>
        <v/>
      </c>
      <c r="AE3132" s="1264">
        <v>9</v>
      </c>
    </row>
    <row r="3133" spans="1:31" s="1264" customFormat="1" ht="16.5" customHeight="1">
      <c r="A3133" s="309" t="str">
        <f>IF(B3133&lt;&gt;"",IF(AND(B3133='IN-TC'!$S$4,OR(TH!N3133="1111",TH!O3133="1111")),TH!D3133,""),"")</f>
        <v/>
      </c>
      <c r="B3133" s="1275">
        <f t="shared" si="1130"/>
        <v>9</v>
      </c>
      <c r="C3133" s="71">
        <v>43004</v>
      </c>
      <c r="D3133" s="71" t="s">
        <v>902</v>
      </c>
      <c r="E3133" s="71">
        <f t="shared" si="1131"/>
        <v>43004</v>
      </c>
      <c r="F3133" s="72" t="s">
        <v>2267</v>
      </c>
      <c r="G3133" s="72" t="s">
        <v>747</v>
      </c>
      <c r="H3133" s="73" t="s">
        <v>835</v>
      </c>
      <c r="I3133" s="73"/>
      <c r="J3133" s="378"/>
      <c r="K3133" s="371">
        <v>0.3</v>
      </c>
      <c r="L3133" s="1214">
        <v>22700</v>
      </c>
      <c r="M3133" s="74">
        <f t="shared" si="1132"/>
        <v>6810</v>
      </c>
      <c r="N3133" s="75" t="s">
        <v>9</v>
      </c>
      <c r="O3133" s="934" t="s">
        <v>256</v>
      </c>
      <c r="P3133" s="75" t="str">
        <f>IF(AND('331-CT'!$E$7=TH!H3133,OR(N3133="331",O3133="331")),"x","")</f>
        <v/>
      </c>
      <c r="Q3133" s="75" t="str">
        <f>IF(AND(B3133='111'!$L$11,OR($N3133=$Q$7,$O3133=$Q$7)),"x","")</f>
        <v/>
      </c>
      <c r="R3133" s="75" t="str">
        <f>IF(AND($N3133=$Q$7,$B3133&lt;'111'!$L$11),"x","")</f>
        <v/>
      </c>
      <c r="S3133" s="75" t="str">
        <f>IF(AND($O3133=$Q$7,$B3133&lt;'111'!$L$11),"x","")</f>
        <v/>
      </c>
      <c r="T3133" s="75" t="str">
        <f>IF(ISERROR(FIND('112'!$M$9,G3133,1)),"",IF((AND(FIND('112'!$M$9,G3133,1)&gt;=1,B3133='112'!$K$9,OR($N3133='112'!$I$6,$O3133='112'!$I$6))),"x",""))</f>
        <v/>
      </c>
      <c r="U3133" s="75" t="str">
        <f>IF(ISERROR(FIND('112'!$M$9,G3133,1)),"",IF((AND(LEFT(G3133,2)=LEFT('112'!$M$9,2),B3133&lt;'112'!$K$9,$N3133='112'!$I$6)),"x",""))</f>
        <v/>
      </c>
      <c r="V3133" s="75" t="str">
        <f>IF(ISERROR(FIND('112'!$M$9,G3133,1)),"",IF((AND(RIGHT(G3133,2)=RIGHT('112'!$M$9,2),B3133&lt;'112'!$K$9,$O3133='112'!$I$6)),"x",""))</f>
        <v/>
      </c>
      <c r="W3133" s="75" t="str">
        <f>IF(AND('341-CT'!$H$9=H3133,OR(LEFT(N3133,3)=$W$7,LEFT(O3133,3)=$W$7)),"x","")</f>
        <v/>
      </c>
      <c r="X3133" s="75" t="str">
        <f>IF(OR(TH!N3133=TH!$X$7,O3133=TH!$X$7),"x","")</f>
        <v/>
      </c>
      <c r="Y3133" s="75" t="str">
        <f>IF(AND(OR(N3133="131",O3133="131"),H3133='131-CT'!$H$9),"x","")</f>
        <v/>
      </c>
      <c r="Z3133" s="75"/>
      <c r="AA3133" s="75" t="str">
        <f>IF(AND(MONTH(E3133)='IN-NX'!$J$5,'IN-NX'!$D$7=D3133),"x","")</f>
        <v/>
      </c>
      <c r="AB3133" s="75" t="str">
        <f>IF(AND(OR(LEFT(TH!N3133,2)="15",LEFT(TH!O3133,2)="15"),LEFT(TH!O3133,3)&lt;&gt;"111",'152-CT'!$J$8=TH!F3133),"x","")</f>
        <v/>
      </c>
      <c r="AC3133" s="75" t="str">
        <f>IF(AND(OR(LEFT(TH!N3133,2)="15",LEFT(TH!O3133,2)="15"),TK!$E$7=TH!F3133),"x","")</f>
        <v/>
      </c>
      <c r="AD3133" s="75" t="str">
        <f>IF(AND(N3133="1521",MONTH(C3133)='BK-NL'!$M$11),"x","")</f>
        <v/>
      </c>
      <c r="AE3133" s="1264">
        <v>9</v>
      </c>
    </row>
    <row r="3134" spans="1:31" s="1264" customFormat="1" ht="16.5" customHeight="1">
      <c r="A3134" s="309" t="str">
        <f>IF(B3134&lt;&gt;"",IF(AND(B3134='IN-TC'!$S$4,OR(TH!N3134="1111",TH!O3134="1111")),TH!D3134,""),"")</f>
        <v/>
      </c>
      <c r="B3134" s="1275">
        <f t="shared" si="1130"/>
        <v>9</v>
      </c>
      <c r="C3134" s="71">
        <v>43005</v>
      </c>
      <c r="D3134" s="71" t="s">
        <v>903</v>
      </c>
      <c r="E3134" s="71">
        <f t="shared" si="1131"/>
        <v>43005</v>
      </c>
      <c r="F3134" s="72" t="s">
        <v>2469</v>
      </c>
      <c r="G3134" s="72" t="s">
        <v>747</v>
      </c>
      <c r="H3134" s="73" t="s">
        <v>2468</v>
      </c>
      <c r="I3134" s="73"/>
      <c r="J3134" s="378"/>
      <c r="K3134" s="371">
        <v>29280</v>
      </c>
      <c r="L3134" s="1214">
        <v>22700</v>
      </c>
      <c r="M3134" s="1214">
        <f t="shared" si="1132"/>
        <v>664656000</v>
      </c>
      <c r="N3134" s="75" t="s">
        <v>256</v>
      </c>
      <c r="O3134" s="75" t="s">
        <v>250</v>
      </c>
      <c r="P3134" s="75" t="str">
        <f>IF(AND('331-CT'!$E$7=TH!H3134,OR(N3134="331",O3134="331")),"x","")</f>
        <v/>
      </c>
      <c r="Q3134" s="75" t="str">
        <f>IF(AND(B3134='111'!$L$11,OR($N3134=$Q$7,$O3134=$Q$7)),"x","")</f>
        <v/>
      </c>
      <c r="R3134" s="75" t="str">
        <f>IF(AND($N3134=$Q$7,$B3134&lt;'111'!$L$11),"x","")</f>
        <v/>
      </c>
      <c r="S3134" s="75" t="str">
        <f>IF(AND($O3134=$Q$7,$B3134&lt;'111'!$L$11),"x","")</f>
        <v/>
      </c>
      <c r="T3134" s="75" t="str">
        <f>IF(ISERROR(FIND('112'!$M$9,G3134,1)),"",IF((AND(FIND('112'!$M$9,G3134,1)&gt;=1,B3134='112'!$K$9,OR($N3134='112'!$I$6,$O3134='112'!$I$6))),"x",""))</f>
        <v/>
      </c>
      <c r="U3134" s="75" t="str">
        <f>IF(ISERROR(FIND('112'!$M$9,G3134,1)),"",IF((AND(LEFT(G3134,2)=LEFT('112'!$M$9,2),B3134&lt;'112'!$K$9,$N3134='112'!$I$6)),"x",""))</f>
        <v/>
      </c>
      <c r="V3134" s="75" t="str">
        <f>IF(ISERROR(FIND('112'!$M$9,G3134,1)),"",IF((AND(RIGHT(G3134,2)=RIGHT('112'!$M$9,2),B3134&lt;'112'!$K$9,$O3134='112'!$I$6)),"x",""))</f>
        <v/>
      </c>
      <c r="W3134" s="75" t="str">
        <f>IF(AND('341-CT'!$H$9=H3134,OR(LEFT(N3134,3)=$W$7,LEFT(O3134,3)=$W$7)),"x","")</f>
        <v/>
      </c>
      <c r="X3134" s="75" t="str">
        <f>IF(OR(TH!N3134=TH!$X$7,O3134=TH!$X$7),"x","")</f>
        <v/>
      </c>
      <c r="Y3134" s="75" t="str">
        <f>IF(AND(OR(N3134="131",O3134="131"),H3134='131-CT'!$H$9),"x","")</f>
        <v/>
      </c>
      <c r="Z3134" s="75"/>
      <c r="AA3134" s="75" t="str">
        <f>IF(AND(MONTH(E3134)='IN-NX'!$J$5,'IN-NX'!$D$7=D3134),"x","")</f>
        <v/>
      </c>
      <c r="AB3134" s="75" t="str">
        <f>IF(AND(OR(LEFT(TH!N3134,2)="15",LEFT(TH!O3134,2)="15"),LEFT(TH!O3134,3)&lt;&gt;"111",'152-CT'!$J$8=TH!F3134),"x","")</f>
        <v/>
      </c>
      <c r="AC3134" s="75" t="str">
        <f>IF(AND(OR(LEFT(TH!N3134,2)="15",LEFT(TH!O3134,2)="15"),TK!$E$7=TH!F3134),"x","")</f>
        <v/>
      </c>
      <c r="AD3134" s="75" t="str">
        <f>IF(AND(N3134="1521",MONTH(C3134)='BK-NL'!$M$11),"x","")</f>
        <v/>
      </c>
    </row>
    <row r="3135" spans="1:31" s="1264" customFormat="1" ht="16.5" customHeight="1">
      <c r="A3135" s="309" t="str">
        <f>IF(B3135&lt;&gt;"",IF(AND(B3135='IN-TC'!$S$4,OR(TH!N3135="1111",TH!O3135="1111")),TH!D3135,""),"")</f>
        <v/>
      </c>
      <c r="B3135" s="1275">
        <f t="shared" si="1130"/>
        <v>9</v>
      </c>
      <c r="C3135" s="71">
        <v>43005</v>
      </c>
      <c r="D3135" s="71" t="s">
        <v>902</v>
      </c>
      <c r="E3135" s="71">
        <f t="shared" si="1131"/>
        <v>43005</v>
      </c>
      <c r="F3135" s="72" t="s">
        <v>1321</v>
      </c>
      <c r="G3135" s="72" t="s">
        <v>747</v>
      </c>
      <c r="H3135" s="73" t="s">
        <v>2473</v>
      </c>
      <c r="I3135" s="73"/>
      <c r="J3135" s="378"/>
      <c r="K3135" s="371">
        <v>29280</v>
      </c>
      <c r="L3135" s="1214">
        <v>22700</v>
      </c>
      <c r="M3135" s="74">
        <f t="shared" si="1132"/>
        <v>664656000</v>
      </c>
      <c r="N3135" s="75" t="s">
        <v>250</v>
      </c>
      <c r="O3135" s="934" t="s">
        <v>256</v>
      </c>
      <c r="P3135" s="75" t="str">
        <f>IF(AND('331-CT'!$E$7=TH!H3135,OR(N3135="331",O3135="331")),"x","")</f>
        <v/>
      </c>
      <c r="Q3135" s="75" t="str">
        <f>IF(AND(B3135='111'!$L$11,OR($N3135=$Q$7,$O3135=$Q$7)),"x","")</f>
        <v/>
      </c>
      <c r="R3135" s="75" t="str">
        <f>IF(AND($N3135=$Q$7,$B3135&lt;'111'!$L$11),"x","")</f>
        <v/>
      </c>
      <c r="S3135" s="75" t="str">
        <f>IF(AND($O3135=$Q$7,$B3135&lt;'111'!$L$11),"x","")</f>
        <v/>
      </c>
      <c r="T3135" s="75" t="str">
        <f>IF(ISERROR(FIND('112'!$M$9,G3135,1)),"",IF((AND(FIND('112'!$M$9,G3135,1)&gt;=1,B3135='112'!$K$9,OR($N3135='112'!$I$6,$O3135='112'!$I$6))),"x",""))</f>
        <v/>
      </c>
      <c r="U3135" s="75" t="str">
        <f>IF(ISERROR(FIND('112'!$M$9,G3135,1)),"",IF((AND(LEFT(G3135,2)=LEFT('112'!$M$9,2),B3135&lt;'112'!$K$9,$N3135='112'!$I$6)),"x",""))</f>
        <v/>
      </c>
      <c r="V3135" s="75" t="str">
        <f>IF(ISERROR(FIND('112'!$M$9,G3135,1)),"",IF((AND(RIGHT(G3135,2)=RIGHT('112'!$M$9,2),B3135&lt;'112'!$K$9,$O3135='112'!$I$6)),"x",""))</f>
        <v/>
      </c>
      <c r="W3135" s="75" t="str">
        <f>IF(AND('341-CT'!$H$9=H3135,OR(LEFT(N3135,3)=$W$7,LEFT(O3135,3)=$W$7)),"x","")</f>
        <v/>
      </c>
      <c r="X3135" s="75" t="str">
        <f>IF(OR(TH!N3135=TH!$X$7,O3135=TH!$X$7),"x","")</f>
        <v/>
      </c>
      <c r="Y3135" s="75" t="str">
        <f>IF(AND(OR(N3135="131",O3135="131"),H3135='131-CT'!$H$9),"x","")</f>
        <v/>
      </c>
      <c r="Z3135" s="75"/>
      <c r="AA3135" s="75" t="str">
        <f>IF(AND(MONTH(E3135)='IN-NX'!$J$5,'IN-NX'!$D$7=D3135),"x","")</f>
        <v/>
      </c>
      <c r="AB3135" s="75" t="str">
        <f>IF(AND(OR(LEFT(TH!N3135,2)="15",LEFT(TH!O3135,2)="15"),LEFT(TH!O3135,3)&lt;&gt;"111",'152-CT'!$J$8=TH!F3135),"x","")</f>
        <v/>
      </c>
      <c r="AC3135" s="75" t="str">
        <f>IF(AND(OR(LEFT(TH!N3135,2)="15",LEFT(TH!O3135,2)="15"),TK!$E$7=TH!F3135),"x","")</f>
        <v/>
      </c>
      <c r="AD3135" s="75" t="str">
        <f>IF(AND(N3135="1521",MONTH(C3135)='BK-NL'!$M$11),"x","")</f>
        <v/>
      </c>
    </row>
    <row r="3136" spans="1:31" s="1264" customFormat="1" ht="16.5" customHeight="1">
      <c r="A3136" s="309" t="str">
        <f>IF(B3136&lt;&gt;"",IF(AND(B3136='IN-TC'!$S$4,OR(TH!N3136="1111",TH!O3136="1111")),TH!D3136,""),"")</f>
        <v/>
      </c>
      <c r="B3136" s="1275">
        <f t="shared" si="1130"/>
        <v>9</v>
      </c>
      <c r="C3136" s="71">
        <v>43007</v>
      </c>
      <c r="D3136" s="71" t="s">
        <v>903</v>
      </c>
      <c r="E3136" s="71">
        <f t="shared" si="1131"/>
        <v>43007</v>
      </c>
      <c r="F3136" s="72" t="s">
        <v>1086</v>
      </c>
      <c r="G3136" s="72" t="s">
        <v>747</v>
      </c>
      <c r="H3136" s="73" t="s">
        <v>1859</v>
      </c>
      <c r="I3136" s="73"/>
      <c r="J3136" s="378"/>
      <c r="K3136" s="1213">
        <v>174117.5</v>
      </c>
      <c r="L3136" s="1214">
        <v>22700</v>
      </c>
      <c r="M3136" s="1214">
        <f t="shared" si="1132"/>
        <v>3952467250</v>
      </c>
      <c r="N3136" s="75" t="s">
        <v>256</v>
      </c>
      <c r="O3136" s="75" t="s">
        <v>536</v>
      </c>
      <c r="P3136" s="75" t="str">
        <f>IF(AND('331-CT'!$E$7=TH!H3136,OR(N3136="331",O3136="331")),"x","")</f>
        <v/>
      </c>
      <c r="Q3136" s="75" t="str">
        <f>IF(AND(B3136='111'!$L$11,OR($N3136=$Q$7,$O3136=$Q$7)),"x","")</f>
        <v/>
      </c>
      <c r="R3136" s="75" t="str">
        <f>IF(AND($N3136=$Q$7,$B3136&lt;'111'!$L$11),"x","")</f>
        <v/>
      </c>
      <c r="S3136" s="75" t="str">
        <f>IF(AND($O3136=$Q$7,$B3136&lt;'111'!$L$11),"x","")</f>
        <v/>
      </c>
      <c r="T3136" s="75" t="str">
        <f>IF(ISERROR(FIND('112'!$M$9,G3136,1)),"",IF((AND(FIND('112'!$M$9,G3136,1)&gt;=1,B3136='112'!$K$9,OR($N3136='112'!$I$6,$O3136='112'!$I$6))),"x",""))</f>
        <v/>
      </c>
      <c r="U3136" s="75" t="str">
        <f>IF(ISERROR(FIND('112'!$M$9,G3136,1)),"",IF((AND(LEFT(G3136,2)=LEFT('112'!$M$9,2),B3136&lt;'112'!$K$9,$N3136='112'!$I$6)),"x",""))</f>
        <v/>
      </c>
      <c r="V3136" s="75" t="str">
        <f>IF(ISERROR(FIND('112'!$M$9,G3136,1)),"",IF((AND(RIGHT(G3136,2)=RIGHT('112'!$M$9,2),B3136&lt;'112'!$K$9,$O3136='112'!$I$6)),"x",""))</f>
        <v/>
      </c>
      <c r="W3136" s="75" t="str">
        <f>IF(AND('341-CT'!$H$9=H3136,OR(LEFT(N3136,3)=$W$7,LEFT(O3136,3)=$W$7)),"x","")</f>
        <v/>
      </c>
      <c r="X3136" s="75" t="str">
        <f>IF(OR(TH!N3136=TH!$X$7,O3136=TH!$X$7),"x","")</f>
        <v/>
      </c>
      <c r="Y3136" s="75" t="str">
        <f>IF(AND(OR(N3136="131",O3136="131"),H3136='131-CT'!$H$9),"x","")</f>
        <v/>
      </c>
      <c r="Z3136" s="75"/>
      <c r="AA3136" s="75" t="str">
        <f>IF(AND(MONTH(E3136)='IN-NX'!$J$5,'IN-NX'!$D$7=D3136),"x","")</f>
        <v/>
      </c>
      <c r="AB3136" s="75" t="str">
        <f>IF(AND(OR(LEFT(TH!N3136,2)="15",LEFT(TH!O3136,2)="15"),LEFT(TH!O3136,3)&lt;&gt;"111",'152-CT'!$J$8=TH!F3136),"x","")</f>
        <v/>
      </c>
      <c r="AC3136" s="75" t="str">
        <f>IF(AND(OR(LEFT(TH!N3136,2)="15",LEFT(TH!O3136,2)="15"),TK!$E$7=TH!F3136),"x","")</f>
        <v/>
      </c>
      <c r="AD3136" s="75" t="str">
        <f>IF(AND(N3136="1521",MONTH(C3136)='BK-NL'!$M$11),"x","")</f>
        <v/>
      </c>
    </row>
    <row r="3137" spans="1:30" s="1264" customFormat="1" ht="16.5" customHeight="1">
      <c r="A3137" s="309" t="str">
        <f>IF(B3137&lt;&gt;"",IF(AND(B3137='IN-TC'!$S$4,OR(TH!N3137="1111",TH!O3137="1111")),TH!D3137,""),"")</f>
        <v/>
      </c>
      <c r="B3137" s="1275">
        <f t="shared" si="1130"/>
        <v>9</v>
      </c>
      <c r="C3137" s="71">
        <v>43007</v>
      </c>
      <c r="D3137" s="71" t="s">
        <v>530</v>
      </c>
      <c r="E3137" s="71">
        <f t="shared" si="1131"/>
        <v>43007</v>
      </c>
      <c r="F3137" s="72" t="s">
        <v>1027</v>
      </c>
      <c r="G3137" s="72" t="s">
        <v>747</v>
      </c>
      <c r="H3137" s="73" t="s">
        <v>1859</v>
      </c>
      <c r="I3137" s="73"/>
      <c r="J3137" s="378"/>
      <c r="K3137" s="1213">
        <v>56.5</v>
      </c>
      <c r="L3137" s="1214">
        <v>22700</v>
      </c>
      <c r="M3137" s="74">
        <f t="shared" si="1132"/>
        <v>1282550</v>
      </c>
      <c r="N3137" s="75" t="s">
        <v>101</v>
      </c>
      <c r="O3137" s="75" t="s">
        <v>536</v>
      </c>
      <c r="P3137" s="75" t="str">
        <f>IF(AND('331-CT'!$E$7=TH!H3137,OR(N3137="331",O3137="331")),"x","")</f>
        <v/>
      </c>
      <c r="Q3137" s="75" t="str">
        <f>IF(AND(B3137='111'!$L$11,OR($N3137=$Q$7,$O3137=$Q$7)),"x","")</f>
        <v/>
      </c>
      <c r="R3137" s="75" t="str">
        <f>IF(AND($N3137=$Q$7,$B3137&lt;'111'!$L$11),"x","")</f>
        <v/>
      </c>
      <c r="S3137" s="75" t="str">
        <f>IF(AND($O3137=$Q$7,$B3137&lt;'111'!$L$11),"x","")</f>
        <v/>
      </c>
      <c r="T3137" s="75" t="str">
        <f>IF(ISERROR(FIND('112'!$M$9,G3137,1)),"",IF((AND(FIND('112'!$M$9,G3137,1)&gt;=1,B3137='112'!$K$9,OR($N3137='112'!$I$6,$O3137='112'!$I$6))),"x",""))</f>
        <v/>
      </c>
      <c r="U3137" s="75" t="str">
        <f>IF(ISERROR(FIND('112'!$M$9,G3137,1)),"",IF((AND(LEFT(G3137,2)=LEFT('112'!$M$9,2),B3137&lt;'112'!$K$9,$N3137='112'!$I$6)),"x",""))</f>
        <v/>
      </c>
      <c r="V3137" s="75" t="str">
        <f>IF(ISERROR(FIND('112'!$M$9,G3137,1)),"",IF((AND(RIGHT(G3137,2)=RIGHT('112'!$M$9,2),B3137&lt;'112'!$K$9,$O3137='112'!$I$6)),"x",""))</f>
        <v/>
      </c>
      <c r="W3137" s="75" t="str">
        <f>IF(AND('341-CT'!$H$9=H3137,OR(LEFT(N3137,3)=$W$7,LEFT(O3137,3)=$W$7)),"x","")</f>
        <v/>
      </c>
      <c r="X3137" s="75" t="str">
        <f>IF(OR(TH!N3137=TH!$X$7,O3137=TH!$X$7),"x","")</f>
        <v/>
      </c>
      <c r="Y3137" s="75" t="str">
        <f>IF(AND(OR(N3137="131",O3137="131"),H3137='131-CT'!$H$9),"x","")</f>
        <v/>
      </c>
      <c r="Z3137" s="75"/>
      <c r="AA3137" s="75" t="str">
        <f>IF(AND(MONTH(E3137)='IN-NX'!$J$5,'IN-NX'!$D$7=D3137),"x","")</f>
        <v/>
      </c>
      <c r="AB3137" s="75" t="str">
        <f>IF(AND(OR(LEFT(TH!N3137,2)="15",LEFT(TH!O3137,2)="15"),LEFT(TH!O3137,3)&lt;&gt;"111",'152-CT'!$J$8=TH!F3137),"x","")</f>
        <v/>
      </c>
      <c r="AC3137" s="75" t="str">
        <f>IF(AND(OR(LEFT(TH!N3137,2)="15",LEFT(TH!O3137,2)="15"),TK!$E$7=TH!F3137),"x","")</f>
        <v/>
      </c>
      <c r="AD3137" s="75" t="str">
        <f>IF(AND(N3137="1521",MONTH(C3137)='BK-NL'!$M$11),"x","")</f>
        <v/>
      </c>
    </row>
    <row r="3138" spans="1:30" s="1264" customFormat="1" ht="16.5" customHeight="1">
      <c r="A3138" s="309" t="str">
        <f>IF(B3138&lt;&gt;"",IF(AND(B3138='IN-TC'!$S$4,OR(TH!N3138="1111",TH!O3138="1111")),TH!D3138,""),"")</f>
        <v/>
      </c>
      <c r="B3138" s="1275">
        <f t="shared" si="1130"/>
        <v>9</v>
      </c>
      <c r="C3138" s="71">
        <v>43007</v>
      </c>
      <c r="D3138" s="71" t="s">
        <v>530</v>
      </c>
      <c r="E3138" s="71">
        <f t="shared" si="1131"/>
        <v>43007</v>
      </c>
      <c r="F3138" s="72" t="s">
        <v>1010</v>
      </c>
      <c r="G3138" s="72" t="s">
        <v>747</v>
      </c>
      <c r="H3138" s="73" t="s">
        <v>1859</v>
      </c>
      <c r="I3138" s="73"/>
      <c r="J3138" s="378"/>
      <c r="K3138" s="1213"/>
      <c r="L3138" s="1214">
        <v>22700</v>
      </c>
      <c r="M3138" s="74">
        <v>1741740</v>
      </c>
      <c r="N3138" s="75" t="s">
        <v>536</v>
      </c>
      <c r="O3138" s="934" t="s">
        <v>43</v>
      </c>
      <c r="P3138" s="75" t="str">
        <f>IF(AND('331-CT'!$E$7=TH!H3138,OR(N3138="331",O3138="331")),"x","")</f>
        <v/>
      </c>
      <c r="Q3138" s="75" t="str">
        <f>IF(AND(B3138='111'!$L$11,OR($N3138=$Q$7,$O3138=$Q$7)),"x","")</f>
        <v/>
      </c>
      <c r="R3138" s="75" t="str">
        <f>IF(AND($N3138=$Q$7,$B3138&lt;'111'!$L$11),"x","")</f>
        <v/>
      </c>
      <c r="S3138" s="75" t="str">
        <f>IF(AND($O3138=$Q$7,$B3138&lt;'111'!$L$11),"x","")</f>
        <v/>
      </c>
      <c r="T3138" s="75" t="str">
        <f>IF(ISERROR(FIND('112'!$M$9,G3138,1)),"",IF((AND(FIND('112'!$M$9,G3138,1)&gt;=1,B3138='112'!$K$9,OR($N3138='112'!$I$6,$O3138='112'!$I$6))),"x",""))</f>
        <v/>
      </c>
      <c r="U3138" s="75" t="str">
        <f>IF(ISERROR(FIND('112'!$M$9,G3138,1)),"",IF((AND(LEFT(G3138,2)=LEFT('112'!$M$9,2),B3138&lt;'112'!$K$9,$N3138='112'!$I$6)),"x",""))</f>
        <v/>
      </c>
      <c r="V3138" s="75" t="str">
        <f>IF(ISERROR(FIND('112'!$M$9,G3138,1)),"",IF((AND(RIGHT(G3138,2)=RIGHT('112'!$M$9,2),B3138&lt;'112'!$K$9,$O3138='112'!$I$6)),"x",""))</f>
        <v/>
      </c>
      <c r="W3138" s="75" t="str">
        <f>IF(AND('341-CT'!$H$9=H3138,OR(LEFT(N3138,3)=$W$7,LEFT(O3138,3)=$W$7)),"x","")</f>
        <v/>
      </c>
      <c r="X3138" s="75" t="str">
        <f>IF(OR(TH!N3138=TH!$X$7,O3138=TH!$X$7),"x","")</f>
        <v/>
      </c>
      <c r="Y3138" s="75" t="str">
        <f>IF(AND(OR(N3138="131",O3138="131"),H3138='131-CT'!$H$9),"x","")</f>
        <v/>
      </c>
      <c r="Z3138" s="75"/>
      <c r="AA3138" s="75" t="str">
        <f>IF(AND(MONTH(E3138)='IN-NX'!$J$5,'IN-NX'!$D$7=D3138),"x","")</f>
        <v/>
      </c>
      <c r="AB3138" s="75" t="str">
        <f>IF(AND(OR(LEFT(TH!N3138,2)="15",LEFT(TH!O3138,2)="15"),LEFT(TH!O3138,3)&lt;&gt;"111",'152-CT'!$J$8=TH!F3138),"x","")</f>
        <v/>
      </c>
      <c r="AC3138" s="75" t="str">
        <f>IF(AND(OR(LEFT(TH!N3138,2)="15",LEFT(TH!O3138,2)="15"),TK!$E$7=TH!F3138),"x","")</f>
        <v/>
      </c>
      <c r="AD3138" s="75" t="str">
        <f>IF(AND(N3138="1521",MONTH(C3138)='BK-NL'!$M$11),"x","")</f>
        <v/>
      </c>
    </row>
    <row r="3139" spans="1:30" s="1264" customFormat="1" ht="16.5" customHeight="1">
      <c r="A3139" s="309" t="str">
        <f>IF(B3139&lt;&gt;"",IF(AND(B3139='IN-TC'!$S$4,OR(TH!N3139="1111",TH!O3139="1111")),TH!D3139,""),"")</f>
        <v/>
      </c>
      <c r="B3139" s="1263">
        <f t="shared" si="1130"/>
        <v>10</v>
      </c>
      <c r="C3139" s="71">
        <v>43010</v>
      </c>
      <c r="D3139" s="71" t="s">
        <v>902</v>
      </c>
      <c r="E3139" s="71">
        <f t="shared" si="1131"/>
        <v>43010</v>
      </c>
      <c r="F3139" s="72" t="s">
        <v>907</v>
      </c>
      <c r="G3139" s="72" t="s">
        <v>747</v>
      </c>
      <c r="H3139" s="73" t="s">
        <v>835</v>
      </c>
      <c r="I3139" s="73"/>
      <c r="J3139" s="378"/>
      <c r="K3139" s="371">
        <v>469000</v>
      </c>
      <c r="L3139" s="377">
        <v>22722</v>
      </c>
      <c r="M3139" s="74">
        <f>ROUND(K3139*L3139,0)</f>
        <v>10656618000</v>
      </c>
      <c r="N3139" s="75" t="s">
        <v>26</v>
      </c>
      <c r="O3139" s="934" t="s">
        <v>256</v>
      </c>
      <c r="P3139" s="75" t="str">
        <f>IF(AND('331-CT'!$E$7=TH!H3139,OR(N3139="331",O3139="331")),"x","")</f>
        <v/>
      </c>
      <c r="Q3139" s="75" t="str">
        <f>IF(AND(B3139='111'!$L$11,OR($N3139=$Q$7,$O3139=$Q$7)),"x","")</f>
        <v/>
      </c>
      <c r="R3139" s="75" t="str">
        <f>IF(AND($N3139=$Q$7,$B3139&lt;'111'!$L$11),"x","")</f>
        <v/>
      </c>
      <c r="S3139" s="75" t="str">
        <f>IF(AND($O3139=$Q$7,$B3139&lt;'111'!$L$11),"x","")</f>
        <v/>
      </c>
      <c r="T3139" s="75" t="str">
        <f>IF(ISERROR(FIND('112'!$M$9,G3139,1)),"",IF((AND(FIND('112'!$M$9,G3139,1)&gt;=1,B3139='112'!$K$9,OR($N3139='112'!$I$6,$O3139='112'!$I$6))),"x",""))</f>
        <v/>
      </c>
      <c r="U3139" s="75" t="str">
        <f>IF(ISERROR(FIND('112'!$M$9,G3139,1)),"",IF((AND(LEFT(G3139,2)=LEFT('112'!$M$9,2),B3139&lt;'112'!$K$9,$N3139='112'!$I$6)),"x",""))</f>
        <v/>
      </c>
      <c r="V3139" s="75" t="str">
        <f>IF(ISERROR(FIND('112'!$M$9,G3139,1)),"",IF((AND(RIGHT(G3139,2)=RIGHT('112'!$M$9,2),B3139&lt;'112'!$K$9,$O3139='112'!$I$6)),"x",""))</f>
        <v/>
      </c>
      <c r="W3139" s="75" t="str">
        <f>IF(AND('341-CT'!$H$9=H3139,OR(LEFT(N3139,3)=$W$7,LEFT(O3139,3)=$W$7)),"x","")</f>
        <v/>
      </c>
      <c r="X3139" s="75" t="str">
        <f>IF(OR(TH!N3139=TH!$X$7,O3139=TH!$X$7),"x","")</f>
        <v/>
      </c>
      <c r="Y3139" s="75" t="str">
        <f>IF(AND(OR(N3139="131",O3139="131"),H3139='131-CT'!$H$9),"x","")</f>
        <v/>
      </c>
      <c r="Z3139" s="75"/>
      <c r="AA3139" s="75" t="str">
        <f>IF(AND(MONTH(E3139)='IN-NX'!$J$5,'IN-NX'!$D$7=D3139),"x","")</f>
        <v/>
      </c>
      <c r="AB3139" s="75" t="str">
        <f>IF(AND(OR(LEFT(TH!N3139,2)="15",LEFT(TH!O3139,2)="15"),LEFT(TH!O3139,3)&lt;&gt;"111",'152-CT'!$J$8=TH!F3139),"x","")</f>
        <v/>
      </c>
      <c r="AC3139" s="75" t="str">
        <f>IF(AND(OR(LEFT(TH!N3139,2)="15",LEFT(TH!O3139,2)="15"),TK!$E$7=TH!F3139),"x","")</f>
        <v/>
      </c>
      <c r="AD3139" s="75" t="str">
        <f>IF(AND(N3139="1521",MONTH(C3139)='BK-NL'!$M$11),"x","")</f>
        <v/>
      </c>
    </row>
    <row r="3140" spans="1:30" s="1264" customFormat="1" ht="16.5" customHeight="1">
      <c r="A3140" s="309" t="str">
        <f>IF(B3140&lt;&gt;"",IF(AND(B3140='IN-TC'!$S$4,OR(TH!N3140="1111",TH!O3140="1111")),TH!D3140,""),"")</f>
        <v/>
      </c>
      <c r="B3140" s="1263">
        <f t="shared" si="1130"/>
        <v>10</v>
      </c>
      <c r="C3140" s="71">
        <v>43010</v>
      </c>
      <c r="D3140" s="71" t="s">
        <v>903</v>
      </c>
      <c r="E3140" s="71">
        <f t="shared" si="1131"/>
        <v>43010</v>
      </c>
      <c r="F3140" s="72" t="s">
        <v>1086</v>
      </c>
      <c r="G3140" s="72" t="s">
        <v>747</v>
      </c>
      <c r="H3140" s="73" t="s">
        <v>759</v>
      </c>
      <c r="I3140" s="73"/>
      <c r="J3140" s="378"/>
      <c r="K3140" s="1213">
        <v>295550.32</v>
      </c>
      <c r="L3140" s="1214">
        <v>22720</v>
      </c>
      <c r="M3140" s="1214">
        <f t="shared" ref="M3140" si="1133">ROUND(K3140*L3140,0)</f>
        <v>6714903270</v>
      </c>
      <c r="N3140" s="75" t="s">
        <v>256</v>
      </c>
      <c r="O3140" s="75" t="s">
        <v>536</v>
      </c>
      <c r="P3140" s="75" t="str">
        <f>IF(AND('331-CT'!$E$7=TH!H3140,OR(N3140="331",O3140="331")),"x","")</f>
        <v/>
      </c>
      <c r="Q3140" s="75" t="str">
        <f>IF(AND(B3140='111'!$L$11,OR($N3140=$Q$7,$O3140=$Q$7)),"x","")</f>
        <v/>
      </c>
      <c r="R3140" s="75" t="str">
        <f>IF(AND($N3140=$Q$7,$B3140&lt;'111'!$L$11),"x","")</f>
        <v/>
      </c>
      <c r="S3140" s="75" t="str">
        <f>IF(AND($O3140=$Q$7,$B3140&lt;'111'!$L$11),"x","")</f>
        <v/>
      </c>
      <c r="T3140" s="75" t="str">
        <f>IF(ISERROR(FIND('112'!$M$9,G3140,1)),"",IF((AND(FIND('112'!$M$9,G3140,1)&gt;=1,B3140='112'!$K$9,OR($N3140='112'!$I$6,$O3140='112'!$I$6))),"x",""))</f>
        <v/>
      </c>
      <c r="U3140" s="75" t="str">
        <f>IF(ISERROR(FIND('112'!$M$9,G3140,1)),"",IF((AND(LEFT(G3140,2)=LEFT('112'!$M$9,2),B3140&lt;'112'!$K$9,$N3140='112'!$I$6)),"x",""))</f>
        <v/>
      </c>
      <c r="V3140" s="75" t="str">
        <f>IF(ISERROR(FIND('112'!$M$9,G3140,1)),"",IF((AND(RIGHT(G3140,2)=RIGHT('112'!$M$9,2),B3140&lt;'112'!$K$9,$O3140='112'!$I$6)),"x",""))</f>
        <v/>
      </c>
      <c r="W3140" s="75" t="str">
        <f>IF(AND('341-CT'!$H$9=H3140,OR(LEFT(N3140,3)=$W$7,LEFT(O3140,3)=$W$7)),"x","")</f>
        <v/>
      </c>
      <c r="X3140" s="75" t="str">
        <f>IF(OR(TH!N3140=TH!$X$7,O3140=TH!$X$7),"x","")</f>
        <v/>
      </c>
      <c r="Y3140" s="75" t="str">
        <f>IF(AND(OR(N3140="131",O3140="131"),H3140='131-CT'!$H$9),"x","")</f>
        <v/>
      </c>
      <c r="Z3140" s="75"/>
      <c r="AA3140" s="75" t="str">
        <f>IF(AND(MONTH(E3140)='IN-NX'!$J$5,'IN-NX'!$D$7=D3140),"x","")</f>
        <v/>
      </c>
      <c r="AB3140" s="75" t="str">
        <f>IF(AND(OR(LEFT(TH!N3140,2)="15",LEFT(TH!O3140,2)="15"),LEFT(TH!O3140,3)&lt;&gt;"111",'152-CT'!$J$8=TH!F3140),"x","")</f>
        <v/>
      </c>
      <c r="AC3140" s="75" t="str">
        <f>IF(AND(OR(LEFT(TH!N3140,2)="15",LEFT(TH!O3140,2)="15"),TK!$E$7=TH!F3140),"x","")</f>
        <v/>
      </c>
      <c r="AD3140" s="75" t="str">
        <f>IF(AND(N3140="1521",MONTH(C3140)='BK-NL'!$M$11),"x","")</f>
        <v/>
      </c>
    </row>
    <row r="3141" spans="1:30" s="1264" customFormat="1" ht="16.5" customHeight="1">
      <c r="A3141" s="309" t="str">
        <f>IF(B3141&lt;&gt;"",IF(AND(B3141='IN-TC'!$S$4,OR(TH!N3141="1111",TH!O3141="1111")),TH!D3141,""),"")</f>
        <v/>
      </c>
      <c r="B3141" s="1263">
        <f t="shared" si="1130"/>
        <v>10</v>
      </c>
      <c r="C3141" s="71">
        <v>43010</v>
      </c>
      <c r="D3141" s="71" t="s">
        <v>530</v>
      </c>
      <c r="E3141" s="71">
        <f t="shared" si="1131"/>
        <v>43010</v>
      </c>
      <c r="F3141" s="72" t="s">
        <v>1027</v>
      </c>
      <c r="G3141" s="72" t="s">
        <v>747</v>
      </c>
      <c r="H3141" s="73" t="s">
        <v>759</v>
      </c>
      <c r="I3141" s="73"/>
      <c r="J3141" s="378"/>
      <c r="K3141" s="1213">
        <v>17.68</v>
      </c>
      <c r="L3141" s="1214">
        <v>22720</v>
      </c>
      <c r="M3141" s="933">
        <f t="shared" ref="M3141:M3161" si="1134">ROUND(L3141*K3141,0)</f>
        <v>401690</v>
      </c>
      <c r="N3141" s="75" t="s">
        <v>101</v>
      </c>
      <c r="O3141" s="75" t="s">
        <v>536</v>
      </c>
      <c r="P3141" s="75" t="str">
        <f>IF(AND('331-CT'!$E$7=TH!H3141,OR(N3141="331",O3141="331")),"x","")</f>
        <v/>
      </c>
      <c r="Q3141" s="75" t="str">
        <f>IF(AND(B3141='111'!$L$11,OR($N3141=$Q$7,$O3141=$Q$7)),"x","")</f>
        <v/>
      </c>
      <c r="R3141" s="75" t="str">
        <f>IF(AND($N3141=$Q$7,$B3141&lt;'111'!$L$11),"x","")</f>
        <v/>
      </c>
      <c r="S3141" s="75" t="str">
        <f>IF(AND($O3141=$Q$7,$B3141&lt;'111'!$L$11),"x","")</f>
        <v/>
      </c>
      <c r="T3141" s="75" t="str">
        <f>IF(ISERROR(FIND('112'!$M$9,G3141,1)),"",IF((AND(FIND('112'!$M$9,G3141,1)&gt;=1,B3141='112'!$K$9,OR($N3141='112'!$I$6,$O3141='112'!$I$6))),"x",""))</f>
        <v/>
      </c>
      <c r="U3141" s="75" t="str">
        <f>IF(ISERROR(FIND('112'!$M$9,G3141,1)),"",IF((AND(LEFT(G3141,2)=LEFT('112'!$M$9,2),B3141&lt;'112'!$K$9,$N3141='112'!$I$6)),"x",""))</f>
        <v/>
      </c>
      <c r="V3141" s="75" t="str">
        <f>IF(ISERROR(FIND('112'!$M$9,G3141,1)),"",IF((AND(RIGHT(G3141,2)=RIGHT('112'!$M$9,2),B3141&lt;'112'!$K$9,$O3141='112'!$I$6)),"x",""))</f>
        <v/>
      </c>
      <c r="W3141" s="75" t="str">
        <f>IF(AND('341-CT'!$H$9=H3141,OR(LEFT(N3141,3)=$W$7,LEFT(O3141,3)=$W$7)),"x","")</f>
        <v/>
      </c>
      <c r="X3141" s="75" t="str">
        <f>IF(OR(TH!N3141=TH!$X$7,O3141=TH!$X$7),"x","")</f>
        <v/>
      </c>
      <c r="Y3141" s="75" t="str">
        <f>IF(AND(OR(N3141="131",O3141="131"),H3141='131-CT'!$H$9),"x","")</f>
        <v/>
      </c>
      <c r="Z3141" s="75"/>
      <c r="AA3141" s="75" t="str">
        <f>IF(AND(MONTH(E3141)='IN-NX'!$J$5,'IN-NX'!$D$7=D3141),"x","")</f>
        <v/>
      </c>
      <c r="AB3141" s="75" t="str">
        <f>IF(AND(OR(LEFT(TH!N3141,2)="15",LEFT(TH!O3141,2)="15"),LEFT(TH!O3141,3)&lt;&gt;"111",'152-CT'!$J$8=TH!F3141),"x","")</f>
        <v/>
      </c>
      <c r="AC3141" s="75" t="str">
        <f>IF(AND(OR(LEFT(TH!N3141,2)="15",LEFT(TH!O3141,2)="15"),TK!$E$7=TH!F3141),"x","")</f>
        <v/>
      </c>
      <c r="AD3141" s="75" t="str">
        <f>IF(AND(N3141="1521",MONTH(C3141)='BK-NL'!$M$11),"x","")</f>
        <v/>
      </c>
    </row>
    <row r="3142" spans="1:30" s="1264" customFormat="1" ht="16.5" customHeight="1">
      <c r="A3142" s="309" t="str">
        <f>IF(B3142&lt;&gt;"",IF(AND(B3142='IN-TC'!$S$4,OR(TH!N3142="1111",TH!O3142="1111")),TH!D3142,""),"")</f>
        <v/>
      </c>
      <c r="B3142" s="1263">
        <f t="shared" ref="B3142" si="1135">IF(C3142&lt;&gt;"",MONTH(C3142),"")</f>
        <v>10</v>
      </c>
      <c r="C3142" s="71">
        <v>43010</v>
      </c>
      <c r="D3142" s="71" t="s">
        <v>530</v>
      </c>
      <c r="E3142" s="71">
        <f t="shared" ref="E3142" si="1136">C3142</f>
        <v>43010</v>
      </c>
      <c r="F3142" s="72" t="s">
        <v>1010</v>
      </c>
      <c r="G3142" s="72" t="s">
        <v>747</v>
      </c>
      <c r="H3142" s="73" t="s">
        <v>759</v>
      </c>
      <c r="I3142" s="73"/>
      <c r="J3142" s="378"/>
      <c r="K3142" s="1213"/>
      <c r="L3142" s="1214"/>
      <c r="M3142" s="933">
        <v>2955680</v>
      </c>
      <c r="N3142" s="75" t="s">
        <v>536</v>
      </c>
      <c r="O3142" s="75" t="s">
        <v>43</v>
      </c>
      <c r="P3142" s="75" t="str">
        <f>IF(AND('331-CT'!$E$7=TH!H3142,OR(N3142="331",O3142="331")),"x","")</f>
        <v/>
      </c>
      <c r="Q3142" s="75" t="str">
        <f>IF(AND(B3142='111'!$L$11,OR($N3142=$Q$7,$O3142=$Q$7)),"x","")</f>
        <v/>
      </c>
      <c r="R3142" s="75" t="str">
        <f>IF(AND($N3142=$Q$7,$B3142&lt;'111'!$L$11),"x","")</f>
        <v/>
      </c>
      <c r="S3142" s="75" t="str">
        <f>IF(AND($O3142=$Q$7,$B3142&lt;'111'!$L$11),"x","")</f>
        <v/>
      </c>
      <c r="T3142" s="75" t="str">
        <f>IF(ISERROR(FIND('112'!$M$9,G3142,1)),"",IF((AND(FIND('112'!$M$9,G3142,1)&gt;=1,B3142='112'!$K$9,OR($N3142='112'!$I$6,$O3142='112'!$I$6))),"x",""))</f>
        <v/>
      </c>
      <c r="U3142" s="75" t="str">
        <f>IF(ISERROR(FIND('112'!$M$9,G3142,1)),"",IF((AND(LEFT(G3142,2)=LEFT('112'!$M$9,2),B3142&lt;'112'!$K$9,$N3142='112'!$I$6)),"x",""))</f>
        <v/>
      </c>
      <c r="V3142" s="75" t="str">
        <f>IF(ISERROR(FIND('112'!$M$9,G3142,1)),"",IF((AND(RIGHT(G3142,2)=RIGHT('112'!$M$9,2),B3142&lt;'112'!$K$9,$O3142='112'!$I$6)),"x",""))</f>
        <v/>
      </c>
      <c r="W3142" s="75" t="str">
        <f>IF(AND('341-CT'!$H$9=H3142,OR(LEFT(N3142,3)=$W$7,LEFT(O3142,3)=$W$7)),"x","")</f>
        <v/>
      </c>
      <c r="X3142" s="75" t="str">
        <f>IF(OR(TH!N3142=TH!$X$7,O3142=TH!$X$7),"x","")</f>
        <v/>
      </c>
      <c r="Y3142" s="75" t="str">
        <f>IF(AND(OR(N3142="131",O3142="131"),H3142='131-CT'!$H$9),"x","")</f>
        <v/>
      </c>
      <c r="Z3142" s="75"/>
      <c r="AA3142" s="75" t="str">
        <f>IF(AND(MONTH(E3142)='IN-NX'!$J$5,'IN-NX'!$D$7=D3142),"x","")</f>
        <v/>
      </c>
      <c r="AB3142" s="75" t="str">
        <f>IF(AND(OR(LEFT(TH!N3142,2)="15",LEFT(TH!O3142,2)="15"),LEFT(TH!O3142,3)&lt;&gt;"111",'152-CT'!$J$8=TH!F3142),"x","")</f>
        <v/>
      </c>
      <c r="AC3142" s="75" t="str">
        <f>IF(AND(OR(LEFT(TH!N3142,2)="15",LEFT(TH!O3142,2)="15"),TK!$E$7=TH!F3142),"x","")</f>
        <v/>
      </c>
      <c r="AD3142" s="75" t="str">
        <f>IF(AND(N3142="1521",MONTH(C3142)='BK-NL'!$M$11),"x","")</f>
        <v/>
      </c>
    </row>
    <row r="3143" spans="1:30" s="1264" customFormat="1" ht="16.5" customHeight="1">
      <c r="A3143" s="309" t="str">
        <f>IF(B3143&lt;&gt;"",IF(AND(B3143='IN-TC'!$S$4,OR(TH!N3143="1111",TH!O3143="1111")),TH!D3143,""),"")</f>
        <v/>
      </c>
      <c r="B3143" s="1263">
        <f t="shared" ref="B3143:B3148" si="1137">IF(C3143&lt;&gt;"",MONTH(C3143),"")</f>
        <v>10</v>
      </c>
      <c r="C3143" s="71">
        <v>43012</v>
      </c>
      <c r="D3143" s="71" t="s">
        <v>903</v>
      </c>
      <c r="E3143" s="71">
        <f t="shared" si="1131"/>
        <v>43012</v>
      </c>
      <c r="F3143" s="72" t="s">
        <v>1086</v>
      </c>
      <c r="G3143" s="72" t="s">
        <v>747</v>
      </c>
      <c r="H3143" s="73" t="s">
        <v>546</v>
      </c>
      <c r="I3143" s="73"/>
      <c r="J3143" s="378"/>
      <c r="K3143" s="1213">
        <v>38514</v>
      </c>
      <c r="L3143" s="1214">
        <v>22720</v>
      </c>
      <c r="M3143" s="1214">
        <f t="shared" ref="M3143" si="1138">ROUND(K3143*L3143,0)</f>
        <v>875038080</v>
      </c>
      <c r="N3143" s="75" t="s">
        <v>256</v>
      </c>
      <c r="O3143" s="75" t="s">
        <v>536</v>
      </c>
      <c r="P3143" s="75" t="str">
        <f>IF(AND('331-CT'!$E$7=TH!H3143,OR(N3143="331",O3143="331")),"x","")</f>
        <v/>
      </c>
      <c r="Q3143" s="75" t="str">
        <f>IF(AND(B3143='111'!$L$11,OR($N3143=$Q$7,$O3143=$Q$7)),"x","")</f>
        <v/>
      </c>
      <c r="R3143" s="75" t="str">
        <f>IF(AND($N3143=$Q$7,$B3143&lt;'111'!$L$11),"x","")</f>
        <v/>
      </c>
      <c r="S3143" s="75" t="str">
        <f>IF(AND($O3143=$Q$7,$B3143&lt;'111'!$L$11),"x","")</f>
        <v/>
      </c>
      <c r="T3143" s="75" t="str">
        <f>IF(ISERROR(FIND('112'!$M$9,G3143,1)),"",IF((AND(FIND('112'!$M$9,G3143,1)&gt;=1,B3143='112'!$K$9,OR($N3143='112'!$I$6,$O3143='112'!$I$6))),"x",""))</f>
        <v/>
      </c>
      <c r="U3143" s="75" t="str">
        <f>IF(ISERROR(FIND('112'!$M$9,G3143,1)),"",IF((AND(LEFT(G3143,2)=LEFT('112'!$M$9,2),B3143&lt;'112'!$K$9,$N3143='112'!$I$6)),"x",""))</f>
        <v/>
      </c>
      <c r="V3143" s="75" t="str">
        <f>IF(ISERROR(FIND('112'!$M$9,G3143,1)),"",IF((AND(RIGHT(G3143,2)=RIGHT('112'!$M$9,2),B3143&lt;'112'!$K$9,$O3143='112'!$I$6)),"x",""))</f>
        <v/>
      </c>
      <c r="W3143" s="75" t="str">
        <f>IF(AND('341-CT'!$H$9=H3143,OR(LEFT(N3143,3)=$W$7,LEFT(O3143,3)=$W$7)),"x","")</f>
        <v/>
      </c>
      <c r="X3143" s="75" t="str">
        <f>IF(OR(TH!N3143=TH!$X$7,O3143=TH!$X$7),"x","")</f>
        <v/>
      </c>
      <c r="Y3143" s="75" t="str">
        <f>IF(AND(OR(N3143="131",O3143="131"),H3143='131-CT'!$H$9),"x","")</f>
        <v/>
      </c>
      <c r="Z3143" s="75"/>
      <c r="AA3143" s="75" t="str">
        <f>IF(AND(MONTH(E3143)='IN-NX'!$J$5,'IN-NX'!$D$7=D3143),"x","")</f>
        <v/>
      </c>
      <c r="AB3143" s="75" t="str">
        <f>IF(AND(OR(LEFT(TH!N3143,2)="15",LEFT(TH!O3143,2)="15"),LEFT(TH!O3143,3)&lt;&gt;"111",'152-CT'!$J$8=TH!F3143),"x","")</f>
        <v/>
      </c>
      <c r="AC3143" s="75" t="str">
        <f>IF(AND(OR(LEFT(TH!N3143,2)="15",LEFT(TH!O3143,2)="15"),TK!$E$7=TH!F3143),"x","")</f>
        <v/>
      </c>
      <c r="AD3143" s="75" t="str">
        <f>IF(AND(N3143="1521",MONTH(C3143)='BK-NL'!$M$11),"x","")</f>
        <v/>
      </c>
    </row>
    <row r="3144" spans="1:30" s="1264" customFormat="1" ht="16.5" customHeight="1">
      <c r="A3144" s="309" t="str">
        <f>IF(B3144&lt;&gt;"",IF(AND(B3144='IN-TC'!$S$4,OR(TH!N3144="1111",TH!O3144="1111")),TH!D3144,""),"")</f>
        <v/>
      </c>
      <c r="B3144" s="1263">
        <f t="shared" si="1137"/>
        <v>10</v>
      </c>
      <c r="C3144" s="71">
        <v>43012</v>
      </c>
      <c r="D3144" s="71" t="s">
        <v>530</v>
      </c>
      <c r="E3144" s="71">
        <f t="shared" si="1131"/>
        <v>43012</v>
      </c>
      <c r="F3144" s="72" t="s">
        <v>1027</v>
      </c>
      <c r="G3144" s="72" t="s">
        <v>747</v>
      </c>
      <c r="H3144" s="73" t="s">
        <v>546</v>
      </c>
      <c r="I3144" s="73"/>
      <c r="J3144" s="378"/>
      <c r="K3144" s="1213">
        <v>52</v>
      </c>
      <c r="L3144" s="1214">
        <v>22720</v>
      </c>
      <c r="M3144" s="933">
        <f t="shared" si="1134"/>
        <v>1181440</v>
      </c>
      <c r="N3144" s="75" t="s">
        <v>101</v>
      </c>
      <c r="O3144" s="75" t="s">
        <v>536</v>
      </c>
      <c r="P3144" s="75" t="str">
        <f>IF(AND('331-CT'!$E$7=TH!H3144,OR(N3144="331",O3144="331")),"x","")</f>
        <v/>
      </c>
      <c r="Q3144" s="75" t="str">
        <f>IF(AND(B3144='111'!$L$11,OR($N3144=$Q$7,$O3144=$Q$7)),"x","")</f>
        <v/>
      </c>
      <c r="R3144" s="75" t="str">
        <f>IF(AND($N3144=$Q$7,$B3144&lt;'111'!$L$11),"x","")</f>
        <v/>
      </c>
      <c r="S3144" s="75" t="str">
        <f>IF(AND($O3144=$Q$7,$B3144&lt;'111'!$L$11),"x","")</f>
        <v/>
      </c>
      <c r="T3144" s="75" t="str">
        <f>IF(ISERROR(FIND('112'!$M$9,G3144,1)),"",IF((AND(FIND('112'!$M$9,G3144,1)&gt;=1,B3144='112'!$K$9,OR($N3144='112'!$I$6,$O3144='112'!$I$6))),"x",""))</f>
        <v/>
      </c>
      <c r="U3144" s="75" t="str">
        <f>IF(ISERROR(FIND('112'!$M$9,G3144,1)),"",IF((AND(LEFT(G3144,2)=LEFT('112'!$M$9,2),B3144&lt;'112'!$K$9,$N3144='112'!$I$6)),"x",""))</f>
        <v/>
      </c>
      <c r="V3144" s="75" t="str">
        <f>IF(ISERROR(FIND('112'!$M$9,G3144,1)),"",IF((AND(RIGHT(G3144,2)=RIGHT('112'!$M$9,2),B3144&lt;'112'!$K$9,$O3144='112'!$I$6)),"x",""))</f>
        <v/>
      </c>
      <c r="W3144" s="75" t="str">
        <f>IF(AND('341-CT'!$H$9=H3144,OR(LEFT(N3144,3)=$W$7,LEFT(O3144,3)=$W$7)),"x","")</f>
        <v/>
      </c>
      <c r="X3144" s="75" t="str">
        <f>IF(OR(TH!N3144=TH!$X$7,O3144=TH!$X$7),"x","")</f>
        <v/>
      </c>
      <c r="Y3144" s="75" t="str">
        <f>IF(AND(OR(N3144="131",O3144="131"),H3144='131-CT'!$H$9),"x","")</f>
        <v/>
      </c>
      <c r="Z3144" s="75"/>
      <c r="AA3144" s="75" t="str">
        <f>IF(AND(MONTH(E3144)='IN-NX'!$J$5,'IN-NX'!$D$7=D3144),"x","")</f>
        <v/>
      </c>
      <c r="AB3144" s="75" t="str">
        <f>IF(AND(OR(LEFT(TH!N3144,2)="15",LEFT(TH!O3144,2)="15"),LEFT(TH!O3144,3)&lt;&gt;"111",'152-CT'!$J$8=TH!F3144),"x","")</f>
        <v/>
      </c>
      <c r="AC3144" s="75" t="str">
        <f>IF(AND(OR(LEFT(TH!N3144,2)="15",LEFT(TH!O3144,2)="15"),TK!$E$7=TH!F3144),"x","")</f>
        <v/>
      </c>
      <c r="AD3144" s="75" t="str">
        <f>IF(AND(N3144="1521",MONTH(C3144)='BK-NL'!$M$11),"x","")</f>
        <v/>
      </c>
    </row>
    <row r="3145" spans="1:30" s="1264" customFormat="1" ht="16.5" customHeight="1">
      <c r="A3145" s="309" t="str">
        <f>IF(B3145&lt;&gt;"",IF(AND(B3145='IN-TC'!$S$4,OR(TH!N3145="1111",TH!O3145="1111")),TH!D3145,""),"")</f>
        <v/>
      </c>
      <c r="B3145" s="1263">
        <f t="shared" si="1137"/>
        <v>10</v>
      </c>
      <c r="C3145" s="71">
        <v>43012</v>
      </c>
      <c r="D3145" s="71" t="s">
        <v>530</v>
      </c>
      <c r="E3145" s="71">
        <f t="shared" si="1131"/>
        <v>43012</v>
      </c>
      <c r="F3145" s="72" t="s">
        <v>1010</v>
      </c>
      <c r="G3145" s="72" t="s">
        <v>747</v>
      </c>
      <c r="H3145" s="73" t="s">
        <v>546</v>
      </c>
      <c r="I3145" s="73"/>
      <c r="J3145" s="378"/>
      <c r="K3145" s="1213"/>
      <c r="L3145" s="1214"/>
      <c r="M3145" s="74">
        <v>1156980</v>
      </c>
      <c r="N3145" s="75" t="s">
        <v>536</v>
      </c>
      <c r="O3145" s="934" t="s">
        <v>43</v>
      </c>
      <c r="P3145" s="75" t="str">
        <f>IF(AND('331-CT'!$E$7=TH!H3145,OR(N3145="331",O3145="331")),"x","")</f>
        <v/>
      </c>
      <c r="Q3145" s="75" t="str">
        <f>IF(AND(B3145='111'!$L$11,OR($N3145=$Q$7,$O3145=$Q$7)),"x","")</f>
        <v/>
      </c>
      <c r="R3145" s="75" t="str">
        <f>IF(AND($N3145=$Q$7,$B3145&lt;'111'!$L$11),"x","")</f>
        <v/>
      </c>
      <c r="S3145" s="75" t="str">
        <f>IF(AND($O3145=$Q$7,$B3145&lt;'111'!$L$11),"x","")</f>
        <v/>
      </c>
      <c r="T3145" s="75" t="str">
        <f>IF(ISERROR(FIND('112'!$M$9,G3145,1)),"",IF((AND(FIND('112'!$M$9,G3145,1)&gt;=1,B3145='112'!$K$9,OR($N3145='112'!$I$6,$O3145='112'!$I$6))),"x",""))</f>
        <v/>
      </c>
      <c r="U3145" s="75" t="str">
        <f>IF(ISERROR(FIND('112'!$M$9,G3145,1)),"",IF((AND(LEFT(G3145,2)=LEFT('112'!$M$9,2),B3145&lt;'112'!$K$9,$N3145='112'!$I$6)),"x",""))</f>
        <v/>
      </c>
      <c r="V3145" s="75" t="str">
        <f>IF(ISERROR(FIND('112'!$M$9,G3145,1)),"",IF((AND(RIGHT(G3145,2)=RIGHT('112'!$M$9,2),B3145&lt;'112'!$K$9,$O3145='112'!$I$6)),"x",""))</f>
        <v/>
      </c>
      <c r="W3145" s="75" t="str">
        <f>IF(AND('341-CT'!$H$9=H3145,OR(LEFT(N3145,3)=$W$7,LEFT(O3145,3)=$W$7)),"x","")</f>
        <v/>
      </c>
      <c r="X3145" s="75" t="str">
        <f>IF(OR(TH!N3145=TH!$X$7,O3145=TH!$X$7),"x","")</f>
        <v/>
      </c>
      <c r="Y3145" s="75" t="str">
        <f>IF(AND(OR(N3145="131",O3145="131"),H3145='131-CT'!$H$9),"x","")</f>
        <v/>
      </c>
      <c r="Z3145" s="75"/>
      <c r="AA3145" s="75" t="str">
        <f>IF(AND(MONTH(E3145)='IN-NX'!$J$5,'IN-NX'!$D$7=D3145),"x","")</f>
        <v/>
      </c>
      <c r="AB3145" s="75" t="str">
        <f>IF(AND(OR(LEFT(TH!N3145,2)="15",LEFT(TH!O3145,2)="15"),LEFT(TH!O3145,3)&lt;&gt;"111",'152-CT'!$J$8=TH!F3145),"x","")</f>
        <v/>
      </c>
      <c r="AC3145" s="75" t="str">
        <f>IF(AND(OR(LEFT(TH!N3145,2)="15",LEFT(TH!O3145,2)="15"),TK!$E$7=TH!F3145),"x","")</f>
        <v/>
      </c>
      <c r="AD3145" s="75" t="str">
        <f>IF(AND(N3145="1521",MONTH(C3145)='BK-NL'!$M$11),"x","")</f>
        <v/>
      </c>
    </row>
    <row r="3146" spans="1:30" s="1264" customFormat="1" ht="16.5" customHeight="1">
      <c r="A3146" s="309" t="str">
        <f>IF(B3146&lt;&gt;"",IF(AND(B3146='IN-TC'!$S$4,OR(TH!N3146="1111",TH!O3146="1111")),TH!D3146,""),"")</f>
        <v/>
      </c>
      <c r="B3146" s="1263">
        <f t="shared" si="1137"/>
        <v>10</v>
      </c>
      <c r="C3146" s="71">
        <v>43012</v>
      </c>
      <c r="D3146" s="71" t="s">
        <v>903</v>
      </c>
      <c r="E3146" s="71">
        <f t="shared" si="1131"/>
        <v>43012</v>
      </c>
      <c r="F3146" s="72" t="s">
        <v>2313</v>
      </c>
      <c r="G3146" s="72" t="s">
        <v>747</v>
      </c>
      <c r="H3146" s="73" t="s">
        <v>545</v>
      </c>
      <c r="I3146" s="73"/>
      <c r="J3146" s="378"/>
      <c r="K3146" s="371">
        <v>5388.74</v>
      </c>
      <c r="L3146" s="1214">
        <v>22720</v>
      </c>
      <c r="M3146" s="1214">
        <f t="shared" ref="M3146:M3147" si="1139">ROUND(K3146*L3146,0)</f>
        <v>122432173</v>
      </c>
      <c r="N3146" s="75" t="s">
        <v>256</v>
      </c>
      <c r="O3146" s="75" t="s">
        <v>536</v>
      </c>
      <c r="P3146" s="75" t="str">
        <f>IF(AND('331-CT'!$E$7=TH!H3146,OR(N3146="331",O3146="331")),"x","")</f>
        <v/>
      </c>
      <c r="Q3146" s="75" t="str">
        <f>IF(AND(B3146='111'!$L$11,OR($N3146=$Q$7,$O3146=$Q$7)),"x","")</f>
        <v/>
      </c>
      <c r="R3146" s="75" t="str">
        <f>IF(AND($N3146=$Q$7,$B3146&lt;'111'!$L$11),"x","")</f>
        <v/>
      </c>
      <c r="S3146" s="75" t="str">
        <f>IF(AND($O3146=$Q$7,$B3146&lt;'111'!$L$11),"x","")</f>
        <v/>
      </c>
      <c r="T3146" s="75" t="str">
        <f>IF(ISERROR(FIND('112'!$M$9,G3146,1)),"",IF((AND(FIND('112'!$M$9,G3146,1)&gt;=1,B3146='112'!$K$9,OR($N3146='112'!$I$6,$O3146='112'!$I$6))),"x",""))</f>
        <v/>
      </c>
      <c r="U3146" s="75" t="str">
        <f>IF(ISERROR(FIND('112'!$M$9,G3146,1)),"",IF((AND(LEFT(G3146,2)=LEFT('112'!$M$9,2),B3146&lt;'112'!$K$9,$N3146='112'!$I$6)),"x",""))</f>
        <v/>
      </c>
      <c r="V3146" s="75" t="str">
        <f>IF(ISERROR(FIND('112'!$M$9,G3146,1)),"",IF((AND(RIGHT(G3146,2)=RIGHT('112'!$M$9,2),B3146&lt;'112'!$K$9,$O3146='112'!$I$6)),"x",""))</f>
        <v/>
      </c>
      <c r="W3146" s="75" t="str">
        <f>IF(AND('341-CT'!$H$9=H3146,OR(LEFT(N3146,3)=$W$7,LEFT(O3146,3)=$W$7)),"x","")</f>
        <v/>
      </c>
      <c r="X3146" s="75" t="str">
        <f>IF(OR(TH!N3146=TH!$X$7,O3146=TH!$X$7),"x","")</f>
        <v/>
      </c>
      <c r="Y3146" s="75" t="str">
        <f>IF(AND(OR(N3146="131",O3146="131"),H3146='131-CT'!$H$9),"x","")</f>
        <v/>
      </c>
      <c r="Z3146" s="75"/>
      <c r="AA3146" s="75" t="str">
        <f>IF(AND(MONTH(E3146)='IN-NX'!$J$5,'IN-NX'!$D$7=D3146),"x","")</f>
        <v/>
      </c>
      <c r="AB3146" s="75" t="str">
        <f>IF(AND(OR(LEFT(TH!N3146,2)="15",LEFT(TH!O3146,2)="15"),LEFT(TH!O3146,3)&lt;&gt;"111",'152-CT'!$J$8=TH!F3146),"x","")</f>
        <v/>
      </c>
      <c r="AC3146" s="75" t="str">
        <f>IF(AND(OR(LEFT(TH!N3146,2)="15",LEFT(TH!O3146,2)="15"),TK!$E$7=TH!F3146),"x","")</f>
        <v/>
      </c>
      <c r="AD3146" s="75" t="str">
        <f>IF(AND(N3146="1521",MONTH(C3146)='BK-NL'!$M$11),"x","")</f>
        <v/>
      </c>
    </row>
    <row r="3147" spans="1:30" s="1264" customFormat="1" ht="16.5" customHeight="1">
      <c r="A3147" s="309" t="str">
        <f>IF(B3147&lt;&gt;"",IF(AND(B3147='IN-TC'!$S$4,OR(TH!N3147="1111",TH!O3147="1111")),TH!D3147,""),"")</f>
        <v/>
      </c>
      <c r="B3147" s="1263">
        <f t="shared" si="1137"/>
        <v>10</v>
      </c>
      <c r="C3147" s="71">
        <v>43012</v>
      </c>
      <c r="D3147" s="71" t="s">
        <v>902</v>
      </c>
      <c r="E3147" s="71">
        <f t="shared" si="1131"/>
        <v>43012</v>
      </c>
      <c r="F3147" s="72" t="s">
        <v>1096</v>
      </c>
      <c r="G3147" s="72" t="s">
        <v>747</v>
      </c>
      <c r="H3147" s="73" t="s">
        <v>2468</v>
      </c>
      <c r="I3147" s="73"/>
      <c r="J3147" s="378"/>
      <c r="K3147" s="371">
        <v>24.91</v>
      </c>
      <c r="L3147" s="1214">
        <v>22720</v>
      </c>
      <c r="M3147" s="74">
        <f t="shared" si="1139"/>
        <v>565955</v>
      </c>
      <c r="N3147" s="75" t="s">
        <v>99</v>
      </c>
      <c r="O3147" s="934" t="s">
        <v>256</v>
      </c>
      <c r="P3147" s="75" t="str">
        <f>IF(AND('331-CT'!$E$7=TH!H3147,OR(N3147="331",O3147="331")),"x","")</f>
        <v/>
      </c>
      <c r="Q3147" s="75" t="str">
        <f>IF(AND(B3147='111'!$L$11,OR($N3147=$Q$7,$O3147=$Q$7)),"x","")</f>
        <v/>
      </c>
      <c r="R3147" s="75" t="str">
        <f>IF(AND($N3147=$Q$7,$B3147&lt;'111'!$L$11),"x","")</f>
        <v/>
      </c>
      <c r="S3147" s="75" t="str">
        <f>IF(AND($O3147=$Q$7,$B3147&lt;'111'!$L$11),"x","")</f>
        <v/>
      </c>
      <c r="T3147" s="75" t="str">
        <f>IF(ISERROR(FIND('112'!$M$9,G3147,1)),"",IF((AND(FIND('112'!$M$9,G3147,1)&gt;=1,B3147='112'!$K$9,OR($N3147='112'!$I$6,$O3147='112'!$I$6))),"x",""))</f>
        <v/>
      </c>
      <c r="U3147" s="75" t="str">
        <f>IF(ISERROR(FIND('112'!$M$9,G3147,1)),"",IF((AND(LEFT(G3147,2)=LEFT('112'!$M$9,2),B3147&lt;'112'!$K$9,$N3147='112'!$I$6)),"x",""))</f>
        <v/>
      </c>
      <c r="V3147" s="75" t="str">
        <f>IF(ISERROR(FIND('112'!$M$9,G3147,1)),"",IF((AND(RIGHT(G3147,2)=RIGHT('112'!$M$9,2),B3147&lt;'112'!$K$9,$O3147='112'!$I$6)),"x",""))</f>
        <v/>
      </c>
      <c r="W3147" s="75" t="str">
        <f>IF(AND('341-CT'!$H$9=H3147,OR(LEFT(N3147,3)=$W$7,LEFT(O3147,3)=$W$7)),"x","")</f>
        <v/>
      </c>
      <c r="X3147" s="75" t="str">
        <f>IF(OR(TH!N3147=TH!$X$7,O3147=TH!$X$7),"x","")</f>
        <v/>
      </c>
      <c r="Y3147" s="75" t="str">
        <f>IF(AND(OR(N3147="131",O3147="131"),H3147='131-CT'!$H$9),"x","")</f>
        <v/>
      </c>
      <c r="Z3147" s="75"/>
      <c r="AA3147" s="75" t="str">
        <f>IF(AND(MONTH(E3147)='IN-NX'!$J$5,'IN-NX'!$D$7=D3147),"x","")</f>
        <v/>
      </c>
      <c r="AB3147" s="75" t="str">
        <f>IF(AND(OR(LEFT(TH!N3147,2)="15",LEFT(TH!O3147,2)="15"),LEFT(TH!O3147,3)&lt;&gt;"111",'152-CT'!$J$8=TH!F3147),"x","")</f>
        <v/>
      </c>
      <c r="AC3147" s="75" t="str">
        <f>IF(AND(OR(LEFT(TH!N3147,2)="15",LEFT(TH!O3147,2)="15"),TK!$E$7=TH!F3147),"x","")</f>
        <v/>
      </c>
      <c r="AD3147" s="75" t="str">
        <f>IF(AND(N3147="1521",MONTH(C3147)='BK-NL'!$M$11),"x","")</f>
        <v/>
      </c>
    </row>
    <row r="3148" spans="1:30" s="1264" customFormat="1" ht="16.5" customHeight="1">
      <c r="A3148" s="309" t="str">
        <f>IF(B3148&lt;&gt;"",IF(AND(B3148='IN-TC'!$S$4,OR(TH!N3148="1111",TH!O3148="1111")),TH!D3148,""),"")</f>
        <v/>
      </c>
      <c r="B3148" s="1263">
        <f t="shared" si="1137"/>
        <v>10</v>
      </c>
      <c r="C3148" s="71">
        <v>43012</v>
      </c>
      <c r="D3148" s="71" t="s">
        <v>902</v>
      </c>
      <c r="E3148" s="71">
        <f t="shared" si="1131"/>
        <v>43012</v>
      </c>
      <c r="F3148" s="72" t="s">
        <v>1321</v>
      </c>
      <c r="G3148" s="72" t="s">
        <v>747</v>
      </c>
      <c r="H3148" s="73" t="s">
        <v>2468</v>
      </c>
      <c r="I3148" s="73"/>
      <c r="J3148" s="378"/>
      <c r="K3148" s="371">
        <v>36600</v>
      </c>
      <c r="L3148" s="1214">
        <v>22720</v>
      </c>
      <c r="M3148" s="74">
        <f t="shared" ref="M3148" si="1140">ROUND(K3148*L3148,0)</f>
        <v>831552000</v>
      </c>
      <c r="N3148" s="75" t="s">
        <v>250</v>
      </c>
      <c r="O3148" s="934" t="s">
        <v>256</v>
      </c>
      <c r="P3148" s="75" t="str">
        <f>IF(AND('331-CT'!$E$7=TH!H3148,OR(N3148="331",O3148="331")),"x","")</f>
        <v/>
      </c>
      <c r="Q3148" s="75" t="str">
        <f>IF(AND(B3148='111'!$L$11,OR($N3148=$Q$7,$O3148=$Q$7)),"x","")</f>
        <v/>
      </c>
      <c r="R3148" s="75" t="str">
        <f>IF(AND($N3148=$Q$7,$B3148&lt;'111'!$L$11),"x","")</f>
        <v/>
      </c>
      <c r="S3148" s="75" t="str">
        <f>IF(AND($O3148=$Q$7,$B3148&lt;'111'!$L$11),"x","")</f>
        <v/>
      </c>
      <c r="T3148" s="75" t="str">
        <f>IF(ISERROR(FIND('112'!$M$9,G3148,1)),"",IF((AND(FIND('112'!$M$9,G3148,1)&gt;=1,B3148='112'!$K$9,OR($N3148='112'!$I$6,$O3148='112'!$I$6))),"x",""))</f>
        <v/>
      </c>
      <c r="U3148" s="75" t="str">
        <f>IF(ISERROR(FIND('112'!$M$9,G3148,1)),"",IF((AND(LEFT(G3148,2)=LEFT('112'!$M$9,2),B3148&lt;'112'!$K$9,$N3148='112'!$I$6)),"x",""))</f>
        <v/>
      </c>
      <c r="V3148" s="75" t="str">
        <f>IF(ISERROR(FIND('112'!$M$9,G3148,1)),"",IF((AND(RIGHT(G3148,2)=RIGHT('112'!$M$9,2),B3148&lt;'112'!$K$9,$O3148='112'!$I$6)),"x",""))</f>
        <v/>
      </c>
      <c r="W3148" s="75" t="str">
        <f>IF(AND('341-CT'!$H$9=H3148,OR(LEFT(N3148,3)=$W$7,LEFT(O3148,3)=$W$7)),"x","")</f>
        <v/>
      </c>
      <c r="X3148" s="75" t="str">
        <f>IF(OR(TH!N3148=TH!$X$7,O3148=TH!$X$7),"x","")</f>
        <v/>
      </c>
      <c r="Y3148" s="75" t="str">
        <f>IF(AND(OR(N3148="131",O3148="131"),H3148='131-CT'!$H$9),"x","")</f>
        <v/>
      </c>
      <c r="Z3148" s="75"/>
      <c r="AA3148" s="75" t="str">
        <f>IF(AND(MONTH(E3148)='IN-NX'!$J$5,'IN-NX'!$D$7=D3148),"x","")</f>
        <v/>
      </c>
      <c r="AB3148" s="75" t="str">
        <f>IF(AND(OR(LEFT(TH!N3148,2)="15",LEFT(TH!O3148,2)="15"),LEFT(TH!O3148,3)&lt;&gt;"111",'152-CT'!$J$8=TH!F3148),"x","")</f>
        <v/>
      </c>
      <c r="AC3148" s="75" t="str">
        <f>IF(AND(OR(LEFT(TH!N3148,2)="15",LEFT(TH!O3148,2)="15"),TK!$E$7=TH!F3148),"x","")</f>
        <v/>
      </c>
      <c r="AD3148" s="75" t="str">
        <f>IF(AND(N3148="1521",MONTH(C3148)='BK-NL'!$M$11),"x","")</f>
        <v/>
      </c>
    </row>
    <row r="3149" spans="1:30" s="1264" customFormat="1" ht="16.5" customHeight="1">
      <c r="A3149" s="309" t="str">
        <f>IF(B3149&lt;&gt;"",IF(AND(B3149='IN-TC'!$S$4,OR(TH!N3149="1111",TH!O3149="1111")),TH!D3149,""),"")</f>
        <v/>
      </c>
      <c r="B3149" s="1263">
        <f t="shared" ref="B3149" si="1141">IF(C3149&lt;&gt;"",MONTH(C3149),"")</f>
        <v>10</v>
      </c>
      <c r="C3149" s="71">
        <v>43012</v>
      </c>
      <c r="D3149" s="71" t="s">
        <v>530</v>
      </c>
      <c r="E3149" s="71">
        <f t="shared" ref="E3149" si="1142">C3149</f>
        <v>43012</v>
      </c>
      <c r="F3149" s="72" t="s">
        <v>1010</v>
      </c>
      <c r="G3149" s="72" t="s">
        <v>747</v>
      </c>
      <c r="H3149" s="73" t="s">
        <v>2468</v>
      </c>
      <c r="I3149" s="73"/>
      <c r="J3149" s="378"/>
      <c r="K3149" s="371"/>
      <c r="L3149" s="1214"/>
      <c r="M3149" s="933">
        <v>563640</v>
      </c>
      <c r="N3149" s="75" t="s">
        <v>99</v>
      </c>
      <c r="O3149" s="934" t="s">
        <v>250</v>
      </c>
      <c r="P3149" s="75" t="str">
        <f>IF(AND('331-CT'!$E$7=TH!H3149,OR(N3149="331",O3149="331")),"x","")</f>
        <v/>
      </c>
      <c r="Q3149" s="75" t="str">
        <f>IF(AND(B3149='111'!$L$11,OR($N3149=$Q$7,$O3149=$Q$7)),"x","")</f>
        <v/>
      </c>
      <c r="R3149" s="75" t="str">
        <f>IF(AND($N3149=$Q$7,$B3149&lt;'111'!$L$11),"x","")</f>
        <v/>
      </c>
      <c r="S3149" s="75" t="str">
        <f>IF(AND($O3149=$Q$7,$B3149&lt;'111'!$L$11),"x","")</f>
        <v/>
      </c>
      <c r="T3149" s="75" t="str">
        <f>IF(ISERROR(FIND('112'!$M$9,G3149,1)),"",IF((AND(FIND('112'!$M$9,G3149,1)&gt;=1,B3149='112'!$K$9,OR($N3149='112'!$I$6,$O3149='112'!$I$6))),"x",""))</f>
        <v/>
      </c>
      <c r="U3149" s="75" t="str">
        <f>IF(ISERROR(FIND('112'!$M$9,G3149,1)),"",IF((AND(LEFT(G3149,2)=LEFT('112'!$M$9,2),B3149&lt;'112'!$K$9,$N3149='112'!$I$6)),"x",""))</f>
        <v/>
      </c>
      <c r="V3149" s="75" t="str">
        <f>IF(ISERROR(FIND('112'!$M$9,G3149,1)),"",IF((AND(RIGHT(G3149,2)=RIGHT('112'!$M$9,2),B3149&lt;'112'!$K$9,$O3149='112'!$I$6)),"x",""))</f>
        <v/>
      </c>
      <c r="W3149" s="75" t="str">
        <f>IF(AND('341-CT'!$H$9=H3149,OR(LEFT(N3149,3)=$W$7,LEFT(O3149,3)=$W$7)),"x","")</f>
        <v/>
      </c>
      <c r="X3149" s="75" t="str">
        <f>IF(OR(TH!N3149=TH!$X$7,O3149=TH!$X$7),"x","")</f>
        <v/>
      </c>
      <c r="Y3149" s="75" t="str">
        <f>IF(AND(OR(N3149="131",O3149="131"),H3149='131-CT'!$H$9),"x","")</f>
        <v/>
      </c>
      <c r="Z3149" s="75"/>
      <c r="AA3149" s="75" t="str">
        <f>IF(AND(MONTH(E3149)='IN-NX'!$J$5,'IN-NX'!$D$7=D3149),"x","")</f>
        <v/>
      </c>
      <c r="AB3149" s="75" t="str">
        <f>IF(AND(OR(LEFT(TH!N3149,2)="15",LEFT(TH!O3149,2)="15"),LEFT(TH!O3149,3)&lt;&gt;"111",'152-CT'!$J$8=TH!F3149),"x","")</f>
        <v/>
      </c>
      <c r="AC3149" s="75" t="str">
        <f>IF(AND(OR(LEFT(TH!N3149,2)="15",LEFT(TH!O3149,2)="15"),TK!$E$7=TH!F3149),"x","")</f>
        <v/>
      </c>
      <c r="AD3149" s="75" t="str">
        <f>IF(AND(N3149="1521",MONTH(C3149)='BK-NL'!$M$11),"x","")</f>
        <v/>
      </c>
    </row>
    <row r="3150" spans="1:30" s="1264" customFormat="1" ht="16.5" customHeight="1">
      <c r="A3150" s="309" t="str">
        <f>IF(B3150&lt;&gt;"",IF(AND(B3150='IN-TC'!$S$4,OR(TH!N3150="1111",TH!O3150="1111")),TH!D3150,""),"")</f>
        <v/>
      </c>
      <c r="B3150" s="1263">
        <f>IF(C3150&lt;&gt;"",MONTH(C3150),"")</f>
        <v>10</v>
      </c>
      <c r="C3150" s="71">
        <v>43013</v>
      </c>
      <c r="D3150" s="71" t="s">
        <v>902</v>
      </c>
      <c r="E3150" s="71">
        <f t="shared" si="1131"/>
        <v>43013</v>
      </c>
      <c r="F3150" s="72" t="s">
        <v>907</v>
      </c>
      <c r="G3150" s="72" t="s">
        <v>747</v>
      </c>
      <c r="H3150" s="73" t="s">
        <v>835</v>
      </c>
      <c r="I3150" s="73"/>
      <c r="J3150" s="378"/>
      <c r="K3150" s="371">
        <v>8000</v>
      </c>
      <c r="L3150" s="377">
        <v>22700</v>
      </c>
      <c r="M3150" s="74">
        <f>ROUND(K3150*L3150,0)</f>
        <v>181600000</v>
      </c>
      <c r="N3150" s="75" t="s">
        <v>26</v>
      </c>
      <c r="O3150" s="934" t="s">
        <v>256</v>
      </c>
      <c r="P3150" s="75" t="str">
        <f>IF(AND('331-CT'!$E$7=TH!H3150,OR(N3150="331",O3150="331")),"x","")</f>
        <v/>
      </c>
      <c r="Q3150" s="75" t="str">
        <f>IF(AND(B3150='111'!$L$11,OR($N3150=$Q$7,$O3150=$Q$7)),"x","")</f>
        <v/>
      </c>
      <c r="R3150" s="75" t="str">
        <f>IF(AND($N3150=$Q$7,$B3150&lt;'111'!$L$11),"x","")</f>
        <v/>
      </c>
      <c r="S3150" s="75" t="str">
        <f>IF(AND($O3150=$Q$7,$B3150&lt;'111'!$L$11),"x","")</f>
        <v/>
      </c>
      <c r="T3150" s="75" t="str">
        <f>IF(ISERROR(FIND('112'!$M$9,G3150,1)),"",IF((AND(FIND('112'!$M$9,G3150,1)&gt;=1,B3150='112'!$K$9,OR($N3150='112'!$I$6,$O3150='112'!$I$6))),"x",""))</f>
        <v/>
      </c>
      <c r="U3150" s="75" t="str">
        <f>IF(ISERROR(FIND('112'!$M$9,G3150,1)),"",IF((AND(LEFT(G3150,2)=LEFT('112'!$M$9,2),B3150&lt;'112'!$K$9,$N3150='112'!$I$6)),"x",""))</f>
        <v/>
      </c>
      <c r="V3150" s="75" t="str">
        <f>IF(ISERROR(FIND('112'!$M$9,G3150,1)),"",IF((AND(RIGHT(G3150,2)=RIGHT('112'!$M$9,2),B3150&lt;'112'!$K$9,$O3150='112'!$I$6)),"x",""))</f>
        <v/>
      </c>
      <c r="W3150" s="75" t="str">
        <f>IF(AND('341-CT'!$H$9=H3150,OR(LEFT(N3150,3)=$W$7,LEFT(O3150,3)=$W$7)),"x","")</f>
        <v/>
      </c>
      <c r="X3150" s="75" t="str">
        <f>IF(OR(TH!N3150=TH!$X$7,O3150=TH!$X$7),"x","")</f>
        <v/>
      </c>
      <c r="Y3150" s="75" t="str">
        <f>IF(AND(OR(N3150="131",O3150="131"),H3150='131-CT'!$H$9),"x","")</f>
        <v/>
      </c>
      <c r="Z3150" s="75"/>
      <c r="AA3150" s="75" t="str">
        <f>IF(AND(MONTH(E3150)='IN-NX'!$J$5,'IN-NX'!$D$7=D3150),"x","")</f>
        <v/>
      </c>
      <c r="AB3150" s="75" t="str">
        <f>IF(AND(OR(LEFT(TH!N3150,2)="15",LEFT(TH!O3150,2)="15"),LEFT(TH!O3150,3)&lt;&gt;"111",'152-CT'!$J$8=TH!F3150),"x","")</f>
        <v/>
      </c>
      <c r="AC3150" s="75" t="str">
        <f>IF(AND(OR(LEFT(TH!N3150,2)="15",LEFT(TH!O3150,2)="15"),TK!$E$7=TH!F3150),"x","")</f>
        <v/>
      </c>
      <c r="AD3150" s="75" t="str">
        <f>IF(AND(N3150="1521",MONTH(C3150)='BK-NL'!$M$11),"x","")</f>
        <v/>
      </c>
    </row>
    <row r="3151" spans="1:30" s="1264" customFormat="1" ht="16.5" customHeight="1">
      <c r="A3151" s="309" t="str">
        <f>IF(B3151&lt;&gt;"",IF(AND(B3151='IN-TC'!$S$4,OR(TH!N3151="1111",TH!O3151="1111")),TH!D3151,""),"")</f>
        <v/>
      </c>
      <c r="B3151" s="1263">
        <f>IF(C3151&lt;&gt;"",MONTH(C3151),"")</f>
        <v>10</v>
      </c>
      <c r="C3151" s="71">
        <v>43020</v>
      </c>
      <c r="D3151" s="71" t="s">
        <v>903</v>
      </c>
      <c r="E3151" s="71">
        <f t="shared" si="1131"/>
        <v>43020</v>
      </c>
      <c r="F3151" s="930" t="s">
        <v>2470</v>
      </c>
      <c r="G3151" s="72" t="s">
        <v>747</v>
      </c>
      <c r="H3151" s="73" t="s">
        <v>2471</v>
      </c>
      <c r="I3151" s="73"/>
      <c r="J3151" s="378"/>
      <c r="K3151" s="371">
        <v>21197</v>
      </c>
      <c r="L3151" s="377">
        <v>22720</v>
      </c>
      <c r="M3151" s="1214">
        <f t="shared" ref="M3151" si="1143">ROUND(K3151*L3151,0)</f>
        <v>481595840</v>
      </c>
      <c r="N3151" s="75" t="s">
        <v>256</v>
      </c>
      <c r="O3151" s="75" t="s">
        <v>250</v>
      </c>
      <c r="P3151" s="75" t="str">
        <f>IF(AND('331-CT'!$E$7=TH!H3151,OR(N3151="331",O3151="331")),"x","")</f>
        <v/>
      </c>
      <c r="Q3151" s="75" t="str">
        <f>IF(AND(B3151='111'!$L$11,OR($N3151=$Q$7,$O3151=$Q$7)),"x","")</f>
        <v/>
      </c>
      <c r="R3151" s="75" t="str">
        <f>IF(AND($N3151=$Q$7,$B3151&lt;'111'!$L$11),"x","")</f>
        <v/>
      </c>
      <c r="S3151" s="75" t="str">
        <f>IF(AND($O3151=$Q$7,$B3151&lt;'111'!$L$11),"x","")</f>
        <v/>
      </c>
      <c r="T3151" s="75" t="str">
        <f>IF(ISERROR(FIND('112'!$M$9,G3151,1)),"",IF((AND(FIND('112'!$M$9,G3151,1)&gt;=1,B3151='112'!$K$9,OR($N3151='112'!$I$6,$O3151='112'!$I$6))),"x",""))</f>
        <v/>
      </c>
      <c r="U3151" s="75" t="str">
        <f>IF(ISERROR(FIND('112'!$M$9,G3151,1)),"",IF((AND(LEFT(G3151,2)=LEFT('112'!$M$9,2),B3151&lt;'112'!$K$9,$N3151='112'!$I$6)),"x",""))</f>
        <v/>
      </c>
      <c r="V3151" s="75" t="str">
        <f>IF(ISERROR(FIND('112'!$M$9,G3151,1)),"",IF((AND(RIGHT(G3151,2)=RIGHT('112'!$M$9,2),B3151&lt;'112'!$K$9,$O3151='112'!$I$6)),"x",""))</f>
        <v/>
      </c>
      <c r="W3151" s="75" t="str">
        <f>IF(AND('341-CT'!$H$9=H3151,OR(LEFT(N3151,3)=$W$7,LEFT(O3151,3)=$W$7)),"x","")</f>
        <v>x</v>
      </c>
      <c r="X3151" s="75" t="str">
        <f>IF(OR(TH!N3151=TH!$X$7,O3151=TH!$X$7),"x","")</f>
        <v/>
      </c>
      <c r="Y3151" s="75" t="str">
        <f>IF(AND(OR(N3151="131",O3151="131"),H3151='131-CT'!$H$9),"x","")</f>
        <v/>
      </c>
      <c r="Z3151" s="75"/>
      <c r="AA3151" s="75" t="str">
        <f>IF(AND(MONTH(E3151)='IN-NX'!$J$5,'IN-NX'!$D$7=D3151),"x","")</f>
        <v/>
      </c>
      <c r="AB3151" s="75" t="str">
        <f>IF(AND(OR(LEFT(TH!N3151,2)="15",LEFT(TH!O3151,2)="15"),LEFT(TH!O3151,3)&lt;&gt;"111",'152-CT'!$J$8=TH!F3151),"x","")</f>
        <v/>
      </c>
      <c r="AC3151" s="75" t="str">
        <f>IF(AND(OR(LEFT(TH!N3151,2)="15",LEFT(TH!O3151,2)="15"),TK!$E$7=TH!F3151),"x","")</f>
        <v/>
      </c>
      <c r="AD3151" s="75" t="str">
        <f>IF(AND(N3151="1521",MONTH(C3151)='BK-NL'!$M$11),"x","")</f>
        <v/>
      </c>
    </row>
    <row r="3152" spans="1:30" s="1264" customFormat="1" ht="16.5" customHeight="1">
      <c r="A3152" s="309" t="str">
        <f>IF(B3152&lt;&gt;"",IF(AND(B3152='IN-TC'!$S$4,OR(TH!N3152="1111",TH!O3152="1111")),TH!D3152,""),"")</f>
        <v/>
      </c>
      <c r="B3152" s="1263">
        <f>IF(C3152&lt;&gt;"",MONTH(C3152),"")</f>
        <v>10</v>
      </c>
      <c r="C3152" s="71">
        <v>43020</v>
      </c>
      <c r="D3152" s="71" t="s">
        <v>902</v>
      </c>
      <c r="E3152" s="71">
        <f t="shared" si="1131"/>
        <v>43020</v>
      </c>
      <c r="F3152" s="72" t="s">
        <v>1321</v>
      </c>
      <c r="G3152" s="72" t="s">
        <v>747</v>
      </c>
      <c r="H3152" s="73" t="s">
        <v>2473</v>
      </c>
      <c r="I3152" s="73"/>
      <c r="J3152" s="378"/>
      <c r="K3152" s="371">
        <v>21197</v>
      </c>
      <c r="L3152" s="377">
        <v>22720</v>
      </c>
      <c r="M3152" s="74">
        <f t="shared" ref="M3152:M3154" si="1144">ROUND(K3152*L3152,0)</f>
        <v>481595840</v>
      </c>
      <c r="N3152" s="75" t="s">
        <v>250</v>
      </c>
      <c r="O3152" s="934" t="s">
        <v>256</v>
      </c>
      <c r="P3152" s="75" t="str">
        <f>IF(AND('331-CT'!$E$7=TH!H3152,OR(N3152="331",O3152="331")),"x","")</f>
        <v/>
      </c>
      <c r="Q3152" s="75" t="str">
        <f>IF(AND(B3152='111'!$L$11,OR($N3152=$Q$7,$O3152=$Q$7)),"x","")</f>
        <v/>
      </c>
      <c r="R3152" s="75" t="str">
        <f>IF(AND($N3152=$Q$7,$B3152&lt;'111'!$L$11),"x","")</f>
        <v/>
      </c>
      <c r="S3152" s="75" t="str">
        <f>IF(AND($O3152=$Q$7,$B3152&lt;'111'!$L$11),"x","")</f>
        <v/>
      </c>
      <c r="T3152" s="75" t="str">
        <f>IF(ISERROR(FIND('112'!$M$9,G3152,1)),"",IF((AND(FIND('112'!$M$9,G3152,1)&gt;=1,B3152='112'!$K$9,OR($N3152='112'!$I$6,$O3152='112'!$I$6))),"x",""))</f>
        <v/>
      </c>
      <c r="U3152" s="75" t="str">
        <f>IF(ISERROR(FIND('112'!$M$9,G3152,1)),"",IF((AND(LEFT(G3152,2)=LEFT('112'!$M$9,2),B3152&lt;'112'!$K$9,$N3152='112'!$I$6)),"x",""))</f>
        <v/>
      </c>
      <c r="V3152" s="75" t="str">
        <f>IF(ISERROR(FIND('112'!$M$9,G3152,1)),"",IF((AND(RIGHT(G3152,2)=RIGHT('112'!$M$9,2),B3152&lt;'112'!$K$9,$O3152='112'!$I$6)),"x",""))</f>
        <v/>
      </c>
      <c r="W3152" s="75" t="str">
        <f>IF(AND('341-CT'!$H$9=H3152,OR(LEFT(N3152,3)=$W$7,LEFT(O3152,3)=$W$7)),"x","")</f>
        <v/>
      </c>
      <c r="X3152" s="75" t="str">
        <f>IF(OR(TH!N3152=TH!$X$7,O3152=TH!$X$7),"x","")</f>
        <v/>
      </c>
      <c r="Y3152" s="75" t="str">
        <f>IF(AND(OR(N3152="131",O3152="131"),H3152='131-CT'!$H$9),"x","")</f>
        <v/>
      </c>
      <c r="Z3152" s="75"/>
      <c r="AA3152" s="75" t="str">
        <f>IF(AND(MONTH(E3152)='IN-NX'!$J$5,'IN-NX'!$D$7=D3152),"x","")</f>
        <v/>
      </c>
      <c r="AB3152" s="75" t="str">
        <f>IF(AND(OR(LEFT(TH!N3152,2)="15",LEFT(TH!O3152,2)="15"),LEFT(TH!O3152,3)&lt;&gt;"111",'152-CT'!$J$8=TH!F3152),"x","")</f>
        <v/>
      </c>
      <c r="AC3152" s="75" t="str">
        <f>IF(AND(OR(LEFT(TH!N3152,2)="15",LEFT(TH!O3152,2)="15"),TK!$E$7=TH!F3152),"x","")</f>
        <v/>
      </c>
      <c r="AD3152" s="75" t="str">
        <f>IF(AND(N3152="1521",MONTH(C3152)='BK-NL'!$M$11),"x","")</f>
        <v/>
      </c>
    </row>
    <row r="3153" spans="1:30" s="1264" customFormat="1" ht="16.5" customHeight="1">
      <c r="A3153" s="309" t="str">
        <f>IF(B3153&lt;&gt;"",IF(AND(B3153='IN-TC'!$S$4,OR(TH!N3153="1111",TH!O3153="1111")),TH!D3153,""),"")</f>
        <v/>
      </c>
      <c r="B3153" s="1263">
        <f>IF(C3153&lt;&gt;"",MONTH(C3153),"")</f>
        <v>10</v>
      </c>
      <c r="C3153" s="71">
        <v>43026</v>
      </c>
      <c r="D3153" s="71" t="s">
        <v>902</v>
      </c>
      <c r="E3153" s="71">
        <f t="shared" si="1131"/>
        <v>43026</v>
      </c>
      <c r="F3153" s="72" t="s">
        <v>907</v>
      </c>
      <c r="G3153" s="72" t="s">
        <v>747</v>
      </c>
      <c r="H3153" s="73" t="s">
        <v>835</v>
      </c>
      <c r="I3153" s="73"/>
      <c r="J3153" s="378"/>
      <c r="K3153" s="371">
        <v>175000</v>
      </c>
      <c r="L3153" s="377">
        <v>22711</v>
      </c>
      <c r="M3153" s="74">
        <f t="shared" si="1144"/>
        <v>3974425000</v>
      </c>
      <c r="N3153" s="75" t="s">
        <v>26</v>
      </c>
      <c r="O3153" s="934" t="s">
        <v>256</v>
      </c>
      <c r="P3153" s="75" t="str">
        <f>IF(AND('331-CT'!$E$7=TH!H3153,OR(N3153="331",O3153="331")),"x","")</f>
        <v/>
      </c>
      <c r="Q3153" s="75" t="str">
        <f>IF(AND(B3153='111'!$L$11,OR($N3153=$Q$7,$O3153=$Q$7)),"x","")</f>
        <v/>
      </c>
      <c r="R3153" s="75" t="str">
        <f>IF(AND($N3153=$Q$7,$B3153&lt;'111'!$L$11),"x","")</f>
        <v/>
      </c>
      <c r="S3153" s="75" t="str">
        <f>IF(AND($O3153=$Q$7,$B3153&lt;'111'!$L$11),"x","")</f>
        <v/>
      </c>
      <c r="T3153" s="75" t="str">
        <f>IF(ISERROR(FIND('112'!$M$9,G3153,1)),"",IF((AND(FIND('112'!$M$9,G3153,1)&gt;=1,B3153='112'!$K$9,OR($N3153='112'!$I$6,$O3153='112'!$I$6))),"x",""))</f>
        <v/>
      </c>
      <c r="U3153" s="75" t="str">
        <f>IF(ISERROR(FIND('112'!$M$9,G3153,1)),"",IF((AND(LEFT(G3153,2)=LEFT('112'!$M$9,2),B3153&lt;'112'!$K$9,$N3153='112'!$I$6)),"x",""))</f>
        <v/>
      </c>
      <c r="V3153" s="75" t="str">
        <f>IF(ISERROR(FIND('112'!$M$9,G3153,1)),"",IF((AND(RIGHT(G3153,2)=RIGHT('112'!$M$9,2),B3153&lt;'112'!$K$9,$O3153='112'!$I$6)),"x",""))</f>
        <v/>
      </c>
      <c r="W3153" s="75" t="str">
        <f>IF(AND('341-CT'!$H$9=H3153,OR(LEFT(N3153,3)=$W$7,LEFT(O3153,3)=$W$7)),"x","")</f>
        <v/>
      </c>
      <c r="X3153" s="75" t="str">
        <f>IF(OR(TH!N3153=TH!$X$7,O3153=TH!$X$7),"x","")</f>
        <v/>
      </c>
      <c r="Y3153" s="75" t="str">
        <f>IF(AND(OR(N3153="131",O3153="131"),H3153='131-CT'!$H$9),"x","")</f>
        <v/>
      </c>
      <c r="Z3153" s="75"/>
      <c r="AA3153" s="75" t="str">
        <f>IF(AND(MONTH(E3153)='IN-NX'!$J$5,'IN-NX'!$D$7=D3153),"x","")</f>
        <v/>
      </c>
      <c r="AB3153" s="75" t="str">
        <f>IF(AND(OR(LEFT(TH!N3153,2)="15",LEFT(TH!O3153,2)="15"),LEFT(TH!O3153,3)&lt;&gt;"111",'152-CT'!$J$8=TH!F3153),"x","")</f>
        <v/>
      </c>
      <c r="AC3153" s="75" t="str">
        <f>IF(AND(OR(LEFT(TH!N3153,2)="15",LEFT(TH!O3153,2)="15"),TK!$E$7=TH!F3153),"x","")</f>
        <v/>
      </c>
      <c r="AD3153" s="75" t="str">
        <f>IF(AND(N3153="1521",MONTH(C3153)='BK-NL'!$M$11),"x","")</f>
        <v/>
      </c>
    </row>
    <row r="3154" spans="1:30" s="1264" customFormat="1" ht="16.5" customHeight="1">
      <c r="A3154" s="309" t="str">
        <f>IF(B3154&lt;&gt;"",IF(AND(B3154='IN-TC'!$S$4,OR(TH!N3154="1111",TH!O3154="1111")),TH!D3154,""),"")</f>
        <v/>
      </c>
      <c r="B3154" s="1263">
        <f>IF(C3154&lt;&gt;"",MONTH(C3154),"")</f>
        <v>10</v>
      </c>
      <c r="C3154" s="71">
        <v>43026</v>
      </c>
      <c r="D3154" s="71" t="s">
        <v>903</v>
      </c>
      <c r="E3154" s="71">
        <f t="shared" si="1131"/>
        <v>43026</v>
      </c>
      <c r="F3154" s="72" t="s">
        <v>1086</v>
      </c>
      <c r="G3154" s="72" t="s">
        <v>747</v>
      </c>
      <c r="H3154" s="735" t="s">
        <v>546</v>
      </c>
      <c r="I3154" s="73"/>
      <c r="J3154" s="378"/>
      <c r="K3154" s="371">
        <v>26444</v>
      </c>
      <c r="L3154" s="377">
        <v>22720</v>
      </c>
      <c r="M3154" s="1214">
        <f t="shared" si="1144"/>
        <v>600807680</v>
      </c>
      <c r="N3154" s="75" t="s">
        <v>256</v>
      </c>
      <c r="O3154" s="75" t="s">
        <v>536</v>
      </c>
      <c r="P3154" s="75" t="str">
        <f>IF(AND('331-CT'!$E$7=TH!H3154,OR(N3154="331",O3154="331")),"x","")</f>
        <v/>
      </c>
      <c r="Q3154" s="75" t="str">
        <f>IF(AND(B3154='111'!$L$11,OR($N3154=$Q$7,$O3154=$Q$7)),"x","")</f>
        <v/>
      </c>
      <c r="R3154" s="75" t="str">
        <f>IF(AND($N3154=$Q$7,$B3154&lt;'111'!$L$11),"x","")</f>
        <v/>
      </c>
      <c r="S3154" s="75" t="str">
        <f>IF(AND($O3154=$Q$7,$B3154&lt;'111'!$L$11),"x","")</f>
        <v/>
      </c>
      <c r="T3154" s="75" t="str">
        <f>IF(ISERROR(FIND('112'!$M$9,G3154,1)),"",IF((AND(FIND('112'!$M$9,G3154,1)&gt;=1,B3154='112'!$K$9,OR($N3154='112'!$I$6,$O3154='112'!$I$6))),"x",""))</f>
        <v/>
      </c>
      <c r="U3154" s="75" t="str">
        <f>IF(ISERROR(FIND('112'!$M$9,G3154,1)),"",IF((AND(LEFT(G3154,2)=LEFT('112'!$M$9,2),B3154&lt;'112'!$K$9,$N3154='112'!$I$6)),"x",""))</f>
        <v/>
      </c>
      <c r="V3154" s="75" t="str">
        <f>IF(ISERROR(FIND('112'!$M$9,G3154,1)),"",IF((AND(RIGHT(G3154,2)=RIGHT('112'!$M$9,2),B3154&lt;'112'!$K$9,$O3154='112'!$I$6)),"x",""))</f>
        <v/>
      </c>
      <c r="W3154" s="75" t="str">
        <f>IF(AND('341-CT'!$H$9=H3154,OR(LEFT(N3154,3)=$W$7,LEFT(O3154,3)=$W$7)),"x","")</f>
        <v/>
      </c>
      <c r="X3154" s="75" t="str">
        <f>IF(OR(TH!N3154=TH!$X$7,O3154=TH!$X$7),"x","")</f>
        <v/>
      </c>
      <c r="Y3154" s="75" t="str">
        <f>IF(AND(OR(N3154="131",O3154="131"),H3154='131-CT'!$H$9),"x","")</f>
        <v/>
      </c>
      <c r="Z3154" s="75"/>
      <c r="AA3154" s="75" t="str">
        <f>IF(AND(MONTH(E3154)='IN-NX'!$J$5,'IN-NX'!$D$7=D3154),"x","")</f>
        <v/>
      </c>
      <c r="AB3154" s="75" t="str">
        <f>IF(AND(OR(LEFT(TH!N3154,2)="15",LEFT(TH!O3154,2)="15"),LEFT(TH!O3154,3)&lt;&gt;"111",'152-CT'!$J$8=TH!F3154),"x","")</f>
        <v/>
      </c>
      <c r="AC3154" s="75" t="str">
        <f>IF(AND(OR(LEFT(TH!N3154,2)="15",LEFT(TH!O3154,2)="15"),TK!$E$7=TH!F3154),"x","")</f>
        <v/>
      </c>
      <c r="AD3154" s="75" t="str">
        <f>IF(AND(N3154="1521",MONTH(C3154)='BK-NL'!$M$11),"x","")</f>
        <v/>
      </c>
    </row>
    <row r="3155" spans="1:30" s="1264" customFormat="1" ht="16.5" customHeight="1">
      <c r="A3155" s="309" t="str">
        <f>IF(B3155&lt;&gt;"",IF(AND(B3155='IN-TC'!$S$4,OR(TH!N3155="1111",TH!O3155="1111")),TH!D3155,""),"")</f>
        <v/>
      </c>
      <c r="B3155" s="1263">
        <f t="shared" ref="B3155" si="1145">IF(C3155&lt;&gt;"",MONTH(C3155),"")</f>
        <v>10</v>
      </c>
      <c r="C3155" s="71">
        <v>43026</v>
      </c>
      <c r="D3155" s="71" t="s">
        <v>530</v>
      </c>
      <c r="E3155" s="71">
        <f t="shared" ref="E3155" si="1146">C3155</f>
        <v>43026</v>
      </c>
      <c r="F3155" s="72" t="s">
        <v>1027</v>
      </c>
      <c r="G3155" s="72" t="s">
        <v>747</v>
      </c>
      <c r="H3155" s="735" t="s">
        <v>546</v>
      </c>
      <c r="I3155" s="73"/>
      <c r="J3155" s="378"/>
      <c r="K3155" s="371">
        <v>52</v>
      </c>
      <c r="L3155" s="377">
        <v>22720</v>
      </c>
      <c r="M3155" s="933">
        <f t="shared" ref="M3155" si="1147">ROUND(L3155*K3155,0)</f>
        <v>1181440</v>
      </c>
      <c r="N3155" s="75" t="s">
        <v>101</v>
      </c>
      <c r="O3155" s="75" t="s">
        <v>536</v>
      </c>
      <c r="P3155" s="75" t="str">
        <f>IF(AND('331-CT'!$E$7=TH!H3155,OR(N3155="331",O3155="331")),"x","")</f>
        <v/>
      </c>
      <c r="Q3155" s="75" t="str">
        <f>IF(AND(B3155='111'!$L$11,OR($N3155=$Q$7,$O3155=$Q$7)),"x","")</f>
        <v/>
      </c>
      <c r="R3155" s="75" t="str">
        <f>IF(AND($N3155=$Q$7,$B3155&lt;'111'!$L$11),"x","")</f>
        <v/>
      </c>
      <c r="S3155" s="75" t="str">
        <f>IF(AND($O3155=$Q$7,$B3155&lt;'111'!$L$11),"x","")</f>
        <v/>
      </c>
      <c r="T3155" s="75" t="str">
        <f>IF(ISERROR(FIND('112'!$M$9,G3155,1)),"",IF((AND(FIND('112'!$M$9,G3155,1)&gt;=1,B3155='112'!$K$9,OR($N3155='112'!$I$6,$O3155='112'!$I$6))),"x",""))</f>
        <v/>
      </c>
      <c r="U3155" s="75" t="str">
        <f>IF(ISERROR(FIND('112'!$M$9,G3155,1)),"",IF((AND(LEFT(G3155,2)=LEFT('112'!$M$9,2),B3155&lt;'112'!$K$9,$N3155='112'!$I$6)),"x",""))</f>
        <v/>
      </c>
      <c r="V3155" s="75" t="str">
        <f>IF(ISERROR(FIND('112'!$M$9,G3155,1)),"",IF((AND(RIGHT(G3155,2)=RIGHT('112'!$M$9,2),B3155&lt;'112'!$K$9,$O3155='112'!$I$6)),"x",""))</f>
        <v/>
      </c>
      <c r="W3155" s="75" t="str">
        <f>IF(AND('341-CT'!$H$9=H3155,OR(LEFT(N3155,3)=$W$7,LEFT(O3155,3)=$W$7)),"x","")</f>
        <v/>
      </c>
      <c r="X3155" s="75" t="str">
        <f>IF(OR(TH!N3155=TH!$X$7,O3155=TH!$X$7),"x","")</f>
        <v/>
      </c>
      <c r="Y3155" s="75" t="str">
        <f>IF(AND(OR(N3155="131",O3155="131"),H3155='131-CT'!$H$9),"x","")</f>
        <v/>
      </c>
      <c r="Z3155" s="75"/>
      <c r="AA3155" s="75" t="str">
        <f>IF(AND(MONTH(E3155)='IN-NX'!$J$5,'IN-NX'!$D$7=D3155),"x","")</f>
        <v/>
      </c>
      <c r="AB3155" s="75" t="str">
        <f>IF(AND(OR(LEFT(TH!N3155,2)="15",LEFT(TH!O3155,2)="15"),LEFT(TH!O3155,3)&lt;&gt;"111",'152-CT'!$J$8=TH!F3155),"x","")</f>
        <v/>
      </c>
      <c r="AC3155" s="75" t="str">
        <f>IF(AND(OR(LEFT(TH!N3155,2)="15",LEFT(TH!O3155,2)="15"),TK!$E$7=TH!F3155),"x","")</f>
        <v/>
      </c>
      <c r="AD3155" s="75" t="str">
        <f>IF(AND(N3155="1521",MONTH(C3155)='BK-NL'!$M$11),"x","")</f>
        <v/>
      </c>
    </row>
    <row r="3156" spans="1:30" s="1264" customFormat="1" ht="16.5" customHeight="1">
      <c r="A3156" s="309" t="str">
        <f>IF(B3156&lt;&gt;"",IF(AND(B3156='IN-TC'!$S$4,OR(TH!N3156="1111",TH!O3156="1111")),TH!D3156,""),"")</f>
        <v/>
      </c>
      <c r="B3156" s="1263">
        <f t="shared" ref="B3156" si="1148">IF(C3156&lt;&gt;"",MONTH(C3156),"")</f>
        <v>10</v>
      </c>
      <c r="C3156" s="71">
        <v>43026</v>
      </c>
      <c r="D3156" s="71" t="s">
        <v>530</v>
      </c>
      <c r="E3156" s="71">
        <f t="shared" ref="E3156" si="1149">C3156</f>
        <v>43026</v>
      </c>
      <c r="F3156" s="72" t="s">
        <v>1010</v>
      </c>
      <c r="G3156" s="72" t="s">
        <v>747</v>
      </c>
      <c r="H3156" s="735" t="s">
        <v>546</v>
      </c>
      <c r="I3156" s="73"/>
      <c r="J3156" s="378"/>
      <c r="K3156" s="371"/>
      <c r="L3156" s="377"/>
      <c r="M3156" s="933">
        <v>662400</v>
      </c>
      <c r="N3156" s="75" t="s">
        <v>536</v>
      </c>
      <c r="O3156" s="75" t="s">
        <v>43</v>
      </c>
      <c r="P3156" s="75" t="str">
        <f>IF(AND('331-CT'!$E$7=TH!H3156,OR(N3156="331",O3156="331")),"x","")</f>
        <v/>
      </c>
      <c r="Q3156" s="75" t="str">
        <f>IF(AND(B3156='111'!$L$11,OR($N3156=$Q$7,$O3156=$Q$7)),"x","")</f>
        <v/>
      </c>
      <c r="R3156" s="75" t="str">
        <f>IF(AND($N3156=$Q$7,$B3156&lt;'111'!$L$11),"x","")</f>
        <v/>
      </c>
      <c r="S3156" s="75" t="str">
        <f>IF(AND($O3156=$Q$7,$B3156&lt;'111'!$L$11),"x","")</f>
        <v/>
      </c>
      <c r="T3156" s="75" t="str">
        <f>IF(ISERROR(FIND('112'!$M$9,G3156,1)),"",IF((AND(FIND('112'!$M$9,G3156,1)&gt;=1,B3156='112'!$K$9,OR($N3156='112'!$I$6,$O3156='112'!$I$6))),"x",""))</f>
        <v/>
      </c>
      <c r="U3156" s="75" t="str">
        <f>IF(ISERROR(FIND('112'!$M$9,G3156,1)),"",IF((AND(LEFT(G3156,2)=LEFT('112'!$M$9,2),B3156&lt;'112'!$K$9,$N3156='112'!$I$6)),"x",""))</f>
        <v/>
      </c>
      <c r="V3156" s="75" t="str">
        <f>IF(ISERROR(FIND('112'!$M$9,G3156,1)),"",IF((AND(RIGHT(G3156,2)=RIGHT('112'!$M$9,2),B3156&lt;'112'!$K$9,$O3156='112'!$I$6)),"x",""))</f>
        <v/>
      </c>
      <c r="W3156" s="75" t="str">
        <f>IF(AND('341-CT'!$H$9=H3156,OR(LEFT(N3156,3)=$W$7,LEFT(O3156,3)=$W$7)),"x","")</f>
        <v/>
      </c>
      <c r="X3156" s="75" t="str">
        <f>IF(OR(TH!N3156=TH!$X$7,O3156=TH!$X$7),"x","")</f>
        <v/>
      </c>
      <c r="Y3156" s="75" t="str">
        <f>IF(AND(OR(N3156="131",O3156="131"),H3156='131-CT'!$H$9),"x","")</f>
        <v/>
      </c>
      <c r="Z3156" s="75"/>
      <c r="AA3156" s="75" t="str">
        <f>IF(AND(MONTH(E3156)='IN-NX'!$J$5,'IN-NX'!$D$7=D3156),"x","")</f>
        <v/>
      </c>
      <c r="AB3156" s="75" t="str">
        <f>IF(AND(OR(LEFT(TH!N3156,2)="15",LEFT(TH!O3156,2)="15"),LEFT(TH!O3156,3)&lt;&gt;"111",'152-CT'!$J$8=TH!F3156),"x","")</f>
        <v/>
      </c>
      <c r="AC3156" s="75" t="str">
        <f>IF(AND(OR(LEFT(TH!N3156,2)="15",LEFT(TH!O3156,2)="15"),TK!$E$7=TH!F3156),"x","")</f>
        <v/>
      </c>
      <c r="AD3156" s="75" t="str">
        <f>IF(AND(N3156="1521",MONTH(C3156)='BK-NL'!$M$11),"x","")</f>
        <v/>
      </c>
    </row>
    <row r="3157" spans="1:30" s="1264" customFormat="1" ht="16.5" customHeight="1">
      <c r="A3157" s="309" t="str">
        <f>IF(B3157&lt;&gt;"",IF(AND(B3157='IN-TC'!$S$4,OR(TH!N3157="1111",TH!O3157="1111")),TH!D3157,""),"")</f>
        <v/>
      </c>
      <c r="B3157" s="1263">
        <f>IF(C3157&lt;&gt;"",MONTH(C3157),"")</f>
        <v>10</v>
      </c>
      <c r="C3157" s="71">
        <v>43026</v>
      </c>
      <c r="D3157" s="71" t="s">
        <v>902</v>
      </c>
      <c r="E3157" s="71">
        <f t="shared" si="1131"/>
        <v>43026</v>
      </c>
      <c r="F3157" s="72" t="s">
        <v>1096</v>
      </c>
      <c r="G3157" s="72" t="s">
        <v>747</v>
      </c>
      <c r="H3157" s="73" t="s">
        <v>2471</v>
      </c>
      <c r="I3157" s="73"/>
      <c r="J3157" s="378"/>
      <c r="K3157" s="371">
        <v>14.72</v>
      </c>
      <c r="L3157" s="1214">
        <v>22720</v>
      </c>
      <c r="M3157" s="74">
        <f t="shared" ref="M3157" si="1150">ROUND(K3157*L3157,0)</f>
        <v>334438</v>
      </c>
      <c r="N3157" s="75" t="s">
        <v>99</v>
      </c>
      <c r="O3157" s="934" t="s">
        <v>256</v>
      </c>
      <c r="P3157" s="75" t="str">
        <f>IF(AND('331-CT'!$E$7=TH!H3157,OR(N3157="331",O3157="331")),"x","")</f>
        <v/>
      </c>
      <c r="Q3157" s="75" t="str">
        <f>IF(AND(B3157='111'!$L$11,OR($N3157=$Q$7,$O3157=$Q$7)),"x","")</f>
        <v/>
      </c>
      <c r="R3157" s="75" t="str">
        <f>IF(AND($N3157=$Q$7,$B3157&lt;'111'!$L$11),"x","")</f>
        <v/>
      </c>
      <c r="S3157" s="75" t="str">
        <f>IF(AND($O3157=$Q$7,$B3157&lt;'111'!$L$11),"x","")</f>
        <v/>
      </c>
      <c r="T3157" s="75" t="str">
        <f>IF(ISERROR(FIND('112'!$M$9,G3157,1)),"",IF((AND(FIND('112'!$M$9,G3157,1)&gt;=1,B3157='112'!$K$9,OR($N3157='112'!$I$6,$O3157='112'!$I$6))),"x",""))</f>
        <v/>
      </c>
      <c r="U3157" s="75" t="str">
        <f>IF(ISERROR(FIND('112'!$M$9,G3157,1)),"",IF((AND(LEFT(G3157,2)=LEFT('112'!$M$9,2),B3157&lt;'112'!$K$9,$N3157='112'!$I$6)),"x",""))</f>
        <v/>
      </c>
      <c r="V3157" s="75" t="str">
        <f>IF(ISERROR(FIND('112'!$M$9,G3157,1)),"",IF((AND(RIGHT(G3157,2)=RIGHT('112'!$M$9,2),B3157&lt;'112'!$K$9,$O3157='112'!$I$6)),"x",""))</f>
        <v/>
      </c>
      <c r="W3157" s="75" t="str">
        <f>IF(AND('341-CT'!$H$9=H3157,OR(LEFT(N3157,3)=$W$7,LEFT(O3157,3)=$W$7)),"x","")</f>
        <v/>
      </c>
      <c r="X3157" s="75" t="str">
        <f>IF(OR(TH!N3157=TH!$X$7,O3157=TH!$X$7),"x","")</f>
        <v/>
      </c>
      <c r="Y3157" s="75" t="str">
        <f>IF(AND(OR(N3157="131",O3157="131"),H3157='131-CT'!$H$9),"x","")</f>
        <v/>
      </c>
      <c r="Z3157" s="75"/>
      <c r="AA3157" s="75" t="str">
        <f>IF(AND(MONTH(E3157)='IN-NX'!$J$5,'IN-NX'!$D$7=D3157),"x","")</f>
        <v/>
      </c>
      <c r="AB3157" s="75" t="str">
        <f>IF(AND(OR(LEFT(TH!N3157,2)="15",LEFT(TH!O3157,2)="15"),LEFT(TH!O3157,3)&lt;&gt;"111",'152-CT'!$J$8=TH!F3157),"x","")</f>
        <v/>
      </c>
      <c r="AC3157" s="75" t="str">
        <f>IF(AND(OR(LEFT(TH!N3157,2)="15",LEFT(TH!O3157,2)="15"),TK!$E$7=TH!F3157),"x","")</f>
        <v/>
      </c>
      <c r="AD3157" s="75" t="str">
        <f>IF(AND(N3157="1521",MONTH(C3157)='BK-NL'!$M$11),"x","")</f>
        <v/>
      </c>
    </row>
    <row r="3158" spans="1:30" s="1264" customFormat="1" ht="16.5" customHeight="1">
      <c r="A3158" s="309" t="str">
        <f>IF(B3158&lt;&gt;"",IF(AND(B3158='IN-TC'!$S$4,OR(TH!N3158="1111",TH!O3158="1111")),TH!D3158,""),"")</f>
        <v/>
      </c>
      <c r="B3158" s="1263">
        <f>IF(C3158&lt;&gt;"",MONTH(C3158),"")</f>
        <v>10</v>
      </c>
      <c r="C3158" s="71">
        <v>43026</v>
      </c>
      <c r="D3158" s="71" t="s">
        <v>902</v>
      </c>
      <c r="E3158" s="71">
        <f t="shared" si="1131"/>
        <v>43026</v>
      </c>
      <c r="F3158" s="72" t="s">
        <v>1321</v>
      </c>
      <c r="G3158" s="72" t="s">
        <v>747</v>
      </c>
      <c r="H3158" s="73" t="s">
        <v>2471</v>
      </c>
      <c r="I3158" s="73"/>
      <c r="J3158" s="378"/>
      <c r="K3158" s="371">
        <v>25170</v>
      </c>
      <c r="L3158" s="1214">
        <v>22720</v>
      </c>
      <c r="M3158" s="74">
        <f t="shared" ref="M3158" si="1151">ROUND(K3158*L3158,0)</f>
        <v>571862400</v>
      </c>
      <c r="N3158" s="75" t="s">
        <v>250</v>
      </c>
      <c r="O3158" s="934" t="s">
        <v>256</v>
      </c>
      <c r="P3158" s="75" t="str">
        <f>IF(AND('331-CT'!$E$7=TH!H3158,OR(N3158="331",O3158="331")),"x","")</f>
        <v/>
      </c>
      <c r="Q3158" s="75" t="str">
        <f>IF(AND(B3158='111'!$L$11,OR($N3158=$Q$7,$O3158=$Q$7)),"x","")</f>
        <v/>
      </c>
      <c r="R3158" s="75" t="str">
        <f>IF(AND($N3158=$Q$7,$B3158&lt;'111'!$L$11),"x","")</f>
        <v/>
      </c>
      <c r="S3158" s="75" t="str">
        <f>IF(AND($O3158=$Q$7,$B3158&lt;'111'!$L$11),"x","")</f>
        <v/>
      </c>
      <c r="T3158" s="75" t="str">
        <f>IF(ISERROR(FIND('112'!$M$9,G3158,1)),"",IF((AND(FIND('112'!$M$9,G3158,1)&gt;=1,B3158='112'!$K$9,OR($N3158='112'!$I$6,$O3158='112'!$I$6))),"x",""))</f>
        <v/>
      </c>
      <c r="U3158" s="75" t="str">
        <f>IF(ISERROR(FIND('112'!$M$9,G3158,1)),"",IF((AND(LEFT(G3158,2)=LEFT('112'!$M$9,2),B3158&lt;'112'!$K$9,$N3158='112'!$I$6)),"x",""))</f>
        <v/>
      </c>
      <c r="V3158" s="75" t="str">
        <f>IF(ISERROR(FIND('112'!$M$9,G3158,1)),"",IF((AND(RIGHT(G3158,2)=RIGHT('112'!$M$9,2),B3158&lt;'112'!$K$9,$O3158='112'!$I$6)),"x",""))</f>
        <v/>
      </c>
      <c r="W3158" s="75" t="str">
        <f>IF(AND('341-CT'!$H$9=H3158,OR(LEFT(N3158,3)=$W$7,LEFT(O3158,3)=$W$7)),"x","")</f>
        <v>x</v>
      </c>
      <c r="X3158" s="75" t="str">
        <f>IF(OR(TH!N3158=TH!$X$7,O3158=TH!$X$7),"x","")</f>
        <v/>
      </c>
      <c r="Y3158" s="75" t="str">
        <f>IF(AND(OR(N3158="131",O3158="131"),H3158='131-CT'!$H$9),"x","")</f>
        <v/>
      </c>
      <c r="Z3158" s="75"/>
      <c r="AA3158" s="75" t="str">
        <f>IF(AND(MONTH(E3158)='IN-NX'!$J$5,'IN-NX'!$D$7=D3158),"x","")</f>
        <v/>
      </c>
      <c r="AB3158" s="75" t="str">
        <f>IF(AND(OR(LEFT(TH!N3158,2)="15",LEFT(TH!O3158,2)="15"),LEFT(TH!O3158,3)&lt;&gt;"111",'152-CT'!$J$8=TH!F3158),"x","")</f>
        <v/>
      </c>
      <c r="AC3158" s="75" t="str">
        <f>IF(AND(OR(LEFT(TH!N3158,2)="15",LEFT(TH!O3158,2)="15"),TK!$E$7=TH!F3158),"x","")</f>
        <v/>
      </c>
      <c r="AD3158" s="75" t="str">
        <f>IF(AND(N3158="1521",MONTH(C3158)='BK-NL'!$M$11),"x","")</f>
        <v/>
      </c>
    </row>
    <row r="3159" spans="1:30" s="1264" customFormat="1" ht="16.5" customHeight="1">
      <c r="A3159" s="309" t="str">
        <f>IF(B3159&lt;&gt;"",IF(AND(B3159='IN-TC'!$S$4,OR(TH!N3159="1111",TH!O3159="1111")),TH!D3159,""),"")</f>
        <v/>
      </c>
      <c r="B3159" s="1263">
        <f t="shared" ref="B3159" si="1152">IF(C3159&lt;&gt;"",MONTH(C3159),"")</f>
        <v>10</v>
      </c>
      <c r="C3159" s="71">
        <v>43026</v>
      </c>
      <c r="D3159" s="71" t="s">
        <v>530</v>
      </c>
      <c r="E3159" s="71">
        <f t="shared" ref="E3159" si="1153">C3159</f>
        <v>43026</v>
      </c>
      <c r="F3159" s="72" t="s">
        <v>1010</v>
      </c>
      <c r="G3159" s="72" t="s">
        <v>747</v>
      </c>
      <c r="H3159" s="73" t="s">
        <v>2471</v>
      </c>
      <c r="I3159" s="73"/>
      <c r="J3159" s="378"/>
      <c r="K3159" s="371"/>
      <c r="L3159" s="1214"/>
      <c r="M3159" s="933">
        <v>119190</v>
      </c>
      <c r="N3159" s="75" t="s">
        <v>99</v>
      </c>
      <c r="O3159" s="934" t="s">
        <v>250</v>
      </c>
      <c r="P3159" s="75" t="str">
        <f>IF(AND('331-CT'!$E$7=TH!H3159,OR(N3159="331",O3159="331")),"x","")</f>
        <v/>
      </c>
      <c r="Q3159" s="75" t="str">
        <f>IF(AND(B3159='111'!$L$11,OR($N3159=$Q$7,$O3159=$Q$7)),"x","")</f>
        <v/>
      </c>
      <c r="R3159" s="75" t="str">
        <f>IF(AND($N3159=$Q$7,$B3159&lt;'111'!$L$11),"x","")</f>
        <v/>
      </c>
      <c r="S3159" s="75" t="str">
        <f>IF(AND($O3159=$Q$7,$B3159&lt;'111'!$L$11),"x","")</f>
        <v/>
      </c>
      <c r="T3159" s="75" t="str">
        <f>IF(ISERROR(FIND('112'!$M$9,G3159,1)),"",IF((AND(FIND('112'!$M$9,G3159,1)&gt;=1,B3159='112'!$K$9,OR($N3159='112'!$I$6,$O3159='112'!$I$6))),"x",""))</f>
        <v/>
      </c>
      <c r="U3159" s="75" t="str">
        <f>IF(ISERROR(FIND('112'!$M$9,G3159,1)),"",IF((AND(LEFT(G3159,2)=LEFT('112'!$M$9,2),B3159&lt;'112'!$K$9,$N3159='112'!$I$6)),"x",""))</f>
        <v/>
      </c>
      <c r="V3159" s="75" t="str">
        <f>IF(ISERROR(FIND('112'!$M$9,G3159,1)),"",IF((AND(RIGHT(G3159,2)=RIGHT('112'!$M$9,2),B3159&lt;'112'!$K$9,$O3159='112'!$I$6)),"x",""))</f>
        <v/>
      </c>
      <c r="W3159" s="75" t="str">
        <f>IF(AND('341-CT'!$H$9=H3159,OR(LEFT(N3159,3)=$W$7,LEFT(O3159,3)=$W$7)),"x","")</f>
        <v>x</v>
      </c>
      <c r="X3159" s="75" t="str">
        <f>IF(OR(TH!N3159=TH!$X$7,O3159=TH!$X$7),"x","")</f>
        <v/>
      </c>
      <c r="Y3159" s="75" t="str">
        <f>IF(AND(OR(N3159="131",O3159="131"),H3159='131-CT'!$H$9),"x","")</f>
        <v/>
      </c>
      <c r="Z3159" s="75"/>
      <c r="AA3159" s="75" t="str">
        <f>IF(AND(MONTH(E3159)='IN-NX'!$J$5,'IN-NX'!$D$7=D3159),"x","")</f>
        <v/>
      </c>
      <c r="AB3159" s="75" t="str">
        <f>IF(AND(OR(LEFT(TH!N3159,2)="15",LEFT(TH!O3159,2)="15"),LEFT(TH!O3159,3)&lt;&gt;"111",'152-CT'!$J$8=TH!F3159),"x","")</f>
        <v/>
      </c>
      <c r="AC3159" s="75" t="str">
        <f>IF(AND(OR(LEFT(TH!N3159,2)="15",LEFT(TH!O3159,2)="15"),TK!$E$7=TH!F3159),"x","")</f>
        <v/>
      </c>
      <c r="AD3159" s="75" t="str">
        <f>IF(AND(N3159="1521",MONTH(C3159)='BK-NL'!$M$11),"x","")</f>
        <v/>
      </c>
    </row>
    <row r="3160" spans="1:30" s="1264" customFormat="1" ht="16.5" customHeight="1">
      <c r="A3160" s="309" t="str">
        <f>IF(B3160&lt;&gt;"",IF(AND(B3160='IN-TC'!$S$4,OR(TH!N3160="1111",TH!O3160="1111")),TH!D3160,""),"")</f>
        <v/>
      </c>
      <c r="B3160" s="1263">
        <f>IF(C3160&lt;&gt;"",MONTH(C3160),"")</f>
        <v>10</v>
      </c>
      <c r="C3160" s="71">
        <v>43026</v>
      </c>
      <c r="D3160" s="71" t="s">
        <v>903</v>
      </c>
      <c r="E3160" s="71">
        <f t="shared" si="1131"/>
        <v>43026</v>
      </c>
      <c r="F3160" s="72" t="s">
        <v>1086</v>
      </c>
      <c r="G3160" s="72" t="s">
        <v>747</v>
      </c>
      <c r="H3160" s="73" t="s">
        <v>1859</v>
      </c>
      <c r="I3160" s="73"/>
      <c r="J3160" s="378"/>
      <c r="K3160" s="1213">
        <v>174117.5</v>
      </c>
      <c r="L3160" s="1214">
        <v>22720</v>
      </c>
      <c r="M3160" s="1214">
        <f t="shared" ref="M3160" si="1154">ROUND(K3160*L3160,0)</f>
        <v>3955949600</v>
      </c>
      <c r="N3160" s="75" t="s">
        <v>256</v>
      </c>
      <c r="O3160" s="75" t="s">
        <v>536</v>
      </c>
      <c r="P3160" s="75" t="str">
        <f>IF(AND('331-CT'!$E$7=TH!H3160,OR(N3160="331",O3160="331")),"x","")</f>
        <v/>
      </c>
      <c r="Q3160" s="75" t="str">
        <f>IF(AND(B3160='111'!$L$11,OR($N3160=$Q$7,$O3160=$Q$7)),"x","")</f>
        <v/>
      </c>
      <c r="R3160" s="75" t="str">
        <f>IF(AND($N3160=$Q$7,$B3160&lt;'111'!$L$11),"x","")</f>
        <v/>
      </c>
      <c r="S3160" s="75" t="str">
        <f>IF(AND($O3160=$Q$7,$B3160&lt;'111'!$L$11),"x","")</f>
        <v/>
      </c>
      <c r="T3160" s="75" t="str">
        <f>IF(ISERROR(FIND('112'!$M$9,G3160,1)),"",IF((AND(FIND('112'!$M$9,G3160,1)&gt;=1,B3160='112'!$K$9,OR($N3160='112'!$I$6,$O3160='112'!$I$6))),"x",""))</f>
        <v/>
      </c>
      <c r="U3160" s="75" t="str">
        <f>IF(ISERROR(FIND('112'!$M$9,G3160,1)),"",IF((AND(LEFT(G3160,2)=LEFT('112'!$M$9,2),B3160&lt;'112'!$K$9,$N3160='112'!$I$6)),"x",""))</f>
        <v/>
      </c>
      <c r="V3160" s="75" t="str">
        <f>IF(ISERROR(FIND('112'!$M$9,G3160,1)),"",IF((AND(RIGHT(G3160,2)=RIGHT('112'!$M$9,2),B3160&lt;'112'!$K$9,$O3160='112'!$I$6)),"x",""))</f>
        <v/>
      </c>
      <c r="W3160" s="75" t="str">
        <f>IF(AND('341-CT'!$H$9=H3160,OR(LEFT(N3160,3)=$W$7,LEFT(O3160,3)=$W$7)),"x","")</f>
        <v/>
      </c>
      <c r="X3160" s="75" t="str">
        <f>IF(OR(TH!N3160=TH!$X$7,O3160=TH!$X$7),"x","")</f>
        <v/>
      </c>
      <c r="Y3160" s="75" t="str">
        <f>IF(AND(OR(N3160="131",O3160="131"),H3160='131-CT'!$H$9),"x","")</f>
        <v/>
      </c>
      <c r="Z3160" s="75"/>
      <c r="AA3160" s="75" t="str">
        <f>IF(AND(MONTH(E3160)='IN-NX'!$J$5,'IN-NX'!$D$7=D3160),"x","")</f>
        <v/>
      </c>
      <c r="AB3160" s="75" t="str">
        <f>IF(AND(OR(LEFT(TH!N3160,2)="15",LEFT(TH!O3160,2)="15"),LEFT(TH!O3160,3)&lt;&gt;"111",'152-CT'!$J$8=TH!F3160),"x","")</f>
        <v/>
      </c>
      <c r="AC3160" s="75" t="str">
        <f>IF(AND(OR(LEFT(TH!N3160,2)="15",LEFT(TH!O3160,2)="15"),TK!$E$7=TH!F3160),"x","")</f>
        <v/>
      </c>
      <c r="AD3160" s="75" t="str">
        <f>IF(AND(N3160="1521",MONTH(C3160)='BK-NL'!$M$11),"x","")</f>
        <v/>
      </c>
    </row>
    <row r="3161" spans="1:30" s="1264" customFormat="1" ht="16.5" customHeight="1">
      <c r="A3161" s="309" t="str">
        <f>IF(B3161&lt;&gt;"",IF(AND(B3161='IN-TC'!$S$4,OR(TH!N3161="1111",TH!O3161="1111")),TH!D3161,""),"")</f>
        <v/>
      </c>
      <c r="B3161" s="1263">
        <f>IF(C3161&lt;&gt;"",MONTH(C3161),"")</f>
        <v>10</v>
      </c>
      <c r="C3161" s="71">
        <v>43026</v>
      </c>
      <c r="D3161" s="71" t="s">
        <v>530</v>
      </c>
      <c r="E3161" s="71">
        <f t="shared" si="1131"/>
        <v>43026</v>
      </c>
      <c r="F3161" s="72" t="s">
        <v>1027</v>
      </c>
      <c r="G3161" s="72" t="s">
        <v>747</v>
      </c>
      <c r="H3161" s="73" t="s">
        <v>1859</v>
      </c>
      <c r="I3161" s="73"/>
      <c r="J3161" s="378"/>
      <c r="K3161" s="1213">
        <v>56.5</v>
      </c>
      <c r="L3161" s="1214">
        <v>22720</v>
      </c>
      <c r="M3161" s="933">
        <f t="shared" si="1134"/>
        <v>1283680</v>
      </c>
      <c r="N3161" s="75" t="s">
        <v>101</v>
      </c>
      <c r="O3161" s="75" t="s">
        <v>536</v>
      </c>
      <c r="P3161" s="75" t="str">
        <f>IF(AND('331-CT'!$E$7=TH!H3161,OR(N3161="331",O3161="331")),"x","")</f>
        <v/>
      </c>
      <c r="Q3161" s="75" t="str">
        <f>IF(AND(B3161='111'!$L$11,OR($N3161=$Q$7,$O3161=$Q$7)),"x","")</f>
        <v/>
      </c>
      <c r="R3161" s="75" t="str">
        <f>IF(AND($N3161=$Q$7,$B3161&lt;'111'!$L$11),"x","")</f>
        <v/>
      </c>
      <c r="S3161" s="75" t="str">
        <f>IF(AND($O3161=$Q$7,$B3161&lt;'111'!$L$11),"x","")</f>
        <v/>
      </c>
      <c r="T3161" s="75" t="str">
        <f>IF(ISERROR(FIND('112'!$M$9,G3161,1)),"",IF((AND(FIND('112'!$M$9,G3161,1)&gt;=1,B3161='112'!$K$9,OR($N3161='112'!$I$6,$O3161='112'!$I$6))),"x",""))</f>
        <v/>
      </c>
      <c r="U3161" s="75" t="str">
        <f>IF(ISERROR(FIND('112'!$M$9,G3161,1)),"",IF((AND(LEFT(G3161,2)=LEFT('112'!$M$9,2),B3161&lt;'112'!$K$9,$N3161='112'!$I$6)),"x",""))</f>
        <v/>
      </c>
      <c r="V3161" s="75" t="str">
        <f>IF(ISERROR(FIND('112'!$M$9,G3161,1)),"",IF((AND(RIGHT(G3161,2)=RIGHT('112'!$M$9,2),B3161&lt;'112'!$K$9,$O3161='112'!$I$6)),"x",""))</f>
        <v/>
      </c>
      <c r="W3161" s="75" t="str">
        <f>IF(AND('341-CT'!$H$9=H3161,OR(LEFT(N3161,3)=$W$7,LEFT(O3161,3)=$W$7)),"x","")</f>
        <v/>
      </c>
      <c r="X3161" s="75" t="str">
        <f>IF(OR(TH!N3161=TH!$X$7,O3161=TH!$X$7),"x","")</f>
        <v/>
      </c>
      <c r="Y3161" s="75" t="str">
        <f>IF(AND(OR(N3161="131",O3161="131"),H3161='131-CT'!$H$9),"x","")</f>
        <v/>
      </c>
      <c r="Z3161" s="75"/>
      <c r="AA3161" s="75" t="str">
        <f>IF(AND(MONTH(E3161)='IN-NX'!$J$5,'IN-NX'!$D$7=D3161),"x","")</f>
        <v/>
      </c>
      <c r="AB3161" s="75" t="str">
        <f>IF(AND(OR(LEFT(TH!N3161,2)="15",LEFT(TH!O3161,2)="15"),LEFT(TH!O3161,3)&lt;&gt;"111",'152-CT'!$J$8=TH!F3161),"x","")</f>
        <v/>
      </c>
      <c r="AC3161" s="75" t="str">
        <f>IF(AND(OR(LEFT(TH!N3161,2)="15",LEFT(TH!O3161,2)="15"),TK!$E$7=TH!F3161),"x","")</f>
        <v/>
      </c>
      <c r="AD3161" s="75" t="str">
        <f>IF(AND(N3161="1521",MONTH(C3161)='BK-NL'!$M$11),"x","")</f>
        <v/>
      </c>
    </row>
    <row r="3162" spans="1:30" s="1264" customFormat="1" ht="16.5" customHeight="1">
      <c r="A3162" s="309" t="str">
        <f>IF(B3162&lt;&gt;"",IF(AND(B3162='IN-TC'!$S$4,OR(TH!N3162="1111",TH!O3162="1111")),TH!D3162,""),"")</f>
        <v/>
      </c>
      <c r="B3162" s="1263">
        <f>IF(C3162&lt;&gt;"",MONTH(C3162),"")</f>
        <v>10</v>
      </c>
      <c r="C3162" s="929">
        <v>43028</v>
      </c>
      <c r="D3162" s="929" t="s">
        <v>902</v>
      </c>
      <c r="E3162" s="929">
        <f t="shared" si="1131"/>
        <v>43028</v>
      </c>
      <c r="F3162" s="72" t="s">
        <v>1321</v>
      </c>
      <c r="G3162" s="930" t="s">
        <v>747</v>
      </c>
      <c r="H3162" s="296" t="s">
        <v>2034</v>
      </c>
      <c r="I3162" s="1213"/>
      <c r="J3162" s="378"/>
      <c r="K3162" s="1213">
        <v>596.89</v>
      </c>
      <c r="L3162" s="1214">
        <v>22710</v>
      </c>
      <c r="M3162" s="74">
        <f>ROUND(K3162*L3162,0)</f>
        <v>13555372</v>
      </c>
      <c r="N3162" s="934" t="s">
        <v>250</v>
      </c>
      <c r="O3162" s="934" t="s">
        <v>256</v>
      </c>
      <c r="P3162" s="75" t="str">
        <f>IF(AND('331-CT'!$E$7=TH!H3162,OR(N3162="331",O3162="331")),"x","")</f>
        <v/>
      </c>
      <c r="Q3162" s="75" t="str">
        <f>IF(AND(B3162='111'!$L$11,OR($N3162=$Q$7,$O3162=$Q$7)),"x","")</f>
        <v/>
      </c>
      <c r="R3162" s="75" t="str">
        <f>IF(AND($N3162=$Q$7,$B3162&lt;'111'!$L$11),"x","")</f>
        <v/>
      </c>
      <c r="S3162" s="75" t="str">
        <f>IF(AND($O3162=$Q$7,$B3162&lt;'111'!$L$11),"x","")</f>
        <v/>
      </c>
      <c r="T3162" s="75" t="str">
        <f>IF(ISERROR(FIND('112'!$M$9,G3162,1)),"",IF((AND(FIND('112'!$M$9,G3162,1)&gt;=1,B3162='112'!$K$9,OR($N3162='112'!$I$6,$O3162='112'!$I$6))),"x",""))</f>
        <v/>
      </c>
      <c r="U3162" s="75" t="str">
        <f>IF(ISERROR(FIND('112'!$M$9,G3162,1)),"",IF((AND(LEFT(G3162,2)=LEFT('112'!$M$9,2),B3162&lt;'112'!$K$9,$N3162='112'!$I$6)),"x",""))</f>
        <v/>
      </c>
      <c r="V3162" s="75" t="str">
        <f>IF(ISERROR(FIND('112'!$M$9,G3162,1)),"",IF((AND(RIGHT(G3162,2)=RIGHT('112'!$M$9,2),B3162&lt;'112'!$K$9,$O3162='112'!$I$6)),"x",""))</f>
        <v/>
      </c>
      <c r="W3162" s="75" t="str">
        <f>IF(AND('341-CT'!$H$9=H3162,OR(LEFT(N3162,3)=$W$7,LEFT(O3162,3)=$W$7)),"x","")</f>
        <v/>
      </c>
      <c r="X3162" s="75" t="str">
        <f>IF(OR(TH!N3162=TH!$X$7,O3162=TH!$X$7),"x","")</f>
        <v/>
      </c>
      <c r="Y3162" s="75" t="str">
        <f>IF(AND(OR(N3162="131",O3162="131"),H3162='131-CT'!$H$9),"x","")</f>
        <v/>
      </c>
      <c r="Z3162" s="75"/>
      <c r="AA3162" s="75" t="str">
        <f>IF(AND(MONTH(E3162)='IN-NX'!$J$5,'IN-NX'!$D$7=D3162),"x","")</f>
        <v/>
      </c>
      <c r="AB3162" s="75" t="str">
        <f>IF(AND(OR(LEFT(TH!N3162,2)="15",LEFT(TH!O3162,2)="15"),LEFT(TH!O3162,3)&lt;&gt;"111",'152-CT'!$J$8=TH!F3162),"x","")</f>
        <v/>
      </c>
      <c r="AC3162" s="75" t="str">
        <f>IF(AND(OR(LEFT(TH!N3162,2)="15",LEFT(TH!O3162,2)="15"),TK!$E$7=TH!F3162),"x","")</f>
        <v/>
      </c>
      <c r="AD3162" s="75" t="str">
        <f>IF(AND(N3162="1521",MONTH(C3162)='BK-NL'!$M$11),"x","")</f>
        <v/>
      </c>
    </row>
    <row r="3163" spans="1:30" s="1264" customFormat="1" ht="16.5" customHeight="1">
      <c r="A3163" s="309" t="str">
        <f>IF(B3163&lt;&gt;"",IF(AND(B3163='IN-TC'!$S$4,OR(TH!N3163="1111",TH!O3163="1111")),TH!D3163,""),"")</f>
        <v/>
      </c>
      <c r="B3163" s="1263">
        <f t="shared" ref="B3163" si="1155">IF(C3163&lt;&gt;"",MONTH(C3163),"")</f>
        <v>10</v>
      </c>
      <c r="C3163" s="929">
        <v>43028</v>
      </c>
      <c r="D3163" s="929" t="s">
        <v>530</v>
      </c>
      <c r="E3163" s="929">
        <f t="shared" ref="E3163" si="1156">C3163</f>
        <v>43028</v>
      </c>
      <c r="F3163" s="930" t="s">
        <v>1010</v>
      </c>
      <c r="G3163" s="930" t="s">
        <v>747</v>
      </c>
      <c r="H3163" s="296" t="s">
        <v>2034</v>
      </c>
      <c r="I3163" s="1213"/>
      <c r="J3163" s="378"/>
      <c r="K3163" s="1213"/>
      <c r="L3163" s="1214"/>
      <c r="M3163" s="74">
        <v>2376000</v>
      </c>
      <c r="N3163" s="934" t="s">
        <v>99</v>
      </c>
      <c r="O3163" s="934" t="s">
        <v>250</v>
      </c>
      <c r="P3163" s="75" t="str">
        <f>IF(AND('331-CT'!$E$7=TH!H3163,OR(N3163="331",O3163="331")),"x","")</f>
        <v/>
      </c>
      <c r="Q3163" s="75" t="str">
        <f>IF(AND(B3163='111'!$L$11,OR($N3163=$Q$7,$O3163=$Q$7)),"x","")</f>
        <v/>
      </c>
      <c r="R3163" s="75" t="str">
        <f>IF(AND($N3163=$Q$7,$B3163&lt;'111'!$L$11),"x","")</f>
        <v/>
      </c>
      <c r="S3163" s="75" t="str">
        <f>IF(AND($O3163=$Q$7,$B3163&lt;'111'!$L$11),"x","")</f>
        <v/>
      </c>
      <c r="T3163" s="75" t="str">
        <f>IF(ISERROR(FIND('112'!$M$9,G3163,1)),"",IF((AND(FIND('112'!$M$9,G3163,1)&gt;=1,B3163='112'!$K$9,OR($N3163='112'!$I$6,$O3163='112'!$I$6))),"x",""))</f>
        <v/>
      </c>
      <c r="U3163" s="75" t="str">
        <f>IF(ISERROR(FIND('112'!$M$9,G3163,1)),"",IF((AND(LEFT(G3163,2)=LEFT('112'!$M$9,2),B3163&lt;'112'!$K$9,$N3163='112'!$I$6)),"x",""))</f>
        <v/>
      </c>
      <c r="V3163" s="75" t="str">
        <f>IF(ISERROR(FIND('112'!$M$9,G3163,1)),"",IF((AND(RIGHT(G3163,2)=RIGHT('112'!$M$9,2),B3163&lt;'112'!$K$9,$O3163='112'!$I$6)),"x",""))</f>
        <v/>
      </c>
      <c r="W3163" s="75" t="str">
        <f>IF(AND('341-CT'!$H$9=H3163,OR(LEFT(N3163,3)=$W$7,LEFT(O3163,3)=$W$7)),"x","")</f>
        <v/>
      </c>
      <c r="X3163" s="75" t="str">
        <f>IF(OR(TH!N3163=TH!$X$7,O3163=TH!$X$7),"x","")</f>
        <v/>
      </c>
      <c r="Y3163" s="75" t="str">
        <f>IF(AND(OR(N3163="131",O3163="131"),H3163='131-CT'!$H$9),"x","")</f>
        <v/>
      </c>
      <c r="Z3163" s="75"/>
      <c r="AA3163" s="75" t="str">
        <f>IF(AND(MONTH(E3163)='IN-NX'!$J$5,'IN-NX'!$D$7=D3163),"x","")</f>
        <v/>
      </c>
      <c r="AB3163" s="75" t="str">
        <f>IF(AND(OR(LEFT(TH!N3163,2)="15",LEFT(TH!O3163,2)="15"),LEFT(TH!O3163,3)&lt;&gt;"111",'152-CT'!$J$8=TH!F3163),"x","")</f>
        <v/>
      </c>
      <c r="AC3163" s="75" t="str">
        <f>IF(AND(OR(LEFT(TH!N3163,2)="15",LEFT(TH!O3163,2)="15"),TK!$E$7=TH!F3163),"x","")</f>
        <v/>
      </c>
      <c r="AD3163" s="75" t="str">
        <f>IF(AND(N3163="1521",MONTH(C3163)='BK-NL'!$M$11),"x","")</f>
        <v/>
      </c>
    </row>
    <row r="3164" spans="1:30" s="1264" customFormat="1" ht="16.5" customHeight="1">
      <c r="A3164" s="309" t="str">
        <f>IF(B3164&lt;&gt;"",IF(AND(B3164='IN-TC'!$S$4,OR(TH!N3164="1111",TH!O3164="1111")),TH!D3164,""),"")</f>
        <v/>
      </c>
      <c r="B3164" s="1263">
        <f>IF(C3164&lt;&gt;"",MONTH(C3164),"")</f>
        <v>10</v>
      </c>
      <c r="C3164" s="929">
        <v>43031</v>
      </c>
      <c r="D3164" s="929" t="s">
        <v>903</v>
      </c>
      <c r="E3164" s="929">
        <f>C3164</f>
        <v>43031</v>
      </c>
      <c r="F3164" s="930" t="s">
        <v>1086</v>
      </c>
      <c r="G3164" s="930" t="s">
        <v>747</v>
      </c>
      <c r="H3164" s="296" t="s">
        <v>759</v>
      </c>
      <c r="I3164" s="1213"/>
      <c r="J3164" s="378"/>
      <c r="K3164" s="1213">
        <v>443334.27</v>
      </c>
      <c r="L3164" s="1214">
        <v>22710</v>
      </c>
      <c r="M3164" s="1214">
        <f t="shared" ref="M3164:M3165" si="1157">ROUND(K3164*L3164,0)</f>
        <v>10068121272</v>
      </c>
      <c r="N3164" s="934" t="s">
        <v>256</v>
      </c>
      <c r="O3164" s="934" t="s">
        <v>536</v>
      </c>
      <c r="P3164" s="75" t="str">
        <f>IF(AND('331-CT'!$E$7=TH!H3164,OR(N3164="331",O3164="331")),"x","")</f>
        <v/>
      </c>
      <c r="Q3164" s="75" t="str">
        <f>IF(AND(B3164='111'!$L$11,OR($N3164=$Q$7,$O3164=$Q$7)),"x","")</f>
        <v/>
      </c>
      <c r="R3164" s="75" t="str">
        <f>IF(AND($N3164=$Q$7,$B3164&lt;'111'!$L$11),"x","")</f>
        <v/>
      </c>
      <c r="S3164" s="75" t="str">
        <f>IF(AND($O3164=$Q$7,$B3164&lt;'111'!$L$11),"x","")</f>
        <v/>
      </c>
      <c r="T3164" s="75" t="str">
        <f>IF(ISERROR(FIND('112'!$M$9,G3164,1)),"",IF((AND(FIND('112'!$M$9,G3164,1)&gt;=1,B3164='112'!$K$9,OR($N3164='112'!$I$6,$O3164='112'!$I$6))),"x",""))</f>
        <v/>
      </c>
      <c r="U3164" s="75" t="str">
        <f>IF(ISERROR(FIND('112'!$M$9,G3164,1)),"",IF((AND(LEFT(G3164,2)=LEFT('112'!$M$9,2),B3164&lt;'112'!$K$9,$N3164='112'!$I$6)),"x",""))</f>
        <v/>
      </c>
      <c r="V3164" s="75" t="str">
        <f>IF(ISERROR(FIND('112'!$M$9,G3164,1)),"",IF((AND(RIGHT(G3164,2)=RIGHT('112'!$M$9,2),B3164&lt;'112'!$K$9,$O3164='112'!$I$6)),"x",""))</f>
        <v/>
      </c>
      <c r="W3164" s="75" t="str">
        <f>IF(AND('341-CT'!$H$9=H3164,OR(LEFT(N3164,3)=$W$7,LEFT(O3164,3)=$W$7)),"x","")</f>
        <v/>
      </c>
      <c r="X3164" s="75" t="str">
        <f>IF(OR(TH!N3164=TH!$X$7,O3164=TH!$X$7),"x","")</f>
        <v/>
      </c>
      <c r="Y3164" s="75" t="str">
        <f>IF(AND(OR(N3164="131",O3164="131"),H3164='131-CT'!$H$9),"x","")</f>
        <v/>
      </c>
      <c r="Z3164" s="75"/>
      <c r="AA3164" s="75" t="str">
        <f>IF(AND(MONTH(E3164)='IN-NX'!$J$5,'IN-NX'!$D$7=D3164),"x","")</f>
        <v/>
      </c>
      <c r="AB3164" s="75" t="str">
        <f>IF(AND(OR(LEFT(TH!N3164,2)="15",LEFT(TH!O3164,2)="15"),LEFT(TH!O3164,3)&lt;&gt;"111",'152-CT'!$J$8=TH!F3164),"x","")</f>
        <v/>
      </c>
      <c r="AC3164" s="75" t="str">
        <f>IF(AND(OR(LEFT(TH!N3164,2)="15",LEFT(TH!O3164,2)="15"),TK!$E$7=TH!F3164),"x","")</f>
        <v/>
      </c>
      <c r="AD3164" s="75" t="str">
        <f>IF(AND(N3164="1521",MONTH(C3164)='BK-NL'!$M$11),"x","")</f>
        <v/>
      </c>
    </row>
    <row r="3165" spans="1:30" s="1264" customFormat="1" ht="16.5" customHeight="1">
      <c r="A3165" s="309" t="str">
        <f>IF(B3165&lt;&gt;"",IF(AND(B3165='IN-TC'!$S$4,OR(TH!N3165="1111",TH!O3165="1111")),TH!D3165,""),"")</f>
        <v/>
      </c>
      <c r="B3165" s="1263">
        <f>IF(C3165&lt;&gt;"",MONTH(C3165),"")</f>
        <v>10</v>
      </c>
      <c r="C3165" s="929">
        <v>43031</v>
      </c>
      <c r="D3165" s="929" t="s">
        <v>530</v>
      </c>
      <c r="E3165" s="929">
        <f>C3165</f>
        <v>43031</v>
      </c>
      <c r="F3165" s="930" t="s">
        <v>1027</v>
      </c>
      <c r="G3165" s="930" t="s">
        <v>747</v>
      </c>
      <c r="H3165" s="296" t="s">
        <v>759</v>
      </c>
      <c r="I3165" s="1213"/>
      <c r="J3165" s="378"/>
      <c r="K3165" s="1213">
        <v>17.73</v>
      </c>
      <c r="L3165" s="1214">
        <v>22710</v>
      </c>
      <c r="M3165" s="1214">
        <f t="shared" si="1157"/>
        <v>402648</v>
      </c>
      <c r="N3165" s="934" t="s">
        <v>101</v>
      </c>
      <c r="O3165" s="934" t="s">
        <v>536</v>
      </c>
      <c r="P3165" s="75" t="str">
        <f>IF(AND('331-CT'!$E$7=TH!H3165,OR(N3165="331",O3165="331")),"x","")</f>
        <v/>
      </c>
      <c r="Q3165" s="75" t="str">
        <f>IF(AND(B3165='111'!$L$11,OR($N3165=$Q$7,$O3165=$Q$7)),"x","")</f>
        <v/>
      </c>
      <c r="R3165" s="75" t="str">
        <f>IF(AND($N3165=$Q$7,$B3165&lt;'111'!$L$11),"x","")</f>
        <v/>
      </c>
      <c r="S3165" s="75" t="str">
        <f>IF(AND($O3165=$Q$7,$B3165&lt;'111'!$L$11),"x","")</f>
        <v/>
      </c>
      <c r="T3165" s="75" t="str">
        <f>IF(ISERROR(FIND('112'!$M$9,G3165,1)),"",IF((AND(FIND('112'!$M$9,G3165,1)&gt;=1,B3165='112'!$K$9,OR($N3165='112'!$I$6,$O3165='112'!$I$6))),"x",""))</f>
        <v/>
      </c>
      <c r="U3165" s="75" t="str">
        <f>IF(ISERROR(FIND('112'!$M$9,G3165,1)),"",IF((AND(LEFT(G3165,2)=LEFT('112'!$M$9,2),B3165&lt;'112'!$K$9,$N3165='112'!$I$6)),"x",""))</f>
        <v/>
      </c>
      <c r="V3165" s="75" t="str">
        <f>IF(ISERROR(FIND('112'!$M$9,G3165,1)),"",IF((AND(RIGHT(G3165,2)=RIGHT('112'!$M$9,2),B3165&lt;'112'!$K$9,$O3165='112'!$I$6)),"x",""))</f>
        <v/>
      </c>
      <c r="W3165" s="75" t="str">
        <f>IF(AND('341-CT'!$H$9=H3165,OR(LEFT(N3165,3)=$W$7,LEFT(O3165,3)=$W$7)),"x","")</f>
        <v/>
      </c>
      <c r="X3165" s="75" t="str">
        <f>IF(OR(TH!N3165=TH!$X$7,O3165=TH!$X$7),"x","")</f>
        <v/>
      </c>
      <c r="Y3165" s="75" t="str">
        <f>IF(AND(OR(N3165="131",O3165="131"),H3165='131-CT'!$H$9),"x","")</f>
        <v/>
      </c>
      <c r="Z3165" s="75"/>
      <c r="AA3165" s="75" t="str">
        <f>IF(AND(MONTH(E3165)='IN-NX'!$J$5,'IN-NX'!$D$7=D3165),"x","")</f>
        <v/>
      </c>
      <c r="AB3165" s="75" t="str">
        <f>IF(AND(OR(LEFT(TH!N3165,2)="15",LEFT(TH!O3165,2)="15"),LEFT(TH!O3165,3)&lt;&gt;"111",'152-CT'!$J$8=TH!F3165),"x","")</f>
        <v/>
      </c>
      <c r="AC3165" s="75" t="str">
        <f>IF(AND(OR(LEFT(TH!N3165,2)="15",LEFT(TH!O3165,2)="15"),TK!$E$7=TH!F3165),"x","")</f>
        <v/>
      </c>
      <c r="AD3165" s="75" t="str">
        <f>IF(AND(N3165="1521",MONTH(C3165)='BK-NL'!$M$11),"x","")</f>
        <v/>
      </c>
    </row>
    <row r="3166" spans="1:30" s="1264" customFormat="1" ht="16.5" customHeight="1">
      <c r="A3166" s="309" t="str">
        <f>IF(B3166&lt;&gt;"",IF(AND(B3166='IN-TC'!$S$4,OR(TH!N3166="1111",TH!O3166="1111")),TH!D3166,""),"")</f>
        <v/>
      </c>
      <c r="B3166" s="1263">
        <f t="shared" ref="B3166" si="1158">IF(C3166&lt;&gt;"",MONTH(C3166),"")</f>
        <v>10</v>
      </c>
      <c r="C3166" s="929">
        <v>43031</v>
      </c>
      <c r="D3166" s="929" t="s">
        <v>530</v>
      </c>
      <c r="E3166" s="929">
        <f>C3166</f>
        <v>43031</v>
      </c>
      <c r="F3166" s="930" t="s">
        <v>1010</v>
      </c>
      <c r="G3166" s="930" t="s">
        <v>747</v>
      </c>
      <c r="H3166" s="296" t="s">
        <v>759</v>
      </c>
      <c r="I3166" s="1213"/>
      <c r="J3166" s="378"/>
      <c r="K3166" s="1213"/>
      <c r="L3166" s="1214"/>
      <c r="M3166" s="74">
        <v>4433520</v>
      </c>
      <c r="N3166" s="934" t="s">
        <v>536</v>
      </c>
      <c r="O3166" s="934" t="s">
        <v>43</v>
      </c>
      <c r="P3166" s="75" t="str">
        <f>IF(AND('331-CT'!$E$7=TH!H3166,OR(N3166="331",O3166="331")),"x","")</f>
        <v/>
      </c>
      <c r="Q3166" s="75" t="str">
        <f>IF(AND(B3166='111'!$L$11,OR($N3166=$Q$7,$O3166=$Q$7)),"x","")</f>
        <v/>
      </c>
      <c r="R3166" s="75" t="str">
        <f>IF(AND($N3166=$Q$7,$B3166&lt;'111'!$L$11),"x","")</f>
        <v/>
      </c>
      <c r="S3166" s="75" t="str">
        <f>IF(AND($O3166=$Q$7,$B3166&lt;'111'!$L$11),"x","")</f>
        <v/>
      </c>
      <c r="T3166" s="75" t="str">
        <f>IF(ISERROR(FIND('112'!$M$9,G3166,1)),"",IF((AND(FIND('112'!$M$9,G3166,1)&gt;=1,B3166='112'!$K$9,OR($N3166='112'!$I$6,$O3166='112'!$I$6))),"x",""))</f>
        <v/>
      </c>
      <c r="U3166" s="75" t="str">
        <f>IF(ISERROR(FIND('112'!$M$9,G3166,1)),"",IF((AND(LEFT(G3166,2)=LEFT('112'!$M$9,2),B3166&lt;'112'!$K$9,$N3166='112'!$I$6)),"x",""))</f>
        <v/>
      </c>
      <c r="V3166" s="75" t="str">
        <f>IF(ISERROR(FIND('112'!$M$9,G3166,1)),"",IF((AND(RIGHT(G3166,2)=RIGHT('112'!$M$9,2),B3166&lt;'112'!$K$9,$O3166='112'!$I$6)),"x",""))</f>
        <v/>
      </c>
      <c r="W3166" s="75" t="str">
        <f>IF(AND('341-CT'!$H$9=H3166,OR(LEFT(N3166,3)=$W$7,LEFT(O3166,3)=$W$7)),"x","")</f>
        <v/>
      </c>
      <c r="X3166" s="75" t="str">
        <f>IF(OR(TH!N3166=TH!$X$7,O3166=TH!$X$7),"x","")</f>
        <v/>
      </c>
      <c r="Y3166" s="75" t="str">
        <f>IF(AND(OR(N3166="131",O3166="131"),H3166='131-CT'!$H$9),"x","")</f>
        <v/>
      </c>
      <c r="Z3166" s="75"/>
      <c r="AA3166" s="75" t="str">
        <f>IF(AND(MONTH(E3166)='IN-NX'!$J$5,'IN-NX'!$D$7=D3166),"x","")</f>
        <v/>
      </c>
      <c r="AB3166" s="75" t="str">
        <f>IF(AND(OR(LEFT(TH!N3166,2)="15",LEFT(TH!O3166,2)="15"),LEFT(TH!O3166,3)&lt;&gt;"111",'152-CT'!$J$8=TH!F3166),"x","")</f>
        <v/>
      </c>
      <c r="AC3166" s="75" t="str">
        <f>IF(AND(OR(LEFT(TH!N3166,2)="15",LEFT(TH!O3166,2)="15"),TK!$E$7=TH!F3166),"x","")</f>
        <v/>
      </c>
      <c r="AD3166" s="75" t="str">
        <f>IF(AND(N3166="1521",MONTH(C3166)='BK-NL'!$M$11),"x","")</f>
        <v/>
      </c>
    </row>
    <row r="3167" spans="1:30" s="1264" customFormat="1" ht="16.5" customHeight="1">
      <c r="A3167" s="309" t="str">
        <f>IF(B3167&lt;&gt;"",IF(AND(B3167='IN-TC'!$S$4,OR(TH!N3167="1111",TH!O3167="1111")),TH!D3167,""),"")</f>
        <v/>
      </c>
      <c r="B3167" s="1263">
        <f>IF(C3167&lt;&gt;"",MONTH(C3167),"")</f>
        <v>10</v>
      </c>
      <c r="C3167" s="929">
        <v>43031</v>
      </c>
      <c r="D3167" s="929" t="s">
        <v>902</v>
      </c>
      <c r="E3167" s="929">
        <f t="shared" ref="E3167:E3197" si="1159">C3167</f>
        <v>43031</v>
      </c>
      <c r="F3167" s="930" t="s">
        <v>1096</v>
      </c>
      <c r="G3167" s="930" t="s">
        <v>747</v>
      </c>
      <c r="H3167" s="296" t="s">
        <v>2034</v>
      </c>
      <c r="I3167" s="1213"/>
      <c r="J3167" s="378"/>
      <c r="K3167" s="1213">
        <v>0.03</v>
      </c>
      <c r="L3167" s="1214">
        <v>22710</v>
      </c>
      <c r="M3167" s="74">
        <f t="shared" ref="M3167:M3169" si="1160">ROUND(K3167*L3167,0)</f>
        <v>681</v>
      </c>
      <c r="N3167" s="934" t="s">
        <v>99</v>
      </c>
      <c r="O3167" s="934" t="s">
        <v>256</v>
      </c>
      <c r="P3167" s="75" t="str">
        <f>IF(AND('331-CT'!$E$7=TH!H3167,OR(N3167="331",O3167="331")),"x","")</f>
        <v/>
      </c>
      <c r="Q3167" s="75" t="str">
        <f>IF(AND(B3167='111'!$L$11,OR($N3167=$Q$7,$O3167=$Q$7)),"x","")</f>
        <v/>
      </c>
      <c r="R3167" s="75" t="str">
        <f>IF(AND($N3167=$Q$7,$B3167&lt;'111'!$L$11),"x","")</f>
        <v/>
      </c>
      <c r="S3167" s="75" t="str">
        <f>IF(AND($O3167=$Q$7,$B3167&lt;'111'!$L$11),"x","")</f>
        <v/>
      </c>
      <c r="T3167" s="75" t="str">
        <f>IF(ISERROR(FIND('112'!$M$9,G3167,1)),"",IF((AND(FIND('112'!$M$9,G3167,1)&gt;=1,B3167='112'!$K$9,OR($N3167='112'!$I$6,$O3167='112'!$I$6))),"x",""))</f>
        <v/>
      </c>
      <c r="U3167" s="75" t="str">
        <f>IF(ISERROR(FIND('112'!$M$9,G3167,1)),"",IF((AND(LEFT(G3167,2)=LEFT('112'!$M$9,2),B3167&lt;'112'!$K$9,$N3167='112'!$I$6)),"x",""))</f>
        <v/>
      </c>
      <c r="V3167" s="75" t="str">
        <f>IF(ISERROR(FIND('112'!$M$9,G3167,1)),"",IF((AND(RIGHT(G3167,2)=RIGHT('112'!$M$9,2),B3167&lt;'112'!$K$9,$O3167='112'!$I$6)),"x",""))</f>
        <v/>
      </c>
      <c r="W3167" s="75" t="str">
        <f>IF(AND('341-CT'!$H$9=H3167,OR(LEFT(N3167,3)=$W$7,LEFT(O3167,3)=$W$7)),"x","")</f>
        <v/>
      </c>
      <c r="X3167" s="75" t="str">
        <f>IF(OR(TH!N3167=TH!$X$7,O3167=TH!$X$7),"x","")</f>
        <v/>
      </c>
      <c r="Y3167" s="75" t="str">
        <f>IF(AND(OR(N3167="131",O3167="131"),H3167='131-CT'!$H$9),"x","")</f>
        <v/>
      </c>
      <c r="Z3167" s="75"/>
      <c r="AA3167" s="75" t="str">
        <f>IF(AND(MONTH(E3167)='IN-NX'!$J$5,'IN-NX'!$D$7=D3167),"x","")</f>
        <v/>
      </c>
      <c r="AB3167" s="75" t="str">
        <f>IF(AND(OR(LEFT(TH!N3167,2)="15",LEFT(TH!O3167,2)="15"),LEFT(TH!O3167,3)&lt;&gt;"111",'152-CT'!$J$8=TH!F3167),"x","")</f>
        <v/>
      </c>
      <c r="AC3167" s="75" t="str">
        <f>IF(AND(OR(LEFT(TH!N3167,2)="15",LEFT(TH!O3167,2)="15"),TK!$E$7=TH!F3167),"x","")</f>
        <v/>
      </c>
      <c r="AD3167" s="75" t="str">
        <f>IF(AND(N3167="1521",MONTH(C3167)='BK-NL'!$M$11),"x","")</f>
        <v/>
      </c>
    </row>
    <row r="3168" spans="1:30" s="1264" customFormat="1" ht="16.5" customHeight="1">
      <c r="A3168" s="309" t="str">
        <f>IF(B3168&lt;&gt;"",IF(AND(B3168='IN-TC'!$S$4,OR(TH!N3168="1111",TH!O3168="1111")),TH!D3168,""),"")</f>
        <v/>
      </c>
      <c r="B3168" s="1263">
        <f>IF(C3168&lt;&gt;"",MONTH(C3168),"")</f>
        <v>10</v>
      </c>
      <c r="C3168" s="929">
        <v>43031</v>
      </c>
      <c r="D3168" s="929" t="s">
        <v>902</v>
      </c>
      <c r="E3168" s="929">
        <f t="shared" si="1159"/>
        <v>43031</v>
      </c>
      <c r="F3168" s="930" t="s">
        <v>1096</v>
      </c>
      <c r="G3168" s="930" t="s">
        <v>747</v>
      </c>
      <c r="H3168" s="296" t="s">
        <v>2034</v>
      </c>
      <c r="I3168" s="1213"/>
      <c r="J3168" s="378"/>
      <c r="K3168" s="1213">
        <v>60.8</v>
      </c>
      <c r="L3168" s="1214">
        <v>22710</v>
      </c>
      <c r="M3168" s="74">
        <f t="shared" si="1160"/>
        <v>1380768</v>
      </c>
      <c r="N3168" s="934" t="s">
        <v>99</v>
      </c>
      <c r="O3168" s="934" t="s">
        <v>256</v>
      </c>
      <c r="P3168" s="75" t="str">
        <f>IF(AND('331-CT'!$E$7=TH!H3168,OR(N3168="331",O3168="331")),"x","")</f>
        <v/>
      </c>
      <c r="Q3168" s="75" t="str">
        <f>IF(AND(B3168='111'!$L$11,OR($N3168=$Q$7,$O3168=$Q$7)),"x","")</f>
        <v/>
      </c>
      <c r="R3168" s="75" t="str">
        <f>IF(AND($N3168=$Q$7,$B3168&lt;'111'!$L$11),"x","")</f>
        <v/>
      </c>
      <c r="S3168" s="75" t="str">
        <f>IF(AND($O3168=$Q$7,$B3168&lt;'111'!$L$11),"x","")</f>
        <v/>
      </c>
      <c r="T3168" s="75" t="str">
        <f>IF(ISERROR(FIND('112'!$M$9,G3168,1)),"",IF((AND(FIND('112'!$M$9,G3168,1)&gt;=1,B3168='112'!$K$9,OR($N3168='112'!$I$6,$O3168='112'!$I$6))),"x",""))</f>
        <v/>
      </c>
      <c r="U3168" s="75" t="str">
        <f>IF(ISERROR(FIND('112'!$M$9,G3168,1)),"",IF((AND(LEFT(G3168,2)=LEFT('112'!$M$9,2),B3168&lt;'112'!$K$9,$N3168='112'!$I$6)),"x",""))</f>
        <v/>
      </c>
      <c r="V3168" s="75" t="str">
        <f>IF(ISERROR(FIND('112'!$M$9,G3168,1)),"",IF((AND(RIGHT(G3168,2)=RIGHT('112'!$M$9,2),B3168&lt;'112'!$K$9,$O3168='112'!$I$6)),"x",""))</f>
        <v/>
      </c>
      <c r="W3168" s="75" t="str">
        <f>IF(AND('341-CT'!$H$9=H3168,OR(LEFT(N3168,3)=$W$7,LEFT(O3168,3)=$W$7)),"x","")</f>
        <v/>
      </c>
      <c r="X3168" s="75" t="str">
        <f>IF(OR(TH!N3168=TH!$X$7,O3168=TH!$X$7),"x","")</f>
        <v/>
      </c>
      <c r="Y3168" s="75" t="str">
        <f>IF(AND(OR(N3168="131",O3168="131"),H3168='131-CT'!$H$9),"x","")</f>
        <v/>
      </c>
      <c r="Z3168" s="75"/>
      <c r="AA3168" s="75" t="str">
        <f>IF(AND(MONTH(E3168)='IN-NX'!$J$5,'IN-NX'!$D$7=D3168),"x","")</f>
        <v/>
      </c>
      <c r="AB3168" s="75" t="str">
        <f>IF(AND(OR(LEFT(TH!N3168,2)="15",LEFT(TH!O3168,2)="15"),LEFT(TH!O3168,3)&lt;&gt;"111",'152-CT'!$J$8=TH!F3168),"x","")</f>
        <v/>
      </c>
      <c r="AC3168" s="75" t="str">
        <f>IF(AND(OR(LEFT(TH!N3168,2)="15",LEFT(TH!O3168,2)="15"),TK!$E$7=TH!F3168),"x","")</f>
        <v/>
      </c>
      <c r="AD3168" s="75" t="str">
        <f>IF(AND(N3168="1521",MONTH(C3168)='BK-NL'!$M$11),"x","")</f>
        <v/>
      </c>
    </row>
    <row r="3169" spans="1:31" s="1264" customFormat="1" ht="16.5" customHeight="1">
      <c r="A3169" s="309" t="str">
        <f>IF(B3169&lt;&gt;"",IF(AND(B3169='IN-TC'!$S$4,OR(TH!N3169="1111",TH!O3169="1111")),TH!D3169,""),"")</f>
        <v/>
      </c>
      <c r="B3169" s="1263">
        <f>IF(C3169&lt;&gt;"",MONTH(C3169),"")</f>
        <v>10</v>
      </c>
      <c r="C3169" s="929">
        <v>43031</v>
      </c>
      <c r="D3169" s="929" t="s">
        <v>902</v>
      </c>
      <c r="E3169" s="929">
        <f t="shared" si="1159"/>
        <v>43031</v>
      </c>
      <c r="F3169" s="930" t="s">
        <v>1096</v>
      </c>
      <c r="G3169" s="930" t="s">
        <v>747</v>
      </c>
      <c r="H3169" s="296" t="s">
        <v>2034</v>
      </c>
      <c r="I3169" s="1213"/>
      <c r="J3169" s="378"/>
      <c r="K3169" s="1213">
        <v>609.33000000000004</v>
      </c>
      <c r="L3169" s="1214">
        <v>22710</v>
      </c>
      <c r="M3169" s="74">
        <f t="shared" si="1160"/>
        <v>13837884</v>
      </c>
      <c r="N3169" s="934" t="s">
        <v>99</v>
      </c>
      <c r="O3169" s="934" t="s">
        <v>256</v>
      </c>
      <c r="P3169" s="75" t="str">
        <f>IF(AND('331-CT'!$E$7=TH!H3169,OR(N3169="331",O3169="331")),"x","")</f>
        <v/>
      </c>
      <c r="Q3169" s="75" t="str">
        <f>IF(AND(B3169='111'!$L$11,OR($N3169=$Q$7,$O3169=$Q$7)),"x","")</f>
        <v/>
      </c>
      <c r="R3169" s="75" t="str">
        <f>IF(AND($N3169=$Q$7,$B3169&lt;'111'!$L$11),"x","")</f>
        <v/>
      </c>
      <c r="S3169" s="75" t="str">
        <f>IF(AND($O3169=$Q$7,$B3169&lt;'111'!$L$11),"x","")</f>
        <v/>
      </c>
      <c r="T3169" s="75" t="str">
        <f>IF(ISERROR(FIND('112'!$M$9,G3169,1)),"",IF((AND(FIND('112'!$M$9,G3169,1)&gt;=1,B3169='112'!$K$9,OR($N3169='112'!$I$6,$O3169='112'!$I$6))),"x",""))</f>
        <v/>
      </c>
      <c r="U3169" s="75" t="str">
        <f>IF(ISERROR(FIND('112'!$M$9,G3169,1)),"",IF((AND(LEFT(G3169,2)=LEFT('112'!$M$9,2),B3169&lt;'112'!$K$9,$N3169='112'!$I$6)),"x",""))</f>
        <v/>
      </c>
      <c r="V3169" s="75" t="str">
        <f>IF(ISERROR(FIND('112'!$M$9,G3169,1)),"",IF((AND(RIGHT(G3169,2)=RIGHT('112'!$M$9,2),B3169&lt;'112'!$K$9,$O3169='112'!$I$6)),"x",""))</f>
        <v/>
      </c>
      <c r="W3169" s="75" t="str">
        <f>IF(AND('341-CT'!$H$9=H3169,OR(LEFT(N3169,3)=$W$7,LEFT(O3169,3)=$W$7)),"x","")</f>
        <v/>
      </c>
      <c r="X3169" s="75" t="str">
        <f>IF(OR(TH!N3169=TH!$X$7,O3169=TH!$X$7),"x","")</f>
        <v/>
      </c>
      <c r="Y3169" s="75" t="str">
        <f>IF(AND(OR(N3169="131",O3169="131"),H3169='131-CT'!$H$9),"x","")</f>
        <v/>
      </c>
      <c r="Z3169" s="75"/>
      <c r="AA3169" s="75" t="str">
        <f>IF(AND(MONTH(E3169)='IN-NX'!$J$5,'IN-NX'!$D$7=D3169),"x","")</f>
        <v/>
      </c>
      <c r="AB3169" s="75" t="str">
        <f>IF(AND(OR(LEFT(TH!N3169,2)="15",LEFT(TH!O3169,2)="15"),LEFT(TH!O3169,3)&lt;&gt;"111",'152-CT'!$J$8=TH!F3169),"x","")</f>
        <v/>
      </c>
      <c r="AC3169" s="75" t="str">
        <f>IF(AND(OR(LEFT(TH!N3169,2)="15",LEFT(TH!O3169,2)="15"),TK!$E$7=TH!F3169),"x","")</f>
        <v/>
      </c>
      <c r="AD3169" s="75" t="str">
        <f>IF(AND(N3169="1521",MONTH(C3169)='BK-NL'!$M$11),"x","")</f>
        <v/>
      </c>
    </row>
    <row r="3170" spans="1:31" s="1264" customFormat="1" ht="16.5" customHeight="1">
      <c r="A3170" s="309" t="str">
        <f>IF(B3170&lt;&gt;"",IF(AND(B3170='IN-TC'!$S$4,OR(TH!N3170="1111",TH!O3170="1111")),TH!D3170,""),"")</f>
        <v/>
      </c>
      <c r="B3170" s="1263">
        <f>IF(C3170&lt;&gt;"",MONTH(C3170),"")</f>
        <v>10</v>
      </c>
      <c r="C3170" s="929">
        <v>43031</v>
      </c>
      <c r="D3170" s="929" t="s">
        <v>902</v>
      </c>
      <c r="E3170" s="929">
        <f t="shared" si="1159"/>
        <v>43031</v>
      </c>
      <c r="F3170" s="72" t="s">
        <v>1321</v>
      </c>
      <c r="G3170" s="930" t="s">
        <v>747</v>
      </c>
      <c r="H3170" s="296" t="s">
        <v>2034</v>
      </c>
      <c r="I3170" s="1213"/>
      <c r="J3170" s="378"/>
      <c r="K3170" s="1213">
        <v>182403.11</v>
      </c>
      <c r="L3170" s="1214">
        <v>22710</v>
      </c>
      <c r="M3170" s="74">
        <f t="shared" ref="M3170:M3181" si="1161">ROUND(K3170*L3170,0)</f>
        <v>4142374628</v>
      </c>
      <c r="N3170" s="934" t="s">
        <v>250</v>
      </c>
      <c r="O3170" s="934" t="s">
        <v>256</v>
      </c>
      <c r="P3170" s="75" t="str">
        <f>IF(AND('331-CT'!$E$7=TH!H3170,OR(N3170="331",O3170="331")),"x","")</f>
        <v/>
      </c>
      <c r="Q3170" s="75" t="str">
        <f>IF(AND(B3170='111'!$L$11,OR($N3170=$Q$7,$O3170=$Q$7)),"x","")</f>
        <v/>
      </c>
      <c r="R3170" s="75" t="str">
        <f>IF(AND($N3170=$Q$7,$B3170&lt;'111'!$L$11),"x","")</f>
        <v/>
      </c>
      <c r="S3170" s="75" t="str">
        <f>IF(AND($O3170=$Q$7,$B3170&lt;'111'!$L$11),"x","")</f>
        <v/>
      </c>
      <c r="T3170" s="75" t="str">
        <f>IF(ISERROR(FIND('112'!$M$9,G3170,1)),"",IF((AND(FIND('112'!$M$9,G3170,1)&gt;=1,B3170='112'!$K$9,OR($N3170='112'!$I$6,$O3170='112'!$I$6))),"x",""))</f>
        <v/>
      </c>
      <c r="U3170" s="75" t="str">
        <f>IF(ISERROR(FIND('112'!$M$9,G3170,1)),"",IF((AND(LEFT(G3170,2)=LEFT('112'!$M$9,2),B3170&lt;'112'!$K$9,$N3170='112'!$I$6)),"x",""))</f>
        <v/>
      </c>
      <c r="V3170" s="75" t="str">
        <f>IF(ISERROR(FIND('112'!$M$9,G3170,1)),"",IF((AND(RIGHT(G3170,2)=RIGHT('112'!$M$9,2),B3170&lt;'112'!$K$9,$O3170='112'!$I$6)),"x",""))</f>
        <v/>
      </c>
      <c r="W3170" s="75" t="str">
        <f>IF(AND('341-CT'!$H$9=H3170,OR(LEFT(N3170,3)=$W$7,LEFT(O3170,3)=$W$7)),"x","")</f>
        <v/>
      </c>
      <c r="X3170" s="75" t="str">
        <f>IF(OR(TH!N3170=TH!$X$7,O3170=TH!$X$7),"x","")</f>
        <v/>
      </c>
      <c r="Y3170" s="75" t="str">
        <f>IF(AND(OR(N3170="131",O3170="131"),H3170='131-CT'!$H$9),"x","")</f>
        <v/>
      </c>
      <c r="Z3170" s="75"/>
      <c r="AA3170" s="75" t="str">
        <f>IF(AND(MONTH(E3170)='IN-NX'!$J$5,'IN-NX'!$D$7=D3170),"x","")</f>
        <v/>
      </c>
      <c r="AB3170" s="75" t="str">
        <f>IF(AND(OR(LEFT(TH!N3170,2)="15",LEFT(TH!O3170,2)="15"),LEFT(TH!O3170,3)&lt;&gt;"111",'152-CT'!$J$8=TH!F3170),"x","")</f>
        <v/>
      </c>
      <c r="AC3170" s="75" t="str">
        <f>IF(AND(OR(LEFT(TH!N3170,2)="15",LEFT(TH!O3170,2)="15"),TK!$E$7=TH!F3170),"x","")</f>
        <v/>
      </c>
      <c r="AD3170" s="75" t="str">
        <f>IF(AND(N3170="1521",MONTH(C3170)='BK-NL'!$M$11),"x","")</f>
        <v/>
      </c>
    </row>
    <row r="3171" spans="1:31" s="1316" customFormat="1" ht="16.5" customHeight="1">
      <c r="A3171" s="309" t="str">
        <f>IF(B3171&lt;&gt;"",IF(AND(B3171='IN-TC'!$S$4,OR(TH!N3171="1111",TH!O3171="1111")),TH!D3171,""),"")</f>
        <v/>
      </c>
      <c r="B3171" s="1263">
        <f>IF(C3171&lt;&gt;"",MONTH(C3171),"")</f>
        <v>10</v>
      </c>
      <c r="C3171" s="929">
        <v>43031</v>
      </c>
      <c r="D3171" s="929" t="s">
        <v>902</v>
      </c>
      <c r="E3171" s="929">
        <f t="shared" si="1159"/>
        <v>43031</v>
      </c>
      <c r="F3171" s="930" t="s">
        <v>2480</v>
      </c>
      <c r="G3171" s="930" t="s">
        <v>1542</v>
      </c>
      <c r="H3171" s="296" t="s">
        <v>835</v>
      </c>
      <c r="I3171" s="1213"/>
      <c r="J3171" s="378"/>
      <c r="K3171" s="1213">
        <v>256500</v>
      </c>
      <c r="L3171" s="1214">
        <v>22710</v>
      </c>
      <c r="M3171" s="1214">
        <f t="shared" si="1161"/>
        <v>5825115000</v>
      </c>
      <c r="N3171" s="934" t="s">
        <v>256</v>
      </c>
      <c r="O3171" s="934" t="s">
        <v>256</v>
      </c>
      <c r="P3171" s="75" t="str">
        <f>IF(AND('331-CT'!$E$7=TH!H3171,OR(N3171="331",O3171="331")),"x","")</f>
        <v/>
      </c>
      <c r="Q3171" s="75" t="str">
        <f>IF(AND(B3171='111'!$L$11,OR($N3171=$Q$7,$O3171=$Q$7)),"x","")</f>
        <v/>
      </c>
      <c r="R3171" s="75" t="str">
        <f>IF(AND($N3171=$Q$7,$B3171&lt;'111'!$L$11),"x","")</f>
        <v/>
      </c>
      <c r="S3171" s="75" t="str">
        <f>IF(AND($O3171=$Q$7,$B3171&lt;'111'!$L$11),"x","")</f>
        <v/>
      </c>
      <c r="T3171" s="75" t="str">
        <f>IF(ISERROR(FIND('112'!$M$9,G3171,1)),"",IF((AND(FIND('112'!$M$9,G3171,1)&gt;=1,B3171='112'!$K$9,OR($N3171='112'!$I$6,$O3171='112'!$I$6))),"x",""))</f>
        <v/>
      </c>
      <c r="U3171" s="75" t="str">
        <f>IF(ISERROR(FIND('112'!$M$9,G3171,1)),"",IF((AND(LEFT(G3171,2)=LEFT('112'!$M$9,2),B3171&lt;'112'!$K$9,$N3171='112'!$I$6)),"x",""))</f>
        <v/>
      </c>
      <c r="V3171" s="75" t="str">
        <f>IF(ISERROR(FIND('112'!$M$9,G3171,1)),"",IF((AND(RIGHT(G3171,2)=RIGHT('112'!$M$9,2),B3171&lt;'112'!$K$9,$O3171='112'!$I$6)),"x",""))</f>
        <v/>
      </c>
      <c r="W3171" s="75" t="str">
        <f>IF(AND('341-CT'!$H$9=H3171,OR(LEFT(N3171,3)=$W$7,LEFT(O3171,3)=$W$7)),"x","")</f>
        <v/>
      </c>
      <c r="X3171" s="75" t="str">
        <f>IF(OR(TH!N3171=TH!$X$7,O3171=TH!$X$7),"x","")</f>
        <v/>
      </c>
      <c r="Y3171" s="75" t="str">
        <f>IF(AND(OR(N3171="131",O3171="131"),H3171='131-CT'!$H$9),"x","")</f>
        <v/>
      </c>
      <c r="Z3171" s="75"/>
      <c r="AA3171" s="75" t="str">
        <f>IF(AND(MONTH(E3171)='IN-NX'!$J$5,'IN-NX'!$D$7=D3171),"x","")</f>
        <v/>
      </c>
      <c r="AB3171" s="75" t="str">
        <f>IF(AND(OR(LEFT(TH!N3171,2)="15",LEFT(TH!O3171,2)="15"),LEFT(TH!O3171,3)&lt;&gt;"111",'152-CT'!$J$8=TH!F3171),"x","")</f>
        <v/>
      </c>
      <c r="AC3171" s="75" t="str">
        <f>IF(AND(OR(LEFT(TH!N3171,2)="15",LEFT(TH!O3171,2)="15"),TK!$E$7=TH!F3171),"x","")</f>
        <v/>
      </c>
      <c r="AD3171" s="75" t="str">
        <f>IF(AND(N3171="1521",MONTH(C3171)='BK-NL'!$M$11),"x","")</f>
        <v/>
      </c>
    </row>
    <row r="3172" spans="1:31" s="1316" customFormat="1" ht="16.5" customHeight="1">
      <c r="A3172" s="309" t="str">
        <f>IF(B3172&lt;&gt;"",IF(AND(B3172='IN-TC'!$S$4,OR(TH!N3172="1111",TH!O3172="1111")),TH!D3172,""),"")</f>
        <v/>
      </c>
      <c r="B3172" s="1263">
        <f t="shared" ref="B3172:B3173" si="1162">IF(C3172&lt;&gt;"",MONTH(C3172),"")</f>
        <v>10</v>
      </c>
      <c r="C3172" s="929">
        <v>43031</v>
      </c>
      <c r="D3172" s="929" t="s">
        <v>902</v>
      </c>
      <c r="E3172" s="929">
        <f t="shared" ref="E3172:E3173" si="1163">C3172</f>
        <v>43031</v>
      </c>
      <c r="F3172" s="930" t="s">
        <v>2481</v>
      </c>
      <c r="G3172" s="930" t="s">
        <v>747</v>
      </c>
      <c r="H3172" s="296" t="s">
        <v>835</v>
      </c>
      <c r="I3172" s="1213"/>
      <c r="J3172" s="378"/>
      <c r="K3172" s="1213">
        <v>3</v>
      </c>
      <c r="L3172" s="1214">
        <v>22710</v>
      </c>
      <c r="M3172" s="74">
        <f t="shared" si="1161"/>
        <v>68130</v>
      </c>
      <c r="N3172" s="934" t="s">
        <v>101</v>
      </c>
      <c r="O3172" s="934" t="s">
        <v>256</v>
      </c>
      <c r="P3172" s="75" t="str">
        <f>IF(AND('331-CT'!$E$7=TH!H3172,OR(N3172="331",O3172="331")),"x","")</f>
        <v/>
      </c>
      <c r="Q3172" s="75" t="str">
        <f>IF(AND(B3172='111'!$L$11,OR($N3172=$Q$7,$O3172=$Q$7)),"x","")</f>
        <v/>
      </c>
      <c r="R3172" s="75" t="str">
        <f>IF(AND($N3172=$Q$7,$B3172&lt;'111'!$L$11),"x","")</f>
        <v/>
      </c>
      <c r="S3172" s="75" t="str">
        <f>IF(AND($O3172=$Q$7,$B3172&lt;'111'!$L$11),"x","")</f>
        <v/>
      </c>
      <c r="T3172" s="75" t="str">
        <f>IF(ISERROR(FIND('112'!$M$9,G3172,1)),"",IF((AND(FIND('112'!$M$9,G3172,1)&gt;=1,B3172='112'!$K$9,OR($N3172='112'!$I$6,$O3172='112'!$I$6))),"x",""))</f>
        <v/>
      </c>
      <c r="U3172" s="75" t="str">
        <f>IF(ISERROR(FIND('112'!$M$9,G3172,1)),"",IF((AND(LEFT(G3172,2)=LEFT('112'!$M$9,2),B3172&lt;'112'!$K$9,$N3172='112'!$I$6)),"x",""))</f>
        <v/>
      </c>
      <c r="V3172" s="75" t="str">
        <f>IF(ISERROR(FIND('112'!$M$9,G3172,1)),"",IF((AND(RIGHT(G3172,2)=RIGHT('112'!$M$9,2),B3172&lt;'112'!$K$9,$O3172='112'!$I$6)),"x",""))</f>
        <v/>
      </c>
      <c r="W3172" s="75" t="str">
        <f>IF(AND('341-CT'!$H$9=H3172,OR(LEFT(N3172,3)=$W$7,LEFT(O3172,3)=$W$7)),"x","")</f>
        <v/>
      </c>
      <c r="X3172" s="75" t="str">
        <f>IF(OR(TH!N3172=TH!$X$7,O3172=TH!$X$7),"x","")</f>
        <v/>
      </c>
      <c r="Y3172" s="75" t="str">
        <f>IF(AND(OR(N3172="131",O3172="131"),H3172='131-CT'!$H$9),"x","")</f>
        <v/>
      </c>
      <c r="Z3172" s="75"/>
      <c r="AA3172" s="75" t="str">
        <f>IF(AND(MONTH(E3172)='IN-NX'!$J$5,'IN-NX'!$D$7=D3172),"x","")</f>
        <v/>
      </c>
      <c r="AB3172" s="75" t="str">
        <f>IF(AND(OR(LEFT(TH!N3172,2)="15",LEFT(TH!O3172,2)="15"),LEFT(TH!O3172,3)&lt;&gt;"111",'152-CT'!$J$8=TH!F3172),"x","")</f>
        <v/>
      </c>
      <c r="AC3172" s="75" t="str">
        <f>IF(AND(OR(LEFT(TH!N3172,2)="15",LEFT(TH!O3172,2)="15"),TK!$E$7=TH!F3172),"x","")</f>
        <v/>
      </c>
      <c r="AD3172" s="75" t="str">
        <f>IF(AND(N3172="1521",MONTH(C3172)='BK-NL'!$M$11),"x","")</f>
        <v/>
      </c>
      <c r="AE3172" s="1316">
        <v>10</v>
      </c>
    </row>
    <row r="3173" spans="1:31" s="1316" customFormat="1" ht="16.5" customHeight="1">
      <c r="A3173" s="309" t="str">
        <f>IF(B3173&lt;&gt;"",IF(AND(B3173='IN-TC'!$S$4,OR(TH!N3173="1111",TH!O3173="1111")),TH!D3173,""),"")</f>
        <v/>
      </c>
      <c r="B3173" s="1263">
        <f t="shared" si="1162"/>
        <v>10</v>
      </c>
      <c r="C3173" s="929">
        <v>43031</v>
      </c>
      <c r="D3173" s="929" t="s">
        <v>902</v>
      </c>
      <c r="E3173" s="929">
        <f t="shared" si="1163"/>
        <v>43031</v>
      </c>
      <c r="F3173" s="930" t="s">
        <v>2482</v>
      </c>
      <c r="G3173" s="930" t="s">
        <v>747</v>
      </c>
      <c r="H3173" s="296" t="s">
        <v>835</v>
      </c>
      <c r="I3173" s="1213"/>
      <c r="J3173" s="378"/>
      <c r="K3173" s="1213">
        <v>0.3</v>
      </c>
      <c r="L3173" s="1214">
        <v>22710</v>
      </c>
      <c r="M3173" s="74">
        <f t="shared" si="1161"/>
        <v>6813</v>
      </c>
      <c r="N3173" s="934" t="s">
        <v>9</v>
      </c>
      <c r="O3173" s="934" t="s">
        <v>256</v>
      </c>
      <c r="P3173" s="75" t="str">
        <f>IF(AND('331-CT'!$E$7=TH!H3173,OR(N3173="331",O3173="331")),"x","")</f>
        <v/>
      </c>
      <c r="Q3173" s="75" t="str">
        <f>IF(AND(B3173='111'!$L$11,OR($N3173=$Q$7,$O3173=$Q$7)),"x","")</f>
        <v/>
      </c>
      <c r="R3173" s="75" t="str">
        <f>IF(AND($N3173=$Q$7,$B3173&lt;'111'!$L$11),"x","")</f>
        <v/>
      </c>
      <c r="S3173" s="75" t="str">
        <f>IF(AND($O3173=$Q$7,$B3173&lt;'111'!$L$11),"x","")</f>
        <v/>
      </c>
      <c r="T3173" s="75" t="str">
        <f>IF(ISERROR(FIND('112'!$M$9,G3173,1)),"",IF((AND(FIND('112'!$M$9,G3173,1)&gt;=1,B3173='112'!$K$9,OR($N3173='112'!$I$6,$O3173='112'!$I$6))),"x",""))</f>
        <v/>
      </c>
      <c r="U3173" s="75" t="str">
        <f>IF(ISERROR(FIND('112'!$M$9,G3173,1)),"",IF((AND(LEFT(G3173,2)=LEFT('112'!$M$9,2),B3173&lt;'112'!$K$9,$N3173='112'!$I$6)),"x",""))</f>
        <v/>
      </c>
      <c r="V3173" s="75" t="str">
        <f>IF(ISERROR(FIND('112'!$M$9,G3173,1)),"",IF((AND(RIGHT(G3173,2)=RIGHT('112'!$M$9,2),B3173&lt;'112'!$K$9,$O3173='112'!$I$6)),"x",""))</f>
        <v/>
      </c>
      <c r="W3173" s="75" t="str">
        <f>IF(AND('341-CT'!$H$9=H3173,OR(LEFT(N3173,3)=$W$7,LEFT(O3173,3)=$W$7)),"x","")</f>
        <v/>
      </c>
      <c r="X3173" s="75" t="str">
        <f>IF(OR(TH!N3173=TH!$X$7,O3173=TH!$X$7),"x","")</f>
        <v/>
      </c>
      <c r="Y3173" s="75" t="str">
        <f>IF(AND(OR(N3173="131",O3173="131"),H3173='131-CT'!$H$9),"x","")</f>
        <v/>
      </c>
      <c r="Z3173" s="75"/>
      <c r="AA3173" s="75" t="str">
        <f>IF(AND(MONTH(E3173)='IN-NX'!$J$5,'IN-NX'!$D$7=D3173),"x","")</f>
        <v/>
      </c>
      <c r="AB3173" s="75" t="str">
        <f>IF(AND(OR(LEFT(TH!N3173,2)="15",LEFT(TH!O3173,2)="15"),LEFT(TH!O3173,3)&lt;&gt;"111",'152-CT'!$J$8=TH!F3173),"x","")</f>
        <v/>
      </c>
      <c r="AC3173" s="75" t="str">
        <f>IF(AND(OR(LEFT(TH!N3173,2)="15",LEFT(TH!O3173,2)="15"),TK!$E$7=TH!F3173),"x","")</f>
        <v/>
      </c>
      <c r="AD3173" s="75" t="str">
        <f>IF(AND(N3173="1521",MONTH(C3173)='BK-NL'!$M$11),"x","")</f>
        <v/>
      </c>
      <c r="AE3173" s="1316">
        <v>10</v>
      </c>
    </row>
    <row r="3174" spans="1:31" s="1316" customFormat="1" ht="16.5" customHeight="1">
      <c r="A3174" s="309" t="str">
        <f>IF(B3174&lt;&gt;"",IF(AND(B3174='IN-TC'!$S$4,OR(TH!N3174="1111",TH!O3174="1111")),TH!D3174,""),"")</f>
        <v/>
      </c>
      <c r="B3174" s="1263">
        <f t="shared" ref="B3174:B3199" si="1164">IF(C3174&lt;&gt;"",MONTH(C3174),"")</f>
        <v>10</v>
      </c>
      <c r="C3174" s="929">
        <v>43031</v>
      </c>
      <c r="D3174" s="929" t="s">
        <v>902</v>
      </c>
      <c r="E3174" s="929">
        <f t="shared" si="1159"/>
        <v>43031</v>
      </c>
      <c r="F3174" s="930" t="s">
        <v>2480</v>
      </c>
      <c r="G3174" s="930" t="s">
        <v>1738</v>
      </c>
      <c r="H3174" s="296" t="s">
        <v>835</v>
      </c>
      <c r="I3174" s="1213"/>
      <c r="J3174" s="378"/>
      <c r="K3174" s="1213">
        <v>3500</v>
      </c>
      <c r="L3174" s="1214">
        <v>22710</v>
      </c>
      <c r="M3174" s="1214">
        <f t="shared" si="1161"/>
        <v>79485000</v>
      </c>
      <c r="N3174" s="934" t="s">
        <v>256</v>
      </c>
      <c r="O3174" s="934" t="s">
        <v>256</v>
      </c>
      <c r="P3174" s="75" t="str">
        <f>IF(AND('331-CT'!$E$7=TH!H3174,OR(N3174="331",O3174="331")),"x","")</f>
        <v/>
      </c>
      <c r="Q3174" s="75" t="str">
        <f>IF(AND(B3174='111'!$L$11,OR($N3174=$Q$7,$O3174=$Q$7)),"x","")</f>
        <v/>
      </c>
      <c r="R3174" s="75" t="str">
        <f>IF(AND($N3174=$Q$7,$B3174&lt;'111'!$L$11),"x","")</f>
        <v/>
      </c>
      <c r="S3174" s="75" t="str">
        <f>IF(AND($O3174=$Q$7,$B3174&lt;'111'!$L$11),"x","")</f>
        <v/>
      </c>
      <c r="T3174" s="75" t="str">
        <f>IF(ISERROR(FIND('112'!$M$9,G3174,1)),"",IF((AND(FIND('112'!$M$9,G3174,1)&gt;=1,B3174='112'!$K$9,OR($N3174='112'!$I$6,$O3174='112'!$I$6))),"x",""))</f>
        <v/>
      </c>
      <c r="U3174" s="75" t="str">
        <f>IF(ISERROR(FIND('112'!$M$9,G3174,1)),"",IF((AND(LEFT(G3174,2)=LEFT('112'!$M$9,2),B3174&lt;'112'!$K$9,$N3174='112'!$I$6)),"x",""))</f>
        <v/>
      </c>
      <c r="V3174" s="75" t="str">
        <f>IF(ISERROR(FIND('112'!$M$9,G3174,1)),"",IF((AND(RIGHT(G3174,2)=RIGHT('112'!$M$9,2),B3174&lt;'112'!$K$9,$O3174='112'!$I$6)),"x",""))</f>
        <v/>
      </c>
      <c r="W3174" s="75" t="str">
        <f>IF(AND('341-CT'!$H$9=H3174,OR(LEFT(N3174,3)=$W$7,LEFT(O3174,3)=$W$7)),"x","")</f>
        <v/>
      </c>
      <c r="X3174" s="75" t="str">
        <f>IF(OR(TH!N3174=TH!$X$7,O3174=TH!$X$7),"x","")</f>
        <v/>
      </c>
      <c r="Y3174" s="75" t="str">
        <f>IF(AND(OR(N3174="131",O3174="131"),H3174='131-CT'!$H$9),"x","")</f>
        <v/>
      </c>
      <c r="Z3174" s="75"/>
      <c r="AA3174" s="75" t="str">
        <f>IF(AND(MONTH(E3174)='IN-NX'!$J$5,'IN-NX'!$D$7=D3174),"x","")</f>
        <v/>
      </c>
      <c r="AB3174" s="75" t="str">
        <f>IF(AND(OR(LEFT(TH!N3174,2)="15",LEFT(TH!O3174,2)="15"),LEFT(TH!O3174,3)&lt;&gt;"111",'152-CT'!$J$8=TH!F3174),"x","")</f>
        <v/>
      </c>
      <c r="AC3174" s="75" t="str">
        <f>IF(AND(OR(LEFT(TH!N3174,2)="15",LEFT(TH!O3174,2)="15"),TK!$E$7=TH!F3174),"x","")</f>
        <v/>
      </c>
      <c r="AD3174" s="75" t="str">
        <f>IF(AND(N3174="1521",MONTH(C3174)='BK-NL'!$M$11),"x","")</f>
        <v/>
      </c>
    </row>
    <row r="3175" spans="1:31" s="1316" customFormat="1" ht="16.5" customHeight="1">
      <c r="A3175" s="309" t="str">
        <f>IF(B3175&lt;&gt;"",IF(AND(B3175='IN-TC'!$S$4,OR(TH!N3175="1111",TH!O3175="1111")),TH!D3175,""),"")</f>
        <v/>
      </c>
      <c r="B3175" s="1263">
        <f t="shared" si="1164"/>
        <v>10</v>
      </c>
      <c r="C3175" s="929">
        <v>43031</v>
      </c>
      <c r="D3175" s="929" t="s">
        <v>902</v>
      </c>
      <c r="E3175" s="929">
        <f t="shared" si="1159"/>
        <v>43031</v>
      </c>
      <c r="F3175" s="930" t="s">
        <v>2481</v>
      </c>
      <c r="G3175" s="930" t="s">
        <v>747</v>
      </c>
      <c r="H3175" s="296" t="s">
        <v>835</v>
      </c>
      <c r="I3175" s="1213"/>
      <c r="J3175" s="378"/>
      <c r="K3175" s="1213">
        <v>3</v>
      </c>
      <c r="L3175" s="1214">
        <v>22710</v>
      </c>
      <c r="M3175" s="74">
        <f t="shared" si="1161"/>
        <v>68130</v>
      </c>
      <c r="N3175" s="934" t="s">
        <v>101</v>
      </c>
      <c r="O3175" s="934" t="s">
        <v>256</v>
      </c>
      <c r="P3175" s="75" t="str">
        <f>IF(AND('331-CT'!$E$7=TH!H3175,OR(N3175="331",O3175="331")),"x","")</f>
        <v/>
      </c>
      <c r="Q3175" s="75" t="str">
        <f>IF(AND(B3175='111'!$L$11,OR($N3175=$Q$7,$O3175=$Q$7)),"x","")</f>
        <v/>
      </c>
      <c r="R3175" s="75" t="str">
        <f>IF(AND($N3175=$Q$7,$B3175&lt;'111'!$L$11),"x","")</f>
        <v/>
      </c>
      <c r="S3175" s="75" t="str">
        <f>IF(AND($O3175=$Q$7,$B3175&lt;'111'!$L$11),"x","")</f>
        <v/>
      </c>
      <c r="T3175" s="75" t="str">
        <f>IF(ISERROR(FIND('112'!$M$9,G3175,1)),"",IF((AND(FIND('112'!$M$9,G3175,1)&gt;=1,B3175='112'!$K$9,OR($N3175='112'!$I$6,$O3175='112'!$I$6))),"x",""))</f>
        <v/>
      </c>
      <c r="U3175" s="75" t="str">
        <f>IF(ISERROR(FIND('112'!$M$9,G3175,1)),"",IF((AND(LEFT(G3175,2)=LEFT('112'!$M$9,2),B3175&lt;'112'!$K$9,$N3175='112'!$I$6)),"x",""))</f>
        <v/>
      </c>
      <c r="V3175" s="75" t="str">
        <f>IF(ISERROR(FIND('112'!$M$9,G3175,1)),"",IF((AND(RIGHT(G3175,2)=RIGHT('112'!$M$9,2),B3175&lt;'112'!$K$9,$O3175='112'!$I$6)),"x",""))</f>
        <v/>
      </c>
      <c r="W3175" s="75" t="str">
        <f>IF(AND('341-CT'!$H$9=H3175,OR(LEFT(N3175,3)=$W$7,LEFT(O3175,3)=$W$7)),"x","")</f>
        <v/>
      </c>
      <c r="X3175" s="75" t="str">
        <f>IF(OR(TH!N3175=TH!$X$7,O3175=TH!$X$7),"x","")</f>
        <v/>
      </c>
      <c r="Y3175" s="75" t="str">
        <f>IF(AND(OR(N3175="131",O3175="131"),H3175='131-CT'!$H$9),"x","")</f>
        <v/>
      </c>
      <c r="Z3175" s="75"/>
      <c r="AA3175" s="75" t="str">
        <f>IF(AND(MONTH(E3175)='IN-NX'!$J$5,'IN-NX'!$D$7=D3175),"x","")</f>
        <v/>
      </c>
      <c r="AB3175" s="75" t="str">
        <f>IF(AND(OR(LEFT(TH!N3175,2)="15",LEFT(TH!O3175,2)="15"),LEFT(TH!O3175,3)&lt;&gt;"111",'152-CT'!$J$8=TH!F3175),"x","")</f>
        <v/>
      </c>
      <c r="AC3175" s="75" t="str">
        <f>IF(AND(OR(LEFT(TH!N3175,2)="15",LEFT(TH!O3175,2)="15"),TK!$E$7=TH!F3175),"x","")</f>
        <v/>
      </c>
      <c r="AD3175" s="75" t="str">
        <f>IF(AND(N3175="1521",MONTH(C3175)='BK-NL'!$M$11),"x","")</f>
        <v/>
      </c>
      <c r="AE3175" s="1316">
        <v>10</v>
      </c>
    </row>
    <row r="3176" spans="1:31" s="1316" customFormat="1" ht="16.5" customHeight="1">
      <c r="A3176" s="309" t="str">
        <f>IF(B3176&lt;&gt;"",IF(AND(B3176='IN-TC'!$S$4,OR(TH!N3176="1111",TH!O3176="1111")),TH!D3176,""),"")</f>
        <v/>
      </c>
      <c r="B3176" s="1263">
        <f t="shared" si="1164"/>
        <v>10</v>
      </c>
      <c r="C3176" s="929">
        <v>43031</v>
      </c>
      <c r="D3176" s="929" t="s">
        <v>902</v>
      </c>
      <c r="E3176" s="929">
        <f t="shared" si="1159"/>
        <v>43031</v>
      </c>
      <c r="F3176" s="930" t="s">
        <v>2482</v>
      </c>
      <c r="G3176" s="930" t="s">
        <v>747</v>
      </c>
      <c r="H3176" s="296" t="s">
        <v>835</v>
      </c>
      <c r="I3176" s="1213"/>
      <c r="J3176" s="378"/>
      <c r="K3176" s="1213">
        <v>0.3</v>
      </c>
      <c r="L3176" s="1214">
        <v>22710</v>
      </c>
      <c r="M3176" s="74">
        <f t="shared" si="1161"/>
        <v>6813</v>
      </c>
      <c r="N3176" s="934" t="s">
        <v>9</v>
      </c>
      <c r="O3176" s="934" t="s">
        <v>256</v>
      </c>
      <c r="P3176" s="75" t="str">
        <f>IF(AND('331-CT'!$E$7=TH!H3176,OR(N3176="331",O3176="331")),"x","")</f>
        <v/>
      </c>
      <c r="Q3176" s="75" t="str">
        <f>IF(AND(B3176='111'!$L$11,OR($N3176=$Q$7,$O3176=$Q$7)),"x","")</f>
        <v/>
      </c>
      <c r="R3176" s="75" t="str">
        <f>IF(AND($N3176=$Q$7,$B3176&lt;'111'!$L$11),"x","")</f>
        <v/>
      </c>
      <c r="S3176" s="75" t="str">
        <f>IF(AND($O3176=$Q$7,$B3176&lt;'111'!$L$11),"x","")</f>
        <v/>
      </c>
      <c r="T3176" s="75" t="str">
        <f>IF(ISERROR(FIND('112'!$M$9,G3176,1)),"",IF((AND(FIND('112'!$M$9,G3176,1)&gt;=1,B3176='112'!$K$9,OR($N3176='112'!$I$6,$O3176='112'!$I$6))),"x",""))</f>
        <v/>
      </c>
      <c r="U3176" s="75" t="str">
        <f>IF(ISERROR(FIND('112'!$M$9,G3176,1)),"",IF((AND(LEFT(G3176,2)=LEFT('112'!$M$9,2),B3176&lt;'112'!$K$9,$N3176='112'!$I$6)),"x",""))</f>
        <v/>
      </c>
      <c r="V3176" s="75" t="str">
        <f>IF(ISERROR(FIND('112'!$M$9,G3176,1)),"",IF((AND(RIGHT(G3176,2)=RIGHT('112'!$M$9,2),B3176&lt;'112'!$K$9,$O3176='112'!$I$6)),"x",""))</f>
        <v/>
      </c>
      <c r="W3176" s="75" t="str">
        <f>IF(AND('341-CT'!$H$9=H3176,OR(LEFT(N3176,3)=$W$7,LEFT(O3176,3)=$W$7)),"x","")</f>
        <v/>
      </c>
      <c r="X3176" s="75" t="str">
        <f>IF(OR(TH!N3176=TH!$X$7,O3176=TH!$X$7),"x","")</f>
        <v/>
      </c>
      <c r="Y3176" s="75" t="str">
        <f>IF(AND(OR(N3176="131",O3176="131"),H3176='131-CT'!$H$9),"x","")</f>
        <v/>
      </c>
      <c r="Z3176" s="75"/>
      <c r="AA3176" s="75" t="str">
        <f>IF(AND(MONTH(E3176)='IN-NX'!$J$5,'IN-NX'!$D$7=D3176),"x","")</f>
        <v/>
      </c>
      <c r="AB3176" s="75" t="str">
        <f>IF(AND(OR(LEFT(TH!N3176,2)="15",LEFT(TH!O3176,2)="15"),LEFT(TH!O3176,3)&lt;&gt;"111",'152-CT'!$J$8=TH!F3176),"x","")</f>
        <v/>
      </c>
      <c r="AC3176" s="75" t="str">
        <f>IF(AND(OR(LEFT(TH!N3176,2)="15",LEFT(TH!O3176,2)="15"),TK!$E$7=TH!F3176),"x","")</f>
        <v/>
      </c>
      <c r="AD3176" s="75" t="str">
        <f>IF(AND(N3176="1521",MONTH(C3176)='BK-NL'!$M$11),"x","")</f>
        <v/>
      </c>
      <c r="AE3176" s="1316">
        <v>10</v>
      </c>
    </row>
    <row r="3177" spans="1:31" s="1264" customFormat="1" ht="16.5" customHeight="1">
      <c r="A3177" s="309" t="str">
        <f>IF(B3177&lt;&gt;"",IF(AND(B3177='IN-TC'!$S$4,OR(TH!N3177="1111",TH!O3177="1111")),TH!D3177,""),"")</f>
        <v/>
      </c>
      <c r="B3177" s="1263">
        <f t="shared" si="1164"/>
        <v>10</v>
      </c>
      <c r="C3177" s="929">
        <v>43031</v>
      </c>
      <c r="D3177" s="929" t="s">
        <v>902</v>
      </c>
      <c r="E3177" s="929">
        <f t="shared" si="1159"/>
        <v>43031</v>
      </c>
      <c r="F3177" s="930" t="s">
        <v>1096</v>
      </c>
      <c r="G3177" s="930" t="s">
        <v>747</v>
      </c>
      <c r="H3177" s="296" t="s">
        <v>2323</v>
      </c>
      <c r="I3177" s="1213"/>
      <c r="J3177" s="378"/>
      <c r="K3177" s="1213">
        <v>254.4</v>
      </c>
      <c r="L3177" s="1214">
        <v>22710</v>
      </c>
      <c r="M3177" s="74">
        <f t="shared" si="1161"/>
        <v>5777424</v>
      </c>
      <c r="N3177" s="934" t="s">
        <v>99</v>
      </c>
      <c r="O3177" s="934" t="s">
        <v>256</v>
      </c>
      <c r="P3177" s="75" t="str">
        <f>IF(AND('331-CT'!$E$7=TH!H3177,OR(N3177="331",O3177="331")),"x","")</f>
        <v/>
      </c>
      <c r="Q3177" s="75" t="str">
        <f>IF(AND(B3177='111'!$L$11,OR($N3177=$Q$7,$O3177=$Q$7)),"x","")</f>
        <v/>
      </c>
      <c r="R3177" s="75" t="str">
        <f>IF(AND($N3177=$Q$7,$B3177&lt;'111'!$L$11),"x","")</f>
        <v/>
      </c>
      <c r="S3177" s="75" t="str">
        <f>IF(AND($O3177=$Q$7,$B3177&lt;'111'!$L$11),"x","")</f>
        <v/>
      </c>
      <c r="T3177" s="75" t="str">
        <f>IF(ISERROR(FIND('112'!$M$9,G3177,1)),"",IF((AND(FIND('112'!$M$9,G3177,1)&gt;=1,B3177='112'!$K$9,OR($N3177='112'!$I$6,$O3177='112'!$I$6))),"x",""))</f>
        <v/>
      </c>
      <c r="U3177" s="75" t="str">
        <f>IF(ISERROR(FIND('112'!$M$9,G3177,1)),"",IF((AND(LEFT(G3177,2)=LEFT('112'!$M$9,2),B3177&lt;'112'!$K$9,$N3177='112'!$I$6)),"x",""))</f>
        <v/>
      </c>
      <c r="V3177" s="75" t="str">
        <f>IF(ISERROR(FIND('112'!$M$9,G3177,1)),"",IF((AND(RIGHT(G3177,2)=RIGHT('112'!$M$9,2),B3177&lt;'112'!$K$9,$O3177='112'!$I$6)),"x",""))</f>
        <v/>
      </c>
      <c r="W3177" s="75" t="str">
        <f>IF(AND('341-CT'!$H$9=H3177,OR(LEFT(N3177,3)=$W$7,LEFT(O3177,3)=$W$7)),"x","")</f>
        <v/>
      </c>
      <c r="X3177" s="75" t="str">
        <f>IF(OR(TH!N3177=TH!$X$7,O3177=TH!$X$7),"x","")</f>
        <v/>
      </c>
      <c r="Y3177" s="75" t="str">
        <f>IF(AND(OR(N3177="131",O3177="131"),H3177='131-CT'!$H$9),"x","")</f>
        <v/>
      </c>
      <c r="Z3177" s="75"/>
      <c r="AA3177" s="75" t="str">
        <f>IF(AND(MONTH(E3177)='IN-NX'!$J$5,'IN-NX'!$D$7=D3177),"x","")</f>
        <v/>
      </c>
      <c r="AB3177" s="75" t="str">
        <f>IF(AND(OR(LEFT(TH!N3177,2)="15",LEFT(TH!O3177,2)="15"),LEFT(TH!O3177,3)&lt;&gt;"111",'152-CT'!$J$8=TH!F3177),"x","")</f>
        <v/>
      </c>
      <c r="AC3177" s="75" t="str">
        <f>IF(AND(OR(LEFT(TH!N3177,2)="15",LEFT(TH!O3177,2)="15"),TK!$E$7=TH!F3177),"x","")</f>
        <v/>
      </c>
      <c r="AD3177" s="75" t="str">
        <f>IF(AND(N3177="1521",MONTH(C3177)='BK-NL'!$M$11),"x","")</f>
        <v/>
      </c>
    </row>
    <row r="3178" spans="1:31" s="1264" customFormat="1" ht="16.5" customHeight="1">
      <c r="A3178" s="309" t="str">
        <f>IF(B3178&lt;&gt;"",IF(AND(B3178='IN-TC'!$S$4,OR(TH!N3178="1111",TH!O3178="1111")),TH!D3178,""),"")</f>
        <v/>
      </c>
      <c r="B3178" s="1263">
        <f t="shared" si="1164"/>
        <v>10</v>
      </c>
      <c r="C3178" s="929">
        <v>43033</v>
      </c>
      <c r="D3178" s="929" t="s">
        <v>902</v>
      </c>
      <c r="E3178" s="929">
        <f t="shared" si="1159"/>
        <v>43033</v>
      </c>
      <c r="F3178" s="930" t="s">
        <v>2550</v>
      </c>
      <c r="G3178" s="930" t="s">
        <v>747</v>
      </c>
      <c r="H3178" s="73" t="s">
        <v>2551</v>
      </c>
      <c r="I3178" s="1213"/>
      <c r="J3178" s="378"/>
      <c r="K3178" s="1213">
        <v>14695.94</v>
      </c>
      <c r="L3178" s="1214">
        <v>22710</v>
      </c>
      <c r="M3178" s="1214">
        <f t="shared" si="1161"/>
        <v>333744797</v>
      </c>
      <c r="N3178" s="934" t="s">
        <v>256</v>
      </c>
      <c r="O3178" s="934" t="s">
        <v>250</v>
      </c>
      <c r="P3178" s="75" t="str">
        <f>IF(AND('331-CT'!$E$7=TH!H3178,OR(N3178="331",O3178="331")),"x","")</f>
        <v/>
      </c>
      <c r="Q3178" s="75" t="str">
        <f>IF(AND(B3178='111'!$L$11,OR($N3178=$Q$7,$O3178=$Q$7)),"x","")</f>
        <v/>
      </c>
      <c r="R3178" s="75" t="str">
        <f>IF(AND($N3178=$Q$7,$B3178&lt;'111'!$L$11),"x","")</f>
        <v/>
      </c>
      <c r="S3178" s="75" t="str">
        <f>IF(AND($O3178=$Q$7,$B3178&lt;'111'!$L$11),"x","")</f>
        <v/>
      </c>
      <c r="T3178" s="75" t="str">
        <f>IF(ISERROR(FIND('112'!$M$9,G3178,1)),"",IF((AND(FIND('112'!$M$9,G3178,1)&gt;=1,B3178='112'!$K$9,OR($N3178='112'!$I$6,$O3178='112'!$I$6))),"x",""))</f>
        <v/>
      </c>
      <c r="U3178" s="75" t="str">
        <f>IF(ISERROR(FIND('112'!$M$9,G3178,1)),"",IF((AND(LEFT(G3178,2)=LEFT('112'!$M$9,2),B3178&lt;'112'!$K$9,$N3178='112'!$I$6)),"x",""))</f>
        <v/>
      </c>
      <c r="V3178" s="75" t="str">
        <f>IF(ISERROR(FIND('112'!$M$9,G3178,1)),"",IF((AND(RIGHT(G3178,2)=RIGHT('112'!$M$9,2),B3178&lt;'112'!$K$9,$O3178='112'!$I$6)),"x",""))</f>
        <v/>
      </c>
      <c r="W3178" s="75" t="str">
        <f>IF(AND('341-CT'!$H$9=H3178,OR(LEFT(N3178,3)=$W$7,LEFT(O3178,3)=$W$7)),"x","")</f>
        <v/>
      </c>
      <c r="X3178" s="75" t="str">
        <f>IF(OR(TH!N3178=TH!$X$7,O3178=TH!$X$7),"x","")</f>
        <v/>
      </c>
      <c r="Y3178" s="75" t="str">
        <f>IF(AND(OR(N3178="131",O3178="131"),H3178='131-CT'!$H$9),"x","")</f>
        <v/>
      </c>
      <c r="Z3178" s="75"/>
      <c r="AA3178" s="75" t="str">
        <f>IF(AND(MONTH(E3178)='IN-NX'!$J$5,'IN-NX'!$D$7=D3178),"x","")</f>
        <v/>
      </c>
      <c r="AB3178" s="75" t="str">
        <f>IF(AND(OR(LEFT(TH!N3178,2)="15",LEFT(TH!O3178,2)="15"),LEFT(TH!O3178,3)&lt;&gt;"111",'152-CT'!$J$8=TH!F3178),"x","")</f>
        <v/>
      </c>
      <c r="AC3178" s="75" t="str">
        <f>IF(AND(OR(LEFT(TH!N3178,2)="15",LEFT(TH!O3178,2)="15"),TK!$E$7=TH!F3178),"x","")</f>
        <v/>
      </c>
      <c r="AD3178" s="75" t="str">
        <f>IF(AND(N3178="1521",MONTH(C3178)='BK-NL'!$M$11),"x","")</f>
        <v/>
      </c>
    </row>
    <row r="3179" spans="1:31" s="1264" customFormat="1" ht="16.5" customHeight="1">
      <c r="A3179" s="309" t="str">
        <f>IF(B3179&lt;&gt;"",IF(AND(B3179='IN-TC'!$S$4,OR(TH!N3179="1111",TH!O3179="1111")),TH!D3179,""),"")</f>
        <v/>
      </c>
      <c r="B3179" s="1263">
        <f t="shared" si="1164"/>
        <v>10</v>
      </c>
      <c r="C3179" s="929">
        <v>43033</v>
      </c>
      <c r="D3179" s="929" t="s">
        <v>902</v>
      </c>
      <c r="E3179" s="929">
        <f t="shared" si="1159"/>
        <v>43033</v>
      </c>
      <c r="F3179" s="930" t="s">
        <v>1096</v>
      </c>
      <c r="G3179" s="930" t="s">
        <v>747</v>
      </c>
      <c r="H3179" s="296" t="s">
        <v>2483</v>
      </c>
      <c r="I3179" s="1213"/>
      <c r="J3179" s="378"/>
      <c r="K3179" s="1213">
        <v>0.03</v>
      </c>
      <c r="L3179" s="1214">
        <v>22710</v>
      </c>
      <c r="M3179" s="74">
        <f t="shared" si="1161"/>
        <v>681</v>
      </c>
      <c r="N3179" s="934" t="s">
        <v>99</v>
      </c>
      <c r="O3179" s="934" t="s">
        <v>256</v>
      </c>
      <c r="P3179" s="75" t="str">
        <f>IF(AND('331-CT'!$E$7=TH!H3179,OR(N3179="331",O3179="331")),"x","")</f>
        <v/>
      </c>
      <c r="Q3179" s="75" t="str">
        <f>IF(AND(B3179='111'!$L$11,OR($N3179=$Q$7,$O3179=$Q$7)),"x","")</f>
        <v/>
      </c>
      <c r="R3179" s="75" t="str">
        <f>IF(AND($N3179=$Q$7,$B3179&lt;'111'!$L$11),"x","")</f>
        <v/>
      </c>
      <c r="S3179" s="75" t="str">
        <f>IF(AND($O3179=$Q$7,$B3179&lt;'111'!$L$11),"x","")</f>
        <v/>
      </c>
      <c r="T3179" s="75" t="str">
        <f>IF(ISERROR(FIND('112'!$M$9,G3179,1)),"",IF((AND(FIND('112'!$M$9,G3179,1)&gt;=1,B3179='112'!$K$9,OR($N3179='112'!$I$6,$O3179='112'!$I$6))),"x",""))</f>
        <v/>
      </c>
      <c r="U3179" s="75" t="str">
        <f>IF(ISERROR(FIND('112'!$M$9,G3179,1)),"",IF((AND(LEFT(G3179,2)=LEFT('112'!$M$9,2),B3179&lt;'112'!$K$9,$N3179='112'!$I$6)),"x",""))</f>
        <v/>
      </c>
      <c r="V3179" s="75" t="str">
        <f>IF(ISERROR(FIND('112'!$M$9,G3179,1)),"",IF((AND(RIGHT(G3179,2)=RIGHT('112'!$M$9,2),B3179&lt;'112'!$K$9,$O3179='112'!$I$6)),"x",""))</f>
        <v/>
      </c>
      <c r="W3179" s="75" t="str">
        <f>IF(AND('341-CT'!$H$9=H3179,OR(LEFT(N3179,3)=$W$7,LEFT(O3179,3)=$W$7)),"x","")</f>
        <v/>
      </c>
      <c r="X3179" s="75" t="str">
        <f>IF(OR(TH!N3179=TH!$X$7,O3179=TH!$X$7),"x","")</f>
        <v/>
      </c>
      <c r="Y3179" s="75" t="str">
        <f>IF(AND(OR(N3179="131",O3179="131"),H3179='131-CT'!$H$9),"x","")</f>
        <v/>
      </c>
      <c r="Z3179" s="75"/>
      <c r="AA3179" s="75" t="str">
        <f>IF(AND(MONTH(E3179)='IN-NX'!$J$5,'IN-NX'!$D$7=D3179),"x","")</f>
        <v/>
      </c>
      <c r="AB3179" s="75" t="str">
        <f>IF(AND(OR(LEFT(TH!N3179,2)="15",LEFT(TH!O3179,2)="15"),LEFT(TH!O3179,3)&lt;&gt;"111",'152-CT'!$J$8=TH!F3179),"x","")</f>
        <v/>
      </c>
      <c r="AC3179" s="75" t="str">
        <f>IF(AND(OR(LEFT(TH!N3179,2)="15",LEFT(TH!O3179,2)="15"),TK!$E$7=TH!F3179),"x","")</f>
        <v/>
      </c>
      <c r="AD3179" s="75" t="str">
        <f>IF(AND(N3179="1521",MONTH(C3179)='BK-NL'!$M$11),"x","")</f>
        <v/>
      </c>
    </row>
    <row r="3180" spans="1:31" s="1264" customFormat="1" ht="16.5" customHeight="1">
      <c r="A3180" s="309" t="str">
        <f>IF(B3180&lt;&gt;"",IF(AND(B3180='IN-TC'!$S$4,OR(TH!N3180="1111",TH!O3180="1111")),TH!D3180,""),"")</f>
        <v/>
      </c>
      <c r="B3180" s="1263">
        <f t="shared" si="1164"/>
        <v>10</v>
      </c>
      <c r="C3180" s="929">
        <v>43033</v>
      </c>
      <c r="D3180" s="929" t="s">
        <v>902</v>
      </c>
      <c r="E3180" s="929">
        <f t="shared" si="1159"/>
        <v>43033</v>
      </c>
      <c r="F3180" s="930" t="s">
        <v>1096</v>
      </c>
      <c r="G3180" s="930" t="s">
        <v>747</v>
      </c>
      <c r="H3180" s="296" t="s">
        <v>2483</v>
      </c>
      <c r="I3180" s="1213"/>
      <c r="J3180" s="378"/>
      <c r="K3180" s="1213">
        <v>98.76</v>
      </c>
      <c r="L3180" s="1214">
        <v>22710</v>
      </c>
      <c r="M3180" s="74">
        <f t="shared" si="1161"/>
        <v>2242840</v>
      </c>
      <c r="N3180" s="934" t="s">
        <v>99</v>
      </c>
      <c r="O3180" s="934" t="s">
        <v>256</v>
      </c>
      <c r="P3180" s="75" t="str">
        <f>IF(AND('331-CT'!$E$7=TH!H3180,OR(N3180="331",O3180="331")),"x","")</f>
        <v/>
      </c>
      <c r="Q3180" s="75" t="str">
        <f>IF(AND(B3180='111'!$L$11,OR($N3180=$Q$7,$O3180=$Q$7)),"x","")</f>
        <v/>
      </c>
      <c r="R3180" s="75" t="str">
        <f>IF(AND($N3180=$Q$7,$B3180&lt;'111'!$L$11),"x","")</f>
        <v/>
      </c>
      <c r="S3180" s="75" t="str">
        <f>IF(AND($O3180=$Q$7,$B3180&lt;'111'!$L$11),"x","")</f>
        <v/>
      </c>
      <c r="T3180" s="75" t="str">
        <f>IF(ISERROR(FIND('112'!$M$9,G3180,1)),"",IF((AND(FIND('112'!$M$9,G3180,1)&gt;=1,B3180='112'!$K$9,OR($N3180='112'!$I$6,$O3180='112'!$I$6))),"x",""))</f>
        <v/>
      </c>
      <c r="U3180" s="75" t="str">
        <f>IF(ISERROR(FIND('112'!$M$9,G3180,1)),"",IF((AND(LEFT(G3180,2)=LEFT('112'!$M$9,2),B3180&lt;'112'!$K$9,$N3180='112'!$I$6)),"x",""))</f>
        <v/>
      </c>
      <c r="V3180" s="75" t="str">
        <f>IF(ISERROR(FIND('112'!$M$9,G3180,1)),"",IF((AND(RIGHT(G3180,2)=RIGHT('112'!$M$9,2),B3180&lt;'112'!$K$9,$O3180='112'!$I$6)),"x",""))</f>
        <v/>
      </c>
      <c r="W3180" s="75" t="str">
        <f>IF(AND('341-CT'!$H$9=H3180,OR(LEFT(N3180,3)=$W$7,LEFT(O3180,3)=$W$7)),"x","")</f>
        <v/>
      </c>
      <c r="X3180" s="75" t="str">
        <f>IF(OR(TH!N3180=TH!$X$7,O3180=TH!$X$7),"x","")</f>
        <v/>
      </c>
      <c r="Y3180" s="75" t="str">
        <f>IF(AND(OR(N3180="131",O3180="131"),H3180='131-CT'!$H$9),"x","")</f>
        <v/>
      </c>
      <c r="Z3180" s="75"/>
      <c r="AA3180" s="75" t="str">
        <f>IF(AND(MONTH(E3180)='IN-NX'!$J$5,'IN-NX'!$D$7=D3180),"x","")</f>
        <v/>
      </c>
      <c r="AB3180" s="75" t="str">
        <f>IF(AND(OR(LEFT(TH!N3180,2)="15",LEFT(TH!O3180,2)="15"),LEFT(TH!O3180,3)&lt;&gt;"111",'152-CT'!$J$8=TH!F3180),"x","")</f>
        <v/>
      </c>
      <c r="AC3180" s="75" t="str">
        <f>IF(AND(OR(LEFT(TH!N3180,2)="15",LEFT(TH!O3180,2)="15"),TK!$E$7=TH!F3180),"x","")</f>
        <v/>
      </c>
      <c r="AD3180" s="75" t="str">
        <f>IF(AND(N3180="1521",MONTH(C3180)='BK-NL'!$M$11),"x","")</f>
        <v/>
      </c>
    </row>
    <row r="3181" spans="1:31" s="1264" customFormat="1" ht="16.5" customHeight="1">
      <c r="A3181" s="309" t="str">
        <f>IF(B3181&lt;&gt;"",IF(AND(B3181='IN-TC'!$S$4,OR(TH!N3181="1111",TH!O3181="1111")),TH!D3181,""),"")</f>
        <v/>
      </c>
      <c r="B3181" s="1263">
        <f t="shared" si="1164"/>
        <v>10</v>
      </c>
      <c r="C3181" s="929">
        <v>43033</v>
      </c>
      <c r="D3181" s="929" t="s">
        <v>902</v>
      </c>
      <c r="E3181" s="929">
        <f t="shared" si="1159"/>
        <v>43033</v>
      </c>
      <c r="F3181" s="930" t="s">
        <v>1096</v>
      </c>
      <c r="G3181" s="930" t="s">
        <v>747</v>
      </c>
      <c r="H3181" s="296" t="s">
        <v>2483</v>
      </c>
      <c r="I3181" s="1213"/>
      <c r="J3181" s="378"/>
      <c r="K3181" s="1213">
        <v>2.4900000000000002</v>
      </c>
      <c r="L3181" s="1214">
        <v>22710</v>
      </c>
      <c r="M3181" s="74">
        <f t="shared" si="1161"/>
        <v>56548</v>
      </c>
      <c r="N3181" s="934" t="s">
        <v>99</v>
      </c>
      <c r="O3181" s="934" t="s">
        <v>256</v>
      </c>
      <c r="P3181" s="75" t="str">
        <f>IF(AND('331-CT'!$E$7=TH!H3181,OR(N3181="331",O3181="331")),"x","")</f>
        <v/>
      </c>
      <c r="Q3181" s="75" t="str">
        <f>IF(AND(B3181='111'!$L$11,OR($N3181=$Q$7,$O3181=$Q$7)),"x","")</f>
        <v/>
      </c>
      <c r="R3181" s="75" t="str">
        <f>IF(AND($N3181=$Q$7,$B3181&lt;'111'!$L$11),"x","")</f>
        <v/>
      </c>
      <c r="S3181" s="75" t="str">
        <f>IF(AND($O3181=$Q$7,$B3181&lt;'111'!$L$11),"x","")</f>
        <v/>
      </c>
      <c r="T3181" s="75" t="str">
        <f>IF(ISERROR(FIND('112'!$M$9,G3181,1)),"",IF((AND(FIND('112'!$M$9,G3181,1)&gt;=1,B3181='112'!$K$9,OR($N3181='112'!$I$6,$O3181='112'!$I$6))),"x",""))</f>
        <v/>
      </c>
      <c r="U3181" s="75" t="str">
        <f>IF(ISERROR(FIND('112'!$M$9,G3181,1)),"",IF((AND(LEFT(G3181,2)=LEFT('112'!$M$9,2),B3181&lt;'112'!$K$9,$N3181='112'!$I$6)),"x",""))</f>
        <v/>
      </c>
      <c r="V3181" s="75" t="str">
        <f>IF(ISERROR(FIND('112'!$M$9,G3181,1)),"",IF((AND(RIGHT(G3181,2)=RIGHT('112'!$M$9,2),B3181&lt;'112'!$K$9,$O3181='112'!$I$6)),"x",""))</f>
        <v/>
      </c>
      <c r="W3181" s="75" t="str">
        <f>IF(AND('341-CT'!$H$9=H3181,OR(LEFT(N3181,3)=$W$7,LEFT(O3181,3)=$W$7)),"x","")</f>
        <v/>
      </c>
      <c r="X3181" s="75" t="str">
        <f>IF(OR(TH!N3181=TH!$X$7,O3181=TH!$X$7),"x","")</f>
        <v/>
      </c>
      <c r="Y3181" s="75" t="str">
        <f>IF(AND(OR(N3181="131",O3181="131"),H3181='131-CT'!$H$9),"x","")</f>
        <v/>
      </c>
      <c r="Z3181" s="75"/>
      <c r="AA3181" s="75" t="str">
        <f>IF(AND(MONTH(E3181)='IN-NX'!$J$5,'IN-NX'!$D$7=D3181),"x","")</f>
        <v/>
      </c>
      <c r="AB3181" s="75" t="str">
        <f>IF(AND(OR(LEFT(TH!N3181,2)="15",LEFT(TH!O3181,2)="15"),LEFT(TH!O3181,3)&lt;&gt;"111",'152-CT'!$J$8=TH!F3181),"x","")</f>
        <v/>
      </c>
      <c r="AC3181" s="75" t="str">
        <f>IF(AND(OR(LEFT(TH!N3181,2)="15",LEFT(TH!O3181,2)="15"),TK!$E$7=TH!F3181),"x","")</f>
        <v/>
      </c>
      <c r="AD3181" s="75" t="str">
        <f>IF(AND(N3181="1521",MONTH(C3181)='BK-NL'!$M$11),"x","")</f>
        <v/>
      </c>
    </row>
    <row r="3182" spans="1:31" s="1264" customFormat="1" ht="16.5" customHeight="1">
      <c r="A3182" s="309" t="str">
        <f>IF(B3182&lt;&gt;"",IF(AND(B3182='IN-TC'!$S$4,OR(TH!N3182="1111",TH!O3182="1111")),TH!D3182,""),"")</f>
        <v/>
      </c>
      <c r="B3182" s="1263">
        <f t="shared" si="1164"/>
        <v>10</v>
      </c>
      <c r="C3182" s="929">
        <v>43033</v>
      </c>
      <c r="D3182" s="929" t="s">
        <v>902</v>
      </c>
      <c r="E3182" s="929">
        <f t="shared" si="1159"/>
        <v>43033</v>
      </c>
      <c r="F3182" s="72" t="s">
        <v>1321</v>
      </c>
      <c r="G3182" s="930" t="s">
        <v>747</v>
      </c>
      <c r="H3182" s="296" t="s">
        <v>2473</v>
      </c>
      <c r="I3182" s="1213"/>
      <c r="J3182" s="378"/>
      <c r="K3182" s="1213">
        <v>11223</v>
      </c>
      <c r="L3182" s="1214">
        <v>22710</v>
      </c>
      <c r="M3182" s="74">
        <f t="shared" ref="M3182" si="1165">ROUND(K3182*L3182,0)</f>
        <v>254874330</v>
      </c>
      <c r="N3182" s="934" t="s">
        <v>250</v>
      </c>
      <c r="O3182" s="934" t="s">
        <v>256</v>
      </c>
      <c r="P3182" s="75" t="str">
        <f>IF(AND('331-CT'!$E$7=TH!H3182,OR(N3182="331",O3182="331")),"x","")</f>
        <v/>
      </c>
      <c r="Q3182" s="75" t="str">
        <f>IF(AND(B3182='111'!$L$11,OR($N3182=$Q$7,$O3182=$Q$7)),"x","")</f>
        <v/>
      </c>
      <c r="R3182" s="75" t="str">
        <f>IF(AND($N3182=$Q$7,$B3182&lt;'111'!$L$11),"x","")</f>
        <v/>
      </c>
      <c r="S3182" s="75" t="str">
        <f>IF(AND($O3182=$Q$7,$B3182&lt;'111'!$L$11),"x","")</f>
        <v/>
      </c>
      <c r="T3182" s="75" t="str">
        <f>IF(ISERROR(FIND('112'!$M$9,G3182,1)),"",IF((AND(FIND('112'!$M$9,G3182,1)&gt;=1,B3182='112'!$K$9,OR($N3182='112'!$I$6,$O3182='112'!$I$6))),"x",""))</f>
        <v/>
      </c>
      <c r="U3182" s="75" t="str">
        <f>IF(ISERROR(FIND('112'!$M$9,G3182,1)),"",IF((AND(LEFT(G3182,2)=LEFT('112'!$M$9,2),B3182&lt;'112'!$K$9,$N3182='112'!$I$6)),"x",""))</f>
        <v/>
      </c>
      <c r="V3182" s="75" t="str">
        <f>IF(ISERROR(FIND('112'!$M$9,G3182,1)),"",IF((AND(RIGHT(G3182,2)=RIGHT('112'!$M$9,2),B3182&lt;'112'!$K$9,$O3182='112'!$I$6)),"x",""))</f>
        <v/>
      </c>
      <c r="W3182" s="75" t="str">
        <f>IF(AND('341-CT'!$H$9=H3182,OR(LEFT(N3182,3)=$W$7,LEFT(O3182,3)=$W$7)),"x","")</f>
        <v/>
      </c>
      <c r="X3182" s="75" t="str">
        <f>IF(OR(TH!N3182=TH!$X$7,O3182=TH!$X$7),"x","")</f>
        <v/>
      </c>
      <c r="Y3182" s="75" t="str">
        <f>IF(AND(OR(N3182="131",O3182="131"),H3182='131-CT'!$H$9),"x","")</f>
        <v/>
      </c>
      <c r="Z3182" s="75"/>
      <c r="AA3182" s="75" t="str">
        <f>IF(AND(MONTH(E3182)='IN-NX'!$J$5,'IN-NX'!$D$7=D3182),"x","")</f>
        <v/>
      </c>
      <c r="AB3182" s="75" t="str">
        <f>IF(AND(OR(LEFT(TH!N3182,2)="15",LEFT(TH!O3182,2)="15"),LEFT(TH!O3182,3)&lt;&gt;"111",'152-CT'!$J$8=TH!F3182),"x","")</f>
        <v/>
      </c>
      <c r="AC3182" s="75" t="str">
        <f>IF(AND(OR(LEFT(TH!N3182,2)="15",LEFT(TH!O3182,2)="15"),TK!$E$7=TH!F3182),"x","")</f>
        <v/>
      </c>
      <c r="AD3182" s="75" t="str">
        <f>IF(AND(N3182="1521",MONTH(C3182)='BK-NL'!$M$11),"x","")</f>
        <v/>
      </c>
    </row>
    <row r="3183" spans="1:31" s="1264" customFormat="1" ht="16.5" customHeight="1">
      <c r="A3183" s="309" t="str">
        <f>IF(B3183&lt;&gt;"",IF(AND(B3183='IN-TC'!$S$4,OR(TH!N3183="1111",TH!O3183="1111")),TH!D3183,""),"")</f>
        <v/>
      </c>
      <c r="B3183" s="1263">
        <f t="shared" si="1164"/>
        <v>10</v>
      </c>
      <c r="C3183" s="929">
        <v>43033</v>
      </c>
      <c r="D3183" s="929" t="s">
        <v>902</v>
      </c>
      <c r="E3183" s="929">
        <f t="shared" si="1159"/>
        <v>43033</v>
      </c>
      <c r="F3183" s="930" t="s">
        <v>1010</v>
      </c>
      <c r="G3183" s="930" t="s">
        <v>747</v>
      </c>
      <c r="H3183" s="296" t="s">
        <v>2473</v>
      </c>
      <c r="I3183" s="1213"/>
      <c r="J3183" s="378"/>
      <c r="K3183" s="1213"/>
      <c r="L3183" s="1214"/>
      <c r="M3183" s="74">
        <v>821230</v>
      </c>
      <c r="N3183" s="934" t="s">
        <v>250</v>
      </c>
      <c r="O3183" s="934" t="s">
        <v>43</v>
      </c>
      <c r="P3183" s="75" t="str">
        <f>IF(AND('331-CT'!$E$7=TH!H3183,OR(N3183="331",O3183="331")),"x","")</f>
        <v/>
      </c>
      <c r="Q3183" s="75" t="str">
        <f>IF(AND(B3183='111'!$L$11,OR($N3183=$Q$7,$O3183=$Q$7)),"x","")</f>
        <v/>
      </c>
      <c r="R3183" s="75" t="str">
        <f>IF(AND($N3183=$Q$7,$B3183&lt;'111'!$L$11),"x","")</f>
        <v/>
      </c>
      <c r="S3183" s="75" t="str">
        <f>IF(AND($O3183=$Q$7,$B3183&lt;'111'!$L$11),"x","")</f>
        <v/>
      </c>
      <c r="T3183" s="75" t="str">
        <f>IF(ISERROR(FIND('112'!$M$9,G3183,1)),"",IF((AND(FIND('112'!$M$9,G3183,1)&gt;=1,B3183='112'!$K$9,OR($N3183='112'!$I$6,$O3183='112'!$I$6))),"x",""))</f>
        <v/>
      </c>
      <c r="U3183" s="75" t="str">
        <f>IF(ISERROR(FIND('112'!$M$9,G3183,1)),"",IF((AND(LEFT(G3183,2)=LEFT('112'!$M$9,2),B3183&lt;'112'!$K$9,$N3183='112'!$I$6)),"x",""))</f>
        <v/>
      </c>
      <c r="V3183" s="75" t="str">
        <f>IF(ISERROR(FIND('112'!$M$9,G3183,1)),"",IF((AND(RIGHT(G3183,2)=RIGHT('112'!$M$9,2),B3183&lt;'112'!$K$9,$O3183='112'!$I$6)),"x",""))</f>
        <v/>
      </c>
      <c r="W3183" s="75" t="str">
        <f>IF(AND('341-CT'!$H$9=H3183,OR(LEFT(N3183,3)=$W$7,LEFT(O3183,3)=$W$7)),"x","")</f>
        <v/>
      </c>
      <c r="X3183" s="75" t="str">
        <f>IF(OR(TH!N3183=TH!$X$7,O3183=TH!$X$7),"x","")</f>
        <v/>
      </c>
      <c r="Y3183" s="75" t="str">
        <f>IF(AND(OR(N3183="131",O3183="131"),H3183='131-CT'!$H$9),"x","")</f>
        <v/>
      </c>
      <c r="Z3183" s="75"/>
      <c r="AA3183" s="75" t="str">
        <f>IF(AND(MONTH(E3183)='IN-NX'!$J$5,'IN-NX'!$D$7=D3183),"x","")</f>
        <v/>
      </c>
      <c r="AB3183" s="75" t="str">
        <f>IF(AND(OR(LEFT(TH!N3183,2)="15",LEFT(TH!O3183,2)="15"),LEFT(TH!O3183,3)&lt;&gt;"111",'152-CT'!$J$8=TH!F3183),"x","")</f>
        <v/>
      </c>
      <c r="AC3183" s="75" t="str">
        <f>IF(AND(OR(LEFT(TH!N3183,2)="15",LEFT(TH!O3183,2)="15"),TK!$E$7=TH!F3183),"x","")</f>
        <v/>
      </c>
      <c r="AD3183" s="75" t="str">
        <f>IF(AND(N3183="1521",MONTH(C3183)='BK-NL'!$M$11),"x","")</f>
        <v/>
      </c>
    </row>
    <row r="3184" spans="1:31" s="1264" customFormat="1" ht="16.5" customHeight="1">
      <c r="A3184" s="309" t="str">
        <f>IF(B3184&lt;&gt;"",IF(AND(B3184='IN-TC'!$S$4,OR(TH!N3184="1111",TH!O3184="1111")),TH!D3184,""),"")</f>
        <v/>
      </c>
      <c r="B3184" s="1263">
        <f t="shared" si="1164"/>
        <v>10</v>
      </c>
      <c r="C3184" s="929">
        <v>43033</v>
      </c>
      <c r="D3184" s="929" t="s">
        <v>902</v>
      </c>
      <c r="E3184" s="929">
        <f t="shared" si="1159"/>
        <v>43033</v>
      </c>
      <c r="F3184" s="930" t="s">
        <v>1096</v>
      </c>
      <c r="G3184" s="930" t="s">
        <v>747</v>
      </c>
      <c r="H3184" s="296" t="s">
        <v>2251</v>
      </c>
      <c r="I3184" s="371"/>
      <c r="J3184" s="378"/>
      <c r="K3184" s="371">
        <v>282.64</v>
      </c>
      <c r="L3184" s="1214">
        <v>22700</v>
      </c>
      <c r="M3184" s="74">
        <f t="shared" ref="M3184:M3197" si="1166">ROUND(K3184*L3184,0)</f>
        <v>6415928</v>
      </c>
      <c r="N3184" s="934" t="s">
        <v>99</v>
      </c>
      <c r="O3184" s="934" t="s">
        <v>256</v>
      </c>
      <c r="P3184" s="75" t="str">
        <f>IF(AND('331-CT'!$E$7=TH!H3184,OR(N3184="331",O3184="331")),"x","")</f>
        <v/>
      </c>
      <c r="Q3184" s="75" t="str">
        <f>IF(AND(B3184='111'!$L$11,OR($N3184=$Q$7,$O3184=$Q$7)),"x","")</f>
        <v/>
      </c>
      <c r="R3184" s="75" t="str">
        <f>IF(AND($N3184=$Q$7,$B3184&lt;'111'!$L$11),"x","")</f>
        <v/>
      </c>
      <c r="S3184" s="75" t="str">
        <f>IF(AND($O3184=$Q$7,$B3184&lt;'111'!$L$11),"x","")</f>
        <v/>
      </c>
      <c r="T3184" s="75" t="str">
        <f>IF(ISERROR(FIND('112'!$M$9,G3184,1)),"",IF((AND(FIND('112'!$M$9,G3184,1)&gt;=1,B3184='112'!$K$9,OR($N3184='112'!$I$6,$O3184='112'!$I$6))),"x",""))</f>
        <v/>
      </c>
      <c r="U3184" s="75" t="str">
        <f>IF(ISERROR(FIND('112'!$M$9,G3184,1)),"",IF((AND(LEFT(G3184,2)=LEFT('112'!$M$9,2),B3184&lt;'112'!$K$9,$N3184='112'!$I$6)),"x",""))</f>
        <v/>
      </c>
      <c r="V3184" s="75" t="str">
        <f>IF(ISERROR(FIND('112'!$M$9,G3184,1)),"",IF((AND(RIGHT(G3184,2)=RIGHT('112'!$M$9,2),B3184&lt;'112'!$K$9,$O3184='112'!$I$6)),"x",""))</f>
        <v/>
      </c>
      <c r="W3184" s="75" t="str">
        <f>IF(AND('341-CT'!$H$9=H3184,OR(LEFT(N3184,3)=$W$7,LEFT(O3184,3)=$W$7)),"x","")</f>
        <v/>
      </c>
      <c r="X3184" s="75" t="str">
        <f>IF(OR(TH!N3184=TH!$X$7,O3184=TH!$X$7),"x","")</f>
        <v/>
      </c>
      <c r="Y3184" s="75" t="str">
        <f>IF(AND(OR(N3184="131",O3184="131"),H3184='131-CT'!$H$9),"x","")</f>
        <v/>
      </c>
      <c r="Z3184" s="75"/>
      <c r="AA3184" s="75" t="str">
        <f>IF(AND(MONTH(E3184)='IN-NX'!$J$5,'IN-NX'!$D$7=D3184),"x","")</f>
        <v/>
      </c>
      <c r="AB3184" s="75" t="str">
        <f>IF(AND(OR(LEFT(TH!N3184,2)="15",LEFT(TH!O3184,2)="15"),LEFT(TH!O3184,3)&lt;&gt;"111",'152-CT'!$J$8=TH!F3184),"x","")</f>
        <v/>
      </c>
      <c r="AC3184" s="75" t="str">
        <f>IF(AND(OR(LEFT(TH!N3184,2)="15",LEFT(TH!O3184,2)="15"),TK!$E$7=TH!F3184),"x","")</f>
        <v/>
      </c>
      <c r="AD3184" s="75" t="str">
        <f>IF(AND(N3184="1521",MONTH(C3184)='BK-NL'!$M$11),"x","")</f>
        <v/>
      </c>
    </row>
    <row r="3185" spans="1:30" s="1264" customFormat="1" ht="16.5" customHeight="1">
      <c r="A3185" s="309" t="str">
        <f>IF(B3185&lt;&gt;"",IF(AND(B3185='IN-TC'!$S$4,OR(TH!N3185="1111",TH!O3185="1111")),TH!D3185,""),"")</f>
        <v/>
      </c>
      <c r="B3185" s="1263">
        <f t="shared" si="1164"/>
        <v>10</v>
      </c>
      <c r="C3185" s="929">
        <v>43033</v>
      </c>
      <c r="D3185" s="929" t="s">
        <v>902</v>
      </c>
      <c r="E3185" s="929">
        <f t="shared" si="1159"/>
        <v>43033</v>
      </c>
      <c r="F3185" s="930" t="s">
        <v>1096</v>
      </c>
      <c r="G3185" s="930" t="s">
        <v>747</v>
      </c>
      <c r="H3185" s="296" t="s">
        <v>1561</v>
      </c>
      <c r="I3185" s="371"/>
      <c r="J3185" s="378"/>
      <c r="K3185" s="371">
        <v>137.83000000000001</v>
      </c>
      <c r="L3185" s="1214">
        <v>22700</v>
      </c>
      <c r="M3185" s="74">
        <f t="shared" si="1166"/>
        <v>3128741</v>
      </c>
      <c r="N3185" s="934" t="s">
        <v>99</v>
      </c>
      <c r="O3185" s="934" t="s">
        <v>256</v>
      </c>
      <c r="P3185" s="75" t="str">
        <f>IF(AND('331-CT'!$E$7=TH!H3185,OR(N3185="331",O3185="331")),"x","")</f>
        <v/>
      </c>
      <c r="Q3185" s="75" t="str">
        <f>IF(AND(B3185='111'!$L$11,OR($N3185=$Q$7,$O3185=$Q$7)),"x","")</f>
        <v/>
      </c>
      <c r="R3185" s="75" t="str">
        <f>IF(AND($N3185=$Q$7,$B3185&lt;'111'!$L$11),"x","")</f>
        <v/>
      </c>
      <c r="S3185" s="75" t="str">
        <f>IF(AND($O3185=$Q$7,$B3185&lt;'111'!$L$11),"x","")</f>
        <v/>
      </c>
      <c r="T3185" s="75" t="str">
        <f>IF(ISERROR(FIND('112'!$M$9,G3185,1)),"",IF((AND(FIND('112'!$M$9,G3185,1)&gt;=1,B3185='112'!$K$9,OR($N3185='112'!$I$6,$O3185='112'!$I$6))),"x",""))</f>
        <v/>
      </c>
      <c r="U3185" s="75" t="str">
        <f>IF(ISERROR(FIND('112'!$M$9,G3185,1)),"",IF((AND(LEFT(G3185,2)=LEFT('112'!$M$9,2),B3185&lt;'112'!$K$9,$N3185='112'!$I$6)),"x",""))</f>
        <v/>
      </c>
      <c r="V3185" s="75" t="str">
        <f>IF(ISERROR(FIND('112'!$M$9,G3185,1)),"",IF((AND(RIGHT(G3185,2)=RIGHT('112'!$M$9,2),B3185&lt;'112'!$K$9,$O3185='112'!$I$6)),"x",""))</f>
        <v/>
      </c>
      <c r="W3185" s="75" t="str">
        <f>IF(AND('341-CT'!$H$9=H3185,OR(LEFT(N3185,3)=$W$7,LEFT(O3185,3)=$W$7)),"x","")</f>
        <v/>
      </c>
      <c r="X3185" s="75" t="str">
        <f>IF(OR(TH!N3185=TH!$X$7,O3185=TH!$X$7),"x","")</f>
        <v/>
      </c>
      <c r="Y3185" s="75" t="str">
        <f>IF(AND(OR(N3185="131",O3185="131"),H3185='131-CT'!$H$9),"x","")</f>
        <v/>
      </c>
      <c r="Z3185" s="75"/>
      <c r="AA3185" s="75" t="str">
        <f>IF(AND(MONTH(E3185)='IN-NX'!$J$5,'IN-NX'!$D$7=D3185),"x","")</f>
        <v/>
      </c>
      <c r="AB3185" s="75" t="str">
        <f>IF(AND(OR(LEFT(TH!N3185,2)="15",LEFT(TH!O3185,2)="15"),LEFT(TH!O3185,3)&lt;&gt;"111",'152-CT'!$J$8=TH!F3185),"x","")</f>
        <v/>
      </c>
      <c r="AC3185" s="75" t="str">
        <f>IF(AND(OR(LEFT(TH!N3185,2)="15",LEFT(TH!O3185,2)="15"),TK!$E$7=TH!F3185),"x","")</f>
        <v/>
      </c>
      <c r="AD3185" s="75" t="str">
        <f>IF(AND(N3185="1521",MONTH(C3185)='BK-NL'!$M$11),"x","")</f>
        <v/>
      </c>
    </row>
    <row r="3186" spans="1:30" s="1264" customFormat="1" ht="16.5" customHeight="1">
      <c r="A3186" s="309" t="str">
        <f>IF(B3186&lt;&gt;"",IF(AND(B3186='IN-TC'!$S$4,OR(TH!N3186="1111",TH!O3186="1111")),TH!D3186,""),"")</f>
        <v/>
      </c>
      <c r="B3186" s="1263">
        <f t="shared" si="1164"/>
        <v>10</v>
      </c>
      <c r="C3186" s="929">
        <v>43033</v>
      </c>
      <c r="D3186" s="929" t="s">
        <v>902</v>
      </c>
      <c r="E3186" s="929">
        <f t="shared" si="1159"/>
        <v>43033</v>
      </c>
      <c r="F3186" s="930" t="s">
        <v>1096</v>
      </c>
      <c r="G3186" s="930" t="s">
        <v>747</v>
      </c>
      <c r="H3186" s="296" t="s">
        <v>2035</v>
      </c>
      <c r="I3186" s="371"/>
      <c r="J3186" s="378"/>
      <c r="K3186" s="371">
        <v>283.58999999999997</v>
      </c>
      <c r="L3186" s="1214">
        <v>22700</v>
      </c>
      <c r="M3186" s="74">
        <f t="shared" si="1166"/>
        <v>6437493</v>
      </c>
      <c r="N3186" s="934" t="s">
        <v>99</v>
      </c>
      <c r="O3186" s="934" t="s">
        <v>256</v>
      </c>
      <c r="P3186" s="75" t="str">
        <f>IF(AND('331-CT'!$E$7=TH!H3186,OR(N3186="331",O3186="331")),"x","")</f>
        <v/>
      </c>
      <c r="Q3186" s="75" t="str">
        <f>IF(AND(B3186='111'!$L$11,OR($N3186=$Q$7,$O3186=$Q$7)),"x","")</f>
        <v/>
      </c>
      <c r="R3186" s="75" t="str">
        <f>IF(AND($N3186=$Q$7,$B3186&lt;'111'!$L$11),"x","")</f>
        <v/>
      </c>
      <c r="S3186" s="75" t="str">
        <f>IF(AND($O3186=$Q$7,$B3186&lt;'111'!$L$11),"x","")</f>
        <v/>
      </c>
      <c r="T3186" s="75" t="str">
        <f>IF(ISERROR(FIND('112'!$M$9,G3186,1)),"",IF((AND(FIND('112'!$M$9,G3186,1)&gt;=1,B3186='112'!$K$9,OR($N3186='112'!$I$6,$O3186='112'!$I$6))),"x",""))</f>
        <v/>
      </c>
      <c r="U3186" s="75" t="str">
        <f>IF(ISERROR(FIND('112'!$M$9,G3186,1)),"",IF((AND(LEFT(G3186,2)=LEFT('112'!$M$9,2),B3186&lt;'112'!$K$9,$N3186='112'!$I$6)),"x",""))</f>
        <v/>
      </c>
      <c r="V3186" s="75" t="str">
        <f>IF(ISERROR(FIND('112'!$M$9,G3186,1)),"",IF((AND(RIGHT(G3186,2)=RIGHT('112'!$M$9,2),B3186&lt;'112'!$K$9,$O3186='112'!$I$6)),"x",""))</f>
        <v/>
      </c>
      <c r="W3186" s="75" t="str">
        <f>IF(AND('341-CT'!$H$9=H3186,OR(LEFT(N3186,3)=$W$7,LEFT(O3186,3)=$W$7)),"x","")</f>
        <v/>
      </c>
      <c r="X3186" s="75" t="str">
        <f>IF(OR(TH!N3186=TH!$X$7,O3186=TH!$X$7),"x","")</f>
        <v/>
      </c>
      <c r="Y3186" s="75" t="str">
        <f>IF(AND(OR(N3186="131",O3186="131"),H3186='131-CT'!$H$9),"x","")</f>
        <v/>
      </c>
      <c r="Z3186" s="75"/>
      <c r="AA3186" s="75" t="str">
        <f>IF(AND(MONTH(E3186)='IN-NX'!$J$5,'IN-NX'!$D$7=D3186),"x","")</f>
        <v/>
      </c>
      <c r="AB3186" s="75" t="str">
        <f>IF(AND(OR(LEFT(TH!N3186,2)="15",LEFT(TH!O3186,2)="15"),LEFT(TH!O3186,3)&lt;&gt;"111",'152-CT'!$J$8=TH!F3186),"x","")</f>
        <v/>
      </c>
      <c r="AC3186" s="75" t="str">
        <f>IF(AND(OR(LEFT(TH!N3186,2)="15",LEFT(TH!O3186,2)="15"),TK!$E$7=TH!F3186),"x","")</f>
        <v/>
      </c>
      <c r="AD3186" s="75" t="str">
        <f>IF(AND(N3186="1521",MONTH(C3186)='BK-NL'!$M$11),"x","")</f>
        <v/>
      </c>
    </row>
    <row r="3187" spans="1:30" s="1264" customFormat="1" ht="16.5" customHeight="1">
      <c r="A3187" s="309" t="str">
        <f>IF(B3187&lt;&gt;"",IF(AND(B3187='IN-TC'!$S$4,OR(TH!N3187="1111",TH!O3187="1111")),TH!D3187,""),"")</f>
        <v/>
      </c>
      <c r="B3187" s="1263">
        <f t="shared" si="1164"/>
        <v>10</v>
      </c>
      <c r="C3187" s="929">
        <v>43033</v>
      </c>
      <c r="D3187" s="929" t="s">
        <v>902</v>
      </c>
      <c r="E3187" s="929">
        <f t="shared" si="1159"/>
        <v>43033</v>
      </c>
      <c r="F3187" s="930" t="s">
        <v>1096</v>
      </c>
      <c r="G3187" s="930" t="s">
        <v>747</v>
      </c>
      <c r="H3187" s="296" t="s">
        <v>2032</v>
      </c>
      <c r="I3187" s="371"/>
      <c r="J3187" s="378"/>
      <c r="K3187" s="371">
        <v>241.19</v>
      </c>
      <c r="L3187" s="1214">
        <v>22700</v>
      </c>
      <c r="M3187" s="74">
        <f t="shared" si="1166"/>
        <v>5475013</v>
      </c>
      <c r="N3187" s="934" t="s">
        <v>99</v>
      </c>
      <c r="O3187" s="934" t="s">
        <v>256</v>
      </c>
      <c r="P3187" s="75" t="str">
        <f>IF(AND('331-CT'!$E$7=TH!H3187,OR(N3187="331",O3187="331")),"x","")</f>
        <v/>
      </c>
      <c r="Q3187" s="75" t="str">
        <f>IF(AND(B3187='111'!$L$11,OR($N3187=$Q$7,$O3187=$Q$7)),"x","")</f>
        <v/>
      </c>
      <c r="R3187" s="75" t="str">
        <f>IF(AND($N3187=$Q$7,$B3187&lt;'111'!$L$11),"x","")</f>
        <v/>
      </c>
      <c r="S3187" s="75" t="str">
        <f>IF(AND($O3187=$Q$7,$B3187&lt;'111'!$L$11),"x","")</f>
        <v/>
      </c>
      <c r="T3187" s="75" t="str">
        <f>IF(ISERROR(FIND('112'!$M$9,G3187,1)),"",IF((AND(FIND('112'!$M$9,G3187,1)&gt;=1,B3187='112'!$K$9,OR($N3187='112'!$I$6,$O3187='112'!$I$6))),"x",""))</f>
        <v/>
      </c>
      <c r="U3187" s="75" t="str">
        <f>IF(ISERROR(FIND('112'!$M$9,G3187,1)),"",IF((AND(LEFT(G3187,2)=LEFT('112'!$M$9,2),B3187&lt;'112'!$K$9,$N3187='112'!$I$6)),"x",""))</f>
        <v/>
      </c>
      <c r="V3187" s="75" t="str">
        <f>IF(ISERROR(FIND('112'!$M$9,G3187,1)),"",IF((AND(RIGHT(G3187,2)=RIGHT('112'!$M$9,2),B3187&lt;'112'!$K$9,$O3187='112'!$I$6)),"x",""))</f>
        <v/>
      </c>
      <c r="W3187" s="75" t="str">
        <f>IF(AND('341-CT'!$H$9=H3187,OR(LEFT(N3187,3)=$W$7,LEFT(O3187,3)=$W$7)),"x","")</f>
        <v/>
      </c>
      <c r="X3187" s="75" t="str">
        <f>IF(OR(TH!N3187=TH!$X$7,O3187=TH!$X$7),"x","")</f>
        <v/>
      </c>
      <c r="Y3187" s="75" t="str">
        <f>IF(AND(OR(N3187="131",O3187="131"),H3187='131-CT'!$H$9),"x","")</f>
        <v/>
      </c>
      <c r="Z3187" s="75"/>
      <c r="AA3187" s="75" t="str">
        <f>IF(AND(MONTH(E3187)='IN-NX'!$J$5,'IN-NX'!$D$7=D3187),"x","")</f>
        <v/>
      </c>
      <c r="AB3187" s="75" t="str">
        <f>IF(AND(OR(LEFT(TH!N3187,2)="15",LEFT(TH!O3187,2)="15"),LEFT(TH!O3187,3)&lt;&gt;"111",'152-CT'!$J$8=TH!F3187),"x","")</f>
        <v/>
      </c>
      <c r="AC3187" s="75" t="str">
        <f>IF(AND(OR(LEFT(TH!N3187,2)="15",LEFT(TH!O3187,2)="15"),TK!$E$7=TH!F3187),"x","")</f>
        <v/>
      </c>
      <c r="AD3187" s="75" t="str">
        <f>IF(AND(N3187="1521",MONTH(C3187)='BK-NL'!$M$11),"x","")</f>
        <v/>
      </c>
    </row>
    <row r="3188" spans="1:30" s="1264" customFormat="1" ht="16.5" customHeight="1">
      <c r="A3188" s="309" t="str">
        <f>IF(B3188&lt;&gt;"",IF(AND(B3188='IN-TC'!$S$4,OR(TH!N3188="1111",TH!O3188="1111")),TH!D3188,""),"")</f>
        <v/>
      </c>
      <c r="B3188" s="1263">
        <f t="shared" si="1164"/>
        <v>10</v>
      </c>
      <c r="C3188" s="929">
        <v>43033</v>
      </c>
      <c r="D3188" s="929" t="s">
        <v>902</v>
      </c>
      <c r="E3188" s="929">
        <f t="shared" si="1159"/>
        <v>43033</v>
      </c>
      <c r="F3188" s="930" t="s">
        <v>1096</v>
      </c>
      <c r="G3188" s="930" t="s">
        <v>747</v>
      </c>
      <c r="H3188" s="296" t="s">
        <v>1559</v>
      </c>
      <c r="I3188" s="371"/>
      <c r="J3188" s="378"/>
      <c r="K3188" s="371">
        <v>282.52999999999997</v>
      </c>
      <c r="L3188" s="1214">
        <v>22700</v>
      </c>
      <c r="M3188" s="74">
        <f t="shared" si="1166"/>
        <v>6413431</v>
      </c>
      <c r="N3188" s="934" t="s">
        <v>99</v>
      </c>
      <c r="O3188" s="934" t="s">
        <v>256</v>
      </c>
      <c r="P3188" s="75" t="str">
        <f>IF(AND('331-CT'!$E$7=TH!H3188,OR(N3188="331",O3188="331")),"x","")</f>
        <v/>
      </c>
      <c r="Q3188" s="75" t="str">
        <f>IF(AND(B3188='111'!$L$11,OR($N3188=$Q$7,$O3188=$Q$7)),"x","")</f>
        <v/>
      </c>
      <c r="R3188" s="75" t="str">
        <f>IF(AND($N3188=$Q$7,$B3188&lt;'111'!$L$11),"x","")</f>
        <v/>
      </c>
      <c r="S3188" s="75" t="str">
        <f>IF(AND($O3188=$Q$7,$B3188&lt;'111'!$L$11),"x","")</f>
        <v/>
      </c>
      <c r="T3188" s="75" t="str">
        <f>IF(ISERROR(FIND('112'!$M$9,G3188,1)),"",IF((AND(FIND('112'!$M$9,G3188,1)&gt;=1,B3188='112'!$K$9,OR($N3188='112'!$I$6,$O3188='112'!$I$6))),"x",""))</f>
        <v/>
      </c>
      <c r="U3188" s="75" t="str">
        <f>IF(ISERROR(FIND('112'!$M$9,G3188,1)),"",IF((AND(LEFT(G3188,2)=LEFT('112'!$M$9,2),B3188&lt;'112'!$K$9,$N3188='112'!$I$6)),"x",""))</f>
        <v/>
      </c>
      <c r="V3188" s="75" t="str">
        <f>IF(ISERROR(FIND('112'!$M$9,G3188,1)),"",IF((AND(RIGHT(G3188,2)=RIGHT('112'!$M$9,2),B3188&lt;'112'!$K$9,$O3188='112'!$I$6)),"x",""))</f>
        <v/>
      </c>
      <c r="W3188" s="75" t="str">
        <f>IF(AND('341-CT'!$H$9=H3188,OR(LEFT(N3188,3)=$W$7,LEFT(O3188,3)=$W$7)),"x","")</f>
        <v/>
      </c>
      <c r="X3188" s="75" t="str">
        <f>IF(OR(TH!N3188=TH!$X$7,O3188=TH!$X$7),"x","")</f>
        <v/>
      </c>
      <c r="Y3188" s="75" t="str">
        <f>IF(AND(OR(N3188="131",O3188="131"),H3188='131-CT'!$H$9),"x","")</f>
        <v/>
      </c>
      <c r="Z3188" s="75"/>
      <c r="AA3188" s="75" t="str">
        <f>IF(AND(MONTH(E3188)='IN-NX'!$J$5,'IN-NX'!$D$7=D3188),"x","")</f>
        <v/>
      </c>
      <c r="AB3188" s="75" t="str">
        <f>IF(AND(OR(LEFT(TH!N3188,2)="15",LEFT(TH!O3188,2)="15"),LEFT(TH!O3188,3)&lt;&gt;"111",'152-CT'!$J$8=TH!F3188),"x","")</f>
        <v/>
      </c>
      <c r="AC3188" s="75" t="str">
        <f>IF(AND(OR(LEFT(TH!N3188,2)="15",LEFT(TH!O3188,2)="15"),TK!$E$7=TH!F3188),"x","")</f>
        <v/>
      </c>
      <c r="AD3188" s="75" t="str">
        <f>IF(AND(N3188="1521",MONTH(C3188)='BK-NL'!$M$11),"x","")</f>
        <v/>
      </c>
    </row>
    <row r="3189" spans="1:30" s="1264" customFormat="1" ht="16.5" customHeight="1">
      <c r="A3189" s="309" t="str">
        <f>IF(B3189&lt;&gt;"",IF(AND(B3189='IN-TC'!$S$4,OR(TH!N3189="1111",TH!O3189="1111")),TH!D3189,""),"")</f>
        <v/>
      </c>
      <c r="B3189" s="1263">
        <f t="shared" si="1164"/>
        <v>10</v>
      </c>
      <c r="C3189" s="929">
        <v>43033</v>
      </c>
      <c r="D3189" s="929" t="s">
        <v>902</v>
      </c>
      <c r="E3189" s="929">
        <f t="shared" si="1159"/>
        <v>43033</v>
      </c>
      <c r="F3189" s="930" t="s">
        <v>1096</v>
      </c>
      <c r="G3189" s="930" t="s">
        <v>747</v>
      </c>
      <c r="H3189" s="296" t="s">
        <v>1780</v>
      </c>
      <c r="I3189" s="371"/>
      <c r="J3189" s="378"/>
      <c r="K3189" s="371">
        <v>230.86</v>
      </c>
      <c r="L3189" s="1214">
        <v>22700</v>
      </c>
      <c r="M3189" s="74">
        <f t="shared" si="1166"/>
        <v>5240522</v>
      </c>
      <c r="N3189" s="934" t="s">
        <v>99</v>
      </c>
      <c r="O3189" s="934" t="s">
        <v>256</v>
      </c>
      <c r="P3189" s="75" t="str">
        <f>IF(AND('331-CT'!$E$7=TH!H3189,OR(N3189="331",O3189="331")),"x","")</f>
        <v/>
      </c>
      <c r="Q3189" s="75" t="str">
        <f>IF(AND(B3189='111'!$L$11,OR($N3189=$Q$7,$O3189=$Q$7)),"x","")</f>
        <v/>
      </c>
      <c r="R3189" s="75" t="str">
        <f>IF(AND($N3189=$Q$7,$B3189&lt;'111'!$L$11),"x","")</f>
        <v/>
      </c>
      <c r="S3189" s="75" t="str">
        <f>IF(AND($O3189=$Q$7,$B3189&lt;'111'!$L$11),"x","")</f>
        <v/>
      </c>
      <c r="T3189" s="75" t="str">
        <f>IF(ISERROR(FIND('112'!$M$9,G3189,1)),"",IF((AND(FIND('112'!$M$9,G3189,1)&gt;=1,B3189='112'!$K$9,OR($N3189='112'!$I$6,$O3189='112'!$I$6))),"x",""))</f>
        <v/>
      </c>
      <c r="U3189" s="75" t="str">
        <f>IF(ISERROR(FIND('112'!$M$9,G3189,1)),"",IF((AND(LEFT(G3189,2)=LEFT('112'!$M$9,2),B3189&lt;'112'!$K$9,$N3189='112'!$I$6)),"x",""))</f>
        <v/>
      </c>
      <c r="V3189" s="75" t="str">
        <f>IF(ISERROR(FIND('112'!$M$9,G3189,1)),"",IF((AND(RIGHT(G3189,2)=RIGHT('112'!$M$9,2),B3189&lt;'112'!$K$9,$O3189='112'!$I$6)),"x",""))</f>
        <v/>
      </c>
      <c r="W3189" s="75" t="str">
        <f>IF(AND('341-CT'!$H$9=H3189,OR(LEFT(N3189,3)=$W$7,LEFT(O3189,3)=$W$7)),"x","")</f>
        <v/>
      </c>
      <c r="X3189" s="75" t="str">
        <f>IF(OR(TH!N3189=TH!$X$7,O3189=TH!$X$7),"x","")</f>
        <v/>
      </c>
      <c r="Y3189" s="75" t="str">
        <f>IF(AND(OR(N3189="131",O3189="131"),H3189='131-CT'!$H$9),"x","")</f>
        <v/>
      </c>
      <c r="Z3189" s="75"/>
      <c r="AA3189" s="75" t="str">
        <f>IF(AND(MONTH(E3189)='IN-NX'!$J$5,'IN-NX'!$D$7=D3189),"x","")</f>
        <v/>
      </c>
      <c r="AB3189" s="75" t="str">
        <f>IF(AND(OR(LEFT(TH!N3189,2)="15",LEFT(TH!O3189,2)="15"),LEFT(TH!O3189,3)&lt;&gt;"111",'152-CT'!$J$8=TH!F3189),"x","")</f>
        <v/>
      </c>
      <c r="AC3189" s="75" t="str">
        <f>IF(AND(OR(LEFT(TH!N3189,2)="15",LEFT(TH!O3189,2)="15"),TK!$E$7=TH!F3189),"x","")</f>
        <v/>
      </c>
      <c r="AD3189" s="75" t="str">
        <f>IF(AND(N3189="1521",MONTH(C3189)='BK-NL'!$M$11),"x","")</f>
        <v/>
      </c>
    </row>
    <row r="3190" spans="1:30" s="1264" customFormat="1" ht="16.5" customHeight="1">
      <c r="A3190" s="309" t="str">
        <f>IF(B3190&lt;&gt;"",IF(AND(B3190='IN-TC'!$S$4,OR(TH!N3190="1111",TH!O3190="1111")),TH!D3190,""),"")</f>
        <v/>
      </c>
      <c r="B3190" s="1263">
        <f t="shared" si="1164"/>
        <v>10</v>
      </c>
      <c r="C3190" s="929">
        <v>43033</v>
      </c>
      <c r="D3190" s="929" t="s">
        <v>902</v>
      </c>
      <c r="E3190" s="929">
        <f t="shared" si="1159"/>
        <v>43033</v>
      </c>
      <c r="F3190" s="930" t="s">
        <v>1096</v>
      </c>
      <c r="G3190" s="930" t="s">
        <v>747</v>
      </c>
      <c r="H3190" s="296" t="s">
        <v>2028</v>
      </c>
      <c r="I3190" s="371"/>
      <c r="J3190" s="378"/>
      <c r="K3190" s="371">
        <v>269.72000000000003</v>
      </c>
      <c r="L3190" s="1214">
        <v>22700</v>
      </c>
      <c r="M3190" s="74">
        <f t="shared" si="1166"/>
        <v>6122644</v>
      </c>
      <c r="N3190" s="934" t="s">
        <v>99</v>
      </c>
      <c r="O3190" s="934" t="s">
        <v>256</v>
      </c>
      <c r="P3190" s="75" t="str">
        <f>IF(AND('331-CT'!$E$7=TH!H3190,OR(N3190="331",O3190="331")),"x","")</f>
        <v/>
      </c>
      <c r="Q3190" s="75" t="str">
        <f>IF(AND(B3190='111'!$L$11,OR($N3190=$Q$7,$O3190=$Q$7)),"x","")</f>
        <v/>
      </c>
      <c r="R3190" s="75" t="str">
        <f>IF(AND($N3190=$Q$7,$B3190&lt;'111'!$L$11),"x","")</f>
        <v/>
      </c>
      <c r="S3190" s="75" t="str">
        <f>IF(AND($O3190=$Q$7,$B3190&lt;'111'!$L$11),"x","")</f>
        <v/>
      </c>
      <c r="T3190" s="75" t="str">
        <f>IF(ISERROR(FIND('112'!$M$9,G3190,1)),"",IF((AND(FIND('112'!$M$9,G3190,1)&gt;=1,B3190='112'!$K$9,OR($N3190='112'!$I$6,$O3190='112'!$I$6))),"x",""))</f>
        <v/>
      </c>
      <c r="U3190" s="75" t="str">
        <f>IF(ISERROR(FIND('112'!$M$9,G3190,1)),"",IF((AND(LEFT(G3190,2)=LEFT('112'!$M$9,2),B3190&lt;'112'!$K$9,$N3190='112'!$I$6)),"x",""))</f>
        <v/>
      </c>
      <c r="V3190" s="75" t="str">
        <f>IF(ISERROR(FIND('112'!$M$9,G3190,1)),"",IF((AND(RIGHT(G3190,2)=RIGHT('112'!$M$9,2),B3190&lt;'112'!$K$9,$O3190='112'!$I$6)),"x",""))</f>
        <v/>
      </c>
      <c r="W3190" s="75" t="str">
        <f>IF(AND('341-CT'!$H$9=H3190,OR(LEFT(N3190,3)=$W$7,LEFT(O3190,3)=$W$7)),"x","")</f>
        <v/>
      </c>
      <c r="X3190" s="75" t="str">
        <f>IF(OR(TH!N3190=TH!$X$7,O3190=TH!$X$7),"x","")</f>
        <v/>
      </c>
      <c r="Y3190" s="75" t="str">
        <f>IF(AND(OR(N3190="131",O3190="131"),H3190='131-CT'!$H$9),"x","")</f>
        <v/>
      </c>
      <c r="Z3190" s="75"/>
      <c r="AA3190" s="75" t="str">
        <f>IF(AND(MONTH(E3190)='IN-NX'!$J$5,'IN-NX'!$D$7=D3190),"x","")</f>
        <v/>
      </c>
      <c r="AB3190" s="75" t="str">
        <f>IF(AND(OR(LEFT(TH!N3190,2)="15",LEFT(TH!O3190,2)="15"),LEFT(TH!O3190,3)&lt;&gt;"111",'152-CT'!$J$8=TH!F3190),"x","")</f>
        <v/>
      </c>
      <c r="AC3190" s="75" t="str">
        <f>IF(AND(OR(LEFT(TH!N3190,2)="15",LEFT(TH!O3190,2)="15"),TK!$E$7=TH!F3190),"x","")</f>
        <v/>
      </c>
      <c r="AD3190" s="75" t="str">
        <f>IF(AND(N3190="1521",MONTH(C3190)='BK-NL'!$M$11),"x","")</f>
        <v/>
      </c>
    </row>
    <row r="3191" spans="1:30" s="1264" customFormat="1" ht="16.5" customHeight="1">
      <c r="A3191" s="309" t="str">
        <f>IF(B3191&lt;&gt;"",IF(AND(B3191='IN-TC'!$S$4,OR(TH!N3191="1111",TH!O3191="1111")),TH!D3191,""),"")</f>
        <v/>
      </c>
      <c r="B3191" s="1263">
        <f t="shared" si="1164"/>
        <v>10</v>
      </c>
      <c r="C3191" s="929">
        <v>43033</v>
      </c>
      <c r="D3191" s="929" t="s">
        <v>902</v>
      </c>
      <c r="E3191" s="929">
        <f t="shared" si="1159"/>
        <v>43033</v>
      </c>
      <c r="F3191" s="930" t="s">
        <v>1096</v>
      </c>
      <c r="G3191" s="930" t="s">
        <v>747</v>
      </c>
      <c r="H3191" s="296" t="s">
        <v>2324</v>
      </c>
      <c r="I3191" s="371"/>
      <c r="J3191" s="378"/>
      <c r="K3191" s="371">
        <v>241.16</v>
      </c>
      <c r="L3191" s="1214">
        <v>22700</v>
      </c>
      <c r="M3191" s="74">
        <f t="shared" si="1166"/>
        <v>5474332</v>
      </c>
      <c r="N3191" s="934" t="s">
        <v>99</v>
      </c>
      <c r="O3191" s="934" t="s">
        <v>256</v>
      </c>
      <c r="P3191" s="75" t="str">
        <f>IF(AND('331-CT'!$E$7=TH!H3191,OR(N3191="331",O3191="331")),"x","")</f>
        <v/>
      </c>
      <c r="Q3191" s="75" t="str">
        <f>IF(AND(B3191='111'!$L$11,OR($N3191=$Q$7,$O3191=$Q$7)),"x","")</f>
        <v/>
      </c>
      <c r="R3191" s="75" t="str">
        <f>IF(AND($N3191=$Q$7,$B3191&lt;'111'!$L$11),"x","")</f>
        <v/>
      </c>
      <c r="S3191" s="75" t="str">
        <f>IF(AND($O3191=$Q$7,$B3191&lt;'111'!$L$11),"x","")</f>
        <v/>
      </c>
      <c r="T3191" s="75" t="str">
        <f>IF(ISERROR(FIND('112'!$M$9,G3191,1)),"",IF((AND(FIND('112'!$M$9,G3191,1)&gt;=1,B3191='112'!$K$9,OR($N3191='112'!$I$6,$O3191='112'!$I$6))),"x",""))</f>
        <v/>
      </c>
      <c r="U3191" s="75" t="str">
        <f>IF(ISERROR(FIND('112'!$M$9,G3191,1)),"",IF((AND(LEFT(G3191,2)=LEFT('112'!$M$9,2),B3191&lt;'112'!$K$9,$N3191='112'!$I$6)),"x",""))</f>
        <v/>
      </c>
      <c r="V3191" s="75" t="str">
        <f>IF(ISERROR(FIND('112'!$M$9,G3191,1)),"",IF((AND(RIGHT(G3191,2)=RIGHT('112'!$M$9,2),B3191&lt;'112'!$K$9,$O3191='112'!$I$6)),"x",""))</f>
        <v/>
      </c>
      <c r="W3191" s="75" t="str">
        <f>IF(AND('341-CT'!$H$9=H3191,OR(LEFT(N3191,3)=$W$7,LEFT(O3191,3)=$W$7)),"x","")</f>
        <v/>
      </c>
      <c r="X3191" s="75" t="str">
        <f>IF(OR(TH!N3191=TH!$X$7,O3191=TH!$X$7),"x","")</f>
        <v/>
      </c>
      <c r="Y3191" s="75" t="str">
        <f>IF(AND(OR(N3191="131",O3191="131"),H3191='131-CT'!$H$9),"x","")</f>
        <v/>
      </c>
      <c r="Z3191" s="75"/>
      <c r="AA3191" s="75" t="str">
        <f>IF(AND(MONTH(E3191)='IN-NX'!$J$5,'IN-NX'!$D$7=D3191),"x","")</f>
        <v/>
      </c>
      <c r="AB3191" s="75" t="str">
        <f>IF(AND(OR(LEFT(TH!N3191,2)="15",LEFT(TH!O3191,2)="15"),LEFT(TH!O3191,3)&lt;&gt;"111",'152-CT'!$J$8=TH!F3191),"x","")</f>
        <v/>
      </c>
      <c r="AC3191" s="75" t="str">
        <f>IF(AND(OR(LEFT(TH!N3191,2)="15",LEFT(TH!O3191,2)="15"),TK!$E$7=TH!F3191),"x","")</f>
        <v/>
      </c>
      <c r="AD3191" s="75" t="str">
        <f>IF(AND(N3191="1521",MONTH(C3191)='BK-NL'!$M$11),"x","")</f>
        <v/>
      </c>
    </row>
    <row r="3192" spans="1:30" s="1264" customFormat="1" ht="16.5" customHeight="1">
      <c r="A3192" s="309" t="str">
        <f>IF(B3192&lt;&gt;"",IF(AND(B3192='IN-TC'!$S$4,OR(TH!N3192="1111",TH!O3192="1111")),TH!D3192,""),"")</f>
        <v/>
      </c>
      <c r="B3192" s="1263">
        <f t="shared" si="1164"/>
        <v>10</v>
      </c>
      <c r="C3192" s="929">
        <v>43033</v>
      </c>
      <c r="D3192" s="929" t="s">
        <v>902</v>
      </c>
      <c r="E3192" s="929">
        <f t="shared" si="1159"/>
        <v>43033</v>
      </c>
      <c r="F3192" s="930" t="s">
        <v>1096</v>
      </c>
      <c r="G3192" s="930" t="s">
        <v>747</v>
      </c>
      <c r="H3192" s="296" t="s">
        <v>1781</v>
      </c>
      <c r="I3192" s="371"/>
      <c r="J3192" s="378"/>
      <c r="K3192" s="371">
        <v>312.29000000000002</v>
      </c>
      <c r="L3192" s="1214">
        <v>22700</v>
      </c>
      <c r="M3192" s="74">
        <f t="shared" si="1166"/>
        <v>7088983</v>
      </c>
      <c r="N3192" s="934" t="s">
        <v>99</v>
      </c>
      <c r="O3192" s="934" t="s">
        <v>256</v>
      </c>
      <c r="P3192" s="75" t="str">
        <f>IF(AND('331-CT'!$E$7=TH!H3192,OR(N3192="331",O3192="331")),"x","")</f>
        <v/>
      </c>
      <c r="Q3192" s="75" t="str">
        <f>IF(AND(B3192='111'!$L$11,OR($N3192=$Q$7,$O3192=$Q$7)),"x","")</f>
        <v/>
      </c>
      <c r="R3192" s="75" t="str">
        <f>IF(AND($N3192=$Q$7,$B3192&lt;'111'!$L$11),"x","")</f>
        <v/>
      </c>
      <c r="S3192" s="75" t="str">
        <f>IF(AND($O3192=$Q$7,$B3192&lt;'111'!$L$11),"x","")</f>
        <v/>
      </c>
      <c r="T3192" s="75" t="str">
        <f>IF(ISERROR(FIND('112'!$M$9,G3192,1)),"",IF((AND(FIND('112'!$M$9,G3192,1)&gt;=1,B3192='112'!$K$9,OR($N3192='112'!$I$6,$O3192='112'!$I$6))),"x",""))</f>
        <v/>
      </c>
      <c r="U3192" s="75" t="str">
        <f>IF(ISERROR(FIND('112'!$M$9,G3192,1)),"",IF((AND(LEFT(G3192,2)=LEFT('112'!$M$9,2),B3192&lt;'112'!$K$9,$N3192='112'!$I$6)),"x",""))</f>
        <v/>
      </c>
      <c r="V3192" s="75" t="str">
        <f>IF(ISERROR(FIND('112'!$M$9,G3192,1)),"",IF((AND(RIGHT(G3192,2)=RIGHT('112'!$M$9,2),B3192&lt;'112'!$K$9,$O3192='112'!$I$6)),"x",""))</f>
        <v/>
      </c>
      <c r="W3192" s="75" t="str">
        <f>IF(AND('341-CT'!$H$9=H3192,OR(LEFT(N3192,3)=$W$7,LEFT(O3192,3)=$W$7)),"x","")</f>
        <v/>
      </c>
      <c r="X3192" s="75" t="str">
        <f>IF(OR(TH!N3192=TH!$X$7,O3192=TH!$X$7),"x","")</f>
        <v/>
      </c>
      <c r="Y3192" s="75" t="str">
        <f>IF(AND(OR(N3192="131",O3192="131"),H3192='131-CT'!$H$9),"x","")</f>
        <v/>
      </c>
      <c r="Z3192" s="75"/>
      <c r="AA3192" s="75" t="str">
        <f>IF(AND(MONTH(E3192)='IN-NX'!$J$5,'IN-NX'!$D$7=D3192),"x","")</f>
        <v/>
      </c>
      <c r="AB3192" s="75" t="str">
        <f>IF(AND(OR(LEFT(TH!N3192,2)="15",LEFT(TH!O3192,2)="15"),LEFT(TH!O3192,3)&lt;&gt;"111",'152-CT'!$J$8=TH!F3192),"x","")</f>
        <v/>
      </c>
      <c r="AC3192" s="75" t="str">
        <f>IF(AND(OR(LEFT(TH!N3192,2)="15",LEFT(TH!O3192,2)="15"),TK!$E$7=TH!F3192),"x","")</f>
        <v/>
      </c>
      <c r="AD3192" s="75" t="str">
        <f>IF(AND(N3192="1521",MONTH(C3192)='BK-NL'!$M$11),"x","")</f>
        <v/>
      </c>
    </row>
    <row r="3193" spans="1:30" s="1264" customFormat="1" ht="16.5" customHeight="1">
      <c r="A3193" s="309" t="str">
        <f>IF(B3193&lt;&gt;"",IF(AND(B3193='IN-TC'!$S$4,OR(TH!N3193="1111",TH!O3193="1111")),TH!D3193,""),"")</f>
        <v/>
      </c>
      <c r="B3193" s="1263">
        <f t="shared" si="1164"/>
        <v>10</v>
      </c>
      <c r="C3193" s="929">
        <v>43033</v>
      </c>
      <c r="D3193" s="929" t="s">
        <v>902</v>
      </c>
      <c r="E3193" s="929">
        <f t="shared" si="1159"/>
        <v>43033</v>
      </c>
      <c r="F3193" s="930" t="s">
        <v>1096</v>
      </c>
      <c r="G3193" s="930" t="s">
        <v>747</v>
      </c>
      <c r="H3193" s="296" t="s">
        <v>2323</v>
      </c>
      <c r="I3193" s="371"/>
      <c r="J3193" s="378"/>
      <c r="K3193" s="371">
        <v>65.34</v>
      </c>
      <c r="L3193" s="1214">
        <v>22700</v>
      </c>
      <c r="M3193" s="74">
        <f t="shared" si="1166"/>
        <v>1483218</v>
      </c>
      <c r="N3193" s="934" t="s">
        <v>99</v>
      </c>
      <c r="O3193" s="934" t="s">
        <v>256</v>
      </c>
      <c r="P3193" s="75" t="str">
        <f>IF(AND('331-CT'!$E$7=TH!H3193,OR(N3193="331",O3193="331")),"x","")</f>
        <v/>
      </c>
      <c r="Q3193" s="75" t="str">
        <f>IF(AND(B3193='111'!$L$11,OR($N3193=$Q$7,$O3193=$Q$7)),"x","")</f>
        <v/>
      </c>
      <c r="R3193" s="75" t="str">
        <f>IF(AND($N3193=$Q$7,$B3193&lt;'111'!$L$11),"x","")</f>
        <v/>
      </c>
      <c r="S3193" s="75" t="str">
        <f>IF(AND($O3193=$Q$7,$B3193&lt;'111'!$L$11),"x","")</f>
        <v/>
      </c>
      <c r="T3193" s="75" t="str">
        <f>IF(ISERROR(FIND('112'!$M$9,G3193,1)),"",IF((AND(FIND('112'!$M$9,G3193,1)&gt;=1,B3193='112'!$K$9,OR($N3193='112'!$I$6,$O3193='112'!$I$6))),"x",""))</f>
        <v/>
      </c>
      <c r="U3193" s="75" t="str">
        <f>IF(ISERROR(FIND('112'!$M$9,G3193,1)),"",IF((AND(LEFT(G3193,2)=LEFT('112'!$M$9,2),B3193&lt;'112'!$K$9,$N3193='112'!$I$6)),"x",""))</f>
        <v/>
      </c>
      <c r="V3193" s="75" t="str">
        <f>IF(ISERROR(FIND('112'!$M$9,G3193,1)),"",IF((AND(RIGHT(G3193,2)=RIGHT('112'!$M$9,2),B3193&lt;'112'!$K$9,$O3193='112'!$I$6)),"x",""))</f>
        <v/>
      </c>
      <c r="W3193" s="75" t="str">
        <f>IF(AND('341-CT'!$H$9=H3193,OR(LEFT(N3193,3)=$W$7,LEFT(O3193,3)=$W$7)),"x","")</f>
        <v/>
      </c>
      <c r="X3193" s="75" t="str">
        <f>IF(OR(TH!N3193=TH!$X$7,O3193=TH!$X$7),"x","")</f>
        <v/>
      </c>
      <c r="Y3193" s="75" t="str">
        <f>IF(AND(OR(N3193="131",O3193="131"),H3193='131-CT'!$H$9),"x","")</f>
        <v/>
      </c>
      <c r="Z3193" s="75"/>
      <c r="AA3193" s="75" t="str">
        <f>IF(AND(MONTH(E3193)='IN-NX'!$J$5,'IN-NX'!$D$7=D3193),"x","")</f>
        <v/>
      </c>
      <c r="AB3193" s="75" t="str">
        <f>IF(AND(OR(LEFT(TH!N3193,2)="15",LEFT(TH!O3193,2)="15"),LEFT(TH!O3193,3)&lt;&gt;"111",'152-CT'!$J$8=TH!F3193),"x","")</f>
        <v/>
      </c>
      <c r="AC3193" s="75" t="str">
        <f>IF(AND(OR(LEFT(TH!N3193,2)="15",LEFT(TH!O3193,2)="15"),TK!$E$7=TH!F3193),"x","")</f>
        <v/>
      </c>
      <c r="AD3193" s="75" t="str">
        <f>IF(AND(N3193="1521",MONTH(C3193)='BK-NL'!$M$11),"x","")</f>
        <v/>
      </c>
    </row>
    <row r="3194" spans="1:30" s="1264" customFormat="1" ht="16.5" customHeight="1">
      <c r="A3194" s="309" t="str">
        <f>IF(B3194&lt;&gt;"",IF(AND(B3194='IN-TC'!$S$4,OR(TH!N3194="1111",TH!O3194="1111")),TH!D3194,""),"")</f>
        <v/>
      </c>
      <c r="B3194" s="1263">
        <f t="shared" si="1164"/>
        <v>10</v>
      </c>
      <c r="C3194" s="929">
        <v>43033</v>
      </c>
      <c r="D3194" s="929" t="s">
        <v>902</v>
      </c>
      <c r="E3194" s="929">
        <f t="shared" si="1159"/>
        <v>43033</v>
      </c>
      <c r="F3194" s="930" t="s">
        <v>1096</v>
      </c>
      <c r="G3194" s="930" t="s">
        <v>747</v>
      </c>
      <c r="H3194" s="296" t="s">
        <v>1555</v>
      </c>
      <c r="I3194" s="371"/>
      <c r="J3194" s="378"/>
      <c r="K3194" s="371">
        <v>137.83000000000001</v>
      </c>
      <c r="L3194" s="1214">
        <v>22700</v>
      </c>
      <c r="M3194" s="74">
        <f t="shared" si="1166"/>
        <v>3128741</v>
      </c>
      <c r="N3194" s="934" t="s">
        <v>99</v>
      </c>
      <c r="O3194" s="934" t="s">
        <v>256</v>
      </c>
      <c r="P3194" s="75" t="str">
        <f>IF(AND('331-CT'!$E$7=TH!H3194,OR(N3194="331",O3194="331")),"x","")</f>
        <v/>
      </c>
      <c r="Q3194" s="75" t="str">
        <f>IF(AND(B3194='111'!$L$11,OR($N3194=$Q$7,$O3194=$Q$7)),"x","")</f>
        <v/>
      </c>
      <c r="R3194" s="75" t="str">
        <f>IF(AND($N3194=$Q$7,$B3194&lt;'111'!$L$11),"x","")</f>
        <v/>
      </c>
      <c r="S3194" s="75" t="str">
        <f>IF(AND($O3194=$Q$7,$B3194&lt;'111'!$L$11),"x","")</f>
        <v/>
      </c>
      <c r="T3194" s="75" t="str">
        <f>IF(ISERROR(FIND('112'!$M$9,G3194,1)),"",IF((AND(FIND('112'!$M$9,G3194,1)&gt;=1,B3194='112'!$K$9,OR($N3194='112'!$I$6,$O3194='112'!$I$6))),"x",""))</f>
        <v/>
      </c>
      <c r="U3194" s="75" t="str">
        <f>IF(ISERROR(FIND('112'!$M$9,G3194,1)),"",IF((AND(LEFT(G3194,2)=LEFT('112'!$M$9,2),B3194&lt;'112'!$K$9,$N3194='112'!$I$6)),"x",""))</f>
        <v/>
      </c>
      <c r="V3194" s="75" t="str">
        <f>IF(ISERROR(FIND('112'!$M$9,G3194,1)),"",IF((AND(RIGHT(G3194,2)=RIGHT('112'!$M$9,2),B3194&lt;'112'!$K$9,$O3194='112'!$I$6)),"x",""))</f>
        <v/>
      </c>
      <c r="W3194" s="75" t="str">
        <f>IF(AND('341-CT'!$H$9=H3194,OR(LEFT(N3194,3)=$W$7,LEFT(O3194,3)=$W$7)),"x","")</f>
        <v/>
      </c>
      <c r="X3194" s="75" t="str">
        <f>IF(OR(TH!N3194=TH!$X$7,O3194=TH!$X$7),"x","")</f>
        <v/>
      </c>
      <c r="Y3194" s="75" t="str">
        <f>IF(AND(OR(N3194="131",O3194="131"),H3194='131-CT'!$H$9),"x","")</f>
        <v/>
      </c>
      <c r="Z3194" s="75"/>
      <c r="AA3194" s="75" t="str">
        <f>IF(AND(MONTH(E3194)='IN-NX'!$J$5,'IN-NX'!$D$7=D3194),"x","")</f>
        <v/>
      </c>
      <c r="AB3194" s="75" t="str">
        <f>IF(AND(OR(LEFT(TH!N3194,2)="15",LEFT(TH!O3194,2)="15"),LEFT(TH!O3194,3)&lt;&gt;"111",'152-CT'!$J$8=TH!F3194),"x","")</f>
        <v/>
      </c>
      <c r="AC3194" s="75" t="str">
        <f>IF(AND(OR(LEFT(TH!N3194,2)="15",LEFT(TH!O3194,2)="15"),TK!$E$7=TH!F3194),"x","")</f>
        <v/>
      </c>
      <c r="AD3194" s="75" t="str">
        <f>IF(AND(N3194="1521",MONTH(C3194)='BK-NL'!$M$11),"x","")</f>
        <v/>
      </c>
    </row>
    <row r="3195" spans="1:30" s="1264" customFormat="1" ht="16.5" customHeight="1">
      <c r="A3195" s="309" t="str">
        <f>IF(B3195&lt;&gt;"",IF(AND(B3195='IN-TC'!$S$4,OR(TH!N3195="1111",TH!O3195="1111")),TH!D3195,""),"")</f>
        <v/>
      </c>
      <c r="B3195" s="1263">
        <f t="shared" si="1164"/>
        <v>10</v>
      </c>
      <c r="C3195" s="929">
        <v>43033</v>
      </c>
      <c r="D3195" s="929" t="s">
        <v>902</v>
      </c>
      <c r="E3195" s="929">
        <f t="shared" si="1159"/>
        <v>43033</v>
      </c>
      <c r="F3195" s="930" t="s">
        <v>1096</v>
      </c>
      <c r="G3195" s="930" t="s">
        <v>747</v>
      </c>
      <c r="H3195" s="296" t="s">
        <v>2033</v>
      </c>
      <c r="I3195" s="371"/>
      <c r="J3195" s="378"/>
      <c r="K3195" s="371">
        <v>203.5</v>
      </c>
      <c r="L3195" s="1214">
        <v>22700</v>
      </c>
      <c r="M3195" s="74">
        <f t="shared" si="1166"/>
        <v>4619450</v>
      </c>
      <c r="N3195" s="934" t="s">
        <v>99</v>
      </c>
      <c r="O3195" s="934" t="s">
        <v>256</v>
      </c>
      <c r="P3195" s="75" t="str">
        <f>IF(AND('331-CT'!$E$7=TH!H3195,OR(N3195="331",O3195="331")),"x","")</f>
        <v/>
      </c>
      <c r="Q3195" s="75" t="str">
        <f>IF(AND(B3195='111'!$L$11,OR($N3195=$Q$7,$O3195=$Q$7)),"x","")</f>
        <v/>
      </c>
      <c r="R3195" s="75" t="str">
        <f>IF(AND($N3195=$Q$7,$B3195&lt;'111'!$L$11),"x","")</f>
        <v/>
      </c>
      <c r="S3195" s="75" t="str">
        <f>IF(AND($O3195=$Q$7,$B3195&lt;'111'!$L$11),"x","")</f>
        <v/>
      </c>
      <c r="T3195" s="75" t="str">
        <f>IF(ISERROR(FIND('112'!$M$9,G3195,1)),"",IF((AND(FIND('112'!$M$9,G3195,1)&gt;=1,B3195='112'!$K$9,OR($N3195='112'!$I$6,$O3195='112'!$I$6))),"x",""))</f>
        <v/>
      </c>
      <c r="U3195" s="75" t="str">
        <f>IF(ISERROR(FIND('112'!$M$9,G3195,1)),"",IF((AND(LEFT(G3195,2)=LEFT('112'!$M$9,2),B3195&lt;'112'!$K$9,$N3195='112'!$I$6)),"x",""))</f>
        <v/>
      </c>
      <c r="V3195" s="75" t="str">
        <f>IF(ISERROR(FIND('112'!$M$9,G3195,1)),"",IF((AND(RIGHT(G3195,2)=RIGHT('112'!$M$9,2),B3195&lt;'112'!$K$9,$O3195='112'!$I$6)),"x",""))</f>
        <v/>
      </c>
      <c r="W3195" s="75" t="str">
        <f>IF(AND('341-CT'!$H$9=H3195,OR(LEFT(N3195,3)=$W$7,LEFT(O3195,3)=$W$7)),"x","")</f>
        <v/>
      </c>
      <c r="X3195" s="75" t="str">
        <f>IF(OR(TH!N3195=TH!$X$7,O3195=TH!$X$7),"x","")</f>
        <v/>
      </c>
      <c r="Y3195" s="75" t="str">
        <f>IF(AND(OR(N3195="131",O3195="131"),H3195='131-CT'!$H$9),"x","")</f>
        <v/>
      </c>
      <c r="Z3195" s="75"/>
      <c r="AA3195" s="75" t="str">
        <f>IF(AND(MONTH(E3195)='IN-NX'!$J$5,'IN-NX'!$D$7=D3195),"x","")</f>
        <v/>
      </c>
      <c r="AB3195" s="75" t="str">
        <f>IF(AND(OR(LEFT(TH!N3195,2)="15",LEFT(TH!O3195,2)="15"),LEFT(TH!O3195,3)&lt;&gt;"111",'152-CT'!$J$8=TH!F3195),"x","")</f>
        <v/>
      </c>
      <c r="AC3195" s="75" t="str">
        <f>IF(AND(OR(LEFT(TH!N3195,2)="15",LEFT(TH!O3195,2)="15"),TK!$E$7=TH!F3195),"x","")</f>
        <v/>
      </c>
      <c r="AD3195" s="75" t="str">
        <f>IF(AND(N3195="1521",MONTH(C3195)='BK-NL'!$M$11),"x","")</f>
        <v/>
      </c>
    </row>
    <row r="3196" spans="1:30" s="1264" customFormat="1" ht="16.5" customHeight="1">
      <c r="A3196" s="309" t="str">
        <f>IF(B3196&lt;&gt;"",IF(AND(B3196='IN-TC'!$S$4,OR(TH!N3196="1111",TH!O3196="1111")),TH!D3196,""),"")</f>
        <v/>
      </c>
      <c r="B3196" s="1263">
        <f t="shared" si="1164"/>
        <v>10</v>
      </c>
      <c r="C3196" s="929">
        <v>43033</v>
      </c>
      <c r="D3196" s="929" t="s">
        <v>902</v>
      </c>
      <c r="E3196" s="929">
        <f t="shared" si="1159"/>
        <v>43033</v>
      </c>
      <c r="F3196" s="930" t="s">
        <v>1096</v>
      </c>
      <c r="G3196" s="930" t="s">
        <v>747</v>
      </c>
      <c r="H3196" s="296" t="s">
        <v>1557</v>
      </c>
      <c r="I3196" s="371"/>
      <c r="J3196" s="378"/>
      <c r="K3196" s="371">
        <v>379.01</v>
      </c>
      <c r="L3196" s="1214">
        <v>22700</v>
      </c>
      <c r="M3196" s="74">
        <f t="shared" si="1166"/>
        <v>8603527</v>
      </c>
      <c r="N3196" s="934" t="s">
        <v>99</v>
      </c>
      <c r="O3196" s="934" t="s">
        <v>256</v>
      </c>
      <c r="P3196" s="75" t="str">
        <f>IF(AND('331-CT'!$E$7=TH!H3196,OR(N3196="331",O3196="331")),"x","")</f>
        <v/>
      </c>
      <c r="Q3196" s="75" t="str">
        <f>IF(AND(B3196='111'!$L$11,OR($N3196=$Q$7,$O3196=$Q$7)),"x","")</f>
        <v/>
      </c>
      <c r="R3196" s="75" t="str">
        <f>IF(AND($N3196=$Q$7,$B3196&lt;'111'!$L$11),"x","")</f>
        <v/>
      </c>
      <c r="S3196" s="75" t="str">
        <f>IF(AND($O3196=$Q$7,$B3196&lt;'111'!$L$11),"x","")</f>
        <v/>
      </c>
      <c r="T3196" s="75" t="str">
        <f>IF(ISERROR(FIND('112'!$M$9,G3196,1)),"",IF((AND(FIND('112'!$M$9,G3196,1)&gt;=1,B3196='112'!$K$9,OR($N3196='112'!$I$6,$O3196='112'!$I$6))),"x",""))</f>
        <v/>
      </c>
      <c r="U3196" s="75" t="str">
        <f>IF(ISERROR(FIND('112'!$M$9,G3196,1)),"",IF((AND(LEFT(G3196,2)=LEFT('112'!$M$9,2),B3196&lt;'112'!$K$9,$N3196='112'!$I$6)),"x",""))</f>
        <v/>
      </c>
      <c r="V3196" s="75" t="str">
        <f>IF(ISERROR(FIND('112'!$M$9,G3196,1)),"",IF((AND(RIGHT(G3196,2)=RIGHT('112'!$M$9,2),B3196&lt;'112'!$K$9,$O3196='112'!$I$6)),"x",""))</f>
        <v/>
      </c>
      <c r="W3196" s="75" t="str">
        <f>IF(AND('341-CT'!$H$9=H3196,OR(LEFT(N3196,3)=$W$7,LEFT(O3196,3)=$W$7)),"x","")</f>
        <v/>
      </c>
      <c r="X3196" s="75" t="str">
        <f>IF(OR(TH!N3196=TH!$X$7,O3196=TH!$X$7),"x","")</f>
        <v/>
      </c>
      <c r="Y3196" s="75" t="str">
        <f>IF(AND(OR(N3196="131",O3196="131"),H3196='131-CT'!$H$9),"x","")</f>
        <v/>
      </c>
      <c r="Z3196" s="75"/>
      <c r="AA3196" s="75" t="str">
        <f>IF(AND(MONTH(E3196)='IN-NX'!$J$5,'IN-NX'!$D$7=D3196),"x","")</f>
        <v/>
      </c>
      <c r="AB3196" s="75" t="str">
        <f>IF(AND(OR(LEFT(TH!N3196,2)="15",LEFT(TH!O3196,2)="15"),LEFT(TH!O3196,3)&lt;&gt;"111",'152-CT'!$J$8=TH!F3196),"x","")</f>
        <v/>
      </c>
      <c r="AC3196" s="75" t="str">
        <f>IF(AND(OR(LEFT(TH!N3196,2)="15",LEFT(TH!O3196,2)="15"),TK!$E$7=TH!F3196),"x","")</f>
        <v/>
      </c>
      <c r="AD3196" s="75" t="str">
        <f>IF(AND(N3196="1521",MONTH(C3196)='BK-NL'!$M$11),"x","")</f>
        <v/>
      </c>
    </row>
    <row r="3197" spans="1:30" s="1264" customFormat="1" ht="16.5" customHeight="1">
      <c r="A3197" s="309" t="str">
        <f>IF(B3197&lt;&gt;"",IF(AND(B3197='IN-TC'!$S$4,OR(TH!N3197="1111",TH!O3197="1111")),TH!D3197,""),"")</f>
        <v/>
      </c>
      <c r="B3197" s="1263">
        <f t="shared" si="1164"/>
        <v>10</v>
      </c>
      <c r="C3197" s="929">
        <v>43033</v>
      </c>
      <c r="D3197" s="929" t="s">
        <v>902</v>
      </c>
      <c r="E3197" s="929">
        <f t="shared" si="1159"/>
        <v>43033</v>
      </c>
      <c r="F3197" s="930" t="s">
        <v>1096</v>
      </c>
      <c r="G3197" s="930" t="s">
        <v>747</v>
      </c>
      <c r="H3197" s="296" t="s">
        <v>1560</v>
      </c>
      <c r="I3197" s="371"/>
      <c r="J3197" s="378"/>
      <c r="K3197" s="371">
        <v>304.17</v>
      </c>
      <c r="L3197" s="1214">
        <v>22700</v>
      </c>
      <c r="M3197" s="74">
        <f t="shared" si="1166"/>
        <v>6904659</v>
      </c>
      <c r="N3197" s="934" t="s">
        <v>99</v>
      </c>
      <c r="O3197" s="934" t="s">
        <v>256</v>
      </c>
      <c r="P3197" s="75" t="str">
        <f>IF(AND('331-CT'!$E$7=TH!H3197,OR(N3197="331",O3197="331")),"x","")</f>
        <v/>
      </c>
      <c r="Q3197" s="75" t="str">
        <f>IF(AND(B3197='111'!$L$11,OR($N3197=$Q$7,$O3197=$Q$7)),"x","")</f>
        <v/>
      </c>
      <c r="R3197" s="75" t="str">
        <f>IF(AND($N3197=$Q$7,$B3197&lt;'111'!$L$11),"x","")</f>
        <v/>
      </c>
      <c r="S3197" s="75" t="str">
        <f>IF(AND($O3197=$Q$7,$B3197&lt;'111'!$L$11),"x","")</f>
        <v/>
      </c>
      <c r="T3197" s="75" t="str">
        <f>IF(ISERROR(FIND('112'!$M$9,G3197,1)),"",IF((AND(FIND('112'!$M$9,G3197,1)&gt;=1,B3197='112'!$K$9,OR($N3197='112'!$I$6,$O3197='112'!$I$6))),"x",""))</f>
        <v/>
      </c>
      <c r="U3197" s="75" t="str">
        <f>IF(ISERROR(FIND('112'!$M$9,G3197,1)),"",IF((AND(LEFT(G3197,2)=LEFT('112'!$M$9,2),B3197&lt;'112'!$K$9,$N3197='112'!$I$6)),"x",""))</f>
        <v/>
      </c>
      <c r="V3197" s="75" t="str">
        <f>IF(ISERROR(FIND('112'!$M$9,G3197,1)),"",IF((AND(RIGHT(G3197,2)=RIGHT('112'!$M$9,2),B3197&lt;'112'!$K$9,$O3197='112'!$I$6)),"x",""))</f>
        <v/>
      </c>
      <c r="W3197" s="75" t="str">
        <f>IF(AND('341-CT'!$H$9=H3197,OR(LEFT(N3197,3)=$W$7,LEFT(O3197,3)=$W$7)),"x","")</f>
        <v/>
      </c>
      <c r="X3197" s="75" t="str">
        <f>IF(OR(TH!N3197=TH!$X$7,O3197=TH!$X$7),"x","")</f>
        <v/>
      </c>
      <c r="Y3197" s="75" t="str">
        <f>IF(AND(OR(N3197="131",O3197="131"),H3197='131-CT'!$H$9),"x","")</f>
        <v/>
      </c>
      <c r="Z3197" s="75"/>
      <c r="AA3197" s="75" t="str">
        <f>IF(AND(MONTH(E3197)='IN-NX'!$J$5,'IN-NX'!$D$7=D3197),"x","")</f>
        <v/>
      </c>
      <c r="AB3197" s="75" t="str">
        <f>IF(AND(OR(LEFT(TH!N3197,2)="15",LEFT(TH!O3197,2)="15"),LEFT(TH!O3197,3)&lt;&gt;"111",'152-CT'!$J$8=TH!F3197),"x","")</f>
        <v/>
      </c>
      <c r="AC3197" s="75" t="str">
        <f>IF(AND(OR(LEFT(TH!N3197,2)="15",LEFT(TH!O3197,2)="15"),TK!$E$7=TH!F3197),"x","")</f>
        <v/>
      </c>
      <c r="AD3197" s="75" t="str">
        <f>IF(AND(N3197="1521",MONTH(C3197)='BK-NL'!$M$11),"x","")</f>
        <v/>
      </c>
    </row>
    <row r="3198" spans="1:30" s="1264" customFormat="1" ht="16.5" customHeight="1">
      <c r="A3198" s="309" t="str">
        <f>IF(B3198&lt;&gt;"",IF(AND(B3198='IN-TC'!$S$4,OR(TH!N3198="1111",TH!O3198="1111")),TH!D3198,""),"")</f>
        <v/>
      </c>
      <c r="B3198" s="1263">
        <f t="shared" si="1164"/>
        <v>10</v>
      </c>
      <c r="C3198" s="929">
        <v>43034</v>
      </c>
      <c r="D3198" s="929" t="s">
        <v>903</v>
      </c>
      <c r="E3198" s="929">
        <f>C3198</f>
        <v>43034</v>
      </c>
      <c r="F3198" s="930" t="s">
        <v>1086</v>
      </c>
      <c r="G3198" s="930" t="s">
        <v>747</v>
      </c>
      <c r="H3198" s="296" t="s">
        <v>759</v>
      </c>
      <c r="I3198" s="1213"/>
      <c r="J3198" s="378"/>
      <c r="K3198" s="1213">
        <v>427500.37</v>
      </c>
      <c r="L3198" s="1214">
        <v>22710</v>
      </c>
      <c r="M3198" s="1214">
        <f t="shared" ref="M3198:M3199" si="1167">ROUND(K3198*L3198,0)</f>
        <v>9708533403</v>
      </c>
      <c r="N3198" s="934" t="s">
        <v>256</v>
      </c>
      <c r="O3198" s="934" t="s">
        <v>536</v>
      </c>
      <c r="P3198" s="75" t="str">
        <f>IF(AND('331-CT'!$E$7=TH!H3198,OR(N3198="331",O3198="331")),"x","")</f>
        <v/>
      </c>
      <c r="Q3198" s="75" t="str">
        <f>IF(AND(B3198='111'!$L$11,OR($N3198=$Q$7,$O3198=$Q$7)),"x","")</f>
        <v/>
      </c>
      <c r="R3198" s="75" t="str">
        <f>IF(AND($N3198=$Q$7,$B3198&lt;'111'!$L$11),"x","")</f>
        <v/>
      </c>
      <c r="S3198" s="75" t="str">
        <f>IF(AND($O3198=$Q$7,$B3198&lt;'111'!$L$11),"x","")</f>
        <v/>
      </c>
      <c r="T3198" s="75" t="str">
        <f>IF(ISERROR(FIND('112'!$M$9,G3198,1)),"",IF((AND(FIND('112'!$M$9,G3198,1)&gt;=1,B3198='112'!$K$9,OR($N3198='112'!$I$6,$O3198='112'!$I$6))),"x",""))</f>
        <v/>
      </c>
      <c r="U3198" s="75" t="str">
        <f>IF(ISERROR(FIND('112'!$M$9,G3198,1)),"",IF((AND(LEFT(G3198,2)=LEFT('112'!$M$9,2),B3198&lt;'112'!$K$9,$N3198='112'!$I$6)),"x",""))</f>
        <v/>
      </c>
      <c r="V3198" s="75" t="str">
        <f>IF(ISERROR(FIND('112'!$M$9,G3198,1)),"",IF((AND(RIGHT(G3198,2)=RIGHT('112'!$M$9,2),B3198&lt;'112'!$K$9,$O3198='112'!$I$6)),"x",""))</f>
        <v/>
      </c>
      <c r="W3198" s="75" t="str">
        <f>IF(AND('341-CT'!$H$9=H3198,OR(LEFT(N3198,3)=$W$7,LEFT(O3198,3)=$W$7)),"x","")</f>
        <v/>
      </c>
      <c r="X3198" s="75" t="str">
        <f>IF(OR(TH!N3198=TH!$X$7,O3198=TH!$X$7),"x","")</f>
        <v/>
      </c>
      <c r="Y3198" s="75" t="str">
        <f>IF(AND(OR(N3198="131",O3198="131"),H3198='131-CT'!$H$9),"x","")</f>
        <v/>
      </c>
      <c r="Z3198" s="75"/>
      <c r="AA3198" s="75" t="str">
        <f>IF(AND(MONTH(E3198)='IN-NX'!$J$5,'IN-NX'!$D$7=D3198),"x","")</f>
        <v/>
      </c>
      <c r="AB3198" s="75" t="str">
        <f>IF(AND(OR(LEFT(TH!N3198,2)="15",LEFT(TH!O3198,2)="15"),LEFT(TH!O3198,3)&lt;&gt;"111",'152-CT'!$J$8=TH!F3198),"x","")</f>
        <v/>
      </c>
      <c r="AC3198" s="75" t="str">
        <f>IF(AND(OR(LEFT(TH!N3198,2)="15",LEFT(TH!O3198,2)="15"),TK!$E$7=TH!F3198),"x","")</f>
        <v/>
      </c>
      <c r="AD3198" s="75" t="str">
        <f>IF(AND(N3198="1521",MONTH(C3198)='BK-NL'!$M$11),"x","")</f>
        <v/>
      </c>
    </row>
    <row r="3199" spans="1:30" s="1264" customFormat="1" ht="16.5" customHeight="1">
      <c r="A3199" s="309" t="str">
        <f>IF(B3199&lt;&gt;"",IF(AND(B3199='IN-TC'!$S$4,OR(TH!N3199="1111",TH!O3199="1111")),TH!D3199,""),"")</f>
        <v/>
      </c>
      <c r="B3199" s="1263">
        <f t="shared" si="1164"/>
        <v>10</v>
      </c>
      <c r="C3199" s="929">
        <v>43034</v>
      </c>
      <c r="D3199" s="929" t="s">
        <v>530</v>
      </c>
      <c r="E3199" s="929">
        <f>C3199</f>
        <v>43034</v>
      </c>
      <c r="F3199" s="930" t="s">
        <v>1027</v>
      </c>
      <c r="G3199" s="930" t="s">
        <v>747</v>
      </c>
      <c r="H3199" s="296" t="s">
        <v>759</v>
      </c>
      <c r="I3199" s="1213"/>
      <c r="J3199" s="378"/>
      <c r="K3199" s="1213">
        <v>17.63</v>
      </c>
      <c r="L3199" s="1214">
        <v>22710</v>
      </c>
      <c r="M3199" s="1214">
        <f t="shared" si="1167"/>
        <v>400377</v>
      </c>
      <c r="N3199" s="934" t="s">
        <v>101</v>
      </c>
      <c r="O3199" s="934" t="s">
        <v>536</v>
      </c>
      <c r="P3199" s="75" t="str">
        <f>IF(AND('331-CT'!$E$7=TH!H3199,OR(N3199="331",O3199="331")),"x","")</f>
        <v/>
      </c>
      <c r="Q3199" s="75" t="str">
        <f>IF(AND(B3199='111'!$L$11,OR($N3199=$Q$7,$O3199=$Q$7)),"x","")</f>
        <v/>
      </c>
      <c r="R3199" s="75" t="str">
        <f>IF(AND($N3199=$Q$7,$B3199&lt;'111'!$L$11),"x","")</f>
        <v/>
      </c>
      <c r="S3199" s="75" t="str">
        <f>IF(AND($O3199=$Q$7,$B3199&lt;'111'!$L$11),"x","")</f>
        <v/>
      </c>
      <c r="T3199" s="75" t="str">
        <f>IF(ISERROR(FIND('112'!$M$9,G3199,1)),"",IF((AND(FIND('112'!$M$9,G3199,1)&gt;=1,B3199='112'!$K$9,OR($N3199='112'!$I$6,$O3199='112'!$I$6))),"x",""))</f>
        <v/>
      </c>
      <c r="U3199" s="75" t="str">
        <f>IF(ISERROR(FIND('112'!$M$9,G3199,1)),"",IF((AND(LEFT(G3199,2)=LEFT('112'!$M$9,2),B3199&lt;'112'!$K$9,$N3199='112'!$I$6)),"x",""))</f>
        <v/>
      </c>
      <c r="V3199" s="75" t="str">
        <f>IF(ISERROR(FIND('112'!$M$9,G3199,1)),"",IF((AND(RIGHT(G3199,2)=RIGHT('112'!$M$9,2),B3199&lt;'112'!$K$9,$O3199='112'!$I$6)),"x",""))</f>
        <v/>
      </c>
      <c r="W3199" s="75" t="str">
        <f>IF(AND('341-CT'!$H$9=H3199,OR(LEFT(N3199,3)=$W$7,LEFT(O3199,3)=$W$7)),"x","")</f>
        <v/>
      </c>
      <c r="X3199" s="75" t="str">
        <f>IF(OR(TH!N3199=TH!$X$7,O3199=TH!$X$7),"x","")</f>
        <v/>
      </c>
      <c r="Y3199" s="75" t="str">
        <f>IF(AND(OR(N3199="131",O3199="131"),H3199='131-CT'!$H$9),"x","")</f>
        <v/>
      </c>
      <c r="Z3199" s="75"/>
      <c r="AA3199" s="75" t="str">
        <f>IF(AND(MONTH(E3199)='IN-NX'!$J$5,'IN-NX'!$D$7=D3199),"x","")</f>
        <v/>
      </c>
      <c r="AB3199" s="75" t="str">
        <f>IF(AND(OR(LEFT(TH!N3199,2)="15",LEFT(TH!O3199,2)="15"),LEFT(TH!O3199,3)&lt;&gt;"111",'152-CT'!$J$8=TH!F3199),"x","")</f>
        <v/>
      </c>
      <c r="AC3199" s="75" t="str">
        <f>IF(AND(OR(LEFT(TH!N3199,2)="15",LEFT(TH!O3199,2)="15"),TK!$E$7=TH!F3199),"x","")</f>
        <v/>
      </c>
      <c r="AD3199" s="75" t="str">
        <f>IF(AND(N3199="1521",MONTH(C3199)='BK-NL'!$M$11),"x","")</f>
        <v/>
      </c>
    </row>
    <row r="3200" spans="1:30" s="1264" customFormat="1" ht="16.5" customHeight="1">
      <c r="A3200" s="309" t="str">
        <f>IF(B3200&lt;&gt;"",IF(AND(B3200='IN-TC'!$S$4,OR(TH!N3200="1111",TH!O3200="1111")),TH!D3200,""),"")</f>
        <v/>
      </c>
      <c r="B3200" s="1263">
        <f t="shared" ref="B3200" si="1168">IF(C3200&lt;&gt;"",MONTH(C3200),"")</f>
        <v>10</v>
      </c>
      <c r="C3200" s="929">
        <v>43034</v>
      </c>
      <c r="D3200" s="929" t="s">
        <v>530</v>
      </c>
      <c r="E3200" s="929">
        <f>C3200</f>
        <v>43034</v>
      </c>
      <c r="F3200" s="930" t="s">
        <v>1010</v>
      </c>
      <c r="G3200" s="930" t="s">
        <v>747</v>
      </c>
      <c r="H3200" s="296" t="s">
        <v>759</v>
      </c>
      <c r="I3200" s="1213"/>
      <c r="J3200" s="378"/>
      <c r="K3200" s="1213"/>
      <c r="L3200" s="1214"/>
      <c r="M3200" s="74">
        <v>4275180</v>
      </c>
      <c r="N3200" s="934" t="s">
        <v>536</v>
      </c>
      <c r="O3200" s="934" t="s">
        <v>43</v>
      </c>
      <c r="P3200" s="75" t="str">
        <f>IF(AND('331-CT'!$E$7=TH!H3200,OR(N3200="331",O3200="331")),"x","")</f>
        <v/>
      </c>
      <c r="Q3200" s="75" t="str">
        <f>IF(AND(B3200='111'!$L$11,OR($N3200=$Q$7,$O3200=$Q$7)),"x","")</f>
        <v/>
      </c>
      <c r="R3200" s="75" t="str">
        <f>IF(AND($N3200=$Q$7,$B3200&lt;'111'!$L$11),"x","")</f>
        <v/>
      </c>
      <c r="S3200" s="75" t="str">
        <f>IF(AND($O3200=$Q$7,$B3200&lt;'111'!$L$11),"x","")</f>
        <v/>
      </c>
      <c r="T3200" s="75" t="str">
        <f>IF(ISERROR(FIND('112'!$M$9,G3200,1)),"",IF((AND(FIND('112'!$M$9,G3200,1)&gt;=1,B3200='112'!$K$9,OR($N3200='112'!$I$6,$O3200='112'!$I$6))),"x",""))</f>
        <v/>
      </c>
      <c r="U3200" s="75" t="str">
        <f>IF(ISERROR(FIND('112'!$M$9,G3200,1)),"",IF((AND(LEFT(G3200,2)=LEFT('112'!$M$9,2),B3200&lt;'112'!$K$9,$N3200='112'!$I$6)),"x",""))</f>
        <v/>
      </c>
      <c r="V3200" s="75" t="str">
        <f>IF(ISERROR(FIND('112'!$M$9,G3200,1)),"",IF((AND(RIGHT(G3200,2)=RIGHT('112'!$M$9,2),B3200&lt;'112'!$K$9,$O3200='112'!$I$6)),"x",""))</f>
        <v/>
      </c>
      <c r="W3200" s="75" t="str">
        <f>IF(AND('341-CT'!$H$9=H3200,OR(LEFT(N3200,3)=$W$7,LEFT(O3200,3)=$W$7)),"x","")</f>
        <v/>
      </c>
      <c r="X3200" s="75" t="str">
        <f>IF(OR(TH!N3200=TH!$X$7,O3200=TH!$X$7),"x","")</f>
        <v/>
      </c>
      <c r="Y3200" s="75" t="str">
        <f>IF(AND(OR(N3200="131",O3200="131"),H3200='131-CT'!$H$9),"x","")</f>
        <v/>
      </c>
      <c r="Z3200" s="75"/>
      <c r="AA3200" s="75" t="str">
        <f>IF(AND(MONTH(E3200)='IN-NX'!$J$5,'IN-NX'!$D$7=D3200),"x","")</f>
        <v/>
      </c>
      <c r="AB3200" s="75" t="str">
        <f>IF(AND(OR(LEFT(TH!N3200,2)="15",LEFT(TH!O3200,2)="15"),LEFT(TH!O3200,3)&lt;&gt;"111",'152-CT'!$J$8=TH!F3200),"x","")</f>
        <v/>
      </c>
      <c r="AC3200" s="75" t="str">
        <f>IF(AND(OR(LEFT(TH!N3200,2)="15",LEFT(TH!O3200,2)="15"),TK!$E$7=TH!F3200),"x","")</f>
        <v/>
      </c>
      <c r="AD3200" s="75" t="str">
        <f>IF(AND(N3200="1521",MONTH(C3200)='BK-NL'!$M$11),"x","")</f>
        <v/>
      </c>
    </row>
    <row r="3201" spans="1:31" s="1316" customFormat="1" ht="16.5" customHeight="1">
      <c r="A3201" s="309" t="str">
        <f>IF(B3201&lt;&gt;"",IF(AND(B3201='IN-TC'!$S$4,OR(TH!N3201="1111",TH!O3201="1111")),TH!D3201,""),"")</f>
        <v/>
      </c>
      <c r="B3201" s="1263">
        <f t="shared" ref="B3201:B3221" si="1169">IF(C3201&lt;&gt;"",MONTH(C3201),"")</f>
        <v>10</v>
      </c>
      <c r="C3201" s="929">
        <v>43034</v>
      </c>
      <c r="D3201" s="929" t="s">
        <v>902</v>
      </c>
      <c r="E3201" s="929">
        <f t="shared" ref="E3201:E3217" si="1170">C3201</f>
        <v>43034</v>
      </c>
      <c r="F3201" s="930" t="s">
        <v>2480</v>
      </c>
      <c r="G3201" s="930" t="s">
        <v>1738</v>
      </c>
      <c r="H3201" s="296" t="s">
        <v>835</v>
      </c>
      <c r="I3201" s="1213"/>
      <c r="J3201" s="378"/>
      <c r="K3201" s="1213">
        <v>4000</v>
      </c>
      <c r="L3201" s="1214">
        <v>22710</v>
      </c>
      <c r="M3201" s="1214">
        <f t="shared" ref="M3201" si="1171">ROUND(K3201*L3201,0)</f>
        <v>90840000</v>
      </c>
      <c r="N3201" s="934" t="s">
        <v>256</v>
      </c>
      <c r="O3201" s="934" t="s">
        <v>256</v>
      </c>
      <c r="P3201" s="75" t="str">
        <f>IF(AND('331-CT'!$E$7=TH!H3201,OR(N3201="331",O3201="331")),"x","")</f>
        <v/>
      </c>
      <c r="Q3201" s="75" t="str">
        <f>IF(AND(B3201='111'!$L$11,OR($N3201=$Q$7,$O3201=$Q$7)),"x","")</f>
        <v/>
      </c>
      <c r="R3201" s="75" t="str">
        <f>IF(AND($N3201=$Q$7,$B3201&lt;'111'!$L$11),"x","")</f>
        <v/>
      </c>
      <c r="S3201" s="75" t="str">
        <f>IF(AND($O3201=$Q$7,$B3201&lt;'111'!$L$11),"x","")</f>
        <v/>
      </c>
      <c r="T3201" s="75" t="str">
        <f>IF(ISERROR(FIND('112'!$M$9,G3201,1)),"",IF((AND(FIND('112'!$M$9,G3201,1)&gt;=1,B3201='112'!$K$9,OR($N3201='112'!$I$6,$O3201='112'!$I$6))),"x",""))</f>
        <v/>
      </c>
      <c r="U3201" s="75" t="str">
        <f>IF(ISERROR(FIND('112'!$M$9,G3201,1)),"",IF((AND(LEFT(G3201,2)=LEFT('112'!$M$9,2),B3201&lt;'112'!$K$9,$N3201='112'!$I$6)),"x",""))</f>
        <v/>
      </c>
      <c r="V3201" s="75" t="str">
        <f>IF(ISERROR(FIND('112'!$M$9,G3201,1)),"",IF((AND(RIGHT(G3201,2)=RIGHT('112'!$M$9,2),B3201&lt;'112'!$K$9,$O3201='112'!$I$6)),"x",""))</f>
        <v/>
      </c>
      <c r="W3201" s="75" t="str">
        <f>IF(AND('341-CT'!$H$9=H3201,OR(LEFT(N3201,3)=$W$7,LEFT(O3201,3)=$W$7)),"x","")</f>
        <v/>
      </c>
      <c r="X3201" s="75" t="str">
        <f>IF(OR(TH!N3201=TH!$X$7,O3201=TH!$X$7),"x","")</f>
        <v/>
      </c>
      <c r="Y3201" s="75" t="str">
        <f>IF(AND(OR(N3201="131",O3201="131"),H3201='131-CT'!$H$9),"x","")</f>
        <v/>
      </c>
      <c r="Z3201" s="75"/>
      <c r="AA3201" s="75" t="str">
        <f>IF(AND(MONTH(E3201)='IN-NX'!$J$5,'IN-NX'!$D$7=D3201),"x","")</f>
        <v/>
      </c>
      <c r="AB3201" s="75" t="str">
        <f>IF(AND(OR(LEFT(TH!N3201,2)="15",LEFT(TH!O3201,2)="15"),LEFT(TH!O3201,3)&lt;&gt;"111",'152-CT'!$J$8=TH!F3201),"x","")</f>
        <v/>
      </c>
      <c r="AC3201" s="75" t="str">
        <f>IF(AND(OR(LEFT(TH!N3201,2)="15",LEFT(TH!O3201,2)="15"),TK!$E$7=TH!F3201),"x","")</f>
        <v/>
      </c>
      <c r="AD3201" s="75" t="str">
        <f>IF(AND(N3201="1521",MONTH(C3201)='BK-NL'!$M$11),"x","")</f>
        <v/>
      </c>
    </row>
    <row r="3202" spans="1:31" s="1316" customFormat="1" ht="16.5" customHeight="1">
      <c r="A3202" s="309" t="str">
        <f>IF(B3202&lt;&gt;"",IF(AND(B3202='IN-TC'!$S$4,OR(TH!N3202="1111",TH!O3202="1111")),TH!D3202,""),"")</f>
        <v/>
      </c>
      <c r="B3202" s="1263">
        <f t="shared" si="1169"/>
        <v>10</v>
      </c>
      <c r="C3202" s="929">
        <v>43034</v>
      </c>
      <c r="D3202" s="929" t="s">
        <v>902</v>
      </c>
      <c r="E3202" s="929">
        <f t="shared" si="1170"/>
        <v>43034</v>
      </c>
      <c r="F3202" s="930" t="s">
        <v>2481</v>
      </c>
      <c r="G3202" s="930" t="s">
        <v>747</v>
      </c>
      <c r="H3202" s="296" t="s">
        <v>835</v>
      </c>
      <c r="I3202" s="1213"/>
      <c r="J3202" s="378"/>
      <c r="K3202" s="1213">
        <v>3</v>
      </c>
      <c r="L3202" s="1214">
        <v>22710</v>
      </c>
      <c r="M3202" s="74">
        <f t="shared" ref="M3202:M3210" si="1172">ROUND(K3202*L3202,0)</f>
        <v>68130</v>
      </c>
      <c r="N3202" s="934" t="s">
        <v>101</v>
      </c>
      <c r="O3202" s="934" t="s">
        <v>256</v>
      </c>
      <c r="P3202" s="75" t="str">
        <f>IF(AND('331-CT'!$E$7=TH!H3202,OR(N3202="331",O3202="331")),"x","")</f>
        <v/>
      </c>
      <c r="Q3202" s="75" t="str">
        <f>IF(AND(B3202='111'!$L$11,OR($N3202=$Q$7,$O3202=$Q$7)),"x","")</f>
        <v/>
      </c>
      <c r="R3202" s="75" t="str">
        <f>IF(AND($N3202=$Q$7,$B3202&lt;'111'!$L$11),"x","")</f>
        <v/>
      </c>
      <c r="S3202" s="75" t="str">
        <f>IF(AND($O3202=$Q$7,$B3202&lt;'111'!$L$11),"x","")</f>
        <v/>
      </c>
      <c r="T3202" s="75" t="str">
        <f>IF(ISERROR(FIND('112'!$M$9,G3202,1)),"",IF((AND(FIND('112'!$M$9,G3202,1)&gt;=1,B3202='112'!$K$9,OR($N3202='112'!$I$6,$O3202='112'!$I$6))),"x",""))</f>
        <v/>
      </c>
      <c r="U3202" s="75" t="str">
        <f>IF(ISERROR(FIND('112'!$M$9,G3202,1)),"",IF((AND(LEFT(G3202,2)=LEFT('112'!$M$9,2),B3202&lt;'112'!$K$9,$N3202='112'!$I$6)),"x",""))</f>
        <v/>
      </c>
      <c r="V3202" s="75" t="str">
        <f>IF(ISERROR(FIND('112'!$M$9,G3202,1)),"",IF((AND(RIGHT(G3202,2)=RIGHT('112'!$M$9,2),B3202&lt;'112'!$K$9,$O3202='112'!$I$6)),"x",""))</f>
        <v/>
      </c>
      <c r="W3202" s="75" t="str">
        <f>IF(AND('341-CT'!$H$9=H3202,OR(LEFT(N3202,3)=$W$7,LEFT(O3202,3)=$W$7)),"x","")</f>
        <v/>
      </c>
      <c r="X3202" s="75" t="str">
        <f>IF(OR(TH!N3202=TH!$X$7,O3202=TH!$X$7),"x","")</f>
        <v/>
      </c>
      <c r="Y3202" s="75" t="str">
        <f>IF(AND(OR(N3202="131",O3202="131"),H3202='131-CT'!$H$9),"x","")</f>
        <v/>
      </c>
      <c r="Z3202" s="75"/>
      <c r="AA3202" s="75" t="str">
        <f>IF(AND(MONTH(E3202)='IN-NX'!$J$5,'IN-NX'!$D$7=D3202),"x","")</f>
        <v/>
      </c>
      <c r="AB3202" s="75" t="str">
        <f>IF(AND(OR(LEFT(TH!N3202,2)="15",LEFT(TH!O3202,2)="15"),LEFT(TH!O3202,3)&lt;&gt;"111",'152-CT'!$J$8=TH!F3202),"x","")</f>
        <v/>
      </c>
      <c r="AC3202" s="75" t="str">
        <f>IF(AND(OR(LEFT(TH!N3202,2)="15",LEFT(TH!O3202,2)="15"),TK!$E$7=TH!F3202),"x","")</f>
        <v/>
      </c>
      <c r="AD3202" s="75" t="str">
        <f>IF(AND(N3202="1521",MONTH(C3202)='BK-NL'!$M$11),"x","")</f>
        <v/>
      </c>
      <c r="AE3202" s="1316">
        <v>10</v>
      </c>
    </row>
    <row r="3203" spans="1:31" s="1316" customFormat="1" ht="16.5" customHeight="1">
      <c r="A3203" s="309" t="str">
        <f>IF(B3203&lt;&gt;"",IF(AND(B3203='IN-TC'!$S$4,OR(TH!N3203="1111",TH!O3203="1111")),TH!D3203,""),"")</f>
        <v/>
      </c>
      <c r="B3203" s="1263">
        <f t="shared" si="1169"/>
        <v>10</v>
      </c>
      <c r="C3203" s="929">
        <v>43034</v>
      </c>
      <c r="D3203" s="929" t="s">
        <v>902</v>
      </c>
      <c r="E3203" s="929">
        <f t="shared" si="1170"/>
        <v>43034</v>
      </c>
      <c r="F3203" s="930" t="s">
        <v>2482</v>
      </c>
      <c r="G3203" s="930" t="s">
        <v>747</v>
      </c>
      <c r="H3203" s="296" t="s">
        <v>835</v>
      </c>
      <c r="I3203" s="1213"/>
      <c r="J3203" s="378"/>
      <c r="K3203" s="1213">
        <v>0.3</v>
      </c>
      <c r="L3203" s="1214">
        <v>22710</v>
      </c>
      <c r="M3203" s="74">
        <f t="shared" si="1172"/>
        <v>6813</v>
      </c>
      <c r="N3203" s="934" t="s">
        <v>9</v>
      </c>
      <c r="O3203" s="934" t="s">
        <v>256</v>
      </c>
      <c r="P3203" s="75" t="str">
        <f>IF(AND('331-CT'!$E$7=TH!H3203,OR(N3203="331",O3203="331")),"x","")</f>
        <v/>
      </c>
      <c r="Q3203" s="75" t="str">
        <f>IF(AND(B3203='111'!$L$11,OR($N3203=$Q$7,$O3203=$Q$7)),"x","")</f>
        <v/>
      </c>
      <c r="R3203" s="75" t="str">
        <f>IF(AND($N3203=$Q$7,$B3203&lt;'111'!$L$11),"x","")</f>
        <v/>
      </c>
      <c r="S3203" s="75" t="str">
        <f>IF(AND($O3203=$Q$7,$B3203&lt;'111'!$L$11),"x","")</f>
        <v/>
      </c>
      <c r="T3203" s="75" t="str">
        <f>IF(ISERROR(FIND('112'!$M$9,G3203,1)),"",IF((AND(FIND('112'!$M$9,G3203,1)&gt;=1,B3203='112'!$K$9,OR($N3203='112'!$I$6,$O3203='112'!$I$6))),"x",""))</f>
        <v/>
      </c>
      <c r="U3203" s="75" t="str">
        <f>IF(ISERROR(FIND('112'!$M$9,G3203,1)),"",IF((AND(LEFT(G3203,2)=LEFT('112'!$M$9,2),B3203&lt;'112'!$K$9,$N3203='112'!$I$6)),"x",""))</f>
        <v/>
      </c>
      <c r="V3203" s="75" t="str">
        <f>IF(ISERROR(FIND('112'!$M$9,G3203,1)),"",IF((AND(RIGHT(G3203,2)=RIGHT('112'!$M$9,2),B3203&lt;'112'!$K$9,$O3203='112'!$I$6)),"x",""))</f>
        <v/>
      </c>
      <c r="W3203" s="75" t="str">
        <f>IF(AND('341-CT'!$H$9=H3203,OR(LEFT(N3203,3)=$W$7,LEFT(O3203,3)=$W$7)),"x","")</f>
        <v/>
      </c>
      <c r="X3203" s="75" t="str">
        <f>IF(OR(TH!N3203=TH!$X$7,O3203=TH!$X$7),"x","")</f>
        <v/>
      </c>
      <c r="Y3203" s="75" t="str">
        <f>IF(AND(OR(N3203="131",O3203="131"),H3203='131-CT'!$H$9),"x","")</f>
        <v/>
      </c>
      <c r="Z3203" s="75"/>
      <c r="AA3203" s="75" t="str">
        <f>IF(AND(MONTH(E3203)='IN-NX'!$J$5,'IN-NX'!$D$7=D3203),"x","")</f>
        <v/>
      </c>
      <c r="AB3203" s="75" t="str">
        <f>IF(AND(OR(LEFT(TH!N3203,2)="15",LEFT(TH!O3203,2)="15"),LEFT(TH!O3203,3)&lt;&gt;"111",'152-CT'!$J$8=TH!F3203),"x","")</f>
        <v/>
      </c>
      <c r="AC3203" s="75" t="str">
        <f>IF(AND(OR(LEFT(TH!N3203,2)="15",LEFT(TH!O3203,2)="15"),TK!$E$7=TH!F3203),"x","")</f>
        <v/>
      </c>
      <c r="AD3203" s="75" t="str">
        <f>IF(AND(N3203="1521",MONTH(C3203)='BK-NL'!$M$11),"x","")</f>
        <v/>
      </c>
      <c r="AE3203" s="1316">
        <v>10</v>
      </c>
    </row>
    <row r="3204" spans="1:31" s="1316" customFormat="1" ht="16.5" customHeight="1">
      <c r="A3204" s="309" t="str">
        <f>IF(B3204&lt;&gt;"",IF(AND(B3204='IN-TC'!$S$4,OR(TH!N3204="1111",TH!O3204="1111")),TH!D3204,""),"")</f>
        <v/>
      </c>
      <c r="B3204" s="1263">
        <f t="shared" si="1169"/>
        <v>10</v>
      </c>
      <c r="C3204" s="929">
        <v>43034</v>
      </c>
      <c r="D3204" s="929" t="s">
        <v>902</v>
      </c>
      <c r="E3204" s="929">
        <f t="shared" si="1170"/>
        <v>43034</v>
      </c>
      <c r="F3204" s="930" t="s">
        <v>2480</v>
      </c>
      <c r="G3204" s="930" t="s">
        <v>925</v>
      </c>
      <c r="H3204" s="296" t="s">
        <v>835</v>
      </c>
      <c r="I3204" s="1213"/>
      <c r="J3204" s="378"/>
      <c r="K3204" s="1213">
        <v>233000</v>
      </c>
      <c r="L3204" s="1214">
        <v>22710</v>
      </c>
      <c r="M3204" s="1214">
        <f t="shared" si="1172"/>
        <v>5291430000</v>
      </c>
      <c r="N3204" s="934" t="s">
        <v>256</v>
      </c>
      <c r="O3204" s="934" t="s">
        <v>256</v>
      </c>
      <c r="P3204" s="75" t="str">
        <f>IF(AND('331-CT'!$E$7=TH!H3204,OR(N3204="331",O3204="331")),"x","")</f>
        <v/>
      </c>
      <c r="Q3204" s="75" t="str">
        <f>IF(AND(B3204='111'!$L$11,OR($N3204=$Q$7,$O3204=$Q$7)),"x","")</f>
        <v/>
      </c>
      <c r="R3204" s="75" t="str">
        <f>IF(AND($N3204=$Q$7,$B3204&lt;'111'!$L$11),"x","")</f>
        <v/>
      </c>
      <c r="S3204" s="75" t="str">
        <f>IF(AND($O3204=$Q$7,$B3204&lt;'111'!$L$11),"x","")</f>
        <v/>
      </c>
      <c r="T3204" s="75" t="str">
        <f>IF(ISERROR(FIND('112'!$M$9,G3204,1)),"",IF((AND(FIND('112'!$M$9,G3204,1)&gt;=1,B3204='112'!$K$9,OR($N3204='112'!$I$6,$O3204='112'!$I$6))),"x",""))</f>
        <v/>
      </c>
      <c r="U3204" s="75" t="str">
        <f>IF(ISERROR(FIND('112'!$M$9,G3204,1)),"",IF((AND(LEFT(G3204,2)=LEFT('112'!$M$9,2),B3204&lt;'112'!$K$9,$N3204='112'!$I$6)),"x",""))</f>
        <v/>
      </c>
      <c r="V3204" s="75" t="str">
        <f>IF(ISERROR(FIND('112'!$M$9,G3204,1)),"",IF((AND(RIGHT(G3204,2)=RIGHT('112'!$M$9,2),B3204&lt;'112'!$K$9,$O3204='112'!$I$6)),"x",""))</f>
        <v/>
      </c>
      <c r="W3204" s="75" t="str">
        <f>IF(AND('341-CT'!$H$9=H3204,OR(LEFT(N3204,3)=$W$7,LEFT(O3204,3)=$W$7)),"x","")</f>
        <v/>
      </c>
      <c r="X3204" s="75" t="str">
        <f>IF(OR(TH!N3204=TH!$X$7,O3204=TH!$X$7),"x","")</f>
        <v/>
      </c>
      <c r="Y3204" s="75" t="str">
        <f>IF(AND(OR(N3204="131",O3204="131"),H3204='131-CT'!$H$9),"x","")</f>
        <v/>
      </c>
      <c r="Z3204" s="75"/>
      <c r="AA3204" s="75" t="str">
        <f>IF(AND(MONTH(E3204)='IN-NX'!$J$5,'IN-NX'!$D$7=D3204),"x","")</f>
        <v/>
      </c>
      <c r="AB3204" s="75" t="str">
        <f>IF(AND(OR(LEFT(TH!N3204,2)="15",LEFT(TH!O3204,2)="15"),LEFT(TH!O3204,3)&lt;&gt;"111",'152-CT'!$J$8=TH!F3204),"x","")</f>
        <v/>
      </c>
      <c r="AC3204" s="75" t="str">
        <f>IF(AND(OR(LEFT(TH!N3204,2)="15",LEFT(TH!O3204,2)="15"),TK!$E$7=TH!F3204),"x","")</f>
        <v/>
      </c>
      <c r="AD3204" s="75" t="str">
        <f>IF(AND(N3204="1521",MONTH(C3204)='BK-NL'!$M$11),"x","")</f>
        <v/>
      </c>
    </row>
    <row r="3205" spans="1:31" s="1316" customFormat="1" ht="16.5" customHeight="1">
      <c r="A3205" s="309" t="str">
        <f>IF(B3205&lt;&gt;"",IF(AND(B3205='IN-TC'!$S$4,OR(TH!N3205="1111",TH!O3205="1111")),TH!D3205,""),"")</f>
        <v/>
      </c>
      <c r="B3205" s="1263">
        <f t="shared" si="1169"/>
        <v>10</v>
      </c>
      <c r="C3205" s="929">
        <v>43034</v>
      </c>
      <c r="D3205" s="929" t="s">
        <v>902</v>
      </c>
      <c r="E3205" s="929">
        <f t="shared" si="1170"/>
        <v>43034</v>
      </c>
      <c r="F3205" s="930" t="s">
        <v>2481</v>
      </c>
      <c r="G3205" s="930" t="s">
        <v>747</v>
      </c>
      <c r="H3205" s="296" t="s">
        <v>835</v>
      </c>
      <c r="I3205" s="1213"/>
      <c r="J3205" s="378"/>
      <c r="K3205" s="1213">
        <v>3</v>
      </c>
      <c r="L3205" s="1214">
        <v>22710</v>
      </c>
      <c r="M3205" s="74">
        <f t="shared" si="1172"/>
        <v>68130</v>
      </c>
      <c r="N3205" s="934" t="s">
        <v>101</v>
      </c>
      <c r="O3205" s="934" t="s">
        <v>256</v>
      </c>
      <c r="P3205" s="75" t="str">
        <f>IF(AND('331-CT'!$E$7=TH!H3205,OR(N3205="331",O3205="331")),"x","")</f>
        <v/>
      </c>
      <c r="Q3205" s="75" t="str">
        <f>IF(AND(B3205='111'!$L$11,OR($N3205=$Q$7,$O3205=$Q$7)),"x","")</f>
        <v/>
      </c>
      <c r="R3205" s="75" t="str">
        <f>IF(AND($N3205=$Q$7,$B3205&lt;'111'!$L$11),"x","")</f>
        <v/>
      </c>
      <c r="S3205" s="75" t="str">
        <f>IF(AND($O3205=$Q$7,$B3205&lt;'111'!$L$11),"x","")</f>
        <v/>
      </c>
      <c r="T3205" s="75" t="str">
        <f>IF(ISERROR(FIND('112'!$M$9,G3205,1)),"",IF((AND(FIND('112'!$M$9,G3205,1)&gt;=1,B3205='112'!$K$9,OR($N3205='112'!$I$6,$O3205='112'!$I$6))),"x",""))</f>
        <v/>
      </c>
      <c r="U3205" s="75" t="str">
        <f>IF(ISERROR(FIND('112'!$M$9,G3205,1)),"",IF((AND(LEFT(G3205,2)=LEFT('112'!$M$9,2),B3205&lt;'112'!$K$9,$N3205='112'!$I$6)),"x",""))</f>
        <v/>
      </c>
      <c r="V3205" s="75" t="str">
        <f>IF(ISERROR(FIND('112'!$M$9,G3205,1)),"",IF((AND(RIGHT(G3205,2)=RIGHT('112'!$M$9,2),B3205&lt;'112'!$K$9,$O3205='112'!$I$6)),"x",""))</f>
        <v/>
      </c>
      <c r="W3205" s="75" t="str">
        <f>IF(AND('341-CT'!$H$9=H3205,OR(LEFT(N3205,3)=$W$7,LEFT(O3205,3)=$W$7)),"x","")</f>
        <v/>
      </c>
      <c r="X3205" s="75" t="str">
        <f>IF(OR(TH!N3205=TH!$X$7,O3205=TH!$X$7),"x","")</f>
        <v/>
      </c>
      <c r="Y3205" s="75" t="str">
        <f>IF(AND(OR(N3205="131",O3205="131"),H3205='131-CT'!$H$9),"x","")</f>
        <v/>
      </c>
      <c r="Z3205" s="75"/>
      <c r="AA3205" s="75" t="str">
        <f>IF(AND(MONTH(E3205)='IN-NX'!$J$5,'IN-NX'!$D$7=D3205),"x","")</f>
        <v/>
      </c>
      <c r="AB3205" s="75" t="str">
        <f>IF(AND(OR(LEFT(TH!N3205,2)="15",LEFT(TH!O3205,2)="15"),LEFT(TH!O3205,3)&lt;&gt;"111",'152-CT'!$J$8=TH!F3205),"x","")</f>
        <v/>
      </c>
      <c r="AC3205" s="75" t="str">
        <f>IF(AND(OR(LEFT(TH!N3205,2)="15",LEFT(TH!O3205,2)="15"),TK!$E$7=TH!F3205),"x","")</f>
        <v/>
      </c>
      <c r="AD3205" s="75" t="str">
        <f>IF(AND(N3205="1521",MONTH(C3205)='BK-NL'!$M$11),"x","")</f>
        <v/>
      </c>
      <c r="AE3205" s="1316">
        <v>10</v>
      </c>
    </row>
    <row r="3206" spans="1:31" s="1316" customFormat="1" ht="16.5" customHeight="1">
      <c r="A3206" s="309" t="str">
        <f>IF(B3206&lt;&gt;"",IF(AND(B3206='IN-TC'!$S$4,OR(TH!N3206="1111",TH!O3206="1111")),TH!D3206,""),"")</f>
        <v/>
      </c>
      <c r="B3206" s="1263">
        <f t="shared" si="1169"/>
        <v>10</v>
      </c>
      <c r="C3206" s="929">
        <v>43034</v>
      </c>
      <c r="D3206" s="929" t="s">
        <v>902</v>
      </c>
      <c r="E3206" s="929">
        <f t="shared" si="1170"/>
        <v>43034</v>
      </c>
      <c r="F3206" s="930" t="s">
        <v>2482</v>
      </c>
      <c r="G3206" s="930" t="s">
        <v>747</v>
      </c>
      <c r="H3206" s="296" t="s">
        <v>835</v>
      </c>
      <c r="I3206" s="1213"/>
      <c r="J3206" s="378"/>
      <c r="K3206" s="1213">
        <v>0.3</v>
      </c>
      <c r="L3206" s="1214">
        <v>22710</v>
      </c>
      <c r="M3206" s="74">
        <f t="shared" si="1172"/>
        <v>6813</v>
      </c>
      <c r="N3206" s="934" t="s">
        <v>9</v>
      </c>
      <c r="O3206" s="934" t="s">
        <v>256</v>
      </c>
      <c r="P3206" s="75" t="str">
        <f>IF(AND('331-CT'!$E$7=TH!H3206,OR(N3206="331",O3206="331")),"x","")</f>
        <v/>
      </c>
      <c r="Q3206" s="75" t="str">
        <f>IF(AND(B3206='111'!$L$11,OR($N3206=$Q$7,$O3206=$Q$7)),"x","")</f>
        <v/>
      </c>
      <c r="R3206" s="75" t="str">
        <f>IF(AND($N3206=$Q$7,$B3206&lt;'111'!$L$11),"x","")</f>
        <v/>
      </c>
      <c r="S3206" s="75" t="str">
        <f>IF(AND($O3206=$Q$7,$B3206&lt;'111'!$L$11),"x","")</f>
        <v/>
      </c>
      <c r="T3206" s="75" t="str">
        <f>IF(ISERROR(FIND('112'!$M$9,G3206,1)),"",IF((AND(FIND('112'!$M$9,G3206,1)&gt;=1,B3206='112'!$K$9,OR($N3206='112'!$I$6,$O3206='112'!$I$6))),"x",""))</f>
        <v/>
      </c>
      <c r="U3206" s="75" t="str">
        <f>IF(ISERROR(FIND('112'!$M$9,G3206,1)),"",IF((AND(LEFT(G3206,2)=LEFT('112'!$M$9,2),B3206&lt;'112'!$K$9,$N3206='112'!$I$6)),"x",""))</f>
        <v/>
      </c>
      <c r="V3206" s="75" t="str">
        <f>IF(ISERROR(FIND('112'!$M$9,G3206,1)),"",IF((AND(RIGHT(G3206,2)=RIGHT('112'!$M$9,2),B3206&lt;'112'!$K$9,$O3206='112'!$I$6)),"x",""))</f>
        <v/>
      </c>
      <c r="W3206" s="75" t="str">
        <f>IF(AND('341-CT'!$H$9=H3206,OR(LEFT(N3206,3)=$W$7,LEFT(O3206,3)=$W$7)),"x","")</f>
        <v/>
      </c>
      <c r="X3206" s="75" t="str">
        <f>IF(OR(TH!N3206=TH!$X$7,O3206=TH!$X$7),"x","")</f>
        <v/>
      </c>
      <c r="Y3206" s="75" t="str">
        <f>IF(AND(OR(N3206="131",O3206="131"),H3206='131-CT'!$H$9),"x","")</f>
        <v/>
      </c>
      <c r="Z3206" s="75"/>
      <c r="AA3206" s="75" t="str">
        <f>IF(AND(MONTH(E3206)='IN-NX'!$J$5,'IN-NX'!$D$7=D3206),"x","")</f>
        <v/>
      </c>
      <c r="AB3206" s="75" t="str">
        <f>IF(AND(OR(LEFT(TH!N3206,2)="15",LEFT(TH!O3206,2)="15"),LEFT(TH!O3206,3)&lt;&gt;"111",'152-CT'!$J$8=TH!F3206),"x","")</f>
        <v/>
      </c>
      <c r="AC3206" s="75" t="str">
        <f>IF(AND(OR(LEFT(TH!N3206,2)="15",LEFT(TH!O3206,2)="15"),TK!$E$7=TH!F3206),"x","")</f>
        <v/>
      </c>
      <c r="AD3206" s="75" t="str">
        <f>IF(AND(N3206="1521",MONTH(C3206)='BK-NL'!$M$11),"x","")</f>
        <v/>
      </c>
      <c r="AE3206" s="1316">
        <v>10</v>
      </c>
    </row>
    <row r="3207" spans="1:31" s="1264" customFormat="1" ht="16.5" customHeight="1">
      <c r="A3207" s="309" t="str">
        <f>IF(B3207&lt;&gt;"",IF(AND(B3207='IN-TC'!$S$4,OR(TH!N3207="1111",TH!O3207="1111")),TH!D3207,""),"")</f>
        <v/>
      </c>
      <c r="B3207" s="1263">
        <f t="shared" si="1169"/>
        <v>10</v>
      </c>
      <c r="C3207" s="929">
        <v>43034</v>
      </c>
      <c r="D3207" s="929" t="s">
        <v>902</v>
      </c>
      <c r="E3207" s="929">
        <f t="shared" si="1170"/>
        <v>43034</v>
      </c>
      <c r="F3207" s="930" t="s">
        <v>1096</v>
      </c>
      <c r="G3207" s="930" t="s">
        <v>747</v>
      </c>
      <c r="H3207" s="296" t="s">
        <v>1555</v>
      </c>
      <c r="I3207" s="1213"/>
      <c r="J3207" s="378"/>
      <c r="K3207" s="1213">
        <v>13.33</v>
      </c>
      <c r="L3207" s="1214">
        <v>22720</v>
      </c>
      <c r="M3207" s="74">
        <f t="shared" si="1172"/>
        <v>302858</v>
      </c>
      <c r="N3207" s="934" t="s">
        <v>99</v>
      </c>
      <c r="O3207" s="934" t="s">
        <v>256</v>
      </c>
      <c r="P3207" s="75" t="str">
        <f>IF(AND('331-CT'!$E$7=TH!H3207,OR(N3207="331",O3207="331")),"x","")</f>
        <v/>
      </c>
      <c r="Q3207" s="75" t="str">
        <f>IF(AND(B3207='111'!$L$11,OR($N3207=$Q$7,$O3207=$Q$7)),"x","")</f>
        <v/>
      </c>
      <c r="R3207" s="75" t="str">
        <f>IF(AND($N3207=$Q$7,$B3207&lt;'111'!$L$11),"x","")</f>
        <v/>
      </c>
      <c r="S3207" s="75" t="str">
        <f>IF(AND($O3207=$Q$7,$B3207&lt;'111'!$L$11),"x","")</f>
        <v/>
      </c>
      <c r="T3207" s="75" t="str">
        <f>IF(ISERROR(FIND('112'!$M$9,G3207,1)),"",IF((AND(FIND('112'!$M$9,G3207,1)&gt;=1,B3207='112'!$K$9,OR($N3207='112'!$I$6,$O3207='112'!$I$6))),"x",""))</f>
        <v/>
      </c>
      <c r="U3207" s="75" t="str">
        <f>IF(ISERROR(FIND('112'!$M$9,G3207,1)),"",IF((AND(LEFT(G3207,2)=LEFT('112'!$M$9,2),B3207&lt;'112'!$K$9,$N3207='112'!$I$6)),"x",""))</f>
        <v/>
      </c>
      <c r="V3207" s="75" t="str">
        <f>IF(ISERROR(FIND('112'!$M$9,G3207,1)),"",IF((AND(RIGHT(G3207,2)=RIGHT('112'!$M$9,2),B3207&lt;'112'!$K$9,$O3207='112'!$I$6)),"x",""))</f>
        <v/>
      </c>
      <c r="W3207" s="75" t="str">
        <f>IF(AND('341-CT'!$H$9=H3207,OR(LEFT(N3207,3)=$W$7,LEFT(O3207,3)=$W$7)),"x","")</f>
        <v/>
      </c>
      <c r="X3207" s="75" t="str">
        <f>IF(OR(TH!N3207=TH!$X$7,O3207=TH!$X$7),"x","")</f>
        <v/>
      </c>
      <c r="Y3207" s="75" t="str">
        <f>IF(AND(OR(N3207="131",O3207="131"),H3207='131-CT'!$H$9),"x","")</f>
        <v/>
      </c>
      <c r="Z3207" s="75"/>
      <c r="AA3207" s="75" t="str">
        <f>IF(AND(MONTH(E3207)='IN-NX'!$J$5,'IN-NX'!$D$7=D3207),"x","")</f>
        <v/>
      </c>
      <c r="AB3207" s="75" t="str">
        <f>IF(AND(OR(LEFT(TH!N3207,2)="15",LEFT(TH!O3207,2)="15"),LEFT(TH!O3207,3)&lt;&gt;"111",'152-CT'!$J$8=TH!F3207),"x","")</f>
        <v/>
      </c>
      <c r="AC3207" s="75" t="str">
        <f>IF(AND(OR(LEFT(TH!N3207,2)="15",LEFT(TH!O3207,2)="15"),TK!$E$7=TH!F3207),"x","")</f>
        <v/>
      </c>
      <c r="AD3207" s="75" t="str">
        <f>IF(AND(N3207="1521",MONTH(C3207)='BK-NL'!$M$11),"x","")</f>
        <v/>
      </c>
    </row>
    <row r="3208" spans="1:31" s="1264" customFormat="1" ht="16.5" customHeight="1">
      <c r="A3208" s="309" t="str">
        <f>IF(B3208&lt;&gt;"",IF(AND(B3208='IN-TC'!$S$4,OR(TH!N3208="1111",TH!O3208="1111")),TH!D3208,""),"")</f>
        <v/>
      </c>
      <c r="B3208" s="1263">
        <f t="shared" si="1169"/>
        <v>10</v>
      </c>
      <c r="C3208" s="929">
        <v>43034</v>
      </c>
      <c r="D3208" s="929" t="s">
        <v>902</v>
      </c>
      <c r="E3208" s="929">
        <f t="shared" si="1170"/>
        <v>43034</v>
      </c>
      <c r="F3208" s="72" t="s">
        <v>1321</v>
      </c>
      <c r="G3208" s="930" t="s">
        <v>747</v>
      </c>
      <c r="H3208" s="296" t="s">
        <v>1555</v>
      </c>
      <c r="I3208" s="1213"/>
      <c r="J3208" s="378"/>
      <c r="K3208" s="1213">
        <v>40000</v>
      </c>
      <c r="L3208" s="1214">
        <v>22720</v>
      </c>
      <c r="M3208" s="74">
        <f t="shared" si="1172"/>
        <v>908800000</v>
      </c>
      <c r="N3208" s="934" t="s">
        <v>250</v>
      </c>
      <c r="O3208" s="934" t="s">
        <v>256</v>
      </c>
      <c r="P3208" s="75" t="str">
        <f>IF(AND('331-CT'!$E$7=TH!H3208,OR(N3208="331",O3208="331")),"x","")</f>
        <v/>
      </c>
      <c r="Q3208" s="75" t="str">
        <f>IF(AND(B3208='111'!$L$11,OR($N3208=$Q$7,$O3208=$Q$7)),"x","")</f>
        <v/>
      </c>
      <c r="R3208" s="75" t="str">
        <f>IF(AND($N3208=$Q$7,$B3208&lt;'111'!$L$11),"x","")</f>
        <v/>
      </c>
      <c r="S3208" s="75" t="str">
        <f>IF(AND($O3208=$Q$7,$B3208&lt;'111'!$L$11),"x","")</f>
        <v/>
      </c>
      <c r="T3208" s="75" t="str">
        <f>IF(ISERROR(FIND('112'!$M$9,G3208,1)),"",IF((AND(FIND('112'!$M$9,G3208,1)&gt;=1,B3208='112'!$K$9,OR($N3208='112'!$I$6,$O3208='112'!$I$6))),"x",""))</f>
        <v/>
      </c>
      <c r="U3208" s="75" t="str">
        <f>IF(ISERROR(FIND('112'!$M$9,G3208,1)),"",IF((AND(LEFT(G3208,2)=LEFT('112'!$M$9,2),B3208&lt;'112'!$K$9,$N3208='112'!$I$6)),"x",""))</f>
        <v/>
      </c>
      <c r="V3208" s="75" t="str">
        <f>IF(ISERROR(FIND('112'!$M$9,G3208,1)),"",IF((AND(RIGHT(G3208,2)=RIGHT('112'!$M$9,2),B3208&lt;'112'!$K$9,$O3208='112'!$I$6)),"x",""))</f>
        <v/>
      </c>
      <c r="W3208" s="75" t="str">
        <f>IF(AND('341-CT'!$H$9=H3208,OR(LEFT(N3208,3)=$W$7,LEFT(O3208,3)=$W$7)),"x","")</f>
        <v/>
      </c>
      <c r="X3208" s="75" t="str">
        <f>IF(OR(TH!N3208=TH!$X$7,O3208=TH!$X$7),"x","")</f>
        <v/>
      </c>
      <c r="Y3208" s="75" t="str">
        <f>IF(AND(OR(N3208="131",O3208="131"),H3208='131-CT'!$H$9),"x","")</f>
        <v/>
      </c>
      <c r="Z3208" s="75"/>
      <c r="AA3208" s="75" t="str">
        <f>IF(AND(MONTH(E3208)='IN-NX'!$J$5,'IN-NX'!$D$7=D3208),"x","")</f>
        <v/>
      </c>
      <c r="AB3208" s="75" t="str">
        <f>IF(AND(OR(LEFT(TH!N3208,2)="15",LEFT(TH!O3208,2)="15"),LEFT(TH!O3208,3)&lt;&gt;"111",'152-CT'!$J$8=TH!F3208),"x","")</f>
        <v/>
      </c>
      <c r="AC3208" s="75" t="str">
        <f>IF(AND(OR(LEFT(TH!N3208,2)="15",LEFT(TH!O3208,2)="15"),TK!$E$7=TH!F3208),"x","")</f>
        <v/>
      </c>
      <c r="AD3208" s="75" t="str">
        <f>IF(AND(N3208="1521",MONTH(C3208)='BK-NL'!$M$11),"x","")</f>
        <v/>
      </c>
    </row>
    <row r="3209" spans="1:31" s="1264" customFormat="1" ht="16.5" customHeight="1">
      <c r="A3209" s="309" t="str">
        <f>IF(B3209&lt;&gt;"",IF(AND(B3209='IN-TC'!$S$4,OR(TH!N3209="1111",TH!O3209="1111")),TH!D3209,""),"")</f>
        <v/>
      </c>
      <c r="B3209" s="1263">
        <f t="shared" si="1169"/>
        <v>10</v>
      </c>
      <c r="C3209" s="929">
        <v>43034</v>
      </c>
      <c r="D3209" s="929" t="s">
        <v>902</v>
      </c>
      <c r="E3209" s="929">
        <f t="shared" si="1170"/>
        <v>43034</v>
      </c>
      <c r="F3209" s="930" t="s">
        <v>1096</v>
      </c>
      <c r="G3209" s="930" t="s">
        <v>747</v>
      </c>
      <c r="H3209" s="1262" t="s">
        <v>1557</v>
      </c>
      <c r="I3209" s="371"/>
      <c r="J3209" s="378"/>
      <c r="K3209" s="371">
        <v>36.67</v>
      </c>
      <c r="L3209" s="1214">
        <v>22720</v>
      </c>
      <c r="M3209" s="74">
        <f t="shared" si="1172"/>
        <v>833142</v>
      </c>
      <c r="N3209" s="934" t="s">
        <v>99</v>
      </c>
      <c r="O3209" s="934" t="s">
        <v>256</v>
      </c>
      <c r="P3209" s="75" t="str">
        <f>IF(AND('331-CT'!$E$7=TH!H3209,OR(N3209="331",O3209="331")),"x","")</f>
        <v/>
      </c>
      <c r="Q3209" s="75" t="str">
        <f>IF(AND(B3209='111'!$L$11,OR($N3209=$Q$7,$O3209=$Q$7)),"x","")</f>
        <v/>
      </c>
      <c r="R3209" s="75" t="str">
        <f>IF(AND($N3209=$Q$7,$B3209&lt;'111'!$L$11),"x","")</f>
        <v/>
      </c>
      <c r="S3209" s="75" t="str">
        <f>IF(AND($O3209=$Q$7,$B3209&lt;'111'!$L$11),"x","")</f>
        <v/>
      </c>
      <c r="T3209" s="75" t="str">
        <f>IF(ISERROR(FIND('112'!$M$9,G3209,1)),"",IF((AND(FIND('112'!$M$9,G3209,1)&gt;=1,B3209='112'!$K$9,OR($N3209='112'!$I$6,$O3209='112'!$I$6))),"x",""))</f>
        <v/>
      </c>
      <c r="U3209" s="75" t="str">
        <f>IF(ISERROR(FIND('112'!$M$9,G3209,1)),"",IF((AND(LEFT(G3209,2)=LEFT('112'!$M$9,2),B3209&lt;'112'!$K$9,$N3209='112'!$I$6)),"x",""))</f>
        <v/>
      </c>
      <c r="V3209" s="75" t="str">
        <f>IF(ISERROR(FIND('112'!$M$9,G3209,1)),"",IF((AND(RIGHT(G3209,2)=RIGHT('112'!$M$9,2),B3209&lt;'112'!$K$9,$O3209='112'!$I$6)),"x",""))</f>
        <v/>
      </c>
      <c r="W3209" s="75" t="str">
        <f>IF(AND('341-CT'!$H$9=H3209,OR(LEFT(N3209,3)=$W$7,LEFT(O3209,3)=$W$7)),"x","")</f>
        <v/>
      </c>
      <c r="X3209" s="75" t="str">
        <f>IF(OR(TH!N3209=TH!$X$7,O3209=TH!$X$7),"x","")</f>
        <v/>
      </c>
      <c r="Y3209" s="75" t="str">
        <f>IF(AND(OR(N3209="131",O3209="131"),H3209='131-CT'!$H$9),"x","")</f>
        <v/>
      </c>
      <c r="Z3209" s="75"/>
      <c r="AA3209" s="75" t="str">
        <f>IF(AND(MONTH(E3209)='IN-NX'!$J$5,'IN-NX'!$D$7=D3209),"x","")</f>
        <v/>
      </c>
      <c r="AB3209" s="75" t="str">
        <f>IF(AND(OR(LEFT(TH!N3209,2)="15",LEFT(TH!O3209,2)="15"),LEFT(TH!O3209,3)&lt;&gt;"111",'152-CT'!$J$8=TH!F3209),"x","")</f>
        <v/>
      </c>
      <c r="AC3209" s="75" t="str">
        <f>IF(AND(OR(LEFT(TH!N3209,2)="15",LEFT(TH!O3209,2)="15"),TK!$E$7=TH!F3209),"x","")</f>
        <v/>
      </c>
      <c r="AD3209" s="75" t="str">
        <f>IF(AND(N3209="1521",MONTH(C3209)='BK-NL'!$M$11),"x","")</f>
        <v/>
      </c>
    </row>
    <row r="3210" spans="1:31" s="1264" customFormat="1" ht="16.5" customHeight="1">
      <c r="A3210" s="309" t="str">
        <f>IF(B3210&lt;&gt;"",IF(AND(B3210='IN-TC'!$S$4,OR(TH!N3210="1111",TH!O3210="1111")),TH!D3210,""),"")</f>
        <v/>
      </c>
      <c r="B3210" s="1263">
        <f t="shared" si="1169"/>
        <v>10</v>
      </c>
      <c r="C3210" s="929">
        <v>43034</v>
      </c>
      <c r="D3210" s="929" t="s">
        <v>902</v>
      </c>
      <c r="E3210" s="929">
        <f t="shared" si="1170"/>
        <v>43034</v>
      </c>
      <c r="F3210" s="72" t="s">
        <v>1321</v>
      </c>
      <c r="G3210" s="930" t="s">
        <v>747</v>
      </c>
      <c r="H3210" s="1262" t="s">
        <v>1557</v>
      </c>
      <c r="I3210" s="371"/>
      <c r="J3210" s="378"/>
      <c r="K3210" s="371">
        <v>110000</v>
      </c>
      <c r="L3210" s="1214">
        <v>22720</v>
      </c>
      <c r="M3210" s="74">
        <f t="shared" si="1172"/>
        <v>2499200000</v>
      </c>
      <c r="N3210" s="934" t="s">
        <v>250</v>
      </c>
      <c r="O3210" s="934" t="s">
        <v>256</v>
      </c>
      <c r="P3210" s="75" t="str">
        <f>IF(AND('331-CT'!$E$7=TH!H3210,OR(N3210="331",O3210="331")),"x","")</f>
        <v/>
      </c>
      <c r="Q3210" s="75" t="str">
        <f>IF(AND(B3210='111'!$L$11,OR($N3210=$Q$7,$O3210=$Q$7)),"x","")</f>
        <v/>
      </c>
      <c r="R3210" s="75" t="str">
        <f>IF(AND($N3210=$Q$7,$B3210&lt;'111'!$L$11),"x","")</f>
        <v/>
      </c>
      <c r="S3210" s="75" t="str">
        <f>IF(AND($O3210=$Q$7,$B3210&lt;'111'!$L$11),"x","")</f>
        <v/>
      </c>
      <c r="T3210" s="75" t="str">
        <f>IF(ISERROR(FIND('112'!$M$9,G3210,1)),"",IF((AND(FIND('112'!$M$9,G3210,1)&gt;=1,B3210='112'!$K$9,OR($N3210='112'!$I$6,$O3210='112'!$I$6))),"x",""))</f>
        <v/>
      </c>
      <c r="U3210" s="75" t="str">
        <f>IF(ISERROR(FIND('112'!$M$9,G3210,1)),"",IF((AND(LEFT(G3210,2)=LEFT('112'!$M$9,2),B3210&lt;'112'!$K$9,$N3210='112'!$I$6)),"x",""))</f>
        <v/>
      </c>
      <c r="V3210" s="75" t="str">
        <f>IF(ISERROR(FIND('112'!$M$9,G3210,1)),"",IF((AND(RIGHT(G3210,2)=RIGHT('112'!$M$9,2),B3210&lt;'112'!$K$9,$O3210='112'!$I$6)),"x",""))</f>
        <v/>
      </c>
      <c r="W3210" s="75" t="str">
        <f>IF(AND('341-CT'!$H$9=H3210,OR(LEFT(N3210,3)=$W$7,LEFT(O3210,3)=$W$7)),"x","")</f>
        <v/>
      </c>
      <c r="X3210" s="75" t="str">
        <f>IF(OR(TH!N3210=TH!$X$7,O3210=TH!$X$7),"x","")</f>
        <v/>
      </c>
      <c r="Y3210" s="75" t="str">
        <f>IF(AND(OR(N3210="131",O3210="131"),H3210='131-CT'!$H$9),"x","")</f>
        <v/>
      </c>
      <c r="Z3210" s="75"/>
      <c r="AA3210" s="75" t="str">
        <f>IF(AND(MONTH(E3210)='IN-NX'!$J$5,'IN-NX'!$D$7=D3210),"x","")</f>
        <v/>
      </c>
      <c r="AB3210" s="75" t="str">
        <f>IF(AND(OR(LEFT(TH!N3210,2)="15",LEFT(TH!O3210,2)="15"),LEFT(TH!O3210,3)&lt;&gt;"111",'152-CT'!$J$8=TH!F3210),"x","")</f>
        <v/>
      </c>
      <c r="AC3210" s="75" t="str">
        <f>IF(AND(OR(LEFT(TH!N3210,2)="15",LEFT(TH!O3210,2)="15"),TK!$E$7=TH!F3210),"x","")</f>
        <v/>
      </c>
      <c r="AD3210" s="75" t="str">
        <f>IF(AND(N3210="1521",MONTH(C3210)='BK-NL'!$M$11),"x","")</f>
        <v/>
      </c>
    </row>
    <row r="3211" spans="1:31" s="1264" customFormat="1" ht="16.5" customHeight="1">
      <c r="A3211" s="309" t="str">
        <f>IF(B3211&lt;&gt;"",IF(AND(B3211='IN-TC'!$S$4,OR(TH!N3211="1111",TH!O3211="1111")),TH!D3211,""),"")</f>
        <v/>
      </c>
      <c r="B3211" s="1263">
        <f t="shared" si="1169"/>
        <v>10</v>
      </c>
      <c r="C3211" s="929">
        <v>43034</v>
      </c>
      <c r="D3211" s="929" t="s">
        <v>530</v>
      </c>
      <c r="E3211" s="929">
        <f t="shared" si="1170"/>
        <v>43034</v>
      </c>
      <c r="F3211" s="930" t="s">
        <v>1010</v>
      </c>
      <c r="G3211" s="930" t="s">
        <v>747</v>
      </c>
      <c r="H3211" s="1262" t="s">
        <v>1557</v>
      </c>
      <c r="I3211" s="371"/>
      <c r="J3211" s="378"/>
      <c r="K3211" s="371"/>
      <c r="L3211" s="1214"/>
      <c r="M3211" s="74">
        <v>1100000</v>
      </c>
      <c r="N3211" s="934" t="s">
        <v>99</v>
      </c>
      <c r="O3211" s="934" t="s">
        <v>250</v>
      </c>
      <c r="P3211" s="75" t="str">
        <f>IF(AND('331-CT'!$E$7=TH!H3211,OR(N3211="331",O3211="331")),"x","")</f>
        <v/>
      </c>
      <c r="Q3211" s="75" t="str">
        <f>IF(AND(B3211='111'!$L$11,OR($N3211=$Q$7,$O3211=$Q$7)),"x","")</f>
        <v/>
      </c>
      <c r="R3211" s="75" t="str">
        <f>IF(AND($N3211=$Q$7,$B3211&lt;'111'!$L$11),"x","")</f>
        <v/>
      </c>
      <c r="S3211" s="75" t="str">
        <f>IF(AND($O3211=$Q$7,$B3211&lt;'111'!$L$11),"x","")</f>
        <v/>
      </c>
      <c r="T3211" s="75" t="str">
        <f>IF(ISERROR(FIND('112'!$M$9,G3211,1)),"",IF((AND(FIND('112'!$M$9,G3211,1)&gt;=1,B3211='112'!$K$9,OR($N3211='112'!$I$6,$O3211='112'!$I$6))),"x",""))</f>
        <v/>
      </c>
      <c r="U3211" s="75" t="str">
        <f>IF(ISERROR(FIND('112'!$M$9,G3211,1)),"",IF((AND(LEFT(G3211,2)=LEFT('112'!$M$9,2),B3211&lt;'112'!$K$9,$N3211='112'!$I$6)),"x",""))</f>
        <v/>
      </c>
      <c r="V3211" s="75" t="str">
        <f>IF(ISERROR(FIND('112'!$M$9,G3211,1)),"",IF((AND(RIGHT(G3211,2)=RIGHT('112'!$M$9,2),B3211&lt;'112'!$K$9,$O3211='112'!$I$6)),"x",""))</f>
        <v/>
      </c>
      <c r="W3211" s="75" t="str">
        <f>IF(AND('341-CT'!$H$9=H3211,OR(LEFT(N3211,3)=$W$7,LEFT(O3211,3)=$W$7)),"x","")</f>
        <v/>
      </c>
      <c r="X3211" s="75" t="str">
        <f>IF(OR(TH!N3211=TH!$X$7,O3211=TH!$X$7),"x","")</f>
        <v/>
      </c>
      <c r="Y3211" s="75" t="str">
        <f>IF(AND(OR(N3211="131",O3211="131"),H3211='131-CT'!$H$9),"x","")</f>
        <v/>
      </c>
      <c r="Z3211" s="75"/>
      <c r="AA3211" s="75" t="str">
        <f>IF(AND(MONTH(E3211)='IN-NX'!$J$5,'IN-NX'!$D$7=D3211),"x","")</f>
        <v/>
      </c>
      <c r="AB3211" s="75" t="str">
        <f>IF(AND(OR(LEFT(TH!N3211,2)="15",LEFT(TH!O3211,2)="15"),LEFT(TH!O3211,3)&lt;&gt;"111",'152-CT'!$J$8=TH!F3211),"x","")</f>
        <v/>
      </c>
      <c r="AC3211" s="75" t="str">
        <f>IF(AND(OR(LEFT(TH!N3211,2)="15",LEFT(TH!O3211,2)="15"),TK!$E$7=TH!F3211),"x","")</f>
        <v/>
      </c>
      <c r="AD3211" s="75" t="str">
        <f>IF(AND(N3211="1521",MONTH(C3211)='BK-NL'!$M$11),"x","")</f>
        <v/>
      </c>
    </row>
    <row r="3212" spans="1:31" s="1264" customFormat="1" ht="16.5" customHeight="1">
      <c r="A3212" s="309" t="str">
        <f>IF(B3212&lt;&gt;"",IF(AND(B3212='IN-TC'!$S$4,OR(TH!N3212="1111",TH!O3212="1111")),TH!D3212,""),"")</f>
        <v/>
      </c>
      <c r="B3212" s="1263">
        <f t="shared" si="1169"/>
        <v>10</v>
      </c>
      <c r="C3212" s="929">
        <v>43034</v>
      </c>
      <c r="D3212" s="929" t="s">
        <v>902</v>
      </c>
      <c r="E3212" s="929">
        <f t="shared" si="1170"/>
        <v>43034</v>
      </c>
      <c r="F3212" s="930" t="s">
        <v>1096</v>
      </c>
      <c r="G3212" s="930" t="s">
        <v>747</v>
      </c>
      <c r="H3212" s="1236" t="s">
        <v>1561</v>
      </c>
      <c r="I3212" s="371"/>
      <c r="J3212" s="378"/>
      <c r="K3212" s="371">
        <v>13.33</v>
      </c>
      <c r="L3212" s="1214">
        <v>22720</v>
      </c>
      <c r="M3212" s="74">
        <f t="shared" ref="M3212" si="1173">ROUND(K3212*L3212,0)</f>
        <v>302858</v>
      </c>
      <c r="N3212" s="934" t="s">
        <v>99</v>
      </c>
      <c r="O3212" s="934" t="s">
        <v>256</v>
      </c>
      <c r="P3212" s="75" t="str">
        <f>IF(AND('331-CT'!$E$7=TH!H3212,OR(N3212="331",O3212="331")),"x","")</f>
        <v/>
      </c>
      <c r="Q3212" s="75" t="str">
        <f>IF(AND(B3212='111'!$L$11,OR($N3212=$Q$7,$O3212=$Q$7)),"x","")</f>
        <v/>
      </c>
      <c r="R3212" s="75" t="str">
        <f>IF(AND($N3212=$Q$7,$B3212&lt;'111'!$L$11),"x","")</f>
        <v/>
      </c>
      <c r="S3212" s="75" t="str">
        <f>IF(AND($O3212=$Q$7,$B3212&lt;'111'!$L$11),"x","")</f>
        <v/>
      </c>
      <c r="T3212" s="75" t="str">
        <f>IF(ISERROR(FIND('112'!$M$9,G3212,1)),"",IF((AND(FIND('112'!$M$9,G3212,1)&gt;=1,B3212='112'!$K$9,OR($N3212='112'!$I$6,$O3212='112'!$I$6))),"x",""))</f>
        <v/>
      </c>
      <c r="U3212" s="75" t="str">
        <f>IF(ISERROR(FIND('112'!$M$9,G3212,1)),"",IF((AND(LEFT(G3212,2)=LEFT('112'!$M$9,2),B3212&lt;'112'!$K$9,$N3212='112'!$I$6)),"x",""))</f>
        <v/>
      </c>
      <c r="V3212" s="75" t="str">
        <f>IF(ISERROR(FIND('112'!$M$9,G3212,1)),"",IF((AND(RIGHT(G3212,2)=RIGHT('112'!$M$9,2),B3212&lt;'112'!$K$9,$O3212='112'!$I$6)),"x",""))</f>
        <v/>
      </c>
      <c r="W3212" s="75" t="str">
        <f>IF(AND('341-CT'!$H$9=H3212,OR(LEFT(N3212,3)=$W$7,LEFT(O3212,3)=$W$7)),"x","")</f>
        <v/>
      </c>
      <c r="X3212" s="75" t="str">
        <f>IF(OR(TH!N3212=TH!$X$7,O3212=TH!$X$7),"x","")</f>
        <v/>
      </c>
      <c r="Y3212" s="75" t="str">
        <f>IF(AND(OR(N3212="131",O3212="131"),H3212='131-CT'!$H$9),"x","")</f>
        <v/>
      </c>
      <c r="Z3212" s="75"/>
      <c r="AA3212" s="75" t="str">
        <f>IF(AND(MONTH(E3212)='IN-NX'!$J$5,'IN-NX'!$D$7=D3212),"x","")</f>
        <v/>
      </c>
      <c r="AB3212" s="75" t="str">
        <f>IF(AND(OR(LEFT(TH!N3212,2)="15",LEFT(TH!O3212,2)="15"),LEFT(TH!O3212,3)&lt;&gt;"111",'152-CT'!$J$8=TH!F3212),"x","")</f>
        <v/>
      </c>
      <c r="AC3212" s="75" t="str">
        <f>IF(AND(OR(LEFT(TH!N3212,2)="15",LEFT(TH!O3212,2)="15"),TK!$E$7=TH!F3212),"x","")</f>
        <v/>
      </c>
      <c r="AD3212" s="75" t="str">
        <f>IF(AND(N3212="1521",MONTH(C3212)='BK-NL'!$M$11),"x","")</f>
        <v/>
      </c>
    </row>
    <row r="3213" spans="1:31" s="1264" customFormat="1" ht="16.5" customHeight="1">
      <c r="A3213" s="309" t="str">
        <f>IF(B3213&lt;&gt;"",IF(AND(B3213='IN-TC'!$S$4,OR(TH!N3213="1111",TH!O3213="1111")),TH!D3213,""),"")</f>
        <v/>
      </c>
      <c r="B3213" s="1263">
        <f t="shared" si="1169"/>
        <v>10</v>
      </c>
      <c r="C3213" s="929">
        <v>43034</v>
      </c>
      <c r="D3213" s="929" t="s">
        <v>902</v>
      </c>
      <c r="E3213" s="929">
        <f t="shared" si="1170"/>
        <v>43034</v>
      </c>
      <c r="F3213" s="72" t="s">
        <v>1321</v>
      </c>
      <c r="G3213" s="930" t="s">
        <v>747</v>
      </c>
      <c r="H3213" s="1236" t="s">
        <v>1561</v>
      </c>
      <c r="I3213" s="371"/>
      <c r="J3213" s="378"/>
      <c r="K3213" s="371">
        <v>40000</v>
      </c>
      <c r="L3213" s="1214">
        <v>22720</v>
      </c>
      <c r="M3213" s="74">
        <f t="shared" ref="M3213" si="1174">ROUND(K3213*L3213,0)</f>
        <v>908800000</v>
      </c>
      <c r="N3213" s="934" t="s">
        <v>250</v>
      </c>
      <c r="O3213" s="934" t="s">
        <v>256</v>
      </c>
      <c r="P3213" s="75" t="str">
        <f>IF(AND('331-CT'!$E$7=TH!H3213,OR(N3213="331",O3213="331")),"x","")</f>
        <v/>
      </c>
      <c r="Q3213" s="75" t="str">
        <f>IF(AND(B3213='111'!$L$11,OR($N3213=$Q$7,$O3213=$Q$7)),"x","")</f>
        <v/>
      </c>
      <c r="R3213" s="75" t="str">
        <f>IF(AND($N3213=$Q$7,$B3213&lt;'111'!$L$11),"x","")</f>
        <v/>
      </c>
      <c r="S3213" s="75" t="str">
        <f>IF(AND($O3213=$Q$7,$B3213&lt;'111'!$L$11),"x","")</f>
        <v/>
      </c>
      <c r="T3213" s="75" t="str">
        <f>IF(ISERROR(FIND('112'!$M$9,G3213,1)),"",IF((AND(FIND('112'!$M$9,G3213,1)&gt;=1,B3213='112'!$K$9,OR($N3213='112'!$I$6,$O3213='112'!$I$6))),"x",""))</f>
        <v/>
      </c>
      <c r="U3213" s="75" t="str">
        <f>IF(ISERROR(FIND('112'!$M$9,G3213,1)),"",IF((AND(LEFT(G3213,2)=LEFT('112'!$M$9,2),B3213&lt;'112'!$K$9,$N3213='112'!$I$6)),"x",""))</f>
        <v/>
      </c>
      <c r="V3213" s="75" t="str">
        <f>IF(ISERROR(FIND('112'!$M$9,G3213,1)),"",IF((AND(RIGHT(G3213,2)=RIGHT('112'!$M$9,2),B3213&lt;'112'!$K$9,$O3213='112'!$I$6)),"x",""))</f>
        <v/>
      </c>
      <c r="W3213" s="75" t="str">
        <f>IF(AND('341-CT'!$H$9=H3213,OR(LEFT(N3213,3)=$W$7,LEFT(O3213,3)=$W$7)),"x","")</f>
        <v/>
      </c>
      <c r="X3213" s="75" t="str">
        <f>IF(OR(TH!N3213=TH!$X$7,O3213=TH!$X$7),"x","")</f>
        <v/>
      </c>
      <c r="Y3213" s="75" t="str">
        <f>IF(AND(OR(N3213="131",O3213="131"),H3213='131-CT'!$H$9),"x","")</f>
        <v/>
      </c>
      <c r="Z3213" s="75"/>
      <c r="AA3213" s="75" t="str">
        <f>IF(AND(MONTH(E3213)='IN-NX'!$J$5,'IN-NX'!$D$7=D3213),"x","")</f>
        <v/>
      </c>
      <c r="AB3213" s="75" t="str">
        <f>IF(AND(OR(LEFT(TH!N3213,2)="15",LEFT(TH!O3213,2)="15"),LEFT(TH!O3213,3)&lt;&gt;"111",'152-CT'!$J$8=TH!F3213),"x","")</f>
        <v/>
      </c>
      <c r="AC3213" s="75" t="str">
        <f>IF(AND(OR(LEFT(TH!N3213,2)="15",LEFT(TH!O3213,2)="15"),TK!$E$7=TH!F3213),"x","")</f>
        <v/>
      </c>
      <c r="AD3213" s="75" t="str">
        <f>IF(AND(N3213="1521",MONTH(C3213)='BK-NL'!$M$11),"x","")</f>
        <v/>
      </c>
    </row>
    <row r="3214" spans="1:31" s="1264" customFormat="1" ht="16.5" customHeight="1">
      <c r="A3214" s="309" t="str">
        <f>IF(B3214&lt;&gt;"",IF(AND(B3214='IN-TC'!$S$4,OR(TH!N3214="1111",TH!O3214="1111")),TH!D3214,""),"")</f>
        <v/>
      </c>
      <c r="B3214" s="1263">
        <f t="shared" si="1169"/>
        <v>10</v>
      </c>
      <c r="C3214" s="929">
        <v>43034</v>
      </c>
      <c r="D3214" s="929" t="s">
        <v>530</v>
      </c>
      <c r="E3214" s="929">
        <f t="shared" si="1170"/>
        <v>43034</v>
      </c>
      <c r="F3214" s="930" t="s">
        <v>1010</v>
      </c>
      <c r="G3214" s="930" t="s">
        <v>747</v>
      </c>
      <c r="H3214" s="1236" t="s">
        <v>1561</v>
      </c>
      <c r="I3214" s="371"/>
      <c r="J3214" s="378"/>
      <c r="K3214" s="371"/>
      <c r="L3214" s="1214"/>
      <c r="M3214" s="74">
        <v>240000</v>
      </c>
      <c r="N3214" s="934" t="s">
        <v>99</v>
      </c>
      <c r="O3214" s="934" t="s">
        <v>250</v>
      </c>
      <c r="P3214" s="75" t="str">
        <f>IF(AND('331-CT'!$E$7=TH!H3214,OR(N3214="331",O3214="331")),"x","")</f>
        <v/>
      </c>
      <c r="Q3214" s="75" t="str">
        <f>IF(AND(B3214='111'!$L$11,OR($N3214=$Q$7,$O3214=$Q$7)),"x","")</f>
        <v/>
      </c>
      <c r="R3214" s="75" t="str">
        <f>IF(AND($N3214=$Q$7,$B3214&lt;'111'!$L$11),"x","")</f>
        <v/>
      </c>
      <c r="S3214" s="75" t="str">
        <f>IF(AND($O3214=$Q$7,$B3214&lt;'111'!$L$11),"x","")</f>
        <v/>
      </c>
      <c r="T3214" s="75" t="str">
        <f>IF(ISERROR(FIND('112'!$M$9,G3214,1)),"",IF((AND(FIND('112'!$M$9,G3214,1)&gt;=1,B3214='112'!$K$9,OR($N3214='112'!$I$6,$O3214='112'!$I$6))),"x",""))</f>
        <v/>
      </c>
      <c r="U3214" s="75" t="str">
        <f>IF(ISERROR(FIND('112'!$M$9,G3214,1)),"",IF((AND(LEFT(G3214,2)=LEFT('112'!$M$9,2),B3214&lt;'112'!$K$9,$N3214='112'!$I$6)),"x",""))</f>
        <v/>
      </c>
      <c r="V3214" s="75" t="str">
        <f>IF(ISERROR(FIND('112'!$M$9,G3214,1)),"",IF((AND(RIGHT(G3214,2)=RIGHT('112'!$M$9,2),B3214&lt;'112'!$K$9,$O3214='112'!$I$6)),"x",""))</f>
        <v/>
      </c>
      <c r="W3214" s="75" t="str">
        <f>IF(AND('341-CT'!$H$9=H3214,OR(LEFT(N3214,3)=$W$7,LEFT(O3214,3)=$W$7)),"x","")</f>
        <v/>
      </c>
      <c r="X3214" s="75" t="str">
        <f>IF(OR(TH!N3214=TH!$X$7,O3214=TH!$X$7),"x","")</f>
        <v/>
      </c>
      <c r="Y3214" s="75" t="str">
        <f>IF(AND(OR(N3214="131",O3214="131"),H3214='131-CT'!$H$9),"x","")</f>
        <v/>
      </c>
      <c r="Z3214" s="75"/>
      <c r="AA3214" s="75" t="str">
        <f>IF(AND(MONTH(E3214)='IN-NX'!$J$5,'IN-NX'!$D$7=D3214),"x","")</f>
        <v/>
      </c>
      <c r="AB3214" s="75" t="str">
        <f>IF(AND(OR(LEFT(TH!N3214,2)="15",LEFT(TH!O3214,2)="15"),LEFT(TH!O3214,3)&lt;&gt;"111",'152-CT'!$J$8=TH!F3214),"x","")</f>
        <v/>
      </c>
      <c r="AC3214" s="75" t="str">
        <f>IF(AND(OR(LEFT(TH!N3214,2)="15",LEFT(TH!O3214,2)="15"),TK!$E$7=TH!F3214),"x","")</f>
        <v/>
      </c>
      <c r="AD3214" s="75" t="str">
        <f>IF(AND(N3214="1521",MONTH(C3214)='BK-NL'!$M$11),"x","")</f>
        <v/>
      </c>
    </row>
    <row r="3215" spans="1:31" s="1264" customFormat="1" ht="16.5" customHeight="1">
      <c r="A3215" s="309" t="str">
        <f>IF(B3215&lt;&gt;"",IF(AND(B3215='IN-TC'!$S$4,OR(TH!N3215="1111",TH!O3215="1111")),TH!D3215,""),"")</f>
        <v/>
      </c>
      <c r="B3215" s="1263">
        <f t="shared" si="1169"/>
        <v>10</v>
      </c>
      <c r="C3215" s="929">
        <v>43034</v>
      </c>
      <c r="D3215" s="929" t="s">
        <v>902</v>
      </c>
      <c r="E3215" s="929">
        <f t="shared" si="1170"/>
        <v>43034</v>
      </c>
      <c r="F3215" s="930" t="s">
        <v>1096</v>
      </c>
      <c r="G3215" s="930" t="s">
        <v>747</v>
      </c>
      <c r="H3215" s="1236" t="s">
        <v>1560</v>
      </c>
      <c r="I3215" s="371"/>
      <c r="J3215" s="378"/>
      <c r="K3215" s="371">
        <v>2.4900000000000002</v>
      </c>
      <c r="L3215" s="1214">
        <v>22720</v>
      </c>
      <c r="M3215" s="74">
        <f t="shared" ref="M3215" si="1175">ROUND(K3215*L3215,0)</f>
        <v>56573</v>
      </c>
      <c r="N3215" s="934" t="s">
        <v>99</v>
      </c>
      <c r="O3215" s="934" t="s">
        <v>256</v>
      </c>
      <c r="P3215" s="75" t="str">
        <f>IF(AND('331-CT'!$E$7=TH!H3215,OR(N3215="331",O3215="331")),"x","")</f>
        <v/>
      </c>
      <c r="Q3215" s="75" t="str">
        <f>IF(AND(B3215='111'!$L$11,OR($N3215=$Q$7,$O3215=$Q$7)),"x","")</f>
        <v/>
      </c>
      <c r="R3215" s="75" t="str">
        <f>IF(AND($N3215=$Q$7,$B3215&lt;'111'!$L$11),"x","")</f>
        <v/>
      </c>
      <c r="S3215" s="75" t="str">
        <f>IF(AND($O3215=$Q$7,$B3215&lt;'111'!$L$11),"x","")</f>
        <v/>
      </c>
      <c r="T3215" s="75" t="str">
        <f>IF(ISERROR(FIND('112'!$M$9,G3215,1)),"",IF((AND(FIND('112'!$M$9,G3215,1)&gt;=1,B3215='112'!$K$9,OR($N3215='112'!$I$6,$O3215='112'!$I$6))),"x",""))</f>
        <v/>
      </c>
      <c r="U3215" s="75" t="str">
        <f>IF(ISERROR(FIND('112'!$M$9,G3215,1)),"",IF((AND(LEFT(G3215,2)=LEFT('112'!$M$9,2),B3215&lt;'112'!$K$9,$N3215='112'!$I$6)),"x",""))</f>
        <v/>
      </c>
      <c r="V3215" s="75" t="str">
        <f>IF(ISERROR(FIND('112'!$M$9,G3215,1)),"",IF((AND(RIGHT(G3215,2)=RIGHT('112'!$M$9,2),B3215&lt;'112'!$K$9,$O3215='112'!$I$6)),"x",""))</f>
        <v/>
      </c>
      <c r="W3215" s="75" t="str">
        <f>IF(AND('341-CT'!$H$9=H3215,OR(LEFT(N3215,3)=$W$7,LEFT(O3215,3)=$W$7)),"x","")</f>
        <v/>
      </c>
      <c r="X3215" s="75" t="str">
        <f>IF(OR(TH!N3215=TH!$X$7,O3215=TH!$X$7),"x","")</f>
        <v/>
      </c>
      <c r="Y3215" s="75" t="str">
        <f>IF(AND(OR(N3215="131",O3215="131"),H3215='131-CT'!$H$9),"x","")</f>
        <v/>
      </c>
      <c r="Z3215" s="75"/>
      <c r="AA3215" s="75" t="str">
        <f>IF(AND(MONTH(E3215)='IN-NX'!$J$5,'IN-NX'!$D$7=D3215),"x","")</f>
        <v/>
      </c>
      <c r="AB3215" s="75" t="str">
        <f>IF(AND(OR(LEFT(TH!N3215,2)="15",LEFT(TH!O3215,2)="15"),LEFT(TH!O3215,3)&lt;&gt;"111",'152-CT'!$J$8=TH!F3215),"x","")</f>
        <v/>
      </c>
      <c r="AC3215" s="75" t="str">
        <f>IF(AND(OR(LEFT(TH!N3215,2)="15",LEFT(TH!O3215,2)="15"),TK!$E$7=TH!F3215),"x","")</f>
        <v/>
      </c>
      <c r="AD3215" s="75" t="str">
        <f>IF(AND(N3215="1521",MONTH(C3215)='BK-NL'!$M$11),"x","")</f>
        <v/>
      </c>
    </row>
    <row r="3216" spans="1:31" s="1264" customFormat="1" ht="16.5" customHeight="1">
      <c r="A3216" s="309" t="str">
        <f>IF(B3216&lt;&gt;"",IF(AND(B3216='IN-TC'!$S$4,OR(TH!N3216="1111",TH!O3216="1111")),TH!D3216,""),"")</f>
        <v/>
      </c>
      <c r="B3216" s="1263">
        <f t="shared" si="1169"/>
        <v>10</v>
      </c>
      <c r="C3216" s="929">
        <v>43039</v>
      </c>
      <c r="D3216" s="929" t="s">
        <v>902</v>
      </c>
      <c r="E3216" s="929">
        <f t="shared" si="1170"/>
        <v>43039</v>
      </c>
      <c r="F3216" s="72" t="s">
        <v>1321</v>
      </c>
      <c r="G3216" s="930" t="s">
        <v>747</v>
      </c>
      <c r="H3216" s="1236" t="s">
        <v>2549</v>
      </c>
      <c r="I3216" s="371"/>
      <c r="J3216" s="378"/>
      <c r="K3216" s="371">
        <v>47300</v>
      </c>
      <c r="L3216" s="1214">
        <v>22711</v>
      </c>
      <c r="M3216" s="74">
        <f t="shared" ref="M3216:M3219" si="1176">ROUND(K3216*L3216,0)</f>
        <v>1074230300</v>
      </c>
      <c r="N3216" s="934" t="s">
        <v>250</v>
      </c>
      <c r="O3216" s="934" t="s">
        <v>256</v>
      </c>
      <c r="P3216" s="75" t="str">
        <f>IF(AND('331-CT'!$E$7=TH!H3216,OR(N3216="331",O3216="331")),"x","")</f>
        <v/>
      </c>
      <c r="Q3216" s="75" t="str">
        <f>IF(AND(B3216='111'!$L$11,OR($N3216=$Q$7,$O3216=$Q$7)),"x","")</f>
        <v/>
      </c>
      <c r="R3216" s="75" t="str">
        <f>IF(AND($N3216=$Q$7,$B3216&lt;'111'!$L$11),"x","")</f>
        <v/>
      </c>
      <c r="S3216" s="75" t="str">
        <f>IF(AND($O3216=$Q$7,$B3216&lt;'111'!$L$11),"x","")</f>
        <v/>
      </c>
      <c r="T3216" s="75" t="str">
        <f>IF(ISERROR(FIND('112'!$M$9,G3216,1)),"",IF((AND(FIND('112'!$M$9,G3216,1)&gt;=1,B3216='112'!$K$9,OR($N3216='112'!$I$6,$O3216='112'!$I$6))),"x",""))</f>
        <v/>
      </c>
      <c r="U3216" s="75" t="str">
        <f>IF(ISERROR(FIND('112'!$M$9,G3216,1)),"",IF((AND(LEFT(G3216,2)=LEFT('112'!$M$9,2),B3216&lt;'112'!$K$9,$N3216='112'!$I$6)),"x",""))</f>
        <v/>
      </c>
      <c r="V3216" s="75" t="str">
        <f>IF(ISERROR(FIND('112'!$M$9,G3216,1)),"",IF((AND(RIGHT(G3216,2)=RIGHT('112'!$M$9,2),B3216&lt;'112'!$K$9,$O3216='112'!$I$6)),"x",""))</f>
        <v/>
      </c>
      <c r="W3216" s="75" t="str">
        <f>IF(AND('341-CT'!$H$9=H3216,OR(LEFT(N3216,3)=$W$7,LEFT(O3216,3)=$W$7)),"x","")</f>
        <v/>
      </c>
      <c r="X3216" s="75" t="str">
        <f>IF(OR(TH!N3216=TH!$X$7,O3216=TH!$X$7),"x","")</f>
        <v/>
      </c>
      <c r="Y3216" s="75" t="str">
        <f>IF(AND(OR(N3216="131",O3216="131"),H3216='131-CT'!$H$9),"x","")</f>
        <v/>
      </c>
      <c r="Z3216" s="75"/>
      <c r="AA3216" s="75" t="str">
        <f>IF(AND(MONTH(E3216)='IN-NX'!$J$5,'IN-NX'!$D$7=D3216),"x","")</f>
        <v/>
      </c>
      <c r="AB3216" s="75" t="str">
        <f>IF(AND(OR(LEFT(TH!N3216,2)="15",LEFT(TH!O3216,2)="15"),LEFT(TH!O3216,3)&lt;&gt;"111",'152-CT'!$J$8=TH!F3216),"x","")</f>
        <v/>
      </c>
      <c r="AC3216" s="75" t="str">
        <f>IF(AND(OR(LEFT(TH!N3216,2)="15",LEFT(TH!O3216,2)="15"),TK!$E$7=TH!F3216),"x","")</f>
        <v/>
      </c>
      <c r="AD3216" s="75" t="str">
        <f>IF(AND(N3216="1521",MONTH(C3216)='BK-NL'!$M$11),"x","")</f>
        <v/>
      </c>
    </row>
    <row r="3217" spans="1:31" s="1264" customFormat="1" ht="16.5" customHeight="1">
      <c r="A3217" s="309" t="str">
        <f>IF(B3217&lt;&gt;"",IF(AND(B3217='IN-TC'!$S$4,OR(TH!N3217="1111",TH!O3217="1111")),TH!D3217,""),"")</f>
        <v/>
      </c>
      <c r="B3217" s="1263">
        <f t="shared" si="1169"/>
        <v>10</v>
      </c>
      <c r="C3217" s="929">
        <v>43039</v>
      </c>
      <c r="D3217" s="929" t="s">
        <v>902</v>
      </c>
      <c r="E3217" s="929">
        <f t="shared" si="1170"/>
        <v>43039</v>
      </c>
      <c r="F3217" s="930" t="s">
        <v>1096</v>
      </c>
      <c r="G3217" s="930" t="s">
        <v>747</v>
      </c>
      <c r="H3217" s="1236" t="s">
        <v>2327</v>
      </c>
      <c r="I3217" s="371"/>
      <c r="J3217" s="378"/>
      <c r="K3217" s="371">
        <v>59.95</v>
      </c>
      <c r="L3217" s="1214">
        <v>22720</v>
      </c>
      <c r="M3217" s="74">
        <f t="shared" si="1176"/>
        <v>1362064</v>
      </c>
      <c r="N3217" s="934" t="s">
        <v>99</v>
      </c>
      <c r="O3217" s="934" t="s">
        <v>256</v>
      </c>
      <c r="P3217" s="75" t="str">
        <f>IF(AND('331-CT'!$E$7=TH!H3217,OR(N3217="331",O3217="331")),"x","")</f>
        <v/>
      </c>
      <c r="Q3217" s="75" t="str">
        <f>IF(AND(B3217='111'!$L$11,OR($N3217=$Q$7,$O3217=$Q$7)),"x","")</f>
        <v/>
      </c>
      <c r="R3217" s="75" t="str">
        <f>IF(AND($N3217=$Q$7,$B3217&lt;'111'!$L$11),"x","")</f>
        <v/>
      </c>
      <c r="S3217" s="75" t="str">
        <f>IF(AND($O3217=$Q$7,$B3217&lt;'111'!$L$11),"x","")</f>
        <v/>
      </c>
      <c r="T3217" s="75" t="str">
        <f>IF(ISERROR(FIND('112'!$M$9,G3217,1)),"",IF((AND(FIND('112'!$M$9,G3217,1)&gt;=1,B3217='112'!$K$9,OR($N3217='112'!$I$6,$O3217='112'!$I$6))),"x",""))</f>
        <v/>
      </c>
      <c r="U3217" s="75" t="str">
        <f>IF(ISERROR(FIND('112'!$M$9,G3217,1)),"",IF((AND(LEFT(G3217,2)=LEFT('112'!$M$9,2),B3217&lt;'112'!$K$9,$N3217='112'!$I$6)),"x",""))</f>
        <v/>
      </c>
      <c r="V3217" s="75" t="str">
        <f>IF(ISERROR(FIND('112'!$M$9,G3217,1)),"",IF((AND(RIGHT(G3217,2)=RIGHT('112'!$M$9,2),B3217&lt;'112'!$K$9,$O3217='112'!$I$6)),"x",""))</f>
        <v/>
      </c>
      <c r="W3217" s="75" t="str">
        <f>IF(AND('341-CT'!$H$9=H3217,OR(LEFT(N3217,3)=$W$7,LEFT(O3217,3)=$W$7)),"x","")</f>
        <v/>
      </c>
      <c r="X3217" s="75" t="str">
        <f>IF(OR(TH!N3217=TH!$X$7,O3217=TH!$X$7),"x","")</f>
        <v/>
      </c>
      <c r="Y3217" s="75" t="str">
        <f>IF(AND(OR(N3217="131",O3217="131"),H3217='131-CT'!$H$9),"x","")</f>
        <v/>
      </c>
      <c r="Z3217" s="75"/>
      <c r="AA3217" s="75" t="str">
        <f>IF(AND(MONTH(E3217)='IN-NX'!$J$5,'IN-NX'!$D$7=D3217),"x","")</f>
        <v/>
      </c>
      <c r="AB3217" s="75" t="str">
        <f>IF(AND(OR(LEFT(TH!N3217,2)="15",LEFT(TH!O3217,2)="15"),LEFT(TH!O3217,3)&lt;&gt;"111",'152-CT'!$J$8=TH!F3217),"x","")</f>
        <v/>
      </c>
      <c r="AC3217" s="75" t="str">
        <f>IF(AND(OR(LEFT(TH!N3217,2)="15",LEFT(TH!O3217,2)="15"),TK!$E$7=TH!F3217),"x","")</f>
        <v/>
      </c>
      <c r="AD3217" s="75" t="str">
        <f>IF(AND(N3217="1521",MONTH(C3217)='BK-NL'!$M$11),"x","")</f>
        <v/>
      </c>
    </row>
    <row r="3218" spans="1:31" s="1264" customFormat="1" ht="16.5" customHeight="1">
      <c r="A3218" s="309" t="str">
        <f>IF(B3218&lt;&gt;"",IF(AND(B3218='IN-TC'!$S$4,OR(TH!N3218="1111",TH!O3218="1111")),TH!D3218,""),"")</f>
        <v/>
      </c>
      <c r="B3218" s="1263">
        <f t="shared" si="1169"/>
        <v>10</v>
      </c>
      <c r="C3218" s="929">
        <v>43039</v>
      </c>
      <c r="D3218" s="929" t="s">
        <v>903</v>
      </c>
      <c r="E3218" s="929">
        <f>C3218</f>
        <v>43039</v>
      </c>
      <c r="F3218" s="930" t="s">
        <v>1086</v>
      </c>
      <c r="G3218" s="930" t="s">
        <v>747</v>
      </c>
      <c r="H3218" s="735" t="s">
        <v>822</v>
      </c>
      <c r="I3218" s="1213"/>
      <c r="J3218" s="378"/>
      <c r="K3218" s="1213">
        <v>49643</v>
      </c>
      <c r="L3218" s="1214">
        <v>22710</v>
      </c>
      <c r="M3218" s="1214">
        <f t="shared" si="1176"/>
        <v>1127392530</v>
      </c>
      <c r="N3218" s="934" t="s">
        <v>256</v>
      </c>
      <c r="O3218" s="934" t="s">
        <v>536</v>
      </c>
      <c r="P3218" s="75" t="str">
        <f>IF(AND('331-CT'!$E$7=TH!H3218,OR(N3218="331",O3218="331")),"x","")</f>
        <v/>
      </c>
      <c r="Q3218" s="75" t="str">
        <f>IF(AND(B3218='111'!$L$11,OR($N3218=$Q$7,$O3218=$Q$7)),"x","")</f>
        <v/>
      </c>
      <c r="R3218" s="75" t="str">
        <f>IF(AND($N3218=$Q$7,$B3218&lt;'111'!$L$11),"x","")</f>
        <v/>
      </c>
      <c r="S3218" s="75" t="str">
        <f>IF(AND($O3218=$Q$7,$B3218&lt;'111'!$L$11),"x","")</f>
        <v/>
      </c>
      <c r="T3218" s="75" t="str">
        <f>IF(ISERROR(FIND('112'!$M$9,G3218,1)),"",IF((AND(FIND('112'!$M$9,G3218,1)&gt;=1,B3218='112'!$K$9,OR($N3218='112'!$I$6,$O3218='112'!$I$6))),"x",""))</f>
        <v/>
      </c>
      <c r="U3218" s="75" t="str">
        <f>IF(ISERROR(FIND('112'!$M$9,G3218,1)),"",IF((AND(LEFT(G3218,2)=LEFT('112'!$M$9,2),B3218&lt;'112'!$K$9,$N3218='112'!$I$6)),"x",""))</f>
        <v/>
      </c>
      <c r="V3218" s="75" t="str">
        <f>IF(ISERROR(FIND('112'!$M$9,G3218,1)),"",IF((AND(RIGHT(G3218,2)=RIGHT('112'!$M$9,2),B3218&lt;'112'!$K$9,$O3218='112'!$I$6)),"x",""))</f>
        <v/>
      </c>
      <c r="W3218" s="75" t="str">
        <f>IF(AND('341-CT'!$H$9=H3218,OR(LEFT(N3218,3)=$W$7,LEFT(O3218,3)=$W$7)),"x","")</f>
        <v/>
      </c>
      <c r="X3218" s="75" t="str">
        <f>IF(OR(TH!N3218=TH!$X$7,O3218=TH!$X$7),"x","")</f>
        <v/>
      </c>
      <c r="Y3218" s="75" t="str">
        <f>IF(AND(OR(N3218="131",O3218="131"),H3218='131-CT'!$H$9),"x","")</f>
        <v/>
      </c>
      <c r="Z3218" s="75"/>
      <c r="AA3218" s="75" t="str">
        <f>IF(AND(MONTH(E3218)='IN-NX'!$J$5,'IN-NX'!$D$7=D3218),"x","")</f>
        <v/>
      </c>
      <c r="AB3218" s="75" t="str">
        <f>IF(AND(OR(LEFT(TH!N3218,2)="15",LEFT(TH!O3218,2)="15"),LEFT(TH!O3218,3)&lt;&gt;"111",'152-CT'!$J$8=TH!F3218),"x","")</f>
        <v/>
      </c>
      <c r="AC3218" s="75" t="str">
        <f>IF(AND(OR(LEFT(TH!N3218,2)="15",LEFT(TH!O3218,2)="15"),TK!$E$7=TH!F3218),"x","")</f>
        <v/>
      </c>
      <c r="AD3218" s="75" t="str">
        <f>IF(AND(N3218="1521",MONTH(C3218)='BK-NL'!$M$11),"x","")</f>
        <v/>
      </c>
    </row>
    <row r="3219" spans="1:31" s="1264" customFormat="1" ht="16.5" customHeight="1">
      <c r="A3219" s="309" t="str">
        <f>IF(B3219&lt;&gt;"",IF(AND(B3219='IN-TC'!$S$4,OR(TH!N3219="1111",TH!O3219="1111")),TH!D3219,""),"")</f>
        <v/>
      </c>
      <c r="B3219" s="1263">
        <f t="shared" si="1169"/>
        <v>10</v>
      </c>
      <c r="C3219" s="929">
        <v>43039</v>
      </c>
      <c r="D3219" s="929" t="s">
        <v>530</v>
      </c>
      <c r="E3219" s="929">
        <f>C3219</f>
        <v>43039</v>
      </c>
      <c r="F3219" s="930" t="s">
        <v>1027</v>
      </c>
      <c r="G3219" s="930" t="s">
        <v>747</v>
      </c>
      <c r="H3219" s="735" t="s">
        <v>822</v>
      </c>
      <c r="I3219" s="1213"/>
      <c r="J3219" s="378"/>
      <c r="K3219" s="1213">
        <v>157</v>
      </c>
      <c r="L3219" s="1214">
        <v>22710</v>
      </c>
      <c r="M3219" s="1214">
        <f t="shared" si="1176"/>
        <v>3565470</v>
      </c>
      <c r="N3219" s="934" t="s">
        <v>101</v>
      </c>
      <c r="O3219" s="934" t="s">
        <v>536</v>
      </c>
      <c r="P3219" s="75" t="str">
        <f>IF(AND('331-CT'!$E$7=TH!H3219,OR(N3219="331",O3219="331")),"x","")</f>
        <v/>
      </c>
      <c r="Q3219" s="75" t="str">
        <f>IF(AND(B3219='111'!$L$11,OR($N3219=$Q$7,$O3219=$Q$7)),"x","")</f>
        <v/>
      </c>
      <c r="R3219" s="75" t="str">
        <f>IF(AND($N3219=$Q$7,$B3219&lt;'111'!$L$11),"x","")</f>
        <v/>
      </c>
      <c r="S3219" s="75" t="str">
        <f>IF(AND($O3219=$Q$7,$B3219&lt;'111'!$L$11),"x","")</f>
        <v/>
      </c>
      <c r="T3219" s="75" t="str">
        <f>IF(ISERROR(FIND('112'!$M$9,G3219,1)),"",IF((AND(FIND('112'!$M$9,G3219,1)&gt;=1,B3219='112'!$K$9,OR($N3219='112'!$I$6,$O3219='112'!$I$6))),"x",""))</f>
        <v/>
      </c>
      <c r="U3219" s="75" t="str">
        <f>IF(ISERROR(FIND('112'!$M$9,G3219,1)),"",IF((AND(LEFT(G3219,2)=LEFT('112'!$M$9,2),B3219&lt;'112'!$K$9,$N3219='112'!$I$6)),"x",""))</f>
        <v/>
      </c>
      <c r="V3219" s="75" t="str">
        <f>IF(ISERROR(FIND('112'!$M$9,G3219,1)),"",IF((AND(RIGHT(G3219,2)=RIGHT('112'!$M$9,2),B3219&lt;'112'!$K$9,$O3219='112'!$I$6)),"x",""))</f>
        <v/>
      </c>
      <c r="W3219" s="75" t="str">
        <f>IF(AND('341-CT'!$H$9=H3219,OR(LEFT(N3219,3)=$W$7,LEFT(O3219,3)=$W$7)),"x","")</f>
        <v/>
      </c>
      <c r="X3219" s="75" t="str">
        <f>IF(OR(TH!N3219=TH!$X$7,O3219=TH!$X$7),"x","")</f>
        <v/>
      </c>
      <c r="Y3219" s="75" t="str">
        <f>IF(AND(OR(N3219="131",O3219="131"),H3219='131-CT'!$H$9),"x","")</f>
        <v/>
      </c>
      <c r="Z3219" s="75"/>
      <c r="AA3219" s="75" t="str">
        <f>IF(AND(MONTH(E3219)='IN-NX'!$J$5,'IN-NX'!$D$7=D3219),"x","")</f>
        <v/>
      </c>
      <c r="AB3219" s="75" t="str">
        <f>IF(AND(OR(LEFT(TH!N3219,2)="15",LEFT(TH!O3219,2)="15"),LEFT(TH!O3219,3)&lt;&gt;"111",'152-CT'!$J$8=TH!F3219),"x","")</f>
        <v/>
      </c>
      <c r="AC3219" s="75" t="str">
        <f>IF(AND(OR(LEFT(TH!N3219,2)="15",LEFT(TH!O3219,2)="15"),TK!$E$7=TH!F3219),"x","")</f>
        <v/>
      </c>
      <c r="AD3219" s="75" t="str">
        <f>IF(AND(N3219="1521",MONTH(C3219)='BK-NL'!$M$11),"x","")</f>
        <v/>
      </c>
    </row>
    <row r="3220" spans="1:31" s="1264" customFormat="1" ht="16.5" customHeight="1">
      <c r="A3220" s="309" t="str">
        <f>IF(B3220&lt;&gt;"",IF(AND(B3220='IN-TC'!$S$4,OR(TH!N3220="1111",TH!O3220="1111")),TH!D3220,""),"")</f>
        <v/>
      </c>
      <c r="B3220" s="1263">
        <f t="shared" si="1169"/>
        <v>10</v>
      </c>
      <c r="C3220" s="929">
        <v>43039</v>
      </c>
      <c r="D3220" s="929" t="s">
        <v>530</v>
      </c>
      <c r="E3220" s="929">
        <f>C3220</f>
        <v>43039</v>
      </c>
      <c r="F3220" s="930" t="s">
        <v>1010</v>
      </c>
      <c r="G3220" s="930" t="s">
        <v>747</v>
      </c>
      <c r="H3220" s="735" t="s">
        <v>822</v>
      </c>
      <c r="I3220" s="1213"/>
      <c r="J3220" s="378"/>
      <c r="K3220" s="1213"/>
      <c r="L3220" s="1214"/>
      <c r="M3220" s="74">
        <v>1245000</v>
      </c>
      <c r="N3220" s="934" t="s">
        <v>536</v>
      </c>
      <c r="O3220" s="934" t="s">
        <v>43</v>
      </c>
      <c r="P3220" s="75" t="str">
        <f>IF(AND('331-CT'!$E$7=TH!H3220,OR(N3220="331",O3220="331")),"x","")</f>
        <v/>
      </c>
      <c r="Q3220" s="75" t="str">
        <f>IF(AND(B3220='111'!$L$11,OR($N3220=$Q$7,$O3220=$Q$7)),"x","")</f>
        <v/>
      </c>
      <c r="R3220" s="75" t="str">
        <f>IF(AND($N3220=$Q$7,$B3220&lt;'111'!$L$11),"x","")</f>
        <v/>
      </c>
      <c r="S3220" s="75" t="str">
        <f>IF(AND($O3220=$Q$7,$B3220&lt;'111'!$L$11),"x","")</f>
        <v/>
      </c>
      <c r="T3220" s="75" t="str">
        <f>IF(ISERROR(FIND('112'!$M$9,G3220,1)),"",IF((AND(FIND('112'!$M$9,G3220,1)&gt;=1,B3220='112'!$K$9,OR($N3220='112'!$I$6,$O3220='112'!$I$6))),"x",""))</f>
        <v/>
      </c>
      <c r="U3220" s="75" t="str">
        <f>IF(ISERROR(FIND('112'!$M$9,G3220,1)),"",IF((AND(LEFT(G3220,2)=LEFT('112'!$M$9,2),B3220&lt;'112'!$K$9,$N3220='112'!$I$6)),"x",""))</f>
        <v/>
      </c>
      <c r="V3220" s="75" t="str">
        <f>IF(ISERROR(FIND('112'!$M$9,G3220,1)),"",IF((AND(RIGHT(G3220,2)=RIGHT('112'!$M$9,2),B3220&lt;'112'!$K$9,$O3220='112'!$I$6)),"x",""))</f>
        <v/>
      </c>
      <c r="W3220" s="75" t="str">
        <f>IF(AND('341-CT'!$H$9=H3220,OR(LEFT(N3220,3)=$W$7,LEFT(O3220,3)=$W$7)),"x","")</f>
        <v/>
      </c>
      <c r="X3220" s="75" t="str">
        <f>IF(OR(TH!N3220=TH!$X$7,O3220=TH!$X$7),"x","")</f>
        <v/>
      </c>
      <c r="Y3220" s="75" t="str">
        <f>IF(AND(OR(N3220="131",O3220="131"),H3220='131-CT'!$H$9),"x","")</f>
        <v/>
      </c>
      <c r="Z3220" s="75"/>
      <c r="AA3220" s="75" t="str">
        <f>IF(AND(MONTH(E3220)='IN-NX'!$J$5,'IN-NX'!$D$7=D3220),"x","")</f>
        <v/>
      </c>
      <c r="AB3220" s="75" t="str">
        <f>IF(AND(OR(LEFT(TH!N3220,2)="15",LEFT(TH!O3220,2)="15"),LEFT(TH!O3220,3)&lt;&gt;"111",'152-CT'!$J$8=TH!F3220),"x","")</f>
        <v/>
      </c>
      <c r="AC3220" s="75" t="str">
        <f>IF(AND(OR(LEFT(TH!N3220,2)="15",LEFT(TH!O3220,2)="15"),TK!$E$7=TH!F3220),"x","")</f>
        <v/>
      </c>
      <c r="AD3220" s="75" t="str">
        <f>IF(AND(N3220="1521",MONTH(C3220)='BK-NL'!$M$11),"x","")</f>
        <v/>
      </c>
    </row>
    <row r="3221" spans="1:31" s="1264" customFormat="1" ht="16.5" customHeight="1">
      <c r="A3221" s="309" t="str">
        <f>IF(B3221&lt;&gt;"",IF(AND(B3221='IN-TC'!$S$4,OR(TH!N3221="1111",TH!O3221="1111")),TH!D3221,""),"")</f>
        <v/>
      </c>
      <c r="B3221" s="1282">
        <f t="shared" si="1169"/>
        <v>11</v>
      </c>
      <c r="C3221" s="929">
        <v>43041</v>
      </c>
      <c r="D3221" s="929" t="s">
        <v>903</v>
      </c>
      <c r="E3221" s="929">
        <f>C3221</f>
        <v>43041</v>
      </c>
      <c r="F3221" s="930" t="s">
        <v>1086</v>
      </c>
      <c r="G3221" s="930" t="s">
        <v>747</v>
      </c>
      <c r="H3221" s="735" t="s">
        <v>759</v>
      </c>
      <c r="I3221" s="1213"/>
      <c r="J3221" s="378"/>
      <c r="K3221" s="1213">
        <v>562089.56000000006</v>
      </c>
      <c r="L3221" s="1214">
        <v>22710</v>
      </c>
      <c r="M3221" s="1214">
        <f t="shared" ref="M3221:M3222" si="1177">ROUND(K3221*L3221,0)</f>
        <v>12765053908</v>
      </c>
      <c r="N3221" s="934" t="s">
        <v>256</v>
      </c>
      <c r="O3221" s="934" t="s">
        <v>536</v>
      </c>
      <c r="P3221" s="75" t="str">
        <f>IF(AND('331-CT'!$E$7=TH!H3221,OR(N3221="331",O3221="331")),"x","")</f>
        <v/>
      </c>
      <c r="Q3221" s="75" t="str">
        <f>IF(AND(B3221='111'!$L$11,OR($N3221=$Q$7,$O3221=$Q$7)),"x","")</f>
        <v/>
      </c>
      <c r="R3221" s="75" t="str">
        <f>IF(AND($N3221=$Q$7,$B3221&lt;'111'!$L$11),"x","")</f>
        <v/>
      </c>
      <c r="S3221" s="75" t="str">
        <f>IF(AND($O3221=$Q$7,$B3221&lt;'111'!$L$11),"x","")</f>
        <v/>
      </c>
      <c r="T3221" s="75" t="str">
        <f>IF(ISERROR(FIND('112'!$M$9,G3221,1)),"",IF((AND(FIND('112'!$M$9,G3221,1)&gt;=1,B3221='112'!$K$9,OR($N3221='112'!$I$6,$O3221='112'!$I$6))),"x",""))</f>
        <v/>
      </c>
      <c r="U3221" s="75" t="str">
        <f>IF(ISERROR(FIND('112'!$M$9,G3221,1)),"",IF((AND(LEFT(G3221,2)=LEFT('112'!$M$9,2),B3221&lt;'112'!$K$9,$N3221='112'!$I$6)),"x",""))</f>
        <v/>
      </c>
      <c r="V3221" s="75" t="str">
        <f>IF(ISERROR(FIND('112'!$M$9,G3221,1)),"",IF((AND(RIGHT(G3221,2)=RIGHT('112'!$M$9,2),B3221&lt;'112'!$K$9,$O3221='112'!$I$6)),"x",""))</f>
        <v/>
      </c>
      <c r="W3221" s="75" t="str">
        <f>IF(AND('341-CT'!$H$9=H3221,OR(LEFT(N3221,3)=$W$7,LEFT(O3221,3)=$W$7)),"x","")</f>
        <v/>
      </c>
      <c r="X3221" s="75" t="str">
        <f>IF(OR(TH!N3221=TH!$X$7,O3221=TH!$X$7),"x","")</f>
        <v/>
      </c>
      <c r="Y3221" s="75" t="str">
        <f>IF(AND(OR(N3221="131",O3221="131"),H3221='131-CT'!$H$9),"x","")</f>
        <v/>
      </c>
      <c r="Z3221" s="75"/>
      <c r="AA3221" s="75" t="str">
        <f>IF(AND(MONTH(E3221)='IN-NX'!$J$5,'IN-NX'!$D$7=D3221),"x","")</f>
        <v/>
      </c>
      <c r="AB3221" s="75" t="str">
        <f>IF(AND(OR(LEFT(TH!N3221,2)="15",LEFT(TH!O3221,2)="15"),LEFT(TH!O3221,3)&lt;&gt;"111",'152-CT'!$J$8=TH!F3221),"x","")</f>
        <v/>
      </c>
      <c r="AC3221" s="75" t="str">
        <f>IF(AND(OR(LEFT(TH!N3221,2)="15",LEFT(TH!O3221,2)="15"),TK!$E$7=TH!F3221),"x","")</f>
        <v/>
      </c>
      <c r="AD3221" s="75" t="str">
        <f>IF(AND(N3221="1521",MONTH(C3221)='BK-NL'!$M$11),"x","")</f>
        <v/>
      </c>
    </row>
    <row r="3222" spans="1:31" s="1264" customFormat="1" ht="16.5" customHeight="1">
      <c r="A3222" s="309" t="str">
        <f>IF(B3222&lt;&gt;"",IF(AND(B3222='IN-TC'!$S$4,OR(TH!N3222="1111",TH!O3222="1111")),TH!D3222,""),"")</f>
        <v/>
      </c>
      <c r="B3222" s="1282">
        <f t="shared" ref="B3222:B3223" si="1178">IF(C3222&lt;&gt;"",MONTH(C3222),"")</f>
        <v>11</v>
      </c>
      <c r="C3222" s="929">
        <v>43041</v>
      </c>
      <c r="D3222" s="929" t="s">
        <v>530</v>
      </c>
      <c r="E3222" s="929">
        <f t="shared" ref="E3222:E3223" si="1179">C3222</f>
        <v>43041</v>
      </c>
      <c r="F3222" s="930" t="s">
        <v>1027</v>
      </c>
      <c r="G3222" s="930" t="s">
        <v>747</v>
      </c>
      <c r="H3222" s="735" t="s">
        <v>759</v>
      </c>
      <c r="I3222" s="1213"/>
      <c r="J3222" s="378"/>
      <c r="K3222" s="1213">
        <v>17.440000000000001</v>
      </c>
      <c r="L3222" s="1214">
        <v>22710</v>
      </c>
      <c r="M3222" s="1214">
        <f t="shared" si="1177"/>
        <v>396062</v>
      </c>
      <c r="N3222" s="934" t="s">
        <v>101</v>
      </c>
      <c r="O3222" s="934" t="s">
        <v>536</v>
      </c>
      <c r="P3222" s="75" t="str">
        <f>IF(AND('331-CT'!$E$7=TH!H3222,OR(N3222="331",O3222="331")),"x","")</f>
        <v/>
      </c>
      <c r="Q3222" s="75" t="str">
        <f>IF(AND(B3222='111'!$L$11,OR($N3222=$Q$7,$O3222=$Q$7)),"x","")</f>
        <v/>
      </c>
      <c r="R3222" s="75" t="str">
        <f>IF(AND($N3222=$Q$7,$B3222&lt;'111'!$L$11),"x","")</f>
        <v/>
      </c>
      <c r="S3222" s="75" t="str">
        <f>IF(AND($O3222=$Q$7,$B3222&lt;'111'!$L$11),"x","")</f>
        <v/>
      </c>
      <c r="T3222" s="75" t="str">
        <f>IF(ISERROR(FIND('112'!$M$9,G3222,1)),"",IF((AND(FIND('112'!$M$9,G3222,1)&gt;=1,B3222='112'!$K$9,OR($N3222='112'!$I$6,$O3222='112'!$I$6))),"x",""))</f>
        <v/>
      </c>
      <c r="U3222" s="75" t="str">
        <f>IF(ISERROR(FIND('112'!$M$9,G3222,1)),"",IF((AND(LEFT(G3222,2)=LEFT('112'!$M$9,2),B3222&lt;'112'!$K$9,$N3222='112'!$I$6)),"x",""))</f>
        <v/>
      </c>
      <c r="V3222" s="75" t="str">
        <f>IF(ISERROR(FIND('112'!$M$9,G3222,1)),"",IF((AND(RIGHT(G3222,2)=RIGHT('112'!$M$9,2),B3222&lt;'112'!$K$9,$O3222='112'!$I$6)),"x",""))</f>
        <v/>
      </c>
      <c r="W3222" s="75" t="str">
        <f>IF(AND('341-CT'!$H$9=H3222,OR(LEFT(N3222,3)=$W$7,LEFT(O3222,3)=$W$7)),"x","")</f>
        <v/>
      </c>
      <c r="X3222" s="75" t="str">
        <f>IF(OR(TH!N3222=TH!$X$7,O3222=TH!$X$7),"x","")</f>
        <v/>
      </c>
      <c r="Y3222" s="75" t="str">
        <f>IF(AND(OR(N3222="131",O3222="131"),H3222='131-CT'!$H$9),"x","")</f>
        <v/>
      </c>
      <c r="Z3222" s="75"/>
      <c r="AA3222" s="75" t="str">
        <f>IF(AND(MONTH(E3222)='IN-NX'!$J$5,'IN-NX'!$D$7=D3222),"x","")</f>
        <v/>
      </c>
      <c r="AB3222" s="75" t="str">
        <f>IF(AND(OR(LEFT(TH!N3222,2)="15",LEFT(TH!O3222,2)="15"),LEFT(TH!O3222,3)&lt;&gt;"111",'152-CT'!$J$8=TH!F3222),"x","")</f>
        <v/>
      </c>
      <c r="AC3222" s="75" t="str">
        <f>IF(AND(OR(LEFT(TH!N3222,2)="15",LEFT(TH!O3222,2)="15"),TK!$E$7=TH!F3222),"x","")</f>
        <v/>
      </c>
      <c r="AD3222" s="75" t="str">
        <f>IF(AND(N3222="1521",MONTH(C3222)='BK-NL'!$M$11),"x","")</f>
        <v/>
      </c>
    </row>
    <row r="3223" spans="1:31" s="1264" customFormat="1" ht="16.5" customHeight="1">
      <c r="A3223" s="309" t="str">
        <f>IF(B3223&lt;&gt;"",IF(AND(B3223='IN-TC'!$S$4,OR(TH!N3223="1111",TH!O3223="1111")),TH!D3223,""),"")</f>
        <v/>
      </c>
      <c r="B3223" s="1282">
        <f t="shared" si="1178"/>
        <v>11</v>
      </c>
      <c r="C3223" s="929">
        <v>43041</v>
      </c>
      <c r="D3223" s="929" t="s">
        <v>530</v>
      </c>
      <c r="E3223" s="929">
        <f t="shared" si="1179"/>
        <v>43041</v>
      </c>
      <c r="F3223" s="930" t="s">
        <v>1010</v>
      </c>
      <c r="G3223" s="930" t="s">
        <v>747</v>
      </c>
      <c r="H3223" s="735" t="s">
        <v>759</v>
      </c>
      <c r="I3223" s="1213"/>
      <c r="J3223" s="378"/>
      <c r="K3223" s="1213"/>
      <c r="L3223" s="1214"/>
      <c r="M3223" s="933">
        <v>6294015</v>
      </c>
      <c r="N3223" s="934" t="s">
        <v>536</v>
      </c>
      <c r="O3223" s="934" t="s">
        <v>43</v>
      </c>
      <c r="P3223" s="75" t="str">
        <f>IF(AND('331-CT'!$E$7=TH!H3223,OR(N3223="331",O3223="331")),"x","")</f>
        <v/>
      </c>
      <c r="Q3223" s="75" t="str">
        <f>IF(AND(B3223='111'!$L$11,OR($N3223=$Q$7,$O3223=$Q$7)),"x","")</f>
        <v/>
      </c>
      <c r="R3223" s="75" t="str">
        <f>IF(AND($N3223=$Q$7,$B3223&lt;'111'!$L$11),"x","")</f>
        <v/>
      </c>
      <c r="S3223" s="75" t="str">
        <f>IF(AND($O3223=$Q$7,$B3223&lt;'111'!$L$11),"x","")</f>
        <v/>
      </c>
      <c r="T3223" s="75" t="str">
        <f>IF(ISERROR(FIND('112'!$M$9,G3223,1)),"",IF((AND(FIND('112'!$M$9,G3223,1)&gt;=1,B3223='112'!$K$9,OR($N3223='112'!$I$6,$O3223='112'!$I$6))),"x",""))</f>
        <v/>
      </c>
      <c r="U3223" s="75" t="str">
        <f>IF(ISERROR(FIND('112'!$M$9,G3223,1)),"",IF((AND(LEFT(G3223,2)=LEFT('112'!$M$9,2),B3223&lt;'112'!$K$9,$N3223='112'!$I$6)),"x",""))</f>
        <v/>
      </c>
      <c r="V3223" s="75" t="str">
        <f>IF(ISERROR(FIND('112'!$M$9,G3223,1)),"",IF((AND(RIGHT(G3223,2)=RIGHT('112'!$M$9,2),B3223&lt;'112'!$K$9,$O3223='112'!$I$6)),"x",""))</f>
        <v/>
      </c>
      <c r="W3223" s="75" t="str">
        <f>IF(AND('341-CT'!$H$9=H3223,OR(LEFT(N3223,3)=$W$7,LEFT(O3223,3)=$W$7)),"x","")</f>
        <v/>
      </c>
      <c r="X3223" s="75" t="str">
        <f>IF(OR(TH!N3223=TH!$X$7,O3223=TH!$X$7),"x","")</f>
        <v/>
      </c>
      <c r="Y3223" s="75" t="str">
        <f>IF(AND(OR(N3223="131",O3223="131"),H3223='131-CT'!$H$9),"x","")</f>
        <v/>
      </c>
      <c r="Z3223" s="75"/>
      <c r="AA3223" s="75" t="str">
        <f>IF(AND(MONTH(E3223)='IN-NX'!$J$5,'IN-NX'!$D$7=D3223),"x","")</f>
        <v/>
      </c>
      <c r="AB3223" s="75" t="str">
        <f>IF(AND(OR(LEFT(TH!N3223,2)="15",LEFT(TH!O3223,2)="15"),LEFT(TH!O3223,3)&lt;&gt;"111",'152-CT'!$J$8=TH!F3223),"x","")</f>
        <v/>
      </c>
      <c r="AC3223" s="75" t="str">
        <f>IF(AND(OR(LEFT(TH!N3223,2)="15",LEFT(TH!O3223,2)="15"),TK!$E$7=TH!F3223),"x","")</f>
        <v/>
      </c>
      <c r="AD3223" s="75" t="str">
        <f>IF(AND(N3223="1521",MONTH(C3223)='BK-NL'!$M$11),"x","")</f>
        <v/>
      </c>
    </row>
    <row r="3224" spans="1:31" s="1264" customFormat="1" ht="16.5" customHeight="1">
      <c r="A3224" s="309" t="str">
        <f>IF(B3224&lt;&gt;"",IF(AND(B3224='IN-TC'!$S$4,OR(TH!N3224="1111",TH!O3224="1111")),TH!D3224,""),"")</f>
        <v/>
      </c>
      <c r="B3224" s="1282">
        <f>IF(C3224&lt;&gt;"",MONTH(C3224),"")</f>
        <v>11</v>
      </c>
      <c r="C3224" s="929">
        <v>43041</v>
      </c>
      <c r="D3224" s="929" t="s">
        <v>902</v>
      </c>
      <c r="E3224" s="929">
        <f>C3224</f>
        <v>43041</v>
      </c>
      <c r="F3224" s="930" t="s">
        <v>2480</v>
      </c>
      <c r="G3224" s="930" t="s">
        <v>1542</v>
      </c>
      <c r="H3224" s="735" t="s">
        <v>835</v>
      </c>
      <c r="I3224" s="1213"/>
      <c r="J3224" s="378"/>
      <c r="K3224" s="1213">
        <v>564500</v>
      </c>
      <c r="L3224" s="1214">
        <v>22710</v>
      </c>
      <c r="M3224" s="1214">
        <f t="shared" ref="M3224" si="1180">ROUND(K3224*L3224,0)</f>
        <v>12819795000</v>
      </c>
      <c r="N3224" s="934" t="s">
        <v>256</v>
      </c>
      <c r="O3224" s="934" t="s">
        <v>256</v>
      </c>
      <c r="P3224" s="75" t="str">
        <f>IF(AND('331-CT'!$E$7=TH!H3224,OR(N3224="331",O3224="331")),"x","")</f>
        <v/>
      </c>
      <c r="Q3224" s="75" t="str">
        <f>IF(AND(B3224='111'!$L$11,OR($N3224=$Q$7,$O3224=$Q$7)),"x","")</f>
        <v/>
      </c>
      <c r="R3224" s="75" t="str">
        <f>IF(AND($N3224=$Q$7,$B3224&lt;'111'!$L$11),"x","")</f>
        <v/>
      </c>
      <c r="S3224" s="75" t="str">
        <f>IF(AND($O3224=$Q$7,$B3224&lt;'111'!$L$11),"x","")</f>
        <v/>
      </c>
      <c r="T3224" s="75" t="str">
        <f>IF(ISERROR(FIND('112'!$M$9,G3224,1)),"",IF((AND(FIND('112'!$M$9,G3224,1)&gt;=1,B3224='112'!$K$9,OR($N3224='112'!$I$6,$O3224='112'!$I$6))),"x",""))</f>
        <v/>
      </c>
      <c r="U3224" s="75" t="str">
        <f>IF(ISERROR(FIND('112'!$M$9,G3224,1)),"",IF((AND(LEFT(G3224,2)=LEFT('112'!$M$9,2),B3224&lt;'112'!$K$9,$N3224='112'!$I$6)),"x",""))</f>
        <v/>
      </c>
      <c r="V3224" s="75" t="str">
        <f>IF(ISERROR(FIND('112'!$M$9,G3224,1)),"",IF((AND(RIGHT(G3224,2)=RIGHT('112'!$M$9,2),B3224&lt;'112'!$K$9,$O3224='112'!$I$6)),"x",""))</f>
        <v/>
      </c>
      <c r="W3224" s="75" t="str">
        <f>IF(AND('341-CT'!$H$9=H3224,OR(LEFT(N3224,3)=$W$7,LEFT(O3224,3)=$W$7)),"x","")</f>
        <v/>
      </c>
      <c r="X3224" s="75" t="str">
        <f>IF(OR(TH!N3224=TH!$X$7,O3224=TH!$X$7),"x","")</f>
        <v/>
      </c>
      <c r="Y3224" s="75" t="str">
        <f>IF(AND(OR(N3224="131",O3224="131"),H3224='131-CT'!$H$9),"x","")</f>
        <v/>
      </c>
      <c r="Z3224" s="75"/>
      <c r="AA3224" s="75" t="str">
        <f>IF(AND(MONTH(E3224)='IN-NX'!$J$5,'IN-NX'!$D$7=D3224),"x","")</f>
        <v/>
      </c>
      <c r="AB3224" s="75" t="str">
        <f>IF(AND(OR(LEFT(TH!N3224,2)="15",LEFT(TH!O3224,2)="15"),LEFT(TH!O3224,3)&lt;&gt;"111",'152-CT'!$J$8=TH!F3224),"x","")</f>
        <v/>
      </c>
      <c r="AC3224" s="75" t="str">
        <f>IF(AND(OR(LEFT(TH!N3224,2)="15",LEFT(TH!O3224,2)="15"),TK!$E$7=TH!F3224),"x","")</f>
        <v/>
      </c>
      <c r="AD3224" s="75" t="str">
        <f>IF(AND(N3224="1521",MONTH(C3224)='BK-NL'!$M$11),"x","")</f>
        <v/>
      </c>
    </row>
    <row r="3225" spans="1:31" s="1264" customFormat="1" ht="16.5" customHeight="1">
      <c r="A3225" s="309" t="str">
        <f>IF(B3225&lt;&gt;"",IF(AND(B3225='IN-TC'!$S$4,OR(TH!N3225="1111",TH!O3225="1111")),TH!D3225,""),"")</f>
        <v/>
      </c>
      <c r="B3225" s="1282">
        <f>IF(C3225&lt;&gt;"",MONTH(C3225),"")</f>
        <v>11</v>
      </c>
      <c r="C3225" s="929">
        <v>43041</v>
      </c>
      <c r="D3225" s="929" t="s">
        <v>902</v>
      </c>
      <c r="E3225" s="929">
        <f t="shared" ref="E3225:E3226" si="1181">C3225</f>
        <v>43041</v>
      </c>
      <c r="F3225" s="930" t="s">
        <v>2481</v>
      </c>
      <c r="G3225" s="930" t="s">
        <v>747</v>
      </c>
      <c r="H3225" s="735" t="s">
        <v>835</v>
      </c>
      <c r="I3225" s="1213"/>
      <c r="J3225" s="378"/>
      <c r="K3225" s="1213">
        <v>3</v>
      </c>
      <c r="L3225" s="1214">
        <v>22710</v>
      </c>
      <c r="M3225" s="74">
        <f t="shared" ref="M3225:M3230" si="1182">ROUND(K3225*L3225,0)</f>
        <v>68130</v>
      </c>
      <c r="N3225" s="934" t="s">
        <v>101</v>
      </c>
      <c r="O3225" s="934" t="s">
        <v>256</v>
      </c>
      <c r="P3225" s="75" t="str">
        <f>IF(AND('331-CT'!$E$7=TH!H3225,OR(N3225="331",O3225="331")),"x","")</f>
        <v/>
      </c>
      <c r="Q3225" s="75" t="str">
        <f>IF(AND(B3225='111'!$L$11,OR($N3225=$Q$7,$O3225=$Q$7)),"x","")</f>
        <v/>
      </c>
      <c r="R3225" s="75" t="str">
        <f>IF(AND($N3225=$Q$7,$B3225&lt;'111'!$L$11),"x","")</f>
        <v/>
      </c>
      <c r="S3225" s="75" t="str">
        <f>IF(AND($O3225=$Q$7,$B3225&lt;'111'!$L$11),"x","")</f>
        <v/>
      </c>
      <c r="T3225" s="75" t="str">
        <f>IF(ISERROR(FIND('112'!$M$9,G3225,1)),"",IF((AND(FIND('112'!$M$9,G3225,1)&gt;=1,B3225='112'!$K$9,OR($N3225='112'!$I$6,$O3225='112'!$I$6))),"x",""))</f>
        <v/>
      </c>
      <c r="U3225" s="75" t="str">
        <f>IF(ISERROR(FIND('112'!$M$9,G3225,1)),"",IF((AND(LEFT(G3225,2)=LEFT('112'!$M$9,2),B3225&lt;'112'!$K$9,$N3225='112'!$I$6)),"x",""))</f>
        <v/>
      </c>
      <c r="V3225" s="75" t="str">
        <f>IF(ISERROR(FIND('112'!$M$9,G3225,1)),"",IF((AND(RIGHT(G3225,2)=RIGHT('112'!$M$9,2),B3225&lt;'112'!$K$9,$O3225='112'!$I$6)),"x",""))</f>
        <v/>
      </c>
      <c r="W3225" s="75" t="str">
        <f>IF(AND('341-CT'!$H$9=H3225,OR(LEFT(N3225,3)=$W$7,LEFT(O3225,3)=$W$7)),"x","")</f>
        <v/>
      </c>
      <c r="X3225" s="75" t="str">
        <f>IF(OR(TH!N3225=TH!$X$7,O3225=TH!$X$7),"x","")</f>
        <v/>
      </c>
      <c r="Y3225" s="75" t="str">
        <f>IF(AND(OR(N3225="131",O3225="131"),H3225='131-CT'!$H$9),"x","")</f>
        <v/>
      </c>
      <c r="Z3225" s="75"/>
      <c r="AA3225" s="75" t="str">
        <f>IF(AND(MONTH(E3225)='IN-NX'!$J$5,'IN-NX'!$D$7=D3225),"x","")</f>
        <v/>
      </c>
      <c r="AB3225" s="75" t="str">
        <f>IF(AND(OR(LEFT(TH!N3225,2)="15",LEFT(TH!O3225,2)="15"),LEFT(TH!O3225,3)&lt;&gt;"111",'152-CT'!$J$8=TH!F3225),"x","")</f>
        <v/>
      </c>
      <c r="AC3225" s="75" t="str">
        <f>IF(AND(OR(LEFT(TH!N3225,2)="15",LEFT(TH!O3225,2)="15"),TK!$E$7=TH!F3225),"x","")</f>
        <v/>
      </c>
      <c r="AD3225" s="75" t="str">
        <f>IF(AND(N3225="1521",MONTH(C3225)='BK-NL'!$M$11),"x","")</f>
        <v/>
      </c>
      <c r="AE3225" s="1264">
        <v>11</v>
      </c>
    </row>
    <row r="3226" spans="1:31" s="1264" customFormat="1" ht="16.5" customHeight="1">
      <c r="A3226" s="309" t="str">
        <f>IF(B3226&lt;&gt;"",IF(AND(B3226='IN-TC'!$S$4,OR(TH!N3226="1111",TH!O3226="1111")),TH!D3226,""),"")</f>
        <v/>
      </c>
      <c r="B3226" s="1282">
        <f>IF(C3226&lt;&gt;"",MONTH(C3226),"")</f>
        <v>11</v>
      </c>
      <c r="C3226" s="929">
        <v>43041</v>
      </c>
      <c r="D3226" s="929" t="s">
        <v>902</v>
      </c>
      <c r="E3226" s="929">
        <f t="shared" si="1181"/>
        <v>43041</v>
      </c>
      <c r="F3226" s="930" t="s">
        <v>2482</v>
      </c>
      <c r="G3226" s="930" t="s">
        <v>747</v>
      </c>
      <c r="H3226" s="735" t="s">
        <v>835</v>
      </c>
      <c r="I3226" s="1213"/>
      <c r="J3226" s="378"/>
      <c r="K3226" s="1213">
        <v>0.3</v>
      </c>
      <c r="L3226" s="1214">
        <v>22710</v>
      </c>
      <c r="M3226" s="74">
        <f t="shared" si="1182"/>
        <v>6813</v>
      </c>
      <c r="N3226" s="934" t="s">
        <v>9</v>
      </c>
      <c r="O3226" s="934" t="s">
        <v>256</v>
      </c>
      <c r="P3226" s="75" t="str">
        <f>IF(AND('331-CT'!$E$7=TH!H3226,OR(N3226="331",O3226="331")),"x","")</f>
        <v/>
      </c>
      <c r="Q3226" s="75" t="str">
        <f>IF(AND(B3226='111'!$L$11,OR($N3226=$Q$7,$O3226=$Q$7)),"x","")</f>
        <v/>
      </c>
      <c r="R3226" s="75" t="str">
        <f>IF(AND($N3226=$Q$7,$B3226&lt;'111'!$L$11),"x","")</f>
        <v/>
      </c>
      <c r="S3226" s="75" t="str">
        <f>IF(AND($O3226=$Q$7,$B3226&lt;'111'!$L$11),"x","")</f>
        <v/>
      </c>
      <c r="T3226" s="75" t="str">
        <f>IF(ISERROR(FIND('112'!$M$9,G3226,1)),"",IF((AND(FIND('112'!$M$9,G3226,1)&gt;=1,B3226='112'!$K$9,OR($N3226='112'!$I$6,$O3226='112'!$I$6))),"x",""))</f>
        <v/>
      </c>
      <c r="U3226" s="75" t="str">
        <f>IF(ISERROR(FIND('112'!$M$9,G3226,1)),"",IF((AND(LEFT(G3226,2)=LEFT('112'!$M$9,2),B3226&lt;'112'!$K$9,$N3226='112'!$I$6)),"x",""))</f>
        <v/>
      </c>
      <c r="V3226" s="75" t="str">
        <f>IF(ISERROR(FIND('112'!$M$9,G3226,1)),"",IF((AND(RIGHT(G3226,2)=RIGHT('112'!$M$9,2),B3226&lt;'112'!$K$9,$O3226='112'!$I$6)),"x",""))</f>
        <v/>
      </c>
      <c r="W3226" s="75" t="str">
        <f>IF(AND('341-CT'!$H$9=H3226,OR(LEFT(N3226,3)=$W$7,LEFT(O3226,3)=$W$7)),"x","")</f>
        <v/>
      </c>
      <c r="X3226" s="75" t="str">
        <f>IF(OR(TH!N3226=TH!$X$7,O3226=TH!$X$7),"x","")</f>
        <v/>
      </c>
      <c r="Y3226" s="75" t="str">
        <f>IF(AND(OR(N3226="131",O3226="131"),H3226='131-CT'!$H$9),"x","")</f>
        <v/>
      </c>
      <c r="Z3226" s="75"/>
      <c r="AA3226" s="75" t="str">
        <f>IF(AND(MONTH(E3226)='IN-NX'!$J$5,'IN-NX'!$D$7=D3226),"x","")</f>
        <v/>
      </c>
      <c r="AB3226" s="75" t="str">
        <f>IF(AND(OR(LEFT(TH!N3226,2)="15",LEFT(TH!O3226,2)="15"),LEFT(TH!O3226,3)&lt;&gt;"111",'152-CT'!$J$8=TH!F3226),"x","")</f>
        <v/>
      </c>
      <c r="AC3226" s="75" t="str">
        <f>IF(AND(OR(LEFT(TH!N3226,2)="15",LEFT(TH!O3226,2)="15"),TK!$E$7=TH!F3226),"x","")</f>
        <v/>
      </c>
      <c r="AD3226" s="75" t="str">
        <f>IF(AND(N3226="1521",MONTH(C3226)='BK-NL'!$M$11),"x","")</f>
        <v/>
      </c>
      <c r="AE3226" s="1264">
        <v>11</v>
      </c>
    </row>
    <row r="3227" spans="1:31" s="1264" customFormat="1" ht="16.5" customHeight="1">
      <c r="A3227" s="309" t="str">
        <f>IF(B3227&lt;&gt;"",IF(AND(B3227='IN-TC'!$S$4,OR(TH!N3227="1111",TH!O3227="1111")),TH!D3227,""),"")</f>
        <v/>
      </c>
      <c r="B3227" s="1282">
        <f>IF(C3227&lt;&gt;"",MONTH(C3227),"")</f>
        <v>11</v>
      </c>
      <c r="C3227" s="929">
        <v>43041</v>
      </c>
      <c r="D3227" s="929" t="s">
        <v>903</v>
      </c>
      <c r="E3227" s="929">
        <f t="shared" ref="E3227:E3247" si="1183">C3227</f>
        <v>43041</v>
      </c>
      <c r="F3227" s="930" t="s">
        <v>1086</v>
      </c>
      <c r="G3227" s="930" t="s">
        <v>747</v>
      </c>
      <c r="H3227" s="735" t="s">
        <v>1859</v>
      </c>
      <c r="I3227" s="1213"/>
      <c r="J3227" s="378"/>
      <c r="K3227" s="1213">
        <v>174117.5</v>
      </c>
      <c r="L3227" s="1214">
        <v>22710</v>
      </c>
      <c r="M3227" s="1214">
        <f t="shared" si="1182"/>
        <v>3954208425</v>
      </c>
      <c r="N3227" s="934" t="s">
        <v>256</v>
      </c>
      <c r="O3227" s="934" t="s">
        <v>536</v>
      </c>
      <c r="P3227" s="75" t="str">
        <f>IF(AND('331-CT'!$E$7=TH!H3227,OR(N3227="331",O3227="331")),"x","")</f>
        <v/>
      </c>
      <c r="Q3227" s="75" t="str">
        <f>IF(AND(B3227='111'!$L$11,OR($N3227=$Q$7,$O3227=$Q$7)),"x","")</f>
        <v/>
      </c>
      <c r="R3227" s="75" t="str">
        <f>IF(AND($N3227=$Q$7,$B3227&lt;'111'!$L$11),"x","")</f>
        <v/>
      </c>
      <c r="S3227" s="75" t="str">
        <f>IF(AND($O3227=$Q$7,$B3227&lt;'111'!$L$11),"x","")</f>
        <v/>
      </c>
      <c r="T3227" s="75" t="str">
        <f>IF(ISERROR(FIND('112'!$M$9,G3227,1)),"",IF((AND(FIND('112'!$M$9,G3227,1)&gt;=1,B3227='112'!$K$9,OR($N3227='112'!$I$6,$O3227='112'!$I$6))),"x",""))</f>
        <v/>
      </c>
      <c r="U3227" s="75" t="str">
        <f>IF(ISERROR(FIND('112'!$M$9,G3227,1)),"",IF((AND(LEFT(G3227,2)=LEFT('112'!$M$9,2),B3227&lt;'112'!$K$9,$N3227='112'!$I$6)),"x",""))</f>
        <v/>
      </c>
      <c r="V3227" s="75" t="str">
        <f>IF(ISERROR(FIND('112'!$M$9,G3227,1)),"",IF((AND(RIGHT(G3227,2)=RIGHT('112'!$M$9,2),B3227&lt;'112'!$K$9,$O3227='112'!$I$6)),"x",""))</f>
        <v/>
      </c>
      <c r="W3227" s="75" t="str">
        <f>IF(AND('341-CT'!$H$9=H3227,OR(LEFT(N3227,3)=$W$7,LEFT(O3227,3)=$W$7)),"x","")</f>
        <v/>
      </c>
      <c r="X3227" s="75" t="str">
        <f>IF(OR(TH!N3227=TH!$X$7,O3227=TH!$X$7),"x","")</f>
        <v/>
      </c>
      <c r="Y3227" s="75" t="str">
        <f>IF(AND(OR(N3227="131",O3227="131"),H3227='131-CT'!$H$9),"x","")</f>
        <v/>
      </c>
      <c r="Z3227" s="75"/>
      <c r="AA3227" s="75" t="str">
        <f>IF(AND(MONTH(E3227)='IN-NX'!$J$5,'IN-NX'!$D$7=D3227),"x","")</f>
        <v/>
      </c>
      <c r="AB3227" s="75" t="str">
        <f>IF(AND(OR(LEFT(TH!N3227,2)="15",LEFT(TH!O3227,2)="15"),LEFT(TH!O3227,3)&lt;&gt;"111",'152-CT'!$J$8=TH!F3227),"x","")</f>
        <v/>
      </c>
      <c r="AC3227" s="75" t="str">
        <f>IF(AND(OR(LEFT(TH!N3227,2)="15",LEFT(TH!O3227,2)="15"),TK!$E$7=TH!F3227),"x","")</f>
        <v/>
      </c>
      <c r="AD3227" s="75" t="str">
        <f>IF(AND(N3227="1521",MONTH(C3227)='BK-NL'!$M$11),"x","")</f>
        <v/>
      </c>
    </row>
    <row r="3228" spans="1:31" s="1264" customFormat="1" ht="16.5" customHeight="1">
      <c r="A3228" s="309" t="str">
        <f>IF(B3228&lt;&gt;"",IF(AND(B3228='IN-TC'!$S$4,OR(TH!N3228="1111",TH!O3228="1111")),TH!D3228,""),"")</f>
        <v/>
      </c>
      <c r="B3228" s="1282">
        <f t="shared" ref="B3228" si="1184">IF(C3228&lt;&gt;"",MONTH(C3228),"")</f>
        <v>11</v>
      </c>
      <c r="C3228" s="929">
        <v>43041</v>
      </c>
      <c r="D3228" s="929" t="s">
        <v>530</v>
      </c>
      <c r="E3228" s="929">
        <f t="shared" ref="E3228" si="1185">C3228</f>
        <v>43041</v>
      </c>
      <c r="F3228" s="930" t="s">
        <v>1027</v>
      </c>
      <c r="G3228" s="930" t="s">
        <v>747</v>
      </c>
      <c r="H3228" s="735" t="s">
        <v>1859</v>
      </c>
      <c r="I3228" s="1213"/>
      <c r="J3228" s="378"/>
      <c r="K3228" s="1213">
        <v>56.5</v>
      </c>
      <c r="L3228" s="1214">
        <v>22710</v>
      </c>
      <c r="M3228" s="1214">
        <f t="shared" si="1182"/>
        <v>1283115</v>
      </c>
      <c r="N3228" s="934" t="s">
        <v>101</v>
      </c>
      <c r="O3228" s="934" t="s">
        <v>536</v>
      </c>
      <c r="P3228" s="75" t="str">
        <f>IF(AND('331-CT'!$E$7=TH!H3228,OR(N3228="331",O3228="331")),"x","")</f>
        <v/>
      </c>
      <c r="Q3228" s="75" t="str">
        <f>IF(AND(B3228='111'!$L$11,OR($N3228=$Q$7,$O3228=$Q$7)),"x","")</f>
        <v/>
      </c>
      <c r="R3228" s="75" t="str">
        <f>IF(AND($N3228=$Q$7,$B3228&lt;'111'!$L$11),"x","")</f>
        <v/>
      </c>
      <c r="S3228" s="75" t="str">
        <f>IF(AND($O3228=$Q$7,$B3228&lt;'111'!$L$11),"x","")</f>
        <v/>
      </c>
      <c r="T3228" s="75" t="str">
        <f>IF(ISERROR(FIND('112'!$M$9,G3228,1)),"",IF((AND(FIND('112'!$M$9,G3228,1)&gt;=1,B3228='112'!$K$9,OR($N3228='112'!$I$6,$O3228='112'!$I$6))),"x",""))</f>
        <v/>
      </c>
      <c r="U3228" s="75" t="str">
        <f>IF(ISERROR(FIND('112'!$M$9,G3228,1)),"",IF((AND(LEFT(G3228,2)=LEFT('112'!$M$9,2),B3228&lt;'112'!$K$9,$N3228='112'!$I$6)),"x",""))</f>
        <v/>
      </c>
      <c r="V3228" s="75" t="str">
        <f>IF(ISERROR(FIND('112'!$M$9,G3228,1)),"",IF((AND(RIGHT(G3228,2)=RIGHT('112'!$M$9,2),B3228&lt;'112'!$K$9,$O3228='112'!$I$6)),"x",""))</f>
        <v/>
      </c>
      <c r="W3228" s="75" t="str">
        <f>IF(AND('341-CT'!$H$9=H3228,OR(LEFT(N3228,3)=$W$7,LEFT(O3228,3)=$W$7)),"x","")</f>
        <v/>
      </c>
      <c r="X3228" s="75" t="str">
        <f>IF(OR(TH!N3228=TH!$X$7,O3228=TH!$X$7),"x","")</f>
        <v/>
      </c>
      <c r="Y3228" s="75" t="str">
        <f>IF(AND(OR(N3228="131",O3228="131"),H3228='131-CT'!$H$9),"x","")</f>
        <v/>
      </c>
      <c r="Z3228" s="75"/>
      <c r="AA3228" s="75" t="str">
        <f>IF(AND(MONTH(E3228)='IN-NX'!$J$5,'IN-NX'!$D$7=D3228),"x","")</f>
        <v/>
      </c>
      <c r="AB3228" s="75" t="str">
        <f>IF(AND(OR(LEFT(TH!N3228,2)="15",LEFT(TH!O3228,2)="15"),LEFT(TH!O3228,3)&lt;&gt;"111",'152-CT'!$J$8=TH!F3228),"x","")</f>
        <v/>
      </c>
      <c r="AC3228" s="75" t="str">
        <f>IF(AND(OR(LEFT(TH!N3228,2)="15",LEFT(TH!O3228,2)="15"),TK!$E$7=TH!F3228),"x","")</f>
        <v/>
      </c>
      <c r="AD3228" s="75" t="str">
        <f>IF(AND(N3228="1521",MONTH(C3228)='BK-NL'!$M$11),"x","")</f>
        <v/>
      </c>
    </row>
    <row r="3229" spans="1:31" s="1264" customFormat="1" ht="16.5" customHeight="1">
      <c r="A3229" s="309" t="str">
        <f>IF(B3229&lt;&gt;"",IF(AND(B3229='IN-TC'!$S$4,OR(TH!N3229="1111",TH!O3229="1111")),TH!D3229,""),"")</f>
        <v/>
      </c>
      <c r="B3229" s="1282">
        <f t="shared" ref="B3229:B3244" si="1186">IF(C3229&lt;&gt;"",MONTH(C3229),"")</f>
        <v>11</v>
      </c>
      <c r="C3229" s="929">
        <v>43042</v>
      </c>
      <c r="D3229" s="929" t="s">
        <v>903</v>
      </c>
      <c r="E3229" s="929">
        <f t="shared" si="1183"/>
        <v>43042</v>
      </c>
      <c r="F3229" s="930" t="s">
        <v>1086</v>
      </c>
      <c r="G3229" s="930" t="s">
        <v>747</v>
      </c>
      <c r="H3229" s="735" t="s">
        <v>738</v>
      </c>
      <c r="I3229" s="1213"/>
      <c r="J3229" s="378"/>
      <c r="K3229" s="1213">
        <v>42051</v>
      </c>
      <c r="L3229" s="1214">
        <v>22710</v>
      </c>
      <c r="M3229" s="1214">
        <f t="shared" si="1182"/>
        <v>954978210</v>
      </c>
      <c r="N3229" s="934" t="s">
        <v>256</v>
      </c>
      <c r="O3229" s="934" t="s">
        <v>536</v>
      </c>
      <c r="P3229" s="75" t="str">
        <f>IF(AND('331-CT'!$E$7=TH!H3229,OR(N3229="331",O3229="331")),"x","")</f>
        <v/>
      </c>
      <c r="Q3229" s="75" t="str">
        <f>IF(AND(B3229='111'!$L$11,OR($N3229=$Q$7,$O3229=$Q$7)),"x","")</f>
        <v/>
      </c>
      <c r="R3229" s="75" t="str">
        <f>IF(AND($N3229=$Q$7,$B3229&lt;'111'!$L$11),"x","")</f>
        <v/>
      </c>
      <c r="S3229" s="75" t="str">
        <f>IF(AND($O3229=$Q$7,$B3229&lt;'111'!$L$11),"x","")</f>
        <v/>
      </c>
      <c r="T3229" s="75" t="str">
        <f>IF(ISERROR(FIND('112'!$M$9,G3229,1)),"",IF((AND(FIND('112'!$M$9,G3229,1)&gt;=1,B3229='112'!$K$9,OR($N3229='112'!$I$6,$O3229='112'!$I$6))),"x",""))</f>
        <v/>
      </c>
      <c r="U3229" s="75" t="str">
        <f>IF(ISERROR(FIND('112'!$M$9,G3229,1)),"",IF((AND(LEFT(G3229,2)=LEFT('112'!$M$9,2),B3229&lt;'112'!$K$9,$N3229='112'!$I$6)),"x",""))</f>
        <v/>
      </c>
      <c r="V3229" s="75" t="str">
        <f>IF(ISERROR(FIND('112'!$M$9,G3229,1)),"",IF((AND(RIGHT(G3229,2)=RIGHT('112'!$M$9,2),B3229&lt;'112'!$K$9,$O3229='112'!$I$6)),"x",""))</f>
        <v/>
      </c>
      <c r="W3229" s="75" t="str">
        <f>IF(AND('341-CT'!$H$9=H3229,OR(LEFT(N3229,3)=$W$7,LEFT(O3229,3)=$W$7)),"x","")</f>
        <v/>
      </c>
      <c r="X3229" s="75" t="str">
        <f>IF(OR(TH!N3229=TH!$X$7,O3229=TH!$X$7),"x","")</f>
        <v/>
      </c>
      <c r="Y3229" s="75" t="str">
        <f>IF(AND(OR(N3229="131",O3229="131"),H3229='131-CT'!$H$9),"x","")</f>
        <v/>
      </c>
      <c r="Z3229" s="75"/>
      <c r="AA3229" s="75" t="str">
        <f>IF(AND(MONTH(E3229)='IN-NX'!$J$5,'IN-NX'!$D$7=D3229),"x","")</f>
        <v/>
      </c>
      <c r="AB3229" s="75" t="str">
        <f>IF(AND(OR(LEFT(TH!N3229,2)="15",LEFT(TH!O3229,2)="15"),LEFT(TH!O3229,3)&lt;&gt;"111",'152-CT'!$J$8=TH!F3229),"x","")</f>
        <v/>
      </c>
      <c r="AC3229" s="75" t="str">
        <f>IF(AND(OR(LEFT(TH!N3229,2)="15",LEFT(TH!O3229,2)="15"),TK!$E$7=TH!F3229),"x","")</f>
        <v/>
      </c>
      <c r="AD3229" s="75" t="str">
        <f>IF(AND(N3229="1521",MONTH(C3229)='BK-NL'!$M$11),"x","")</f>
        <v/>
      </c>
    </row>
    <row r="3230" spans="1:31" s="1264" customFormat="1" ht="16.5" customHeight="1">
      <c r="A3230" s="309" t="str">
        <f>IF(B3230&lt;&gt;"",IF(AND(B3230='IN-TC'!$S$4,OR(TH!N3230="1111",TH!O3230="1111")),TH!D3230,""),"")</f>
        <v/>
      </c>
      <c r="B3230" s="1282">
        <f t="shared" si="1186"/>
        <v>11</v>
      </c>
      <c r="C3230" s="929">
        <v>43042</v>
      </c>
      <c r="D3230" s="929" t="s">
        <v>530</v>
      </c>
      <c r="E3230" s="929">
        <f t="shared" si="1183"/>
        <v>43042</v>
      </c>
      <c r="F3230" s="930" t="s">
        <v>1027</v>
      </c>
      <c r="G3230" s="930" t="s">
        <v>747</v>
      </c>
      <c r="H3230" s="735" t="s">
        <v>738</v>
      </c>
      <c r="I3230" s="1213"/>
      <c r="J3230" s="378"/>
      <c r="K3230" s="1213">
        <v>189</v>
      </c>
      <c r="L3230" s="1214">
        <v>22710</v>
      </c>
      <c r="M3230" s="1214">
        <f t="shared" si="1182"/>
        <v>4292190</v>
      </c>
      <c r="N3230" s="934" t="s">
        <v>101</v>
      </c>
      <c r="O3230" s="934" t="s">
        <v>536</v>
      </c>
      <c r="P3230" s="75" t="str">
        <f>IF(AND('331-CT'!$E$7=TH!H3230,OR(N3230="331",O3230="331")),"x","")</f>
        <v/>
      </c>
      <c r="Q3230" s="75" t="str">
        <f>IF(AND(B3230='111'!$L$11,OR($N3230=$Q$7,$O3230=$Q$7)),"x","")</f>
        <v/>
      </c>
      <c r="R3230" s="75" t="str">
        <f>IF(AND($N3230=$Q$7,$B3230&lt;'111'!$L$11),"x","")</f>
        <v/>
      </c>
      <c r="S3230" s="75" t="str">
        <f>IF(AND($O3230=$Q$7,$B3230&lt;'111'!$L$11),"x","")</f>
        <v/>
      </c>
      <c r="T3230" s="75" t="str">
        <f>IF(ISERROR(FIND('112'!$M$9,G3230,1)),"",IF((AND(FIND('112'!$M$9,G3230,1)&gt;=1,B3230='112'!$K$9,OR($N3230='112'!$I$6,$O3230='112'!$I$6))),"x",""))</f>
        <v/>
      </c>
      <c r="U3230" s="75" t="str">
        <f>IF(ISERROR(FIND('112'!$M$9,G3230,1)),"",IF((AND(LEFT(G3230,2)=LEFT('112'!$M$9,2),B3230&lt;'112'!$K$9,$N3230='112'!$I$6)),"x",""))</f>
        <v/>
      </c>
      <c r="V3230" s="75" t="str">
        <f>IF(ISERROR(FIND('112'!$M$9,G3230,1)),"",IF((AND(RIGHT(G3230,2)=RIGHT('112'!$M$9,2),B3230&lt;'112'!$K$9,$O3230='112'!$I$6)),"x",""))</f>
        <v/>
      </c>
      <c r="W3230" s="75" t="str">
        <f>IF(AND('341-CT'!$H$9=H3230,OR(LEFT(N3230,3)=$W$7,LEFT(O3230,3)=$W$7)),"x","")</f>
        <v/>
      </c>
      <c r="X3230" s="75" t="str">
        <f>IF(OR(TH!N3230=TH!$X$7,O3230=TH!$X$7),"x","")</f>
        <v/>
      </c>
      <c r="Y3230" s="75" t="str">
        <f>IF(AND(OR(N3230="131",O3230="131"),H3230='131-CT'!$H$9),"x","")</f>
        <v/>
      </c>
      <c r="Z3230" s="75"/>
      <c r="AA3230" s="75" t="str">
        <f>IF(AND(MONTH(E3230)='IN-NX'!$J$5,'IN-NX'!$D$7=D3230),"x","")</f>
        <v/>
      </c>
      <c r="AB3230" s="75" t="str">
        <f>IF(AND(OR(LEFT(TH!N3230,2)="15",LEFT(TH!O3230,2)="15"),LEFT(TH!O3230,3)&lt;&gt;"111",'152-CT'!$J$8=TH!F3230),"x","")</f>
        <v/>
      </c>
      <c r="AC3230" s="75" t="str">
        <f>IF(AND(OR(LEFT(TH!N3230,2)="15",LEFT(TH!O3230,2)="15"),TK!$E$7=TH!F3230),"x","")</f>
        <v/>
      </c>
      <c r="AD3230" s="75" t="str">
        <f>IF(AND(N3230="1521",MONTH(C3230)='BK-NL'!$M$11),"x","")</f>
        <v/>
      </c>
    </row>
    <row r="3231" spans="1:31" s="1264" customFormat="1" ht="16.5" customHeight="1">
      <c r="A3231" s="309" t="str">
        <f>IF(B3231&lt;&gt;"",IF(AND(B3231='IN-TC'!$S$4,OR(TH!N3231="1111",TH!O3231="1111")),TH!D3231,""),"")</f>
        <v/>
      </c>
      <c r="B3231" s="1282">
        <f t="shared" si="1186"/>
        <v>11</v>
      </c>
      <c r="C3231" s="929">
        <v>43042</v>
      </c>
      <c r="D3231" s="929" t="s">
        <v>530</v>
      </c>
      <c r="E3231" s="929">
        <f t="shared" si="1183"/>
        <v>43042</v>
      </c>
      <c r="F3231" s="930" t="s">
        <v>1010</v>
      </c>
      <c r="G3231" s="930" t="s">
        <v>747</v>
      </c>
      <c r="H3231" s="735" t="s">
        <v>738</v>
      </c>
      <c r="I3231" s="1213"/>
      <c r="J3231" s="378"/>
      <c r="K3231" s="1213"/>
      <c r="L3231" s="1214"/>
      <c r="M3231" s="74">
        <v>1056000</v>
      </c>
      <c r="N3231" s="934" t="s">
        <v>536</v>
      </c>
      <c r="O3231" s="934" t="s">
        <v>43</v>
      </c>
      <c r="P3231" s="75" t="str">
        <f>IF(AND('331-CT'!$E$7=TH!H3231,OR(N3231="331",O3231="331")),"x","")</f>
        <v/>
      </c>
      <c r="Q3231" s="75" t="str">
        <f>IF(AND(B3231='111'!$L$11,OR($N3231=$Q$7,$O3231=$Q$7)),"x","")</f>
        <v/>
      </c>
      <c r="R3231" s="75" t="str">
        <f>IF(AND($N3231=$Q$7,$B3231&lt;'111'!$L$11),"x","")</f>
        <v/>
      </c>
      <c r="S3231" s="75" t="str">
        <f>IF(AND($O3231=$Q$7,$B3231&lt;'111'!$L$11),"x","")</f>
        <v/>
      </c>
      <c r="T3231" s="75" t="str">
        <f>IF(ISERROR(FIND('112'!$M$9,G3231,1)),"",IF((AND(FIND('112'!$M$9,G3231,1)&gt;=1,B3231='112'!$K$9,OR($N3231='112'!$I$6,$O3231='112'!$I$6))),"x",""))</f>
        <v/>
      </c>
      <c r="U3231" s="75" t="str">
        <f>IF(ISERROR(FIND('112'!$M$9,G3231,1)),"",IF((AND(LEFT(G3231,2)=LEFT('112'!$M$9,2),B3231&lt;'112'!$K$9,$N3231='112'!$I$6)),"x",""))</f>
        <v/>
      </c>
      <c r="V3231" s="75" t="str">
        <f>IF(ISERROR(FIND('112'!$M$9,G3231,1)),"",IF((AND(RIGHT(G3231,2)=RIGHT('112'!$M$9,2),B3231&lt;'112'!$K$9,$O3231='112'!$I$6)),"x",""))</f>
        <v/>
      </c>
      <c r="W3231" s="75" t="str">
        <f>IF(AND('341-CT'!$H$9=H3231,OR(LEFT(N3231,3)=$W$7,LEFT(O3231,3)=$W$7)),"x","")</f>
        <v/>
      </c>
      <c r="X3231" s="75" t="str">
        <f>IF(OR(TH!N3231=TH!$X$7,O3231=TH!$X$7),"x","")</f>
        <v/>
      </c>
      <c r="Y3231" s="75" t="str">
        <f>IF(AND(OR(N3231="131",O3231="131"),H3231='131-CT'!$H$9),"x","")</f>
        <v/>
      </c>
      <c r="Z3231" s="75"/>
      <c r="AA3231" s="75" t="str">
        <f>IF(AND(MONTH(E3231)='IN-NX'!$J$5,'IN-NX'!$D$7=D3231),"x","")</f>
        <v/>
      </c>
      <c r="AB3231" s="75" t="str">
        <f>IF(AND(OR(LEFT(TH!N3231,2)="15",LEFT(TH!O3231,2)="15"),LEFT(TH!O3231,3)&lt;&gt;"111",'152-CT'!$J$8=TH!F3231),"x","")</f>
        <v/>
      </c>
      <c r="AC3231" s="75" t="str">
        <f>IF(AND(OR(LEFT(TH!N3231,2)="15",LEFT(TH!O3231,2)="15"),TK!$E$7=TH!F3231),"x","")</f>
        <v/>
      </c>
      <c r="AD3231" s="75" t="str">
        <f>IF(AND(N3231="1521",MONTH(C3231)='BK-NL'!$M$11),"x","")</f>
        <v/>
      </c>
    </row>
    <row r="3232" spans="1:31" s="1264" customFormat="1" ht="16.5" customHeight="1">
      <c r="A3232" s="309" t="str">
        <f>IF(B3232&lt;&gt;"",IF(AND(B3232='IN-TC'!$S$4,OR(TH!N3232="1111",TH!O3232="1111")),TH!D3232,""),"")</f>
        <v/>
      </c>
      <c r="B3232" s="1282">
        <f t="shared" si="1186"/>
        <v>11</v>
      </c>
      <c r="C3232" s="929">
        <v>43042</v>
      </c>
      <c r="D3232" s="929" t="s">
        <v>902</v>
      </c>
      <c r="E3232" s="929">
        <f t="shared" si="1183"/>
        <v>43042</v>
      </c>
      <c r="F3232" s="72" t="s">
        <v>1321</v>
      </c>
      <c r="G3232" s="930" t="s">
        <v>747</v>
      </c>
      <c r="H3232" s="296" t="s">
        <v>2554</v>
      </c>
      <c r="I3232" s="1213"/>
      <c r="J3232" s="378"/>
      <c r="K3232" s="1213">
        <v>40100</v>
      </c>
      <c r="L3232" s="1214">
        <v>22710</v>
      </c>
      <c r="M3232" s="74">
        <f t="shared" ref="M3232:M3233" si="1187">ROUND(K3232*L3232,0)</f>
        <v>910671000</v>
      </c>
      <c r="N3232" s="934" t="s">
        <v>250</v>
      </c>
      <c r="O3232" s="934" t="s">
        <v>256</v>
      </c>
      <c r="P3232" s="75" t="str">
        <f>IF(AND('331-CT'!$E$7=TH!H3232,OR(N3232="331",O3232="331")),"x","")</f>
        <v/>
      </c>
      <c r="Q3232" s="75" t="str">
        <f>IF(AND(B3232='111'!$L$11,OR($N3232=$Q$7,$O3232=$Q$7)),"x","")</f>
        <v/>
      </c>
      <c r="R3232" s="75" t="str">
        <f>IF(AND($N3232=$Q$7,$B3232&lt;'111'!$L$11),"x","")</f>
        <v/>
      </c>
      <c r="S3232" s="75" t="str">
        <f>IF(AND($O3232=$Q$7,$B3232&lt;'111'!$L$11),"x","")</f>
        <v/>
      </c>
      <c r="T3232" s="75" t="str">
        <f>IF(ISERROR(FIND('112'!$M$9,G3232,1)),"",IF((AND(FIND('112'!$M$9,G3232,1)&gt;=1,B3232='112'!$K$9,OR($N3232='112'!$I$6,$O3232='112'!$I$6))),"x",""))</f>
        <v/>
      </c>
      <c r="U3232" s="75" t="str">
        <f>IF(ISERROR(FIND('112'!$M$9,G3232,1)),"",IF((AND(LEFT(G3232,2)=LEFT('112'!$M$9,2),B3232&lt;'112'!$K$9,$N3232='112'!$I$6)),"x",""))</f>
        <v/>
      </c>
      <c r="V3232" s="75" t="str">
        <f>IF(ISERROR(FIND('112'!$M$9,G3232,1)),"",IF((AND(RIGHT(G3232,2)=RIGHT('112'!$M$9,2),B3232&lt;'112'!$K$9,$O3232='112'!$I$6)),"x",""))</f>
        <v/>
      </c>
      <c r="W3232" s="75" t="str">
        <f>IF(AND('341-CT'!$H$9=H3232,OR(LEFT(N3232,3)=$W$7,LEFT(O3232,3)=$W$7)),"x","")</f>
        <v/>
      </c>
      <c r="X3232" s="75" t="str">
        <f>IF(OR(TH!N3232=TH!$X$7,O3232=TH!$X$7),"x","")</f>
        <v/>
      </c>
      <c r="Y3232" s="75" t="str">
        <f>IF(AND(OR(N3232="131",O3232="131"),H3232='131-CT'!$H$9),"x","")</f>
        <v/>
      </c>
      <c r="Z3232" s="75"/>
      <c r="AA3232" s="75" t="str">
        <f>IF(AND(MONTH(E3232)='IN-NX'!$J$5,'IN-NX'!$D$7=D3232),"x","")</f>
        <v/>
      </c>
      <c r="AB3232" s="75" t="str">
        <f>IF(AND(OR(LEFT(TH!N3232,2)="15",LEFT(TH!O3232,2)="15"),LEFT(TH!O3232,3)&lt;&gt;"111",'152-CT'!$J$8=TH!F3232),"x","")</f>
        <v/>
      </c>
      <c r="AC3232" s="75" t="str">
        <f>IF(AND(OR(LEFT(TH!N3232,2)="15",LEFT(TH!O3232,2)="15"),TK!$E$7=TH!F3232),"x","")</f>
        <v/>
      </c>
      <c r="AD3232" s="75" t="str">
        <f>IF(AND(N3232="1521",MONTH(C3232)='BK-NL'!$M$11),"x","")</f>
        <v/>
      </c>
    </row>
    <row r="3233" spans="1:31" s="1264" customFormat="1" ht="16.5" customHeight="1">
      <c r="A3233" s="309" t="str">
        <f>IF(B3233&lt;&gt;"",IF(AND(B3233='IN-TC'!$S$4,OR(TH!N3233="1111",TH!O3233="1111")),TH!D3233,""),"")</f>
        <v/>
      </c>
      <c r="B3233" s="1282">
        <f t="shared" si="1186"/>
        <v>11</v>
      </c>
      <c r="C3233" s="929">
        <v>43042</v>
      </c>
      <c r="D3233" s="929" t="s">
        <v>902</v>
      </c>
      <c r="E3233" s="929">
        <f t="shared" si="1183"/>
        <v>43042</v>
      </c>
      <c r="F3233" s="930" t="s">
        <v>1096</v>
      </c>
      <c r="G3233" s="930" t="s">
        <v>747</v>
      </c>
      <c r="H3233" s="296" t="s">
        <v>2554</v>
      </c>
      <c r="I3233" s="1213"/>
      <c r="J3233" s="378"/>
      <c r="K3233" s="1213">
        <v>15.64</v>
      </c>
      <c r="L3233" s="1214">
        <v>22710</v>
      </c>
      <c r="M3233" s="74">
        <f t="shared" si="1187"/>
        <v>355184</v>
      </c>
      <c r="N3233" s="934" t="s">
        <v>99</v>
      </c>
      <c r="O3233" s="934" t="s">
        <v>256</v>
      </c>
      <c r="P3233" s="75" t="str">
        <f>IF(AND('331-CT'!$E$7=TH!H3233,OR(N3233="331",O3233="331")),"x","")</f>
        <v/>
      </c>
      <c r="Q3233" s="75" t="str">
        <f>IF(AND(B3233='111'!$L$11,OR($N3233=$Q$7,$O3233=$Q$7)),"x","")</f>
        <v/>
      </c>
      <c r="R3233" s="75" t="str">
        <f>IF(AND($N3233=$Q$7,$B3233&lt;'111'!$L$11),"x","")</f>
        <v/>
      </c>
      <c r="S3233" s="75" t="str">
        <f>IF(AND($O3233=$Q$7,$B3233&lt;'111'!$L$11),"x","")</f>
        <v/>
      </c>
      <c r="T3233" s="75" t="str">
        <f>IF(ISERROR(FIND('112'!$M$9,G3233,1)),"",IF((AND(FIND('112'!$M$9,G3233,1)&gt;=1,B3233='112'!$K$9,OR($N3233='112'!$I$6,$O3233='112'!$I$6))),"x",""))</f>
        <v/>
      </c>
      <c r="U3233" s="75" t="str">
        <f>IF(ISERROR(FIND('112'!$M$9,G3233,1)),"",IF((AND(LEFT(G3233,2)=LEFT('112'!$M$9,2),B3233&lt;'112'!$K$9,$N3233='112'!$I$6)),"x",""))</f>
        <v/>
      </c>
      <c r="V3233" s="75" t="str">
        <f>IF(ISERROR(FIND('112'!$M$9,G3233,1)),"",IF((AND(RIGHT(G3233,2)=RIGHT('112'!$M$9,2),B3233&lt;'112'!$K$9,$O3233='112'!$I$6)),"x",""))</f>
        <v/>
      </c>
      <c r="W3233" s="75" t="str">
        <f>IF(AND('341-CT'!$H$9=H3233,OR(LEFT(N3233,3)=$W$7,LEFT(O3233,3)=$W$7)),"x","")</f>
        <v/>
      </c>
      <c r="X3233" s="75" t="str">
        <f>IF(OR(TH!N3233=TH!$X$7,O3233=TH!$X$7),"x","")</f>
        <v/>
      </c>
      <c r="Y3233" s="75" t="str">
        <f>IF(AND(OR(N3233="131",O3233="131"),H3233='131-CT'!$H$9),"x","")</f>
        <v/>
      </c>
      <c r="Z3233" s="75"/>
      <c r="AA3233" s="75" t="str">
        <f>IF(AND(MONTH(E3233)='IN-NX'!$J$5,'IN-NX'!$D$7=D3233),"x","")</f>
        <v/>
      </c>
      <c r="AB3233" s="75" t="str">
        <f>IF(AND(OR(LEFT(TH!N3233,2)="15",LEFT(TH!O3233,2)="15"),LEFT(TH!O3233,3)&lt;&gt;"111",'152-CT'!$J$8=TH!F3233),"x","")</f>
        <v/>
      </c>
      <c r="AC3233" s="75" t="str">
        <f>IF(AND(OR(LEFT(TH!N3233,2)="15",LEFT(TH!O3233,2)="15"),TK!$E$7=TH!F3233),"x","")</f>
        <v/>
      </c>
      <c r="AD3233" s="75" t="str">
        <f>IF(AND(N3233="1521",MONTH(C3233)='BK-NL'!$M$11),"x","")</f>
        <v/>
      </c>
    </row>
    <row r="3234" spans="1:31" s="1264" customFormat="1" ht="16.5" customHeight="1">
      <c r="A3234" s="309" t="str">
        <f>IF(B3234&lt;&gt;"",IF(AND(B3234='IN-TC'!$S$4,OR(TH!N3234="1111",TH!O3234="1111")),TH!D3234,""),"")</f>
        <v/>
      </c>
      <c r="B3234" s="1282">
        <f t="shared" si="1186"/>
        <v>11</v>
      </c>
      <c r="C3234" s="929">
        <v>43042</v>
      </c>
      <c r="D3234" s="929" t="s">
        <v>530</v>
      </c>
      <c r="E3234" s="929">
        <f t="shared" si="1183"/>
        <v>43042</v>
      </c>
      <c r="F3234" s="930" t="s">
        <v>1010</v>
      </c>
      <c r="G3234" s="930" t="s">
        <v>747</v>
      </c>
      <c r="H3234" s="296" t="s">
        <v>2554</v>
      </c>
      <c r="I3234" s="1213"/>
      <c r="J3234" s="378"/>
      <c r="K3234" s="1213"/>
      <c r="L3234" s="1214"/>
      <c r="M3234" s="74">
        <v>80200</v>
      </c>
      <c r="N3234" s="934" t="s">
        <v>99</v>
      </c>
      <c r="O3234" s="934" t="s">
        <v>250</v>
      </c>
      <c r="P3234" s="75" t="str">
        <f>IF(AND('331-CT'!$E$7=TH!H3234,OR(N3234="331",O3234="331")),"x","")</f>
        <v/>
      </c>
      <c r="Q3234" s="75" t="str">
        <f>IF(AND(B3234='111'!$L$11,OR($N3234=$Q$7,$O3234=$Q$7)),"x","")</f>
        <v/>
      </c>
      <c r="R3234" s="75" t="str">
        <f>IF(AND($N3234=$Q$7,$B3234&lt;'111'!$L$11),"x","")</f>
        <v/>
      </c>
      <c r="S3234" s="75" t="str">
        <f>IF(AND($O3234=$Q$7,$B3234&lt;'111'!$L$11),"x","")</f>
        <v/>
      </c>
      <c r="T3234" s="75" t="str">
        <f>IF(ISERROR(FIND('112'!$M$9,G3234,1)),"",IF((AND(FIND('112'!$M$9,G3234,1)&gt;=1,B3234='112'!$K$9,OR($N3234='112'!$I$6,$O3234='112'!$I$6))),"x",""))</f>
        <v/>
      </c>
      <c r="U3234" s="75" t="str">
        <f>IF(ISERROR(FIND('112'!$M$9,G3234,1)),"",IF((AND(LEFT(G3234,2)=LEFT('112'!$M$9,2),B3234&lt;'112'!$K$9,$N3234='112'!$I$6)),"x",""))</f>
        <v/>
      </c>
      <c r="V3234" s="75" t="str">
        <f>IF(ISERROR(FIND('112'!$M$9,G3234,1)),"",IF((AND(RIGHT(G3234,2)=RIGHT('112'!$M$9,2),B3234&lt;'112'!$K$9,$O3234='112'!$I$6)),"x",""))</f>
        <v/>
      </c>
      <c r="W3234" s="75" t="str">
        <f>IF(AND('341-CT'!$H$9=H3234,OR(LEFT(N3234,3)=$W$7,LEFT(O3234,3)=$W$7)),"x","")</f>
        <v/>
      </c>
      <c r="X3234" s="75" t="str">
        <f>IF(OR(TH!N3234=TH!$X$7,O3234=TH!$X$7),"x","")</f>
        <v/>
      </c>
      <c r="Y3234" s="75" t="str">
        <f>IF(AND(OR(N3234="131",O3234="131"),H3234='131-CT'!$H$9),"x","")</f>
        <v/>
      </c>
      <c r="Z3234" s="75"/>
      <c r="AA3234" s="75" t="str">
        <f>IF(AND(MONTH(E3234)='IN-NX'!$J$5,'IN-NX'!$D$7=D3234),"x","")</f>
        <v/>
      </c>
      <c r="AB3234" s="75" t="str">
        <f>IF(AND(OR(LEFT(TH!N3234,2)="15",LEFT(TH!O3234,2)="15"),LEFT(TH!O3234,3)&lt;&gt;"111",'152-CT'!$J$8=TH!F3234),"x","")</f>
        <v/>
      </c>
      <c r="AC3234" s="75" t="str">
        <f>IF(AND(OR(LEFT(TH!N3234,2)="15",LEFT(TH!O3234,2)="15"),TK!$E$7=TH!F3234),"x","")</f>
        <v/>
      </c>
      <c r="AD3234" s="75" t="str">
        <f>IF(AND(N3234="1521",MONTH(C3234)='BK-NL'!$M$11),"x","")</f>
        <v/>
      </c>
    </row>
    <row r="3235" spans="1:31" s="1264" customFormat="1" ht="16.5" customHeight="1">
      <c r="A3235" s="309" t="str">
        <f>IF(B3235&lt;&gt;"",IF(AND(B3235='IN-TC'!$S$4,OR(TH!N3235="1111",TH!O3235="1111")),TH!D3235,""),"")</f>
        <v/>
      </c>
      <c r="B3235" s="1282">
        <f t="shared" si="1186"/>
        <v>11</v>
      </c>
      <c r="C3235" s="929">
        <v>43045</v>
      </c>
      <c r="D3235" s="929" t="s">
        <v>902</v>
      </c>
      <c r="E3235" s="929">
        <f t="shared" si="1183"/>
        <v>43045</v>
      </c>
      <c r="F3235" s="72" t="s">
        <v>1321</v>
      </c>
      <c r="G3235" s="930" t="s">
        <v>747</v>
      </c>
      <c r="H3235" s="296" t="s">
        <v>1559</v>
      </c>
      <c r="I3235" s="1213"/>
      <c r="J3235" s="378"/>
      <c r="K3235" s="1213">
        <v>82000</v>
      </c>
      <c r="L3235" s="1214">
        <v>22710</v>
      </c>
      <c r="M3235" s="74">
        <f t="shared" ref="M3235:M3236" si="1188">ROUND(K3235*L3235,0)</f>
        <v>1862220000</v>
      </c>
      <c r="N3235" s="934" t="s">
        <v>250</v>
      </c>
      <c r="O3235" s="934" t="s">
        <v>256</v>
      </c>
      <c r="P3235" s="75" t="str">
        <f>IF(AND('331-CT'!$E$7=TH!H3235,OR(N3235="331",O3235="331")),"x","")</f>
        <v/>
      </c>
      <c r="Q3235" s="75" t="str">
        <f>IF(AND(B3235='111'!$L$11,OR($N3235=$Q$7,$O3235=$Q$7)),"x","")</f>
        <v/>
      </c>
      <c r="R3235" s="75" t="str">
        <f>IF(AND($N3235=$Q$7,$B3235&lt;'111'!$L$11),"x","")</f>
        <v/>
      </c>
      <c r="S3235" s="75" t="str">
        <f>IF(AND($O3235=$Q$7,$B3235&lt;'111'!$L$11),"x","")</f>
        <v/>
      </c>
      <c r="T3235" s="75" t="str">
        <f>IF(ISERROR(FIND('112'!$M$9,G3235,1)),"",IF((AND(FIND('112'!$M$9,G3235,1)&gt;=1,B3235='112'!$K$9,OR($N3235='112'!$I$6,$O3235='112'!$I$6))),"x",""))</f>
        <v/>
      </c>
      <c r="U3235" s="75" t="str">
        <f>IF(ISERROR(FIND('112'!$M$9,G3235,1)),"",IF((AND(LEFT(G3235,2)=LEFT('112'!$M$9,2),B3235&lt;'112'!$K$9,$N3235='112'!$I$6)),"x",""))</f>
        <v/>
      </c>
      <c r="V3235" s="75" t="str">
        <f>IF(ISERROR(FIND('112'!$M$9,G3235,1)),"",IF((AND(RIGHT(G3235,2)=RIGHT('112'!$M$9,2),B3235&lt;'112'!$K$9,$O3235='112'!$I$6)),"x",""))</f>
        <v/>
      </c>
      <c r="W3235" s="75" t="str">
        <f>IF(AND('341-CT'!$H$9=H3235,OR(LEFT(N3235,3)=$W$7,LEFT(O3235,3)=$W$7)),"x","")</f>
        <v/>
      </c>
      <c r="X3235" s="75" t="str">
        <f>IF(OR(TH!N3235=TH!$X$7,O3235=TH!$X$7),"x","")</f>
        <v/>
      </c>
      <c r="Y3235" s="75" t="str">
        <f>IF(AND(OR(N3235="131",O3235="131"),H3235='131-CT'!$H$9),"x","")</f>
        <v/>
      </c>
      <c r="Z3235" s="75"/>
      <c r="AA3235" s="75" t="str">
        <f>IF(AND(MONTH(E3235)='IN-NX'!$J$5,'IN-NX'!$D$7=D3235),"x","")</f>
        <v/>
      </c>
      <c r="AB3235" s="75" t="str">
        <f>IF(AND(OR(LEFT(TH!N3235,2)="15",LEFT(TH!O3235,2)="15"),LEFT(TH!O3235,3)&lt;&gt;"111",'152-CT'!$J$8=TH!F3235),"x","")</f>
        <v/>
      </c>
      <c r="AC3235" s="75" t="str">
        <f>IF(AND(OR(LEFT(TH!N3235,2)="15",LEFT(TH!O3235,2)="15"),TK!$E$7=TH!F3235),"x","")</f>
        <v/>
      </c>
      <c r="AD3235" s="75" t="str">
        <f>IF(AND(N3235="1521",MONTH(C3235)='BK-NL'!$M$11),"x","")</f>
        <v/>
      </c>
    </row>
    <row r="3236" spans="1:31" s="1264" customFormat="1" ht="16.5" customHeight="1">
      <c r="A3236" s="309" t="str">
        <f>IF(B3236&lt;&gt;"",IF(AND(B3236='IN-TC'!$S$4,OR(TH!N3236="1111",TH!O3236="1111")),TH!D3236,""),"")</f>
        <v/>
      </c>
      <c r="B3236" s="1282">
        <f t="shared" si="1186"/>
        <v>11</v>
      </c>
      <c r="C3236" s="929">
        <v>43045</v>
      </c>
      <c r="D3236" s="929" t="s">
        <v>902</v>
      </c>
      <c r="E3236" s="929">
        <f t="shared" si="1183"/>
        <v>43045</v>
      </c>
      <c r="F3236" s="930" t="s">
        <v>1096</v>
      </c>
      <c r="G3236" s="930" t="s">
        <v>747</v>
      </c>
      <c r="H3236" s="296" t="s">
        <v>1559</v>
      </c>
      <c r="I3236" s="1213"/>
      <c r="J3236" s="378"/>
      <c r="K3236" s="1213">
        <v>127.56</v>
      </c>
      <c r="L3236" s="1214">
        <v>22710</v>
      </c>
      <c r="M3236" s="74">
        <f t="shared" si="1188"/>
        <v>2896888</v>
      </c>
      <c r="N3236" s="934" t="s">
        <v>99</v>
      </c>
      <c r="O3236" s="934" t="s">
        <v>256</v>
      </c>
      <c r="P3236" s="75" t="str">
        <f>IF(AND('331-CT'!$E$7=TH!H3236,OR(N3236="331",O3236="331")),"x","")</f>
        <v/>
      </c>
      <c r="Q3236" s="75" t="str">
        <f>IF(AND(B3236='111'!$L$11,OR($N3236=$Q$7,$O3236=$Q$7)),"x","")</f>
        <v/>
      </c>
      <c r="R3236" s="75" t="str">
        <f>IF(AND($N3236=$Q$7,$B3236&lt;'111'!$L$11),"x","")</f>
        <v/>
      </c>
      <c r="S3236" s="75" t="str">
        <f>IF(AND($O3236=$Q$7,$B3236&lt;'111'!$L$11),"x","")</f>
        <v/>
      </c>
      <c r="T3236" s="75" t="str">
        <f>IF(ISERROR(FIND('112'!$M$9,G3236,1)),"",IF((AND(FIND('112'!$M$9,G3236,1)&gt;=1,B3236='112'!$K$9,OR($N3236='112'!$I$6,$O3236='112'!$I$6))),"x",""))</f>
        <v/>
      </c>
      <c r="U3236" s="75" t="str">
        <f>IF(ISERROR(FIND('112'!$M$9,G3236,1)),"",IF((AND(LEFT(G3236,2)=LEFT('112'!$M$9,2),B3236&lt;'112'!$K$9,$N3236='112'!$I$6)),"x",""))</f>
        <v/>
      </c>
      <c r="V3236" s="75" t="str">
        <f>IF(ISERROR(FIND('112'!$M$9,G3236,1)),"",IF((AND(RIGHT(G3236,2)=RIGHT('112'!$M$9,2),B3236&lt;'112'!$K$9,$O3236='112'!$I$6)),"x",""))</f>
        <v/>
      </c>
      <c r="W3236" s="75" t="str">
        <f>IF(AND('341-CT'!$H$9=H3236,OR(LEFT(N3236,3)=$W$7,LEFT(O3236,3)=$W$7)),"x","")</f>
        <v/>
      </c>
      <c r="X3236" s="75" t="str">
        <f>IF(OR(TH!N3236=TH!$X$7,O3236=TH!$X$7),"x","")</f>
        <v/>
      </c>
      <c r="Y3236" s="75" t="str">
        <f>IF(AND(OR(N3236="131",O3236="131"),H3236='131-CT'!$H$9),"x","")</f>
        <v/>
      </c>
      <c r="Z3236" s="75"/>
      <c r="AA3236" s="75" t="str">
        <f>IF(AND(MONTH(E3236)='IN-NX'!$J$5,'IN-NX'!$D$7=D3236),"x","")</f>
        <v/>
      </c>
      <c r="AB3236" s="75" t="str">
        <f>IF(AND(OR(LEFT(TH!N3236,2)="15",LEFT(TH!O3236,2)="15"),LEFT(TH!O3236,3)&lt;&gt;"111",'152-CT'!$J$8=TH!F3236),"x","")</f>
        <v/>
      </c>
      <c r="AC3236" s="75" t="str">
        <f>IF(AND(OR(LEFT(TH!N3236,2)="15",LEFT(TH!O3236,2)="15"),TK!$E$7=TH!F3236),"x","")</f>
        <v/>
      </c>
      <c r="AD3236" s="75" t="str">
        <f>IF(AND(N3236="1521",MONTH(C3236)='BK-NL'!$M$11),"x","")</f>
        <v/>
      </c>
    </row>
    <row r="3237" spans="1:31" s="1264" customFormat="1" ht="16.5" customHeight="1">
      <c r="A3237" s="309" t="str">
        <f>IF(B3237&lt;&gt;"",IF(AND(B3237='IN-TC'!$S$4,OR(TH!N3237="1111",TH!O3237="1111")),TH!D3237,""),"")</f>
        <v/>
      </c>
      <c r="B3237" s="1282">
        <f t="shared" si="1186"/>
        <v>11</v>
      </c>
      <c r="C3237" s="929">
        <v>43045</v>
      </c>
      <c r="D3237" s="929" t="s">
        <v>530</v>
      </c>
      <c r="E3237" s="929">
        <f t="shared" si="1183"/>
        <v>43045</v>
      </c>
      <c r="F3237" s="930" t="s">
        <v>1010</v>
      </c>
      <c r="G3237" s="930" t="s">
        <v>747</v>
      </c>
      <c r="H3237" s="296" t="s">
        <v>1559</v>
      </c>
      <c r="I3237" s="1213"/>
      <c r="J3237" s="378"/>
      <c r="K3237" s="1213"/>
      <c r="L3237" s="1214"/>
      <c r="M3237" s="74">
        <v>410000</v>
      </c>
      <c r="N3237" s="934" t="s">
        <v>250</v>
      </c>
      <c r="O3237" s="934" t="s">
        <v>43</v>
      </c>
      <c r="P3237" s="75" t="str">
        <f>IF(AND('331-CT'!$E$7=TH!H3237,OR(N3237="331",O3237="331")),"x","")</f>
        <v/>
      </c>
      <c r="Q3237" s="75" t="str">
        <f>IF(AND(B3237='111'!$L$11,OR($N3237=$Q$7,$O3237=$Q$7)),"x","")</f>
        <v/>
      </c>
      <c r="R3237" s="75" t="str">
        <f>IF(AND($N3237=$Q$7,$B3237&lt;'111'!$L$11),"x","")</f>
        <v/>
      </c>
      <c r="S3237" s="75" t="str">
        <f>IF(AND($O3237=$Q$7,$B3237&lt;'111'!$L$11),"x","")</f>
        <v/>
      </c>
      <c r="T3237" s="75" t="str">
        <f>IF(ISERROR(FIND('112'!$M$9,G3237,1)),"",IF((AND(FIND('112'!$M$9,G3237,1)&gt;=1,B3237='112'!$K$9,OR($N3237='112'!$I$6,$O3237='112'!$I$6))),"x",""))</f>
        <v/>
      </c>
      <c r="U3237" s="75" t="str">
        <f>IF(ISERROR(FIND('112'!$M$9,G3237,1)),"",IF((AND(LEFT(G3237,2)=LEFT('112'!$M$9,2),B3237&lt;'112'!$K$9,$N3237='112'!$I$6)),"x",""))</f>
        <v/>
      </c>
      <c r="V3237" s="75" t="str">
        <f>IF(ISERROR(FIND('112'!$M$9,G3237,1)),"",IF((AND(RIGHT(G3237,2)=RIGHT('112'!$M$9,2),B3237&lt;'112'!$K$9,$O3237='112'!$I$6)),"x",""))</f>
        <v/>
      </c>
      <c r="W3237" s="75" t="str">
        <f>IF(AND('341-CT'!$H$9=H3237,OR(LEFT(N3237,3)=$W$7,LEFT(O3237,3)=$W$7)),"x","")</f>
        <v/>
      </c>
      <c r="X3237" s="75" t="str">
        <f>IF(OR(TH!N3237=TH!$X$7,O3237=TH!$X$7),"x","")</f>
        <v/>
      </c>
      <c r="Y3237" s="75" t="str">
        <f>IF(AND(OR(N3237="131",O3237="131"),H3237='131-CT'!$H$9),"x","")</f>
        <v/>
      </c>
      <c r="Z3237" s="75"/>
      <c r="AA3237" s="75" t="str">
        <f>IF(AND(MONTH(E3237)='IN-NX'!$J$5,'IN-NX'!$D$7=D3237),"x","")</f>
        <v/>
      </c>
      <c r="AB3237" s="75" t="str">
        <f>IF(AND(OR(LEFT(TH!N3237,2)="15",LEFT(TH!O3237,2)="15"),LEFT(TH!O3237,3)&lt;&gt;"111",'152-CT'!$J$8=TH!F3237),"x","")</f>
        <v/>
      </c>
      <c r="AC3237" s="75" t="str">
        <f>IF(AND(OR(LEFT(TH!N3237,2)="15",LEFT(TH!O3237,2)="15"),TK!$E$7=TH!F3237),"x","")</f>
        <v/>
      </c>
      <c r="AD3237" s="75" t="str">
        <f>IF(AND(N3237="1521",MONTH(C3237)='BK-NL'!$M$11),"x","")</f>
        <v/>
      </c>
    </row>
    <row r="3238" spans="1:31" s="1264" customFormat="1" ht="16.5" customHeight="1">
      <c r="A3238" s="309" t="str">
        <f>IF(B3238&lt;&gt;"",IF(AND(B3238='IN-TC'!$S$4,OR(TH!N3238="1111",TH!O3238="1111")),TH!D3238,""),"")</f>
        <v/>
      </c>
      <c r="B3238" s="1282">
        <f t="shared" si="1186"/>
        <v>11</v>
      </c>
      <c r="C3238" s="929">
        <v>43046</v>
      </c>
      <c r="D3238" s="929" t="s">
        <v>903</v>
      </c>
      <c r="E3238" s="929">
        <f t="shared" si="1183"/>
        <v>43046</v>
      </c>
      <c r="F3238" s="930" t="s">
        <v>1086</v>
      </c>
      <c r="G3238" s="930" t="s">
        <v>747</v>
      </c>
      <c r="H3238" s="735" t="s">
        <v>546</v>
      </c>
      <c r="I3238" s="1213"/>
      <c r="J3238" s="378"/>
      <c r="K3238" s="1213">
        <v>26444</v>
      </c>
      <c r="L3238" s="1214">
        <v>22710</v>
      </c>
      <c r="M3238" s="1214">
        <f t="shared" ref="M3238:M3239" si="1189">ROUND(K3238*L3238,0)</f>
        <v>600543240</v>
      </c>
      <c r="N3238" s="934" t="s">
        <v>256</v>
      </c>
      <c r="O3238" s="934" t="s">
        <v>536</v>
      </c>
      <c r="P3238" s="75" t="str">
        <f>IF(AND('331-CT'!$E$7=TH!H3238,OR(N3238="331",O3238="331")),"x","")</f>
        <v/>
      </c>
      <c r="Q3238" s="75" t="str">
        <f>IF(AND(B3238='111'!$L$11,OR($N3238=$Q$7,$O3238=$Q$7)),"x","")</f>
        <v/>
      </c>
      <c r="R3238" s="75" t="str">
        <f>IF(AND($N3238=$Q$7,$B3238&lt;'111'!$L$11),"x","")</f>
        <v/>
      </c>
      <c r="S3238" s="75" t="str">
        <f>IF(AND($O3238=$Q$7,$B3238&lt;'111'!$L$11),"x","")</f>
        <v/>
      </c>
      <c r="T3238" s="75" t="str">
        <f>IF(ISERROR(FIND('112'!$M$9,G3238,1)),"",IF((AND(FIND('112'!$M$9,G3238,1)&gt;=1,B3238='112'!$K$9,OR($N3238='112'!$I$6,$O3238='112'!$I$6))),"x",""))</f>
        <v/>
      </c>
      <c r="U3238" s="75" t="str">
        <f>IF(ISERROR(FIND('112'!$M$9,G3238,1)),"",IF((AND(LEFT(G3238,2)=LEFT('112'!$M$9,2),B3238&lt;'112'!$K$9,$N3238='112'!$I$6)),"x",""))</f>
        <v/>
      </c>
      <c r="V3238" s="75" t="str">
        <f>IF(ISERROR(FIND('112'!$M$9,G3238,1)),"",IF((AND(RIGHT(G3238,2)=RIGHT('112'!$M$9,2),B3238&lt;'112'!$K$9,$O3238='112'!$I$6)),"x",""))</f>
        <v/>
      </c>
      <c r="W3238" s="75" t="str">
        <f>IF(AND('341-CT'!$H$9=H3238,OR(LEFT(N3238,3)=$W$7,LEFT(O3238,3)=$W$7)),"x","")</f>
        <v/>
      </c>
      <c r="X3238" s="75" t="str">
        <f>IF(OR(TH!N3238=TH!$X$7,O3238=TH!$X$7),"x","")</f>
        <v/>
      </c>
      <c r="Y3238" s="75" t="str">
        <f>IF(AND(OR(N3238="131",O3238="131"),H3238='131-CT'!$H$9),"x","")</f>
        <v/>
      </c>
      <c r="Z3238" s="75"/>
      <c r="AA3238" s="75" t="str">
        <f>IF(AND(MONTH(E3238)='IN-NX'!$J$5,'IN-NX'!$D$7=D3238),"x","")</f>
        <v/>
      </c>
      <c r="AB3238" s="75" t="str">
        <f>IF(AND(OR(LEFT(TH!N3238,2)="15",LEFT(TH!O3238,2)="15"),LEFT(TH!O3238,3)&lt;&gt;"111",'152-CT'!$J$8=TH!F3238),"x","")</f>
        <v/>
      </c>
      <c r="AC3238" s="75" t="str">
        <f>IF(AND(OR(LEFT(TH!N3238,2)="15",LEFT(TH!O3238,2)="15"),TK!$E$7=TH!F3238),"x","")</f>
        <v/>
      </c>
      <c r="AD3238" s="75" t="str">
        <f>IF(AND(N3238="1521",MONTH(C3238)='BK-NL'!$M$11),"x","")</f>
        <v/>
      </c>
    </row>
    <row r="3239" spans="1:31" s="1264" customFormat="1" ht="16.5" customHeight="1">
      <c r="A3239" s="309" t="str">
        <f>IF(B3239&lt;&gt;"",IF(AND(B3239='IN-TC'!$S$4,OR(TH!N3239="1111",TH!O3239="1111")),TH!D3239,""),"")</f>
        <v/>
      </c>
      <c r="B3239" s="1282">
        <f t="shared" si="1186"/>
        <v>11</v>
      </c>
      <c r="C3239" s="929">
        <v>43046</v>
      </c>
      <c r="D3239" s="929" t="s">
        <v>530</v>
      </c>
      <c r="E3239" s="929">
        <f t="shared" si="1183"/>
        <v>43046</v>
      </c>
      <c r="F3239" s="930" t="s">
        <v>1027</v>
      </c>
      <c r="G3239" s="930" t="s">
        <v>747</v>
      </c>
      <c r="H3239" s="735" t="s">
        <v>546</v>
      </c>
      <c r="I3239" s="1213"/>
      <c r="J3239" s="378"/>
      <c r="K3239" s="1213">
        <v>52</v>
      </c>
      <c r="L3239" s="1214">
        <v>22710</v>
      </c>
      <c r="M3239" s="1214">
        <f t="shared" si="1189"/>
        <v>1180920</v>
      </c>
      <c r="N3239" s="934" t="s">
        <v>101</v>
      </c>
      <c r="O3239" s="934" t="s">
        <v>536</v>
      </c>
      <c r="P3239" s="75" t="str">
        <f>IF(AND('331-CT'!$E$7=TH!H3239,OR(N3239="331",O3239="331")),"x","")</f>
        <v/>
      </c>
      <c r="Q3239" s="75" t="str">
        <f>IF(AND(B3239='111'!$L$11,OR($N3239=$Q$7,$O3239=$Q$7)),"x","")</f>
        <v/>
      </c>
      <c r="R3239" s="75" t="str">
        <f>IF(AND($N3239=$Q$7,$B3239&lt;'111'!$L$11),"x","")</f>
        <v/>
      </c>
      <c r="S3239" s="75" t="str">
        <f>IF(AND($O3239=$Q$7,$B3239&lt;'111'!$L$11),"x","")</f>
        <v/>
      </c>
      <c r="T3239" s="75" t="str">
        <f>IF(ISERROR(FIND('112'!$M$9,G3239,1)),"",IF((AND(FIND('112'!$M$9,G3239,1)&gt;=1,B3239='112'!$K$9,OR($N3239='112'!$I$6,$O3239='112'!$I$6))),"x",""))</f>
        <v/>
      </c>
      <c r="U3239" s="75" t="str">
        <f>IF(ISERROR(FIND('112'!$M$9,G3239,1)),"",IF((AND(LEFT(G3239,2)=LEFT('112'!$M$9,2),B3239&lt;'112'!$K$9,$N3239='112'!$I$6)),"x",""))</f>
        <v/>
      </c>
      <c r="V3239" s="75" t="str">
        <f>IF(ISERROR(FIND('112'!$M$9,G3239,1)),"",IF((AND(RIGHT(G3239,2)=RIGHT('112'!$M$9,2),B3239&lt;'112'!$K$9,$O3239='112'!$I$6)),"x",""))</f>
        <v/>
      </c>
      <c r="W3239" s="75" t="str">
        <f>IF(AND('341-CT'!$H$9=H3239,OR(LEFT(N3239,3)=$W$7,LEFT(O3239,3)=$W$7)),"x","")</f>
        <v/>
      </c>
      <c r="X3239" s="75" t="str">
        <f>IF(OR(TH!N3239=TH!$X$7,O3239=TH!$X$7),"x","")</f>
        <v/>
      </c>
      <c r="Y3239" s="75" t="str">
        <f>IF(AND(OR(N3239="131",O3239="131"),H3239='131-CT'!$H$9),"x","")</f>
        <v/>
      </c>
      <c r="Z3239" s="75"/>
      <c r="AA3239" s="75" t="str">
        <f>IF(AND(MONTH(E3239)='IN-NX'!$J$5,'IN-NX'!$D$7=D3239),"x","")</f>
        <v/>
      </c>
      <c r="AB3239" s="75" t="str">
        <f>IF(AND(OR(LEFT(TH!N3239,2)="15",LEFT(TH!O3239,2)="15"),LEFT(TH!O3239,3)&lt;&gt;"111",'152-CT'!$J$8=TH!F3239),"x","")</f>
        <v/>
      </c>
      <c r="AC3239" s="75" t="str">
        <f>IF(AND(OR(LEFT(TH!N3239,2)="15",LEFT(TH!O3239,2)="15"),TK!$E$7=TH!F3239),"x","")</f>
        <v/>
      </c>
      <c r="AD3239" s="75" t="str">
        <f>IF(AND(N3239="1521",MONTH(C3239)='BK-NL'!$M$11),"x","")</f>
        <v/>
      </c>
    </row>
    <row r="3240" spans="1:31" s="1264" customFormat="1" ht="16.5" customHeight="1">
      <c r="A3240" s="309" t="str">
        <f>IF(B3240&lt;&gt;"",IF(AND(B3240='IN-TC'!$S$4,OR(TH!N3240="1111",TH!O3240="1111")),TH!D3240,""),"")</f>
        <v/>
      </c>
      <c r="B3240" s="1282">
        <f t="shared" si="1186"/>
        <v>11</v>
      </c>
      <c r="C3240" s="929">
        <v>43046</v>
      </c>
      <c r="D3240" s="929" t="s">
        <v>530</v>
      </c>
      <c r="E3240" s="929">
        <f t="shared" si="1183"/>
        <v>43046</v>
      </c>
      <c r="F3240" s="930" t="s">
        <v>1010</v>
      </c>
      <c r="G3240" s="930" t="s">
        <v>747</v>
      </c>
      <c r="H3240" s="735" t="s">
        <v>546</v>
      </c>
      <c r="I3240" s="1213"/>
      <c r="J3240" s="378"/>
      <c r="K3240" s="1213"/>
      <c r="L3240" s="1214"/>
      <c r="M3240" s="74">
        <v>662400</v>
      </c>
      <c r="N3240" s="934" t="s">
        <v>536</v>
      </c>
      <c r="O3240" s="934" t="s">
        <v>43</v>
      </c>
      <c r="P3240" s="75" t="str">
        <f>IF(AND('331-CT'!$E$7=TH!H3240,OR(N3240="331",O3240="331")),"x","")</f>
        <v/>
      </c>
      <c r="Q3240" s="75" t="str">
        <f>IF(AND(B3240='111'!$L$11,OR($N3240=$Q$7,$O3240=$Q$7)),"x","")</f>
        <v/>
      </c>
      <c r="R3240" s="75" t="str">
        <f>IF(AND($N3240=$Q$7,$B3240&lt;'111'!$L$11),"x","")</f>
        <v/>
      </c>
      <c r="S3240" s="75" t="str">
        <f>IF(AND($O3240=$Q$7,$B3240&lt;'111'!$L$11),"x","")</f>
        <v/>
      </c>
      <c r="T3240" s="75" t="str">
        <f>IF(ISERROR(FIND('112'!$M$9,G3240,1)),"",IF((AND(FIND('112'!$M$9,G3240,1)&gt;=1,B3240='112'!$K$9,OR($N3240='112'!$I$6,$O3240='112'!$I$6))),"x",""))</f>
        <v/>
      </c>
      <c r="U3240" s="75" t="str">
        <f>IF(ISERROR(FIND('112'!$M$9,G3240,1)),"",IF((AND(LEFT(G3240,2)=LEFT('112'!$M$9,2),B3240&lt;'112'!$K$9,$N3240='112'!$I$6)),"x",""))</f>
        <v/>
      </c>
      <c r="V3240" s="75" t="str">
        <f>IF(ISERROR(FIND('112'!$M$9,G3240,1)),"",IF((AND(RIGHT(G3240,2)=RIGHT('112'!$M$9,2),B3240&lt;'112'!$K$9,$O3240='112'!$I$6)),"x",""))</f>
        <v/>
      </c>
      <c r="W3240" s="75" t="str">
        <f>IF(AND('341-CT'!$H$9=H3240,OR(LEFT(N3240,3)=$W$7,LEFT(O3240,3)=$W$7)),"x","")</f>
        <v/>
      </c>
      <c r="X3240" s="75" t="str">
        <f>IF(OR(TH!N3240=TH!$X$7,O3240=TH!$X$7),"x","")</f>
        <v/>
      </c>
      <c r="Y3240" s="75" t="str">
        <f>IF(AND(OR(N3240="131",O3240="131"),H3240='131-CT'!$H$9),"x","")</f>
        <v/>
      </c>
      <c r="Z3240" s="75"/>
      <c r="AA3240" s="75" t="str">
        <f>IF(AND(MONTH(E3240)='IN-NX'!$J$5,'IN-NX'!$D$7=D3240),"x","")</f>
        <v/>
      </c>
      <c r="AB3240" s="75" t="str">
        <f>IF(AND(OR(LEFT(TH!N3240,2)="15",LEFT(TH!O3240,2)="15"),LEFT(TH!O3240,3)&lt;&gt;"111",'152-CT'!$J$8=TH!F3240),"x","")</f>
        <v/>
      </c>
      <c r="AC3240" s="75" t="str">
        <f>IF(AND(OR(LEFT(TH!N3240,2)="15",LEFT(TH!O3240,2)="15"),TK!$E$7=TH!F3240),"x","")</f>
        <v/>
      </c>
      <c r="AD3240" s="75" t="str">
        <f>IF(AND(N3240="1521",MONTH(C3240)='BK-NL'!$M$11),"x","")</f>
        <v/>
      </c>
    </row>
    <row r="3241" spans="1:31" s="1264" customFormat="1" ht="16.5" customHeight="1">
      <c r="A3241" s="309" t="str">
        <f>IF(B3241&lt;&gt;"",IF(AND(B3241='IN-TC'!$S$4,OR(TH!N3241="1111",TH!O3241="1111")),TH!D3241,""),"")</f>
        <v/>
      </c>
      <c r="B3241" s="1282">
        <f t="shared" si="1186"/>
        <v>11</v>
      </c>
      <c r="C3241" s="929">
        <v>43046</v>
      </c>
      <c r="D3241" s="929" t="s">
        <v>902</v>
      </c>
      <c r="E3241" s="929">
        <f t="shared" si="1183"/>
        <v>43046</v>
      </c>
      <c r="F3241" s="72" t="s">
        <v>1321</v>
      </c>
      <c r="G3241" s="930" t="s">
        <v>747</v>
      </c>
      <c r="H3241" s="296" t="s">
        <v>2551</v>
      </c>
      <c r="I3241" s="1213"/>
      <c r="J3241" s="378"/>
      <c r="K3241" s="1213">
        <v>25170</v>
      </c>
      <c r="L3241" s="1214">
        <v>22710</v>
      </c>
      <c r="M3241" s="74">
        <f t="shared" ref="M3241:M3242" si="1190">ROUND(K3241*L3241,0)</f>
        <v>571610700</v>
      </c>
      <c r="N3241" s="934" t="s">
        <v>250</v>
      </c>
      <c r="O3241" s="934" t="s">
        <v>256</v>
      </c>
      <c r="P3241" s="75" t="str">
        <f>IF(AND('331-CT'!$E$7=TH!H3241,OR(N3241="331",O3241="331")),"x","")</f>
        <v/>
      </c>
      <c r="Q3241" s="75" t="str">
        <f>IF(AND(B3241='111'!$L$11,OR($N3241=$Q$7,$O3241=$Q$7)),"x","")</f>
        <v/>
      </c>
      <c r="R3241" s="75" t="str">
        <f>IF(AND($N3241=$Q$7,$B3241&lt;'111'!$L$11),"x","")</f>
        <v/>
      </c>
      <c r="S3241" s="75" t="str">
        <f>IF(AND($O3241=$Q$7,$B3241&lt;'111'!$L$11),"x","")</f>
        <v/>
      </c>
      <c r="T3241" s="75" t="str">
        <f>IF(ISERROR(FIND('112'!$M$9,G3241,1)),"",IF((AND(FIND('112'!$M$9,G3241,1)&gt;=1,B3241='112'!$K$9,OR($N3241='112'!$I$6,$O3241='112'!$I$6))),"x",""))</f>
        <v/>
      </c>
      <c r="U3241" s="75" t="str">
        <f>IF(ISERROR(FIND('112'!$M$9,G3241,1)),"",IF((AND(LEFT(G3241,2)=LEFT('112'!$M$9,2),B3241&lt;'112'!$K$9,$N3241='112'!$I$6)),"x",""))</f>
        <v/>
      </c>
      <c r="V3241" s="75" t="str">
        <f>IF(ISERROR(FIND('112'!$M$9,G3241,1)),"",IF((AND(RIGHT(G3241,2)=RIGHT('112'!$M$9,2),B3241&lt;'112'!$K$9,$O3241='112'!$I$6)),"x",""))</f>
        <v/>
      </c>
      <c r="W3241" s="75" t="str">
        <f>IF(AND('341-CT'!$H$9=H3241,OR(LEFT(N3241,3)=$W$7,LEFT(O3241,3)=$W$7)),"x","")</f>
        <v/>
      </c>
      <c r="X3241" s="75" t="str">
        <f>IF(OR(TH!N3241=TH!$X$7,O3241=TH!$X$7),"x","")</f>
        <v/>
      </c>
      <c r="Y3241" s="75" t="str">
        <f>IF(AND(OR(N3241="131",O3241="131"),H3241='131-CT'!$H$9),"x","")</f>
        <v/>
      </c>
      <c r="Z3241" s="75"/>
      <c r="AA3241" s="75" t="str">
        <f>IF(AND(MONTH(E3241)='IN-NX'!$J$5,'IN-NX'!$D$7=D3241),"x","")</f>
        <v/>
      </c>
      <c r="AB3241" s="75" t="str">
        <f>IF(AND(OR(LEFT(TH!N3241,2)="15",LEFT(TH!O3241,2)="15"),LEFT(TH!O3241,3)&lt;&gt;"111",'152-CT'!$J$8=TH!F3241),"x","")</f>
        <v/>
      </c>
      <c r="AC3241" s="75" t="str">
        <f>IF(AND(OR(LEFT(TH!N3241,2)="15",LEFT(TH!O3241,2)="15"),TK!$E$7=TH!F3241),"x","")</f>
        <v/>
      </c>
      <c r="AD3241" s="75" t="str">
        <f>IF(AND(N3241="1521",MONTH(C3241)='BK-NL'!$M$11),"x","")</f>
        <v/>
      </c>
    </row>
    <row r="3242" spans="1:31" s="1264" customFormat="1" ht="16.5" customHeight="1">
      <c r="A3242" s="309" t="str">
        <f>IF(B3242&lt;&gt;"",IF(AND(B3242='IN-TC'!$S$4,OR(TH!N3242="1111",TH!O3242="1111")),TH!D3242,""),"")</f>
        <v/>
      </c>
      <c r="B3242" s="1282">
        <f t="shared" si="1186"/>
        <v>11</v>
      </c>
      <c r="C3242" s="929">
        <v>43046</v>
      </c>
      <c r="D3242" s="929" t="s">
        <v>902</v>
      </c>
      <c r="E3242" s="929">
        <f t="shared" si="1183"/>
        <v>43046</v>
      </c>
      <c r="F3242" s="930" t="s">
        <v>1096</v>
      </c>
      <c r="G3242" s="930" t="s">
        <v>747</v>
      </c>
      <c r="H3242" s="296" t="s">
        <v>2541</v>
      </c>
      <c r="I3242" s="1213"/>
      <c r="J3242" s="378"/>
      <c r="K3242" s="1213">
        <v>31.9</v>
      </c>
      <c r="L3242" s="1214">
        <v>22710</v>
      </c>
      <c r="M3242" s="74">
        <f t="shared" si="1190"/>
        <v>724449</v>
      </c>
      <c r="N3242" s="934" t="s">
        <v>99</v>
      </c>
      <c r="O3242" s="934" t="s">
        <v>256</v>
      </c>
      <c r="P3242" s="75" t="str">
        <f>IF(AND('331-CT'!$E$7=TH!H3242,OR(N3242="331",O3242="331")),"x","")</f>
        <v/>
      </c>
      <c r="Q3242" s="75" t="str">
        <f>IF(AND(B3242='111'!$L$11,OR($N3242=$Q$7,$O3242=$Q$7)),"x","")</f>
        <v/>
      </c>
      <c r="R3242" s="75" t="str">
        <f>IF(AND($N3242=$Q$7,$B3242&lt;'111'!$L$11),"x","")</f>
        <v/>
      </c>
      <c r="S3242" s="75" t="str">
        <f>IF(AND($O3242=$Q$7,$B3242&lt;'111'!$L$11),"x","")</f>
        <v/>
      </c>
      <c r="T3242" s="75" t="str">
        <f>IF(ISERROR(FIND('112'!$M$9,G3242,1)),"",IF((AND(FIND('112'!$M$9,G3242,1)&gt;=1,B3242='112'!$K$9,OR($N3242='112'!$I$6,$O3242='112'!$I$6))),"x",""))</f>
        <v/>
      </c>
      <c r="U3242" s="75" t="str">
        <f>IF(ISERROR(FIND('112'!$M$9,G3242,1)),"",IF((AND(LEFT(G3242,2)=LEFT('112'!$M$9,2),B3242&lt;'112'!$K$9,$N3242='112'!$I$6)),"x",""))</f>
        <v/>
      </c>
      <c r="V3242" s="75" t="str">
        <f>IF(ISERROR(FIND('112'!$M$9,G3242,1)),"",IF((AND(RIGHT(G3242,2)=RIGHT('112'!$M$9,2),B3242&lt;'112'!$K$9,$O3242='112'!$I$6)),"x",""))</f>
        <v/>
      </c>
      <c r="W3242" s="75" t="str">
        <f>IF(AND('341-CT'!$H$9=H3242,OR(LEFT(N3242,3)=$W$7,LEFT(O3242,3)=$W$7)),"x","")</f>
        <v/>
      </c>
      <c r="X3242" s="75" t="str">
        <f>IF(OR(TH!N3242=TH!$X$7,O3242=TH!$X$7),"x","")</f>
        <v/>
      </c>
      <c r="Y3242" s="75" t="str">
        <f>IF(AND(OR(N3242="131",O3242="131"),H3242='131-CT'!$H$9),"x","")</f>
        <v/>
      </c>
      <c r="Z3242" s="75"/>
      <c r="AA3242" s="75" t="str">
        <f>IF(AND(MONTH(E3242)='IN-NX'!$J$5,'IN-NX'!$D$7=D3242),"x","")</f>
        <v/>
      </c>
      <c r="AB3242" s="75" t="str">
        <f>IF(AND(OR(LEFT(TH!N3242,2)="15",LEFT(TH!O3242,2)="15"),LEFT(TH!O3242,3)&lt;&gt;"111",'152-CT'!$J$8=TH!F3242),"x","")</f>
        <v/>
      </c>
      <c r="AC3242" s="75" t="str">
        <f>IF(AND(OR(LEFT(TH!N3242,2)="15",LEFT(TH!O3242,2)="15"),TK!$E$7=TH!F3242),"x","")</f>
        <v/>
      </c>
      <c r="AD3242" s="75" t="str">
        <f>IF(AND(N3242="1521",MONTH(C3242)='BK-NL'!$M$11),"x","")</f>
        <v/>
      </c>
    </row>
    <row r="3243" spans="1:31" s="1264" customFormat="1" ht="16.5" customHeight="1">
      <c r="A3243" s="309" t="str">
        <f>IF(B3243&lt;&gt;"",IF(AND(B3243='IN-TC'!$S$4,OR(TH!N3243="1111",TH!O3243="1111")),TH!D3243,""),"")</f>
        <v/>
      </c>
      <c r="B3243" s="1282">
        <f t="shared" si="1186"/>
        <v>11</v>
      </c>
      <c r="C3243" s="929">
        <v>43046</v>
      </c>
      <c r="D3243" s="929" t="s">
        <v>530</v>
      </c>
      <c r="E3243" s="929">
        <f t="shared" si="1183"/>
        <v>43046</v>
      </c>
      <c r="F3243" s="930" t="s">
        <v>1010</v>
      </c>
      <c r="G3243" s="930" t="s">
        <v>747</v>
      </c>
      <c r="H3243" s="296" t="s">
        <v>2551</v>
      </c>
      <c r="I3243" s="1213"/>
      <c r="J3243" s="378"/>
      <c r="K3243" s="1213"/>
      <c r="L3243" s="1214"/>
      <c r="M3243" s="74">
        <v>209482</v>
      </c>
      <c r="N3243" s="934" t="s">
        <v>99</v>
      </c>
      <c r="O3243" s="934" t="s">
        <v>250</v>
      </c>
      <c r="P3243" s="75" t="str">
        <f>IF(AND('331-CT'!$E$7=TH!H3243,OR(N3243="331",O3243="331")),"x","")</f>
        <v/>
      </c>
      <c r="Q3243" s="75" t="str">
        <f>IF(AND(B3243='111'!$L$11,OR($N3243=$Q$7,$O3243=$Q$7)),"x","")</f>
        <v/>
      </c>
      <c r="R3243" s="75" t="str">
        <f>IF(AND($N3243=$Q$7,$B3243&lt;'111'!$L$11),"x","")</f>
        <v/>
      </c>
      <c r="S3243" s="75" t="str">
        <f>IF(AND($O3243=$Q$7,$B3243&lt;'111'!$L$11),"x","")</f>
        <v/>
      </c>
      <c r="T3243" s="75" t="str">
        <f>IF(ISERROR(FIND('112'!$M$9,G3243,1)),"",IF((AND(FIND('112'!$M$9,G3243,1)&gt;=1,B3243='112'!$K$9,OR($N3243='112'!$I$6,$O3243='112'!$I$6))),"x",""))</f>
        <v/>
      </c>
      <c r="U3243" s="75" t="str">
        <f>IF(ISERROR(FIND('112'!$M$9,G3243,1)),"",IF((AND(LEFT(G3243,2)=LEFT('112'!$M$9,2),B3243&lt;'112'!$K$9,$N3243='112'!$I$6)),"x",""))</f>
        <v/>
      </c>
      <c r="V3243" s="75" t="str">
        <f>IF(ISERROR(FIND('112'!$M$9,G3243,1)),"",IF((AND(RIGHT(G3243,2)=RIGHT('112'!$M$9,2),B3243&lt;'112'!$K$9,$O3243='112'!$I$6)),"x",""))</f>
        <v/>
      </c>
      <c r="W3243" s="75" t="str">
        <f>IF(AND('341-CT'!$H$9=H3243,OR(LEFT(N3243,3)=$W$7,LEFT(O3243,3)=$W$7)),"x","")</f>
        <v/>
      </c>
      <c r="X3243" s="75" t="str">
        <f>IF(OR(TH!N3243=TH!$X$7,O3243=TH!$X$7),"x","")</f>
        <v/>
      </c>
      <c r="Y3243" s="75" t="str">
        <f>IF(AND(OR(N3243="131",O3243="131"),H3243='131-CT'!$H$9),"x","")</f>
        <v/>
      </c>
      <c r="Z3243" s="75"/>
      <c r="AA3243" s="75" t="str">
        <f>IF(AND(MONTH(E3243)='IN-NX'!$J$5,'IN-NX'!$D$7=D3243),"x","")</f>
        <v/>
      </c>
      <c r="AB3243" s="75" t="str">
        <f>IF(AND(OR(LEFT(TH!N3243,2)="15",LEFT(TH!O3243,2)="15"),LEFT(TH!O3243,3)&lt;&gt;"111",'152-CT'!$J$8=TH!F3243),"x","")</f>
        <v/>
      </c>
      <c r="AC3243" s="75" t="str">
        <f>IF(AND(OR(LEFT(TH!N3243,2)="15",LEFT(TH!O3243,2)="15"),TK!$E$7=TH!F3243),"x","")</f>
        <v/>
      </c>
      <c r="AD3243" s="75" t="str">
        <f>IF(AND(N3243="1521",MONTH(C3243)='BK-NL'!$M$11),"x","")</f>
        <v/>
      </c>
    </row>
    <row r="3244" spans="1:31" s="1264" customFormat="1" ht="16.5" customHeight="1">
      <c r="A3244" s="309" t="str">
        <f>IF(B3244&lt;&gt;"",IF(AND(B3244='IN-TC'!$S$4,OR(TH!N3244="1111",TH!O3244="1111")),TH!D3244,""),"")</f>
        <v/>
      </c>
      <c r="B3244" s="1282">
        <f t="shared" si="1186"/>
        <v>11</v>
      </c>
      <c r="C3244" s="929">
        <v>43047</v>
      </c>
      <c r="D3244" s="929" t="s">
        <v>903</v>
      </c>
      <c r="E3244" s="929">
        <f t="shared" si="1183"/>
        <v>43047</v>
      </c>
      <c r="F3244" s="930" t="s">
        <v>1086</v>
      </c>
      <c r="G3244" s="930" t="s">
        <v>747</v>
      </c>
      <c r="H3244" s="735" t="s">
        <v>759</v>
      </c>
      <c r="I3244" s="1213"/>
      <c r="J3244" s="378"/>
      <c r="K3244" s="1213">
        <v>517754.42</v>
      </c>
      <c r="L3244" s="1214">
        <v>22710</v>
      </c>
      <c r="M3244" s="1214">
        <f t="shared" ref="M3244:M3245" si="1191">ROUND(K3244*L3244,0)</f>
        <v>11758202878</v>
      </c>
      <c r="N3244" s="934" t="s">
        <v>256</v>
      </c>
      <c r="O3244" s="934" t="s">
        <v>536</v>
      </c>
      <c r="P3244" s="75" t="str">
        <f>IF(AND('331-CT'!$E$7=TH!H3244,OR(N3244="331",O3244="331")),"x","")</f>
        <v/>
      </c>
      <c r="Q3244" s="75" t="str">
        <f>IF(AND(B3244='111'!$L$11,OR($N3244=$Q$7,$O3244=$Q$7)),"x","")</f>
        <v/>
      </c>
      <c r="R3244" s="75" t="str">
        <f>IF(AND($N3244=$Q$7,$B3244&lt;'111'!$L$11),"x","")</f>
        <v/>
      </c>
      <c r="S3244" s="75" t="str">
        <f>IF(AND($O3244=$Q$7,$B3244&lt;'111'!$L$11),"x","")</f>
        <v/>
      </c>
      <c r="T3244" s="75" t="str">
        <f>IF(ISERROR(FIND('112'!$M$9,G3244,1)),"",IF((AND(FIND('112'!$M$9,G3244,1)&gt;=1,B3244='112'!$K$9,OR($N3244='112'!$I$6,$O3244='112'!$I$6))),"x",""))</f>
        <v/>
      </c>
      <c r="U3244" s="75" t="str">
        <f>IF(ISERROR(FIND('112'!$M$9,G3244,1)),"",IF((AND(LEFT(G3244,2)=LEFT('112'!$M$9,2),B3244&lt;'112'!$K$9,$N3244='112'!$I$6)),"x",""))</f>
        <v/>
      </c>
      <c r="V3244" s="75" t="str">
        <f>IF(ISERROR(FIND('112'!$M$9,G3244,1)),"",IF((AND(RIGHT(G3244,2)=RIGHT('112'!$M$9,2),B3244&lt;'112'!$K$9,$O3244='112'!$I$6)),"x",""))</f>
        <v/>
      </c>
      <c r="W3244" s="75" t="str">
        <f>IF(AND('341-CT'!$H$9=H3244,OR(LEFT(N3244,3)=$W$7,LEFT(O3244,3)=$W$7)),"x","")</f>
        <v/>
      </c>
      <c r="X3244" s="75" t="str">
        <f>IF(OR(TH!N3244=TH!$X$7,O3244=TH!$X$7),"x","")</f>
        <v/>
      </c>
      <c r="Y3244" s="75" t="str">
        <f>IF(AND(OR(N3244="131",O3244="131"),H3244='131-CT'!$H$9),"x","")</f>
        <v/>
      </c>
      <c r="Z3244" s="75"/>
      <c r="AA3244" s="75" t="str">
        <f>IF(AND(MONTH(E3244)='IN-NX'!$J$5,'IN-NX'!$D$7=D3244),"x","")</f>
        <v/>
      </c>
      <c r="AB3244" s="75" t="str">
        <f>IF(AND(OR(LEFT(TH!N3244,2)="15",LEFT(TH!O3244,2)="15"),LEFT(TH!O3244,3)&lt;&gt;"111",'152-CT'!$J$8=TH!F3244),"x","")</f>
        <v/>
      </c>
      <c r="AC3244" s="75" t="str">
        <f>IF(AND(OR(LEFT(TH!N3244,2)="15",LEFT(TH!O3244,2)="15"),TK!$E$7=TH!F3244),"x","")</f>
        <v/>
      </c>
      <c r="AD3244" s="75" t="str">
        <f>IF(AND(N3244="1521",MONTH(C3244)='BK-NL'!$M$11),"x","")</f>
        <v/>
      </c>
    </row>
    <row r="3245" spans="1:31" s="1264" customFormat="1" ht="16.5" customHeight="1">
      <c r="A3245" s="309" t="str">
        <f>IF(B3245&lt;&gt;"",IF(AND(B3245='IN-TC'!$S$4,OR(TH!N3245="1111",TH!O3245="1111")),TH!D3245,""),"")</f>
        <v/>
      </c>
      <c r="B3245" s="1282">
        <f t="shared" ref="B3245:B3246" si="1192">IF(C3245&lt;&gt;"",MONTH(C3245),"")</f>
        <v>11</v>
      </c>
      <c r="C3245" s="929">
        <v>43047</v>
      </c>
      <c r="D3245" s="929" t="s">
        <v>530</v>
      </c>
      <c r="E3245" s="929">
        <f t="shared" ref="E3245:E3246" si="1193">C3245</f>
        <v>43047</v>
      </c>
      <c r="F3245" s="930" t="s">
        <v>1027</v>
      </c>
      <c r="G3245" s="930" t="s">
        <v>747</v>
      </c>
      <c r="H3245" s="735" t="s">
        <v>759</v>
      </c>
      <c r="I3245" s="1213"/>
      <c r="J3245" s="378"/>
      <c r="K3245" s="1213">
        <v>17.38</v>
      </c>
      <c r="L3245" s="1214">
        <v>22710</v>
      </c>
      <c r="M3245" s="1214">
        <f t="shared" si="1191"/>
        <v>394700</v>
      </c>
      <c r="N3245" s="934" t="s">
        <v>101</v>
      </c>
      <c r="O3245" s="934" t="s">
        <v>536</v>
      </c>
      <c r="P3245" s="75" t="str">
        <f>IF(AND('331-CT'!$E$7=TH!H3245,OR(N3245="331",O3245="331")),"x","")</f>
        <v/>
      </c>
      <c r="Q3245" s="75" t="str">
        <f>IF(AND(B3245='111'!$L$11,OR($N3245=$Q$7,$O3245=$Q$7)),"x","")</f>
        <v/>
      </c>
      <c r="R3245" s="75" t="str">
        <f>IF(AND($N3245=$Q$7,$B3245&lt;'111'!$L$11),"x","")</f>
        <v/>
      </c>
      <c r="S3245" s="75" t="str">
        <f>IF(AND($O3245=$Q$7,$B3245&lt;'111'!$L$11),"x","")</f>
        <v/>
      </c>
      <c r="T3245" s="75" t="str">
        <f>IF(ISERROR(FIND('112'!$M$9,G3245,1)),"",IF((AND(FIND('112'!$M$9,G3245,1)&gt;=1,B3245='112'!$K$9,OR($N3245='112'!$I$6,$O3245='112'!$I$6))),"x",""))</f>
        <v/>
      </c>
      <c r="U3245" s="75" t="str">
        <f>IF(ISERROR(FIND('112'!$M$9,G3245,1)),"",IF((AND(LEFT(G3245,2)=LEFT('112'!$M$9,2),B3245&lt;'112'!$K$9,$N3245='112'!$I$6)),"x",""))</f>
        <v/>
      </c>
      <c r="V3245" s="75" t="str">
        <f>IF(ISERROR(FIND('112'!$M$9,G3245,1)),"",IF((AND(RIGHT(G3245,2)=RIGHT('112'!$M$9,2),B3245&lt;'112'!$K$9,$O3245='112'!$I$6)),"x",""))</f>
        <v/>
      </c>
      <c r="W3245" s="75" t="str">
        <f>IF(AND('341-CT'!$H$9=H3245,OR(LEFT(N3245,3)=$W$7,LEFT(O3245,3)=$W$7)),"x","")</f>
        <v/>
      </c>
      <c r="X3245" s="75" t="str">
        <f>IF(OR(TH!N3245=TH!$X$7,O3245=TH!$X$7),"x","")</f>
        <v/>
      </c>
      <c r="Y3245" s="75" t="str">
        <f>IF(AND(OR(N3245="131",O3245="131"),H3245='131-CT'!$H$9),"x","")</f>
        <v/>
      </c>
      <c r="Z3245" s="75"/>
      <c r="AA3245" s="75" t="str">
        <f>IF(AND(MONTH(E3245)='IN-NX'!$J$5,'IN-NX'!$D$7=D3245),"x","")</f>
        <v/>
      </c>
      <c r="AB3245" s="75" t="str">
        <f>IF(AND(OR(LEFT(TH!N3245,2)="15",LEFT(TH!O3245,2)="15"),LEFT(TH!O3245,3)&lt;&gt;"111",'152-CT'!$J$8=TH!F3245),"x","")</f>
        <v/>
      </c>
      <c r="AC3245" s="75" t="str">
        <f>IF(AND(OR(LEFT(TH!N3245,2)="15",LEFT(TH!O3245,2)="15"),TK!$E$7=TH!F3245),"x","")</f>
        <v/>
      </c>
      <c r="AD3245" s="75" t="str">
        <f>IF(AND(N3245="1521",MONTH(C3245)='BK-NL'!$M$11),"x","")</f>
        <v/>
      </c>
    </row>
    <row r="3246" spans="1:31" s="1264" customFormat="1" ht="16.5" customHeight="1">
      <c r="A3246" s="309" t="str">
        <f>IF(B3246&lt;&gt;"",IF(AND(B3246='IN-TC'!$S$4,OR(TH!N3246="1111",TH!O3246="1111")),TH!D3246,""),"")</f>
        <v/>
      </c>
      <c r="B3246" s="1282">
        <f t="shared" si="1192"/>
        <v>11</v>
      </c>
      <c r="C3246" s="929">
        <v>43047</v>
      </c>
      <c r="D3246" s="929" t="s">
        <v>530</v>
      </c>
      <c r="E3246" s="929">
        <f t="shared" si="1193"/>
        <v>43047</v>
      </c>
      <c r="F3246" s="930" t="s">
        <v>1010</v>
      </c>
      <c r="G3246" s="930" t="s">
        <v>747</v>
      </c>
      <c r="H3246" s="735" t="s">
        <v>759</v>
      </c>
      <c r="I3246" s="1213"/>
      <c r="J3246" s="378"/>
      <c r="K3246" s="1213"/>
      <c r="L3246" s="1214"/>
      <c r="M3246" s="933">
        <v>9682491</v>
      </c>
      <c r="N3246" s="934" t="s">
        <v>536</v>
      </c>
      <c r="O3246" s="934" t="s">
        <v>43</v>
      </c>
      <c r="P3246" s="75" t="str">
        <f>IF(AND('331-CT'!$E$7=TH!H3246,OR(N3246="331",O3246="331")),"x","")</f>
        <v/>
      </c>
      <c r="Q3246" s="75" t="str">
        <f>IF(AND(B3246='111'!$L$11,OR($N3246=$Q$7,$O3246=$Q$7)),"x","")</f>
        <v/>
      </c>
      <c r="R3246" s="75" t="str">
        <f>IF(AND($N3246=$Q$7,$B3246&lt;'111'!$L$11),"x","")</f>
        <v/>
      </c>
      <c r="S3246" s="75" t="str">
        <f>IF(AND($O3246=$Q$7,$B3246&lt;'111'!$L$11),"x","")</f>
        <v/>
      </c>
      <c r="T3246" s="75" t="str">
        <f>IF(ISERROR(FIND('112'!$M$9,G3246,1)),"",IF((AND(FIND('112'!$M$9,G3246,1)&gt;=1,B3246='112'!$K$9,OR($N3246='112'!$I$6,$O3246='112'!$I$6))),"x",""))</f>
        <v/>
      </c>
      <c r="U3246" s="75" t="str">
        <f>IF(ISERROR(FIND('112'!$M$9,G3246,1)),"",IF((AND(LEFT(G3246,2)=LEFT('112'!$M$9,2),B3246&lt;'112'!$K$9,$N3246='112'!$I$6)),"x",""))</f>
        <v/>
      </c>
      <c r="V3246" s="75" t="str">
        <f>IF(ISERROR(FIND('112'!$M$9,G3246,1)),"",IF((AND(RIGHT(G3246,2)=RIGHT('112'!$M$9,2),B3246&lt;'112'!$K$9,$O3246='112'!$I$6)),"x",""))</f>
        <v/>
      </c>
      <c r="W3246" s="75" t="str">
        <f>IF(AND('341-CT'!$H$9=H3246,OR(LEFT(N3246,3)=$W$7,LEFT(O3246,3)=$W$7)),"x","")</f>
        <v/>
      </c>
      <c r="X3246" s="75" t="str">
        <f>IF(OR(TH!N3246=TH!$X$7,O3246=TH!$X$7),"x","")</f>
        <v/>
      </c>
      <c r="Y3246" s="75" t="str">
        <f>IF(AND(OR(N3246="131",O3246="131"),H3246='131-CT'!$H$9),"x","")</f>
        <v/>
      </c>
      <c r="Z3246" s="75"/>
      <c r="AA3246" s="75" t="str">
        <f>IF(AND(MONTH(E3246)='IN-NX'!$J$5,'IN-NX'!$D$7=D3246),"x","")</f>
        <v/>
      </c>
      <c r="AB3246" s="75" t="str">
        <f>IF(AND(OR(LEFT(TH!N3246,2)="15",LEFT(TH!O3246,2)="15"),LEFT(TH!O3246,3)&lt;&gt;"111",'152-CT'!$J$8=TH!F3246),"x","")</f>
        <v/>
      </c>
      <c r="AC3246" s="75" t="str">
        <f>IF(AND(OR(LEFT(TH!N3246,2)="15",LEFT(TH!O3246,2)="15"),TK!$E$7=TH!F3246),"x","")</f>
        <v/>
      </c>
      <c r="AD3246" s="75" t="str">
        <f>IF(AND(N3246="1521",MONTH(C3246)='BK-NL'!$M$11),"x","")</f>
        <v/>
      </c>
    </row>
    <row r="3247" spans="1:31" s="1264" customFormat="1" ht="16.5" customHeight="1">
      <c r="A3247" s="309" t="str">
        <f>IF(B3247&lt;&gt;"",IF(AND(B3247='IN-TC'!$S$4,OR(TH!N3247="1111",TH!O3247="1111")),TH!D3247,""),"")</f>
        <v/>
      </c>
      <c r="B3247" s="1282">
        <f t="shared" ref="B3247:B3255" si="1194">IF(C3247&lt;&gt;"",MONTH(C3247),"")</f>
        <v>11</v>
      </c>
      <c r="C3247" s="929">
        <v>43047</v>
      </c>
      <c r="D3247" s="929" t="s">
        <v>902</v>
      </c>
      <c r="E3247" s="929">
        <f t="shared" si="1183"/>
        <v>43047</v>
      </c>
      <c r="F3247" s="930" t="s">
        <v>2480</v>
      </c>
      <c r="G3247" s="930" t="s">
        <v>2579</v>
      </c>
      <c r="H3247" s="735" t="s">
        <v>835</v>
      </c>
      <c r="I3247" s="1213"/>
      <c r="J3247" s="378"/>
      <c r="K3247" s="1213">
        <v>519000</v>
      </c>
      <c r="L3247" s="1214">
        <v>22710</v>
      </c>
      <c r="M3247" s="1214">
        <f t="shared" ref="M3247" si="1195">ROUND(K3247*L3247,0)</f>
        <v>11786490000</v>
      </c>
      <c r="N3247" s="934" t="s">
        <v>256</v>
      </c>
      <c r="O3247" s="934" t="s">
        <v>256</v>
      </c>
      <c r="P3247" s="75" t="str">
        <f>IF(AND('331-CT'!$E$7=TH!H3247,OR(N3247="331",O3247="331")),"x","")</f>
        <v/>
      </c>
      <c r="Q3247" s="75" t="str">
        <f>IF(AND(B3247='111'!$L$11,OR($N3247=$Q$7,$O3247=$Q$7)),"x","")</f>
        <v/>
      </c>
      <c r="R3247" s="75" t="str">
        <f>IF(AND($N3247=$Q$7,$B3247&lt;'111'!$L$11),"x","")</f>
        <v/>
      </c>
      <c r="S3247" s="75" t="str">
        <f>IF(AND($O3247=$Q$7,$B3247&lt;'111'!$L$11),"x","")</f>
        <v/>
      </c>
      <c r="T3247" s="75" t="str">
        <f>IF(ISERROR(FIND('112'!$M$9,G3247,1)),"",IF((AND(FIND('112'!$M$9,G3247,1)&gt;=1,B3247='112'!$K$9,OR($N3247='112'!$I$6,$O3247='112'!$I$6))),"x",""))</f>
        <v/>
      </c>
      <c r="U3247" s="75" t="str">
        <f>IF(ISERROR(FIND('112'!$M$9,G3247,1)),"",IF((AND(LEFT(G3247,2)=LEFT('112'!$M$9,2),B3247&lt;'112'!$K$9,$N3247='112'!$I$6)),"x",""))</f>
        <v/>
      </c>
      <c r="V3247" s="75" t="str">
        <f>IF(ISERROR(FIND('112'!$M$9,G3247,1)),"",IF((AND(RIGHT(G3247,2)=RIGHT('112'!$M$9,2),B3247&lt;'112'!$K$9,$O3247='112'!$I$6)),"x",""))</f>
        <v/>
      </c>
      <c r="W3247" s="75" t="str">
        <f>IF(AND('341-CT'!$H$9=H3247,OR(LEFT(N3247,3)=$W$7,LEFT(O3247,3)=$W$7)),"x","")</f>
        <v/>
      </c>
      <c r="X3247" s="75" t="str">
        <f>IF(OR(TH!N3247=TH!$X$7,O3247=TH!$X$7),"x","")</f>
        <v/>
      </c>
      <c r="Y3247" s="75" t="str">
        <f>IF(AND(OR(N3247="131",O3247="131"),H3247='131-CT'!$H$9),"x","")</f>
        <v/>
      </c>
      <c r="Z3247" s="75"/>
      <c r="AA3247" s="75" t="str">
        <f>IF(AND(MONTH(E3247)='IN-NX'!$J$5,'IN-NX'!$D$7=D3247),"x","")</f>
        <v/>
      </c>
      <c r="AB3247" s="75" t="str">
        <f>IF(AND(OR(LEFT(TH!N3247,2)="15",LEFT(TH!O3247,2)="15"),LEFT(TH!O3247,3)&lt;&gt;"111",'152-CT'!$J$8=TH!F3247),"x","")</f>
        <v/>
      </c>
      <c r="AC3247" s="75" t="str">
        <f>IF(AND(OR(LEFT(TH!N3247,2)="15",LEFT(TH!O3247,2)="15"),TK!$E$7=TH!F3247),"x","")</f>
        <v/>
      </c>
      <c r="AD3247" s="75" t="str">
        <f>IF(AND(N3247="1521",MONTH(C3247)='BK-NL'!$M$11),"x","")</f>
        <v/>
      </c>
    </row>
    <row r="3248" spans="1:31" s="1264" customFormat="1" ht="16.5" customHeight="1">
      <c r="A3248" s="309" t="str">
        <f>IF(B3248&lt;&gt;"",IF(AND(B3248='IN-TC'!$S$4,OR(TH!N3248="1111",TH!O3248="1111")),TH!D3248,""),"")</f>
        <v/>
      </c>
      <c r="B3248" s="1282">
        <f t="shared" si="1194"/>
        <v>11</v>
      </c>
      <c r="C3248" s="929">
        <v>43047</v>
      </c>
      <c r="D3248" s="929" t="s">
        <v>902</v>
      </c>
      <c r="E3248" s="929">
        <f t="shared" ref="E3248:E3249" si="1196">C3248</f>
        <v>43047</v>
      </c>
      <c r="F3248" s="930" t="s">
        <v>2481</v>
      </c>
      <c r="G3248" s="930" t="s">
        <v>747</v>
      </c>
      <c r="H3248" s="735" t="s">
        <v>835</v>
      </c>
      <c r="I3248" s="1213"/>
      <c r="J3248" s="378"/>
      <c r="K3248" s="1213">
        <v>3</v>
      </c>
      <c r="L3248" s="1214">
        <v>22710</v>
      </c>
      <c r="M3248" s="74">
        <f t="shared" ref="M3248:M3253" si="1197">ROUND(K3248*L3248,0)</f>
        <v>68130</v>
      </c>
      <c r="N3248" s="934" t="s">
        <v>101</v>
      </c>
      <c r="O3248" s="934" t="s">
        <v>256</v>
      </c>
      <c r="P3248" s="75" t="str">
        <f>IF(AND('331-CT'!$E$7=TH!H3248,OR(N3248="331",O3248="331")),"x","")</f>
        <v/>
      </c>
      <c r="Q3248" s="75" t="str">
        <f>IF(AND(B3248='111'!$L$11,OR($N3248=$Q$7,$O3248=$Q$7)),"x","")</f>
        <v/>
      </c>
      <c r="R3248" s="75" t="str">
        <f>IF(AND($N3248=$Q$7,$B3248&lt;'111'!$L$11),"x","")</f>
        <v/>
      </c>
      <c r="S3248" s="75" t="str">
        <f>IF(AND($O3248=$Q$7,$B3248&lt;'111'!$L$11),"x","")</f>
        <v/>
      </c>
      <c r="T3248" s="75" t="str">
        <f>IF(ISERROR(FIND('112'!$M$9,G3248,1)),"",IF((AND(FIND('112'!$M$9,G3248,1)&gt;=1,B3248='112'!$K$9,OR($N3248='112'!$I$6,$O3248='112'!$I$6))),"x",""))</f>
        <v/>
      </c>
      <c r="U3248" s="75" t="str">
        <f>IF(ISERROR(FIND('112'!$M$9,G3248,1)),"",IF((AND(LEFT(G3248,2)=LEFT('112'!$M$9,2),B3248&lt;'112'!$K$9,$N3248='112'!$I$6)),"x",""))</f>
        <v/>
      </c>
      <c r="V3248" s="75" t="str">
        <f>IF(ISERROR(FIND('112'!$M$9,G3248,1)),"",IF((AND(RIGHT(G3248,2)=RIGHT('112'!$M$9,2),B3248&lt;'112'!$K$9,$O3248='112'!$I$6)),"x",""))</f>
        <v/>
      </c>
      <c r="W3248" s="75" t="str">
        <f>IF(AND('341-CT'!$H$9=H3248,OR(LEFT(N3248,3)=$W$7,LEFT(O3248,3)=$W$7)),"x","")</f>
        <v/>
      </c>
      <c r="X3248" s="75" t="str">
        <f>IF(OR(TH!N3248=TH!$X$7,O3248=TH!$X$7),"x","")</f>
        <v/>
      </c>
      <c r="Y3248" s="75" t="str">
        <f>IF(AND(OR(N3248="131",O3248="131"),H3248='131-CT'!$H$9),"x","")</f>
        <v/>
      </c>
      <c r="Z3248" s="75"/>
      <c r="AA3248" s="75" t="str">
        <f>IF(AND(MONTH(E3248)='IN-NX'!$J$5,'IN-NX'!$D$7=D3248),"x","")</f>
        <v/>
      </c>
      <c r="AB3248" s="75" t="str">
        <f>IF(AND(OR(LEFT(TH!N3248,2)="15",LEFT(TH!O3248,2)="15"),LEFT(TH!O3248,3)&lt;&gt;"111",'152-CT'!$J$8=TH!F3248),"x","")</f>
        <v/>
      </c>
      <c r="AC3248" s="75" t="str">
        <f>IF(AND(OR(LEFT(TH!N3248,2)="15",LEFT(TH!O3248,2)="15"),TK!$E$7=TH!F3248),"x","")</f>
        <v/>
      </c>
      <c r="AD3248" s="75" t="str">
        <f>IF(AND(N3248="1521",MONTH(C3248)='BK-NL'!$M$11),"x","")</f>
        <v/>
      </c>
      <c r="AE3248" s="1264">
        <v>11</v>
      </c>
    </row>
    <row r="3249" spans="1:31" s="1264" customFormat="1" ht="16.5" customHeight="1">
      <c r="A3249" s="309" t="str">
        <f>IF(B3249&lt;&gt;"",IF(AND(B3249='IN-TC'!$S$4,OR(TH!N3249="1111",TH!O3249="1111")),TH!D3249,""),"")</f>
        <v/>
      </c>
      <c r="B3249" s="1282">
        <f t="shared" si="1194"/>
        <v>11</v>
      </c>
      <c r="C3249" s="929">
        <v>43047</v>
      </c>
      <c r="D3249" s="929" t="s">
        <v>902</v>
      </c>
      <c r="E3249" s="929">
        <f t="shared" si="1196"/>
        <v>43047</v>
      </c>
      <c r="F3249" s="930" t="s">
        <v>2482</v>
      </c>
      <c r="G3249" s="930" t="s">
        <v>747</v>
      </c>
      <c r="H3249" s="735" t="s">
        <v>835</v>
      </c>
      <c r="I3249" s="1213"/>
      <c r="J3249" s="378"/>
      <c r="K3249" s="1213">
        <v>0.3</v>
      </c>
      <c r="L3249" s="1214">
        <v>22710</v>
      </c>
      <c r="M3249" s="74">
        <f t="shared" si="1197"/>
        <v>6813</v>
      </c>
      <c r="N3249" s="934" t="s">
        <v>9</v>
      </c>
      <c r="O3249" s="934" t="s">
        <v>256</v>
      </c>
      <c r="P3249" s="75" t="str">
        <f>IF(AND('331-CT'!$E$7=TH!H3249,OR(N3249="331",O3249="331")),"x","")</f>
        <v/>
      </c>
      <c r="Q3249" s="75" t="str">
        <f>IF(AND(B3249='111'!$L$11,OR($N3249=$Q$7,$O3249=$Q$7)),"x","")</f>
        <v/>
      </c>
      <c r="R3249" s="75" t="str">
        <f>IF(AND($N3249=$Q$7,$B3249&lt;'111'!$L$11),"x","")</f>
        <v/>
      </c>
      <c r="S3249" s="75" t="str">
        <f>IF(AND($O3249=$Q$7,$B3249&lt;'111'!$L$11),"x","")</f>
        <v/>
      </c>
      <c r="T3249" s="75" t="str">
        <f>IF(ISERROR(FIND('112'!$M$9,G3249,1)),"",IF((AND(FIND('112'!$M$9,G3249,1)&gt;=1,B3249='112'!$K$9,OR($N3249='112'!$I$6,$O3249='112'!$I$6))),"x",""))</f>
        <v/>
      </c>
      <c r="U3249" s="75" t="str">
        <f>IF(ISERROR(FIND('112'!$M$9,G3249,1)),"",IF((AND(LEFT(G3249,2)=LEFT('112'!$M$9,2),B3249&lt;'112'!$K$9,$N3249='112'!$I$6)),"x",""))</f>
        <v/>
      </c>
      <c r="V3249" s="75" t="str">
        <f>IF(ISERROR(FIND('112'!$M$9,G3249,1)),"",IF((AND(RIGHT(G3249,2)=RIGHT('112'!$M$9,2),B3249&lt;'112'!$K$9,$O3249='112'!$I$6)),"x",""))</f>
        <v/>
      </c>
      <c r="W3249" s="75" t="str">
        <f>IF(AND('341-CT'!$H$9=H3249,OR(LEFT(N3249,3)=$W$7,LEFT(O3249,3)=$W$7)),"x","")</f>
        <v/>
      </c>
      <c r="X3249" s="75" t="str">
        <f>IF(OR(TH!N3249=TH!$X$7,O3249=TH!$X$7),"x","")</f>
        <v/>
      </c>
      <c r="Y3249" s="75" t="str">
        <f>IF(AND(OR(N3249="131",O3249="131"),H3249='131-CT'!$H$9),"x","")</f>
        <v/>
      </c>
      <c r="Z3249" s="75"/>
      <c r="AA3249" s="75" t="str">
        <f>IF(AND(MONTH(E3249)='IN-NX'!$J$5,'IN-NX'!$D$7=D3249),"x","")</f>
        <v/>
      </c>
      <c r="AB3249" s="75" t="str">
        <f>IF(AND(OR(LEFT(TH!N3249,2)="15",LEFT(TH!O3249,2)="15"),LEFT(TH!O3249,3)&lt;&gt;"111",'152-CT'!$J$8=TH!F3249),"x","")</f>
        <v/>
      </c>
      <c r="AC3249" s="75" t="str">
        <f>IF(AND(OR(LEFT(TH!N3249,2)="15",LEFT(TH!O3249,2)="15"),TK!$E$7=TH!F3249),"x","")</f>
        <v/>
      </c>
      <c r="AD3249" s="75" t="str">
        <f>IF(AND(N3249="1521",MONTH(C3249)='BK-NL'!$M$11),"x","")</f>
        <v/>
      </c>
      <c r="AE3249" s="1264">
        <v>11</v>
      </c>
    </row>
    <row r="3250" spans="1:31" s="1264" customFormat="1" ht="16.5" customHeight="1">
      <c r="A3250" s="309" t="str">
        <f>IF(B3250&lt;&gt;"",IF(AND(B3250='IN-TC'!$S$4,OR(TH!N3250="1111",TH!O3250="1111")),TH!D3250,""),"")</f>
        <v/>
      </c>
      <c r="B3250" s="1282">
        <f t="shared" si="1194"/>
        <v>11</v>
      </c>
      <c r="C3250" s="929">
        <v>43051</v>
      </c>
      <c r="D3250" s="929" t="s">
        <v>902</v>
      </c>
      <c r="E3250" s="929">
        <f>C3250</f>
        <v>43051</v>
      </c>
      <c r="F3250" s="72" t="s">
        <v>1321</v>
      </c>
      <c r="G3250" s="930" t="s">
        <v>747</v>
      </c>
      <c r="H3250" s="296" t="s">
        <v>1560</v>
      </c>
      <c r="I3250" s="1213"/>
      <c r="J3250" s="378"/>
      <c r="K3250" s="1213">
        <v>215.78</v>
      </c>
      <c r="L3250" s="1214">
        <v>22710</v>
      </c>
      <c r="M3250" s="74">
        <f t="shared" si="1197"/>
        <v>4900364</v>
      </c>
      <c r="N3250" s="934" t="s">
        <v>250</v>
      </c>
      <c r="O3250" s="934" t="s">
        <v>256</v>
      </c>
      <c r="P3250" s="75" t="str">
        <f>IF(AND('331-CT'!$E$7=TH!H3250,OR(N3250="331",O3250="331")),"x","")</f>
        <v/>
      </c>
      <c r="Q3250" s="75" t="str">
        <f>IF(AND(B3250='111'!$L$11,OR($N3250=$Q$7,$O3250=$Q$7)),"x","")</f>
        <v/>
      </c>
      <c r="R3250" s="75" t="str">
        <f>IF(AND($N3250=$Q$7,$B3250&lt;'111'!$L$11),"x","")</f>
        <v/>
      </c>
      <c r="S3250" s="75" t="str">
        <f>IF(AND($O3250=$Q$7,$B3250&lt;'111'!$L$11),"x","")</f>
        <v/>
      </c>
      <c r="T3250" s="75" t="str">
        <f>IF(ISERROR(FIND('112'!$M$9,G3250,1)),"",IF((AND(FIND('112'!$M$9,G3250,1)&gt;=1,B3250='112'!$K$9,OR($N3250='112'!$I$6,$O3250='112'!$I$6))),"x",""))</f>
        <v/>
      </c>
      <c r="U3250" s="75" t="str">
        <f>IF(ISERROR(FIND('112'!$M$9,G3250,1)),"",IF((AND(LEFT(G3250,2)=LEFT('112'!$M$9,2),B3250&lt;'112'!$K$9,$N3250='112'!$I$6)),"x",""))</f>
        <v/>
      </c>
      <c r="V3250" s="75" t="str">
        <f>IF(ISERROR(FIND('112'!$M$9,G3250,1)),"",IF((AND(RIGHT(G3250,2)=RIGHT('112'!$M$9,2),B3250&lt;'112'!$K$9,$O3250='112'!$I$6)),"x",""))</f>
        <v/>
      </c>
      <c r="W3250" s="75" t="str">
        <f>IF(AND('341-CT'!$H$9=H3250,OR(LEFT(N3250,3)=$W$7,LEFT(O3250,3)=$W$7)),"x","")</f>
        <v/>
      </c>
      <c r="X3250" s="75" t="str">
        <f>IF(OR(TH!N3250=TH!$X$7,O3250=TH!$X$7),"x","")</f>
        <v/>
      </c>
      <c r="Y3250" s="75" t="str">
        <f>IF(AND(OR(N3250="131",O3250="131"),H3250='131-CT'!$H$9),"x","")</f>
        <v/>
      </c>
      <c r="Z3250" s="75"/>
      <c r="AA3250" s="75" t="str">
        <f>IF(AND(MONTH(E3250)='IN-NX'!$J$5,'IN-NX'!$D$7=D3250),"x","")</f>
        <v/>
      </c>
      <c r="AB3250" s="75" t="str">
        <f>IF(AND(OR(LEFT(TH!N3250,2)="15",LEFT(TH!O3250,2)="15"),LEFT(TH!O3250,3)&lt;&gt;"111",'152-CT'!$J$8=TH!F3250),"x","")</f>
        <v/>
      </c>
      <c r="AC3250" s="75" t="str">
        <f>IF(AND(OR(LEFT(TH!N3250,2)="15",LEFT(TH!O3250,2)="15"),TK!$E$7=TH!F3250),"x","")</f>
        <v/>
      </c>
      <c r="AD3250" s="75" t="str">
        <f>IF(AND(N3250="1521",MONTH(C3250)='BK-NL'!$M$11),"x","")</f>
        <v/>
      </c>
    </row>
    <row r="3251" spans="1:31" s="1264" customFormat="1" ht="16.5" customHeight="1">
      <c r="A3251" s="309" t="str">
        <f>IF(B3251&lt;&gt;"",IF(AND(B3251='IN-TC'!$S$4,OR(TH!N3251="1111",TH!O3251="1111")),TH!D3251,""),"")</f>
        <v/>
      </c>
      <c r="B3251" s="1282">
        <f t="shared" si="1194"/>
        <v>11</v>
      </c>
      <c r="C3251" s="929">
        <v>43052</v>
      </c>
      <c r="D3251" s="929" t="s">
        <v>903</v>
      </c>
      <c r="E3251" s="929">
        <f>C3251</f>
        <v>43052</v>
      </c>
      <c r="F3251" s="930" t="s">
        <v>2555</v>
      </c>
      <c r="G3251" s="72" t="s">
        <v>747</v>
      </c>
      <c r="H3251" s="296" t="s">
        <v>2556</v>
      </c>
      <c r="I3251" s="1213"/>
      <c r="J3251" s="378"/>
      <c r="K3251" s="1213">
        <v>88991.86</v>
      </c>
      <c r="L3251" s="1214">
        <v>22710</v>
      </c>
      <c r="M3251" s="1214">
        <f t="shared" si="1197"/>
        <v>2021005141</v>
      </c>
      <c r="N3251" s="934" t="s">
        <v>256</v>
      </c>
      <c r="O3251" s="934" t="s">
        <v>250</v>
      </c>
      <c r="P3251" s="75" t="str">
        <f>IF(AND('331-CT'!$E$7=TH!H3251,OR(N3251="331",O3251="331")),"x","")</f>
        <v/>
      </c>
      <c r="Q3251" s="75" t="str">
        <f>IF(AND(B3251='111'!$L$11,OR($N3251=$Q$7,$O3251=$Q$7)),"x","")</f>
        <v/>
      </c>
      <c r="R3251" s="75" t="str">
        <f>IF(AND($N3251=$Q$7,$B3251&lt;'111'!$L$11),"x","")</f>
        <v/>
      </c>
      <c r="S3251" s="75" t="str">
        <f>IF(AND($O3251=$Q$7,$B3251&lt;'111'!$L$11),"x","")</f>
        <v/>
      </c>
      <c r="T3251" s="75" t="str">
        <f>IF(ISERROR(FIND('112'!$M$9,G3251,1)),"",IF((AND(FIND('112'!$M$9,G3251,1)&gt;=1,B3251='112'!$K$9,OR($N3251='112'!$I$6,$O3251='112'!$I$6))),"x",""))</f>
        <v/>
      </c>
      <c r="U3251" s="75" t="str">
        <f>IF(ISERROR(FIND('112'!$M$9,G3251,1)),"",IF((AND(LEFT(G3251,2)=LEFT('112'!$M$9,2),B3251&lt;'112'!$K$9,$N3251='112'!$I$6)),"x",""))</f>
        <v/>
      </c>
      <c r="V3251" s="75" t="str">
        <f>IF(ISERROR(FIND('112'!$M$9,G3251,1)),"",IF((AND(RIGHT(G3251,2)=RIGHT('112'!$M$9,2),B3251&lt;'112'!$K$9,$O3251='112'!$I$6)),"x",""))</f>
        <v/>
      </c>
      <c r="W3251" s="75" t="str">
        <f>IF(AND('341-CT'!$H$9=H3251,OR(LEFT(N3251,3)=$W$7,LEFT(O3251,3)=$W$7)),"x","")</f>
        <v/>
      </c>
      <c r="X3251" s="75" t="str">
        <f>IF(OR(TH!N3251=TH!$X$7,O3251=TH!$X$7),"x","")</f>
        <v/>
      </c>
      <c r="Y3251" s="75" t="str">
        <f>IF(AND(OR(N3251="131",O3251="131"),H3251='131-CT'!$H$9),"x","")</f>
        <v/>
      </c>
      <c r="Z3251" s="75"/>
      <c r="AA3251" s="75" t="str">
        <f>IF(AND(MONTH(E3251)='IN-NX'!$J$5,'IN-NX'!$D$7=D3251),"x","")</f>
        <v/>
      </c>
      <c r="AB3251" s="75" t="str">
        <f>IF(AND(OR(LEFT(TH!N3251,2)="15",LEFT(TH!O3251,2)="15"),LEFT(TH!O3251,3)&lt;&gt;"111",'152-CT'!$J$8=TH!F3251),"x","")</f>
        <v/>
      </c>
      <c r="AC3251" s="75" t="str">
        <f>IF(AND(OR(LEFT(TH!N3251,2)="15",LEFT(TH!O3251,2)="15"),TK!$E$7=TH!F3251),"x","")</f>
        <v/>
      </c>
      <c r="AD3251" s="75" t="str">
        <f>IF(AND(N3251="1521",MONTH(C3251)='BK-NL'!$M$11),"x","")</f>
        <v/>
      </c>
    </row>
    <row r="3252" spans="1:31" s="1264" customFormat="1" ht="16.5" customHeight="1">
      <c r="A3252" s="309" t="str">
        <f>IF(B3252&lt;&gt;"",IF(AND(B3252='IN-TC'!$S$4,OR(TH!N3252="1111",TH!O3252="1111")),TH!D3252,""),"")</f>
        <v/>
      </c>
      <c r="B3252" s="1282">
        <f t="shared" si="1194"/>
        <v>11</v>
      </c>
      <c r="C3252" s="929">
        <v>43052</v>
      </c>
      <c r="D3252" s="929" t="s">
        <v>902</v>
      </c>
      <c r="E3252" s="929">
        <f t="shared" ref="E3252:E3254" si="1198">C3252</f>
        <v>43052</v>
      </c>
      <c r="F3252" s="930" t="s">
        <v>1096</v>
      </c>
      <c r="G3252" s="930" t="s">
        <v>747</v>
      </c>
      <c r="H3252" s="296" t="s">
        <v>1560</v>
      </c>
      <c r="I3252" s="1213"/>
      <c r="J3252" s="378"/>
      <c r="K3252" s="1213">
        <v>9.86</v>
      </c>
      <c r="L3252" s="1214">
        <v>22710</v>
      </c>
      <c r="M3252" s="74">
        <f t="shared" si="1197"/>
        <v>223921</v>
      </c>
      <c r="N3252" s="934" t="s">
        <v>99</v>
      </c>
      <c r="O3252" s="934" t="s">
        <v>256</v>
      </c>
      <c r="P3252" s="75" t="str">
        <f>IF(AND('331-CT'!$E$7=TH!H3252,OR(N3252="331",O3252="331")),"x","")</f>
        <v/>
      </c>
      <c r="Q3252" s="75" t="str">
        <f>IF(AND(B3252='111'!$L$11,OR($N3252=$Q$7,$O3252=$Q$7)),"x","")</f>
        <v/>
      </c>
      <c r="R3252" s="75" t="str">
        <f>IF(AND($N3252=$Q$7,$B3252&lt;'111'!$L$11),"x","")</f>
        <v/>
      </c>
      <c r="S3252" s="75" t="str">
        <f>IF(AND($O3252=$Q$7,$B3252&lt;'111'!$L$11),"x","")</f>
        <v/>
      </c>
      <c r="T3252" s="75" t="str">
        <f>IF(ISERROR(FIND('112'!$M$9,G3252,1)),"",IF((AND(FIND('112'!$M$9,G3252,1)&gt;=1,B3252='112'!$K$9,OR($N3252='112'!$I$6,$O3252='112'!$I$6))),"x",""))</f>
        <v/>
      </c>
      <c r="U3252" s="75" t="str">
        <f>IF(ISERROR(FIND('112'!$M$9,G3252,1)),"",IF((AND(LEFT(G3252,2)=LEFT('112'!$M$9,2),B3252&lt;'112'!$K$9,$N3252='112'!$I$6)),"x",""))</f>
        <v/>
      </c>
      <c r="V3252" s="75" t="str">
        <f>IF(ISERROR(FIND('112'!$M$9,G3252,1)),"",IF((AND(RIGHT(G3252,2)=RIGHT('112'!$M$9,2),B3252&lt;'112'!$K$9,$O3252='112'!$I$6)),"x",""))</f>
        <v/>
      </c>
      <c r="W3252" s="75" t="str">
        <f>IF(AND('341-CT'!$H$9=H3252,OR(LEFT(N3252,3)=$W$7,LEFT(O3252,3)=$W$7)),"x","")</f>
        <v/>
      </c>
      <c r="X3252" s="75" t="str">
        <f>IF(OR(TH!N3252=TH!$X$7,O3252=TH!$X$7),"x","")</f>
        <v/>
      </c>
      <c r="Y3252" s="75" t="str">
        <f>IF(AND(OR(N3252="131",O3252="131"),H3252='131-CT'!$H$9),"x","")</f>
        <v/>
      </c>
      <c r="Z3252" s="75"/>
      <c r="AA3252" s="75" t="str">
        <f>IF(AND(MONTH(E3252)='IN-NX'!$J$5,'IN-NX'!$D$7=D3252),"x","")</f>
        <v/>
      </c>
      <c r="AB3252" s="75" t="str">
        <f>IF(AND(OR(LEFT(TH!N3252,2)="15",LEFT(TH!O3252,2)="15"),LEFT(TH!O3252,3)&lt;&gt;"111",'152-CT'!$J$8=TH!F3252),"x","")</f>
        <v/>
      </c>
      <c r="AC3252" s="75" t="str">
        <f>IF(AND(OR(LEFT(TH!N3252,2)="15",LEFT(TH!O3252,2)="15"),TK!$E$7=TH!F3252),"x","")</f>
        <v/>
      </c>
      <c r="AD3252" s="75" t="str">
        <f>IF(AND(N3252="1521",MONTH(C3252)='BK-NL'!$M$11),"x","")</f>
        <v/>
      </c>
    </row>
    <row r="3253" spans="1:31" s="1264" customFormat="1" ht="16.5" customHeight="1">
      <c r="A3253" s="309" t="str">
        <f>IF(B3253&lt;&gt;"",IF(AND(B3253='IN-TC'!$S$4,OR(TH!N3253="1111",TH!O3253="1111")),TH!D3253,""),"")</f>
        <v/>
      </c>
      <c r="B3253" s="1282">
        <f t="shared" si="1194"/>
        <v>11</v>
      </c>
      <c r="C3253" s="929">
        <v>43052</v>
      </c>
      <c r="D3253" s="929" t="s">
        <v>902</v>
      </c>
      <c r="E3253" s="929">
        <f t="shared" si="1198"/>
        <v>43052</v>
      </c>
      <c r="F3253" s="930" t="s">
        <v>1096</v>
      </c>
      <c r="G3253" s="930" t="s">
        <v>747</v>
      </c>
      <c r="H3253" s="296" t="s">
        <v>1560</v>
      </c>
      <c r="I3253" s="1213"/>
      <c r="J3253" s="378"/>
      <c r="K3253" s="1213">
        <v>197.78</v>
      </c>
      <c r="L3253" s="1214">
        <v>22710</v>
      </c>
      <c r="M3253" s="74">
        <f t="shared" si="1197"/>
        <v>4491584</v>
      </c>
      <c r="N3253" s="934" t="s">
        <v>99</v>
      </c>
      <c r="O3253" s="934" t="s">
        <v>256</v>
      </c>
      <c r="P3253" s="75" t="str">
        <f>IF(AND('331-CT'!$E$7=TH!H3253,OR(N3253="331",O3253="331")),"x","")</f>
        <v/>
      </c>
      <c r="Q3253" s="75" t="str">
        <f>IF(AND(B3253='111'!$L$11,OR($N3253=$Q$7,$O3253=$Q$7)),"x","")</f>
        <v/>
      </c>
      <c r="R3253" s="75" t="str">
        <f>IF(AND($N3253=$Q$7,$B3253&lt;'111'!$L$11),"x","")</f>
        <v/>
      </c>
      <c r="S3253" s="75" t="str">
        <f>IF(AND($O3253=$Q$7,$B3253&lt;'111'!$L$11),"x","")</f>
        <v/>
      </c>
      <c r="T3253" s="75" t="str">
        <f>IF(ISERROR(FIND('112'!$M$9,G3253,1)),"",IF((AND(FIND('112'!$M$9,G3253,1)&gt;=1,B3253='112'!$K$9,OR($N3253='112'!$I$6,$O3253='112'!$I$6))),"x",""))</f>
        <v/>
      </c>
      <c r="U3253" s="75" t="str">
        <f>IF(ISERROR(FIND('112'!$M$9,G3253,1)),"",IF((AND(LEFT(G3253,2)=LEFT('112'!$M$9,2),B3253&lt;'112'!$K$9,$N3253='112'!$I$6)),"x",""))</f>
        <v/>
      </c>
      <c r="V3253" s="75" t="str">
        <f>IF(ISERROR(FIND('112'!$M$9,G3253,1)),"",IF((AND(RIGHT(G3253,2)=RIGHT('112'!$M$9,2),B3253&lt;'112'!$K$9,$O3253='112'!$I$6)),"x",""))</f>
        <v/>
      </c>
      <c r="W3253" s="75" t="str">
        <f>IF(AND('341-CT'!$H$9=H3253,OR(LEFT(N3253,3)=$W$7,LEFT(O3253,3)=$W$7)),"x","")</f>
        <v/>
      </c>
      <c r="X3253" s="75" t="str">
        <f>IF(OR(TH!N3253=TH!$X$7,O3253=TH!$X$7),"x","")</f>
        <v/>
      </c>
      <c r="Y3253" s="75" t="str">
        <f>IF(AND(OR(N3253="131",O3253="131"),H3253='131-CT'!$H$9),"x","")</f>
        <v/>
      </c>
      <c r="Z3253" s="75"/>
      <c r="AA3253" s="75" t="str">
        <f>IF(AND(MONTH(E3253)='IN-NX'!$J$5,'IN-NX'!$D$7=D3253),"x","")</f>
        <v/>
      </c>
      <c r="AB3253" s="75" t="str">
        <f>IF(AND(OR(LEFT(TH!N3253,2)="15",LEFT(TH!O3253,2)="15"),LEFT(TH!O3253,3)&lt;&gt;"111",'152-CT'!$J$8=TH!F3253),"x","")</f>
        <v/>
      </c>
      <c r="AC3253" s="75" t="str">
        <f>IF(AND(OR(LEFT(TH!N3253,2)="15",LEFT(TH!O3253,2)="15"),TK!$E$7=TH!F3253),"x","")</f>
        <v/>
      </c>
      <c r="AD3253" s="75" t="str">
        <f>IF(AND(N3253="1521",MONTH(C3253)='BK-NL'!$M$11),"x","")</f>
        <v/>
      </c>
    </row>
    <row r="3254" spans="1:31" s="1264" customFormat="1" ht="16.5" customHeight="1">
      <c r="A3254" s="309" t="str">
        <f>IF(B3254&lt;&gt;"",IF(AND(B3254='IN-TC'!$S$4,OR(TH!N3254="1111",TH!O3254="1111")),TH!D3254,""),"")</f>
        <v/>
      </c>
      <c r="B3254" s="1282">
        <f t="shared" si="1194"/>
        <v>11</v>
      </c>
      <c r="C3254" s="929">
        <v>43052</v>
      </c>
      <c r="D3254" s="929" t="s">
        <v>902</v>
      </c>
      <c r="E3254" s="929">
        <f t="shared" si="1198"/>
        <v>43052</v>
      </c>
      <c r="F3254" s="72" t="s">
        <v>1321</v>
      </c>
      <c r="G3254" s="930" t="s">
        <v>747</v>
      </c>
      <c r="H3254" s="296" t="s">
        <v>1560</v>
      </c>
      <c r="I3254" s="1213"/>
      <c r="J3254" s="378"/>
      <c r="K3254" s="1213">
        <v>88784.22</v>
      </c>
      <c r="L3254" s="1214">
        <v>22710</v>
      </c>
      <c r="M3254" s="74">
        <f t="shared" ref="M3254" si="1199">ROUND(K3254*L3254,0)</f>
        <v>2016289636</v>
      </c>
      <c r="N3254" s="934" t="s">
        <v>250</v>
      </c>
      <c r="O3254" s="934" t="s">
        <v>256</v>
      </c>
      <c r="P3254" s="75" t="str">
        <f>IF(AND('331-CT'!$E$7=TH!H3254,OR(N3254="331",O3254="331")),"x","")</f>
        <v/>
      </c>
      <c r="Q3254" s="75" t="str">
        <f>IF(AND(B3254='111'!$L$11,OR($N3254=$Q$7,$O3254=$Q$7)),"x","")</f>
        <v/>
      </c>
      <c r="R3254" s="75" t="str">
        <f>IF(AND($N3254=$Q$7,$B3254&lt;'111'!$L$11),"x","")</f>
        <v/>
      </c>
      <c r="S3254" s="75" t="str">
        <f>IF(AND($O3254=$Q$7,$B3254&lt;'111'!$L$11),"x","")</f>
        <v/>
      </c>
      <c r="T3254" s="75" t="str">
        <f>IF(ISERROR(FIND('112'!$M$9,G3254,1)),"",IF((AND(FIND('112'!$M$9,G3254,1)&gt;=1,B3254='112'!$K$9,OR($N3254='112'!$I$6,$O3254='112'!$I$6))),"x",""))</f>
        <v/>
      </c>
      <c r="U3254" s="75" t="str">
        <f>IF(ISERROR(FIND('112'!$M$9,G3254,1)),"",IF((AND(LEFT(G3254,2)=LEFT('112'!$M$9,2),B3254&lt;'112'!$K$9,$N3254='112'!$I$6)),"x",""))</f>
        <v/>
      </c>
      <c r="V3254" s="75" t="str">
        <f>IF(ISERROR(FIND('112'!$M$9,G3254,1)),"",IF((AND(RIGHT(G3254,2)=RIGHT('112'!$M$9,2),B3254&lt;'112'!$K$9,$O3254='112'!$I$6)),"x",""))</f>
        <v/>
      </c>
      <c r="W3254" s="75" t="str">
        <f>IF(AND('341-CT'!$H$9=H3254,OR(LEFT(N3254,3)=$W$7,LEFT(O3254,3)=$W$7)),"x","")</f>
        <v/>
      </c>
      <c r="X3254" s="75" t="str">
        <f>IF(OR(TH!N3254=TH!$X$7,O3254=TH!$X$7),"x","")</f>
        <v/>
      </c>
      <c r="Y3254" s="75" t="str">
        <f>IF(AND(OR(N3254="131",O3254="131"),H3254='131-CT'!$H$9),"x","")</f>
        <v/>
      </c>
      <c r="Z3254" s="75"/>
      <c r="AA3254" s="75" t="str">
        <f>IF(AND(MONTH(E3254)='IN-NX'!$J$5,'IN-NX'!$D$7=D3254),"x","")</f>
        <v/>
      </c>
      <c r="AB3254" s="75" t="str">
        <f>IF(AND(OR(LEFT(TH!N3254,2)="15",LEFT(TH!O3254,2)="15"),LEFT(TH!O3254,3)&lt;&gt;"111",'152-CT'!$J$8=TH!F3254),"x","")</f>
        <v/>
      </c>
      <c r="AC3254" s="75" t="str">
        <f>IF(AND(OR(LEFT(TH!N3254,2)="15",LEFT(TH!O3254,2)="15"),TK!$E$7=TH!F3254),"x","")</f>
        <v/>
      </c>
      <c r="AD3254" s="75" t="str">
        <f>IF(AND(N3254="1521",MONTH(C3254)='BK-NL'!$M$11),"x","")</f>
        <v/>
      </c>
    </row>
    <row r="3255" spans="1:31" s="1264" customFormat="1" ht="16.5" customHeight="1">
      <c r="A3255" s="309" t="str">
        <f>IF(B3255&lt;&gt;"",IF(AND(B3255='IN-TC'!$S$4,OR(TH!N3255="1111",TH!O3255="1111")),TH!D3255,""),"")</f>
        <v/>
      </c>
      <c r="B3255" s="1282">
        <f t="shared" si="1194"/>
        <v>11</v>
      </c>
      <c r="C3255" s="929">
        <v>43052</v>
      </c>
      <c r="D3255" s="929" t="s">
        <v>530</v>
      </c>
      <c r="E3255" s="929">
        <f t="shared" ref="E3255:E3261" si="1200">C3255</f>
        <v>43052</v>
      </c>
      <c r="F3255" s="930" t="s">
        <v>1010</v>
      </c>
      <c r="G3255" s="930" t="s">
        <v>747</v>
      </c>
      <c r="H3255" s="296" t="s">
        <v>1560</v>
      </c>
      <c r="I3255" s="1213"/>
      <c r="J3255" s="378"/>
      <c r="K3255" s="1213"/>
      <c r="L3255" s="1214"/>
      <c r="M3255" s="74">
        <v>2937000</v>
      </c>
      <c r="N3255" s="934" t="s">
        <v>99</v>
      </c>
      <c r="O3255" s="934" t="s">
        <v>250</v>
      </c>
      <c r="P3255" s="75" t="str">
        <f>IF(AND('331-CT'!$E$7=TH!H3255,OR(N3255="331",O3255="331")),"x","")</f>
        <v/>
      </c>
      <c r="Q3255" s="75" t="str">
        <f>IF(AND(B3255='111'!$L$11,OR($N3255=$Q$7,$O3255=$Q$7)),"x","")</f>
        <v/>
      </c>
      <c r="R3255" s="75" t="str">
        <f>IF(AND($N3255=$Q$7,$B3255&lt;'111'!$L$11),"x","")</f>
        <v/>
      </c>
      <c r="S3255" s="75" t="str">
        <f>IF(AND($O3255=$Q$7,$B3255&lt;'111'!$L$11),"x","")</f>
        <v/>
      </c>
      <c r="T3255" s="75" t="str">
        <f>IF(ISERROR(FIND('112'!$M$9,G3255,1)),"",IF((AND(FIND('112'!$M$9,G3255,1)&gt;=1,B3255='112'!$K$9,OR($N3255='112'!$I$6,$O3255='112'!$I$6))),"x",""))</f>
        <v/>
      </c>
      <c r="U3255" s="75" t="str">
        <f>IF(ISERROR(FIND('112'!$M$9,G3255,1)),"",IF((AND(LEFT(G3255,2)=LEFT('112'!$M$9,2),B3255&lt;'112'!$K$9,$N3255='112'!$I$6)),"x",""))</f>
        <v/>
      </c>
      <c r="V3255" s="75" t="str">
        <f>IF(ISERROR(FIND('112'!$M$9,G3255,1)),"",IF((AND(RIGHT(G3255,2)=RIGHT('112'!$M$9,2),B3255&lt;'112'!$K$9,$O3255='112'!$I$6)),"x",""))</f>
        <v/>
      </c>
      <c r="W3255" s="75" t="str">
        <f>IF(AND('341-CT'!$H$9=H3255,OR(LEFT(N3255,3)=$W$7,LEFT(O3255,3)=$W$7)),"x","")</f>
        <v/>
      </c>
      <c r="X3255" s="75" t="str">
        <f>IF(OR(TH!N3255=TH!$X$7,O3255=TH!$X$7),"x","")</f>
        <v/>
      </c>
      <c r="Y3255" s="75" t="str">
        <f>IF(AND(OR(N3255="131",O3255="131"),H3255='131-CT'!$H$9),"x","")</f>
        <v/>
      </c>
      <c r="Z3255" s="75"/>
      <c r="AA3255" s="75" t="str">
        <f>IF(AND(MONTH(E3255)='IN-NX'!$J$5,'IN-NX'!$D$7=D3255),"x","")</f>
        <v/>
      </c>
      <c r="AB3255" s="75" t="str">
        <f>IF(AND(OR(LEFT(TH!N3255,2)="15",LEFT(TH!O3255,2)="15"),LEFT(TH!O3255,3)&lt;&gt;"111",'152-CT'!$J$8=TH!F3255),"x","")</f>
        <v/>
      </c>
      <c r="AC3255" s="75" t="str">
        <f>IF(AND(OR(LEFT(TH!N3255,2)="15",LEFT(TH!O3255,2)="15"),TK!$E$7=TH!F3255),"x","")</f>
        <v/>
      </c>
      <c r="AD3255" s="75" t="str">
        <f>IF(AND(N3255="1521",MONTH(C3255)='BK-NL'!$M$11),"x","")</f>
        <v/>
      </c>
    </row>
    <row r="3256" spans="1:31" s="1264" customFormat="1" ht="16.5" customHeight="1">
      <c r="A3256" s="309" t="str">
        <f>IF(B3256&lt;&gt;"",IF(AND(B3256='IN-TC'!$S$4,OR(TH!N3256="1111",TH!O3256="1111")),TH!D3256,""),"")</f>
        <v/>
      </c>
      <c r="B3256" s="1282">
        <f t="shared" ref="B3256:B3261" si="1201">IF(C3256&lt;&gt;"",MONTH(C3256),"")</f>
        <v>11</v>
      </c>
      <c r="C3256" s="929">
        <v>43053</v>
      </c>
      <c r="D3256" s="929" t="s">
        <v>903</v>
      </c>
      <c r="E3256" s="929">
        <f t="shared" si="1200"/>
        <v>43053</v>
      </c>
      <c r="F3256" s="930" t="s">
        <v>1086</v>
      </c>
      <c r="G3256" s="930" t="s">
        <v>747</v>
      </c>
      <c r="H3256" s="735" t="s">
        <v>759</v>
      </c>
      <c r="I3256" s="1213"/>
      <c r="J3256" s="378"/>
      <c r="K3256" s="1213">
        <v>510892.93</v>
      </c>
      <c r="L3256" s="1214">
        <v>22710</v>
      </c>
      <c r="M3256" s="1214">
        <f t="shared" ref="M3256:M3257" si="1202">ROUND(K3256*L3256,0)</f>
        <v>11602378440</v>
      </c>
      <c r="N3256" s="934" t="s">
        <v>256</v>
      </c>
      <c r="O3256" s="934" t="s">
        <v>536</v>
      </c>
      <c r="P3256" s="75" t="str">
        <f>IF(AND('331-CT'!$E$7=TH!H3256,OR(N3256="331",O3256="331")),"x","")</f>
        <v/>
      </c>
      <c r="Q3256" s="75" t="str">
        <f>IF(AND(B3256='111'!$L$11,OR($N3256=$Q$7,$O3256=$Q$7)),"x","")</f>
        <v/>
      </c>
      <c r="R3256" s="75" t="str">
        <f>IF(AND($N3256=$Q$7,$B3256&lt;'111'!$L$11),"x","")</f>
        <v/>
      </c>
      <c r="S3256" s="75" t="str">
        <f>IF(AND($O3256=$Q$7,$B3256&lt;'111'!$L$11),"x","")</f>
        <v/>
      </c>
      <c r="T3256" s="75" t="str">
        <f>IF(ISERROR(FIND('112'!$M$9,G3256,1)),"",IF((AND(FIND('112'!$M$9,G3256,1)&gt;=1,B3256='112'!$K$9,OR($N3256='112'!$I$6,$O3256='112'!$I$6))),"x",""))</f>
        <v/>
      </c>
      <c r="U3256" s="75" t="str">
        <f>IF(ISERROR(FIND('112'!$M$9,G3256,1)),"",IF((AND(LEFT(G3256,2)=LEFT('112'!$M$9,2),B3256&lt;'112'!$K$9,$N3256='112'!$I$6)),"x",""))</f>
        <v/>
      </c>
      <c r="V3256" s="75" t="str">
        <f>IF(ISERROR(FIND('112'!$M$9,G3256,1)),"",IF((AND(RIGHT(G3256,2)=RIGHT('112'!$M$9,2),B3256&lt;'112'!$K$9,$O3256='112'!$I$6)),"x",""))</f>
        <v/>
      </c>
      <c r="W3256" s="75" t="str">
        <f>IF(AND('341-CT'!$H$9=H3256,OR(LEFT(N3256,3)=$W$7,LEFT(O3256,3)=$W$7)),"x","")</f>
        <v/>
      </c>
      <c r="X3256" s="75" t="str">
        <f>IF(OR(TH!N3256=TH!$X$7,O3256=TH!$X$7),"x","")</f>
        <v/>
      </c>
      <c r="Y3256" s="75" t="str">
        <f>IF(AND(OR(N3256="131",O3256="131"),H3256='131-CT'!$H$9),"x","")</f>
        <v/>
      </c>
      <c r="Z3256" s="75"/>
      <c r="AA3256" s="75" t="str">
        <f>IF(AND(MONTH(E3256)='IN-NX'!$J$5,'IN-NX'!$D$7=D3256),"x","")</f>
        <v/>
      </c>
      <c r="AB3256" s="75" t="str">
        <f>IF(AND(OR(LEFT(TH!N3256,2)="15",LEFT(TH!O3256,2)="15"),LEFT(TH!O3256,3)&lt;&gt;"111",'152-CT'!$J$8=TH!F3256),"x","")</f>
        <v/>
      </c>
      <c r="AC3256" s="75" t="str">
        <f>IF(AND(OR(LEFT(TH!N3256,2)="15",LEFT(TH!O3256,2)="15"),TK!$E$7=TH!F3256),"x","")</f>
        <v/>
      </c>
      <c r="AD3256" s="75" t="str">
        <f>IF(AND(N3256="1521",MONTH(C3256)='BK-NL'!$M$11),"x","")</f>
        <v/>
      </c>
    </row>
    <row r="3257" spans="1:31" s="1264" customFormat="1" ht="16.5" customHeight="1">
      <c r="A3257" s="309" t="str">
        <f>IF(B3257&lt;&gt;"",IF(AND(B3257='IN-TC'!$S$4,OR(TH!N3257="1111",TH!O3257="1111")),TH!D3257,""),"")</f>
        <v/>
      </c>
      <c r="B3257" s="1282">
        <f t="shared" ref="B3257:B3258" si="1203">IF(C3257&lt;&gt;"",MONTH(C3257),"")</f>
        <v>11</v>
      </c>
      <c r="C3257" s="929">
        <v>43053</v>
      </c>
      <c r="D3257" s="929" t="s">
        <v>530</v>
      </c>
      <c r="E3257" s="929">
        <f t="shared" ref="E3257:E3258" si="1204">C3257</f>
        <v>43053</v>
      </c>
      <c r="F3257" s="930" t="s">
        <v>1027</v>
      </c>
      <c r="G3257" s="930" t="s">
        <v>747</v>
      </c>
      <c r="H3257" s="735" t="s">
        <v>759</v>
      </c>
      <c r="I3257" s="1213"/>
      <c r="J3257" s="378"/>
      <c r="K3257" s="1213">
        <v>17.47</v>
      </c>
      <c r="L3257" s="1214">
        <v>22710</v>
      </c>
      <c r="M3257" s="1214">
        <f t="shared" si="1202"/>
        <v>396744</v>
      </c>
      <c r="N3257" s="934" t="s">
        <v>101</v>
      </c>
      <c r="O3257" s="934" t="s">
        <v>536</v>
      </c>
      <c r="P3257" s="75" t="str">
        <f>IF(AND('331-CT'!$E$7=TH!H3257,OR(N3257="331",O3257="331")),"x","")</f>
        <v/>
      </c>
      <c r="Q3257" s="75" t="str">
        <f>IF(AND(B3257='111'!$L$11,OR($N3257=$Q$7,$O3257=$Q$7)),"x","")</f>
        <v/>
      </c>
      <c r="R3257" s="75" t="str">
        <f>IF(AND($N3257=$Q$7,$B3257&lt;'111'!$L$11),"x","")</f>
        <v/>
      </c>
      <c r="S3257" s="75" t="str">
        <f>IF(AND($O3257=$Q$7,$B3257&lt;'111'!$L$11),"x","")</f>
        <v/>
      </c>
      <c r="T3257" s="75" t="str">
        <f>IF(ISERROR(FIND('112'!$M$9,G3257,1)),"",IF((AND(FIND('112'!$M$9,G3257,1)&gt;=1,B3257='112'!$K$9,OR($N3257='112'!$I$6,$O3257='112'!$I$6))),"x",""))</f>
        <v/>
      </c>
      <c r="U3257" s="75" t="str">
        <f>IF(ISERROR(FIND('112'!$M$9,G3257,1)),"",IF((AND(LEFT(G3257,2)=LEFT('112'!$M$9,2),B3257&lt;'112'!$K$9,$N3257='112'!$I$6)),"x",""))</f>
        <v/>
      </c>
      <c r="V3257" s="75" t="str">
        <f>IF(ISERROR(FIND('112'!$M$9,G3257,1)),"",IF((AND(RIGHT(G3257,2)=RIGHT('112'!$M$9,2),B3257&lt;'112'!$K$9,$O3257='112'!$I$6)),"x",""))</f>
        <v/>
      </c>
      <c r="W3257" s="75" t="str">
        <f>IF(AND('341-CT'!$H$9=H3257,OR(LEFT(N3257,3)=$W$7,LEFT(O3257,3)=$W$7)),"x","")</f>
        <v/>
      </c>
      <c r="X3257" s="75" t="str">
        <f>IF(OR(TH!N3257=TH!$X$7,O3257=TH!$X$7),"x","")</f>
        <v/>
      </c>
      <c r="Y3257" s="75" t="str">
        <f>IF(AND(OR(N3257="131",O3257="131"),H3257='131-CT'!$H$9),"x","")</f>
        <v/>
      </c>
      <c r="Z3257" s="75"/>
      <c r="AA3257" s="75" t="str">
        <f>IF(AND(MONTH(E3257)='IN-NX'!$J$5,'IN-NX'!$D$7=D3257),"x","")</f>
        <v/>
      </c>
      <c r="AB3257" s="75" t="str">
        <f>IF(AND(OR(LEFT(TH!N3257,2)="15",LEFT(TH!O3257,2)="15"),LEFT(TH!O3257,3)&lt;&gt;"111",'152-CT'!$J$8=TH!F3257),"x","")</f>
        <v/>
      </c>
      <c r="AC3257" s="75" t="str">
        <f>IF(AND(OR(LEFT(TH!N3257,2)="15",LEFT(TH!O3257,2)="15"),TK!$E$7=TH!F3257),"x","")</f>
        <v/>
      </c>
      <c r="AD3257" s="75" t="str">
        <f>IF(AND(N3257="1521",MONTH(C3257)='BK-NL'!$M$11),"x","")</f>
        <v/>
      </c>
    </row>
    <row r="3258" spans="1:31" s="1264" customFormat="1" ht="16.5" customHeight="1">
      <c r="A3258" s="309" t="str">
        <f>IF(B3258&lt;&gt;"",IF(AND(B3258='IN-TC'!$S$4,OR(TH!N3258="1111",TH!O3258="1111")),TH!D3258,""),"")</f>
        <v/>
      </c>
      <c r="B3258" s="1282">
        <f t="shared" si="1203"/>
        <v>11</v>
      </c>
      <c r="C3258" s="929">
        <v>43053</v>
      </c>
      <c r="D3258" s="929" t="s">
        <v>530</v>
      </c>
      <c r="E3258" s="929">
        <f t="shared" si="1204"/>
        <v>43053</v>
      </c>
      <c r="F3258" s="930" t="s">
        <v>1010</v>
      </c>
      <c r="G3258" s="930" t="s">
        <v>747</v>
      </c>
      <c r="H3258" s="735" t="s">
        <v>759</v>
      </c>
      <c r="I3258" s="1213"/>
      <c r="J3258" s="378"/>
      <c r="K3258" s="1213"/>
      <c r="L3258" s="1214"/>
      <c r="M3258" s="933">
        <v>10218208</v>
      </c>
      <c r="N3258" s="934" t="s">
        <v>536</v>
      </c>
      <c r="O3258" s="934" t="s">
        <v>43</v>
      </c>
      <c r="P3258" s="75" t="str">
        <f>IF(AND('331-CT'!$E$7=TH!H3258,OR(N3258="331",O3258="331")),"x","")</f>
        <v/>
      </c>
      <c r="Q3258" s="75" t="str">
        <f>IF(AND(B3258='111'!$L$11,OR($N3258=$Q$7,$O3258=$Q$7)),"x","")</f>
        <v/>
      </c>
      <c r="R3258" s="75" t="str">
        <f>IF(AND($N3258=$Q$7,$B3258&lt;'111'!$L$11),"x","")</f>
        <v/>
      </c>
      <c r="S3258" s="75" t="str">
        <f>IF(AND($O3258=$Q$7,$B3258&lt;'111'!$L$11),"x","")</f>
        <v/>
      </c>
      <c r="T3258" s="75" t="str">
        <f>IF(ISERROR(FIND('112'!$M$9,G3258,1)),"",IF((AND(FIND('112'!$M$9,G3258,1)&gt;=1,B3258='112'!$K$9,OR($N3258='112'!$I$6,$O3258='112'!$I$6))),"x",""))</f>
        <v/>
      </c>
      <c r="U3258" s="75" t="str">
        <f>IF(ISERROR(FIND('112'!$M$9,G3258,1)),"",IF((AND(LEFT(G3258,2)=LEFT('112'!$M$9,2),B3258&lt;'112'!$K$9,$N3258='112'!$I$6)),"x",""))</f>
        <v/>
      </c>
      <c r="V3258" s="75" t="str">
        <f>IF(ISERROR(FIND('112'!$M$9,G3258,1)),"",IF((AND(RIGHT(G3258,2)=RIGHT('112'!$M$9,2),B3258&lt;'112'!$K$9,$O3258='112'!$I$6)),"x",""))</f>
        <v/>
      </c>
      <c r="W3258" s="75" t="str">
        <f>IF(AND('341-CT'!$H$9=H3258,OR(LEFT(N3258,3)=$W$7,LEFT(O3258,3)=$W$7)),"x","")</f>
        <v/>
      </c>
      <c r="X3258" s="75" t="str">
        <f>IF(OR(TH!N3258=TH!$X$7,O3258=TH!$X$7),"x","")</f>
        <v/>
      </c>
      <c r="Y3258" s="75" t="str">
        <f>IF(AND(OR(N3258="131",O3258="131"),H3258='131-CT'!$H$9),"x","")</f>
        <v/>
      </c>
      <c r="Z3258" s="75"/>
      <c r="AA3258" s="75" t="str">
        <f>IF(AND(MONTH(E3258)='IN-NX'!$J$5,'IN-NX'!$D$7=D3258),"x","")</f>
        <v/>
      </c>
      <c r="AB3258" s="75" t="str">
        <f>IF(AND(OR(LEFT(TH!N3258,2)="15",LEFT(TH!O3258,2)="15"),LEFT(TH!O3258,3)&lt;&gt;"111",'152-CT'!$J$8=TH!F3258),"x","")</f>
        <v/>
      </c>
      <c r="AC3258" s="75" t="str">
        <f>IF(AND(OR(LEFT(TH!N3258,2)="15",LEFT(TH!O3258,2)="15"),TK!$E$7=TH!F3258),"x","")</f>
        <v/>
      </c>
      <c r="AD3258" s="75" t="str">
        <f>IF(AND(N3258="1521",MONTH(C3258)='BK-NL'!$M$11),"x","")</f>
        <v/>
      </c>
    </row>
    <row r="3259" spans="1:31" s="1264" customFormat="1" ht="16.5" customHeight="1">
      <c r="A3259" s="309" t="str">
        <f>IF(B3259&lt;&gt;"",IF(AND(B3259='IN-TC'!$S$4,OR(TH!N3259="1111",TH!O3259="1111")),TH!D3259,""),"")</f>
        <v/>
      </c>
      <c r="B3259" s="1282">
        <f t="shared" si="1201"/>
        <v>11</v>
      </c>
      <c r="C3259" s="929">
        <v>43053</v>
      </c>
      <c r="D3259" s="929" t="s">
        <v>902</v>
      </c>
      <c r="E3259" s="929">
        <f t="shared" si="1200"/>
        <v>43053</v>
      </c>
      <c r="F3259" s="930" t="s">
        <v>2480</v>
      </c>
      <c r="G3259" s="930" t="s">
        <v>2579</v>
      </c>
      <c r="H3259" s="735" t="s">
        <v>835</v>
      </c>
      <c r="I3259" s="1213"/>
      <c r="J3259" s="378"/>
      <c r="K3259" s="1213">
        <v>510000</v>
      </c>
      <c r="L3259" s="1214">
        <v>22710</v>
      </c>
      <c r="M3259" s="1214">
        <f t="shared" ref="M3259" si="1205">ROUND(K3259*L3259,0)</f>
        <v>11582100000</v>
      </c>
      <c r="N3259" s="934" t="s">
        <v>256</v>
      </c>
      <c r="O3259" s="934" t="s">
        <v>256</v>
      </c>
      <c r="P3259" s="75" t="str">
        <f>IF(AND('331-CT'!$E$7=TH!H3259,OR(N3259="331",O3259="331")),"x","")</f>
        <v/>
      </c>
      <c r="Q3259" s="75" t="str">
        <f>IF(AND(B3259='111'!$L$11,OR($N3259=$Q$7,$O3259=$Q$7)),"x","")</f>
        <v/>
      </c>
      <c r="R3259" s="75" t="str">
        <f>IF(AND($N3259=$Q$7,$B3259&lt;'111'!$L$11),"x","")</f>
        <v/>
      </c>
      <c r="S3259" s="75" t="str">
        <f>IF(AND($O3259=$Q$7,$B3259&lt;'111'!$L$11),"x","")</f>
        <v/>
      </c>
      <c r="T3259" s="75" t="str">
        <f>IF(ISERROR(FIND('112'!$M$9,G3259,1)),"",IF((AND(FIND('112'!$M$9,G3259,1)&gt;=1,B3259='112'!$K$9,OR($N3259='112'!$I$6,$O3259='112'!$I$6))),"x",""))</f>
        <v/>
      </c>
      <c r="U3259" s="75" t="str">
        <f>IF(ISERROR(FIND('112'!$M$9,G3259,1)),"",IF((AND(LEFT(G3259,2)=LEFT('112'!$M$9,2),B3259&lt;'112'!$K$9,$N3259='112'!$I$6)),"x",""))</f>
        <v/>
      </c>
      <c r="V3259" s="75" t="str">
        <f>IF(ISERROR(FIND('112'!$M$9,G3259,1)),"",IF((AND(RIGHT(G3259,2)=RIGHT('112'!$M$9,2),B3259&lt;'112'!$K$9,$O3259='112'!$I$6)),"x",""))</f>
        <v/>
      </c>
      <c r="W3259" s="75" t="str">
        <f>IF(AND('341-CT'!$H$9=H3259,OR(LEFT(N3259,3)=$W$7,LEFT(O3259,3)=$W$7)),"x","")</f>
        <v/>
      </c>
      <c r="X3259" s="75" t="str">
        <f>IF(OR(TH!N3259=TH!$X$7,O3259=TH!$X$7),"x","")</f>
        <v/>
      </c>
      <c r="Y3259" s="75" t="str">
        <f>IF(AND(OR(N3259="131",O3259="131"),H3259='131-CT'!$H$9),"x","")</f>
        <v/>
      </c>
      <c r="Z3259" s="75"/>
      <c r="AA3259" s="75" t="str">
        <f>IF(AND(MONTH(E3259)='IN-NX'!$J$5,'IN-NX'!$D$7=D3259),"x","")</f>
        <v/>
      </c>
      <c r="AB3259" s="75" t="str">
        <f>IF(AND(OR(LEFT(TH!N3259,2)="15",LEFT(TH!O3259,2)="15"),LEFT(TH!O3259,3)&lt;&gt;"111",'152-CT'!$J$8=TH!F3259),"x","")</f>
        <v/>
      </c>
      <c r="AC3259" s="75" t="str">
        <f>IF(AND(OR(LEFT(TH!N3259,2)="15",LEFT(TH!O3259,2)="15"),TK!$E$7=TH!F3259),"x","")</f>
        <v/>
      </c>
      <c r="AD3259" s="75" t="str">
        <f>IF(AND(N3259="1521",MONTH(C3259)='BK-NL'!$M$11),"x","")</f>
        <v/>
      </c>
    </row>
    <row r="3260" spans="1:31" s="1264" customFormat="1" ht="16.5" customHeight="1">
      <c r="A3260" s="309" t="str">
        <f>IF(B3260&lt;&gt;"",IF(AND(B3260='IN-TC'!$S$4,OR(TH!N3260="1111",TH!O3260="1111")),TH!D3260,""),"")</f>
        <v/>
      </c>
      <c r="B3260" s="1282">
        <f t="shared" si="1201"/>
        <v>11</v>
      </c>
      <c r="C3260" s="929">
        <v>43053</v>
      </c>
      <c r="D3260" s="929" t="s">
        <v>902</v>
      </c>
      <c r="E3260" s="929">
        <f t="shared" si="1200"/>
        <v>43053</v>
      </c>
      <c r="F3260" s="930" t="s">
        <v>2481</v>
      </c>
      <c r="G3260" s="930" t="s">
        <v>747</v>
      </c>
      <c r="H3260" s="735" t="s">
        <v>835</v>
      </c>
      <c r="I3260" s="1213"/>
      <c r="J3260" s="378"/>
      <c r="K3260" s="1213">
        <v>3</v>
      </c>
      <c r="L3260" s="1214">
        <v>22710</v>
      </c>
      <c r="M3260" s="74">
        <f t="shared" ref="M3260:M3263" si="1206">ROUND(K3260*L3260,0)</f>
        <v>68130</v>
      </c>
      <c r="N3260" s="934" t="s">
        <v>101</v>
      </c>
      <c r="O3260" s="934" t="s">
        <v>256</v>
      </c>
      <c r="P3260" s="75" t="str">
        <f>IF(AND('331-CT'!$E$7=TH!H3260,OR(N3260="331",O3260="331")),"x","")</f>
        <v/>
      </c>
      <c r="Q3260" s="75" t="str">
        <f>IF(AND(B3260='111'!$L$11,OR($N3260=$Q$7,$O3260=$Q$7)),"x","")</f>
        <v/>
      </c>
      <c r="R3260" s="75" t="str">
        <f>IF(AND($N3260=$Q$7,$B3260&lt;'111'!$L$11),"x","")</f>
        <v/>
      </c>
      <c r="S3260" s="75" t="str">
        <f>IF(AND($O3260=$Q$7,$B3260&lt;'111'!$L$11),"x","")</f>
        <v/>
      </c>
      <c r="T3260" s="75" t="str">
        <f>IF(ISERROR(FIND('112'!$M$9,G3260,1)),"",IF((AND(FIND('112'!$M$9,G3260,1)&gt;=1,B3260='112'!$K$9,OR($N3260='112'!$I$6,$O3260='112'!$I$6))),"x",""))</f>
        <v/>
      </c>
      <c r="U3260" s="75" t="str">
        <f>IF(ISERROR(FIND('112'!$M$9,G3260,1)),"",IF((AND(LEFT(G3260,2)=LEFT('112'!$M$9,2),B3260&lt;'112'!$K$9,$N3260='112'!$I$6)),"x",""))</f>
        <v/>
      </c>
      <c r="V3260" s="75" t="str">
        <f>IF(ISERROR(FIND('112'!$M$9,G3260,1)),"",IF((AND(RIGHT(G3260,2)=RIGHT('112'!$M$9,2),B3260&lt;'112'!$K$9,$O3260='112'!$I$6)),"x",""))</f>
        <v/>
      </c>
      <c r="W3260" s="75" t="str">
        <f>IF(AND('341-CT'!$H$9=H3260,OR(LEFT(N3260,3)=$W$7,LEFT(O3260,3)=$W$7)),"x","")</f>
        <v/>
      </c>
      <c r="X3260" s="75" t="str">
        <f>IF(OR(TH!N3260=TH!$X$7,O3260=TH!$X$7),"x","")</f>
        <v/>
      </c>
      <c r="Y3260" s="75" t="str">
        <f>IF(AND(OR(N3260="131",O3260="131"),H3260='131-CT'!$H$9),"x","")</f>
        <v/>
      </c>
      <c r="Z3260" s="75"/>
      <c r="AA3260" s="75" t="str">
        <f>IF(AND(MONTH(E3260)='IN-NX'!$J$5,'IN-NX'!$D$7=D3260),"x","")</f>
        <v/>
      </c>
      <c r="AB3260" s="75" t="str">
        <f>IF(AND(OR(LEFT(TH!N3260,2)="15",LEFT(TH!O3260,2)="15"),LEFT(TH!O3260,3)&lt;&gt;"111",'152-CT'!$J$8=TH!F3260),"x","")</f>
        <v/>
      </c>
      <c r="AC3260" s="75" t="str">
        <f>IF(AND(OR(LEFT(TH!N3260,2)="15",LEFT(TH!O3260,2)="15"),TK!$E$7=TH!F3260),"x","")</f>
        <v/>
      </c>
      <c r="AD3260" s="75" t="str">
        <f>IF(AND(N3260="1521",MONTH(C3260)='BK-NL'!$M$11),"x","")</f>
        <v/>
      </c>
      <c r="AE3260" s="1264">
        <v>11</v>
      </c>
    </row>
    <row r="3261" spans="1:31" s="1264" customFormat="1" ht="16.5" customHeight="1">
      <c r="A3261" s="309" t="str">
        <f>IF(B3261&lt;&gt;"",IF(AND(B3261='IN-TC'!$S$4,OR(TH!N3261="1111",TH!O3261="1111")),TH!D3261,""),"")</f>
        <v/>
      </c>
      <c r="B3261" s="1282">
        <f t="shared" si="1201"/>
        <v>11</v>
      </c>
      <c r="C3261" s="929">
        <v>43053</v>
      </c>
      <c r="D3261" s="929" t="s">
        <v>902</v>
      </c>
      <c r="E3261" s="929">
        <f t="shared" si="1200"/>
        <v>43053</v>
      </c>
      <c r="F3261" s="930" t="s">
        <v>2482</v>
      </c>
      <c r="G3261" s="930" t="s">
        <v>747</v>
      </c>
      <c r="H3261" s="735" t="s">
        <v>835</v>
      </c>
      <c r="I3261" s="1213"/>
      <c r="J3261" s="378"/>
      <c r="K3261" s="1213">
        <v>0.3</v>
      </c>
      <c r="L3261" s="1214">
        <v>22710</v>
      </c>
      <c r="M3261" s="74">
        <f t="shared" si="1206"/>
        <v>6813</v>
      </c>
      <c r="N3261" s="934" t="s">
        <v>9</v>
      </c>
      <c r="O3261" s="934" t="s">
        <v>256</v>
      </c>
      <c r="P3261" s="75" t="str">
        <f>IF(AND('331-CT'!$E$7=TH!H3261,OR(N3261="331",O3261="331")),"x","")</f>
        <v/>
      </c>
      <c r="Q3261" s="75" t="str">
        <f>IF(AND(B3261='111'!$L$11,OR($N3261=$Q$7,$O3261=$Q$7)),"x","")</f>
        <v/>
      </c>
      <c r="R3261" s="75" t="str">
        <f>IF(AND($N3261=$Q$7,$B3261&lt;'111'!$L$11),"x","")</f>
        <v/>
      </c>
      <c r="S3261" s="75" t="str">
        <f>IF(AND($O3261=$Q$7,$B3261&lt;'111'!$L$11),"x","")</f>
        <v/>
      </c>
      <c r="T3261" s="75" t="str">
        <f>IF(ISERROR(FIND('112'!$M$9,G3261,1)),"",IF((AND(FIND('112'!$M$9,G3261,1)&gt;=1,B3261='112'!$K$9,OR($N3261='112'!$I$6,$O3261='112'!$I$6))),"x",""))</f>
        <v/>
      </c>
      <c r="U3261" s="75" t="str">
        <f>IF(ISERROR(FIND('112'!$M$9,G3261,1)),"",IF((AND(LEFT(G3261,2)=LEFT('112'!$M$9,2),B3261&lt;'112'!$K$9,$N3261='112'!$I$6)),"x",""))</f>
        <v/>
      </c>
      <c r="V3261" s="75" t="str">
        <f>IF(ISERROR(FIND('112'!$M$9,G3261,1)),"",IF((AND(RIGHT(G3261,2)=RIGHT('112'!$M$9,2),B3261&lt;'112'!$K$9,$O3261='112'!$I$6)),"x",""))</f>
        <v/>
      </c>
      <c r="W3261" s="75" t="str">
        <f>IF(AND('341-CT'!$H$9=H3261,OR(LEFT(N3261,3)=$W$7,LEFT(O3261,3)=$W$7)),"x","")</f>
        <v/>
      </c>
      <c r="X3261" s="75" t="str">
        <f>IF(OR(TH!N3261=TH!$X$7,O3261=TH!$X$7),"x","")</f>
        <v/>
      </c>
      <c r="Y3261" s="75" t="str">
        <f>IF(AND(OR(N3261="131",O3261="131"),H3261='131-CT'!$H$9),"x","")</f>
        <v/>
      </c>
      <c r="Z3261" s="75"/>
      <c r="AA3261" s="75" t="str">
        <f>IF(AND(MONTH(E3261)='IN-NX'!$J$5,'IN-NX'!$D$7=D3261),"x","")</f>
        <v/>
      </c>
      <c r="AB3261" s="75" t="str">
        <f>IF(AND(OR(LEFT(TH!N3261,2)="15",LEFT(TH!O3261,2)="15"),LEFT(TH!O3261,3)&lt;&gt;"111",'152-CT'!$J$8=TH!F3261),"x","")</f>
        <v/>
      </c>
      <c r="AC3261" s="75" t="str">
        <f>IF(AND(OR(LEFT(TH!N3261,2)="15",LEFT(TH!O3261,2)="15"),TK!$E$7=TH!F3261),"x","")</f>
        <v/>
      </c>
      <c r="AD3261" s="75" t="str">
        <f>IF(AND(N3261="1521",MONTH(C3261)='BK-NL'!$M$11),"x","")</f>
        <v/>
      </c>
      <c r="AE3261" s="1264">
        <v>11</v>
      </c>
    </row>
    <row r="3262" spans="1:31" s="1264" customFormat="1" ht="16.5" customHeight="1">
      <c r="A3262" s="309" t="str">
        <f>IF(B3262&lt;&gt;"",IF(AND(B3262='IN-TC'!$S$4,OR(TH!N3262="1111",TH!O3262="1111")),TH!D3262,""),"")</f>
        <v/>
      </c>
      <c r="B3262" s="1282">
        <f t="shared" ref="B3262" si="1207">IF(C3262&lt;&gt;"",MONTH(C3262),"")</f>
        <v>11</v>
      </c>
      <c r="C3262" s="929">
        <v>43056</v>
      </c>
      <c r="D3262" s="929" t="s">
        <v>903</v>
      </c>
      <c r="E3262" s="929">
        <f t="shared" ref="E3262" si="1208">C3262</f>
        <v>43056</v>
      </c>
      <c r="F3262" s="930" t="s">
        <v>1086</v>
      </c>
      <c r="G3262" s="930" t="s">
        <v>747</v>
      </c>
      <c r="H3262" s="735" t="s">
        <v>1601</v>
      </c>
      <c r="I3262" s="1213"/>
      <c r="J3262" s="378"/>
      <c r="K3262" s="1213">
        <v>202802</v>
      </c>
      <c r="L3262" s="1214">
        <v>22710</v>
      </c>
      <c r="M3262" s="1214">
        <f t="shared" si="1206"/>
        <v>4605633420</v>
      </c>
      <c r="N3262" s="934" t="s">
        <v>256</v>
      </c>
      <c r="O3262" s="934" t="s">
        <v>536</v>
      </c>
      <c r="P3262" s="75" t="str">
        <f>IF(AND('331-CT'!$E$7=TH!H3262,OR(N3262="331",O3262="331")),"x","")</f>
        <v/>
      </c>
      <c r="Q3262" s="75" t="str">
        <f>IF(AND(B3262='111'!$L$11,OR($N3262=$Q$7,$O3262=$Q$7)),"x","")</f>
        <v/>
      </c>
      <c r="R3262" s="75" t="str">
        <f>IF(AND($N3262=$Q$7,$B3262&lt;'111'!$L$11),"x","")</f>
        <v/>
      </c>
      <c r="S3262" s="75" t="str">
        <f>IF(AND($O3262=$Q$7,$B3262&lt;'111'!$L$11),"x","")</f>
        <v/>
      </c>
      <c r="T3262" s="75" t="str">
        <f>IF(ISERROR(FIND('112'!$M$9,G3262,1)),"",IF((AND(FIND('112'!$M$9,G3262,1)&gt;=1,B3262='112'!$K$9,OR($N3262='112'!$I$6,$O3262='112'!$I$6))),"x",""))</f>
        <v/>
      </c>
      <c r="U3262" s="75" t="str">
        <f>IF(ISERROR(FIND('112'!$M$9,G3262,1)),"",IF((AND(LEFT(G3262,2)=LEFT('112'!$M$9,2),B3262&lt;'112'!$K$9,$N3262='112'!$I$6)),"x",""))</f>
        <v/>
      </c>
      <c r="V3262" s="75" t="str">
        <f>IF(ISERROR(FIND('112'!$M$9,G3262,1)),"",IF((AND(RIGHT(G3262,2)=RIGHT('112'!$M$9,2),B3262&lt;'112'!$K$9,$O3262='112'!$I$6)),"x",""))</f>
        <v/>
      </c>
      <c r="W3262" s="75" t="str">
        <f>IF(AND('341-CT'!$H$9=H3262,OR(LEFT(N3262,3)=$W$7,LEFT(O3262,3)=$W$7)),"x","")</f>
        <v/>
      </c>
      <c r="X3262" s="75" t="str">
        <f>IF(OR(TH!N3262=TH!$X$7,O3262=TH!$X$7),"x","")</f>
        <v/>
      </c>
      <c r="Y3262" s="75" t="str">
        <f>IF(AND(OR(N3262="131",O3262="131"),H3262='131-CT'!$H$9),"x","")</f>
        <v/>
      </c>
      <c r="Z3262" s="75"/>
      <c r="AA3262" s="75" t="str">
        <f>IF(AND(MONTH(E3262)='IN-NX'!$J$5,'IN-NX'!$D$7=D3262),"x","")</f>
        <v/>
      </c>
      <c r="AB3262" s="75" t="str">
        <f>IF(AND(OR(LEFT(TH!N3262,2)="15",LEFT(TH!O3262,2)="15"),LEFT(TH!O3262,3)&lt;&gt;"111",'152-CT'!$J$8=TH!F3262),"x","")</f>
        <v/>
      </c>
      <c r="AC3262" s="75" t="str">
        <f>IF(AND(OR(LEFT(TH!N3262,2)="15",LEFT(TH!O3262,2)="15"),TK!$E$7=TH!F3262),"x","")</f>
        <v/>
      </c>
      <c r="AD3262" s="75" t="str">
        <f>IF(AND(N3262="1521",MONTH(C3262)='BK-NL'!$M$11),"x","")</f>
        <v/>
      </c>
    </row>
    <row r="3263" spans="1:31" s="1264" customFormat="1" ht="16.5" customHeight="1">
      <c r="A3263" s="309" t="str">
        <f>IF(B3263&lt;&gt;"",IF(AND(B3263='IN-TC'!$S$4,OR(TH!N3263="1111",TH!O3263="1111")),TH!D3263,""),"")</f>
        <v/>
      </c>
      <c r="B3263" s="1282">
        <f t="shared" ref="B3263" si="1209">IF(C3263&lt;&gt;"",MONTH(C3263),"")</f>
        <v>11</v>
      </c>
      <c r="C3263" s="929">
        <v>43056</v>
      </c>
      <c r="D3263" s="929" t="s">
        <v>530</v>
      </c>
      <c r="E3263" s="929">
        <f t="shared" ref="E3263" si="1210">C3263</f>
        <v>43056</v>
      </c>
      <c r="F3263" s="930" t="s">
        <v>1027</v>
      </c>
      <c r="G3263" s="930" t="s">
        <v>747</v>
      </c>
      <c r="H3263" s="735" t="s">
        <v>1601</v>
      </c>
      <c r="I3263" s="1213"/>
      <c r="J3263" s="378"/>
      <c r="K3263" s="1213">
        <v>217</v>
      </c>
      <c r="L3263" s="1214">
        <v>22710</v>
      </c>
      <c r="M3263" s="1214">
        <f t="shared" si="1206"/>
        <v>4928070</v>
      </c>
      <c r="N3263" s="934" t="s">
        <v>101</v>
      </c>
      <c r="O3263" s="934" t="s">
        <v>536</v>
      </c>
      <c r="P3263" s="75" t="str">
        <f>IF(AND('331-CT'!$E$7=TH!H3263,OR(N3263="331",O3263="331")),"x","")</f>
        <v/>
      </c>
      <c r="Q3263" s="75" t="str">
        <f>IF(AND(B3263='111'!$L$11,OR($N3263=$Q$7,$O3263=$Q$7)),"x","")</f>
        <v/>
      </c>
      <c r="R3263" s="75" t="str">
        <f>IF(AND($N3263=$Q$7,$B3263&lt;'111'!$L$11),"x","")</f>
        <v/>
      </c>
      <c r="S3263" s="75" t="str">
        <f>IF(AND($O3263=$Q$7,$B3263&lt;'111'!$L$11),"x","")</f>
        <v/>
      </c>
      <c r="T3263" s="75" t="str">
        <f>IF(ISERROR(FIND('112'!$M$9,G3263,1)),"",IF((AND(FIND('112'!$M$9,G3263,1)&gt;=1,B3263='112'!$K$9,OR($N3263='112'!$I$6,$O3263='112'!$I$6))),"x",""))</f>
        <v/>
      </c>
      <c r="U3263" s="75" t="str">
        <f>IF(ISERROR(FIND('112'!$M$9,G3263,1)),"",IF((AND(LEFT(G3263,2)=LEFT('112'!$M$9,2),B3263&lt;'112'!$K$9,$N3263='112'!$I$6)),"x",""))</f>
        <v/>
      </c>
      <c r="V3263" s="75" t="str">
        <f>IF(ISERROR(FIND('112'!$M$9,G3263,1)),"",IF((AND(RIGHT(G3263,2)=RIGHT('112'!$M$9,2),B3263&lt;'112'!$K$9,$O3263='112'!$I$6)),"x",""))</f>
        <v/>
      </c>
      <c r="W3263" s="75" t="str">
        <f>IF(AND('341-CT'!$H$9=H3263,OR(LEFT(N3263,3)=$W$7,LEFT(O3263,3)=$W$7)),"x","")</f>
        <v/>
      </c>
      <c r="X3263" s="75" t="str">
        <f>IF(OR(TH!N3263=TH!$X$7,O3263=TH!$X$7),"x","")</f>
        <v/>
      </c>
      <c r="Y3263" s="75" t="str">
        <f>IF(AND(OR(N3263="131",O3263="131"),H3263='131-CT'!$H$9),"x","")</f>
        <v/>
      </c>
      <c r="Z3263" s="75"/>
      <c r="AA3263" s="75" t="str">
        <f>IF(AND(MONTH(E3263)='IN-NX'!$J$5,'IN-NX'!$D$7=D3263),"x","")</f>
        <v/>
      </c>
      <c r="AB3263" s="75" t="str">
        <f>IF(AND(OR(LEFT(TH!N3263,2)="15",LEFT(TH!O3263,2)="15"),LEFT(TH!O3263,3)&lt;&gt;"111",'152-CT'!$J$8=TH!F3263),"x","")</f>
        <v/>
      </c>
      <c r="AC3263" s="75" t="str">
        <f>IF(AND(OR(LEFT(TH!N3263,2)="15",LEFT(TH!O3263,2)="15"),TK!$E$7=TH!F3263),"x","")</f>
        <v/>
      </c>
      <c r="AD3263" s="75" t="str">
        <f>IF(AND(N3263="1521",MONTH(C3263)='BK-NL'!$M$11),"x","")</f>
        <v/>
      </c>
    </row>
    <row r="3264" spans="1:31" s="1264" customFormat="1" ht="16.5" customHeight="1">
      <c r="A3264" s="309" t="str">
        <f>IF(B3264&lt;&gt;"",IF(AND(B3264='IN-TC'!$S$4,OR(TH!N3264="1111",TH!O3264="1111")),TH!D3264,""),"")</f>
        <v/>
      </c>
      <c r="B3264" s="1282">
        <f t="shared" ref="B3264" si="1211">IF(C3264&lt;&gt;"",MONTH(C3264),"")</f>
        <v>11</v>
      </c>
      <c r="C3264" s="929">
        <v>43056</v>
      </c>
      <c r="D3264" s="929" t="s">
        <v>530</v>
      </c>
      <c r="E3264" s="929">
        <f t="shared" ref="E3264" si="1212">C3264</f>
        <v>43056</v>
      </c>
      <c r="F3264" s="930" t="s">
        <v>1010</v>
      </c>
      <c r="G3264" s="930" t="s">
        <v>747</v>
      </c>
      <c r="H3264" s="735" t="s">
        <v>1601</v>
      </c>
      <c r="I3264" s="1213"/>
      <c r="J3264" s="378"/>
      <c r="K3264" s="1213"/>
      <c r="L3264" s="1214"/>
      <c r="M3264" s="74">
        <v>7105665</v>
      </c>
      <c r="N3264" s="934" t="s">
        <v>536</v>
      </c>
      <c r="O3264" s="934" t="s">
        <v>43</v>
      </c>
      <c r="P3264" s="75" t="str">
        <f>IF(AND('331-CT'!$E$7=TH!H3264,OR(N3264="331",O3264="331")),"x","")</f>
        <v/>
      </c>
      <c r="Q3264" s="75" t="str">
        <f>IF(AND(B3264='111'!$L$11,OR($N3264=$Q$7,$O3264=$Q$7)),"x","")</f>
        <v/>
      </c>
      <c r="R3264" s="75" t="str">
        <f>IF(AND($N3264=$Q$7,$B3264&lt;'111'!$L$11),"x","")</f>
        <v/>
      </c>
      <c r="S3264" s="75" t="str">
        <f>IF(AND($O3264=$Q$7,$B3264&lt;'111'!$L$11),"x","")</f>
        <v/>
      </c>
      <c r="T3264" s="75" t="str">
        <f>IF(ISERROR(FIND('112'!$M$9,G3264,1)),"",IF((AND(FIND('112'!$M$9,G3264,1)&gt;=1,B3264='112'!$K$9,OR($N3264='112'!$I$6,$O3264='112'!$I$6))),"x",""))</f>
        <v/>
      </c>
      <c r="U3264" s="75" t="str">
        <f>IF(ISERROR(FIND('112'!$M$9,G3264,1)),"",IF((AND(LEFT(G3264,2)=LEFT('112'!$M$9,2),B3264&lt;'112'!$K$9,$N3264='112'!$I$6)),"x",""))</f>
        <v/>
      </c>
      <c r="V3264" s="75" t="str">
        <f>IF(ISERROR(FIND('112'!$M$9,G3264,1)),"",IF((AND(RIGHT(G3264,2)=RIGHT('112'!$M$9,2),B3264&lt;'112'!$K$9,$O3264='112'!$I$6)),"x",""))</f>
        <v/>
      </c>
      <c r="W3264" s="75" t="str">
        <f>IF(AND('341-CT'!$H$9=H3264,OR(LEFT(N3264,3)=$W$7,LEFT(O3264,3)=$W$7)),"x","")</f>
        <v/>
      </c>
      <c r="X3264" s="75" t="str">
        <f>IF(OR(TH!N3264=TH!$X$7,O3264=TH!$X$7),"x","")</f>
        <v/>
      </c>
      <c r="Y3264" s="75" t="str">
        <f>IF(AND(OR(N3264="131",O3264="131"),H3264='131-CT'!$H$9),"x","")</f>
        <v/>
      </c>
      <c r="Z3264" s="75"/>
      <c r="AA3264" s="75" t="str">
        <f>IF(AND(MONTH(E3264)='IN-NX'!$J$5,'IN-NX'!$D$7=D3264),"x","")</f>
        <v/>
      </c>
      <c r="AB3264" s="75" t="str">
        <f>IF(AND(OR(LEFT(TH!N3264,2)="15",LEFT(TH!O3264,2)="15"),LEFT(TH!O3264,3)&lt;&gt;"111",'152-CT'!$J$8=TH!F3264),"x","")</f>
        <v/>
      </c>
      <c r="AC3264" s="75" t="str">
        <f>IF(AND(OR(LEFT(TH!N3264,2)="15",LEFT(TH!O3264,2)="15"),TK!$E$7=TH!F3264),"x","")</f>
        <v/>
      </c>
      <c r="AD3264" s="75" t="str">
        <f>IF(AND(N3264="1521",MONTH(C3264)='BK-NL'!$M$11),"x","")</f>
        <v/>
      </c>
    </row>
    <row r="3265" spans="1:31" s="1264" customFormat="1" ht="16.5" customHeight="1">
      <c r="A3265" s="309" t="str">
        <f>IF(B3265&lt;&gt;"",IF(AND(B3265='IN-TC'!$S$4,OR(TH!N3265="1111",TH!O3265="1111")),TH!D3265,""),"")</f>
        <v/>
      </c>
      <c r="B3265" s="1282">
        <f t="shared" ref="B3265:B3266" si="1213">IF(C3265&lt;&gt;"",MONTH(C3265),"")</f>
        <v>11</v>
      </c>
      <c r="C3265" s="929">
        <v>43056</v>
      </c>
      <c r="D3265" s="929" t="s">
        <v>902</v>
      </c>
      <c r="E3265" s="929">
        <f t="shared" ref="E3265" si="1214">C3265</f>
        <v>43056</v>
      </c>
      <c r="F3265" s="930" t="s">
        <v>1096</v>
      </c>
      <c r="G3265" s="930" t="s">
        <v>747</v>
      </c>
      <c r="H3265" s="735" t="s">
        <v>2556</v>
      </c>
      <c r="I3265" s="1213"/>
      <c r="J3265" s="378"/>
      <c r="K3265" s="1213">
        <v>75.19</v>
      </c>
      <c r="L3265" s="1214">
        <v>22710</v>
      </c>
      <c r="M3265" s="74">
        <f t="shared" ref="M3265" si="1215">ROUND(K3265*L3265,0)</f>
        <v>1707565</v>
      </c>
      <c r="N3265" s="934" t="s">
        <v>99</v>
      </c>
      <c r="O3265" s="934" t="s">
        <v>256</v>
      </c>
      <c r="P3265" s="75" t="str">
        <f>IF(AND('331-CT'!$E$7=TH!H3265,OR(N3265="331",O3265="331")),"x","")</f>
        <v/>
      </c>
      <c r="Q3265" s="75" t="str">
        <f>IF(AND(B3265='111'!$L$11,OR($N3265=$Q$7,$O3265=$Q$7)),"x","")</f>
        <v/>
      </c>
      <c r="R3265" s="75" t="str">
        <f>IF(AND($N3265=$Q$7,$B3265&lt;'111'!$L$11),"x","")</f>
        <v/>
      </c>
      <c r="S3265" s="75" t="str">
        <f>IF(AND($O3265=$Q$7,$B3265&lt;'111'!$L$11),"x","")</f>
        <v/>
      </c>
      <c r="T3265" s="75" t="str">
        <f>IF(ISERROR(FIND('112'!$M$9,G3265,1)),"",IF((AND(FIND('112'!$M$9,G3265,1)&gt;=1,B3265='112'!$K$9,OR($N3265='112'!$I$6,$O3265='112'!$I$6))),"x",""))</f>
        <v/>
      </c>
      <c r="U3265" s="75" t="str">
        <f>IF(ISERROR(FIND('112'!$M$9,G3265,1)),"",IF((AND(LEFT(G3265,2)=LEFT('112'!$M$9,2),B3265&lt;'112'!$K$9,$N3265='112'!$I$6)),"x",""))</f>
        <v/>
      </c>
      <c r="V3265" s="75" t="str">
        <f>IF(ISERROR(FIND('112'!$M$9,G3265,1)),"",IF((AND(RIGHT(G3265,2)=RIGHT('112'!$M$9,2),B3265&lt;'112'!$K$9,$O3265='112'!$I$6)),"x",""))</f>
        <v/>
      </c>
      <c r="W3265" s="75" t="str">
        <f>IF(AND('341-CT'!$H$9=H3265,OR(LEFT(N3265,3)=$W$7,LEFT(O3265,3)=$W$7)),"x","")</f>
        <v/>
      </c>
      <c r="X3265" s="75" t="str">
        <f>IF(OR(TH!N3265=TH!$X$7,O3265=TH!$X$7),"x","")</f>
        <v/>
      </c>
      <c r="Y3265" s="75" t="str">
        <f>IF(AND(OR(N3265="131",O3265="131"),H3265='131-CT'!$H$9),"x","")</f>
        <v/>
      </c>
      <c r="Z3265" s="75"/>
      <c r="AA3265" s="75" t="str">
        <f>IF(AND(MONTH(E3265)='IN-NX'!$J$5,'IN-NX'!$D$7=D3265),"x","")</f>
        <v/>
      </c>
      <c r="AB3265" s="75" t="str">
        <f>IF(AND(OR(LEFT(TH!N3265,2)="15",LEFT(TH!O3265,2)="15"),LEFT(TH!O3265,3)&lt;&gt;"111",'152-CT'!$J$8=TH!F3265),"x","")</f>
        <v/>
      </c>
      <c r="AC3265" s="75" t="str">
        <f>IF(AND(OR(LEFT(TH!N3265,2)="15",LEFT(TH!O3265,2)="15"),TK!$E$7=TH!F3265),"x","")</f>
        <v/>
      </c>
      <c r="AD3265" s="75" t="str">
        <f>IF(AND(N3265="1521",MONTH(C3265)='BK-NL'!$M$11),"x","")</f>
        <v/>
      </c>
    </row>
    <row r="3266" spans="1:31" s="1264" customFormat="1" ht="16.5" customHeight="1">
      <c r="A3266" s="309" t="str">
        <f>IF(B3266&lt;&gt;"",IF(AND(B3266='IN-TC'!$S$4,OR(TH!N3266="1111",TH!O3266="1111")),TH!D3266,""),"")</f>
        <v/>
      </c>
      <c r="B3266" s="1282">
        <f t="shared" si="1213"/>
        <v>11</v>
      </c>
      <c r="C3266" s="929">
        <v>43056</v>
      </c>
      <c r="D3266" s="929" t="s">
        <v>902</v>
      </c>
      <c r="E3266" s="929">
        <f t="shared" ref="E3266" si="1216">C3266</f>
        <v>43056</v>
      </c>
      <c r="F3266" s="72" t="s">
        <v>1321</v>
      </c>
      <c r="G3266" s="930" t="s">
        <v>747</v>
      </c>
      <c r="H3266" s="735" t="s">
        <v>2556</v>
      </c>
      <c r="I3266" s="1213"/>
      <c r="J3266" s="378"/>
      <c r="K3266" s="1213">
        <v>192800</v>
      </c>
      <c r="L3266" s="1214">
        <v>22710</v>
      </c>
      <c r="M3266" s="74">
        <f t="shared" ref="M3266" si="1217">ROUND(K3266*L3266,0)</f>
        <v>4378488000</v>
      </c>
      <c r="N3266" s="934" t="s">
        <v>250</v>
      </c>
      <c r="O3266" s="934" t="s">
        <v>256</v>
      </c>
      <c r="P3266" s="75" t="str">
        <f>IF(AND('331-CT'!$E$7=TH!H3266,OR(N3266="331",O3266="331")),"x","")</f>
        <v/>
      </c>
      <c r="Q3266" s="75" t="str">
        <f>IF(AND(B3266='111'!$L$11,OR($N3266=$Q$7,$O3266=$Q$7)),"x","")</f>
        <v/>
      </c>
      <c r="R3266" s="75" t="str">
        <f>IF(AND($N3266=$Q$7,$B3266&lt;'111'!$L$11),"x","")</f>
        <v/>
      </c>
      <c r="S3266" s="75" t="str">
        <f>IF(AND($O3266=$Q$7,$B3266&lt;'111'!$L$11),"x","")</f>
        <v/>
      </c>
      <c r="T3266" s="75" t="str">
        <f>IF(ISERROR(FIND('112'!$M$9,G3266,1)),"",IF((AND(FIND('112'!$M$9,G3266,1)&gt;=1,B3266='112'!$K$9,OR($N3266='112'!$I$6,$O3266='112'!$I$6))),"x",""))</f>
        <v/>
      </c>
      <c r="U3266" s="75" t="str">
        <f>IF(ISERROR(FIND('112'!$M$9,G3266,1)),"",IF((AND(LEFT(G3266,2)=LEFT('112'!$M$9,2),B3266&lt;'112'!$K$9,$N3266='112'!$I$6)),"x",""))</f>
        <v/>
      </c>
      <c r="V3266" s="75" t="str">
        <f>IF(ISERROR(FIND('112'!$M$9,G3266,1)),"",IF((AND(RIGHT(G3266,2)=RIGHT('112'!$M$9,2),B3266&lt;'112'!$K$9,$O3266='112'!$I$6)),"x",""))</f>
        <v/>
      </c>
      <c r="W3266" s="75" t="str">
        <f>IF(AND('341-CT'!$H$9=H3266,OR(LEFT(N3266,3)=$W$7,LEFT(O3266,3)=$W$7)),"x","")</f>
        <v/>
      </c>
      <c r="X3266" s="75" t="str">
        <f>IF(OR(TH!N3266=TH!$X$7,O3266=TH!$X$7),"x","")</f>
        <v/>
      </c>
      <c r="Y3266" s="75" t="str">
        <f>IF(AND(OR(N3266="131",O3266="131"),H3266='131-CT'!$H$9),"x","")</f>
        <v/>
      </c>
      <c r="Z3266" s="75"/>
      <c r="AA3266" s="75" t="str">
        <f>IF(AND(MONTH(E3266)='IN-NX'!$J$5,'IN-NX'!$D$7=D3266),"x","")</f>
        <v/>
      </c>
      <c r="AB3266" s="75" t="str">
        <f>IF(AND(OR(LEFT(TH!N3266,2)="15",LEFT(TH!O3266,2)="15"),LEFT(TH!O3266,3)&lt;&gt;"111",'152-CT'!$J$8=TH!F3266),"x","")</f>
        <v/>
      </c>
      <c r="AC3266" s="75" t="str">
        <f>IF(AND(OR(LEFT(TH!N3266,2)="15",LEFT(TH!O3266,2)="15"),TK!$E$7=TH!F3266),"x","")</f>
        <v/>
      </c>
      <c r="AD3266" s="75" t="str">
        <f>IF(AND(N3266="1521",MONTH(C3266)='BK-NL'!$M$11),"x","")</f>
        <v/>
      </c>
    </row>
    <row r="3267" spans="1:31" s="1264" customFormat="1" ht="16.5" customHeight="1">
      <c r="A3267" s="309" t="str">
        <f>IF(B3267&lt;&gt;"",IF(AND(B3267='IN-TC'!$S$4,OR(TH!N3267="1111",TH!O3267="1111")),TH!D3267,""),"")</f>
        <v/>
      </c>
      <c r="B3267" s="1282">
        <f t="shared" ref="B3267:B3289" si="1218">IF(C3267&lt;&gt;"",MONTH(C3267),"")</f>
        <v>11</v>
      </c>
      <c r="C3267" s="929">
        <v>43056</v>
      </c>
      <c r="D3267" s="929" t="s">
        <v>530</v>
      </c>
      <c r="E3267" s="929">
        <f t="shared" ref="E3267:E3297" si="1219">C3267</f>
        <v>43056</v>
      </c>
      <c r="F3267" s="930" t="s">
        <v>1010</v>
      </c>
      <c r="G3267" s="930" t="s">
        <v>747</v>
      </c>
      <c r="H3267" s="735" t="s">
        <v>2556</v>
      </c>
      <c r="I3267" s="1213"/>
      <c r="J3267" s="378"/>
      <c r="K3267" s="1213"/>
      <c r="L3267" s="1214"/>
      <c r="M3267" s="74">
        <v>1038081</v>
      </c>
      <c r="N3267" s="934" t="s">
        <v>99</v>
      </c>
      <c r="O3267" s="934" t="s">
        <v>250</v>
      </c>
      <c r="P3267" s="75" t="str">
        <f>IF(AND('331-CT'!$E$7=TH!H3267,OR(N3267="331",O3267="331")),"x","")</f>
        <v/>
      </c>
      <c r="Q3267" s="75" t="str">
        <f>IF(AND(B3267='111'!$L$11,OR($N3267=$Q$7,$O3267=$Q$7)),"x","")</f>
        <v/>
      </c>
      <c r="R3267" s="75" t="str">
        <f>IF(AND($N3267=$Q$7,$B3267&lt;'111'!$L$11),"x","")</f>
        <v/>
      </c>
      <c r="S3267" s="75" t="str">
        <f>IF(AND($O3267=$Q$7,$B3267&lt;'111'!$L$11),"x","")</f>
        <v/>
      </c>
      <c r="T3267" s="75" t="str">
        <f>IF(ISERROR(FIND('112'!$M$9,G3267,1)),"",IF((AND(FIND('112'!$M$9,G3267,1)&gt;=1,B3267='112'!$K$9,OR($N3267='112'!$I$6,$O3267='112'!$I$6))),"x",""))</f>
        <v/>
      </c>
      <c r="U3267" s="75" t="str">
        <f>IF(ISERROR(FIND('112'!$M$9,G3267,1)),"",IF((AND(LEFT(G3267,2)=LEFT('112'!$M$9,2),B3267&lt;'112'!$K$9,$N3267='112'!$I$6)),"x",""))</f>
        <v/>
      </c>
      <c r="V3267" s="75" t="str">
        <f>IF(ISERROR(FIND('112'!$M$9,G3267,1)),"",IF((AND(RIGHT(G3267,2)=RIGHT('112'!$M$9,2),B3267&lt;'112'!$K$9,$O3267='112'!$I$6)),"x",""))</f>
        <v/>
      </c>
      <c r="W3267" s="75" t="str">
        <f>IF(AND('341-CT'!$H$9=H3267,OR(LEFT(N3267,3)=$W$7,LEFT(O3267,3)=$W$7)),"x","")</f>
        <v/>
      </c>
      <c r="X3267" s="75" t="str">
        <f>IF(OR(TH!N3267=TH!$X$7,O3267=TH!$X$7),"x","")</f>
        <v/>
      </c>
      <c r="Y3267" s="75" t="str">
        <f>IF(AND(OR(N3267="131",O3267="131"),H3267='131-CT'!$H$9),"x","")</f>
        <v/>
      </c>
      <c r="Z3267" s="75"/>
      <c r="AA3267" s="75" t="str">
        <f>IF(AND(MONTH(E3267)='IN-NX'!$J$5,'IN-NX'!$D$7=D3267),"x","")</f>
        <v/>
      </c>
      <c r="AB3267" s="75" t="str">
        <f>IF(AND(OR(LEFT(TH!N3267,2)="15",LEFT(TH!O3267,2)="15"),LEFT(TH!O3267,3)&lt;&gt;"111",'152-CT'!$J$8=TH!F3267),"x","")</f>
        <v/>
      </c>
      <c r="AC3267" s="75" t="str">
        <f>IF(AND(OR(LEFT(TH!N3267,2)="15",LEFT(TH!O3267,2)="15"),TK!$E$7=TH!F3267),"x","")</f>
        <v/>
      </c>
      <c r="AD3267" s="75" t="str">
        <f>IF(AND(N3267="1521",MONTH(C3267)='BK-NL'!$M$11),"x","")</f>
        <v/>
      </c>
    </row>
    <row r="3268" spans="1:31" s="1264" customFormat="1" ht="16.5" customHeight="1">
      <c r="A3268" s="309" t="str">
        <f>IF(B3268&lt;&gt;"",IF(AND(B3268='IN-TC'!$S$4,OR(TH!N3268="1111",TH!O3268="1111")),TH!D3268,""),"")</f>
        <v/>
      </c>
      <c r="B3268" s="1282">
        <f t="shared" si="1218"/>
        <v>11</v>
      </c>
      <c r="C3268" s="929">
        <v>43060</v>
      </c>
      <c r="D3268" s="929" t="s">
        <v>903</v>
      </c>
      <c r="E3268" s="929">
        <f t="shared" si="1219"/>
        <v>43060</v>
      </c>
      <c r="F3268" s="930" t="s">
        <v>1086</v>
      </c>
      <c r="G3268" s="930" t="s">
        <v>747</v>
      </c>
      <c r="H3268" s="735" t="s">
        <v>1387</v>
      </c>
      <c r="I3268" s="1213"/>
      <c r="J3268" s="378"/>
      <c r="K3268" s="1213">
        <v>10162.34</v>
      </c>
      <c r="L3268" s="1214">
        <v>22700</v>
      </c>
      <c r="M3268" s="1214">
        <f t="shared" ref="M3268:M3269" si="1220">ROUND(K3268*L3268,0)</f>
        <v>230685118</v>
      </c>
      <c r="N3268" s="934" t="s">
        <v>256</v>
      </c>
      <c r="O3268" s="934" t="s">
        <v>536</v>
      </c>
      <c r="P3268" s="75" t="str">
        <f>IF(AND('331-CT'!$E$7=TH!H3268,OR(N3268="331",O3268="331")),"x","")</f>
        <v/>
      </c>
      <c r="Q3268" s="75" t="str">
        <f>IF(AND(B3268='111'!$L$11,OR($N3268=$Q$7,$O3268=$Q$7)),"x","")</f>
        <v/>
      </c>
      <c r="R3268" s="75" t="str">
        <f>IF(AND($N3268=$Q$7,$B3268&lt;'111'!$L$11),"x","")</f>
        <v/>
      </c>
      <c r="S3268" s="75" t="str">
        <f>IF(AND($O3268=$Q$7,$B3268&lt;'111'!$L$11),"x","")</f>
        <v/>
      </c>
      <c r="T3268" s="75" t="str">
        <f>IF(ISERROR(FIND('112'!$M$9,G3268,1)),"",IF((AND(FIND('112'!$M$9,G3268,1)&gt;=1,B3268='112'!$K$9,OR($N3268='112'!$I$6,$O3268='112'!$I$6))),"x",""))</f>
        <v/>
      </c>
      <c r="U3268" s="75" t="str">
        <f>IF(ISERROR(FIND('112'!$M$9,G3268,1)),"",IF((AND(LEFT(G3268,2)=LEFT('112'!$M$9,2),B3268&lt;'112'!$K$9,$N3268='112'!$I$6)),"x",""))</f>
        <v/>
      </c>
      <c r="V3268" s="75" t="str">
        <f>IF(ISERROR(FIND('112'!$M$9,G3268,1)),"",IF((AND(RIGHT(G3268,2)=RIGHT('112'!$M$9,2),B3268&lt;'112'!$K$9,$O3268='112'!$I$6)),"x",""))</f>
        <v/>
      </c>
      <c r="W3268" s="75" t="str">
        <f>IF(AND('341-CT'!$H$9=H3268,OR(LEFT(N3268,3)=$W$7,LEFT(O3268,3)=$W$7)),"x","")</f>
        <v/>
      </c>
      <c r="X3268" s="75" t="str">
        <f>IF(OR(TH!N3268=TH!$X$7,O3268=TH!$X$7),"x","")</f>
        <v/>
      </c>
      <c r="Y3268" s="75" t="str">
        <f>IF(AND(OR(N3268="131",O3268="131"),H3268='131-CT'!$H$9),"x","")</f>
        <v/>
      </c>
      <c r="Z3268" s="75"/>
      <c r="AA3268" s="75" t="str">
        <f>IF(AND(MONTH(E3268)='IN-NX'!$J$5,'IN-NX'!$D$7=D3268),"x","")</f>
        <v/>
      </c>
      <c r="AB3268" s="75" t="str">
        <f>IF(AND(OR(LEFT(TH!N3268,2)="15",LEFT(TH!O3268,2)="15"),LEFT(TH!O3268,3)&lt;&gt;"111",'152-CT'!$J$8=TH!F3268),"x","")</f>
        <v/>
      </c>
      <c r="AC3268" s="75" t="str">
        <f>IF(AND(OR(LEFT(TH!N3268,2)="15",LEFT(TH!O3268,2)="15"),TK!$E$7=TH!F3268),"x","")</f>
        <v/>
      </c>
      <c r="AD3268" s="75" t="str">
        <f>IF(AND(N3268="1521",MONTH(C3268)='BK-NL'!$M$11),"x","")</f>
        <v/>
      </c>
    </row>
    <row r="3269" spans="1:31" s="1264" customFormat="1" ht="16.5" customHeight="1">
      <c r="A3269" s="309" t="str">
        <f>IF(B3269&lt;&gt;"",IF(AND(B3269='IN-TC'!$S$4,OR(TH!N3269="1111",TH!O3269="1111")),TH!D3269,""),"")</f>
        <v/>
      </c>
      <c r="B3269" s="1282">
        <f t="shared" ref="B3269" si="1221">IF(C3269&lt;&gt;"",MONTH(C3269),"")</f>
        <v>11</v>
      </c>
      <c r="C3269" s="929">
        <v>43060</v>
      </c>
      <c r="D3269" s="929" t="s">
        <v>530</v>
      </c>
      <c r="E3269" s="929">
        <f t="shared" ref="E3269" si="1222">C3269</f>
        <v>43060</v>
      </c>
      <c r="F3269" s="930" t="s">
        <v>1027</v>
      </c>
      <c r="G3269" s="930" t="s">
        <v>747</v>
      </c>
      <c r="H3269" s="735" t="s">
        <v>1387</v>
      </c>
      <c r="I3269" s="1213"/>
      <c r="J3269" s="378"/>
      <c r="K3269" s="1213">
        <v>37.659999999999997</v>
      </c>
      <c r="L3269" s="1214">
        <v>22700</v>
      </c>
      <c r="M3269" s="1214">
        <f t="shared" si="1220"/>
        <v>854882</v>
      </c>
      <c r="N3269" s="934" t="s">
        <v>101</v>
      </c>
      <c r="O3269" s="934" t="s">
        <v>536</v>
      </c>
      <c r="P3269" s="75" t="str">
        <f>IF(AND('331-CT'!$E$7=TH!H3269,OR(N3269="331",O3269="331")),"x","")</f>
        <v/>
      </c>
      <c r="Q3269" s="75" t="str">
        <f>IF(AND(B3269='111'!$L$11,OR($N3269=$Q$7,$O3269=$Q$7)),"x","")</f>
        <v/>
      </c>
      <c r="R3269" s="75" t="str">
        <f>IF(AND($N3269=$Q$7,$B3269&lt;'111'!$L$11),"x","")</f>
        <v/>
      </c>
      <c r="S3269" s="75" t="str">
        <f>IF(AND($O3269=$Q$7,$B3269&lt;'111'!$L$11),"x","")</f>
        <v/>
      </c>
      <c r="T3269" s="75" t="str">
        <f>IF(ISERROR(FIND('112'!$M$9,G3269,1)),"",IF((AND(FIND('112'!$M$9,G3269,1)&gt;=1,B3269='112'!$K$9,OR($N3269='112'!$I$6,$O3269='112'!$I$6))),"x",""))</f>
        <v/>
      </c>
      <c r="U3269" s="75" t="str">
        <f>IF(ISERROR(FIND('112'!$M$9,G3269,1)),"",IF((AND(LEFT(G3269,2)=LEFT('112'!$M$9,2),B3269&lt;'112'!$K$9,$N3269='112'!$I$6)),"x",""))</f>
        <v/>
      </c>
      <c r="V3269" s="75" t="str">
        <f>IF(ISERROR(FIND('112'!$M$9,G3269,1)),"",IF((AND(RIGHT(G3269,2)=RIGHT('112'!$M$9,2),B3269&lt;'112'!$K$9,$O3269='112'!$I$6)),"x",""))</f>
        <v/>
      </c>
      <c r="W3269" s="75" t="str">
        <f>IF(AND('341-CT'!$H$9=H3269,OR(LEFT(N3269,3)=$W$7,LEFT(O3269,3)=$W$7)),"x","")</f>
        <v/>
      </c>
      <c r="X3269" s="75" t="str">
        <f>IF(OR(TH!N3269=TH!$X$7,O3269=TH!$X$7),"x","")</f>
        <v/>
      </c>
      <c r="Y3269" s="75" t="str">
        <f>IF(AND(OR(N3269="131",O3269="131"),H3269='131-CT'!$H$9),"x","")</f>
        <v/>
      </c>
      <c r="Z3269" s="75"/>
      <c r="AA3269" s="75" t="str">
        <f>IF(AND(MONTH(E3269)='IN-NX'!$J$5,'IN-NX'!$D$7=D3269),"x","")</f>
        <v/>
      </c>
      <c r="AB3269" s="75" t="str">
        <f>IF(AND(OR(LEFT(TH!N3269,2)="15",LEFT(TH!O3269,2)="15"),LEFT(TH!O3269,3)&lt;&gt;"111",'152-CT'!$J$8=TH!F3269),"x","")</f>
        <v/>
      </c>
      <c r="AC3269" s="75" t="str">
        <f>IF(AND(OR(LEFT(TH!N3269,2)="15",LEFT(TH!O3269,2)="15"),TK!$E$7=TH!F3269),"x","")</f>
        <v/>
      </c>
      <c r="AD3269" s="75" t="str">
        <f>IF(AND(N3269="1521",MONTH(C3269)='BK-NL'!$M$11),"x","")</f>
        <v/>
      </c>
    </row>
    <row r="3270" spans="1:31" s="1264" customFormat="1" ht="16.5" customHeight="1">
      <c r="A3270" s="309" t="str">
        <f>IF(B3270&lt;&gt;"",IF(AND(B3270='IN-TC'!$S$4,OR(TH!N3270="1111",TH!O3270="1111")),TH!D3270,""),"")</f>
        <v/>
      </c>
      <c r="B3270" s="1282">
        <f t="shared" ref="B3270" si="1223">IF(C3270&lt;&gt;"",MONTH(C3270),"")</f>
        <v>11</v>
      </c>
      <c r="C3270" s="929">
        <v>43060</v>
      </c>
      <c r="D3270" s="929" t="s">
        <v>530</v>
      </c>
      <c r="E3270" s="929">
        <f t="shared" ref="E3270" si="1224">C3270</f>
        <v>43060</v>
      </c>
      <c r="F3270" s="930" t="s">
        <v>1010</v>
      </c>
      <c r="G3270" s="930" t="s">
        <v>747</v>
      </c>
      <c r="H3270" s="735" t="s">
        <v>1387</v>
      </c>
      <c r="I3270" s="1213"/>
      <c r="J3270" s="378"/>
      <c r="K3270" s="1213"/>
      <c r="L3270" s="1214"/>
      <c r="M3270" s="74">
        <v>102000</v>
      </c>
      <c r="N3270" s="934" t="s">
        <v>536</v>
      </c>
      <c r="O3270" s="934" t="s">
        <v>43</v>
      </c>
      <c r="P3270" s="75" t="str">
        <f>IF(AND('331-CT'!$E$7=TH!H3270,OR(N3270="331",O3270="331")),"x","")</f>
        <v/>
      </c>
      <c r="Q3270" s="75" t="str">
        <f>IF(AND(B3270='111'!$L$11,OR($N3270=$Q$7,$O3270=$Q$7)),"x","")</f>
        <v/>
      </c>
      <c r="R3270" s="75" t="str">
        <f>IF(AND($N3270=$Q$7,$B3270&lt;'111'!$L$11),"x","")</f>
        <v/>
      </c>
      <c r="S3270" s="75" t="str">
        <f>IF(AND($O3270=$Q$7,$B3270&lt;'111'!$L$11),"x","")</f>
        <v/>
      </c>
      <c r="T3270" s="75" t="str">
        <f>IF(ISERROR(FIND('112'!$M$9,G3270,1)),"",IF((AND(FIND('112'!$M$9,G3270,1)&gt;=1,B3270='112'!$K$9,OR($N3270='112'!$I$6,$O3270='112'!$I$6))),"x",""))</f>
        <v/>
      </c>
      <c r="U3270" s="75" t="str">
        <f>IF(ISERROR(FIND('112'!$M$9,G3270,1)),"",IF((AND(LEFT(G3270,2)=LEFT('112'!$M$9,2),B3270&lt;'112'!$K$9,$N3270='112'!$I$6)),"x",""))</f>
        <v/>
      </c>
      <c r="V3270" s="75" t="str">
        <f>IF(ISERROR(FIND('112'!$M$9,G3270,1)),"",IF((AND(RIGHT(G3270,2)=RIGHT('112'!$M$9,2),B3270&lt;'112'!$K$9,$O3270='112'!$I$6)),"x",""))</f>
        <v/>
      </c>
      <c r="W3270" s="75" t="str">
        <f>IF(AND('341-CT'!$H$9=H3270,OR(LEFT(N3270,3)=$W$7,LEFT(O3270,3)=$W$7)),"x","")</f>
        <v/>
      </c>
      <c r="X3270" s="75" t="str">
        <f>IF(OR(TH!N3270=TH!$X$7,O3270=TH!$X$7),"x","")</f>
        <v/>
      </c>
      <c r="Y3270" s="75" t="str">
        <f>IF(AND(OR(N3270="131",O3270="131"),H3270='131-CT'!$H$9),"x","")</f>
        <v/>
      </c>
      <c r="Z3270" s="75"/>
      <c r="AA3270" s="75" t="str">
        <f>IF(AND(MONTH(E3270)='IN-NX'!$J$5,'IN-NX'!$D$7=D3270),"x","")</f>
        <v/>
      </c>
      <c r="AB3270" s="75" t="str">
        <f>IF(AND(OR(LEFT(TH!N3270,2)="15",LEFT(TH!O3270,2)="15"),LEFT(TH!O3270,3)&lt;&gt;"111",'152-CT'!$J$8=TH!F3270),"x","")</f>
        <v/>
      </c>
      <c r="AC3270" s="75" t="str">
        <f>IF(AND(OR(LEFT(TH!N3270,2)="15",LEFT(TH!O3270,2)="15"),TK!$E$7=TH!F3270),"x","")</f>
        <v/>
      </c>
      <c r="AD3270" s="75" t="str">
        <f>IF(AND(N3270="1521",MONTH(C3270)='BK-NL'!$M$11),"x","")</f>
        <v/>
      </c>
    </row>
    <row r="3271" spans="1:31" s="1264" customFormat="1" ht="16.5" customHeight="1">
      <c r="A3271" s="309" t="str">
        <f>IF(B3271&lt;&gt;"",IF(AND(B3271='IN-TC'!$S$4,OR(TH!N3271="1111",TH!O3271="1111")),TH!D3271,""),"")</f>
        <v/>
      </c>
      <c r="B3271" s="1282">
        <f t="shared" si="1218"/>
        <v>11</v>
      </c>
      <c r="C3271" s="929">
        <v>43061</v>
      </c>
      <c r="D3271" s="929" t="s">
        <v>902</v>
      </c>
      <c r="E3271" s="929">
        <f t="shared" si="1219"/>
        <v>43061</v>
      </c>
      <c r="F3271" s="930" t="s">
        <v>918</v>
      </c>
      <c r="G3271" s="930" t="s">
        <v>2579</v>
      </c>
      <c r="H3271" s="735" t="s">
        <v>835</v>
      </c>
      <c r="I3271" s="1213"/>
      <c r="J3271" s="378"/>
      <c r="K3271" s="1213">
        <v>3600</v>
      </c>
      <c r="L3271" s="1214">
        <v>22700</v>
      </c>
      <c r="M3271" s="1214">
        <f t="shared" ref="M3271" si="1225">ROUND(K3271*L3271,0)</f>
        <v>81720000</v>
      </c>
      <c r="N3271" s="934" t="s">
        <v>256</v>
      </c>
      <c r="O3271" s="934" t="s">
        <v>256</v>
      </c>
      <c r="P3271" s="75" t="str">
        <f>IF(AND('331-CT'!$E$7=TH!H3271,OR(N3271="331",O3271="331")),"x","")</f>
        <v/>
      </c>
      <c r="Q3271" s="75" t="str">
        <f>IF(AND(B3271='111'!$L$11,OR($N3271=$Q$7,$O3271=$Q$7)),"x","")</f>
        <v/>
      </c>
      <c r="R3271" s="75" t="str">
        <f>IF(AND($N3271=$Q$7,$B3271&lt;'111'!$L$11),"x","")</f>
        <v/>
      </c>
      <c r="S3271" s="75" t="str">
        <f>IF(AND($O3271=$Q$7,$B3271&lt;'111'!$L$11),"x","")</f>
        <v/>
      </c>
      <c r="T3271" s="75" t="str">
        <f>IF(ISERROR(FIND('112'!$M$9,G3271,1)),"",IF((AND(FIND('112'!$M$9,G3271,1)&gt;=1,B3271='112'!$K$9,OR($N3271='112'!$I$6,$O3271='112'!$I$6))),"x",""))</f>
        <v/>
      </c>
      <c r="U3271" s="75" t="str">
        <f>IF(ISERROR(FIND('112'!$M$9,G3271,1)),"",IF((AND(LEFT(G3271,2)=LEFT('112'!$M$9,2),B3271&lt;'112'!$K$9,$N3271='112'!$I$6)),"x",""))</f>
        <v/>
      </c>
      <c r="V3271" s="75" t="str">
        <f>IF(ISERROR(FIND('112'!$M$9,G3271,1)),"",IF((AND(RIGHT(G3271,2)=RIGHT('112'!$M$9,2),B3271&lt;'112'!$K$9,$O3271='112'!$I$6)),"x",""))</f>
        <v/>
      </c>
      <c r="W3271" s="75" t="str">
        <f>IF(AND('341-CT'!$H$9=H3271,OR(LEFT(N3271,3)=$W$7,LEFT(O3271,3)=$W$7)),"x","")</f>
        <v/>
      </c>
      <c r="X3271" s="75" t="str">
        <f>IF(OR(TH!N3271=TH!$X$7,O3271=TH!$X$7),"x","")</f>
        <v/>
      </c>
      <c r="Y3271" s="75" t="str">
        <f>IF(AND(OR(N3271="131",O3271="131"),H3271='131-CT'!$H$9),"x","")</f>
        <v/>
      </c>
      <c r="Z3271" s="75"/>
      <c r="AA3271" s="75" t="str">
        <f>IF(AND(MONTH(E3271)='IN-NX'!$J$5,'IN-NX'!$D$7=D3271),"x","")</f>
        <v/>
      </c>
      <c r="AB3271" s="75" t="str">
        <f>IF(AND(OR(LEFT(TH!N3271,2)="15",LEFT(TH!O3271,2)="15"),LEFT(TH!O3271,3)&lt;&gt;"111",'152-CT'!$J$8=TH!F3271),"x","")</f>
        <v/>
      </c>
      <c r="AC3271" s="75" t="str">
        <f>IF(AND(OR(LEFT(TH!N3271,2)="15",LEFT(TH!O3271,2)="15"),TK!$E$7=TH!F3271),"x","")</f>
        <v/>
      </c>
      <c r="AD3271" s="75" t="str">
        <f>IF(AND(N3271="1521",MONTH(C3271)='BK-NL'!$M$11),"x","")</f>
        <v/>
      </c>
    </row>
    <row r="3272" spans="1:31" s="1264" customFormat="1" ht="16.5" customHeight="1">
      <c r="A3272" s="309" t="str">
        <f>IF(B3272&lt;&gt;"",IF(AND(B3272='IN-TC'!$S$4,OR(TH!N3272="1111",TH!O3272="1111")),TH!D3272,""),"")</f>
        <v/>
      </c>
      <c r="B3272" s="1282">
        <f t="shared" si="1218"/>
        <v>11</v>
      </c>
      <c r="C3272" s="929">
        <v>43061</v>
      </c>
      <c r="D3272" s="929" t="s">
        <v>902</v>
      </c>
      <c r="E3272" s="929">
        <f t="shared" ref="E3272:E3273" si="1226">C3272</f>
        <v>43061</v>
      </c>
      <c r="F3272" s="930" t="s">
        <v>2266</v>
      </c>
      <c r="G3272" s="930" t="s">
        <v>747</v>
      </c>
      <c r="H3272" s="735" t="s">
        <v>835</v>
      </c>
      <c r="I3272" s="1213"/>
      <c r="J3272" s="378"/>
      <c r="K3272" s="1213">
        <v>3</v>
      </c>
      <c r="L3272" s="1214">
        <v>22700</v>
      </c>
      <c r="M3272" s="74">
        <f t="shared" ref="M3272:M3290" si="1227">ROUND(K3272*L3272,0)</f>
        <v>68100</v>
      </c>
      <c r="N3272" s="934" t="s">
        <v>101</v>
      </c>
      <c r="O3272" s="934" t="s">
        <v>256</v>
      </c>
      <c r="P3272" s="75" t="str">
        <f>IF(AND('331-CT'!$E$7=TH!H3272,OR(N3272="331",O3272="331")),"x","")</f>
        <v/>
      </c>
      <c r="Q3272" s="75" t="str">
        <f>IF(AND(B3272='111'!$L$11,OR($N3272=$Q$7,$O3272=$Q$7)),"x","")</f>
        <v/>
      </c>
      <c r="R3272" s="75" t="str">
        <f>IF(AND($N3272=$Q$7,$B3272&lt;'111'!$L$11),"x","")</f>
        <v/>
      </c>
      <c r="S3272" s="75" t="str">
        <f>IF(AND($O3272=$Q$7,$B3272&lt;'111'!$L$11),"x","")</f>
        <v/>
      </c>
      <c r="T3272" s="75" t="str">
        <f>IF(ISERROR(FIND('112'!$M$9,G3272,1)),"",IF((AND(FIND('112'!$M$9,G3272,1)&gt;=1,B3272='112'!$K$9,OR($N3272='112'!$I$6,$O3272='112'!$I$6))),"x",""))</f>
        <v/>
      </c>
      <c r="U3272" s="75" t="str">
        <f>IF(ISERROR(FIND('112'!$M$9,G3272,1)),"",IF((AND(LEFT(G3272,2)=LEFT('112'!$M$9,2),B3272&lt;'112'!$K$9,$N3272='112'!$I$6)),"x",""))</f>
        <v/>
      </c>
      <c r="V3272" s="75" t="str">
        <f>IF(ISERROR(FIND('112'!$M$9,G3272,1)),"",IF((AND(RIGHT(G3272,2)=RIGHT('112'!$M$9,2),B3272&lt;'112'!$K$9,$O3272='112'!$I$6)),"x",""))</f>
        <v/>
      </c>
      <c r="W3272" s="75" t="str">
        <f>IF(AND('341-CT'!$H$9=H3272,OR(LEFT(N3272,3)=$W$7,LEFT(O3272,3)=$W$7)),"x","")</f>
        <v/>
      </c>
      <c r="X3272" s="75" t="str">
        <f>IF(OR(TH!N3272=TH!$X$7,O3272=TH!$X$7),"x","")</f>
        <v/>
      </c>
      <c r="Y3272" s="75" t="str">
        <f>IF(AND(OR(N3272="131",O3272="131"),H3272='131-CT'!$H$9),"x","")</f>
        <v/>
      </c>
      <c r="Z3272" s="75"/>
      <c r="AA3272" s="75" t="str">
        <f>IF(AND(MONTH(E3272)='IN-NX'!$J$5,'IN-NX'!$D$7=D3272),"x","")</f>
        <v/>
      </c>
      <c r="AB3272" s="75" t="str">
        <f>IF(AND(OR(LEFT(TH!N3272,2)="15",LEFT(TH!O3272,2)="15"),LEFT(TH!O3272,3)&lt;&gt;"111",'152-CT'!$J$8=TH!F3272),"x","")</f>
        <v/>
      </c>
      <c r="AC3272" s="75" t="str">
        <f>IF(AND(OR(LEFT(TH!N3272,2)="15",LEFT(TH!O3272,2)="15"),TK!$E$7=TH!F3272),"x","")</f>
        <v/>
      </c>
      <c r="AD3272" s="75" t="str">
        <f>IF(AND(N3272="1521",MONTH(C3272)='BK-NL'!$M$11),"x","")</f>
        <v/>
      </c>
      <c r="AE3272" s="1264">
        <v>11</v>
      </c>
    </row>
    <row r="3273" spans="1:31" s="1264" customFormat="1" ht="16.5" customHeight="1">
      <c r="A3273" s="309" t="str">
        <f>IF(B3273&lt;&gt;"",IF(AND(B3273='IN-TC'!$S$4,OR(TH!N3273="1111",TH!O3273="1111")),TH!D3273,""),"")</f>
        <v/>
      </c>
      <c r="B3273" s="1282">
        <f t="shared" si="1218"/>
        <v>11</v>
      </c>
      <c r="C3273" s="929">
        <v>43061</v>
      </c>
      <c r="D3273" s="929" t="s">
        <v>902</v>
      </c>
      <c r="E3273" s="929">
        <f t="shared" si="1226"/>
        <v>43061</v>
      </c>
      <c r="F3273" s="930" t="s">
        <v>2267</v>
      </c>
      <c r="G3273" s="930" t="s">
        <v>747</v>
      </c>
      <c r="H3273" s="735" t="s">
        <v>835</v>
      </c>
      <c r="I3273" s="1213"/>
      <c r="J3273" s="378"/>
      <c r="K3273" s="1213">
        <v>0.3</v>
      </c>
      <c r="L3273" s="1214">
        <v>22700</v>
      </c>
      <c r="M3273" s="74">
        <f t="shared" si="1227"/>
        <v>6810</v>
      </c>
      <c r="N3273" s="934" t="s">
        <v>9</v>
      </c>
      <c r="O3273" s="934" t="s">
        <v>256</v>
      </c>
      <c r="P3273" s="75" t="str">
        <f>IF(AND('331-CT'!$E$7=TH!H3273,OR(N3273="331",O3273="331")),"x","")</f>
        <v/>
      </c>
      <c r="Q3273" s="75" t="str">
        <f>IF(AND(B3273='111'!$L$11,OR($N3273=$Q$7,$O3273=$Q$7)),"x","")</f>
        <v/>
      </c>
      <c r="R3273" s="75" t="str">
        <f>IF(AND($N3273=$Q$7,$B3273&lt;'111'!$L$11),"x","")</f>
        <v/>
      </c>
      <c r="S3273" s="75" t="str">
        <f>IF(AND($O3273=$Q$7,$B3273&lt;'111'!$L$11),"x","")</f>
        <v/>
      </c>
      <c r="T3273" s="75" t="str">
        <f>IF(ISERROR(FIND('112'!$M$9,G3273,1)),"",IF((AND(FIND('112'!$M$9,G3273,1)&gt;=1,B3273='112'!$K$9,OR($N3273='112'!$I$6,$O3273='112'!$I$6))),"x",""))</f>
        <v/>
      </c>
      <c r="U3273" s="75" t="str">
        <f>IF(ISERROR(FIND('112'!$M$9,G3273,1)),"",IF((AND(LEFT(G3273,2)=LEFT('112'!$M$9,2),B3273&lt;'112'!$K$9,$N3273='112'!$I$6)),"x",""))</f>
        <v/>
      </c>
      <c r="V3273" s="75" t="str">
        <f>IF(ISERROR(FIND('112'!$M$9,G3273,1)),"",IF((AND(RIGHT(G3273,2)=RIGHT('112'!$M$9,2),B3273&lt;'112'!$K$9,$O3273='112'!$I$6)),"x",""))</f>
        <v/>
      </c>
      <c r="W3273" s="75" t="str">
        <f>IF(AND('341-CT'!$H$9=H3273,OR(LEFT(N3273,3)=$W$7,LEFT(O3273,3)=$W$7)),"x","")</f>
        <v/>
      </c>
      <c r="X3273" s="75" t="str">
        <f>IF(OR(TH!N3273=TH!$X$7,O3273=TH!$X$7),"x","")</f>
        <v/>
      </c>
      <c r="Y3273" s="75" t="str">
        <f>IF(AND(OR(N3273="131",O3273="131"),H3273='131-CT'!$H$9),"x","")</f>
        <v/>
      </c>
      <c r="Z3273" s="75"/>
      <c r="AA3273" s="75" t="str">
        <f>IF(AND(MONTH(E3273)='IN-NX'!$J$5,'IN-NX'!$D$7=D3273),"x","")</f>
        <v/>
      </c>
      <c r="AB3273" s="75" t="str">
        <f>IF(AND(OR(LEFT(TH!N3273,2)="15",LEFT(TH!O3273,2)="15"),LEFT(TH!O3273,3)&lt;&gt;"111",'152-CT'!$J$8=TH!F3273),"x","")</f>
        <v/>
      </c>
      <c r="AC3273" s="75" t="str">
        <f>IF(AND(OR(LEFT(TH!N3273,2)="15",LEFT(TH!O3273,2)="15"),TK!$E$7=TH!F3273),"x","")</f>
        <v/>
      </c>
      <c r="AD3273" s="75" t="str">
        <f>IF(AND(N3273="1521",MONTH(C3273)='BK-NL'!$M$11),"x","")</f>
        <v/>
      </c>
      <c r="AE3273" s="1264">
        <v>11</v>
      </c>
    </row>
    <row r="3274" spans="1:31" s="1264" customFormat="1" ht="16.5" customHeight="1">
      <c r="A3274" s="309" t="str">
        <f>IF(B3274&lt;&gt;"",IF(AND(B3274='IN-TC'!$S$4,OR(TH!N3274="1111",TH!O3274="1111")),TH!D3274,""),"")</f>
        <v/>
      </c>
      <c r="B3274" s="1282">
        <f t="shared" si="1218"/>
        <v>11</v>
      </c>
      <c r="C3274" s="929">
        <v>43061</v>
      </c>
      <c r="D3274" s="929" t="s">
        <v>902</v>
      </c>
      <c r="E3274" s="929">
        <f t="shared" ref="E3274:E3284" si="1228">C3274</f>
        <v>43061</v>
      </c>
      <c r="F3274" s="930" t="s">
        <v>1096</v>
      </c>
      <c r="G3274" s="930" t="s">
        <v>747</v>
      </c>
      <c r="H3274" s="735" t="s">
        <v>2033</v>
      </c>
      <c r="I3274" s="1213"/>
      <c r="J3274" s="378"/>
      <c r="K3274" s="1213">
        <v>206.06</v>
      </c>
      <c r="L3274" s="1214">
        <v>22700</v>
      </c>
      <c r="M3274" s="74">
        <f t="shared" si="1227"/>
        <v>4677562</v>
      </c>
      <c r="N3274" s="934" t="s">
        <v>99</v>
      </c>
      <c r="O3274" s="934" t="s">
        <v>256</v>
      </c>
      <c r="P3274" s="75" t="str">
        <f>IF(AND('331-CT'!$E$7=TH!H3274,OR(N3274="331",O3274="331")),"x","")</f>
        <v/>
      </c>
      <c r="Q3274" s="75" t="str">
        <f>IF(AND(B3274='111'!$L$11,OR($N3274=$Q$7,$O3274=$Q$7)),"x","")</f>
        <v/>
      </c>
      <c r="R3274" s="75" t="str">
        <f>IF(AND($N3274=$Q$7,$B3274&lt;'111'!$L$11),"x","")</f>
        <v/>
      </c>
      <c r="S3274" s="75" t="str">
        <f>IF(AND($O3274=$Q$7,$B3274&lt;'111'!$L$11),"x","")</f>
        <v/>
      </c>
      <c r="T3274" s="75" t="str">
        <f>IF(ISERROR(FIND('112'!$M$9,G3274,1)),"",IF((AND(FIND('112'!$M$9,G3274,1)&gt;=1,B3274='112'!$K$9,OR($N3274='112'!$I$6,$O3274='112'!$I$6))),"x",""))</f>
        <v/>
      </c>
      <c r="U3274" s="75" t="str">
        <f>IF(ISERROR(FIND('112'!$M$9,G3274,1)),"",IF((AND(LEFT(G3274,2)=LEFT('112'!$M$9,2),B3274&lt;'112'!$K$9,$N3274='112'!$I$6)),"x",""))</f>
        <v/>
      </c>
      <c r="V3274" s="75" t="str">
        <f>IF(ISERROR(FIND('112'!$M$9,G3274,1)),"",IF((AND(RIGHT(G3274,2)=RIGHT('112'!$M$9,2),B3274&lt;'112'!$K$9,$O3274='112'!$I$6)),"x",""))</f>
        <v/>
      </c>
      <c r="W3274" s="75" t="str">
        <f>IF(AND('341-CT'!$H$9=H3274,OR(LEFT(N3274,3)=$W$7,LEFT(O3274,3)=$W$7)),"x","")</f>
        <v/>
      </c>
      <c r="X3274" s="75" t="str">
        <f>IF(OR(TH!N3274=TH!$X$7,O3274=TH!$X$7),"x","")</f>
        <v/>
      </c>
      <c r="Y3274" s="75" t="str">
        <f>IF(AND(OR(N3274="131",O3274="131"),H3274='131-CT'!$H$9),"x","")</f>
        <v/>
      </c>
      <c r="Z3274" s="75"/>
      <c r="AA3274" s="75" t="str">
        <f>IF(AND(MONTH(E3274)='IN-NX'!$J$5,'IN-NX'!$D$7=D3274),"x","")</f>
        <v/>
      </c>
      <c r="AB3274" s="75" t="str">
        <f>IF(AND(OR(LEFT(TH!N3274,2)="15",LEFT(TH!O3274,2)="15"),LEFT(TH!O3274,3)&lt;&gt;"111",'152-CT'!$J$8=TH!F3274),"x","")</f>
        <v/>
      </c>
      <c r="AC3274" s="75" t="str">
        <f>IF(AND(OR(LEFT(TH!N3274,2)="15",LEFT(TH!O3274,2)="15"),TK!$E$7=TH!F3274),"x","")</f>
        <v/>
      </c>
      <c r="AD3274" s="75" t="str">
        <f>IF(AND(N3274="1521",MONTH(C3274)='BK-NL'!$M$11),"x","")</f>
        <v/>
      </c>
    </row>
    <row r="3275" spans="1:31" s="1264" customFormat="1" ht="16.5" customHeight="1">
      <c r="A3275" s="309" t="str">
        <f>IF(B3275&lt;&gt;"",IF(AND(B3275='IN-TC'!$S$4,OR(TH!N3275="1111",TH!O3275="1111")),TH!D3275,""),"")</f>
        <v/>
      </c>
      <c r="B3275" s="1282">
        <f t="shared" si="1218"/>
        <v>11</v>
      </c>
      <c r="C3275" s="929">
        <v>43061</v>
      </c>
      <c r="D3275" s="929" t="s">
        <v>902</v>
      </c>
      <c r="E3275" s="929">
        <f t="shared" si="1228"/>
        <v>43061</v>
      </c>
      <c r="F3275" s="930" t="s">
        <v>1096</v>
      </c>
      <c r="G3275" s="930" t="s">
        <v>747</v>
      </c>
      <c r="H3275" s="735" t="s">
        <v>1781</v>
      </c>
      <c r="I3275" s="1213"/>
      <c r="J3275" s="378"/>
      <c r="K3275" s="1213">
        <v>308.33</v>
      </c>
      <c r="L3275" s="1214">
        <v>22700</v>
      </c>
      <c r="M3275" s="74">
        <f t="shared" si="1227"/>
        <v>6999091</v>
      </c>
      <c r="N3275" s="934" t="s">
        <v>99</v>
      </c>
      <c r="O3275" s="934" t="s">
        <v>256</v>
      </c>
      <c r="P3275" s="75" t="str">
        <f>IF(AND('331-CT'!$E$7=TH!H3275,OR(N3275="331",O3275="331")),"x","")</f>
        <v/>
      </c>
      <c r="Q3275" s="75" t="str">
        <f>IF(AND(B3275='111'!$L$11,OR($N3275=$Q$7,$O3275=$Q$7)),"x","")</f>
        <v/>
      </c>
      <c r="R3275" s="75" t="str">
        <f>IF(AND($N3275=$Q$7,$B3275&lt;'111'!$L$11),"x","")</f>
        <v/>
      </c>
      <c r="S3275" s="75" t="str">
        <f>IF(AND($O3275=$Q$7,$B3275&lt;'111'!$L$11),"x","")</f>
        <v/>
      </c>
      <c r="T3275" s="75" t="str">
        <f>IF(ISERROR(FIND('112'!$M$9,G3275,1)),"",IF((AND(FIND('112'!$M$9,G3275,1)&gt;=1,B3275='112'!$K$9,OR($N3275='112'!$I$6,$O3275='112'!$I$6))),"x",""))</f>
        <v/>
      </c>
      <c r="U3275" s="75" t="str">
        <f>IF(ISERROR(FIND('112'!$M$9,G3275,1)),"",IF((AND(LEFT(G3275,2)=LEFT('112'!$M$9,2),B3275&lt;'112'!$K$9,$N3275='112'!$I$6)),"x",""))</f>
        <v/>
      </c>
      <c r="V3275" s="75" t="str">
        <f>IF(ISERROR(FIND('112'!$M$9,G3275,1)),"",IF((AND(RIGHT(G3275,2)=RIGHT('112'!$M$9,2),B3275&lt;'112'!$K$9,$O3275='112'!$I$6)),"x",""))</f>
        <v/>
      </c>
      <c r="W3275" s="75" t="str">
        <f>IF(AND('341-CT'!$H$9=H3275,OR(LEFT(N3275,3)=$W$7,LEFT(O3275,3)=$W$7)),"x","")</f>
        <v/>
      </c>
      <c r="X3275" s="75" t="str">
        <f>IF(OR(TH!N3275=TH!$X$7,O3275=TH!$X$7),"x","")</f>
        <v/>
      </c>
      <c r="Y3275" s="75" t="str">
        <f>IF(AND(OR(N3275="131",O3275="131"),H3275='131-CT'!$H$9),"x","")</f>
        <v/>
      </c>
      <c r="Z3275" s="75"/>
      <c r="AA3275" s="75" t="str">
        <f>IF(AND(MONTH(E3275)='IN-NX'!$J$5,'IN-NX'!$D$7=D3275),"x","")</f>
        <v/>
      </c>
      <c r="AB3275" s="75" t="str">
        <f>IF(AND(OR(LEFT(TH!N3275,2)="15",LEFT(TH!O3275,2)="15"),LEFT(TH!O3275,3)&lt;&gt;"111",'152-CT'!$J$8=TH!F3275),"x","")</f>
        <v/>
      </c>
      <c r="AC3275" s="75" t="str">
        <f>IF(AND(OR(LEFT(TH!N3275,2)="15",LEFT(TH!O3275,2)="15"),TK!$E$7=TH!F3275),"x","")</f>
        <v/>
      </c>
      <c r="AD3275" s="75" t="str">
        <f>IF(AND(N3275="1521",MONTH(C3275)='BK-NL'!$M$11),"x","")</f>
        <v/>
      </c>
    </row>
    <row r="3276" spans="1:31" s="1264" customFormat="1" ht="16.5" customHeight="1">
      <c r="A3276" s="309" t="str">
        <f>IF(B3276&lt;&gt;"",IF(AND(B3276='IN-TC'!$S$4,OR(TH!N3276="1111",TH!O3276="1111")),TH!D3276,""),"")</f>
        <v/>
      </c>
      <c r="B3276" s="1282">
        <f t="shared" si="1218"/>
        <v>11</v>
      </c>
      <c r="C3276" s="929">
        <v>43061</v>
      </c>
      <c r="D3276" s="929" t="s">
        <v>902</v>
      </c>
      <c r="E3276" s="929">
        <f t="shared" si="1228"/>
        <v>43061</v>
      </c>
      <c r="F3276" s="930" t="s">
        <v>1096</v>
      </c>
      <c r="G3276" s="930" t="s">
        <v>747</v>
      </c>
      <c r="H3276" s="735" t="s">
        <v>2540</v>
      </c>
      <c r="I3276" s="1213"/>
      <c r="J3276" s="378"/>
      <c r="K3276" s="1213">
        <v>69.42</v>
      </c>
      <c r="L3276" s="1214">
        <v>22700</v>
      </c>
      <c r="M3276" s="74">
        <f t="shared" si="1227"/>
        <v>1575834</v>
      </c>
      <c r="N3276" s="934" t="s">
        <v>99</v>
      </c>
      <c r="O3276" s="934" t="s">
        <v>256</v>
      </c>
      <c r="P3276" s="75" t="str">
        <f>IF(AND('331-CT'!$E$7=TH!H3276,OR(N3276="331",O3276="331")),"x","")</f>
        <v/>
      </c>
      <c r="Q3276" s="75" t="str">
        <f>IF(AND(B3276='111'!$L$11,OR($N3276=$Q$7,$O3276=$Q$7)),"x","")</f>
        <v/>
      </c>
      <c r="R3276" s="75" t="str">
        <f>IF(AND($N3276=$Q$7,$B3276&lt;'111'!$L$11),"x","")</f>
        <v/>
      </c>
      <c r="S3276" s="75" t="str">
        <f>IF(AND($O3276=$Q$7,$B3276&lt;'111'!$L$11),"x","")</f>
        <v/>
      </c>
      <c r="T3276" s="75" t="str">
        <f>IF(ISERROR(FIND('112'!$M$9,G3276,1)),"",IF((AND(FIND('112'!$M$9,G3276,1)&gt;=1,B3276='112'!$K$9,OR($N3276='112'!$I$6,$O3276='112'!$I$6))),"x",""))</f>
        <v/>
      </c>
      <c r="U3276" s="75" t="str">
        <f>IF(ISERROR(FIND('112'!$M$9,G3276,1)),"",IF((AND(LEFT(G3276,2)=LEFT('112'!$M$9,2),B3276&lt;'112'!$K$9,$N3276='112'!$I$6)),"x",""))</f>
        <v/>
      </c>
      <c r="V3276" s="75" t="str">
        <f>IF(ISERROR(FIND('112'!$M$9,G3276,1)),"",IF((AND(RIGHT(G3276,2)=RIGHT('112'!$M$9,2),B3276&lt;'112'!$K$9,$O3276='112'!$I$6)),"x",""))</f>
        <v/>
      </c>
      <c r="W3276" s="75" t="str">
        <f>IF(AND('341-CT'!$H$9=H3276,OR(LEFT(N3276,3)=$W$7,LEFT(O3276,3)=$W$7)),"x","")</f>
        <v/>
      </c>
      <c r="X3276" s="75" t="str">
        <f>IF(OR(TH!N3276=TH!$X$7,O3276=TH!$X$7),"x","")</f>
        <v/>
      </c>
      <c r="Y3276" s="75" t="str">
        <f>IF(AND(OR(N3276="131",O3276="131"),H3276='131-CT'!$H$9),"x","")</f>
        <v/>
      </c>
      <c r="Z3276" s="75"/>
      <c r="AA3276" s="75" t="str">
        <f>IF(AND(MONTH(E3276)='IN-NX'!$J$5,'IN-NX'!$D$7=D3276),"x","")</f>
        <v/>
      </c>
      <c r="AB3276" s="75" t="str">
        <f>IF(AND(OR(LEFT(TH!N3276,2)="15",LEFT(TH!O3276,2)="15"),LEFT(TH!O3276,3)&lt;&gt;"111",'152-CT'!$J$8=TH!F3276),"x","")</f>
        <v/>
      </c>
      <c r="AC3276" s="75" t="str">
        <f>IF(AND(OR(LEFT(TH!N3276,2)="15",LEFT(TH!O3276,2)="15"),TK!$E$7=TH!F3276),"x","")</f>
        <v/>
      </c>
      <c r="AD3276" s="75" t="str">
        <f>IF(AND(N3276="1521",MONTH(C3276)='BK-NL'!$M$11),"x","")</f>
        <v/>
      </c>
    </row>
    <row r="3277" spans="1:31" s="1264" customFormat="1" ht="16.5" customHeight="1">
      <c r="A3277" s="309" t="str">
        <f>IF(B3277&lt;&gt;"",IF(AND(B3277='IN-TC'!$S$4,OR(TH!N3277="1111",TH!O3277="1111")),TH!D3277,""),"")</f>
        <v/>
      </c>
      <c r="B3277" s="1282">
        <f t="shared" si="1218"/>
        <v>11</v>
      </c>
      <c r="C3277" s="929">
        <v>43061</v>
      </c>
      <c r="D3277" s="929" t="s">
        <v>902</v>
      </c>
      <c r="E3277" s="929">
        <f t="shared" si="1228"/>
        <v>43061</v>
      </c>
      <c r="F3277" s="930" t="s">
        <v>1096</v>
      </c>
      <c r="G3277" s="930" t="s">
        <v>747</v>
      </c>
      <c r="H3277" s="735" t="s">
        <v>2645</v>
      </c>
      <c r="I3277" s="1213"/>
      <c r="J3277" s="378"/>
      <c r="K3277" s="1213">
        <v>277.99</v>
      </c>
      <c r="L3277" s="1214">
        <v>22700</v>
      </c>
      <c r="M3277" s="74">
        <f t="shared" si="1227"/>
        <v>6310373</v>
      </c>
      <c r="N3277" s="934" t="s">
        <v>99</v>
      </c>
      <c r="O3277" s="934" t="s">
        <v>256</v>
      </c>
      <c r="P3277" s="75" t="str">
        <f>IF(AND('331-CT'!$E$7=TH!H3277,OR(N3277="331",O3277="331")),"x","")</f>
        <v/>
      </c>
      <c r="Q3277" s="75" t="str">
        <f>IF(AND(B3277='111'!$L$11,OR($N3277=$Q$7,$O3277=$Q$7)),"x","")</f>
        <v/>
      </c>
      <c r="R3277" s="75" t="str">
        <f>IF(AND($N3277=$Q$7,$B3277&lt;'111'!$L$11),"x","")</f>
        <v/>
      </c>
      <c r="S3277" s="75" t="str">
        <f>IF(AND($O3277=$Q$7,$B3277&lt;'111'!$L$11),"x","")</f>
        <v/>
      </c>
      <c r="T3277" s="75" t="str">
        <f>IF(ISERROR(FIND('112'!$M$9,G3277,1)),"",IF((AND(FIND('112'!$M$9,G3277,1)&gt;=1,B3277='112'!$K$9,OR($N3277='112'!$I$6,$O3277='112'!$I$6))),"x",""))</f>
        <v/>
      </c>
      <c r="U3277" s="75" t="str">
        <f>IF(ISERROR(FIND('112'!$M$9,G3277,1)),"",IF((AND(LEFT(G3277,2)=LEFT('112'!$M$9,2),B3277&lt;'112'!$K$9,$N3277='112'!$I$6)),"x",""))</f>
        <v/>
      </c>
      <c r="V3277" s="75" t="str">
        <f>IF(ISERROR(FIND('112'!$M$9,G3277,1)),"",IF((AND(RIGHT(G3277,2)=RIGHT('112'!$M$9,2),B3277&lt;'112'!$K$9,$O3277='112'!$I$6)),"x",""))</f>
        <v/>
      </c>
      <c r="W3277" s="75" t="str">
        <f>IF(AND('341-CT'!$H$9=H3277,OR(LEFT(N3277,3)=$W$7,LEFT(O3277,3)=$W$7)),"x","")</f>
        <v/>
      </c>
      <c r="X3277" s="75" t="str">
        <f>IF(OR(TH!N3277=TH!$X$7,O3277=TH!$X$7),"x","")</f>
        <v/>
      </c>
      <c r="Y3277" s="75" t="str">
        <f>IF(AND(OR(N3277="131",O3277="131"),H3277='131-CT'!$H$9),"x","")</f>
        <v/>
      </c>
      <c r="Z3277" s="75"/>
      <c r="AA3277" s="75" t="str">
        <f>IF(AND(MONTH(E3277)='IN-NX'!$J$5,'IN-NX'!$D$7=D3277),"x","")</f>
        <v/>
      </c>
      <c r="AB3277" s="75" t="str">
        <f>IF(AND(OR(LEFT(TH!N3277,2)="15",LEFT(TH!O3277,2)="15"),LEFT(TH!O3277,3)&lt;&gt;"111",'152-CT'!$J$8=TH!F3277),"x","")</f>
        <v/>
      </c>
      <c r="AC3277" s="75" t="str">
        <f>IF(AND(OR(LEFT(TH!N3277,2)="15",LEFT(TH!O3277,2)="15"),TK!$E$7=TH!F3277),"x","")</f>
        <v/>
      </c>
      <c r="AD3277" s="75" t="str">
        <f>IF(AND(N3277="1521",MONTH(C3277)='BK-NL'!$M$11),"x","")</f>
        <v/>
      </c>
    </row>
    <row r="3278" spans="1:31" s="1264" customFormat="1" ht="16.5" customHeight="1">
      <c r="A3278" s="309" t="str">
        <f>IF(B3278&lt;&gt;"",IF(AND(B3278='IN-TC'!$S$4,OR(TH!N3278="1111",TH!O3278="1111")),TH!D3278,""),"")</f>
        <v/>
      </c>
      <c r="B3278" s="1282">
        <f t="shared" si="1218"/>
        <v>11</v>
      </c>
      <c r="C3278" s="929">
        <v>43061</v>
      </c>
      <c r="D3278" s="929" t="s">
        <v>902</v>
      </c>
      <c r="E3278" s="929">
        <f t="shared" si="1228"/>
        <v>43061</v>
      </c>
      <c r="F3278" s="930" t="s">
        <v>1096</v>
      </c>
      <c r="G3278" s="930" t="s">
        <v>747</v>
      </c>
      <c r="H3278" s="735" t="s">
        <v>1609</v>
      </c>
      <c r="I3278" s="1213"/>
      <c r="J3278" s="378"/>
      <c r="K3278" s="1213">
        <v>233.33</v>
      </c>
      <c r="L3278" s="1214">
        <v>22700</v>
      </c>
      <c r="M3278" s="74">
        <f t="shared" si="1227"/>
        <v>5296591</v>
      </c>
      <c r="N3278" s="934" t="s">
        <v>99</v>
      </c>
      <c r="O3278" s="934" t="s">
        <v>256</v>
      </c>
      <c r="P3278" s="75" t="str">
        <f>IF(AND('331-CT'!$E$7=TH!H3278,OR(N3278="331",O3278="331")),"x","")</f>
        <v/>
      </c>
      <c r="Q3278" s="75" t="str">
        <f>IF(AND(B3278='111'!$L$11,OR($N3278=$Q$7,$O3278=$Q$7)),"x","")</f>
        <v/>
      </c>
      <c r="R3278" s="75" t="str">
        <f>IF(AND($N3278=$Q$7,$B3278&lt;'111'!$L$11),"x","")</f>
        <v/>
      </c>
      <c r="S3278" s="75" t="str">
        <f>IF(AND($O3278=$Q$7,$B3278&lt;'111'!$L$11),"x","")</f>
        <v/>
      </c>
      <c r="T3278" s="75" t="str">
        <f>IF(ISERROR(FIND('112'!$M$9,G3278,1)),"",IF((AND(FIND('112'!$M$9,G3278,1)&gt;=1,B3278='112'!$K$9,OR($N3278='112'!$I$6,$O3278='112'!$I$6))),"x",""))</f>
        <v/>
      </c>
      <c r="U3278" s="75" t="str">
        <f>IF(ISERROR(FIND('112'!$M$9,G3278,1)),"",IF((AND(LEFT(G3278,2)=LEFT('112'!$M$9,2),B3278&lt;'112'!$K$9,$N3278='112'!$I$6)),"x",""))</f>
        <v/>
      </c>
      <c r="V3278" s="75" t="str">
        <f>IF(ISERROR(FIND('112'!$M$9,G3278,1)),"",IF((AND(RIGHT(G3278,2)=RIGHT('112'!$M$9,2),B3278&lt;'112'!$K$9,$O3278='112'!$I$6)),"x",""))</f>
        <v/>
      </c>
      <c r="W3278" s="75" t="str">
        <f>IF(AND('341-CT'!$H$9=H3278,OR(LEFT(N3278,3)=$W$7,LEFT(O3278,3)=$W$7)),"x","")</f>
        <v/>
      </c>
      <c r="X3278" s="75" t="str">
        <f>IF(OR(TH!N3278=TH!$X$7,O3278=TH!$X$7),"x","")</f>
        <v/>
      </c>
      <c r="Y3278" s="75" t="str">
        <f>IF(AND(OR(N3278="131",O3278="131"),H3278='131-CT'!$H$9),"x","")</f>
        <v/>
      </c>
      <c r="Z3278" s="75"/>
      <c r="AA3278" s="75" t="str">
        <f>IF(AND(MONTH(E3278)='IN-NX'!$J$5,'IN-NX'!$D$7=D3278),"x","")</f>
        <v/>
      </c>
      <c r="AB3278" s="75" t="str">
        <f>IF(AND(OR(LEFT(TH!N3278,2)="15",LEFT(TH!O3278,2)="15"),LEFT(TH!O3278,3)&lt;&gt;"111",'152-CT'!$J$8=TH!F3278),"x","")</f>
        <v/>
      </c>
      <c r="AC3278" s="75" t="str">
        <f>IF(AND(OR(LEFT(TH!N3278,2)="15",LEFT(TH!O3278,2)="15"),TK!$E$7=TH!F3278),"x","")</f>
        <v/>
      </c>
      <c r="AD3278" s="75" t="str">
        <f>IF(AND(N3278="1521",MONTH(C3278)='BK-NL'!$M$11),"x","")</f>
        <v/>
      </c>
    </row>
    <row r="3279" spans="1:31" s="1264" customFormat="1" ht="16.5" customHeight="1">
      <c r="A3279" s="309" t="str">
        <f>IF(B3279&lt;&gt;"",IF(AND(B3279='IN-TC'!$S$4,OR(TH!N3279="1111",TH!O3279="1111")),TH!D3279,""),"")</f>
        <v/>
      </c>
      <c r="B3279" s="1282">
        <f t="shared" si="1218"/>
        <v>11</v>
      </c>
      <c r="C3279" s="929">
        <v>43061</v>
      </c>
      <c r="D3279" s="929" t="s">
        <v>902</v>
      </c>
      <c r="E3279" s="929">
        <f t="shared" si="1228"/>
        <v>43061</v>
      </c>
      <c r="F3279" s="930" t="s">
        <v>1096</v>
      </c>
      <c r="G3279" s="930" t="s">
        <v>747</v>
      </c>
      <c r="H3279" s="735" t="s">
        <v>2552</v>
      </c>
      <c r="I3279" s="1213"/>
      <c r="J3279" s="378"/>
      <c r="K3279" s="1213">
        <v>133.38</v>
      </c>
      <c r="L3279" s="1214">
        <v>22700</v>
      </c>
      <c r="M3279" s="74">
        <f t="shared" si="1227"/>
        <v>3027726</v>
      </c>
      <c r="N3279" s="934" t="s">
        <v>99</v>
      </c>
      <c r="O3279" s="934" t="s">
        <v>256</v>
      </c>
      <c r="P3279" s="75" t="str">
        <f>IF(AND('331-CT'!$E$7=TH!H3279,OR(N3279="331",O3279="331")),"x","")</f>
        <v/>
      </c>
      <c r="Q3279" s="75" t="str">
        <f>IF(AND(B3279='111'!$L$11,OR($N3279=$Q$7,$O3279=$Q$7)),"x","")</f>
        <v/>
      </c>
      <c r="R3279" s="75" t="str">
        <f>IF(AND($N3279=$Q$7,$B3279&lt;'111'!$L$11),"x","")</f>
        <v/>
      </c>
      <c r="S3279" s="75" t="str">
        <f>IF(AND($O3279=$Q$7,$B3279&lt;'111'!$L$11),"x","")</f>
        <v/>
      </c>
      <c r="T3279" s="75" t="str">
        <f>IF(ISERROR(FIND('112'!$M$9,G3279,1)),"",IF((AND(FIND('112'!$M$9,G3279,1)&gt;=1,B3279='112'!$K$9,OR($N3279='112'!$I$6,$O3279='112'!$I$6))),"x",""))</f>
        <v/>
      </c>
      <c r="U3279" s="75" t="str">
        <f>IF(ISERROR(FIND('112'!$M$9,G3279,1)),"",IF((AND(LEFT(G3279,2)=LEFT('112'!$M$9,2),B3279&lt;'112'!$K$9,$N3279='112'!$I$6)),"x",""))</f>
        <v/>
      </c>
      <c r="V3279" s="75" t="str">
        <f>IF(ISERROR(FIND('112'!$M$9,G3279,1)),"",IF((AND(RIGHT(G3279,2)=RIGHT('112'!$M$9,2),B3279&lt;'112'!$K$9,$O3279='112'!$I$6)),"x",""))</f>
        <v/>
      </c>
      <c r="W3279" s="75" t="str">
        <f>IF(AND('341-CT'!$H$9=H3279,OR(LEFT(N3279,3)=$W$7,LEFT(O3279,3)=$W$7)),"x","")</f>
        <v/>
      </c>
      <c r="X3279" s="75" t="str">
        <f>IF(OR(TH!N3279=TH!$X$7,O3279=TH!$X$7),"x","")</f>
        <v/>
      </c>
      <c r="Y3279" s="75" t="str">
        <f>IF(AND(OR(N3279="131",O3279="131"),H3279='131-CT'!$H$9),"x","")</f>
        <v/>
      </c>
      <c r="Z3279" s="75"/>
      <c r="AA3279" s="75" t="str">
        <f>IF(AND(MONTH(E3279)='IN-NX'!$J$5,'IN-NX'!$D$7=D3279),"x","")</f>
        <v/>
      </c>
      <c r="AB3279" s="75" t="str">
        <f>IF(AND(OR(LEFT(TH!N3279,2)="15",LEFT(TH!O3279,2)="15"),LEFT(TH!O3279,3)&lt;&gt;"111",'152-CT'!$J$8=TH!F3279),"x","")</f>
        <v/>
      </c>
      <c r="AC3279" s="75" t="str">
        <f>IF(AND(OR(LEFT(TH!N3279,2)="15",LEFT(TH!O3279,2)="15"),TK!$E$7=TH!F3279),"x","")</f>
        <v/>
      </c>
      <c r="AD3279" s="75" t="str">
        <f>IF(AND(N3279="1521",MONTH(C3279)='BK-NL'!$M$11),"x","")</f>
        <v/>
      </c>
    </row>
    <row r="3280" spans="1:31" s="1264" customFormat="1" ht="16.5" customHeight="1">
      <c r="A3280" s="309" t="str">
        <f>IF(B3280&lt;&gt;"",IF(AND(B3280='IN-TC'!$S$4,OR(TH!N3280="1111",TH!O3280="1111")),TH!D3280,""),"")</f>
        <v/>
      </c>
      <c r="B3280" s="1282">
        <f t="shared" si="1218"/>
        <v>11</v>
      </c>
      <c r="C3280" s="929">
        <v>43061</v>
      </c>
      <c r="D3280" s="929" t="s">
        <v>902</v>
      </c>
      <c r="E3280" s="929">
        <f t="shared" si="1228"/>
        <v>43061</v>
      </c>
      <c r="F3280" s="930" t="s">
        <v>1096</v>
      </c>
      <c r="G3280" s="930" t="s">
        <v>747</v>
      </c>
      <c r="H3280" s="735" t="s">
        <v>1780</v>
      </c>
      <c r="I3280" s="1213"/>
      <c r="J3280" s="378"/>
      <c r="K3280" s="1213">
        <v>223.33</v>
      </c>
      <c r="L3280" s="1214">
        <v>22700</v>
      </c>
      <c r="M3280" s="74">
        <f t="shared" si="1227"/>
        <v>5069591</v>
      </c>
      <c r="N3280" s="934" t="s">
        <v>99</v>
      </c>
      <c r="O3280" s="934" t="s">
        <v>256</v>
      </c>
      <c r="P3280" s="75" t="str">
        <f>IF(AND('331-CT'!$E$7=TH!H3280,OR(N3280="331",O3280="331")),"x","")</f>
        <v/>
      </c>
      <c r="Q3280" s="75" t="str">
        <f>IF(AND(B3280='111'!$L$11,OR($N3280=$Q$7,$O3280=$Q$7)),"x","")</f>
        <v/>
      </c>
      <c r="R3280" s="75" t="str">
        <f>IF(AND($N3280=$Q$7,$B3280&lt;'111'!$L$11),"x","")</f>
        <v/>
      </c>
      <c r="S3280" s="75" t="str">
        <f>IF(AND($O3280=$Q$7,$B3280&lt;'111'!$L$11),"x","")</f>
        <v/>
      </c>
      <c r="T3280" s="75" t="str">
        <f>IF(ISERROR(FIND('112'!$M$9,G3280,1)),"",IF((AND(FIND('112'!$M$9,G3280,1)&gt;=1,B3280='112'!$K$9,OR($N3280='112'!$I$6,$O3280='112'!$I$6))),"x",""))</f>
        <v/>
      </c>
      <c r="U3280" s="75" t="str">
        <f>IF(ISERROR(FIND('112'!$M$9,G3280,1)),"",IF((AND(LEFT(G3280,2)=LEFT('112'!$M$9,2),B3280&lt;'112'!$K$9,$N3280='112'!$I$6)),"x",""))</f>
        <v/>
      </c>
      <c r="V3280" s="75" t="str">
        <f>IF(ISERROR(FIND('112'!$M$9,G3280,1)),"",IF((AND(RIGHT(G3280,2)=RIGHT('112'!$M$9,2),B3280&lt;'112'!$K$9,$O3280='112'!$I$6)),"x",""))</f>
        <v/>
      </c>
      <c r="W3280" s="75" t="str">
        <f>IF(AND('341-CT'!$H$9=H3280,OR(LEFT(N3280,3)=$W$7,LEFT(O3280,3)=$W$7)),"x","")</f>
        <v/>
      </c>
      <c r="X3280" s="75" t="str">
        <f>IF(OR(TH!N3280=TH!$X$7,O3280=TH!$X$7),"x","")</f>
        <v/>
      </c>
      <c r="Y3280" s="75" t="str">
        <f>IF(AND(OR(N3280="131",O3280="131"),H3280='131-CT'!$H$9),"x","")</f>
        <v/>
      </c>
      <c r="Z3280" s="75"/>
      <c r="AA3280" s="75" t="str">
        <f>IF(AND(MONTH(E3280)='IN-NX'!$J$5,'IN-NX'!$D$7=D3280),"x","")</f>
        <v/>
      </c>
      <c r="AB3280" s="75" t="str">
        <f>IF(AND(OR(LEFT(TH!N3280,2)="15",LEFT(TH!O3280,2)="15"),LEFT(TH!O3280,3)&lt;&gt;"111",'152-CT'!$J$8=TH!F3280),"x","")</f>
        <v/>
      </c>
      <c r="AC3280" s="75" t="str">
        <f>IF(AND(OR(LEFT(TH!N3280,2)="15",LEFT(TH!O3280,2)="15"),TK!$E$7=TH!F3280),"x","")</f>
        <v/>
      </c>
      <c r="AD3280" s="75" t="str">
        <f>IF(AND(N3280="1521",MONTH(C3280)='BK-NL'!$M$11),"x","")</f>
        <v/>
      </c>
    </row>
    <row r="3281" spans="1:30" s="1264" customFormat="1" ht="16.5" customHeight="1">
      <c r="A3281" s="309" t="str">
        <f>IF(B3281&lt;&gt;"",IF(AND(B3281='IN-TC'!$S$4,OR(TH!N3281="1111",TH!O3281="1111")),TH!D3281,""),"")</f>
        <v/>
      </c>
      <c r="B3281" s="1282">
        <f t="shared" si="1218"/>
        <v>11</v>
      </c>
      <c r="C3281" s="929">
        <v>43061</v>
      </c>
      <c r="D3281" s="929" t="s">
        <v>902</v>
      </c>
      <c r="E3281" s="929">
        <f t="shared" si="1228"/>
        <v>43061</v>
      </c>
      <c r="F3281" s="930" t="s">
        <v>1096</v>
      </c>
      <c r="G3281" s="930" t="s">
        <v>747</v>
      </c>
      <c r="H3281" s="735" t="s">
        <v>2324</v>
      </c>
      <c r="I3281" s="1213"/>
      <c r="J3281" s="378"/>
      <c r="K3281" s="1213">
        <v>287.39999999999998</v>
      </c>
      <c r="L3281" s="1214">
        <v>22700</v>
      </c>
      <c r="M3281" s="74">
        <f t="shared" si="1227"/>
        <v>6523980</v>
      </c>
      <c r="N3281" s="934" t="s">
        <v>99</v>
      </c>
      <c r="O3281" s="934" t="s">
        <v>256</v>
      </c>
      <c r="P3281" s="75" t="str">
        <f>IF(AND('331-CT'!$E$7=TH!H3281,OR(N3281="331",O3281="331")),"x","")</f>
        <v/>
      </c>
      <c r="Q3281" s="75" t="str">
        <f>IF(AND(B3281='111'!$L$11,OR($N3281=$Q$7,$O3281=$Q$7)),"x","")</f>
        <v/>
      </c>
      <c r="R3281" s="75" t="str">
        <f>IF(AND($N3281=$Q$7,$B3281&lt;'111'!$L$11),"x","")</f>
        <v/>
      </c>
      <c r="S3281" s="75" t="str">
        <f>IF(AND($O3281=$Q$7,$B3281&lt;'111'!$L$11),"x","")</f>
        <v/>
      </c>
      <c r="T3281" s="75" t="str">
        <f>IF(ISERROR(FIND('112'!$M$9,G3281,1)),"",IF((AND(FIND('112'!$M$9,G3281,1)&gt;=1,B3281='112'!$K$9,OR($N3281='112'!$I$6,$O3281='112'!$I$6))),"x",""))</f>
        <v/>
      </c>
      <c r="U3281" s="75" t="str">
        <f>IF(ISERROR(FIND('112'!$M$9,G3281,1)),"",IF((AND(LEFT(G3281,2)=LEFT('112'!$M$9,2),B3281&lt;'112'!$K$9,$N3281='112'!$I$6)),"x",""))</f>
        <v/>
      </c>
      <c r="V3281" s="75" t="str">
        <f>IF(ISERROR(FIND('112'!$M$9,G3281,1)),"",IF((AND(RIGHT(G3281,2)=RIGHT('112'!$M$9,2),B3281&lt;'112'!$K$9,$O3281='112'!$I$6)),"x",""))</f>
        <v/>
      </c>
      <c r="W3281" s="75" t="str">
        <f>IF(AND('341-CT'!$H$9=H3281,OR(LEFT(N3281,3)=$W$7,LEFT(O3281,3)=$W$7)),"x","")</f>
        <v/>
      </c>
      <c r="X3281" s="75" t="str">
        <f>IF(OR(TH!N3281=TH!$X$7,O3281=TH!$X$7),"x","")</f>
        <v/>
      </c>
      <c r="Y3281" s="75" t="str">
        <f>IF(AND(OR(N3281="131",O3281="131"),H3281='131-CT'!$H$9),"x","")</f>
        <v/>
      </c>
      <c r="Z3281" s="75"/>
      <c r="AA3281" s="75" t="str">
        <f>IF(AND(MONTH(E3281)='IN-NX'!$J$5,'IN-NX'!$D$7=D3281),"x","")</f>
        <v/>
      </c>
      <c r="AB3281" s="75" t="str">
        <f>IF(AND(OR(LEFT(TH!N3281,2)="15",LEFT(TH!O3281,2)="15"),LEFT(TH!O3281,3)&lt;&gt;"111",'152-CT'!$J$8=TH!F3281),"x","")</f>
        <v/>
      </c>
      <c r="AC3281" s="75" t="str">
        <f>IF(AND(OR(LEFT(TH!N3281,2)="15",LEFT(TH!O3281,2)="15"),TK!$E$7=TH!F3281),"x","")</f>
        <v/>
      </c>
      <c r="AD3281" s="75" t="str">
        <f>IF(AND(N3281="1521",MONTH(C3281)='BK-NL'!$M$11),"x","")</f>
        <v/>
      </c>
    </row>
    <row r="3282" spans="1:30" s="1264" customFormat="1" ht="16.5" customHeight="1">
      <c r="A3282" s="309" t="str">
        <f>IF(B3282&lt;&gt;"",IF(AND(B3282='IN-TC'!$S$4,OR(TH!N3282="1111",TH!O3282="1111")),TH!D3282,""),"")</f>
        <v/>
      </c>
      <c r="B3282" s="1282">
        <f t="shared" si="1218"/>
        <v>11</v>
      </c>
      <c r="C3282" s="929">
        <v>43061</v>
      </c>
      <c r="D3282" s="929" t="s">
        <v>902</v>
      </c>
      <c r="E3282" s="929">
        <f t="shared" si="1228"/>
        <v>43061</v>
      </c>
      <c r="F3282" s="930" t="s">
        <v>1096</v>
      </c>
      <c r="G3282" s="930" t="s">
        <v>747</v>
      </c>
      <c r="H3282" s="735" t="s">
        <v>2035</v>
      </c>
      <c r="I3282" s="1213"/>
      <c r="J3282" s="378"/>
      <c r="K3282" s="1213">
        <v>280</v>
      </c>
      <c r="L3282" s="1214">
        <v>22700</v>
      </c>
      <c r="M3282" s="74">
        <f t="shared" si="1227"/>
        <v>6356000</v>
      </c>
      <c r="N3282" s="934" t="s">
        <v>99</v>
      </c>
      <c r="O3282" s="934" t="s">
        <v>256</v>
      </c>
      <c r="P3282" s="75" t="str">
        <f>IF(AND('331-CT'!$E$7=TH!H3282,OR(N3282="331",O3282="331")),"x","")</f>
        <v/>
      </c>
      <c r="Q3282" s="75" t="str">
        <f>IF(AND(B3282='111'!$L$11,OR($N3282=$Q$7,$O3282=$Q$7)),"x","")</f>
        <v/>
      </c>
      <c r="R3282" s="75" t="str">
        <f>IF(AND($N3282=$Q$7,$B3282&lt;'111'!$L$11),"x","")</f>
        <v/>
      </c>
      <c r="S3282" s="75" t="str">
        <f>IF(AND($O3282=$Q$7,$B3282&lt;'111'!$L$11),"x","")</f>
        <v/>
      </c>
      <c r="T3282" s="75" t="str">
        <f>IF(ISERROR(FIND('112'!$M$9,G3282,1)),"",IF((AND(FIND('112'!$M$9,G3282,1)&gt;=1,B3282='112'!$K$9,OR($N3282='112'!$I$6,$O3282='112'!$I$6))),"x",""))</f>
        <v/>
      </c>
      <c r="U3282" s="75" t="str">
        <f>IF(ISERROR(FIND('112'!$M$9,G3282,1)),"",IF((AND(LEFT(G3282,2)=LEFT('112'!$M$9,2),B3282&lt;'112'!$K$9,$N3282='112'!$I$6)),"x",""))</f>
        <v/>
      </c>
      <c r="V3282" s="75" t="str">
        <f>IF(ISERROR(FIND('112'!$M$9,G3282,1)),"",IF((AND(RIGHT(G3282,2)=RIGHT('112'!$M$9,2),B3282&lt;'112'!$K$9,$O3282='112'!$I$6)),"x",""))</f>
        <v/>
      </c>
      <c r="W3282" s="75" t="str">
        <f>IF(AND('341-CT'!$H$9=H3282,OR(LEFT(N3282,3)=$W$7,LEFT(O3282,3)=$W$7)),"x","")</f>
        <v/>
      </c>
      <c r="X3282" s="75" t="str">
        <f>IF(OR(TH!N3282=TH!$X$7,O3282=TH!$X$7),"x","")</f>
        <v/>
      </c>
      <c r="Y3282" s="75" t="str">
        <f>IF(AND(OR(N3282="131",O3282="131"),H3282='131-CT'!$H$9),"x","")</f>
        <v/>
      </c>
      <c r="Z3282" s="75"/>
      <c r="AA3282" s="75" t="str">
        <f>IF(AND(MONTH(E3282)='IN-NX'!$J$5,'IN-NX'!$D$7=D3282),"x","")</f>
        <v/>
      </c>
      <c r="AB3282" s="75" t="str">
        <f>IF(AND(OR(LEFT(TH!N3282,2)="15",LEFT(TH!O3282,2)="15"),LEFT(TH!O3282,3)&lt;&gt;"111",'152-CT'!$J$8=TH!F3282),"x","")</f>
        <v/>
      </c>
      <c r="AC3282" s="75" t="str">
        <f>IF(AND(OR(LEFT(TH!N3282,2)="15",LEFT(TH!O3282,2)="15"),TK!$E$7=TH!F3282),"x","")</f>
        <v/>
      </c>
      <c r="AD3282" s="75" t="str">
        <f>IF(AND(N3282="1521",MONTH(C3282)='BK-NL'!$M$11),"x","")</f>
        <v/>
      </c>
    </row>
    <row r="3283" spans="1:30" s="1264" customFormat="1" ht="16.5" customHeight="1">
      <c r="A3283" s="309" t="str">
        <f>IF(B3283&lt;&gt;"",IF(AND(B3283='IN-TC'!$S$4,OR(TH!N3283="1111",TH!O3283="1111")),TH!D3283,""),"")</f>
        <v/>
      </c>
      <c r="B3283" s="1282">
        <f t="shared" si="1218"/>
        <v>11</v>
      </c>
      <c r="C3283" s="929">
        <v>43061</v>
      </c>
      <c r="D3283" s="929" t="s">
        <v>902</v>
      </c>
      <c r="E3283" s="929">
        <f t="shared" si="1228"/>
        <v>43061</v>
      </c>
      <c r="F3283" s="930" t="s">
        <v>1096</v>
      </c>
      <c r="G3283" s="930" t="s">
        <v>747</v>
      </c>
      <c r="H3283" s="735" t="s">
        <v>2485</v>
      </c>
      <c r="I3283" s="1213"/>
      <c r="J3283" s="378"/>
      <c r="K3283" s="1213">
        <v>534.98</v>
      </c>
      <c r="L3283" s="1214">
        <v>22700</v>
      </c>
      <c r="M3283" s="74">
        <f t="shared" si="1227"/>
        <v>12144046</v>
      </c>
      <c r="N3283" s="934" t="s">
        <v>99</v>
      </c>
      <c r="O3283" s="934" t="s">
        <v>256</v>
      </c>
      <c r="P3283" s="75" t="str">
        <f>IF(AND('331-CT'!$E$7=TH!H3283,OR(N3283="331",O3283="331")),"x","")</f>
        <v/>
      </c>
      <c r="Q3283" s="75" t="str">
        <f>IF(AND(B3283='111'!$L$11,OR($N3283=$Q$7,$O3283=$Q$7)),"x","")</f>
        <v/>
      </c>
      <c r="R3283" s="75" t="str">
        <f>IF(AND($N3283=$Q$7,$B3283&lt;'111'!$L$11),"x","")</f>
        <v/>
      </c>
      <c r="S3283" s="75" t="str">
        <f>IF(AND($O3283=$Q$7,$B3283&lt;'111'!$L$11),"x","")</f>
        <v/>
      </c>
      <c r="T3283" s="75" t="str">
        <f>IF(ISERROR(FIND('112'!$M$9,G3283,1)),"",IF((AND(FIND('112'!$M$9,G3283,1)&gt;=1,B3283='112'!$K$9,OR($N3283='112'!$I$6,$O3283='112'!$I$6))),"x",""))</f>
        <v/>
      </c>
      <c r="U3283" s="75" t="str">
        <f>IF(ISERROR(FIND('112'!$M$9,G3283,1)),"",IF((AND(LEFT(G3283,2)=LEFT('112'!$M$9,2),B3283&lt;'112'!$K$9,$N3283='112'!$I$6)),"x",""))</f>
        <v/>
      </c>
      <c r="V3283" s="75" t="str">
        <f>IF(ISERROR(FIND('112'!$M$9,G3283,1)),"",IF((AND(RIGHT(G3283,2)=RIGHT('112'!$M$9,2),B3283&lt;'112'!$K$9,$O3283='112'!$I$6)),"x",""))</f>
        <v/>
      </c>
      <c r="W3283" s="75" t="str">
        <f>IF(AND('341-CT'!$H$9=H3283,OR(LEFT(N3283,3)=$W$7,LEFT(O3283,3)=$W$7)),"x","")</f>
        <v/>
      </c>
      <c r="X3283" s="75" t="str">
        <f>IF(OR(TH!N3283=TH!$X$7,O3283=TH!$X$7),"x","")</f>
        <v/>
      </c>
      <c r="Y3283" s="75" t="str">
        <f>IF(AND(OR(N3283="131",O3283="131"),H3283='131-CT'!$H$9),"x","")</f>
        <v/>
      </c>
      <c r="Z3283" s="75"/>
      <c r="AA3283" s="75" t="str">
        <f>IF(AND(MONTH(E3283)='IN-NX'!$J$5,'IN-NX'!$D$7=D3283),"x","")</f>
        <v/>
      </c>
      <c r="AB3283" s="75" t="str">
        <f>IF(AND(OR(LEFT(TH!N3283,2)="15",LEFT(TH!O3283,2)="15"),LEFT(TH!O3283,3)&lt;&gt;"111",'152-CT'!$J$8=TH!F3283),"x","")</f>
        <v/>
      </c>
      <c r="AC3283" s="75" t="str">
        <f>IF(AND(OR(LEFT(TH!N3283,2)="15",LEFT(TH!O3283,2)="15"),TK!$E$7=TH!F3283),"x","")</f>
        <v/>
      </c>
      <c r="AD3283" s="75" t="str">
        <f>IF(AND(N3283="1521",MONTH(C3283)='BK-NL'!$M$11),"x","")</f>
        <v/>
      </c>
    </row>
    <row r="3284" spans="1:30" s="1264" customFormat="1" ht="16.5" customHeight="1">
      <c r="A3284" s="309" t="str">
        <f>IF(B3284&lt;&gt;"",IF(AND(B3284='IN-TC'!$S$4,OR(TH!N3284="1111",TH!O3284="1111")),TH!D3284,""),"")</f>
        <v/>
      </c>
      <c r="B3284" s="1282">
        <f t="shared" si="1218"/>
        <v>11</v>
      </c>
      <c r="C3284" s="929">
        <v>43061</v>
      </c>
      <c r="D3284" s="929" t="s">
        <v>902</v>
      </c>
      <c r="E3284" s="929">
        <f t="shared" si="1228"/>
        <v>43061</v>
      </c>
      <c r="F3284" s="930" t="s">
        <v>1096</v>
      </c>
      <c r="G3284" s="930" t="s">
        <v>747</v>
      </c>
      <c r="H3284" s="735" t="s">
        <v>2323</v>
      </c>
      <c r="I3284" s="1213"/>
      <c r="J3284" s="378"/>
      <c r="K3284" s="1213">
        <v>273.44</v>
      </c>
      <c r="L3284" s="1214">
        <v>22700</v>
      </c>
      <c r="M3284" s="74">
        <f t="shared" si="1227"/>
        <v>6207088</v>
      </c>
      <c r="N3284" s="934" t="s">
        <v>99</v>
      </c>
      <c r="O3284" s="934" t="s">
        <v>256</v>
      </c>
      <c r="P3284" s="75" t="str">
        <f>IF(AND('331-CT'!$E$7=TH!H3284,OR(N3284="331",O3284="331")),"x","")</f>
        <v/>
      </c>
      <c r="Q3284" s="75" t="str">
        <f>IF(AND(B3284='111'!$L$11,OR($N3284=$Q$7,$O3284=$Q$7)),"x","")</f>
        <v/>
      </c>
      <c r="R3284" s="75" t="str">
        <f>IF(AND($N3284=$Q$7,$B3284&lt;'111'!$L$11),"x","")</f>
        <v/>
      </c>
      <c r="S3284" s="75" t="str">
        <f>IF(AND($O3284=$Q$7,$B3284&lt;'111'!$L$11),"x","")</f>
        <v/>
      </c>
      <c r="T3284" s="75" t="str">
        <f>IF(ISERROR(FIND('112'!$M$9,G3284,1)),"",IF((AND(FIND('112'!$M$9,G3284,1)&gt;=1,B3284='112'!$K$9,OR($N3284='112'!$I$6,$O3284='112'!$I$6))),"x",""))</f>
        <v/>
      </c>
      <c r="U3284" s="75" t="str">
        <f>IF(ISERROR(FIND('112'!$M$9,G3284,1)),"",IF((AND(LEFT(G3284,2)=LEFT('112'!$M$9,2),B3284&lt;'112'!$K$9,$N3284='112'!$I$6)),"x",""))</f>
        <v/>
      </c>
      <c r="V3284" s="75" t="str">
        <f>IF(ISERROR(FIND('112'!$M$9,G3284,1)),"",IF((AND(RIGHT(G3284,2)=RIGHT('112'!$M$9,2),B3284&lt;'112'!$K$9,$O3284='112'!$I$6)),"x",""))</f>
        <v/>
      </c>
      <c r="W3284" s="75" t="str">
        <f>IF(AND('341-CT'!$H$9=H3284,OR(LEFT(N3284,3)=$W$7,LEFT(O3284,3)=$W$7)),"x","")</f>
        <v/>
      </c>
      <c r="X3284" s="75" t="str">
        <f>IF(OR(TH!N3284=TH!$X$7,O3284=TH!$X$7),"x","")</f>
        <v/>
      </c>
      <c r="Y3284" s="75" t="str">
        <f>IF(AND(OR(N3284="131",O3284="131"),H3284='131-CT'!$H$9),"x","")</f>
        <v/>
      </c>
      <c r="Z3284" s="75"/>
      <c r="AA3284" s="75" t="str">
        <f>IF(AND(MONTH(E3284)='IN-NX'!$J$5,'IN-NX'!$D$7=D3284),"x","")</f>
        <v/>
      </c>
      <c r="AB3284" s="75" t="str">
        <f>IF(AND(OR(LEFT(TH!N3284,2)="15",LEFT(TH!O3284,2)="15"),LEFT(TH!O3284,3)&lt;&gt;"111",'152-CT'!$J$8=TH!F3284),"x","")</f>
        <v/>
      </c>
      <c r="AC3284" s="75" t="str">
        <f>IF(AND(OR(LEFT(TH!N3284,2)="15",LEFT(TH!O3284,2)="15"),TK!$E$7=TH!F3284),"x","")</f>
        <v/>
      </c>
      <c r="AD3284" s="75" t="str">
        <f>IF(AND(N3284="1521",MONTH(C3284)='BK-NL'!$M$11),"x","")</f>
        <v/>
      </c>
    </row>
    <row r="3285" spans="1:30" s="1264" customFormat="1" ht="16.5" customHeight="1">
      <c r="A3285" s="309" t="str">
        <f>IF(B3285&lt;&gt;"",IF(AND(B3285='IN-TC'!$S$4,OR(TH!N3285="1111",TH!O3285="1111")),TH!D3285,""),"")</f>
        <v/>
      </c>
      <c r="B3285" s="1282">
        <f t="shared" si="1218"/>
        <v>11</v>
      </c>
      <c r="C3285" s="929">
        <v>43061</v>
      </c>
      <c r="D3285" s="929" t="s">
        <v>902</v>
      </c>
      <c r="E3285" s="929">
        <f t="shared" si="1219"/>
        <v>43061</v>
      </c>
      <c r="F3285" s="72" t="s">
        <v>1096</v>
      </c>
      <c r="G3285" s="930" t="s">
        <v>747</v>
      </c>
      <c r="H3285" s="735" t="s">
        <v>2536</v>
      </c>
      <c r="I3285" s="1213"/>
      <c r="J3285" s="378"/>
      <c r="K3285" s="1213">
        <v>309.68</v>
      </c>
      <c r="L3285" s="1214">
        <v>22700</v>
      </c>
      <c r="M3285" s="74">
        <f t="shared" si="1227"/>
        <v>7029736</v>
      </c>
      <c r="N3285" s="934" t="s">
        <v>99</v>
      </c>
      <c r="O3285" s="934" t="s">
        <v>256</v>
      </c>
      <c r="P3285" s="75" t="str">
        <f>IF(AND('331-CT'!$E$7=TH!H3285,OR(N3285="331",O3285="331")),"x","")</f>
        <v/>
      </c>
      <c r="Q3285" s="75" t="str">
        <f>IF(AND(B3285='111'!$L$11,OR($N3285=$Q$7,$O3285=$Q$7)),"x","")</f>
        <v/>
      </c>
      <c r="R3285" s="75" t="str">
        <f>IF(AND($N3285=$Q$7,$B3285&lt;'111'!$L$11),"x","")</f>
        <v/>
      </c>
      <c r="S3285" s="75" t="str">
        <f>IF(AND($O3285=$Q$7,$B3285&lt;'111'!$L$11),"x","")</f>
        <v/>
      </c>
      <c r="T3285" s="75" t="str">
        <f>IF(ISERROR(FIND('112'!$M$9,G3285,1)),"",IF((AND(FIND('112'!$M$9,G3285,1)&gt;=1,B3285='112'!$K$9,OR($N3285='112'!$I$6,$O3285='112'!$I$6))),"x",""))</f>
        <v/>
      </c>
      <c r="U3285" s="75" t="str">
        <f>IF(ISERROR(FIND('112'!$M$9,G3285,1)),"",IF((AND(LEFT(G3285,2)=LEFT('112'!$M$9,2),B3285&lt;'112'!$K$9,$N3285='112'!$I$6)),"x",""))</f>
        <v/>
      </c>
      <c r="V3285" s="75" t="str">
        <f>IF(ISERROR(FIND('112'!$M$9,G3285,1)),"",IF((AND(RIGHT(G3285,2)=RIGHT('112'!$M$9,2),B3285&lt;'112'!$K$9,$O3285='112'!$I$6)),"x",""))</f>
        <v/>
      </c>
      <c r="W3285" s="75" t="str">
        <f>IF(AND('341-CT'!$H$9=H3285,OR(LEFT(N3285,3)=$W$7,LEFT(O3285,3)=$W$7)),"x","")</f>
        <v/>
      </c>
      <c r="X3285" s="75" t="str">
        <f>IF(OR(TH!N3285=TH!$X$7,O3285=TH!$X$7),"x","")</f>
        <v/>
      </c>
      <c r="Y3285" s="75" t="str">
        <f>IF(AND(OR(N3285="131",O3285="131"),H3285='131-CT'!$H$9),"x","")</f>
        <v/>
      </c>
      <c r="Z3285" s="75"/>
      <c r="AA3285" s="75" t="str">
        <f>IF(AND(MONTH(E3285)='IN-NX'!$J$5,'IN-NX'!$D$7=D3285),"x","")</f>
        <v/>
      </c>
      <c r="AB3285" s="75" t="str">
        <f>IF(AND(OR(LEFT(TH!N3285,2)="15",LEFT(TH!O3285,2)="15"),LEFT(TH!O3285,3)&lt;&gt;"111",'152-CT'!$J$8=TH!F3285),"x","")</f>
        <v/>
      </c>
      <c r="AC3285" s="75" t="str">
        <f>IF(AND(OR(LEFT(TH!N3285,2)="15",LEFT(TH!O3285,2)="15"),TK!$E$7=TH!F3285),"x","")</f>
        <v/>
      </c>
      <c r="AD3285" s="75" t="str">
        <f>IF(AND(N3285="1521",MONTH(C3285)='BK-NL'!$M$11),"x","")</f>
        <v/>
      </c>
    </row>
    <row r="3286" spans="1:30" s="1264" customFormat="1" ht="16.5" customHeight="1">
      <c r="A3286" s="309" t="str">
        <f>IF(B3286&lt;&gt;"",IF(AND(B3286='IN-TC'!$S$4,OR(TH!N3286="1111",TH!O3286="1111")),TH!D3286,""),"")</f>
        <v/>
      </c>
      <c r="B3286" s="1282">
        <f t="shared" si="1218"/>
        <v>11</v>
      </c>
      <c r="C3286" s="929">
        <v>43061</v>
      </c>
      <c r="D3286" s="929" t="s">
        <v>902</v>
      </c>
      <c r="E3286" s="929">
        <f t="shared" si="1219"/>
        <v>43061</v>
      </c>
      <c r="F3286" s="72" t="s">
        <v>1096</v>
      </c>
      <c r="G3286" s="930" t="s">
        <v>747</v>
      </c>
      <c r="H3286" s="735" t="s">
        <v>2487</v>
      </c>
      <c r="I3286" s="1213"/>
      <c r="J3286" s="378"/>
      <c r="K3286" s="1213">
        <v>127.92</v>
      </c>
      <c r="L3286" s="1214">
        <v>22700</v>
      </c>
      <c r="M3286" s="74">
        <f t="shared" si="1227"/>
        <v>2903784</v>
      </c>
      <c r="N3286" s="934" t="s">
        <v>99</v>
      </c>
      <c r="O3286" s="934" t="s">
        <v>256</v>
      </c>
      <c r="P3286" s="75" t="str">
        <f>IF(AND('331-CT'!$E$7=TH!H3286,OR(N3286="331",O3286="331")),"x","")</f>
        <v/>
      </c>
      <c r="Q3286" s="75" t="str">
        <f>IF(AND(B3286='111'!$L$11,OR($N3286=$Q$7,$O3286=$Q$7)),"x","")</f>
        <v/>
      </c>
      <c r="R3286" s="75" t="str">
        <f>IF(AND($N3286=$Q$7,$B3286&lt;'111'!$L$11),"x","")</f>
        <v/>
      </c>
      <c r="S3286" s="75" t="str">
        <f>IF(AND($O3286=$Q$7,$B3286&lt;'111'!$L$11),"x","")</f>
        <v/>
      </c>
      <c r="T3286" s="75" t="str">
        <f>IF(ISERROR(FIND('112'!$M$9,G3286,1)),"",IF((AND(FIND('112'!$M$9,G3286,1)&gt;=1,B3286='112'!$K$9,OR($N3286='112'!$I$6,$O3286='112'!$I$6))),"x",""))</f>
        <v/>
      </c>
      <c r="U3286" s="75" t="str">
        <f>IF(ISERROR(FIND('112'!$M$9,G3286,1)),"",IF((AND(LEFT(G3286,2)=LEFT('112'!$M$9,2),B3286&lt;'112'!$K$9,$N3286='112'!$I$6)),"x",""))</f>
        <v/>
      </c>
      <c r="V3286" s="75" t="str">
        <f>IF(ISERROR(FIND('112'!$M$9,G3286,1)),"",IF((AND(RIGHT(G3286,2)=RIGHT('112'!$M$9,2),B3286&lt;'112'!$K$9,$O3286='112'!$I$6)),"x",""))</f>
        <v/>
      </c>
      <c r="W3286" s="75" t="str">
        <f>IF(AND('341-CT'!$H$9=H3286,OR(LEFT(N3286,3)=$W$7,LEFT(O3286,3)=$W$7)),"x","")</f>
        <v/>
      </c>
      <c r="X3286" s="75" t="str">
        <f>IF(OR(TH!N3286=TH!$X$7,O3286=TH!$X$7),"x","")</f>
        <v/>
      </c>
      <c r="Y3286" s="75" t="str">
        <f>IF(AND(OR(N3286="131",O3286="131"),H3286='131-CT'!$H$9),"x","")</f>
        <v/>
      </c>
      <c r="Z3286" s="75"/>
      <c r="AA3286" s="75" t="str">
        <f>IF(AND(MONTH(E3286)='IN-NX'!$J$5,'IN-NX'!$D$7=D3286),"x","")</f>
        <v/>
      </c>
      <c r="AB3286" s="75" t="str">
        <f>IF(AND(OR(LEFT(TH!N3286,2)="15",LEFT(TH!O3286,2)="15"),LEFT(TH!O3286,3)&lt;&gt;"111",'152-CT'!$J$8=TH!F3286),"x","")</f>
        <v/>
      </c>
      <c r="AC3286" s="75" t="str">
        <f>IF(AND(OR(LEFT(TH!N3286,2)="15",LEFT(TH!O3286,2)="15"),TK!$E$7=TH!F3286),"x","")</f>
        <v/>
      </c>
      <c r="AD3286" s="75" t="str">
        <f>IF(AND(N3286="1521",MONTH(C3286)='BK-NL'!$M$11),"x","")</f>
        <v/>
      </c>
    </row>
    <row r="3287" spans="1:30" s="1264" customFormat="1" ht="16.5" customHeight="1">
      <c r="A3287" s="309" t="str">
        <f>IF(B3287&lt;&gt;"",IF(AND(B3287='IN-TC'!$S$4,OR(TH!N3287="1111",TH!O3287="1111")),TH!D3287,""),"")</f>
        <v/>
      </c>
      <c r="B3287" s="1282">
        <f t="shared" si="1218"/>
        <v>11</v>
      </c>
      <c r="C3287" s="929">
        <v>43061</v>
      </c>
      <c r="D3287" s="929" t="s">
        <v>902</v>
      </c>
      <c r="E3287" s="929">
        <f t="shared" si="1219"/>
        <v>43061</v>
      </c>
      <c r="F3287" s="72" t="s">
        <v>1096</v>
      </c>
      <c r="G3287" s="930" t="s">
        <v>747</v>
      </c>
      <c r="H3287" s="735" t="s">
        <v>2646</v>
      </c>
      <c r="I3287" s="1213"/>
      <c r="J3287" s="378"/>
      <c r="K3287" s="1213">
        <v>423.83</v>
      </c>
      <c r="L3287" s="1214">
        <v>22700</v>
      </c>
      <c r="M3287" s="74">
        <f t="shared" si="1227"/>
        <v>9620941</v>
      </c>
      <c r="N3287" s="934" t="s">
        <v>99</v>
      </c>
      <c r="O3287" s="934" t="s">
        <v>256</v>
      </c>
      <c r="P3287" s="75" t="str">
        <f>IF(AND('331-CT'!$E$7=TH!H3287,OR(N3287="331",O3287="331")),"x","")</f>
        <v/>
      </c>
      <c r="Q3287" s="75" t="str">
        <f>IF(AND(B3287='111'!$L$11,OR($N3287=$Q$7,$O3287=$Q$7)),"x","")</f>
        <v/>
      </c>
      <c r="R3287" s="75" t="str">
        <f>IF(AND($N3287=$Q$7,$B3287&lt;'111'!$L$11),"x","")</f>
        <v/>
      </c>
      <c r="S3287" s="75" t="str">
        <f>IF(AND($O3287=$Q$7,$B3287&lt;'111'!$L$11),"x","")</f>
        <v/>
      </c>
      <c r="T3287" s="75" t="str">
        <f>IF(ISERROR(FIND('112'!$M$9,G3287,1)),"",IF((AND(FIND('112'!$M$9,G3287,1)&gt;=1,B3287='112'!$K$9,OR($N3287='112'!$I$6,$O3287='112'!$I$6))),"x",""))</f>
        <v/>
      </c>
      <c r="U3287" s="75" t="str">
        <f>IF(ISERROR(FIND('112'!$M$9,G3287,1)),"",IF((AND(LEFT(G3287,2)=LEFT('112'!$M$9,2),B3287&lt;'112'!$K$9,$N3287='112'!$I$6)),"x",""))</f>
        <v/>
      </c>
      <c r="V3287" s="75" t="str">
        <f>IF(ISERROR(FIND('112'!$M$9,G3287,1)),"",IF((AND(RIGHT(G3287,2)=RIGHT('112'!$M$9,2),B3287&lt;'112'!$K$9,$O3287='112'!$I$6)),"x",""))</f>
        <v/>
      </c>
      <c r="W3287" s="75" t="str">
        <f>IF(AND('341-CT'!$H$9=H3287,OR(LEFT(N3287,3)=$W$7,LEFT(O3287,3)=$W$7)),"x","")</f>
        <v/>
      </c>
      <c r="X3287" s="75" t="str">
        <f>IF(OR(TH!N3287=TH!$X$7,O3287=TH!$X$7),"x","")</f>
        <v/>
      </c>
      <c r="Y3287" s="75" t="str">
        <f>IF(AND(OR(N3287="131",O3287="131"),H3287='131-CT'!$H$9),"x","")</f>
        <v/>
      </c>
      <c r="Z3287" s="75"/>
      <c r="AA3287" s="75" t="str">
        <f>IF(AND(MONTH(E3287)='IN-NX'!$J$5,'IN-NX'!$D$7=D3287),"x","")</f>
        <v/>
      </c>
      <c r="AB3287" s="75" t="str">
        <f>IF(AND(OR(LEFT(TH!N3287,2)="15",LEFT(TH!O3287,2)="15"),LEFT(TH!O3287,3)&lt;&gt;"111",'152-CT'!$J$8=TH!F3287),"x","")</f>
        <v/>
      </c>
      <c r="AC3287" s="75" t="str">
        <f>IF(AND(OR(LEFT(TH!N3287,2)="15",LEFT(TH!O3287,2)="15"),TK!$E$7=TH!F3287),"x","")</f>
        <v/>
      </c>
      <c r="AD3287" s="75" t="str">
        <f>IF(AND(N3287="1521",MONTH(C3287)='BK-NL'!$M$11),"x","")</f>
        <v/>
      </c>
    </row>
    <row r="3288" spans="1:30" s="1264" customFormat="1" ht="16.5" customHeight="1">
      <c r="A3288" s="309" t="str">
        <f>IF(B3288&lt;&gt;"",IF(AND(B3288='IN-TC'!$S$4,OR(TH!N3288="1111",TH!O3288="1111")),TH!D3288,""),"")</f>
        <v/>
      </c>
      <c r="B3288" s="1282">
        <f t="shared" si="1218"/>
        <v>11</v>
      </c>
      <c r="C3288" s="929">
        <v>43063</v>
      </c>
      <c r="D3288" s="929" t="s">
        <v>903</v>
      </c>
      <c r="E3288" s="929">
        <f t="shared" si="1219"/>
        <v>43063</v>
      </c>
      <c r="F3288" s="930" t="s">
        <v>907</v>
      </c>
      <c r="G3288" s="930" t="s">
        <v>747</v>
      </c>
      <c r="H3288" s="735" t="s">
        <v>835</v>
      </c>
      <c r="I3288" s="1213"/>
      <c r="J3288" s="378"/>
      <c r="K3288" s="1213">
        <v>3086.39</v>
      </c>
      <c r="L3288" s="1214">
        <v>22700</v>
      </c>
      <c r="M3288" s="74">
        <f t="shared" si="1227"/>
        <v>70061053</v>
      </c>
      <c r="N3288" s="934" t="s">
        <v>26</v>
      </c>
      <c r="O3288" s="934" t="s">
        <v>256</v>
      </c>
      <c r="P3288" s="75" t="str">
        <f>IF(AND('331-CT'!$E$7=TH!H3288,OR(N3288="331",O3288="331")),"x","")</f>
        <v/>
      </c>
      <c r="Q3288" s="75" t="str">
        <f>IF(AND(B3288='111'!$L$11,OR($N3288=$Q$7,$O3288=$Q$7)),"x","")</f>
        <v/>
      </c>
      <c r="R3288" s="75" t="str">
        <f>IF(AND($N3288=$Q$7,$B3288&lt;'111'!$L$11),"x","")</f>
        <v/>
      </c>
      <c r="S3288" s="75" t="str">
        <f>IF(AND($O3288=$Q$7,$B3288&lt;'111'!$L$11),"x","")</f>
        <v/>
      </c>
      <c r="T3288" s="75" t="str">
        <f>IF(ISERROR(FIND('112'!$M$9,G3288,1)),"",IF((AND(FIND('112'!$M$9,G3288,1)&gt;=1,B3288='112'!$K$9,OR($N3288='112'!$I$6,$O3288='112'!$I$6))),"x",""))</f>
        <v/>
      </c>
      <c r="U3288" s="75" t="str">
        <f>IF(ISERROR(FIND('112'!$M$9,G3288,1)),"",IF((AND(LEFT(G3288,2)=LEFT('112'!$M$9,2),B3288&lt;'112'!$K$9,$N3288='112'!$I$6)),"x",""))</f>
        <v/>
      </c>
      <c r="V3288" s="75" t="str">
        <f>IF(ISERROR(FIND('112'!$M$9,G3288,1)),"",IF((AND(RIGHT(G3288,2)=RIGHT('112'!$M$9,2),B3288&lt;'112'!$K$9,$O3288='112'!$I$6)),"x",""))</f>
        <v/>
      </c>
      <c r="W3288" s="75" t="str">
        <f>IF(AND('341-CT'!$H$9=H3288,OR(LEFT(N3288,3)=$W$7,LEFT(O3288,3)=$W$7)),"x","")</f>
        <v/>
      </c>
      <c r="X3288" s="75" t="str">
        <f>IF(OR(TH!N3288=TH!$X$7,O3288=TH!$X$7),"x","")</f>
        <v/>
      </c>
      <c r="Y3288" s="75" t="str">
        <f>IF(AND(OR(N3288="131",O3288="131"),H3288='131-CT'!$H$9),"x","")</f>
        <v/>
      </c>
      <c r="Z3288" s="75"/>
      <c r="AA3288" s="75" t="str">
        <f>IF(AND(MONTH(E3288)='IN-NX'!$J$5,'IN-NX'!$D$7=D3288),"x","")</f>
        <v/>
      </c>
      <c r="AB3288" s="75" t="str">
        <f>IF(AND(OR(LEFT(TH!N3288,2)="15",LEFT(TH!O3288,2)="15"),LEFT(TH!O3288,3)&lt;&gt;"111",'152-CT'!$J$8=TH!F3288),"x","")</f>
        <v/>
      </c>
      <c r="AC3288" s="75" t="str">
        <f>IF(AND(OR(LEFT(TH!N3288,2)="15",LEFT(TH!O3288,2)="15"),TK!$E$7=TH!F3288),"x","")</f>
        <v/>
      </c>
      <c r="AD3288" s="75" t="str">
        <f>IF(AND(N3288="1521",MONTH(C3288)='BK-NL'!$M$11),"x","")</f>
        <v/>
      </c>
    </row>
    <row r="3289" spans="1:30" s="1264" customFormat="1" ht="16.5" customHeight="1">
      <c r="A3289" s="309" t="str">
        <f>IF(B3289&lt;&gt;"",IF(AND(B3289='IN-TC'!$S$4,OR(TH!N3289="1111",TH!O3289="1111")),TH!D3289,""),"")</f>
        <v/>
      </c>
      <c r="B3289" s="1282">
        <f t="shared" si="1218"/>
        <v>11</v>
      </c>
      <c r="C3289" s="929">
        <v>43066</v>
      </c>
      <c r="D3289" s="929" t="s">
        <v>903</v>
      </c>
      <c r="E3289" s="929">
        <f t="shared" si="1219"/>
        <v>43066</v>
      </c>
      <c r="F3289" s="930" t="s">
        <v>1086</v>
      </c>
      <c r="G3289" s="930" t="s">
        <v>747</v>
      </c>
      <c r="H3289" s="735" t="s">
        <v>1859</v>
      </c>
      <c r="I3289" s="1213"/>
      <c r="J3289" s="378"/>
      <c r="K3289" s="1213">
        <v>105503.5</v>
      </c>
      <c r="L3289" s="1214">
        <v>22700</v>
      </c>
      <c r="M3289" s="1214">
        <f t="shared" si="1227"/>
        <v>2394929450</v>
      </c>
      <c r="N3289" s="934" t="s">
        <v>256</v>
      </c>
      <c r="O3289" s="934" t="s">
        <v>536</v>
      </c>
      <c r="P3289" s="75" t="str">
        <f>IF(AND('331-CT'!$E$7=TH!H3289,OR(N3289="331",O3289="331")),"x","")</f>
        <v/>
      </c>
      <c r="Q3289" s="75" t="str">
        <f>IF(AND(B3289='111'!$L$11,OR($N3289=$Q$7,$O3289=$Q$7)),"x","")</f>
        <v/>
      </c>
      <c r="R3289" s="75" t="str">
        <f>IF(AND($N3289=$Q$7,$B3289&lt;'111'!$L$11),"x","")</f>
        <v/>
      </c>
      <c r="S3289" s="75" t="str">
        <f>IF(AND($O3289=$Q$7,$B3289&lt;'111'!$L$11),"x","")</f>
        <v/>
      </c>
      <c r="T3289" s="75" t="str">
        <f>IF(ISERROR(FIND('112'!$M$9,G3289,1)),"",IF((AND(FIND('112'!$M$9,G3289,1)&gt;=1,B3289='112'!$K$9,OR($N3289='112'!$I$6,$O3289='112'!$I$6))),"x",""))</f>
        <v/>
      </c>
      <c r="U3289" s="75" t="str">
        <f>IF(ISERROR(FIND('112'!$M$9,G3289,1)),"",IF((AND(LEFT(G3289,2)=LEFT('112'!$M$9,2),B3289&lt;'112'!$K$9,$N3289='112'!$I$6)),"x",""))</f>
        <v/>
      </c>
      <c r="V3289" s="75" t="str">
        <f>IF(ISERROR(FIND('112'!$M$9,G3289,1)),"",IF((AND(RIGHT(G3289,2)=RIGHT('112'!$M$9,2),B3289&lt;'112'!$K$9,$O3289='112'!$I$6)),"x",""))</f>
        <v/>
      </c>
      <c r="W3289" s="75" t="str">
        <f>IF(AND('341-CT'!$H$9=H3289,OR(LEFT(N3289,3)=$W$7,LEFT(O3289,3)=$W$7)),"x","")</f>
        <v/>
      </c>
      <c r="X3289" s="75" t="str">
        <f>IF(OR(TH!N3289=TH!$X$7,O3289=TH!$X$7),"x","")</f>
        <v/>
      </c>
      <c r="Y3289" s="75" t="str">
        <f>IF(AND(OR(N3289="131",O3289="131"),H3289='131-CT'!$H$9),"x","")</f>
        <v/>
      </c>
      <c r="Z3289" s="75"/>
      <c r="AA3289" s="75" t="str">
        <f>IF(AND(MONTH(E3289)='IN-NX'!$J$5,'IN-NX'!$D$7=D3289),"x","")</f>
        <v/>
      </c>
      <c r="AB3289" s="75" t="str">
        <f>IF(AND(OR(LEFT(TH!N3289,2)="15",LEFT(TH!O3289,2)="15"),LEFT(TH!O3289,3)&lt;&gt;"111",'152-CT'!$J$8=TH!F3289),"x","")</f>
        <v/>
      </c>
      <c r="AC3289" s="75" t="str">
        <f>IF(AND(OR(LEFT(TH!N3289,2)="15",LEFT(TH!O3289,2)="15"),TK!$E$7=TH!F3289),"x","")</f>
        <v/>
      </c>
      <c r="AD3289" s="75" t="str">
        <f>IF(AND(N3289="1521",MONTH(C3289)='BK-NL'!$M$11),"x","")</f>
        <v/>
      </c>
    </row>
    <row r="3290" spans="1:30" s="1264" customFormat="1" ht="16.5" customHeight="1">
      <c r="A3290" s="309" t="str">
        <f>IF(B3290&lt;&gt;"",IF(AND(B3290='IN-TC'!$S$4,OR(TH!N3290="1111",TH!O3290="1111")),TH!D3290,""),"")</f>
        <v/>
      </c>
      <c r="B3290" s="1282">
        <f t="shared" ref="B3290:B3308" si="1229">IF(C3290&lt;&gt;"",MONTH(C3290),"")</f>
        <v>11</v>
      </c>
      <c r="C3290" s="929">
        <v>43066</v>
      </c>
      <c r="D3290" s="929" t="s">
        <v>530</v>
      </c>
      <c r="E3290" s="929">
        <f t="shared" ref="E3290" si="1230">C3290</f>
        <v>43066</v>
      </c>
      <c r="F3290" s="930" t="s">
        <v>1027</v>
      </c>
      <c r="G3290" s="930" t="s">
        <v>747</v>
      </c>
      <c r="H3290" s="735" t="s">
        <v>1859</v>
      </c>
      <c r="I3290" s="1213"/>
      <c r="J3290" s="378"/>
      <c r="K3290" s="1213">
        <v>56.5</v>
      </c>
      <c r="L3290" s="1214">
        <v>22700</v>
      </c>
      <c r="M3290" s="1214">
        <f t="shared" si="1227"/>
        <v>1282550</v>
      </c>
      <c r="N3290" s="934" t="s">
        <v>101</v>
      </c>
      <c r="O3290" s="934" t="s">
        <v>536</v>
      </c>
      <c r="P3290" s="75" t="str">
        <f>IF(AND('331-CT'!$E$7=TH!H3290,OR(N3290="331",O3290="331")),"x","")</f>
        <v/>
      </c>
      <c r="Q3290" s="75" t="str">
        <f>IF(AND(B3290='111'!$L$11,OR($N3290=$Q$7,$O3290=$Q$7)),"x","")</f>
        <v/>
      </c>
      <c r="R3290" s="75" t="str">
        <f>IF(AND($N3290=$Q$7,$B3290&lt;'111'!$L$11),"x","")</f>
        <v/>
      </c>
      <c r="S3290" s="75" t="str">
        <f>IF(AND($O3290=$Q$7,$B3290&lt;'111'!$L$11),"x","")</f>
        <v/>
      </c>
      <c r="T3290" s="75" t="str">
        <f>IF(ISERROR(FIND('112'!$M$9,G3290,1)),"",IF((AND(FIND('112'!$M$9,G3290,1)&gt;=1,B3290='112'!$K$9,OR($N3290='112'!$I$6,$O3290='112'!$I$6))),"x",""))</f>
        <v/>
      </c>
      <c r="U3290" s="75" t="str">
        <f>IF(ISERROR(FIND('112'!$M$9,G3290,1)),"",IF((AND(LEFT(G3290,2)=LEFT('112'!$M$9,2),B3290&lt;'112'!$K$9,$N3290='112'!$I$6)),"x",""))</f>
        <v/>
      </c>
      <c r="V3290" s="75" t="str">
        <f>IF(ISERROR(FIND('112'!$M$9,G3290,1)),"",IF((AND(RIGHT(G3290,2)=RIGHT('112'!$M$9,2),B3290&lt;'112'!$K$9,$O3290='112'!$I$6)),"x",""))</f>
        <v/>
      </c>
      <c r="W3290" s="75" t="str">
        <f>IF(AND('341-CT'!$H$9=H3290,OR(LEFT(N3290,3)=$W$7,LEFT(O3290,3)=$W$7)),"x","")</f>
        <v/>
      </c>
      <c r="X3290" s="75" t="str">
        <f>IF(OR(TH!N3290=TH!$X$7,O3290=TH!$X$7),"x","")</f>
        <v/>
      </c>
      <c r="Y3290" s="75" t="str">
        <f>IF(AND(OR(N3290="131",O3290="131"),H3290='131-CT'!$H$9),"x","")</f>
        <v/>
      </c>
      <c r="Z3290" s="75"/>
      <c r="AA3290" s="75" t="str">
        <f>IF(AND(MONTH(E3290)='IN-NX'!$J$5,'IN-NX'!$D$7=D3290),"x","")</f>
        <v/>
      </c>
      <c r="AB3290" s="75" t="str">
        <f>IF(AND(OR(LEFT(TH!N3290,2)="15",LEFT(TH!O3290,2)="15"),LEFT(TH!O3290,3)&lt;&gt;"111",'152-CT'!$J$8=TH!F3290),"x","")</f>
        <v/>
      </c>
      <c r="AC3290" s="75" t="str">
        <f>IF(AND(OR(LEFT(TH!N3290,2)="15",LEFT(TH!O3290,2)="15"),TK!$E$7=TH!F3290),"x","")</f>
        <v/>
      </c>
      <c r="AD3290" s="75" t="str">
        <f>IF(AND(N3290="1521",MONTH(C3290)='BK-NL'!$M$11),"x","")</f>
        <v/>
      </c>
    </row>
    <row r="3291" spans="1:30" s="1264" customFormat="1" ht="16.5" customHeight="1">
      <c r="A3291" s="309" t="str">
        <f>IF(B3291&lt;&gt;"",IF(AND(B3291='IN-TC'!$S$4,OR(TH!N3291="1111",TH!O3291="1111")),TH!D3291,""),"")</f>
        <v/>
      </c>
      <c r="B3291" s="1282">
        <f t="shared" si="1229"/>
        <v>11</v>
      </c>
      <c r="C3291" s="929">
        <v>43066</v>
      </c>
      <c r="D3291" s="929" t="s">
        <v>902</v>
      </c>
      <c r="E3291" s="929">
        <f t="shared" si="1219"/>
        <v>43066</v>
      </c>
      <c r="F3291" s="72" t="s">
        <v>1321</v>
      </c>
      <c r="G3291" s="930" t="s">
        <v>747</v>
      </c>
      <c r="H3291" s="735" t="s">
        <v>1609</v>
      </c>
      <c r="I3291" s="1213"/>
      <c r="J3291" s="378"/>
      <c r="K3291" s="1213">
        <v>70000</v>
      </c>
      <c r="L3291" s="1214">
        <v>22700</v>
      </c>
      <c r="M3291" s="74">
        <f t="shared" ref="M3291:M3292" si="1231">ROUND(K3291*L3291,0)</f>
        <v>1589000000</v>
      </c>
      <c r="N3291" s="934" t="s">
        <v>250</v>
      </c>
      <c r="O3291" s="934" t="s">
        <v>256</v>
      </c>
      <c r="P3291" s="75" t="str">
        <f>IF(AND('331-CT'!$E$7=TH!H3291,OR(N3291="331",O3291="331")),"x","")</f>
        <v/>
      </c>
      <c r="Q3291" s="75" t="str">
        <f>IF(AND(B3291='111'!$L$11,OR($N3291=$Q$7,$O3291=$Q$7)),"x","")</f>
        <v/>
      </c>
      <c r="R3291" s="75" t="str">
        <f>IF(AND($N3291=$Q$7,$B3291&lt;'111'!$L$11),"x","")</f>
        <v/>
      </c>
      <c r="S3291" s="75" t="str">
        <f>IF(AND($O3291=$Q$7,$B3291&lt;'111'!$L$11),"x","")</f>
        <v/>
      </c>
      <c r="T3291" s="75" t="str">
        <f>IF(ISERROR(FIND('112'!$M$9,G3291,1)),"",IF((AND(FIND('112'!$M$9,G3291,1)&gt;=1,B3291='112'!$K$9,OR($N3291='112'!$I$6,$O3291='112'!$I$6))),"x",""))</f>
        <v/>
      </c>
      <c r="U3291" s="75" t="str">
        <f>IF(ISERROR(FIND('112'!$M$9,G3291,1)),"",IF((AND(LEFT(G3291,2)=LEFT('112'!$M$9,2),B3291&lt;'112'!$K$9,$N3291='112'!$I$6)),"x",""))</f>
        <v/>
      </c>
      <c r="V3291" s="75" t="str">
        <f>IF(ISERROR(FIND('112'!$M$9,G3291,1)),"",IF((AND(RIGHT(G3291,2)=RIGHT('112'!$M$9,2),B3291&lt;'112'!$K$9,$O3291='112'!$I$6)),"x",""))</f>
        <v/>
      </c>
      <c r="W3291" s="75" t="str">
        <f>IF(AND('341-CT'!$H$9=H3291,OR(LEFT(N3291,3)=$W$7,LEFT(O3291,3)=$W$7)),"x","")</f>
        <v/>
      </c>
      <c r="X3291" s="75" t="str">
        <f>IF(OR(TH!N3291=TH!$X$7,O3291=TH!$X$7),"x","")</f>
        <v/>
      </c>
      <c r="Y3291" s="75" t="str">
        <f>IF(AND(OR(N3291="131",O3291="131"),H3291='131-CT'!$H$9),"x","")</f>
        <v/>
      </c>
      <c r="Z3291" s="75"/>
      <c r="AA3291" s="75" t="str">
        <f>IF(AND(MONTH(E3291)='IN-NX'!$J$5,'IN-NX'!$D$7=D3291),"x","")</f>
        <v/>
      </c>
      <c r="AB3291" s="75" t="str">
        <f>IF(AND(OR(LEFT(TH!N3291,2)="15",LEFT(TH!O3291,2)="15"),LEFT(TH!O3291,3)&lt;&gt;"111",'152-CT'!$J$8=TH!F3291),"x","")</f>
        <v/>
      </c>
      <c r="AC3291" s="75" t="str">
        <f>IF(AND(OR(LEFT(TH!N3291,2)="15",LEFT(TH!O3291,2)="15"),TK!$E$7=TH!F3291),"x","")</f>
        <v/>
      </c>
      <c r="AD3291" s="75" t="str">
        <f>IF(AND(N3291="1521",MONTH(C3291)='BK-NL'!$M$11),"x","")</f>
        <v/>
      </c>
    </row>
    <row r="3292" spans="1:30" s="1264" customFormat="1" ht="16.5" customHeight="1">
      <c r="A3292" s="309" t="str">
        <f>IF(B3292&lt;&gt;"",IF(AND(B3292='IN-TC'!$S$4,OR(TH!N3292="1111",TH!O3292="1111")),TH!D3292,""),"")</f>
        <v/>
      </c>
      <c r="B3292" s="1282">
        <f t="shared" si="1229"/>
        <v>11</v>
      </c>
      <c r="C3292" s="929">
        <v>43066</v>
      </c>
      <c r="D3292" s="929" t="s">
        <v>902</v>
      </c>
      <c r="E3292" s="929">
        <f t="shared" si="1219"/>
        <v>43066</v>
      </c>
      <c r="F3292" s="72" t="s">
        <v>1096</v>
      </c>
      <c r="G3292" s="930" t="s">
        <v>747</v>
      </c>
      <c r="H3292" s="735" t="s">
        <v>1609</v>
      </c>
      <c r="I3292" s="1213"/>
      <c r="J3292" s="378"/>
      <c r="K3292" s="1213">
        <v>38.89</v>
      </c>
      <c r="L3292" s="1214">
        <v>22700</v>
      </c>
      <c r="M3292" s="74">
        <f t="shared" si="1231"/>
        <v>882803</v>
      </c>
      <c r="N3292" s="934" t="s">
        <v>99</v>
      </c>
      <c r="O3292" s="934" t="s">
        <v>256</v>
      </c>
      <c r="P3292" s="75" t="str">
        <f>IF(AND('331-CT'!$E$7=TH!H3292,OR(N3292="331",O3292="331")),"x","")</f>
        <v/>
      </c>
      <c r="Q3292" s="75" t="str">
        <f>IF(AND(B3292='111'!$L$11,OR($N3292=$Q$7,$O3292=$Q$7)),"x","")</f>
        <v/>
      </c>
      <c r="R3292" s="75" t="str">
        <f>IF(AND($N3292=$Q$7,$B3292&lt;'111'!$L$11),"x","")</f>
        <v/>
      </c>
      <c r="S3292" s="75" t="str">
        <f>IF(AND($O3292=$Q$7,$B3292&lt;'111'!$L$11),"x","")</f>
        <v/>
      </c>
      <c r="T3292" s="75" t="str">
        <f>IF(ISERROR(FIND('112'!$M$9,G3292,1)),"",IF((AND(FIND('112'!$M$9,G3292,1)&gt;=1,B3292='112'!$K$9,OR($N3292='112'!$I$6,$O3292='112'!$I$6))),"x",""))</f>
        <v/>
      </c>
      <c r="U3292" s="75" t="str">
        <f>IF(ISERROR(FIND('112'!$M$9,G3292,1)),"",IF((AND(LEFT(G3292,2)=LEFT('112'!$M$9,2),B3292&lt;'112'!$K$9,$N3292='112'!$I$6)),"x",""))</f>
        <v/>
      </c>
      <c r="V3292" s="75" t="str">
        <f>IF(ISERROR(FIND('112'!$M$9,G3292,1)),"",IF((AND(RIGHT(G3292,2)=RIGHT('112'!$M$9,2),B3292&lt;'112'!$K$9,$O3292='112'!$I$6)),"x",""))</f>
        <v/>
      </c>
      <c r="W3292" s="75" t="str">
        <f>IF(AND('341-CT'!$H$9=H3292,OR(LEFT(N3292,3)=$W$7,LEFT(O3292,3)=$W$7)),"x","")</f>
        <v/>
      </c>
      <c r="X3292" s="75" t="str">
        <f>IF(OR(TH!N3292=TH!$X$7,O3292=TH!$X$7),"x","")</f>
        <v/>
      </c>
      <c r="Y3292" s="75" t="str">
        <f>IF(AND(OR(N3292="131",O3292="131"),H3292='131-CT'!$H$9),"x","")</f>
        <v/>
      </c>
      <c r="Z3292" s="75"/>
      <c r="AA3292" s="75" t="str">
        <f>IF(AND(MONTH(E3292)='IN-NX'!$J$5,'IN-NX'!$D$7=D3292),"x","")</f>
        <v/>
      </c>
      <c r="AB3292" s="75" t="str">
        <f>IF(AND(OR(LEFT(TH!N3292,2)="15",LEFT(TH!O3292,2)="15"),LEFT(TH!O3292,3)&lt;&gt;"111",'152-CT'!$J$8=TH!F3292),"x","")</f>
        <v/>
      </c>
      <c r="AC3292" s="75" t="str">
        <f>IF(AND(OR(LEFT(TH!N3292,2)="15",LEFT(TH!O3292,2)="15"),TK!$E$7=TH!F3292),"x","")</f>
        <v/>
      </c>
      <c r="AD3292" s="75" t="str">
        <f>IF(AND(N3292="1521",MONTH(C3292)='BK-NL'!$M$11),"x","")</f>
        <v/>
      </c>
    </row>
    <row r="3293" spans="1:30" s="1264" customFormat="1" ht="16.5" customHeight="1">
      <c r="A3293" s="309" t="str">
        <f>IF(B3293&lt;&gt;"",IF(AND(B3293='IN-TC'!$S$4,OR(TH!N3293="1111",TH!O3293="1111")),TH!D3293,""),"")</f>
        <v/>
      </c>
      <c r="B3293" s="1282">
        <f t="shared" si="1229"/>
        <v>11</v>
      </c>
      <c r="C3293" s="929">
        <v>43066</v>
      </c>
      <c r="D3293" s="929" t="s">
        <v>530</v>
      </c>
      <c r="E3293" s="929">
        <f t="shared" ref="E3293" si="1232">C3293</f>
        <v>43066</v>
      </c>
      <c r="F3293" s="930" t="s">
        <v>1010</v>
      </c>
      <c r="G3293" s="930" t="s">
        <v>747</v>
      </c>
      <c r="H3293" s="735" t="s">
        <v>1609</v>
      </c>
      <c r="I3293" s="1213"/>
      <c r="J3293" s="378"/>
      <c r="K3293" s="1213"/>
      <c r="L3293" s="1214"/>
      <c r="M3293" s="74">
        <v>350000</v>
      </c>
      <c r="N3293" s="934" t="s">
        <v>99</v>
      </c>
      <c r="O3293" s="934" t="s">
        <v>250</v>
      </c>
      <c r="P3293" s="75" t="str">
        <f>IF(AND('331-CT'!$E$7=TH!H3293,OR(N3293="331",O3293="331")),"x","")</f>
        <v/>
      </c>
      <c r="Q3293" s="75" t="str">
        <f>IF(AND(B3293='111'!$L$11,OR($N3293=$Q$7,$O3293=$Q$7)),"x","")</f>
        <v/>
      </c>
      <c r="R3293" s="75" t="str">
        <f>IF(AND($N3293=$Q$7,$B3293&lt;'111'!$L$11),"x","")</f>
        <v/>
      </c>
      <c r="S3293" s="75" t="str">
        <f>IF(AND($O3293=$Q$7,$B3293&lt;'111'!$L$11),"x","")</f>
        <v/>
      </c>
      <c r="T3293" s="75" t="str">
        <f>IF(ISERROR(FIND('112'!$M$9,G3293,1)),"",IF((AND(FIND('112'!$M$9,G3293,1)&gt;=1,B3293='112'!$K$9,OR($N3293='112'!$I$6,$O3293='112'!$I$6))),"x",""))</f>
        <v/>
      </c>
      <c r="U3293" s="75" t="str">
        <f>IF(ISERROR(FIND('112'!$M$9,G3293,1)),"",IF((AND(LEFT(G3293,2)=LEFT('112'!$M$9,2),B3293&lt;'112'!$K$9,$N3293='112'!$I$6)),"x",""))</f>
        <v/>
      </c>
      <c r="V3293" s="75" t="str">
        <f>IF(ISERROR(FIND('112'!$M$9,G3293,1)),"",IF((AND(RIGHT(G3293,2)=RIGHT('112'!$M$9,2),B3293&lt;'112'!$K$9,$O3293='112'!$I$6)),"x",""))</f>
        <v/>
      </c>
      <c r="W3293" s="75" t="str">
        <f>IF(AND('341-CT'!$H$9=H3293,OR(LEFT(N3293,3)=$W$7,LEFT(O3293,3)=$W$7)),"x","")</f>
        <v/>
      </c>
      <c r="X3293" s="75" t="str">
        <f>IF(OR(TH!N3293=TH!$X$7,O3293=TH!$X$7),"x","")</f>
        <v/>
      </c>
      <c r="Y3293" s="75" t="str">
        <f>IF(AND(OR(N3293="131",O3293="131"),H3293='131-CT'!$H$9),"x","")</f>
        <v/>
      </c>
      <c r="Z3293" s="75"/>
      <c r="AA3293" s="75" t="str">
        <f>IF(AND(MONTH(E3293)='IN-NX'!$J$5,'IN-NX'!$D$7=D3293),"x","")</f>
        <v/>
      </c>
      <c r="AB3293" s="75" t="str">
        <f>IF(AND(OR(LEFT(TH!N3293,2)="15",LEFT(TH!O3293,2)="15"),LEFT(TH!O3293,3)&lt;&gt;"111",'152-CT'!$J$8=TH!F3293),"x","")</f>
        <v/>
      </c>
      <c r="AC3293" s="75" t="str">
        <f>IF(AND(OR(LEFT(TH!N3293,2)="15",LEFT(TH!O3293,2)="15"),TK!$E$7=TH!F3293),"x","")</f>
        <v/>
      </c>
      <c r="AD3293" s="75" t="str">
        <f>IF(AND(N3293="1521",MONTH(C3293)='BK-NL'!$M$11),"x","")</f>
        <v/>
      </c>
    </row>
    <row r="3294" spans="1:30" s="1264" customFormat="1" ht="16.5" customHeight="1">
      <c r="A3294" s="309" t="str">
        <f>IF(B3294&lt;&gt;"",IF(AND(B3294='IN-TC'!$S$4,OR(TH!N3294="1111",TH!O3294="1111")),TH!D3294,""),"")</f>
        <v/>
      </c>
      <c r="B3294" s="1282">
        <f t="shared" si="1229"/>
        <v>11</v>
      </c>
      <c r="C3294" s="929">
        <v>43069</v>
      </c>
      <c r="D3294" s="929" t="s">
        <v>903</v>
      </c>
      <c r="E3294" s="929">
        <f t="shared" si="1219"/>
        <v>43069</v>
      </c>
      <c r="F3294" s="930" t="s">
        <v>1086</v>
      </c>
      <c r="G3294" s="930" t="s">
        <v>747</v>
      </c>
      <c r="H3294" s="1266" t="s">
        <v>2842</v>
      </c>
      <c r="I3294" s="1213"/>
      <c r="J3294" s="378"/>
      <c r="K3294" s="1213">
        <v>5274.74</v>
      </c>
      <c r="L3294" s="1214">
        <v>22700</v>
      </c>
      <c r="M3294" s="1214">
        <f t="shared" ref="M3294:M3297" si="1233">ROUND(K3294*L3294,0)</f>
        <v>119736598</v>
      </c>
      <c r="N3294" s="934" t="s">
        <v>256</v>
      </c>
      <c r="O3294" s="934" t="s">
        <v>536</v>
      </c>
      <c r="P3294" s="75" t="str">
        <f>IF(AND('331-CT'!$E$7=TH!H3294,OR(N3294="331",O3294="331")),"x","")</f>
        <v/>
      </c>
      <c r="Q3294" s="75" t="str">
        <f>IF(AND(B3294='111'!$L$11,OR($N3294=$Q$7,$O3294=$Q$7)),"x","")</f>
        <v/>
      </c>
      <c r="R3294" s="75" t="str">
        <f>IF(AND($N3294=$Q$7,$B3294&lt;'111'!$L$11),"x","")</f>
        <v/>
      </c>
      <c r="S3294" s="75" t="str">
        <f>IF(AND($O3294=$Q$7,$B3294&lt;'111'!$L$11),"x","")</f>
        <v/>
      </c>
      <c r="T3294" s="75" t="str">
        <f>IF(ISERROR(FIND('112'!$M$9,G3294,1)),"",IF((AND(FIND('112'!$M$9,G3294,1)&gt;=1,B3294='112'!$K$9,OR($N3294='112'!$I$6,$O3294='112'!$I$6))),"x",""))</f>
        <v/>
      </c>
      <c r="U3294" s="75" t="str">
        <f>IF(ISERROR(FIND('112'!$M$9,G3294,1)),"",IF((AND(LEFT(G3294,2)=LEFT('112'!$M$9,2),B3294&lt;'112'!$K$9,$N3294='112'!$I$6)),"x",""))</f>
        <v/>
      </c>
      <c r="V3294" s="75" t="str">
        <f>IF(ISERROR(FIND('112'!$M$9,G3294,1)),"",IF((AND(RIGHT(G3294,2)=RIGHT('112'!$M$9,2),B3294&lt;'112'!$K$9,$O3294='112'!$I$6)),"x",""))</f>
        <v/>
      </c>
      <c r="W3294" s="75" t="str">
        <f>IF(AND('341-CT'!$H$9=H3294,OR(LEFT(N3294,3)=$W$7,LEFT(O3294,3)=$W$7)),"x","")</f>
        <v/>
      </c>
      <c r="X3294" s="75" t="str">
        <f>IF(OR(TH!N3294=TH!$X$7,O3294=TH!$X$7),"x","")</f>
        <v/>
      </c>
      <c r="Y3294" s="75" t="str">
        <f>IF(AND(OR(N3294="131",O3294="131"),H3294='131-CT'!$H$9),"x","")</f>
        <v/>
      </c>
      <c r="Z3294" s="75"/>
      <c r="AA3294" s="75" t="str">
        <f>IF(AND(MONTH(E3294)='IN-NX'!$J$5,'IN-NX'!$D$7=D3294),"x","")</f>
        <v/>
      </c>
      <c r="AB3294" s="75" t="str">
        <f>IF(AND(OR(LEFT(TH!N3294,2)="15",LEFT(TH!O3294,2)="15"),LEFT(TH!O3294,3)&lt;&gt;"111",'152-CT'!$J$8=TH!F3294),"x","")</f>
        <v/>
      </c>
      <c r="AC3294" s="75" t="str">
        <f>IF(AND(OR(LEFT(TH!N3294,2)="15",LEFT(TH!O3294,2)="15"),TK!$E$7=TH!F3294),"x","")</f>
        <v/>
      </c>
      <c r="AD3294" s="75" t="str">
        <f>IF(AND(N3294="1521",MONTH(C3294)='BK-NL'!$M$11),"x","")</f>
        <v/>
      </c>
    </row>
    <row r="3295" spans="1:30" s="1264" customFormat="1" ht="16.5" customHeight="1">
      <c r="A3295" s="309" t="str">
        <f>IF(B3295&lt;&gt;"",IF(AND(B3295='IN-TC'!$S$4,OR(TH!N3295="1111",TH!O3295="1111")),TH!D3295,""),"")</f>
        <v/>
      </c>
      <c r="B3295" s="1283">
        <f t="shared" si="1229"/>
        <v>12</v>
      </c>
      <c r="C3295" s="929">
        <v>43070</v>
      </c>
      <c r="D3295" s="929" t="s">
        <v>903</v>
      </c>
      <c r="E3295" s="929">
        <f t="shared" si="1219"/>
        <v>43070</v>
      </c>
      <c r="F3295" s="930" t="s">
        <v>1086</v>
      </c>
      <c r="G3295" s="930" t="s">
        <v>747</v>
      </c>
      <c r="H3295" s="735" t="s">
        <v>1859</v>
      </c>
      <c r="I3295" s="1213"/>
      <c r="J3295" s="378"/>
      <c r="K3295" s="1213">
        <v>174117.5</v>
      </c>
      <c r="L3295" s="1214">
        <v>22700</v>
      </c>
      <c r="M3295" s="1214">
        <f t="shared" si="1233"/>
        <v>3952467250</v>
      </c>
      <c r="N3295" s="934" t="s">
        <v>256</v>
      </c>
      <c r="O3295" s="934" t="s">
        <v>536</v>
      </c>
      <c r="P3295" s="75" t="str">
        <f>IF(AND('331-CT'!$E$7=TH!H3295,OR(N3295="331",O3295="331")),"x","")</f>
        <v/>
      </c>
      <c r="Q3295" s="75" t="str">
        <f>IF(AND(B3295='111'!$L$11,OR($N3295=$Q$7,$O3295=$Q$7)),"x","")</f>
        <v/>
      </c>
      <c r="R3295" s="75" t="str">
        <f>IF(AND($N3295=$Q$7,$B3295&lt;'111'!$L$11),"x","")</f>
        <v/>
      </c>
      <c r="S3295" s="75" t="str">
        <f>IF(AND($O3295=$Q$7,$B3295&lt;'111'!$L$11),"x","")</f>
        <v/>
      </c>
      <c r="T3295" s="75" t="str">
        <f>IF(ISERROR(FIND('112'!$M$9,G3295,1)),"",IF((AND(FIND('112'!$M$9,G3295,1)&gt;=1,B3295='112'!$K$9,OR($N3295='112'!$I$6,$O3295='112'!$I$6))),"x",""))</f>
        <v/>
      </c>
      <c r="U3295" s="75" t="str">
        <f>IF(ISERROR(FIND('112'!$M$9,G3295,1)),"",IF((AND(LEFT(G3295,2)=LEFT('112'!$M$9,2),B3295&lt;'112'!$K$9,$N3295='112'!$I$6)),"x",""))</f>
        <v/>
      </c>
      <c r="V3295" s="75" t="str">
        <f>IF(ISERROR(FIND('112'!$M$9,G3295,1)),"",IF((AND(RIGHT(G3295,2)=RIGHT('112'!$M$9,2),B3295&lt;'112'!$K$9,$O3295='112'!$I$6)),"x",""))</f>
        <v/>
      </c>
      <c r="W3295" s="75" t="str">
        <f>IF(AND('341-CT'!$H$9=H3295,OR(LEFT(N3295,3)=$W$7,LEFT(O3295,3)=$W$7)),"x","")</f>
        <v/>
      </c>
      <c r="X3295" s="75" t="str">
        <f>IF(OR(TH!N3295=TH!$X$7,O3295=TH!$X$7),"x","")</f>
        <v/>
      </c>
      <c r="Y3295" s="75" t="str">
        <f>IF(AND(OR(N3295="131",O3295="131"),H3295='131-CT'!$H$9),"x","")</f>
        <v/>
      </c>
      <c r="Z3295" s="75"/>
      <c r="AA3295" s="75" t="str">
        <f>IF(AND(MONTH(E3295)='IN-NX'!$J$5,'IN-NX'!$D$7=D3295),"x","")</f>
        <v/>
      </c>
      <c r="AB3295" s="75" t="str">
        <f>IF(AND(OR(LEFT(TH!N3295,2)="15",LEFT(TH!O3295,2)="15"),LEFT(TH!O3295,3)&lt;&gt;"111",'152-CT'!$J$8=TH!F3295),"x","")</f>
        <v/>
      </c>
      <c r="AC3295" s="75" t="str">
        <f>IF(AND(OR(LEFT(TH!N3295,2)="15",LEFT(TH!O3295,2)="15"),TK!$E$7=TH!F3295),"x","")</f>
        <v/>
      </c>
      <c r="AD3295" s="75" t="str">
        <f>IF(AND(N3295="1521",MONTH(C3295)='BK-NL'!$M$11),"x","")</f>
        <v/>
      </c>
    </row>
    <row r="3296" spans="1:30" s="1264" customFormat="1" ht="16.5" customHeight="1">
      <c r="A3296" s="309" t="str">
        <f>IF(B3296&lt;&gt;"",IF(AND(B3296='IN-TC'!$S$4,OR(TH!N3296="1111",TH!O3296="1111")),TH!D3296,""),"")</f>
        <v/>
      </c>
      <c r="B3296" s="1283">
        <f t="shared" ref="B3296" si="1234">IF(C3296&lt;&gt;"",MONTH(C3296),"")</f>
        <v>12</v>
      </c>
      <c r="C3296" s="929">
        <v>43070</v>
      </c>
      <c r="D3296" s="929" t="s">
        <v>530</v>
      </c>
      <c r="E3296" s="929">
        <f t="shared" ref="E3296" si="1235">C3296</f>
        <v>43070</v>
      </c>
      <c r="F3296" s="930" t="s">
        <v>1027</v>
      </c>
      <c r="G3296" s="930" t="s">
        <v>747</v>
      </c>
      <c r="H3296" s="735" t="s">
        <v>1859</v>
      </c>
      <c r="I3296" s="1213"/>
      <c r="J3296" s="378"/>
      <c r="K3296" s="1213">
        <v>56.5</v>
      </c>
      <c r="L3296" s="1214">
        <v>22700</v>
      </c>
      <c r="M3296" s="1214">
        <f t="shared" si="1233"/>
        <v>1282550</v>
      </c>
      <c r="N3296" s="934" t="s">
        <v>101</v>
      </c>
      <c r="O3296" s="934" t="s">
        <v>536</v>
      </c>
      <c r="P3296" s="75" t="str">
        <f>IF(AND('331-CT'!$E$7=TH!H3296,OR(N3296="331",O3296="331")),"x","")</f>
        <v/>
      </c>
      <c r="Q3296" s="75" t="str">
        <f>IF(AND(B3296='111'!$L$11,OR($N3296=$Q$7,$O3296=$Q$7)),"x","")</f>
        <v/>
      </c>
      <c r="R3296" s="75" t="str">
        <f>IF(AND($N3296=$Q$7,$B3296&lt;'111'!$L$11),"x","")</f>
        <v/>
      </c>
      <c r="S3296" s="75" t="str">
        <f>IF(AND($O3296=$Q$7,$B3296&lt;'111'!$L$11),"x","")</f>
        <v/>
      </c>
      <c r="T3296" s="75" t="str">
        <f>IF(ISERROR(FIND('112'!$M$9,G3296,1)),"",IF((AND(FIND('112'!$M$9,G3296,1)&gt;=1,B3296='112'!$K$9,OR($N3296='112'!$I$6,$O3296='112'!$I$6))),"x",""))</f>
        <v/>
      </c>
      <c r="U3296" s="75" t="str">
        <f>IF(ISERROR(FIND('112'!$M$9,G3296,1)),"",IF((AND(LEFT(G3296,2)=LEFT('112'!$M$9,2),B3296&lt;'112'!$K$9,$N3296='112'!$I$6)),"x",""))</f>
        <v/>
      </c>
      <c r="V3296" s="75" t="str">
        <f>IF(ISERROR(FIND('112'!$M$9,G3296,1)),"",IF((AND(RIGHT(G3296,2)=RIGHT('112'!$M$9,2),B3296&lt;'112'!$K$9,$O3296='112'!$I$6)),"x",""))</f>
        <v/>
      </c>
      <c r="W3296" s="75" t="str">
        <f>IF(AND('341-CT'!$H$9=H3296,OR(LEFT(N3296,3)=$W$7,LEFT(O3296,3)=$W$7)),"x","")</f>
        <v/>
      </c>
      <c r="X3296" s="75" t="str">
        <f>IF(OR(TH!N3296=TH!$X$7,O3296=TH!$X$7),"x","")</f>
        <v/>
      </c>
      <c r="Y3296" s="75" t="str">
        <f>IF(AND(OR(N3296="131",O3296="131"),H3296='131-CT'!$H$9),"x","")</f>
        <v/>
      </c>
      <c r="Z3296" s="75"/>
      <c r="AA3296" s="75" t="str">
        <f>IF(AND(MONTH(E3296)='IN-NX'!$J$5,'IN-NX'!$D$7=D3296),"x","")</f>
        <v/>
      </c>
      <c r="AB3296" s="75" t="str">
        <f>IF(AND(OR(LEFT(TH!N3296,2)="15",LEFT(TH!O3296,2)="15"),LEFT(TH!O3296,3)&lt;&gt;"111",'152-CT'!$J$8=TH!F3296),"x","")</f>
        <v/>
      </c>
      <c r="AC3296" s="75" t="str">
        <f>IF(AND(OR(LEFT(TH!N3296,2)="15",LEFT(TH!O3296,2)="15"),TK!$E$7=TH!F3296),"x","")</f>
        <v/>
      </c>
      <c r="AD3296" s="75" t="str">
        <f>IF(AND(N3296="1521",MONTH(C3296)='BK-NL'!$M$11),"x","")</f>
        <v/>
      </c>
    </row>
    <row r="3297" spans="1:30" s="1264" customFormat="1" ht="16.5" customHeight="1">
      <c r="A3297" s="309" t="str">
        <f>IF(B3297&lt;&gt;"",IF(AND(B3297='IN-TC'!$S$4,OR(TH!N3297="1111",TH!O3297="1111")),TH!D3297,""),"")</f>
        <v/>
      </c>
      <c r="B3297" s="1283">
        <f t="shared" si="1229"/>
        <v>12</v>
      </c>
      <c r="C3297" s="929">
        <v>43073</v>
      </c>
      <c r="D3297" s="929" t="s">
        <v>902</v>
      </c>
      <c r="E3297" s="929">
        <f t="shared" si="1219"/>
        <v>43073</v>
      </c>
      <c r="F3297" s="72" t="s">
        <v>1096</v>
      </c>
      <c r="G3297" s="930" t="s">
        <v>747</v>
      </c>
      <c r="H3297" s="73" t="s">
        <v>2442</v>
      </c>
      <c r="I3297" s="1213"/>
      <c r="J3297" s="378"/>
      <c r="K3297" s="1213">
        <v>89.33</v>
      </c>
      <c r="L3297" s="1214">
        <v>22700</v>
      </c>
      <c r="M3297" s="74">
        <f t="shared" si="1233"/>
        <v>2027791</v>
      </c>
      <c r="N3297" s="934" t="s">
        <v>99</v>
      </c>
      <c r="O3297" s="934" t="s">
        <v>256</v>
      </c>
      <c r="P3297" s="75" t="str">
        <f>IF(AND('331-CT'!$E$7=TH!H3297,OR(N3297="331",O3297="331")),"x","")</f>
        <v/>
      </c>
      <c r="Q3297" s="75" t="str">
        <f>IF(AND(B3297='111'!$L$11,OR($N3297=$Q$7,$O3297=$Q$7)),"x","")</f>
        <v/>
      </c>
      <c r="R3297" s="75" t="str">
        <f>IF(AND($N3297=$Q$7,$B3297&lt;'111'!$L$11),"x","")</f>
        <v/>
      </c>
      <c r="S3297" s="75" t="str">
        <f>IF(AND($O3297=$Q$7,$B3297&lt;'111'!$L$11),"x","")</f>
        <v/>
      </c>
      <c r="T3297" s="75" t="str">
        <f>IF(ISERROR(FIND('112'!$M$9,G3297,1)),"",IF((AND(FIND('112'!$M$9,G3297,1)&gt;=1,B3297='112'!$K$9,OR($N3297='112'!$I$6,$O3297='112'!$I$6))),"x",""))</f>
        <v/>
      </c>
      <c r="U3297" s="75" t="str">
        <f>IF(ISERROR(FIND('112'!$M$9,G3297,1)),"",IF((AND(LEFT(G3297,2)=LEFT('112'!$M$9,2),B3297&lt;'112'!$K$9,$N3297='112'!$I$6)),"x",""))</f>
        <v/>
      </c>
      <c r="V3297" s="75" t="str">
        <f>IF(ISERROR(FIND('112'!$M$9,G3297,1)),"",IF((AND(RIGHT(G3297,2)=RIGHT('112'!$M$9,2),B3297&lt;'112'!$K$9,$O3297='112'!$I$6)),"x",""))</f>
        <v/>
      </c>
      <c r="W3297" s="75" t="str">
        <f>IF(AND('341-CT'!$H$9=H3297,OR(LEFT(N3297,3)=$W$7,LEFT(O3297,3)=$W$7)),"x","")</f>
        <v/>
      </c>
      <c r="X3297" s="75" t="str">
        <f>IF(OR(TH!N3297=TH!$X$7,O3297=TH!$X$7),"x","")</f>
        <v/>
      </c>
      <c r="Y3297" s="75" t="str">
        <f>IF(AND(OR(N3297="131",O3297="131"),H3297='131-CT'!$H$9),"x","")</f>
        <v/>
      </c>
      <c r="Z3297" s="75"/>
      <c r="AA3297" s="75" t="str">
        <f>IF(AND(MONTH(E3297)='IN-NX'!$J$5,'IN-NX'!$D$7=D3297),"x","")</f>
        <v/>
      </c>
      <c r="AB3297" s="75" t="str">
        <f>IF(AND(OR(LEFT(TH!N3297,2)="15",LEFT(TH!O3297,2)="15"),LEFT(TH!O3297,3)&lt;&gt;"111",'152-CT'!$J$8=TH!F3297),"x","")</f>
        <v/>
      </c>
      <c r="AC3297" s="75" t="str">
        <f>IF(AND(OR(LEFT(TH!N3297,2)="15",LEFT(TH!O3297,2)="15"),TK!$E$7=TH!F3297),"x","")</f>
        <v/>
      </c>
      <c r="AD3297" s="75" t="str">
        <f>IF(AND(N3297="1521",MONTH(C3297)='BK-NL'!$M$11),"x","")</f>
        <v/>
      </c>
    </row>
    <row r="3298" spans="1:30" s="1264" customFormat="1" ht="16.5" customHeight="1">
      <c r="A3298" s="309" t="str">
        <f>IF(B3298&lt;&gt;"",IF(AND(B3298='IN-TC'!$S$4,OR(TH!N3298="1111",TH!O3298="1111")),TH!D3298,""),"")</f>
        <v/>
      </c>
      <c r="B3298" s="1283">
        <f t="shared" si="1229"/>
        <v>12</v>
      </c>
      <c r="C3298" s="929">
        <v>43073</v>
      </c>
      <c r="D3298" s="929" t="s">
        <v>902</v>
      </c>
      <c r="E3298" s="929">
        <f t="shared" ref="E3298:E3310" si="1236">C3298</f>
        <v>43073</v>
      </c>
      <c r="F3298" s="72" t="s">
        <v>1321</v>
      </c>
      <c r="G3298" s="930" t="s">
        <v>747</v>
      </c>
      <c r="H3298" s="73" t="s">
        <v>2442</v>
      </c>
      <c r="I3298" s="1213"/>
      <c r="J3298" s="378"/>
      <c r="K3298" s="1213">
        <v>67000</v>
      </c>
      <c r="L3298" s="1214">
        <v>22700</v>
      </c>
      <c r="M3298" s="74">
        <f t="shared" ref="M3298" si="1237">ROUND(K3298*L3298,0)</f>
        <v>1520900000</v>
      </c>
      <c r="N3298" s="934" t="s">
        <v>250</v>
      </c>
      <c r="O3298" s="934" t="s">
        <v>256</v>
      </c>
      <c r="P3298" s="75" t="str">
        <f>IF(AND('331-CT'!$E$7=TH!H3298,OR(N3298="331",O3298="331")),"x","")</f>
        <v/>
      </c>
      <c r="Q3298" s="75" t="str">
        <f>IF(AND(B3298='111'!$L$11,OR($N3298=$Q$7,$O3298=$Q$7)),"x","")</f>
        <v/>
      </c>
      <c r="R3298" s="75" t="str">
        <f>IF(AND($N3298=$Q$7,$B3298&lt;'111'!$L$11),"x","")</f>
        <v/>
      </c>
      <c r="S3298" s="75" t="str">
        <f>IF(AND($O3298=$Q$7,$B3298&lt;'111'!$L$11),"x","")</f>
        <v/>
      </c>
      <c r="T3298" s="75" t="str">
        <f>IF(ISERROR(FIND('112'!$M$9,G3298,1)),"",IF((AND(FIND('112'!$M$9,G3298,1)&gt;=1,B3298='112'!$K$9,OR($N3298='112'!$I$6,$O3298='112'!$I$6))),"x",""))</f>
        <v/>
      </c>
      <c r="U3298" s="75" t="str">
        <f>IF(ISERROR(FIND('112'!$M$9,G3298,1)),"",IF((AND(LEFT(G3298,2)=LEFT('112'!$M$9,2),B3298&lt;'112'!$K$9,$N3298='112'!$I$6)),"x",""))</f>
        <v/>
      </c>
      <c r="V3298" s="75" t="str">
        <f>IF(ISERROR(FIND('112'!$M$9,G3298,1)),"",IF((AND(RIGHT(G3298,2)=RIGHT('112'!$M$9,2),B3298&lt;'112'!$K$9,$O3298='112'!$I$6)),"x",""))</f>
        <v/>
      </c>
      <c r="W3298" s="75" t="str">
        <f>IF(AND('341-CT'!$H$9=H3298,OR(LEFT(N3298,3)=$W$7,LEFT(O3298,3)=$W$7)),"x","")</f>
        <v/>
      </c>
      <c r="X3298" s="75" t="str">
        <f>IF(OR(TH!N3298=TH!$X$7,O3298=TH!$X$7),"x","")</f>
        <v/>
      </c>
      <c r="Y3298" s="75" t="str">
        <f>IF(AND(OR(N3298="131",O3298="131"),H3298='131-CT'!$H$9),"x","")</f>
        <v/>
      </c>
      <c r="Z3298" s="75"/>
      <c r="AA3298" s="75" t="str">
        <f>IF(AND(MONTH(E3298)='IN-NX'!$J$5,'IN-NX'!$D$7=D3298),"x","")</f>
        <v/>
      </c>
      <c r="AB3298" s="75" t="str">
        <f>IF(AND(OR(LEFT(TH!N3298,2)="15",LEFT(TH!O3298,2)="15"),LEFT(TH!O3298,3)&lt;&gt;"111",'152-CT'!$J$8=TH!F3298),"x","")</f>
        <v/>
      </c>
      <c r="AC3298" s="75" t="str">
        <f>IF(AND(OR(LEFT(TH!N3298,2)="15",LEFT(TH!O3298,2)="15"),TK!$E$7=TH!F3298),"x","")</f>
        <v/>
      </c>
      <c r="AD3298" s="75" t="str">
        <f>IF(AND(N3298="1521",MONTH(C3298)='BK-NL'!$M$11),"x","")</f>
        <v/>
      </c>
    </row>
    <row r="3299" spans="1:30" s="1264" customFormat="1" ht="16.5" customHeight="1">
      <c r="A3299" s="309" t="str">
        <f>IF(B3299&lt;&gt;"",IF(AND(B3299='IN-TC'!$S$4,OR(TH!N3299="1111",TH!O3299="1111")),TH!D3299,""),"")</f>
        <v/>
      </c>
      <c r="B3299" s="1283">
        <f t="shared" si="1229"/>
        <v>12</v>
      </c>
      <c r="C3299" s="929">
        <v>43073</v>
      </c>
      <c r="D3299" s="929" t="s">
        <v>902</v>
      </c>
      <c r="E3299" s="929">
        <f t="shared" si="1236"/>
        <v>43073</v>
      </c>
      <c r="F3299" s="930" t="s">
        <v>1010</v>
      </c>
      <c r="G3299" s="930" t="s">
        <v>747</v>
      </c>
      <c r="H3299" s="73" t="s">
        <v>2442</v>
      </c>
      <c r="I3299" s="1213"/>
      <c r="J3299" s="378"/>
      <c r="K3299" s="1213"/>
      <c r="L3299" s="1214"/>
      <c r="M3299" s="74">
        <v>1407000</v>
      </c>
      <c r="N3299" s="934" t="s">
        <v>99</v>
      </c>
      <c r="O3299" s="934" t="s">
        <v>250</v>
      </c>
      <c r="P3299" s="75" t="str">
        <f>IF(AND('331-CT'!$E$7=TH!H3299,OR(N3299="331",O3299="331")),"x","")</f>
        <v/>
      </c>
      <c r="Q3299" s="75" t="str">
        <f>IF(AND(B3299='111'!$L$11,OR($N3299=$Q$7,$O3299=$Q$7)),"x","")</f>
        <v/>
      </c>
      <c r="R3299" s="75" t="str">
        <f>IF(AND($N3299=$Q$7,$B3299&lt;'111'!$L$11),"x","")</f>
        <v/>
      </c>
      <c r="S3299" s="75" t="str">
        <f>IF(AND($O3299=$Q$7,$B3299&lt;'111'!$L$11),"x","")</f>
        <v/>
      </c>
      <c r="T3299" s="75" t="str">
        <f>IF(ISERROR(FIND('112'!$M$9,G3299,1)),"",IF((AND(FIND('112'!$M$9,G3299,1)&gt;=1,B3299='112'!$K$9,OR($N3299='112'!$I$6,$O3299='112'!$I$6))),"x",""))</f>
        <v/>
      </c>
      <c r="U3299" s="75" t="str">
        <f>IF(ISERROR(FIND('112'!$M$9,G3299,1)),"",IF((AND(LEFT(G3299,2)=LEFT('112'!$M$9,2),B3299&lt;'112'!$K$9,$N3299='112'!$I$6)),"x",""))</f>
        <v/>
      </c>
      <c r="V3299" s="75" t="str">
        <f>IF(ISERROR(FIND('112'!$M$9,G3299,1)),"",IF((AND(RIGHT(G3299,2)=RIGHT('112'!$M$9,2),B3299&lt;'112'!$K$9,$O3299='112'!$I$6)),"x",""))</f>
        <v/>
      </c>
      <c r="W3299" s="75" t="str">
        <f>IF(AND('341-CT'!$H$9=H3299,OR(LEFT(N3299,3)=$W$7,LEFT(O3299,3)=$W$7)),"x","")</f>
        <v/>
      </c>
      <c r="X3299" s="75" t="str">
        <f>IF(OR(TH!N3299=TH!$X$7,O3299=TH!$X$7),"x","")</f>
        <v/>
      </c>
      <c r="Y3299" s="75" t="str">
        <f>IF(AND(OR(N3299="131",O3299="131"),H3299='131-CT'!$H$9),"x","")</f>
        <v/>
      </c>
      <c r="Z3299" s="75"/>
      <c r="AA3299" s="75" t="str">
        <f>IF(AND(MONTH(E3299)='IN-NX'!$J$5,'IN-NX'!$D$7=D3299),"x","")</f>
        <v/>
      </c>
      <c r="AB3299" s="75" t="str">
        <f>IF(AND(OR(LEFT(TH!N3299,2)="15",LEFT(TH!O3299,2)="15"),LEFT(TH!O3299,3)&lt;&gt;"111",'152-CT'!$J$8=TH!F3299),"x","")</f>
        <v/>
      </c>
      <c r="AC3299" s="75" t="str">
        <f>IF(AND(OR(LEFT(TH!N3299,2)="15",LEFT(TH!O3299,2)="15"),TK!$E$7=TH!F3299),"x","")</f>
        <v/>
      </c>
      <c r="AD3299" s="75" t="str">
        <f>IF(AND(N3299="1521",MONTH(C3299)='BK-NL'!$M$11),"x","")</f>
        <v/>
      </c>
    </row>
    <row r="3300" spans="1:30" s="1264" customFormat="1" ht="16.5" customHeight="1">
      <c r="A3300" s="309" t="str">
        <f>IF(B3300&lt;&gt;"",IF(AND(B3300='IN-TC'!$S$4,OR(TH!N3300="1111",TH!O3300="1111")),TH!D3300,""),"")</f>
        <v/>
      </c>
      <c r="B3300" s="1283">
        <f t="shared" si="1229"/>
        <v>12</v>
      </c>
      <c r="C3300" s="929">
        <v>43077</v>
      </c>
      <c r="D3300" s="929" t="s">
        <v>903</v>
      </c>
      <c r="E3300" s="929">
        <f t="shared" si="1236"/>
        <v>43077</v>
      </c>
      <c r="F3300" s="930" t="s">
        <v>1086</v>
      </c>
      <c r="G3300" s="930" t="s">
        <v>747</v>
      </c>
      <c r="H3300" s="735" t="s">
        <v>1548</v>
      </c>
      <c r="I3300" s="1213"/>
      <c r="J3300" s="378"/>
      <c r="K3300" s="1213">
        <v>42490</v>
      </c>
      <c r="L3300" s="1214">
        <v>22710</v>
      </c>
      <c r="M3300" s="1214">
        <f t="shared" ref="M3300:M3301" si="1238">ROUND(K3300*L3300,0)</f>
        <v>964947900</v>
      </c>
      <c r="N3300" s="934" t="s">
        <v>256</v>
      </c>
      <c r="O3300" s="934" t="s">
        <v>536</v>
      </c>
      <c r="P3300" s="75" t="str">
        <f>IF(AND('331-CT'!$E$7=TH!H3300,OR(N3300="331",O3300="331")),"x","")</f>
        <v/>
      </c>
      <c r="Q3300" s="75" t="str">
        <f>IF(AND(B3300='111'!$L$11,OR($N3300=$Q$7,$O3300=$Q$7)),"x","")</f>
        <v/>
      </c>
      <c r="R3300" s="75" t="str">
        <f>IF(AND($N3300=$Q$7,$B3300&lt;'111'!$L$11),"x","")</f>
        <v/>
      </c>
      <c r="S3300" s="75" t="str">
        <f>IF(AND($O3300=$Q$7,$B3300&lt;'111'!$L$11),"x","")</f>
        <v/>
      </c>
      <c r="T3300" s="75" t="str">
        <f>IF(ISERROR(FIND('112'!$M$9,G3300,1)),"",IF((AND(FIND('112'!$M$9,G3300,1)&gt;=1,B3300='112'!$K$9,OR($N3300='112'!$I$6,$O3300='112'!$I$6))),"x",""))</f>
        <v/>
      </c>
      <c r="U3300" s="75" t="str">
        <f>IF(ISERROR(FIND('112'!$M$9,G3300,1)),"",IF((AND(LEFT(G3300,2)=LEFT('112'!$M$9,2),B3300&lt;'112'!$K$9,$N3300='112'!$I$6)),"x",""))</f>
        <v/>
      </c>
      <c r="V3300" s="75" t="str">
        <f>IF(ISERROR(FIND('112'!$M$9,G3300,1)),"",IF((AND(RIGHT(G3300,2)=RIGHT('112'!$M$9,2),B3300&lt;'112'!$K$9,$O3300='112'!$I$6)),"x",""))</f>
        <v/>
      </c>
      <c r="W3300" s="75" t="str">
        <f>IF(AND('341-CT'!$H$9=H3300,OR(LEFT(N3300,3)=$W$7,LEFT(O3300,3)=$W$7)),"x","")</f>
        <v/>
      </c>
      <c r="X3300" s="75" t="str">
        <f>IF(OR(TH!N3300=TH!$X$7,O3300=TH!$X$7),"x","")</f>
        <v/>
      </c>
      <c r="Y3300" s="75" t="str">
        <f>IF(AND(OR(N3300="131",O3300="131"),H3300='131-CT'!$H$9),"x","")</f>
        <v/>
      </c>
      <c r="Z3300" s="75"/>
      <c r="AA3300" s="75" t="str">
        <f>IF(AND(MONTH(E3300)='IN-NX'!$J$5,'IN-NX'!$D$7=D3300),"x","")</f>
        <v/>
      </c>
      <c r="AB3300" s="75" t="str">
        <f>IF(AND(OR(LEFT(TH!N3300,2)="15",LEFT(TH!O3300,2)="15"),LEFT(TH!O3300,3)&lt;&gt;"111",'152-CT'!$J$8=TH!F3300),"x","")</f>
        <v/>
      </c>
      <c r="AC3300" s="75" t="str">
        <f>IF(AND(OR(LEFT(TH!N3300,2)="15",LEFT(TH!O3300,2)="15"),TK!$E$7=TH!F3300),"x","")</f>
        <v/>
      </c>
      <c r="AD3300" s="75" t="str">
        <f>IF(AND(N3300="1521",MONTH(C3300)='BK-NL'!$M$11),"x","")</f>
        <v/>
      </c>
    </row>
    <row r="3301" spans="1:30" s="1264" customFormat="1" ht="16.5" customHeight="1">
      <c r="A3301" s="309" t="str">
        <f>IF(B3301&lt;&gt;"",IF(AND(B3301='IN-TC'!$S$4,OR(TH!N3301="1111",TH!O3301="1111")),TH!D3301,""),"")</f>
        <v/>
      </c>
      <c r="B3301" s="1283">
        <f t="shared" ref="B3301" si="1239">IF(C3301&lt;&gt;"",MONTH(C3301),"")</f>
        <v>12</v>
      </c>
      <c r="C3301" s="929">
        <v>43077</v>
      </c>
      <c r="D3301" s="929" t="s">
        <v>530</v>
      </c>
      <c r="E3301" s="929">
        <f t="shared" ref="E3301" si="1240">C3301</f>
        <v>43077</v>
      </c>
      <c r="F3301" s="930" t="s">
        <v>1027</v>
      </c>
      <c r="G3301" s="930" t="s">
        <v>747</v>
      </c>
      <c r="H3301" s="735" t="s">
        <v>1548</v>
      </c>
      <c r="I3301" s="1213"/>
      <c r="J3301" s="378"/>
      <c r="K3301" s="1213">
        <v>230</v>
      </c>
      <c r="L3301" s="1214">
        <v>22710</v>
      </c>
      <c r="M3301" s="1214">
        <f t="shared" si="1238"/>
        <v>5223300</v>
      </c>
      <c r="N3301" s="934" t="s">
        <v>101</v>
      </c>
      <c r="O3301" s="934" t="s">
        <v>536</v>
      </c>
      <c r="P3301" s="75" t="str">
        <f>IF(AND('331-CT'!$E$7=TH!H3301,OR(N3301="331",O3301="331")),"x","")</f>
        <v/>
      </c>
      <c r="Q3301" s="75" t="str">
        <f>IF(AND(B3301='111'!$L$11,OR($N3301=$Q$7,$O3301=$Q$7)),"x","")</f>
        <v/>
      </c>
      <c r="R3301" s="75" t="str">
        <f>IF(AND($N3301=$Q$7,$B3301&lt;'111'!$L$11),"x","")</f>
        <v/>
      </c>
      <c r="S3301" s="75" t="str">
        <f>IF(AND($O3301=$Q$7,$B3301&lt;'111'!$L$11),"x","")</f>
        <v/>
      </c>
      <c r="T3301" s="75" t="str">
        <f>IF(ISERROR(FIND('112'!$M$9,G3301,1)),"",IF((AND(FIND('112'!$M$9,G3301,1)&gt;=1,B3301='112'!$K$9,OR($N3301='112'!$I$6,$O3301='112'!$I$6))),"x",""))</f>
        <v/>
      </c>
      <c r="U3301" s="75" t="str">
        <f>IF(ISERROR(FIND('112'!$M$9,G3301,1)),"",IF((AND(LEFT(G3301,2)=LEFT('112'!$M$9,2),B3301&lt;'112'!$K$9,$N3301='112'!$I$6)),"x",""))</f>
        <v/>
      </c>
      <c r="V3301" s="75" t="str">
        <f>IF(ISERROR(FIND('112'!$M$9,G3301,1)),"",IF((AND(RIGHT(G3301,2)=RIGHT('112'!$M$9,2),B3301&lt;'112'!$K$9,$O3301='112'!$I$6)),"x",""))</f>
        <v/>
      </c>
      <c r="W3301" s="75" t="str">
        <f>IF(AND('341-CT'!$H$9=H3301,OR(LEFT(N3301,3)=$W$7,LEFT(O3301,3)=$W$7)),"x","")</f>
        <v/>
      </c>
      <c r="X3301" s="75" t="str">
        <f>IF(OR(TH!N3301=TH!$X$7,O3301=TH!$X$7),"x","")</f>
        <v/>
      </c>
      <c r="Y3301" s="75" t="str">
        <f>IF(AND(OR(N3301="131",O3301="131"),H3301='131-CT'!$H$9),"x","")</f>
        <v/>
      </c>
      <c r="Z3301" s="75"/>
      <c r="AA3301" s="75" t="str">
        <f>IF(AND(MONTH(E3301)='IN-NX'!$J$5,'IN-NX'!$D$7=D3301),"x","")</f>
        <v/>
      </c>
      <c r="AB3301" s="75" t="str">
        <f>IF(AND(OR(LEFT(TH!N3301,2)="15",LEFT(TH!O3301,2)="15"),LEFT(TH!O3301,3)&lt;&gt;"111",'152-CT'!$J$8=TH!F3301),"x","")</f>
        <v/>
      </c>
      <c r="AC3301" s="75" t="str">
        <f>IF(AND(OR(LEFT(TH!N3301,2)="15",LEFT(TH!O3301,2)="15"),TK!$E$7=TH!F3301),"x","")</f>
        <v/>
      </c>
      <c r="AD3301" s="75" t="str">
        <f>IF(AND(N3301="1521",MONTH(C3301)='BK-NL'!$M$11),"x","")</f>
        <v/>
      </c>
    </row>
    <row r="3302" spans="1:30" s="1264" customFormat="1" ht="16.5" customHeight="1">
      <c r="A3302" s="309" t="str">
        <f>IF(B3302&lt;&gt;"",IF(AND(B3302='IN-TC'!$S$4,OR(TH!N3302="1111",TH!O3302="1111")),TH!D3302,""),"")</f>
        <v/>
      </c>
      <c r="B3302" s="1283">
        <f t="shared" ref="B3302" si="1241">IF(C3302&lt;&gt;"",MONTH(C3302),"")</f>
        <v>12</v>
      </c>
      <c r="C3302" s="929">
        <v>43077</v>
      </c>
      <c r="D3302" s="929" t="s">
        <v>530</v>
      </c>
      <c r="E3302" s="929">
        <f t="shared" ref="E3302" si="1242">C3302</f>
        <v>43077</v>
      </c>
      <c r="F3302" s="930" t="s">
        <v>1010</v>
      </c>
      <c r="G3302" s="930" t="s">
        <v>747</v>
      </c>
      <c r="H3302" s="735" t="s">
        <v>1548</v>
      </c>
      <c r="I3302" s="1213"/>
      <c r="J3302" s="378"/>
      <c r="K3302" s="1213"/>
      <c r="L3302" s="1214"/>
      <c r="M3302" s="74">
        <v>854400</v>
      </c>
      <c r="N3302" s="934" t="s">
        <v>536</v>
      </c>
      <c r="O3302" s="934" t="s">
        <v>43</v>
      </c>
      <c r="P3302" s="75" t="str">
        <f>IF(AND('331-CT'!$E$7=TH!H3302,OR(N3302="331",O3302="331")),"x","")</f>
        <v/>
      </c>
      <c r="Q3302" s="75" t="str">
        <f>IF(AND(B3302='111'!$L$11,OR($N3302=$Q$7,$O3302=$Q$7)),"x","")</f>
        <v/>
      </c>
      <c r="R3302" s="75" t="str">
        <f>IF(AND($N3302=$Q$7,$B3302&lt;'111'!$L$11),"x","")</f>
        <v/>
      </c>
      <c r="S3302" s="75" t="str">
        <f>IF(AND($O3302=$Q$7,$B3302&lt;'111'!$L$11),"x","")</f>
        <v/>
      </c>
      <c r="T3302" s="75" t="str">
        <f>IF(ISERROR(FIND('112'!$M$9,G3302,1)),"",IF((AND(FIND('112'!$M$9,G3302,1)&gt;=1,B3302='112'!$K$9,OR($N3302='112'!$I$6,$O3302='112'!$I$6))),"x",""))</f>
        <v/>
      </c>
      <c r="U3302" s="75" t="str">
        <f>IF(ISERROR(FIND('112'!$M$9,G3302,1)),"",IF((AND(LEFT(G3302,2)=LEFT('112'!$M$9,2),B3302&lt;'112'!$K$9,$N3302='112'!$I$6)),"x",""))</f>
        <v/>
      </c>
      <c r="V3302" s="75" t="str">
        <f>IF(ISERROR(FIND('112'!$M$9,G3302,1)),"",IF((AND(RIGHT(G3302,2)=RIGHT('112'!$M$9,2),B3302&lt;'112'!$K$9,$O3302='112'!$I$6)),"x",""))</f>
        <v/>
      </c>
      <c r="W3302" s="75" t="str">
        <f>IF(AND('341-CT'!$H$9=H3302,OR(LEFT(N3302,3)=$W$7,LEFT(O3302,3)=$W$7)),"x","")</f>
        <v/>
      </c>
      <c r="X3302" s="75" t="str">
        <f>IF(OR(TH!N3302=TH!$X$7,O3302=TH!$X$7),"x","")</f>
        <v/>
      </c>
      <c r="Y3302" s="75" t="str">
        <f>IF(AND(OR(N3302="131",O3302="131"),H3302='131-CT'!$H$9),"x","")</f>
        <v/>
      </c>
      <c r="Z3302" s="75"/>
      <c r="AA3302" s="75" t="str">
        <f>IF(AND(MONTH(E3302)='IN-NX'!$J$5,'IN-NX'!$D$7=D3302),"x","")</f>
        <v/>
      </c>
      <c r="AB3302" s="75" t="str">
        <f>IF(AND(OR(LEFT(TH!N3302,2)="15",LEFT(TH!O3302,2)="15"),LEFT(TH!O3302,3)&lt;&gt;"111",'152-CT'!$J$8=TH!F3302),"x","")</f>
        <v/>
      </c>
      <c r="AC3302" s="75" t="str">
        <f>IF(AND(OR(LEFT(TH!N3302,2)="15",LEFT(TH!O3302,2)="15"),TK!$E$7=TH!F3302),"x","")</f>
        <v/>
      </c>
      <c r="AD3302" s="75" t="str">
        <f>IF(AND(N3302="1521",MONTH(C3302)='BK-NL'!$M$11),"x","")</f>
        <v/>
      </c>
    </row>
    <row r="3303" spans="1:30" s="1264" customFormat="1" ht="16.5" customHeight="1">
      <c r="A3303" s="309" t="str">
        <f>IF(B3303&lt;&gt;"",IF(AND(B3303='IN-TC'!$S$4,OR(TH!N3303="1111",TH!O3303="1111")),TH!D3303,""),"")</f>
        <v/>
      </c>
      <c r="B3303" s="1283">
        <f t="shared" si="1229"/>
        <v>12</v>
      </c>
      <c r="C3303" s="929">
        <v>43077</v>
      </c>
      <c r="D3303" s="929" t="s">
        <v>902</v>
      </c>
      <c r="E3303" s="929">
        <f t="shared" si="1236"/>
        <v>43077</v>
      </c>
      <c r="F3303" s="930" t="s">
        <v>1096</v>
      </c>
      <c r="G3303" s="930" t="s">
        <v>747</v>
      </c>
      <c r="H3303" s="73" t="s">
        <v>2707</v>
      </c>
      <c r="I3303" s="1213"/>
      <c r="J3303" s="378"/>
      <c r="K3303" s="1213">
        <v>31.5</v>
      </c>
      <c r="L3303" s="1214">
        <v>22710</v>
      </c>
      <c r="M3303" s="74">
        <f t="shared" ref="M3303" si="1243">ROUND(K3303*L3303,0)</f>
        <v>715365</v>
      </c>
      <c r="N3303" s="934" t="s">
        <v>99</v>
      </c>
      <c r="O3303" s="934" t="s">
        <v>256</v>
      </c>
      <c r="P3303" s="75" t="str">
        <f>IF(AND('331-CT'!$E$7=TH!H3303,OR(N3303="331",O3303="331")),"x","")</f>
        <v/>
      </c>
      <c r="Q3303" s="75" t="str">
        <f>IF(AND(B3303='111'!$L$11,OR($N3303=$Q$7,$O3303=$Q$7)),"x","")</f>
        <v/>
      </c>
      <c r="R3303" s="75" t="str">
        <f>IF(AND($N3303=$Q$7,$B3303&lt;'111'!$L$11),"x","")</f>
        <v/>
      </c>
      <c r="S3303" s="75" t="str">
        <f>IF(AND($O3303=$Q$7,$B3303&lt;'111'!$L$11),"x","")</f>
        <v/>
      </c>
      <c r="T3303" s="75" t="str">
        <f>IF(ISERROR(FIND('112'!$M$9,G3303,1)),"",IF((AND(FIND('112'!$M$9,G3303,1)&gt;=1,B3303='112'!$K$9,OR($N3303='112'!$I$6,$O3303='112'!$I$6))),"x",""))</f>
        <v/>
      </c>
      <c r="U3303" s="75" t="str">
        <f>IF(ISERROR(FIND('112'!$M$9,G3303,1)),"",IF((AND(LEFT(G3303,2)=LEFT('112'!$M$9,2),B3303&lt;'112'!$K$9,$N3303='112'!$I$6)),"x",""))</f>
        <v/>
      </c>
      <c r="V3303" s="75" t="str">
        <f>IF(ISERROR(FIND('112'!$M$9,G3303,1)),"",IF((AND(RIGHT(G3303,2)=RIGHT('112'!$M$9,2),B3303&lt;'112'!$K$9,$O3303='112'!$I$6)),"x",""))</f>
        <v/>
      </c>
      <c r="W3303" s="75" t="str">
        <f>IF(AND('341-CT'!$H$9=H3303,OR(LEFT(N3303,3)=$W$7,LEFT(O3303,3)=$W$7)),"x","")</f>
        <v/>
      </c>
      <c r="X3303" s="75" t="str">
        <f>IF(OR(TH!N3303=TH!$X$7,O3303=TH!$X$7),"x","")</f>
        <v/>
      </c>
      <c r="Y3303" s="75" t="str">
        <f>IF(AND(OR(N3303="131",O3303="131"),H3303='131-CT'!$H$9),"x","")</f>
        <v/>
      </c>
      <c r="Z3303" s="75"/>
      <c r="AA3303" s="75" t="str">
        <f>IF(AND(MONTH(E3303)='IN-NX'!$J$5,'IN-NX'!$D$7=D3303),"x","")</f>
        <v/>
      </c>
      <c r="AB3303" s="75" t="str">
        <f>IF(AND(OR(LEFT(TH!N3303,2)="15",LEFT(TH!O3303,2)="15"),LEFT(TH!O3303,3)&lt;&gt;"111",'152-CT'!$J$8=TH!F3303),"x","")</f>
        <v/>
      </c>
      <c r="AC3303" s="75" t="str">
        <f>IF(AND(OR(LEFT(TH!N3303,2)="15",LEFT(TH!O3303,2)="15"),TK!$E$7=TH!F3303),"x","")</f>
        <v/>
      </c>
      <c r="AD3303" s="75" t="str">
        <f>IF(AND(N3303="1521",MONTH(C3303)='BK-NL'!$M$11),"x","")</f>
        <v/>
      </c>
    </row>
    <row r="3304" spans="1:30" s="1264" customFormat="1" ht="16.5" customHeight="1">
      <c r="A3304" s="309" t="str">
        <f>IF(B3304&lt;&gt;"",IF(AND(B3304='IN-TC'!$S$4,OR(TH!N3304="1111",TH!O3304="1111")),TH!D3304,""),"")</f>
        <v/>
      </c>
      <c r="B3304" s="1283">
        <f t="shared" si="1229"/>
        <v>12</v>
      </c>
      <c r="C3304" s="929">
        <v>43077</v>
      </c>
      <c r="D3304" s="929" t="s">
        <v>902</v>
      </c>
      <c r="E3304" s="929">
        <f t="shared" si="1236"/>
        <v>43077</v>
      </c>
      <c r="F3304" s="930" t="s">
        <v>1321</v>
      </c>
      <c r="G3304" s="930" t="s">
        <v>747</v>
      </c>
      <c r="H3304" s="73" t="s">
        <v>2707</v>
      </c>
      <c r="I3304" s="1213"/>
      <c r="J3304" s="378"/>
      <c r="K3304" s="1213">
        <v>40500</v>
      </c>
      <c r="L3304" s="1214">
        <v>22710</v>
      </c>
      <c r="M3304" s="74">
        <f t="shared" ref="M3304" si="1244">ROUND(K3304*L3304,0)</f>
        <v>919755000</v>
      </c>
      <c r="N3304" s="934" t="s">
        <v>250</v>
      </c>
      <c r="O3304" s="934" t="s">
        <v>256</v>
      </c>
      <c r="P3304" s="75" t="str">
        <f>IF(AND('331-CT'!$E$7=TH!H3304,OR(N3304="331",O3304="331")),"x","")</f>
        <v/>
      </c>
      <c r="Q3304" s="75" t="str">
        <f>IF(AND(B3304='111'!$L$11,OR($N3304=$Q$7,$O3304=$Q$7)),"x","")</f>
        <v/>
      </c>
      <c r="R3304" s="75" t="str">
        <f>IF(AND($N3304=$Q$7,$B3304&lt;'111'!$L$11),"x","")</f>
        <v/>
      </c>
      <c r="S3304" s="75" t="str">
        <f>IF(AND($O3304=$Q$7,$B3304&lt;'111'!$L$11),"x","")</f>
        <v/>
      </c>
      <c r="T3304" s="75" t="str">
        <f>IF(ISERROR(FIND('112'!$M$9,G3304,1)),"",IF((AND(FIND('112'!$M$9,G3304,1)&gt;=1,B3304='112'!$K$9,OR($N3304='112'!$I$6,$O3304='112'!$I$6))),"x",""))</f>
        <v/>
      </c>
      <c r="U3304" s="75" t="str">
        <f>IF(ISERROR(FIND('112'!$M$9,G3304,1)),"",IF((AND(LEFT(G3304,2)=LEFT('112'!$M$9,2),B3304&lt;'112'!$K$9,$N3304='112'!$I$6)),"x",""))</f>
        <v/>
      </c>
      <c r="V3304" s="75" t="str">
        <f>IF(ISERROR(FIND('112'!$M$9,G3304,1)),"",IF((AND(RIGHT(G3304,2)=RIGHT('112'!$M$9,2),B3304&lt;'112'!$K$9,$O3304='112'!$I$6)),"x",""))</f>
        <v/>
      </c>
      <c r="W3304" s="75" t="str">
        <f>IF(AND('341-CT'!$H$9=H3304,OR(LEFT(N3304,3)=$W$7,LEFT(O3304,3)=$W$7)),"x","")</f>
        <v/>
      </c>
      <c r="X3304" s="75" t="str">
        <f>IF(OR(TH!N3304=TH!$X$7,O3304=TH!$X$7),"x","")</f>
        <v/>
      </c>
      <c r="Y3304" s="75" t="str">
        <f>IF(AND(OR(N3304="131",O3304="131"),H3304='131-CT'!$H$9),"x","")</f>
        <v/>
      </c>
      <c r="Z3304" s="75"/>
      <c r="AA3304" s="75" t="str">
        <f>IF(AND(MONTH(E3304)='IN-NX'!$J$5,'IN-NX'!$D$7=D3304),"x","")</f>
        <v/>
      </c>
      <c r="AB3304" s="75" t="str">
        <f>IF(AND(OR(LEFT(TH!N3304,2)="15",LEFT(TH!O3304,2)="15"),LEFT(TH!O3304,3)&lt;&gt;"111",'152-CT'!$J$8=TH!F3304),"x","")</f>
        <v/>
      </c>
      <c r="AC3304" s="75" t="str">
        <f>IF(AND(OR(LEFT(TH!N3304,2)="15",LEFT(TH!O3304,2)="15"),TK!$E$7=TH!F3304),"x","")</f>
        <v/>
      </c>
      <c r="AD3304" s="75" t="str">
        <f>IF(AND(N3304="1521",MONTH(C3304)='BK-NL'!$M$11),"x","")</f>
        <v/>
      </c>
    </row>
    <row r="3305" spans="1:30" s="1264" customFormat="1" ht="16.5" customHeight="1">
      <c r="A3305" s="309" t="str">
        <f>IF(B3305&lt;&gt;"",IF(AND(B3305='IN-TC'!$S$4,OR(TH!N3305="1111",TH!O3305="1111")),TH!D3305,""),"")</f>
        <v/>
      </c>
      <c r="B3305" s="1283">
        <f t="shared" ref="B3305" si="1245">IF(C3305&lt;&gt;"",MONTH(C3305),"")</f>
        <v>12</v>
      </c>
      <c r="C3305" s="929">
        <v>43077</v>
      </c>
      <c r="D3305" s="929" t="s">
        <v>530</v>
      </c>
      <c r="E3305" s="929">
        <f t="shared" ref="E3305" si="1246">C3305</f>
        <v>43077</v>
      </c>
      <c r="F3305" s="930" t="s">
        <v>1010</v>
      </c>
      <c r="G3305" s="930" t="s">
        <v>747</v>
      </c>
      <c r="H3305" s="73" t="s">
        <v>2707</v>
      </c>
      <c r="I3305" s="1213"/>
      <c r="J3305" s="378"/>
      <c r="K3305" s="1213"/>
      <c r="L3305" s="1214"/>
      <c r="M3305" s="74">
        <v>283500</v>
      </c>
      <c r="N3305" s="934" t="s">
        <v>99</v>
      </c>
      <c r="O3305" s="934" t="s">
        <v>250</v>
      </c>
      <c r="P3305" s="75" t="str">
        <f>IF(AND('331-CT'!$E$7=TH!H3305,OR(N3305="331",O3305="331")),"x","")</f>
        <v/>
      </c>
      <c r="Q3305" s="75" t="str">
        <f>IF(AND(B3305='111'!$L$11,OR($N3305=$Q$7,$O3305=$Q$7)),"x","")</f>
        <v/>
      </c>
      <c r="R3305" s="75" t="str">
        <f>IF(AND($N3305=$Q$7,$B3305&lt;'111'!$L$11),"x","")</f>
        <v/>
      </c>
      <c r="S3305" s="75" t="str">
        <f>IF(AND($O3305=$Q$7,$B3305&lt;'111'!$L$11),"x","")</f>
        <v/>
      </c>
      <c r="T3305" s="75" t="str">
        <f>IF(ISERROR(FIND('112'!$M$9,G3305,1)),"",IF((AND(FIND('112'!$M$9,G3305,1)&gt;=1,B3305='112'!$K$9,OR($N3305='112'!$I$6,$O3305='112'!$I$6))),"x",""))</f>
        <v/>
      </c>
      <c r="U3305" s="75" t="str">
        <f>IF(ISERROR(FIND('112'!$M$9,G3305,1)),"",IF((AND(LEFT(G3305,2)=LEFT('112'!$M$9,2),B3305&lt;'112'!$K$9,$N3305='112'!$I$6)),"x",""))</f>
        <v/>
      </c>
      <c r="V3305" s="75" t="str">
        <f>IF(ISERROR(FIND('112'!$M$9,G3305,1)),"",IF((AND(RIGHT(G3305,2)=RIGHT('112'!$M$9,2),B3305&lt;'112'!$K$9,$O3305='112'!$I$6)),"x",""))</f>
        <v/>
      </c>
      <c r="W3305" s="75" t="str">
        <f>IF(AND('341-CT'!$H$9=H3305,OR(LEFT(N3305,3)=$W$7,LEFT(O3305,3)=$W$7)),"x","")</f>
        <v/>
      </c>
      <c r="X3305" s="75" t="str">
        <f>IF(OR(TH!N3305=TH!$X$7,O3305=TH!$X$7),"x","")</f>
        <v/>
      </c>
      <c r="Y3305" s="75" t="str">
        <f>IF(AND(OR(N3305="131",O3305="131"),H3305='131-CT'!$H$9),"x","")</f>
        <v/>
      </c>
      <c r="Z3305" s="75"/>
      <c r="AA3305" s="75" t="str">
        <f>IF(AND(MONTH(E3305)='IN-NX'!$J$5,'IN-NX'!$D$7=D3305),"x","")</f>
        <v/>
      </c>
      <c r="AB3305" s="75" t="str">
        <f>IF(AND(OR(LEFT(TH!N3305,2)="15",LEFT(TH!O3305,2)="15"),LEFT(TH!O3305,3)&lt;&gt;"111",'152-CT'!$J$8=TH!F3305),"x","")</f>
        <v/>
      </c>
      <c r="AC3305" s="75" t="str">
        <f>IF(AND(OR(LEFT(TH!N3305,2)="15",LEFT(TH!O3305,2)="15"),TK!$E$7=TH!F3305),"x","")</f>
        <v/>
      </c>
      <c r="AD3305" s="75" t="str">
        <f>IF(AND(N3305="1521",MONTH(C3305)='BK-NL'!$M$11),"x","")</f>
        <v/>
      </c>
    </row>
    <row r="3306" spans="1:30" s="1264" customFormat="1" ht="16.5" customHeight="1">
      <c r="A3306" s="309" t="str">
        <f>IF(B3306&lt;&gt;"",IF(AND(B3306='IN-TC'!$S$4,OR(TH!N3306="1111",TH!O3306="1111")),TH!D3306,""),"")</f>
        <v/>
      </c>
      <c r="B3306" s="1283">
        <f t="shared" si="1229"/>
        <v>12</v>
      </c>
      <c r="C3306" s="929">
        <v>43077</v>
      </c>
      <c r="D3306" s="929" t="s">
        <v>903</v>
      </c>
      <c r="E3306" s="929">
        <f t="shared" si="1236"/>
        <v>43077</v>
      </c>
      <c r="F3306" s="930" t="s">
        <v>1086</v>
      </c>
      <c r="G3306" s="930" t="s">
        <v>747</v>
      </c>
      <c r="H3306" s="735" t="s">
        <v>1859</v>
      </c>
      <c r="I3306" s="1213"/>
      <c r="J3306" s="378"/>
      <c r="K3306" s="1213">
        <v>158283.5</v>
      </c>
      <c r="L3306" s="1214">
        <v>22700</v>
      </c>
      <c r="M3306" s="1214">
        <f t="shared" ref="M3306:M3307" si="1247">ROUND(K3306*L3306,0)</f>
        <v>3593035450</v>
      </c>
      <c r="N3306" s="934" t="s">
        <v>256</v>
      </c>
      <c r="O3306" s="934" t="s">
        <v>536</v>
      </c>
      <c r="P3306" s="75" t="str">
        <f>IF(AND('331-CT'!$E$7=TH!H3306,OR(N3306="331",O3306="331")),"x","")</f>
        <v/>
      </c>
      <c r="Q3306" s="75" t="str">
        <f>IF(AND(B3306='111'!$L$11,OR($N3306=$Q$7,$O3306=$Q$7)),"x","")</f>
        <v/>
      </c>
      <c r="R3306" s="75" t="str">
        <f>IF(AND($N3306=$Q$7,$B3306&lt;'111'!$L$11),"x","")</f>
        <v/>
      </c>
      <c r="S3306" s="75" t="str">
        <f>IF(AND($O3306=$Q$7,$B3306&lt;'111'!$L$11),"x","")</f>
        <v/>
      </c>
      <c r="T3306" s="75" t="str">
        <f>IF(ISERROR(FIND('112'!$M$9,G3306,1)),"",IF((AND(FIND('112'!$M$9,G3306,1)&gt;=1,B3306='112'!$K$9,OR($N3306='112'!$I$6,$O3306='112'!$I$6))),"x",""))</f>
        <v/>
      </c>
      <c r="U3306" s="75" t="str">
        <f>IF(ISERROR(FIND('112'!$M$9,G3306,1)),"",IF((AND(LEFT(G3306,2)=LEFT('112'!$M$9,2),B3306&lt;'112'!$K$9,$N3306='112'!$I$6)),"x",""))</f>
        <v/>
      </c>
      <c r="V3306" s="75" t="str">
        <f>IF(ISERROR(FIND('112'!$M$9,G3306,1)),"",IF((AND(RIGHT(G3306,2)=RIGHT('112'!$M$9,2),B3306&lt;'112'!$K$9,$O3306='112'!$I$6)),"x",""))</f>
        <v/>
      </c>
      <c r="W3306" s="75" t="str">
        <f>IF(AND('341-CT'!$H$9=H3306,OR(LEFT(N3306,3)=$W$7,LEFT(O3306,3)=$W$7)),"x","")</f>
        <v/>
      </c>
      <c r="X3306" s="75" t="str">
        <f>IF(OR(TH!N3306=TH!$X$7,O3306=TH!$X$7),"x","")</f>
        <v/>
      </c>
      <c r="Y3306" s="75" t="str">
        <f>IF(AND(OR(N3306="131",O3306="131"),H3306='131-CT'!$H$9),"x","")</f>
        <v/>
      </c>
      <c r="Z3306" s="75"/>
      <c r="AA3306" s="75" t="str">
        <f>IF(AND(MONTH(E3306)='IN-NX'!$J$5,'IN-NX'!$D$7=D3306),"x","")</f>
        <v/>
      </c>
      <c r="AB3306" s="75" t="str">
        <f>IF(AND(OR(LEFT(TH!N3306,2)="15",LEFT(TH!O3306,2)="15"),LEFT(TH!O3306,3)&lt;&gt;"111",'152-CT'!$J$8=TH!F3306),"x","")</f>
        <v/>
      </c>
      <c r="AC3306" s="75" t="str">
        <f>IF(AND(OR(LEFT(TH!N3306,2)="15",LEFT(TH!O3306,2)="15"),TK!$E$7=TH!F3306),"x","")</f>
        <v/>
      </c>
      <c r="AD3306" s="75" t="str">
        <f>IF(AND(N3306="1521",MONTH(C3306)='BK-NL'!$M$11),"x","")</f>
        <v/>
      </c>
    </row>
    <row r="3307" spans="1:30" s="1264" customFormat="1" ht="16.5" customHeight="1">
      <c r="A3307" s="309" t="str">
        <f>IF(B3307&lt;&gt;"",IF(AND(B3307='IN-TC'!$S$4,OR(TH!N3307="1111",TH!O3307="1111")),TH!D3307,""),"")</f>
        <v/>
      </c>
      <c r="B3307" s="1283">
        <f t="shared" si="1229"/>
        <v>12</v>
      </c>
      <c r="C3307" s="929">
        <v>43080</v>
      </c>
      <c r="D3307" s="929" t="s">
        <v>902</v>
      </c>
      <c r="E3307" s="929">
        <f t="shared" si="1236"/>
        <v>43080</v>
      </c>
      <c r="F3307" s="930" t="s">
        <v>1096</v>
      </c>
      <c r="G3307" s="930" t="s">
        <v>747</v>
      </c>
      <c r="H3307" s="73" t="s">
        <v>1725</v>
      </c>
      <c r="I3307" s="1213"/>
      <c r="J3307" s="378"/>
      <c r="K3307" s="1213">
        <v>177.33</v>
      </c>
      <c r="L3307" s="1214">
        <v>22700</v>
      </c>
      <c r="M3307" s="74">
        <f t="shared" si="1247"/>
        <v>4025391</v>
      </c>
      <c r="N3307" s="934" t="s">
        <v>99</v>
      </c>
      <c r="O3307" s="934" t="s">
        <v>256</v>
      </c>
      <c r="P3307" s="75" t="str">
        <f>IF(AND('331-CT'!$E$7=TH!H3307,OR(N3307="331",O3307="331")),"x","")</f>
        <v/>
      </c>
      <c r="Q3307" s="75" t="str">
        <f>IF(AND(B3307='111'!$L$11,OR($N3307=$Q$7,$O3307=$Q$7)),"x","")</f>
        <v/>
      </c>
      <c r="R3307" s="75" t="str">
        <f>IF(AND($N3307=$Q$7,$B3307&lt;'111'!$L$11),"x","")</f>
        <v/>
      </c>
      <c r="S3307" s="75" t="str">
        <f>IF(AND($O3307=$Q$7,$B3307&lt;'111'!$L$11),"x","")</f>
        <v/>
      </c>
      <c r="T3307" s="75" t="str">
        <f>IF(ISERROR(FIND('112'!$M$9,G3307,1)),"",IF((AND(FIND('112'!$M$9,G3307,1)&gt;=1,B3307='112'!$K$9,OR($N3307='112'!$I$6,$O3307='112'!$I$6))),"x",""))</f>
        <v/>
      </c>
      <c r="U3307" s="75" t="str">
        <f>IF(ISERROR(FIND('112'!$M$9,G3307,1)),"",IF((AND(LEFT(G3307,2)=LEFT('112'!$M$9,2),B3307&lt;'112'!$K$9,$N3307='112'!$I$6)),"x",""))</f>
        <v/>
      </c>
      <c r="V3307" s="75" t="str">
        <f>IF(ISERROR(FIND('112'!$M$9,G3307,1)),"",IF((AND(RIGHT(G3307,2)=RIGHT('112'!$M$9,2),B3307&lt;'112'!$K$9,$O3307='112'!$I$6)),"x",""))</f>
        <v/>
      </c>
      <c r="W3307" s="75" t="str">
        <f>IF(AND('341-CT'!$H$9=H3307,OR(LEFT(N3307,3)=$W$7,LEFT(O3307,3)=$W$7)),"x","")</f>
        <v/>
      </c>
      <c r="X3307" s="75" t="str">
        <f>IF(OR(TH!N3307=TH!$X$7,O3307=TH!$X$7),"x","")</f>
        <v/>
      </c>
      <c r="Y3307" s="75" t="str">
        <f>IF(AND(OR(N3307="131",O3307="131"),H3307='131-CT'!$H$9),"x","")</f>
        <v/>
      </c>
      <c r="Z3307" s="75"/>
      <c r="AA3307" s="75" t="str">
        <f>IF(AND(MONTH(E3307)='IN-NX'!$J$5,'IN-NX'!$D$7=D3307),"x","")</f>
        <v/>
      </c>
      <c r="AB3307" s="75" t="str">
        <f>IF(AND(OR(LEFT(TH!N3307,2)="15",LEFT(TH!O3307,2)="15"),LEFT(TH!O3307,3)&lt;&gt;"111",'152-CT'!$J$8=TH!F3307),"x","")</f>
        <v/>
      </c>
      <c r="AC3307" s="75" t="str">
        <f>IF(AND(OR(LEFT(TH!N3307,2)="15",LEFT(TH!O3307,2)="15"),TK!$E$7=TH!F3307),"x","")</f>
        <v/>
      </c>
      <c r="AD3307" s="75" t="str">
        <f>IF(AND(N3307="1521",MONTH(C3307)='BK-NL'!$M$11),"x","")</f>
        <v/>
      </c>
    </row>
    <row r="3308" spans="1:30" s="1264" customFormat="1" ht="16.5" customHeight="1">
      <c r="A3308" s="309" t="str">
        <f>IF(B3308&lt;&gt;"",IF(AND(B3308='IN-TC'!$S$4,OR(TH!N3308="1111",TH!O3308="1111")),TH!D3308,""),"")</f>
        <v/>
      </c>
      <c r="B3308" s="1283">
        <f t="shared" si="1229"/>
        <v>12</v>
      </c>
      <c r="C3308" s="929">
        <v>43080</v>
      </c>
      <c r="D3308" s="929" t="s">
        <v>902</v>
      </c>
      <c r="E3308" s="929">
        <f t="shared" si="1236"/>
        <v>43080</v>
      </c>
      <c r="F3308" s="930" t="s">
        <v>1321</v>
      </c>
      <c r="G3308" s="930" t="s">
        <v>747</v>
      </c>
      <c r="H3308" s="73" t="s">
        <v>1725</v>
      </c>
      <c r="I3308" s="1213"/>
      <c r="J3308" s="378"/>
      <c r="K3308" s="1213">
        <v>84000</v>
      </c>
      <c r="L3308" s="1214">
        <v>22700</v>
      </c>
      <c r="M3308" s="74">
        <f t="shared" ref="M3308" si="1248">ROUND(K3308*L3308,0)</f>
        <v>1906800000</v>
      </c>
      <c r="N3308" s="934" t="s">
        <v>250</v>
      </c>
      <c r="O3308" s="934" t="s">
        <v>256</v>
      </c>
      <c r="P3308" s="75" t="str">
        <f>IF(AND('331-CT'!$E$7=TH!H3308,OR(N3308="331",O3308="331")),"x","")</f>
        <v/>
      </c>
      <c r="Q3308" s="75" t="str">
        <f>IF(AND(B3308='111'!$L$11,OR($N3308=$Q$7,$O3308=$Q$7)),"x","")</f>
        <v/>
      </c>
      <c r="R3308" s="75" t="str">
        <f>IF(AND($N3308=$Q$7,$B3308&lt;'111'!$L$11),"x","")</f>
        <v/>
      </c>
      <c r="S3308" s="75" t="str">
        <f>IF(AND($O3308=$Q$7,$B3308&lt;'111'!$L$11),"x","")</f>
        <v/>
      </c>
      <c r="T3308" s="75" t="str">
        <f>IF(ISERROR(FIND('112'!$M$9,G3308,1)),"",IF((AND(FIND('112'!$M$9,G3308,1)&gt;=1,B3308='112'!$K$9,OR($N3308='112'!$I$6,$O3308='112'!$I$6))),"x",""))</f>
        <v/>
      </c>
      <c r="U3308" s="75" t="str">
        <f>IF(ISERROR(FIND('112'!$M$9,G3308,1)),"",IF((AND(LEFT(G3308,2)=LEFT('112'!$M$9,2),B3308&lt;'112'!$K$9,$N3308='112'!$I$6)),"x",""))</f>
        <v/>
      </c>
      <c r="V3308" s="75" t="str">
        <f>IF(ISERROR(FIND('112'!$M$9,G3308,1)),"",IF((AND(RIGHT(G3308,2)=RIGHT('112'!$M$9,2),B3308&lt;'112'!$K$9,$O3308='112'!$I$6)),"x",""))</f>
        <v/>
      </c>
      <c r="W3308" s="75" t="str">
        <f>IF(AND('341-CT'!$H$9=H3308,OR(LEFT(N3308,3)=$W$7,LEFT(O3308,3)=$W$7)),"x","")</f>
        <v/>
      </c>
      <c r="X3308" s="75" t="str">
        <f>IF(OR(TH!N3308=TH!$X$7,O3308=TH!$X$7),"x","")</f>
        <v/>
      </c>
      <c r="Y3308" s="75" t="str">
        <f>IF(AND(OR(N3308="131",O3308="131"),H3308='131-CT'!$H$9),"x","")</f>
        <v/>
      </c>
      <c r="Z3308" s="75"/>
      <c r="AA3308" s="75" t="str">
        <f>IF(AND(MONTH(E3308)='IN-NX'!$J$5,'IN-NX'!$D$7=D3308),"x","")</f>
        <v/>
      </c>
      <c r="AB3308" s="75" t="str">
        <f>IF(AND(OR(LEFT(TH!N3308,2)="15",LEFT(TH!O3308,2)="15"),LEFT(TH!O3308,3)&lt;&gt;"111",'152-CT'!$J$8=TH!F3308),"x","")</f>
        <v/>
      </c>
      <c r="AC3308" s="75" t="str">
        <f>IF(AND(OR(LEFT(TH!N3308,2)="15",LEFT(TH!O3308,2)="15"),TK!$E$7=TH!F3308),"x","")</f>
        <v/>
      </c>
      <c r="AD3308" s="75" t="str">
        <f>IF(AND(N3308="1521",MONTH(C3308)='BK-NL'!$M$11),"x","")</f>
        <v/>
      </c>
    </row>
    <row r="3309" spans="1:30" s="1264" customFormat="1" ht="16.5" customHeight="1">
      <c r="A3309" s="309" t="str">
        <f>IF(B3309&lt;&gt;"",IF(AND(B3309='IN-TC'!$S$4,OR(TH!N3309="1111",TH!O3309="1111")),TH!D3309,""),"")</f>
        <v/>
      </c>
      <c r="B3309" s="1283">
        <f t="shared" ref="B3309:B3315" si="1249">IF(C3309&lt;&gt;"",MONTH(C3309),"")</f>
        <v>12</v>
      </c>
      <c r="C3309" s="929">
        <v>43080</v>
      </c>
      <c r="D3309" s="929" t="s">
        <v>530</v>
      </c>
      <c r="E3309" s="929">
        <f t="shared" ref="E3309" si="1250">C3309</f>
        <v>43080</v>
      </c>
      <c r="F3309" s="930" t="s">
        <v>1010</v>
      </c>
      <c r="G3309" s="930" t="s">
        <v>747</v>
      </c>
      <c r="H3309" s="73" t="s">
        <v>1725</v>
      </c>
      <c r="I3309" s="1213"/>
      <c r="J3309" s="378"/>
      <c r="K3309" s="1213"/>
      <c r="L3309" s="1214"/>
      <c r="M3309" s="74">
        <v>1848000</v>
      </c>
      <c r="N3309" s="934" t="s">
        <v>250</v>
      </c>
      <c r="O3309" s="934" t="s">
        <v>43</v>
      </c>
      <c r="P3309" s="75" t="str">
        <f>IF(AND('331-CT'!$E$7=TH!H3309,OR(N3309="331",O3309="331")),"x","")</f>
        <v/>
      </c>
      <c r="Q3309" s="75" t="str">
        <f>IF(AND(B3309='111'!$L$11,OR($N3309=$Q$7,$O3309=$Q$7)),"x","")</f>
        <v/>
      </c>
      <c r="R3309" s="75" t="str">
        <f>IF(AND($N3309=$Q$7,$B3309&lt;'111'!$L$11),"x","")</f>
        <v/>
      </c>
      <c r="S3309" s="75" t="str">
        <f>IF(AND($O3309=$Q$7,$B3309&lt;'111'!$L$11),"x","")</f>
        <v/>
      </c>
      <c r="T3309" s="75" t="str">
        <f>IF(ISERROR(FIND('112'!$M$9,G3309,1)),"",IF((AND(FIND('112'!$M$9,G3309,1)&gt;=1,B3309='112'!$K$9,OR($N3309='112'!$I$6,$O3309='112'!$I$6))),"x",""))</f>
        <v/>
      </c>
      <c r="U3309" s="75" t="str">
        <f>IF(ISERROR(FIND('112'!$M$9,G3309,1)),"",IF((AND(LEFT(G3309,2)=LEFT('112'!$M$9,2),B3309&lt;'112'!$K$9,$N3309='112'!$I$6)),"x",""))</f>
        <v/>
      </c>
      <c r="V3309" s="75" t="str">
        <f>IF(ISERROR(FIND('112'!$M$9,G3309,1)),"",IF((AND(RIGHT(G3309,2)=RIGHT('112'!$M$9,2),B3309&lt;'112'!$K$9,$O3309='112'!$I$6)),"x",""))</f>
        <v/>
      </c>
      <c r="W3309" s="75" t="str">
        <f>IF(AND('341-CT'!$H$9=H3309,OR(LEFT(N3309,3)=$W$7,LEFT(O3309,3)=$W$7)),"x","")</f>
        <v/>
      </c>
      <c r="X3309" s="75" t="str">
        <f>IF(OR(TH!N3309=TH!$X$7,O3309=TH!$X$7),"x","")</f>
        <v/>
      </c>
      <c r="Y3309" s="75" t="str">
        <f>IF(AND(OR(N3309="131",O3309="131"),H3309='131-CT'!$H$9),"x","")</f>
        <v/>
      </c>
      <c r="Z3309" s="75"/>
      <c r="AA3309" s="75" t="str">
        <f>IF(AND(MONTH(E3309)='IN-NX'!$J$5,'IN-NX'!$D$7=D3309),"x","")</f>
        <v/>
      </c>
      <c r="AB3309" s="75" t="str">
        <f>IF(AND(OR(LEFT(TH!N3309,2)="15",LEFT(TH!O3309,2)="15"),LEFT(TH!O3309,3)&lt;&gt;"111",'152-CT'!$J$8=TH!F3309),"x","")</f>
        <v/>
      </c>
      <c r="AC3309" s="75" t="str">
        <f>IF(AND(OR(LEFT(TH!N3309,2)="15",LEFT(TH!O3309,2)="15"),TK!$E$7=TH!F3309),"x","")</f>
        <v/>
      </c>
      <c r="AD3309" s="75" t="str">
        <f>IF(AND(N3309="1521",MONTH(C3309)='BK-NL'!$M$11),"x","")</f>
        <v/>
      </c>
    </row>
    <row r="3310" spans="1:30" s="1264" customFormat="1" ht="16.5" customHeight="1">
      <c r="A3310" s="309" t="str">
        <f>IF(B3310&lt;&gt;"",IF(AND(B3310='IN-TC'!$S$4,OR(TH!N3310="1111",TH!O3310="1111")),TH!D3310,""),"")</f>
        <v/>
      </c>
      <c r="B3310" s="1283">
        <f t="shared" si="1249"/>
        <v>12</v>
      </c>
      <c r="C3310" s="929">
        <v>43088</v>
      </c>
      <c r="D3310" s="929" t="s">
        <v>903</v>
      </c>
      <c r="E3310" s="929">
        <f t="shared" si="1236"/>
        <v>43088</v>
      </c>
      <c r="F3310" s="930" t="s">
        <v>1086</v>
      </c>
      <c r="G3310" s="930" t="s">
        <v>747</v>
      </c>
      <c r="H3310" s="735" t="s">
        <v>1859</v>
      </c>
      <c r="I3310" s="1213"/>
      <c r="J3310" s="378"/>
      <c r="K3310" s="1213">
        <v>264977.5</v>
      </c>
      <c r="L3310" s="1214">
        <v>22705</v>
      </c>
      <c r="M3310" s="1214">
        <f t="shared" ref="M3310" si="1251">ROUND(K3310*L3310,0)</f>
        <v>6016314138</v>
      </c>
      <c r="N3310" s="934" t="s">
        <v>256</v>
      </c>
      <c r="O3310" s="934" t="s">
        <v>536</v>
      </c>
      <c r="P3310" s="75" t="str">
        <f>IF(AND('331-CT'!$E$7=TH!H3310,OR(N3310="331",O3310="331")),"x","")</f>
        <v/>
      </c>
      <c r="Q3310" s="75" t="str">
        <f>IF(AND(B3310='111'!$L$11,OR($N3310=$Q$7,$O3310=$Q$7)),"x","")</f>
        <v/>
      </c>
      <c r="R3310" s="75" t="str">
        <f>IF(AND($N3310=$Q$7,$B3310&lt;'111'!$L$11),"x","")</f>
        <v/>
      </c>
      <c r="S3310" s="75" t="str">
        <f>IF(AND($O3310=$Q$7,$B3310&lt;'111'!$L$11),"x","")</f>
        <v/>
      </c>
      <c r="T3310" s="75" t="str">
        <f>IF(ISERROR(FIND('112'!$M$9,G3310,1)),"",IF((AND(FIND('112'!$M$9,G3310,1)&gt;=1,B3310='112'!$K$9,OR($N3310='112'!$I$6,$O3310='112'!$I$6))),"x",""))</f>
        <v/>
      </c>
      <c r="U3310" s="75" t="str">
        <f>IF(ISERROR(FIND('112'!$M$9,G3310,1)),"",IF((AND(LEFT(G3310,2)=LEFT('112'!$M$9,2),B3310&lt;'112'!$K$9,$N3310='112'!$I$6)),"x",""))</f>
        <v/>
      </c>
      <c r="V3310" s="75" t="str">
        <f>IF(ISERROR(FIND('112'!$M$9,G3310,1)),"",IF((AND(RIGHT(G3310,2)=RIGHT('112'!$M$9,2),B3310&lt;'112'!$K$9,$O3310='112'!$I$6)),"x",""))</f>
        <v/>
      </c>
      <c r="W3310" s="75" t="str">
        <f>IF(AND('341-CT'!$H$9=H3310,OR(LEFT(N3310,3)=$W$7,LEFT(O3310,3)=$W$7)),"x","")</f>
        <v/>
      </c>
      <c r="X3310" s="75" t="str">
        <f>IF(OR(TH!N3310=TH!$X$7,O3310=TH!$X$7),"x","")</f>
        <v/>
      </c>
      <c r="Y3310" s="75" t="str">
        <f>IF(AND(OR(N3310="131",O3310="131"),H3310='131-CT'!$H$9),"x","")</f>
        <v/>
      </c>
      <c r="Z3310" s="75"/>
      <c r="AA3310" s="75" t="str">
        <f>IF(AND(MONTH(E3310)='IN-NX'!$J$5,'IN-NX'!$D$7=D3310),"x","")</f>
        <v/>
      </c>
      <c r="AB3310" s="75" t="str">
        <f>IF(AND(OR(LEFT(TH!N3310,2)="15",LEFT(TH!O3310,2)="15"),LEFT(TH!O3310,3)&lt;&gt;"111",'152-CT'!$J$8=TH!F3310),"x","")</f>
        <v/>
      </c>
      <c r="AC3310" s="75" t="str">
        <f>IF(AND(OR(LEFT(TH!N3310,2)="15",LEFT(TH!O3310,2)="15"),TK!$E$7=TH!F3310),"x","")</f>
        <v/>
      </c>
      <c r="AD3310" s="75" t="str">
        <f>IF(AND(N3310="1521",MONTH(C3310)='BK-NL'!$M$11),"x","")</f>
        <v/>
      </c>
    </row>
    <row r="3311" spans="1:30" s="1264" customFormat="1" ht="16.5" customHeight="1">
      <c r="A3311" s="309" t="str">
        <f>IF(B3311&lt;&gt;"",IF(AND(B3311='IN-TC'!$S$4,OR(TH!N3311="1111",TH!O3311="1111")),TH!D3311,""),"")</f>
        <v/>
      </c>
      <c r="B3311" s="1283">
        <f t="shared" si="1249"/>
        <v>12</v>
      </c>
      <c r="C3311" s="929">
        <v>43088</v>
      </c>
      <c r="D3311" s="929" t="s">
        <v>903</v>
      </c>
      <c r="E3311" s="929">
        <f t="shared" ref="E3311:E3315" si="1252">C3311</f>
        <v>43088</v>
      </c>
      <c r="F3311" s="930" t="s">
        <v>907</v>
      </c>
      <c r="G3311" s="930" t="s">
        <v>747</v>
      </c>
      <c r="H3311" s="735" t="s">
        <v>835</v>
      </c>
      <c r="I3311" s="1213"/>
      <c r="J3311" s="378"/>
      <c r="K3311" s="1213">
        <v>265000</v>
      </c>
      <c r="L3311" s="1214">
        <v>22705</v>
      </c>
      <c r="M3311" s="74">
        <f>ROUND(K3311*L3311,0)</f>
        <v>6016825000</v>
      </c>
      <c r="N3311" s="934" t="s">
        <v>26</v>
      </c>
      <c r="O3311" s="934" t="s">
        <v>256</v>
      </c>
      <c r="P3311" s="75" t="str">
        <f>IF(AND('331-CT'!$E$7=TH!H3311,OR(N3311="331",O3311="331")),"x","")</f>
        <v/>
      </c>
      <c r="Q3311" s="75" t="str">
        <f>IF(AND(B3311='111'!$L$11,OR($N3311=$Q$7,$O3311=$Q$7)),"x","")</f>
        <v/>
      </c>
      <c r="R3311" s="75" t="str">
        <f>IF(AND($N3311=$Q$7,$B3311&lt;'111'!$L$11),"x","")</f>
        <v/>
      </c>
      <c r="S3311" s="75" t="str">
        <f>IF(AND($O3311=$Q$7,$B3311&lt;'111'!$L$11),"x","")</f>
        <v/>
      </c>
      <c r="T3311" s="75" t="str">
        <f>IF(ISERROR(FIND('112'!$M$9,G3311,1)),"",IF((AND(FIND('112'!$M$9,G3311,1)&gt;=1,B3311='112'!$K$9,OR($N3311='112'!$I$6,$O3311='112'!$I$6))),"x",""))</f>
        <v/>
      </c>
      <c r="U3311" s="75" t="str">
        <f>IF(ISERROR(FIND('112'!$M$9,G3311,1)),"",IF((AND(LEFT(G3311,2)=LEFT('112'!$M$9,2),B3311&lt;'112'!$K$9,$N3311='112'!$I$6)),"x",""))</f>
        <v/>
      </c>
      <c r="V3311" s="75" t="str">
        <f>IF(ISERROR(FIND('112'!$M$9,G3311,1)),"",IF((AND(RIGHT(G3311,2)=RIGHT('112'!$M$9,2),B3311&lt;'112'!$K$9,$O3311='112'!$I$6)),"x",""))</f>
        <v/>
      </c>
      <c r="W3311" s="75" t="str">
        <f>IF(AND('341-CT'!$H$9=H3311,OR(LEFT(N3311,3)=$W$7,LEFT(O3311,3)=$W$7)),"x","")</f>
        <v/>
      </c>
      <c r="X3311" s="75" t="str">
        <f>IF(OR(TH!N3311=TH!$X$7,O3311=TH!$X$7),"x","")</f>
        <v/>
      </c>
      <c r="Y3311" s="75" t="str">
        <f>IF(AND(OR(N3311="131",O3311="131"),H3311='131-CT'!$H$9),"x","")</f>
        <v/>
      </c>
      <c r="Z3311" s="75"/>
      <c r="AA3311" s="75" t="str">
        <f>IF(AND(MONTH(E3311)='IN-NX'!$J$5,'IN-NX'!$D$7=D3311),"x","")</f>
        <v/>
      </c>
      <c r="AB3311" s="75" t="str">
        <f>IF(AND(OR(LEFT(TH!N3311,2)="15",LEFT(TH!O3311,2)="15"),LEFT(TH!O3311,3)&lt;&gt;"111",'152-CT'!$J$8=TH!F3311),"x","")</f>
        <v/>
      </c>
      <c r="AC3311" s="75" t="str">
        <f>IF(AND(OR(LEFT(TH!N3311,2)="15",LEFT(TH!O3311,2)="15"),TK!$E$7=TH!F3311),"x","")</f>
        <v/>
      </c>
      <c r="AD3311" s="75" t="str">
        <f>IF(AND(N3311="1521",MONTH(C3311)='BK-NL'!$M$11),"x","")</f>
        <v/>
      </c>
    </row>
    <row r="3312" spans="1:30" s="1264" customFormat="1" ht="16.5" customHeight="1">
      <c r="A3312" s="309" t="str">
        <f>IF(B3312&lt;&gt;"",IF(AND(B3312='IN-TC'!$S$4,OR(TH!N3312="1111",TH!O3312="1111")),TH!D3312,""),"")</f>
        <v/>
      </c>
      <c r="B3312" s="1283">
        <f t="shared" si="1249"/>
        <v>2</v>
      </c>
      <c r="C3312" s="929">
        <v>42787</v>
      </c>
      <c r="D3312" s="929" t="s">
        <v>903</v>
      </c>
      <c r="E3312" s="929">
        <f t="shared" si="1252"/>
        <v>42787</v>
      </c>
      <c r="F3312" s="930" t="s">
        <v>1086</v>
      </c>
      <c r="G3312" s="930" t="s">
        <v>747</v>
      </c>
      <c r="H3312" s="735" t="s">
        <v>738</v>
      </c>
      <c r="I3312" s="1213"/>
      <c r="J3312" s="378"/>
      <c r="K3312" s="1213">
        <v>42051</v>
      </c>
      <c r="L3312" s="1214">
        <v>22702</v>
      </c>
      <c r="M3312" s="1214">
        <f t="shared" ref="M3312:M3313" si="1253">ROUND(K3312*L3312,0)</f>
        <v>954641802</v>
      </c>
      <c r="N3312" s="934" t="s">
        <v>256</v>
      </c>
      <c r="O3312" s="934" t="s">
        <v>536</v>
      </c>
      <c r="P3312" s="75" t="str">
        <f>IF(AND('331-CT'!$E$7=TH!H3312,OR(N3312="331",O3312="331")),"x","")</f>
        <v/>
      </c>
      <c r="Q3312" s="75" t="str">
        <f>IF(AND(B3312='111'!$L$11,OR($N3312=$Q$7,$O3312=$Q$7)),"x","")</f>
        <v/>
      </c>
      <c r="R3312" s="75" t="str">
        <f>IF(AND($N3312=$Q$7,$B3312&lt;'111'!$L$11),"x","")</f>
        <v/>
      </c>
      <c r="S3312" s="75" t="str">
        <f>IF(AND($O3312=$Q$7,$B3312&lt;'111'!$L$11),"x","")</f>
        <v/>
      </c>
      <c r="T3312" s="75" t="str">
        <f>IF(ISERROR(FIND('112'!$M$9,G3312,1)),"",IF((AND(FIND('112'!$M$9,G3312,1)&gt;=1,B3312='112'!$K$9,OR($N3312='112'!$I$6,$O3312='112'!$I$6))),"x",""))</f>
        <v/>
      </c>
      <c r="U3312" s="75" t="str">
        <f>IF(ISERROR(FIND('112'!$M$9,G3312,1)),"",IF((AND(LEFT(G3312,2)=LEFT('112'!$M$9,2),B3312&lt;'112'!$K$9,$N3312='112'!$I$6)),"x",""))</f>
        <v/>
      </c>
      <c r="V3312" s="75" t="str">
        <f>IF(ISERROR(FIND('112'!$M$9,G3312,1)),"",IF((AND(RIGHT(G3312,2)=RIGHT('112'!$M$9,2),B3312&lt;'112'!$K$9,$O3312='112'!$I$6)),"x",""))</f>
        <v/>
      </c>
      <c r="W3312" s="75" t="str">
        <f>IF(AND('341-CT'!$H$9=H3312,OR(LEFT(N3312,3)=$W$7,LEFT(O3312,3)=$W$7)),"x","")</f>
        <v/>
      </c>
      <c r="X3312" s="75" t="str">
        <f>IF(OR(TH!N3312=TH!$X$7,O3312=TH!$X$7),"x","")</f>
        <v/>
      </c>
      <c r="Y3312" s="75" t="str">
        <f>IF(AND(OR(N3312="131",O3312="131"),H3312='131-CT'!$H$9),"x","")</f>
        <v/>
      </c>
      <c r="Z3312" s="75"/>
      <c r="AA3312" s="75" t="str">
        <f>IF(AND(MONTH(E3312)='IN-NX'!$J$5,'IN-NX'!$D$7=D3312),"x","")</f>
        <v/>
      </c>
      <c r="AB3312" s="75" t="str">
        <f>IF(AND(OR(LEFT(TH!N3312,2)="15",LEFT(TH!O3312,2)="15"),LEFT(TH!O3312,3)&lt;&gt;"111",'152-CT'!$J$8=TH!F3312),"x","")</f>
        <v/>
      </c>
      <c r="AC3312" s="75" t="str">
        <f>IF(AND(OR(LEFT(TH!N3312,2)="15",LEFT(TH!O3312,2)="15"),TK!$E$7=TH!F3312),"x","")</f>
        <v/>
      </c>
      <c r="AD3312" s="75" t="str">
        <f>IF(AND(N3312="1521",MONTH(C3312)='BK-NL'!$M$11),"x","")</f>
        <v/>
      </c>
    </row>
    <row r="3313" spans="1:30" s="1264" customFormat="1" ht="16.5" customHeight="1">
      <c r="A3313" s="309" t="str">
        <f>IF(B3313&lt;&gt;"",IF(AND(B3313='IN-TC'!$S$4,OR(TH!N3313="1111",TH!O3313="1111")),TH!D3313,""),"")</f>
        <v/>
      </c>
      <c r="B3313" s="1283">
        <f t="shared" ref="B3313:B3314" si="1254">IF(C3313&lt;&gt;"",MONTH(C3313),"")</f>
        <v>2</v>
      </c>
      <c r="C3313" s="929">
        <v>42787</v>
      </c>
      <c r="D3313" s="929" t="s">
        <v>530</v>
      </c>
      <c r="E3313" s="929">
        <f t="shared" ref="E3313:E3314" si="1255">C3313</f>
        <v>42787</v>
      </c>
      <c r="F3313" s="930" t="s">
        <v>1027</v>
      </c>
      <c r="G3313" s="930" t="s">
        <v>747</v>
      </c>
      <c r="H3313" s="735" t="s">
        <v>738</v>
      </c>
      <c r="I3313" s="1213"/>
      <c r="J3313" s="378"/>
      <c r="K3313" s="1213">
        <v>189</v>
      </c>
      <c r="L3313" s="1214">
        <v>22702</v>
      </c>
      <c r="M3313" s="1214">
        <f t="shared" si="1253"/>
        <v>4290678</v>
      </c>
      <c r="N3313" s="934" t="s">
        <v>101</v>
      </c>
      <c r="O3313" s="934" t="s">
        <v>536</v>
      </c>
      <c r="P3313" s="75" t="str">
        <f>IF(AND('331-CT'!$E$7=TH!H3313,OR(N3313="331",O3313="331")),"x","")</f>
        <v/>
      </c>
      <c r="Q3313" s="75" t="str">
        <f>IF(AND(B3313='111'!$L$11,OR($N3313=$Q$7,$O3313=$Q$7)),"x","")</f>
        <v/>
      </c>
      <c r="R3313" s="75" t="str">
        <f>IF(AND($N3313=$Q$7,$B3313&lt;'111'!$L$11),"x","")</f>
        <v/>
      </c>
      <c r="S3313" s="75" t="str">
        <f>IF(AND($O3313=$Q$7,$B3313&lt;'111'!$L$11),"x","")</f>
        <v/>
      </c>
      <c r="T3313" s="75" t="str">
        <f>IF(ISERROR(FIND('112'!$M$9,G3313,1)),"",IF((AND(FIND('112'!$M$9,G3313,1)&gt;=1,B3313='112'!$K$9,OR($N3313='112'!$I$6,$O3313='112'!$I$6))),"x",""))</f>
        <v/>
      </c>
      <c r="U3313" s="75" t="str">
        <f>IF(ISERROR(FIND('112'!$M$9,G3313,1)),"",IF((AND(LEFT(G3313,2)=LEFT('112'!$M$9,2),B3313&lt;'112'!$K$9,$N3313='112'!$I$6)),"x",""))</f>
        <v/>
      </c>
      <c r="V3313" s="75" t="str">
        <f>IF(ISERROR(FIND('112'!$M$9,G3313,1)),"",IF((AND(RIGHT(G3313,2)=RIGHT('112'!$M$9,2),B3313&lt;'112'!$K$9,$O3313='112'!$I$6)),"x",""))</f>
        <v/>
      </c>
      <c r="W3313" s="75" t="str">
        <f>IF(AND('341-CT'!$H$9=H3313,OR(LEFT(N3313,3)=$W$7,LEFT(O3313,3)=$W$7)),"x","")</f>
        <v/>
      </c>
      <c r="X3313" s="75" t="str">
        <f>IF(OR(TH!N3313=TH!$X$7,O3313=TH!$X$7),"x","")</f>
        <v/>
      </c>
      <c r="Y3313" s="75" t="str">
        <f>IF(AND(OR(N3313="131",O3313="131"),H3313='131-CT'!$H$9),"x","")</f>
        <v/>
      </c>
      <c r="Z3313" s="75"/>
      <c r="AA3313" s="75" t="str">
        <f>IF(AND(MONTH(E3313)='IN-NX'!$J$5,'IN-NX'!$D$7=D3313),"x","")</f>
        <v/>
      </c>
      <c r="AB3313" s="75" t="str">
        <f>IF(AND(OR(LEFT(TH!N3313,2)="15",LEFT(TH!O3313,2)="15"),LEFT(TH!O3313,3)&lt;&gt;"111",'152-CT'!$J$8=TH!F3313),"x","")</f>
        <v/>
      </c>
      <c r="AC3313" s="75" t="str">
        <f>IF(AND(OR(LEFT(TH!N3313,2)="15",LEFT(TH!O3313,2)="15"),TK!$E$7=TH!F3313),"x","")</f>
        <v/>
      </c>
      <c r="AD3313" s="75" t="str">
        <f>IF(AND(N3313="1521",MONTH(C3313)='BK-NL'!$M$11),"x","")</f>
        <v/>
      </c>
    </row>
    <row r="3314" spans="1:30" s="1264" customFormat="1" ht="16.5" customHeight="1">
      <c r="A3314" s="309" t="str">
        <f>IF(B3314&lt;&gt;"",IF(AND(B3314='IN-TC'!$S$4,OR(TH!N3314="1111",TH!O3314="1111")),TH!D3314,""),"")</f>
        <v/>
      </c>
      <c r="B3314" s="1283">
        <f t="shared" si="1254"/>
        <v>2</v>
      </c>
      <c r="C3314" s="929">
        <v>42787</v>
      </c>
      <c r="D3314" s="929" t="s">
        <v>530</v>
      </c>
      <c r="E3314" s="929">
        <f t="shared" si="1255"/>
        <v>42787</v>
      </c>
      <c r="F3314" s="930" t="s">
        <v>1010</v>
      </c>
      <c r="G3314" s="930" t="s">
        <v>747</v>
      </c>
      <c r="H3314" s="735" t="s">
        <v>738</v>
      </c>
      <c r="I3314" s="1213"/>
      <c r="J3314" s="378"/>
      <c r="K3314" s="1213"/>
      <c r="L3314" s="1214">
        <v>22702</v>
      </c>
      <c r="M3314" s="74">
        <v>929280</v>
      </c>
      <c r="N3314" s="934" t="s">
        <v>536</v>
      </c>
      <c r="O3314" s="934" t="s">
        <v>43</v>
      </c>
      <c r="P3314" s="75" t="str">
        <f>IF(AND('331-CT'!$E$7=TH!H3314,OR(N3314="331",O3314="331")),"x","")</f>
        <v/>
      </c>
      <c r="Q3314" s="75" t="str">
        <f>IF(AND(B3314='111'!$L$11,OR($N3314=$Q$7,$O3314=$Q$7)),"x","")</f>
        <v/>
      </c>
      <c r="R3314" s="75" t="str">
        <f>IF(AND($N3314=$Q$7,$B3314&lt;'111'!$L$11),"x","")</f>
        <v/>
      </c>
      <c r="S3314" s="75" t="str">
        <f>IF(AND($O3314=$Q$7,$B3314&lt;'111'!$L$11),"x","")</f>
        <v/>
      </c>
      <c r="T3314" s="75" t="str">
        <f>IF(ISERROR(FIND('112'!$M$9,G3314,1)),"",IF((AND(FIND('112'!$M$9,G3314,1)&gt;=1,B3314='112'!$K$9,OR($N3314='112'!$I$6,$O3314='112'!$I$6))),"x",""))</f>
        <v/>
      </c>
      <c r="U3314" s="75" t="str">
        <f>IF(ISERROR(FIND('112'!$M$9,G3314,1)),"",IF((AND(LEFT(G3314,2)=LEFT('112'!$M$9,2),B3314&lt;'112'!$K$9,$N3314='112'!$I$6)),"x",""))</f>
        <v/>
      </c>
      <c r="V3314" s="75" t="str">
        <f>IF(ISERROR(FIND('112'!$M$9,G3314,1)),"",IF((AND(RIGHT(G3314,2)=RIGHT('112'!$M$9,2),B3314&lt;'112'!$K$9,$O3314='112'!$I$6)),"x",""))</f>
        <v/>
      </c>
      <c r="W3314" s="75" t="str">
        <f>IF(AND('341-CT'!$H$9=H3314,OR(LEFT(N3314,3)=$W$7,LEFT(O3314,3)=$W$7)),"x","")</f>
        <v/>
      </c>
      <c r="X3314" s="75" t="str">
        <f>IF(OR(TH!N3314=TH!$X$7,O3314=TH!$X$7),"x","")</f>
        <v/>
      </c>
      <c r="Y3314" s="75" t="str">
        <f>IF(AND(OR(N3314="131",O3314="131"),H3314='131-CT'!$H$9),"x","")</f>
        <v/>
      </c>
      <c r="Z3314" s="75"/>
      <c r="AA3314" s="75" t="str">
        <f>IF(AND(MONTH(E3314)='IN-NX'!$J$5,'IN-NX'!$D$7=D3314),"x","")</f>
        <v/>
      </c>
      <c r="AB3314" s="75" t="str">
        <f>IF(AND(OR(LEFT(TH!N3314,2)="15",LEFT(TH!O3314,2)="15"),LEFT(TH!O3314,3)&lt;&gt;"111",'152-CT'!$J$8=TH!F3314),"x","")</f>
        <v/>
      </c>
      <c r="AC3314" s="75" t="str">
        <f>IF(AND(OR(LEFT(TH!N3314,2)="15",LEFT(TH!O3314,2)="15"),TK!$E$7=TH!F3314),"x","")</f>
        <v/>
      </c>
      <c r="AD3314" s="75" t="str">
        <f>IF(AND(N3314="1521",MONTH(C3314)='BK-NL'!$M$11),"x","")</f>
        <v/>
      </c>
    </row>
    <row r="3315" spans="1:30" s="1264" customFormat="1" ht="16.5" customHeight="1">
      <c r="A3315" s="309" t="str">
        <f>IF(B3315&lt;&gt;"",IF(AND(B3315='IN-TC'!$S$4,OR(TH!N3315="1111",TH!O3315="1111")),TH!D3315,""),"")</f>
        <v/>
      </c>
      <c r="B3315" s="1283">
        <f t="shared" si="1249"/>
        <v>12</v>
      </c>
      <c r="C3315" s="929">
        <v>43090</v>
      </c>
      <c r="D3315" s="929" t="s">
        <v>902</v>
      </c>
      <c r="E3315" s="929">
        <f t="shared" si="1252"/>
        <v>43090</v>
      </c>
      <c r="F3315" s="930" t="s">
        <v>1096</v>
      </c>
      <c r="G3315" s="930" t="s">
        <v>747</v>
      </c>
      <c r="H3315" s="73" t="s">
        <v>2747</v>
      </c>
      <c r="I3315" s="1213"/>
      <c r="J3315" s="378"/>
      <c r="K3315" s="1213">
        <v>35.64</v>
      </c>
      <c r="L3315" s="1214">
        <v>22702</v>
      </c>
      <c r="M3315" s="74">
        <f t="shared" ref="M3315" si="1256">ROUND(K3315*L3315,0)</f>
        <v>809099</v>
      </c>
      <c r="N3315" s="934" t="s">
        <v>99</v>
      </c>
      <c r="O3315" s="934" t="s">
        <v>256</v>
      </c>
      <c r="P3315" s="75" t="str">
        <f>IF(AND('331-CT'!$E$7=TH!H3315,OR(N3315="331",O3315="331")),"x","")</f>
        <v/>
      </c>
      <c r="Q3315" s="75" t="str">
        <f>IF(AND(B3315='111'!$L$11,OR($N3315=$Q$7,$O3315=$Q$7)),"x","")</f>
        <v/>
      </c>
      <c r="R3315" s="75" t="str">
        <f>IF(AND($N3315=$Q$7,$B3315&lt;'111'!$L$11),"x","")</f>
        <v/>
      </c>
      <c r="S3315" s="75" t="str">
        <f>IF(AND($O3315=$Q$7,$B3315&lt;'111'!$L$11),"x","")</f>
        <v/>
      </c>
      <c r="T3315" s="75" t="str">
        <f>IF(ISERROR(FIND('112'!$M$9,G3315,1)),"",IF((AND(FIND('112'!$M$9,G3315,1)&gt;=1,B3315='112'!$K$9,OR($N3315='112'!$I$6,$O3315='112'!$I$6))),"x",""))</f>
        <v/>
      </c>
      <c r="U3315" s="75" t="str">
        <f>IF(ISERROR(FIND('112'!$M$9,G3315,1)),"",IF((AND(LEFT(G3315,2)=LEFT('112'!$M$9,2),B3315&lt;'112'!$K$9,$N3315='112'!$I$6)),"x",""))</f>
        <v/>
      </c>
      <c r="V3315" s="75" t="str">
        <f>IF(ISERROR(FIND('112'!$M$9,G3315,1)),"",IF((AND(RIGHT(G3315,2)=RIGHT('112'!$M$9,2),B3315&lt;'112'!$K$9,$O3315='112'!$I$6)),"x",""))</f>
        <v/>
      </c>
      <c r="W3315" s="75" t="str">
        <f>IF(AND('341-CT'!$H$9=H3315,OR(LEFT(N3315,3)=$W$7,LEFT(O3315,3)=$W$7)),"x","")</f>
        <v/>
      </c>
      <c r="X3315" s="75" t="str">
        <f>IF(OR(TH!N3315=TH!$X$7,O3315=TH!$X$7),"x","")</f>
        <v/>
      </c>
      <c r="Y3315" s="75" t="str">
        <f>IF(AND(OR(N3315="131",O3315="131"),H3315='131-CT'!$H$9),"x","")</f>
        <v/>
      </c>
      <c r="Z3315" s="75"/>
      <c r="AA3315" s="75" t="str">
        <f>IF(AND(MONTH(E3315)='IN-NX'!$J$5,'IN-NX'!$D$7=D3315),"x","")</f>
        <v/>
      </c>
      <c r="AB3315" s="75" t="str">
        <f>IF(AND(OR(LEFT(TH!N3315,2)="15",LEFT(TH!O3315,2)="15"),LEFT(TH!O3315,3)&lt;&gt;"111",'152-CT'!$J$8=TH!F3315),"x","")</f>
        <v/>
      </c>
      <c r="AC3315" s="75" t="str">
        <f>IF(AND(OR(LEFT(TH!N3315,2)="15",LEFT(TH!O3315,2)="15"),TK!$E$7=TH!F3315),"x","")</f>
        <v/>
      </c>
      <c r="AD3315" s="75" t="str">
        <f>IF(AND(N3315="1521",MONTH(C3315)='BK-NL'!$M$11),"x","")</f>
        <v/>
      </c>
    </row>
    <row r="3316" spans="1:30" s="1264" customFormat="1" ht="16.5" customHeight="1">
      <c r="A3316" s="309" t="str">
        <f>IF(B3316&lt;&gt;"",IF(AND(B3316='IN-TC'!$S$4,OR(TH!N3316="1111",TH!O3316="1111")),TH!D3316,""),"")</f>
        <v/>
      </c>
      <c r="B3316" s="1283">
        <f t="shared" ref="B3316:B3319" si="1257">IF(C3316&lt;&gt;"",MONTH(C3316),"")</f>
        <v>12</v>
      </c>
      <c r="C3316" s="929">
        <v>43090</v>
      </c>
      <c r="D3316" s="929" t="s">
        <v>902</v>
      </c>
      <c r="E3316" s="929">
        <f t="shared" ref="E3316:E3319" si="1258">C3316</f>
        <v>43090</v>
      </c>
      <c r="F3316" s="930" t="s">
        <v>1321</v>
      </c>
      <c r="G3316" s="930" t="s">
        <v>747</v>
      </c>
      <c r="H3316" s="73" t="s">
        <v>2747</v>
      </c>
      <c r="I3316" s="1213"/>
      <c r="J3316" s="378"/>
      <c r="K3316" s="1213">
        <v>40100</v>
      </c>
      <c r="L3316" s="1214">
        <v>22702</v>
      </c>
      <c r="M3316" s="74">
        <f t="shared" ref="M3316" si="1259">ROUND(K3316*L3316,0)</f>
        <v>910350200</v>
      </c>
      <c r="N3316" s="934" t="s">
        <v>250</v>
      </c>
      <c r="O3316" s="934" t="s">
        <v>256</v>
      </c>
      <c r="P3316" s="75" t="str">
        <f>IF(AND('331-CT'!$E$7=TH!H3316,OR(N3316="331",O3316="331")),"x","")</f>
        <v/>
      </c>
      <c r="Q3316" s="75" t="str">
        <f>IF(AND(B3316='111'!$L$11,OR($N3316=$Q$7,$O3316=$Q$7)),"x","")</f>
        <v/>
      </c>
      <c r="R3316" s="75" t="str">
        <f>IF(AND($N3316=$Q$7,$B3316&lt;'111'!$L$11),"x","")</f>
        <v/>
      </c>
      <c r="S3316" s="75" t="str">
        <f>IF(AND($O3316=$Q$7,$B3316&lt;'111'!$L$11),"x","")</f>
        <v/>
      </c>
      <c r="T3316" s="75" t="str">
        <f>IF(ISERROR(FIND('112'!$M$9,G3316,1)),"",IF((AND(FIND('112'!$M$9,G3316,1)&gt;=1,B3316='112'!$K$9,OR($N3316='112'!$I$6,$O3316='112'!$I$6))),"x",""))</f>
        <v/>
      </c>
      <c r="U3316" s="75" t="str">
        <f>IF(ISERROR(FIND('112'!$M$9,G3316,1)),"",IF((AND(LEFT(G3316,2)=LEFT('112'!$M$9,2),B3316&lt;'112'!$K$9,$N3316='112'!$I$6)),"x",""))</f>
        <v/>
      </c>
      <c r="V3316" s="75" t="str">
        <f>IF(ISERROR(FIND('112'!$M$9,G3316,1)),"",IF((AND(RIGHT(G3316,2)=RIGHT('112'!$M$9,2),B3316&lt;'112'!$K$9,$O3316='112'!$I$6)),"x",""))</f>
        <v/>
      </c>
      <c r="W3316" s="75" t="str">
        <f>IF(AND('341-CT'!$H$9=H3316,OR(LEFT(N3316,3)=$W$7,LEFT(O3316,3)=$W$7)),"x","")</f>
        <v/>
      </c>
      <c r="X3316" s="75" t="str">
        <f>IF(OR(TH!N3316=TH!$X$7,O3316=TH!$X$7),"x","")</f>
        <v/>
      </c>
      <c r="Y3316" s="75" t="str">
        <f>IF(AND(OR(N3316="131",O3316="131"),H3316='131-CT'!$H$9),"x","")</f>
        <v/>
      </c>
      <c r="Z3316" s="75"/>
      <c r="AA3316" s="75" t="str">
        <f>IF(AND(MONTH(E3316)='IN-NX'!$J$5,'IN-NX'!$D$7=D3316),"x","")</f>
        <v/>
      </c>
      <c r="AB3316" s="75" t="str">
        <f>IF(AND(OR(LEFT(TH!N3316,2)="15",LEFT(TH!O3316,2)="15"),LEFT(TH!O3316,3)&lt;&gt;"111",'152-CT'!$J$8=TH!F3316),"x","")</f>
        <v/>
      </c>
      <c r="AC3316" s="75" t="str">
        <f>IF(AND(OR(LEFT(TH!N3316,2)="15",LEFT(TH!O3316,2)="15"),TK!$E$7=TH!F3316),"x","")</f>
        <v/>
      </c>
      <c r="AD3316" s="75" t="str">
        <f>IF(AND(N3316="1521",MONTH(C3316)='BK-NL'!$M$11),"x","")</f>
        <v/>
      </c>
    </row>
    <row r="3317" spans="1:30" s="1264" customFormat="1" ht="16.5" customHeight="1">
      <c r="A3317" s="309" t="str">
        <f>IF(B3317&lt;&gt;"",IF(AND(B3317='IN-TC'!$S$4,OR(TH!N3317="1111",TH!O3317="1111")),TH!D3317,""),"")</f>
        <v/>
      </c>
      <c r="B3317" s="1283">
        <f t="shared" ref="B3317" si="1260">IF(C3317&lt;&gt;"",MONTH(C3317),"")</f>
        <v>12</v>
      </c>
      <c r="C3317" s="929">
        <v>43090</v>
      </c>
      <c r="D3317" s="929" t="s">
        <v>530</v>
      </c>
      <c r="E3317" s="929">
        <f t="shared" ref="E3317" si="1261">C3317</f>
        <v>43090</v>
      </c>
      <c r="F3317" s="930" t="s">
        <v>1010</v>
      </c>
      <c r="G3317" s="930" t="s">
        <v>747</v>
      </c>
      <c r="H3317" s="73" t="s">
        <v>2747</v>
      </c>
      <c r="I3317" s="1213"/>
      <c r="J3317" s="378"/>
      <c r="K3317" s="1213"/>
      <c r="L3317" s="1214"/>
      <c r="M3317" s="74">
        <v>120300</v>
      </c>
      <c r="N3317" s="934" t="s">
        <v>250</v>
      </c>
      <c r="O3317" s="934" t="s">
        <v>43</v>
      </c>
      <c r="P3317" s="75" t="str">
        <f>IF(AND('331-CT'!$E$7=TH!H3317,OR(N3317="331",O3317="331")),"x","")</f>
        <v/>
      </c>
      <c r="Q3317" s="75" t="str">
        <f>IF(AND(B3317='111'!$L$11,OR($N3317=$Q$7,$O3317=$Q$7)),"x","")</f>
        <v/>
      </c>
      <c r="R3317" s="75" t="str">
        <f>IF(AND($N3317=$Q$7,$B3317&lt;'111'!$L$11),"x","")</f>
        <v/>
      </c>
      <c r="S3317" s="75" t="str">
        <f>IF(AND($O3317=$Q$7,$B3317&lt;'111'!$L$11),"x","")</f>
        <v/>
      </c>
      <c r="T3317" s="75" t="str">
        <f>IF(ISERROR(FIND('112'!$M$9,G3317,1)),"",IF((AND(FIND('112'!$M$9,G3317,1)&gt;=1,B3317='112'!$K$9,OR($N3317='112'!$I$6,$O3317='112'!$I$6))),"x",""))</f>
        <v/>
      </c>
      <c r="U3317" s="75" t="str">
        <f>IF(ISERROR(FIND('112'!$M$9,G3317,1)),"",IF((AND(LEFT(G3317,2)=LEFT('112'!$M$9,2),B3317&lt;'112'!$K$9,$N3317='112'!$I$6)),"x",""))</f>
        <v/>
      </c>
      <c r="V3317" s="75" t="str">
        <f>IF(ISERROR(FIND('112'!$M$9,G3317,1)),"",IF((AND(RIGHT(G3317,2)=RIGHT('112'!$M$9,2),B3317&lt;'112'!$K$9,$O3317='112'!$I$6)),"x",""))</f>
        <v/>
      </c>
      <c r="W3317" s="75" t="str">
        <f>IF(AND('341-CT'!$H$9=H3317,OR(LEFT(N3317,3)=$W$7,LEFT(O3317,3)=$W$7)),"x","")</f>
        <v/>
      </c>
      <c r="X3317" s="75" t="str">
        <f>IF(OR(TH!N3317=TH!$X$7,O3317=TH!$X$7),"x","")</f>
        <v/>
      </c>
      <c r="Y3317" s="75" t="str">
        <f>IF(AND(OR(N3317="131",O3317="131"),H3317='131-CT'!$H$9),"x","")</f>
        <v/>
      </c>
      <c r="Z3317" s="75"/>
      <c r="AA3317" s="75" t="str">
        <f>IF(AND(MONTH(E3317)='IN-NX'!$J$5,'IN-NX'!$D$7=D3317),"x","")</f>
        <v/>
      </c>
      <c r="AB3317" s="75" t="str">
        <f>IF(AND(OR(LEFT(TH!N3317,2)="15",LEFT(TH!O3317,2)="15"),LEFT(TH!O3317,3)&lt;&gt;"111",'152-CT'!$J$8=TH!F3317),"x","")</f>
        <v/>
      </c>
      <c r="AC3317" s="75" t="str">
        <f>IF(AND(OR(LEFT(TH!N3317,2)="15",LEFT(TH!O3317,2)="15"),TK!$E$7=TH!F3317),"x","")</f>
        <v/>
      </c>
      <c r="AD3317" s="75" t="str">
        <f>IF(AND(N3317="1521",MONTH(C3317)='BK-NL'!$M$11),"x","")</f>
        <v/>
      </c>
    </row>
    <row r="3318" spans="1:30" s="1264" customFormat="1" ht="16.5" customHeight="1">
      <c r="A3318" s="309" t="str">
        <f>IF(B3318&lt;&gt;"",IF(AND(B3318='IN-TC'!$S$4,OR(TH!N3318="1111",TH!O3318="1111")),TH!D3318,""),"")</f>
        <v/>
      </c>
      <c r="B3318" s="1283">
        <f t="shared" si="1257"/>
        <v>12</v>
      </c>
      <c r="C3318" s="929">
        <v>43090</v>
      </c>
      <c r="D3318" s="929" t="s">
        <v>903</v>
      </c>
      <c r="E3318" s="929">
        <f t="shared" si="1258"/>
        <v>43090</v>
      </c>
      <c r="F3318" s="930" t="s">
        <v>918</v>
      </c>
      <c r="G3318" s="930" t="s">
        <v>2265</v>
      </c>
      <c r="H3318" s="735" t="s">
        <v>835</v>
      </c>
      <c r="I3318" s="1213"/>
      <c r="J3318" s="378"/>
      <c r="K3318" s="1213">
        <v>93000</v>
      </c>
      <c r="L3318" s="1214">
        <v>22702</v>
      </c>
      <c r="M3318" s="1214">
        <f t="shared" ref="M3318:M3319" si="1262">ROUND(K3318*L3318,0)</f>
        <v>2111286000</v>
      </c>
      <c r="N3318" s="934" t="s">
        <v>256</v>
      </c>
      <c r="O3318" s="934" t="s">
        <v>256</v>
      </c>
      <c r="P3318" s="75" t="str">
        <f>IF(AND('331-CT'!$E$7=TH!H3318,OR(N3318="331",O3318="331")),"x","")</f>
        <v/>
      </c>
      <c r="Q3318" s="75" t="str">
        <f>IF(AND(B3318='111'!$L$11,OR($N3318=$Q$7,$O3318=$Q$7)),"x","")</f>
        <v/>
      </c>
      <c r="R3318" s="75" t="str">
        <f>IF(AND($N3318=$Q$7,$B3318&lt;'111'!$L$11),"x","")</f>
        <v/>
      </c>
      <c r="S3318" s="75" t="str">
        <f>IF(AND($O3318=$Q$7,$B3318&lt;'111'!$L$11),"x","")</f>
        <v/>
      </c>
      <c r="T3318" s="75" t="str">
        <f>IF(ISERROR(FIND('112'!$M$9,G3318,1)),"",IF((AND(FIND('112'!$M$9,G3318,1)&gt;=1,B3318='112'!$K$9,OR($N3318='112'!$I$6,$O3318='112'!$I$6))),"x",""))</f>
        <v/>
      </c>
      <c r="U3318" s="75" t="str">
        <f>IF(ISERROR(FIND('112'!$M$9,G3318,1)),"",IF((AND(LEFT(G3318,2)=LEFT('112'!$M$9,2),B3318&lt;'112'!$K$9,$N3318='112'!$I$6)),"x",""))</f>
        <v/>
      </c>
      <c r="V3318" s="75" t="str">
        <f>IF(ISERROR(FIND('112'!$M$9,G3318,1)),"",IF((AND(RIGHT(G3318,2)=RIGHT('112'!$M$9,2),B3318&lt;'112'!$K$9,$O3318='112'!$I$6)),"x",""))</f>
        <v/>
      </c>
      <c r="W3318" s="75" t="str">
        <f>IF(AND('341-CT'!$H$9=H3318,OR(LEFT(N3318,3)=$W$7,LEFT(O3318,3)=$W$7)),"x","")</f>
        <v/>
      </c>
      <c r="X3318" s="75" t="str">
        <f>IF(OR(TH!N3318=TH!$X$7,O3318=TH!$X$7),"x","")</f>
        <v/>
      </c>
      <c r="Y3318" s="75" t="str">
        <f>IF(AND(OR(N3318="131",O3318="131"),H3318='131-CT'!$H$9),"x","")</f>
        <v/>
      </c>
      <c r="Z3318" s="75"/>
      <c r="AA3318" s="75" t="str">
        <f>IF(AND(MONTH(E3318)='IN-NX'!$J$5,'IN-NX'!$D$7=D3318),"x","")</f>
        <v/>
      </c>
      <c r="AB3318" s="75" t="str">
        <f>IF(AND(OR(LEFT(TH!N3318,2)="15",LEFT(TH!O3318,2)="15"),LEFT(TH!O3318,3)&lt;&gt;"111",'152-CT'!$J$8=TH!F3318),"x","")</f>
        <v/>
      </c>
      <c r="AC3318" s="75" t="str">
        <f>IF(AND(OR(LEFT(TH!N3318,2)="15",LEFT(TH!O3318,2)="15"),TK!$E$7=TH!F3318),"x","")</f>
        <v/>
      </c>
      <c r="AD3318" s="75" t="str">
        <f>IF(AND(N3318="1521",MONTH(C3318)='BK-NL'!$M$11),"x","")</f>
        <v/>
      </c>
    </row>
    <row r="3319" spans="1:30" s="1264" customFormat="1" ht="16.5" customHeight="1">
      <c r="A3319" s="309" t="str">
        <f>IF(B3319&lt;&gt;"",IF(AND(B3319='IN-TC'!$S$4,OR(TH!N3319="1111",TH!O3319="1111")),TH!D3319,""),"")</f>
        <v/>
      </c>
      <c r="B3319" s="1283">
        <f t="shared" si="1257"/>
        <v>12</v>
      </c>
      <c r="C3319" s="929">
        <v>43090</v>
      </c>
      <c r="D3319" s="929" t="s">
        <v>902</v>
      </c>
      <c r="E3319" s="929">
        <f t="shared" si="1258"/>
        <v>43090</v>
      </c>
      <c r="F3319" s="930" t="s">
        <v>1096</v>
      </c>
      <c r="G3319" s="930" t="s">
        <v>747</v>
      </c>
      <c r="H3319" s="73" t="s">
        <v>1781</v>
      </c>
      <c r="I3319" s="1213"/>
      <c r="J3319" s="378"/>
      <c r="K3319" s="1213">
        <v>298.06</v>
      </c>
      <c r="L3319" s="1214">
        <v>22702</v>
      </c>
      <c r="M3319" s="74">
        <f t="shared" si="1262"/>
        <v>6766558</v>
      </c>
      <c r="N3319" s="934" t="s">
        <v>99</v>
      </c>
      <c r="O3319" s="934" t="s">
        <v>256</v>
      </c>
      <c r="P3319" s="75" t="str">
        <f>IF(AND('331-CT'!$E$7=TH!H3319,OR(N3319="331",O3319="331")),"x","")</f>
        <v/>
      </c>
      <c r="Q3319" s="75" t="str">
        <f>IF(AND(B3319='111'!$L$11,OR($N3319=$Q$7,$O3319=$Q$7)),"x","")</f>
        <v/>
      </c>
      <c r="R3319" s="75" t="str">
        <f>IF(AND($N3319=$Q$7,$B3319&lt;'111'!$L$11),"x","")</f>
        <v/>
      </c>
      <c r="S3319" s="75" t="str">
        <f>IF(AND($O3319=$Q$7,$B3319&lt;'111'!$L$11),"x","")</f>
        <v/>
      </c>
      <c r="T3319" s="75" t="str">
        <f>IF(ISERROR(FIND('112'!$M$9,G3319,1)),"",IF((AND(FIND('112'!$M$9,G3319,1)&gt;=1,B3319='112'!$K$9,OR($N3319='112'!$I$6,$O3319='112'!$I$6))),"x",""))</f>
        <v/>
      </c>
      <c r="U3319" s="75" t="str">
        <f>IF(ISERROR(FIND('112'!$M$9,G3319,1)),"",IF((AND(LEFT(G3319,2)=LEFT('112'!$M$9,2),B3319&lt;'112'!$K$9,$N3319='112'!$I$6)),"x",""))</f>
        <v/>
      </c>
      <c r="V3319" s="75" t="str">
        <f>IF(ISERROR(FIND('112'!$M$9,G3319,1)),"",IF((AND(RIGHT(G3319,2)=RIGHT('112'!$M$9,2),B3319&lt;'112'!$K$9,$O3319='112'!$I$6)),"x",""))</f>
        <v/>
      </c>
      <c r="W3319" s="75" t="str">
        <f>IF(AND('341-CT'!$H$9=H3319,OR(LEFT(N3319,3)=$W$7,LEFT(O3319,3)=$W$7)),"x","")</f>
        <v/>
      </c>
      <c r="X3319" s="75" t="str">
        <f>IF(OR(TH!N3319=TH!$X$7,O3319=TH!$X$7),"x","")</f>
        <v/>
      </c>
      <c r="Y3319" s="75" t="str">
        <f>IF(AND(OR(N3319="131",O3319="131"),H3319='131-CT'!$H$9),"x","")</f>
        <v/>
      </c>
      <c r="Z3319" s="75"/>
      <c r="AA3319" s="75" t="str">
        <f>IF(AND(MONTH(E3319)='IN-NX'!$J$5,'IN-NX'!$D$7=D3319),"x","")</f>
        <v/>
      </c>
      <c r="AB3319" s="75" t="str">
        <f>IF(AND(OR(LEFT(TH!N3319,2)="15",LEFT(TH!O3319,2)="15"),LEFT(TH!O3319,3)&lt;&gt;"111",'152-CT'!$J$8=TH!F3319),"x","")</f>
        <v/>
      </c>
      <c r="AC3319" s="75" t="str">
        <f>IF(AND(OR(LEFT(TH!N3319,2)="15",LEFT(TH!O3319,2)="15"),TK!$E$7=TH!F3319),"x","")</f>
        <v/>
      </c>
      <c r="AD3319" s="75" t="str">
        <f>IF(AND(N3319="1521",MONTH(C3319)='BK-NL'!$M$11),"x","")</f>
        <v/>
      </c>
    </row>
    <row r="3320" spans="1:30" s="1264" customFormat="1" ht="16.5" customHeight="1">
      <c r="A3320" s="309" t="str">
        <f>IF(B3320&lt;&gt;"",IF(AND(B3320='IN-TC'!$S$4,OR(TH!N3320="1111",TH!O3320="1111")),TH!D3320,""),"")</f>
        <v/>
      </c>
      <c r="B3320" s="1283">
        <f t="shared" ref="B3320" si="1263">IF(C3320&lt;&gt;"",MONTH(C3320),"")</f>
        <v>12</v>
      </c>
      <c r="C3320" s="929">
        <v>43090</v>
      </c>
      <c r="D3320" s="929" t="s">
        <v>902</v>
      </c>
      <c r="E3320" s="929">
        <f t="shared" ref="E3320" si="1264">C3320</f>
        <v>43090</v>
      </c>
      <c r="F3320" s="930" t="s">
        <v>1321</v>
      </c>
      <c r="G3320" s="930" t="s">
        <v>747</v>
      </c>
      <c r="H3320" s="73" t="s">
        <v>1781</v>
      </c>
      <c r="I3320" s="1213"/>
      <c r="J3320" s="378"/>
      <c r="K3320" s="1213">
        <v>92500</v>
      </c>
      <c r="L3320" s="1214">
        <v>22702</v>
      </c>
      <c r="M3320" s="74">
        <f t="shared" ref="M3320" si="1265">ROUND(K3320*L3320,0)</f>
        <v>2099935000</v>
      </c>
      <c r="N3320" s="934" t="s">
        <v>250</v>
      </c>
      <c r="O3320" s="934" t="s">
        <v>256</v>
      </c>
      <c r="P3320" s="75" t="str">
        <f>IF(AND('331-CT'!$E$7=TH!H3320,OR(N3320="331",O3320="331")),"x","")</f>
        <v/>
      </c>
      <c r="Q3320" s="75" t="str">
        <f>IF(AND(B3320='111'!$L$11,OR($N3320=$Q$7,$O3320=$Q$7)),"x","")</f>
        <v/>
      </c>
      <c r="R3320" s="75" t="str">
        <f>IF(AND($N3320=$Q$7,$B3320&lt;'111'!$L$11),"x","")</f>
        <v/>
      </c>
      <c r="S3320" s="75" t="str">
        <f>IF(AND($O3320=$Q$7,$B3320&lt;'111'!$L$11),"x","")</f>
        <v/>
      </c>
      <c r="T3320" s="75" t="str">
        <f>IF(ISERROR(FIND('112'!$M$9,G3320,1)),"",IF((AND(FIND('112'!$M$9,G3320,1)&gt;=1,B3320='112'!$K$9,OR($N3320='112'!$I$6,$O3320='112'!$I$6))),"x",""))</f>
        <v/>
      </c>
      <c r="U3320" s="75" t="str">
        <f>IF(ISERROR(FIND('112'!$M$9,G3320,1)),"",IF((AND(LEFT(G3320,2)=LEFT('112'!$M$9,2),B3320&lt;'112'!$K$9,$N3320='112'!$I$6)),"x",""))</f>
        <v/>
      </c>
      <c r="V3320" s="75" t="str">
        <f>IF(ISERROR(FIND('112'!$M$9,G3320,1)),"",IF((AND(RIGHT(G3320,2)=RIGHT('112'!$M$9,2),B3320&lt;'112'!$K$9,$O3320='112'!$I$6)),"x",""))</f>
        <v/>
      </c>
      <c r="W3320" s="75" t="str">
        <f>IF(AND('341-CT'!$H$9=H3320,OR(LEFT(N3320,3)=$W$7,LEFT(O3320,3)=$W$7)),"x","")</f>
        <v/>
      </c>
      <c r="X3320" s="75" t="str">
        <f>IF(OR(TH!N3320=TH!$X$7,O3320=TH!$X$7),"x","")</f>
        <v/>
      </c>
      <c r="Y3320" s="75" t="str">
        <f>IF(AND(OR(N3320="131",O3320="131"),H3320='131-CT'!$H$9),"x","")</f>
        <v/>
      </c>
      <c r="Z3320" s="75"/>
      <c r="AA3320" s="75" t="str">
        <f>IF(AND(MONTH(E3320)='IN-NX'!$J$5,'IN-NX'!$D$7=D3320),"x","")</f>
        <v/>
      </c>
      <c r="AB3320" s="75" t="str">
        <f>IF(AND(OR(LEFT(TH!N3320,2)="15",LEFT(TH!O3320,2)="15"),LEFT(TH!O3320,3)&lt;&gt;"111",'152-CT'!$J$8=TH!F3320),"x","")</f>
        <v/>
      </c>
      <c r="AC3320" s="75" t="str">
        <f>IF(AND(OR(LEFT(TH!N3320,2)="15",LEFT(TH!O3320,2)="15"),TK!$E$7=TH!F3320),"x","")</f>
        <v/>
      </c>
      <c r="AD3320" s="75" t="str">
        <f>IF(AND(N3320="1521",MONTH(C3320)='BK-NL'!$M$11),"x","")</f>
        <v/>
      </c>
    </row>
    <row r="3321" spans="1:30" s="1264" customFormat="1" ht="16.5" customHeight="1">
      <c r="A3321" s="309" t="str">
        <f>IF(B3321&lt;&gt;"",IF(AND(B3321='IN-TC'!$S$4,OR(TH!N3321="1111",TH!O3321="1111")),TH!D3321,""),"")</f>
        <v/>
      </c>
      <c r="B3321" s="1283">
        <f t="shared" ref="B3321" si="1266">IF(C3321&lt;&gt;"",MONTH(C3321),"")</f>
        <v>12</v>
      </c>
      <c r="C3321" s="929">
        <v>43090</v>
      </c>
      <c r="D3321" s="929" t="s">
        <v>530</v>
      </c>
      <c r="E3321" s="929">
        <f t="shared" ref="E3321" si="1267">C3321</f>
        <v>43090</v>
      </c>
      <c r="F3321" s="930" t="s">
        <v>1010</v>
      </c>
      <c r="G3321" s="930" t="s">
        <v>747</v>
      </c>
      <c r="H3321" s="73" t="s">
        <v>1781</v>
      </c>
      <c r="I3321" s="1213"/>
      <c r="J3321" s="378"/>
      <c r="K3321" s="1213"/>
      <c r="L3321" s="1214"/>
      <c r="M3321" s="74">
        <v>2775000</v>
      </c>
      <c r="N3321" s="934" t="s">
        <v>250</v>
      </c>
      <c r="O3321" s="934" t="s">
        <v>43</v>
      </c>
      <c r="P3321" s="75" t="str">
        <f>IF(AND('331-CT'!$E$7=TH!H3321,OR(N3321="331",O3321="331")),"x","")</f>
        <v/>
      </c>
      <c r="Q3321" s="75" t="str">
        <f>IF(AND(B3321='111'!$L$11,OR($N3321=$Q$7,$O3321=$Q$7)),"x","")</f>
        <v/>
      </c>
      <c r="R3321" s="75" t="str">
        <f>IF(AND($N3321=$Q$7,$B3321&lt;'111'!$L$11),"x","")</f>
        <v/>
      </c>
      <c r="S3321" s="75" t="str">
        <f>IF(AND($O3321=$Q$7,$B3321&lt;'111'!$L$11),"x","")</f>
        <v/>
      </c>
      <c r="T3321" s="75" t="str">
        <f>IF(ISERROR(FIND('112'!$M$9,G3321,1)),"",IF((AND(FIND('112'!$M$9,G3321,1)&gt;=1,B3321='112'!$K$9,OR($N3321='112'!$I$6,$O3321='112'!$I$6))),"x",""))</f>
        <v/>
      </c>
      <c r="U3321" s="75" t="str">
        <f>IF(ISERROR(FIND('112'!$M$9,G3321,1)),"",IF((AND(LEFT(G3321,2)=LEFT('112'!$M$9,2),B3321&lt;'112'!$K$9,$N3321='112'!$I$6)),"x",""))</f>
        <v/>
      </c>
      <c r="V3321" s="75" t="str">
        <f>IF(ISERROR(FIND('112'!$M$9,G3321,1)),"",IF((AND(RIGHT(G3321,2)=RIGHT('112'!$M$9,2),B3321&lt;'112'!$K$9,$O3321='112'!$I$6)),"x",""))</f>
        <v/>
      </c>
      <c r="W3321" s="75" t="str">
        <f>IF(AND('341-CT'!$H$9=H3321,OR(LEFT(N3321,3)=$W$7,LEFT(O3321,3)=$W$7)),"x","")</f>
        <v/>
      </c>
      <c r="X3321" s="75" t="str">
        <f>IF(OR(TH!N3321=TH!$X$7,O3321=TH!$X$7),"x","")</f>
        <v/>
      </c>
      <c r="Y3321" s="75" t="str">
        <f>IF(AND(OR(N3321="131",O3321="131"),H3321='131-CT'!$H$9),"x","")</f>
        <v/>
      </c>
      <c r="Z3321" s="75"/>
      <c r="AA3321" s="75" t="str">
        <f>IF(AND(MONTH(E3321)='IN-NX'!$J$5,'IN-NX'!$D$7=D3321),"x","")</f>
        <v/>
      </c>
      <c r="AB3321" s="75" t="str">
        <f>IF(AND(OR(LEFT(TH!N3321,2)="15",LEFT(TH!O3321,2)="15"),LEFT(TH!O3321,3)&lt;&gt;"111",'152-CT'!$J$8=TH!F3321),"x","")</f>
        <v/>
      </c>
      <c r="AC3321" s="75" t="str">
        <f>IF(AND(OR(LEFT(TH!N3321,2)="15",LEFT(TH!O3321,2)="15"),TK!$E$7=TH!F3321),"x","")</f>
        <v/>
      </c>
      <c r="AD3321" s="75" t="str">
        <f>IF(AND(N3321="1521",MONTH(C3321)='BK-NL'!$M$11),"x","")</f>
        <v/>
      </c>
    </row>
    <row r="3322" spans="1:30" s="1264" customFormat="1" ht="16.5" customHeight="1">
      <c r="A3322" s="309" t="str">
        <f>IF(B3322&lt;&gt;"",IF(AND(B3322='IN-TC'!$S$4,OR(TH!N3322="1111",TH!O3322="1111")),TH!D3322,""),"")</f>
        <v/>
      </c>
      <c r="B3322" s="1283">
        <f t="shared" ref="B3322:B3334" si="1268">IF(C3322&lt;&gt;"",MONTH(C3322),"")</f>
        <v>12</v>
      </c>
      <c r="C3322" s="929">
        <v>43091</v>
      </c>
      <c r="D3322" s="929" t="s">
        <v>903</v>
      </c>
      <c r="E3322" s="929">
        <f t="shared" ref="E3322:E3334" si="1269">C3322</f>
        <v>43091</v>
      </c>
      <c r="F3322" s="930" t="s">
        <v>2770</v>
      </c>
      <c r="G3322" s="930" t="s">
        <v>747</v>
      </c>
      <c r="H3322" s="735" t="s">
        <v>2771</v>
      </c>
      <c r="I3322" s="1213"/>
      <c r="J3322" s="378"/>
      <c r="K3322" s="1213">
        <v>1228</v>
      </c>
      <c r="L3322" s="1214">
        <v>22702</v>
      </c>
      <c r="M3322" s="1214">
        <f t="shared" ref="M3322:M3335" si="1270">ROUND(K3322*L3322,0)</f>
        <v>27878056</v>
      </c>
      <c r="N3322" s="934" t="s">
        <v>256</v>
      </c>
      <c r="O3322" s="934" t="s">
        <v>250</v>
      </c>
      <c r="P3322" s="75" t="str">
        <f>IF(AND('331-CT'!$E$7=TH!H3322,OR(N3322="331",O3322="331")),"x","")</f>
        <v/>
      </c>
      <c r="Q3322" s="75" t="str">
        <f>IF(AND(B3322='111'!$L$11,OR($N3322=$Q$7,$O3322=$Q$7)),"x","")</f>
        <v/>
      </c>
      <c r="R3322" s="75" t="str">
        <f>IF(AND($N3322=$Q$7,$B3322&lt;'111'!$L$11),"x","")</f>
        <v/>
      </c>
      <c r="S3322" s="75" t="str">
        <f>IF(AND($O3322=$Q$7,$B3322&lt;'111'!$L$11),"x","")</f>
        <v/>
      </c>
      <c r="T3322" s="75" t="str">
        <f>IF(ISERROR(FIND('112'!$M$9,G3322,1)),"",IF((AND(FIND('112'!$M$9,G3322,1)&gt;=1,B3322='112'!$K$9,OR($N3322='112'!$I$6,$O3322='112'!$I$6))),"x",""))</f>
        <v/>
      </c>
      <c r="U3322" s="75" t="str">
        <f>IF(ISERROR(FIND('112'!$M$9,G3322,1)),"",IF((AND(LEFT(G3322,2)=LEFT('112'!$M$9,2),B3322&lt;'112'!$K$9,$N3322='112'!$I$6)),"x",""))</f>
        <v/>
      </c>
      <c r="V3322" s="75" t="str">
        <f>IF(ISERROR(FIND('112'!$M$9,G3322,1)),"",IF((AND(RIGHT(G3322,2)=RIGHT('112'!$M$9,2),B3322&lt;'112'!$K$9,$O3322='112'!$I$6)),"x",""))</f>
        <v/>
      </c>
      <c r="W3322" s="75" t="str">
        <f>IF(AND('341-CT'!$H$9=H3322,OR(LEFT(N3322,3)=$W$7,LEFT(O3322,3)=$W$7)),"x","")</f>
        <v/>
      </c>
      <c r="X3322" s="75" t="str">
        <f>IF(OR(TH!N3322=TH!$X$7,O3322=TH!$X$7),"x","")</f>
        <v/>
      </c>
      <c r="Y3322" s="75" t="str">
        <f>IF(AND(OR(N3322="131",O3322="131"),H3322='131-CT'!$H$9),"x","")</f>
        <v/>
      </c>
      <c r="Z3322" s="75"/>
      <c r="AA3322" s="75" t="str">
        <f>IF(AND(MONTH(E3322)='IN-NX'!$J$5,'IN-NX'!$D$7=D3322),"x","")</f>
        <v/>
      </c>
      <c r="AB3322" s="75" t="str">
        <f>IF(AND(OR(LEFT(TH!N3322,2)="15",LEFT(TH!O3322,2)="15"),LEFT(TH!O3322,3)&lt;&gt;"111",'152-CT'!$J$8=TH!F3322),"x","")</f>
        <v/>
      </c>
      <c r="AC3322" s="75" t="str">
        <f>IF(AND(OR(LEFT(TH!N3322,2)="15",LEFT(TH!O3322,2)="15"),TK!$E$7=TH!F3322),"x","")</f>
        <v/>
      </c>
      <c r="AD3322" s="75" t="str">
        <f>IF(AND(N3322="1521",MONTH(C3322)='BK-NL'!$M$11),"x","")</f>
        <v/>
      </c>
    </row>
    <row r="3323" spans="1:30" s="1264" customFormat="1" ht="16.5" customHeight="1">
      <c r="A3323" s="309" t="str">
        <f>IF(B3323&lt;&gt;"",IF(AND(B3323='IN-TC'!$S$4,OR(TH!N3323="1111",TH!O3323="1111")),TH!D3323,""),"")</f>
        <v/>
      </c>
      <c r="B3323" s="1283">
        <f t="shared" si="1268"/>
        <v>12</v>
      </c>
      <c r="C3323" s="929">
        <v>43091</v>
      </c>
      <c r="D3323" s="929" t="s">
        <v>902</v>
      </c>
      <c r="E3323" s="929">
        <f t="shared" si="1269"/>
        <v>43091</v>
      </c>
      <c r="F3323" s="930" t="s">
        <v>1096</v>
      </c>
      <c r="G3323" s="930" t="s">
        <v>747</v>
      </c>
      <c r="H3323" s="735" t="s">
        <v>2668</v>
      </c>
      <c r="I3323" s="1213"/>
      <c r="J3323" s="378"/>
      <c r="K3323" s="1213">
        <v>134</v>
      </c>
      <c r="L3323" s="1214">
        <v>22702</v>
      </c>
      <c r="M3323" s="74">
        <f t="shared" si="1270"/>
        <v>3042068</v>
      </c>
      <c r="N3323" s="934" t="s">
        <v>99</v>
      </c>
      <c r="O3323" s="934" t="s">
        <v>256</v>
      </c>
      <c r="P3323" s="75" t="str">
        <f>IF(AND('331-CT'!$E$7=TH!H3323,OR(N3323="331",O3323="331")),"x","")</f>
        <v/>
      </c>
      <c r="Q3323" s="75" t="str">
        <f>IF(AND(B3323='111'!$L$11,OR($N3323=$Q$7,$O3323=$Q$7)),"x","")</f>
        <v/>
      </c>
      <c r="R3323" s="75" t="str">
        <f>IF(AND($N3323=$Q$7,$B3323&lt;'111'!$L$11),"x","")</f>
        <v/>
      </c>
      <c r="S3323" s="75" t="str">
        <f>IF(AND($O3323=$Q$7,$B3323&lt;'111'!$L$11),"x","")</f>
        <v/>
      </c>
      <c r="T3323" s="75" t="str">
        <f>IF(ISERROR(FIND('112'!$M$9,G3323,1)),"",IF((AND(FIND('112'!$M$9,G3323,1)&gt;=1,B3323='112'!$K$9,OR($N3323='112'!$I$6,$O3323='112'!$I$6))),"x",""))</f>
        <v/>
      </c>
      <c r="U3323" s="75" t="str">
        <f>IF(ISERROR(FIND('112'!$M$9,G3323,1)),"",IF((AND(LEFT(G3323,2)=LEFT('112'!$M$9,2),B3323&lt;'112'!$K$9,$N3323='112'!$I$6)),"x",""))</f>
        <v/>
      </c>
      <c r="V3323" s="75" t="str">
        <f>IF(ISERROR(FIND('112'!$M$9,G3323,1)),"",IF((AND(RIGHT(G3323,2)=RIGHT('112'!$M$9,2),B3323&lt;'112'!$K$9,$O3323='112'!$I$6)),"x",""))</f>
        <v/>
      </c>
      <c r="W3323" s="75" t="str">
        <f>IF(AND('341-CT'!$H$9=H3323,OR(LEFT(N3323,3)=$W$7,LEFT(O3323,3)=$W$7)),"x","")</f>
        <v/>
      </c>
      <c r="X3323" s="75" t="str">
        <f>IF(OR(TH!N3323=TH!$X$7,O3323=TH!$X$7),"x","")</f>
        <v/>
      </c>
      <c r="Y3323" s="75" t="str">
        <f>IF(AND(OR(N3323="131",O3323="131"),H3323='131-CT'!$H$9),"x","")</f>
        <v/>
      </c>
      <c r="Z3323" s="75"/>
      <c r="AA3323" s="75" t="str">
        <f>IF(AND(MONTH(E3323)='IN-NX'!$J$5,'IN-NX'!$D$7=D3323),"x","")</f>
        <v/>
      </c>
      <c r="AB3323" s="75" t="str">
        <f>IF(AND(OR(LEFT(TH!N3323,2)="15",LEFT(TH!O3323,2)="15"),LEFT(TH!O3323,3)&lt;&gt;"111",'152-CT'!$J$8=TH!F3323),"x","")</f>
        <v/>
      </c>
      <c r="AC3323" s="75" t="str">
        <f>IF(AND(OR(LEFT(TH!N3323,2)="15",LEFT(TH!O3323,2)="15"),TK!$E$7=TH!F3323),"x","")</f>
        <v/>
      </c>
      <c r="AD3323" s="75" t="str">
        <f>IF(AND(N3323="1521",MONTH(C3323)='BK-NL'!$M$11),"x","")</f>
        <v/>
      </c>
    </row>
    <row r="3324" spans="1:30" s="1264" customFormat="1" ht="16.5" customHeight="1">
      <c r="A3324" s="309" t="str">
        <f>IF(B3324&lt;&gt;"",IF(AND(B3324='IN-TC'!$S$4,OR(TH!N3324="1111",TH!O3324="1111")),TH!D3324,""),"")</f>
        <v/>
      </c>
      <c r="B3324" s="1283">
        <f t="shared" si="1268"/>
        <v>12</v>
      </c>
      <c r="C3324" s="929">
        <v>43091</v>
      </c>
      <c r="D3324" s="929" t="s">
        <v>902</v>
      </c>
      <c r="E3324" s="929">
        <f t="shared" si="1269"/>
        <v>43091</v>
      </c>
      <c r="F3324" s="930" t="s">
        <v>1096</v>
      </c>
      <c r="G3324" s="930" t="s">
        <v>747</v>
      </c>
      <c r="H3324" s="1271" t="s">
        <v>2033</v>
      </c>
      <c r="I3324" s="1213"/>
      <c r="J3324" s="378"/>
      <c r="K3324" s="1213">
        <v>210</v>
      </c>
      <c r="L3324" s="1214">
        <v>22702</v>
      </c>
      <c r="M3324" s="74">
        <f t="shared" si="1270"/>
        <v>4767420</v>
      </c>
      <c r="N3324" s="934" t="s">
        <v>99</v>
      </c>
      <c r="O3324" s="934" t="s">
        <v>256</v>
      </c>
      <c r="P3324" s="75" t="str">
        <f>IF(AND('331-CT'!$E$7=TH!H3324,OR(N3324="331",O3324="331")),"x","")</f>
        <v/>
      </c>
      <c r="Q3324" s="75" t="str">
        <f>IF(AND(B3324='111'!$L$11,OR($N3324=$Q$7,$O3324=$Q$7)),"x","")</f>
        <v/>
      </c>
      <c r="R3324" s="75" t="str">
        <f>IF(AND($N3324=$Q$7,$B3324&lt;'111'!$L$11),"x","")</f>
        <v/>
      </c>
      <c r="S3324" s="75" t="str">
        <f>IF(AND($O3324=$Q$7,$B3324&lt;'111'!$L$11),"x","")</f>
        <v/>
      </c>
      <c r="T3324" s="75" t="str">
        <f>IF(ISERROR(FIND('112'!$M$9,G3324,1)),"",IF((AND(FIND('112'!$M$9,G3324,1)&gt;=1,B3324='112'!$K$9,OR($N3324='112'!$I$6,$O3324='112'!$I$6))),"x",""))</f>
        <v/>
      </c>
      <c r="U3324" s="75" t="str">
        <f>IF(ISERROR(FIND('112'!$M$9,G3324,1)),"",IF((AND(LEFT(G3324,2)=LEFT('112'!$M$9,2),B3324&lt;'112'!$K$9,$N3324='112'!$I$6)),"x",""))</f>
        <v/>
      </c>
      <c r="V3324" s="75" t="str">
        <f>IF(ISERROR(FIND('112'!$M$9,G3324,1)),"",IF((AND(RIGHT(G3324,2)=RIGHT('112'!$M$9,2),B3324&lt;'112'!$K$9,$O3324='112'!$I$6)),"x",""))</f>
        <v/>
      </c>
      <c r="W3324" s="75" t="str">
        <f>IF(AND('341-CT'!$H$9=H3324,OR(LEFT(N3324,3)=$W$7,LEFT(O3324,3)=$W$7)),"x","")</f>
        <v/>
      </c>
      <c r="X3324" s="75" t="str">
        <f>IF(OR(TH!N3324=TH!$X$7,O3324=TH!$X$7),"x","")</f>
        <v/>
      </c>
      <c r="Y3324" s="75" t="str">
        <f>IF(AND(OR(N3324="131",O3324="131"),H3324='131-CT'!$H$9),"x","")</f>
        <v/>
      </c>
      <c r="Z3324" s="75"/>
      <c r="AA3324" s="75" t="str">
        <f>IF(AND(MONTH(E3324)='IN-NX'!$J$5,'IN-NX'!$D$7=D3324),"x","")</f>
        <v/>
      </c>
      <c r="AB3324" s="75" t="str">
        <f>IF(AND(OR(LEFT(TH!N3324,2)="15",LEFT(TH!O3324,2)="15"),LEFT(TH!O3324,3)&lt;&gt;"111",'152-CT'!$J$8=TH!F3324),"x","")</f>
        <v/>
      </c>
      <c r="AC3324" s="75" t="str">
        <f>IF(AND(OR(LEFT(TH!N3324,2)="15",LEFT(TH!O3324,2)="15"),TK!$E$7=TH!F3324),"x","")</f>
        <v/>
      </c>
      <c r="AD3324" s="75" t="str">
        <f>IF(AND(N3324="1521",MONTH(C3324)='BK-NL'!$M$11),"x","")</f>
        <v/>
      </c>
    </row>
    <row r="3325" spans="1:30" s="1264" customFormat="1" ht="16.5" customHeight="1">
      <c r="A3325" s="309" t="str">
        <f>IF(B3325&lt;&gt;"",IF(AND(B3325='IN-TC'!$S$4,OR(TH!N3325="1111",TH!O3325="1111")),TH!D3325,""),"")</f>
        <v/>
      </c>
      <c r="B3325" s="1283">
        <f t="shared" si="1268"/>
        <v>12</v>
      </c>
      <c r="C3325" s="929">
        <v>43091</v>
      </c>
      <c r="D3325" s="929" t="s">
        <v>902</v>
      </c>
      <c r="E3325" s="929">
        <f t="shared" si="1269"/>
        <v>43091</v>
      </c>
      <c r="F3325" s="930" t="s">
        <v>1096</v>
      </c>
      <c r="G3325" s="930" t="s">
        <v>747</v>
      </c>
      <c r="H3325" s="1271" t="s">
        <v>2540</v>
      </c>
      <c r="I3325" s="1213"/>
      <c r="J3325" s="378"/>
      <c r="K3325" s="1213">
        <v>260.33</v>
      </c>
      <c r="L3325" s="1214">
        <v>22702</v>
      </c>
      <c r="M3325" s="74">
        <f t="shared" si="1270"/>
        <v>5910012</v>
      </c>
      <c r="N3325" s="934" t="s">
        <v>99</v>
      </c>
      <c r="O3325" s="934" t="s">
        <v>256</v>
      </c>
      <c r="P3325" s="75" t="str">
        <f>IF(AND('331-CT'!$E$7=TH!H3325,OR(N3325="331",O3325="331")),"x","")</f>
        <v/>
      </c>
      <c r="Q3325" s="75" t="str">
        <f>IF(AND(B3325='111'!$L$11,OR($N3325=$Q$7,$O3325=$Q$7)),"x","")</f>
        <v/>
      </c>
      <c r="R3325" s="75" t="str">
        <f>IF(AND($N3325=$Q$7,$B3325&lt;'111'!$L$11),"x","")</f>
        <v/>
      </c>
      <c r="S3325" s="75" t="str">
        <f>IF(AND($O3325=$Q$7,$B3325&lt;'111'!$L$11),"x","")</f>
        <v/>
      </c>
      <c r="T3325" s="75" t="str">
        <f>IF(ISERROR(FIND('112'!$M$9,G3325,1)),"",IF((AND(FIND('112'!$M$9,G3325,1)&gt;=1,B3325='112'!$K$9,OR($N3325='112'!$I$6,$O3325='112'!$I$6))),"x",""))</f>
        <v/>
      </c>
      <c r="U3325" s="75" t="str">
        <f>IF(ISERROR(FIND('112'!$M$9,G3325,1)),"",IF((AND(LEFT(G3325,2)=LEFT('112'!$M$9,2),B3325&lt;'112'!$K$9,$N3325='112'!$I$6)),"x",""))</f>
        <v/>
      </c>
      <c r="V3325" s="75" t="str">
        <f>IF(ISERROR(FIND('112'!$M$9,G3325,1)),"",IF((AND(RIGHT(G3325,2)=RIGHT('112'!$M$9,2),B3325&lt;'112'!$K$9,$O3325='112'!$I$6)),"x",""))</f>
        <v/>
      </c>
      <c r="W3325" s="75" t="str">
        <f>IF(AND('341-CT'!$H$9=H3325,OR(LEFT(N3325,3)=$W$7,LEFT(O3325,3)=$W$7)),"x","")</f>
        <v/>
      </c>
      <c r="X3325" s="75" t="str">
        <f>IF(OR(TH!N3325=TH!$X$7,O3325=TH!$X$7),"x","")</f>
        <v/>
      </c>
      <c r="Y3325" s="75" t="str">
        <f>IF(AND(OR(N3325="131",O3325="131"),H3325='131-CT'!$H$9),"x","")</f>
        <v/>
      </c>
      <c r="Z3325" s="75"/>
      <c r="AA3325" s="75" t="str">
        <f>IF(AND(MONTH(E3325)='IN-NX'!$J$5,'IN-NX'!$D$7=D3325),"x","")</f>
        <v/>
      </c>
      <c r="AB3325" s="75" t="str">
        <f>IF(AND(OR(LEFT(TH!N3325,2)="15",LEFT(TH!O3325,2)="15"),LEFT(TH!O3325,3)&lt;&gt;"111",'152-CT'!$J$8=TH!F3325),"x","")</f>
        <v/>
      </c>
      <c r="AC3325" s="75" t="str">
        <f>IF(AND(OR(LEFT(TH!N3325,2)="15",LEFT(TH!O3325,2)="15"),TK!$E$7=TH!F3325),"x","")</f>
        <v/>
      </c>
      <c r="AD3325" s="75" t="str">
        <f>IF(AND(N3325="1521",MONTH(C3325)='BK-NL'!$M$11),"x","")</f>
        <v/>
      </c>
    </row>
    <row r="3326" spans="1:30" s="1264" customFormat="1" ht="16.5" customHeight="1">
      <c r="A3326" s="309" t="str">
        <f>IF(B3326&lt;&gt;"",IF(AND(B3326='IN-TC'!$S$4,OR(TH!N3326="1111",TH!O3326="1111")),TH!D3326,""),"")</f>
        <v/>
      </c>
      <c r="B3326" s="1283">
        <f t="shared" si="1268"/>
        <v>12</v>
      </c>
      <c r="C3326" s="929">
        <v>43091</v>
      </c>
      <c r="D3326" s="929" t="s">
        <v>902</v>
      </c>
      <c r="E3326" s="929">
        <f t="shared" si="1269"/>
        <v>43091</v>
      </c>
      <c r="F3326" s="930" t="s">
        <v>1096</v>
      </c>
      <c r="G3326" s="930" t="s">
        <v>747</v>
      </c>
      <c r="H3326" s="1271" t="s">
        <v>2746</v>
      </c>
      <c r="I3326" s="1213"/>
      <c r="J3326" s="378"/>
      <c r="K3326" s="1213">
        <v>84</v>
      </c>
      <c r="L3326" s="1214">
        <v>22702</v>
      </c>
      <c r="M3326" s="74">
        <f t="shared" si="1270"/>
        <v>1906968</v>
      </c>
      <c r="N3326" s="934" t="s">
        <v>99</v>
      </c>
      <c r="O3326" s="934" t="s">
        <v>256</v>
      </c>
      <c r="P3326" s="75" t="str">
        <f>IF(AND('331-CT'!$E$7=TH!H3326,OR(N3326="331",O3326="331")),"x","")</f>
        <v/>
      </c>
      <c r="Q3326" s="75" t="str">
        <f>IF(AND(B3326='111'!$L$11,OR($N3326=$Q$7,$O3326=$Q$7)),"x","")</f>
        <v/>
      </c>
      <c r="R3326" s="75" t="str">
        <f>IF(AND($N3326=$Q$7,$B3326&lt;'111'!$L$11),"x","")</f>
        <v/>
      </c>
      <c r="S3326" s="75" t="str">
        <f>IF(AND($O3326=$Q$7,$B3326&lt;'111'!$L$11),"x","")</f>
        <v/>
      </c>
      <c r="T3326" s="75" t="str">
        <f>IF(ISERROR(FIND('112'!$M$9,G3326,1)),"",IF((AND(FIND('112'!$M$9,G3326,1)&gt;=1,B3326='112'!$K$9,OR($N3326='112'!$I$6,$O3326='112'!$I$6))),"x",""))</f>
        <v/>
      </c>
      <c r="U3326" s="75" t="str">
        <f>IF(ISERROR(FIND('112'!$M$9,G3326,1)),"",IF((AND(LEFT(G3326,2)=LEFT('112'!$M$9,2),B3326&lt;'112'!$K$9,$N3326='112'!$I$6)),"x",""))</f>
        <v/>
      </c>
      <c r="V3326" s="75" t="str">
        <f>IF(ISERROR(FIND('112'!$M$9,G3326,1)),"",IF((AND(RIGHT(G3326,2)=RIGHT('112'!$M$9,2),B3326&lt;'112'!$K$9,$O3326='112'!$I$6)),"x",""))</f>
        <v/>
      </c>
      <c r="W3326" s="75" t="str">
        <f>IF(AND('341-CT'!$H$9=H3326,OR(LEFT(N3326,3)=$W$7,LEFT(O3326,3)=$W$7)),"x","")</f>
        <v/>
      </c>
      <c r="X3326" s="75" t="str">
        <f>IF(OR(TH!N3326=TH!$X$7,O3326=TH!$X$7),"x","")</f>
        <v/>
      </c>
      <c r="Y3326" s="75" t="str">
        <f>IF(AND(OR(N3326="131",O3326="131"),H3326='131-CT'!$H$9),"x","")</f>
        <v/>
      </c>
      <c r="Z3326" s="75"/>
      <c r="AA3326" s="75" t="str">
        <f>IF(AND(MONTH(E3326)='IN-NX'!$J$5,'IN-NX'!$D$7=D3326),"x","")</f>
        <v/>
      </c>
      <c r="AB3326" s="75" t="str">
        <f>IF(AND(OR(LEFT(TH!N3326,2)="15",LEFT(TH!O3326,2)="15"),LEFT(TH!O3326,3)&lt;&gt;"111",'152-CT'!$J$8=TH!F3326),"x","")</f>
        <v/>
      </c>
      <c r="AC3326" s="75" t="str">
        <f>IF(AND(OR(LEFT(TH!N3326,2)="15",LEFT(TH!O3326,2)="15"),TK!$E$7=TH!F3326),"x","")</f>
        <v/>
      </c>
      <c r="AD3326" s="75" t="str">
        <f>IF(AND(N3326="1521",MONTH(C3326)='BK-NL'!$M$11),"x","")</f>
        <v/>
      </c>
    </row>
    <row r="3327" spans="1:30" s="1264" customFormat="1" ht="16.5" customHeight="1">
      <c r="A3327" s="309" t="str">
        <f>IF(B3327&lt;&gt;"",IF(AND(B3327='IN-TC'!$S$4,OR(TH!N3327="1111",TH!O3327="1111")),TH!D3327,""),"")</f>
        <v/>
      </c>
      <c r="B3327" s="1283">
        <f t="shared" si="1268"/>
        <v>12</v>
      </c>
      <c r="C3327" s="929">
        <v>43091</v>
      </c>
      <c r="D3327" s="929" t="s">
        <v>902</v>
      </c>
      <c r="E3327" s="929">
        <f t="shared" si="1269"/>
        <v>43091</v>
      </c>
      <c r="F3327" s="930" t="s">
        <v>1096</v>
      </c>
      <c r="G3327" s="930" t="s">
        <v>747</v>
      </c>
      <c r="H3327" s="1271" t="s">
        <v>2324</v>
      </c>
      <c r="I3327" s="1213"/>
      <c r="J3327" s="378"/>
      <c r="K3327" s="1213">
        <v>278.13</v>
      </c>
      <c r="L3327" s="1214">
        <v>22702</v>
      </c>
      <c r="M3327" s="74">
        <f t="shared" si="1270"/>
        <v>6314107</v>
      </c>
      <c r="N3327" s="934" t="s">
        <v>99</v>
      </c>
      <c r="O3327" s="934" t="s">
        <v>256</v>
      </c>
      <c r="P3327" s="75" t="str">
        <f>IF(AND('331-CT'!$E$7=TH!H3327,OR(N3327="331",O3327="331")),"x","")</f>
        <v/>
      </c>
      <c r="Q3327" s="75" t="str">
        <f>IF(AND(B3327='111'!$L$11,OR($N3327=$Q$7,$O3327=$Q$7)),"x","")</f>
        <v/>
      </c>
      <c r="R3327" s="75" t="str">
        <f>IF(AND($N3327=$Q$7,$B3327&lt;'111'!$L$11),"x","")</f>
        <v/>
      </c>
      <c r="S3327" s="75" t="str">
        <f>IF(AND($O3327=$Q$7,$B3327&lt;'111'!$L$11),"x","")</f>
        <v/>
      </c>
      <c r="T3327" s="75" t="str">
        <f>IF(ISERROR(FIND('112'!$M$9,G3327,1)),"",IF((AND(FIND('112'!$M$9,G3327,1)&gt;=1,B3327='112'!$K$9,OR($N3327='112'!$I$6,$O3327='112'!$I$6))),"x",""))</f>
        <v/>
      </c>
      <c r="U3327" s="75" t="str">
        <f>IF(ISERROR(FIND('112'!$M$9,G3327,1)),"",IF((AND(LEFT(G3327,2)=LEFT('112'!$M$9,2),B3327&lt;'112'!$K$9,$N3327='112'!$I$6)),"x",""))</f>
        <v/>
      </c>
      <c r="V3327" s="75" t="str">
        <f>IF(ISERROR(FIND('112'!$M$9,G3327,1)),"",IF((AND(RIGHT(G3327,2)=RIGHT('112'!$M$9,2),B3327&lt;'112'!$K$9,$O3327='112'!$I$6)),"x",""))</f>
        <v/>
      </c>
      <c r="W3327" s="75" t="str">
        <f>IF(AND('341-CT'!$H$9=H3327,OR(LEFT(N3327,3)=$W$7,LEFT(O3327,3)=$W$7)),"x","")</f>
        <v/>
      </c>
      <c r="X3327" s="75" t="str">
        <f>IF(OR(TH!N3327=TH!$X$7,O3327=TH!$X$7),"x","")</f>
        <v/>
      </c>
      <c r="Y3327" s="75" t="str">
        <f>IF(AND(OR(N3327="131",O3327="131"),H3327='131-CT'!$H$9),"x","")</f>
        <v/>
      </c>
      <c r="Z3327" s="75"/>
      <c r="AA3327" s="75" t="str">
        <f>IF(AND(MONTH(E3327)='IN-NX'!$J$5,'IN-NX'!$D$7=D3327),"x","")</f>
        <v/>
      </c>
      <c r="AB3327" s="75" t="str">
        <f>IF(AND(OR(LEFT(TH!N3327,2)="15",LEFT(TH!O3327,2)="15"),LEFT(TH!O3327,3)&lt;&gt;"111",'152-CT'!$J$8=TH!F3327),"x","")</f>
        <v/>
      </c>
      <c r="AC3327" s="75" t="str">
        <f>IF(AND(OR(LEFT(TH!N3327,2)="15",LEFT(TH!O3327,2)="15"),TK!$E$7=TH!F3327),"x","")</f>
        <v/>
      </c>
      <c r="AD3327" s="75" t="str">
        <f>IF(AND(N3327="1521",MONTH(C3327)='BK-NL'!$M$11),"x","")</f>
        <v/>
      </c>
    </row>
    <row r="3328" spans="1:30" s="1264" customFormat="1" ht="16.5" customHeight="1">
      <c r="A3328" s="309" t="str">
        <f>IF(B3328&lt;&gt;"",IF(AND(B3328='IN-TC'!$S$4,OR(TH!N3328="1111",TH!O3328="1111")),TH!D3328,""),"")</f>
        <v/>
      </c>
      <c r="B3328" s="1283">
        <f t="shared" si="1268"/>
        <v>12</v>
      </c>
      <c r="C3328" s="929">
        <v>43091</v>
      </c>
      <c r="D3328" s="929" t="s">
        <v>902</v>
      </c>
      <c r="E3328" s="929">
        <f t="shared" si="1269"/>
        <v>43091</v>
      </c>
      <c r="F3328" s="930" t="s">
        <v>1096</v>
      </c>
      <c r="G3328" s="930" t="s">
        <v>747</v>
      </c>
      <c r="H3328" s="1271" t="s">
        <v>2251</v>
      </c>
      <c r="I3328" s="1213"/>
      <c r="J3328" s="378"/>
      <c r="K3328" s="1213">
        <v>286.2</v>
      </c>
      <c r="L3328" s="1214">
        <v>22702</v>
      </c>
      <c r="M3328" s="74">
        <f t="shared" si="1270"/>
        <v>6497312</v>
      </c>
      <c r="N3328" s="934" t="s">
        <v>99</v>
      </c>
      <c r="O3328" s="934" t="s">
        <v>256</v>
      </c>
      <c r="P3328" s="75" t="str">
        <f>IF(AND('331-CT'!$E$7=TH!H3328,OR(N3328="331",O3328="331")),"x","")</f>
        <v/>
      </c>
      <c r="Q3328" s="75" t="str">
        <f>IF(AND(B3328='111'!$L$11,OR($N3328=$Q$7,$O3328=$Q$7)),"x","")</f>
        <v/>
      </c>
      <c r="R3328" s="75" t="str">
        <f>IF(AND($N3328=$Q$7,$B3328&lt;'111'!$L$11),"x","")</f>
        <v/>
      </c>
      <c r="S3328" s="75" t="str">
        <f>IF(AND($O3328=$Q$7,$B3328&lt;'111'!$L$11),"x","")</f>
        <v/>
      </c>
      <c r="T3328" s="75" t="str">
        <f>IF(ISERROR(FIND('112'!$M$9,G3328,1)),"",IF((AND(FIND('112'!$M$9,G3328,1)&gt;=1,B3328='112'!$K$9,OR($N3328='112'!$I$6,$O3328='112'!$I$6))),"x",""))</f>
        <v/>
      </c>
      <c r="U3328" s="75" t="str">
        <f>IF(ISERROR(FIND('112'!$M$9,G3328,1)),"",IF((AND(LEFT(G3328,2)=LEFT('112'!$M$9,2),B3328&lt;'112'!$K$9,$N3328='112'!$I$6)),"x",""))</f>
        <v/>
      </c>
      <c r="V3328" s="75" t="str">
        <f>IF(ISERROR(FIND('112'!$M$9,G3328,1)),"",IF((AND(RIGHT(G3328,2)=RIGHT('112'!$M$9,2),B3328&lt;'112'!$K$9,$O3328='112'!$I$6)),"x",""))</f>
        <v/>
      </c>
      <c r="W3328" s="75" t="str">
        <f>IF(AND('341-CT'!$H$9=H3328,OR(LEFT(N3328,3)=$W$7,LEFT(O3328,3)=$W$7)),"x","")</f>
        <v/>
      </c>
      <c r="X3328" s="75" t="str">
        <f>IF(OR(TH!N3328=TH!$X$7,O3328=TH!$X$7),"x","")</f>
        <v/>
      </c>
      <c r="Y3328" s="75" t="str">
        <f>IF(AND(OR(N3328="131",O3328="131"),H3328='131-CT'!$H$9),"x","")</f>
        <v/>
      </c>
      <c r="Z3328" s="75"/>
      <c r="AA3328" s="75" t="str">
        <f>IF(AND(MONTH(E3328)='IN-NX'!$J$5,'IN-NX'!$D$7=D3328),"x","")</f>
        <v/>
      </c>
      <c r="AB3328" s="75" t="str">
        <f>IF(AND(OR(LEFT(TH!N3328,2)="15",LEFT(TH!O3328,2)="15"),LEFT(TH!O3328,3)&lt;&gt;"111",'152-CT'!$J$8=TH!F3328),"x","")</f>
        <v/>
      </c>
      <c r="AC3328" s="75" t="str">
        <f>IF(AND(OR(LEFT(TH!N3328,2)="15",LEFT(TH!O3328,2)="15"),TK!$E$7=TH!F3328),"x","")</f>
        <v/>
      </c>
      <c r="AD3328" s="75" t="str">
        <f>IF(AND(N3328="1521",MONTH(C3328)='BK-NL'!$M$11),"x","")</f>
        <v/>
      </c>
    </row>
    <row r="3329" spans="1:30" s="1264" customFormat="1" ht="16.5" customHeight="1">
      <c r="A3329" s="309" t="str">
        <f>IF(B3329&lt;&gt;"",IF(AND(B3329='IN-TC'!$S$4,OR(TH!N3329="1111",TH!O3329="1111")),TH!D3329,""),"")</f>
        <v/>
      </c>
      <c r="B3329" s="1283">
        <f t="shared" si="1268"/>
        <v>12</v>
      </c>
      <c r="C3329" s="929">
        <v>43091</v>
      </c>
      <c r="D3329" s="929" t="s">
        <v>902</v>
      </c>
      <c r="E3329" s="929">
        <f t="shared" si="1269"/>
        <v>43091</v>
      </c>
      <c r="F3329" s="930" t="s">
        <v>1096</v>
      </c>
      <c r="G3329" s="930" t="s">
        <v>747</v>
      </c>
      <c r="H3329" s="1271" t="s">
        <v>2485</v>
      </c>
      <c r="I3329" s="1213"/>
      <c r="J3329" s="378"/>
      <c r="K3329" s="1213">
        <v>534.98</v>
      </c>
      <c r="L3329" s="1214">
        <v>22702</v>
      </c>
      <c r="M3329" s="74">
        <f t="shared" si="1270"/>
        <v>12145116</v>
      </c>
      <c r="N3329" s="934" t="s">
        <v>99</v>
      </c>
      <c r="O3329" s="934" t="s">
        <v>256</v>
      </c>
      <c r="P3329" s="75" t="str">
        <f>IF(AND('331-CT'!$E$7=TH!H3329,OR(N3329="331",O3329="331")),"x","")</f>
        <v/>
      </c>
      <c r="Q3329" s="75" t="str">
        <f>IF(AND(B3329='111'!$L$11,OR($N3329=$Q$7,$O3329=$Q$7)),"x","")</f>
        <v/>
      </c>
      <c r="R3329" s="75" t="str">
        <f>IF(AND($N3329=$Q$7,$B3329&lt;'111'!$L$11),"x","")</f>
        <v/>
      </c>
      <c r="S3329" s="75" t="str">
        <f>IF(AND($O3329=$Q$7,$B3329&lt;'111'!$L$11),"x","")</f>
        <v/>
      </c>
      <c r="T3329" s="75" t="str">
        <f>IF(ISERROR(FIND('112'!$M$9,G3329,1)),"",IF((AND(FIND('112'!$M$9,G3329,1)&gt;=1,B3329='112'!$K$9,OR($N3329='112'!$I$6,$O3329='112'!$I$6))),"x",""))</f>
        <v/>
      </c>
      <c r="U3329" s="75" t="str">
        <f>IF(ISERROR(FIND('112'!$M$9,G3329,1)),"",IF((AND(LEFT(G3329,2)=LEFT('112'!$M$9,2),B3329&lt;'112'!$K$9,$N3329='112'!$I$6)),"x",""))</f>
        <v/>
      </c>
      <c r="V3329" s="75" t="str">
        <f>IF(ISERROR(FIND('112'!$M$9,G3329,1)),"",IF((AND(RIGHT(G3329,2)=RIGHT('112'!$M$9,2),B3329&lt;'112'!$K$9,$O3329='112'!$I$6)),"x",""))</f>
        <v/>
      </c>
      <c r="W3329" s="75" t="str">
        <f>IF(AND('341-CT'!$H$9=H3329,OR(LEFT(N3329,3)=$W$7,LEFT(O3329,3)=$W$7)),"x","")</f>
        <v/>
      </c>
      <c r="X3329" s="75" t="str">
        <f>IF(OR(TH!N3329=TH!$X$7,O3329=TH!$X$7),"x","")</f>
        <v/>
      </c>
      <c r="Y3329" s="75" t="str">
        <f>IF(AND(OR(N3329="131",O3329="131"),H3329='131-CT'!$H$9),"x","")</f>
        <v/>
      </c>
      <c r="Z3329" s="75"/>
      <c r="AA3329" s="75" t="str">
        <f>IF(AND(MONTH(E3329)='IN-NX'!$J$5,'IN-NX'!$D$7=D3329),"x","")</f>
        <v/>
      </c>
      <c r="AB3329" s="75" t="str">
        <f>IF(AND(OR(LEFT(TH!N3329,2)="15",LEFT(TH!O3329,2)="15"),LEFT(TH!O3329,3)&lt;&gt;"111",'152-CT'!$J$8=TH!F3329),"x","")</f>
        <v/>
      </c>
      <c r="AC3329" s="75" t="str">
        <f>IF(AND(OR(LEFT(TH!N3329,2)="15",LEFT(TH!O3329,2)="15"),TK!$E$7=TH!F3329),"x","")</f>
        <v/>
      </c>
      <c r="AD3329" s="75" t="str">
        <f>IF(AND(N3329="1521",MONTH(C3329)='BK-NL'!$M$11),"x","")</f>
        <v/>
      </c>
    </row>
    <row r="3330" spans="1:30" s="1264" customFormat="1" ht="16.5" customHeight="1">
      <c r="A3330" s="309" t="str">
        <f>IF(B3330&lt;&gt;"",IF(AND(B3330='IN-TC'!$S$4,OR(TH!N3330="1111",TH!O3330="1111")),TH!D3330,""),"")</f>
        <v/>
      </c>
      <c r="B3330" s="1283">
        <f t="shared" si="1268"/>
        <v>12</v>
      </c>
      <c r="C3330" s="929">
        <v>43091</v>
      </c>
      <c r="D3330" s="929" t="s">
        <v>902</v>
      </c>
      <c r="E3330" s="929">
        <f t="shared" si="1269"/>
        <v>43091</v>
      </c>
      <c r="F3330" s="930" t="s">
        <v>1096</v>
      </c>
      <c r="G3330" s="930" t="s">
        <v>747</v>
      </c>
      <c r="H3330" s="1271" t="s">
        <v>2650</v>
      </c>
      <c r="I3330" s="1213"/>
      <c r="J3330" s="378"/>
      <c r="K3330" s="1213">
        <v>186.67</v>
      </c>
      <c r="L3330" s="1214">
        <v>22702</v>
      </c>
      <c r="M3330" s="74">
        <f t="shared" si="1270"/>
        <v>4237782</v>
      </c>
      <c r="N3330" s="934" t="s">
        <v>99</v>
      </c>
      <c r="O3330" s="934" t="s">
        <v>256</v>
      </c>
      <c r="P3330" s="75" t="str">
        <f>IF(AND('331-CT'!$E$7=TH!H3330,OR(N3330="331",O3330="331")),"x","")</f>
        <v/>
      </c>
      <c r="Q3330" s="75" t="str">
        <f>IF(AND(B3330='111'!$L$11,OR($N3330=$Q$7,$O3330=$Q$7)),"x","")</f>
        <v/>
      </c>
      <c r="R3330" s="75" t="str">
        <f>IF(AND($N3330=$Q$7,$B3330&lt;'111'!$L$11),"x","")</f>
        <v/>
      </c>
      <c r="S3330" s="75" t="str">
        <f>IF(AND($O3330=$Q$7,$B3330&lt;'111'!$L$11),"x","")</f>
        <v/>
      </c>
      <c r="T3330" s="75" t="str">
        <f>IF(ISERROR(FIND('112'!$M$9,G3330,1)),"",IF((AND(FIND('112'!$M$9,G3330,1)&gt;=1,B3330='112'!$K$9,OR($N3330='112'!$I$6,$O3330='112'!$I$6))),"x",""))</f>
        <v/>
      </c>
      <c r="U3330" s="75" t="str">
        <f>IF(ISERROR(FIND('112'!$M$9,G3330,1)),"",IF((AND(LEFT(G3330,2)=LEFT('112'!$M$9,2),B3330&lt;'112'!$K$9,$N3330='112'!$I$6)),"x",""))</f>
        <v/>
      </c>
      <c r="V3330" s="75" t="str">
        <f>IF(ISERROR(FIND('112'!$M$9,G3330,1)),"",IF((AND(RIGHT(G3330,2)=RIGHT('112'!$M$9,2),B3330&lt;'112'!$K$9,$O3330='112'!$I$6)),"x",""))</f>
        <v/>
      </c>
      <c r="W3330" s="75" t="str">
        <f>IF(AND('341-CT'!$H$9=H3330,OR(LEFT(N3330,3)=$W$7,LEFT(O3330,3)=$W$7)),"x","")</f>
        <v/>
      </c>
      <c r="X3330" s="75" t="str">
        <f>IF(OR(TH!N3330=TH!$X$7,O3330=TH!$X$7),"x","")</f>
        <v/>
      </c>
      <c r="Y3330" s="75" t="str">
        <f>IF(AND(OR(N3330="131",O3330="131"),H3330='131-CT'!$H$9),"x","")</f>
        <v/>
      </c>
      <c r="Z3330" s="75"/>
      <c r="AA3330" s="75" t="str">
        <f>IF(AND(MONTH(E3330)='IN-NX'!$J$5,'IN-NX'!$D$7=D3330),"x","")</f>
        <v/>
      </c>
      <c r="AB3330" s="75" t="str">
        <f>IF(AND(OR(LEFT(TH!N3330,2)="15",LEFT(TH!O3330,2)="15"),LEFT(TH!O3330,3)&lt;&gt;"111",'152-CT'!$J$8=TH!F3330),"x","")</f>
        <v/>
      </c>
      <c r="AC3330" s="75" t="str">
        <f>IF(AND(OR(LEFT(TH!N3330,2)="15",LEFT(TH!O3330,2)="15"),TK!$E$7=TH!F3330),"x","")</f>
        <v/>
      </c>
      <c r="AD3330" s="75" t="str">
        <f>IF(AND(N3330="1521",MONTH(C3330)='BK-NL'!$M$11),"x","")</f>
        <v/>
      </c>
    </row>
    <row r="3331" spans="1:30" s="1264" customFormat="1" ht="16.5" customHeight="1">
      <c r="A3331" s="309" t="str">
        <f>IF(B3331&lt;&gt;"",IF(AND(B3331='IN-TC'!$S$4,OR(TH!N3331="1111",TH!O3331="1111")),TH!D3331,""),"")</f>
        <v/>
      </c>
      <c r="B3331" s="1283">
        <f t="shared" si="1268"/>
        <v>12</v>
      </c>
      <c r="C3331" s="929">
        <v>43091</v>
      </c>
      <c r="D3331" s="929" t="s">
        <v>902</v>
      </c>
      <c r="E3331" s="929">
        <f t="shared" si="1269"/>
        <v>43091</v>
      </c>
      <c r="F3331" s="930" t="s">
        <v>1096</v>
      </c>
      <c r="G3331" s="930" t="s">
        <v>747</v>
      </c>
      <c r="H3331" s="1271" t="s">
        <v>2645</v>
      </c>
      <c r="I3331" s="1213"/>
      <c r="J3331" s="378"/>
      <c r="K3331" s="1213">
        <v>285.29000000000002</v>
      </c>
      <c r="L3331" s="1214">
        <v>22702</v>
      </c>
      <c r="M3331" s="74">
        <f t="shared" si="1270"/>
        <v>6476654</v>
      </c>
      <c r="N3331" s="934" t="s">
        <v>99</v>
      </c>
      <c r="O3331" s="934" t="s">
        <v>256</v>
      </c>
      <c r="P3331" s="75" t="str">
        <f>IF(AND('331-CT'!$E$7=TH!H3331,OR(N3331="331",O3331="331")),"x","")</f>
        <v/>
      </c>
      <c r="Q3331" s="75" t="str">
        <f>IF(AND(B3331='111'!$L$11,OR($N3331=$Q$7,$O3331=$Q$7)),"x","")</f>
        <v/>
      </c>
      <c r="R3331" s="75" t="str">
        <f>IF(AND($N3331=$Q$7,$B3331&lt;'111'!$L$11),"x","")</f>
        <v/>
      </c>
      <c r="S3331" s="75" t="str">
        <f>IF(AND($O3331=$Q$7,$B3331&lt;'111'!$L$11),"x","")</f>
        <v/>
      </c>
      <c r="T3331" s="75" t="str">
        <f>IF(ISERROR(FIND('112'!$M$9,G3331,1)),"",IF((AND(FIND('112'!$M$9,G3331,1)&gt;=1,B3331='112'!$K$9,OR($N3331='112'!$I$6,$O3331='112'!$I$6))),"x",""))</f>
        <v/>
      </c>
      <c r="U3331" s="75" t="str">
        <f>IF(ISERROR(FIND('112'!$M$9,G3331,1)),"",IF((AND(LEFT(G3331,2)=LEFT('112'!$M$9,2),B3331&lt;'112'!$K$9,$N3331='112'!$I$6)),"x",""))</f>
        <v/>
      </c>
      <c r="V3331" s="75" t="str">
        <f>IF(ISERROR(FIND('112'!$M$9,G3331,1)),"",IF((AND(RIGHT(G3331,2)=RIGHT('112'!$M$9,2),B3331&lt;'112'!$K$9,$O3331='112'!$I$6)),"x",""))</f>
        <v/>
      </c>
      <c r="W3331" s="75" t="str">
        <f>IF(AND('341-CT'!$H$9=H3331,OR(LEFT(N3331,3)=$W$7,LEFT(O3331,3)=$W$7)),"x","")</f>
        <v/>
      </c>
      <c r="X3331" s="75" t="str">
        <f>IF(OR(TH!N3331=TH!$X$7,O3331=TH!$X$7),"x","")</f>
        <v/>
      </c>
      <c r="Y3331" s="75" t="str">
        <f>IF(AND(OR(N3331="131",O3331="131"),H3331='131-CT'!$H$9),"x","")</f>
        <v/>
      </c>
      <c r="Z3331" s="75"/>
      <c r="AA3331" s="75" t="str">
        <f>IF(AND(MONTH(E3331)='IN-NX'!$J$5,'IN-NX'!$D$7=D3331),"x","")</f>
        <v/>
      </c>
      <c r="AB3331" s="75" t="str">
        <f>IF(AND(OR(LEFT(TH!N3331,2)="15",LEFT(TH!O3331,2)="15"),LEFT(TH!O3331,3)&lt;&gt;"111",'152-CT'!$J$8=TH!F3331),"x","")</f>
        <v/>
      </c>
      <c r="AC3331" s="75" t="str">
        <f>IF(AND(OR(LEFT(TH!N3331,2)="15",LEFT(TH!O3331,2)="15"),TK!$E$7=TH!F3331),"x","")</f>
        <v/>
      </c>
      <c r="AD3331" s="75" t="str">
        <f>IF(AND(N3331="1521",MONTH(C3331)='BK-NL'!$M$11),"x","")</f>
        <v/>
      </c>
    </row>
    <row r="3332" spans="1:30" s="1264" customFormat="1" ht="16.5" customHeight="1">
      <c r="A3332" s="309" t="str">
        <f>IF(B3332&lt;&gt;"",IF(AND(B3332='IN-TC'!$S$4,OR(TH!N3332="1111",TH!O3332="1111")),TH!D3332,""),"")</f>
        <v/>
      </c>
      <c r="B3332" s="1283">
        <f t="shared" si="1268"/>
        <v>12</v>
      </c>
      <c r="C3332" s="929">
        <v>43091</v>
      </c>
      <c r="D3332" s="929" t="s">
        <v>902</v>
      </c>
      <c r="E3332" s="929">
        <f t="shared" si="1269"/>
        <v>43091</v>
      </c>
      <c r="F3332" s="930" t="s">
        <v>1096</v>
      </c>
      <c r="G3332" s="930" t="s">
        <v>747</v>
      </c>
      <c r="H3332" s="1271" t="s">
        <v>2536</v>
      </c>
      <c r="I3332" s="1213"/>
      <c r="J3332" s="378"/>
      <c r="K3332" s="1213">
        <v>239.85</v>
      </c>
      <c r="L3332" s="1214">
        <v>22702</v>
      </c>
      <c r="M3332" s="74">
        <f t="shared" si="1270"/>
        <v>5445075</v>
      </c>
      <c r="N3332" s="934" t="s">
        <v>99</v>
      </c>
      <c r="O3332" s="934" t="s">
        <v>256</v>
      </c>
      <c r="P3332" s="75" t="str">
        <f>IF(AND('331-CT'!$E$7=TH!H3332,OR(N3332="331",O3332="331")),"x","")</f>
        <v/>
      </c>
      <c r="Q3332" s="75" t="str">
        <f>IF(AND(B3332='111'!$L$11,OR($N3332=$Q$7,$O3332=$Q$7)),"x","")</f>
        <v/>
      </c>
      <c r="R3332" s="75" t="str">
        <f>IF(AND($N3332=$Q$7,$B3332&lt;'111'!$L$11),"x","")</f>
        <v/>
      </c>
      <c r="S3332" s="75" t="str">
        <f>IF(AND($O3332=$Q$7,$B3332&lt;'111'!$L$11),"x","")</f>
        <v/>
      </c>
      <c r="T3332" s="75" t="str">
        <f>IF(ISERROR(FIND('112'!$M$9,G3332,1)),"",IF((AND(FIND('112'!$M$9,G3332,1)&gt;=1,B3332='112'!$K$9,OR($N3332='112'!$I$6,$O3332='112'!$I$6))),"x",""))</f>
        <v/>
      </c>
      <c r="U3332" s="75" t="str">
        <f>IF(ISERROR(FIND('112'!$M$9,G3332,1)),"",IF((AND(LEFT(G3332,2)=LEFT('112'!$M$9,2),B3332&lt;'112'!$K$9,$N3332='112'!$I$6)),"x",""))</f>
        <v/>
      </c>
      <c r="V3332" s="75" t="str">
        <f>IF(ISERROR(FIND('112'!$M$9,G3332,1)),"",IF((AND(RIGHT(G3332,2)=RIGHT('112'!$M$9,2),B3332&lt;'112'!$K$9,$O3332='112'!$I$6)),"x",""))</f>
        <v/>
      </c>
      <c r="W3332" s="75" t="str">
        <f>IF(AND('341-CT'!$H$9=H3332,OR(LEFT(N3332,3)=$W$7,LEFT(O3332,3)=$W$7)),"x","")</f>
        <v/>
      </c>
      <c r="X3332" s="75" t="str">
        <f>IF(OR(TH!N3332=TH!$X$7,O3332=TH!$X$7),"x","")</f>
        <v/>
      </c>
      <c r="Y3332" s="75" t="str">
        <f>IF(AND(OR(N3332="131",O3332="131"),H3332='131-CT'!$H$9),"x","")</f>
        <v/>
      </c>
      <c r="Z3332" s="75"/>
      <c r="AA3332" s="75" t="str">
        <f>IF(AND(MONTH(E3332)='IN-NX'!$J$5,'IN-NX'!$D$7=D3332),"x","")</f>
        <v/>
      </c>
      <c r="AB3332" s="75" t="str">
        <f>IF(AND(OR(LEFT(TH!N3332,2)="15",LEFT(TH!O3332,2)="15"),LEFT(TH!O3332,3)&lt;&gt;"111",'152-CT'!$J$8=TH!F3332),"x","")</f>
        <v/>
      </c>
      <c r="AC3332" s="75" t="str">
        <f>IF(AND(OR(LEFT(TH!N3332,2)="15",LEFT(TH!O3332,2)="15"),TK!$E$7=TH!F3332),"x","")</f>
        <v/>
      </c>
      <c r="AD3332" s="75" t="str">
        <f>IF(AND(N3332="1521",MONTH(C3332)='BK-NL'!$M$11),"x","")</f>
        <v/>
      </c>
    </row>
    <row r="3333" spans="1:30" s="1264" customFormat="1" ht="16.5" customHeight="1">
      <c r="A3333" s="309" t="str">
        <f>IF(B3333&lt;&gt;"",IF(AND(B3333='IN-TC'!$S$4,OR(TH!N3333="1111",TH!O3333="1111")),TH!D3333,""),"")</f>
        <v/>
      </c>
      <c r="B3333" s="1283">
        <f t="shared" si="1268"/>
        <v>12</v>
      </c>
      <c r="C3333" s="929">
        <v>43091</v>
      </c>
      <c r="D3333" s="929" t="s">
        <v>902</v>
      </c>
      <c r="E3333" s="929">
        <f t="shared" si="1269"/>
        <v>43091</v>
      </c>
      <c r="F3333" s="930" t="s">
        <v>1096</v>
      </c>
      <c r="G3333" s="930" t="s">
        <v>747</v>
      </c>
      <c r="H3333" s="735" t="s">
        <v>2552</v>
      </c>
      <c r="I3333" s="1213"/>
      <c r="J3333" s="378"/>
      <c r="K3333" s="1213">
        <v>200.07</v>
      </c>
      <c r="L3333" s="1214">
        <v>22702</v>
      </c>
      <c r="M3333" s="74">
        <f t="shared" si="1270"/>
        <v>4541989</v>
      </c>
      <c r="N3333" s="934" t="s">
        <v>99</v>
      </c>
      <c r="O3333" s="934" t="s">
        <v>256</v>
      </c>
      <c r="P3333" s="75" t="str">
        <f>IF(AND('331-CT'!$E$7=TH!H3333,OR(N3333="331",O3333="331")),"x","")</f>
        <v/>
      </c>
      <c r="Q3333" s="75" t="str">
        <f>IF(AND(B3333='111'!$L$11,OR($N3333=$Q$7,$O3333=$Q$7)),"x","")</f>
        <v/>
      </c>
      <c r="R3333" s="75" t="str">
        <f>IF(AND($N3333=$Q$7,$B3333&lt;'111'!$L$11),"x","")</f>
        <v/>
      </c>
      <c r="S3333" s="75" t="str">
        <f>IF(AND($O3333=$Q$7,$B3333&lt;'111'!$L$11),"x","")</f>
        <v/>
      </c>
      <c r="T3333" s="75" t="str">
        <f>IF(ISERROR(FIND('112'!$M$9,G3333,1)),"",IF((AND(FIND('112'!$M$9,G3333,1)&gt;=1,B3333='112'!$K$9,OR($N3333='112'!$I$6,$O3333='112'!$I$6))),"x",""))</f>
        <v/>
      </c>
      <c r="U3333" s="75" t="str">
        <f>IF(ISERROR(FIND('112'!$M$9,G3333,1)),"",IF((AND(LEFT(G3333,2)=LEFT('112'!$M$9,2),B3333&lt;'112'!$K$9,$N3333='112'!$I$6)),"x",""))</f>
        <v/>
      </c>
      <c r="V3333" s="75" t="str">
        <f>IF(ISERROR(FIND('112'!$M$9,G3333,1)),"",IF((AND(RIGHT(G3333,2)=RIGHT('112'!$M$9,2),B3333&lt;'112'!$K$9,$O3333='112'!$I$6)),"x",""))</f>
        <v/>
      </c>
      <c r="W3333" s="75" t="str">
        <f>IF(AND('341-CT'!$H$9=H3333,OR(LEFT(N3333,3)=$W$7,LEFT(O3333,3)=$W$7)),"x","")</f>
        <v/>
      </c>
      <c r="X3333" s="75" t="str">
        <f>IF(OR(TH!N3333=TH!$X$7,O3333=TH!$X$7),"x","")</f>
        <v/>
      </c>
      <c r="Y3333" s="75" t="str">
        <f>IF(AND(OR(N3333="131",O3333="131"),H3333='131-CT'!$H$9),"x","")</f>
        <v/>
      </c>
      <c r="Z3333" s="75"/>
      <c r="AA3333" s="75" t="str">
        <f>IF(AND(MONTH(E3333)='IN-NX'!$J$5,'IN-NX'!$D$7=D3333),"x","")</f>
        <v/>
      </c>
      <c r="AB3333" s="75" t="str">
        <f>IF(AND(OR(LEFT(TH!N3333,2)="15",LEFT(TH!O3333,2)="15"),LEFT(TH!O3333,3)&lt;&gt;"111",'152-CT'!$J$8=TH!F3333),"x","")</f>
        <v/>
      </c>
      <c r="AC3333" s="75" t="str">
        <f>IF(AND(OR(LEFT(TH!N3333,2)="15",LEFT(TH!O3333,2)="15"),TK!$E$7=TH!F3333),"x","")</f>
        <v/>
      </c>
      <c r="AD3333" s="75" t="str">
        <f>IF(AND(N3333="1521",MONTH(C3333)='BK-NL'!$M$11),"x","")</f>
        <v/>
      </c>
    </row>
    <row r="3334" spans="1:30" s="1264" customFormat="1" ht="16.5" customHeight="1">
      <c r="A3334" s="309" t="str">
        <f>IF(B3334&lt;&gt;"",IF(AND(B3334='IN-TC'!$S$4,OR(TH!N3334="1111",TH!O3334="1111")),TH!D3334,""),"")</f>
        <v/>
      </c>
      <c r="B3334" s="1283">
        <f t="shared" si="1268"/>
        <v>12</v>
      </c>
      <c r="C3334" s="929">
        <v>43091</v>
      </c>
      <c r="D3334" s="929" t="s">
        <v>902</v>
      </c>
      <c r="E3334" s="929">
        <f t="shared" si="1269"/>
        <v>43091</v>
      </c>
      <c r="F3334" s="930" t="s">
        <v>1096</v>
      </c>
      <c r="G3334" s="930" t="s">
        <v>747</v>
      </c>
      <c r="H3334" s="1271" t="s">
        <v>2772</v>
      </c>
      <c r="I3334" s="1213"/>
      <c r="J3334" s="378"/>
      <c r="K3334" s="1213">
        <v>552.83000000000004</v>
      </c>
      <c r="L3334" s="1214">
        <v>22702</v>
      </c>
      <c r="M3334" s="74">
        <f t="shared" si="1270"/>
        <v>12550347</v>
      </c>
      <c r="N3334" s="934" t="s">
        <v>99</v>
      </c>
      <c r="O3334" s="934" t="s">
        <v>256</v>
      </c>
      <c r="P3334" s="75" t="str">
        <f>IF(AND('331-CT'!$E$7=TH!H3334,OR(N3334="331",O3334="331")),"x","")</f>
        <v/>
      </c>
      <c r="Q3334" s="75" t="str">
        <f>IF(AND(B3334='111'!$L$11,OR($N3334=$Q$7,$O3334=$Q$7)),"x","")</f>
        <v/>
      </c>
      <c r="R3334" s="75" t="str">
        <f>IF(AND($N3334=$Q$7,$B3334&lt;'111'!$L$11),"x","")</f>
        <v/>
      </c>
      <c r="S3334" s="75" t="str">
        <f>IF(AND($O3334=$Q$7,$B3334&lt;'111'!$L$11),"x","")</f>
        <v/>
      </c>
      <c r="T3334" s="75" t="str">
        <f>IF(ISERROR(FIND('112'!$M$9,G3334,1)),"",IF((AND(FIND('112'!$M$9,G3334,1)&gt;=1,B3334='112'!$K$9,OR($N3334='112'!$I$6,$O3334='112'!$I$6))),"x",""))</f>
        <v/>
      </c>
      <c r="U3334" s="75" t="str">
        <f>IF(ISERROR(FIND('112'!$M$9,G3334,1)),"",IF((AND(LEFT(G3334,2)=LEFT('112'!$M$9,2),B3334&lt;'112'!$K$9,$N3334='112'!$I$6)),"x",""))</f>
        <v/>
      </c>
      <c r="V3334" s="75" t="str">
        <f>IF(ISERROR(FIND('112'!$M$9,G3334,1)),"",IF((AND(RIGHT(G3334,2)=RIGHT('112'!$M$9,2),B3334&lt;'112'!$K$9,$O3334='112'!$I$6)),"x",""))</f>
        <v/>
      </c>
      <c r="W3334" s="75" t="str">
        <f>IF(AND('341-CT'!$H$9=H3334,OR(LEFT(N3334,3)=$W$7,LEFT(O3334,3)=$W$7)),"x","")</f>
        <v/>
      </c>
      <c r="X3334" s="75" t="str">
        <f>IF(OR(TH!N3334=TH!$X$7,O3334=TH!$X$7),"x","")</f>
        <v/>
      </c>
      <c r="Y3334" s="75" t="str">
        <f>IF(AND(OR(N3334="131",O3334="131"),H3334='131-CT'!$H$9),"x","")</f>
        <v/>
      </c>
      <c r="Z3334" s="75"/>
      <c r="AA3334" s="75" t="str">
        <f>IF(AND(MONTH(E3334)='IN-NX'!$J$5,'IN-NX'!$D$7=D3334),"x","")</f>
        <v/>
      </c>
      <c r="AB3334" s="75" t="str">
        <f>IF(AND(OR(LEFT(TH!N3334,2)="15",LEFT(TH!O3334,2)="15"),LEFT(TH!O3334,3)&lt;&gt;"111",'152-CT'!$J$8=TH!F3334),"x","")</f>
        <v/>
      </c>
      <c r="AC3334" s="75" t="str">
        <f>IF(AND(OR(LEFT(TH!N3334,2)="15",LEFT(TH!O3334,2)="15"),TK!$E$7=TH!F3334),"x","")</f>
        <v/>
      </c>
      <c r="AD3334" s="75" t="str">
        <f>IF(AND(N3334="1521",MONTH(C3334)='BK-NL'!$M$11),"x","")</f>
        <v/>
      </c>
    </row>
    <row r="3335" spans="1:30" s="1264" customFormat="1" ht="16.5" customHeight="1">
      <c r="A3335" s="309" t="str">
        <f>IF(B3335&lt;&gt;"",IF(AND(B3335='IN-TC'!$S$4,OR(TH!N3335="1111",TH!O3335="1111")),TH!D3335,""),"")</f>
        <v/>
      </c>
      <c r="B3335" s="1283">
        <f t="shared" ref="B3335:B3345" si="1271">IF(C3335&lt;&gt;"",MONTH(C3335),"")</f>
        <v>12</v>
      </c>
      <c r="C3335" s="929">
        <v>43091</v>
      </c>
      <c r="D3335" s="929" t="s">
        <v>902</v>
      </c>
      <c r="E3335" s="929">
        <f t="shared" ref="E3335:E3345" si="1272">C3335</f>
        <v>43091</v>
      </c>
      <c r="F3335" s="930" t="s">
        <v>1096</v>
      </c>
      <c r="G3335" s="930" t="s">
        <v>747</v>
      </c>
      <c r="H3335" s="1271" t="s">
        <v>2323</v>
      </c>
      <c r="I3335" s="1213"/>
      <c r="J3335" s="378"/>
      <c r="K3335" s="1213">
        <v>299.69</v>
      </c>
      <c r="L3335" s="1214">
        <v>22702</v>
      </c>
      <c r="M3335" s="74">
        <f t="shared" si="1270"/>
        <v>6803562</v>
      </c>
      <c r="N3335" s="934" t="s">
        <v>99</v>
      </c>
      <c r="O3335" s="934" t="s">
        <v>256</v>
      </c>
      <c r="P3335" s="75" t="str">
        <f>IF(AND('331-CT'!$E$7=TH!H3335,OR(N3335="331",O3335="331")),"x","")</f>
        <v/>
      </c>
      <c r="Q3335" s="75" t="str">
        <f>IF(AND(B3335='111'!$L$11,OR($N3335=$Q$7,$O3335=$Q$7)),"x","")</f>
        <v/>
      </c>
      <c r="R3335" s="75" t="str">
        <f>IF(AND($N3335=$Q$7,$B3335&lt;'111'!$L$11),"x","")</f>
        <v/>
      </c>
      <c r="S3335" s="75" t="str">
        <f>IF(AND($O3335=$Q$7,$B3335&lt;'111'!$L$11),"x","")</f>
        <v/>
      </c>
      <c r="T3335" s="75" t="str">
        <f>IF(ISERROR(FIND('112'!$M$9,G3335,1)),"",IF((AND(FIND('112'!$M$9,G3335,1)&gt;=1,B3335='112'!$K$9,OR($N3335='112'!$I$6,$O3335='112'!$I$6))),"x",""))</f>
        <v/>
      </c>
      <c r="U3335" s="75" t="str">
        <f>IF(ISERROR(FIND('112'!$M$9,G3335,1)),"",IF((AND(LEFT(G3335,2)=LEFT('112'!$M$9,2),B3335&lt;'112'!$K$9,$N3335='112'!$I$6)),"x",""))</f>
        <v/>
      </c>
      <c r="V3335" s="75" t="str">
        <f>IF(ISERROR(FIND('112'!$M$9,G3335,1)),"",IF((AND(RIGHT(G3335,2)=RIGHT('112'!$M$9,2),B3335&lt;'112'!$K$9,$O3335='112'!$I$6)),"x",""))</f>
        <v/>
      </c>
      <c r="W3335" s="75" t="str">
        <f>IF(AND('341-CT'!$H$9=H3335,OR(LEFT(N3335,3)=$W$7,LEFT(O3335,3)=$W$7)),"x","")</f>
        <v/>
      </c>
      <c r="X3335" s="75" t="str">
        <f>IF(OR(TH!N3335=TH!$X$7,O3335=TH!$X$7),"x","")</f>
        <v/>
      </c>
      <c r="Y3335" s="75" t="str">
        <f>IF(AND(OR(N3335="131",O3335="131"),H3335='131-CT'!$H$9),"x","")</f>
        <v/>
      </c>
      <c r="Z3335" s="75"/>
      <c r="AA3335" s="75" t="str">
        <f>IF(AND(MONTH(E3335)='IN-NX'!$J$5,'IN-NX'!$D$7=D3335),"x","")</f>
        <v/>
      </c>
      <c r="AB3335" s="75" t="str">
        <f>IF(AND(OR(LEFT(TH!N3335,2)="15",LEFT(TH!O3335,2)="15"),LEFT(TH!O3335,3)&lt;&gt;"111",'152-CT'!$J$8=TH!F3335),"x","")</f>
        <v/>
      </c>
      <c r="AC3335" s="75" t="str">
        <f>IF(AND(OR(LEFT(TH!N3335,2)="15",LEFT(TH!O3335,2)="15"),TK!$E$7=TH!F3335),"x","")</f>
        <v/>
      </c>
      <c r="AD3335" s="75" t="str">
        <f>IF(AND(N3335="1521",MONTH(C3335)='BK-NL'!$M$11),"x","")</f>
        <v/>
      </c>
    </row>
    <row r="3336" spans="1:30" s="1264" customFormat="1" ht="16.5" customHeight="1">
      <c r="A3336" s="309" t="str">
        <f>IF(B3336&lt;&gt;"",IF(AND(B3336='IN-TC'!$S$4,OR(TH!N3336="1111",TH!O3336="1111")),TH!D3336,""),"")</f>
        <v/>
      </c>
      <c r="B3336" s="1283">
        <f t="shared" si="1271"/>
        <v>12</v>
      </c>
      <c r="C3336" s="929">
        <v>43094</v>
      </c>
      <c r="D3336" s="929" t="s">
        <v>903</v>
      </c>
      <c r="E3336" s="929">
        <f t="shared" si="1272"/>
        <v>43094</v>
      </c>
      <c r="F3336" s="930" t="s">
        <v>1086</v>
      </c>
      <c r="G3336" s="930" t="s">
        <v>747</v>
      </c>
      <c r="H3336" s="735" t="s">
        <v>1859</v>
      </c>
      <c r="I3336" s="1213"/>
      <c r="J3336" s="378"/>
      <c r="K3336" s="1213">
        <v>158283.5</v>
      </c>
      <c r="L3336" s="1214">
        <v>22705</v>
      </c>
      <c r="M3336" s="1214">
        <f t="shared" ref="M3336" si="1273">ROUND(K3336*L3336,0)</f>
        <v>3593826868</v>
      </c>
      <c r="N3336" s="934" t="s">
        <v>256</v>
      </c>
      <c r="O3336" s="934" t="s">
        <v>536</v>
      </c>
      <c r="P3336" s="75" t="str">
        <f>IF(AND('331-CT'!$E$7=TH!H3336,OR(N3336="331",O3336="331")),"x","")</f>
        <v/>
      </c>
      <c r="Q3336" s="75" t="str">
        <f>IF(AND(B3336='111'!$L$11,OR($N3336=$Q$7,$O3336=$Q$7)),"x","")</f>
        <v/>
      </c>
      <c r="R3336" s="75" t="str">
        <f>IF(AND($N3336=$Q$7,$B3336&lt;'111'!$L$11),"x","")</f>
        <v/>
      </c>
      <c r="S3336" s="75" t="str">
        <f>IF(AND($O3336=$Q$7,$B3336&lt;'111'!$L$11),"x","")</f>
        <v/>
      </c>
      <c r="T3336" s="75" t="str">
        <f>IF(ISERROR(FIND('112'!$M$9,G3336,1)),"",IF((AND(FIND('112'!$M$9,G3336,1)&gt;=1,B3336='112'!$K$9,OR($N3336='112'!$I$6,$O3336='112'!$I$6))),"x",""))</f>
        <v/>
      </c>
      <c r="U3336" s="75" t="str">
        <f>IF(ISERROR(FIND('112'!$M$9,G3336,1)),"",IF((AND(LEFT(G3336,2)=LEFT('112'!$M$9,2),B3336&lt;'112'!$K$9,$N3336='112'!$I$6)),"x",""))</f>
        <v/>
      </c>
      <c r="V3336" s="75" t="str">
        <f>IF(ISERROR(FIND('112'!$M$9,G3336,1)),"",IF((AND(RIGHT(G3336,2)=RIGHT('112'!$M$9,2),B3336&lt;'112'!$K$9,$O3336='112'!$I$6)),"x",""))</f>
        <v/>
      </c>
      <c r="W3336" s="75" t="str">
        <f>IF(AND('341-CT'!$H$9=H3336,OR(LEFT(N3336,3)=$W$7,LEFT(O3336,3)=$W$7)),"x","")</f>
        <v/>
      </c>
      <c r="X3336" s="75" t="str">
        <f>IF(OR(TH!N3336=TH!$X$7,O3336=TH!$X$7),"x","")</f>
        <v/>
      </c>
      <c r="Y3336" s="75" t="str">
        <f>IF(AND(OR(N3336="131",O3336="131"),H3336='131-CT'!$H$9),"x","")</f>
        <v/>
      </c>
      <c r="Z3336" s="75"/>
      <c r="AA3336" s="75" t="str">
        <f>IF(AND(MONTH(E3336)='IN-NX'!$J$5,'IN-NX'!$D$7=D3336),"x","")</f>
        <v/>
      </c>
      <c r="AB3336" s="75" t="str">
        <f>IF(AND(OR(LEFT(TH!N3336,2)="15",LEFT(TH!O3336,2)="15"),LEFT(TH!O3336,3)&lt;&gt;"111",'152-CT'!$J$8=TH!F3336),"x","")</f>
        <v/>
      </c>
      <c r="AC3336" s="75" t="str">
        <f>IF(AND(OR(LEFT(TH!N3336,2)="15",LEFT(TH!O3336,2)="15"),TK!$E$7=TH!F3336),"x","")</f>
        <v/>
      </c>
      <c r="AD3336" s="75" t="str">
        <f>IF(AND(N3336="1521",MONTH(C3336)='BK-NL'!$M$11),"x","")</f>
        <v/>
      </c>
    </row>
    <row r="3337" spans="1:30" s="1264" customFormat="1" ht="16.5" customHeight="1">
      <c r="A3337" s="309" t="str">
        <f>IF(B3337&lt;&gt;"",IF(AND(B3337='IN-TC'!$S$4,OR(TH!N3337="1111",TH!O3337="1111")),TH!D3337,""),"")</f>
        <v/>
      </c>
      <c r="B3337" s="1283">
        <f t="shared" ref="B3337" si="1274">IF(C3337&lt;&gt;"",MONTH(C3337),"")</f>
        <v>12</v>
      </c>
      <c r="C3337" s="929">
        <v>43094</v>
      </c>
      <c r="D3337" s="929" t="s">
        <v>902</v>
      </c>
      <c r="E3337" s="929">
        <f t="shared" ref="E3337" si="1275">C3337</f>
        <v>43094</v>
      </c>
      <c r="F3337" s="930" t="s">
        <v>907</v>
      </c>
      <c r="G3337" s="930" t="s">
        <v>747</v>
      </c>
      <c r="H3337" s="735" t="s">
        <v>835</v>
      </c>
      <c r="I3337" s="1213"/>
      <c r="J3337" s="378"/>
      <c r="K3337" s="1213">
        <v>158000</v>
      </c>
      <c r="L3337" s="1214">
        <v>22702</v>
      </c>
      <c r="M3337" s="74">
        <f>ROUND(K3337*L3337,0)</f>
        <v>3586916000</v>
      </c>
      <c r="N3337" s="934" t="s">
        <v>26</v>
      </c>
      <c r="O3337" s="934" t="s">
        <v>256</v>
      </c>
      <c r="P3337" s="75" t="str">
        <f>IF(AND('331-CT'!$E$7=TH!H3337,OR(N3337="331",O3337="331")),"x","")</f>
        <v/>
      </c>
      <c r="Q3337" s="75" t="str">
        <f>IF(AND(B3337='111'!$L$11,OR($N3337=$Q$7,$O3337=$Q$7)),"x","")</f>
        <v/>
      </c>
      <c r="R3337" s="75" t="str">
        <f>IF(AND($N3337=$Q$7,$B3337&lt;'111'!$L$11),"x","")</f>
        <v/>
      </c>
      <c r="S3337" s="75" t="str">
        <f>IF(AND($O3337=$Q$7,$B3337&lt;'111'!$L$11),"x","")</f>
        <v/>
      </c>
      <c r="T3337" s="75" t="str">
        <f>IF(ISERROR(FIND('112'!$M$9,G3337,1)),"",IF((AND(FIND('112'!$M$9,G3337,1)&gt;=1,B3337='112'!$K$9,OR($N3337='112'!$I$6,$O3337='112'!$I$6))),"x",""))</f>
        <v/>
      </c>
      <c r="U3337" s="75" t="str">
        <f>IF(ISERROR(FIND('112'!$M$9,G3337,1)),"",IF((AND(LEFT(G3337,2)=LEFT('112'!$M$9,2),B3337&lt;'112'!$K$9,$N3337='112'!$I$6)),"x",""))</f>
        <v/>
      </c>
      <c r="V3337" s="75" t="str">
        <f>IF(ISERROR(FIND('112'!$M$9,G3337,1)),"",IF((AND(RIGHT(G3337,2)=RIGHT('112'!$M$9,2),B3337&lt;'112'!$K$9,$O3337='112'!$I$6)),"x",""))</f>
        <v/>
      </c>
      <c r="W3337" s="75" t="str">
        <f>IF(AND('341-CT'!$H$9=H3337,OR(LEFT(N3337,3)=$W$7,LEFT(O3337,3)=$W$7)),"x","")</f>
        <v/>
      </c>
      <c r="X3337" s="75" t="str">
        <f>IF(OR(TH!N3337=TH!$X$7,O3337=TH!$X$7),"x","")</f>
        <v/>
      </c>
      <c r="Y3337" s="75" t="str">
        <f>IF(AND(OR(N3337="131",O3337="131"),H3337='131-CT'!$H$9),"x","")</f>
        <v/>
      </c>
      <c r="Z3337" s="75"/>
      <c r="AA3337" s="75" t="str">
        <f>IF(AND(MONTH(E3337)='IN-NX'!$J$5,'IN-NX'!$D$7=D3337),"x","")</f>
        <v/>
      </c>
      <c r="AB3337" s="75" t="str">
        <f>IF(AND(OR(LEFT(TH!N3337,2)="15",LEFT(TH!O3337,2)="15"),LEFT(TH!O3337,3)&lt;&gt;"111",'152-CT'!$J$8=TH!F3337),"x","")</f>
        <v/>
      </c>
      <c r="AC3337" s="75" t="str">
        <f>IF(AND(OR(LEFT(TH!N3337,2)="15",LEFT(TH!O3337,2)="15"),TK!$E$7=TH!F3337),"x","")</f>
        <v/>
      </c>
      <c r="AD3337" s="75" t="str">
        <f>IF(AND(N3337="1521",MONTH(C3337)='BK-NL'!$M$11),"x","")</f>
        <v/>
      </c>
    </row>
    <row r="3338" spans="1:30" s="1264" customFormat="1" ht="16.5" customHeight="1">
      <c r="A3338" s="309" t="str">
        <f>IF(B3338&lt;&gt;"",IF(AND(B3338='IN-TC'!$S$4,OR(TH!N3338="1111",TH!O3338="1111")),TH!D3338,""),"")</f>
        <v/>
      </c>
      <c r="B3338" s="1283">
        <f t="shared" ref="B3338" si="1276">IF(C3338&lt;&gt;"",MONTH(C3338),"")</f>
        <v>12</v>
      </c>
      <c r="C3338" s="929">
        <v>43096</v>
      </c>
      <c r="D3338" s="929" t="s">
        <v>902</v>
      </c>
      <c r="E3338" s="929">
        <f t="shared" ref="E3338" si="1277">C3338</f>
        <v>43096</v>
      </c>
      <c r="F3338" s="930" t="s">
        <v>1086</v>
      </c>
      <c r="G3338" s="930" t="s">
        <v>747</v>
      </c>
      <c r="H3338" s="735" t="s">
        <v>2762</v>
      </c>
      <c r="I3338" s="1213"/>
      <c r="J3338" s="378"/>
      <c r="K3338" s="1213">
        <v>23227.8</v>
      </c>
      <c r="L3338" s="1214">
        <v>22702</v>
      </c>
      <c r="M3338" s="1214">
        <f t="shared" ref="M3338:M3339" si="1278">ROUND(K3338*L3338,0)</f>
        <v>527317516</v>
      </c>
      <c r="N3338" s="934" t="s">
        <v>256</v>
      </c>
      <c r="O3338" s="934" t="s">
        <v>536</v>
      </c>
      <c r="P3338" s="75" t="str">
        <f>IF(AND('331-CT'!$E$7=TH!H3338,OR(N3338="331",O3338="331")),"x","")</f>
        <v/>
      </c>
      <c r="Q3338" s="75" t="str">
        <f>IF(AND(B3338='111'!$L$11,OR($N3338=$Q$7,$O3338=$Q$7)),"x","")</f>
        <v/>
      </c>
      <c r="R3338" s="75" t="str">
        <f>IF(AND($N3338=$Q$7,$B3338&lt;'111'!$L$11),"x","")</f>
        <v/>
      </c>
      <c r="S3338" s="75" t="str">
        <f>IF(AND($O3338=$Q$7,$B3338&lt;'111'!$L$11),"x","")</f>
        <v/>
      </c>
      <c r="T3338" s="75" t="str">
        <f>IF(ISERROR(FIND('112'!$M$9,G3338,1)),"",IF((AND(FIND('112'!$M$9,G3338,1)&gt;=1,B3338='112'!$K$9,OR($N3338='112'!$I$6,$O3338='112'!$I$6))),"x",""))</f>
        <v/>
      </c>
      <c r="U3338" s="75" t="str">
        <f>IF(ISERROR(FIND('112'!$M$9,G3338,1)),"",IF((AND(LEFT(G3338,2)=LEFT('112'!$M$9,2),B3338&lt;'112'!$K$9,$N3338='112'!$I$6)),"x",""))</f>
        <v/>
      </c>
      <c r="V3338" s="75" t="str">
        <f>IF(ISERROR(FIND('112'!$M$9,G3338,1)),"",IF((AND(RIGHT(G3338,2)=RIGHT('112'!$M$9,2),B3338&lt;'112'!$K$9,$O3338='112'!$I$6)),"x",""))</f>
        <v/>
      </c>
      <c r="W3338" s="75" t="str">
        <f>IF(AND('341-CT'!$H$9=H3338,OR(LEFT(N3338,3)=$W$7,LEFT(O3338,3)=$W$7)),"x","")</f>
        <v/>
      </c>
      <c r="X3338" s="75" t="str">
        <f>IF(OR(TH!N3338=TH!$X$7,O3338=TH!$X$7),"x","")</f>
        <v/>
      </c>
      <c r="Y3338" s="75" t="str">
        <f>IF(AND(OR(N3338="131",O3338="131"),H3338='131-CT'!$H$9),"x","")</f>
        <v/>
      </c>
      <c r="Z3338" s="75"/>
      <c r="AA3338" s="75" t="str">
        <f>IF(AND(MONTH(E3338)='IN-NX'!$J$5,'IN-NX'!$D$7=D3338),"x","")</f>
        <v/>
      </c>
      <c r="AB3338" s="75" t="str">
        <f>IF(AND(OR(LEFT(TH!N3338,2)="15",LEFT(TH!O3338,2)="15"),LEFT(TH!O3338,3)&lt;&gt;"111",'152-CT'!$J$8=TH!F3338),"x","")</f>
        <v/>
      </c>
      <c r="AC3338" s="75" t="str">
        <f>IF(AND(OR(LEFT(TH!N3338,2)="15",LEFT(TH!O3338,2)="15"),TK!$E$7=TH!F3338),"x","")</f>
        <v/>
      </c>
      <c r="AD3338" s="75" t="str">
        <f>IF(AND(N3338="1521",MONTH(C3338)='BK-NL'!$M$11),"x","")</f>
        <v/>
      </c>
    </row>
    <row r="3339" spans="1:30" s="1264" customFormat="1" ht="16.5" customHeight="1">
      <c r="A3339" s="309" t="str">
        <f>IF(B3339&lt;&gt;"",IF(AND(B3339='IN-TC'!$S$4,OR(TH!N3339="1111",TH!O3339="1111")),TH!D3339,""),"")</f>
        <v/>
      </c>
      <c r="B3339" s="1283">
        <f t="shared" ref="B3339:B3340" si="1279">IF(C3339&lt;&gt;"",MONTH(C3339),"")</f>
        <v>12</v>
      </c>
      <c r="C3339" s="929">
        <v>43096</v>
      </c>
      <c r="D3339" s="929" t="s">
        <v>530</v>
      </c>
      <c r="E3339" s="929">
        <f t="shared" ref="E3339:E3340" si="1280">C3339</f>
        <v>43096</v>
      </c>
      <c r="F3339" s="930" t="s">
        <v>1027</v>
      </c>
      <c r="G3339" s="930" t="s">
        <v>747</v>
      </c>
      <c r="H3339" s="735" t="s">
        <v>2762</v>
      </c>
      <c r="I3339" s="1213"/>
      <c r="J3339" s="378"/>
      <c r="K3339" s="1213">
        <v>22.2</v>
      </c>
      <c r="L3339" s="1214">
        <v>22702</v>
      </c>
      <c r="M3339" s="1214">
        <f t="shared" si="1278"/>
        <v>503984</v>
      </c>
      <c r="N3339" s="934" t="s">
        <v>101</v>
      </c>
      <c r="O3339" s="934" t="s">
        <v>536</v>
      </c>
      <c r="P3339" s="75" t="str">
        <f>IF(AND('331-CT'!$E$7=TH!H3339,OR(N3339="331",O3339="331")),"x","")</f>
        <v/>
      </c>
      <c r="Q3339" s="75" t="str">
        <f>IF(AND(B3339='111'!$L$11,OR($N3339=$Q$7,$O3339=$Q$7)),"x","")</f>
        <v/>
      </c>
      <c r="R3339" s="75" t="str">
        <f>IF(AND($N3339=$Q$7,$B3339&lt;'111'!$L$11),"x","")</f>
        <v/>
      </c>
      <c r="S3339" s="75" t="str">
        <f>IF(AND($O3339=$Q$7,$B3339&lt;'111'!$L$11),"x","")</f>
        <v/>
      </c>
      <c r="T3339" s="75" t="str">
        <f>IF(ISERROR(FIND('112'!$M$9,G3339,1)),"",IF((AND(FIND('112'!$M$9,G3339,1)&gt;=1,B3339='112'!$K$9,OR($N3339='112'!$I$6,$O3339='112'!$I$6))),"x",""))</f>
        <v/>
      </c>
      <c r="U3339" s="75" t="str">
        <f>IF(ISERROR(FIND('112'!$M$9,G3339,1)),"",IF((AND(LEFT(G3339,2)=LEFT('112'!$M$9,2),B3339&lt;'112'!$K$9,$N3339='112'!$I$6)),"x",""))</f>
        <v/>
      </c>
      <c r="V3339" s="75" t="str">
        <f>IF(ISERROR(FIND('112'!$M$9,G3339,1)),"",IF((AND(RIGHT(G3339,2)=RIGHT('112'!$M$9,2),B3339&lt;'112'!$K$9,$O3339='112'!$I$6)),"x",""))</f>
        <v/>
      </c>
      <c r="W3339" s="75" t="str">
        <f>IF(AND('341-CT'!$H$9=H3339,OR(LEFT(N3339,3)=$W$7,LEFT(O3339,3)=$W$7)),"x","")</f>
        <v/>
      </c>
      <c r="X3339" s="75" t="str">
        <f>IF(OR(TH!N3339=TH!$X$7,O3339=TH!$X$7),"x","")</f>
        <v/>
      </c>
      <c r="Y3339" s="75" t="str">
        <f>IF(AND(OR(N3339="131",O3339="131"),H3339='131-CT'!$H$9),"x","")</f>
        <v/>
      </c>
      <c r="Z3339" s="75"/>
      <c r="AA3339" s="75" t="str">
        <f>IF(AND(MONTH(E3339)='IN-NX'!$J$5,'IN-NX'!$D$7=D3339),"x","")</f>
        <v/>
      </c>
      <c r="AB3339" s="75" t="str">
        <f>IF(AND(OR(LEFT(TH!N3339,2)="15",LEFT(TH!O3339,2)="15"),LEFT(TH!O3339,3)&lt;&gt;"111",'152-CT'!$J$8=TH!F3339),"x","")</f>
        <v/>
      </c>
      <c r="AC3339" s="75" t="str">
        <f>IF(AND(OR(LEFT(TH!N3339,2)="15",LEFT(TH!O3339,2)="15"),TK!$E$7=TH!F3339),"x","")</f>
        <v/>
      </c>
      <c r="AD3339" s="75" t="str">
        <f>IF(AND(N3339="1521",MONTH(C3339)='BK-NL'!$M$11),"x","")</f>
        <v/>
      </c>
    </row>
    <row r="3340" spans="1:30" s="1264" customFormat="1" ht="16.5" customHeight="1">
      <c r="A3340" s="309" t="str">
        <f>IF(B3340&lt;&gt;"",IF(AND(B3340='IN-TC'!$S$4,OR(TH!N3340="1111",TH!O3340="1111")),TH!D3340,""),"")</f>
        <v/>
      </c>
      <c r="B3340" s="1283">
        <f t="shared" si="1279"/>
        <v>12</v>
      </c>
      <c r="C3340" s="929">
        <v>43096</v>
      </c>
      <c r="D3340" s="929" t="s">
        <v>530</v>
      </c>
      <c r="E3340" s="929">
        <f t="shared" si="1280"/>
        <v>43096</v>
      </c>
      <c r="F3340" s="930" t="s">
        <v>1010</v>
      </c>
      <c r="G3340" s="930" t="s">
        <v>747</v>
      </c>
      <c r="H3340" s="735" t="s">
        <v>2762</v>
      </c>
      <c r="I3340" s="1213"/>
      <c r="J3340" s="378"/>
      <c r="K3340" s="1213"/>
      <c r="L3340" s="1214"/>
      <c r="M3340" s="74">
        <v>511500</v>
      </c>
      <c r="N3340" s="934" t="s">
        <v>536</v>
      </c>
      <c r="O3340" s="934" t="s">
        <v>43</v>
      </c>
      <c r="P3340" s="75" t="str">
        <f>IF(AND('331-CT'!$E$7=TH!H3340,OR(N3340="331",O3340="331")),"x","")</f>
        <v/>
      </c>
      <c r="Q3340" s="75" t="str">
        <f>IF(AND(B3340='111'!$L$11,OR($N3340=$Q$7,$O3340=$Q$7)),"x","")</f>
        <v/>
      </c>
      <c r="R3340" s="75" t="str">
        <f>IF(AND($N3340=$Q$7,$B3340&lt;'111'!$L$11),"x","")</f>
        <v/>
      </c>
      <c r="S3340" s="75" t="str">
        <f>IF(AND($O3340=$Q$7,$B3340&lt;'111'!$L$11),"x","")</f>
        <v/>
      </c>
      <c r="T3340" s="75" t="str">
        <f>IF(ISERROR(FIND('112'!$M$9,G3340,1)),"",IF((AND(FIND('112'!$M$9,G3340,1)&gt;=1,B3340='112'!$K$9,OR($N3340='112'!$I$6,$O3340='112'!$I$6))),"x",""))</f>
        <v/>
      </c>
      <c r="U3340" s="75" t="str">
        <f>IF(ISERROR(FIND('112'!$M$9,G3340,1)),"",IF((AND(LEFT(G3340,2)=LEFT('112'!$M$9,2),B3340&lt;'112'!$K$9,$N3340='112'!$I$6)),"x",""))</f>
        <v/>
      </c>
      <c r="V3340" s="75" t="str">
        <f>IF(ISERROR(FIND('112'!$M$9,G3340,1)),"",IF((AND(RIGHT(G3340,2)=RIGHT('112'!$M$9,2),B3340&lt;'112'!$K$9,$O3340='112'!$I$6)),"x",""))</f>
        <v/>
      </c>
      <c r="W3340" s="75" t="str">
        <f>IF(AND('341-CT'!$H$9=H3340,OR(LEFT(N3340,3)=$W$7,LEFT(O3340,3)=$W$7)),"x","")</f>
        <v/>
      </c>
      <c r="X3340" s="75" t="str">
        <f>IF(OR(TH!N3340=TH!$X$7,O3340=TH!$X$7),"x","")</f>
        <v/>
      </c>
      <c r="Y3340" s="75" t="str">
        <f>IF(AND(OR(N3340="131",O3340="131"),H3340='131-CT'!$H$9),"x","")</f>
        <v/>
      </c>
      <c r="Z3340" s="75"/>
      <c r="AA3340" s="75" t="str">
        <f>IF(AND(MONTH(E3340)='IN-NX'!$J$5,'IN-NX'!$D$7=D3340),"x","")</f>
        <v/>
      </c>
      <c r="AB3340" s="75" t="str">
        <f>IF(AND(OR(LEFT(TH!N3340,2)="15",LEFT(TH!O3340,2)="15"),LEFT(TH!O3340,3)&lt;&gt;"111",'152-CT'!$J$8=TH!F3340),"x","")</f>
        <v/>
      </c>
      <c r="AC3340" s="75" t="str">
        <f>IF(AND(OR(LEFT(TH!N3340,2)="15",LEFT(TH!O3340,2)="15"),TK!$E$7=TH!F3340),"x","")</f>
        <v/>
      </c>
      <c r="AD3340" s="75" t="str">
        <f>IF(AND(N3340="1521",MONTH(C3340)='BK-NL'!$M$11),"x","")</f>
        <v/>
      </c>
    </row>
    <row r="3341" spans="1:30" s="1264" customFormat="1" ht="16.5" customHeight="1">
      <c r="A3341" s="309" t="str">
        <f>IF(B3341&lt;&gt;"",IF(AND(B3341='IN-TC'!$S$4,OR(TH!N3341="1111",TH!O3341="1111")),TH!D3341,""),"")</f>
        <v/>
      </c>
      <c r="B3341" s="1283">
        <f t="shared" si="1271"/>
        <v>12</v>
      </c>
      <c r="C3341" s="929">
        <v>43097</v>
      </c>
      <c r="D3341" s="929" t="s">
        <v>903</v>
      </c>
      <c r="E3341" s="929">
        <f t="shared" si="1272"/>
        <v>43097</v>
      </c>
      <c r="F3341" s="930" t="s">
        <v>1086</v>
      </c>
      <c r="G3341" s="930" t="s">
        <v>747</v>
      </c>
      <c r="H3341" s="735" t="s">
        <v>1859</v>
      </c>
      <c r="I3341" s="1213"/>
      <c r="J3341" s="378"/>
      <c r="K3341" s="1213">
        <v>142449.5</v>
      </c>
      <c r="L3341" s="1214">
        <v>22700</v>
      </c>
      <c r="M3341" s="1214">
        <f t="shared" ref="M3341" si="1281">ROUND(K3341*L3341,0)</f>
        <v>3233603650</v>
      </c>
      <c r="N3341" s="934" t="s">
        <v>256</v>
      </c>
      <c r="O3341" s="934" t="s">
        <v>536</v>
      </c>
      <c r="P3341" s="75" t="str">
        <f>IF(AND('331-CT'!$E$7=TH!H3341,OR(N3341="331",O3341="331")),"x","")</f>
        <v/>
      </c>
      <c r="Q3341" s="75" t="str">
        <f>IF(AND(B3341='111'!$L$11,OR($N3341=$Q$7,$O3341=$Q$7)),"x","")</f>
        <v/>
      </c>
      <c r="R3341" s="75" t="str">
        <f>IF(AND($N3341=$Q$7,$B3341&lt;'111'!$L$11),"x","")</f>
        <v/>
      </c>
      <c r="S3341" s="75" t="str">
        <f>IF(AND($O3341=$Q$7,$B3341&lt;'111'!$L$11),"x","")</f>
        <v/>
      </c>
      <c r="T3341" s="75" t="str">
        <f>IF(ISERROR(FIND('112'!$M$9,G3341,1)),"",IF((AND(FIND('112'!$M$9,G3341,1)&gt;=1,B3341='112'!$K$9,OR($N3341='112'!$I$6,$O3341='112'!$I$6))),"x",""))</f>
        <v/>
      </c>
      <c r="U3341" s="75" t="str">
        <f>IF(ISERROR(FIND('112'!$M$9,G3341,1)),"",IF((AND(LEFT(G3341,2)=LEFT('112'!$M$9,2),B3341&lt;'112'!$K$9,$N3341='112'!$I$6)),"x",""))</f>
        <v/>
      </c>
      <c r="V3341" s="75" t="str">
        <f>IF(ISERROR(FIND('112'!$M$9,G3341,1)),"",IF((AND(RIGHT(G3341,2)=RIGHT('112'!$M$9,2),B3341&lt;'112'!$K$9,$O3341='112'!$I$6)),"x",""))</f>
        <v/>
      </c>
      <c r="W3341" s="75" t="str">
        <f>IF(AND('341-CT'!$H$9=H3341,OR(LEFT(N3341,3)=$W$7,LEFT(O3341,3)=$W$7)),"x","")</f>
        <v/>
      </c>
      <c r="X3341" s="75" t="str">
        <f>IF(OR(TH!N3341=TH!$X$7,O3341=TH!$X$7),"x","")</f>
        <v/>
      </c>
      <c r="Y3341" s="75" t="str">
        <f>IF(AND(OR(N3341="131",O3341="131"),H3341='131-CT'!$H$9),"x","")</f>
        <v/>
      </c>
      <c r="Z3341" s="75"/>
      <c r="AA3341" s="75" t="str">
        <f>IF(AND(MONTH(E3341)='IN-NX'!$J$5,'IN-NX'!$D$7=D3341),"x","")</f>
        <v/>
      </c>
      <c r="AB3341" s="75" t="str">
        <f>IF(AND(OR(LEFT(TH!N3341,2)="15",LEFT(TH!O3341,2)="15"),LEFT(TH!O3341,3)&lt;&gt;"111",'152-CT'!$J$8=TH!F3341),"x","")</f>
        <v/>
      </c>
      <c r="AC3341" s="75" t="str">
        <f>IF(AND(OR(LEFT(TH!N3341,2)="15",LEFT(TH!O3341,2)="15"),TK!$E$7=TH!F3341),"x","")</f>
        <v/>
      </c>
      <c r="AD3341" s="75" t="str">
        <f>IF(AND(N3341="1521",MONTH(C3341)='BK-NL'!$M$11),"x","")</f>
        <v/>
      </c>
    </row>
    <row r="3342" spans="1:30" s="1264" customFormat="1" ht="16.5" customHeight="1">
      <c r="A3342" s="309" t="str">
        <f>IF(B3342&lt;&gt;"",IF(AND(B3342='IN-TC'!$S$4,OR(TH!N3342="1111",TH!O3342="1111")),TH!D3342,""),"")</f>
        <v/>
      </c>
      <c r="B3342" s="1283">
        <f t="shared" si="1271"/>
        <v>12</v>
      </c>
      <c r="C3342" s="929">
        <v>43098</v>
      </c>
      <c r="D3342" s="929" t="s">
        <v>902</v>
      </c>
      <c r="E3342" s="929">
        <f t="shared" si="1272"/>
        <v>43098</v>
      </c>
      <c r="F3342" s="930" t="s">
        <v>907</v>
      </c>
      <c r="G3342" s="930" t="s">
        <v>747</v>
      </c>
      <c r="H3342" s="735" t="s">
        <v>835</v>
      </c>
      <c r="I3342" s="1213"/>
      <c r="J3342" s="378"/>
      <c r="K3342" s="1213">
        <v>142500</v>
      </c>
      <c r="L3342" s="1214">
        <v>22700</v>
      </c>
      <c r="M3342" s="74">
        <f>ROUND(K3342*L3342,0)</f>
        <v>3234750000</v>
      </c>
      <c r="N3342" s="934" t="s">
        <v>26</v>
      </c>
      <c r="O3342" s="934" t="s">
        <v>256</v>
      </c>
      <c r="P3342" s="75" t="str">
        <f>IF(AND('331-CT'!$E$7=TH!H3342,OR(N3342="331",O3342="331")),"x","")</f>
        <v/>
      </c>
      <c r="Q3342" s="75" t="str">
        <f>IF(AND(B3342='111'!$L$11,OR($N3342=$Q$7,$O3342=$Q$7)),"x","")</f>
        <v/>
      </c>
      <c r="R3342" s="75" t="str">
        <f>IF(AND($N3342=$Q$7,$B3342&lt;'111'!$L$11),"x","")</f>
        <v/>
      </c>
      <c r="S3342" s="75" t="str">
        <f>IF(AND($O3342=$Q$7,$B3342&lt;'111'!$L$11),"x","")</f>
        <v/>
      </c>
      <c r="T3342" s="75" t="str">
        <f>IF(ISERROR(FIND('112'!$M$9,G3342,1)),"",IF((AND(FIND('112'!$M$9,G3342,1)&gt;=1,B3342='112'!$K$9,OR($N3342='112'!$I$6,$O3342='112'!$I$6))),"x",""))</f>
        <v/>
      </c>
      <c r="U3342" s="75" t="str">
        <f>IF(ISERROR(FIND('112'!$M$9,G3342,1)),"",IF((AND(LEFT(G3342,2)=LEFT('112'!$M$9,2),B3342&lt;'112'!$K$9,$N3342='112'!$I$6)),"x",""))</f>
        <v/>
      </c>
      <c r="V3342" s="75" t="str">
        <f>IF(ISERROR(FIND('112'!$M$9,G3342,1)),"",IF((AND(RIGHT(G3342,2)=RIGHT('112'!$M$9,2),B3342&lt;'112'!$K$9,$O3342='112'!$I$6)),"x",""))</f>
        <v/>
      </c>
      <c r="W3342" s="75" t="str">
        <f>IF(AND('341-CT'!$H$9=H3342,OR(LEFT(N3342,3)=$W$7,LEFT(O3342,3)=$W$7)),"x","")</f>
        <v/>
      </c>
      <c r="X3342" s="75" t="str">
        <f>IF(OR(TH!N3342=TH!$X$7,O3342=TH!$X$7),"x","")</f>
        <v/>
      </c>
      <c r="Y3342" s="75" t="str">
        <f>IF(AND(OR(N3342="131",O3342="131"),H3342='131-CT'!$H$9),"x","")</f>
        <v/>
      </c>
      <c r="Z3342" s="75"/>
      <c r="AA3342" s="75" t="str">
        <f>IF(AND(MONTH(E3342)='IN-NX'!$J$5,'IN-NX'!$D$7=D3342),"x","")</f>
        <v/>
      </c>
      <c r="AB3342" s="75" t="str">
        <f>IF(AND(OR(LEFT(TH!N3342,2)="15",LEFT(TH!O3342,2)="15"),LEFT(TH!O3342,3)&lt;&gt;"111",'152-CT'!$J$8=TH!F3342),"x","")</f>
        <v/>
      </c>
      <c r="AC3342" s="75" t="str">
        <f>IF(AND(OR(LEFT(TH!N3342,2)="15",LEFT(TH!O3342,2)="15"),TK!$E$7=TH!F3342),"x","")</f>
        <v/>
      </c>
      <c r="AD3342" s="75" t="str">
        <f>IF(AND(N3342="1521",MONTH(C3342)='BK-NL'!$M$11),"x","")</f>
        <v/>
      </c>
    </row>
    <row r="3343" spans="1:30" s="1264" customFormat="1" ht="16.5" customHeight="1">
      <c r="A3343" s="309" t="str">
        <f>IF(B3343&lt;&gt;"",IF(AND(B3343='IN-TC'!$S$4,OR(TH!N3343="1111",TH!O3343="1111")),TH!D3343,""),"")</f>
        <v/>
      </c>
      <c r="B3343" s="1283">
        <f t="shared" si="1271"/>
        <v>12</v>
      </c>
      <c r="C3343" s="929">
        <v>43098</v>
      </c>
      <c r="D3343" s="929" t="s">
        <v>903</v>
      </c>
      <c r="E3343" s="929">
        <f t="shared" si="1272"/>
        <v>43098</v>
      </c>
      <c r="F3343" s="930" t="s">
        <v>2879</v>
      </c>
      <c r="G3343" s="930" t="s">
        <v>747</v>
      </c>
      <c r="H3343" s="735" t="s">
        <v>2796</v>
      </c>
      <c r="I3343" s="1213"/>
      <c r="J3343" s="378"/>
      <c r="K3343" s="1213">
        <v>68400</v>
      </c>
      <c r="L3343" s="1214">
        <v>22700</v>
      </c>
      <c r="M3343" s="1214">
        <f t="shared" ref="M3343:M3344" si="1282">ROUND(K3343*L3343,0)</f>
        <v>1552680000</v>
      </c>
      <c r="N3343" s="934" t="s">
        <v>256</v>
      </c>
      <c r="O3343" s="934" t="s">
        <v>250</v>
      </c>
      <c r="P3343" s="75" t="str">
        <f>IF(AND('331-CT'!$E$7=TH!H3343,OR(N3343="331",O3343="331")),"x","")</f>
        <v/>
      </c>
      <c r="Q3343" s="75" t="str">
        <f>IF(AND(B3343='111'!$L$11,OR($N3343=$Q$7,$O3343=$Q$7)),"x","")</f>
        <v/>
      </c>
      <c r="R3343" s="75" t="str">
        <f>IF(AND($N3343=$Q$7,$B3343&lt;'111'!$L$11),"x","")</f>
        <v/>
      </c>
      <c r="S3343" s="75" t="str">
        <f>IF(AND($O3343=$Q$7,$B3343&lt;'111'!$L$11),"x","")</f>
        <v/>
      </c>
      <c r="T3343" s="75" t="str">
        <f>IF(ISERROR(FIND('112'!$M$9,G3343,1)),"",IF((AND(FIND('112'!$M$9,G3343,1)&gt;=1,B3343='112'!$K$9,OR($N3343='112'!$I$6,$O3343='112'!$I$6))),"x",""))</f>
        <v/>
      </c>
      <c r="U3343" s="75" t="str">
        <f>IF(ISERROR(FIND('112'!$M$9,G3343,1)),"",IF((AND(LEFT(G3343,2)=LEFT('112'!$M$9,2),B3343&lt;'112'!$K$9,$N3343='112'!$I$6)),"x",""))</f>
        <v/>
      </c>
      <c r="V3343" s="75" t="str">
        <f>IF(ISERROR(FIND('112'!$M$9,G3343,1)),"",IF((AND(RIGHT(G3343,2)=RIGHT('112'!$M$9,2),B3343&lt;'112'!$K$9,$O3343='112'!$I$6)),"x",""))</f>
        <v/>
      </c>
      <c r="W3343" s="75" t="str">
        <f>IF(AND('341-CT'!$H$9=H3343,OR(LEFT(N3343,3)=$W$7,LEFT(O3343,3)=$W$7)),"x","")</f>
        <v/>
      </c>
      <c r="X3343" s="75" t="str">
        <f>IF(OR(TH!N3343=TH!$X$7,O3343=TH!$X$7),"x","")</f>
        <v/>
      </c>
      <c r="Y3343" s="75" t="str">
        <f>IF(AND(OR(N3343="131",O3343="131"),H3343='131-CT'!$H$9),"x","")</f>
        <v/>
      </c>
      <c r="Z3343" s="75"/>
      <c r="AA3343" s="75" t="str">
        <f>IF(AND(MONTH(E3343)='IN-NX'!$J$5,'IN-NX'!$D$7=D3343),"x","")</f>
        <v/>
      </c>
      <c r="AB3343" s="75" t="str">
        <f>IF(AND(OR(LEFT(TH!N3343,2)="15",LEFT(TH!O3343,2)="15"),LEFT(TH!O3343,3)&lt;&gt;"111",'152-CT'!$J$8=TH!F3343),"x","")</f>
        <v/>
      </c>
      <c r="AC3343" s="75" t="str">
        <f>IF(AND(OR(LEFT(TH!N3343,2)="15",LEFT(TH!O3343,2)="15"),TK!$E$7=TH!F3343),"x","")</f>
        <v/>
      </c>
      <c r="AD3343" s="75" t="str">
        <f>IF(AND(N3343="1521",MONTH(C3343)='BK-NL'!$M$11),"x","")</f>
        <v/>
      </c>
    </row>
    <row r="3344" spans="1:30" s="1264" customFormat="1" ht="16.5" customHeight="1">
      <c r="A3344" s="309" t="str">
        <f>IF(B3344&lt;&gt;"",IF(AND(B3344='IN-TC'!$S$4,OR(TH!N3344="1111",TH!O3344="1111")),TH!D3344,""),"")</f>
        <v/>
      </c>
      <c r="B3344" s="1283">
        <f t="shared" si="1271"/>
        <v>12</v>
      </c>
      <c r="C3344" s="929">
        <v>43098</v>
      </c>
      <c r="D3344" s="929" t="s">
        <v>902</v>
      </c>
      <c r="E3344" s="929">
        <f t="shared" si="1272"/>
        <v>43098</v>
      </c>
      <c r="F3344" s="930" t="s">
        <v>1096</v>
      </c>
      <c r="G3344" s="930" t="s">
        <v>747</v>
      </c>
      <c r="H3344" s="735" t="s">
        <v>2552</v>
      </c>
      <c r="I3344" s="1213"/>
      <c r="J3344" s="378"/>
      <c r="K3344" s="1213">
        <v>46.68</v>
      </c>
      <c r="L3344" s="1214">
        <v>22700</v>
      </c>
      <c r="M3344" s="74">
        <f t="shared" si="1282"/>
        <v>1059636</v>
      </c>
      <c r="N3344" s="934" t="s">
        <v>99</v>
      </c>
      <c r="O3344" s="934" t="s">
        <v>256</v>
      </c>
      <c r="P3344" s="75" t="str">
        <f>IF(AND('331-CT'!$E$7=TH!H3344,OR(N3344="331",O3344="331")),"x","")</f>
        <v/>
      </c>
      <c r="Q3344" s="75" t="str">
        <f>IF(AND(B3344='111'!$L$11,OR($N3344=$Q$7,$O3344=$Q$7)),"x","")</f>
        <v/>
      </c>
      <c r="R3344" s="75" t="str">
        <f>IF(AND($N3344=$Q$7,$B3344&lt;'111'!$L$11),"x","")</f>
        <v/>
      </c>
      <c r="S3344" s="75" t="str">
        <f>IF(AND($O3344=$Q$7,$B3344&lt;'111'!$L$11),"x","")</f>
        <v/>
      </c>
      <c r="T3344" s="75" t="str">
        <f>IF(ISERROR(FIND('112'!$M$9,G3344,1)),"",IF((AND(FIND('112'!$M$9,G3344,1)&gt;=1,B3344='112'!$K$9,OR($N3344='112'!$I$6,$O3344='112'!$I$6))),"x",""))</f>
        <v/>
      </c>
      <c r="U3344" s="75" t="str">
        <f>IF(ISERROR(FIND('112'!$M$9,G3344,1)),"",IF((AND(LEFT(G3344,2)=LEFT('112'!$M$9,2),B3344&lt;'112'!$K$9,$N3344='112'!$I$6)),"x",""))</f>
        <v/>
      </c>
      <c r="V3344" s="75" t="str">
        <f>IF(ISERROR(FIND('112'!$M$9,G3344,1)),"",IF((AND(RIGHT(G3344,2)=RIGHT('112'!$M$9,2),B3344&lt;'112'!$K$9,$O3344='112'!$I$6)),"x",""))</f>
        <v/>
      </c>
      <c r="W3344" s="75" t="str">
        <f>IF(AND('341-CT'!$H$9=H3344,OR(LEFT(N3344,3)=$W$7,LEFT(O3344,3)=$W$7)),"x","")</f>
        <v/>
      </c>
      <c r="X3344" s="75" t="str">
        <f>IF(OR(TH!N3344=TH!$X$7,O3344=TH!$X$7),"x","")</f>
        <v/>
      </c>
      <c r="Y3344" s="75" t="str">
        <f>IF(AND(OR(N3344="131",O3344="131"),H3344='131-CT'!$H$9),"x","")</f>
        <v/>
      </c>
      <c r="Z3344" s="75"/>
      <c r="AA3344" s="75" t="str">
        <f>IF(AND(MONTH(E3344)='IN-NX'!$J$5,'IN-NX'!$D$7=D3344),"x","")</f>
        <v/>
      </c>
      <c r="AB3344" s="75" t="str">
        <f>IF(AND(OR(LEFT(TH!N3344,2)="15",LEFT(TH!O3344,2)="15"),LEFT(TH!O3344,3)&lt;&gt;"111",'152-CT'!$J$8=TH!F3344),"x","")</f>
        <v/>
      </c>
      <c r="AC3344" s="75" t="str">
        <f>IF(AND(OR(LEFT(TH!N3344,2)="15",LEFT(TH!O3344,2)="15"),TK!$E$7=TH!F3344),"x","")</f>
        <v/>
      </c>
      <c r="AD3344" s="75" t="str">
        <f>IF(AND(N3344="1521",MONTH(C3344)='BK-NL'!$M$11),"x","")</f>
        <v/>
      </c>
    </row>
    <row r="3345" spans="1:30" s="1264" customFormat="1" ht="16.5" customHeight="1">
      <c r="A3345" s="309" t="str">
        <f>IF(B3345&lt;&gt;"",IF(AND(B3345='IN-TC'!$S$4,OR(TH!N3345="1111",TH!O3345="1111")),TH!D3345,""),"")</f>
        <v/>
      </c>
      <c r="B3345" s="1283">
        <f t="shared" si="1271"/>
        <v>12</v>
      </c>
      <c r="C3345" s="929">
        <v>43098</v>
      </c>
      <c r="D3345" s="929" t="s">
        <v>902</v>
      </c>
      <c r="E3345" s="929">
        <f t="shared" si="1272"/>
        <v>43098</v>
      </c>
      <c r="F3345" s="930" t="s">
        <v>1321</v>
      </c>
      <c r="G3345" s="930" t="s">
        <v>747</v>
      </c>
      <c r="H3345" s="735" t="s">
        <v>2552</v>
      </c>
      <c r="I3345" s="1213"/>
      <c r="J3345" s="378"/>
      <c r="K3345" s="1213">
        <v>68400</v>
      </c>
      <c r="L3345" s="1214">
        <v>22700</v>
      </c>
      <c r="M3345" s="74">
        <f>ROUND(K3345*L3345,0)</f>
        <v>1552680000</v>
      </c>
      <c r="N3345" s="934" t="s">
        <v>250</v>
      </c>
      <c r="O3345" s="934" t="s">
        <v>256</v>
      </c>
      <c r="P3345" s="75" t="str">
        <f>IF(AND('331-CT'!$E$7=TH!H3345,OR(N3345="331",O3345="331")),"x","")</f>
        <v/>
      </c>
      <c r="Q3345" s="75" t="str">
        <f>IF(AND(B3345='111'!$L$11,OR($N3345=$Q$7,$O3345=$Q$7)),"x","")</f>
        <v/>
      </c>
      <c r="R3345" s="75" t="str">
        <f>IF(AND($N3345=$Q$7,$B3345&lt;'111'!$L$11),"x","")</f>
        <v/>
      </c>
      <c r="S3345" s="75" t="str">
        <f>IF(AND($O3345=$Q$7,$B3345&lt;'111'!$L$11),"x","")</f>
        <v/>
      </c>
      <c r="T3345" s="75" t="str">
        <f>IF(ISERROR(FIND('112'!$M$9,G3345,1)),"",IF((AND(FIND('112'!$M$9,G3345,1)&gt;=1,B3345='112'!$K$9,OR($N3345='112'!$I$6,$O3345='112'!$I$6))),"x",""))</f>
        <v/>
      </c>
      <c r="U3345" s="75" t="str">
        <f>IF(ISERROR(FIND('112'!$M$9,G3345,1)),"",IF((AND(LEFT(G3345,2)=LEFT('112'!$M$9,2),B3345&lt;'112'!$K$9,$N3345='112'!$I$6)),"x",""))</f>
        <v/>
      </c>
      <c r="V3345" s="75" t="str">
        <f>IF(ISERROR(FIND('112'!$M$9,G3345,1)),"",IF((AND(RIGHT(G3345,2)=RIGHT('112'!$M$9,2),B3345&lt;'112'!$K$9,$O3345='112'!$I$6)),"x",""))</f>
        <v/>
      </c>
      <c r="W3345" s="75" t="str">
        <f>IF(AND('341-CT'!$H$9=H3345,OR(LEFT(N3345,3)=$W$7,LEFT(O3345,3)=$W$7)),"x","")</f>
        <v/>
      </c>
      <c r="X3345" s="75" t="str">
        <f>IF(OR(TH!N3345=TH!$X$7,O3345=TH!$X$7),"x","")</f>
        <v/>
      </c>
      <c r="Y3345" s="75" t="str">
        <f>IF(AND(OR(N3345="131",O3345="131"),H3345='131-CT'!$H$9),"x","")</f>
        <v/>
      </c>
      <c r="Z3345" s="75"/>
      <c r="AA3345" s="75" t="str">
        <f>IF(AND(MONTH(E3345)='IN-NX'!$J$5,'IN-NX'!$D$7=D3345),"x","")</f>
        <v/>
      </c>
      <c r="AB3345" s="75" t="str">
        <f>IF(AND(OR(LEFT(TH!N3345,2)="15",LEFT(TH!O3345,2)="15"),LEFT(TH!O3345,3)&lt;&gt;"111",'152-CT'!$J$8=TH!F3345),"x","")</f>
        <v/>
      </c>
      <c r="AC3345" s="75" t="str">
        <f>IF(AND(OR(LEFT(TH!N3345,2)="15",LEFT(TH!O3345,2)="15"),TK!$E$7=TH!F3345),"x","")</f>
        <v/>
      </c>
      <c r="AD3345" s="75" t="str">
        <f>IF(AND(N3345="1521",MONTH(C3345)='BK-NL'!$M$11),"x","")</f>
        <v/>
      </c>
    </row>
    <row r="3346" spans="1:30" s="1264" customFormat="1" ht="16.5" customHeight="1">
      <c r="A3346" s="309" t="str">
        <f>IF(B3346&lt;&gt;"",IF(AND(B3346='IN-TC'!$S$4,OR(TH!N3346="1111",TH!O3346="1111")),TH!D3346,""),"")</f>
        <v/>
      </c>
      <c r="B3346" s="1283">
        <f t="shared" ref="B3346" si="1283">IF(C3346&lt;&gt;"",MONTH(C3346),"")</f>
        <v>12</v>
      </c>
      <c r="C3346" s="929">
        <v>43098</v>
      </c>
      <c r="D3346" s="929" t="s">
        <v>530</v>
      </c>
      <c r="E3346" s="929">
        <f t="shared" ref="E3346" si="1284">C3346</f>
        <v>43098</v>
      </c>
      <c r="F3346" s="930" t="s">
        <v>1010</v>
      </c>
      <c r="G3346" s="930" t="s">
        <v>747</v>
      </c>
      <c r="H3346" s="735" t="s">
        <v>2552</v>
      </c>
      <c r="I3346" s="1213"/>
      <c r="J3346" s="378"/>
      <c r="K3346" s="1213"/>
      <c r="L3346" s="1214"/>
      <c r="M3346" s="74">
        <v>136800</v>
      </c>
      <c r="N3346" s="934" t="s">
        <v>250</v>
      </c>
      <c r="O3346" s="934" t="s">
        <v>43</v>
      </c>
      <c r="P3346" s="75" t="str">
        <f>IF(AND('331-CT'!$E$7=TH!H3346,OR(N3346="331",O3346="331")),"x","")</f>
        <v/>
      </c>
      <c r="Q3346" s="75" t="str">
        <f>IF(AND(B3346='111'!$L$11,OR($N3346=$Q$7,$O3346=$Q$7)),"x","")</f>
        <v/>
      </c>
      <c r="R3346" s="75" t="str">
        <f>IF(AND($N3346=$Q$7,$B3346&lt;'111'!$L$11),"x","")</f>
        <v/>
      </c>
      <c r="S3346" s="75" t="str">
        <f>IF(AND($O3346=$Q$7,$B3346&lt;'111'!$L$11),"x","")</f>
        <v/>
      </c>
      <c r="T3346" s="75" t="str">
        <f>IF(ISERROR(FIND('112'!$M$9,G3346,1)),"",IF((AND(FIND('112'!$M$9,G3346,1)&gt;=1,B3346='112'!$K$9,OR($N3346='112'!$I$6,$O3346='112'!$I$6))),"x",""))</f>
        <v/>
      </c>
      <c r="U3346" s="75" t="str">
        <f>IF(ISERROR(FIND('112'!$M$9,G3346,1)),"",IF((AND(LEFT(G3346,2)=LEFT('112'!$M$9,2),B3346&lt;'112'!$K$9,$N3346='112'!$I$6)),"x",""))</f>
        <v/>
      </c>
      <c r="V3346" s="75" t="str">
        <f>IF(ISERROR(FIND('112'!$M$9,G3346,1)),"",IF((AND(RIGHT(G3346,2)=RIGHT('112'!$M$9,2),B3346&lt;'112'!$K$9,$O3346='112'!$I$6)),"x",""))</f>
        <v/>
      </c>
      <c r="W3346" s="75" t="str">
        <f>IF(AND('341-CT'!$H$9=H3346,OR(LEFT(N3346,3)=$W$7,LEFT(O3346,3)=$W$7)),"x","")</f>
        <v/>
      </c>
      <c r="X3346" s="75" t="str">
        <f>IF(OR(TH!N3346=TH!$X$7,O3346=TH!$X$7),"x","")</f>
        <v/>
      </c>
      <c r="Y3346" s="75" t="str">
        <f>IF(AND(OR(N3346="131",O3346="131"),H3346='131-CT'!$H$9),"x","")</f>
        <v/>
      </c>
      <c r="Z3346" s="75"/>
      <c r="AA3346" s="75" t="str">
        <f>IF(AND(MONTH(E3346)='IN-NX'!$J$5,'IN-NX'!$D$7=D3346),"x","")</f>
        <v/>
      </c>
      <c r="AB3346" s="75" t="str">
        <f>IF(AND(OR(LEFT(TH!N3346,2)="15",LEFT(TH!O3346,2)="15"),LEFT(TH!O3346,3)&lt;&gt;"111",'152-CT'!$J$8=TH!F3346),"x","")</f>
        <v/>
      </c>
      <c r="AC3346" s="75" t="str">
        <f>IF(AND(OR(LEFT(TH!N3346,2)="15",LEFT(TH!O3346,2)="15"),TK!$E$7=TH!F3346),"x","")</f>
        <v/>
      </c>
      <c r="AD3346" s="75" t="str">
        <f>IF(AND(N3346="1521",MONTH(C3346)='BK-NL'!$M$11),"x","")</f>
        <v/>
      </c>
    </row>
    <row r="3347" spans="1:30" s="1333" customFormat="1" ht="16.5" customHeight="1">
      <c r="A3347" s="309" t="str">
        <f>IF(B3347&lt;&gt;"",IF(AND(B3347='IN-TC'!$S$4,OR(TH!N3347="1111",TH!O3347="1111")),TH!D3347,""),"")</f>
        <v/>
      </c>
      <c r="B3347" s="1322">
        <f t="shared" ref="B3347:B3410" si="1285">IF(C3347&lt;&gt;"",MONTH(C3347),"")</f>
        <v>1</v>
      </c>
      <c r="C3347" s="1323">
        <f t="shared" ref="C3347:C3378" si="1286">E3347</f>
        <v>42766</v>
      </c>
      <c r="D3347" s="1323" t="s">
        <v>3009</v>
      </c>
      <c r="E3347" s="1323">
        <v>42766</v>
      </c>
      <c r="F3347" s="1324" t="s">
        <v>3010</v>
      </c>
      <c r="G3347" s="1325" t="s">
        <v>332</v>
      </c>
      <c r="H3347" s="1326" t="s">
        <v>348</v>
      </c>
      <c r="I3347" s="1327"/>
      <c r="J3347" s="1328"/>
      <c r="K3347" s="1327"/>
      <c r="L3347" s="1329"/>
      <c r="M3347" s="1330">
        <v>221025000</v>
      </c>
      <c r="N3347" s="1331" t="s">
        <v>8</v>
      </c>
      <c r="O3347" s="1331" t="s">
        <v>262</v>
      </c>
      <c r="P3347" s="1332" t="str">
        <f>IF(AND('331-CT'!$E$7=TH!H3352,OR(N3347="331",O3347="331")),"x","")</f>
        <v/>
      </c>
      <c r="Q3347" s="1332" t="str">
        <f>IF(AND(B3347='111'!$L$11,OR($N3347=$Q$7,$O3347=$Q$7)),"x","")</f>
        <v/>
      </c>
      <c r="R3347" s="1332" t="str">
        <f>IF(AND($N3347=$Q$7,$B3347&lt;'111'!$L$11),"x","")</f>
        <v/>
      </c>
      <c r="S3347" s="1332" t="str">
        <f>IF(AND($O3347=$Q$7,$B3347&lt;'111'!$L$11),"x","")</f>
        <v/>
      </c>
      <c r="T3347" s="1332" t="str">
        <f>IF(ISERROR(FIND('112'!$M$9,G3347,1)),"",IF((AND(FIND('112'!$M$9,G3347,1)&gt;=1,B3347='112'!$K$9,OR($N3347='112'!$I$6,$O3347='112'!$I$6))),"x",""))</f>
        <v/>
      </c>
      <c r="U3347" s="1332" t="str">
        <f>IF(ISERROR(FIND('112'!$M$9,G3347,1)),"",IF((AND(LEFT(G3347,2)=LEFT('112'!$M$9,2),B3347&lt;'112'!$K$9,$N3347='112'!$I$6)),"x",""))</f>
        <v/>
      </c>
      <c r="V3347" s="1332" t="str">
        <f>IF(ISERROR(FIND('112'!$M$9,G3347,1)),"",IF((AND(RIGHT(G3347,2)=RIGHT('112'!$M$9,2),B3347&lt;'112'!$K$9,$O3347='112'!$I$6)),"x",""))</f>
        <v/>
      </c>
      <c r="W3347" s="1332" t="str">
        <f>IF(AND('341-CT'!$H$9=H3347,OR(LEFT(N3347,3)=$W$7,LEFT(O3347,3)=$W$7)),"x","")</f>
        <v/>
      </c>
      <c r="X3347" s="1332" t="str">
        <f>IF(OR(TH!N3352=TH!$X$7,O3347=TH!$X$7),"x","")</f>
        <v>x</v>
      </c>
      <c r="Y3347" s="1332" t="str">
        <f>IF(AND(OR(N3347="131",O3347="131"),H3347='131-CT'!$H$9),"x","")</f>
        <v/>
      </c>
      <c r="Z3347" s="1332"/>
      <c r="AA3347" s="1332" t="str">
        <f>IF(AND(MONTH(E3347)='IN-NX'!$J$5,'IN-NX'!$D$7=D3347),"x","")</f>
        <v/>
      </c>
      <c r="AB3347" s="1332" t="str">
        <f>IF(AND(OR(LEFT(TH!N3352,2)="15",LEFT(TH!O3352,2)="15"),LEFT(TH!O3352,3)&lt;&gt;"111",'152-CT'!$J$8=TH!F3352),"x","")</f>
        <v/>
      </c>
      <c r="AC3347" s="1332" t="str">
        <f>IF(AND(OR(LEFT(TH!N3352,2)="15",LEFT(TH!O3352,2)="15"),TK!$E$7=TH!F3352),"x","")</f>
        <v/>
      </c>
      <c r="AD3347" s="1332" t="str">
        <f>IF(AND(N3347="1521",MONTH(C3347)='BK-NL'!$M$11),"x","")</f>
        <v/>
      </c>
    </row>
    <row r="3348" spans="1:30" s="1333" customFormat="1" ht="16.5" customHeight="1">
      <c r="A3348" s="309" t="str">
        <f>IF(B3348&lt;&gt;"",IF(AND(B3348='IN-TC'!$S$4,OR(TH!N3348="1111",TH!O3348="1111")),TH!D3348,""),"")</f>
        <v/>
      </c>
      <c r="B3348" s="1322">
        <f t="shared" si="1285"/>
        <v>1</v>
      </c>
      <c r="C3348" s="1323">
        <f t="shared" si="1286"/>
        <v>42766</v>
      </c>
      <c r="D3348" s="1323" t="s">
        <v>3009</v>
      </c>
      <c r="E3348" s="1323">
        <v>42766</v>
      </c>
      <c r="F3348" s="1324" t="s">
        <v>3010</v>
      </c>
      <c r="G3348" s="1325" t="s">
        <v>332</v>
      </c>
      <c r="H3348" s="1326" t="s">
        <v>369</v>
      </c>
      <c r="I3348" s="1327"/>
      <c r="J3348" s="1328"/>
      <c r="K3348" s="1327"/>
      <c r="L3348" s="1329"/>
      <c r="M3348" s="1330">
        <v>1017425000</v>
      </c>
      <c r="N3348" s="1331" t="s">
        <v>8</v>
      </c>
      <c r="O3348" s="1331" t="s">
        <v>262</v>
      </c>
      <c r="P3348" s="1332" t="str">
        <f>IF(AND('331-CT'!$E$7=TH!H3350,OR(N3348="331",O3348="331")),"x","")</f>
        <v/>
      </c>
      <c r="Q3348" s="1332" t="str">
        <f>IF(AND(B3348='111'!$L$11,OR($N3348=$Q$7,$O3348=$Q$7)),"x","")</f>
        <v/>
      </c>
      <c r="R3348" s="1332" t="str">
        <f>IF(AND($N3348=$Q$7,$B3348&lt;'111'!$L$11),"x","")</f>
        <v/>
      </c>
      <c r="S3348" s="1332" t="str">
        <f>IF(AND($O3348=$Q$7,$B3348&lt;'111'!$L$11),"x","")</f>
        <v/>
      </c>
      <c r="T3348" s="1332" t="str">
        <f>IF(ISERROR(FIND('112'!$M$9,G3348,1)),"",IF((AND(FIND('112'!$M$9,G3348,1)&gt;=1,B3348='112'!$K$9,OR($N3348='112'!$I$6,$O3348='112'!$I$6))),"x",""))</f>
        <v/>
      </c>
      <c r="U3348" s="1332" t="str">
        <f>IF(ISERROR(FIND('112'!$M$9,G3348,1)),"",IF((AND(LEFT(G3348,2)=LEFT('112'!$M$9,2),B3348&lt;'112'!$K$9,$N3348='112'!$I$6)),"x",""))</f>
        <v/>
      </c>
      <c r="V3348" s="1332" t="str">
        <f>IF(ISERROR(FIND('112'!$M$9,G3348,1)),"",IF((AND(RIGHT(G3348,2)=RIGHT('112'!$M$9,2),B3348&lt;'112'!$K$9,$O3348='112'!$I$6)),"x",""))</f>
        <v/>
      </c>
      <c r="W3348" s="1332" t="str">
        <f>IF(AND('341-CT'!$H$9=H3348,OR(LEFT(N3348,3)=$W$7,LEFT(O3348,3)=$W$7)),"x","")</f>
        <v/>
      </c>
      <c r="X3348" s="1332" t="str">
        <f>IF(OR(TH!N3350=TH!$X$7,O3348=TH!$X$7),"x","")</f>
        <v>x</v>
      </c>
      <c r="Y3348" s="1332" t="str">
        <f>IF(AND(OR(N3348="131",O3348="131"),H3348='131-CT'!$H$9),"x","")</f>
        <v/>
      </c>
      <c r="Z3348" s="1332"/>
      <c r="AA3348" s="1332" t="str">
        <f>IF(AND(MONTH(E3348)='IN-NX'!$J$5,'IN-NX'!$D$7=D3348),"x","")</f>
        <v/>
      </c>
      <c r="AB3348" s="1332" t="str">
        <f>IF(AND(OR(LEFT(TH!N3350,2)="15",LEFT(TH!O3350,2)="15"),LEFT(TH!O3350,3)&lt;&gt;"111",'152-CT'!$J$8=TH!F3350),"x","")</f>
        <v/>
      </c>
      <c r="AC3348" s="1332" t="str">
        <f>IF(AND(OR(LEFT(TH!N3350,2)="15",LEFT(TH!O3350,2)="15"),TK!$E$7=TH!F3350),"x","")</f>
        <v/>
      </c>
      <c r="AD3348" s="1332" t="str">
        <f>IF(AND(N3348="1521",MONTH(C3348)='BK-NL'!$M$11),"x","")</f>
        <v/>
      </c>
    </row>
    <row r="3349" spans="1:30" s="1333" customFormat="1" ht="16.5" customHeight="1">
      <c r="A3349" s="309" t="str">
        <f>IF(B3349&lt;&gt;"",IF(AND(B3349='IN-TC'!$S$4,OR(TH!N3349="1111",TH!O3349="1111")),TH!D3349,""),"")</f>
        <v/>
      </c>
      <c r="B3349" s="1322">
        <f t="shared" si="1285"/>
        <v>1</v>
      </c>
      <c r="C3349" s="1323">
        <f t="shared" si="1286"/>
        <v>42766</v>
      </c>
      <c r="D3349" s="1323" t="s">
        <v>3009</v>
      </c>
      <c r="E3349" s="1323">
        <v>42766</v>
      </c>
      <c r="F3349" s="1324" t="s">
        <v>3010</v>
      </c>
      <c r="G3349" s="1325" t="s">
        <v>332</v>
      </c>
      <c r="H3349" s="1326" t="s">
        <v>369</v>
      </c>
      <c r="I3349" s="1327"/>
      <c r="J3349" s="1328"/>
      <c r="K3349" s="1327"/>
      <c r="L3349" s="1329"/>
      <c r="M3349" s="1330">
        <v>273430000</v>
      </c>
      <c r="N3349" s="1331" t="s">
        <v>8</v>
      </c>
      <c r="O3349" s="1331" t="s">
        <v>262</v>
      </c>
      <c r="P3349" s="1332" t="str">
        <f>IF(AND('331-CT'!$E$7=TH!H3351,OR(N3349="331",O3349="331")),"x","")</f>
        <v/>
      </c>
      <c r="Q3349" s="1332" t="str">
        <f>IF(AND(B3349='111'!$L$11,OR($N3349=$Q$7,$O3349=$Q$7)),"x","")</f>
        <v/>
      </c>
      <c r="R3349" s="1332" t="str">
        <f>IF(AND($N3349=$Q$7,$B3349&lt;'111'!$L$11),"x","")</f>
        <v/>
      </c>
      <c r="S3349" s="1332" t="str">
        <f>IF(AND($O3349=$Q$7,$B3349&lt;'111'!$L$11),"x","")</f>
        <v/>
      </c>
      <c r="T3349" s="1332" t="str">
        <f>IF(ISERROR(FIND('112'!$M$9,G3349,1)),"",IF((AND(FIND('112'!$M$9,G3349,1)&gt;=1,B3349='112'!$K$9,OR($N3349='112'!$I$6,$O3349='112'!$I$6))),"x",""))</f>
        <v/>
      </c>
      <c r="U3349" s="1332" t="str">
        <f>IF(ISERROR(FIND('112'!$M$9,G3349,1)),"",IF((AND(LEFT(G3349,2)=LEFT('112'!$M$9,2),B3349&lt;'112'!$K$9,$N3349='112'!$I$6)),"x",""))</f>
        <v/>
      </c>
      <c r="V3349" s="1332" t="str">
        <f>IF(ISERROR(FIND('112'!$M$9,G3349,1)),"",IF((AND(RIGHT(G3349,2)=RIGHT('112'!$M$9,2),B3349&lt;'112'!$K$9,$O3349='112'!$I$6)),"x",""))</f>
        <v/>
      </c>
      <c r="W3349" s="1332" t="str">
        <f>IF(AND('341-CT'!$H$9=H3349,OR(LEFT(N3349,3)=$W$7,LEFT(O3349,3)=$W$7)),"x","")</f>
        <v/>
      </c>
      <c r="X3349" s="1332" t="str">
        <f>IF(OR(TH!N3351=TH!$X$7,O3349=TH!$X$7),"x","")</f>
        <v>x</v>
      </c>
      <c r="Y3349" s="1332" t="str">
        <f>IF(AND(OR(N3349="131",O3349="131"),H3349='131-CT'!$H$9),"x","")</f>
        <v/>
      </c>
      <c r="Z3349" s="1332"/>
      <c r="AA3349" s="1332" t="str">
        <f>IF(AND(MONTH(E3349)='IN-NX'!$J$5,'IN-NX'!$D$7=D3349),"x","")</f>
        <v/>
      </c>
      <c r="AB3349" s="1332" t="str">
        <f>IF(AND(OR(LEFT(TH!N3351,2)="15",LEFT(TH!O3351,2)="15"),LEFT(TH!O3351,3)&lt;&gt;"111",'152-CT'!$J$8=TH!F3351),"x","")</f>
        <v/>
      </c>
      <c r="AC3349" s="1332" t="str">
        <f>IF(AND(OR(LEFT(TH!N3351,2)="15",LEFT(TH!O3351,2)="15"),TK!$E$7=TH!F3351),"x","")</f>
        <v/>
      </c>
      <c r="AD3349" s="1332" t="str">
        <f>IF(AND(N3349="1521",MONTH(C3349)='BK-NL'!$M$11),"x","")</f>
        <v/>
      </c>
    </row>
    <row r="3350" spans="1:30" s="1333" customFormat="1" ht="16.5" customHeight="1">
      <c r="A3350" s="309" t="str">
        <f>IF(B3350&lt;&gt;"",IF(AND(B3350='IN-TC'!$S$4,OR(TH!N3350="1111",TH!O3350="1111")),TH!D3350,""),"")</f>
        <v/>
      </c>
      <c r="B3350" s="1322">
        <f t="shared" si="1285"/>
        <v>1</v>
      </c>
      <c r="C3350" s="1323">
        <f t="shared" si="1286"/>
        <v>42766</v>
      </c>
      <c r="D3350" s="1323" t="s">
        <v>3009</v>
      </c>
      <c r="E3350" s="1323">
        <v>42766</v>
      </c>
      <c r="F3350" s="1324" t="s">
        <v>3010</v>
      </c>
      <c r="G3350" s="1325" t="s">
        <v>332</v>
      </c>
      <c r="H3350" s="1326" t="s">
        <v>372</v>
      </c>
      <c r="I3350" s="1327"/>
      <c r="J3350" s="1328"/>
      <c r="K3350" s="1327"/>
      <c r="L3350" s="1329"/>
      <c r="M3350" s="1330">
        <v>84295000</v>
      </c>
      <c r="N3350" s="1331" t="s">
        <v>8</v>
      </c>
      <c r="O3350" s="1331" t="s">
        <v>262</v>
      </c>
      <c r="P3350" s="1332" t="str">
        <f>IF(AND('331-CT'!$E$7=TH!H3367,OR(N3350="331",O3350="331")),"x","")</f>
        <v/>
      </c>
      <c r="Q3350" s="1332" t="str">
        <f>IF(AND(B3350='111'!$L$11,OR($N3350=$Q$7,$O3350=$Q$7)),"x","")</f>
        <v/>
      </c>
      <c r="R3350" s="1332" t="str">
        <f>IF(AND($N3350=$Q$7,$B3350&lt;'111'!$L$11),"x","")</f>
        <v/>
      </c>
      <c r="S3350" s="1332" t="str">
        <f>IF(AND($O3350=$Q$7,$B3350&lt;'111'!$L$11),"x","")</f>
        <v/>
      </c>
      <c r="T3350" s="1332" t="str">
        <f>IF(ISERROR(FIND('112'!$M$9,G3350,1)),"",IF((AND(FIND('112'!$M$9,G3350,1)&gt;=1,B3350='112'!$K$9,OR($N3350='112'!$I$6,$O3350='112'!$I$6))),"x",""))</f>
        <v/>
      </c>
      <c r="U3350" s="1332" t="str">
        <f>IF(ISERROR(FIND('112'!$M$9,G3350,1)),"",IF((AND(LEFT(G3350,2)=LEFT('112'!$M$9,2),B3350&lt;'112'!$K$9,$N3350='112'!$I$6)),"x",""))</f>
        <v/>
      </c>
      <c r="V3350" s="1332" t="str">
        <f>IF(ISERROR(FIND('112'!$M$9,G3350,1)),"",IF((AND(RIGHT(G3350,2)=RIGHT('112'!$M$9,2),B3350&lt;'112'!$K$9,$O3350='112'!$I$6)),"x",""))</f>
        <v/>
      </c>
      <c r="W3350" s="1332" t="str">
        <f>IF(AND('341-CT'!$H$9=H3350,OR(LEFT(N3350,3)=$W$7,LEFT(O3350,3)=$W$7)),"x","")</f>
        <v/>
      </c>
      <c r="X3350" s="1332" t="str">
        <f>IF(OR(TH!N3367=TH!$X$7,O3350=TH!$X$7),"x","")</f>
        <v>x</v>
      </c>
      <c r="Y3350" s="1332" t="str">
        <f>IF(AND(OR(N3350="131",O3350="131"),H3350='131-CT'!$H$9),"x","")</f>
        <v/>
      </c>
      <c r="Z3350" s="1332"/>
      <c r="AA3350" s="1332" t="str">
        <f>IF(AND(MONTH(E3350)='IN-NX'!$J$5,'IN-NX'!$D$7=D3350),"x","")</f>
        <v/>
      </c>
      <c r="AB3350" s="1332" t="str">
        <f>IF(AND(OR(LEFT(TH!N3367,2)="15",LEFT(TH!O3367,2)="15"),LEFT(TH!O3367,3)&lt;&gt;"111",'152-CT'!$J$8=TH!F3367),"x","")</f>
        <v/>
      </c>
      <c r="AC3350" s="1332" t="str">
        <f>IF(AND(OR(LEFT(TH!N3367,2)="15",LEFT(TH!O3367,2)="15"),TK!$E$7=TH!F3367),"x","")</f>
        <v/>
      </c>
      <c r="AD3350" s="1332" t="str">
        <f>IF(AND(N3350="1521",MONTH(C3350)='BK-NL'!$M$11),"x","")</f>
        <v/>
      </c>
    </row>
    <row r="3351" spans="1:30" s="1333" customFormat="1" ht="16.5" customHeight="1">
      <c r="A3351" s="309" t="str">
        <f>IF(B3351&lt;&gt;"",IF(AND(B3351='IN-TC'!$S$4,OR(TH!N3351="1111",TH!O3351="1111")),TH!D3351,""),"")</f>
        <v/>
      </c>
      <c r="B3351" s="1322">
        <f t="shared" si="1285"/>
        <v>1</v>
      </c>
      <c r="C3351" s="1323">
        <f t="shared" si="1286"/>
        <v>42766</v>
      </c>
      <c r="D3351" s="1323" t="s">
        <v>3009</v>
      </c>
      <c r="E3351" s="1323">
        <v>42766</v>
      </c>
      <c r="F3351" s="1324" t="s">
        <v>3010</v>
      </c>
      <c r="G3351" s="1325" t="s">
        <v>332</v>
      </c>
      <c r="H3351" s="1326" t="s">
        <v>374</v>
      </c>
      <c r="I3351" s="1327"/>
      <c r="J3351" s="1328"/>
      <c r="K3351" s="1327"/>
      <c r="L3351" s="1329"/>
      <c r="M3351" s="1330">
        <v>979400000</v>
      </c>
      <c r="N3351" s="1331" t="s">
        <v>8</v>
      </c>
      <c r="O3351" s="1331" t="s">
        <v>262</v>
      </c>
      <c r="P3351" s="1332" t="str">
        <f>IF(AND('331-CT'!$E$7=TH!H3370,OR(N3351="331",O3351="331")),"x","")</f>
        <v/>
      </c>
      <c r="Q3351" s="1332" t="str">
        <f>IF(AND(B3351='111'!$L$11,OR($N3351=$Q$7,$O3351=$Q$7)),"x","")</f>
        <v/>
      </c>
      <c r="R3351" s="1332" t="str">
        <f>IF(AND($N3351=$Q$7,$B3351&lt;'111'!$L$11),"x","")</f>
        <v/>
      </c>
      <c r="S3351" s="1332" t="str">
        <f>IF(AND($O3351=$Q$7,$B3351&lt;'111'!$L$11),"x","")</f>
        <v/>
      </c>
      <c r="T3351" s="1332" t="str">
        <f>IF(ISERROR(FIND('112'!$M$9,G3351,1)),"",IF((AND(FIND('112'!$M$9,G3351,1)&gt;=1,B3351='112'!$K$9,OR($N3351='112'!$I$6,$O3351='112'!$I$6))),"x",""))</f>
        <v/>
      </c>
      <c r="U3351" s="1332" t="str">
        <f>IF(ISERROR(FIND('112'!$M$9,G3351,1)),"",IF((AND(LEFT(G3351,2)=LEFT('112'!$M$9,2),B3351&lt;'112'!$K$9,$N3351='112'!$I$6)),"x",""))</f>
        <v/>
      </c>
      <c r="V3351" s="1332" t="str">
        <f>IF(ISERROR(FIND('112'!$M$9,G3351,1)),"",IF((AND(RIGHT(G3351,2)=RIGHT('112'!$M$9,2),B3351&lt;'112'!$K$9,$O3351='112'!$I$6)),"x",""))</f>
        <v/>
      </c>
      <c r="W3351" s="1332" t="str">
        <f>IF(AND('341-CT'!$H$9=H3351,OR(LEFT(N3351,3)=$W$7,LEFT(O3351,3)=$W$7)),"x","")</f>
        <v/>
      </c>
      <c r="X3351" s="1332" t="str">
        <f>IF(OR(TH!N3370=TH!$X$7,O3351=TH!$X$7),"x","")</f>
        <v>x</v>
      </c>
      <c r="Y3351" s="1332" t="str">
        <f>IF(AND(OR(N3351="131",O3351="131"),H3351='131-CT'!$H$9),"x","")</f>
        <v/>
      </c>
      <c r="Z3351" s="1332"/>
      <c r="AA3351" s="1332" t="str">
        <f>IF(AND(MONTH(E3351)='IN-NX'!$J$5,'IN-NX'!$D$7=D3351),"x","")</f>
        <v/>
      </c>
      <c r="AB3351" s="1332" t="str">
        <f>IF(AND(OR(LEFT(TH!N3370,2)="15",LEFT(TH!O3370,2)="15"),LEFT(TH!O3370,3)&lt;&gt;"111",'152-CT'!$J$8=TH!F3370),"x","")</f>
        <v/>
      </c>
      <c r="AC3351" s="1332" t="str">
        <f>IF(AND(OR(LEFT(TH!N3370,2)="15",LEFT(TH!O3370,2)="15"),TK!$E$7=TH!F3370),"x","")</f>
        <v/>
      </c>
      <c r="AD3351" s="1332" t="str">
        <f>IF(AND(N3351="1521",MONTH(C3351)='BK-NL'!$M$11),"x","")</f>
        <v/>
      </c>
    </row>
    <row r="3352" spans="1:30" s="1333" customFormat="1" ht="16.5" customHeight="1">
      <c r="A3352" s="309" t="str">
        <f>IF(B3352&lt;&gt;"",IF(AND(B3352='IN-TC'!$S$4,OR(TH!N3352="1111",TH!O3352="1111")),TH!D3352,""),"")</f>
        <v/>
      </c>
      <c r="B3352" s="1322">
        <f t="shared" si="1285"/>
        <v>1</v>
      </c>
      <c r="C3352" s="1323">
        <f t="shared" si="1286"/>
        <v>42766</v>
      </c>
      <c r="D3352" s="1323" t="s">
        <v>3009</v>
      </c>
      <c r="E3352" s="1323">
        <v>42766</v>
      </c>
      <c r="F3352" s="1324" t="s">
        <v>3010</v>
      </c>
      <c r="G3352" s="1325" t="s">
        <v>332</v>
      </c>
      <c r="H3352" s="1326" t="s">
        <v>376</v>
      </c>
      <c r="I3352" s="1327"/>
      <c r="J3352" s="1328"/>
      <c r="K3352" s="1327"/>
      <c r="L3352" s="1329"/>
      <c r="M3352" s="1330">
        <v>1486995000</v>
      </c>
      <c r="N3352" s="1331" t="s">
        <v>8</v>
      </c>
      <c r="O3352" s="1331" t="s">
        <v>262</v>
      </c>
      <c r="P3352" s="1332" t="str">
        <f>IF(AND('331-CT'!$E$7=TH!H3388,OR(N3352="331",O3352="331")),"x","")</f>
        <v/>
      </c>
      <c r="Q3352" s="1332" t="str">
        <f>IF(AND(B3352='111'!$L$11,OR($N3352=$Q$7,$O3352=$Q$7)),"x","")</f>
        <v/>
      </c>
      <c r="R3352" s="1332" t="str">
        <f>IF(AND($N3352=$Q$7,$B3352&lt;'111'!$L$11),"x","")</f>
        <v/>
      </c>
      <c r="S3352" s="1332" t="str">
        <f>IF(AND($O3352=$Q$7,$B3352&lt;'111'!$L$11),"x","")</f>
        <v/>
      </c>
      <c r="T3352" s="1332" t="str">
        <f>IF(ISERROR(FIND('112'!$M$9,G3352,1)),"",IF((AND(FIND('112'!$M$9,G3352,1)&gt;=1,B3352='112'!$K$9,OR($N3352='112'!$I$6,$O3352='112'!$I$6))),"x",""))</f>
        <v/>
      </c>
      <c r="U3352" s="1332" t="str">
        <f>IF(ISERROR(FIND('112'!$M$9,G3352,1)),"",IF((AND(LEFT(G3352,2)=LEFT('112'!$M$9,2),B3352&lt;'112'!$K$9,$N3352='112'!$I$6)),"x",""))</f>
        <v/>
      </c>
      <c r="V3352" s="1332" t="str">
        <f>IF(ISERROR(FIND('112'!$M$9,G3352,1)),"",IF((AND(RIGHT(G3352,2)=RIGHT('112'!$M$9,2),B3352&lt;'112'!$K$9,$O3352='112'!$I$6)),"x",""))</f>
        <v/>
      </c>
      <c r="W3352" s="1332" t="str">
        <f>IF(AND('341-CT'!$H$9=H3352,OR(LEFT(N3352,3)=$W$7,LEFT(O3352,3)=$W$7)),"x","")</f>
        <v/>
      </c>
      <c r="X3352" s="1332" t="str">
        <f>IF(OR(TH!N3388=TH!$X$7,O3352=TH!$X$7),"x","")</f>
        <v>x</v>
      </c>
      <c r="Y3352" s="1332" t="str">
        <f>IF(AND(OR(N3352="131",O3352="131"),H3352='131-CT'!$H$9),"x","")</f>
        <v/>
      </c>
      <c r="Z3352" s="1332"/>
      <c r="AA3352" s="1332" t="str">
        <f>IF(AND(MONTH(E3352)='IN-NX'!$J$5,'IN-NX'!$D$7=D3352),"x","")</f>
        <v/>
      </c>
      <c r="AB3352" s="1332" t="str">
        <f>IF(AND(OR(LEFT(TH!N3388,2)="15",LEFT(TH!O3388,2)="15"),LEFT(TH!O3388,3)&lt;&gt;"111",'152-CT'!$J$8=TH!F3388),"x","")</f>
        <v/>
      </c>
      <c r="AC3352" s="1332" t="str">
        <f>IF(AND(OR(LEFT(TH!N3388,2)="15",LEFT(TH!O3388,2)="15"),TK!$E$7=TH!F3388),"x","")</f>
        <v/>
      </c>
      <c r="AD3352" s="1332" t="str">
        <f>IF(AND(N3352="1521",MONTH(C3352)='BK-NL'!$M$11),"x","")</f>
        <v/>
      </c>
    </row>
    <row r="3353" spans="1:30" s="1333" customFormat="1" ht="16.5" customHeight="1">
      <c r="A3353" s="309" t="str">
        <f>IF(B3353&lt;&gt;"",IF(AND(B3353='IN-TC'!$S$4,OR(TH!N3353="1111",TH!O3353="1111")),TH!D3353,""),"")</f>
        <v/>
      </c>
      <c r="B3353" s="1322">
        <f t="shared" si="1285"/>
        <v>1</v>
      </c>
      <c r="C3353" s="1323">
        <f t="shared" si="1286"/>
        <v>42766</v>
      </c>
      <c r="D3353" s="1323" t="s">
        <v>3009</v>
      </c>
      <c r="E3353" s="1323">
        <v>42766</v>
      </c>
      <c r="F3353" s="1324" t="s">
        <v>3010</v>
      </c>
      <c r="G3353" s="1325" t="s">
        <v>332</v>
      </c>
      <c r="H3353" s="1326" t="s">
        <v>382</v>
      </c>
      <c r="I3353" s="1327"/>
      <c r="J3353" s="1328"/>
      <c r="K3353" s="1327"/>
      <c r="L3353" s="1329"/>
      <c r="M3353" s="1330">
        <v>632630000</v>
      </c>
      <c r="N3353" s="1331" t="s">
        <v>8</v>
      </c>
      <c r="O3353" s="1331" t="s">
        <v>262</v>
      </c>
      <c r="P3353" s="1332" t="str">
        <f>IF(AND('331-CT'!$E$7=TH!H3368,OR(N3353="331",O3353="331")),"x","")</f>
        <v/>
      </c>
      <c r="Q3353" s="1332" t="str">
        <f>IF(AND(B3353='111'!$L$11,OR($N3353=$Q$7,$O3353=$Q$7)),"x","")</f>
        <v/>
      </c>
      <c r="R3353" s="1332" t="str">
        <f>IF(AND($N3353=$Q$7,$B3353&lt;'111'!$L$11),"x","")</f>
        <v/>
      </c>
      <c r="S3353" s="1332" t="str">
        <f>IF(AND($O3353=$Q$7,$B3353&lt;'111'!$L$11),"x","")</f>
        <v/>
      </c>
      <c r="T3353" s="1332" t="str">
        <f>IF(ISERROR(FIND('112'!$M$9,G3353,1)),"",IF((AND(FIND('112'!$M$9,G3353,1)&gt;=1,B3353='112'!$K$9,OR($N3353='112'!$I$6,$O3353='112'!$I$6))),"x",""))</f>
        <v/>
      </c>
      <c r="U3353" s="1332" t="str">
        <f>IF(ISERROR(FIND('112'!$M$9,G3353,1)),"",IF((AND(LEFT(G3353,2)=LEFT('112'!$M$9,2),B3353&lt;'112'!$K$9,$N3353='112'!$I$6)),"x",""))</f>
        <v/>
      </c>
      <c r="V3353" s="1332" t="str">
        <f>IF(ISERROR(FIND('112'!$M$9,G3353,1)),"",IF((AND(RIGHT(G3353,2)=RIGHT('112'!$M$9,2),B3353&lt;'112'!$K$9,$O3353='112'!$I$6)),"x",""))</f>
        <v/>
      </c>
      <c r="W3353" s="1332" t="str">
        <f>IF(AND('341-CT'!$H$9=H3353,OR(LEFT(N3353,3)=$W$7,LEFT(O3353,3)=$W$7)),"x","")</f>
        <v/>
      </c>
      <c r="X3353" s="1332" t="str">
        <f>IF(OR(TH!N3368=TH!$X$7,O3353=TH!$X$7),"x","")</f>
        <v>x</v>
      </c>
      <c r="Y3353" s="1332" t="str">
        <f>IF(AND(OR(N3353="131",O3353="131"),H3353='131-CT'!$H$9),"x","")</f>
        <v/>
      </c>
      <c r="Z3353" s="1332"/>
      <c r="AA3353" s="1332" t="str">
        <f>IF(AND(MONTH(E3353)='IN-NX'!$J$5,'IN-NX'!$D$7=D3353),"x","")</f>
        <v/>
      </c>
      <c r="AB3353" s="1332" t="str">
        <f>IF(AND(OR(LEFT(TH!N3368,2)="15",LEFT(TH!O3368,2)="15"),LEFT(TH!O3368,3)&lt;&gt;"111",'152-CT'!$J$8=TH!F3368),"x","")</f>
        <v/>
      </c>
      <c r="AC3353" s="1332" t="str">
        <f>IF(AND(OR(LEFT(TH!N3368,2)="15",LEFT(TH!O3368,2)="15"),TK!$E$7=TH!F3368),"x","")</f>
        <v/>
      </c>
      <c r="AD3353" s="1332" t="str">
        <f>IF(AND(N3353="1521",MONTH(C3353)='BK-NL'!$M$11),"x","")</f>
        <v/>
      </c>
    </row>
    <row r="3354" spans="1:30" s="1333" customFormat="1" ht="16.5" customHeight="1">
      <c r="A3354" s="309" t="str">
        <f>IF(B3354&lt;&gt;"",IF(AND(B3354='IN-TC'!$S$4,OR(TH!N3354="1111",TH!O3354="1111")),TH!D3354,""),"")</f>
        <v/>
      </c>
      <c r="B3354" s="1322">
        <f t="shared" si="1285"/>
        <v>1</v>
      </c>
      <c r="C3354" s="1323">
        <f t="shared" si="1286"/>
        <v>42766</v>
      </c>
      <c r="D3354" s="1323" t="s">
        <v>3009</v>
      </c>
      <c r="E3354" s="1323">
        <v>42766</v>
      </c>
      <c r="F3354" s="1324" t="s">
        <v>3010</v>
      </c>
      <c r="G3354" s="1325" t="s">
        <v>332</v>
      </c>
      <c r="H3354" s="1326" t="s">
        <v>405</v>
      </c>
      <c r="I3354" s="1327"/>
      <c r="J3354" s="1328"/>
      <c r="K3354" s="1327"/>
      <c r="L3354" s="1329"/>
      <c r="M3354" s="1330">
        <v>745922200</v>
      </c>
      <c r="N3354" s="1331" t="s">
        <v>8</v>
      </c>
      <c r="O3354" s="1331" t="s">
        <v>262</v>
      </c>
      <c r="P3354" s="1332" t="str">
        <f>IF(AND('331-CT'!$E$7=TH!H3378,OR(N3354="331",O3354="331")),"x","")</f>
        <v/>
      </c>
      <c r="Q3354" s="1332" t="str">
        <f>IF(AND(B3354='111'!$L$11,OR($N3354=$Q$7,$O3354=$Q$7)),"x","")</f>
        <v/>
      </c>
      <c r="R3354" s="1332" t="str">
        <f>IF(AND($N3354=$Q$7,$B3354&lt;'111'!$L$11),"x","")</f>
        <v/>
      </c>
      <c r="S3354" s="1332" t="str">
        <f>IF(AND($O3354=$Q$7,$B3354&lt;'111'!$L$11),"x","")</f>
        <v/>
      </c>
      <c r="T3354" s="1332" t="str">
        <f>IF(ISERROR(FIND('112'!$M$9,G3354,1)),"",IF((AND(FIND('112'!$M$9,G3354,1)&gt;=1,B3354='112'!$K$9,OR($N3354='112'!$I$6,$O3354='112'!$I$6))),"x",""))</f>
        <v/>
      </c>
      <c r="U3354" s="1332" t="str">
        <f>IF(ISERROR(FIND('112'!$M$9,G3354,1)),"",IF((AND(LEFT(G3354,2)=LEFT('112'!$M$9,2),B3354&lt;'112'!$K$9,$N3354='112'!$I$6)),"x",""))</f>
        <v/>
      </c>
      <c r="V3354" s="1332" t="str">
        <f>IF(ISERROR(FIND('112'!$M$9,G3354,1)),"",IF((AND(RIGHT(G3354,2)=RIGHT('112'!$M$9,2),B3354&lt;'112'!$K$9,$O3354='112'!$I$6)),"x",""))</f>
        <v/>
      </c>
      <c r="W3354" s="1332" t="str">
        <f>IF(AND('341-CT'!$H$9=H3354,OR(LEFT(N3354,3)=$W$7,LEFT(O3354,3)=$W$7)),"x","")</f>
        <v/>
      </c>
      <c r="X3354" s="1332" t="str">
        <f>IF(OR(TH!N3378=TH!$X$7,O3354=TH!$X$7),"x","")</f>
        <v>x</v>
      </c>
      <c r="Y3354" s="1332" t="str">
        <f>IF(AND(OR(N3354="131",O3354="131"),H3354='131-CT'!$H$9),"x","")</f>
        <v/>
      </c>
      <c r="Z3354" s="1332"/>
      <c r="AA3354" s="1332" t="str">
        <f>IF(AND(MONTH(E3354)='IN-NX'!$J$5,'IN-NX'!$D$7=D3354),"x","")</f>
        <v/>
      </c>
      <c r="AB3354" s="1332" t="str">
        <f>IF(AND(OR(LEFT(TH!N3378,2)="15",LEFT(TH!O3378,2)="15"),LEFT(TH!O3378,3)&lt;&gt;"111",'152-CT'!$J$8=TH!F3378),"x","")</f>
        <v/>
      </c>
      <c r="AC3354" s="1332" t="str">
        <f>IF(AND(OR(LEFT(TH!N3378,2)="15",LEFT(TH!O3378,2)="15"),TK!$E$7=TH!F3378),"x","")</f>
        <v/>
      </c>
      <c r="AD3354" s="1332" t="str">
        <f>IF(AND(N3354="1521",MONTH(C3354)='BK-NL'!$M$11),"x","")</f>
        <v/>
      </c>
    </row>
    <row r="3355" spans="1:30" s="1333" customFormat="1" ht="16.5" customHeight="1">
      <c r="A3355" s="309" t="str">
        <f>IF(B3355&lt;&gt;"",IF(AND(B3355='IN-TC'!$S$4,OR(TH!N3355="1111",TH!O3355="1111")),TH!D3355,""),"")</f>
        <v/>
      </c>
      <c r="B3355" s="1322">
        <f t="shared" si="1285"/>
        <v>1</v>
      </c>
      <c r="C3355" s="1323">
        <f t="shared" si="1286"/>
        <v>42766</v>
      </c>
      <c r="D3355" s="1323" t="s">
        <v>3009</v>
      </c>
      <c r="E3355" s="1323">
        <v>42766</v>
      </c>
      <c r="F3355" s="1324" t="s">
        <v>3010</v>
      </c>
      <c r="G3355" s="1325" t="s">
        <v>332</v>
      </c>
      <c r="H3355" s="1326" t="s">
        <v>408</v>
      </c>
      <c r="I3355" s="1327"/>
      <c r="J3355" s="1328"/>
      <c r="K3355" s="1327"/>
      <c r="L3355" s="1329"/>
      <c r="M3355" s="1330">
        <v>533398000</v>
      </c>
      <c r="N3355" s="1331" t="s">
        <v>8</v>
      </c>
      <c r="O3355" s="1331" t="s">
        <v>262</v>
      </c>
      <c r="P3355" s="1332" t="str">
        <f>IF(AND('331-CT'!$E$7=TH!H3380,OR(N3355="331",O3355="331")),"x","")</f>
        <v/>
      </c>
      <c r="Q3355" s="1332" t="str">
        <f>IF(AND(B3355='111'!$L$11,OR($N3355=$Q$7,$O3355=$Q$7)),"x","")</f>
        <v/>
      </c>
      <c r="R3355" s="1332" t="str">
        <f>IF(AND($N3355=$Q$7,$B3355&lt;'111'!$L$11),"x","")</f>
        <v/>
      </c>
      <c r="S3355" s="1332" t="str">
        <f>IF(AND($O3355=$Q$7,$B3355&lt;'111'!$L$11),"x","")</f>
        <v/>
      </c>
      <c r="T3355" s="1332" t="str">
        <f>IF(ISERROR(FIND('112'!$M$9,G3355,1)),"",IF((AND(FIND('112'!$M$9,G3355,1)&gt;=1,B3355='112'!$K$9,OR($N3355='112'!$I$6,$O3355='112'!$I$6))),"x",""))</f>
        <v/>
      </c>
      <c r="U3355" s="1332" t="str">
        <f>IF(ISERROR(FIND('112'!$M$9,G3355,1)),"",IF((AND(LEFT(G3355,2)=LEFT('112'!$M$9,2),B3355&lt;'112'!$K$9,$N3355='112'!$I$6)),"x",""))</f>
        <v/>
      </c>
      <c r="V3355" s="1332" t="str">
        <f>IF(ISERROR(FIND('112'!$M$9,G3355,1)),"",IF((AND(RIGHT(G3355,2)=RIGHT('112'!$M$9,2),B3355&lt;'112'!$K$9,$O3355='112'!$I$6)),"x",""))</f>
        <v/>
      </c>
      <c r="W3355" s="1332" t="str">
        <f>IF(AND('341-CT'!$H$9=H3355,OR(LEFT(N3355,3)=$W$7,LEFT(O3355,3)=$W$7)),"x","")</f>
        <v/>
      </c>
      <c r="X3355" s="1332" t="str">
        <f>IF(OR(TH!N3380=TH!$X$7,O3355=TH!$X$7),"x","")</f>
        <v>x</v>
      </c>
      <c r="Y3355" s="1332" t="str">
        <f>IF(AND(OR(N3355="131",O3355="131"),H3355='131-CT'!$H$9),"x","")</f>
        <v/>
      </c>
      <c r="Z3355" s="1332"/>
      <c r="AA3355" s="1332" t="str">
        <f>IF(AND(MONTH(E3355)='IN-NX'!$J$5,'IN-NX'!$D$7=D3355),"x","")</f>
        <v/>
      </c>
      <c r="AB3355" s="1332" t="str">
        <f>IF(AND(OR(LEFT(TH!N3380,2)="15",LEFT(TH!O3380,2)="15"),LEFT(TH!O3380,3)&lt;&gt;"111",'152-CT'!$J$8=TH!F3380),"x","")</f>
        <v/>
      </c>
      <c r="AC3355" s="1332" t="str">
        <f>IF(AND(OR(LEFT(TH!N3380,2)="15",LEFT(TH!O3380,2)="15"),TK!$E$7=TH!F3380),"x","")</f>
        <v/>
      </c>
      <c r="AD3355" s="1332" t="str">
        <f>IF(AND(N3355="1521",MONTH(C3355)='BK-NL'!$M$11),"x","")</f>
        <v/>
      </c>
    </row>
    <row r="3356" spans="1:30" s="1333" customFormat="1" ht="16.5" customHeight="1">
      <c r="A3356" s="309" t="str">
        <f>IF(B3356&lt;&gt;"",IF(AND(B3356='IN-TC'!$S$4,OR(TH!N3356="1111",TH!O3356="1111")),TH!D3356,""),"")</f>
        <v/>
      </c>
      <c r="B3356" s="1322">
        <f t="shared" si="1285"/>
        <v>1</v>
      </c>
      <c r="C3356" s="1323">
        <f t="shared" si="1286"/>
        <v>42766</v>
      </c>
      <c r="D3356" s="1323" t="s">
        <v>3009</v>
      </c>
      <c r="E3356" s="1323">
        <v>42766</v>
      </c>
      <c r="F3356" s="1324" t="s">
        <v>3010</v>
      </c>
      <c r="G3356" s="1325" t="s">
        <v>332</v>
      </c>
      <c r="H3356" s="1326" t="s">
        <v>348</v>
      </c>
      <c r="I3356" s="1327"/>
      <c r="J3356" s="1328"/>
      <c r="K3356" s="1327"/>
      <c r="L3356" s="1329"/>
      <c r="M3356" s="1330">
        <v>218225000</v>
      </c>
      <c r="N3356" s="1331" t="s">
        <v>8</v>
      </c>
      <c r="O3356" s="1331" t="s">
        <v>262</v>
      </c>
      <c r="P3356" s="1332" t="str">
        <f>IF(AND('331-CT'!$E$7=TH!H3353,OR(N3356="331",O3356="331")),"x","")</f>
        <v/>
      </c>
      <c r="Q3356" s="1332" t="str">
        <f>IF(AND(B3356='111'!$L$11,OR($N3356=$Q$7,$O3356=$Q$7)),"x","")</f>
        <v/>
      </c>
      <c r="R3356" s="1332" t="str">
        <f>IF(AND($N3356=$Q$7,$B3356&lt;'111'!$L$11),"x","")</f>
        <v/>
      </c>
      <c r="S3356" s="1332" t="str">
        <f>IF(AND($O3356=$Q$7,$B3356&lt;'111'!$L$11),"x","")</f>
        <v/>
      </c>
      <c r="T3356" s="1332" t="str">
        <f>IF(ISERROR(FIND('112'!$M$9,G3356,1)),"",IF((AND(FIND('112'!$M$9,G3356,1)&gt;=1,B3356='112'!$K$9,OR($N3356='112'!$I$6,$O3356='112'!$I$6))),"x",""))</f>
        <v/>
      </c>
      <c r="U3356" s="1332" t="str">
        <f>IF(ISERROR(FIND('112'!$M$9,G3356,1)),"",IF((AND(LEFT(G3356,2)=LEFT('112'!$M$9,2),B3356&lt;'112'!$K$9,$N3356='112'!$I$6)),"x",""))</f>
        <v/>
      </c>
      <c r="V3356" s="1332" t="str">
        <f>IF(ISERROR(FIND('112'!$M$9,G3356,1)),"",IF((AND(RIGHT(G3356,2)=RIGHT('112'!$M$9,2),B3356&lt;'112'!$K$9,$O3356='112'!$I$6)),"x",""))</f>
        <v/>
      </c>
      <c r="W3356" s="1332" t="str">
        <f>IF(AND('341-CT'!$H$9=H3356,OR(LEFT(N3356,3)=$W$7,LEFT(O3356,3)=$W$7)),"x","")</f>
        <v/>
      </c>
      <c r="X3356" s="1332" t="str">
        <f>IF(OR(TH!N3353=TH!$X$7,O3356=TH!$X$7),"x","")</f>
        <v>x</v>
      </c>
      <c r="Y3356" s="1332" t="str">
        <f>IF(AND(OR(N3356="131",O3356="131"),H3356='131-CT'!$H$9),"x","")</f>
        <v/>
      </c>
      <c r="Z3356" s="1332"/>
      <c r="AA3356" s="1332" t="str">
        <f>IF(AND(MONTH(E3356)='IN-NX'!$J$5,'IN-NX'!$D$7=D3356),"x","")</f>
        <v/>
      </c>
      <c r="AB3356" s="1332" t="str">
        <f>IF(AND(OR(LEFT(TH!N3353,2)="15",LEFT(TH!O3353,2)="15"),LEFT(TH!O3353,3)&lt;&gt;"111",'152-CT'!$J$8=TH!F3353),"x","")</f>
        <v/>
      </c>
      <c r="AC3356" s="1332" t="str">
        <f>IF(AND(OR(LEFT(TH!N3353,2)="15",LEFT(TH!O3353,2)="15"),TK!$E$7=TH!F3353),"x","")</f>
        <v/>
      </c>
      <c r="AD3356" s="1332" t="str">
        <f>IF(AND(N3356="1521",MONTH(C3356)='BK-NL'!$M$11),"x","")</f>
        <v/>
      </c>
    </row>
    <row r="3357" spans="1:30" s="1333" customFormat="1" ht="16.5" customHeight="1">
      <c r="A3357" s="309" t="str">
        <f>IF(B3357&lt;&gt;"",IF(AND(B3357='IN-TC'!$S$4,OR(TH!N3357="1111",TH!O3357="1111")),TH!D3357,""),"")</f>
        <v/>
      </c>
      <c r="B3357" s="1322">
        <f t="shared" si="1285"/>
        <v>1</v>
      </c>
      <c r="C3357" s="1323">
        <f t="shared" si="1286"/>
        <v>42766</v>
      </c>
      <c r="D3357" s="1323" t="s">
        <v>3009</v>
      </c>
      <c r="E3357" s="1323">
        <v>42766</v>
      </c>
      <c r="F3357" s="1324" t="s">
        <v>3010</v>
      </c>
      <c r="G3357" s="1325" t="s">
        <v>332</v>
      </c>
      <c r="H3357" s="1326" t="s">
        <v>372</v>
      </c>
      <c r="I3357" s="1327"/>
      <c r="J3357" s="1328"/>
      <c r="K3357" s="1327"/>
      <c r="L3357" s="1329"/>
      <c r="M3357" s="1330">
        <v>523938500</v>
      </c>
      <c r="N3357" s="1331" t="s">
        <v>8</v>
      </c>
      <c r="O3357" s="1331" t="s">
        <v>262</v>
      </c>
      <c r="P3357" s="1332" t="str">
        <f>IF(AND('331-CT'!$E$7=TH!H3366,OR(N3357="331",O3357="331")),"x","")</f>
        <v/>
      </c>
      <c r="Q3357" s="1332" t="str">
        <f>IF(AND(B3357='111'!$L$11,OR($N3357=$Q$7,$O3357=$Q$7)),"x","")</f>
        <v/>
      </c>
      <c r="R3357" s="1332" t="str">
        <f>IF(AND($N3357=$Q$7,$B3357&lt;'111'!$L$11),"x","")</f>
        <v/>
      </c>
      <c r="S3357" s="1332" t="str">
        <f>IF(AND($O3357=$Q$7,$B3357&lt;'111'!$L$11),"x","")</f>
        <v/>
      </c>
      <c r="T3357" s="1332" t="str">
        <f>IF(ISERROR(FIND('112'!$M$9,G3357,1)),"",IF((AND(FIND('112'!$M$9,G3357,1)&gt;=1,B3357='112'!$K$9,OR($N3357='112'!$I$6,$O3357='112'!$I$6))),"x",""))</f>
        <v/>
      </c>
      <c r="U3357" s="1332" t="str">
        <f>IF(ISERROR(FIND('112'!$M$9,G3357,1)),"",IF((AND(LEFT(G3357,2)=LEFT('112'!$M$9,2),B3357&lt;'112'!$K$9,$N3357='112'!$I$6)),"x",""))</f>
        <v/>
      </c>
      <c r="V3357" s="1332" t="str">
        <f>IF(ISERROR(FIND('112'!$M$9,G3357,1)),"",IF((AND(RIGHT(G3357,2)=RIGHT('112'!$M$9,2),B3357&lt;'112'!$K$9,$O3357='112'!$I$6)),"x",""))</f>
        <v/>
      </c>
      <c r="W3357" s="1332" t="str">
        <f>IF(AND('341-CT'!$H$9=H3357,OR(LEFT(N3357,3)=$W$7,LEFT(O3357,3)=$W$7)),"x","")</f>
        <v/>
      </c>
      <c r="X3357" s="1332" t="str">
        <f>IF(OR(TH!N3366=TH!$X$7,O3357=TH!$X$7),"x","")</f>
        <v>x</v>
      </c>
      <c r="Y3357" s="1332" t="str">
        <f>IF(AND(OR(N3357="131",O3357="131"),H3357='131-CT'!$H$9),"x","")</f>
        <v/>
      </c>
      <c r="Z3357" s="1332"/>
      <c r="AA3357" s="1332" t="str">
        <f>IF(AND(MONTH(E3357)='IN-NX'!$J$5,'IN-NX'!$D$7=D3357),"x","")</f>
        <v/>
      </c>
      <c r="AB3357" s="1332" t="str">
        <f>IF(AND(OR(LEFT(TH!N3366,2)="15",LEFT(TH!O3366,2)="15"),LEFT(TH!O3366,3)&lt;&gt;"111",'152-CT'!$J$8=TH!F3366),"x","")</f>
        <v/>
      </c>
      <c r="AC3357" s="1332" t="str">
        <f>IF(AND(OR(LEFT(TH!N3366,2)="15",LEFT(TH!O3366,2)="15"),TK!$E$7=TH!F3366),"x","")</f>
        <v/>
      </c>
      <c r="AD3357" s="1332" t="str">
        <f>IF(AND(N3357="1521",MONTH(C3357)='BK-NL'!$M$11),"x","")</f>
        <v/>
      </c>
    </row>
    <row r="3358" spans="1:30" s="1333" customFormat="1" ht="16.5" customHeight="1">
      <c r="A3358" s="309" t="str">
        <f>IF(B3358&lt;&gt;"",IF(AND(B3358='IN-TC'!$S$4,OR(TH!N3358="1111",TH!O3358="1111")),TH!D3358,""),"")</f>
        <v/>
      </c>
      <c r="B3358" s="1322">
        <f t="shared" si="1285"/>
        <v>1</v>
      </c>
      <c r="C3358" s="1323">
        <f t="shared" si="1286"/>
        <v>42766</v>
      </c>
      <c r="D3358" s="1323" t="s">
        <v>3009</v>
      </c>
      <c r="E3358" s="1323">
        <v>42766</v>
      </c>
      <c r="F3358" s="1324" t="s">
        <v>3010</v>
      </c>
      <c r="G3358" s="1325" t="s">
        <v>332</v>
      </c>
      <c r="H3358" s="1326" t="s">
        <v>374</v>
      </c>
      <c r="I3358" s="1327"/>
      <c r="J3358" s="1328"/>
      <c r="K3358" s="1327"/>
      <c r="L3358" s="1329"/>
      <c r="M3358" s="1330">
        <v>539256500</v>
      </c>
      <c r="N3358" s="1331" t="s">
        <v>8</v>
      </c>
      <c r="O3358" s="1331" t="s">
        <v>262</v>
      </c>
      <c r="P3358" s="1332" t="str">
        <f>IF(AND('331-CT'!$E$7=TH!H3371,OR(N3358="331",O3358="331")),"x","")</f>
        <v/>
      </c>
      <c r="Q3358" s="1332" t="str">
        <f>IF(AND(B3358='111'!$L$11,OR($N3358=$Q$7,$O3358=$Q$7)),"x","")</f>
        <v/>
      </c>
      <c r="R3358" s="1332" t="str">
        <f>IF(AND($N3358=$Q$7,$B3358&lt;'111'!$L$11),"x","")</f>
        <v/>
      </c>
      <c r="S3358" s="1332" t="str">
        <f>IF(AND($O3358=$Q$7,$B3358&lt;'111'!$L$11),"x","")</f>
        <v/>
      </c>
      <c r="T3358" s="1332" t="str">
        <f>IF(ISERROR(FIND('112'!$M$9,G3358,1)),"",IF((AND(FIND('112'!$M$9,G3358,1)&gt;=1,B3358='112'!$K$9,OR($N3358='112'!$I$6,$O3358='112'!$I$6))),"x",""))</f>
        <v/>
      </c>
      <c r="U3358" s="1332" t="str">
        <f>IF(ISERROR(FIND('112'!$M$9,G3358,1)),"",IF((AND(LEFT(G3358,2)=LEFT('112'!$M$9,2),B3358&lt;'112'!$K$9,$N3358='112'!$I$6)),"x",""))</f>
        <v/>
      </c>
      <c r="V3358" s="1332" t="str">
        <f>IF(ISERROR(FIND('112'!$M$9,G3358,1)),"",IF((AND(RIGHT(G3358,2)=RIGHT('112'!$M$9,2),B3358&lt;'112'!$K$9,$O3358='112'!$I$6)),"x",""))</f>
        <v/>
      </c>
      <c r="W3358" s="1332" t="str">
        <f>IF(AND('341-CT'!$H$9=H3358,OR(LEFT(N3358,3)=$W$7,LEFT(O3358,3)=$W$7)),"x","")</f>
        <v/>
      </c>
      <c r="X3358" s="1332" t="str">
        <f>IF(OR(TH!N3371=TH!$X$7,O3358=TH!$X$7),"x","")</f>
        <v>x</v>
      </c>
      <c r="Y3358" s="1332" t="str">
        <f>IF(AND(OR(N3358="131",O3358="131"),H3358='131-CT'!$H$9),"x","")</f>
        <v/>
      </c>
      <c r="Z3358" s="1332"/>
      <c r="AA3358" s="1332" t="str">
        <f>IF(AND(MONTH(E3358)='IN-NX'!$J$5,'IN-NX'!$D$7=D3358),"x","")</f>
        <v/>
      </c>
      <c r="AB3358" s="1332" t="str">
        <f>IF(AND(OR(LEFT(TH!N3371,2)="15",LEFT(TH!O3371,2)="15"),LEFT(TH!O3371,3)&lt;&gt;"111",'152-CT'!$J$8=TH!F3371),"x","")</f>
        <v/>
      </c>
      <c r="AC3358" s="1332" t="str">
        <f>IF(AND(OR(LEFT(TH!N3371,2)="15",LEFT(TH!O3371,2)="15"),TK!$E$7=TH!F3371),"x","")</f>
        <v/>
      </c>
      <c r="AD3358" s="1332" t="str">
        <f>IF(AND(N3358="1521",MONTH(C3358)='BK-NL'!$M$11),"x","")</f>
        <v/>
      </c>
    </row>
    <row r="3359" spans="1:30" s="1333" customFormat="1" ht="16.5" customHeight="1">
      <c r="A3359" s="309" t="str">
        <f>IF(B3359&lt;&gt;"",IF(AND(B3359='IN-TC'!$S$4,OR(TH!N3359="1111",TH!O3359="1111")),TH!D3359,""),"")</f>
        <v/>
      </c>
      <c r="B3359" s="1322">
        <f t="shared" si="1285"/>
        <v>1</v>
      </c>
      <c r="C3359" s="1323">
        <f t="shared" si="1286"/>
        <v>42766</v>
      </c>
      <c r="D3359" s="1323" t="s">
        <v>3009</v>
      </c>
      <c r="E3359" s="1323">
        <v>42766</v>
      </c>
      <c r="F3359" s="1324" t="s">
        <v>3010</v>
      </c>
      <c r="G3359" s="1325" t="s">
        <v>332</v>
      </c>
      <c r="H3359" s="1326" t="s">
        <v>376</v>
      </c>
      <c r="I3359" s="1327"/>
      <c r="J3359" s="1328"/>
      <c r="K3359" s="1327"/>
      <c r="L3359" s="1329"/>
      <c r="M3359" s="1330">
        <v>272875000</v>
      </c>
      <c r="N3359" s="1331" t="s">
        <v>8</v>
      </c>
      <c r="O3359" s="1331" t="s">
        <v>262</v>
      </c>
      <c r="P3359" s="1332" t="str">
        <f>IF(AND('331-CT'!$E$7=TH!H3389,OR(N3359="331",O3359="331")),"x","")</f>
        <v/>
      </c>
      <c r="Q3359" s="1332" t="str">
        <f>IF(AND(B3359='111'!$L$11,OR($N3359=$Q$7,$O3359=$Q$7)),"x","")</f>
        <v/>
      </c>
      <c r="R3359" s="1332" t="str">
        <f>IF(AND($N3359=$Q$7,$B3359&lt;'111'!$L$11),"x","")</f>
        <v/>
      </c>
      <c r="S3359" s="1332" t="str">
        <f>IF(AND($O3359=$Q$7,$B3359&lt;'111'!$L$11),"x","")</f>
        <v/>
      </c>
      <c r="T3359" s="1332" t="str">
        <f>IF(ISERROR(FIND('112'!$M$9,G3359,1)),"",IF((AND(FIND('112'!$M$9,G3359,1)&gt;=1,B3359='112'!$K$9,OR($N3359='112'!$I$6,$O3359='112'!$I$6))),"x",""))</f>
        <v/>
      </c>
      <c r="U3359" s="1332" t="str">
        <f>IF(ISERROR(FIND('112'!$M$9,G3359,1)),"",IF((AND(LEFT(G3359,2)=LEFT('112'!$M$9,2),B3359&lt;'112'!$K$9,$N3359='112'!$I$6)),"x",""))</f>
        <v/>
      </c>
      <c r="V3359" s="1332" t="str">
        <f>IF(ISERROR(FIND('112'!$M$9,G3359,1)),"",IF((AND(RIGHT(G3359,2)=RIGHT('112'!$M$9,2),B3359&lt;'112'!$K$9,$O3359='112'!$I$6)),"x",""))</f>
        <v/>
      </c>
      <c r="W3359" s="1332" t="str">
        <f>IF(AND('341-CT'!$H$9=H3359,OR(LEFT(N3359,3)=$W$7,LEFT(O3359,3)=$W$7)),"x","")</f>
        <v/>
      </c>
      <c r="X3359" s="1332" t="str">
        <f>IF(OR(TH!N3389=TH!$X$7,O3359=TH!$X$7),"x","")</f>
        <v>x</v>
      </c>
      <c r="Y3359" s="1332" t="str">
        <f>IF(AND(OR(N3359="131",O3359="131"),H3359='131-CT'!$H$9),"x","")</f>
        <v/>
      </c>
      <c r="Z3359" s="1332"/>
      <c r="AA3359" s="1332" t="str">
        <f>IF(AND(MONTH(E3359)='IN-NX'!$J$5,'IN-NX'!$D$7=D3359),"x","")</f>
        <v/>
      </c>
      <c r="AB3359" s="1332" t="str">
        <f>IF(AND(OR(LEFT(TH!N3389,2)="15",LEFT(TH!O3389,2)="15"),LEFT(TH!O3389,3)&lt;&gt;"111",'152-CT'!$J$8=TH!F3389),"x","")</f>
        <v/>
      </c>
      <c r="AC3359" s="1332" t="str">
        <f>IF(AND(OR(LEFT(TH!N3389,2)="15",LEFT(TH!O3389,2)="15"),TK!$E$7=TH!F3389),"x","")</f>
        <v/>
      </c>
      <c r="AD3359" s="1332" t="str">
        <f>IF(AND(N3359="1521",MONTH(C3359)='BK-NL'!$M$11),"x","")</f>
        <v/>
      </c>
    </row>
    <row r="3360" spans="1:30" s="1333" customFormat="1" ht="16.5" customHeight="1">
      <c r="A3360" s="309" t="str">
        <f>IF(B3360&lt;&gt;"",IF(AND(B3360='IN-TC'!$S$4,OR(TH!N3360="1111",TH!O3360="1111")),TH!D3360,""),"")</f>
        <v/>
      </c>
      <c r="B3360" s="1322">
        <f t="shared" si="1285"/>
        <v>1</v>
      </c>
      <c r="C3360" s="1323">
        <f t="shared" si="1286"/>
        <v>42766</v>
      </c>
      <c r="D3360" s="1323" t="s">
        <v>3009</v>
      </c>
      <c r="E3360" s="1323">
        <v>42766</v>
      </c>
      <c r="F3360" s="1324" t="s">
        <v>3010</v>
      </c>
      <c r="G3360" s="1325" t="s">
        <v>332</v>
      </c>
      <c r="H3360" s="1326" t="s">
        <v>350</v>
      </c>
      <c r="I3360" s="1327"/>
      <c r="J3360" s="1328"/>
      <c r="K3360" s="1327"/>
      <c r="L3360" s="1329"/>
      <c r="M3360" s="1330">
        <v>440825000</v>
      </c>
      <c r="N3360" s="1331" t="s">
        <v>8</v>
      </c>
      <c r="O3360" s="1331" t="s">
        <v>262</v>
      </c>
      <c r="P3360" s="1332" t="str">
        <f>IF(AND('331-CT'!$E$7=TH!H3359,OR(N3360="331",O3360="331")),"x","")</f>
        <v/>
      </c>
      <c r="Q3360" s="1332" t="str">
        <f>IF(AND(B3360='111'!$L$11,OR($N3360=$Q$7,$O3360=$Q$7)),"x","")</f>
        <v/>
      </c>
      <c r="R3360" s="1332" t="str">
        <f>IF(AND($N3360=$Q$7,$B3360&lt;'111'!$L$11),"x","")</f>
        <v/>
      </c>
      <c r="S3360" s="1332" t="str">
        <f>IF(AND($O3360=$Q$7,$B3360&lt;'111'!$L$11),"x","")</f>
        <v/>
      </c>
      <c r="T3360" s="1332" t="str">
        <f>IF(ISERROR(FIND('112'!$M$9,G3360,1)),"",IF((AND(FIND('112'!$M$9,G3360,1)&gt;=1,B3360='112'!$K$9,OR($N3360='112'!$I$6,$O3360='112'!$I$6))),"x",""))</f>
        <v/>
      </c>
      <c r="U3360" s="1332" t="str">
        <f>IF(ISERROR(FIND('112'!$M$9,G3360,1)),"",IF((AND(LEFT(G3360,2)=LEFT('112'!$M$9,2),B3360&lt;'112'!$K$9,$N3360='112'!$I$6)),"x",""))</f>
        <v/>
      </c>
      <c r="V3360" s="1332" t="str">
        <f>IF(ISERROR(FIND('112'!$M$9,G3360,1)),"",IF((AND(RIGHT(G3360,2)=RIGHT('112'!$M$9,2),B3360&lt;'112'!$K$9,$O3360='112'!$I$6)),"x",""))</f>
        <v/>
      </c>
      <c r="W3360" s="1332" t="str">
        <f>IF(AND('341-CT'!$H$9=H3360,OR(LEFT(N3360,3)=$W$7,LEFT(O3360,3)=$W$7)),"x","")</f>
        <v/>
      </c>
      <c r="X3360" s="1332" t="str">
        <f>IF(OR(TH!N3359=TH!$X$7,O3360=TH!$X$7),"x","")</f>
        <v>x</v>
      </c>
      <c r="Y3360" s="1332" t="str">
        <f>IF(AND(OR(N3360="131",O3360="131"),H3360='131-CT'!$H$9),"x","")</f>
        <v/>
      </c>
      <c r="Z3360" s="1332"/>
      <c r="AA3360" s="1332" t="str">
        <f>IF(AND(MONTH(E3360)='IN-NX'!$J$5,'IN-NX'!$D$7=D3360),"x","")</f>
        <v/>
      </c>
      <c r="AB3360" s="1332" t="str">
        <f>IF(AND(OR(LEFT(TH!N3359,2)="15",LEFT(TH!O3359,2)="15"),LEFT(TH!O3359,3)&lt;&gt;"111",'152-CT'!$J$8=TH!F3359),"x","")</f>
        <v/>
      </c>
      <c r="AC3360" s="1332" t="str">
        <f>IF(AND(OR(LEFT(TH!N3359,2)="15",LEFT(TH!O3359,2)="15"),TK!$E$7=TH!F3359),"x","")</f>
        <v/>
      </c>
      <c r="AD3360" s="1332" t="str">
        <f>IF(AND(N3360="1521",MONTH(C3360)='BK-NL'!$M$11),"x","")</f>
        <v/>
      </c>
    </row>
    <row r="3361" spans="1:30" s="1333" customFormat="1" ht="16.5" customHeight="1">
      <c r="A3361" s="309" t="str">
        <f>IF(B3361&lt;&gt;"",IF(AND(B3361='IN-TC'!$S$4,OR(TH!N3361="1111",TH!O3361="1111")),TH!D3361,""),"")</f>
        <v/>
      </c>
      <c r="B3361" s="1322">
        <f t="shared" si="1285"/>
        <v>3</v>
      </c>
      <c r="C3361" s="1323">
        <f t="shared" si="1286"/>
        <v>42825</v>
      </c>
      <c r="D3361" s="1323" t="s">
        <v>3012</v>
      </c>
      <c r="E3361" s="1323">
        <v>42825</v>
      </c>
      <c r="F3361" s="1324" t="s">
        <v>3010</v>
      </c>
      <c r="G3361" s="1325" t="s">
        <v>332</v>
      </c>
      <c r="H3361" s="1326" t="s">
        <v>348</v>
      </c>
      <c r="I3361" s="1327"/>
      <c r="J3361" s="1328"/>
      <c r="K3361" s="1327"/>
      <c r="L3361" s="1329"/>
      <c r="M3361" s="1330">
        <v>170748000</v>
      </c>
      <c r="N3361" s="1331" t="s">
        <v>8</v>
      </c>
      <c r="O3361" s="1331" t="s">
        <v>262</v>
      </c>
      <c r="P3361" s="1332" t="str">
        <f>IF(AND('331-CT'!$E$7=TH!H3354,OR(N3361="331",O3361="331")),"x","")</f>
        <v/>
      </c>
      <c r="Q3361" s="1332" t="str">
        <f>IF(AND(B3361='111'!$L$11,OR($N3361=$Q$7,$O3361=$Q$7)),"x","")</f>
        <v/>
      </c>
      <c r="R3361" s="1332" t="str">
        <f>IF(AND($N3361=$Q$7,$B3361&lt;'111'!$L$11),"x","")</f>
        <v/>
      </c>
      <c r="S3361" s="1332" t="str">
        <f>IF(AND($O3361=$Q$7,$B3361&lt;'111'!$L$11),"x","")</f>
        <v/>
      </c>
      <c r="T3361" s="1332" t="str">
        <f>IF(ISERROR(FIND('112'!$M$9,G3361,1)),"",IF((AND(FIND('112'!$M$9,G3361,1)&gt;=1,B3361='112'!$K$9,OR($N3361='112'!$I$6,$O3361='112'!$I$6))),"x",""))</f>
        <v/>
      </c>
      <c r="U3361" s="1332" t="str">
        <f>IF(ISERROR(FIND('112'!$M$9,G3361,1)),"",IF((AND(LEFT(G3361,2)=LEFT('112'!$M$9,2),B3361&lt;'112'!$K$9,$N3361='112'!$I$6)),"x",""))</f>
        <v/>
      </c>
      <c r="V3361" s="1332" t="str">
        <f>IF(ISERROR(FIND('112'!$M$9,G3361,1)),"",IF((AND(RIGHT(G3361,2)=RIGHT('112'!$M$9,2),B3361&lt;'112'!$K$9,$O3361='112'!$I$6)),"x",""))</f>
        <v/>
      </c>
      <c r="W3361" s="1332" t="str">
        <f>IF(AND('341-CT'!$H$9=H3361,OR(LEFT(N3361,3)=$W$7,LEFT(O3361,3)=$W$7)),"x","")</f>
        <v/>
      </c>
      <c r="X3361" s="1332" t="str">
        <f>IF(OR(TH!N3354=TH!$X$7,O3361=TH!$X$7),"x","")</f>
        <v>x</v>
      </c>
      <c r="Y3361" s="1332" t="str">
        <f>IF(AND(OR(N3361="131",O3361="131"),H3361='131-CT'!$H$9),"x","")</f>
        <v/>
      </c>
      <c r="Z3361" s="1332"/>
      <c r="AA3361" s="1332" t="str">
        <f>IF(AND(MONTH(E3361)='IN-NX'!$J$5,'IN-NX'!$D$7=D3361),"x","")</f>
        <v/>
      </c>
      <c r="AB3361" s="1332" t="str">
        <f>IF(AND(OR(LEFT(TH!N3354,2)="15",LEFT(TH!O3354,2)="15"),LEFT(TH!O3354,3)&lt;&gt;"111",'152-CT'!$J$8=TH!F3354),"x","")</f>
        <v/>
      </c>
      <c r="AC3361" s="1332" t="str">
        <f>IF(AND(OR(LEFT(TH!N3354,2)="15",LEFT(TH!O3354,2)="15"),TK!$E$7=TH!F3354),"x","")</f>
        <v/>
      </c>
      <c r="AD3361" s="1332" t="str">
        <f>IF(AND(N3361="1521",MONTH(C3361)='BK-NL'!$M$11),"x","")</f>
        <v/>
      </c>
    </row>
    <row r="3362" spans="1:30" s="1333" customFormat="1" ht="16.5" customHeight="1">
      <c r="A3362" s="309" t="str">
        <f>IF(B3362&lt;&gt;"",IF(AND(B3362='IN-TC'!$S$4,OR(TH!N3362="1111",TH!O3362="1111")),TH!D3362,""),"")</f>
        <v/>
      </c>
      <c r="B3362" s="1322">
        <f t="shared" si="1285"/>
        <v>3</v>
      </c>
      <c r="C3362" s="1323">
        <f t="shared" si="1286"/>
        <v>42825</v>
      </c>
      <c r="D3362" s="1323" t="s">
        <v>3012</v>
      </c>
      <c r="E3362" s="1323">
        <v>42825</v>
      </c>
      <c r="F3362" s="1324" t="s">
        <v>3010</v>
      </c>
      <c r="G3362" s="1325" t="s">
        <v>332</v>
      </c>
      <c r="H3362" s="1326" t="s">
        <v>350</v>
      </c>
      <c r="I3362" s="1327"/>
      <c r="J3362" s="1328"/>
      <c r="K3362" s="1327"/>
      <c r="L3362" s="1329"/>
      <c r="M3362" s="1330">
        <v>169290000</v>
      </c>
      <c r="N3362" s="1331" t="s">
        <v>8</v>
      </c>
      <c r="O3362" s="1331" t="s">
        <v>262</v>
      </c>
      <c r="P3362" s="1332" t="str">
        <f>IF(AND('331-CT'!$E$7=TH!H3360,OR(N3362="331",O3362="331")),"x","")</f>
        <v/>
      </c>
      <c r="Q3362" s="1332" t="str">
        <f>IF(AND(B3362='111'!$L$11,OR($N3362=$Q$7,$O3362=$Q$7)),"x","")</f>
        <v/>
      </c>
      <c r="R3362" s="1332" t="str">
        <f>IF(AND($N3362=$Q$7,$B3362&lt;'111'!$L$11),"x","")</f>
        <v/>
      </c>
      <c r="S3362" s="1332" t="str">
        <f>IF(AND($O3362=$Q$7,$B3362&lt;'111'!$L$11),"x","")</f>
        <v/>
      </c>
      <c r="T3362" s="1332" t="str">
        <f>IF(ISERROR(FIND('112'!$M$9,G3362,1)),"",IF((AND(FIND('112'!$M$9,G3362,1)&gt;=1,B3362='112'!$K$9,OR($N3362='112'!$I$6,$O3362='112'!$I$6))),"x",""))</f>
        <v/>
      </c>
      <c r="U3362" s="1332" t="str">
        <f>IF(ISERROR(FIND('112'!$M$9,G3362,1)),"",IF((AND(LEFT(G3362,2)=LEFT('112'!$M$9,2),B3362&lt;'112'!$K$9,$N3362='112'!$I$6)),"x",""))</f>
        <v/>
      </c>
      <c r="V3362" s="1332" t="str">
        <f>IF(ISERROR(FIND('112'!$M$9,G3362,1)),"",IF((AND(RIGHT(G3362,2)=RIGHT('112'!$M$9,2),B3362&lt;'112'!$K$9,$O3362='112'!$I$6)),"x",""))</f>
        <v/>
      </c>
      <c r="W3362" s="1332" t="str">
        <f>IF(AND('341-CT'!$H$9=H3362,OR(LEFT(N3362,3)=$W$7,LEFT(O3362,3)=$W$7)),"x","")</f>
        <v/>
      </c>
      <c r="X3362" s="1332" t="str">
        <f>IF(OR(TH!N3360=TH!$X$7,O3362=TH!$X$7),"x","")</f>
        <v>x</v>
      </c>
      <c r="Y3362" s="1332" t="str">
        <f>IF(AND(OR(N3362="131",O3362="131"),H3362='131-CT'!$H$9),"x","")</f>
        <v/>
      </c>
      <c r="Z3362" s="1332"/>
      <c r="AA3362" s="1332" t="str">
        <f>IF(AND(MONTH(E3362)='IN-NX'!$J$5,'IN-NX'!$D$7=D3362),"x","")</f>
        <v/>
      </c>
      <c r="AB3362" s="1332" t="str">
        <f>IF(AND(OR(LEFT(TH!N3360,2)="15",LEFT(TH!O3360,2)="15"),LEFT(TH!O3360,3)&lt;&gt;"111",'152-CT'!$J$8=TH!F3360),"x","")</f>
        <v/>
      </c>
      <c r="AC3362" s="1332" t="str">
        <f>IF(AND(OR(LEFT(TH!N3360,2)="15",LEFT(TH!O3360,2)="15"),TK!$E$7=TH!F3360),"x","")</f>
        <v/>
      </c>
      <c r="AD3362" s="1332" t="str">
        <f>IF(AND(N3362="1521",MONTH(C3362)='BK-NL'!$M$11),"x","")</f>
        <v/>
      </c>
    </row>
    <row r="3363" spans="1:30" s="1333" customFormat="1" ht="16.5" customHeight="1">
      <c r="A3363" s="309" t="str">
        <f>IF(B3363&lt;&gt;"",IF(AND(B3363='IN-TC'!$S$4,OR(TH!N3363="1111",TH!O3363="1111")),TH!D3363,""),"")</f>
        <v/>
      </c>
      <c r="B3363" s="1322">
        <f t="shared" si="1285"/>
        <v>3</v>
      </c>
      <c r="C3363" s="1323">
        <f t="shared" si="1286"/>
        <v>42825</v>
      </c>
      <c r="D3363" s="1323" t="s">
        <v>3012</v>
      </c>
      <c r="E3363" s="1323">
        <v>42825</v>
      </c>
      <c r="F3363" s="1324" t="s">
        <v>3010</v>
      </c>
      <c r="G3363" s="1325" t="s">
        <v>332</v>
      </c>
      <c r="H3363" s="1326" t="s">
        <v>382</v>
      </c>
      <c r="I3363" s="1327"/>
      <c r="J3363" s="1328"/>
      <c r="K3363" s="1327"/>
      <c r="L3363" s="1329"/>
      <c r="M3363" s="1330">
        <v>267565500</v>
      </c>
      <c r="N3363" s="1331" t="s">
        <v>8</v>
      </c>
      <c r="O3363" s="1331" t="s">
        <v>262</v>
      </c>
      <c r="P3363" s="1332" t="str">
        <f>IF(AND('331-CT'!$E$7=TH!H3369,OR(N3363="331",O3363="331")),"x","")</f>
        <v/>
      </c>
      <c r="Q3363" s="1332" t="str">
        <f>IF(AND(B3363='111'!$L$11,OR($N3363=$Q$7,$O3363=$Q$7)),"x","")</f>
        <v/>
      </c>
      <c r="R3363" s="1332" t="str">
        <f>IF(AND($N3363=$Q$7,$B3363&lt;'111'!$L$11),"x","")</f>
        <v/>
      </c>
      <c r="S3363" s="1332" t="str">
        <f>IF(AND($O3363=$Q$7,$B3363&lt;'111'!$L$11),"x","")</f>
        <v/>
      </c>
      <c r="T3363" s="1332" t="str">
        <f>IF(ISERROR(FIND('112'!$M$9,G3363,1)),"",IF((AND(FIND('112'!$M$9,G3363,1)&gt;=1,B3363='112'!$K$9,OR($N3363='112'!$I$6,$O3363='112'!$I$6))),"x",""))</f>
        <v/>
      </c>
      <c r="U3363" s="1332" t="str">
        <f>IF(ISERROR(FIND('112'!$M$9,G3363,1)),"",IF((AND(LEFT(G3363,2)=LEFT('112'!$M$9,2),B3363&lt;'112'!$K$9,$N3363='112'!$I$6)),"x",""))</f>
        <v/>
      </c>
      <c r="V3363" s="1332" t="str">
        <f>IF(ISERROR(FIND('112'!$M$9,G3363,1)),"",IF((AND(RIGHT(G3363,2)=RIGHT('112'!$M$9,2),B3363&lt;'112'!$K$9,$O3363='112'!$I$6)),"x",""))</f>
        <v/>
      </c>
      <c r="W3363" s="1332" t="str">
        <f>IF(AND('341-CT'!$H$9=H3363,OR(LEFT(N3363,3)=$W$7,LEFT(O3363,3)=$W$7)),"x","")</f>
        <v/>
      </c>
      <c r="X3363" s="1332" t="str">
        <f>IF(OR(TH!N3369=TH!$X$7,O3363=TH!$X$7),"x","")</f>
        <v>x</v>
      </c>
      <c r="Y3363" s="1332" t="str">
        <f>IF(AND(OR(N3363="131",O3363="131"),H3363='131-CT'!$H$9),"x","")</f>
        <v/>
      </c>
      <c r="Z3363" s="1332"/>
      <c r="AA3363" s="1332" t="str">
        <f>IF(AND(MONTH(E3363)='IN-NX'!$J$5,'IN-NX'!$D$7=D3363),"x","")</f>
        <v/>
      </c>
      <c r="AB3363" s="1332" t="str">
        <f>IF(AND(OR(LEFT(TH!N3369,2)="15",LEFT(TH!O3369,2)="15"),LEFT(TH!O3369,3)&lt;&gt;"111",'152-CT'!$J$8=TH!F3369),"x","")</f>
        <v/>
      </c>
      <c r="AC3363" s="1332" t="str">
        <f>IF(AND(OR(LEFT(TH!N3369,2)="15",LEFT(TH!O3369,2)="15"),TK!$E$7=TH!F3369),"x","")</f>
        <v/>
      </c>
      <c r="AD3363" s="1332" t="str">
        <f>IF(AND(N3363="1521",MONTH(C3363)='BK-NL'!$M$11),"x","")</f>
        <v/>
      </c>
    </row>
    <row r="3364" spans="1:30" s="1333" customFormat="1" ht="16.5" customHeight="1">
      <c r="A3364" s="309" t="str">
        <f>IF(B3364&lt;&gt;"",IF(AND(B3364='IN-TC'!$S$4,OR(TH!N3364="1111",TH!O3364="1111")),TH!D3364,""),"")</f>
        <v/>
      </c>
      <c r="B3364" s="1322">
        <f t="shared" si="1285"/>
        <v>4</v>
      </c>
      <c r="C3364" s="1323">
        <f t="shared" si="1286"/>
        <v>42855</v>
      </c>
      <c r="D3364" s="1323" t="s">
        <v>3014</v>
      </c>
      <c r="E3364" s="1323">
        <v>42855</v>
      </c>
      <c r="F3364" s="1324" t="s">
        <v>3010</v>
      </c>
      <c r="G3364" s="1325" t="s">
        <v>332</v>
      </c>
      <c r="H3364" s="1326" t="s">
        <v>405</v>
      </c>
      <c r="I3364" s="1327"/>
      <c r="J3364" s="1328"/>
      <c r="K3364" s="1327"/>
      <c r="L3364" s="1329"/>
      <c r="M3364" s="1330">
        <v>1285069200</v>
      </c>
      <c r="N3364" s="1331" t="s">
        <v>8</v>
      </c>
      <c r="O3364" s="1331" t="s">
        <v>262</v>
      </c>
      <c r="P3364" s="1332" t="str">
        <f>IF(AND('331-CT'!$E$7=TH!H3379,OR(N3364="331",O3364="331")),"x","")</f>
        <v/>
      </c>
      <c r="Q3364" s="1332" t="str">
        <f>IF(AND(B3364='111'!$L$11,OR($N3364=$Q$7,$O3364=$Q$7)),"x","")</f>
        <v/>
      </c>
      <c r="R3364" s="1332" t="str">
        <f>IF(AND($N3364=$Q$7,$B3364&lt;'111'!$L$11),"x","")</f>
        <v/>
      </c>
      <c r="S3364" s="1332" t="str">
        <f>IF(AND($O3364=$Q$7,$B3364&lt;'111'!$L$11),"x","")</f>
        <v/>
      </c>
      <c r="T3364" s="1332" t="str">
        <f>IF(ISERROR(FIND('112'!$M$9,G3364,1)),"",IF((AND(FIND('112'!$M$9,G3364,1)&gt;=1,B3364='112'!$K$9,OR($N3364='112'!$I$6,$O3364='112'!$I$6))),"x",""))</f>
        <v/>
      </c>
      <c r="U3364" s="1332" t="str">
        <f>IF(ISERROR(FIND('112'!$M$9,G3364,1)),"",IF((AND(LEFT(G3364,2)=LEFT('112'!$M$9,2),B3364&lt;'112'!$K$9,$N3364='112'!$I$6)),"x",""))</f>
        <v/>
      </c>
      <c r="V3364" s="1332" t="str">
        <f>IF(ISERROR(FIND('112'!$M$9,G3364,1)),"",IF((AND(RIGHT(G3364,2)=RIGHT('112'!$M$9,2),B3364&lt;'112'!$K$9,$O3364='112'!$I$6)),"x",""))</f>
        <v/>
      </c>
      <c r="W3364" s="1332" t="str">
        <f>IF(AND('341-CT'!$H$9=H3364,OR(LEFT(N3364,3)=$W$7,LEFT(O3364,3)=$W$7)),"x","")</f>
        <v/>
      </c>
      <c r="X3364" s="1332" t="str">
        <f>IF(OR(TH!N3379=TH!$X$7,O3364=TH!$X$7),"x","")</f>
        <v>x</v>
      </c>
      <c r="Y3364" s="1332" t="str">
        <f>IF(AND(OR(N3364="131",O3364="131"),H3364='131-CT'!$H$9),"x","")</f>
        <v/>
      </c>
      <c r="Z3364" s="1332"/>
      <c r="AA3364" s="1332" t="str">
        <f>IF(AND(MONTH(E3364)='IN-NX'!$J$5,'IN-NX'!$D$7=D3364),"x","")</f>
        <v/>
      </c>
      <c r="AB3364" s="1332" t="str">
        <f>IF(AND(OR(LEFT(TH!N3379,2)="15",LEFT(TH!O3379,2)="15"),LEFT(TH!O3379,3)&lt;&gt;"111",'152-CT'!$J$8=TH!F3379),"x","")</f>
        <v/>
      </c>
      <c r="AC3364" s="1332" t="str">
        <f>IF(AND(OR(LEFT(TH!N3379,2)="15",LEFT(TH!O3379,2)="15"),TK!$E$7=TH!F3379),"x","")</f>
        <v/>
      </c>
      <c r="AD3364" s="1332" t="str">
        <f>IF(AND(N3364="1521",MONTH(C3364)='BK-NL'!$M$11),"x","")</f>
        <v/>
      </c>
    </row>
    <row r="3365" spans="1:30" s="1333" customFormat="1" ht="16.5" customHeight="1">
      <c r="A3365" s="309" t="str">
        <f>IF(B3365&lt;&gt;"",IF(AND(B3365='IN-TC'!$S$4,OR(TH!N3365="1111",TH!O3365="1111")),TH!D3365,""),"")</f>
        <v/>
      </c>
      <c r="B3365" s="1322">
        <f t="shared" si="1285"/>
        <v>4</v>
      </c>
      <c r="C3365" s="1323">
        <f t="shared" si="1286"/>
        <v>42855</v>
      </c>
      <c r="D3365" s="1323" t="s">
        <v>3014</v>
      </c>
      <c r="E3365" s="1323">
        <v>42855</v>
      </c>
      <c r="F3365" s="1324" t="s">
        <v>3010</v>
      </c>
      <c r="G3365" s="1325" t="s">
        <v>332</v>
      </c>
      <c r="H3365" s="1326" t="s">
        <v>408</v>
      </c>
      <c r="I3365" s="1327"/>
      <c r="J3365" s="1328"/>
      <c r="K3365" s="1327"/>
      <c r="L3365" s="1329"/>
      <c r="M3365" s="1330">
        <v>427226800</v>
      </c>
      <c r="N3365" s="1331" t="s">
        <v>8</v>
      </c>
      <c r="O3365" s="1331" t="s">
        <v>262</v>
      </c>
      <c r="P3365" s="1332" t="str">
        <f>IF(AND('331-CT'!$E$7=TH!H3381,OR(N3365="331",O3365="331")),"x","")</f>
        <v/>
      </c>
      <c r="Q3365" s="1332" t="str">
        <f>IF(AND(B3365='111'!$L$11,OR($N3365=$Q$7,$O3365=$Q$7)),"x","")</f>
        <v/>
      </c>
      <c r="R3365" s="1332" t="str">
        <f>IF(AND($N3365=$Q$7,$B3365&lt;'111'!$L$11),"x","")</f>
        <v/>
      </c>
      <c r="S3365" s="1332" t="str">
        <f>IF(AND($O3365=$Q$7,$B3365&lt;'111'!$L$11),"x","")</f>
        <v/>
      </c>
      <c r="T3365" s="1332" t="str">
        <f>IF(ISERROR(FIND('112'!$M$9,G3365,1)),"",IF((AND(FIND('112'!$M$9,G3365,1)&gt;=1,B3365='112'!$K$9,OR($N3365='112'!$I$6,$O3365='112'!$I$6))),"x",""))</f>
        <v/>
      </c>
      <c r="U3365" s="1332" t="str">
        <f>IF(ISERROR(FIND('112'!$M$9,G3365,1)),"",IF((AND(LEFT(G3365,2)=LEFT('112'!$M$9,2),B3365&lt;'112'!$K$9,$N3365='112'!$I$6)),"x",""))</f>
        <v/>
      </c>
      <c r="V3365" s="1332" t="str">
        <f>IF(ISERROR(FIND('112'!$M$9,G3365,1)),"",IF((AND(RIGHT(G3365,2)=RIGHT('112'!$M$9,2),B3365&lt;'112'!$K$9,$O3365='112'!$I$6)),"x",""))</f>
        <v/>
      </c>
      <c r="W3365" s="1332" t="str">
        <f>IF(AND('341-CT'!$H$9=H3365,OR(LEFT(N3365,3)=$W$7,LEFT(O3365,3)=$W$7)),"x","")</f>
        <v/>
      </c>
      <c r="X3365" s="1332" t="str">
        <f>IF(OR(TH!N3381=TH!$X$7,O3365=TH!$X$7),"x","")</f>
        <v>x</v>
      </c>
      <c r="Y3365" s="1332" t="str">
        <f>IF(AND(OR(N3365="131",O3365="131"),H3365='131-CT'!$H$9),"x","")</f>
        <v/>
      </c>
      <c r="Z3365" s="1332"/>
      <c r="AA3365" s="1332" t="str">
        <f>IF(AND(MONTH(E3365)='IN-NX'!$J$5,'IN-NX'!$D$7=D3365),"x","")</f>
        <v/>
      </c>
      <c r="AB3365" s="1332" t="str">
        <f>IF(AND(OR(LEFT(TH!N3381,2)="15",LEFT(TH!O3381,2)="15"),LEFT(TH!O3381,3)&lt;&gt;"111",'152-CT'!$J$8=TH!F3381),"x","")</f>
        <v/>
      </c>
      <c r="AC3365" s="1332" t="str">
        <f>IF(AND(OR(LEFT(TH!N3381,2)="15",LEFT(TH!O3381,2)="15"),TK!$E$7=TH!F3381),"x","")</f>
        <v/>
      </c>
      <c r="AD3365" s="1332" t="str">
        <f>IF(AND(N3365="1521",MONTH(C3365)='BK-NL'!$M$11),"x","")</f>
        <v/>
      </c>
    </row>
    <row r="3366" spans="1:30" s="1333" customFormat="1" ht="16.5" customHeight="1">
      <c r="A3366" s="309" t="str">
        <f>IF(B3366&lt;&gt;"",IF(AND(B3366='IN-TC'!$S$4,OR(TH!N3366="1111",TH!O3366="1111")),TH!D3366,""),"")</f>
        <v/>
      </c>
      <c r="B3366" s="1322">
        <f t="shared" si="1285"/>
        <v>5</v>
      </c>
      <c r="C3366" s="1323">
        <f t="shared" si="1286"/>
        <v>42886</v>
      </c>
      <c r="D3366" s="1323" t="s">
        <v>3016</v>
      </c>
      <c r="E3366" s="1323">
        <v>42886</v>
      </c>
      <c r="F3366" s="1324" t="s">
        <v>3010</v>
      </c>
      <c r="G3366" s="1325" t="s">
        <v>332</v>
      </c>
      <c r="H3366" s="1326" t="s">
        <v>350</v>
      </c>
      <c r="I3366" s="1327"/>
      <c r="J3366" s="1328"/>
      <c r="K3366" s="1327"/>
      <c r="L3366" s="1329"/>
      <c r="M3366" s="1330">
        <v>417360000</v>
      </c>
      <c r="N3366" s="1331" t="s">
        <v>8</v>
      </c>
      <c r="O3366" s="1331" t="s">
        <v>262</v>
      </c>
      <c r="P3366" s="1332" t="str">
        <f>IF(AND('331-CT'!$E$7=TH!H3361,OR(N3366="331",O3366="331")),"x","")</f>
        <v/>
      </c>
      <c r="Q3366" s="1332" t="str">
        <f>IF(AND(B3366='111'!$L$11,OR($N3366=$Q$7,$O3366=$Q$7)),"x","")</f>
        <v/>
      </c>
      <c r="R3366" s="1332" t="str">
        <f>IF(AND($N3366=$Q$7,$B3366&lt;'111'!$L$11),"x","")</f>
        <v/>
      </c>
      <c r="S3366" s="1332" t="str">
        <f>IF(AND($O3366=$Q$7,$B3366&lt;'111'!$L$11),"x","")</f>
        <v/>
      </c>
      <c r="T3366" s="1332" t="str">
        <f>IF(ISERROR(FIND('112'!$M$9,G3366,1)),"",IF((AND(FIND('112'!$M$9,G3366,1)&gt;=1,B3366='112'!$K$9,OR($N3366='112'!$I$6,$O3366='112'!$I$6))),"x",""))</f>
        <v/>
      </c>
      <c r="U3366" s="1332" t="str">
        <f>IF(ISERROR(FIND('112'!$M$9,G3366,1)),"",IF((AND(LEFT(G3366,2)=LEFT('112'!$M$9,2),B3366&lt;'112'!$K$9,$N3366='112'!$I$6)),"x",""))</f>
        <v/>
      </c>
      <c r="V3366" s="1332" t="str">
        <f>IF(ISERROR(FIND('112'!$M$9,G3366,1)),"",IF((AND(RIGHT(G3366,2)=RIGHT('112'!$M$9,2),B3366&lt;'112'!$K$9,$O3366='112'!$I$6)),"x",""))</f>
        <v/>
      </c>
      <c r="W3366" s="1332" t="str">
        <f>IF(AND('341-CT'!$H$9=H3366,OR(LEFT(N3366,3)=$W$7,LEFT(O3366,3)=$W$7)),"x","")</f>
        <v/>
      </c>
      <c r="X3366" s="1332" t="str">
        <f>IF(OR(TH!N3361=TH!$X$7,O3366=TH!$X$7),"x","")</f>
        <v>x</v>
      </c>
      <c r="Y3366" s="1332" t="str">
        <f>IF(AND(OR(N3366="131",O3366="131"),H3366='131-CT'!$H$9),"x","")</f>
        <v/>
      </c>
      <c r="Z3366" s="1332"/>
      <c r="AA3366" s="1332" t="str">
        <f>IF(AND(MONTH(E3366)='IN-NX'!$J$5,'IN-NX'!$D$7=D3366),"x","")</f>
        <v/>
      </c>
      <c r="AB3366" s="1332" t="str">
        <f>IF(AND(OR(LEFT(TH!N3361,2)="15",LEFT(TH!O3361,2)="15"),LEFT(TH!O3361,3)&lt;&gt;"111",'152-CT'!$J$8=TH!F3361),"x","")</f>
        <v/>
      </c>
      <c r="AC3366" s="1332" t="str">
        <f>IF(AND(OR(LEFT(TH!N3361,2)="15",LEFT(TH!O3361,2)="15"),TK!$E$7=TH!F3361),"x","")</f>
        <v/>
      </c>
      <c r="AD3366" s="1332" t="str">
        <f>IF(AND(N3366="1521",MONTH(C3366)='BK-NL'!$M$11),"x","")</f>
        <v/>
      </c>
    </row>
    <row r="3367" spans="1:30" s="1333" customFormat="1" ht="16.5" customHeight="1">
      <c r="A3367" s="309" t="str">
        <f>IF(B3367&lt;&gt;"",IF(AND(B3367='IN-TC'!$S$4,OR(TH!N3367="1111",TH!O3367="1111")),TH!D3367,""),"")</f>
        <v/>
      </c>
      <c r="B3367" s="1322">
        <f t="shared" si="1285"/>
        <v>5</v>
      </c>
      <c r="C3367" s="1323">
        <f t="shared" si="1286"/>
        <v>42886</v>
      </c>
      <c r="D3367" s="1323" t="s">
        <v>3016</v>
      </c>
      <c r="E3367" s="1323">
        <v>42886</v>
      </c>
      <c r="F3367" s="1324" t="s">
        <v>3010</v>
      </c>
      <c r="G3367" s="1325" t="s">
        <v>332</v>
      </c>
      <c r="H3367" s="1326" t="s">
        <v>415</v>
      </c>
      <c r="I3367" s="1327"/>
      <c r="J3367" s="1328"/>
      <c r="K3367" s="1327"/>
      <c r="L3367" s="1329"/>
      <c r="M3367" s="1330">
        <v>381290000</v>
      </c>
      <c r="N3367" s="1331" t="s">
        <v>8</v>
      </c>
      <c r="O3367" s="1331" t="s">
        <v>262</v>
      </c>
      <c r="P3367" s="1332" t="str">
        <f>IF(AND('331-CT'!$E$7=TH!H3398,OR(N3367="331",O3367="331")),"x","")</f>
        <v/>
      </c>
      <c r="Q3367" s="1332" t="str">
        <f>IF(AND(B3367='111'!$L$11,OR($N3367=$Q$7,$O3367=$Q$7)),"x","")</f>
        <v/>
      </c>
      <c r="R3367" s="1332" t="str">
        <f>IF(AND($N3367=$Q$7,$B3367&lt;'111'!$L$11),"x","")</f>
        <v/>
      </c>
      <c r="S3367" s="1332" t="str">
        <f>IF(AND($O3367=$Q$7,$B3367&lt;'111'!$L$11),"x","")</f>
        <v/>
      </c>
      <c r="T3367" s="1332" t="str">
        <f>IF(ISERROR(FIND('112'!$M$9,G3367,1)),"",IF((AND(FIND('112'!$M$9,G3367,1)&gt;=1,B3367='112'!$K$9,OR($N3367='112'!$I$6,$O3367='112'!$I$6))),"x",""))</f>
        <v/>
      </c>
      <c r="U3367" s="1332" t="str">
        <f>IF(ISERROR(FIND('112'!$M$9,G3367,1)),"",IF((AND(LEFT(G3367,2)=LEFT('112'!$M$9,2),B3367&lt;'112'!$K$9,$N3367='112'!$I$6)),"x",""))</f>
        <v/>
      </c>
      <c r="V3367" s="1332" t="str">
        <f>IF(ISERROR(FIND('112'!$M$9,G3367,1)),"",IF((AND(RIGHT(G3367,2)=RIGHT('112'!$M$9,2),B3367&lt;'112'!$K$9,$O3367='112'!$I$6)),"x",""))</f>
        <v/>
      </c>
      <c r="W3367" s="1332" t="str">
        <f>IF(AND('341-CT'!$H$9=H3367,OR(LEFT(N3367,3)=$W$7,LEFT(O3367,3)=$W$7)),"x","")</f>
        <v/>
      </c>
      <c r="X3367" s="1332" t="str">
        <f>IF(OR(TH!N3398=TH!$X$7,O3367=TH!$X$7),"x","")</f>
        <v>x</v>
      </c>
      <c r="Y3367" s="1332" t="str">
        <f>IF(AND(OR(N3367="131",O3367="131"),H3367='131-CT'!$H$9),"x","")</f>
        <v/>
      </c>
      <c r="Z3367" s="1332"/>
      <c r="AA3367" s="1332" t="str">
        <f>IF(AND(MONTH(E3367)='IN-NX'!$J$5,'IN-NX'!$D$7=D3367),"x","")</f>
        <v/>
      </c>
      <c r="AB3367" s="1332" t="str">
        <f>IF(AND(OR(LEFT(TH!N3398,2)="15",LEFT(TH!O3398,2)="15"),LEFT(TH!O3398,3)&lt;&gt;"111",'152-CT'!$J$8=TH!F3398),"x","")</f>
        <v/>
      </c>
      <c r="AC3367" s="1332" t="str">
        <f>IF(AND(OR(LEFT(TH!N3398,2)="15",LEFT(TH!O3398,2)="15"),TK!$E$7=TH!F3398),"x","")</f>
        <v/>
      </c>
      <c r="AD3367" s="1332" t="str">
        <f>IF(AND(N3367="1521",MONTH(C3367)='BK-NL'!$M$11),"x","")</f>
        <v/>
      </c>
    </row>
    <row r="3368" spans="1:30" s="1333" customFormat="1" ht="16.5" customHeight="1">
      <c r="A3368" s="309" t="str">
        <f>IF(B3368&lt;&gt;"",IF(AND(B3368='IN-TC'!$S$4,OR(TH!N3368="1111",TH!O3368="1111")),TH!D3368,""),"")</f>
        <v/>
      </c>
      <c r="B3368" s="1322">
        <f t="shared" si="1285"/>
        <v>5</v>
      </c>
      <c r="C3368" s="1323">
        <f t="shared" si="1286"/>
        <v>42886</v>
      </c>
      <c r="D3368" s="1323" t="s">
        <v>3016</v>
      </c>
      <c r="E3368" s="1323">
        <v>42886</v>
      </c>
      <c r="F3368" s="1324" t="s">
        <v>3010</v>
      </c>
      <c r="G3368" s="1325" t="s">
        <v>332</v>
      </c>
      <c r="H3368" s="1326" t="s">
        <v>348</v>
      </c>
      <c r="I3368" s="1327"/>
      <c r="J3368" s="1328"/>
      <c r="K3368" s="1327"/>
      <c r="L3368" s="1329"/>
      <c r="M3368" s="1330">
        <f>420246000+531250000</f>
        <v>951496000</v>
      </c>
      <c r="N3368" s="1331" t="s">
        <v>8</v>
      </c>
      <c r="O3368" s="1331" t="s">
        <v>262</v>
      </c>
      <c r="P3368" s="1332" t="str">
        <f>IF(AND('331-CT'!$E$7=TH!H3355,OR(N3368="331",O3368="331")),"x","")</f>
        <v/>
      </c>
      <c r="Q3368" s="1332" t="str">
        <f>IF(AND(B3368='111'!$L$11,OR($N3368=$Q$7,$O3368=$Q$7)),"x","")</f>
        <v/>
      </c>
      <c r="R3368" s="1332" t="str">
        <f>IF(AND($N3368=$Q$7,$B3368&lt;'111'!$L$11),"x","")</f>
        <v/>
      </c>
      <c r="S3368" s="1332" t="str">
        <f>IF(AND($O3368=$Q$7,$B3368&lt;'111'!$L$11),"x","")</f>
        <v/>
      </c>
      <c r="T3368" s="1332" t="str">
        <f>IF(ISERROR(FIND('112'!$M$9,G3368,1)),"",IF((AND(FIND('112'!$M$9,G3368,1)&gt;=1,B3368='112'!$K$9,OR($N3368='112'!$I$6,$O3368='112'!$I$6))),"x",""))</f>
        <v/>
      </c>
      <c r="U3368" s="1332" t="str">
        <f>IF(ISERROR(FIND('112'!$M$9,G3368,1)),"",IF((AND(LEFT(G3368,2)=LEFT('112'!$M$9,2),B3368&lt;'112'!$K$9,$N3368='112'!$I$6)),"x",""))</f>
        <v/>
      </c>
      <c r="V3368" s="1332" t="str">
        <f>IF(ISERROR(FIND('112'!$M$9,G3368,1)),"",IF((AND(RIGHT(G3368,2)=RIGHT('112'!$M$9,2),B3368&lt;'112'!$K$9,$O3368='112'!$I$6)),"x",""))</f>
        <v/>
      </c>
      <c r="W3368" s="1332" t="str">
        <f>IF(AND('341-CT'!$H$9=H3368,OR(LEFT(N3368,3)=$W$7,LEFT(O3368,3)=$W$7)),"x","")</f>
        <v/>
      </c>
      <c r="X3368" s="1332" t="str">
        <f>IF(OR(TH!N3355=TH!$X$7,O3368=TH!$X$7),"x","")</f>
        <v>x</v>
      </c>
      <c r="Y3368" s="1332" t="str">
        <f>IF(AND(OR(N3368="131",O3368="131"),H3368='131-CT'!$H$9),"x","")</f>
        <v/>
      </c>
      <c r="Z3368" s="1332"/>
      <c r="AA3368" s="1332" t="str">
        <f>IF(AND(MONTH(E3368)='IN-NX'!$J$5,'IN-NX'!$D$7=D3368),"x","")</f>
        <v/>
      </c>
      <c r="AB3368" s="1332" t="str">
        <f>IF(AND(OR(LEFT(TH!N3355,2)="15",LEFT(TH!O3355,2)="15"),LEFT(TH!O3355,3)&lt;&gt;"111",'152-CT'!$J$8=TH!F3355),"x","")</f>
        <v/>
      </c>
      <c r="AC3368" s="1332" t="str">
        <f>IF(AND(OR(LEFT(TH!N3355,2)="15",LEFT(TH!O3355,2)="15"),TK!$E$7=TH!F3355),"x","")</f>
        <v/>
      </c>
      <c r="AD3368" s="1332" t="str">
        <f>IF(AND(N3368="1521",MONTH(C3368)='BK-NL'!$M$11),"x","")</f>
        <v/>
      </c>
    </row>
    <row r="3369" spans="1:30" s="1333" customFormat="1" ht="16.5" customHeight="1">
      <c r="A3369" s="309" t="str">
        <f>IF(B3369&lt;&gt;"",IF(AND(B3369='IN-TC'!$S$4,OR(TH!N3369="1111",TH!O3369="1111")),TH!D3369,""),"")</f>
        <v/>
      </c>
      <c r="B3369" s="1322">
        <f t="shared" si="1285"/>
        <v>5</v>
      </c>
      <c r="C3369" s="1323">
        <f t="shared" si="1286"/>
        <v>42886</v>
      </c>
      <c r="D3369" s="1323" t="s">
        <v>3016</v>
      </c>
      <c r="E3369" s="1323">
        <v>42886</v>
      </c>
      <c r="F3369" s="1324" t="s">
        <v>3010</v>
      </c>
      <c r="G3369" s="1325" t="s">
        <v>332</v>
      </c>
      <c r="H3369" s="1326" t="s">
        <v>419</v>
      </c>
      <c r="I3369" s="1327"/>
      <c r="J3369" s="1328"/>
      <c r="K3369" s="1327"/>
      <c r="L3369" s="1329"/>
      <c r="M3369" s="1330">
        <v>757302000</v>
      </c>
      <c r="N3369" s="1331" t="s">
        <v>8</v>
      </c>
      <c r="O3369" s="1331" t="s">
        <v>262</v>
      </c>
      <c r="P3369" s="1332" t="str">
        <f>IF(AND('331-CT'!$E$7=TH!H3403,OR(N3369="331",O3369="331")),"x","")</f>
        <v/>
      </c>
      <c r="Q3369" s="1332" t="str">
        <f>IF(AND(B3369='111'!$L$11,OR($N3369=$Q$7,$O3369=$Q$7)),"x","")</f>
        <v/>
      </c>
      <c r="R3369" s="1332" t="str">
        <f>IF(AND($N3369=$Q$7,$B3369&lt;'111'!$L$11),"x","")</f>
        <v/>
      </c>
      <c r="S3369" s="1332" t="str">
        <f>IF(AND($O3369=$Q$7,$B3369&lt;'111'!$L$11),"x","")</f>
        <v/>
      </c>
      <c r="T3369" s="1332" t="str">
        <f>IF(ISERROR(FIND('112'!$M$9,G3369,1)),"",IF((AND(FIND('112'!$M$9,G3369,1)&gt;=1,B3369='112'!$K$9,OR($N3369='112'!$I$6,$O3369='112'!$I$6))),"x",""))</f>
        <v/>
      </c>
      <c r="U3369" s="1332" t="str">
        <f>IF(ISERROR(FIND('112'!$M$9,G3369,1)),"",IF((AND(LEFT(G3369,2)=LEFT('112'!$M$9,2),B3369&lt;'112'!$K$9,$N3369='112'!$I$6)),"x",""))</f>
        <v/>
      </c>
      <c r="V3369" s="1332" t="str">
        <f>IF(ISERROR(FIND('112'!$M$9,G3369,1)),"",IF((AND(RIGHT(G3369,2)=RIGHT('112'!$M$9,2),B3369&lt;'112'!$K$9,$O3369='112'!$I$6)),"x",""))</f>
        <v/>
      </c>
      <c r="W3369" s="1332" t="str">
        <f>IF(AND('341-CT'!$H$9=H3369,OR(LEFT(N3369,3)=$W$7,LEFT(O3369,3)=$W$7)),"x","")</f>
        <v/>
      </c>
      <c r="X3369" s="1332" t="str">
        <f>IF(OR(TH!N3403=TH!$X$7,O3369=TH!$X$7),"x","")</f>
        <v>x</v>
      </c>
      <c r="Y3369" s="1332" t="str">
        <f>IF(AND(OR(N3369="131",O3369="131"),H3369='131-CT'!$H$9),"x","")</f>
        <v/>
      </c>
      <c r="Z3369" s="1332"/>
      <c r="AA3369" s="1332" t="str">
        <f>IF(AND(MONTH(E3369)='IN-NX'!$J$5,'IN-NX'!$D$7=D3369),"x","")</f>
        <v/>
      </c>
      <c r="AB3369" s="1332" t="str">
        <f>IF(AND(OR(LEFT(TH!N3403,2)="15",LEFT(TH!O3403,2)="15"),LEFT(TH!O3403,3)&lt;&gt;"111",'152-CT'!$J$8=TH!F3403),"x","")</f>
        <v/>
      </c>
      <c r="AC3369" s="1332" t="str">
        <f>IF(AND(OR(LEFT(TH!N3403,2)="15",LEFT(TH!O3403,2)="15"),TK!$E$7=TH!F3403),"x","")</f>
        <v/>
      </c>
      <c r="AD3369" s="1332" t="str">
        <f>IF(AND(N3369="1521",MONTH(C3369)='BK-NL'!$M$11),"x","")</f>
        <v/>
      </c>
    </row>
    <row r="3370" spans="1:30" s="1333" customFormat="1" ht="16.5" customHeight="1">
      <c r="A3370" s="309" t="str">
        <f>IF(B3370&lt;&gt;"",IF(AND(B3370='IN-TC'!$S$4,OR(TH!N3370="1111",TH!O3370="1111")),TH!D3370,""),"")</f>
        <v/>
      </c>
      <c r="B3370" s="1322">
        <f t="shared" si="1285"/>
        <v>6</v>
      </c>
      <c r="C3370" s="1323">
        <f t="shared" si="1286"/>
        <v>42916</v>
      </c>
      <c r="D3370" s="1323" t="s">
        <v>3018</v>
      </c>
      <c r="E3370" s="1323">
        <v>42916</v>
      </c>
      <c r="F3370" s="1324" t="s">
        <v>3010</v>
      </c>
      <c r="G3370" s="1325" t="s">
        <v>332</v>
      </c>
      <c r="H3370" s="1326" t="s">
        <v>419</v>
      </c>
      <c r="I3370" s="1327"/>
      <c r="J3370" s="1328"/>
      <c r="K3370" s="1327"/>
      <c r="L3370" s="1329"/>
      <c r="M3370" s="1330">
        <v>1221209600</v>
      </c>
      <c r="N3370" s="1331" t="s">
        <v>8</v>
      </c>
      <c r="O3370" s="1331" t="s">
        <v>262</v>
      </c>
      <c r="P3370" s="1332" t="str">
        <f>IF(AND('331-CT'!$E$7=TH!H3404,OR(N3370="331",O3370="331")),"x","")</f>
        <v/>
      </c>
      <c r="Q3370" s="1332" t="str">
        <f>IF(AND(B3370='111'!$L$11,OR($N3370=$Q$7,$O3370=$Q$7)),"x","")</f>
        <v/>
      </c>
      <c r="R3370" s="1332" t="str">
        <f>IF(AND($N3370=$Q$7,$B3370&lt;'111'!$L$11),"x","")</f>
        <v/>
      </c>
      <c r="S3370" s="1332" t="str">
        <f>IF(AND($O3370=$Q$7,$B3370&lt;'111'!$L$11),"x","")</f>
        <v/>
      </c>
      <c r="T3370" s="1332" t="str">
        <f>IF(ISERROR(FIND('112'!$M$9,G3370,1)),"",IF((AND(FIND('112'!$M$9,G3370,1)&gt;=1,B3370='112'!$K$9,OR($N3370='112'!$I$6,$O3370='112'!$I$6))),"x",""))</f>
        <v/>
      </c>
      <c r="U3370" s="1332" t="str">
        <f>IF(ISERROR(FIND('112'!$M$9,G3370,1)),"",IF((AND(LEFT(G3370,2)=LEFT('112'!$M$9,2),B3370&lt;'112'!$K$9,$N3370='112'!$I$6)),"x",""))</f>
        <v/>
      </c>
      <c r="V3370" s="1332" t="str">
        <f>IF(ISERROR(FIND('112'!$M$9,G3370,1)),"",IF((AND(RIGHT(G3370,2)=RIGHT('112'!$M$9,2),B3370&lt;'112'!$K$9,$O3370='112'!$I$6)),"x",""))</f>
        <v/>
      </c>
      <c r="W3370" s="1332" t="str">
        <f>IF(AND('341-CT'!$H$9=H3370,OR(LEFT(N3370,3)=$W$7,LEFT(O3370,3)=$W$7)),"x","")</f>
        <v/>
      </c>
      <c r="X3370" s="1332" t="str">
        <f>IF(OR(TH!N3404=TH!$X$7,O3370=TH!$X$7),"x","")</f>
        <v>x</v>
      </c>
      <c r="Y3370" s="1332" t="str">
        <f>IF(AND(OR(N3370="131",O3370="131"),H3370='131-CT'!$H$9),"x","")</f>
        <v/>
      </c>
      <c r="Z3370" s="1332"/>
      <c r="AA3370" s="1332" t="str">
        <f>IF(AND(MONTH(E3370)='IN-NX'!$J$5,'IN-NX'!$D$7=D3370),"x","")</f>
        <v/>
      </c>
      <c r="AB3370" s="1332" t="str">
        <f>IF(AND(OR(LEFT(TH!N3404,2)="15",LEFT(TH!O3404,2)="15"),LEFT(TH!O3404,3)&lt;&gt;"111",'152-CT'!$J$8=TH!F3404),"x","")</f>
        <v/>
      </c>
      <c r="AC3370" s="1332" t="str">
        <f>IF(AND(OR(LEFT(TH!N3404,2)="15",LEFT(TH!O3404,2)="15"),TK!$E$7=TH!F3404),"x","")</f>
        <v/>
      </c>
      <c r="AD3370" s="1332" t="str">
        <f>IF(AND(N3370="1521",MONTH(C3370)='BK-NL'!$M$11),"x","")</f>
        <v/>
      </c>
    </row>
    <row r="3371" spans="1:30" s="1333" customFormat="1" ht="16.5" customHeight="1">
      <c r="A3371" s="309" t="str">
        <f>IF(B3371&lt;&gt;"",IF(AND(B3371='IN-TC'!$S$4,OR(TH!N3371="1111",TH!O3371="1111")),TH!D3371,""),"")</f>
        <v/>
      </c>
      <c r="B3371" s="1322">
        <f t="shared" si="1285"/>
        <v>6</v>
      </c>
      <c r="C3371" s="1323">
        <f t="shared" si="1286"/>
        <v>42916</v>
      </c>
      <c r="D3371" s="1323" t="s">
        <v>3018</v>
      </c>
      <c r="E3371" s="1323">
        <v>42916</v>
      </c>
      <c r="F3371" s="1324" t="s">
        <v>3010</v>
      </c>
      <c r="G3371" s="1325" t="s">
        <v>332</v>
      </c>
      <c r="H3371" s="1326" t="s">
        <v>350</v>
      </c>
      <c r="I3371" s="1327"/>
      <c r="J3371" s="1328"/>
      <c r="K3371" s="1327"/>
      <c r="L3371" s="1329"/>
      <c r="M3371" s="1330">
        <v>1971077000</v>
      </c>
      <c r="N3371" s="1331" t="s">
        <v>8</v>
      </c>
      <c r="O3371" s="1331" t="s">
        <v>262</v>
      </c>
      <c r="P3371" s="1332" t="str">
        <f>IF(AND('331-CT'!$E$7=TH!H3362,OR(N3371="331",O3371="331")),"x","")</f>
        <v/>
      </c>
      <c r="Q3371" s="1332" t="str">
        <f>IF(AND(B3371='111'!$L$11,OR($N3371=$Q$7,$O3371=$Q$7)),"x","")</f>
        <v/>
      </c>
      <c r="R3371" s="1332" t="str">
        <f>IF(AND($N3371=$Q$7,$B3371&lt;'111'!$L$11),"x","")</f>
        <v/>
      </c>
      <c r="S3371" s="1332" t="str">
        <f>IF(AND($O3371=$Q$7,$B3371&lt;'111'!$L$11),"x","")</f>
        <v/>
      </c>
      <c r="T3371" s="1332" t="str">
        <f>IF(ISERROR(FIND('112'!$M$9,G3371,1)),"",IF((AND(FIND('112'!$M$9,G3371,1)&gt;=1,B3371='112'!$K$9,OR($N3371='112'!$I$6,$O3371='112'!$I$6))),"x",""))</f>
        <v/>
      </c>
      <c r="U3371" s="1332" t="str">
        <f>IF(ISERROR(FIND('112'!$M$9,G3371,1)),"",IF((AND(LEFT(G3371,2)=LEFT('112'!$M$9,2),B3371&lt;'112'!$K$9,$N3371='112'!$I$6)),"x",""))</f>
        <v/>
      </c>
      <c r="V3371" s="1332" t="str">
        <f>IF(ISERROR(FIND('112'!$M$9,G3371,1)),"",IF((AND(RIGHT(G3371,2)=RIGHT('112'!$M$9,2),B3371&lt;'112'!$K$9,$O3371='112'!$I$6)),"x",""))</f>
        <v/>
      </c>
      <c r="W3371" s="1332" t="str">
        <f>IF(AND('341-CT'!$H$9=H3371,OR(LEFT(N3371,3)=$W$7,LEFT(O3371,3)=$W$7)),"x","")</f>
        <v/>
      </c>
      <c r="X3371" s="1332" t="str">
        <f>IF(OR(TH!N3362=TH!$X$7,O3371=TH!$X$7),"x","")</f>
        <v>x</v>
      </c>
      <c r="Y3371" s="1332" t="str">
        <f>IF(AND(OR(N3371="131",O3371="131"),H3371='131-CT'!$H$9),"x","")</f>
        <v/>
      </c>
      <c r="Z3371" s="1332"/>
      <c r="AA3371" s="1332" t="str">
        <f>IF(AND(MONTH(E3371)='IN-NX'!$J$5,'IN-NX'!$D$7=D3371),"x","")</f>
        <v/>
      </c>
      <c r="AB3371" s="1332" t="str">
        <f>IF(AND(OR(LEFT(TH!N3362,2)="15",LEFT(TH!O3362,2)="15"),LEFT(TH!O3362,3)&lt;&gt;"111",'152-CT'!$J$8=TH!F3362),"x","")</f>
        <v/>
      </c>
      <c r="AC3371" s="1332" t="str">
        <f>IF(AND(OR(LEFT(TH!N3362,2)="15",LEFT(TH!O3362,2)="15"),TK!$E$7=TH!F3362),"x","")</f>
        <v/>
      </c>
      <c r="AD3371" s="1332" t="str">
        <f>IF(AND(N3371="1521",MONTH(C3371)='BK-NL'!$M$11),"x","")</f>
        <v/>
      </c>
    </row>
    <row r="3372" spans="1:30" s="1333" customFormat="1" ht="16.5" customHeight="1">
      <c r="A3372" s="309" t="str">
        <f>IF(B3372&lt;&gt;"",IF(AND(B3372='IN-TC'!$S$4,OR(TH!N3372="1111",TH!O3372="1111")),TH!D3372,""),"")</f>
        <v/>
      </c>
      <c r="B3372" s="1322">
        <f t="shared" si="1285"/>
        <v>6</v>
      </c>
      <c r="C3372" s="1323">
        <f t="shared" si="1286"/>
        <v>42916</v>
      </c>
      <c r="D3372" s="1323" t="s">
        <v>3018</v>
      </c>
      <c r="E3372" s="1323">
        <v>42916</v>
      </c>
      <c r="F3372" s="1324" t="s">
        <v>3010</v>
      </c>
      <c r="G3372" s="1325" t="s">
        <v>332</v>
      </c>
      <c r="H3372" s="1326" t="s">
        <v>348</v>
      </c>
      <c r="I3372" s="1327"/>
      <c r="J3372" s="1328"/>
      <c r="K3372" s="1327"/>
      <c r="L3372" s="1329"/>
      <c r="M3372" s="1330">
        <v>1108618000</v>
      </c>
      <c r="N3372" s="1331" t="s">
        <v>8</v>
      </c>
      <c r="O3372" s="1331" t="s">
        <v>262</v>
      </c>
      <c r="P3372" s="1332" t="str">
        <f>IF(AND('331-CT'!$E$7=TH!H3356,OR(N3372="331",O3372="331")),"x","")</f>
        <v/>
      </c>
      <c r="Q3372" s="1332" t="str">
        <f>IF(AND(B3372='111'!$L$11,OR($N3372=$Q$7,$O3372=$Q$7)),"x","")</f>
        <v/>
      </c>
      <c r="R3372" s="1332" t="str">
        <f>IF(AND($N3372=$Q$7,$B3372&lt;'111'!$L$11),"x","")</f>
        <v/>
      </c>
      <c r="S3372" s="1332" t="str">
        <f>IF(AND($O3372=$Q$7,$B3372&lt;'111'!$L$11),"x","")</f>
        <v/>
      </c>
      <c r="T3372" s="1332" t="str">
        <f>IF(ISERROR(FIND('112'!$M$9,G3372,1)),"",IF((AND(FIND('112'!$M$9,G3372,1)&gt;=1,B3372='112'!$K$9,OR($N3372='112'!$I$6,$O3372='112'!$I$6))),"x",""))</f>
        <v/>
      </c>
      <c r="U3372" s="1332" t="str">
        <f>IF(ISERROR(FIND('112'!$M$9,G3372,1)),"",IF((AND(LEFT(G3372,2)=LEFT('112'!$M$9,2),B3372&lt;'112'!$K$9,$N3372='112'!$I$6)),"x",""))</f>
        <v/>
      </c>
      <c r="V3372" s="1332" t="str">
        <f>IF(ISERROR(FIND('112'!$M$9,G3372,1)),"",IF((AND(RIGHT(G3372,2)=RIGHT('112'!$M$9,2),B3372&lt;'112'!$K$9,$O3372='112'!$I$6)),"x",""))</f>
        <v/>
      </c>
      <c r="W3372" s="1332" t="str">
        <f>IF(AND('341-CT'!$H$9=H3372,OR(LEFT(N3372,3)=$W$7,LEFT(O3372,3)=$W$7)),"x","")</f>
        <v/>
      </c>
      <c r="X3372" s="1332" t="str">
        <f>IF(OR(TH!N3356=TH!$X$7,O3372=TH!$X$7),"x","")</f>
        <v>x</v>
      </c>
      <c r="Y3372" s="1332" t="str">
        <f>IF(AND(OR(N3372="131",O3372="131"),H3372='131-CT'!$H$9),"x","")</f>
        <v/>
      </c>
      <c r="Z3372" s="1332"/>
      <c r="AA3372" s="1332" t="str">
        <f>IF(AND(MONTH(E3372)='IN-NX'!$J$5,'IN-NX'!$D$7=D3372),"x","")</f>
        <v/>
      </c>
      <c r="AB3372" s="1332" t="str">
        <f>IF(AND(OR(LEFT(TH!N3356,2)="15",LEFT(TH!O3356,2)="15"),LEFT(TH!O3356,3)&lt;&gt;"111",'152-CT'!$J$8=TH!F3356),"x","")</f>
        <v/>
      </c>
      <c r="AC3372" s="1332" t="str">
        <f>IF(AND(OR(LEFT(TH!N3356,2)="15",LEFT(TH!O3356,2)="15"),TK!$E$7=TH!F3356),"x","")</f>
        <v/>
      </c>
      <c r="AD3372" s="1332" t="str">
        <f>IF(AND(N3372="1521",MONTH(C3372)='BK-NL'!$M$11),"x","")</f>
        <v/>
      </c>
    </row>
    <row r="3373" spans="1:30" s="1333" customFormat="1" ht="16.5" customHeight="1">
      <c r="A3373" s="309" t="str">
        <f>IF(B3373&lt;&gt;"",IF(AND(B3373='IN-TC'!$S$4,OR(TH!N3373="1111",TH!O3373="1111")),TH!D3373,""),"")</f>
        <v/>
      </c>
      <c r="B3373" s="1322">
        <f t="shared" si="1285"/>
        <v>7</v>
      </c>
      <c r="C3373" s="1323">
        <f t="shared" si="1286"/>
        <v>42947</v>
      </c>
      <c r="D3373" s="1323" t="s">
        <v>3020</v>
      </c>
      <c r="E3373" s="1323">
        <v>42947</v>
      </c>
      <c r="F3373" s="1324" t="s">
        <v>3010</v>
      </c>
      <c r="G3373" s="1325" t="s">
        <v>332</v>
      </c>
      <c r="H3373" s="1326" t="s">
        <v>419</v>
      </c>
      <c r="I3373" s="1327"/>
      <c r="J3373" s="1328"/>
      <c r="K3373" s="1327"/>
      <c r="L3373" s="1329"/>
      <c r="M3373" s="1330">
        <v>1126575000</v>
      </c>
      <c r="N3373" s="1331" t="s">
        <v>8</v>
      </c>
      <c r="O3373" s="1331" t="s">
        <v>262</v>
      </c>
      <c r="P3373" s="1332" t="str">
        <f>IF(AND('331-CT'!$E$7=TH!H3405,OR(N3373="331",O3373="331")),"x","")</f>
        <v/>
      </c>
      <c r="Q3373" s="1332" t="str">
        <f>IF(AND(B3373='111'!$L$11,OR($N3373=$Q$7,$O3373=$Q$7)),"x","")</f>
        <v/>
      </c>
      <c r="R3373" s="1332" t="str">
        <f>IF(AND($N3373=$Q$7,$B3373&lt;'111'!$L$11),"x","")</f>
        <v/>
      </c>
      <c r="S3373" s="1332" t="str">
        <f>IF(AND($O3373=$Q$7,$B3373&lt;'111'!$L$11),"x","")</f>
        <v/>
      </c>
      <c r="T3373" s="1332" t="str">
        <f>IF(ISERROR(FIND('112'!$M$9,G3373,1)),"",IF((AND(FIND('112'!$M$9,G3373,1)&gt;=1,B3373='112'!$K$9,OR($N3373='112'!$I$6,$O3373='112'!$I$6))),"x",""))</f>
        <v/>
      </c>
      <c r="U3373" s="1332" t="str">
        <f>IF(ISERROR(FIND('112'!$M$9,G3373,1)),"",IF((AND(LEFT(G3373,2)=LEFT('112'!$M$9,2),B3373&lt;'112'!$K$9,$N3373='112'!$I$6)),"x",""))</f>
        <v/>
      </c>
      <c r="V3373" s="1332" t="str">
        <f>IF(ISERROR(FIND('112'!$M$9,G3373,1)),"",IF((AND(RIGHT(G3373,2)=RIGHT('112'!$M$9,2),B3373&lt;'112'!$K$9,$O3373='112'!$I$6)),"x",""))</f>
        <v/>
      </c>
      <c r="W3373" s="1332" t="str">
        <f>IF(AND('341-CT'!$H$9=H3373,OR(LEFT(N3373,3)=$W$7,LEFT(O3373,3)=$W$7)),"x","")</f>
        <v/>
      </c>
      <c r="X3373" s="1332" t="str">
        <f>IF(OR(TH!N3405=TH!$X$7,O3373=TH!$X$7),"x","")</f>
        <v>x</v>
      </c>
      <c r="Y3373" s="1332" t="str">
        <f>IF(AND(OR(N3373="131",O3373="131"),H3373='131-CT'!$H$9),"x","")</f>
        <v/>
      </c>
      <c r="Z3373" s="1332"/>
      <c r="AA3373" s="1332" t="str">
        <f>IF(AND(MONTH(E3373)='IN-NX'!$J$5,'IN-NX'!$D$7=D3373),"x","")</f>
        <v/>
      </c>
      <c r="AB3373" s="1332" t="str">
        <f>IF(AND(OR(LEFT(TH!N3405,2)="15",LEFT(TH!O3405,2)="15"),LEFT(TH!O3405,3)&lt;&gt;"111",'152-CT'!$J$8=TH!F3405),"x","")</f>
        <v/>
      </c>
      <c r="AC3373" s="1332" t="str">
        <f>IF(AND(OR(LEFT(TH!N3405,2)="15",LEFT(TH!O3405,2)="15"),TK!$E$7=TH!F3405),"x","")</f>
        <v/>
      </c>
      <c r="AD3373" s="1332" t="str">
        <f>IF(AND(N3373="1521",MONTH(C3373)='BK-NL'!$M$11),"x","")</f>
        <v/>
      </c>
    </row>
    <row r="3374" spans="1:30" s="1333" customFormat="1" ht="16.5" customHeight="1">
      <c r="A3374" s="309" t="str">
        <f>IF(B3374&lt;&gt;"",IF(AND(B3374='IN-TC'!$S$4,OR(TH!N3374="1111",TH!O3374="1111")),TH!D3374,""),"")</f>
        <v/>
      </c>
      <c r="B3374" s="1322">
        <f t="shared" si="1285"/>
        <v>8</v>
      </c>
      <c r="C3374" s="1323">
        <f t="shared" si="1286"/>
        <v>42978</v>
      </c>
      <c r="D3374" s="1323" t="s">
        <v>3022</v>
      </c>
      <c r="E3374" s="1323">
        <v>42978</v>
      </c>
      <c r="F3374" s="1324" t="s">
        <v>3010</v>
      </c>
      <c r="G3374" s="1325" t="s">
        <v>332</v>
      </c>
      <c r="H3374" s="1326" t="s">
        <v>415</v>
      </c>
      <c r="I3374" s="1327"/>
      <c r="J3374" s="1328"/>
      <c r="K3374" s="1327"/>
      <c r="L3374" s="1329"/>
      <c r="M3374" s="1330">
        <v>829064600</v>
      </c>
      <c r="N3374" s="1331" t="s">
        <v>8</v>
      </c>
      <c r="O3374" s="1331" t="s">
        <v>262</v>
      </c>
      <c r="P3374" s="1332" t="str">
        <f>IF(AND('331-CT'!$E$7=TH!H3399,OR(N3374="331",O3374="331")),"x","")</f>
        <v/>
      </c>
      <c r="Q3374" s="1332" t="str">
        <f>IF(AND(B3374='111'!$L$11,OR($N3374=$Q$7,$O3374=$Q$7)),"x","")</f>
        <v/>
      </c>
      <c r="R3374" s="1332" t="str">
        <f>IF(AND($N3374=$Q$7,$B3374&lt;'111'!$L$11),"x","")</f>
        <v/>
      </c>
      <c r="S3374" s="1332" t="str">
        <f>IF(AND($O3374=$Q$7,$B3374&lt;'111'!$L$11),"x","")</f>
        <v/>
      </c>
      <c r="T3374" s="1332" t="str">
        <f>IF(ISERROR(FIND('112'!$M$9,G3374,1)),"",IF((AND(FIND('112'!$M$9,G3374,1)&gt;=1,B3374='112'!$K$9,OR($N3374='112'!$I$6,$O3374='112'!$I$6))),"x",""))</f>
        <v/>
      </c>
      <c r="U3374" s="1332" t="str">
        <f>IF(ISERROR(FIND('112'!$M$9,G3374,1)),"",IF((AND(LEFT(G3374,2)=LEFT('112'!$M$9,2),B3374&lt;'112'!$K$9,$N3374='112'!$I$6)),"x",""))</f>
        <v/>
      </c>
      <c r="V3374" s="1332" t="str">
        <f>IF(ISERROR(FIND('112'!$M$9,G3374,1)),"",IF((AND(RIGHT(G3374,2)=RIGHT('112'!$M$9,2),B3374&lt;'112'!$K$9,$O3374='112'!$I$6)),"x",""))</f>
        <v/>
      </c>
      <c r="W3374" s="1332" t="str">
        <f>IF(AND('341-CT'!$H$9=H3374,OR(LEFT(N3374,3)=$W$7,LEFT(O3374,3)=$W$7)),"x","")</f>
        <v/>
      </c>
      <c r="X3374" s="1332" t="str">
        <f>IF(OR(TH!N3399=TH!$X$7,O3374=TH!$X$7),"x","")</f>
        <v>x</v>
      </c>
      <c r="Y3374" s="1332" t="str">
        <f>IF(AND(OR(N3374="131",O3374="131"),H3374='131-CT'!$H$9),"x","")</f>
        <v/>
      </c>
      <c r="Z3374" s="1332"/>
      <c r="AA3374" s="1332" t="str">
        <f>IF(AND(MONTH(E3374)='IN-NX'!$J$5,'IN-NX'!$D$7=D3374),"x","")</f>
        <v/>
      </c>
      <c r="AB3374" s="1332" t="str">
        <f>IF(AND(OR(LEFT(TH!N3399,2)="15",LEFT(TH!O3399,2)="15"),LEFT(TH!O3399,3)&lt;&gt;"111",'152-CT'!$J$8=TH!F3399),"x","")</f>
        <v/>
      </c>
      <c r="AC3374" s="1332" t="str">
        <f>IF(AND(OR(LEFT(TH!N3399,2)="15",LEFT(TH!O3399,2)="15"),TK!$E$7=TH!F3399),"x","")</f>
        <v/>
      </c>
      <c r="AD3374" s="1332" t="str">
        <f>IF(AND(N3374="1521",MONTH(C3374)='BK-NL'!$M$11),"x","")</f>
        <v/>
      </c>
    </row>
    <row r="3375" spans="1:30" s="1333" customFormat="1" ht="16.5" customHeight="1">
      <c r="A3375" s="309" t="str">
        <f>IF(B3375&lt;&gt;"",IF(AND(B3375='IN-TC'!$S$4,OR(TH!N3375="1111",TH!O3375="1111")),TH!D3375,""),"")</f>
        <v/>
      </c>
      <c r="B3375" s="1322">
        <f t="shared" si="1285"/>
        <v>8</v>
      </c>
      <c r="C3375" s="1323">
        <f t="shared" si="1286"/>
        <v>42978</v>
      </c>
      <c r="D3375" s="1323" t="s">
        <v>3022</v>
      </c>
      <c r="E3375" s="1323">
        <v>42978</v>
      </c>
      <c r="F3375" s="1324" t="s">
        <v>3010</v>
      </c>
      <c r="G3375" s="1325" t="s">
        <v>332</v>
      </c>
      <c r="H3375" s="1326" t="s">
        <v>414</v>
      </c>
      <c r="I3375" s="1327"/>
      <c r="J3375" s="1328"/>
      <c r="K3375" s="1327"/>
      <c r="L3375" s="1329"/>
      <c r="M3375" s="1330">
        <v>816816000</v>
      </c>
      <c r="N3375" s="1331" t="s">
        <v>8</v>
      </c>
      <c r="O3375" s="1331" t="s">
        <v>262</v>
      </c>
      <c r="P3375" s="1332" t="str">
        <f>IF(AND('331-CT'!$E$7=TH!H3412,OR(N3375="331",O3375="331")),"x","")</f>
        <v/>
      </c>
      <c r="Q3375" s="1332" t="str">
        <f>IF(AND(B3375='111'!$L$11,OR($N3375=$Q$7,$O3375=$Q$7)),"x","")</f>
        <v/>
      </c>
      <c r="R3375" s="1332" t="str">
        <f>IF(AND($N3375=$Q$7,$B3375&lt;'111'!$L$11),"x","")</f>
        <v/>
      </c>
      <c r="S3375" s="1332" t="str">
        <f>IF(AND($O3375=$Q$7,$B3375&lt;'111'!$L$11),"x","")</f>
        <v/>
      </c>
      <c r="T3375" s="1332" t="str">
        <f>IF(ISERROR(FIND('112'!$M$9,G3375,1)),"",IF((AND(FIND('112'!$M$9,G3375,1)&gt;=1,B3375='112'!$K$9,OR($N3375='112'!$I$6,$O3375='112'!$I$6))),"x",""))</f>
        <v/>
      </c>
      <c r="U3375" s="1332" t="str">
        <f>IF(ISERROR(FIND('112'!$M$9,G3375,1)),"",IF((AND(LEFT(G3375,2)=LEFT('112'!$M$9,2),B3375&lt;'112'!$K$9,$N3375='112'!$I$6)),"x",""))</f>
        <v/>
      </c>
      <c r="V3375" s="1332" t="str">
        <f>IF(ISERROR(FIND('112'!$M$9,G3375,1)),"",IF((AND(RIGHT(G3375,2)=RIGHT('112'!$M$9,2),B3375&lt;'112'!$K$9,$O3375='112'!$I$6)),"x",""))</f>
        <v/>
      </c>
      <c r="W3375" s="1332" t="str">
        <f>IF(AND('341-CT'!$H$9=H3375,OR(LEFT(N3375,3)=$W$7,LEFT(O3375,3)=$W$7)),"x","")</f>
        <v/>
      </c>
      <c r="X3375" s="1332" t="str">
        <f>IF(OR(TH!N3412=TH!$X$7,O3375=TH!$X$7),"x","")</f>
        <v>x</v>
      </c>
      <c r="Y3375" s="1332" t="str">
        <f>IF(AND(OR(N3375="131",O3375="131"),H3375='131-CT'!$H$9),"x","")</f>
        <v/>
      </c>
      <c r="Z3375" s="1332"/>
      <c r="AA3375" s="1332" t="str">
        <f>IF(AND(MONTH(E3375)='IN-NX'!$J$5,'IN-NX'!$D$7=D3375),"x","")</f>
        <v/>
      </c>
      <c r="AB3375" s="1332" t="str">
        <f>IF(AND(OR(LEFT(TH!N3412,2)="15",LEFT(TH!O3412,2)="15"),LEFT(TH!O3412,3)&lt;&gt;"111",'152-CT'!$J$8=TH!F3412),"x","")</f>
        <v/>
      </c>
      <c r="AC3375" s="1332" t="str">
        <f>IF(AND(OR(LEFT(TH!N3412,2)="15",LEFT(TH!O3412,2)="15"),TK!$E$7=TH!F3412),"x","")</f>
        <v/>
      </c>
      <c r="AD3375" s="1332" t="str">
        <f>IF(AND(N3375="1521",MONTH(C3375)='BK-NL'!$M$11),"x","")</f>
        <v/>
      </c>
    </row>
    <row r="3376" spans="1:30" s="1333" customFormat="1" ht="16.5" customHeight="1">
      <c r="A3376" s="309" t="str">
        <f>IF(B3376&lt;&gt;"",IF(AND(B3376='IN-TC'!$S$4,OR(TH!N3376="1111",TH!O3376="1111")),TH!D3376,""),"")</f>
        <v/>
      </c>
      <c r="B3376" s="1322">
        <f t="shared" si="1285"/>
        <v>9</v>
      </c>
      <c r="C3376" s="1323">
        <f t="shared" si="1286"/>
        <v>43008</v>
      </c>
      <c r="D3376" s="1323" t="s">
        <v>3024</v>
      </c>
      <c r="E3376" s="1323">
        <v>43008</v>
      </c>
      <c r="F3376" s="1324" t="s">
        <v>3010</v>
      </c>
      <c r="G3376" s="1325" t="s">
        <v>332</v>
      </c>
      <c r="H3376" s="1326" t="s">
        <v>350</v>
      </c>
      <c r="I3376" s="1327"/>
      <c r="J3376" s="1328"/>
      <c r="K3376" s="1327"/>
      <c r="L3376" s="1329"/>
      <c r="M3376" s="1330">
        <v>850661000</v>
      </c>
      <c r="N3376" s="1331" t="s">
        <v>8</v>
      </c>
      <c r="O3376" s="1331" t="s">
        <v>262</v>
      </c>
      <c r="P3376" s="1332" t="str">
        <f>IF(AND('331-CT'!$E$7=TH!H3363,OR(N3376="331",O3376="331")),"x","")</f>
        <v/>
      </c>
      <c r="Q3376" s="1332" t="str">
        <f>IF(AND(B3376='111'!$L$11,OR($N3376=$Q$7,$O3376=$Q$7)),"x","")</f>
        <v/>
      </c>
      <c r="R3376" s="1332" t="str">
        <f>IF(AND($N3376=$Q$7,$B3376&lt;'111'!$L$11),"x","")</f>
        <v/>
      </c>
      <c r="S3376" s="1332" t="str">
        <f>IF(AND($O3376=$Q$7,$B3376&lt;'111'!$L$11),"x","")</f>
        <v/>
      </c>
      <c r="T3376" s="1332" t="str">
        <f>IF(ISERROR(FIND('112'!$M$9,G3376,1)),"",IF((AND(FIND('112'!$M$9,G3376,1)&gt;=1,B3376='112'!$K$9,OR($N3376='112'!$I$6,$O3376='112'!$I$6))),"x",""))</f>
        <v/>
      </c>
      <c r="U3376" s="1332" t="str">
        <f>IF(ISERROR(FIND('112'!$M$9,G3376,1)),"",IF((AND(LEFT(G3376,2)=LEFT('112'!$M$9,2),B3376&lt;'112'!$K$9,$N3376='112'!$I$6)),"x",""))</f>
        <v/>
      </c>
      <c r="V3376" s="1332" t="str">
        <f>IF(ISERROR(FIND('112'!$M$9,G3376,1)),"",IF((AND(RIGHT(G3376,2)=RIGHT('112'!$M$9,2),B3376&lt;'112'!$K$9,$O3376='112'!$I$6)),"x",""))</f>
        <v/>
      </c>
      <c r="W3376" s="1332" t="str">
        <f>IF(AND('341-CT'!$H$9=H3376,OR(LEFT(N3376,3)=$W$7,LEFT(O3376,3)=$W$7)),"x","")</f>
        <v/>
      </c>
      <c r="X3376" s="1332" t="str">
        <f>IF(OR(TH!N3363=TH!$X$7,O3376=TH!$X$7),"x","")</f>
        <v>x</v>
      </c>
      <c r="Y3376" s="1332" t="str">
        <f>IF(AND(OR(N3376="131",O3376="131"),H3376='131-CT'!$H$9),"x","")</f>
        <v/>
      </c>
      <c r="Z3376" s="1332"/>
      <c r="AA3376" s="1332" t="str">
        <f>IF(AND(MONTH(E3376)='IN-NX'!$J$5,'IN-NX'!$D$7=D3376),"x","")</f>
        <v/>
      </c>
      <c r="AB3376" s="1332" t="str">
        <f>IF(AND(OR(LEFT(TH!N3363,2)="15",LEFT(TH!O3363,2)="15"),LEFT(TH!O3363,3)&lt;&gt;"111",'152-CT'!$J$8=TH!F3363),"x","")</f>
        <v/>
      </c>
      <c r="AC3376" s="1332" t="str">
        <f>IF(AND(OR(LEFT(TH!N3363,2)="15",LEFT(TH!O3363,2)="15"),TK!$E$7=TH!F3363),"x","")</f>
        <v/>
      </c>
      <c r="AD3376" s="1332" t="str">
        <f>IF(AND(N3376="1521",MONTH(C3376)='BK-NL'!$M$11),"x","")</f>
        <v/>
      </c>
    </row>
    <row r="3377" spans="1:30" s="1333" customFormat="1" ht="16.5" customHeight="1">
      <c r="A3377" s="309" t="str">
        <f>IF(B3377&lt;&gt;"",IF(AND(B3377='IN-TC'!$S$4,OR(TH!N3377="1111",TH!O3377="1111")),TH!D3377,""),"")</f>
        <v/>
      </c>
      <c r="B3377" s="1322">
        <f t="shared" si="1285"/>
        <v>9</v>
      </c>
      <c r="C3377" s="1323">
        <f t="shared" si="1286"/>
        <v>43008</v>
      </c>
      <c r="D3377" s="1323" t="s">
        <v>3024</v>
      </c>
      <c r="E3377" s="1323">
        <v>43008</v>
      </c>
      <c r="F3377" s="1324" t="s">
        <v>3010</v>
      </c>
      <c r="G3377" s="1325" t="s">
        <v>332</v>
      </c>
      <c r="H3377" s="1326" t="s">
        <v>414</v>
      </c>
      <c r="I3377" s="1327"/>
      <c r="J3377" s="1328"/>
      <c r="K3377" s="1327"/>
      <c r="L3377" s="1329"/>
      <c r="M3377" s="1330">
        <v>1080207400</v>
      </c>
      <c r="N3377" s="1331" t="s">
        <v>8</v>
      </c>
      <c r="O3377" s="1331" t="s">
        <v>262</v>
      </c>
      <c r="P3377" s="1332" t="str">
        <f>IF(AND('331-CT'!$E$7=TH!H3413,OR(N3377="331",O3377="331")),"x","")</f>
        <v/>
      </c>
      <c r="Q3377" s="1332" t="str">
        <f>IF(AND(B3377='111'!$L$11,OR($N3377=$Q$7,$O3377=$Q$7)),"x","")</f>
        <v/>
      </c>
      <c r="R3377" s="1332" t="str">
        <f>IF(AND($N3377=$Q$7,$B3377&lt;'111'!$L$11),"x","")</f>
        <v/>
      </c>
      <c r="S3377" s="1332" t="str">
        <f>IF(AND($O3377=$Q$7,$B3377&lt;'111'!$L$11),"x","")</f>
        <v/>
      </c>
      <c r="T3377" s="1332" t="str">
        <f>IF(ISERROR(FIND('112'!$M$9,G3377,1)),"",IF((AND(FIND('112'!$M$9,G3377,1)&gt;=1,B3377='112'!$K$9,OR($N3377='112'!$I$6,$O3377='112'!$I$6))),"x",""))</f>
        <v/>
      </c>
      <c r="U3377" s="1332" t="str">
        <f>IF(ISERROR(FIND('112'!$M$9,G3377,1)),"",IF((AND(LEFT(G3377,2)=LEFT('112'!$M$9,2),B3377&lt;'112'!$K$9,$N3377='112'!$I$6)),"x",""))</f>
        <v/>
      </c>
      <c r="V3377" s="1332" t="str">
        <f>IF(ISERROR(FIND('112'!$M$9,G3377,1)),"",IF((AND(RIGHT(G3377,2)=RIGHT('112'!$M$9,2),B3377&lt;'112'!$K$9,$O3377='112'!$I$6)),"x",""))</f>
        <v/>
      </c>
      <c r="W3377" s="1332" t="str">
        <f>IF(AND('341-CT'!$H$9=H3377,OR(LEFT(N3377,3)=$W$7,LEFT(O3377,3)=$W$7)),"x","")</f>
        <v/>
      </c>
      <c r="X3377" s="1332" t="str">
        <f>IF(OR(TH!N3413=TH!$X$7,O3377=TH!$X$7),"x","")</f>
        <v>x</v>
      </c>
      <c r="Y3377" s="1332" t="str">
        <f>IF(AND(OR(N3377="131",O3377="131"),H3377='131-CT'!$H$9),"x","")</f>
        <v/>
      </c>
      <c r="Z3377" s="1332"/>
      <c r="AA3377" s="1332" t="str">
        <f>IF(AND(MONTH(E3377)='IN-NX'!$J$5,'IN-NX'!$D$7=D3377),"x","")</f>
        <v/>
      </c>
      <c r="AB3377" s="1332" t="str">
        <f>IF(AND(OR(LEFT(TH!N3413,2)="15",LEFT(TH!O3413,2)="15"),LEFT(TH!O3413,3)&lt;&gt;"111",'152-CT'!$J$8=TH!F3413),"x","")</f>
        <v/>
      </c>
      <c r="AC3377" s="1332" t="str">
        <f>IF(AND(OR(LEFT(TH!N3413,2)="15",LEFT(TH!O3413,2)="15"),TK!$E$7=TH!F3413),"x","")</f>
        <v/>
      </c>
      <c r="AD3377" s="1332" t="str">
        <f>IF(AND(N3377="1521",MONTH(C3377)='BK-NL'!$M$11),"x","")</f>
        <v/>
      </c>
    </row>
    <row r="3378" spans="1:30" s="1333" customFormat="1" ht="16.5" customHeight="1">
      <c r="A3378" s="309" t="str">
        <f>IF(B3378&lt;&gt;"",IF(AND(B3378='IN-TC'!$S$4,OR(TH!N3378="1111",TH!O3378="1111")),TH!D3378,""),"")</f>
        <v/>
      </c>
      <c r="B3378" s="1322">
        <f t="shared" si="1285"/>
        <v>9</v>
      </c>
      <c r="C3378" s="1323">
        <f t="shared" si="1286"/>
        <v>43008</v>
      </c>
      <c r="D3378" s="1323" t="s">
        <v>3024</v>
      </c>
      <c r="E3378" s="1323">
        <v>43008</v>
      </c>
      <c r="F3378" s="1324" t="s">
        <v>3010</v>
      </c>
      <c r="G3378" s="1325" t="s">
        <v>332</v>
      </c>
      <c r="H3378" s="1326" t="s">
        <v>415</v>
      </c>
      <c r="I3378" s="1327"/>
      <c r="J3378" s="1328"/>
      <c r="K3378" s="1327"/>
      <c r="L3378" s="1329"/>
      <c r="M3378" s="1330">
        <v>1007125000</v>
      </c>
      <c r="N3378" s="1331" t="s">
        <v>8</v>
      </c>
      <c r="O3378" s="1331" t="s">
        <v>262</v>
      </c>
      <c r="P3378" s="1332" t="str">
        <f>IF(AND('331-CT'!$E$7=TH!H3400,OR(N3378="331",O3378="331")),"x","")</f>
        <v/>
      </c>
      <c r="Q3378" s="1332" t="str">
        <f>IF(AND(B3378='111'!$L$11,OR($N3378=$Q$7,$O3378=$Q$7)),"x","")</f>
        <v/>
      </c>
      <c r="R3378" s="1332" t="str">
        <f>IF(AND($N3378=$Q$7,$B3378&lt;'111'!$L$11),"x","")</f>
        <v/>
      </c>
      <c r="S3378" s="1332" t="str">
        <f>IF(AND($O3378=$Q$7,$B3378&lt;'111'!$L$11),"x","")</f>
        <v/>
      </c>
      <c r="T3378" s="1332" t="str">
        <f>IF(ISERROR(FIND('112'!$M$9,G3378,1)),"",IF((AND(FIND('112'!$M$9,G3378,1)&gt;=1,B3378='112'!$K$9,OR($N3378='112'!$I$6,$O3378='112'!$I$6))),"x",""))</f>
        <v/>
      </c>
      <c r="U3378" s="1332" t="str">
        <f>IF(ISERROR(FIND('112'!$M$9,G3378,1)),"",IF((AND(LEFT(G3378,2)=LEFT('112'!$M$9,2),B3378&lt;'112'!$K$9,$N3378='112'!$I$6)),"x",""))</f>
        <v/>
      </c>
      <c r="V3378" s="1332" t="str">
        <f>IF(ISERROR(FIND('112'!$M$9,G3378,1)),"",IF((AND(RIGHT(G3378,2)=RIGHT('112'!$M$9,2),B3378&lt;'112'!$K$9,$O3378='112'!$I$6)),"x",""))</f>
        <v/>
      </c>
      <c r="W3378" s="1332" t="str">
        <f>IF(AND('341-CT'!$H$9=H3378,OR(LEFT(N3378,3)=$W$7,LEFT(O3378,3)=$W$7)),"x","")</f>
        <v/>
      </c>
      <c r="X3378" s="1332" t="str">
        <f>IF(OR(TH!N3400=TH!$X$7,O3378=TH!$X$7),"x","")</f>
        <v>x</v>
      </c>
      <c r="Y3378" s="1332" t="str">
        <f>IF(AND(OR(N3378="131",O3378="131"),H3378='131-CT'!$H$9),"x","")</f>
        <v/>
      </c>
      <c r="Z3378" s="1332"/>
      <c r="AA3378" s="1332" t="str">
        <f>IF(AND(MONTH(E3378)='IN-NX'!$J$5,'IN-NX'!$D$7=D3378),"x","")</f>
        <v/>
      </c>
      <c r="AB3378" s="1332" t="str">
        <f>IF(AND(OR(LEFT(TH!N3400,2)="15",LEFT(TH!O3400,2)="15"),LEFT(TH!O3400,3)&lt;&gt;"111",'152-CT'!$J$8=TH!F3400),"x","")</f>
        <v/>
      </c>
      <c r="AC3378" s="1332" t="str">
        <f>IF(AND(OR(LEFT(TH!N3400,2)="15",LEFT(TH!O3400,2)="15"),TK!$E$7=TH!F3400),"x","")</f>
        <v/>
      </c>
      <c r="AD3378" s="1332" t="str">
        <f>IF(AND(N3378="1521",MONTH(C3378)='BK-NL'!$M$11),"x","")</f>
        <v/>
      </c>
    </row>
    <row r="3379" spans="1:30" s="1333" customFormat="1" ht="16.5" customHeight="1">
      <c r="A3379" s="309" t="str">
        <f>IF(B3379&lt;&gt;"",IF(AND(B3379='IN-TC'!$S$4,OR(TH!N3379="1111",TH!O3379="1111")),TH!D3379,""),"")</f>
        <v/>
      </c>
      <c r="B3379" s="1322">
        <f t="shared" si="1285"/>
        <v>10</v>
      </c>
      <c r="C3379" s="1323">
        <f t="shared" ref="C3379:C3410" si="1287">E3379</f>
        <v>43039</v>
      </c>
      <c r="D3379" s="1323" t="s">
        <v>3026</v>
      </c>
      <c r="E3379" s="1323">
        <v>43039</v>
      </c>
      <c r="F3379" s="1324" t="s">
        <v>3010</v>
      </c>
      <c r="G3379" s="1325" t="s">
        <v>332</v>
      </c>
      <c r="H3379" s="1326" t="s">
        <v>348</v>
      </c>
      <c r="I3379" s="1327"/>
      <c r="J3379" s="1328"/>
      <c r="K3379" s="1327"/>
      <c r="L3379" s="1329"/>
      <c r="M3379" s="1330">
        <v>976945000</v>
      </c>
      <c r="N3379" s="1331" t="s">
        <v>8</v>
      </c>
      <c r="O3379" s="1331" t="s">
        <v>262</v>
      </c>
      <c r="P3379" s="1332" t="str">
        <f>IF(AND('331-CT'!$E$7=TH!H3357,OR(N3379="331",O3379="331")),"x","")</f>
        <v/>
      </c>
      <c r="Q3379" s="1332" t="str">
        <f>IF(AND(B3379='111'!$L$11,OR($N3379=$Q$7,$O3379=$Q$7)),"x","")</f>
        <v/>
      </c>
      <c r="R3379" s="1332" t="str">
        <f>IF(AND($N3379=$Q$7,$B3379&lt;'111'!$L$11),"x","")</f>
        <v/>
      </c>
      <c r="S3379" s="1332" t="str">
        <f>IF(AND($O3379=$Q$7,$B3379&lt;'111'!$L$11),"x","")</f>
        <v/>
      </c>
      <c r="T3379" s="1332" t="str">
        <f>IF(ISERROR(FIND('112'!$M$9,G3379,1)),"",IF((AND(FIND('112'!$M$9,G3379,1)&gt;=1,B3379='112'!$K$9,OR($N3379='112'!$I$6,$O3379='112'!$I$6))),"x",""))</f>
        <v/>
      </c>
      <c r="U3379" s="1332" t="str">
        <f>IF(ISERROR(FIND('112'!$M$9,G3379,1)),"",IF((AND(LEFT(G3379,2)=LEFT('112'!$M$9,2),B3379&lt;'112'!$K$9,$N3379='112'!$I$6)),"x",""))</f>
        <v/>
      </c>
      <c r="V3379" s="1332" t="str">
        <f>IF(ISERROR(FIND('112'!$M$9,G3379,1)),"",IF((AND(RIGHT(G3379,2)=RIGHT('112'!$M$9,2),B3379&lt;'112'!$K$9,$O3379='112'!$I$6)),"x",""))</f>
        <v/>
      </c>
      <c r="W3379" s="1332" t="str">
        <f>IF(AND('341-CT'!$H$9=H3379,OR(LEFT(N3379,3)=$W$7,LEFT(O3379,3)=$W$7)),"x","")</f>
        <v/>
      </c>
      <c r="X3379" s="1332" t="str">
        <f>IF(OR(TH!N3357=TH!$X$7,O3379=TH!$X$7),"x","")</f>
        <v>x</v>
      </c>
      <c r="Y3379" s="1332" t="str">
        <f>IF(AND(OR(N3379="131",O3379="131"),H3379='131-CT'!$H$9),"x","")</f>
        <v/>
      </c>
      <c r="Z3379" s="1332"/>
      <c r="AA3379" s="1332" t="str">
        <f>IF(AND(MONTH(E3379)='IN-NX'!$J$5,'IN-NX'!$D$7=D3379),"x","")</f>
        <v/>
      </c>
      <c r="AB3379" s="1332" t="str">
        <f>IF(AND(OR(LEFT(TH!N3357,2)="15",LEFT(TH!O3357,2)="15"),LEFT(TH!O3357,3)&lt;&gt;"111",'152-CT'!$J$8=TH!F3357),"x","")</f>
        <v/>
      </c>
      <c r="AC3379" s="1332" t="str">
        <f>IF(AND(OR(LEFT(TH!N3357,2)="15",LEFT(TH!O3357,2)="15"),TK!$E$7=TH!F3357),"x","")</f>
        <v/>
      </c>
      <c r="AD3379" s="1332" t="str">
        <f>IF(AND(N3379="1521",MONTH(C3379)='BK-NL'!$M$11),"x","")</f>
        <v/>
      </c>
    </row>
    <row r="3380" spans="1:30" s="1333" customFormat="1" ht="16.5" customHeight="1">
      <c r="A3380" s="309" t="str">
        <f>IF(B3380&lt;&gt;"",IF(AND(B3380='IN-TC'!$S$4,OR(TH!N3380="1111",TH!O3380="1111")),TH!D3380,""),"")</f>
        <v/>
      </c>
      <c r="B3380" s="1322">
        <f t="shared" si="1285"/>
        <v>10</v>
      </c>
      <c r="C3380" s="1323">
        <f t="shared" si="1287"/>
        <v>43039</v>
      </c>
      <c r="D3380" s="1323" t="s">
        <v>3026</v>
      </c>
      <c r="E3380" s="1323">
        <v>43039</v>
      </c>
      <c r="F3380" s="1324" t="s">
        <v>3010</v>
      </c>
      <c r="G3380" s="1325" t="s">
        <v>332</v>
      </c>
      <c r="H3380" s="1326" t="s">
        <v>350</v>
      </c>
      <c r="I3380" s="1327"/>
      <c r="J3380" s="1328"/>
      <c r="K3380" s="1327"/>
      <c r="L3380" s="1329"/>
      <c r="M3380" s="1330">
        <v>988655000</v>
      </c>
      <c r="N3380" s="1331" t="s">
        <v>8</v>
      </c>
      <c r="O3380" s="1331" t="s">
        <v>262</v>
      </c>
      <c r="P3380" s="1332" t="str">
        <f>IF(AND('331-CT'!$E$7=TH!H3364,OR(N3380="331",O3380="331")),"x","")</f>
        <v/>
      </c>
      <c r="Q3380" s="1332" t="str">
        <f>IF(AND(B3380='111'!$L$11,OR($N3380=$Q$7,$O3380=$Q$7)),"x","")</f>
        <v/>
      </c>
      <c r="R3380" s="1332" t="str">
        <f>IF(AND($N3380=$Q$7,$B3380&lt;'111'!$L$11),"x","")</f>
        <v/>
      </c>
      <c r="S3380" s="1332" t="str">
        <f>IF(AND($O3380=$Q$7,$B3380&lt;'111'!$L$11),"x","")</f>
        <v/>
      </c>
      <c r="T3380" s="1332" t="str">
        <f>IF(ISERROR(FIND('112'!$M$9,G3380,1)),"",IF((AND(FIND('112'!$M$9,G3380,1)&gt;=1,B3380='112'!$K$9,OR($N3380='112'!$I$6,$O3380='112'!$I$6))),"x",""))</f>
        <v/>
      </c>
      <c r="U3380" s="1332" t="str">
        <f>IF(ISERROR(FIND('112'!$M$9,G3380,1)),"",IF((AND(LEFT(G3380,2)=LEFT('112'!$M$9,2),B3380&lt;'112'!$K$9,$N3380='112'!$I$6)),"x",""))</f>
        <v/>
      </c>
      <c r="V3380" s="1332" t="str">
        <f>IF(ISERROR(FIND('112'!$M$9,G3380,1)),"",IF((AND(RIGHT(G3380,2)=RIGHT('112'!$M$9,2),B3380&lt;'112'!$K$9,$O3380='112'!$I$6)),"x",""))</f>
        <v/>
      </c>
      <c r="W3380" s="1332" t="str">
        <f>IF(AND('341-CT'!$H$9=H3380,OR(LEFT(N3380,3)=$W$7,LEFT(O3380,3)=$W$7)),"x","")</f>
        <v/>
      </c>
      <c r="X3380" s="1332" t="str">
        <f>IF(OR(TH!N3364=TH!$X$7,O3380=TH!$X$7),"x","")</f>
        <v>x</v>
      </c>
      <c r="Y3380" s="1332" t="str">
        <f>IF(AND(OR(N3380="131",O3380="131"),H3380='131-CT'!$H$9),"x","")</f>
        <v/>
      </c>
      <c r="Z3380" s="1332"/>
      <c r="AA3380" s="1332" t="str">
        <f>IF(AND(MONTH(E3380)='IN-NX'!$J$5,'IN-NX'!$D$7=D3380),"x","")</f>
        <v/>
      </c>
      <c r="AB3380" s="1332" t="str">
        <f>IF(AND(OR(LEFT(TH!N3364,2)="15",LEFT(TH!O3364,2)="15"),LEFT(TH!O3364,3)&lt;&gt;"111",'152-CT'!$J$8=TH!F3364),"x","")</f>
        <v/>
      </c>
      <c r="AC3380" s="1332" t="str">
        <f>IF(AND(OR(LEFT(TH!N3364,2)="15",LEFT(TH!O3364,2)="15"),TK!$E$7=TH!F3364),"x","")</f>
        <v/>
      </c>
      <c r="AD3380" s="1332" t="str">
        <f>IF(AND(N3380="1521",MONTH(C3380)='BK-NL'!$M$11),"x","")</f>
        <v/>
      </c>
    </row>
    <row r="3381" spans="1:30" s="1333" customFormat="1" ht="16.5" customHeight="1">
      <c r="A3381" s="309" t="str">
        <f>IF(B3381&lt;&gt;"",IF(AND(B3381='IN-TC'!$S$4,OR(TH!N3381="1111",TH!O3381="1111")),TH!D3381,""),"")</f>
        <v/>
      </c>
      <c r="B3381" s="1322">
        <f t="shared" si="1285"/>
        <v>11</v>
      </c>
      <c r="C3381" s="1323">
        <f t="shared" si="1287"/>
        <v>43069</v>
      </c>
      <c r="D3381" s="1323" t="s">
        <v>3028</v>
      </c>
      <c r="E3381" s="1323">
        <v>43069</v>
      </c>
      <c r="F3381" s="1324" t="s">
        <v>3010</v>
      </c>
      <c r="G3381" s="1325" t="s">
        <v>332</v>
      </c>
      <c r="H3381" s="1326" t="s">
        <v>414</v>
      </c>
      <c r="I3381" s="1327"/>
      <c r="J3381" s="1328"/>
      <c r="K3381" s="1327"/>
      <c r="L3381" s="1329"/>
      <c r="M3381" s="1330">
        <v>873888000</v>
      </c>
      <c r="N3381" s="1331" t="s">
        <v>8</v>
      </c>
      <c r="O3381" s="1331" t="s">
        <v>262</v>
      </c>
      <c r="P3381" s="1332" t="str">
        <f>IF(AND('331-CT'!$E$7=TH!H3414,OR(N3381="331",O3381="331")),"x","")</f>
        <v/>
      </c>
      <c r="Q3381" s="1332" t="str">
        <f>IF(AND(B3381='111'!$L$11,OR($N3381=$Q$7,$O3381=$Q$7)),"x","")</f>
        <v/>
      </c>
      <c r="R3381" s="1332" t="str">
        <f>IF(AND($N3381=$Q$7,$B3381&lt;'111'!$L$11),"x","")</f>
        <v/>
      </c>
      <c r="S3381" s="1332" t="str">
        <f>IF(AND($O3381=$Q$7,$B3381&lt;'111'!$L$11),"x","")</f>
        <v/>
      </c>
      <c r="T3381" s="1332" t="str">
        <f>IF(ISERROR(FIND('112'!$M$9,G3381,1)),"",IF((AND(FIND('112'!$M$9,G3381,1)&gt;=1,B3381='112'!$K$9,OR($N3381='112'!$I$6,$O3381='112'!$I$6))),"x",""))</f>
        <v/>
      </c>
      <c r="U3381" s="1332" t="str">
        <f>IF(ISERROR(FIND('112'!$M$9,G3381,1)),"",IF((AND(LEFT(G3381,2)=LEFT('112'!$M$9,2),B3381&lt;'112'!$K$9,$N3381='112'!$I$6)),"x",""))</f>
        <v/>
      </c>
      <c r="V3381" s="1332" t="str">
        <f>IF(ISERROR(FIND('112'!$M$9,G3381,1)),"",IF((AND(RIGHT(G3381,2)=RIGHT('112'!$M$9,2),B3381&lt;'112'!$K$9,$O3381='112'!$I$6)),"x",""))</f>
        <v/>
      </c>
      <c r="W3381" s="1332" t="str">
        <f>IF(AND('341-CT'!$H$9=H3381,OR(LEFT(N3381,3)=$W$7,LEFT(O3381,3)=$W$7)),"x","")</f>
        <v/>
      </c>
      <c r="X3381" s="1332" t="str">
        <f>IF(OR(TH!N3414=TH!$X$7,O3381=TH!$X$7),"x","")</f>
        <v>x</v>
      </c>
      <c r="Y3381" s="1332" t="str">
        <f>IF(AND(OR(N3381="131",O3381="131"),H3381='131-CT'!$H$9),"x","")</f>
        <v/>
      </c>
      <c r="Z3381" s="1332"/>
      <c r="AA3381" s="1332" t="str">
        <f>IF(AND(MONTH(E3381)='IN-NX'!$J$5,'IN-NX'!$D$7=D3381),"x","")</f>
        <v/>
      </c>
      <c r="AB3381" s="1332" t="str">
        <f>IF(AND(OR(LEFT(TH!N3414,2)="15",LEFT(TH!O3414,2)="15"),LEFT(TH!O3414,3)&lt;&gt;"111",'152-CT'!$J$8=TH!F3414),"x","")</f>
        <v/>
      </c>
      <c r="AC3381" s="1332" t="str">
        <f>IF(AND(OR(LEFT(TH!N3414,2)="15",LEFT(TH!O3414,2)="15"),TK!$E$7=TH!F3414),"x","")</f>
        <v/>
      </c>
      <c r="AD3381" s="1332" t="str">
        <f>IF(AND(N3381="1521",MONTH(C3381)='BK-NL'!$M$11),"x","")</f>
        <v/>
      </c>
    </row>
    <row r="3382" spans="1:30" s="1333" customFormat="1" ht="16.5" customHeight="1">
      <c r="A3382" s="309" t="str">
        <f>IF(B3382&lt;&gt;"",IF(AND(B3382='IN-TC'!$S$4,OR(TH!N3382="1111",TH!O3382="1111")),TH!D3382,""),"")</f>
        <v/>
      </c>
      <c r="B3382" s="1322">
        <f t="shared" si="1285"/>
        <v>11</v>
      </c>
      <c r="C3382" s="1323">
        <f t="shared" si="1287"/>
        <v>43069</v>
      </c>
      <c r="D3382" s="1323" t="s">
        <v>3028</v>
      </c>
      <c r="E3382" s="1323">
        <v>43069</v>
      </c>
      <c r="F3382" s="1324" t="s">
        <v>3010</v>
      </c>
      <c r="G3382" s="1325" t="s">
        <v>332</v>
      </c>
      <c r="H3382" s="1326" t="s">
        <v>415</v>
      </c>
      <c r="I3382" s="1327"/>
      <c r="J3382" s="1328"/>
      <c r="K3382" s="1327"/>
      <c r="L3382" s="1329"/>
      <c r="M3382" s="1330">
        <v>1273192000</v>
      </c>
      <c r="N3382" s="1331" t="s">
        <v>8</v>
      </c>
      <c r="O3382" s="1331" t="s">
        <v>262</v>
      </c>
      <c r="P3382" s="1332" t="str">
        <f>IF(AND('331-CT'!$E$7=TH!H3401,OR(N3382="331",O3382="331")),"x","")</f>
        <v/>
      </c>
      <c r="Q3382" s="1332" t="str">
        <f>IF(AND(B3382='111'!$L$11,OR($N3382=$Q$7,$O3382=$Q$7)),"x","")</f>
        <v/>
      </c>
      <c r="R3382" s="1332" t="str">
        <f>IF(AND($N3382=$Q$7,$B3382&lt;'111'!$L$11),"x","")</f>
        <v/>
      </c>
      <c r="S3382" s="1332" t="str">
        <f>IF(AND($O3382=$Q$7,$B3382&lt;'111'!$L$11),"x","")</f>
        <v/>
      </c>
      <c r="T3382" s="1332" t="str">
        <f>IF(ISERROR(FIND('112'!$M$9,G3382,1)),"",IF((AND(FIND('112'!$M$9,G3382,1)&gt;=1,B3382='112'!$K$9,OR($N3382='112'!$I$6,$O3382='112'!$I$6))),"x",""))</f>
        <v/>
      </c>
      <c r="U3382" s="1332" t="str">
        <f>IF(ISERROR(FIND('112'!$M$9,G3382,1)),"",IF((AND(LEFT(G3382,2)=LEFT('112'!$M$9,2),B3382&lt;'112'!$K$9,$N3382='112'!$I$6)),"x",""))</f>
        <v/>
      </c>
      <c r="V3382" s="1332" t="str">
        <f>IF(ISERROR(FIND('112'!$M$9,G3382,1)),"",IF((AND(RIGHT(G3382,2)=RIGHT('112'!$M$9,2),B3382&lt;'112'!$K$9,$O3382='112'!$I$6)),"x",""))</f>
        <v/>
      </c>
      <c r="W3382" s="1332" t="str">
        <f>IF(AND('341-CT'!$H$9=H3382,OR(LEFT(N3382,3)=$W$7,LEFT(O3382,3)=$W$7)),"x","")</f>
        <v/>
      </c>
      <c r="X3382" s="1332" t="str">
        <f>IF(OR(TH!N3401=TH!$X$7,O3382=TH!$X$7),"x","")</f>
        <v>x</v>
      </c>
      <c r="Y3382" s="1332" t="str">
        <f>IF(AND(OR(N3382="131",O3382="131"),H3382='131-CT'!$H$9),"x","")</f>
        <v/>
      </c>
      <c r="Z3382" s="1332"/>
      <c r="AA3382" s="1332" t="str">
        <f>IF(AND(MONTH(E3382)='IN-NX'!$J$5,'IN-NX'!$D$7=D3382),"x","")</f>
        <v/>
      </c>
      <c r="AB3382" s="1332" t="str">
        <f>IF(AND(OR(LEFT(TH!N3401,2)="15",LEFT(TH!O3401,2)="15"),LEFT(TH!O3401,3)&lt;&gt;"111",'152-CT'!$J$8=TH!F3401),"x","")</f>
        <v/>
      </c>
      <c r="AC3382" s="1332" t="str">
        <f>IF(AND(OR(LEFT(TH!N3401,2)="15",LEFT(TH!O3401,2)="15"),TK!$E$7=TH!F3401),"x","")</f>
        <v/>
      </c>
      <c r="AD3382" s="1332" t="str">
        <f>IF(AND(N3382="1521",MONTH(C3382)='BK-NL'!$M$11),"x","")</f>
        <v/>
      </c>
    </row>
    <row r="3383" spans="1:30" s="1333" customFormat="1" ht="16.5" customHeight="1">
      <c r="A3383" s="309" t="str">
        <f>IF(B3383&lt;&gt;"",IF(AND(B3383='IN-TC'!$S$4,OR(TH!N3383="1111",TH!O3383="1111")),TH!D3383,""),"")</f>
        <v/>
      </c>
      <c r="B3383" s="1322">
        <f t="shared" si="1285"/>
        <v>12</v>
      </c>
      <c r="C3383" s="1323">
        <f t="shared" si="1287"/>
        <v>43100</v>
      </c>
      <c r="D3383" s="1323" t="s">
        <v>3030</v>
      </c>
      <c r="E3383" s="1323">
        <v>43100</v>
      </c>
      <c r="F3383" s="1324" t="s">
        <v>3010</v>
      </c>
      <c r="G3383" s="1325" t="s">
        <v>332</v>
      </c>
      <c r="H3383" s="1326" t="s">
        <v>348</v>
      </c>
      <c r="I3383" s="1327"/>
      <c r="J3383" s="1328"/>
      <c r="K3383" s="1327"/>
      <c r="L3383" s="1329"/>
      <c r="M3383" s="1330">
        <v>287130000</v>
      </c>
      <c r="N3383" s="1331" t="s">
        <v>8</v>
      </c>
      <c r="O3383" s="1331" t="s">
        <v>262</v>
      </c>
      <c r="P3383" s="1332" t="str">
        <f>IF(AND('331-CT'!$E$7=TH!H3358,OR(N3383="331",O3383="331")),"x","")</f>
        <v/>
      </c>
      <c r="Q3383" s="1332" t="str">
        <f>IF(AND(B3383='111'!$L$11,OR($N3383=$Q$7,$O3383=$Q$7)),"x","")</f>
        <v/>
      </c>
      <c r="R3383" s="1332" t="str">
        <f>IF(AND($N3383=$Q$7,$B3383&lt;'111'!$L$11),"x","")</f>
        <v/>
      </c>
      <c r="S3383" s="1332" t="str">
        <f>IF(AND($O3383=$Q$7,$B3383&lt;'111'!$L$11),"x","")</f>
        <v/>
      </c>
      <c r="T3383" s="1332" t="str">
        <f>IF(ISERROR(FIND('112'!$M$9,G3383,1)),"",IF((AND(FIND('112'!$M$9,G3383,1)&gt;=1,B3383='112'!$K$9,OR($N3383='112'!$I$6,$O3383='112'!$I$6))),"x",""))</f>
        <v/>
      </c>
      <c r="U3383" s="1332" t="str">
        <f>IF(ISERROR(FIND('112'!$M$9,G3383,1)),"",IF((AND(LEFT(G3383,2)=LEFT('112'!$M$9,2),B3383&lt;'112'!$K$9,$N3383='112'!$I$6)),"x",""))</f>
        <v/>
      </c>
      <c r="V3383" s="1332" t="str">
        <f>IF(ISERROR(FIND('112'!$M$9,G3383,1)),"",IF((AND(RIGHT(G3383,2)=RIGHT('112'!$M$9,2),B3383&lt;'112'!$K$9,$O3383='112'!$I$6)),"x",""))</f>
        <v/>
      </c>
      <c r="W3383" s="1332" t="str">
        <f>IF(AND('341-CT'!$H$9=H3383,OR(LEFT(N3383,3)=$W$7,LEFT(O3383,3)=$W$7)),"x","")</f>
        <v/>
      </c>
      <c r="X3383" s="1332" t="str">
        <f>IF(OR(TH!N3358=TH!$X$7,O3383=TH!$X$7),"x","")</f>
        <v>x</v>
      </c>
      <c r="Y3383" s="1332" t="str">
        <f>IF(AND(OR(N3383="131",O3383="131"),H3383='131-CT'!$H$9),"x","")</f>
        <v/>
      </c>
      <c r="Z3383" s="1332"/>
      <c r="AA3383" s="1332" t="str">
        <f>IF(AND(MONTH(E3383)='IN-NX'!$J$5,'IN-NX'!$D$7=D3383),"x","")</f>
        <v/>
      </c>
      <c r="AB3383" s="1332" t="str">
        <f>IF(AND(OR(LEFT(TH!N3358,2)="15",LEFT(TH!O3358,2)="15"),LEFT(TH!O3358,3)&lt;&gt;"111",'152-CT'!$J$8=TH!F3358),"x","")</f>
        <v/>
      </c>
      <c r="AC3383" s="1332" t="str">
        <f>IF(AND(OR(LEFT(TH!N3358,2)="15",LEFT(TH!O3358,2)="15"),TK!$E$7=TH!F3358),"x","")</f>
        <v/>
      </c>
      <c r="AD3383" s="1332" t="str">
        <f>IF(AND(N3383="1521",MONTH(C3383)='BK-NL'!$M$11),"x","")</f>
        <v/>
      </c>
    </row>
    <row r="3384" spans="1:30" s="1333" customFormat="1" ht="16.5" customHeight="1">
      <c r="A3384" s="309" t="str">
        <f>IF(B3384&lt;&gt;"",IF(AND(B3384='IN-TC'!$S$4,OR(TH!N3384="1111",TH!O3384="1111")),TH!D3384,""),"")</f>
        <v/>
      </c>
      <c r="B3384" s="1322">
        <f t="shared" si="1285"/>
        <v>12</v>
      </c>
      <c r="C3384" s="1323">
        <f t="shared" si="1287"/>
        <v>43100</v>
      </c>
      <c r="D3384" s="1323" t="s">
        <v>3030</v>
      </c>
      <c r="E3384" s="1323">
        <v>43100</v>
      </c>
      <c r="F3384" s="1324" t="s">
        <v>3010</v>
      </c>
      <c r="G3384" s="1325" t="s">
        <v>332</v>
      </c>
      <c r="H3384" s="1326" t="s">
        <v>415</v>
      </c>
      <c r="I3384" s="1327"/>
      <c r="J3384" s="1328"/>
      <c r="K3384" s="1327"/>
      <c r="L3384" s="1329"/>
      <c r="M3384" s="1330">
        <v>672176700</v>
      </c>
      <c r="N3384" s="1331" t="s">
        <v>8</v>
      </c>
      <c r="O3384" s="1331" t="s">
        <v>262</v>
      </c>
      <c r="P3384" s="1332" t="str">
        <f>IF(AND('331-CT'!$E$7=TH!H3402,OR(N3384="331",O3384="331")),"x","")</f>
        <v/>
      </c>
      <c r="Q3384" s="1332" t="str">
        <f>IF(AND(B3384='111'!$L$11,OR($N3384=$Q$7,$O3384=$Q$7)),"x","")</f>
        <v/>
      </c>
      <c r="R3384" s="1332" t="str">
        <f>IF(AND($N3384=$Q$7,$B3384&lt;'111'!$L$11),"x","")</f>
        <v/>
      </c>
      <c r="S3384" s="1332" t="str">
        <f>IF(AND($O3384=$Q$7,$B3384&lt;'111'!$L$11),"x","")</f>
        <v/>
      </c>
      <c r="T3384" s="1332" t="str">
        <f>IF(ISERROR(FIND('112'!$M$9,G3384,1)),"",IF((AND(FIND('112'!$M$9,G3384,1)&gt;=1,B3384='112'!$K$9,OR($N3384='112'!$I$6,$O3384='112'!$I$6))),"x",""))</f>
        <v/>
      </c>
      <c r="U3384" s="1332" t="str">
        <f>IF(ISERROR(FIND('112'!$M$9,G3384,1)),"",IF((AND(LEFT(G3384,2)=LEFT('112'!$M$9,2),B3384&lt;'112'!$K$9,$N3384='112'!$I$6)),"x",""))</f>
        <v/>
      </c>
      <c r="V3384" s="1332" t="str">
        <f>IF(ISERROR(FIND('112'!$M$9,G3384,1)),"",IF((AND(RIGHT(G3384,2)=RIGHT('112'!$M$9,2),B3384&lt;'112'!$K$9,$O3384='112'!$I$6)),"x",""))</f>
        <v/>
      </c>
      <c r="W3384" s="1332" t="str">
        <f>IF(AND('341-CT'!$H$9=H3384,OR(LEFT(N3384,3)=$W$7,LEFT(O3384,3)=$W$7)),"x","")</f>
        <v/>
      </c>
      <c r="X3384" s="1332" t="str">
        <f>IF(OR(TH!N3402=TH!$X$7,O3384=TH!$X$7),"x","")</f>
        <v>x</v>
      </c>
      <c r="Y3384" s="1332" t="str">
        <f>IF(AND(OR(N3384="131",O3384="131"),H3384='131-CT'!$H$9),"x","")</f>
        <v/>
      </c>
      <c r="Z3384" s="1332"/>
      <c r="AA3384" s="1332" t="str">
        <f>IF(AND(MONTH(E3384)='IN-NX'!$J$5,'IN-NX'!$D$7=D3384),"x","")</f>
        <v/>
      </c>
      <c r="AB3384" s="1332" t="str">
        <f>IF(AND(OR(LEFT(TH!N3402,2)="15",LEFT(TH!O3402,2)="15"),LEFT(TH!O3402,3)&lt;&gt;"111",'152-CT'!$J$8=TH!F3402),"x","")</f>
        <v/>
      </c>
      <c r="AC3384" s="1332" t="str">
        <f>IF(AND(OR(LEFT(TH!N3402,2)="15",LEFT(TH!O3402,2)="15"),TK!$E$7=TH!F3402),"x","")</f>
        <v/>
      </c>
      <c r="AD3384" s="1332" t="str">
        <f>IF(AND(N3384="1521",MONTH(C3384)='BK-NL'!$M$11),"x","")</f>
        <v/>
      </c>
    </row>
    <row r="3385" spans="1:30" s="1333" customFormat="1" ht="16.5" customHeight="1">
      <c r="A3385" s="309" t="str">
        <f>IF(B3385&lt;&gt;"",IF(AND(B3385='IN-TC'!$S$4,OR(TH!N3385="1111",TH!O3385="1111")),TH!D3385,""),"")</f>
        <v/>
      </c>
      <c r="B3385" s="1322">
        <f t="shared" si="1285"/>
        <v>12</v>
      </c>
      <c r="C3385" s="1323">
        <f t="shared" si="1287"/>
        <v>43100</v>
      </c>
      <c r="D3385" s="1323" t="s">
        <v>3030</v>
      </c>
      <c r="E3385" s="1323">
        <v>43100</v>
      </c>
      <c r="F3385" s="1324" t="s">
        <v>3010</v>
      </c>
      <c r="G3385" s="1325" t="s">
        <v>332</v>
      </c>
      <c r="H3385" s="1326" t="s">
        <v>414</v>
      </c>
      <c r="I3385" s="1327"/>
      <c r="J3385" s="1328"/>
      <c r="K3385" s="1327"/>
      <c r="L3385" s="1329"/>
      <c r="M3385" s="1330">
        <v>515970000</v>
      </c>
      <c r="N3385" s="1331" t="s">
        <v>8</v>
      </c>
      <c r="O3385" s="1331" t="s">
        <v>262</v>
      </c>
      <c r="P3385" s="1332" t="str">
        <f>IF(AND('331-CT'!$E$7=TH!H3415,OR(N3385="331",O3385="331")),"x","")</f>
        <v/>
      </c>
      <c r="Q3385" s="1332" t="str">
        <f>IF(AND(B3385='111'!$L$11,OR($N3385=$Q$7,$O3385=$Q$7)),"x","")</f>
        <v/>
      </c>
      <c r="R3385" s="1332" t="str">
        <f>IF(AND($N3385=$Q$7,$B3385&lt;'111'!$L$11),"x","")</f>
        <v/>
      </c>
      <c r="S3385" s="1332" t="str">
        <f>IF(AND($O3385=$Q$7,$B3385&lt;'111'!$L$11),"x","")</f>
        <v/>
      </c>
      <c r="T3385" s="1332" t="str">
        <f>IF(ISERROR(FIND('112'!$M$9,G3385,1)),"",IF((AND(FIND('112'!$M$9,G3385,1)&gt;=1,B3385='112'!$K$9,OR($N3385='112'!$I$6,$O3385='112'!$I$6))),"x",""))</f>
        <v/>
      </c>
      <c r="U3385" s="1332" t="str">
        <f>IF(ISERROR(FIND('112'!$M$9,G3385,1)),"",IF((AND(LEFT(G3385,2)=LEFT('112'!$M$9,2),B3385&lt;'112'!$K$9,$N3385='112'!$I$6)),"x",""))</f>
        <v/>
      </c>
      <c r="V3385" s="1332" t="str">
        <f>IF(ISERROR(FIND('112'!$M$9,G3385,1)),"",IF((AND(RIGHT(G3385,2)=RIGHT('112'!$M$9,2),B3385&lt;'112'!$K$9,$O3385='112'!$I$6)),"x",""))</f>
        <v/>
      </c>
      <c r="W3385" s="1332" t="str">
        <f>IF(AND('341-CT'!$H$9=H3385,OR(LEFT(N3385,3)=$W$7,LEFT(O3385,3)=$W$7)),"x","")</f>
        <v/>
      </c>
      <c r="X3385" s="1332" t="str">
        <f>IF(OR(TH!N3415=TH!$X$7,O3385=TH!$X$7),"x","")</f>
        <v>x</v>
      </c>
      <c r="Y3385" s="1332" t="str">
        <f>IF(AND(OR(N3385="131",O3385="131"),H3385='131-CT'!$H$9),"x","")</f>
        <v/>
      </c>
      <c r="Z3385" s="1332"/>
      <c r="AA3385" s="1332" t="str">
        <f>IF(AND(MONTH(E3385)='IN-NX'!$J$5,'IN-NX'!$D$7=D3385),"x","")</f>
        <v/>
      </c>
      <c r="AB3385" s="1332" t="str">
        <f>IF(AND(OR(LEFT(TH!N3415,2)="15",LEFT(TH!O3415,2)="15"),LEFT(TH!O3415,3)&lt;&gt;"111",'152-CT'!$J$8=TH!F3415),"x","")</f>
        <v/>
      </c>
      <c r="AC3385" s="1332" t="str">
        <f>IF(AND(OR(LEFT(TH!N3415,2)="15",LEFT(TH!O3415,2)="15"),TK!$E$7=TH!F3415),"x","")</f>
        <v/>
      </c>
      <c r="AD3385" s="1332" t="str">
        <f>IF(AND(N3385="1521",MONTH(C3385)='BK-NL'!$M$11),"x","")</f>
        <v/>
      </c>
    </row>
    <row r="3386" spans="1:30" s="1333" customFormat="1" ht="16.5" customHeight="1">
      <c r="A3386" s="309" t="str">
        <f>IF(B3386&lt;&gt;"",IF(AND(B3386='IN-TC'!$S$4,OR(TH!N3386="1111",TH!O3386="1111")),TH!D3386,""),"")</f>
        <v/>
      </c>
      <c r="B3386" s="1322">
        <f t="shared" si="1285"/>
        <v>12</v>
      </c>
      <c r="C3386" s="1323">
        <f t="shared" si="1287"/>
        <v>43100</v>
      </c>
      <c r="D3386" s="1323" t="s">
        <v>3030</v>
      </c>
      <c r="E3386" s="1323">
        <v>43100</v>
      </c>
      <c r="F3386" s="1324" t="s">
        <v>3010</v>
      </c>
      <c r="G3386" s="1325" t="s">
        <v>332</v>
      </c>
      <c r="H3386" s="1326" t="s">
        <v>358</v>
      </c>
      <c r="I3386" s="1327"/>
      <c r="J3386" s="1328"/>
      <c r="K3386" s="1327"/>
      <c r="L3386" s="1329"/>
      <c r="M3386" s="1330">
        <v>284410000</v>
      </c>
      <c r="N3386" s="1331" t="s">
        <v>8</v>
      </c>
      <c r="O3386" s="1331" t="s">
        <v>262</v>
      </c>
      <c r="P3386" s="1332" t="str">
        <f>IF(AND('331-CT'!$E$7=TH!H3425,OR(N3386="331",O3386="331")),"x","")</f>
        <v/>
      </c>
      <c r="Q3386" s="1332" t="str">
        <f>IF(AND(B3386='111'!$L$11,OR($N3386=$Q$7,$O3386=$Q$7)),"x","")</f>
        <v/>
      </c>
      <c r="R3386" s="1332" t="str">
        <f>IF(AND($N3386=$Q$7,$B3386&lt;'111'!$L$11),"x","")</f>
        <v/>
      </c>
      <c r="S3386" s="1332" t="str">
        <f>IF(AND($O3386=$Q$7,$B3386&lt;'111'!$L$11),"x","")</f>
        <v/>
      </c>
      <c r="T3386" s="1332" t="str">
        <f>IF(ISERROR(FIND('112'!$M$9,G3386,1)),"",IF((AND(FIND('112'!$M$9,G3386,1)&gt;=1,B3386='112'!$K$9,OR($N3386='112'!$I$6,$O3386='112'!$I$6))),"x",""))</f>
        <v/>
      </c>
      <c r="U3386" s="1332" t="str">
        <f>IF(ISERROR(FIND('112'!$M$9,G3386,1)),"",IF((AND(LEFT(G3386,2)=LEFT('112'!$M$9,2),B3386&lt;'112'!$K$9,$N3386='112'!$I$6)),"x",""))</f>
        <v/>
      </c>
      <c r="V3386" s="1332" t="str">
        <f>IF(ISERROR(FIND('112'!$M$9,G3386,1)),"",IF((AND(RIGHT(G3386,2)=RIGHT('112'!$M$9,2),B3386&lt;'112'!$K$9,$O3386='112'!$I$6)),"x",""))</f>
        <v/>
      </c>
      <c r="W3386" s="1332" t="str">
        <f>IF(AND('341-CT'!$H$9=H3386,OR(LEFT(N3386,3)=$W$7,LEFT(O3386,3)=$W$7)),"x","")</f>
        <v/>
      </c>
      <c r="X3386" s="1332" t="str">
        <f>IF(OR(TH!N3425=TH!$X$7,O3386=TH!$X$7),"x","")</f>
        <v>x</v>
      </c>
      <c r="Y3386" s="1332" t="str">
        <f>IF(AND(OR(N3386="131",O3386="131"),H3386='131-CT'!$H$9),"x","")</f>
        <v/>
      </c>
      <c r="Z3386" s="1332"/>
      <c r="AA3386" s="1332" t="str">
        <f>IF(AND(MONTH(E3386)='IN-NX'!$J$5,'IN-NX'!$D$7=D3386),"x","")</f>
        <v/>
      </c>
      <c r="AB3386" s="1332" t="str">
        <f>IF(AND(OR(LEFT(TH!N3425,2)="15",LEFT(TH!O3425,2)="15"),LEFT(TH!O3425,3)&lt;&gt;"111",'152-CT'!$J$8=TH!F3425),"x","")</f>
        <v/>
      </c>
      <c r="AC3386" s="1332" t="str">
        <f>IF(AND(OR(LEFT(TH!N3425,2)="15",LEFT(TH!O3425,2)="15"),TK!$E$7=TH!F3425),"x","")</f>
        <v/>
      </c>
      <c r="AD3386" s="1332" t="str">
        <f>IF(AND(N3386="1521",MONTH(C3386)='BK-NL'!$M$11),"x","")</f>
        <v/>
      </c>
    </row>
    <row r="3387" spans="1:30" s="1333" customFormat="1" ht="16.5" customHeight="1">
      <c r="A3387" s="309" t="str">
        <f>IF(B3387&lt;&gt;"",IF(AND(B3387='IN-TC'!$S$4,OR(TH!N3387="1111",TH!O3387="1111")),TH!D3387,""),"")</f>
        <v/>
      </c>
      <c r="B3387" s="1322">
        <f t="shared" si="1285"/>
        <v>12</v>
      </c>
      <c r="C3387" s="1323">
        <f t="shared" si="1287"/>
        <v>43100</v>
      </c>
      <c r="D3387" s="1323" t="s">
        <v>3030</v>
      </c>
      <c r="E3387" s="1323">
        <v>43100</v>
      </c>
      <c r="F3387" s="1324" t="s">
        <v>3010</v>
      </c>
      <c r="G3387" s="1325" t="s">
        <v>332</v>
      </c>
      <c r="H3387" s="1326" t="s">
        <v>359</v>
      </c>
      <c r="I3387" s="1327"/>
      <c r="J3387" s="1328"/>
      <c r="K3387" s="1327"/>
      <c r="L3387" s="1329"/>
      <c r="M3387" s="1330">
        <v>277725000</v>
      </c>
      <c r="N3387" s="1331" t="s">
        <v>8</v>
      </c>
      <c r="O3387" s="1331" t="s">
        <v>262</v>
      </c>
      <c r="P3387" s="1332" t="str">
        <f>IF(AND('331-CT'!$E$7=TH!H3426,OR(N3387="331",O3387="331")),"x","")</f>
        <v/>
      </c>
      <c r="Q3387" s="1332" t="str">
        <f>IF(AND(B3387='111'!$L$11,OR($N3387=$Q$7,$O3387=$Q$7)),"x","")</f>
        <v/>
      </c>
      <c r="R3387" s="1332" t="str">
        <f>IF(AND($N3387=$Q$7,$B3387&lt;'111'!$L$11),"x","")</f>
        <v/>
      </c>
      <c r="S3387" s="1332" t="str">
        <f>IF(AND($O3387=$Q$7,$B3387&lt;'111'!$L$11),"x","")</f>
        <v/>
      </c>
      <c r="T3387" s="1332" t="str">
        <f>IF(ISERROR(FIND('112'!$M$9,G3387,1)),"",IF((AND(FIND('112'!$M$9,G3387,1)&gt;=1,B3387='112'!$K$9,OR($N3387='112'!$I$6,$O3387='112'!$I$6))),"x",""))</f>
        <v/>
      </c>
      <c r="U3387" s="1332" t="str">
        <f>IF(ISERROR(FIND('112'!$M$9,G3387,1)),"",IF((AND(LEFT(G3387,2)=LEFT('112'!$M$9,2),B3387&lt;'112'!$K$9,$N3387='112'!$I$6)),"x",""))</f>
        <v/>
      </c>
      <c r="V3387" s="1332" t="str">
        <f>IF(ISERROR(FIND('112'!$M$9,G3387,1)),"",IF((AND(RIGHT(G3387,2)=RIGHT('112'!$M$9,2),B3387&lt;'112'!$K$9,$O3387='112'!$I$6)),"x",""))</f>
        <v/>
      </c>
      <c r="W3387" s="1332" t="str">
        <f>IF(AND('341-CT'!$H$9=H3387,OR(LEFT(N3387,3)=$W$7,LEFT(O3387,3)=$W$7)),"x","")</f>
        <v/>
      </c>
      <c r="X3387" s="1332" t="str">
        <f>IF(OR(TH!N3426=TH!$X$7,O3387=TH!$X$7),"x","")</f>
        <v>x</v>
      </c>
      <c r="Y3387" s="1332" t="str">
        <f>IF(AND(OR(N3387="131",O3387="131"),H3387='131-CT'!$H$9),"x","")</f>
        <v/>
      </c>
      <c r="Z3387" s="1332"/>
      <c r="AA3387" s="1332" t="str">
        <f>IF(AND(MONTH(E3387)='IN-NX'!$J$5,'IN-NX'!$D$7=D3387),"x","")</f>
        <v/>
      </c>
      <c r="AB3387" s="1332" t="str">
        <f>IF(AND(OR(LEFT(TH!N3426,2)="15",LEFT(TH!O3426,2)="15"),LEFT(TH!O3426,3)&lt;&gt;"111",'152-CT'!$J$8=TH!F3426),"x","")</f>
        <v/>
      </c>
      <c r="AC3387" s="1332" t="str">
        <f>IF(AND(OR(LEFT(TH!N3426,2)="15",LEFT(TH!O3426,2)="15"),TK!$E$7=TH!F3426),"x","")</f>
        <v/>
      </c>
      <c r="AD3387" s="1332" t="str">
        <f>IF(AND(N3387="1521",MONTH(C3387)='BK-NL'!$M$11),"x","")</f>
        <v/>
      </c>
    </row>
    <row r="3388" spans="1:30" s="1333" customFormat="1" ht="16.5" customHeight="1">
      <c r="A3388" s="309" t="str">
        <f>IF(B3388&lt;&gt;"",IF(AND(B3388='IN-TC'!$S$4,OR(TH!N3388="1111",TH!O3388="1111")),TH!D3388,""),"")</f>
        <v/>
      </c>
      <c r="B3388" s="1322">
        <f t="shared" si="1285"/>
        <v>12</v>
      </c>
      <c r="C3388" s="1323">
        <f t="shared" si="1287"/>
        <v>43100</v>
      </c>
      <c r="D3388" s="1323" t="s">
        <v>3030</v>
      </c>
      <c r="E3388" s="1323">
        <v>43100</v>
      </c>
      <c r="F3388" s="1324" t="s">
        <v>3010</v>
      </c>
      <c r="G3388" s="1325" t="s">
        <v>332</v>
      </c>
      <c r="H3388" s="1326" t="s">
        <v>350</v>
      </c>
      <c r="I3388" s="1327"/>
      <c r="J3388" s="1328"/>
      <c r="K3388" s="1327"/>
      <c r="L3388" s="1329"/>
      <c r="M3388" s="1330">
        <v>1009379000</v>
      </c>
      <c r="N3388" s="1331" t="s">
        <v>8</v>
      </c>
      <c r="O3388" s="1331" t="s">
        <v>262</v>
      </c>
      <c r="P3388" s="1332" t="str">
        <f>IF(AND('331-CT'!$E$7=TH!H3365,OR(N3388="331",O3388="331")),"x","")</f>
        <v/>
      </c>
      <c r="Q3388" s="1332" t="str">
        <f>IF(AND(B3388='111'!$L$11,OR($N3388=$Q$7,$O3388=$Q$7)),"x","")</f>
        <v/>
      </c>
      <c r="R3388" s="1332" t="str">
        <f>IF(AND($N3388=$Q$7,$B3388&lt;'111'!$L$11),"x","")</f>
        <v/>
      </c>
      <c r="S3388" s="1332" t="str">
        <f>IF(AND($O3388=$Q$7,$B3388&lt;'111'!$L$11),"x","")</f>
        <v/>
      </c>
      <c r="T3388" s="1332" t="str">
        <f>IF(ISERROR(FIND('112'!$M$9,G3388,1)),"",IF((AND(FIND('112'!$M$9,G3388,1)&gt;=1,B3388='112'!$K$9,OR($N3388='112'!$I$6,$O3388='112'!$I$6))),"x",""))</f>
        <v/>
      </c>
      <c r="U3388" s="1332" t="str">
        <f>IF(ISERROR(FIND('112'!$M$9,G3388,1)),"",IF((AND(LEFT(G3388,2)=LEFT('112'!$M$9,2),B3388&lt;'112'!$K$9,$N3388='112'!$I$6)),"x",""))</f>
        <v/>
      </c>
      <c r="V3388" s="1332" t="str">
        <f>IF(ISERROR(FIND('112'!$M$9,G3388,1)),"",IF((AND(RIGHT(G3388,2)=RIGHT('112'!$M$9,2),B3388&lt;'112'!$K$9,$O3388='112'!$I$6)),"x",""))</f>
        <v/>
      </c>
      <c r="W3388" s="1332" t="str">
        <f>IF(AND('341-CT'!$H$9=H3388,OR(LEFT(N3388,3)=$W$7,LEFT(O3388,3)=$W$7)),"x","")</f>
        <v/>
      </c>
      <c r="X3388" s="1332" t="str">
        <f>IF(OR(TH!N3365=TH!$X$7,O3388=TH!$X$7),"x","")</f>
        <v>x</v>
      </c>
      <c r="Y3388" s="1332" t="str">
        <f>IF(AND(OR(N3388="131",O3388="131"),H3388='131-CT'!$H$9),"x","")</f>
        <v/>
      </c>
      <c r="Z3388" s="1332"/>
      <c r="AA3388" s="1332" t="str">
        <f>IF(AND(MONTH(E3388)='IN-NX'!$J$5,'IN-NX'!$D$7=D3388),"x","")</f>
        <v/>
      </c>
      <c r="AB3388" s="1332" t="str">
        <f>IF(AND(OR(LEFT(TH!N3365,2)="15",LEFT(TH!O3365,2)="15"),LEFT(TH!O3365,3)&lt;&gt;"111",'152-CT'!$J$8=TH!F3365),"x","")</f>
        <v/>
      </c>
      <c r="AC3388" s="1332" t="str">
        <f>IF(AND(OR(LEFT(TH!N3365,2)="15",LEFT(TH!O3365,2)="15"),TK!$E$7=TH!F3365),"x","")</f>
        <v/>
      </c>
      <c r="AD3388" s="1332" t="str">
        <f>IF(AND(N3388="1521",MONTH(C3388)='BK-NL'!$M$11),"x","")</f>
        <v/>
      </c>
    </row>
    <row r="3389" spans="1:30" s="1333" customFormat="1" ht="16.5" customHeight="1">
      <c r="A3389" s="309" t="str">
        <f>IF(B3389&lt;&gt;"",IF(AND(B3389='IN-TC'!$S$4,OR(TH!N3389="1111",TH!O3389="1111")),TH!D3389,""),"")</f>
        <v/>
      </c>
      <c r="B3389" s="1322">
        <f t="shared" si="1285"/>
        <v>1</v>
      </c>
      <c r="C3389" s="1323">
        <f t="shared" si="1287"/>
        <v>42766</v>
      </c>
      <c r="D3389" s="1323" t="s">
        <v>3011</v>
      </c>
      <c r="E3389" s="1323">
        <v>42766</v>
      </c>
      <c r="F3389" s="1324" t="s">
        <v>3010</v>
      </c>
      <c r="G3389" s="1325" t="s">
        <v>1899</v>
      </c>
      <c r="H3389" s="1326" t="s">
        <v>365</v>
      </c>
      <c r="I3389" s="1327"/>
      <c r="J3389" s="1328"/>
      <c r="K3389" s="1327"/>
      <c r="L3389" s="1329"/>
      <c r="M3389" s="1330">
        <v>97105000</v>
      </c>
      <c r="N3389" s="1331" t="s">
        <v>8</v>
      </c>
      <c r="O3389" s="1331" t="s">
        <v>262</v>
      </c>
      <c r="P3389" s="1332" t="str">
        <f>IF(AND('331-CT'!$E$7=TH!H3349,OR(N3389="331",O3389="331")),"x","")</f>
        <v/>
      </c>
      <c r="Q3389" s="1332" t="str">
        <f>IF(AND(B3389='111'!$L$11,OR($N3389=$Q$7,$O3389=$Q$7)),"x","")</f>
        <v/>
      </c>
      <c r="R3389" s="1332" t="str">
        <f>IF(AND($N3389=$Q$7,$B3389&lt;'111'!$L$11),"x","")</f>
        <v/>
      </c>
      <c r="S3389" s="1332" t="str">
        <f>IF(AND($O3389=$Q$7,$B3389&lt;'111'!$L$11),"x","")</f>
        <v/>
      </c>
      <c r="T3389" s="1332" t="str">
        <f>IF(ISERROR(FIND('112'!$M$9,G3389,1)),"",IF((AND(FIND('112'!$M$9,G3389,1)&gt;=1,B3389='112'!$K$9,OR($N3389='112'!$I$6,$O3389='112'!$I$6))),"x",""))</f>
        <v/>
      </c>
      <c r="U3389" s="1332" t="str">
        <f>IF(ISERROR(FIND('112'!$M$9,G3389,1)),"",IF((AND(LEFT(G3389,2)=LEFT('112'!$M$9,2),B3389&lt;'112'!$K$9,$N3389='112'!$I$6)),"x",""))</f>
        <v/>
      </c>
      <c r="V3389" s="1332" t="str">
        <f>IF(ISERROR(FIND('112'!$M$9,G3389,1)),"",IF((AND(RIGHT(G3389,2)=RIGHT('112'!$M$9,2),B3389&lt;'112'!$K$9,$O3389='112'!$I$6)),"x",""))</f>
        <v/>
      </c>
      <c r="W3389" s="1332" t="str">
        <f>IF(AND('341-CT'!$H$9=H3389,OR(LEFT(N3389,3)=$W$7,LEFT(O3389,3)=$W$7)),"x","")</f>
        <v/>
      </c>
      <c r="X3389" s="1332" t="str">
        <f>IF(OR(TH!N3349=TH!$X$7,O3389=TH!$X$7),"x","")</f>
        <v>x</v>
      </c>
      <c r="Y3389" s="1332" t="str">
        <f>IF(AND(OR(N3389="131",O3389="131"),H3389='131-CT'!$H$9),"x","")</f>
        <v/>
      </c>
      <c r="Z3389" s="1332"/>
      <c r="AA3389" s="1332" t="str">
        <f>IF(AND(MONTH(E3389)='IN-NX'!$J$5,'IN-NX'!$D$7=D3389),"x","")</f>
        <v/>
      </c>
      <c r="AB3389" s="1332" t="str">
        <f>IF(AND(OR(LEFT(TH!N3349,2)="15",LEFT(TH!O3349,2)="15"),LEFT(TH!O3349,3)&lt;&gt;"111",'152-CT'!$J$8=TH!F3349),"x","")</f>
        <v/>
      </c>
      <c r="AC3389" s="1332" t="str">
        <f>IF(AND(OR(LEFT(TH!N3349,2)="15",LEFT(TH!O3349,2)="15"),TK!$E$7=TH!F3349),"x","")</f>
        <v/>
      </c>
      <c r="AD3389" s="1332" t="str">
        <f>IF(AND(N3389="1521",MONTH(C3389)='BK-NL'!$M$11),"x","")</f>
        <v/>
      </c>
    </row>
    <row r="3390" spans="1:30" s="1333" customFormat="1" ht="16.5" customHeight="1">
      <c r="A3390" s="309" t="str">
        <f>IF(B3390&lt;&gt;"",IF(AND(B3390='IN-TC'!$S$4,OR(TH!N3390="1111",TH!O3390="1111")),TH!D3390,""),"")</f>
        <v/>
      </c>
      <c r="B3390" s="1322">
        <f t="shared" si="1285"/>
        <v>1</v>
      </c>
      <c r="C3390" s="1323">
        <f t="shared" si="1287"/>
        <v>42766</v>
      </c>
      <c r="D3390" s="1323" t="s">
        <v>3011</v>
      </c>
      <c r="E3390" s="1323">
        <v>42766</v>
      </c>
      <c r="F3390" s="1324" t="s">
        <v>3010</v>
      </c>
      <c r="G3390" s="1325" t="s">
        <v>1899</v>
      </c>
      <c r="H3390" s="1326" t="s">
        <v>366</v>
      </c>
      <c r="I3390" s="1327"/>
      <c r="J3390" s="1328"/>
      <c r="K3390" s="1327"/>
      <c r="L3390" s="1329"/>
      <c r="M3390" s="1330">
        <v>1521812500</v>
      </c>
      <c r="N3390" s="1331" t="s">
        <v>8</v>
      </c>
      <c r="O3390" s="1331" t="s">
        <v>262</v>
      </c>
      <c r="P3390" s="1332" t="str">
        <f>IF(AND('331-CT'!$E$7=TH!H3372,OR(N3390="331",O3390="331")),"x","")</f>
        <v/>
      </c>
      <c r="Q3390" s="1332" t="str">
        <f>IF(AND(B3390='111'!$L$11,OR($N3390=$Q$7,$O3390=$Q$7)),"x","")</f>
        <v/>
      </c>
      <c r="R3390" s="1332" t="str">
        <f>IF(AND($N3390=$Q$7,$B3390&lt;'111'!$L$11),"x","")</f>
        <v/>
      </c>
      <c r="S3390" s="1332" t="str">
        <f>IF(AND($O3390=$Q$7,$B3390&lt;'111'!$L$11),"x","")</f>
        <v/>
      </c>
      <c r="T3390" s="1332" t="str">
        <f>IF(ISERROR(FIND('112'!$M$9,G3390,1)),"",IF((AND(FIND('112'!$M$9,G3390,1)&gt;=1,B3390='112'!$K$9,OR($N3390='112'!$I$6,$O3390='112'!$I$6))),"x",""))</f>
        <v/>
      </c>
      <c r="U3390" s="1332" t="str">
        <f>IF(ISERROR(FIND('112'!$M$9,G3390,1)),"",IF((AND(LEFT(G3390,2)=LEFT('112'!$M$9,2),B3390&lt;'112'!$K$9,$N3390='112'!$I$6)),"x",""))</f>
        <v/>
      </c>
      <c r="V3390" s="1332" t="str">
        <f>IF(ISERROR(FIND('112'!$M$9,G3390,1)),"",IF((AND(RIGHT(G3390,2)=RIGHT('112'!$M$9,2),B3390&lt;'112'!$K$9,$O3390='112'!$I$6)),"x",""))</f>
        <v/>
      </c>
      <c r="W3390" s="1332" t="str">
        <f>IF(AND('341-CT'!$H$9=H3390,OR(LEFT(N3390,3)=$W$7,LEFT(O3390,3)=$W$7)),"x","")</f>
        <v/>
      </c>
      <c r="X3390" s="1332" t="str">
        <f>IF(OR(TH!N3372=TH!$X$7,O3390=TH!$X$7),"x","")</f>
        <v>x</v>
      </c>
      <c r="Y3390" s="1332" t="str">
        <f>IF(AND(OR(N3390="131",O3390="131"),H3390='131-CT'!$H$9),"x","")</f>
        <v/>
      </c>
      <c r="Z3390" s="1332"/>
      <c r="AA3390" s="1332" t="str">
        <f>IF(AND(MONTH(E3390)='IN-NX'!$J$5,'IN-NX'!$D$7=D3390),"x","")</f>
        <v/>
      </c>
      <c r="AB3390" s="1332" t="str">
        <f>IF(AND(OR(LEFT(TH!N3372,2)="15",LEFT(TH!O3372,2)="15"),LEFT(TH!O3372,3)&lt;&gt;"111",'152-CT'!$J$8=TH!F3372),"x","")</f>
        <v/>
      </c>
      <c r="AC3390" s="1332" t="str">
        <f>IF(AND(OR(LEFT(TH!N3372,2)="15",LEFT(TH!O3372,2)="15"),TK!$E$7=TH!F3372),"x","")</f>
        <v/>
      </c>
      <c r="AD3390" s="1332" t="str">
        <f>IF(AND(N3390="1521",MONTH(C3390)='BK-NL'!$M$11),"x","")</f>
        <v/>
      </c>
    </row>
    <row r="3391" spans="1:30" s="1333" customFormat="1" ht="16.5" customHeight="1">
      <c r="A3391" s="309" t="str">
        <f>IF(B3391&lt;&gt;"",IF(AND(B3391='IN-TC'!$S$4,OR(TH!N3391="1111",TH!O3391="1111")),TH!D3391,""),"")</f>
        <v/>
      </c>
      <c r="B3391" s="1322">
        <f t="shared" si="1285"/>
        <v>1</v>
      </c>
      <c r="C3391" s="1323">
        <f t="shared" si="1287"/>
        <v>42766</v>
      </c>
      <c r="D3391" s="1323" t="s">
        <v>3011</v>
      </c>
      <c r="E3391" s="1323">
        <v>42766</v>
      </c>
      <c r="F3391" s="1324" t="s">
        <v>3010</v>
      </c>
      <c r="G3391" s="1325" t="s">
        <v>1899</v>
      </c>
      <c r="H3391" s="1326" t="s">
        <v>361</v>
      </c>
      <c r="I3391" s="1327"/>
      <c r="J3391" s="1328"/>
      <c r="K3391" s="1327"/>
      <c r="L3391" s="1329"/>
      <c r="M3391" s="1330">
        <v>262510000</v>
      </c>
      <c r="N3391" s="1331" t="s">
        <v>8</v>
      </c>
      <c r="O3391" s="1331" t="s">
        <v>262</v>
      </c>
      <c r="P3391" s="1332" t="str">
        <f>IF(AND('331-CT'!$E$7=TH!H3387,OR(N3391="331",O3391="331")),"x","")</f>
        <v/>
      </c>
      <c r="Q3391" s="1332" t="str">
        <f>IF(AND(B3391='111'!$L$11,OR($N3391=$Q$7,$O3391=$Q$7)),"x","")</f>
        <v/>
      </c>
      <c r="R3391" s="1332" t="str">
        <f>IF(AND($N3391=$Q$7,$B3391&lt;'111'!$L$11),"x","")</f>
        <v/>
      </c>
      <c r="S3391" s="1332" t="str">
        <f>IF(AND($O3391=$Q$7,$B3391&lt;'111'!$L$11),"x","")</f>
        <v/>
      </c>
      <c r="T3391" s="1332" t="str">
        <f>IF(ISERROR(FIND('112'!$M$9,G3391,1)),"",IF((AND(FIND('112'!$M$9,G3391,1)&gt;=1,B3391='112'!$K$9,OR($N3391='112'!$I$6,$O3391='112'!$I$6))),"x",""))</f>
        <v/>
      </c>
      <c r="U3391" s="1332" t="str">
        <f>IF(ISERROR(FIND('112'!$M$9,G3391,1)),"",IF((AND(LEFT(G3391,2)=LEFT('112'!$M$9,2),B3391&lt;'112'!$K$9,$N3391='112'!$I$6)),"x",""))</f>
        <v/>
      </c>
      <c r="V3391" s="1332" t="str">
        <f>IF(ISERROR(FIND('112'!$M$9,G3391,1)),"",IF((AND(RIGHT(G3391,2)=RIGHT('112'!$M$9,2),B3391&lt;'112'!$K$9,$O3391='112'!$I$6)),"x",""))</f>
        <v/>
      </c>
      <c r="W3391" s="1332" t="str">
        <f>IF(AND('341-CT'!$H$9=H3391,OR(LEFT(N3391,3)=$W$7,LEFT(O3391,3)=$W$7)),"x","")</f>
        <v/>
      </c>
      <c r="X3391" s="1332" t="str">
        <f>IF(OR(TH!N3387=TH!$X$7,O3391=TH!$X$7),"x","")</f>
        <v>x</v>
      </c>
      <c r="Y3391" s="1332" t="str">
        <f>IF(AND(OR(N3391="131",O3391="131"),H3391='131-CT'!$H$9),"x","")</f>
        <v/>
      </c>
      <c r="Z3391" s="1332"/>
      <c r="AA3391" s="1332" t="str">
        <f>IF(AND(MONTH(E3391)='IN-NX'!$J$5,'IN-NX'!$D$7=D3391),"x","")</f>
        <v/>
      </c>
      <c r="AB3391" s="1332" t="str">
        <f>IF(AND(OR(LEFT(TH!N3387,2)="15",LEFT(TH!O3387,2)="15"),LEFT(TH!O3387,3)&lt;&gt;"111",'152-CT'!$J$8=TH!F3387),"x","")</f>
        <v/>
      </c>
      <c r="AC3391" s="1332" t="str">
        <f>IF(AND(OR(LEFT(TH!N3387,2)="15",LEFT(TH!O3387,2)="15"),TK!$E$7=TH!F3387),"x","")</f>
        <v/>
      </c>
      <c r="AD3391" s="1332" t="str">
        <f>IF(AND(N3391="1521",MONTH(C3391)='BK-NL'!$M$11),"x","")</f>
        <v/>
      </c>
    </row>
    <row r="3392" spans="1:30" s="1333" customFormat="1" ht="16.5" customHeight="1">
      <c r="A3392" s="309" t="str">
        <f>IF(B3392&lt;&gt;"",IF(AND(B3392='IN-TC'!$S$4,OR(TH!N3392="1111",TH!O3392="1111")),TH!D3392,""),"")</f>
        <v/>
      </c>
      <c r="B3392" s="1322">
        <f t="shared" si="1285"/>
        <v>1</v>
      </c>
      <c r="C3392" s="1323">
        <f t="shared" si="1287"/>
        <v>42766</v>
      </c>
      <c r="D3392" s="1323" t="s">
        <v>3011</v>
      </c>
      <c r="E3392" s="1323">
        <v>42766</v>
      </c>
      <c r="F3392" s="1324" t="s">
        <v>3010</v>
      </c>
      <c r="G3392" s="1325" t="s">
        <v>1899</v>
      </c>
      <c r="H3392" s="1326" t="s">
        <v>404</v>
      </c>
      <c r="I3392" s="1327"/>
      <c r="J3392" s="1328"/>
      <c r="K3392" s="1327"/>
      <c r="L3392" s="1329"/>
      <c r="M3392" s="1330">
        <v>513525000</v>
      </c>
      <c r="N3392" s="1331" t="s">
        <v>8</v>
      </c>
      <c r="O3392" s="1331" t="s">
        <v>262</v>
      </c>
      <c r="P3392" s="1332" t="str">
        <f>IF(AND('331-CT'!$E$7=TH!H3390,OR(N3392="331",O3392="331")),"x","")</f>
        <v/>
      </c>
      <c r="Q3392" s="1332" t="str">
        <f>IF(AND(B3392='111'!$L$11,OR($N3392=$Q$7,$O3392=$Q$7)),"x","")</f>
        <v/>
      </c>
      <c r="R3392" s="1332" t="str">
        <f>IF(AND($N3392=$Q$7,$B3392&lt;'111'!$L$11),"x","")</f>
        <v/>
      </c>
      <c r="S3392" s="1332" t="str">
        <f>IF(AND($O3392=$Q$7,$B3392&lt;'111'!$L$11),"x","")</f>
        <v/>
      </c>
      <c r="T3392" s="1332" t="str">
        <f>IF(ISERROR(FIND('112'!$M$9,G3392,1)),"",IF((AND(FIND('112'!$M$9,G3392,1)&gt;=1,B3392='112'!$K$9,OR($N3392='112'!$I$6,$O3392='112'!$I$6))),"x",""))</f>
        <v/>
      </c>
      <c r="U3392" s="1332" t="str">
        <f>IF(ISERROR(FIND('112'!$M$9,G3392,1)),"",IF((AND(LEFT(G3392,2)=LEFT('112'!$M$9,2),B3392&lt;'112'!$K$9,$N3392='112'!$I$6)),"x",""))</f>
        <v/>
      </c>
      <c r="V3392" s="1332" t="str">
        <f>IF(ISERROR(FIND('112'!$M$9,G3392,1)),"",IF((AND(RIGHT(G3392,2)=RIGHT('112'!$M$9,2),B3392&lt;'112'!$K$9,$O3392='112'!$I$6)),"x",""))</f>
        <v/>
      </c>
      <c r="W3392" s="1332" t="str">
        <f>IF(AND('341-CT'!$H$9=H3392,OR(LEFT(N3392,3)=$W$7,LEFT(O3392,3)=$W$7)),"x","")</f>
        <v/>
      </c>
      <c r="X3392" s="1332" t="str">
        <f>IF(OR(TH!N3390=TH!$X$7,O3392=TH!$X$7),"x","")</f>
        <v>x</v>
      </c>
      <c r="Y3392" s="1332" t="str">
        <f>IF(AND(OR(N3392="131",O3392="131"),H3392='131-CT'!$H$9),"x","")</f>
        <v/>
      </c>
      <c r="Z3392" s="1332"/>
      <c r="AA3392" s="1332" t="str">
        <f>IF(AND(MONTH(E3392)='IN-NX'!$J$5,'IN-NX'!$D$7=D3392),"x","")</f>
        <v/>
      </c>
      <c r="AB3392" s="1332" t="str">
        <f>IF(AND(OR(LEFT(TH!N3390,2)="15",LEFT(TH!O3390,2)="15"),LEFT(TH!O3390,3)&lt;&gt;"111",'152-CT'!$J$8=TH!F3390),"x","")</f>
        <v/>
      </c>
      <c r="AC3392" s="1332" t="str">
        <f>IF(AND(OR(LEFT(TH!N3390,2)="15",LEFT(TH!O3390,2)="15"),TK!$E$7=TH!F3390),"x","")</f>
        <v/>
      </c>
      <c r="AD3392" s="1332" t="str">
        <f>IF(AND(N3392="1521",MONTH(C3392)='BK-NL'!$M$11),"x","")</f>
        <v/>
      </c>
    </row>
    <row r="3393" spans="1:30" s="1333" customFormat="1" ht="16.5" customHeight="1">
      <c r="A3393" s="309" t="str">
        <f>IF(B3393&lt;&gt;"",IF(AND(B3393='IN-TC'!$S$4,OR(TH!N3393="1111",TH!O3393="1111")),TH!D3393,""),"")</f>
        <v/>
      </c>
      <c r="B3393" s="1322">
        <f t="shared" si="1285"/>
        <v>1</v>
      </c>
      <c r="C3393" s="1323">
        <f t="shared" si="1287"/>
        <v>42766</v>
      </c>
      <c r="D3393" s="1323" t="s">
        <v>3011</v>
      </c>
      <c r="E3393" s="1323">
        <v>42766</v>
      </c>
      <c r="F3393" s="1324" t="s">
        <v>3010</v>
      </c>
      <c r="G3393" s="1325" t="s">
        <v>1899</v>
      </c>
      <c r="H3393" s="1326" t="s">
        <v>344</v>
      </c>
      <c r="I3393" s="1327"/>
      <c r="J3393" s="1328"/>
      <c r="K3393" s="1327"/>
      <c r="L3393" s="1329"/>
      <c r="M3393" s="1330">
        <v>435225000</v>
      </c>
      <c r="N3393" s="1331" t="s">
        <v>8</v>
      </c>
      <c r="O3393" s="1331" t="s">
        <v>262</v>
      </c>
      <c r="P3393" s="1332" t="str">
        <f>IF(AND('331-CT'!$E$7=TH!H3397,OR(N3393="331",O3393="331")),"x","")</f>
        <v/>
      </c>
      <c r="Q3393" s="1332" t="str">
        <f>IF(AND(B3393='111'!$L$11,OR($N3393=$Q$7,$O3393=$Q$7)),"x","")</f>
        <v/>
      </c>
      <c r="R3393" s="1332" t="str">
        <f>IF(AND($N3393=$Q$7,$B3393&lt;'111'!$L$11),"x","")</f>
        <v/>
      </c>
      <c r="S3393" s="1332" t="str">
        <f>IF(AND($O3393=$Q$7,$B3393&lt;'111'!$L$11),"x","")</f>
        <v/>
      </c>
      <c r="T3393" s="1332" t="str">
        <f>IF(ISERROR(FIND('112'!$M$9,G3393,1)),"",IF((AND(FIND('112'!$M$9,G3393,1)&gt;=1,B3393='112'!$K$9,OR($N3393='112'!$I$6,$O3393='112'!$I$6))),"x",""))</f>
        <v/>
      </c>
      <c r="U3393" s="1332" t="str">
        <f>IF(ISERROR(FIND('112'!$M$9,G3393,1)),"",IF((AND(LEFT(G3393,2)=LEFT('112'!$M$9,2),B3393&lt;'112'!$K$9,$N3393='112'!$I$6)),"x",""))</f>
        <v/>
      </c>
      <c r="V3393" s="1332" t="str">
        <f>IF(ISERROR(FIND('112'!$M$9,G3393,1)),"",IF((AND(RIGHT(G3393,2)=RIGHT('112'!$M$9,2),B3393&lt;'112'!$K$9,$O3393='112'!$I$6)),"x",""))</f>
        <v/>
      </c>
      <c r="W3393" s="1332" t="str">
        <f>IF(AND('341-CT'!$H$9=H3393,OR(LEFT(N3393,3)=$W$7,LEFT(O3393,3)=$W$7)),"x","")</f>
        <v/>
      </c>
      <c r="X3393" s="1332" t="str">
        <f>IF(OR(TH!N3397=TH!$X$7,O3393=TH!$X$7),"x","")</f>
        <v>x</v>
      </c>
      <c r="Y3393" s="1332" t="str">
        <f>IF(AND(OR(N3393="131",O3393="131"),H3393='131-CT'!$H$9),"x","")</f>
        <v/>
      </c>
      <c r="Z3393" s="1332"/>
      <c r="AA3393" s="1332" t="str">
        <f>IF(AND(MONTH(E3393)='IN-NX'!$J$5,'IN-NX'!$D$7=D3393),"x","")</f>
        <v/>
      </c>
      <c r="AB3393" s="1332" t="str">
        <f>IF(AND(OR(LEFT(TH!N3397,2)="15",LEFT(TH!O3397,2)="15"),LEFT(TH!O3397,3)&lt;&gt;"111",'152-CT'!$J$8=TH!F3397),"x","")</f>
        <v/>
      </c>
      <c r="AC3393" s="1332" t="str">
        <f>IF(AND(OR(LEFT(TH!N3397,2)="15",LEFT(TH!O3397,2)="15"),TK!$E$7=TH!F3397),"x","")</f>
        <v/>
      </c>
      <c r="AD3393" s="1332" t="str">
        <f>IF(AND(N3393="1521",MONTH(C3393)='BK-NL'!$M$11),"x","")</f>
        <v/>
      </c>
    </row>
    <row r="3394" spans="1:30" s="1333" customFormat="1" ht="16.5" customHeight="1">
      <c r="A3394" s="309" t="str">
        <f>IF(B3394&lt;&gt;"",IF(AND(B3394='IN-TC'!$S$4,OR(TH!N3394="1111",TH!O3394="1111")),TH!D3394,""),"")</f>
        <v/>
      </c>
      <c r="B3394" s="1322">
        <f t="shared" si="1285"/>
        <v>1</v>
      </c>
      <c r="C3394" s="1323">
        <f t="shared" si="1287"/>
        <v>42766</v>
      </c>
      <c r="D3394" s="1323" t="s">
        <v>3011</v>
      </c>
      <c r="E3394" s="1323">
        <v>42766</v>
      </c>
      <c r="F3394" s="1324" t="s">
        <v>3010</v>
      </c>
      <c r="G3394" s="1325" t="s">
        <v>1899</v>
      </c>
      <c r="H3394" s="1326" t="s">
        <v>403</v>
      </c>
      <c r="I3394" s="1327"/>
      <c r="J3394" s="1328"/>
      <c r="K3394" s="1327"/>
      <c r="L3394" s="1329"/>
      <c r="M3394" s="1330">
        <v>511754800</v>
      </c>
      <c r="N3394" s="1331" t="s">
        <v>8</v>
      </c>
      <c r="O3394" s="1331" t="s">
        <v>262</v>
      </c>
      <c r="P3394" s="1332" t="str">
        <f>IF(AND('331-CT'!$E$7=TH!H3393,OR(N3394="331",O3394="331")),"x","")</f>
        <v/>
      </c>
      <c r="Q3394" s="1332" t="str">
        <f>IF(AND(B3394='111'!$L$11,OR($N3394=$Q$7,$O3394=$Q$7)),"x","")</f>
        <v/>
      </c>
      <c r="R3394" s="1332" t="str">
        <f>IF(AND($N3394=$Q$7,$B3394&lt;'111'!$L$11),"x","")</f>
        <v/>
      </c>
      <c r="S3394" s="1332" t="str">
        <f>IF(AND($O3394=$Q$7,$B3394&lt;'111'!$L$11),"x","")</f>
        <v/>
      </c>
      <c r="T3394" s="1332" t="str">
        <f>IF(ISERROR(FIND('112'!$M$9,G3394,1)),"",IF((AND(FIND('112'!$M$9,G3394,1)&gt;=1,B3394='112'!$K$9,OR($N3394='112'!$I$6,$O3394='112'!$I$6))),"x",""))</f>
        <v/>
      </c>
      <c r="U3394" s="1332" t="str">
        <f>IF(ISERROR(FIND('112'!$M$9,G3394,1)),"",IF((AND(LEFT(G3394,2)=LEFT('112'!$M$9,2),B3394&lt;'112'!$K$9,$N3394='112'!$I$6)),"x",""))</f>
        <v/>
      </c>
      <c r="V3394" s="1332" t="str">
        <f>IF(ISERROR(FIND('112'!$M$9,G3394,1)),"",IF((AND(RIGHT(G3394,2)=RIGHT('112'!$M$9,2),B3394&lt;'112'!$K$9,$O3394='112'!$I$6)),"x",""))</f>
        <v/>
      </c>
      <c r="W3394" s="1332" t="str">
        <f>IF(AND('341-CT'!$H$9=H3394,OR(LEFT(N3394,3)=$W$7,LEFT(O3394,3)=$W$7)),"x","")</f>
        <v/>
      </c>
      <c r="X3394" s="1332" t="str">
        <f>IF(OR(TH!N3393=TH!$X$7,O3394=TH!$X$7),"x","")</f>
        <v>x</v>
      </c>
      <c r="Y3394" s="1332" t="str">
        <f>IF(AND(OR(N3394="131",O3394="131"),H3394='131-CT'!$H$9),"x","")</f>
        <v/>
      </c>
      <c r="Z3394" s="1332"/>
      <c r="AA3394" s="1332" t="str">
        <f>IF(AND(MONTH(E3394)='IN-NX'!$J$5,'IN-NX'!$D$7=D3394),"x","")</f>
        <v/>
      </c>
      <c r="AB3394" s="1332" t="str">
        <f>IF(AND(OR(LEFT(TH!N3393,2)="15",LEFT(TH!O3393,2)="15"),LEFT(TH!O3393,3)&lt;&gt;"111",'152-CT'!$J$8=TH!F3393),"x","")</f>
        <v/>
      </c>
      <c r="AC3394" s="1332" t="str">
        <f>IF(AND(OR(LEFT(TH!N3393,2)="15",LEFT(TH!O3393,2)="15"),TK!$E$7=TH!F3393),"x","")</f>
        <v/>
      </c>
      <c r="AD3394" s="1332" t="str">
        <f>IF(AND(N3394="1521",MONTH(C3394)='BK-NL'!$M$11),"x","")</f>
        <v/>
      </c>
    </row>
    <row r="3395" spans="1:30" s="1333" customFormat="1" ht="16.5" customHeight="1">
      <c r="A3395" s="309" t="str">
        <f>IF(B3395&lt;&gt;"",IF(AND(B3395='IN-TC'!$S$4,OR(TH!N3395="1111",TH!O3395="1111")),TH!D3395,""),"")</f>
        <v/>
      </c>
      <c r="B3395" s="1322">
        <f t="shared" si="1285"/>
        <v>1</v>
      </c>
      <c r="C3395" s="1323">
        <f t="shared" si="1287"/>
        <v>42766</v>
      </c>
      <c r="D3395" s="1323" t="s">
        <v>3011</v>
      </c>
      <c r="E3395" s="1323">
        <v>42766</v>
      </c>
      <c r="F3395" s="1324" t="s">
        <v>3010</v>
      </c>
      <c r="G3395" s="1325" t="s">
        <v>1899</v>
      </c>
      <c r="H3395" s="1326" t="s">
        <v>342</v>
      </c>
      <c r="I3395" s="1327"/>
      <c r="J3395" s="1328"/>
      <c r="K3395" s="1327"/>
      <c r="L3395" s="1329"/>
      <c r="M3395" s="1330">
        <v>879900000</v>
      </c>
      <c r="N3395" s="1331" t="s">
        <v>8</v>
      </c>
      <c r="O3395" s="1331" t="s">
        <v>262</v>
      </c>
      <c r="P3395" s="1332" t="str">
        <f>IF(AND('331-CT'!$E$7=TH!H3395,OR(N3395="331",O3395="331")),"x","")</f>
        <v/>
      </c>
      <c r="Q3395" s="1332" t="str">
        <f>IF(AND(B3395='111'!$L$11,OR($N3395=$Q$7,$O3395=$Q$7)),"x","")</f>
        <v/>
      </c>
      <c r="R3395" s="1332" t="str">
        <f>IF(AND($N3395=$Q$7,$B3395&lt;'111'!$L$11),"x","")</f>
        <v/>
      </c>
      <c r="S3395" s="1332" t="str">
        <f>IF(AND($O3395=$Q$7,$B3395&lt;'111'!$L$11),"x","")</f>
        <v/>
      </c>
      <c r="T3395" s="1332" t="str">
        <f>IF(ISERROR(FIND('112'!$M$9,G3395,1)),"",IF((AND(FIND('112'!$M$9,G3395,1)&gt;=1,B3395='112'!$K$9,OR($N3395='112'!$I$6,$O3395='112'!$I$6))),"x",""))</f>
        <v/>
      </c>
      <c r="U3395" s="1332" t="str">
        <f>IF(ISERROR(FIND('112'!$M$9,G3395,1)),"",IF((AND(LEFT(G3395,2)=LEFT('112'!$M$9,2),B3395&lt;'112'!$K$9,$N3395='112'!$I$6)),"x",""))</f>
        <v/>
      </c>
      <c r="V3395" s="1332" t="str">
        <f>IF(ISERROR(FIND('112'!$M$9,G3395,1)),"",IF((AND(RIGHT(G3395,2)=RIGHT('112'!$M$9,2),B3395&lt;'112'!$K$9,$O3395='112'!$I$6)),"x",""))</f>
        <v/>
      </c>
      <c r="W3395" s="1332" t="str">
        <f>IF(AND('341-CT'!$H$9=H3395,OR(LEFT(N3395,3)=$W$7,LEFT(O3395,3)=$W$7)),"x","")</f>
        <v/>
      </c>
      <c r="X3395" s="1332" t="str">
        <f>IF(OR(TH!N3395=TH!$X$7,O3395=TH!$X$7),"x","")</f>
        <v>x</v>
      </c>
      <c r="Y3395" s="1332" t="str">
        <f>IF(AND(OR(N3395="131",O3395="131"),H3395='131-CT'!$H$9),"x","")</f>
        <v/>
      </c>
      <c r="Z3395" s="1332"/>
      <c r="AA3395" s="1332" t="str">
        <f>IF(AND(MONTH(E3395)='IN-NX'!$J$5,'IN-NX'!$D$7=D3395),"x","")</f>
        <v/>
      </c>
      <c r="AB3395" s="1332" t="str">
        <f>IF(AND(OR(LEFT(TH!N3395,2)="15",LEFT(TH!O3395,2)="15"),LEFT(TH!O3395,3)&lt;&gt;"111",'152-CT'!$J$8=TH!F3395),"x","")</f>
        <v/>
      </c>
      <c r="AC3395" s="1332" t="str">
        <f>IF(AND(OR(LEFT(TH!N3395,2)="15",LEFT(TH!O3395,2)="15"),TK!$E$7=TH!F3395),"x","")</f>
        <v/>
      </c>
      <c r="AD3395" s="1332" t="str">
        <f>IF(AND(N3395="1521",MONTH(C3395)='BK-NL'!$M$11),"x","")</f>
        <v/>
      </c>
    </row>
    <row r="3396" spans="1:30" s="1333" customFormat="1" ht="16.5" customHeight="1">
      <c r="A3396" s="309" t="str">
        <f>IF(B3396&lt;&gt;"",IF(AND(B3396='IN-TC'!$S$4,OR(TH!N3396="1111",TH!O3396="1111")),TH!D3396,""),"")</f>
        <v/>
      </c>
      <c r="B3396" s="1322">
        <f t="shared" si="1285"/>
        <v>3</v>
      </c>
      <c r="C3396" s="1323">
        <f t="shared" si="1287"/>
        <v>42825</v>
      </c>
      <c r="D3396" s="1323" t="s">
        <v>3013</v>
      </c>
      <c r="E3396" s="1323">
        <v>42825</v>
      </c>
      <c r="F3396" s="1324" t="s">
        <v>3010</v>
      </c>
      <c r="G3396" s="1325" t="s">
        <v>1899</v>
      </c>
      <c r="H3396" s="1326" t="s">
        <v>342</v>
      </c>
      <c r="I3396" s="1327"/>
      <c r="J3396" s="1328"/>
      <c r="K3396" s="1327"/>
      <c r="L3396" s="1329"/>
      <c r="M3396" s="1330">
        <v>173178000</v>
      </c>
      <c r="N3396" s="1331" t="s">
        <v>8</v>
      </c>
      <c r="O3396" s="1331" t="s">
        <v>262</v>
      </c>
      <c r="P3396" s="1332" t="str">
        <f>IF(AND('331-CT'!$E$7=TH!H3396,OR(N3396="331",O3396="331")),"x","")</f>
        <v/>
      </c>
      <c r="Q3396" s="1332" t="str">
        <f>IF(AND(B3396='111'!$L$11,OR($N3396=$Q$7,$O3396=$Q$7)),"x","")</f>
        <v/>
      </c>
      <c r="R3396" s="1332" t="str">
        <f>IF(AND($N3396=$Q$7,$B3396&lt;'111'!$L$11),"x","")</f>
        <v/>
      </c>
      <c r="S3396" s="1332" t="str">
        <f>IF(AND($O3396=$Q$7,$B3396&lt;'111'!$L$11),"x","")</f>
        <v/>
      </c>
      <c r="T3396" s="1332" t="str">
        <f>IF(ISERROR(FIND('112'!$M$9,G3396,1)),"",IF((AND(FIND('112'!$M$9,G3396,1)&gt;=1,B3396='112'!$K$9,OR($N3396='112'!$I$6,$O3396='112'!$I$6))),"x",""))</f>
        <v/>
      </c>
      <c r="U3396" s="1332" t="str">
        <f>IF(ISERROR(FIND('112'!$M$9,G3396,1)),"",IF((AND(LEFT(G3396,2)=LEFT('112'!$M$9,2),B3396&lt;'112'!$K$9,$N3396='112'!$I$6)),"x",""))</f>
        <v/>
      </c>
      <c r="V3396" s="1332" t="str">
        <f>IF(ISERROR(FIND('112'!$M$9,G3396,1)),"",IF((AND(RIGHT(G3396,2)=RIGHT('112'!$M$9,2),B3396&lt;'112'!$K$9,$O3396='112'!$I$6)),"x",""))</f>
        <v/>
      </c>
      <c r="W3396" s="1332" t="str">
        <f>IF(AND('341-CT'!$H$9=H3396,OR(LEFT(N3396,3)=$W$7,LEFT(O3396,3)=$W$7)),"x","")</f>
        <v/>
      </c>
      <c r="X3396" s="1332" t="str">
        <f>IF(OR(TH!N3396=TH!$X$7,O3396=TH!$X$7),"x","")</f>
        <v>x</v>
      </c>
      <c r="Y3396" s="1332" t="str">
        <f>IF(AND(OR(N3396="131",O3396="131"),H3396='131-CT'!$H$9),"x","")</f>
        <v/>
      </c>
      <c r="Z3396" s="1332"/>
      <c r="AA3396" s="1332" t="str">
        <f>IF(AND(MONTH(E3396)='IN-NX'!$J$5,'IN-NX'!$D$7=D3396),"x","")</f>
        <v/>
      </c>
      <c r="AB3396" s="1332" t="str">
        <f>IF(AND(OR(LEFT(TH!N3396,2)="15",LEFT(TH!O3396,2)="15"),LEFT(TH!O3396,3)&lt;&gt;"111",'152-CT'!$J$8=TH!F3396),"x","")</f>
        <v/>
      </c>
      <c r="AC3396" s="1332" t="str">
        <f>IF(AND(OR(LEFT(TH!N3396,2)="15",LEFT(TH!O3396,2)="15"),TK!$E$7=TH!F3396),"x","")</f>
        <v/>
      </c>
      <c r="AD3396" s="1332" t="str">
        <f>IF(AND(N3396="1521",MONTH(C3396)='BK-NL'!$M$11),"x","")</f>
        <v/>
      </c>
    </row>
    <row r="3397" spans="1:30" s="1333" customFormat="1" ht="16.5" customHeight="1">
      <c r="A3397" s="309" t="str">
        <f>IF(B3397&lt;&gt;"",IF(AND(B3397='IN-TC'!$S$4,OR(TH!N3397="1111",TH!O3397="1111")),TH!D3397,""),"")</f>
        <v/>
      </c>
      <c r="B3397" s="1322">
        <f t="shared" si="1285"/>
        <v>4</v>
      </c>
      <c r="C3397" s="1323">
        <f t="shared" si="1287"/>
        <v>42855</v>
      </c>
      <c r="D3397" s="1323" t="s">
        <v>3015</v>
      </c>
      <c r="E3397" s="1323">
        <v>42855</v>
      </c>
      <c r="F3397" s="1324" t="s">
        <v>3010</v>
      </c>
      <c r="G3397" s="1325" t="s">
        <v>1899</v>
      </c>
      <c r="H3397" s="1326" t="s">
        <v>403</v>
      </c>
      <c r="I3397" s="1327"/>
      <c r="J3397" s="1328"/>
      <c r="K3397" s="1327"/>
      <c r="L3397" s="1329"/>
      <c r="M3397" s="1330">
        <v>418782000</v>
      </c>
      <c r="N3397" s="1331" t="s">
        <v>8</v>
      </c>
      <c r="O3397" s="1331" t="s">
        <v>262</v>
      </c>
      <c r="P3397" s="1332" t="str">
        <f>IF(AND('331-CT'!$E$7=TH!H3394,OR(N3397="331",O3397="331")),"x","")</f>
        <v/>
      </c>
      <c r="Q3397" s="1332" t="str">
        <f>IF(AND(B3397='111'!$L$11,OR($N3397=$Q$7,$O3397=$Q$7)),"x","")</f>
        <v/>
      </c>
      <c r="R3397" s="1332" t="str">
        <f>IF(AND($N3397=$Q$7,$B3397&lt;'111'!$L$11),"x","")</f>
        <v/>
      </c>
      <c r="S3397" s="1332" t="str">
        <f>IF(AND($O3397=$Q$7,$B3397&lt;'111'!$L$11),"x","")</f>
        <v/>
      </c>
      <c r="T3397" s="1332" t="str">
        <f>IF(ISERROR(FIND('112'!$M$9,G3397,1)),"",IF((AND(FIND('112'!$M$9,G3397,1)&gt;=1,B3397='112'!$K$9,OR($N3397='112'!$I$6,$O3397='112'!$I$6))),"x",""))</f>
        <v/>
      </c>
      <c r="U3397" s="1332" t="str">
        <f>IF(ISERROR(FIND('112'!$M$9,G3397,1)),"",IF((AND(LEFT(G3397,2)=LEFT('112'!$M$9,2),B3397&lt;'112'!$K$9,$N3397='112'!$I$6)),"x",""))</f>
        <v/>
      </c>
      <c r="V3397" s="1332" t="str">
        <f>IF(ISERROR(FIND('112'!$M$9,G3397,1)),"",IF((AND(RIGHT(G3397,2)=RIGHT('112'!$M$9,2),B3397&lt;'112'!$K$9,$O3397='112'!$I$6)),"x",""))</f>
        <v/>
      </c>
      <c r="W3397" s="1332" t="str">
        <f>IF(AND('341-CT'!$H$9=H3397,OR(LEFT(N3397,3)=$W$7,LEFT(O3397,3)=$W$7)),"x","")</f>
        <v/>
      </c>
      <c r="X3397" s="1332" t="str">
        <f>IF(OR(TH!N3394=TH!$X$7,O3397=TH!$X$7),"x","")</f>
        <v>x</v>
      </c>
      <c r="Y3397" s="1332" t="str">
        <f>IF(AND(OR(N3397="131",O3397="131"),H3397='131-CT'!$H$9),"x","")</f>
        <v/>
      </c>
      <c r="Z3397" s="1332"/>
      <c r="AA3397" s="1332" t="str">
        <f>IF(AND(MONTH(E3397)='IN-NX'!$J$5,'IN-NX'!$D$7=D3397),"x","")</f>
        <v/>
      </c>
      <c r="AB3397" s="1332" t="str">
        <f>IF(AND(OR(LEFT(TH!N3394,2)="15",LEFT(TH!O3394,2)="15"),LEFT(TH!O3394,3)&lt;&gt;"111",'152-CT'!$J$8=TH!F3394),"x","")</f>
        <v/>
      </c>
      <c r="AC3397" s="1332" t="str">
        <f>IF(AND(OR(LEFT(TH!N3394,2)="15",LEFT(TH!O3394,2)="15"),TK!$E$7=TH!F3394),"x","")</f>
        <v/>
      </c>
      <c r="AD3397" s="1332" t="str">
        <f>IF(AND(N3397="1521",MONTH(C3397)='BK-NL'!$M$11),"x","")</f>
        <v/>
      </c>
    </row>
    <row r="3398" spans="1:30" s="1333" customFormat="1" ht="16.5" customHeight="1">
      <c r="A3398" s="309" t="str">
        <f>IF(B3398&lt;&gt;"",IF(AND(B3398='IN-TC'!$S$4,OR(TH!N3398="1111",TH!O3398="1111")),TH!D3398,""),"")</f>
        <v/>
      </c>
      <c r="B3398" s="1322">
        <f t="shared" si="1285"/>
        <v>4</v>
      </c>
      <c r="C3398" s="1323">
        <f t="shared" si="1287"/>
        <v>42855</v>
      </c>
      <c r="D3398" s="1323" t="s">
        <v>3015</v>
      </c>
      <c r="E3398" s="1323">
        <v>42855</v>
      </c>
      <c r="F3398" s="1324" t="s">
        <v>3010</v>
      </c>
      <c r="G3398" s="1325" t="s">
        <v>1899</v>
      </c>
      <c r="H3398" s="1326" t="s">
        <v>404</v>
      </c>
      <c r="I3398" s="1327"/>
      <c r="J3398" s="1328"/>
      <c r="K3398" s="1327"/>
      <c r="L3398" s="1329"/>
      <c r="M3398" s="1330">
        <v>830011000</v>
      </c>
      <c r="N3398" s="1331" t="s">
        <v>8</v>
      </c>
      <c r="O3398" s="1331" t="s">
        <v>262</v>
      </c>
      <c r="P3398" s="1332" t="str">
        <f>IF(AND('331-CT'!$E$7=TH!H3391,OR(N3398="331",O3398="331")),"x","")</f>
        <v/>
      </c>
      <c r="Q3398" s="1332" t="str">
        <f>IF(AND(B3398='111'!$L$11,OR($N3398=$Q$7,$O3398=$Q$7)),"x","")</f>
        <v/>
      </c>
      <c r="R3398" s="1332" t="str">
        <f>IF(AND($N3398=$Q$7,$B3398&lt;'111'!$L$11),"x","")</f>
        <v/>
      </c>
      <c r="S3398" s="1332" t="str">
        <f>IF(AND($O3398=$Q$7,$B3398&lt;'111'!$L$11),"x","")</f>
        <v/>
      </c>
      <c r="T3398" s="1332" t="str">
        <f>IF(ISERROR(FIND('112'!$M$9,G3398,1)),"",IF((AND(FIND('112'!$M$9,G3398,1)&gt;=1,B3398='112'!$K$9,OR($N3398='112'!$I$6,$O3398='112'!$I$6))),"x",""))</f>
        <v/>
      </c>
      <c r="U3398" s="1332" t="str">
        <f>IF(ISERROR(FIND('112'!$M$9,G3398,1)),"",IF((AND(LEFT(G3398,2)=LEFT('112'!$M$9,2),B3398&lt;'112'!$K$9,$N3398='112'!$I$6)),"x",""))</f>
        <v/>
      </c>
      <c r="V3398" s="1332" t="str">
        <f>IF(ISERROR(FIND('112'!$M$9,G3398,1)),"",IF((AND(RIGHT(G3398,2)=RIGHT('112'!$M$9,2),B3398&lt;'112'!$K$9,$O3398='112'!$I$6)),"x",""))</f>
        <v/>
      </c>
      <c r="W3398" s="1332" t="str">
        <f>IF(AND('341-CT'!$H$9=H3398,OR(LEFT(N3398,3)=$W$7,LEFT(O3398,3)=$W$7)),"x","")</f>
        <v/>
      </c>
      <c r="X3398" s="1332" t="str">
        <f>IF(OR(TH!N3391=TH!$X$7,O3398=TH!$X$7),"x","")</f>
        <v>x</v>
      </c>
      <c r="Y3398" s="1332" t="str">
        <f>IF(AND(OR(N3398="131",O3398="131"),H3398='131-CT'!$H$9),"x","")</f>
        <v/>
      </c>
      <c r="Z3398" s="1332"/>
      <c r="AA3398" s="1332" t="str">
        <f>IF(AND(MONTH(E3398)='IN-NX'!$J$5,'IN-NX'!$D$7=D3398),"x","")</f>
        <v/>
      </c>
      <c r="AB3398" s="1332" t="str">
        <f>IF(AND(OR(LEFT(TH!N3391,2)="15",LEFT(TH!O3391,2)="15"),LEFT(TH!O3391,3)&lt;&gt;"111",'152-CT'!$J$8=TH!F3391),"x","")</f>
        <v/>
      </c>
      <c r="AC3398" s="1332" t="str">
        <f>IF(AND(OR(LEFT(TH!N3391,2)="15",LEFT(TH!O3391,2)="15"),TK!$E$7=TH!F3391),"x","")</f>
        <v/>
      </c>
      <c r="AD3398" s="1332" t="str">
        <f>IF(AND(N3398="1521",MONTH(C3398)='BK-NL'!$M$11),"x","")</f>
        <v/>
      </c>
    </row>
    <row r="3399" spans="1:30" s="1333" customFormat="1" ht="16.5" customHeight="1">
      <c r="A3399" s="309" t="str">
        <f>IF(B3399&lt;&gt;"",IF(AND(B3399='IN-TC'!$S$4,OR(TH!N3399="1111",TH!O3399="1111")),TH!D3399,""),"")</f>
        <v/>
      </c>
      <c r="B3399" s="1322">
        <f t="shared" si="1285"/>
        <v>5</v>
      </c>
      <c r="C3399" s="1323">
        <f t="shared" si="1287"/>
        <v>42886</v>
      </c>
      <c r="D3399" s="1323" t="s">
        <v>3017</v>
      </c>
      <c r="E3399" s="1323">
        <v>42886</v>
      </c>
      <c r="F3399" s="1324" t="s">
        <v>3010</v>
      </c>
      <c r="G3399" s="1325" t="s">
        <v>1899</v>
      </c>
      <c r="H3399" s="1326" t="s">
        <v>361</v>
      </c>
      <c r="I3399" s="1327"/>
      <c r="J3399" s="1328"/>
      <c r="K3399" s="1327"/>
      <c r="L3399" s="1329"/>
      <c r="M3399" s="1330">
        <v>1110910000</v>
      </c>
      <c r="N3399" s="1331" t="s">
        <v>8</v>
      </c>
      <c r="O3399" s="1331" t="s">
        <v>262</v>
      </c>
      <c r="P3399" s="1332" t="str">
        <f>IF(AND('331-CT'!$E$7=TH!H3382,OR(N3399="331",O3399="331")),"x","")</f>
        <v/>
      </c>
      <c r="Q3399" s="1332" t="str">
        <f>IF(AND(B3399='111'!$L$11,OR($N3399=$Q$7,$O3399=$Q$7)),"x","")</f>
        <v/>
      </c>
      <c r="R3399" s="1332" t="str">
        <f>IF(AND($N3399=$Q$7,$B3399&lt;'111'!$L$11),"x","")</f>
        <v/>
      </c>
      <c r="S3399" s="1332" t="str">
        <f>IF(AND($O3399=$Q$7,$B3399&lt;'111'!$L$11),"x","")</f>
        <v/>
      </c>
      <c r="T3399" s="1332" t="str">
        <f>IF(ISERROR(FIND('112'!$M$9,G3399,1)),"",IF((AND(FIND('112'!$M$9,G3399,1)&gt;=1,B3399='112'!$K$9,OR($N3399='112'!$I$6,$O3399='112'!$I$6))),"x",""))</f>
        <v/>
      </c>
      <c r="U3399" s="1332" t="str">
        <f>IF(ISERROR(FIND('112'!$M$9,G3399,1)),"",IF((AND(LEFT(G3399,2)=LEFT('112'!$M$9,2),B3399&lt;'112'!$K$9,$N3399='112'!$I$6)),"x",""))</f>
        <v/>
      </c>
      <c r="V3399" s="1332" t="str">
        <f>IF(ISERROR(FIND('112'!$M$9,G3399,1)),"",IF((AND(RIGHT(G3399,2)=RIGHT('112'!$M$9,2),B3399&lt;'112'!$K$9,$O3399='112'!$I$6)),"x",""))</f>
        <v/>
      </c>
      <c r="W3399" s="1332" t="str">
        <f>IF(AND('341-CT'!$H$9=H3399,OR(LEFT(N3399,3)=$W$7,LEFT(O3399,3)=$W$7)),"x","")</f>
        <v/>
      </c>
      <c r="X3399" s="1332" t="str">
        <f>IF(OR(TH!N3382=TH!$X$7,O3399=TH!$X$7),"x","")</f>
        <v>x</v>
      </c>
      <c r="Y3399" s="1332" t="str">
        <f>IF(AND(OR(N3399="131",O3399="131"),H3399='131-CT'!$H$9),"x","")</f>
        <v/>
      </c>
      <c r="Z3399" s="1332"/>
      <c r="AA3399" s="1332" t="str">
        <f>IF(AND(MONTH(E3399)='IN-NX'!$J$5,'IN-NX'!$D$7=D3399),"x","")</f>
        <v/>
      </c>
      <c r="AB3399" s="1332" t="str">
        <f>IF(AND(OR(LEFT(TH!N3382,2)="15",LEFT(TH!O3382,2)="15"),LEFT(TH!O3382,3)&lt;&gt;"111",'152-CT'!$J$8=TH!F3382),"x","")</f>
        <v/>
      </c>
      <c r="AC3399" s="1332" t="str">
        <f>IF(AND(OR(LEFT(TH!N3382,2)="15",LEFT(TH!O3382,2)="15"),TK!$E$7=TH!F3382),"x","")</f>
        <v/>
      </c>
      <c r="AD3399" s="1332" t="str">
        <f>IF(AND(N3399="1521",MONTH(C3399)='BK-NL'!$M$11),"x","")</f>
        <v/>
      </c>
    </row>
    <row r="3400" spans="1:30" s="1333" customFormat="1" ht="16.5" customHeight="1">
      <c r="A3400" s="309" t="str">
        <f>IF(B3400&lt;&gt;"",IF(AND(B3400='IN-TC'!$S$4,OR(TH!N3400="1111",TH!O3400="1111")),TH!D3400,""),"")</f>
        <v/>
      </c>
      <c r="B3400" s="1322">
        <f t="shared" si="1285"/>
        <v>5</v>
      </c>
      <c r="C3400" s="1323">
        <f t="shared" si="1287"/>
        <v>42886</v>
      </c>
      <c r="D3400" s="1323" t="s">
        <v>3017</v>
      </c>
      <c r="E3400" s="1323">
        <v>42886</v>
      </c>
      <c r="F3400" s="1324" t="s">
        <v>3010</v>
      </c>
      <c r="G3400" s="1325" t="s">
        <v>1899</v>
      </c>
      <c r="H3400" s="1326" t="s">
        <v>420</v>
      </c>
      <c r="I3400" s="1327"/>
      <c r="J3400" s="1328"/>
      <c r="K3400" s="1327"/>
      <c r="L3400" s="1329"/>
      <c r="M3400" s="1330">
        <v>372372000</v>
      </c>
      <c r="N3400" s="1331" t="s">
        <v>8</v>
      </c>
      <c r="O3400" s="1331" t="s">
        <v>262</v>
      </c>
      <c r="P3400" s="1332" t="str">
        <f>IF(AND('331-CT'!$E$7=TH!H3406,OR(N3400="331",O3400="331")),"x","")</f>
        <v/>
      </c>
      <c r="Q3400" s="1332" t="str">
        <f>IF(AND(B3400='111'!$L$11,OR($N3400=$Q$7,$O3400=$Q$7)),"x","")</f>
        <v/>
      </c>
      <c r="R3400" s="1332" t="str">
        <f>IF(AND($N3400=$Q$7,$B3400&lt;'111'!$L$11),"x","")</f>
        <v/>
      </c>
      <c r="S3400" s="1332" t="str">
        <f>IF(AND($O3400=$Q$7,$B3400&lt;'111'!$L$11),"x","")</f>
        <v/>
      </c>
      <c r="T3400" s="1332" t="str">
        <f>IF(ISERROR(FIND('112'!$M$9,G3400,1)),"",IF((AND(FIND('112'!$M$9,G3400,1)&gt;=1,B3400='112'!$K$9,OR($N3400='112'!$I$6,$O3400='112'!$I$6))),"x",""))</f>
        <v/>
      </c>
      <c r="U3400" s="1332" t="str">
        <f>IF(ISERROR(FIND('112'!$M$9,G3400,1)),"",IF((AND(LEFT(G3400,2)=LEFT('112'!$M$9,2),B3400&lt;'112'!$K$9,$N3400='112'!$I$6)),"x",""))</f>
        <v/>
      </c>
      <c r="V3400" s="1332" t="str">
        <f>IF(ISERROR(FIND('112'!$M$9,G3400,1)),"",IF((AND(RIGHT(G3400,2)=RIGHT('112'!$M$9,2),B3400&lt;'112'!$K$9,$O3400='112'!$I$6)),"x",""))</f>
        <v/>
      </c>
      <c r="W3400" s="1332" t="str">
        <f>IF(AND('341-CT'!$H$9=H3400,OR(LEFT(N3400,3)=$W$7,LEFT(O3400,3)=$W$7)),"x","")</f>
        <v/>
      </c>
      <c r="X3400" s="1332" t="str">
        <f>IF(OR(TH!N3406=TH!$X$7,O3400=TH!$X$7),"x","")</f>
        <v>x</v>
      </c>
      <c r="Y3400" s="1332" t="str">
        <f>IF(AND(OR(N3400="131",O3400="131"),H3400='131-CT'!$H$9),"x","")</f>
        <v/>
      </c>
      <c r="Z3400" s="1332"/>
      <c r="AA3400" s="1332" t="str">
        <f>IF(AND(MONTH(E3400)='IN-NX'!$J$5,'IN-NX'!$D$7=D3400),"x","")</f>
        <v/>
      </c>
      <c r="AB3400" s="1332" t="str">
        <f>IF(AND(OR(LEFT(TH!N3406,2)="15",LEFT(TH!O3406,2)="15"),LEFT(TH!O3406,3)&lt;&gt;"111",'152-CT'!$J$8=TH!F3406),"x","")</f>
        <v/>
      </c>
      <c r="AC3400" s="1332" t="str">
        <f>IF(AND(OR(LEFT(TH!N3406,2)="15",LEFT(TH!O3406,2)="15"),TK!$E$7=TH!F3406),"x","")</f>
        <v/>
      </c>
      <c r="AD3400" s="1332" t="str">
        <f>IF(AND(N3400="1521",MONTH(C3400)='BK-NL'!$M$11),"x","")</f>
        <v/>
      </c>
    </row>
    <row r="3401" spans="1:30" s="1333" customFormat="1" ht="16.5" customHeight="1">
      <c r="A3401" s="309" t="str">
        <f>IF(B3401&lt;&gt;"",IF(AND(B3401='IN-TC'!$S$4,OR(TH!N3401="1111",TH!O3401="1111")),TH!D3401,""),"")</f>
        <v/>
      </c>
      <c r="B3401" s="1322">
        <f t="shared" si="1285"/>
        <v>5</v>
      </c>
      <c r="C3401" s="1323">
        <f t="shared" si="1287"/>
        <v>42886</v>
      </c>
      <c r="D3401" s="1323" t="s">
        <v>3017</v>
      </c>
      <c r="E3401" s="1323">
        <v>42886</v>
      </c>
      <c r="F3401" s="1324" t="s">
        <v>3010</v>
      </c>
      <c r="G3401" s="1325" t="s">
        <v>1899</v>
      </c>
      <c r="H3401" s="1326" t="s">
        <v>422</v>
      </c>
      <c r="I3401" s="1327"/>
      <c r="J3401" s="1328"/>
      <c r="K3401" s="1327"/>
      <c r="L3401" s="1329"/>
      <c r="M3401" s="1330">
        <v>372736000</v>
      </c>
      <c r="N3401" s="1331" t="s">
        <v>8</v>
      </c>
      <c r="O3401" s="1331" t="s">
        <v>262</v>
      </c>
      <c r="P3401" s="1332" t="str">
        <f>IF(AND('331-CT'!$E$7=TH!H3409,OR(N3401="331",O3401="331")),"x","")</f>
        <v/>
      </c>
      <c r="Q3401" s="1332" t="str">
        <f>IF(AND(B3401='111'!$L$11,OR($N3401=$Q$7,$O3401=$Q$7)),"x","")</f>
        <v/>
      </c>
      <c r="R3401" s="1332" t="str">
        <f>IF(AND($N3401=$Q$7,$B3401&lt;'111'!$L$11),"x","")</f>
        <v/>
      </c>
      <c r="S3401" s="1332" t="str">
        <f>IF(AND($O3401=$Q$7,$B3401&lt;'111'!$L$11),"x","")</f>
        <v/>
      </c>
      <c r="T3401" s="1332" t="str">
        <f>IF(ISERROR(FIND('112'!$M$9,G3401,1)),"",IF((AND(FIND('112'!$M$9,G3401,1)&gt;=1,B3401='112'!$K$9,OR($N3401='112'!$I$6,$O3401='112'!$I$6))),"x",""))</f>
        <v/>
      </c>
      <c r="U3401" s="1332" t="str">
        <f>IF(ISERROR(FIND('112'!$M$9,G3401,1)),"",IF((AND(LEFT(G3401,2)=LEFT('112'!$M$9,2),B3401&lt;'112'!$K$9,$N3401='112'!$I$6)),"x",""))</f>
        <v/>
      </c>
      <c r="V3401" s="1332" t="str">
        <f>IF(ISERROR(FIND('112'!$M$9,G3401,1)),"",IF((AND(RIGHT(G3401,2)=RIGHT('112'!$M$9,2),B3401&lt;'112'!$K$9,$O3401='112'!$I$6)),"x",""))</f>
        <v/>
      </c>
      <c r="W3401" s="1332" t="str">
        <f>IF(AND('341-CT'!$H$9=H3401,OR(LEFT(N3401,3)=$W$7,LEFT(O3401,3)=$W$7)),"x","")</f>
        <v/>
      </c>
      <c r="X3401" s="1332" t="str">
        <f>IF(OR(TH!N3409=TH!$X$7,O3401=TH!$X$7),"x","")</f>
        <v>x</v>
      </c>
      <c r="Y3401" s="1332" t="str">
        <f>IF(AND(OR(N3401="131",O3401="131"),H3401='131-CT'!$H$9),"x","")</f>
        <v/>
      </c>
      <c r="Z3401" s="1332"/>
      <c r="AA3401" s="1332" t="str">
        <f>IF(AND(MONTH(E3401)='IN-NX'!$J$5,'IN-NX'!$D$7=D3401),"x","")</f>
        <v/>
      </c>
      <c r="AB3401" s="1332" t="str">
        <f>IF(AND(OR(LEFT(TH!N3409,2)="15",LEFT(TH!O3409,2)="15"),LEFT(TH!O3409,3)&lt;&gt;"111",'152-CT'!$J$8=TH!F3409),"x","")</f>
        <v/>
      </c>
      <c r="AC3401" s="1332" t="str">
        <f>IF(AND(OR(LEFT(TH!N3409,2)="15",LEFT(TH!O3409,2)="15"),TK!$E$7=TH!F3409),"x","")</f>
        <v/>
      </c>
      <c r="AD3401" s="1332" t="str">
        <f>IF(AND(N3401="1521",MONTH(C3401)='BK-NL'!$M$11),"x","")</f>
        <v/>
      </c>
    </row>
    <row r="3402" spans="1:30" s="1333" customFormat="1" ht="16.5" customHeight="1">
      <c r="A3402" s="309" t="str">
        <f>IF(B3402&lt;&gt;"",IF(AND(B3402='IN-TC'!$S$4,OR(TH!N3402="1111",TH!O3402="1111")),TH!D3402,""),"")</f>
        <v/>
      </c>
      <c r="B3402" s="1322">
        <f t="shared" si="1285"/>
        <v>5</v>
      </c>
      <c r="C3402" s="1323">
        <f t="shared" si="1287"/>
        <v>42886</v>
      </c>
      <c r="D3402" s="1323" t="s">
        <v>3017</v>
      </c>
      <c r="E3402" s="1323">
        <v>42886</v>
      </c>
      <c r="F3402" s="1324" t="s">
        <v>3010</v>
      </c>
      <c r="G3402" s="1325" t="s">
        <v>1899</v>
      </c>
      <c r="H3402" s="1326" t="s">
        <v>366</v>
      </c>
      <c r="I3402" s="1327"/>
      <c r="J3402" s="1328"/>
      <c r="K3402" s="1327"/>
      <c r="L3402" s="1329"/>
      <c r="M3402" s="1330">
        <v>487290000</v>
      </c>
      <c r="N3402" s="1331" t="s">
        <v>8</v>
      </c>
      <c r="O3402" s="1331" t="s">
        <v>262</v>
      </c>
      <c r="P3402" s="1332" t="str">
        <f>IF(AND('331-CT'!$E$7=TH!H3373,OR(N3402="331",O3402="331")),"x","")</f>
        <v/>
      </c>
      <c r="Q3402" s="1332" t="str">
        <f>IF(AND(B3402='111'!$L$11,OR($N3402=$Q$7,$O3402=$Q$7)),"x","")</f>
        <v/>
      </c>
      <c r="R3402" s="1332" t="str">
        <f>IF(AND($N3402=$Q$7,$B3402&lt;'111'!$L$11),"x","")</f>
        <v/>
      </c>
      <c r="S3402" s="1332" t="str">
        <f>IF(AND($O3402=$Q$7,$B3402&lt;'111'!$L$11),"x","")</f>
        <v/>
      </c>
      <c r="T3402" s="1332" t="str">
        <f>IF(ISERROR(FIND('112'!$M$9,G3402,1)),"",IF((AND(FIND('112'!$M$9,G3402,1)&gt;=1,B3402='112'!$K$9,OR($N3402='112'!$I$6,$O3402='112'!$I$6))),"x",""))</f>
        <v/>
      </c>
      <c r="U3402" s="1332" t="str">
        <f>IF(ISERROR(FIND('112'!$M$9,G3402,1)),"",IF((AND(LEFT(G3402,2)=LEFT('112'!$M$9,2),B3402&lt;'112'!$K$9,$N3402='112'!$I$6)),"x",""))</f>
        <v/>
      </c>
      <c r="V3402" s="1332" t="str">
        <f>IF(ISERROR(FIND('112'!$M$9,G3402,1)),"",IF((AND(RIGHT(G3402,2)=RIGHT('112'!$M$9,2),B3402&lt;'112'!$K$9,$O3402='112'!$I$6)),"x",""))</f>
        <v/>
      </c>
      <c r="W3402" s="1332" t="str">
        <f>IF(AND('341-CT'!$H$9=H3402,OR(LEFT(N3402,3)=$W$7,LEFT(O3402,3)=$W$7)),"x","")</f>
        <v/>
      </c>
      <c r="X3402" s="1332" t="str">
        <f>IF(OR(TH!N3373=TH!$X$7,O3402=TH!$X$7),"x","")</f>
        <v>x</v>
      </c>
      <c r="Y3402" s="1332" t="str">
        <f>IF(AND(OR(N3402="131",O3402="131"),H3402='131-CT'!$H$9),"x","")</f>
        <v/>
      </c>
      <c r="Z3402" s="1332"/>
      <c r="AA3402" s="1332" t="str">
        <f>IF(AND(MONTH(E3402)='IN-NX'!$J$5,'IN-NX'!$D$7=D3402),"x","")</f>
        <v/>
      </c>
      <c r="AB3402" s="1332" t="str">
        <f>IF(AND(OR(LEFT(TH!N3373,2)="15",LEFT(TH!O3373,2)="15"),LEFT(TH!O3373,3)&lt;&gt;"111",'152-CT'!$J$8=TH!F3373),"x","")</f>
        <v/>
      </c>
      <c r="AC3402" s="1332" t="str">
        <f>IF(AND(OR(LEFT(TH!N3373,2)="15",LEFT(TH!O3373,2)="15"),TK!$E$7=TH!F3373),"x","")</f>
        <v/>
      </c>
      <c r="AD3402" s="1332" t="str">
        <f>IF(AND(N3402="1521",MONTH(C3402)='BK-NL'!$M$11),"x","")</f>
        <v/>
      </c>
    </row>
    <row r="3403" spans="1:30" s="1333" customFormat="1" ht="16.5" customHeight="1">
      <c r="A3403" s="309" t="str">
        <f>IF(B3403&lt;&gt;"",IF(AND(B3403='IN-TC'!$S$4,OR(TH!N3403="1111",TH!O3403="1111")),TH!D3403,""),"")</f>
        <v/>
      </c>
      <c r="B3403" s="1322">
        <f t="shared" si="1285"/>
        <v>6</v>
      </c>
      <c r="C3403" s="1323">
        <f t="shared" si="1287"/>
        <v>42916</v>
      </c>
      <c r="D3403" s="1323" t="s">
        <v>3019</v>
      </c>
      <c r="E3403" s="1323">
        <v>42916</v>
      </c>
      <c r="F3403" s="1324" t="s">
        <v>3010</v>
      </c>
      <c r="G3403" s="1325" t="s">
        <v>1899</v>
      </c>
      <c r="H3403" s="1326" t="s">
        <v>420</v>
      </c>
      <c r="I3403" s="1327"/>
      <c r="J3403" s="1328"/>
      <c r="K3403" s="1327"/>
      <c r="L3403" s="1329"/>
      <c r="M3403" s="1330">
        <v>920010000</v>
      </c>
      <c r="N3403" s="1331" t="s">
        <v>8</v>
      </c>
      <c r="O3403" s="1331" t="s">
        <v>262</v>
      </c>
      <c r="P3403" s="1332" t="str">
        <f>IF(AND('331-CT'!$E$7=TH!H3407,OR(N3403="331",O3403="331")),"x","")</f>
        <v/>
      </c>
      <c r="Q3403" s="1332" t="str">
        <f>IF(AND(B3403='111'!$L$11,OR($N3403=$Q$7,$O3403=$Q$7)),"x","")</f>
        <v/>
      </c>
      <c r="R3403" s="1332" t="str">
        <f>IF(AND($N3403=$Q$7,$B3403&lt;'111'!$L$11),"x","")</f>
        <v/>
      </c>
      <c r="S3403" s="1332" t="str">
        <f>IF(AND($O3403=$Q$7,$B3403&lt;'111'!$L$11),"x","")</f>
        <v/>
      </c>
      <c r="T3403" s="1332" t="str">
        <f>IF(ISERROR(FIND('112'!$M$9,G3403,1)),"",IF((AND(FIND('112'!$M$9,G3403,1)&gt;=1,B3403='112'!$K$9,OR($N3403='112'!$I$6,$O3403='112'!$I$6))),"x",""))</f>
        <v/>
      </c>
      <c r="U3403" s="1332" t="str">
        <f>IF(ISERROR(FIND('112'!$M$9,G3403,1)),"",IF((AND(LEFT(G3403,2)=LEFT('112'!$M$9,2),B3403&lt;'112'!$K$9,$N3403='112'!$I$6)),"x",""))</f>
        <v/>
      </c>
      <c r="V3403" s="1332" t="str">
        <f>IF(ISERROR(FIND('112'!$M$9,G3403,1)),"",IF((AND(RIGHT(G3403,2)=RIGHT('112'!$M$9,2),B3403&lt;'112'!$K$9,$O3403='112'!$I$6)),"x",""))</f>
        <v/>
      </c>
      <c r="W3403" s="1332" t="str">
        <f>IF(AND('341-CT'!$H$9=H3403,OR(LEFT(N3403,3)=$W$7,LEFT(O3403,3)=$W$7)),"x","")</f>
        <v/>
      </c>
      <c r="X3403" s="1332" t="str">
        <f>IF(OR(TH!N3407=TH!$X$7,O3403=TH!$X$7),"x","")</f>
        <v>x</v>
      </c>
      <c r="Y3403" s="1332" t="str">
        <f>IF(AND(OR(N3403="131",O3403="131"),H3403='131-CT'!$H$9),"x","")</f>
        <v/>
      </c>
      <c r="Z3403" s="1332"/>
      <c r="AA3403" s="1332" t="str">
        <f>IF(AND(MONTH(E3403)='IN-NX'!$J$5,'IN-NX'!$D$7=D3403),"x","")</f>
        <v/>
      </c>
      <c r="AB3403" s="1332" t="str">
        <f>IF(AND(OR(LEFT(TH!N3407,2)="15",LEFT(TH!O3407,2)="15"),LEFT(TH!O3407,3)&lt;&gt;"111",'152-CT'!$J$8=TH!F3407),"x","")</f>
        <v/>
      </c>
      <c r="AC3403" s="1332" t="str">
        <f>IF(AND(OR(LEFT(TH!N3407,2)="15",LEFT(TH!O3407,2)="15"),TK!$E$7=TH!F3407),"x","")</f>
        <v/>
      </c>
      <c r="AD3403" s="1332" t="str">
        <f>IF(AND(N3403="1521",MONTH(C3403)='BK-NL'!$M$11),"x","")</f>
        <v/>
      </c>
    </row>
    <row r="3404" spans="1:30" s="1333" customFormat="1" ht="16.5" customHeight="1">
      <c r="A3404" s="309" t="str">
        <f>IF(B3404&lt;&gt;"",IF(AND(B3404='IN-TC'!$S$4,OR(TH!N3404="1111",TH!O3404="1111")),TH!D3404,""),"")</f>
        <v/>
      </c>
      <c r="B3404" s="1322">
        <f t="shared" si="1285"/>
        <v>6</v>
      </c>
      <c r="C3404" s="1323">
        <f t="shared" si="1287"/>
        <v>42916</v>
      </c>
      <c r="D3404" s="1323" t="s">
        <v>3019</v>
      </c>
      <c r="E3404" s="1323">
        <v>42916</v>
      </c>
      <c r="F3404" s="1324" t="s">
        <v>3010</v>
      </c>
      <c r="G3404" s="1325" t="s">
        <v>1899</v>
      </c>
      <c r="H3404" s="1326" t="s">
        <v>422</v>
      </c>
      <c r="I3404" s="1327"/>
      <c r="J3404" s="1328"/>
      <c r="K3404" s="1327"/>
      <c r="L3404" s="1329"/>
      <c r="M3404" s="1330">
        <v>914040400</v>
      </c>
      <c r="N3404" s="1331" t="s">
        <v>8</v>
      </c>
      <c r="O3404" s="1331" t="s">
        <v>262</v>
      </c>
      <c r="P3404" s="1332" t="str">
        <f>IF(AND('331-CT'!$E$7=TH!H3410,OR(N3404="331",O3404="331")),"x","")</f>
        <v/>
      </c>
      <c r="Q3404" s="1332" t="str">
        <f>IF(AND(B3404='111'!$L$11,OR($N3404=$Q$7,$O3404=$Q$7)),"x","")</f>
        <v/>
      </c>
      <c r="R3404" s="1332" t="str">
        <f>IF(AND($N3404=$Q$7,$B3404&lt;'111'!$L$11),"x","")</f>
        <v/>
      </c>
      <c r="S3404" s="1332" t="str">
        <f>IF(AND($O3404=$Q$7,$B3404&lt;'111'!$L$11),"x","")</f>
        <v/>
      </c>
      <c r="T3404" s="1332" t="str">
        <f>IF(ISERROR(FIND('112'!$M$9,G3404,1)),"",IF((AND(FIND('112'!$M$9,G3404,1)&gt;=1,B3404='112'!$K$9,OR($N3404='112'!$I$6,$O3404='112'!$I$6))),"x",""))</f>
        <v/>
      </c>
      <c r="U3404" s="1332" t="str">
        <f>IF(ISERROR(FIND('112'!$M$9,G3404,1)),"",IF((AND(LEFT(G3404,2)=LEFT('112'!$M$9,2),B3404&lt;'112'!$K$9,$N3404='112'!$I$6)),"x",""))</f>
        <v/>
      </c>
      <c r="V3404" s="1332" t="str">
        <f>IF(ISERROR(FIND('112'!$M$9,G3404,1)),"",IF((AND(RIGHT(G3404,2)=RIGHT('112'!$M$9,2),B3404&lt;'112'!$K$9,$O3404='112'!$I$6)),"x",""))</f>
        <v/>
      </c>
      <c r="W3404" s="1332" t="str">
        <f>IF(AND('341-CT'!$H$9=H3404,OR(LEFT(N3404,3)=$W$7,LEFT(O3404,3)=$W$7)),"x","")</f>
        <v/>
      </c>
      <c r="X3404" s="1332" t="str">
        <f>IF(OR(TH!N3410=TH!$X$7,O3404=TH!$X$7),"x","")</f>
        <v>x</v>
      </c>
      <c r="Y3404" s="1332" t="str">
        <f>IF(AND(OR(N3404="131",O3404="131"),H3404='131-CT'!$H$9),"x","")</f>
        <v/>
      </c>
      <c r="Z3404" s="1332"/>
      <c r="AA3404" s="1332" t="str">
        <f>IF(AND(MONTH(E3404)='IN-NX'!$J$5,'IN-NX'!$D$7=D3404),"x","")</f>
        <v/>
      </c>
      <c r="AB3404" s="1332" t="str">
        <f>IF(AND(OR(LEFT(TH!N3410,2)="15",LEFT(TH!O3410,2)="15"),LEFT(TH!O3410,3)&lt;&gt;"111",'152-CT'!$J$8=TH!F3410),"x","")</f>
        <v/>
      </c>
      <c r="AC3404" s="1332" t="str">
        <f>IF(AND(OR(LEFT(TH!N3410,2)="15",LEFT(TH!O3410,2)="15"),TK!$E$7=TH!F3410),"x","")</f>
        <v/>
      </c>
      <c r="AD3404" s="1332" t="str">
        <f>IF(AND(N3404="1521",MONTH(C3404)='BK-NL'!$M$11),"x","")</f>
        <v/>
      </c>
    </row>
    <row r="3405" spans="1:30" s="1333" customFormat="1" ht="16.5" customHeight="1">
      <c r="A3405" s="309" t="str">
        <f>IF(B3405&lt;&gt;"",IF(AND(B3405='IN-TC'!$S$4,OR(TH!N3405="1111",TH!O3405="1111")),TH!D3405,""),"")</f>
        <v/>
      </c>
      <c r="B3405" s="1322">
        <f t="shared" si="1285"/>
        <v>7</v>
      </c>
      <c r="C3405" s="1323">
        <f t="shared" si="1287"/>
        <v>42947</v>
      </c>
      <c r="D3405" s="1323" t="s">
        <v>3021</v>
      </c>
      <c r="E3405" s="1323">
        <v>42947</v>
      </c>
      <c r="F3405" s="1324" t="s">
        <v>3010</v>
      </c>
      <c r="G3405" s="1325" t="s">
        <v>1899</v>
      </c>
      <c r="H3405" s="1326" t="s">
        <v>420</v>
      </c>
      <c r="I3405" s="1327"/>
      <c r="J3405" s="1328"/>
      <c r="K3405" s="1327"/>
      <c r="L3405" s="1329"/>
      <c r="M3405" s="1330">
        <v>1149071000</v>
      </c>
      <c r="N3405" s="1331" t="s">
        <v>8</v>
      </c>
      <c r="O3405" s="1331" t="s">
        <v>262</v>
      </c>
      <c r="P3405" s="1332" t="str">
        <f>IF(AND('331-CT'!$E$7=TH!H3408,OR(N3405="331",O3405="331")),"x","")</f>
        <v/>
      </c>
      <c r="Q3405" s="1332" t="str">
        <f>IF(AND(B3405='111'!$L$11,OR($N3405=$Q$7,$O3405=$Q$7)),"x","")</f>
        <v/>
      </c>
      <c r="R3405" s="1332" t="str">
        <f>IF(AND($N3405=$Q$7,$B3405&lt;'111'!$L$11),"x","")</f>
        <v/>
      </c>
      <c r="S3405" s="1332" t="str">
        <f>IF(AND($O3405=$Q$7,$B3405&lt;'111'!$L$11),"x","")</f>
        <v/>
      </c>
      <c r="T3405" s="1332" t="str">
        <f>IF(ISERROR(FIND('112'!$M$9,G3405,1)),"",IF((AND(FIND('112'!$M$9,G3405,1)&gt;=1,B3405='112'!$K$9,OR($N3405='112'!$I$6,$O3405='112'!$I$6))),"x",""))</f>
        <v/>
      </c>
      <c r="U3405" s="1332" t="str">
        <f>IF(ISERROR(FIND('112'!$M$9,G3405,1)),"",IF((AND(LEFT(G3405,2)=LEFT('112'!$M$9,2),B3405&lt;'112'!$K$9,$N3405='112'!$I$6)),"x",""))</f>
        <v/>
      </c>
      <c r="V3405" s="1332" t="str">
        <f>IF(ISERROR(FIND('112'!$M$9,G3405,1)),"",IF((AND(RIGHT(G3405,2)=RIGHT('112'!$M$9,2),B3405&lt;'112'!$K$9,$O3405='112'!$I$6)),"x",""))</f>
        <v/>
      </c>
      <c r="W3405" s="1332" t="str">
        <f>IF(AND('341-CT'!$H$9=H3405,OR(LEFT(N3405,3)=$W$7,LEFT(O3405,3)=$W$7)),"x","")</f>
        <v/>
      </c>
      <c r="X3405" s="1332" t="str">
        <f>IF(OR(TH!N3408=TH!$X$7,O3405=TH!$X$7),"x","")</f>
        <v>x</v>
      </c>
      <c r="Y3405" s="1332" t="str">
        <f>IF(AND(OR(N3405="131",O3405="131"),H3405='131-CT'!$H$9),"x","")</f>
        <v/>
      </c>
      <c r="Z3405" s="1332"/>
      <c r="AA3405" s="1332" t="str">
        <f>IF(AND(MONTH(E3405)='IN-NX'!$J$5,'IN-NX'!$D$7=D3405),"x","")</f>
        <v/>
      </c>
      <c r="AB3405" s="1332" t="str">
        <f>IF(AND(OR(LEFT(TH!N3408,2)="15",LEFT(TH!O3408,2)="15"),LEFT(TH!O3408,3)&lt;&gt;"111",'152-CT'!$J$8=TH!F3408),"x","")</f>
        <v/>
      </c>
      <c r="AC3405" s="1332" t="str">
        <f>IF(AND(OR(LEFT(TH!N3408,2)="15",LEFT(TH!O3408,2)="15"),TK!$E$7=TH!F3408),"x","")</f>
        <v/>
      </c>
      <c r="AD3405" s="1332" t="str">
        <f>IF(AND(N3405="1521",MONTH(C3405)='BK-NL'!$M$11),"x","")</f>
        <v/>
      </c>
    </row>
    <row r="3406" spans="1:30" s="1333" customFormat="1" ht="16.5" customHeight="1">
      <c r="A3406" s="309" t="str">
        <f>IF(B3406&lt;&gt;"",IF(AND(B3406='IN-TC'!$S$4,OR(TH!N3406="1111",TH!O3406="1111")),TH!D3406,""),"")</f>
        <v/>
      </c>
      <c r="B3406" s="1322">
        <f t="shared" si="1285"/>
        <v>7</v>
      </c>
      <c r="C3406" s="1323">
        <f t="shared" si="1287"/>
        <v>42947</v>
      </c>
      <c r="D3406" s="1323" t="s">
        <v>3021</v>
      </c>
      <c r="E3406" s="1323">
        <v>42947</v>
      </c>
      <c r="F3406" s="1324" t="s">
        <v>3010</v>
      </c>
      <c r="G3406" s="1325" t="s">
        <v>1899</v>
      </c>
      <c r="H3406" s="1326" t="s">
        <v>422</v>
      </c>
      <c r="I3406" s="1327"/>
      <c r="J3406" s="1328"/>
      <c r="K3406" s="1327"/>
      <c r="L3406" s="1329"/>
      <c r="M3406" s="1330">
        <v>1126519000</v>
      </c>
      <c r="N3406" s="1331" t="s">
        <v>8</v>
      </c>
      <c r="O3406" s="1331" t="s">
        <v>262</v>
      </c>
      <c r="P3406" s="1332" t="str">
        <f>IF(AND('331-CT'!$E$7=TH!H3411,OR(N3406="331",O3406="331")),"x","")</f>
        <v/>
      </c>
      <c r="Q3406" s="1332" t="str">
        <f>IF(AND(B3406='111'!$L$11,OR($N3406=$Q$7,$O3406=$Q$7)),"x","")</f>
        <v/>
      </c>
      <c r="R3406" s="1332" t="str">
        <f>IF(AND($N3406=$Q$7,$B3406&lt;'111'!$L$11),"x","")</f>
        <v/>
      </c>
      <c r="S3406" s="1332" t="str">
        <f>IF(AND($O3406=$Q$7,$B3406&lt;'111'!$L$11),"x","")</f>
        <v/>
      </c>
      <c r="T3406" s="1332" t="str">
        <f>IF(ISERROR(FIND('112'!$M$9,G3406,1)),"",IF((AND(FIND('112'!$M$9,G3406,1)&gt;=1,B3406='112'!$K$9,OR($N3406='112'!$I$6,$O3406='112'!$I$6))),"x",""))</f>
        <v/>
      </c>
      <c r="U3406" s="1332" t="str">
        <f>IF(ISERROR(FIND('112'!$M$9,G3406,1)),"",IF((AND(LEFT(G3406,2)=LEFT('112'!$M$9,2),B3406&lt;'112'!$K$9,$N3406='112'!$I$6)),"x",""))</f>
        <v/>
      </c>
      <c r="V3406" s="1332" t="str">
        <f>IF(ISERROR(FIND('112'!$M$9,G3406,1)),"",IF((AND(RIGHT(G3406,2)=RIGHT('112'!$M$9,2),B3406&lt;'112'!$K$9,$O3406='112'!$I$6)),"x",""))</f>
        <v/>
      </c>
      <c r="W3406" s="1332" t="str">
        <f>IF(AND('341-CT'!$H$9=H3406,OR(LEFT(N3406,3)=$W$7,LEFT(O3406,3)=$W$7)),"x","")</f>
        <v/>
      </c>
      <c r="X3406" s="1332" t="str">
        <f>IF(OR(TH!N3411=TH!$X$7,O3406=TH!$X$7),"x","")</f>
        <v>x</v>
      </c>
      <c r="Y3406" s="1332" t="str">
        <f>IF(AND(OR(N3406="131",O3406="131"),H3406='131-CT'!$H$9),"x","")</f>
        <v/>
      </c>
      <c r="Z3406" s="1332"/>
      <c r="AA3406" s="1332" t="str">
        <f>IF(AND(MONTH(E3406)='IN-NX'!$J$5,'IN-NX'!$D$7=D3406),"x","")</f>
        <v/>
      </c>
      <c r="AB3406" s="1332" t="str">
        <f>IF(AND(OR(LEFT(TH!N3411,2)="15",LEFT(TH!O3411,2)="15"),LEFT(TH!O3411,3)&lt;&gt;"111",'152-CT'!$J$8=TH!F3411),"x","")</f>
        <v/>
      </c>
      <c r="AC3406" s="1332" t="str">
        <f>IF(AND(OR(LEFT(TH!N3411,2)="15",LEFT(TH!O3411,2)="15"),TK!$E$7=TH!F3411),"x","")</f>
        <v/>
      </c>
      <c r="AD3406" s="1332" t="str">
        <f>IF(AND(N3406="1521",MONTH(C3406)='BK-NL'!$M$11),"x","")</f>
        <v/>
      </c>
    </row>
    <row r="3407" spans="1:30" s="1333" customFormat="1" ht="16.5" customHeight="1">
      <c r="A3407" s="309" t="str">
        <f>IF(B3407&lt;&gt;"",IF(AND(B3407='IN-TC'!$S$4,OR(TH!N3407="1111",TH!O3407="1111")),TH!D3407,""),"")</f>
        <v/>
      </c>
      <c r="B3407" s="1322">
        <f t="shared" si="1285"/>
        <v>8</v>
      </c>
      <c r="C3407" s="1323">
        <f t="shared" si="1287"/>
        <v>42978</v>
      </c>
      <c r="D3407" s="1323" t="s">
        <v>3023</v>
      </c>
      <c r="E3407" s="1323">
        <v>42978</v>
      </c>
      <c r="F3407" s="1324" t="s">
        <v>3010</v>
      </c>
      <c r="G3407" s="1325" t="s">
        <v>1899</v>
      </c>
      <c r="H3407" s="1326" t="s">
        <v>768</v>
      </c>
      <c r="I3407" s="1327"/>
      <c r="J3407" s="1328"/>
      <c r="K3407" s="1327"/>
      <c r="L3407" s="1329"/>
      <c r="M3407" s="1330">
        <v>868504000</v>
      </c>
      <c r="N3407" s="1331" t="s">
        <v>8</v>
      </c>
      <c r="O3407" s="1331" t="s">
        <v>262</v>
      </c>
      <c r="P3407" s="1332" t="str">
        <f>IF(AND('331-CT'!$E$7=TH!H3416,OR(N3407="331",O3407="331")),"x","")</f>
        <v/>
      </c>
      <c r="Q3407" s="1332" t="str">
        <f>IF(AND(B3407='111'!$L$11,OR($N3407=$Q$7,$O3407=$Q$7)),"x","")</f>
        <v/>
      </c>
      <c r="R3407" s="1332" t="str">
        <f>IF(AND($N3407=$Q$7,$B3407&lt;'111'!$L$11),"x","")</f>
        <v/>
      </c>
      <c r="S3407" s="1332" t="str">
        <f>IF(AND($O3407=$Q$7,$B3407&lt;'111'!$L$11),"x","")</f>
        <v/>
      </c>
      <c r="T3407" s="1332" t="str">
        <f>IF(ISERROR(FIND('112'!$M$9,G3407,1)),"",IF((AND(FIND('112'!$M$9,G3407,1)&gt;=1,B3407='112'!$K$9,OR($N3407='112'!$I$6,$O3407='112'!$I$6))),"x",""))</f>
        <v/>
      </c>
      <c r="U3407" s="1332" t="str">
        <f>IF(ISERROR(FIND('112'!$M$9,G3407,1)),"",IF((AND(LEFT(G3407,2)=LEFT('112'!$M$9,2),B3407&lt;'112'!$K$9,$N3407='112'!$I$6)),"x",""))</f>
        <v/>
      </c>
      <c r="V3407" s="1332" t="str">
        <f>IF(ISERROR(FIND('112'!$M$9,G3407,1)),"",IF((AND(RIGHT(G3407,2)=RIGHT('112'!$M$9,2),B3407&lt;'112'!$K$9,$O3407='112'!$I$6)),"x",""))</f>
        <v/>
      </c>
      <c r="W3407" s="1332" t="str">
        <f>IF(AND('341-CT'!$H$9=H3407,OR(LEFT(N3407,3)=$W$7,LEFT(O3407,3)=$W$7)),"x","")</f>
        <v/>
      </c>
      <c r="X3407" s="1332" t="str">
        <f>IF(OR(TH!N3416=TH!$X$7,O3407=TH!$X$7),"x","")</f>
        <v>x</v>
      </c>
      <c r="Y3407" s="1332" t="str">
        <f>IF(AND(OR(N3407="131",O3407="131"),H3407='131-CT'!$H$9),"x","")</f>
        <v/>
      </c>
      <c r="Z3407" s="1332"/>
      <c r="AA3407" s="1332" t="str">
        <f>IF(AND(MONTH(E3407)='IN-NX'!$J$5,'IN-NX'!$D$7=D3407),"x","")</f>
        <v/>
      </c>
      <c r="AB3407" s="1332" t="str">
        <f>IF(AND(OR(LEFT(TH!N3416,2)="15",LEFT(TH!O3416,2)="15"),LEFT(TH!O3416,3)&lt;&gt;"111",'152-CT'!$J$8=TH!F3416),"x","")</f>
        <v/>
      </c>
      <c r="AC3407" s="1332" t="str">
        <f>IF(AND(OR(LEFT(TH!N3416,2)="15",LEFT(TH!O3416,2)="15"),TK!$E$7=TH!F3416),"x","")</f>
        <v/>
      </c>
      <c r="AD3407" s="1332" t="str">
        <f>IF(AND(N3407="1521",MONTH(C3407)='BK-NL'!$M$11),"x","")</f>
        <v/>
      </c>
    </row>
    <row r="3408" spans="1:30" s="1333" customFormat="1" ht="16.5" customHeight="1">
      <c r="A3408" s="309" t="str">
        <f>IF(B3408&lt;&gt;"",IF(AND(B3408='IN-TC'!$S$4,OR(TH!N3408="1111",TH!O3408="1111")),TH!D3408,""),"")</f>
        <v/>
      </c>
      <c r="B3408" s="1322">
        <f t="shared" si="1285"/>
        <v>8</v>
      </c>
      <c r="C3408" s="1323">
        <f t="shared" si="1287"/>
        <v>42978</v>
      </c>
      <c r="D3408" s="1323" t="s">
        <v>3023</v>
      </c>
      <c r="E3408" s="1323">
        <v>42978</v>
      </c>
      <c r="F3408" s="1324" t="s">
        <v>3010</v>
      </c>
      <c r="G3408" s="1325" t="s">
        <v>1899</v>
      </c>
      <c r="H3408" s="1326" t="s">
        <v>366</v>
      </c>
      <c r="I3408" s="1327"/>
      <c r="J3408" s="1328"/>
      <c r="K3408" s="1327"/>
      <c r="L3408" s="1329"/>
      <c r="M3408" s="1330">
        <v>385947000</v>
      </c>
      <c r="N3408" s="1331" t="s">
        <v>8</v>
      </c>
      <c r="O3408" s="1331" t="s">
        <v>262</v>
      </c>
      <c r="P3408" s="1332" t="str">
        <f>IF(AND('331-CT'!$E$7=TH!H3374,OR(N3408="331",O3408="331")),"x","")</f>
        <v/>
      </c>
      <c r="Q3408" s="1332" t="str">
        <f>IF(AND(B3408='111'!$L$11,OR($N3408=$Q$7,$O3408=$Q$7)),"x","")</f>
        <v/>
      </c>
      <c r="R3408" s="1332" t="str">
        <f>IF(AND($N3408=$Q$7,$B3408&lt;'111'!$L$11),"x","")</f>
        <v/>
      </c>
      <c r="S3408" s="1332" t="str">
        <f>IF(AND($O3408=$Q$7,$B3408&lt;'111'!$L$11),"x","")</f>
        <v/>
      </c>
      <c r="T3408" s="1332" t="str">
        <f>IF(ISERROR(FIND('112'!$M$9,G3408,1)),"",IF((AND(FIND('112'!$M$9,G3408,1)&gt;=1,B3408='112'!$K$9,OR($N3408='112'!$I$6,$O3408='112'!$I$6))),"x",""))</f>
        <v/>
      </c>
      <c r="U3408" s="1332" t="str">
        <f>IF(ISERROR(FIND('112'!$M$9,G3408,1)),"",IF((AND(LEFT(G3408,2)=LEFT('112'!$M$9,2),B3408&lt;'112'!$K$9,$N3408='112'!$I$6)),"x",""))</f>
        <v/>
      </c>
      <c r="V3408" s="1332" t="str">
        <f>IF(ISERROR(FIND('112'!$M$9,G3408,1)),"",IF((AND(RIGHT(G3408,2)=RIGHT('112'!$M$9,2),B3408&lt;'112'!$K$9,$O3408='112'!$I$6)),"x",""))</f>
        <v/>
      </c>
      <c r="W3408" s="1332" t="str">
        <f>IF(AND('341-CT'!$H$9=H3408,OR(LEFT(N3408,3)=$W$7,LEFT(O3408,3)=$W$7)),"x","")</f>
        <v/>
      </c>
      <c r="X3408" s="1332" t="str">
        <f>IF(OR(TH!N3374=TH!$X$7,O3408=TH!$X$7),"x","")</f>
        <v>x</v>
      </c>
      <c r="Y3408" s="1332" t="str">
        <f>IF(AND(OR(N3408="131",O3408="131"),H3408='131-CT'!$H$9),"x","")</f>
        <v/>
      </c>
      <c r="Z3408" s="1332"/>
      <c r="AA3408" s="1332" t="str">
        <f>IF(AND(MONTH(E3408)='IN-NX'!$J$5,'IN-NX'!$D$7=D3408),"x","")</f>
        <v/>
      </c>
      <c r="AB3408" s="1332" t="str">
        <f>IF(AND(OR(LEFT(TH!N3374,2)="15",LEFT(TH!O3374,2)="15"),LEFT(TH!O3374,3)&lt;&gt;"111",'152-CT'!$J$8=TH!F3374),"x","")</f>
        <v/>
      </c>
      <c r="AC3408" s="1332" t="str">
        <f>IF(AND(OR(LEFT(TH!N3374,2)="15",LEFT(TH!O3374,2)="15"),TK!$E$7=TH!F3374),"x","")</f>
        <v/>
      </c>
      <c r="AD3408" s="1332" t="str">
        <f>IF(AND(N3408="1521",MONTH(C3408)='BK-NL'!$M$11),"x","")</f>
        <v/>
      </c>
    </row>
    <row r="3409" spans="1:30" s="1333" customFormat="1" ht="16.5" customHeight="1">
      <c r="A3409" s="309" t="str">
        <f>IF(B3409&lt;&gt;"",IF(AND(B3409='IN-TC'!$S$4,OR(TH!N3409="1111",TH!O3409="1111")),TH!D3409,""),"")</f>
        <v/>
      </c>
      <c r="B3409" s="1322">
        <f t="shared" si="1285"/>
        <v>8</v>
      </c>
      <c r="C3409" s="1323">
        <f t="shared" si="1287"/>
        <v>42978</v>
      </c>
      <c r="D3409" s="1323" t="s">
        <v>3023</v>
      </c>
      <c r="E3409" s="1323">
        <v>42978</v>
      </c>
      <c r="F3409" s="1324" t="s">
        <v>3010</v>
      </c>
      <c r="G3409" s="1325" t="s">
        <v>1899</v>
      </c>
      <c r="H3409" s="1326" t="s">
        <v>769</v>
      </c>
      <c r="I3409" s="1327"/>
      <c r="J3409" s="1328"/>
      <c r="K3409" s="1327"/>
      <c r="L3409" s="1329"/>
      <c r="M3409" s="1330">
        <v>834415400</v>
      </c>
      <c r="N3409" s="1331" t="s">
        <v>8</v>
      </c>
      <c r="O3409" s="1331" t="s">
        <v>262</v>
      </c>
      <c r="P3409" s="1332" t="str">
        <f>IF(AND('331-CT'!$E$7=TH!H3420,OR(N3409="331",O3409="331")),"x","")</f>
        <v/>
      </c>
      <c r="Q3409" s="1332" t="str">
        <f>IF(AND(B3409='111'!$L$11,OR($N3409=$Q$7,$O3409=$Q$7)),"x","")</f>
        <v/>
      </c>
      <c r="R3409" s="1332" t="str">
        <f>IF(AND($N3409=$Q$7,$B3409&lt;'111'!$L$11),"x","")</f>
        <v/>
      </c>
      <c r="S3409" s="1332" t="str">
        <f>IF(AND($O3409=$Q$7,$B3409&lt;'111'!$L$11),"x","")</f>
        <v/>
      </c>
      <c r="T3409" s="1332" t="str">
        <f>IF(ISERROR(FIND('112'!$M$9,G3409,1)),"",IF((AND(FIND('112'!$M$9,G3409,1)&gt;=1,B3409='112'!$K$9,OR($N3409='112'!$I$6,$O3409='112'!$I$6))),"x",""))</f>
        <v/>
      </c>
      <c r="U3409" s="1332" t="str">
        <f>IF(ISERROR(FIND('112'!$M$9,G3409,1)),"",IF((AND(LEFT(G3409,2)=LEFT('112'!$M$9,2),B3409&lt;'112'!$K$9,$N3409='112'!$I$6)),"x",""))</f>
        <v/>
      </c>
      <c r="V3409" s="1332" t="str">
        <f>IF(ISERROR(FIND('112'!$M$9,G3409,1)),"",IF((AND(RIGHT(G3409,2)=RIGHT('112'!$M$9,2),B3409&lt;'112'!$K$9,$O3409='112'!$I$6)),"x",""))</f>
        <v/>
      </c>
      <c r="W3409" s="1332" t="str">
        <f>IF(AND('341-CT'!$H$9=H3409,OR(LEFT(N3409,3)=$W$7,LEFT(O3409,3)=$W$7)),"x","")</f>
        <v/>
      </c>
      <c r="X3409" s="1332" t="str">
        <f>IF(OR(TH!N3420=TH!$X$7,O3409=TH!$X$7),"x","")</f>
        <v>x</v>
      </c>
      <c r="Y3409" s="1332" t="str">
        <f>IF(AND(OR(N3409="131",O3409="131"),H3409='131-CT'!$H$9),"x","")</f>
        <v/>
      </c>
      <c r="Z3409" s="1332"/>
      <c r="AA3409" s="1332" t="str">
        <f>IF(AND(MONTH(E3409)='IN-NX'!$J$5,'IN-NX'!$D$7=D3409),"x","")</f>
        <v/>
      </c>
      <c r="AB3409" s="1332" t="str">
        <f>IF(AND(OR(LEFT(TH!N3420,2)="15",LEFT(TH!O3420,2)="15"),LEFT(TH!O3420,3)&lt;&gt;"111",'152-CT'!$J$8=TH!F3420),"x","")</f>
        <v/>
      </c>
      <c r="AC3409" s="1332" t="str">
        <f>IF(AND(OR(LEFT(TH!N3420,2)="15",LEFT(TH!O3420,2)="15"),TK!$E$7=TH!F3420),"x","")</f>
        <v/>
      </c>
      <c r="AD3409" s="1332" t="str">
        <f>IF(AND(N3409="1521",MONTH(C3409)='BK-NL'!$M$11),"x","")</f>
        <v/>
      </c>
    </row>
    <row r="3410" spans="1:30" s="1333" customFormat="1" ht="16.5" customHeight="1">
      <c r="A3410" s="309" t="str">
        <f>IF(B3410&lt;&gt;"",IF(AND(B3410='IN-TC'!$S$4,OR(TH!N3410="1111",TH!O3410="1111")),TH!D3410,""),"")</f>
        <v/>
      </c>
      <c r="B3410" s="1322">
        <f t="shared" si="1285"/>
        <v>8</v>
      </c>
      <c r="C3410" s="1323">
        <f t="shared" si="1287"/>
        <v>42978</v>
      </c>
      <c r="D3410" s="1323" t="s">
        <v>3023</v>
      </c>
      <c r="E3410" s="1323">
        <v>42978</v>
      </c>
      <c r="F3410" s="1324" t="s">
        <v>3010</v>
      </c>
      <c r="G3410" s="1325" t="s">
        <v>1899</v>
      </c>
      <c r="H3410" s="1326" t="s">
        <v>365</v>
      </c>
      <c r="I3410" s="1327"/>
      <c r="J3410" s="1328"/>
      <c r="K3410" s="1327"/>
      <c r="L3410" s="1329"/>
      <c r="M3410" s="1330">
        <v>193380500</v>
      </c>
      <c r="N3410" s="1331" t="s">
        <v>8</v>
      </c>
      <c r="O3410" s="1331" t="s">
        <v>262</v>
      </c>
      <c r="P3410" s="1332" t="str">
        <f>IF(AND('331-CT'!$E$7=TH!H3347,OR(N3410="331",O3410="331")),"x","")</f>
        <v/>
      </c>
      <c r="Q3410" s="1332" t="str">
        <f>IF(AND(B3410='111'!$L$11,OR($N3410=$Q$7,$O3410=$Q$7)),"x","")</f>
        <v/>
      </c>
      <c r="R3410" s="1332" t="str">
        <f>IF(AND($N3410=$Q$7,$B3410&lt;'111'!$L$11),"x","")</f>
        <v/>
      </c>
      <c r="S3410" s="1332" t="str">
        <f>IF(AND($O3410=$Q$7,$B3410&lt;'111'!$L$11),"x","")</f>
        <v/>
      </c>
      <c r="T3410" s="1332" t="str">
        <f>IF(ISERROR(FIND('112'!$M$9,G3410,1)),"",IF((AND(FIND('112'!$M$9,G3410,1)&gt;=1,B3410='112'!$K$9,OR($N3410='112'!$I$6,$O3410='112'!$I$6))),"x",""))</f>
        <v/>
      </c>
      <c r="U3410" s="1332" t="str">
        <f>IF(ISERROR(FIND('112'!$M$9,G3410,1)),"",IF((AND(LEFT(G3410,2)=LEFT('112'!$M$9,2),B3410&lt;'112'!$K$9,$N3410='112'!$I$6)),"x",""))</f>
        <v/>
      </c>
      <c r="V3410" s="1332" t="str">
        <f>IF(ISERROR(FIND('112'!$M$9,G3410,1)),"",IF((AND(RIGHT(G3410,2)=RIGHT('112'!$M$9,2),B3410&lt;'112'!$K$9,$O3410='112'!$I$6)),"x",""))</f>
        <v/>
      </c>
      <c r="W3410" s="1332" t="str">
        <f>IF(AND('341-CT'!$H$9=H3410,OR(LEFT(N3410,3)=$W$7,LEFT(O3410,3)=$W$7)),"x","")</f>
        <v/>
      </c>
      <c r="X3410" s="1332" t="str">
        <f>IF(OR(TH!N3347=TH!$X$7,O3410=TH!$X$7),"x","")</f>
        <v>x</v>
      </c>
      <c r="Y3410" s="1332" t="str">
        <f>IF(AND(OR(N3410="131",O3410="131"),H3410='131-CT'!$H$9),"x","")</f>
        <v/>
      </c>
      <c r="Z3410" s="1332"/>
      <c r="AA3410" s="1332" t="str">
        <f>IF(AND(MONTH(E3410)='IN-NX'!$J$5,'IN-NX'!$D$7=D3410),"x","")</f>
        <v/>
      </c>
      <c r="AB3410" s="1332" t="str">
        <f>IF(AND(OR(LEFT(TH!N3347,2)="15",LEFT(TH!O3347,2)="15"),LEFT(TH!O3347,3)&lt;&gt;"111",'152-CT'!$J$8=TH!F3347),"x","")</f>
        <v/>
      </c>
      <c r="AC3410" s="1332" t="str">
        <f>IF(AND(OR(LEFT(TH!N3347,2)="15",LEFT(TH!O3347,2)="15"),TK!$E$7=TH!F3347),"x","")</f>
        <v/>
      </c>
      <c r="AD3410" s="1332" t="str">
        <f>IF(AND(N3410="1521",MONTH(C3410)='BK-NL'!$M$11),"x","")</f>
        <v/>
      </c>
    </row>
    <row r="3411" spans="1:30" s="1333" customFormat="1" ht="16.5" customHeight="1">
      <c r="A3411" s="309" t="str">
        <f>IF(B3411&lt;&gt;"",IF(AND(B3411='IN-TC'!$S$4,OR(TH!N3411="1111",TH!O3411="1111")),TH!D3411,""),"")</f>
        <v/>
      </c>
      <c r="B3411" s="1322">
        <f t="shared" ref="B3411:B3474" si="1288">IF(C3411&lt;&gt;"",MONTH(C3411),"")</f>
        <v>8</v>
      </c>
      <c r="C3411" s="1323">
        <f t="shared" ref="C3411:C3427" si="1289">E3411</f>
        <v>42978</v>
      </c>
      <c r="D3411" s="1323" t="s">
        <v>3023</v>
      </c>
      <c r="E3411" s="1323">
        <v>42978</v>
      </c>
      <c r="F3411" s="1324" t="s">
        <v>3010</v>
      </c>
      <c r="G3411" s="1325" t="s">
        <v>1899</v>
      </c>
      <c r="H3411" s="1326" t="s">
        <v>361</v>
      </c>
      <c r="I3411" s="1327"/>
      <c r="J3411" s="1328"/>
      <c r="K3411" s="1327"/>
      <c r="L3411" s="1329"/>
      <c r="M3411" s="1330">
        <v>386372500</v>
      </c>
      <c r="N3411" s="1331" t="s">
        <v>8</v>
      </c>
      <c r="O3411" s="1331" t="s">
        <v>262</v>
      </c>
      <c r="P3411" s="1332" t="str">
        <f>IF(AND('331-CT'!$E$7=TH!H3383,OR(N3411="331",O3411="331")),"x","")</f>
        <v/>
      </c>
      <c r="Q3411" s="1332" t="str">
        <f>IF(AND(B3411='111'!$L$11,OR($N3411=$Q$7,$O3411=$Q$7)),"x","")</f>
        <v/>
      </c>
      <c r="R3411" s="1332" t="str">
        <f>IF(AND($N3411=$Q$7,$B3411&lt;'111'!$L$11),"x","")</f>
        <v/>
      </c>
      <c r="S3411" s="1332" t="str">
        <f>IF(AND($O3411=$Q$7,$B3411&lt;'111'!$L$11),"x","")</f>
        <v/>
      </c>
      <c r="T3411" s="1332" t="str">
        <f>IF(ISERROR(FIND('112'!$M$9,G3411,1)),"",IF((AND(FIND('112'!$M$9,G3411,1)&gt;=1,B3411='112'!$K$9,OR($N3411='112'!$I$6,$O3411='112'!$I$6))),"x",""))</f>
        <v/>
      </c>
      <c r="U3411" s="1332" t="str">
        <f>IF(ISERROR(FIND('112'!$M$9,G3411,1)),"",IF((AND(LEFT(G3411,2)=LEFT('112'!$M$9,2),B3411&lt;'112'!$K$9,$N3411='112'!$I$6)),"x",""))</f>
        <v/>
      </c>
      <c r="V3411" s="1332" t="str">
        <f>IF(ISERROR(FIND('112'!$M$9,G3411,1)),"",IF((AND(RIGHT(G3411,2)=RIGHT('112'!$M$9,2),B3411&lt;'112'!$K$9,$O3411='112'!$I$6)),"x",""))</f>
        <v/>
      </c>
      <c r="W3411" s="1332" t="str">
        <f>IF(AND('341-CT'!$H$9=H3411,OR(LEFT(N3411,3)=$W$7,LEFT(O3411,3)=$W$7)),"x","")</f>
        <v/>
      </c>
      <c r="X3411" s="1332" t="str">
        <f>IF(OR(TH!N3383=TH!$X$7,O3411=TH!$X$7),"x","")</f>
        <v>x</v>
      </c>
      <c r="Y3411" s="1332" t="str">
        <f>IF(AND(OR(N3411="131",O3411="131"),H3411='131-CT'!$H$9),"x","")</f>
        <v/>
      </c>
      <c r="Z3411" s="1332"/>
      <c r="AA3411" s="1332" t="str">
        <f>IF(AND(MONTH(E3411)='IN-NX'!$J$5,'IN-NX'!$D$7=D3411),"x","")</f>
        <v/>
      </c>
      <c r="AB3411" s="1332" t="str">
        <f>IF(AND(OR(LEFT(TH!N3383,2)="15",LEFT(TH!O3383,2)="15"),LEFT(TH!O3383,3)&lt;&gt;"111",'152-CT'!$J$8=TH!F3383),"x","")</f>
        <v/>
      </c>
      <c r="AC3411" s="1332" t="str">
        <f>IF(AND(OR(LEFT(TH!N3383,2)="15",LEFT(TH!O3383,2)="15"),TK!$E$7=TH!F3383),"x","")</f>
        <v/>
      </c>
      <c r="AD3411" s="1332" t="str">
        <f>IF(AND(N3411="1521",MONTH(C3411)='BK-NL'!$M$11),"x","")</f>
        <v/>
      </c>
    </row>
    <row r="3412" spans="1:30" s="1333" customFormat="1" ht="16.5" customHeight="1">
      <c r="A3412" s="309" t="str">
        <f>IF(B3412&lt;&gt;"",IF(AND(B3412='IN-TC'!$S$4,OR(TH!N3412="1111",TH!O3412="1111")),TH!D3412,""),"")</f>
        <v/>
      </c>
      <c r="B3412" s="1322">
        <f t="shared" si="1288"/>
        <v>9</v>
      </c>
      <c r="C3412" s="1323">
        <f t="shared" si="1289"/>
        <v>43008</v>
      </c>
      <c r="D3412" s="1323" t="s">
        <v>3025</v>
      </c>
      <c r="E3412" s="1323">
        <v>43008</v>
      </c>
      <c r="F3412" s="1324" t="s">
        <v>3010</v>
      </c>
      <c r="G3412" s="1325" t="s">
        <v>1899</v>
      </c>
      <c r="H3412" s="1326" t="s">
        <v>361</v>
      </c>
      <c r="I3412" s="1327"/>
      <c r="J3412" s="1328"/>
      <c r="K3412" s="1327"/>
      <c r="L3412" s="1329"/>
      <c r="M3412" s="1330">
        <v>626047500</v>
      </c>
      <c r="N3412" s="1331" t="s">
        <v>8</v>
      </c>
      <c r="O3412" s="1331" t="s">
        <v>262</v>
      </c>
      <c r="P3412" s="1332" t="str">
        <f>IF(AND('331-CT'!$E$7=TH!H3384,OR(N3412="331",O3412="331")),"x","")</f>
        <v/>
      </c>
      <c r="Q3412" s="1332" t="str">
        <f>IF(AND(B3412='111'!$L$11,OR($N3412=$Q$7,$O3412=$Q$7)),"x","")</f>
        <v/>
      </c>
      <c r="R3412" s="1332" t="str">
        <f>IF(AND($N3412=$Q$7,$B3412&lt;'111'!$L$11),"x","")</f>
        <v/>
      </c>
      <c r="S3412" s="1332" t="str">
        <f>IF(AND($O3412=$Q$7,$B3412&lt;'111'!$L$11),"x","")</f>
        <v/>
      </c>
      <c r="T3412" s="1332" t="str">
        <f>IF(ISERROR(FIND('112'!$M$9,G3412,1)),"",IF((AND(FIND('112'!$M$9,G3412,1)&gt;=1,B3412='112'!$K$9,OR($N3412='112'!$I$6,$O3412='112'!$I$6))),"x",""))</f>
        <v/>
      </c>
      <c r="U3412" s="1332" t="str">
        <f>IF(ISERROR(FIND('112'!$M$9,G3412,1)),"",IF((AND(LEFT(G3412,2)=LEFT('112'!$M$9,2),B3412&lt;'112'!$K$9,$N3412='112'!$I$6)),"x",""))</f>
        <v/>
      </c>
      <c r="V3412" s="1332" t="str">
        <f>IF(ISERROR(FIND('112'!$M$9,G3412,1)),"",IF((AND(RIGHT(G3412,2)=RIGHT('112'!$M$9,2),B3412&lt;'112'!$K$9,$O3412='112'!$I$6)),"x",""))</f>
        <v/>
      </c>
      <c r="W3412" s="1332" t="str">
        <f>IF(AND('341-CT'!$H$9=H3412,OR(LEFT(N3412,3)=$W$7,LEFT(O3412,3)=$W$7)),"x","")</f>
        <v/>
      </c>
      <c r="X3412" s="1332" t="str">
        <f>IF(OR(TH!N3384=TH!$X$7,O3412=TH!$X$7),"x","")</f>
        <v>x</v>
      </c>
      <c r="Y3412" s="1332" t="str">
        <f>IF(AND(OR(N3412="131",O3412="131"),H3412='131-CT'!$H$9),"x","")</f>
        <v/>
      </c>
      <c r="Z3412" s="1332"/>
      <c r="AA3412" s="1332" t="str">
        <f>IF(AND(MONTH(E3412)='IN-NX'!$J$5,'IN-NX'!$D$7=D3412),"x","")</f>
        <v/>
      </c>
      <c r="AB3412" s="1332" t="str">
        <f>IF(AND(OR(LEFT(TH!N3384,2)="15",LEFT(TH!O3384,2)="15"),LEFT(TH!O3384,3)&lt;&gt;"111",'152-CT'!$J$8=TH!F3384),"x","")</f>
        <v/>
      </c>
      <c r="AC3412" s="1332" t="str">
        <f>IF(AND(OR(LEFT(TH!N3384,2)="15",LEFT(TH!O3384,2)="15"),TK!$E$7=TH!F3384),"x","")</f>
        <v/>
      </c>
      <c r="AD3412" s="1332" t="str">
        <f>IF(AND(N3412="1521",MONTH(C3412)='BK-NL'!$M$11),"x","")</f>
        <v/>
      </c>
    </row>
    <row r="3413" spans="1:30" s="1333" customFormat="1" ht="16.5" customHeight="1">
      <c r="A3413" s="309" t="str">
        <f>IF(B3413&lt;&gt;"",IF(AND(B3413='IN-TC'!$S$4,OR(TH!N3413="1111",TH!O3413="1111")),TH!D3413,""),"")</f>
        <v/>
      </c>
      <c r="B3413" s="1322">
        <f t="shared" si="1288"/>
        <v>9</v>
      </c>
      <c r="C3413" s="1323">
        <f t="shared" si="1289"/>
        <v>43008</v>
      </c>
      <c r="D3413" s="1323" t="s">
        <v>3025</v>
      </c>
      <c r="E3413" s="1323">
        <v>43008</v>
      </c>
      <c r="F3413" s="1324" t="s">
        <v>3010</v>
      </c>
      <c r="G3413" s="1325" t="s">
        <v>1899</v>
      </c>
      <c r="H3413" s="1326" t="s">
        <v>366</v>
      </c>
      <c r="I3413" s="1327"/>
      <c r="J3413" s="1328"/>
      <c r="K3413" s="1327"/>
      <c r="L3413" s="1329"/>
      <c r="M3413" s="1330">
        <v>626242500</v>
      </c>
      <c r="N3413" s="1331" t="s">
        <v>8</v>
      </c>
      <c r="O3413" s="1331" t="s">
        <v>262</v>
      </c>
      <c r="P3413" s="1332" t="str">
        <f>IF(AND('331-CT'!$E$7=TH!H3375,OR(N3413="331",O3413="331")),"x","")</f>
        <v/>
      </c>
      <c r="Q3413" s="1332" t="str">
        <f>IF(AND(B3413='111'!$L$11,OR($N3413=$Q$7,$O3413=$Q$7)),"x","")</f>
        <v/>
      </c>
      <c r="R3413" s="1332" t="str">
        <f>IF(AND($N3413=$Q$7,$B3413&lt;'111'!$L$11),"x","")</f>
        <v/>
      </c>
      <c r="S3413" s="1332" t="str">
        <f>IF(AND($O3413=$Q$7,$B3413&lt;'111'!$L$11),"x","")</f>
        <v/>
      </c>
      <c r="T3413" s="1332" t="str">
        <f>IF(ISERROR(FIND('112'!$M$9,G3413,1)),"",IF((AND(FIND('112'!$M$9,G3413,1)&gt;=1,B3413='112'!$K$9,OR($N3413='112'!$I$6,$O3413='112'!$I$6))),"x",""))</f>
        <v/>
      </c>
      <c r="U3413" s="1332" t="str">
        <f>IF(ISERROR(FIND('112'!$M$9,G3413,1)),"",IF((AND(LEFT(G3413,2)=LEFT('112'!$M$9,2),B3413&lt;'112'!$K$9,$N3413='112'!$I$6)),"x",""))</f>
        <v/>
      </c>
      <c r="V3413" s="1332" t="str">
        <f>IF(ISERROR(FIND('112'!$M$9,G3413,1)),"",IF((AND(RIGHT(G3413,2)=RIGHT('112'!$M$9,2),B3413&lt;'112'!$K$9,$O3413='112'!$I$6)),"x",""))</f>
        <v/>
      </c>
      <c r="W3413" s="1332" t="str">
        <f>IF(AND('341-CT'!$H$9=H3413,OR(LEFT(N3413,3)=$W$7,LEFT(O3413,3)=$W$7)),"x","")</f>
        <v/>
      </c>
      <c r="X3413" s="1332" t="str">
        <f>IF(OR(TH!N3375=TH!$X$7,O3413=TH!$X$7),"x","")</f>
        <v>x</v>
      </c>
      <c r="Y3413" s="1332" t="str">
        <f>IF(AND(OR(N3413="131",O3413="131"),H3413='131-CT'!$H$9),"x","")</f>
        <v/>
      </c>
      <c r="Z3413" s="1332"/>
      <c r="AA3413" s="1332" t="str">
        <f>IF(AND(MONTH(E3413)='IN-NX'!$J$5,'IN-NX'!$D$7=D3413),"x","")</f>
        <v/>
      </c>
      <c r="AB3413" s="1332" t="str">
        <f>IF(AND(OR(LEFT(TH!N3375,2)="15",LEFT(TH!O3375,2)="15"),LEFT(TH!O3375,3)&lt;&gt;"111",'152-CT'!$J$8=TH!F3375),"x","")</f>
        <v/>
      </c>
      <c r="AC3413" s="1332" t="str">
        <f>IF(AND(OR(LEFT(TH!N3375,2)="15",LEFT(TH!O3375,2)="15"),TK!$E$7=TH!F3375),"x","")</f>
        <v/>
      </c>
      <c r="AD3413" s="1332" t="str">
        <f>IF(AND(N3413="1521",MONTH(C3413)='BK-NL'!$M$11),"x","")</f>
        <v/>
      </c>
    </row>
    <row r="3414" spans="1:30" s="1333" customFormat="1" ht="16.5" customHeight="1">
      <c r="A3414" s="309" t="str">
        <f>IF(B3414&lt;&gt;"",IF(AND(B3414='IN-TC'!$S$4,OR(TH!N3414="1111",TH!O3414="1111")),TH!D3414,""),"")</f>
        <v/>
      </c>
      <c r="B3414" s="1322">
        <f t="shared" si="1288"/>
        <v>9</v>
      </c>
      <c r="C3414" s="1323">
        <f t="shared" si="1289"/>
        <v>43008</v>
      </c>
      <c r="D3414" s="1323" t="s">
        <v>3025</v>
      </c>
      <c r="E3414" s="1323">
        <v>43008</v>
      </c>
      <c r="F3414" s="1324" t="s">
        <v>3010</v>
      </c>
      <c r="G3414" s="1325" t="s">
        <v>1899</v>
      </c>
      <c r="H3414" s="1326" t="s">
        <v>768</v>
      </c>
      <c r="I3414" s="1327"/>
      <c r="J3414" s="1328"/>
      <c r="K3414" s="1327"/>
      <c r="L3414" s="1329"/>
      <c r="M3414" s="1330">
        <v>522550000</v>
      </c>
      <c r="N3414" s="1331" t="s">
        <v>8</v>
      </c>
      <c r="O3414" s="1331" t="s">
        <v>262</v>
      </c>
      <c r="P3414" s="1332" t="str">
        <f>IF(AND('331-CT'!$E$7=TH!H3417,OR(N3414="331",O3414="331")),"x","")</f>
        <v/>
      </c>
      <c r="Q3414" s="1332" t="str">
        <f>IF(AND(B3414='111'!$L$11,OR($N3414=$Q$7,$O3414=$Q$7)),"x","")</f>
        <v/>
      </c>
      <c r="R3414" s="1332" t="str">
        <f>IF(AND($N3414=$Q$7,$B3414&lt;'111'!$L$11),"x","")</f>
        <v/>
      </c>
      <c r="S3414" s="1332" t="str">
        <f>IF(AND($O3414=$Q$7,$B3414&lt;'111'!$L$11),"x","")</f>
        <v/>
      </c>
      <c r="T3414" s="1332" t="str">
        <f>IF(ISERROR(FIND('112'!$M$9,G3414,1)),"",IF((AND(FIND('112'!$M$9,G3414,1)&gt;=1,B3414='112'!$K$9,OR($N3414='112'!$I$6,$O3414='112'!$I$6))),"x",""))</f>
        <v/>
      </c>
      <c r="U3414" s="1332" t="str">
        <f>IF(ISERROR(FIND('112'!$M$9,G3414,1)),"",IF((AND(LEFT(G3414,2)=LEFT('112'!$M$9,2),B3414&lt;'112'!$K$9,$N3414='112'!$I$6)),"x",""))</f>
        <v/>
      </c>
      <c r="V3414" s="1332" t="str">
        <f>IF(ISERROR(FIND('112'!$M$9,G3414,1)),"",IF((AND(RIGHT(G3414,2)=RIGHT('112'!$M$9,2),B3414&lt;'112'!$K$9,$O3414='112'!$I$6)),"x",""))</f>
        <v/>
      </c>
      <c r="W3414" s="1332" t="str">
        <f>IF(AND('341-CT'!$H$9=H3414,OR(LEFT(N3414,3)=$W$7,LEFT(O3414,3)=$W$7)),"x","")</f>
        <v/>
      </c>
      <c r="X3414" s="1332" t="str">
        <f>IF(OR(TH!N3417=TH!$X$7,O3414=TH!$X$7),"x","")</f>
        <v>x</v>
      </c>
      <c r="Y3414" s="1332" t="str">
        <f>IF(AND(OR(N3414="131",O3414="131"),H3414='131-CT'!$H$9),"x","")</f>
        <v/>
      </c>
      <c r="Z3414" s="1332"/>
      <c r="AA3414" s="1332" t="str">
        <f>IF(AND(MONTH(E3414)='IN-NX'!$J$5,'IN-NX'!$D$7=D3414),"x","")</f>
        <v/>
      </c>
      <c r="AB3414" s="1332" t="str">
        <f>IF(AND(OR(LEFT(TH!N3417,2)="15",LEFT(TH!O3417,2)="15"),LEFT(TH!O3417,3)&lt;&gt;"111",'152-CT'!$J$8=TH!F3417),"x","")</f>
        <v/>
      </c>
      <c r="AC3414" s="1332" t="str">
        <f>IF(AND(OR(LEFT(TH!N3417,2)="15",LEFT(TH!O3417,2)="15"),TK!$E$7=TH!F3417),"x","")</f>
        <v/>
      </c>
      <c r="AD3414" s="1332" t="str">
        <f>IF(AND(N3414="1521",MONTH(C3414)='BK-NL'!$M$11),"x","")</f>
        <v/>
      </c>
    </row>
    <row r="3415" spans="1:30" s="1333" customFormat="1" ht="16.5" customHeight="1">
      <c r="A3415" s="309" t="str">
        <f>IF(B3415&lt;&gt;"",IF(AND(B3415='IN-TC'!$S$4,OR(TH!N3415="1111",TH!O3415="1111")),TH!D3415,""),"")</f>
        <v/>
      </c>
      <c r="B3415" s="1322">
        <f t="shared" si="1288"/>
        <v>9</v>
      </c>
      <c r="C3415" s="1323">
        <f t="shared" si="1289"/>
        <v>43008</v>
      </c>
      <c r="D3415" s="1323" t="s">
        <v>3025</v>
      </c>
      <c r="E3415" s="1323">
        <v>43008</v>
      </c>
      <c r="F3415" s="1324" t="s">
        <v>3010</v>
      </c>
      <c r="G3415" s="1325" t="s">
        <v>1899</v>
      </c>
      <c r="H3415" s="1326" t="s">
        <v>769</v>
      </c>
      <c r="I3415" s="1327"/>
      <c r="J3415" s="1328"/>
      <c r="K3415" s="1327"/>
      <c r="L3415" s="1329"/>
      <c r="M3415" s="1330">
        <v>1032604600</v>
      </c>
      <c r="N3415" s="1331" t="s">
        <v>8</v>
      </c>
      <c r="O3415" s="1331" t="s">
        <v>262</v>
      </c>
      <c r="P3415" s="1332" t="str">
        <f>IF(AND('331-CT'!$E$7=TH!H3421,OR(N3415="331",O3415="331")),"x","")</f>
        <v/>
      </c>
      <c r="Q3415" s="1332" t="str">
        <f>IF(AND(B3415='111'!$L$11,OR($N3415=$Q$7,$O3415=$Q$7)),"x","")</f>
        <v/>
      </c>
      <c r="R3415" s="1332" t="str">
        <f>IF(AND($N3415=$Q$7,$B3415&lt;'111'!$L$11),"x","")</f>
        <v/>
      </c>
      <c r="S3415" s="1332" t="str">
        <f>IF(AND($O3415=$Q$7,$B3415&lt;'111'!$L$11),"x","")</f>
        <v/>
      </c>
      <c r="T3415" s="1332" t="str">
        <f>IF(ISERROR(FIND('112'!$M$9,G3415,1)),"",IF((AND(FIND('112'!$M$9,G3415,1)&gt;=1,B3415='112'!$K$9,OR($N3415='112'!$I$6,$O3415='112'!$I$6))),"x",""))</f>
        <v/>
      </c>
      <c r="U3415" s="1332" t="str">
        <f>IF(ISERROR(FIND('112'!$M$9,G3415,1)),"",IF((AND(LEFT(G3415,2)=LEFT('112'!$M$9,2),B3415&lt;'112'!$K$9,$N3415='112'!$I$6)),"x",""))</f>
        <v/>
      </c>
      <c r="V3415" s="1332" t="str">
        <f>IF(ISERROR(FIND('112'!$M$9,G3415,1)),"",IF((AND(RIGHT(G3415,2)=RIGHT('112'!$M$9,2),B3415&lt;'112'!$K$9,$O3415='112'!$I$6)),"x",""))</f>
        <v/>
      </c>
      <c r="W3415" s="1332" t="str">
        <f>IF(AND('341-CT'!$H$9=H3415,OR(LEFT(N3415,3)=$W$7,LEFT(O3415,3)=$W$7)),"x","")</f>
        <v/>
      </c>
      <c r="X3415" s="1332" t="str">
        <f>IF(OR(TH!N3421=TH!$X$7,O3415=TH!$X$7),"x","")</f>
        <v>x</v>
      </c>
      <c r="Y3415" s="1332" t="str">
        <f>IF(AND(OR(N3415="131",O3415="131"),H3415='131-CT'!$H$9),"x","")</f>
        <v/>
      </c>
      <c r="Z3415" s="1332"/>
      <c r="AA3415" s="1332" t="str">
        <f>IF(AND(MONTH(E3415)='IN-NX'!$J$5,'IN-NX'!$D$7=D3415),"x","")</f>
        <v/>
      </c>
      <c r="AB3415" s="1332" t="str">
        <f>IF(AND(OR(LEFT(TH!N3421,2)="15",LEFT(TH!O3421,2)="15"),LEFT(TH!O3421,3)&lt;&gt;"111",'152-CT'!$J$8=TH!F3421),"x","")</f>
        <v/>
      </c>
      <c r="AC3415" s="1332" t="str">
        <f>IF(AND(OR(LEFT(TH!N3421,2)="15",LEFT(TH!O3421,2)="15"),TK!$E$7=TH!F3421),"x","")</f>
        <v/>
      </c>
      <c r="AD3415" s="1332" t="str">
        <f>IF(AND(N3415="1521",MONTH(C3415)='BK-NL'!$M$11),"x","")</f>
        <v/>
      </c>
    </row>
    <row r="3416" spans="1:30" s="1333" customFormat="1" ht="16.5" customHeight="1">
      <c r="A3416" s="309" t="str">
        <f>IF(B3416&lt;&gt;"",IF(AND(B3416='IN-TC'!$S$4,OR(TH!N3416="1111",TH!O3416="1111")),TH!D3416,""),"")</f>
        <v/>
      </c>
      <c r="B3416" s="1322">
        <f t="shared" si="1288"/>
        <v>10</v>
      </c>
      <c r="C3416" s="1323">
        <f t="shared" si="1289"/>
        <v>43039</v>
      </c>
      <c r="D3416" s="1323" t="s">
        <v>3027</v>
      </c>
      <c r="E3416" s="1323">
        <v>43039</v>
      </c>
      <c r="F3416" s="1324" t="s">
        <v>3010</v>
      </c>
      <c r="G3416" s="1325" t="s">
        <v>1899</v>
      </c>
      <c r="H3416" s="1326" t="s">
        <v>366</v>
      </c>
      <c r="I3416" s="1327"/>
      <c r="J3416" s="1328"/>
      <c r="K3416" s="1327"/>
      <c r="L3416" s="1329"/>
      <c r="M3416" s="1330">
        <v>475265000</v>
      </c>
      <c r="N3416" s="1331" t="s">
        <v>8</v>
      </c>
      <c r="O3416" s="1331" t="s">
        <v>262</v>
      </c>
      <c r="P3416" s="1332" t="str">
        <f>IF(AND('331-CT'!$E$7=TH!H3376,OR(N3416="331",O3416="331")),"x","")</f>
        <v/>
      </c>
      <c r="Q3416" s="1332" t="str">
        <f>IF(AND(B3416='111'!$L$11,OR($N3416=$Q$7,$O3416=$Q$7)),"x","")</f>
        <v/>
      </c>
      <c r="R3416" s="1332" t="str">
        <f>IF(AND($N3416=$Q$7,$B3416&lt;'111'!$L$11),"x","")</f>
        <v/>
      </c>
      <c r="S3416" s="1332" t="str">
        <f>IF(AND($O3416=$Q$7,$B3416&lt;'111'!$L$11),"x","")</f>
        <v/>
      </c>
      <c r="T3416" s="1332" t="str">
        <f>IF(ISERROR(FIND('112'!$M$9,G3416,1)),"",IF((AND(FIND('112'!$M$9,G3416,1)&gt;=1,B3416='112'!$K$9,OR($N3416='112'!$I$6,$O3416='112'!$I$6))),"x",""))</f>
        <v/>
      </c>
      <c r="U3416" s="1332" t="str">
        <f>IF(ISERROR(FIND('112'!$M$9,G3416,1)),"",IF((AND(LEFT(G3416,2)=LEFT('112'!$M$9,2),B3416&lt;'112'!$K$9,$N3416='112'!$I$6)),"x",""))</f>
        <v/>
      </c>
      <c r="V3416" s="1332" t="str">
        <f>IF(ISERROR(FIND('112'!$M$9,G3416,1)),"",IF((AND(RIGHT(G3416,2)=RIGHT('112'!$M$9,2),B3416&lt;'112'!$K$9,$O3416='112'!$I$6)),"x",""))</f>
        <v/>
      </c>
      <c r="W3416" s="1332" t="str">
        <f>IF(AND('341-CT'!$H$9=H3416,OR(LEFT(N3416,3)=$W$7,LEFT(O3416,3)=$W$7)),"x","")</f>
        <v/>
      </c>
      <c r="X3416" s="1332" t="str">
        <f>IF(OR(TH!N3376=TH!$X$7,O3416=TH!$X$7),"x","")</f>
        <v>x</v>
      </c>
      <c r="Y3416" s="1332" t="str">
        <f>IF(AND(OR(N3416="131",O3416="131"),H3416='131-CT'!$H$9),"x","")</f>
        <v/>
      </c>
      <c r="Z3416" s="1332"/>
      <c r="AA3416" s="1332" t="str">
        <f>IF(AND(MONTH(E3416)='IN-NX'!$J$5,'IN-NX'!$D$7=D3416),"x","")</f>
        <v/>
      </c>
      <c r="AB3416" s="1332" t="str">
        <f>IF(AND(OR(LEFT(TH!N3376,2)="15",LEFT(TH!O3376,2)="15"),LEFT(TH!O3376,3)&lt;&gt;"111",'152-CT'!$J$8=TH!F3376),"x","")</f>
        <v/>
      </c>
      <c r="AC3416" s="1332" t="str">
        <f>IF(AND(OR(LEFT(TH!N3376,2)="15",LEFT(TH!O3376,2)="15"),TK!$E$7=TH!F3376),"x","")</f>
        <v/>
      </c>
      <c r="AD3416" s="1332" t="str">
        <f>IF(AND(N3416="1521",MONTH(C3416)='BK-NL'!$M$11),"x","")</f>
        <v/>
      </c>
    </row>
    <row r="3417" spans="1:30" s="1333" customFormat="1" ht="16.5" customHeight="1">
      <c r="A3417" s="309" t="str">
        <f>IF(B3417&lt;&gt;"",IF(AND(B3417='IN-TC'!$S$4,OR(TH!N3417="1111",TH!O3417="1111")),TH!D3417,""),"")</f>
        <v/>
      </c>
      <c r="B3417" s="1322">
        <f t="shared" si="1288"/>
        <v>10</v>
      </c>
      <c r="C3417" s="1323">
        <f t="shared" si="1289"/>
        <v>43039</v>
      </c>
      <c r="D3417" s="1323" t="s">
        <v>3027</v>
      </c>
      <c r="E3417" s="1323">
        <v>43039</v>
      </c>
      <c r="F3417" s="1324" t="s">
        <v>3010</v>
      </c>
      <c r="G3417" s="1325" t="s">
        <v>1899</v>
      </c>
      <c r="H3417" s="1326" t="s">
        <v>361</v>
      </c>
      <c r="I3417" s="1327"/>
      <c r="J3417" s="1328"/>
      <c r="K3417" s="1327"/>
      <c r="L3417" s="1329"/>
      <c r="M3417" s="1330">
        <v>490435000</v>
      </c>
      <c r="N3417" s="1331" t="s">
        <v>8</v>
      </c>
      <c r="O3417" s="1331" t="s">
        <v>262</v>
      </c>
      <c r="P3417" s="1332" t="str">
        <f>IF(AND('331-CT'!$E$7=TH!H3385,OR(N3417="331",O3417="331")),"x","")</f>
        <v/>
      </c>
      <c r="Q3417" s="1332" t="str">
        <f>IF(AND(B3417='111'!$L$11,OR($N3417=$Q$7,$O3417=$Q$7)),"x","")</f>
        <v/>
      </c>
      <c r="R3417" s="1332" t="str">
        <f>IF(AND($N3417=$Q$7,$B3417&lt;'111'!$L$11),"x","")</f>
        <v/>
      </c>
      <c r="S3417" s="1332" t="str">
        <f>IF(AND($O3417=$Q$7,$B3417&lt;'111'!$L$11),"x","")</f>
        <v/>
      </c>
      <c r="T3417" s="1332" t="str">
        <f>IF(ISERROR(FIND('112'!$M$9,G3417,1)),"",IF((AND(FIND('112'!$M$9,G3417,1)&gt;=1,B3417='112'!$K$9,OR($N3417='112'!$I$6,$O3417='112'!$I$6))),"x",""))</f>
        <v/>
      </c>
      <c r="U3417" s="1332" t="str">
        <f>IF(ISERROR(FIND('112'!$M$9,G3417,1)),"",IF((AND(LEFT(G3417,2)=LEFT('112'!$M$9,2),B3417&lt;'112'!$K$9,$N3417='112'!$I$6)),"x",""))</f>
        <v/>
      </c>
      <c r="V3417" s="1332" t="str">
        <f>IF(ISERROR(FIND('112'!$M$9,G3417,1)),"",IF((AND(RIGHT(G3417,2)=RIGHT('112'!$M$9,2),B3417&lt;'112'!$K$9,$O3417='112'!$I$6)),"x",""))</f>
        <v/>
      </c>
      <c r="W3417" s="1332" t="str">
        <f>IF(AND('341-CT'!$H$9=H3417,OR(LEFT(N3417,3)=$W$7,LEFT(O3417,3)=$W$7)),"x","")</f>
        <v/>
      </c>
      <c r="X3417" s="1332" t="str">
        <f>IF(OR(TH!N3385=TH!$X$7,O3417=TH!$X$7),"x","")</f>
        <v>x</v>
      </c>
      <c r="Y3417" s="1332" t="str">
        <f>IF(AND(OR(N3417="131",O3417="131"),H3417='131-CT'!$H$9),"x","")</f>
        <v/>
      </c>
      <c r="Z3417" s="1332"/>
      <c r="AA3417" s="1332" t="str">
        <f>IF(AND(MONTH(E3417)='IN-NX'!$J$5,'IN-NX'!$D$7=D3417),"x","")</f>
        <v/>
      </c>
      <c r="AB3417" s="1332" t="str">
        <f>IF(AND(OR(LEFT(TH!N3385,2)="15",LEFT(TH!O3385,2)="15"),LEFT(TH!O3385,3)&lt;&gt;"111",'152-CT'!$J$8=TH!F3385),"x","")</f>
        <v/>
      </c>
      <c r="AC3417" s="1332" t="str">
        <f>IF(AND(OR(LEFT(TH!N3385,2)="15",LEFT(TH!O3385,2)="15"),TK!$E$7=TH!F3385),"x","")</f>
        <v/>
      </c>
      <c r="AD3417" s="1332" t="str">
        <f>IF(AND(N3417="1521",MONTH(C3417)='BK-NL'!$M$11),"x","")</f>
        <v/>
      </c>
    </row>
    <row r="3418" spans="1:30" s="1333" customFormat="1" ht="16.5" customHeight="1">
      <c r="A3418" s="309" t="str">
        <f>IF(B3418&lt;&gt;"",IF(AND(B3418='IN-TC'!$S$4,OR(TH!N3418="1111",TH!O3418="1111")),TH!D3418,""),"")</f>
        <v/>
      </c>
      <c r="B3418" s="1322">
        <f t="shared" si="1288"/>
        <v>11</v>
      </c>
      <c r="C3418" s="1323">
        <f t="shared" si="1289"/>
        <v>43069</v>
      </c>
      <c r="D3418" s="1323" t="s">
        <v>3029</v>
      </c>
      <c r="E3418" s="1323">
        <v>43069</v>
      </c>
      <c r="F3418" s="1324" t="s">
        <v>3010</v>
      </c>
      <c r="G3418" s="1325" t="s">
        <v>1899</v>
      </c>
      <c r="H3418" s="1326" t="s">
        <v>404</v>
      </c>
      <c r="I3418" s="1327"/>
      <c r="J3418" s="1328"/>
      <c r="K3418" s="1327"/>
      <c r="L3418" s="1329"/>
      <c r="M3418" s="1330">
        <v>981665000</v>
      </c>
      <c r="N3418" s="1331" t="s">
        <v>8</v>
      </c>
      <c r="O3418" s="1331" t="s">
        <v>262</v>
      </c>
      <c r="P3418" s="1332" t="str">
        <f>IF(AND('331-CT'!$E$7=TH!H3392,OR(N3418="331",O3418="331")),"x","")</f>
        <v/>
      </c>
      <c r="Q3418" s="1332" t="str">
        <f>IF(AND(B3418='111'!$L$11,OR($N3418=$Q$7,$O3418=$Q$7)),"x","")</f>
        <v/>
      </c>
      <c r="R3418" s="1332" t="str">
        <f>IF(AND($N3418=$Q$7,$B3418&lt;'111'!$L$11),"x","")</f>
        <v/>
      </c>
      <c r="S3418" s="1332" t="str">
        <f>IF(AND($O3418=$Q$7,$B3418&lt;'111'!$L$11),"x","")</f>
        <v/>
      </c>
      <c r="T3418" s="1332" t="str">
        <f>IF(ISERROR(FIND('112'!$M$9,G3418,1)),"",IF((AND(FIND('112'!$M$9,G3418,1)&gt;=1,B3418='112'!$K$9,OR($N3418='112'!$I$6,$O3418='112'!$I$6))),"x",""))</f>
        <v/>
      </c>
      <c r="U3418" s="1332" t="str">
        <f>IF(ISERROR(FIND('112'!$M$9,G3418,1)),"",IF((AND(LEFT(G3418,2)=LEFT('112'!$M$9,2),B3418&lt;'112'!$K$9,$N3418='112'!$I$6)),"x",""))</f>
        <v/>
      </c>
      <c r="V3418" s="1332" t="str">
        <f>IF(ISERROR(FIND('112'!$M$9,G3418,1)),"",IF((AND(RIGHT(G3418,2)=RIGHT('112'!$M$9,2),B3418&lt;'112'!$K$9,$O3418='112'!$I$6)),"x",""))</f>
        <v/>
      </c>
      <c r="W3418" s="1332" t="str">
        <f>IF(AND('341-CT'!$H$9=H3418,OR(LEFT(N3418,3)=$W$7,LEFT(O3418,3)=$W$7)),"x","")</f>
        <v/>
      </c>
      <c r="X3418" s="1332" t="str">
        <f>IF(OR(TH!N3392=TH!$X$7,O3418=TH!$X$7),"x","")</f>
        <v>x</v>
      </c>
      <c r="Y3418" s="1332" t="str">
        <f>IF(AND(OR(N3418="131",O3418="131"),H3418='131-CT'!$H$9),"x","")</f>
        <v/>
      </c>
      <c r="Z3418" s="1332"/>
      <c r="AA3418" s="1332" t="str">
        <f>IF(AND(MONTH(E3418)='IN-NX'!$J$5,'IN-NX'!$D$7=D3418),"x","")</f>
        <v/>
      </c>
      <c r="AB3418" s="1332" t="str">
        <f>IF(AND(OR(LEFT(TH!N3392,2)="15",LEFT(TH!O3392,2)="15"),LEFT(TH!O3392,3)&lt;&gt;"111",'152-CT'!$J$8=TH!F3392),"x","")</f>
        <v/>
      </c>
      <c r="AC3418" s="1332" t="str">
        <f>IF(AND(OR(LEFT(TH!N3392,2)="15",LEFT(TH!O3392,2)="15"),TK!$E$7=TH!F3392),"x","")</f>
        <v/>
      </c>
      <c r="AD3418" s="1332" t="str">
        <f>IF(AND(N3418="1521",MONTH(C3418)='BK-NL'!$M$11),"x","")</f>
        <v/>
      </c>
    </row>
    <row r="3419" spans="1:30" s="1333" customFormat="1" ht="16.5" customHeight="1">
      <c r="A3419" s="309" t="str">
        <f>IF(B3419&lt;&gt;"",IF(AND(B3419='IN-TC'!$S$4,OR(TH!N3419="1111",TH!O3419="1111")),TH!D3419,""),"")</f>
        <v/>
      </c>
      <c r="B3419" s="1322">
        <f t="shared" si="1288"/>
        <v>11</v>
      </c>
      <c r="C3419" s="1323">
        <f t="shared" si="1289"/>
        <v>43069</v>
      </c>
      <c r="D3419" s="1323" t="s">
        <v>3029</v>
      </c>
      <c r="E3419" s="1323">
        <v>43069</v>
      </c>
      <c r="F3419" s="1324" t="s">
        <v>3010</v>
      </c>
      <c r="G3419" s="1325" t="s">
        <v>1899</v>
      </c>
      <c r="H3419" s="1326" t="s">
        <v>401</v>
      </c>
      <c r="I3419" s="1327"/>
      <c r="J3419" s="1328"/>
      <c r="K3419" s="1327"/>
      <c r="L3419" s="1329"/>
      <c r="M3419" s="1330">
        <v>512635000</v>
      </c>
      <c r="N3419" s="1331" t="s">
        <v>8</v>
      </c>
      <c r="O3419" s="1331" t="s">
        <v>262</v>
      </c>
      <c r="P3419" s="1332" t="str">
        <f>IF(AND('331-CT'!$E$7=TH!H3424,OR(N3419="331",O3419="331")),"x","")</f>
        <v/>
      </c>
      <c r="Q3419" s="1332" t="str">
        <f>IF(AND(B3419='111'!$L$11,OR($N3419=$Q$7,$O3419=$Q$7)),"x","")</f>
        <v/>
      </c>
      <c r="R3419" s="1332" t="str">
        <f>IF(AND($N3419=$Q$7,$B3419&lt;'111'!$L$11),"x","")</f>
        <v/>
      </c>
      <c r="S3419" s="1332" t="str">
        <f>IF(AND($O3419=$Q$7,$B3419&lt;'111'!$L$11),"x","")</f>
        <v/>
      </c>
      <c r="T3419" s="1332" t="str">
        <f>IF(ISERROR(FIND('112'!$M$9,G3419,1)),"",IF((AND(FIND('112'!$M$9,G3419,1)&gt;=1,B3419='112'!$K$9,OR($N3419='112'!$I$6,$O3419='112'!$I$6))),"x",""))</f>
        <v/>
      </c>
      <c r="U3419" s="1332" t="str">
        <f>IF(ISERROR(FIND('112'!$M$9,G3419,1)),"",IF((AND(LEFT(G3419,2)=LEFT('112'!$M$9,2),B3419&lt;'112'!$K$9,$N3419='112'!$I$6)),"x",""))</f>
        <v/>
      </c>
      <c r="V3419" s="1332" t="str">
        <f>IF(ISERROR(FIND('112'!$M$9,G3419,1)),"",IF((AND(RIGHT(G3419,2)=RIGHT('112'!$M$9,2),B3419&lt;'112'!$K$9,$O3419='112'!$I$6)),"x",""))</f>
        <v/>
      </c>
      <c r="W3419" s="1332" t="str">
        <f>IF(AND('341-CT'!$H$9=H3419,OR(LEFT(N3419,3)=$W$7,LEFT(O3419,3)=$W$7)),"x","")</f>
        <v/>
      </c>
      <c r="X3419" s="1332" t="str">
        <f>IF(OR(TH!N3424=TH!$X$7,O3419=TH!$X$7),"x","")</f>
        <v>x</v>
      </c>
      <c r="Y3419" s="1332" t="str">
        <f>IF(AND(OR(N3419="131",O3419="131"),H3419='131-CT'!$H$9),"x","")</f>
        <v/>
      </c>
      <c r="Z3419" s="1332"/>
      <c r="AA3419" s="1332" t="str">
        <f>IF(AND(MONTH(E3419)='IN-NX'!$J$5,'IN-NX'!$D$7=D3419),"x","")</f>
        <v/>
      </c>
      <c r="AB3419" s="1332" t="str">
        <f>IF(AND(OR(LEFT(TH!N3424,2)="15",LEFT(TH!O3424,2)="15"),LEFT(TH!O3424,3)&lt;&gt;"111",'152-CT'!$J$8=TH!F3424),"x","")</f>
        <v/>
      </c>
      <c r="AC3419" s="1332" t="str">
        <f>IF(AND(OR(LEFT(TH!N3424,2)="15",LEFT(TH!O3424,2)="15"),TK!$E$7=TH!F3424),"x","")</f>
        <v/>
      </c>
      <c r="AD3419" s="1332" t="str">
        <f>IF(AND(N3419="1521",MONTH(C3419)='BK-NL'!$M$11),"x","")</f>
        <v/>
      </c>
    </row>
    <row r="3420" spans="1:30" s="1333" customFormat="1" ht="16.5" customHeight="1">
      <c r="A3420" s="309" t="str">
        <f>IF(B3420&lt;&gt;"",IF(AND(B3420='IN-TC'!$S$4,OR(TH!N3420="1111",TH!O3420="1111")),TH!D3420,""),"")</f>
        <v/>
      </c>
      <c r="B3420" s="1322">
        <f t="shared" si="1288"/>
        <v>11</v>
      </c>
      <c r="C3420" s="1323">
        <f t="shared" si="1289"/>
        <v>43069</v>
      </c>
      <c r="D3420" s="1323" t="s">
        <v>3029</v>
      </c>
      <c r="E3420" s="1323">
        <v>43069</v>
      </c>
      <c r="F3420" s="1324" t="s">
        <v>3010</v>
      </c>
      <c r="G3420" s="1325" t="s">
        <v>1899</v>
      </c>
      <c r="H3420" s="1326" t="s">
        <v>768</v>
      </c>
      <c r="I3420" s="1327"/>
      <c r="J3420" s="1328"/>
      <c r="K3420" s="1327"/>
      <c r="L3420" s="1329"/>
      <c r="M3420" s="1330">
        <v>1248722000</v>
      </c>
      <c r="N3420" s="1331" t="s">
        <v>8</v>
      </c>
      <c r="O3420" s="1331" t="s">
        <v>262</v>
      </c>
      <c r="P3420" s="1332" t="str">
        <f>IF(AND('331-CT'!$E$7=TH!H3418,OR(N3420="331",O3420="331")),"x","")</f>
        <v/>
      </c>
      <c r="Q3420" s="1332" t="str">
        <f>IF(AND(B3420='111'!$L$11,OR($N3420=$Q$7,$O3420=$Q$7)),"x","")</f>
        <v/>
      </c>
      <c r="R3420" s="1332" t="str">
        <f>IF(AND($N3420=$Q$7,$B3420&lt;'111'!$L$11),"x","")</f>
        <v/>
      </c>
      <c r="S3420" s="1332" t="str">
        <f>IF(AND($O3420=$Q$7,$B3420&lt;'111'!$L$11),"x","")</f>
        <v/>
      </c>
      <c r="T3420" s="1332" t="str">
        <f>IF(ISERROR(FIND('112'!$M$9,G3420,1)),"",IF((AND(FIND('112'!$M$9,G3420,1)&gt;=1,B3420='112'!$K$9,OR($N3420='112'!$I$6,$O3420='112'!$I$6))),"x",""))</f>
        <v/>
      </c>
      <c r="U3420" s="1332" t="str">
        <f>IF(ISERROR(FIND('112'!$M$9,G3420,1)),"",IF((AND(LEFT(G3420,2)=LEFT('112'!$M$9,2),B3420&lt;'112'!$K$9,$N3420='112'!$I$6)),"x",""))</f>
        <v/>
      </c>
      <c r="V3420" s="1332" t="str">
        <f>IF(ISERROR(FIND('112'!$M$9,G3420,1)),"",IF((AND(RIGHT(G3420,2)=RIGHT('112'!$M$9,2),B3420&lt;'112'!$K$9,$O3420='112'!$I$6)),"x",""))</f>
        <v/>
      </c>
      <c r="W3420" s="1332" t="str">
        <f>IF(AND('341-CT'!$H$9=H3420,OR(LEFT(N3420,3)=$W$7,LEFT(O3420,3)=$W$7)),"x","")</f>
        <v/>
      </c>
      <c r="X3420" s="1332" t="str">
        <f>IF(OR(TH!N3418=TH!$X$7,O3420=TH!$X$7),"x","")</f>
        <v>x</v>
      </c>
      <c r="Y3420" s="1332" t="str">
        <f>IF(AND(OR(N3420="131",O3420="131"),H3420='131-CT'!$H$9),"x","")</f>
        <v/>
      </c>
      <c r="Z3420" s="1332"/>
      <c r="AA3420" s="1332" t="str">
        <f>IF(AND(MONTH(E3420)='IN-NX'!$J$5,'IN-NX'!$D$7=D3420),"x","")</f>
        <v/>
      </c>
      <c r="AB3420" s="1332" t="str">
        <f>IF(AND(OR(LEFT(TH!N3418,2)="15",LEFT(TH!O3418,2)="15"),LEFT(TH!O3418,3)&lt;&gt;"111",'152-CT'!$J$8=TH!F3418),"x","")</f>
        <v/>
      </c>
      <c r="AC3420" s="1332" t="str">
        <f>IF(AND(OR(LEFT(TH!N3418,2)="15",LEFT(TH!O3418,2)="15"),TK!$E$7=TH!F3418),"x","")</f>
        <v/>
      </c>
      <c r="AD3420" s="1332" t="str">
        <f>IF(AND(N3420="1521",MONTH(C3420)='BK-NL'!$M$11),"x","")</f>
        <v/>
      </c>
    </row>
    <row r="3421" spans="1:30" s="1333" customFormat="1" ht="16.5" customHeight="1">
      <c r="A3421" s="309" t="str">
        <f>IF(B3421&lt;&gt;"",IF(AND(B3421='IN-TC'!$S$4,OR(TH!N3421="1111",TH!O3421="1111")),TH!D3421,""),"")</f>
        <v/>
      </c>
      <c r="B3421" s="1322">
        <f t="shared" si="1288"/>
        <v>11</v>
      </c>
      <c r="C3421" s="1323">
        <f t="shared" si="1289"/>
        <v>43069</v>
      </c>
      <c r="D3421" s="1323" t="s">
        <v>3029</v>
      </c>
      <c r="E3421" s="1323">
        <v>43069</v>
      </c>
      <c r="F3421" s="1324" t="s">
        <v>3010</v>
      </c>
      <c r="G3421" s="1325" t="s">
        <v>1899</v>
      </c>
      <c r="H3421" s="1326" t="s">
        <v>769</v>
      </c>
      <c r="I3421" s="1327"/>
      <c r="J3421" s="1328"/>
      <c r="K3421" s="1327"/>
      <c r="L3421" s="1329"/>
      <c r="M3421" s="1330">
        <v>888523000</v>
      </c>
      <c r="N3421" s="1331" t="s">
        <v>8</v>
      </c>
      <c r="O3421" s="1331" t="s">
        <v>262</v>
      </c>
      <c r="P3421" s="1332" t="str">
        <f>IF(AND('331-CT'!$E$7=TH!H3422,OR(N3421="331",O3421="331")),"x","")</f>
        <v/>
      </c>
      <c r="Q3421" s="1332" t="str">
        <f>IF(AND(B3421='111'!$L$11,OR($N3421=$Q$7,$O3421=$Q$7)),"x","")</f>
        <v/>
      </c>
      <c r="R3421" s="1332" t="str">
        <f>IF(AND($N3421=$Q$7,$B3421&lt;'111'!$L$11),"x","")</f>
        <v/>
      </c>
      <c r="S3421" s="1332" t="str">
        <f>IF(AND($O3421=$Q$7,$B3421&lt;'111'!$L$11),"x","")</f>
        <v/>
      </c>
      <c r="T3421" s="1332" t="str">
        <f>IF(ISERROR(FIND('112'!$M$9,G3421,1)),"",IF((AND(FIND('112'!$M$9,G3421,1)&gt;=1,B3421='112'!$K$9,OR($N3421='112'!$I$6,$O3421='112'!$I$6))),"x",""))</f>
        <v/>
      </c>
      <c r="U3421" s="1332" t="str">
        <f>IF(ISERROR(FIND('112'!$M$9,G3421,1)),"",IF((AND(LEFT(G3421,2)=LEFT('112'!$M$9,2),B3421&lt;'112'!$K$9,$N3421='112'!$I$6)),"x",""))</f>
        <v/>
      </c>
      <c r="V3421" s="1332" t="str">
        <f>IF(ISERROR(FIND('112'!$M$9,G3421,1)),"",IF((AND(RIGHT(G3421,2)=RIGHT('112'!$M$9,2),B3421&lt;'112'!$K$9,$O3421='112'!$I$6)),"x",""))</f>
        <v/>
      </c>
      <c r="W3421" s="1332" t="str">
        <f>IF(AND('341-CT'!$H$9=H3421,OR(LEFT(N3421,3)=$W$7,LEFT(O3421,3)=$W$7)),"x","")</f>
        <v/>
      </c>
      <c r="X3421" s="1332" t="str">
        <f>IF(OR(TH!N3422=TH!$X$7,O3421=TH!$X$7),"x","")</f>
        <v>x</v>
      </c>
      <c r="Y3421" s="1332" t="str">
        <f>IF(AND(OR(N3421="131",O3421="131"),H3421='131-CT'!$H$9),"x","")</f>
        <v/>
      </c>
      <c r="Z3421" s="1332"/>
      <c r="AA3421" s="1332" t="str">
        <f>IF(AND(MONTH(E3421)='IN-NX'!$J$5,'IN-NX'!$D$7=D3421),"x","")</f>
        <v/>
      </c>
      <c r="AB3421" s="1332" t="str">
        <f>IF(AND(OR(LEFT(TH!N3422,2)="15",LEFT(TH!O3422,2)="15"),LEFT(TH!O3422,3)&lt;&gt;"111",'152-CT'!$J$8=TH!F3422),"x","")</f>
        <v/>
      </c>
      <c r="AC3421" s="1332" t="str">
        <f>IF(AND(OR(LEFT(TH!N3422,2)="15",LEFT(TH!O3422,2)="15"),TK!$E$7=TH!F3422),"x","")</f>
        <v/>
      </c>
      <c r="AD3421" s="1332" t="str">
        <f>IF(AND(N3421="1521",MONTH(C3421)='BK-NL'!$M$11),"x","")</f>
        <v/>
      </c>
    </row>
    <row r="3422" spans="1:30" s="1333" customFormat="1" ht="16.5" customHeight="1">
      <c r="A3422" s="309" t="str">
        <f>IF(B3422&lt;&gt;"",IF(AND(B3422='IN-TC'!$S$4,OR(TH!N3422="1111",TH!O3422="1111")),TH!D3422,""),"")</f>
        <v/>
      </c>
      <c r="B3422" s="1322">
        <f t="shared" si="1288"/>
        <v>12</v>
      </c>
      <c r="C3422" s="1323">
        <f t="shared" si="1289"/>
        <v>43100</v>
      </c>
      <c r="D3422" s="1323" t="s">
        <v>3031</v>
      </c>
      <c r="E3422" s="1323">
        <v>43100</v>
      </c>
      <c r="F3422" s="1324" t="s">
        <v>3010</v>
      </c>
      <c r="G3422" s="1325" t="s">
        <v>1899</v>
      </c>
      <c r="H3422" s="1326" t="s">
        <v>768</v>
      </c>
      <c r="I3422" s="1327"/>
      <c r="J3422" s="1328"/>
      <c r="K3422" s="1327"/>
      <c r="L3422" s="1329"/>
      <c r="M3422" s="1330">
        <v>647323300</v>
      </c>
      <c r="N3422" s="1331" t="s">
        <v>8</v>
      </c>
      <c r="O3422" s="1331" t="s">
        <v>262</v>
      </c>
      <c r="P3422" s="1332" t="str">
        <f>IF(AND('331-CT'!$E$7=TH!H3419,OR(N3422="331",O3422="331")),"x","")</f>
        <v/>
      </c>
      <c r="Q3422" s="1332" t="str">
        <f>IF(AND(B3422='111'!$L$11,OR($N3422=$Q$7,$O3422=$Q$7)),"x","")</f>
        <v/>
      </c>
      <c r="R3422" s="1332" t="str">
        <f>IF(AND($N3422=$Q$7,$B3422&lt;'111'!$L$11),"x","")</f>
        <v/>
      </c>
      <c r="S3422" s="1332" t="str">
        <f>IF(AND($O3422=$Q$7,$B3422&lt;'111'!$L$11),"x","")</f>
        <v/>
      </c>
      <c r="T3422" s="1332" t="str">
        <f>IF(ISERROR(FIND('112'!$M$9,G3422,1)),"",IF((AND(FIND('112'!$M$9,G3422,1)&gt;=1,B3422='112'!$K$9,OR($N3422='112'!$I$6,$O3422='112'!$I$6))),"x",""))</f>
        <v/>
      </c>
      <c r="U3422" s="1332" t="str">
        <f>IF(ISERROR(FIND('112'!$M$9,G3422,1)),"",IF((AND(LEFT(G3422,2)=LEFT('112'!$M$9,2),B3422&lt;'112'!$K$9,$N3422='112'!$I$6)),"x",""))</f>
        <v/>
      </c>
      <c r="V3422" s="1332" t="str">
        <f>IF(ISERROR(FIND('112'!$M$9,G3422,1)),"",IF((AND(RIGHT(G3422,2)=RIGHT('112'!$M$9,2),B3422&lt;'112'!$K$9,$O3422='112'!$I$6)),"x",""))</f>
        <v/>
      </c>
      <c r="W3422" s="1332" t="str">
        <f>IF(AND('341-CT'!$H$9=H3422,OR(LEFT(N3422,3)=$W$7,LEFT(O3422,3)=$W$7)),"x","")</f>
        <v/>
      </c>
      <c r="X3422" s="1332" t="str">
        <f>IF(OR(TH!N3419=TH!$X$7,O3422=TH!$X$7),"x","")</f>
        <v>x</v>
      </c>
      <c r="Y3422" s="1332" t="str">
        <f>IF(AND(OR(N3422="131",O3422="131"),H3422='131-CT'!$H$9),"x","")</f>
        <v/>
      </c>
      <c r="Z3422" s="1332"/>
      <c r="AA3422" s="1332" t="str">
        <f>IF(AND(MONTH(E3422)='IN-NX'!$J$5,'IN-NX'!$D$7=D3422),"x","")</f>
        <v/>
      </c>
      <c r="AB3422" s="1332" t="str">
        <f>IF(AND(OR(LEFT(TH!N3419,2)="15",LEFT(TH!O3419,2)="15"),LEFT(TH!O3419,3)&lt;&gt;"111",'152-CT'!$J$8=TH!F3419),"x","")</f>
        <v/>
      </c>
      <c r="AC3422" s="1332" t="str">
        <f>IF(AND(OR(LEFT(TH!N3419,2)="15",LEFT(TH!O3419,2)="15"),TK!$E$7=TH!F3419),"x","")</f>
        <v/>
      </c>
      <c r="AD3422" s="1332" t="str">
        <f>IF(AND(N3422="1521",MONTH(C3422)='BK-NL'!$M$11),"x","")</f>
        <v/>
      </c>
    </row>
    <row r="3423" spans="1:30" s="1333" customFormat="1" ht="16.5" customHeight="1">
      <c r="A3423" s="309" t="str">
        <f>IF(B3423&lt;&gt;"",IF(AND(B3423='IN-TC'!$S$4,OR(TH!N3423="1111",TH!O3423="1111")),TH!D3423,""),"")</f>
        <v/>
      </c>
      <c r="B3423" s="1322">
        <f t="shared" si="1288"/>
        <v>12</v>
      </c>
      <c r="C3423" s="1323">
        <f t="shared" si="1289"/>
        <v>43100</v>
      </c>
      <c r="D3423" s="1323" t="s">
        <v>3031</v>
      </c>
      <c r="E3423" s="1323">
        <v>43100</v>
      </c>
      <c r="F3423" s="1324" t="s">
        <v>3010</v>
      </c>
      <c r="G3423" s="1325" t="s">
        <v>1899</v>
      </c>
      <c r="H3423" s="1326" t="s">
        <v>769</v>
      </c>
      <c r="I3423" s="1327"/>
      <c r="J3423" s="1328"/>
      <c r="K3423" s="1327"/>
      <c r="L3423" s="1329"/>
      <c r="M3423" s="1330">
        <v>487880000</v>
      </c>
      <c r="N3423" s="1331" t="s">
        <v>8</v>
      </c>
      <c r="O3423" s="1331" t="s">
        <v>262</v>
      </c>
      <c r="P3423" s="1332" t="str">
        <f>IF(AND('331-CT'!$E$7=TH!H3423,OR(N3423="331",O3423="331")),"x","")</f>
        <v/>
      </c>
      <c r="Q3423" s="1332" t="str">
        <f>IF(AND(B3423='111'!$L$11,OR($N3423=$Q$7,$O3423=$Q$7)),"x","")</f>
        <v/>
      </c>
      <c r="R3423" s="1332" t="str">
        <f>IF(AND($N3423=$Q$7,$B3423&lt;'111'!$L$11),"x","")</f>
        <v/>
      </c>
      <c r="S3423" s="1332" t="str">
        <f>IF(AND($O3423=$Q$7,$B3423&lt;'111'!$L$11),"x","")</f>
        <v/>
      </c>
      <c r="T3423" s="1332" t="str">
        <f>IF(ISERROR(FIND('112'!$M$9,G3423,1)),"",IF((AND(FIND('112'!$M$9,G3423,1)&gt;=1,B3423='112'!$K$9,OR($N3423='112'!$I$6,$O3423='112'!$I$6))),"x",""))</f>
        <v/>
      </c>
      <c r="U3423" s="1332" t="str">
        <f>IF(ISERROR(FIND('112'!$M$9,G3423,1)),"",IF((AND(LEFT(G3423,2)=LEFT('112'!$M$9,2),B3423&lt;'112'!$K$9,$N3423='112'!$I$6)),"x",""))</f>
        <v/>
      </c>
      <c r="V3423" s="1332" t="str">
        <f>IF(ISERROR(FIND('112'!$M$9,G3423,1)),"",IF((AND(RIGHT(G3423,2)=RIGHT('112'!$M$9,2),B3423&lt;'112'!$K$9,$O3423='112'!$I$6)),"x",""))</f>
        <v/>
      </c>
      <c r="W3423" s="1332" t="str">
        <f>IF(AND('341-CT'!$H$9=H3423,OR(LEFT(N3423,3)=$W$7,LEFT(O3423,3)=$W$7)),"x","")</f>
        <v/>
      </c>
      <c r="X3423" s="1332" t="str">
        <f>IF(OR(TH!N3423=TH!$X$7,O3423=TH!$X$7),"x","")</f>
        <v>x</v>
      </c>
      <c r="Y3423" s="1332" t="str">
        <f>IF(AND(OR(N3423="131",O3423="131"),H3423='131-CT'!$H$9),"x","")</f>
        <v/>
      </c>
      <c r="Z3423" s="1332"/>
      <c r="AA3423" s="1332" t="str">
        <f>IF(AND(MONTH(E3423)='IN-NX'!$J$5,'IN-NX'!$D$7=D3423),"x","")</f>
        <v/>
      </c>
      <c r="AB3423" s="1332" t="str">
        <f>IF(AND(OR(LEFT(TH!N3423,2)="15",LEFT(TH!O3423,2)="15"),LEFT(TH!O3423,3)&lt;&gt;"111",'152-CT'!$J$8=TH!F3423),"x","")</f>
        <v/>
      </c>
      <c r="AC3423" s="1332" t="str">
        <f>IF(AND(OR(LEFT(TH!N3423,2)="15",LEFT(TH!O3423,2)="15"),TK!$E$7=TH!F3423),"x","")</f>
        <v/>
      </c>
      <c r="AD3423" s="1332" t="str">
        <f>IF(AND(N3423="1521",MONTH(C3423)='BK-NL'!$M$11),"x","")</f>
        <v/>
      </c>
    </row>
    <row r="3424" spans="1:30" s="1333" customFormat="1" ht="16.5" customHeight="1">
      <c r="A3424" s="309" t="str">
        <f>IF(B3424&lt;&gt;"",IF(AND(B3424='IN-TC'!$S$4,OR(TH!N3424="1111",TH!O3424="1111")),TH!D3424,""),"")</f>
        <v/>
      </c>
      <c r="B3424" s="1322">
        <f t="shared" si="1288"/>
        <v>12</v>
      </c>
      <c r="C3424" s="1323">
        <f t="shared" si="1289"/>
        <v>43100</v>
      </c>
      <c r="D3424" s="1323" t="s">
        <v>3031</v>
      </c>
      <c r="E3424" s="1323">
        <v>43100</v>
      </c>
      <c r="F3424" s="1324" t="s">
        <v>3010</v>
      </c>
      <c r="G3424" s="1325" t="s">
        <v>1899</v>
      </c>
      <c r="H3424" s="1326" t="s">
        <v>361</v>
      </c>
      <c r="I3424" s="1327"/>
      <c r="J3424" s="1328"/>
      <c r="K3424" s="1327"/>
      <c r="L3424" s="1329"/>
      <c r="M3424" s="1330">
        <v>561290000</v>
      </c>
      <c r="N3424" s="1331" t="s">
        <v>8</v>
      </c>
      <c r="O3424" s="1331" t="s">
        <v>262</v>
      </c>
      <c r="P3424" s="1332" t="str">
        <f>IF(AND('331-CT'!$E$7=TH!H3386,OR(N3424="331",O3424="331")),"x","")</f>
        <v/>
      </c>
      <c r="Q3424" s="1332" t="str">
        <f>IF(AND(B3424='111'!$L$11,OR($N3424=$Q$7,$O3424=$Q$7)),"x","")</f>
        <v/>
      </c>
      <c r="R3424" s="1332" t="str">
        <f>IF(AND($N3424=$Q$7,$B3424&lt;'111'!$L$11),"x","")</f>
        <v/>
      </c>
      <c r="S3424" s="1332" t="str">
        <f>IF(AND($O3424=$Q$7,$B3424&lt;'111'!$L$11),"x","")</f>
        <v/>
      </c>
      <c r="T3424" s="1332" t="str">
        <f>IF(ISERROR(FIND('112'!$M$9,G3424,1)),"",IF((AND(FIND('112'!$M$9,G3424,1)&gt;=1,B3424='112'!$K$9,OR($N3424='112'!$I$6,$O3424='112'!$I$6))),"x",""))</f>
        <v/>
      </c>
      <c r="U3424" s="1332" t="str">
        <f>IF(ISERROR(FIND('112'!$M$9,G3424,1)),"",IF((AND(LEFT(G3424,2)=LEFT('112'!$M$9,2),B3424&lt;'112'!$K$9,$N3424='112'!$I$6)),"x",""))</f>
        <v/>
      </c>
      <c r="V3424" s="1332" t="str">
        <f>IF(ISERROR(FIND('112'!$M$9,G3424,1)),"",IF((AND(RIGHT(G3424,2)=RIGHT('112'!$M$9,2),B3424&lt;'112'!$K$9,$O3424='112'!$I$6)),"x",""))</f>
        <v/>
      </c>
      <c r="W3424" s="1332" t="str">
        <f>IF(AND('341-CT'!$H$9=H3424,OR(LEFT(N3424,3)=$W$7,LEFT(O3424,3)=$W$7)),"x","")</f>
        <v/>
      </c>
      <c r="X3424" s="1332" t="str">
        <f>IF(OR(TH!N3386=TH!$X$7,O3424=TH!$X$7),"x","")</f>
        <v>x</v>
      </c>
      <c r="Y3424" s="1332" t="str">
        <f>IF(AND(OR(N3424="131",O3424="131"),H3424='131-CT'!$H$9),"x","")</f>
        <v/>
      </c>
      <c r="Z3424" s="1332"/>
      <c r="AA3424" s="1332" t="str">
        <f>IF(AND(MONTH(E3424)='IN-NX'!$J$5,'IN-NX'!$D$7=D3424),"x","")</f>
        <v/>
      </c>
      <c r="AB3424" s="1332" t="str">
        <f>IF(AND(OR(LEFT(TH!N3386,2)="15",LEFT(TH!O3386,2)="15"),LEFT(TH!O3386,3)&lt;&gt;"111",'152-CT'!$J$8=TH!F3386),"x","")</f>
        <v/>
      </c>
      <c r="AC3424" s="1332" t="str">
        <f>IF(AND(OR(LEFT(TH!N3386,2)="15",LEFT(TH!O3386,2)="15"),TK!$E$7=TH!F3386),"x","")</f>
        <v/>
      </c>
      <c r="AD3424" s="1332" t="str">
        <f>IF(AND(N3424="1521",MONTH(C3424)='BK-NL'!$M$11),"x","")</f>
        <v/>
      </c>
    </row>
    <row r="3425" spans="1:33" s="1333" customFormat="1" ht="16.5" customHeight="1">
      <c r="A3425" s="309" t="str">
        <f>IF(B3425&lt;&gt;"",IF(AND(B3425='IN-TC'!$S$4,OR(TH!N3425="1111",TH!O3425="1111")),TH!D3425,""),"")</f>
        <v/>
      </c>
      <c r="B3425" s="1322">
        <f t="shared" si="1288"/>
        <v>12</v>
      </c>
      <c r="C3425" s="1323">
        <f t="shared" si="1289"/>
        <v>43100</v>
      </c>
      <c r="D3425" s="1323" t="s">
        <v>3031</v>
      </c>
      <c r="E3425" s="1323">
        <v>43100</v>
      </c>
      <c r="F3425" s="1324" t="s">
        <v>3010</v>
      </c>
      <c r="G3425" s="1325" t="s">
        <v>1899</v>
      </c>
      <c r="H3425" s="1326" t="s">
        <v>365</v>
      </c>
      <c r="I3425" s="1327"/>
      <c r="J3425" s="1328"/>
      <c r="K3425" s="1327"/>
      <c r="L3425" s="1329"/>
      <c r="M3425" s="1330">
        <v>570244000</v>
      </c>
      <c r="N3425" s="1331" t="s">
        <v>8</v>
      </c>
      <c r="O3425" s="1331" t="s">
        <v>262</v>
      </c>
      <c r="P3425" s="1332" t="str">
        <f>IF(AND('331-CT'!$E$7=TH!H3348,OR(N3425="331",O3425="331")),"x","")</f>
        <v/>
      </c>
      <c r="Q3425" s="1332" t="str">
        <f>IF(AND(B3425='111'!$L$11,OR($N3425=$Q$7,$O3425=$Q$7)),"x","")</f>
        <v/>
      </c>
      <c r="R3425" s="1332" t="str">
        <f>IF(AND($N3425=$Q$7,$B3425&lt;'111'!$L$11),"x","")</f>
        <v/>
      </c>
      <c r="S3425" s="1332" t="str">
        <f>IF(AND($O3425=$Q$7,$B3425&lt;'111'!$L$11),"x","")</f>
        <v/>
      </c>
      <c r="T3425" s="1332" t="str">
        <f>IF(ISERROR(FIND('112'!$M$9,G3425,1)),"",IF((AND(FIND('112'!$M$9,G3425,1)&gt;=1,B3425='112'!$K$9,OR($N3425='112'!$I$6,$O3425='112'!$I$6))),"x",""))</f>
        <v/>
      </c>
      <c r="U3425" s="1332" t="str">
        <f>IF(ISERROR(FIND('112'!$M$9,G3425,1)),"",IF((AND(LEFT(G3425,2)=LEFT('112'!$M$9,2),B3425&lt;'112'!$K$9,$N3425='112'!$I$6)),"x",""))</f>
        <v/>
      </c>
      <c r="V3425" s="1332" t="str">
        <f>IF(ISERROR(FIND('112'!$M$9,G3425,1)),"",IF((AND(RIGHT(G3425,2)=RIGHT('112'!$M$9,2),B3425&lt;'112'!$K$9,$O3425='112'!$I$6)),"x",""))</f>
        <v/>
      </c>
      <c r="W3425" s="1332" t="str">
        <f>IF(AND('341-CT'!$H$9=H3425,OR(LEFT(N3425,3)=$W$7,LEFT(O3425,3)=$W$7)),"x","")</f>
        <v/>
      </c>
      <c r="X3425" s="1332" t="str">
        <f>IF(OR(TH!N3348=TH!$X$7,O3425=TH!$X$7),"x","")</f>
        <v>x</v>
      </c>
      <c r="Y3425" s="1332" t="str">
        <f>IF(AND(OR(N3425="131",O3425="131"),H3425='131-CT'!$H$9),"x","")</f>
        <v/>
      </c>
      <c r="Z3425" s="1332"/>
      <c r="AA3425" s="1332" t="str">
        <f>IF(AND(MONTH(E3425)='IN-NX'!$J$5,'IN-NX'!$D$7=D3425),"x","")</f>
        <v/>
      </c>
      <c r="AB3425" s="1332" t="str">
        <f>IF(AND(OR(LEFT(TH!N3348,2)="15",LEFT(TH!O3348,2)="15"),LEFT(TH!O3348,3)&lt;&gt;"111",'152-CT'!$J$8=TH!F3348),"x","")</f>
        <v/>
      </c>
      <c r="AC3425" s="1332" t="str">
        <f>IF(AND(OR(LEFT(TH!N3348,2)="15",LEFT(TH!O3348,2)="15"),TK!$E$7=TH!F3348),"x","")</f>
        <v/>
      </c>
      <c r="AD3425" s="1332" t="str">
        <f>IF(AND(N3425="1521",MONTH(C3425)='BK-NL'!$M$11),"x","")</f>
        <v/>
      </c>
    </row>
    <row r="3426" spans="1:33" s="1333" customFormat="1" ht="16.5" customHeight="1">
      <c r="A3426" s="309" t="str">
        <f>IF(B3426&lt;&gt;"",IF(AND(B3426='IN-TC'!$S$4,OR(TH!N3426="1111",TH!O3426="1111")),TH!D3426,""),"")</f>
        <v/>
      </c>
      <c r="B3426" s="1322">
        <f t="shared" si="1288"/>
        <v>12</v>
      </c>
      <c r="C3426" s="1323">
        <f t="shared" si="1289"/>
        <v>43100</v>
      </c>
      <c r="D3426" s="1323" t="s">
        <v>3031</v>
      </c>
      <c r="E3426" s="1323">
        <v>43100</v>
      </c>
      <c r="F3426" s="1324" t="s">
        <v>3010</v>
      </c>
      <c r="G3426" s="1325" t="s">
        <v>1899</v>
      </c>
      <c r="H3426" s="1326" t="s">
        <v>366</v>
      </c>
      <c r="I3426" s="1327"/>
      <c r="J3426" s="1328"/>
      <c r="K3426" s="1327"/>
      <c r="L3426" s="1329"/>
      <c r="M3426" s="1330">
        <v>819180000</v>
      </c>
      <c r="N3426" s="1331" t="s">
        <v>8</v>
      </c>
      <c r="O3426" s="1331" t="s">
        <v>262</v>
      </c>
      <c r="P3426" s="1332" t="str">
        <f>IF(AND('331-CT'!$E$7=TH!H3377,OR(N3426="331",O3426="331")),"x","")</f>
        <v/>
      </c>
      <c r="Q3426" s="1332" t="str">
        <f>IF(AND(B3426='111'!$L$11,OR($N3426=$Q$7,$O3426=$Q$7)),"x","")</f>
        <v/>
      </c>
      <c r="R3426" s="1332" t="str">
        <f>IF(AND($N3426=$Q$7,$B3426&lt;'111'!$L$11),"x","")</f>
        <v/>
      </c>
      <c r="S3426" s="1332" t="str">
        <f>IF(AND($O3426=$Q$7,$B3426&lt;'111'!$L$11),"x","")</f>
        <v/>
      </c>
      <c r="T3426" s="1332" t="str">
        <f>IF(ISERROR(FIND('112'!$M$9,G3426,1)),"",IF((AND(FIND('112'!$M$9,G3426,1)&gt;=1,B3426='112'!$K$9,OR($N3426='112'!$I$6,$O3426='112'!$I$6))),"x",""))</f>
        <v/>
      </c>
      <c r="U3426" s="1332" t="str">
        <f>IF(ISERROR(FIND('112'!$M$9,G3426,1)),"",IF((AND(LEFT(G3426,2)=LEFT('112'!$M$9,2),B3426&lt;'112'!$K$9,$N3426='112'!$I$6)),"x",""))</f>
        <v/>
      </c>
      <c r="V3426" s="1332" t="str">
        <f>IF(ISERROR(FIND('112'!$M$9,G3426,1)),"",IF((AND(RIGHT(G3426,2)=RIGHT('112'!$M$9,2),B3426&lt;'112'!$K$9,$O3426='112'!$I$6)),"x",""))</f>
        <v/>
      </c>
      <c r="W3426" s="1332" t="str">
        <f>IF(AND('341-CT'!$H$9=H3426,OR(LEFT(N3426,3)=$W$7,LEFT(O3426,3)=$W$7)),"x","")</f>
        <v/>
      </c>
      <c r="X3426" s="1332" t="str">
        <f>IF(OR(TH!N3377=TH!$X$7,O3426=TH!$X$7),"x","")</f>
        <v>x</v>
      </c>
      <c r="Y3426" s="1332" t="str">
        <f>IF(AND(OR(N3426="131",O3426="131"),H3426='131-CT'!$H$9),"x","")</f>
        <v/>
      </c>
      <c r="Z3426" s="1332"/>
      <c r="AA3426" s="1332" t="str">
        <f>IF(AND(MONTH(E3426)='IN-NX'!$J$5,'IN-NX'!$D$7=D3426),"x","")</f>
        <v/>
      </c>
      <c r="AB3426" s="1332" t="str">
        <f>IF(AND(OR(LEFT(TH!N3377,2)="15",LEFT(TH!O3377,2)="15"),LEFT(TH!O3377,3)&lt;&gt;"111",'152-CT'!$J$8=TH!F3377),"x","")</f>
        <v/>
      </c>
      <c r="AC3426" s="1332" t="str">
        <f>IF(AND(OR(LEFT(TH!N3377,2)="15",LEFT(TH!O3377,2)="15"),TK!$E$7=TH!F3377),"x","")</f>
        <v/>
      </c>
      <c r="AD3426" s="1332" t="str">
        <f>IF(AND(N3426="1521",MONTH(C3426)='BK-NL'!$M$11),"x","")</f>
        <v/>
      </c>
    </row>
    <row r="3427" spans="1:33" ht="16.5" customHeight="1">
      <c r="A3427" s="309" t="str">
        <f>IF(B3427&lt;&gt;"",IF(AND(B3427='IN-TC'!$S$4,OR(TH!N3427="1111",TH!O3427="1111")),TH!D3427,""),"")</f>
        <v/>
      </c>
      <c r="B3427" s="1058">
        <f t="shared" si="1288"/>
        <v>1</v>
      </c>
      <c r="C3427" s="292">
        <f t="shared" si="1289"/>
        <v>42738</v>
      </c>
      <c r="D3427" s="292" t="s">
        <v>1915</v>
      </c>
      <c r="E3427" s="292">
        <v>42738</v>
      </c>
      <c r="F3427" s="67" t="s">
        <v>1165</v>
      </c>
      <c r="G3427" s="925" t="s">
        <v>1144</v>
      </c>
      <c r="H3427" s="294" t="s">
        <v>796</v>
      </c>
      <c r="I3427" s="373"/>
      <c r="J3427" s="926"/>
      <c r="K3427" s="373"/>
      <c r="L3427" s="379"/>
      <c r="M3427" s="927">
        <v>18943100</v>
      </c>
      <c r="N3427" s="295" t="s">
        <v>8</v>
      </c>
      <c r="O3427" s="295" t="s">
        <v>63</v>
      </c>
      <c r="P3427" s="75" t="str">
        <f>IF(AND('331-CT'!$E$7=TH!H3719,OR(N3427="331",O3427="331")),"x","")</f>
        <v/>
      </c>
      <c r="Q3427" s="75" t="str">
        <f>IF(AND(B3427='111'!$L$11,OR($N3427=$Q$7,$O3427=$Q$7)),"x","")</f>
        <v/>
      </c>
      <c r="R3427" s="75" t="str">
        <f>IF(AND($N3427=$Q$7,$B3427&lt;'111'!$L$11),"x","")</f>
        <v/>
      </c>
      <c r="S3427" s="75" t="str">
        <f>IF(AND($O3427=$Q$7,$B3427&lt;'111'!$L$11),"x","")</f>
        <v>x</v>
      </c>
      <c r="T3427" s="75" t="str">
        <f>IF(ISERROR(FIND('112'!$M$9,G3427,1)),"",IF((AND(FIND('112'!$M$9,G3427,1)&gt;=1,B3427='112'!$K$9,OR($N3427='112'!$I$6,$O3427='112'!$I$6))),"x",""))</f>
        <v/>
      </c>
      <c r="U3427" s="75" t="str">
        <f>IF(ISERROR(FIND('112'!$M$9,G3427,1)),"",IF((AND(LEFT(G3427,2)=LEFT('112'!$M$9,2),B3427&lt;'112'!$K$9,$N3427='112'!$I$6)),"x",""))</f>
        <v/>
      </c>
      <c r="V3427" s="75" t="str">
        <f>IF(ISERROR(FIND('112'!$M$9,G3427,1)),"",IF((AND(RIGHT(G3427,2)=RIGHT('112'!$M$9,2),B3427&lt;'112'!$K$9,$O3427='112'!$I$6)),"x",""))</f>
        <v/>
      </c>
      <c r="W3427" s="75" t="str">
        <f>IF(AND('341-CT'!$H$9=H3427,OR(LEFT(N3427,3)=$W$7,LEFT(O3427,3)=$W$7)),"x","")</f>
        <v/>
      </c>
      <c r="X3427" s="75" t="str">
        <f>IF(OR(TH!N3719=TH!$X$7,O3427=TH!$X$7),"x","")</f>
        <v/>
      </c>
      <c r="Y3427" s="75" t="str">
        <f>IF(AND(OR(N3427="131",O3427="131"),H3427='131-CT'!$H$9),"x","")</f>
        <v/>
      </c>
      <c r="Z3427" s="75"/>
      <c r="AA3427" s="75" t="str">
        <f>IF(AND(MONTH(E3427)='IN-NX'!$J$5,'IN-NX'!$D$7=D3427),"x","")</f>
        <v/>
      </c>
      <c r="AB3427" s="75" t="str">
        <f>IF(AND(OR(LEFT(TH!N3719,2)="15",LEFT(TH!O3719,2)="15"),LEFT(TH!O3719,3)&lt;&gt;"111",'152-CT'!$J$8=TH!F3719),"x","")</f>
        <v/>
      </c>
      <c r="AC3427" s="75" t="str">
        <f>IF(AND(OR(LEFT(TH!N3719,2)="15",LEFT(TH!O3719,2)="15"),TK!$E$7=TH!F3719),"x","")</f>
        <v/>
      </c>
      <c r="AD3427" s="75" t="str">
        <f>IF(AND(N3427="1521",MONTH(C3427)='BK-NL'!$M$11),"x","")</f>
        <v/>
      </c>
      <c r="AE3427" s="1053"/>
      <c r="AF3427" s="1053"/>
      <c r="AG3427" s="1053"/>
    </row>
    <row r="3428" spans="1:33" ht="16.5" customHeight="1">
      <c r="A3428" s="309" t="str">
        <f>IF(B3428&lt;&gt;"",IF(AND(B3428='IN-TC'!$S$4,OR(TH!N3428="1111",TH!O3428="1111")),TH!D3428,""),"")</f>
        <v/>
      </c>
      <c r="B3428" s="1058">
        <f t="shared" si="1288"/>
        <v>1</v>
      </c>
      <c r="C3428" s="292">
        <v>42738</v>
      </c>
      <c r="D3428" s="292" t="s">
        <v>1916</v>
      </c>
      <c r="E3428" s="292">
        <v>42734</v>
      </c>
      <c r="F3428" s="293" t="s">
        <v>877</v>
      </c>
      <c r="G3428" s="925" t="s">
        <v>879</v>
      </c>
      <c r="H3428" s="67" t="s">
        <v>880</v>
      </c>
      <c r="I3428" s="373"/>
      <c r="J3428" s="926"/>
      <c r="K3428" s="373"/>
      <c r="L3428" s="379"/>
      <c r="M3428" s="927">
        <v>860000</v>
      </c>
      <c r="N3428" s="295" t="s">
        <v>101</v>
      </c>
      <c r="O3428" s="295" t="s">
        <v>63</v>
      </c>
      <c r="P3428" s="75" t="str">
        <f>IF(AND('331-CT'!$E$7=TH!H4030,OR(N3428="331",O3428="331")),"x","")</f>
        <v/>
      </c>
      <c r="Q3428" s="75" t="str">
        <f>IF(AND(B3428='111'!$L$11,OR($N3428=$Q$7,$O3428=$Q$7)),"x","")</f>
        <v/>
      </c>
      <c r="R3428" s="75" t="str">
        <f>IF(AND($N3428=$Q$7,$B3428&lt;'111'!$L$11),"x","")</f>
        <v/>
      </c>
      <c r="S3428" s="75" t="str">
        <f>IF(AND($O3428=$Q$7,$B3428&lt;'111'!$L$11),"x","")</f>
        <v>x</v>
      </c>
      <c r="T3428" s="75" t="str">
        <f>IF(ISERROR(FIND('112'!$M$9,G3428,1)),"",IF((AND(FIND('112'!$M$9,G3428,1)&gt;=1,B3428='112'!$K$9,OR($N3428='112'!$I$6,$O3428='112'!$I$6))),"x",""))</f>
        <v/>
      </c>
      <c r="U3428" s="75" t="str">
        <f>IF(ISERROR(FIND('112'!$M$9,G3428,1)),"",IF((AND(LEFT(G3428,2)=LEFT('112'!$M$9,2),B3428&lt;'112'!$K$9,$N3428='112'!$I$6)),"x",""))</f>
        <v/>
      </c>
      <c r="V3428" s="75" t="str">
        <f>IF(ISERROR(FIND('112'!$M$9,G3428,1)),"",IF((AND(RIGHT(G3428,2)=RIGHT('112'!$M$9,2),B3428&lt;'112'!$K$9,$O3428='112'!$I$6)),"x",""))</f>
        <v/>
      </c>
      <c r="W3428" s="75" t="str">
        <f>IF(AND('341-CT'!$H$9=H3428,OR(LEFT(N3428,3)=$W$7,LEFT(O3428,3)=$W$7)),"x","")</f>
        <v/>
      </c>
      <c r="X3428" s="75" t="str">
        <f>IF(OR(TH!N4030=TH!$X$7,O3428=TH!$X$7),"x","")</f>
        <v/>
      </c>
      <c r="Y3428" s="75" t="str">
        <f>IF(AND(OR(N3428="131",O3428="131"),H3428='131-CT'!$H$9),"x","")</f>
        <v/>
      </c>
      <c r="Z3428" s="75"/>
      <c r="AA3428" s="75" t="str">
        <f>IF(AND(MONTH(E3428)='IN-NX'!$J$5,'IN-NX'!$D$7=D3428),"x","")</f>
        <v/>
      </c>
      <c r="AB3428" s="75" t="str">
        <f>IF(AND(OR(LEFT(TH!N4030,2)="15",LEFT(TH!O4030,2)="15"),LEFT(TH!O4030,3)&lt;&gt;"111",'152-CT'!$J$8=TH!F4030),"x","")</f>
        <v/>
      </c>
      <c r="AC3428" s="75" t="str">
        <f>IF(AND(OR(LEFT(TH!N4030,2)="15",LEFT(TH!O4030,2)="15"),TK!$E$7=TH!F4030),"x","")</f>
        <v/>
      </c>
      <c r="AD3428" s="75" t="str">
        <f>IF(AND(N3428="1521",MONTH(C3428)='BK-NL'!$M$11),"x","")</f>
        <v/>
      </c>
      <c r="AE3428" s="1053"/>
      <c r="AF3428" s="1053"/>
      <c r="AG3428" s="1053"/>
    </row>
    <row r="3429" spans="1:33" ht="16.5" customHeight="1">
      <c r="A3429" s="309" t="str">
        <f>IF(B3429&lt;&gt;"",IF(AND(B3429='IN-TC'!$S$4,OR(TH!N3429="1111",TH!O3429="1111")),TH!D3429,""),"")</f>
        <v/>
      </c>
      <c r="B3429" s="1058">
        <f t="shared" si="1288"/>
        <v>1</v>
      </c>
      <c r="C3429" s="292">
        <v>42738</v>
      </c>
      <c r="D3429" s="292" t="s">
        <v>1916</v>
      </c>
      <c r="E3429" s="292">
        <v>42734</v>
      </c>
      <c r="F3429" s="293" t="s">
        <v>878</v>
      </c>
      <c r="G3429" s="925" t="s">
        <v>879</v>
      </c>
      <c r="H3429" s="67" t="s">
        <v>880</v>
      </c>
      <c r="I3429" s="373"/>
      <c r="J3429" s="926"/>
      <c r="K3429" s="373"/>
      <c r="L3429" s="379"/>
      <c r="M3429" s="927">
        <v>86000</v>
      </c>
      <c r="N3429" s="295" t="s">
        <v>9</v>
      </c>
      <c r="O3429" s="295" t="s">
        <v>63</v>
      </c>
      <c r="P3429" s="75" t="e">
        <f>IF(AND('331-CT'!$E$7=TH!#REF!,OR(N3429="331",O3429="331")),"x","")</f>
        <v>#REF!</v>
      </c>
      <c r="Q3429" s="75" t="str">
        <f>IF(AND(B3429='111'!$L$11,OR($N3429=$Q$7,$O3429=$Q$7)),"x","")</f>
        <v/>
      </c>
      <c r="R3429" s="75" t="str">
        <f>IF(AND($N3429=$Q$7,$B3429&lt;'111'!$L$11),"x","")</f>
        <v/>
      </c>
      <c r="S3429" s="75" t="str">
        <f>IF(AND($O3429=$Q$7,$B3429&lt;'111'!$L$11),"x","")</f>
        <v>x</v>
      </c>
      <c r="T3429" s="75" t="str">
        <f>IF(ISERROR(FIND('112'!$M$9,G3429,1)),"",IF((AND(FIND('112'!$M$9,G3429,1)&gt;=1,B3429='112'!$K$9,OR($N3429='112'!$I$6,$O3429='112'!$I$6))),"x",""))</f>
        <v/>
      </c>
      <c r="U3429" s="75" t="str">
        <f>IF(ISERROR(FIND('112'!$M$9,G3429,1)),"",IF((AND(LEFT(G3429,2)=LEFT('112'!$M$9,2),B3429&lt;'112'!$K$9,$N3429='112'!$I$6)),"x",""))</f>
        <v/>
      </c>
      <c r="V3429" s="75" t="str">
        <f>IF(ISERROR(FIND('112'!$M$9,G3429,1)),"",IF((AND(RIGHT(G3429,2)=RIGHT('112'!$M$9,2),B3429&lt;'112'!$K$9,$O3429='112'!$I$6)),"x",""))</f>
        <v/>
      </c>
      <c r="W3429" s="75" t="str">
        <f>IF(AND('341-CT'!$H$9=H3429,OR(LEFT(N3429,3)=$W$7,LEFT(O3429,3)=$W$7)),"x","")</f>
        <v/>
      </c>
      <c r="X3429" s="75" t="e">
        <f>IF(OR(TH!#REF!=TH!$X$7,O3429=TH!$X$7),"x","")</f>
        <v>#REF!</v>
      </c>
      <c r="Y3429" s="75" t="str">
        <f>IF(AND(OR(N3429="131",O3429="131"),H3429='131-CT'!$H$9),"x","")</f>
        <v/>
      </c>
      <c r="Z3429" s="75"/>
      <c r="AA3429" s="75" t="str">
        <f>IF(AND(MONTH(E3429)='IN-NX'!$J$5,'IN-NX'!$D$7=D3429),"x","")</f>
        <v/>
      </c>
      <c r="AB3429" s="75" t="e">
        <f>IF(AND(OR(LEFT(TH!#REF!,2)="15",LEFT(TH!#REF!,2)="15"),LEFT(TH!#REF!,3)&lt;&gt;"111",'152-CT'!$J$8=TH!#REF!),"x","")</f>
        <v>#REF!</v>
      </c>
      <c r="AC3429" s="75" t="e">
        <f>IF(AND(OR(LEFT(TH!#REF!,2)="15",LEFT(TH!#REF!,2)="15"),TK!$E$7=TH!#REF!),"x","")</f>
        <v>#REF!</v>
      </c>
      <c r="AD3429" s="75" t="str">
        <f>IF(AND(N3429="1521",MONTH(C3429)='BK-NL'!$M$11),"x","")</f>
        <v/>
      </c>
      <c r="AE3429" s="1053"/>
      <c r="AF3429" s="1053"/>
      <c r="AG3429" s="1053"/>
    </row>
    <row r="3430" spans="1:33" ht="16.5" customHeight="1">
      <c r="A3430" s="309" t="str">
        <f>IF(B3430&lt;&gt;"",IF(AND(B3430='IN-TC'!$S$4,OR(TH!N3430="1111",TH!O3430="1111")),TH!D3430,""),"")</f>
        <v/>
      </c>
      <c r="B3430" s="1058">
        <f t="shared" si="1288"/>
        <v>1</v>
      </c>
      <c r="C3430" s="292">
        <v>42738</v>
      </c>
      <c r="D3430" s="292" t="s">
        <v>1917</v>
      </c>
      <c r="E3430" s="292">
        <v>42732</v>
      </c>
      <c r="F3430" s="293" t="s">
        <v>881</v>
      </c>
      <c r="G3430" s="925" t="s">
        <v>883</v>
      </c>
      <c r="H3430" s="67" t="s">
        <v>884</v>
      </c>
      <c r="I3430" s="373"/>
      <c r="J3430" s="926"/>
      <c r="K3430" s="373"/>
      <c r="L3430" s="379"/>
      <c r="M3430" s="927">
        <v>1600000</v>
      </c>
      <c r="N3430" s="295" t="s">
        <v>101</v>
      </c>
      <c r="O3430" s="295" t="s">
        <v>63</v>
      </c>
      <c r="P3430" s="75" t="e">
        <f>IF(AND('331-CT'!$E$7=TH!#REF!,OR(N3430="331",O3430="331")),"x","")</f>
        <v>#REF!</v>
      </c>
      <c r="Q3430" s="75" t="str">
        <f>IF(AND(B3430='111'!$L$11,OR($N3430=$Q$7,$O3430=$Q$7)),"x","")</f>
        <v/>
      </c>
      <c r="R3430" s="75" t="str">
        <f>IF(AND($N3430=$Q$7,$B3430&lt;'111'!$L$11),"x","")</f>
        <v/>
      </c>
      <c r="S3430" s="75" t="str">
        <f>IF(AND($O3430=$Q$7,$B3430&lt;'111'!$L$11),"x","")</f>
        <v>x</v>
      </c>
      <c r="T3430" s="75" t="str">
        <f>IF(ISERROR(FIND('112'!$M$9,G3430,1)),"",IF((AND(FIND('112'!$M$9,G3430,1)&gt;=1,B3430='112'!$K$9,OR($N3430='112'!$I$6,$O3430='112'!$I$6))),"x",""))</f>
        <v/>
      </c>
      <c r="U3430" s="75" t="str">
        <f>IF(ISERROR(FIND('112'!$M$9,G3430,1)),"",IF((AND(LEFT(G3430,2)=LEFT('112'!$M$9,2),B3430&lt;'112'!$K$9,$N3430='112'!$I$6)),"x",""))</f>
        <v/>
      </c>
      <c r="V3430" s="75" t="str">
        <f>IF(ISERROR(FIND('112'!$M$9,G3430,1)),"",IF((AND(RIGHT(G3430,2)=RIGHT('112'!$M$9,2),B3430&lt;'112'!$K$9,$O3430='112'!$I$6)),"x",""))</f>
        <v/>
      </c>
      <c r="W3430" s="75" t="str">
        <f>IF(AND('341-CT'!$H$9=H3430,OR(LEFT(N3430,3)=$W$7,LEFT(O3430,3)=$W$7)),"x","")</f>
        <v/>
      </c>
      <c r="X3430" s="75" t="e">
        <f>IF(OR(TH!#REF!=TH!$X$7,O3430=TH!$X$7),"x","")</f>
        <v>#REF!</v>
      </c>
      <c r="Y3430" s="75" t="str">
        <f>IF(AND(OR(N3430="131",O3430="131"),H3430='131-CT'!$H$9),"x","")</f>
        <v/>
      </c>
      <c r="Z3430" s="75"/>
      <c r="AA3430" s="75" t="str">
        <f>IF(AND(MONTH(E3430)='IN-NX'!$J$5,'IN-NX'!$D$7=D3430),"x","")</f>
        <v/>
      </c>
      <c r="AB3430" s="75" t="e">
        <f>IF(AND(OR(LEFT(TH!#REF!,2)="15",LEFT(TH!#REF!,2)="15"),LEFT(TH!#REF!,3)&lt;&gt;"111",'152-CT'!$J$8=TH!#REF!),"x","")</f>
        <v>#REF!</v>
      </c>
      <c r="AC3430" s="75" t="e">
        <f>IF(AND(OR(LEFT(TH!#REF!,2)="15",LEFT(TH!#REF!,2)="15"),TK!$E$7=TH!#REF!),"x","")</f>
        <v>#REF!</v>
      </c>
      <c r="AD3430" s="75" t="str">
        <f>IF(AND(N3430="1521",MONTH(C3430)='BK-NL'!$M$11),"x","")</f>
        <v/>
      </c>
      <c r="AE3430" s="1053"/>
      <c r="AF3430" s="1053"/>
      <c r="AG3430" s="1053"/>
    </row>
    <row r="3431" spans="1:33" ht="16.5" customHeight="1">
      <c r="A3431" s="309" t="str">
        <f>IF(B3431&lt;&gt;"",IF(AND(B3431='IN-TC'!$S$4,OR(TH!N3431="1111",TH!O3431="1111")),TH!D3431,""),"")</f>
        <v/>
      </c>
      <c r="B3431" s="1058">
        <f t="shared" si="1288"/>
        <v>1</v>
      </c>
      <c r="C3431" s="292">
        <v>42738</v>
      </c>
      <c r="D3431" s="292" t="s">
        <v>1917</v>
      </c>
      <c r="E3431" s="292">
        <v>42732</v>
      </c>
      <c r="F3431" s="293" t="s">
        <v>882</v>
      </c>
      <c r="G3431" s="925" t="s">
        <v>883</v>
      </c>
      <c r="H3431" s="67" t="s">
        <v>884</v>
      </c>
      <c r="I3431" s="373"/>
      <c r="J3431" s="926"/>
      <c r="K3431" s="373"/>
      <c r="L3431" s="379"/>
      <c r="M3431" s="927">
        <v>80000</v>
      </c>
      <c r="N3431" s="295" t="s">
        <v>9</v>
      </c>
      <c r="O3431" s="295" t="s">
        <v>63</v>
      </c>
      <c r="P3431" s="75" t="e">
        <f>IF(AND('331-CT'!$E$7=TH!#REF!,OR(N3431="331",O3431="331")),"x","")</f>
        <v>#REF!</v>
      </c>
      <c r="Q3431" s="75" t="str">
        <f>IF(AND(B3431='111'!$L$11,OR($N3431=$Q$7,$O3431=$Q$7)),"x","")</f>
        <v/>
      </c>
      <c r="R3431" s="75" t="str">
        <f>IF(AND($N3431=$Q$7,$B3431&lt;'111'!$L$11),"x","")</f>
        <v/>
      </c>
      <c r="S3431" s="75" t="str">
        <f>IF(AND($O3431=$Q$7,$B3431&lt;'111'!$L$11),"x","")</f>
        <v>x</v>
      </c>
      <c r="T3431" s="75" t="str">
        <f>IF(ISERROR(FIND('112'!$M$9,G3431,1)),"",IF((AND(FIND('112'!$M$9,G3431,1)&gt;=1,B3431='112'!$K$9,OR($N3431='112'!$I$6,$O3431='112'!$I$6))),"x",""))</f>
        <v/>
      </c>
      <c r="U3431" s="75" t="str">
        <f>IF(ISERROR(FIND('112'!$M$9,G3431,1)),"",IF((AND(LEFT(G3431,2)=LEFT('112'!$M$9,2),B3431&lt;'112'!$K$9,$N3431='112'!$I$6)),"x",""))</f>
        <v/>
      </c>
      <c r="V3431" s="75" t="str">
        <f>IF(ISERROR(FIND('112'!$M$9,G3431,1)),"",IF((AND(RIGHT(G3431,2)=RIGHT('112'!$M$9,2),B3431&lt;'112'!$K$9,$O3431='112'!$I$6)),"x",""))</f>
        <v/>
      </c>
      <c r="W3431" s="75" t="str">
        <f>IF(AND('341-CT'!$H$9=H3431,OR(LEFT(N3431,3)=$W$7,LEFT(O3431,3)=$W$7)),"x","")</f>
        <v/>
      </c>
      <c r="X3431" s="75" t="e">
        <f>IF(OR(TH!#REF!=TH!$X$7,O3431=TH!$X$7),"x","")</f>
        <v>#REF!</v>
      </c>
      <c r="Y3431" s="75" t="str">
        <f>IF(AND(OR(N3431="131",O3431="131"),H3431='131-CT'!$H$9),"x","")</f>
        <v/>
      </c>
      <c r="Z3431" s="75"/>
      <c r="AA3431" s="75" t="str">
        <f>IF(AND(MONTH(E3431)='IN-NX'!$J$5,'IN-NX'!$D$7=D3431),"x","")</f>
        <v/>
      </c>
      <c r="AB3431" s="75" t="e">
        <f>IF(AND(OR(LEFT(TH!#REF!,2)="15",LEFT(TH!#REF!,2)="15"),LEFT(TH!#REF!,3)&lt;&gt;"111",'152-CT'!$J$8=TH!#REF!),"x","")</f>
        <v>#REF!</v>
      </c>
      <c r="AC3431" s="75" t="e">
        <f>IF(AND(OR(LEFT(TH!#REF!,2)="15",LEFT(TH!#REF!,2)="15"),TK!$E$7=TH!#REF!),"x","")</f>
        <v>#REF!</v>
      </c>
      <c r="AD3431" s="75" t="str">
        <f>IF(AND(N3431="1521",MONTH(C3431)='BK-NL'!$M$11),"x","")</f>
        <v/>
      </c>
      <c r="AE3431" s="1053"/>
      <c r="AF3431" s="1053"/>
      <c r="AG3431" s="1053"/>
    </row>
    <row r="3432" spans="1:33" ht="16.5" customHeight="1">
      <c r="A3432" s="309" t="str">
        <f>IF(B3432&lt;&gt;"",IF(AND(B3432='IN-TC'!$S$4,OR(TH!N3432="1111",TH!O3432="1111")),TH!D3432,""),"")</f>
        <v/>
      </c>
      <c r="B3432" s="1058">
        <f t="shared" si="1288"/>
        <v>1</v>
      </c>
      <c r="C3432" s="292">
        <f t="shared" ref="C3432:C3463" si="1290">E3432</f>
        <v>42738</v>
      </c>
      <c r="D3432" s="292" t="s">
        <v>1919</v>
      </c>
      <c r="E3432" s="292">
        <v>42738</v>
      </c>
      <c r="F3432" s="293" t="s">
        <v>886</v>
      </c>
      <c r="G3432" s="925" t="s">
        <v>888</v>
      </c>
      <c r="H3432" s="67" t="s">
        <v>889</v>
      </c>
      <c r="I3432" s="373"/>
      <c r="J3432" s="926"/>
      <c r="K3432" s="373"/>
      <c r="L3432" s="379"/>
      <c r="M3432" s="927">
        <v>6282727</v>
      </c>
      <c r="N3432" s="295" t="s">
        <v>101</v>
      </c>
      <c r="O3432" s="295" t="s">
        <v>63</v>
      </c>
      <c r="P3432" s="75" t="e">
        <f>IF(AND('331-CT'!$E$7=TH!#REF!,OR(N3432="331",O3432="331")),"x","")</f>
        <v>#REF!</v>
      </c>
      <c r="Q3432" s="75" t="str">
        <f>IF(AND(B3432='111'!$L$11,OR($N3432=$Q$7,$O3432=$Q$7)),"x","")</f>
        <v/>
      </c>
      <c r="R3432" s="75" t="str">
        <f>IF(AND($N3432=$Q$7,$B3432&lt;'111'!$L$11),"x","")</f>
        <v/>
      </c>
      <c r="S3432" s="75" t="str">
        <f>IF(AND($O3432=$Q$7,$B3432&lt;'111'!$L$11),"x","")</f>
        <v>x</v>
      </c>
      <c r="T3432" s="75" t="str">
        <f>IF(ISERROR(FIND('112'!$M$9,G3432,1)),"",IF((AND(FIND('112'!$M$9,G3432,1)&gt;=1,B3432='112'!$K$9,OR($N3432='112'!$I$6,$O3432='112'!$I$6))),"x",""))</f>
        <v/>
      </c>
      <c r="U3432" s="75" t="str">
        <f>IF(ISERROR(FIND('112'!$M$9,G3432,1)),"",IF((AND(LEFT(G3432,2)=LEFT('112'!$M$9,2),B3432&lt;'112'!$K$9,$N3432='112'!$I$6)),"x",""))</f>
        <v/>
      </c>
      <c r="V3432" s="75" t="str">
        <f>IF(ISERROR(FIND('112'!$M$9,G3432,1)),"",IF((AND(RIGHT(G3432,2)=RIGHT('112'!$M$9,2),B3432&lt;'112'!$K$9,$O3432='112'!$I$6)),"x",""))</f>
        <v/>
      </c>
      <c r="W3432" s="75" t="str">
        <f>IF(AND('341-CT'!$H$9=H3432,OR(LEFT(N3432,3)=$W$7,LEFT(O3432,3)=$W$7)),"x","")</f>
        <v/>
      </c>
      <c r="X3432" s="75" t="e">
        <f>IF(OR(TH!#REF!=TH!$X$7,O3432=TH!$X$7),"x","")</f>
        <v>#REF!</v>
      </c>
      <c r="Y3432" s="75" t="str">
        <f>IF(AND(OR(N3432="131",O3432="131"),H3432='131-CT'!$H$9),"x","")</f>
        <v/>
      </c>
      <c r="Z3432" s="75"/>
      <c r="AA3432" s="75" t="str">
        <f>IF(AND(MONTH(E3432)='IN-NX'!$J$5,'IN-NX'!$D$7=D3432),"x","")</f>
        <v/>
      </c>
      <c r="AB3432" s="75" t="e">
        <f>IF(AND(OR(LEFT(TH!#REF!,2)="15",LEFT(TH!#REF!,2)="15"),LEFT(TH!#REF!,3)&lt;&gt;"111",'152-CT'!$J$8=TH!#REF!),"x","")</f>
        <v>#REF!</v>
      </c>
      <c r="AC3432" s="75" t="e">
        <f>IF(AND(OR(LEFT(TH!#REF!,2)="15",LEFT(TH!#REF!,2)="15"),TK!$E$7=TH!#REF!),"x","")</f>
        <v>#REF!</v>
      </c>
      <c r="AD3432" s="75" t="str">
        <f>IF(AND(N3432="1521",MONTH(C3432)='BK-NL'!$M$11),"x","")</f>
        <v/>
      </c>
      <c r="AE3432" s="1053"/>
      <c r="AF3432" s="1053"/>
      <c r="AG3432" s="1053"/>
    </row>
    <row r="3433" spans="1:33" ht="16.5" customHeight="1">
      <c r="A3433" s="309" t="str">
        <f>IF(B3433&lt;&gt;"",IF(AND(B3433='IN-TC'!$S$4,OR(TH!N3433="1111",TH!O3433="1111")),TH!D3433,""),"")</f>
        <v/>
      </c>
      <c r="B3433" s="1058">
        <f t="shared" si="1288"/>
        <v>1</v>
      </c>
      <c r="C3433" s="292">
        <f t="shared" si="1290"/>
        <v>42738</v>
      </c>
      <c r="D3433" s="292" t="s">
        <v>1919</v>
      </c>
      <c r="E3433" s="292">
        <v>42738</v>
      </c>
      <c r="F3433" s="293" t="s">
        <v>887</v>
      </c>
      <c r="G3433" s="925" t="s">
        <v>888</v>
      </c>
      <c r="H3433" s="67" t="s">
        <v>889</v>
      </c>
      <c r="I3433" s="373"/>
      <c r="J3433" s="926"/>
      <c r="K3433" s="373"/>
      <c r="L3433" s="379"/>
      <c r="M3433" s="927">
        <v>628273</v>
      </c>
      <c r="N3433" s="295" t="s">
        <v>9</v>
      </c>
      <c r="O3433" s="295" t="s">
        <v>63</v>
      </c>
      <c r="P3433" s="75" t="str">
        <f>IF(AND('331-CT'!$E$7=TH!H3720,OR(N3433="331",O3433="331")),"x","")</f>
        <v/>
      </c>
      <c r="Q3433" s="75" t="str">
        <f>IF(AND(B3433='111'!$L$11,OR($N3433=$Q$7,$O3433=$Q$7)),"x","")</f>
        <v/>
      </c>
      <c r="R3433" s="75" t="str">
        <f>IF(AND($N3433=$Q$7,$B3433&lt;'111'!$L$11),"x","")</f>
        <v/>
      </c>
      <c r="S3433" s="75" t="str">
        <f>IF(AND($O3433=$Q$7,$B3433&lt;'111'!$L$11),"x","")</f>
        <v>x</v>
      </c>
      <c r="T3433" s="75" t="str">
        <f>IF(ISERROR(FIND('112'!$M$9,G3433,1)),"",IF((AND(FIND('112'!$M$9,G3433,1)&gt;=1,B3433='112'!$K$9,OR($N3433='112'!$I$6,$O3433='112'!$I$6))),"x",""))</f>
        <v/>
      </c>
      <c r="U3433" s="75" t="str">
        <f>IF(ISERROR(FIND('112'!$M$9,G3433,1)),"",IF((AND(LEFT(G3433,2)=LEFT('112'!$M$9,2),B3433&lt;'112'!$K$9,$N3433='112'!$I$6)),"x",""))</f>
        <v/>
      </c>
      <c r="V3433" s="75" t="str">
        <f>IF(ISERROR(FIND('112'!$M$9,G3433,1)),"",IF((AND(RIGHT(G3433,2)=RIGHT('112'!$M$9,2),B3433&lt;'112'!$K$9,$O3433='112'!$I$6)),"x",""))</f>
        <v/>
      </c>
      <c r="W3433" s="75" t="str">
        <f>IF(AND('341-CT'!$H$9=H3433,OR(LEFT(N3433,3)=$W$7,LEFT(O3433,3)=$W$7)),"x","")</f>
        <v/>
      </c>
      <c r="X3433" s="75" t="str">
        <f>IF(OR(TH!N3720=TH!$X$7,O3433=TH!$X$7),"x","")</f>
        <v/>
      </c>
      <c r="Y3433" s="75" t="str">
        <f>IF(AND(OR(N3433="131",O3433="131"),H3433='131-CT'!$H$9),"x","")</f>
        <v/>
      </c>
      <c r="Z3433" s="75"/>
      <c r="AA3433" s="75" t="str">
        <f>IF(AND(MONTH(E3433)='IN-NX'!$J$5,'IN-NX'!$D$7=D3433),"x","")</f>
        <v/>
      </c>
      <c r="AB3433" s="75" t="str">
        <f>IF(AND(OR(LEFT(TH!N3720,2)="15",LEFT(TH!O3720,2)="15"),LEFT(TH!O3720,3)&lt;&gt;"111",'152-CT'!$J$8=TH!F3720),"x","")</f>
        <v/>
      </c>
      <c r="AC3433" s="75" t="str">
        <f>IF(AND(OR(LEFT(TH!N3720,2)="15",LEFT(TH!O3720,2)="15"),TK!$E$7=TH!F3720),"x","")</f>
        <v/>
      </c>
      <c r="AD3433" s="75" t="str">
        <f>IF(AND(N3433="1521",MONTH(C3433)='BK-NL'!$M$11),"x","")</f>
        <v/>
      </c>
      <c r="AE3433" s="1053"/>
      <c r="AF3433" s="1053"/>
      <c r="AG3433" s="1053"/>
    </row>
    <row r="3434" spans="1:33" ht="16.5" customHeight="1">
      <c r="A3434" s="309" t="str">
        <f>IF(B3434&lt;&gt;"",IF(AND(B3434='IN-TC'!$S$4,OR(TH!N3434="1111",TH!O3434="1111")),TH!D3434,""),"")</f>
        <v/>
      </c>
      <c r="B3434" s="1058">
        <f t="shared" si="1288"/>
        <v>1</v>
      </c>
      <c r="C3434" s="292">
        <f t="shared" si="1290"/>
        <v>42738</v>
      </c>
      <c r="D3434" s="292" t="s">
        <v>1918</v>
      </c>
      <c r="E3434" s="292">
        <v>42738</v>
      </c>
      <c r="F3434" s="293" t="s">
        <v>885</v>
      </c>
      <c r="G3434" s="943" t="s">
        <v>747</v>
      </c>
      <c r="H3434" s="294" t="s">
        <v>1023</v>
      </c>
      <c r="I3434" s="73"/>
      <c r="J3434" s="926"/>
      <c r="K3434" s="373"/>
      <c r="L3434" s="379"/>
      <c r="M3434" s="927">
        <v>70000000</v>
      </c>
      <c r="N3434" s="295" t="s">
        <v>26</v>
      </c>
      <c r="O3434" s="295" t="s">
        <v>63</v>
      </c>
      <c r="P3434" s="75" t="str">
        <f>IF(AND('331-CT'!$E$7=TH!H4918,OR(N3434="331",O3434="331")),"x","")</f>
        <v/>
      </c>
      <c r="Q3434" s="75" t="str">
        <f>IF(AND(B3434='111'!$L$11,OR($N3434=$Q$7,$O3434=$Q$7)),"x","")</f>
        <v/>
      </c>
      <c r="R3434" s="75" t="str">
        <f>IF(AND($N3434=$Q$7,$B3434&lt;'111'!$L$11),"x","")</f>
        <v/>
      </c>
      <c r="S3434" s="75" t="str">
        <f>IF(AND($O3434=$Q$7,$B3434&lt;'111'!$L$11),"x","")</f>
        <v>x</v>
      </c>
      <c r="T3434" s="75" t="str">
        <f>IF(ISERROR(FIND('112'!$M$9,G3434,1)),"",IF((AND(FIND('112'!$M$9,G3434,1)&gt;=1,B3434='112'!$K$9,OR($N3434='112'!$I$6,$O3434='112'!$I$6))),"x",""))</f>
        <v/>
      </c>
      <c r="U3434" s="75" t="str">
        <f>IF(ISERROR(FIND('112'!$M$9,G3434,1)),"",IF((AND(LEFT(G3434,2)=LEFT('112'!$M$9,2),B3434&lt;'112'!$K$9,$N3434='112'!$I$6)),"x",""))</f>
        <v/>
      </c>
      <c r="V3434" s="75" t="str">
        <f>IF(ISERROR(FIND('112'!$M$9,G3434,1)),"",IF((AND(RIGHT(G3434,2)=RIGHT('112'!$M$9,2),B3434&lt;'112'!$K$9,$O3434='112'!$I$6)),"x",""))</f>
        <v/>
      </c>
      <c r="W3434" s="75" t="str">
        <f>IF(AND('341-CT'!$H$9=H3434,OR(LEFT(N3434,3)=$W$7,LEFT(O3434,3)=$W$7)),"x","")</f>
        <v/>
      </c>
      <c r="X3434" s="75" t="str">
        <f>IF(OR(TH!N4918=TH!$X$7,O3434=TH!$X$7),"x","")</f>
        <v/>
      </c>
      <c r="Y3434" s="75" t="str">
        <f>IF(AND(OR(N3434="131",O3434="131"),H3434='131-CT'!$H$9),"x","")</f>
        <v/>
      </c>
      <c r="Z3434" s="75"/>
      <c r="AA3434" s="75" t="str">
        <f>IF(AND(MONTH(E3434)='IN-NX'!$J$5,'IN-NX'!$D$7=D3434),"x","")</f>
        <v/>
      </c>
      <c r="AB3434" s="75" t="str">
        <f>IF(AND(OR(LEFT(TH!N4918,2)="15",LEFT(TH!O4918,2)="15"),LEFT(TH!O4918,3)&lt;&gt;"111",'152-CT'!$J$8=TH!F4918),"x","")</f>
        <v/>
      </c>
      <c r="AC3434" s="75" t="str">
        <f>IF(AND(OR(LEFT(TH!N4918,2)="15",LEFT(TH!O4918,2)="15"),TK!$E$7=TH!F4918),"x","")</f>
        <v/>
      </c>
      <c r="AD3434" s="75" t="str">
        <f>IF(AND(N3434="1521",MONTH(C3434)='BK-NL'!$M$11),"x","")</f>
        <v/>
      </c>
    </row>
    <row r="3435" spans="1:33" ht="16.5" customHeight="1">
      <c r="A3435" s="309" t="str">
        <f>IF(B3435&lt;&gt;"",IF(AND(B3435='IN-TC'!$S$4,OR(TH!N3435="1111",TH!O3435="1111")),TH!D3435,""),"")</f>
        <v/>
      </c>
      <c r="B3435" s="1058">
        <f t="shared" si="1288"/>
        <v>1</v>
      </c>
      <c r="C3435" s="292">
        <f t="shared" si="1290"/>
        <v>42739</v>
      </c>
      <c r="D3435" s="292" t="s">
        <v>1920</v>
      </c>
      <c r="E3435" s="292">
        <v>42739</v>
      </c>
      <c r="F3435" s="67" t="s">
        <v>1165</v>
      </c>
      <c r="G3435" s="925" t="s">
        <v>1100</v>
      </c>
      <c r="H3435" s="294" t="s">
        <v>796</v>
      </c>
      <c r="I3435" s="373"/>
      <c r="J3435" s="926"/>
      <c r="K3435" s="373"/>
      <c r="L3435" s="379"/>
      <c r="M3435" s="927">
        <v>18952450</v>
      </c>
      <c r="N3435" s="295" t="s">
        <v>8</v>
      </c>
      <c r="O3435" s="295" t="s">
        <v>63</v>
      </c>
      <c r="P3435" s="75" t="str">
        <f>IF(AND('331-CT'!$E$7=TH!H4031,OR(N3435="331",O3435="331")),"x","")</f>
        <v/>
      </c>
      <c r="Q3435" s="75" t="str">
        <f>IF(AND(B3435='111'!$L$11,OR($N3435=$Q$7,$O3435=$Q$7)),"x","")</f>
        <v/>
      </c>
      <c r="R3435" s="75" t="str">
        <f>IF(AND($N3435=$Q$7,$B3435&lt;'111'!$L$11),"x","")</f>
        <v/>
      </c>
      <c r="S3435" s="75" t="str">
        <f>IF(AND($O3435=$Q$7,$B3435&lt;'111'!$L$11),"x","")</f>
        <v>x</v>
      </c>
      <c r="T3435" s="75" t="str">
        <f>IF(ISERROR(FIND('112'!$M$9,G3435,1)),"",IF((AND(FIND('112'!$M$9,G3435,1)&gt;=1,B3435='112'!$K$9,OR($N3435='112'!$I$6,$O3435='112'!$I$6))),"x",""))</f>
        <v/>
      </c>
      <c r="U3435" s="75" t="str">
        <f>IF(ISERROR(FIND('112'!$M$9,G3435,1)),"",IF((AND(LEFT(G3435,2)=LEFT('112'!$M$9,2),B3435&lt;'112'!$K$9,$N3435='112'!$I$6)),"x",""))</f>
        <v/>
      </c>
      <c r="V3435" s="75" t="str">
        <f>IF(ISERROR(FIND('112'!$M$9,G3435,1)),"",IF((AND(RIGHT(G3435,2)=RIGHT('112'!$M$9,2),B3435&lt;'112'!$K$9,$O3435='112'!$I$6)),"x",""))</f>
        <v/>
      </c>
      <c r="W3435" s="75" t="str">
        <f>IF(AND('341-CT'!$H$9=H3435,OR(LEFT(N3435,3)=$W$7,LEFT(O3435,3)=$W$7)),"x","")</f>
        <v/>
      </c>
      <c r="X3435" s="75" t="str">
        <f>IF(OR(TH!N4031=TH!$X$7,O3435=TH!$X$7),"x","")</f>
        <v/>
      </c>
      <c r="Y3435" s="75" t="str">
        <f>IF(AND(OR(N3435="131",O3435="131"),H3435='131-CT'!$H$9),"x","")</f>
        <v/>
      </c>
      <c r="Z3435" s="75"/>
      <c r="AA3435" s="75" t="str">
        <f>IF(AND(MONTH(E3435)='IN-NX'!$J$5,'IN-NX'!$D$7=D3435),"x","")</f>
        <v/>
      </c>
      <c r="AB3435" s="75" t="str">
        <f>IF(AND(OR(LEFT(TH!N4031,2)="15",LEFT(TH!O4031,2)="15"),LEFT(TH!O4031,3)&lt;&gt;"111",'152-CT'!$J$8=TH!F4031),"x","")</f>
        <v/>
      </c>
      <c r="AC3435" s="75" t="str">
        <f>IF(AND(OR(LEFT(TH!N4031,2)="15",LEFT(TH!O4031,2)="15"),TK!$E$7=TH!F4031),"x","")</f>
        <v/>
      </c>
      <c r="AD3435" s="75" t="str">
        <f>IF(AND(N3435="1521",MONTH(C3435)='BK-NL'!$M$11),"x","")</f>
        <v/>
      </c>
      <c r="AE3435" s="1053"/>
      <c r="AF3435" s="1053"/>
      <c r="AG3435" s="1053"/>
    </row>
    <row r="3436" spans="1:33" ht="16.5" customHeight="1">
      <c r="A3436" s="309" t="str">
        <f>IF(B3436&lt;&gt;"",IF(AND(B3436='IN-TC'!$S$4,OR(TH!N3436="1111",TH!O3436="1111")),TH!D3436,""),"")</f>
        <v/>
      </c>
      <c r="B3436" s="1058">
        <f t="shared" si="1288"/>
        <v>1</v>
      </c>
      <c r="C3436" s="292">
        <f t="shared" si="1290"/>
        <v>42739</v>
      </c>
      <c r="D3436" s="292" t="s">
        <v>1921</v>
      </c>
      <c r="E3436" s="292">
        <v>42739</v>
      </c>
      <c r="F3436" s="293" t="s">
        <v>890</v>
      </c>
      <c r="G3436" s="925" t="s">
        <v>892</v>
      </c>
      <c r="H3436" s="67" t="s">
        <v>893</v>
      </c>
      <c r="I3436" s="373"/>
      <c r="J3436" s="926"/>
      <c r="K3436" s="373"/>
      <c r="L3436" s="379"/>
      <c r="M3436" s="927">
        <v>1564954</v>
      </c>
      <c r="N3436" s="295" t="s">
        <v>101</v>
      </c>
      <c r="O3436" s="295" t="s">
        <v>63</v>
      </c>
      <c r="P3436" s="75" t="e">
        <f>IF(AND('331-CT'!$E$7=TH!#REF!,OR(N3436="331",O3436="331")),"x","")</f>
        <v>#REF!</v>
      </c>
      <c r="Q3436" s="75" t="str">
        <f>IF(AND(B3436='111'!$L$11,OR($N3436=$Q$7,$O3436=$Q$7)),"x","")</f>
        <v/>
      </c>
      <c r="R3436" s="75" t="str">
        <f>IF(AND($N3436=$Q$7,$B3436&lt;'111'!$L$11),"x","")</f>
        <v/>
      </c>
      <c r="S3436" s="75" t="str">
        <f>IF(AND($O3436=$Q$7,$B3436&lt;'111'!$L$11),"x","")</f>
        <v>x</v>
      </c>
      <c r="T3436" s="75" t="str">
        <f>IF(ISERROR(FIND('112'!$M$9,G3436,1)),"",IF((AND(FIND('112'!$M$9,G3436,1)&gt;=1,B3436='112'!$K$9,OR($N3436='112'!$I$6,$O3436='112'!$I$6))),"x",""))</f>
        <v/>
      </c>
      <c r="U3436" s="75" t="str">
        <f>IF(ISERROR(FIND('112'!$M$9,G3436,1)),"",IF((AND(LEFT(G3436,2)=LEFT('112'!$M$9,2),B3436&lt;'112'!$K$9,$N3436='112'!$I$6)),"x",""))</f>
        <v/>
      </c>
      <c r="V3436" s="75" t="str">
        <f>IF(ISERROR(FIND('112'!$M$9,G3436,1)),"",IF((AND(RIGHT(G3436,2)=RIGHT('112'!$M$9,2),B3436&lt;'112'!$K$9,$O3436='112'!$I$6)),"x",""))</f>
        <v/>
      </c>
      <c r="W3436" s="75" t="str">
        <f>IF(AND('341-CT'!$H$9=H3436,OR(LEFT(N3436,3)=$W$7,LEFT(O3436,3)=$W$7)),"x","")</f>
        <v/>
      </c>
      <c r="X3436" s="75" t="e">
        <f>IF(OR(TH!#REF!=TH!$X$7,O3436=TH!$X$7),"x","")</f>
        <v>#REF!</v>
      </c>
      <c r="Y3436" s="75" t="str">
        <f>IF(AND(OR(N3436="131",O3436="131"),H3436='131-CT'!$H$9),"x","")</f>
        <v/>
      </c>
      <c r="Z3436" s="75"/>
      <c r="AA3436" s="75" t="str">
        <f>IF(AND(MONTH(E3436)='IN-NX'!$J$5,'IN-NX'!$D$7=D3436),"x","")</f>
        <v/>
      </c>
      <c r="AB3436" s="75" t="e">
        <f>IF(AND(OR(LEFT(TH!#REF!,2)="15",LEFT(TH!#REF!,2)="15"),LEFT(TH!#REF!,3)&lt;&gt;"111",'152-CT'!$J$8=TH!#REF!),"x","")</f>
        <v>#REF!</v>
      </c>
      <c r="AC3436" s="75" t="e">
        <f>IF(AND(OR(LEFT(TH!#REF!,2)="15",LEFT(TH!#REF!,2)="15"),TK!$E$7=TH!#REF!),"x","")</f>
        <v>#REF!</v>
      </c>
      <c r="AD3436" s="75" t="str">
        <f>IF(AND(N3436="1521",MONTH(C3436)='BK-NL'!$M$11),"x","")</f>
        <v/>
      </c>
      <c r="AE3436" s="1053"/>
      <c r="AF3436" s="1053"/>
      <c r="AG3436" s="1053"/>
    </row>
    <row r="3437" spans="1:33" ht="16.5" customHeight="1">
      <c r="A3437" s="309" t="str">
        <f>IF(B3437&lt;&gt;"",IF(AND(B3437='IN-TC'!$S$4,OR(TH!N3437="1111",TH!O3437="1111")),TH!D3437,""),"")</f>
        <v/>
      </c>
      <c r="B3437" s="1058">
        <f t="shared" si="1288"/>
        <v>1</v>
      </c>
      <c r="C3437" s="292">
        <f t="shared" si="1290"/>
        <v>42739</v>
      </c>
      <c r="D3437" s="292" t="s">
        <v>1921</v>
      </c>
      <c r="E3437" s="292">
        <v>42739</v>
      </c>
      <c r="F3437" s="293" t="s">
        <v>891</v>
      </c>
      <c r="G3437" s="925" t="s">
        <v>892</v>
      </c>
      <c r="H3437" s="67" t="s">
        <v>893</v>
      </c>
      <c r="I3437" s="373"/>
      <c r="J3437" s="926"/>
      <c r="K3437" s="373"/>
      <c r="L3437" s="379"/>
      <c r="M3437" s="927">
        <v>156496</v>
      </c>
      <c r="N3437" s="295" t="s">
        <v>9</v>
      </c>
      <c r="O3437" s="295" t="s">
        <v>63</v>
      </c>
      <c r="P3437" s="75" t="e">
        <f>IF(AND('331-CT'!$E$7=TH!#REF!,OR(N3437="331",O3437="331")),"x","")</f>
        <v>#REF!</v>
      </c>
      <c r="Q3437" s="75" t="str">
        <f>IF(AND(B3437='111'!$L$11,OR($N3437=$Q$7,$O3437=$Q$7)),"x","")</f>
        <v/>
      </c>
      <c r="R3437" s="75" t="str">
        <f>IF(AND($N3437=$Q$7,$B3437&lt;'111'!$L$11),"x","")</f>
        <v/>
      </c>
      <c r="S3437" s="75" t="str">
        <f>IF(AND($O3437=$Q$7,$B3437&lt;'111'!$L$11),"x","")</f>
        <v>x</v>
      </c>
      <c r="T3437" s="75" t="str">
        <f>IF(ISERROR(FIND('112'!$M$9,G3437,1)),"",IF((AND(FIND('112'!$M$9,G3437,1)&gt;=1,B3437='112'!$K$9,OR($N3437='112'!$I$6,$O3437='112'!$I$6))),"x",""))</f>
        <v/>
      </c>
      <c r="U3437" s="75" t="str">
        <f>IF(ISERROR(FIND('112'!$M$9,G3437,1)),"",IF((AND(LEFT(G3437,2)=LEFT('112'!$M$9,2),B3437&lt;'112'!$K$9,$N3437='112'!$I$6)),"x",""))</f>
        <v/>
      </c>
      <c r="V3437" s="75" t="str">
        <f>IF(ISERROR(FIND('112'!$M$9,G3437,1)),"",IF((AND(RIGHT(G3437,2)=RIGHT('112'!$M$9,2),B3437&lt;'112'!$K$9,$O3437='112'!$I$6)),"x",""))</f>
        <v/>
      </c>
      <c r="W3437" s="75" t="str">
        <f>IF(AND('341-CT'!$H$9=H3437,OR(LEFT(N3437,3)=$W$7,LEFT(O3437,3)=$W$7)),"x","")</f>
        <v/>
      </c>
      <c r="X3437" s="75" t="e">
        <f>IF(OR(TH!#REF!=TH!$X$7,O3437=TH!$X$7),"x","")</f>
        <v>#REF!</v>
      </c>
      <c r="Y3437" s="75" t="str">
        <f>IF(AND(OR(N3437="131",O3437="131"),H3437='131-CT'!$H$9),"x","")</f>
        <v/>
      </c>
      <c r="Z3437" s="75"/>
      <c r="AA3437" s="75" t="str">
        <f>IF(AND(MONTH(E3437)='IN-NX'!$J$5,'IN-NX'!$D$7=D3437),"x","")</f>
        <v/>
      </c>
      <c r="AB3437" s="75" t="e">
        <f>IF(AND(OR(LEFT(TH!#REF!,2)="15",LEFT(TH!#REF!,2)="15"),LEFT(TH!#REF!,3)&lt;&gt;"111",'152-CT'!$J$8=TH!#REF!),"x","")</f>
        <v>#REF!</v>
      </c>
      <c r="AC3437" s="75" t="e">
        <f>IF(AND(OR(LEFT(TH!#REF!,2)="15",LEFT(TH!#REF!,2)="15"),TK!$E$7=TH!#REF!),"x","")</f>
        <v>#REF!</v>
      </c>
      <c r="AD3437" s="75" t="str">
        <f>IF(AND(N3437="1521",MONTH(C3437)='BK-NL'!$M$11),"x","")</f>
        <v/>
      </c>
      <c r="AE3437" s="1053"/>
      <c r="AF3437" s="1053"/>
      <c r="AG3437" s="1053"/>
    </row>
    <row r="3438" spans="1:33" ht="16.5" customHeight="1">
      <c r="A3438" s="309" t="str">
        <f>IF(B3438&lt;&gt;"",IF(AND(B3438='IN-TC'!$S$4,OR(TH!N3438="1111",TH!O3438="1111")),TH!D3438,""),"")</f>
        <v/>
      </c>
      <c r="B3438" s="1058">
        <f t="shared" si="1288"/>
        <v>1</v>
      </c>
      <c r="C3438" s="292">
        <f t="shared" si="1290"/>
        <v>42739</v>
      </c>
      <c r="D3438" s="292" t="s">
        <v>902</v>
      </c>
      <c r="E3438" s="292">
        <v>42739</v>
      </c>
      <c r="F3438" s="293" t="s">
        <v>899</v>
      </c>
      <c r="G3438" s="943" t="s">
        <v>747</v>
      </c>
      <c r="H3438" s="67" t="s">
        <v>740</v>
      </c>
      <c r="I3438" s="73"/>
      <c r="J3438" s="926"/>
      <c r="K3438" s="373"/>
      <c r="L3438" s="379"/>
      <c r="M3438" s="927">
        <v>36960000</v>
      </c>
      <c r="N3438" s="295" t="s">
        <v>8</v>
      </c>
      <c r="O3438" s="295" t="s">
        <v>26</v>
      </c>
      <c r="P3438" s="75" t="str">
        <f>IF(AND('331-CT'!$E$7=TH!H4927,OR(N3438="331",O3438="331")),"x","")</f>
        <v/>
      </c>
      <c r="Q3438" s="75" t="str">
        <f>IF(AND(B3438='111'!$L$11,OR($N3438=$Q$7,$O3438=$Q$7)),"x","")</f>
        <v/>
      </c>
      <c r="R3438" s="75" t="str">
        <f>IF(AND($N3438=$Q$7,$B3438&lt;'111'!$L$11),"x","")</f>
        <v/>
      </c>
      <c r="S3438" s="75" t="str">
        <f>IF(AND($O3438=$Q$7,$B3438&lt;'111'!$L$11),"x","")</f>
        <v/>
      </c>
      <c r="T3438" s="75" t="str">
        <f>IF(ISERROR(FIND('112'!$M$9,G3438,1)),"",IF((AND(FIND('112'!$M$9,G3438,1)&gt;=1,B3438='112'!$K$9,OR($N3438='112'!$I$6,$O3438='112'!$I$6))),"x",""))</f>
        <v/>
      </c>
      <c r="U3438" s="75" t="str">
        <f>IF(ISERROR(FIND('112'!$M$9,G3438,1)),"",IF((AND(LEFT(G3438,2)=LEFT('112'!$M$9,2),B3438&lt;'112'!$K$9,$N3438='112'!$I$6)),"x",""))</f>
        <v/>
      </c>
      <c r="V3438" s="75" t="str">
        <f>IF(ISERROR(FIND('112'!$M$9,G3438,1)),"",IF((AND(RIGHT(G3438,2)=RIGHT('112'!$M$9,2),B3438&lt;'112'!$K$9,$O3438='112'!$I$6)),"x",""))</f>
        <v/>
      </c>
      <c r="W3438" s="75" t="str">
        <f>IF(AND('341-CT'!$H$9=H3438,OR(LEFT(N3438,3)=$W$7,LEFT(O3438,3)=$W$7)),"x","")</f>
        <v/>
      </c>
      <c r="X3438" s="75" t="str">
        <f>IF(OR(TH!N4927=TH!$X$7,O3438=TH!$X$7),"x","")</f>
        <v/>
      </c>
      <c r="Y3438" s="75" t="str">
        <f>IF(AND(OR(N3438="131",O3438="131"),H3438='131-CT'!$H$9),"x","")</f>
        <v/>
      </c>
      <c r="Z3438" s="75"/>
      <c r="AA3438" s="75" t="str">
        <f>IF(AND(MONTH(E3438)='IN-NX'!$J$5,'IN-NX'!$D$7=D3438),"x","")</f>
        <v/>
      </c>
      <c r="AB3438" s="75" t="str">
        <f>IF(AND(OR(LEFT(TH!N4927,2)="15",LEFT(TH!O4927,2)="15"),LEFT(TH!O4927,3)&lt;&gt;"111",'152-CT'!$J$8=TH!F4927),"x","")</f>
        <v/>
      </c>
      <c r="AC3438" s="75" t="str">
        <f>IF(AND(OR(LEFT(TH!N4927,2)="15",LEFT(TH!O4927,2)="15"),TK!$E$7=TH!F4927),"x","")</f>
        <v/>
      </c>
      <c r="AD3438" s="75" t="str">
        <f>IF(AND(N3438="1521",MONTH(C3438)='BK-NL'!$M$11),"x","")</f>
        <v/>
      </c>
    </row>
    <row r="3439" spans="1:33" ht="16.5" customHeight="1">
      <c r="A3439" s="309" t="str">
        <f>IF(B3439&lt;&gt;"",IF(AND(B3439='IN-TC'!$S$4,OR(TH!N3439="1111",TH!O3439="1111")),TH!D3439,""),"")</f>
        <v/>
      </c>
      <c r="B3439" s="1058">
        <f t="shared" si="1288"/>
        <v>1</v>
      </c>
      <c r="C3439" s="292">
        <f t="shared" si="1290"/>
        <v>42739</v>
      </c>
      <c r="D3439" s="292" t="s">
        <v>902</v>
      </c>
      <c r="E3439" s="292">
        <v>42739</v>
      </c>
      <c r="F3439" s="293" t="s">
        <v>870</v>
      </c>
      <c r="G3439" s="943" t="s">
        <v>747</v>
      </c>
      <c r="H3439" s="67" t="s">
        <v>835</v>
      </c>
      <c r="I3439" s="73"/>
      <c r="J3439" s="926"/>
      <c r="K3439" s="373"/>
      <c r="L3439" s="379"/>
      <c r="M3439" s="927">
        <v>20000</v>
      </c>
      <c r="N3439" s="295" t="s">
        <v>101</v>
      </c>
      <c r="O3439" s="295" t="s">
        <v>26</v>
      </c>
      <c r="P3439" s="75" t="str">
        <f>IF(AND('331-CT'!$E$7=TH!H4928,OR(N3439="331",O3439="331")),"x","")</f>
        <v/>
      </c>
      <c r="Q3439" s="75" t="str">
        <f>IF(AND(B3439='111'!$L$11,OR($N3439=$Q$7,$O3439=$Q$7)),"x","")</f>
        <v/>
      </c>
      <c r="R3439" s="75" t="str">
        <f>IF(AND($N3439=$Q$7,$B3439&lt;'111'!$L$11),"x","")</f>
        <v/>
      </c>
      <c r="S3439" s="75" t="str">
        <f>IF(AND($O3439=$Q$7,$B3439&lt;'111'!$L$11),"x","")</f>
        <v/>
      </c>
      <c r="T3439" s="75" t="str">
        <f>IF(ISERROR(FIND('112'!$M$9,G3439,1)),"",IF((AND(FIND('112'!$M$9,G3439,1)&gt;=1,B3439='112'!$K$9,OR($N3439='112'!$I$6,$O3439='112'!$I$6))),"x",""))</f>
        <v/>
      </c>
      <c r="U3439" s="75" t="str">
        <f>IF(ISERROR(FIND('112'!$M$9,G3439,1)),"",IF((AND(LEFT(G3439,2)=LEFT('112'!$M$9,2),B3439&lt;'112'!$K$9,$N3439='112'!$I$6)),"x",""))</f>
        <v/>
      </c>
      <c r="V3439" s="75" t="str">
        <f>IF(ISERROR(FIND('112'!$M$9,G3439,1)),"",IF((AND(RIGHT(G3439,2)=RIGHT('112'!$M$9,2),B3439&lt;'112'!$K$9,$O3439='112'!$I$6)),"x",""))</f>
        <v/>
      </c>
      <c r="W3439" s="75" t="str">
        <f>IF(AND('341-CT'!$H$9=H3439,OR(LEFT(N3439,3)=$W$7,LEFT(O3439,3)=$W$7)),"x","")</f>
        <v/>
      </c>
      <c r="X3439" s="75" t="str">
        <f>IF(OR(TH!N4928=TH!$X$7,O3439=TH!$X$7),"x","")</f>
        <v/>
      </c>
      <c r="Y3439" s="75" t="str">
        <f>IF(AND(OR(N3439="131",O3439="131"),H3439='131-CT'!$H$9),"x","")</f>
        <v/>
      </c>
      <c r="Z3439" s="75"/>
      <c r="AA3439" s="75" t="str">
        <f>IF(AND(MONTH(E3439)='IN-NX'!$J$5,'IN-NX'!$D$7=D3439),"x","")</f>
        <v/>
      </c>
      <c r="AB3439" s="75" t="str">
        <f>IF(AND(OR(LEFT(TH!N4928,2)="15",LEFT(TH!O4928,2)="15"),LEFT(TH!O4928,3)&lt;&gt;"111",'152-CT'!$J$8=TH!F4928),"x","")</f>
        <v/>
      </c>
      <c r="AC3439" s="75" t="str">
        <f>IF(AND(OR(LEFT(TH!N4928,2)="15",LEFT(TH!O4928,2)="15"),TK!$E$7=TH!F4928),"x","")</f>
        <v/>
      </c>
      <c r="AD3439" s="75" t="str">
        <f>IF(AND(N3439="1521",MONTH(C3439)='BK-NL'!$M$11),"x","")</f>
        <v/>
      </c>
    </row>
    <row r="3440" spans="1:33" ht="16.5" customHeight="1">
      <c r="A3440" s="309" t="str">
        <f>IF(B3440&lt;&gt;"",IF(AND(B3440='IN-TC'!$S$4,OR(TH!N3440="1111",TH!O3440="1111")),TH!D3440,""),"")</f>
        <v/>
      </c>
      <c r="B3440" s="1058">
        <f t="shared" si="1288"/>
        <v>1</v>
      </c>
      <c r="C3440" s="292">
        <f t="shared" si="1290"/>
        <v>42739</v>
      </c>
      <c r="D3440" s="292" t="s">
        <v>902</v>
      </c>
      <c r="E3440" s="292">
        <v>42739</v>
      </c>
      <c r="F3440" s="293" t="s">
        <v>898</v>
      </c>
      <c r="G3440" s="943" t="s">
        <v>747</v>
      </c>
      <c r="H3440" s="67" t="s">
        <v>835</v>
      </c>
      <c r="I3440" s="73"/>
      <c r="J3440" s="926"/>
      <c r="K3440" s="373"/>
      <c r="L3440" s="379"/>
      <c r="M3440" s="927">
        <v>2000</v>
      </c>
      <c r="N3440" s="295" t="s">
        <v>9</v>
      </c>
      <c r="O3440" s="295" t="s">
        <v>26</v>
      </c>
      <c r="P3440" s="75" t="str">
        <f>IF(AND('331-CT'!$E$7=TH!H4929,OR(N3440="331",O3440="331")),"x","")</f>
        <v/>
      </c>
      <c r="Q3440" s="75" t="str">
        <f>IF(AND(B3440='111'!$L$11,OR($N3440=$Q$7,$O3440=$Q$7)),"x","")</f>
        <v/>
      </c>
      <c r="R3440" s="75" t="str">
        <f>IF(AND($N3440=$Q$7,$B3440&lt;'111'!$L$11),"x","")</f>
        <v/>
      </c>
      <c r="S3440" s="75" t="str">
        <f>IF(AND($O3440=$Q$7,$B3440&lt;'111'!$L$11),"x","")</f>
        <v/>
      </c>
      <c r="T3440" s="75" t="str">
        <f>IF(ISERROR(FIND('112'!$M$9,G3440,1)),"",IF((AND(FIND('112'!$M$9,G3440,1)&gt;=1,B3440='112'!$K$9,OR($N3440='112'!$I$6,$O3440='112'!$I$6))),"x",""))</f>
        <v/>
      </c>
      <c r="U3440" s="75" t="str">
        <f>IF(ISERROR(FIND('112'!$M$9,G3440,1)),"",IF((AND(LEFT(G3440,2)=LEFT('112'!$M$9,2),B3440&lt;'112'!$K$9,$N3440='112'!$I$6)),"x",""))</f>
        <v/>
      </c>
      <c r="V3440" s="75" t="str">
        <f>IF(ISERROR(FIND('112'!$M$9,G3440,1)),"",IF((AND(RIGHT(G3440,2)=RIGHT('112'!$M$9,2),B3440&lt;'112'!$K$9,$O3440='112'!$I$6)),"x",""))</f>
        <v/>
      </c>
      <c r="W3440" s="75" t="str">
        <f>IF(AND('341-CT'!$H$9=H3440,OR(LEFT(N3440,3)=$W$7,LEFT(O3440,3)=$W$7)),"x","")</f>
        <v/>
      </c>
      <c r="X3440" s="75" t="str">
        <f>IF(OR(TH!N4929=TH!$X$7,O3440=TH!$X$7),"x","")</f>
        <v/>
      </c>
      <c r="Y3440" s="75" t="str">
        <f>IF(AND(OR(N3440="131",O3440="131"),H3440='131-CT'!$H$9),"x","")</f>
        <v/>
      </c>
      <c r="Z3440" s="75"/>
      <c r="AA3440" s="75" t="str">
        <f>IF(AND(MONTH(E3440)='IN-NX'!$J$5,'IN-NX'!$D$7=D3440),"x","")</f>
        <v/>
      </c>
      <c r="AB3440" s="75" t="str">
        <f>IF(AND(OR(LEFT(TH!N4929,2)="15",LEFT(TH!O4929,2)="15"),LEFT(TH!O4929,3)&lt;&gt;"111",'152-CT'!$J$8=TH!F4929),"x","")</f>
        <v/>
      </c>
      <c r="AC3440" s="75" t="str">
        <f>IF(AND(OR(LEFT(TH!N4929,2)="15",LEFT(TH!O4929,2)="15"),TK!$E$7=TH!F4929),"x","")</f>
        <v/>
      </c>
      <c r="AD3440" s="75" t="str">
        <f>IF(AND(N3440="1521",MONTH(C3440)='BK-NL'!$M$11),"x","")</f>
        <v/>
      </c>
    </row>
    <row r="3441" spans="1:30" ht="16.5" customHeight="1">
      <c r="A3441" s="309" t="str">
        <f>IF(B3441&lt;&gt;"",IF(AND(B3441='IN-TC'!$S$4,OR(TH!N3441="1111",TH!O3441="1111")),TH!D3441,""),"")</f>
        <v/>
      </c>
      <c r="B3441" s="1058">
        <f t="shared" si="1288"/>
        <v>1</v>
      </c>
      <c r="C3441" s="292">
        <f t="shared" si="1290"/>
        <v>42739</v>
      </c>
      <c r="D3441" s="292" t="s">
        <v>902</v>
      </c>
      <c r="E3441" s="292">
        <v>42739</v>
      </c>
      <c r="F3441" s="293" t="s">
        <v>900</v>
      </c>
      <c r="G3441" s="943" t="s">
        <v>747</v>
      </c>
      <c r="H3441" s="67" t="s">
        <v>754</v>
      </c>
      <c r="I3441" s="73"/>
      <c r="J3441" s="926"/>
      <c r="K3441" s="373"/>
      <c r="L3441" s="379"/>
      <c r="M3441" s="927">
        <v>29738500</v>
      </c>
      <c r="N3441" s="295" t="s">
        <v>8</v>
      </c>
      <c r="O3441" s="295" t="s">
        <v>26</v>
      </c>
      <c r="P3441" s="75" t="str">
        <f>IF(AND('331-CT'!$E$7=TH!H4930,OR(N3441="331",O3441="331")),"x","")</f>
        <v/>
      </c>
      <c r="Q3441" s="75" t="str">
        <f>IF(AND(B3441='111'!$L$11,OR($N3441=$Q$7,$O3441=$Q$7)),"x","")</f>
        <v/>
      </c>
      <c r="R3441" s="75" t="str">
        <f>IF(AND($N3441=$Q$7,$B3441&lt;'111'!$L$11),"x","")</f>
        <v/>
      </c>
      <c r="S3441" s="75" t="str">
        <f>IF(AND($O3441=$Q$7,$B3441&lt;'111'!$L$11),"x","")</f>
        <v/>
      </c>
      <c r="T3441" s="75" t="str">
        <f>IF(ISERROR(FIND('112'!$M$9,G3441,1)),"",IF((AND(FIND('112'!$M$9,G3441,1)&gt;=1,B3441='112'!$K$9,OR($N3441='112'!$I$6,$O3441='112'!$I$6))),"x",""))</f>
        <v/>
      </c>
      <c r="U3441" s="75" t="str">
        <f>IF(ISERROR(FIND('112'!$M$9,G3441,1)),"",IF((AND(LEFT(G3441,2)=LEFT('112'!$M$9,2),B3441&lt;'112'!$K$9,$N3441='112'!$I$6)),"x",""))</f>
        <v/>
      </c>
      <c r="V3441" s="75" t="str">
        <f>IF(ISERROR(FIND('112'!$M$9,G3441,1)),"",IF((AND(RIGHT(G3441,2)=RIGHT('112'!$M$9,2),B3441&lt;'112'!$K$9,$O3441='112'!$I$6)),"x",""))</f>
        <v/>
      </c>
      <c r="W3441" s="75" t="str">
        <f>IF(AND('341-CT'!$H$9=H3441,OR(LEFT(N3441,3)=$W$7,LEFT(O3441,3)=$W$7)),"x","")</f>
        <v/>
      </c>
      <c r="X3441" s="75" t="str">
        <f>IF(OR(TH!N4930=TH!$X$7,O3441=TH!$X$7),"x","")</f>
        <v/>
      </c>
      <c r="Y3441" s="75" t="str">
        <f>IF(AND(OR(N3441="131",O3441="131"),H3441='131-CT'!$H$9),"x","")</f>
        <v/>
      </c>
      <c r="Z3441" s="75"/>
      <c r="AA3441" s="75" t="str">
        <f>IF(AND(MONTH(E3441)='IN-NX'!$J$5,'IN-NX'!$D$7=D3441),"x","")</f>
        <v/>
      </c>
      <c r="AB3441" s="75" t="str">
        <f>IF(AND(OR(LEFT(TH!N4930,2)="15",LEFT(TH!O4930,2)="15"),LEFT(TH!O4930,3)&lt;&gt;"111",'152-CT'!$J$8=TH!F4930),"x","")</f>
        <v/>
      </c>
      <c r="AC3441" s="75" t="str">
        <f>IF(AND(OR(LEFT(TH!N4930,2)="15",LEFT(TH!O4930,2)="15"),TK!$E$7=TH!F4930),"x","")</f>
        <v/>
      </c>
      <c r="AD3441" s="75" t="str">
        <f>IF(AND(N3441="1521",MONTH(C3441)='BK-NL'!$M$11),"x","")</f>
        <v/>
      </c>
    </row>
    <row r="3442" spans="1:30" ht="16.5" customHeight="1">
      <c r="A3442" s="309" t="str">
        <f>IF(B3442&lt;&gt;"",IF(AND(B3442='IN-TC'!$S$4,OR(TH!N3442="1111",TH!O3442="1111")),TH!D3442,""),"")</f>
        <v/>
      </c>
      <c r="B3442" s="1058">
        <f t="shared" si="1288"/>
        <v>1</v>
      </c>
      <c r="C3442" s="292">
        <f t="shared" si="1290"/>
        <v>42739</v>
      </c>
      <c r="D3442" s="292" t="s">
        <v>902</v>
      </c>
      <c r="E3442" s="292">
        <v>42739</v>
      </c>
      <c r="F3442" s="1125" t="s">
        <v>870</v>
      </c>
      <c r="G3442" s="943" t="s">
        <v>747</v>
      </c>
      <c r="H3442" s="67" t="s">
        <v>835</v>
      </c>
      <c r="I3442" s="73"/>
      <c r="J3442" s="926"/>
      <c r="K3442" s="373"/>
      <c r="L3442" s="379"/>
      <c r="M3442" s="927">
        <v>20000</v>
      </c>
      <c r="N3442" s="295" t="s">
        <v>101</v>
      </c>
      <c r="O3442" s="295" t="s">
        <v>26</v>
      </c>
      <c r="P3442" s="75" t="str">
        <f>IF(AND('331-CT'!$E$7=TH!H4932,OR(N3442="331",O3442="331")),"x","")</f>
        <v/>
      </c>
      <c r="Q3442" s="75" t="str">
        <f>IF(AND(B3442='111'!$L$11,OR($N3442=$Q$7,$O3442=$Q$7)),"x","")</f>
        <v/>
      </c>
      <c r="R3442" s="75" t="str">
        <f>IF(AND($N3442=$Q$7,$B3442&lt;'111'!$L$11),"x","")</f>
        <v/>
      </c>
      <c r="S3442" s="75" t="str">
        <f>IF(AND($O3442=$Q$7,$B3442&lt;'111'!$L$11),"x","")</f>
        <v/>
      </c>
      <c r="T3442" s="75" t="str">
        <f>IF(ISERROR(FIND('112'!$M$9,G3442,1)),"",IF((AND(FIND('112'!$M$9,G3442,1)&gt;=1,B3442='112'!$K$9,OR($N3442='112'!$I$6,$O3442='112'!$I$6))),"x",""))</f>
        <v/>
      </c>
      <c r="U3442" s="75" t="str">
        <f>IF(ISERROR(FIND('112'!$M$9,G3442,1)),"",IF((AND(LEFT(G3442,2)=LEFT('112'!$M$9,2),B3442&lt;'112'!$K$9,$N3442='112'!$I$6)),"x",""))</f>
        <v/>
      </c>
      <c r="V3442" s="75" t="str">
        <f>IF(ISERROR(FIND('112'!$M$9,G3442,1)),"",IF((AND(RIGHT(G3442,2)=RIGHT('112'!$M$9,2),B3442&lt;'112'!$K$9,$O3442='112'!$I$6)),"x",""))</f>
        <v/>
      </c>
      <c r="W3442" s="75" t="str">
        <f>IF(AND('341-CT'!$H$9=H3442,OR(LEFT(N3442,3)=$W$7,LEFT(O3442,3)=$W$7)),"x","")</f>
        <v/>
      </c>
      <c r="X3442" s="75" t="str">
        <f>IF(OR(TH!N4932=TH!$X$7,O3442=TH!$X$7),"x","")</f>
        <v/>
      </c>
      <c r="Y3442" s="75" t="str">
        <f>IF(AND(OR(N3442="131",O3442="131"),H3442='131-CT'!$H$9),"x","")</f>
        <v/>
      </c>
      <c r="Z3442" s="75"/>
      <c r="AA3442" s="75" t="str">
        <f>IF(AND(MONTH(E3442)='IN-NX'!$J$5,'IN-NX'!$D$7=D3442),"x","")</f>
        <v/>
      </c>
      <c r="AB3442" s="75" t="str">
        <f>IF(AND(OR(LEFT(TH!N4932,2)="15",LEFT(TH!O4932,2)="15"),LEFT(TH!O4932,3)&lt;&gt;"111",'152-CT'!$J$8=TH!F4932),"x","")</f>
        <v/>
      </c>
      <c r="AC3442" s="75" t="str">
        <f>IF(AND(OR(LEFT(TH!N4932,2)="15",LEFT(TH!O4932,2)="15"),TK!$E$7=TH!F4932),"x","")</f>
        <v/>
      </c>
      <c r="AD3442" s="75" t="str">
        <f>IF(AND(N3442="1521",MONTH(C3442)='BK-NL'!$M$11),"x","")</f>
        <v/>
      </c>
    </row>
    <row r="3443" spans="1:30" ht="16.5" customHeight="1">
      <c r="A3443" s="309" t="str">
        <f>IF(B3443&lt;&gt;"",IF(AND(B3443='IN-TC'!$S$4,OR(TH!N3443="1111",TH!O3443="1111")),TH!D3443,""),"")</f>
        <v/>
      </c>
      <c r="B3443" s="1058">
        <f t="shared" si="1288"/>
        <v>1</v>
      </c>
      <c r="C3443" s="292">
        <f t="shared" si="1290"/>
        <v>42739</v>
      </c>
      <c r="D3443" s="292" t="s">
        <v>902</v>
      </c>
      <c r="E3443" s="292">
        <v>42739</v>
      </c>
      <c r="F3443" s="1125" t="s">
        <v>898</v>
      </c>
      <c r="G3443" s="943" t="s">
        <v>747</v>
      </c>
      <c r="H3443" s="67" t="s">
        <v>835</v>
      </c>
      <c r="I3443" s="73"/>
      <c r="J3443" s="926"/>
      <c r="K3443" s="373"/>
      <c r="L3443" s="379"/>
      <c r="M3443" s="927">
        <v>2000</v>
      </c>
      <c r="N3443" s="295" t="s">
        <v>9</v>
      </c>
      <c r="O3443" s="295" t="s">
        <v>26</v>
      </c>
      <c r="P3443" s="75" t="str">
        <f>IF(AND('331-CT'!$E$7=TH!H4933,OR(N3443="331",O3443="331")),"x","")</f>
        <v/>
      </c>
      <c r="Q3443" s="75" t="str">
        <f>IF(AND(B3443='111'!$L$11,OR($N3443=$Q$7,$O3443=$Q$7)),"x","")</f>
        <v/>
      </c>
      <c r="R3443" s="75" t="str">
        <f>IF(AND($N3443=$Q$7,$B3443&lt;'111'!$L$11),"x","")</f>
        <v/>
      </c>
      <c r="S3443" s="75" t="str">
        <f>IF(AND($O3443=$Q$7,$B3443&lt;'111'!$L$11),"x","")</f>
        <v/>
      </c>
      <c r="T3443" s="75" t="str">
        <f>IF(ISERROR(FIND('112'!$M$9,G3443,1)),"",IF((AND(FIND('112'!$M$9,G3443,1)&gt;=1,B3443='112'!$K$9,OR($N3443='112'!$I$6,$O3443='112'!$I$6))),"x",""))</f>
        <v/>
      </c>
      <c r="U3443" s="75" t="str">
        <f>IF(ISERROR(FIND('112'!$M$9,G3443,1)),"",IF((AND(LEFT(G3443,2)=LEFT('112'!$M$9,2),B3443&lt;'112'!$K$9,$N3443='112'!$I$6)),"x",""))</f>
        <v/>
      </c>
      <c r="V3443" s="75" t="str">
        <f>IF(ISERROR(FIND('112'!$M$9,G3443,1)),"",IF((AND(RIGHT(G3443,2)=RIGHT('112'!$M$9,2),B3443&lt;'112'!$K$9,$O3443='112'!$I$6)),"x",""))</f>
        <v/>
      </c>
      <c r="W3443" s="75" t="str">
        <f>IF(AND('341-CT'!$H$9=H3443,OR(LEFT(N3443,3)=$W$7,LEFT(O3443,3)=$W$7)),"x","")</f>
        <v/>
      </c>
      <c r="X3443" s="75" t="str">
        <f>IF(OR(TH!N4933=TH!$X$7,O3443=TH!$X$7),"x","")</f>
        <v/>
      </c>
      <c r="Y3443" s="75" t="str">
        <f>IF(AND(OR(N3443="131",O3443="131"),H3443='131-CT'!$H$9),"x","")</f>
        <v/>
      </c>
      <c r="Z3443" s="75"/>
      <c r="AA3443" s="75" t="str">
        <f>IF(AND(MONTH(E3443)='IN-NX'!$J$5,'IN-NX'!$D$7=D3443),"x","")</f>
        <v/>
      </c>
      <c r="AB3443" s="75" t="str">
        <f>IF(AND(OR(LEFT(TH!N4933,2)="15",LEFT(TH!O4933,2)="15"),LEFT(TH!O4933,3)&lt;&gt;"111",'152-CT'!$J$8=TH!F4933),"x","")</f>
        <v/>
      </c>
      <c r="AC3443" s="75" t="str">
        <f>IF(AND(OR(LEFT(TH!N4933,2)="15",LEFT(TH!O4933,2)="15"),TK!$E$7=TH!F4933),"x","")</f>
        <v/>
      </c>
      <c r="AD3443" s="75" t="str">
        <f>IF(AND(N3443="1521",MONTH(C3443)='BK-NL'!$M$11),"x","")</f>
        <v/>
      </c>
    </row>
    <row r="3444" spans="1:30" ht="16.5" customHeight="1">
      <c r="A3444" s="309" t="str">
        <f>IF(B3444&lt;&gt;"",IF(AND(B3444='IN-TC'!$S$4,OR(TH!N3444="1111",TH!O3444="1111")),TH!D3444,""),"")</f>
        <v/>
      </c>
      <c r="B3444" s="1131">
        <f t="shared" si="1288"/>
        <v>1</v>
      </c>
      <c r="C3444" s="292">
        <f t="shared" si="1290"/>
        <v>42739</v>
      </c>
      <c r="D3444" s="292" t="s">
        <v>1917</v>
      </c>
      <c r="E3444" s="292">
        <v>42739</v>
      </c>
      <c r="F3444" s="293" t="s">
        <v>1993</v>
      </c>
      <c r="G3444" s="925" t="s">
        <v>1992</v>
      </c>
      <c r="H3444" s="67" t="s">
        <v>1991</v>
      </c>
      <c r="I3444" s="373"/>
      <c r="J3444" s="926"/>
      <c r="K3444" s="373"/>
      <c r="L3444" s="379"/>
      <c r="M3444" s="927">
        <v>545455</v>
      </c>
      <c r="N3444" s="295" t="s">
        <v>539</v>
      </c>
      <c r="O3444" s="295" t="s">
        <v>63</v>
      </c>
      <c r="P3444" s="75" t="str">
        <f>IF(AND('331-CT'!$E$7=TH!H3472,OR(N3444="331",O3444="331")),"x","")</f>
        <v/>
      </c>
      <c r="Q3444" s="75" t="str">
        <f>IF(AND(B3444='111'!$L$11,OR($N3444=$Q$7,$O3444=$Q$7)),"x","")</f>
        <v/>
      </c>
      <c r="R3444" s="75" t="str">
        <f>IF(AND($N3444=$Q$7,$B3444&lt;'111'!$L$11),"x","")</f>
        <v/>
      </c>
      <c r="S3444" s="75" t="str">
        <f>IF(AND($O3444=$Q$7,$B3444&lt;'111'!$L$11),"x","")</f>
        <v>x</v>
      </c>
      <c r="T3444" s="75" t="str">
        <f>IF(ISERROR(FIND('112'!$M$9,G3444,1)),"",IF((AND(FIND('112'!$M$9,G3444,1)&gt;=1,B3444='112'!$K$9,OR($N3444='112'!$I$6,$O3444='112'!$I$6))),"x",""))</f>
        <v/>
      </c>
      <c r="U3444" s="75" t="str">
        <f>IF(ISERROR(FIND('112'!$M$9,G3444,1)),"",IF((AND(LEFT(G3444,2)=LEFT('112'!$M$9,2),B3444&lt;'112'!$K$9,$N3444='112'!$I$6)),"x",""))</f>
        <v/>
      </c>
      <c r="V3444" s="75" t="str">
        <f>IF(ISERROR(FIND('112'!$M$9,G3444,1)),"",IF((AND(RIGHT(G3444,2)=RIGHT('112'!$M$9,2),B3444&lt;'112'!$K$9,$O3444='112'!$I$6)),"x",""))</f>
        <v/>
      </c>
      <c r="W3444" s="75" t="str">
        <f>IF(AND('341-CT'!$H$9=H3444,OR(LEFT(N3444,3)=$W$7,LEFT(O3444,3)=$W$7)),"x","")</f>
        <v/>
      </c>
      <c r="X3444" s="75" t="str">
        <f>IF(OR(TH!N3472=TH!$X$7,O3444=TH!$X$7),"x","")</f>
        <v/>
      </c>
      <c r="Y3444" s="75" t="str">
        <f>IF(AND(OR(N3444="131",O3444="131"),H3444='131-CT'!$H$9),"x","")</f>
        <v/>
      </c>
      <c r="Z3444" s="75"/>
      <c r="AA3444" s="75" t="str">
        <f>IF(AND(MONTH(E3444)='IN-NX'!$J$5,'IN-NX'!$D$7=D3444),"x","")</f>
        <v/>
      </c>
      <c r="AB3444" s="75" t="str">
        <f>IF(AND(OR(LEFT(TH!N3472,2)="15",LEFT(TH!O3472,2)="15"),LEFT(TH!O3472,3)&lt;&gt;"111",'152-CT'!$J$8=TH!F3472),"x","")</f>
        <v/>
      </c>
      <c r="AC3444" s="75" t="str">
        <f>IF(AND(OR(LEFT(TH!N3472,2)="15",LEFT(TH!O3472,2)="15"),TK!$E$7=TH!F3472),"x","")</f>
        <v/>
      </c>
      <c r="AD3444" s="75" t="str">
        <f>IF(AND(N3444="1521",MONTH(C3444)='BK-NL'!$M$11),"x","")</f>
        <v/>
      </c>
    </row>
    <row r="3445" spans="1:30" ht="16.5" customHeight="1">
      <c r="A3445" s="309" t="str">
        <f>IF(B3445&lt;&gt;"",IF(AND(B3445='IN-TC'!$S$4,OR(TH!N3445="1111",TH!O3445="1111")),TH!D3445,""),"")</f>
        <v/>
      </c>
      <c r="B3445" s="1131">
        <f t="shared" si="1288"/>
        <v>1</v>
      </c>
      <c r="C3445" s="292">
        <f t="shared" si="1290"/>
        <v>42739</v>
      </c>
      <c r="D3445" s="292" t="s">
        <v>1917</v>
      </c>
      <c r="E3445" s="292">
        <v>42739</v>
      </c>
      <c r="F3445" s="293" t="s">
        <v>1994</v>
      </c>
      <c r="G3445" s="925" t="s">
        <v>1992</v>
      </c>
      <c r="H3445" s="67" t="s">
        <v>1991</v>
      </c>
      <c r="I3445" s="373"/>
      <c r="J3445" s="926"/>
      <c r="K3445" s="373"/>
      <c r="L3445" s="379"/>
      <c r="M3445" s="927">
        <v>54545</v>
      </c>
      <c r="N3445" s="295" t="s">
        <v>9</v>
      </c>
      <c r="O3445" s="295" t="s">
        <v>63</v>
      </c>
      <c r="P3445" s="75" t="str">
        <f>IF(AND('331-CT'!$E$7=TH!H3473,OR(N3445="331",O3445="331")),"x","")</f>
        <v/>
      </c>
      <c r="Q3445" s="75" t="str">
        <f>IF(AND(B3445='111'!$L$11,OR($N3445=$Q$7,$O3445=$Q$7)),"x","")</f>
        <v/>
      </c>
      <c r="R3445" s="75" t="str">
        <f>IF(AND($N3445=$Q$7,$B3445&lt;'111'!$L$11),"x","")</f>
        <v/>
      </c>
      <c r="S3445" s="75" t="str">
        <f>IF(AND($O3445=$Q$7,$B3445&lt;'111'!$L$11),"x","")</f>
        <v>x</v>
      </c>
      <c r="T3445" s="75" t="str">
        <f>IF(ISERROR(FIND('112'!$M$9,G3445,1)),"",IF((AND(FIND('112'!$M$9,G3445,1)&gt;=1,B3445='112'!$K$9,OR($N3445='112'!$I$6,$O3445='112'!$I$6))),"x",""))</f>
        <v/>
      </c>
      <c r="U3445" s="75" t="str">
        <f>IF(ISERROR(FIND('112'!$M$9,G3445,1)),"",IF((AND(LEFT(G3445,2)=LEFT('112'!$M$9,2),B3445&lt;'112'!$K$9,$N3445='112'!$I$6)),"x",""))</f>
        <v/>
      </c>
      <c r="V3445" s="75" t="str">
        <f>IF(ISERROR(FIND('112'!$M$9,G3445,1)),"",IF((AND(RIGHT(G3445,2)=RIGHT('112'!$M$9,2),B3445&lt;'112'!$K$9,$O3445='112'!$I$6)),"x",""))</f>
        <v/>
      </c>
      <c r="W3445" s="75" t="str">
        <f>IF(AND('341-CT'!$H$9=H3445,OR(LEFT(N3445,3)=$W$7,LEFT(O3445,3)=$W$7)),"x","")</f>
        <v/>
      </c>
      <c r="X3445" s="75" t="str">
        <f>IF(OR(TH!N3473=TH!$X$7,O3445=TH!$X$7),"x","")</f>
        <v>x</v>
      </c>
      <c r="Y3445" s="75" t="str">
        <f>IF(AND(OR(N3445="131",O3445="131"),H3445='131-CT'!$H$9),"x","")</f>
        <v/>
      </c>
      <c r="Z3445" s="75"/>
      <c r="AA3445" s="75" t="str">
        <f>IF(AND(MONTH(E3445)='IN-NX'!$J$5,'IN-NX'!$D$7=D3445),"x","")</f>
        <v/>
      </c>
      <c r="AB3445" s="75" t="str">
        <f>IF(AND(OR(LEFT(TH!N3473,2)="15",LEFT(TH!O3473,2)="15"),LEFT(TH!O3473,3)&lt;&gt;"111",'152-CT'!$J$8=TH!F3473),"x","")</f>
        <v/>
      </c>
      <c r="AC3445" s="75" t="str">
        <f>IF(AND(OR(LEFT(TH!N3473,2)="15",LEFT(TH!O3473,2)="15"),TK!$E$7=TH!F3473),"x","")</f>
        <v/>
      </c>
      <c r="AD3445" s="75" t="str">
        <f>IF(AND(N3445="1521",MONTH(C3445)='BK-NL'!$M$11),"x","")</f>
        <v/>
      </c>
    </row>
    <row r="3446" spans="1:30" ht="16.5" customHeight="1">
      <c r="A3446" s="309" t="str">
        <f>IF(B3446&lt;&gt;"",IF(AND(B3446='IN-TC'!$S$4,OR(TH!N3446="1111",TH!O3446="1111")),TH!D3446,""),"")</f>
        <v/>
      </c>
      <c r="B3446" s="1058">
        <f t="shared" si="1288"/>
        <v>1</v>
      </c>
      <c r="C3446" s="292">
        <f t="shared" si="1290"/>
        <v>42740</v>
      </c>
      <c r="D3446" s="292" t="s">
        <v>1922</v>
      </c>
      <c r="E3446" s="929">
        <v>42740</v>
      </c>
      <c r="F3446" s="73" t="s">
        <v>1165</v>
      </c>
      <c r="G3446" s="931" t="s">
        <v>1103</v>
      </c>
      <c r="H3446" s="296" t="s">
        <v>796</v>
      </c>
      <c r="I3446" s="371"/>
      <c r="J3446" s="932"/>
      <c r="K3446" s="371"/>
      <c r="L3446" s="377"/>
      <c r="M3446" s="933">
        <v>18952450</v>
      </c>
      <c r="N3446" s="934" t="s">
        <v>8</v>
      </c>
      <c r="O3446" s="934" t="s">
        <v>63</v>
      </c>
      <c r="P3446" s="75" t="e">
        <f>IF(AND('331-CT'!$E$7=TH!#REF!,OR(N3446="331",O3446="331")),"x","")</f>
        <v>#REF!</v>
      </c>
      <c r="Q3446" s="75" t="str">
        <f>IF(AND(B3446='111'!$L$11,OR($N3446=$Q$7,$O3446=$Q$7)),"x","")</f>
        <v/>
      </c>
      <c r="R3446" s="75" t="str">
        <f>IF(AND($N3446=$Q$7,$B3446&lt;'111'!$L$11),"x","")</f>
        <v/>
      </c>
      <c r="S3446" s="75" t="str">
        <f>IF(AND($O3446=$Q$7,$B3446&lt;'111'!$L$11),"x","")</f>
        <v>x</v>
      </c>
      <c r="T3446" s="75" t="str">
        <f>IF(ISERROR(FIND('112'!$M$9,G3446,1)),"",IF((AND(FIND('112'!$M$9,G3446,1)&gt;=1,B3446='112'!$K$9,OR($N3446='112'!$I$6,$O3446='112'!$I$6))),"x",""))</f>
        <v/>
      </c>
      <c r="U3446" s="75" t="str">
        <f>IF(ISERROR(FIND('112'!$M$9,G3446,1)),"",IF((AND(LEFT(G3446,2)=LEFT('112'!$M$9,2),B3446&lt;'112'!$K$9,$N3446='112'!$I$6)),"x",""))</f>
        <v/>
      </c>
      <c r="V3446" s="75" t="str">
        <f>IF(ISERROR(FIND('112'!$M$9,G3446,1)),"",IF((AND(RIGHT(G3446,2)=RIGHT('112'!$M$9,2),B3446&lt;'112'!$K$9,$O3446='112'!$I$6)),"x",""))</f>
        <v/>
      </c>
      <c r="W3446" s="75" t="str">
        <f>IF(AND('341-CT'!$H$9=H3446,OR(LEFT(N3446,3)=$W$7,LEFT(O3446,3)=$W$7)),"x","")</f>
        <v/>
      </c>
      <c r="X3446" s="75" t="e">
        <f>IF(OR(TH!#REF!=TH!$X$7,O3446=TH!$X$7),"x","")</f>
        <v>#REF!</v>
      </c>
      <c r="Y3446" s="75" t="str">
        <f>IF(AND(OR(N3446="131",O3446="131"),H3446='131-CT'!$H$9),"x","")</f>
        <v/>
      </c>
      <c r="Z3446" s="75"/>
      <c r="AA3446" s="75" t="str">
        <f>IF(AND(MONTH(E3446)='IN-NX'!$J$5,'IN-NX'!$D$7=D3446),"x","")</f>
        <v/>
      </c>
      <c r="AB3446" s="75" t="e">
        <f>IF(AND(OR(LEFT(TH!#REF!,2)="15",LEFT(TH!#REF!,2)="15"),LEFT(TH!#REF!,3)&lt;&gt;"111",'152-CT'!$J$8=TH!#REF!),"x","")</f>
        <v>#REF!</v>
      </c>
      <c r="AC3446" s="75" t="e">
        <f>IF(AND(OR(LEFT(TH!#REF!,2)="15",LEFT(TH!#REF!,2)="15"),TK!$E$7=TH!#REF!),"x","")</f>
        <v>#REF!</v>
      </c>
      <c r="AD3446" s="75" t="str">
        <f>IF(AND(N3446="1521",MONTH(C3446)='BK-NL'!$M$11),"x","")</f>
        <v/>
      </c>
    </row>
    <row r="3447" spans="1:30" ht="16.5" customHeight="1">
      <c r="A3447" s="309" t="str">
        <f>IF(B3447&lt;&gt;"",IF(AND(B3447='IN-TC'!$S$4,OR(TH!N3447="1111",TH!O3447="1111")),TH!D3447,""),"")</f>
        <v/>
      </c>
      <c r="B3447" s="1058">
        <f t="shared" si="1288"/>
        <v>1</v>
      </c>
      <c r="C3447" s="292">
        <f t="shared" si="1290"/>
        <v>42741</v>
      </c>
      <c r="D3447" s="292" t="s">
        <v>1923</v>
      </c>
      <c r="E3447" s="292">
        <v>42741</v>
      </c>
      <c r="F3447" s="293" t="s">
        <v>931</v>
      </c>
      <c r="G3447" s="925" t="s">
        <v>932</v>
      </c>
      <c r="H3447" s="67" t="s">
        <v>933</v>
      </c>
      <c r="I3447" s="373"/>
      <c r="J3447" s="926"/>
      <c r="K3447" s="373"/>
      <c r="L3447" s="379"/>
      <c r="M3447" s="927">
        <v>170000</v>
      </c>
      <c r="N3447" s="295" t="s">
        <v>101</v>
      </c>
      <c r="O3447" s="295" t="s">
        <v>63</v>
      </c>
      <c r="P3447" s="75" t="e">
        <f>IF(AND('331-CT'!$E$7=TH!#REF!,OR(N3447="331",O3447="331")),"x","")</f>
        <v>#REF!</v>
      </c>
      <c r="Q3447" s="75" t="str">
        <f>IF(AND(B3447='111'!$L$11,OR($N3447=$Q$7,$O3447=$Q$7)),"x","")</f>
        <v/>
      </c>
      <c r="R3447" s="75" t="str">
        <f>IF(AND($N3447=$Q$7,$B3447&lt;'111'!$L$11),"x","")</f>
        <v/>
      </c>
      <c r="S3447" s="75" t="str">
        <f>IF(AND($O3447=$Q$7,$B3447&lt;'111'!$L$11),"x","")</f>
        <v>x</v>
      </c>
      <c r="T3447" s="75" t="str">
        <f>IF(ISERROR(FIND('112'!$M$9,G3447,1)),"",IF((AND(FIND('112'!$M$9,G3447,1)&gt;=1,B3447='112'!$K$9,OR($N3447='112'!$I$6,$O3447='112'!$I$6))),"x",""))</f>
        <v/>
      </c>
      <c r="U3447" s="75" t="str">
        <f>IF(ISERROR(FIND('112'!$M$9,G3447,1)),"",IF((AND(LEFT(G3447,2)=LEFT('112'!$M$9,2),B3447&lt;'112'!$K$9,$N3447='112'!$I$6)),"x",""))</f>
        <v/>
      </c>
      <c r="V3447" s="75" t="str">
        <f>IF(ISERROR(FIND('112'!$M$9,G3447,1)),"",IF((AND(RIGHT(G3447,2)=RIGHT('112'!$M$9,2),B3447&lt;'112'!$K$9,$O3447='112'!$I$6)),"x",""))</f>
        <v/>
      </c>
      <c r="W3447" s="75" t="str">
        <f>IF(AND('341-CT'!$H$9=H3447,OR(LEFT(N3447,3)=$W$7,LEFT(O3447,3)=$W$7)),"x","")</f>
        <v/>
      </c>
      <c r="X3447" s="75" t="e">
        <f>IF(OR(TH!#REF!=TH!$X$7,O3447=TH!$X$7),"x","")</f>
        <v>#REF!</v>
      </c>
      <c r="Y3447" s="75" t="str">
        <f>IF(AND(OR(N3447="131",O3447="131"),H3447='131-CT'!$H$9),"x","")</f>
        <v/>
      </c>
      <c r="Z3447" s="75"/>
      <c r="AA3447" s="75" t="str">
        <f>IF(AND(MONTH(E3447)='IN-NX'!$J$5,'IN-NX'!$D$7=D3447),"x","")</f>
        <v/>
      </c>
      <c r="AB3447" s="75" t="e">
        <f>IF(AND(OR(LEFT(TH!#REF!,2)="15",LEFT(TH!#REF!,2)="15"),LEFT(TH!#REF!,3)&lt;&gt;"111",'152-CT'!$J$8=TH!#REF!),"x","")</f>
        <v>#REF!</v>
      </c>
      <c r="AC3447" s="75" t="e">
        <f>IF(AND(OR(LEFT(TH!#REF!,2)="15",LEFT(TH!#REF!,2)="15"),TK!$E$7=TH!#REF!),"x","")</f>
        <v>#REF!</v>
      </c>
      <c r="AD3447" s="75" t="str">
        <f>IF(AND(N3447="1521",MONTH(C3447)='BK-NL'!$M$11),"x","")</f>
        <v/>
      </c>
    </row>
    <row r="3448" spans="1:30" ht="16.5" customHeight="1">
      <c r="A3448" s="309" t="str">
        <f>IF(B3448&lt;&gt;"",IF(AND(B3448='IN-TC'!$S$4,OR(TH!N3448="1111",TH!O3448="1111")),TH!D3448,""),"")</f>
        <v/>
      </c>
      <c r="B3448" s="1058">
        <f t="shared" si="1288"/>
        <v>1</v>
      </c>
      <c r="C3448" s="292">
        <f t="shared" si="1290"/>
        <v>42741</v>
      </c>
      <c r="D3448" s="292" t="s">
        <v>1924</v>
      </c>
      <c r="E3448" s="292">
        <v>42741</v>
      </c>
      <c r="F3448" s="293" t="s">
        <v>934</v>
      </c>
      <c r="G3448" s="925" t="s">
        <v>942</v>
      </c>
      <c r="H3448" s="67" t="s">
        <v>935</v>
      </c>
      <c r="I3448" s="373"/>
      <c r="J3448" s="926"/>
      <c r="K3448" s="373"/>
      <c r="L3448" s="379"/>
      <c r="M3448" s="927">
        <v>2151242</v>
      </c>
      <c r="N3448" s="295" t="s">
        <v>101</v>
      </c>
      <c r="O3448" s="295" t="s">
        <v>63</v>
      </c>
      <c r="P3448" s="75" t="e">
        <f>IF(AND('331-CT'!$E$7=TH!#REF!,OR(N3448="331",O3448="331")),"x","")</f>
        <v>#REF!</v>
      </c>
      <c r="Q3448" s="75" t="str">
        <f>IF(AND(B3448='111'!$L$11,OR($N3448=$Q$7,$O3448=$Q$7)),"x","")</f>
        <v/>
      </c>
      <c r="R3448" s="75" t="str">
        <f>IF(AND($N3448=$Q$7,$B3448&lt;'111'!$L$11),"x","")</f>
        <v/>
      </c>
      <c r="S3448" s="75" t="str">
        <f>IF(AND($O3448=$Q$7,$B3448&lt;'111'!$L$11),"x","")</f>
        <v>x</v>
      </c>
      <c r="T3448" s="75" t="str">
        <f>IF(ISERROR(FIND('112'!$M$9,G3448,1)),"",IF((AND(FIND('112'!$M$9,G3448,1)&gt;=1,B3448='112'!$K$9,OR($N3448='112'!$I$6,$O3448='112'!$I$6))),"x",""))</f>
        <v/>
      </c>
      <c r="U3448" s="75" t="str">
        <f>IF(ISERROR(FIND('112'!$M$9,G3448,1)),"",IF((AND(LEFT(G3448,2)=LEFT('112'!$M$9,2),B3448&lt;'112'!$K$9,$N3448='112'!$I$6)),"x",""))</f>
        <v/>
      </c>
      <c r="V3448" s="75" t="str">
        <f>IF(ISERROR(FIND('112'!$M$9,G3448,1)),"",IF((AND(RIGHT(G3448,2)=RIGHT('112'!$M$9,2),B3448&lt;'112'!$K$9,$O3448='112'!$I$6)),"x",""))</f>
        <v/>
      </c>
      <c r="W3448" s="75" t="str">
        <f>IF(AND('341-CT'!$H$9=H3448,OR(LEFT(N3448,3)=$W$7,LEFT(O3448,3)=$W$7)),"x","")</f>
        <v/>
      </c>
      <c r="X3448" s="75" t="e">
        <f>IF(OR(TH!#REF!=TH!$X$7,O3448=TH!$X$7),"x","")</f>
        <v>#REF!</v>
      </c>
      <c r="Y3448" s="75" t="str">
        <f>IF(AND(OR(N3448="131",O3448="131"),H3448='131-CT'!$H$9),"x","")</f>
        <v/>
      </c>
      <c r="Z3448" s="75"/>
      <c r="AA3448" s="75" t="str">
        <f>IF(AND(MONTH(E3448)='IN-NX'!$J$5,'IN-NX'!$D$7=D3448),"x","")</f>
        <v/>
      </c>
      <c r="AB3448" s="75" t="e">
        <f>IF(AND(OR(LEFT(TH!#REF!,2)="15",LEFT(TH!#REF!,2)="15"),LEFT(TH!#REF!,3)&lt;&gt;"111",'152-CT'!$J$8=TH!#REF!),"x","")</f>
        <v>#REF!</v>
      </c>
      <c r="AC3448" s="75" t="e">
        <f>IF(AND(OR(LEFT(TH!#REF!,2)="15",LEFT(TH!#REF!,2)="15"),TK!$E$7=TH!#REF!),"x","")</f>
        <v>#REF!</v>
      </c>
      <c r="AD3448" s="75" t="str">
        <f>IF(AND(N3448="1521",MONTH(C3448)='BK-NL'!$M$11),"x","")</f>
        <v/>
      </c>
    </row>
    <row r="3449" spans="1:30" ht="16.5" customHeight="1">
      <c r="A3449" s="309" t="str">
        <f>IF(B3449&lt;&gt;"",IF(AND(B3449='IN-TC'!$S$4,OR(TH!N3449="1111",TH!O3449="1111")),TH!D3449,""),"")</f>
        <v/>
      </c>
      <c r="B3449" s="1058">
        <f t="shared" si="1288"/>
        <v>1</v>
      </c>
      <c r="C3449" s="292">
        <f t="shared" si="1290"/>
        <v>42741</v>
      </c>
      <c r="D3449" s="292" t="s">
        <v>1924</v>
      </c>
      <c r="E3449" s="292">
        <v>42741</v>
      </c>
      <c r="F3449" s="293" t="s">
        <v>937</v>
      </c>
      <c r="G3449" s="925" t="s">
        <v>942</v>
      </c>
      <c r="H3449" s="67" t="s">
        <v>935</v>
      </c>
      <c r="I3449" s="373"/>
      <c r="J3449" s="926"/>
      <c r="K3449" s="373"/>
      <c r="L3449" s="379"/>
      <c r="M3449" s="927">
        <v>215124</v>
      </c>
      <c r="N3449" s="295" t="s">
        <v>9</v>
      </c>
      <c r="O3449" s="295" t="s">
        <v>63</v>
      </c>
      <c r="P3449" s="75" t="str">
        <f>IF(AND('331-CT'!$E$7=TH!H3427,OR(N3449="331",O3449="331")),"x","")</f>
        <v/>
      </c>
      <c r="Q3449" s="75" t="str">
        <f>IF(AND(B3449='111'!$L$11,OR($N3449=$Q$7,$O3449=$Q$7)),"x","")</f>
        <v/>
      </c>
      <c r="R3449" s="75" t="str">
        <f>IF(AND($N3449=$Q$7,$B3449&lt;'111'!$L$11),"x","")</f>
        <v/>
      </c>
      <c r="S3449" s="75" t="str">
        <f>IF(AND($O3449=$Q$7,$B3449&lt;'111'!$L$11),"x","")</f>
        <v>x</v>
      </c>
      <c r="T3449" s="75" t="str">
        <f>IF(ISERROR(FIND('112'!$M$9,G3449,1)),"",IF((AND(FIND('112'!$M$9,G3449,1)&gt;=1,B3449='112'!$K$9,OR($N3449='112'!$I$6,$O3449='112'!$I$6))),"x",""))</f>
        <v/>
      </c>
      <c r="U3449" s="75" t="str">
        <f>IF(ISERROR(FIND('112'!$M$9,G3449,1)),"",IF((AND(LEFT(G3449,2)=LEFT('112'!$M$9,2),B3449&lt;'112'!$K$9,$N3449='112'!$I$6)),"x",""))</f>
        <v/>
      </c>
      <c r="V3449" s="75" t="str">
        <f>IF(ISERROR(FIND('112'!$M$9,G3449,1)),"",IF((AND(RIGHT(G3449,2)=RIGHT('112'!$M$9,2),B3449&lt;'112'!$K$9,$O3449='112'!$I$6)),"x",""))</f>
        <v/>
      </c>
      <c r="W3449" s="75" t="str">
        <f>IF(AND('341-CT'!$H$9=H3449,OR(LEFT(N3449,3)=$W$7,LEFT(O3449,3)=$W$7)),"x","")</f>
        <v/>
      </c>
      <c r="X3449" s="75" t="str">
        <f>IF(OR(TH!N3427=TH!$X$7,O3449=TH!$X$7),"x","")</f>
        <v/>
      </c>
      <c r="Y3449" s="75" t="str">
        <f>IF(AND(OR(N3449="131",O3449="131"),H3449='131-CT'!$H$9),"x","")</f>
        <v/>
      </c>
      <c r="Z3449" s="75"/>
      <c r="AA3449" s="75" t="str">
        <f>IF(AND(MONTH(E3449)='IN-NX'!$J$5,'IN-NX'!$D$7=D3449),"x","")</f>
        <v/>
      </c>
      <c r="AB3449" s="75" t="str">
        <f>IF(AND(OR(LEFT(TH!N3427,2)="15",LEFT(TH!O3427,2)="15"),LEFT(TH!O3427,3)&lt;&gt;"111",'152-CT'!$J$8=TH!F3427),"x","")</f>
        <v/>
      </c>
      <c r="AC3449" s="75" t="str">
        <f>IF(AND(OR(LEFT(TH!N3427,2)="15",LEFT(TH!O3427,2)="15"),TK!$E$7=TH!F3427),"x","")</f>
        <v/>
      </c>
      <c r="AD3449" s="75" t="str">
        <f>IF(AND(N3449="1521",MONTH(C3449)='BK-NL'!$M$11),"x","")</f>
        <v/>
      </c>
    </row>
    <row r="3450" spans="1:30" ht="16.5" customHeight="1">
      <c r="A3450" s="309" t="str">
        <f>IF(B3450&lt;&gt;"",IF(AND(B3450='IN-TC'!$S$4,OR(TH!N3450="1111",TH!O3450="1111")),TH!D3450,""),"")</f>
        <v/>
      </c>
      <c r="B3450" s="1058">
        <f t="shared" si="1288"/>
        <v>1</v>
      </c>
      <c r="C3450" s="292">
        <f t="shared" si="1290"/>
        <v>42741</v>
      </c>
      <c r="D3450" s="292" t="s">
        <v>1925</v>
      </c>
      <c r="E3450" s="292">
        <v>42741</v>
      </c>
      <c r="F3450" s="293" t="s">
        <v>881</v>
      </c>
      <c r="G3450" s="925" t="s">
        <v>936</v>
      </c>
      <c r="H3450" s="67" t="s">
        <v>884</v>
      </c>
      <c r="I3450" s="373"/>
      <c r="J3450" s="926"/>
      <c r="K3450" s="373"/>
      <c r="L3450" s="379"/>
      <c r="M3450" s="927">
        <v>7800000</v>
      </c>
      <c r="N3450" s="295" t="s">
        <v>101</v>
      </c>
      <c r="O3450" s="295" t="s">
        <v>63</v>
      </c>
      <c r="P3450" s="75" t="str">
        <f>IF(AND('331-CT'!$E$7=TH!H3428,OR(N3450="331",O3450="331")),"x","")</f>
        <v/>
      </c>
      <c r="Q3450" s="75" t="str">
        <f>IF(AND(B3450='111'!$L$11,OR($N3450=$Q$7,$O3450=$Q$7)),"x","")</f>
        <v/>
      </c>
      <c r="R3450" s="75" t="str">
        <f>IF(AND($N3450=$Q$7,$B3450&lt;'111'!$L$11),"x","")</f>
        <v/>
      </c>
      <c r="S3450" s="75" t="str">
        <f>IF(AND($O3450=$Q$7,$B3450&lt;'111'!$L$11),"x","")</f>
        <v>x</v>
      </c>
      <c r="T3450" s="75" t="str">
        <f>IF(ISERROR(FIND('112'!$M$9,G3450,1)),"",IF((AND(FIND('112'!$M$9,G3450,1)&gt;=1,B3450='112'!$K$9,OR($N3450='112'!$I$6,$O3450='112'!$I$6))),"x",""))</f>
        <v/>
      </c>
      <c r="U3450" s="75" t="str">
        <f>IF(ISERROR(FIND('112'!$M$9,G3450,1)),"",IF((AND(LEFT(G3450,2)=LEFT('112'!$M$9,2),B3450&lt;'112'!$K$9,$N3450='112'!$I$6)),"x",""))</f>
        <v/>
      </c>
      <c r="V3450" s="75" t="str">
        <f>IF(ISERROR(FIND('112'!$M$9,G3450,1)),"",IF((AND(RIGHT(G3450,2)=RIGHT('112'!$M$9,2),B3450&lt;'112'!$K$9,$O3450='112'!$I$6)),"x",""))</f>
        <v/>
      </c>
      <c r="W3450" s="75" t="str">
        <f>IF(AND('341-CT'!$H$9=H3450,OR(LEFT(N3450,3)=$W$7,LEFT(O3450,3)=$W$7)),"x","")</f>
        <v/>
      </c>
      <c r="X3450" s="75" t="str">
        <f>IF(OR(TH!N3428=TH!$X$7,O3450=TH!$X$7),"x","")</f>
        <v/>
      </c>
      <c r="Y3450" s="75" t="str">
        <f>IF(AND(OR(N3450="131",O3450="131"),H3450='131-CT'!$H$9),"x","")</f>
        <v/>
      </c>
      <c r="Z3450" s="75"/>
      <c r="AA3450" s="75" t="str">
        <f>IF(AND(MONTH(E3450)='IN-NX'!$J$5,'IN-NX'!$D$7=D3450),"x","")</f>
        <v/>
      </c>
      <c r="AB3450" s="75" t="str">
        <f>IF(AND(OR(LEFT(TH!N3428,2)="15",LEFT(TH!O3428,2)="15"),LEFT(TH!O3428,3)&lt;&gt;"111",'152-CT'!$J$8=TH!F3428),"x","")</f>
        <v/>
      </c>
      <c r="AC3450" s="75" t="str">
        <f>IF(AND(OR(LEFT(TH!N3428,2)="15",LEFT(TH!O3428,2)="15"),TK!$E$7=TH!F3428),"x","")</f>
        <v/>
      </c>
      <c r="AD3450" s="75" t="str">
        <f>IF(AND(N3450="1521",MONTH(C3450)='BK-NL'!$M$11),"x","")</f>
        <v/>
      </c>
    </row>
    <row r="3451" spans="1:30" ht="16.5" customHeight="1">
      <c r="A3451" s="309" t="str">
        <f>IF(B3451&lt;&gt;"",IF(AND(B3451='IN-TC'!$S$4,OR(TH!N3451="1111",TH!O3451="1111")),TH!D3451,""),"")</f>
        <v/>
      </c>
      <c r="B3451" s="1058">
        <f t="shared" si="1288"/>
        <v>1</v>
      </c>
      <c r="C3451" s="292">
        <f t="shared" si="1290"/>
        <v>42741</v>
      </c>
      <c r="D3451" s="292" t="s">
        <v>1925</v>
      </c>
      <c r="E3451" s="292">
        <v>42741</v>
      </c>
      <c r="F3451" s="293" t="s">
        <v>882</v>
      </c>
      <c r="G3451" s="925" t="s">
        <v>936</v>
      </c>
      <c r="H3451" s="67" t="s">
        <v>884</v>
      </c>
      <c r="I3451" s="373"/>
      <c r="J3451" s="926"/>
      <c r="K3451" s="373"/>
      <c r="L3451" s="379"/>
      <c r="M3451" s="927">
        <v>390000</v>
      </c>
      <c r="N3451" s="295" t="s">
        <v>9</v>
      </c>
      <c r="O3451" s="295" t="s">
        <v>63</v>
      </c>
      <c r="P3451" s="75" t="str">
        <f>IF(AND('331-CT'!$E$7=TH!H3429,OR(N3451="331",O3451="331")),"x","")</f>
        <v/>
      </c>
      <c r="Q3451" s="75" t="str">
        <f>IF(AND(B3451='111'!$L$11,OR($N3451=$Q$7,$O3451=$Q$7)),"x","")</f>
        <v/>
      </c>
      <c r="R3451" s="75" t="str">
        <f>IF(AND($N3451=$Q$7,$B3451&lt;'111'!$L$11),"x","")</f>
        <v/>
      </c>
      <c r="S3451" s="75" t="str">
        <f>IF(AND($O3451=$Q$7,$B3451&lt;'111'!$L$11),"x","")</f>
        <v>x</v>
      </c>
      <c r="T3451" s="75" t="str">
        <f>IF(ISERROR(FIND('112'!$M$9,G3451,1)),"",IF((AND(FIND('112'!$M$9,G3451,1)&gt;=1,B3451='112'!$K$9,OR($N3451='112'!$I$6,$O3451='112'!$I$6))),"x",""))</f>
        <v/>
      </c>
      <c r="U3451" s="75" t="str">
        <f>IF(ISERROR(FIND('112'!$M$9,G3451,1)),"",IF((AND(LEFT(G3451,2)=LEFT('112'!$M$9,2),B3451&lt;'112'!$K$9,$N3451='112'!$I$6)),"x",""))</f>
        <v/>
      </c>
      <c r="V3451" s="75" t="str">
        <f>IF(ISERROR(FIND('112'!$M$9,G3451,1)),"",IF((AND(RIGHT(G3451,2)=RIGHT('112'!$M$9,2),B3451&lt;'112'!$K$9,$O3451='112'!$I$6)),"x",""))</f>
        <v/>
      </c>
      <c r="W3451" s="75" t="str">
        <f>IF(AND('341-CT'!$H$9=H3451,OR(LEFT(N3451,3)=$W$7,LEFT(O3451,3)=$W$7)),"x","")</f>
        <v/>
      </c>
      <c r="X3451" s="75" t="str">
        <f>IF(OR(TH!N3429=TH!$X$7,O3451=TH!$X$7),"x","")</f>
        <v/>
      </c>
      <c r="Y3451" s="75" t="str">
        <f>IF(AND(OR(N3451="131",O3451="131"),H3451='131-CT'!$H$9),"x","")</f>
        <v/>
      </c>
      <c r="Z3451" s="75"/>
      <c r="AA3451" s="75" t="str">
        <f>IF(AND(MONTH(E3451)='IN-NX'!$J$5,'IN-NX'!$D$7=D3451),"x","")</f>
        <v/>
      </c>
      <c r="AB3451" s="75" t="str">
        <f>IF(AND(OR(LEFT(TH!N3429,2)="15",LEFT(TH!O3429,2)="15"),LEFT(TH!O3429,3)&lt;&gt;"111",'152-CT'!$J$8=TH!F3429),"x","")</f>
        <v/>
      </c>
      <c r="AC3451" s="75" t="str">
        <f>IF(AND(OR(LEFT(TH!N3429,2)="15",LEFT(TH!O3429,2)="15"),TK!$E$7=TH!F3429),"x","")</f>
        <v/>
      </c>
      <c r="AD3451" s="75" t="str">
        <f>IF(AND(N3451="1521",MONTH(C3451)='BK-NL'!$M$11),"x","")</f>
        <v/>
      </c>
    </row>
    <row r="3452" spans="1:30" ht="16.5" customHeight="1">
      <c r="A3452" s="309" t="str">
        <f>IF(B3452&lt;&gt;"",IF(AND(B3452='IN-TC'!$S$4,OR(TH!N3452="1111",TH!O3452="1111")),TH!D3452,""),"")</f>
        <v/>
      </c>
      <c r="B3452" s="1058">
        <f t="shared" si="1288"/>
        <v>1</v>
      </c>
      <c r="C3452" s="292">
        <f t="shared" si="1290"/>
        <v>42741</v>
      </c>
      <c r="D3452" s="292" t="s">
        <v>902</v>
      </c>
      <c r="E3452" s="292">
        <v>42741</v>
      </c>
      <c r="F3452" s="293" t="s">
        <v>901</v>
      </c>
      <c r="G3452" s="943" t="s">
        <v>747</v>
      </c>
      <c r="H3452" s="67" t="s">
        <v>835</v>
      </c>
      <c r="I3452" s="73"/>
      <c r="J3452" s="926"/>
      <c r="K3452" s="373"/>
      <c r="L3452" s="379"/>
      <c r="M3452" s="927">
        <v>1796915</v>
      </c>
      <c r="N3452" s="295" t="s">
        <v>101</v>
      </c>
      <c r="O3452" s="295" t="s">
        <v>26</v>
      </c>
      <c r="P3452" s="75" t="str">
        <f>IF(AND('331-CT'!$E$7=TH!H4934,OR(N3452="331",O3452="331")),"x","")</f>
        <v/>
      </c>
      <c r="Q3452" s="75" t="str">
        <f>IF(AND(B3452='111'!$L$11,OR($N3452=$Q$7,$O3452=$Q$7)),"x","")</f>
        <v/>
      </c>
      <c r="R3452" s="75" t="str">
        <f>IF(AND($N3452=$Q$7,$B3452&lt;'111'!$L$11),"x","")</f>
        <v/>
      </c>
      <c r="S3452" s="75" t="str">
        <f>IF(AND($O3452=$Q$7,$B3452&lt;'111'!$L$11),"x","")</f>
        <v/>
      </c>
      <c r="T3452" s="75" t="str">
        <f>IF(ISERROR(FIND('112'!$M$9,G3452,1)),"",IF((AND(FIND('112'!$M$9,G3452,1)&gt;=1,B3452='112'!$K$9,OR($N3452='112'!$I$6,$O3452='112'!$I$6))),"x",""))</f>
        <v/>
      </c>
      <c r="U3452" s="75" t="str">
        <f>IF(ISERROR(FIND('112'!$M$9,G3452,1)),"",IF((AND(LEFT(G3452,2)=LEFT('112'!$M$9,2),B3452&lt;'112'!$K$9,$N3452='112'!$I$6)),"x",""))</f>
        <v/>
      </c>
      <c r="V3452" s="75" t="str">
        <f>IF(ISERROR(FIND('112'!$M$9,G3452,1)),"",IF((AND(RIGHT(G3452,2)=RIGHT('112'!$M$9,2),B3452&lt;'112'!$K$9,$O3452='112'!$I$6)),"x",""))</f>
        <v/>
      </c>
      <c r="W3452" s="75" t="str">
        <f>IF(AND('341-CT'!$H$9=H3452,OR(LEFT(N3452,3)=$W$7,LEFT(O3452,3)=$W$7)),"x","")</f>
        <v/>
      </c>
      <c r="X3452" s="75" t="str">
        <f>IF(OR(TH!N4934=TH!$X$7,O3452=TH!$X$7),"x","")</f>
        <v/>
      </c>
      <c r="Y3452" s="75" t="str">
        <f>IF(AND(OR(N3452="131",O3452="131"),H3452='131-CT'!$H$9),"x","")</f>
        <v/>
      </c>
      <c r="Z3452" s="75"/>
      <c r="AA3452" s="75" t="str">
        <f>IF(AND(MONTH(E3452)='IN-NX'!$J$5,'IN-NX'!$D$7=D3452),"x","")</f>
        <v/>
      </c>
      <c r="AB3452" s="75" t="str">
        <f>IF(AND(OR(LEFT(TH!N4934,2)="15",LEFT(TH!O4934,2)="15"),LEFT(TH!O4934,3)&lt;&gt;"111",'152-CT'!$J$8=TH!F4934),"x","")</f>
        <v/>
      </c>
      <c r="AC3452" s="75" t="str">
        <f>IF(AND(OR(LEFT(TH!N4934,2)="15",LEFT(TH!O4934,2)="15"),TK!$E$7=TH!F4934),"x","")</f>
        <v/>
      </c>
      <c r="AD3452" s="75" t="str">
        <f>IF(AND(N3452="1521",MONTH(C3452)='BK-NL'!$M$11),"x","")</f>
        <v/>
      </c>
    </row>
    <row r="3453" spans="1:30" ht="16.5" customHeight="1">
      <c r="A3453" s="309" t="str">
        <f>IF(B3453&lt;&gt;"",IF(AND(B3453='IN-TC'!$S$4,OR(TH!N3453="1111",TH!O3453="1111")),TH!D3453,""),"")</f>
        <v/>
      </c>
      <c r="B3453" s="1058">
        <f t="shared" si="1288"/>
        <v>1</v>
      </c>
      <c r="C3453" s="292">
        <f t="shared" si="1290"/>
        <v>42741</v>
      </c>
      <c r="D3453" s="292" t="s">
        <v>903</v>
      </c>
      <c r="E3453" s="292">
        <v>42741</v>
      </c>
      <c r="F3453" s="293" t="s">
        <v>252</v>
      </c>
      <c r="G3453" s="943" t="s">
        <v>747</v>
      </c>
      <c r="H3453" s="962" t="s">
        <v>1083</v>
      </c>
      <c r="I3453" s="73"/>
      <c r="J3453" s="926"/>
      <c r="K3453" s="373">
        <v>93000</v>
      </c>
      <c r="L3453" s="379">
        <v>22558</v>
      </c>
      <c r="M3453" s="927">
        <f>ROUND(L3453*K3453,0)</f>
        <v>2097894000</v>
      </c>
      <c r="N3453" s="295" t="s">
        <v>26</v>
      </c>
      <c r="O3453" s="295" t="s">
        <v>250</v>
      </c>
      <c r="P3453" s="75" t="str">
        <f>IF(AND('331-CT'!$E$7=TH!H4931,OR(N3453="331",O3453="331")),"x","")</f>
        <v/>
      </c>
      <c r="Q3453" s="75" t="str">
        <f>IF(AND(B3453='111'!$L$11,OR($N3453=$Q$7,$O3453=$Q$7)),"x","")</f>
        <v/>
      </c>
      <c r="R3453" s="75" t="str">
        <f>IF(AND($N3453=$Q$7,$B3453&lt;'111'!$L$11),"x","")</f>
        <v/>
      </c>
      <c r="S3453" s="75" t="str">
        <f>IF(AND($O3453=$Q$7,$B3453&lt;'111'!$L$11),"x","")</f>
        <v/>
      </c>
      <c r="T3453" s="75" t="str">
        <f>IF(ISERROR(FIND('112'!$M$9,G3453,1)),"",IF((AND(FIND('112'!$M$9,G3453,1)&gt;=1,B3453='112'!$K$9,OR($N3453='112'!$I$6,$O3453='112'!$I$6))),"x",""))</f>
        <v/>
      </c>
      <c r="U3453" s="75" t="str">
        <f>IF(ISERROR(FIND('112'!$M$9,G3453,1)),"",IF((AND(LEFT(G3453,2)=LEFT('112'!$M$9,2),B3453&lt;'112'!$K$9,$N3453='112'!$I$6)),"x",""))</f>
        <v/>
      </c>
      <c r="V3453" s="75" t="str">
        <f>IF(ISERROR(FIND('112'!$M$9,G3453,1)),"",IF((AND(RIGHT(G3453,2)=RIGHT('112'!$M$9,2),B3453&lt;'112'!$K$9,$O3453='112'!$I$6)),"x",""))</f>
        <v/>
      </c>
      <c r="W3453" s="75" t="str">
        <f>IF(AND('341-CT'!$H$9=H3453,OR(LEFT(N3453,3)=$W$7,LEFT(O3453,3)=$W$7)),"x","")</f>
        <v/>
      </c>
      <c r="X3453" s="75" t="str">
        <f>IF(OR(TH!N4931=TH!$X$7,O3453=TH!$X$7),"x","")</f>
        <v/>
      </c>
      <c r="Y3453" s="75" t="str">
        <f>IF(AND(OR(N3453="131",O3453="131"),H3453='131-CT'!$H$9),"x","")</f>
        <v/>
      </c>
      <c r="Z3453" s="75"/>
      <c r="AA3453" s="75" t="str">
        <f>IF(AND(MONTH(E3453)='IN-NX'!$J$5,'IN-NX'!$D$7=D3453),"x","")</f>
        <v/>
      </c>
      <c r="AB3453" s="75" t="str">
        <f>IF(AND(OR(LEFT(TH!N4931,2)="15",LEFT(TH!O4931,2)="15"),LEFT(TH!O4931,3)&lt;&gt;"111",'152-CT'!$J$8=TH!F4931),"x","")</f>
        <v/>
      </c>
      <c r="AC3453" s="75" t="str">
        <f>IF(AND(OR(LEFT(TH!N4931,2)="15",LEFT(TH!O4931,2)="15"),TK!$E$7=TH!F4931),"x","")</f>
        <v/>
      </c>
      <c r="AD3453" s="75" t="str">
        <f>IF(AND(N3453="1521",MONTH(C3453)='BK-NL'!$M$11),"x","")</f>
        <v/>
      </c>
    </row>
    <row r="3454" spans="1:30" ht="16.5" customHeight="1">
      <c r="A3454" s="309" t="str">
        <f>IF(B3454&lt;&gt;"",IF(AND(B3454='IN-TC'!$S$4,OR(TH!N3454="1111",TH!O3454="1111")),TH!D3454,""),"")</f>
        <v/>
      </c>
      <c r="B3454" s="1058">
        <f t="shared" si="1288"/>
        <v>1</v>
      </c>
      <c r="C3454" s="292">
        <f t="shared" si="1290"/>
        <v>42741</v>
      </c>
      <c r="D3454" s="292" t="s">
        <v>902</v>
      </c>
      <c r="E3454" s="292">
        <v>42741</v>
      </c>
      <c r="F3454" s="293" t="s">
        <v>905</v>
      </c>
      <c r="G3454" s="943" t="s">
        <v>747</v>
      </c>
      <c r="H3454" s="67" t="s">
        <v>835</v>
      </c>
      <c r="I3454" s="73"/>
      <c r="J3454" s="926"/>
      <c r="K3454" s="373"/>
      <c r="L3454" s="379"/>
      <c r="M3454" s="927">
        <v>226200</v>
      </c>
      <c r="N3454" s="295" t="s">
        <v>101</v>
      </c>
      <c r="O3454" s="295" t="s">
        <v>26</v>
      </c>
      <c r="P3454" s="75" t="str">
        <f>IF(AND('331-CT'!$E$7=TH!H4935,OR(N3454="331",O3454="331")),"x","")</f>
        <v/>
      </c>
      <c r="Q3454" s="75" t="str">
        <f>IF(AND(B3454='111'!$L$11,OR($N3454=$Q$7,$O3454=$Q$7)),"x","")</f>
        <v/>
      </c>
      <c r="R3454" s="75" t="str">
        <f>IF(AND($N3454=$Q$7,$B3454&lt;'111'!$L$11),"x","")</f>
        <v/>
      </c>
      <c r="S3454" s="75" t="str">
        <f>IF(AND($O3454=$Q$7,$B3454&lt;'111'!$L$11),"x","")</f>
        <v/>
      </c>
      <c r="T3454" s="75" t="str">
        <f>IF(ISERROR(FIND('112'!$M$9,G3454,1)),"",IF((AND(FIND('112'!$M$9,G3454,1)&gt;=1,B3454='112'!$K$9,OR($N3454='112'!$I$6,$O3454='112'!$I$6))),"x",""))</f>
        <v/>
      </c>
      <c r="U3454" s="75" t="str">
        <f>IF(ISERROR(FIND('112'!$M$9,G3454,1)),"",IF((AND(LEFT(G3454,2)=LEFT('112'!$M$9,2),B3454&lt;'112'!$K$9,$N3454='112'!$I$6)),"x",""))</f>
        <v/>
      </c>
      <c r="V3454" s="75" t="str">
        <f>IF(ISERROR(FIND('112'!$M$9,G3454,1)),"",IF((AND(RIGHT(G3454,2)=RIGHT('112'!$M$9,2),B3454&lt;'112'!$K$9,$O3454='112'!$I$6)),"x",""))</f>
        <v/>
      </c>
      <c r="W3454" s="75" t="str">
        <f>IF(AND('341-CT'!$H$9=H3454,OR(LEFT(N3454,3)=$W$7,LEFT(O3454,3)=$W$7)),"x","")</f>
        <v/>
      </c>
      <c r="X3454" s="75" t="str">
        <f>IF(OR(TH!N4935=TH!$X$7,O3454=TH!$X$7),"x","")</f>
        <v/>
      </c>
      <c r="Y3454" s="75" t="str">
        <f>IF(AND(OR(N3454="131",O3454="131"),H3454='131-CT'!$H$9),"x","")</f>
        <v/>
      </c>
      <c r="Z3454" s="75"/>
      <c r="AA3454" s="75" t="str">
        <f>IF(AND(MONTH(E3454)='IN-NX'!$J$5,'IN-NX'!$D$7=D3454),"x","")</f>
        <v/>
      </c>
      <c r="AB3454" s="75" t="str">
        <f>IF(AND(OR(LEFT(TH!N4935,2)="15",LEFT(TH!O4935,2)="15"),LEFT(TH!O4935,3)&lt;&gt;"111",'152-CT'!$J$8=TH!F4935),"x","")</f>
        <v/>
      </c>
      <c r="AC3454" s="75" t="str">
        <f>IF(AND(OR(LEFT(TH!N4935,2)="15",LEFT(TH!O4935,2)="15"),TK!$E$7=TH!F4935),"x","")</f>
        <v/>
      </c>
      <c r="AD3454" s="75" t="str">
        <f>IF(AND(N3454="1521",MONTH(C3454)='BK-NL'!$M$11),"x","")</f>
        <v/>
      </c>
    </row>
    <row r="3455" spans="1:30" ht="16.5" customHeight="1">
      <c r="A3455" s="309" t="str">
        <f>IF(B3455&lt;&gt;"",IF(AND(B3455='IN-TC'!$S$4,OR(TH!N3455="1111",TH!O3455="1111")),TH!D3455,""),"")</f>
        <v/>
      </c>
      <c r="B3455" s="1058">
        <f t="shared" si="1288"/>
        <v>1</v>
      </c>
      <c r="C3455" s="292">
        <f t="shared" si="1290"/>
        <v>42742</v>
      </c>
      <c r="D3455" s="292" t="s">
        <v>833</v>
      </c>
      <c r="E3455" s="292">
        <v>42742</v>
      </c>
      <c r="F3455" s="293" t="s">
        <v>834</v>
      </c>
      <c r="G3455" s="943" t="s">
        <v>747</v>
      </c>
      <c r="H3455" s="67" t="s">
        <v>1023</v>
      </c>
      <c r="I3455" s="73"/>
      <c r="J3455" s="926"/>
      <c r="K3455" s="373"/>
      <c r="L3455" s="379"/>
      <c r="M3455" s="927">
        <v>2350000000</v>
      </c>
      <c r="N3455" s="295" t="s">
        <v>63</v>
      </c>
      <c r="O3455" s="295" t="s">
        <v>26</v>
      </c>
      <c r="P3455" s="75" t="str">
        <f>IF(AND('331-CT'!$E$7=TH!H4936,OR(N3455="331",O3455="331")),"x","")</f>
        <v/>
      </c>
      <c r="Q3455" s="75" t="str">
        <f>IF(AND(B3455='111'!$L$11,OR($N3455=$Q$7,$O3455=$Q$7)),"x","")</f>
        <v/>
      </c>
      <c r="R3455" s="75" t="str">
        <f>IF(AND($N3455=$Q$7,$B3455&lt;'111'!$L$11),"x","")</f>
        <v>x</v>
      </c>
      <c r="S3455" s="75" t="str">
        <f>IF(AND($O3455=$Q$7,$B3455&lt;'111'!$L$11),"x","")</f>
        <v/>
      </c>
      <c r="T3455" s="75" t="str">
        <f>IF(ISERROR(FIND('112'!$M$9,G3455,1)),"",IF((AND(FIND('112'!$M$9,G3455,1)&gt;=1,B3455='112'!$K$9,OR($N3455='112'!$I$6,$O3455='112'!$I$6))),"x",""))</f>
        <v/>
      </c>
      <c r="U3455" s="75" t="str">
        <f>IF(ISERROR(FIND('112'!$M$9,G3455,1)),"",IF((AND(LEFT(G3455,2)=LEFT('112'!$M$9,2),B3455&lt;'112'!$K$9,$N3455='112'!$I$6)),"x",""))</f>
        <v/>
      </c>
      <c r="V3455" s="75" t="str">
        <f>IF(ISERROR(FIND('112'!$M$9,G3455,1)),"",IF((AND(RIGHT(G3455,2)=RIGHT('112'!$M$9,2),B3455&lt;'112'!$K$9,$O3455='112'!$I$6)),"x",""))</f>
        <v/>
      </c>
      <c r="W3455" s="75" t="str">
        <f>IF(AND('341-CT'!$H$9=H3455,OR(LEFT(N3455,3)=$W$7,LEFT(O3455,3)=$W$7)),"x","")</f>
        <v/>
      </c>
      <c r="X3455" s="75" t="str">
        <f>IF(OR(TH!N4936=TH!$X$7,O3455=TH!$X$7),"x","")</f>
        <v/>
      </c>
      <c r="Y3455" s="75" t="str">
        <f>IF(AND(OR(N3455="131",O3455="131"),H3455='131-CT'!$H$9),"x","")</f>
        <v/>
      </c>
      <c r="Z3455" s="75"/>
      <c r="AA3455" s="75" t="str">
        <f>IF(AND(MONTH(E3455)='IN-NX'!$J$5,'IN-NX'!$D$7=D3455),"x","")</f>
        <v/>
      </c>
      <c r="AB3455" s="75" t="str">
        <f>IF(AND(OR(LEFT(TH!N4936,2)="15",LEFT(TH!O4936,2)="15"),LEFT(TH!O4936,3)&lt;&gt;"111",'152-CT'!$J$8=TH!F4936),"x","")</f>
        <v/>
      </c>
      <c r="AC3455" s="75" t="str">
        <f>IF(AND(OR(LEFT(TH!N4936,2)="15",LEFT(TH!O4936,2)="15"),TK!$E$7=TH!F4936),"x","")</f>
        <v/>
      </c>
      <c r="AD3455" s="75" t="str">
        <f>IF(AND(N3455="1521",MONTH(C3455)='BK-NL'!$M$11),"x","")</f>
        <v/>
      </c>
    </row>
    <row r="3456" spans="1:30" ht="16.5" customHeight="1">
      <c r="A3456" s="309" t="str">
        <f>IF(B3456&lt;&gt;"",IF(AND(B3456='IN-TC'!$S$4,OR(TH!N3456="1111",TH!O3456="1111")),TH!D3456,""),"")</f>
        <v/>
      </c>
      <c r="B3456" s="1058">
        <f t="shared" si="1288"/>
        <v>1</v>
      </c>
      <c r="C3456" s="292">
        <f t="shared" si="1290"/>
        <v>42742</v>
      </c>
      <c r="D3456" s="292" t="s">
        <v>1926</v>
      </c>
      <c r="E3456" s="292">
        <v>42742</v>
      </c>
      <c r="F3456" s="67" t="s">
        <v>885</v>
      </c>
      <c r="G3456" s="62" t="s">
        <v>585</v>
      </c>
      <c r="H3456" s="67" t="s">
        <v>1023</v>
      </c>
      <c r="I3456" s="373"/>
      <c r="J3456" s="926"/>
      <c r="K3456" s="373"/>
      <c r="L3456" s="379"/>
      <c r="M3456" s="927">
        <v>2350000000</v>
      </c>
      <c r="N3456" s="295" t="s">
        <v>26</v>
      </c>
      <c r="O3456" s="295" t="s">
        <v>63</v>
      </c>
      <c r="P3456" s="75" t="str">
        <f>IF(AND('331-CT'!$E$7=TH!H4623,OR(N3456="331",O3456="331")),"x","")</f>
        <v/>
      </c>
      <c r="Q3456" s="75" t="str">
        <f>IF(AND(B3456='111'!$L$11,OR($N3456=$Q$7,$O3456=$Q$7)),"x","")</f>
        <v/>
      </c>
      <c r="R3456" s="75" t="str">
        <f>IF(AND($N3456=$Q$7,$B3456&lt;'111'!$L$11),"x","")</f>
        <v/>
      </c>
      <c r="S3456" s="75" t="str">
        <f>IF(AND($O3456=$Q$7,$B3456&lt;'111'!$L$11),"x","")</f>
        <v>x</v>
      </c>
      <c r="T3456" s="75" t="str">
        <f>IF(ISERROR(FIND('112'!$M$9,G3456,1)),"",IF((AND(FIND('112'!$M$9,G3456,1)&gt;=1,B3456='112'!$K$9,OR($N3456='112'!$I$6,$O3456='112'!$I$6))),"x",""))</f>
        <v/>
      </c>
      <c r="U3456" s="75" t="str">
        <f>IF(ISERROR(FIND('112'!$M$9,G3456,1)),"",IF((AND(LEFT(G3456,2)=LEFT('112'!$M$9,2),B3456&lt;'112'!$K$9,$N3456='112'!$I$6)),"x",""))</f>
        <v/>
      </c>
      <c r="V3456" s="75" t="str">
        <f>IF(ISERROR(FIND('112'!$M$9,G3456,1)),"",IF((AND(RIGHT(G3456,2)=RIGHT('112'!$M$9,2),B3456&lt;'112'!$K$9,$O3456='112'!$I$6)),"x",""))</f>
        <v/>
      </c>
      <c r="W3456" s="75" t="str">
        <f>IF(AND('341-CT'!$H$9=H3456,OR(LEFT(N3456,3)=$W$7,LEFT(O3456,3)=$W$7)),"x","")</f>
        <v/>
      </c>
      <c r="X3456" s="75" t="str">
        <f>IF(OR(TH!N4623=TH!$X$7,O3456=TH!$X$7),"x","")</f>
        <v/>
      </c>
      <c r="Y3456" s="75" t="str">
        <f>IF(AND(OR(N3456="131",O3456="131"),H3456='131-CT'!$H$9),"x","")</f>
        <v/>
      </c>
      <c r="Z3456" s="75"/>
      <c r="AA3456" s="75" t="str">
        <f>IF(AND(MONTH(E3456)='IN-NX'!$J$5,'IN-NX'!$D$7=D3456),"x","")</f>
        <v/>
      </c>
      <c r="AB3456" s="75" t="str">
        <f>IF(AND(OR(LEFT(TH!N4623,2)="15",LEFT(TH!O4623,2)="15"),LEFT(TH!O4623,3)&lt;&gt;"111",'152-CT'!$J$8=TH!F4623),"x","")</f>
        <v/>
      </c>
      <c r="AC3456" s="75" t="str">
        <f>IF(AND(OR(LEFT(TH!N4623,2)="15",LEFT(TH!O4623,2)="15"),TK!$E$7=TH!F4623),"x","")</f>
        <v/>
      </c>
      <c r="AD3456" s="75" t="str">
        <f>IF(AND(N3456="1521",MONTH(C3456)='BK-NL'!$M$11),"x","")</f>
        <v/>
      </c>
    </row>
    <row r="3457" spans="1:33" s="304" customFormat="1" ht="16.5" customHeight="1">
      <c r="A3457" s="309" t="str">
        <f>IF(B3457&lt;&gt;"",IF(AND(B3457='IN-TC'!$S$4,OR(TH!N3457="1111",TH!O3457="1111")),TH!D3457,""),"")</f>
        <v/>
      </c>
      <c r="B3457" s="1058">
        <f t="shared" si="1288"/>
        <v>1</v>
      </c>
      <c r="C3457" s="292">
        <f t="shared" si="1290"/>
        <v>42742</v>
      </c>
      <c r="D3457" s="292" t="s">
        <v>903</v>
      </c>
      <c r="E3457" s="292">
        <v>42742</v>
      </c>
      <c r="F3457" s="67" t="s">
        <v>926</v>
      </c>
      <c r="G3457" s="62" t="s">
        <v>585</v>
      </c>
      <c r="H3457" s="311" t="s">
        <v>927</v>
      </c>
      <c r="I3457" s="373"/>
      <c r="J3457" s="926"/>
      <c r="K3457" s="373">
        <v>43000</v>
      </c>
      <c r="L3457" s="379">
        <v>22545</v>
      </c>
      <c r="M3457" s="927">
        <f>ROUND(L3457*K3457,0)</f>
        <v>969435000</v>
      </c>
      <c r="N3457" s="295" t="s">
        <v>26</v>
      </c>
      <c r="O3457" s="295" t="s">
        <v>250</v>
      </c>
      <c r="P3457" s="75" t="str">
        <f>IF(AND('331-CT'!$E$7=TH!H4624,OR(N3457="331",O3457="331")),"x","")</f>
        <v/>
      </c>
      <c r="Q3457" s="75" t="str">
        <f>IF(AND(B3457='111'!$L$11,OR($N3457=$Q$7,$O3457=$Q$7)),"x","")</f>
        <v/>
      </c>
      <c r="R3457" s="75" t="str">
        <f>IF(AND($N3457=$Q$7,$B3457&lt;'111'!$L$11),"x","")</f>
        <v/>
      </c>
      <c r="S3457" s="75" t="str">
        <f>IF(AND($O3457=$Q$7,$B3457&lt;'111'!$L$11),"x","")</f>
        <v/>
      </c>
      <c r="T3457" s="75" t="str">
        <f>IF(ISERROR(FIND('112'!$M$9,G3457,1)),"",IF((AND(FIND('112'!$M$9,G3457,1)&gt;=1,B3457='112'!$K$9,OR($N3457='112'!$I$6,$O3457='112'!$I$6))),"x",""))</f>
        <v/>
      </c>
      <c r="U3457" s="75" t="str">
        <f>IF(ISERROR(FIND('112'!$M$9,G3457,1)),"",IF((AND(LEFT(G3457,2)=LEFT('112'!$M$9,2),B3457&lt;'112'!$K$9,$N3457='112'!$I$6)),"x",""))</f>
        <v/>
      </c>
      <c r="V3457" s="75" t="str">
        <f>IF(ISERROR(FIND('112'!$M$9,G3457,1)),"",IF((AND(RIGHT(G3457,2)=RIGHT('112'!$M$9,2),B3457&lt;'112'!$K$9,$O3457='112'!$I$6)),"x",""))</f>
        <v/>
      </c>
      <c r="W3457" s="75" t="str">
        <f>IF(AND('341-CT'!$H$9=H3457,OR(LEFT(N3457,3)=$W$7,LEFT(O3457,3)=$W$7)),"x","")</f>
        <v/>
      </c>
      <c r="X3457" s="75" t="str">
        <f>IF(OR(TH!N4624=TH!$X$7,O3457=TH!$X$7),"x","")</f>
        <v/>
      </c>
      <c r="Y3457" s="75" t="str">
        <f>IF(AND(OR(N3457="131",O3457="131"),H3457='131-CT'!$H$9),"x","")</f>
        <v/>
      </c>
      <c r="Z3457" s="75"/>
      <c r="AA3457" s="75" t="str">
        <f>IF(AND(MONTH(E3457)='IN-NX'!$J$5,'IN-NX'!$D$7=D3457),"x","")</f>
        <v/>
      </c>
      <c r="AB3457" s="75" t="str">
        <f>IF(AND(OR(LEFT(TH!N4624,2)="15",LEFT(TH!O4624,2)="15"),LEFT(TH!O4624,3)&lt;&gt;"111",'152-CT'!$J$8=TH!F4624),"x","")</f>
        <v/>
      </c>
      <c r="AC3457" s="75" t="str">
        <f>IF(AND(OR(LEFT(TH!N4624,2)="15",LEFT(TH!O4624,2)="15"),TK!$E$7=TH!F4624),"x","")</f>
        <v/>
      </c>
      <c r="AD3457" s="75" t="str">
        <f>IF(AND(N3457="1521",MONTH(C3457)='BK-NL'!$M$11),"x","")</f>
        <v/>
      </c>
      <c r="AE3457"/>
      <c r="AF3457"/>
      <c r="AG3457"/>
    </row>
    <row r="3458" spans="1:33" ht="16.5" customHeight="1">
      <c r="A3458" s="309" t="str">
        <f>IF(B3458&lt;&gt;"",IF(AND(B3458='IN-TC'!$S$4,OR(TH!N3458="1111",TH!O3458="1111")),TH!D3458,""),"")</f>
        <v/>
      </c>
      <c r="B3458" s="1058">
        <f t="shared" si="1288"/>
        <v>1</v>
      </c>
      <c r="C3458" s="292">
        <f t="shared" si="1290"/>
        <v>42744</v>
      </c>
      <c r="D3458" s="292" t="s">
        <v>1927</v>
      </c>
      <c r="E3458" s="929">
        <v>42744</v>
      </c>
      <c r="F3458" s="73" t="s">
        <v>1165</v>
      </c>
      <c r="G3458" s="931" t="s">
        <v>1145</v>
      </c>
      <c r="H3458" s="296" t="s">
        <v>796</v>
      </c>
      <c r="I3458" s="371"/>
      <c r="J3458" s="932"/>
      <c r="K3458" s="371"/>
      <c r="L3458" s="377"/>
      <c r="M3458" s="933">
        <v>18952450</v>
      </c>
      <c r="N3458" s="934" t="s">
        <v>8</v>
      </c>
      <c r="O3458" s="934" t="s">
        <v>63</v>
      </c>
      <c r="P3458" s="75" t="str">
        <f>IF(AND('331-CT'!$E$7=TH!H3430,OR(N3458="331",O3458="331")),"x","")</f>
        <v/>
      </c>
      <c r="Q3458" s="75" t="str">
        <f>IF(AND(B3458='111'!$L$11,OR($N3458=$Q$7,$O3458=$Q$7)),"x","")</f>
        <v/>
      </c>
      <c r="R3458" s="75" t="str">
        <f>IF(AND($N3458=$Q$7,$B3458&lt;'111'!$L$11),"x","")</f>
        <v/>
      </c>
      <c r="S3458" s="75" t="str">
        <f>IF(AND($O3458=$Q$7,$B3458&lt;'111'!$L$11),"x","")</f>
        <v>x</v>
      </c>
      <c r="T3458" s="75" t="str">
        <f>IF(ISERROR(FIND('112'!$M$9,G3458,1)),"",IF((AND(FIND('112'!$M$9,G3458,1)&gt;=1,B3458='112'!$K$9,OR($N3458='112'!$I$6,$O3458='112'!$I$6))),"x",""))</f>
        <v/>
      </c>
      <c r="U3458" s="75" t="str">
        <f>IF(ISERROR(FIND('112'!$M$9,G3458,1)),"",IF((AND(LEFT(G3458,2)=LEFT('112'!$M$9,2),B3458&lt;'112'!$K$9,$N3458='112'!$I$6)),"x",""))</f>
        <v/>
      </c>
      <c r="V3458" s="75" t="str">
        <f>IF(ISERROR(FIND('112'!$M$9,G3458,1)),"",IF((AND(RIGHT(G3458,2)=RIGHT('112'!$M$9,2),B3458&lt;'112'!$K$9,$O3458='112'!$I$6)),"x",""))</f>
        <v/>
      </c>
      <c r="W3458" s="75" t="str">
        <f>IF(AND('341-CT'!$H$9=H3458,OR(LEFT(N3458,3)=$W$7,LEFT(O3458,3)=$W$7)),"x","")</f>
        <v/>
      </c>
      <c r="X3458" s="75" t="str">
        <f>IF(OR(TH!N3430=TH!$X$7,O3458=TH!$X$7),"x","")</f>
        <v/>
      </c>
      <c r="Y3458" s="75" t="str">
        <f>IF(AND(OR(N3458="131",O3458="131"),H3458='131-CT'!$H$9),"x","")</f>
        <v/>
      </c>
      <c r="Z3458" s="75"/>
      <c r="AA3458" s="75" t="str">
        <f>IF(AND(MONTH(E3458)='IN-NX'!$J$5,'IN-NX'!$D$7=D3458),"x","")</f>
        <v/>
      </c>
      <c r="AB3458" s="75" t="str">
        <f>IF(AND(OR(LEFT(TH!N3430,2)="15",LEFT(TH!O3430,2)="15"),LEFT(TH!O3430,3)&lt;&gt;"111",'152-CT'!$J$8=TH!F3430),"x","")</f>
        <v/>
      </c>
      <c r="AC3458" s="75" t="str">
        <f>IF(AND(OR(LEFT(TH!N3430,2)="15",LEFT(TH!O3430,2)="15"),TK!$E$7=TH!F3430),"x","")</f>
        <v/>
      </c>
      <c r="AD3458" s="75" t="str">
        <f>IF(AND(N3458="1521",MONTH(C3458)='BK-NL'!$M$11),"x","")</f>
        <v/>
      </c>
    </row>
    <row r="3459" spans="1:33" ht="16.5" customHeight="1">
      <c r="A3459" s="309" t="str">
        <f>IF(B3459&lt;&gt;"",IF(AND(B3459='IN-TC'!$S$4,OR(TH!N3459="1111",TH!O3459="1111")),TH!D3459,""),"")</f>
        <v/>
      </c>
      <c r="B3459" s="1058">
        <f t="shared" si="1288"/>
        <v>1</v>
      </c>
      <c r="C3459" s="292">
        <f t="shared" si="1290"/>
        <v>42744</v>
      </c>
      <c r="D3459" s="59" t="s">
        <v>902</v>
      </c>
      <c r="E3459" s="292">
        <v>42744</v>
      </c>
      <c r="F3459" s="62" t="s">
        <v>981</v>
      </c>
      <c r="G3459" s="62" t="s">
        <v>586</v>
      </c>
      <c r="H3459" s="67" t="s">
        <v>982</v>
      </c>
      <c r="I3459" s="373"/>
      <c r="J3459" s="379"/>
      <c r="K3459" s="373"/>
      <c r="L3459" s="379"/>
      <c r="M3459" s="60">
        <v>2000000</v>
      </c>
      <c r="N3459" s="61" t="s">
        <v>79</v>
      </c>
      <c r="O3459" s="61" t="s">
        <v>26</v>
      </c>
      <c r="P3459" s="75" t="str">
        <f>IF(AND('331-CT'!$E$7=TH!H4383,OR(N3459="331",O3459="331")),"x","")</f>
        <v/>
      </c>
      <c r="Q3459" s="75" t="str">
        <f>IF(AND(B3459='111'!$L$11,OR($N3459=$Q$7,$O3459=$Q$7)),"x","")</f>
        <v/>
      </c>
      <c r="R3459" s="75" t="str">
        <f>IF(AND($N3459=$Q$7,$B3459&lt;'111'!$L$11),"x","")</f>
        <v/>
      </c>
      <c r="S3459" s="75" t="str">
        <f>IF(AND($O3459=$Q$7,$B3459&lt;'111'!$L$11),"x","")</f>
        <v/>
      </c>
      <c r="T3459" s="75" t="str">
        <f>IF(ISERROR(FIND('112'!$M$9,G3459,1)),"",IF((AND(FIND('112'!$M$9,G3459,1)&gt;=1,B3459='112'!$K$9,OR($N3459='112'!$I$6,$O3459='112'!$I$6))),"x",""))</f>
        <v/>
      </c>
      <c r="U3459" s="75" t="str">
        <f>IF(ISERROR(FIND('112'!$M$9,G3459,1)),"",IF((AND(LEFT(G3459,2)=LEFT('112'!$M$9,2),B3459&lt;'112'!$K$9,$N3459='112'!$I$6)),"x",""))</f>
        <v/>
      </c>
      <c r="V3459" s="75" t="str">
        <f>IF(ISERROR(FIND('112'!$M$9,G3459,1)),"",IF((AND(RIGHT(G3459,2)=RIGHT('112'!$M$9,2),B3459&lt;'112'!$K$9,$O3459='112'!$I$6)),"x",""))</f>
        <v>x</v>
      </c>
      <c r="W3459" s="75" t="str">
        <f>IF(AND('341-CT'!$H$9=H3459,OR(LEFT(N3459,3)=$W$7,LEFT(O3459,3)=$W$7)),"x","")</f>
        <v/>
      </c>
      <c r="X3459" s="75" t="str">
        <f>IF(OR(TH!N4383=TH!$X$7,O3459=TH!$X$7),"x","")</f>
        <v/>
      </c>
      <c r="Y3459" s="75" t="str">
        <f>IF(AND(OR(N3459="131",O3459="131"),H3459='131-CT'!$H$9),"x","")</f>
        <v/>
      </c>
      <c r="Z3459" s="75"/>
      <c r="AA3459" s="75" t="str">
        <f>IF(AND(MONTH(E3459)='IN-NX'!$J$5,'IN-NX'!$D$7=D3459),"x","")</f>
        <v/>
      </c>
      <c r="AB3459" s="75" t="str">
        <f>IF(AND(OR(LEFT(TH!N4383,2)="15",LEFT(TH!O4383,2)="15"),LEFT(TH!O4383,3)&lt;&gt;"111",'152-CT'!$J$8=TH!F4383),"x","")</f>
        <v/>
      </c>
      <c r="AC3459" s="75" t="str">
        <f>IF(AND(OR(LEFT(TH!N4383,2)="15",LEFT(TH!O4383,2)="15"),TK!$E$7=TH!F4383),"x","")</f>
        <v/>
      </c>
      <c r="AD3459" s="75" t="str">
        <f>IF(AND(N3459="1521",MONTH(C3459)='BK-NL'!$M$11),"x","")</f>
        <v/>
      </c>
    </row>
    <row r="3460" spans="1:33" s="304" customFormat="1" ht="16.5" customHeight="1">
      <c r="A3460" s="309" t="str">
        <f>IF(B3460&lt;&gt;"",IF(AND(B3460='IN-TC'!$S$4,OR(TH!N3460="1111",TH!O3460="1111")),TH!D3460,""),"")</f>
        <v/>
      </c>
      <c r="B3460" s="1058">
        <f t="shared" si="1288"/>
        <v>1</v>
      </c>
      <c r="C3460" s="292">
        <f t="shared" si="1290"/>
        <v>42744</v>
      </c>
      <c r="D3460" s="59" t="s">
        <v>902</v>
      </c>
      <c r="E3460" s="292">
        <v>42744</v>
      </c>
      <c r="F3460" s="62" t="s">
        <v>870</v>
      </c>
      <c r="G3460" s="62" t="s">
        <v>586</v>
      </c>
      <c r="H3460" s="67" t="s">
        <v>982</v>
      </c>
      <c r="I3460" s="373"/>
      <c r="J3460" s="379"/>
      <c r="K3460" s="373"/>
      <c r="L3460" s="379"/>
      <c r="M3460" s="60">
        <v>11000</v>
      </c>
      <c r="N3460" s="61" t="s">
        <v>101</v>
      </c>
      <c r="O3460" s="61" t="s">
        <v>26</v>
      </c>
      <c r="P3460" s="75" t="str">
        <f>IF(AND('331-CT'!$E$7=TH!H4384,OR(N3460="331",O3460="331")),"x","")</f>
        <v/>
      </c>
      <c r="Q3460" s="75" t="str">
        <f>IF(AND(B3460='111'!$L$11,OR($N3460=$Q$7,$O3460=$Q$7)),"x","")</f>
        <v/>
      </c>
      <c r="R3460" s="75" t="str">
        <f>IF(AND($N3460=$Q$7,$B3460&lt;'111'!$L$11),"x","")</f>
        <v/>
      </c>
      <c r="S3460" s="75" t="str">
        <f>IF(AND($O3460=$Q$7,$B3460&lt;'111'!$L$11),"x","")</f>
        <v/>
      </c>
      <c r="T3460" s="75" t="str">
        <f>IF(ISERROR(FIND('112'!$M$9,G3460,1)),"",IF((AND(FIND('112'!$M$9,G3460,1)&gt;=1,B3460='112'!$K$9,OR($N3460='112'!$I$6,$O3460='112'!$I$6))),"x",""))</f>
        <v/>
      </c>
      <c r="U3460" s="75" t="str">
        <f>IF(ISERROR(FIND('112'!$M$9,G3460,1)),"",IF((AND(LEFT(G3460,2)=LEFT('112'!$M$9,2),B3460&lt;'112'!$K$9,$N3460='112'!$I$6)),"x",""))</f>
        <v/>
      </c>
      <c r="V3460" s="75" t="str">
        <f>IF(ISERROR(FIND('112'!$M$9,G3460,1)),"",IF((AND(RIGHT(G3460,2)=RIGHT('112'!$M$9,2),B3460&lt;'112'!$K$9,$O3460='112'!$I$6)),"x",""))</f>
        <v>x</v>
      </c>
      <c r="W3460" s="75" t="str">
        <f>IF(AND('341-CT'!$H$9=H3460,OR(LEFT(N3460,3)=$W$7,LEFT(O3460,3)=$W$7)),"x","")</f>
        <v/>
      </c>
      <c r="X3460" s="75" t="str">
        <f>IF(OR(TH!N4384=TH!$X$7,O3460=TH!$X$7),"x","")</f>
        <v/>
      </c>
      <c r="Y3460" s="75" t="str">
        <f>IF(AND(OR(N3460="131",O3460="131"),H3460='131-CT'!$H$9),"x","")</f>
        <v/>
      </c>
      <c r="Z3460" s="75"/>
      <c r="AA3460" s="75" t="str">
        <f>IF(AND(MONTH(E3460)='IN-NX'!$J$5,'IN-NX'!$D$7=D3460),"x","")</f>
        <v/>
      </c>
      <c r="AB3460" s="75" t="str">
        <f>IF(AND(OR(LEFT(TH!N4384,2)="15",LEFT(TH!O4384,2)="15"),LEFT(TH!O4384,3)&lt;&gt;"111",'152-CT'!$J$8=TH!F4384),"x","")</f>
        <v/>
      </c>
      <c r="AC3460" s="75" t="str">
        <f>IF(AND(OR(LEFT(TH!N4384,2)="15",LEFT(TH!O4384,2)="15"),TK!$E$7=TH!F4384),"x","")</f>
        <v/>
      </c>
      <c r="AD3460" s="75" t="str">
        <f>IF(AND(N3460="1521",MONTH(C3460)='BK-NL'!$M$11),"x","")</f>
        <v/>
      </c>
      <c r="AE3460"/>
      <c r="AF3460"/>
      <c r="AG3460"/>
    </row>
    <row r="3461" spans="1:33" ht="16.5" customHeight="1">
      <c r="A3461" s="309" t="str">
        <f>IF(B3461&lt;&gt;"",IF(AND(B3461='IN-TC'!$S$4,OR(TH!N3461="1111",TH!O3461="1111")),TH!D3461,""),"")</f>
        <v/>
      </c>
      <c r="B3461" s="1058">
        <f t="shared" si="1288"/>
        <v>1</v>
      </c>
      <c r="C3461" s="292">
        <f t="shared" si="1290"/>
        <v>42744</v>
      </c>
      <c r="D3461" s="292" t="s">
        <v>843</v>
      </c>
      <c r="E3461" s="292">
        <v>42744</v>
      </c>
      <c r="F3461" s="67" t="s">
        <v>834</v>
      </c>
      <c r="G3461" s="943" t="s">
        <v>585</v>
      </c>
      <c r="H3461" s="67" t="s">
        <v>1023</v>
      </c>
      <c r="I3461" s="373"/>
      <c r="J3461" s="926"/>
      <c r="K3461" s="373"/>
      <c r="L3461" s="379"/>
      <c r="M3461" s="927">
        <v>2970000000</v>
      </c>
      <c r="N3461" s="295" t="s">
        <v>63</v>
      </c>
      <c r="O3461" s="295" t="s">
        <v>26</v>
      </c>
      <c r="P3461" s="75" t="str">
        <f>IF(AND('331-CT'!$E$7=TH!H4625,OR(N3461="331",O3461="331")),"x","")</f>
        <v/>
      </c>
      <c r="Q3461" s="75" t="str">
        <f>IF(AND(B3461='111'!$L$11,OR($N3461=$Q$7,$O3461=$Q$7)),"x","")</f>
        <v/>
      </c>
      <c r="R3461" s="75" t="str">
        <f>IF(AND($N3461=$Q$7,$B3461&lt;'111'!$L$11),"x","")</f>
        <v>x</v>
      </c>
      <c r="S3461" s="75" t="str">
        <f>IF(AND($O3461=$Q$7,$B3461&lt;'111'!$L$11),"x","")</f>
        <v/>
      </c>
      <c r="T3461" s="75" t="str">
        <f>IF(ISERROR(FIND('112'!$M$9,G3461,1)),"",IF((AND(FIND('112'!$M$9,G3461,1)&gt;=1,B3461='112'!$K$9,OR($N3461='112'!$I$6,$O3461='112'!$I$6))),"x",""))</f>
        <v/>
      </c>
      <c r="U3461" s="75" t="str">
        <f>IF(ISERROR(FIND('112'!$M$9,G3461,1)),"",IF((AND(LEFT(G3461,2)=LEFT('112'!$M$9,2),B3461&lt;'112'!$K$9,$N3461='112'!$I$6)),"x",""))</f>
        <v/>
      </c>
      <c r="V3461" s="75" t="str">
        <f>IF(ISERROR(FIND('112'!$M$9,G3461,1)),"",IF((AND(RIGHT(G3461,2)=RIGHT('112'!$M$9,2),B3461&lt;'112'!$K$9,$O3461='112'!$I$6)),"x",""))</f>
        <v/>
      </c>
      <c r="W3461" s="75" t="str">
        <f>IF(AND('341-CT'!$H$9=H3461,OR(LEFT(N3461,3)=$W$7,LEFT(O3461,3)=$W$7)),"x","")</f>
        <v/>
      </c>
      <c r="X3461" s="75" t="str">
        <f>IF(OR(TH!N4625=TH!$X$7,O3461=TH!$X$7),"x","")</f>
        <v/>
      </c>
      <c r="Y3461" s="75" t="str">
        <f>IF(AND(OR(N3461="131",O3461="131"),H3461='131-CT'!$H$9),"x","")</f>
        <v/>
      </c>
      <c r="Z3461" s="75"/>
      <c r="AA3461" s="75" t="str">
        <f>IF(AND(MONTH(E3461)='IN-NX'!$J$5,'IN-NX'!$D$7=D3461),"x","")</f>
        <v/>
      </c>
      <c r="AB3461" s="75" t="str">
        <f>IF(AND(OR(LEFT(TH!N4625,2)="15",LEFT(TH!O4625,2)="15"),LEFT(TH!O4625,3)&lt;&gt;"111",'152-CT'!$J$8=TH!F4625),"x","")</f>
        <v/>
      </c>
      <c r="AC3461" s="75" t="str">
        <f>IF(AND(OR(LEFT(TH!N4625,2)="15",LEFT(TH!O4625,2)="15"),TK!$E$7=TH!F4625),"x","")</f>
        <v/>
      </c>
      <c r="AD3461" s="75" t="str">
        <f>IF(AND(N3461="1521",MONTH(C3461)='BK-NL'!$M$11),"x","")</f>
        <v/>
      </c>
    </row>
    <row r="3462" spans="1:33" ht="16.5" customHeight="1">
      <c r="A3462" s="309" t="str">
        <f>IF(B3462&lt;&gt;"",IF(AND(B3462='IN-TC'!$S$4,OR(TH!N3462="1111",TH!O3462="1111")),TH!D3462,""),"")</f>
        <v/>
      </c>
      <c r="B3462" s="1058">
        <f t="shared" si="1288"/>
        <v>1</v>
      </c>
      <c r="C3462" s="292">
        <f t="shared" si="1290"/>
        <v>42744</v>
      </c>
      <c r="D3462" s="292" t="s">
        <v>902</v>
      </c>
      <c r="E3462" s="292">
        <v>42744</v>
      </c>
      <c r="F3462" s="67" t="s">
        <v>928</v>
      </c>
      <c r="G3462" s="62" t="s">
        <v>585</v>
      </c>
      <c r="H3462" s="311" t="s">
        <v>845</v>
      </c>
      <c r="I3462" s="373"/>
      <c r="J3462" s="926"/>
      <c r="K3462" s="373"/>
      <c r="L3462" s="379"/>
      <c r="M3462" s="927">
        <v>600170</v>
      </c>
      <c r="N3462" s="295" t="s">
        <v>101</v>
      </c>
      <c r="O3462" s="295" t="s">
        <v>26</v>
      </c>
      <c r="P3462" s="75" t="str">
        <f>IF(AND('331-CT'!$E$7=TH!H4626,OR(N3462="331",O3462="331")),"x","")</f>
        <v/>
      </c>
      <c r="Q3462" s="75" t="str">
        <f>IF(AND(B3462='111'!$L$11,OR($N3462=$Q$7,$O3462=$Q$7)),"x","")</f>
        <v/>
      </c>
      <c r="R3462" s="75" t="str">
        <f>IF(AND($N3462=$Q$7,$B3462&lt;'111'!$L$11),"x","")</f>
        <v/>
      </c>
      <c r="S3462" s="75" t="str">
        <f>IF(AND($O3462=$Q$7,$B3462&lt;'111'!$L$11),"x","")</f>
        <v/>
      </c>
      <c r="T3462" s="75" t="str">
        <f>IF(ISERROR(FIND('112'!$M$9,G3462,1)),"",IF((AND(FIND('112'!$M$9,G3462,1)&gt;=1,B3462='112'!$K$9,OR($N3462='112'!$I$6,$O3462='112'!$I$6))),"x",""))</f>
        <v/>
      </c>
      <c r="U3462" s="75" t="str">
        <f>IF(ISERROR(FIND('112'!$M$9,G3462,1)),"",IF((AND(LEFT(G3462,2)=LEFT('112'!$M$9,2),B3462&lt;'112'!$K$9,$N3462='112'!$I$6)),"x",""))</f>
        <v/>
      </c>
      <c r="V3462" s="75" t="str">
        <f>IF(ISERROR(FIND('112'!$M$9,G3462,1)),"",IF((AND(RIGHT(G3462,2)=RIGHT('112'!$M$9,2),B3462&lt;'112'!$K$9,$O3462='112'!$I$6)),"x",""))</f>
        <v/>
      </c>
      <c r="W3462" s="75" t="str">
        <f>IF(AND('341-CT'!$H$9=H3462,OR(LEFT(N3462,3)=$W$7,LEFT(O3462,3)=$W$7)),"x","")</f>
        <v/>
      </c>
      <c r="X3462" s="75" t="str">
        <f>IF(OR(TH!N4626=TH!$X$7,O3462=TH!$X$7),"x","")</f>
        <v/>
      </c>
      <c r="Y3462" s="75" t="str">
        <f>IF(AND(OR(N3462="131",O3462="131"),H3462='131-CT'!$H$9),"x","")</f>
        <v/>
      </c>
      <c r="Z3462" s="75"/>
      <c r="AA3462" s="75" t="str">
        <f>IF(AND(MONTH(E3462)='IN-NX'!$J$5,'IN-NX'!$D$7=D3462),"x","")</f>
        <v/>
      </c>
      <c r="AB3462" s="75" t="str">
        <f>IF(AND(OR(LEFT(TH!N4626,2)="15",LEFT(TH!O4626,2)="15"),LEFT(TH!O4626,3)&lt;&gt;"111",'152-CT'!$J$8=TH!F4626),"x","")</f>
        <v/>
      </c>
      <c r="AC3462" s="75" t="str">
        <f>IF(AND(OR(LEFT(TH!N4626,2)="15",LEFT(TH!O4626,2)="15"),TK!$E$7=TH!F4626),"x","")</f>
        <v/>
      </c>
      <c r="AD3462" s="75" t="str">
        <f>IF(AND(N3462="1521",MONTH(C3462)='BK-NL'!$M$11),"x","")</f>
        <v/>
      </c>
    </row>
    <row r="3463" spans="1:33" ht="16.5" customHeight="1">
      <c r="A3463" s="309" t="str">
        <f>IF(B3463&lt;&gt;"",IF(AND(B3463='IN-TC'!$S$4,OR(TH!N3463="1111",TH!O3463="1111")),TH!D3463,""),"")</f>
        <v/>
      </c>
      <c r="B3463" s="1058">
        <f t="shared" si="1288"/>
        <v>1</v>
      </c>
      <c r="C3463" s="292">
        <f t="shared" si="1290"/>
        <v>42744</v>
      </c>
      <c r="D3463" s="292" t="s">
        <v>902</v>
      </c>
      <c r="E3463" s="292">
        <v>42744</v>
      </c>
      <c r="F3463" s="67" t="s">
        <v>929</v>
      </c>
      <c r="G3463" s="62" t="s">
        <v>585</v>
      </c>
      <c r="H3463" s="311" t="s">
        <v>845</v>
      </c>
      <c r="I3463" s="373"/>
      <c r="J3463" s="926"/>
      <c r="K3463" s="373"/>
      <c r="L3463" s="379"/>
      <c r="M3463" s="927">
        <v>60017</v>
      </c>
      <c r="N3463" s="295" t="s">
        <v>9</v>
      </c>
      <c r="O3463" s="295" t="s">
        <v>26</v>
      </c>
      <c r="P3463" s="75" t="str">
        <f>IF(AND('331-CT'!$E$7=TH!H4627,OR(N3463="331",O3463="331")),"x","")</f>
        <v/>
      </c>
      <c r="Q3463" s="75" t="str">
        <f>IF(AND(B3463='111'!$L$11,OR($N3463=$Q$7,$O3463=$Q$7)),"x","")</f>
        <v/>
      </c>
      <c r="R3463" s="75" t="str">
        <f>IF(AND($N3463=$Q$7,$B3463&lt;'111'!$L$11),"x","")</f>
        <v/>
      </c>
      <c r="S3463" s="75" t="str">
        <f>IF(AND($O3463=$Q$7,$B3463&lt;'111'!$L$11),"x","")</f>
        <v/>
      </c>
      <c r="T3463" s="75" t="str">
        <f>IF(ISERROR(FIND('112'!$M$9,G3463,1)),"",IF((AND(FIND('112'!$M$9,G3463,1)&gt;=1,B3463='112'!$K$9,OR($N3463='112'!$I$6,$O3463='112'!$I$6))),"x",""))</f>
        <v/>
      </c>
      <c r="U3463" s="75" t="str">
        <f>IF(ISERROR(FIND('112'!$M$9,G3463,1)),"",IF((AND(LEFT(G3463,2)=LEFT('112'!$M$9,2),B3463&lt;'112'!$K$9,$N3463='112'!$I$6)),"x",""))</f>
        <v/>
      </c>
      <c r="V3463" s="75" t="str">
        <f>IF(ISERROR(FIND('112'!$M$9,G3463,1)),"",IF((AND(RIGHT(G3463,2)=RIGHT('112'!$M$9,2),B3463&lt;'112'!$K$9,$O3463='112'!$I$6)),"x",""))</f>
        <v/>
      </c>
      <c r="W3463" s="75" t="str">
        <f>IF(AND('341-CT'!$H$9=H3463,OR(LEFT(N3463,3)=$W$7,LEFT(O3463,3)=$W$7)),"x","")</f>
        <v/>
      </c>
      <c r="X3463" s="75" t="str">
        <f>IF(OR(TH!N4627=TH!$X$7,O3463=TH!$X$7),"x","")</f>
        <v/>
      </c>
      <c r="Y3463" s="75" t="str">
        <f>IF(AND(OR(N3463="131",O3463="131"),H3463='131-CT'!$H$9),"x","")</f>
        <v/>
      </c>
      <c r="Z3463" s="75"/>
      <c r="AA3463" s="75" t="str">
        <f>IF(AND(MONTH(E3463)='IN-NX'!$J$5,'IN-NX'!$D$7=D3463),"x","")</f>
        <v/>
      </c>
      <c r="AB3463" s="75" t="str">
        <f>IF(AND(OR(LEFT(TH!N4627,2)="15",LEFT(TH!O4627,2)="15"),LEFT(TH!O4627,3)&lt;&gt;"111",'152-CT'!$J$8=TH!F4627),"x","")</f>
        <v/>
      </c>
      <c r="AC3463" s="75" t="str">
        <f>IF(AND(OR(LEFT(TH!N4627,2)="15",LEFT(TH!O4627,2)="15"),TK!$E$7=TH!F4627),"x","")</f>
        <v/>
      </c>
      <c r="AD3463" s="75" t="str">
        <f>IF(AND(N3463="1521",MONTH(C3463)='BK-NL'!$M$11),"x","")</f>
        <v/>
      </c>
    </row>
    <row r="3464" spans="1:33" ht="16.5" customHeight="1">
      <c r="A3464" s="309" t="str">
        <f>IF(B3464&lt;&gt;"",IF(AND(B3464='IN-TC'!$S$4,OR(TH!N3464="1111",TH!O3464="1111")),TH!D3464,""),"")</f>
        <v/>
      </c>
      <c r="B3464" s="1058">
        <f t="shared" si="1288"/>
        <v>1</v>
      </c>
      <c r="C3464" s="292">
        <f t="shared" ref="C3464:C3495" si="1291">E3464</f>
        <v>42744</v>
      </c>
      <c r="D3464" s="292" t="s">
        <v>902</v>
      </c>
      <c r="E3464" s="292">
        <v>42744</v>
      </c>
      <c r="F3464" s="67" t="s">
        <v>897</v>
      </c>
      <c r="G3464" s="62" t="s">
        <v>585</v>
      </c>
      <c r="H3464" s="67" t="s">
        <v>789</v>
      </c>
      <c r="I3464" s="373"/>
      <c r="J3464" s="926"/>
      <c r="K3464" s="373"/>
      <c r="L3464" s="379"/>
      <c r="M3464" s="927">
        <v>329056000</v>
      </c>
      <c r="N3464" s="295" t="s">
        <v>8</v>
      </c>
      <c r="O3464" s="295" t="s">
        <v>26</v>
      </c>
      <c r="P3464" s="75" t="str">
        <f>IF(AND('331-CT'!$E$7=TH!H4628,OR(N3464="331",O3464="331")),"x","")</f>
        <v/>
      </c>
      <c r="Q3464" s="75" t="str">
        <f>IF(AND(B3464='111'!$L$11,OR($N3464=$Q$7,$O3464=$Q$7)),"x","")</f>
        <v/>
      </c>
      <c r="R3464" s="75" t="str">
        <f>IF(AND($N3464=$Q$7,$B3464&lt;'111'!$L$11),"x","")</f>
        <v/>
      </c>
      <c r="S3464" s="75" t="str">
        <f>IF(AND($O3464=$Q$7,$B3464&lt;'111'!$L$11),"x","")</f>
        <v/>
      </c>
      <c r="T3464" s="75" t="str">
        <f>IF(ISERROR(FIND('112'!$M$9,G3464,1)),"",IF((AND(FIND('112'!$M$9,G3464,1)&gt;=1,B3464='112'!$K$9,OR($N3464='112'!$I$6,$O3464='112'!$I$6))),"x",""))</f>
        <v/>
      </c>
      <c r="U3464" s="75" t="str">
        <f>IF(ISERROR(FIND('112'!$M$9,G3464,1)),"",IF((AND(LEFT(G3464,2)=LEFT('112'!$M$9,2),B3464&lt;'112'!$K$9,$N3464='112'!$I$6)),"x",""))</f>
        <v/>
      </c>
      <c r="V3464" s="75" t="str">
        <f>IF(ISERROR(FIND('112'!$M$9,G3464,1)),"",IF((AND(RIGHT(G3464,2)=RIGHT('112'!$M$9,2),B3464&lt;'112'!$K$9,$O3464='112'!$I$6)),"x",""))</f>
        <v/>
      </c>
      <c r="W3464" s="75" t="str">
        <f>IF(AND('341-CT'!$H$9=H3464,OR(LEFT(N3464,3)=$W$7,LEFT(O3464,3)=$W$7)),"x","")</f>
        <v/>
      </c>
      <c r="X3464" s="75" t="str">
        <f>IF(OR(TH!N4628=TH!$X$7,O3464=TH!$X$7),"x","")</f>
        <v/>
      </c>
      <c r="Y3464" s="75" t="str">
        <f>IF(AND(OR(N3464="131",O3464="131"),H3464='131-CT'!$H$9),"x","")</f>
        <v/>
      </c>
      <c r="Z3464" s="75"/>
      <c r="AA3464" s="75" t="str">
        <f>IF(AND(MONTH(E3464)='IN-NX'!$J$5,'IN-NX'!$D$7=D3464),"x","")</f>
        <v/>
      </c>
      <c r="AB3464" s="75" t="str">
        <f>IF(AND(OR(LEFT(TH!N4628,2)="15",LEFT(TH!O4628,2)="15"),LEFT(TH!O4628,3)&lt;&gt;"111",'152-CT'!$J$8=TH!F4628),"x","")</f>
        <v/>
      </c>
      <c r="AC3464" s="75" t="str">
        <f>IF(AND(OR(LEFT(TH!N4628,2)="15",LEFT(TH!O4628,2)="15"),TK!$E$7=TH!F4628),"x","")</f>
        <v/>
      </c>
      <c r="AD3464" s="75" t="str">
        <f>IF(AND(N3464="1521",MONTH(C3464)='BK-NL'!$M$11),"x","")</f>
        <v/>
      </c>
    </row>
    <row r="3465" spans="1:33" ht="16.5" customHeight="1">
      <c r="A3465" s="309" t="str">
        <f>IF(B3465&lt;&gt;"",IF(AND(B3465='IN-TC'!$S$4,OR(TH!N3465="1111",TH!O3465="1111")),TH!D3465,""),"")</f>
        <v/>
      </c>
      <c r="B3465" s="1058">
        <f t="shared" si="1288"/>
        <v>1</v>
      </c>
      <c r="C3465" s="292">
        <f t="shared" si="1291"/>
        <v>42744</v>
      </c>
      <c r="D3465" s="292" t="s">
        <v>902</v>
      </c>
      <c r="E3465" s="292">
        <v>42744</v>
      </c>
      <c r="F3465" s="67" t="s">
        <v>870</v>
      </c>
      <c r="G3465" s="62" t="s">
        <v>585</v>
      </c>
      <c r="H3465" s="311" t="s">
        <v>845</v>
      </c>
      <c r="I3465" s="373"/>
      <c r="J3465" s="926"/>
      <c r="K3465" s="373"/>
      <c r="L3465" s="379"/>
      <c r="M3465" s="927">
        <v>164528</v>
      </c>
      <c r="N3465" s="295" t="s">
        <v>101</v>
      </c>
      <c r="O3465" s="295" t="s">
        <v>26</v>
      </c>
      <c r="P3465" s="75" t="str">
        <f>IF(AND('331-CT'!$E$7=TH!H4629,OR(N3465="331",O3465="331")),"x","")</f>
        <v/>
      </c>
      <c r="Q3465" s="75" t="str">
        <f>IF(AND(B3465='111'!$L$11,OR($N3465=$Q$7,$O3465=$Q$7)),"x","")</f>
        <v/>
      </c>
      <c r="R3465" s="75" t="str">
        <f>IF(AND($N3465=$Q$7,$B3465&lt;'111'!$L$11),"x","")</f>
        <v/>
      </c>
      <c r="S3465" s="75" t="str">
        <f>IF(AND($O3465=$Q$7,$B3465&lt;'111'!$L$11),"x","")</f>
        <v/>
      </c>
      <c r="T3465" s="75" t="str">
        <f>IF(ISERROR(FIND('112'!$M$9,G3465,1)),"",IF((AND(FIND('112'!$M$9,G3465,1)&gt;=1,B3465='112'!$K$9,OR($N3465='112'!$I$6,$O3465='112'!$I$6))),"x",""))</f>
        <v/>
      </c>
      <c r="U3465" s="75" t="str">
        <f>IF(ISERROR(FIND('112'!$M$9,G3465,1)),"",IF((AND(LEFT(G3465,2)=LEFT('112'!$M$9,2),B3465&lt;'112'!$K$9,$N3465='112'!$I$6)),"x",""))</f>
        <v/>
      </c>
      <c r="V3465" s="75" t="str">
        <f>IF(ISERROR(FIND('112'!$M$9,G3465,1)),"",IF((AND(RIGHT(G3465,2)=RIGHT('112'!$M$9,2),B3465&lt;'112'!$K$9,$O3465='112'!$I$6)),"x",""))</f>
        <v/>
      </c>
      <c r="W3465" s="75" t="str">
        <f>IF(AND('341-CT'!$H$9=H3465,OR(LEFT(N3465,3)=$W$7,LEFT(O3465,3)=$W$7)),"x","")</f>
        <v/>
      </c>
      <c r="X3465" s="75" t="str">
        <f>IF(OR(TH!N4629=TH!$X$7,O3465=TH!$X$7),"x","")</f>
        <v/>
      </c>
      <c r="Y3465" s="75" t="str">
        <f>IF(AND(OR(N3465="131",O3465="131"),H3465='131-CT'!$H$9),"x","")</f>
        <v/>
      </c>
      <c r="Z3465" s="75"/>
      <c r="AA3465" s="75" t="str">
        <f>IF(AND(MONTH(E3465)='IN-NX'!$J$5,'IN-NX'!$D$7=D3465),"x","")</f>
        <v/>
      </c>
      <c r="AB3465" s="75" t="str">
        <f>IF(AND(OR(LEFT(TH!N4629,2)="15",LEFT(TH!O4629,2)="15"),LEFT(TH!O4629,3)&lt;&gt;"111",'152-CT'!$J$8=TH!F4629),"x","")</f>
        <v/>
      </c>
      <c r="AC3465" s="75" t="str">
        <f>IF(AND(OR(LEFT(TH!N4629,2)="15",LEFT(TH!O4629,2)="15"),TK!$E$7=TH!F4629),"x","")</f>
        <v/>
      </c>
      <c r="AD3465" s="75" t="str">
        <f>IF(AND(N3465="1521",MONTH(C3465)='BK-NL'!$M$11),"x","")</f>
        <v/>
      </c>
    </row>
    <row r="3466" spans="1:33" ht="16.5" customHeight="1">
      <c r="A3466" s="309" t="str">
        <f>IF(B3466&lt;&gt;"",IF(AND(B3466='IN-TC'!$S$4,OR(TH!N3466="1111",TH!O3466="1111")),TH!D3466,""),"")</f>
        <v/>
      </c>
      <c r="B3466" s="1058">
        <f t="shared" si="1288"/>
        <v>1</v>
      </c>
      <c r="C3466" s="292">
        <f t="shared" si="1291"/>
        <v>42744</v>
      </c>
      <c r="D3466" s="292" t="s">
        <v>902</v>
      </c>
      <c r="E3466" s="292">
        <v>42744</v>
      </c>
      <c r="F3466" s="67" t="s">
        <v>898</v>
      </c>
      <c r="G3466" s="62" t="s">
        <v>585</v>
      </c>
      <c r="H3466" s="311" t="s">
        <v>845</v>
      </c>
      <c r="I3466" s="373"/>
      <c r="J3466" s="926"/>
      <c r="K3466" s="373"/>
      <c r="L3466" s="379"/>
      <c r="M3466" s="927">
        <v>16453</v>
      </c>
      <c r="N3466" s="295" t="s">
        <v>9</v>
      </c>
      <c r="O3466" s="295" t="s">
        <v>26</v>
      </c>
      <c r="P3466" s="75" t="str">
        <f>IF(AND('331-CT'!$E$7=TH!H4616,OR(N3466="331",O3466="331")),"x","")</f>
        <v/>
      </c>
      <c r="Q3466" s="75" t="str">
        <f>IF(AND(B3466='111'!$L$11,OR($N3466=$Q$7,$O3466=$Q$7)),"x","")</f>
        <v/>
      </c>
      <c r="R3466" s="75" t="str">
        <f>IF(AND($N3466=$Q$7,$B3466&lt;'111'!$L$11),"x","")</f>
        <v/>
      </c>
      <c r="S3466" s="75" t="str">
        <f>IF(AND($O3466=$Q$7,$B3466&lt;'111'!$L$11),"x","")</f>
        <v/>
      </c>
      <c r="T3466" s="75" t="str">
        <f>IF(ISERROR(FIND('112'!$M$9,G3466,1)),"",IF((AND(FIND('112'!$M$9,G3466,1)&gt;=1,B3466='112'!$K$9,OR($N3466='112'!$I$6,$O3466='112'!$I$6))),"x",""))</f>
        <v/>
      </c>
      <c r="U3466" s="75" t="str">
        <f>IF(ISERROR(FIND('112'!$M$9,G3466,1)),"",IF((AND(LEFT(G3466,2)=LEFT('112'!$M$9,2),B3466&lt;'112'!$K$9,$N3466='112'!$I$6)),"x",""))</f>
        <v/>
      </c>
      <c r="V3466" s="75" t="str">
        <f>IF(ISERROR(FIND('112'!$M$9,G3466,1)),"",IF((AND(RIGHT(G3466,2)=RIGHT('112'!$M$9,2),B3466&lt;'112'!$K$9,$O3466='112'!$I$6)),"x",""))</f>
        <v/>
      </c>
      <c r="W3466" s="75" t="str">
        <f>IF(AND('341-CT'!$H$9=H3466,OR(LEFT(N3466,3)=$W$7,LEFT(O3466,3)=$W$7)),"x","")</f>
        <v/>
      </c>
      <c r="X3466" s="75" t="str">
        <f>IF(OR(TH!N4616=TH!$X$7,O3466=TH!$X$7),"x","")</f>
        <v/>
      </c>
      <c r="Y3466" s="75" t="str">
        <f>IF(AND(OR(N3466="131",O3466="131"),H3466='131-CT'!$H$9),"x","")</f>
        <v/>
      </c>
      <c r="Z3466" s="75"/>
      <c r="AA3466" s="75" t="str">
        <f>IF(AND(MONTH(E3466)='IN-NX'!$J$5,'IN-NX'!$D$7=D3466),"x","")</f>
        <v/>
      </c>
      <c r="AB3466" s="75" t="str">
        <f>IF(AND(OR(LEFT(TH!N4616,2)="15",LEFT(TH!O4616,2)="15"),LEFT(TH!O4616,3)&lt;&gt;"111",'152-CT'!$J$8=TH!F4616),"x","")</f>
        <v/>
      </c>
      <c r="AC3466" s="75" t="str">
        <f>IF(AND(OR(LEFT(TH!N4616,2)="15",LEFT(TH!O4616,2)="15"),TK!$E$7=TH!F4616),"x","")</f>
        <v/>
      </c>
      <c r="AD3466" s="75" t="str">
        <f>IF(AND(N3466="1521",MONTH(C3466)='BK-NL'!$M$11),"x","")</f>
        <v/>
      </c>
    </row>
    <row r="3467" spans="1:33" ht="16.5" customHeight="1">
      <c r="A3467" s="309" t="str">
        <f>IF(B3467&lt;&gt;"",IF(AND(B3467='IN-TC'!$S$4,OR(TH!N3467="1111",TH!O3467="1111")),TH!D3467,""),"")</f>
        <v/>
      </c>
      <c r="B3467" s="1058">
        <f t="shared" si="1288"/>
        <v>1</v>
      </c>
      <c r="C3467" s="292">
        <f t="shared" si="1291"/>
        <v>42744</v>
      </c>
      <c r="D3467" s="292" t="s">
        <v>902</v>
      </c>
      <c r="E3467" s="292">
        <v>42744</v>
      </c>
      <c r="F3467" s="67" t="s">
        <v>911</v>
      </c>
      <c r="G3467" s="62" t="s">
        <v>585</v>
      </c>
      <c r="H3467" s="311" t="s">
        <v>561</v>
      </c>
      <c r="I3467" s="373"/>
      <c r="J3467" s="926"/>
      <c r="K3467" s="373"/>
      <c r="L3467" s="379"/>
      <c r="M3467" s="927">
        <v>1170000</v>
      </c>
      <c r="N3467" s="295" t="s">
        <v>8</v>
      </c>
      <c r="O3467" s="295" t="s">
        <v>26</v>
      </c>
      <c r="P3467" s="75" t="str">
        <f>IF(AND('331-CT'!$E$7=TH!H4630,OR(N3467="331",O3467="331")),"x","")</f>
        <v/>
      </c>
      <c r="Q3467" s="75" t="str">
        <f>IF(AND(B3467='111'!$L$11,OR($N3467=$Q$7,$O3467=$Q$7)),"x","")</f>
        <v/>
      </c>
      <c r="R3467" s="75" t="str">
        <f>IF(AND($N3467=$Q$7,$B3467&lt;'111'!$L$11),"x","")</f>
        <v/>
      </c>
      <c r="S3467" s="75" t="str">
        <f>IF(AND($O3467=$Q$7,$B3467&lt;'111'!$L$11),"x","")</f>
        <v/>
      </c>
      <c r="T3467" s="75" t="str">
        <f>IF(ISERROR(FIND('112'!$M$9,G3467,1)),"",IF((AND(FIND('112'!$M$9,G3467,1)&gt;=1,B3467='112'!$K$9,OR($N3467='112'!$I$6,$O3467='112'!$I$6))),"x",""))</f>
        <v/>
      </c>
      <c r="U3467" s="75" t="str">
        <f>IF(ISERROR(FIND('112'!$M$9,G3467,1)),"",IF((AND(LEFT(G3467,2)=LEFT('112'!$M$9,2),B3467&lt;'112'!$K$9,$N3467='112'!$I$6)),"x",""))</f>
        <v/>
      </c>
      <c r="V3467" s="75" t="str">
        <f>IF(ISERROR(FIND('112'!$M$9,G3467,1)),"",IF((AND(RIGHT(G3467,2)=RIGHT('112'!$M$9,2),B3467&lt;'112'!$K$9,$O3467='112'!$I$6)),"x",""))</f>
        <v/>
      </c>
      <c r="W3467" s="75" t="str">
        <f>IF(AND('341-CT'!$H$9=H3467,OR(LEFT(N3467,3)=$W$7,LEFT(O3467,3)=$W$7)),"x","")</f>
        <v/>
      </c>
      <c r="X3467" s="75" t="str">
        <f>IF(OR(TH!N4630=TH!$X$7,O3467=TH!$X$7),"x","")</f>
        <v/>
      </c>
      <c r="Y3467" s="75" t="str">
        <f>IF(AND(OR(N3467="131",O3467="131"),H3467='131-CT'!$H$9),"x","")</f>
        <v/>
      </c>
      <c r="Z3467" s="75"/>
      <c r="AA3467" s="75" t="str">
        <f>IF(AND(MONTH(E3467)='IN-NX'!$J$5,'IN-NX'!$D$7=D3467),"x","")</f>
        <v/>
      </c>
      <c r="AB3467" s="75" t="str">
        <f>IF(AND(OR(LEFT(TH!N4630,2)="15",LEFT(TH!O4630,2)="15"),LEFT(TH!O4630,3)&lt;&gt;"111",'152-CT'!$J$8=TH!F4630),"x","")</f>
        <v/>
      </c>
      <c r="AC3467" s="75" t="str">
        <f>IF(AND(OR(LEFT(TH!N4630,2)="15",LEFT(TH!O4630,2)="15"),TK!$E$7=TH!F4630),"x","")</f>
        <v/>
      </c>
      <c r="AD3467" s="75" t="str">
        <f>IF(AND(N3467="1521",MONTH(C3467)='BK-NL'!$M$11),"x","")</f>
        <v/>
      </c>
    </row>
    <row r="3468" spans="1:33" ht="16.5" customHeight="1">
      <c r="A3468" s="309" t="str">
        <f>IF(B3468&lt;&gt;"",IF(AND(B3468='IN-TC'!$S$4,OR(TH!N3468="1111",TH!O3468="1111")),TH!D3468,""),"")</f>
        <v/>
      </c>
      <c r="B3468" s="1058">
        <f t="shared" si="1288"/>
        <v>1</v>
      </c>
      <c r="C3468" s="292">
        <f t="shared" si="1291"/>
        <v>42744</v>
      </c>
      <c r="D3468" s="292" t="s">
        <v>902</v>
      </c>
      <c r="E3468" s="292">
        <v>42744</v>
      </c>
      <c r="F3468" s="67" t="s">
        <v>870</v>
      </c>
      <c r="G3468" s="62" t="s">
        <v>585</v>
      </c>
      <c r="H3468" s="311" t="s">
        <v>845</v>
      </c>
      <c r="I3468" s="373"/>
      <c r="J3468" s="926"/>
      <c r="K3468" s="373"/>
      <c r="L3468" s="379"/>
      <c r="M3468" s="927">
        <v>20000</v>
      </c>
      <c r="N3468" s="295" t="s">
        <v>101</v>
      </c>
      <c r="O3468" s="295" t="s">
        <v>26</v>
      </c>
      <c r="P3468" s="75" t="str">
        <f>IF(AND('331-CT'!$E$7=TH!H4631,OR(N3468="331",O3468="331")),"x","")</f>
        <v/>
      </c>
      <c r="Q3468" s="75" t="str">
        <f>IF(AND(B3468='111'!$L$11,OR($N3468=$Q$7,$O3468=$Q$7)),"x","")</f>
        <v/>
      </c>
      <c r="R3468" s="75" t="str">
        <f>IF(AND($N3468=$Q$7,$B3468&lt;'111'!$L$11),"x","")</f>
        <v/>
      </c>
      <c r="S3468" s="75" t="str">
        <f>IF(AND($O3468=$Q$7,$B3468&lt;'111'!$L$11),"x","")</f>
        <v/>
      </c>
      <c r="T3468" s="75" t="str">
        <f>IF(ISERROR(FIND('112'!$M$9,G3468,1)),"",IF((AND(FIND('112'!$M$9,G3468,1)&gt;=1,B3468='112'!$K$9,OR($N3468='112'!$I$6,$O3468='112'!$I$6))),"x",""))</f>
        <v/>
      </c>
      <c r="U3468" s="75" t="str">
        <f>IF(ISERROR(FIND('112'!$M$9,G3468,1)),"",IF((AND(LEFT(G3468,2)=LEFT('112'!$M$9,2),B3468&lt;'112'!$K$9,$N3468='112'!$I$6)),"x",""))</f>
        <v/>
      </c>
      <c r="V3468" s="75" t="str">
        <f>IF(ISERROR(FIND('112'!$M$9,G3468,1)),"",IF((AND(RIGHT(G3468,2)=RIGHT('112'!$M$9,2),B3468&lt;'112'!$K$9,$O3468='112'!$I$6)),"x",""))</f>
        <v/>
      </c>
      <c r="W3468" s="75" t="str">
        <f>IF(AND('341-CT'!$H$9=H3468,OR(LEFT(N3468,3)=$W$7,LEFT(O3468,3)=$W$7)),"x","")</f>
        <v/>
      </c>
      <c r="X3468" s="75" t="str">
        <f>IF(OR(TH!N4631=TH!$X$7,O3468=TH!$X$7),"x","")</f>
        <v/>
      </c>
      <c r="Y3468" s="75" t="str">
        <f>IF(AND(OR(N3468="131",O3468="131"),H3468='131-CT'!$H$9),"x","")</f>
        <v/>
      </c>
      <c r="Z3468" s="75"/>
      <c r="AA3468" s="75" t="str">
        <f>IF(AND(MONTH(E3468)='IN-NX'!$J$5,'IN-NX'!$D$7=D3468),"x","")</f>
        <v/>
      </c>
      <c r="AB3468" s="75" t="str">
        <f>IF(AND(OR(LEFT(TH!N4631,2)="15",LEFT(TH!O4631,2)="15"),LEFT(TH!O4631,3)&lt;&gt;"111",'152-CT'!$J$8=TH!F4631),"x","")</f>
        <v/>
      </c>
      <c r="AC3468" s="75" t="str">
        <f>IF(AND(OR(LEFT(TH!N4631,2)="15",LEFT(TH!O4631,2)="15"),TK!$E$7=TH!F4631),"x","")</f>
        <v/>
      </c>
      <c r="AD3468" s="75" t="str">
        <f>IF(AND(N3468="1521",MONTH(C3468)='BK-NL'!$M$11),"x","")</f>
        <v/>
      </c>
    </row>
    <row r="3469" spans="1:33" ht="16.5" customHeight="1">
      <c r="A3469" s="309" t="str">
        <f>IF(B3469&lt;&gt;"",IF(AND(B3469='IN-TC'!$S$4,OR(TH!N3469="1111",TH!O3469="1111")),TH!D3469,""),"")</f>
        <v/>
      </c>
      <c r="B3469" s="1058">
        <f t="shared" si="1288"/>
        <v>1</v>
      </c>
      <c r="C3469" s="292">
        <f t="shared" si="1291"/>
        <v>42744</v>
      </c>
      <c r="D3469" s="292" t="s">
        <v>902</v>
      </c>
      <c r="E3469" s="292">
        <v>42744</v>
      </c>
      <c r="F3469" s="1127" t="s">
        <v>898</v>
      </c>
      <c r="G3469" s="62" t="s">
        <v>585</v>
      </c>
      <c r="H3469" s="311" t="s">
        <v>845</v>
      </c>
      <c r="I3469" s="373"/>
      <c r="J3469" s="926"/>
      <c r="K3469" s="373"/>
      <c r="L3469" s="379"/>
      <c r="M3469" s="927">
        <v>2000</v>
      </c>
      <c r="N3469" s="295" t="s">
        <v>9</v>
      </c>
      <c r="O3469" s="295" t="s">
        <v>26</v>
      </c>
      <c r="P3469" s="75" t="str">
        <f>IF(AND('331-CT'!$E$7=TH!H4632,OR(N3469="331",O3469="331")),"x","")</f>
        <v/>
      </c>
      <c r="Q3469" s="75" t="str">
        <f>IF(AND(B3469='111'!$L$11,OR($N3469=$Q$7,$O3469=$Q$7)),"x","")</f>
        <v/>
      </c>
      <c r="R3469" s="75" t="str">
        <f>IF(AND($N3469=$Q$7,$B3469&lt;'111'!$L$11),"x","")</f>
        <v/>
      </c>
      <c r="S3469" s="75" t="str">
        <f>IF(AND($O3469=$Q$7,$B3469&lt;'111'!$L$11),"x","")</f>
        <v/>
      </c>
      <c r="T3469" s="75" t="str">
        <f>IF(ISERROR(FIND('112'!$M$9,G3469,1)),"",IF((AND(FIND('112'!$M$9,G3469,1)&gt;=1,B3469='112'!$K$9,OR($N3469='112'!$I$6,$O3469='112'!$I$6))),"x",""))</f>
        <v/>
      </c>
      <c r="U3469" s="75" t="str">
        <f>IF(ISERROR(FIND('112'!$M$9,G3469,1)),"",IF((AND(LEFT(G3469,2)=LEFT('112'!$M$9,2),B3469&lt;'112'!$K$9,$N3469='112'!$I$6)),"x",""))</f>
        <v/>
      </c>
      <c r="V3469" s="75" t="str">
        <f>IF(ISERROR(FIND('112'!$M$9,G3469,1)),"",IF((AND(RIGHT(G3469,2)=RIGHT('112'!$M$9,2),B3469&lt;'112'!$K$9,$O3469='112'!$I$6)),"x",""))</f>
        <v/>
      </c>
      <c r="W3469" s="75" t="str">
        <f>IF(AND('341-CT'!$H$9=H3469,OR(LEFT(N3469,3)=$W$7,LEFT(O3469,3)=$W$7)),"x","")</f>
        <v/>
      </c>
      <c r="X3469" s="75" t="str">
        <f>IF(OR(TH!N4632=TH!$X$7,O3469=TH!$X$7),"x","")</f>
        <v/>
      </c>
      <c r="Y3469" s="75" t="str">
        <f>IF(AND(OR(N3469="131",O3469="131"),H3469='131-CT'!$H$9),"x","")</f>
        <v/>
      </c>
      <c r="Z3469" s="75"/>
      <c r="AA3469" s="75" t="str">
        <f>IF(AND(MONTH(E3469)='IN-NX'!$J$5,'IN-NX'!$D$7=D3469),"x","")</f>
        <v/>
      </c>
      <c r="AB3469" s="75" t="str">
        <f>IF(AND(OR(LEFT(TH!N4632,2)="15",LEFT(TH!O4632,2)="15"),LEFT(TH!O4632,3)&lt;&gt;"111",'152-CT'!$J$8=TH!F4632),"x","")</f>
        <v/>
      </c>
      <c r="AC3469" s="75" t="str">
        <f>IF(AND(OR(LEFT(TH!N4632,2)="15",LEFT(TH!O4632,2)="15"),TK!$E$7=TH!F4632),"x","")</f>
        <v/>
      </c>
      <c r="AD3469" s="75" t="str">
        <f>IF(AND(N3469="1521",MONTH(C3469)='BK-NL'!$M$11),"x","")</f>
        <v/>
      </c>
    </row>
    <row r="3470" spans="1:33" ht="16.5" customHeight="1">
      <c r="A3470" s="309" t="str">
        <f>IF(B3470&lt;&gt;"",IF(AND(B3470='IN-TC'!$S$4,OR(TH!N3470="1111",TH!O3470="1111")),TH!D3470,""),"")</f>
        <v/>
      </c>
      <c r="B3470" s="1058">
        <f t="shared" si="1288"/>
        <v>1</v>
      </c>
      <c r="C3470" s="292">
        <f t="shared" si="1291"/>
        <v>42744</v>
      </c>
      <c r="D3470" s="292" t="s">
        <v>902</v>
      </c>
      <c r="E3470" s="292">
        <v>42744</v>
      </c>
      <c r="F3470" s="1127" t="s">
        <v>911</v>
      </c>
      <c r="G3470" s="62" t="s">
        <v>585</v>
      </c>
      <c r="H3470" s="311" t="s">
        <v>561</v>
      </c>
      <c r="I3470" s="373"/>
      <c r="J3470" s="926"/>
      <c r="K3470" s="373"/>
      <c r="L3470" s="379"/>
      <c r="M3470" s="927">
        <v>7015000</v>
      </c>
      <c r="N3470" s="295" t="s">
        <v>8</v>
      </c>
      <c r="O3470" s="295" t="s">
        <v>26</v>
      </c>
      <c r="P3470" s="75" t="str">
        <f>IF(AND('331-CT'!$E$7=TH!H4633,OR(N3470="331",O3470="331")),"x","")</f>
        <v/>
      </c>
      <c r="Q3470" s="75" t="str">
        <f>IF(AND(B3470='111'!$L$11,OR($N3470=$Q$7,$O3470=$Q$7)),"x","")</f>
        <v/>
      </c>
      <c r="R3470" s="75" t="str">
        <f>IF(AND($N3470=$Q$7,$B3470&lt;'111'!$L$11),"x","")</f>
        <v/>
      </c>
      <c r="S3470" s="75" t="str">
        <f>IF(AND($O3470=$Q$7,$B3470&lt;'111'!$L$11),"x","")</f>
        <v/>
      </c>
      <c r="T3470" s="75" t="str">
        <f>IF(ISERROR(FIND('112'!$M$9,G3470,1)),"",IF((AND(FIND('112'!$M$9,G3470,1)&gt;=1,B3470='112'!$K$9,OR($N3470='112'!$I$6,$O3470='112'!$I$6))),"x",""))</f>
        <v/>
      </c>
      <c r="U3470" s="75" t="str">
        <f>IF(ISERROR(FIND('112'!$M$9,G3470,1)),"",IF((AND(LEFT(G3470,2)=LEFT('112'!$M$9,2),B3470&lt;'112'!$K$9,$N3470='112'!$I$6)),"x",""))</f>
        <v/>
      </c>
      <c r="V3470" s="75" t="str">
        <f>IF(ISERROR(FIND('112'!$M$9,G3470,1)),"",IF((AND(RIGHT(G3470,2)=RIGHT('112'!$M$9,2),B3470&lt;'112'!$K$9,$O3470='112'!$I$6)),"x",""))</f>
        <v/>
      </c>
      <c r="W3470" s="75" t="str">
        <f>IF(AND('341-CT'!$H$9=H3470,OR(LEFT(N3470,3)=$W$7,LEFT(O3470,3)=$W$7)),"x","")</f>
        <v/>
      </c>
      <c r="X3470" s="75" t="str">
        <f>IF(OR(TH!N4633=TH!$X$7,O3470=TH!$X$7),"x","")</f>
        <v/>
      </c>
      <c r="Y3470" s="75" t="str">
        <f>IF(AND(OR(N3470="131",O3470="131"),H3470='131-CT'!$H$9),"x","")</f>
        <v/>
      </c>
      <c r="Z3470" s="75"/>
      <c r="AA3470" s="75" t="str">
        <f>IF(AND(MONTH(E3470)='IN-NX'!$J$5,'IN-NX'!$D$7=D3470),"x","")</f>
        <v/>
      </c>
      <c r="AB3470" s="75" t="str">
        <f>IF(AND(OR(LEFT(TH!N4633,2)="15",LEFT(TH!O4633,2)="15"),LEFT(TH!O4633,3)&lt;&gt;"111",'152-CT'!$J$8=TH!F4633),"x","")</f>
        <v/>
      </c>
      <c r="AC3470" s="75" t="str">
        <f>IF(AND(OR(LEFT(TH!N4633,2)="15",LEFT(TH!O4633,2)="15"),TK!$E$7=TH!F4633),"x","")</f>
        <v/>
      </c>
      <c r="AD3470" s="75" t="str">
        <f>IF(AND(N3470="1521",MONTH(C3470)='BK-NL'!$M$11),"x","")</f>
        <v/>
      </c>
    </row>
    <row r="3471" spans="1:33" ht="16.5" customHeight="1">
      <c r="A3471" s="309" t="str">
        <f>IF(B3471&lt;&gt;"",IF(AND(B3471='IN-TC'!$S$4,OR(TH!N3471="1111",TH!O3471="1111")),TH!D3471,""),"")</f>
        <v/>
      </c>
      <c r="B3471" s="1058">
        <f t="shared" si="1288"/>
        <v>1</v>
      </c>
      <c r="C3471" s="292">
        <f t="shared" si="1291"/>
        <v>42744</v>
      </c>
      <c r="D3471" s="292" t="s">
        <v>902</v>
      </c>
      <c r="E3471" s="292">
        <v>42744</v>
      </c>
      <c r="F3471" s="1127" t="s">
        <v>870</v>
      </c>
      <c r="G3471" s="62" t="s">
        <v>585</v>
      </c>
      <c r="H3471" s="311" t="s">
        <v>845</v>
      </c>
      <c r="I3471" s="373"/>
      <c r="J3471" s="926"/>
      <c r="K3471" s="373"/>
      <c r="L3471" s="379"/>
      <c r="M3471" s="927">
        <v>20000</v>
      </c>
      <c r="N3471" s="295" t="s">
        <v>101</v>
      </c>
      <c r="O3471" s="295" t="s">
        <v>26</v>
      </c>
      <c r="P3471" s="75" t="str">
        <f>IF(AND('331-CT'!$E$7=TH!H4634,OR(N3471="331",O3471="331")),"x","")</f>
        <v/>
      </c>
      <c r="Q3471" s="75" t="str">
        <f>IF(AND(B3471='111'!$L$11,OR($N3471=$Q$7,$O3471=$Q$7)),"x","")</f>
        <v/>
      </c>
      <c r="R3471" s="75" t="str">
        <f>IF(AND($N3471=$Q$7,$B3471&lt;'111'!$L$11),"x","")</f>
        <v/>
      </c>
      <c r="S3471" s="75" t="str">
        <f>IF(AND($O3471=$Q$7,$B3471&lt;'111'!$L$11),"x","")</f>
        <v/>
      </c>
      <c r="T3471" s="75" t="str">
        <f>IF(ISERROR(FIND('112'!$M$9,G3471,1)),"",IF((AND(FIND('112'!$M$9,G3471,1)&gt;=1,B3471='112'!$K$9,OR($N3471='112'!$I$6,$O3471='112'!$I$6))),"x",""))</f>
        <v/>
      </c>
      <c r="U3471" s="75" t="str">
        <f>IF(ISERROR(FIND('112'!$M$9,G3471,1)),"",IF((AND(LEFT(G3471,2)=LEFT('112'!$M$9,2),B3471&lt;'112'!$K$9,$N3471='112'!$I$6)),"x",""))</f>
        <v/>
      </c>
      <c r="V3471" s="75" t="str">
        <f>IF(ISERROR(FIND('112'!$M$9,G3471,1)),"",IF((AND(RIGHT(G3471,2)=RIGHT('112'!$M$9,2),B3471&lt;'112'!$K$9,$O3471='112'!$I$6)),"x",""))</f>
        <v/>
      </c>
      <c r="W3471" s="75" t="str">
        <f>IF(AND('341-CT'!$H$9=H3471,OR(LEFT(N3471,3)=$W$7,LEFT(O3471,3)=$W$7)),"x","")</f>
        <v/>
      </c>
      <c r="X3471" s="75" t="str">
        <f>IF(OR(TH!N4634=TH!$X$7,O3471=TH!$X$7),"x","")</f>
        <v/>
      </c>
      <c r="Y3471" s="75" t="str">
        <f>IF(AND(OR(N3471="131",O3471="131"),H3471='131-CT'!$H$9),"x","")</f>
        <v/>
      </c>
      <c r="Z3471" s="75"/>
      <c r="AA3471" s="75" t="str">
        <f>IF(AND(MONTH(E3471)='IN-NX'!$J$5,'IN-NX'!$D$7=D3471),"x","")</f>
        <v/>
      </c>
      <c r="AB3471" s="75" t="str">
        <f>IF(AND(OR(LEFT(TH!N4634,2)="15",LEFT(TH!O4634,2)="15"),LEFT(TH!O4634,3)&lt;&gt;"111",'152-CT'!$J$8=TH!F4634),"x","")</f>
        <v/>
      </c>
      <c r="AC3471" s="75" t="str">
        <f>IF(AND(OR(LEFT(TH!N4634,2)="15",LEFT(TH!O4634,2)="15"),TK!$E$7=TH!F4634),"x","")</f>
        <v/>
      </c>
      <c r="AD3471" s="75" t="str">
        <f>IF(AND(N3471="1521",MONTH(C3471)='BK-NL'!$M$11),"x","")</f>
        <v/>
      </c>
    </row>
    <row r="3472" spans="1:33" ht="16.5" customHeight="1">
      <c r="A3472" s="309" t="str">
        <f>IF(B3472&lt;&gt;"",IF(AND(B3472='IN-TC'!$S$4,OR(TH!N3472="1111",TH!O3472="1111")),TH!D3472,""),"")</f>
        <v/>
      </c>
      <c r="B3472" s="1058">
        <f t="shared" si="1288"/>
        <v>1</v>
      </c>
      <c r="C3472" s="292">
        <f t="shared" si="1291"/>
        <v>42744</v>
      </c>
      <c r="D3472" s="292" t="s">
        <v>902</v>
      </c>
      <c r="E3472" s="292">
        <v>42744</v>
      </c>
      <c r="F3472" s="1127" t="s">
        <v>898</v>
      </c>
      <c r="G3472" s="62" t="s">
        <v>585</v>
      </c>
      <c r="H3472" s="311" t="s">
        <v>845</v>
      </c>
      <c r="I3472" s="373"/>
      <c r="J3472" s="926"/>
      <c r="K3472" s="373"/>
      <c r="L3472" s="379"/>
      <c r="M3472" s="927">
        <v>2000</v>
      </c>
      <c r="N3472" s="295" t="s">
        <v>9</v>
      </c>
      <c r="O3472" s="295" t="s">
        <v>26</v>
      </c>
      <c r="P3472" s="75" t="str">
        <f>IF(AND('331-CT'!$E$7=TH!H4635,OR(N3472="331",O3472="331")),"x","")</f>
        <v/>
      </c>
      <c r="Q3472" s="75" t="str">
        <f>IF(AND(B3472='111'!$L$11,OR($N3472=$Q$7,$O3472=$Q$7)),"x","")</f>
        <v/>
      </c>
      <c r="R3472" s="75" t="str">
        <f>IF(AND($N3472=$Q$7,$B3472&lt;'111'!$L$11),"x","")</f>
        <v/>
      </c>
      <c r="S3472" s="75" t="str">
        <f>IF(AND($O3472=$Q$7,$B3472&lt;'111'!$L$11),"x","")</f>
        <v/>
      </c>
      <c r="T3472" s="75" t="str">
        <f>IF(ISERROR(FIND('112'!$M$9,G3472,1)),"",IF((AND(FIND('112'!$M$9,G3472,1)&gt;=1,B3472='112'!$K$9,OR($N3472='112'!$I$6,$O3472='112'!$I$6))),"x",""))</f>
        <v/>
      </c>
      <c r="U3472" s="75" t="str">
        <f>IF(ISERROR(FIND('112'!$M$9,G3472,1)),"",IF((AND(LEFT(G3472,2)=LEFT('112'!$M$9,2),B3472&lt;'112'!$K$9,$N3472='112'!$I$6)),"x",""))</f>
        <v/>
      </c>
      <c r="V3472" s="75" t="str">
        <f>IF(ISERROR(FIND('112'!$M$9,G3472,1)),"",IF((AND(RIGHT(G3472,2)=RIGHT('112'!$M$9,2),B3472&lt;'112'!$K$9,$O3472='112'!$I$6)),"x",""))</f>
        <v/>
      </c>
      <c r="W3472" s="75" t="str">
        <f>IF(AND('341-CT'!$H$9=H3472,OR(LEFT(N3472,3)=$W$7,LEFT(O3472,3)=$W$7)),"x","")</f>
        <v/>
      </c>
      <c r="X3472" s="75" t="str">
        <f>IF(OR(TH!N4635=TH!$X$7,O3472=TH!$X$7),"x","")</f>
        <v/>
      </c>
      <c r="Y3472" s="75" t="str">
        <f>IF(AND(OR(N3472="131",O3472="131"),H3472='131-CT'!$H$9),"x","")</f>
        <v/>
      </c>
      <c r="Z3472" s="75"/>
      <c r="AA3472" s="75" t="str">
        <f>IF(AND(MONTH(E3472)='IN-NX'!$J$5,'IN-NX'!$D$7=D3472),"x","")</f>
        <v/>
      </c>
      <c r="AB3472" s="75" t="str">
        <f>IF(AND(OR(LEFT(TH!N4635,2)="15",LEFT(TH!O4635,2)="15"),LEFT(TH!O4635,3)&lt;&gt;"111",'152-CT'!$J$8=TH!F4635),"x","")</f>
        <v/>
      </c>
      <c r="AC3472" s="75" t="str">
        <f>IF(AND(OR(LEFT(TH!N4635,2)="15",LEFT(TH!O4635,2)="15"),TK!$E$7=TH!F4635),"x","")</f>
        <v/>
      </c>
      <c r="AD3472" s="75" t="str">
        <f>IF(AND(N3472="1521",MONTH(C3472)='BK-NL'!$M$11),"x","")</f>
        <v/>
      </c>
    </row>
    <row r="3473" spans="1:33" ht="16.5" customHeight="1">
      <c r="A3473" s="309" t="str">
        <f>IF(B3473&lt;&gt;"",IF(AND(B3473='IN-TC'!$S$4,OR(TH!N3473="1111",TH!O3473="1111")),TH!D3473,""),"")</f>
        <v/>
      </c>
      <c r="B3473" s="1339">
        <f t="shared" si="1288"/>
        <v>1</v>
      </c>
      <c r="C3473" s="292">
        <f t="shared" si="1291"/>
        <v>42744</v>
      </c>
      <c r="D3473" s="71"/>
      <c r="E3473" s="71">
        <v>42744</v>
      </c>
      <c r="F3473" s="1216" t="s">
        <v>3032</v>
      </c>
      <c r="G3473" s="72" t="s">
        <v>332</v>
      </c>
      <c r="H3473" s="73" t="s">
        <v>1880</v>
      </c>
      <c r="I3473" s="371"/>
      <c r="J3473" s="378"/>
      <c r="K3473" s="371"/>
      <c r="L3473" s="377"/>
      <c r="M3473" s="74">
        <v>1000000000</v>
      </c>
      <c r="N3473" s="75" t="s">
        <v>262</v>
      </c>
      <c r="O3473" s="75" t="s">
        <v>63</v>
      </c>
      <c r="P3473" s="75" t="str">
        <f>IF(AND('331-CT'!$E$7=TH!H5676,OR(N3473="331",O3473="331")),"x","")</f>
        <v/>
      </c>
      <c r="Q3473" s="75" t="str">
        <f>IF(AND(B3473='111'!$L$11,OR($N3473=$Q$7,$O3473=$Q$7)),"x","")</f>
        <v/>
      </c>
      <c r="R3473" s="75" t="str">
        <f>IF(AND($N3473=$Q$7,$B3473&lt;'111'!$L$11),"x","")</f>
        <v/>
      </c>
      <c r="S3473" s="75" t="str">
        <f>IF(AND($O3473=$Q$7,$B3473&lt;'111'!$L$11),"x","")</f>
        <v>x</v>
      </c>
      <c r="T3473" s="75" t="str">
        <f>IF(ISERROR(FIND('112'!$M$9,G3473,1)),"",IF((AND(FIND('112'!$M$9,G3473,1)&gt;=1,B3473='112'!$K$9,OR($N3473='112'!$I$6,$O3473='112'!$I$6))),"x",""))</f>
        <v/>
      </c>
      <c r="U3473" s="75" t="str">
        <f>IF(ISERROR(FIND('112'!$M$9,G3473,1)),"",IF((AND(LEFT(G3473,2)=LEFT('112'!$M$9,2),B3473&lt;'112'!$K$9,$N3473='112'!$I$6)),"x",""))</f>
        <v/>
      </c>
      <c r="V3473" s="75" t="str">
        <f>IF(ISERROR(FIND('112'!$M$9,G3473,1)),"",IF((AND(RIGHT(G3473,2)=RIGHT('112'!$M$9,2),B3473&lt;'112'!$K$9,$O3473='112'!$I$6)),"x",""))</f>
        <v/>
      </c>
      <c r="W3473" s="75" t="str">
        <f>IF(AND('341-CT'!$H$9=H3473,OR(LEFT(N3473,3)=$W$7,LEFT(O3473,3)=$W$7)),"x","")</f>
        <v/>
      </c>
      <c r="X3473" s="75" t="str">
        <f>IF(OR(TH!N5676=TH!$X$7,O3473=TH!$X$7),"x","")</f>
        <v/>
      </c>
      <c r="Y3473" s="75" t="str">
        <f>IF(AND(OR(N3473="131",O3473="131"),H3473='131-CT'!$H$9),"x","")</f>
        <v/>
      </c>
      <c r="Z3473" s="75"/>
      <c r="AA3473" s="75" t="str">
        <f>IF(AND(MONTH(E3473)='IN-NX'!$J$5,'IN-NX'!$D$7=D3473),"x","")</f>
        <v/>
      </c>
      <c r="AB3473" s="75" t="str">
        <f>IF(AND(OR(LEFT(TH!N5676,2)="15",LEFT(TH!O5676,2)="15"),LEFT(TH!O5676,3)&lt;&gt;"111",'152-CT'!$J$8=TH!F5676),"x","")</f>
        <v/>
      </c>
      <c r="AC3473" s="75" t="str">
        <f>IF(AND(OR(LEFT(TH!N5676,2)="15",LEFT(TH!O5676,2)="15"),TK!$E$7=TH!F5676),"x","")</f>
        <v/>
      </c>
      <c r="AD3473" s="75" t="str">
        <f>IF(AND(N3473="1521",MONTH(C3473)='BK-NL'!$M$11),"x","")</f>
        <v/>
      </c>
      <c r="AE3473" s="1264"/>
      <c r="AF3473" s="1264"/>
      <c r="AG3473" s="1264"/>
    </row>
    <row r="3474" spans="1:33" ht="16.5" customHeight="1">
      <c r="A3474" s="309" t="str">
        <f>IF(B3474&lt;&gt;"",IF(AND(B3474='IN-TC'!$S$4,OR(TH!N3474="1111",TH!O3474="1111")),TH!D3474,""),"")</f>
        <v/>
      </c>
      <c r="B3474" s="1339">
        <f t="shared" si="1288"/>
        <v>1</v>
      </c>
      <c r="C3474" s="292">
        <f t="shared" si="1291"/>
        <v>42744</v>
      </c>
      <c r="D3474" s="71"/>
      <c r="E3474" s="71">
        <v>42744</v>
      </c>
      <c r="F3474" s="1216" t="s">
        <v>3032</v>
      </c>
      <c r="G3474" s="72" t="s">
        <v>1899</v>
      </c>
      <c r="H3474" s="73" t="s">
        <v>1879</v>
      </c>
      <c r="I3474" s="371"/>
      <c r="J3474" s="378"/>
      <c r="K3474" s="371"/>
      <c r="L3474" s="377"/>
      <c r="M3474" s="74">
        <v>1000000000</v>
      </c>
      <c r="N3474" s="75" t="s">
        <v>262</v>
      </c>
      <c r="O3474" s="75" t="s">
        <v>63</v>
      </c>
      <c r="P3474" s="75" t="str">
        <f>IF(AND('331-CT'!$E$7=TH!H5686,OR(N3474="331",O3474="331")),"x","")</f>
        <v/>
      </c>
      <c r="Q3474" s="75" t="str">
        <f>IF(AND(B3474='111'!$L$11,OR($N3474=$Q$7,$O3474=$Q$7)),"x","")</f>
        <v/>
      </c>
      <c r="R3474" s="75" t="str">
        <f>IF(AND($N3474=$Q$7,$B3474&lt;'111'!$L$11),"x","")</f>
        <v/>
      </c>
      <c r="S3474" s="75" t="str">
        <f>IF(AND($O3474=$Q$7,$B3474&lt;'111'!$L$11),"x","")</f>
        <v>x</v>
      </c>
      <c r="T3474" s="75" t="str">
        <f>IF(ISERROR(FIND('112'!$M$9,G3474,1)),"",IF((AND(FIND('112'!$M$9,G3474,1)&gt;=1,B3474='112'!$K$9,OR($N3474='112'!$I$6,$O3474='112'!$I$6))),"x",""))</f>
        <v/>
      </c>
      <c r="U3474" s="75" t="str">
        <f>IF(ISERROR(FIND('112'!$M$9,G3474,1)),"",IF((AND(LEFT(G3474,2)=LEFT('112'!$M$9,2),B3474&lt;'112'!$K$9,$N3474='112'!$I$6)),"x",""))</f>
        <v/>
      </c>
      <c r="V3474" s="75" t="str">
        <f>IF(ISERROR(FIND('112'!$M$9,G3474,1)),"",IF((AND(RIGHT(G3474,2)=RIGHT('112'!$M$9,2),B3474&lt;'112'!$K$9,$O3474='112'!$I$6)),"x",""))</f>
        <v/>
      </c>
      <c r="W3474" s="75" t="str">
        <f>IF(AND('341-CT'!$H$9=H3474,OR(LEFT(N3474,3)=$W$7,LEFT(O3474,3)=$W$7)),"x","")</f>
        <v/>
      </c>
      <c r="X3474" s="75" t="str">
        <f>IF(OR(TH!N5686=TH!$X$7,O3474=TH!$X$7),"x","")</f>
        <v/>
      </c>
      <c r="Y3474" s="75" t="str">
        <f>IF(AND(OR(N3474="131",O3474="131"),H3474='131-CT'!$H$9),"x","")</f>
        <v/>
      </c>
      <c r="Z3474" s="75"/>
      <c r="AA3474" s="75" t="str">
        <f>IF(AND(MONTH(E3474)='IN-NX'!$J$5,'IN-NX'!$D$7=D3474),"x","")</f>
        <v/>
      </c>
      <c r="AB3474" s="75" t="str">
        <f>IF(AND(OR(LEFT(TH!N5686,2)="15",LEFT(TH!O5686,2)="15"),LEFT(TH!O5686,3)&lt;&gt;"111",'152-CT'!$J$8=TH!F5686),"x","")</f>
        <v/>
      </c>
      <c r="AC3474" s="75" t="str">
        <f>IF(AND(OR(LEFT(TH!N5686,2)="15",LEFT(TH!O5686,2)="15"),TK!$E$7=TH!F5686),"x","")</f>
        <v/>
      </c>
      <c r="AD3474" s="75" t="str">
        <f>IF(AND(N3474="1521",MONTH(C3474)='BK-NL'!$M$11),"x","")</f>
        <v/>
      </c>
      <c r="AE3474" s="1264"/>
      <c r="AF3474" s="1264"/>
      <c r="AG3474" s="1264"/>
    </row>
    <row r="3475" spans="1:33" ht="16.5" customHeight="1">
      <c r="A3475" s="309" t="str">
        <f>IF(B3475&lt;&gt;"",IF(AND(B3475='IN-TC'!$S$4,OR(TH!N3475="1111",TH!O3475="1111")),TH!D3475,""),"")</f>
        <v/>
      </c>
      <c r="B3475" s="1058">
        <f t="shared" ref="B3475:B3538" si="1292">IF(C3475&lt;&gt;"",MONTH(C3475),"")</f>
        <v>1</v>
      </c>
      <c r="C3475" s="292">
        <f t="shared" si="1291"/>
        <v>42745</v>
      </c>
      <c r="D3475" s="292" t="s">
        <v>1929</v>
      </c>
      <c r="E3475" s="292">
        <v>42745</v>
      </c>
      <c r="F3475" s="1125" t="s">
        <v>938</v>
      </c>
      <c r="G3475" s="925" t="s">
        <v>940</v>
      </c>
      <c r="H3475" s="67" t="s">
        <v>941</v>
      </c>
      <c r="I3475" s="373"/>
      <c r="J3475" s="926"/>
      <c r="K3475" s="373"/>
      <c r="L3475" s="379"/>
      <c r="M3475" s="927">
        <v>668720</v>
      </c>
      <c r="N3475" s="295" t="s">
        <v>101</v>
      </c>
      <c r="O3475" s="295" t="s">
        <v>63</v>
      </c>
      <c r="P3475" s="75" t="str">
        <f>IF(AND('331-CT'!$E$7=TH!H3431,OR(N3475="331",O3475="331")),"x","")</f>
        <v/>
      </c>
      <c r="Q3475" s="75" t="str">
        <f>IF(AND(B3475='111'!$L$11,OR($N3475=$Q$7,$O3475=$Q$7)),"x","")</f>
        <v/>
      </c>
      <c r="R3475" s="75" t="str">
        <f>IF(AND($N3475=$Q$7,$B3475&lt;'111'!$L$11),"x","")</f>
        <v/>
      </c>
      <c r="S3475" s="75" t="str">
        <f>IF(AND($O3475=$Q$7,$B3475&lt;'111'!$L$11),"x","")</f>
        <v>x</v>
      </c>
      <c r="T3475" s="75" t="str">
        <f>IF(ISERROR(FIND('112'!$M$9,G3475,1)),"",IF((AND(FIND('112'!$M$9,G3475,1)&gt;=1,B3475='112'!$K$9,OR($N3475='112'!$I$6,$O3475='112'!$I$6))),"x",""))</f>
        <v/>
      </c>
      <c r="U3475" s="75" t="str">
        <f>IF(ISERROR(FIND('112'!$M$9,G3475,1)),"",IF((AND(LEFT(G3475,2)=LEFT('112'!$M$9,2),B3475&lt;'112'!$K$9,$N3475='112'!$I$6)),"x",""))</f>
        <v/>
      </c>
      <c r="V3475" s="75" t="str">
        <f>IF(ISERROR(FIND('112'!$M$9,G3475,1)),"",IF((AND(RIGHT(G3475,2)=RIGHT('112'!$M$9,2),B3475&lt;'112'!$K$9,$O3475='112'!$I$6)),"x",""))</f>
        <v/>
      </c>
      <c r="W3475" s="75" t="str">
        <f>IF(AND('341-CT'!$H$9=H3475,OR(LEFT(N3475,3)=$W$7,LEFT(O3475,3)=$W$7)),"x","")</f>
        <v/>
      </c>
      <c r="X3475" s="75" t="str">
        <f>IF(OR(TH!N3431=TH!$X$7,O3475=TH!$X$7),"x","")</f>
        <v/>
      </c>
      <c r="Y3475" s="75" t="str">
        <f>IF(AND(OR(N3475="131",O3475="131"),H3475='131-CT'!$H$9),"x","")</f>
        <v/>
      </c>
      <c r="Z3475" s="75"/>
      <c r="AA3475" s="75" t="str">
        <f>IF(AND(MONTH(E3475)='IN-NX'!$J$5,'IN-NX'!$D$7=D3475),"x","")</f>
        <v/>
      </c>
      <c r="AB3475" s="75" t="str">
        <f>IF(AND(OR(LEFT(TH!N3431,2)="15",LEFT(TH!O3431,2)="15"),LEFT(TH!O3431,3)&lt;&gt;"111",'152-CT'!$J$8=TH!F3431),"x","")</f>
        <v/>
      </c>
      <c r="AC3475" s="75" t="str">
        <f>IF(AND(OR(LEFT(TH!N3431,2)="15",LEFT(TH!O3431,2)="15"),TK!$E$7=TH!F3431),"x","")</f>
        <v/>
      </c>
      <c r="AD3475" s="75" t="str">
        <f>IF(AND(N3475="1521",MONTH(C3475)='BK-NL'!$M$11),"x","")</f>
        <v/>
      </c>
    </row>
    <row r="3476" spans="1:33" ht="16.5" customHeight="1">
      <c r="A3476" s="309" t="str">
        <f>IF(B3476&lt;&gt;"",IF(AND(B3476='IN-TC'!$S$4,OR(TH!N3476="1111",TH!O3476="1111")),TH!D3476,""),"")</f>
        <v/>
      </c>
      <c r="B3476" s="1058">
        <f t="shared" si="1292"/>
        <v>1</v>
      </c>
      <c r="C3476" s="292">
        <f t="shared" si="1291"/>
        <v>42745</v>
      </c>
      <c r="D3476" s="292" t="s">
        <v>1929</v>
      </c>
      <c r="E3476" s="292">
        <v>42745</v>
      </c>
      <c r="F3476" s="1125" t="s">
        <v>939</v>
      </c>
      <c r="G3476" s="925" t="s">
        <v>940</v>
      </c>
      <c r="H3476" s="67" t="s">
        <v>941</v>
      </c>
      <c r="I3476" s="373"/>
      <c r="J3476" s="926"/>
      <c r="K3476" s="373"/>
      <c r="L3476" s="379"/>
      <c r="M3476" s="927">
        <v>66872</v>
      </c>
      <c r="N3476" s="295" t="s">
        <v>9</v>
      </c>
      <c r="O3476" s="295" t="s">
        <v>63</v>
      </c>
      <c r="P3476" s="75" t="str">
        <f>IF(AND('331-CT'!$E$7=TH!H3432,OR(N3476="331",O3476="331")),"x","")</f>
        <v/>
      </c>
      <c r="Q3476" s="75" t="str">
        <f>IF(AND(B3476='111'!$L$11,OR($N3476=$Q$7,$O3476=$Q$7)),"x","")</f>
        <v/>
      </c>
      <c r="R3476" s="75" t="str">
        <f>IF(AND($N3476=$Q$7,$B3476&lt;'111'!$L$11),"x","")</f>
        <v/>
      </c>
      <c r="S3476" s="75" t="str">
        <f>IF(AND($O3476=$Q$7,$B3476&lt;'111'!$L$11),"x","")</f>
        <v>x</v>
      </c>
      <c r="T3476" s="75" t="str">
        <f>IF(ISERROR(FIND('112'!$M$9,G3476,1)),"",IF((AND(FIND('112'!$M$9,G3476,1)&gt;=1,B3476='112'!$K$9,OR($N3476='112'!$I$6,$O3476='112'!$I$6))),"x",""))</f>
        <v/>
      </c>
      <c r="U3476" s="75" t="str">
        <f>IF(ISERROR(FIND('112'!$M$9,G3476,1)),"",IF((AND(LEFT(G3476,2)=LEFT('112'!$M$9,2),B3476&lt;'112'!$K$9,$N3476='112'!$I$6)),"x",""))</f>
        <v/>
      </c>
      <c r="V3476" s="75" t="str">
        <f>IF(ISERROR(FIND('112'!$M$9,G3476,1)),"",IF((AND(RIGHT(G3476,2)=RIGHT('112'!$M$9,2),B3476&lt;'112'!$K$9,$O3476='112'!$I$6)),"x",""))</f>
        <v/>
      </c>
      <c r="W3476" s="75" t="str">
        <f>IF(AND('341-CT'!$H$9=H3476,OR(LEFT(N3476,3)=$W$7,LEFT(O3476,3)=$W$7)),"x","")</f>
        <v/>
      </c>
      <c r="X3476" s="75" t="str">
        <f>IF(OR(TH!N3432=TH!$X$7,O3476=TH!$X$7),"x","")</f>
        <v/>
      </c>
      <c r="Y3476" s="75" t="str">
        <f>IF(AND(OR(N3476="131",O3476="131"),H3476='131-CT'!$H$9),"x","")</f>
        <v/>
      </c>
      <c r="Z3476" s="75"/>
      <c r="AA3476" s="75" t="str">
        <f>IF(AND(MONTH(E3476)='IN-NX'!$J$5,'IN-NX'!$D$7=D3476),"x","")</f>
        <v/>
      </c>
      <c r="AB3476" s="75" t="str">
        <f>IF(AND(OR(LEFT(TH!N3432,2)="15",LEFT(TH!O3432,2)="15"),LEFT(TH!O3432,3)&lt;&gt;"111",'152-CT'!$J$8=TH!F3432),"x","")</f>
        <v/>
      </c>
      <c r="AC3476" s="75" t="str">
        <f>IF(AND(OR(LEFT(TH!N3432,2)="15",LEFT(TH!O3432,2)="15"),TK!$E$7=TH!F3432),"x","")</f>
        <v/>
      </c>
      <c r="AD3476" s="75" t="str">
        <f>IF(AND(N3476="1521",MONTH(C3476)='BK-NL'!$M$11),"x","")</f>
        <v/>
      </c>
    </row>
    <row r="3477" spans="1:33" ht="16.5" customHeight="1">
      <c r="A3477" s="309" t="str">
        <f>IF(B3477&lt;&gt;"",IF(AND(B3477='IN-TC'!$S$4,OR(TH!N3477="1111",TH!O3477="1111")),TH!D3477,""),"")</f>
        <v/>
      </c>
      <c r="B3477" s="1058">
        <f t="shared" si="1292"/>
        <v>1</v>
      </c>
      <c r="C3477" s="292">
        <f t="shared" si="1291"/>
        <v>42745</v>
      </c>
      <c r="D3477" s="292" t="s">
        <v>1930</v>
      </c>
      <c r="E3477" s="292">
        <v>42745</v>
      </c>
      <c r="F3477" s="1125" t="s">
        <v>221</v>
      </c>
      <c r="G3477" s="925" t="s">
        <v>944</v>
      </c>
      <c r="H3477" s="67" t="s">
        <v>556</v>
      </c>
      <c r="I3477" s="373"/>
      <c r="J3477" s="926"/>
      <c r="K3477" s="373"/>
      <c r="L3477" s="379"/>
      <c r="M3477" s="927">
        <v>10122727</v>
      </c>
      <c r="N3477" s="295" t="s">
        <v>272</v>
      </c>
      <c r="O3477" s="295" t="s">
        <v>63</v>
      </c>
      <c r="P3477" s="75" t="str">
        <f>IF(AND('331-CT'!$E$7=TH!H3433,OR(N3477="331",O3477="331")),"x","")</f>
        <v/>
      </c>
      <c r="Q3477" s="75" t="str">
        <f>IF(AND(B3477='111'!$L$11,OR($N3477=$Q$7,$O3477=$Q$7)),"x","")</f>
        <v/>
      </c>
      <c r="R3477" s="75" t="str">
        <f>IF(AND($N3477=$Q$7,$B3477&lt;'111'!$L$11),"x","")</f>
        <v/>
      </c>
      <c r="S3477" s="75" t="str">
        <f>IF(AND($O3477=$Q$7,$B3477&lt;'111'!$L$11),"x","")</f>
        <v>x</v>
      </c>
      <c r="T3477" s="75" t="str">
        <f>IF(ISERROR(FIND('112'!$M$9,G3477,1)),"",IF((AND(FIND('112'!$M$9,G3477,1)&gt;=1,B3477='112'!$K$9,OR($N3477='112'!$I$6,$O3477='112'!$I$6))),"x",""))</f>
        <v/>
      </c>
      <c r="U3477" s="75" t="str">
        <f>IF(ISERROR(FIND('112'!$M$9,G3477,1)),"",IF((AND(LEFT(G3477,2)=LEFT('112'!$M$9,2),B3477&lt;'112'!$K$9,$N3477='112'!$I$6)),"x",""))</f>
        <v/>
      </c>
      <c r="V3477" s="75" t="str">
        <f>IF(ISERROR(FIND('112'!$M$9,G3477,1)),"",IF((AND(RIGHT(G3477,2)=RIGHT('112'!$M$9,2),B3477&lt;'112'!$K$9,$O3477='112'!$I$6)),"x",""))</f>
        <v/>
      </c>
      <c r="W3477" s="75" t="str">
        <f>IF(AND('341-CT'!$H$9=H3477,OR(LEFT(N3477,3)=$W$7,LEFT(O3477,3)=$W$7)),"x","")</f>
        <v/>
      </c>
      <c r="X3477" s="75" t="str">
        <f>IF(OR(TH!N3433=TH!$X$7,O3477=TH!$X$7),"x","")</f>
        <v/>
      </c>
      <c r="Y3477" s="75" t="str">
        <f>IF(AND(OR(N3477="131",O3477="131"),H3477='131-CT'!$H$9),"x","")</f>
        <v/>
      </c>
      <c r="Z3477" s="75"/>
      <c r="AA3477" s="75" t="str">
        <f>IF(AND(MONTH(E3477)='IN-NX'!$J$5,'IN-NX'!$D$7=D3477),"x","")</f>
        <v/>
      </c>
      <c r="AB3477" s="75" t="str">
        <f>IF(AND(OR(LEFT(TH!N3433,2)="15",LEFT(TH!O3433,2)="15"),LEFT(TH!O3433,3)&lt;&gt;"111",'152-CT'!$J$8=TH!F3433),"x","")</f>
        <v/>
      </c>
      <c r="AC3477" s="75" t="str">
        <f>IF(AND(OR(LEFT(TH!N3433,2)="15",LEFT(TH!O3433,2)="15"),TK!$E$7=TH!F3433),"x","")</f>
        <v/>
      </c>
      <c r="AD3477" s="75" t="str">
        <f>IF(AND(N3477="1521",MONTH(C3477)='BK-NL'!$M$11),"x","")</f>
        <v/>
      </c>
    </row>
    <row r="3478" spans="1:33" ht="16.5" customHeight="1">
      <c r="A3478" s="309" t="str">
        <f>IF(B3478&lt;&gt;"",IF(AND(B3478='IN-TC'!$S$4,OR(TH!N3478="1111",TH!O3478="1111")),TH!D3478,""),"")</f>
        <v/>
      </c>
      <c r="B3478" s="1058">
        <f t="shared" si="1292"/>
        <v>1</v>
      </c>
      <c r="C3478" s="292">
        <f t="shared" si="1291"/>
        <v>42745</v>
      </c>
      <c r="D3478" s="292" t="s">
        <v>1930</v>
      </c>
      <c r="E3478" s="292">
        <v>42745</v>
      </c>
      <c r="F3478" s="1125" t="s">
        <v>943</v>
      </c>
      <c r="G3478" s="925" t="s">
        <v>944</v>
      </c>
      <c r="H3478" s="67" t="s">
        <v>556</v>
      </c>
      <c r="I3478" s="373"/>
      <c r="J3478" s="926"/>
      <c r="K3478" s="373"/>
      <c r="L3478" s="379"/>
      <c r="M3478" s="927">
        <v>1012273</v>
      </c>
      <c r="N3478" s="295" t="s">
        <v>9</v>
      </c>
      <c r="O3478" s="295" t="s">
        <v>63</v>
      </c>
      <c r="P3478" s="75" t="str">
        <f>IF(AND('331-CT'!$E$7=TH!H3434,OR(N3478="331",O3478="331")),"x","")</f>
        <v/>
      </c>
      <c r="Q3478" s="75" t="str">
        <f>IF(AND(B3478='111'!$L$11,OR($N3478=$Q$7,$O3478=$Q$7)),"x","")</f>
        <v/>
      </c>
      <c r="R3478" s="75" t="str">
        <f>IF(AND($N3478=$Q$7,$B3478&lt;'111'!$L$11),"x","")</f>
        <v/>
      </c>
      <c r="S3478" s="75" t="str">
        <f>IF(AND($O3478=$Q$7,$B3478&lt;'111'!$L$11),"x","")</f>
        <v>x</v>
      </c>
      <c r="T3478" s="75" t="str">
        <f>IF(ISERROR(FIND('112'!$M$9,G3478,1)),"",IF((AND(FIND('112'!$M$9,G3478,1)&gt;=1,B3478='112'!$K$9,OR($N3478='112'!$I$6,$O3478='112'!$I$6))),"x",""))</f>
        <v/>
      </c>
      <c r="U3478" s="75" t="str">
        <f>IF(ISERROR(FIND('112'!$M$9,G3478,1)),"",IF((AND(LEFT(G3478,2)=LEFT('112'!$M$9,2),B3478&lt;'112'!$K$9,$N3478='112'!$I$6)),"x",""))</f>
        <v/>
      </c>
      <c r="V3478" s="75" t="str">
        <f>IF(ISERROR(FIND('112'!$M$9,G3478,1)),"",IF((AND(RIGHT(G3478,2)=RIGHT('112'!$M$9,2),B3478&lt;'112'!$K$9,$O3478='112'!$I$6)),"x",""))</f>
        <v/>
      </c>
      <c r="W3478" s="75" t="str">
        <f>IF(AND('341-CT'!$H$9=H3478,OR(LEFT(N3478,3)=$W$7,LEFT(O3478,3)=$W$7)),"x","")</f>
        <v/>
      </c>
      <c r="X3478" s="75" t="str">
        <f>IF(OR(TH!N3434=TH!$X$7,O3478=TH!$X$7),"x","")</f>
        <v/>
      </c>
      <c r="Y3478" s="75" t="str">
        <f>IF(AND(OR(N3478="131",O3478="131"),H3478='131-CT'!$H$9),"x","")</f>
        <v/>
      </c>
      <c r="Z3478" s="75"/>
      <c r="AA3478" s="75" t="str">
        <f>IF(AND(MONTH(E3478)='IN-NX'!$J$5,'IN-NX'!$D$7=D3478),"x","")</f>
        <v/>
      </c>
      <c r="AB3478" s="75" t="str">
        <f>IF(AND(OR(LEFT(TH!N3434,2)="15",LEFT(TH!O3434,2)="15"),LEFT(TH!O3434,3)&lt;&gt;"111",'152-CT'!$J$8=TH!F3434),"x","")</f>
        <v/>
      </c>
      <c r="AC3478" s="75" t="str">
        <f>IF(AND(OR(LEFT(TH!N3434,2)="15",LEFT(TH!O3434,2)="15"),TK!$E$7=TH!F3434),"x","")</f>
        <v/>
      </c>
      <c r="AD3478" s="75" t="str">
        <f>IF(AND(N3478="1521",MONTH(C3478)='BK-NL'!$M$11),"x","")</f>
        <v/>
      </c>
    </row>
    <row r="3479" spans="1:33" ht="16.5" customHeight="1">
      <c r="A3479" s="309" t="str">
        <f>IF(B3479&lt;&gt;"",IF(AND(B3479='IN-TC'!$S$4,OR(TH!N3479="1111",TH!O3479="1111")),TH!D3479,""),"")</f>
        <v/>
      </c>
      <c r="B3479" s="1058">
        <f t="shared" si="1292"/>
        <v>1</v>
      </c>
      <c r="C3479" s="292">
        <f t="shared" si="1291"/>
        <v>42745</v>
      </c>
      <c r="D3479" s="292" t="s">
        <v>902</v>
      </c>
      <c r="E3479" s="292">
        <v>42745</v>
      </c>
      <c r="F3479" s="1125" t="s">
        <v>906</v>
      </c>
      <c r="G3479" s="943" t="s">
        <v>747</v>
      </c>
      <c r="H3479" s="67" t="s">
        <v>835</v>
      </c>
      <c r="I3479" s="73"/>
      <c r="J3479" s="926"/>
      <c r="K3479" s="373"/>
      <c r="L3479" s="379"/>
      <c r="M3479" s="927">
        <v>226200</v>
      </c>
      <c r="N3479" s="295" t="s">
        <v>101</v>
      </c>
      <c r="O3479" s="295" t="s">
        <v>26</v>
      </c>
      <c r="P3479" s="75" t="str">
        <f>IF(AND('331-CT'!$E$7=TH!H4937,OR(N3479="331",O3479="331")),"x","")</f>
        <v/>
      </c>
      <c r="Q3479" s="75" t="str">
        <f>IF(AND(B3479='111'!$L$11,OR($N3479=$Q$7,$O3479=$Q$7)),"x","")</f>
        <v/>
      </c>
      <c r="R3479" s="75" t="str">
        <f>IF(AND($N3479=$Q$7,$B3479&lt;'111'!$L$11),"x","")</f>
        <v/>
      </c>
      <c r="S3479" s="75" t="str">
        <f>IF(AND($O3479=$Q$7,$B3479&lt;'111'!$L$11),"x","")</f>
        <v/>
      </c>
      <c r="T3479" s="75" t="str">
        <f>IF(ISERROR(FIND('112'!$M$9,G3479,1)),"",IF((AND(FIND('112'!$M$9,G3479,1)&gt;=1,B3479='112'!$K$9,OR($N3479='112'!$I$6,$O3479='112'!$I$6))),"x",""))</f>
        <v/>
      </c>
      <c r="U3479" s="75" t="str">
        <f>IF(ISERROR(FIND('112'!$M$9,G3479,1)),"",IF((AND(LEFT(G3479,2)=LEFT('112'!$M$9,2),B3479&lt;'112'!$K$9,$N3479='112'!$I$6)),"x",""))</f>
        <v/>
      </c>
      <c r="V3479" s="75" t="str">
        <f>IF(ISERROR(FIND('112'!$M$9,G3479,1)),"",IF((AND(RIGHT(G3479,2)=RIGHT('112'!$M$9,2),B3479&lt;'112'!$K$9,$O3479='112'!$I$6)),"x",""))</f>
        <v/>
      </c>
      <c r="W3479" s="75" t="str">
        <f>IF(AND('341-CT'!$H$9=H3479,OR(LEFT(N3479,3)=$W$7,LEFT(O3479,3)=$W$7)),"x","")</f>
        <v/>
      </c>
      <c r="X3479" s="75" t="str">
        <f>IF(OR(TH!N4937=TH!$X$7,O3479=TH!$X$7),"x","")</f>
        <v/>
      </c>
      <c r="Y3479" s="75" t="str">
        <f>IF(AND(OR(N3479="131",O3479="131"),H3479='131-CT'!$H$9),"x","")</f>
        <v/>
      </c>
      <c r="Z3479" s="75"/>
      <c r="AA3479" s="75" t="str">
        <f>IF(AND(MONTH(E3479)='IN-NX'!$J$5,'IN-NX'!$D$7=D3479),"x","")</f>
        <v/>
      </c>
      <c r="AB3479" s="75" t="str">
        <f>IF(AND(OR(LEFT(TH!N4937,2)="15",LEFT(TH!O4937,2)="15"),LEFT(TH!O4937,3)&lt;&gt;"111",'152-CT'!$J$8=TH!F4937),"x","")</f>
        <v/>
      </c>
      <c r="AC3479" s="75" t="str">
        <f>IF(AND(OR(LEFT(TH!N4937,2)="15",LEFT(TH!O4937,2)="15"),TK!$E$7=TH!F4937),"x","")</f>
        <v/>
      </c>
      <c r="AD3479" s="75" t="str">
        <f>IF(AND(N3479="1521",MONTH(C3479)='BK-NL'!$M$11),"x","")</f>
        <v/>
      </c>
    </row>
    <row r="3480" spans="1:33" ht="16.5" customHeight="1">
      <c r="A3480" s="309" t="str">
        <f>IF(B3480&lt;&gt;"",IF(AND(B3480='IN-TC'!$S$4,OR(TH!N3480="1111",TH!O3480="1111")),TH!D3480,""),"")</f>
        <v/>
      </c>
      <c r="B3480" s="1058">
        <f t="shared" si="1292"/>
        <v>1</v>
      </c>
      <c r="C3480" s="292">
        <f t="shared" si="1291"/>
        <v>42746</v>
      </c>
      <c r="D3480" s="292" t="s">
        <v>1931</v>
      </c>
      <c r="E3480" s="292">
        <v>42746</v>
      </c>
      <c r="F3480" s="1125" t="s">
        <v>945</v>
      </c>
      <c r="G3480" s="925" t="s">
        <v>947</v>
      </c>
      <c r="H3480" s="67" t="s">
        <v>948</v>
      </c>
      <c r="I3480" s="373"/>
      <c r="J3480" s="926"/>
      <c r="K3480" s="373"/>
      <c r="L3480" s="379"/>
      <c r="M3480" s="927">
        <v>8079091</v>
      </c>
      <c r="N3480" s="295" t="s">
        <v>539</v>
      </c>
      <c r="O3480" s="295" t="s">
        <v>63</v>
      </c>
      <c r="P3480" s="75" t="str">
        <f>IF(AND('331-CT'!$E$7=TH!H3435,OR(N3480="331",O3480="331")),"x","")</f>
        <v/>
      </c>
      <c r="Q3480" s="75" t="str">
        <f>IF(AND(B3480='111'!$L$11,OR($N3480=$Q$7,$O3480=$Q$7)),"x","")</f>
        <v/>
      </c>
      <c r="R3480" s="75" t="str">
        <f>IF(AND($N3480=$Q$7,$B3480&lt;'111'!$L$11),"x","")</f>
        <v/>
      </c>
      <c r="S3480" s="75" t="str">
        <f>IF(AND($O3480=$Q$7,$B3480&lt;'111'!$L$11),"x","")</f>
        <v>x</v>
      </c>
      <c r="T3480" s="75" t="str">
        <f>IF(ISERROR(FIND('112'!$M$9,G3480,1)),"",IF((AND(FIND('112'!$M$9,G3480,1)&gt;=1,B3480='112'!$K$9,OR($N3480='112'!$I$6,$O3480='112'!$I$6))),"x",""))</f>
        <v/>
      </c>
      <c r="U3480" s="75" t="str">
        <f>IF(ISERROR(FIND('112'!$M$9,G3480,1)),"",IF((AND(LEFT(G3480,2)=LEFT('112'!$M$9,2),B3480&lt;'112'!$K$9,$N3480='112'!$I$6)),"x",""))</f>
        <v/>
      </c>
      <c r="V3480" s="75" t="str">
        <f>IF(ISERROR(FIND('112'!$M$9,G3480,1)),"",IF((AND(RIGHT(G3480,2)=RIGHT('112'!$M$9,2),B3480&lt;'112'!$K$9,$O3480='112'!$I$6)),"x",""))</f>
        <v/>
      </c>
      <c r="W3480" s="75" t="str">
        <f>IF(AND('341-CT'!$H$9=H3480,OR(LEFT(N3480,3)=$W$7,LEFT(O3480,3)=$W$7)),"x","")</f>
        <v/>
      </c>
      <c r="X3480" s="75" t="str">
        <f>IF(OR(TH!N3435=TH!$X$7,O3480=TH!$X$7),"x","")</f>
        <v/>
      </c>
      <c r="Y3480" s="75" t="str">
        <f>IF(AND(OR(N3480="131",O3480="131"),H3480='131-CT'!$H$9),"x","")</f>
        <v/>
      </c>
      <c r="Z3480" s="75"/>
      <c r="AA3480" s="75" t="str">
        <f>IF(AND(MONTH(E3480)='IN-NX'!$J$5,'IN-NX'!$D$7=D3480),"x","")</f>
        <v/>
      </c>
      <c r="AB3480" s="75" t="str">
        <f>IF(AND(OR(LEFT(TH!N3435,2)="15",LEFT(TH!O3435,2)="15"),LEFT(TH!O3435,3)&lt;&gt;"111",'152-CT'!$J$8=TH!F3435),"x","")</f>
        <v/>
      </c>
      <c r="AC3480" s="75" t="str">
        <f>IF(AND(OR(LEFT(TH!N3435,2)="15",LEFT(TH!O3435,2)="15"),TK!$E$7=TH!F3435),"x","")</f>
        <v/>
      </c>
      <c r="AD3480" s="75" t="str">
        <f>IF(AND(N3480="1521",MONTH(C3480)='BK-NL'!$M$11),"x","")</f>
        <v/>
      </c>
    </row>
    <row r="3481" spans="1:33" ht="16.5" customHeight="1">
      <c r="A3481" s="309" t="str">
        <f>IF(B3481&lt;&gt;"",IF(AND(B3481='IN-TC'!$S$4,OR(TH!N3481="1111",TH!O3481="1111")),TH!D3481,""),"")</f>
        <v/>
      </c>
      <c r="B3481" s="1058">
        <f t="shared" si="1292"/>
        <v>1</v>
      </c>
      <c r="C3481" s="292">
        <f t="shared" si="1291"/>
        <v>42746</v>
      </c>
      <c r="D3481" s="292" t="s">
        <v>1931</v>
      </c>
      <c r="E3481" s="292">
        <v>42746</v>
      </c>
      <c r="F3481" s="1125" t="s">
        <v>946</v>
      </c>
      <c r="G3481" s="925" t="s">
        <v>947</v>
      </c>
      <c r="H3481" s="67" t="s">
        <v>948</v>
      </c>
      <c r="I3481" s="373"/>
      <c r="J3481" s="926"/>
      <c r="K3481" s="373"/>
      <c r="L3481" s="379"/>
      <c r="M3481" s="927">
        <v>807909</v>
      </c>
      <c r="N3481" s="295" t="s">
        <v>9</v>
      </c>
      <c r="O3481" s="295" t="s">
        <v>63</v>
      </c>
      <c r="P3481" s="75" t="str">
        <f>IF(AND('331-CT'!$E$7=TH!H3436,OR(N3481="331",O3481="331")),"x","")</f>
        <v/>
      </c>
      <c r="Q3481" s="75" t="str">
        <f>IF(AND(B3481='111'!$L$11,OR($N3481=$Q$7,$O3481=$Q$7)),"x","")</f>
        <v/>
      </c>
      <c r="R3481" s="75" t="str">
        <f>IF(AND($N3481=$Q$7,$B3481&lt;'111'!$L$11),"x","")</f>
        <v/>
      </c>
      <c r="S3481" s="75" t="str">
        <f>IF(AND($O3481=$Q$7,$B3481&lt;'111'!$L$11),"x","")</f>
        <v>x</v>
      </c>
      <c r="T3481" s="75" t="str">
        <f>IF(ISERROR(FIND('112'!$M$9,G3481,1)),"",IF((AND(FIND('112'!$M$9,G3481,1)&gt;=1,B3481='112'!$K$9,OR($N3481='112'!$I$6,$O3481='112'!$I$6))),"x",""))</f>
        <v/>
      </c>
      <c r="U3481" s="75" t="str">
        <f>IF(ISERROR(FIND('112'!$M$9,G3481,1)),"",IF((AND(LEFT(G3481,2)=LEFT('112'!$M$9,2),B3481&lt;'112'!$K$9,$N3481='112'!$I$6)),"x",""))</f>
        <v/>
      </c>
      <c r="V3481" s="75" t="str">
        <f>IF(ISERROR(FIND('112'!$M$9,G3481,1)),"",IF((AND(RIGHT(G3481,2)=RIGHT('112'!$M$9,2),B3481&lt;'112'!$K$9,$O3481='112'!$I$6)),"x",""))</f>
        <v/>
      </c>
      <c r="W3481" s="75" t="str">
        <f>IF(AND('341-CT'!$H$9=H3481,OR(LEFT(N3481,3)=$W$7,LEFT(O3481,3)=$W$7)),"x","")</f>
        <v/>
      </c>
      <c r="X3481" s="75" t="str">
        <f>IF(OR(TH!N3436=TH!$X$7,O3481=TH!$X$7),"x","")</f>
        <v/>
      </c>
      <c r="Y3481" s="75" t="str">
        <f>IF(AND(OR(N3481="131",O3481="131"),H3481='131-CT'!$H$9),"x","")</f>
        <v/>
      </c>
      <c r="Z3481" s="75"/>
      <c r="AA3481" s="75" t="str">
        <f>IF(AND(MONTH(E3481)='IN-NX'!$J$5,'IN-NX'!$D$7=D3481),"x","")</f>
        <v/>
      </c>
      <c r="AB3481" s="75" t="str">
        <f>IF(AND(OR(LEFT(TH!N3436,2)="15",LEFT(TH!O3436,2)="15"),LEFT(TH!O3436,3)&lt;&gt;"111",'152-CT'!$J$8=TH!F3436),"x","")</f>
        <v/>
      </c>
      <c r="AC3481" s="75" t="str">
        <f>IF(AND(OR(LEFT(TH!N3436,2)="15",LEFT(TH!O3436,2)="15"),TK!$E$7=TH!F3436),"x","")</f>
        <v/>
      </c>
      <c r="AD3481" s="75" t="str">
        <f>IF(AND(N3481="1521",MONTH(C3481)='BK-NL'!$M$11),"x","")</f>
        <v/>
      </c>
    </row>
    <row r="3482" spans="1:33" ht="16.5" customHeight="1">
      <c r="A3482" s="309" t="str">
        <f>IF(B3482&lt;&gt;"",IF(AND(B3482='IN-TC'!$S$4,OR(TH!N3482="1111",TH!O3482="1111")),TH!D3482,""),"")</f>
        <v/>
      </c>
      <c r="B3482" s="1058">
        <f t="shared" si="1292"/>
        <v>1</v>
      </c>
      <c r="C3482" s="292">
        <f t="shared" si="1291"/>
        <v>42746</v>
      </c>
      <c r="D3482" s="292" t="s">
        <v>1932</v>
      </c>
      <c r="E3482" s="292">
        <v>42746</v>
      </c>
      <c r="F3482" s="1125" t="s">
        <v>949</v>
      </c>
      <c r="G3482" s="925" t="s">
        <v>951</v>
      </c>
      <c r="H3482" s="67" t="s">
        <v>952</v>
      </c>
      <c r="I3482" s="373"/>
      <c r="J3482" s="926"/>
      <c r="K3482" s="373"/>
      <c r="L3482" s="379"/>
      <c r="M3482" s="927">
        <v>800000</v>
      </c>
      <c r="N3482" s="295" t="s">
        <v>539</v>
      </c>
      <c r="O3482" s="295" t="s">
        <v>63</v>
      </c>
      <c r="P3482" s="75" t="str">
        <f>IF(AND('331-CT'!$E$7=TH!H3437,OR(N3482="331",O3482="331")),"x","")</f>
        <v/>
      </c>
      <c r="Q3482" s="75" t="str">
        <f>IF(AND(B3482='111'!$L$11,OR($N3482=$Q$7,$O3482=$Q$7)),"x","")</f>
        <v/>
      </c>
      <c r="R3482" s="75" t="str">
        <f>IF(AND($N3482=$Q$7,$B3482&lt;'111'!$L$11),"x","")</f>
        <v/>
      </c>
      <c r="S3482" s="75" t="str">
        <f>IF(AND($O3482=$Q$7,$B3482&lt;'111'!$L$11),"x","")</f>
        <v>x</v>
      </c>
      <c r="T3482" s="75" t="str">
        <f>IF(ISERROR(FIND('112'!$M$9,G3482,1)),"",IF((AND(FIND('112'!$M$9,G3482,1)&gt;=1,B3482='112'!$K$9,OR($N3482='112'!$I$6,$O3482='112'!$I$6))),"x",""))</f>
        <v/>
      </c>
      <c r="U3482" s="75" t="str">
        <f>IF(ISERROR(FIND('112'!$M$9,G3482,1)),"",IF((AND(LEFT(G3482,2)=LEFT('112'!$M$9,2),B3482&lt;'112'!$K$9,$N3482='112'!$I$6)),"x",""))</f>
        <v/>
      </c>
      <c r="V3482" s="75" t="str">
        <f>IF(ISERROR(FIND('112'!$M$9,G3482,1)),"",IF((AND(RIGHT(G3482,2)=RIGHT('112'!$M$9,2),B3482&lt;'112'!$K$9,$O3482='112'!$I$6)),"x",""))</f>
        <v/>
      </c>
      <c r="W3482" s="75" t="str">
        <f>IF(AND('341-CT'!$H$9=H3482,OR(LEFT(N3482,3)=$W$7,LEFT(O3482,3)=$W$7)),"x","")</f>
        <v/>
      </c>
      <c r="X3482" s="75" t="str">
        <f>IF(OR(TH!N3437=TH!$X$7,O3482=TH!$X$7),"x","")</f>
        <v/>
      </c>
      <c r="Y3482" s="75" t="str">
        <f>IF(AND(OR(N3482="131",O3482="131"),H3482='131-CT'!$H$9),"x","")</f>
        <v/>
      </c>
      <c r="Z3482" s="75"/>
      <c r="AA3482" s="75" t="str">
        <f>IF(AND(MONTH(E3482)='IN-NX'!$J$5,'IN-NX'!$D$7=D3482),"x","")</f>
        <v/>
      </c>
      <c r="AB3482" s="75" t="str">
        <f>IF(AND(OR(LEFT(TH!N3437,2)="15",LEFT(TH!O3437,2)="15"),LEFT(TH!O3437,3)&lt;&gt;"111",'152-CT'!$J$8=TH!F3437),"x","")</f>
        <v/>
      </c>
      <c r="AC3482" s="75" t="str">
        <f>IF(AND(OR(LEFT(TH!N3437,2)="15",LEFT(TH!O3437,2)="15"),TK!$E$7=TH!F3437),"x","")</f>
        <v/>
      </c>
      <c r="AD3482" s="75" t="str">
        <f>IF(AND(N3482="1521",MONTH(C3482)='BK-NL'!$M$11),"x","")</f>
        <v/>
      </c>
    </row>
    <row r="3483" spans="1:33" ht="16.5" customHeight="1">
      <c r="A3483" s="309" t="str">
        <f>IF(B3483&lt;&gt;"",IF(AND(B3483='IN-TC'!$S$4,OR(TH!N3483="1111",TH!O3483="1111")),TH!D3483,""),"")</f>
        <v/>
      </c>
      <c r="B3483" s="1058">
        <f t="shared" si="1292"/>
        <v>1</v>
      </c>
      <c r="C3483" s="292">
        <f t="shared" si="1291"/>
        <v>42746</v>
      </c>
      <c r="D3483" s="292" t="s">
        <v>1932</v>
      </c>
      <c r="E3483" s="292">
        <v>42746</v>
      </c>
      <c r="F3483" s="1125" t="s">
        <v>950</v>
      </c>
      <c r="G3483" s="925" t="s">
        <v>951</v>
      </c>
      <c r="H3483" s="67" t="s">
        <v>952</v>
      </c>
      <c r="I3483" s="373"/>
      <c r="J3483" s="926"/>
      <c r="K3483" s="373"/>
      <c r="L3483" s="379"/>
      <c r="M3483" s="927">
        <v>80000</v>
      </c>
      <c r="N3483" s="295" t="s">
        <v>9</v>
      </c>
      <c r="O3483" s="295" t="s">
        <v>63</v>
      </c>
      <c r="P3483" s="75" t="str">
        <f>IF(AND('331-CT'!$E$7=TH!H3438,OR(N3483="331",O3483="331")),"x","")</f>
        <v/>
      </c>
      <c r="Q3483" s="75" t="str">
        <f>IF(AND(B3483='111'!$L$11,OR($N3483=$Q$7,$O3483=$Q$7)),"x","")</f>
        <v/>
      </c>
      <c r="R3483" s="75" t="str">
        <f>IF(AND($N3483=$Q$7,$B3483&lt;'111'!$L$11),"x","")</f>
        <v/>
      </c>
      <c r="S3483" s="75" t="str">
        <f>IF(AND($O3483=$Q$7,$B3483&lt;'111'!$L$11),"x","")</f>
        <v>x</v>
      </c>
      <c r="T3483" s="75" t="str">
        <f>IF(ISERROR(FIND('112'!$M$9,G3483,1)),"",IF((AND(FIND('112'!$M$9,G3483,1)&gt;=1,B3483='112'!$K$9,OR($N3483='112'!$I$6,$O3483='112'!$I$6))),"x",""))</f>
        <v/>
      </c>
      <c r="U3483" s="75" t="str">
        <f>IF(ISERROR(FIND('112'!$M$9,G3483,1)),"",IF((AND(LEFT(G3483,2)=LEFT('112'!$M$9,2),B3483&lt;'112'!$K$9,$N3483='112'!$I$6)),"x",""))</f>
        <v/>
      </c>
      <c r="V3483" s="75" t="str">
        <f>IF(ISERROR(FIND('112'!$M$9,G3483,1)),"",IF((AND(RIGHT(G3483,2)=RIGHT('112'!$M$9,2),B3483&lt;'112'!$K$9,$O3483='112'!$I$6)),"x",""))</f>
        <v/>
      </c>
      <c r="W3483" s="75" t="str">
        <f>IF(AND('341-CT'!$H$9=H3483,OR(LEFT(N3483,3)=$W$7,LEFT(O3483,3)=$W$7)),"x","")</f>
        <v/>
      </c>
      <c r="X3483" s="75" t="str">
        <f>IF(OR(TH!N3438=TH!$X$7,O3483=TH!$X$7),"x","")</f>
        <v/>
      </c>
      <c r="Y3483" s="75" t="str">
        <f>IF(AND(OR(N3483="131",O3483="131"),H3483='131-CT'!$H$9),"x","")</f>
        <v/>
      </c>
      <c r="Z3483" s="75"/>
      <c r="AA3483" s="75" t="str">
        <f>IF(AND(MONTH(E3483)='IN-NX'!$J$5,'IN-NX'!$D$7=D3483),"x","")</f>
        <v/>
      </c>
      <c r="AB3483" s="75" t="str">
        <f>IF(AND(OR(LEFT(TH!N3438,2)="15",LEFT(TH!O3438,2)="15"),LEFT(TH!O3438,3)&lt;&gt;"111",'152-CT'!$J$8=TH!F3438),"x","")</f>
        <v/>
      </c>
      <c r="AC3483" s="75" t="str">
        <f>IF(AND(OR(LEFT(TH!N3438,2)="15",LEFT(TH!O3438,2)="15"),TK!$E$7=TH!F3438),"x","")</f>
        <v/>
      </c>
      <c r="AD3483" s="75" t="str">
        <f>IF(AND(N3483="1521",MONTH(C3483)='BK-NL'!$M$11),"x","")</f>
        <v/>
      </c>
    </row>
    <row r="3484" spans="1:33" ht="16.5" customHeight="1">
      <c r="A3484" s="309" t="str">
        <f>IF(B3484&lt;&gt;"",IF(AND(B3484='IN-TC'!$S$4,OR(TH!N3484="1111",TH!O3484="1111")),TH!D3484,""),"")</f>
        <v/>
      </c>
      <c r="B3484" s="1058">
        <f t="shared" si="1292"/>
        <v>1</v>
      </c>
      <c r="C3484" s="292">
        <f t="shared" si="1291"/>
        <v>42746</v>
      </c>
      <c r="D3484" s="292" t="s">
        <v>1933</v>
      </c>
      <c r="E3484" s="292">
        <v>42746</v>
      </c>
      <c r="F3484" s="1125" t="s">
        <v>890</v>
      </c>
      <c r="G3484" s="925" t="s">
        <v>953</v>
      </c>
      <c r="H3484" s="67" t="s">
        <v>893</v>
      </c>
      <c r="I3484" s="373"/>
      <c r="J3484" s="926"/>
      <c r="K3484" s="373"/>
      <c r="L3484" s="379"/>
      <c r="M3484" s="927">
        <v>3216855</v>
      </c>
      <c r="N3484" s="295" t="s">
        <v>101</v>
      </c>
      <c r="O3484" s="295" t="s">
        <v>63</v>
      </c>
      <c r="P3484" s="75" t="str">
        <f>IF(AND('331-CT'!$E$7=TH!H3439,OR(N3484="331",O3484="331")),"x","")</f>
        <v/>
      </c>
      <c r="Q3484" s="75" t="str">
        <f>IF(AND(B3484='111'!$L$11,OR($N3484=$Q$7,$O3484=$Q$7)),"x","")</f>
        <v/>
      </c>
      <c r="R3484" s="75" t="str">
        <f>IF(AND($N3484=$Q$7,$B3484&lt;'111'!$L$11),"x","")</f>
        <v/>
      </c>
      <c r="S3484" s="75" t="str">
        <f>IF(AND($O3484=$Q$7,$B3484&lt;'111'!$L$11),"x","")</f>
        <v>x</v>
      </c>
      <c r="T3484" s="75" t="str">
        <f>IF(ISERROR(FIND('112'!$M$9,G3484,1)),"",IF((AND(FIND('112'!$M$9,G3484,1)&gt;=1,B3484='112'!$K$9,OR($N3484='112'!$I$6,$O3484='112'!$I$6))),"x",""))</f>
        <v/>
      </c>
      <c r="U3484" s="75" t="str">
        <f>IF(ISERROR(FIND('112'!$M$9,G3484,1)),"",IF((AND(LEFT(G3484,2)=LEFT('112'!$M$9,2),B3484&lt;'112'!$K$9,$N3484='112'!$I$6)),"x",""))</f>
        <v/>
      </c>
      <c r="V3484" s="75" t="str">
        <f>IF(ISERROR(FIND('112'!$M$9,G3484,1)),"",IF((AND(RIGHT(G3484,2)=RIGHT('112'!$M$9,2),B3484&lt;'112'!$K$9,$O3484='112'!$I$6)),"x",""))</f>
        <v/>
      </c>
      <c r="W3484" s="75" t="str">
        <f>IF(AND('341-CT'!$H$9=H3484,OR(LEFT(N3484,3)=$W$7,LEFT(O3484,3)=$W$7)),"x","")</f>
        <v/>
      </c>
      <c r="X3484" s="75" t="str">
        <f>IF(OR(TH!N3439=TH!$X$7,O3484=TH!$X$7),"x","")</f>
        <v/>
      </c>
      <c r="Y3484" s="75" t="str">
        <f>IF(AND(OR(N3484="131",O3484="131"),H3484='131-CT'!$H$9),"x","")</f>
        <v/>
      </c>
      <c r="Z3484" s="75"/>
      <c r="AA3484" s="75" t="str">
        <f>IF(AND(MONTH(E3484)='IN-NX'!$J$5,'IN-NX'!$D$7=D3484),"x","")</f>
        <v/>
      </c>
      <c r="AB3484" s="75" t="str">
        <f>IF(AND(OR(LEFT(TH!N3439,2)="15",LEFT(TH!O3439,2)="15"),LEFT(TH!O3439,3)&lt;&gt;"111",'152-CT'!$J$8=TH!F3439),"x","")</f>
        <v/>
      </c>
      <c r="AC3484" s="75" t="str">
        <f>IF(AND(OR(LEFT(TH!N3439,2)="15",LEFT(TH!O3439,2)="15"),TK!$E$7=TH!F3439),"x","")</f>
        <v/>
      </c>
      <c r="AD3484" s="75" t="str">
        <f>IF(AND(N3484="1521",MONTH(C3484)='BK-NL'!$M$11),"x","")</f>
        <v/>
      </c>
    </row>
    <row r="3485" spans="1:33" ht="16.5" customHeight="1">
      <c r="A3485" s="309" t="str">
        <f>IF(B3485&lt;&gt;"",IF(AND(B3485='IN-TC'!$S$4,OR(TH!N3485="1111",TH!O3485="1111")),TH!D3485,""),"")</f>
        <v/>
      </c>
      <c r="B3485" s="1058">
        <f t="shared" si="1292"/>
        <v>1</v>
      </c>
      <c r="C3485" s="292">
        <f t="shared" si="1291"/>
        <v>42746</v>
      </c>
      <c r="D3485" s="292" t="s">
        <v>1933</v>
      </c>
      <c r="E3485" s="292">
        <v>42746</v>
      </c>
      <c r="F3485" s="1125" t="s">
        <v>891</v>
      </c>
      <c r="G3485" s="925" t="s">
        <v>953</v>
      </c>
      <c r="H3485" s="67" t="s">
        <v>893</v>
      </c>
      <c r="I3485" s="373"/>
      <c r="J3485" s="926"/>
      <c r="K3485" s="373"/>
      <c r="L3485" s="379"/>
      <c r="M3485" s="927">
        <v>321685</v>
      </c>
      <c r="N3485" s="295" t="s">
        <v>9</v>
      </c>
      <c r="O3485" s="295" t="s">
        <v>63</v>
      </c>
      <c r="P3485" s="75" t="str">
        <f>IF(AND('331-CT'!$E$7=TH!H3440,OR(N3485="331",O3485="331")),"x","")</f>
        <v/>
      </c>
      <c r="Q3485" s="75" t="str">
        <f>IF(AND(B3485='111'!$L$11,OR($N3485=$Q$7,$O3485=$Q$7)),"x","")</f>
        <v/>
      </c>
      <c r="R3485" s="75" t="str">
        <f>IF(AND($N3485=$Q$7,$B3485&lt;'111'!$L$11),"x","")</f>
        <v/>
      </c>
      <c r="S3485" s="75" t="str">
        <f>IF(AND($O3485=$Q$7,$B3485&lt;'111'!$L$11),"x","")</f>
        <v>x</v>
      </c>
      <c r="T3485" s="75" t="str">
        <f>IF(ISERROR(FIND('112'!$M$9,G3485,1)),"",IF((AND(FIND('112'!$M$9,G3485,1)&gt;=1,B3485='112'!$K$9,OR($N3485='112'!$I$6,$O3485='112'!$I$6))),"x",""))</f>
        <v/>
      </c>
      <c r="U3485" s="75" t="str">
        <f>IF(ISERROR(FIND('112'!$M$9,G3485,1)),"",IF((AND(LEFT(G3485,2)=LEFT('112'!$M$9,2),B3485&lt;'112'!$K$9,$N3485='112'!$I$6)),"x",""))</f>
        <v/>
      </c>
      <c r="V3485" s="75" t="str">
        <f>IF(ISERROR(FIND('112'!$M$9,G3485,1)),"",IF((AND(RIGHT(G3485,2)=RIGHT('112'!$M$9,2),B3485&lt;'112'!$K$9,$O3485='112'!$I$6)),"x",""))</f>
        <v/>
      </c>
      <c r="W3485" s="75" t="str">
        <f>IF(AND('341-CT'!$H$9=H3485,OR(LEFT(N3485,3)=$W$7,LEFT(O3485,3)=$W$7)),"x","")</f>
        <v/>
      </c>
      <c r="X3485" s="75" t="str">
        <f>IF(OR(TH!N3440=TH!$X$7,O3485=TH!$X$7),"x","")</f>
        <v/>
      </c>
      <c r="Y3485" s="75" t="str">
        <f>IF(AND(OR(N3485="131",O3485="131"),H3485='131-CT'!$H$9),"x","")</f>
        <v/>
      </c>
      <c r="Z3485" s="75"/>
      <c r="AA3485" s="75" t="str">
        <f>IF(AND(MONTH(E3485)='IN-NX'!$J$5,'IN-NX'!$D$7=D3485),"x","")</f>
        <v/>
      </c>
      <c r="AB3485" s="75" t="str">
        <f>IF(AND(OR(LEFT(TH!N3440,2)="15",LEFT(TH!O3440,2)="15"),LEFT(TH!O3440,3)&lt;&gt;"111",'152-CT'!$J$8=TH!F3440),"x","")</f>
        <v/>
      </c>
      <c r="AC3485" s="75" t="str">
        <f>IF(AND(OR(LEFT(TH!N3440,2)="15",LEFT(TH!O3440,2)="15"),TK!$E$7=TH!F3440),"x","")</f>
        <v/>
      </c>
      <c r="AD3485" s="75" t="str">
        <f>IF(AND(N3485="1521",MONTH(C3485)='BK-NL'!$M$11),"x","")</f>
        <v/>
      </c>
    </row>
    <row r="3486" spans="1:33" ht="16.5" customHeight="1">
      <c r="A3486" s="309" t="str">
        <f>IF(B3486&lt;&gt;"",IF(AND(B3486='IN-TC'!$S$4,OR(TH!N3486="1111",TH!O3486="1111")),TH!D3486,""),"")</f>
        <v/>
      </c>
      <c r="B3486" s="1058">
        <f t="shared" si="1292"/>
        <v>1</v>
      </c>
      <c r="C3486" s="292">
        <f t="shared" si="1291"/>
        <v>42746</v>
      </c>
      <c r="D3486" s="292" t="s">
        <v>1934</v>
      </c>
      <c r="E3486" s="292">
        <v>42746</v>
      </c>
      <c r="F3486" s="1125" t="s">
        <v>993</v>
      </c>
      <c r="G3486" s="925" t="s">
        <v>842</v>
      </c>
      <c r="H3486" s="67" t="s">
        <v>555</v>
      </c>
      <c r="I3486" s="373"/>
      <c r="J3486" s="926"/>
      <c r="K3486" s="373"/>
      <c r="L3486" s="379"/>
      <c r="M3486" s="927">
        <v>5742000</v>
      </c>
      <c r="N3486" s="295" t="s">
        <v>8</v>
      </c>
      <c r="O3486" s="295" t="s">
        <v>63</v>
      </c>
      <c r="P3486" s="75" t="str">
        <f>IF(AND('331-CT'!$E$7=TH!H3441,OR(N3486="331",O3486="331")),"x","")</f>
        <v/>
      </c>
      <c r="Q3486" s="75" t="str">
        <f>IF(AND(B3486='111'!$L$11,OR($N3486=$Q$7,$O3486=$Q$7)),"x","")</f>
        <v/>
      </c>
      <c r="R3486" s="75" t="str">
        <f>IF(AND($N3486=$Q$7,$B3486&lt;'111'!$L$11),"x","")</f>
        <v/>
      </c>
      <c r="S3486" s="75" t="str">
        <f>IF(AND($O3486=$Q$7,$B3486&lt;'111'!$L$11),"x","")</f>
        <v>x</v>
      </c>
      <c r="T3486" s="75" t="str">
        <f>IF(ISERROR(FIND('112'!$M$9,G3486,1)),"",IF((AND(FIND('112'!$M$9,G3486,1)&gt;=1,B3486='112'!$K$9,OR($N3486='112'!$I$6,$O3486='112'!$I$6))),"x",""))</f>
        <v/>
      </c>
      <c r="U3486" s="75" t="str">
        <f>IF(ISERROR(FIND('112'!$M$9,G3486,1)),"",IF((AND(LEFT(G3486,2)=LEFT('112'!$M$9,2),B3486&lt;'112'!$K$9,$N3486='112'!$I$6)),"x",""))</f>
        <v/>
      </c>
      <c r="V3486" s="75" t="str">
        <f>IF(ISERROR(FIND('112'!$M$9,G3486,1)),"",IF((AND(RIGHT(G3486,2)=RIGHT('112'!$M$9,2),B3486&lt;'112'!$K$9,$O3486='112'!$I$6)),"x",""))</f>
        <v/>
      </c>
      <c r="W3486" s="75" t="str">
        <f>IF(AND('341-CT'!$H$9=H3486,OR(LEFT(N3486,3)=$W$7,LEFT(O3486,3)=$W$7)),"x","")</f>
        <v/>
      </c>
      <c r="X3486" s="75" t="str">
        <f>IF(OR(TH!N3441=TH!$X$7,O3486=TH!$X$7),"x","")</f>
        <v/>
      </c>
      <c r="Y3486" s="75" t="str">
        <f>IF(AND(OR(N3486="131",O3486="131"),H3486='131-CT'!$H$9),"x","")</f>
        <v/>
      </c>
      <c r="Z3486" s="75"/>
      <c r="AA3486" s="75" t="str">
        <f>IF(AND(MONTH(E3486)='IN-NX'!$J$5,'IN-NX'!$D$7=D3486),"x","")</f>
        <v/>
      </c>
      <c r="AB3486" s="75" t="str">
        <f>IF(AND(OR(LEFT(TH!N3441,2)="15",LEFT(TH!O3441,2)="15"),LEFT(TH!O3441,3)&lt;&gt;"111",'152-CT'!$J$8=TH!F3441),"x","")</f>
        <v/>
      </c>
      <c r="AC3486" s="75" t="str">
        <f>IF(AND(OR(LEFT(TH!N3441,2)="15",LEFT(TH!O3441,2)="15"),TK!$E$7=TH!F3441),"x","")</f>
        <v/>
      </c>
      <c r="AD3486" s="75" t="str">
        <f>IF(AND(N3486="1521",MONTH(C3486)='BK-NL'!$M$11),"x","")</f>
        <v/>
      </c>
    </row>
    <row r="3487" spans="1:33" ht="16.5" customHeight="1">
      <c r="A3487" s="309" t="str">
        <f>IF(B3487&lt;&gt;"",IF(AND(B3487='IN-TC'!$S$4,OR(TH!N3487="1111",TH!O3487="1111")),TH!D3487,""),"")</f>
        <v/>
      </c>
      <c r="B3487" s="1058">
        <f t="shared" si="1292"/>
        <v>1</v>
      </c>
      <c r="C3487" s="292">
        <f t="shared" si="1291"/>
        <v>42746</v>
      </c>
      <c r="D3487" s="292" t="s">
        <v>902</v>
      </c>
      <c r="E3487" s="292">
        <v>42746</v>
      </c>
      <c r="F3487" s="131" t="s">
        <v>897</v>
      </c>
      <c r="G3487" s="62" t="s">
        <v>747</v>
      </c>
      <c r="H3487" s="67" t="s">
        <v>623</v>
      </c>
      <c r="I3487" s="73"/>
      <c r="J3487" s="926"/>
      <c r="K3487" s="373"/>
      <c r="L3487" s="379"/>
      <c r="M3487" s="927">
        <v>6650000000</v>
      </c>
      <c r="N3487" s="295" t="s">
        <v>8</v>
      </c>
      <c r="O3487" s="295" t="s">
        <v>26</v>
      </c>
      <c r="P3487" s="75" t="str">
        <f>IF(AND('331-CT'!$E$7=TH!H4940,OR(N3487="331",O3487="331")),"x","")</f>
        <v/>
      </c>
      <c r="Q3487" s="75" t="str">
        <f>IF(AND(B3487='111'!$L$11,OR($N3487=$Q$7,$O3487=$Q$7)),"x","")</f>
        <v/>
      </c>
      <c r="R3487" s="75" t="str">
        <f>IF(AND($N3487=$Q$7,$B3487&lt;'111'!$L$11),"x","")</f>
        <v/>
      </c>
      <c r="S3487" s="75" t="str">
        <f>IF(AND($O3487=$Q$7,$B3487&lt;'111'!$L$11),"x","")</f>
        <v/>
      </c>
      <c r="T3487" s="75" t="str">
        <f>IF(ISERROR(FIND('112'!$M$9,G3487,1)),"",IF((AND(FIND('112'!$M$9,G3487,1)&gt;=1,B3487='112'!$K$9,OR($N3487='112'!$I$6,$O3487='112'!$I$6))),"x",""))</f>
        <v/>
      </c>
      <c r="U3487" s="75" t="str">
        <f>IF(ISERROR(FIND('112'!$M$9,G3487,1)),"",IF((AND(LEFT(G3487,2)=LEFT('112'!$M$9,2),B3487&lt;'112'!$K$9,$N3487='112'!$I$6)),"x",""))</f>
        <v/>
      </c>
      <c r="V3487" s="75" t="str">
        <f>IF(ISERROR(FIND('112'!$M$9,G3487,1)),"",IF((AND(RIGHT(G3487,2)=RIGHT('112'!$M$9,2),B3487&lt;'112'!$K$9,$O3487='112'!$I$6)),"x",""))</f>
        <v/>
      </c>
      <c r="W3487" s="75" t="str">
        <f>IF(AND('341-CT'!$H$9=H3487,OR(LEFT(N3487,3)=$W$7,LEFT(O3487,3)=$W$7)),"x","")</f>
        <v/>
      </c>
      <c r="X3487" s="75" t="str">
        <f>IF(OR(TH!N4940=TH!$X$7,O3487=TH!$X$7),"x","")</f>
        <v/>
      </c>
      <c r="Y3487" s="75" t="str">
        <f>IF(AND(OR(N3487="131",O3487="131"),H3487='131-CT'!$H$9),"x","")</f>
        <v/>
      </c>
      <c r="Z3487" s="75"/>
      <c r="AA3487" s="75" t="str">
        <f>IF(AND(MONTH(E3487)='IN-NX'!$J$5,'IN-NX'!$D$7=D3487),"x","")</f>
        <v/>
      </c>
      <c r="AB3487" s="75" t="str">
        <f>IF(AND(OR(LEFT(TH!N4940,2)="15",LEFT(TH!O4940,2)="15"),LEFT(TH!O4940,3)&lt;&gt;"111",'152-CT'!$J$8=TH!F4940),"x","")</f>
        <v/>
      </c>
      <c r="AC3487" s="75" t="str">
        <f>IF(AND(OR(LEFT(TH!N4940,2)="15",LEFT(TH!O4940,2)="15"),TK!$E$7=TH!F4940),"x","")</f>
        <v/>
      </c>
      <c r="AD3487" s="75" t="str">
        <f>IF(AND(N3487="1521",MONTH(C3487)='BK-NL'!$M$11),"x","")</f>
        <v/>
      </c>
    </row>
    <row r="3488" spans="1:33" ht="16.5" customHeight="1">
      <c r="A3488" s="309" t="str">
        <f>IF(B3488&lt;&gt;"",IF(AND(B3488='IN-TC'!$S$4,OR(TH!N3488="1111",TH!O3488="1111")),TH!D3488,""),"")</f>
        <v/>
      </c>
      <c r="B3488" s="1058">
        <f t="shared" si="1292"/>
        <v>1</v>
      </c>
      <c r="C3488" s="292">
        <f t="shared" si="1291"/>
        <v>42746</v>
      </c>
      <c r="D3488" s="292" t="s">
        <v>902</v>
      </c>
      <c r="E3488" s="292">
        <v>42746</v>
      </c>
      <c r="F3488" s="1125" t="s">
        <v>870</v>
      </c>
      <c r="G3488" s="943" t="s">
        <v>747</v>
      </c>
      <c r="H3488" s="67" t="s">
        <v>835</v>
      </c>
      <c r="I3488" s="73"/>
      <c r="J3488" s="926"/>
      <c r="K3488" s="373"/>
      <c r="L3488" s="379"/>
      <c r="M3488" s="927">
        <v>1000000</v>
      </c>
      <c r="N3488" s="295" t="s">
        <v>101</v>
      </c>
      <c r="O3488" s="295" t="s">
        <v>26</v>
      </c>
      <c r="P3488" s="75" t="str">
        <f>IF(AND('331-CT'!$E$7=TH!H4941,OR(N3488="331",O3488="331")),"x","")</f>
        <v/>
      </c>
      <c r="Q3488" s="75" t="str">
        <f>IF(AND(B3488='111'!$L$11,OR($N3488=$Q$7,$O3488=$Q$7)),"x","")</f>
        <v/>
      </c>
      <c r="R3488" s="75" t="str">
        <f>IF(AND($N3488=$Q$7,$B3488&lt;'111'!$L$11),"x","")</f>
        <v/>
      </c>
      <c r="S3488" s="75" t="str">
        <f>IF(AND($O3488=$Q$7,$B3488&lt;'111'!$L$11),"x","")</f>
        <v/>
      </c>
      <c r="T3488" s="75" t="str">
        <f>IF(ISERROR(FIND('112'!$M$9,G3488,1)),"",IF((AND(FIND('112'!$M$9,G3488,1)&gt;=1,B3488='112'!$K$9,OR($N3488='112'!$I$6,$O3488='112'!$I$6))),"x",""))</f>
        <v/>
      </c>
      <c r="U3488" s="75" t="str">
        <f>IF(ISERROR(FIND('112'!$M$9,G3488,1)),"",IF((AND(LEFT(G3488,2)=LEFT('112'!$M$9,2),B3488&lt;'112'!$K$9,$N3488='112'!$I$6)),"x",""))</f>
        <v/>
      </c>
      <c r="V3488" s="75" t="str">
        <f>IF(ISERROR(FIND('112'!$M$9,G3488,1)),"",IF((AND(RIGHT(G3488,2)=RIGHT('112'!$M$9,2),B3488&lt;'112'!$K$9,$O3488='112'!$I$6)),"x",""))</f>
        <v/>
      </c>
      <c r="W3488" s="75" t="str">
        <f>IF(AND('341-CT'!$H$9=H3488,OR(LEFT(N3488,3)=$W$7,LEFT(O3488,3)=$W$7)),"x","")</f>
        <v/>
      </c>
      <c r="X3488" s="75" t="str">
        <f>IF(OR(TH!N4941=TH!$X$7,O3488=TH!$X$7),"x","")</f>
        <v/>
      </c>
      <c r="Y3488" s="75" t="str">
        <f>IF(AND(OR(N3488="131",O3488="131"),H3488='131-CT'!$H$9),"x","")</f>
        <v/>
      </c>
      <c r="Z3488" s="75"/>
      <c r="AA3488" s="75" t="str">
        <f>IF(AND(MONTH(E3488)='IN-NX'!$J$5,'IN-NX'!$D$7=D3488),"x","")</f>
        <v/>
      </c>
      <c r="AB3488" s="75" t="str">
        <f>IF(AND(OR(LEFT(TH!N4941,2)="15",LEFT(TH!O4941,2)="15"),LEFT(TH!O4941,3)&lt;&gt;"111",'152-CT'!$J$8=TH!F4941),"x","")</f>
        <v/>
      </c>
      <c r="AC3488" s="75" t="str">
        <f>IF(AND(OR(LEFT(TH!N4941,2)="15",LEFT(TH!O4941,2)="15"),TK!$E$7=TH!F4941),"x","")</f>
        <v/>
      </c>
      <c r="AD3488" s="75" t="str">
        <f>IF(AND(N3488="1521",MONTH(C3488)='BK-NL'!$M$11),"x","")</f>
        <v/>
      </c>
    </row>
    <row r="3489" spans="1:33" ht="16.5" customHeight="1">
      <c r="A3489" s="309" t="str">
        <f>IF(B3489&lt;&gt;"",IF(AND(B3489='IN-TC'!$S$4,OR(TH!N3489="1111",TH!O3489="1111")),TH!D3489,""),"")</f>
        <v/>
      </c>
      <c r="B3489" s="1058">
        <f t="shared" si="1292"/>
        <v>1</v>
      </c>
      <c r="C3489" s="292">
        <f t="shared" si="1291"/>
        <v>42746</v>
      </c>
      <c r="D3489" s="292" t="s">
        <v>902</v>
      </c>
      <c r="E3489" s="292">
        <v>42746</v>
      </c>
      <c r="F3489" s="1125" t="s">
        <v>898</v>
      </c>
      <c r="G3489" s="943" t="s">
        <v>747</v>
      </c>
      <c r="H3489" s="67" t="s">
        <v>835</v>
      </c>
      <c r="I3489" s="73"/>
      <c r="J3489" s="926"/>
      <c r="K3489" s="373"/>
      <c r="L3489" s="379"/>
      <c r="M3489" s="927">
        <v>100000</v>
      </c>
      <c r="N3489" s="295" t="s">
        <v>9</v>
      </c>
      <c r="O3489" s="295" t="s">
        <v>26</v>
      </c>
      <c r="P3489" s="75" t="str">
        <f>IF(AND('331-CT'!$E$7=TH!H4942,OR(N3489="331",O3489="331")),"x","")</f>
        <v/>
      </c>
      <c r="Q3489" s="75" t="str">
        <f>IF(AND(B3489='111'!$L$11,OR($N3489=$Q$7,$O3489=$Q$7)),"x","")</f>
        <v/>
      </c>
      <c r="R3489" s="75" t="str">
        <f>IF(AND($N3489=$Q$7,$B3489&lt;'111'!$L$11),"x","")</f>
        <v/>
      </c>
      <c r="S3489" s="75" t="str">
        <f>IF(AND($O3489=$Q$7,$B3489&lt;'111'!$L$11),"x","")</f>
        <v/>
      </c>
      <c r="T3489" s="75" t="str">
        <f>IF(ISERROR(FIND('112'!$M$9,G3489,1)),"",IF((AND(FIND('112'!$M$9,G3489,1)&gt;=1,B3489='112'!$K$9,OR($N3489='112'!$I$6,$O3489='112'!$I$6))),"x",""))</f>
        <v/>
      </c>
      <c r="U3489" s="75" t="str">
        <f>IF(ISERROR(FIND('112'!$M$9,G3489,1)),"",IF((AND(LEFT(G3489,2)=LEFT('112'!$M$9,2),B3489&lt;'112'!$K$9,$N3489='112'!$I$6)),"x",""))</f>
        <v/>
      </c>
      <c r="V3489" s="75" t="str">
        <f>IF(ISERROR(FIND('112'!$M$9,G3489,1)),"",IF((AND(RIGHT(G3489,2)=RIGHT('112'!$M$9,2),B3489&lt;'112'!$K$9,$O3489='112'!$I$6)),"x",""))</f>
        <v/>
      </c>
      <c r="W3489" s="75" t="str">
        <f>IF(AND('341-CT'!$H$9=H3489,OR(LEFT(N3489,3)=$W$7,LEFT(O3489,3)=$W$7)),"x","")</f>
        <v/>
      </c>
      <c r="X3489" s="75" t="str">
        <f>IF(OR(TH!N4942=TH!$X$7,O3489=TH!$X$7),"x","")</f>
        <v/>
      </c>
      <c r="Y3489" s="75" t="str">
        <f>IF(AND(OR(N3489="131",O3489="131"),H3489='131-CT'!$H$9),"x","")</f>
        <v/>
      </c>
      <c r="Z3489" s="75"/>
      <c r="AA3489" s="75" t="str">
        <f>IF(AND(MONTH(E3489)='IN-NX'!$J$5,'IN-NX'!$D$7=D3489),"x","")</f>
        <v/>
      </c>
      <c r="AB3489" s="75" t="str">
        <f>IF(AND(OR(LEFT(TH!N4942,2)="15",LEFT(TH!O4942,2)="15"),LEFT(TH!O4942,3)&lt;&gt;"111",'152-CT'!$J$8=TH!F4942),"x","")</f>
        <v/>
      </c>
      <c r="AC3489" s="75" t="str">
        <f>IF(AND(OR(LEFT(TH!N4942,2)="15",LEFT(TH!O4942,2)="15"),TK!$E$7=TH!F4942),"x","")</f>
        <v/>
      </c>
      <c r="AD3489" s="75" t="str">
        <f>IF(AND(N3489="1521",MONTH(C3489)='BK-NL'!$M$11),"x","")</f>
        <v/>
      </c>
    </row>
    <row r="3490" spans="1:33" ht="16.5" customHeight="1">
      <c r="A3490" s="309" t="str">
        <f>IF(B3490&lt;&gt;"",IF(AND(B3490='IN-TC'!$S$4,OR(TH!N3490="1111",TH!O3490="1111")),TH!D3490,""),"")</f>
        <v/>
      </c>
      <c r="B3490" s="1058">
        <f t="shared" si="1292"/>
        <v>1</v>
      </c>
      <c r="C3490" s="292">
        <f t="shared" si="1291"/>
        <v>42748</v>
      </c>
      <c r="D3490" s="292" t="s">
        <v>1935</v>
      </c>
      <c r="E3490" s="292">
        <v>42748</v>
      </c>
      <c r="F3490" s="1125" t="s">
        <v>954</v>
      </c>
      <c r="G3490" s="925" t="s">
        <v>956</v>
      </c>
      <c r="H3490" s="67" t="s">
        <v>957</v>
      </c>
      <c r="I3490" s="373"/>
      <c r="J3490" s="926"/>
      <c r="K3490" s="373"/>
      <c r="L3490" s="379"/>
      <c r="M3490" s="927">
        <v>2598000</v>
      </c>
      <c r="N3490" s="295" t="s">
        <v>101</v>
      </c>
      <c r="O3490" s="295" t="s">
        <v>63</v>
      </c>
      <c r="P3490" s="75" t="str">
        <f>IF(AND('331-CT'!$E$7=TH!H3442,OR(N3490="331",O3490="331")),"x","")</f>
        <v/>
      </c>
      <c r="Q3490" s="75" t="str">
        <f>IF(AND(B3490='111'!$L$11,OR($N3490=$Q$7,$O3490=$Q$7)),"x","")</f>
        <v/>
      </c>
      <c r="R3490" s="75" t="str">
        <f>IF(AND($N3490=$Q$7,$B3490&lt;'111'!$L$11),"x","")</f>
        <v/>
      </c>
      <c r="S3490" s="75" t="str">
        <f>IF(AND($O3490=$Q$7,$B3490&lt;'111'!$L$11),"x","")</f>
        <v>x</v>
      </c>
      <c r="T3490" s="75" t="str">
        <f>IF(ISERROR(FIND('112'!$M$9,G3490,1)),"",IF((AND(FIND('112'!$M$9,G3490,1)&gt;=1,B3490='112'!$K$9,OR($N3490='112'!$I$6,$O3490='112'!$I$6))),"x",""))</f>
        <v/>
      </c>
      <c r="U3490" s="75" t="str">
        <f>IF(ISERROR(FIND('112'!$M$9,G3490,1)),"",IF((AND(LEFT(G3490,2)=LEFT('112'!$M$9,2),B3490&lt;'112'!$K$9,$N3490='112'!$I$6)),"x",""))</f>
        <v/>
      </c>
      <c r="V3490" s="75" t="str">
        <f>IF(ISERROR(FIND('112'!$M$9,G3490,1)),"",IF((AND(RIGHT(G3490,2)=RIGHT('112'!$M$9,2),B3490&lt;'112'!$K$9,$O3490='112'!$I$6)),"x",""))</f>
        <v/>
      </c>
      <c r="W3490" s="75" t="str">
        <f>IF(AND('341-CT'!$H$9=H3490,OR(LEFT(N3490,3)=$W$7,LEFT(O3490,3)=$W$7)),"x","")</f>
        <v/>
      </c>
      <c r="X3490" s="75" t="str">
        <f>IF(OR(TH!N3442=TH!$X$7,O3490=TH!$X$7),"x","")</f>
        <v/>
      </c>
      <c r="Y3490" s="75" t="str">
        <f>IF(AND(OR(N3490="131",O3490="131"),H3490='131-CT'!$H$9),"x","")</f>
        <v/>
      </c>
      <c r="Z3490" s="75"/>
      <c r="AA3490" s="75" t="str">
        <f>IF(AND(MONTH(E3490)='IN-NX'!$J$5,'IN-NX'!$D$7=D3490),"x","")</f>
        <v/>
      </c>
      <c r="AB3490" s="75" t="str">
        <f>IF(AND(OR(LEFT(TH!N3442,2)="15",LEFT(TH!O3442,2)="15"),LEFT(TH!O3442,3)&lt;&gt;"111",'152-CT'!$J$8=TH!F3442),"x","")</f>
        <v/>
      </c>
      <c r="AC3490" s="75" t="str">
        <f>IF(AND(OR(LEFT(TH!N3442,2)="15",LEFT(TH!O3442,2)="15"),TK!$E$7=TH!F3442),"x","")</f>
        <v/>
      </c>
      <c r="AD3490" s="75" t="str">
        <f>IF(AND(N3490="1521",MONTH(C3490)='BK-NL'!$M$11),"x","")</f>
        <v/>
      </c>
    </row>
    <row r="3491" spans="1:33" ht="16.5" customHeight="1">
      <c r="A3491" s="309" t="str">
        <f>IF(B3491&lt;&gt;"",IF(AND(B3491='IN-TC'!$S$4,OR(TH!N3491="1111",TH!O3491="1111")),TH!D3491,""),"")</f>
        <v/>
      </c>
      <c r="B3491" s="1058">
        <f t="shared" si="1292"/>
        <v>1</v>
      </c>
      <c r="C3491" s="292">
        <f t="shared" si="1291"/>
        <v>42748</v>
      </c>
      <c r="D3491" s="292" t="s">
        <v>1935</v>
      </c>
      <c r="E3491" s="292">
        <v>42748</v>
      </c>
      <c r="F3491" s="1125" t="s">
        <v>955</v>
      </c>
      <c r="G3491" s="925" t="s">
        <v>956</v>
      </c>
      <c r="H3491" s="67" t="s">
        <v>957</v>
      </c>
      <c r="I3491" s="373"/>
      <c r="J3491" s="926"/>
      <c r="K3491" s="373"/>
      <c r="L3491" s="379"/>
      <c r="M3491" s="927">
        <v>259800</v>
      </c>
      <c r="N3491" s="295" t="s">
        <v>9</v>
      </c>
      <c r="O3491" s="295" t="s">
        <v>63</v>
      </c>
      <c r="P3491" s="75" t="str">
        <f>IF(AND('331-CT'!$E$7=TH!H3443,OR(N3491="331",O3491="331")),"x","")</f>
        <v/>
      </c>
      <c r="Q3491" s="75" t="str">
        <f>IF(AND(B3491='111'!$L$11,OR($N3491=$Q$7,$O3491=$Q$7)),"x","")</f>
        <v/>
      </c>
      <c r="R3491" s="75" t="str">
        <f>IF(AND($N3491=$Q$7,$B3491&lt;'111'!$L$11),"x","")</f>
        <v/>
      </c>
      <c r="S3491" s="75" t="str">
        <f>IF(AND($O3491=$Q$7,$B3491&lt;'111'!$L$11),"x","")</f>
        <v>x</v>
      </c>
      <c r="T3491" s="75" t="str">
        <f>IF(ISERROR(FIND('112'!$M$9,G3491,1)),"",IF((AND(FIND('112'!$M$9,G3491,1)&gt;=1,B3491='112'!$K$9,OR($N3491='112'!$I$6,$O3491='112'!$I$6))),"x",""))</f>
        <v/>
      </c>
      <c r="U3491" s="75" t="str">
        <f>IF(ISERROR(FIND('112'!$M$9,G3491,1)),"",IF((AND(LEFT(G3491,2)=LEFT('112'!$M$9,2),B3491&lt;'112'!$K$9,$N3491='112'!$I$6)),"x",""))</f>
        <v/>
      </c>
      <c r="V3491" s="75" t="str">
        <f>IF(ISERROR(FIND('112'!$M$9,G3491,1)),"",IF((AND(RIGHT(G3491,2)=RIGHT('112'!$M$9,2),B3491&lt;'112'!$K$9,$O3491='112'!$I$6)),"x",""))</f>
        <v/>
      </c>
      <c r="W3491" s="75" t="str">
        <f>IF(AND('341-CT'!$H$9=H3491,OR(LEFT(N3491,3)=$W$7,LEFT(O3491,3)=$W$7)),"x","")</f>
        <v/>
      </c>
      <c r="X3491" s="75" t="str">
        <f>IF(OR(TH!N3443=TH!$X$7,O3491=TH!$X$7),"x","")</f>
        <v/>
      </c>
      <c r="Y3491" s="75" t="str">
        <f>IF(AND(OR(N3491="131",O3491="131"),H3491='131-CT'!$H$9),"x","")</f>
        <v/>
      </c>
      <c r="Z3491" s="75"/>
      <c r="AA3491" s="75" t="str">
        <f>IF(AND(MONTH(E3491)='IN-NX'!$J$5,'IN-NX'!$D$7=D3491),"x","")</f>
        <v/>
      </c>
      <c r="AB3491" s="75" t="str">
        <f>IF(AND(OR(LEFT(TH!N3443,2)="15",LEFT(TH!O3443,2)="15"),LEFT(TH!O3443,3)&lt;&gt;"111",'152-CT'!$J$8=TH!F3443),"x","")</f>
        <v/>
      </c>
      <c r="AC3491" s="75" t="str">
        <f>IF(AND(OR(LEFT(TH!N3443,2)="15",LEFT(TH!O3443,2)="15"),TK!$E$7=TH!F3443),"x","")</f>
        <v/>
      </c>
      <c r="AD3491" s="75" t="str">
        <f>IF(AND(N3491="1521",MONTH(C3491)='BK-NL'!$M$11),"x","")</f>
        <v/>
      </c>
    </row>
    <row r="3492" spans="1:33" ht="16.5" customHeight="1">
      <c r="A3492" s="309" t="str">
        <f>IF(B3492&lt;&gt;"",IF(AND(B3492='IN-TC'!$S$4,OR(TH!N3492="1111",TH!O3492="1111")),TH!D3492,""),"")</f>
        <v/>
      </c>
      <c r="B3492" s="1058">
        <f t="shared" si="1292"/>
        <v>1</v>
      </c>
      <c r="C3492" s="292">
        <f t="shared" si="1291"/>
        <v>42748</v>
      </c>
      <c r="D3492" s="292" t="s">
        <v>903</v>
      </c>
      <c r="E3492" s="292">
        <v>42748</v>
      </c>
      <c r="F3492" s="1125" t="s">
        <v>2431</v>
      </c>
      <c r="G3492" s="943" t="s">
        <v>747</v>
      </c>
      <c r="H3492" s="962" t="s">
        <v>2443</v>
      </c>
      <c r="I3492" s="73"/>
      <c r="J3492" s="926"/>
      <c r="K3492" s="373">
        <v>40000</v>
      </c>
      <c r="L3492" s="379">
        <v>22555</v>
      </c>
      <c r="M3492" s="927">
        <f>ROUND(L3492*K3492,0)</f>
        <v>902200000</v>
      </c>
      <c r="N3492" s="295" t="s">
        <v>26</v>
      </c>
      <c r="O3492" s="295" t="s">
        <v>250</v>
      </c>
      <c r="P3492" s="75" t="str">
        <f>IF(AND('331-CT'!$E$7=TH!H4943,OR(N3492="331",O3492="331")),"x","")</f>
        <v/>
      </c>
      <c r="Q3492" s="75" t="str">
        <f>IF(AND(B3492='111'!$L$11,OR($N3492=$Q$7,$O3492=$Q$7)),"x","")</f>
        <v/>
      </c>
      <c r="R3492" s="75" t="str">
        <f>IF(AND($N3492=$Q$7,$B3492&lt;'111'!$L$11),"x","")</f>
        <v/>
      </c>
      <c r="S3492" s="75" t="str">
        <f>IF(AND($O3492=$Q$7,$B3492&lt;'111'!$L$11),"x","")</f>
        <v/>
      </c>
      <c r="T3492" s="75" t="str">
        <f>IF(ISERROR(FIND('112'!$M$9,G3492,1)),"",IF((AND(FIND('112'!$M$9,G3492,1)&gt;=1,B3492='112'!$K$9,OR($N3492='112'!$I$6,$O3492='112'!$I$6))),"x",""))</f>
        <v/>
      </c>
      <c r="U3492" s="75" t="str">
        <f>IF(ISERROR(FIND('112'!$M$9,G3492,1)),"",IF((AND(LEFT(G3492,2)=LEFT('112'!$M$9,2),B3492&lt;'112'!$K$9,$N3492='112'!$I$6)),"x",""))</f>
        <v/>
      </c>
      <c r="V3492" s="75" t="str">
        <f>IF(ISERROR(FIND('112'!$M$9,G3492,1)),"",IF((AND(RIGHT(G3492,2)=RIGHT('112'!$M$9,2),B3492&lt;'112'!$K$9,$O3492='112'!$I$6)),"x",""))</f>
        <v/>
      </c>
      <c r="W3492" s="75" t="str">
        <f>IF(AND('341-CT'!$H$9=H3492,OR(LEFT(N3492,3)=$W$7,LEFT(O3492,3)=$W$7)),"x","")</f>
        <v/>
      </c>
      <c r="X3492" s="75" t="str">
        <f>IF(OR(TH!N4943=TH!$X$7,O3492=TH!$X$7),"x","")</f>
        <v/>
      </c>
      <c r="Y3492" s="75" t="str">
        <f>IF(AND(OR(N3492="131",O3492="131"),H3492='131-CT'!$H$9),"x","")</f>
        <v/>
      </c>
      <c r="Z3492" s="75"/>
      <c r="AA3492" s="75" t="str">
        <f>IF(AND(MONTH(E3492)='IN-NX'!$J$5,'IN-NX'!$D$7=D3492),"x","")</f>
        <v/>
      </c>
      <c r="AB3492" s="75" t="str">
        <f>IF(AND(OR(LEFT(TH!N4943,2)="15",LEFT(TH!O4943,2)="15"),LEFT(TH!O4943,3)&lt;&gt;"111",'152-CT'!$J$8=TH!F4943),"x","")</f>
        <v/>
      </c>
      <c r="AC3492" s="75" t="str">
        <f>IF(AND(OR(LEFT(TH!N4943,2)="15",LEFT(TH!O4943,2)="15"),TK!$E$7=TH!F4943),"x","")</f>
        <v/>
      </c>
      <c r="AD3492" s="75" t="str">
        <f>IF(AND(N3492="1521",MONTH(C3492)='BK-NL'!$M$11),"x","")</f>
        <v/>
      </c>
    </row>
    <row r="3493" spans="1:33" ht="16.5" customHeight="1">
      <c r="A3493" s="309" t="str">
        <f>IF(B3493&lt;&gt;"",IF(AND(B3493='IN-TC'!$S$4,OR(TH!N3493="1111",TH!O3493="1111")),TH!D3493,""),"")</f>
        <v/>
      </c>
      <c r="B3493" s="1131">
        <f t="shared" si="1292"/>
        <v>1</v>
      </c>
      <c r="C3493" s="292">
        <f t="shared" si="1291"/>
        <v>42748</v>
      </c>
      <c r="D3493" s="292" t="s">
        <v>1916</v>
      </c>
      <c r="E3493" s="292">
        <v>42748</v>
      </c>
      <c r="F3493" s="1125" t="s">
        <v>1993</v>
      </c>
      <c r="G3493" s="925" t="s">
        <v>1990</v>
      </c>
      <c r="H3493" s="67" t="s">
        <v>1028</v>
      </c>
      <c r="I3493" s="373"/>
      <c r="J3493" s="926"/>
      <c r="K3493" s="373"/>
      <c r="L3493" s="379"/>
      <c r="M3493" s="927">
        <f>190909-4</f>
        <v>190905</v>
      </c>
      <c r="N3493" s="295" t="s">
        <v>539</v>
      </c>
      <c r="O3493" s="295" t="s">
        <v>63</v>
      </c>
      <c r="P3493" s="75" t="str">
        <f>IF(AND('331-CT'!$E$7=TH!H3470,OR(N3493="331",O3493="331")),"x","")</f>
        <v/>
      </c>
      <c r="Q3493" s="75" t="str">
        <f>IF(AND(B3493='111'!$L$11,OR($N3493=$Q$7,$O3493=$Q$7)),"x","")</f>
        <v/>
      </c>
      <c r="R3493" s="75" t="str">
        <f>IF(AND($N3493=$Q$7,$B3493&lt;'111'!$L$11),"x","")</f>
        <v/>
      </c>
      <c r="S3493" s="75" t="str">
        <f>IF(AND($O3493=$Q$7,$B3493&lt;'111'!$L$11),"x","")</f>
        <v>x</v>
      </c>
      <c r="T3493" s="75" t="str">
        <f>IF(ISERROR(FIND('112'!$M$9,G3493,1)),"",IF((AND(FIND('112'!$M$9,G3493,1)&gt;=1,B3493='112'!$K$9,OR($N3493='112'!$I$6,$O3493='112'!$I$6))),"x",""))</f>
        <v/>
      </c>
      <c r="U3493" s="75" t="str">
        <f>IF(ISERROR(FIND('112'!$M$9,G3493,1)),"",IF((AND(LEFT(G3493,2)=LEFT('112'!$M$9,2),B3493&lt;'112'!$K$9,$N3493='112'!$I$6)),"x",""))</f>
        <v/>
      </c>
      <c r="V3493" s="75" t="str">
        <f>IF(ISERROR(FIND('112'!$M$9,G3493,1)),"",IF((AND(RIGHT(G3493,2)=RIGHT('112'!$M$9,2),B3493&lt;'112'!$K$9,$O3493='112'!$I$6)),"x",""))</f>
        <v/>
      </c>
      <c r="W3493" s="75" t="str">
        <f>IF(AND('341-CT'!$H$9=H3493,OR(LEFT(N3493,3)=$W$7,LEFT(O3493,3)=$W$7)),"x","")</f>
        <v/>
      </c>
      <c r="X3493" s="75" t="str">
        <f>IF(OR(TH!N3470=TH!$X$7,O3493=TH!$X$7),"x","")</f>
        <v/>
      </c>
      <c r="Y3493" s="75" t="str">
        <f>IF(AND(OR(N3493="131",O3493="131"),H3493='131-CT'!$H$9),"x","")</f>
        <v/>
      </c>
      <c r="Z3493" s="75"/>
      <c r="AA3493" s="75" t="str">
        <f>IF(AND(MONTH(E3493)='IN-NX'!$J$5,'IN-NX'!$D$7=D3493),"x","")</f>
        <v/>
      </c>
      <c r="AB3493" s="75" t="str">
        <f>IF(AND(OR(LEFT(TH!N3470,2)="15",LEFT(TH!O3470,2)="15"),LEFT(TH!O3470,3)&lt;&gt;"111",'152-CT'!$J$8=TH!F3470),"x","")</f>
        <v/>
      </c>
      <c r="AC3493" s="75" t="str">
        <f>IF(AND(OR(LEFT(TH!N3470,2)="15",LEFT(TH!O3470,2)="15"),TK!$E$7=TH!F3470),"x","")</f>
        <v/>
      </c>
      <c r="AD3493" s="75" t="str">
        <f>IF(AND(N3493="1521",MONTH(C3493)='BK-NL'!$M$11),"x","")</f>
        <v/>
      </c>
    </row>
    <row r="3494" spans="1:33" ht="16.5" customHeight="1">
      <c r="A3494" s="309" t="str">
        <f>IF(B3494&lt;&gt;"",IF(AND(B3494='IN-TC'!$S$4,OR(TH!N3494="1111",TH!O3494="1111")),TH!D3494,""),"")</f>
        <v/>
      </c>
      <c r="B3494" s="1131">
        <f t="shared" si="1292"/>
        <v>1</v>
      </c>
      <c r="C3494" s="292">
        <f t="shared" si="1291"/>
        <v>42748</v>
      </c>
      <c r="D3494" s="292" t="s">
        <v>1916</v>
      </c>
      <c r="E3494" s="292">
        <v>42748</v>
      </c>
      <c r="F3494" s="1125" t="s">
        <v>1994</v>
      </c>
      <c r="G3494" s="925" t="s">
        <v>1990</v>
      </c>
      <c r="H3494" s="67" t="s">
        <v>1028</v>
      </c>
      <c r="I3494" s="373"/>
      <c r="J3494" s="926"/>
      <c r="K3494" s="373"/>
      <c r="L3494" s="379"/>
      <c r="M3494" s="927">
        <f>19091+4</f>
        <v>19095</v>
      </c>
      <c r="N3494" s="295" t="s">
        <v>9</v>
      </c>
      <c r="O3494" s="295" t="s">
        <v>63</v>
      </c>
      <c r="P3494" s="75" t="str">
        <f>IF(AND('331-CT'!$E$7=TH!H3471,OR(N3494="331",O3494="331")),"x","")</f>
        <v/>
      </c>
      <c r="Q3494" s="75" t="str">
        <f>IF(AND(B3494='111'!$L$11,OR($N3494=$Q$7,$O3494=$Q$7)),"x","")</f>
        <v/>
      </c>
      <c r="R3494" s="75" t="str">
        <f>IF(AND($N3494=$Q$7,$B3494&lt;'111'!$L$11),"x","")</f>
        <v/>
      </c>
      <c r="S3494" s="75" t="str">
        <f>IF(AND($O3494=$Q$7,$B3494&lt;'111'!$L$11),"x","")</f>
        <v>x</v>
      </c>
      <c r="T3494" s="75" t="str">
        <f>IF(ISERROR(FIND('112'!$M$9,G3494,1)),"",IF((AND(FIND('112'!$M$9,G3494,1)&gt;=1,B3494='112'!$K$9,OR($N3494='112'!$I$6,$O3494='112'!$I$6))),"x",""))</f>
        <v/>
      </c>
      <c r="U3494" s="75" t="str">
        <f>IF(ISERROR(FIND('112'!$M$9,G3494,1)),"",IF((AND(LEFT(G3494,2)=LEFT('112'!$M$9,2),B3494&lt;'112'!$K$9,$N3494='112'!$I$6)),"x",""))</f>
        <v/>
      </c>
      <c r="V3494" s="75" t="str">
        <f>IF(ISERROR(FIND('112'!$M$9,G3494,1)),"",IF((AND(RIGHT(G3494,2)=RIGHT('112'!$M$9,2),B3494&lt;'112'!$K$9,$O3494='112'!$I$6)),"x",""))</f>
        <v/>
      </c>
      <c r="W3494" s="75" t="str">
        <f>IF(AND('341-CT'!$H$9=H3494,OR(LEFT(N3494,3)=$W$7,LEFT(O3494,3)=$W$7)),"x","")</f>
        <v/>
      </c>
      <c r="X3494" s="75" t="str">
        <f>IF(OR(TH!N3471=TH!$X$7,O3494=TH!$X$7),"x","")</f>
        <v/>
      </c>
      <c r="Y3494" s="75" t="str">
        <f>IF(AND(OR(N3494="131",O3494="131"),H3494='131-CT'!$H$9),"x","")</f>
        <v/>
      </c>
      <c r="Z3494" s="75"/>
      <c r="AA3494" s="75" t="str">
        <f>IF(AND(MONTH(E3494)='IN-NX'!$J$5,'IN-NX'!$D$7=D3494),"x","")</f>
        <v/>
      </c>
      <c r="AB3494" s="75" t="str">
        <f>IF(AND(OR(LEFT(TH!N3471,2)="15",LEFT(TH!O3471,2)="15"),LEFT(TH!O3471,3)&lt;&gt;"111",'152-CT'!$J$8=TH!F3471),"x","")</f>
        <v/>
      </c>
      <c r="AC3494" s="75" t="str">
        <f>IF(AND(OR(LEFT(TH!N3471,2)="15",LEFT(TH!O3471,2)="15"),TK!$E$7=TH!F3471),"x","")</f>
        <v/>
      </c>
      <c r="AD3494" s="75" t="str">
        <f>IF(AND(N3494="1521",MONTH(C3494)='BK-NL'!$M$11),"x","")</f>
        <v/>
      </c>
    </row>
    <row r="3495" spans="1:33" ht="16.5" customHeight="1">
      <c r="A3495" s="309" t="str">
        <f>IF(B3495&lt;&gt;"",IF(AND(B3495='IN-TC'!$S$4,OR(TH!N3495="1111",TH!O3495="1111")),TH!D3495,""),"")</f>
        <v/>
      </c>
      <c r="B3495" s="1058">
        <f t="shared" si="1292"/>
        <v>1</v>
      </c>
      <c r="C3495" s="292">
        <f t="shared" si="1291"/>
        <v>42749</v>
      </c>
      <c r="D3495" s="292" t="s">
        <v>1938</v>
      </c>
      <c r="E3495" s="929">
        <v>42749</v>
      </c>
      <c r="F3495" s="1126" t="s">
        <v>1165</v>
      </c>
      <c r="G3495" s="931" t="s">
        <v>1146</v>
      </c>
      <c r="H3495" s="296" t="s">
        <v>796</v>
      </c>
      <c r="I3495" s="371"/>
      <c r="J3495" s="932"/>
      <c r="K3495" s="371"/>
      <c r="L3495" s="377"/>
      <c r="M3495" s="933">
        <v>18952450</v>
      </c>
      <c r="N3495" s="934" t="s">
        <v>8</v>
      </c>
      <c r="O3495" s="934" t="s">
        <v>63</v>
      </c>
      <c r="P3495" s="75" t="str">
        <f>IF(AND('331-CT'!$E$7=TH!H3444,OR(N3495="331",O3495="331")),"x","")</f>
        <v/>
      </c>
      <c r="Q3495" s="75" t="str">
        <f>IF(AND(B3495='111'!$L$11,OR($N3495=$Q$7,$O3495=$Q$7)),"x","")</f>
        <v/>
      </c>
      <c r="R3495" s="75" t="str">
        <f>IF(AND($N3495=$Q$7,$B3495&lt;'111'!$L$11),"x","")</f>
        <v/>
      </c>
      <c r="S3495" s="75" t="str">
        <f>IF(AND($O3495=$Q$7,$B3495&lt;'111'!$L$11),"x","")</f>
        <v>x</v>
      </c>
      <c r="T3495" s="75" t="str">
        <f>IF(ISERROR(FIND('112'!$M$9,G3495,1)),"",IF((AND(FIND('112'!$M$9,G3495,1)&gt;=1,B3495='112'!$K$9,OR($N3495='112'!$I$6,$O3495='112'!$I$6))),"x",""))</f>
        <v/>
      </c>
      <c r="U3495" s="75" t="str">
        <f>IF(ISERROR(FIND('112'!$M$9,G3495,1)),"",IF((AND(LEFT(G3495,2)=LEFT('112'!$M$9,2),B3495&lt;'112'!$K$9,$N3495='112'!$I$6)),"x",""))</f>
        <v/>
      </c>
      <c r="V3495" s="75" t="str">
        <f>IF(ISERROR(FIND('112'!$M$9,G3495,1)),"",IF((AND(RIGHT(G3495,2)=RIGHT('112'!$M$9,2),B3495&lt;'112'!$K$9,$O3495='112'!$I$6)),"x",""))</f>
        <v/>
      </c>
      <c r="W3495" s="75" t="str">
        <f>IF(AND('341-CT'!$H$9=H3495,OR(LEFT(N3495,3)=$W$7,LEFT(O3495,3)=$W$7)),"x","")</f>
        <v/>
      </c>
      <c r="X3495" s="75" t="str">
        <f>IF(OR(TH!N3444=TH!$X$7,O3495=TH!$X$7),"x","")</f>
        <v/>
      </c>
      <c r="Y3495" s="75" t="str">
        <f>IF(AND(OR(N3495="131",O3495="131"),H3495='131-CT'!$H$9),"x","")</f>
        <v/>
      </c>
      <c r="Z3495" s="75"/>
      <c r="AA3495" s="75" t="str">
        <f>IF(AND(MONTH(E3495)='IN-NX'!$J$5,'IN-NX'!$D$7=D3495),"x","")</f>
        <v/>
      </c>
      <c r="AB3495" s="75" t="str">
        <f>IF(AND(OR(LEFT(TH!N3444,2)="15",LEFT(TH!O3444,2)="15"),LEFT(TH!O3444,3)&lt;&gt;"111",'152-CT'!$J$8=TH!F3444),"x","")</f>
        <v/>
      </c>
      <c r="AC3495" s="75" t="str">
        <f>IF(AND(OR(LEFT(TH!N3444,2)="15",LEFT(TH!O3444,2)="15"),TK!$E$7=TH!F3444),"x","")</f>
        <v/>
      </c>
      <c r="AD3495" s="75" t="str">
        <f>IF(AND(N3495="1521",MONTH(C3495)='BK-NL'!$M$11),"x","")</f>
        <v/>
      </c>
    </row>
    <row r="3496" spans="1:33" ht="16.5" customHeight="1">
      <c r="A3496" s="309" t="str">
        <f>IF(B3496&lt;&gt;"",IF(AND(B3496='IN-TC'!$S$4,OR(TH!N3496="1111",TH!O3496="1111")),TH!D3496,""),"")</f>
        <v/>
      </c>
      <c r="B3496" s="1058">
        <f t="shared" si="1292"/>
        <v>1</v>
      </c>
      <c r="C3496" s="292">
        <f t="shared" ref="C3496:C3527" si="1293">E3496</f>
        <v>42749</v>
      </c>
      <c r="D3496" s="292" t="s">
        <v>844</v>
      </c>
      <c r="E3496" s="292">
        <v>42749</v>
      </c>
      <c r="F3496" s="1125" t="s">
        <v>834</v>
      </c>
      <c r="G3496" s="943" t="s">
        <v>747</v>
      </c>
      <c r="H3496" s="67" t="s">
        <v>1023</v>
      </c>
      <c r="I3496" s="73"/>
      <c r="J3496" s="926"/>
      <c r="K3496" s="373"/>
      <c r="L3496" s="379"/>
      <c r="M3496" s="927">
        <v>900000000</v>
      </c>
      <c r="N3496" s="295" t="s">
        <v>63</v>
      </c>
      <c r="O3496" s="295" t="s">
        <v>26</v>
      </c>
      <c r="P3496" s="75" t="str">
        <f>IF(AND('331-CT'!$E$7=TH!H4944,OR(N3496="331",O3496="331")),"x","")</f>
        <v/>
      </c>
      <c r="Q3496" s="75" t="str">
        <f>IF(AND(B3496='111'!$L$11,OR($N3496=$Q$7,$O3496=$Q$7)),"x","")</f>
        <v/>
      </c>
      <c r="R3496" s="75" t="str">
        <f>IF(AND($N3496=$Q$7,$B3496&lt;'111'!$L$11),"x","")</f>
        <v>x</v>
      </c>
      <c r="S3496" s="75" t="str">
        <f>IF(AND($O3496=$Q$7,$B3496&lt;'111'!$L$11),"x","")</f>
        <v/>
      </c>
      <c r="T3496" s="75" t="str">
        <f>IF(ISERROR(FIND('112'!$M$9,G3496,1)),"",IF((AND(FIND('112'!$M$9,G3496,1)&gt;=1,B3496='112'!$K$9,OR($N3496='112'!$I$6,$O3496='112'!$I$6))),"x",""))</f>
        <v/>
      </c>
      <c r="U3496" s="75" t="str">
        <f>IF(ISERROR(FIND('112'!$M$9,G3496,1)),"",IF((AND(LEFT(G3496,2)=LEFT('112'!$M$9,2),B3496&lt;'112'!$K$9,$N3496='112'!$I$6)),"x",""))</f>
        <v/>
      </c>
      <c r="V3496" s="75" t="str">
        <f>IF(ISERROR(FIND('112'!$M$9,G3496,1)),"",IF((AND(RIGHT(G3496,2)=RIGHT('112'!$M$9,2),B3496&lt;'112'!$K$9,$O3496='112'!$I$6)),"x",""))</f>
        <v/>
      </c>
      <c r="W3496" s="75" t="str">
        <f>IF(AND('341-CT'!$H$9=H3496,OR(LEFT(N3496,3)=$W$7,LEFT(O3496,3)=$W$7)),"x","")</f>
        <v/>
      </c>
      <c r="X3496" s="75" t="str">
        <f>IF(OR(TH!N4944=TH!$X$7,O3496=TH!$X$7),"x","")</f>
        <v/>
      </c>
      <c r="Y3496" s="75" t="str">
        <f>IF(AND(OR(N3496="131",O3496="131"),H3496='131-CT'!$H$9),"x","")</f>
        <v/>
      </c>
      <c r="Z3496" s="75"/>
      <c r="AA3496" s="75" t="str">
        <f>IF(AND(MONTH(E3496)='IN-NX'!$J$5,'IN-NX'!$D$7=D3496),"x","")</f>
        <v/>
      </c>
      <c r="AB3496" s="75" t="str">
        <f>IF(AND(OR(LEFT(TH!N4944,2)="15",LEFT(TH!O4944,2)="15"),LEFT(TH!O4944,3)&lt;&gt;"111",'152-CT'!$J$8=TH!F4944),"x","")</f>
        <v/>
      </c>
      <c r="AC3496" s="75" t="str">
        <f>IF(AND(OR(LEFT(TH!N4944,2)="15",LEFT(TH!O4944,2)="15"),TK!$E$7=TH!F4944),"x","")</f>
        <v/>
      </c>
      <c r="AD3496" s="75" t="str">
        <f>IF(AND(N3496="1521",MONTH(C3496)='BK-NL'!$M$11),"x","")</f>
        <v/>
      </c>
    </row>
    <row r="3497" spans="1:33" ht="16.5" customHeight="1">
      <c r="A3497" s="309" t="str">
        <f>IF(B3497&lt;&gt;"",IF(AND(B3497='IN-TC'!$S$4,OR(TH!N3497="1111",TH!O3497="1111")),TH!D3497,""),"")</f>
        <v/>
      </c>
      <c r="B3497" s="1339">
        <f t="shared" si="1292"/>
        <v>1</v>
      </c>
      <c r="C3497" s="292">
        <f t="shared" si="1293"/>
        <v>42749</v>
      </c>
      <c r="D3497" s="71"/>
      <c r="E3497" s="71">
        <v>42749</v>
      </c>
      <c r="F3497" s="1216" t="s">
        <v>3032</v>
      </c>
      <c r="G3497" s="72" t="s">
        <v>332</v>
      </c>
      <c r="H3497" s="73" t="s">
        <v>1880</v>
      </c>
      <c r="I3497" s="371"/>
      <c r="J3497" s="378"/>
      <c r="K3497" s="371"/>
      <c r="L3497" s="377"/>
      <c r="M3497" s="74">
        <v>1000000000</v>
      </c>
      <c r="N3497" s="75" t="s">
        <v>262</v>
      </c>
      <c r="O3497" s="75" t="s">
        <v>63</v>
      </c>
      <c r="P3497" s="75" t="str">
        <f>IF(AND('331-CT'!$E$7=TH!H5677,OR(N3497="331",O3497="331")),"x","")</f>
        <v/>
      </c>
      <c r="Q3497" s="75" t="str">
        <f>IF(AND(B3497='111'!$L$11,OR($N3497=$Q$7,$O3497=$Q$7)),"x","")</f>
        <v/>
      </c>
      <c r="R3497" s="75" t="str">
        <f>IF(AND($N3497=$Q$7,$B3497&lt;'111'!$L$11),"x","")</f>
        <v/>
      </c>
      <c r="S3497" s="75" t="str">
        <f>IF(AND($O3497=$Q$7,$B3497&lt;'111'!$L$11),"x","")</f>
        <v>x</v>
      </c>
      <c r="T3497" s="75" t="str">
        <f>IF(ISERROR(FIND('112'!$M$9,G3497,1)),"",IF((AND(FIND('112'!$M$9,G3497,1)&gt;=1,B3497='112'!$K$9,OR($N3497='112'!$I$6,$O3497='112'!$I$6))),"x",""))</f>
        <v/>
      </c>
      <c r="U3497" s="75" t="str">
        <f>IF(ISERROR(FIND('112'!$M$9,G3497,1)),"",IF((AND(LEFT(G3497,2)=LEFT('112'!$M$9,2),B3497&lt;'112'!$K$9,$N3497='112'!$I$6)),"x",""))</f>
        <v/>
      </c>
      <c r="V3497" s="75" t="str">
        <f>IF(ISERROR(FIND('112'!$M$9,G3497,1)),"",IF((AND(RIGHT(G3497,2)=RIGHT('112'!$M$9,2),B3497&lt;'112'!$K$9,$O3497='112'!$I$6)),"x",""))</f>
        <v/>
      </c>
      <c r="W3497" s="75" t="str">
        <f>IF(AND('341-CT'!$H$9=H3497,OR(LEFT(N3497,3)=$W$7,LEFT(O3497,3)=$W$7)),"x","")</f>
        <v/>
      </c>
      <c r="X3497" s="75" t="str">
        <f>IF(OR(TH!N5677=TH!$X$7,O3497=TH!$X$7),"x","")</f>
        <v/>
      </c>
      <c r="Y3497" s="75" t="str">
        <f>IF(AND(OR(N3497="131",O3497="131"),H3497='131-CT'!$H$9),"x","")</f>
        <v/>
      </c>
      <c r="Z3497" s="75"/>
      <c r="AA3497" s="75" t="str">
        <f>IF(AND(MONTH(E3497)='IN-NX'!$J$5,'IN-NX'!$D$7=D3497),"x","")</f>
        <v/>
      </c>
      <c r="AB3497" s="75" t="str">
        <f>IF(AND(OR(LEFT(TH!N5677,2)="15",LEFT(TH!O5677,2)="15"),LEFT(TH!O5677,3)&lt;&gt;"111",'152-CT'!$J$8=TH!F5677),"x","")</f>
        <v/>
      </c>
      <c r="AC3497" s="75" t="str">
        <f>IF(AND(OR(LEFT(TH!N5677,2)="15",LEFT(TH!O5677,2)="15"),TK!$E$7=TH!F5677),"x","")</f>
        <v/>
      </c>
      <c r="AD3497" s="75" t="str">
        <f>IF(AND(N3497="1521",MONTH(C3497)='BK-NL'!$M$11),"x","")</f>
        <v/>
      </c>
      <c r="AE3497" s="1264"/>
      <c r="AF3497" s="1264"/>
      <c r="AG3497" s="1264"/>
    </row>
    <row r="3498" spans="1:33" ht="16.5" customHeight="1">
      <c r="A3498" s="309" t="str">
        <f>IF(B3498&lt;&gt;"",IF(AND(B3498='IN-TC'!$S$4,OR(TH!N3498="1111",TH!O3498="1111")),TH!D3498,""),"")</f>
        <v/>
      </c>
      <c r="B3498" s="1058">
        <f t="shared" si="1292"/>
        <v>1</v>
      </c>
      <c r="C3498" s="292">
        <f t="shared" si="1293"/>
        <v>42750</v>
      </c>
      <c r="D3498" s="292" t="s">
        <v>1939</v>
      </c>
      <c r="E3498" s="292">
        <v>42750</v>
      </c>
      <c r="F3498" s="1125" t="s">
        <v>890</v>
      </c>
      <c r="G3498" s="925" t="s">
        <v>958</v>
      </c>
      <c r="H3498" s="67" t="s">
        <v>893</v>
      </c>
      <c r="I3498" s="373"/>
      <c r="J3498" s="926"/>
      <c r="K3498" s="373"/>
      <c r="L3498" s="379"/>
      <c r="M3498" s="927">
        <f>1606127+125000</f>
        <v>1731127</v>
      </c>
      <c r="N3498" s="295" t="s">
        <v>101</v>
      </c>
      <c r="O3498" s="295" t="s">
        <v>63</v>
      </c>
      <c r="P3498" s="75" t="str">
        <f>IF(AND('331-CT'!$E$7=TH!H3445,OR(N3498="331",O3498="331")),"x","")</f>
        <v/>
      </c>
      <c r="Q3498" s="75" t="str">
        <f>IF(AND(B3498='111'!$L$11,OR($N3498=$Q$7,$O3498=$Q$7)),"x","")</f>
        <v/>
      </c>
      <c r="R3498" s="75" t="str">
        <f>IF(AND($N3498=$Q$7,$B3498&lt;'111'!$L$11),"x","")</f>
        <v/>
      </c>
      <c r="S3498" s="75" t="str">
        <f>IF(AND($O3498=$Q$7,$B3498&lt;'111'!$L$11),"x","")</f>
        <v>x</v>
      </c>
      <c r="T3498" s="75" t="str">
        <f>IF(ISERROR(FIND('112'!$M$9,G3498,1)),"",IF((AND(FIND('112'!$M$9,G3498,1)&gt;=1,B3498='112'!$K$9,OR($N3498='112'!$I$6,$O3498='112'!$I$6))),"x",""))</f>
        <v/>
      </c>
      <c r="U3498" s="75" t="str">
        <f>IF(ISERROR(FIND('112'!$M$9,G3498,1)),"",IF((AND(LEFT(G3498,2)=LEFT('112'!$M$9,2),B3498&lt;'112'!$K$9,$N3498='112'!$I$6)),"x",""))</f>
        <v/>
      </c>
      <c r="V3498" s="75" t="str">
        <f>IF(ISERROR(FIND('112'!$M$9,G3498,1)),"",IF((AND(RIGHT(G3498,2)=RIGHT('112'!$M$9,2),B3498&lt;'112'!$K$9,$O3498='112'!$I$6)),"x",""))</f>
        <v/>
      </c>
      <c r="W3498" s="75" t="str">
        <f>IF(AND('341-CT'!$H$9=H3498,OR(LEFT(N3498,3)=$W$7,LEFT(O3498,3)=$W$7)),"x","")</f>
        <v/>
      </c>
      <c r="X3498" s="75" t="str">
        <f>IF(OR(TH!N3445=TH!$X$7,O3498=TH!$X$7),"x","")</f>
        <v/>
      </c>
      <c r="Y3498" s="75" t="str">
        <f>IF(AND(OR(N3498="131",O3498="131"),H3498='131-CT'!$H$9),"x","")</f>
        <v/>
      </c>
      <c r="Z3498" s="75"/>
      <c r="AA3498" s="75" t="str">
        <f>IF(AND(MONTH(E3498)='IN-NX'!$J$5,'IN-NX'!$D$7=D3498),"x","")</f>
        <v/>
      </c>
      <c r="AB3498" s="75" t="str">
        <f>IF(AND(OR(LEFT(TH!N3445,2)="15",LEFT(TH!O3445,2)="15"),LEFT(TH!O3445,3)&lt;&gt;"111",'152-CT'!$J$8=TH!F3445),"x","")</f>
        <v/>
      </c>
      <c r="AC3498" s="75" t="str">
        <f>IF(AND(OR(LEFT(TH!N3445,2)="15",LEFT(TH!O3445,2)="15"),TK!$E$7=TH!F3445),"x","")</f>
        <v/>
      </c>
      <c r="AD3498" s="75" t="str">
        <f>IF(AND(N3498="1521",MONTH(C3498)='BK-NL'!$M$11),"x","")</f>
        <v/>
      </c>
    </row>
    <row r="3499" spans="1:33" ht="16.5" customHeight="1">
      <c r="A3499" s="309" t="str">
        <f>IF(B3499&lt;&gt;"",IF(AND(B3499='IN-TC'!$S$4,OR(TH!N3499="1111",TH!O3499="1111")),TH!D3499,""),"")</f>
        <v/>
      </c>
      <c r="B3499" s="1058">
        <f t="shared" si="1292"/>
        <v>1</v>
      </c>
      <c r="C3499" s="292">
        <f t="shared" si="1293"/>
        <v>42750</v>
      </c>
      <c r="D3499" s="292" t="s">
        <v>1939</v>
      </c>
      <c r="E3499" s="292">
        <v>42750</v>
      </c>
      <c r="F3499" s="1125" t="s">
        <v>891</v>
      </c>
      <c r="G3499" s="925" t="s">
        <v>958</v>
      </c>
      <c r="H3499" s="67" t="s">
        <v>893</v>
      </c>
      <c r="I3499" s="373"/>
      <c r="J3499" s="926"/>
      <c r="K3499" s="373"/>
      <c r="L3499" s="379"/>
      <c r="M3499" s="927">
        <f>160613+12500</f>
        <v>173113</v>
      </c>
      <c r="N3499" s="295" t="s">
        <v>9</v>
      </c>
      <c r="O3499" s="295" t="s">
        <v>63</v>
      </c>
      <c r="P3499" s="75" t="str">
        <f>IF(AND('331-CT'!$E$7=TH!H3446,OR(N3499="331",O3499="331")),"x","")</f>
        <v/>
      </c>
      <c r="Q3499" s="75" t="str">
        <f>IF(AND(B3499='111'!$L$11,OR($N3499=$Q$7,$O3499=$Q$7)),"x","")</f>
        <v/>
      </c>
      <c r="R3499" s="75" t="str">
        <f>IF(AND($N3499=$Q$7,$B3499&lt;'111'!$L$11),"x","")</f>
        <v/>
      </c>
      <c r="S3499" s="75" t="str">
        <f>IF(AND($O3499=$Q$7,$B3499&lt;'111'!$L$11),"x","")</f>
        <v>x</v>
      </c>
      <c r="T3499" s="75" t="str">
        <f>IF(ISERROR(FIND('112'!$M$9,G3499,1)),"",IF((AND(FIND('112'!$M$9,G3499,1)&gt;=1,B3499='112'!$K$9,OR($N3499='112'!$I$6,$O3499='112'!$I$6))),"x",""))</f>
        <v/>
      </c>
      <c r="U3499" s="75" t="str">
        <f>IF(ISERROR(FIND('112'!$M$9,G3499,1)),"",IF((AND(LEFT(G3499,2)=LEFT('112'!$M$9,2),B3499&lt;'112'!$K$9,$N3499='112'!$I$6)),"x",""))</f>
        <v/>
      </c>
      <c r="V3499" s="75" t="str">
        <f>IF(ISERROR(FIND('112'!$M$9,G3499,1)),"",IF((AND(RIGHT(G3499,2)=RIGHT('112'!$M$9,2),B3499&lt;'112'!$K$9,$O3499='112'!$I$6)),"x",""))</f>
        <v/>
      </c>
      <c r="W3499" s="75" t="str">
        <f>IF(AND('341-CT'!$H$9=H3499,OR(LEFT(N3499,3)=$W$7,LEFT(O3499,3)=$W$7)),"x","")</f>
        <v/>
      </c>
      <c r="X3499" s="75" t="str">
        <f>IF(OR(TH!N3446=TH!$X$7,O3499=TH!$X$7),"x","")</f>
        <v/>
      </c>
      <c r="Y3499" s="75" t="str">
        <f>IF(AND(OR(N3499="131",O3499="131"),H3499='131-CT'!$H$9),"x","")</f>
        <v/>
      </c>
      <c r="Z3499" s="75"/>
      <c r="AA3499" s="75" t="str">
        <f>IF(AND(MONTH(E3499)='IN-NX'!$J$5,'IN-NX'!$D$7=D3499),"x","")</f>
        <v/>
      </c>
      <c r="AB3499" s="75" t="str">
        <f>IF(AND(OR(LEFT(TH!N3446,2)="15",LEFT(TH!O3446,2)="15"),LEFT(TH!O3446,3)&lt;&gt;"111",'152-CT'!$J$8=TH!F3446),"x","")</f>
        <v/>
      </c>
      <c r="AC3499" s="75" t="str">
        <f>IF(AND(OR(LEFT(TH!N3446,2)="15",LEFT(TH!O3446,2)="15"),TK!$E$7=TH!F3446),"x","")</f>
        <v/>
      </c>
      <c r="AD3499" s="75" t="str">
        <f>IF(AND(N3499="1521",MONTH(C3499)='BK-NL'!$M$11),"x","")</f>
        <v/>
      </c>
    </row>
    <row r="3500" spans="1:33" ht="16.5" customHeight="1">
      <c r="A3500" s="309" t="str">
        <f>IF(B3500&lt;&gt;"",IF(AND(B3500='IN-TC'!$S$4,OR(TH!N3500="1111",TH!O3500="1111")),TH!D3500,""),"")</f>
        <v/>
      </c>
      <c r="B3500" s="1058">
        <f t="shared" si="1292"/>
        <v>1</v>
      </c>
      <c r="C3500" s="292">
        <f t="shared" si="1293"/>
        <v>42751</v>
      </c>
      <c r="D3500" s="292" t="s">
        <v>1940</v>
      </c>
      <c r="E3500" s="929">
        <v>42751</v>
      </c>
      <c r="F3500" s="1126" t="s">
        <v>1165</v>
      </c>
      <c r="G3500" s="931" t="s">
        <v>1147</v>
      </c>
      <c r="H3500" s="296" t="s">
        <v>796</v>
      </c>
      <c r="I3500" s="371"/>
      <c r="J3500" s="932"/>
      <c r="K3500" s="371"/>
      <c r="L3500" s="377"/>
      <c r="M3500" s="933">
        <v>18952450</v>
      </c>
      <c r="N3500" s="934" t="s">
        <v>8</v>
      </c>
      <c r="O3500" s="934" t="s">
        <v>63</v>
      </c>
      <c r="P3500" s="75" t="str">
        <f>IF(AND('331-CT'!$E$7=TH!H3447,OR(N3500="331",O3500="331")),"x","")</f>
        <v/>
      </c>
      <c r="Q3500" s="75" t="str">
        <f>IF(AND(B3500='111'!$L$11,OR($N3500=$Q$7,$O3500=$Q$7)),"x","")</f>
        <v/>
      </c>
      <c r="R3500" s="75" t="str">
        <f>IF(AND($N3500=$Q$7,$B3500&lt;'111'!$L$11),"x","")</f>
        <v/>
      </c>
      <c r="S3500" s="75" t="str">
        <f>IF(AND($O3500=$Q$7,$B3500&lt;'111'!$L$11),"x","")</f>
        <v>x</v>
      </c>
      <c r="T3500" s="75" t="str">
        <f>IF(ISERROR(FIND('112'!$M$9,G3500,1)),"",IF((AND(FIND('112'!$M$9,G3500,1)&gt;=1,B3500='112'!$K$9,OR($N3500='112'!$I$6,$O3500='112'!$I$6))),"x",""))</f>
        <v/>
      </c>
      <c r="U3500" s="75" t="str">
        <f>IF(ISERROR(FIND('112'!$M$9,G3500,1)),"",IF((AND(LEFT(G3500,2)=LEFT('112'!$M$9,2),B3500&lt;'112'!$K$9,$N3500='112'!$I$6)),"x",""))</f>
        <v/>
      </c>
      <c r="V3500" s="75" t="str">
        <f>IF(ISERROR(FIND('112'!$M$9,G3500,1)),"",IF((AND(RIGHT(G3500,2)=RIGHT('112'!$M$9,2),B3500&lt;'112'!$K$9,$O3500='112'!$I$6)),"x",""))</f>
        <v/>
      </c>
      <c r="W3500" s="75" t="str">
        <f>IF(AND('341-CT'!$H$9=H3500,OR(LEFT(N3500,3)=$W$7,LEFT(O3500,3)=$W$7)),"x","")</f>
        <v/>
      </c>
      <c r="X3500" s="75" t="str">
        <f>IF(OR(TH!N3447=TH!$X$7,O3500=TH!$X$7),"x","")</f>
        <v/>
      </c>
      <c r="Y3500" s="75" t="str">
        <f>IF(AND(OR(N3500="131",O3500="131"),H3500='131-CT'!$H$9),"x","")</f>
        <v/>
      </c>
      <c r="Z3500" s="75"/>
      <c r="AA3500" s="75" t="str">
        <f>IF(AND(MONTH(E3500)='IN-NX'!$J$5,'IN-NX'!$D$7=D3500),"x","")</f>
        <v/>
      </c>
      <c r="AB3500" s="75" t="str">
        <f>IF(AND(OR(LEFT(TH!N3447,2)="15",LEFT(TH!O3447,2)="15"),LEFT(TH!O3447,3)&lt;&gt;"111",'152-CT'!$J$8=TH!F3447),"x","")</f>
        <v/>
      </c>
      <c r="AC3500" s="75" t="str">
        <f>IF(AND(OR(LEFT(TH!N3447,2)="15",LEFT(TH!O3447,2)="15"),TK!$E$7=TH!F3447),"x","")</f>
        <v/>
      </c>
      <c r="AD3500" s="75" t="str">
        <f>IF(AND(N3500="1521",MONTH(C3500)='BK-NL'!$M$11),"x","")</f>
        <v/>
      </c>
    </row>
    <row r="3501" spans="1:33" ht="16.5" customHeight="1">
      <c r="A3501" s="309" t="str">
        <f>IF(B3501&lt;&gt;"",IF(AND(B3501='IN-TC'!$S$4,OR(TH!N3501="1111",TH!O3501="1111")),TH!D3501,""),"")</f>
        <v/>
      </c>
      <c r="B3501" s="1058">
        <f t="shared" si="1292"/>
        <v>1</v>
      </c>
      <c r="C3501" s="292">
        <f t="shared" si="1293"/>
        <v>42751</v>
      </c>
      <c r="D3501" s="292" t="s">
        <v>846</v>
      </c>
      <c r="E3501" s="292">
        <v>42751</v>
      </c>
      <c r="F3501" s="293" t="s">
        <v>834</v>
      </c>
      <c r="G3501" s="943" t="s">
        <v>747</v>
      </c>
      <c r="H3501" s="67" t="s">
        <v>1023</v>
      </c>
      <c r="I3501" s="73"/>
      <c r="J3501" s="926"/>
      <c r="K3501" s="373"/>
      <c r="L3501" s="379"/>
      <c r="M3501" s="927">
        <v>2300000000</v>
      </c>
      <c r="N3501" s="295" t="s">
        <v>63</v>
      </c>
      <c r="O3501" s="295" t="s">
        <v>26</v>
      </c>
      <c r="P3501" s="75" t="str">
        <f>IF(AND('331-CT'!$E$7=TH!H4945,OR(N3501="331",O3501="331")),"x","")</f>
        <v/>
      </c>
      <c r="Q3501" s="75" t="str">
        <f>IF(AND(B3501='111'!$L$11,OR($N3501=$Q$7,$O3501=$Q$7)),"x","")</f>
        <v/>
      </c>
      <c r="R3501" s="75" t="str">
        <f>IF(AND($N3501=$Q$7,$B3501&lt;'111'!$L$11),"x","")</f>
        <v>x</v>
      </c>
      <c r="S3501" s="75" t="str">
        <f>IF(AND($O3501=$Q$7,$B3501&lt;'111'!$L$11),"x","")</f>
        <v/>
      </c>
      <c r="T3501" s="75" t="str">
        <f>IF(ISERROR(FIND('112'!$M$9,G3501,1)),"",IF((AND(FIND('112'!$M$9,G3501,1)&gt;=1,B3501='112'!$K$9,OR($N3501='112'!$I$6,$O3501='112'!$I$6))),"x",""))</f>
        <v/>
      </c>
      <c r="U3501" s="75" t="str">
        <f>IF(ISERROR(FIND('112'!$M$9,G3501,1)),"",IF((AND(LEFT(G3501,2)=LEFT('112'!$M$9,2),B3501&lt;'112'!$K$9,$N3501='112'!$I$6)),"x",""))</f>
        <v/>
      </c>
      <c r="V3501" s="75" t="str">
        <f>IF(ISERROR(FIND('112'!$M$9,G3501,1)),"",IF((AND(RIGHT(G3501,2)=RIGHT('112'!$M$9,2),B3501&lt;'112'!$K$9,$O3501='112'!$I$6)),"x",""))</f>
        <v/>
      </c>
      <c r="W3501" s="75" t="str">
        <f>IF(AND('341-CT'!$H$9=H3501,OR(LEFT(N3501,3)=$W$7,LEFT(O3501,3)=$W$7)),"x","")</f>
        <v/>
      </c>
      <c r="X3501" s="75" t="str">
        <f>IF(OR(TH!N4945=TH!$X$7,O3501=TH!$X$7),"x","")</f>
        <v/>
      </c>
      <c r="Y3501" s="75" t="str">
        <f>IF(AND(OR(N3501="131",O3501="131"),H3501='131-CT'!$H$9),"x","")</f>
        <v/>
      </c>
      <c r="Z3501" s="75"/>
      <c r="AA3501" s="75" t="str">
        <f>IF(AND(MONTH(E3501)='IN-NX'!$J$5,'IN-NX'!$D$7=D3501),"x","")</f>
        <v/>
      </c>
      <c r="AB3501" s="75" t="str">
        <f>IF(AND(OR(LEFT(TH!N4945,2)="15",LEFT(TH!O4945,2)="15"),LEFT(TH!O4945,3)&lt;&gt;"111",'152-CT'!$J$8=TH!F4945),"x","")</f>
        <v/>
      </c>
      <c r="AC3501" s="75" t="str">
        <f>IF(AND(OR(LEFT(TH!N4945,2)="15",LEFT(TH!O4945,2)="15"),TK!$E$7=TH!F4945),"x","")</f>
        <v/>
      </c>
      <c r="AD3501" s="75" t="str">
        <f>IF(AND(N3501="1521",MONTH(C3501)='BK-NL'!$M$11),"x","")</f>
        <v/>
      </c>
    </row>
    <row r="3502" spans="1:33" ht="16.5" customHeight="1">
      <c r="A3502" s="309" t="str">
        <f>IF(B3502&lt;&gt;"",IF(AND(B3502='IN-TC'!$S$4,OR(TH!N3502="1111",TH!O3502="1111")),TH!D3502,""),"")</f>
        <v/>
      </c>
      <c r="B3502" s="1058">
        <f t="shared" si="1292"/>
        <v>1</v>
      </c>
      <c r="C3502" s="292">
        <f t="shared" si="1293"/>
        <v>42751</v>
      </c>
      <c r="D3502" s="292" t="s">
        <v>902</v>
      </c>
      <c r="E3502" s="292">
        <v>42751</v>
      </c>
      <c r="F3502" s="293" t="s">
        <v>908</v>
      </c>
      <c r="G3502" s="943" t="s">
        <v>747</v>
      </c>
      <c r="H3502" s="67" t="s">
        <v>835</v>
      </c>
      <c r="I3502" s="73"/>
      <c r="J3502" s="926"/>
      <c r="K3502" s="373"/>
      <c r="L3502" s="379"/>
      <c r="M3502" s="927">
        <v>226000</v>
      </c>
      <c r="N3502" s="295" t="s">
        <v>101</v>
      </c>
      <c r="O3502" s="295" t="s">
        <v>26</v>
      </c>
      <c r="P3502" s="75" t="str">
        <f>IF(AND('331-CT'!$E$7=TH!H4946,OR(N3502="331",O3502="331")),"x","")</f>
        <v/>
      </c>
      <c r="Q3502" s="75" t="str">
        <f>IF(AND(B3502='111'!$L$11,OR($N3502=$Q$7,$O3502=$Q$7)),"x","")</f>
        <v/>
      </c>
      <c r="R3502" s="75" t="str">
        <f>IF(AND($N3502=$Q$7,$B3502&lt;'111'!$L$11),"x","")</f>
        <v/>
      </c>
      <c r="S3502" s="75" t="str">
        <f>IF(AND($O3502=$Q$7,$B3502&lt;'111'!$L$11),"x","")</f>
        <v/>
      </c>
      <c r="T3502" s="75" t="str">
        <f>IF(ISERROR(FIND('112'!$M$9,G3502,1)),"",IF((AND(FIND('112'!$M$9,G3502,1)&gt;=1,B3502='112'!$K$9,OR($N3502='112'!$I$6,$O3502='112'!$I$6))),"x",""))</f>
        <v/>
      </c>
      <c r="U3502" s="75" t="str">
        <f>IF(ISERROR(FIND('112'!$M$9,G3502,1)),"",IF((AND(LEFT(G3502,2)=LEFT('112'!$M$9,2),B3502&lt;'112'!$K$9,$N3502='112'!$I$6)),"x",""))</f>
        <v/>
      </c>
      <c r="V3502" s="75" t="str">
        <f>IF(ISERROR(FIND('112'!$M$9,G3502,1)),"",IF((AND(RIGHT(G3502,2)=RIGHT('112'!$M$9,2),B3502&lt;'112'!$K$9,$O3502='112'!$I$6)),"x",""))</f>
        <v/>
      </c>
      <c r="W3502" s="75" t="str">
        <f>IF(AND('341-CT'!$H$9=H3502,OR(LEFT(N3502,3)=$W$7,LEFT(O3502,3)=$W$7)),"x","")</f>
        <v/>
      </c>
      <c r="X3502" s="75" t="str">
        <f>IF(OR(TH!N4946=TH!$X$7,O3502=TH!$X$7),"x","")</f>
        <v/>
      </c>
      <c r="Y3502" s="75" t="str">
        <f>IF(AND(OR(N3502="131",O3502="131"),H3502='131-CT'!$H$9),"x","")</f>
        <v/>
      </c>
      <c r="Z3502" s="75"/>
      <c r="AA3502" s="75" t="str">
        <f>IF(AND(MONTH(E3502)='IN-NX'!$J$5,'IN-NX'!$D$7=D3502),"x","")</f>
        <v/>
      </c>
      <c r="AB3502" s="75" t="str">
        <f>IF(AND(OR(LEFT(TH!N4946,2)="15",LEFT(TH!O4946,2)="15"),LEFT(TH!O4946,3)&lt;&gt;"111",'152-CT'!$J$8=TH!F4946),"x","")</f>
        <v/>
      </c>
      <c r="AC3502" s="75" t="str">
        <f>IF(AND(OR(LEFT(TH!N4946,2)="15",LEFT(TH!O4946,2)="15"),TK!$E$7=TH!F4946),"x","")</f>
        <v/>
      </c>
      <c r="AD3502" s="75" t="str">
        <f>IF(AND(N3502="1521",MONTH(C3502)='BK-NL'!$M$11),"x","")</f>
        <v/>
      </c>
    </row>
    <row r="3503" spans="1:33" ht="16.5" customHeight="1">
      <c r="A3503" s="309" t="str">
        <f>IF(B3503&lt;&gt;"",IF(AND(B3503='IN-TC'!$S$4,OR(TH!N3503="1111",TH!O3503="1111")),TH!D3503,""),"")</f>
        <v/>
      </c>
      <c r="B3503" s="1058">
        <f t="shared" si="1292"/>
        <v>1</v>
      </c>
      <c r="C3503" s="292">
        <f t="shared" si="1293"/>
        <v>42751</v>
      </c>
      <c r="D3503" s="292" t="s">
        <v>903</v>
      </c>
      <c r="E3503" s="292">
        <v>42751</v>
      </c>
      <c r="F3503" s="293" t="s">
        <v>2432</v>
      </c>
      <c r="G3503" s="943" t="s">
        <v>747</v>
      </c>
      <c r="H3503" s="962" t="s">
        <v>2444</v>
      </c>
      <c r="I3503" s="73"/>
      <c r="J3503" s="926"/>
      <c r="K3503" s="373">
        <v>102600</v>
      </c>
      <c r="L3503" s="379">
        <v>22558</v>
      </c>
      <c r="M3503" s="927">
        <f>ROUND(L3503*K3503,0)</f>
        <v>2314450800</v>
      </c>
      <c r="N3503" s="295" t="s">
        <v>26</v>
      </c>
      <c r="O3503" s="295" t="s">
        <v>250</v>
      </c>
      <c r="P3503" s="75" t="str">
        <f>IF(AND('331-CT'!$E$7=TH!H4947,OR(N3503="331",O3503="331")),"x","")</f>
        <v/>
      </c>
      <c r="Q3503" s="75" t="str">
        <f>IF(AND(B3503='111'!$L$11,OR($N3503=$Q$7,$O3503=$Q$7)),"x","")</f>
        <v/>
      </c>
      <c r="R3503" s="75" t="str">
        <f>IF(AND($N3503=$Q$7,$B3503&lt;'111'!$L$11),"x","")</f>
        <v/>
      </c>
      <c r="S3503" s="75" t="str">
        <f>IF(AND($O3503=$Q$7,$B3503&lt;'111'!$L$11),"x","")</f>
        <v/>
      </c>
      <c r="T3503" s="75" t="str">
        <f>IF(ISERROR(FIND('112'!$M$9,G3503,1)),"",IF((AND(FIND('112'!$M$9,G3503,1)&gt;=1,B3503='112'!$K$9,OR($N3503='112'!$I$6,$O3503='112'!$I$6))),"x",""))</f>
        <v/>
      </c>
      <c r="U3503" s="75" t="str">
        <f>IF(ISERROR(FIND('112'!$M$9,G3503,1)),"",IF((AND(LEFT(G3503,2)=LEFT('112'!$M$9,2),B3503&lt;'112'!$K$9,$N3503='112'!$I$6)),"x",""))</f>
        <v/>
      </c>
      <c r="V3503" s="75" t="str">
        <f>IF(ISERROR(FIND('112'!$M$9,G3503,1)),"",IF((AND(RIGHT(G3503,2)=RIGHT('112'!$M$9,2),B3503&lt;'112'!$K$9,$O3503='112'!$I$6)),"x",""))</f>
        <v/>
      </c>
      <c r="W3503" s="75" t="str">
        <f>IF(AND('341-CT'!$H$9=H3503,OR(LEFT(N3503,3)=$W$7,LEFT(O3503,3)=$W$7)),"x","")</f>
        <v/>
      </c>
      <c r="X3503" s="75" t="str">
        <f>IF(OR(TH!N4947=TH!$X$7,O3503=TH!$X$7),"x","")</f>
        <v/>
      </c>
      <c r="Y3503" s="75" t="str">
        <f>IF(AND(OR(N3503="131",O3503="131"),H3503='131-CT'!$H$9),"x","")</f>
        <v/>
      </c>
      <c r="Z3503" s="75"/>
      <c r="AA3503" s="75" t="str">
        <f>IF(AND(MONTH(E3503)='IN-NX'!$J$5,'IN-NX'!$D$7=D3503),"x","")</f>
        <v/>
      </c>
      <c r="AB3503" s="75" t="str">
        <f>IF(AND(OR(LEFT(TH!N4947,2)="15",LEFT(TH!O4947,2)="15"),LEFT(TH!O4947,3)&lt;&gt;"111",'152-CT'!$J$8=TH!F4947),"x","")</f>
        <v/>
      </c>
      <c r="AC3503" s="75" t="str">
        <f>IF(AND(OR(LEFT(TH!N4947,2)="15",LEFT(TH!O4947,2)="15"),TK!$E$7=TH!F4947),"x","")</f>
        <v/>
      </c>
      <c r="AD3503" s="75" t="str">
        <f>IF(AND(N3503="1521",MONTH(C3503)='BK-NL'!$M$11),"x","")</f>
        <v/>
      </c>
    </row>
    <row r="3504" spans="1:33" ht="16.5" customHeight="1">
      <c r="A3504" s="309" t="str">
        <f>IF(B3504&lt;&gt;"",IF(AND(B3504='IN-TC'!$S$4,OR(TH!N3504="1111",TH!O3504="1111")),TH!D3504,""),"")</f>
        <v/>
      </c>
      <c r="B3504" s="1058">
        <f t="shared" si="1292"/>
        <v>1</v>
      </c>
      <c r="C3504" s="292">
        <f t="shared" si="1293"/>
        <v>42752</v>
      </c>
      <c r="D3504" s="292" t="s">
        <v>902</v>
      </c>
      <c r="E3504" s="292">
        <v>42752</v>
      </c>
      <c r="F3504" s="62" t="s">
        <v>909</v>
      </c>
      <c r="G3504" s="62" t="s">
        <v>747</v>
      </c>
      <c r="H3504" s="67" t="s">
        <v>835</v>
      </c>
      <c r="I3504" s="73"/>
      <c r="J3504" s="926"/>
      <c r="K3504" s="373"/>
      <c r="L3504" s="379"/>
      <c r="M3504" s="927">
        <v>1284742</v>
      </c>
      <c r="N3504" s="295" t="s">
        <v>101</v>
      </c>
      <c r="O3504" s="295" t="s">
        <v>26</v>
      </c>
      <c r="P3504" s="75" t="str">
        <f>IF(AND('331-CT'!$E$7=TH!H4948,OR(N3504="331",O3504="331")),"x","")</f>
        <v/>
      </c>
      <c r="Q3504" s="75" t="str">
        <f>IF(AND(B3504='111'!$L$11,OR($N3504=$Q$7,$O3504=$Q$7)),"x","")</f>
        <v/>
      </c>
      <c r="R3504" s="75" t="str">
        <f>IF(AND($N3504=$Q$7,$B3504&lt;'111'!$L$11),"x","")</f>
        <v/>
      </c>
      <c r="S3504" s="75" t="str">
        <f>IF(AND($O3504=$Q$7,$B3504&lt;'111'!$L$11),"x","")</f>
        <v/>
      </c>
      <c r="T3504" s="75" t="str">
        <f>IF(ISERROR(FIND('112'!$M$9,G3504,1)),"",IF((AND(FIND('112'!$M$9,G3504,1)&gt;=1,B3504='112'!$K$9,OR($N3504='112'!$I$6,$O3504='112'!$I$6))),"x",""))</f>
        <v/>
      </c>
      <c r="U3504" s="75" t="str">
        <f>IF(ISERROR(FIND('112'!$M$9,G3504,1)),"",IF((AND(LEFT(G3504,2)=LEFT('112'!$M$9,2),B3504&lt;'112'!$K$9,$N3504='112'!$I$6)),"x",""))</f>
        <v/>
      </c>
      <c r="V3504" s="75" t="str">
        <f>IF(ISERROR(FIND('112'!$M$9,G3504,1)),"",IF((AND(RIGHT(G3504,2)=RIGHT('112'!$M$9,2),B3504&lt;'112'!$K$9,$O3504='112'!$I$6)),"x",""))</f>
        <v/>
      </c>
      <c r="W3504" s="75" t="str">
        <f>IF(AND('341-CT'!$H$9=H3504,OR(LEFT(N3504,3)=$W$7,LEFT(O3504,3)=$W$7)),"x","")</f>
        <v/>
      </c>
      <c r="X3504" s="75" t="str">
        <f>IF(OR(TH!N4948=TH!$X$7,O3504=TH!$X$7),"x","")</f>
        <v>x</v>
      </c>
      <c r="Y3504" s="75" t="str">
        <f>IF(AND(OR(N3504="131",O3504="131"),H3504='131-CT'!$H$9),"x","")</f>
        <v/>
      </c>
      <c r="Z3504" s="75"/>
      <c r="AA3504" s="75" t="str">
        <f>IF(AND(MONTH(E3504)='IN-NX'!$J$5,'IN-NX'!$D$7=D3504),"x","")</f>
        <v/>
      </c>
      <c r="AB3504" s="75" t="str">
        <f>IF(AND(OR(LEFT(TH!N4948,2)="15",LEFT(TH!O4948,2)="15"),LEFT(TH!O4948,3)&lt;&gt;"111",'152-CT'!$J$8=TH!F4948),"x","")</f>
        <v/>
      </c>
      <c r="AC3504" s="75" t="str">
        <f>IF(AND(OR(LEFT(TH!N4948,2)="15",LEFT(TH!O4948,2)="15"),TK!$E$7=TH!F4948),"x","")</f>
        <v/>
      </c>
      <c r="AD3504" s="75" t="str">
        <f>IF(AND(N3504="1521",MONTH(C3504)='BK-NL'!$M$11),"x","")</f>
        <v/>
      </c>
    </row>
    <row r="3505" spans="1:30" ht="16.5" customHeight="1">
      <c r="A3505" s="309" t="str">
        <f>IF(B3505&lt;&gt;"",IF(AND(B3505='IN-TC'!$S$4,OR(TH!N3505="1111",TH!O3505="1111")),TH!D3505,""),"")</f>
        <v/>
      </c>
      <c r="B3505" s="1058">
        <f t="shared" si="1292"/>
        <v>1</v>
      </c>
      <c r="C3505" s="292">
        <f t="shared" si="1293"/>
        <v>42753</v>
      </c>
      <c r="D3505" s="292" t="s">
        <v>1941</v>
      </c>
      <c r="E3505" s="929">
        <v>42753</v>
      </c>
      <c r="F3505" s="73" t="s">
        <v>1165</v>
      </c>
      <c r="G3505" s="931" t="s">
        <v>1148</v>
      </c>
      <c r="H3505" s="296" t="s">
        <v>796</v>
      </c>
      <c r="I3505" s="371"/>
      <c r="J3505" s="932"/>
      <c r="K3505" s="371"/>
      <c r="L3505" s="377"/>
      <c r="M3505" s="933">
        <v>18905700</v>
      </c>
      <c r="N3505" s="934" t="s">
        <v>8</v>
      </c>
      <c r="O3505" s="934" t="s">
        <v>63</v>
      </c>
      <c r="P3505" s="75" t="str">
        <f>IF(AND('331-CT'!$E$7=TH!H3448,OR(N3505="331",O3505="331")),"x","")</f>
        <v/>
      </c>
      <c r="Q3505" s="75" t="str">
        <f>IF(AND(B3505='111'!$L$11,OR($N3505=$Q$7,$O3505=$Q$7)),"x","")</f>
        <v/>
      </c>
      <c r="R3505" s="75" t="str">
        <f>IF(AND($N3505=$Q$7,$B3505&lt;'111'!$L$11),"x","")</f>
        <v/>
      </c>
      <c r="S3505" s="75" t="str">
        <f>IF(AND($O3505=$Q$7,$B3505&lt;'111'!$L$11),"x","")</f>
        <v>x</v>
      </c>
      <c r="T3505" s="75" t="str">
        <f>IF(ISERROR(FIND('112'!$M$9,G3505,1)),"",IF((AND(FIND('112'!$M$9,G3505,1)&gt;=1,B3505='112'!$K$9,OR($N3505='112'!$I$6,$O3505='112'!$I$6))),"x",""))</f>
        <v/>
      </c>
      <c r="U3505" s="75" t="str">
        <f>IF(ISERROR(FIND('112'!$M$9,G3505,1)),"",IF((AND(LEFT(G3505,2)=LEFT('112'!$M$9,2),B3505&lt;'112'!$K$9,$N3505='112'!$I$6)),"x",""))</f>
        <v/>
      </c>
      <c r="V3505" s="75" t="str">
        <f>IF(ISERROR(FIND('112'!$M$9,G3505,1)),"",IF((AND(RIGHT(G3505,2)=RIGHT('112'!$M$9,2),B3505&lt;'112'!$K$9,$O3505='112'!$I$6)),"x",""))</f>
        <v/>
      </c>
      <c r="W3505" s="75" t="str">
        <f>IF(AND('341-CT'!$H$9=H3505,OR(LEFT(N3505,3)=$W$7,LEFT(O3505,3)=$W$7)),"x","")</f>
        <v/>
      </c>
      <c r="X3505" s="75" t="str">
        <f>IF(OR(TH!N3448=TH!$X$7,O3505=TH!$X$7),"x","")</f>
        <v/>
      </c>
      <c r="Y3505" s="75" t="str">
        <f>IF(AND(OR(N3505="131",O3505="131"),H3505='131-CT'!$H$9),"x","")</f>
        <v/>
      </c>
      <c r="Z3505" s="75"/>
      <c r="AA3505" s="75" t="str">
        <f>IF(AND(MONTH(E3505)='IN-NX'!$J$5,'IN-NX'!$D$7=D3505),"x","")</f>
        <v/>
      </c>
      <c r="AB3505" s="75" t="str">
        <f>IF(AND(OR(LEFT(TH!N3448,2)="15",LEFT(TH!O3448,2)="15"),LEFT(TH!O3448,3)&lt;&gt;"111",'152-CT'!$J$8=TH!F3448),"x","")</f>
        <v/>
      </c>
      <c r="AC3505" s="75" t="str">
        <f>IF(AND(OR(LEFT(TH!N3448,2)="15",LEFT(TH!O3448,2)="15"),TK!$E$7=TH!F3448),"x","")</f>
        <v/>
      </c>
      <c r="AD3505" s="75" t="str">
        <f>IF(AND(N3505="1521",MONTH(C3505)='BK-NL'!$M$11),"x","")</f>
        <v/>
      </c>
    </row>
    <row r="3506" spans="1:30" ht="16.5" customHeight="1">
      <c r="A3506" s="309" t="str">
        <f>IF(B3506&lt;&gt;"",IF(AND(B3506='IN-TC'!$S$4,OR(TH!N3506="1111",TH!O3506="1111")),TH!D3506,""),"")</f>
        <v/>
      </c>
      <c r="B3506" s="1058">
        <f t="shared" si="1292"/>
        <v>1</v>
      </c>
      <c r="C3506" s="292">
        <f t="shared" si="1293"/>
        <v>42753</v>
      </c>
      <c r="D3506" s="292" t="s">
        <v>1942</v>
      </c>
      <c r="E3506" s="292">
        <v>42753</v>
      </c>
      <c r="F3506" s="293" t="s">
        <v>959</v>
      </c>
      <c r="G3506" s="925" t="s">
        <v>961</v>
      </c>
      <c r="H3506" s="67" t="s">
        <v>962</v>
      </c>
      <c r="I3506" s="373"/>
      <c r="J3506" s="926"/>
      <c r="K3506" s="373"/>
      <c r="L3506" s="379"/>
      <c r="M3506" s="927">
        <v>1460000</v>
      </c>
      <c r="N3506" s="295" t="s">
        <v>101</v>
      </c>
      <c r="O3506" s="295" t="s">
        <v>63</v>
      </c>
      <c r="P3506" s="75" t="str">
        <f>IF(AND('331-CT'!$E$7=TH!H3449,OR(N3506="331",O3506="331")),"x","")</f>
        <v/>
      </c>
      <c r="Q3506" s="75" t="str">
        <f>IF(AND(B3506='111'!$L$11,OR($N3506=$Q$7,$O3506=$Q$7)),"x","")</f>
        <v/>
      </c>
      <c r="R3506" s="75" t="str">
        <f>IF(AND($N3506=$Q$7,$B3506&lt;'111'!$L$11),"x","")</f>
        <v/>
      </c>
      <c r="S3506" s="75" t="str">
        <f>IF(AND($O3506=$Q$7,$B3506&lt;'111'!$L$11),"x","")</f>
        <v>x</v>
      </c>
      <c r="T3506" s="75" t="str">
        <f>IF(ISERROR(FIND('112'!$M$9,G3506,1)),"",IF((AND(FIND('112'!$M$9,G3506,1)&gt;=1,B3506='112'!$K$9,OR($N3506='112'!$I$6,$O3506='112'!$I$6))),"x",""))</f>
        <v/>
      </c>
      <c r="U3506" s="75" t="str">
        <f>IF(ISERROR(FIND('112'!$M$9,G3506,1)),"",IF((AND(LEFT(G3506,2)=LEFT('112'!$M$9,2),B3506&lt;'112'!$K$9,$N3506='112'!$I$6)),"x",""))</f>
        <v/>
      </c>
      <c r="V3506" s="75" t="str">
        <f>IF(ISERROR(FIND('112'!$M$9,G3506,1)),"",IF((AND(RIGHT(G3506,2)=RIGHT('112'!$M$9,2),B3506&lt;'112'!$K$9,$O3506='112'!$I$6)),"x",""))</f>
        <v/>
      </c>
      <c r="W3506" s="75" t="str">
        <f>IF(AND('341-CT'!$H$9=H3506,OR(LEFT(N3506,3)=$W$7,LEFT(O3506,3)=$W$7)),"x","")</f>
        <v/>
      </c>
      <c r="X3506" s="75" t="str">
        <f>IF(OR(TH!N3449=TH!$X$7,O3506=TH!$X$7),"x","")</f>
        <v/>
      </c>
      <c r="Y3506" s="75" t="str">
        <f>IF(AND(OR(N3506="131",O3506="131"),H3506='131-CT'!$H$9),"x","")</f>
        <v/>
      </c>
      <c r="Z3506" s="75"/>
      <c r="AA3506" s="75" t="str">
        <f>IF(AND(MONTH(E3506)='IN-NX'!$J$5,'IN-NX'!$D$7=D3506),"x","")</f>
        <v/>
      </c>
      <c r="AB3506" s="75" t="str">
        <f>IF(AND(OR(LEFT(TH!N3449,2)="15",LEFT(TH!O3449,2)="15"),LEFT(TH!O3449,3)&lt;&gt;"111",'152-CT'!$J$8=TH!F3449),"x","")</f>
        <v/>
      </c>
      <c r="AC3506" s="75" t="str">
        <f>IF(AND(OR(LEFT(TH!N3449,2)="15",LEFT(TH!O3449,2)="15"),TK!$E$7=TH!F3449),"x","")</f>
        <v/>
      </c>
      <c r="AD3506" s="75" t="str">
        <f>IF(AND(N3506="1521",MONTH(C3506)='BK-NL'!$M$11),"x","")</f>
        <v/>
      </c>
    </row>
    <row r="3507" spans="1:30" ht="16.5" customHeight="1">
      <c r="A3507" s="309" t="str">
        <f>IF(B3507&lt;&gt;"",IF(AND(B3507='IN-TC'!$S$4,OR(TH!N3507="1111",TH!O3507="1111")),TH!D3507,""),"")</f>
        <v/>
      </c>
      <c r="B3507" s="1058">
        <f t="shared" si="1292"/>
        <v>1</v>
      </c>
      <c r="C3507" s="292">
        <f t="shared" si="1293"/>
        <v>42753</v>
      </c>
      <c r="D3507" s="292" t="s">
        <v>1942</v>
      </c>
      <c r="E3507" s="292">
        <v>42753</v>
      </c>
      <c r="F3507" s="293" t="s">
        <v>960</v>
      </c>
      <c r="G3507" s="925" t="s">
        <v>961</v>
      </c>
      <c r="H3507" s="67" t="s">
        <v>962</v>
      </c>
      <c r="I3507" s="373"/>
      <c r="J3507" s="926"/>
      <c r="K3507" s="373"/>
      <c r="L3507" s="379"/>
      <c r="M3507" s="927">
        <v>146000</v>
      </c>
      <c r="N3507" s="295" t="s">
        <v>9</v>
      </c>
      <c r="O3507" s="295" t="s">
        <v>63</v>
      </c>
      <c r="P3507" s="75" t="str">
        <f>IF(AND('331-CT'!$E$7=TH!H3450,OR(N3507="331",O3507="331")),"x","")</f>
        <v/>
      </c>
      <c r="Q3507" s="75" t="str">
        <f>IF(AND(B3507='111'!$L$11,OR($N3507=$Q$7,$O3507=$Q$7)),"x","")</f>
        <v/>
      </c>
      <c r="R3507" s="75" t="str">
        <f>IF(AND($N3507=$Q$7,$B3507&lt;'111'!$L$11),"x","")</f>
        <v/>
      </c>
      <c r="S3507" s="75" t="str">
        <f>IF(AND($O3507=$Q$7,$B3507&lt;'111'!$L$11),"x","")</f>
        <v>x</v>
      </c>
      <c r="T3507" s="75" t="str">
        <f>IF(ISERROR(FIND('112'!$M$9,G3507,1)),"",IF((AND(FIND('112'!$M$9,G3507,1)&gt;=1,B3507='112'!$K$9,OR($N3507='112'!$I$6,$O3507='112'!$I$6))),"x",""))</f>
        <v/>
      </c>
      <c r="U3507" s="75" t="str">
        <f>IF(ISERROR(FIND('112'!$M$9,G3507,1)),"",IF((AND(LEFT(G3507,2)=LEFT('112'!$M$9,2),B3507&lt;'112'!$K$9,$N3507='112'!$I$6)),"x",""))</f>
        <v/>
      </c>
      <c r="V3507" s="75" t="str">
        <f>IF(ISERROR(FIND('112'!$M$9,G3507,1)),"",IF((AND(RIGHT(G3507,2)=RIGHT('112'!$M$9,2),B3507&lt;'112'!$K$9,$O3507='112'!$I$6)),"x",""))</f>
        <v/>
      </c>
      <c r="W3507" s="75" t="str">
        <f>IF(AND('341-CT'!$H$9=H3507,OR(LEFT(N3507,3)=$W$7,LEFT(O3507,3)=$W$7)),"x","")</f>
        <v/>
      </c>
      <c r="X3507" s="75" t="str">
        <f>IF(OR(TH!N3450=TH!$X$7,O3507=TH!$X$7),"x","")</f>
        <v/>
      </c>
      <c r="Y3507" s="75" t="str">
        <f>IF(AND(OR(N3507="131",O3507="131"),H3507='131-CT'!$H$9),"x","")</f>
        <v/>
      </c>
      <c r="Z3507" s="75"/>
      <c r="AA3507" s="75" t="str">
        <f>IF(AND(MONTH(E3507)='IN-NX'!$J$5,'IN-NX'!$D$7=D3507),"x","")</f>
        <v/>
      </c>
      <c r="AB3507" s="75" t="str">
        <f>IF(AND(OR(LEFT(TH!N3450,2)="15",LEFT(TH!O3450,2)="15"),LEFT(TH!O3450,3)&lt;&gt;"111",'152-CT'!$J$8=TH!F3450),"x","")</f>
        <v/>
      </c>
      <c r="AC3507" s="75" t="str">
        <f>IF(AND(OR(LEFT(TH!N3450,2)="15",LEFT(TH!O3450,2)="15"),TK!$E$7=TH!F3450),"x","")</f>
        <v/>
      </c>
      <c r="AD3507" s="75" t="str">
        <f>IF(AND(N3507="1521",MONTH(C3507)='BK-NL'!$M$11),"x","")</f>
        <v/>
      </c>
    </row>
    <row r="3508" spans="1:30" ht="16.5" customHeight="1">
      <c r="A3508" s="309" t="str">
        <f>IF(B3508&lt;&gt;"",IF(AND(B3508='IN-TC'!$S$4,OR(TH!N3508="1111",TH!O3508="1111")),TH!D3508,""),"")</f>
        <v/>
      </c>
      <c r="B3508" s="1058">
        <f t="shared" si="1292"/>
        <v>1</v>
      </c>
      <c r="C3508" s="292">
        <f t="shared" si="1293"/>
        <v>42753</v>
      </c>
      <c r="D3508" s="292" t="s">
        <v>902</v>
      </c>
      <c r="E3508" s="292">
        <v>42753</v>
      </c>
      <c r="F3508" s="293" t="s">
        <v>910</v>
      </c>
      <c r="G3508" s="943" t="s">
        <v>747</v>
      </c>
      <c r="H3508" s="67" t="s">
        <v>835</v>
      </c>
      <c r="I3508" s="73"/>
      <c r="J3508" s="926"/>
      <c r="K3508" s="373"/>
      <c r="L3508" s="379"/>
      <c r="M3508" s="927">
        <v>226000</v>
      </c>
      <c r="N3508" s="295" t="s">
        <v>101</v>
      </c>
      <c r="O3508" s="295" t="s">
        <v>26</v>
      </c>
      <c r="P3508" s="75" t="str">
        <f>IF(AND('331-CT'!$E$7=TH!H4949,OR(N3508="331",O3508="331")),"x","")</f>
        <v/>
      </c>
      <c r="Q3508" s="75" t="str">
        <f>IF(AND(B3508='111'!$L$11,OR($N3508=$Q$7,$O3508=$Q$7)),"x","")</f>
        <v/>
      </c>
      <c r="R3508" s="75" t="str">
        <f>IF(AND($N3508=$Q$7,$B3508&lt;'111'!$L$11),"x","")</f>
        <v/>
      </c>
      <c r="S3508" s="75" t="str">
        <f>IF(AND($O3508=$Q$7,$B3508&lt;'111'!$L$11),"x","")</f>
        <v/>
      </c>
      <c r="T3508" s="75" t="str">
        <f>IF(ISERROR(FIND('112'!$M$9,G3508,1)),"",IF((AND(FIND('112'!$M$9,G3508,1)&gt;=1,B3508='112'!$K$9,OR($N3508='112'!$I$6,$O3508='112'!$I$6))),"x",""))</f>
        <v/>
      </c>
      <c r="U3508" s="75" t="str">
        <f>IF(ISERROR(FIND('112'!$M$9,G3508,1)),"",IF((AND(LEFT(G3508,2)=LEFT('112'!$M$9,2),B3508&lt;'112'!$K$9,$N3508='112'!$I$6)),"x",""))</f>
        <v/>
      </c>
      <c r="V3508" s="75" t="str">
        <f>IF(ISERROR(FIND('112'!$M$9,G3508,1)),"",IF((AND(RIGHT(G3508,2)=RIGHT('112'!$M$9,2),B3508&lt;'112'!$K$9,$O3508='112'!$I$6)),"x",""))</f>
        <v/>
      </c>
      <c r="W3508" s="75" t="str">
        <f>IF(AND('341-CT'!$H$9=H3508,OR(LEFT(N3508,3)=$W$7,LEFT(O3508,3)=$W$7)),"x","")</f>
        <v/>
      </c>
      <c r="X3508" s="75" t="str">
        <f>IF(OR(TH!N4949=TH!$X$7,O3508=TH!$X$7),"x","")</f>
        <v>x</v>
      </c>
      <c r="Y3508" s="75" t="str">
        <f>IF(AND(OR(N3508="131",O3508="131"),H3508='131-CT'!$H$9),"x","")</f>
        <v/>
      </c>
      <c r="Z3508" s="75"/>
      <c r="AA3508" s="75" t="str">
        <f>IF(AND(MONTH(E3508)='IN-NX'!$J$5,'IN-NX'!$D$7=D3508),"x","")</f>
        <v/>
      </c>
      <c r="AB3508" s="75" t="str">
        <f>IF(AND(OR(LEFT(TH!N4949,2)="15",LEFT(TH!O4949,2)="15"),LEFT(TH!O4949,3)&lt;&gt;"111",'152-CT'!$J$8=TH!F4949),"x","")</f>
        <v/>
      </c>
      <c r="AC3508" s="75" t="str">
        <f>IF(AND(OR(LEFT(TH!N4949,2)="15",LEFT(TH!O4949,2)="15"),TK!$E$7=TH!F4949),"x","")</f>
        <v/>
      </c>
      <c r="AD3508" s="75" t="str">
        <f>IF(AND(N3508="1521",MONTH(C3508)='BK-NL'!$M$11),"x","")</f>
        <v/>
      </c>
    </row>
    <row r="3509" spans="1:30" ht="16.5" customHeight="1">
      <c r="A3509" s="309" t="str">
        <f>IF(B3509&lt;&gt;"",IF(AND(B3509='IN-TC'!$S$4,OR(TH!N3509="1111",TH!O3509="1111")),TH!D3509,""),"")</f>
        <v/>
      </c>
      <c r="B3509" s="1058">
        <f t="shared" si="1292"/>
        <v>1</v>
      </c>
      <c r="C3509" s="292">
        <f t="shared" si="1293"/>
        <v>42754</v>
      </c>
      <c r="D3509" s="292" t="s">
        <v>1943</v>
      </c>
      <c r="E3509" s="292">
        <v>42754</v>
      </c>
      <c r="F3509" s="293" t="s">
        <v>890</v>
      </c>
      <c r="G3509" s="925" t="s">
        <v>963</v>
      </c>
      <c r="H3509" s="67" t="s">
        <v>893</v>
      </c>
      <c r="I3509" s="373"/>
      <c r="J3509" s="926"/>
      <c r="K3509" s="373"/>
      <c r="L3509" s="379"/>
      <c r="M3509" s="927">
        <v>1364618</v>
      </c>
      <c r="N3509" s="295" t="s">
        <v>101</v>
      </c>
      <c r="O3509" s="295" t="s">
        <v>63</v>
      </c>
      <c r="P3509" s="75" t="str">
        <f>IF(AND('331-CT'!$E$7=TH!H3451,OR(N3509="331",O3509="331")),"x","")</f>
        <v/>
      </c>
      <c r="Q3509" s="75" t="str">
        <f>IF(AND(B3509='111'!$L$11,OR($N3509=$Q$7,$O3509=$Q$7)),"x","")</f>
        <v/>
      </c>
      <c r="R3509" s="75" t="str">
        <f>IF(AND($N3509=$Q$7,$B3509&lt;'111'!$L$11),"x","")</f>
        <v/>
      </c>
      <c r="S3509" s="75" t="str">
        <f>IF(AND($O3509=$Q$7,$B3509&lt;'111'!$L$11),"x","")</f>
        <v>x</v>
      </c>
      <c r="T3509" s="75" t="str">
        <f>IF(ISERROR(FIND('112'!$M$9,G3509,1)),"",IF((AND(FIND('112'!$M$9,G3509,1)&gt;=1,B3509='112'!$K$9,OR($N3509='112'!$I$6,$O3509='112'!$I$6))),"x",""))</f>
        <v/>
      </c>
      <c r="U3509" s="75" t="str">
        <f>IF(ISERROR(FIND('112'!$M$9,G3509,1)),"",IF((AND(LEFT(G3509,2)=LEFT('112'!$M$9,2),B3509&lt;'112'!$K$9,$N3509='112'!$I$6)),"x",""))</f>
        <v/>
      </c>
      <c r="V3509" s="75" t="str">
        <f>IF(ISERROR(FIND('112'!$M$9,G3509,1)),"",IF((AND(RIGHT(G3509,2)=RIGHT('112'!$M$9,2),B3509&lt;'112'!$K$9,$O3509='112'!$I$6)),"x",""))</f>
        <v/>
      </c>
      <c r="W3509" s="75" t="str">
        <f>IF(AND('341-CT'!$H$9=H3509,OR(LEFT(N3509,3)=$W$7,LEFT(O3509,3)=$W$7)),"x","")</f>
        <v/>
      </c>
      <c r="X3509" s="75" t="str">
        <f>IF(OR(TH!N3451=TH!$X$7,O3509=TH!$X$7),"x","")</f>
        <v/>
      </c>
      <c r="Y3509" s="75" t="str">
        <f>IF(AND(OR(N3509="131",O3509="131"),H3509='131-CT'!$H$9),"x","")</f>
        <v/>
      </c>
      <c r="Z3509" s="75"/>
      <c r="AA3509" s="75" t="str">
        <f>IF(AND(MONTH(E3509)='IN-NX'!$J$5,'IN-NX'!$D$7=D3509),"x","")</f>
        <v/>
      </c>
      <c r="AB3509" s="75" t="str">
        <f>IF(AND(OR(LEFT(TH!N3451,2)="15",LEFT(TH!O3451,2)="15"),LEFT(TH!O3451,3)&lt;&gt;"111",'152-CT'!$J$8=TH!F3451),"x","")</f>
        <v/>
      </c>
      <c r="AC3509" s="75" t="str">
        <f>IF(AND(OR(LEFT(TH!N3451,2)="15",LEFT(TH!O3451,2)="15"),TK!$E$7=TH!F3451),"x","")</f>
        <v/>
      </c>
      <c r="AD3509" s="75" t="str">
        <f>IF(AND(N3509="1521",MONTH(C3509)='BK-NL'!$M$11),"x","")</f>
        <v/>
      </c>
    </row>
    <row r="3510" spans="1:30" ht="16.5" customHeight="1">
      <c r="A3510" s="309" t="str">
        <f>IF(B3510&lt;&gt;"",IF(AND(B3510='IN-TC'!$S$4,OR(TH!N3510="1111",TH!O3510="1111")),TH!D3510,""),"")</f>
        <v/>
      </c>
      <c r="B3510" s="1058">
        <f t="shared" si="1292"/>
        <v>1</v>
      </c>
      <c r="C3510" s="292">
        <f t="shared" si="1293"/>
        <v>42754</v>
      </c>
      <c r="D3510" s="292" t="s">
        <v>1943</v>
      </c>
      <c r="E3510" s="292">
        <v>42754</v>
      </c>
      <c r="F3510" s="1125" t="s">
        <v>891</v>
      </c>
      <c r="G3510" s="925" t="s">
        <v>963</v>
      </c>
      <c r="H3510" s="67" t="s">
        <v>893</v>
      </c>
      <c r="I3510" s="373"/>
      <c r="J3510" s="926"/>
      <c r="K3510" s="373"/>
      <c r="L3510" s="379"/>
      <c r="M3510" s="927">
        <v>136462</v>
      </c>
      <c r="N3510" s="295" t="s">
        <v>9</v>
      </c>
      <c r="O3510" s="295" t="s">
        <v>63</v>
      </c>
      <c r="P3510" s="75" t="str">
        <f>IF(AND('331-CT'!$E$7=TH!H3452,OR(N3510="331",O3510="331")),"x","")</f>
        <v/>
      </c>
      <c r="Q3510" s="75" t="str">
        <f>IF(AND(B3510='111'!$L$11,OR($N3510=$Q$7,$O3510=$Q$7)),"x","")</f>
        <v/>
      </c>
      <c r="R3510" s="75" t="str">
        <f>IF(AND($N3510=$Q$7,$B3510&lt;'111'!$L$11),"x","")</f>
        <v/>
      </c>
      <c r="S3510" s="75" t="str">
        <f>IF(AND($O3510=$Q$7,$B3510&lt;'111'!$L$11),"x","")</f>
        <v>x</v>
      </c>
      <c r="T3510" s="75" t="str">
        <f>IF(ISERROR(FIND('112'!$M$9,G3510,1)),"",IF((AND(FIND('112'!$M$9,G3510,1)&gt;=1,B3510='112'!$K$9,OR($N3510='112'!$I$6,$O3510='112'!$I$6))),"x",""))</f>
        <v/>
      </c>
      <c r="U3510" s="75" t="str">
        <f>IF(ISERROR(FIND('112'!$M$9,G3510,1)),"",IF((AND(LEFT(G3510,2)=LEFT('112'!$M$9,2),B3510&lt;'112'!$K$9,$N3510='112'!$I$6)),"x",""))</f>
        <v/>
      </c>
      <c r="V3510" s="75" t="str">
        <f>IF(ISERROR(FIND('112'!$M$9,G3510,1)),"",IF((AND(RIGHT(G3510,2)=RIGHT('112'!$M$9,2),B3510&lt;'112'!$K$9,$O3510='112'!$I$6)),"x",""))</f>
        <v/>
      </c>
      <c r="W3510" s="75" t="str">
        <f>IF(AND('341-CT'!$H$9=H3510,OR(LEFT(N3510,3)=$W$7,LEFT(O3510,3)=$W$7)),"x","")</f>
        <v/>
      </c>
      <c r="X3510" s="75" t="str">
        <f>IF(OR(TH!N3452=TH!$X$7,O3510=TH!$X$7),"x","")</f>
        <v/>
      </c>
      <c r="Y3510" s="75" t="str">
        <f>IF(AND(OR(N3510="131",O3510="131"),H3510='131-CT'!$H$9),"x","")</f>
        <v/>
      </c>
      <c r="Z3510" s="75"/>
      <c r="AA3510" s="75" t="str">
        <f>IF(AND(MONTH(E3510)='IN-NX'!$J$5,'IN-NX'!$D$7=D3510),"x","")</f>
        <v/>
      </c>
      <c r="AB3510" s="75" t="str">
        <f>IF(AND(OR(LEFT(TH!N3452,2)="15",LEFT(TH!O3452,2)="15"),LEFT(TH!O3452,3)&lt;&gt;"111",'152-CT'!$J$8=TH!F3452),"x","")</f>
        <v/>
      </c>
      <c r="AC3510" s="75" t="str">
        <f>IF(AND(OR(LEFT(TH!N3452,2)="15",LEFT(TH!O3452,2)="15"),TK!$E$7=TH!F3452),"x","")</f>
        <v/>
      </c>
      <c r="AD3510" s="75" t="str">
        <f>IF(AND(N3510="1521",MONTH(C3510)='BK-NL'!$M$11),"x","")</f>
        <v/>
      </c>
    </row>
    <row r="3511" spans="1:30" ht="16.5" customHeight="1">
      <c r="A3511" s="309" t="str">
        <f>IF(B3511&lt;&gt;"",IF(AND(B3511='IN-TC'!$S$4,OR(TH!N3511="1111",TH!O3511="1111")),TH!D3511,""),"")</f>
        <v/>
      </c>
      <c r="B3511" s="1058">
        <f t="shared" si="1292"/>
        <v>1</v>
      </c>
      <c r="C3511" s="292">
        <f t="shared" si="1293"/>
        <v>42754</v>
      </c>
      <c r="D3511" s="292" t="s">
        <v>903</v>
      </c>
      <c r="E3511" s="292">
        <v>42754</v>
      </c>
      <c r="F3511" s="1127" t="s">
        <v>917</v>
      </c>
      <c r="G3511" s="62" t="s">
        <v>585</v>
      </c>
      <c r="H3511" s="311" t="s">
        <v>802</v>
      </c>
      <c r="I3511" s="373"/>
      <c r="J3511" s="926"/>
      <c r="K3511" s="373"/>
      <c r="L3511" s="379"/>
      <c r="M3511" s="927">
        <v>55196900</v>
      </c>
      <c r="N3511" s="295" t="s">
        <v>26</v>
      </c>
      <c r="O3511" s="295" t="s">
        <v>536</v>
      </c>
      <c r="P3511" s="75" t="str">
        <f>IF(AND('331-CT'!$E$7=TH!H4636,OR(N3511="331",O3511="331")),"x","")</f>
        <v/>
      </c>
      <c r="Q3511" s="75" t="str">
        <f>IF(AND(B3511='111'!$L$11,OR($N3511=$Q$7,$O3511=$Q$7)),"x","")</f>
        <v/>
      </c>
      <c r="R3511" s="75" t="str">
        <f>IF(AND($N3511=$Q$7,$B3511&lt;'111'!$L$11),"x","")</f>
        <v/>
      </c>
      <c r="S3511" s="75" t="str">
        <f>IF(AND($O3511=$Q$7,$B3511&lt;'111'!$L$11),"x","")</f>
        <v/>
      </c>
      <c r="T3511" s="75" t="str">
        <f>IF(ISERROR(FIND('112'!$M$9,G3511,1)),"",IF((AND(FIND('112'!$M$9,G3511,1)&gt;=1,B3511='112'!$K$9,OR($N3511='112'!$I$6,$O3511='112'!$I$6))),"x",""))</f>
        <v/>
      </c>
      <c r="U3511" s="75" t="str">
        <f>IF(ISERROR(FIND('112'!$M$9,G3511,1)),"",IF((AND(LEFT(G3511,2)=LEFT('112'!$M$9,2),B3511&lt;'112'!$K$9,$N3511='112'!$I$6)),"x",""))</f>
        <v/>
      </c>
      <c r="V3511" s="75" t="str">
        <f>IF(ISERROR(FIND('112'!$M$9,G3511,1)),"",IF((AND(RIGHT(G3511,2)=RIGHT('112'!$M$9,2),B3511&lt;'112'!$K$9,$O3511='112'!$I$6)),"x",""))</f>
        <v/>
      </c>
      <c r="W3511" s="75" t="str">
        <f>IF(AND('341-CT'!$H$9=H3511,OR(LEFT(N3511,3)=$W$7,LEFT(O3511,3)=$W$7)),"x","")</f>
        <v/>
      </c>
      <c r="X3511" s="75" t="str">
        <f>IF(OR(TH!N4636=TH!$X$7,O3511=TH!$X$7),"x","")</f>
        <v/>
      </c>
      <c r="Y3511" s="75" t="str">
        <f>IF(AND(OR(N3511="131",O3511="131"),H3511='131-CT'!$H$9),"x","")</f>
        <v/>
      </c>
      <c r="Z3511" s="75"/>
      <c r="AA3511" s="75" t="str">
        <f>IF(AND(MONTH(E3511)='IN-NX'!$J$5,'IN-NX'!$D$7=D3511),"x","")</f>
        <v/>
      </c>
      <c r="AB3511" s="75" t="str">
        <f>IF(AND(OR(LEFT(TH!N4636,2)="15",LEFT(TH!O4636,2)="15"),LEFT(TH!O4636,3)&lt;&gt;"111",'152-CT'!$J$8=TH!F4636),"x","")</f>
        <v/>
      </c>
      <c r="AC3511" s="75" t="str">
        <f>IF(AND(OR(LEFT(TH!N4636,2)="15",LEFT(TH!O4636,2)="15"),TK!$E$7=TH!F4636),"x","")</f>
        <v/>
      </c>
      <c r="AD3511" s="75" t="str">
        <f>IF(AND(N3511="1521",MONTH(C3511)='BK-NL'!$M$11),"x","")</f>
        <v/>
      </c>
    </row>
    <row r="3512" spans="1:30" ht="16.5" customHeight="1">
      <c r="A3512" s="309" t="str">
        <f>IF(B3512&lt;&gt;"",IF(AND(B3512='IN-TC'!$S$4,OR(TH!N3512="1111",TH!O3512="1111")),TH!D3512,""),"")</f>
        <v/>
      </c>
      <c r="B3512" s="1058">
        <f t="shared" si="1292"/>
        <v>1</v>
      </c>
      <c r="C3512" s="292">
        <f t="shared" si="1293"/>
        <v>42754</v>
      </c>
      <c r="D3512" s="292" t="s">
        <v>902</v>
      </c>
      <c r="E3512" s="292">
        <v>42754</v>
      </c>
      <c r="F3512" s="67" t="s">
        <v>899</v>
      </c>
      <c r="G3512" s="62" t="s">
        <v>585</v>
      </c>
      <c r="H3512" s="67" t="s">
        <v>740</v>
      </c>
      <c r="I3512" s="373"/>
      <c r="J3512" s="926"/>
      <c r="K3512" s="373"/>
      <c r="L3512" s="379"/>
      <c r="M3512" s="927">
        <v>38500000</v>
      </c>
      <c r="N3512" s="295" t="s">
        <v>8</v>
      </c>
      <c r="O3512" s="295" t="s">
        <v>26</v>
      </c>
      <c r="P3512" s="75" t="str">
        <f>IF(AND('331-CT'!$E$7=TH!H4637,OR(N3512="331",O3512="331")),"x","")</f>
        <v/>
      </c>
      <c r="Q3512" s="75" t="str">
        <f>IF(AND(B3512='111'!$L$11,OR($N3512=$Q$7,$O3512=$Q$7)),"x","")</f>
        <v/>
      </c>
      <c r="R3512" s="75" t="str">
        <f>IF(AND($N3512=$Q$7,$B3512&lt;'111'!$L$11),"x","")</f>
        <v/>
      </c>
      <c r="S3512" s="75" t="str">
        <f>IF(AND($O3512=$Q$7,$B3512&lt;'111'!$L$11),"x","")</f>
        <v/>
      </c>
      <c r="T3512" s="75" t="str">
        <f>IF(ISERROR(FIND('112'!$M$9,G3512,1)),"",IF((AND(FIND('112'!$M$9,G3512,1)&gt;=1,B3512='112'!$K$9,OR($N3512='112'!$I$6,$O3512='112'!$I$6))),"x",""))</f>
        <v/>
      </c>
      <c r="U3512" s="75" t="str">
        <f>IF(ISERROR(FIND('112'!$M$9,G3512,1)),"",IF((AND(LEFT(G3512,2)=LEFT('112'!$M$9,2),B3512&lt;'112'!$K$9,$N3512='112'!$I$6)),"x",""))</f>
        <v/>
      </c>
      <c r="V3512" s="75" t="str">
        <f>IF(ISERROR(FIND('112'!$M$9,G3512,1)),"",IF((AND(RIGHT(G3512,2)=RIGHT('112'!$M$9,2),B3512&lt;'112'!$K$9,$O3512='112'!$I$6)),"x",""))</f>
        <v/>
      </c>
      <c r="W3512" s="75" t="str">
        <f>IF(AND('341-CT'!$H$9=H3512,OR(LEFT(N3512,3)=$W$7,LEFT(O3512,3)=$W$7)),"x","")</f>
        <v/>
      </c>
      <c r="X3512" s="75" t="str">
        <f>IF(OR(TH!N4637=TH!$X$7,O3512=TH!$X$7),"x","")</f>
        <v/>
      </c>
      <c r="Y3512" s="75" t="str">
        <f>IF(AND(OR(N3512="131",O3512="131"),H3512='131-CT'!$H$9),"x","")</f>
        <v/>
      </c>
      <c r="Z3512" s="75"/>
      <c r="AA3512" s="75" t="str">
        <f>IF(AND(MONTH(E3512)='IN-NX'!$J$5,'IN-NX'!$D$7=D3512),"x","")</f>
        <v/>
      </c>
      <c r="AB3512" s="75" t="str">
        <f>IF(AND(OR(LEFT(TH!N4637,2)="15",LEFT(TH!O4637,2)="15"),LEFT(TH!O4637,3)&lt;&gt;"111",'152-CT'!$J$8=TH!F4637),"x","")</f>
        <v/>
      </c>
      <c r="AC3512" s="75" t="str">
        <f>IF(AND(OR(LEFT(TH!N4637,2)="15",LEFT(TH!O4637,2)="15"),TK!$E$7=TH!F4637),"x","")</f>
        <v/>
      </c>
      <c r="AD3512" s="75" t="str">
        <f>IF(AND(N3512="1521",MONTH(C3512)='BK-NL'!$M$11),"x","")</f>
        <v/>
      </c>
    </row>
    <row r="3513" spans="1:30" ht="16.5" customHeight="1">
      <c r="A3513" s="309" t="str">
        <f>IF(B3513&lt;&gt;"",IF(AND(B3513='IN-TC'!$S$4,OR(TH!N3513="1111",TH!O3513="1111")),TH!D3513,""),"")</f>
        <v/>
      </c>
      <c r="B3513" s="1058">
        <f t="shared" si="1292"/>
        <v>1</v>
      </c>
      <c r="C3513" s="292">
        <f t="shared" si="1293"/>
        <v>42754</v>
      </c>
      <c r="D3513" s="292" t="s">
        <v>902</v>
      </c>
      <c r="E3513" s="292">
        <v>42754</v>
      </c>
      <c r="F3513" s="67" t="s">
        <v>870</v>
      </c>
      <c r="G3513" s="62" t="s">
        <v>585</v>
      </c>
      <c r="H3513" s="311" t="s">
        <v>845</v>
      </c>
      <c r="I3513" s="373"/>
      <c r="J3513" s="926"/>
      <c r="K3513" s="373"/>
      <c r="L3513" s="379"/>
      <c r="M3513" s="927">
        <v>20000</v>
      </c>
      <c r="N3513" s="295" t="s">
        <v>101</v>
      </c>
      <c r="O3513" s="295" t="s">
        <v>26</v>
      </c>
      <c r="P3513" s="75" t="str">
        <f>IF(AND('331-CT'!$E$7=TH!H4638,OR(N3513="331",O3513="331")),"x","")</f>
        <v/>
      </c>
      <c r="Q3513" s="75" t="str">
        <f>IF(AND(B3513='111'!$L$11,OR($N3513=$Q$7,$O3513=$Q$7)),"x","")</f>
        <v/>
      </c>
      <c r="R3513" s="75" t="str">
        <f>IF(AND($N3513=$Q$7,$B3513&lt;'111'!$L$11),"x","")</f>
        <v/>
      </c>
      <c r="S3513" s="75" t="str">
        <f>IF(AND($O3513=$Q$7,$B3513&lt;'111'!$L$11),"x","")</f>
        <v/>
      </c>
      <c r="T3513" s="75" t="str">
        <f>IF(ISERROR(FIND('112'!$M$9,G3513,1)),"",IF((AND(FIND('112'!$M$9,G3513,1)&gt;=1,B3513='112'!$K$9,OR($N3513='112'!$I$6,$O3513='112'!$I$6))),"x",""))</f>
        <v/>
      </c>
      <c r="U3513" s="75" t="str">
        <f>IF(ISERROR(FIND('112'!$M$9,G3513,1)),"",IF((AND(LEFT(G3513,2)=LEFT('112'!$M$9,2),B3513&lt;'112'!$K$9,$N3513='112'!$I$6)),"x",""))</f>
        <v/>
      </c>
      <c r="V3513" s="75" t="str">
        <f>IF(ISERROR(FIND('112'!$M$9,G3513,1)),"",IF((AND(RIGHT(G3513,2)=RIGHT('112'!$M$9,2),B3513&lt;'112'!$K$9,$O3513='112'!$I$6)),"x",""))</f>
        <v/>
      </c>
      <c r="W3513" s="75" t="str">
        <f>IF(AND('341-CT'!$H$9=H3513,OR(LEFT(N3513,3)=$W$7,LEFT(O3513,3)=$W$7)),"x","")</f>
        <v/>
      </c>
      <c r="X3513" s="75" t="str">
        <f>IF(OR(TH!N4638=TH!$X$7,O3513=TH!$X$7),"x","")</f>
        <v/>
      </c>
      <c r="Y3513" s="75" t="str">
        <f>IF(AND(OR(N3513="131",O3513="131"),H3513='131-CT'!$H$9),"x","")</f>
        <v/>
      </c>
      <c r="Z3513" s="75"/>
      <c r="AA3513" s="75" t="str">
        <f>IF(AND(MONTH(E3513)='IN-NX'!$J$5,'IN-NX'!$D$7=D3513),"x","")</f>
        <v/>
      </c>
      <c r="AB3513" s="75" t="str">
        <f>IF(AND(OR(LEFT(TH!N4638,2)="15",LEFT(TH!O4638,2)="15"),LEFT(TH!O4638,3)&lt;&gt;"111",'152-CT'!$J$8=TH!F4638),"x","")</f>
        <v/>
      </c>
      <c r="AC3513" s="75" t="str">
        <f>IF(AND(OR(LEFT(TH!N4638,2)="15",LEFT(TH!O4638,2)="15"),TK!$E$7=TH!F4638),"x","")</f>
        <v/>
      </c>
      <c r="AD3513" s="75" t="str">
        <f>IF(AND(N3513="1521",MONTH(C3513)='BK-NL'!$M$11),"x","")</f>
        <v/>
      </c>
    </row>
    <row r="3514" spans="1:30" ht="16.5" customHeight="1">
      <c r="A3514" s="309" t="str">
        <f>IF(B3514&lt;&gt;"",IF(AND(B3514='IN-TC'!$S$4,OR(TH!N3514="1111",TH!O3514="1111")),TH!D3514,""),"")</f>
        <v/>
      </c>
      <c r="B3514" s="1058">
        <f t="shared" si="1292"/>
        <v>1</v>
      </c>
      <c r="C3514" s="292">
        <f t="shared" si="1293"/>
        <v>42754</v>
      </c>
      <c r="D3514" s="292" t="s">
        <v>902</v>
      </c>
      <c r="E3514" s="292">
        <v>42754</v>
      </c>
      <c r="F3514" s="67" t="s">
        <v>898</v>
      </c>
      <c r="G3514" s="62" t="s">
        <v>585</v>
      </c>
      <c r="H3514" s="311" t="s">
        <v>845</v>
      </c>
      <c r="I3514" s="373"/>
      <c r="J3514" s="926"/>
      <c r="K3514" s="373"/>
      <c r="L3514" s="379"/>
      <c r="M3514" s="927">
        <v>2000</v>
      </c>
      <c r="N3514" s="295" t="s">
        <v>9</v>
      </c>
      <c r="O3514" s="295" t="s">
        <v>26</v>
      </c>
      <c r="P3514" s="75" t="str">
        <f>IF(AND('331-CT'!$E$7=TH!H4639,OR(N3514="331",O3514="331")),"x","")</f>
        <v/>
      </c>
      <c r="Q3514" s="75" t="str">
        <f>IF(AND(B3514='111'!$L$11,OR($N3514=$Q$7,$O3514=$Q$7)),"x","")</f>
        <v/>
      </c>
      <c r="R3514" s="75" t="str">
        <f>IF(AND($N3514=$Q$7,$B3514&lt;'111'!$L$11),"x","")</f>
        <v/>
      </c>
      <c r="S3514" s="75" t="str">
        <f>IF(AND($O3514=$Q$7,$B3514&lt;'111'!$L$11),"x","")</f>
        <v/>
      </c>
      <c r="T3514" s="75" t="str">
        <f>IF(ISERROR(FIND('112'!$M$9,G3514,1)),"",IF((AND(FIND('112'!$M$9,G3514,1)&gt;=1,B3514='112'!$K$9,OR($N3514='112'!$I$6,$O3514='112'!$I$6))),"x",""))</f>
        <v/>
      </c>
      <c r="U3514" s="75" t="str">
        <f>IF(ISERROR(FIND('112'!$M$9,G3514,1)),"",IF((AND(LEFT(G3514,2)=LEFT('112'!$M$9,2),B3514&lt;'112'!$K$9,$N3514='112'!$I$6)),"x",""))</f>
        <v/>
      </c>
      <c r="V3514" s="75" t="str">
        <f>IF(ISERROR(FIND('112'!$M$9,G3514,1)),"",IF((AND(RIGHT(G3514,2)=RIGHT('112'!$M$9,2),B3514&lt;'112'!$K$9,$O3514='112'!$I$6)),"x",""))</f>
        <v/>
      </c>
      <c r="W3514" s="75" t="str">
        <f>IF(AND('341-CT'!$H$9=H3514,OR(LEFT(N3514,3)=$W$7,LEFT(O3514,3)=$W$7)),"x","")</f>
        <v/>
      </c>
      <c r="X3514" s="75" t="str">
        <f>IF(OR(TH!N4639=TH!$X$7,O3514=TH!$X$7),"x","")</f>
        <v/>
      </c>
      <c r="Y3514" s="75" t="str">
        <f>IF(AND(OR(N3514="131",O3514="131"),H3514='131-CT'!$H$9),"x","")</f>
        <v/>
      </c>
      <c r="Z3514" s="75"/>
      <c r="AA3514" s="75" t="str">
        <f>IF(AND(MONTH(E3514)='IN-NX'!$J$5,'IN-NX'!$D$7=D3514),"x","")</f>
        <v/>
      </c>
      <c r="AB3514" s="75" t="str">
        <f>IF(AND(OR(LEFT(TH!N4639,2)="15",LEFT(TH!O4639,2)="15"),LEFT(TH!O4639,3)&lt;&gt;"111",'152-CT'!$J$8=TH!F4639),"x","")</f>
        <v/>
      </c>
      <c r="AC3514" s="75" t="str">
        <f>IF(AND(OR(LEFT(TH!N4639,2)="15",LEFT(TH!O4639,2)="15"),TK!$E$7=TH!F4639),"x","")</f>
        <v/>
      </c>
      <c r="AD3514" s="75" t="str">
        <f>IF(AND(N3514="1521",MONTH(C3514)='BK-NL'!$M$11),"x","")</f>
        <v/>
      </c>
    </row>
    <row r="3515" spans="1:30" ht="16.5" customHeight="1">
      <c r="A3515" s="309" t="str">
        <f>IF(B3515&lt;&gt;"",IF(AND(B3515='IN-TC'!$S$4,OR(TH!N3515="1111",TH!O3515="1111")),TH!D3515,""),"")</f>
        <v/>
      </c>
      <c r="B3515" s="1058">
        <f t="shared" si="1292"/>
        <v>1</v>
      </c>
      <c r="C3515" s="292">
        <f t="shared" si="1293"/>
        <v>42754</v>
      </c>
      <c r="D3515" s="292" t="s">
        <v>902</v>
      </c>
      <c r="E3515" s="292">
        <v>42754</v>
      </c>
      <c r="F3515" s="67" t="s">
        <v>930</v>
      </c>
      <c r="G3515" s="62" t="s">
        <v>585</v>
      </c>
      <c r="H3515" s="67" t="s">
        <v>755</v>
      </c>
      <c r="I3515" s="373"/>
      <c r="J3515" s="926"/>
      <c r="K3515" s="373"/>
      <c r="L3515" s="379"/>
      <c r="M3515" s="927">
        <v>23710344</v>
      </c>
      <c r="N3515" s="295" t="s">
        <v>8</v>
      </c>
      <c r="O3515" s="295" t="s">
        <v>26</v>
      </c>
      <c r="P3515" s="75" t="str">
        <f>IF(AND('331-CT'!$E$7=TH!H4640,OR(N3515="331",O3515="331")),"x","")</f>
        <v/>
      </c>
      <c r="Q3515" s="75" t="str">
        <f>IF(AND(B3515='111'!$L$11,OR($N3515=$Q$7,$O3515=$Q$7)),"x","")</f>
        <v/>
      </c>
      <c r="R3515" s="75" t="str">
        <f>IF(AND($N3515=$Q$7,$B3515&lt;'111'!$L$11),"x","")</f>
        <v/>
      </c>
      <c r="S3515" s="75" t="str">
        <f>IF(AND($O3515=$Q$7,$B3515&lt;'111'!$L$11),"x","")</f>
        <v/>
      </c>
      <c r="T3515" s="75" t="str">
        <f>IF(ISERROR(FIND('112'!$M$9,G3515,1)),"",IF((AND(FIND('112'!$M$9,G3515,1)&gt;=1,B3515='112'!$K$9,OR($N3515='112'!$I$6,$O3515='112'!$I$6))),"x",""))</f>
        <v/>
      </c>
      <c r="U3515" s="75" t="str">
        <f>IF(ISERROR(FIND('112'!$M$9,G3515,1)),"",IF((AND(LEFT(G3515,2)=LEFT('112'!$M$9,2),B3515&lt;'112'!$K$9,$N3515='112'!$I$6)),"x",""))</f>
        <v/>
      </c>
      <c r="V3515" s="75" t="str">
        <f>IF(ISERROR(FIND('112'!$M$9,G3515,1)),"",IF((AND(RIGHT(G3515,2)=RIGHT('112'!$M$9,2),B3515&lt;'112'!$K$9,$O3515='112'!$I$6)),"x",""))</f>
        <v/>
      </c>
      <c r="W3515" s="75" t="str">
        <f>IF(AND('341-CT'!$H$9=H3515,OR(LEFT(N3515,3)=$W$7,LEFT(O3515,3)=$W$7)),"x","")</f>
        <v/>
      </c>
      <c r="X3515" s="75" t="str">
        <f>IF(OR(TH!N4640=TH!$X$7,O3515=TH!$X$7),"x","")</f>
        <v/>
      </c>
      <c r="Y3515" s="75" t="str">
        <f>IF(AND(OR(N3515="131",O3515="131"),H3515='131-CT'!$H$9),"x","")</f>
        <v/>
      </c>
      <c r="Z3515" s="75"/>
      <c r="AA3515" s="75" t="str">
        <f>IF(AND(MONTH(E3515)='IN-NX'!$J$5,'IN-NX'!$D$7=D3515),"x","")</f>
        <v/>
      </c>
      <c r="AB3515" s="75" t="str">
        <f>IF(AND(OR(LEFT(TH!N4640,2)="15",LEFT(TH!O4640,2)="15"),LEFT(TH!O4640,3)&lt;&gt;"111",'152-CT'!$J$8=TH!F4640),"x","")</f>
        <v/>
      </c>
      <c r="AC3515" s="75" t="str">
        <f>IF(AND(OR(LEFT(TH!N4640,2)="15",LEFT(TH!O4640,2)="15"),TK!$E$7=TH!F4640),"x","")</f>
        <v/>
      </c>
      <c r="AD3515" s="75" t="str">
        <f>IF(AND(N3515="1521",MONTH(C3515)='BK-NL'!$M$11),"x","")</f>
        <v/>
      </c>
    </row>
    <row r="3516" spans="1:30" ht="16.5" customHeight="1">
      <c r="A3516" s="309" t="str">
        <f>IF(B3516&lt;&gt;"",IF(AND(B3516='IN-TC'!$S$4,OR(TH!N3516="1111",TH!O3516="1111")),TH!D3516,""),"")</f>
        <v/>
      </c>
      <c r="B3516" s="1058">
        <f t="shared" si="1292"/>
        <v>1</v>
      </c>
      <c r="C3516" s="292">
        <f t="shared" si="1293"/>
        <v>42754</v>
      </c>
      <c r="D3516" s="292" t="s">
        <v>902</v>
      </c>
      <c r="E3516" s="292">
        <v>42754</v>
      </c>
      <c r="F3516" s="67" t="s">
        <v>870</v>
      </c>
      <c r="G3516" s="62" t="s">
        <v>585</v>
      </c>
      <c r="H3516" s="311" t="s">
        <v>845</v>
      </c>
      <c r="I3516" s="373"/>
      <c r="J3516" s="926"/>
      <c r="K3516" s="373"/>
      <c r="L3516" s="379"/>
      <c r="M3516" s="927">
        <v>20000</v>
      </c>
      <c r="N3516" s="295" t="s">
        <v>101</v>
      </c>
      <c r="O3516" s="295" t="s">
        <v>26</v>
      </c>
      <c r="P3516" s="75" t="str">
        <f>IF(AND('331-CT'!$E$7=TH!H4641,OR(N3516="331",O3516="331")),"x","")</f>
        <v/>
      </c>
      <c r="Q3516" s="75" t="str">
        <f>IF(AND(B3516='111'!$L$11,OR($N3516=$Q$7,$O3516=$Q$7)),"x","")</f>
        <v/>
      </c>
      <c r="R3516" s="75" t="str">
        <f>IF(AND($N3516=$Q$7,$B3516&lt;'111'!$L$11),"x","")</f>
        <v/>
      </c>
      <c r="S3516" s="75" t="str">
        <f>IF(AND($O3516=$Q$7,$B3516&lt;'111'!$L$11),"x","")</f>
        <v/>
      </c>
      <c r="T3516" s="75" t="str">
        <f>IF(ISERROR(FIND('112'!$M$9,G3516,1)),"",IF((AND(FIND('112'!$M$9,G3516,1)&gt;=1,B3516='112'!$K$9,OR($N3516='112'!$I$6,$O3516='112'!$I$6))),"x",""))</f>
        <v/>
      </c>
      <c r="U3516" s="75" t="str">
        <f>IF(ISERROR(FIND('112'!$M$9,G3516,1)),"",IF((AND(LEFT(G3516,2)=LEFT('112'!$M$9,2),B3516&lt;'112'!$K$9,$N3516='112'!$I$6)),"x",""))</f>
        <v/>
      </c>
      <c r="V3516" s="75" t="str">
        <f>IF(ISERROR(FIND('112'!$M$9,G3516,1)),"",IF((AND(RIGHT(G3516,2)=RIGHT('112'!$M$9,2),B3516&lt;'112'!$K$9,$O3516='112'!$I$6)),"x",""))</f>
        <v/>
      </c>
      <c r="W3516" s="75" t="str">
        <f>IF(AND('341-CT'!$H$9=H3516,OR(LEFT(N3516,3)=$W$7,LEFT(O3516,3)=$W$7)),"x","")</f>
        <v/>
      </c>
      <c r="X3516" s="75" t="str">
        <f>IF(OR(TH!N4641=TH!$X$7,O3516=TH!$X$7),"x","")</f>
        <v/>
      </c>
      <c r="Y3516" s="75" t="str">
        <f>IF(AND(OR(N3516="131",O3516="131"),H3516='131-CT'!$H$9),"x","")</f>
        <v/>
      </c>
      <c r="Z3516" s="75"/>
      <c r="AA3516" s="75" t="str">
        <f>IF(AND(MONTH(E3516)='IN-NX'!$J$5,'IN-NX'!$D$7=D3516),"x","")</f>
        <v/>
      </c>
      <c r="AB3516" s="75" t="str">
        <f>IF(AND(OR(LEFT(TH!N4641,2)="15",LEFT(TH!O4641,2)="15"),LEFT(TH!O4641,3)&lt;&gt;"111",'152-CT'!$J$8=TH!F4641),"x","")</f>
        <v/>
      </c>
      <c r="AC3516" s="75" t="str">
        <f>IF(AND(OR(LEFT(TH!N4641,2)="15",LEFT(TH!O4641,2)="15"),TK!$E$7=TH!F4641),"x","")</f>
        <v/>
      </c>
      <c r="AD3516" s="75" t="str">
        <f>IF(AND(N3516="1521",MONTH(C3516)='BK-NL'!$M$11),"x","")</f>
        <v/>
      </c>
    </row>
    <row r="3517" spans="1:30" ht="16.5" customHeight="1">
      <c r="A3517" s="309" t="str">
        <f>IF(B3517&lt;&gt;"",IF(AND(B3517='IN-TC'!$S$4,OR(TH!N3517="1111",TH!O3517="1111")),TH!D3517,""),"")</f>
        <v/>
      </c>
      <c r="B3517" s="1058">
        <f t="shared" si="1292"/>
        <v>1</v>
      </c>
      <c r="C3517" s="292">
        <f t="shared" si="1293"/>
        <v>42754</v>
      </c>
      <c r="D3517" s="292" t="s">
        <v>902</v>
      </c>
      <c r="E3517" s="292">
        <v>42754</v>
      </c>
      <c r="F3517" s="67" t="s">
        <v>898</v>
      </c>
      <c r="G3517" s="62" t="s">
        <v>585</v>
      </c>
      <c r="H3517" s="311" t="s">
        <v>845</v>
      </c>
      <c r="I3517" s="373"/>
      <c r="J3517" s="926"/>
      <c r="K3517" s="373"/>
      <c r="L3517" s="379"/>
      <c r="M3517" s="927">
        <v>2000</v>
      </c>
      <c r="N3517" s="295" t="s">
        <v>9</v>
      </c>
      <c r="O3517" s="295" t="s">
        <v>26</v>
      </c>
      <c r="P3517" s="75" t="str">
        <f>IF(AND('331-CT'!$E$7=TH!H4642,OR(N3517="331",O3517="331")),"x","")</f>
        <v/>
      </c>
      <c r="Q3517" s="75" t="str">
        <f>IF(AND(B3517='111'!$L$11,OR($N3517=$Q$7,$O3517=$Q$7)),"x","")</f>
        <v/>
      </c>
      <c r="R3517" s="75" t="str">
        <f>IF(AND($N3517=$Q$7,$B3517&lt;'111'!$L$11),"x","")</f>
        <v/>
      </c>
      <c r="S3517" s="75" t="str">
        <f>IF(AND($O3517=$Q$7,$B3517&lt;'111'!$L$11),"x","")</f>
        <v/>
      </c>
      <c r="T3517" s="75" t="str">
        <f>IF(ISERROR(FIND('112'!$M$9,G3517,1)),"",IF((AND(FIND('112'!$M$9,G3517,1)&gt;=1,B3517='112'!$K$9,OR($N3517='112'!$I$6,$O3517='112'!$I$6))),"x",""))</f>
        <v/>
      </c>
      <c r="U3517" s="75" t="str">
        <f>IF(ISERROR(FIND('112'!$M$9,G3517,1)),"",IF((AND(LEFT(G3517,2)=LEFT('112'!$M$9,2),B3517&lt;'112'!$K$9,$N3517='112'!$I$6)),"x",""))</f>
        <v/>
      </c>
      <c r="V3517" s="75" t="str">
        <f>IF(ISERROR(FIND('112'!$M$9,G3517,1)),"",IF((AND(RIGHT(G3517,2)=RIGHT('112'!$M$9,2),B3517&lt;'112'!$K$9,$O3517='112'!$I$6)),"x",""))</f>
        <v/>
      </c>
      <c r="W3517" s="75" t="str">
        <f>IF(AND('341-CT'!$H$9=H3517,OR(LEFT(N3517,3)=$W$7,LEFT(O3517,3)=$W$7)),"x","")</f>
        <v/>
      </c>
      <c r="X3517" s="75" t="str">
        <f>IF(OR(TH!N4642=TH!$X$7,O3517=TH!$X$7),"x","")</f>
        <v/>
      </c>
      <c r="Y3517" s="75" t="str">
        <f>IF(AND(OR(N3517="131",O3517="131"),H3517='131-CT'!$H$9),"x","")</f>
        <v/>
      </c>
      <c r="Z3517" s="75"/>
      <c r="AA3517" s="75" t="str">
        <f>IF(AND(MONTH(E3517)='IN-NX'!$J$5,'IN-NX'!$D$7=D3517),"x","")</f>
        <v/>
      </c>
      <c r="AB3517" s="75" t="str">
        <f>IF(AND(OR(LEFT(TH!N4642,2)="15",LEFT(TH!O4642,2)="15"),LEFT(TH!O4642,3)&lt;&gt;"111",'152-CT'!$J$8=TH!F4642),"x","")</f>
        <v/>
      </c>
      <c r="AC3517" s="75" t="str">
        <f>IF(AND(OR(LEFT(TH!N4642,2)="15",LEFT(TH!O4642,2)="15"),TK!$E$7=TH!F4642),"x","")</f>
        <v/>
      </c>
      <c r="AD3517" s="75" t="str">
        <f>IF(AND(N3517="1521",MONTH(C3517)='BK-NL'!$M$11),"x","")</f>
        <v/>
      </c>
    </row>
    <row r="3518" spans="1:30" ht="16.5" customHeight="1">
      <c r="A3518" s="309" t="str">
        <f>IF(B3518&lt;&gt;"",IF(AND(B3518='IN-TC'!$S$4,OR(TH!N3518="1111",TH!O3518="1111")),TH!D3518,""),"")</f>
        <v/>
      </c>
      <c r="B3518" s="1058">
        <f t="shared" si="1292"/>
        <v>1</v>
      </c>
      <c r="C3518" s="292">
        <f t="shared" si="1293"/>
        <v>42754</v>
      </c>
      <c r="D3518" s="292" t="s">
        <v>850</v>
      </c>
      <c r="E3518" s="292">
        <v>42754</v>
      </c>
      <c r="F3518" s="293" t="s">
        <v>834</v>
      </c>
      <c r="G3518" s="943" t="s">
        <v>747</v>
      </c>
      <c r="H3518" s="67" t="s">
        <v>1023</v>
      </c>
      <c r="I3518" s="73"/>
      <c r="J3518" s="926"/>
      <c r="K3518" s="373"/>
      <c r="L3518" s="379"/>
      <c r="M3518" s="927">
        <v>1700000000</v>
      </c>
      <c r="N3518" s="295" t="s">
        <v>63</v>
      </c>
      <c r="O3518" s="295" t="s">
        <v>26</v>
      </c>
      <c r="P3518" s="75" t="str">
        <f>IF(AND('331-CT'!$E$7=TH!H4950,OR(N3518="331",O3518="331")),"x","")</f>
        <v/>
      </c>
      <c r="Q3518" s="75" t="str">
        <f>IF(AND(B3518='111'!$L$11,OR($N3518=$Q$7,$O3518=$Q$7)),"x","")</f>
        <v/>
      </c>
      <c r="R3518" s="75" t="str">
        <f>IF(AND($N3518=$Q$7,$B3518&lt;'111'!$L$11),"x","")</f>
        <v>x</v>
      </c>
      <c r="S3518" s="75" t="str">
        <f>IF(AND($O3518=$Q$7,$B3518&lt;'111'!$L$11),"x","")</f>
        <v/>
      </c>
      <c r="T3518" s="75" t="str">
        <f>IF(ISERROR(FIND('112'!$M$9,G3518,1)),"",IF((AND(FIND('112'!$M$9,G3518,1)&gt;=1,B3518='112'!$K$9,OR($N3518='112'!$I$6,$O3518='112'!$I$6))),"x",""))</f>
        <v/>
      </c>
      <c r="U3518" s="75" t="str">
        <f>IF(ISERROR(FIND('112'!$M$9,G3518,1)),"",IF((AND(LEFT(G3518,2)=LEFT('112'!$M$9,2),B3518&lt;'112'!$K$9,$N3518='112'!$I$6)),"x",""))</f>
        <v/>
      </c>
      <c r="V3518" s="75" t="str">
        <f>IF(ISERROR(FIND('112'!$M$9,G3518,1)),"",IF((AND(RIGHT(G3518,2)=RIGHT('112'!$M$9,2),B3518&lt;'112'!$K$9,$O3518='112'!$I$6)),"x",""))</f>
        <v/>
      </c>
      <c r="W3518" s="75" t="str">
        <f>IF(AND('341-CT'!$H$9=H3518,OR(LEFT(N3518,3)=$W$7,LEFT(O3518,3)=$W$7)),"x","")</f>
        <v/>
      </c>
      <c r="X3518" s="75" t="str">
        <f>IF(OR(TH!N4950=TH!$X$7,O3518=TH!$X$7),"x","")</f>
        <v/>
      </c>
      <c r="Y3518" s="75" t="str">
        <f>IF(AND(OR(N3518="131",O3518="131"),H3518='131-CT'!$H$9),"x","")</f>
        <v/>
      </c>
      <c r="Z3518" s="75"/>
      <c r="AA3518" s="75" t="str">
        <f>IF(AND(MONTH(E3518)='IN-NX'!$J$5,'IN-NX'!$D$7=D3518),"x","")</f>
        <v/>
      </c>
      <c r="AB3518" s="75" t="str">
        <f>IF(AND(OR(LEFT(TH!N4950,2)="15",LEFT(TH!O4950,2)="15"),LEFT(TH!O4950,3)&lt;&gt;"111",'152-CT'!$J$8=TH!F4950),"x","")</f>
        <v/>
      </c>
      <c r="AC3518" s="75" t="str">
        <f>IF(AND(OR(LEFT(TH!N4950,2)="15",LEFT(TH!O4950,2)="15"),TK!$E$7=TH!F4950),"x","")</f>
        <v/>
      </c>
      <c r="AD3518" s="75" t="str">
        <f>IF(AND(N3518="1521",MONTH(C3518)='BK-NL'!$M$11),"x","")</f>
        <v/>
      </c>
    </row>
    <row r="3519" spans="1:30" ht="16.5" customHeight="1">
      <c r="A3519" s="309" t="str">
        <f>IF(B3519&lt;&gt;"",IF(AND(B3519='IN-TC'!$S$4,OR(TH!N3519="1111",TH!O3519="1111")),TH!D3519,""),"")</f>
        <v/>
      </c>
      <c r="B3519" s="1058">
        <f t="shared" si="1292"/>
        <v>1</v>
      </c>
      <c r="C3519" s="292">
        <f t="shared" si="1293"/>
        <v>42754</v>
      </c>
      <c r="D3519" s="292" t="s">
        <v>902</v>
      </c>
      <c r="E3519" s="292">
        <v>42754</v>
      </c>
      <c r="F3519" s="293" t="s">
        <v>910</v>
      </c>
      <c r="G3519" s="943" t="s">
        <v>747</v>
      </c>
      <c r="H3519" s="67" t="s">
        <v>835</v>
      </c>
      <c r="I3519" s="73"/>
      <c r="J3519" s="926"/>
      <c r="K3519" s="373"/>
      <c r="L3519" s="379"/>
      <c r="M3519" s="927">
        <v>226000</v>
      </c>
      <c r="N3519" s="295" t="s">
        <v>101</v>
      </c>
      <c r="O3519" s="295" t="s">
        <v>26</v>
      </c>
      <c r="P3519" s="75" t="str">
        <f>IF(AND('331-CT'!$E$7=TH!H4951,OR(N3519="331",O3519="331")),"x","")</f>
        <v/>
      </c>
      <c r="Q3519" s="75" t="str">
        <f>IF(AND(B3519='111'!$L$11,OR($N3519=$Q$7,$O3519=$Q$7)),"x","")</f>
        <v/>
      </c>
      <c r="R3519" s="75" t="str">
        <f>IF(AND($N3519=$Q$7,$B3519&lt;'111'!$L$11),"x","")</f>
        <v/>
      </c>
      <c r="S3519" s="75" t="str">
        <f>IF(AND($O3519=$Q$7,$B3519&lt;'111'!$L$11),"x","")</f>
        <v/>
      </c>
      <c r="T3519" s="75" t="str">
        <f>IF(ISERROR(FIND('112'!$M$9,G3519,1)),"",IF((AND(FIND('112'!$M$9,G3519,1)&gt;=1,B3519='112'!$K$9,OR($N3519='112'!$I$6,$O3519='112'!$I$6))),"x",""))</f>
        <v/>
      </c>
      <c r="U3519" s="75" t="str">
        <f>IF(ISERROR(FIND('112'!$M$9,G3519,1)),"",IF((AND(LEFT(G3519,2)=LEFT('112'!$M$9,2),B3519&lt;'112'!$K$9,$N3519='112'!$I$6)),"x",""))</f>
        <v/>
      </c>
      <c r="V3519" s="75" t="str">
        <f>IF(ISERROR(FIND('112'!$M$9,G3519,1)),"",IF((AND(RIGHT(G3519,2)=RIGHT('112'!$M$9,2),B3519&lt;'112'!$K$9,$O3519='112'!$I$6)),"x",""))</f>
        <v/>
      </c>
      <c r="W3519" s="75" t="str">
        <f>IF(AND('341-CT'!$H$9=H3519,OR(LEFT(N3519,3)=$W$7,LEFT(O3519,3)=$W$7)),"x","")</f>
        <v/>
      </c>
      <c r="X3519" s="75" t="str">
        <f>IF(OR(TH!N4951=TH!$X$7,O3519=TH!$X$7),"x","")</f>
        <v/>
      </c>
      <c r="Y3519" s="75" t="str">
        <f>IF(AND(OR(N3519="131",O3519="131"),H3519='131-CT'!$H$9),"x","")</f>
        <v/>
      </c>
      <c r="Z3519" s="75"/>
      <c r="AA3519" s="75" t="str">
        <f>IF(AND(MONTH(E3519)='IN-NX'!$J$5,'IN-NX'!$D$7=D3519),"x","")</f>
        <v/>
      </c>
      <c r="AB3519" s="75" t="str">
        <f>IF(AND(OR(LEFT(TH!N4951,2)="15",LEFT(TH!O4951,2)="15"),LEFT(TH!O4951,3)&lt;&gt;"111",'152-CT'!$J$8=TH!F4951),"x","")</f>
        <v/>
      </c>
      <c r="AC3519" s="75" t="str">
        <f>IF(AND(OR(LEFT(TH!N4951,2)="15",LEFT(TH!O4951,2)="15"),TK!$E$7=TH!F4951),"x","")</f>
        <v/>
      </c>
      <c r="AD3519" s="75" t="str">
        <f>IF(AND(N3519="1521",MONTH(C3519)='BK-NL'!$M$11),"x","")</f>
        <v/>
      </c>
    </row>
    <row r="3520" spans="1:30" ht="16.5" customHeight="1">
      <c r="A3520" s="309" t="str">
        <f>IF(B3520&lt;&gt;"",IF(AND(B3520='IN-TC'!$S$4,OR(TH!N3520="1111",TH!O3520="1111")),TH!D3520,""),"")</f>
        <v/>
      </c>
      <c r="B3520" s="1058">
        <f t="shared" si="1292"/>
        <v>1</v>
      </c>
      <c r="C3520" s="292">
        <f t="shared" si="1293"/>
        <v>42754</v>
      </c>
      <c r="D3520" s="292" t="s">
        <v>903</v>
      </c>
      <c r="E3520" s="292">
        <v>42754</v>
      </c>
      <c r="F3520" s="293" t="s">
        <v>2433</v>
      </c>
      <c r="G3520" s="943" t="s">
        <v>747</v>
      </c>
      <c r="H3520" s="962" t="s">
        <v>2445</v>
      </c>
      <c r="I3520" s="73"/>
      <c r="J3520" s="926"/>
      <c r="K3520" s="373">
        <v>41200</v>
      </c>
      <c r="L3520" s="379">
        <v>22553</v>
      </c>
      <c r="M3520" s="927">
        <f>ROUND(L3520*K3520,0)</f>
        <v>929183600</v>
      </c>
      <c r="N3520" s="295" t="s">
        <v>26</v>
      </c>
      <c r="O3520" s="295" t="s">
        <v>250</v>
      </c>
      <c r="P3520" s="75" t="str">
        <f>IF(AND('331-CT'!$E$7=TH!H4952,OR(N3520="331",O3520="331")),"x","")</f>
        <v/>
      </c>
      <c r="Q3520" s="75" t="str">
        <f>IF(AND(B3520='111'!$L$11,OR($N3520=$Q$7,$O3520=$Q$7)),"x","")</f>
        <v/>
      </c>
      <c r="R3520" s="75" t="str">
        <f>IF(AND($N3520=$Q$7,$B3520&lt;'111'!$L$11),"x","")</f>
        <v/>
      </c>
      <c r="S3520" s="75" t="str">
        <f>IF(AND($O3520=$Q$7,$B3520&lt;'111'!$L$11),"x","")</f>
        <v/>
      </c>
      <c r="T3520" s="75" t="str">
        <f>IF(ISERROR(FIND('112'!$M$9,G3520,1)),"",IF((AND(FIND('112'!$M$9,G3520,1)&gt;=1,B3520='112'!$K$9,OR($N3520='112'!$I$6,$O3520='112'!$I$6))),"x",""))</f>
        <v/>
      </c>
      <c r="U3520" s="75" t="str">
        <f>IF(ISERROR(FIND('112'!$M$9,G3520,1)),"",IF((AND(LEFT(G3520,2)=LEFT('112'!$M$9,2),B3520&lt;'112'!$K$9,$N3520='112'!$I$6)),"x",""))</f>
        <v/>
      </c>
      <c r="V3520" s="75" t="str">
        <f>IF(ISERROR(FIND('112'!$M$9,G3520,1)),"",IF((AND(RIGHT(G3520,2)=RIGHT('112'!$M$9,2),B3520&lt;'112'!$K$9,$O3520='112'!$I$6)),"x",""))</f>
        <v/>
      </c>
      <c r="W3520" s="75" t="str">
        <f>IF(AND('341-CT'!$H$9=H3520,OR(LEFT(N3520,3)=$W$7,LEFT(O3520,3)=$W$7)),"x","")</f>
        <v/>
      </c>
      <c r="X3520" s="75" t="str">
        <f>IF(OR(TH!N4952=TH!$X$7,O3520=TH!$X$7),"x","")</f>
        <v/>
      </c>
      <c r="Y3520" s="75" t="str">
        <f>IF(AND(OR(N3520="131",O3520="131"),H3520='131-CT'!$H$9),"x","")</f>
        <v/>
      </c>
      <c r="Z3520" s="75"/>
      <c r="AA3520" s="75" t="str">
        <f>IF(AND(MONTH(E3520)='IN-NX'!$J$5,'IN-NX'!$D$7=D3520),"x","")</f>
        <v/>
      </c>
      <c r="AB3520" s="75" t="str">
        <f>IF(AND(OR(LEFT(TH!N4952,2)="15",LEFT(TH!O4952,2)="15"),LEFT(TH!O4952,3)&lt;&gt;"111",'152-CT'!$J$8=TH!F4952),"x","")</f>
        <v/>
      </c>
      <c r="AC3520" s="75" t="str">
        <f>IF(AND(OR(LEFT(TH!N4952,2)="15",LEFT(TH!O4952,2)="15"),TK!$E$7=TH!F4952),"x","")</f>
        <v/>
      </c>
      <c r="AD3520" s="75" t="str">
        <f>IF(AND(N3520="1521",MONTH(C3520)='BK-NL'!$M$11),"x","")</f>
        <v/>
      </c>
    </row>
    <row r="3521" spans="1:30" ht="16.5" customHeight="1">
      <c r="A3521" s="309" t="str">
        <f>IF(B3521&lt;&gt;"",IF(AND(B3521='IN-TC'!$S$4,OR(TH!N3521="1111",TH!O3521="1111")),TH!D3521,""),"")</f>
        <v/>
      </c>
      <c r="B3521" s="1058">
        <f t="shared" si="1292"/>
        <v>1</v>
      </c>
      <c r="C3521" s="292">
        <f t="shared" si="1293"/>
        <v>42754</v>
      </c>
      <c r="D3521" s="292" t="s">
        <v>903</v>
      </c>
      <c r="E3521" s="292">
        <v>42754</v>
      </c>
      <c r="F3521" s="293" t="s">
        <v>2434</v>
      </c>
      <c r="G3521" s="943" t="s">
        <v>747</v>
      </c>
      <c r="H3521" s="962" t="s">
        <v>2446</v>
      </c>
      <c r="I3521" s="73"/>
      <c r="J3521" s="926"/>
      <c r="K3521" s="373">
        <v>37584</v>
      </c>
      <c r="L3521" s="379">
        <v>22553</v>
      </c>
      <c r="M3521" s="927">
        <f>ROUND(L3521*K3521,0)</f>
        <v>847631952</v>
      </c>
      <c r="N3521" s="295" t="s">
        <v>26</v>
      </c>
      <c r="O3521" s="295" t="s">
        <v>250</v>
      </c>
      <c r="P3521" s="75" t="str">
        <f>IF(AND('331-CT'!$E$7=TH!H4953,OR(N3521="331",O3521="331")),"x","")</f>
        <v/>
      </c>
      <c r="Q3521" s="75" t="str">
        <f>IF(AND(B3521='111'!$L$11,OR($N3521=$Q$7,$O3521=$Q$7)),"x","")</f>
        <v/>
      </c>
      <c r="R3521" s="75" t="str">
        <f>IF(AND($N3521=$Q$7,$B3521&lt;'111'!$L$11),"x","")</f>
        <v/>
      </c>
      <c r="S3521" s="75" t="str">
        <f>IF(AND($O3521=$Q$7,$B3521&lt;'111'!$L$11),"x","")</f>
        <v/>
      </c>
      <c r="T3521" s="75" t="str">
        <f>IF(ISERROR(FIND('112'!$M$9,G3521,1)),"",IF((AND(FIND('112'!$M$9,G3521,1)&gt;=1,B3521='112'!$K$9,OR($N3521='112'!$I$6,$O3521='112'!$I$6))),"x",""))</f>
        <v/>
      </c>
      <c r="U3521" s="75" t="str">
        <f>IF(ISERROR(FIND('112'!$M$9,G3521,1)),"",IF((AND(LEFT(G3521,2)=LEFT('112'!$M$9,2),B3521&lt;'112'!$K$9,$N3521='112'!$I$6)),"x",""))</f>
        <v/>
      </c>
      <c r="V3521" s="75" t="str">
        <f>IF(ISERROR(FIND('112'!$M$9,G3521,1)),"",IF((AND(RIGHT(G3521,2)=RIGHT('112'!$M$9,2),B3521&lt;'112'!$K$9,$O3521='112'!$I$6)),"x",""))</f>
        <v/>
      </c>
      <c r="W3521" s="75" t="str">
        <f>IF(AND('341-CT'!$H$9=H3521,OR(LEFT(N3521,3)=$W$7,LEFT(O3521,3)=$W$7)),"x","")</f>
        <v/>
      </c>
      <c r="X3521" s="75" t="str">
        <f>IF(OR(TH!N4953=TH!$X$7,O3521=TH!$X$7),"x","")</f>
        <v/>
      </c>
      <c r="Y3521" s="75" t="str">
        <f>IF(AND(OR(N3521="131",O3521="131"),H3521='131-CT'!$H$9),"x","")</f>
        <v/>
      </c>
      <c r="Z3521" s="75"/>
      <c r="AA3521" s="75" t="str">
        <f>IF(AND(MONTH(E3521)='IN-NX'!$J$5,'IN-NX'!$D$7=D3521),"x","")</f>
        <v/>
      </c>
      <c r="AB3521" s="75" t="str">
        <f>IF(AND(OR(LEFT(TH!N4953,2)="15",LEFT(TH!O4953,2)="15"),LEFT(TH!O4953,3)&lt;&gt;"111",'152-CT'!$J$8=TH!F4953),"x","")</f>
        <v/>
      </c>
      <c r="AC3521" s="75" t="str">
        <f>IF(AND(OR(LEFT(TH!N4953,2)="15",LEFT(TH!O4953,2)="15"),TK!$E$7=TH!F4953),"x","")</f>
        <v/>
      </c>
      <c r="AD3521" s="75" t="str">
        <f>IF(AND(N3521="1521",MONTH(C3521)='BK-NL'!$M$11),"x","")</f>
        <v/>
      </c>
    </row>
    <row r="3522" spans="1:30" ht="16.5" customHeight="1">
      <c r="A3522" s="309" t="str">
        <f>IF(B3522&lt;&gt;"",IF(AND(B3522='IN-TC'!$S$4,OR(TH!N3522="1111",TH!O3522="1111")),TH!D3522,""),"")</f>
        <v/>
      </c>
      <c r="B3522" s="1058">
        <f t="shared" si="1292"/>
        <v>1</v>
      </c>
      <c r="C3522" s="292">
        <f t="shared" si="1293"/>
        <v>42754</v>
      </c>
      <c r="D3522" s="292" t="s">
        <v>902</v>
      </c>
      <c r="E3522" s="292">
        <v>42754</v>
      </c>
      <c r="F3522" s="62" t="s">
        <v>911</v>
      </c>
      <c r="G3522" s="62" t="s">
        <v>747</v>
      </c>
      <c r="H3522" s="311" t="s">
        <v>561</v>
      </c>
      <c r="I3522" s="73"/>
      <c r="J3522" s="926"/>
      <c r="K3522" s="373"/>
      <c r="L3522" s="379"/>
      <c r="M3522" s="927">
        <v>12985000</v>
      </c>
      <c r="N3522" s="295" t="s">
        <v>8</v>
      </c>
      <c r="O3522" s="295" t="s">
        <v>26</v>
      </c>
      <c r="P3522" s="75" t="str">
        <f>IF(AND('331-CT'!$E$7=TH!H4954,OR(N3522="331",O3522="331")),"x","")</f>
        <v/>
      </c>
      <c r="Q3522" s="75" t="str">
        <f>IF(AND(B3522='111'!$L$11,OR($N3522=$Q$7,$O3522=$Q$7)),"x","")</f>
        <v/>
      </c>
      <c r="R3522" s="75" t="str">
        <f>IF(AND($N3522=$Q$7,$B3522&lt;'111'!$L$11),"x","")</f>
        <v/>
      </c>
      <c r="S3522" s="75" t="str">
        <f>IF(AND($O3522=$Q$7,$B3522&lt;'111'!$L$11),"x","")</f>
        <v/>
      </c>
      <c r="T3522" s="75" t="str">
        <f>IF(ISERROR(FIND('112'!$M$9,G3522,1)),"",IF((AND(FIND('112'!$M$9,G3522,1)&gt;=1,B3522='112'!$K$9,OR($N3522='112'!$I$6,$O3522='112'!$I$6))),"x",""))</f>
        <v/>
      </c>
      <c r="U3522" s="75" t="str">
        <f>IF(ISERROR(FIND('112'!$M$9,G3522,1)),"",IF((AND(LEFT(G3522,2)=LEFT('112'!$M$9,2),B3522&lt;'112'!$K$9,$N3522='112'!$I$6)),"x",""))</f>
        <v/>
      </c>
      <c r="V3522" s="75" t="str">
        <f>IF(ISERROR(FIND('112'!$M$9,G3522,1)),"",IF((AND(RIGHT(G3522,2)=RIGHT('112'!$M$9,2),B3522&lt;'112'!$K$9,$O3522='112'!$I$6)),"x",""))</f>
        <v/>
      </c>
      <c r="W3522" s="75" t="str">
        <f>IF(AND('341-CT'!$H$9=H3522,OR(LEFT(N3522,3)=$W$7,LEFT(O3522,3)=$W$7)),"x","")</f>
        <v/>
      </c>
      <c r="X3522" s="75" t="str">
        <f>IF(OR(TH!N4954=TH!$X$7,O3522=TH!$X$7),"x","")</f>
        <v/>
      </c>
      <c r="Y3522" s="75" t="str">
        <f>IF(AND(OR(N3522="131",O3522="131"),H3522='131-CT'!$H$9),"x","")</f>
        <v/>
      </c>
      <c r="Z3522" s="75"/>
      <c r="AA3522" s="75" t="str">
        <f>IF(AND(MONTH(E3522)='IN-NX'!$J$5,'IN-NX'!$D$7=D3522),"x","")</f>
        <v/>
      </c>
      <c r="AB3522" s="75" t="str">
        <f>IF(AND(OR(LEFT(TH!N4954,2)="15",LEFT(TH!O4954,2)="15"),LEFT(TH!O4954,3)&lt;&gt;"111",'152-CT'!$J$8=TH!F4954),"x","")</f>
        <v/>
      </c>
      <c r="AC3522" s="75" t="str">
        <f>IF(AND(OR(LEFT(TH!N4954,2)="15",LEFT(TH!O4954,2)="15"),TK!$E$7=TH!F4954),"x","")</f>
        <v/>
      </c>
      <c r="AD3522" s="75" t="str">
        <f>IF(AND(N3522="1521",MONTH(C3522)='BK-NL'!$M$11),"x","")</f>
        <v/>
      </c>
    </row>
    <row r="3523" spans="1:30" ht="16.5" customHeight="1">
      <c r="A3523" s="309" t="str">
        <f>IF(B3523&lt;&gt;"",IF(AND(B3523='IN-TC'!$S$4,OR(TH!N3523="1111",TH!O3523="1111")),TH!D3523,""),"")</f>
        <v/>
      </c>
      <c r="B3523" s="1058">
        <f t="shared" si="1292"/>
        <v>1</v>
      </c>
      <c r="C3523" s="292">
        <f t="shared" si="1293"/>
        <v>42754</v>
      </c>
      <c r="D3523" s="292" t="s">
        <v>902</v>
      </c>
      <c r="E3523" s="292">
        <v>42754</v>
      </c>
      <c r="F3523" s="62" t="s">
        <v>870</v>
      </c>
      <c r="G3523" s="62" t="s">
        <v>747</v>
      </c>
      <c r="H3523" s="67" t="s">
        <v>835</v>
      </c>
      <c r="I3523" s="73"/>
      <c r="J3523" s="926"/>
      <c r="K3523" s="373"/>
      <c r="L3523" s="379"/>
      <c r="M3523" s="927">
        <v>10000</v>
      </c>
      <c r="N3523" s="295" t="s">
        <v>101</v>
      </c>
      <c r="O3523" s="295" t="s">
        <v>26</v>
      </c>
      <c r="P3523" s="75" t="str">
        <f>IF(AND('331-CT'!$E$7=TH!H4955,OR(N3523="331",O3523="331")),"x","")</f>
        <v/>
      </c>
      <c r="Q3523" s="75" t="str">
        <f>IF(AND(B3523='111'!$L$11,OR($N3523=$Q$7,$O3523=$Q$7)),"x","")</f>
        <v/>
      </c>
      <c r="R3523" s="75" t="str">
        <f>IF(AND($N3523=$Q$7,$B3523&lt;'111'!$L$11),"x","")</f>
        <v/>
      </c>
      <c r="S3523" s="75" t="str">
        <f>IF(AND($O3523=$Q$7,$B3523&lt;'111'!$L$11),"x","")</f>
        <v/>
      </c>
      <c r="T3523" s="75" t="str">
        <f>IF(ISERROR(FIND('112'!$M$9,G3523,1)),"",IF((AND(FIND('112'!$M$9,G3523,1)&gt;=1,B3523='112'!$K$9,OR($N3523='112'!$I$6,$O3523='112'!$I$6))),"x",""))</f>
        <v/>
      </c>
      <c r="U3523" s="75" t="str">
        <f>IF(ISERROR(FIND('112'!$M$9,G3523,1)),"",IF((AND(LEFT(G3523,2)=LEFT('112'!$M$9,2),B3523&lt;'112'!$K$9,$N3523='112'!$I$6)),"x",""))</f>
        <v/>
      </c>
      <c r="V3523" s="75" t="str">
        <f>IF(ISERROR(FIND('112'!$M$9,G3523,1)),"",IF((AND(RIGHT(G3523,2)=RIGHT('112'!$M$9,2),B3523&lt;'112'!$K$9,$O3523='112'!$I$6)),"x",""))</f>
        <v/>
      </c>
      <c r="W3523" s="75" t="str">
        <f>IF(AND('341-CT'!$H$9=H3523,OR(LEFT(N3523,3)=$W$7,LEFT(O3523,3)=$W$7)),"x","")</f>
        <v/>
      </c>
      <c r="X3523" s="75" t="str">
        <f>IF(OR(TH!N4955=TH!$X$7,O3523=TH!$X$7),"x","")</f>
        <v/>
      </c>
      <c r="Y3523" s="75" t="str">
        <f>IF(AND(OR(N3523="131",O3523="131"),H3523='131-CT'!$H$9),"x","")</f>
        <v/>
      </c>
      <c r="Z3523" s="75"/>
      <c r="AA3523" s="75" t="str">
        <f>IF(AND(MONTH(E3523)='IN-NX'!$J$5,'IN-NX'!$D$7=D3523),"x","")</f>
        <v/>
      </c>
      <c r="AB3523" s="75" t="str">
        <f>IF(AND(OR(LEFT(TH!N4955,2)="15",LEFT(TH!O4955,2)="15"),LEFT(TH!O4955,3)&lt;&gt;"111",'152-CT'!$J$8=TH!F4955),"x","")</f>
        <v/>
      </c>
      <c r="AC3523" s="75" t="str">
        <f>IF(AND(OR(LEFT(TH!N4955,2)="15",LEFT(TH!O4955,2)="15"),TK!$E$7=TH!F4955),"x","")</f>
        <v/>
      </c>
      <c r="AD3523" s="75" t="str">
        <f>IF(AND(N3523="1521",MONTH(C3523)='BK-NL'!$M$11),"x","")</f>
        <v/>
      </c>
    </row>
    <row r="3524" spans="1:30" ht="16.5" customHeight="1">
      <c r="A3524" s="309" t="str">
        <f>IF(B3524&lt;&gt;"",IF(AND(B3524='IN-TC'!$S$4,OR(TH!N3524="1111",TH!O3524="1111")),TH!D3524,""),"")</f>
        <v/>
      </c>
      <c r="B3524" s="1058">
        <f t="shared" si="1292"/>
        <v>1</v>
      </c>
      <c r="C3524" s="292">
        <f t="shared" si="1293"/>
        <v>42754</v>
      </c>
      <c r="D3524" s="292" t="s">
        <v>902</v>
      </c>
      <c r="E3524" s="292">
        <v>42754</v>
      </c>
      <c r="F3524" s="62" t="s">
        <v>898</v>
      </c>
      <c r="G3524" s="62" t="s">
        <v>747</v>
      </c>
      <c r="H3524" s="67" t="s">
        <v>835</v>
      </c>
      <c r="I3524" s="73"/>
      <c r="J3524" s="926"/>
      <c r="K3524" s="373"/>
      <c r="L3524" s="379"/>
      <c r="M3524" s="927">
        <v>1000</v>
      </c>
      <c r="N3524" s="295" t="s">
        <v>9</v>
      </c>
      <c r="O3524" s="295" t="s">
        <v>26</v>
      </c>
      <c r="P3524" s="75" t="str">
        <f>IF(AND('331-CT'!$E$7=TH!H4956,OR(N3524="331",O3524="331")),"x","")</f>
        <v/>
      </c>
      <c r="Q3524" s="75" t="str">
        <f>IF(AND(B3524='111'!$L$11,OR($N3524=$Q$7,$O3524=$Q$7)),"x","")</f>
        <v/>
      </c>
      <c r="R3524" s="75" t="str">
        <f>IF(AND($N3524=$Q$7,$B3524&lt;'111'!$L$11),"x","")</f>
        <v/>
      </c>
      <c r="S3524" s="75" t="str">
        <f>IF(AND($O3524=$Q$7,$B3524&lt;'111'!$L$11),"x","")</f>
        <v/>
      </c>
      <c r="T3524" s="75" t="str">
        <f>IF(ISERROR(FIND('112'!$M$9,G3524,1)),"",IF((AND(FIND('112'!$M$9,G3524,1)&gt;=1,B3524='112'!$K$9,OR($N3524='112'!$I$6,$O3524='112'!$I$6))),"x",""))</f>
        <v/>
      </c>
      <c r="U3524" s="75" t="str">
        <f>IF(ISERROR(FIND('112'!$M$9,G3524,1)),"",IF((AND(LEFT(G3524,2)=LEFT('112'!$M$9,2),B3524&lt;'112'!$K$9,$N3524='112'!$I$6)),"x",""))</f>
        <v/>
      </c>
      <c r="V3524" s="75" t="str">
        <f>IF(ISERROR(FIND('112'!$M$9,G3524,1)),"",IF((AND(RIGHT(G3524,2)=RIGHT('112'!$M$9,2),B3524&lt;'112'!$K$9,$O3524='112'!$I$6)),"x",""))</f>
        <v/>
      </c>
      <c r="W3524" s="75" t="str">
        <f>IF(AND('341-CT'!$H$9=H3524,OR(LEFT(N3524,3)=$W$7,LEFT(O3524,3)=$W$7)),"x","")</f>
        <v/>
      </c>
      <c r="X3524" s="75" t="str">
        <f>IF(OR(TH!N4956=TH!$X$7,O3524=TH!$X$7),"x","")</f>
        <v/>
      </c>
      <c r="Y3524" s="75" t="str">
        <f>IF(AND(OR(N3524="131",O3524="131"),H3524='131-CT'!$H$9),"x","")</f>
        <v/>
      </c>
      <c r="Z3524" s="75"/>
      <c r="AA3524" s="75" t="str">
        <f>IF(AND(MONTH(E3524)='IN-NX'!$J$5,'IN-NX'!$D$7=D3524),"x","")</f>
        <v/>
      </c>
      <c r="AB3524" s="75" t="str">
        <f>IF(AND(OR(LEFT(TH!N4956,2)="15",LEFT(TH!O4956,2)="15"),LEFT(TH!O4956,3)&lt;&gt;"111",'152-CT'!$J$8=TH!F4956),"x","")</f>
        <v/>
      </c>
      <c r="AC3524" s="75" t="str">
        <f>IF(AND(OR(LEFT(TH!N4956,2)="15",LEFT(TH!O4956,2)="15"),TK!$E$7=TH!F4956),"x","")</f>
        <v/>
      </c>
      <c r="AD3524" s="75" t="str">
        <f>IF(AND(N3524="1521",MONTH(C3524)='BK-NL'!$M$11),"x","")</f>
        <v/>
      </c>
    </row>
    <row r="3525" spans="1:30" ht="16.5" customHeight="1">
      <c r="A3525" s="309" t="str">
        <f>IF(B3525&lt;&gt;"",IF(AND(B3525='IN-TC'!$S$4,OR(TH!N3525="1111",TH!O3525="1111")),TH!D3525,""),"")</f>
        <v/>
      </c>
      <c r="B3525" s="1058">
        <f t="shared" si="1292"/>
        <v>1</v>
      </c>
      <c r="C3525" s="292">
        <f t="shared" si="1293"/>
        <v>42754</v>
      </c>
      <c r="D3525" s="292" t="s">
        <v>902</v>
      </c>
      <c r="E3525" s="292">
        <v>42754</v>
      </c>
      <c r="F3525" s="62" t="s">
        <v>911</v>
      </c>
      <c r="G3525" s="62" t="s">
        <v>747</v>
      </c>
      <c r="H3525" s="311" t="s">
        <v>561</v>
      </c>
      <c r="I3525" s="73"/>
      <c r="J3525" s="926"/>
      <c r="K3525" s="373"/>
      <c r="L3525" s="379"/>
      <c r="M3525" s="927">
        <v>1560000</v>
      </c>
      <c r="N3525" s="295" t="s">
        <v>8</v>
      </c>
      <c r="O3525" s="295" t="s">
        <v>26</v>
      </c>
      <c r="P3525" s="75" t="str">
        <f>IF(AND('331-CT'!$E$7=TH!H4957,OR(N3525="331",O3525="331")),"x","")</f>
        <v/>
      </c>
      <c r="Q3525" s="75" t="str">
        <f>IF(AND(B3525='111'!$L$11,OR($N3525=$Q$7,$O3525=$Q$7)),"x","")</f>
        <v/>
      </c>
      <c r="R3525" s="75" t="str">
        <f>IF(AND($N3525=$Q$7,$B3525&lt;'111'!$L$11),"x","")</f>
        <v/>
      </c>
      <c r="S3525" s="75" t="str">
        <f>IF(AND($O3525=$Q$7,$B3525&lt;'111'!$L$11),"x","")</f>
        <v/>
      </c>
      <c r="T3525" s="75" t="str">
        <f>IF(ISERROR(FIND('112'!$M$9,G3525,1)),"",IF((AND(FIND('112'!$M$9,G3525,1)&gt;=1,B3525='112'!$K$9,OR($N3525='112'!$I$6,$O3525='112'!$I$6))),"x",""))</f>
        <v/>
      </c>
      <c r="U3525" s="75" t="str">
        <f>IF(ISERROR(FIND('112'!$M$9,G3525,1)),"",IF((AND(LEFT(G3525,2)=LEFT('112'!$M$9,2),B3525&lt;'112'!$K$9,$N3525='112'!$I$6)),"x",""))</f>
        <v/>
      </c>
      <c r="V3525" s="75" t="str">
        <f>IF(ISERROR(FIND('112'!$M$9,G3525,1)),"",IF((AND(RIGHT(G3525,2)=RIGHT('112'!$M$9,2),B3525&lt;'112'!$K$9,$O3525='112'!$I$6)),"x",""))</f>
        <v/>
      </c>
      <c r="W3525" s="75" t="str">
        <f>IF(AND('341-CT'!$H$9=H3525,OR(LEFT(N3525,3)=$W$7,LEFT(O3525,3)=$W$7)),"x","")</f>
        <v/>
      </c>
      <c r="X3525" s="75" t="str">
        <f>IF(OR(TH!N4957=TH!$X$7,O3525=TH!$X$7),"x","")</f>
        <v/>
      </c>
      <c r="Y3525" s="75" t="str">
        <f>IF(AND(OR(N3525="131",O3525="131"),H3525='131-CT'!$H$9),"x","")</f>
        <v/>
      </c>
      <c r="Z3525" s="75"/>
      <c r="AA3525" s="75" t="str">
        <f>IF(AND(MONTH(E3525)='IN-NX'!$J$5,'IN-NX'!$D$7=D3525),"x","")</f>
        <v/>
      </c>
      <c r="AB3525" s="75" t="str">
        <f>IF(AND(OR(LEFT(TH!N4957,2)="15",LEFT(TH!O4957,2)="15"),LEFT(TH!O4957,3)&lt;&gt;"111",'152-CT'!$J$8=TH!F4957),"x","")</f>
        <v/>
      </c>
      <c r="AC3525" s="75" t="str">
        <f>IF(AND(OR(LEFT(TH!N4957,2)="15",LEFT(TH!O4957,2)="15"),TK!$E$7=TH!F4957),"x","")</f>
        <v/>
      </c>
      <c r="AD3525" s="75" t="str">
        <f>IF(AND(N3525="1521",MONTH(C3525)='BK-NL'!$M$11),"x","")</f>
        <v/>
      </c>
    </row>
    <row r="3526" spans="1:30" ht="16.5" customHeight="1">
      <c r="A3526" s="309" t="str">
        <f>IF(B3526&lt;&gt;"",IF(AND(B3526='IN-TC'!$S$4,OR(TH!N3526="1111",TH!O3526="1111")),TH!D3526,""),"")</f>
        <v/>
      </c>
      <c r="B3526" s="1058">
        <f t="shared" si="1292"/>
        <v>1</v>
      </c>
      <c r="C3526" s="292">
        <f t="shared" si="1293"/>
        <v>42754</v>
      </c>
      <c r="D3526" s="292" t="s">
        <v>902</v>
      </c>
      <c r="E3526" s="292">
        <v>42754</v>
      </c>
      <c r="F3526" s="62" t="s">
        <v>870</v>
      </c>
      <c r="G3526" s="62" t="s">
        <v>747</v>
      </c>
      <c r="H3526" s="67" t="s">
        <v>835</v>
      </c>
      <c r="I3526" s="73"/>
      <c r="J3526" s="926"/>
      <c r="K3526" s="373"/>
      <c r="L3526" s="379"/>
      <c r="M3526" s="927">
        <v>10000</v>
      </c>
      <c r="N3526" s="295" t="s">
        <v>101</v>
      </c>
      <c r="O3526" s="295" t="s">
        <v>26</v>
      </c>
      <c r="P3526" s="75" t="str">
        <f>IF(AND('331-CT'!$E$7=TH!H4958,OR(N3526="331",O3526="331")),"x","")</f>
        <v/>
      </c>
      <c r="Q3526" s="75" t="str">
        <f>IF(AND(B3526='111'!$L$11,OR($N3526=$Q$7,$O3526=$Q$7)),"x","")</f>
        <v/>
      </c>
      <c r="R3526" s="75" t="str">
        <f>IF(AND($N3526=$Q$7,$B3526&lt;'111'!$L$11),"x","")</f>
        <v/>
      </c>
      <c r="S3526" s="75" t="str">
        <f>IF(AND($O3526=$Q$7,$B3526&lt;'111'!$L$11),"x","")</f>
        <v/>
      </c>
      <c r="T3526" s="75" t="str">
        <f>IF(ISERROR(FIND('112'!$M$9,G3526,1)),"",IF((AND(FIND('112'!$M$9,G3526,1)&gt;=1,B3526='112'!$K$9,OR($N3526='112'!$I$6,$O3526='112'!$I$6))),"x",""))</f>
        <v/>
      </c>
      <c r="U3526" s="75" t="str">
        <f>IF(ISERROR(FIND('112'!$M$9,G3526,1)),"",IF((AND(LEFT(G3526,2)=LEFT('112'!$M$9,2),B3526&lt;'112'!$K$9,$N3526='112'!$I$6)),"x",""))</f>
        <v/>
      </c>
      <c r="V3526" s="75" t="str">
        <f>IF(ISERROR(FIND('112'!$M$9,G3526,1)),"",IF((AND(RIGHT(G3526,2)=RIGHT('112'!$M$9,2),B3526&lt;'112'!$K$9,$O3526='112'!$I$6)),"x",""))</f>
        <v/>
      </c>
      <c r="W3526" s="75" t="str">
        <f>IF(AND('341-CT'!$H$9=H3526,OR(LEFT(N3526,3)=$W$7,LEFT(O3526,3)=$W$7)),"x","")</f>
        <v/>
      </c>
      <c r="X3526" s="75" t="str">
        <f>IF(OR(TH!N4958=TH!$X$7,O3526=TH!$X$7),"x","")</f>
        <v/>
      </c>
      <c r="Y3526" s="75" t="str">
        <f>IF(AND(OR(N3526="131",O3526="131"),H3526='131-CT'!$H$9),"x","")</f>
        <v/>
      </c>
      <c r="Z3526" s="75"/>
      <c r="AA3526" s="75" t="str">
        <f>IF(AND(MONTH(E3526)='IN-NX'!$J$5,'IN-NX'!$D$7=D3526),"x","")</f>
        <v/>
      </c>
      <c r="AB3526" s="75" t="str">
        <f>IF(AND(OR(LEFT(TH!N4958,2)="15",LEFT(TH!O4958,2)="15"),LEFT(TH!O4958,3)&lt;&gt;"111",'152-CT'!$J$8=TH!F4958),"x","")</f>
        <v/>
      </c>
      <c r="AC3526" s="75" t="str">
        <f>IF(AND(OR(LEFT(TH!N4958,2)="15",LEFT(TH!O4958,2)="15"),TK!$E$7=TH!F4958),"x","")</f>
        <v/>
      </c>
      <c r="AD3526" s="75" t="str">
        <f>IF(AND(N3526="1521",MONTH(C3526)='BK-NL'!$M$11),"x","")</f>
        <v/>
      </c>
    </row>
    <row r="3527" spans="1:30" ht="16.5" customHeight="1">
      <c r="A3527" s="309" t="str">
        <f>IF(B3527&lt;&gt;"",IF(AND(B3527='IN-TC'!$S$4,OR(TH!N3527="1111",TH!O3527="1111")),TH!D3527,""),"")</f>
        <v/>
      </c>
      <c r="B3527" s="1058">
        <f t="shared" si="1292"/>
        <v>1</v>
      </c>
      <c r="C3527" s="292">
        <f t="shared" si="1293"/>
        <v>42754</v>
      </c>
      <c r="D3527" s="292" t="s">
        <v>902</v>
      </c>
      <c r="E3527" s="292">
        <v>42754</v>
      </c>
      <c r="F3527" s="62" t="s">
        <v>898</v>
      </c>
      <c r="G3527" s="62" t="s">
        <v>747</v>
      </c>
      <c r="H3527" s="67" t="s">
        <v>835</v>
      </c>
      <c r="I3527" s="73"/>
      <c r="J3527" s="926"/>
      <c r="K3527" s="373"/>
      <c r="L3527" s="379"/>
      <c r="M3527" s="927">
        <v>1000</v>
      </c>
      <c r="N3527" s="295" t="s">
        <v>9</v>
      </c>
      <c r="O3527" s="295" t="s">
        <v>26</v>
      </c>
      <c r="P3527" s="75" t="str">
        <f>IF(AND('331-CT'!$E$7=TH!H4959,OR(N3527="331",O3527="331")),"x","")</f>
        <v/>
      </c>
      <c r="Q3527" s="75" t="str">
        <f>IF(AND(B3527='111'!$L$11,OR($N3527=$Q$7,$O3527=$Q$7)),"x","")</f>
        <v/>
      </c>
      <c r="R3527" s="75" t="str">
        <f>IF(AND($N3527=$Q$7,$B3527&lt;'111'!$L$11),"x","")</f>
        <v/>
      </c>
      <c r="S3527" s="75" t="str">
        <f>IF(AND($O3527=$Q$7,$B3527&lt;'111'!$L$11),"x","")</f>
        <v/>
      </c>
      <c r="T3527" s="75" t="str">
        <f>IF(ISERROR(FIND('112'!$M$9,G3527,1)),"",IF((AND(FIND('112'!$M$9,G3527,1)&gt;=1,B3527='112'!$K$9,OR($N3527='112'!$I$6,$O3527='112'!$I$6))),"x",""))</f>
        <v/>
      </c>
      <c r="U3527" s="75" t="str">
        <f>IF(ISERROR(FIND('112'!$M$9,G3527,1)),"",IF((AND(LEFT(G3527,2)=LEFT('112'!$M$9,2),B3527&lt;'112'!$K$9,$N3527='112'!$I$6)),"x",""))</f>
        <v/>
      </c>
      <c r="V3527" s="75" t="str">
        <f>IF(ISERROR(FIND('112'!$M$9,G3527,1)),"",IF((AND(RIGHT(G3527,2)=RIGHT('112'!$M$9,2),B3527&lt;'112'!$K$9,$O3527='112'!$I$6)),"x",""))</f>
        <v/>
      </c>
      <c r="W3527" s="75" t="str">
        <f>IF(AND('341-CT'!$H$9=H3527,OR(LEFT(N3527,3)=$W$7,LEFT(O3527,3)=$W$7)),"x","")</f>
        <v/>
      </c>
      <c r="X3527" s="75" t="str">
        <f>IF(OR(TH!N4959=TH!$X$7,O3527=TH!$X$7),"x","")</f>
        <v/>
      </c>
      <c r="Y3527" s="75" t="str">
        <f>IF(AND(OR(N3527="131",O3527="131"),H3527='131-CT'!$H$9),"x","")</f>
        <v/>
      </c>
      <c r="Z3527" s="75"/>
      <c r="AA3527" s="75" t="str">
        <f>IF(AND(MONTH(E3527)='IN-NX'!$J$5,'IN-NX'!$D$7=D3527),"x","")</f>
        <v/>
      </c>
      <c r="AB3527" s="75" t="str">
        <f>IF(AND(OR(LEFT(TH!N4959,2)="15",LEFT(TH!O4959,2)="15"),LEFT(TH!O4959,3)&lt;&gt;"111",'152-CT'!$J$8=TH!F4959),"x","")</f>
        <v/>
      </c>
      <c r="AC3527" s="75" t="str">
        <f>IF(AND(OR(LEFT(TH!N4959,2)="15",LEFT(TH!O4959,2)="15"),TK!$E$7=TH!F4959),"x","")</f>
        <v/>
      </c>
      <c r="AD3527" s="75" t="str">
        <f>IF(AND(N3527="1521",MONTH(C3527)='BK-NL'!$M$11),"x","")</f>
        <v/>
      </c>
    </row>
    <row r="3528" spans="1:30" ht="16.5" customHeight="1">
      <c r="A3528" s="309" t="str">
        <f>IF(B3528&lt;&gt;"",IF(AND(B3528='IN-TC'!$S$4,OR(TH!N3528="1111",TH!O3528="1111")),TH!D3528,""),"")</f>
        <v/>
      </c>
      <c r="B3528" s="1058">
        <f t="shared" si="1292"/>
        <v>1</v>
      </c>
      <c r="C3528" s="292">
        <f t="shared" ref="C3528:C3559" si="1294">E3528</f>
        <v>42754</v>
      </c>
      <c r="D3528" s="292" t="s">
        <v>902</v>
      </c>
      <c r="E3528" s="292">
        <v>42754</v>
      </c>
      <c r="F3528" s="62" t="s">
        <v>912</v>
      </c>
      <c r="G3528" s="62" t="s">
        <v>747</v>
      </c>
      <c r="H3528" s="311" t="s">
        <v>563</v>
      </c>
      <c r="I3528" s="73"/>
      <c r="J3528" s="926"/>
      <c r="K3528" s="373"/>
      <c r="L3528" s="379"/>
      <c r="M3528" s="927">
        <v>31261560</v>
      </c>
      <c r="N3528" s="295" t="s">
        <v>8</v>
      </c>
      <c r="O3528" s="295" t="s">
        <v>26</v>
      </c>
      <c r="P3528" s="75" t="str">
        <f>IF(AND('331-CT'!$E$7=TH!H4960,OR(N3528="331",O3528="331")),"x","")</f>
        <v/>
      </c>
      <c r="Q3528" s="75" t="str">
        <f>IF(AND(B3528='111'!$L$11,OR($N3528=$Q$7,$O3528=$Q$7)),"x","")</f>
        <v/>
      </c>
      <c r="R3528" s="75" t="str">
        <f>IF(AND($N3528=$Q$7,$B3528&lt;'111'!$L$11),"x","")</f>
        <v/>
      </c>
      <c r="S3528" s="75" t="str">
        <f>IF(AND($O3528=$Q$7,$B3528&lt;'111'!$L$11),"x","")</f>
        <v/>
      </c>
      <c r="T3528" s="75" t="str">
        <f>IF(ISERROR(FIND('112'!$M$9,G3528,1)),"",IF((AND(FIND('112'!$M$9,G3528,1)&gt;=1,B3528='112'!$K$9,OR($N3528='112'!$I$6,$O3528='112'!$I$6))),"x",""))</f>
        <v/>
      </c>
      <c r="U3528" s="75" t="str">
        <f>IF(ISERROR(FIND('112'!$M$9,G3528,1)),"",IF((AND(LEFT(G3528,2)=LEFT('112'!$M$9,2),B3528&lt;'112'!$K$9,$N3528='112'!$I$6)),"x",""))</f>
        <v/>
      </c>
      <c r="V3528" s="75" t="str">
        <f>IF(ISERROR(FIND('112'!$M$9,G3528,1)),"",IF((AND(RIGHT(G3528,2)=RIGHT('112'!$M$9,2),B3528&lt;'112'!$K$9,$O3528='112'!$I$6)),"x",""))</f>
        <v/>
      </c>
      <c r="W3528" s="75" t="str">
        <f>IF(AND('341-CT'!$H$9=H3528,OR(LEFT(N3528,3)=$W$7,LEFT(O3528,3)=$W$7)),"x","")</f>
        <v/>
      </c>
      <c r="X3528" s="75" t="str">
        <f>IF(OR(TH!N4960=TH!$X$7,O3528=TH!$X$7),"x","")</f>
        <v/>
      </c>
      <c r="Y3528" s="75" t="str">
        <f>IF(AND(OR(N3528="131",O3528="131"),H3528='131-CT'!$H$9),"x","")</f>
        <v/>
      </c>
      <c r="Z3528" s="75"/>
      <c r="AA3528" s="75" t="str">
        <f>IF(AND(MONTH(E3528)='IN-NX'!$J$5,'IN-NX'!$D$7=D3528),"x","")</f>
        <v/>
      </c>
      <c r="AB3528" s="75" t="str">
        <f>IF(AND(OR(LEFT(TH!N4960,2)="15",LEFT(TH!O4960,2)="15"),LEFT(TH!O4960,3)&lt;&gt;"111",'152-CT'!$J$8=TH!F4960),"x","")</f>
        <v/>
      </c>
      <c r="AC3528" s="75" t="str">
        <f>IF(AND(OR(LEFT(TH!N4960,2)="15",LEFT(TH!O4960,2)="15"),TK!$E$7=TH!F4960),"x","")</f>
        <v/>
      </c>
      <c r="AD3528" s="75" t="str">
        <f>IF(AND(N3528="1521",MONTH(C3528)='BK-NL'!$M$11),"x","")</f>
        <v/>
      </c>
    </row>
    <row r="3529" spans="1:30" ht="16.5" customHeight="1">
      <c r="A3529" s="309" t="str">
        <f>IF(B3529&lt;&gt;"",IF(AND(B3529='IN-TC'!$S$4,OR(TH!N3529="1111",TH!O3529="1111")),TH!D3529,""),"")</f>
        <v/>
      </c>
      <c r="B3529" s="1058">
        <f t="shared" si="1292"/>
        <v>1</v>
      </c>
      <c r="C3529" s="292">
        <f t="shared" si="1294"/>
        <v>42754</v>
      </c>
      <c r="D3529" s="292" t="s">
        <v>902</v>
      </c>
      <c r="E3529" s="292">
        <v>42754</v>
      </c>
      <c r="F3529" s="62" t="s">
        <v>870</v>
      </c>
      <c r="G3529" s="62" t="s">
        <v>747</v>
      </c>
      <c r="H3529" s="67" t="s">
        <v>835</v>
      </c>
      <c r="I3529" s="73"/>
      <c r="J3529" s="926"/>
      <c r="K3529" s="373"/>
      <c r="L3529" s="379"/>
      <c r="M3529" s="927">
        <v>10000</v>
      </c>
      <c r="N3529" s="295" t="s">
        <v>101</v>
      </c>
      <c r="O3529" s="295" t="s">
        <v>26</v>
      </c>
      <c r="P3529" s="75" t="str">
        <f>IF(AND('331-CT'!$E$7=TH!H4961,OR(N3529="331",O3529="331")),"x","")</f>
        <v/>
      </c>
      <c r="Q3529" s="75" t="str">
        <f>IF(AND(B3529='111'!$L$11,OR($N3529=$Q$7,$O3529=$Q$7)),"x","")</f>
        <v/>
      </c>
      <c r="R3529" s="75" t="str">
        <f>IF(AND($N3529=$Q$7,$B3529&lt;'111'!$L$11),"x","")</f>
        <v/>
      </c>
      <c r="S3529" s="75" t="str">
        <f>IF(AND($O3529=$Q$7,$B3529&lt;'111'!$L$11),"x","")</f>
        <v/>
      </c>
      <c r="T3529" s="75" t="str">
        <f>IF(ISERROR(FIND('112'!$M$9,G3529,1)),"",IF((AND(FIND('112'!$M$9,G3529,1)&gt;=1,B3529='112'!$K$9,OR($N3529='112'!$I$6,$O3529='112'!$I$6))),"x",""))</f>
        <v/>
      </c>
      <c r="U3529" s="75" t="str">
        <f>IF(ISERROR(FIND('112'!$M$9,G3529,1)),"",IF((AND(LEFT(G3529,2)=LEFT('112'!$M$9,2),B3529&lt;'112'!$K$9,$N3529='112'!$I$6)),"x",""))</f>
        <v/>
      </c>
      <c r="V3529" s="75" t="str">
        <f>IF(ISERROR(FIND('112'!$M$9,G3529,1)),"",IF((AND(RIGHT(G3529,2)=RIGHT('112'!$M$9,2),B3529&lt;'112'!$K$9,$O3529='112'!$I$6)),"x",""))</f>
        <v/>
      </c>
      <c r="W3529" s="75" t="str">
        <f>IF(AND('341-CT'!$H$9=H3529,OR(LEFT(N3529,3)=$W$7,LEFT(O3529,3)=$W$7)),"x","")</f>
        <v/>
      </c>
      <c r="X3529" s="75" t="str">
        <f>IF(OR(TH!N4961=TH!$X$7,O3529=TH!$X$7),"x","")</f>
        <v/>
      </c>
      <c r="Y3529" s="75" t="str">
        <f>IF(AND(OR(N3529="131",O3529="131"),H3529='131-CT'!$H$9),"x","")</f>
        <v/>
      </c>
      <c r="Z3529" s="75"/>
      <c r="AA3529" s="75" t="str">
        <f>IF(AND(MONTH(E3529)='IN-NX'!$J$5,'IN-NX'!$D$7=D3529),"x","")</f>
        <v/>
      </c>
      <c r="AB3529" s="75" t="str">
        <f>IF(AND(OR(LEFT(TH!N4961,2)="15",LEFT(TH!O4961,2)="15"),LEFT(TH!O4961,3)&lt;&gt;"111",'152-CT'!$J$8=TH!F4961),"x","")</f>
        <v/>
      </c>
      <c r="AC3529" s="75" t="str">
        <f>IF(AND(OR(LEFT(TH!N4961,2)="15",LEFT(TH!O4961,2)="15"),TK!$E$7=TH!F4961),"x","")</f>
        <v/>
      </c>
      <c r="AD3529" s="75" t="str">
        <f>IF(AND(N3529="1521",MONTH(C3529)='BK-NL'!$M$11),"x","")</f>
        <v/>
      </c>
    </row>
    <row r="3530" spans="1:30" ht="16.5" customHeight="1">
      <c r="A3530" s="309" t="str">
        <f>IF(B3530&lt;&gt;"",IF(AND(B3530='IN-TC'!$S$4,OR(TH!N3530="1111",TH!O3530="1111")),TH!D3530,""),"")</f>
        <v/>
      </c>
      <c r="B3530" s="1058">
        <f t="shared" si="1292"/>
        <v>1</v>
      </c>
      <c r="C3530" s="292">
        <f t="shared" si="1294"/>
        <v>42754</v>
      </c>
      <c r="D3530" s="292" t="s">
        <v>902</v>
      </c>
      <c r="E3530" s="292">
        <v>42754</v>
      </c>
      <c r="F3530" s="62" t="s">
        <v>898</v>
      </c>
      <c r="G3530" s="62" t="s">
        <v>747</v>
      </c>
      <c r="H3530" s="67" t="s">
        <v>835</v>
      </c>
      <c r="I3530" s="73"/>
      <c r="J3530" s="926"/>
      <c r="K3530" s="373"/>
      <c r="L3530" s="379"/>
      <c r="M3530" s="927">
        <v>1000</v>
      </c>
      <c r="N3530" s="295" t="s">
        <v>9</v>
      </c>
      <c r="O3530" s="295" t="s">
        <v>26</v>
      </c>
      <c r="P3530" s="75" t="str">
        <f>IF(AND('331-CT'!$E$7=TH!H4962,OR(N3530="331",O3530="331")),"x","")</f>
        <v/>
      </c>
      <c r="Q3530" s="75" t="str">
        <f>IF(AND(B3530='111'!$L$11,OR($N3530=$Q$7,$O3530=$Q$7)),"x","")</f>
        <v/>
      </c>
      <c r="R3530" s="75" t="str">
        <f>IF(AND($N3530=$Q$7,$B3530&lt;'111'!$L$11),"x","")</f>
        <v/>
      </c>
      <c r="S3530" s="75" t="str">
        <f>IF(AND($O3530=$Q$7,$B3530&lt;'111'!$L$11),"x","")</f>
        <v/>
      </c>
      <c r="T3530" s="75" t="str">
        <f>IF(ISERROR(FIND('112'!$M$9,G3530,1)),"",IF((AND(FIND('112'!$M$9,G3530,1)&gt;=1,B3530='112'!$K$9,OR($N3530='112'!$I$6,$O3530='112'!$I$6))),"x",""))</f>
        <v/>
      </c>
      <c r="U3530" s="75" t="str">
        <f>IF(ISERROR(FIND('112'!$M$9,G3530,1)),"",IF((AND(LEFT(G3530,2)=LEFT('112'!$M$9,2),B3530&lt;'112'!$K$9,$N3530='112'!$I$6)),"x",""))</f>
        <v/>
      </c>
      <c r="V3530" s="75" t="str">
        <f>IF(ISERROR(FIND('112'!$M$9,G3530,1)),"",IF((AND(RIGHT(G3530,2)=RIGHT('112'!$M$9,2),B3530&lt;'112'!$K$9,$O3530='112'!$I$6)),"x",""))</f>
        <v/>
      </c>
      <c r="W3530" s="75" t="str">
        <f>IF(AND('341-CT'!$H$9=H3530,OR(LEFT(N3530,3)=$W$7,LEFT(O3530,3)=$W$7)),"x","")</f>
        <v/>
      </c>
      <c r="X3530" s="75" t="str">
        <f>IF(OR(TH!N4962=TH!$X$7,O3530=TH!$X$7),"x","")</f>
        <v/>
      </c>
      <c r="Y3530" s="75" t="str">
        <f>IF(AND(OR(N3530="131",O3530="131"),H3530='131-CT'!$H$9),"x","")</f>
        <v/>
      </c>
      <c r="Z3530" s="75"/>
      <c r="AA3530" s="75" t="str">
        <f>IF(AND(MONTH(E3530)='IN-NX'!$J$5,'IN-NX'!$D$7=D3530),"x","")</f>
        <v/>
      </c>
      <c r="AB3530" s="75" t="str">
        <f>IF(AND(OR(LEFT(TH!N4962,2)="15",LEFT(TH!O4962,2)="15"),LEFT(TH!O4962,3)&lt;&gt;"111",'152-CT'!$J$8=TH!F4962),"x","")</f>
        <v/>
      </c>
      <c r="AC3530" s="75" t="str">
        <f>IF(AND(OR(LEFT(TH!N4962,2)="15",LEFT(TH!O4962,2)="15"),TK!$E$7=TH!F4962),"x","")</f>
        <v/>
      </c>
      <c r="AD3530" s="75" t="str">
        <f>IF(AND(N3530="1521",MONTH(C3530)='BK-NL'!$M$11),"x","")</f>
        <v/>
      </c>
    </row>
    <row r="3531" spans="1:30" ht="16.5" customHeight="1">
      <c r="A3531" s="309" t="str">
        <f>IF(B3531&lt;&gt;"",IF(AND(B3531='IN-TC'!$S$4,OR(TH!N3531="1111",TH!O3531="1111")),TH!D3531,""),"")</f>
        <v/>
      </c>
      <c r="B3531" s="1058">
        <f t="shared" si="1292"/>
        <v>1</v>
      </c>
      <c r="C3531" s="292">
        <f t="shared" si="1294"/>
        <v>42754</v>
      </c>
      <c r="D3531" s="292" t="s">
        <v>903</v>
      </c>
      <c r="E3531" s="292">
        <v>42754</v>
      </c>
      <c r="F3531" s="293" t="s">
        <v>2435</v>
      </c>
      <c r="G3531" s="62" t="s">
        <v>747</v>
      </c>
      <c r="H3531" s="962" t="s">
        <v>2447</v>
      </c>
      <c r="I3531" s="73"/>
      <c r="J3531" s="926"/>
      <c r="K3531" s="373">
        <v>51100</v>
      </c>
      <c r="L3531" s="379">
        <v>22553</v>
      </c>
      <c r="M3531" s="927">
        <f>ROUND(L3531*K3531,0)</f>
        <v>1152458300</v>
      </c>
      <c r="N3531" s="295" t="s">
        <v>26</v>
      </c>
      <c r="O3531" s="295" t="s">
        <v>250</v>
      </c>
      <c r="P3531" s="75" t="str">
        <f>IF(AND('331-CT'!$E$7=TH!H4963,OR(N3531="331",O3531="331")),"x","")</f>
        <v/>
      </c>
      <c r="Q3531" s="75" t="str">
        <f>IF(AND(B3531='111'!$L$11,OR($N3531=$Q$7,$O3531=$Q$7)),"x","")</f>
        <v/>
      </c>
      <c r="R3531" s="75" t="str">
        <f>IF(AND($N3531=$Q$7,$B3531&lt;'111'!$L$11),"x","")</f>
        <v/>
      </c>
      <c r="S3531" s="75" t="str">
        <f>IF(AND($O3531=$Q$7,$B3531&lt;'111'!$L$11),"x","")</f>
        <v/>
      </c>
      <c r="T3531" s="75" t="str">
        <f>IF(ISERROR(FIND('112'!$M$9,G3531,1)),"",IF((AND(FIND('112'!$M$9,G3531,1)&gt;=1,B3531='112'!$K$9,OR($N3531='112'!$I$6,$O3531='112'!$I$6))),"x",""))</f>
        <v/>
      </c>
      <c r="U3531" s="75" t="str">
        <f>IF(ISERROR(FIND('112'!$M$9,G3531,1)),"",IF((AND(LEFT(G3531,2)=LEFT('112'!$M$9,2),B3531&lt;'112'!$K$9,$N3531='112'!$I$6)),"x",""))</f>
        <v/>
      </c>
      <c r="V3531" s="75" t="str">
        <f>IF(ISERROR(FIND('112'!$M$9,G3531,1)),"",IF((AND(RIGHT(G3531,2)=RIGHT('112'!$M$9,2),B3531&lt;'112'!$K$9,$O3531='112'!$I$6)),"x",""))</f>
        <v/>
      </c>
      <c r="W3531" s="75" t="str">
        <f>IF(AND('341-CT'!$H$9=H3531,OR(LEFT(N3531,3)=$W$7,LEFT(O3531,3)=$W$7)),"x","")</f>
        <v/>
      </c>
      <c r="X3531" s="75" t="str">
        <f>IF(OR(TH!N4963=TH!$X$7,O3531=TH!$X$7),"x","")</f>
        <v/>
      </c>
      <c r="Y3531" s="75" t="str">
        <f>IF(AND(OR(N3531="131",O3531="131"),H3531='131-CT'!$H$9),"x","")</f>
        <v/>
      </c>
      <c r="Z3531" s="75"/>
      <c r="AA3531" s="75" t="str">
        <f>IF(AND(MONTH(E3531)='IN-NX'!$J$5,'IN-NX'!$D$7=D3531),"x","")</f>
        <v/>
      </c>
      <c r="AB3531" s="75" t="str">
        <f>IF(AND(OR(LEFT(TH!N4963,2)="15",LEFT(TH!O4963,2)="15"),LEFT(TH!O4963,3)&lt;&gt;"111",'152-CT'!$J$8=TH!F4963),"x","")</f>
        <v/>
      </c>
      <c r="AC3531" s="75" t="str">
        <f>IF(AND(OR(LEFT(TH!N4963,2)="15",LEFT(TH!O4963,2)="15"),TK!$E$7=TH!F4963),"x","")</f>
        <v/>
      </c>
      <c r="AD3531" s="75" t="str">
        <f>IF(AND(N3531="1521",MONTH(C3531)='BK-NL'!$M$11),"x","")</f>
        <v/>
      </c>
    </row>
    <row r="3532" spans="1:30" ht="16.5" customHeight="1">
      <c r="A3532" s="309" t="str">
        <f>IF(B3532&lt;&gt;"",IF(AND(B3532='IN-TC'!$S$4,OR(TH!N3532="1111",TH!O3532="1111")),TH!D3532,""),"")</f>
        <v/>
      </c>
      <c r="B3532" s="1058">
        <f t="shared" si="1292"/>
        <v>1</v>
      </c>
      <c r="C3532" s="292">
        <f t="shared" si="1294"/>
        <v>42755</v>
      </c>
      <c r="D3532" s="292" t="s">
        <v>1946</v>
      </c>
      <c r="E3532" s="292">
        <v>42755</v>
      </c>
      <c r="F3532" s="293" t="s">
        <v>959</v>
      </c>
      <c r="G3532" s="925" t="s">
        <v>964</v>
      </c>
      <c r="H3532" s="67" t="s">
        <v>965</v>
      </c>
      <c r="I3532" s="373"/>
      <c r="J3532" s="926"/>
      <c r="K3532" s="373"/>
      <c r="L3532" s="379"/>
      <c r="M3532" s="927">
        <v>354533</v>
      </c>
      <c r="N3532" s="295" t="s">
        <v>101</v>
      </c>
      <c r="O3532" s="295" t="s">
        <v>63</v>
      </c>
      <c r="P3532" s="75" t="str">
        <f>IF(AND('331-CT'!$E$7=TH!H3453,OR(N3532="331",O3532="331")),"x","")</f>
        <v/>
      </c>
      <c r="Q3532" s="75" t="str">
        <f>IF(AND(B3532='111'!$L$11,OR($N3532=$Q$7,$O3532=$Q$7)),"x","")</f>
        <v/>
      </c>
      <c r="R3532" s="75" t="str">
        <f>IF(AND($N3532=$Q$7,$B3532&lt;'111'!$L$11),"x","")</f>
        <v/>
      </c>
      <c r="S3532" s="75" t="str">
        <f>IF(AND($O3532=$Q$7,$B3532&lt;'111'!$L$11),"x","")</f>
        <v>x</v>
      </c>
      <c r="T3532" s="75" t="str">
        <f>IF(ISERROR(FIND('112'!$M$9,G3532,1)),"",IF((AND(FIND('112'!$M$9,G3532,1)&gt;=1,B3532='112'!$K$9,OR($N3532='112'!$I$6,$O3532='112'!$I$6))),"x",""))</f>
        <v/>
      </c>
      <c r="U3532" s="75" t="str">
        <f>IF(ISERROR(FIND('112'!$M$9,G3532,1)),"",IF((AND(LEFT(G3532,2)=LEFT('112'!$M$9,2),B3532&lt;'112'!$K$9,$N3532='112'!$I$6)),"x",""))</f>
        <v/>
      </c>
      <c r="V3532" s="75" t="str">
        <f>IF(ISERROR(FIND('112'!$M$9,G3532,1)),"",IF((AND(RIGHT(G3532,2)=RIGHT('112'!$M$9,2),B3532&lt;'112'!$K$9,$O3532='112'!$I$6)),"x",""))</f>
        <v/>
      </c>
      <c r="W3532" s="75" t="str">
        <f>IF(AND('341-CT'!$H$9=H3532,OR(LEFT(N3532,3)=$W$7,LEFT(O3532,3)=$W$7)),"x","")</f>
        <v/>
      </c>
      <c r="X3532" s="75" t="str">
        <f>IF(OR(TH!N3453=TH!$X$7,O3532=TH!$X$7),"x","")</f>
        <v/>
      </c>
      <c r="Y3532" s="75" t="str">
        <f>IF(AND(OR(N3532="131",O3532="131"),H3532='131-CT'!$H$9),"x","")</f>
        <v/>
      </c>
      <c r="Z3532" s="75"/>
      <c r="AA3532" s="75" t="str">
        <f>IF(AND(MONTH(E3532)='IN-NX'!$J$5,'IN-NX'!$D$7=D3532),"x","")</f>
        <v/>
      </c>
      <c r="AB3532" s="75" t="str">
        <f>IF(AND(OR(LEFT(TH!N3453,2)="15",LEFT(TH!O3453,2)="15"),LEFT(TH!O3453,3)&lt;&gt;"111",'152-CT'!$J$8=TH!F3453),"x","")</f>
        <v/>
      </c>
      <c r="AC3532" s="75" t="str">
        <f>IF(AND(OR(LEFT(TH!N3453,2)="15",LEFT(TH!O3453,2)="15"),TK!$E$7=TH!F3453),"x","")</f>
        <v/>
      </c>
      <c r="AD3532" s="75" t="str">
        <f>IF(AND(N3532="1521",MONTH(C3532)='BK-NL'!$M$11),"x","")</f>
        <v/>
      </c>
    </row>
    <row r="3533" spans="1:30" ht="16.5" customHeight="1">
      <c r="A3533" s="309" t="str">
        <f>IF(B3533&lt;&gt;"",IF(AND(B3533='IN-TC'!$S$4,OR(TH!N3533="1111",TH!O3533="1111")),TH!D3533,""),"")</f>
        <v/>
      </c>
      <c r="B3533" s="1058">
        <f t="shared" si="1292"/>
        <v>1</v>
      </c>
      <c r="C3533" s="292">
        <f t="shared" si="1294"/>
        <v>42755</v>
      </c>
      <c r="D3533" s="292" t="s">
        <v>1946</v>
      </c>
      <c r="E3533" s="292">
        <v>42755</v>
      </c>
      <c r="F3533" s="293" t="s">
        <v>960</v>
      </c>
      <c r="G3533" s="925" t="s">
        <v>964</v>
      </c>
      <c r="H3533" s="67" t="s">
        <v>965</v>
      </c>
      <c r="I3533" s="373"/>
      <c r="J3533" s="926"/>
      <c r="K3533" s="373"/>
      <c r="L3533" s="379"/>
      <c r="M3533" s="927">
        <v>35453</v>
      </c>
      <c r="N3533" s="295" t="s">
        <v>9</v>
      </c>
      <c r="O3533" s="295" t="s">
        <v>63</v>
      </c>
      <c r="P3533" s="75" t="str">
        <f>IF(AND('331-CT'!$E$7=TH!H3454,OR(N3533="331",O3533="331")),"x","")</f>
        <v/>
      </c>
      <c r="Q3533" s="75" t="str">
        <f>IF(AND(B3533='111'!$L$11,OR($N3533=$Q$7,$O3533=$Q$7)),"x","")</f>
        <v/>
      </c>
      <c r="R3533" s="75" t="str">
        <f>IF(AND($N3533=$Q$7,$B3533&lt;'111'!$L$11),"x","")</f>
        <v/>
      </c>
      <c r="S3533" s="75" t="str">
        <f>IF(AND($O3533=$Q$7,$B3533&lt;'111'!$L$11),"x","")</f>
        <v>x</v>
      </c>
      <c r="T3533" s="75" t="str">
        <f>IF(ISERROR(FIND('112'!$M$9,G3533,1)),"",IF((AND(FIND('112'!$M$9,G3533,1)&gt;=1,B3533='112'!$K$9,OR($N3533='112'!$I$6,$O3533='112'!$I$6))),"x",""))</f>
        <v/>
      </c>
      <c r="U3533" s="75" t="str">
        <f>IF(ISERROR(FIND('112'!$M$9,G3533,1)),"",IF((AND(LEFT(G3533,2)=LEFT('112'!$M$9,2),B3533&lt;'112'!$K$9,$N3533='112'!$I$6)),"x",""))</f>
        <v/>
      </c>
      <c r="V3533" s="75" t="str">
        <f>IF(ISERROR(FIND('112'!$M$9,G3533,1)),"",IF((AND(RIGHT(G3533,2)=RIGHT('112'!$M$9,2),B3533&lt;'112'!$K$9,$O3533='112'!$I$6)),"x",""))</f>
        <v/>
      </c>
      <c r="W3533" s="75" t="str">
        <f>IF(AND('341-CT'!$H$9=H3533,OR(LEFT(N3533,3)=$W$7,LEFT(O3533,3)=$W$7)),"x","")</f>
        <v/>
      </c>
      <c r="X3533" s="75" t="str">
        <f>IF(OR(TH!N3454=TH!$X$7,O3533=TH!$X$7),"x","")</f>
        <v/>
      </c>
      <c r="Y3533" s="75" t="str">
        <f>IF(AND(OR(N3533="131",O3533="131"),H3533='131-CT'!$H$9),"x","")</f>
        <v/>
      </c>
      <c r="Z3533" s="75"/>
      <c r="AA3533" s="75" t="str">
        <f>IF(AND(MONTH(E3533)='IN-NX'!$J$5,'IN-NX'!$D$7=D3533),"x","")</f>
        <v/>
      </c>
      <c r="AB3533" s="75" t="str">
        <f>IF(AND(OR(LEFT(TH!N3454,2)="15",LEFT(TH!O3454,2)="15"),LEFT(TH!O3454,3)&lt;&gt;"111",'152-CT'!$J$8=TH!F3454),"x","")</f>
        <v/>
      </c>
      <c r="AC3533" s="75" t="str">
        <f>IF(AND(OR(LEFT(TH!N3454,2)="15",LEFT(TH!O3454,2)="15"),TK!$E$7=TH!F3454),"x","")</f>
        <v/>
      </c>
      <c r="AD3533" s="75" t="str">
        <f>IF(AND(N3533="1521",MONTH(C3533)='BK-NL'!$M$11),"x","")</f>
        <v/>
      </c>
    </row>
    <row r="3534" spans="1:30" ht="16.5" customHeight="1">
      <c r="A3534" s="309" t="str">
        <f>IF(B3534&lt;&gt;"",IF(AND(B3534='IN-TC'!$S$4,OR(TH!N3534="1111",TH!O3534="1111")),TH!D3534,""),"")</f>
        <v/>
      </c>
      <c r="B3534" s="1058">
        <f t="shared" si="1292"/>
        <v>1</v>
      </c>
      <c r="C3534" s="292">
        <f t="shared" si="1294"/>
        <v>42755</v>
      </c>
      <c r="D3534" s="292" t="s">
        <v>1947</v>
      </c>
      <c r="E3534" s="292">
        <v>42755</v>
      </c>
      <c r="F3534" s="293" t="s">
        <v>966</v>
      </c>
      <c r="G3534" s="925" t="s">
        <v>968</v>
      </c>
      <c r="H3534" s="67" t="s">
        <v>969</v>
      </c>
      <c r="I3534" s="373"/>
      <c r="J3534" s="926"/>
      <c r="K3534" s="373"/>
      <c r="L3534" s="379"/>
      <c r="M3534" s="927">
        <v>700000</v>
      </c>
      <c r="N3534" s="295" t="s">
        <v>101</v>
      </c>
      <c r="O3534" s="295" t="s">
        <v>63</v>
      </c>
      <c r="P3534" s="75" t="str">
        <f>IF(AND('331-CT'!$E$7=TH!H3455,OR(N3534="331",O3534="331")),"x","")</f>
        <v/>
      </c>
      <c r="Q3534" s="75" t="str">
        <f>IF(AND(B3534='111'!$L$11,OR($N3534=$Q$7,$O3534=$Q$7)),"x","")</f>
        <v/>
      </c>
      <c r="R3534" s="75" t="str">
        <f>IF(AND($N3534=$Q$7,$B3534&lt;'111'!$L$11),"x","")</f>
        <v/>
      </c>
      <c r="S3534" s="75" t="str">
        <f>IF(AND($O3534=$Q$7,$B3534&lt;'111'!$L$11),"x","")</f>
        <v>x</v>
      </c>
      <c r="T3534" s="75" t="str">
        <f>IF(ISERROR(FIND('112'!$M$9,G3534,1)),"",IF((AND(FIND('112'!$M$9,G3534,1)&gt;=1,B3534='112'!$K$9,OR($N3534='112'!$I$6,$O3534='112'!$I$6))),"x",""))</f>
        <v/>
      </c>
      <c r="U3534" s="75" t="str">
        <f>IF(ISERROR(FIND('112'!$M$9,G3534,1)),"",IF((AND(LEFT(G3534,2)=LEFT('112'!$M$9,2),B3534&lt;'112'!$K$9,$N3534='112'!$I$6)),"x",""))</f>
        <v/>
      </c>
      <c r="V3534" s="75" t="str">
        <f>IF(ISERROR(FIND('112'!$M$9,G3534,1)),"",IF((AND(RIGHT(G3534,2)=RIGHT('112'!$M$9,2),B3534&lt;'112'!$K$9,$O3534='112'!$I$6)),"x",""))</f>
        <v/>
      </c>
      <c r="W3534" s="75" t="str">
        <f>IF(AND('341-CT'!$H$9=H3534,OR(LEFT(N3534,3)=$W$7,LEFT(O3534,3)=$W$7)),"x","")</f>
        <v/>
      </c>
      <c r="X3534" s="75" t="str">
        <f>IF(OR(TH!N3455=TH!$X$7,O3534=TH!$X$7),"x","")</f>
        <v/>
      </c>
      <c r="Y3534" s="75" t="str">
        <f>IF(AND(OR(N3534="131",O3534="131"),H3534='131-CT'!$H$9),"x","")</f>
        <v/>
      </c>
      <c r="Z3534" s="75"/>
      <c r="AA3534" s="75" t="str">
        <f>IF(AND(MONTH(E3534)='IN-NX'!$J$5,'IN-NX'!$D$7=D3534),"x","")</f>
        <v/>
      </c>
      <c r="AB3534" s="75" t="str">
        <f>IF(AND(OR(LEFT(TH!N3455,2)="15",LEFT(TH!O3455,2)="15"),LEFT(TH!O3455,3)&lt;&gt;"111",'152-CT'!$J$8=TH!F3455),"x","")</f>
        <v/>
      </c>
      <c r="AC3534" s="75" t="str">
        <f>IF(AND(OR(LEFT(TH!N3455,2)="15",LEFT(TH!O3455,2)="15"),TK!$E$7=TH!F3455),"x","")</f>
        <v/>
      </c>
      <c r="AD3534" s="75" t="str">
        <f>IF(AND(N3534="1521",MONTH(C3534)='BK-NL'!$M$11),"x","")</f>
        <v/>
      </c>
    </row>
    <row r="3535" spans="1:30" ht="16.5" customHeight="1">
      <c r="A3535" s="309" t="str">
        <f>IF(B3535&lt;&gt;"",IF(AND(B3535='IN-TC'!$S$4,OR(TH!N3535="1111",TH!O3535="1111")),TH!D3535,""),"")</f>
        <v/>
      </c>
      <c r="B3535" s="1058">
        <f t="shared" si="1292"/>
        <v>1</v>
      </c>
      <c r="C3535" s="292">
        <f t="shared" si="1294"/>
        <v>42755</v>
      </c>
      <c r="D3535" s="292" t="s">
        <v>1947</v>
      </c>
      <c r="E3535" s="292">
        <v>42755</v>
      </c>
      <c r="F3535" s="293" t="s">
        <v>967</v>
      </c>
      <c r="G3535" s="925" t="s">
        <v>968</v>
      </c>
      <c r="H3535" s="67" t="s">
        <v>969</v>
      </c>
      <c r="I3535" s="373"/>
      <c r="J3535" s="926"/>
      <c r="K3535" s="373"/>
      <c r="L3535" s="379"/>
      <c r="M3535" s="927">
        <v>70000</v>
      </c>
      <c r="N3535" s="295" t="s">
        <v>9</v>
      </c>
      <c r="O3535" s="295" t="s">
        <v>63</v>
      </c>
      <c r="P3535" s="75" t="str">
        <f>IF(AND('331-CT'!$E$7=TH!H3456,OR(N3535="331",O3535="331")),"x","")</f>
        <v/>
      </c>
      <c r="Q3535" s="75" t="str">
        <f>IF(AND(B3535='111'!$L$11,OR($N3535=$Q$7,$O3535=$Q$7)),"x","")</f>
        <v/>
      </c>
      <c r="R3535" s="75" t="str">
        <f>IF(AND($N3535=$Q$7,$B3535&lt;'111'!$L$11),"x","")</f>
        <v/>
      </c>
      <c r="S3535" s="75" t="str">
        <f>IF(AND($O3535=$Q$7,$B3535&lt;'111'!$L$11),"x","")</f>
        <v>x</v>
      </c>
      <c r="T3535" s="75" t="str">
        <f>IF(ISERROR(FIND('112'!$M$9,G3535,1)),"",IF((AND(FIND('112'!$M$9,G3535,1)&gt;=1,B3535='112'!$K$9,OR($N3535='112'!$I$6,$O3535='112'!$I$6))),"x",""))</f>
        <v/>
      </c>
      <c r="U3535" s="75" t="str">
        <f>IF(ISERROR(FIND('112'!$M$9,G3535,1)),"",IF((AND(LEFT(G3535,2)=LEFT('112'!$M$9,2),B3535&lt;'112'!$K$9,$N3535='112'!$I$6)),"x",""))</f>
        <v/>
      </c>
      <c r="V3535" s="75" t="str">
        <f>IF(ISERROR(FIND('112'!$M$9,G3535,1)),"",IF((AND(RIGHT(G3535,2)=RIGHT('112'!$M$9,2),B3535&lt;'112'!$K$9,$O3535='112'!$I$6)),"x",""))</f>
        <v/>
      </c>
      <c r="W3535" s="75" t="str">
        <f>IF(AND('341-CT'!$H$9=H3535,OR(LEFT(N3535,3)=$W$7,LEFT(O3535,3)=$W$7)),"x","")</f>
        <v/>
      </c>
      <c r="X3535" s="75" t="str">
        <f>IF(OR(TH!N3456=TH!$X$7,O3535=TH!$X$7),"x","")</f>
        <v/>
      </c>
      <c r="Y3535" s="75" t="str">
        <f>IF(AND(OR(N3535="131",O3535="131"),H3535='131-CT'!$H$9),"x","")</f>
        <v/>
      </c>
      <c r="Z3535" s="75"/>
      <c r="AA3535" s="75" t="str">
        <f>IF(AND(MONTH(E3535)='IN-NX'!$J$5,'IN-NX'!$D$7=D3535),"x","")</f>
        <v/>
      </c>
      <c r="AB3535" s="75" t="str">
        <f>IF(AND(OR(LEFT(TH!N3456,2)="15",LEFT(TH!O3456,2)="15"),LEFT(TH!O3456,3)&lt;&gt;"111",'152-CT'!$J$8=TH!F3456),"x","")</f>
        <v/>
      </c>
      <c r="AC3535" s="75" t="str">
        <f>IF(AND(OR(LEFT(TH!N3456,2)="15",LEFT(TH!O3456,2)="15"),TK!$E$7=TH!F3456),"x","")</f>
        <v/>
      </c>
      <c r="AD3535" s="75" t="str">
        <f>IF(AND(N3535="1521",MONTH(C3535)='BK-NL'!$M$11),"x","")</f>
        <v/>
      </c>
    </row>
    <row r="3536" spans="1:30" ht="16.5" customHeight="1">
      <c r="A3536" s="309" t="str">
        <f>IF(B3536&lt;&gt;"",IF(AND(B3536='IN-TC'!$S$4,OR(TH!N3536="1111",TH!O3536="1111")),TH!D3536,""),"")</f>
        <v/>
      </c>
      <c r="B3536" s="1058">
        <f t="shared" si="1292"/>
        <v>1</v>
      </c>
      <c r="C3536" s="292">
        <f t="shared" si="1294"/>
        <v>42755</v>
      </c>
      <c r="D3536" s="292" t="s">
        <v>902</v>
      </c>
      <c r="E3536" s="292">
        <v>42755</v>
      </c>
      <c r="F3536" s="62" t="s">
        <v>899</v>
      </c>
      <c r="G3536" s="62" t="s">
        <v>747</v>
      </c>
      <c r="H3536" s="311" t="s">
        <v>558</v>
      </c>
      <c r="I3536" s="373"/>
      <c r="J3536" s="926"/>
      <c r="K3536" s="373"/>
      <c r="L3536" s="379"/>
      <c r="M3536" s="927">
        <v>100000000</v>
      </c>
      <c r="N3536" s="295" t="s">
        <v>8</v>
      </c>
      <c r="O3536" s="295" t="s">
        <v>26</v>
      </c>
      <c r="P3536" s="75" t="str">
        <f>IF(AND('331-CT'!$E$7=TH!H4964,OR(N3536="331",O3536="331")),"x","")</f>
        <v/>
      </c>
      <c r="Q3536" s="75" t="str">
        <f>IF(AND(B3536='111'!$L$11,OR($N3536=$Q$7,$O3536=$Q$7)),"x","")</f>
        <v/>
      </c>
      <c r="R3536" s="75" t="str">
        <f>IF(AND($N3536=$Q$7,$B3536&lt;'111'!$L$11),"x","")</f>
        <v/>
      </c>
      <c r="S3536" s="75" t="str">
        <f>IF(AND($O3536=$Q$7,$B3536&lt;'111'!$L$11),"x","")</f>
        <v/>
      </c>
      <c r="T3536" s="75" t="str">
        <f>IF(ISERROR(FIND('112'!$M$9,G3536,1)),"",IF((AND(FIND('112'!$M$9,G3536,1)&gt;=1,B3536='112'!$K$9,OR($N3536='112'!$I$6,$O3536='112'!$I$6))),"x",""))</f>
        <v/>
      </c>
      <c r="U3536" s="75" t="str">
        <f>IF(ISERROR(FIND('112'!$M$9,G3536,1)),"",IF((AND(LEFT(G3536,2)=LEFT('112'!$M$9,2),B3536&lt;'112'!$K$9,$N3536='112'!$I$6)),"x",""))</f>
        <v/>
      </c>
      <c r="V3536" s="75" t="str">
        <f>IF(ISERROR(FIND('112'!$M$9,G3536,1)),"",IF((AND(RIGHT(G3536,2)=RIGHT('112'!$M$9,2),B3536&lt;'112'!$K$9,$O3536='112'!$I$6)),"x",""))</f>
        <v/>
      </c>
      <c r="W3536" s="75" t="str">
        <f>IF(AND('341-CT'!$H$9=H3536,OR(LEFT(N3536,3)=$W$7,LEFT(O3536,3)=$W$7)),"x","")</f>
        <v/>
      </c>
      <c r="X3536" s="75" t="str">
        <f>IF(OR(TH!N4964=TH!$X$7,O3536=TH!$X$7),"x","")</f>
        <v/>
      </c>
      <c r="Y3536" s="75" t="str">
        <f>IF(AND(OR(N3536="131",O3536="131"),H3536='131-CT'!$H$9),"x","")</f>
        <v/>
      </c>
      <c r="Z3536" s="75"/>
      <c r="AA3536" s="75" t="str">
        <f>IF(AND(MONTH(E3536)='IN-NX'!$J$5,'IN-NX'!$D$7=D3536),"x","")</f>
        <v/>
      </c>
      <c r="AB3536" s="75" t="str">
        <f>IF(AND(OR(LEFT(TH!N4964,2)="15",LEFT(TH!O4964,2)="15"),LEFT(TH!O4964,3)&lt;&gt;"111",'152-CT'!$J$8=TH!F4964),"x","")</f>
        <v/>
      </c>
      <c r="AC3536" s="75" t="str">
        <f>IF(AND(OR(LEFT(TH!N4964,2)="15",LEFT(TH!O4964,2)="15"),TK!$E$7=TH!F4964),"x","")</f>
        <v/>
      </c>
      <c r="AD3536" s="75" t="str">
        <f>IF(AND(N3536="1521",MONTH(C3536)='BK-NL'!$M$11),"x","")</f>
        <v/>
      </c>
    </row>
    <row r="3537" spans="1:33" ht="16.5" customHeight="1">
      <c r="A3537" s="309" t="str">
        <f>IF(B3537&lt;&gt;"",IF(AND(B3537='IN-TC'!$S$4,OR(TH!N3537="1111",TH!O3537="1111")),TH!D3537,""),"")</f>
        <v/>
      </c>
      <c r="B3537" s="1058">
        <f t="shared" si="1292"/>
        <v>1</v>
      </c>
      <c r="C3537" s="292">
        <f t="shared" si="1294"/>
        <v>42755</v>
      </c>
      <c r="D3537" s="292" t="s">
        <v>902</v>
      </c>
      <c r="E3537" s="292">
        <v>42755</v>
      </c>
      <c r="F3537" s="62" t="s">
        <v>870</v>
      </c>
      <c r="G3537" s="62" t="s">
        <v>747</v>
      </c>
      <c r="H3537" s="67" t="s">
        <v>835</v>
      </c>
      <c r="I3537" s="373"/>
      <c r="J3537" s="926"/>
      <c r="K3537" s="373"/>
      <c r="L3537" s="379"/>
      <c r="M3537" s="927">
        <v>10000</v>
      </c>
      <c r="N3537" s="295" t="s">
        <v>101</v>
      </c>
      <c r="O3537" s="295" t="s">
        <v>26</v>
      </c>
      <c r="P3537" s="75" t="str">
        <f>IF(AND('331-CT'!$E$7=TH!H4965,OR(N3537="331",O3537="331")),"x","")</f>
        <v/>
      </c>
      <c r="Q3537" s="75" t="str">
        <f>IF(AND(B3537='111'!$L$11,OR($N3537=$Q$7,$O3537=$Q$7)),"x","")</f>
        <v/>
      </c>
      <c r="R3537" s="75" t="str">
        <f>IF(AND($N3537=$Q$7,$B3537&lt;'111'!$L$11),"x","")</f>
        <v/>
      </c>
      <c r="S3537" s="75" t="str">
        <f>IF(AND($O3537=$Q$7,$B3537&lt;'111'!$L$11),"x","")</f>
        <v/>
      </c>
      <c r="T3537" s="75" t="str">
        <f>IF(ISERROR(FIND('112'!$M$9,G3537,1)),"",IF((AND(FIND('112'!$M$9,G3537,1)&gt;=1,B3537='112'!$K$9,OR($N3537='112'!$I$6,$O3537='112'!$I$6))),"x",""))</f>
        <v/>
      </c>
      <c r="U3537" s="75" t="str">
        <f>IF(ISERROR(FIND('112'!$M$9,G3537,1)),"",IF((AND(LEFT(G3537,2)=LEFT('112'!$M$9,2),B3537&lt;'112'!$K$9,$N3537='112'!$I$6)),"x",""))</f>
        <v/>
      </c>
      <c r="V3537" s="75" t="str">
        <f>IF(ISERROR(FIND('112'!$M$9,G3537,1)),"",IF((AND(RIGHT(G3537,2)=RIGHT('112'!$M$9,2),B3537&lt;'112'!$K$9,$O3537='112'!$I$6)),"x",""))</f>
        <v/>
      </c>
      <c r="W3537" s="75" t="str">
        <f>IF(AND('341-CT'!$H$9=H3537,OR(LEFT(N3537,3)=$W$7,LEFT(O3537,3)=$W$7)),"x","")</f>
        <v/>
      </c>
      <c r="X3537" s="75" t="str">
        <f>IF(OR(TH!N4965=TH!$X$7,O3537=TH!$X$7),"x","")</f>
        <v/>
      </c>
      <c r="Y3537" s="75" t="str">
        <f>IF(AND(OR(N3537="131",O3537="131"),H3537='131-CT'!$H$9),"x","")</f>
        <v/>
      </c>
      <c r="Z3537" s="75"/>
      <c r="AA3537" s="75" t="str">
        <f>IF(AND(MONTH(E3537)='IN-NX'!$J$5,'IN-NX'!$D$7=D3537),"x","")</f>
        <v/>
      </c>
      <c r="AB3537" s="75" t="str">
        <f>IF(AND(OR(LEFT(TH!N4965,2)="15",LEFT(TH!O4965,2)="15"),LEFT(TH!O4965,3)&lt;&gt;"111",'152-CT'!$J$8=TH!F4965),"x","")</f>
        <v/>
      </c>
      <c r="AC3537" s="75" t="str">
        <f>IF(AND(OR(LEFT(TH!N4965,2)="15",LEFT(TH!O4965,2)="15"),TK!$E$7=TH!F4965),"x","")</f>
        <v/>
      </c>
      <c r="AD3537" s="75" t="str">
        <f>IF(AND(N3537="1521",MONTH(C3537)='BK-NL'!$M$11),"x","")</f>
        <v/>
      </c>
    </row>
    <row r="3538" spans="1:33" ht="16.5" customHeight="1">
      <c r="A3538" s="309" t="str">
        <f>IF(B3538&lt;&gt;"",IF(AND(B3538='IN-TC'!$S$4,OR(TH!N3538="1111",TH!O3538="1111")),TH!D3538,""),"")</f>
        <v/>
      </c>
      <c r="B3538" s="1058">
        <f t="shared" si="1292"/>
        <v>1</v>
      </c>
      <c r="C3538" s="292">
        <f t="shared" si="1294"/>
        <v>42755</v>
      </c>
      <c r="D3538" s="292" t="s">
        <v>902</v>
      </c>
      <c r="E3538" s="292">
        <v>42755</v>
      </c>
      <c r="F3538" s="62" t="s">
        <v>898</v>
      </c>
      <c r="G3538" s="62" t="s">
        <v>747</v>
      </c>
      <c r="H3538" s="67" t="s">
        <v>835</v>
      </c>
      <c r="I3538" s="373"/>
      <c r="J3538" s="926"/>
      <c r="K3538" s="373"/>
      <c r="L3538" s="379"/>
      <c r="M3538" s="927">
        <v>1000</v>
      </c>
      <c r="N3538" s="295" t="s">
        <v>9</v>
      </c>
      <c r="O3538" s="295" t="s">
        <v>26</v>
      </c>
      <c r="P3538" s="75" t="str">
        <f>IF(AND('331-CT'!$E$7=TH!H4966,OR(N3538="331",O3538="331")),"x","")</f>
        <v/>
      </c>
      <c r="Q3538" s="75" t="str">
        <f>IF(AND(B3538='111'!$L$11,OR($N3538=$Q$7,$O3538=$Q$7)),"x","")</f>
        <v/>
      </c>
      <c r="R3538" s="75" t="str">
        <f>IF(AND($N3538=$Q$7,$B3538&lt;'111'!$L$11),"x","")</f>
        <v/>
      </c>
      <c r="S3538" s="75" t="str">
        <f>IF(AND($O3538=$Q$7,$B3538&lt;'111'!$L$11),"x","")</f>
        <v/>
      </c>
      <c r="T3538" s="75" t="str">
        <f>IF(ISERROR(FIND('112'!$M$9,G3538,1)),"",IF((AND(FIND('112'!$M$9,G3538,1)&gt;=1,B3538='112'!$K$9,OR($N3538='112'!$I$6,$O3538='112'!$I$6))),"x",""))</f>
        <v/>
      </c>
      <c r="U3538" s="75" t="str">
        <f>IF(ISERROR(FIND('112'!$M$9,G3538,1)),"",IF((AND(LEFT(G3538,2)=LEFT('112'!$M$9,2),B3538&lt;'112'!$K$9,$N3538='112'!$I$6)),"x",""))</f>
        <v/>
      </c>
      <c r="V3538" s="75" t="str">
        <f>IF(ISERROR(FIND('112'!$M$9,G3538,1)),"",IF((AND(RIGHT(G3538,2)=RIGHT('112'!$M$9,2),B3538&lt;'112'!$K$9,$O3538='112'!$I$6)),"x",""))</f>
        <v/>
      </c>
      <c r="W3538" s="75" t="str">
        <f>IF(AND('341-CT'!$H$9=H3538,OR(LEFT(N3538,3)=$W$7,LEFT(O3538,3)=$W$7)),"x","")</f>
        <v/>
      </c>
      <c r="X3538" s="75" t="str">
        <f>IF(OR(TH!N4966=TH!$X$7,O3538=TH!$X$7),"x","")</f>
        <v/>
      </c>
      <c r="Y3538" s="75" t="str">
        <f>IF(AND(OR(N3538="131",O3538="131"),H3538='131-CT'!$H$9),"x","")</f>
        <v/>
      </c>
      <c r="Z3538" s="75"/>
      <c r="AA3538" s="75" t="str">
        <f>IF(AND(MONTH(E3538)='IN-NX'!$J$5,'IN-NX'!$D$7=D3538),"x","")</f>
        <v/>
      </c>
      <c r="AB3538" s="75" t="str">
        <f>IF(AND(OR(LEFT(TH!N4966,2)="15",LEFT(TH!O4966,2)="15"),LEFT(TH!O4966,3)&lt;&gt;"111",'152-CT'!$J$8=TH!F4966),"x","")</f>
        <v/>
      </c>
      <c r="AC3538" s="75" t="str">
        <f>IF(AND(OR(LEFT(TH!N4966,2)="15",LEFT(TH!O4966,2)="15"),TK!$E$7=TH!F4966),"x","")</f>
        <v/>
      </c>
      <c r="AD3538" s="75" t="str">
        <f>IF(AND(N3538="1521",MONTH(C3538)='BK-NL'!$M$11),"x","")</f>
        <v/>
      </c>
    </row>
    <row r="3539" spans="1:33" ht="16.5" customHeight="1">
      <c r="A3539" s="309" t="str">
        <f>IF(B3539&lt;&gt;"",IF(AND(B3539='IN-TC'!$S$4,OR(TH!N3539="1111",TH!O3539="1111")),TH!D3539,""),"")</f>
        <v/>
      </c>
      <c r="B3539" s="1058">
        <f t="shared" ref="B3539:B3602" si="1295">IF(C3539&lt;&gt;"",MONTH(C3539),"")</f>
        <v>1</v>
      </c>
      <c r="C3539" s="292">
        <f t="shared" si="1294"/>
        <v>42755</v>
      </c>
      <c r="D3539" s="292" t="s">
        <v>902</v>
      </c>
      <c r="E3539" s="292">
        <v>42755</v>
      </c>
      <c r="F3539" s="62" t="s">
        <v>913</v>
      </c>
      <c r="G3539" s="62" t="s">
        <v>747</v>
      </c>
      <c r="H3539" s="67" t="s">
        <v>567</v>
      </c>
      <c r="I3539" s="373"/>
      <c r="J3539" s="926"/>
      <c r="K3539" s="373"/>
      <c r="L3539" s="379"/>
      <c r="M3539" s="927">
        <v>157080000</v>
      </c>
      <c r="N3539" s="295" t="s">
        <v>8</v>
      </c>
      <c r="O3539" s="295" t="s">
        <v>26</v>
      </c>
      <c r="P3539" s="75" t="str">
        <f>IF(AND('331-CT'!$E$7=TH!H4967,OR(N3539="331",O3539="331")),"x","")</f>
        <v/>
      </c>
      <c r="Q3539" s="75" t="str">
        <f>IF(AND(B3539='111'!$L$11,OR($N3539=$Q$7,$O3539=$Q$7)),"x","")</f>
        <v/>
      </c>
      <c r="R3539" s="75" t="str">
        <f>IF(AND($N3539=$Q$7,$B3539&lt;'111'!$L$11),"x","")</f>
        <v/>
      </c>
      <c r="S3539" s="75" t="str">
        <f>IF(AND($O3539=$Q$7,$B3539&lt;'111'!$L$11),"x","")</f>
        <v/>
      </c>
      <c r="T3539" s="75" t="str">
        <f>IF(ISERROR(FIND('112'!$M$9,G3539,1)),"",IF((AND(FIND('112'!$M$9,G3539,1)&gt;=1,B3539='112'!$K$9,OR($N3539='112'!$I$6,$O3539='112'!$I$6))),"x",""))</f>
        <v/>
      </c>
      <c r="U3539" s="75" t="str">
        <f>IF(ISERROR(FIND('112'!$M$9,G3539,1)),"",IF((AND(LEFT(G3539,2)=LEFT('112'!$M$9,2),B3539&lt;'112'!$K$9,$N3539='112'!$I$6)),"x",""))</f>
        <v/>
      </c>
      <c r="V3539" s="75" t="str">
        <f>IF(ISERROR(FIND('112'!$M$9,G3539,1)),"",IF((AND(RIGHT(G3539,2)=RIGHT('112'!$M$9,2),B3539&lt;'112'!$K$9,$O3539='112'!$I$6)),"x",""))</f>
        <v/>
      </c>
      <c r="W3539" s="75" t="str">
        <f>IF(AND('341-CT'!$H$9=H3539,OR(LEFT(N3539,3)=$W$7,LEFT(O3539,3)=$W$7)),"x","")</f>
        <v/>
      </c>
      <c r="X3539" s="75" t="str">
        <f>IF(OR(TH!N4967=TH!$X$7,O3539=TH!$X$7),"x","")</f>
        <v/>
      </c>
      <c r="Y3539" s="75" t="str">
        <f>IF(AND(OR(N3539="131",O3539="131"),H3539='131-CT'!$H$9),"x","")</f>
        <v/>
      </c>
      <c r="Z3539" s="75"/>
      <c r="AA3539" s="75" t="str">
        <f>IF(AND(MONTH(E3539)='IN-NX'!$J$5,'IN-NX'!$D$7=D3539),"x","")</f>
        <v/>
      </c>
      <c r="AB3539" s="75" t="str">
        <f>IF(AND(OR(LEFT(TH!N4967,2)="15",LEFT(TH!O4967,2)="15"),LEFT(TH!O4967,3)&lt;&gt;"111",'152-CT'!$J$8=TH!F4967),"x","")</f>
        <v/>
      </c>
      <c r="AC3539" s="75" t="str">
        <f>IF(AND(OR(LEFT(TH!N4967,2)="15",LEFT(TH!O4967,2)="15"),TK!$E$7=TH!F4967),"x","")</f>
        <v/>
      </c>
      <c r="AD3539" s="75" t="str">
        <f>IF(AND(N3539="1521",MONTH(C3539)='BK-NL'!$M$11),"x","")</f>
        <v/>
      </c>
    </row>
    <row r="3540" spans="1:33" ht="16.5" customHeight="1">
      <c r="A3540" s="309" t="str">
        <f>IF(B3540&lt;&gt;"",IF(AND(B3540='IN-TC'!$S$4,OR(TH!N3540="1111",TH!O3540="1111")),TH!D3540,""),"")</f>
        <v/>
      </c>
      <c r="B3540" s="1058">
        <f t="shared" si="1295"/>
        <v>1</v>
      </c>
      <c r="C3540" s="292">
        <f t="shared" si="1294"/>
        <v>42755</v>
      </c>
      <c r="D3540" s="292" t="s">
        <v>902</v>
      </c>
      <c r="E3540" s="292">
        <v>42755</v>
      </c>
      <c r="F3540" s="62" t="s">
        <v>870</v>
      </c>
      <c r="G3540" s="62" t="s">
        <v>747</v>
      </c>
      <c r="H3540" s="67" t="s">
        <v>835</v>
      </c>
      <c r="I3540" s="373"/>
      <c r="J3540" s="926"/>
      <c r="K3540" s="373"/>
      <c r="L3540" s="379"/>
      <c r="M3540" s="927">
        <v>10000</v>
      </c>
      <c r="N3540" s="295" t="s">
        <v>101</v>
      </c>
      <c r="O3540" s="295" t="s">
        <v>26</v>
      </c>
      <c r="P3540" s="75" t="str">
        <f>IF(AND('331-CT'!$E$7=TH!H4968,OR(N3540="331",O3540="331")),"x","")</f>
        <v/>
      </c>
      <c r="Q3540" s="75" t="str">
        <f>IF(AND(B3540='111'!$L$11,OR($N3540=$Q$7,$O3540=$Q$7)),"x","")</f>
        <v/>
      </c>
      <c r="R3540" s="75" t="str">
        <f>IF(AND($N3540=$Q$7,$B3540&lt;'111'!$L$11),"x","")</f>
        <v/>
      </c>
      <c r="S3540" s="75" t="str">
        <f>IF(AND($O3540=$Q$7,$B3540&lt;'111'!$L$11),"x","")</f>
        <v/>
      </c>
      <c r="T3540" s="75" t="str">
        <f>IF(ISERROR(FIND('112'!$M$9,G3540,1)),"",IF((AND(FIND('112'!$M$9,G3540,1)&gt;=1,B3540='112'!$K$9,OR($N3540='112'!$I$6,$O3540='112'!$I$6))),"x",""))</f>
        <v/>
      </c>
      <c r="U3540" s="75" t="str">
        <f>IF(ISERROR(FIND('112'!$M$9,G3540,1)),"",IF((AND(LEFT(G3540,2)=LEFT('112'!$M$9,2),B3540&lt;'112'!$K$9,$N3540='112'!$I$6)),"x",""))</f>
        <v/>
      </c>
      <c r="V3540" s="75" t="str">
        <f>IF(ISERROR(FIND('112'!$M$9,G3540,1)),"",IF((AND(RIGHT(G3540,2)=RIGHT('112'!$M$9,2),B3540&lt;'112'!$K$9,$O3540='112'!$I$6)),"x",""))</f>
        <v/>
      </c>
      <c r="W3540" s="75" t="str">
        <f>IF(AND('341-CT'!$H$9=H3540,OR(LEFT(N3540,3)=$W$7,LEFT(O3540,3)=$W$7)),"x","")</f>
        <v/>
      </c>
      <c r="X3540" s="75" t="str">
        <f>IF(OR(TH!N4968=TH!$X$7,O3540=TH!$X$7),"x","")</f>
        <v/>
      </c>
      <c r="Y3540" s="75" t="str">
        <f>IF(AND(OR(N3540="131",O3540="131"),H3540='131-CT'!$H$9),"x","")</f>
        <v/>
      </c>
      <c r="Z3540" s="75"/>
      <c r="AA3540" s="75" t="str">
        <f>IF(AND(MONTH(E3540)='IN-NX'!$J$5,'IN-NX'!$D$7=D3540),"x","")</f>
        <v/>
      </c>
      <c r="AB3540" s="75" t="str">
        <f>IF(AND(OR(LEFT(TH!N4968,2)="15",LEFT(TH!O4968,2)="15"),LEFT(TH!O4968,3)&lt;&gt;"111",'152-CT'!$J$8=TH!F4968),"x","")</f>
        <v/>
      </c>
      <c r="AC3540" s="75" t="str">
        <f>IF(AND(OR(LEFT(TH!N4968,2)="15",LEFT(TH!O4968,2)="15"),TK!$E$7=TH!F4968),"x","")</f>
        <v/>
      </c>
      <c r="AD3540" s="75" t="str">
        <f>IF(AND(N3540="1521",MONTH(C3540)='BK-NL'!$M$11),"x","")</f>
        <v/>
      </c>
    </row>
    <row r="3541" spans="1:33" ht="16.5" customHeight="1">
      <c r="A3541" s="309" t="str">
        <f>IF(B3541&lt;&gt;"",IF(AND(B3541='IN-TC'!$S$4,OR(TH!N3541="1111",TH!O3541="1111")),TH!D3541,""),"")</f>
        <v/>
      </c>
      <c r="B3541" s="1058">
        <f t="shared" si="1295"/>
        <v>1</v>
      </c>
      <c r="C3541" s="292">
        <f t="shared" si="1294"/>
        <v>42755</v>
      </c>
      <c r="D3541" s="292" t="s">
        <v>902</v>
      </c>
      <c r="E3541" s="292">
        <v>42755</v>
      </c>
      <c r="F3541" s="62" t="s">
        <v>898</v>
      </c>
      <c r="G3541" s="62" t="s">
        <v>747</v>
      </c>
      <c r="H3541" s="67" t="s">
        <v>835</v>
      </c>
      <c r="I3541" s="373"/>
      <c r="J3541" s="926"/>
      <c r="K3541" s="373"/>
      <c r="L3541" s="379"/>
      <c r="M3541" s="927">
        <v>1000</v>
      </c>
      <c r="N3541" s="295" t="s">
        <v>9</v>
      </c>
      <c r="O3541" s="295" t="s">
        <v>26</v>
      </c>
      <c r="P3541" s="75" t="str">
        <f>IF(AND('331-CT'!$E$7=TH!H4969,OR(N3541="331",O3541="331")),"x","")</f>
        <v/>
      </c>
      <c r="Q3541" s="75" t="str">
        <f>IF(AND(B3541='111'!$L$11,OR($N3541=$Q$7,$O3541=$Q$7)),"x","")</f>
        <v/>
      </c>
      <c r="R3541" s="75" t="str">
        <f>IF(AND($N3541=$Q$7,$B3541&lt;'111'!$L$11),"x","")</f>
        <v/>
      </c>
      <c r="S3541" s="75" t="str">
        <f>IF(AND($O3541=$Q$7,$B3541&lt;'111'!$L$11),"x","")</f>
        <v/>
      </c>
      <c r="T3541" s="75" t="str">
        <f>IF(ISERROR(FIND('112'!$M$9,G3541,1)),"",IF((AND(FIND('112'!$M$9,G3541,1)&gt;=1,B3541='112'!$K$9,OR($N3541='112'!$I$6,$O3541='112'!$I$6))),"x",""))</f>
        <v/>
      </c>
      <c r="U3541" s="75" t="str">
        <f>IF(ISERROR(FIND('112'!$M$9,G3541,1)),"",IF((AND(LEFT(G3541,2)=LEFT('112'!$M$9,2),B3541&lt;'112'!$K$9,$N3541='112'!$I$6)),"x",""))</f>
        <v/>
      </c>
      <c r="V3541" s="75" t="str">
        <f>IF(ISERROR(FIND('112'!$M$9,G3541,1)),"",IF((AND(RIGHT(G3541,2)=RIGHT('112'!$M$9,2),B3541&lt;'112'!$K$9,$O3541='112'!$I$6)),"x",""))</f>
        <v/>
      </c>
      <c r="W3541" s="75" t="str">
        <f>IF(AND('341-CT'!$H$9=H3541,OR(LEFT(N3541,3)=$W$7,LEFT(O3541,3)=$W$7)),"x","")</f>
        <v/>
      </c>
      <c r="X3541" s="75" t="str">
        <f>IF(OR(TH!N4969=TH!$X$7,O3541=TH!$X$7),"x","")</f>
        <v/>
      </c>
      <c r="Y3541" s="75" t="str">
        <f>IF(AND(OR(N3541="131",O3541="131"),H3541='131-CT'!$H$9),"x","")</f>
        <v/>
      </c>
      <c r="Z3541" s="75"/>
      <c r="AA3541" s="75" t="str">
        <f>IF(AND(MONTH(E3541)='IN-NX'!$J$5,'IN-NX'!$D$7=D3541),"x","")</f>
        <v/>
      </c>
      <c r="AB3541" s="75" t="str">
        <f>IF(AND(OR(LEFT(TH!N4969,2)="15",LEFT(TH!O4969,2)="15"),LEFT(TH!O4969,3)&lt;&gt;"111",'152-CT'!$J$8=TH!F4969),"x","")</f>
        <v/>
      </c>
      <c r="AC3541" s="75" t="str">
        <f>IF(AND(OR(LEFT(TH!N4969,2)="15",LEFT(TH!O4969,2)="15"),TK!$E$7=TH!F4969),"x","")</f>
        <v/>
      </c>
      <c r="AD3541" s="75" t="str">
        <f>IF(AND(N3541="1521",MONTH(C3541)='BK-NL'!$M$11),"x","")</f>
        <v/>
      </c>
    </row>
    <row r="3542" spans="1:33" ht="16.5" customHeight="1">
      <c r="A3542" s="309" t="str">
        <f>IF(B3542&lt;&gt;"",IF(AND(B3542='IN-TC'!$S$4,OR(TH!N3542="1111",TH!O3542="1111")),TH!D3542,""),"")</f>
        <v/>
      </c>
      <c r="B3542" s="1058">
        <f t="shared" si="1295"/>
        <v>1</v>
      </c>
      <c r="C3542" s="292">
        <f t="shared" si="1294"/>
        <v>42755</v>
      </c>
      <c r="D3542" s="292" t="s">
        <v>902</v>
      </c>
      <c r="E3542" s="292">
        <v>42755</v>
      </c>
      <c r="F3542" s="62" t="s">
        <v>897</v>
      </c>
      <c r="G3542" s="62" t="s">
        <v>747</v>
      </c>
      <c r="H3542" s="67" t="s">
        <v>623</v>
      </c>
      <c r="I3542" s="373"/>
      <c r="J3542" s="926"/>
      <c r="K3542" s="373"/>
      <c r="L3542" s="379"/>
      <c r="M3542" s="927">
        <v>600000000</v>
      </c>
      <c r="N3542" s="295" t="s">
        <v>8</v>
      </c>
      <c r="O3542" s="295" t="s">
        <v>26</v>
      </c>
      <c r="P3542" s="75" t="str">
        <f>IF(AND('331-CT'!$E$7=TH!H4970,OR(N3542="331",O3542="331")),"x","")</f>
        <v/>
      </c>
      <c r="Q3542" s="75" t="str">
        <f>IF(AND(B3542='111'!$L$11,OR($N3542=$Q$7,$O3542=$Q$7)),"x","")</f>
        <v/>
      </c>
      <c r="R3542" s="75" t="str">
        <f>IF(AND($N3542=$Q$7,$B3542&lt;'111'!$L$11),"x","")</f>
        <v/>
      </c>
      <c r="S3542" s="75" t="str">
        <f>IF(AND($O3542=$Q$7,$B3542&lt;'111'!$L$11),"x","")</f>
        <v/>
      </c>
      <c r="T3542" s="75" t="str">
        <f>IF(ISERROR(FIND('112'!$M$9,G3542,1)),"",IF((AND(FIND('112'!$M$9,G3542,1)&gt;=1,B3542='112'!$K$9,OR($N3542='112'!$I$6,$O3542='112'!$I$6))),"x",""))</f>
        <v/>
      </c>
      <c r="U3542" s="75" t="str">
        <f>IF(ISERROR(FIND('112'!$M$9,G3542,1)),"",IF((AND(LEFT(G3542,2)=LEFT('112'!$M$9,2),B3542&lt;'112'!$K$9,$N3542='112'!$I$6)),"x",""))</f>
        <v/>
      </c>
      <c r="V3542" s="75" t="str">
        <f>IF(ISERROR(FIND('112'!$M$9,G3542,1)),"",IF((AND(RIGHT(G3542,2)=RIGHT('112'!$M$9,2),B3542&lt;'112'!$K$9,$O3542='112'!$I$6)),"x",""))</f>
        <v/>
      </c>
      <c r="W3542" s="75" t="str">
        <f>IF(AND('341-CT'!$H$9=H3542,OR(LEFT(N3542,3)=$W$7,LEFT(O3542,3)=$W$7)),"x","")</f>
        <v/>
      </c>
      <c r="X3542" s="75" t="str">
        <f>IF(OR(TH!N4970=TH!$X$7,O3542=TH!$X$7),"x","")</f>
        <v/>
      </c>
      <c r="Y3542" s="75" t="str">
        <f>IF(AND(OR(N3542="131",O3542="131"),H3542='131-CT'!$H$9),"x","")</f>
        <v/>
      </c>
      <c r="Z3542" s="75"/>
      <c r="AA3542" s="75" t="str">
        <f>IF(AND(MONTH(E3542)='IN-NX'!$J$5,'IN-NX'!$D$7=D3542),"x","")</f>
        <v/>
      </c>
      <c r="AB3542" s="75" t="str">
        <f>IF(AND(OR(LEFT(TH!N4970,2)="15",LEFT(TH!O4970,2)="15"),LEFT(TH!O4970,3)&lt;&gt;"111",'152-CT'!$J$8=TH!F4970),"x","")</f>
        <v/>
      </c>
      <c r="AC3542" s="75" t="str">
        <f>IF(AND(OR(LEFT(TH!N4970,2)="15",LEFT(TH!O4970,2)="15"),TK!$E$7=TH!F4970),"x","")</f>
        <v/>
      </c>
      <c r="AD3542" s="75" t="str">
        <f>IF(AND(N3542="1521",MONTH(C3542)='BK-NL'!$M$11),"x","")</f>
        <v/>
      </c>
    </row>
    <row r="3543" spans="1:33" ht="16.5" customHeight="1">
      <c r="A3543" s="309" t="str">
        <f>IF(B3543&lt;&gt;"",IF(AND(B3543='IN-TC'!$S$4,OR(TH!N3543="1111",TH!O3543="1111")),TH!D3543,""),"")</f>
        <v/>
      </c>
      <c r="B3543" s="1058">
        <f t="shared" si="1295"/>
        <v>1</v>
      </c>
      <c r="C3543" s="292">
        <f t="shared" si="1294"/>
        <v>42755</v>
      </c>
      <c r="D3543" s="292" t="s">
        <v>902</v>
      </c>
      <c r="E3543" s="292">
        <v>42755</v>
      </c>
      <c r="F3543" s="293" t="s">
        <v>870</v>
      </c>
      <c r="G3543" s="943" t="s">
        <v>747</v>
      </c>
      <c r="H3543" s="67" t="s">
        <v>835</v>
      </c>
      <c r="I3543" s="373"/>
      <c r="J3543" s="926"/>
      <c r="K3543" s="373"/>
      <c r="L3543" s="379"/>
      <c r="M3543" s="927">
        <v>180000</v>
      </c>
      <c r="N3543" s="295" t="s">
        <v>101</v>
      </c>
      <c r="O3543" s="295" t="s">
        <v>26</v>
      </c>
      <c r="P3543" s="75" t="str">
        <f>IF(AND('331-CT'!$E$7=TH!H4971,OR(N3543="331",O3543="331")),"x","")</f>
        <v/>
      </c>
      <c r="Q3543" s="75" t="str">
        <f>IF(AND(B3543='111'!$L$11,OR($N3543=$Q$7,$O3543=$Q$7)),"x","")</f>
        <v/>
      </c>
      <c r="R3543" s="75" t="str">
        <f>IF(AND($N3543=$Q$7,$B3543&lt;'111'!$L$11),"x","")</f>
        <v/>
      </c>
      <c r="S3543" s="75" t="str">
        <f>IF(AND($O3543=$Q$7,$B3543&lt;'111'!$L$11),"x","")</f>
        <v/>
      </c>
      <c r="T3543" s="75" t="str">
        <f>IF(ISERROR(FIND('112'!$M$9,G3543,1)),"",IF((AND(FIND('112'!$M$9,G3543,1)&gt;=1,B3543='112'!$K$9,OR($N3543='112'!$I$6,$O3543='112'!$I$6))),"x",""))</f>
        <v/>
      </c>
      <c r="U3543" s="75" t="str">
        <f>IF(ISERROR(FIND('112'!$M$9,G3543,1)),"",IF((AND(LEFT(G3543,2)=LEFT('112'!$M$9,2),B3543&lt;'112'!$K$9,$N3543='112'!$I$6)),"x",""))</f>
        <v/>
      </c>
      <c r="V3543" s="75" t="str">
        <f>IF(ISERROR(FIND('112'!$M$9,G3543,1)),"",IF((AND(RIGHT(G3543,2)=RIGHT('112'!$M$9,2),B3543&lt;'112'!$K$9,$O3543='112'!$I$6)),"x",""))</f>
        <v/>
      </c>
      <c r="W3543" s="75" t="str">
        <f>IF(AND('341-CT'!$H$9=H3543,OR(LEFT(N3543,3)=$W$7,LEFT(O3543,3)=$W$7)),"x","")</f>
        <v/>
      </c>
      <c r="X3543" s="75" t="str">
        <f>IF(OR(TH!N4971=TH!$X$7,O3543=TH!$X$7),"x","")</f>
        <v/>
      </c>
      <c r="Y3543" s="75" t="str">
        <f>IF(AND(OR(N3543="131",O3543="131"),H3543='131-CT'!$H$9),"x","")</f>
        <v/>
      </c>
      <c r="Z3543" s="75"/>
      <c r="AA3543" s="75" t="str">
        <f>IF(AND(MONTH(E3543)='IN-NX'!$J$5,'IN-NX'!$D$7=D3543),"x","")</f>
        <v/>
      </c>
      <c r="AB3543" s="75" t="str">
        <f>IF(AND(OR(LEFT(TH!N4971,2)="15",LEFT(TH!O4971,2)="15"),LEFT(TH!O4971,3)&lt;&gt;"111",'152-CT'!$J$8=TH!F4971),"x","")</f>
        <v/>
      </c>
      <c r="AC3543" s="75" t="str">
        <f>IF(AND(OR(LEFT(TH!N4971,2)="15",LEFT(TH!O4971,2)="15"),TK!$E$7=TH!F4971),"x","")</f>
        <v/>
      </c>
      <c r="AD3543" s="75" t="str">
        <f>IF(AND(N3543="1521",MONTH(C3543)='BK-NL'!$M$11),"x","")</f>
        <v/>
      </c>
    </row>
    <row r="3544" spans="1:33" ht="16.5" customHeight="1">
      <c r="A3544" s="309" t="str">
        <f>IF(B3544&lt;&gt;"",IF(AND(B3544='IN-TC'!$S$4,OR(TH!N3544="1111",TH!O3544="1111")),TH!D3544,""),"")</f>
        <v/>
      </c>
      <c r="B3544" s="1058">
        <f t="shared" si="1295"/>
        <v>1</v>
      </c>
      <c r="C3544" s="292">
        <f t="shared" si="1294"/>
        <v>42755</v>
      </c>
      <c r="D3544" s="292" t="s">
        <v>902</v>
      </c>
      <c r="E3544" s="292">
        <v>42755</v>
      </c>
      <c r="F3544" s="293" t="s">
        <v>898</v>
      </c>
      <c r="G3544" s="943" t="s">
        <v>747</v>
      </c>
      <c r="H3544" s="67" t="s">
        <v>835</v>
      </c>
      <c r="I3544" s="373"/>
      <c r="J3544" s="926"/>
      <c r="K3544" s="373"/>
      <c r="L3544" s="379"/>
      <c r="M3544" s="927">
        <v>18000</v>
      </c>
      <c r="N3544" s="295" t="s">
        <v>9</v>
      </c>
      <c r="O3544" s="295" t="s">
        <v>26</v>
      </c>
      <c r="P3544" s="75" t="str">
        <f>IF(AND('331-CT'!$E$7=TH!H4972,OR(N3544="331",O3544="331")),"x","")</f>
        <v/>
      </c>
      <c r="Q3544" s="75" t="str">
        <f>IF(AND(B3544='111'!$L$11,OR($N3544=$Q$7,$O3544=$Q$7)),"x","")</f>
        <v/>
      </c>
      <c r="R3544" s="75" t="str">
        <f>IF(AND($N3544=$Q$7,$B3544&lt;'111'!$L$11),"x","")</f>
        <v/>
      </c>
      <c r="S3544" s="75" t="str">
        <f>IF(AND($O3544=$Q$7,$B3544&lt;'111'!$L$11),"x","")</f>
        <v/>
      </c>
      <c r="T3544" s="75" t="str">
        <f>IF(ISERROR(FIND('112'!$M$9,G3544,1)),"",IF((AND(FIND('112'!$M$9,G3544,1)&gt;=1,B3544='112'!$K$9,OR($N3544='112'!$I$6,$O3544='112'!$I$6))),"x",""))</f>
        <v/>
      </c>
      <c r="U3544" s="75" t="str">
        <f>IF(ISERROR(FIND('112'!$M$9,G3544,1)),"",IF((AND(LEFT(G3544,2)=LEFT('112'!$M$9,2),B3544&lt;'112'!$K$9,$N3544='112'!$I$6)),"x",""))</f>
        <v/>
      </c>
      <c r="V3544" s="75" t="str">
        <f>IF(ISERROR(FIND('112'!$M$9,G3544,1)),"",IF((AND(RIGHT(G3544,2)=RIGHT('112'!$M$9,2),B3544&lt;'112'!$K$9,$O3544='112'!$I$6)),"x",""))</f>
        <v/>
      </c>
      <c r="W3544" s="75" t="str">
        <f>IF(AND('341-CT'!$H$9=H3544,OR(LEFT(N3544,3)=$W$7,LEFT(O3544,3)=$W$7)),"x","")</f>
        <v/>
      </c>
      <c r="X3544" s="75" t="str">
        <f>IF(OR(TH!N4972=TH!$X$7,O3544=TH!$X$7),"x","")</f>
        <v/>
      </c>
      <c r="Y3544" s="75" t="str">
        <f>IF(AND(OR(N3544="131",O3544="131"),H3544='131-CT'!$H$9),"x","")</f>
        <v/>
      </c>
      <c r="Z3544" s="75"/>
      <c r="AA3544" s="75" t="str">
        <f>IF(AND(MONTH(E3544)='IN-NX'!$J$5,'IN-NX'!$D$7=D3544),"x","")</f>
        <v/>
      </c>
      <c r="AB3544" s="75" t="str">
        <f>IF(AND(OR(LEFT(TH!N4972,2)="15",LEFT(TH!O4972,2)="15"),LEFT(TH!O4972,3)&lt;&gt;"111",'152-CT'!$J$8=TH!F4972),"x","")</f>
        <v/>
      </c>
      <c r="AC3544" s="75" t="str">
        <f>IF(AND(OR(LEFT(TH!N4972,2)="15",LEFT(TH!O4972,2)="15"),TK!$E$7=TH!F4972),"x","")</f>
        <v/>
      </c>
      <c r="AD3544" s="75" t="str">
        <f>IF(AND(N3544="1521",MONTH(C3544)='BK-NL'!$M$11),"x","")</f>
        <v/>
      </c>
    </row>
    <row r="3545" spans="1:33" ht="16.5" customHeight="1">
      <c r="A3545" s="309" t="str">
        <f>IF(B3545&lt;&gt;"",IF(AND(B3545='IN-TC'!$S$4,OR(TH!N3545="1111",TH!O3545="1111")),TH!D3545,""),"")</f>
        <v/>
      </c>
      <c r="B3545" s="1058">
        <f t="shared" si="1295"/>
        <v>1</v>
      </c>
      <c r="C3545" s="292">
        <f t="shared" si="1294"/>
        <v>42756</v>
      </c>
      <c r="D3545" s="292" t="s">
        <v>853</v>
      </c>
      <c r="E3545" s="292">
        <v>42756</v>
      </c>
      <c r="F3545" s="293" t="s">
        <v>834</v>
      </c>
      <c r="G3545" s="943" t="s">
        <v>747</v>
      </c>
      <c r="H3545" s="67" t="s">
        <v>1023</v>
      </c>
      <c r="I3545" s="373"/>
      <c r="J3545" s="926"/>
      <c r="K3545" s="373"/>
      <c r="L3545" s="379"/>
      <c r="M3545" s="927">
        <v>340000000</v>
      </c>
      <c r="N3545" s="295" t="s">
        <v>63</v>
      </c>
      <c r="O3545" s="295" t="s">
        <v>26</v>
      </c>
      <c r="P3545" s="75" t="str">
        <f>IF(AND('331-CT'!$E$7=TH!H4973,OR(N3545="331",O3545="331")),"x","")</f>
        <v/>
      </c>
      <c r="Q3545" s="75" t="str">
        <f>IF(AND(B3545='111'!$L$11,OR($N3545=$Q$7,$O3545=$Q$7)),"x","")</f>
        <v/>
      </c>
      <c r="R3545" s="75" t="str">
        <f>IF(AND($N3545=$Q$7,$B3545&lt;'111'!$L$11),"x","")</f>
        <v>x</v>
      </c>
      <c r="S3545" s="75" t="str">
        <f>IF(AND($O3545=$Q$7,$B3545&lt;'111'!$L$11),"x","")</f>
        <v/>
      </c>
      <c r="T3545" s="75" t="str">
        <f>IF(ISERROR(FIND('112'!$M$9,G3545,1)),"",IF((AND(FIND('112'!$M$9,G3545,1)&gt;=1,B3545='112'!$K$9,OR($N3545='112'!$I$6,$O3545='112'!$I$6))),"x",""))</f>
        <v/>
      </c>
      <c r="U3545" s="75" t="str">
        <f>IF(ISERROR(FIND('112'!$M$9,G3545,1)),"",IF((AND(LEFT(G3545,2)=LEFT('112'!$M$9,2),B3545&lt;'112'!$K$9,$N3545='112'!$I$6)),"x",""))</f>
        <v/>
      </c>
      <c r="V3545" s="75" t="str">
        <f>IF(ISERROR(FIND('112'!$M$9,G3545,1)),"",IF((AND(RIGHT(G3545,2)=RIGHT('112'!$M$9,2),B3545&lt;'112'!$K$9,$O3545='112'!$I$6)),"x",""))</f>
        <v/>
      </c>
      <c r="W3545" s="75" t="str">
        <f>IF(AND('341-CT'!$H$9=H3545,OR(LEFT(N3545,3)=$W$7,LEFT(O3545,3)=$W$7)),"x","")</f>
        <v/>
      </c>
      <c r="X3545" s="75" t="str">
        <f>IF(OR(TH!N4973=TH!$X$7,O3545=TH!$X$7),"x","")</f>
        <v/>
      </c>
      <c r="Y3545" s="75" t="str">
        <f>IF(AND(OR(N3545="131",O3545="131"),H3545='131-CT'!$H$9),"x","")</f>
        <v/>
      </c>
      <c r="Z3545" s="75"/>
      <c r="AA3545" s="75" t="str">
        <f>IF(AND(MONTH(E3545)='IN-NX'!$J$5,'IN-NX'!$D$7=D3545),"x","")</f>
        <v/>
      </c>
      <c r="AB3545" s="75" t="str">
        <f>IF(AND(OR(LEFT(TH!N4973,2)="15",LEFT(TH!O4973,2)="15"),LEFT(TH!O4973,3)&lt;&gt;"111",'152-CT'!$J$8=TH!F4973),"x","")</f>
        <v/>
      </c>
      <c r="AC3545" s="75" t="str">
        <f>IF(AND(OR(LEFT(TH!N4973,2)="15",LEFT(TH!O4973,2)="15"),TK!$E$7=TH!F4973),"x","")</f>
        <v/>
      </c>
      <c r="AD3545" s="75" t="str">
        <f>IF(AND(N3545="1521",MONTH(C3545)='BK-NL'!$M$11),"x","")</f>
        <v/>
      </c>
    </row>
    <row r="3546" spans="1:33" ht="16.5" customHeight="1">
      <c r="A3546" s="309" t="str">
        <f>IF(B3546&lt;&gt;"",IF(AND(B3546='IN-TC'!$S$4,OR(TH!N3546="1111",TH!O3546="1111")),TH!D3546,""),"")</f>
        <v/>
      </c>
      <c r="B3546" s="1058">
        <f t="shared" si="1295"/>
        <v>1</v>
      </c>
      <c r="C3546" s="292">
        <f t="shared" si="1294"/>
        <v>42759</v>
      </c>
      <c r="D3546" s="292" t="s">
        <v>1948</v>
      </c>
      <c r="E3546" s="292">
        <v>42759</v>
      </c>
      <c r="F3546" s="293" t="s">
        <v>890</v>
      </c>
      <c r="G3546" s="925" t="s">
        <v>970</v>
      </c>
      <c r="H3546" s="67" t="s">
        <v>893</v>
      </c>
      <c r="I3546" s="373"/>
      <c r="J3546" s="926"/>
      <c r="K3546" s="373"/>
      <c r="L3546" s="379"/>
      <c r="M3546" s="927">
        <v>2815663</v>
      </c>
      <c r="N3546" s="295" t="s">
        <v>101</v>
      </c>
      <c r="O3546" s="295" t="s">
        <v>63</v>
      </c>
      <c r="P3546" s="75" t="str">
        <f>IF(AND('331-CT'!$E$7=TH!H3458,OR(N3546="331",O3546="331")),"x","")</f>
        <v/>
      </c>
      <c r="Q3546" s="75" t="str">
        <f>IF(AND(B3546='111'!$L$11,OR($N3546=$Q$7,$O3546=$Q$7)),"x","")</f>
        <v/>
      </c>
      <c r="R3546" s="75" t="str">
        <f>IF(AND($N3546=$Q$7,$B3546&lt;'111'!$L$11),"x","")</f>
        <v/>
      </c>
      <c r="S3546" s="75" t="str">
        <f>IF(AND($O3546=$Q$7,$B3546&lt;'111'!$L$11),"x","")</f>
        <v>x</v>
      </c>
      <c r="T3546" s="75" t="str">
        <f>IF(ISERROR(FIND('112'!$M$9,G3546,1)),"",IF((AND(FIND('112'!$M$9,G3546,1)&gt;=1,B3546='112'!$K$9,OR($N3546='112'!$I$6,$O3546='112'!$I$6))),"x",""))</f>
        <v/>
      </c>
      <c r="U3546" s="75" t="str">
        <f>IF(ISERROR(FIND('112'!$M$9,G3546,1)),"",IF((AND(LEFT(G3546,2)=LEFT('112'!$M$9,2),B3546&lt;'112'!$K$9,$N3546='112'!$I$6)),"x",""))</f>
        <v/>
      </c>
      <c r="V3546" s="75" t="str">
        <f>IF(ISERROR(FIND('112'!$M$9,G3546,1)),"",IF((AND(RIGHT(G3546,2)=RIGHT('112'!$M$9,2),B3546&lt;'112'!$K$9,$O3546='112'!$I$6)),"x",""))</f>
        <v/>
      </c>
      <c r="W3546" s="75" t="str">
        <f>IF(AND('341-CT'!$H$9=H3546,OR(LEFT(N3546,3)=$W$7,LEFT(O3546,3)=$W$7)),"x","")</f>
        <v/>
      </c>
      <c r="X3546" s="75" t="str">
        <f>IF(OR(TH!N3458=TH!$X$7,O3546=TH!$X$7),"x","")</f>
        <v/>
      </c>
      <c r="Y3546" s="75" t="str">
        <f>IF(AND(OR(N3546="131",O3546="131"),H3546='131-CT'!$H$9),"x","")</f>
        <v/>
      </c>
      <c r="Z3546" s="75"/>
      <c r="AA3546" s="75" t="str">
        <f>IF(AND(MONTH(E3546)='IN-NX'!$J$5,'IN-NX'!$D$7=D3546),"x","")</f>
        <v/>
      </c>
      <c r="AB3546" s="75" t="str">
        <f>IF(AND(OR(LEFT(TH!N3458,2)="15",LEFT(TH!O3458,2)="15"),LEFT(TH!O3458,3)&lt;&gt;"111",'152-CT'!$J$8=TH!F3458),"x","")</f>
        <v/>
      </c>
      <c r="AC3546" s="75" t="str">
        <f>IF(AND(OR(LEFT(TH!N3458,2)="15",LEFT(TH!O3458,2)="15"),TK!$E$7=TH!F3458),"x","")</f>
        <v/>
      </c>
      <c r="AD3546" s="75" t="str">
        <f>IF(AND(N3546="1521",MONTH(C3546)='BK-NL'!$M$11),"x","")</f>
        <v/>
      </c>
    </row>
    <row r="3547" spans="1:33" ht="16.5" customHeight="1">
      <c r="A3547" s="309" t="str">
        <f>IF(B3547&lt;&gt;"",IF(AND(B3547='IN-TC'!$S$4,OR(TH!N3547="1111",TH!O3547="1111")),TH!D3547,""),"")</f>
        <v/>
      </c>
      <c r="B3547" s="1058">
        <f t="shared" si="1295"/>
        <v>1</v>
      </c>
      <c r="C3547" s="292">
        <f t="shared" si="1294"/>
        <v>42759</v>
      </c>
      <c r="D3547" s="292" t="s">
        <v>1948</v>
      </c>
      <c r="E3547" s="292">
        <v>42759</v>
      </c>
      <c r="F3547" s="293" t="s">
        <v>891</v>
      </c>
      <c r="G3547" s="925" t="s">
        <v>970</v>
      </c>
      <c r="H3547" s="67" t="s">
        <v>893</v>
      </c>
      <c r="I3547" s="373"/>
      <c r="J3547" s="926"/>
      <c r="K3547" s="373"/>
      <c r="L3547" s="379"/>
      <c r="M3547" s="927">
        <v>281567</v>
      </c>
      <c r="N3547" s="295" t="s">
        <v>9</v>
      </c>
      <c r="O3547" s="295" t="s">
        <v>63</v>
      </c>
      <c r="P3547" s="75" t="str">
        <f>IF(AND('331-CT'!$E$7=TH!H3459,OR(N3547="331",O3547="331")),"x","")</f>
        <v/>
      </c>
      <c r="Q3547" s="75" t="str">
        <f>IF(AND(B3547='111'!$L$11,OR($N3547=$Q$7,$O3547=$Q$7)),"x","")</f>
        <v/>
      </c>
      <c r="R3547" s="75" t="str">
        <f>IF(AND($N3547=$Q$7,$B3547&lt;'111'!$L$11),"x","")</f>
        <v/>
      </c>
      <c r="S3547" s="75" t="str">
        <f>IF(AND($O3547=$Q$7,$B3547&lt;'111'!$L$11),"x","")</f>
        <v>x</v>
      </c>
      <c r="T3547" s="75" t="str">
        <f>IF(ISERROR(FIND('112'!$M$9,G3547,1)),"",IF((AND(FIND('112'!$M$9,G3547,1)&gt;=1,B3547='112'!$K$9,OR($N3547='112'!$I$6,$O3547='112'!$I$6))),"x",""))</f>
        <v/>
      </c>
      <c r="U3547" s="75" t="str">
        <f>IF(ISERROR(FIND('112'!$M$9,G3547,1)),"",IF((AND(LEFT(G3547,2)=LEFT('112'!$M$9,2),B3547&lt;'112'!$K$9,$N3547='112'!$I$6)),"x",""))</f>
        <v/>
      </c>
      <c r="V3547" s="75" t="str">
        <f>IF(ISERROR(FIND('112'!$M$9,G3547,1)),"",IF((AND(RIGHT(G3547,2)=RIGHT('112'!$M$9,2),B3547&lt;'112'!$K$9,$O3547='112'!$I$6)),"x",""))</f>
        <v/>
      </c>
      <c r="W3547" s="75" t="str">
        <f>IF(AND('341-CT'!$H$9=H3547,OR(LEFT(N3547,3)=$W$7,LEFT(O3547,3)=$W$7)),"x","")</f>
        <v/>
      </c>
      <c r="X3547" s="75" t="str">
        <f>IF(OR(TH!N3459=TH!$X$7,O3547=TH!$X$7),"x","")</f>
        <v/>
      </c>
      <c r="Y3547" s="75" t="str">
        <f>IF(AND(OR(N3547="131",O3547="131"),H3547='131-CT'!$H$9),"x","")</f>
        <v/>
      </c>
      <c r="Z3547" s="75"/>
      <c r="AA3547" s="75" t="str">
        <f>IF(AND(MONTH(E3547)='IN-NX'!$J$5,'IN-NX'!$D$7=D3547),"x","")</f>
        <v/>
      </c>
      <c r="AB3547" s="75" t="str">
        <f>IF(AND(OR(LEFT(TH!N3459,2)="15",LEFT(TH!O3459,2)="15"),LEFT(TH!O3459,3)&lt;&gt;"111",'152-CT'!$J$8=TH!F3459),"x","")</f>
        <v/>
      </c>
      <c r="AC3547" s="75" t="str">
        <f>IF(AND(OR(LEFT(TH!N3459,2)="15",LEFT(TH!O3459,2)="15"),TK!$E$7=TH!F3459),"x","")</f>
        <v/>
      </c>
      <c r="AD3547" s="75" t="str">
        <f>IF(AND(N3547="1521",MONTH(C3547)='BK-NL'!$M$11),"x","")</f>
        <v/>
      </c>
    </row>
    <row r="3548" spans="1:33" ht="16.5" customHeight="1">
      <c r="A3548" s="309" t="str">
        <f>IF(B3548&lt;&gt;"",IF(AND(B3548='IN-TC'!$S$4,OR(TH!N3548="1111",TH!O3548="1111")),TH!D3548,""),"")</f>
        <v/>
      </c>
      <c r="B3548" s="1058">
        <f t="shared" si="1295"/>
        <v>1</v>
      </c>
      <c r="C3548" s="292">
        <f t="shared" si="1294"/>
        <v>42759</v>
      </c>
      <c r="D3548" s="292" t="s">
        <v>1949</v>
      </c>
      <c r="E3548" s="292">
        <v>42759</v>
      </c>
      <c r="F3548" s="293" t="s">
        <v>1177</v>
      </c>
      <c r="G3548" s="925" t="s">
        <v>1179</v>
      </c>
      <c r="H3548" s="67" t="s">
        <v>962</v>
      </c>
      <c r="I3548" s="373"/>
      <c r="J3548" s="926"/>
      <c r="K3548" s="373"/>
      <c r="L3548" s="379"/>
      <c r="M3548" s="927">
        <v>960000</v>
      </c>
      <c r="N3548" s="295" t="s">
        <v>101</v>
      </c>
      <c r="O3548" s="295" t="s">
        <v>63</v>
      </c>
      <c r="P3548" s="75" t="str">
        <f>IF(AND('331-CT'!$E$7=TH!H3457,OR(N3548="331",O3548="331")),"x","")</f>
        <v/>
      </c>
      <c r="Q3548" s="75" t="str">
        <f>IF(AND(B3548='111'!$L$11,OR($N3548=$Q$7,$O3548=$Q$7)),"x","")</f>
        <v/>
      </c>
      <c r="R3548" s="75" t="str">
        <f>IF(AND($N3548=$Q$7,$B3548&lt;'111'!$L$11),"x","")</f>
        <v/>
      </c>
      <c r="S3548" s="75" t="str">
        <f>IF(AND($O3548=$Q$7,$B3548&lt;'111'!$L$11),"x","")</f>
        <v>x</v>
      </c>
      <c r="T3548" s="75" t="str">
        <f>IF(ISERROR(FIND('112'!$M$9,G3548,1)),"",IF((AND(FIND('112'!$M$9,G3548,1)&gt;=1,B3548='112'!$K$9,OR($N3548='112'!$I$6,$O3548='112'!$I$6))),"x",""))</f>
        <v/>
      </c>
      <c r="U3548" s="75" t="str">
        <f>IF(ISERROR(FIND('112'!$M$9,G3548,1)),"",IF((AND(LEFT(G3548,2)=LEFT('112'!$M$9,2),B3548&lt;'112'!$K$9,$N3548='112'!$I$6)),"x",""))</f>
        <v/>
      </c>
      <c r="V3548" s="75" t="str">
        <f>IF(ISERROR(FIND('112'!$M$9,G3548,1)),"",IF((AND(RIGHT(G3548,2)=RIGHT('112'!$M$9,2),B3548&lt;'112'!$K$9,$O3548='112'!$I$6)),"x",""))</f>
        <v/>
      </c>
      <c r="W3548" s="75" t="str">
        <f>IF(AND('341-CT'!$H$9=H3548,OR(LEFT(N3548,3)=$W$7,LEFT(O3548,3)=$W$7)),"x","")</f>
        <v/>
      </c>
      <c r="X3548" s="75" t="str">
        <f>IF(OR(TH!N3457=TH!$X$7,O3548=TH!$X$7),"x","")</f>
        <v/>
      </c>
      <c r="Y3548" s="75" t="str">
        <f>IF(AND(OR(N3548="131",O3548="131"),H3548='131-CT'!$H$9),"x","")</f>
        <v/>
      </c>
      <c r="Z3548" s="75"/>
      <c r="AA3548" s="75" t="str">
        <f>IF(AND(MONTH(E3548)='IN-NX'!$J$5,'IN-NX'!$D$7=D3548),"x","")</f>
        <v/>
      </c>
      <c r="AB3548" s="75" t="str">
        <f>IF(AND(OR(LEFT(TH!N3457,2)="15",LEFT(TH!O3457,2)="15"),LEFT(TH!O3457,3)&lt;&gt;"111",'152-CT'!$J$8=TH!F3457),"x","")</f>
        <v/>
      </c>
      <c r="AC3548" s="75" t="str">
        <f>IF(AND(OR(LEFT(TH!N3457,2)="15",LEFT(TH!O3457,2)="15"),TK!$E$7=TH!F3457),"x","")</f>
        <v/>
      </c>
      <c r="AD3548" s="75" t="str">
        <f>IF(AND(N3548="1521",MONTH(C3548)='BK-NL'!$M$11),"x","")</f>
        <v/>
      </c>
      <c r="AE3548" s="304"/>
      <c r="AF3548" s="304"/>
      <c r="AG3548" s="304"/>
    </row>
    <row r="3549" spans="1:33" ht="16.5" customHeight="1">
      <c r="A3549" s="309" t="str">
        <f>IF(B3549&lt;&gt;"",IF(AND(B3549='IN-TC'!$S$4,OR(TH!N3549="1111",TH!O3549="1111")),TH!D3549,""),"")</f>
        <v/>
      </c>
      <c r="B3549" s="1058">
        <f t="shared" si="1295"/>
        <v>1</v>
      </c>
      <c r="C3549" s="292">
        <f t="shared" si="1294"/>
        <v>42759</v>
      </c>
      <c r="D3549" s="292" t="s">
        <v>1949</v>
      </c>
      <c r="E3549" s="292">
        <v>42759</v>
      </c>
      <c r="F3549" s="293" t="s">
        <v>1178</v>
      </c>
      <c r="G3549" s="925" t="s">
        <v>1179</v>
      </c>
      <c r="H3549" s="67" t="s">
        <v>962</v>
      </c>
      <c r="I3549" s="373"/>
      <c r="J3549" s="926"/>
      <c r="K3549" s="373"/>
      <c r="L3549" s="379"/>
      <c r="M3549" s="927">
        <v>96000</v>
      </c>
      <c r="N3549" s="295" t="s">
        <v>9</v>
      </c>
      <c r="O3549" s="295" t="s">
        <v>63</v>
      </c>
      <c r="P3549" s="75" t="str">
        <f>IF(AND('331-CT'!$E$7=TH!H3460,OR(N3549="331",O3549="331")),"x","")</f>
        <v/>
      </c>
      <c r="Q3549" s="75" t="str">
        <f>IF(AND(B3549='111'!$L$11,OR($N3549=$Q$7,$O3549=$Q$7)),"x","")</f>
        <v/>
      </c>
      <c r="R3549" s="75" t="str">
        <f>IF(AND($N3549=$Q$7,$B3549&lt;'111'!$L$11),"x","")</f>
        <v/>
      </c>
      <c r="S3549" s="75" t="str">
        <f>IF(AND($O3549=$Q$7,$B3549&lt;'111'!$L$11),"x","")</f>
        <v>x</v>
      </c>
      <c r="T3549" s="75" t="str">
        <f>IF(ISERROR(FIND('112'!$M$9,G3549,1)),"",IF((AND(FIND('112'!$M$9,G3549,1)&gt;=1,B3549='112'!$K$9,OR($N3549='112'!$I$6,$O3549='112'!$I$6))),"x",""))</f>
        <v/>
      </c>
      <c r="U3549" s="75" t="str">
        <f>IF(ISERROR(FIND('112'!$M$9,G3549,1)),"",IF((AND(LEFT(G3549,2)=LEFT('112'!$M$9,2),B3549&lt;'112'!$K$9,$N3549='112'!$I$6)),"x",""))</f>
        <v/>
      </c>
      <c r="V3549" s="75" t="str">
        <f>IF(ISERROR(FIND('112'!$M$9,G3549,1)),"",IF((AND(RIGHT(G3549,2)=RIGHT('112'!$M$9,2),B3549&lt;'112'!$K$9,$O3549='112'!$I$6)),"x",""))</f>
        <v/>
      </c>
      <c r="W3549" s="75" t="str">
        <f>IF(AND('341-CT'!$H$9=H3549,OR(LEFT(N3549,3)=$W$7,LEFT(O3549,3)=$W$7)),"x","")</f>
        <v/>
      </c>
      <c r="X3549" s="75" t="str">
        <f>IF(OR(TH!N3460=TH!$X$7,O3549=TH!$X$7),"x","")</f>
        <v/>
      </c>
      <c r="Y3549" s="75" t="str">
        <f>IF(AND(OR(N3549="131",O3549="131"),H3549='131-CT'!$H$9),"x","")</f>
        <v/>
      </c>
      <c r="Z3549" s="75"/>
      <c r="AA3549" s="75" t="str">
        <f>IF(AND(MONTH(E3549)='IN-NX'!$J$5,'IN-NX'!$D$7=D3549),"x","")</f>
        <v/>
      </c>
      <c r="AB3549" s="75" t="str">
        <f>IF(AND(OR(LEFT(TH!N3460,2)="15",LEFT(TH!O3460,2)="15"),LEFT(TH!O3460,3)&lt;&gt;"111",'152-CT'!$J$8=TH!F3460),"x","")</f>
        <v/>
      </c>
      <c r="AC3549" s="75" t="str">
        <f>IF(AND(OR(LEFT(TH!N3460,2)="15",LEFT(TH!O3460,2)="15"),TK!$E$7=TH!F3460),"x","")</f>
        <v/>
      </c>
      <c r="AD3549" s="75" t="str">
        <f>IF(AND(N3549="1521",MONTH(C3549)='BK-NL'!$M$11),"x","")</f>
        <v/>
      </c>
      <c r="AE3549" s="304"/>
      <c r="AF3549" s="304"/>
      <c r="AG3549" s="304"/>
    </row>
    <row r="3550" spans="1:33" ht="16.5" customHeight="1">
      <c r="A3550" s="309" t="str">
        <f>IF(B3550&lt;&gt;"",IF(AND(B3550='IN-TC'!$S$4,OR(TH!N3550="1111",TH!O3550="1111")),TH!D3550,""),"")</f>
        <v/>
      </c>
      <c r="B3550" s="1058">
        <f t="shared" si="1295"/>
        <v>1</v>
      </c>
      <c r="C3550" s="292">
        <f t="shared" si="1294"/>
        <v>42759</v>
      </c>
      <c r="D3550" s="292" t="s">
        <v>902</v>
      </c>
      <c r="E3550" s="292">
        <v>42759</v>
      </c>
      <c r="F3550" s="67" t="s">
        <v>1096</v>
      </c>
      <c r="G3550" s="62" t="s">
        <v>585</v>
      </c>
      <c r="H3550" s="311" t="s">
        <v>806</v>
      </c>
      <c r="I3550" s="373"/>
      <c r="J3550" s="379"/>
      <c r="K3550" s="373"/>
      <c r="L3550" s="379"/>
      <c r="M3550" s="60">
        <v>4756014</v>
      </c>
      <c r="N3550" s="61" t="s">
        <v>99</v>
      </c>
      <c r="O3550" s="61" t="s">
        <v>26</v>
      </c>
      <c r="P3550" s="75" t="str">
        <f>IF(AND('331-CT'!$E$7=TH!H4643,OR(N3550="331",O3550="331")),"x","")</f>
        <v/>
      </c>
      <c r="Q3550" s="75" t="str">
        <f>IF(AND(B3550='111'!$L$11,OR($N3550=$Q$7,$O3550=$Q$7)),"x","")</f>
        <v/>
      </c>
      <c r="R3550" s="75" t="str">
        <f>IF(AND($N3550=$Q$7,$B3550&lt;'111'!$L$11),"x","")</f>
        <v/>
      </c>
      <c r="S3550" s="75" t="str">
        <f>IF(AND($O3550=$Q$7,$B3550&lt;'111'!$L$11),"x","")</f>
        <v/>
      </c>
      <c r="T3550" s="75" t="str">
        <f>IF(ISERROR(FIND('112'!$M$9,G3550,1)),"",IF((AND(FIND('112'!$M$9,G3550,1)&gt;=1,B3550='112'!$K$9,OR($N3550='112'!$I$6,$O3550='112'!$I$6))),"x",""))</f>
        <v/>
      </c>
      <c r="U3550" s="75" t="str">
        <f>IF(ISERROR(FIND('112'!$M$9,G3550,1)),"",IF((AND(LEFT(G3550,2)=LEFT('112'!$M$9,2),B3550&lt;'112'!$K$9,$N3550='112'!$I$6)),"x",""))</f>
        <v/>
      </c>
      <c r="V3550" s="75" t="str">
        <f>IF(ISERROR(FIND('112'!$M$9,G3550,1)),"",IF((AND(RIGHT(G3550,2)=RIGHT('112'!$M$9,2),B3550&lt;'112'!$K$9,$O3550='112'!$I$6)),"x",""))</f>
        <v/>
      </c>
      <c r="W3550" s="75" t="str">
        <f>IF(AND('341-CT'!$H$9=H3550,OR(LEFT(N3550,3)=$W$7,LEFT(O3550,3)=$W$7)),"x","")</f>
        <v/>
      </c>
      <c r="X3550" s="75" t="str">
        <f>IF(OR(TH!N4643=TH!$X$7,O3550=TH!$X$7),"x","")</f>
        <v/>
      </c>
      <c r="Y3550" s="75" t="str">
        <f>IF(AND(OR(N3550="131",O3550="131"),H3550='131-CT'!$H$9),"x","")</f>
        <v/>
      </c>
      <c r="Z3550" s="75"/>
      <c r="AA3550" s="75" t="str">
        <f>IF(AND(MONTH(E3550)='IN-NX'!$J$5,'IN-NX'!$D$7=D3550),"x","")</f>
        <v/>
      </c>
      <c r="AB3550" s="75" t="str">
        <f>IF(AND(OR(LEFT(TH!N4643,2)="15",LEFT(TH!O4643,2)="15"),LEFT(TH!O4643,3)&lt;&gt;"111",'152-CT'!$J$8=TH!F4643),"x","")</f>
        <v/>
      </c>
      <c r="AC3550" s="75" t="str">
        <f>IF(AND(OR(LEFT(TH!N4643,2)="15",LEFT(TH!O4643,2)="15"),TK!$E$7=TH!F4643),"x","")</f>
        <v/>
      </c>
      <c r="AD3550" s="75" t="str">
        <f>IF(AND(N3550="1521",MONTH(C3550)='BK-NL'!$M$11),"x","")</f>
        <v/>
      </c>
    </row>
    <row r="3551" spans="1:33" ht="16.5" customHeight="1">
      <c r="A3551" s="309" t="str">
        <f>IF(B3551&lt;&gt;"",IF(AND(B3551='IN-TC'!$S$4,OR(TH!N3551="1111",TH!O3551="1111")),TH!D3551,""),"")</f>
        <v/>
      </c>
      <c r="B3551" s="1058">
        <f t="shared" si="1295"/>
        <v>1</v>
      </c>
      <c r="C3551" s="292">
        <f t="shared" si="1294"/>
        <v>42759</v>
      </c>
      <c r="D3551" s="59" t="s">
        <v>903</v>
      </c>
      <c r="E3551" s="292">
        <v>42759</v>
      </c>
      <c r="F3551" s="67" t="s">
        <v>914</v>
      </c>
      <c r="G3551" s="62" t="s">
        <v>585</v>
      </c>
      <c r="H3551" s="311" t="s">
        <v>845</v>
      </c>
      <c r="I3551" s="373"/>
      <c r="J3551" s="379"/>
      <c r="K3551" s="373"/>
      <c r="L3551" s="379"/>
      <c r="M3551" s="60">
        <v>57205</v>
      </c>
      <c r="N3551" s="928" t="s">
        <v>26</v>
      </c>
      <c r="O3551" s="295" t="s">
        <v>43</v>
      </c>
      <c r="P3551" s="75" t="str">
        <f>IF(AND('331-CT'!$E$7=TH!H4644,OR(N3551="331",O3551="331")),"x","")</f>
        <v/>
      </c>
      <c r="Q3551" s="75" t="str">
        <f>IF(AND(B3551='111'!$L$11,OR($N3551=$Q$7,$O3551=$Q$7)),"x","")</f>
        <v/>
      </c>
      <c r="R3551" s="75" t="str">
        <f>IF(AND($N3551=$Q$7,$B3551&lt;'111'!$L$11),"x","")</f>
        <v/>
      </c>
      <c r="S3551" s="75" t="str">
        <f>IF(AND($O3551=$Q$7,$B3551&lt;'111'!$L$11),"x","")</f>
        <v/>
      </c>
      <c r="T3551" s="75" t="str">
        <f>IF(ISERROR(FIND('112'!$M$9,G3551,1)),"",IF((AND(FIND('112'!$M$9,G3551,1)&gt;=1,B3551='112'!$K$9,OR($N3551='112'!$I$6,$O3551='112'!$I$6))),"x",""))</f>
        <v/>
      </c>
      <c r="U3551" s="75" t="str">
        <f>IF(ISERROR(FIND('112'!$M$9,G3551,1)),"",IF((AND(LEFT(G3551,2)=LEFT('112'!$M$9,2),B3551&lt;'112'!$K$9,$N3551='112'!$I$6)),"x",""))</f>
        <v/>
      </c>
      <c r="V3551" s="75" t="str">
        <f>IF(ISERROR(FIND('112'!$M$9,G3551,1)),"",IF((AND(RIGHT(G3551,2)=RIGHT('112'!$M$9,2),B3551&lt;'112'!$K$9,$O3551='112'!$I$6)),"x",""))</f>
        <v/>
      </c>
      <c r="W3551" s="75" t="str">
        <f>IF(AND('341-CT'!$H$9=H3551,OR(LEFT(N3551,3)=$W$7,LEFT(O3551,3)=$W$7)),"x","")</f>
        <v/>
      </c>
      <c r="X3551" s="75" t="str">
        <f>IF(OR(TH!N4644=TH!$X$7,O3551=TH!$X$7),"x","")</f>
        <v/>
      </c>
      <c r="Y3551" s="75" t="str">
        <f>IF(AND(OR(N3551="131",O3551="131"),H3551='131-CT'!$H$9),"x","")</f>
        <v/>
      </c>
      <c r="Z3551" s="75"/>
      <c r="AA3551" s="75" t="str">
        <f>IF(AND(MONTH(E3551)='IN-NX'!$J$5,'IN-NX'!$D$7=D3551),"x","")</f>
        <v/>
      </c>
      <c r="AB3551" s="75" t="str">
        <f>IF(AND(OR(LEFT(TH!N4644,2)="15",LEFT(TH!O4644,2)="15"),LEFT(TH!O4644,3)&lt;&gt;"111",'152-CT'!$J$8=TH!F4644),"x","")</f>
        <v/>
      </c>
      <c r="AC3551" s="75" t="str">
        <f>IF(AND(OR(LEFT(TH!N4644,2)="15",LEFT(TH!O4644,2)="15"),TK!$E$7=TH!F4644),"x","")</f>
        <v/>
      </c>
      <c r="AD3551" s="75" t="str">
        <f>IF(AND(N3551="1521",MONTH(C3551)='BK-NL'!$M$11),"x","")</f>
        <v/>
      </c>
    </row>
    <row r="3552" spans="1:33" ht="16.5" customHeight="1">
      <c r="A3552" s="309" t="str">
        <f>IF(B3552&lt;&gt;"",IF(AND(B3552='IN-TC'!$S$4,OR(TH!N3552="1111",TH!O3552="1111")),TH!D3552,""),"")</f>
        <v/>
      </c>
      <c r="B3552" s="1058">
        <f t="shared" si="1295"/>
        <v>1</v>
      </c>
      <c r="C3552" s="292">
        <f t="shared" si="1294"/>
        <v>42760</v>
      </c>
      <c r="D3552" s="292" t="s">
        <v>1950</v>
      </c>
      <c r="E3552" s="292">
        <v>42760</v>
      </c>
      <c r="F3552" s="293" t="s">
        <v>971</v>
      </c>
      <c r="G3552" s="925" t="s">
        <v>973</v>
      </c>
      <c r="H3552" s="67" t="s">
        <v>974</v>
      </c>
      <c r="I3552" s="373"/>
      <c r="J3552" s="926"/>
      <c r="K3552" s="373"/>
      <c r="L3552" s="379"/>
      <c r="M3552" s="927">
        <v>14435484</v>
      </c>
      <c r="N3552" s="295" t="s">
        <v>101</v>
      </c>
      <c r="O3552" s="295" t="s">
        <v>63</v>
      </c>
      <c r="P3552" s="75" t="str">
        <f>IF(AND('331-CT'!$E$7=TH!H3461,OR(N3552="331",O3552="331")),"x","")</f>
        <v/>
      </c>
      <c r="Q3552" s="75" t="str">
        <f>IF(AND(B3552='111'!$L$11,OR($N3552=$Q$7,$O3552=$Q$7)),"x","")</f>
        <v/>
      </c>
      <c r="R3552" s="75" t="str">
        <f>IF(AND($N3552=$Q$7,$B3552&lt;'111'!$L$11),"x","")</f>
        <v/>
      </c>
      <c r="S3552" s="75" t="str">
        <f>IF(AND($O3552=$Q$7,$B3552&lt;'111'!$L$11),"x","")</f>
        <v>x</v>
      </c>
      <c r="T3552" s="75" t="str">
        <f>IF(ISERROR(FIND('112'!$M$9,G3552,1)),"",IF((AND(FIND('112'!$M$9,G3552,1)&gt;=1,B3552='112'!$K$9,OR($N3552='112'!$I$6,$O3552='112'!$I$6))),"x",""))</f>
        <v/>
      </c>
      <c r="U3552" s="75" t="str">
        <f>IF(ISERROR(FIND('112'!$M$9,G3552,1)),"",IF((AND(LEFT(G3552,2)=LEFT('112'!$M$9,2),B3552&lt;'112'!$K$9,$N3552='112'!$I$6)),"x",""))</f>
        <v/>
      </c>
      <c r="V3552" s="75" t="str">
        <f>IF(ISERROR(FIND('112'!$M$9,G3552,1)),"",IF((AND(RIGHT(G3552,2)=RIGHT('112'!$M$9,2),B3552&lt;'112'!$K$9,$O3552='112'!$I$6)),"x",""))</f>
        <v/>
      </c>
      <c r="W3552" s="75" t="str">
        <f>IF(AND('341-CT'!$H$9=H3552,OR(LEFT(N3552,3)=$W$7,LEFT(O3552,3)=$W$7)),"x","")</f>
        <v/>
      </c>
      <c r="X3552" s="75" t="str">
        <f>IF(OR(TH!N3461=TH!$X$7,O3552=TH!$X$7),"x","")</f>
        <v/>
      </c>
      <c r="Y3552" s="75" t="str">
        <f>IF(AND(OR(N3552="131",O3552="131"),H3552='131-CT'!$H$9),"x","")</f>
        <v/>
      </c>
      <c r="Z3552" s="75"/>
      <c r="AA3552" s="75" t="str">
        <f>IF(AND(MONTH(E3552)='IN-NX'!$J$5,'IN-NX'!$D$7=D3552),"x","")</f>
        <v/>
      </c>
      <c r="AB3552" s="75" t="str">
        <f>IF(AND(OR(LEFT(TH!N3461,2)="15",LEFT(TH!O3461,2)="15"),LEFT(TH!O3461,3)&lt;&gt;"111",'152-CT'!$J$8=TH!F3461),"x","")</f>
        <v/>
      </c>
      <c r="AC3552" s="75" t="str">
        <f>IF(AND(OR(LEFT(TH!N3461,2)="15",LEFT(TH!O3461,2)="15"),TK!$E$7=TH!F3461),"x","")</f>
        <v/>
      </c>
      <c r="AD3552" s="75" t="str">
        <f>IF(AND(N3552="1521",MONTH(C3552)='BK-NL'!$M$11),"x","")</f>
        <v/>
      </c>
    </row>
    <row r="3553" spans="1:30" ht="16.5" customHeight="1">
      <c r="A3553" s="309" t="str">
        <f>IF(B3553&lt;&gt;"",IF(AND(B3553='IN-TC'!$S$4,OR(TH!N3553="1111",TH!O3553="1111")),TH!D3553,""),"")</f>
        <v/>
      </c>
      <c r="B3553" s="1058">
        <f t="shared" si="1295"/>
        <v>1</v>
      </c>
      <c r="C3553" s="292">
        <f t="shared" si="1294"/>
        <v>42760</v>
      </c>
      <c r="D3553" s="292" t="s">
        <v>1950</v>
      </c>
      <c r="E3553" s="292">
        <v>42760</v>
      </c>
      <c r="F3553" s="293" t="s">
        <v>972</v>
      </c>
      <c r="G3553" s="925" t="s">
        <v>973</v>
      </c>
      <c r="H3553" s="67" t="s">
        <v>974</v>
      </c>
      <c r="I3553" s="373"/>
      <c r="J3553" s="926"/>
      <c r="K3553" s="373"/>
      <c r="L3553" s="379"/>
      <c r="M3553" s="927">
        <v>1443548</v>
      </c>
      <c r="N3553" s="295" t="s">
        <v>9</v>
      </c>
      <c r="O3553" s="295" t="s">
        <v>63</v>
      </c>
      <c r="P3553" s="75" t="str">
        <f>IF(AND('331-CT'!$E$7=TH!H3462,OR(N3553="331",O3553="331")),"x","")</f>
        <v/>
      </c>
      <c r="Q3553" s="75" t="str">
        <f>IF(AND(B3553='111'!$L$11,OR($N3553=$Q$7,$O3553=$Q$7)),"x","")</f>
        <v/>
      </c>
      <c r="R3553" s="75" t="str">
        <f>IF(AND($N3553=$Q$7,$B3553&lt;'111'!$L$11),"x","")</f>
        <v/>
      </c>
      <c r="S3553" s="75" t="str">
        <f>IF(AND($O3553=$Q$7,$B3553&lt;'111'!$L$11),"x","")</f>
        <v>x</v>
      </c>
      <c r="T3553" s="75" t="str">
        <f>IF(ISERROR(FIND('112'!$M$9,G3553,1)),"",IF((AND(FIND('112'!$M$9,G3553,1)&gt;=1,B3553='112'!$K$9,OR($N3553='112'!$I$6,$O3553='112'!$I$6))),"x",""))</f>
        <v/>
      </c>
      <c r="U3553" s="75" t="str">
        <f>IF(ISERROR(FIND('112'!$M$9,G3553,1)),"",IF((AND(LEFT(G3553,2)=LEFT('112'!$M$9,2),B3553&lt;'112'!$K$9,$N3553='112'!$I$6)),"x",""))</f>
        <v/>
      </c>
      <c r="V3553" s="75" t="str">
        <f>IF(ISERROR(FIND('112'!$M$9,G3553,1)),"",IF((AND(RIGHT(G3553,2)=RIGHT('112'!$M$9,2),B3553&lt;'112'!$K$9,$O3553='112'!$I$6)),"x",""))</f>
        <v/>
      </c>
      <c r="W3553" s="75" t="str">
        <f>IF(AND('341-CT'!$H$9=H3553,OR(LEFT(N3553,3)=$W$7,LEFT(O3553,3)=$W$7)),"x","")</f>
        <v/>
      </c>
      <c r="X3553" s="75" t="str">
        <f>IF(OR(TH!N3462=TH!$X$7,O3553=TH!$X$7),"x","")</f>
        <v/>
      </c>
      <c r="Y3553" s="75" t="str">
        <f>IF(AND(OR(N3553="131",O3553="131"),H3553='131-CT'!$H$9),"x","")</f>
        <v/>
      </c>
      <c r="Z3553" s="75"/>
      <c r="AA3553" s="75" t="str">
        <f>IF(AND(MONTH(E3553)='IN-NX'!$J$5,'IN-NX'!$D$7=D3553),"x","")</f>
        <v/>
      </c>
      <c r="AB3553" s="75" t="str">
        <f>IF(AND(OR(LEFT(TH!N3462,2)="15",LEFT(TH!O3462,2)="15"),LEFT(TH!O3462,3)&lt;&gt;"111",'152-CT'!$J$8=TH!F3462),"x","")</f>
        <v/>
      </c>
      <c r="AC3553" s="75" t="str">
        <f>IF(AND(OR(LEFT(TH!N3462,2)="15",LEFT(TH!O3462,2)="15"),TK!$E$7=TH!F3462),"x","")</f>
        <v/>
      </c>
      <c r="AD3553" s="75" t="str">
        <f>IF(AND(N3553="1521",MONTH(C3553)='BK-NL'!$M$11),"x","")</f>
        <v/>
      </c>
    </row>
    <row r="3554" spans="1:30" ht="16.5" customHeight="1">
      <c r="A3554" s="309" t="str">
        <f>IF(B3554&lt;&gt;"",IF(AND(B3554='IN-TC'!$S$4,OR(TH!N3554="1111",TH!O3554="1111")),TH!D3554,""),"")</f>
        <v/>
      </c>
      <c r="B3554" s="1058">
        <f t="shared" si="1295"/>
        <v>1</v>
      </c>
      <c r="C3554" s="292">
        <f t="shared" si="1294"/>
        <v>42760</v>
      </c>
      <c r="D3554" s="292" t="s">
        <v>854</v>
      </c>
      <c r="E3554" s="292">
        <v>42760</v>
      </c>
      <c r="F3554" s="293" t="s">
        <v>834</v>
      </c>
      <c r="G3554" s="943" t="s">
        <v>747</v>
      </c>
      <c r="H3554" s="67" t="s">
        <v>1023</v>
      </c>
      <c r="I3554" s="373"/>
      <c r="J3554" s="926"/>
      <c r="K3554" s="373"/>
      <c r="L3554" s="379"/>
      <c r="M3554" s="927">
        <v>350000000</v>
      </c>
      <c r="N3554" s="295" t="s">
        <v>63</v>
      </c>
      <c r="O3554" s="295" t="s">
        <v>26</v>
      </c>
      <c r="P3554" s="75" t="str">
        <f>IF(AND('331-CT'!$E$7=TH!H4974,OR(N3554="331",O3554="331")),"x","")</f>
        <v/>
      </c>
      <c r="Q3554" s="75" t="str">
        <f>IF(AND(B3554='111'!$L$11,OR($N3554=$Q$7,$O3554=$Q$7)),"x","")</f>
        <v/>
      </c>
      <c r="R3554" s="75" t="str">
        <f>IF(AND($N3554=$Q$7,$B3554&lt;'111'!$L$11),"x","")</f>
        <v>x</v>
      </c>
      <c r="S3554" s="75" t="str">
        <f>IF(AND($O3554=$Q$7,$B3554&lt;'111'!$L$11),"x","")</f>
        <v/>
      </c>
      <c r="T3554" s="75" t="str">
        <f>IF(ISERROR(FIND('112'!$M$9,G3554,1)),"",IF((AND(FIND('112'!$M$9,G3554,1)&gt;=1,B3554='112'!$K$9,OR($N3554='112'!$I$6,$O3554='112'!$I$6))),"x",""))</f>
        <v/>
      </c>
      <c r="U3554" s="75" t="str">
        <f>IF(ISERROR(FIND('112'!$M$9,G3554,1)),"",IF((AND(LEFT(G3554,2)=LEFT('112'!$M$9,2),B3554&lt;'112'!$K$9,$N3554='112'!$I$6)),"x",""))</f>
        <v/>
      </c>
      <c r="V3554" s="75" t="str">
        <f>IF(ISERROR(FIND('112'!$M$9,G3554,1)),"",IF((AND(RIGHT(G3554,2)=RIGHT('112'!$M$9,2),B3554&lt;'112'!$K$9,$O3554='112'!$I$6)),"x",""))</f>
        <v/>
      </c>
      <c r="W3554" s="75" t="str">
        <f>IF(AND('341-CT'!$H$9=H3554,OR(LEFT(N3554,3)=$W$7,LEFT(O3554,3)=$W$7)),"x","")</f>
        <v/>
      </c>
      <c r="X3554" s="75" t="str">
        <f>IF(OR(TH!N4974=TH!$X$7,O3554=TH!$X$7),"x","")</f>
        <v/>
      </c>
      <c r="Y3554" s="75" t="str">
        <f>IF(AND(OR(N3554="131",O3554="131"),H3554='131-CT'!$H$9),"x","")</f>
        <v/>
      </c>
      <c r="Z3554" s="75"/>
      <c r="AA3554" s="75" t="str">
        <f>IF(AND(MONTH(E3554)='IN-NX'!$J$5,'IN-NX'!$D$7=D3554),"x","")</f>
        <v/>
      </c>
      <c r="AB3554" s="75" t="str">
        <f>IF(AND(OR(LEFT(TH!N4974,2)="15",LEFT(TH!O4974,2)="15"),LEFT(TH!O4974,3)&lt;&gt;"111",'152-CT'!$J$8=TH!F4974),"x","")</f>
        <v/>
      </c>
      <c r="AC3554" s="75" t="str">
        <f>IF(AND(OR(LEFT(TH!N4974,2)="15",LEFT(TH!O4974,2)="15"),TK!$E$7=TH!F4974),"x","")</f>
        <v/>
      </c>
      <c r="AD3554" s="75" t="str">
        <f>IF(AND(N3554="1521",MONTH(C3554)='BK-NL'!$M$11),"x","")</f>
        <v/>
      </c>
    </row>
    <row r="3555" spans="1:30" ht="16.5" customHeight="1">
      <c r="A3555" s="309" t="str">
        <f>IF(B3555&lt;&gt;"",IF(AND(B3555='IN-TC'!$S$4,OR(TH!N3555="1111",TH!O3555="1111")),TH!D3555,""),"")</f>
        <v/>
      </c>
      <c r="B3555" s="1058">
        <f t="shared" si="1295"/>
        <v>1</v>
      </c>
      <c r="C3555" s="292">
        <f t="shared" si="1294"/>
        <v>42760</v>
      </c>
      <c r="D3555" s="292" t="s">
        <v>903</v>
      </c>
      <c r="E3555" s="292">
        <v>42760</v>
      </c>
      <c r="F3555" s="62" t="s">
        <v>914</v>
      </c>
      <c r="G3555" s="943" t="s">
        <v>747</v>
      </c>
      <c r="H3555" s="67" t="s">
        <v>835</v>
      </c>
      <c r="I3555" s="373"/>
      <c r="J3555" s="926"/>
      <c r="K3555" s="373"/>
      <c r="L3555" s="379"/>
      <c r="M3555" s="927">
        <v>58252</v>
      </c>
      <c r="N3555" s="295" t="s">
        <v>26</v>
      </c>
      <c r="O3555" s="295" t="s">
        <v>43</v>
      </c>
      <c r="P3555" s="75" t="str">
        <f>IF(AND('331-CT'!$E$7=TH!H4975,OR(N3555="331",O3555="331")),"x","")</f>
        <v/>
      </c>
      <c r="Q3555" s="75" t="str">
        <f>IF(AND(B3555='111'!$L$11,OR($N3555=$Q$7,$O3555=$Q$7)),"x","")</f>
        <v/>
      </c>
      <c r="R3555" s="75" t="str">
        <f>IF(AND($N3555=$Q$7,$B3555&lt;'111'!$L$11),"x","")</f>
        <v/>
      </c>
      <c r="S3555" s="75" t="str">
        <f>IF(AND($O3555=$Q$7,$B3555&lt;'111'!$L$11),"x","")</f>
        <v/>
      </c>
      <c r="T3555" s="75" t="str">
        <f>IF(ISERROR(FIND('112'!$M$9,G3555,1)),"",IF((AND(FIND('112'!$M$9,G3555,1)&gt;=1,B3555='112'!$K$9,OR($N3555='112'!$I$6,$O3555='112'!$I$6))),"x",""))</f>
        <v/>
      </c>
      <c r="U3555" s="75" t="str">
        <f>IF(ISERROR(FIND('112'!$M$9,G3555,1)),"",IF((AND(LEFT(G3555,2)=LEFT('112'!$M$9,2),B3555&lt;'112'!$K$9,$N3555='112'!$I$6)),"x",""))</f>
        <v/>
      </c>
      <c r="V3555" s="75" t="str">
        <f>IF(ISERROR(FIND('112'!$M$9,G3555,1)),"",IF((AND(RIGHT(G3555,2)=RIGHT('112'!$M$9,2),B3555&lt;'112'!$K$9,$O3555='112'!$I$6)),"x",""))</f>
        <v/>
      </c>
      <c r="W3555" s="75" t="str">
        <f>IF(AND('341-CT'!$H$9=H3555,OR(LEFT(N3555,3)=$W$7,LEFT(O3555,3)=$W$7)),"x","")</f>
        <v/>
      </c>
      <c r="X3555" s="75" t="str">
        <f>IF(OR(TH!N4975=TH!$X$7,O3555=TH!$X$7),"x","")</f>
        <v/>
      </c>
      <c r="Y3555" s="75" t="str">
        <f>IF(AND(OR(N3555="131",O3555="131"),H3555='131-CT'!$H$9),"x","")</f>
        <v/>
      </c>
      <c r="Z3555" s="75"/>
      <c r="AA3555" s="75" t="str">
        <f>IF(AND(MONTH(E3555)='IN-NX'!$J$5,'IN-NX'!$D$7=D3555),"x","")</f>
        <v/>
      </c>
      <c r="AB3555" s="75" t="str">
        <f>IF(AND(OR(LEFT(TH!N4975,2)="15",LEFT(TH!O4975,2)="15"),LEFT(TH!O4975,3)&lt;&gt;"111",'152-CT'!$J$8=TH!F4975),"x","")</f>
        <v/>
      </c>
      <c r="AC3555" s="75" t="str">
        <f>IF(AND(OR(LEFT(TH!N4975,2)="15",LEFT(TH!O4975,2)="15"),TK!$E$7=TH!F4975),"x","")</f>
        <v/>
      </c>
      <c r="AD3555" s="75" t="str">
        <f>IF(AND(N3555="1521",MONTH(C3555)='BK-NL'!$M$11),"x","")</f>
        <v/>
      </c>
    </row>
    <row r="3556" spans="1:30" ht="16.5" customHeight="1">
      <c r="A3556" s="309" t="str">
        <f>IF(B3556&lt;&gt;"",IF(AND(B3556='IN-TC'!$S$4,OR(TH!N3556="1111",TH!O3556="1111")),TH!D3556,""),"")</f>
        <v/>
      </c>
      <c r="B3556" s="1058">
        <f t="shared" si="1295"/>
        <v>1</v>
      </c>
      <c r="C3556" s="292">
        <f t="shared" si="1294"/>
        <v>42760</v>
      </c>
      <c r="D3556" s="292" t="s">
        <v>902</v>
      </c>
      <c r="E3556" s="292">
        <v>42760</v>
      </c>
      <c r="F3556" s="62" t="s">
        <v>915</v>
      </c>
      <c r="G3556" s="943" t="s">
        <v>747</v>
      </c>
      <c r="H3556" s="67" t="s">
        <v>835</v>
      </c>
      <c r="I3556" s="373"/>
      <c r="J3556" s="926"/>
      <c r="K3556" s="373"/>
      <c r="L3556" s="379"/>
      <c r="M3556" s="927">
        <v>124575</v>
      </c>
      <c r="N3556" s="295" t="s">
        <v>101</v>
      </c>
      <c r="O3556" s="295" t="s">
        <v>26</v>
      </c>
      <c r="P3556" s="75" t="str">
        <f>IF(AND('331-CT'!$E$7=TH!H4976,OR(N3556="331",O3556="331")),"x","")</f>
        <v/>
      </c>
      <c r="Q3556" s="75" t="str">
        <f>IF(AND(B3556='111'!$L$11,OR($N3556=$Q$7,$O3556=$Q$7)),"x","")</f>
        <v/>
      </c>
      <c r="R3556" s="75" t="str">
        <f>IF(AND($N3556=$Q$7,$B3556&lt;'111'!$L$11),"x","")</f>
        <v/>
      </c>
      <c r="S3556" s="75" t="str">
        <f>IF(AND($O3556=$Q$7,$B3556&lt;'111'!$L$11),"x","")</f>
        <v/>
      </c>
      <c r="T3556" s="75" t="str">
        <f>IF(ISERROR(FIND('112'!$M$9,G3556,1)),"",IF((AND(FIND('112'!$M$9,G3556,1)&gt;=1,B3556='112'!$K$9,OR($N3556='112'!$I$6,$O3556='112'!$I$6))),"x",""))</f>
        <v/>
      </c>
      <c r="U3556" s="75" t="str">
        <f>IF(ISERROR(FIND('112'!$M$9,G3556,1)),"",IF((AND(LEFT(G3556,2)=LEFT('112'!$M$9,2),B3556&lt;'112'!$K$9,$N3556='112'!$I$6)),"x",""))</f>
        <v/>
      </c>
      <c r="V3556" s="75" t="str">
        <f>IF(ISERROR(FIND('112'!$M$9,G3556,1)),"",IF((AND(RIGHT(G3556,2)=RIGHT('112'!$M$9,2),B3556&lt;'112'!$K$9,$O3556='112'!$I$6)),"x",""))</f>
        <v/>
      </c>
      <c r="W3556" s="75" t="str">
        <f>IF(AND('341-CT'!$H$9=H3556,OR(LEFT(N3556,3)=$W$7,LEFT(O3556,3)=$W$7)),"x","")</f>
        <v/>
      </c>
      <c r="X3556" s="75" t="str">
        <f>IF(OR(TH!N4976=TH!$X$7,O3556=TH!$X$7),"x","")</f>
        <v/>
      </c>
      <c r="Y3556" s="75" t="str">
        <f>IF(AND(OR(N3556="131",O3556="131"),H3556='131-CT'!$H$9),"x","")</f>
        <v/>
      </c>
      <c r="Z3556" s="75"/>
      <c r="AA3556" s="75" t="str">
        <f>IF(AND(MONTH(E3556)='IN-NX'!$J$5,'IN-NX'!$D$7=D3556),"x","")</f>
        <v/>
      </c>
      <c r="AB3556" s="75" t="str">
        <f>IF(AND(OR(LEFT(TH!N4976,2)="15",LEFT(TH!O4976,2)="15"),LEFT(TH!O4976,3)&lt;&gt;"111",'152-CT'!$J$8=TH!F4976),"x","")</f>
        <v/>
      </c>
      <c r="AC3556" s="75" t="str">
        <f>IF(AND(OR(LEFT(TH!N4976,2)="15",LEFT(TH!O4976,2)="15"),TK!$E$7=TH!F4976),"x","")</f>
        <v/>
      </c>
      <c r="AD3556" s="75" t="str">
        <f>IF(AND(N3556="1521",MONTH(C3556)='BK-NL'!$M$11),"x","")</f>
        <v/>
      </c>
    </row>
    <row r="3557" spans="1:30" ht="16.5" customHeight="1">
      <c r="A3557" s="309" t="str">
        <f>IF(B3557&lt;&gt;"",IF(AND(B3557='IN-TC'!$S$4,OR(TH!N3557="1111",TH!O3557="1111")),TH!D3557,""),"")</f>
        <v/>
      </c>
      <c r="B3557" s="1058">
        <f t="shared" si="1295"/>
        <v>1</v>
      </c>
      <c r="C3557" s="292">
        <f t="shared" si="1294"/>
        <v>42760</v>
      </c>
      <c r="D3557" s="292" t="s">
        <v>902</v>
      </c>
      <c r="E3557" s="292">
        <v>42760</v>
      </c>
      <c r="F3557" s="62" t="s">
        <v>915</v>
      </c>
      <c r="G3557" s="943" t="s">
        <v>747</v>
      </c>
      <c r="H3557" s="67" t="s">
        <v>835</v>
      </c>
      <c r="I3557" s="373"/>
      <c r="J3557" s="926"/>
      <c r="K3557" s="373"/>
      <c r="L3557" s="379"/>
      <c r="M3557" s="927">
        <v>1262941</v>
      </c>
      <c r="N3557" s="295" t="s">
        <v>101</v>
      </c>
      <c r="O3557" s="295" t="s">
        <v>26</v>
      </c>
      <c r="P3557" s="75" t="str">
        <f>IF(AND('331-CT'!$E$7=TH!H4977,OR(N3557="331",O3557="331")),"x","")</f>
        <v/>
      </c>
      <c r="Q3557" s="75" t="str">
        <f>IF(AND(B3557='111'!$L$11,OR($N3557=$Q$7,$O3557=$Q$7)),"x","")</f>
        <v/>
      </c>
      <c r="R3557" s="75" t="str">
        <f>IF(AND($N3557=$Q$7,$B3557&lt;'111'!$L$11),"x","")</f>
        <v/>
      </c>
      <c r="S3557" s="75" t="str">
        <f>IF(AND($O3557=$Q$7,$B3557&lt;'111'!$L$11),"x","")</f>
        <v/>
      </c>
      <c r="T3557" s="75" t="str">
        <f>IF(ISERROR(FIND('112'!$M$9,G3557,1)),"",IF((AND(FIND('112'!$M$9,G3557,1)&gt;=1,B3557='112'!$K$9,OR($N3557='112'!$I$6,$O3557='112'!$I$6))),"x",""))</f>
        <v/>
      </c>
      <c r="U3557" s="75" t="str">
        <f>IF(ISERROR(FIND('112'!$M$9,G3557,1)),"",IF((AND(LEFT(G3557,2)=LEFT('112'!$M$9,2),B3557&lt;'112'!$K$9,$N3557='112'!$I$6)),"x",""))</f>
        <v/>
      </c>
      <c r="V3557" s="75" t="str">
        <f>IF(ISERROR(FIND('112'!$M$9,G3557,1)),"",IF((AND(RIGHT(G3557,2)=RIGHT('112'!$M$9,2),B3557&lt;'112'!$K$9,$O3557='112'!$I$6)),"x",""))</f>
        <v/>
      </c>
      <c r="W3557" s="75" t="str">
        <f>IF(AND('341-CT'!$H$9=H3557,OR(LEFT(N3557,3)=$W$7,LEFT(O3557,3)=$W$7)),"x","")</f>
        <v/>
      </c>
      <c r="X3557" s="75" t="str">
        <f>IF(OR(TH!N4977=TH!$X$7,O3557=TH!$X$7),"x","")</f>
        <v/>
      </c>
      <c r="Y3557" s="75" t="str">
        <f>IF(AND(OR(N3557="131",O3557="131"),H3557='131-CT'!$H$9),"x","")</f>
        <v/>
      </c>
      <c r="Z3557" s="75"/>
      <c r="AA3557" s="75" t="str">
        <f>IF(AND(MONTH(E3557)='IN-NX'!$J$5,'IN-NX'!$D$7=D3557),"x","")</f>
        <v/>
      </c>
      <c r="AB3557" s="75" t="str">
        <f>IF(AND(OR(LEFT(TH!N4977,2)="15",LEFT(TH!O4977,2)="15"),LEFT(TH!O4977,3)&lt;&gt;"111",'152-CT'!$J$8=TH!F4977),"x","")</f>
        <v/>
      </c>
      <c r="AC3557" s="75" t="str">
        <f>IF(AND(OR(LEFT(TH!N4977,2)="15",LEFT(TH!O4977,2)="15"),TK!$E$7=TH!F4977),"x","")</f>
        <v/>
      </c>
      <c r="AD3557" s="75" t="str">
        <f>IF(AND(N3557="1521",MONTH(C3557)='BK-NL'!$M$11),"x","")</f>
        <v/>
      </c>
    </row>
    <row r="3558" spans="1:30" ht="16.5" customHeight="1">
      <c r="A3558" s="309" t="str">
        <f>IF(B3558&lt;&gt;"",IF(AND(B3558='IN-TC'!$S$4,OR(TH!N3558="1111",TH!O3558="1111")),TH!D3558,""),"")</f>
        <v/>
      </c>
      <c r="B3558" s="1058">
        <f t="shared" si="1295"/>
        <v>1</v>
      </c>
      <c r="C3558" s="292">
        <f t="shared" si="1294"/>
        <v>42760</v>
      </c>
      <c r="D3558" s="292" t="s">
        <v>903</v>
      </c>
      <c r="E3558" s="292">
        <v>42760</v>
      </c>
      <c r="F3558" s="293" t="s">
        <v>2436</v>
      </c>
      <c r="G3558" s="943" t="s">
        <v>747</v>
      </c>
      <c r="H3558" s="962" t="s">
        <v>2448</v>
      </c>
      <c r="I3558" s="373"/>
      <c r="J3558" s="926"/>
      <c r="K3558" s="373">
        <v>17000</v>
      </c>
      <c r="L3558" s="379">
        <v>22500</v>
      </c>
      <c r="M3558" s="927">
        <f>ROUND(L3558*K3558,0)</f>
        <v>382500000</v>
      </c>
      <c r="N3558" s="295" t="s">
        <v>26</v>
      </c>
      <c r="O3558" s="295" t="s">
        <v>250</v>
      </c>
      <c r="P3558" s="75" t="str">
        <f>IF(AND('331-CT'!$E$7=TH!H4978,OR(N3558="331",O3558="331")),"x","")</f>
        <v/>
      </c>
      <c r="Q3558" s="75" t="str">
        <f>IF(AND(B3558='111'!$L$11,OR($N3558=$Q$7,$O3558=$Q$7)),"x","")</f>
        <v/>
      </c>
      <c r="R3558" s="75" t="str">
        <f>IF(AND($N3558=$Q$7,$B3558&lt;'111'!$L$11),"x","")</f>
        <v/>
      </c>
      <c r="S3558" s="75" t="str">
        <f>IF(AND($O3558=$Q$7,$B3558&lt;'111'!$L$11),"x","")</f>
        <v/>
      </c>
      <c r="T3558" s="75" t="str">
        <f>IF(ISERROR(FIND('112'!$M$9,G3558,1)),"",IF((AND(FIND('112'!$M$9,G3558,1)&gt;=1,B3558='112'!$K$9,OR($N3558='112'!$I$6,$O3558='112'!$I$6))),"x",""))</f>
        <v/>
      </c>
      <c r="U3558" s="75" t="str">
        <f>IF(ISERROR(FIND('112'!$M$9,G3558,1)),"",IF((AND(LEFT(G3558,2)=LEFT('112'!$M$9,2),B3558&lt;'112'!$K$9,$N3558='112'!$I$6)),"x",""))</f>
        <v/>
      </c>
      <c r="V3558" s="75" t="str">
        <f>IF(ISERROR(FIND('112'!$M$9,G3558,1)),"",IF((AND(RIGHT(G3558,2)=RIGHT('112'!$M$9,2),B3558&lt;'112'!$K$9,$O3558='112'!$I$6)),"x",""))</f>
        <v/>
      </c>
      <c r="W3558" s="75" t="str">
        <f>IF(AND('341-CT'!$H$9=H3558,OR(LEFT(N3558,3)=$W$7,LEFT(O3558,3)=$W$7)),"x","")</f>
        <v/>
      </c>
      <c r="X3558" s="75" t="str">
        <f>IF(OR(TH!N4978=TH!$X$7,O3558=TH!$X$7),"x","")</f>
        <v/>
      </c>
      <c r="Y3558" s="75" t="str">
        <f>IF(AND(OR(N3558="131",O3558="131"),H3558='131-CT'!$H$9),"x","")</f>
        <v/>
      </c>
      <c r="Z3558" s="75"/>
      <c r="AA3558" s="75" t="str">
        <f>IF(AND(MONTH(E3558)='IN-NX'!$J$5,'IN-NX'!$D$7=D3558),"x","")</f>
        <v/>
      </c>
      <c r="AB3558" s="75" t="str">
        <f>IF(AND(OR(LEFT(TH!N4978,2)="15",LEFT(TH!O4978,2)="15"),LEFT(TH!O4978,3)&lt;&gt;"111",'152-CT'!$J$8=TH!F4978),"x","")</f>
        <v/>
      </c>
      <c r="AC3558" s="75" t="str">
        <f>IF(AND(OR(LEFT(TH!N4978,2)="15",LEFT(TH!O4978,2)="15"),TK!$E$7=TH!F4978),"x","")</f>
        <v/>
      </c>
      <c r="AD3558" s="75" t="str">
        <f>IF(AND(N3558="1521",MONTH(C3558)='BK-NL'!$M$11),"x","")</f>
        <v/>
      </c>
    </row>
    <row r="3559" spans="1:30" ht="16.5" customHeight="1">
      <c r="A3559" s="309" t="str">
        <f>IF(B3559&lt;&gt;"",IF(AND(B3559='IN-TC'!$S$4,OR(TH!N3559="1111",TH!O3559="1111")),TH!D3559,""),"")</f>
        <v/>
      </c>
      <c r="B3559" s="1131">
        <f t="shared" si="1295"/>
        <v>1</v>
      </c>
      <c r="C3559" s="292">
        <f t="shared" si="1294"/>
        <v>42760</v>
      </c>
      <c r="D3559" s="292" t="s">
        <v>1921</v>
      </c>
      <c r="E3559" s="292">
        <v>42760</v>
      </c>
      <c r="F3559" s="293" t="s">
        <v>959</v>
      </c>
      <c r="G3559" s="925" t="s">
        <v>1031</v>
      </c>
      <c r="H3559" s="67" t="s">
        <v>1032</v>
      </c>
      <c r="I3559" s="373"/>
      <c r="J3559" s="926"/>
      <c r="K3559" s="373"/>
      <c r="L3559" s="379"/>
      <c r="M3559" s="927">
        <v>173190</v>
      </c>
      <c r="N3559" s="295" t="s">
        <v>101</v>
      </c>
      <c r="O3559" s="295" t="s">
        <v>63</v>
      </c>
      <c r="P3559" s="75" t="str">
        <f>IF(AND('331-CT'!$E$7=TH!H3480,OR(N3559="331",O3559="331")),"x","")</f>
        <v/>
      </c>
      <c r="Q3559" s="75" t="str">
        <f>IF(AND(B3559='111'!$L$11,OR($N3559=$Q$7,$O3559=$Q$7)),"x","")</f>
        <v/>
      </c>
      <c r="R3559" s="75" t="str">
        <f>IF(AND($N3559=$Q$7,$B3559&lt;'111'!$L$11),"x","")</f>
        <v/>
      </c>
      <c r="S3559" s="75" t="str">
        <f>IF(AND($O3559=$Q$7,$B3559&lt;'111'!$L$11),"x","")</f>
        <v>x</v>
      </c>
      <c r="T3559" s="75" t="str">
        <f>IF(ISERROR(FIND('112'!$M$9,G3559,1)),"",IF((AND(FIND('112'!$M$9,G3559,1)&gt;=1,B3559='112'!$K$9,OR($N3559='112'!$I$6,$O3559='112'!$I$6))),"x",""))</f>
        <v/>
      </c>
      <c r="U3559" s="75" t="str">
        <f>IF(ISERROR(FIND('112'!$M$9,G3559,1)),"",IF((AND(LEFT(G3559,2)=LEFT('112'!$M$9,2),B3559&lt;'112'!$K$9,$N3559='112'!$I$6)),"x",""))</f>
        <v/>
      </c>
      <c r="V3559" s="75" t="str">
        <f>IF(ISERROR(FIND('112'!$M$9,G3559,1)),"",IF((AND(RIGHT(G3559,2)=RIGHT('112'!$M$9,2),B3559&lt;'112'!$K$9,$O3559='112'!$I$6)),"x",""))</f>
        <v/>
      </c>
      <c r="W3559" s="75" t="str">
        <f>IF(AND('341-CT'!$H$9=H3559,OR(LEFT(N3559,3)=$W$7,LEFT(O3559,3)=$W$7)),"x","")</f>
        <v/>
      </c>
      <c r="X3559" s="75" t="str">
        <f>IF(OR(TH!N3480=TH!$X$7,O3559=TH!$X$7),"x","")</f>
        <v/>
      </c>
      <c r="Y3559" s="75" t="str">
        <f>IF(AND(OR(N3559="131",O3559="131"),H3559='131-CT'!$H$9),"x","")</f>
        <v/>
      </c>
      <c r="Z3559" s="75"/>
      <c r="AA3559" s="75" t="str">
        <f>IF(AND(MONTH(E3559)='IN-NX'!$J$5,'IN-NX'!$D$7=D3559),"x","")</f>
        <v/>
      </c>
      <c r="AB3559" s="75" t="str">
        <f>IF(AND(OR(LEFT(TH!N3480,2)="15",LEFT(TH!O3480,2)="15"),LEFT(TH!O3480,3)&lt;&gt;"111",'152-CT'!$J$8=TH!F3480),"x","")</f>
        <v/>
      </c>
      <c r="AC3559" s="75" t="str">
        <f>IF(AND(OR(LEFT(TH!N3480,2)="15",LEFT(TH!O3480,2)="15"),TK!$E$7=TH!F3480),"x","")</f>
        <v/>
      </c>
      <c r="AD3559" s="75" t="str">
        <f>IF(AND(N3559="1521",MONTH(C3559)='BK-NL'!$M$11),"x","")</f>
        <v/>
      </c>
    </row>
    <row r="3560" spans="1:30" ht="16.5" customHeight="1">
      <c r="A3560" s="309" t="str">
        <f>IF(B3560&lt;&gt;"",IF(AND(B3560='IN-TC'!$S$4,OR(TH!N3560="1111",TH!O3560="1111")),TH!D3560,""),"")</f>
        <v/>
      </c>
      <c r="B3560" s="1131">
        <f t="shared" si="1295"/>
        <v>1</v>
      </c>
      <c r="C3560" s="292">
        <f t="shared" ref="C3560:C3566" si="1296">E3560</f>
        <v>42760</v>
      </c>
      <c r="D3560" s="292" t="s">
        <v>1921</v>
      </c>
      <c r="E3560" s="292">
        <v>42760</v>
      </c>
      <c r="F3560" s="293" t="s">
        <v>960</v>
      </c>
      <c r="G3560" s="925" t="s">
        <v>1031</v>
      </c>
      <c r="H3560" s="67" t="s">
        <v>1032</v>
      </c>
      <c r="I3560" s="373"/>
      <c r="J3560" s="926"/>
      <c r="K3560" s="373"/>
      <c r="L3560" s="379"/>
      <c r="M3560" s="927">
        <v>17319</v>
      </c>
      <c r="N3560" s="295" t="s">
        <v>9</v>
      </c>
      <c r="O3560" s="295" t="s">
        <v>63</v>
      </c>
      <c r="P3560" s="75" t="str">
        <f>IF(AND('331-CT'!$E$7=TH!H3481,OR(N3560="331",O3560="331")),"x","")</f>
        <v/>
      </c>
      <c r="Q3560" s="75" t="str">
        <f>IF(AND(B3560='111'!$L$11,OR($N3560=$Q$7,$O3560=$Q$7)),"x","")</f>
        <v/>
      </c>
      <c r="R3560" s="75" t="str">
        <f>IF(AND($N3560=$Q$7,$B3560&lt;'111'!$L$11),"x","")</f>
        <v/>
      </c>
      <c r="S3560" s="75" t="str">
        <f>IF(AND($O3560=$Q$7,$B3560&lt;'111'!$L$11),"x","")</f>
        <v>x</v>
      </c>
      <c r="T3560" s="75" t="str">
        <f>IF(ISERROR(FIND('112'!$M$9,G3560,1)),"",IF((AND(FIND('112'!$M$9,G3560,1)&gt;=1,B3560='112'!$K$9,OR($N3560='112'!$I$6,$O3560='112'!$I$6))),"x",""))</f>
        <v/>
      </c>
      <c r="U3560" s="75" t="str">
        <f>IF(ISERROR(FIND('112'!$M$9,G3560,1)),"",IF((AND(LEFT(G3560,2)=LEFT('112'!$M$9,2),B3560&lt;'112'!$K$9,$N3560='112'!$I$6)),"x",""))</f>
        <v/>
      </c>
      <c r="V3560" s="75" t="str">
        <f>IF(ISERROR(FIND('112'!$M$9,G3560,1)),"",IF((AND(RIGHT(G3560,2)=RIGHT('112'!$M$9,2),B3560&lt;'112'!$K$9,$O3560='112'!$I$6)),"x",""))</f>
        <v/>
      </c>
      <c r="W3560" s="75" t="str">
        <f>IF(AND('341-CT'!$H$9=H3560,OR(LEFT(N3560,3)=$W$7,LEFT(O3560,3)=$W$7)),"x","")</f>
        <v/>
      </c>
      <c r="X3560" s="75" t="str">
        <f>IF(OR(TH!N3481=TH!$X$7,O3560=TH!$X$7),"x","")</f>
        <v/>
      </c>
      <c r="Y3560" s="75" t="str">
        <f>IF(AND(OR(N3560="131",O3560="131"),H3560='131-CT'!$H$9),"x","")</f>
        <v/>
      </c>
      <c r="Z3560" s="75"/>
      <c r="AA3560" s="75" t="str">
        <f>IF(AND(MONTH(E3560)='IN-NX'!$J$5,'IN-NX'!$D$7=D3560),"x","")</f>
        <v/>
      </c>
      <c r="AB3560" s="75" t="str">
        <f>IF(AND(OR(LEFT(TH!N3481,2)="15",LEFT(TH!O3481,2)="15"),LEFT(TH!O3481,3)&lt;&gt;"111",'152-CT'!$J$8=TH!F3481),"x","")</f>
        <v/>
      </c>
      <c r="AC3560" s="75" t="str">
        <f>IF(AND(OR(LEFT(TH!N3481,2)="15",LEFT(TH!O3481,2)="15"),TK!$E$7=TH!F3481),"x","")</f>
        <v/>
      </c>
      <c r="AD3560" s="75" t="str">
        <f>IF(AND(N3560="1521",MONTH(C3560)='BK-NL'!$M$11),"x","")</f>
        <v/>
      </c>
    </row>
    <row r="3561" spans="1:30" ht="16.5" customHeight="1">
      <c r="A3561" s="309" t="str">
        <f>IF(B3561&lt;&gt;"",IF(AND(B3561='IN-TC'!$S$4,OR(TH!N3561="1111",TH!O3561="1111")),TH!D3561,""),"")</f>
        <v/>
      </c>
      <c r="B3561" s="1058">
        <f t="shared" si="1295"/>
        <v>1</v>
      </c>
      <c r="C3561" s="292">
        <f t="shared" si="1296"/>
        <v>42766</v>
      </c>
      <c r="D3561" s="292" t="s">
        <v>1953</v>
      </c>
      <c r="E3561" s="292">
        <v>42766</v>
      </c>
      <c r="F3561" s="293" t="s">
        <v>890</v>
      </c>
      <c r="G3561" s="925" t="s">
        <v>975</v>
      </c>
      <c r="H3561" s="67" t="s">
        <v>893</v>
      </c>
      <c r="I3561" s="373"/>
      <c r="J3561" s="926"/>
      <c r="K3561" s="373"/>
      <c r="L3561" s="379"/>
      <c r="M3561" s="927">
        <v>1563581</v>
      </c>
      <c r="N3561" s="295" t="s">
        <v>101</v>
      </c>
      <c r="O3561" s="295" t="s">
        <v>63</v>
      </c>
      <c r="P3561" s="75" t="str">
        <f>IF(AND('331-CT'!$E$7=TH!H3463,OR(N3561="331",O3561="331")),"x","")</f>
        <v/>
      </c>
      <c r="Q3561" s="75" t="str">
        <f>IF(AND(B3561='111'!$L$11,OR($N3561=$Q$7,$O3561=$Q$7)),"x","")</f>
        <v/>
      </c>
      <c r="R3561" s="75" t="str">
        <f>IF(AND($N3561=$Q$7,$B3561&lt;'111'!$L$11),"x","")</f>
        <v/>
      </c>
      <c r="S3561" s="75" t="str">
        <f>IF(AND($O3561=$Q$7,$B3561&lt;'111'!$L$11),"x","")</f>
        <v>x</v>
      </c>
      <c r="T3561" s="75" t="str">
        <f>IF(ISERROR(FIND('112'!$M$9,G3561,1)),"",IF((AND(FIND('112'!$M$9,G3561,1)&gt;=1,B3561='112'!$K$9,OR($N3561='112'!$I$6,$O3561='112'!$I$6))),"x",""))</f>
        <v/>
      </c>
      <c r="U3561" s="75" t="str">
        <f>IF(ISERROR(FIND('112'!$M$9,G3561,1)),"",IF((AND(LEFT(G3561,2)=LEFT('112'!$M$9,2),B3561&lt;'112'!$K$9,$N3561='112'!$I$6)),"x",""))</f>
        <v/>
      </c>
      <c r="V3561" s="75" t="str">
        <f>IF(ISERROR(FIND('112'!$M$9,G3561,1)),"",IF((AND(RIGHT(G3561,2)=RIGHT('112'!$M$9,2),B3561&lt;'112'!$K$9,$O3561='112'!$I$6)),"x",""))</f>
        <v/>
      </c>
      <c r="W3561" s="75" t="str">
        <f>IF(AND('341-CT'!$H$9=H3561,OR(LEFT(N3561,3)=$W$7,LEFT(O3561,3)=$W$7)),"x","")</f>
        <v/>
      </c>
      <c r="X3561" s="75" t="str">
        <f>IF(OR(TH!N3463=TH!$X$7,O3561=TH!$X$7),"x","")</f>
        <v/>
      </c>
      <c r="Y3561" s="75" t="str">
        <f>IF(AND(OR(N3561="131",O3561="131"),H3561='131-CT'!$H$9),"x","")</f>
        <v/>
      </c>
      <c r="Z3561" s="75"/>
      <c r="AA3561" s="75" t="str">
        <f>IF(AND(MONTH(E3561)='IN-NX'!$J$5,'IN-NX'!$D$7=D3561),"x","")</f>
        <v/>
      </c>
      <c r="AB3561" s="75" t="str">
        <f>IF(AND(OR(LEFT(TH!N3463,2)="15",LEFT(TH!O3463,2)="15"),LEFT(TH!O3463,3)&lt;&gt;"111",'152-CT'!$J$8=TH!F3463),"x","")</f>
        <v/>
      </c>
      <c r="AC3561" s="75" t="str">
        <f>IF(AND(OR(LEFT(TH!N3463,2)="15",LEFT(TH!O3463,2)="15"),TK!$E$7=TH!F3463),"x","")</f>
        <v/>
      </c>
      <c r="AD3561" s="75" t="str">
        <f>IF(AND(N3561="1521",MONTH(C3561)='BK-NL'!$M$11),"x","")</f>
        <v/>
      </c>
    </row>
    <row r="3562" spans="1:30" ht="16.5" customHeight="1">
      <c r="A3562" s="309" t="str">
        <f>IF(B3562&lt;&gt;"",IF(AND(B3562='IN-TC'!$S$4,OR(TH!N3562="1111",TH!O3562="1111")),TH!D3562,""),"")</f>
        <v/>
      </c>
      <c r="B3562" s="1058">
        <f t="shared" si="1295"/>
        <v>1</v>
      </c>
      <c r="C3562" s="292">
        <f t="shared" si="1296"/>
        <v>42766</v>
      </c>
      <c r="D3562" s="292" t="s">
        <v>1953</v>
      </c>
      <c r="E3562" s="292">
        <v>42766</v>
      </c>
      <c r="F3562" s="293" t="s">
        <v>891</v>
      </c>
      <c r="G3562" s="925" t="s">
        <v>975</v>
      </c>
      <c r="H3562" s="67" t="s">
        <v>893</v>
      </c>
      <c r="I3562" s="373"/>
      <c r="J3562" s="926"/>
      <c r="K3562" s="373"/>
      <c r="L3562" s="379"/>
      <c r="M3562" s="927">
        <v>156359</v>
      </c>
      <c r="N3562" s="295" t="s">
        <v>9</v>
      </c>
      <c r="O3562" s="295" t="s">
        <v>63</v>
      </c>
      <c r="P3562" s="75" t="str">
        <f>IF(AND('331-CT'!$E$7=TH!H3464,OR(N3562="331",O3562="331")),"x","")</f>
        <v/>
      </c>
      <c r="Q3562" s="75" t="str">
        <f>IF(AND(B3562='111'!$L$11,OR($N3562=$Q$7,$O3562=$Q$7)),"x","")</f>
        <v/>
      </c>
      <c r="R3562" s="75" t="str">
        <f>IF(AND($N3562=$Q$7,$B3562&lt;'111'!$L$11),"x","")</f>
        <v/>
      </c>
      <c r="S3562" s="75" t="str">
        <f>IF(AND($O3562=$Q$7,$B3562&lt;'111'!$L$11),"x","")</f>
        <v>x</v>
      </c>
      <c r="T3562" s="75" t="str">
        <f>IF(ISERROR(FIND('112'!$M$9,G3562,1)),"",IF((AND(FIND('112'!$M$9,G3562,1)&gt;=1,B3562='112'!$K$9,OR($N3562='112'!$I$6,$O3562='112'!$I$6))),"x",""))</f>
        <v/>
      </c>
      <c r="U3562" s="75" t="str">
        <f>IF(ISERROR(FIND('112'!$M$9,G3562,1)),"",IF((AND(LEFT(G3562,2)=LEFT('112'!$M$9,2),B3562&lt;'112'!$K$9,$N3562='112'!$I$6)),"x",""))</f>
        <v/>
      </c>
      <c r="V3562" s="75" t="str">
        <f>IF(ISERROR(FIND('112'!$M$9,G3562,1)),"",IF((AND(RIGHT(G3562,2)=RIGHT('112'!$M$9,2),B3562&lt;'112'!$K$9,$O3562='112'!$I$6)),"x",""))</f>
        <v/>
      </c>
      <c r="W3562" s="75" t="str">
        <f>IF(AND('341-CT'!$H$9=H3562,OR(LEFT(N3562,3)=$W$7,LEFT(O3562,3)=$W$7)),"x","")</f>
        <v/>
      </c>
      <c r="X3562" s="75" t="str">
        <f>IF(OR(TH!N3464=TH!$X$7,O3562=TH!$X$7),"x","")</f>
        <v/>
      </c>
      <c r="Y3562" s="75" t="str">
        <f>IF(AND(OR(N3562="131",O3562="131"),H3562='131-CT'!$H$9),"x","")</f>
        <v/>
      </c>
      <c r="Z3562" s="75"/>
      <c r="AA3562" s="75" t="str">
        <f>IF(AND(MONTH(E3562)='IN-NX'!$J$5,'IN-NX'!$D$7=D3562),"x","")</f>
        <v/>
      </c>
      <c r="AB3562" s="75" t="str">
        <f>IF(AND(OR(LEFT(TH!N3464,2)="15",LEFT(TH!O3464,2)="15"),LEFT(TH!O3464,3)&lt;&gt;"111",'152-CT'!$J$8=TH!F3464),"x","")</f>
        <v/>
      </c>
      <c r="AC3562" s="75" t="str">
        <f>IF(AND(OR(LEFT(TH!N3464,2)="15",LEFT(TH!O3464,2)="15"),TK!$E$7=TH!F3464),"x","")</f>
        <v/>
      </c>
      <c r="AD3562" s="75" t="str">
        <f>IF(AND(N3562="1521",MONTH(C3562)='BK-NL'!$M$11),"x","")</f>
        <v/>
      </c>
    </row>
    <row r="3563" spans="1:30" ht="16.5" customHeight="1">
      <c r="A3563" s="309" t="str">
        <f>IF(B3563&lt;&gt;"",IF(AND(B3563='IN-TC'!$S$4,OR(TH!N3563="1111",TH!O3563="1111")),TH!D3563,""),"")</f>
        <v/>
      </c>
      <c r="B3563" s="1058">
        <f t="shared" si="1295"/>
        <v>1</v>
      </c>
      <c r="C3563" s="292">
        <f t="shared" si="1296"/>
        <v>42766</v>
      </c>
      <c r="D3563" s="292" t="s">
        <v>1954</v>
      </c>
      <c r="E3563" s="292">
        <v>42766</v>
      </c>
      <c r="F3563" s="293" t="s">
        <v>976</v>
      </c>
      <c r="G3563" s="925"/>
      <c r="H3563" s="67" t="s">
        <v>978</v>
      </c>
      <c r="I3563" s="373"/>
      <c r="J3563" s="926"/>
      <c r="K3563" s="373"/>
      <c r="L3563" s="379"/>
      <c r="M3563" s="927">
        <v>1245455</v>
      </c>
      <c r="N3563" s="295" t="s">
        <v>101</v>
      </c>
      <c r="O3563" s="295" t="s">
        <v>63</v>
      </c>
      <c r="P3563" s="75" t="str">
        <f>IF(AND('331-CT'!$E$7=TH!H3465,OR(N3563="331",O3563="331")),"x","")</f>
        <v/>
      </c>
      <c r="Q3563" s="75" t="str">
        <f>IF(AND(B3563='111'!$L$11,OR($N3563=$Q$7,$O3563=$Q$7)),"x","")</f>
        <v/>
      </c>
      <c r="R3563" s="75" t="str">
        <f>IF(AND($N3563=$Q$7,$B3563&lt;'111'!$L$11),"x","")</f>
        <v/>
      </c>
      <c r="S3563" s="75" t="str">
        <f>IF(AND($O3563=$Q$7,$B3563&lt;'111'!$L$11),"x","")</f>
        <v>x</v>
      </c>
      <c r="T3563" s="75" t="str">
        <f>IF(ISERROR(FIND('112'!$M$9,G3563,1)),"",IF((AND(FIND('112'!$M$9,G3563,1)&gt;=1,B3563='112'!$K$9,OR($N3563='112'!$I$6,$O3563='112'!$I$6))),"x",""))</f>
        <v/>
      </c>
      <c r="U3563" s="75" t="str">
        <f>IF(ISERROR(FIND('112'!$M$9,G3563,1)),"",IF((AND(LEFT(G3563,2)=LEFT('112'!$M$9,2),B3563&lt;'112'!$K$9,$N3563='112'!$I$6)),"x",""))</f>
        <v/>
      </c>
      <c r="V3563" s="75" t="str">
        <f>IF(ISERROR(FIND('112'!$M$9,G3563,1)),"",IF((AND(RIGHT(G3563,2)=RIGHT('112'!$M$9,2),B3563&lt;'112'!$K$9,$O3563='112'!$I$6)),"x",""))</f>
        <v/>
      </c>
      <c r="W3563" s="75" t="str">
        <f>IF(AND('341-CT'!$H$9=H3563,OR(LEFT(N3563,3)=$W$7,LEFT(O3563,3)=$W$7)),"x","")</f>
        <v/>
      </c>
      <c r="X3563" s="75" t="str">
        <f>IF(OR(TH!N3465=TH!$X$7,O3563=TH!$X$7),"x","")</f>
        <v/>
      </c>
      <c r="Y3563" s="75" t="str">
        <f>IF(AND(OR(N3563="131",O3563="131"),H3563='131-CT'!$H$9),"x","")</f>
        <v/>
      </c>
      <c r="Z3563" s="75"/>
      <c r="AA3563" s="75" t="str">
        <f>IF(AND(MONTH(E3563)='IN-NX'!$J$5,'IN-NX'!$D$7=D3563),"x","")</f>
        <v/>
      </c>
      <c r="AB3563" s="75" t="str">
        <f>IF(AND(OR(LEFT(TH!N3465,2)="15",LEFT(TH!O3465,2)="15"),LEFT(TH!O3465,3)&lt;&gt;"111",'152-CT'!$J$8=TH!F3465),"x","")</f>
        <v/>
      </c>
      <c r="AC3563" s="75" t="str">
        <f>IF(AND(OR(LEFT(TH!N3465,2)="15",LEFT(TH!O3465,2)="15"),TK!$E$7=TH!F3465),"x","")</f>
        <v/>
      </c>
      <c r="AD3563" s="75" t="str">
        <f>IF(AND(N3563="1521",MONTH(C3563)='BK-NL'!$M$11),"x","")</f>
        <v/>
      </c>
    </row>
    <row r="3564" spans="1:30" ht="16.5" customHeight="1">
      <c r="A3564" s="309" t="str">
        <f>IF(B3564&lt;&gt;"",IF(AND(B3564='IN-TC'!$S$4,OR(TH!N3564="1111",TH!O3564="1111")),TH!D3564,""),"")</f>
        <v/>
      </c>
      <c r="B3564" s="1058">
        <f t="shared" si="1295"/>
        <v>1</v>
      </c>
      <c r="C3564" s="292">
        <f t="shared" si="1296"/>
        <v>42766</v>
      </c>
      <c r="D3564" s="292" t="s">
        <v>1954</v>
      </c>
      <c r="E3564" s="292">
        <v>42766</v>
      </c>
      <c r="F3564" s="293" t="s">
        <v>977</v>
      </c>
      <c r="G3564" s="925"/>
      <c r="H3564" s="67" t="s">
        <v>978</v>
      </c>
      <c r="I3564" s="373"/>
      <c r="J3564" s="926"/>
      <c r="K3564" s="373"/>
      <c r="L3564" s="379"/>
      <c r="M3564" s="927">
        <v>124545</v>
      </c>
      <c r="N3564" s="295" t="s">
        <v>9</v>
      </c>
      <c r="O3564" s="295" t="s">
        <v>63</v>
      </c>
      <c r="P3564" s="75" t="str">
        <f>IF(AND('331-CT'!$E$7=TH!H3466,OR(N3564="331",O3564="331")),"x","")</f>
        <v/>
      </c>
      <c r="Q3564" s="75" t="str">
        <f>IF(AND(B3564='111'!$L$11,OR($N3564=$Q$7,$O3564=$Q$7)),"x","")</f>
        <v/>
      </c>
      <c r="R3564" s="75" t="str">
        <f>IF(AND($N3564=$Q$7,$B3564&lt;'111'!$L$11),"x","")</f>
        <v/>
      </c>
      <c r="S3564" s="75" t="str">
        <f>IF(AND($O3564=$Q$7,$B3564&lt;'111'!$L$11),"x","")</f>
        <v>x</v>
      </c>
      <c r="T3564" s="75" t="str">
        <f>IF(ISERROR(FIND('112'!$M$9,G3564,1)),"",IF((AND(FIND('112'!$M$9,G3564,1)&gt;=1,B3564='112'!$K$9,OR($N3564='112'!$I$6,$O3564='112'!$I$6))),"x",""))</f>
        <v/>
      </c>
      <c r="U3564" s="75" t="str">
        <f>IF(ISERROR(FIND('112'!$M$9,G3564,1)),"",IF((AND(LEFT(G3564,2)=LEFT('112'!$M$9,2),B3564&lt;'112'!$K$9,$N3564='112'!$I$6)),"x",""))</f>
        <v/>
      </c>
      <c r="V3564" s="75" t="str">
        <f>IF(ISERROR(FIND('112'!$M$9,G3564,1)),"",IF((AND(RIGHT(G3564,2)=RIGHT('112'!$M$9,2),B3564&lt;'112'!$K$9,$O3564='112'!$I$6)),"x",""))</f>
        <v/>
      </c>
      <c r="W3564" s="75" t="str">
        <f>IF(AND('341-CT'!$H$9=H3564,OR(LEFT(N3564,3)=$W$7,LEFT(O3564,3)=$W$7)),"x","")</f>
        <v/>
      </c>
      <c r="X3564" s="75" t="str">
        <f>IF(OR(TH!N3466=TH!$X$7,O3564=TH!$X$7),"x","")</f>
        <v/>
      </c>
      <c r="Y3564" s="75" t="str">
        <f>IF(AND(OR(N3564="131",O3564="131"),H3564='131-CT'!$H$9),"x","")</f>
        <v/>
      </c>
      <c r="Z3564" s="75"/>
      <c r="AA3564" s="75" t="str">
        <f>IF(AND(MONTH(E3564)='IN-NX'!$J$5,'IN-NX'!$D$7=D3564),"x","")</f>
        <v/>
      </c>
      <c r="AB3564" s="75" t="str">
        <f>IF(AND(OR(LEFT(TH!N3466,2)="15",LEFT(TH!O3466,2)="15"),LEFT(TH!O3466,3)&lt;&gt;"111",'152-CT'!$J$8=TH!F3466),"x","")</f>
        <v/>
      </c>
      <c r="AC3564" s="75" t="str">
        <f>IF(AND(OR(LEFT(TH!N3466,2)="15",LEFT(TH!O3466,2)="15"),TK!$E$7=TH!F3466),"x","")</f>
        <v/>
      </c>
      <c r="AD3564" s="75" t="str">
        <f>IF(AND(N3564="1521",MONTH(C3564)='BK-NL'!$M$11),"x","")</f>
        <v/>
      </c>
    </row>
    <row r="3565" spans="1:30" ht="16.5" customHeight="1">
      <c r="A3565" s="309" t="str">
        <f>IF(B3565&lt;&gt;"",IF(AND(B3565='IN-TC'!$S$4,OR(TH!N3565="1111",TH!O3565="1111")),TH!D3565,""),"")</f>
        <v/>
      </c>
      <c r="B3565" s="1058">
        <f t="shared" si="1295"/>
        <v>1</v>
      </c>
      <c r="C3565" s="292">
        <f t="shared" si="1296"/>
        <v>42766</v>
      </c>
      <c r="D3565" s="292" t="s">
        <v>1955</v>
      </c>
      <c r="E3565" s="292">
        <v>42766</v>
      </c>
      <c r="F3565" s="293" t="s">
        <v>979</v>
      </c>
      <c r="G3565" s="925"/>
      <c r="H3565" s="67" t="s">
        <v>980</v>
      </c>
      <c r="I3565" s="373"/>
      <c r="J3565" s="926"/>
      <c r="K3565" s="373"/>
      <c r="L3565" s="379"/>
      <c r="M3565" s="927">
        <v>93453645</v>
      </c>
      <c r="N3565" s="295" t="s">
        <v>540</v>
      </c>
      <c r="O3565" s="295" t="s">
        <v>63</v>
      </c>
      <c r="P3565" s="75" t="str">
        <f>IF(AND('331-CT'!$E$7=TH!H3467,OR(N3565="331",O3565="331")),"x","")</f>
        <v/>
      </c>
      <c r="Q3565" s="75" t="str">
        <f>IF(AND(B3565='111'!$L$11,OR($N3565=$Q$7,$O3565=$Q$7)),"x","")</f>
        <v/>
      </c>
      <c r="R3565" s="75" t="str">
        <f>IF(AND($N3565=$Q$7,$B3565&lt;'111'!$L$11),"x","")</f>
        <v/>
      </c>
      <c r="S3565" s="75" t="str">
        <f>IF(AND($O3565=$Q$7,$B3565&lt;'111'!$L$11),"x","")</f>
        <v>x</v>
      </c>
      <c r="T3565" s="75" t="str">
        <f>IF(ISERROR(FIND('112'!$M$9,G3565,1)),"",IF((AND(FIND('112'!$M$9,G3565,1)&gt;=1,B3565='112'!$K$9,OR($N3565='112'!$I$6,$O3565='112'!$I$6))),"x",""))</f>
        <v/>
      </c>
      <c r="U3565" s="75" t="str">
        <f>IF(ISERROR(FIND('112'!$M$9,G3565,1)),"",IF((AND(LEFT(G3565,2)=LEFT('112'!$M$9,2),B3565&lt;'112'!$K$9,$N3565='112'!$I$6)),"x",""))</f>
        <v/>
      </c>
      <c r="V3565" s="75" t="str">
        <f>IF(ISERROR(FIND('112'!$M$9,G3565,1)),"",IF((AND(RIGHT(G3565,2)=RIGHT('112'!$M$9,2),B3565&lt;'112'!$K$9,$O3565='112'!$I$6)),"x",""))</f>
        <v/>
      </c>
      <c r="W3565" s="75" t="str">
        <f>IF(AND('341-CT'!$H$9=H3565,OR(LEFT(N3565,3)=$W$7,LEFT(O3565,3)=$W$7)),"x","")</f>
        <v/>
      </c>
      <c r="X3565" s="75" t="str">
        <f>IF(OR(TH!N3467=TH!$X$7,O3565=TH!$X$7),"x","")</f>
        <v/>
      </c>
      <c r="Y3565" s="75" t="str">
        <f>IF(AND(OR(N3565="131",O3565="131"),H3565='131-CT'!$H$9),"x","")</f>
        <v/>
      </c>
      <c r="Z3565" s="75"/>
      <c r="AA3565" s="75" t="str">
        <f>IF(AND(MONTH(E3565)='IN-NX'!$J$5,'IN-NX'!$D$7=D3565),"x","")</f>
        <v/>
      </c>
      <c r="AB3565" s="75" t="str">
        <f>IF(AND(OR(LEFT(TH!N3467,2)="15",LEFT(TH!O3467,2)="15"),LEFT(TH!O3467,3)&lt;&gt;"111",'152-CT'!$J$8=TH!F3467),"x","")</f>
        <v/>
      </c>
      <c r="AC3565" s="75" t="str">
        <f>IF(AND(OR(LEFT(TH!N3467,2)="15",LEFT(TH!O3467,2)="15"),TK!$E$7=TH!F3467),"x","")</f>
        <v/>
      </c>
      <c r="AD3565" s="75" t="str">
        <f>IF(AND(N3565="1521",MONTH(C3565)='BK-NL'!$M$11),"x","")</f>
        <v/>
      </c>
    </row>
    <row r="3566" spans="1:30" ht="16.5" customHeight="1">
      <c r="A3566" s="309" t="str">
        <f>IF(B3566&lt;&gt;"",IF(AND(B3566='IN-TC'!$S$4,OR(TH!N3566="1111",TH!O3566="1111")),TH!D3566,""),"")</f>
        <v/>
      </c>
      <c r="B3566" s="1131">
        <f t="shared" si="1295"/>
        <v>2</v>
      </c>
      <c r="C3566" s="292">
        <f t="shared" si="1296"/>
        <v>42767</v>
      </c>
      <c r="D3566" s="292" t="s">
        <v>1915</v>
      </c>
      <c r="E3566" s="929">
        <v>42767</v>
      </c>
      <c r="F3566" s="73" t="s">
        <v>1165</v>
      </c>
      <c r="G3566" s="931" t="s">
        <v>1149</v>
      </c>
      <c r="H3566" s="296" t="s">
        <v>796</v>
      </c>
      <c r="I3566" s="371"/>
      <c r="J3566" s="932"/>
      <c r="K3566" s="371"/>
      <c r="L3566" s="377"/>
      <c r="M3566" s="933">
        <v>18905700</v>
      </c>
      <c r="N3566" s="934" t="s">
        <v>8</v>
      </c>
      <c r="O3566" s="934" t="s">
        <v>63</v>
      </c>
      <c r="P3566" s="75" t="str">
        <f>IF(AND('331-CT'!$E$7=TH!H3469,OR(N3566="331",O3566="331")),"x","")</f>
        <v/>
      </c>
      <c r="Q3566" s="75" t="str">
        <f>IF(AND(B3566='111'!$L$11,OR($N3566=$Q$7,$O3566=$Q$7)),"x","")</f>
        <v/>
      </c>
      <c r="R3566" s="75" t="str">
        <f>IF(AND($N3566=$Q$7,$B3566&lt;'111'!$L$11),"x","")</f>
        <v/>
      </c>
      <c r="S3566" s="75" t="str">
        <f>IF(AND($O3566=$Q$7,$B3566&lt;'111'!$L$11),"x","")</f>
        <v>x</v>
      </c>
      <c r="T3566" s="75" t="str">
        <f>IF(ISERROR(FIND('112'!$M$9,G3566,1)),"",IF((AND(FIND('112'!$M$9,G3566,1)&gt;=1,B3566='112'!$K$9,OR($N3566='112'!$I$6,$O3566='112'!$I$6))),"x",""))</f>
        <v/>
      </c>
      <c r="U3566" s="75" t="str">
        <f>IF(ISERROR(FIND('112'!$M$9,G3566,1)),"",IF((AND(LEFT(G3566,2)=LEFT('112'!$M$9,2),B3566&lt;'112'!$K$9,$N3566='112'!$I$6)),"x",""))</f>
        <v/>
      </c>
      <c r="V3566" s="75" t="str">
        <f>IF(ISERROR(FIND('112'!$M$9,G3566,1)),"",IF((AND(RIGHT(G3566,2)=RIGHT('112'!$M$9,2),B3566&lt;'112'!$K$9,$O3566='112'!$I$6)),"x",""))</f>
        <v/>
      </c>
      <c r="W3566" s="75" t="str">
        <f>IF(AND('341-CT'!$H$9=H3566,OR(LEFT(N3566,3)=$W$7,LEFT(O3566,3)=$W$7)),"x","")</f>
        <v/>
      </c>
      <c r="X3566" s="75" t="str">
        <f>IF(OR(TH!N3469=TH!$X$7,O3566=TH!$X$7),"x","")</f>
        <v/>
      </c>
      <c r="Y3566" s="75" t="str">
        <f>IF(AND(OR(N3566="131",O3566="131"),H3566='131-CT'!$H$9),"x","")</f>
        <v/>
      </c>
      <c r="Z3566" s="75"/>
      <c r="AA3566" s="75" t="str">
        <f>IF(AND(MONTH(E3566)='IN-NX'!$J$5,'IN-NX'!$D$7=D3566),"x","")</f>
        <v/>
      </c>
      <c r="AB3566" s="75" t="str">
        <f>IF(AND(OR(LEFT(TH!N3469,2)="15",LEFT(TH!O3469,2)="15"),LEFT(TH!O3469,3)&lt;&gt;"111",'152-CT'!$J$8=TH!F3469),"x","")</f>
        <v/>
      </c>
      <c r="AC3566" s="75" t="str">
        <f>IF(AND(OR(LEFT(TH!N3469,2)="15",LEFT(TH!O3469,2)="15"),TK!$E$7=TH!F3469),"x","")</f>
        <v/>
      </c>
      <c r="AD3566" s="75" t="str">
        <f>IF(AND(N3566="1521",MONTH(C3566)='BK-NL'!$M$11),"x","")</f>
        <v/>
      </c>
    </row>
    <row r="3567" spans="1:30" ht="16.5" customHeight="1">
      <c r="A3567" s="309" t="str">
        <f>IF(B3567&lt;&gt;"",IF(AND(B3567='IN-TC'!$S$4,OR(TH!N3567="1111",TH!O3567="1111")),TH!D3567,""),"")</f>
        <v/>
      </c>
      <c r="B3567" s="1131">
        <f t="shared" si="1295"/>
        <v>2</v>
      </c>
      <c r="C3567" s="292">
        <v>42767</v>
      </c>
      <c r="D3567" s="292" t="s">
        <v>1918</v>
      </c>
      <c r="E3567" s="292">
        <v>42731</v>
      </c>
      <c r="F3567" s="1125" t="s">
        <v>1993</v>
      </c>
      <c r="G3567" s="925" t="s">
        <v>1995</v>
      </c>
      <c r="H3567" s="67" t="s">
        <v>1336</v>
      </c>
      <c r="I3567" s="373"/>
      <c r="J3567" s="926"/>
      <c r="K3567" s="373"/>
      <c r="L3567" s="379"/>
      <c r="M3567" s="927">
        <f>545455*7</f>
        <v>3818185</v>
      </c>
      <c r="N3567" s="295" t="s">
        <v>539</v>
      </c>
      <c r="O3567" s="295" t="s">
        <v>63</v>
      </c>
      <c r="P3567" s="75" t="str">
        <f>IF(AND('331-CT'!$E$7=TH!H3474,OR(N3567="331",O3567="331")),"x","")</f>
        <v/>
      </c>
      <c r="Q3567" s="75" t="str">
        <f>IF(AND(B3567='111'!$L$11,OR($N3567=$Q$7,$O3567=$Q$7)),"x","")</f>
        <v/>
      </c>
      <c r="R3567" s="75" t="str">
        <f>IF(AND($N3567=$Q$7,$B3567&lt;'111'!$L$11),"x","")</f>
        <v/>
      </c>
      <c r="S3567" s="75" t="str">
        <f>IF(AND($O3567=$Q$7,$B3567&lt;'111'!$L$11),"x","")</f>
        <v>x</v>
      </c>
      <c r="T3567" s="75" t="str">
        <f>IF(ISERROR(FIND('112'!$M$9,G3567,1)),"",IF((AND(FIND('112'!$M$9,G3567,1)&gt;=1,B3567='112'!$K$9,OR($N3567='112'!$I$6,$O3567='112'!$I$6))),"x",""))</f>
        <v/>
      </c>
      <c r="U3567" s="75" t="str">
        <f>IF(ISERROR(FIND('112'!$M$9,G3567,1)),"",IF((AND(LEFT(G3567,2)=LEFT('112'!$M$9,2),B3567&lt;'112'!$K$9,$N3567='112'!$I$6)),"x",""))</f>
        <v/>
      </c>
      <c r="V3567" s="75" t="str">
        <f>IF(ISERROR(FIND('112'!$M$9,G3567,1)),"",IF((AND(RIGHT(G3567,2)=RIGHT('112'!$M$9,2),B3567&lt;'112'!$K$9,$O3567='112'!$I$6)),"x",""))</f>
        <v/>
      </c>
      <c r="W3567" s="75" t="str">
        <f>IF(AND('341-CT'!$H$9=H3567,OR(LEFT(N3567,3)=$W$7,LEFT(O3567,3)=$W$7)),"x","")</f>
        <v/>
      </c>
      <c r="X3567" s="75" t="str">
        <f>IF(OR(TH!N3474=TH!$X$7,O3567=TH!$X$7),"x","")</f>
        <v>x</v>
      </c>
      <c r="Y3567" s="75" t="str">
        <f>IF(AND(OR(N3567="131",O3567="131"),H3567='131-CT'!$H$9),"x","")</f>
        <v/>
      </c>
      <c r="Z3567" s="75"/>
      <c r="AA3567" s="75" t="str">
        <f>IF(AND(MONTH(E3567)='IN-NX'!$J$5,'IN-NX'!$D$7=D3567),"x","")</f>
        <v/>
      </c>
      <c r="AB3567" s="75" t="str">
        <f>IF(AND(OR(LEFT(TH!N3474,2)="15",LEFT(TH!O3474,2)="15"),LEFT(TH!O3474,3)&lt;&gt;"111",'152-CT'!$J$8=TH!F3474),"x","")</f>
        <v/>
      </c>
      <c r="AC3567" s="75" t="str">
        <f>IF(AND(OR(LEFT(TH!N3474,2)="15",LEFT(TH!O3474,2)="15"),TK!$E$7=TH!F3474),"x","")</f>
        <v/>
      </c>
      <c r="AD3567" s="75" t="str">
        <f>IF(AND(N3567="1521",MONTH(C3567)='BK-NL'!$M$11),"x","")</f>
        <v/>
      </c>
    </row>
    <row r="3568" spans="1:30" ht="16.5" customHeight="1">
      <c r="A3568" s="309" t="str">
        <f>IF(B3568&lt;&gt;"",IF(AND(B3568='IN-TC'!$S$4,OR(TH!N3568="1111",TH!O3568="1111")),TH!D3568,""),"")</f>
        <v/>
      </c>
      <c r="B3568" s="1131">
        <f t="shared" si="1295"/>
        <v>2</v>
      </c>
      <c r="C3568" s="292">
        <v>42767</v>
      </c>
      <c r="D3568" s="292" t="s">
        <v>1918</v>
      </c>
      <c r="E3568" s="292">
        <v>42731</v>
      </c>
      <c r="F3568" s="1125" t="s">
        <v>1994</v>
      </c>
      <c r="G3568" s="925" t="s">
        <v>1996</v>
      </c>
      <c r="H3568" s="67" t="s">
        <v>1336</v>
      </c>
      <c r="I3568" s="373"/>
      <c r="J3568" s="926"/>
      <c r="K3568" s="373"/>
      <c r="L3568" s="379"/>
      <c r="M3568" s="927">
        <f>54545*7</f>
        <v>381815</v>
      </c>
      <c r="N3568" s="295" t="s">
        <v>9</v>
      </c>
      <c r="O3568" s="295" t="s">
        <v>63</v>
      </c>
      <c r="P3568" s="75" t="str">
        <f>IF(AND('331-CT'!$E$7=TH!H3475,OR(N3568="331",O3568="331")),"x","")</f>
        <v/>
      </c>
      <c r="Q3568" s="75" t="str">
        <f>IF(AND(B3568='111'!$L$11,OR($N3568=$Q$7,$O3568=$Q$7)),"x","")</f>
        <v/>
      </c>
      <c r="R3568" s="75" t="str">
        <f>IF(AND($N3568=$Q$7,$B3568&lt;'111'!$L$11),"x","")</f>
        <v/>
      </c>
      <c r="S3568" s="75" t="str">
        <f>IF(AND($O3568=$Q$7,$B3568&lt;'111'!$L$11),"x","")</f>
        <v>x</v>
      </c>
      <c r="T3568" s="75" t="str">
        <f>IF(ISERROR(FIND('112'!$M$9,G3568,1)),"",IF((AND(FIND('112'!$M$9,G3568,1)&gt;=1,B3568='112'!$K$9,OR($N3568='112'!$I$6,$O3568='112'!$I$6))),"x",""))</f>
        <v/>
      </c>
      <c r="U3568" s="75" t="str">
        <f>IF(ISERROR(FIND('112'!$M$9,G3568,1)),"",IF((AND(LEFT(G3568,2)=LEFT('112'!$M$9,2),B3568&lt;'112'!$K$9,$N3568='112'!$I$6)),"x",""))</f>
        <v/>
      </c>
      <c r="V3568" s="75" t="str">
        <f>IF(ISERROR(FIND('112'!$M$9,G3568,1)),"",IF((AND(RIGHT(G3568,2)=RIGHT('112'!$M$9,2),B3568&lt;'112'!$K$9,$O3568='112'!$I$6)),"x",""))</f>
        <v/>
      </c>
      <c r="W3568" s="75" t="str">
        <f>IF(AND('341-CT'!$H$9=H3568,OR(LEFT(N3568,3)=$W$7,LEFT(O3568,3)=$W$7)),"x","")</f>
        <v/>
      </c>
      <c r="X3568" s="75" t="str">
        <f>IF(OR(TH!N3475=TH!$X$7,O3568=TH!$X$7),"x","")</f>
        <v/>
      </c>
      <c r="Y3568" s="75" t="str">
        <f>IF(AND(OR(N3568="131",O3568="131"),H3568='131-CT'!$H$9),"x","")</f>
        <v/>
      </c>
      <c r="Z3568" s="75"/>
      <c r="AA3568" s="75" t="str">
        <f>IF(AND(MONTH(E3568)='IN-NX'!$J$5,'IN-NX'!$D$7=D3568),"x","")</f>
        <v/>
      </c>
      <c r="AB3568" s="75" t="str">
        <f>IF(AND(OR(LEFT(TH!N3475,2)="15",LEFT(TH!O3475,2)="15"),LEFT(TH!O3475,3)&lt;&gt;"111",'152-CT'!$J$8=TH!F3475),"x","")</f>
        <v/>
      </c>
      <c r="AC3568" s="75" t="str">
        <f>IF(AND(OR(LEFT(TH!N3475,2)="15",LEFT(TH!O3475,2)="15"),TK!$E$7=TH!F3475),"x","")</f>
        <v/>
      </c>
      <c r="AD3568" s="75" t="str">
        <f>IF(AND(N3568="1521",MONTH(C3568)='BK-NL'!$M$11),"x","")</f>
        <v/>
      </c>
    </row>
    <row r="3569" spans="1:30" ht="16.5" customHeight="1">
      <c r="A3569" s="309" t="str">
        <f>IF(B3569&lt;&gt;"",IF(AND(B3569='IN-TC'!$S$4,OR(TH!N3569="1111",TH!O3569="1111")),TH!D3569,""),"")</f>
        <v/>
      </c>
      <c r="B3569" s="1131">
        <f t="shared" si="1295"/>
        <v>2</v>
      </c>
      <c r="C3569" s="292">
        <v>42767</v>
      </c>
      <c r="D3569" s="292" t="s">
        <v>1919</v>
      </c>
      <c r="E3569" s="292">
        <v>42727</v>
      </c>
      <c r="F3569" s="1125" t="s">
        <v>1993</v>
      </c>
      <c r="G3569" s="925" t="s">
        <v>1997</v>
      </c>
      <c r="H3569" s="67" t="s">
        <v>1330</v>
      </c>
      <c r="I3569" s="373"/>
      <c r="J3569" s="926"/>
      <c r="K3569" s="373"/>
      <c r="L3569" s="379"/>
      <c r="M3569" s="927">
        <f>559091*6</f>
        <v>3354546</v>
      </c>
      <c r="N3569" s="295" t="s">
        <v>539</v>
      </c>
      <c r="O3569" s="295" t="s">
        <v>63</v>
      </c>
      <c r="P3569" s="75" t="str">
        <f>IF(AND('331-CT'!$E$7=TH!H3476,OR(N3569="331",O3569="331")),"x","")</f>
        <v/>
      </c>
      <c r="Q3569" s="75" t="str">
        <f>IF(AND(B3569='111'!$L$11,OR($N3569=$Q$7,$O3569=$Q$7)),"x","")</f>
        <v/>
      </c>
      <c r="R3569" s="75" t="str">
        <f>IF(AND($N3569=$Q$7,$B3569&lt;'111'!$L$11),"x","")</f>
        <v/>
      </c>
      <c r="S3569" s="75" t="str">
        <f>IF(AND($O3569=$Q$7,$B3569&lt;'111'!$L$11),"x","")</f>
        <v>x</v>
      </c>
      <c r="T3569" s="75" t="str">
        <f>IF(ISERROR(FIND('112'!$M$9,G3569,1)),"",IF((AND(FIND('112'!$M$9,G3569,1)&gt;=1,B3569='112'!$K$9,OR($N3569='112'!$I$6,$O3569='112'!$I$6))),"x",""))</f>
        <v/>
      </c>
      <c r="U3569" s="75" t="str">
        <f>IF(ISERROR(FIND('112'!$M$9,G3569,1)),"",IF((AND(LEFT(G3569,2)=LEFT('112'!$M$9,2),B3569&lt;'112'!$K$9,$N3569='112'!$I$6)),"x",""))</f>
        <v/>
      </c>
      <c r="V3569" s="75" t="str">
        <f>IF(ISERROR(FIND('112'!$M$9,G3569,1)),"",IF((AND(RIGHT(G3569,2)=RIGHT('112'!$M$9,2),B3569&lt;'112'!$K$9,$O3569='112'!$I$6)),"x",""))</f>
        <v/>
      </c>
      <c r="W3569" s="75" t="str">
        <f>IF(AND('341-CT'!$H$9=H3569,OR(LEFT(N3569,3)=$W$7,LEFT(O3569,3)=$W$7)),"x","")</f>
        <v/>
      </c>
      <c r="X3569" s="75" t="str">
        <f>IF(OR(TH!N3476=TH!$X$7,O3569=TH!$X$7),"x","")</f>
        <v/>
      </c>
      <c r="Y3569" s="75" t="str">
        <f>IF(AND(OR(N3569="131",O3569="131"),H3569='131-CT'!$H$9),"x","")</f>
        <v/>
      </c>
      <c r="Z3569" s="75"/>
      <c r="AA3569" s="75" t="str">
        <f>IF(AND(MONTH(E3569)='IN-NX'!$J$5,'IN-NX'!$D$7=D3569),"x","")</f>
        <v/>
      </c>
      <c r="AB3569" s="75" t="str">
        <f>IF(AND(OR(LEFT(TH!N3476,2)="15",LEFT(TH!O3476,2)="15"),LEFT(TH!O3476,3)&lt;&gt;"111",'152-CT'!$J$8=TH!F3476),"x","")</f>
        <v/>
      </c>
      <c r="AC3569" s="75" t="str">
        <f>IF(AND(OR(LEFT(TH!N3476,2)="15",LEFT(TH!O3476,2)="15"),TK!$E$7=TH!F3476),"x","")</f>
        <v/>
      </c>
      <c r="AD3569" s="75" t="str">
        <f>IF(AND(N3569="1521",MONTH(C3569)='BK-NL'!$M$11),"x","")</f>
        <v/>
      </c>
    </row>
    <row r="3570" spans="1:30" ht="16.5" customHeight="1">
      <c r="A3570" s="309" t="str">
        <f>IF(B3570&lt;&gt;"",IF(AND(B3570='IN-TC'!$S$4,OR(TH!N3570="1111",TH!O3570="1111")),TH!D3570,""),"")</f>
        <v/>
      </c>
      <c r="B3570" s="1131">
        <f t="shared" si="1295"/>
        <v>2</v>
      </c>
      <c r="C3570" s="292">
        <v>42767</v>
      </c>
      <c r="D3570" s="292" t="s">
        <v>1919</v>
      </c>
      <c r="E3570" s="292">
        <v>42727</v>
      </c>
      <c r="F3570" s="1125" t="s">
        <v>1994</v>
      </c>
      <c r="G3570" s="925" t="s">
        <v>1998</v>
      </c>
      <c r="H3570" s="67" t="s">
        <v>1330</v>
      </c>
      <c r="I3570" s="373"/>
      <c r="J3570" s="926"/>
      <c r="K3570" s="373"/>
      <c r="L3570" s="379"/>
      <c r="M3570" s="927">
        <f>55909*6</f>
        <v>335454</v>
      </c>
      <c r="N3570" s="295" t="s">
        <v>9</v>
      </c>
      <c r="O3570" s="295" t="s">
        <v>63</v>
      </c>
      <c r="P3570" s="75" t="str">
        <f>IF(AND('331-CT'!$E$7=TH!H3477,OR(N3570="331",O3570="331")),"x","")</f>
        <v/>
      </c>
      <c r="Q3570" s="75" t="str">
        <f>IF(AND(B3570='111'!$L$11,OR($N3570=$Q$7,$O3570=$Q$7)),"x","")</f>
        <v/>
      </c>
      <c r="R3570" s="75" t="str">
        <f>IF(AND($N3570=$Q$7,$B3570&lt;'111'!$L$11),"x","")</f>
        <v/>
      </c>
      <c r="S3570" s="75" t="str">
        <f>IF(AND($O3570=$Q$7,$B3570&lt;'111'!$L$11),"x","")</f>
        <v>x</v>
      </c>
      <c r="T3570" s="75" t="str">
        <f>IF(ISERROR(FIND('112'!$M$9,G3570,1)),"",IF((AND(FIND('112'!$M$9,G3570,1)&gt;=1,B3570='112'!$K$9,OR($N3570='112'!$I$6,$O3570='112'!$I$6))),"x",""))</f>
        <v/>
      </c>
      <c r="U3570" s="75" t="str">
        <f>IF(ISERROR(FIND('112'!$M$9,G3570,1)),"",IF((AND(LEFT(G3570,2)=LEFT('112'!$M$9,2),B3570&lt;'112'!$K$9,$N3570='112'!$I$6)),"x",""))</f>
        <v/>
      </c>
      <c r="V3570" s="75" t="str">
        <f>IF(ISERROR(FIND('112'!$M$9,G3570,1)),"",IF((AND(RIGHT(G3570,2)=RIGHT('112'!$M$9,2),B3570&lt;'112'!$K$9,$O3570='112'!$I$6)),"x",""))</f>
        <v/>
      </c>
      <c r="W3570" s="75" t="str">
        <f>IF(AND('341-CT'!$H$9=H3570,OR(LEFT(N3570,3)=$W$7,LEFT(O3570,3)=$W$7)),"x","")</f>
        <v/>
      </c>
      <c r="X3570" s="75" t="str">
        <f>IF(OR(TH!N3477=TH!$X$7,O3570=TH!$X$7),"x","")</f>
        <v/>
      </c>
      <c r="Y3570" s="75" t="str">
        <f>IF(AND(OR(N3570="131",O3570="131"),H3570='131-CT'!$H$9),"x","")</f>
        <v/>
      </c>
      <c r="Z3570" s="75"/>
      <c r="AA3570" s="75" t="str">
        <f>IF(AND(MONTH(E3570)='IN-NX'!$J$5,'IN-NX'!$D$7=D3570),"x","")</f>
        <v/>
      </c>
      <c r="AB3570" s="75" t="str">
        <f>IF(AND(OR(LEFT(TH!N3477,2)="15",LEFT(TH!O3477,2)="15"),LEFT(TH!O3477,3)&lt;&gt;"111",'152-CT'!$J$8=TH!F3477),"x","")</f>
        <v/>
      </c>
      <c r="AC3570" s="75" t="str">
        <f>IF(AND(OR(LEFT(TH!N3477,2)="15",LEFT(TH!O3477,2)="15"),TK!$E$7=TH!F3477),"x","")</f>
        <v/>
      </c>
      <c r="AD3570" s="75" t="str">
        <f>IF(AND(N3570="1521",MONTH(C3570)='BK-NL'!$M$11),"x","")</f>
        <v/>
      </c>
    </row>
    <row r="3571" spans="1:30" ht="16.5" customHeight="1">
      <c r="A3571" s="309" t="str">
        <f>IF(B3571&lt;&gt;"",IF(AND(B3571='IN-TC'!$S$4,OR(TH!N3571="1111",TH!O3571="1111")),TH!D3571,""),"")</f>
        <v/>
      </c>
      <c r="B3571" s="1131">
        <f t="shared" si="1295"/>
        <v>2</v>
      </c>
      <c r="C3571" s="292">
        <f t="shared" ref="C3571:C3634" si="1297">E3571</f>
        <v>42767</v>
      </c>
      <c r="D3571" s="292" t="s">
        <v>1920</v>
      </c>
      <c r="E3571" s="292">
        <v>42767</v>
      </c>
      <c r="F3571" s="1125" t="s">
        <v>1029</v>
      </c>
      <c r="G3571" s="925"/>
      <c r="H3571" s="67" t="s">
        <v>948</v>
      </c>
      <c r="I3571" s="373"/>
      <c r="J3571" s="926"/>
      <c r="K3571" s="373"/>
      <c r="L3571" s="379"/>
      <c r="M3571" s="927">
        <v>10772727</v>
      </c>
      <c r="N3571" s="295" t="s">
        <v>539</v>
      </c>
      <c r="O3571" s="295" t="s">
        <v>63</v>
      </c>
      <c r="P3571" s="75" t="str">
        <f>IF(AND('331-CT'!$E$7=TH!H3478,OR(N3571="331",O3571="331")),"x","")</f>
        <v/>
      </c>
      <c r="Q3571" s="75" t="str">
        <f>IF(AND(B3571='111'!$L$11,OR($N3571=$Q$7,$O3571=$Q$7)),"x","")</f>
        <v/>
      </c>
      <c r="R3571" s="75" t="str">
        <f>IF(AND($N3571=$Q$7,$B3571&lt;'111'!$L$11),"x","")</f>
        <v/>
      </c>
      <c r="S3571" s="75" t="str">
        <f>IF(AND($O3571=$Q$7,$B3571&lt;'111'!$L$11),"x","")</f>
        <v>x</v>
      </c>
      <c r="T3571" s="75" t="str">
        <f>IF(ISERROR(FIND('112'!$M$9,G3571,1)),"",IF((AND(FIND('112'!$M$9,G3571,1)&gt;=1,B3571='112'!$K$9,OR($N3571='112'!$I$6,$O3571='112'!$I$6))),"x",""))</f>
        <v/>
      </c>
      <c r="U3571" s="75" t="str">
        <f>IF(ISERROR(FIND('112'!$M$9,G3571,1)),"",IF((AND(LEFT(G3571,2)=LEFT('112'!$M$9,2),B3571&lt;'112'!$K$9,$N3571='112'!$I$6)),"x",""))</f>
        <v/>
      </c>
      <c r="V3571" s="75" t="str">
        <f>IF(ISERROR(FIND('112'!$M$9,G3571,1)),"",IF((AND(RIGHT(G3571,2)=RIGHT('112'!$M$9,2),B3571&lt;'112'!$K$9,$O3571='112'!$I$6)),"x",""))</f>
        <v/>
      </c>
      <c r="W3571" s="75" t="str">
        <f>IF(AND('341-CT'!$H$9=H3571,OR(LEFT(N3571,3)=$W$7,LEFT(O3571,3)=$W$7)),"x","")</f>
        <v/>
      </c>
      <c r="X3571" s="75" t="str">
        <f>IF(OR(TH!N3478=TH!$X$7,O3571=TH!$X$7),"x","")</f>
        <v/>
      </c>
      <c r="Y3571" s="75" t="str">
        <f>IF(AND(OR(N3571="131",O3571="131"),H3571='131-CT'!$H$9),"x","")</f>
        <v/>
      </c>
      <c r="Z3571" s="75"/>
      <c r="AA3571" s="75" t="str">
        <f>IF(AND(MONTH(E3571)='IN-NX'!$J$5,'IN-NX'!$D$7=D3571),"x","")</f>
        <v/>
      </c>
      <c r="AB3571" s="75" t="str">
        <f>IF(AND(OR(LEFT(TH!N3478,2)="15",LEFT(TH!O3478,2)="15"),LEFT(TH!O3478,3)&lt;&gt;"111",'152-CT'!$J$8=TH!F3478),"x","")</f>
        <v/>
      </c>
      <c r="AC3571" s="75" t="str">
        <f>IF(AND(OR(LEFT(TH!N3478,2)="15",LEFT(TH!O3478,2)="15"),TK!$E$7=TH!F3478),"x","")</f>
        <v/>
      </c>
      <c r="AD3571" s="75" t="str">
        <f>IF(AND(N3571="1521",MONTH(C3571)='BK-NL'!$M$11),"x","")</f>
        <v/>
      </c>
    </row>
    <row r="3572" spans="1:30" ht="16.5" customHeight="1">
      <c r="A3572" s="309" t="str">
        <f>IF(B3572&lt;&gt;"",IF(AND(B3572='IN-TC'!$S$4,OR(TH!N3572="1111",TH!O3572="1111")),TH!D3572,""),"")</f>
        <v/>
      </c>
      <c r="B3572" s="1131">
        <f t="shared" si="1295"/>
        <v>2</v>
      </c>
      <c r="C3572" s="292">
        <f t="shared" si="1297"/>
        <v>42767</v>
      </c>
      <c r="D3572" s="292" t="s">
        <v>1920</v>
      </c>
      <c r="E3572" s="292">
        <v>42767</v>
      </c>
      <c r="F3572" s="1125" t="s">
        <v>1030</v>
      </c>
      <c r="G3572" s="925"/>
      <c r="H3572" s="67" t="s">
        <v>948</v>
      </c>
      <c r="I3572" s="373"/>
      <c r="J3572" s="926"/>
      <c r="K3572" s="373"/>
      <c r="L3572" s="379"/>
      <c r="M3572" s="927">
        <v>1077273</v>
      </c>
      <c r="N3572" s="295" t="s">
        <v>9</v>
      </c>
      <c r="O3572" s="295" t="s">
        <v>63</v>
      </c>
      <c r="P3572" s="75" t="str">
        <f>IF(AND('331-CT'!$E$7=TH!H3479,OR(N3572="331",O3572="331")),"x","")</f>
        <v/>
      </c>
      <c r="Q3572" s="75" t="str">
        <f>IF(AND(B3572='111'!$L$11,OR($N3572=$Q$7,$O3572=$Q$7)),"x","")</f>
        <v/>
      </c>
      <c r="R3572" s="75" t="str">
        <f>IF(AND($N3572=$Q$7,$B3572&lt;'111'!$L$11),"x","")</f>
        <v/>
      </c>
      <c r="S3572" s="75" t="str">
        <f>IF(AND($O3572=$Q$7,$B3572&lt;'111'!$L$11),"x","")</f>
        <v>x</v>
      </c>
      <c r="T3572" s="75" t="str">
        <f>IF(ISERROR(FIND('112'!$M$9,G3572,1)),"",IF((AND(FIND('112'!$M$9,G3572,1)&gt;=1,B3572='112'!$K$9,OR($N3572='112'!$I$6,$O3572='112'!$I$6))),"x",""))</f>
        <v/>
      </c>
      <c r="U3572" s="75" t="str">
        <f>IF(ISERROR(FIND('112'!$M$9,G3572,1)),"",IF((AND(LEFT(G3572,2)=LEFT('112'!$M$9,2),B3572&lt;'112'!$K$9,$N3572='112'!$I$6)),"x",""))</f>
        <v/>
      </c>
      <c r="V3572" s="75" t="str">
        <f>IF(ISERROR(FIND('112'!$M$9,G3572,1)),"",IF((AND(RIGHT(G3572,2)=RIGHT('112'!$M$9,2),B3572&lt;'112'!$K$9,$O3572='112'!$I$6)),"x",""))</f>
        <v/>
      </c>
      <c r="W3572" s="75" t="str">
        <f>IF(AND('341-CT'!$H$9=H3572,OR(LEFT(N3572,3)=$W$7,LEFT(O3572,3)=$W$7)),"x","")</f>
        <v/>
      </c>
      <c r="X3572" s="75" t="str">
        <f>IF(OR(TH!N3479=TH!$X$7,O3572=TH!$X$7),"x","")</f>
        <v/>
      </c>
      <c r="Y3572" s="75" t="str">
        <f>IF(AND(OR(N3572="131",O3572="131"),H3572='131-CT'!$H$9),"x","")</f>
        <v/>
      </c>
      <c r="Z3572" s="75"/>
      <c r="AA3572" s="75" t="str">
        <f>IF(AND(MONTH(E3572)='IN-NX'!$J$5,'IN-NX'!$D$7=D3572),"x","")</f>
        <v/>
      </c>
      <c r="AB3572" s="75" t="str">
        <f>IF(AND(OR(LEFT(TH!N3479,2)="15",LEFT(TH!O3479,2)="15"),LEFT(TH!O3479,3)&lt;&gt;"111",'152-CT'!$J$8=TH!F3479),"x","")</f>
        <v/>
      </c>
      <c r="AC3572" s="75" t="str">
        <f>IF(AND(OR(LEFT(TH!N3479,2)="15",LEFT(TH!O3479,2)="15"),TK!$E$7=TH!F3479),"x","")</f>
        <v/>
      </c>
      <c r="AD3572" s="75" t="str">
        <f>IF(AND(N3572="1521",MONTH(C3572)='BK-NL'!$M$11),"x","")</f>
        <v/>
      </c>
    </row>
    <row r="3573" spans="1:30" ht="16.5" customHeight="1">
      <c r="A3573" s="309" t="str">
        <f>IF(B3573&lt;&gt;"",IF(AND(B3573='IN-TC'!$S$4,OR(TH!N3573="1111",TH!O3573="1111")),TH!D3573,""),"")</f>
        <v/>
      </c>
      <c r="B3573" s="1131">
        <f t="shared" si="1295"/>
        <v>2</v>
      </c>
      <c r="C3573" s="292">
        <f t="shared" si="1297"/>
        <v>42767</v>
      </c>
      <c r="D3573" s="292" t="s">
        <v>1922</v>
      </c>
      <c r="E3573" s="292">
        <v>42767</v>
      </c>
      <c r="F3573" s="1125" t="s">
        <v>949</v>
      </c>
      <c r="G3573" s="925" t="s">
        <v>1033</v>
      </c>
      <c r="H3573" s="67" t="s">
        <v>567</v>
      </c>
      <c r="I3573" s="373"/>
      <c r="J3573" s="926"/>
      <c r="K3573" s="373"/>
      <c r="L3573" s="379"/>
      <c r="M3573" s="927">
        <v>3400000</v>
      </c>
      <c r="N3573" s="295" t="s">
        <v>539</v>
      </c>
      <c r="O3573" s="295" t="s">
        <v>63</v>
      </c>
      <c r="P3573" s="75" t="str">
        <f>IF(AND('331-CT'!$E$7=TH!H3482,OR(N3573="331",O3573="331")),"x","")</f>
        <v/>
      </c>
      <c r="Q3573" s="75" t="str">
        <f>IF(AND(B3573='111'!$L$11,OR($N3573=$Q$7,$O3573=$Q$7)),"x","")</f>
        <v/>
      </c>
      <c r="R3573" s="75" t="str">
        <f>IF(AND($N3573=$Q$7,$B3573&lt;'111'!$L$11),"x","")</f>
        <v/>
      </c>
      <c r="S3573" s="75" t="str">
        <f>IF(AND($O3573=$Q$7,$B3573&lt;'111'!$L$11),"x","")</f>
        <v>x</v>
      </c>
      <c r="T3573" s="75" t="str">
        <f>IF(ISERROR(FIND('112'!$M$9,G3573,1)),"",IF((AND(FIND('112'!$M$9,G3573,1)&gt;=1,B3573='112'!$K$9,OR($N3573='112'!$I$6,$O3573='112'!$I$6))),"x",""))</f>
        <v/>
      </c>
      <c r="U3573" s="75" t="str">
        <f>IF(ISERROR(FIND('112'!$M$9,G3573,1)),"",IF((AND(LEFT(G3573,2)=LEFT('112'!$M$9,2),B3573&lt;'112'!$K$9,$N3573='112'!$I$6)),"x",""))</f>
        <v/>
      </c>
      <c r="V3573" s="75" t="str">
        <f>IF(ISERROR(FIND('112'!$M$9,G3573,1)),"",IF((AND(RIGHT(G3573,2)=RIGHT('112'!$M$9,2),B3573&lt;'112'!$K$9,$O3573='112'!$I$6)),"x",""))</f>
        <v/>
      </c>
      <c r="W3573" s="75" t="str">
        <f>IF(AND('341-CT'!$H$9=H3573,OR(LEFT(N3573,3)=$W$7,LEFT(O3573,3)=$W$7)),"x","")</f>
        <v/>
      </c>
      <c r="X3573" s="75" t="str">
        <f>IF(OR(TH!N3482=TH!$X$7,O3573=TH!$X$7),"x","")</f>
        <v/>
      </c>
      <c r="Y3573" s="75" t="str">
        <f>IF(AND(OR(N3573="131",O3573="131"),H3573='131-CT'!$H$9),"x","")</f>
        <v/>
      </c>
      <c r="Z3573" s="75"/>
      <c r="AA3573" s="75" t="str">
        <f>IF(AND(MONTH(E3573)='IN-NX'!$J$5,'IN-NX'!$D$7=D3573),"x","")</f>
        <v/>
      </c>
      <c r="AB3573" s="75" t="str">
        <f>IF(AND(OR(LEFT(TH!N3482,2)="15",LEFT(TH!O3482,2)="15"),LEFT(TH!O3482,3)&lt;&gt;"111",'152-CT'!$J$8=TH!F3482),"x","")</f>
        <v/>
      </c>
      <c r="AC3573" s="75" t="str">
        <f>IF(AND(OR(LEFT(TH!N3482,2)="15",LEFT(TH!O3482,2)="15"),TK!$E$7=TH!F3482),"x","")</f>
        <v/>
      </c>
      <c r="AD3573" s="75" t="str">
        <f>IF(AND(N3573="1521",MONTH(C3573)='BK-NL'!$M$11),"x","")</f>
        <v/>
      </c>
    </row>
    <row r="3574" spans="1:30" ht="16.5" customHeight="1">
      <c r="A3574" s="309" t="str">
        <f>IF(B3574&lt;&gt;"",IF(AND(B3574='IN-TC'!$S$4,OR(TH!N3574="1111",TH!O3574="1111")),TH!D3574,""),"")</f>
        <v/>
      </c>
      <c r="B3574" s="1131">
        <f t="shared" si="1295"/>
        <v>2</v>
      </c>
      <c r="C3574" s="292">
        <f t="shared" si="1297"/>
        <v>42767</v>
      </c>
      <c r="D3574" s="292" t="s">
        <v>1922</v>
      </c>
      <c r="E3574" s="292">
        <v>42767</v>
      </c>
      <c r="F3574" s="1125" t="s">
        <v>950</v>
      </c>
      <c r="G3574" s="925" t="s">
        <v>1033</v>
      </c>
      <c r="H3574" s="67" t="s">
        <v>567</v>
      </c>
      <c r="I3574" s="373"/>
      <c r="J3574" s="926"/>
      <c r="K3574" s="373"/>
      <c r="L3574" s="379"/>
      <c r="M3574" s="927">
        <v>340000</v>
      </c>
      <c r="N3574" s="295" t="s">
        <v>9</v>
      </c>
      <c r="O3574" s="295" t="s">
        <v>63</v>
      </c>
      <c r="P3574" s="75" t="str">
        <f>IF(AND('331-CT'!$E$7=TH!H3483,OR(N3574="331",O3574="331")),"x","")</f>
        <v/>
      </c>
      <c r="Q3574" s="75" t="str">
        <f>IF(AND(B3574='111'!$L$11,OR($N3574=$Q$7,$O3574=$Q$7)),"x","")</f>
        <v/>
      </c>
      <c r="R3574" s="75" t="str">
        <f>IF(AND($N3574=$Q$7,$B3574&lt;'111'!$L$11),"x","")</f>
        <v/>
      </c>
      <c r="S3574" s="75" t="str">
        <f>IF(AND($O3574=$Q$7,$B3574&lt;'111'!$L$11),"x","")</f>
        <v>x</v>
      </c>
      <c r="T3574" s="75" t="str">
        <f>IF(ISERROR(FIND('112'!$M$9,G3574,1)),"",IF((AND(FIND('112'!$M$9,G3574,1)&gt;=1,B3574='112'!$K$9,OR($N3574='112'!$I$6,$O3574='112'!$I$6))),"x",""))</f>
        <v/>
      </c>
      <c r="U3574" s="75" t="str">
        <f>IF(ISERROR(FIND('112'!$M$9,G3574,1)),"",IF((AND(LEFT(G3574,2)=LEFT('112'!$M$9,2),B3574&lt;'112'!$K$9,$N3574='112'!$I$6)),"x",""))</f>
        <v/>
      </c>
      <c r="V3574" s="75" t="str">
        <f>IF(ISERROR(FIND('112'!$M$9,G3574,1)),"",IF((AND(RIGHT(G3574,2)=RIGHT('112'!$M$9,2),B3574&lt;'112'!$K$9,$O3574='112'!$I$6)),"x",""))</f>
        <v/>
      </c>
      <c r="W3574" s="75" t="str">
        <f>IF(AND('341-CT'!$H$9=H3574,OR(LEFT(N3574,3)=$W$7,LEFT(O3574,3)=$W$7)),"x","")</f>
        <v/>
      </c>
      <c r="X3574" s="75" t="str">
        <f>IF(OR(TH!N3483=TH!$X$7,O3574=TH!$X$7),"x","")</f>
        <v/>
      </c>
      <c r="Y3574" s="75" t="str">
        <f>IF(AND(OR(N3574="131",O3574="131"),H3574='131-CT'!$H$9),"x","")</f>
        <v/>
      </c>
      <c r="Z3574" s="75"/>
      <c r="AA3574" s="75" t="str">
        <f>IF(AND(MONTH(E3574)='IN-NX'!$J$5,'IN-NX'!$D$7=D3574),"x","")</f>
        <v/>
      </c>
      <c r="AB3574" s="75" t="str">
        <f>IF(AND(OR(LEFT(TH!N3483,2)="15",LEFT(TH!O3483,2)="15"),LEFT(TH!O3483,3)&lt;&gt;"111",'152-CT'!$J$8=TH!F3483),"x","")</f>
        <v/>
      </c>
      <c r="AC3574" s="75" t="str">
        <f>IF(AND(OR(LEFT(TH!N3483,2)="15",LEFT(TH!O3483,2)="15"),TK!$E$7=TH!F3483),"x","")</f>
        <v/>
      </c>
      <c r="AD3574" s="75" t="str">
        <f>IF(AND(N3574="1521",MONTH(C3574)='BK-NL'!$M$11),"x","")</f>
        <v/>
      </c>
    </row>
    <row r="3575" spans="1:30" ht="16.5" customHeight="1">
      <c r="A3575" s="309" t="str">
        <f>IF(B3575&lt;&gt;"",IF(AND(B3575='IN-TC'!$S$4,OR(TH!N3575="1111",TH!O3575="1111")),TH!D3575,""),"")</f>
        <v/>
      </c>
      <c r="B3575" s="1131">
        <f t="shared" si="1295"/>
        <v>2</v>
      </c>
      <c r="C3575" s="292">
        <f t="shared" si="1297"/>
        <v>42768</v>
      </c>
      <c r="D3575" s="59" t="s">
        <v>902</v>
      </c>
      <c r="E3575" s="292">
        <v>42768</v>
      </c>
      <c r="F3575" s="131" t="s">
        <v>1017</v>
      </c>
      <c r="G3575" s="62" t="s">
        <v>747</v>
      </c>
      <c r="H3575" s="311" t="s">
        <v>835</v>
      </c>
      <c r="I3575" s="373"/>
      <c r="J3575" s="379"/>
      <c r="K3575" s="373"/>
      <c r="L3575" s="379"/>
      <c r="M3575" s="60">
        <v>1294004</v>
      </c>
      <c r="N3575" s="928" t="s">
        <v>101</v>
      </c>
      <c r="O3575" s="61" t="s">
        <v>26</v>
      </c>
      <c r="P3575" s="75" t="str">
        <f>IF(AND('331-CT'!$E$7=TH!H4981,OR(N3575="331",O3575="331")),"x","")</f>
        <v/>
      </c>
      <c r="Q3575" s="75" t="str">
        <f>IF(AND(B3575='111'!$L$11,OR($N3575=$Q$7,$O3575=$Q$7)),"x","")</f>
        <v/>
      </c>
      <c r="R3575" s="75" t="str">
        <f>IF(AND($N3575=$Q$7,$B3575&lt;'111'!$L$11),"x","")</f>
        <v/>
      </c>
      <c r="S3575" s="75" t="str">
        <f>IF(AND($O3575=$Q$7,$B3575&lt;'111'!$L$11),"x","")</f>
        <v/>
      </c>
      <c r="T3575" s="75" t="str">
        <f>IF(ISERROR(FIND('112'!$M$9,G3575,1)),"",IF((AND(FIND('112'!$M$9,G3575,1)&gt;=1,B3575='112'!$K$9,OR($N3575='112'!$I$6,$O3575='112'!$I$6))),"x",""))</f>
        <v/>
      </c>
      <c r="U3575" s="75" t="str">
        <f>IF(ISERROR(FIND('112'!$M$9,G3575,1)),"",IF((AND(LEFT(G3575,2)=LEFT('112'!$M$9,2),B3575&lt;'112'!$K$9,$N3575='112'!$I$6)),"x",""))</f>
        <v/>
      </c>
      <c r="V3575" s="75" t="str">
        <f>IF(ISERROR(FIND('112'!$M$9,G3575,1)),"",IF((AND(RIGHT(G3575,2)=RIGHT('112'!$M$9,2),B3575&lt;'112'!$K$9,$O3575='112'!$I$6)),"x",""))</f>
        <v/>
      </c>
      <c r="W3575" s="75" t="str">
        <f>IF(AND('341-CT'!$H$9=H3575,OR(LEFT(N3575,3)=$W$7,LEFT(O3575,3)=$W$7)),"x","")</f>
        <v/>
      </c>
      <c r="X3575" s="75" t="str">
        <f>IF(OR(TH!N4981=TH!$X$7,O3575=TH!$X$7),"x","")</f>
        <v/>
      </c>
      <c r="Y3575" s="75" t="str">
        <f>IF(AND(OR(N3575="131",O3575="131"),H3575='131-CT'!$H$9),"x","")</f>
        <v/>
      </c>
      <c r="Z3575" s="75"/>
      <c r="AA3575" s="75" t="str">
        <f>IF(AND(MONTH(E3575)='IN-NX'!$J$5,'IN-NX'!$D$7=D3575),"x","")</f>
        <v/>
      </c>
      <c r="AB3575" s="75" t="str">
        <f>IF(AND(OR(LEFT(TH!N4981,2)="15",LEFT(TH!O4981,2)="15"),LEFT(TH!O4981,3)&lt;&gt;"111",'152-CT'!$J$8=TH!F4981),"x","")</f>
        <v/>
      </c>
      <c r="AC3575" s="75" t="str">
        <f>IF(AND(OR(LEFT(TH!N4981,2)="15",LEFT(TH!O4981,2)="15"),TK!$E$7=TH!F4981),"x","")</f>
        <v/>
      </c>
      <c r="AD3575" s="75" t="str">
        <f>IF(AND(N3575="1521",MONTH(C3575)='BK-NL'!$M$11),"x","")</f>
        <v/>
      </c>
    </row>
    <row r="3576" spans="1:30" ht="16.5" customHeight="1">
      <c r="A3576" s="309" t="str">
        <f>IF(B3576&lt;&gt;"",IF(AND(B3576='IN-TC'!$S$4,OR(TH!N3576="1111",TH!O3576="1111")),TH!D3576,""),"")</f>
        <v/>
      </c>
      <c r="B3576" s="1131">
        <f t="shared" si="1295"/>
        <v>2</v>
      </c>
      <c r="C3576" s="292">
        <f t="shared" si="1297"/>
        <v>42768</v>
      </c>
      <c r="D3576" s="59" t="s">
        <v>902</v>
      </c>
      <c r="E3576" s="292">
        <v>42768</v>
      </c>
      <c r="F3576" s="131" t="s">
        <v>1058</v>
      </c>
      <c r="G3576" s="62" t="s">
        <v>747</v>
      </c>
      <c r="H3576" s="311" t="s">
        <v>835</v>
      </c>
      <c r="I3576" s="373"/>
      <c r="J3576" s="379"/>
      <c r="K3576" s="373"/>
      <c r="L3576" s="379"/>
      <c r="M3576" s="60">
        <v>129400</v>
      </c>
      <c r="N3576" s="928" t="s">
        <v>9</v>
      </c>
      <c r="O3576" s="61" t="s">
        <v>26</v>
      </c>
      <c r="P3576" s="75" t="str">
        <f>IF(AND('331-CT'!$E$7=TH!H4982,OR(N3576="331",O3576="331")),"x","")</f>
        <v/>
      </c>
      <c r="Q3576" s="75" t="str">
        <f>IF(AND(B3576='111'!$L$11,OR($N3576=$Q$7,$O3576=$Q$7)),"x","")</f>
        <v/>
      </c>
      <c r="R3576" s="75" t="str">
        <f>IF(AND($N3576=$Q$7,$B3576&lt;'111'!$L$11),"x","")</f>
        <v/>
      </c>
      <c r="S3576" s="75" t="str">
        <f>IF(AND($O3576=$Q$7,$B3576&lt;'111'!$L$11),"x","")</f>
        <v/>
      </c>
      <c r="T3576" s="75" t="str">
        <f>IF(ISERROR(FIND('112'!$M$9,G3576,1)),"",IF((AND(FIND('112'!$M$9,G3576,1)&gt;=1,B3576='112'!$K$9,OR($N3576='112'!$I$6,$O3576='112'!$I$6))),"x",""))</f>
        <v/>
      </c>
      <c r="U3576" s="75" t="str">
        <f>IF(ISERROR(FIND('112'!$M$9,G3576,1)),"",IF((AND(LEFT(G3576,2)=LEFT('112'!$M$9,2),B3576&lt;'112'!$K$9,$N3576='112'!$I$6)),"x",""))</f>
        <v/>
      </c>
      <c r="V3576" s="75" t="str">
        <f>IF(ISERROR(FIND('112'!$M$9,G3576,1)),"",IF((AND(RIGHT(G3576,2)=RIGHT('112'!$M$9,2),B3576&lt;'112'!$K$9,$O3576='112'!$I$6)),"x",""))</f>
        <v/>
      </c>
      <c r="W3576" s="75" t="str">
        <f>IF(AND('341-CT'!$H$9=H3576,OR(LEFT(N3576,3)=$W$7,LEFT(O3576,3)=$W$7)),"x","")</f>
        <v/>
      </c>
      <c r="X3576" s="75" t="str">
        <f>IF(OR(TH!N4982=TH!$X$7,O3576=TH!$X$7),"x","")</f>
        <v/>
      </c>
      <c r="Y3576" s="75" t="str">
        <f>IF(AND(OR(N3576="131",O3576="131"),H3576='131-CT'!$H$9),"x","")</f>
        <v/>
      </c>
      <c r="Z3576" s="75"/>
      <c r="AA3576" s="75" t="str">
        <f>IF(AND(MONTH(E3576)='IN-NX'!$J$5,'IN-NX'!$D$7=D3576),"x","")</f>
        <v/>
      </c>
      <c r="AB3576" s="75" t="str">
        <f>IF(AND(OR(LEFT(TH!N4982,2)="15",LEFT(TH!O4982,2)="15"),LEFT(TH!O4982,3)&lt;&gt;"111",'152-CT'!$J$8=TH!F4982),"x","")</f>
        <v/>
      </c>
      <c r="AC3576" s="75" t="str">
        <f>IF(AND(OR(LEFT(TH!N4982,2)="15",LEFT(TH!O4982,2)="15"),TK!$E$7=TH!F4982),"x","")</f>
        <v/>
      </c>
      <c r="AD3576" s="75" t="str">
        <f>IF(AND(N3576="1521",MONTH(C3576)='BK-NL'!$M$11),"x","")</f>
        <v/>
      </c>
    </row>
    <row r="3577" spans="1:30" ht="16.5" customHeight="1">
      <c r="A3577" s="309" t="str">
        <f>IF(B3577&lt;&gt;"",IF(AND(B3577='IN-TC'!$S$4,OR(TH!N3577="1111",TH!O3577="1111")),TH!D3577,""),"")</f>
        <v/>
      </c>
      <c r="B3577" s="1131">
        <f t="shared" si="1295"/>
        <v>2</v>
      </c>
      <c r="C3577" s="292">
        <f t="shared" si="1297"/>
        <v>42768</v>
      </c>
      <c r="D3577" s="59" t="s">
        <v>902</v>
      </c>
      <c r="E3577" s="292">
        <v>42768</v>
      </c>
      <c r="F3577" s="131" t="s">
        <v>1018</v>
      </c>
      <c r="G3577" s="62" t="s">
        <v>747</v>
      </c>
      <c r="H3577" s="311" t="s">
        <v>835</v>
      </c>
      <c r="I3577" s="373"/>
      <c r="J3577" s="379"/>
      <c r="K3577" s="373"/>
      <c r="L3577" s="379"/>
      <c r="M3577" s="60">
        <v>3051382</v>
      </c>
      <c r="N3577" s="928" t="s">
        <v>101</v>
      </c>
      <c r="O3577" s="61" t="s">
        <v>26</v>
      </c>
      <c r="P3577" s="75" t="str">
        <f>IF(AND('331-CT'!$E$7=TH!H4983,OR(N3577="331",O3577="331")),"x","")</f>
        <v/>
      </c>
      <c r="Q3577" s="75" t="str">
        <f>IF(AND(B3577='111'!$L$11,OR($N3577=$Q$7,$O3577=$Q$7)),"x","")</f>
        <v/>
      </c>
      <c r="R3577" s="75" t="str">
        <f>IF(AND($N3577=$Q$7,$B3577&lt;'111'!$L$11),"x","")</f>
        <v/>
      </c>
      <c r="S3577" s="75" t="str">
        <f>IF(AND($O3577=$Q$7,$B3577&lt;'111'!$L$11),"x","")</f>
        <v/>
      </c>
      <c r="T3577" s="75" t="str">
        <f>IF(ISERROR(FIND('112'!$M$9,G3577,1)),"",IF((AND(FIND('112'!$M$9,G3577,1)&gt;=1,B3577='112'!$K$9,OR($N3577='112'!$I$6,$O3577='112'!$I$6))),"x",""))</f>
        <v/>
      </c>
      <c r="U3577" s="75" t="str">
        <f>IF(ISERROR(FIND('112'!$M$9,G3577,1)),"",IF((AND(LEFT(G3577,2)=LEFT('112'!$M$9,2),B3577&lt;'112'!$K$9,$N3577='112'!$I$6)),"x",""))</f>
        <v/>
      </c>
      <c r="V3577" s="75" t="str">
        <f>IF(ISERROR(FIND('112'!$M$9,G3577,1)),"",IF((AND(RIGHT(G3577,2)=RIGHT('112'!$M$9,2),B3577&lt;'112'!$K$9,$O3577='112'!$I$6)),"x",""))</f>
        <v/>
      </c>
      <c r="W3577" s="75" t="str">
        <f>IF(AND('341-CT'!$H$9=H3577,OR(LEFT(N3577,3)=$W$7,LEFT(O3577,3)=$W$7)),"x","")</f>
        <v/>
      </c>
      <c r="X3577" s="75" t="str">
        <f>IF(OR(TH!N4983=TH!$X$7,O3577=TH!$X$7),"x","")</f>
        <v/>
      </c>
      <c r="Y3577" s="75" t="str">
        <f>IF(AND(OR(N3577="131",O3577="131"),H3577='131-CT'!$H$9),"x","")</f>
        <v/>
      </c>
      <c r="Z3577" s="75"/>
      <c r="AA3577" s="75" t="str">
        <f>IF(AND(MONTH(E3577)='IN-NX'!$J$5,'IN-NX'!$D$7=D3577),"x","")</f>
        <v/>
      </c>
      <c r="AB3577" s="75" t="str">
        <f>IF(AND(OR(LEFT(TH!N4983,2)="15",LEFT(TH!O4983,2)="15"),LEFT(TH!O4983,3)&lt;&gt;"111",'152-CT'!$J$8=TH!F4983),"x","")</f>
        <v/>
      </c>
      <c r="AC3577" s="75" t="str">
        <f>IF(AND(OR(LEFT(TH!N4983,2)="15",LEFT(TH!O4983,2)="15"),TK!$E$7=TH!F4983),"x","")</f>
        <v/>
      </c>
      <c r="AD3577" s="75" t="str">
        <f>IF(AND(N3577="1521",MONTH(C3577)='BK-NL'!$M$11),"x","")</f>
        <v/>
      </c>
    </row>
    <row r="3578" spans="1:30" ht="16.5" customHeight="1">
      <c r="A3578" s="309" t="str">
        <f>IF(B3578&lt;&gt;"",IF(AND(B3578='IN-TC'!$S$4,OR(TH!N3578="1111",TH!O3578="1111")),TH!D3578,""),"")</f>
        <v/>
      </c>
      <c r="B3578" s="1131">
        <f t="shared" si="1295"/>
        <v>2</v>
      </c>
      <c r="C3578" s="292">
        <f t="shared" si="1297"/>
        <v>42768</v>
      </c>
      <c r="D3578" s="59" t="s">
        <v>902</v>
      </c>
      <c r="E3578" s="292">
        <v>42768</v>
      </c>
      <c r="F3578" s="131" t="s">
        <v>1057</v>
      </c>
      <c r="G3578" s="62" t="s">
        <v>747</v>
      </c>
      <c r="H3578" s="311" t="s">
        <v>835</v>
      </c>
      <c r="I3578" s="373"/>
      <c r="J3578" s="379"/>
      <c r="K3578" s="373"/>
      <c r="L3578" s="379"/>
      <c r="M3578" s="60">
        <v>305138</v>
      </c>
      <c r="N3578" s="928" t="s">
        <v>9</v>
      </c>
      <c r="O3578" s="61" t="s">
        <v>26</v>
      </c>
      <c r="P3578" s="75" t="str">
        <f>IF(AND('331-CT'!$E$7=TH!H4984,OR(N3578="331",O3578="331")),"x","")</f>
        <v/>
      </c>
      <c r="Q3578" s="75" t="str">
        <f>IF(AND(B3578='111'!$L$11,OR($N3578=$Q$7,$O3578=$Q$7)),"x","")</f>
        <v/>
      </c>
      <c r="R3578" s="75" t="str">
        <f>IF(AND($N3578=$Q$7,$B3578&lt;'111'!$L$11),"x","")</f>
        <v/>
      </c>
      <c r="S3578" s="75" t="str">
        <f>IF(AND($O3578=$Q$7,$B3578&lt;'111'!$L$11),"x","")</f>
        <v/>
      </c>
      <c r="T3578" s="75" t="str">
        <f>IF(ISERROR(FIND('112'!$M$9,G3578,1)),"",IF((AND(FIND('112'!$M$9,G3578,1)&gt;=1,B3578='112'!$K$9,OR($N3578='112'!$I$6,$O3578='112'!$I$6))),"x",""))</f>
        <v/>
      </c>
      <c r="U3578" s="75" t="str">
        <f>IF(ISERROR(FIND('112'!$M$9,G3578,1)),"",IF((AND(LEFT(G3578,2)=LEFT('112'!$M$9,2),B3578&lt;'112'!$K$9,$N3578='112'!$I$6)),"x",""))</f>
        <v/>
      </c>
      <c r="V3578" s="75" t="str">
        <f>IF(ISERROR(FIND('112'!$M$9,G3578,1)),"",IF((AND(RIGHT(G3578,2)=RIGHT('112'!$M$9,2),B3578&lt;'112'!$K$9,$O3578='112'!$I$6)),"x",""))</f>
        <v/>
      </c>
      <c r="W3578" s="75" t="str">
        <f>IF(AND('341-CT'!$H$9=H3578,OR(LEFT(N3578,3)=$W$7,LEFT(O3578,3)=$W$7)),"x","")</f>
        <v/>
      </c>
      <c r="X3578" s="75" t="str">
        <f>IF(OR(TH!N4984=TH!$X$7,O3578=TH!$X$7),"x","")</f>
        <v/>
      </c>
      <c r="Y3578" s="75" t="str">
        <f>IF(AND(OR(N3578="131",O3578="131"),H3578='131-CT'!$H$9),"x","")</f>
        <v/>
      </c>
      <c r="Z3578" s="75"/>
      <c r="AA3578" s="75" t="str">
        <f>IF(AND(MONTH(E3578)='IN-NX'!$J$5,'IN-NX'!$D$7=D3578),"x","")</f>
        <v/>
      </c>
      <c r="AB3578" s="75" t="str">
        <f>IF(AND(OR(LEFT(TH!N4984,2)="15",LEFT(TH!O4984,2)="15"),LEFT(TH!O4984,3)&lt;&gt;"111",'152-CT'!$J$8=TH!F4984),"x","")</f>
        <v/>
      </c>
      <c r="AC3578" s="75" t="str">
        <f>IF(AND(OR(LEFT(TH!N4984,2)="15",LEFT(TH!O4984,2)="15"),TK!$E$7=TH!F4984),"x","")</f>
        <v/>
      </c>
      <c r="AD3578" s="75" t="str">
        <f>IF(AND(N3578="1521",MONTH(C3578)='BK-NL'!$M$11),"x","")</f>
        <v/>
      </c>
    </row>
    <row r="3579" spans="1:30" ht="16.5" customHeight="1">
      <c r="A3579" s="309" t="str">
        <f>IF(B3579&lt;&gt;"",IF(AND(B3579='IN-TC'!$S$4,OR(TH!N3579="1111",TH!O3579="1111")),TH!D3579,""),"")</f>
        <v/>
      </c>
      <c r="B3579" s="1131">
        <f t="shared" si="1295"/>
        <v>2</v>
      </c>
      <c r="C3579" s="292">
        <f t="shared" si="1297"/>
        <v>42768</v>
      </c>
      <c r="D3579" s="59" t="s">
        <v>902</v>
      </c>
      <c r="E3579" s="292">
        <v>42768</v>
      </c>
      <c r="F3579" s="131" t="s">
        <v>1019</v>
      </c>
      <c r="G3579" s="62" t="s">
        <v>747</v>
      </c>
      <c r="H3579" s="311" t="s">
        <v>835</v>
      </c>
      <c r="I3579" s="373"/>
      <c r="J3579" s="379"/>
      <c r="K3579" s="373"/>
      <c r="L3579" s="379"/>
      <c r="M3579" s="60">
        <v>1249344</v>
      </c>
      <c r="N3579" s="928" t="s">
        <v>101</v>
      </c>
      <c r="O3579" s="61" t="s">
        <v>26</v>
      </c>
      <c r="P3579" s="75" t="str">
        <f>IF(AND('331-CT'!$E$7=TH!H4985,OR(N3579="331",O3579="331")),"x","")</f>
        <v/>
      </c>
      <c r="Q3579" s="75" t="str">
        <f>IF(AND(B3579='111'!$L$11,OR($N3579=$Q$7,$O3579=$Q$7)),"x","")</f>
        <v/>
      </c>
      <c r="R3579" s="75" t="str">
        <f>IF(AND($N3579=$Q$7,$B3579&lt;'111'!$L$11),"x","")</f>
        <v/>
      </c>
      <c r="S3579" s="75" t="str">
        <f>IF(AND($O3579=$Q$7,$B3579&lt;'111'!$L$11),"x","")</f>
        <v/>
      </c>
      <c r="T3579" s="75" t="str">
        <f>IF(ISERROR(FIND('112'!$M$9,G3579,1)),"",IF((AND(FIND('112'!$M$9,G3579,1)&gt;=1,B3579='112'!$K$9,OR($N3579='112'!$I$6,$O3579='112'!$I$6))),"x",""))</f>
        <v/>
      </c>
      <c r="U3579" s="75" t="str">
        <f>IF(ISERROR(FIND('112'!$M$9,G3579,1)),"",IF((AND(LEFT(G3579,2)=LEFT('112'!$M$9,2),B3579&lt;'112'!$K$9,$N3579='112'!$I$6)),"x",""))</f>
        <v/>
      </c>
      <c r="V3579" s="75" t="str">
        <f>IF(ISERROR(FIND('112'!$M$9,G3579,1)),"",IF((AND(RIGHT(G3579,2)=RIGHT('112'!$M$9,2),B3579&lt;'112'!$K$9,$O3579='112'!$I$6)),"x",""))</f>
        <v/>
      </c>
      <c r="W3579" s="75" t="str">
        <f>IF(AND('341-CT'!$H$9=H3579,OR(LEFT(N3579,3)=$W$7,LEFT(O3579,3)=$W$7)),"x","")</f>
        <v/>
      </c>
      <c r="X3579" s="75" t="str">
        <f>IF(OR(TH!N4985=TH!$X$7,O3579=TH!$X$7),"x","")</f>
        <v/>
      </c>
      <c r="Y3579" s="75" t="str">
        <f>IF(AND(OR(N3579="131",O3579="131"),H3579='131-CT'!$H$9),"x","")</f>
        <v/>
      </c>
      <c r="Z3579" s="75"/>
      <c r="AA3579" s="75" t="str">
        <f>IF(AND(MONTH(E3579)='IN-NX'!$J$5,'IN-NX'!$D$7=D3579),"x","")</f>
        <v/>
      </c>
      <c r="AB3579" s="75" t="str">
        <f>IF(AND(OR(LEFT(TH!N4985,2)="15",LEFT(TH!O4985,2)="15"),LEFT(TH!O4985,3)&lt;&gt;"111",'152-CT'!$J$8=TH!F4985),"x","")</f>
        <v/>
      </c>
      <c r="AC3579" s="75" t="str">
        <f>IF(AND(OR(LEFT(TH!N4985,2)="15",LEFT(TH!O4985,2)="15"),TK!$E$7=TH!F4985),"x","")</f>
        <v/>
      </c>
      <c r="AD3579" s="75" t="str">
        <f>IF(AND(N3579="1521",MONTH(C3579)='BK-NL'!$M$11),"x","")</f>
        <v/>
      </c>
    </row>
    <row r="3580" spans="1:30" ht="16.5" customHeight="1">
      <c r="A3580" s="309" t="str">
        <f>IF(B3580&lt;&gt;"",IF(AND(B3580='IN-TC'!$S$4,OR(TH!N3580="1111",TH!O3580="1111")),TH!D3580,""),"")</f>
        <v/>
      </c>
      <c r="B3580" s="1131">
        <f t="shared" si="1295"/>
        <v>2</v>
      </c>
      <c r="C3580" s="292">
        <f t="shared" si="1297"/>
        <v>42768</v>
      </c>
      <c r="D3580" s="59" t="s">
        <v>902</v>
      </c>
      <c r="E3580" s="292">
        <v>42768</v>
      </c>
      <c r="F3580" s="131" t="s">
        <v>1056</v>
      </c>
      <c r="G3580" s="62" t="s">
        <v>747</v>
      </c>
      <c r="H3580" s="311" t="s">
        <v>835</v>
      </c>
      <c r="I3580" s="373"/>
      <c r="J3580" s="379"/>
      <c r="K3580" s="373"/>
      <c r="L3580" s="379"/>
      <c r="M3580" s="60">
        <v>124934</v>
      </c>
      <c r="N3580" s="928" t="s">
        <v>9</v>
      </c>
      <c r="O3580" s="61" t="s">
        <v>26</v>
      </c>
      <c r="P3580" s="75" t="str">
        <f>IF(AND('331-CT'!$E$7=TH!H4988,OR(N3580="331",O3580="331")),"x","")</f>
        <v/>
      </c>
      <c r="Q3580" s="75" t="str">
        <f>IF(AND(B3580='111'!$L$11,OR($N3580=$Q$7,$O3580=$Q$7)),"x","")</f>
        <v/>
      </c>
      <c r="R3580" s="75" t="str">
        <f>IF(AND($N3580=$Q$7,$B3580&lt;'111'!$L$11),"x","")</f>
        <v/>
      </c>
      <c r="S3580" s="75" t="str">
        <f>IF(AND($O3580=$Q$7,$B3580&lt;'111'!$L$11),"x","")</f>
        <v/>
      </c>
      <c r="T3580" s="75" t="str">
        <f>IF(ISERROR(FIND('112'!$M$9,G3580,1)),"",IF((AND(FIND('112'!$M$9,G3580,1)&gt;=1,B3580='112'!$K$9,OR($N3580='112'!$I$6,$O3580='112'!$I$6))),"x",""))</f>
        <v/>
      </c>
      <c r="U3580" s="75" t="str">
        <f>IF(ISERROR(FIND('112'!$M$9,G3580,1)),"",IF((AND(LEFT(G3580,2)=LEFT('112'!$M$9,2),B3580&lt;'112'!$K$9,$N3580='112'!$I$6)),"x",""))</f>
        <v/>
      </c>
      <c r="V3580" s="75" t="str">
        <f>IF(ISERROR(FIND('112'!$M$9,G3580,1)),"",IF((AND(RIGHT(G3580,2)=RIGHT('112'!$M$9,2),B3580&lt;'112'!$K$9,$O3580='112'!$I$6)),"x",""))</f>
        <v/>
      </c>
      <c r="W3580" s="75" t="str">
        <f>IF(AND('341-CT'!$H$9=H3580,OR(LEFT(N3580,3)=$W$7,LEFT(O3580,3)=$W$7)),"x","")</f>
        <v/>
      </c>
      <c r="X3580" s="75" t="str">
        <f>IF(OR(TH!N4988=TH!$X$7,O3580=TH!$X$7),"x","")</f>
        <v/>
      </c>
      <c r="Y3580" s="75" t="str">
        <f>IF(AND(OR(N3580="131",O3580="131"),H3580='131-CT'!$H$9),"x","")</f>
        <v/>
      </c>
      <c r="Z3580" s="75"/>
      <c r="AA3580" s="75" t="str">
        <f>IF(AND(MONTH(E3580)='IN-NX'!$J$5,'IN-NX'!$D$7=D3580),"x","")</f>
        <v/>
      </c>
      <c r="AB3580" s="75" t="str">
        <f>IF(AND(OR(LEFT(TH!N4988,2)="15",LEFT(TH!O4988,2)="15"),LEFT(TH!O4988,3)&lt;&gt;"111",'152-CT'!$J$8=TH!F4988),"x","")</f>
        <v/>
      </c>
      <c r="AC3580" s="75" t="str">
        <f>IF(AND(OR(LEFT(TH!N4988,2)="15",LEFT(TH!O4988,2)="15"),TK!$E$7=TH!F4988),"x","")</f>
        <v/>
      </c>
      <c r="AD3580" s="75" t="str">
        <f>IF(AND(N3580="1521",MONTH(C3580)='BK-NL'!$M$11),"x","")</f>
        <v/>
      </c>
    </row>
    <row r="3581" spans="1:30" ht="16.5" customHeight="1">
      <c r="A3581" s="309" t="str">
        <f>IF(B3581&lt;&gt;"",IF(AND(B3581='IN-TC'!$S$4,OR(TH!N3581="1111",TH!O3581="1111")),TH!D3581,""),"")</f>
        <v/>
      </c>
      <c r="B3581" s="1131">
        <f t="shared" si="1295"/>
        <v>2</v>
      </c>
      <c r="C3581" s="292">
        <f t="shared" si="1297"/>
        <v>42772</v>
      </c>
      <c r="D3581" s="292" t="s">
        <v>1923</v>
      </c>
      <c r="E3581" s="292">
        <v>42772</v>
      </c>
      <c r="F3581" s="293" t="s">
        <v>890</v>
      </c>
      <c r="G3581" s="925" t="s">
        <v>1034</v>
      </c>
      <c r="H3581" s="67" t="s">
        <v>893</v>
      </c>
      <c r="I3581" s="373"/>
      <c r="J3581" s="926"/>
      <c r="K3581" s="373"/>
      <c r="L3581" s="379"/>
      <c r="M3581" s="927">
        <v>2711281</v>
      </c>
      <c r="N3581" s="295" t="s">
        <v>101</v>
      </c>
      <c r="O3581" s="295" t="s">
        <v>63</v>
      </c>
      <c r="P3581" s="75" t="str">
        <f>IF(AND('331-CT'!$E$7=TH!H3484,OR(N3581="331",O3581="331")),"x","")</f>
        <v/>
      </c>
      <c r="Q3581" s="75" t="str">
        <f>IF(AND(B3581='111'!$L$11,OR($N3581=$Q$7,$O3581=$Q$7)),"x","")</f>
        <v/>
      </c>
      <c r="R3581" s="75" t="str">
        <f>IF(AND($N3581=$Q$7,$B3581&lt;'111'!$L$11),"x","")</f>
        <v/>
      </c>
      <c r="S3581" s="75" t="str">
        <f>IF(AND($O3581=$Q$7,$B3581&lt;'111'!$L$11),"x","")</f>
        <v>x</v>
      </c>
      <c r="T3581" s="75" t="str">
        <f>IF(ISERROR(FIND('112'!$M$9,G3581,1)),"",IF((AND(FIND('112'!$M$9,G3581,1)&gt;=1,B3581='112'!$K$9,OR($N3581='112'!$I$6,$O3581='112'!$I$6))),"x",""))</f>
        <v/>
      </c>
      <c r="U3581" s="75" t="str">
        <f>IF(ISERROR(FIND('112'!$M$9,G3581,1)),"",IF((AND(LEFT(G3581,2)=LEFT('112'!$M$9,2),B3581&lt;'112'!$K$9,$N3581='112'!$I$6)),"x",""))</f>
        <v/>
      </c>
      <c r="V3581" s="75" t="str">
        <f>IF(ISERROR(FIND('112'!$M$9,G3581,1)),"",IF((AND(RIGHT(G3581,2)=RIGHT('112'!$M$9,2),B3581&lt;'112'!$K$9,$O3581='112'!$I$6)),"x",""))</f>
        <v/>
      </c>
      <c r="W3581" s="75" t="str">
        <f>IF(AND('341-CT'!$H$9=H3581,OR(LEFT(N3581,3)=$W$7,LEFT(O3581,3)=$W$7)),"x","")</f>
        <v/>
      </c>
      <c r="X3581" s="75" t="str">
        <f>IF(OR(TH!N3484=TH!$X$7,O3581=TH!$X$7),"x","")</f>
        <v/>
      </c>
      <c r="Y3581" s="75" t="str">
        <f>IF(AND(OR(N3581="131",O3581="131"),H3581='131-CT'!$H$9),"x","")</f>
        <v/>
      </c>
      <c r="Z3581" s="75"/>
      <c r="AA3581" s="75" t="str">
        <f>IF(AND(MONTH(E3581)='IN-NX'!$J$5,'IN-NX'!$D$7=D3581),"x","")</f>
        <v/>
      </c>
      <c r="AB3581" s="75" t="str">
        <f>IF(AND(OR(LEFT(TH!N3484,2)="15",LEFT(TH!O3484,2)="15"),LEFT(TH!O3484,3)&lt;&gt;"111",'152-CT'!$J$8=TH!F3484),"x","")</f>
        <v/>
      </c>
      <c r="AC3581" s="75" t="str">
        <f>IF(AND(OR(LEFT(TH!N3484,2)="15",LEFT(TH!O3484,2)="15"),TK!$E$7=TH!F3484),"x","")</f>
        <v/>
      </c>
      <c r="AD3581" s="75" t="str">
        <f>IF(AND(N3581="1521",MONTH(C3581)='BK-NL'!$M$11),"x","")</f>
        <v/>
      </c>
    </row>
    <row r="3582" spans="1:30" ht="16.5" customHeight="1">
      <c r="A3582" s="309" t="str">
        <f>IF(B3582&lt;&gt;"",IF(AND(B3582='IN-TC'!$S$4,OR(TH!N3582="1111",TH!O3582="1111")),TH!D3582,""),"")</f>
        <v/>
      </c>
      <c r="B3582" s="1131">
        <f t="shared" si="1295"/>
        <v>2</v>
      </c>
      <c r="C3582" s="292">
        <f t="shared" si="1297"/>
        <v>42772</v>
      </c>
      <c r="D3582" s="292" t="s">
        <v>1923</v>
      </c>
      <c r="E3582" s="292">
        <v>42772</v>
      </c>
      <c r="F3582" s="293" t="s">
        <v>891</v>
      </c>
      <c r="G3582" s="925" t="s">
        <v>1034</v>
      </c>
      <c r="H3582" s="67" t="s">
        <v>893</v>
      </c>
      <c r="I3582" s="373"/>
      <c r="J3582" s="926"/>
      <c r="K3582" s="373"/>
      <c r="L3582" s="379"/>
      <c r="M3582" s="927">
        <v>271129</v>
      </c>
      <c r="N3582" s="295" t="s">
        <v>9</v>
      </c>
      <c r="O3582" s="295" t="s">
        <v>63</v>
      </c>
      <c r="P3582" s="75" t="str">
        <f>IF(AND('331-CT'!$E$7=TH!H3485,OR(N3582="331",O3582="331")),"x","")</f>
        <v/>
      </c>
      <c r="Q3582" s="75" t="str">
        <f>IF(AND(B3582='111'!$L$11,OR($N3582=$Q$7,$O3582=$Q$7)),"x","")</f>
        <v/>
      </c>
      <c r="R3582" s="75" t="str">
        <f>IF(AND($N3582=$Q$7,$B3582&lt;'111'!$L$11),"x","")</f>
        <v/>
      </c>
      <c r="S3582" s="75" t="str">
        <f>IF(AND($O3582=$Q$7,$B3582&lt;'111'!$L$11),"x","")</f>
        <v>x</v>
      </c>
      <c r="T3582" s="75" t="str">
        <f>IF(ISERROR(FIND('112'!$M$9,G3582,1)),"",IF((AND(FIND('112'!$M$9,G3582,1)&gt;=1,B3582='112'!$K$9,OR($N3582='112'!$I$6,$O3582='112'!$I$6))),"x",""))</f>
        <v/>
      </c>
      <c r="U3582" s="75" t="str">
        <f>IF(ISERROR(FIND('112'!$M$9,G3582,1)),"",IF((AND(LEFT(G3582,2)=LEFT('112'!$M$9,2),B3582&lt;'112'!$K$9,$N3582='112'!$I$6)),"x",""))</f>
        <v/>
      </c>
      <c r="V3582" s="75" t="str">
        <f>IF(ISERROR(FIND('112'!$M$9,G3582,1)),"",IF((AND(RIGHT(G3582,2)=RIGHT('112'!$M$9,2),B3582&lt;'112'!$K$9,$O3582='112'!$I$6)),"x",""))</f>
        <v/>
      </c>
      <c r="W3582" s="75" t="str">
        <f>IF(AND('341-CT'!$H$9=H3582,OR(LEFT(N3582,3)=$W$7,LEFT(O3582,3)=$W$7)),"x","")</f>
        <v/>
      </c>
      <c r="X3582" s="75" t="str">
        <f>IF(OR(TH!N3485=TH!$X$7,O3582=TH!$X$7),"x","")</f>
        <v/>
      </c>
      <c r="Y3582" s="75" t="str">
        <f>IF(AND(OR(N3582="131",O3582="131"),H3582='131-CT'!$H$9),"x","")</f>
        <v/>
      </c>
      <c r="Z3582" s="75"/>
      <c r="AA3582" s="75" t="str">
        <f>IF(AND(MONTH(E3582)='IN-NX'!$J$5,'IN-NX'!$D$7=D3582),"x","")</f>
        <v/>
      </c>
      <c r="AB3582" s="75" t="str">
        <f>IF(AND(OR(LEFT(TH!N3485,2)="15",LEFT(TH!O3485,2)="15"),LEFT(TH!O3485,3)&lt;&gt;"111",'152-CT'!$J$8=TH!F3485),"x","")</f>
        <v/>
      </c>
      <c r="AC3582" s="75" t="str">
        <f>IF(AND(OR(LEFT(TH!N3485,2)="15",LEFT(TH!O3485,2)="15"),TK!$E$7=TH!F3485),"x","")</f>
        <v/>
      </c>
      <c r="AD3582" s="75" t="str">
        <f>IF(AND(N3582="1521",MONTH(C3582)='BK-NL'!$M$11),"x","")</f>
        <v/>
      </c>
    </row>
    <row r="3583" spans="1:30" ht="16.5" customHeight="1">
      <c r="A3583" s="309" t="str">
        <f>IF(B3583&lt;&gt;"",IF(AND(B3583='IN-TC'!$S$4,OR(TH!N3583="1111",TH!O3583="1111")),TH!D3583,""),"")</f>
        <v/>
      </c>
      <c r="B3583" s="1131">
        <f t="shared" si="1295"/>
        <v>2</v>
      </c>
      <c r="C3583" s="292">
        <f t="shared" si="1297"/>
        <v>42772</v>
      </c>
      <c r="D3583" s="292" t="s">
        <v>1924</v>
      </c>
      <c r="E3583" s="292">
        <v>42772</v>
      </c>
      <c r="F3583" s="293" t="s">
        <v>1035</v>
      </c>
      <c r="G3583" s="925" t="s">
        <v>1037</v>
      </c>
      <c r="H3583" s="67" t="s">
        <v>1038</v>
      </c>
      <c r="I3583" s="373"/>
      <c r="J3583" s="926"/>
      <c r="K3583" s="373"/>
      <c r="L3583" s="379"/>
      <c r="M3583" s="927">
        <v>3325000</v>
      </c>
      <c r="N3583" s="295" t="s">
        <v>539</v>
      </c>
      <c r="O3583" s="295" t="s">
        <v>63</v>
      </c>
      <c r="P3583" s="75" t="str">
        <f>IF(AND('331-CT'!$E$7=TH!H3486,OR(N3583="331",O3583="331")),"x","")</f>
        <v/>
      </c>
      <c r="Q3583" s="75" t="str">
        <f>IF(AND(B3583='111'!$L$11,OR($N3583=$Q$7,$O3583=$Q$7)),"x","")</f>
        <v/>
      </c>
      <c r="R3583" s="75" t="str">
        <f>IF(AND($N3583=$Q$7,$B3583&lt;'111'!$L$11),"x","")</f>
        <v/>
      </c>
      <c r="S3583" s="75" t="str">
        <f>IF(AND($O3583=$Q$7,$B3583&lt;'111'!$L$11),"x","")</f>
        <v>x</v>
      </c>
      <c r="T3583" s="75" t="str">
        <f>IF(ISERROR(FIND('112'!$M$9,G3583,1)),"",IF((AND(FIND('112'!$M$9,G3583,1)&gt;=1,B3583='112'!$K$9,OR($N3583='112'!$I$6,$O3583='112'!$I$6))),"x",""))</f>
        <v/>
      </c>
      <c r="U3583" s="75" t="str">
        <f>IF(ISERROR(FIND('112'!$M$9,G3583,1)),"",IF((AND(LEFT(G3583,2)=LEFT('112'!$M$9,2),B3583&lt;'112'!$K$9,$N3583='112'!$I$6)),"x",""))</f>
        <v/>
      </c>
      <c r="V3583" s="75" t="str">
        <f>IF(ISERROR(FIND('112'!$M$9,G3583,1)),"",IF((AND(RIGHT(G3583,2)=RIGHT('112'!$M$9,2),B3583&lt;'112'!$K$9,$O3583='112'!$I$6)),"x",""))</f>
        <v/>
      </c>
      <c r="W3583" s="75" t="str">
        <f>IF(AND('341-CT'!$H$9=H3583,OR(LEFT(N3583,3)=$W$7,LEFT(O3583,3)=$W$7)),"x","")</f>
        <v/>
      </c>
      <c r="X3583" s="75" t="str">
        <f>IF(OR(TH!N3486=TH!$X$7,O3583=TH!$X$7),"x","")</f>
        <v/>
      </c>
      <c r="Y3583" s="75" t="str">
        <f>IF(AND(OR(N3583="131",O3583="131"),H3583='131-CT'!$H$9),"x","")</f>
        <v/>
      </c>
      <c r="Z3583" s="75"/>
      <c r="AA3583" s="75" t="str">
        <f>IF(AND(MONTH(E3583)='IN-NX'!$J$5,'IN-NX'!$D$7=D3583),"x","")</f>
        <v/>
      </c>
      <c r="AB3583" s="75" t="str">
        <f>IF(AND(OR(LEFT(TH!N3486,2)="15",LEFT(TH!O3486,2)="15"),LEFT(TH!O3486,3)&lt;&gt;"111",'152-CT'!$J$8=TH!F3486),"x","")</f>
        <v/>
      </c>
      <c r="AC3583" s="75" t="str">
        <f>IF(AND(OR(LEFT(TH!N3486,2)="15",LEFT(TH!O3486,2)="15"),TK!$E$7=TH!F3486),"x","")</f>
        <v/>
      </c>
      <c r="AD3583" s="75" t="str">
        <f>IF(AND(N3583="1521",MONTH(C3583)='BK-NL'!$M$11),"x","")</f>
        <v/>
      </c>
    </row>
    <row r="3584" spans="1:30" ht="16.5" customHeight="1">
      <c r="A3584" s="309" t="str">
        <f>IF(B3584&lt;&gt;"",IF(AND(B3584='IN-TC'!$S$4,OR(TH!N3584="1111",TH!O3584="1111")),TH!D3584,""),"")</f>
        <v/>
      </c>
      <c r="B3584" s="1131">
        <f t="shared" si="1295"/>
        <v>2</v>
      </c>
      <c r="C3584" s="292">
        <f t="shared" si="1297"/>
        <v>42772</v>
      </c>
      <c r="D3584" s="292" t="s">
        <v>1924</v>
      </c>
      <c r="E3584" s="292">
        <v>42772</v>
      </c>
      <c r="F3584" s="293" t="s">
        <v>1036</v>
      </c>
      <c r="G3584" s="925" t="s">
        <v>1037</v>
      </c>
      <c r="H3584" s="67" t="s">
        <v>1038</v>
      </c>
      <c r="I3584" s="373"/>
      <c r="J3584" s="926"/>
      <c r="K3584" s="373"/>
      <c r="L3584" s="379"/>
      <c r="M3584" s="927">
        <v>332500</v>
      </c>
      <c r="N3584" s="295" t="s">
        <v>9</v>
      </c>
      <c r="O3584" s="295" t="s">
        <v>63</v>
      </c>
      <c r="P3584" s="75" t="str">
        <f>IF(AND('331-CT'!$E$7=TH!H3487,OR(N3584="331",O3584="331")),"x","")</f>
        <v/>
      </c>
      <c r="Q3584" s="75" t="str">
        <f>IF(AND(B3584='111'!$L$11,OR($N3584=$Q$7,$O3584=$Q$7)),"x","")</f>
        <v/>
      </c>
      <c r="R3584" s="75" t="str">
        <f>IF(AND($N3584=$Q$7,$B3584&lt;'111'!$L$11),"x","")</f>
        <v/>
      </c>
      <c r="S3584" s="75" t="str">
        <f>IF(AND($O3584=$Q$7,$B3584&lt;'111'!$L$11),"x","")</f>
        <v>x</v>
      </c>
      <c r="T3584" s="75" t="str">
        <f>IF(ISERROR(FIND('112'!$M$9,G3584,1)),"",IF((AND(FIND('112'!$M$9,G3584,1)&gt;=1,B3584='112'!$K$9,OR($N3584='112'!$I$6,$O3584='112'!$I$6))),"x",""))</f>
        <v/>
      </c>
      <c r="U3584" s="75" t="str">
        <f>IF(ISERROR(FIND('112'!$M$9,G3584,1)),"",IF((AND(LEFT(G3584,2)=LEFT('112'!$M$9,2),B3584&lt;'112'!$K$9,$N3584='112'!$I$6)),"x",""))</f>
        <v/>
      </c>
      <c r="V3584" s="75" t="str">
        <f>IF(ISERROR(FIND('112'!$M$9,G3584,1)),"",IF((AND(RIGHT(G3584,2)=RIGHT('112'!$M$9,2),B3584&lt;'112'!$K$9,$O3584='112'!$I$6)),"x",""))</f>
        <v/>
      </c>
      <c r="W3584" s="75" t="str">
        <f>IF(AND('341-CT'!$H$9=H3584,OR(LEFT(N3584,3)=$W$7,LEFT(O3584,3)=$W$7)),"x","")</f>
        <v/>
      </c>
      <c r="X3584" s="75" t="str">
        <f>IF(OR(TH!N3487=TH!$X$7,O3584=TH!$X$7),"x","")</f>
        <v/>
      </c>
      <c r="Y3584" s="75" t="str">
        <f>IF(AND(OR(N3584="131",O3584="131"),H3584='131-CT'!$H$9),"x","")</f>
        <v/>
      </c>
      <c r="Z3584" s="75"/>
      <c r="AA3584" s="75" t="str">
        <f>IF(AND(MONTH(E3584)='IN-NX'!$J$5,'IN-NX'!$D$7=D3584),"x","")</f>
        <v/>
      </c>
      <c r="AB3584" s="75" t="str">
        <f>IF(AND(OR(LEFT(TH!N3487,2)="15",LEFT(TH!O3487,2)="15"),LEFT(TH!O3487,3)&lt;&gt;"111",'152-CT'!$J$8=TH!F3487),"x","")</f>
        <v/>
      </c>
      <c r="AC3584" s="75" t="str">
        <f>IF(AND(OR(LEFT(TH!N3487,2)="15",LEFT(TH!O3487,2)="15"),TK!$E$7=TH!F3487),"x","")</f>
        <v/>
      </c>
      <c r="AD3584" s="75" t="str">
        <f>IF(AND(N3584="1521",MONTH(C3584)='BK-NL'!$M$11),"x","")</f>
        <v/>
      </c>
    </row>
    <row r="3585" spans="1:30" ht="16.5" customHeight="1">
      <c r="A3585" s="309" t="str">
        <f>IF(B3585&lt;&gt;"",IF(AND(B3585='IN-TC'!$S$4,OR(TH!N3585="1111",TH!O3585="1111")),TH!D3585,""),"")</f>
        <v/>
      </c>
      <c r="B3585" s="1131">
        <f t="shared" si="1295"/>
        <v>2</v>
      </c>
      <c r="C3585" s="292">
        <f t="shared" si="1297"/>
        <v>42772</v>
      </c>
      <c r="D3585" s="292" t="s">
        <v>1925</v>
      </c>
      <c r="E3585" s="292">
        <v>42772</v>
      </c>
      <c r="F3585" s="293" t="s">
        <v>1040</v>
      </c>
      <c r="G3585" s="925" t="s">
        <v>1041</v>
      </c>
      <c r="H3585" s="67" t="s">
        <v>935</v>
      </c>
      <c r="I3585" s="373"/>
      <c r="J3585" s="926"/>
      <c r="K3585" s="373"/>
      <c r="L3585" s="379"/>
      <c r="M3585" s="927">
        <v>2014523</v>
      </c>
      <c r="N3585" s="295" t="s">
        <v>101</v>
      </c>
      <c r="O3585" s="295" t="s">
        <v>63</v>
      </c>
      <c r="P3585" s="75" t="str">
        <f>IF(AND('331-CT'!$E$7=TH!H3488,OR(N3585="331",O3585="331")),"x","")</f>
        <v/>
      </c>
      <c r="Q3585" s="75" t="str">
        <f>IF(AND(B3585='111'!$L$11,OR($N3585=$Q$7,$O3585=$Q$7)),"x","")</f>
        <v/>
      </c>
      <c r="R3585" s="75" t="str">
        <f>IF(AND($N3585=$Q$7,$B3585&lt;'111'!$L$11),"x","")</f>
        <v/>
      </c>
      <c r="S3585" s="75" t="str">
        <f>IF(AND($O3585=$Q$7,$B3585&lt;'111'!$L$11),"x","")</f>
        <v>x</v>
      </c>
      <c r="T3585" s="75" t="str">
        <f>IF(ISERROR(FIND('112'!$M$9,G3585,1)),"",IF((AND(FIND('112'!$M$9,G3585,1)&gt;=1,B3585='112'!$K$9,OR($N3585='112'!$I$6,$O3585='112'!$I$6))),"x",""))</f>
        <v/>
      </c>
      <c r="U3585" s="75" t="str">
        <f>IF(ISERROR(FIND('112'!$M$9,G3585,1)),"",IF((AND(LEFT(G3585,2)=LEFT('112'!$M$9,2),B3585&lt;'112'!$K$9,$N3585='112'!$I$6)),"x",""))</f>
        <v/>
      </c>
      <c r="V3585" s="75" t="str">
        <f>IF(ISERROR(FIND('112'!$M$9,G3585,1)),"",IF((AND(RIGHT(G3585,2)=RIGHT('112'!$M$9,2),B3585&lt;'112'!$K$9,$O3585='112'!$I$6)),"x",""))</f>
        <v/>
      </c>
      <c r="W3585" s="75" t="str">
        <f>IF(AND('341-CT'!$H$9=H3585,OR(LEFT(N3585,3)=$W$7,LEFT(O3585,3)=$W$7)),"x","")</f>
        <v/>
      </c>
      <c r="X3585" s="75" t="str">
        <f>IF(OR(TH!N3488=TH!$X$7,O3585=TH!$X$7),"x","")</f>
        <v/>
      </c>
      <c r="Y3585" s="75" t="str">
        <f>IF(AND(OR(N3585="131",O3585="131"),H3585='131-CT'!$H$9),"x","")</f>
        <v/>
      </c>
      <c r="Z3585" s="75"/>
      <c r="AA3585" s="75" t="str">
        <f>IF(AND(MONTH(E3585)='IN-NX'!$J$5,'IN-NX'!$D$7=D3585),"x","")</f>
        <v/>
      </c>
      <c r="AB3585" s="75" t="str">
        <f>IF(AND(OR(LEFT(TH!N3488,2)="15",LEFT(TH!O3488,2)="15"),LEFT(TH!O3488,3)&lt;&gt;"111",'152-CT'!$J$8=TH!F3488),"x","")</f>
        <v/>
      </c>
      <c r="AC3585" s="75" t="str">
        <f>IF(AND(OR(LEFT(TH!N3488,2)="15",LEFT(TH!O3488,2)="15"),TK!$E$7=TH!F3488),"x","")</f>
        <v/>
      </c>
      <c r="AD3585" s="75" t="str">
        <f>IF(AND(N3585="1521",MONTH(C3585)='BK-NL'!$M$11),"x","")</f>
        <v/>
      </c>
    </row>
    <row r="3586" spans="1:30" ht="16.5" customHeight="1">
      <c r="A3586" s="309" t="str">
        <f>IF(B3586&lt;&gt;"",IF(AND(B3586='IN-TC'!$S$4,OR(TH!N3586="1111",TH!O3586="1111")),TH!D3586,""),"")</f>
        <v/>
      </c>
      <c r="B3586" s="1131">
        <f t="shared" si="1295"/>
        <v>2</v>
      </c>
      <c r="C3586" s="292">
        <f t="shared" si="1297"/>
        <v>42772</v>
      </c>
      <c r="D3586" s="292" t="s">
        <v>1925</v>
      </c>
      <c r="E3586" s="292">
        <v>42772</v>
      </c>
      <c r="F3586" s="293" t="s">
        <v>1039</v>
      </c>
      <c r="G3586" s="925" t="s">
        <v>1041</v>
      </c>
      <c r="H3586" s="67" t="s">
        <v>935</v>
      </c>
      <c r="I3586" s="373"/>
      <c r="J3586" s="926"/>
      <c r="K3586" s="373"/>
      <c r="L3586" s="379"/>
      <c r="M3586" s="927">
        <v>201452</v>
      </c>
      <c r="N3586" s="295" t="s">
        <v>9</v>
      </c>
      <c r="O3586" s="295" t="s">
        <v>63</v>
      </c>
      <c r="P3586" s="75" t="str">
        <f>IF(AND('331-CT'!$E$7=TH!H3489,OR(N3586="331",O3586="331")),"x","")</f>
        <v/>
      </c>
      <c r="Q3586" s="75" t="str">
        <f>IF(AND(B3586='111'!$L$11,OR($N3586=$Q$7,$O3586=$Q$7)),"x","")</f>
        <v/>
      </c>
      <c r="R3586" s="75" t="str">
        <f>IF(AND($N3586=$Q$7,$B3586&lt;'111'!$L$11),"x","")</f>
        <v/>
      </c>
      <c r="S3586" s="75" t="str">
        <f>IF(AND($O3586=$Q$7,$B3586&lt;'111'!$L$11),"x","")</f>
        <v>x</v>
      </c>
      <c r="T3586" s="75" t="str">
        <f>IF(ISERROR(FIND('112'!$M$9,G3586,1)),"",IF((AND(FIND('112'!$M$9,G3586,1)&gt;=1,B3586='112'!$K$9,OR($N3586='112'!$I$6,$O3586='112'!$I$6))),"x",""))</f>
        <v/>
      </c>
      <c r="U3586" s="75" t="str">
        <f>IF(ISERROR(FIND('112'!$M$9,G3586,1)),"",IF((AND(LEFT(G3586,2)=LEFT('112'!$M$9,2),B3586&lt;'112'!$K$9,$N3586='112'!$I$6)),"x",""))</f>
        <v/>
      </c>
      <c r="V3586" s="75" t="str">
        <f>IF(ISERROR(FIND('112'!$M$9,G3586,1)),"",IF((AND(RIGHT(G3586,2)=RIGHT('112'!$M$9,2),B3586&lt;'112'!$K$9,$O3586='112'!$I$6)),"x",""))</f>
        <v/>
      </c>
      <c r="W3586" s="75" t="str">
        <f>IF(AND('341-CT'!$H$9=H3586,OR(LEFT(N3586,3)=$W$7,LEFT(O3586,3)=$W$7)),"x","")</f>
        <v/>
      </c>
      <c r="X3586" s="75" t="str">
        <f>IF(OR(TH!N3489=TH!$X$7,O3586=TH!$X$7),"x","")</f>
        <v/>
      </c>
      <c r="Y3586" s="75" t="str">
        <f>IF(AND(OR(N3586="131",O3586="131"),H3586='131-CT'!$H$9),"x","")</f>
        <v/>
      </c>
      <c r="Z3586" s="75"/>
      <c r="AA3586" s="75" t="str">
        <f>IF(AND(MONTH(E3586)='IN-NX'!$J$5,'IN-NX'!$D$7=D3586),"x","")</f>
        <v/>
      </c>
      <c r="AB3586" s="75" t="str">
        <f>IF(AND(OR(LEFT(TH!N3489,2)="15",LEFT(TH!O3489,2)="15"),LEFT(TH!O3489,3)&lt;&gt;"111",'152-CT'!$J$8=TH!F3489),"x","")</f>
        <v/>
      </c>
      <c r="AC3586" s="75" t="str">
        <f>IF(AND(OR(LEFT(TH!N3489,2)="15",LEFT(TH!O3489,2)="15"),TK!$E$7=TH!F3489),"x","")</f>
        <v/>
      </c>
      <c r="AD3586" s="75" t="str">
        <f>IF(AND(N3586="1521",MONTH(C3586)='BK-NL'!$M$11),"x","")</f>
        <v/>
      </c>
    </row>
    <row r="3587" spans="1:30" ht="16.5" customHeight="1">
      <c r="A3587" s="309" t="str">
        <f>IF(B3587&lt;&gt;"",IF(AND(B3587='IN-TC'!$S$4,OR(TH!N3587="1111",TH!O3587="1111")),TH!D3587,""),"")</f>
        <v/>
      </c>
      <c r="B3587" s="1131">
        <f t="shared" si="1295"/>
        <v>2</v>
      </c>
      <c r="C3587" s="292">
        <f t="shared" si="1297"/>
        <v>42773</v>
      </c>
      <c r="D3587" s="59" t="s">
        <v>902</v>
      </c>
      <c r="E3587" s="292">
        <v>42773</v>
      </c>
      <c r="F3587" s="62" t="s">
        <v>1020</v>
      </c>
      <c r="G3587" s="62" t="s">
        <v>747</v>
      </c>
      <c r="H3587" s="311" t="s">
        <v>835</v>
      </c>
      <c r="I3587" s="373"/>
      <c r="J3587" s="379"/>
      <c r="K3587" s="373"/>
      <c r="L3587" s="379"/>
      <c r="M3587" s="60">
        <v>80000</v>
      </c>
      <c r="N3587" s="928" t="s">
        <v>539</v>
      </c>
      <c r="O3587" s="61" t="s">
        <v>26</v>
      </c>
      <c r="P3587" s="75" t="str">
        <f>IF(AND('331-CT'!$E$7=TH!H4989,OR(N3587="331",O3587="331")),"x","")</f>
        <v/>
      </c>
      <c r="Q3587" s="75" t="str">
        <f>IF(AND(B3587='111'!$L$11,OR($N3587=$Q$7,$O3587=$Q$7)),"x","")</f>
        <v/>
      </c>
      <c r="R3587" s="75" t="str">
        <f>IF(AND($N3587=$Q$7,$B3587&lt;'111'!$L$11),"x","")</f>
        <v/>
      </c>
      <c r="S3587" s="75" t="str">
        <f>IF(AND($O3587=$Q$7,$B3587&lt;'111'!$L$11),"x","")</f>
        <v/>
      </c>
      <c r="T3587" s="75" t="str">
        <f>IF(ISERROR(FIND('112'!$M$9,G3587,1)),"",IF((AND(FIND('112'!$M$9,G3587,1)&gt;=1,B3587='112'!$K$9,OR($N3587='112'!$I$6,$O3587='112'!$I$6))),"x",""))</f>
        <v/>
      </c>
      <c r="U3587" s="75" t="str">
        <f>IF(ISERROR(FIND('112'!$M$9,G3587,1)),"",IF((AND(LEFT(G3587,2)=LEFT('112'!$M$9,2),B3587&lt;'112'!$K$9,$N3587='112'!$I$6)),"x",""))</f>
        <v/>
      </c>
      <c r="V3587" s="75" t="str">
        <f>IF(ISERROR(FIND('112'!$M$9,G3587,1)),"",IF((AND(RIGHT(G3587,2)=RIGHT('112'!$M$9,2),B3587&lt;'112'!$K$9,$O3587='112'!$I$6)),"x",""))</f>
        <v/>
      </c>
      <c r="W3587" s="75" t="str">
        <f>IF(AND('341-CT'!$H$9=H3587,OR(LEFT(N3587,3)=$W$7,LEFT(O3587,3)=$W$7)),"x","")</f>
        <v/>
      </c>
      <c r="X3587" s="75" t="str">
        <f>IF(OR(TH!N4989=TH!$X$7,O3587=TH!$X$7),"x","")</f>
        <v>x</v>
      </c>
      <c r="Y3587" s="75" t="str">
        <f>IF(AND(OR(N3587="131",O3587="131"),H3587='131-CT'!$H$9),"x","")</f>
        <v/>
      </c>
      <c r="Z3587" s="75"/>
      <c r="AA3587" s="75" t="str">
        <f>IF(AND(MONTH(E3587)='IN-NX'!$J$5,'IN-NX'!$D$7=D3587),"x","")</f>
        <v/>
      </c>
      <c r="AB3587" s="75" t="str">
        <f>IF(AND(OR(LEFT(TH!N4989,2)="15",LEFT(TH!O4989,2)="15"),LEFT(TH!O4989,3)&lt;&gt;"111",'152-CT'!$J$8=TH!F4989),"x","")</f>
        <v/>
      </c>
      <c r="AC3587" s="75" t="str">
        <f>IF(AND(OR(LEFT(TH!N4989,2)="15",LEFT(TH!O4989,2)="15"),TK!$E$7=TH!F4989),"x","")</f>
        <v/>
      </c>
      <c r="AD3587" s="75" t="str">
        <f>IF(AND(N3587="1521",MONTH(C3587)='BK-NL'!$M$11),"x","")</f>
        <v/>
      </c>
    </row>
    <row r="3588" spans="1:30" ht="16.5" customHeight="1">
      <c r="A3588" s="309" t="str">
        <f>IF(B3588&lt;&gt;"",IF(AND(B3588='IN-TC'!$S$4,OR(TH!N3588="1111",TH!O3588="1111")),TH!D3588,""),"")</f>
        <v/>
      </c>
      <c r="B3588" s="1131">
        <f t="shared" si="1295"/>
        <v>2</v>
      </c>
      <c r="C3588" s="292">
        <f t="shared" si="1297"/>
        <v>42773</v>
      </c>
      <c r="D3588" s="59" t="s">
        <v>902</v>
      </c>
      <c r="E3588" s="292">
        <v>42773</v>
      </c>
      <c r="F3588" s="62" t="s">
        <v>870</v>
      </c>
      <c r="G3588" s="62" t="s">
        <v>747</v>
      </c>
      <c r="H3588" s="311" t="s">
        <v>835</v>
      </c>
      <c r="I3588" s="373"/>
      <c r="J3588" s="379"/>
      <c r="K3588" s="373"/>
      <c r="L3588" s="379"/>
      <c r="M3588" s="60">
        <v>10000</v>
      </c>
      <c r="N3588" s="928" t="s">
        <v>101</v>
      </c>
      <c r="O3588" s="61" t="s">
        <v>26</v>
      </c>
      <c r="P3588" s="75" t="str">
        <f>IF(AND('331-CT'!$E$7=TH!H4990,OR(N3588="331",O3588="331")),"x","")</f>
        <v/>
      </c>
      <c r="Q3588" s="75" t="str">
        <f>IF(AND(B3588='111'!$L$11,OR($N3588=$Q$7,$O3588=$Q$7)),"x","")</f>
        <v/>
      </c>
      <c r="R3588" s="75" t="str">
        <f>IF(AND($N3588=$Q$7,$B3588&lt;'111'!$L$11),"x","")</f>
        <v/>
      </c>
      <c r="S3588" s="75" t="str">
        <f>IF(AND($O3588=$Q$7,$B3588&lt;'111'!$L$11),"x","")</f>
        <v/>
      </c>
      <c r="T3588" s="75" t="str">
        <f>IF(ISERROR(FIND('112'!$M$9,G3588,1)),"",IF((AND(FIND('112'!$M$9,G3588,1)&gt;=1,B3588='112'!$K$9,OR($N3588='112'!$I$6,$O3588='112'!$I$6))),"x",""))</f>
        <v/>
      </c>
      <c r="U3588" s="75" t="str">
        <f>IF(ISERROR(FIND('112'!$M$9,G3588,1)),"",IF((AND(LEFT(G3588,2)=LEFT('112'!$M$9,2),B3588&lt;'112'!$K$9,$N3588='112'!$I$6)),"x",""))</f>
        <v/>
      </c>
      <c r="V3588" s="75" t="str">
        <f>IF(ISERROR(FIND('112'!$M$9,G3588,1)),"",IF((AND(RIGHT(G3588,2)=RIGHT('112'!$M$9,2),B3588&lt;'112'!$K$9,$O3588='112'!$I$6)),"x",""))</f>
        <v/>
      </c>
      <c r="W3588" s="75" t="str">
        <f>IF(AND('341-CT'!$H$9=H3588,OR(LEFT(N3588,3)=$W$7,LEFT(O3588,3)=$W$7)),"x","")</f>
        <v/>
      </c>
      <c r="X3588" s="75" t="str">
        <f>IF(OR(TH!N4990=TH!$X$7,O3588=TH!$X$7),"x","")</f>
        <v>x</v>
      </c>
      <c r="Y3588" s="75" t="str">
        <f>IF(AND(OR(N3588="131",O3588="131"),H3588='131-CT'!$H$9),"x","")</f>
        <v/>
      </c>
      <c r="Z3588" s="75"/>
      <c r="AA3588" s="75" t="str">
        <f>IF(AND(MONTH(E3588)='IN-NX'!$J$5,'IN-NX'!$D$7=D3588),"x","")</f>
        <v/>
      </c>
      <c r="AB3588" s="75" t="str">
        <f>IF(AND(OR(LEFT(TH!N4990,2)="15",LEFT(TH!O4990,2)="15"),LEFT(TH!O4990,3)&lt;&gt;"111",'152-CT'!$J$8=TH!F4990),"x","")</f>
        <v/>
      </c>
      <c r="AC3588" s="75" t="str">
        <f>IF(AND(OR(LEFT(TH!N4990,2)="15",LEFT(TH!O4990,2)="15"),TK!$E$7=TH!F4990),"x","")</f>
        <v/>
      </c>
      <c r="AD3588" s="75" t="str">
        <f>IF(AND(N3588="1521",MONTH(C3588)='BK-NL'!$M$11),"x","")</f>
        <v/>
      </c>
    </row>
    <row r="3589" spans="1:30" ht="16.5" customHeight="1">
      <c r="A3589" s="309" t="str">
        <f>IF(B3589&lt;&gt;"",IF(AND(B3589='IN-TC'!$S$4,OR(TH!N3589="1111",TH!O3589="1111")),TH!D3589,""),"")</f>
        <v/>
      </c>
      <c r="B3589" s="1131">
        <f t="shared" si="1295"/>
        <v>2</v>
      </c>
      <c r="C3589" s="292">
        <f t="shared" si="1297"/>
        <v>42773</v>
      </c>
      <c r="D3589" s="59" t="s">
        <v>902</v>
      </c>
      <c r="E3589" s="292">
        <v>42773</v>
      </c>
      <c r="F3589" s="62" t="s">
        <v>898</v>
      </c>
      <c r="G3589" s="62" t="s">
        <v>747</v>
      </c>
      <c r="H3589" s="311" t="s">
        <v>835</v>
      </c>
      <c r="I3589" s="373"/>
      <c r="J3589" s="379"/>
      <c r="K3589" s="373"/>
      <c r="L3589" s="379"/>
      <c r="M3589" s="60">
        <v>1000</v>
      </c>
      <c r="N3589" s="928" t="s">
        <v>9</v>
      </c>
      <c r="O3589" s="61" t="s">
        <v>26</v>
      </c>
      <c r="P3589" s="75" t="str">
        <f>IF(AND('331-CT'!$E$7=TH!H4991,OR(N3589="331",O3589="331")),"x","")</f>
        <v/>
      </c>
      <c r="Q3589" s="75" t="str">
        <f>IF(AND(B3589='111'!$L$11,OR($N3589=$Q$7,$O3589=$Q$7)),"x","")</f>
        <v/>
      </c>
      <c r="R3589" s="75" t="str">
        <f>IF(AND($N3589=$Q$7,$B3589&lt;'111'!$L$11),"x","")</f>
        <v/>
      </c>
      <c r="S3589" s="75" t="str">
        <f>IF(AND($O3589=$Q$7,$B3589&lt;'111'!$L$11),"x","")</f>
        <v/>
      </c>
      <c r="T3589" s="75" t="str">
        <f>IF(ISERROR(FIND('112'!$M$9,G3589,1)),"",IF((AND(FIND('112'!$M$9,G3589,1)&gt;=1,B3589='112'!$K$9,OR($N3589='112'!$I$6,$O3589='112'!$I$6))),"x",""))</f>
        <v/>
      </c>
      <c r="U3589" s="75" t="str">
        <f>IF(ISERROR(FIND('112'!$M$9,G3589,1)),"",IF((AND(LEFT(G3589,2)=LEFT('112'!$M$9,2),B3589&lt;'112'!$K$9,$N3589='112'!$I$6)),"x",""))</f>
        <v/>
      </c>
      <c r="V3589" s="75" t="str">
        <f>IF(ISERROR(FIND('112'!$M$9,G3589,1)),"",IF((AND(RIGHT(G3589,2)=RIGHT('112'!$M$9,2),B3589&lt;'112'!$K$9,$O3589='112'!$I$6)),"x",""))</f>
        <v/>
      </c>
      <c r="W3589" s="75" t="str">
        <f>IF(AND('341-CT'!$H$9=H3589,OR(LEFT(N3589,3)=$W$7,LEFT(O3589,3)=$W$7)),"x","")</f>
        <v/>
      </c>
      <c r="X3589" s="75" t="str">
        <f>IF(OR(TH!N4991=TH!$X$7,O3589=TH!$X$7),"x","")</f>
        <v/>
      </c>
      <c r="Y3589" s="75" t="str">
        <f>IF(AND(OR(N3589="131",O3589="131"),H3589='131-CT'!$H$9),"x","")</f>
        <v/>
      </c>
      <c r="Z3589" s="75"/>
      <c r="AA3589" s="75" t="str">
        <f>IF(AND(MONTH(E3589)='IN-NX'!$J$5,'IN-NX'!$D$7=D3589),"x","")</f>
        <v/>
      </c>
      <c r="AB3589" s="75" t="str">
        <f>IF(AND(OR(LEFT(TH!N4991,2)="15",LEFT(TH!O4991,2)="15"),LEFT(TH!O4991,3)&lt;&gt;"111",'152-CT'!$J$8=TH!F4991),"x","")</f>
        <v/>
      </c>
      <c r="AC3589" s="75" t="str">
        <f>IF(AND(OR(LEFT(TH!N4991,2)="15",LEFT(TH!O4991,2)="15"),TK!$E$7=TH!F4991),"x","")</f>
        <v/>
      </c>
      <c r="AD3589" s="75" t="str">
        <f>IF(AND(N3589="1521",MONTH(C3589)='BK-NL'!$M$11),"x","")</f>
        <v/>
      </c>
    </row>
    <row r="3590" spans="1:30" ht="16.5" customHeight="1">
      <c r="A3590" s="309" t="str">
        <f>IF(B3590&lt;&gt;"",IF(AND(B3590='IN-TC'!$S$4,OR(TH!N3590="1111",TH!O3590="1111")),TH!D3590,""),"")</f>
        <v/>
      </c>
      <c r="B3590" s="1131">
        <f t="shared" si="1295"/>
        <v>2</v>
      </c>
      <c r="C3590" s="292">
        <f t="shared" si="1297"/>
        <v>42773</v>
      </c>
      <c r="D3590" s="59" t="s">
        <v>902</v>
      </c>
      <c r="E3590" s="292">
        <v>42773</v>
      </c>
      <c r="F3590" s="62" t="s">
        <v>1020</v>
      </c>
      <c r="G3590" s="62" t="s">
        <v>747</v>
      </c>
      <c r="H3590" s="311" t="s">
        <v>835</v>
      </c>
      <c r="I3590" s="373"/>
      <c r="J3590" s="379"/>
      <c r="K3590" s="373"/>
      <c r="L3590" s="379"/>
      <c r="M3590" s="60">
        <v>40000</v>
      </c>
      <c r="N3590" s="928" t="s">
        <v>539</v>
      </c>
      <c r="O3590" s="61" t="s">
        <v>26</v>
      </c>
      <c r="P3590" s="75" t="str">
        <f>IF(AND('331-CT'!$E$7=TH!H4992,OR(N3590="331",O3590="331")),"x","")</f>
        <v/>
      </c>
      <c r="Q3590" s="75" t="str">
        <f>IF(AND(B3590='111'!$L$11,OR($N3590=$Q$7,$O3590=$Q$7)),"x","")</f>
        <v/>
      </c>
      <c r="R3590" s="75" t="str">
        <f>IF(AND($N3590=$Q$7,$B3590&lt;'111'!$L$11),"x","")</f>
        <v/>
      </c>
      <c r="S3590" s="75" t="str">
        <f>IF(AND($O3590=$Q$7,$B3590&lt;'111'!$L$11),"x","")</f>
        <v/>
      </c>
      <c r="T3590" s="75" t="str">
        <f>IF(ISERROR(FIND('112'!$M$9,G3590,1)),"",IF((AND(FIND('112'!$M$9,G3590,1)&gt;=1,B3590='112'!$K$9,OR($N3590='112'!$I$6,$O3590='112'!$I$6))),"x",""))</f>
        <v/>
      </c>
      <c r="U3590" s="75" t="str">
        <f>IF(ISERROR(FIND('112'!$M$9,G3590,1)),"",IF((AND(LEFT(G3590,2)=LEFT('112'!$M$9,2),B3590&lt;'112'!$K$9,$N3590='112'!$I$6)),"x",""))</f>
        <v/>
      </c>
      <c r="V3590" s="75" t="str">
        <f>IF(ISERROR(FIND('112'!$M$9,G3590,1)),"",IF((AND(RIGHT(G3590,2)=RIGHT('112'!$M$9,2),B3590&lt;'112'!$K$9,$O3590='112'!$I$6)),"x",""))</f>
        <v/>
      </c>
      <c r="W3590" s="75" t="str">
        <f>IF(AND('341-CT'!$H$9=H3590,OR(LEFT(N3590,3)=$W$7,LEFT(O3590,3)=$W$7)),"x","")</f>
        <v/>
      </c>
      <c r="X3590" s="75" t="str">
        <f>IF(OR(TH!N4992=TH!$X$7,O3590=TH!$X$7),"x","")</f>
        <v/>
      </c>
      <c r="Y3590" s="75" t="str">
        <f>IF(AND(OR(N3590="131",O3590="131"),H3590='131-CT'!$H$9),"x","")</f>
        <v/>
      </c>
      <c r="Z3590" s="75"/>
      <c r="AA3590" s="75" t="str">
        <f>IF(AND(MONTH(E3590)='IN-NX'!$J$5,'IN-NX'!$D$7=D3590),"x","")</f>
        <v/>
      </c>
      <c r="AB3590" s="75" t="str">
        <f>IF(AND(OR(LEFT(TH!N4992,2)="15",LEFT(TH!O4992,2)="15"),LEFT(TH!O4992,3)&lt;&gt;"111",'152-CT'!$J$8=TH!F4992),"x","")</f>
        <v/>
      </c>
      <c r="AC3590" s="75" t="str">
        <f>IF(AND(OR(LEFT(TH!N4992,2)="15",LEFT(TH!O4992,2)="15"),TK!$E$7=TH!F4992),"x","")</f>
        <v/>
      </c>
      <c r="AD3590" s="75" t="str">
        <f>IF(AND(N3590="1521",MONTH(C3590)='BK-NL'!$M$11),"x","")</f>
        <v/>
      </c>
    </row>
    <row r="3591" spans="1:30" ht="16.5" customHeight="1">
      <c r="A3591" s="309" t="str">
        <f>IF(B3591&lt;&gt;"",IF(AND(B3591='IN-TC'!$S$4,OR(TH!N3591="1111",TH!O3591="1111")),TH!D3591,""),"")</f>
        <v/>
      </c>
      <c r="B3591" s="1131">
        <f t="shared" si="1295"/>
        <v>2</v>
      </c>
      <c r="C3591" s="292">
        <f t="shared" si="1297"/>
        <v>42773</v>
      </c>
      <c r="D3591" s="59" t="s">
        <v>902</v>
      </c>
      <c r="E3591" s="292">
        <v>42773</v>
      </c>
      <c r="F3591" s="62" t="s">
        <v>870</v>
      </c>
      <c r="G3591" s="62" t="s">
        <v>747</v>
      </c>
      <c r="H3591" s="311" t="s">
        <v>835</v>
      </c>
      <c r="I3591" s="373"/>
      <c r="J3591" s="379"/>
      <c r="K3591" s="373"/>
      <c r="L3591" s="379"/>
      <c r="M3591" s="60">
        <v>10000</v>
      </c>
      <c r="N3591" s="928" t="s">
        <v>101</v>
      </c>
      <c r="O3591" s="61" t="s">
        <v>26</v>
      </c>
      <c r="P3591" s="75" t="str">
        <f>IF(AND('331-CT'!$E$7=TH!H4993,OR(N3591="331",O3591="331")),"x","")</f>
        <v/>
      </c>
      <c r="Q3591" s="75" t="str">
        <f>IF(AND(B3591='111'!$L$11,OR($N3591=$Q$7,$O3591=$Q$7)),"x","")</f>
        <v/>
      </c>
      <c r="R3591" s="75" t="str">
        <f>IF(AND($N3591=$Q$7,$B3591&lt;'111'!$L$11),"x","")</f>
        <v/>
      </c>
      <c r="S3591" s="75" t="str">
        <f>IF(AND($O3591=$Q$7,$B3591&lt;'111'!$L$11),"x","")</f>
        <v/>
      </c>
      <c r="T3591" s="75" t="str">
        <f>IF(ISERROR(FIND('112'!$M$9,G3591,1)),"",IF((AND(FIND('112'!$M$9,G3591,1)&gt;=1,B3591='112'!$K$9,OR($N3591='112'!$I$6,$O3591='112'!$I$6))),"x",""))</f>
        <v/>
      </c>
      <c r="U3591" s="75" t="str">
        <f>IF(ISERROR(FIND('112'!$M$9,G3591,1)),"",IF((AND(LEFT(G3591,2)=LEFT('112'!$M$9,2),B3591&lt;'112'!$K$9,$N3591='112'!$I$6)),"x",""))</f>
        <v/>
      </c>
      <c r="V3591" s="75" t="str">
        <f>IF(ISERROR(FIND('112'!$M$9,G3591,1)),"",IF((AND(RIGHT(G3591,2)=RIGHT('112'!$M$9,2),B3591&lt;'112'!$K$9,$O3591='112'!$I$6)),"x",""))</f>
        <v/>
      </c>
      <c r="W3591" s="75" t="str">
        <f>IF(AND('341-CT'!$H$9=H3591,OR(LEFT(N3591,3)=$W$7,LEFT(O3591,3)=$W$7)),"x","")</f>
        <v/>
      </c>
      <c r="X3591" s="75" t="str">
        <f>IF(OR(TH!N4993=TH!$X$7,O3591=TH!$X$7),"x","")</f>
        <v/>
      </c>
      <c r="Y3591" s="75" t="str">
        <f>IF(AND(OR(N3591="131",O3591="131"),H3591='131-CT'!$H$9),"x","")</f>
        <v/>
      </c>
      <c r="Z3591" s="75"/>
      <c r="AA3591" s="75" t="str">
        <f>IF(AND(MONTH(E3591)='IN-NX'!$J$5,'IN-NX'!$D$7=D3591),"x","")</f>
        <v/>
      </c>
      <c r="AB3591" s="75" t="str">
        <f>IF(AND(OR(LEFT(TH!N4993,2)="15",LEFT(TH!O4993,2)="15"),LEFT(TH!O4993,3)&lt;&gt;"111",'152-CT'!$J$8=TH!F4993),"x","")</f>
        <v/>
      </c>
      <c r="AC3591" s="75" t="str">
        <f>IF(AND(OR(LEFT(TH!N4993,2)="15",LEFT(TH!O4993,2)="15"),TK!$E$7=TH!F4993),"x","")</f>
        <v/>
      </c>
      <c r="AD3591" s="75" t="str">
        <f>IF(AND(N3591="1521",MONTH(C3591)='BK-NL'!$M$11),"x","")</f>
        <v/>
      </c>
    </row>
    <row r="3592" spans="1:30" ht="16.5" customHeight="1">
      <c r="A3592" s="309" t="str">
        <f>IF(B3592&lt;&gt;"",IF(AND(B3592='IN-TC'!$S$4,OR(TH!N3592="1111",TH!O3592="1111")),TH!D3592,""),"")</f>
        <v/>
      </c>
      <c r="B3592" s="1131">
        <f t="shared" si="1295"/>
        <v>2</v>
      </c>
      <c r="C3592" s="292">
        <f t="shared" si="1297"/>
        <v>42773</v>
      </c>
      <c r="D3592" s="59" t="s">
        <v>902</v>
      </c>
      <c r="E3592" s="292">
        <v>42773</v>
      </c>
      <c r="F3592" s="62" t="s">
        <v>898</v>
      </c>
      <c r="G3592" s="62" t="s">
        <v>747</v>
      </c>
      <c r="H3592" s="311" t="s">
        <v>835</v>
      </c>
      <c r="I3592" s="373"/>
      <c r="J3592" s="379"/>
      <c r="K3592" s="373"/>
      <c r="L3592" s="379"/>
      <c r="M3592" s="60">
        <v>1000</v>
      </c>
      <c r="N3592" s="928" t="s">
        <v>9</v>
      </c>
      <c r="O3592" s="61" t="s">
        <v>26</v>
      </c>
      <c r="P3592" s="75" t="str">
        <f>IF(AND('331-CT'!$E$7=TH!H4994,OR(N3592="331",O3592="331")),"x","")</f>
        <v/>
      </c>
      <c r="Q3592" s="75" t="str">
        <f>IF(AND(B3592='111'!$L$11,OR($N3592=$Q$7,$O3592=$Q$7)),"x","")</f>
        <v/>
      </c>
      <c r="R3592" s="75" t="str">
        <f>IF(AND($N3592=$Q$7,$B3592&lt;'111'!$L$11),"x","")</f>
        <v/>
      </c>
      <c r="S3592" s="75" t="str">
        <f>IF(AND($O3592=$Q$7,$B3592&lt;'111'!$L$11),"x","")</f>
        <v/>
      </c>
      <c r="T3592" s="75" t="str">
        <f>IF(ISERROR(FIND('112'!$M$9,G3592,1)),"",IF((AND(FIND('112'!$M$9,G3592,1)&gt;=1,B3592='112'!$K$9,OR($N3592='112'!$I$6,$O3592='112'!$I$6))),"x",""))</f>
        <v/>
      </c>
      <c r="U3592" s="75" t="str">
        <f>IF(ISERROR(FIND('112'!$M$9,G3592,1)),"",IF((AND(LEFT(G3592,2)=LEFT('112'!$M$9,2),B3592&lt;'112'!$K$9,$N3592='112'!$I$6)),"x",""))</f>
        <v/>
      </c>
      <c r="V3592" s="75" t="str">
        <f>IF(ISERROR(FIND('112'!$M$9,G3592,1)),"",IF((AND(RIGHT(G3592,2)=RIGHT('112'!$M$9,2),B3592&lt;'112'!$K$9,$O3592='112'!$I$6)),"x",""))</f>
        <v/>
      </c>
      <c r="W3592" s="75" t="str">
        <f>IF(AND('341-CT'!$H$9=H3592,OR(LEFT(N3592,3)=$W$7,LEFT(O3592,3)=$W$7)),"x","")</f>
        <v/>
      </c>
      <c r="X3592" s="75" t="str">
        <f>IF(OR(TH!N4994=TH!$X$7,O3592=TH!$X$7),"x","")</f>
        <v/>
      </c>
      <c r="Y3592" s="75" t="str">
        <f>IF(AND(OR(N3592="131",O3592="131"),H3592='131-CT'!$H$9),"x","")</f>
        <v/>
      </c>
      <c r="Z3592" s="75"/>
      <c r="AA3592" s="75" t="str">
        <f>IF(AND(MONTH(E3592)='IN-NX'!$J$5,'IN-NX'!$D$7=D3592),"x","")</f>
        <v/>
      </c>
      <c r="AB3592" s="75" t="str">
        <f>IF(AND(OR(LEFT(TH!N4994,2)="15",LEFT(TH!O4994,2)="15"),LEFT(TH!O4994,3)&lt;&gt;"111",'152-CT'!$J$8=TH!F4994),"x","")</f>
        <v/>
      </c>
      <c r="AC3592" s="75" t="str">
        <f>IF(AND(OR(LEFT(TH!N4994,2)="15",LEFT(TH!O4994,2)="15"),TK!$E$7=TH!F4994),"x","")</f>
        <v/>
      </c>
      <c r="AD3592" s="75" t="str">
        <f>IF(AND(N3592="1521",MONTH(C3592)='BK-NL'!$M$11),"x","")</f>
        <v/>
      </c>
    </row>
    <row r="3593" spans="1:30" ht="16.5" customHeight="1">
      <c r="A3593" s="309" t="str">
        <f>IF(B3593&lt;&gt;"",IF(AND(B3593='IN-TC'!$S$4,OR(TH!N3593="1111",TH!O3593="1111")),TH!D3593,""),"")</f>
        <v/>
      </c>
      <c r="B3593" s="1131">
        <f t="shared" si="1295"/>
        <v>2</v>
      </c>
      <c r="C3593" s="292">
        <f t="shared" si="1297"/>
        <v>42773</v>
      </c>
      <c r="D3593" s="59" t="s">
        <v>902</v>
      </c>
      <c r="E3593" s="292">
        <v>42773</v>
      </c>
      <c r="F3593" s="62" t="s">
        <v>1020</v>
      </c>
      <c r="G3593" s="62" t="s">
        <v>747</v>
      </c>
      <c r="H3593" s="311" t="s">
        <v>835</v>
      </c>
      <c r="I3593" s="373"/>
      <c r="J3593" s="379"/>
      <c r="K3593" s="373"/>
      <c r="L3593" s="379"/>
      <c r="M3593" s="60">
        <v>820000</v>
      </c>
      <c r="N3593" s="928" t="s">
        <v>539</v>
      </c>
      <c r="O3593" s="61" t="s">
        <v>26</v>
      </c>
      <c r="P3593" s="75" t="str">
        <f>IF(AND('331-CT'!$E$7=TH!H4995,OR(N3593="331",O3593="331")),"x","")</f>
        <v/>
      </c>
      <c r="Q3593" s="75" t="str">
        <f>IF(AND(B3593='111'!$L$11,OR($N3593=$Q$7,$O3593=$Q$7)),"x","")</f>
        <v/>
      </c>
      <c r="R3593" s="75" t="str">
        <f>IF(AND($N3593=$Q$7,$B3593&lt;'111'!$L$11),"x","")</f>
        <v/>
      </c>
      <c r="S3593" s="75" t="str">
        <f>IF(AND($O3593=$Q$7,$B3593&lt;'111'!$L$11),"x","")</f>
        <v/>
      </c>
      <c r="T3593" s="75" t="str">
        <f>IF(ISERROR(FIND('112'!$M$9,G3593,1)),"",IF((AND(FIND('112'!$M$9,G3593,1)&gt;=1,B3593='112'!$K$9,OR($N3593='112'!$I$6,$O3593='112'!$I$6))),"x",""))</f>
        <v/>
      </c>
      <c r="U3593" s="75" t="str">
        <f>IF(ISERROR(FIND('112'!$M$9,G3593,1)),"",IF((AND(LEFT(G3593,2)=LEFT('112'!$M$9,2),B3593&lt;'112'!$K$9,$N3593='112'!$I$6)),"x",""))</f>
        <v/>
      </c>
      <c r="V3593" s="75" t="str">
        <f>IF(ISERROR(FIND('112'!$M$9,G3593,1)),"",IF((AND(RIGHT(G3593,2)=RIGHT('112'!$M$9,2),B3593&lt;'112'!$K$9,$O3593='112'!$I$6)),"x",""))</f>
        <v/>
      </c>
      <c r="W3593" s="75" t="str">
        <f>IF(AND('341-CT'!$H$9=H3593,OR(LEFT(N3593,3)=$W$7,LEFT(O3593,3)=$W$7)),"x","")</f>
        <v/>
      </c>
      <c r="X3593" s="75" t="str">
        <f>IF(OR(TH!N4995=TH!$X$7,O3593=TH!$X$7),"x","")</f>
        <v/>
      </c>
      <c r="Y3593" s="75" t="str">
        <f>IF(AND(OR(N3593="131",O3593="131"),H3593='131-CT'!$H$9),"x","")</f>
        <v/>
      </c>
      <c r="Z3593" s="75"/>
      <c r="AA3593" s="75" t="str">
        <f>IF(AND(MONTH(E3593)='IN-NX'!$J$5,'IN-NX'!$D$7=D3593),"x","")</f>
        <v/>
      </c>
      <c r="AB3593" s="75" t="str">
        <f>IF(AND(OR(LEFT(TH!N4995,2)="15",LEFT(TH!O4995,2)="15"),LEFT(TH!O4995,3)&lt;&gt;"111",'152-CT'!$J$8=TH!F4995),"x","")</f>
        <v/>
      </c>
      <c r="AC3593" s="75" t="str">
        <f>IF(AND(OR(LEFT(TH!N4995,2)="15",LEFT(TH!O4995,2)="15"),TK!$E$7=TH!F4995),"x","")</f>
        <v/>
      </c>
      <c r="AD3593" s="75" t="str">
        <f>IF(AND(N3593="1521",MONTH(C3593)='BK-NL'!$M$11),"x","")</f>
        <v/>
      </c>
    </row>
    <row r="3594" spans="1:30" ht="16.5" customHeight="1">
      <c r="A3594" s="309" t="str">
        <f>IF(B3594&lt;&gt;"",IF(AND(B3594='IN-TC'!$S$4,OR(TH!N3594="1111",TH!O3594="1111")),TH!D3594,""),"")</f>
        <v/>
      </c>
      <c r="B3594" s="1131">
        <f t="shared" si="1295"/>
        <v>2</v>
      </c>
      <c r="C3594" s="292">
        <f t="shared" si="1297"/>
        <v>42773</v>
      </c>
      <c r="D3594" s="59" t="s">
        <v>902</v>
      </c>
      <c r="E3594" s="292">
        <v>42773</v>
      </c>
      <c r="F3594" s="62" t="s">
        <v>870</v>
      </c>
      <c r="G3594" s="62" t="s">
        <v>747</v>
      </c>
      <c r="H3594" s="311" t="s">
        <v>835</v>
      </c>
      <c r="I3594" s="373"/>
      <c r="J3594" s="379"/>
      <c r="K3594" s="373"/>
      <c r="L3594" s="379"/>
      <c r="M3594" s="60">
        <v>10000</v>
      </c>
      <c r="N3594" s="928" t="s">
        <v>101</v>
      </c>
      <c r="O3594" s="61" t="s">
        <v>26</v>
      </c>
      <c r="P3594" s="75" t="str">
        <f>IF(AND('331-CT'!$E$7=TH!H4996,OR(N3594="331",O3594="331")),"x","")</f>
        <v/>
      </c>
      <c r="Q3594" s="75" t="str">
        <f>IF(AND(B3594='111'!$L$11,OR($N3594=$Q$7,$O3594=$Q$7)),"x","")</f>
        <v/>
      </c>
      <c r="R3594" s="75" t="str">
        <f>IF(AND($N3594=$Q$7,$B3594&lt;'111'!$L$11),"x","")</f>
        <v/>
      </c>
      <c r="S3594" s="75" t="str">
        <f>IF(AND($O3594=$Q$7,$B3594&lt;'111'!$L$11),"x","")</f>
        <v/>
      </c>
      <c r="T3594" s="75" t="str">
        <f>IF(ISERROR(FIND('112'!$M$9,G3594,1)),"",IF((AND(FIND('112'!$M$9,G3594,1)&gt;=1,B3594='112'!$K$9,OR($N3594='112'!$I$6,$O3594='112'!$I$6))),"x",""))</f>
        <v/>
      </c>
      <c r="U3594" s="75" t="str">
        <f>IF(ISERROR(FIND('112'!$M$9,G3594,1)),"",IF((AND(LEFT(G3594,2)=LEFT('112'!$M$9,2),B3594&lt;'112'!$K$9,$N3594='112'!$I$6)),"x",""))</f>
        <v/>
      </c>
      <c r="V3594" s="75" t="str">
        <f>IF(ISERROR(FIND('112'!$M$9,G3594,1)),"",IF((AND(RIGHT(G3594,2)=RIGHT('112'!$M$9,2),B3594&lt;'112'!$K$9,$O3594='112'!$I$6)),"x",""))</f>
        <v/>
      </c>
      <c r="W3594" s="75" t="str">
        <f>IF(AND('341-CT'!$H$9=H3594,OR(LEFT(N3594,3)=$W$7,LEFT(O3594,3)=$W$7)),"x","")</f>
        <v/>
      </c>
      <c r="X3594" s="75" t="str">
        <f>IF(OR(TH!N4996=TH!$X$7,O3594=TH!$X$7),"x","")</f>
        <v>x</v>
      </c>
      <c r="Y3594" s="75" t="str">
        <f>IF(AND(OR(N3594="131",O3594="131"),H3594='131-CT'!$H$9),"x","")</f>
        <v/>
      </c>
      <c r="Z3594" s="75"/>
      <c r="AA3594" s="75" t="str">
        <f>IF(AND(MONTH(E3594)='IN-NX'!$J$5,'IN-NX'!$D$7=D3594),"x","")</f>
        <v/>
      </c>
      <c r="AB3594" s="75" t="str">
        <f>IF(AND(OR(LEFT(TH!N4996,2)="15",LEFT(TH!O4996,2)="15"),LEFT(TH!O4996,3)&lt;&gt;"111",'152-CT'!$J$8=TH!F4996),"x","")</f>
        <v/>
      </c>
      <c r="AC3594" s="75" t="str">
        <f>IF(AND(OR(LEFT(TH!N4996,2)="15",LEFT(TH!O4996,2)="15"),TK!$E$7=TH!F4996),"x","")</f>
        <v/>
      </c>
      <c r="AD3594" s="75" t="str">
        <f>IF(AND(N3594="1521",MONTH(C3594)='BK-NL'!$M$11),"x","")</f>
        <v/>
      </c>
    </row>
    <row r="3595" spans="1:30" ht="16.5" customHeight="1">
      <c r="A3595" s="309" t="str">
        <f>IF(B3595&lt;&gt;"",IF(AND(B3595='IN-TC'!$S$4,OR(TH!N3595="1111",TH!O3595="1111")),TH!D3595,""),"")</f>
        <v/>
      </c>
      <c r="B3595" s="1131">
        <f t="shared" si="1295"/>
        <v>2</v>
      </c>
      <c r="C3595" s="292">
        <f t="shared" si="1297"/>
        <v>42773</v>
      </c>
      <c r="D3595" s="59" t="s">
        <v>902</v>
      </c>
      <c r="E3595" s="292">
        <v>42773</v>
      </c>
      <c r="F3595" s="62" t="s">
        <v>898</v>
      </c>
      <c r="G3595" s="62" t="s">
        <v>747</v>
      </c>
      <c r="H3595" s="311" t="s">
        <v>835</v>
      </c>
      <c r="I3595" s="373"/>
      <c r="J3595" s="379"/>
      <c r="K3595" s="373"/>
      <c r="L3595" s="379"/>
      <c r="M3595" s="60">
        <v>1000</v>
      </c>
      <c r="N3595" s="928" t="s">
        <v>9</v>
      </c>
      <c r="O3595" s="61" t="s">
        <v>26</v>
      </c>
      <c r="P3595" s="75" t="str">
        <f>IF(AND('331-CT'!$E$7=TH!H4997,OR(N3595="331",O3595="331")),"x","")</f>
        <v/>
      </c>
      <c r="Q3595" s="75" t="str">
        <f>IF(AND(B3595='111'!$L$11,OR($N3595=$Q$7,$O3595=$Q$7)),"x","")</f>
        <v/>
      </c>
      <c r="R3595" s="75" t="str">
        <f>IF(AND($N3595=$Q$7,$B3595&lt;'111'!$L$11),"x","")</f>
        <v/>
      </c>
      <c r="S3595" s="75" t="str">
        <f>IF(AND($O3595=$Q$7,$B3595&lt;'111'!$L$11),"x","")</f>
        <v/>
      </c>
      <c r="T3595" s="75" t="str">
        <f>IF(ISERROR(FIND('112'!$M$9,G3595,1)),"",IF((AND(FIND('112'!$M$9,G3595,1)&gt;=1,B3595='112'!$K$9,OR($N3595='112'!$I$6,$O3595='112'!$I$6))),"x",""))</f>
        <v/>
      </c>
      <c r="U3595" s="75" t="str">
        <f>IF(ISERROR(FIND('112'!$M$9,G3595,1)),"",IF((AND(LEFT(G3595,2)=LEFT('112'!$M$9,2),B3595&lt;'112'!$K$9,$N3595='112'!$I$6)),"x",""))</f>
        <v/>
      </c>
      <c r="V3595" s="75" t="str">
        <f>IF(ISERROR(FIND('112'!$M$9,G3595,1)),"",IF((AND(RIGHT(G3595,2)=RIGHT('112'!$M$9,2),B3595&lt;'112'!$K$9,$O3595='112'!$I$6)),"x",""))</f>
        <v/>
      </c>
      <c r="W3595" s="75" t="str">
        <f>IF(AND('341-CT'!$H$9=H3595,OR(LEFT(N3595,3)=$W$7,LEFT(O3595,3)=$W$7)),"x","")</f>
        <v/>
      </c>
      <c r="X3595" s="75" t="str">
        <f>IF(OR(TH!N4997=TH!$X$7,O3595=TH!$X$7),"x","")</f>
        <v>x</v>
      </c>
      <c r="Y3595" s="75" t="str">
        <f>IF(AND(OR(N3595="131",O3595="131"),H3595='131-CT'!$H$9),"x","")</f>
        <v/>
      </c>
      <c r="Z3595" s="75"/>
      <c r="AA3595" s="75" t="str">
        <f>IF(AND(MONTH(E3595)='IN-NX'!$J$5,'IN-NX'!$D$7=D3595),"x","")</f>
        <v/>
      </c>
      <c r="AB3595" s="75" t="str">
        <f>IF(AND(OR(LEFT(TH!N4997,2)="15",LEFT(TH!O4997,2)="15"),LEFT(TH!O4997,3)&lt;&gt;"111",'152-CT'!$J$8=TH!F4997),"x","")</f>
        <v/>
      </c>
      <c r="AC3595" s="75" t="str">
        <f>IF(AND(OR(LEFT(TH!N4997,2)="15",LEFT(TH!O4997,2)="15"),TK!$E$7=TH!F4997),"x","")</f>
        <v/>
      </c>
      <c r="AD3595" s="75" t="str">
        <f>IF(AND(N3595="1521",MONTH(C3595)='BK-NL'!$M$11),"x","")</f>
        <v/>
      </c>
    </row>
    <row r="3596" spans="1:30" ht="16.5" customHeight="1">
      <c r="A3596" s="309" t="str">
        <f>IF(B3596&lt;&gt;"",IF(AND(B3596='IN-TC'!$S$4,OR(TH!N3596="1111",TH!O3596="1111")),TH!D3596,""),"")</f>
        <v/>
      </c>
      <c r="B3596" s="1131">
        <f t="shared" si="1295"/>
        <v>2</v>
      </c>
      <c r="C3596" s="292">
        <f t="shared" si="1297"/>
        <v>42773</v>
      </c>
      <c r="D3596" s="59" t="s">
        <v>902</v>
      </c>
      <c r="E3596" s="292">
        <v>42773</v>
      </c>
      <c r="F3596" s="62" t="s">
        <v>1020</v>
      </c>
      <c r="G3596" s="62" t="s">
        <v>747</v>
      </c>
      <c r="H3596" s="311" t="s">
        <v>835</v>
      </c>
      <c r="I3596" s="373"/>
      <c r="J3596" s="379"/>
      <c r="K3596" s="373"/>
      <c r="L3596" s="379"/>
      <c r="M3596" s="60">
        <v>20000</v>
      </c>
      <c r="N3596" s="928" t="s">
        <v>539</v>
      </c>
      <c r="O3596" s="61" t="s">
        <v>26</v>
      </c>
      <c r="P3596" s="75" t="str">
        <f>IF(AND('331-CT'!$E$7=TH!H4998,OR(N3596="331",O3596="331")),"x","")</f>
        <v/>
      </c>
      <c r="Q3596" s="75" t="str">
        <f>IF(AND(B3596='111'!$L$11,OR($N3596=$Q$7,$O3596=$Q$7)),"x","")</f>
        <v/>
      </c>
      <c r="R3596" s="75" t="str">
        <f>IF(AND($N3596=$Q$7,$B3596&lt;'111'!$L$11),"x","")</f>
        <v/>
      </c>
      <c r="S3596" s="75" t="str">
        <f>IF(AND($O3596=$Q$7,$B3596&lt;'111'!$L$11),"x","")</f>
        <v/>
      </c>
      <c r="T3596" s="75" t="str">
        <f>IF(ISERROR(FIND('112'!$M$9,G3596,1)),"",IF((AND(FIND('112'!$M$9,G3596,1)&gt;=1,B3596='112'!$K$9,OR($N3596='112'!$I$6,$O3596='112'!$I$6))),"x",""))</f>
        <v/>
      </c>
      <c r="U3596" s="75" t="str">
        <f>IF(ISERROR(FIND('112'!$M$9,G3596,1)),"",IF((AND(LEFT(G3596,2)=LEFT('112'!$M$9,2),B3596&lt;'112'!$K$9,$N3596='112'!$I$6)),"x",""))</f>
        <v/>
      </c>
      <c r="V3596" s="75" t="str">
        <f>IF(ISERROR(FIND('112'!$M$9,G3596,1)),"",IF((AND(RIGHT(G3596,2)=RIGHT('112'!$M$9,2),B3596&lt;'112'!$K$9,$O3596='112'!$I$6)),"x",""))</f>
        <v/>
      </c>
      <c r="W3596" s="75" t="str">
        <f>IF(AND('341-CT'!$H$9=H3596,OR(LEFT(N3596,3)=$W$7,LEFT(O3596,3)=$W$7)),"x","")</f>
        <v/>
      </c>
      <c r="X3596" s="75" t="str">
        <f>IF(OR(TH!N4998=TH!$X$7,O3596=TH!$X$7),"x","")</f>
        <v/>
      </c>
      <c r="Y3596" s="75" t="str">
        <f>IF(AND(OR(N3596="131",O3596="131"),H3596='131-CT'!$H$9),"x","")</f>
        <v/>
      </c>
      <c r="Z3596" s="75"/>
      <c r="AA3596" s="75" t="str">
        <f>IF(AND(MONTH(E3596)='IN-NX'!$J$5,'IN-NX'!$D$7=D3596),"x","")</f>
        <v/>
      </c>
      <c r="AB3596" s="75" t="str">
        <f>IF(AND(OR(LEFT(TH!N4998,2)="15",LEFT(TH!O4998,2)="15"),LEFT(TH!O4998,3)&lt;&gt;"111",'152-CT'!$J$8=TH!F4998),"x","")</f>
        <v/>
      </c>
      <c r="AC3596" s="75" t="str">
        <f>IF(AND(OR(LEFT(TH!N4998,2)="15",LEFT(TH!O4998,2)="15"),TK!$E$7=TH!F4998),"x","")</f>
        <v/>
      </c>
      <c r="AD3596" s="75" t="str">
        <f>IF(AND(N3596="1521",MONTH(C3596)='BK-NL'!$M$11),"x","")</f>
        <v/>
      </c>
    </row>
    <row r="3597" spans="1:30" ht="16.5" customHeight="1">
      <c r="A3597" s="309" t="str">
        <f>IF(B3597&lt;&gt;"",IF(AND(B3597='IN-TC'!$S$4,OR(TH!N3597="1111",TH!O3597="1111")),TH!D3597,""),"")</f>
        <v/>
      </c>
      <c r="B3597" s="1131">
        <f t="shared" si="1295"/>
        <v>2</v>
      </c>
      <c r="C3597" s="292">
        <f t="shared" si="1297"/>
        <v>42773</v>
      </c>
      <c r="D3597" s="59" t="s">
        <v>902</v>
      </c>
      <c r="E3597" s="292">
        <v>42773</v>
      </c>
      <c r="F3597" s="62" t="s">
        <v>870</v>
      </c>
      <c r="G3597" s="62" t="s">
        <v>747</v>
      </c>
      <c r="H3597" s="311" t="s">
        <v>835</v>
      </c>
      <c r="I3597" s="373"/>
      <c r="J3597" s="379"/>
      <c r="K3597" s="373"/>
      <c r="L3597" s="379"/>
      <c r="M3597" s="60">
        <v>10000</v>
      </c>
      <c r="N3597" s="928" t="s">
        <v>101</v>
      </c>
      <c r="O3597" s="61" t="s">
        <v>26</v>
      </c>
      <c r="P3597" s="75" t="str">
        <f>IF(AND('331-CT'!$E$7=TH!H4999,OR(N3597="331",O3597="331")),"x","")</f>
        <v/>
      </c>
      <c r="Q3597" s="75" t="str">
        <f>IF(AND(B3597='111'!$L$11,OR($N3597=$Q$7,$O3597=$Q$7)),"x","")</f>
        <v/>
      </c>
      <c r="R3597" s="75" t="str">
        <f>IF(AND($N3597=$Q$7,$B3597&lt;'111'!$L$11),"x","")</f>
        <v/>
      </c>
      <c r="S3597" s="75" t="str">
        <f>IF(AND($O3597=$Q$7,$B3597&lt;'111'!$L$11),"x","")</f>
        <v/>
      </c>
      <c r="T3597" s="75" t="str">
        <f>IF(ISERROR(FIND('112'!$M$9,G3597,1)),"",IF((AND(FIND('112'!$M$9,G3597,1)&gt;=1,B3597='112'!$K$9,OR($N3597='112'!$I$6,$O3597='112'!$I$6))),"x",""))</f>
        <v/>
      </c>
      <c r="U3597" s="75" t="str">
        <f>IF(ISERROR(FIND('112'!$M$9,G3597,1)),"",IF((AND(LEFT(G3597,2)=LEFT('112'!$M$9,2),B3597&lt;'112'!$K$9,$N3597='112'!$I$6)),"x",""))</f>
        <v/>
      </c>
      <c r="V3597" s="75" t="str">
        <f>IF(ISERROR(FIND('112'!$M$9,G3597,1)),"",IF((AND(RIGHT(G3597,2)=RIGHT('112'!$M$9,2),B3597&lt;'112'!$K$9,$O3597='112'!$I$6)),"x",""))</f>
        <v/>
      </c>
      <c r="W3597" s="75" t="str">
        <f>IF(AND('341-CT'!$H$9=H3597,OR(LEFT(N3597,3)=$W$7,LEFT(O3597,3)=$W$7)),"x","")</f>
        <v/>
      </c>
      <c r="X3597" s="75" t="str">
        <f>IF(OR(TH!N4999=TH!$X$7,O3597=TH!$X$7),"x","")</f>
        <v/>
      </c>
      <c r="Y3597" s="75" t="str">
        <f>IF(AND(OR(N3597="131",O3597="131"),H3597='131-CT'!$H$9),"x","")</f>
        <v/>
      </c>
      <c r="Z3597" s="75"/>
      <c r="AA3597" s="75" t="str">
        <f>IF(AND(MONTH(E3597)='IN-NX'!$J$5,'IN-NX'!$D$7=D3597),"x","")</f>
        <v/>
      </c>
      <c r="AB3597" s="75" t="str">
        <f>IF(AND(OR(LEFT(TH!N4999,2)="15",LEFT(TH!O4999,2)="15"),LEFT(TH!O4999,3)&lt;&gt;"111",'152-CT'!$J$8=TH!F4999),"x","")</f>
        <v/>
      </c>
      <c r="AC3597" s="75" t="str">
        <f>IF(AND(OR(LEFT(TH!N4999,2)="15",LEFT(TH!O4999,2)="15"),TK!$E$7=TH!F4999),"x","")</f>
        <v/>
      </c>
      <c r="AD3597" s="75" t="str">
        <f>IF(AND(N3597="1521",MONTH(C3597)='BK-NL'!$M$11),"x","")</f>
        <v/>
      </c>
    </row>
    <row r="3598" spans="1:30" ht="16.5" customHeight="1">
      <c r="A3598" s="309" t="str">
        <f>IF(B3598&lt;&gt;"",IF(AND(B3598='IN-TC'!$S$4,OR(TH!N3598="1111",TH!O3598="1111")),TH!D3598,""),"")</f>
        <v/>
      </c>
      <c r="B3598" s="1131">
        <f t="shared" si="1295"/>
        <v>2</v>
      </c>
      <c r="C3598" s="292">
        <f t="shared" si="1297"/>
        <v>42773</v>
      </c>
      <c r="D3598" s="59" t="s">
        <v>902</v>
      </c>
      <c r="E3598" s="292">
        <v>42773</v>
      </c>
      <c r="F3598" s="62" t="s">
        <v>898</v>
      </c>
      <c r="G3598" s="62" t="s">
        <v>747</v>
      </c>
      <c r="H3598" s="311" t="s">
        <v>835</v>
      </c>
      <c r="I3598" s="373"/>
      <c r="J3598" s="379"/>
      <c r="K3598" s="373"/>
      <c r="L3598" s="379"/>
      <c r="M3598" s="60">
        <v>1000</v>
      </c>
      <c r="N3598" s="928" t="s">
        <v>9</v>
      </c>
      <c r="O3598" s="61" t="s">
        <v>26</v>
      </c>
      <c r="P3598" s="75" t="str">
        <f>IF(AND('331-CT'!$E$7=TH!H5000,OR(N3598="331",O3598="331")),"x","")</f>
        <v/>
      </c>
      <c r="Q3598" s="75" t="str">
        <f>IF(AND(B3598='111'!$L$11,OR($N3598=$Q$7,$O3598=$Q$7)),"x","")</f>
        <v/>
      </c>
      <c r="R3598" s="75" t="str">
        <f>IF(AND($N3598=$Q$7,$B3598&lt;'111'!$L$11),"x","")</f>
        <v/>
      </c>
      <c r="S3598" s="75" t="str">
        <f>IF(AND($O3598=$Q$7,$B3598&lt;'111'!$L$11),"x","")</f>
        <v/>
      </c>
      <c r="T3598" s="75" t="str">
        <f>IF(ISERROR(FIND('112'!$M$9,G3598,1)),"",IF((AND(FIND('112'!$M$9,G3598,1)&gt;=1,B3598='112'!$K$9,OR($N3598='112'!$I$6,$O3598='112'!$I$6))),"x",""))</f>
        <v/>
      </c>
      <c r="U3598" s="75" t="str">
        <f>IF(ISERROR(FIND('112'!$M$9,G3598,1)),"",IF((AND(LEFT(G3598,2)=LEFT('112'!$M$9,2),B3598&lt;'112'!$K$9,$N3598='112'!$I$6)),"x",""))</f>
        <v/>
      </c>
      <c r="V3598" s="75" t="str">
        <f>IF(ISERROR(FIND('112'!$M$9,G3598,1)),"",IF((AND(RIGHT(G3598,2)=RIGHT('112'!$M$9,2),B3598&lt;'112'!$K$9,$O3598='112'!$I$6)),"x",""))</f>
        <v/>
      </c>
      <c r="W3598" s="75" t="str">
        <f>IF(AND('341-CT'!$H$9=H3598,OR(LEFT(N3598,3)=$W$7,LEFT(O3598,3)=$W$7)),"x","")</f>
        <v/>
      </c>
      <c r="X3598" s="75" t="str">
        <f>IF(OR(TH!N5000=TH!$X$7,O3598=TH!$X$7),"x","")</f>
        <v/>
      </c>
      <c r="Y3598" s="75" t="str">
        <f>IF(AND(OR(N3598="131",O3598="131"),H3598='131-CT'!$H$9),"x","")</f>
        <v/>
      </c>
      <c r="Z3598" s="75"/>
      <c r="AA3598" s="75" t="str">
        <f>IF(AND(MONTH(E3598)='IN-NX'!$J$5,'IN-NX'!$D$7=D3598),"x","")</f>
        <v/>
      </c>
      <c r="AB3598" s="75" t="str">
        <f>IF(AND(OR(LEFT(TH!N5000,2)="15",LEFT(TH!O5000,2)="15"),LEFT(TH!O5000,3)&lt;&gt;"111",'152-CT'!$J$8=TH!F5000),"x","")</f>
        <v/>
      </c>
      <c r="AC3598" s="75" t="str">
        <f>IF(AND(OR(LEFT(TH!N5000,2)="15",LEFT(TH!O5000,2)="15"),TK!$E$7=TH!F5000),"x","")</f>
        <v/>
      </c>
      <c r="AD3598" s="75" t="str">
        <f>IF(AND(N3598="1521",MONTH(C3598)='BK-NL'!$M$11),"x","")</f>
        <v/>
      </c>
    </row>
    <row r="3599" spans="1:30" ht="16.5" customHeight="1">
      <c r="A3599" s="309" t="str">
        <f>IF(B3599&lt;&gt;"",IF(AND(B3599='IN-TC'!$S$4,OR(TH!N3599="1111",TH!O3599="1111")),TH!D3599,""),"")</f>
        <v/>
      </c>
      <c r="B3599" s="1131">
        <f t="shared" si="1295"/>
        <v>2</v>
      </c>
      <c r="C3599" s="292">
        <f t="shared" si="1297"/>
        <v>42774</v>
      </c>
      <c r="D3599" s="59" t="s">
        <v>902</v>
      </c>
      <c r="E3599" s="59">
        <v>42774</v>
      </c>
      <c r="F3599" s="62" t="s">
        <v>1021</v>
      </c>
      <c r="G3599" s="62" t="s">
        <v>747</v>
      </c>
      <c r="H3599" s="311" t="s">
        <v>835</v>
      </c>
      <c r="I3599" s="373"/>
      <c r="J3599" s="379"/>
      <c r="K3599" s="373"/>
      <c r="L3599" s="379"/>
      <c r="M3599" s="60">
        <v>1861474</v>
      </c>
      <c r="N3599" s="928" t="s">
        <v>101</v>
      </c>
      <c r="O3599" s="61" t="s">
        <v>26</v>
      </c>
      <c r="P3599" s="75" t="str">
        <f>IF(AND('331-CT'!$E$7=TH!H5001,OR(N3599="331",O3599="331")),"x","")</f>
        <v/>
      </c>
      <c r="Q3599" s="75" t="str">
        <f>IF(AND(B3599='111'!$L$11,OR($N3599=$Q$7,$O3599=$Q$7)),"x","")</f>
        <v/>
      </c>
      <c r="R3599" s="75" t="str">
        <f>IF(AND($N3599=$Q$7,$B3599&lt;'111'!$L$11),"x","")</f>
        <v/>
      </c>
      <c r="S3599" s="75" t="str">
        <f>IF(AND($O3599=$Q$7,$B3599&lt;'111'!$L$11),"x","")</f>
        <v/>
      </c>
      <c r="T3599" s="75" t="str">
        <f>IF(ISERROR(FIND('112'!$M$9,G3599,1)),"",IF((AND(FIND('112'!$M$9,G3599,1)&gt;=1,B3599='112'!$K$9,OR($N3599='112'!$I$6,$O3599='112'!$I$6))),"x",""))</f>
        <v/>
      </c>
      <c r="U3599" s="75" t="str">
        <f>IF(ISERROR(FIND('112'!$M$9,G3599,1)),"",IF((AND(LEFT(G3599,2)=LEFT('112'!$M$9,2),B3599&lt;'112'!$K$9,$N3599='112'!$I$6)),"x",""))</f>
        <v/>
      </c>
      <c r="V3599" s="75" t="str">
        <f>IF(ISERROR(FIND('112'!$M$9,G3599,1)),"",IF((AND(RIGHT(G3599,2)=RIGHT('112'!$M$9,2),B3599&lt;'112'!$K$9,$O3599='112'!$I$6)),"x",""))</f>
        <v/>
      </c>
      <c r="W3599" s="75" t="str">
        <f>IF(AND('341-CT'!$H$9=H3599,OR(LEFT(N3599,3)=$W$7,LEFT(O3599,3)=$W$7)),"x","")</f>
        <v/>
      </c>
      <c r="X3599" s="75" t="str">
        <f>IF(OR(TH!N5001=TH!$X$7,O3599=TH!$X$7),"x","")</f>
        <v/>
      </c>
      <c r="Y3599" s="75" t="str">
        <f>IF(AND(OR(N3599="131",O3599="131"),H3599='131-CT'!$H$9),"x","")</f>
        <v/>
      </c>
      <c r="Z3599" s="75"/>
      <c r="AA3599" s="75" t="str">
        <f>IF(AND(MONTH(E3599)='IN-NX'!$J$5,'IN-NX'!$D$7=D3599),"x","")</f>
        <v/>
      </c>
      <c r="AB3599" s="75" t="str">
        <f>IF(AND(OR(LEFT(TH!N5001,2)="15",LEFT(TH!O5001,2)="15"),LEFT(TH!O5001,3)&lt;&gt;"111",'152-CT'!$J$8=TH!F5001),"x","")</f>
        <v/>
      </c>
      <c r="AC3599" s="75" t="str">
        <f>IF(AND(OR(LEFT(TH!N5001,2)="15",LEFT(TH!O5001,2)="15"),TK!$E$7=TH!F5001),"x","")</f>
        <v/>
      </c>
      <c r="AD3599" s="75" t="str">
        <f>IF(AND(N3599="1521",MONTH(C3599)='BK-NL'!$M$11),"x","")</f>
        <v/>
      </c>
    </row>
    <row r="3600" spans="1:30" ht="16.5" customHeight="1">
      <c r="A3600" s="309" t="str">
        <f>IF(B3600&lt;&gt;"",IF(AND(B3600='IN-TC'!$S$4,OR(TH!N3600="1111",TH!O3600="1111")),TH!D3600,""),"")</f>
        <v/>
      </c>
      <c r="B3600" s="1131">
        <f t="shared" si="1295"/>
        <v>2</v>
      </c>
      <c r="C3600" s="292">
        <f t="shared" si="1297"/>
        <v>42774</v>
      </c>
      <c r="D3600" s="59" t="s">
        <v>902</v>
      </c>
      <c r="E3600" s="292">
        <v>42774</v>
      </c>
      <c r="F3600" s="62" t="s">
        <v>1022</v>
      </c>
      <c r="G3600" s="62" t="s">
        <v>747</v>
      </c>
      <c r="H3600" s="311" t="s">
        <v>835</v>
      </c>
      <c r="I3600" s="373"/>
      <c r="J3600" s="379"/>
      <c r="K3600" s="373"/>
      <c r="L3600" s="379"/>
      <c r="M3600" s="60">
        <v>2074780</v>
      </c>
      <c r="N3600" s="928" t="s">
        <v>101</v>
      </c>
      <c r="O3600" s="61" t="s">
        <v>26</v>
      </c>
      <c r="P3600" s="75" t="str">
        <f>IF(AND('331-CT'!$E$7=TH!H5002,OR(N3600="331",O3600="331")),"x","")</f>
        <v/>
      </c>
      <c r="Q3600" s="75" t="str">
        <f>IF(AND(B3600='111'!$L$11,OR($N3600=$Q$7,$O3600=$Q$7)),"x","")</f>
        <v/>
      </c>
      <c r="R3600" s="75" t="str">
        <f>IF(AND($N3600=$Q$7,$B3600&lt;'111'!$L$11),"x","")</f>
        <v/>
      </c>
      <c r="S3600" s="75" t="str">
        <f>IF(AND($O3600=$Q$7,$B3600&lt;'111'!$L$11),"x","")</f>
        <v/>
      </c>
      <c r="T3600" s="75" t="str">
        <f>IF(ISERROR(FIND('112'!$M$9,G3600,1)),"",IF((AND(FIND('112'!$M$9,G3600,1)&gt;=1,B3600='112'!$K$9,OR($N3600='112'!$I$6,$O3600='112'!$I$6))),"x",""))</f>
        <v/>
      </c>
      <c r="U3600" s="75" t="str">
        <f>IF(ISERROR(FIND('112'!$M$9,G3600,1)),"",IF((AND(LEFT(G3600,2)=LEFT('112'!$M$9,2),B3600&lt;'112'!$K$9,$N3600='112'!$I$6)),"x",""))</f>
        <v/>
      </c>
      <c r="V3600" s="75" t="str">
        <f>IF(ISERROR(FIND('112'!$M$9,G3600,1)),"",IF((AND(RIGHT(G3600,2)=RIGHT('112'!$M$9,2),B3600&lt;'112'!$K$9,$O3600='112'!$I$6)),"x",""))</f>
        <v/>
      </c>
      <c r="W3600" s="75" t="str">
        <f>IF(AND('341-CT'!$H$9=H3600,OR(LEFT(N3600,3)=$W$7,LEFT(O3600,3)=$W$7)),"x","")</f>
        <v/>
      </c>
      <c r="X3600" s="75" t="str">
        <f>IF(OR(TH!N5002=TH!$X$7,O3600=TH!$X$7),"x","")</f>
        <v/>
      </c>
      <c r="Y3600" s="75" t="str">
        <f>IF(AND(OR(N3600="131",O3600="131"),H3600='131-CT'!$H$9),"x","")</f>
        <v/>
      </c>
      <c r="Z3600" s="75"/>
      <c r="AA3600" s="75" t="str">
        <f>IF(AND(MONTH(E3600)='IN-NX'!$J$5,'IN-NX'!$D$7=D3600),"x","")</f>
        <v/>
      </c>
      <c r="AB3600" s="75" t="str">
        <f>IF(AND(OR(LEFT(TH!N5002,2)="15",LEFT(TH!O5002,2)="15"),LEFT(TH!O5002,3)&lt;&gt;"111",'152-CT'!$J$8=TH!F5002),"x","")</f>
        <v/>
      </c>
      <c r="AC3600" s="75" t="str">
        <f>IF(AND(OR(LEFT(TH!N5002,2)="15",LEFT(TH!O5002,2)="15"),TK!$E$7=TH!F5002),"x","")</f>
        <v/>
      </c>
      <c r="AD3600" s="75" t="str">
        <f>IF(AND(N3600="1521",MONTH(C3600)='BK-NL'!$M$11),"x","")</f>
        <v/>
      </c>
    </row>
    <row r="3601" spans="1:33" ht="16.5" customHeight="1">
      <c r="A3601" s="309" t="str">
        <f>IF(B3601&lt;&gt;"",IF(AND(B3601='IN-TC'!$S$4,OR(TH!N3601="1111",TH!O3601="1111")),TH!D3601,""),"")</f>
        <v/>
      </c>
      <c r="B3601" s="1131">
        <f t="shared" si="1295"/>
        <v>2</v>
      </c>
      <c r="C3601" s="292">
        <f t="shared" si="1297"/>
        <v>42774</v>
      </c>
      <c r="D3601" s="59" t="s">
        <v>902</v>
      </c>
      <c r="E3601" s="292">
        <v>42774</v>
      </c>
      <c r="F3601" s="62" t="s">
        <v>1059</v>
      </c>
      <c r="G3601" s="62" t="s">
        <v>747</v>
      </c>
      <c r="H3601" s="311" t="s">
        <v>835</v>
      </c>
      <c r="I3601" s="373"/>
      <c r="J3601" s="379"/>
      <c r="K3601" s="373"/>
      <c r="L3601" s="379"/>
      <c r="M3601" s="60">
        <v>207478</v>
      </c>
      <c r="N3601" s="928" t="s">
        <v>9</v>
      </c>
      <c r="O3601" s="61" t="s">
        <v>26</v>
      </c>
      <c r="P3601" s="75" t="str">
        <f>IF(AND('331-CT'!$E$7=TH!H5003,OR(N3601="331",O3601="331")),"x","")</f>
        <v/>
      </c>
      <c r="Q3601" s="75" t="str">
        <f>IF(AND(B3601='111'!$L$11,OR($N3601=$Q$7,$O3601=$Q$7)),"x","")</f>
        <v/>
      </c>
      <c r="R3601" s="75" t="str">
        <f>IF(AND($N3601=$Q$7,$B3601&lt;'111'!$L$11),"x","")</f>
        <v/>
      </c>
      <c r="S3601" s="75" t="str">
        <f>IF(AND($O3601=$Q$7,$B3601&lt;'111'!$L$11),"x","")</f>
        <v/>
      </c>
      <c r="T3601" s="75" t="str">
        <f>IF(ISERROR(FIND('112'!$M$9,G3601,1)),"",IF((AND(FIND('112'!$M$9,G3601,1)&gt;=1,B3601='112'!$K$9,OR($N3601='112'!$I$6,$O3601='112'!$I$6))),"x",""))</f>
        <v/>
      </c>
      <c r="U3601" s="75" t="str">
        <f>IF(ISERROR(FIND('112'!$M$9,G3601,1)),"",IF((AND(LEFT(G3601,2)=LEFT('112'!$M$9,2),B3601&lt;'112'!$K$9,$N3601='112'!$I$6)),"x",""))</f>
        <v/>
      </c>
      <c r="V3601" s="75" t="str">
        <f>IF(ISERROR(FIND('112'!$M$9,G3601,1)),"",IF((AND(RIGHT(G3601,2)=RIGHT('112'!$M$9,2),B3601&lt;'112'!$K$9,$O3601='112'!$I$6)),"x",""))</f>
        <v/>
      </c>
      <c r="W3601" s="75" t="str">
        <f>IF(AND('341-CT'!$H$9=H3601,OR(LEFT(N3601,3)=$W$7,LEFT(O3601,3)=$W$7)),"x","")</f>
        <v/>
      </c>
      <c r="X3601" s="75" t="str">
        <f>IF(OR(TH!N5003=TH!$X$7,O3601=TH!$X$7),"x","")</f>
        <v/>
      </c>
      <c r="Y3601" s="75" t="str">
        <f>IF(AND(OR(N3601="131",O3601="131"),H3601='131-CT'!$H$9),"x","")</f>
        <v/>
      </c>
      <c r="Z3601" s="75"/>
      <c r="AA3601" s="75" t="str">
        <f>IF(AND(MONTH(E3601)='IN-NX'!$J$5,'IN-NX'!$D$7=D3601),"x","")</f>
        <v/>
      </c>
      <c r="AB3601" s="75" t="str">
        <f>IF(AND(OR(LEFT(TH!N5003,2)="15",LEFT(TH!O5003,2)="15"),LEFT(TH!O5003,3)&lt;&gt;"111",'152-CT'!$J$8=TH!F5003),"x","")</f>
        <v/>
      </c>
      <c r="AC3601" s="75" t="str">
        <f>IF(AND(OR(LEFT(TH!N5003,2)="15",LEFT(TH!O5003,2)="15"),TK!$E$7=TH!F5003),"x","")</f>
        <v/>
      </c>
      <c r="AD3601" s="75" t="str">
        <f>IF(AND(N3601="1521",MONTH(C3601)='BK-NL'!$M$11),"x","")</f>
        <v/>
      </c>
    </row>
    <row r="3602" spans="1:33" ht="16.5" customHeight="1">
      <c r="A3602" s="309" t="str">
        <f>IF(B3602&lt;&gt;"",IF(AND(B3602='IN-TC'!$S$4,OR(TH!N3602="1111",TH!O3602="1111")),TH!D3602,""),"")</f>
        <v/>
      </c>
      <c r="B3602" s="1131">
        <f t="shared" si="1295"/>
        <v>2</v>
      </c>
      <c r="C3602" s="292">
        <f t="shared" si="1297"/>
        <v>42774</v>
      </c>
      <c r="D3602" s="59" t="s">
        <v>903</v>
      </c>
      <c r="E3602" s="59">
        <v>42774</v>
      </c>
      <c r="F3602" s="293" t="s">
        <v>252</v>
      </c>
      <c r="G3602" s="62" t="s">
        <v>747</v>
      </c>
      <c r="H3602" s="311" t="s">
        <v>1081</v>
      </c>
      <c r="I3602" s="373"/>
      <c r="J3602" s="379"/>
      <c r="K3602" s="373">
        <v>63000</v>
      </c>
      <c r="L3602" s="379">
        <v>22661</v>
      </c>
      <c r="M3602" s="927">
        <f>ROUND(L3602*K3602,0)</f>
        <v>1427643000</v>
      </c>
      <c r="N3602" s="61" t="s">
        <v>26</v>
      </c>
      <c r="O3602" s="61" t="s">
        <v>250</v>
      </c>
      <c r="P3602" s="75" t="str">
        <f>IF(AND('331-CT'!$E$7=TH!H5004,OR(N3602="331",O3602="331")),"x","")</f>
        <v/>
      </c>
      <c r="Q3602" s="75" t="str">
        <f>IF(AND(B3602='111'!$L$11,OR($N3602=$Q$7,$O3602=$Q$7)),"x","")</f>
        <v/>
      </c>
      <c r="R3602" s="75" t="str">
        <f>IF(AND($N3602=$Q$7,$B3602&lt;'111'!$L$11),"x","")</f>
        <v/>
      </c>
      <c r="S3602" s="75" t="str">
        <f>IF(AND($O3602=$Q$7,$B3602&lt;'111'!$L$11),"x","")</f>
        <v/>
      </c>
      <c r="T3602" s="75" t="str">
        <f>IF(ISERROR(FIND('112'!$M$9,G3602,1)),"",IF((AND(FIND('112'!$M$9,G3602,1)&gt;=1,B3602='112'!$K$9,OR($N3602='112'!$I$6,$O3602='112'!$I$6))),"x",""))</f>
        <v/>
      </c>
      <c r="U3602" s="75" t="str">
        <f>IF(ISERROR(FIND('112'!$M$9,G3602,1)),"",IF((AND(LEFT(G3602,2)=LEFT('112'!$M$9,2),B3602&lt;'112'!$K$9,$N3602='112'!$I$6)),"x",""))</f>
        <v/>
      </c>
      <c r="V3602" s="75" t="str">
        <f>IF(ISERROR(FIND('112'!$M$9,G3602,1)),"",IF((AND(RIGHT(G3602,2)=RIGHT('112'!$M$9,2),B3602&lt;'112'!$K$9,$O3602='112'!$I$6)),"x",""))</f>
        <v/>
      </c>
      <c r="W3602" s="75" t="str">
        <f>IF(AND('341-CT'!$H$9=H3602,OR(LEFT(N3602,3)=$W$7,LEFT(O3602,3)=$W$7)),"x","")</f>
        <v/>
      </c>
      <c r="X3602" s="75" t="str">
        <f>IF(OR(TH!N5004=TH!$X$7,O3602=TH!$X$7),"x","")</f>
        <v/>
      </c>
      <c r="Y3602" s="75" t="str">
        <f>IF(AND(OR(N3602="131",O3602="131"),H3602='131-CT'!$H$9),"x","")</f>
        <v/>
      </c>
      <c r="Z3602" s="75"/>
      <c r="AA3602" s="75" t="str">
        <f>IF(AND(MONTH(E3602)='IN-NX'!$J$5,'IN-NX'!$D$7=D3602),"x","")</f>
        <v/>
      </c>
      <c r="AB3602" s="75" t="str">
        <f>IF(AND(OR(LEFT(TH!N5004,2)="15",LEFT(TH!O5004,2)="15"),LEFT(TH!O5004,3)&lt;&gt;"111",'152-CT'!$J$8=TH!F5004),"x","")</f>
        <v/>
      </c>
      <c r="AC3602" s="75" t="str">
        <f>IF(AND(OR(LEFT(TH!N5004,2)="15",LEFT(TH!O5004,2)="15"),TK!$E$7=TH!F5004),"x","")</f>
        <v/>
      </c>
      <c r="AD3602" s="75" t="str">
        <f>IF(AND(N3602="1521",MONTH(C3602)='BK-NL'!$M$11),"x","")</f>
        <v/>
      </c>
    </row>
    <row r="3603" spans="1:33" ht="16.5" customHeight="1">
      <c r="A3603" s="309" t="str">
        <f>IF(B3603&lt;&gt;"",IF(AND(B3603='IN-TC'!$S$4,OR(TH!N3603="1111",TH!O3603="1111")),TH!D3603,""),"")</f>
        <v/>
      </c>
      <c r="B3603" s="1131">
        <f t="shared" ref="B3603:B3666" si="1298">IF(C3603&lt;&gt;"",MONTH(C3603),"")</f>
        <v>2</v>
      </c>
      <c r="C3603" s="292">
        <f t="shared" si="1297"/>
        <v>42775</v>
      </c>
      <c r="D3603" s="292" t="s">
        <v>833</v>
      </c>
      <c r="E3603" s="292">
        <v>42775</v>
      </c>
      <c r="F3603" s="67" t="s">
        <v>834</v>
      </c>
      <c r="G3603" s="943" t="s">
        <v>585</v>
      </c>
      <c r="H3603" s="67" t="s">
        <v>1023</v>
      </c>
      <c r="I3603" s="373"/>
      <c r="J3603" s="926"/>
      <c r="K3603" s="373"/>
      <c r="L3603" s="379"/>
      <c r="M3603" s="927">
        <v>1186000000</v>
      </c>
      <c r="N3603" s="295" t="s">
        <v>63</v>
      </c>
      <c r="O3603" s="295" t="s">
        <v>26</v>
      </c>
      <c r="P3603" s="75" t="str">
        <f>IF(AND('331-CT'!$E$7=TH!H4646,OR(N3603="331",O3603="331")),"x","")</f>
        <v/>
      </c>
      <c r="Q3603" s="75" t="str">
        <f>IF(AND(B3603='111'!$L$11,OR($N3603=$Q$7,$O3603=$Q$7)),"x","")</f>
        <v/>
      </c>
      <c r="R3603" s="75" t="str">
        <f>IF(AND($N3603=$Q$7,$B3603&lt;'111'!$L$11),"x","")</f>
        <v>x</v>
      </c>
      <c r="S3603" s="75" t="str">
        <f>IF(AND($O3603=$Q$7,$B3603&lt;'111'!$L$11),"x","")</f>
        <v/>
      </c>
      <c r="T3603" s="75" t="str">
        <f>IF(ISERROR(FIND('112'!$M$9,G3603,1)),"",IF((AND(FIND('112'!$M$9,G3603,1)&gt;=1,B3603='112'!$K$9,OR($N3603='112'!$I$6,$O3603='112'!$I$6))),"x",""))</f>
        <v/>
      </c>
      <c r="U3603" s="75" t="str">
        <f>IF(ISERROR(FIND('112'!$M$9,G3603,1)),"",IF((AND(LEFT(G3603,2)=LEFT('112'!$M$9,2),B3603&lt;'112'!$K$9,$N3603='112'!$I$6)),"x",""))</f>
        <v/>
      </c>
      <c r="V3603" s="75" t="str">
        <f>IF(ISERROR(FIND('112'!$M$9,G3603,1)),"",IF((AND(RIGHT(G3603,2)=RIGHT('112'!$M$9,2),B3603&lt;'112'!$K$9,$O3603='112'!$I$6)),"x",""))</f>
        <v/>
      </c>
      <c r="W3603" s="75" t="str">
        <f>IF(AND('341-CT'!$H$9=H3603,OR(LEFT(N3603,3)=$W$7,LEFT(O3603,3)=$W$7)),"x","")</f>
        <v/>
      </c>
      <c r="X3603" s="75" t="str">
        <f>IF(OR(TH!N4646=TH!$X$7,O3603=TH!$X$7),"x","")</f>
        <v/>
      </c>
      <c r="Y3603" s="75" t="str">
        <f>IF(AND(OR(N3603="131",O3603="131"),H3603='131-CT'!$H$9),"x","")</f>
        <v/>
      </c>
      <c r="Z3603" s="75"/>
      <c r="AA3603" s="75" t="str">
        <f>IF(AND(MONTH(E3603)='IN-NX'!$J$5,'IN-NX'!$D$7=D3603),"x","")</f>
        <v/>
      </c>
      <c r="AB3603" s="75" t="str">
        <f>IF(AND(OR(LEFT(TH!N4646,2)="15",LEFT(TH!O4646,2)="15"),LEFT(TH!O4646,3)&lt;&gt;"111",'152-CT'!$J$8=TH!F4646),"x","")</f>
        <v/>
      </c>
      <c r="AC3603" s="75" t="str">
        <f>IF(AND(OR(LEFT(TH!N4646,2)="15",LEFT(TH!O4646,2)="15"),TK!$E$7=TH!F4646),"x","")</f>
        <v/>
      </c>
      <c r="AD3603" s="75" t="str">
        <f>IF(AND(N3603="1521",MONTH(C3603)='BK-NL'!$M$11),"x","")</f>
        <v/>
      </c>
    </row>
    <row r="3604" spans="1:33" ht="16.5" customHeight="1">
      <c r="A3604" s="309" t="str">
        <f>IF(B3604&lt;&gt;"",IF(AND(B3604='IN-TC'!$S$4,OR(TH!N3604="1111",TH!O3604="1111")),TH!D3604,""),"")</f>
        <v/>
      </c>
      <c r="B3604" s="1131">
        <f t="shared" si="1298"/>
        <v>2</v>
      </c>
      <c r="C3604" s="292">
        <f t="shared" si="1297"/>
        <v>42775</v>
      </c>
      <c r="D3604" s="292" t="s">
        <v>843</v>
      </c>
      <c r="E3604" s="292">
        <v>42775</v>
      </c>
      <c r="F3604" s="293" t="s">
        <v>834</v>
      </c>
      <c r="G3604" s="943" t="s">
        <v>747</v>
      </c>
      <c r="H3604" s="67" t="s">
        <v>1023</v>
      </c>
      <c r="I3604" s="373"/>
      <c r="J3604" s="926"/>
      <c r="K3604" s="373"/>
      <c r="L3604" s="379"/>
      <c r="M3604" s="927">
        <v>2540000000</v>
      </c>
      <c r="N3604" s="295" t="s">
        <v>63</v>
      </c>
      <c r="O3604" s="295" t="s">
        <v>26</v>
      </c>
      <c r="P3604" s="75" t="str">
        <f>IF(AND('331-CT'!$E$7=TH!H5005,OR(N3604="331",O3604="331")),"x","")</f>
        <v/>
      </c>
      <c r="Q3604" s="75" t="str">
        <f>IF(AND(B3604='111'!$L$11,OR($N3604=$Q$7,$O3604=$Q$7)),"x","")</f>
        <v/>
      </c>
      <c r="R3604" s="75" t="str">
        <f>IF(AND($N3604=$Q$7,$B3604&lt;'111'!$L$11),"x","")</f>
        <v>x</v>
      </c>
      <c r="S3604" s="75" t="str">
        <f>IF(AND($O3604=$Q$7,$B3604&lt;'111'!$L$11),"x","")</f>
        <v/>
      </c>
      <c r="T3604" s="75" t="str">
        <f>IF(ISERROR(FIND('112'!$M$9,G3604,1)),"",IF((AND(FIND('112'!$M$9,G3604,1)&gt;=1,B3604='112'!$K$9,OR($N3604='112'!$I$6,$O3604='112'!$I$6))),"x",""))</f>
        <v/>
      </c>
      <c r="U3604" s="75" t="str">
        <f>IF(ISERROR(FIND('112'!$M$9,G3604,1)),"",IF((AND(LEFT(G3604,2)=LEFT('112'!$M$9,2),B3604&lt;'112'!$K$9,$N3604='112'!$I$6)),"x",""))</f>
        <v/>
      </c>
      <c r="V3604" s="75" t="str">
        <f>IF(ISERROR(FIND('112'!$M$9,G3604,1)),"",IF((AND(RIGHT(G3604,2)=RIGHT('112'!$M$9,2),B3604&lt;'112'!$K$9,$O3604='112'!$I$6)),"x",""))</f>
        <v/>
      </c>
      <c r="W3604" s="75" t="str">
        <f>IF(AND('341-CT'!$H$9=H3604,OR(LEFT(N3604,3)=$W$7,LEFT(O3604,3)=$W$7)),"x","")</f>
        <v/>
      </c>
      <c r="X3604" s="75" t="str">
        <f>IF(OR(TH!N5005=TH!$X$7,O3604=TH!$X$7),"x","")</f>
        <v/>
      </c>
      <c r="Y3604" s="75" t="str">
        <f>IF(AND(OR(N3604="131",O3604="131"),H3604='131-CT'!$H$9),"x","")</f>
        <v/>
      </c>
      <c r="Z3604" s="75"/>
      <c r="AA3604" s="75" t="str">
        <f>IF(AND(MONTH(E3604)='IN-NX'!$J$5,'IN-NX'!$D$7=D3604),"x","")</f>
        <v/>
      </c>
      <c r="AB3604" s="75" t="str">
        <f>IF(AND(OR(LEFT(TH!N5005,2)="15",LEFT(TH!O5005,2)="15"),LEFT(TH!O5005,3)&lt;&gt;"111",'152-CT'!$J$8=TH!F5005),"x","")</f>
        <v/>
      </c>
      <c r="AC3604" s="75" t="str">
        <f>IF(AND(OR(LEFT(TH!N5005,2)="15",LEFT(TH!O5005,2)="15"),TK!$E$7=TH!F5005),"x","")</f>
        <v/>
      </c>
      <c r="AD3604" s="75" t="str">
        <f>IF(AND(N3604="1521",MONTH(C3604)='BK-NL'!$M$11),"x","")</f>
        <v/>
      </c>
    </row>
    <row r="3605" spans="1:33" ht="16.5" customHeight="1">
      <c r="A3605" s="309" t="str">
        <f>IF(B3605&lt;&gt;"",IF(AND(B3605='IN-TC'!$S$4,OR(TH!N3605="1111",TH!O3605="1111")),TH!D3605,""),"")</f>
        <v/>
      </c>
      <c r="B3605" s="1131">
        <f t="shared" si="1298"/>
        <v>2</v>
      </c>
      <c r="C3605" s="292">
        <f t="shared" si="1297"/>
        <v>42775</v>
      </c>
      <c r="D3605" s="292" t="s">
        <v>844</v>
      </c>
      <c r="E3605" s="292">
        <v>42775</v>
      </c>
      <c r="F3605" s="293" t="s">
        <v>1086</v>
      </c>
      <c r="G3605" s="943"/>
      <c r="H3605" s="67" t="s">
        <v>1101</v>
      </c>
      <c r="I3605" s="373"/>
      <c r="J3605" s="926"/>
      <c r="K3605" s="373"/>
      <c r="L3605" s="379"/>
      <c r="M3605" s="927">
        <v>1760000</v>
      </c>
      <c r="N3605" s="295" t="s">
        <v>63</v>
      </c>
      <c r="O3605" s="295" t="s">
        <v>536</v>
      </c>
      <c r="P3605" s="75" t="str">
        <f>IF(AND('331-CT'!$E$7=TH!H3468,OR(N3605="331",O3605="331")),"x","")</f>
        <v/>
      </c>
      <c r="Q3605" s="75" t="str">
        <f>IF(AND(B3605='111'!$L$11,OR($N3605=$Q$7,$O3605=$Q$7)),"x","")</f>
        <v/>
      </c>
      <c r="R3605" s="75" t="str">
        <f>IF(AND($N3605=$Q$7,$B3605&lt;'111'!$L$11),"x","")</f>
        <v>x</v>
      </c>
      <c r="S3605" s="75" t="str">
        <f>IF(AND($O3605=$Q$7,$B3605&lt;'111'!$L$11),"x","")</f>
        <v/>
      </c>
      <c r="T3605" s="75" t="str">
        <f>IF(ISERROR(FIND('112'!$M$9,G3605,1)),"",IF((AND(FIND('112'!$M$9,G3605,1)&gt;=1,B3605='112'!$K$9,OR($N3605='112'!$I$6,$O3605='112'!$I$6))),"x",""))</f>
        <v/>
      </c>
      <c r="U3605" s="75" t="str">
        <f>IF(ISERROR(FIND('112'!$M$9,G3605,1)),"",IF((AND(LEFT(G3605,2)=LEFT('112'!$M$9,2),B3605&lt;'112'!$K$9,$N3605='112'!$I$6)),"x",""))</f>
        <v/>
      </c>
      <c r="V3605" s="75" t="str">
        <f>IF(ISERROR(FIND('112'!$M$9,G3605,1)),"",IF((AND(RIGHT(G3605,2)=RIGHT('112'!$M$9,2),B3605&lt;'112'!$K$9,$O3605='112'!$I$6)),"x",""))</f>
        <v/>
      </c>
      <c r="W3605" s="75" t="str">
        <f>IF(AND('341-CT'!$H$9=H3605,OR(LEFT(N3605,3)=$W$7,LEFT(O3605,3)=$W$7)),"x","")</f>
        <v/>
      </c>
      <c r="X3605" s="75" t="str">
        <f>IF(OR(TH!N3468=TH!$X$7,O3605=TH!$X$7),"x","")</f>
        <v/>
      </c>
      <c r="Y3605" s="75" t="str">
        <f>IF(AND(OR(N3605="131",O3605="131"),H3605='131-CT'!$H$9),"x","")</f>
        <v/>
      </c>
      <c r="Z3605" s="75"/>
      <c r="AA3605" s="75" t="str">
        <f>IF(AND(MONTH(E3605)='IN-NX'!$J$5,'IN-NX'!$D$7=D3605),"x","")</f>
        <v/>
      </c>
      <c r="AB3605" s="75" t="str">
        <f>IF(AND(OR(LEFT(TH!N3468,2)="15",LEFT(TH!O3468,2)="15"),LEFT(TH!O3468,3)&lt;&gt;"111",'152-CT'!$J$8=TH!F3468),"x","")</f>
        <v/>
      </c>
      <c r="AC3605" s="75" t="str">
        <f>IF(AND(OR(LEFT(TH!N3468,2)="15",LEFT(TH!O3468,2)="15"),TK!$E$7=TH!F3468),"x","")</f>
        <v/>
      </c>
      <c r="AD3605" s="75" t="str">
        <f>IF(AND(N3605="1521",MONTH(C3605)='BK-NL'!$M$11),"x","")</f>
        <v/>
      </c>
    </row>
    <row r="3606" spans="1:33" ht="16.5" customHeight="1">
      <c r="A3606" s="309" t="str">
        <f>IF(B3606&lt;&gt;"",IF(AND(B3606='IN-TC'!$S$4,OR(TH!N3606="1111",TH!O3606="1111")),TH!D3606,""),"")</f>
        <v/>
      </c>
      <c r="B3606" s="1294">
        <f t="shared" si="1298"/>
        <v>2</v>
      </c>
      <c r="C3606" s="292">
        <f t="shared" si="1297"/>
        <v>42775</v>
      </c>
      <c r="D3606" s="947" t="s">
        <v>1926</v>
      </c>
      <c r="E3606" s="947">
        <v>42775</v>
      </c>
      <c r="F3606" s="1336" t="s">
        <v>1881</v>
      </c>
      <c r="G3606" s="952"/>
      <c r="H3606" s="946" t="s">
        <v>1889</v>
      </c>
      <c r="I3606" s="939"/>
      <c r="J3606" s="949"/>
      <c r="K3606" s="939"/>
      <c r="L3606" s="938"/>
      <c r="M3606" s="940">
        <v>1680600000</v>
      </c>
      <c r="N3606" s="950" t="s">
        <v>8</v>
      </c>
      <c r="O3606" s="950" t="s">
        <v>63</v>
      </c>
      <c r="P3606" s="1295" t="str">
        <f>IF(AND('331-CT'!$E$7=TH!H4193,OR(N3606="331",O3606="331")),"x","")</f>
        <v/>
      </c>
      <c r="Q3606" s="1295" t="str">
        <f>IF(AND(B3606='111'!$L$11,OR($N3606=$Q$7,$O3606=$Q$7)),"x","")</f>
        <v/>
      </c>
      <c r="R3606" s="1295" t="str">
        <f>IF(AND($N3606=$Q$7,$B3606&lt;'111'!$L$11),"x","")</f>
        <v/>
      </c>
      <c r="S3606" s="1295" t="str">
        <f>IF(AND($O3606=$Q$7,$B3606&lt;'111'!$L$11),"x","")</f>
        <v>x</v>
      </c>
      <c r="T3606" s="1295" t="str">
        <f>IF(ISERROR(FIND('112'!$M$9,G3606,1)),"",IF((AND(FIND('112'!$M$9,G3606,1)&gt;=1,B3606='112'!$K$9,OR($N3606='112'!$I$6,$O3606='112'!$I$6))),"x",""))</f>
        <v/>
      </c>
      <c r="U3606" s="1295" t="str">
        <f>IF(ISERROR(FIND('112'!$M$9,G3606,1)),"",IF((AND(LEFT(G3606,2)=LEFT('112'!$M$9,2),B3606&lt;'112'!$K$9,$N3606='112'!$I$6)),"x",""))</f>
        <v/>
      </c>
      <c r="V3606" s="1295" t="str">
        <f>IF(ISERROR(FIND('112'!$M$9,G3606,1)),"",IF((AND(RIGHT(G3606,2)=RIGHT('112'!$M$9,2),B3606&lt;'112'!$K$9,$O3606='112'!$I$6)),"x",""))</f>
        <v/>
      </c>
      <c r="W3606" s="1295" t="str">
        <f>IF(AND('341-CT'!$H$9=H3606,OR(LEFT(N3606,3)=$W$7,LEFT(O3606,3)=$W$7)),"x","")</f>
        <v/>
      </c>
      <c r="X3606" s="1295" t="str">
        <f>IF(OR(TH!N4193=TH!$X$7,O3606=TH!$X$7),"x","")</f>
        <v/>
      </c>
      <c r="Y3606" s="1295" t="str">
        <f>IF(AND(OR(N3606="131",O3606="131"),H3606='131-CT'!$H$9),"x","")</f>
        <v/>
      </c>
      <c r="Z3606" s="1295"/>
      <c r="AA3606" s="1295" t="str">
        <f>IF(AND(MONTH(E3606)='IN-NX'!$J$5,'IN-NX'!$D$7=D3606),"x","")</f>
        <v/>
      </c>
      <c r="AB3606" s="1295" t="str">
        <f>IF(AND(OR(LEFT(TH!N4193,2)="15",LEFT(TH!O4193,2)="15"),LEFT(TH!O4193,3)&lt;&gt;"111",'152-CT'!$J$8=TH!F4193),"x","")</f>
        <v/>
      </c>
      <c r="AC3606" s="1295" t="str">
        <f>IF(AND(OR(LEFT(TH!N4193,2)="15",LEFT(TH!O4193,2)="15"),TK!$E$7=TH!F4193),"x","")</f>
        <v/>
      </c>
      <c r="AD3606" s="1295" t="str">
        <f>IF(AND(N3606="1521",MONTH(C3606)='BK-NL'!$M$11),"x","")</f>
        <v/>
      </c>
      <c r="AE3606" s="1054"/>
      <c r="AF3606" s="1054"/>
      <c r="AG3606" s="1054"/>
    </row>
    <row r="3607" spans="1:33" ht="16.5" customHeight="1">
      <c r="A3607" s="309" t="str">
        <f>IF(B3607&lt;&gt;"",IF(AND(B3607='IN-TC'!$S$4,OR(TH!N3607="1111",TH!O3607="1111")),TH!D3607,""),"")</f>
        <v/>
      </c>
      <c r="B3607" s="1131">
        <f t="shared" si="1298"/>
        <v>2</v>
      </c>
      <c r="C3607" s="292">
        <f t="shared" si="1297"/>
        <v>42775</v>
      </c>
      <c r="D3607" s="292" t="s">
        <v>1926</v>
      </c>
      <c r="E3607" s="292">
        <v>42775</v>
      </c>
      <c r="F3607" s="1010" t="s">
        <v>1883</v>
      </c>
      <c r="G3607" s="925"/>
      <c r="H3607" s="311"/>
      <c r="I3607" s="373"/>
      <c r="J3607" s="926"/>
      <c r="K3607" s="373"/>
      <c r="L3607" s="379"/>
      <c r="M3607" s="927">
        <v>1000000</v>
      </c>
      <c r="N3607" s="295" t="s">
        <v>101</v>
      </c>
      <c r="O3607" s="295" t="s">
        <v>63</v>
      </c>
      <c r="P3607" s="75" t="str">
        <f>IF(AND('331-CT'!$E$7=TH!H4194,OR(N3607="331",O3607="331")),"x","")</f>
        <v/>
      </c>
      <c r="Q3607" s="75" t="str">
        <f>IF(AND(B3607='111'!$L$11,OR($N3607=$Q$7,$O3607=$Q$7)),"x","")</f>
        <v/>
      </c>
      <c r="R3607" s="75" t="str">
        <f>IF(AND($N3607=$Q$7,$B3607&lt;'111'!$L$11),"x","")</f>
        <v/>
      </c>
      <c r="S3607" s="75" t="str">
        <f>IF(AND($O3607=$Q$7,$B3607&lt;'111'!$L$11),"x","")</f>
        <v>x</v>
      </c>
      <c r="T3607" s="75" t="str">
        <f>IF(ISERROR(FIND('112'!$M$9,G3607,1)),"",IF((AND(FIND('112'!$M$9,G3607,1)&gt;=1,B3607='112'!$K$9,OR($N3607='112'!$I$6,$O3607='112'!$I$6))),"x",""))</f>
        <v/>
      </c>
      <c r="U3607" s="75" t="str">
        <f>IF(ISERROR(FIND('112'!$M$9,G3607,1)),"",IF((AND(LEFT(G3607,2)=LEFT('112'!$M$9,2),B3607&lt;'112'!$K$9,$N3607='112'!$I$6)),"x",""))</f>
        <v/>
      </c>
      <c r="V3607" s="75" t="str">
        <f>IF(ISERROR(FIND('112'!$M$9,G3607,1)),"",IF((AND(RIGHT(G3607,2)=RIGHT('112'!$M$9,2),B3607&lt;'112'!$K$9,$O3607='112'!$I$6)),"x",""))</f>
        <v/>
      </c>
      <c r="W3607" s="75" t="str">
        <f>IF(AND('341-CT'!$H$9=H3607,OR(LEFT(N3607,3)=$W$7,LEFT(O3607,3)=$W$7)),"x","")</f>
        <v/>
      </c>
      <c r="X3607" s="75" t="str">
        <f>IF(OR(TH!N4194=TH!$X$7,O3607=TH!$X$7),"x","")</f>
        <v/>
      </c>
      <c r="Y3607" s="75" t="str">
        <f>IF(AND(OR(N3607="131",O3607="131"),H3607='131-CT'!$H$9),"x","")</f>
        <v/>
      </c>
      <c r="Z3607" s="75"/>
      <c r="AA3607" s="75" t="str">
        <f>IF(AND(MONTH(E3607)='IN-NX'!$J$5,'IN-NX'!$D$7=D3607),"x","")</f>
        <v/>
      </c>
      <c r="AB3607" s="75" t="str">
        <f>IF(AND(OR(LEFT(TH!N4194,2)="15",LEFT(TH!O4194,2)="15"),LEFT(TH!O4194,3)&lt;&gt;"111",'152-CT'!$J$8=TH!F4194),"x","")</f>
        <v/>
      </c>
      <c r="AC3607" s="75" t="str">
        <f>IF(AND(OR(LEFT(TH!N4194,2)="15",LEFT(TH!O4194,2)="15"),TK!$E$7=TH!F4194),"x","")</f>
        <v/>
      </c>
      <c r="AD3607" s="75" t="str">
        <f>IF(AND(N3607="1521",MONTH(C3607)='BK-NL'!$M$11),"x","")</f>
        <v/>
      </c>
      <c r="AE3607">
        <v>9</v>
      </c>
    </row>
    <row r="3608" spans="1:33" ht="16.5" customHeight="1">
      <c r="A3608" s="309" t="str">
        <f>IF(B3608&lt;&gt;"",IF(AND(B3608='IN-TC'!$S$4,OR(TH!N3608="1111",TH!O3608="1111")),TH!D3608,""),"")</f>
        <v/>
      </c>
      <c r="B3608" s="1131">
        <f t="shared" si="1298"/>
        <v>2</v>
      </c>
      <c r="C3608" s="292">
        <f t="shared" si="1297"/>
        <v>42775</v>
      </c>
      <c r="D3608" s="292" t="s">
        <v>1926</v>
      </c>
      <c r="E3608" s="292">
        <v>42775</v>
      </c>
      <c r="F3608" s="1010" t="s">
        <v>1895</v>
      </c>
      <c r="G3608" s="925"/>
      <c r="H3608" s="311"/>
      <c r="I3608" s="373"/>
      <c r="J3608" s="926"/>
      <c r="K3608" s="373"/>
      <c r="L3608" s="379"/>
      <c r="M3608" s="927">
        <v>100000</v>
      </c>
      <c r="N3608" s="295" t="s">
        <v>9</v>
      </c>
      <c r="O3608" s="295" t="s">
        <v>63</v>
      </c>
      <c r="P3608" s="75" t="str">
        <f>IF(AND('331-CT'!$E$7=TH!H4195,OR(N3608="331",O3608="331")),"x","")</f>
        <v/>
      </c>
      <c r="Q3608" s="75" t="str">
        <f>IF(AND(B3608='111'!$L$11,OR($N3608=$Q$7,$O3608=$Q$7)),"x","")</f>
        <v/>
      </c>
      <c r="R3608" s="75" t="str">
        <f>IF(AND($N3608=$Q$7,$B3608&lt;'111'!$L$11),"x","")</f>
        <v/>
      </c>
      <c r="S3608" s="75" t="str">
        <f>IF(AND($O3608=$Q$7,$B3608&lt;'111'!$L$11),"x","")</f>
        <v>x</v>
      </c>
      <c r="T3608" s="75" t="str">
        <f>IF(ISERROR(FIND('112'!$M$9,G3608,1)),"",IF((AND(FIND('112'!$M$9,G3608,1)&gt;=1,B3608='112'!$K$9,OR($N3608='112'!$I$6,$O3608='112'!$I$6))),"x",""))</f>
        <v/>
      </c>
      <c r="U3608" s="75" t="str">
        <f>IF(ISERROR(FIND('112'!$M$9,G3608,1)),"",IF((AND(LEFT(G3608,2)=LEFT('112'!$M$9,2),B3608&lt;'112'!$K$9,$N3608='112'!$I$6)),"x",""))</f>
        <v/>
      </c>
      <c r="V3608" s="75" t="str">
        <f>IF(ISERROR(FIND('112'!$M$9,G3608,1)),"",IF((AND(RIGHT(G3608,2)=RIGHT('112'!$M$9,2),B3608&lt;'112'!$K$9,$O3608='112'!$I$6)),"x",""))</f>
        <v/>
      </c>
      <c r="W3608" s="75" t="str">
        <f>IF(AND('341-CT'!$H$9=H3608,OR(LEFT(N3608,3)=$W$7,LEFT(O3608,3)=$W$7)),"x","")</f>
        <v/>
      </c>
      <c r="X3608" s="75" t="str">
        <f>IF(OR(TH!N4195=TH!$X$7,O3608=TH!$X$7),"x","")</f>
        <v/>
      </c>
      <c r="Y3608" s="75" t="str">
        <f>IF(AND(OR(N3608="131",O3608="131"),H3608='131-CT'!$H$9),"x","")</f>
        <v/>
      </c>
      <c r="Z3608" s="75"/>
      <c r="AA3608" s="75" t="str">
        <f>IF(AND(MONTH(E3608)='IN-NX'!$J$5,'IN-NX'!$D$7=D3608),"x","")</f>
        <v/>
      </c>
      <c r="AB3608" s="75" t="str">
        <f>IF(AND(OR(LEFT(TH!N4195,2)="15",LEFT(TH!O4195,2)="15"),LEFT(TH!O4195,3)&lt;&gt;"111",'152-CT'!$J$8=TH!F4195),"x","")</f>
        <v/>
      </c>
      <c r="AC3608" s="75" t="str">
        <f>IF(AND(OR(LEFT(TH!N4195,2)="15",LEFT(TH!O4195,2)="15"),TK!$E$7=TH!F4195),"x","")</f>
        <v/>
      </c>
      <c r="AD3608" s="75" t="str">
        <f>IF(AND(N3608="1521",MONTH(C3608)='BK-NL'!$M$11),"x","")</f>
        <v/>
      </c>
      <c r="AE3608">
        <v>9</v>
      </c>
    </row>
    <row r="3609" spans="1:33" ht="16.5" customHeight="1">
      <c r="A3609" s="309" t="str">
        <f>IF(B3609&lt;&gt;"",IF(AND(B3609='IN-TC'!$S$4,OR(TH!N3609="1111",TH!O3609="1111")),TH!D3609,""),"")</f>
        <v/>
      </c>
      <c r="B3609" s="1131">
        <f t="shared" si="1298"/>
        <v>2</v>
      </c>
      <c r="C3609" s="292">
        <f t="shared" si="1297"/>
        <v>42775</v>
      </c>
      <c r="D3609" s="292" t="s">
        <v>1927</v>
      </c>
      <c r="E3609" s="292">
        <v>42775</v>
      </c>
      <c r="F3609" s="1010" t="s">
        <v>1881</v>
      </c>
      <c r="G3609" s="925"/>
      <c r="H3609" s="311" t="s">
        <v>1886</v>
      </c>
      <c r="I3609" s="373"/>
      <c r="J3609" s="926"/>
      <c r="K3609" s="373"/>
      <c r="L3609" s="379"/>
      <c r="M3609" s="927">
        <v>1680600000</v>
      </c>
      <c r="N3609" s="295" t="s">
        <v>8</v>
      </c>
      <c r="O3609" s="295" t="s">
        <v>63</v>
      </c>
      <c r="P3609" s="75" t="str">
        <f>IF(AND('331-CT'!$E$7=TH!H4196,OR(N3609="331",O3609="331")),"x","")</f>
        <v/>
      </c>
      <c r="Q3609" s="75" t="str">
        <f>IF(AND(B3609='111'!$L$11,OR($N3609=$Q$7,$O3609=$Q$7)),"x","")</f>
        <v/>
      </c>
      <c r="R3609" s="75" t="str">
        <f>IF(AND($N3609=$Q$7,$B3609&lt;'111'!$L$11),"x","")</f>
        <v/>
      </c>
      <c r="S3609" s="75" t="str">
        <f>IF(AND($O3609=$Q$7,$B3609&lt;'111'!$L$11),"x","")</f>
        <v>x</v>
      </c>
      <c r="T3609" s="75" t="str">
        <f>IF(ISERROR(FIND('112'!$M$9,G3609,1)),"",IF((AND(FIND('112'!$M$9,G3609,1)&gt;=1,B3609='112'!$K$9,OR($N3609='112'!$I$6,$O3609='112'!$I$6))),"x",""))</f>
        <v/>
      </c>
      <c r="U3609" s="75" t="str">
        <f>IF(ISERROR(FIND('112'!$M$9,G3609,1)),"",IF((AND(LEFT(G3609,2)=LEFT('112'!$M$9,2),B3609&lt;'112'!$K$9,$N3609='112'!$I$6)),"x",""))</f>
        <v/>
      </c>
      <c r="V3609" s="75" t="str">
        <f>IF(ISERROR(FIND('112'!$M$9,G3609,1)),"",IF((AND(RIGHT(G3609,2)=RIGHT('112'!$M$9,2),B3609&lt;'112'!$K$9,$O3609='112'!$I$6)),"x",""))</f>
        <v/>
      </c>
      <c r="W3609" s="75" t="str">
        <f>IF(AND('341-CT'!$H$9=H3609,OR(LEFT(N3609,3)=$W$7,LEFT(O3609,3)=$W$7)),"x","")</f>
        <v/>
      </c>
      <c r="X3609" s="75" t="str">
        <f>IF(OR(TH!N4196=TH!$X$7,O3609=TH!$X$7),"x","")</f>
        <v/>
      </c>
      <c r="Y3609" s="75" t="str">
        <f>IF(AND(OR(N3609="131",O3609="131"),H3609='131-CT'!$H$9),"x","")</f>
        <v/>
      </c>
      <c r="Z3609" s="75"/>
      <c r="AA3609" s="75" t="str">
        <f>IF(AND(MONTH(E3609)='IN-NX'!$J$5,'IN-NX'!$D$7=D3609),"x","")</f>
        <v/>
      </c>
      <c r="AB3609" s="75" t="str">
        <f>IF(AND(OR(LEFT(TH!N4196,2)="15",LEFT(TH!O4196,2)="15"),LEFT(TH!O4196,3)&lt;&gt;"111",'152-CT'!$J$8=TH!F4196),"x","")</f>
        <v/>
      </c>
      <c r="AC3609" s="75" t="str">
        <f>IF(AND(OR(LEFT(TH!N4196,2)="15",LEFT(TH!O4196,2)="15"),TK!$E$7=TH!F4196),"x","")</f>
        <v/>
      </c>
      <c r="AD3609" s="75" t="str">
        <f>IF(AND(N3609="1521",MONTH(C3609)='BK-NL'!$M$11),"x","")</f>
        <v/>
      </c>
    </row>
    <row r="3610" spans="1:33" ht="16.5" customHeight="1">
      <c r="A3610" s="309" t="str">
        <f>IF(B3610&lt;&gt;"",IF(AND(B3610='IN-TC'!$S$4,OR(TH!N3610="1111",TH!O3610="1111")),TH!D3610,""),"")</f>
        <v/>
      </c>
      <c r="B3610" s="1131">
        <f t="shared" si="1298"/>
        <v>2</v>
      </c>
      <c r="C3610" s="292">
        <f t="shared" si="1297"/>
        <v>42775</v>
      </c>
      <c r="D3610" s="292" t="s">
        <v>1927</v>
      </c>
      <c r="E3610" s="292">
        <v>42775</v>
      </c>
      <c r="F3610" s="1010" t="s">
        <v>1883</v>
      </c>
      <c r="G3610" s="925"/>
      <c r="H3610" s="311"/>
      <c r="I3610" s="373"/>
      <c r="J3610" s="926"/>
      <c r="K3610" s="373"/>
      <c r="L3610" s="379"/>
      <c r="M3610" s="927">
        <v>1000000</v>
      </c>
      <c r="N3610" s="295" t="s">
        <v>101</v>
      </c>
      <c r="O3610" s="295" t="s">
        <v>63</v>
      </c>
      <c r="P3610" s="75" t="str">
        <f>IF(AND('331-CT'!$E$7=TH!H4197,OR(N3610="331",O3610="331")),"x","")</f>
        <v/>
      </c>
      <c r="Q3610" s="75" t="str">
        <f>IF(AND(B3610='111'!$L$11,OR($N3610=$Q$7,$O3610=$Q$7)),"x","")</f>
        <v/>
      </c>
      <c r="R3610" s="75" t="str">
        <f>IF(AND($N3610=$Q$7,$B3610&lt;'111'!$L$11),"x","")</f>
        <v/>
      </c>
      <c r="S3610" s="75" t="str">
        <f>IF(AND($O3610=$Q$7,$B3610&lt;'111'!$L$11),"x","")</f>
        <v>x</v>
      </c>
      <c r="T3610" s="75" t="str">
        <f>IF(ISERROR(FIND('112'!$M$9,G3610,1)),"",IF((AND(FIND('112'!$M$9,G3610,1)&gt;=1,B3610='112'!$K$9,OR($N3610='112'!$I$6,$O3610='112'!$I$6))),"x",""))</f>
        <v/>
      </c>
      <c r="U3610" s="75" t="str">
        <f>IF(ISERROR(FIND('112'!$M$9,G3610,1)),"",IF((AND(LEFT(G3610,2)=LEFT('112'!$M$9,2),B3610&lt;'112'!$K$9,$N3610='112'!$I$6)),"x",""))</f>
        <v/>
      </c>
      <c r="V3610" s="75" t="str">
        <f>IF(ISERROR(FIND('112'!$M$9,G3610,1)),"",IF((AND(RIGHT(G3610,2)=RIGHT('112'!$M$9,2),B3610&lt;'112'!$K$9,$O3610='112'!$I$6)),"x",""))</f>
        <v/>
      </c>
      <c r="W3610" s="75" t="str">
        <f>IF(AND('341-CT'!$H$9=H3610,OR(LEFT(N3610,3)=$W$7,LEFT(O3610,3)=$W$7)),"x","")</f>
        <v/>
      </c>
      <c r="X3610" s="75" t="str">
        <f>IF(OR(TH!N4197=TH!$X$7,O3610=TH!$X$7),"x","")</f>
        <v/>
      </c>
      <c r="Y3610" s="75" t="str">
        <f>IF(AND(OR(N3610="131",O3610="131"),H3610='131-CT'!$H$9),"x","")</f>
        <v/>
      </c>
      <c r="Z3610" s="75"/>
      <c r="AA3610" s="75" t="str">
        <f>IF(AND(MONTH(E3610)='IN-NX'!$J$5,'IN-NX'!$D$7=D3610),"x","")</f>
        <v/>
      </c>
      <c r="AB3610" s="75" t="str">
        <f>IF(AND(OR(LEFT(TH!N4197,2)="15",LEFT(TH!O4197,2)="15"),LEFT(TH!O4197,3)&lt;&gt;"111",'152-CT'!$J$8=TH!F4197),"x","")</f>
        <v/>
      </c>
      <c r="AC3610" s="75" t="str">
        <f>IF(AND(OR(LEFT(TH!N4197,2)="15",LEFT(TH!O4197,2)="15"),TK!$E$7=TH!F4197),"x","")</f>
        <v/>
      </c>
      <c r="AD3610" s="75" t="str">
        <f>IF(AND(N3610="1521",MONTH(C3610)='BK-NL'!$M$11),"x","")</f>
        <v/>
      </c>
      <c r="AE3610">
        <v>9</v>
      </c>
    </row>
    <row r="3611" spans="1:33" ht="16.5" customHeight="1">
      <c r="A3611" s="309" t="str">
        <f>IF(B3611&lt;&gt;"",IF(AND(B3611='IN-TC'!$S$4,OR(TH!N3611="1111",TH!O3611="1111")),TH!D3611,""),"")</f>
        <v/>
      </c>
      <c r="B3611" s="1131">
        <f t="shared" si="1298"/>
        <v>2</v>
      </c>
      <c r="C3611" s="292">
        <f t="shared" si="1297"/>
        <v>42775</v>
      </c>
      <c r="D3611" s="292" t="s">
        <v>1927</v>
      </c>
      <c r="E3611" s="292">
        <v>42775</v>
      </c>
      <c r="F3611" s="1010" t="s">
        <v>1895</v>
      </c>
      <c r="G3611" s="925"/>
      <c r="H3611" s="311"/>
      <c r="I3611" s="373"/>
      <c r="J3611" s="926"/>
      <c r="K3611" s="373"/>
      <c r="L3611" s="379"/>
      <c r="M3611" s="927">
        <v>100000</v>
      </c>
      <c r="N3611" s="295" t="s">
        <v>9</v>
      </c>
      <c r="O3611" s="295" t="s">
        <v>63</v>
      </c>
      <c r="P3611" s="75" t="str">
        <f>IF(AND('331-CT'!$E$7=TH!H4198,OR(N3611="331",O3611="331")),"x","")</f>
        <v/>
      </c>
      <c r="Q3611" s="75" t="str">
        <f>IF(AND(B3611='111'!$L$11,OR($N3611=$Q$7,$O3611=$Q$7)),"x","")</f>
        <v/>
      </c>
      <c r="R3611" s="75" t="str">
        <f>IF(AND($N3611=$Q$7,$B3611&lt;'111'!$L$11),"x","")</f>
        <v/>
      </c>
      <c r="S3611" s="75" t="str">
        <f>IF(AND($O3611=$Q$7,$B3611&lt;'111'!$L$11),"x","")</f>
        <v>x</v>
      </c>
      <c r="T3611" s="75" t="str">
        <f>IF(ISERROR(FIND('112'!$M$9,G3611,1)),"",IF((AND(FIND('112'!$M$9,G3611,1)&gt;=1,B3611='112'!$K$9,OR($N3611='112'!$I$6,$O3611='112'!$I$6))),"x",""))</f>
        <v/>
      </c>
      <c r="U3611" s="75" t="str">
        <f>IF(ISERROR(FIND('112'!$M$9,G3611,1)),"",IF((AND(LEFT(G3611,2)=LEFT('112'!$M$9,2),B3611&lt;'112'!$K$9,$N3611='112'!$I$6)),"x",""))</f>
        <v/>
      </c>
      <c r="V3611" s="75" t="str">
        <f>IF(ISERROR(FIND('112'!$M$9,G3611,1)),"",IF((AND(RIGHT(G3611,2)=RIGHT('112'!$M$9,2),B3611&lt;'112'!$K$9,$O3611='112'!$I$6)),"x",""))</f>
        <v/>
      </c>
      <c r="W3611" s="75" t="str">
        <f>IF(AND('341-CT'!$H$9=H3611,OR(LEFT(N3611,3)=$W$7,LEFT(O3611,3)=$W$7)),"x","")</f>
        <v/>
      </c>
      <c r="X3611" s="75" t="str">
        <f>IF(OR(TH!N4198=TH!$X$7,O3611=TH!$X$7),"x","")</f>
        <v/>
      </c>
      <c r="Y3611" s="75" t="str">
        <f>IF(AND(OR(N3611="131",O3611="131"),H3611='131-CT'!$H$9),"x","")</f>
        <v/>
      </c>
      <c r="Z3611" s="75"/>
      <c r="AA3611" s="75" t="str">
        <f>IF(AND(MONTH(E3611)='IN-NX'!$J$5,'IN-NX'!$D$7=D3611),"x","")</f>
        <v/>
      </c>
      <c r="AB3611" s="75" t="str">
        <f>IF(AND(OR(LEFT(TH!N4198,2)="15",LEFT(TH!O4198,2)="15"),LEFT(TH!O4198,3)&lt;&gt;"111",'152-CT'!$J$8=TH!F4198),"x","")</f>
        <v/>
      </c>
      <c r="AC3611" s="75" t="str">
        <f>IF(AND(OR(LEFT(TH!N4198,2)="15",LEFT(TH!O4198,2)="15"),TK!$E$7=TH!F4198),"x","")</f>
        <v/>
      </c>
      <c r="AD3611" s="75" t="str">
        <f>IF(AND(N3611="1521",MONTH(C3611)='BK-NL'!$M$11),"x","")</f>
        <v/>
      </c>
      <c r="AE3611">
        <v>9</v>
      </c>
    </row>
    <row r="3612" spans="1:33" ht="16.5" customHeight="1">
      <c r="A3612" s="309" t="str">
        <f>IF(B3612&lt;&gt;"",IF(AND(B3612='IN-TC'!$S$4,OR(TH!N3612="1111",TH!O3612="1111")),TH!D3612,""),"")</f>
        <v/>
      </c>
      <c r="B3612" s="1131">
        <f t="shared" si="1298"/>
        <v>2</v>
      </c>
      <c r="C3612" s="292">
        <f t="shared" si="1297"/>
        <v>42775</v>
      </c>
      <c r="D3612" s="59" t="s">
        <v>903</v>
      </c>
      <c r="E3612" s="292">
        <v>42775</v>
      </c>
      <c r="F3612" s="67" t="s">
        <v>1085</v>
      </c>
      <c r="G3612" s="62" t="s">
        <v>585</v>
      </c>
      <c r="H3612" s="67" t="s">
        <v>1095</v>
      </c>
      <c r="I3612" s="373"/>
      <c r="J3612" s="379"/>
      <c r="K3612" s="373">
        <v>52300</v>
      </c>
      <c r="L3612" s="379">
        <v>22660</v>
      </c>
      <c r="M3612" s="60">
        <v>1185118000</v>
      </c>
      <c r="N3612" s="61" t="s">
        <v>26</v>
      </c>
      <c r="O3612" s="61" t="s">
        <v>250</v>
      </c>
      <c r="P3612" s="75" t="str">
        <f>IF(AND('331-CT'!$E$7=TH!H4645,OR(N3612="331",O3612="331")),"x","")</f>
        <v/>
      </c>
      <c r="Q3612" s="75" t="str">
        <f>IF(AND(B3612='111'!$L$11,OR($N3612=$Q$7,$O3612=$Q$7)),"x","")</f>
        <v/>
      </c>
      <c r="R3612" s="75" t="str">
        <f>IF(AND($N3612=$Q$7,$B3612&lt;'111'!$L$11),"x","")</f>
        <v/>
      </c>
      <c r="S3612" s="75" t="str">
        <f>IF(AND($O3612=$Q$7,$B3612&lt;'111'!$L$11),"x","")</f>
        <v/>
      </c>
      <c r="T3612" s="75" t="str">
        <f>IF(ISERROR(FIND('112'!$M$9,G3612,1)),"",IF((AND(FIND('112'!$M$9,G3612,1)&gt;=1,B3612='112'!$K$9,OR($N3612='112'!$I$6,$O3612='112'!$I$6))),"x",""))</f>
        <v/>
      </c>
      <c r="U3612" s="75" t="str">
        <f>IF(ISERROR(FIND('112'!$M$9,G3612,1)),"",IF((AND(LEFT(G3612,2)=LEFT('112'!$M$9,2),B3612&lt;'112'!$K$9,$N3612='112'!$I$6)),"x",""))</f>
        <v/>
      </c>
      <c r="V3612" s="75" t="str">
        <f>IF(ISERROR(FIND('112'!$M$9,G3612,1)),"",IF((AND(RIGHT(G3612,2)=RIGHT('112'!$M$9,2),B3612&lt;'112'!$K$9,$O3612='112'!$I$6)),"x",""))</f>
        <v/>
      </c>
      <c r="W3612" s="75" t="str">
        <f>IF(AND('341-CT'!$H$9=H3612,OR(LEFT(N3612,3)=$W$7,LEFT(O3612,3)=$W$7)),"x","")</f>
        <v/>
      </c>
      <c r="X3612" s="75" t="str">
        <f>IF(OR(TH!N4645=TH!$X$7,O3612=TH!$X$7),"x","")</f>
        <v/>
      </c>
      <c r="Y3612" s="75" t="str">
        <f>IF(AND(OR(N3612="131",O3612="131"),H3612='131-CT'!$H$9),"x","")</f>
        <v/>
      </c>
      <c r="Z3612" s="75"/>
      <c r="AA3612" s="75" t="str">
        <f>IF(AND(MONTH(E3612)='IN-NX'!$J$5,'IN-NX'!$D$7=D3612),"x","")</f>
        <v/>
      </c>
      <c r="AB3612" s="75" t="str">
        <f>IF(AND(OR(LEFT(TH!N4645,2)="15",LEFT(TH!O4645,2)="15"),LEFT(TH!O4645,3)&lt;&gt;"111",'152-CT'!$J$8=TH!F4645),"x","")</f>
        <v/>
      </c>
      <c r="AC3612" s="75" t="str">
        <f>IF(AND(OR(LEFT(TH!N4645,2)="15",LEFT(TH!O4645,2)="15"),TK!$E$7=TH!F4645),"x","")</f>
        <v/>
      </c>
      <c r="AD3612" s="75" t="str">
        <f>IF(AND(N3612="1521",MONTH(C3612)='BK-NL'!$M$11),"x","")</f>
        <v/>
      </c>
    </row>
    <row r="3613" spans="1:33" ht="16.5" customHeight="1">
      <c r="A3613" s="309" t="str">
        <f>IF(B3613&lt;&gt;"",IF(AND(B3613='IN-TC'!$S$4,OR(TH!N3613="1111",TH!O3613="1111")),TH!D3613,""),"")</f>
        <v/>
      </c>
      <c r="B3613" s="1131">
        <f t="shared" si="1298"/>
        <v>2</v>
      </c>
      <c r="C3613" s="292">
        <f t="shared" si="1297"/>
        <v>42778</v>
      </c>
      <c r="D3613" s="292" t="s">
        <v>1928</v>
      </c>
      <c r="E3613" s="292">
        <v>42778</v>
      </c>
      <c r="F3613" s="293" t="s">
        <v>890</v>
      </c>
      <c r="G3613" s="925" t="s">
        <v>1042</v>
      </c>
      <c r="H3613" s="67" t="s">
        <v>893</v>
      </c>
      <c r="I3613" s="373"/>
      <c r="J3613" s="926"/>
      <c r="K3613" s="373"/>
      <c r="L3613" s="379"/>
      <c r="M3613" s="927">
        <v>3180018</v>
      </c>
      <c r="N3613" s="295" t="s">
        <v>101</v>
      </c>
      <c r="O3613" s="295" t="s">
        <v>63</v>
      </c>
      <c r="P3613" s="75" t="str">
        <f>IF(AND('331-CT'!$E$7=TH!H3490,OR(N3613="331",O3613="331")),"x","")</f>
        <v/>
      </c>
      <c r="Q3613" s="75" t="str">
        <f>IF(AND(B3613='111'!$L$11,OR($N3613=$Q$7,$O3613=$Q$7)),"x","")</f>
        <v/>
      </c>
      <c r="R3613" s="75" t="str">
        <f>IF(AND($N3613=$Q$7,$B3613&lt;'111'!$L$11),"x","")</f>
        <v/>
      </c>
      <c r="S3613" s="75" t="str">
        <f>IF(AND($O3613=$Q$7,$B3613&lt;'111'!$L$11),"x","")</f>
        <v>x</v>
      </c>
      <c r="T3613" s="75" t="str">
        <f>IF(ISERROR(FIND('112'!$M$9,G3613,1)),"",IF((AND(FIND('112'!$M$9,G3613,1)&gt;=1,B3613='112'!$K$9,OR($N3613='112'!$I$6,$O3613='112'!$I$6))),"x",""))</f>
        <v/>
      </c>
      <c r="U3613" s="75" t="str">
        <f>IF(ISERROR(FIND('112'!$M$9,G3613,1)),"",IF((AND(LEFT(G3613,2)=LEFT('112'!$M$9,2),B3613&lt;'112'!$K$9,$N3613='112'!$I$6)),"x",""))</f>
        <v/>
      </c>
      <c r="V3613" s="75" t="str">
        <f>IF(ISERROR(FIND('112'!$M$9,G3613,1)),"",IF((AND(RIGHT(G3613,2)=RIGHT('112'!$M$9,2),B3613&lt;'112'!$K$9,$O3613='112'!$I$6)),"x",""))</f>
        <v/>
      </c>
      <c r="W3613" s="75" t="str">
        <f>IF(AND('341-CT'!$H$9=H3613,OR(LEFT(N3613,3)=$W$7,LEFT(O3613,3)=$W$7)),"x","")</f>
        <v/>
      </c>
      <c r="X3613" s="75" t="str">
        <f>IF(OR(TH!N3490=TH!$X$7,O3613=TH!$X$7),"x","")</f>
        <v/>
      </c>
      <c r="Y3613" s="75" t="str">
        <f>IF(AND(OR(N3613="131",O3613="131"),H3613='131-CT'!$H$9),"x","")</f>
        <v/>
      </c>
      <c r="Z3613" s="75"/>
      <c r="AA3613" s="75" t="str">
        <f>IF(AND(MONTH(E3613)='IN-NX'!$J$5,'IN-NX'!$D$7=D3613),"x","")</f>
        <v/>
      </c>
      <c r="AB3613" s="75" t="str">
        <f>IF(AND(OR(LEFT(TH!N3490,2)="15",LEFT(TH!O3490,2)="15"),LEFT(TH!O3490,3)&lt;&gt;"111",'152-CT'!$J$8=TH!F3490),"x","")</f>
        <v/>
      </c>
      <c r="AC3613" s="75" t="str">
        <f>IF(AND(OR(LEFT(TH!N3490,2)="15",LEFT(TH!O3490,2)="15"),TK!$E$7=TH!F3490),"x","")</f>
        <v/>
      </c>
      <c r="AD3613" s="75" t="str">
        <f>IF(AND(N3613="1521",MONTH(C3613)='BK-NL'!$M$11),"x","")</f>
        <v/>
      </c>
    </row>
    <row r="3614" spans="1:33" ht="16.5" customHeight="1">
      <c r="A3614" s="309" t="str">
        <f>IF(B3614&lt;&gt;"",IF(AND(B3614='IN-TC'!$S$4,OR(TH!N3614="1111",TH!O3614="1111")),TH!D3614,""),"")</f>
        <v/>
      </c>
      <c r="B3614" s="1131">
        <f t="shared" si="1298"/>
        <v>2</v>
      </c>
      <c r="C3614" s="292">
        <f t="shared" si="1297"/>
        <v>42778</v>
      </c>
      <c r="D3614" s="292" t="s">
        <v>1928</v>
      </c>
      <c r="E3614" s="292">
        <v>42778</v>
      </c>
      <c r="F3614" s="293" t="s">
        <v>891</v>
      </c>
      <c r="G3614" s="925" t="s">
        <v>1042</v>
      </c>
      <c r="H3614" s="67" t="s">
        <v>893</v>
      </c>
      <c r="I3614" s="373"/>
      <c r="J3614" s="926"/>
      <c r="K3614" s="373"/>
      <c r="L3614" s="379"/>
      <c r="M3614" s="927">
        <v>318002</v>
      </c>
      <c r="N3614" s="295" t="s">
        <v>9</v>
      </c>
      <c r="O3614" s="295" t="s">
        <v>63</v>
      </c>
      <c r="P3614" s="75" t="str">
        <f>IF(AND('331-CT'!$E$7=TH!H3491,OR(N3614="331",O3614="331")),"x","")</f>
        <v/>
      </c>
      <c r="Q3614" s="75" t="str">
        <f>IF(AND(B3614='111'!$L$11,OR($N3614=$Q$7,$O3614=$Q$7)),"x","")</f>
        <v/>
      </c>
      <c r="R3614" s="75" t="str">
        <f>IF(AND($N3614=$Q$7,$B3614&lt;'111'!$L$11),"x","")</f>
        <v/>
      </c>
      <c r="S3614" s="75" t="str">
        <f>IF(AND($O3614=$Q$7,$B3614&lt;'111'!$L$11),"x","")</f>
        <v>x</v>
      </c>
      <c r="T3614" s="75" t="str">
        <f>IF(ISERROR(FIND('112'!$M$9,G3614,1)),"",IF((AND(FIND('112'!$M$9,G3614,1)&gt;=1,B3614='112'!$K$9,OR($N3614='112'!$I$6,$O3614='112'!$I$6))),"x",""))</f>
        <v/>
      </c>
      <c r="U3614" s="75" t="str">
        <f>IF(ISERROR(FIND('112'!$M$9,G3614,1)),"",IF((AND(LEFT(G3614,2)=LEFT('112'!$M$9,2),B3614&lt;'112'!$K$9,$N3614='112'!$I$6)),"x",""))</f>
        <v/>
      </c>
      <c r="V3614" s="75" t="str">
        <f>IF(ISERROR(FIND('112'!$M$9,G3614,1)),"",IF((AND(RIGHT(G3614,2)=RIGHT('112'!$M$9,2),B3614&lt;'112'!$K$9,$O3614='112'!$I$6)),"x",""))</f>
        <v/>
      </c>
      <c r="W3614" s="75" t="str">
        <f>IF(AND('341-CT'!$H$9=H3614,OR(LEFT(N3614,3)=$W$7,LEFT(O3614,3)=$W$7)),"x","")</f>
        <v/>
      </c>
      <c r="X3614" s="75" t="str">
        <f>IF(OR(TH!N3491=TH!$X$7,O3614=TH!$X$7),"x","")</f>
        <v/>
      </c>
      <c r="Y3614" s="75" t="str">
        <f>IF(AND(OR(N3614="131",O3614="131"),H3614='131-CT'!$H$9),"x","")</f>
        <v/>
      </c>
      <c r="Z3614" s="75"/>
      <c r="AA3614" s="75" t="str">
        <f>IF(AND(MONTH(E3614)='IN-NX'!$J$5,'IN-NX'!$D$7=D3614),"x","")</f>
        <v/>
      </c>
      <c r="AB3614" s="75" t="str">
        <f>IF(AND(OR(LEFT(TH!N3491,2)="15",LEFT(TH!O3491,2)="15"),LEFT(TH!O3491,3)&lt;&gt;"111",'152-CT'!$J$8=TH!F3491),"x","")</f>
        <v/>
      </c>
      <c r="AC3614" s="75" t="str">
        <f>IF(AND(OR(LEFT(TH!N3491,2)="15",LEFT(TH!O3491,2)="15"),TK!$E$7=TH!F3491),"x","")</f>
        <v/>
      </c>
      <c r="AD3614" s="75" t="str">
        <f>IF(AND(N3614="1521",MONTH(C3614)='BK-NL'!$M$11),"x","")</f>
        <v/>
      </c>
    </row>
    <row r="3615" spans="1:33" ht="16.5" customHeight="1">
      <c r="A3615" s="309" t="str">
        <f>IF(B3615&lt;&gt;"",IF(AND(B3615='IN-TC'!$S$4,OR(TH!N3615="1111",TH!O3615="1111")),TH!D3615,""),"")</f>
        <v/>
      </c>
      <c r="B3615" s="1131">
        <f t="shared" si="1298"/>
        <v>2</v>
      </c>
      <c r="C3615" s="292">
        <f t="shared" si="1297"/>
        <v>42779</v>
      </c>
      <c r="D3615" s="59" t="s">
        <v>902</v>
      </c>
      <c r="E3615" s="292">
        <v>42779</v>
      </c>
      <c r="F3615" s="67" t="s">
        <v>1092</v>
      </c>
      <c r="G3615" s="62" t="s">
        <v>585</v>
      </c>
      <c r="H3615" s="67" t="s">
        <v>563</v>
      </c>
      <c r="I3615" s="373"/>
      <c r="J3615" s="379"/>
      <c r="K3615" s="373"/>
      <c r="L3615" s="379"/>
      <c r="M3615" s="60">
        <v>66142120</v>
      </c>
      <c r="N3615" s="61" t="s">
        <v>8</v>
      </c>
      <c r="O3615" s="61" t="s">
        <v>26</v>
      </c>
      <c r="P3615" s="75" t="str">
        <f>IF(AND('331-CT'!$E$7=TH!H4647,OR(N3615="331",O3615="331")),"x","")</f>
        <v/>
      </c>
      <c r="Q3615" s="75" t="str">
        <f>IF(AND(B3615='111'!$L$11,OR($N3615=$Q$7,$O3615=$Q$7)),"x","")</f>
        <v/>
      </c>
      <c r="R3615" s="75" t="str">
        <f>IF(AND($N3615=$Q$7,$B3615&lt;'111'!$L$11),"x","")</f>
        <v/>
      </c>
      <c r="S3615" s="75" t="str">
        <f>IF(AND($O3615=$Q$7,$B3615&lt;'111'!$L$11),"x","")</f>
        <v/>
      </c>
      <c r="T3615" s="75" t="str">
        <f>IF(ISERROR(FIND('112'!$M$9,G3615,1)),"",IF((AND(FIND('112'!$M$9,G3615,1)&gt;=1,B3615='112'!$K$9,OR($N3615='112'!$I$6,$O3615='112'!$I$6))),"x",""))</f>
        <v/>
      </c>
      <c r="U3615" s="75" t="str">
        <f>IF(ISERROR(FIND('112'!$M$9,G3615,1)),"",IF((AND(LEFT(G3615,2)=LEFT('112'!$M$9,2),B3615&lt;'112'!$K$9,$N3615='112'!$I$6)),"x",""))</f>
        <v/>
      </c>
      <c r="V3615" s="75" t="str">
        <f>IF(ISERROR(FIND('112'!$M$9,G3615,1)),"",IF((AND(RIGHT(G3615,2)=RIGHT('112'!$M$9,2),B3615&lt;'112'!$K$9,$O3615='112'!$I$6)),"x",""))</f>
        <v/>
      </c>
      <c r="W3615" s="75" t="str">
        <f>IF(AND('341-CT'!$H$9=H3615,OR(LEFT(N3615,3)=$W$7,LEFT(O3615,3)=$W$7)),"x","")</f>
        <v/>
      </c>
      <c r="X3615" s="75" t="str">
        <f>IF(OR(TH!N4647=TH!$X$7,O3615=TH!$X$7),"x","")</f>
        <v/>
      </c>
      <c r="Y3615" s="75" t="str">
        <f>IF(AND(OR(N3615="131",O3615="131"),H3615='131-CT'!$H$9),"x","")</f>
        <v/>
      </c>
      <c r="Z3615" s="75"/>
      <c r="AA3615" s="75" t="str">
        <f>IF(AND(MONTH(E3615)='IN-NX'!$J$5,'IN-NX'!$D$7=D3615),"x","")</f>
        <v/>
      </c>
      <c r="AB3615" s="75" t="str">
        <f>IF(AND(OR(LEFT(TH!N4647,2)="15",LEFT(TH!O4647,2)="15"),LEFT(TH!O4647,3)&lt;&gt;"111",'152-CT'!$J$8=TH!F4647),"x","")</f>
        <v/>
      </c>
      <c r="AC3615" s="75" t="str">
        <f>IF(AND(OR(LEFT(TH!N4647,2)="15",LEFT(TH!O4647,2)="15"),TK!$E$7=TH!F4647),"x","")</f>
        <v/>
      </c>
      <c r="AD3615" s="75" t="str">
        <f>IF(AND(N3615="1521",MONTH(C3615)='BK-NL'!$M$11),"x","")</f>
        <v/>
      </c>
    </row>
    <row r="3616" spans="1:33" ht="16.5" customHeight="1">
      <c r="A3616" s="309" t="str">
        <f>IF(B3616&lt;&gt;"",IF(AND(B3616='IN-TC'!$S$4,OR(TH!N3616="1111",TH!O3616="1111")),TH!D3616,""),"")</f>
        <v/>
      </c>
      <c r="B3616" s="1131">
        <f t="shared" si="1298"/>
        <v>2</v>
      </c>
      <c r="C3616" s="292">
        <f t="shared" si="1297"/>
        <v>42779</v>
      </c>
      <c r="D3616" s="59" t="s">
        <v>902</v>
      </c>
      <c r="E3616" s="292">
        <v>42779</v>
      </c>
      <c r="F3616" s="67" t="s">
        <v>870</v>
      </c>
      <c r="G3616" s="62" t="s">
        <v>585</v>
      </c>
      <c r="H3616" s="67" t="s">
        <v>845</v>
      </c>
      <c r="I3616" s="373"/>
      <c r="J3616" s="379"/>
      <c r="K3616" s="373"/>
      <c r="L3616" s="379"/>
      <c r="M3616" s="60">
        <v>53071</v>
      </c>
      <c r="N3616" s="61" t="s">
        <v>101</v>
      </c>
      <c r="O3616" s="61" t="s">
        <v>26</v>
      </c>
      <c r="P3616" s="75" t="str">
        <f>IF(AND('331-CT'!$E$7=TH!H4648,OR(N3616="331",O3616="331")),"x","")</f>
        <v/>
      </c>
      <c r="Q3616" s="75" t="str">
        <f>IF(AND(B3616='111'!$L$11,OR($N3616=$Q$7,$O3616=$Q$7)),"x","")</f>
        <v/>
      </c>
      <c r="R3616" s="75" t="str">
        <f>IF(AND($N3616=$Q$7,$B3616&lt;'111'!$L$11),"x","")</f>
        <v/>
      </c>
      <c r="S3616" s="75" t="str">
        <f>IF(AND($O3616=$Q$7,$B3616&lt;'111'!$L$11),"x","")</f>
        <v/>
      </c>
      <c r="T3616" s="75" t="str">
        <f>IF(ISERROR(FIND('112'!$M$9,G3616,1)),"",IF((AND(FIND('112'!$M$9,G3616,1)&gt;=1,B3616='112'!$K$9,OR($N3616='112'!$I$6,$O3616='112'!$I$6))),"x",""))</f>
        <v/>
      </c>
      <c r="U3616" s="75" t="str">
        <f>IF(ISERROR(FIND('112'!$M$9,G3616,1)),"",IF((AND(LEFT(G3616,2)=LEFT('112'!$M$9,2),B3616&lt;'112'!$K$9,$N3616='112'!$I$6)),"x",""))</f>
        <v/>
      </c>
      <c r="V3616" s="75" t="str">
        <f>IF(ISERROR(FIND('112'!$M$9,G3616,1)),"",IF((AND(RIGHT(G3616,2)=RIGHT('112'!$M$9,2),B3616&lt;'112'!$K$9,$O3616='112'!$I$6)),"x",""))</f>
        <v/>
      </c>
      <c r="W3616" s="75" t="str">
        <f>IF(AND('341-CT'!$H$9=H3616,OR(LEFT(N3616,3)=$W$7,LEFT(O3616,3)=$W$7)),"x","")</f>
        <v/>
      </c>
      <c r="X3616" s="75" t="str">
        <f>IF(OR(TH!N4648=TH!$X$7,O3616=TH!$X$7),"x","")</f>
        <v/>
      </c>
      <c r="Y3616" s="75" t="str">
        <f>IF(AND(OR(N3616="131",O3616="131"),H3616='131-CT'!$H$9),"x","")</f>
        <v/>
      </c>
      <c r="Z3616" s="75"/>
      <c r="AA3616" s="75" t="str">
        <f>IF(AND(MONTH(E3616)='IN-NX'!$J$5,'IN-NX'!$D$7=D3616),"x","")</f>
        <v/>
      </c>
      <c r="AB3616" s="75" t="str">
        <f>IF(AND(OR(LEFT(TH!N4648,2)="15",LEFT(TH!O4648,2)="15"),LEFT(TH!O4648,3)&lt;&gt;"111",'152-CT'!$J$8=TH!F4648),"x","")</f>
        <v/>
      </c>
      <c r="AC3616" s="75" t="str">
        <f>IF(AND(OR(LEFT(TH!N4648,2)="15",LEFT(TH!O4648,2)="15"),TK!$E$7=TH!F4648),"x","")</f>
        <v/>
      </c>
      <c r="AD3616" s="75" t="str">
        <f>IF(AND(N3616="1521",MONTH(C3616)='BK-NL'!$M$11),"x","")</f>
        <v/>
      </c>
    </row>
    <row r="3617" spans="1:31" ht="16.5" customHeight="1">
      <c r="A3617" s="309" t="str">
        <f>IF(B3617&lt;&gt;"",IF(AND(B3617='IN-TC'!$S$4,OR(TH!N3617="1111",TH!O3617="1111")),TH!D3617,""),"")</f>
        <v/>
      </c>
      <c r="B3617" s="1131">
        <f t="shared" si="1298"/>
        <v>2</v>
      </c>
      <c r="C3617" s="292">
        <f t="shared" si="1297"/>
        <v>42779</v>
      </c>
      <c r="D3617" s="59" t="s">
        <v>902</v>
      </c>
      <c r="E3617" s="292">
        <v>42779</v>
      </c>
      <c r="F3617" s="67" t="s">
        <v>898</v>
      </c>
      <c r="G3617" s="62" t="s">
        <v>585</v>
      </c>
      <c r="H3617" s="67" t="s">
        <v>845</v>
      </c>
      <c r="I3617" s="373"/>
      <c r="J3617" s="379"/>
      <c r="K3617" s="373"/>
      <c r="L3617" s="379"/>
      <c r="M3617" s="60">
        <v>5307</v>
      </c>
      <c r="N3617" s="61" t="s">
        <v>9</v>
      </c>
      <c r="O3617" s="61" t="s">
        <v>26</v>
      </c>
      <c r="P3617" s="75" t="str">
        <f>IF(AND('331-CT'!$E$7=TH!H4649,OR(N3617="331",O3617="331")),"x","")</f>
        <v/>
      </c>
      <c r="Q3617" s="75" t="str">
        <f>IF(AND(B3617='111'!$L$11,OR($N3617=$Q$7,$O3617=$Q$7)),"x","")</f>
        <v/>
      </c>
      <c r="R3617" s="75" t="str">
        <f>IF(AND($N3617=$Q$7,$B3617&lt;'111'!$L$11),"x","")</f>
        <v/>
      </c>
      <c r="S3617" s="75" t="str">
        <f>IF(AND($O3617=$Q$7,$B3617&lt;'111'!$L$11),"x","")</f>
        <v/>
      </c>
      <c r="T3617" s="75" t="str">
        <f>IF(ISERROR(FIND('112'!$M$9,G3617,1)),"",IF((AND(FIND('112'!$M$9,G3617,1)&gt;=1,B3617='112'!$K$9,OR($N3617='112'!$I$6,$O3617='112'!$I$6))),"x",""))</f>
        <v/>
      </c>
      <c r="U3617" s="75" t="str">
        <f>IF(ISERROR(FIND('112'!$M$9,G3617,1)),"",IF((AND(LEFT(G3617,2)=LEFT('112'!$M$9,2),B3617&lt;'112'!$K$9,$N3617='112'!$I$6)),"x",""))</f>
        <v/>
      </c>
      <c r="V3617" s="75" t="str">
        <f>IF(ISERROR(FIND('112'!$M$9,G3617,1)),"",IF((AND(RIGHT(G3617,2)=RIGHT('112'!$M$9,2),B3617&lt;'112'!$K$9,$O3617='112'!$I$6)),"x",""))</f>
        <v/>
      </c>
      <c r="W3617" s="75" t="str">
        <f>IF(AND('341-CT'!$H$9=H3617,OR(LEFT(N3617,3)=$W$7,LEFT(O3617,3)=$W$7)),"x","")</f>
        <v/>
      </c>
      <c r="X3617" s="75" t="str">
        <f>IF(OR(TH!N4649=TH!$X$7,O3617=TH!$X$7),"x","")</f>
        <v/>
      </c>
      <c r="Y3617" s="75" t="str">
        <f>IF(AND(OR(N3617="131",O3617="131"),H3617='131-CT'!$H$9),"x","")</f>
        <v/>
      </c>
      <c r="Z3617" s="75"/>
      <c r="AA3617" s="75" t="str">
        <f>IF(AND(MONTH(E3617)='IN-NX'!$J$5,'IN-NX'!$D$7=D3617),"x","")</f>
        <v/>
      </c>
      <c r="AB3617" s="75" t="str">
        <f>IF(AND(OR(LEFT(TH!N4649,2)="15",LEFT(TH!O4649,2)="15"),LEFT(TH!O4649,3)&lt;&gt;"111",'152-CT'!$J$8=TH!F4649),"x","")</f>
        <v/>
      </c>
      <c r="AC3617" s="75" t="str">
        <f>IF(AND(OR(LEFT(TH!N4649,2)="15",LEFT(TH!O4649,2)="15"),TK!$E$7=TH!F4649),"x","")</f>
        <v/>
      </c>
      <c r="AD3617" s="75" t="str">
        <f>IF(AND(N3617="1521",MONTH(C3617)='BK-NL'!$M$11),"x","")</f>
        <v/>
      </c>
    </row>
    <row r="3618" spans="1:31" ht="16.5" customHeight="1">
      <c r="A3618" s="309" t="str">
        <f>IF(B3618&lt;&gt;"",IF(AND(B3618='IN-TC'!$S$4,OR(TH!N3618="1111",TH!O3618="1111")),TH!D3618,""),"")</f>
        <v/>
      </c>
      <c r="B3618" s="1131">
        <f t="shared" si="1298"/>
        <v>2</v>
      </c>
      <c r="C3618" s="292">
        <f t="shared" si="1297"/>
        <v>42779</v>
      </c>
      <c r="D3618" s="292" t="s">
        <v>1929</v>
      </c>
      <c r="E3618" s="292">
        <v>42779</v>
      </c>
      <c r="F3618" s="67" t="s">
        <v>885</v>
      </c>
      <c r="G3618" s="943" t="s">
        <v>585</v>
      </c>
      <c r="H3618" s="67" t="s">
        <v>1023</v>
      </c>
      <c r="I3618" s="373"/>
      <c r="J3618" s="926"/>
      <c r="K3618" s="373"/>
      <c r="L3618" s="379"/>
      <c r="M3618" s="927">
        <v>70000000</v>
      </c>
      <c r="N3618" s="295" t="s">
        <v>26</v>
      </c>
      <c r="O3618" s="295" t="s">
        <v>63</v>
      </c>
      <c r="P3618" s="75" t="str">
        <f>IF(AND('331-CT'!$E$7=TH!H4650,OR(N3618="331",O3618="331")),"x","")</f>
        <v/>
      </c>
      <c r="Q3618" s="75" t="str">
        <f>IF(AND(B3618='111'!$L$11,OR($N3618=$Q$7,$O3618=$Q$7)),"x","")</f>
        <v/>
      </c>
      <c r="R3618" s="75" t="str">
        <f>IF(AND($N3618=$Q$7,$B3618&lt;'111'!$L$11),"x","")</f>
        <v/>
      </c>
      <c r="S3618" s="75" t="str">
        <f>IF(AND($O3618=$Q$7,$B3618&lt;'111'!$L$11),"x","")</f>
        <v>x</v>
      </c>
      <c r="T3618" s="75" t="str">
        <f>IF(ISERROR(FIND('112'!$M$9,G3618,1)),"",IF((AND(FIND('112'!$M$9,G3618,1)&gt;=1,B3618='112'!$K$9,OR($N3618='112'!$I$6,$O3618='112'!$I$6))),"x",""))</f>
        <v/>
      </c>
      <c r="U3618" s="75" t="str">
        <f>IF(ISERROR(FIND('112'!$M$9,G3618,1)),"",IF((AND(LEFT(G3618,2)=LEFT('112'!$M$9,2),B3618&lt;'112'!$K$9,$N3618='112'!$I$6)),"x",""))</f>
        <v/>
      </c>
      <c r="V3618" s="75" t="str">
        <f>IF(ISERROR(FIND('112'!$M$9,G3618,1)),"",IF((AND(RIGHT(G3618,2)=RIGHT('112'!$M$9,2),B3618&lt;'112'!$K$9,$O3618='112'!$I$6)),"x",""))</f>
        <v/>
      </c>
      <c r="W3618" s="75" t="str">
        <f>IF(AND('341-CT'!$H$9=H3618,OR(LEFT(N3618,3)=$W$7,LEFT(O3618,3)=$W$7)),"x","")</f>
        <v/>
      </c>
      <c r="X3618" s="75" t="str">
        <f>IF(OR(TH!N4650=TH!$X$7,O3618=TH!$X$7),"x","")</f>
        <v/>
      </c>
      <c r="Y3618" s="75" t="str">
        <f>IF(AND(OR(N3618="131",O3618="131"),H3618='131-CT'!$H$9),"x","")</f>
        <v/>
      </c>
      <c r="Z3618" s="75"/>
      <c r="AA3618" s="75" t="str">
        <f>IF(AND(MONTH(E3618)='IN-NX'!$J$5,'IN-NX'!$D$7=D3618),"x","")</f>
        <v/>
      </c>
      <c r="AB3618" s="75" t="str">
        <f>IF(AND(OR(LEFT(TH!N4650,2)="15",LEFT(TH!O4650,2)="15"),LEFT(TH!O4650,3)&lt;&gt;"111",'152-CT'!$J$8=TH!F4650),"x","")</f>
        <v/>
      </c>
      <c r="AC3618" s="75" t="str">
        <f>IF(AND(OR(LEFT(TH!N4650,2)="15",LEFT(TH!O4650,2)="15"),TK!$E$7=TH!F4650),"x","")</f>
        <v/>
      </c>
      <c r="AD3618" s="75" t="str">
        <f>IF(AND(N3618="1521",MONTH(C3618)='BK-NL'!$M$11),"x","")</f>
        <v/>
      </c>
    </row>
    <row r="3619" spans="1:31" ht="16.5" customHeight="1">
      <c r="A3619" s="309" t="str">
        <f>IF(B3619&lt;&gt;"",IF(AND(B3619='IN-TC'!$S$4,OR(TH!N3619="1111",TH!O3619="1111")),TH!D3619,""),"")</f>
        <v/>
      </c>
      <c r="B3619" s="1131">
        <f t="shared" si="1298"/>
        <v>2</v>
      </c>
      <c r="C3619" s="292">
        <f t="shared" si="1297"/>
        <v>42779</v>
      </c>
      <c r="D3619" s="59" t="s">
        <v>902</v>
      </c>
      <c r="E3619" s="59">
        <v>42779</v>
      </c>
      <c r="F3619" s="62" t="s">
        <v>1024</v>
      </c>
      <c r="G3619" s="62" t="s">
        <v>747</v>
      </c>
      <c r="H3619" s="311" t="s">
        <v>835</v>
      </c>
      <c r="I3619" s="373"/>
      <c r="J3619" s="379"/>
      <c r="K3619" s="373"/>
      <c r="L3619" s="379"/>
      <c r="M3619" s="60">
        <v>2499200</v>
      </c>
      <c r="N3619" s="928" t="s">
        <v>101</v>
      </c>
      <c r="O3619" s="61" t="s">
        <v>26</v>
      </c>
      <c r="P3619" s="75" t="str">
        <f>IF(AND('331-CT'!$E$7=TH!H5006,OR(N3619="331",O3619="331")),"x","")</f>
        <v/>
      </c>
      <c r="Q3619" s="75" t="str">
        <f>IF(AND(B3619='111'!$L$11,OR($N3619=$Q$7,$O3619=$Q$7)),"x","")</f>
        <v/>
      </c>
      <c r="R3619" s="75" t="str">
        <f>IF(AND($N3619=$Q$7,$B3619&lt;'111'!$L$11),"x","")</f>
        <v/>
      </c>
      <c r="S3619" s="75" t="str">
        <f>IF(AND($O3619=$Q$7,$B3619&lt;'111'!$L$11),"x","")</f>
        <v/>
      </c>
      <c r="T3619" s="75" t="str">
        <f>IF(ISERROR(FIND('112'!$M$9,G3619,1)),"",IF((AND(FIND('112'!$M$9,G3619,1)&gt;=1,B3619='112'!$K$9,OR($N3619='112'!$I$6,$O3619='112'!$I$6))),"x",""))</f>
        <v/>
      </c>
      <c r="U3619" s="75" t="str">
        <f>IF(ISERROR(FIND('112'!$M$9,G3619,1)),"",IF((AND(LEFT(G3619,2)=LEFT('112'!$M$9,2),B3619&lt;'112'!$K$9,$N3619='112'!$I$6)),"x",""))</f>
        <v/>
      </c>
      <c r="V3619" s="75" t="str">
        <f>IF(ISERROR(FIND('112'!$M$9,G3619,1)),"",IF((AND(RIGHT(G3619,2)=RIGHT('112'!$M$9,2),B3619&lt;'112'!$K$9,$O3619='112'!$I$6)),"x",""))</f>
        <v/>
      </c>
      <c r="W3619" s="75" t="str">
        <f>IF(AND('341-CT'!$H$9=H3619,OR(LEFT(N3619,3)=$W$7,LEFT(O3619,3)=$W$7)),"x","")</f>
        <v/>
      </c>
      <c r="X3619" s="75" t="str">
        <f>IF(OR(TH!N5006=TH!$X$7,O3619=TH!$X$7),"x","")</f>
        <v/>
      </c>
      <c r="Y3619" s="75" t="str">
        <f>IF(AND(OR(N3619="131",O3619="131"),H3619='131-CT'!$H$9),"x","")</f>
        <v/>
      </c>
      <c r="Z3619" s="75"/>
      <c r="AA3619" s="75" t="str">
        <f>IF(AND(MONTH(E3619)='IN-NX'!$J$5,'IN-NX'!$D$7=D3619),"x","")</f>
        <v/>
      </c>
      <c r="AB3619" s="75" t="str">
        <f>IF(AND(OR(LEFT(TH!N5006,2)="15",LEFT(TH!O5006,2)="15"),LEFT(TH!O5006,3)&lt;&gt;"111",'152-CT'!$J$8=TH!F5006),"x","")</f>
        <v/>
      </c>
      <c r="AC3619" s="75" t="str">
        <f>IF(AND(OR(LEFT(TH!N5006,2)="15",LEFT(TH!O5006,2)="15"),TK!$E$7=TH!F5006),"x","")</f>
        <v/>
      </c>
      <c r="AD3619" s="75" t="str">
        <f>IF(AND(N3619="1521",MONTH(C3619)='BK-NL'!$M$11),"x","")</f>
        <v/>
      </c>
    </row>
    <row r="3620" spans="1:31" ht="16.5" customHeight="1">
      <c r="A3620" s="309" t="str">
        <f>IF(B3620&lt;&gt;"",IF(AND(B3620='IN-TC'!$S$4,OR(TH!N3620="1111",TH!O3620="1111")),TH!D3620,""),"")</f>
        <v/>
      </c>
      <c r="B3620" s="1131">
        <f t="shared" si="1298"/>
        <v>2</v>
      </c>
      <c r="C3620" s="292">
        <f t="shared" si="1297"/>
        <v>42779</v>
      </c>
      <c r="D3620" s="59" t="s">
        <v>902</v>
      </c>
      <c r="E3620" s="59">
        <v>42779</v>
      </c>
      <c r="F3620" s="62" t="s">
        <v>897</v>
      </c>
      <c r="G3620" s="62" t="s">
        <v>747</v>
      </c>
      <c r="H3620" s="311" t="s">
        <v>623</v>
      </c>
      <c r="I3620" s="373"/>
      <c r="J3620" s="379"/>
      <c r="K3620" s="373"/>
      <c r="L3620" s="379"/>
      <c r="M3620" s="60">
        <v>6280000000</v>
      </c>
      <c r="N3620" s="928" t="s">
        <v>8</v>
      </c>
      <c r="O3620" s="61" t="s">
        <v>26</v>
      </c>
      <c r="P3620" s="75" t="str">
        <f>IF(AND('331-CT'!$E$7=TH!H5007,OR(N3620="331",O3620="331")),"x","")</f>
        <v/>
      </c>
      <c r="Q3620" s="75" t="str">
        <f>IF(AND(B3620='111'!$L$11,OR($N3620=$Q$7,$O3620=$Q$7)),"x","")</f>
        <v/>
      </c>
      <c r="R3620" s="75" t="str">
        <f>IF(AND($N3620=$Q$7,$B3620&lt;'111'!$L$11),"x","")</f>
        <v/>
      </c>
      <c r="S3620" s="75" t="str">
        <f>IF(AND($O3620=$Q$7,$B3620&lt;'111'!$L$11),"x","")</f>
        <v/>
      </c>
      <c r="T3620" s="75" t="str">
        <f>IF(ISERROR(FIND('112'!$M$9,G3620,1)),"",IF((AND(FIND('112'!$M$9,G3620,1)&gt;=1,B3620='112'!$K$9,OR($N3620='112'!$I$6,$O3620='112'!$I$6))),"x",""))</f>
        <v/>
      </c>
      <c r="U3620" s="75" t="str">
        <f>IF(ISERROR(FIND('112'!$M$9,G3620,1)),"",IF((AND(LEFT(G3620,2)=LEFT('112'!$M$9,2),B3620&lt;'112'!$K$9,$N3620='112'!$I$6)),"x",""))</f>
        <v/>
      </c>
      <c r="V3620" s="75" t="str">
        <f>IF(ISERROR(FIND('112'!$M$9,G3620,1)),"",IF((AND(RIGHT(G3620,2)=RIGHT('112'!$M$9,2),B3620&lt;'112'!$K$9,$O3620='112'!$I$6)),"x",""))</f>
        <v/>
      </c>
      <c r="W3620" s="75" t="str">
        <f>IF(AND('341-CT'!$H$9=H3620,OR(LEFT(N3620,3)=$W$7,LEFT(O3620,3)=$W$7)),"x","")</f>
        <v/>
      </c>
      <c r="X3620" s="75" t="str">
        <f>IF(OR(TH!N5007=TH!$X$7,O3620=TH!$X$7),"x","")</f>
        <v/>
      </c>
      <c r="Y3620" s="75" t="str">
        <f>IF(AND(OR(N3620="131",O3620="131"),H3620='131-CT'!$H$9),"x","")</f>
        <v/>
      </c>
      <c r="Z3620" s="75"/>
      <c r="AA3620" s="75" t="str">
        <f>IF(AND(MONTH(E3620)='IN-NX'!$J$5,'IN-NX'!$D$7=D3620),"x","")</f>
        <v/>
      </c>
      <c r="AB3620" s="75" t="str">
        <f>IF(AND(OR(LEFT(TH!N5007,2)="15",LEFT(TH!O5007,2)="15"),LEFT(TH!O5007,3)&lt;&gt;"111",'152-CT'!$J$8=TH!F5007),"x","")</f>
        <v/>
      </c>
      <c r="AC3620" s="75" t="str">
        <f>IF(AND(OR(LEFT(TH!N5007,2)="15",LEFT(TH!O5007,2)="15"),TK!$E$7=TH!F5007),"x","")</f>
        <v/>
      </c>
      <c r="AD3620" s="75" t="str">
        <f>IF(AND(N3620="1521",MONTH(C3620)='BK-NL'!$M$11),"x","")</f>
        <v/>
      </c>
    </row>
    <row r="3621" spans="1:31" ht="16.5" customHeight="1">
      <c r="A3621" s="309" t="str">
        <f>IF(B3621&lt;&gt;"",IF(AND(B3621='IN-TC'!$S$4,OR(TH!N3621="1111",TH!O3621="1111")),TH!D3621,""),"")</f>
        <v/>
      </c>
      <c r="B3621" s="1131">
        <f t="shared" si="1298"/>
        <v>2</v>
      </c>
      <c r="C3621" s="292">
        <f t="shared" si="1297"/>
        <v>42779</v>
      </c>
      <c r="D3621" s="59" t="s">
        <v>902</v>
      </c>
      <c r="E3621" s="292">
        <v>42779</v>
      </c>
      <c r="F3621" s="62" t="s">
        <v>870</v>
      </c>
      <c r="G3621" s="62" t="s">
        <v>747</v>
      </c>
      <c r="H3621" s="311" t="s">
        <v>835</v>
      </c>
      <c r="I3621" s="373"/>
      <c r="J3621" s="379"/>
      <c r="K3621" s="373"/>
      <c r="L3621" s="379"/>
      <c r="M3621" s="60">
        <v>1000000</v>
      </c>
      <c r="N3621" s="928" t="s">
        <v>101</v>
      </c>
      <c r="O3621" s="61" t="s">
        <v>26</v>
      </c>
      <c r="P3621" s="75" t="str">
        <f>IF(AND('331-CT'!$E$7=TH!H5008,OR(N3621="331",O3621="331")),"x","")</f>
        <v/>
      </c>
      <c r="Q3621" s="75" t="str">
        <f>IF(AND(B3621='111'!$L$11,OR($N3621=$Q$7,$O3621=$Q$7)),"x","")</f>
        <v/>
      </c>
      <c r="R3621" s="75" t="str">
        <f>IF(AND($N3621=$Q$7,$B3621&lt;'111'!$L$11),"x","")</f>
        <v/>
      </c>
      <c r="S3621" s="75" t="str">
        <f>IF(AND($O3621=$Q$7,$B3621&lt;'111'!$L$11),"x","")</f>
        <v/>
      </c>
      <c r="T3621" s="75" t="str">
        <f>IF(ISERROR(FIND('112'!$M$9,G3621,1)),"",IF((AND(FIND('112'!$M$9,G3621,1)&gt;=1,B3621='112'!$K$9,OR($N3621='112'!$I$6,$O3621='112'!$I$6))),"x",""))</f>
        <v/>
      </c>
      <c r="U3621" s="75" t="str">
        <f>IF(ISERROR(FIND('112'!$M$9,G3621,1)),"",IF((AND(LEFT(G3621,2)=LEFT('112'!$M$9,2),B3621&lt;'112'!$K$9,$N3621='112'!$I$6)),"x",""))</f>
        <v/>
      </c>
      <c r="V3621" s="75" t="str">
        <f>IF(ISERROR(FIND('112'!$M$9,G3621,1)),"",IF((AND(RIGHT(G3621,2)=RIGHT('112'!$M$9,2),B3621&lt;'112'!$K$9,$O3621='112'!$I$6)),"x",""))</f>
        <v/>
      </c>
      <c r="W3621" s="75" t="str">
        <f>IF(AND('341-CT'!$H$9=H3621,OR(LEFT(N3621,3)=$W$7,LEFT(O3621,3)=$W$7)),"x","")</f>
        <v/>
      </c>
      <c r="X3621" s="75" t="str">
        <f>IF(OR(TH!N5008=TH!$X$7,O3621=TH!$X$7),"x","")</f>
        <v/>
      </c>
      <c r="Y3621" s="75" t="str">
        <f>IF(AND(OR(N3621="131",O3621="131"),H3621='131-CT'!$H$9),"x","")</f>
        <v/>
      </c>
      <c r="Z3621" s="75"/>
      <c r="AA3621" s="75" t="str">
        <f>IF(AND(MONTH(E3621)='IN-NX'!$J$5,'IN-NX'!$D$7=D3621),"x","")</f>
        <v/>
      </c>
      <c r="AB3621" s="75" t="str">
        <f>IF(AND(OR(LEFT(TH!N5008,2)="15",LEFT(TH!O5008,2)="15"),LEFT(TH!O5008,3)&lt;&gt;"111",'152-CT'!$J$8=TH!F5008),"x","")</f>
        <v/>
      </c>
      <c r="AC3621" s="75" t="str">
        <f>IF(AND(OR(LEFT(TH!N5008,2)="15",LEFT(TH!O5008,2)="15"),TK!$E$7=TH!F5008),"x","")</f>
        <v/>
      </c>
      <c r="AD3621" s="75" t="str">
        <f>IF(AND(N3621="1521",MONTH(C3621)='BK-NL'!$M$11),"x","")</f>
        <v/>
      </c>
    </row>
    <row r="3622" spans="1:31" ht="16.5" customHeight="1">
      <c r="A3622" s="309" t="str">
        <f>IF(B3622&lt;&gt;"",IF(AND(B3622='IN-TC'!$S$4,OR(TH!N3622="1111",TH!O3622="1111")),TH!D3622,""),"")</f>
        <v/>
      </c>
      <c r="B3622" s="1131">
        <f t="shared" si="1298"/>
        <v>2</v>
      </c>
      <c r="C3622" s="292">
        <f t="shared" si="1297"/>
        <v>42779</v>
      </c>
      <c r="D3622" s="59" t="s">
        <v>902</v>
      </c>
      <c r="E3622" s="292">
        <v>42779</v>
      </c>
      <c r="F3622" s="62" t="s">
        <v>898</v>
      </c>
      <c r="G3622" s="62" t="s">
        <v>747</v>
      </c>
      <c r="H3622" s="311" t="s">
        <v>835</v>
      </c>
      <c r="I3622" s="373"/>
      <c r="J3622" s="379"/>
      <c r="K3622" s="373"/>
      <c r="L3622" s="379"/>
      <c r="M3622" s="60">
        <v>100000</v>
      </c>
      <c r="N3622" s="928" t="s">
        <v>9</v>
      </c>
      <c r="O3622" s="61" t="s">
        <v>26</v>
      </c>
      <c r="P3622" s="75" t="str">
        <f>IF(AND('331-CT'!$E$7=TH!H5009,OR(N3622="331",O3622="331")),"x","")</f>
        <v/>
      </c>
      <c r="Q3622" s="75" t="str">
        <f>IF(AND(B3622='111'!$L$11,OR($N3622=$Q$7,$O3622=$Q$7)),"x","")</f>
        <v/>
      </c>
      <c r="R3622" s="75" t="str">
        <f>IF(AND($N3622=$Q$7,$B3622&lt;'111'!$L$11),"x","")</f>
        <v/>
      </c>
      <c r="S3622" s="75" t="str">
        <f>IF(AND($O3622=$Q$7,$B3622&lt;'111'!$L$11),"x","")</f>
        <v/>
      </c>
      <c r="T3622" s="75" t="str">
        <f>IF(ISERROR(FIND('112'!$M$9,G3622,1)),"",IF((AND(FIND('112'!$M$9,G3622,1)&gt;=1,B3622='112'!$K$9,OR($N3622='112'!$I$6,$O3622='112'!$I$6))),"x",""))</f>
        <v/>
      </c>
      <c r="U3622" s="75" t="str">
        <f>IF(ISERROR(FIND('112'!$M$9,G3622,1)),"",IF((AND(LEFT(G3622,2)=LEFT('112'!$M$9,2),B3622&lt;'112'!$K$9,$N3622='112'!$I$6)),"x",""))</f>
        <v/>
      </c>
      <c r="V3622" s="75" t="str">
        <f>IF(ISERROR(FIND('112'!$M$9,G3622,1)),"",IF((AND(RIGHT(G3622,2)=RIGHT('112'!$M$9,2),B3622&lt;'112'!$K$9,$O3622='112'!$I$6)),"x",""))</f>
        <v/>
      </c>
      <c r="W3622" s="75" t="str">
        <f>IF(AND('341-CT'!$H$9=H3622,OR(LEFT(N3622,3)=$W$7,LEFT(O3622,3)=$W$7)),"x","")</f>
        <v/>
      </c>
      <c r="X3622" s="75" t="str">
        <f>IF(OR(TH!N5009=TH!$X$7,O3622=TH!$X$7),"x","")</f>
        <v/>
      </c>
      <c r="Y3622" s="75" t="str">
        <f>IF(AND(OR(N3622="131",O3622="131"),H3622='131-CT'!$H$9),"x","")</f>
        <v/>
      </c>
      <c r="Z3622" s="75"/>
      <c r="AA3622" s="75" t="str">
        <f>IF(AND(MONTH(E3622)='IN-NX'!$J$5,'IN-NX'!$D$7=D3622),"x","")</f>
        <v/>
      </c>
      <c r="AB3622" s="75" t="str">
        <f>IF(AND(OR(LEFT(TH!N5009,2)="15",LEFT(TH!O5009,2)="15"),LEFT(TH!O5009,3)&lt;&gt;"111",'152-CT'!$J$8=TH!F5009),"x","")</f>
        <v/>
      </c>
      <c r="AC3622" s="75" t="str">
        <f>IF(AND(OR(LEFT(TH!N5009,2)="15",LEFT(TH!O5009,2)="15"),TK!$E$7=TH!F5009),"x","")</f>
        <v/>
      </c>
      <c r="AD3622" s="75" t="str">
        <f>IF(AND(N3622="1521",MONTH(C3622)='BK-NL'!$M$11),"x","")</f>
        <v/>
      </c>
    </row>
    <row r="3623" spans="1:31" ht="16.5" customHeight="1">
      <c r="A3623" s="309" t="str">
        <f>IF(B3623&lt;&gt;"",IF(AND(B3623='IN-TC'!$S$4,OR(TH!N3623="1111",TH!O3623="1111")),TH!D3623,""),"")</f>
        <v/>
      </c>
      <c r="B3623" s="1131">
        <f t="shared" si="1298"/>
        <v>2</v>
      </c>
      <c r="C3623" s="292">
        <f t="shared" si="1297"/>
        <v>42780</v>
      </c>
      <c r="D3623" s="292" t="s">
        <v>1930</v>
      </c>
      <c r="E3623" s="292">
        <v>42780</v>
      </c>
      <c r="F3623" s="1010" t="s">
        <v>1881</v>
      </c>
      <c r="G3623" s="925"/>
      <c r="H3623" s="311" t="s">
        <v>1882</v>
      </c>
      <c r="I3623" s="373"/>
      <c r="J3623" s="926"/>
      <c r="K3623" s="373"/>
      <c r="L3623" s="379"/>
      <c r="M3623" s="927">
        <v>1487928000</v>
      </c>
      <c r="N3623" s="295" t="s">
        <v>8</v>
      </c>
      <c r="O3623" s="295" t="s">
        <v>63</v>
      </c>
      <c r="P3623" s="75" t="str">
        <f>IF(AND('331-CT'!$E$7=TH!H4199,OR(N3623="331",O3623="331")),"x","")</f>
        <v/>
      </c>
      <c r="Q3623" s="75" t="str">
        <f>IF(AND(B3623='111'!$L$11,OR($N3623=$Q$7,$O3623=$Q$7)),"x","")</f>
        <v/>
      </c>
      <c r="R3623" s="75" t="str">
        <f>IF(AND($N3623=$Q$7,$B3623&lt;'111'!$L$11),"x","")</f>
        <v/>
      </c>
      <c r="S3623" s="75" t="str">
        <f>IF(AND($O3623=$Q$7,$B3623&lt;'111'!$L$11),"x","")</f>
        <v>x</v>
      </c>
      <c r="T3623" s="75" t="str">
        <f>IF(ISERROR(FIND('112'!$M$9,G3623,1)),"",IF((AND(FIND('112'!$M$9,G3623,1)&gt;=1,B3623='112'!$K$9,OR($N3623='112'!$I$6,$O3623='112'!$I$6))),"x",""))</f>
        <v/>
      </c>
      <c r="U3623" s="75" t="str">
        <f>IF(ISERROR(FIND('112'!$M$9,G3623,1)),"",IF((AND(LEFT(G3623,2)=LEFT('112'!$M$9,2),B3623&lt;'112'!$K$9,$N3623='112'!$I$6)),"x",""))</f>
        <v/>
      </c>
      <c r="V3623" s="75" t="str">
        <f>IF(ISERROR(FIND('112'!$M$9,G3623,1)),"",IF((AND(RIGHT(G3623,2)=RIGHT('112'!$M$9,2),B3623&lt;'112'!$K$9,$O3623='112'!$I$6)),"x",""))</f>
        <v/>
      </c>
      <c r="W3623" s="75" t="str">
        <f>IF(AND('341-CT'!$H$9=H3623,OR(LEFT(N3623,3)=$W$7,LEFT(O3623,3)=$W$7)),"x","")</f>
        <v/>
      </c>
      <c r="X3623" s="75" t="str">
        <f>IF(OR(TH!N4199=TH!$X$7,O3623=TH!$X$7),"x","")</f>
        <v/>
      </c>
      <c r="Y3623" s="75" t="str">
        <f>IF(AND(OR(N3623="131",O3623="131"),H3623='131-CT'!$H$9),"x","")</f>
        <v/>
      </c>
      <c r="Z3623" s="75"/>
      <c r="AA3623" s="75" t="str">
        <f>IF(AND(MONTH(E3623)='IN-NX'!$J$5,'IN-NX'!$D$7=D3623),"x","")</f>
        <v/>
      </c>
      <c r="AB3623" s="75" t="str">
        <f>IF(AND(OR(LEFT(TH!N4199,2)="15",LEFT(TH!O4199,2)="15"),LEFT(TH!O4199,3)&lt;&gt;"111",'152-CT'!$J$8=TH!F4199),"x","")</f>
        <v/>
      </c>
      <c r="AC3623" s="75" t="str">
        <f>IF(AND(OR(LEFT(TH!N4199,2)="15",LEFT(TH!O4199,2)="15"),TK!$E$7=TH!F4199),"x","")</f>
        <v/>
      </c>
      <c r="AD3623" s="75" t="str">
        <f>IF(AND(N3623="1521",MONTH(C3623)='BK-NL'!$M$11),"x","")</f>
        <v/>
      </c>
    </row>
    <row r="3624" spans="1:31" ht="16.5" customHeight="1">
      <c r="A3624" s="309" t="str">
        <f>IF(B3624&lt;&gt;"",IF(AND(B3624='IN-TC'!$S$4,OR(TH!N3624="1111",TH!O3624="1111")),TH!D3624,""),"")</f>
        <v/>
      </c>
      <c r="B3624" s="1131">
        <f t="shared" si="1298"/>
        <v>2</v>
      </c>
      <c r="C3624" s="292">
        <f t="shared" si="1297"/>
        <v>42780</v>
      </c>
      <c r="D3624" s="292" t="s">
        <v>1930</v>
      </c>
      <c r="E3624" s="292">
        <v>42780</v>
      </c>
      <c r="F3624" s="1029" t="s">
        <v>1883</v>
      </c>
      <c r="G3624" s="925"/>
      <c r="H3624" s="311"/>
      <c r="I3624" s="373"/>
      <c r="J3624" s="926"/>
      <c r="K3624" s="373"/>
      <c r="L3624" s="379"/>
      <c r="M3624" s="927">
        <v>1190342</v>
      </c>
      <c r="N3624" s="295" t="s">
        <v>101</v>
      </c>
      <c r="O3624" s="295" t="s">
        <v>63</v>
      </c>
      <c r="P3624" s="75" t="str">
        <f>IF(AND('331-CT'!$E$7=TH!H4200,OR(N3624="331",O3624="331")),"x","")</f>
        <v/>
      </c>
      <c r="Q3624" s="75" t="str">
        <f>IF(AND(B3624='111'!$L$11,OR($N3624=$Q$7,$O3624=$Q$7)),"x","")</f>
        <v/>
      </c>
      <c r="R3624" s="75" t="str">
        <f>IF(AND($N3624=$Q$7,$B3624&lt;'111'!$L$11),"x","")</f>
        <v/>
      </c>
      <c r="S3624" s="75" t="str">
        <f>IF(AND($O3624=$Q$7,$B3624&lt;'111'!$L$11),"x","")</f>
        <v>x</v>
      </c>
      <c r="T3624" s="75" t="str">
        <f>IF(ISERROR(FIND('112'!$M$9,G3624,1)),"",IF((AND(FIND('112'!$M$9,G3624,1)&gt;=1,B3624='112'!$K$9,OR($N3624='112'!$I$6,$O3624='112'!$I$6))),"x",""))</f>
        <v/>
      </c>
      <c r="U3624" s="75" t="str">
        <f>IF(ISERROR(FIND('112'!$M$9,G3624,1)),"",IF((AND(LEFT(G3624,2)=LEFT('112'!$M$9,2),B3624&lt;'112'!$K$9,$N3624='112'!$I$6)),"x",""))</f>
        <v/>
      </c>
      <c r="V3624" s="75" t="str">
        <f>IF(ISERROR(FIND('112'!$M$9,G3624,1)),"",IF((AND(RIGHT(G3624,2)=RIGHT('112'!$M$9,2),B3624&lt;'112'!$K$9,$O3624='112'!$I$6)),"x",""))</f>
        <v/>
      </c>
      <c r="W3624" s="75" t="str">
        <f>IF(AND('341-CT'!$H$9=H3624,OR(LEFT(N3624,3)=$W$7,LEFT(O3624,3)=$W$7)),"x","")</f>
        <v/>
      </c>
      <c r="X3624" s="75" t="str">
        <f>IF(OR(TH!N4200=TH!$X$7,O3624=TH!$X$7),"x","")</f>
        <v/>
      </c>
      <c r="Y3624" s="75" t="str">
        <f>IF(AND(OR(N3624="131",O3624="131"),H3624='131-CT'!$H$9),"x","")</f>
        <v/>
      </c>
      <c r="Z3624" s="75"/>
      <c r="AA3624" s="75" t="str">
        <f>IF(AND(MONTH(E3624)='IN-NX'!$J$5,'IN-NX'!$D$7=D3624),"x","")</f>
        <v/>
      </c>
      <c r="AB3624" s="75" t="str">
        <f>IF(AND(OR(LEFT(TH!N4200,2)="15",LEFT(TH!O4200,2)="15"),LEFT(TH!O4200,3)&lt;&gt;"111",'152-CT'!$J$8=TH!F4200),"x","")</f>
        <v/>
      </c>
      <c r="AC3624" s="75" t="str">
        <f>IF(AND(OR(LEFT(TH!N4200,2)="15",LEFT(TH!O4200,2)="15"),TK!$E$7=TH!F4200),"x","")</f>
        <v/>
      </c>
      <c r="AD3624" s="75" t="str">
        <f>IF(AND(N3624="1521",MONTH(C3624)='BK-NL'!$M$11),"x","")</f>
        <v/>
      </c>
      <c r="AE3624">
        <v>9</v>
      </c>
    </row>
    <row r="3625" spans="1:31" ht="16.5" customHeight="1">
      <c r="A3625" s="309" t="str">
        <f>IF(B3625&lt;&gt;"",IF(AND(B3625='IN-TC'!$S$4,OR(TH!N3625="1111",TH!O3625="1111")),TH!D3625,""),"")</f>
        <v/>
      </c>
      <c r="B3625" s="1131">
        <f t="shared" si="1298"/>
        <v>2</v>
      </c>
      <c r="C3625" s="292">
        <f t="shared" si="1297"/>
        <v>42780</v>
      </c>
      <c r="D3625" s="292" t="s">
        <v>1930</v>
      </c>
      <c r="E3625" s="292">
        <v>42780</v>
      </c>
      <c r="F3625" s="1029" t="s">
        <v>1895</v>
      </c>
      <c r="G3625" s="925"/>
      <c r="H3625" s="311"/>
      <c r="I3625" s="373"/>
      <c r="J3625" s="926"/>
      <c r="K3625" s="373"/>
      <c r="L3625" s="379"/>
      <c r="M3625" s="927">
        <v>119034</v>
      </c>
      <c r="N3625" s="295" t="s">
        <v>9</v>
      </c>
      <c r="O3625" s="295" t="s">
        <v>63</v>
      </c>
      <c r="P3625" s="75" t="str">
        <f>IF(AND('331-CT'!$E$7=TH!H4201,OR(N3625="331",O3625="331")),"x","")</f>
        <v/>
      </c>
      <c r="Q3625" s="75" t="str">
        <f>IF(AND(B3625='111'!$L$11,OR($N3625=$Q$7,$O3625=$Q$7)),"x","")</f>
        <v/>
      </c>
      <c r="R3625" s="75" t="str">
        <f>IF(AND($N3625=$Q$7,$B3625&lt;'111'!$L$11),"x","")</f>
        <v/>
      </c>
      <c r="S3625" s="75" t="str">
        <f>IF(AND($O3625=$Q$7,$B3625&lt;'111'!$L$11),"x","")</f>
        <v>x</v>
      </c>
      <c r="T3625" s="75" t="str">
        <f>IF(ISERROR(FIND('112'!$M$9,G3625,1)),"",IF((AND(FIND('112'!$M$9,G3625,1)&gt;=1,B3625='112'!$K$9,OR($N3625='112'!$I$6,$O3625='112'!$I$6))),"x",""))</f>
        <v/>
      </c>
      <c r="U3625" s="75" t="str">
        <f>IF(ISERROR(FIND('112'!$M$9,G3625,1)),"",IF((AND(LEFT(G3625,2)=LEFT('112'!$M$9,2),B3625&lt;'112'!$K$9,$N3625='112'!$I$6)),"x",""))</f>
        <v/>
      </c>
      <c r="V3625" s="75" t="str">
        <f>IF(ISERROR(FIND('112'!$M$9,G3625,1)),"",IF((AND(RIGHT(G3625,2)=RIGHT('112'!$M$9,2),B3625&lt;'112'!$K$9,$O3625='112'!$I$6)),"x",""))</f>
        <v/>
      </c>
      <c r="W3625" s="75" t="str">
        <f>IF(AND('341-CT'!$H$9=H3625,OR(LEFT(N3625,3)=$W$7,LEFT(O3625,3)=$W$7)),"x","")</f>
        <v/>
      </c>
      <c r="X3625" s="75" t="str">
        <f>IF(OR(TH!N4201=TH!$X$7,O3625=TH!$X$7),"x","")</f>
        <v/>
      </c>
      <c r="Y3625" s="75" t="str">
        <f>IF(AND(OR(N3625="131",O3625="131"),H3625='131-CT'!$H$9),"x","")</f>
        <v/>
      </c>
      <c r="Z3625" s="75"/>
      <c r="AA3625" s="75" t="str">
        <f>IF(AND(MONTH(E3625)='IN-NX'!$J$5,'IN-NX'!$D$7=D3625),"x","")</f>
        <v/>
      </c>
      <c r="AB3625" s="75" t="str">
        <f>IF(AND(OR(LEFT(TH!N4201,2)="15",LEFT(TH!O4201,2)="15"),LEFT(TH!O4201,3)&lt;&gt;"111",'152-CT'!$J$8=TH!F4201),"x","")</f>
        <v/>
      </c>
      <c r="AC3625" s="75" t="str">
        <f>IF(AND(OR(LEFT(TH!N4201,2)="15",LEFT(TH!O4201,2)="15"),TK!$E$7=TH!F4201),"x","")</f>
        <v/>
      </c>
      <c r="AD3625" s="75" t="str">
        <f>IF(AND(N3625="1521",MONTH(C3625)='BK-NL'!$M$11),"x","")</f>
        <v/>
      </c>
      <c r="AE3625">
        <v>9</v>
      </c>
    </row>
    <row r="3626" spans="1:31" ht="16.5" customHeight="1">
      <c r="A3626" s="309" t="str">
        <f>IF(B3626&lt;&gt;"",IF(AND(B3626='IN-TC'!$S$4,OR(TH!N3626="1111",TH!O3626="1111")),TH!D3626,""),"")</f>
        <v/>
      </c>
      <c r="B3626" s="1131">
        <f t="shared" si="1298"/>
        <v>2</v>
      </c>
      <c r="C3626" s="292">
        <f t="shared" si="1297"/>
        <v>42780</v>
      </c>
      <c r="D3626" s="292" t="s">
        <v>1931</v>
      </c>
      <c r="E3626" s="292">
        <v>42780</v>
      </c>
      <c r="F3626" s="1029" t="s">
        <v>1881</v>
      </c>
      <c r="G3626" s="925"/>
      <c r="H3626" s="311" t="s">
        <v>1889</v>
      </c>
      <c r="I3626" s="373"/>
      <c r="J3626" s="926"/>
      <c r="K3626" s="373"/>
      <c r="L3626" s="379"/>
      <c r="M3626" s="927">
        <v>1519050000</v>
      </c>
      <c r="N3626" s="295" t="s">
        <v>8</v>
      </c>
      <c r="O3626" s="295" t="s">
        <v>63</v>
      </c>
      <c r="P3626" s="75" t="str">
        <f>IF(AND('331-CT'!$E$7=TH!H4202,OR(N3626="331",O3626="331")),"x","")</f>
        <v/>
      </c>
      <c r="Q3626" s="75" t="str">
        <f>IF(AND(B3626='111'!$L$11,OR($N3626=$Q$7,$O3626=$Q$7)),"x","")</f>
        <v/>
      </c>
      <c r="R3626" s="75" t="str">
        <f>IF(AND($N3626=$Q$7,$B3626&lt;'111'!$L$11),"x","")</f>
        <v/>
      </c>
      <c r="S3626" s="75" t="str">
        <f>IF(AND($O3626=$Q$7,$B3626&lt;'111'!$L$11),"x","")</f>
        <v>x</v>
      </c>
      <c r="T3626" s="75" t="str">
        <f>IF(ISERROR(FIND('112'!$M$9,G3626,1)),"",IF((AND(FIND('112'!$M$9,G3626,1)&gt;=1,B3626='112'!$K$9,OR($N3626='112'!$I$6,$O3626='112'!$I$6))),"x",""))</f>
        <v/>
      </c>
      <c r="U3626" s="75" t="str">
        <f>IF(ISERROR(FIND('112'!$M$9,G3626,1)),"",IF((AND(LEFT(G3626,2)=LEFT('112'!$M$9,2),B3626&lt;'112'!$K$9,$N3626='112'!$I$6)),"x",""))</f>
        <v/>
      </c>
      <c r="V3626" s="75" t="str">
        <f>IF(ISERROR(FIND('112'!$M$9,G3626,1)),"",IF((AND(RIGHT(G3626,2)=RIGHT('112'!$M$9,2),B3626&lt;'112'!$K$9,$O3626='112'!$I$6)),"x",""))</f>
        <v/>
      </c>
      <c r="W3626" s="75" t="str">
        <f>IF(AND('341-CT'!$H$9=H3626,OR(LEFT(N3626,3)=$W$7,LEFT(O3626,3)=$W$7)),"x","")</f>
        <v/>
      </c>
      <c r="X3626" s="75" t="str">
        <f>IF(OR(TH!N4202=TH!$X$7,O3626=TH!$X$7),"x","")</f>
        <v/>
      </c>
      <c r="Y3626" s="75" t="str">
        <f>IF(AND(OR(N3626="131",O3626="131"),H3626='131-CT'!$H$9),"x","")</f>
        <v/>
      </c>
      <c r="Z3626" s="75"/>
      <c r="AA3626" s="75" t="str">
        <f>IF(AND(MONTH(E3626)='IN-NX'!$J$5,'IN-NX'!$D$7=D3626),"x","")</f>
        <v/>
      </c>
      <c r="AB3626" s="75" t="str">
        <f>IF(AND(OR(LEFT(TH!N4202,2)="15",LEFT(TH!O4202,2)="15"),LEFT(TH!O4202,3)&lt;&gt;"111",'152-CT'!$J$8=TH!F4202),"x","")</f>
        <v/>
      </c>
      <c r="AC3626" s="75" t="str">
        <f>IF(AND(OR(LEFT(TH!N4202,2)="15",LEFT(TH!O4202,2)="15"),TK!$E$7=TH!F4202),"x","")</f>
        <v/>
      </c>
      <c r="AD3626" s="75" t="str">
        <f>IF(AND(N3626="1521",MONTH(C3626)='BK-NL'!$M$11),"x","")</f>
        <v/>
      </c>
    </row>
    <row r="3627" spans="1:31" ht="16.5" customHeight="1">
      <c r="A3627" s="309" t="str">
        <f>IF(B3627&lt;&gt;"",IF(AND(B3627='IN-TC'!$S$4,OR(TH!N3627="1111",TH!O3627="1111")),TH!D3627,""),"")</f>
        <v/>
      </c>
      <c r="B3627" s="1131">
        <f t="shared" si="1298"/>
        <v>2</v>
      </c>
      <c r="C3627" s="292">
        <f t="shared" si="1297"/>
        <v>42780</v>
      </c>
      <c r="D3627" s="292" t="s">
        <v>1931</v>
      </c>
      <c r="E3627" s="292">
        <v>42780</v>
      </c>
      <c r="F3627" s="1029" t="s">
        <v>1883</v>
      </c>
      <c r="G3627" s="925"/>
      <c r="H3627" s="311"/>
      <c r="I3627" s="373"/>
      <c r="J3627" s="926"/>
      <c r="K3627" s="373"/>
      <c r="L3627" s="379"/>
      <c r="M3627" s="927">
        <v>1215240</v>
      </c>
      <c r="N3627" s="295" t="s">
        <v>101</v>
      </c>
      <c r="O3627" s="295" t="s">
        <v>63</v>
      </c>
      <c r="P3627" s="75" t="str">
        <f>IF(AND('331-CT'!$E$7=TH!H4203,OR(N3627="331",O3627="331")),"x","")</f>
        <v/>
      </c>
      <c r="Q3627" s="75" t="str">
        <f>IF(AND(B3627='111'!$L$11,OR($N3627=$Q$7,$O3627=$Q$7)),"x","")</f>
        <v/>
      </c>
      <c r="R3627" s="75" t="str">
        <f>IF(AND($N3627=$Q$7,$B3627&lt;'111'!$L$11),"x","")</f>
        <v/>
      </c>
      <c r="S3627" s="75" t="str">
        <f>IF(AND($O3627=$Q$7,$B3627&lt;'111'!$L$11),"x","")</f>
        <v>x</v>
      </c>
      <c r="T3627" s="75" t="str">
        <f>IF(ISERROR(FIND('112'!$M$9,G3627,1)),"",IF((AND(FIND('112'!$M$9,G3627,1)&gt;=1,B3627='112'!$K$9,OR($N3627='112'!$I$6,$O3627='112'!$I$6))),"x",""))</f>
        <v/>
      </c>
      <c r="U3627" s="75" t="str">
        <f>IF(ISERROR(FIND('112'!$M$9,G3627,1)),"",IF((AND(LEFT(G3627,2)=LEFT('112'!$M$9,2),B3627&lt;'112'!$K$9,$N3627='112'!$I$6)),"x",""))</f>
        <v/>
      </c>
      <c r="V3627" s="75" t="str">
        <f>IF(ISERROR(FIND('112'!$M$9,G3627,1)),"",IF((AND(RIGHT(G3627,2)=RIGHT('112'!$M$9,2),B3627&lt;'112'!$K$9,$O3627='112'!$I$6)),"x",""))</f>
        <v/>
      </c>
      <c r="W3627" s="75" t="str">
        <f>IF(AND('341-CT'!$H$9=H3627,OR(LEFT(N3627,3)=$W$7,LEFT(O3627,3)=$W$7)),"x","")</f>
        <v/>
      </c>
      <c r="X3627" s="75" t="str">
        <f>IF(OR(TH!N4203=TH!$X$7,O3627=TH!$X$7),"x","")</f>
        <v/>
      </c>
      <c r="Y3627" s="75" t="str">
        <f>IF(AND(OR(N3627="131",O3627="131"),H3627='131-CT'!$H$9),"x","")</f>
        <v/>
      </c>
      <c r="Z3627" s="75"/>
      <c r="AA3627" s="75" t="str">
        <f>IF(AND(MONTH(E3627)='IN-NX'!$J$5,'IN-NX'!$D$7=D3627),"x","")</f>
        <v/>
      </c>
      <c r="AB3627" s="75" t="str">
        <f>IF(AND(OR(LEFT(TH!N4203,2)="15",LEFT(TH!O4203,2)="15"),LEFT(TH!O4203,3)&lt;&gt;"111",'152-CT'!$J$8=TH!F4203),"x","")</f>
        <v/>
      </c>
      <c r="AC3627" s="75" t="str">
        <f>IF(AND(OR(LEFT(TH!N4203,2)="15",LEFT(TH!O4203,2)="15"),TK!$E$7=TH!F4203),"x","")</f>
        <v/>
      </c>
      <c r="AD3627" s="75" t="str">
        <f>IF(AND(N3627="1521",MONTH(C3627)='BK-NL'!$M$11),"x","")</f>
        <v/>
      </c>
      <c r="AE3627">
        <v>9</v>
      </c>
    </row>
    <row r="3628" spans="1:31" ht="16.5" customHeight="1">
      <c r="A3628" s="309" t="str">
        <f>IF(B3628&lt;&gt;"",IF(AND(B3628='IN-TC'!$S$4,OR(TH!N3628="1111",TH!O3628="1111")),TH!D3628,""),"")</f>
        <v/>
      </c>
      <c r="B3628" s="1131">
        <f t="shared" si="1298"/>
        <v>2</v>
      </c>
      <c r="C3628" s="292">
        <f t="shared" si="1297"/>
        <v>42780</v>
      </c>
      <c r="D3628" s="292" t="s">
        <v>1931</v>
      </c>
      <c r="E3628" s="292">
        <v>42780</v>
      </c>
      <c r="F3628" s="1029" t="s">
        <v>1895</v>
      </c>
      <c r="G3628" s="925"/>
      <c r="H3628" s="311"/>
      <c r="I3628" s="373"/>
      <c r="J3628" s="926"/>
      <c r="K3628" s="373"/>
      <c r="L3628" s="379"/>
      <c r="M3628" s="927">
        <v>121524</v>
      </c>
      <c r="N3628" s="295" t="s">
        <v>9</v>
      </c>
      <c r="O3628" s="295" t="s">
        <v>63</v>
      </c>
      <c r="P3628" s="75" t="str">
        <f>IF(AND('331-CT'!$E$7=TH!H4204,OR(N3628="331",O3628="331")),"x","")</f>
        <v/>
      </c>
      <c r="Q3628" s="75" t="str">
        <f>IF(AND(B3628='111'!$L$11,OR($N3628=$Q$7,$O3628=$Q$7)),"x","")</f>
        <v/>
      </c>
      <c r="R3628" s="75" t="str">
        <f>IF(AND($N3628=$Q$7,$B3628&lt;'111'!$L$11),"x","")</f>
        <v/>
      </c>
      <c r="S3628" s="75" t="str">
        <f>IF(AND($O3628=$Q$7,$B3628&lt;'111'!$L$11),"x","")</f>
        <v>x</v>
      </c>
      <c r="T3628" s="75" t="str">
        <f>IF(ISERROR(FIND('112'!$M$9,G3628,1)),"",IF((AND(FIND('112'!$M$9,G3628,1)&gt;=1,B3628='112'!$K$9,OR($N3628='112'!$I$6,$O3628='112'!$I$6))),"x",""))</f>
        <v/>
      </c>
      <c r="U3628" s="75" t="str">
        <f>IF(ISERROR(FIND('112'!$M$9,G3628,1)),"",IF((AND(LEFT(G3628,2)=LEFT('112'!$M$9,2),B3628&lt;'112'!$K$9,$N3628='112'!$I$6)),"x",""))</f>
        <v/>
      </c>
      <c r="V3628" s="75" t="str">
        <f>IF(ISERROR(FIND('112'!$M$9,G3628,1)),"",IF((AND(RIGHT(G3628,2)=RIGHT('112'!$M$9,2),B3628&lt;'112'!$K$9,$O3628='112'!$I$6)),"x",""))</f>
        <v/>
      </c>
      <c r="W3628" s="75" t="str">
        <f>IF(AND('341-CT'!$H$9=H3628,OR(LEFT(N3628,3)=$W$7,LEFT(O3628,3)=$W$7)),"x","")</f>
        <v/>
      </c>
      <c r="X3628" s="75" t="str">
        <f>IF(OR(TH!N4204=TH!$X$7,O3628=TH!$X$7),"x","")</f>
        <v/>
      </c>
      <c r="Y3628" s="75" t="str">
        <f>IF(AND(OR(N3628="131",O3628="131"),H3628='131-CT'!$H$9),"x","")</f>
        <v/>
      </c>
      <c r="Z3628" s="75"/>
      <c r="AA3628" s="75" t="str">
        <f>IF(AND(MONTH(E3628)='IN-NX'!$J$5,'IN-NX'!$D$7=D3628),"x","")</f>
        <v/>
      </c>
      <c r="AB3628" s="75" t="str">
        <f>IF(AND(OR(LEFT(TH!N4204,2)="15",LEFT(TH!O4204,2)="15"),LEFT(TH!O4204,3)&lt;&gt;"111",'152-CT'!$J$8=TH!F4204),"x","")</f>
        <v/>
      </c>
      <c r="AC3628" s="75" t="str">
        <f>IF(AND(OR(LEFT(TH!N4204,2)="15",LEFT(TH!O4204,2)="15"),TK!$E$7=TH!F4204),"x","")</f>
        <v/>
      </c>
      <c r="AD3628" s="75" t="str">
        <f>IF(AND(N3628="1521",MONTH(C3628)='BK-NL'!$M$11),"x","")</f>
        <v/>
      </c>
      <c r="AE3628">
        <v>9</v>
      </c>
    </row>
    <row r="3629" spans="1:31" ht="16.5" customHeight="1">
      <c r="A3629" s="309" t="str">
        <f>IF(B3629&lt;&gt;"",IF(AND(B3629='IN-TC'!$S$4,OR(TH!N3629="1111",TH!O3629="1111")),TH!D3629,""),"")</f>
        <v/>
      </c>
      <c r="B3629" s="1131">
        <f t="shared" si="1298"/>
        <v>2</v>
      </c>
      <c r="C3629" s="292">
        <f t="shared" si="1297"/>
        <v>42780</v>
      </c>
      <c r="D3629" s="292" t="s">
        <v>1932</v>
      </c>
      <c r="E3629" s="292">
        <v>42780</v>
      </c>
      <c r="F3629" s="1029" t="s">
        <v>1881</v>
      </c>
      <c r="G3629" s="925"/>
      <c r="H3629" s="311" t="s">
        <v>1887</v>
      </c>
      <c r="I3629" s="373"/>
      <c r="J3629" s="926"/>
      <c r="K3629" s="373"/>
      <c r="L3629" s="379"/>
      <c r="M3629" s="927">
        <v>1511640000</v>
      </c>
      <c r="N3629" s="295" t="s">
        <v>8</v>
      </c>
      <c r="O3629" s="295" t="s">
        <v>63</v>
      </c>
      <c r="P3629" s="75" t="str">
        <f>IF(AND('331-CT'!$E$7=TH!H4205,OR(N3629="331",O3629="331")),"x","")</f>
        <v/>
      </c>
      <c r="Q3629" s="75" t="str">
        <f>IF(AND(B3629='111'!$L$11,OR($N3629=$Q$7,$O3629=$Q$7)),"x","")</f>
        <v/>
      </c>
      <c r="R3629" s="75" t="str">
        <f>IF(AND($N3629=$Q$7,$B3629&lt;'111'!$L$11),"x","")</f>
        <v/>
      </c>
      <c r="S3629" s="75" t="str">
        <f>IF(AND($O3629=$Q$7,$B3629&lt;'111'!$L$11),"x","")</f>
        <v>x</v>
      </c>
      <c r="T3629" s="75" t="str">
        <f>IF(ISERROR(FIND('112'!$M$9,G3629,1)),"",IF((AND(FIND('112'!$M$9,G3629,1)&gt;=1,B3629='112'!$K$9,OR($N3629='112'!$I$6,$O3629='112'!$I$6))),"x",""))</f>
        <v/>
      </c>
      <c r="U3629" s="75" t="str">
        <f>IF(ISERROR(FIND('112'!$M$9,G3629,1)),"",IF((AND(LEFT(G3629,2)=LEFT('112'!$M$9,2),B3629&lt;'112'!$K$9,$N3629='112'!$I$6)),"x",""))</f>
        <v/>
      </c>
      <c r="V3629" s="75" t="str">
        <f>IF(ISERROR(FIND('112'!$M$9,G3629,1)),"",IF((AND(RIGHT(G3629,2)=RIGHT('112'!$M$9,2),B3629&lt;'112'!$K$9,$O3629='112'!$I$6)),"x",""))</f>
        <v/>
      </c>
      <c r="W3629" s="75" t="str">
        <f>IF(AND('341-CT'!$H$9=H3629,OR(LEFT(N3629,3)=$W$7,LEFT(O3629,3)=$W$7)),"x","")</f>
        <v/>
      </c>
      <c r="X3629" s="75" t="str">
        <f>IF(OR(TH!N4205=TH!$X$7,O3629=TH!$X$7),"x","")</f>
        <v/>
      </c>
      <c r="Y3629" s="75" t="str">
        <f>IF(AND(OR(N3629="131",O3629="131"),H3629='131-CT'!$H$9),"x","")</f>
        <v/>
      </c>
      <c r="Z3629" s="75"/>
      <c r="AA3629" s="75" t="str">
        <f>IF(AND(MONTH(E3629)='IN-NX'!$J$5,'IN-NX'!$D$7=D3629),"x","")</f>
        <v/>
      </c>
      <c r="AB3629" s="75" t="str">
        <f>IF(AND(OR(LEFT(TH!N4205,2)="15",LEFT(TH!O4205,2)="15"),LEFT(TH!O4205,3)&lt;&gt;"111",'152-CT'!$J$8=TH!F4205),"x","")</f>
        <v/>
      </c>
      <c r="AC3629" s="75" t="str">
        <f>IF(AND(OR(LEFT(TH!N4205,2)="15",LEFT(TH!O4205,2)="15"),TK!$E$7=TH!F4205),"x","")</f>
        <v/>
      </c>
      <c r="AD3629" s="75" t="str">
        <f>IF(AND(N3629="1521",MONTH(C3629)='BK-NL'!$M$11),"x","")</f>
        <v/>
      </c>
    </row>
    <row r="3630" spans="1:31" ht="16.5" customHeight="1">
      <c r="A3630" s="309" t="str">
        <f>IF(B3630&lt;&gt;"",IF(AND(B3630='IN-TC'!$S$4,OR(TH!N3630="1111",TH!O3630="1111")),TH!D3630,""),"")</f>
        <v/>
      </c>
      <c r="B3630" s="1131">
        <f t="shared" si="1298"/>
        <v>2</v>
      </c>
      <c r="C3630" s="292">
        <f t="shared" si="1297"/>
        <v>42780</v>
      </c>
      <c r="D3630" s="292" t="s">
        <v>1932</v>
      </c>
      <c r="E3630" s="292">
        <v>42780</v>
      </c>
      <c r="F3630" s="1029" t="s">
        <v>1883</v>
      </c>
      <c r="G3630" s="925"/>
      <c r="H3630" s="311"/>
      <c r="I3630" s="373"/>
      <c r="J3630" s="926"/>
      <c r="K3630" s="373"/>
      <c r="L3630" s="379"/>
      <c r="M3630" s="927">
        <v>1209312</v>
      </c>
      <c r="N3630" s="295" t="s">
        <v>101</v>
      </c>
      <c r="O3630" s="295" t="s">
        <v>63</v>
      </c>
      <c r="P3630" s="75" t="str">
        <f>IF(AND('331-CT'!$E$7=TH!H4206,OR(N3630="331",O3630="331")),"x","")</f>
        <v/>
      </c>
      <c r="Q3630" s="75" t="str">
        <f>IF(AND(B3630='111'!$L$11,OR($N3630=$Q$7,$O3630=$Q$7)),"x","")</f>
        <v/>
      </c>
      <c r="R3630" s="75" t="str">
        <f>IF(AND($N3630=$Q$7,$B3630&lt;'111'!$L$11),"x","")</f>
        <v/>
      </c>
      <c r="S3630" s="75" t="str">
        <f>IF(AND($O3630=$Q$7,$B3630&lt;'111'!$L$11),"x","")</f>
        <v>x</v>
      </c>
      <c r="T3630" s="75" t="str">
        <f>IF(ISERROR(FIND('112'!$M$9,G3630,1)),"",IF((AND(FIND('112'!$M$9,G3630,1)&gt;=1,B3630='112'!$K$9,OR($N3630='112'!$I$6,$O3630='112'!$I$6))),"x",""))</f>
        <v/>
      </c>
      <c r="U3630" s="75" t="str">
        <f>IF(ISERROR(FIND('112'!$M$9,G3630,1)),"",IF((AND(LEFT(G3630,2)=LEFT('112'!$M$9,2),B3630&lt;'112'!$K$9,$N3630='112'!$I$6)),"x",""))</f>
        <v/>
      </c>
      <c r="V3630" s="75" t="str">
        <f>IF(ISERROR(FIND('112'!$M$9,G3630,1)),"",IF((AND(RIGHT(G3630,2)=RIGHT('112'!$M$9,2),B3630&lt;'112'!$K$9,$O3630='112'!$I$6)),"x",""))</f>
        <v/>
      </c>
      <c r="W3630" s="75" t="str">
        <f>IF(AND('341-CT'!$H$9=H3630,OR(LEFT(N3630,3)=$W$7,LEFT(O3630,3)=$W$7)),"x","")</f>
        <v/>
      </c>
      <c r="X3630" s="75" t="str">
        <f>IF(OR(TH!N4206=TH!$X$7,O3630=TH!$X$7),"x","")</f>
        <v/>
      </c>
      <c r="Y3630" s="75" t="str">
        <f>IF(AND(OR(N3630="131",O3630="131"),H3630='131-CT'!$H$9),"x","")</f>
        <v/>
      </c>
      <c r="Z3630" s="75"/>
      <c r="AA3630" s="75" t="str">
        <f>IF(AND(MONTH(E3630)='IN-NX'!$J$5,'IN-NX'!$D$7=D3630),"x","")</f>
        <v/>
      </c>
      <c r="AB3630" s="75" t="str">
        <f>IF(AND(OR(LEFT(TH!N4206,2)="15",LEFT(TH!O4206,2)="15"),LEFT(TH!O4206,3)&lt;&gt;"111",'152-CT'!$J$8=TH!F4206),"x","")</f>
        <v/>
      </c>
      <c r="AC3630" s="75" t="str">
        <f>IF(AND(OR(LEFT(TH!N4206,2)="15",LEFT(TH!O4206,2)="15"),TK!$E$7=TH!F4206),"x","")</f>
        <v/>
      </c>
      <c r="AD3630" s="75" t="str">
        <f>IF(AND(N3630="1521",MONTH(C3630)='BK-NL'!$M$11),"x","")</f>
        <v/>
      </c>
      <c r="AE3630">
        <v>9</v>
      </c>
    </row>
    <row r="3631" spans="1:31" ht="16.5" customHeight="1">
      <c r="A3631" s="309" t="str">
        <f>IF(B3631&lt;&gt;"",IF(AND(B3631='IN-TC'!$S$4,OR(TH!N3631="1111",TH!O3631="1111")),TH!D3631,""),"")</f>
        <v/>
      </c>
      <c r="B3631" s="1131">
        <f t="shared" si="1298"/>
        <v>2</v>
      </c>
      <c r="C3631" s="292">
        <f t="shared" si="1297"/>
        <v>42780</v>
      </c>
      <c r="D3631" s="292" t="s">
        <v>1932</v>
      </c>
      <c r="E3631" s="292">
        <v>42780</v>
      </c>
      <c r="F3631" s="1029" t="s">
        <v>1895</v>
      </c>
      <c r="G3631" s="925"/>
      <c r="H3631" s="311"/>
      <c r="I3631" s="373"/>
      <c r="J3631" s="926"/>
      <c r="K3631" s="373"/>
      <c r="L3631" s="379"/>
      <c r="M3631" s="927">
        <v>120931</v>
      </c>
      <c r="N3631" s="295" t="s">
        <v>9</v>
      </c>
      <c r="O3631" s="295" t="s">
        <v>63</v>
      </c>
      <c r="P3631" s="75" t="str">
        <f>IF(AND('331-CT'!$E$7=TH!H4207,OR(N3631="331",O3631="331")),"x","")</f>
        <v/>
      </c>
      <c r="Q3631" s="75" t="str">
        <f>IF(AND(B3631='111'!$L$11,OR($N3631=$Q$7,$O3631=$Q$7)),"x","")</f>
        <v/>
      </c>
      <c r="R3631" s="75" t="str">
        <f>IF(AND($N3631=$Q$7,$B3631&lt;'111'!$L$11),"x","")</f>
        <v/>
      </c>
      <c r="S3631" s="75" t="str">
        <f>IF(AND($O3631=$Q$7,$B3631&lt;'111'!$L$11),"x","")</f>
        <v>x</v>
      </c>
      <c r="T3631" s="75" t="str">
        <f>IF(ISERROR(FIND('112'!$M$9,G3631,1)),"",IF((AND(FIND('112'!$M$9,G3631,1)&gt;=1,B3631='112'!$K$9,OR($N3631='112'!$I$6,$O3631='112'!$I$6))),"x",""))</f>
        <v/>
      </c>
      <c r="U3631" s="75" t="str">
        <f>IF(ISERROR(FIND('112'!$M$9,G3631,1)),"",IF((AND(LEFT(G3631,2)=LEFT('112'!$M$9,2),B3631&lt;'112'!$K$9,$N3631='112'!$I$6)),"x",""))</f>
        <v/>
      </c>
      <c r="V3631" s="75" t="str">
        <f>IF(ISERROR(FIND('112'!$M$9,G3631,1)),"",IF((AND(RIGHT(G3631,2)=RIGHT('112'!$M$9,2),B3631&lt;'112'!$K$9,$O3631='112'!$I$6)),"x",""))</f>
        <v/>
      </c>
      <c r="W3631" s="75" t="str">
        <f>IF(AND('341-CT'!$H$9=H3631,OR(LEFT(N3631,3)=$W$7,LEFT(O3631,3)=$W$7)),"x","")</f>
        <v/>
      </c>
      <c r="X3631" s="75" t="str">
        <f>IF(OR(TH!N4207=TH!$X$7,O3631=TH!$X$7),"x","")</f>
        <v/>
      </c>
      <c r="Y3631" s="75" t="str">
        <f>IF(AND(OR(N3631="131",O3631="131"),H3631='131-CT'!$H$9),"x","")</f>
        <v/>
      </c>
      <c r="Z3631" s="75"/>
      <c r="AA3631" s="75" t="str">
        <f>IF(AND(MONTH(E3631)='IN-NX'!$J$5,'IN-NX'!$D$7=D3631),"x","")</f>
        <v/>
      </c>
      <c r="AB3631" s="75" t="str">
        <f>IF(AND(OR(LEFT(TH!N4207,2)="15",LEFT(TH!O4207,2)="15"),LEFT(TH!O4207,3)&lt;&gt;"111",'152-CT'!$J$8=TH!F4207),"x","")</f>
        <v/>
      </c>
      <c r="AC3631" s="75" t="str">
        <f>IF(AND(OR(LEFT(TH!N4207,2)="15",LEFT(TH!O4207,2)="15"),TK!$E$7=TH!F4207),"x","")</f>
        <v/>
      </c>
      <c r="AD3631" s="75" t="str">
        <f>IF(AND(N3631="1521",MONTH(C3631)='BK-NL'!$M$11),"x","")</f>
        <v/>
      </c>
      <c r="AE3631">
        <v>9</v>
      </c>
    </row>
    <row r="3632" spans="1:31" ht="16.5" customHeight="1">
      <c r="A3632" s="309" t="str">
        <f>IF(B3632&lt;&gt;"",IF(AND(B3632='IN-TC'!$S$4,OR(TH!N3632="1111",TH!O3632="1111")),TH!D3632,""),"")</f>
        <v/>
      </c>
      <c r="B3632" s="1131">
        <f t="shared" si="1298"/>
        <v>2</v>
      </c>
      <c r="C3632" s="292">
        <f t="shared" si="1297"/>
        <v>42780</v>
      </c>
      <c r="D3632" s="292" t="s">
        <v>1933</v>
      </c>
      <c r="E3632" s="292">
        <v>42780</v>
      </c>
      <c r="F3632" s="1029" t="s">
        <v>1881</v>
      </c>
      <c r="G3632" s="925"/>
      <c r="H3632" s="311" t="s">
        <v>1886</v>
      </c>
      <c r="I3632" s="373"/>
      <c r="J3632" s="926"/>
      <c r="K3632" s="373"/>
      <c r="L3632" s="379"/>
      <c r="M3632" s="927">
        <v>1498380000</v>
      </c>
      <c r="N3632" s="295" t="s">
        <v>8</v>
      </c>
      <c r="O3632" s="295" t="s">
        <v>63</v>
      </c>
      <c r="P3632" s="75" t="str">
        <f>IF(AND('331-CT'!$E$7=TH!H4208,OR(N3632="331",O3632="331")),"x","")</f>
        <v/>
      </c>
      <c r="Q3632" s="75" t="str">
        <f>IF(AND(B3632='111'!$L$11,OR($N3632=$Q$7,$O3632=$Q$7)),"x","")</f>
        <v/>
      </c>
      <c r="R3632" s="75" t="str">
        <f>IF(AND($N3632=$Q$7,$B3632&lt;'111'!$L$11),"x","")</f>
        <v/>
      </c>
      <c r="S3632" s="75" t="str">
        <f>IF(AND($O3632=$Q$7,$B3632&lt;'111'!$L$11),"x","")</f>
        <v>x</v>
      </c>
      <c r="T3632" s="75" t="str">
        <f>IF(ISERROR(FIND('112'!$M$9,G3632,1)),"",IF((AND(FIND('112'!$M$9,G3632,1)&gt;=1,B3632='112'!$K$9,OR($N3632='112'!$I$6,$O3632='112'!$I$6))),"x",""))</f>
        <v/>
      </c>
      <c r="U3632" s="75" t="str">
        <f>IF(ISERROR(FIND('112'!$M$9,G3632,1)),"",IF((AND(LEFT(G3632,2)=LEFT('112'!$M$9,2),B3632&lt;'112'!$K$9,$N3632='112'!$I$6)),"x",""))</f>
        <v/>
      </c>
      <c r="V3632" s="75" t="str">
        <f>IF(ISERROR(FIND('112'!$M$9,G3632,1)),"",IF((AND(RIGHT(G3632,2)=RIGHT('112'!$M$9,2),B3632&lt;'112'!$K$9,$O3632='112'!$I$6)),"x",""))</f>
        <v/>
      </c>
      <c r="W3632" s="75" t="str">
        <f>IF(AND('341-CT'!$H$9=H3632,OR(LEFT(N3632,3)=$W$7,LEFT(O3632,3)=$W$7)),"x","")</f>
        <v/>
      </c>
      <c r="X3632" s="75" t="str">
        <f>IF(OR(TH!N4208=TH!$X$7,O3632=TH!$X$7),"x","")</f>
        <v/>
      </c>
      <c r="Y3632" s="75" t="str">
        <f>IF(AND(OR(N3632="131",O3632="131"),H3632='131-CT'!$H$9),"x","")</f>
        <v/>
      </c>
      <c r="Z3632" s="75"/>
      <c r="AA3632" s="75" t="str">
        <f>IF(AND(MONTH(E3632)='IN-NX'!$J$5,'IN-NX'!$D$7=D3632),"x","")</f>
        <v/>
      </c>
      <c r="AB3632" s="75" t="str">
        <f>IF(AND(OR(LEFT(TH!N4208,2)="15",LEFT(TH!O4208,2)="15"),LEFT(TH!O4208,3)&lt;&gt;"111",'152-CT'!$J$8=TH!F4208),"x","")</f>
        <v/>
      </c>
      <c r="AC3632" s="75" t="str">
        <f>IF(AND(OR(LEFT(TH!N4208,2)="15",LEFT(TH!O4208,2)="15"),TK!$E$7=TH!F4208),"x","")</f>
        <v/>
      </c>
      <c r="AD3632" s="75" t="str">
        <f>IF(AND(N3632="1521",MONTH(C3632)='BK-NL'!$M$11),"x","")</f>
        <v/>
      </c>
    </row>
    <row r="3633" spans="1:31" ht="16.5" customHeight="1">
      <c r="A3633" s="309" t="str">
        <f>IF(B3633&lt;&gt;"",IF(AND(B3633='IN-TC'!$S$4,OR(TH!N3633="1111",TH!O3633="1111")),TH!D3633,""),"")</f>
        <v/>
      </c>
      <c r="B3633" s="1131">
        <f t="shared" si="1298"/>
        <v>2</v>
      </c>
      <c r="C3633" s="292">
        <f t="shared" si="1297"/>
        <v>42780</v>
      </c>
      <c r="D3633" s="292" t="s">
        <v>1933</v>
      </c>
      <c r="E3633" s="292">
        <v>42780</v>
      </c>
      <c r="F3633" s="1029" t="s">
        <v>1883</v>
      </c>
      <c r="G3633" s="925"/>
      <c r="H3633" s="311"/>
      <c r="I3633" s="373"/>
      <c r="J3633" s="926"/>
      <c r="K3633" s="373"/>
      <c r="L3633" s="379"/>
      <c r="M3633" s="927">
        <v>1198704</v>
      </c>
      <c r="N3633" s="295" t="s">
        <v>101</v>
      </c>
      <c r="O3633" s="295" t="s">
        <v>63</v>
      </c>
      <c r="P3633" s="75" t="str">
        <f>IF(AND('331-CT'!$E$7=TH!H4209,OR(N3633="331",O3633="331")),"x","")</f>
        <v/>
      </c>
      <c r="Q3633" s="75" t="str">
        <f>IF(AND(B3633='111'!$L$11,OR($N3633=$Q$7,$O3633=$Q$7)),"x","")</f>
        <v/>
      </c>
      <c r="R3633" s="75" t="str">
        <f>IF(AND($N3633=$Q$7,$B3633&lt;'111'!$L$11),"x","")</f>
        <v/>
      </c>
      <c r="S3633" s="75" t="str">
        <f>IF(AND($O3633=$Q$7,$B3633&lt;'111'!$L$11),"x","")</f>
        <v>x</v>
      </c>
      <c r="T3633" s="75" t="str">
        <f>IF(ISERROR(FIND('112'!$M$9,G3633,1)),"",IF((AND(FIND('112'!$M$9,G3633,1)&gt;=1,B3633='112'!$K$9,OR($N3633='112'!$I$6,$O3633='112'!$I$6))),"x",""))</f>
        <v/>
      </c>
      <c r="U3633" s="75" t="str">
        <f>IF(ISERROR(FIND('112'!$M$9,G3633,1)),"",IF((AND(LEFT(G3633,2)=LEFT('112'!$M$9,2),B3633&lt;'112'!$K$9,$N3633='112'!$I$6)),"x",""))</f>
        <v/>
      </c>
      <c r="V3633" s="75" t="str">
        <f>IF(ISERROR(FIND('112'!$M$9,G3633,1)),"",IF((AND(RIGHT(G3633,2)=RIGHT('112'!$M$9,2),B3633&lt;'112'!$K$9,$O3633='112'!$I$6)),"x",""))</f>
        <v/>
      </c>
      <c r="W3633" s="75" t="str">
        <f>IF(AND('341-CT'!$H$9=H3633,OR(LEFT(N3633,3)=$W$7,LEFT(O3633,3)=$W$7)),"x","")</f>
        <v/>
      </c>
      <c r="X3633" s="75" t="str">
        <f>IF(OR(TH!N4209=TH!$X$7,O3633=TH!$X$7),"x","")</f>
        <v/>
      </c>
      <c r="Y3633" s="75" t="str">
        <f>IF(AND(OR(N3633="131",O3633="131"),H3633='131-CT'!$H$9),"x","")</f>
        <v/>
      </c>
      <c r="Z3633" s="75"/>
      <c r="AA3633" s="75" t="str">
        <f>IF(AND(MONTH(E3633)='IN-NX'!$J$5,'IN-NX'!$D$7=D3633),"x","")</f>
        <v/>
      </c>
      <c r="AB3633" s="75" t="str">
        <f>IF(AND(OR(LEFT(TH!N4209,2)="15",LEFT(TH!O4209,2)="15"),LEFT(TH!O4209,3)&lt;&gt;"111",'152-CT'!$J$8=TH!F4209),"x","")</f>
        <v/>
      </c>
      <c r="AC3633" s="75" t="str">
        <f>IF(AND(OR(LEFT(TH!N4209,2)="15",LEFT(TH!O4209,2)="15"),TK!$E$7=TH!F4209),"x","")</f>
        <v/>
      </c>
      <c r="AD3633" s="75" t="str">
        <f>IF(AND(N3633="1521",MONTH(C3633)='BK-NL'!$M$11),"x","")</f>
        <v/>
      </c>
      <c r="AE3633">
        <v>9</v>
      </c>
    </row>
    <row r="3634" spans="1:31" ht="16.5" customHeight="1">
      <c r="A3634" s="309" t="str">
        <f>IF(B3634&lt;&gt;"",IF(AND(B3634='IN-TC'!$S$4,OR(TH!N3634="1111",TH!O3634="1111")),TH!D3634,""),"")</f>
        <v/>
      </c>
      <c r="B3634" s="1131">
        <f t="shared" si="1298"/>
        <v>2</v>
      </c>
      <c r="C3634" s="292">
        <f t="shared" si="1297"/>
        <v>42780</v>
      </c>
      <c r="D3634" s="292" t="s">
        <v>1933</v>
      </c>
      <c r="E3634" s="292">
        <v>42780</v>
      </c>
      <c r="F3634" s="1029" t="s">
        <v>1895</v>
      </c>
      <c r="G3634" s="925"/>
      <c r="H3634" s="311"/>
      <c r="I3634" s="373"/>
      <c r="J3634" s="926"/>
      <c r="K3634" s="373"/>
      <c r="L3634" s="379"/>
      <c r="M3634" s="927">
        <v>119870</v>
      </c>
      <c r="N3634" s="295" t="s">
        <v>9</v>
      </c>
      <c r="O3634" s="295" t="s">
        <v>63</v>
      </c>
      <c r="P3634" s="75" t="str">
        <f>IF(AND('331-CT'!$E$7=TH!H4210,OR(N3634="331",O3634="331")),"x","")</f>
        <v/>
      </c>
      <c r="Q3634" s="75" t="str">
        <f>IF(AND(B3634='111'!$L$11,OR($N3634=$Q$7,$O3634=$Q$7)),"x","")</f>
        <v/>
      </c>
      <c r="R3634" s="75" t="str">
        <f>IF(AND($N3634=$Q$7,$B3634&lt;'111'!$L$11),"x","")</f>
        <v/>
      </c>
      <c r="S3634" s="75" t="str">
        <f>IF(AND($O3634=$Q$7,$B3634&lt;'111'!$L$11),"x","")</f>
        <v>x</v>
      </c>
      <c r="T3634" s="75" t="str">
        <f>IF(ISERROR(FIND('112'!$M$9,G3634,1)),"",IF((AND(FIND('112'!$M$9,G3634,1)&gt;=1,B3634='112'!$K$9,OR($N3634='112'!$I$6,$O3634='112'!$I$6))),"x",""))</f>
        <v/>
      </c>
      <c r="U3634" s="75" t="str">
        <f>IF(ISERROR(FIND('112'!$M$9,G3634,1)),"",IF((AND(LEFT(G3634,2)=LEFT('112'!$M$9,2),B3634&lt;'112'!$K$9,$N3634='112'!$I$6)),"x",""))</f>
        <v/>
      </c>
      <c r="V3634" s="75" t="str">
        <f>IF(ISERROR(FIND('112'!$M$9,G3634,1)),"",IF((AND(RIGHT(G3634,2)=RIGHT('112'!$M$9,2),B3634&lt;'112'!$K$9,$O3634='112'!$I$6)),"x",""))</f>
        <v/>
      </c>
      <c r="W3634" s="75" t="str">
        <f>IF(AND('341-CT'!$H$9=H3634,OR(LEFT(N3634,3)=$W$7,LEFT(O3634,3)=$W$7)),"x","")</f>
        <v/>
      </c>
      <c r="X3634" s="75" t="str">
        <f>IF(OR(TH!N4210=TH!$X$7,O3634=TH!$X$7),"x","")</f>
        <v/>
      </c>
      <c r="Y3634" s="75" t="str">
        <f>IF(AND(OR(N3634="131",O3634="131"),H3634='131-CT'!$H$9),"x","")</f>
        <v/>
      </c>
      <c r="Z3634" s="75"/>
      <c r="AA3634" s="75" t="str">
        <f>IF(AND(MONTH(E3634)='IN-NX'!$J$5,'IN-NX'!$D$7=D3634),"x","")</f>
        <v/>
      </c>
      <c r="AB3634" s="75" t="str">
        <f>IF(AND(OR(LEFT(TH!N4210,2)="15",LEFT(TH!O4210,2)="15"),LEFT(TH!O4210,3)&lt;&gt;"111",'152-CT'!$J$8=TH!F4210),"x","")</f>
        <v/>
      </c>
      <c r="AC3634" s="75" t="str">
        <f>IF(AND(OR(LEFT(TH!N4210,2)="15",LEFT(TH!O4210,2)="15"),TK!$E$7=TH!F4210),"x","")</f>
        <v/>
      </c>
      <c r="AD3634" s="75" t="str">
        <f>IF(AND(N3634="1521",MONTH(C3634)='BK-NL'!$M$11),"x","")</f>
        <v/>
      </c>
      <c r="AE3634">
        <v>9</v>
      </c>
    </row>
    <row r="3635" spans="1:31" ht="16.5" customHeight="1">
      <c r="A3635" s="309" t="str">
        <f>IF(B3635&lt;&gt;"",IF(AND(B3635='IN-TC'!$S$4,OR(TH!N3635="1111",TH!O3635="1111")),TH!D3635,""),"")</f>
        <v/>
      </c>
      <c r="B3635" s="1131">
        <f t="shared" si="1298"/>
        <v>2</v>
      </c>
      <c r="C3635" s="292">
        <f t="shared" ref="C3635:C3698" si="1299">E3635</f>
        <v>42780</v>
      </c>
      <c r="D3635" s="59" t="s">
        <v>903</v>
      </c>
      <c r="E3635" s="292">
        <v>42780</v>
      </c>
      <c r="F3635" s="1127" t="s">
        <v>1086</v>
      </c>
      <c r="G3635" s="62" t="s">
        <v>585</v>
      </c>
      <c r="H3635" s="67" t="s">
        <v>792</v>
      </c>
      <c r="I3635" s="373"/>
      <c r="J3635" s="379"/>
      <c r="K3635" s="373"/>
      <c r="L3635" s="379"/>
      <c r="M3635" s="60">
        <v>876755952</v>
      </c>
      <c r="N3635" s="61" t="s">
        <v>26</v>
      </c>
      <c r="O3635" s="61" t="s">
        <v>536</v>
      </c>
      <c r="P3635" s="75" t="str">
        <f>IF(AND('331-CT'!$E$7=TH!H4651,OR(N3635="331",O3635="331")),"x","")</f>
        <v/>
      </c>
      <c r="Q3635" s="75" t="str">
        <f>IF(AND(B3635='111'!$L$11,OR($N3635=$Q$7,$O3635=$Q$7)),"x","")</f>
        <v/>
      </c>
      <c r="R3635" s="75" t="str">
        <f>IF(AND($N3635=$Q$7,$B3635&lt;'111'!$L$11),"x","")</f>
        <v/>
      </c>
      <c r="S3635" s="75" t="str">
        <f>IF(AND($O3635=$Q$7,$B3635&lt;'111'!$L$11),"x","")</f>
        <v/>
      </c>
      <c r="T3635" s="75" t="str">
        <f>IF(ISERROR(FIND('112'!$M$9,G3635,1)),"",IF((AND(FIND('112'!$M$9,G3635,1)&gt;=1,B3635='112'!$K$9,OR($N3635='112'!$I$6,$O3635='112'!$I$6))),"x",""))</f>
        <v/>
      </c>
      <c r="U3635" s="75" t="str">
        <f>IF(ISERROR(FIND('112'!$M$9,G3635,1)),"",IF((AND(LEFT(G3635,2)=LEFT('112'!$M$9,2),B3635&lt;'112'!$K$9,$N3635='112'!$I$6)),"x",""))</f>
        <v/>
      </c>
      <c r="V3635" s="75" t="str">
        <f>IF(ISERROR(FIND('112'!$M$9,G3635,1)),"",IF((AND(RIGHT(G3635,2)=RIGHT('112'!$M$9,2),B3635&lt;'112'!$K$9,$O3635='112'!$I$6)),"x",""))</f>
        <v/>
      </c>
      <c r="W3635" s="75" t="str">
        <f>IF(AND('341-CT'!$H$9=H3635,OR(LEFT(N3635,3)=$W$7,LEFT(O3635,3)=$W$7)),"x","")</f>
        <v/>
      </c>
      <c r="X3635" s="75" t="str">
        <f>IF(OR(TH!N4651=TH!$X$7,O3635=TH!$X$7),"x","")</f>
        <v/>
      </c>
      <c r="Y3635" s="75" t="str">
        <f>IF(AND(OR(N3635="131",O3635="131"),H3635='131-CT'!$H$9),"x","")</f>
        <v/>
      </c>
      <c r="Z3635" s="75"/>
      <c r="AA3635" s="75" t="str">
        <f>IF(AND(MONTH(E3635)='IN-NX'!$J$5,'IN-NX'!$D$7=D3635),"x","")</f>
        <v/>
      </c>
      <c r="AB3635" s="75" t="str">
        <f>IF(AND(OR(LEFT(TH!N4651,2)="15",LEFT(TH!O4651,2)="15"),LEFT(TH!O4651,3)&lt;&gt;"111",'152-CT'!$J$8=TH!F4651),"x","")</f>
        <v/>
      </c>
      <c r="AC3635" s="75" t="str">
        <f>IF(AND(OR(LEFT(TH!N4651,2)="15",LEFT(TH!O4651,2)="15"),TK!$E$7=TH!F4651),"x","")</f>
        <v/>
      </c>
      <c r="AD3635" s="75" t="str">
        <f>IF(AND(N3635="1521",MONTH(C3635)='BK-NL'!$M$11),"x","")</f>
        <v/>
      </c>
    </row>
    <row r="3636" spans="1:31" ht="16.5" customHeight="1">
      <c r="A3636" s="309" t="str">
        <f>IF(B3636&lt;&gt;"",IF(AND(B3636='IN-TC'!$S$4,OR(TH!N3636="1111",TH!O3636="1111")),TH!D3636,""),"")</f>
        <v/>
      </c>
      <c r="B3636" s="1131">
        <f t="shared" si="1298"/>
        <v>2</v>
      </c>
      <c r="C3636" s="292">
        <f t="shared" si="1299"/>
        <v>42781</v>
      </c>
      <c r="D3636" s="292" t="s">
        <v>1934</v>
      </c>
      <c r="E3636" s="292">
        <v>42781</v>
      </c>
      <c r="F3636" s="1125" t="s">
        <v>890</v>
      </c>
      <c r="G3636" s="925" t="s">
        <v>1043</v>
      </c>
      <c r="H3636" s="67" t="s">
        <v>893</v>
      </c>
      <c r="I3636" s="373"/>
      <c r="J3636" s="926"/>
      <c r="K3636" s="373"/>
      <c r="L3636" s="379"/>
      <c r="M3636" s="927">
        <v>1307927</v>
      </c>
      <c r="N3636" s="295" t="s">
        <v>101</v>
      </c>
      <c r="O3636" s="295" t="s">
        <v>63</v>
      </c>
      <c r="P3636" s="75" t="str">
        <f>IF(AND('331-CT'!$E$7=TH!H3492,OR(N3636="331",O3636="331")),"x","")</f>
        <v/>
      </c>
      <c r="Q3636" s="75" t="str">
        <f>IF(AND(B3636='111'!$L$11,OR($N3636=$Q$7,$O3636=$Q$7)),"x","")</f>
        <v/>
      </c>
      <c r="R3636" s="75" t="str">
        <f>IF(AND($N3636=$Q$7,$B3636&lt;'111'!$L$11),"x","")</f>
        <v/>
      </c>
      <c r="S3636" s="75" t="str">
        <f>IF(AND($O3636=$Q$7,$B3636&lt;'111'!$L$11),"x","")</f>
        <v>x</v>
      </c>
      <c r="T3636" s="75" t="str">
        <f>IF(ISERROR(FIND('112'!$M$9,G3636,1)),"",IF((AND(FIND('112'!$M$9,G3636,1)&gt;=1,B3636='112'!$K$9,OR($N3636='112'!$I$6,$O3636='112'!$I$6))),"x",""))</f>
        <v/>
      </c>
      <c r="U3636" s="75" t="str">
        <f>IF(ISERROR(FIND('112'!$M$9,G3636,1)),"",IF((AND(LEFT(G3636,2)=LEFT('112'!$M$9,2),B3636&lt;'112'!$K$9,$N3636='112'!$I$6)),"x",""))</f>
        <v/>
      </c>
      <c r="V3636" s="75" t="str">
        <f>IF(ISERROR(FIND('112'!$M$9,G3636,1)),"",IF((AND(RIGHT(G3636,2)=RIGHT('112'!$M$9,2),B3636&lt;'112'!$K$9,$O3636='112'!$I$6)),"x",""))</f>
        <v/>
      </c>
      <c r="W3636" s="75" t="str">
        <f>IF(AND('341-CT'!$H$9=H3636,OR(LEFT(N3636,3)=$W$7,LEFT(O3636,3)=$W$7)),"x","")</f>
        <v/>
      </c>
      <c r="X3636" s="75" t="str">
        <f>IF(OR(TH!N3492=TH!$X$7,O3636=TH!$X$7),"x","")</f>
        <v/>
      </c>
      <c r="Y3636" s="75" t="str">
        <f>IF(AND(OR(N3636="131",O3636="131"),H3636='131-CT'!$H$9),"x","")</f>
        <v/>
      </c>
      <c r="Z3636" s="75"/>
      <c r="AA3636" s="75" t="str">
        <f>IF(AND(MONTH(E3636)='IN-NX'!$J$5,'IN-NX'!$D$7=D3636),"x","")</f>
        <v/>
      </c>
      <c r="AB3636" s="75" t="str">
        <f>IF(AND(OR(LEFT(TH!N3492,2)="15",LEFT(TH!O3492,2)="15"),LEFT(TH!O3492,3)&lt;&gt;"111",'152-CT'!$J$8=TH!F3492),"x","")</f>
        <v/>
      </c>
      <c r="AC3636" s="75" t="str">
        <f>IF(AND(OR(LEFT(TH!N3492,2)="15",LEFT(TH!O3492,2)="15"),TK!$E$7=TH!F3492),"x","")</f>
        <v/>
      </c>
      <c r="AD3636" s="75" t="str">
        <f>IF(AND(N3636="1521",MONTH(C3636)='BK-NL'!$M$11),"x","")</f>
        <v/>
      </c>
    </row>
    <row r="3637" spans="1:31" ht="16.5" customHeight="1">
      <c r="A3637" s="309" t="str">
        <f>IF(B3637&lt;&gt;"",IF(AND(B3637='IN-TC'!$S$4,OR(TH!N3637="1111",TH!O3637="1111")),TH!D3637,""),"")</f>
        <v/>
      </c>
      <c r="B3637" s="1131">
        <f t="shared" si="1298"/>
        <v>2</v>
      </c>
      <c r="C3637" s="292">
        <f t="shared" si="1299"/>
        <v>42781</v>
      </c>
      <c r="D3637" s="292" t="s">
        <v>1934</v>
      </c>
      <c r="E3637" s="292">
        <v>42781</v>
      </c>
      <c r="F3637" s="1125" t="s">
        <v>891</v>
      </c>
      <c r="G3637" s="925" t="s">
        <v>1043</v>
      </c>
      <c r="H3637" s="67" t="s">
        <v>893</v>
      </c>
      <c r="I3637" s="373"/>
      <c r="J3637" s="926"/>
      <c r="K3637" s="373"/>
      <c r="L3637" s="379"/>
      <c r="M3637" s="927">
        <v>130793</v>
      </c>
      <c r="N3637" s="295" t="s">
        <v>9</v>
      </c>
      <c r="O3637" s="295" t="s">
        <v>63</v>
      </c>
      <c r="P3637" s="75" t="str">
        <f>IF(AND('331-CT'!$E$7=TH!H3493,OR(N3637="331",O3637="331")),"x","")</f>
        <v/>
      </c>
      <c r="Q3637" s="75" t="str">
        <f>IF(AND(B3637='111'!$L$11,OR($N3637=$Q$7,$O3637=$Q$7)),"x","")</f>
        <v/>
      </c>
      <c r="R3637" s="75" t="str">
        <f>IF(AND($N3637=$Q$7,$B3637&lt;'111'!$L$11),"x","")</f>
        <v/>
      </c>
      <c r="S3637" s="75" t="str">
        <f>IF(AND($O3637=$Q$7,$B3637&lt;'111'!$L$11),"x","")</f>
        <v>x</v>
      </c>
      <c r="T3637" s="75" t="str">
        <f>IF(ISERROR(FIND('112'!$M$9,G3637,1)),"",IF((AND(FIND('112'!$M$9,G3637,1)&gt;=1,B3637='112'!$K$9,OR($N3637='112'!$I$6,$O3637='112'!$I$6))),"x",""))</f>
        <v/>
      </c>
      <c r="U3637" s="75" t="str">
        <f>IF(ISERROR(FIND('112'!$M$9,G3637,1)),"",IF((AND(LEFT(G3637,2)=LEFT('112'!$M$9,2),B3637&lt;'112'!$K$9,$N3637='112'!$I$6)),"x",""))</f>
        <v/>
      </c>
      <c r="V3637" s="75" t="str">
        <f>IF(ISERROR(FIND('112'!$M$9,G3637,1)),"",IF((AND(RIGHT(G3637,2)=RIGHT('112'!$M$9,2),B3637&lt;'112'!$K$9,$O3637='112'!$I$6)),"x",""))</f>
        <v/>
      </c>
      <c r="W3637" s="75" t="str">
        <f>IF(AND('341-CT'!$H$9=H3637,OR(LEFT(N3637,3)=$W$7,LEFT(O3637,3)=$W$7)),"x","")</f>
        <v/>
      </c>
      <c r="X3637" s="75" t="str">
        <f>IF(OR(TH!N3493=TH!$X$7,O3637=TH!$X$7),"x","")</f>
        <v/>
      </c>
      <c r="Y3637" s="75" t="str">
        <f>IF(AND(OR(N3637="131",O3637="131"),H3637='131-CT'!$H$9),"x","")</f>
        <v/>
      </c>
      <c r="Z3637" s="75"/>
      <c r="AA3637" s="75" t="str">
        <f>IF(AND(MONTH(E3637)='IN-NX'!$J$5,'IN-NX'!$D$7=D3637),"x","")</f>
        <v/>
      </c>
      <c r="AB3637" s="75" t="str">
        <f>IF(AND(OR(LEFT(TH!N3493,2)="15",LEFT(TH!O3493,2)="15"),LEFT(TH!O3493,3)&lt;&gt;"111",'152-CT'!$J$8=TH!F3493),"x","")</f>
        <v/>
      </c>
      <c r="AC3637" s="75" t="str">
        <f>IF(AND(OR(LEFT(TH!N3493,2)="15",LEFT(TH!O3493,2)="15"),TK!$E$7=TH!F3493),"x","")</f>
        <v/>
      </c>
      <c r="AD3637" s="75" t="str">
        <f>IF(AND(N3637="1521",MONTH(C3637)='BK-NL'!$M$11),"x","")</f>
        <v/>
      </c>
    </row>
    <row r="3638" spans="1:31" ht="16.5" customHeight="1">
      <c r="A3638" s="309" t="str">
        <f>IF(B3638&lt;&gt;"",IF(AND(B3638='IN-TC'!$S$4,OR(TH!N3638="1111",TH!O3638="1111")),TH!D3638,""),"")</f>
        <v/>
      </c>
      <c r="B3638" s="1131">
        <f t="shared" si="1298"/>
        <v>2</v>
      </c>
      <c r="C3638" s="292">
        <f t="shared" si="1299"/>
        <v>42781</v>
      </c>
      <c r="D3638" s="292" t="s">
        <v>1935</v>
      </c>
      <c r="E3638" s="292">
        <v>42781</v>
      </c>
      <c r="F3638" s="1125" t="s">
        <v>1045</v>
      </c>
      <c r="G3638" s="925" t="s">
        <v>1044</v>
      </c>
      <c r="H3638" s="67" t="s">
        <v>1047</v>
      </c>
      <c r="I3638" s="373"/>
      <c r="J3638" s="926"/>
      <c r="K3638" s="373"/>
      <c r="L3638" s="379"/>
      <c r="M3638" s="927">
        <v>4291364</v>
      </c>
      <c r="N3638" s="295" t="s">
        <v>101</v>
      </c>
      <c r="O3638" s="295" t="s">
        <v>63</v>
      </c>
      <c r="P3638" s="75" t="str">
        <f>IF(AND('331-CT'!$E$7=TH!H3494,OR(N3638="331",O3638="331")),"x","")</f>
        <v/>
      </c>
      <c r="Q3638" s="75" t="str">
        <f>IF(AND(B3638='111'!$L$11,OR($N3638=$Q$7,$O3638=$Q$7)),"x","")</f>
        <v/>
      </c>
      <c r="R3638" s="75" t="str">
        <f>IF(AND($N3638=$Q$7,$B3638&lt;'111'!$L$11),"x","")</f>
        <v/>
      </c>
      <c r="S3638" s="75" t="str">
        <f>IF(AND($O3638=$Q$7,$B3638&lt;'111'!$L$11),"x","")</f>
        <v>x</v>
      </c>
      <c r="T3638" s="75" t="str">
        <f>IF(ISERROR(FIND('112'!$M$9,G3638,1)),"",IF((AND(FIND('112'!$M$9,G3638,1)&gt;=1,B3638='112'!$K$9,OR($N3638='112'!$I$6,$O3638='112'!$I$6))),"x",""))</f>
        <v/>
      </c>
      <c r="U3638" s="75" t="str">
        <f>IF(ISERROR(FIND('112'!$M$9,G3638,1)),"",IF((AND(LEFT(G3638,2)=LEFT('112'!$M$9,2),B3638&lt;'112'!$K$9,$N3638='112'!$I$6)),"x",""))</f>
        <v/>
      </c>
      <c r="V3638" s="75" t="str">
        <f>IF(ISERROR(FIND('112'!$M$9,G3638,1)),"",IF((AND(RIGHT(G3638,2)=RIGHT('112'!$M$9,2),B3638&lt;'112'!$K$9,$O3638='112'!$I$6)),"x",""))</f>
        <v/>
      </c>
      <c r="W3638" s="75" t="str">
        <f>IF(AND('341-CT'!$H$9=H3638,OR(LEFT(N3638,3)=$W$7,LEFT(O3638,3)=$W$7)),"x","")</f>
        <v/>
      </c>
      <c r="X3638" s="75" t="str">
        <f>IF(OR(TH!N3494=TH!$X$7,O3638=TH!$X$7),"x","")</f>
        <v/>
      </c>
      <c r="Y3638" s="75" t="str">
        <f>IF(AND(OR(N3638="131",O3638="131"),H3638='131-CT'!$H$9),"x","")</f>
        <v/>
      </c>
      <c r="Z3638" s="75"/>
      <c r="AA3638" s="75" t="str">
        <f>IF(AND(MONTH(E3638)='IN-NX'!$J$5,'IN-NX'!$D$7=D3638),"x","")</f>
        <v/>
      </c>
      <c r="AB3638" s="75" t="str">
        <f>IF(AND(OR(LEFT(TH!N3494,2)="15",LEFT(TH!O3494,2)="15"),LEFT(TH!O3494,3)&lt;&gt;"111",'152-CT'!$J$8=TH!F3494),"x","")</f>
        <v/>
      </c>
      <c r="AC3638" s="75" t="str">
        <f>IF(AND(OR(LEFT(TH!N3494,2)="15",LEFT(TH!O3494,2)="15"),TK!$E$7=TH!F3494),"x","")</f>
        <v/>
      </c>
      <c r="AD3638" s="75" t="str">
        <f>IF(AND(N3638="1521",MONTH(C3638)='BK-NL'!$M$11),"x","")</f>
        <v/>
      </c>
    </row>
    <row r="3639" spans="1:31" ht="16.5" customHeight="1">
      <c r="A3639" s="309" t="str">
        <f>IF(B3639&lt;&gt;"",IF(AND(B3639='IN-TC'!$S$4,OR(TH!N3639="1111",TH!O3639="1111")),TH!D3639,""),"")</f>
        <v/>
      </c>
      <c r="B3639" s="1131">
        <f t="shared" si="1298"/>
        <v>2</v>
      </c>
      <c r="C3639" s="292">
        <f t="shared" si="1299"/>
        <v>42781</v>
      </c>
      <c r="D3639" s="292" t="s">
        <v>1935</v>
      </c>
      <c r="E3639" s="292">
        <v>42781</v>
      </c>
      <c r="F3639" s="1125" t="s">
        <v>1046</v>
      </c>
      <c r="G3639" s="925" t="s">
        <v>1044</v>
      </c>
      <c r="H3639" s="67" t="s">
        <v>1047</v>
      </c>
      <c r="I3639" s="373"/>
      <c r="J3639" s="926"/>
      <c r="K3639" s="373"/>
      <c r="L3639" s="379"/>
      <c r="M3639" s="927">
        <v>429136</v>
      </c>
      <c r="N3639" s="295" t="s">
        <v>9</v>
      </c>
      <c r="O3639" s="295" t="s">
        <v>63</v>
      </c>
      <c r="P3639" s="75" t="str">
        <f>IF(AND('331-CT'!$E$7=TH!H3495,OR(N3639="331",O3639="331")),"x","")</f>
        <v/>
      </c>
      <c r="Q3639" s="75" t="str">
        <f>IF(AND(B3639='111'!$L$11,OR($N3639=$Q$7,$O3639=$Q$7)),"x","")</f>
        <v/>
      </c>
      <c r="R3639" s="75" t="str">
        <f>IF(AND($N3639=$Q$7,$B3639&lt;'111'!$L$11),"x","")</f>
        <v/>
      </c>
      <c r="S3639" s="75" t="str">
        <f>IF(AND($O3639=$Q$7,$B3639&lt;'111'!$L$11),"x","")</f>
        <v>x</v>
      </c>
      <c r="T3639" s="75" t="str">
        <f>IF(ISERROR(FIND('112'!$M$9,G3639,1)),"",IF((AND(FIND('112'!$M$9,G3639,1)&gt;=1,B3639='112'!$K$9,OR($N3639='112'!$I$6,$O3639='112'!$I$6))),"x",""))</f>
        <v/>
      </c>
      <c r="U3639" s="75" t="str">
        <f>IF(ISERROR(FIND('112'!$M$9,G3639,1)),"",IF((AND(LEFT(G3639,2)=LEFT('112'!$M$9,2),B3639&lt;'112'!$K$9,$N3639='112'!$I$6)),"x",""))</f>
        <v/>
      </c>
      <c r="V3639" s="75" t="str">
        <f>IF(ISERROR(FIND('112'!$M$9,G3639,1)),"",IF((AND(RIGHT(G3639,2)=RIGHT('112'!$M$9,2),B3639&lt;'112'!$K$9,$O3639='112'!$I$6)),"x",""))</f>
        <v/>
      </c>
      <c r="W3639" s="75" t="str">
        <f>IF(AND('341-CT'!$H$9=H3639,OR(LEFT(N3639,3)=$W$7,LEFT(O3639,3)=$W$7)),"x","")</f>
        <v/>
      </c>
      <c r="X3639" s="75" t="str">
        <f>IF(OR(TH!N3495=TH!$X$7,O3639=TH!$X$7),"x","")</f>
        <v/>
      </c>
      <c r="Y3639" s="75" t="str">
        <f>IF(AND(OR(N3639="131",O3639="131"),H3639='131-CT'!$H$9),"x","")</f>
        <v/>
      </c>
      <c r="Z3639" s="75"/>
      <c r="AA3639" s="75" t="str">
        <f>IF(AND(MONTH(E3639)='IN-NX'!$J$5,'IN-NX'!$D$7=D3639),"x","")</f>
        <v/>
      </c>
      <c r="AB3639" s="75" t="str">
        <f>IF(AND(OR(LEFT(TH!N3495,2)="15",LEFT(TH!O3495,2)="15"),LEFT(TH!O3495,3)&lt;&gt;"111",'152-CT'!$J$8=TH!F3495),"x","")</f>
        <v/>
      </c>
      <c r="AC3639" s="75" t="str">
        <f>IF(AND(OR(LEFT(TH!N3495,2)="15",LEFT(TH!O3495,2)="15"),TK!$E$7=TH!F3495),"x","")</f>
        <v/>
      </c>
      <c r="AD3639" s="75" t="str">
        <f>IF(AND(N3639="1521",MONTH(C3639)='BK-NL'!$M$11),"x","")</f>
        <v/>
      </c>
    </row>
    <row r="3640" spans="1:31" ht="16.5" customHeight="1">
      <c r="A3640" s="309" t="str">
        <f>IF(B3640&lt;&gt;"",IF(AND(B3640='IN-TC'!$S$4,OR(TH!N3640="1111",TH!O3640="1111")),TH!D3640,""),"")</f>
        <v/>
      </c>
      <c r="B3640" s="1131">
        <f t="shared" si="1298"/>
        <v>2</v>
      </c>
      <c r="C3640" s="292">
        <f t="shared" si="1299"/>
        <v>42781</v>
      </c>
      <c r="D3640" s="59" t="s">
        <v>903</v>
      </c>
      <c r="E3640" s="292">
        <v>42781</v>
      </c>
      <c r="F3640" s="131" t="s">
        <v>1413</v>
      </c>
      <c r="G3640" s="62" t="s">
        <v>586</v>
      </c>
      <c r="H3640" s="311" t="s">
        <v>982</v>
      </c>
      <c r="I3640" s="373"/>
      <c r="J3640" s="379"/>
      <c r="K3640" s="373"/>
      <c r="L3640" s="379"/>
      <c r="M3640" s="60">
        <v>21948000</v>
      </c>
      <c r="N3640" s="61" t="s">
        <v>26</v>
      </c>
      <c r="O3640" s="61" t="s">
        <v>541</v>
      </c>
      <c r="P3640" s="75" t="str">
        <f>IF(AND('331-CT'!$E$7=TH!H4385,OR(N3640="331",O3640="331")),"x","")</f>
        <v/>
      </c>
      <c r="Q3640" s="75" t="str">
        <f>IF(AND(B3640='111'!$L$11,OR($N3640=$Q$7,$O3640=$Q$7)),"x","")</f>
        <v/>
      </c>
      <c r="R3640" s="75" t="str">
        <f>IF(AND($N3640=$Q$7,$B3640&lt;'111'!$L$11),"x","")</f>
        <v/>
      </c>
      <c r="S3640" s="75" t="str">
        <f>IF(AND($O3640=$Q$7,$B3640&lt;'111'!$L$11),"x","")</f>
        <v/>
      </c>
      <c r="T3640" s="75" t="str">
        <f>IF(ISERROR(FIND('112'!$M$9,G3640,1)),"",IF((AND(FIND('112'!$M$9,G3640,1)&gt;=1,B3640='112'!$K$9,OR($N3640='112'!$I$6,$O3640='112'!$I$6))),"x",""))</f>
        <v/>
      </c>
      <c r="U3640" s="75" t="str">
        <f>IF(ISERROR(FIND('112'!$M$9,G3640,1)),"",IF((AND(LEFT(G3640,2)=LEFT('112'!$M$9,2),B3640&lt;'112'!$K$9,$N3640='112'!$I$6)),"x",""))</f>
        <v>x</v>
      </c>
      <c r="V3640" s="75" t="str">
        <f>IF(ISERROR(FIND('112'!$M$9,G3640,1)),"",IF((AND(RIGHT(G3640,2)=RIGHT('112'!$M$9,2),B3640&lt;'112'!$K$9,$O3640='112'!$I$6)),"x",""))</f>
        <v/>
      </c>
      <c r="W3640" s="75" t="str">
        <f>IF(AND('341-CT'!$H$9=H3640,OR(LEFT(N3640,3)=$W$7,LEFT(O3640,3)=$W$7)),"x","")</f>
        <v/>
      </c>
      <c r="X3640" s="75" t="str">
        <f>IF(OR(TH!N4385=TH!$X$7,O3640=TH!$X$7),"x","")</f>
        <v/>
      </c>
      <c r="Y3640" s="75" t="str">
        <f>IF(AND(OR(N3640="131",O3640="131"),H3640='131-CT'!$H$9),"x","")</f>
        <v/>
      </c>
      <c r="Z3640" s="75"/>
      <c r="AA3640" s="75" t="str">
        <f>IF(AND(MONTH(E3640)='IN-NX'!$J$5,'IN-NX'!$D$7=D3640),"x","")</f>
        <v/>
      </c>
      <c r="AB3640" s="75" t="str">
        <f>IF(AND(OR(LEFT(TH!N4385,2)="15",LEFT(TH!O4385,2)="15"),LEFT(TH!O4385,3)&lt;&gt;"111",'152-CT'!$J$8=TH!F4385),"x","")</f>
        <v/>
      </c>
      <c r="AC3640" s="75" t="str">
        <f>IF(AND(OR(LEFT(TH!N4385,2)="15",LEFT(TH!O4385,2)="15"),TK!$E$7=TH!F4385),"x","")</f>
        <v/>
      </c>
      <c r="AD3640" s="75" t="str">
        <f>IF(AND(N3640="1521",MONTH(C3640)='BK-NL'!$M$11),"x","")</f>
        <v/>
      </c>
    </row>
    <row r="3641" spans="1:31" ht="16.5" customHeight="1">
      <c r="A3641" s="309" t="str">
        <f>IF(B3641&lt;&gt;"",IF(AND(B3641='IN-TC'!$S$4,OR(TH!N3641="1111",TH!O3641="1111")),TH!D3641,""),"")</f>
        <v/>
      </c>
      <c r="B3641" s="1131">
        <f t="shared" si="1298"/>
        <v>2</v>
      </c>
      <c r="C3641" s="292">
        <f t="shared" si="1299"/>
        <v>42781</v>
      </c>
      <c r="D3641" s="59" t="s">
        <v>902</v>
      </c>
      <c r="E3641" s="292">
        <v>42781</v>
      </c>
      <c r="F3641" s="1127" t="s">
        <v>897</v>
      </c>
      <c r="G3641" s="62" t="s">
        <v>585</v>
      </c>
      <c r="H3641" s="67" t="s">
        <v>623</v>
      </c>
      <c r="I3641" s="373"/>
      <c r="J3641" s="379"/>
      <c r="K3641" s="373"/>
      <c r="L3641" s="379"/>
      <c r="M3641" s="60">
        <v>180000000</v>
      </c>
      <c r="N3641" s="61" t="s">
        <v>8</v>
      </c>
      <c r="O3641" s="61" t="s">
        <v>26</v>
      </c>
      <c r="P3641" s="75" t="str">
        <f>IF(AND('331-CT'!$E$7=TH!H4652,OR(N3641="331",O3641="331")),"x","")</f>
        <v/>
      </c>
      <c r="Q3641" s="75" t="str">
        <f>IF(AND(B3641='111'!$L$11,OR($N3641=$Q$7,$O3641=$Q$7)),"x","")</f>
        <v/>
      </c>
      <c r="R3641" s="75" t="str">
        <f>IF(AND($N3641=$Q$7,$B3641&lt;'111'!$L$11),"x","")</f>
        <v/>
      </c>
      <c r="S3641" s="75" t="str">
        <f>IF(AND($O3641=$Q$7,$B3641&lt;'111'!$L$11),"x","")</f>
        <v/>
      </c>
      <c r="T3641" s="75" t="str">
        <f>IF(ISERROR(FIND('112'!$M$9,G3641,1)),"",IF((AND(FIND('112'!$M$9,G3641,1)&gt;=1,B3641='112'!$K$9,OR($N3641='112'!$I$6,$O3641='112'!$I$6))),"x",""))</f>
        <v/>
      </c>
      <c r="U3641" s="75" t="str">
        <f>IF(ISERROR(FIND('112'!$M$9,G3641,1)),"",IF((AND(LEFT(G3641,2)=LEFT('112'!$M$9,2),B3641&lt;'112'!$K$9,$N3641='112'!$I$6)),"x",""))</f>
        <v/>
      </c>
      <c r="V3641" s="75" t="str">
        <f>IF(ISERROR(FIND('112'!$M$9,G3641,1)),"",IF((AND(RIGHT(G3641,2)=RIGHT('112'!$M$9,2),B3641&lt;'112'!$K$9,$O3641='112'!$I$6)),"x",""))</f>
        <v/>
      </c>
      <c r="W3641" s="75" t="str">
        <f>IF(AND('341-CT'!$H$9=H3641,OR(LEFT(N3641,3)=$W$7,LEFT(O3641,3)=$W$7)),"x","")</f>
        <v/>
      </c>
      <c r="X3641" s="75" t="str">
        <f>IF(OR(TH!N4652=TH!$X$7,O3641=TH!$X$7),"x","")</f>
        <v/>
      </c>
      <c r="Y3641" s="75" t="str">
        <f>IF(AND(OR(N3641="131",O3641="131"),H3641='131-CT'!$H$9),"x","")</f>
        <v/>
      </c>
      <c r="Z3641" s="75"/>
      <c r="AA3641" s="75" t="str">
        <f>IF(AND(MONTH(E3641)='IN-NX'!$J$5,'IN-NX'!$D$7=D3641),"x","")</f>
        <v/>
      </c>
      <c r="AB3641" s="75" t="str">
        <f>IF(AND(OR(LEFT(TH!N4652,2)="15",LEFT(TH!O4652,2)="15"),LEFT(TH!O4652,3)&lt;&gt;"111",'152-CT'!$J$8=TH!F4652),"x","")</f>
        <v/>
      </c>
      <c r="AC3641" s="75" t="str">
        <f>IF(AND(OR(LEFT(TH!N4652,2)="15",LEFT(TH!O4652,2)="15"),TK!$E$7=TH!F4652),"x","")</f>
        <v/>
      </c>
      <c r="AD3641" s="75" t="str">
        <f>IF(AND(N3641="1521",MONTH(C3641)='BK-NL'!$M$11),"x","")</f>
        <v/>
      </c>
    </row>
    <row r="3642" spans="1:31" ht="16.5" customHeight="1">
      <c r="A3642" s="309" t="str">
        <f>IF(B3642&lt;&gt;"",IF(AND(B3642='IN-TC'!$S$4,OR(TH!N3642="1111",TH!O3642="1111")),TH!D3642,""),"")</f>
        <v/>
      </c>
      <c r="B3642" s="1131">
        <f t="shared" si="1298"/>
        <v>2</v>
      </c>
      <c r="C3642" s="292">
        <f t="shared" si="1299"/>
        <v>42781</v>
      </c>
      <c r="D3642" s="59" t="s">
        <v>902</v>
      </c>
      <c r="E3642" s="292">
        <v>42781</v>
      </c>
      <c r="F3642" s="1127" t="s">
        <v>1087</v>
      </c>
      <c r="G3642" s="62" t="s">
        <v>585</v>
      </c>
      <c r="H3642" s="67" t="s">
        <v>622</v>
      </c>
      <c r="I3642" s="373"/>
      <c r="J3642" s="379"/>
      <c r="K3642" s="373"/>
      <c r="L3642" s="379"/>
      <c r="M3642" s="60">
        <v>100000000</v>
      </c>
      <c r="N3642" s="61" t="s">
        <v>8</v>
      </c>
      <c r="O3642" s="61" t="s">
        <v>26</v>
      </c>
      <c r="P3642" s="75" t="str">
        <f>IF(AND('331-CT'!$E$7=TH!H4653,OR(N3642="331",O3642="331")),"x","")</f>
        <v/>
      </c>
      <c r="Q3642" s="75" t="str">
        <f>IF(AND(B3642='111'!$L$11,OR($N3642=$Q$7,$O3642=$Q$7)),"x","")</f>
        <v/>
      </c>
      <c r="R3642" s="75" t="str">
        <f>IF(AND($N3642=$Q$7,$B3642&lt;'111'!$L$11),"x","")</f>
        <v/>
      </c>
      <c r="S3642" s="75" t="str">
        <f>IF(AND($O3642=$Q$7,$B3642&lt;'111'!$L$11),"x","")</f>
        <v/>
      </c>
      <c r="T3642" s="75" t="str">
        <f>IF(ISERROR(FIND('112'!$M$9,G3642,1)),"",IF((AND(FIND('112'!$M$9,G3642,1)&gt;=1,B3642='112'!$K$9,OR($N3642='112'!$I$6,$O3642='112'!$I$6))),"x",""))</f>
        <v/>
      </c>
      <c r="U3642" s="75" t="str">
        <f>IF(ISERROR(FIND('112'!$M$9,G3642,1)),"",IF((AND(LEFT(G3642,2)=LEFT('112'!$M$9,2),B3642&lt;'112'!$K$9,$N3642='112'!$I$6)),"x",""))</f>
        <v/>
      </c>
      <c r="V3642" s="75" t="str">
        <f>IF(ISERROR(FIND('112'!$M$9,G3642,1)),"",IF((AND(RIGHT(G3642,2)=RIGHT('112'!$M$9,2),B3642&lt;'112'!$K$9,$O3642='112'!$I$6)),"x",""))</f>
        <v/>
      </c>
      <c r="W3642" s="75" t="str">
        <f>IF(AND('341-CT'!$H$9=H3642,OR(LEFT(N3642,3)=$W$7,LEFT(O3642,3)=$W$7)),"x","")</f>
        <v/>
      </c>
      <c r="X3642" s="75" t="str">
        <f>IF(OR(TH!N4653=TH!$X$7,O3642=TH!$X$7),"x","")</f>
        <v/>
      </c>
      <c r="Y3642" s="75" t="str">
        <f>IF(AND(OR(N3642="131",O3642="131"),H3642='131-CT'!$H$9),"x","")</f>
        <v/>
      </c>
      <c r="Z3642" s="75"/>
      <c r="AA3642" s="75" t="str">
        <f>IF(AND(MONTH(E3642)='IN-NX'!$J$5,'IN-NX'!$D$7=D3642),"x","")</f>
        <v/>
      </c>
      <c r="AB3642" s="75" t="str">
        <f>IF(AND(OR(LEFT(TH!N4653,2)="15",LEFT(TH!O4653,2)="15"),LEFT(TH!O4653,3)&lt;&gt;"111",'152-CT'!$J$8=TH!F4653),"x","")</f>
        <v/>
      </c>
      <c r="AC3642" s="75" t="str">
        <f>IF(AND(OR(LEFT(TH!N4653,2)="15",LEFT(TH!O4653,2)="15"),TK!$E$7=TH!F4653),"x","")</f>
        <v/>
      </c>
      <c r="AD3642" s="75" t="str">
        <f>IF(AND(N3642="1521",MONTH(C3642)='BK-NL'!$M$11),"x","")</f>
        <v/>
      </c>
    </row>
    <row r="3643" spans="1:31" ht="16.5" customHeight="1">
      <c r="A3643" s="309" t="str">
        <f>IF(B3643&lt;&gt;"",IF(AND(B3643='IN-TC'!$S$4,OR(TH!N3643="1111",TH!O3643="1111")),TH!D3643,""),"")</f>
        <v/>
      </c>
      <c r="B3643" s="1131">
        <f t="shared" si="1298"/>
        <v>2</v>
      </c>
      <c r="C3643" s="292">
        <f t="shared" si="1299"/>
        <v>42781</v>
      </c>
      <c r="D3643" s="59" t="s">
        <v>902</v>
      </c>
      <c r="E3643" s="292">
        <v>42781</v>
      </c>
      <c r="F3643" s="1127" t="s">
        <v>870</v>
      </c>
      <c r="G3643" s="62" t="s">
        <v>585</v>
      </c>
      <c r="H3643" s="67" t="s">
        <v>845</v>
      </c>
      <c r="I3643" s="373"/>
      <c r="J3643" s="379"/>
      <c r="K3643" s="373"/>
      <c r="L3643" s="379"/>
      <c r="M3643" s="60">
        <v>30000</v>
      </c>
      <c r="N3643" s="61" t="s">
        <v>101</v>
      </c>
      <c r="O3643" s="61" t="s">
        <v>26</v>
      </c>
      <c r="P3643" s="75" t="str">
        <f>IF(AND('331-CT'!$E$7=TH!H4654,OR(N3643="331",O3643="331")),"x","")</f>
        <v/>
      </c>
      <c r="Q3643" s="75" t="str">
        <f>IF(AND(B3643='111'!$L$11,OR($N3643=$Q$7,$O3643=$Q$7)),"x","")</f>
        <v/>
      </c>
      <c r="R3643" s="75" t="str">
        <f>IF(AND($N3643=$Q$7,$B3643&lt;'111'!$L$11),"x","")</f>
        <v/>
      </c>
      <c r="S3643" s="75" t="str">
        <f>IF(AND($O3643=$Q$7,$B3643&lt;'111'!$L$11),"x","")</f>
        <v/>
      </c>
      <c r="T3643" s="75" t="str">
        <f>IF(ISERROR(FIND('112'!$M$9,G3643,1)),"",IF((AND(FIND('112'!$M$9,G3643,1)&gt;=1,B3643='112'!$K$9,OR($N3643='112'!$I$6,$O3643='112'!$I$6))),"x",""))</f>
        <v/>
      </c>
      <c r="U3643" s="75" t="str">
        <f>IF(ISERROR(FIND('112'!$M$9,G3643,1)),"",IF((AND(LEFT(G3643,2)=LEFT('112'!$M$9,2),B3643&lt;'112'!$K$9,$N3643='112'!$I$6)),"x",""))</f>
        <v/>
      </c>
      <c r="V3643" s="75" t="str">
        <f>IF(ISERROR(FIND('112'!$M$9,G3643,1)),"",IF((AND(RIGHT(G3643,2)=RIGHT('112'!$M$9,2),B3643&lt;'112'!$K$9,$O3643='112'!$I$6)),"x",""))</f>
        <v/>
      </c>
      <c r="W3643" s="75" t="str">
        <f>IF(AND('341-CT'!$H$9=H3643,OR(LEFT(N3643,3)=$W$7,LEFT(O3643,3)=$W$7)),"x","")</f>
        <v/>
      </c>
      <c r="X3643" s="75" t="str">
        <f>IF(OR(TH!N4654=TH!$X$7,O3643=TH!$X$7),"x","")</f>
        <v/>
      </c>
      <c r="Y3643" s="75" t="str">
        <f>IF(AND(OR(N3643="131",O3643="131"),H3643='131-CT'!$H$9),"x","")</f>
        <v/>
      </c>
      <c r="Z3643" s="75"/>
      <c r="AA3643" s="75" t="str">
        <f>IF(AND(MONTH(E3643)='IN-NX'!$J$5,'IN-NX'!$D$7=D3643),"x","")</f>
        <v/>
      </c>
      <c r="AB3643" s="75" t="str">
        <f>IF(AND(OR(LEFT(TH!N4654,2)="15",LEFT(TH!O4654,2)="15"),LEFT(TH!O4654,3)&lt;&gt;"111",'152-CT'!$J$8=TH!F4654),"x","")</f>
        <v/>
      </c>
      <c r="AC3643" s="75" t="str">
        <f>IF(AND(OR(LEFT(TH!N4654,2)="15",LEFT(TH!O4654,2)="15"),TK!$E$7=TH!F4654),"x","")</f>
        <v/>
      </c>
      <c r="AD3643" s="75" t="str">
        <f>IF(AND(N3643="1521",MONTH(C3643)='BK-NL'!$M$11),"x","")</f>
        <v/>
      </c>
    </row>
    <row r="3644" spans="1:31" ht="16.5" customHeight="1">
      <c r="A3644" s="309" t="str">
        <f>IF(B3644&lt;&gt;"",IF(AND(B3644='IN-TC'!$S$4,OR(TH!N3644="1111",TH!O3644="1111")),TH!D3644,""),"")</f>
        <v/>
      </c>
      <c r="B3644" s="1131">
        <f t="shared" si="1298"/>
        <v>2</v>
      </c>
      <c r="C3644" s="292">
        <f t="shared" si="1299"/>
        <v>42781</v>
      </c>
      <c r="D3644" s="59" t="s">
        <v>902</v>
      </c>
      <c r="E3644" s="292">
        <v>42781</v>
      </c>
      <c r="F3644" s="67" t="s">
        <v>898</v>
      </c>
      <c r="G3644" s="62" t="s">
        <v>585</v>
      </c>
      <c r="H3644" s="67" t="s">
        <v>845</v>
      </c>
      <c r="I3644" s="373"/>
      <c r="J3644" s="379"/>
      <c r="K3644" s="373"/>
      <c r="L3644" s="379"/>
      <c r="M3644" s="60">
        <v>3000</v>
      </c>
      <c r="N3644" s="61" t="s">
        <v>9</v>
      </c>
      <c r="O3644" s="61" t="s">
        <v>26</v>
      </c>
      <c r="P3644" s="75" t="str">
        <f>IF(AND('331-CT'!$E$7=TH!H4655,OR(N3644="331",O3644="331")),"x","")</f>
        <v/>
      </c>
      <c r="Q3644" s="75" t="str">
        <f>IF(AND(B3644='111'!$L$11,OR($N3644=$Q$7,$O3644=$Q$7)),"x","")</f>
        <v/>
      </c>
      <c r="R3644" s="75" t="str">
        <f>IF(AND($N3644=$Q$7,$B3644&lt;'111'!$L$11),"x","")</f>
        <v/>
      </c>
      <c r="S3644" s="75" t="str">
        <f>IF(AND($O3644=$Q$7,$B3644&lt;'111'!$L$11),"x","")</f>
        <v/>
      </c>
      <c r="T3644" s="75" t="str">
        <f>IF(ISERROR(FIND('112'!$M$9,G3644,1)),"",IF((AND(FIND('112'!$M$9,G3644,1)&gt;=1,B3644='112'!$K$9,OR($N3644='112'!$I$6,$O3644='112'!$I$6))),"x",""))</f>
        <v/>
      </c>
      <c r="U3644" s="75" t="str">
        <f>IF(ISERROR(FIND('112'!$M$9,G3644,1)),"",IF((AND(LEFT(G3644,2)=LEFT('112'!$M$9,2),B3644&lt;'112'!$K$9,$N3644='112'!$I$6)),"x",""))</f>
        <v/>
      </c>
      <c r="V3644" s="75" t="str">
        <f>IF(ISERROR(FIND('112'!$M$9,G3644,1)),"",IF((AND(RIGHT(G3644,2)=RIGHT('112'!$M$9,2),B3644&lt;'112'!$K$9,$O3644='112'!$I$6)),"x",""))</f>
        <v/>
      </c>
      <c r="W3644" s="75" t="str">
        <f>IF(AND('341-CT'!$H$9=H3644,OR(LEFT(N3644,3)=$W$7,LEFT(O3644,3)=$W$7)),"x","")</f>
        <v/>
      </c>
      <c r="X3644" s="75" t="str">
        <f>IF(OR(TH!N4655=TH!$X$7,O3644=TH!$X$7),"x","")</f>
        <v/>
      </c>
      <c r="Y3644" s="75" t="str">
        <f>IF(AND(OR(N3644="131",O3644="131"),H3644='131-CT'!$H$9),"x","")</f>
        <v/>
      </c>
      <c r="Z3644" s="75"/>
      <c r="AA3644" s="75" t="str">
        <f>IF(AND(MONTH(E3644)='IN-NX'!$J$5,'IN-NX'!$D$7=D3644),"x","")</f>
        <v/>
      </c>
      <c r="AB3644" s="75" t="str">
        <f>IF(AND(OR(LEFT(TH!N4655,2)="15",LEFT(TH!O4655,2)="15"),LEFT(TH!O4655,3)&lt;&gt;"111",'152-CT'!$J$8=TH!F4655),"x","")</f>
        <v/>
      </c>
      <c r="AC3644" s="75" t="str">
        <f>IF(AND(OR(LEFT(TH!N4655,2)="15",LEFT(TH!O4655,2)="15"),TK!$E$7=TH!F4655),"x","")</f>
        <v/>
      </c>
      <c r="AD3644" s="75" t="str">
        <f>IF(AND(N3644="1521",MONTH(C3644)='BK-NL'!$M$11),"x","")</f>
        <v/>
      </c>
    </row>
    <row r="3645" spans="1:31" ht="16.5" customHeight="1">
      <c r="A3645" s="309" t="str">
        <f>IF(B3645&lt;&gt;"",IF(AND(B3645='IN-TC'!$S$4,OR(TH!N3645="1111",TH!O3645="1111")),TH!D3645,""),"")</f>
        <v/>
      </c>
      <c r="B3645" s="1131">
        <f t="shared" si="1298"/>
        <v>2</v>
      </c>
      <c r="C3645" s="292">
        <f t="shared" si="1299"/>
        <v>42781</v>
      </c>
      <c r="D3645" s="59" t="s">
        <v>902</v>
      </c>
      <c r="E3645" s="292">
        <v>42781</v>
      </c>
      <c r="F3645" s="67" t="s">
        <v>1087</v>
      </c>
      <c r="G3645" s="62" t="s">
        <v>585</v>
      </c>
      <c r="H3645" s="67" t="s">
        <v>742</v>
      </c>
      <c r="I3645" s="373"/>
      <c r="J3645" s="379"/>
      <c r="K3645" s="373"/>
      <c r="L3645" s="379"/>
      <c r="M3645" s="60">
        <v>100000000</v>
      </c>
      <c r="N3645" s="61" t="s">
        <v>8</v>
      </c>
      <c r="O3645" s="61" t="s">
        <v>26</v>
      </c>
      <c r="P3645" s="75" t="str">
        <f>IF(AND('331-CT'!$E$7=TH!H4656,OR(N3645="331",O3645="331")),"x","")</f>
        <v/>
      </c>
      <c r="Q3645" s="75" t="str">
        <f>IF(AND(B3645='111'!$L$11,OR($N3645=$Q$7,$O3645=$Q$7)),"x","")</f>
        <v/>
      </c>
      <c r="R3645" s="75" t="str">
        <f>IF(AND($N3645=$Q$7,$B3645&lt;'111'!$L$11),"x","")</f>
        <v/>
      </c>
      <c r="S3645" s="75" t="str">
        <f>IF(AND($O3645=$Q$7,$B3645&lt;'111'!$L$11),"x","")</f>
        <v/>
      </c>
      <c r="T3645" s="75" t="str">
        <f>IF(ISERROR(FIND('112'!$M$9,G3645,1)),"",IF((AND(FIND('112'!$M$9,G3645,1)&gt;=1,B3645='112'!$K$9,OR($N3645='112'!$I$6,$O3645='112'!$I$6))),"x",""))</f>
        <v/>
      </c>
      <c r="U3645" s="75" t="str">
        <f>IF(ISERROR(FIND('112'!$M$9,G3645,1)),"",IF((AND(LEFT(G3645,2)=LEFT('112'!$M$9,2),B3645&lt;'112'!$K$9,$N3645='112'!$I$6)),"x",""))</f>
        <v/>
      </c>
      <c r="V3645" s="75" t="str">
        <f>IF(ISERROR(FIND('112'!$M$9,G3645,1)),"",IF((AND(RIGHT(G3645,2)=RIGHT('112'!$M$9,2),B3645&lt;'112'!$K$9,$O3645='112'!$I$6)),"x",""))</f>
        <v/>
      </c>
      <c r="W3645" s="75" t="str">
        <f>IF(AND('341-CT'!$H$9=H3645,OR(LEFT(N3645,3)=$W$7,LEFT(O3645,3)=$W$7)),"x","")</f>
        <v/>
      </c>
      <c r="X3645" s="75" t="str">
        <f>IF(OR(TH!N4656=TH!$X$7,O3645=TH!$X$7),"x","")</f>
        <v/>
      </c>
      <c r="Y3645" s="75" t="str">
        <f>IF(AND(OR(N3645="131",O3645="131"),H3645='131-CT'!$H$9),"x","")</f>
        <v/>
      </c>
      <c r="Z3645" s="75"/>
      <c r="AA3645" s="75" t="str">
        <f>IF(AND(MONTH(E3645)='IN-NX'!$J$5,'IN-NX'!$D$7=D3645),"x","")</f>
        <v/>
      </c>
      <c r="AB3645" s="75" t="str">
        <f>IF(AND(OR(LEFT(TH!N4656,2)="15",LEFT(TH!O4656,2)="15"),LEFT(TH!O4656,3)&lt;&gt;"111",'152-CT'!$J$8=TH!F4656),"x","")</f>
        <v/>
      </c>
      <c r="AC3645" s="75" t="str">
        <f>IF(AND(OR(LEFT(TH!N4656,2)="15",LEFT(TH!O4656,2)="15"),TK!$E$7=TH!F4656),"x","")</f>
        <v/>
      </c>
      <c r="AD3645" s="75" t="str">
        <f>IF(AND(N3645="1521",MONTH(C3645)='BK-NL'!$M$11),"x","")</f>
        <v/>
      </c>
    </row>
    <row r="3646" spans="1:31" ht="16.5" customHeight="1">
      <c r="A3646" s="309" t="str">
        <f>IF(B3646&lt;&gt;"",IF(AND(B3646='IN-TC'!$S$4,OR(TH!N3646="1111",TH!O3646="1111")),TH!D3646,""),"")</f>
        <v/>
      </c>
      <c r="B3646" s="1131">
        <f t="shared" si="1298"/>
        <v>2</v>
      </c>
      <c r="C3646" s="292">
        <f t="shared" si="1299"/>
        <v>42781</v>
      </c>
      <c r="D3646" s="59" t="s">
        <v>902</v>
      </c>
      <c r="E3646" s="292">
        <v>42781</v>
      </c>
      <c r="F3646" s="67" t="s">
        <v>870</v>
      </c>
      <c r="G3646" s="62" t="s">
        <v>585</v>
      </c>
      <c r="H3646" s="67" t="s">
        <v>845</v>
      </c>
      <c r="I3646" s="373"/>
      <c r="J3646" s="379"/>
      <c r="K3646" s="373"/>
      <c r="L3646" s="379"/>
      <c r="M3646" s="60">
        <v>30000</v>
      </c>
      <c r="N3646" s="61" t="s">
        <v>101</v>
      </c>
      <c r="O3646" s="61" t="s">
        <v>26</v>
      </c>
      <c r="P3646" s="75" t="str">
        <f>IF(AND('331-CT'!$E$7=TH!H4657,OR(N3646="331",O3646="331")),"x","")</f>
        <v/>
      </c>
      <c r="Q3646" s="75" t="str">
        <f>IF(AND(B3646='111'!$L$11,OR($N3646=$Q$7,$O3646=$Q$7)),"x","")</f>
        <v/>
      </c>
      <c r="R3646" s="75" t="str">
        <f>IF(AND($N3646=$Q$7,$B3646&lt;'111'!$L$11),"x","")</f>
        <v/>
      </c>
      <c r="S3646" s="75" t="str">
        <f>IF(AND($O3646=$Q$7,$B3646&lt;'111'!$L$11),"x","")</f>
        <v/>
      </c>
      <c r="T3646" s="75" t="str">
        <f>IF(ISERROR(FIND('112'!$M$9,G3646,1)),"",IF((AND(FIND('112'!$M$9,G3646,1)&gt;=1,B3646='112'!$K$9,OR($N3646='112'!$I$6,$O3646='112'!$I$6))),"x",""))</f>
        <v/>
      </c>
      <c r="U3646" s="75" t="str">
        <f>IF(ISERROR(FIND('112'!$M$9,G3646,1)),"",IF((AND(LEFT(G3646,2)=LEFT('112'!$M$9,2),B3646&lt;'112'!$K$9,$N3646='112'!$I$6)),"x",""))</f>
        <v/>
      </c>
      <c r="V3646" s="75" t="str">
        <f>IF(ISERROR(FIND('112'!$M$9,G3646,1)),"",IF((AND(RIGHT(G3646,2)=RIGHT('112'!$M$9,2),B3646&lt;'112'!$K$9,$O3646='112'!$I$6)),"x",""))</f>
        <v/>
      </c>
      <c r="W3646" s="75" t="str">
        <f>IF(AND('341-CT'!$H$9=H3646,OR(LEFT(N3646,3)=$W$7,LEFT(O3646,3)=$W$7)),"x","")</f>
        <v/>
      </c>
      <c r="X3646" s="75" t="str">
        <f>IF(OR(TH!N4657=TH!$X$7,O3646=TH!$X$7),"x","")</f>
        <v/>
      </c>
      <c r="Y3646" s="75" t="str">
        <f>IF(AND(OR(N3646="131",O3646="131"),H3646='131-CT'!$H$9),"x","")</f>
        <v/>
      </c>
      <c r="Z3646" s="75"/>
      <c r="AA3646" s="75" t="str">
        <f>IF(AND(MONTH(E3646)='IN-NX'!$J$5,'IN-NX'!$D$7=D3646),"x","")</f>
        <v/>
      </c>
      <c r="AB3646" s="75" t="str">
        <f>IF(AND(OR(LEFT(TH!N4657,2)="15",LEFT(TH!O4657,2)="15"),LEFT(TH!O4657,3)&lt;&gt;"111",'152-CT'!$J$8=TH!F4657),"x","")</f>
        <v/>
      </c>
      <c r="AC3646" s="75" t="str">
        <f>IF(AND(OR(LEFT(TH!N4657,2)="15",LEFT(TH!O4657,2)="15"),TK!$E$7=TH!F4657),"x","")</f>
        <v/>
      </c>
      <c r="AD3646" s="75" t="str">
        <f>IF(AND(N3646="1521",MONTH(C3646)='BK-NL'!$M$11),"x","")</f>
        <v/>
      </c>
    </row>
    <row r="3647" spans="1:31" ht="16.5" customHeight="1">
      <c r="A3647" s="309" t="str">
        <f>IF(B3647&lt;&gt;"",IF(AND(B3647='IN-TC'!$S$4,OR(TH!N3647="1111",TH!O3647="1111")),TH!D3647,""),"")</f>
        <v/>
      </c>
      <c r="B3647" s="1131">
        <f t="shared" si="1298"/>
        <v>2</v>
      </c>
      <c r="C3647" s="292">
        <f t="shared" si="1299"/>
        <v>42781</v>
      </c>
      <c r="D3647" s="59" t="s">
        <v>902</v>
      </c>
      <c r="E3647" s="292">
        <v>42781</v>
      </c>
      <c r="F3647" s="67" t="s">
        <v>898</v>
      </c>
      <c r="G3647" s="62" t="s">
        <v>585</v>
      </c>
      <c r="H3647" s="67" t="s">
        <v>845</v>
      </c>
      <c r="I3647" s="373"/>
      <c r="J3647" s="379"/>
      <c r="K3647" s="373"/>
      <c r="L3647" s="379"/>
      <c r="M3647" s="60">
        <v>3000</v>
      </c>
      <c r="N3647" s="61" t="s">
        <v>9</v>
      </c>
      <c r="O3647" s="61" t="s">
        <v>26</v>
      </c>
      <c r="P3647" s="75" t="str">
        <f>IF(AND('331-CT'!$E$7=TH!H4658,OR(N3647="331",O3647="331")),"x","")</f>
        <v/>
      </c>
      <c r="Q3647" s="75" t="str">
        <f>IF(AND(B3647='111'!$L$11,OR($N3647=$Q$7,$O3647=$Q$7)),"x","")</f>
        <v/>
      </c>
      <c r="R3647" s="75" t="str">
        <f>IF(AND($N3647=$Q$7,$B3647&lt;'111'!$L$11),"x","")</f>
        <v/>
      </c>
      <c r="S3647" s="75" t="str">
        <f>IF(AND($O3647=$Q$7,$B3647&lt;'111'!$L$11),"x","")</f>
        <v/>
      </c>
      <c r="T3647" s="75" t="str">
        <f>IF(ISERROR(FIND('112'!$M$9,G3647,1)),"",IF((AND(FIND('112'!$M$9,G3647,1)&gt;=1,B3647='112'!$K$9,OR($N3647='112'!$I$6,$O3647='112'!$I$6))),"x",""))</f>
        <v/>
      </c>
      <c r="U3647" s="75" t="str">
        <f>IF(ISERROR(FIND('112'!$M$9,G3647,1)),"",IF((AND(LEFT(G3647,2)=LEFT('112'!$M$9,2),B3647&lt;'112'!$K$9,$N3647='112'!$I$6)),"x",""))</f>
        <v/>
      </c>
      <c r="V3647" s="75" t="str">
        <f>IF(ISERROR(FIND('112'!$M$9,G3647,1)),"",IF((AND(RIGHT(G3647,2)=RIGHT('112'!$M$9,2),B3647&lt;'112'!$K$9,$O3647='112'!$I$6)),"x",""))</f>
        <v/>
      </c>
      <c r="W3647" s="75" t="str">
        <f>IF(AND('341-CT'!$H$9=H3647,OR(LEFT(N3647,3)=$W$7,LEFT(O3647,3)=$W$7)),"x","")</f>
        <v/>
      </c>
      <c r="X3647" s="75" t="str">
        <f>IF(OR(TH!N4658=TH!$X$7,O3647=TH!$X$7),"x","")</f>
        <v/>
      </c>
      <c r="Y3647" s="75" t="str">
        <f>IF(AND(OR(N3647="131",O3647="131"),H3647='131-CT'!$H$9),"x","")</f>
        <v/>
      </c>
      <c r="Z3647" s="75"/>
      <c r="AA3647" s="75" t="str">
        <f>IF(AND(MONTH(E3647)='IN-NX'!$J$5,'IN-NX'!$D$7=D3647),"x","")</f>
        <v/>
      </c>
      <c r="AB3647" s="75" t="str">
        <f>IF(AND(OR(LEFT(TH!N4658,2)="15",LEFT(TH!O4658,2)="15"),LEFT(TH!O4658,3)&lt;&gt;"111",'152-CT'!$J$8=TH!F4658),"x","")</f>
        <v/>
      </c>
      <c r="AC3647" s="75" t="str">
        <f>IF(AND(OR(LEFT(TH!N4658,2)="15",LEFT(TH!O4658,2)="15"),TK!$E$7=TH!F4658),"x","")</f>
        <v/>
      </c>
      <c r="AD3647" s="75" t="str">
        <f>IF(AND(N3647="1521",MONTH(C3647)='BK-NL'!$M$11),"x","")</f>
        <v/>
      </c>
    </row>
    <row r="3648" spans="1:31" ht="16.5" customHeight="1">
      <c r="A3648" s="309" t="str">
        <f>IF(B3648&lt;&gt;"",IF(AND(B3648='IN-TC'!$S$4,OR(TH!N3648="1111",TH!O3648="1111")),TH!D3648,""),"")</f>
        <v/>
      </c>
      <c r="B3648" s="1131">
        <f t="shared" si="1298"/>
        <v>2</v>
      </c>
      <c r="C3648" s="292">
        <f t="shared" si="1299"/>
        <v>42782</v>
      </c>
      <c r="D3648" s="292" t="s">
        <v>846</v>
      </c>
      <c r="E3648" s="292">
        <v>42782</v>
      </c>
      <c r="F3648" s="67" t="s">
        <v>834</v>
      </c>
      <c r="G3648" s="943" t="s">
        <v>585</v>
      </c>
      <c r="H3648" s="67" t="s">
        <v>1023</v>
      </c>
      <c r="I3648" s="373"/>
      <c r="J3648" s="926"/>
      <c r="K3648" s="373"/>
      <c r="L3648" s="379"/>
      <c r="M3648" s="927">
        <v>500000000</v>
      </c>
      <c r="N3648" s="295" t="s">
        <v>63</v>
      </c>
      <c r="O3648" s="295" t="s">
        <v>26</v>
      </c>
      <c r="P3648" s="75" t="str">
        <f>IF(AND('331-CT'!$E$7=TH!H4663,OR(N3648="331",O3648="331")),"x","")</f>
        <v/>
      </c>
      <c r="Q3648" s="75" t="str">
        <f>IF(AND(B3648='111'!$L$11,OR($N3648=$Q$7,$O3648=$Q$7)),"x","")</f>
        <v/>
      </c>
      <c r="R3648" s="75" t="str">
        <f>IF(AND($N3648=$Q$7,$B3648&lt;'111'!$L$11),"x","")</f>
        <v>x</v>
      </c>
      <c r="S3648" s="75" t="str">
        <f>IF(AND($O3648=$Q$7,$B3648&lt;'111'!$L$11),"x","")</f>
        <v/>
      </c>
      <c r="T3648" s="75" t="str">
        <f>IF(ISERROR(FIND('112'!$M$9,G3648,1)),"",IF((AND(FIND('112'!$M$9,G3648,1)&gt;=1,B3648='112'!$K$9,OR($N3648='112'!$I$6,$O3648='112'!$I$6))),"x",""))</f>
        <v/>
      </c>
      <c r="U3648" s="75" t="str">
        <f>IF(ISERROR(FIND('112'!$M$9,G3648,1)),"",IF((AND(LEFT(G3648,2)=LEFT('112'!$M$9,2),B3648&lt;'112'!$K$9,$N3648='112'!$I$6)),"x",""))</f>
        <v/>
      </c>
      <c r="V3648" s="75" t="str">
        <f>IF(ISERROR(FIND('112'!$M$9,G3648,1)),"",IF((AND(RIGHT(G3648,2)=RIGHT('112'!$M$9,2),B3648&lt;'112'!$K$9,$O3648='112'!$I$6)),"x",""))</f>
        <v/>
      </c>
      <c r="W3648" s="75" t="str">
        <f>IF(AND('341-CT'!$H$9=H3648,OR(LEFT(N3648,3)=$W$7,LEFT(O3648,3)=$W$7)),"x","")</f>
        <v/>
      </c>
      <c r="X3648" s="75" t="str">
        <f>IF(OR(TH!N4663=TH!$X$7,O3648=TH!$X$7),"x","")</f>
        <v/>
      </c>
      <c r="Y3648" s="75" t="str">
        <f>IF(AND(OR(N3648="131",O3648="131"),H3648='131-CT'!$H$9),"x","")</f>
        <v/>
      </c>
      <c r="Z3648" s="75"/>
      <c r="AA3648" s="75" t="str">
        <f>IF(AND(MONTH(E3648)='IN-NX'!$J$5,'IN-NX'!$D$7=D3648),"x","")</f>
        <v/>
      </c>
      <c r="AB3648" s="75" t="str">
        <f>IF(AND(OR(LEFT(TH!N4663,2)="15",LEFT(TH!O4663,2)="15"),LEFT(TH!O4663,3)&lt;&gt;"111",'152-CT'!$J$8=TH!F4663),"x","")</f>
        <v/>
      </c>
      <c r="AC3648" s="75" t="str">
        <f>IF(AND(OR(LEFT(TH!N4663,2)="15",LEFT(TH!O4663,2)="15"),TK!$E$7=TH!F4663),"x","")</f>
        <v/>
      </c>
      <c r="AD3648" s="75" t="str">
        <f>IF(AND(N3648="1521",MONTH(C3648)='BK-NL'!$M$11),"x","")</f>
        <v/>
      </c>
    </row>
    <row r="3649" spans="1:33" ht="16.5" customHeight="1">
      <c r="A3649" s="309" t="str">
        <f>IF(B3649&lt;&gt;"",IF(AND(B3649='IN-TC'!$S$4,OR(TH!N3649="1111",TH!O3649="1111")),TH!D3649,""),"")</f>
        <v/>
      </c>
      <c r="B3649" s="1131">
        <f t="shared" si="1298"/>
        <v>2</v>
      </c>
      <c r="C3649" s="292">
        <f t="shared" si="1299"/>
        <v>42782</v>
      </c>
      <c r="D3649" s="59" t="s">
        <v>902</v>
      </c>
      <c r="E3649" s="292">
        <v>42782</v>
      </c>
      <c r="F3649" s="67" t="s">
        <v>1088</v>
      </c>
      <c r="G3649" s="62" t="s">
        <v>585</v>
      </c>
      <c r="H3649" s="67" t="s">
        <v>845</v>
      </c>
      <c r="I3649" s="373"/>
      <c r="J3649" s="379"/>
      <c r="K3649" s="373"/>
      <c r="L3649" s="379"/>
      <c r="M3649" s="60">
        <v>50000</v>
      </c>
      <c r="N3649" s="61" t="s">
        <v>101</v>
      </c>
      <c r="O3649" s="61" t="s">
        <v>26</v>
      </c>
      <c r="P3649" s="75" t="str">
        <f>IF(AND('331-CT'!$E$7=TH!H4659,OR(N3649="331",O3649="331")),"x","")</f>
        <v/>
      </c>
      <c r="Q3649" s="75" t="str">
        <f>IF(AND(B3649='111'!$L$11,OR($N3649=$Q$7,$O3649=$Q$7)),"x","")</f>
        <v/>
      </c>
      <c r="R3649" s="75" t="str">
        <f>IF(AND($N3649=$Q$7,$B3649&lt;'111'!$L$11),"x","")</f>
        <v/>
      </c>
      <c r="S3649" s="75" t="str">
        <f>IF(AND($O3649=$Q$7,$B3649&lt;'111'!$L$11),"x","")</f>
        <v/>
      </c>
      <c r="T3649" s="75" t="str">
        <f>IF(ISERROR(FIND('112'!$M$9,G3649,1)),"",IF((AND(FIND('112'!$M$9,G3649,1)&gt;=1,B3649='112'!$K$9,OR($N3649='112'!$I$6,$O3649='112'!$I$6))),"x",""))</f>
        <v/>
      </c>
      <c r="U3649" s="75" t="str">
        <f>IF(ISERROR(FIND('112'!$M$9,G3649,1)),"",IF((AND(LEFT(G3649,2)=LEFT('112'!$M$9,2),B3649&lt;'112'!$K$9,$N3649='112'!$I$6)),"x",""))</f>
        <v/>
      </c>
      <c r="V3649" s="75" t="str">
        <f>IF(ISERROR(FIND('112'!$M$9,G3649,1)),"",IF((AND(RIGHT(G3649,2)=RIGHT('112'!$M$9,2),B3649&lt;'112'!$K$9,$O3649='112'!$I$6)),"x",""))</f>
        <v/>
      </c>
      <c r="W3649" s="75" t="str">
        <f>IF(AND('341-CT'!$H$9=H3649,OR(LEFT(N3649,3)=$W$7,LEFT(O3649,3)=$W$7)),"x","")</f>
        <v/>
      </c>
      <c r="X3649" s="75" t="str">
        <f>IF(OR(TH!N4659=TH!$X$7,O3649=TH!$X$7),"x","")</f>
        <v/>
      </c>
      <c r="Y3649" s="75" t="str">
        <f>IF(AND(OR(N3649="131",O3649="131"),H3649='131-CT'!$H$9),"x","")</f>
        <v/>
      </c>
      <c r="Z3649" s="75"/>
      <c r="AA3649" s="75" t="str">
        <f>IF(AND(MONTH(E3649)='IN-NX'!$J$5,'IN-NX'!$D$7=D3649),"x","")</f>
        <v/>
      </c>
      <c r="AB3649" s="75" t="str">
        <f>IF(AND(OR(LEFT(TH!N4659,2)="15",LEFT(TH!O4659,2)="15"),LEFT(TH!O4659,3)&lt;&gt;"111",'152-CT'!$J$8=TH!F4659),"x","")</f>
        <v/>
      </c>
      <c r="AC3649" s="75" t="str">
        <f>IF(AND(OR(LEFT(TH!N4659,2)="15",LEFT(TH!O4659,2)="15"),TK!$E$7=TH!F4659),"x","")</f>
        <v/>
      </c>
      <c r="AD3649" s="75" t="str">
        <f>IF(AND(N3649="1521",MONTH(C3649)='BK-NL'!$M$11),"x","")</f>
        <v/>
      </c>
    </row>
    <row r="3650" spans="1:33" ht="16.5" customHeight="1">
      <c r="A3650" s="309" t="str">
        <f>IF(B3650&lt;&gt;"",IF(AND(B3650='IN-TC'!$S$4,OR(TH!N3650="1111",TH!O3650="1111")),TH!D3650,""),"")</f>
        <v/>
      </c>
      <c r="B3650" s="1131">
        <f t="shared" si="1298"/>
        <v>2</v>
      </c>
      <c r="C3650" s="292">
        <f t="shared" si="1299"/>
        <v>42782</v>
      </c>
      <c r="D3650" s="59" t="s">
        <v>902</v>
      </c>
      <c r="E3650" s="292">
        <v>42782</v>
      </c>
      <c r="F3650" s="67" t="s">
        <v>1089</v>
      </c>
      <c r="G3650" s="62" t="s">
        <v>585</v>
      </c>
      <c r="H3650" s="67" t="s">
        <v>845</v>
      </c>
      <c r="I3650" s="373"/>
      <c r="J3650" s="379"/>
      <c r="K3650" s="373"/>
      <c r="L3650" s="379"/>
      <c r="M3650" s="60">
        <v>5000</v>
      </c>
      <c r="N3650" s="61" t="s">
        <v>9</v>
      </c>
      <c r="O3650" s="61" t="s">
        <v>26</v>
      </c>
      <c r="P3650" s="75" t="str">
        <f>IF(AND('331-CT'!$E$7=TH!H4660,OR(N3650="331",O3650="331")),"x","")</f>
        <v/>
      </c>
      <c r="Q3650" s="75" t="str">
        <f>IF(AND(B3650='111'!$L$11,OR($N3650=$Q$7,$O3650=$Q$7)),"x","")</f>
        <v/>
      </c>
      <c r="R3650" s="75" t="str">
        <f>IF(AND($N3650=$Q$7,$B3650&lt;'111'!$L$11),"x","")</f>
        <v/>
      </c>
      <c r="S3650" s="75" t="str">
        <f>IF(AND($O3650=$Q$7,$B3650&lt;'111'!$L$11),"x","")</f>
        <v/>
      </c>
      <c r="T3650" s="75" t="str">
        <f>IF(ISERROR(FIND('112'!$M$9,G3650,1)),"",IF((AND(FIND('112'!$M$9,G3650,1)&gt;=1,B3650='112'!$K$9,OR($N3650='112'!$I$6,$O3650='112'!$I$6))),"x",""))</f>
        <v/>
      </c>
      <c r="U3650" s="75" t="str">
        <f>IF(ISERROR(FIND('112'!$M$9,G3650,1)),"",IF((AND(LEFT(G3650,2)=LEFT('112'!$M$9,2),B3650&lt;'112'!$K$9,$N3650='112'!$I$6)),"x",""))</f>
        <v/>
      </c>
      <c r="V3650" s="75" t="str">
        <f>IF(ISERROR(FIND('112'!$M$9,G3650,1)),"",IF((AND(RIGHT(G3650,2)=RIGHT('112'!$M$9,2),B3650&lt;'112'!$K$9,$O3650='112'!$I$6)),"x",""))</f>
        <v/>
      </c>
      <c r="W3650" s="75" t="str">
        <f>IF(AND('341-CT'!$H$9=H3650,OR(LEFT(N3650,3)=$W$7,LEFT(O3650,3)=$W$7)),"x","")</f>
        <v/>
      </c>
      <c r="X3650" s="75" t="str">
        <f>IF(OR(TH!N4660=TH!$X$7,O3650=TH!$X$7),"x","")</f>
        <v/>
      </c>
      <c r="Y3650" s="75" t="str">
        <f>IF(AND(OR(N3650="131",O3650="131"),H3650='131-CT'!$H$9),"x","")</f>
        <v/>
      </c>
      <c r="Z3650" s="75"/>
      <c r="AA3650" s="75" t="str">
        <f>IF(AND(MONTH(E3650)='IN-NX'!$J$5,'IN-NX'!$D$7=D3650),"x","")</f>
        <v/>
      </c>
      <c r="AB3650" s="75" t="str">
        <f>IF(AND(OR(LEFT(TH!N4660,2)="15",LEFT(TH!O4660,2)="15"),LEFT(TH!O4660,3)&lt;&gt;"111",'152-CT'!$J$8=TH!F4660),"x","")</f>
        <v/>
      </c>
      <c r="AC3650" s="75" t="str">
        <f>IF(AND(OR(LEFT(TH!N4660,2)="15",LEFT(TH!O4660,2)="15"),TK!$E$7=TH!F4660),"x","")</f>
        <v/>
      </c>
      <c r="AD3650" s="75" t="str">
        <f>IF(AND(N3650="1521",MONTH(C3650)='BK-NL'!$M$11),"x","")</f>
        <v/>
      </c>
    </row>
    <row r="3651" spans="1:33" ht="16.5" customHeight="1">
      <c r="A3651" s="309" t="str">
        <f>IF(B3651&lt;&gt;"",IF(AND(B3651='IN-TC'!$S$4,OR(TH!N3651="1111",TH!O3651="1111")),TH!D3651,""),"")</f>
        <v/>
      </c>
      <c r="B3651" s="1131">
        <f t="shared" si="1298"/>
        <v>2</v>
      </c>
      <c r="C3651" s="292">
        <f t="shared" si="1299"/>
        <v>42782</v>
      </c>
      <c r="D3651" s="59" t="s">
        <v>902</v>
      </c>
      <c r="E3651" s="292">
        <v>42782</v>
      </c>
      <c r="F3651" s="67" t="s">
        <v>1088</v>
      </c>
      <c r="G3651" s="62" t="s">
        <v>585</v>
      </c>
      <c r="H3651" s="67" t="s">
        <v>845</v>
      </c>
      <c r="I3651" s="373"/>
      <c r="J3651" s="379"/>
      <c r="K3651" s="373"/>
      <c r="L3651" s="379"/>
      <c r="M3651" s="60">
        <v>50000</v>
      </c>
      <c r="N3651" s="61" t="s">
        <v>101</v>
      </c>
      <c r="O3651" s="61" t="s">
        <v>26</v>
      </c>
      <c r="P3651" s="75" t="str">
        <f>IF(AND('331-CT'!$E$7=TH!H4661,OR(N3651="331",O3651="331")),"x","")</f>
        <v/>
      </c>
      <c r="Q3651" s="75" t="str">
        <f>IF(AND(B3651='111'!$L$11,OR($N3651=$Q$7,$O3651=$Q$7)),"x","")</f>
        <v/>
      </c>
      <c r="R3651" s="75" t="str">
        <f>IF(AND($N3651=$Q$7,$B3651&lt;'111'!$L$11),"x","")</f>
        <v/>
      </c>
      <c r="S3651" s="75" t="str">
        <f>IF(AND($O3651=$Q$7,$B3651&lt;'111'!$L$11),"x","")</f>
        <v/>
      </c>
      <c r="T3651" s="75" t="str">
        <f>IF(ISERROR(FIND('112'!$M$9,G3651,1)),"",IF((AND(FIND('112'!$M$9,G3651,1)&gt;=1,B3651='112'!$K$9,OR($N3651='112'!$I$6,$O3651='112'!$I$6))),"x",""))</f>
        <v/>
      </c>
      <c r="U3651" s="75" t="str">
        <f>IF(ISERROR(FIND('112'!$M$9,G3651,1)),"",IF((AND(LEFT(G3651,2)=LEFT('112'!$M$9,2),B3651&lt;'112'!$K$9,$N3651='112'!$I$6)),"x",""))</f>
        <v/>
      </c>
      <c r="V3651" s="75" t="str">
        <f>IF(ISERROR(FIND('112'!$M$9,G3651,1)),"",IF((AND(RIGHT(G3651,2)=RIGHT('112'!$M$9,2),B3651&lt;'112'!$K$9,$O3651='112'!$I$6)),"x",""))</f>
        <v/>
      </c>
      <c r="W3651" s="75" t="str">
        <f>IF(AND('341-CT'!$H$9=H3651,OR(LEFT(N3651,3)=$W$7,LEFT(O3651,3)=$W$7)),"x","")</f>
        <v/>
      </c>
      <c r="X3651" s="75" t="str">
        <f>IF(OR(TH!N4661=TH!$X$7,O3651=TH!$X$7),"x","")</f>
        <v/>
      </c>
      <c r="Y3651" s="75" t="str">
        <f>IF(AND(OR(N3651="131",O3651="131"),H3651='131-CT'!$H$9),"x","")</f>
        <v/>
      </c>
      <c r="Z3651" s="75"/>
      <c r="AA3651" s="75" t="str">
        <f>IF(AND(MONTH(E3651)='IN-NX'!$J$5,'IN-NX'!$D$7=D3651),"x","")</f>
        <v/>
      </c>
      <c r="AB3651" s="75" t="str">
        <f>IF(AND(OR(LEFT(TH!N4661,2)="15",LEFT(TH!O4661,2)="15"),LEFT(TH!O4661,3)&lt;&gt;"111",'152-CT'!$J$8=TH!F4661),"x","")</f>
        <v/>
      </c>
      <c r="AC3651" s="75" t="str">
        <f>IF(AND(OR(LEFT(TH!N4661,2)="15",LEFT(TH!O4661,2)="15"),TK!$E$7=TH!F4661),"x","")</f>
        <v/>
      </c>
      <c r="AD3651" s="75" t="str">
        <f>IF(AND(N3651="1521",MONTH(C3651)='BK-NL'!$M$11),"x","")</f>
        <v/>
      </c>
    </row>
    <row r="3652" spans="1:33" ht="16.5" customHeight="1">
      <c r="A3652" s="309" t="str">
        <f>IF(B3652&lt;&gt;"",IF(AND(B3652='IN-TC'!$S$4,OR(TH!N3652="1111",TH!O3652="1111")),TH!D3652,""),"")</f>
        <v/>
      </c>
      <c r="B3652" s="1131">
        <f t="shared" si="1298"/>
        <v>2</v>
      </c>
      <c r="C3652" s="292">
        <f t="shared" si="1299"/>
        <v>42782</v>
      </c>
      <c r="D3652" s="59" t="s">
        <v>902</v>
      </c>
      <c r="E3652" s="292">
        <v>42782</v>
      </c>
      <c r="F3652" s="67" t="s">
        <v>1089</v>
      </c>
      <c r="G3652" s="62" t="s">
        <v>585</v>
      </c>
      <c r="H3652" s="67" t="s">
        <v>845</v>
      </c>
      <c r="I3652" s="373"/>
      <c r="J3652" s="379"/>
      <c r="K3652" s="373"/>
      <c r="L3652" s="379"/>
      <c r="M3652" s="60">
        <v>5000</v>
      </c>
      <c r="N3652" s="61" t="s">
        <v>9</v>
      </c>
      <c r="O3652" s="61" t="s">
        <v>26</v>
      </c>
      <c r="P3652" s="75" t="str">
        <f>IF(AND('331-CT'!$E$7=TH!H4662,OR(N3652="331",O3652="331")),"x","")</f>
        <v/>
      </c>
      <c r="Q3652" s="75" t="str">
        <f>IF(AND(B3652='111'!$L$11,OR($N3652=$Q$7,$O3652=$Q$7)),"x","")</f>
        <v/>
      </c>
      <c r="R3652" s="75" t="str">
        <f>IF(AND($N3652=$Q$7,$B3652&lt;'111'!$L$11),"x","")</f>
        <v/>
      </c>
      <c r="S3652" s="75" t="str">
        <f>IF(AND($O3652=$Q$7,$B3652&lt;'111'!$L$11),"x","")</f>
        <v/>
      </c>
      <c r="T3652" s="75" t="str">
        <f>IF(ISERROR(FIND('112'!$M$9,G3652,1)),"",IF((AND(FIND('112'!$M$9,G3652,1)&gt;=1,B3652='112'!$K$9,OR($N3652='112'!$I$6,$O3652='112'!$I$6))),"x",""))</f>
        <v/>
      </c>
      <c r="U3652" s="75" t="str">
        <f>IF(ISERROR(FIND('112'!$M$9,G3652,1)),"",IF((AND(LEFT(G3652,2)=LEFT('112'!$M$9,2),B3652&lt;'112'!$K$9,$N3652='112'!$I$6)),"x",""))</f>
        <v/>
      </c>
      <c r="V3652" s="75" t="str">
        <f>IF(ISERROR(FIND('112'!$M$9,G3652,1)),"",IF((AND(RIGHT(G3652,2)=RIGHT('112'!$M$9,2),B3652&lt;'112'!$K$9,$O3652='112'!$I$6)),"x",""))</f>
        <v/>
      </c>
      <c r="W3652" s="75" t="str">
        <f>IF(AND('341-CT'!$H$9=H3652,OR(LEFT(N3652,3)=$W$7,LEFT(O3652,3)=$W$7)),"x","")</f>
        <v/>
      </c>
      <c r="X3652" s="75" t="str">
        <f>IF(OR(TH!N4662=TH!$X$7,O3652=TH!$X$7),"x","")</f>
        <v/>
      </c>
      <c r="Y3652" s="75" t="str">
        <f>IF(AND(OR(N3652="131",O3652="131"),H3652='131-CT'!$H$9),"x","")</f>
        <v/>
      </c>
      <c r="Z3652" s="75"/>
      <c r="AA3652" s="75" t="str">
        <f>IF(AND(MONTH(E3652)='IN-NX'!$J$5,'IN-NX'!$D$7=D3652),"x","")</f>
        <v/>
      </c>
      <c r="AB3652" s="75" t="str">
        <f>IF(AND(OR(LEFT(TH!N4662,2)="15",LEFT(TH!O4662,2)="15"),LEFT(TH!O4662,3)&lt;&gt;"111",'152-CT'!$J$8=TH!F4662),"x","")</f>
        <v/>
      </c>
      <c r="AC3652" s="75" t="str">
        <f>IF(AND(OR(LEFT(TH!N4662,2)="15",LEFT(TH!O4662,2)="15"),TK!$E$7=TH!F4662),"x","")</f>
        <v/>
      </c>
      <c r="AD3652" s="75" t="str">
        <f>IF(AND(N3652="1521",MONTH(C3652)='BK-NL'!$M$11),"x","")</f>
        <v/>
      </c>
    </row>
    <row r="3653" spans="1:33" ht="16.5" customHeight="1">
      <c r="A3653" s="309" t="str">
        <f>IF(B3653&lt;&gt;"",IF(AND(B3653='IN-TC'!$S$4,OR(TH!N3653="1111",TH!O3653="1111")),TH!D3653,""),"")</f>
        <v/>
      </c>
      <c r="B3653" s="1131">
        <f t="shared" si="1298"/>
        <v>2</v>
      </c>
      <c r="C3653" s="292">
        <f t="shared" si="1299"/>
        <v>42782</v>
      </c>
      <c r="D3653" s="59" t="s">
        <v>902</v>
      </c>
      <c r="E3653" s="59">
        <v>42782</v>
      </c>
      <c r="F3653" s="62" t="s">
        <v>1025</v>
      </c>
      <c r="G3653" s="62" t="s">
        <v>747</v>
      </c>
      <c r="H3653" s="311" t="s">
        <v>835</v>
      </c>
      <c r="I3653" s="373"/>
      <c r="J3653" s="379"/>
      <c r="K3653" s="373"/>
      <c r="L3653" s="379"/>
      <c r="M3653" s="60">
        <v>2510200</v>
      </c>
      <c r="N3653" s="928" t="s">
        <v>101</v>
      </c>
      <c r="O3653" s="61" t="s">
        <v>26</v>
      </c>
      <c r="P3653" s="75" t="str">
        <f>IF(AND('331-CT'!$E$7=TH!H5010,OR(N3653="331",O3653="331")),"x","")</f>
        <v/>
      </c>
      <c r="Q3653" s="75" t="str">
        <f>IF(AND(B3653='111'!$L$11,OR($N3653=$Q$7,$O3653=$Q$7)),"x","")</f>
        <v/>
      </c>
      <c r="R3653" s="75" t="str">
        <f>IF(AND($N3653=$Q$7,$B3653&lt;'111'!$L$11),"x","")</f>
        <v/>
      </c>
      <c r="S3653" s="75" t="str">
        <f>IF(AND($O3653=$Q$7,$B3653&lt;'111'!$L$11),"x","")</f>
        <v/>
      </c>
      <c r="T3653" s="75" t="str">
        <f>IF(ISERROR(FIND('112'!$M$9,G3653,1)),"",IF((AND(FIND('112'!$M$9,G3653,1)&gt;=1,B3653='112'!$K$9,OR($N3653='112'!$I$6,$O3653='112'!$I$6))),"x",""))</f>
        <v/>
      </c>
      <c r="U3653" s="75" t="str">
        <f>IF(ISERROR(FIND('112'!$M$9,G3653,1)),"",IF((AND(LEFT(G3653,2)=LEFT('112'!$M$9,2),B3653&lt;'112'!$K$9,$N3653='112'!$I$6)),"x",""))</f>
        <v/>
      </c>
      <c r="V3653" s="75" t="str">
        <f>IF(ISERROR(FIND('112'!$M$9,G3653,1)),"",IF((AND(RIGHT(G3653,2)=RIGHT('112'!$M$9,2),B3653&lt;'112'!$K$9,$O3653='112'!$I$6)),"x",""))</f>
        <v/>
      </c>
      <c r="W3653" s="75" t="str">
        <f>IF(AND('341-CT'!$H$9=H3653,OR(LEFT(N3653,3)=$W$7,LEFT(O3653,3)=$W$7)),"x","")</f>
        <v/>
      </c>
      <c r="X3653" s="75" t="str">
        <f>IF(OR(TH!N5010=TH!$X$7,O3653=TH!$X$7),"x","")</f>
        <v/>
      </c>
      <c r="Y3653" s="75" t="str">
        <f>IF(AND(OR(N3653="131",O3653="131"),H3653='131-CT'!$H$9),"x","")</f>
        <v/>
      </c>
      <c r="Z3653" s="75"/>
      <c r="AA3653" s="75" t="str">
        <f>IF(AND(MONTH(E3653)='IN-NX'!$J$5,'IN-NX'!$D$7=D3653),"x","")</f>
        <v/>
      </c>
      <c r="AB3653" s="75" t="str">
        <f>IF(AND(OR(LEFT(TH!N5010,2)="15",LEFT(TH!O5010,2)="15"),LEFT(TH!O5010,3)&lt;&gt;"111",'152-CT'!$J$8=TH!F5010),"x","")</f>
        <v/>
      </c>
      <c r="AC3653" s="75" t="str">
        <f>IF(AND(OR(LEFT(TH!N5010,2)="15",LEFT(TH!O5010,2)="15"),TK!$E$7=TH!F5010),"x","")</f>
        <v/>
      </c>
      <c r="AD3653" s="75" t="str">
        <f>IF(AND(N3653="1521",MONTH(C3653)='BK-NL'!$M$11),"x","")</f>
        <v/>
      </c>
    </row>
    <row r="3654" spans="1:33" ht="16.5" customHeight="1">
      <c r="A3654" s="309" t="str">
        <f>IF(B3654&lt;&gt;"",IF(AND(B3654='IN-TC'!$S$4,OR(TH!N3654="1111",TH!O3654="1111")),TH!D3654,""),"")</f>
        <v/>
      </c>
      <c r="B3654" s="1131">
        <f t="shared" si="1298"/>
        <v>2</v>
      </c>
      <c r="C3654" s="292">
        <f t="shared" si="1299"/>
        <v>42783</v>
      </c>
      <c r="D3654" s="292" t="s">
        <v>850</v>
      </c>
      <c r="E3654" s="292">
        <v>42783</v>
      </c>
      <c r="F3654" s="293" t="s">
        <v>834</v>
      </c>
      <c r="G3654" s="943" t="s">
        <v>747</v>
      </c>
      <c r="H3654" s="67" t="s">
        <v>1023</v>
      </c>
      <c r="I3654" s="373"/>
      <c r="J3654" s="926"/>
      <c r="K3654" s="373"/>
      <c r="L3654" s="379"/>
      <c r="M3654" s="927">
        <v>10060000000</v>
      </c>
      <c r="N3654" s="295" t="s">
        <v>63</v>
      </c>
      <c r="O3654" s="295" t="s">
        <v>26</v>
      </c>
      <c r="P3654" s="75" t="str">
        <f>IF(AND('331-CT'!$E$7=TH!H5011,OR(N3654="331",O3654="331")),"x","")</f>
        <v/>
      </c>
      <c r="Q3654" s="75" t="str">
        <f>IF(AND(B3654='111'!$L$11,OR($N3654=$Q$7,$O3654=$Q$7)),"x","")</f>
        <v/>
      </c>
      <c r="R3654" s="75" t="str">
        <f>IF(AND($N3654=$Q$7,$B3654&lt;'111'!$L$11),"x","")</f>
        <v>x</v>
      </c>
      <c r="S3654" s="75" t="str">
        <f>IF(AND($O3654=$Q$7,$B3654&lt;'111'!$L$11),"x","")</f>
        <v/>
      </c>
      <c r="T3654" s="75" t="str">
        <f>IF(ISERROR(FIND('112'!$M$9,G3654,1)),"",IF((AND(FIND('112'!$M$9,G3654,1)&gt;=1,B3654='112'!$K$9,OR($N3654='112'!$I$6,$O3654='112'!$I$6))),"x",""))</f>
        <v/>
      </c>
      <c r="U3654" s="75" t="str">
        <f>IF(ISERROR(FIND('112'!$M$9,G3654,1)),"",IF((AND(LEFT(G3654,2)=LEFT('112'!$M$9,2),B3654&lt;'112'!$K$9,$N3654='112'!$I$6)),"x",""))</f>
        <v/>
      </c>
      <c r="V3654" s="75" t="str">
        <f>IF(ISERROR(FIND('112'!$M$9,G3654,1)),"",IF((AND(RIGHT(G3654,2)=RIGHT('112'!$M$9,2),B3654&lt;'112'!$K$9,$O3654='112'!$I$6)),"x",""))</f>
        <v/>
      </c>
      <c r="W3654" s="75" t="str">
        <f>IF(AND('341-CT'!$H$9=H3654,OR(LEFT(N3654,3)=$W$7,LEFT(O3654,3)=$W$7)),"x","")</f>
        <v/>
      </c>
      <c r="X3654" s="75" t="str">
        <f>IF(OR(TH!N5011=TH!$X$7,O3654=TH!$X$7),"x","")</f>
        <v/>
      </c>
      <c r="Y3654" s="75" t="str">
        <f>IF(AND(OR(N3654="131",O3654="131"),H3654='131-CT'!$H$9),"x","")</f>
        <v/>
      </c>
      <c r="Z3654" s="75"/>
      <c r="AA3654" s="75" t="str">
        <f>IF(AND(MONTH(E3654)='IN-NX'!$J$5,'IN-NX'!$D$7=D3654),"x","")</f>
        <v/>
      </c>
      <c r="AB3654" s="75" t="str">
        <f>IF(AND(OR(LEFT(TH!N5011,2)="15",LEFT(TH!O5011,2)="15"),LEFT(TH!O5011,3)&lt;&gt;"111",'152-CT'!$J$8=TH!F5011),"x","")</f>
        <v/>
      </c>
      <c r="AC3654" s="75" t="str">
        <f>IF(AND(OR(LEFT(TH!N5011,2)="15",LEFT(TH!O5011,2)="15"),TK!$E$7=TH!F5011),"x","")</f>
        <v/>
      </c>
      <c r="AD3654" s="75" t="str">
        <f>IF(AND(N3654="1521",MONTH(C3654)='BK-NL'!$M$11),"x","")</f>
        <v/>
      </c>
    </row>
    <row r="3655" spans="1:33" ht="16.5" customHeight="1">
      <c r="A3655" s="309" t="str">
        <f>IF(B3655&lt;&gt;"",IF(AND(B3655='IN-TC'!$S$4,OR(TH!N3655="1111",TH!O3655="1111")),TH!D3655,""),"")</f>
        <v/>
      </c>
      <c r="B3655" s="1339">
        <f t="shared" si="1298"/>
        <v>2</v>
      </c>
      <c r="C3655" s="292">
        <f t="shared" si="1299"/>
        <v>42783</v>
      </c>
      <c r="D3655" s="71"/>
      <c r="E3655" s="71">
        <v>42783</v>
      </c>
      <c r="F3655" s="72" t="s">
        <v>3032</v>
      </c>
      <c r="G3655" s="72" t="s">
        <v>332</v>
      </c>
      <c r="H3655" s="73" t="s">
        <v>1880</v>
      </c>
      <c r="I3655" s="371"/>
      <c r="J3655" s="378"/>
      <c r="K3655" s="371"/>
      <c r="L3655" s="377"/>
      <c r="M3655" s="74">
        <v>3000000000</v>
      </c>
      <c r="N3655" s="75" t="s">
        <v>262</v>
      </c>
      <c r="O3655" s="75" t="s">
        <v>63</v>
      </c>
      <c r="P3655" s="75" t="str">
        <f>IF(AND('331-CT'!$E$7=TH!H5678,OR(N3655="331",O3655="331")),"x","")</f>
        <v/>
      </c>
      <c r="Q3655" s="75" t="str">
        <f>IF(AND(B3655='111'!$L$11,OR($N3655=$Q$7,$O3655=$Q$7)),"x","")</f>
        <v/>
      </c>
      <c r="R3655" s="75" t="str">
        <f>IF(AND($N3655=$Q$7,$B3655&lt;'111'!$L$11),"x","")</f>
        <v/>
      </c>
      <c r="S3655" s="75" t="str">
        <f>IF(AND($O3655=$Q$7,$B3655&lt;'111'!$L$11),"x","")</f>
        <v>x</v>
      </c>
      <c r="T3655" s="75" t="str">
        <f>IF(ISERROR(FIND('112'!$M$9,G3655,1)),"",IF((AND(FIND('112'!$M$9,G3655,1)&gt;=1,B3655='112'!$K$9,OR($N3655='112'!$I$6,$O3655='112'!$I$6))),"x",""))</f>
        <v/>
      </c>
      <c r="U3655" s="75" t="str">
        <f>IF(ISERROR(FIND('112'!$M$9,G3655,1)),"",IF((AND(LEFT(G3655,2)=LEFT('112'!$M$9,2),B3655&lt;'112'!$K$9,$N3655='112'!$I$6)),"x",""))</f>
        <v/>
      </c>
      <c r="V3655" s="75" t="str">
        <f>IF(ISERROR(FIND('112'!$M$9,G3655,1)),"",IF((AND(RIGHT(G3655,2)=RIGHT('112'!$M$9,2),B3655&lt;'112'!$K$9,$O3655='112'!$I$6)),"x",""))</f>
        <v/>
      </c>
      <c r="W3655" s="75" t="str">
        <f>IF(AND('341-CT'!$H$9=H3655,OR(LEFT(N3655,3)=$W$7,LEFT(O3655,3)=$W$7)),"x","")</f>
        <v/>
      </c>
      <c r="X3655" s="75" t="str">
        <f>IF(OR(TH!N5678=TH!$X$7,O3655=TH!$X$7),"x","")</f>
        <v/>
      </c>
      <c r="Y3655" s="75" t="str">
        <f>IF(AND(OR(N3655="131",O3655="131"),H3655='131-CT'!$H$9),"x","")</f>
        <v/>
      </c>
      <c r="Z3655" s="75"/>
      <c r="AA3655" s="75" t="str">
        <f>IF(AND(MONTH(E3655)='IN-NX'!$J$5,'IN-NX'!$D$7=D3655),"x","")</f>
        <v/>
      </c>
      <c r="AB3655" s="75" t="str">
        <f>IF(AND(OR(LEFT(TH!N5678,2)="15",LEFT(TH!O5678,2)="15"),LEFT(TH!O5678,3)&lt;&gt;"111",'152-CT'!$J$8=TH!F5678),"x","")</f>
        <v/>
      </c>
      <c r="AC3655" s="75" t="str">
        <f>IF(AND(OR(LEFT(TH!N5678,2)="15",LEFT(TH!O5678,2)="15"),TK!$E$7=TH!F5678),"x","")</f>
        <v/>
      </c>
      <c r="AD3655" s="75" t="str">
        <f>IF(AND(N3655="1521",MONTH(C3655)='BK-NL'!$M$11),"x","")</f>
        <v/>
      </c>
      <c r="AE3655" s="1264"/>
      <c r="AF3655" s="1264"/>
      <c r="AG3655" s="1264"/>
    </row>
    <row r="3656" spans="1:33" ht="16.5" customHeight="1">
      <c r="A3656" s="309" t="str">
        <f>IF(B3656&lt;&gt;"",IF(AND(B3656='IN-TC'!$S$4,OR(TH!N3656="1111",TH!O3656="1111")),TH!D3656,""),"")</f>
        <v/>
      </c>
      <c r="B3656" s="1339">
        <f t="shared" si="1298"/>
        <v>2</v>
      </c>
      <c r="C3656" s="292">
        <f t="shared" si="1299"/>
        <v>42783</v>
      </c>
      <c r="D3656" s="71"/>
      <c r="E3656" s="71">
        <v>42783</v>
      </c>
      <c r="F3656" s="72" t="s">
        <v>3032</v>
      </c>
      <c r="G3656" s="72" t="s">
        <v>1899</v>
      </c>
      <c r="H3656" s="73" t="s">
        <v>1879</v>
      </c>
      <c r="I3656" s="371"/>
      <c r="J3656" s="378"/>
      <c r="K3656" s="371"/>
      <c r="L3656" s="377"/>
      <c r="M3656" s="74">
        <v>2300000000</v>
      </c>
      <c r="N3656" s="75" t="s">
        <v>262</v>
      </c>
      <c r="O3656" s="75" t="s">
        <v>63</v>
      </c>
      <c r="P3656" s="75" t="str">
        <f>IF(AND('331-CT'!$E$7=TH!H5687,OR(N3656="331",O3656="331")),"x","")</f>
        <v/>
      </c>
      <c r="Q3656" s="75" t="str">
        <f>IF(AND(B3656='111'!$L$11,OR($N3656=$Q$7,$O3656=$Q$7)),"x","")</f>
        <v/>
      </c>
      <c r="R3656" s="75" t="str">
        <f>IF(AND($N3656=$Q$7,$B3656&lt;'111'!$L$11),"x","")</f>
        <v/>
      </c>
      <c r="S3656" s="75" t="str">
        <f>IF(AND($O3656=$Q$7,$B3656&lt;'111'!$L$11),"x","")</f>
        <v>x</v>
      </c>
      <c r="T3656" s="75" t="str">
        <f>IF(ISERROR(FIND('112'!$M$9,G3656,1)),"",IF((AND(FIND('112'!$M$9,G3656,1)&gt;=1,B3656='112'!$K$9,OR($N3656='112'!$I$6,$O3656='112'!$I$6))),"x",""))</f>
        <v/>
      </c>
      <c r="U3656" s="75" t="str">
        <f>IF(ISERROR(FIND('112'!$M$9,G3656,1)),"",IF((AND(LEFT(G3656,2)=LEFT('112'!$M$9,2),B3656&lt;'112'!$K$9,$N3656='112'!$I$6)),"x",""))</f>
        <v/>
      </c>
      <c r="V3656" s="75" t="str">
        <f>IF(ISERROR(FIND('112'!$M$9,G3656,1)),"",IF((AND(RIGHT(G3656,2)=RIGHT('112'!$M$9,2),B3656&lt;'112'!$K$9,$O3656='112'!$I$6)),"x",""))</f>
        <v/>
      </c>
      <c r="W3656" s="75" t="str">
        <f>IF(AND('341-CT'!$H$9=H3656,OR(LEFT(N3656,3)=$W$7,LEFT(O3656,3)=$W$7)),"x","")</f>
        <v/>
      </c>
      <c r="X3656" s="75" t="str">
        <f>IF(OR(TH!N5687=TH!$X$7,O3656=TH!$X$7),"x","")</f>
        <v/>
      </c>
      <c r="Y3656" s="75" t="str">
        <f>IF(AND(OR(N3656="131",O3656="131"),H3656='131-CT'!$H$9),"x","")</f>
        <v/>
      </c>
      <c r="Z3656" s="75"/>
      <c r="AA3656" s="75" t="str">
        <f>IF(AND(MONTH(E3656)='IN-NX'!$J$5,'IN-NX'!$D$7=D3656),"x","")</f>
        <v/>
      </c>
      <c r="AB3656" s="75" t="str">
        <f>IF(AND(OR(LEFT(TH!N5687,2)="15",LEFT(TH!O5687,2)="15"),LEFT(TH!O5687,3)&lt;&gt;"111",'152-CT'!$J$8=TH!F5687),"x","")</f>
        <v/>
      </c>
      <c r="AC3656" s="75" t="str">
        <f>IF(AND(OR(LEFT(TH!N5687,2)="15",LEFT(TH!O5687,2)="15"),TK!$E$7=TH!F5687),"x","")</f>
        <v/>
      </c>
      <c r="AD3656" s="75" t="str">
        <f>IF(AND(N3656="1521",MONTH(C3656)='BK-NL'!$M$11),"x","")</f>
        <v/>
      </c>
      <c r="AE3656" s="1264"/>
      <c r="AF3656" s="1264"/>
      <c r="AG3656" s="1264"/>
    </row>
    <row r="3657" spans="1:33" ht="16.5" customHeight="1">
      <c r="A3657" s="309" t="str">
        <f>IF(B3657&lt;&gt;"",IF(AND(B3657='IN-TC'!$S$4,OR(TH!N3657="1111",TH!O3657="1111")),TH!D3657,""),"")</f>
        <v/>
      </c>
      <c r="B3657" s="1339">
        <f t="shared" si="1298"/>
        <v>2</v>
      </c>
      <c r="C3657" s="292">
        <f t="shared" si="1299"/>
        <v>42784</v>
      </c>
      <c r="D3657" s="71"/>
      <c r="E3657" s="71">
        <v>42784</v>
      </c>
      <c r="F3657" s="72" t="s">
        <v>3032</v>
      </c>
      <c r="G3657" s="72" t="s">
        <v>332</v>
      </c>
      <c r="H3657" s="73" t="s">
        <v>1880</v>
      </c>
      <c r="I3657" s="371"/>
      <c r="J3657" s="377"/>
      <c r="K3657" s="371"/>
      <c r="L3657" s="377"/>
      <c r="M3657" s="74">
        <v>3000000000</v>
      </c>
      <c r="N3657" s="75" t="s">
        <v>262</v>
      </c>
      <c r="O3657" s="75" t="s">
        <v>63</v>
      </c>
      <c r="P3657" s="75" t="str">
        <f>IF(AND('331-CT'!$E$7=TH!H5679,OR(N3657="331",O3657="331")),"x","")</f>
        <v/>
      </c>
      <c r="Q3657" s="75" t="str">
        <f>IF(AND(B3657='111'!$L$11,OR($N3657=$Q$7,$O3657=$Q$7)),"x","")</f>
        <v/>
      </c>
      <c r="R3657" s="75" t="str">
        <f>IF(AND($N3657=$Q$7,$B3657&lt;'111'!$L$11),"x","")</f>
        <v/>
      </c>
      <c r="S3657" s="75" t="str">
        <f>IF(AND($O3657=$Q$7,$B3657&lt;'111'!$L$11),"x","")</f>
        <v>x</v>
      </c>
      <c r="T3657" s="75" t="str">
        <f>IF(ISERROR(FIND('112'!$M$9,G3657,1)),"",IF((AND(FIND('112'!$M$9,G3657,1)&gt;=1,B3657='112'!$K$9,OR($N3657='112'!$I$6,$O3657='112'!$I$6))),"x",""))</f>
        <v/>
      </c>
      <c r="U3657" s="75" t="str">
        <f>IF(ISERROR(FIND('112'!$M$9,G3657,1)),"",IF((AND(LEFT(G3657,2)=LEFT('112'!$M$9,2),B3657&lt;'112'!$K$9,$N3657='112'!$I$6)),"x",""))</f>
        <v/>
      </c>
      <c r="V3657" s="75" t="str">
        <f>IF(ISERROR(FIND('112'!$M$9,G3657,1)),"",IF((AND(RIGHT(G3657,2)=RIGHT('112'!$M$9,2),B3657&lt;'112'!$K$9,$O3657='112'!$I$6)),"x",""))</f>
        <v/>
      </c>
      <c r="W3657" s="75" t="str">
        <f>IF(AND('341-CT'!$H$9=H3657,OR(LEFT(N3657,3)=$W$7,LEFT(O3657,3)=$W$7)),"x","")</f>
        <v/>
      </c>
      <c r="X3657" s="75" t="str">
        <f>IF(OR(TH!N5679=TH!$X$7,O3657=TH!$X$7),"x","")</f>
        <v/>
      </c>
      <c r="Y3657" s="75" t="str">
        <f>IF(AND(OR(N3657="131",O3657="131"),H3657='131-CT'!$H$9),"x","")</f>
        <v/>
      </c>
      <c r="Z3657" s="75"/>
      <c r="AA3657" s="75" t="str">
        <f>IF(AND(MONTH(E3657)='IN-NX'!$J$5,'IN-NX'!$D$7=D3657),"x","")</f>
        <v/>
      </c>
      <c r="AB3657" s="75" t="str">
        <f>IF(AND(OR(LEFT(TH!N5679,2)="15",LEFT(TH!O5679,2)="15"),LEFT(TH!O5679,3)&lt;&gt;"111",'152-CT'!$J$8=TH!F5679),"x","")</f>
        <v/>
      </c>
      <c r="AC3657" s="75" t="str">
        <f>IF(AND(OR(LEFT(TH!N5679,2)="15",LEFT(TH!O5679,2)="15"),TK!$E$7=TH!F5679),"x","")</f>
        <v/>
      </c>
      <c r="AD3657" s="75" t="str">
        <f>IF(AND(N3657="1521",MONTH(C3657)='BK-NL'!$M$11),"x","")</f>
        <v/>
      </c>
      <c r="AE3657" s="1264"/>
      <c r="AF3657" s="1264"/>
      <c r="AG3657" s="1264"/>
    </row>
    <row r="3658" spans="1:33" ht="16.5" customHeight="1">
      <c r="A3658" s="309" t="str">
        <f>IF(B3658&lt;&gt;"",IF(AND(B3658='IN-TC'!$S$4,OR(TH!N3658="1111",TH!O3658="1111")),TH!D3658,""),"")</f>
        <v/>
      </c>
      <c r="B3658" s="1339">
        <f t="shared" si="1298"/>
        <v>2</v>
      </c>
      <c r="C3658" s="292">
        <f t="shared" si="1299"/>
        <v>42784</v>
      </c>
      <c r="D3658" s="71"/>
      <c r="E3658" s="71">
        <v>42784</v>
      </c>
      <c r="F3658" s="72" t="s">
        <v>3032</v>
      </c>
      <c r="G3658" s="72" t="s">
        <v>1899</v>
      </c>
      <c r="H3658" s="73" t="s">
        <v>1879</v>
      </c>
      <c r="I3658" s="371"/>
      <c r="J3658" s="378"/>
      <c r="K3658" s="371"/>
      <c r="L3658" s="377"/>
      <c r="M3658" s="74">
        <v>1000000000</v>
      </c>
      <c r="N3658" s="75" t="s">
        <v>262</v>
      </c>
      <c r="O3658" s="75" t="s">
        <v>63</v>
      </c>
      <c r="P3658" s="75" t="str">
        <f>IF(AND('331-CT'!$E$7=TH!H5688,OR(N3658="331",O3658="331")),"x","")</f>
        <v/>
      </c>
      <c r="Q3658" s="75" t="str">
        <f>IF(AND(B3658='111'!$L$11,OR($N3658=$Q$7,$O3658=$Q$7)),"x","")</f>
        <v/>
      </c>
      <c r="R3658" s="75" t="str">
        <f>IF(AND($N3658=$Q$7,$B3658&lt;'111'!$L$11),"x","")</f>
        <v/>
      </c>
      <c r="S3658" s="75" t="str">
        <f>IF(AND($O3658=$Q$7,$B3658&lt;'111'!$L$11),"x","")</f>
        <v>x</v>
      </c>
      <c r="T3658" s="75" t="str">
        <f>IF(ISERROR(FIND('112'!$M$9,G3658,1)),"",IF((AND(FIND('112'!$M$9,G3658,1)&gt;=1,B3658='112'!$K$9,OR($N3658='112'!$I$6,$O3658='112'!$I$6))),"x",""))</f>
        <v/>
      </c>
      <c r="U3658" s="75" t="str">
        <f>IF(ISERROR(FIND('112'!$M$9,G3658,1)),"",IF((AND(LEFT(G3658,2)=LEFT('112'!$M$9,2),B3658&lt;'112'!$K$9,$N3658='112'!$I$6)),"x",""))</f>
        <v/>
      </c>
      <c r="V3658" s="75" t="str">
        <f>IF(ISERROR(FIND('112'!$M$9,G3658,1)),"",IF((AND(RIGHT(G3658,2)=RIGHT('112'!$M$9,2),B3658&lt;'112'!$K$9,$O3658='112'!$I$6)),"x",""))</f>
        <v/>
      </c>
      <c r="W3658" s="75" t="str">
        <f>IF(AND('341-CT'!$H$9=H3658,OR(LEFT(N3658,3)=$W$7,LEFT(O3658,3)=$W$7)),"x","")</f>
        <v/>
      </c>
      <c r="X3658" s="75" t="str">
        <f>IF(OR(TH!N5688=TH!$X$7,O3658=TH!$X$7),"x","")</f>
        <v/>
      </c>
      <c r="Y3658" s="75" t="str">
        <f>IF(AND(OR(N3658="131",O3658="131"),H3658='131-CT'!$H$9),"x","")</f>
        <v/>
      </c>
      <c r="Z3658" s="75"/>
      <c r="AA3658" s="75" t="str">
        <f>IF(AND(MONTH(E3658)='IN-NX'!$J$5,'IN-NX'!$D$7=D3658),"x","")</f>
        <v/>
      </c>
      <c r="AB3658" s="75" t="str">
        <f>IF(AND(OR(LEFT(TH!N5688,2)="15",LEFT(TH!O5688,2)="15"),LEFT(TH!O5688,3)&lt;&gt;"111",'152-CT'!$J$8=TH!F5688),"x","")</f>
        <v/>
      </c>
      <c r="AC3658" s="75" t="str">
        <f>IF(AND(OR(LEFT(TH!N5688,2)="15",LEFT(TH!O5688,2)="15"),TK!$E$7=TH!F5688),"x","")</f>
        <v/>
      </c>
      <c r="AD3658" s="75" t="str">
        <f>IF(AND(N3658="1521",MONTH(C3658)='BK-NL'!$M$11),"x","")</f>
        <v/>
      </c>
      <c r="AE3658" s="1264"/>
      <c r="AF3658" s="1264"/>
      <c r="AG3658" s="1264"/>
    </row>
    <row r="3659" spans="1:33" ht="16.5" customHeight="1">
      <c r="A3659" s="309" t="str">
        <f>IF(B3659&lt;&gt;"",IF(AND(B3659='IN-TC'!$S$4,OR(TH!N3659="1111",TH!O3659="1111")),TH!D3659,""),"")</f>
        <v/>
      </c>
      <c r="B3659" s="1131">
        <f t="shared" si="1298"/>
        <v>2</v>
      </c>
      <c r="C3659" s="292">
        <f t="shared" si="1299"/>
        <v>42784</v>
      </c>
      <c r="D3659" s="292" t="s">
        <v>1940</v>
      </c>
      <c r="E3659" s="929">
        <v>42784</v>
      </c>
      <c r="F3659" s="73" t="s">
        <v>1165</v>
      </c>
      <c r="G3659" s="931" t="s">
        <v>1150</v>
      </c>
      <c r="H3659" s="296" t="s">
        <v>796</v>
      </c>
      <c r="I3659" s="371"/>
      <c r="J3659" s="932"/>
      <c r="K3659" s="371"/>
      <c r="L3659" s="377"/>
      <c r="M3659" s="933">
        <v>18905700</v>
      </c>
      <c r="N3659" s="934" t="s">
        <v>8</v>
      </c>
      <c r="O3659" s="934" t="s">
        <v>63</v>
      </c>
      <c r="P3659" s="75" t="str">
        <f>IF(AND('331-CT'!$E$7=TH!H3496,OR(N3659="331",O3659="331")),"x","")</f>
        <v/>
      </c>
      <c r="Q3659" s="75" t="str">
        <f>IF(AND(B3659='111'!$L$11,OR($N3659=$Q$7,$O3659=$Q$7)),"x","")</f>
        <v/>
      </c>
      <c r="R3659" s="75" t="str">
        <f>IF(AND($N3659=$Q$7,$B3659&lt;'111'!$L$11),"x","")</f>
        <v/>
      </c>
      <c r="S3659" s="75" t="str">
        <f>IF(AND($O3659=$Q$7,$B3659&lt;'111'!$L$11),"x","")</f>
        <v>x</v>
      </c>
      <c r="T3659" s="75" t="str">
        <f>IF(ISERROR(FIND('112'!$M$9,G3659,1)),"",IF((AND(FIND('112'!$M$9,G3659,1)&gt;=1,B3659='112'!$K$9,OR($N3659='112'!$I$6,$O3659='112'!$I$6))),"x",""))</f>
        <v/>
      </c>
      <c r="U3659" s="75" t="str">
        <f>IF(ISERROR(FIND('112'!$M$9,G3659,1)),"",IF((AND(LEFT(G3659,2)=LEFT('112'!$M$9,2),B3659&lt;'112'!$K$9,$N3659='112'!$I$6)),"x",""))</f>
        <v/>
      </c>
      <c r="V3659" s="75" t="str">
        <f>IF(ISERROR(FIND('112'!$M$9,G3659,1)),"",IF((AND(RIGHT(G3659,2)=RIGHT('112'!$M$9,2),B3659&lt;'112'!$K$9,$O3659='112'!$I$6)),"x",""))</f>
        <v/>
      </c>
      <c r="W3659" s="75" t="str">
        <f>IF(AND('341-CT'!$H$9=H3659,OR(LEFT(N3659,3)=$W$7,LEFT(O3659,3)=$W$7)),"x","")</f>
        <v/>
      </c>
      <c r="X3659" s="75" t="str">
        <f>IF(OR(TH!N3496=TH!$X$7,O3659=TH!$X$7),"x","")</f>
        <v/>
      </c>
      <c r="Y3659" s="75" t="str">
        <f>IF(AND(OR(N3659="131",O3659="131"),H3659='131-CT'!$H$9),"x","")</f>
        <v/>
      </c>
      <c r="Z3659" s="75"/>
      <c r="AA3659" s="75" t="str">
        <f>IF(AND(MONTH(E3659)='IN-NX'!$J$5,'IN-NX'!$D$7=D3659),"x","")</f>
        <v/>
      </c>
      <c r="AB3659" s="75" t="str">
        <f>IF(AND(OR(LEFT(TH!N3496,2)="15",LEFT(TH!O3496,2)="15"),LEFT(TH!O3496,3)&lt;&gt;"111",'152-CT'!$J$8=TH!F3496),"x","")</f>
        <v/>
      </c>
      <c r="AC3659" s="75" t="str">
        <f>IF(AND(OR(LEFT(TH!N3496,2)="15",LEFT(TH!O3496,2)="15"),TK!$E$7=TH!F3496),"x","")</f>
        <v/>
      </c>
      <c r="AD3659" s="75" t="str">
        <f>IF(AND(N3659="1521",MONTH(C3659)='BK-NL'!$M$11),"x","")</f>
        <v/>
      </c>
    </row>
    <row r="3660" spans="1:33" ht="16.5" customHeight="1">
      <c r="A3660" s="309" t="str">
        <f>IF(B3660&lt;&gt;"",IF(AND(B3660='IN-TC'!$S$4,OR(TH!N3660="1111",TH!O3660="1111")),TH!D3660,""),"")</f>
        <v/>
      </c>
      <c r="B3660" s="1131">
        <f t="shared" si="1298"/>
        <v>2</v>
      </c>
      <c r="C3660" s="292">
        <f t="shared" si="1299"/>
        <v>42784</v>
      </c>
      <c r="D3660" s="292" t="s">
        <v>1941</v>
      </c>
      <c r="E3660" s="292">
        <v>42784</v>
      </c>
      <c r="F3660" s="293" t="s">
        <v>890</v>
      </c>
      <c r="G3660" s="925" t="s">
        <v>1048</v>
      </c>
      <c r="H3660" s="67" t="s">
        <v>893</v>
      </c>
      <c r="I3660" s="373"/>
      <c r="J3660" s="926"/>
      <c r="K3660" s="373"/>
      <c r="L3660" s="379"/>
      <c r="M3660" s="927">
        <v>802964</v>
      </c>
      <c r="N3660" s="295" t="s">
        <v>101</v>
      </c>
      <c r="O3660" s="295" t="s">
        <v>63</v>
      </c>
      <c r="P3660" s="75" t="str">
        <f>IF(AND('331-CT'!$E$7=TH!H3497,OR(N3660="331",O3660="331")),"x","")</f>
        <v/>
      </c>
      <c r="Q3660" s="75" t="str">
        <f>IF(AND(B3660='111'!$L$11,OR($N3660=$Q$7,$O3660=$Q$7)),"x","")</f>
        <v/>
      </c>
      <c r="R3660" s="75" t="str">
        <f>IF(AND($N3660=$Q$7,$B3660&lt;'111'!$L$11),"x","")</f>
        <v/>
      </c>
      <c r="S3660" s="75" t="str">
        <f>IF(AND($O3660=$Q$7,$B3660&lt;'111'!$L$11),"x","")</f>
        <v>x</v>
      </c>
      <c r="T3660" s="75" t="str">
        <f>IF(ISERROR(FIND('112'!$M$9,G3660,1)),"",IF((AND(FIND('112'!$M$9,G3660,1)&gt;=1,B3660='112'!$K$9,OR($N3660='112'!$I$6,$O3660='112'!$I$6))),"x",""))</f>
        <v/>
      </c>
      <c r="U3660" s="75" t="str">
        <f>IF(ISERROR(FIND('112'!$M$9,G3660,1)),"",IF((AND(LEFT(G3660,2)=LEFT('112'!$M$9,2),B3660&lt;'112'!$K$9,$N3660='112'!$I$6)),"x",""))</f>
        <v/>
      </c>
      <c r="V3660" s="75" t="str">
        <f>IF(ISERROR(FIND('112'!$M$9,G3660,1)),"",IF((AND(RIGHT(G3660,2)=RIGHT('112'!$M$9,2),B3660&lt;'112'!$K$9,$O3660='112'!$I$6)),"x",""))</f>
        <v/>
      </c>
      <c r="W3660" s="75" t="str">
        <f>IF(AND('341-CT'!$H$9=H3660,OR(LEFT(N3660,3)=$W$7,LEFT(O3660,3)=$W$7)),"x","")</f>
        <v/>
      </c>
      <c r="X3660" s="75" t="str">
        <f>IF(OR(TH!N3497=TH!$X$7,O3660=TH!$X$7),"x","")</f>
        <v>x</v>
      </c>
      <c r="Y3660" s="75" t="str">
        <f>IF(AND(OR(N3660="131",O3660="131"),H3660='131-CT'!$H$9),"x","")</f>
        <v/>
      </c>
      <c r="Z3660" s="75"/>
      <c r="AA3660" s="75" t="str">
        <f>IF(AND(MONTH(E3660)='IN-NX'!$J$5,'IN-NX'!$D$7=D3660),"x","")</f>
        <v/>
      </c>
      <c r="AB3660" s="75" t="str">
        <f>IF(AND(OR(LEFT(TH!N3497,2)="15",LEFT(TH!O3497,2)="15"),LEFT(TH!O3497,3)&lt;&gt;"111",'152-CT'!$J$8=TH!F3497),"x","")</f>
        <v/>
      </c>
      <c r="AC3660" s="75" t="str">
        <f>IF(AND(OR(LEFT(TH!N3497,2)="15",LEFT(TH!O3497,2)="15"),TK!$E$7=TH!F3497),"x","")</f>
        <v/>
      </c>
      <c r="AD3660" s="75" t="str">
        <f>IF(AND(N3660="1521",MONTH(C3660)='BK-NL'!$M$11),"x","")</f>
        <v/>
      </c>
    </row>
    <row r="3661" spans="1:33" ht="16.5" customHeight="1">
      <c r="A3661" s="309" t="str">
        <f>IF(B3661&lt;&gt;"",IF(AND(B3661='IN-TC'!$S$4,OR(TH!N3661="1111",TH!O3661="1111")),TH!D3661,""),"")</f>
        <v/>
      </c>
      <c r="B3661" s="1131">
        <f t="shared" si="1298"/>
        <v>2</v>
      </c>
      <c r="C3661" s="292">
        <f t="shared" si="1299"/>
        <v>42784</v>
      </c>
      <c r="D3661" s="292" t="s">
        <v>1941</v>
      </c>
      <c r="E3661" s="292">
        <v>42784</v>
      </c>
      <c r="F3661" s="293" t="s">
        <v>891</v>
      </c>
      <c r="G3661" s="925" t="s">
        <v>1048</v>
      </c>
      <c r="H3661" s="67" t="s">
        <v>893</v>
      </c>
      <c r="I3661" s="373"/>
      <c r="J3661" s="926"/>
      <c r="K3661" s="373"/>
      <c r="L3661" s="379"/>
      <c r="M3661" s="927">
        <v>80296</v>
      </c>
      <c r="N3661" s="295" t="s">
        <v>9</v>
      </c>
      <c r="O3661" s="295" t="s">
        <v>63</v>
      </c>
      <c r="P3661" s="75" t="str">
        <f>IF(AND('331-CT'!$E$7=TH!H3498,OR(N3661="331",O3661="331")),"x","")</f>
        <v/>
      </c>
      <c r="Q3661" s="75" t="str">
        <f>IF(AND(B3661='111'!$L$11,OR($N3661=$Q$7,$O3661=$Q$7)),"x","")</f>
        <v/>
      </c>
      <c r="R3661" s="75" t="str">
        <f>IF(AND($N3661=$Q$7,$B3661&lt;'111'!$L$11),"x","")</f>
        <v/>
      </c>
      <c r="S3661" s="75" t="str">
        <f>IF(AND($O3661=$Q$7,$B3661&lt;'111'!$L$11),"x","")</f>
        <v>x</v>
      </c>
      <c r="T3661" s="75" t="str">
        <f>IF(ISERROR(FIND('112'!$M$9,G3661,1)),"",IF((AND(FIND('112'!$M$9,G3661,1)&gt;=1,B3661='112'!$K$9,OR($N3661='112'!$I$6,$O3661='112'!$I$6))),"x",""))</f>
        <v/>
      </c>
      <c r="U3661" s="75" t="str">
        <f>IF(ISERROR(FIND('112'!$M$9,G3661,1)),"",IF((AND(LEFT(G3661,2)=LEFT('112'!$M$9,2),B3661&lt;'112'!$K$9,$N3661='112'!$I$6)),"x",""))</f>
        <v/>
      </c>
      <c r="V3661" s="75" t="str">
        <f>IF(ISERROR(FIND('112'!$M$9,G3661,1)),"",IF((AND(RIGHT(G3661,2)=RIGHT('112'!$M$9,2),B3661&lt;'112'!$K$9,$O3661='112'!$I$6)),"x",""))</f>
        <v/>
      </c>
      <c r="W3661" s="75" t="str">
        <f>IF(AND('341-CT'!$H$9=H3661,OR(LEFT(N3661,3)=$W$7,LEFT(O3661,3)=$W$7)),"x","")</f>
        <v/>
      </c>
      <c r="X3661" s="75" t="str">
        <f>IF(OR(TH!N3498=TH!$X$7,O3661=TH!$X$7),"x","")</f>
        <v/>
      </c>
      <c r="Y3661" s="75" t="str">
        <f>IF(AND(OR(N3661="131",O3661="131"),H3661='131-CT'!$H$9),"x","")</f>
        <v/>
      </c>
      <c r="Z3661" s="75"/>
      <c r="AA3661" s="75" t="str">
        <f>IF(AND(MONTH(E3661)='IN-NX'!$J$5,'IN-NX'!$D$7=D3661),"x","")</f>
        <v/>
      </c>
      <c r="AB3661" s="75" t="str">
        <f>IF(AND(OR(LEFT(TH!N3498,2)="15",LEFT(TH!O3498,2)="15"),LEFT(TH!O3498,3)&lt;&gt;"111",'152-CT'!$J$8=TH!F3498),"x","")</f>
        <v/>
      </c>
      <c r="AC3661" s="75" t="str">
        <f>IF(AND(OR(LEFT(TH!N3498,2)="15",LEFT(TH!O3498,2)="15"),TK!$E$7=TH!F3498),"x","")</f>
        <v/>
      </c>
      <c r="AD3661" s="75" t="str">
        <f>IF(AND(N3661="1521",MONTH(C3661)='BK-NL'!$M$11),"x","")</f>
        <v/>
      </c>
    </row>
    <row r="3662" spans="1:33" ht="16.5" customHeight="1">
      <c r="A3662" s="309" t="str">
        <f>IF(B3662&lt;&gt;"",IF(AND(B3662='IN-TC'!$S$4,OR(TH!N3662="1111",TH!O3662="1111")),TH!D3662,""),"")</f>
        <v/>
      </c>
      <c r="B3662" s="1131">
        <f t="shared" si="1298"/>
        <v>2</v>
      </c>
      <c r="C3662" s="292">
        <f t="shared" si="1299"/>
        <v>42786</v>
      </c>
      <c r="D3662" s="59" t="s">
        <v>903</v>
      </c>
      <c r="E3662" s="292">
        <v>42786</v>
      </c>
      <c r="F3662" s="67" t="s">
        <v>1086</v>
      </c>
      <c r="G3662" s="62" t="s">
        <v>585</v>
      </c>
      <c r="H3662" s="67" t="s">
        <v>802</v>
      </c>
      <c r="I3662" s="373"/>
      <c r="J3662" s="379"/>
      <c r="K3662" s="373"/>
      <c r="L3662" s="379"/>
      <c r="M3662" s="60">
        <v>56870000</v>
      </c>
      <c r="N3662" s="61" t="s">
        <v>26</v>
      </c>
      <c r="O3662" s="61" t="s">
        <v>536</v>
      </c>
      <c r="P3662" s="75" t="str">
        <f>IF(AND('331-CT'!$E$7=TH!H4664,OR(N3662="331",O3662="331")),"x","")</f>
        <v/>
      </c>
      <c r="Q3662" s="75" t="str">
        <f>IF(AND(B3662='111'!$L$11,OR($N3662=$Q$7,$O3662=$Q$7)),"x","")</f>
        <v/>
      </c>
      <c r="R3662" s="75" t="str">
        <f>IF(AND($N3662=$Q$7,$B3662&lt;'111'!$L$11),"x","")</f>
        <v/>
      </c>
      <c r="S3662" s="75" t="str">
        <f>IF(AND($O3662=$Q$7,$B3662&lt;'111'!$L$11),"x","")</f>
        <v/>
      </c>
      <c r="T3662" s="75" t="str">
        <f>IF(ISERROR(FIND('112'!$M$9,G3662,1)),"",IF((AND(FIND('112'!$M$9,G3662,1)&gt;=1,B3662='112'!$K$9,OR($N3662='112'!$I$6,$O3662='112'!$I$6))),"x",""))</f>
        <v/>
      </c>
      <c r="U3662" s="75" t="str">
        <f>IF(ISERROR(FIND('112'!$M$9,G3662,1)),"",IF((AND(LEFT(G3662,2)=LEFT('112'!$M$9,2),B3662&lt;'112'!$K$9,$N3662='112'!$I$6)),"x",""))</f>
        <v/>
      </c>
      <c r="V3662" s="75" t="str">
        <f>IF(ISERROR(FIND('112'!$M$9,G3662,1)),"",IF((AND(RIGHT(G3662,2)=RIGHT('112'!$M$9,2),B3662&lt;'112'!$K$9,$O3662='112'!$I$6)),"x",""))</f>
        <v/>
      </c>
      <c r="W3662" s="75" t="str">
        <f>IF(AND('341-CT'!$H$9=H3662,OR(LEFT(N3662,3)=$W$7,LEFT(O3662,3)=$W$7)),"x","")</f>
        <v/>
      </c>
      <c r="X3662" s="75" t="str">
        <f>IF(OR(TH!N4664=TH!$X$7,O3662=TH!$X$7),"x","")</f>
        <v/>
      </c>
      <c r="Y3662" s="75" t="str">
        <f>IF(AND(OR(N3662="131",O3662="131"),H3662='131-CT'!$H$9),"x","")</f>
        <v/>
      </c>
      <c r="Z3662" s="75"/>
      <c r="AA3662" s="75" t="str">
        <f>IF(AND(MONTH(E3662)='IN-NX'!$J$5,'IN-NX'!$D$7=D3662),"x","")</f>
        <v/>
      </c>
      <c r="AB3662" s="75" t="str">
        <f>IF(AND(OR(LEFT(TH!N4664,2)="15",LEFT(TH!O4664,2)="15"),LEFT(TH!O4664,3)&lt;&gt;"111",'152-CT'!$J$8=TH!F4664),"x","")</f>
        <v/>
      </c>
      <c r="AC3662" s="75" t="str">
        <f>IF(AND(OR(LEFT(TH!N4664,2)="15",LEFT(TH!O4664,2)="15"),TK!$E$7=TH!F4664),"x","")</f>
        <v/>
      </c>
      <c r="AD3662" s="75" t="str">
        <f>IF(AND(N3662="1521",MONTH(C3662)='BK-NL'!$M$11),"x","")</f>
        <v/>
      </c>
    </row>
    <row r="3663" spans="1:33" ht="16.5" customHeight="1">
      <c r="A3663" s="309" t="str">
        <f>IF(B3663&lt;&gt;"",IF(AND(B3663='IN-TC'!$S$4,OR(TH!N3663="1111",TH!O3663="1111")),TH!D3663,""),"")</f>
        <v/>
      </c>
      <c r="B3663" s="1131">
        <f t="shared" si="1298"/>
        <v>2</v>
      </c>
      <c r="C3663" s="292">
        <f t="shared" si="1299"/>
        <v>42787</v>
      </c>
      <c r="D3663" s="292" t="s">
        <v>1944</v>
      </c>
      <c r="E3663" s="929">
        <v>42787</v>
      </c>
      <c r="F3663" s="73" t="s">
        <v>1165</v>
      </c>
      <c r="G3663" s="931" t="s">
        <v>1151</v>
      </c>
      <c r="H3663" s="296" t="s">
        <v>796</v>
      </c>
      <c r="I3663" s="371"/>
      <c r="J3663" s="932"/>
      <c r="K3663" s="371"/>
      <c r="L3663" s="377"/>
      <c r="M3663" s="933">
        <v>18905700</v>
      </c>
      <c r="N3663" s="934" t="s">
        <v>8</v>
      </c>
      <c r="O3663" s="934" t="s">
        <v>63</v>
      </c>
      <c r="P3663" s="75" t="str">
        <f>IF(AND('331-CT'!$E$7=TH!H3499,OR(N3663="331",O3663="331")),"x","")</f>
        <v/>
      </c>
      <c r="Q3663" s="75" t="str">
        <f>IF(AND(B3663='111'!$L$11,OR($N3663=$Q$7,$O3663=$Q$7)),"x","")</f>
        <v/>
      </c>
      <c r="R3663" s="75" t="str">
        <f>IF(AND($N3663=$Q$7,$B3663&lt;'111'!$L$11),"x","")</f>
        <v/>
      </c>
      <c r="S3663" s="75" t="str">
        <f>IF(AND($O3663=$Q$7,$B3663&lt;'111'!$L$11),"x","")</f>
        <v>x</v>
      </c>
      <c r="T3663" s="75" t="str">
        <f>IF(ISERROR(FIND('112'!$M$9,G3663,1)),"",IF((AND(FIND('112'!$M$9,G3663,1)&gt;=1,B3663='112'!$K$9,OR($N3663='112'!$I$6,$O3663='112'!$I$6))),"x",""))</f>
        <v/>
      </c>
      <c r="U3663" s="75" t="str">
        <f>IF(ISERROR(FIND('112'!$M$9,G3663,1)),"",IF((AND(LEFT(G3663,2)=LEFT('112'!$M$9,2),B3663&lt;'112'!$K$9,$N3663='112'!$I$6)),"x",""))</f>
        <v/>
      </c>
      <c r="V3663" s="75" t="str">
        <f>IF(ISERROR(FIND('112'!$M$9,G3663,1)),"",IF((AND(RIGHT(G3663,2)=RIGHT('112'!$M$9,2),B3663&lt;'112'!$K$9,$O3663='112'!$I$6)),"x",""))</f>
        <v/>
      </c>
      <c r="W3663" s="75" t="str">
        <f>IF(AND('341-CT'!$H$9=H3663,OR(LEFT(N3663,3)=$W$7,LEFT(O3663,3)=$W$7)),"x","")</f>
        <v/>
      </c>
      <c r="X3663" s="75" t="str">
        <f>IF(OR(TH!N3499=TH!$X$7,O3663=TH!$X$7),"x","")</f>
        <v/>
      </c>
      <c r="Y3663" s="75" t="str">
        <f>IF(AND(OR(N3663="131",O3663="131"),H3663='131-CT'!$H$9),"x","")</f>
        <v/>
      </c>
      <c r="Z3663" s="75"/>
      <c r="AA3663" s="75" t="str">
        <f>IF(AND(MONTH(E3663)='IN-NX'!$J$5,'IN-NX'!$D$7=D3663),"x","")</f>
        <v/>
      </c>
      <c r="AB3663" s="75" t="str">
        <f>IF(AND(OR(LEFT(TH!N3499,2)="15",LEFT(TH!O3499,2)="15"),LEFT(TH!O3499,3)&lt;&gt;"111",'152-CT'!$J$8=TH!F3499),"x","")</f>
        <v/>
      </c>
      <c r="AC3663" s="75" t="str">
        <f>IF(AND(OR(LEFT(TH!N3499,2)="15",LEFT(TH!O3499,2)="15"),TK!$E$7=TH!F3499),"x","")</f>
        <v/>
      </c>
      <c r="AD3663" s="75" t="str">
        <f>IF(AND(N3663="1521",MONTH(C3663)='BK-NL'!$M$11),"x","")</f>
        <v/>
      </c>
    </row>
    <row r="3664" spans="1:33" ht="16.5" customHeight="1">
      <c r="A3664" s="309" t="str">
        <f>IF(B3664&lt;&gt;"",IF(AND(B3664='IN-TC'!$S$4,OR(TH!N3664="1111",TH!O3664="1111")),TH!D3664,""),"")</f>
        <v/>
      </c>
      <c r="B3664" s="1131">
        <f t="shared" si="1298"/>
        <v>2</v>
      </c>
      <c r="C3664" s="292">
        <f t="shared" si="1299"/>
        <v>42787</v>
      </c>
      <c r="D3664" s="292" t="s">
        <v>1945</v>
      </c>
      <c r="E3664" s="292">
        <v>42787</v>
      </c>
      <c r="F3664" s="293" t="s">
        <v>890</v>
      </c>
      <c r="G3664" s="925" t="s">
        <v>1049</v>
      </c>
      <c r="H3664" s="67" t="s">
        <v>893</v>
      </c>
      <c r="I3664" s="373"/>
      <c r="J3664" s="926"/>
      <c r="K3664" s="373"/>
      <c r="L3664" s="379"/>
      <c r="M3664" s="927">
        <v>2568755</v>
      </c>
      <c r="N3664" s="295" t="s">
        <v>101</v>
      </c>
      <c r="O3664" s="295" t="s">
        <v>63</v>
      </c>
      <c r="P3664" s="75" t="str">
        <f>IF(AND('331-CT'!$E$7=TH!H3500,OR(N3664="331",O3664="331")),"x","")</f>
        <v/>
      </c>
      <c r="Q3664" s="75" t="str">
        <f>IF(AND(B3664='111'!$L$11,OR($N3664=$Q$7,$O3664=$Q$7)),"x","")</f>
        <v/>
      </c>
      <c r="R3664" s="75" t="str">
        <f>IF(AND($N3664=$Q$7,$B3664&lt;'111'!$L$11),"x","")</f>
        <v/>
      </c>
      <c r="S3664" s="75" t="str">
        <f>IF(AND($O3664=$Q$7,$B3664&lt;'111'!$L$11),"x","")</f>
        <v>x</v>
      </c>
      <c r="T3664" s="75" t="str">
        <f>IF(ISERROR(FIND('112'!$M$9,G3664,1)),"",IF((AND(FIND('112'!$M$9,G3664,1)&gt;=1,B3664='112'!$K$9,OR($N3664='112'!$I$6,$O3664='112'!$I$6))),"x",""))</f>
        <v/>
      </c>
      <c r="U3664" s="75" t="str">
        <f>IF(ISERROR(FIND('112'!$M$9,G3664,1)),"",IF((AND(LEFT(G3664,2)=LEFT('112'!$M$9,2),B3664&lt;'112'!$K$9,$N3664='112'!$I$6)),"x",""))</f>
        <v/>
      </c>
      <c r="V3664" s="75" t="str">
        <f>IF(ISERROR(FIND('112'!$M$9,G3664,1)),"",IF((AND(RIGHT(G3664,2)=RIGHT('112'!$M$9,2),B3664&lt;'112'!$K$9,$O3664='112'!$I$6)),"x",""))</f>
        <v/>
      </c>
      <c r="W3664" s="75" t="str">
        <f>IF(AND('341-CT'!$H$9=H3664,OR(LEFT(N3664,3)=$W$7,LEFT(O3664,3)=$W$7)),"x","")</f>
        <v/>
      </c>
      <c r="X3664" s="75" t="str">
        <f>IF(OR(TH!N3500=TH!$X$7,O3664=TH!$X$7),"x","")</f>
        <v/>
      </c>
      <c r="Y3664" s="75" t="str">
        <f>IF(AND(OR(N3664="131",O3664="131"),H3664='131-CT'!$H$9),"x","")</f>
        <v/>
      </c>
      <c r="Z3664" s="75"/>
      <c r="AA3664" s="75" t="str">
        <f>IF(AND(MONTH(E3664)='IN-NX'!$J$5,'IN-NX'!$D$7=D3664),"x","")</f>
        <v/>
      </c>
      <c r="AB3664" s="75" t="str">
        <f>IF(AND(OR(LEFT(TH!N3500,2)="15",LEFT(TH!O3500,2)="15"),LEFT(TH!O3500,3)&lt;&gt;"111",'152-CT'!$J$8=TH!F3500),"x","")</f>
        <v/>
      </c>
      <c r="AC3664" s="75" t="str">
        <f>IF(AND(OR(LEFT(TH!N3500,2)="15",LEFT(TH!O3500,2)="15"),TK!$E$7=TH!F3500),"x","")</f>
        <v/>
      </c>
      <c r="AD3664" s="75" t="str">
        <f>IF(AND(N3664="1521",MONTH(C3664)='BK-NL'!$M$11),"x","")</f>
        <v/>
      </c>
    </row>
    <row r="3665" spans="1:33" ht="16.5" customHeight="1">
      <c r="A3665" s="309" t="str">
        <f>IF(B3665&lt;&gt;"",IF(AND(B3665='IN-TC'!$S$4,OR(TH!N3665="1111",TH!O3665="1111")),TH!D3665,""),"")</f>
        <v/>
      </c>
      <c r="B3665" s="1131">
        <f t="shared" si="1298"/>
        <v>2</v>
      </c>
      <c r="C3665" s="292">
        <f t="shared" si="1299"/>
        <v>42787</v>
      </c>
      <c r="D3665" s="292" t="s">
        <v>1945</v>
      </c>
      <c r="E3665" s="292">
        <v>42787</v>
      </c>
      <c r="F3665" s="293" t="s">
        <v>891</v>
      </c>
      <c r="G3665" s="925" t="s">
        <v>1049</v>
      </c>
      <c r="H3665" s="67" t="s">
        <v>893</v>
      </c>
      <c r="I3665" s="373"/>
      <c r="J3665" s="926"/>
      <c r="K3665" s="373"/>
      <c r="L3665" s="379"/>
      <c r="M3665" s="927">
        <v>256875</v>
      </c>
      <c r="N3665" s="295" t="s">
        <v>9</v>
      </c>
      <c r="O3665" s="295" t="s">
        <v>63</v>
      </c>
      <c r="P3665" s="75" t="str">
        <f>IF(AND('331-CT'!$E$7=TH!H3501,OR(N3665="331",O3665="331")),"x","")</f>
        <v/>
      </c>
      <c r="Q3665" s="75" t="str">
        <f>IF(AND(B3665='111'!$L$11,OR($N3665=$Q$7,$O3665=$Q$7)),"x","")</f>
        <v/>
      </c>
      <c r="R3665" s="75" t="str">
        <f>IF(AND($N3665=$Q$7,$B3665&lt;'111'!$L$11),"x","")</f>
        <v/>
      </c>
      <c r="S3665" s="75" t="str">
        <f>IF(AND($O3665=$Q$7,$B3665&lt;'111'!$L$11),"x","")</f>
        <v>x</v>
      </c>
      <c r="T3665" s="75" t="str">
        <f>IF(ISERROR(FIND('112'!$M$9,G3665,1)),"",IF((AND(FIND('112'!$M$9,G3665,1)&gt;=1,B3665='112'!$K$9,OR($N3665='112'!$I$6,$O3665='112'!$I$6))),"x",""))</f>
        <v/>
      </c>
      <c r="U3665" s="75" t="str">
        <f>IF(ISERROR(FIND('112'!$M$9,G3665,1)),"",IF((AND(LEFT(G3665,2)=LEFT('112'!$M$9,2),B3665&lt;'112'!$K$9,$N3665='112'!$I$6)),"x",""))</f>
        <v/>
      </c>
      <c r="V3665" s="75" t="str">
        <f>IF(ISERROR(FIND('112'!$M$9,G3665,1)),"",IF((AND(RIGHT(G3665,2)=RIGHT('112'!$M$9,2),B3665&lt;'112'!$K$9,$O3665='112'!$I$6)),"x",""))</f>
        <v/>
      </c>
      <c r="W3665" s="75" t="str">
        <f>IF(AND('341-CT'!$H$9=H3665,OR(LEFT(N3665,3)=$W$7,LEFT(O3665,3)=$W$7)),"x","")</f>
        <v/>
      </c>
      <c r="X3665" s="75" t="str">
        <f>IF(OR(TH!N3501=TH!$X$7,O3665=TH!$X$7),"x","")</f>
        <v/>
      </c>
      <c r="Y3665" s="75" t="str">
        <f>IF(AND(OR(N3665="131",O3665="131"),H3665='131-CT'!$H$9),"x","")</f>
        <v/>
      </c>
      <c r="Z3665" s="75"/>
      <c r="AA3665" s="75" t="str">
        <f>IF(AND(MONTH(E3665)='IN-NX'!$J$5,'IN-NX'!$D$7=D3665),"x","")</f>
        <v/>
      </c>
      <c r="AB3665" s="75" t="str">
        <f>IF(AND(OR(LEFT(TH!N3501,2)="15",LEFT(TH!O3501,2)="15"),LEFT(TH!O3501,3)&lt;&gt;"111",'152-CT'!$J$8=TH!F3501),"x","")</f>
        <v/>
      </c>
      <c r="AC3665" s="75" t="str">
        <f>IF(AND(OR(LEFT(TH!N3501,2)="15",LEFT(TH!O3501,2)="15"),TK!$E$7=TH!F3501),"x","")</f>
        <v/>
      </c>
      <c r="AD3665" s="75" t="str">
        <f>IF(AND(N3665="1521",MONTH(C3665)='BK-NL'!$M$11),"x","")</f>
        <v/>
      </c>
    </row>
    <row r="3666" spans="1:33" ht="16.5" customHeight="1">
      <c r="A3666" s="309" t="str">
        <f>IF(B3666&lt;&gt;"",IF(AND(B3666='IN-TC'!$S$4,OR(TH!N3666="1111",TH!O3666="1111")),TH!D3666,""),"")</f>
        <v/>
      </c>
      <c r="B3666" s="1131">
        <f t="shared" si="1298"/>
        <v>2</v>
      </c>
      <c r="C3666" s="292">
        <f t="shared" si="1299"/>
        <v>42788</v>
      </c>
      <c r="D3666" s="59" t="s">
        <v>903</v>
      </c>
      <c r="E3666" s="292">
        <v>42788</v>
      </c>
      <c r="F3666" s="67" t="s">
        <v>1090</v>
      </c>
      <c r="G3666" s="62" t="s">
        <v>1091</v>
      </c>
      <c r="H3666" s="67" t="s">
        <v>845</v>
      </c>
      <c r="I3666" s="373"/>
      <c r="J3666" s="379"/>
      <c r="K3666" s="373"/>
      <c r="L3666" s="379"/>
      <c r="M3666" s="60">
        <v>22500000</v>
      </c>
      <c r="N3666" s="61" t="s">
        <v>26</v>
      </c>
      <c r="O3666" s="61" t="s">
        <v>26</v>
      </c>
      <c r="P3666" s="75" t="str">
        <f>IF(AND('331-CT'!$E$7=TH!H4665,OR(N3666="331",O3666="331")),"x","")</f>
        <v/>
      </c>
      <c r="Q3666" s="75" t="str">
        <f>IF(AND(B3666='111'!$L$11,OR($N3666=$Q$7,$O3666=$Q$7)),"x","")</f>
        <v/>
      </c>
      <c r="R3666" s="75" t="str">
        <f>IF(AND($N3666=$Q$7,$B3666&lt;'111'!$L$11),"x","")</f>
        <v/>
      </c>
      <c r="S3666" s="75" t="str">
        <f>IF(AND($O3666=$Q$7,$B3666&lt;'111'!$L$11),"x","")</f>
        <v/>
      </c>
      <c r="T3666" s="75" t="str">
        <f>IF(ISERROR(FIND('112'!$M$9,G3666,1)),"",IF((AND(FIND('112'!$M$9,G3666,1)&gt;=1,B3666='112'!$K$9,OR($N3666='112'!$I$6,$O3666='112'!$I$6))),"x",""))</f>
        <v/>
      </c>
      <c r="U3666" s="75" t="str">
        <f>IF(ISERROR(FIND('112'!$M$9,G3666,1)),"",IF((AND(LEFT(G3666,2)=LEFT('112'!$M$9,2),B3666&lt;'112'!$K$9,$N3666='112'!$I$6)),"x",""))</f>
        <v/>
      </c>
      <c r="V3666" s="75" t="str">
        <f>IF(ISERROR(FIND('112'!$M$9,G3666,1)),"",IF((AND(RIGHT(G3666,2)=RIGHT('112'!$M$9,2),B3666&lt;'112'!$K$9,$O3666='112'!$I$6)),"x",""))</f>
        <v>x</v>
      </c>
      <c r="W3666" s="75" t="str">
        <f>IF(AND('341-CT'!$H$9=H3666,OR(LEFT(N3666,3)=$W$7,LEFT(O3666,3)=$W$7)),"x","")</f>
        <v/>
      </c>
      <c r="X3666" s="75" t="str">
        <f>IF(OR(TH!N4665=TH!$X$7,O3666=TH!$X$7),"x","")</f>
        <v/>
      </c>
      <c r="Y3666" s="75" t="str">
        <f>IF(AND(OR(N3666="131",O3666="131"),H3666='131-CT'!$H$9),"x","")</f>
        <v/>
      </c>
      <c r="Z3666" s="75"/>
      <c r="AA3666" s="75" t="str">
        <f>IF(AND(MONTH(E3666)='IN-NX'!$J$5,'IN-NX'!$D$7=D3666),"x","")</f>
        <v/>
      </c>
      <c r="AB3666" s="75" t="str">
        <f>IF(AND(OR(LEFT(TH!N4665,2)="15",LEFT(TH!O4665,2)="15"),LEFT(TH!O4665,3)&lt;&gt;"111",'152-CT'!$J$8=TH!F4665),"x","")</f>
        <v/>
      </c>
      <c r="AC3666" s="75" t="str">
        <f>IF(AND(OR(LEFT(TH!N4665,2)="15",LEFT(TH!O4665,2)="15"),TK!$E$7=TH!F4665),"x","")</f>
        <v/>
      </c>
      <c r="AD3666" s="75" t="str">
        <f>IF(AND(N3666="1521",MONTH(C3666)='BK-NL'!$M$11),"x","")</f>
        <v/>
      </c>
    </row>
    <row r="3667" spans="1:33" ht="16.5" customHeight="1">
      <c r="A3667" s="309" t="str">
        <f>IF(B3667&lt;&gt;"",IF(AND(B3667='IN-TC'!$S$4,OR(TH!N3667="1111",TH!O3667="1111")),TH!D3667,""),"")</f>
        <v/>
      </c>
      <c r="B3667" s="1131">
        <f t="shared" ref="B3667:B3730" si="1300">IF(C3667&lt;&gt;"",MONTH(C3667),"")</f>
        <v>2</v>
      </c>
      <c r="C3667" s="292">
        <f t="shared" si="1299"/>
        <v>42788</v>
      </c>
      <c r="D3667" s="59" t="s">
        <v>902</v>
      </c>
      <c r="E3667" s="292">
        <v>42788</v>
      </c>
      <c r="F3667" s="67" t="s">
        <v>1214</v>
      </c>
      <c r="G3667" s="62" t="s">
        <v>585</v>
      </c>
      <c r="H3667" s="67" t="s">
        <v>623</v>
      </c>
      <c r="I3667" s="373"/>
      <c r="J3667" s="379"/>
      <c r="K3667" s="373"/>
      <c r="L3667" s="379"/>
      <c r="M3667" s="60">
        <v>80000000</v>
      </c>
      <c r="N3667" s="61" t="s">
        <v>72</v>
      </c>
      <c r="O3667" s="61" t="s">
        <v>26</v>
      </c>
      <c r="P3667" s="75" t="str">
        <f>IF(AND('331-CT'!$E$7=TH!H4666,OR(N3667="331",O3667="331")),"x","")</f>
        <v/>
      </c>
      <c r="Q3667" s="75" t="str">
        <f>IF(AND(B3667='111'!$L$11,OR($N3667=$Q$7,$O3667=$Q$7)),"x","")</f>
        <v/>
      </c>
      <c r="R3667" s="75" t="str">
        <f>IF(AND($N3667=$Q$7,$B3667&lt;'111'!$L$11),"x","")</f>
        <v/>
      </c>
      <c r="S3667" s="75" t="str">
        <f>IF(AND($O3667=$Q$7,$B3667&lt;'111'!$L$11),"x","")</f>
        <v/>
      </c>
      <c r="T3667" s="75" t="str">
        <f>IF(ISERROR(FIND('112'!$M$9,G3667,1)),"",IF((AND(FIND('112'!$M$9,G3667,1)&gt;=1,B3667='112'!$K$9,OR($N3667='112'!$I$6,$O3667='112'!$I$6))),"x",""))</f>
        <v/>
      </c>
      <c r="U3667" s="75" t="str">
        <f>IF(ISERROR(FIND('112'!$M$9,G3667,1)),"",IF((AND(LEFT(G3667,2)=LEFT('112'!$M$9,2),B3667&lt;'112'!$K$9,$N3667='112'!$I$6)),"x",""))</f>
        <v/>
      </c>
      <c r="V3667" s="75" t="str">
        <f>IF(ISERROR(FIND('112'!$M$9,G3667,1)),"",IF((AND(RIGHT(G3667,2)=RIGHT('112'!$M$9,2),B3667&lt;'112'!$K$9,$O3667='112'!$I$6)),"x",""))</f>
        <v/>
      </c>
      <c r="W3667" s="75" t="str">
        <f>IF(AND('341-CT'!$H$9=H3667,OR(LEFT(N3667,3)=$W$7,LEFT(O3667,3)=$W$7)),"x","")</f>
        <v/>
      </c>
      <c r="X3667" s="75" t="str">
        <f>IF(OR(TH!N4666=TH!$X$7,O3667=TH!$X$7),"x","")</f>
        <v/>
      </c>
      <c r="Y3667" s="75" t="str">
        <f>IF(AND(OR(N3667="131",O3667="131"),H3667='131-CT'!$H$9),"x","")</f>
        <v/>
      </c>
      <c r="Z3667" s="75"/>
      <c r="AA3667" s="75" t="str">
        <f>IF(AND(MONTH(E3667)='IN-NX'!$J$5,'IN-NX'!$D$7=D3667),"x","")</f>
        <v/>
      </c>
      <c r="AB3667" s="75" t="str">
        <f>IF(AND(OR(LEFT(TH!N4666,2)="15",LEFT(TH!O4666,2)="15"),LEFT(TH!O4666,3)&lt;&gt;"111",'152-CT'!$J$8=TH!F4666),"x","")</f>
        <v/>
      </c>
      <c r="AC3667" s="75" t="str">
        <f>IF(AND(OR(LEFT(TH!N4666,2)="15",LEFT(TH!O4666,2)="15"),TK!$E$7=TH!F4666),"x","")</f>
        <v/>
      </c>
      <c r="AD3667" s="75" t="str">
        <f>IF(AND(N3667="1521",MONTH(C3667)='BK-NL'!$M$11),"x","")</f>
        <v/>
      </c>
    </row>
    <row r="3668" spans="1:33" ht="16.5" customHeight="1">
      <c r="A3668" s="309" t="str">
        <f>IF(B3668&lt;&gt;"",IF(AND(B3668='IN-TC'!$S$4,OR(TH!N3668="1111",TH!O3668="1111")),TH!D3668,""),"")</f>
        <v/>
      </c>
      <c r="B3668" s="1131">
        <f t="shared" si="1300"/>
        <v>2</v>
      </c>
      <c r="C3668" s="292">
        <f t="shared" si="1299"/>
        <v>42788</v>
      </c>
      <c r="D3668" s="59" t="s">
        <v>903</v>
      </c>
      <c r="E3668" s="59">
        <v>42788</v>
      </c>
      <c r="F3668" s="293" t="s">
        <v>252</v>
      </c>
      <c r="G3668" s="62" t="s">
        <v>747</v>
      </c>
      <c r="H3668" s="311" t="s">
        <v>1082</v>
      </c>
      <c r="I3668" s="373"/>
      <c r="J3668" s="379"/>
      <c r="K3668" s="373">
        <v>83500</v>
      </c>
      <c r="L3668" s="379">
        <v>22830</v>
      </c>
      <c r="M3668" s="927">
        <f>ROUND(L3668*K3668,0)</f>
        <v>1906305000</v>
      </c>
      <c r="N3668" s="61" t="s">
        <v>26</v>
      </c>
      <c r="O3668" s="61" t="s">
        <v>250</v>
      </c>
      <c r="P3668" s="75" t="str">
        <f>IF(AND('331-CT'!$E$7=TH!H5012,OR(N3668="331",O3668="331")),"x","")</f>
        <v/>
      </c>
      <c r="Q3668" s="75" t="str">
        <f>IF(AND(B3668='111'!$L$11,OR($N3668=$Q$7,$O3668=$Q$7)),"x","")</f>
        <v/>
      </c>
      <c r="R3668" s="75" t="str">
        <f>IF(AND($N3668=$Q$7,$B3668&lt;'111'!$L$11),"x","")</f>
        <v/>
      </c>
      <c r="S3668" s="75" t="str">
        <f>IF(AND($O3668=$Q$7,$B3668&lt;'111'!$L$11),"x","")</f>
        <v/>
      </c>
      <c r="T3668" s="75" t="str">
        <f>IF(ISERROR(FIND('112'!$M$9,G3668,1)),"",IF((AND(FIND('112'!$M$9,G3668,1)&gt;=1,B3668='112'!$K$9,OR($N3668='112'!$I$6,$O3668='112'!$I$6))),"x",""))</f>
        <v/>
      </c>
      <c r="U3668" s="75" t="str">
        <f>IF(ISERROR(FIND('112'!$M$9,G3668,1)),"",IF((AND(LEFT(G3668,2)=LEFT('112'!$M$9,2),B3668&lt;'112'!$K$9,$N3668='112'!$I$6)),"x",""))</f>
        <v/>
      </c>
      <c r="V3668" s="75" t="str">
        <f>IF(ISERROR(FIND('112'!$M$9,G3668,1)),"",IF((AND(RIGHT(G3668,2)=RIGHT('112'!$M$9,2),B3668&lt;'112'!$K$9,$O3668='112'!$I$6)),"x",""))</f>
        <v/>
      </c>
      <c r="W3668" s="75" t="str">
        <f>IF(AND('341-CT'!$H$9=H3668,OR(LEFT(N3668,3)=$W$7,LEFT(O3668,3)=$W$7)),"x","")</f>
        <v/>
      </c>
      <c r="X3668" s="75" t="str">
        <f>IF(OR(TH!N5012=TH!$X$7,O3668=TH!$X$7),"x","")</f>
        <v/>
      </c>
      <c r="Y3668" s="75" t="str">
        <f>IF(AND(OR(N3668="131",O3668="131"),H3668='131-CT'!$H$9),"x","")</f>
        <v/>
      </c>
      <c r="Z3668" s="75"/>
      <c r="AA3668" s="75" t="str">
        <f>IF(AND(MONTH(E3668)='IN-NX'!$J$5,'IN-NX'!$D$7=D3668),"x","")</f>
        <v/>
      </c>
      <c r="AB3668" s="75" t="str">
        <f>IF(AND(OR(LEFT(TH!N5012,2)="15",LEFT(TH!O5012,2)="15"),LEFT(TH!O5012,3)&lt;&gt;"111",'152-CT'!$J$8=TH!F5012),"x","")</f>
        <v/>
      </c>
      <c r="AC3668" s="75" t="str">
        <f>IF(AND(OR(LEFT(TH!N5012,2)="15",LEFT(TH!O5012,2)="15"),TK!$E$7=TH!F5012),"x","")</f>
        <v/>
      </c>
      <c r="AD3668" s="75" t="str">
        <f>IF(AND(N3668="1521",MONTH(C3668)='BK-NL'!$M$11),"x","")</f>
        <v/>
      </c>
      <c r="AE3668" s="1053"/>
      <c r="AF3668" s="1053"/>
      <c r="AG3668" s="1053"/>
    </row>
    <row r="3669" spans="1:33" ht="16.5" customHeight="1">
      <c r="A3669" s="309" t="str">
        <f>IF(B3669&lt;&gt;"",IF(AND(B3669='IN-TC'!$S$4,OR(TH!N3669="1111",TH!O3669="1111")),TH!D3669,""),"")</f>
        <v/>
      </c>
      <c r="B3669" s="1131">
        <f t="shared" si="1300"/>
        <v>2</v>
      </c>
      <c r="C3669" s="292">
        <f t="shared" si="1299"/>
        <v>42789</v>
      </c>
      <c r="D3669" s="292" t="s">
        <v>853</v>
      </c>
      <c r="E3669" s="292">
        <v>42789</v>
      </c>
      <c r="F3669" s="293" t="s">
        <v>834</v>
      </c>
      <c r="G3669" s="943" t="s">
        <v>747</v>
      </c>
      <c r="H3669" s="67" t="s">
        <v>1023</v>
      </c>
      <c r="I3669" s="373"/>
      <c r="J3669" s="926"/>
      <c r="K3669" s="373"/>
      <c r="L3669" s="379"/>
      <c r="M3669" s="927">
        <v>10030000000</v>
      </c>
      <c r="N3669" s="295" t="s">
        <v>63</v>
      </c>
      <c r="O3669" s="295" t="s">
        <v>26</v>
      </c>
      <c r="P3669" s="75" t="str">
        <f>IF(AND('331-CT'!$E$7=TH!H5013,OR(N3669="331",O3669="331")),"x","")</f>
        <v/>
      </c>
      <c r="Q3669" s="75" t="str">
        <f>IF(AND(B3669='111'!$L$11,OR($N3669=$Q$7,$O3669=$Q$7)),"x","")</f>
        <v/>
      </c>
      <c r="R3669" s="75" t="str">
        <f>IF(AND($N3669=$Q$7,$B3669&lt;'111'!$L$11),"x","")</f>
        <v>x</v>
      </c>
      <c r="S3669" s="75" t="str">
        <f>IF(AND($O3669=$Q$7,$B3669&lt;'111'!$L$11),"x","")</f>
        <v/>
      </c>
      <c r="T3669" s="75" t="str">
        <f>IF(ISERROR(FIND('112'!$M$9,G3669,1)),"",IF((AND(FIND('112'!$M$9,G3669,1)&gt;=1,B3669='112'!$K$9,OR($N3669='112'!$I$6,$O3669='112'!$I$6))),"x",""))</f>
        <v/>
      </c>
      <c r="U3669" s="75" t="str">
        <f>IF(ISERROR(FIND('112'!$M$9,G3669,1)),"",IF((AND(LEFT(G3669,2)=LEFT('112'!$M$9,2),B3669&lt;'112'!$K$9,$N3669='112'!$I$6)),"x",""))</f>
        <v/>
      </c>
      <c r="V3669" s="75" t="str">
        <f>IF(ISERROR(FIND('112'!$M$9,G3669,1)),"",IF((AND(RIGHT(G3669,2)=RIGHT('112'!$M$9,2),B3669&lt;'112'!$K$9,$O3669='112'!$I$6)),"x",""))</f>
        <v/>
      </c>
      <c r="W3669" s="75" t="str">
        <f>IF(AND('341-CT'!$H$9=H3669,OR(LEFT(N3669,3)=$W$7,LEFT(O3669,3)=$W$7)),"x","")</f>
        <v/>
      </c>
      <c r="X3669" s="75" t="str">
        <f>IF(OR(TH!N5013=TH!$X$7,O3669=TH!$X$7),"x","")</f>
        <v/>
      </c>
      <c r="Y3669" s="75" t="str">
        <f>IF(AND(OR(N3669="131",O3669="131"),H3669='131-CT'!$H$9),"x","")</f>
        <v/>
      </c>
      <c r="Z3669" s="75"/>
      <c r="AA3669" s="75" t="str">
        <f>IF(AND(MONTH(E3669)='IN-NX'!$J$5,'IN-NX'!$D$7=D3669),"x","")</f>
        <v/>
      </c>
      <c r="AB3669" s="75" t="str">
        <f>IF(AND(OR(LEFT(TH!N5013,2)="15",LEFT(TH!O5013,2)="15"),LEFT(TH!O5013,3)&lt;&gt;"111",'152-CT'!$J$8=TH!F5013),"x","")</f>
        <v/>
      </c>
      <c r="AC3669" s="75" t="str">
        <f>IF(AND(OR(LEFT(TH!N5013,2)="15",LEFT(TH!O5013,2)="15"),TK!$E$7=TH!F5013),"x","")</f>
        <v/>
      </c>
      <c r="AD3669" s="75" t="str">
        <f>IF(AND(N3669="1521",MONTH(C3669)='BK-NL'!$M$11),"x","")</f>
        <v/>
      </c>
    </row>
    <row r="3670" spans="1:33" ht="16.5" customHeight="1">
      <c r="A3670" s="309" t="str">
        <f>IF(B3670&lt;&gt;"",IF(AND(B3670='IN-TC'!$S$4,OR(TH!N3670="1111",TH!O3670="1111")),TH!D3670,""),"")</f>
        <v/>
      </c>
      <c r="B3670" s="1131">
        <f t="shared" si="1300"/>
        <v>2</v>
      </c>
      <c r="C3670" s="292">
        <f t="shared" si="1299"/>
        <v>42789</v>
      </c>
      <c r="D3670" s="292" t="s">
        <v>1948</v>
      </c>
      <c r="E3670" s="292">
        <v>42789</v>
      </c>
      <c r="F3670" s="1010" t="s">
        <v>1881</v>
      </c>
      <c r="G3670" s="925"/>
      <c r="H3670" s="311" t="s">
        <v>1887</v>
      </c>
      <c r="I3670" s="373"/>
      <c r="J3670" s="926"/>
      <c r="K3670" s="373"/>
      <c r="L3670" s="379"/>
      <c r="M3670" s="927">
        <v>2110891000</v>
      </c>
      <c r="N3670" s="295" t="s">
        <v>8</v>
      </c>
      <c r="O3670" s="295" t="s">
        <v>63</v>
      </c>
      <c r="P3670" s="75" t="str">
        <f>IF(AND('331-CT'!$E$7=TH!H4211,OR(N3670="331",O3670="331")),"x","")</f>
        <v/>
      </c>
      <c r="Q3670" s="75" t="str">
        <f>IF(AND(B3670='111'!$L$11,OR($N3670=$Q$7,$O3670=$Q$7)),"x","")</f>
        <v/>
      </c>
      <c r="R3670" s="75" t="str">
        <f>IF(AND($N3670=$Q$7,$B3670&lt;'111'!$L$11),"x","")</f>
        <v/>
      </c>
      <c r="S3670" s="75" t="str">
        <f>IF(AND($O3670=$Q$7,$B3670&lt;'111'!$L$11),"x","")</f>
        <v>x</v>
      </c>
      <c r="T3670" s="75" t="str">
        <f>IF(ISERROR(FIND('112'!$M$9,G3670,1)),"",IF((AND(FIND('112'!$M$9,G3670,1)&gt;=1,B3670='112'!$K$9,OR($N3670='112'!$I$6,$O3670='112'!$I$6))),"x",""))</f>
        <v/>
      </c>
      <c r="U3670" s="75" t="str">
        <f>IF(ISERROR(FIND('112'!$M$9,G3670,1)),"",IF((AND(LEFT(G3670,2)=LEFT('112'!$M$9,2),B3670&lt;'112'!$K$9,$N3670='112'!$I$6)),"x",""))</f>
        <v/>
      </c>
      <c r="V3670" s="75" t="str">
        <f>IF(ISERROR(FIND('112'!$M$9,G3670,1)),"",IF((AND(RIGHT(G3670,2)=RIGHT('112'!$M$9,2),B3670&lt;'112'!$K$9,$O3670='112'!$I$6)),"x",""))</f>
        <v/>
      </c>
      <c r="W3670" s="75" t="str">
        <f>IF(AND('341-CT'!$H$9=H3670,OR(LEFT(N3670,3)=$W$7,LEFT(O3670,3)=$W$7)),"x","")</f>
        <v/>
      </c>
      <c r="X3670" s="75" t="str">
        <f>IF(OR(TH!N4211=TH!$X$7,O3670=TH!$X$7),"x","")</f>
        <v/>
      </c>
      <c r="Y3670" s="75" t="str">
        <f>IF(AND(OR(N3670="131",O3670="131"),H3670='131-CT'!$H$9),"x","")</f>
        <v/>
      </c>
      <c r="Z3670" s="75"/>
      <c r="AA3670" s="75" t="str">
        <f>IF(AND(MONTH(E3670)='IN-NX'!$J$5,'IN-NX'!$D$7=D3670),"x","")</f>
        <v/>
      </c>
      <c r="AB3670" s="75" t="str">
        <f>IF(AND(OR(LEFT(TH!N4211,2)="15",LEFT(TH!O4211,2)="15"),LEFT(TH!O4211,3)&lt;&gt;"111",'152-CT'!$J$8=TH!F4211),"x","")</f>
        <v/>
      </c>
      <c r="AC3670" s="75" t="str">
        <f>IF(AND(OR(LEFT(TH!N4211,2)="15",LEFT(TH!O4211,2)="15"),TK!$E$7=TH!F4211),"x","")</f>
        <v/>
      </c>
      <c r="AD3670" s="75" t="str">
        <f>IF(AND(N3670="1521",MONTH(C3670)='BK-NL'!$M$11),"x","")</f>
        <v/>
      </c>
    </row>
    <row r="3671" spans="1:33" ht="16.5" customHeight="1">
      <c r="A3671" s="309" t="str">
        <f>IF(B3671&lt;&gt;"",IF(AND(B3671='IN-TC'!$S$4,OR(TH!N3671="1111",TH!O3671="1111")),TH!D3671,""),"")</f>
        <v/>
      </c>
      <c r="B3671" s="1131">
        <f t="shared" si="1300"/>
        <v>2</v>
      </c>
      <c r="C3671" s="292">
        <f t="shared" si="1299"/>
        <v>42789</v>
      </c>
      <c r="D3671" s="292" t="s">
        <v>1948</v>
      </c>
      <c r="E3671" s="292">
        <v>42789</v>
      </c>
      <c r="F3671" s="1010" t="s">
        <v>1883</v>
      </c>
      <c r="G3671" s="925"/>
      <c r="H3671" s="311"/>
      <c r="I3671" s="373"/>
      <c r="J3671" s="926"/>
      <c r="K3671" s="373"/>
      <c r="L3671" s="379"/>
      <c r="M3671" s="927">
        <v>1000000</v>
      </c>
      <c r="N3671" s="295" t="s">
        <v>101</v>
      </c>
      <c r="O3671" s="295" t="s">
        <v>63</v>
      </c>
      <c r="P3671" s="75" t="str">
        <f>IF(AND('331-CT'!$E$7=TH!H4212,OR(N3671="331",O3671="331")),"x","")</f>
        <v/>
      </c>
      <c r="Q3671" s="75" t="str">
        <f>IF(AND(B3671='111'!$L$11,OR($N3671=$Q$7,$O3671=$Q$7)),"x","")</f>
        <v/>
      </c>
      <c r="R3671" s="75" t="str">
        <f>IF(AND($N3671=$Q$7,$B3671&lt;'111'!$L$11),"x","")</f>
        <v/>
      </c>
      <c r="S3671" s="75" t="str">
        <f>IF(AND($O3671=$Q$7,$B3671&lt;'111'!$L$11),"x","")</f>
        <v>x</v>
      </c>
      <c r="T3671" s="75" t="str">
        <f>IF(ISERROR(FIND('112'!$M$9,G3671,1)),"",IF((AND(FIND('112'!$M$9,G3671,1)&gt;=1,B3671='112'!$K$9,OR($N3671='112'!$I$6,$O3671='112'!$I$6))),"x",""))</f>
        <v/>
      </c>
      <c r="U3671" s="75" t="str">
        <f>IF(ISERROR(FIND('112'!$M$9,G3671,1)),"",IF((AND(LEFT(G3671,2)=LEFT('112'!$M$9,2),B3671&lt;'112'!$K$9,$N3671='112'!$I$6)),"x",""))</f>
        <v/>
      </c>
      <c r="V3671" s="75" t="str">
        <f>IF(ISERROR(FIND('112'!$M$9,G3671,1)),"",IF((AND(RIGHT(G3671,2)=RIGHT('112'!$M$9,2),B3671&lt;'112'!$K$9,$O3671='112'!$I$6)),"x",""))</f>
        <v/>
      </c>
      <c r="W3671" s="75" t="str">
        <f>IF(AND('341-CT'!$H$9=H3671,OR(LEFT(N3671,3)=$W$7,LEFT(O3671,3)=$W$7)),"x","")</f>
        <v/>
      </c>
      <c r="X3671" s="75" t="str">
        <f>IF(OR(TH!N4212=TH!$X$7,O3671=TH!$X$7),"x","")</f>
        <v/>
      </c>
      <c r="Y3671" s="75" t="str">
        <f>IF(AND(OR(N3671="131",O3671="131"),H3671='131-CT'!$H$9),"x","")</f>
        <v/>
      </c>
      <c r="Z3671" s="75"/>
      <c r="AA3671" s="75" t="str">
        <f>IF(AND(MONTH(E3671)='IN-NX'!$J$5,'IN-NX'!$D$7=D3671),"x","")</f>
        <v/>
      </c>
      <c r="AB3671" s="75" t="str">
        <f>IF(AND(OR(LEFT(TH!N4212,2)="15",LEFT(TH!O4212,2)="15"),LEFT(TH!O4212,3)&lt;&gt;"111",'152-CT'!$J$8=TH!F4212),"x","")</f>
        <v/>
      </c>
      <c r="AC3671" s="75" t="str">
        <f>IF(AND(OR(LEFT(TH!N4212,2)="15",LEFT(TH!O4212,2)="15"),TK!$E$7=TH!F4212),"x","")</f>
        <v/>
      </c>
      <c r="AD3671" s="75" t="str">
        <f>IF(AND(N3671="1521",MONTH(C3671)='BK-NL'!$M$11),"x","")</f>
        <v/>
      </c>
      <c r="AE3671">
        <v>9</v>
      </c>
    </row>
    <row r="3672" spans="1:33" ht="16.5" customHeight="1">
      <c r="A3672" s="309" t="str">
        <f>IF(B3672&lt;&gt;"",IF(AND(B3672='IN-TC'!$S$4,OR(TH!N3672="1111",TH!O3672="1111")),TH!D3672,""),"")</f>
        <v/>
      </c>
      <c r="B3672" s="1131">
        <f t="shared" si="1300"/>
        <v>2</v>
      </c>
      <c r="C3672" s="292">
        <f t="shared" si="1299"/>
        <v>42789</v>
      </c>
      <c r="D3672" s="292" t="s">
        <v>1948</v>
      </c>
      <c r="E3672" s="292">
        <v>42789</v>
      </c>
      <c r="F3672" s="1010" t="s">
        <v>1895</v>
      </c>
      <c r="G3672" s="925"/>
      <c r="H3672" s="311"/>
      <c r="I3672" s="373"/>
      <c r="J3672" s="926"/>
      <c r="K3672" s="373"/>
      <c r="L3672" s="379"/>
      <c r="M3672" s="927">
        <v>100000</v>
      </c>
      <c r="N3672" s="295" t="s">
        <v>9</v>
      </c>
      <c r="O3672" s="295" t="s">
        <v>63</v>
      </c>
      <c r="P3672" s="75" t="str">
        <f>IF(AND('331-CT'!$E$7=TH!H4213,OR(N3672="331",O3672="331")),"x","")</f>
        <v/>
      </c>
      <c r="Q3672" s="75" t="str">
        <f>IF(AND(B3672='111'!$L$11,OR($N3672=$Q$7,$O3672=$Q$7)),"x","")</f>
        <v/>
      </c>
      <c r="R3672" s="75" t="str">
        <f>IF(AND($N3672=$Q$7,$B3672&lt;'111'!$L$11),"x","")</f>
        <v/>
      </c>
      <c r="S3672" s="75" t="str">
        <f>IF(AND($O3672=$Q$7,$B3672&lt;'111'!$L$11),"x","")</f>
        <v>x</v>
      </c>
      <c r="T3672" s="75" t="str">
        <f>IF(ISERROR(FIND('112'!$M$9,G3672,1)),"",IF((AND(FIND('112'!$M$9,G3672,1)&gt;=1,B3672='112'!$K$9,OR($N3672='112'!$I$6,$O3672='112'!$I$6))),"x",""))</f>
        <v/>
      </c>
      <c r="U3672" s="75" t="str">
        <f>IF(ISERROR(FIND('112'!$M$9,G3672,1)),"",IF((AND(LEFT(G3672,2)=LEFT('112'!$M$9,2),B3672&lt;'112'!$K$9,$N3672='112'!$I$6)),"x",""))</f>
        <v/>
      </c>
      <c r="V3672" s="75" t="str">
        <f>IF(ISERROR(FIND('112'!$M$9,G3672,1)),"",IF((AND(RIGHT(G3672,2)=RIGHT('112'!$M$9,2),B3672&lt;'112'!$K$9,$O3672='112'!$I$6)),"x",""))</f>
        <v/>
      </c>
      <c r="W3672" s="75" t="str">
        <f>IF(AND('341-CT'!$H$9=H3672,OR(LEFT(N3672,3)=$W$7,LEFT(O3672,3)=$W$7)),"x","")</f>
        <v/>
      </c>
      <c r="X3672" s="75" t="str">
        <f>IF(OR(TH!N4213=TH!$X$7,O3672=TH!$X$7),"x","")</f>
        <v/>
      </c>
      <c r="Y3672" s="75" t="str">
        <f>IF(AND(OR(N3672="131",O3672="131"),H3672='131-CT'!$H$9),"x","")</f>
        <v/>
      </c>
      <c r="Z3672" s="75"/>
      <c r="AA3672" s="75" t="str">
        <f>IF(AND(MONTH(E3672)='IN-NX'!$J$5,'IN-NX'!$D$7=D3672),"x","")</f>
        <v/>
      </c>
      <c r="AB3672" s="75" t="str">
        <f>IF(AND(OR(LEFT(TH!N4213,2)="15",LEFT(TH!O4213,2)="15"),LEFT(TH!O4213,3)&lt;&gt;"111",'152-CT'!$J$8=TH!F4213),"x","")</f>
        <v/>
      </c>
      <c r="AC3672" s="75" t="str">
        <f>IF(AND(OR(LEFT(TH!N4213,2)="15",LEFT(TH!O4213,2)="15"),TK!$E$7=TH!F4213),"x","")</f>
        <v/>
      </c>
      <c r="AD3672" s="75" t="str">
        <f>IF(AND(N3672="1521",MONTH(C3672)='BK-NL'!$M$11),"x","")</f>
        <v/>
      </c>
      <c r="AE3672">
        <v>9</v>
      </c>
    </row>
    <row r="3673" spans="1:33" ht="16.5" customHeight="1">
      <c r="A3673" s="309" t="str">
        <f>IF(B3673&lt;&gt;"",IF(AND(B3673='IN-TC'!$S$4,OR(TH!N3673="1111",TH!O3673="1111")),TH!D3673,""),"")</f>
        <v/>
      </c>
      <c r="B3673" s="1131">
        <f t="shared" si="1300"/>
        <v>2</v>
      </c>
      <c r="C3673" s="292">
        <f t="shared" si="1299"/>
        <v>42789</v>
      </c>
      <c r="D3673" s="292" t="s">
        <v>1950</v>
      </c>
      <c r="E3673" s="292">
        <v>42789</v>
      </c>
      <c r="F3673" s="1010" t="s">
        <v>1881</v>
      </c>
      <c r="G3673" s="925"/>
      <c r="H3673" s="311" t="s">
        <v>1888</v>
      </c>
      <c r="I3673" s="373"/>
      <c r="J3673" s="926"/>
      <c r="K3673" s="373"/>
      <c r="L3673" s="379"/>
      <c r="M3673" s="927">
        <v>1473180000</v>
      </c>
      <c r="N3673" s="295" t="s">
        <v>8</v>
      </c>
      <c r="O3673" s="295" t="s">
        <v>63</v>
      </c>
      <c r="P3673" s="75" t="str">
        <f>IF(AND('331-CT'!$E$7=TH!H4214,OR(N3673="331",O3673="331")),"x","")</f>
        <v/>
      </c>
      <c r="Q3673" s="75" t="str">
        <f>IF(AND(B3673='111'!$L$11,OR($N3673=$Q$7,$O3673=$Q$7)),"x","")</f>
        <v/>
      </c>
      <c r="R3673" s="75" t="str">
        <f>IF(AND($N3673=$Q$7,$B3673&lt;'111'!$L$11),"x","")</f>
        <v/>
      </c>
      <c r="S3673" s="75" t="str">
        <f>IF(AND($O3673=$Q$7,$B3673&lt;'111'!$L$11),"x","")</f>
        <v>x</v>
      </c>
      <c r="T3673" s="75" t="str">
        <f>IF(ISERROR(FIND('112'!$M$9,G3673,1)),"",IF((AND(FIND('112'!$M$9,G3673,1)&gt;=1,B3673='112'!$K$9,OR($N3673='112'!$I$6,$O3673='112'!$I$6))),"x",""))</f>
        <v/>
      </c>
      <c r="U3673" s="75" t="str">
        <f>IF(ISERROR(FIND('112'!$M$9,G3673,1)),"",IF((AND(LEFT(G3673,2)=LEFT('112'!$M$9,2),B3673&lt;'112'!$K$9,$N3673='112'!$I$6)),"x",""))</f>
        <v/>
      </c>
      <c r="V3673" s="75" t="str">
        <f>IF(ISERROR(FIND('112'!$M$9,G3673,1)),"",IF((AND(RIGHT(G3673,2)=RIGHT('112'!$M$9,2),B3673&lt;'112'!$K$9,$O3673='112'!$I$6)),"x",""))</f>
        <v/>
      </c>
      <c r="W3673" s="75" t="str">
        <f>IF(AND('341-CT'!$H$9=H3673,OR(LEFT(N3673,3)=$W$7,LEFT(O3673,3)=$W$7)),"x","")</f>
        <v/>
      </c>
      <c r="X3673" s="75" t="str">
        <f>IF(OR(TH!N4214=TH!$X$7,O3673=TH!$X$7),"x","")</f>
        <v/>
      </c>
      <c r="Y3673" s="75" t="str">
        <f>IF(AND(OR(N3673="131",O3673="131"),H3673='131-CT'!$H$9),"x","")</f>
        <v/>
      </c>
      <c r="Z3673" s="75"/>
      <c r="AA3673" s="75" t="str">
        <f>IF(AND(MONTH(E3673)='IN-NX'!$J$5,'IN-NX'!$D$7=D3673),"x","")</f>
        <v/>
      </c>
      <c r="AB3673" s="75" t="str">
        <f>IF(AND(OR(LEFT(TH!N4214,2)="15",LEFT(TH!O4214,2)="15"),LEFT(TH!O4214,3)&lt;&gt;"111",'152-CT'!$J$8=TH!F4214),"x","")</f>
        <v/>
      </c>
      <c r="AC3673" s="75" t="str">
        <f>IF(AND(OR(LEFT(TH!N4214,2)="15",LEFT(TH!O4214,2)="15"),TK!$E$7=TH!F4214),"x","")</f>
        <v/>
      </c>
      <c r="AD3673" s="75" t="str">
        <f>IF(AND(N3673="1521",MONTH(C3673)='BK-NL'!$M$11),"x","")</f>
        <v/>
      </c>
    </row>
    <row r="3674" spans="1:33" ht="16.5" customHeight="1">
      <c r="A3674" s="309" t="str">
        <f>IF(B3674&lt;&gt;"",IF(AND(B3674='IN-TC'!$S$4,OR(TH!N3674="1111",TH!O3674="1111")),TH!D3674,""),"")</f>
        <v/>
      </c>
      <c r="B3674" s="1131">
        <f t="shared" si="1300"/>
        <v>2</v>
      </c>
      <c r="C3674" s="292">
        <f t="shared" si="1299"/>
        <v>42789</v>
      </c>
      <c r="D3674" s="292" t="s">
        <v>1950</v>
      </c>
      <c r="E3674" s="292">
        <v>42789</v>
      </c>
      <c r="F3674" s="1010" t="s">
        <v>1883</v>
      </c>
      <c r="G3674" s="925"/>
      <c r="H3674" s="311"/>
      <c r="I3674" s="373"/>
      <c r="J3674" s="926"/>
      <c r="K3674" s="373"/>
      <c r="L3674" s="379"/>
      <c r="M3674" s="927">
        <v>1000000</v>
      </c>
      <c r="N3674" s="295" t="s">
        <v>101</v>
      </c>
      <c r="O3674" s="295" t="s">
        <v>63</v>
      </c>
      <c r="P3674" s="75" t="str">
        <f>IF(AND('331-CT'!$E$7=TH!H4215,OR(N3674="331",O3674="331")),"x","")</f>
        <v/>
      </c>
      <c r="Q3674" s="75" t="str">
        <f>IF(AND(B3674='111'!$L$11,OR($N3674=$Q$7,$O3674=$Q$7)),"x","")</f>
        <v/>
      </c>
      <c r="R3674" s="75" t="str">
        <f>IF(AND($N3674=$Q$7,$B3674&lt;'111'!$L$11),"x","")</f>
        <v/>
      </c>
      <c r="S3674" s="75" t="str">
        <f>IF(AND($O3674=$Q$7,$B3674&lt;'111'!$L$11),"x","")</f>
        <v>x</v>
      </c>
      <c r="T3674" s="75" t="str">
        <f>IF(ISERROR(FIND('112'!$M$9,G3674,1)),"",IF((AND(FIND('112'!$M$9,G3674,1)&gt;=1,B3674='112'!$K$9,OR($N3674='112'!$I$6,$O3674='112'!$I$6))),"x",""))</f>
        <v/>
      </c>
      <c r="U3674" s="75" t="str">
        <f>IF(ISERROR(FIND('112'!$M$9,G3674,1)),"",IF((AND(LEFT(G3674,2)=LEFT('112'!$M$9,2),B3674&lt;'112'!$K$9,$N3674='112'!$I$6)),"x",""))</f>
        <v/>
      </c>
      <c r="V3674" s="75" t="str">
        <f>IF(ISERROR(FIND('112'!$M$9,G3674,1)),"",IF((AND(RIGHT(G3674,2)=RIGHT('112'!$M$9,2),B3674&lt;'112'!$K$9,$O3674='112'!$I$6)),"x",""))</f>
        <v/>
      </c>
      <c r="W3674" s="75" t="str">
        <f>IF(AND('341-CT'!$H$9=H3674,OR(LEFT(N3674,3)=$W$7,LEFT(O3674,3)=$W$7)),"x","")</f>
        <v/>
      </c>
      <c r="X3674" s="75" t="str">
        <f>IF(OR(TH!N4215=TH!$X$7,O3674=TH!$X$7),"x","")</f>
        <v/>
      </c>
      <c r="Y3674" s="75" t="str">
        <f>IF(AND(OR(N3674="131",O3674="131"),H3674='131-CT'!$H$9),"x","")</f>
        <v/>
      </c>
      <c r="Z3674" s="75"/>
      <c r="AA3674" s="75" t="str">
        <f>IF(AND(MONTH(E3674)='IN-NX'!$J$5,'IN-NX'!$D$7=D3674),"x","")</f>
        <v/>
      </c>
      <c r="AB3674" s="75" t="str">
        <f>IF(AND(OR(LEFT(TH!N4215,2)="15",LEFT(TH!O4215,2)="15"),LEFT(TH!O4215,3)&lt;&gt;"111",'152-CT'!$J$8=TH!F4215),"x","")</f>
        <v/>
      </c>
      <c r="AC3674" s="75" t="str">
        <f>IF(AND(OR(LEFT(TH!N4215,2)="15",LEFT(TH!O4215,2)="15"),TK!$E$7=TH!F4215),"x","")</f>
        <v/>
      </c>
      <c r="AD3674" s="75" t="str">
        <f>IF(AND(N3674="1521",MONTH(C3674)='BK-NL'!$M$11),"x","")</f>
        <v/>
      </c>
      <c r="AE3674">
        <v>9</v>
      </c>
    </row>
    <row r="3675" spans="1:33" ht="16.5" customHeight="1">
      <c r="A3675" s="309" t="str">
        <f>IF(B3675&lt;&gt;"",IF(AND(B3675='IN-TC'!$S$4,OR(TH!N3675="1111",TH!O3675="1111")),TH!D3675,""),"")</f>
        <v/>
      </c>
      <c r="B3675" s="1131">
        <f t="shared" si="1300"/>
        <v>2</v>
      </c>
      <c r="C3675" s="292">
        <f t="shared" si="1299"/>
        <v>42789</v>
      </c>
      <c r="D3675" s="292" t="s">
        <v>1950</v>
      </c>
      <c r="E3675" s="292">
        <v>42789</v>
      </c>
      <c r="F3675" s="1010" t="s">
        <v>1895</v>
      </c>
      <c r="G3675" s="925"/>
      <c r="H3675" s="311"/>
      <c r="I3675" s="373"/>
      <c r="J3675" s="926"/>
      <c r="K3675" s="373"/>
      <c r="L3675" s="379"/>
      <c r="M3675" s="927">
        <v>100000</v>
      </c>
      <c r="N3675" s="295" t="s">
        <v>9</v>
      </c>
      <c r="O3675" s="295" t="s">
        <v>63</v>
      </c>
      <c r="P3675" s="75" t="str">
        <f>IF(AND('331-CT'!$E$7=TH!H4216,OR(N3675="331",O3675="331")),"x","")</f>
        <v/>
      </c>
      <c r="Q3675" s="75" t="str">
        <f>IF(AND(B3675='111'!$L$11,OR($N3675=$Q$7,$O3675=$Q$7)),"x","")</f>
        <v/>
      </c>
      <c r="R3675" s="75" t="str">
        <f>IF(AND($N3675=$Q$7,$B3675&lt;'111'!$L$11),"x","")</f>
        <v/>
      </c>
      <c r="S3675" s="75" t="str">
        <f>IF(AND($O3675=$Q$7,$B3675&lt;'111'!$L$11),"x","")</f>
        <v>x</v>
      </c>
      <c r="T3675" s="75" t="str">
        <f>IF(ISERROR(FIND('112'!$M$9,G3675,1)),"",IF((AND(FIND('112'!$M$9,G3675,1)&gt;=1,B3675='112'!$K$9,OR($N3675='112'!$I$6,$O3675='112'!$I$6))),"x",""))</f>
        <v/>
      </c>
      <c r="U3675" s="75" t="str">
        <f>IF(ISERROR(FIND('112'!$M$9,G3675,1)),"",IF((AND(LEFT(G3675,2)=LEFT('112'!$M$9,2),B3675&lt;'112'!$K$9,$N3675='112'!$I$6)),"x",""))</f>
        <v/>
      </c>
      <c r="V3675" s="75" t="str">
        <f>IF(ISERROR(FIND('112'!$M$9,G3675,1)),"",IF((AND(RIGHT(G3675,2)=RIGHT('112'!$M$9,2),B3675&lt;'112'!$K$9,$O3675='112'!$I$6)),"x",""))</f>
        <v/>
      </c>
      <c r="W3675" s="75" t="str">
        <f>IF(AND('341-CT'!$H$9=H3675,OR(LEFT(N3675,3)=$W$7,LEFT(O3675,3)=$W$7)),"x","")</f>
        <v/>
      </c>
      <c r="X3675" s="75" t="str">
        <f>IF(OR(TH!N4216=TH!$X$7,O3675=TH!$X$7),"x","")</f>
        <v/>
      </c>
      <c r="Y3675" s="75" t="str">
        <f>IF(AND(OR(N3675="131",O3675="131"),H3675='131-CT'!$H$9),"x","")</f>
        <v/>
      </c>
      <c r="Z3675" s="75"/>
      <c r="AA3675" s="75" t="str">
        <f>IF(AND(MONTH(E3675)='IN-NX'!$J$5,'IN-NX'!$D$7=D3675),"x","")</f>
        <v/>
      </c>
      <c r="AB3675" s="75" t="str">
        <f>IF(AND(OR(LEFT(TH!N4216,2)="15",LEFT(TH!O4216,2)="15"),LEFT(TH!O4216,3)&lt;&gt;"111",'152-CT'!$J$8=TH!F4216),"x","")</f>
        <v/>
      </c>
      <c r="AC3675" s="75" t="str">
        <f>IF(AND(OR(LEFT(TH!N4216,2)="15",LEFT(TH!O4216,2)="15"),TK!$E$7=TH!F4216),"x","")</f>
        <v/>
      </c>
      <c r="AD3675" s="75" t="str">
        <f>IF(AND(N3675="1521",MONTH(C3675)='BK-NL'!$M$11),"x","")</f>
        <v/>
      </c>
      <c r="AE3675">
        <v>9</v>
      </c>
    </row>
    <row r="3676" spans="1:33" ht="16.5" customHeight="1">
      <c r="A3676" s="309" t="str">
        <f>IF(B3676&lt;&gt;"",IF(AND(B3676='IN-TC'!$S$4,OR(TH!N3676="1111",TH!O3676="1111")),TH!D3676,""),"")</f>
        <v/>
      </c>
      <c r="B3676" s="1131">
        <f t="shared" si="1300"/>
        <v>2</v>
      </c>
      <c r="C3676" s="292">
        <f t="shared" si="1299"/>
        <v>42789</v>
      </c>
      <c r="D3676" s="292" t="s">
        <v>1949</v>
      </c>
      <c r="E3676" s="292">
        <v>42789</v>
      </c>
      <c r="F3676" s="1010" t="s">
        <v>1881</v>
      </c>
      <c r="G3676" s="925"/>
      <c r="H3676" s="311" t="s">
        <v>1889</v>
      </c>
      <c r="I3676" s="373"/>
      <c r="J3676" s="926"/>
      <c r="K3676" s="373"/>
      <c r="L3676" s="379"/>
      <c r="M3676" s="927">
        <v>1238708500</v>
      </c>
      <c r="N3676" s="295" t="s">
        <v>8</v>
      </c>
      <c r="O3676" s="295" t="s">
        <v>63</v>
      </c>
      <c r="P3676" s="75" t="str">
        <f>IF(AND('331-CT'!$E$7=TH!H4217,OR(N3676="331",O3676="331")),"x","")</f>
        <v/>
      </c>
      <c r="Q3676" s="75" t="str">
        <f>IF(AND(B3676='111'!$L$11,OR($N3676=$Q$7,$O3676=$Q$7)),"x","")</f>
        <v/>
      </c>
      <c r="R3676" s="75" t="str">
        <f>IF(AND($N3676=$Q$7,$B3676&lt;'111'!$L$11),"x","")</f>
        <v/>
      </c>
      <c r="S3676" s="75" t="str">
        <f>IF(AND($O3676=$Q$7,$B3676&lt;'111'!$L$11),"x","")</f>
        <v>x</v>
      </c>
      <c r="T3676" s="75" t="str">
        <f>IF(ISERROR(FIND('112'!$M$9,G3676,1)),"",IF((AND(FIND('112'!$M$9,G3676,1)&gt;=1,B3676='112'!$K$9,OR($N3676='112'!$I$6,$O3676='112'!$I$6))),"x",""))</f>
        <v/>
      </c>
      <c r="U3676" s="75" t="str">
        <f>IF(ISERROR(FIND('112'!$M$9,G3676,1)),"",IF((AND(LEFT(G3676,2)=LEFT('112'!$M$9,2),B3676&lt;'112'!$K$9,$N3676='112'!$I$6)),"x",""))</f>
        <v/>
      </c>
      <c r="V3676" s="75" t="str">
        <f>IF(ISERROR(FIND('112'!$M$9,G3676,1)),"",IF((AND(RIGHT(G3676,2)=RIGHT('112'!$M$9,2),B3676&lt;'112'!$K$9,$O3676='112'!$I$6)),"x",""))</f>
        <v/>
      </c>
      <c r="W3676" s="75" t="str">
        <f>IF(AND('341-CT'!$H$9=H3676,OR(LEFT(N3676,3)=$W$7,LEFT(O3676,3)=$W$7)),"x","")</f>
        <v/>
      </c>
      <c r="X3676" s="75" t="str">
        <f>IF(OR(TH!N4217=TH!$X$7,O3676=TH!$X$7),"x","")</f>
        <v/>
      </c>
      <c r="Y3676" s="75" t="str">
        <f>IF(AND(OR(N3676="131",O3676="131"),H3676='131-CT'!$H$9),"x","")</f>
        <v/>
      </c>
      <c r="Z3676" s="75"/>
      <c r="AA3676" s="75" t="str">
        <f>IF(AND(MONTH(E3676)='IN-NX'!$J$5,'IN-NX'!$D$7=D3676),"x","")</f>
        <v/>
      </c>
      <c r="AB3676" s="75" t="str">
        <f>IF(AND(OR(LEFT(TH!N4217,2)="15",LEFT(TH!O4217,2)="15"),LEFT(TH!O4217,3)&lt;&gt;"111",'152-CT'!$J$8=TH!F4217),"x","")</f>
        <v/>
      </c>
      <c r="AC3676" s="75" t="str">
        <f>IF(AND(OR(LEFT(TH!N4217,2)="15",LEFT(TH!O4217,2)="15"),TK!$E$7=TH!F4217),"x","")</f>
        <v/>
      </c>
      <c r="AD3676" s="75" t="str">
        <f>IF(AND(N3676="1521",MONTH(C3676)='BK-NL'!$M$11),"x","")</f>
        <v/>
      </c>
    </row>
    <row r="3677" spans="1:33" ht="16.5" customHeight="1">
      <c r="A3677" s="309" t="str">
        <f>IF(B3677&lt;&gt;"",IF(AND(B3677='IN-TC'!$S$4,OR(TH!N3677="1111",TH!O3677="1111")),TH!D3677,""),"")</f>
        <v/>
      </c>
      <c r="B3677" s="1131">
        <f t="shared" si="1300"/>
        <v>2</v>
      </c>
      <c r="C3677" s="292">
        <f t="shared" si="1299"/>
        <v>42789</v>
      </c>
      <c r="D3677" s="292" t="s">
        <v>1949</v>
      </c>
      <c r="E3677" s="292">
        <v>42789</v>
      </c>
      <c r="F3677" s="1010" t="s">
        <v>1883</v>
      </c>
      <c r="G3677" s="925"/>
      <c r="H3677" s="311"/>
      <c r="I3677" s="373"/>
      <c r="J3677" s="926"/>
      <c r="K3677" s="373"/>
      <c r="L3677" s="379"/>
      <c r="M3677" s="927">
        <v>867000</v>
      </c>
      <c r="N3677" s="295" t="s">
        <v>101</v>
      </c>
      <c r="O3677" s="295" t="s">
        <v>63</v>
      </c>
      <c r="P3677" s="75" t="str">
        <f>IF(AND('331-CT'!$E$7=TH!H4218,OR(N3677="331",O3677="331")),"x","")</f>
        <v/>
      </c>
      <c r="Q3677" s="75" t="str">
        <f>IF(AND(B3677='111'!$L$11,OR($N3677=$Q$7,$O3677=$Q$7)),"x","")</f>
        <v/>
      </c>
      <c r="R3677" s="75" t="str">
        <f>IF(AND($N3677=$Q$7,$B3677&lt;'111'!$L$11),"x","")</f>
        <v/>
      </c>
      <c r="S3677" s="75" t="str">
        <f>IF(AND($O3677=$Q$7,$B3677&lt;'111'!$L$11),"x","")</f>
        <v>x</v>
      </c>
      <c r="T3677" s="75" t="str">
        <f>IF(ISERROR(FIND('112'!$M$9,G3677,1)),"",IF((AND(FIND('112'!$M$9,G3677,1)&gt;=1,B3677='112'!$K$9,OR($N3677='112'!$I$6,$O3677='112'!$I$6))),"x",""))</f>
        <v/>
      </c>
      <c r="U3677" s="75" t="str">
        <f>IF(ISERROR(FIND('112'!$M$9,G3677,1)),"",IF((AND(LEFT(G3677,2)=LEFT('112'!$M$9,2),B3677&lt;'112'!$K$9,$N3677='112'!$I$6)),"x",""))</f>
        <v/>
      </c>
      <c r="V3677" s="75" t="str">
        <f>IF(ISERROR(FIND('112'!$M$9,G3677,1)),"",IF((AND(RIGHT(G3677,2)=RIGHT('112'!$M$9,2),B3677&lt;'112'!$K$9,$O3677='112'!$I$6)),"x",""))</f>
        <v/>
      </c>
      <c r="W3677" s="75" t="str">
        <f>IF(AND('341-CT'!$H$9=H3677,OR(LEFT(N3677,3)=$W$7,LEFT(O3677,3)=$W$7)),"x","")</f>
        <v/>
      </c>
      <c r="X3677" s="75" t="str">
        <f>IF(OR(TH!N4218=TH!$X$7,O3677=TH!$X$7),"x","")</f>
        <v/>
      </c>
      <c r="Y3677" s="75" t="str">
        <f>IF(AND(OR(N3677="131",O3677="131"),H3677='131-CT'!$H$9),"x","")</f>
        <v/>
      </c>
      <c r="Z3677" s="75"/>
      <c r="AA3677" s="75" t="str">
        <f>IF(AND(MONTH(E3677)='IN-NX'!$J$5,'IN-NX'!$D$7=D3677),"x","")</f>
        <v/>
      </c>
      <c r="AB3677" s="75" t="str">
        <f>IF(AND(OR(LEFT(TH!N4218,2)="15",LEFT(TH!O4218,2)="15"),LEFT(TH!O4218,3)&lt;&gt;"111",'152-CT'!$J$8=TH!F4218),"x","")</f>
        <v/>
      </c>
      <c r="AC3677" s="75" t="str">
        <f>IF(AND(OR(LEFT(TH!N4218,2)="15",LEFT(TH!O4218,2)="15"),TK!$E$7=TH!F4218),"x","")</f>
        <v/>
      </c>
      <c r="AD3677" s="75" t="str">
        <f>IF(AND(N3677="1521",MONTH(C3677)='BK-NL'!$M$11),"x","")</f>
        <v/>
      </c>
      <c r="AE3677">
        <v>9</v>
      </c>
    </row>
    <row r="3678" spans="1:33" ht="16.5" customHeight="1">
      <c r="A3678" s="309" t="str">
        <f>IF(B3678&lt;&gt;"",IF(AND(B3678='IN-TC'!$S$4,OR(TH!N3678="1111",TH!O3678="1111")),TH!D3678,""),"")</f>
        <v/>
      </c>
      <c r="B3678" s="1131">
        <f t="shared" si="1300"/>
        <v>2</v>
      </c>
      <c r="C3678" s="292">
        <f t="shared" si="1299"/>
        <v>42789</v>
      </c>
      <c r="D3678" s="292" t="s">
        <v>1949</v>
      </c>
      <c r="E3678" s="292">
        <v>42789</v>
      </c>
      <c r="F3678" s="1010" t="s">
        <v>1895</v>
      </c>
      <c r="G3678" s="925"/>
      <c r="H3678" s="311"/>
      <c r="I3678" s="373"/>
      <c r="J3678" s="926"/>
      <c r="K3678" s="373"/>
      <c r="L3678" s="379"/>
      <c r="M3678" s="927">
        <v>86700</v>
      </c>
      <c r="N3678" s="295" t="s">
        <v>9</v>
      </c>
      <c r="O3678" s="295" t="s">
        <v>63</v>
      </c>
      <c r="P3678" s="75" t="str">
        <f>IF(AND('331-CT'!$E$7=TH!H4219,OR(N3678="331",O3678="331")),"x","")</f>
        <v/>
      </c>
      <c r="Q3678" s="75" t="str">
        <f>IF(AND(B3678='111'!$L$11,OR($N3678=$Q$7,$O3678=$Q$7)),"x","")</f>
        <v/>
      </c>
      <c r="R3678" s="75" t="str">
        <f>IF(AND($N3678=$Q$7,$B3678&lt;'111'!$L$11),"x","")</f>
        <v/>
      </c>
      <c r="S3678" s="75" t="str">
        <f>IF(AND($O3678=$Q$7,$B3678&lt;'111'!$L$11),"x","")</f>
        <v>x</v>
      </c>
      <c r="T3678" s="75" t="str">
        <f>IF(ISERROR(FIND('112'!$M$9,G3678,1)),"",IF((AND(FIND('112'!$M$9,G3678,1)&gt;=1,B3678='112'!$K$9,OR($N3678='112'!$I$6,$O3678='112'!$I$6))),"x",""))</f>
        <v/>
      </c>
      <c r="U3678" s="75" t="str">
        <f>IF(ISERROR(FIND('112'!$M$9,G3678,1)),"",IF((AND(LEFT(G3678,2)=LEFT('112'!$M$9,2),B3678&lt;'112'!$K$9,$N3678='112'!$I$6)),"x",""))</f>
        <v/>
      </c>
      <c r="V3678" s="75" t="str">
        <f>IF(ISERROR(FIND('112'!$M$9,G3678,1)),"",IF((AND(RIGHT(G3678,2)=RIGHT('112'!$M$9,2),B3678&lt;'112'!$K$9,$O3678='112'!$I$6)),"x",""))</f>
        <v/>
      </c>
      <c r="W3678" s="75" t="str">
        <f>IF(AND('341-CT'!$H$9=H3678,OR(LEFT(N3678,3)=$W$7,LEFT(O3678,3)=$W$7)),"x","")</f>
        <v/>
      </c>
      <c r="X3678" s="75" t="str">
        <f>IF(OR(TH!N4219=TH!$X$7,O3678=TH!$X$7),"x","")</f>
        <v/>
      </c>
      <c r="Y3678" s="75" t="str">
        <f>IF(AND(OR(N3678="131",O3678="131"),H3678='131-CT'!$H$9),"x","")</f>
        <v/>
      </c>
      <c r="Z3678" s="75"/>
      <c r="AA3678" s="75" t="str">
        <f>IF(AND(MONTH(E3678)='IN-NX'!$J$5,'IN-NX'!$D$7=D3678),"x","")</f>
        <v/>
      </c>
      <c r="AB3678" s="75" t="str">
        <f>IF(AND(OR(LEFT(TH!N4219,2)="15",LEFT(TH!O4219,2)="15"),LEFT(TH!O4219,3)&lt;&gt;"111",'152-CT'!$J$8=TH!F4219),"x","")</f>
        <v/>
      </c>
      <c r="AC3678" s="75" t="str">
        <f>IF(AND(OR(LEFT(TH!N4219,2)="15",LEFT(TH!O4219,2)="15"),TK!$E$7=TH!F4219),"x","")</f>
        <v/>
      </c>
      <c r="AD3678" s="75" t="str">
        <f>IF(AND(N3678="1521",MONTH(C3678)='BK-NL'!$M$11),"x","")</f>
        <v/>
      </c>
      <c r="AE3678">
        <v>9</v>
      </c>
    </row>
    <row r="3679" spans="1:33" ht="16.5" customHeight="1">
      <c r="A3679" s="309" t="str">
        <f>IF(B3679&lt;&gt;"",IF(AND(B3679='IN-TC'!$S$4,OR(TH!N3679="1111",TH!O3679="1111")),TH!D3679,""),"")</f>
        <v/>
      </c>
      <c r="B3679" s="1131">
        <f t="shared" si="1300"/>
        <v>2</v>
      </c>
      <c r="C3679" s="292">
        <f t="shared" si="1299"/>
        <v>42789</v>
      </c>
      <c r="D3679" s="292" t="s">
        <v>1951</v>
      </c>
      <c r="E3679" s="292">
        <v>42789</v>
      </c>
      <c r="F3679" s="1010" t="s">
        <v>1881</v>
      </c>
      <c r="G3679" s="925"/>
      <c r="H3679" s="311" t="s">
        <v>1893</v>
      </c>
      <c r="I3679" s="373"/>
      <c r="J3679" s="926"/>
      <c r="K3679" s="373"/>
      <c r="L3679" s="379"/>
      <c r="M3679" s="927">
        <v>1552320000</v>
      </c>
      <c r="N3679" s="295" t="s">
        <v>8</v>
      </c>
      <c r="O3679" s="295" t="s">
        <v>63</v>
      </c>
      <c r="P3679" s="75" t="str">
        <f>IF(AND('331-CT'!$E$7=TH!H4220,OR(N3679="331",O3679="331")),"x","")</f>
        <v/>
      </c>
      <c r="Q3679" s="75" t="str">
        <f>IF(AND(B3679='111'!$L$11,OR($N3679=$Q$7,$O3679=$Q$7)),"x","")</f>
        <v/>
      </c>
      <c r="R3679" s="75" t="str">
        <f>IF(AND($N3679=$Q$7,$B3679&lt;'111'!$L$11),"x","")</f>
        <v/>
      </c>
      <c r="S3679" s="75" t="str">
        <f>IF(AND($O3679=$Q$7,$B3679&lt;'111'!$L$11),"x","")</f>
        <v>x</v>
      </c>
      <c r="T3679" s="75" t="str">
        <f>IF(ISERROR(FIND('112'!$M$9,G3679,1)),"",IF((AND(FIND('112'!$M$9,G3679,1)&gt;=1,B3679='112'!$K$9,OR($N3679='112'!$I$6,$O3679='112'!$I$6))),"x",""))</f>
        <v/>
      </c>
      <c r="U3679" s="75" t="str">
        <f>IF(ISERROR(FIND('112'!$M$9,G3679,1)),"",IF((AND(LEFT(G3679,2)=LEFT('112'!$M$9,2),B3679&lt;'112'!$K$9,$N3679='112'!$I$6)),"x",""))</f>
        <v/>
      </c>
      <c r="V3679" s="75" t="str">
        <f>IF(ISERROR(FIND('112'!$M$9,G3679,1)),"",IF((AND(RIGHT(G3679,2)=RIGHT('112'!$M$9,2),B3679&lt;'112'!$K$9,$O3679='112'!$I$6)),"x",""))</f>
        <v/>
      </c>
      <c r="W3679" s="75" t="str">
        <f>IF(AND('341-CT'!$H$9=H3679,OR(LEFT(N3679,3)=$W$7,LEFT(O3679,3)=$W$7)),"x","")</f>
        <v/>
      </c>
      <c r="X3679" s="75" t="str">
        <f>IF(OR(TH!N4220=TH!$X$7,O3679=TH!$X$7),"x","")</f>
        <v/>
      </c>
      <c r="Y3679" s="75" t="str">
        <f>IF(AND(OR(N3679="131",O3679="131"),H3679='131-CT'!$H$9),"x","")</f>
        <v/>
      </c>
      <c r="Z3679" s="75"/>
      <c r="AA3679" s="75" t="str">
        <f>IF(AND(MONTH(E3679)='IN-NX'!$J$5,'IN-NX'!$D$7=D3679),"x","")</f>
        <v/>
      </c>
      <c r="AB3679" s="75" t="str">
        <f>IF(AND(OR(LEFT(TH!N4220,2)="15",LEFT(TH!O4220,2)="15"),LEFT(TH!O4220,3)&lt;&gt;"111",'152-CT'!$J$8=TH!F4220),"x","")</f>
        <v/>
      </c>
      <c r="AC3679" s="75" t="str">
        <f>IF(AND(OR(LEFT(TH!N4220,2)="15",LEFT(TH!O4220,2)="15"),TK!$E$7=TH!F4220),"x","")</f>
        <v/>
      </c>
      <c r="AD3679" s="75" t="str">
        <f>IF(AND(N3679="1521",MONTH(C3679)='BK-NL'!$M$11),"x","")</f>
        <v/>
      </c>
    </row>
    <row r="3680" spans="1:33" ht="16.5" customHeight="1">
      <c r="A3680" s="309" t="str">
        <f>IF(B3680&lt;&gt;"",IF(AND(B3680='IN-TC'!$S$4,OR(TH!N3680="1111",TH!O3680="1111")),TH!D3680,""),"")</f>
        <v/>
      </c>
      <c r="B3680" s="1131">
        <f t="shared" si="1300"/>
        <v>2</v>
      </c>
      <c r="C3680" s="292">
        <f t="shared" si="1299"/>
        <v>42789</v>
      </c>
      <c r="D3680" s="292" t="s">
        <v>1951</v>
      </c>
      <c r="E3680" s="292">
        <v>42789</v>
      </c>
      <c r="F3680" s="1010" t="s">
        <v>1883</v>
      </c>
      <c r="G3680" s="925"/>
      <c r="H3680" s="311"/>
      <c r="I3680" s="373"/>
      <c r="J3680" s="926"/>
      <c r="K3680" s="373"/>
      <c r="L3680" s="379"/>
      <c r="M3680" s="927">
        <v>1000000</v>
      </c>
      <c r="N3680" s="295" t="s">
        <v>101</v>
      </c>
      <c r="O3680" s="295" t="s">
        <v>63</v>
      </c>
      <c r="P3680" s="75" t="str">
        <f>IF(AND('331-CT'!$E$7=TH!H4221,OR(N3680="331",O3680="331")),"x","")</f>
        <v/>
      </c>
      <c r="Q3680" s="75" t="str">
        <f>IF(AND(B3680='111'!$L$11,OR($N3680=$Q$7,$O3680=$Q$7)),"x","")</f>
        <v/>
      </c>
      <c r="R3680" s="75" t="str">
        <f>IF(AND($N3680=$Q$7,$B3680&lt;'111'!$L$11),"x","")</f>
        <v/>
      </c>
      <c r="S3680" s="75" t="str">
        <f>IF(AND($O3680=$Q$7,$B3680&lt;'111'!$L$11),"x","")</f>
        <v>x</v>
      </c>
      <c r="T3680" s="75" t="str">
        <f>IF(ISERROR(FIND('112'!$M$9,G3680,1)),"",IF((AND(FIND('112'!$M$9,G3680,1)&gt;=1,B3680='112'!$K$9,OR($N3680='112'!$I$6,$O3680='112'!$I$6))),"x",""))</f>
        <v/>
      </c>
      <c r="U3680" s="75" t="str">
        <f>IF(ISERROR(FIND('112'!$M$9,G3680,1)),"",IF((AND(LEFT(G3680,2)=LEFT('112'!$M$9,2),B3680&lt;'112'!$K$9,$N3680='112'!$I$6)),"x",""))</f>
        <v/>
      </c>
      <c r="V3680" s="75" t="str">
        <f>IF(ISERROR(FIND('112'!$M$9,G3680,1)),"",IF((AND(RIGHT(G3680,2)=RIGHT('112'!$M$9,2),B3680&lt;'112'!$K$9,$O3680='112'!$I$6)),"x",""))</f>
        <v/>
      </c>
      <c r="W3680" s="75" t="str">
        <f>IF(AND('341-CT'!$H$9=H3680,OR(LEFT(N3680,3)=$W$7,LEFT(O3680,3)=$W$7)),"x","")</f>
        <v/>
      </c>
      <c r="X3680" s="75" t="str">
        <f>IF(OR(TH!N4221=TH!$X$7,O3680=TH!$X$7),"x","")</f>
        <v/>
      </c>
      <c r="Y3680" s="75" t="str">
        <f>IF(AND(OR(N3680="131",O3680="131"),H3680='131-CT'!$H$9),"x","")</f>
        <v/>
      </c>
      <c r="Z3680" s="75"/>
      <c r="AA3680" s="75" t="str">
        <f>IF(AND(MONTH(E3680)='IN-NX'!$J$5,'IN-NX'!$D$7=D3680),"x","")</f>
        <v/>
      </c>
      <c r="AB3680" s="75" t="str">
        <f>IF(AND(OR(LEFT(TH!N4221,2)="15",LEFT(TH!O4221,2)="15"),LEFT(TH!O4221,3)&lt;&gt;"111",'152-CT'!$J$8=TH!F4221),"x","")</f>
        <v/>
      </c>
      <c r="AC3680" s="75" t="str">
        <f>IF(AND(OR(LEFT(TH!N4221,2)="15",LEFT(TH!O4221,2)="15"),TK!$E$7=TH!F4221),"x","")</f>
        <v/>
      </c>
      <c r="AD3680" s="75" t="str">
        <f>IF(AND(N3680="1521",MONTH(C3680)='BK-NL'!$M$11),"x","")</f>
        <v/>
      </c>
      <c r="AE3680">
        <v>9</v>
      </c>
    </row>
    <row r="3681" spans="1:31" ht="16.5" customHeight="1">
      <c r="A3681" s="309" t="str">
        <f>IF(B3681&lt;&gt;"",IF(AND(B3681='IN-TC'!$S$4,OR(TH!N3681="1111",TH!O3681="1111")),TH!D3681,""),"")</f>
        <v/>
      </c>
      <c r="B3681" s="1131">
        <f t="shared" si="1300"/>
        <v>2</v>
      </c>
      <c r="C3681" s="292">
        <f t="shared" si="1299"/>
        <v>42789</v>
      </c>
      <c r="D3681" s="292" t="s">
        <v>1951</v>
      </c>
      <c r="E3681" s="292">
        <v>42789</v>
      </c>
      <c r="F3681" s="1010" t="s">
        <v>1895</v>
      </c>
      <c r="G3681" s="925"/>
      <c r="H3681" s="311"/>
      <c r="I3681" s="373"/>
      <c r="J3681" s="926"/>
      <c r="K3681" s="373"/>
      <c r="L3681" s="379"/>
      <c r="M3681" s="927">
        <v>100000</v>
      </c>
      <c r="N3681" s="295" t="s">
        <v>9</v>
      </c>
      <c r="O3681" s="295" t="s">
        <v>63</v>
      </c>
      <c r="P3681" s="75" t="str">
        <f>IF(AND('331-CT'!$E$7=TH!H4222,OR(N3681="331",O3681="331")),"x","")</f>
        <v/>
      </c>
      <c r="Q3681" s="75" t="str">
        <f>IF(AND(B3681='111'!$L$11,OR($N3681=$Q$7,$O3681=$Q$7)),"x","")</f>
        <v/>
      </c>
      <c r="R3681" s="75" t="str">
        <f>IF(AND($N3681=$Q$7,$B3681&lt;'111'!$L$11),"x","")</f>
        <v/>
      </c>
      <c r="S3681" s="75" t="str">
        <f>IF(AND($O3681=$Q$7,$B3681&lt;'111'!$L$11),"x","")</f>
        <v>x</v>
      </c>
      <c r="T3681" s="75" t="str">
        <f>IF(ISERROR(FIND('112'!$M$9,G3681,1)),"",IF((AND(FIND('112'!$M$9,G3681,1)&gt;=1,B3681='112'!$K$9,OR($N3681='112'!$I$6,$O3681='112'!$I$6))),"x",""))</f>
        <v/>
      </c>
      <c r="U3681" s="75" t="str">
        <f>IF(ISERROR(FIND('112'!$M$9,G3681,1)),"",IF((AND(LEFT(G3681,2)=LEFT('112'!$M$9,2),B3681&lt;'112'!$K$9,$N3681='112'!$I$6)),"x",""))</f>
        <v/>
      </c>
      <c r="V3681" s="75" t="str">
        <f>IF(ISERROR(FIND('112'!$M$9,G3681,1)),"",IF((AND(RIGHT(G3681,2)=RIGHT('112'!$M$9,2),B3681&lt;'112'!$K$9,$O3681='112'!$I$6)),"x",""))</f>
        <v/>
      </c>
      <c r="W3681" s="75" t="str">
        <f>IF(AND('341-CT'!$H$9=H3681,OR(LEFT(N3681,3)=$W$7,LEFT(O3681,3)=$W$7)),"x","")</f>
        <v/>
      </c>
      <c r="X3681" s="75" t="str">
        <f>IF(OR(TH!N4222=TH!$X$7,O3681=TH!$X$7),"x","")</f>
        <v/>
      </c>
      <c r="Y3681" s="75" t="str">
        <f>IF(AND(OR(N3681="131",O3681="131"),H3681='131-CT'!$H$9),"x","")</f>
        <v/>
      </c>
      <c r="Z3681" s="75"/>
      <c r="AA3681" s="75" t="str">
        <f>IF(AND(MONTH(E3681)='IN-NX'!$J$5,'IN-NX'!$D$7=D3681),"x","")</f>
        <v/>
      </c>
      <c r="AB3681" s="75" t="str">
        <f>IF(AND(OR(LEFT(TH!N4222,2)="15",LEFT(TH!O4222,2)="15"),LEFT(TH!O4222,3)&lt;&gt;"111",'152-CT'!$J$8=TH!F4222),"x","")</f>
        <v/>
      </c>
      <c r="AC3681" s="75" t="str">
        <f>IF(AND(OR(LEFT(TH!N4222,2)="15",LEFT(TH!O4222,2)="15"),TK!$E$7=TH!F4222),"x","")</f>
        <v/>
      </c>
      <c r="AD3681" s="75" t="str">
        <f>IF(AND(N3681="1521",MONTH(C3681)='BK-NL'!$M$11),"x","")</f>
        <v/>
      </c>
      <c r="AE3681">
        <v>9</v>
      </c>
    </row>
    <row r="3682" spans="1:31" ht="16.5" customHeight="1">
      <c r="A3682" s="309" t="str">
        <f>IF(B3682&lt;&gt;"",IF(AND(B3682='IN-TC'!$S$4,OR(TH!N3682="1111",TH!O3682="1111")),TH!D3682,""),"")</f>
        <v/>
      </c>
      <c r="B3682" s="1131">
        <f t="shared" si="1300"/>
        <v>2</v>
      </c>
      <c r="C3682" s="292">
        <f t="shared" si="1299"/>
        <v>42789</v>
      </c>
      <c r="D3682" s="292" t="s">
        <v>1952</v>
      </c>
      <c r="E3682" s="292">
        <v>42789</v>
      </c>
      <c r="F3682" s="1010" t="s">
        <v>1881</v>
      </c>
      <c r="G3682" s="925"/>
      <c r="H3682" s="311" t="s">
        <v>1891</v>
      </c>
      <c r="I3682" s="373"/>
      <c r="J3682" s="926"/>
      <c r="K3682" s="373"/>
      <c r="L3682" s="379"/>
      <c r="M3682" s="927">
        <v>1329812000</v>
      </c>
      <c r="N3682" s="295" t="s">
        <v>8</v>
      </c>
      <c r="O3682" s="295" t="s">
        <v>63</v>
      </c>
      <c r="P3682" s="75" t="str">
        <f>IF(AND('331-CT'!$E$7=TH!H4223,OR(N3682="331",O3682="331")),"x","")</f>
        <v/>
      </c>
      <c r="Q3682" s="75" t="str">
        <f>IF(AND(B3682='111'!$L$11,OR($N3682=$Q$7,$O3682=$Q$7)),"x","")</f>
        <v/>
      </c>
      <c r="R3682" s="75" t="str">
        <f>IF(AND($N3682=$Q$7,$B3682&lt;'111'!$L$11),"x","")</f>
        <v/>
      </c>
      <c r="S3682" s="75" t="str">
        <f>IF(AND($O3682=$Q$7,$B3682&lt;'111'!$L$11),"x","")</f>
        <v>x</v>
      </c>
      <c r="T3682" s="75" t="str">
        <f>IF(ISERROR(FIND('112'!$M$9,G3682,1)),"",IF((AND(FIND('112'!$M$9,G3682,1)&gt;=1,B3682='112'!$K$9,OR($N3682='112'!$I$6,$O3682='112'!$I$6))),"x",""))</f>
        <v/>
      </c>
      <c r="U3682" s="75" t="str">
        <f>IF(ISERROR(FIND('112'!$M$9,G3682,1)),"",IF((AND(LEFT(G3682,2)=LEFT('112'!$M$9,2),B3682&lt;'112'!$K$9,$N3682='112'!$I$6)),"x",""))</f>
        <v/>
      </c>
      <c r="V3682" s="75" t="str">
        <f>IF(ISERROR(FIND('112'!$M$9,G3682,1)),"",IF((AND(RIGHT(G3682,2)=RIGHT('112'!$M$9,2),B3682&lt;'112'!$K$9,$O3682='112'!$I$6)),"x",""))</f>
        <v/>
      </c>
      <c r="W3682" s="75" t="str">
        <f>IF(AND('341-CT'!$H$9=H3682,OR(LEFT(N3682,3)=$W$7,LEFT(O3682,3)=$W$7)),"x","")</f>
        <v/>
      </c>
      <c r="X3682" s="75" t="str">
        <f>IF(OR(TH!N4223=TH!$X$7,O3682=TH!$X$7),"x","")</f>
        <v/>
      </c>
      <c r="Y3682" s="75" t="str">
        <f>IF(AND(OR(N3682="131",O3682="131"),H3682='131-CT'!$H$9),"x","")</f>
        <v/>
      </c>
      <c r="Z3682" s="75"/>
      <c r="AA3682" s="75" t="str">
        <f>IF(AND(MONTH(E3682)='IN-NX'!$J$5,'IN-NX'!$D$7=D3682),"x","")</f>
        <v/>
      </c>
      <c r="AB3682" s="75" t="str">
        <f>IF(AND(OR(LEFT(TH!N4223,2)="15",LEFT(TH!O4223,2)="15"),LEFT(TH!O4223,3)&lt;&gt;"111",'152-CT'!$J$8=TH!F4223),"x","")</f>
        <v/>
      </c>
      <c r="AC3682" s="75" t="str">
        <f>IF(AND(OR(LEFT(TH!N4223,2)="15",LEFT(TH!O4223,2)="15"),TK!$E$7=TH!F4223),"x","")</f>
        <v/>
      </c>
      <c r="AD3682" s="75" t="str">
        <f>IF(AND(N3682="1521",MONTH(C3682)='BK-NL'!$M$11),"x","")</f>
        <v/>
      </c>
    </row>
    <row r="3683" spans="1:31" ht="16.5" customHeight="1">
      <c r="A3683" s="309" t="str">
        <f>IF(B3683&lt;&gt;"",IF(AND(B3683='IN-TC'!$S$4,OR(TH!N3683="1111",TH!O3683="1111")),TH!D3683,""),"")</f>
        <v/>
      </c>
      <c r="B3683" s="1131">
        <f t="shared" si="1300"/>
        <v>2</v>
      </c>
      <c r="C3683" s="292">
        <f t="shared" si="1299"/>
        <v>42789</v>
      </c>
      <c r="D3683" s="292" t="s">
        <v>1952</v>
      </c>
      <c r="E3683" s="292">
        <v>42789</v>
      </c>
      <c r="F3683" s="1010" t="s">
        <v>1883</v>
      </c>
      <c r="G3683" s="925"/>
      <c r="H3683" s="311"/>
      <c r="I3683" s="373"/>
      <c r="J3683" s="926"/>
      <c r="K3683" s="373"/>
      <c r="L3683" s="379"/>
      <c r="M3683" s="927">
        <v>930900</v>
      </c>
      <c r="N3683" s="295" t="s">
        <v>101</v>
      </c>
      <c r="O3683" s="295" t="s">
        <v>63</v>
      </c>
      <c r="P3683" s="75" t="str">
        <f>IF(AND('331-CT'!$E$7=TH!H4224,OR(N3683="331",O3683="331")),"x","")</f>
        <v/>
      </c>
      <c r="Q3683" s="75" t="str">
        <f>IF(AND(B3683='111'!$L$11,OR($N3683=$Q$7,$O3683=$Q$7)),"x","")</f>
        <v/>
      </c>
      <c r="R3683" s="75" t="str">
        <f>IF(AND($N3683=$Q$7,$B3683&lt;'111'!$L$11),"x","")</f>
        <v/>
      </c>
      <c r="S3683" s="75" t="str">
        <f>IF(AND($O3683=$Q$7,$B3683&lt;'111'!$L$11),"x","")</f>
        <v>x</v>
      </c>
      <c r="T3683" s="75" t="str">
        <f>IF(ISERROR(FIND('112'!$M$9,G3683,1)),"",IF((AND(FIND('112'!$M$9,G3683,1)&gt;=1,B3683='112'!$K$9,OR($N3683='112'!$I$6,$O3683='112'!$I$6))),"x",""))</f>
        <v/>
      </c>
      <c r="U3683" s="75" t="str">
        <f>IF(ISERROR(FIND('112'!$M$9,G3683,1)),"",IF((AND(LEFT(G3683,2)=LEFT('112'!$M$9,2),B3683&lt;'112'!$K$9,$N3683='112'!$I$6)),"x",""))</f>
        <v/>
      </c>
      <c r="V3683" s="75" t="str">
        <f>IF(ISERROR(FIND('112'!$M$9,G3683,1)),"",IF((AND(RIGHT(G3683,2)=RIGHT('112'!$M$9,2),B3683&lt;'112'!$K$9,$O3683='112'!$I$6)),"x",""))</f>
        <v/>
      </c>
      <c r="W3683" s="75" t="str">
        <f>IF(AND('341-CT'!$H$9=H3683,OR(LEFT(N3683,3)=$W$7,LEFT(O3683,3)=$W$7)),"x","")</f>
        <v/>
      </c>
      <c r="X3683" s="75" t="str">
        <f>IF(OR(TH!N4224=TH!$X$7,O3683=TH!$X$7),"x","")</f>
        <v/>
      </c>
      <c r="Y3683" s="75" t="str">
        <f>IF(AND(OR(N3683="131",O3683="131"),H3683='131-CT'!$H$9),"x","")</f>
        <v/>
      </c>
      <c r="Z3683" s="75"/>
      <c r="AA3683" s="75" t="str">
        <f>IF(AND(MONTH(E3683)='IN-NX'!$J$5,'IN-NX'!$D$7=D3683),"x","")</f>
        <v/>
      </c>
      <c r="AB3683" s="75" t="str">
        <f>IF(AND(OR(LEFT(TH!N4224,2)="15",LEFT(TH!O4224,2)="15"),LEFT(TH!O4224,3)&lt;&gt;"111",'152-CT'!$J$8=TH!F4224),"x","")</f>
        <v/>
      </c>
      <c r="AC3683" s="75" t="str">
        <f>IF(AND(OR(LEFT(TH!N4224,2)="15",LEFT(TH!O4224,2)="15"),TK!$E$7=TH!F4224),"x","")</f>
        <v/>
      </c>
      <c r="AD3683" s="75" t="str">
        <f>IF(AND(N3683="1521",MONTH(C3683)='BK-NL'!$M$11),"x","")</f>
        <v/>
      </c>
      <c r="AE3683">
        <v>9</v>
      </c>
    </row>
    <row r="3684" spans="1:31" ht="16.5" customHeight="1">
      <c r="A3684" s="309" t="str">
        <f>IF(B3684&lt;&gt;"",IF(AND(B3684='IN-TC'!$S$4,OR(TH!N3684="1111",TH!O3684="1111")),TH!D3684,""),"")</f>
        <v/>
      </c>
      <c r="B3684" s="1131">
        <f t="shared" si="1300"/>
        <v>2</v>
      </c>
      <c r="C3684" s="292">
        <f t="shared" si="1299"/>
        <v>42789</v>
      </c>
      <c r="D3684" s="292" t="s">
        <v>1952</v>
      </c>
      <c r="E3684" s="292">
        <v>42789</v>
      </c>
      <c r="F3684" s="1010" t="s">
        <v>1895</v>
      </c>
      <c r="G3684" s="925"/>
      <c r="H3684" s="311"/>
      <c r="I3684" s="373"/>
      <c r="J3684" s="926"/>
      <c r="K3684" s="373"/>
      <c r="L3684" s="379"/>
      <c r="M3684" s="927">
        <v>93090</v>
      </c>
      <c r="N3684" s="295" t="s">
        <v>9</v>
      </c>
      <c r="O3684" s="295" t="s">
        <v>63</v>
      </c>
      <c r="P3684" s="75" t="str">
        <f>IF(AND('331-CT'!$E$7=TH!H4225,OR(N3684="331",O3684="331")),"x","")</f>
        <v/>
      </c>
      <c r="Q3684" s="75" t="str">
        <f>IF(AND(B3684='111'!$L$11,OR($N3684=$Q$7,$O3684=$Q$7)),"x","")</f>
        <v/>
      </c>
      <c r="R3684" s="75" t="str">
        <f>IF(AND($N3684=$Q$7,$B3684&lt;'111'!$L$11),"x","")</f>
        <v/>
      </c>
      <c r="S3684" s="75" t="str">
        <f>IF(AND($O3684=$Q$7,$B3684&lt;'111'!$L$11),"x","")</f>
        <v>x</v>
      </c>
      <c r="T3684" s="75" t="str">
        <f>IF(ISERROR(FIND('112'!$M$9,G3684,1)),"",IF((AND(FIND('112'!$M$9,G3684,1)&gt;=1,B3684='112'!$K$9,OR($N3684='112'!$I$6,$O3684='112'!$I$6))),"x",""))</f>
        <v/>
      </c>
      <c r="U3684" s="75" t="str">
        <f>IF(ISERROR(FIND('112'!$M$9,G3684,1)),"",IF((AND(LEFT(G3684,2)=LEFT('112'!$M$9,2),B3684&lt;'112'!$K$9,$N3684='112'!$I$6)),"x",""))</f>
        <v/>
      </c>
      <c r="V3684" s="75" t="str">
        <f>IF(ISERROR(FIND('112'!$M$9,G3684,1)),"",IF((AND(RIGHT(G3684,2)=RIGHT('112'!$M$9,2),B3684&lt;'112'!$K$9,$O3684='112'!$I$6)),"x",""))</f>
        <v/>
      </c>
      <c r="W3684" s="75" t="str">
        <f>IF(AND('341-CT'!$H$9=H3684,OR(LEFT(N3684,3)=$W$7,LEFT(O3684,3)=$W$7)),"x","")</f>
        <v/>
      </c>
      <c r="X3684" s="75" t="str">
        <f>IF(OR(TH!N4225=TH!$X$7,O3684=TH!$X$7),"x","")</f>
        <v/>
      </c>
      <c r="Y3684" s="75" t="str">
        <f>IF(AND(OR(N3684="131",O3684="131"),H3684='131-CT'!$H$9),"x","")</f>
        <v/>
      </c>
      <c r="Z3684" s="75"/>
      <c r="AA3684" s="75" t="str">
        <f>IF(AND(MONTH(E3684)='IN-NX'!$J$5,'IN-NX'!$D$7=D3684),"x","")</f>
        <v/>
      </c>
      <c r="AB3684" s="75" t="str">
        <f>IF(AND(OR(LEFT(TH!N4225,2)="15",LEFT(TH!O4225,2)="15"),LEFT(TH!O4225,3)&lt;&gt;"111",'152-CT'!$J$8=TH!F4225),"x","")</f>
        <v/>
      </c>
      <c r="AC3684" s="75" t="str">
        <f>IF(AND(OR(LEFT(TH!N4225,2)="15",LEFT(TH!O4225,2)="15"),TK!$E$7=TH!F4225),"x","")</f>
        <v/>
      </c>
      <c r="AD3684" s="75" t="str">
        <f>IF(AND(N3684="1521",MONTH(C3684)='BK-NL'!$M$11),"x","")</f>
        <v/>
      </c>
      <c r="AE3684">
        <v>9</v>
      </c>
    </row>
    <row r="3685" spans="1:31" ht="16.5" customHeight="1">
      <c r="A3685" s="309" t="str">
        <f>IF(B3685&lt;&gt;"",IF(AND(B3685='IN-TC'!$S$4,OR(TH!N3685="1111",TH!O3685="1111")),TH!D3685,""),"")</f>
        <v/>
      </c>
      <c r="B3685" s="1131">
        <f t="shared" si="1300"/>
        <v>2</v>
      </c>
      <c r="C3685" s="292">
        <f t="shared" si="1299"/>
        <v>42789</v>
      </c>
      <c r="D3685" s="292" t="s">
        <v>1953</v>
      </c>
      <c r="E3685" s="292">
        <v>42789</v>
      </c>
      <c r="F3685" s="1010" t="s">
        <v>1881</v>
      </c>
      <c r="G3685" s="925"/>
      <c r="H3685" s="311" t="s">
        <v>1882</v>
      </c>
      <c r="I3685" s="373"/>
      <c r="J3685" s="926"/>
      <c r="K3685" s="373"/>
      <c r="L3685" s="379"/>
      <c r="M3685" s="927">
        <v>2251300000</v>
      </c>
      <c r="N3685" s="295" t="s">
        <v>8</v>
      </c>
      <c r="O3685" s="295" t="s">
        <v>63</v>
      </c>
      <c r="P3685" s="75" t="str">
        <f>IF(AND('331-CT'!$E$7=TH!H4226,OR(N3685="331",O3685="331")),"x","")</f>
        <v/>
      </c>
      <c r="Q3685" s="75" t="str">
        <f>IF(AND(B3685='111'!$L$11,OR($N3685=$Q$7,$O3685=$Q$7)),"x","")</f>
        <v/>
      </c>
      <c r="R3685" s="75" t="str">
        <f>IF(AND($N3685=$Q$7,$B3685&lt;'111'!$L$11),"x","")</f>
        <v/>
      </c>
      <c r="S3685" s="75" t="str">
        <f>IF(AND($O3685=$Q$7,$B3685&lt;'111'!$L$11),"x","")</f>
        <v>x</v>
      </c>
      <c r="T3685" s="75" t="str">
        <f>IF(ISERROR(FIND('112'!$M$9,G3685,1)),"",IF((AND(FIND('112'!$M$9,G3685,1)&gt;=1,B3685='112'!$K$9,OR($N3685='112'!$I$6,$O3685='112'!$I$6))),"x",""))</f>
        <v/>
      </c>
      <c r="U3685" s="75" t="str">
        <f>IF(ISERROR(FIND('112'!$M$9,G3685,1)),"",IF((AND(LEFT(G3685,2)=LEFT('112'!$M$9,2),B3685&lt;'112'!$K$9,$N3685='112'!$I$6)),"x",""))</f>
        <v/>
      </c>
      <c r="V3685" s="75" t="str">
        <f>IF(ISERROR(FIND('112'!$M$9,G3685,1)),"",IF((AND(RIGHT(G3685,2)=RIGHT('112'!$M$9,2),B3685&lt;'112'!$K$9,$O3685='112'!$I$6)),"x",""))</f>
        <v/>
      </c>
      <c r="W3685" s="75" t="str">
        <f>IF(AND('341-CT'!$H$9=H3685,OR(LEFT(N3685,3)=$W$7,LEFT(O3685,3)=$W$7)),"x","")</f>
        <v/>
      </c>
      <c r="X3685" s="75" t="str">
        <f>IF(OR(TH!N4226=TH!$X$7,O3685=TH!$X$7),"x","")</f>
        <v/>
      </c>
      <c r="Y3685" s="75" t="str">
        <f>IF(AND(OR(N3685="131",O3685="131"),H3685='131-CT'!$H$9),"x","")</f>
        <v/>
      </c>
      <c r="Z3685" s="75"/>
      <c r="AA3685" s="75" t="str">
        <f>IF(AND(MONTH(E3685)='IN-NX'!$J$5,'IN-NX'!$D$7=D3685),"x","")</f>
        <v/>
      </c>
      <c r="AB3685" s="75" t="str">
        <f>IF(AND(OR(LEFT(TH!N4226,2)="15",LEFT(TH!O4226,2)="15"),LEFT(TH!O4226,3)&lt;&gt;"111",'152-CT'!$J$8=TH!F4226),"x","")</f>
        <v/>
      </c>
      <c r="AC3685" s="75" t="str">
        <f>IF(AND(OR(LEFT(TH!N4226,2)="15",LEFT(TH!O4226,2)="15"),TK!$E$7=TH!F4226),"x","")</f>
        <v/>
      </c>
      <c r="AD3685" s="75" t="str">
        <f>IF(AND(N3685="1521",MONTH(C3685)='BK-NL'!$M$11),"x","")</f>
        <v/>
      </c>
    </row>
    <row r="3686" spans="1:31" ht="16.5" customHeight="1">
      <c r="A3686" s="309" t="str">
        <f>IF(B3686&lt;&gt;"",IF(AND(B3686='IN-TC'!$S$4,OR(TH!N3686="1111",TH!O3686="1111")),TH!D3686,""),"")</f>
        <v/>
      </c>
      <c r="B3686" s="1131">
        <f t="shared" si="1300"/>
        <v>2</v>
      </c>
      <c r="C3686" s="292">
        <f t="shared" si="1299"/>
        <v>42789</v>
      </c>
      <c r="D3686" s="292" t="s">
        <v>1953</v>
      </c>
      <c r="E3686" s="292">
        <v>42789</v>
      </c>
      <c r="F3686" s="1010" t="s">
        <v>1883</v>
      </c>
      <c r="G3686" s="925"/>
      <c r="H3686" s="311"/>
      <c r="I3686" s="373"/>
      <c r="J3686" s="926"/>
      <c r="K3686" s="373"/>
      <c r="L3686" s="379"/>
      <c r="M3686" s="927">
        <v>1000000</v>
      </c>
      <c r="N3686" s="295" t="s">
        <v>101</v>
      </c>
      <c r="O3686" s="295" t="s">
        <v>63</v>
      </c>
      <c r="P3686" s="75" t="str">
        <f>IF(AND('331-CT'!$E$7=TH!H4229,OR(N3686="331",O3686="331")),"x","")</f>
        <v/>
      </c>
      <c r="Q3686" s="75" t="str">
        <f>IF(AND(B3686='111'!$L$11,OR($N3686=$Q$7,$O3686=$Q$7)),"x","")</f>
        <v/>
      </c>
      <c r="R3686" s="75" t="str">
        <f>IF(AND($N3686=$Q$7,$B3686&lt;'111'!$L$11),"x","")</f>
        <v/>
      </c>
      <c r="S3686" s="75" t="str">
        <f>IF(AND($O3686=$Q$7,$B3686&lt;'111'!$L$11),"x","")</f>
        <v>x</v>
      </c>
      <c r="T3686" s="75" t="str">
        <f>IF(ISERROR(FIND('112'!$M$9,G3686,1)),"",IF((AND(FIND('112'!$M$9,G3686,1)&gt;=1,B3686='112'!$K$9,OR($N3686='112'!$I$6,$O3686='112'!$I$6))),"x",""))</f>
        <v/>
      </c>
      <c r="U3686" s="75" t="str">
        <f>IF(ISERROR(FIND('112'!$M$9,G3686,1)),"",IF((AND(LEFT(G3686,2)=LEFT('112'!$M$9,2),B3686&lt;'112'!$K$9,$N3686='112'!$I$6)),"x",""))</f>
        <v/>
      </c>
      <c r="V3686" s="75" t="str">
        <f>IF(ISERROR(FIND('112'!$M$9,G3686,1)),"",IF((AND(RIGHT(G3686,2)=RIGHT('112'!$M$9,2),B3686&lt;'112'!$K$9,$O3686='112'!$I$6)),"x",""))</f>
        <v/>
      </c>
      <c r="W3686" s="75" t="str">
        <f>IF(AND('341-CT'!$H$9=H3686,OR(LEFT(N3686,3)=$W$7,LEFT(O3686,3)=$W$7)),"x","")</f>
        <v/>
      </c>
      <c r="X3686" s="75" t="str">
        <f>IF(OR(TH!N4229=TH!$X$7,O3686=TH!$X$7),"x","")</f>
        <v/>
      </c>
      <c r="Y3686" s="75" t="str">
        <f>IF(AND(OR(N3686="131",O3686="131"),H3686='131-CT'!$H$9),"x","")</f>
        <v/>
      </c>
      <c r="Z3686" s="75"/>
      <c r="AA3686" s="75" t="str">
        <f>IF(AND(MONTH(E3686)='IN-NX'!$J$5,'IN-NX'!$D$7=D3686),"x","")</f>
        <v/>
      </c>
      <c r="AB3686" s="75" t="str">
        <f>IF(AND(OR(LEFT(TH!N4229,2)="15",LEFT(TH!O4229,2)="15"),LEFT(TH!O4229,3)&lt;&gt;"111",'152-CT'!$J$8=TH!F4229),"x","")</f>
        <v/>
      </c>
      <c r="AC3686" s="75" t="str">
        <f>IF(AND(OR(LEFT(TH!N4229,2)="15",LEFT(TH!O4229,2)="15"),TK!$E$7=TH!F4229),"x","")</f>
        <v/>
      </c>
      <c r="AD3686" s="75" t="str">
        <f>IF(AND(N3686="1521",MONTH(C3686)='BK-NL'!$M$11),"x","")</f>
        <v/>
      </c>
      <c r="AE3686">
        <v>9</v>
      </c>
    </row>
    <row r="3687" spans="1:31" ht="16.5" customHeight="1">
      <c r="A3687" s="309" t="str">
        <f>IF(B3687&lt;&gt;"",IF(AND(B3687='IN-TC'!$S$4,OR(TH!N3687="1111",TH!O3687="1111")),TH!D3687,""),"")</f>
        <v/>
      </c>
      <c r="B3687" s="1131">
        <f t="shared" si="1300"/>
        <v>2</v>
      </c>
      <c r="C3687" s="292">
        <f t="shared" si="1299"/>
        <v>42789</v>
      </c>
      <c r="D3687" s="292" t="s">
        <v>1953</v>
      </c>
      <c r="E3687" s="292">
        <v>42789</v>
      </c>
      <c r="F3687" s="1010" t="s">
        <v>1895</v>
      </c>
      <c r="G3687" s="925"/>
      <c r="H3687" s="311"/>
      <c r="I3687" s="373"/>
      <c r="J3687" s="926"/>
      <c r="K3687" s="373"/>
      <c r="L3687" s="379"/>
      <c r="M3687" s="927">
        <v>100000</v>
      </c>
      <c r="N3687" s="295" t="s">
        <v>9</v>
      </c>
      <c r="O3687" s="295" t="s">
        <v>63</v>
      </c>
      <c r="P3687" s="75" t="str">
        <f>IF(AND('331-CT'!$E$7=TH!H4230,OR(N3687="331",O3687="331")),"x","")</f>
        <v/>
      </c>
      <c r="Q3687" s="75" t="str">
        <f>IF(AND(B3687='111'!$L$11,OR($N3687=$Q$7,$O3687=$Q$7)),"x","")</f>
        <v/>
      </c>
      <c r="R3687" s="75" t="str">
        <f>IF(AND($N3687=$Q$7,$B3687&lt;'111'!$L$11),"x","")</f>
        <v/>
      </c>
      <c r="S3687" s="75" t="str">
        <f>IF(AND($O3687=$Q$7,$B3687&lt;'111'!$L$11),"x","")</f>
        <v>x</v>
      </c>
      <c r="T3687" s="75" t="str">
        <f>IF(ISERROR(FIND('112'!$M$9,G3687,1)),"",IF((AND(FIND('112'!$M$9,G3687,1)&gt;=1,B3687='112'!$K$9,OR($N3687='112'!$I$6,$O3687='112'!$I$6))),"x",""))</f>
        <v/>
      </c>
      <c r="U3687" s="75" t="str">
        <f>IF(ISERROR(FIND('112'!$M$9,G3687,1)),"",IF((AND(LEFT(G3687,2)=LEFT('112'!$M$9,2),B3687&lt;'112'!$K$9,$N3687='112'!$I$6)),"x",""))</f>
        <v/>
      </c>
      <c r="V3687" s="75" t="str">
        <f>IF(ISERROR(FIND('112'!$M$9,G3687,1)),"",IF((AND(RIGHT(G3687,2)=RIGHT('112'!$M$9,2),B3687&lt;'112'!$K$9,$O3687='112'!$I$6)),"x",""))</f>
        <v/>
      </c>
      <c r="W3687" s="75" t="str">
        <f>IF(AND('341-CT'!$H$9=H3687,OR(LEFT(N3687,3)=$W$7,LEFT(O3687,3)=$W$7)),"x","")</f>
        <v/>
      </c>
      <c r="X3687" s="75" t="str">
        <f>IF(OR(TH!N4230=TH!$X$7,O3687=TH!$X$7),"x","")</f>
        <v/>
      </c>
      <c r="Y3687" s="75" t="str">
        <f>IF(AND(OR(N3687="131",O3687="131"),H3687='131-CT'!$H$9),"x","")</f>
        <v/>
      </c>
      <c r="Z3687" s="75"/>
      <c r="AA3687" s="75" t="str">
        <f>IF(AND(MONTH(E3687)='IN-NX'!$J$5,'IN-NX'!$D$7=D3687),"x","")</f>
        <v/>
      </c>
      <c r="AB3687" s="75" t="str">
        <f>IF(AND(OR(LEFT(TH!N4230,2)="15",LEFT(TH!O4230,2)="15"),LEFT(TH!O4230,3)&lt;&gt;"111",'152-CT'!$J$8=TH!F4230),"x","")</f>
        <v/>
      </c>
      <c r="AC3687" s="75" t="str">
        <f>IF(AND(OR(LEFT(TH!N4230,2)="15",LEFT(TH!O4230,2)="15"),TK!$E$7=TH!F4230),"x","")</f>
        <v/>
      </c>
      <c r="AD3687" s="75" t="str">
        <f>IF(AND(N3687="1521",MONTH(C3687)='BK-NL'!$M$11),"x","")</f>
        <v/>
      </c>
      <c r="AE3687">
        <v>9</v>
      </c>
    </row>
    <row r="3688" spans="1:31" ht="16.5" customHeight="1">
      <c r="A3688" s="309" t="str">
        <f>IF(B3688&lt;&gt;"",IF(AND(B3688='IN-TC'!$S$4,OR(TH!N3688="1111",TH!O3688="1111")),TH!D3688,""),"")</f>
        <v/>
      </c>
      <c r="B3688" s="1131">
        <f t="shared" si="1300"/>
        <v>2</v>
      </c>
      <c r="C3688" s="292">
        <f t="shared" si="1299"/>
        <v>42790</v>
      </c>
      <c r="D3688" s="292" t="s">
        <v>1955</v>
      </c>
      <c r="E3688" s="929">
        <v>42790</v>
      </c>
      <c r="F3688" s="73" t="s">
        <v>1165</v>
      </c>
      <c r="G3688" s="931" t="s">
        <v>1152</v>
      </c>
      <c r="H3688" s="296" t="s">
        <v>796</v>
      </c>
      <c r="I3688" s="371"/>
      <c r="J3688" s="932"/>
      <c r="K3688" s="371"/>
      <c r="L3688" s="377"/>
      <c r="M3688" s="933">
        <v>18896350</v>
      </c>
      <c r="N3688" s="934" t="s">
        <v>8</v>
      </c>
      <c r="O3688" s="934" t="s">
        <v>63</v>
      </c>
      <c r="P3688" s="75" t="str">
        <f>IF(AND('331-CT'!$E$7=TH!H3502,OR(N3688="331",O3688="331")),"x","")</f>
        <v/>
      </c>
      <c r="Q3688" s="75" t="str">
        <f>IF(AND(B3688='111'!$L$11,OR($N3688=$Q$7,$O3688=$Q$7)),"x","")</f>
        <v/>
      </c>
      <c r="R3688" s="75" t="str">
        <f>IF(AND($N3688=$Q$7,$B3688&lt;'111'!$L$11),"x","")</f>
        <v/>
      </c>
      <c r="S3688" s="75" t="str">
        <f>IF(AND($O3688=$Q$7,$B3688&lt;'111'!$L$11),"x","")</f>
        <v>x</v>
      </c>
      <c r="T3688" s="75" t="str">
        <f>IF(ISERROR(FIND('112'!$M$9,G3688,1)),"",IF((AND(FIND('112'!$M$9,G3688,1)&gt;=1,B3688='112'!$K$9,OR($N3688='112'!$I$6,$O3688='112'!$I$6))),"x",""))</f>
        <v/>
      </c>
      <c r="U3688" s="75" t="str">
        <f>IF(ISERROR(FIND('112'!$M$9,G3688,1)),"",IF((AND(LEFT(G3688,2)=LEFT('112'!$M$9,2),B3688&lt;'112'!$K$9,$N3688='112'!$I$6)),"x",""))</f>
        <v/>
      </c>
      <c r="V3688" s="75" t="str">
        <f>IF(ISERROR(FIND('112'!$M$9,G3688,1)),"",IF((AND(RIGHT(G3688,2)=RIGHT('112'!$M$9,2),B3688&lt;'112'!$K$9,$O3688='112'!$I$6)),"x",""))</f>
        <v/>
      </c>
      <c r="W3688" s="75" t="str">
        <f>IF(AND('341-CT'!$H$9=H3688,OR(LEFT(N3688,3)=$W$7,LEFT(O3688,3)=$W$7)),"x","")</f>
        <v/>
      </c>
      <c r="X3688" s="75" t="str">
        <f>IF(OR(TH!N3502=TH!$X$7,O3688=TH!$X$7),"x","")</f>
        <v/>
      </c>
      <c r="Y3688" s="75" t="str">
        <f>IF(AND(OR(N3688="131",O3688="131"),H3688='131-CT'!$H$9),"x","")</f>
        <v/>
      </c>
      <c r="Z3688" s="75"/>
      <c r="AA3688" s="75" t="str">
        <f>IF(AND(MONTH(E3688)='IN-NX'!$J$5,'IN-NX'!$D$7=D3688),"x","")</f>
        <v/>
      </c>
      <c r="AB3688" s="75" t="str">
        <f>IF(AND(OR(LEFT(TH!N3502,2)="15",LEFT(TH!O3502,2)="15"),LEFT(TH!O3502,3)&lt;&gt;"111",'152-CT'!$J$8=TH!F3502),"x","")</f>
        <v/>
      </c>
      <c r="AC3688" s="75" t="str">
        <f>IF(AND(OR(LEFT(TH!N3502,2)="15",LEFT(TH!O3502,2)="15"),TK!$E$7=TH!F3502),"x","")</f>
        <v/>
      </c>
      <c r="AD3688" s="75" t="str">
        <f>IF(AND(N3688="1521",MONTH(C3688)='BK-NL'!$M$11),"x","")</f>
        <v/>
      </c>
    </row>
    <row r="3689" spans="1:31" ht="16.5" customHeight="1">
      <c r="A3689" s="309" t="str">
        <f>IF(B3689&lt;&gt;"",IF(AND(B3689='IN-TC'!$S$4,OR(TH!N3689="1111",TH!O3689="1111")),TH!D3689,""),"")</f>
        <v/>
      </c>
      <c r="B3689" s="1131">
        <f t="shared" si="1300"/>
        <v>2</v>
      </c>
      <c r="C3689" s="292">
        <f t="shared" si="1299"/>
        <v>42790</v>
      </c>
      <c r="D3689" s="59" t="s">
        <v>903</v>
      </c>
      <c r="E3689" s="292">
        <v>42790</v>
      </c>
      <c r="F3689" s="67" t="s">
        <v>914</v>
      </c>
      <c r="G3689" s="62" t="s">
        <v>585</v>
      </c>
      <c r="H3689" s="67" t="s">
        <v>845</v>
      </c>
      <c r="I3689" s="373"/>
      <c r="J3689" s="379"/>
      <c r="K3689" s="373"/>
      <c r="L3689" s="379"/>
      <c r="M3689" s="60">
        <v>12828</v>
      </c>
      <c r="N3689" s="61" t="s">
        <v>26</v>
      </c>
      <c r="O3689" s="295" t="s">
        <v>43</v>
      </c>
      <c r="P3689" s="75" t="str">
        <f>IF(AND('331-CT'!$E$7=TH!H4667,OR(N3689="331",O3689="331")),"x","")</f>
        <v/>
      </c>
      <c r="Q3689" s="75" t="str">
        <f>IF(AND(B3689='111'!$L$11,OR($N3689=$Q$7,$O3689=$Q$7)),"x","")</f>
        <v/>
      </c>
      <c r="R3689" s="75" t="str">
        <f>IF(AND($N3689=$Q$7,$B3689&lt;'111'!$L$11),"x","")</f>
        <v/>
      </c>
      <c r="S3689" s="75" t="str">
        <f>IF(AND($O3689=$Q$7,$B3689&lt;'111'!$L$11),"x","")</f>
        <v/>
      </c>
      <c r="T3689" s="75" t="str">
        <f>IF(ISERROR(FIND('112'!$M$9,G3689,1)),"",IF((AND(FIND('112'!$M$9,G3689,1)&gt;=1,B3689='112'!$K$9,OR($N3689='112'!$I$6,$O3689='112'!$I$6))),"x",""))</f>
        <v/>
      </c>
      <c r="U3689" s="75" t="str">
        <f>IF(ISERROR(FIND('112'!$M$9,G3689,1)),"",IF((AND(LEFT(G3689,2)=LEFT('112'!$M$9,2),B3689&lt;'112'!$K$9,$N3689='112'!$I$6)),"x",""))</f>
        <v/>
      </c>
      <c r="V3689" s="75" t="str">
        <f>IF(ISERROR(FIND('112'!$M$9,G3689,1)),"",IF((AND(RIGHT(G3689,2)=RIGHT('112'!$M$9,2),B3689&lt;'112'!$K$9,$O3689='112'!$I$6)),"x",""))</f>
        <v/>
      </c>
      <c r="W3689" s="75" t="str">
        <f>IF(AND('341-CT'!$H$9=H3689,OR(LEFT(N3689,3)=$W$7,LEFT(O3689,3)=$W$7)),"x","")</f>
        <v/>
      </c>
      <c r="X3689" s="75" t="str">
        <f>IF(OR(TH!N4667=TH!$X$7,O3689=TH!$X$7),"x","")</f>
        <v/>
      </c>
      <c r="Y3689" s="75" t="str">
        <f>IF(AND(OR(N3689="131",O3689="131"),H3689='131-CT'!$H$9),"x","")</f>
        <v/>
      </c>
      <c r="Z3689" s="75"/>
      <c r="AA3689" s="75" t="str">
        <f>IF(AND(MONTH(E3689)='IN-NX'!$J$5,'IN-NX'!$D$7=D3689),"x","")</f>
        <v/>
      </c>
      <c r="AB3689" s="75" t="str">
        <f>IF(AND(OR(LEFT(TH!N4667,2)="15",LEFT(TH!O4667,2)="15"),LEFT(TH!O4667,3)&lt;&gt;"111",'152-CT'!$J$8=TH!F4667),"x","")</f>
        <v/>
      </c>
      <c r="AC3689" s="75" t="str">
        <f>IF(AND(OR(LEFT(TH!N4667,2)="15",LEFT(TH!O4667,2)="15"),TK!$E$7=TH!F4667),"x","")</f>
        <v/>
      </c>
      <c r="AD3689" s="75" t="str">
        <f>IF(AND(N3689="1521",MONTH(C3689)='BK-NL'!$M$11),"x","")</f>
        <v/>
      </c>
    </row>
    <row r="3690" spans="1:31" ht="16.5" customHeight="1">
      <c r="A3690" s="309" t="str">
        <f>IF(B3690&lt;&gt;"",IF(AND(B3690='IN-TC'!$S$4,OR(TH!N3690="1111",TH!O3690="1111")),TH!D3690,""),"")</f>
        <v/>
      </c>
      <c r="B3690" s="1131">
        <f t="shared" si="1300"/>
        <v>2</v>
      </c>
      <c r="C3690" s="292">
        <f t="shared" si="1299"/>
        <v>42790</v>
      </c>
      <c r="D3690" s="59" t="s">
        <v>902</v>
      </c>
      <c r="E3690" s="59">
        <v>42790</v>
      </c>
      <c r="F3690" s="62" t="s">
        <v>870</v>
      </c>
      <c r="G3690" s="62" t="s">
        <v>747</v>
      </c>
      <c r="H3690" s="311" t="s">
        <v>835</v>
      </c>
      <c r="I3690" s="373"/>
      <c r="J3690" s="379"/>
      <c r="K3690" s="373"/>
      <c r="L3690" s="379"/>
      <c r="M3690" s="60">
        <v>2286000</v>
      </c>
      <c r="N3690" s="61" t="s">
        <v>101</v>
      </c>
      <c r="O3690" s="61" t="s">
        <v>26</v>
      </c>
      <c r="P3690" s="75" t="str">
        <f>IF(AND('331-CT'!$E$7=TH!H5014,OR(N3690="331",O3690="331")),"x","")</f>
        <v/>
      </c>
      <c r="Q3690" s="75" t="str">
        <f>IF(AND(B3690='111'!$L$11,OR($N3690=$Q$7,$O3690=$Q$7)),"x","")</f>
        <v/>
      </c>
      <c r="R3690" s="75" t="str">
        <f>IF(AND($N3690=$Q$7,$B3690&lt;'111'!$L$11),"x","")</f>
        <v/>
      </c>
      <c r="S3690" s="75" t="str">
        <f>IF(AND($O3690=$Q$7,$B3690&lt;'111'!$L$11),"x","")</f>
        <v/>
      </c>
      <c r="T3690" s="75" t="str">
        <f>IF(ISERROR(FIND('112'!$M$9,G3690,1)),"",IF((AND(FIND('112'!$M$9,G3690,1)&gt;=1,B3690='112'!$K$9,OR($N3690='112'!$I$6,$O3690='112'!$I$6))),"x",""))</f>
        <v/>
      </c>
      <c r="U3690" s="75" t="str">
        <f>IF(ISERROR(FIND('112'!$M$9,G3690,1)),"",IF((AND(LEFT(G3690,2)=LEFT('112'!$M$9,2),B3690&lt;'112'!$K$9,$N3690='112'!$I$6)),"x",""))</f>
        <v/>
      </c>
      <c r="V3690" s="75" t="str">
        <f>IF(ISERROR(FIND('112'!$M$9,G3690,1)),"",IF((AND(RIGHT(G3690,2)=RIGHT('112'!$M$9,2),B3690&lt;'112'!$K$9,$O3690='112'!$I$6)),"x",""))</f>
        <v/>
      </c>
      <c r="W3690" s="75" t="str">
        <f>IF(AND('341-CT'!$H$9=H3690,OR(LEFT(N3690,3)=$W$7,LEFT(O3690,3)=$W$7)),"x","")</f>
        <v/>
      </c>
      <c r="X3690" s="75" t="str">
        <f>IF(OR(TH!N5014=TH!$X$7,O3690=TH!$X$7),"x","")</f>
        <v/>
      </c>
      <c r="Y3690" s="75" t="str">
        <f>IF(AND(OR(N3690="131",O3690="131"),H3690='131-CT'!$H$9),"x","")</f>
        <v/>
      </c>
      <c r="Z3690" s="75"/>
      <c r="AA3690" s="75" t="str">
        <f>IF(AND(MONTH(E3690)='IN-NX'!$J$5,'IN-NX'!$D$7=D3690),"x","")</f>
        <v/>
      </c>
      <c r="AB3690" s="75" t="str">
        <f>IF(AND(OR(LEFT(TH!N5014,2)="15",LEFT(TH!O5014,2)="15"),LEFT(TH!O5014,3)&lt;&gt;"111",'152-CT'!$J$8=TH!F5014),"x","")</f>
        <v/>
      </c>
      <c r="AC3690" s="75" t="str">
        <f>IF(AND(OR(LEFT(TH!N5014,2)="15",LEFT(TH!O5014,2)="15"),TK!$E$7=TH!F5014),"x","")</f>
        <v/>
      </c>
      <c r="AD3690" s="75" t="str">
        <f>IF(AND(N3690="1521",MONTH(C3690)='BK-NL'!$M$11),"x","")</f>
        <v/>
      </c>
    </row>
    <row r="3691" spans="1:31" ht="16.5" customHeight="1">
      <c r="A3691" s="309" t="str">
        <f>IF(B3691&lt;&gt;"",IF(AND(B3691='IN-TC'!$S$4,OR(TH!N3691="1111",TH!O3691="1111")),TH!D3691,""),"")</f>
        <v/>
      </c>
      <c r="B3691" s="1131">
        <f t="shared" si="1300"/>
        <v>2</v>
      </c>
      <c r="C3691" s="292">
        <f t="shared" si="1299"/>
        <v>42790</v>
      </c>
      <c r="D3691" s="59" t="s">
        <v>902</v>
      </c>
      <c r="E3691" s="59">
        <v>42790</v>
      </c>
      <c r="F3691" s="62" t="s">
        <v>898</v>
      </c>
      <c r="G3691" s="62" t="s">
        <v>747</v>
      </c>
      <c r="H3691" s="311" t="s">
        <v>835</v>
      </c>
      <c r="I3691" s="373"/>
      <c r="J3691" s="379"/>
      <c r="K3691" s="373"/>
      <c r="L3691" s="379"/>
      <c r="M3691" s="60">
        <v>228600</v>
      </c>
      <c r="N3691" s="61" t="s">
        <v>9</v>
      </c>
      <c r="O3691" s="61" t="s">
        <v>26</v>
      </c>
      <c r="P3691" s="75" t="str">
        <f>IF(AND('331-CT'!$E$7=TH!H5015,OR(N3691="331",O3691="331")),"x","")</f>
        <v/>
      </c>
      <c r="Q3691" s="75" t="str">
        <f>IF(AND(B3691='111'!$L$11,OR($N3691=$Q$7,$O3691=$Q$7)),"x","")</f>
        <v/>
      </c>
      <c r="R3691" s="75" t="str">
        <f>IF(AND($N3691=$Q$7,$B3691&lt;'111'!$L$11),"x","")</f>
        <v/>
      </c>
      <c r="S3691" s="75" t="str">
        <f>IF(AND($O3691=$Q$7,$B3691&lt;'111'!$L$11),"x","")</f>
        <v/>
      </c>
      <c r="T3691" s="75" t="str">
        <f>IF(ISERROR(FIND('112'!$M$9,G3691,1)),"",IF((AND(FIND('112'!$M$9,G3691,1)&gt;=1,B3691='112'!$K$9,OR($N3691='112'!$I$6,$O3691='112'!$I$6))),"x",""))</f>
        <v/>
      </c>
      <c r="U3691" s="75" t="str">
        <f>IF(ISERROR(FIND('112'!$M$9,G3691,1)),"",IF((AND(LEFT(G3691,2)=LEFT('112'!$M$9,2),B3691&lt;'112'!$K$9,$N3691='112'!$I$6)),"x",""))</f>
        <v/>
      </c>
      <c r="V3691" s="75" t="str">
        <f>IF(ISERROR(FIND('112'!$M$9,G3691,1)),"",IF((AND(RIGHT(G3691,2)=RIGHT('112'!$M$9,2),B3691&lt;'112'!$K$9,$O3691='112'!$I$6)),"x",""))</f>
        <v/>
      </c>
      <c r="W3691" s="75" t="str">
        <f>IF(AND('341-CT'!$H$9=H3691,OR(LEFT(N3691,3)=$W$7,LEFT(O3691,3)=$W$7)),"x","")</f>
        <v/>
      </c>
      <c r="X3691" s="75" t="str">
        <f>IF(OR(TH!N5015=TH!$X$7,O3691=TH!$X$7),"x","")</f>
        <v/>
      </c>
      <c r="Y3691" s="75" t="str">
        <f>IF(AND(OR(N3691="131",O3691="131"),H3691='131-CT'!$H$9),"x","")</f>
        <v/>
      </c>
      <c r="Z3691" s="75"/>
      <c r="AA3691" s="75" t="str">
        <f>IF(AND(MONTH(E3691)='IN-NX'!$J$5,'IN-NX'!$D$7=D3691),"x","")</f>
        <v/>
      </c>
      <c r="AB3691" s="75" t="str">
        <f>IF(AND(OR(LEFT(TH!N5015,2)="15",LEFT(TH!O5015,2)="15"),LEFT(TH!O5015,3)&lt;&gt;"111",'152-CT'!$J$8=TH!F5015),"x","")</f>
        <v/>
      </c>
      <c r="AC3691" s="75" t="str">
        <f>IF(AND(OR(LEFT(TH!N5015,2)="15",LEFT(TH!O5015,2)="15"),TK!$E$7=TH!F5015),"x","")</f>
        <v/>
      </c>
      <c r="AD3691" s="75" t="str">
        <f>IF(AND(N3691="1521",MONTH(C3691)='BK-NL'!$M$11),"x","")</f>
        <v/>
      </c>
    </row>
    <row r="3692" spans="1:31" ht="16.5" customHeight="1">
      <c r="A3692" s="309" t="str">
        <f>IF(B3692&lt;&gt;"",IF(AND(B3692='IN-TC'!$S$4,OR(TH!N3692="1111",TH!O3692="1111")),TH!D3692,""),"")</f>
        <v/>
      </c>
      <c r="B3692" s="1131">
        <f t="shared" si="1300"/>
        <v>2</v>
      </c>
      <c r="C3692" s="292">
        <f t="shared" si="1299"/>
        <v>42791</v>
      </c>
      <c r="D3692" s="59" t="s">
        <v>903</v>
      </c>
      <c r="E3692" s="59">
        <v>42791</v>
      </c>
      <c r="F3692" s="131" t="s">
        <v>914</v>
      </c>
      <c r="G3692" s="62" t="s">
        <v>747</v>
      </c>
      <c r="H3692" s="311" t="s">
        <v>835</v>
      </c>
      <c r="I3692" s="373"/>
      <c r="J3692" s="379"/>
      <c r="K3692" s="373"/>
      <c r="L3692" s="379"/>
      <c r="M3692" s="60">
        <v>193515</v>
      </c>
      <c r="N3692" s="61" t="s">
        <v>26</v>
      </c>
      <c r="O3692" s="295" t="s">
        <v>43</v>
      </c>
      <c r="P3692" s="75" t="str">
        <f>IF(AND('331-CT'!$E$7=TH!H5016,OR(N3692="331",O3692="331")),"x","")</f>
        <v/>
      </c>
      <c r="Q3692" s="75" t="str">
        <f>IF(AND(B3692='111'!$L$11,OR($N3692=$Q$7,$O3692=$Q$7)),"x","")</f>
        <v/>
      </c>
      <c r="R3692" s="75" t="str">
        <f>IF(AND($N3692=$Q$7,$B3692&lt;'111'!$L$11),"x","")</f>
        <v/>
      </c>
      <c r="S3692" s="75" t="str">
        <f>IF(AND($O3692=$Q$7,$B3692&lt;'111'!$L$11),"x","")</f>
        <v/>
      </c>
      <c r="T3692" s="75" t="str">
        <f>IF(ISERROR(FIND('112'!$M$9,G3692,1)),"",IF((AND(FIND('112'!$M$9,G3692,1)&gt;=1,B3692='112'!$K$9,OR($N3692='112'!$I$6,$O3692='112'!$I$6))),"x",""))</f>
        <v/>
      </c>
      <c r="U3692" s="75" t="str">
        <f>IF(ISERROR(FIND('112'!$M$9,G3692,1)),"",IF((AND(LEFT(G3692,2)=LEFT('112'!$M$9,2),B3692&lt;'112'!$K$9,$N3692='112'!$I$6)),"x",""))</f>
        <v/>
      </c>
      <c r="V3692" s="75" t="str">
        <f>IF(ISERROR(FIND('112'!$M$9,G3692,1)),"",IF((AND(RIGHT(G3692,2)=RIGHT('112'!$M$9,2),B3692&lt;'112'!$K$9,$O3692='112'!$I$6)),"x",""))</f>
        <v/>
      </c>
      <c r="W3692" s="75" t="str">
        <f>IF(AND('341-CT'!$H$9=H3692,OR(LEFT(N3692,3)=$W$7,LEFT(O3692,3)=$W$7)),"x","")</f>
        <v/>
      </c>
      <c r="X3692" s="75" t="str">
        <f>IF(OR(TH!N5016=TH!$X$7,O3692=TH!$X$7),"x","")</f>
        <v/>
      </c>
      <c r="Y3692" s="75" t="str">
        <f>IF(AND(OR(N3692="131",O3692="131"),H3692='131-CT'!$H$9),"x","")</f>
        <v/>
      </c>
      <c r="Z3692" s="75"/>
      <c r="AA3692" s="75" t="str">
        <f>IF(AND(MONTH(E3692)='IN-NX'!$J$5,'IN-NX'!$D$7=D3692),"x","")</f>
        <v/>
      </c>
      <c r="AB3692" s="75" t="str">
        <f>IF(AND(OR(LEFT(TH!N5016,2)="15",LEFT(TH!O5016,2)="15"),LEFT(TH!O5016,3)&lt;&gt;"111",'152-CT'!$J$8=TH!F5016),"x","")</f>
        <v/>
      </c>
      <c r="AC3692" s="75" t="str">
        <f>IF(AND(OR(LEFT(TH!N5016,2)="15",LEFT(TH!O5016,2)="15"),TK!$E$7=TH!F5016),"x","")</f>
        <v/>
      </c>
      <c r="AD3692" s="75" t="str">
        <f>IF(AND(N3692="1521",MONTH(C3692)='BK-NL'!$M$11),"x","")</f>
        <v/>
      </c>
    </row>
    <row r="3693" spans="1:31" ht="16.5" customHeight="1">
      <c r="A3693" s="309" t="str">
        <f>IF(B3693&lt;&gt;"",IF(AND(B3693='IN-TC'!$S$4,OR(TH!N3693="1111",TH!O3693="1111")),TH!D3693,""),"")</f>
        <v/>
      </c>
      <c r="B3693" s="1131">
        <f t="shared" si="1300"/>
        <v>2</v>
      </c>
      <c r="C3693" s="292">
        <f t="shared" si="1299"/>
        <v>42793</v>
      </c>
      <c r="D3693" s="292" t="s">
        <v>1960</v>
      </c>
      <c r="E3693" s="292">
        <v>42793</v>
      </c>
      <c r="F3693" s="1125" t="s">
        <v>1051</v>
      </c>
      <c r="G3693" s="925" t="s">
        <v>1052</v>
      </c>
      <c r="H3693" s="67" t="s">
        <v>974</v>
      </c>
      <c r="I3693" s="373"/>
      <c r="J3693" s="926"/>
      <c r="K3693" s="373"/>
      <c r="L3693" s="379"/>
      <c r="M3693" s="927">
        <v>11500000</v>
      </c>
      <c r="N3693" s="295" t="s">
        <v>101</v>
      </c>
      <c r="O3693" s="295" t="s">
        <v>63</v>
      </c>
      <c r="P3693" s="75" t="str">
        <f>IF(AND('331-CT'!$E$7=TH!H3503,OR(N3693="331",O3693="331")),"x","")</f>
        <v/>
      </c>
      <c r="Q3693" s="75" t="str">
        <f>IF(AND(B3693='111'!$L$11,OR($N3693=$Q$7,$O3693=$Q$7)),"x","")</f>
        <v/>
      </c>
      <c r="R3693" s="75" t="str">
        <f>IF(AND($N3693=$Q$7,$B3693&lt;'111'!$L$11),"x","")</f>
        <v/>
      </c>
      <c r="S3693" s="75" t="str">
        <f>IF(AND($O3693=$Q$7,$B3693&lt;'111'!$L$11),"x","")</f>
        <v>x</v>
      </c>
      <c r="T3693" s="75" t="str">
        <f>IF(ISERROR(FIND('112'!$M$9,G3693,1)),"",IF((AND(FIND('112'!$M$9,G3693,1)&gt;=1,B3693='112'!$K$9,OR($N3693='112'!$I$6,$O3693='112'!$I$6))),"x",""))</f>
        <v/>
      </c>
      <c r="U3693" s="75" t="str">
        <f>IF(ISERROR(FIND('112'!$M$9,G3693,1)),"",IF((AND(LEFT(G3693,2)=LEFT('112'!$M$9,2),B3693&lt;'112'!$K$9,$N3693='112'!$I$6)),"x",""))</f>
        <v/>
      </c>
      <c r="V3693" s="75" t="str">
        <f>IF(ISERROR(FIND('112'!$M$9,G3693,1)),"",IF((AND(RIGHT(G3693,2)=RIGHT('112'!$M$9,2),B3693&lt;'112'!$K$9,$O3693='112'!$I$6)),"x",""))</f>
        <v/>
      </c>
      <c r="W3693" s="75" t="str">
        <f>IF(AND('341-CT'!$H$9=H3693,OR(LEFT(N3693,3)=$W$7,LEFT(O3693,3)=$W$7)),"x","")</f>
        <v/>
      </c>
      <c r="X3693" s="75" t="str">
        <f>IF(OR(TH!N3503=TH!$X$7,O3693=TH!$X$7),"x","")</f>
        <v/>
      </c>
      <c r="Y3693" s="75" t="str">
        <f>IF(AND(OR(N3693="131",O3693="131"),H3693='131-CT'!$H$9),"x","")</f>
        <v/>
      </c>
      <c r="Z3693" s="75"/>
      <c r="AA3693" s="75" t="str">
        <f>IF(AND(MONTH(E3693)='IN-NX'!$J$5,'IN-NX'!$D$7=D3693),"x","")</f>
        <v/>
      </c>
      <c r="AB3693" s="75" t="str">
        <f>IF(AND(OR(LEFT(TH!N3503,2)="15",LEFT(TH!O3503,2)="15"),LEFT(TH!O3503,3)&lt;&gt;"111",'152-CT'!$J$8=TH!F3503),"x","")</f>
        <v/>
      </c>
      <c r="AC3693" s="75" t="str">
        <f>IF(AND(OR(LEFT(TH!N3503,2)="15",LEFT(TH!O3503,2)="15"),TK!$E$7=TH!F3503),"x","")</f>
        <v/>
      </c>
      <c r="AD3693" s="75" t="str">
        <f>IF(AND(N3693="1521",MONTH(C3693)='BK-NL'!$M$11),"x","")</f>
        <v/>
      </c>
    </row>
    <row r="3694" spans="1:31" ht="16.5" customHeight="1">
      <c r="A3694" s="309" t="str">
        <f>IF(B3694&lt;&gt;"",IF(AND(B3694='IN-TC'!$S$4,OR(TH!N3694="1111",TH!O3694="1111")),TH!D3694,""),"")</f>
        <v/>
      </c>
      <c r="B3694" s="1131">
        <f t="shared" si="1300"/>
        <v>2</v>
      </c>
      <c r="C3694" s="292">
        <f t="shared" si="1299"/>
        <v>42793</v>
      </c>
      <c r="D3694" s="292" t="s">
        <v>1960</v>
      </c>
      <c r="E3694" s="292">
        <v>42793</v>
      </c>
      <c r="F3694" s="1125" t="s">
        <v>1050</v>
      </c>
      <c r="G3694" s="925" t="s">
        <v>1052</v>
      </c>
      <c r="H3694" s="67" t="s">
        <v>974</v>
      </c>
      <c r="I3694" s="373"/>
      <c r="J3694" s="926"/>
      <c r="K3694" s="373"/>
      <c r="L3694" s="379"/>
      <c r="M3694" s="927">
        <v>1150000</v>
      </c>
      <c r="N3694" s="295" t="s">
        <v>9</v>
      </c>
      <c r="O3694" s="295" t="s">
        <v>63</v>
      </c>
      <c r="P3694" s="75" t="str">
        <f>IF(AND('331-CT'!$E$7=TH!H3504,OR(N3694="331",O3694="331")),"x","")</f>
        <v/>
      </c>
      <c r="Q3694" s="75" t="str">
        <f>IF(AND(B3694='111'!$L$11,OR($N3694=$Q$7,$O3694=$Q$7)),"x","")</f>
        <v/>
      </c>
      <c r="R3694" s="75" t="str">
        <f>IF(AND($N3694=$Q$7,$B3694&lt;'111'!$L$11),"x","")</f>
        <v/>
      </c>
      <c r="S3694" s="75" t="str">
        <f>IF(AND($O3694=$Q$7,$B3694&lt;'111'!$L$11),"x","")</f>
        <v>x</v>
      </c>
      <c r="T3694" s="75" t="str">
        <f>IF(ISERROR(FIND('112'!$M$9,G3694,1)),"",IF((AND(FIND('112'!$M$9,G3694,1)&gt;=1,B3694='112'!$K$9,OR($N3694='112'!$I$6,$O3694='112'!$I$6))),"x",""))</f>
        <v/>
      </c>
      <c r="U3694" s="75" t="str">
        <f>IF(ISERROR(FIND('112'!$M$9,G3694,1)),"",IF((AND(LEFT(G3694,2)=LEFT('112'!$M$9,2),B3694&lt;'112'!$K$9,$N3694='112'!$I$6)),"x",""))</f>
        <v/>
      </c>
      <c r="V3694" s="75" t="str">
        <f>IF(ISERROR(FIND('112'!$M$9,G3694,1)),"",IF((AND(RIGHT(G3694,2)=RIGHT('112'!$M$9,2),B3694&lt;'112'!$K$9,$O3694='112'!$I$6)),"x",""))</f>
        <v/>
      </c>
      <c r="W3694" s="75" t="str">
        <f>IF(AND('341-CT'!$H$9=H3694,OR(LEFT(N3694,3)=$W$7,LEFT(O3694,3)=$W$7)),"x","")</f>
        <v/>
      </c>
      <c r="X3694" s="75" t="str">
        <f>IF(OR(TH!N3504=TH!$X$7,O3694=TH!$X$7),"x","")</f>
        <v/>
      </c>
      <c r="Y3694" s="75" t="str">
        <f>IF(AND(OR(N3694="131",O3694="131"),H3694='131-CT'!$H$9),"x","")</f>
        <v/>
      </c>
      <c r="Z3694" s="75"/>
      <c r="AA3694" s="75" t="str">
        <f>IF(AND(MONTH(E3694)='IN-NX'!$J$5,'IN-NX'!$D$7=D3694),"x","")</f>
        <v/>
      </c>
      <c r="AB3694" s="75" t="str">
        <f>IF(AND(OR(LEFT(TH!N3504,2)="15",LEFT(TH!O3504,2)="15"),LEFT(TH!O3504,3)&lt;&gt;"111",'152-CT'!$J$8=TH!F3504),"x","")</f>
        <v/>
      </c>
      <c r="AC3694" s="75" t="str">
        <f>IF(AND(OR(LEFT(TH!N3504,2)="15",LEFT(TH!O3504,2)="15"),TK!$E$7=TH!F3504),"x","")</f>
        <v/>
      </c>
      <c r="AD3694" s="75" t="str">
        <f>IF(AND(N3694="1521",MONTH(C3694)='BK-NL'!$M$11),"x","")</f>
        <v/>
      </c>
    </row>
    <row r="3695" spans="1:31" ht="16.5" customHeight="1">
      <c r="A3695" s="309" t="str">
        <f>IF(B3695&lt;&gt;"",IF(AND(B3695='IN-TC'!$S$4,OR(TH!N3695="1111",TH!O3695="1111")),TH!D3695,""),"")</f>
        <v/>
      </c>
      <c r="B3695" s="1131">
        <f t="shared" si="1300"/>
        <v>2</v>
      </c>
      <c r="C3695" s="292">
        <f t="shared" si="1299"/>
        <v>42793</v>
      </c>
      <c r="D3695" s="59" t="s">
        <v>902</v>
      </c>
      <c r="E3695" s="292">
        <v>42793</v>
      </c>
      <c r="F3695" s="1127" t="s">
        <v>897</v>
      </c>
      <c r="G3695" s="62" t="s">
        <v>585</v>
      </c>
      <c r="H3695" s="67" t="s">
        <v>623</v>
      </c>
      <c r="I3695" s="373"/>
      <c r="J3695" s="379"/>
      <c r="K3695" s="373"/>
      <c r="L3695" s="379"/>
      <c r="M3695" s="60">
        <v>5249911000</v>
      </c>
      <c r="N3695" s="61" t="s">
        <v>8</v>
      </c>
      <c r="O3695" s="61" t="s">
        <v>26</v>
      </c>
      <c r="P3695" s="75" t="str">
        <f>IF(AND('331-CT'!$E$7=TH!H4668,OR(N3695="331",O3695="331")),"x","")</f>
        <v/>
      </c>
      <c r="Q3695" s="75" t="str">
        <f>IF(AND(B3695='111'!$L$11,OR($N3695=$Q$7,$O3695=$Q$7)),"x","")</f>
        <v/>
      </c>
      <c r="R3695" s="75" t="str">
        <f>IF(AND($N3695=$Q$7,$B3695&lt;'111'!$L$11),"x","")</f>
        <v/>
      </c>
      <c r="S3695" s="75" t="str">
        <f>IF(AND($O3695=$Q$7,$B3695&lt;'111'!$L$11),"x","")</f>
        <v/>
      </c>
      <c r="T3695" s="75" t="str">
        <f>IF(ISERROR(FIND('112'!$M$9,G3695,1)),"",IF((AND(FIND('112'!$M$9,G3695,1)&gt;=1,B3695='112'!$K$9,OR($N3695='112'!$I$6,$O3695='112'!$I$6))),"x",""))</f>
        <v/>
      </c>
      <c r="U3695" s="75" t="str">
        <f>IF(ISERROR(FIND('112'!$M$9,G3695,1)),"",IF((AND(LEFT(G3695,2)=LEFT('112'!$M$9,2),B3695&lt;'112'!$K$9,$N3695='112'!$I$6)),"x",""))</f>
        <v/>
      </c>
      <c r="V3695" s="75" t="str">
        <f>IF(ISERROR(FIND('112'!$M$9,G3695,1)),"",IF((AND(RIGHT(G3695,2)=RIGHT('112'!$M$9,2),B3695&lt;'112'!$K$9,$O3695='112'!$I$6)),"x",""))</f>
        <v/>
      </c>
      <c r="W3695" s="75" t="str">
        <f>IF(AND('341-CT'!$H$9=H3695,OR(LEFT(N3695,3)=$W$7,LEFT(O3695,3)=$W$7)),"x","")</f>
        <v/>
      </c>
      <c r="X3695" s="75" t="str">
        <f>IF(OR(TH!N4668=TH!$X$7,O3695=TH!$X$7),"x","")</f>
        <v/>
      </c>
      <c r="Y3695" s="75" t="str">
        <f>IF(AND(OR(N3695="131",O3695="131"),H3695='131-CT'!$H$9),"x","")</f>
        <v/>
      </c>
      <c r="Z3695" s="75"/>
      <c r="AA3695" s="75" t="str">
        <f>IF(AND(MONTH(E3695)='IN-NX'!$J$5,'IN-NX'!$D$7=D3695),"x","")</f>
        <v/>
      </c>
      <c r="AB3695" s="75" t="str">
        <f>IF(AND(OR(LEFT(TH!N4668,2)="15",LEFT(TH!O4668,2)="15"),LEFT(TH!O4668,3)&lt;&gt;"111",'152-CT'!$J$8=TH!F4668),"x","")</f>
        <v/>
      </c>
      <c r="AC3695" s="75" t="str">
        <f>IF(AND(OR(LEFT(TH!N4668,2)="15",LEFT(TH!O4668,2)="15"),TK!$E$7=TH!F4668),"x","")</f>
        <v/>
      </c>
      <c r="AD3695" s="75" t="str">
        <f>IF(AND(N3695="1521",MONTH(C3695)='BK-NL'!$M$11),"x","")</f>
        <v/>
      </c>
    </row>
    <row r="3696" spans="1:31" ht="16.5" customHeight="1">
      <c r="A3696" s="309" t="str">
        <f>IF(B3696&lt;&gt;"",IF(AND(B3696='IN-TC'!$S$4,OR(TH!N3696="1111",TH!O3696="1111")),TH!D3696,""),"")</f>
        <v/>
      </c>
      <c r="B3696" s="1131">
        <f t="shared" si="1300"/>
        <v>2</v>
      </c>
      <c r="C3696" s="292">
        <f t="shared" si="1299"/>
        <v>42793</v>
      </c>
      <c r="D3696" s="59" t="s">
        <v>902</v>
      </c>
      <c r="E3696" s="292">
        <v>42793</v>
      </c>
      <c r="F3696" s="1127" t="s">
        <v>1093</v>
      </c>
      <c r="G3696" s="62" t="s">
        <v>585</v>
      </c>
      <c r="H3696" s="67" t="s">
        <v>563</v>
      </c>
      <c r="I3696" s="373"/>
      <c r="J3696" s="379"/>
      <c r="K3696" s="373"/>
      <c r="L3696" s="379"/>
      <c r="M3696" s="60">
        <v>45487970</v>
      </c>
      <c r="N3696" s="61" t="s">
        <v>8</v>
      </c>
      <c r="O3696" s="61" t="s">
        <v>26</v>
      </c>
      <c r="P3696" s="75" t="str">
        <f>IF(AND('331-CT'!$E$7=TH!H4669,OR(N3696="331",O3696="331")),"x","")</f>
        <v/>
      </c>
      <c r="Q3696" s="75" t="str">
        <f>IF(AND(B3696='111'!$L$11,OR($N3696=$Q$7,$O3696=$Q$7)),"x","")</f>
        <v/>
      </c>
      <c r="R3696" s="75" t="str">
        <f>IF(AND($N3696=$Q$7,$B3696&lt;'111'!$L$11),"x","")</f>
        <v/>
      </c>
      <c r="S3696" s="75" t="str">
        <f>IF(AND($O3696=$Q$7,$B3696&lt;'111'!$L$11),"x","")</f>
        <v/>
      </c>
      <c r="T3696" s="75" t="str">
        <f>IF(ISERROR(FIND('112'!$M$9,G3696,1)),"",IF((AND(FIND('112'!$M$9,G3696,1)&gt;=1,B3696='112'!$K$9,OR($N3696='112'!$I$6,$O3696='112'!$I$6))),"x",""))</f>
        <v/>
      </c>
      <c r="U3696" s="75" t="str">
        <f>IF(ISERROR(FIND('112'!$M$9,G3696,1)),"",IF((AND(LEFT(G3696,2)=LEFT('112'!$M$9,2),B3696&lt;'112'!$K$9,$N3696='112'!$I$6)),"x",""))</f>
        <v/>
      </c>
      <c r="V3696" s="75" t="str">
        <f>IF(ISERROR(FIND('112'!$M$9,G3696,1)),"",IF((AND(RIGHT(G3696,2)=RIGHT('112'!$M$9,2),B3696&lt;'112'!$K$9,$O3696='112'!$I$6)),"x",""))</f>
        <v/>
      </c>
      <c r="W3696" s="75" t="str">
        <f>IF(AND('341-CT'!$H$9=H3696,OR(LEFT(N3696,3)=$W$7,LEFT(O3696,3)=$W$7)),"x","")</f>
        <v/>
      </c>
      <c r="X3696" s="75" t="str">
        <f>IF(OR(TH!N4669=TH!$X$7,O3696=TH!$X$7),"x","")</f>
        <v/>
      </c>
      <c r="Y3696" s="75" t="str">
        <f>IF(AND(OR(N3696="131",O3696="131"),H3696='131-CT'!$H$9),"x","")</f>
        <v/>
      </c>
      <c r="Z3696" s="75"/>
      <c r="AA3696" s="75" t="str">
        <f>IF(AND(MONTH(E3696)='IN-NX'!$J$5,'IN-NX'!$D$7=D3696),"x","")</f>
        <v/>
      </c>
      <c r="AB3696" s="75" t="str">
        <f>IF(AND(OR(LEFT(TH!N4669,2)="15",LEFT(TH!O4669,2)="15"),LEFT(TH!O4669,3)&lt;&gt;"111",'152-CT'!$J$8=TH!F4669),"x","")</f>
        <v/>
      </c>
      <c r="AC3696" s="75" t="str">
        <f>IF(AND(OR(LEFT(TH!N4669,2)="15",LEFT(TH!O4669,2)="15"),TK!$E$7=TH!F4669),"x","")</f>
        <v/>
      </c>
      <c r="AD3696" s="75" t="str">
        <f>IF(AND(N3696="1521",MONTH(C3696)='BK-NL'!$M$11),"x","")</f>
        <v/>
      </c>
    </row>
    <row r="3697" spans="1:30" ht="16.5" customHeight="1">
      <c r="A3697" s="309" t="str">
        <f>IF(B3697&lt;&gt;"",IF(AND(B3697='IN-TC'!$S$4,OR(TH!N3697="1111",TH!O3697="1111")),TH!D3697,""),"")</f>
        <v/>
      </c>
      <c r="B3697" s="1131">
        <f t="shared" si="1300"/>
        <v>2</v>
      </c>
      <c r="C3697" s="292">
        <f t="shared" si="1299"/>
        <v>42793</v>
      </c>
      <c r="D3697" s="59" t="s">
        <v>902</v>
      </c>
      <c r="E3697" s="292">
        <v>42793</v>
      </c>
      <c r="F3697" s="1127" t="s">
        <v>870</v>
      </c>
      <c r="G3697" s="62" t="s">
        <v>585</v>
      </c>
      <c r="H3697" s="67" t="s">
        <v>845</v>
      </c>
      <c r="I3697" s="373"/>
      <c r="J3697" s="379"/>
      <c r="K3697" s="373"/>
      <c r="L3697" s="379"/>
      <c r="M3697" s="60">
        <v>25000</v>
      </c>
      <c r="N3697" s="61" t="s">
        <v>101</v>
      </c>
      <c r="O3697" s="61" t="s">
        <v>26</v>
      </c>
      <c r="P3697" s="75" t="str">
        <f>IF(AND('331-CT'!$E$7=TH!H4670,OR(N3697="331",O3697="331")),"x","")</f>
        <v/>
      </c>
      <c r="Q3697" s="75" t="str">
        <f>IF(AND(B3697='111'!$L$11,OR($N3697=$Q$7,$O3697=$Q$7)),"x","")</f>
        <v/>
      </c>
      <c r="R3697" s="75" t="str">
        <f>IF(AND($N3697=$Q$7,$B3697&lt;'111'!$L$11),"x","")</f>
        <v/>
      </c>
      <c r="S3697" s="75" t="str">
        <f>IF(AND($O3697=$Q$7,$B3697&lt;'111'!$L$11),"x","")</f>
        <v/>
      </c>
      <c r="T3697" s="75" t="str">
        <f>IF(ISERROR(FIND('112'!$M$9,G3697,1)),"",IF((AND(FIND('112'!$M$9,G3697,1)&gt;=1,B3697='112'!$K$9,OR($N3697='112'!$I$6,$O3697='112'!$I$6))),"x",""))</f>
        <v/>
      </c>
      <c r="U3697" s="75" t="str">
        <f>IF(ISERROR(FIND('112'!$M$9,G3697,1)),"",IF((AND(LEFT(G3697,2)=LEFT('112'!$M$9,2),B3697&lt;'112'!$K$9,$N3697='112'!$I$6)),"x",""))</f>
        <v/>
      </c>
      <c r="V3697" s="75" t="str">
        <f>IF(ISERROR(FIND('112'!$M$9,G3697,1)),"",IF((AND(RIGHT(G3697,2)=RIGHT('112'!$M$9,2),B3697&lt;'112'!$K$9,$O3697='112'!$I$6)),"x",""))</f>
        <v/>
      </c>
      <c r="W3697" s="75" t="str">
        <f>IF(AND('341-CT'!$H$9=H3697,OR(LEFT(N3697,3)=$W$7,LEFT(O3697,3)=$W$7)),"x","")</f>
        <v/>
      </c>
      <c r="X3697" s="75" t="str">
        <f>IF(OR(TH!N4670=TH!$X$7,O3697=TH!$X$7),"x","")</f>
        <v/>
      </c>
      <c r="Y3697" s="75" t="str">
        <f>IF(AND(OR(N3697="131",O3697="131"),H3697='131-CT'!$H$9),"x","")</f>
        <v/>
      </c>
      <c r="Z3697" s="75"/>
      <c r="AA3697" s="75" t="str">
        <f>IF(AND(MONTH(E3697)='IN-NX'!$J$5,'IN-NX'!$D$7=D3697),"x","")</f>
        <v/>
      </c>
      <c r="AB3697" s="75" t="str">
        <f>IF(AND(OR(LEFT(TH!N4670,2)="15",LEFT(TH!O4670,2)="15"),LEFT(TH!O4670,3)&lt;&gt;"111",'152-CT'!$J$8=TH!F4670),"x","")</f>
        <v/>
      </c>
      <c r="AC3697" s="75" t="str">
        <f>IF(AND(OR(LEFT(TH!N4670,2)="15",LEFT(TH!O4670,2)="15"),TK!$E$7=TH!F4670),"x","")</f>
        <v/>
      </c>
      <c r="AD3697" s="75" t="str">
        <f>IF(AND(N3697="1521",MONTH(C3697)='BK-NL'!$M$11),"x","")</f>
        <v/>
      </c>
    </row>
    <row r="3698" spans="1:30" ht="16.5" customHeight="1">
      <c r="A3698" s="309" t="str">
        <f>IF(B3698&lt;&gt;"",IF(AND(B3698='IN-TC'!$S$4,OR(TH!N3698="1111",TH!O3698="1111")),TH!D3698,""),"")</f>
        <v/>
      </c>
      <c r="B3698" s="1131">
        <f t="shared" si="1300"/>
        <v>2</v>
      </c>
      <c r="C3698" s="292">
        <f t="shared" si="1299"/>
        <v>42793</v>
      </c>
      <c r="D3698" s="59" t="s">
        <v>902</v>
      </c>
      <c r="E3698" s="292">
        <v>42793</v>
      </c>
      <c r="F3698" s="1127" t="s">
        <v>898</v>
      </c>
      <c r="G3698" s="62" t="s">
        <v>585</v>
      </c>
      <c r="H3698" s="67" t="s">
        <v>845</v>
      </c>
      <c r="I3698" s="373"/>
      <c r="J3698" s="379"/>
      <c r="K3698" s="373"/>
      <c r="L3698" s="379"/>
      <c r="M3698" s="60">
        <v>2500</v>
      </c>
      <c r="N3698" s="61" t="s">
        <v>9</v>
      </c>
      <c r="O3698" s="61" t="s">
        <v>26</v>
      </c>
      <c r="P3698" s="75" t="str">
        <f>IF(AND('331-CT'!$E$7=TH!H4671,OR(N3698="331",O3698="331")),"x","")</f>
        <v/>
      </c>
      <c r="Q3698" s="75" t="str">
        <f>IF(AND(B3698='111'!$L$11,OR($N3698=$Q$7,$O3698=$Q$7)),"x","")</f>
        <v/>
      </c>
      <c r="R3698" s="75" t="str">
        <f>IF(AND($N3698=$Q$7,$B3698&lt;'111'!$L$11),"x","")</f>
        <v/>
      </c>
      <c r="S3698" s="75" t="str">
        <f>IF(AND($O3698=$Q$7,$B3698&lt;'111'!$L$11),"x","")</f>
        <v/>
      </c>
      <c r="T3698" s="75" t="str">
        <f>IF(ISERROR(FIND('112'!$M$9,G3698,1)),"",IF((AND(FIND('112'!$M$9,G3698,1)&gt;=1,B3698='112'!$K$9,OR($N3698='112'!$I$6,$O3698='112'!$I$6))),"x",""))</f>
        <v/>
      </c>
      <c r="U3698" s="75" t="str">
        <f>IF(ISERROR(FIND('112'!$M$9,G3698,1)),"",IF((AND(LEFT(G3698,2)=LEFT('112'!$M$9,2),B3698&lt;'112'!$K$9,$N3698='112'!$I$6)),"x",""))</f>
        <v/>
      </c>
      <c r="V3698" s="75" t="str">
        <f>IF(ISERROR(FIND('112'!$M$9,G3698,1)),"",IF((AND(RIGHT(G3698,2)=RIGHT('112'!$M$9,2),B3698&lt;'112'!$K$9,$O3698='112'!$I$6)),"x",""))</f>
        <v/>
      </c>
      <c r="W3698" s="75" t="str">
        <f>IF(AND('341-CT'!$H$9=H3698,OR(LEFT(N3698,3)=$W$7,LEFT(O3698,3)=$W$7)),"x","")</f>
        <v/>
      </c>
      <c r="X3698" s="75" t="str">
        <f>IF(OR(TH!N4671=TH!$X$7,O3698=TH!$X$7),"x","")</f>
        <v/>
      </c>
      <c r="Y3698" s="75" t="str">
        <f>IF(AND(OR(N3698="131",O3698="131"),H3698='131-CT'!$H$9),"x","")</f>
        <v/>
      </c>
      <c r="Z3698" s="75"/>
      <c r="AA3698" s="75" t="str">
        <f>IF(AND(MONTH(E3698)='IN-NX'!$J$5,'IN-NX'!$D$7=D3698),"x","")</f>
        <v/>
      </c>
      <c r="AB3698" s="75" t="str">
        <f>IF(AND(OR(LEFT(TH!N4671,2)="15",LEFT(TH!O4671,2)="15"),LEFT(TH!O4671,3)&lt;&gt;"111",'152-CT'!$J$8=TH!F4671),"x","")</f>
        <v/>
      </c>
      <c r="AC3698" s="75" t="str">
        <f>IF(AND(OR(LEFT(TH!N4671,2)="15",LEFT(TH!O4671,2)="15"),TK!$E$7=TH!F4671),"x","")</f>
        <v/>
      </c>
      <c r="AD3698" s="75" t="str">
        <f>IF(AND(N3698="1521",MONTH(C3698)='BK-NL'!$M$11),"x","")</f>
        <v/>
      </c>
    </row>
    <row r="3699" spans="1:30" ht="16.5" customHeight="1">
      <c r="A3699" s="309" t="str">
        <f>IF(B3699&lt;&gt;"",IF(AND(B3699='IN-TC'!$S$4,OR(TH!N3699="1111",TH!O3699="1111")),TH!D3699,""),"")</f>
        <v/>
      </c>
      <c r="B3699" s="1169">
        <f t="shared" si="1300"/>
        <v>2</v>
      </c>
      <c r="C3699" s="292">
        <f t="shared" ref="C3699:C3762" si="1301">E3699</f>
        <v>42793</v>
      </c>
      <c r="D3699" s="292" t="s">
        <v>1916</v>
      </c>
      <c r="E3699" s="292">
        <v>42793</v>
      </c>
      <c r="F3699" s="1127" t="s">
        <v>1219</v>
      </c>
      <c r="G3699" s="925" t="s">
        <v>1220</v>
      </c>
      <c r="H3699" s="294" t="s">
        <v>941</v>
      </c>
      <c r="I3699" s="373"/>
      <c r="J3699" s="926"/>
      <c r="K3699" s="373"/>
      <c r="L3699" s="379"/>
      <c r="M3699" s="927">
        <v>900240</v>
      </c>
      <c r="N3699" s="295" t="s">
        <v>101</v>
      </c>
      <c r="O3699" s="295" t="s">
        <v>63</v>
      </c>
      <c r="P3699" s="75" t="str">
        <f>IF(AND('331-CT'!$E$7=TH!H3511,OR(N3699="331",O3699="331")),"x","")</f>
        <v/>
      </c>
      <c r="Q3699" s="75" t="str">
        <f>IF(AND(B3699='111'!$L$11,OR($N3699=$Q$7,$O3699=$Q$7)),"x","")</f>
        <v/>
      </c>
      <c r="R3699" s="75" t="str">
        <f>IF(AND($N3699=$Q$7,$B3699&lt;'111'!$L$11),"x","")</f>
        <v/>
      </c>
      <c r="S3699" s="75" t="str">
        <f>IF(AND($O3699=$Q$7,$B3699&lt;'111'!$L$11),"x","")</f>
        <v>x</v>
      </c>
      <c r="T3699" s="75" t="str">
        <f>IF(ISERROR(FIND('112'!$M$9,G3699,1)),"",IF((AND(FIND('112'!$M$9,G3699,1)&gt;=1,B3699='112'!$K$9,OR($N3699='112'!$I$6,$O3699='112'!$I$6))),"x",""))</f>
        <v/>
      </c>
      <c r="U3699" s="75" t="str">
        <f>IF(ISERROR(FIND('112'!$M$9,G3699,1)),"",IF((AND(LEFT(G3699,2)=LEFT('112'!$M$9,2),B3699&lt;'112'!$K$9,$N3699='112'!$I$6)),"x",""))</f>
        <v/>
      </c>
      <c r="V3699" s="75" t="str">
        <f>IF(ISERROR(FIND('112'!$M$9,G3699,1)),"",IF((AND(RIGHT(G3699,2)=RIGHT('112'!$M$9,2),B3699&lt;'112'!$K$9,$O3699='112'!$I$6)),"x",""))</f>
        <v/>
      </c>
      <c r="W3699" s="75" t="str">
        <f>IF(AND('341-CT'!$H$9=H3699,OR(LEFT(N3699,3)=$W$7,LEFT(O3699,3)=$W$7)),"x","")</f>
        <v/>
      </c>
      <c r="X3699" s="75" t="str">
        <f>IF(OR(TH!N3511=TH!$X$7,O3699=TH!$X$7),"x","")</f>
        <v/>
      </c>
      <c r="Y3699" s="75" t="str">
        <f>IF(AND(OR(N3699="131",O3699="131"),H3699='131-CT'!$H$9),"x","")</f>
        <v/>
      </c>
      <c r="Z3699" s="75"/>
      <c r="AA3699" s="75" t="str">
        <f>IF(AND(MONTH(E3699)='IN-NX'!$J$5,'IN-NX'!$D$7=D3699),"x","")</f>
        <v/>
      </c>
      <c r="AB3699" s="75" t="str">
        <f>IF(AND(OR(LEFT(TH!N3511,2)="15",LEFT(TH!O3511,2)="15"),LEFT(TH!O3511,3)&lt;&gt;"111",'152-CT'!$J$8=TH!F3511),"x","")</f>
        <v/>
      </c>
      <c r="AC3699" s="75" t="str">
        <f>IF(AND(OR(LEFT(TH!N3511,2)="15",LEFT(TH!O3511,2)="15"),TK!$E$7=TH!F3511),"x","")</f>
        <v/>
      </c>
      <c r="AD3699" s="75" t="str">
        <f>IF(AND(N3699="1521",MONTH(C3699)='BK-NL'!$M$11),"x","")</f>
        <v/>
      </c>
    </row>
    <row r="3700" spans="1:30" ht="16.5" customHeight="1">
      <c r="A3700" s="309" t="str">
        <f>IF(B3700&lt;&gt;"",IF(AND(B3700='IN-TC'!$S$4,OR(TH!N3700="1111",TH!O3700="1111")),TH!D3700,""),"")</f>
        <v/>
      </c>
      <c r="B3700" s="1169">
        <f t="shared" si="1300"/>
        <v>2</v>
      </c>
      <c r="C3700" s="292">
        <f t="shared" si="1301"/>
        <v>42793</v>
      </c>
      <c r="D3700" s="292" t="s">
        <v>1916</v>
      </c>
      <c r="E3700" s="292">
        <v>42793</v>
      </c>
      <c r="F3700" s="1127" t="s">
        <v>1221</v>
      </c>
      <c r="G3700" s="925" t="s">
        <v>1220</v>
      </c>
      <c r="H3700" s="294" t="s">
        <v>941</v>
      </c>
      <c r="I3700" s="373"/>
      <c r="J3700" s="926"/>
      <c r="K3700" s="373"/>
      <c r="L3700" s="379"/>
      <c r="M3700" s="927">
        <v>90024</v>
      </c>
      <c r="N3700" s="295" t="s">
        <v>9</v>
      </c>
      <c r="O3700" s="295" t="s">
        <v>63</v>
      </c>
      <c r="P3700" s="75" t="str">
        <f>IF(AND('331-CT'!$E$7=TH!H3512,OR(N3700="331",O3700="331")),"x","")</f>
        <v/>
      </c>
      <c r="Q3700" s="75" t="str">
        <f>IF(AND(B3700='111'!$L$11,OR($N3700=$Q$7,$O3700=$Q$7)),"x","")</f>
        <v/>
      </c>
      <c r="R3700" s="75" t="str">
        <f>IF(AND($N3700=$Q$7,$B3700&lt;'111'!$L$11),"x","")</f>
        <v/>
      </c>
      <c r="S3700" s="75" t="str">
        <f>IF(AND($O3700=$Q$7,$B3700&lt;'111'!$L$11),"x","")</f>
        <v>x</v>
      </c>
      <c r="T3700" s="75" t="str">
        <f>IF(ISERROR(FIND('112'!$M$9,G3700,1)),"",IF((AND(FIND('112'!$M$9,G3700,1)&gt;=1,B3700='112'!$K$9,OR($N3700='112'!$I$6,$O3700='112'!$I$6))),"x",""))</f>
        <v/>
      </c>
      <c r="U3700" s="75" t="str">
        <f>IF(ISERROR(FIND('112'!$M$9,G3700,1)),"",IF((AND(LEFT(G3700,2)=LEFT('112'!$M$9,2),B3700&lt;'112'!$K$9,$N3700='112'!$I$6)),"x",""))</f>
        <v/>
      </c>
      <c r="V3700" s="75" t="str">
        <f>IF(ISERROR(FIND('112'!$M$9,G3700,1)),"",IF((AND(RIGHT(G3700,2)=RIGHT('112'!$M$9,2),B3700&lt;'112'!$K$9,$O3700='112'!$I$6)),"x",""))</f>
        <v/>
      </c>
      <c r="W3700" s="75" t="str">
        <f>IF(AND('341-CT'!$H$9=H3700,OR(LEFT(N3700,3)=$W$7,LEFT(O3700,3)=$W$7)),"x","")</f>
        <v/>
      </c>
      <c r="X3700" s="75" t="str">
        <f>IF(OR(TH!N3512=TH!$X$7,O3700=TH!$X$7),"x","")</f>
        <v/>
      </c>
      <c r="Y3700" s="75" t="str">
        <f>IF(AND(OR(N3700="131",O3700="131"),H3700='131-CT'!$H$9),"x","")</f>
        <v/>
      </c>
      <c r="Z3700" s="75"/>
      <c r="AA3700" s="75" t="str">
        <f>IF(AND(MONTH(E3700)='IN-NX'!$J$5,'IN-NX'!$D$7=D3700),"x","")</f>
        <v/>
      </c>
      <c r="AB3700" s="75" t="str">
        <f>IF(AND(OR(LEFT(TH!N3512,2)="15",LEFT(TH!O3512,2)="15"),LEFT(TH!O3512,3)&lt;&gt;"111",'152-CT'!$J$8=TH!F3512),"x","")</f>
        <v/>
      </c>
      <c r="AC3700" s="75" t="str">
        <f>IF(AND(OR(LEFT(TH!N3512,2)="15",LEFT(TH!O3512,2)="15"),TK!$E$7=TH!F3512),"x","")</f>
        <v/>
      </c>
      <c r="AD3700" s="75" t="str">
        <f>IF(AND(N3700="1521",MONTH(C3700)='BK-NL'!$M$11),"x","")</f>
        <v/>
      </c>
    </row>
    <row r="3701" spans="1:30" ht="16.5" customHeight="1">
      <c r="A3701" s="309" t="str">
        <f>IF(B3701&lt;&gt;"",IF(AND(B3701='IN-TC'!$S$4,OR(TH!N3701="1111",TH!O3701="1111")),TH!D3701,""),"")</f>
        <v/>
      </c>
      <c r="B3701" s="1169">
        <f t="shared" si="1300"/>
        <v>2</v>
      </c>
      <c r="C3701" s="292">
        <f t="shared" si="1301"/>
        <v>42793</v>
      </c>
      <c r="D3701" s="292" t="s">
        <v>1917</v>
      </c>
      <c r="E3701" s="292">
        <v>42793</v>
      </c>
      <c r="F3701" s="293" t="s">
        <v>1777</v>
      </c>
      <c r="G3701" s="925" t="s">
        <v>1180</v>
      </c>
      <c r="H3701" s="67" t="s">
        <v>563</v>
      </c>
      <c r="I3701" s="373"/>
      <c r="J3701" s="926"/>
      <c r="K3701" s="373"/>
      <c r="L3701" s="379"/>
      <c r="M3701" s="927">
        <v>14011470</v>
      </c>
      <c r="N3701" s="295" t="s">
        <v>8</v>
      </c>
      <c r="O3701" s="295" t="s">
        <v>63</v>
      </c>
      <c r="P3701" s="75" t="str">
        <f>IF(AND('331-CT'!$E$7=TH!H3513,OR(N3701="331",O3701="331")),"x","")</f>
        <v/>
      </c>
      <c r="Q3701" s="75" t="str">
        <f>IF(AND(B3701='111'!$L$11,OR($N3701=$Q$7,$O3701=$Q$7)),"x","")</f>
        <v/>
      </c>
      <c r="R3701" s="75" t="str">
        <f>IF(AND($N3701=$Q$7,$B3701&lt;'111'!$L$11),"x","")</f>
        <v/>
      </c>
      <c r="S3701" s="75" t="str">
        <f>IF(AND($O3701=$Q$7,$B3701&lt;'111'!$L$11),"x","")</f>
        <v>x</v>
      </c>
      <c r="T3701" s="75" t="str">
        <f>IF(ISERROR(FIND('112'!$M$9,G3701,1)),"",IF((AND(FIND('112'!$M$9,G3701,1)&gt;=1,B3701='112'!$K$9,OR($N3701='112'!$I$6,$O3701='112'!$I$6))),"x",""))</f>
        <v/>
      </c>
      <c r="U3701" s="75" t="str">
        <f>IF(ISERROR(FIND('112'!$M$9,G3701,1)),"",IF((AND(LEFT(G3701,2)=LEFT('112'!$M$9,2),B3701&lt;'112'!$K$9,$N3701='112'!$I$6)),"x",""))</f>
        <v/>
      </c>
      <c r="V3701" s="75" t="str">
        <f>IF(ISERROR(FIND('112'!$M$9,G3701,1)),"",IF((AND(RIGHT(G3701,2)=RIGHT('112'!$M$9,2),B3701&lt;'112'!$K$9,$O3701='112'!$I$6)),"x",""))</f>
        <v/>
      </c>
      <c r="W3701" s="75" t="str">
        <f>IF(AND('341-CT'!$H$9=H3701,OR(LEFT(N3701,3)=$W$7,LEFT(O3701,3)=$W$7)),"x","")</f>
        <v/>
      </c>
      <c r="X3701" s="75" t="str">
        <f>IF(OR(TH!N3513=TH!$X$7,O3701=TH!$X$7),"x","")</f>
        <v/>
      </c>
      <c r="Y3701" s="75" t="str">
        <f>IF(AND(OR(N3701="131",O3701="131"),H3701='131-CT'!$H$9),"x","")</f>
        <v/>
      </c>
      <c r="Z3701" s="75"/>
      <c r="AA3701" s="75" t="str">
        <f>IF(AND(MONTH(E3701)='IN-NX'!$J$5,'IN-NX'!$D$7=D3701),"x","")</f>
        <v/>
      </c>
      <c r="AB3701" s="75" t="str">
        <f>IF(AND(OR(LEFT(TH!N3513,2)="15",LEFT(TH!O3513,2)="15"),LEFT(TH!O3513,3)&lt;&gt;"111",'152-CT'!$J$8=TH!F3513),"x","")</f>
        <v/>
      </c>
      <c r="AC3701" s="75" t="str">
        <f>IF(AND(OR(LEFT(TH!N3513,2)="15",LEFT(TH!O3513,2)="15"),TK!$E$7=TH!F3513),"x","")</f>
        <v/>
      </c>
      <c r="AD3701" s="75" t="str">
        <f>IF(AND(N3701="1521",MONTH(C3701)='BK-NL'!$M$11),"x","")</f>
        <v/>
      </c>
    </row>
    <row r="3702" spans="1:30" ht="16.5" customHeight="1">
      <c r="A3702" s="309" t="str">
        <f>IF(B3702&lt;&gt;"",IF(AND(B3702='IN-TC'!$S$4,OR(TH!N3702="1111",TH!O3702="1111")),TH!D3702,""),"")</f>
        <v/>
      </c>
      <c r="B3702" s="1131">
        <f t="shared" si="1300"/>
        <v>2</v>
      </c>
      <c r="C3702" s="292">
        <f t="shared" si="1301"/>
        <v>42794</v>
      </c>
      <c r="D3702" s="292" t="s">
        <v>854</v>
      </c>
      <c r="E3702" s="292">
        <v>42794</v>
      </c>
      <c r="F3702" s="67" t="s">
        <v>834</v>
      </c>
      <c r="G3702" s="943" t="s">
        <v>585</v>
      </c>
      <c r="H3702" s="67" t="s">
        <v>1023</v>
      </c>
      <c r="I3702" s="373"/>
      <c r="J3702" s="926"/>
      <c r="K3702" s="373"/>
      <c r="L3702" s="379"/>
      <c r="M3702" s="927">
        <v>5190000000</v>
      </c>
      <c r="N3702" s="295" t="s">
        <v>63</v>
      </c>
      <c r="O3702" s="295" t="s">
        <v>26</v>
      </c>
      <c r="P3702" s="75" t="str">
        <f>IF(AND('331-CT'!$E$7=TH!H4674,OR(N3702="331",O3702="331")),"x","")</f>
        <v/>
      </c>
      <c r="Q3702" s="75" t="str">
        <f>IF(AND(B3702='111'!$L$11,OR($N3702=$Q$7,$O3702=$Q$7)),"x","")</f>
        <v/>
      </c>
      <c r="R3702" s="75" t="str">
        <f>IF(AND($N3702=$Q$7,$B3702&lt;'111'!$L$11),"x","")</f>
        <v>x</v>
      </c>
      <c r="S3702" s="75" t="str">
        <f>IF(AND($O3702=$Q$7,$B3702&lt;'111'!$L$11),"x","")</f>
        <v/>
      </c>
      <c r="T3702" s="75" t="str">
        <f>IF(ISERROR(FIND('112'!$M$9,G3702,1)),"",IF((AND(FIND('112'!$M$9,G3702,1)&gt;=1,B3702='112'!$K$9,OR($N3702='112'!$I$6,$O3702='112'!$I$6))),"x",""))</f>
        <v/>
      </c>
      <c r="U3702" s="75" t="str">
        <f>IF(ISERROR(FIND('112'!$M$9,G3702,1)),"",IF((AND(LEFT(G3702,2)=LEFT('112'!$M$9,2),B3702&lt;'112'!$K$9,$N3702='112'!$I$6)),"x",""))</f>
        <v/>
      </c>
      <c r="V3702" s="75" t="str">
        <f>IF(ISERROR(FIND('112'!$M$9,G3702,1)),"",IF((AND(RIGHT(G3702,2)=RIGHT('112'!$M$9,2),B3702&lt;'112'!$K$9,$O3702='112'!$I$6)),"x",""))</f>
        <v/>
      </c>
      <c r="W3702" s="75" t="str">
        <f>IF(AND('341-CT'!$H$9=H3702,OR(LEFT(N3702,3)=$W$7,LEFT(O3702,3)=$W$7)),"x","")</f>
        <v/>
      </c>
      <c r="X3702" s="75" t="str">
        <f>IF(OR(TH!N4674=TH!$X$7,O3702=TH!$X$7),"x","")</f>
        <v/>
      </c>
      <c r="Y3702" s="75" t="str">
        <f>IF(AND(OR(N3702="131",O3702="131"),H3702='131-CT'!$H$9),"x","")</f>
        <v/>
      </c>
      <c r="Z3702" s="75"/>
      <c r="AA3702" s="75" t="str">
        <f>IF(AND(MONTH(E3702)='IN-NX'!$J$5,'IN-NX'!$D$7=D3702),"x","")</f>
        <v/>
      </c>
      <c r="AB3702" s="75" t="str">
        <f>IF(AND(OR(LEFT(TH!N4674,2)="15",LEFT(TH!O4674,2)="15"),LEFT(TH!O4674,3)&lt;&gt;"111",'152-CT'!$J$8=TH!F4674),"x","")</f>
        <v/>
      </c>
      <c r="AC3702" s="75" t="str">
        <f>IF(AND(OR(LEFT(TH!N4674,2)="15",LEFT(TH!O4674,2)="15"),TK!$E$7=TH!F4674),"x","")</f>
        <v/>
      </c>
      <c r="AD3702" s="75" t="str">
        <f>IF(AND(N3702="1521",MONTH(C3702)='BK-NL'!$M$11),"x","")</f>
        <v/>
      </c>
    </row>
    <row r="3703" spans="1:30" ht="16.5" customHeight="1">
      <c r="A3703" s="309" t="str">
        <f>IF(B3703&lt;&gt;"",IF(AND(B3703='IN-TC'!$S$4,OR(TH!N3703="1111",TH!O3703="1111")),TH!D3703,""),"")</f>
        <v/>
      </c>
      <c r="B3703" s="1131">
        <f t="shared" si="1300"/>
        <v>2</v>
      </c>
      <c r="C3703" s="292">
        <f t="shared" si="1301"/>
        <v>42794</v>
      </c>
      <c r="D3703" s="292" t="s">
        <v>1963</v>
      </c>
      <c r="E3703" s="292">
        <v>42794</v>
      </c>
      <c r="F3703" s="1125" t="s">
        <v>890</v>
      </c>
      <c r="G3703" s="925" t="s">
        <v>1053</v>
      </c>
      <c r="H3703" s="67" t="s">
        <v>893</v>
      </c>
      <c r="I3703" s="373"/>
      <c r="J3703" s="926"/>
      <c r="K3703" s="373"/>
      <c r="L3703" s="379"/>
      <c r="M3703" s="927">
        <v>3716836</v>
      </c>
      <c r="N3703" s="295" t="s">
        <v>101</v>
      </c>
      <c r="O3703" s="295" t="s">
        <v>63</v>
      </c>
      <c r="P3703" s="75" t="str">
        <f>IF(AND('331-CT'!$E$7=TH!H3505,OR(N3703="331",O3703="331")),"x","")</f>
        <v/>
      </c>
      <c r="Q3703" s="75" t="str">
        <f>IF(AND(B3703='111'!$L$11,OR($N3703=$Q$7,$O3703=$Q$7)),"x","")</f>
        <v/>
      </c>
      <c r="R3703" s="75" t="str">
        <f>IF(AND($N3703=$Q$7,$B3703&lt;'111'!$L$11),"x","")</f>
        <v/>
      </c>
      <c r="S3703" s="75" t="str">
        <f>IF(AND($O3703=$Q$7,$B3703&lt;'111'!$L$11),"x","")</f>
        <v>x</v>
      </c>
      <c r="T3703" s="75" t="str">
        <f>IF(ISERROR(FIND('112'!$M$9,G3703,1)),"",IF((AND(FIND('112'!$M$9,G3703,1)&gt;=1,B3703='112'!$K$9,OR($N3703='112'!$I$6,$O3703='112'!$I$6))),"x",""))</f>
        <v/>
      </c>
      <c r="U3703" s="75" t="str">
        <f>IF(ISERROR(FIND('112'!$M$9,G3703,1)),"",IF((AND(LEFT(G3703,2)=LEFT('112'!$M$9,2),B3703&lt;'112'!$K$9,$N3703='112'!$I$6)),"x",""))</f>
        <v/>
      </c>
      <c r="V3703" s="75" t="str">
        <f>IF(ISERROR(FIND('112'!$M$9,G3703,1)),"",IF((AND(RIGHT(G3703,2)=RIGHT('112'!$M$9,2),B3703&lt;'112'!$K$9,$O3703='112'!$I$6)),"x",""))</f>
        <v/>
      </c>
      <c r="W3703" s="75" t="str">
        <f>IF(AND('341-CT'!$H$9=H3703,OR(LEFT(N3703,3)=$W$7,LEFT(O3703,3)=$W$7)),"x","")</f>
        <v/>
      </c>
      <c r="X3703" s="75" t="str">
        <f>IF(OR(TH!N3505=TH!$X$7,O3703=TH!$X$7),"x","")</f>
        <v/>
      </c>
      <c r="Y3703" s="75" t="str">
        <f>IF(AND(OR(N3703="131",O3703="131"),H3703='131-CT'!$H$9),"x","")</f>
        <v/>
      </c>
      <c r="Z3703" s="75"/>
      <c r="AA3703" s="75" t="str">
        <f>IF(AND(MONTH(E3703)='IN-NX'!$J$5,'IN-NX'!$D$7=D3703),"x","")</f>
        <v/>
      </c>
      <c r="AB3703" s="75" t="str">
        <f>IF(AND(OR(LEFT(TH!N3505,2)="15",LEFT(TH!O3505,2)="15"),LEFT(TH!O3505,3)&lt;&gt;"111",'152-CT'!$J$8=TH!F3505),"x","")</f>
        <v/>
      </c>
      <c r="AC3703" s="75" t="str">
        <f>IF(AND(OR(LEFT(TH!N3505,2)="15",LEFT(TH!O3505,2)="15"),TK!$E$7=TH!F3505),"x","")</f>
        <v/>
      </c>
      <c r="AD3703" s="75" t="str">
        <f>IF(AND(N3703="1521",MONTH(C3703)='BK-NL'!$M$11),"x","")</f>
        <v/>
      </c>
    </row>
    <row r="3704" spans="1:30" ht="16.5" customHeight="1">
      <c r="A3704" s="309" t="str">
        <f>IF(B3704&lt;&gt;"",IF(AND(B3704='IN-TC'!$S$4,OR(TH!N3704="1111",TH!O3704="1111")),TH!D3704,""),"")</f>
        <v/>
      </c>
      <c r="B3704" s="1131">
        <f t="shared" si="1300"/>
        <v>2</v>
      </c>
      <c r="C3704" s="292">
        <f t="shared" si="1301"/>
        <v>42794</v>
      </c>
      <c r="D3704" s="292" t="s">
        <v>1963</v>
      </c>
      <c r="E3704" s="292">
        <v>42794</v>
      </c>
      <c r="F3704" s="1125" t="s">
        <v>891</v>
      </c>
      <c r="G3704" s="925" t="s">
        <v>1053</v>
      </c>
      <c r="H3704" s="67" t="s">
        <v>893</v>
      </c>
      <c r="I3704" s="373"/>
      <c r="J3704" s="926"/>
      <c r="K3704" s="373"/>
      <c r="L3704" s="379"/>
      <c r="M3704" s="927">
        <v>371684</v>
      </c>
      <c r="N3704" s="295" t="s">
        <v>9</v>
      </c>
      <c r="O3704" s="295" t="s">
        <v>63</v>
      </c>
      <c r="P3704" s="75" t="str">
        <f>IF(AND('331-CT'!$E$7=TH!H3506,OR(N3704="331",O3704="331")),"x","")</f>
        <v/>
      </c>
      <c r="Q3704" s="75" t="str">
        <f>IF(AND(B3704='111'!$L$11,OR($N3704=$Q$7,$O3704=$Q$7)),"x","")</f>
        <v/>
      </c>
      <c r="R3704" s="75" t="str">
        <f>IF(AND($N3704=$Q$7,$B3704&lt;'111'!$L$11),"x","")</f>
        <v/>
      </c>
      <c r="S3704" s="75" t="str">
        <f>IF(AND($O3704=$Q$7,$B3704&lt;'111'!$L$11),"x","")</f>
        <v>x</v>
      </c>
      <c r="T3704" s="75" t="str">
        <f>IF(ISERROR(FIND('112'!$M$9,G3704,1)),"",IF((AND(FIND('112'!$M$9,G3704,1)&gt;=1,B3704='112'!$K$9,OR($N3704='112'!$I$6,$O3704='112'!$I$6))),"x",""))</f>
        <v/>
      </c>
      <c r="U3704" s="75" t="str">
        <f>IF(ISERROR(FIND('112'!$M$9,G3704,1)),"",IF((AND(LEFT(G3704,2)=LEFT('112'!$M$9,2),B3704&lt;'112'!$K$9,$N3704='112'!$I$6)),"x",""))</f>
        <v/>
      </c>
      <c r="V3704" s="75" t="str">
        <f>IF(ISERROR(FIND('112'!$M$9,G3704,1)),"",IF((AND(RIGHT(G3704,2)=RIGHT('112'!$M$9,2),B3704&lt;'112'!$K$9,$O3704='112'!$I$6)),"x",""))</f>
        <v/>
      </c>
      <c r="W3704" s="75" t="str">
        <f>IF(AND('341-CT'!$H$9=H3704,OR(LEFT(N3704,3)=$W$7,LEFT(O3704,3)=$W$7)),"x","")</f>
        <v/>
      </c>
      <c r="X3704" s="75" t="str">
        <f>IF(OR(TH!N3506=TH!$X$7,O3704=TH!$X$7),"x","")</f>
        <v/>
      </c>
      <c r="Y3704" s="75" t="str">
        <f>IF(AND(OR(N3704="131",O3704="131"),H3704='131-CT'!$H$9),"x","")</f>
        <v/>
      </c>
      <c r="Z3704" s="75"/>
      <c r="AA3704" s="75" t="str">
        <f>IF(AND(MONTH(E3704)='IN-NX'!$J$5,'IN-NX'!$D$7=D3704),"x","")</f>
        <v/>
      </c>
      <c r="AB3704" s="75" t="str">
        <f>IF(AND(OR(LEFT(TH!N3506,2)="15",LEFT(TH!O3506,2)="15"),LEFT(TH!O3506,3)&lt;&gt;"111",'152-CT'!$J$8=TH!F3506),"x","")</f>
        <v/>
      </c>
      <c r="AC3704" s="75" t="str">
        <f>IF(AND(OR(LEFT(TH!N3506,2)="15",LEFT(TH!O3506,2)="15"),TK!$E$7=TH!F3506),"x","")</f>
        <v/>
      </c>
      <c r="AD3704" s="75" t="str">
        <f>IF(AND(N3704="1521",MONTH(C3704)='BK-NL'!$M$11),"x","")</f>
        <v/>
      </c>
    </row>
    <row r="3705" spans="1:30" ht="16.5" customHeight="1">
      <c r="A3705" s="309" t="str">
        <f>IF(B3705&lt;&gt;"",IF(AND(B3705='IN-TC'!$S$4,OR(TH!N3705="1111",TH!O3705="1111")),TH!D3705,""),"")</f>
        <v/>
      </c>
      <c r="B3705" s="1131">
        <f t="shared" si="1300"/>
        <v>2</v>
      </c>
      <c r="C3705" s="292">
        <f t="shared" si="1301"/>
        <v>42794</v>
      </c>
      <c r="D3705" s="292" t="s">
        <v>1966</v>
      </c>
      <c r="E3705" s="292">
        <v>42794</v>
      </c>
      <c r="F3705" s="1125" t="s">
        <v>1104</v>
      </c>
      <c r="G3705" s="925" t="s">
        <v>1105</v>
      </c>
      <c r="H3705" s="67" t="s">
        <v>1106</v>
      </c>
      <c r="I3705" s="373"/>
      <c r="J3705" s="926"/>
      <c r="K3705" s="373"/>
      <c r="L3705" s="379"/>
      <c r="M3705" s="927">
        <v>3480000</v>
      </c>
      <c r="N3705" s="295" t="s">
        <v>539</v>
      </c>
      <c r="O3705" s="295" t="s">
        <v>63</v>
      </c>
      <c r="P3705" s="75" t="str">
        <f>IF(AND('331-CT'!$E$7=TH!H3507,OR(N3705="331",O3705="331")),"x","")</f>
        <v/>
      </c>
      <c r="Q3705" s="75" t="str">
        <f>IF(AND(B3705='111'!$L$11,OR($N3705=$Q$7,$O3705=$Q$7)),"x","")</f>
        <v/>
      </c>
      <c r="R3705" s="75" t="str">
        <f>IF(AND($N3705=$Q$7,$B3705&lt;'111'!$L$11),"x","")</f>
        <v/>
      </c>
      <c r="S3705" s="75" t="str">
        <f>IF(AND($O3705=$Q$7,$B3705&lt;'111'!$L$11),"x","")</f>
        <v>x</v>
      </c>
      <c r="T3705" s="75" t="str">
        <f>IF(ISERROR(FIND('112'!$M$9,G3705,1)),"",IF((AND(FIND('112'!$M$9,G3705,1)&gt;=1,B3705='112'!$K$9,OR($N3705='112'!$I$6,$O3705='112'!$I$6))),"x",""))</f>
        <v/>
      </c>
      <c r="U3705" s="75" t="str">
        <f>IF(ISERROR(FIND('112'!$M$9,G3705,1)),"",IF((AND(LEFT(G3705,2)=LEFT('112'!$M$9,2),B3705&lt;'112'!$K$9,$N3705='112'!$I$6)),"x",""))</f>
        <v/>
      </c>
      <c r="V3705" s="75" t="str">
        <f>IF(ISERROR(FIND('112'!$M$9,G3705,1)),"",IF((AND(RIGHT(G3705,2)=RIGHT('112'!$M$9,2),B3705&lt;'112'!$K$9,$O3705='112'!$I$6)),"x",""))</f>
        <v/>
      </c>
      <c r="W3705" s="75" t="str">
        <f>IF(AND('341-CT'!$H$9=H3705,OR(LEFT(N3705,3)=$W$7,LEFT(O3705,3)=$W$7)),"x","")</f>
        <v/>
      </c>
      <c r="X3705" s="75" t="str">
        <f>IF(OR(TH!N3507=TH!$X$7,O3705=TH!$X$7),"x","")</f>
        <v/>
      </c>
      <c r="Y3705" s="75" t="str">
        <f>IF(AND(OR(N3705="131",O3705="131"),H3705='131-CT'!$H$9),"x","")</f>
        <v/>
      </c>
      <c r="Z3705" s="75"/>
      <c r="AA3705" s="75" t="str">
        <f>IF(AND(MONTH(E3705)='IN-NX'!$J$5,'IN-NX'!$D$7=D3705),"x","")</f>
        <v/>
      </c>
      <c r="AB3705" s="75" t="str">
        <f>IF(AND(OR(LEFT(TH!N3507,2)="15",LEFT(TH!O3507,2)="15"),LEFT(TH!O3507,3)&lt;&gt;"111",'152-CT'!$J$8=TH!F3507),"x","")</f>
        <v/>
      </c>
      <c r="AC3705" s="75" t="str">
        <f>IF(AND(OR(LEFT(TH!N3507,2)="15",LEFT(TH!O3507,2)="15"),TK!$E$7=TH!F3507),"x","")</f>
        <v/>
      </c>
      <c r="AD3705" s="75" t="str">
        <f>IF(AND(N3705="1521",MONTH(C3705)='BK-NL'!$M$11),"x","")</f>
        <v/>
      </c>
    </row>
    <row r="3706" spans="1:30" ht="16.5" customHeight="1">
      <c r="A3706" s="309" t="str">
        <f>IF(B3706&lt;&gt;"",IF(AND(B3706='IN-TC'!$S$4,OR(TH!N3706="1111",TH!O3706="1111")),TH!D3706,""),"")</f>
        <v/>
      </c>
      <c r="B3706" s="1131">
        <f t="shared" si="1300"/>
        <v>2</v>
      </c>
      <c r="C3706" s="292">
        <f t="shared" si="1301"/>
        <v>42794</v>
      </c>
      <c r="D3706" s="292" t="s">
        <v>1967</v>
      </c>
      <c r="E3706" s="292">
        <v>42794</v>
      </c>
      <c r="F3706" s="1125" t="s">
        <v>1054</v>
      </c>
      <c r="G3706" s="925"/>
      <c r="H3706" s="67" t="s">
        <v>980</v>
      </c>
      <c r="I3706" s="373"/>
      <c r="J3706" s="926"/>
      <c r="K3706" s="373"/>
      <c r="L3706" s="379"/>
      <c r="M3706" s="927">
        <v>93171335</v>
      </c>
      <c r="N3706" s="295" t="s">
        <v>540</v>
      </c>
      <c r="O3706" s="295" t="s">
        <v>63</v>
      </c>
      <c r="P3706" s="75" t="str">
        <f>IF(AND('331-CT'!$E$7=TH!H3508,OR(N3706="331",O3706="331")),"x","")</f>
        <v/>
      </c>
      <c r="Q3706" s="75" t="str">
        <f>IF(AND(B3706='111'!$L$11,OR($N3706=$Q$7,$O3706=$Q$7)),"x","")</f>
        <v/>
      </c>
      <c r="R3706" s="75" t="str">
        <f>IF(AND($N3706=$Q$7,$B3706&lt;'111'!$L$11),"x","")</f>
        <v/>
      </c>
      <c r="S3706" s="75" t="str">
        <f>IF(AND($O3706=$Q$7,$B3706&lt;'111'!$L$11),"x","")</f>
        <v>x</v>
      </c>
      <c r="T3706" s="75" t="str">
        <f>IF(ISERROR(FIND('112'!$M$9,G3706,1)),"",IF((AND(FIND('112'!$M$9,G3706,1)&gt;=1,B3706='112'!$K$9,OR($N3706='112'!$I$6,$O3706='112'!$I$6))),"x",""))</f>
        <v/>
      </c>
      <c r="U3706" s="75" t="str">
        <f>IF(ISERROR(FIND('112'!$M$9,G3706,1)),"",IF((AND(LEFT(G3706,2)=LEFT('112'!$M$9,2),B3706&lt;'112'!$K$9,$N3706='112'!$I$6)),"x",""))</f>
        <v/>
      </c>
      <c r="V3706" s="75" t="str">
        <f>IF(ISERROR(FIND('112'!$M$9,G3706,1)),"",IF((AND(RIGHT(G3706,2)=RIGHT('112'!$M$9,2),B3706&lt;'112'!$K$9,$O3706='112'!$I$6)),"x",""))</f>
        <v/>
      </c>
      <c r="W3706" s="75" t="str">
        <f>IF(AND('341-CT'!$H$9=H3706,OR(LEFT(N3706,3)=$W$7,LEFT(O3706,3)=$W$7)),"x","")</f>
        <v/>
      </c>
      <c r="X3706" s="75" t="str">
        <f>IF(OR(TH!N3508=TH!$X$7,O3706=TH!$X$7),"x","")</f>
        <v/>
      </c>
      <c r="Y3706" s="75" t="str">
        <f>IF(AND(OR(N3706="131",O3706="131"),H3706='131-CT'!$H$9),"x","")</f>
        <v/>
      </c>
      <c r="Z3706" s="75"/>
      <c r="AA3706" s="75" t="str">
        <f>IF(AND(MONTH(E3706)='IN-NX'!$J$5,'IN-NX'!$D$7=D3706),"x","")</f>
        <v/>
      </c>
      <c r="AB3706" s="75" t="str">
        <f>IF(AND(OR(LEFT(TH!N3508,2)="15",LEFT(TH!O3508,2)="15"),LEFT(TH!O3508,3)&lt;&gt;"111",'152-CT'!$J$8=TH!F3508),"x","")</f>
        <v/>
      </c>
      <c r="AC3706" s="75" t="str">
        <f>IF(AND(OR(LEFT(TH!N3508,2)="15",LEFT(TH!O3508,2)="15"),TK!$E$7=TH!F3508),"x","")</f>
        <v/>
      </c>
      <c r="AD3706" s="75" t="str">
        <f>IF(AND(N3706="1521",MONTH(C3706)='BK-NL'!$M$11),"x","")</f>
        <v/>
      </c>
    </row>
    <row r="3707" spans="1:30" ht="16.5" customHeight="1">
      <c r="A3707" s="309" t="str">
        <f>IF(B3707&lt;&gt;"",IF(AND(B3707='IN-TC'!$S$4,OR(TH!N3707="1111",TH!O3707="1111")),TH!D3707,""),"")</f>
        <v/>
      </c>
      <c r="B3707" s="1131">
        <f t="shared" si="1300"/>
        <v>2</v>
      </c>
      <c r="C3707" s="292">
        <f t="shared" si="1301"/>
        <v>42794</v>
      </c>
      <c r="D3707" s="292" t="s">
        <v>1968</v>
      </c>
      <c r="E3707" s="292">
        <v>42794</v>
      </c>
      <c r="F3707" s="1125" t="s">
        <v>1410</v>
      </c>
      <c r="G3707" s="925"/>
      <c r="H3707" s="67" t="s">
        <v>1414</v>
      </c>
      <c r="I3707" s="373"/>
      <c r="J3707" s="926"/>
      <c r="K3707" s="373"/>
      <c r="L3707" s="379"/>
      <c r="M3707" s="927">
        <v>21948000</v>
      </c>
      <c r="N3707" s="295" t="s">
        <v>541</v>
      </c>
      <c r="O3707" s="295" t="s">
        <v>63</v>
      </c>
      <c r="P3707" s="75" t="str">
        <f>IF(AND('331-CT'!$E$7=TH!H3509,OR(N3707="331",O3707="331")),"x","")</f>
        <v/>
      </c>
      <c r="Q3707" s="75" t="str">
        <f>IF(AND(B3707='111'!$L$11,OR($N3707=$Q$7,$O3707=$Q$7)),"x","")</f>
        <v/>
      </c>
      <c r="R3707" s="75" t="str">
        <f>IF(AND($N3707=$Q$7,$B3707&lt;'111'!$L$11),"x","")</f>
        <v/>
      </c>
      <c r="S3707" s="75" t="str">
        <f>IF(AND($O3707=$Q$7,$B3707&lt;'111'!$L$11),"x","")</f>
        <v>x</v>
      </c>
      <c r="T3707" s="75" t="str">
        <f>IF(ISERROR(FIND('112'!$M$9,G3707,1)),"",IF((AND(FIND('112'!$M$9,G3707,1)&gt;=1,B3707='112'!$K$9,OR($N3707='112'!$I$6,$O3707='112'!$I$6))),"x",""))</f>
        <v/>
      </c>
      <c r="U3707" s="75" t="str">
        <f>IF(ISERROR(FIND('112'!$M$9,G3707,1)),"",IF((AND(LEFT(G3707,2)=LEFT('112'!$M$9,2),B3707&lt;'112'!$K$9,$N3707='112'!$I$6)),"x",""))</f>
        <v/>
      </c>
      <c r="V3707" s="75" t="str">
        <f>IF(ISERROR(FIND('112'!$M$9,G3707,1)),"",IF((AND(RIGHT(G3707,2)=RIGHT('112'!$M$9,2),B3707&lt;'112'!$K$9,$O3707='112'!$I$6)),"x",""))</f>
        <v/>
      </c>
      <c r="W3707" s="75" t="str">
        <f>IF(AND('341-CT'!$H$9=H3707,OR(LEFT(N3707,3)=$W$7,LEFT(O3707,3)=$W$7)),"x","")</f>
        <v/>
      </c>
      <c r="X3707" s="75" t="str">
        <f>IF(OR(TH!N3509=TH!$X$7,O3707=TH!$X$7),"x","")</f>
        <v/>
      </c>
      <c r="Y3707" s="75" t="str">
        <f>IF(AND(OR(N3707="131",O3707="131"),H3707='131-CT'!$H$9),"x","")</f>
        <v/>
      </c>
      <c r="Z3707" s="75"/>
      <c r="AA3707" s="75" t="str">
        <f>IF(AND(MONTH(E3707)='IN-NX'!$J$5,'IN-NX'!$D$7=D3707),"x","")</f>
        <v/>
      </c>
      <c r="AB3707" s="75" t="str">
        <f>IF(AND(OR(LEFT(TH!N3509,2)="15",LEFT(TH!O3509,2)="15"),LEFT(TH!O3509,3)&lt;&gt;"111",'152-CT'!$J$8=TH!F3509),"x","")</f>
        <v/>
      </c>
      <c r="AC3707" s="75" t="str">
        <f>IF(AND(OR(LEFT(TH!N3509,2)="15",LEFT(TH!O3509,2)="15"),TK!$E$7=TH!F3509),"x","")</f>
        <v/>
      </c>
      <c r="AD3707" s="75" t="str">
        <f>IF(AND(N3707="1521",MONTH(C3707)='BK-NL'!$M$11),"x","")</f>
        <v/>
      </c>
    </row>
    <row r="3708" spans="1:30" ht="16.5" customHeight="1">
      <c r="A3708" s="309" t="str">
        <f>IF(B3708&lt;&gt;"",IF(AND(B3708='IN-TC'!$S$4,OR(TH!N3708="1111",TH!O3708="1111")),TH!D3708,""),"")</f>
        <v/>
      </c>
      <c r="B3708" s="1131">
        <f t="shared" si="1300"/>
        <v>2</v>
      </c>
      <c r="C3708" s="292">
        <f t="shared" si="1301"/>
        <v>42794</v>
      </c>
      <c r="D3708" s="59" t="s">
        <v>902</v>
      </c>
      <c r="E3708" s="292">
        <v>42794</v>
      </c>
      <c r="F3708" s="1127" t="s">
        <v>870</v>
      </c>
      <c r="G3708" s="62" t="s">
        <v>585</v>
      </c>
      <c r="H3708" s="67" t="s">
        <v>845</v>
      </c>
      <c r="I3708" s="373"/>
      <c r="J3708" s="379"/>
      <c r="K3708" s="373"/>
      <c r="L3708" s="379"/>
      <c r="M3708" s="60">
        <v>70688</v>
      </c>
      <c r="N3708" s="61" t="s">
        <v>101</v>
      </c>
      <c r="O3708" s="61" t="s">
        <v>26</v>
      </c>
      <c r="P3708" s="75" t="str">
        <f>IF(AND('331-CT'!$E$7=TH!H4672,OR(N3708="331",O3708="331")),"x","")</f>
        <v/>
      </c>
      <c r="Q3708" s="75" t="str">
        <f>IF(AND(B3708='111'!$L$11,OR($N3708=$Q$7,$O3708=$Q$7)),"x","")</f>
        <v/>
      </c>
      <c r="R3708" s="75" t="str">
        <f>IF(AND($N3708=$Q$7,$B3708&lt;'111'!$L$11),"x","")</f>
        <v/>
      </c>
      <c r="S3708" s="75" t="str">
        <f>IF(AND($O3708=$Q$7,$B3708&lt;'111'!$L$11),"x","")</f>
        <v/>
      </c>
      <c r="T3708" s="75" t="str">
        <f>IF(ISERROR(FIND('112'!$M$9,G3708,1)),"",IF((AND(FIND('112'!$M$9,G3708,1)&gt;=1,B3708='112'!$K$9,OR($N3708='112'!$I$6,$O3708='112'!$I$6))),"x",""))</f>
        <v/>
      </c>
      <c r="U3708" s="75" t="str">
        <f>IF(ISERROR(FIND('112'!$M$9,G3708,1)),"",IF((AND(LEFT(G3708,2)=LEFT('112'!$M$9,2),B3708&lt;'112'!$K$9,$N3708='112'!$I$6)),"x",""))</f>
        <v/>
      </c>
      <c r="V3708" s="75" t="str">
        <f>IF(ISERROR(FIND('112'!$M$9,G3708,1)),"",IF((AND(RIGHT(G3708,2)=RIGHT('112'!$M$9,2),B3708&lt;'112'!$K$9,$O3708='112'!$I$6)),"x",""))</f>
        <v/>
      </c>
      <c r="W3708" s="75" t="str">
        <f>IF(AND('341-CT'!$H$9=H3708,OR(LEFT(N3708,3)=$W$7,LEFT(O3708,3)=$W$7)),"x","")</f>
        <v/>
      </c>
      <c r="X3708" s="75" t="str">
        <f>IF(OR(TH!N4672=TH!$X$7,O3708=TH!$X$7),"x","")</f>
        <v/>
      </c>
      <c r="Y3708" s="75" t="str">
        <f>IF(AND(OR(N3708="131",O3708="131"),H3708='131-CT'!$H$9),"x","")</f>
        <v/>
      </c>
      <c r="Z3708" s="75"/>
      <c r="AA3708" s="75" t="str">
        <f>IF(AND(MONTH(E3708)='IN-NX'!$J$5,'IN-NX'!$D$7=D3708),"x","")</f>
        <v/>
      </c>
      <c r="AB3708" s="75" t="str">
        <f>IF(AND(OR(LEFT(TH!N4672,2)="15",LEFT(TH!O4672,2)="15"),LEFT(TH!O4672,3)&lt;&gt;"111",'152-CT'!$J$8=TH!F4672),"x","")</f>
        <v/>
      </c>
      <c r="AC3708" s="75" t="str">
        <f>IF(AND(OR(LEFT(TH!N4672,2)="15",LEFT(TH!O4672,2)="15"),TK!$E$7=TH!F4672),"x","")</f>
        <v/>
      </c>
      <c r="AD3708" s="75" t="str">
        <f>IF(AND(N3708="1521",MONTH(C3708)='BK-NL'!$M$11),"x","")</f>
        <v/>
      </c>
    </row>
    <row r="3709" spans="1:30" ht="16.5" customHeight="1">
      <c r="A3709" s="309" t="str">
        <f>IF(B3709&lt;&gt;"",IF(AND(B3709='IN-TC'!$S$4,OR(TH!N3709="1111",TH!O3709="1111")),TH!D3709,""),"")</f>
        <v/>
      </c>
      <c r="B3709" s="1131">
        <f t="shared" si="1300"/>
        <v>2</v>
      </c>
      <c r="C3709" s="292">
        <f t="shared" si="1301"/>
        <v>42794</v>
      </c>
      <c r="D3709" s="59" t="s">
        <v>902</v>
      </c>
      <c r="E3709" s="292">
        <v>42794</v>
      </c>
      <c r="F3709" s="67" t="s">
        <v>898</v>
      </c>
      <c r="G3709" s="62" t="s">
        <v>585</v>
      </c>
      <c r="H3709" s="67" t="s">
        <v>845</v>
      </c>
      <c r="I3709" s="373"/>
      <c r="J3709" s="379"/>
      <c r="K3709" s="373"/>
      <c r="L3709" s="379"/>
      <c r="M3709" s="60">
        <v>7069</v>
      </c>
      <c r="N3709" s="61" t="s">
        <v>9</v>
      </c>
      <c r="O3709" s="61" t="s">
        <v>26</v>
      </c>
      <c r="P3709" s="75" t="str">
        <f>IF(AND('331-CT'!$E$7=TH!H4673,OR(N3709="331",O3709="331")),"x","")</f>
        <v/>
      </c>
      <c r="Q3709" s="75" t="str">
        <f>IF(AND(B3709='111'!$L$11,OR($N3709=$Q$7,$O3709=$Q$7)),"x","")</f>
        <v/>
      </c>
      <c r="R3709" s="75" t="str">
        <f>IF(AND($N3709=$Q$7,$B3709&lt;'111'!$L$11),"x","")</f>
        <v/>
      </c>
      <c r="S3709" s="75" t="str">
        <f>IF(AND($O3709=$Q$7,$B3709&lt;'111'!$L$11),"x","")</f>
        <v/>
      </c>
      <c r="T3709" s="75" t="str">
        <f>IF(ISERROR(FIND('112'!$M$9,G3709,1)),"",IF((AND(FIND('112'!$M$9,G3709,1)&gt;=1,B3709='112'!$K$9,OR($N3709='112'!$I$6,$O3709='112'!$I$6))),"x",""))</f>
        <v/>
      </c>
      <c r="U3709" s="75" t="str">
        <f>IF(ISERROR(FIND('112'!$M$9,G3709,1)),"",IF((AND(LEFT(G3709,2)=LEFT('112'!$M$9,2),B3709&lt;'112'!$K$9,$N3709='112'!$I$6)),"x",""))</f>
        <v/>
      </c>
      <c r="V3709" s="75" t="str">
        <f>IF(ISERROR(FIND('112'!$M$9,G3709,1)),"",IF((AND(RIGHT(G3709,2)=RIGHT('112'!$M$9,2),B3709&lt;'112'!$K$9,$O3709='112'!$I$6)),"x",""))</f>
        <v/>
      </c>
      <c r="W3709" s="75" t="str">
        <f>IF(AND('341-CT'!$H$9=H3709,OR(LEFT(N3709,3)=$W$7,LEFT(O3709,3)=$W$7)),"x","")</f>
        <v/>
      </c>
      <c r="X3709" s="75" t="str">
        <f>IF(OR(TH!N4673=TH!$X$7,O3709=TH!$X$7),"x","")</f>
        <v/>
      </c>
      <c r="Y3709" s="75" t="str">
        <f>IF(AND(OR(N3709="131",O3709="131"),H3709='131-CT'!$H$9),"x","")</f>
        <v/>
      </c>
      <c r="Z3709" s="75"/>
      <c r="AA3709" s="75" t="str">
        <f>IF(AND(MONTH(E3709)='IN-NX'!$J$5,'IN-NX'!$D$7=D3709),"x","")</f>
        <v/>
      </c>
      <c r="AB3709" s="75" t="str">
        <f>IF(AND(OR(LEFT(TH!N4673,2)="15",LEFT(TH!O4673,2)="15"),LEFT(TH!O4673,3)&lt;&gt;"111",'152-CT'!$J$8=TH!F4673),"x","")</f>
        <v/>
      </c>
      <c r="AC3709" s="75" t="str">
        <f>IF(AND(OR(LEFT(TH!N4673,2)="15",LEFT(TH!O4673,2)="15"),TK!$E$7=TH!F4673),"x","")</f>
        <v/>
      </c>
      <c r="AD3709" s="75" t="str">
        <f>IF(AND(N3709="1521",MONTH(C3709)='BK-NL'!$M$11),"x","")</f>
        <v/>
      </c>
    </row>
    <row r="3710" spans="1:30" ht="16.5" customHeight="1">
      <c r="A3710" s="309" t="str">
        <f>IF(B3710&lt;&gt;"",IF(AND(B3710='IN-TC'!$S$4,OR(TH!N3710="1111",TH!O3710="1111")),TH!D3710,""),"")</f>
        <v/>
      </c>
      <c r="B3710" s="1131">
        <f t="shared" si="1300"/>
        <v>2</v>
      </c>
      <c r="C3710" s="292">
        <f t="shared" si="1301"/>
        <v>42794</v>
      </c>
      <c r="D3710" s="292" t="s">
        <v>1964</v>
      </c>
      <c r="E3710" s="292">
        <v>42794</v>
      </c>
      <c r="F3710" s="67" t="s">
        <v>885</v>
      </c>
      <c r="G3710" s="943" t="s">
        <v>585</v>
      </c>
      <c r="H3710" s="67" t="s">
        <v>1094</v>
      </c>
      <c r="I3710" s="373"/>
      <c r="J3710" s="926"/>
      <c r="K3710" s="373"/>
      <c r="L3710" s="379"/>
      <c r="M3710" s="927">
        <v>100000000</v>
      </c>
      <c r="N3710" s="295" t="s">
        <v>26</v>
      </c>
      <c r="O3710" s="295" t="s">
        <v>63</v>
      </c>
      <c r="P3710" s="75" t="str">
        <f>IF(AND('331-CT'!$E$7=TH!H4675,OR(N3710="331",O3710="331")),"x","")</f>
        <v/>
      </c>
      <c r="Q3710" s="75" t="str">
        <f>IF(AND(B3710='111'!$L$11,OR($N3710=$Q$7,$O3710=$Q$7)),"x","")</f>
        <v/>
      </c>
      <c r="R3710" s="75" t="str">
        <f>IF(AND($N3710=$Q$7,$B3710&lt;'111'!$L$11),"x","")</f>
        <v/>
      </c>
      <c r="S3710" s="75" t="str">
        <f>IF(AND($O3710=$Q$7,$B3710&lt;'111'!$L$11),"x","")</f>
        <v>x</v>
      </c>
      <c r="T3710" s="75" t="str">
        <f>IF(ISERROR(FIND('112'!$M$9,G3710,1)),"",IF((AND(FIND('112'!$M$9,G3710,1)&gt;=1,B3710='112'!$K$9,OR($N3710='112'!$I$6,$O3710='112'!$I$6))),"x",""))</f>
        <v/>
      </c>
      <c r="U3710" s="75" t="str">
        <f>IF(ISERROR(FIND('112'!$M$9,G3710,1)),"",IF((AND(LEFT(G3710,2)=LEFT('112'!$M$9,2),B3710&lt;'112'!$K$9,$N3710='112'!$I$6)),"x",""))</f>
        <v/>
      </c>
      <c r="V3710" s="75" t="str">
        <f>IF(ISERROR(FIND('112'!$M$9,G3710,1)),"",IF((AND(RIGHT(G3710,2)=RIGHT('112'!$M$9,2),B3710&lt;'112'!$K$9,$O3710='112'!$I$6)),"x",""))</f>
        <v/>
      </c>
      <c r="W3710" s="75" t="str">
        <f>IF(AND('341-CT'!$H$9=H3710,OR(LEFT(N3710,3)=$W$7,LEFT(O3710,3)=$W$7)),"x","")</f>
        <v/>
      </c>
      <c r="X3710" s="75" t="str">
        <f>IF(OR(TH!N4675=TH!$X$7,O3710=TH!$X$7),"x","")</f>
        <v/>
      </c>
      <c r="Y3710" s="75" t="str">
        <f>IF(AND(OR(N3710="131",O3710="131"),H3710='131-CT'!$H$9),"x","")</f>
        <v/>
      </c>
      <c r="Z3710" s="75"/>
      <c r="AA3710" s="75" t="str">
        <f>IF(AND(MONTH(E3710)='IN-NX'!$J$5,'IN-NX'!$D$7=D3710),"x","")</f>
        <v/>
      </c>
      <c r="AB3710" s="75" t="str">
        <f>IF(AND(OR(LEFT(TH!N4675,2)="15",LEFT(TH!O4675,2)="15"),LEFT(TH!O4675,3)&lt;&gt;"111",'152-CT'!$J$8=TH!F4675),"x","")</f>
        <v/>
      </c>
      <c r="AC3710" s="75" t="str">
        <f>IF(AND(OR(LEFT(TH!N4675,2)="15",LEFT(TH!O4675,2)="15"),TK!$E$7=TH!F4675),"x","")</f>
        <v/>
      </c>
      <c r="AD3710" s="75" t="str">
        <f>IF(AND(N3710="1521",MONTH(C3710)='BK-NL'!$M$11),"x","")</f>
        <v/>
      </c>
    </row>
    <row r="3711" spans="1:30" ht="16.5" customHeight="1">
      <c r="A3711" s="309" t="str">
        <f>IF(B3711&lt;&gt;"",IF(AND(B3711='IN-TC'!$S$4,OR(TH!N3711="1111",TH!O3711="1111")),TH!D3711,""),"")</f>
        <v/>
      </c>
      <c r="B3711" s="1131">
        <f t="shared" si="1300"/>
        <v>2</v>
      </c>
      <c r="C3711" s="292">
        <f t="shared" si="1301"/>
        <v>42794</v>
      </c>
      <c r="D3711" s="292" t="s">
        <v>1965</v>
      </c>
      <c r="E3711" s="292">
        <v>42794</v>
      </c>
      <c r="F3711" s="67" t="s">
        <v>885</v>
      </c>
      <c r="G3711" s="943" t="s">
        <v>585</v>
      </c>
      <c r="H3711" s="67" t="s">
        <v>1023</v>
      </c>
      <c r="I3711" s="373"/>
      <c r="J3711" s="926"/>
      <c r="K3711" s="373"/>
      <c r="L3711" s="379"/>
      <c r="M3711" s="927">
        <v>140000000</v>
      </c>
      <c r="N3711" s="295" t="s">
        <v>26</v>
      </c>
      <c r="O3711" s="295" t="s">
        <v>63</v>
      </c>
      <c r="P3711" s="75" t="str">
        <f>IF(AND('331-CT'!$E$7=TH!H4676,OR(N3711="331",O3711="331")),"x","")</f>
        <v/>
      </c>
      <c r="Q3711" s="75" t="str">
        <f>IF(AND(B3711='111'!$L$11,OR($N3711=$Q$7,$O3711=$Q$7)),"x","")</f>
        <v/>
      </c>
      <c r="R3711" s="75" t="str">
        <f>IF(AND($N3711=$Q$7,$B3711&lt;'111'!$L$11),"x","")</f>
        <v/>
      </c>
      <c r="S3711" s="75" t="str">
        <f>IF(AND($O3711=$Q$7,$B3711&lt;'111'!$L$11),"x","")</f>
        <v>x</v>
      </c>
      <c r="T3711" s="75" t="str">
        <f>IF(ISERROR(FIND('112'!$M$9,G3711,1)),"",IF((AND(FIND('112'!$M$9,G3711,1)&gt;=1,B3711='112'!$K$9,OR($N3711='112'!$I$6,$O3711='112'!$I$6))),"x",""))</f>
        <v/>
      </c>
      <c r="U3711" s="75" t="str">
        <f>IF(ISERROR(FIND('112'!$M$9,G3711,1)),"",IF((AND(LEFT(G3711,2)=LEFT('112'!$M$9,2),B3711&lt;'112'!$K$9,$N3711='112'!$I$6)),"x",""))</f>
        <v/>
      </c>
      <c r="V3711" s="75" t="str">
        <f>IF(ISERROR(FIND('112'!$M$9,G3711,1)),"",IF((AND(RIGHT(G3711,2)=RIGHT('112'!$M$9,2),B3711&lt;'112'!$K$9,$O3711='112'!$I$6)),"x",""))</f>
        <v/>
      </c>
      <c r="W3711" s="75" t="str">
        <f>IF(AND('341-CT'!$H$9=H3711,OR(LEFT(N3711,3)=$W$7,LEFT(O3711,3)=$W$7)),"x","")</f>
        <v/>
      </c>
      <c r="X3711" s="75" t="str">
        <f>IF(OR(TH!N4676=TH!$X$7,O3711=TH!$X$7),"x","")</f>
        <v/>
      </c>
      <c r="Y3711" s="75" t="str">
        <f>IF(AND(OR(N3711="131",O3711="131"),H3711='131-CT'!$H$9),"x","")</f>
        <v/>
      </c>
      <c r="Z3711" s="75"/>
      <c r="AA3711" s="75" t="str">
        <f>IF(AND(MONTH(E3711)='IN-NX'!$J$5,'IN-NX'!$D$7=D3711),"x","")</f>
        <v/>
      </c>
      <c r="AB3711" s="75" t="str">
        <f>IF(AND(OR(LEFT(TH!N4676,2)="15",LEFT(TH!O4676,2)="15"),LEFT(TH!O4676,3)&lt;&gt;"111",'152-CT'!$J$8=TH!F4676),"x","")</f>
        <v/>
      </c>
      <c r="AC3711" s="75" t="str">
        <f>IF(AND(OR(LEFT(TH!N4676,2)="15",LEFT(TH!O4676,2)="15"),TK!$E$7=TH!F4676),"x","")</f>
        <v/>
      </c>
      <c r="AD3711" s="75" t="str">
        <f>IF(AND(N3711="1521",MONTH(C3711)='BK-NL'!$M$11),"x","")</f>
        <v/>
      </c>
    </row>
    <row r="3712" spans="1:30" ht="16.5" customHeight="1">
      <c r="A3712" s="309" t="str">
        <f>IF(B3712&lt;&gt;"",IF(AND(B3712='IN-TC'!$S$4,OR(TH!N3712="1111",TH!O3712="1111")),TH!D3712,""),"")</f>
        <v/>
      </c>
      <c r="B3712" s="1169">
        <f t="shared" si="1300"/>
        <v>2</v>
      </c>
      <c r="C3712" s="292">
        <f t="shared" si="1301"/>
        <v>42794</v>
      </c>
      <c r="D3712" s="292" t="s">
        <v>1918</v>
      </c>
      <c r="E3712" s="292">
        <v>42794</v>
      </c>
      <c r="F3712" s="67" t="s">
        <v>1222</v>
      </c>
      <c r="G3712" s="925" t="s">
        <v>1223</v>
      </c>
      <c r="H3712" s="294" t="s">
        <v>1032</v>
      </c>
      <c r="I3712" s="373"/>
      <c r="J3712" s="926"/>
      <c r="K3712" s="373"/>
      <c r="L3712" s="379"/>
      <c r="M3712" s="927">
        <v>241500</v>
      </c>
      <c r="N3712" s="295" t="s">
        <v>101</v>
      </c>
      <c r="O3712" s="295" t="s">
        <v>63</v>
      </c>
      <c r="P3712" s="75" t="str">
        <f>IF(AND('331-CT'!$E$7=TH!H3514,OR(N3712="331",O3712="331")),"x","")</f>
        <v/>
      </c>
      <c r="Q3712" s="75" t="str">
        <f>IF(AND(B3712='111'!$L$11,OR($N3712=$Q$7,$O3712=$Q$7)),"x","")</f>
        <v/>
      </c>
      <c r="R3712" s="75" t="str">
        <f>IF(AND($N3712=$Q$7,$B3712&lt;'111'!$L$11),"x","")</f>
        <v/>
      </c>
      <c r="S3712" s="75" t="str">
        <f>IF(AND($O3712=$Q$7,$B3712&lt;'111'!$L$11),"x","")</f>
        <v>x</v>
      </c>
      <c r="T3712" s="75" t="str">
        <f>IF(ISERROR(FIND('112'!$M$9,G3712,1)),"",IF((AND(FIND('112'!$M$9,G3712,1)&gt;=1,B3712='112'!$K$9,OR($N3712='112'!$I$6,$O3712='112'!$I$6))),"x",""))</f>
        <v/>
      </c>
      <c r="U3712" s="75" t="str">
        <f>IF(ISERROR(FIND('112'!$M$9,G3712,1)),"",IF((AND(LEFT(G3712,2)=LEFT('112'!$M$9,2),B3712&lt;'112'!$K$9,$N3712='112'!$I$6)),"x",""))</f>
        <v/>
      </c>
      <c r="V3712" s="75" t="str">
        <f>IF(ISERROR(FIND('112'!$M$9,G3712,1)),"",IF((AND(RIGHT(G3712,2)=RIGHT('112'!$M$9,2),B3712&lt;'112'!$K$9,$O3712='112'!$I$6)),"x",""))</f>
        <v/>
      </c>
      <c r="W3712" s="75" t="str">
        <f>IF(AND('341-CT'!$H$9=H3712,OR(LEFT(N3712,3)=$W$7,LEFT(O3712,3)=$W$7)),"x","")</f>
        <v/>
      </c>
      <c r="X3712" s="75" t="str">
        <f>IF(OR(TH!N3514=TH!$X$7,O3712=TH!$X$7),"x","")</f>
        <v/>
      </c>
      <c r="Y3712" s="75" t="str">
        <f>IF(AND(OR(N3712="131",O3712="131"),H3712='131-CT'!$H$9),"x","")</f>
        <v/>
      </c>
      <c r="Z3712" s="75"/>
      <c r="AA3712" s="75" t="str">
        <f>IF(AND(MONTH(E3712)='IN-NX'!$J$5,'IN-NX'!$D$7=D3712),"x","")</f>
        <v/>
      </c>
      <c r="AB3712" s="75" t="str">
        <f>IF(AND(OR(LEFT(TH!N3514,2)="15",LEFT(TH!O3514,2)="15"),LEFT(TH!O3514,3)&lt;&gt;"111",'152-CT'!$J$8=TH!F3514),"x","")</f>
        <v/>
      </c>
      <c r="AC3712" s="75" t="str">
        <f>IF(AND(OR(LEFT(TH!N3514,2)="15",LEFT(TH!O3514,2)="15"),TK!$E$7=TH!F3514),"x","")</f>
        <v/>
      </c>
      <c r="AD3712" s="75" t="str">
        <f>IF(AND(N3712="1521",MONTH(C3712)='BK-NL'!$M$11),"x","")</f>
        <v/>
      </c>
    </row>
    <row r="3713" spans="1:33" ht="16.5" customHeight="1">
      <c r="A3713" s="309" t="str">
        <f>IF(B3713&lt;&gt;"",IF(AND(B3713='IN-TC'!$S$4,OR(TH!N3713="1111",TH!O3713="1111")),TH!D3713,""),"")</f>
        <v/>
      </c>
      <c r="B3713" s="1169">
        <f t="shared" si="1300"/>
        <v>2</v>
      </c>
      <c r="C3713" s="292">
        <f t="shared" si="1301"/>
        <v>42794</v>
      </c>
      <c r="D3713" s="292" t="s">
        <v>1918</v>
      </c>
      <c r="E3713" s="292">
        <v>42794</v>
      </c>
      <c r="F3713" s="67" t="s">
        <v>1224</v>
      </c>
      <c r="G3713" s="925" t="s">
        <v>1223</v>
      </c>
      <c r="H3713" s="294" t="s">
        <v>1032</v>
      </c>
      <c r="I3713" s="373"/>
      <c r="J3713" s="926"/>
      <c r="K3713" s="373"/>
      <c r="L3713" s="379"/>
      <c r="M3713" s="927">
        <v>24150</v>
      </c>
      <c r="N3713" s="295" t="s">
        <v>9</v>
      </c>
      <c r="O3713" s="295" t="s">
        <v>63</v>
      </c>
      <c r="P3713" s="75" t="str">
        <f>IF(AND('331-CT'!$E$7=TH!H3515,OR(N3713="331",O3713="331")),"x","")</f>
        <v/>
      </c>
      <c r="Q3713" s="75" t="str">
        <f>IF(AND(B3713='111'!$L$11,OR($N3713=$Q$7,$O3713=$Q$7)),"x","")</f>
        <v/>
      </c>
      <c r="R3713" s="75" t="str">
        <f>IF(AND($N3713=$Q$7,$B3713&lt;'111'!$L$11),"x","")</f>
        <v/>
      </c>
      <c r="S3713" s="75" t="str">
        <f>IF(AND($O3713=$Q$7,$B3713&lt;'111'!$L$11),"x","")</f>
        <v>x</v>
      </c>
      <c r="T3713" s="75" t="str">
        <f>IF(ISERROR(FIND('112'!$M$9,G3713,1)),"",IF((AND(FIND('112'!$M$9,G3713,1)&gt;=1,B3713='112'!$K$9,OR($N3713='112'!$I$6,$O3713='112'!$I$6))),"x",""))</f>
        <v/>
      </c>
      <c r="U3713" s="75" t="str">
        <f>IF(ISERROR(FIND('112'!$M$9,G3713,1)),"",IF((AND(LEFT(G3713,2)=LEFT('112'!$M$9,2),B3713&lt;'112'!$K$9,$N3713='112'!$I$6)),"x",""))</f>
        <v/>
      </c>
      <c r="V3713" s="75" t="str">
        <f>IF(ISERROR(FIND('112'!$M$9,G3713,1)),"",IF((AND(RIGHT(G3713,2)=RIGHT('112'!$M$9,2),B3713&lt;'112'!$K$9,$O3713='112'!$I$6)),"x",""))</f>
        <v/>
      </c>
      <c r="W3713" s="75" t="str">
        <f>IF(AND('341-CT'!$H$9=H3713,OR(LEFT(N3713,3)=$W$7,LEFT(O3713,3)=$W$7)),"x","")</f>
        <v/>
      </c>
      <c r="X3713" s="75" t="str">
        <f>IF(OR(TH!N3515=TH!$X$7,O3713=TH!$X$7),"x","")</f>
        <v/>
      </c>
      <c r="Y3713" s="75" t="str">
        <f>IF(AND(OR(N3713="131",O3713="131"),H3713='131-CT'!$H$9),"x","")</f>
        <v/>
      </c>
      <c r="Z3713" s="75"/>
      <c r="AA3713" s="75" t="str">
        <f>IF(AND(MONTH(E3713)='IN-NX'!$J$5,'IN-NX'!$D$7=D3713),"x","")</f>
        <v/>
      </c>
      <c r="AB3713" s="75" t="str">
        <f>IF(AND(OR(LEFT(TH!N3515,2)="15",LEFT(TH!O3515,2)="15"),LEFT(TH!O3515,3)&lt;&gt;"111",'152-CT'!$J$8=TH!F3515),"x","")</f>
        <v/>
      </c>
      <c r="AC3713" s="75" t="str">
        <f>IF(AND(OR(LEFT(TH!N3515,2)="15",LEFT(TH!O3515,2)="15"),TK!$E$7=TH!F3515),"x","")</f>
        <v/>
      </c>
      <c r="AD3713" s="75" t="str">
        <f>IF(AND(N3713="1521",MONTH(C3713)='BK-NL'!$M$11),"x","")</f>
        <v/>
      </c>
    </row>
    <row r="3714" spans="1:33" ht="16.5" customHeight="1">
      <c r="A3714" s="309" t="str">
        <f>IF(B3714&lt;&gt;"",IF(AND(B3714='IN-TC'!$S$4,OR(TH!N5696="1111",TH!O5696="1111")),TH!D5696,""),"")</f>
        <v/>
      </c>
      <c r="B3714" s="1339">
        <f t="shared" si="1300"/>
        <v>2</v>
      </c>
      <c r="C3714" s="292">
        <f t="shared" si="1301"/>
        <v>42794</v>
      </c>
      <c r="D3714" s="71"/>
      <c r="E3714" s="71">
        <v>42794</v>
      </c>
      <c r="F3714" s="72" t="s">
        <v>3010</v>
      </c>
      <c r="G3714" s="72" t="s">
        <v>332</v>
      </c>
      <c r="H3714" s="73" t="s">
        <v>1880</v>
      </c>
      <c r="I3714" s="371"/>
      <c r="J3714" s="378"/>
      <c r="K3714" s="371"/>
      <c r="L3714" s="377"/>
      <c r="M3714" s="74">
        <v>30359800</v>
      </c>
      <c r="N3714" s="75" t="s">
        <v>63</v>
      </c>
      <c r="O3714" s="75" t="s">
        <v>262</v>
      </c>
      <c r="P3714" s="75" t="str">
        <f>IF(AND('331-CT'!$E$7=TH!H5696,OR(N3714="331",O3714="331")),"x","")</f>
        <v/>
      </c>
      <c r="Q3714" s="75" t="str">
        <f>IF(AND(B3714='111'!$L$11,OR($N3714=$Q$7,$O3714=$Q$7)),"x","")</f>
        <v/>
      </c>
      <c r="R3714" s="75" t="str">
        <f>IF(AND($N3714=$Q$7,$B3714&lt;'111'!$L$11),"x","")</f>
        <v>x</v>
      </c>
      <c r="S3714" s="75" t="str">
        <f>IF(AND($O3714=$Q$7,$B3714&lt;'111'!$L$11),"x","")</f>
        <v/>
      </c>
      <c r="T3714" s="75" t="str">
        <f>IF(ISERROR(FIND('112'!$M$9,G3714,1)),"",IF((AND(FIND('112'!$M$9,G3714,1)&gt;=1,B3714='112'!$K$9,OR($N3714='112'!$I$6,$O3714='112'!$I$6))),"x",""))</f>
        <v/>
      </c>
      <c r="U3714" s="75" t="str">
        <f>IF(ISERROR(FIND('112'!$M$9,G3714,1)),"",IF((AND(LEFT(G3714,2)=LEFT('112'!$M$9,2),B3714&lt;'112'!$K$9,$N3714='112'!$I$6)),"x",""))</f>
        <v/>
      </c>
      <c r="V3714" s="75" t="str">
        <f>IF(ISERROR(FIND('112'!$M$9,G3714,1)),"",IF((AND(RIGHT(G3714,2)=RIGHT('112'!$M$9,2),B3714&lt;'112'!$K$9,$O3714='112'!$I$6)),"x",""))</f>
        <v/>
      </c>
      <c r="W3714" s="75" t="str">
        <f>IF(AND('341-CT'!$H$9=H3714,OR(LEFT(N3714,3)=$W$7,LEFT(O3714,3)=$W$7)),"x","")</f>
        <v/>
      </c>
      <c r="X3714" s="75" t="str">
        <f>IF(OR(TH!N5696=TH!$X$7,O3714=TH!$X$7),"x","")</f>
        <v>x</v>
      </c>
      <c r="Y3714" s="75" t="str">
        <f>IF(AND(OR(N3714="131",O3714="131"),H3714='131-CT'!$H$9),"x","")</f>
        <v/>
      </c>
      <c r="Z3714" s="75"/>
      <c r="AA3714" s="75" t="str">
        <f>IF(AND(MONTH(E3714)='IN-NX'!$J$5,'IN-NX'!$D$7=D3714),"x","")</f>
        <v/>
      </c>
      <c r="AB3714" s="75" t="str">
        <f>IF(AND(OR(LEFT(TH!N5696,2)="15",LEFT(TH!O5696,2)="15"),LEFT(TH!O5696,3)&lt;&gt;"111",'152-CT'!$J$8=TH!F5696),"x","")</f>
        <v/>
      </c>
      <c r="AC3714" s="75" t="str">
        <f>IF(AND(OR(LEFT(TH!N5696,2)="15",LEFT(TH!O5696,2)="15"),TK!$E$7=TH!F5696),"x","")</f>
        <v/>
      </c>
      <c r="AD3714" s="75" t="str">
        <f>IF(AND(N3714="1521",MONTH(C3714)='BK-NL'!$M$11),"x","")</f>
        <v/>
      </c>
      <c r="AE3714" s="1264"/>
      <c r="AF3714" s="1264"/>
      <c r="AG3714" s="1264"/>
    </row>
    <row r="3715" spans="1:33" ht="16.5" customHeight="1">
      <c r="A3715" s="309" t="str">
        <f>IF(B3715&lt;&gt;"",IF(AND(B3715='IN-TC'!$S$4,OR(TH!N5705="1111",TH!O5705="1111")),TH!D5705,""),"")</f>
        <v/>
      </c>
      <c r="B3715" s="1339">
        <f t="shared" si="1300"/>
        <v>2</v>
      </c>
      <c r="C3715" s="292">
        <f t="shared" si="1301"/>
        <v>42794</v>
      </c>
      <c r="D3715" s="71"/>
      <c r="E3715" s="71">
        <v>42794</v>
      </c>
      <c r="F3715" s="72" t="s">
        <v>3010</v>
      </c>
      <c r="G3715" s="72" t="s">
        <v>1899</v>
      </c>
      <c r="H3715" s="73" t="s">
        <v>1879</v>
      </c>
      <c r="I3715" s="371"/>
      <c r="J3715" s="378"/>
      <c r="K3715" s="371"/>
      <c r="L3715" s="377"/>
      <c r="M3715" s="74">
        <v>78167700</v>
      </c>
      <c r="N3715" s="75" t="s">
        <v>63</v>
      </c>
      <c r="O3715" s="75" t="s">
        <v>262</v>
      </c>
      <c r="P3715" s="75" t="str">
        <f>IF(AND('331-CT'!$E$7=TH!H5705,OR(N3715="331",O3715="331")),"x","")</f>
        <v/>
      </c>
      <c r="Q3715" s="75" t="str">
        <f>IF(AND(B3715='111'!$L$11,OR($N3715=$Q$7,$O3715=$Q$7)),"x","")</f>
        <v/>
      </c>
      <c r="R3715" s="75" t="str">
        <f>IF(AND($N3715=$Q$7,$B3715&lt;'111'!$L$11),"x","")</f>
        <v>x</v>
      </c>
      <c r="S3715" s="75" t="str">
        <f>IF(AND($O3715=$Q$7,$B3715&lt;'111'!$L$11),"x","")</f>
        <v/>
      </c>
      <c r="T3715" s="75" t="str">
        <f>IF(ISERROR(FIND('112'!$M$9,G3715,1)),"",IF((AND(FIND('112'!$M$9,G3715,1)&gt;=1,B3715='112'!$K$9,OR($N3715='112'!$I$6,$O3715='112'!$I$6))),"x",""))</f>
        <v/>
      </c>
      <c r="U3715" s="75" t="str">
        <f>IF(ISERROR(FIND('112'!$M$9,G3715,1)),"",IF((AND(LEFT(G3715,2)=LEFT('112'!$M$9,2),B3715&lt;'112'!$K$9,$N3715='112'!$I$6)),"x",""))</f>
        <v/>
      </c>
      <c r="V3715" s="75" t="str">
        <f>IF(ISERROR(FIND('112'!$M$9,G3715,1)),"",IF((AND(RIGHT(G3715,2)=RIGHT('112'!$M$9,2),B3715&lt;'112'!$K$9,$O3715='112'!$I$6)),"x",""))</f>
        <v/>
      </c>
      <c r="W3715" s="75" t="str">
        <f>IF(AND('341-CT'!$H$9=H3715,OR(LEFT(N3715,3)=$W$7,LEFT(O3715,3)=$W$7)),"x","")</f>
        <v/>
      </c>
      <c r="X3715" s="75" t="str">
        <f>IF(OR(TH!N5705=TH!$X$7,O3715=TH!$X$7),"x","")</f>
        <v>x</v>
      </c>
      <c r="Y3715" s="75" t="str">
        <f>IF(AND(OR(N3715="131",O3715="131"),H3715='131-CT'!$H$9),"x","")</f>
        <v/>
      </c>
      <c r="Z3715" s="75"/>
      <c r="AA3715" s="75" t="str">
        <f>IF(AND(MONTH(E3715)='IN-NX'!$J$5,'IN-NX'!$D$7=D3715),"x","")</f>
        <v/>
      </c>
      <c r="AB3715" s="75" t="str">
        <f>IF(AND(OR(LEFT(TH!N5705,2)="15",LEFT(TH!O5705,2)="15"),LEFT(TH!O5705,3)&lt;&gt;"111",'152-CT'!$J$8=TH!F5705),"x","")</f>
        <v/>
      </c>
      <c r="AC3715" s="75" t="str">
        <f>IF(AND(OR(LEFT(TH!N5705,2)="15",LEFT(TH!O5705,2)="15"),TK!$E$7=TH!F5705),"x","")</f>
        <v/>
      </c>
      <c r="AD3715" s="75" t="str">
        <f>IF(AND(N3715="1521",MONTH(C3715)='BK-NL'!$M$11),"x","")</f>
        <v/>
      </c>
      <c r="AE3715" s="1264"/>
      <c r="AF3715" s="1264"/>
      <c r="AG3715" s="1264"/>
    </row>
    <row r="3716" spans="1:33" ht="16.5" customHeight="1">
      <c r="A3716" s="309">
        <f>IF(B3716&lt;&gt;"",IF(AND(B3716='IN-TC'!$S$4,OR(TH!N3714="1111",TH!O3714="1111")),TH!D3714,""),"")</f>
        <v>0</v>
      </c>
      <c r="B3716" s="1169">
        <f t="shared" si="1300"/>
        <v>3</v>
      </c>
      <c r="C3716" s="292">
        <f t="shared" si="1301"/>
        <v>42795</v>
      </c>
      <c r="D3716" s="292" t="s">
        <v>1915</v>
      </c>
      <c r="E3716" s="292">
        <v>42795</v>
      </c>
      <c r="F3716" s="67" t="s">
        <v>1165</v>
      </c>
      <c r="G3716" s="925" t="s">
        <v>1153</v>
      </c>
      <c r="H3716" s="294" t="s">
        <v>796</v>
      </c>
      <c r="I3716" s="373"/>
      <c r="J3716" s="926"/>
      <c r="K3716" s="373"/>
      <c r="L3716" s="379"/>
      <c r="M3716" s="927">
        <v>18980500</v>
      </c>
      <c r="N3716" s="295" t="s">
        <v>8</v>
      </c>
      <c r="O3716" s="295" t="s">
        <v>63</v>
      </c>
      <c r="P3716" s="75" t="str">
        <f>IF(AND('331-CT'!$E$7=TH!H3510,OR(N3716="331",O3716="331")),"x","")</f>
        <v/>
      </c>
      <c r="Q3716" s="75" t="str">
        <f>IF(AND(B3716='111'!$L$11,OR($N3716=$Q$7,$O3716=$Q$7)),"x","")</f>
        <v/>
      </c>
      <c r="R3716" s="75" t="str">
        <f>IF(AND($N3716=$Q$7,$B3716&lt;'111'!$L$11),"x","")</f>
        <v/>
      </c>
      <c r="S3716" s="75" t="str">
        <f>IF(AND($O3716=$Q$7,$B3716&lt;'111'!$L$11),"x","")</f>
        <v>x</v>
      </c>
      <c r="T3716" s="75" t="str">
        <f>IF(ISERROR(FIND('112'!$M$9,G3716,1)),"",IF((AND(FIND('112'!$M$9,G3716,1)&gt;=1,B3716='112'!$K$9,OR($N3716='112'!$I$6,$O3716='112'!$I$6))),"x",""))</f>
        <v/>
      </c>
      <c r="U3716" s="75" t="str">
        <f>IF(ISERROR(FIND('112'!$M$9,G3716,1)),"",IF((AND(LEFT(G3716,2)=LEFT('112'!$M$9,2),B3716&lt;'112'!$K$9,$N3716='112'!$I$6)),"x",""))</f>
        <v/>
      </c>
      <c r="V3716" s="75" t="str">
        <f>IF(ISERROR(FIND('112'!$M$9,G3716,1)),"",IF((AND(RIGHT(G3716,2)=RIGHT('112'!$M$9,2),B3716&lt;'112'!$K$9,$O3716='112'!$I$6)),"x",""))</f>
        <v/>
      </c>
      <c r="W3716" s="75" t="str">
        <f>IF(AND('341-CT'!$H$9=H3716,OR(LEFT(N3716,3)=$W$7,LEFT(O3716,3)=$W$7)),"x","")</f>
        <v/>
      </c>
      <c r="X3716" s="75" t="str">
        <f>IF(OR(TH!N3510=TH!$X$7,O3716=TH!$X$7),"x","")</f>
        <v/>
      </c>
      <c r="Y3716" s="75" t="str">
        <f>IF(AND(OR(N3716="131",O3716="131"),H3716='131-CT'!$H$9),"x","")</f>
        <v/>
      </c>
      <c r="Z3716" s="75"/>
      <c r="AA3716" s="75" t="str">
        <f>IF(AND(MONTH(E3716)='IN-NX'!$J$5,'IN-NX'!$D$7=D3716),"x","")</f>
        <v/>
      </c>
      <c r="AB3716" s="75" t="str">
        <f>IF(AND(OR(LEFT(TH!N3510,2)="15",LEFT(TH!O3510,2)="15"),LEFT(TH!O3510,3)&lt;&gt;"111",'152-CT'!$J$8=TH!F3510),"x","")</f>
        <v/>
      </c>
      <c r="AC3716" s="75" t="str">
        <f>IF(AND(OR(LEFT(TH!N3510,2)="15",LEFT(TH!O3510,2)="15"),TK!$E$7=TH!F3510),"x","")</f>
        <v/>
      </c>
      <c r="AD3716" s="75" t="str">
        <f>IF(AND(N3716="1521",MONTH(C3716)='BK-NL'!$M$11),"x","")</f>
        <v/>
      </c>
    </row>
    <row r="3717" spans="1:33" ht="16.5" customHeight="1">
      <c r="A3717" s="309">
        <f>IF(B3717&lt;&gt;"",IF(AND(B3717='IN-TC'!$S$4,OR(TH!N3715="1111",TH!O3715="1111")),TH!D3715,""),"")</f>
        <v>0</v>
      </c>
      <c r="B3717" s="1169">
        <f t="shared" si="1300"/>
        <v>3</v>
      </c>
      <c r="C3717" s="292">
        <f t="shared" si="1301"/>
        <v>42796</v>
      </c>
      <c r="D3717" s="59" t="s">
        <v>903</v>
      </c>
      <c r="E3717" s="59">
        <v>42796</v>
      </c>
      <c r="F3717" s="67" t="s">
        <v>1086</v>
      </c>
      <c r="G3717" s="62" t="s">
        <v>585</v>
      </c>
      <c r="H3717" s="311" t="s">
        <v>792</v>
      </c>
      <c r="I3717" s="373"/>
      <c r="J3717" s="379"/>
      <c r="K3717" s="373"/>
      <c r="L3717" s="379"/>
      <c r="M3717" s="60">
        <v>736986074</v>
      </c>
      <c r="N3717" s="928" t="s">
        <v>26</v>
      </c>
      <c r="O3717" s="61" t="s">
        <v>536</v>
      </c>
      <c r="P3717" s="75" t="str">
        <f>IF(AND('331-CT'!$E$7=TH!H4677,OR(N3717="331",O3717="331")),"x","")</f>
        <v/>
      </c>
      <c r="Q3717" s="75" t="str">
        <f>IF(AND(B3717='111'!$L$11,OR($N3717=$Q$7,$O3717=$Q$7)),"x","")</f>
        <v/>
      </c>
      <c r="R3717" s="75" t="str">
        <f>IF(AND($N3717=$Q$7,$B3717&lt;'111'!$L$11),"x","")</f>
        <v/>
      </c>
      <c r="S3717" s="75" t="str">
        <f>IF(AND($O3717=$Q$7,$B3717&lt;'111'!$L$11),"x","")</f>
        <v/>
      </c>
      <c r="T3717" s="75" t="str">
        <f>IF(ISERROR(FIND('112'!$M$9,G3717,1)),"",IF((AND(FIND('112'!$M$9,G3717,1)&gt;=1,B3717='112'!$K$9,OR($N3717='112'!$I$6,$O3717='112'!$I$6))),"x",""))</f>
        <v/>
      </c>
      <c r="U3717" s="75" t="str">
        <f>IF(ISERROR(FIND('112'!$M$9,G3717,1)),"",IF((AND(LEFT(G3717,2)=LEFT('112'!$M$9,2),B3717&lt;'112'!$K$9,$N3717='112'!$I$6)),"x",""))</f>
        <v/>
      </c>
      <c r="V3717" s="75" t="str">
        <f>IF(ISERROR(FIND('112'!$M$9,G3717,1)),"",IF((AND(RIGHT(G3717,2)=RIGHT('112'!$M$9,2),B3717&lt;'112'!$K$9,$O3717='112'!$I$6)),"x",""))</f>
        <v/>
      </c>
      <c r="W3717" s="75" t="str">
        <f>IF(AND('341-CT'!$H$9=H3717,OR(LEFT(N3717,3)=$W$7,LEFT(O3717,3)=$W$7)),"x","")</f>
        <v/>
      </c>
      <c r="X3717" s="75" t="str">
        <f>IF(OR(TH!N4677=TH!$X$7,O3717=TH!$X$7),"x","")</f>
        <v/>
      </c>
      <c r="Y3717" s="75" t="str">
        <f>IF(AND(OR(N3717="131",O3717="131"),H3717='131-CT'!$H$9),"x","")</f>
        <v/>
      </c>
      <c r="Z3717" s="75"/>
      <c r="AA3717" s="75" t="str">
        <f>IF(AND(MONTH(E3717)='IN-NX'!$J$5,'IN-NX'!$D$7=D3717),"x","")</f>
        <v/>
      </c>
      <c r="AB3717" s="75" t="str">
        <f>IF(AND(OR(LEFT(TH!N4677,2)="15",LEFT(TH!O4677,2)="15"),LEFT(TH!O4677,3)&lt;&gt;"111",'152-CT'!$J$8=TH!F4677),"x","")</f>
        <v/>
      </c>
      <c r="AC3717" s="75" t="str">
        <f>IF(AND(OR(LEFT(TH!N4677,2)="15",LEFT(TH!O4677,2)="15"),TK!$E$7=TH!F4677),"x","")</f>
        <v/>
      </c>
      <c r="AD3717" s="75" t="str">
        <f>IF(AND(N3717="1521",MONTH(C3717)='BK-NL'!$M$11),"x","")</f>
        <v/>
      </c>
    </row>
    <row r="3718" spans="1:33" ht="16.5" customHeight="1">
      <c r="A3718" s="309" t="str">
        <f>IF(B3718&lt;&gt;"",IF(AND(B3718='IN-TC'!$S$4,OR(TH!N3716="1111",TH!O3716="1111")),TH!D3716,""),"")</f>
        <v>C01</v>
      </c>
      <c r="B3718" s="1169">
        <f t="shared" si="1300"/>
        <v>3</v>
      </c>
      <c r="C3718" s="292">
        <f t="shared" si="1301"/>
        <v>42796</v>
      </c>
      <c r="D3718" s="59" t="s">
        <v>902</v>
      </c>
      <c r="E3718" s="59">
        <v>42796</v>
      </c>
      <c r="F3718" s="67" t="s">
        <v>1207</v>
      </c>
      <c r="G3718" s="62" t="s">
        <v>585</v>
      </c>
      <c r="H3718" s="311" t="s">
        <v>845</v>
      </c>
      <c r="I3718" s="373"/>
      <c r="J3718" s="379"/>
      <c r="K3718" s="373"/>
      <c r="L3718" s="379"/>
      <c r="M3718" s="60">
        <v>48082</v>
      </c>
      <c r="N3718" s="61" t="s">
        <v>101</v>
      </c>
      <c r="O3718" s="61" t="s">
        <v>26</v>
      </c>
      <c r="P3718" s="75" t="str">
        <f>IF(AND('331-CT'!$E$7=TH!H4678,OR(N3718="331",O3718="331")),"x","")</f>
        <v/>
      </c>
      <c r="Q3718" s="75" t="str">
        <f>IF(AND(B3718='111'!$L$11,OR($N3718=$Q$7,$O3718=$Q$7)),"x","")</f>
        <v/>
      </c>
      <c r="R3718" s="75" t="str">
        <f>IF(AND($N3718=$Q$7,$B3718&lt;'111'!$L$11),"x","")</f>
        <v/>
      </c>
      <c r="S3718" s="75" t="str">
        <f>IF(AND($O3718=$Q$7,$B3718&lt;'111'!$L$11),"x","")</f>
        <v/>
      </c>
      <c r="T3718" s="75" t="str">
        <f>IF(ISERROR(FIND('112'!$M$9,G3718,1)),"",IF((AND(FIND('112'!$M$9,G3718,1)&gt;=1,B3718='112'!$K$9,OR($N3718='112'!$I$6,$O3718='112'!$I$6))),"x",""))</f>
        <v/>
      </c>
      <c r="U3718" s="75" t="str">
        <f>IF(ISERROR(FIND('112'!$M$9,G3718,1)),"",IF((AND(LEFT(G3718,2)=LEFT('112'!$M$9,2),B3718&lt;'112'!$K$9,$N3718='112'!$I$6)),"x",""))</f>
        <v/>
      </c>
      <c r="V3718" s="75" t="str">
        <f>IF(ISERROR(FIND('112'!$M$9,G3718,1)),"",IF((AND(RIGHT(G3718,2)=RIGHT('112'!$M$9,2),B3718&lt;'112'!$K$9,$O3718='112'!$I$6)),"x",""))</f>
        <v/>
      </c>
      <c r="W3718" s="75" t="str">
        <f>IF(AND('341-CT'!$H$9=H3718,OR(LEFT(N3718,3)=$W$7,LEFT(O3718,3)=$W$7)),"x","")</f>
        <v/>
      </c>
      <c r="X3718" s="75" t="str">
        <f>IF(OR(TH!N4678=TH!$X$7,O3718=TH!$X$7),"x","")</f>
        <v/>
      </c>
      <c r="Y3718" s="75" t="str">
        <f>IF(AND(OR(N3718="131",O3718="131"),H3718='131-CT'!$H$9),"x","")</f>
        <v/>
      </c>
      <c r="Z3718" s="75"/>
      <c r="AA3718" s="75" t="str">
        <f>IF(AND(MONTH(E3718)='IN-NX'!$J$5,'IN-NX'!$D$7=D3718),"x","")</f>
        <v/>
      </c>
      <c r="AB3718" s="75" t="str">
        <f>IF(AND(OR(LEFT(TH!N4678,2)="15",LEFT(TH!O4678,2)="15"),LEFT(TH!O4678,3)&lt;&gt;"111",'152-CT'!$J$8=TH!F4678),"x","")</f>
        <v/>
      </c>
      <c r="AC3718" s="75" t="str">
        <f>IF(AND(OR(LEFT(TH!N4678,2)="15",LEFT(TH!O4678,2)="15"),TK!$E$7=TH!F4678),"x","")</f>
        <v/>
      </c>
      <c r="AD3718" s="75" t="str">
        <f>IF(AND(N3718="1521",MONTH(C3718)='BK-NL'!$M$11),"x","")</f>
        <v/>
      </c>
    </row>
    <row r="3719" spans="1:33" s="1053" customFormat="1" ht="16.5" customHeight="1">
      <c r="A3719" s="309" t="str">
        <f>IF(B3719&lt;&gt;"",IF(AND(B3719='IN-TC'!$S$4,OR(TH!N3717="1111",TH!O3717="1111")),TH!D3717,""),"")</f>
        <v/>
      </c>
      <c r="B3719" s="1169">
        <f t="shared" si="1300"/>
        <v>3</v>
      </c>
      <c r="C3719" s="292">
        <f t="shared" si="1301"/>
        <v>42796</v>
      </c>
      <c r="D3719" s="292" t="s">
        <v>833</v>
      </c>
      <c r="E3719" s="292">
        <v>42796</v>
      </c>
      <c r="F3719" s="67" t="s">
        <v>834</v>
      </c>
      <c r="G3719" s="943" t="s">
        <v>585</v>
      </c>
      <c r="H3719" s="67" t="s">
        <v>1023</v>
      </c>
      <c r="I3719" s="373"/>
      <c r="J3719" s="926"/>
      <c r="K3719" s="373"/>
      <c r="L3719" s="379"/>
      <c r="M3719" s="927">
        <v>150000000</v>
      </c>
      <c r="N3719" s="295" t="s">
        <v>63</v>
      </c>
      <c r="O3719" s="295" t="s">
        <v>26</v>
      </c>
      <c r="P3719" s="75" t="str">
        <f>IF(AND('331-CT'!$E$7=TH!H4679,OR(N3719="331",O3719="331")),"x","")</f>
        <v/>
      </c>
      <c r="Q3719" s="75" t="str">
        <f>IF(AND(B3719='111'!$L$11,OR($N3719=$Q$7,$O3719=$Q$7)),"x","")</f>
        <v/>
      </c>
      <c r="R3719" s="75" t="str">
        <f>IF(AND($N3719=$Q$7,$B3719&lt;'111'!$L$11),"x","")</f>
        <v>x</v>
      </c>
      <c r="S3719" s="75" t="str">
        <f>IF(AND($O3719=$Q$7,$B3719&lt;'111'!$L$11),"x","")</f>
        <v/>
      </c>
      <c r="T3719" s="75" t="str">
        <f>IF(ISERROR(FIND('112'!$M$9,G3719,1)),"",IF((AND(FIND('112'!$M$9,G3719,1)&gt;=1,B3719='112'!$K$9,OR($N3719='112'!$I$6,$O3719='112'!$I$6))),"x",""))</f>
        <v/>
      </c>
      <c r="U3719" s="75" t="str">
        <f>IF(ISERROR(FIND('112'!$M$9,G3719,1)),"",IF((AND(LEFT(G3719,2)=LEFT('112'!$M$9,2),B3719&lt;'112'!$K$9,$N3719='112'!$I$6)),"x",""))</f>
        <v/>
      </c>
      <c r="V3719" s="75" t="str">
        <f>IF(ISERROR(FIND('112'!$M$9,G3719,1)),"",IF((AND(RIGHT(G3719,2)=RIGHT('112'!$M$9,2),B3719&lt;'112'!$K$9,$O3719='112'!$I$6)),"x",""))</f>
        <v/>
      </c>
      <c r="W3719" s="75" t="str">
        <f>IF(AND('341-CT'!$H$9=H3719,OR(LEFT(N3719,3)=$W$7,LEFT(O3719,3)=$W$7)),"x","")</f>
        <v/>
      </c>
      <c r="X3719" s="75" t="str">
        <f>IF(OR(TH!N4679=TH!$X$7,O3719=TH!$X$7),"x","")</f>
        <v/>
      </c>
      <c r="Y3719" s="75" t="str">
        <f>IF(AND(OR(N3719="131",O3719="131"),H3719='131-CT'!$H$9),"x","")</f>
        <v/>
      </c>
      <c r="Z3719" s="75"/>
      <c r="AA3719" s="75" t="str">
        <f>IF(AND(MONTH(E3719)='IN-NX'!$J$5,'IN-NX'!$D$7=D3719),"x","")</f>
        <v/>
      </c>
      <c r="AB3719" s="75" t="str">
        <f>IF(AND(OR(LEFT(TH!N4679,2)="15",LEFT(TH!O4679,2)="15"),LEFT(TH!O4679,3)&lt;&gt;"111",'152-CT'!$J$8=TH!F4679),"x","")</f>
        <v/>
      </c>
      <c r="AC3719" s="75" t="str">
        <f>IF(AND(OR(LEFT(TH!N4679,2)="15",LEFT(TH!O4679,2)="15"),TK!$E$7=TH!F4679),"x","")</f>
        <v/>
      </c>
      <c r="AD3719" s="75" t="str">
        <f>IF(AND(N3719="1521",MONTH(C3719)='BK-NL'!$M$11),"x","")</f>
        <v/>
      </c>
      <c r="AE3719"/>
      <c r="AF3719"/>
      <c r="AG3719"/>
    </row>
    <row r="3720" spans="1:33" s="1053" customFormat="1" ht="16.5" customHeight="1">
      <c r="A3720" s="309" t="str">
        <f>IF(B3720&lt;&gt;"",IF(AND(B3720='IN-TC'!$S$4,OR(TH!N3718="1111",TH!O3718="1111")),TH!D3718,""),"")</f>
        <v/>
      </c>
      <c r="B3720" s="1169">
        <f t="shared" si="1300"/>
        <v>3</v>
      </c>
      <c r="C3720" s="292">
        <f t="shared" si="1301"/>
        <v>42796</v>
      </c>
      <c r="D3720" s="59" t="s">
        <v>902</v>
      </c>
      <c r="E3720" s="59">
        <v>42796</v>
      </c>
      <c r="F3720" s="62" t="s">
        <v>1202</v>
      </c>
      <c r="G3720" s="62" t="s">
        <v>747</v>
      </c>
      <c r="H3720" s="311" t="s">
        <v>835</v>
      </c>
      <c r="I3720" s="373"/>
      <c r="J3720" s="379"/>
      <c r="K3720" s="373"/>
      <c r="L3720" s="379"/>
      <c r="M3720" s="60">
        <v>2514600</v>
      </c>
      <c r="N3720" s="61" t="s">
        <v>101</v>
      </c>
      <c r="O3720" s="61" t="s">
        <v>26</v>
      </c>
      <c r="P3720" s="75" t="str">
        <f>IF(AND('331-CT'!$E$7=TH!H5017,OR(N3720="331",O3720="331")),"x","")</f>
        <v/>
      </c>
      <c r="Q3720" s="75" t="str">
        <f>IF(AND(B3720='111'!$L$11,OR($N3720=$Q$7,$O3720=$Q$7)),"x","")</f>
        <v/>
      </c>
      <c r="R3720" s="75" t="str">
        <f>IF(AND($N3720=$Q$7,$B3720&lt;'111'!$L$11),"x","")</f>
        <v/>
      </c>
      <c r="S3720" s="75" t="str">
        <f>IF(AND($O3720=$Q$7,$B3720&lt;'111'!$L$11),"x","")</f>
        <v/>
      </c>
      <c r="T3720" s="75" t="str">
        <f>IF(ISERROR(FIND('112'!$M$9,G3720,1)),"",IF((AND(FIND('112'!$M$9,G3720,1)&gt;=1,B3720='112'!$K$9,OR($N3720='112'!$I$6,$O3720='112'!$I$6))),"x",""))</f>
        <v/>
      </c>
      <c r="U3720" s="75" t="str">
        <f>IF(ISERROR(FIND('112'!$M$9,G3720,1)),"",IF((AND(LEFT(G3720,2)=LEFT('112'!$M$9,2),B3720&lt;'112'!$K$9,$N3720='112'!$I$6)),"x",""))</f>
        <v/>
      </c>
      <c r="V3720" s="75" t="str">
        <f>IF(ISERROR(FIND('112'!$M$9,G3720,1)),"",IF((AND(RIGHT(G3720,2)=RIGHT('112'!$M$9,2),B3720&lt;'112'!$K$9,$O3720='112'!$I$6)),"x",""))</f>
        <v/>
      </c>
      <c r="W3720" s="75" t="str">
        <f>IF(AND('341-CT'!$H$9=H3720,OR(LEFT(N3720,3)=$W$7,LEFT(O3720,3)=$W$7)),"x","")</f>
        <v/>
      </c>
      <c r="X3720" s="75" t="str">
        <f>IF(OR(TH!N5017=TH!$X$7,O3720=TH!$X$7),"x","")</f>
        <v/>
      </c>
      <c r="Y3720" s="75" t="str">
        <f>IF(AND(OR(N3720="131",O3720="131"),H3720='131-CT'!$H$9),"x","")</f>
        <v/>
      </c>
      <c r="Z3720" s="75"/>
      <c r="AA3720" s="75" t="str">
        <f>IF(AND(MONTH(E3720)='IN-NX'!$J$5,'IN-NX'!$D$7=D3720),"x","")</f>
        <v/>
      </c>
      <c r="AB3720" s="75" t="str">
        <f>IF(AND(OR(LEFT(TH!N5017,2)="15",LEFT(TH!O5017,2)="15"),LEFT(TH!O5017,3)&lt;&gt;"111",'152-CT'!$J$8=TH!F5017),"x","")</f>
        <v/>
      </c>
      <c r="AC3720" s="75" t="str">
        <f>IF(AND(OR(LEFT(TH!N5017,2)="15",LEFT(TH!O5017,2)="15"),TK!$E$7=TH!F5017),"x","")</f>
        <v/>
      </c>
      <c r="AD3720" s="75" t="str">
        <f>IF(AND(N3720="1521",MONTH(C3720)='BK-NL'!$M$11),"x","")</f>
        <v/>
      </c>
      <c r="AE3720"/>
      <c r="AF3720"/>
      <c r="AG3720"/>
    </row>
    <row r="3721" spans="1:33" ht="16.5" customHeight="1">
      <c r="A3721" s="309" t="str">
        <f>IF(B3721&lt;&gt;"",IF(AND(B3721='IN-TC'!$S$4,OR(TH!N3719="1111",TH!O3719="1111")),TH!D3719,""),"")</f>
        <v>T01</v>
      </c>
      <c r="B3721" s="1339">
        <f t="shared" si="1300"/>
        <v>3</v>
      </c>
      <c r="C3721" s="292">
        <f t="shared" si="1301"/>
        <v>42796</v>
      </c>
      <c r="D3721" s="71"/>
      <c r="E3721" s="71">
        <v>42796</v>
      </c>
      <c r="F3721" s="72" t="s">
        <v>3032</v>
      </c>
      <c r="G3721" s="72" t="s">
        <v>332</v>
      </c>
      <c r="H3721" s="73" t="s">
        <v>1880</v>
      </c>
      <c r="I3721" s="371"/>
      <c r="J3721" s="378"/>
      <c r="K3721" s="371"/>
      <c r="L3721" s="377"/>
      <c r="M3721" s="74">
        <v>2500000000</v>
      </c>
      <c r="N3721" s="75" t="s">
        <v>262</v>
      </c>
      <c r="O3721" s="75" t="s">
        <v>63</v>
      </c>
      <c r="P3721" s="75" t="str">
        <f>IF(AND('331-CT'!$E$7=TH!H5680,OR(N3721="331",O3721="331")),"x","")</f>
        <v/>
      </c>
      <c r="Q3721" s="75" t="str">
        <f>IF(AND(B3721='111'!$L$11,OR($N3721=$Q$7,$O3721=$Q$7)),"x","")</f>
        <v/>
      </c>
      <c r="R3721" s="75" t="str">
        <f>IF(AND($N3721=$Q$7,$B3721&lt;'111'!$L$11),"x","")</f>
        <v/>
      </c>
      <c r="S3721" s="75" t="str">
        <f>IF(AND($O3721=$Q$7,$B3721&lt;'111'!$L$11),"x","")</f>
        <v>x</v>
      </c>
      <c r="T3721" s="75" t="str">
        <f>IF(ISERROR(FIND('112'!$M$9,G3721,1)),"",IF((AND(FIND('112'!$M$9,G3721,1)&gt;=1,B3721='112'!$K$9,OR($N3721='112'!$I$6,$O3721='112'!$I$6))),"x",""))</f>
        <v/>
      </c>
      <c r="U3721" s="75" t="str">
        <f>IF(ISERROR(FIND('112'!$M$9,G3721,1)),"",IF((AND(LEFT(G3721,2)=LEFT('112'!$M$9,2),B3721&lt;'112'!$K$9,$N3721='112'!$I$6)),"x",""))</f>
        <v/>
      </c>
      <c r="V3721" s="75" t="str">
        <f>IF(ISERROR(FIND('112'!$M$9,G3721,1)),"",IF((AND(RIGHT(G3721,2)=RIGHT('112'!$M$9,2),B3721&lt;'112'!$K$9,$O3721='112'!$I$6)),"x",""))</f>
        <v/>
      </c>
      <c r="W3721" s="75" t="str">
        <f>IF(AND('341-CT'!$H$9=H3721,OR(LEFT(N3721,3)=$W$7,LEFT(O3721,3)=$W$7)),"x","")</f>
        <v/>
      </c>
      <c r="X3721" s="75" t="str">
        <f>IF(OR(TH!N5680=TH!$X$7,O3721=TH!$X$7),"x","")</f>
        <v/>
      </c>
      <c r="Y3721" s="75" t="str">
        <f>IF(AND(OR(N3721="131",O3721="131"),H3721='131-CT'!$H$9),"x","")</f>
        <v/>
      </c>
      <c r="Z3721" s="75"/>
      <c r="AA3721" s="75" t="str">
        <f>IF(AND(MONTH(E3721)='IN-NX'!$J$5,'IN-NX'!$D$7=D3721),"x","")</f>
        <v/>
      </c>
      <c r="AB3721" s="75" t="str">
        <f>IF(AND(OR(LEFT(TH!N5680,2)="15",LEFT(TH!O5680,2)="15"),LEFT(TH!O5680,3)&lt;&gt;"111",'152-CT'!$J$8=TH!F5680),"x","")</f>
        <v/>
      </c>
      <c r="AC3721" s="75" t="str">
        <f>IF(AND(OR(LEFT(TH!N5680,2)="15",LEFT(TH!O5680,2)="15"),TK!$E$7=TH!F5680),"x","")</f>
        <v/>
      </c>
      <c r="AD3721" s="75" t="str">
        <f>IF(AND(N3721="1521",MONTH(C3721)='BK-NL'!$M$11),"x","")</f>
        <v/>
      </c>
      <c r="AE3721" s="1264"/>
      <c r="AF3721" s="1264"/>
      <c r="AG3721" s="1264"/>
    </row>
    <row r="3722" spans="1:33" ht="16.5" customHeight="1">
      <c r="A3722" s="309" t="str">
        <f>IF(B3722&lt;&gt;"",IF(AND(B3722='IN-TC'!$S$4,OR(TH!N3720="1111",TH!O3720="1111")),TH!D3720,""),"")</f>
        <v/>
      </c>
      <c r="B3722" s="1339">
        <f t="shared" si="1300"/>
        <v>3</v>
      </c>
      <c r="C3722" s="292">
        <f t="shared" si="1301"/>
        <v>42796</v>
      </c>
      <c r="D3722" s="71"/>
      <c r="E3722" s="71">
        <v>42796</v>
      </c>
      <c r="F3722" s="72" t="s">
        <v>3032</v>
      </c>
      <c r="G3722" s="72" t="s">
        <v>1899</v>
      </c>
      <c r="H3722" s="73" t="s">
        <v>1879</v>
      </c>
      <c r="I3722" s="371"/>
      <c r="J3722" s="377"/>
      <c r="K3722" s="371"/>
      <c r="L3722" s="377"/>
      <c r="M3722" s="74">
        <v>1500000000</v>
      </c>
      <c r="N3722" s="75" t="s">
        <v>262</v>
      </c>
      <c r="O3722" s="75" t="s">
        <v>63</v>
      </c>
      <c r="P3722" s="75" t="str">
        <f>IF(AND('331-CT'!$E$7=TH!H5689,OR(N3722="331",O3722="331")),"x","")</f>
        <v/>
      </c>
      <c r="Q3722" s="75" t="str">
        <f>IF(AND(B3722='111'!$L$11,OR($N3722=$Q$7,$O3722=$Q$7)),"x","")</f>
        <v/>
      </c>
      <c r="R3722" s="75" t="str">
        <f>IF(AND($N3722=$Q$7,$B3722&lt;'111'!$L$11),"x","")</f>
        <v/>
      </c>
      <c r="S3722" s="75" t="str">
        <f>IF(AND($O3722=$Q$7,$B3722&lt;'111'!$L$11),"x","")</f>
        <v>x</v>
      </c>
      <c r="T3722" s="75" t="str">
        <f>IF(ISERROR(FIND('112'!$M$9,G3722,1)),"",IF((AND(FIND('112'!$M$9,G3722,1)&gt;=1,B3722='112'!$K$9,OR($N3722='112'!$I$6,$O3722='112'!$I$6))),"x",""))</f>
        <v/>
      </c>
      <c r="U3722" s="75" t="str">
        <f>IF(ISERROR(FIND('112'!$M$9,G3722,1)),"",IF((AND(LEFT(G3722,2)=LEFT('112'!$M$9,2),B3722&lt;'112'!$K$9,$N3722='112'!$I$6)),"x",""))</f>
        <v/>
      </c>
      <c r="V3722" s="75" t="str">
        <f>IF(ISERROR(FIND('112'!$M$9,G3722,1)),"",IF((AND(RIGHT(G3722,2)=RIGHT('112'!$M$9,2),B3722&lt;'112'!$K$9,$O3722='112'!$I$6)),"x",""))</f>
        <v/>
      </c>
      <c r="W3722" s="75" t="str">
        <f>IF(AND('341-CT'!$H$9=H3722,OR(LEFT(N3722,3)=$W$7,LEFT(O3722,3)=$W$7)),"x","")</f>
        <v/>
      </c>
      <c r="X3722" s="75" t="str">
        <f>IF(OR(TH!N5689=TH!$X$7,O3722=TH!$X$7),"x","")</f>
        <v/>
      </c>
      <c r="Y3722" s="75" t="str">
        <f>IF(AND(OR(N3722="131",O3722="131"),H3722='131-CT'!$H$9),"x","")</f>
        <v/>
      </c>
      <c r="Z3722" s="75"/>
      <c r="AA3722" s="75" t="str">
        <f>IF(AND(MONTH(E3722)='IN-NX'!$J$5,'IN-NX'!$D$7=D3722),"x","")</f>
        <v/>
      </c>
      <c r="AB3722" s="75" t="str">
        <f>IF(AND(OR(LEFT(TH!N5689,2)="15",LEFT(TH!O5689,2)="15"),LEFT(TH!O5689,3)&lt;&gt;"111",'152-CT'!$J$8=TH!F5689),"x","")</f>
        <v/>
      </c>
      <c r="AC3722" s="75" t="str">
        <f>IF(AND(OR(LEFT(TH!N5689,2)="15",LEFT(TH!O5689,2)="15"),TK!$E$7=TH!F5689),"x","")</f>
        <v/>
      </c>
      <c r="AD3722" s="75" t="str">
        <f>IF(AND(N3722="1521",MONTH(C3722)='BK-NL'!$M$11),"x","")</f>
        <v/>
      </c>
      <c r="AE3722" s="1264"/>
      <c r="AF3722" s="1264"/>
      <c r="AG3722" s="1264"/>
    </row>
    <row r="3723" spans="1:33" ht="16.5" customHeight="1">
      <c r="A3723" s="309">
        <f>IF(B3723&lt;&gt;"",IF(AND(B3723='IN-TC'!$S$4,OR(TH!N3721="1111",TH!O3721="1111")),TH!D3721,""),"")</f>
        <v>0</v>
      </c>
      <c r="B3723" s="1169">
        <f t="shared" si="1300"/>
        <v>3</v>
      </c>
      <c r="C3723" s="292">
        <f t="shared" si="1301"/>
        <v>42797</v>
      </c>
      <c r="D3723" s="292" t="s">
        <v>843</v>
      </c>
      <c r="E3723" s="292">
        <v>42797</v>
      </c>
      <c r="F3723" s="67" t="s">
        <v>834</v>
      </c>
      <c r="G3723" s="943" t="s">
        <v>585</v>
      </c>
      <c r="H3723" s="67" t="s">
        <v>1023</v>
      </c>
      <c r="I3723" s="373"/>
      <c r="J3723" s="926"/>
      <c r="K3723" s="373"/>
      <c r="L3723" s="379"/>
      <c r="M3723" s="927">
        <v>150000000</v>
      </c>
      <c r="N3723" s="295" t="s">
        <v>63</v>
      </c>
      <c r="O3723" s="295" t="s">
        <v>26</v>
      </c>
      <c r="P3723" s="75" t="str">
        <f>IF(AND('331-CT'!$E$7=TH!H4680,OR(N3723="331",O3723="331")),"x","")</f>
        <v/>
      </c>
      <c r="Q3723" s="75" t="str">
        <f>IF(AND(B3723='111'!$L$11,OR($N3723=$Q$7,$O3723=$Q$7)),"x","")</f>
        <v/>
      </c>
      <c r="R3723" s="75" t="str">
        <f>IF(AND($N3723=$Q$7,$B3723&lt;'111'!$L$11),"x","")</f>
        <v>x</v>
      </c>
      <c r="S3723" s="75" t="str">
        <f>IF(AND($O3723=$Q$7,$B3723&lt;'111'!$L$11),"x","")</f>
        <v/>
      </c>
      <c r="T3723" s="75" t="str">
        <f>IF(ISERROR(FIND('112'!$M$9,G3723,1)),"",IF((AND(FIND('112'!$M$9,G3723,1)&gt;=1,B3723='112'!$K$9,OR($N3723='112'!$I$6,$O3723='112'!$I$6))),"x",""))</f>
        <v/>
      </c>
      <c r="U3723" s="75" t="str">
        <f>IF(ISERROR(FIND('112'!$M$9,G3723,1)),"",IF((AND(LEFT(G3723,2)=LEFT('112'!$M$9,2),B3723&lt;'112'!$K$9,$N3723='112'!$I$6)),"x",""))</f>
        <v/>
      </c>
      <c r="V3723" s="75" t="str">
        <f>IF(ISERROR(FIND('112'!$M$9,G3723,1)),"",IF((AND(RIGHT(G3723,2)=RIGHT('112'!$M$9,2),B3723&lt;'112'!$K$9,$O3723='112'!$I$6)),"x",""))</f>
        <v/>
      </c>
      <c r="W3723" s="75" t="str">
        <f>IF(AND('341-CT'!$H$9=H3723,OR(LEFT(N3723,3)=$W$7,LEFT(O3723,3)=$W$7)),"x","")</f>
        <v/>
      </c>
      <c r="X3723" s="75" t="str">
        <f>IF(OR(TH!N4680=TH!$X$7,O3723=TH!$X$7),"x","")</f>
        <v/>
      </c>
      <c r="Y3723" s="75" t="str">
        <f>IF(AND(OR(N3723="131",O3723="131"),H3723='131-CT'!$H$9),"x","")</f>
        <v/>
      </c>
      <c r="Z3723" s="75"/>
      <c r="AA3723" s="75" t="str">
        <f>IF(AND(MONTH(E3723)='IN-NX'!$J$5,'IN-NX'!$D$7=D3723),"x","")</f>
        <v/>
      </c>
      <c r="AB3723" s="75" t="str">
        <f>IF(AND(OR(LEFT(TH!N4680,2)="15",LEFT(TH!O4680,2)="15"),LEFT(TH!O4680,3)&lt;&gt;"111",'152-CT'!$J$8=TH!F4680),"x","")</f>
        <v/>
      </c>
      <c r="AC3723" s="75" t="str">
        <f>IF(AND(OR(LEFT(TH!N4680,2)="15",LEFT(TH!O4680,2)="15"),TK!$E$7=TH!F4680),"x","")</f>
        <v/>
      </c>
      <c r="AD3723" s="75" t="str">
        <f>IF(AND(N3723="1521",MONTH(C3723)='BK-NL'!$M$11),"x","")</f>
        <v/>
      </c>
    </row>
    <row r="3724" spans="1:33" ht="16.5" customHeight="1">
      <c r="A3724" s="309">
        <f>IF(B3724&lt;&gt;"",IF(AND(B3724='IN-TC'!$S$4,OR(TH!N3722="1111",TH!O3722="1111")),TH!D3722,""),"")</f>
        <v>0</v>
      </c>
      <c r="B3724" s="1169">
        <f t="shared" si="1300"/>
        <v>3</v>
      </c>
      <c r="C3724" s="292">
        <f t="shared" si="1301"/>
        <v>42797</v>
      </c>
      <c r="D3724" s="59" t="s">
        <v>903</v>
      </c>
      <c r="E3724" s="59">
        <v>42797</v>
      </c>
      <c r="F3724" s="293" t="s">
        <v>252</v>
      </c>
      <c r="G3724" s="62" t="s">
        <v>747</v>
      </c>
      <c r="H3724" s="311" t="s">
        <v>1556</v>
      </c>
      <c r="I3724" s="373"/>
      <c r="J3724" s="379"/>
      <c r="K3724" s="373">
        <v>87500</v>
      </c>
      <c r="L3724" s="379">
        <v>22830</v>
      </c>
      <c r="M3724" s="60">
        <v>1997625000</v>
      </c>
      <c r="N3724" s="61" t="s">
        <v>26</v>
      </c>
      <c r="O3724" s="61" t="s">
        <v>250</v>
      </c>
      <c r="P3724" s="75" t="str">
        <f>IF(AND('331-CT'!$E$7=TH!H5018,OR(N3724="331",O3724="331")),"x","")</f>
        <v/>
      </c>
      <c r="Q3724" s="75" t="str">
        <f>IF(AND(B3724='111'!$L$11,OR($N3724=$Q$7,$O3724=$Q$7)),"x","")</f>
        <v/>
      </c>
      <c r="R3724" s="75" t="str">
        <f>IF(AND($N3724=$Q$7,$B3724&lt;'111'!$L$11),"x","")</f>
        <v/>
      </c>
      <c r="S3724" s="75" t="str">
        <f>IF(AND($O3724=$Q$7,$B3724&lt;'111'!$L$11),"x","")</f>
        <v/>
      </c>
      <c r="T3724" s="75" t="str">
        <f>IF(ISERROR(FIND('112'!$M$9,G3724,1)),"",IF((AND(FIND('112'!$M$9,G3724,1)&gt;=1,B3724='112'!$K$9,OR($N3724='112'!$I$6,$O3724='112'!$I$6))),"x",""))</f>
        <v/>
      </c>
      <c r="U3724" s="75" t="str">
        <f>IF(ISERROR(FIND('112'!$M$9,G3724,1)),"",IF((AND(LEFT(G3724,2)=LEFT('112'!$M$9,2),B3724&lt;'112'!$K$9,$N3724='112'!$I$6)),"x",""))</f>
        <v/>
      </c>
      <c r="V3724" s="75" t="str">
        <f>IF(ISERROR(FIND('112'!$M$9,G3724,1)),"",IF((AND(RIGHT(G3724,2)=RIGHT('112'!$M$9,2),B3724&lt;'112'!$K$9,$O3724='112'!$I$6)),"x",""))</f>
        <v/>
      </c>
      <c r="W3724" s="75" t="str">
        <f>IF(AND('341-CT'!$H$9=H3724,OR(LEFT(N3724,3)=$W$7,LEFT(O3724,3)=$W$7)),"x","")</f>
        <v/>
      </c>
      <c r="X3724" s="75" t="str">
        <f>IF(OR(TH!N5018=TH!$X$7,O3724=TH!$X$7),"x","")</f>
        <v/>
      </c>
      <c r="Y3724" s="75" t="str">
        <f>IF(AND(OR(N3724="131",O3724="131"),H3724='131-CT'!$H$9),"x","")</f>
        <v/>
      </c>
      <c r="Z3724" s="75"/>
      <c r="AA3724" s="75" t="str">
        <f>IF(AND(MONTH(E3724)='IN-NX'!$J$5,'IN-NX'!$D$7=D3724),"x","")</f>
        <v/>
      </c>
      <c r="AB3724" s="75" t="str">
        <f>IF(AND(OR(LEFT(TH!N5018,2)="15",LEFT(TH!O5018,2)="15"),LEFT(TH!O5018,3)&lt;&gt;"111",'152-CT'!$J$8=TH!F5018),"x","")</f>
        <v/>
      </c>
      <c r="AC3724" s="75" t="str">
        <f>IF(AND(OR(LEFT(TH!N5018,2)="15",LEFT(TH!O5018,2)="15"),TK!$E$7=TH!F5018),"x","")</f>
        <v/>
      </c>
      <c r="AD3724" s="75" t="str">
        <f>IF(AND(N3724="1521",MONTH(C3724)='BK-NL'!$M$11),"x","")</f>
        <v/>
      </c>
    </row>
    <row r="3725" spans="1:33" ht="16.5" customHeight="1">
      <c r="A3725" s="309" t="str">
        <f>IF(B3725&lt;&gt;"",IF(AND(B3725='IN-TC'!$S$4,OR(TH!N3723="1111",TH!O3723="1111")),TH!D3723,""),"")</f>
        <v>T02</v>
      </c>
      <c r="B3725" s="1169">
        <f t="shared" si="1300"/>
        <v>3</v>
      </c>
      <c r="C3725" s="292">
        <f t="shared" si="1301"/>
        <v>42800</v>
      </c>
      <c r="D3725" s="292" t="s">
        <v>846</v>
      </c>
      <c r="E3725" s="292">
        <v>42800</v>
      </c>
      <c r="F3725" s="67" t="s">
        <v>834</v>
      </c>
      <c r="G3725" s="943" t="s">
        <v>585</v>
      </c>
      <c r="H3725" s="67" t="s">
        <v>1023</v>
      </c>
      <c r="I3725" s="373"/>
      <c r="J3725" s="926"/>
      <c r="K3725" s="373"/>
      <c r="L3725" s="379"/>
      <c r="M3725" s="927">
        <v>440000000</v>
      </c>
      <c r="N3725" s="295" t="s">
        <v>63</v>
      </c>
      <c r="O3725" s="295" t="s">
        <v>26</v>
      </c>
      <c r="P3725" s="75" t="str">
        <f>IF(AND('331-CT'!$E$7=TH!H4681,OR(N3725="331",O3725="331")),"x","")</f>
        <v/>
      </c>
      <c r="Q3725" s="75" t="str">
        <f>IF(AND(B3725='111'!$L$11,OR($N3725=$Q$7,$O3725=$Q$7)),"x","")</f>
        <v/>
      </c>
      <c r="R3725" s="75" t="str">
        <f>IF(AND($N3725=$Q$7,$B3725&lt;'111'!$L$11),"x","")</f>
        <v>x</v>
      </c>
      <c r="S3725" s="75" t="str">
        <f>IF(AND($O3725=$Q$7,$B3725&lt;'111'!$L$11),"x","")</f>
        <v/>
      </c>
      <c r="T3725" s="75" t="str">
        <f>IF(ISERROR(FIND('112'!$M$9,G3725,1)),"",IF((AND(FIND('112'!$M$9,G3725,1)&gt;=1,B3725='112'!$K$9,OR($N3725='112'!$I$6,$O3725='112'!$I$6))),"x",""))</f>
        <v/>
      </c>
      <c r="U3725" s="75" t="str">
        <f>IF(ISERROR(FIND('112'!$M$9,G3725,1)),"",IF((AND(LEFT(G3725,2)=LEFT('112'!$M$9,2),B3725&lt;'112'!$K$9,$N3725='112'!$I$6)),"x",""))</f>
        <v/>
      </c>
      <c r="V3725" s="75" t="str">
        <f>IF(ISERROR(FIND('112'!$M$9,G3725,1)),"",IF((AND(RIGHT(G3725,2)=RIGHT('112'!$M$9,2),B3725&lt;'112'!$K$9,$O3725='112'!$I$6)),"x",""))</f>
        <v/>
      </c>
      <c r="W3725" s="75" t="str">
        <f>IF(AND('341-CT'!$H$9=H3725,OR(LEFT(N3725,3)=$W$7,LEFT(O3725,3)=$W$7)),"x","")</f>
        <v/>
      </c>
      <c r="X3725" s="75" t="str">
        <f>IF(OR(TH!N4681=TH!$X$7,O3725=TH!$X$7),"x","")</f>
        <v/>
      </c>
      <c r="Y3725" s="75" t="str">
        <f>IF(AND(OR(N3725="131",O3725="131"),H3725='131-CT'!$H$9),"x","")</f>
        <v/>
      </c>
      <c r="Z3725" s="75"/>
      <c r="AA3725" s="75" t="str">
        <f>IF(AND(MONTH(E3725)='IN-NX'!$J$5,'IN-NX'!$D$7=D3725),"x","")</f>
        <v/>
      </c>
      <c r="AB3725" s="75" t="str">
        <f>IF(AND(OR(LEFT(TH!N4681,2)="15",LEFT(TH!O4681,2)="15"),LEFT(TH!O4681,3)&lt;&gt;"111",'152-CT'!$J$8=TH!F4681),"x","")</f>
        <v/>
      </c>
      <c r="AC3725" s="75" t="str">
        <f>IF(AND(OR(LEFT(TH!N4681,2)="15",LEFT(TH!O4681,2)="15"),TK!$E$7=TH!F4681),"x","")</f>
        <v/>
      </c>
      <c r="AD3725" s="75" t="str">
        <f>IF(AND(N3725="1521",MONTH(C3725)='BK-NL'!$M$11),"x","")</f>
        <v/>
      </c>
    </row>
    <row r="3726" spans="1:33" ht="16.5" customHeight="1">
      <c r="A3726" s="309" t="str">
        <f>IF(B3726&lt;&gt;"",IF(AND(B3726='IN-TC'!$S$4,OR(TH!N3724="1111",TH!O3724="1111")),TH!D3724,""),"")</f>
        <v/>
      </c>
      <c r="B3726" s="1169">
        <f t="shared" si="1300"/>
        <v>3</v>
      </c>
      <c r="C3726" s="292">
        <f t="shared" si="1301"/>
        <v>42800</v>
      </c>
      <c r="D3726" s="292" t="s">
        <v>844</v>
      </c>
      <c r="E3726" s="292">
        <v>42800</v>
      </c>
      <c r="F3726" s="293" t="s">
        <v>834</v>
      </c>
      <c r="G3726" s="943" t="s">
        <v>747</v>
      </c>
      <c r="H3726" s="67" t="s">
        <v>1023</v>
      </c>
      <c r="I3726" s="373"/>
      <c r="J3726" s="926"/>
      <c r="K3726" s="373"/>
      <c r="L3726" s="379"/>
      <c r="M3726" s="927">
        <v>10220000000</v>
      </c>
      <c r="N3726" s="295" t="s">
        <v>63</v>
      </c>
      <c r="O3726" s="295" t="s">
        <v>26</v>
      </c>
      <c r="P3726" s="75" t="str">
        <f>IF(AND('331-CT'!$E$7=TH!H5019,OR(N3726="331",O3726="331")),"x","")</f>
        <v/>
      </c>
      <c r="Q3726" s="75" t="str">
        <f>IF(AND(B3726='111'!$L$11,OR($N3726=$Q$7,$O3726=$Q$7)),"x","")</f>
        <v/>
      </c>
      <c r="R3726" s="75" t="str">
        <f>IF(AND($N3726=$Q$7,$B3726&lt;'111'!$L$11),"x","")</f>
        <v>x</v>
      </c>
      <c r="S3726" s="75" t="str">
        <f>IF(AND($O3726=$Q$7,$B3726&lt;'111'!$L$11),"x","")</f>
        <v/>
      </c>
      <c r="T3726" s="75" t="str">
        <f>IF(ISERROR(FIND('112'!$M$9,G3726,1)),"",IF((AND(FIND('112'!$M$9,G3726,1)&gt;=1,B3726='112'!$K$9,OR($N3726='112'!$I$6,$O3726='112'!$I$6))),"x",""))</f>
        <v/>
      </c>
      <c r="U3726" s="75" t="str">
        <f>IF(ISERROR(FIND('112'!$M$9,G3726,1)),"",IF((AND(LEFT(G3726,2)=LEFT('112'!$M$9,2),B3726&lt;'112'!$K$9,$N3726='112'!$I$6)),"x",""))</f>
        <v/>
      </c>
      <c r="V3726" s="75" t="str">
        <f>IF(ISERROR(FIND('112'!$M$9,G3726,1)),"",IF((AND(RIGHT(G3726,2)=RIGHT('112'!$M$9,2),B3726&lt;'112'!$K$9,$O3726='112'!$I$6)),"x",""))</f>
        <v/>
      </c>
      <c r="W3726" s="75" t="str">
        <f>IF(AND('341-CT'!$H$9=H3726,OR(LEFT(N3726,3)=$W$7,LEFT(O3726,3)=$W$7)),"x","")</f>
        <v/>
      </c>
      <c r="X3726" s="75" t="str">
        <f>IF(OR(TH!N5019=TH!$X$7,O3726=TH!$X$7),"x","")</f>
        <v/>
      </c>
      <c r="Y3726" s="75" t="str">
        <f>IF(AND(OR(N3726="131",O3726="131"),H3726='131-CT'!$H$9),"x","")</f>
        <v/>
      </c>
      <c r="Z3726" s="75"/>
      <c r="AA3726" s="75" t="str">
        <f>IF(AND(MONTH(E3726)='IN-NX'!$J$5,'IN-NX'!$D$7=D3726),"x","")</f>
        <v/>
      </c>
      <c r="AB3726" s="75" t="str">
        <f>IF(AND(OR(LEFT(TH!N5019,2)="15",LEFT(TH!O5019,2)="15"),LEFT(TH!O5019,3)&lt;&gt;"111",'152-CT'!$J$8=TH!F5019),"x","")</f>
        <v/>
      </c>
      <c r="AC3726" s="75" t="str">
        <f>IF(AND(OR(LEFT(TH!N5019,2)="15",LEFT(TH!O5019,2)="15"),TK!$E$7=TH!F5019),"x","")</f>
        <v/>
      </c>
      <c r="AD3726" s="75" t="str">
        <f>IF(AND(N3726="1521",MONTH(C3726)='BK-NL'!$M$11),"x","")</f>
        <v/>
      </c>
    </row>
    <row r="3727" spans="1:33" ht="16.5" customHeight="1">
      <c r="A3727" s="309" t="str">
        <f>IF(B3727&lt;&gt;"",IF(AND(B3727='IN-TC'!$S$4,OR(TH!N3725="1111",TH!O3725="1111")),TH!D3725,""),"")</f>
        <v>T04</v>
      </c>
      <c r="B3727" s="1169">
        <f t="shared" si="1300"/>
        <v>3</v>
      </c>
      <c r="C3727" s="292">
        <f t="shared" si="1301"/>
        <v>42800</v>
      </c>
      <c r="D3727" s="292" t="s">
        <v>1919</v>
      </c>
      <c r="E3727" s="292">
        <v>42800</v>
      </c>
      <c r="F3727" s="67" t="s">
        <v>890</v>
      </c>
      <c r="G3727" s="925" t="s">
        <v>1225</v>
      </c>
      <c r="H3727" s="294" t="s">
        <v>893</v>
      </c>
      <c r="I3727" s="373"/>
      <c r="J3727" s="926"/>
      <c r="K3727" s="373"/>
      <c r="L3727" s="379"/>
      <c r="M3727" s="927">
        <v>822327</v>
      </c>
      <c r="N3727" s="295" t="s">
        <v>101</v>
      </c>
      <c r="O3727" s="295" t="s">
        <v>63</v>
      </c>
      <c r="P3727" s="75" t="str">
        <f>IF(AND('331-CT'!$E$7=TH!H3516,OR(N3727="331",O3727="331")),"x","")</f>
        <v/>
      </c>
      <c r="Q3727" s="75" t="str">
        <f>IF(AND(B3727='111'!$L$11,OR($N3727=$Q$7,$O3727=$Q$7)),"x","")</f>
        <v/>
      </c>
      <c r="R3727" s="75" t="str">
        <f>IF(AND($N3727=$Q$7,$B3727&lt;'111'!$L$11),"x","")</f>
        <v/>
      </c>
      <c r="S3727" s="75" t="str">
        <f>IF(AND($O3727=$Q$7,$B3727&lt;'111'!$L$11),"x","")</f>
        <v>x</v>
      </c>
      <c r="T3727" s="75" t="str">
        <f>IF(ISERROR(FIND('112'!$M$9,G3727,1)),"",IF((AND(FIND('112'!$M$9,G3727,1)&gt;=1,B3727='112'!$K$9,OR($N3727='112'!$I$6,$O3727='112'!$I$6))),"x",""))</f>
        <v/>
      </c>
      <c r="U3727" s="75" t="str">
        <f>IF(ISERROR(FIND('112'!$M$9,G3727,1)),"",IF((AND(LEFT(G3727,2)=LEFT('112'!$M$9,2),B3727&lt;'112'!$K$9,$N3727='112'!$I$6)),"x",""))</f>
        <v/>
      </c>
      <c r="V3727" s="75" t="str">
        <f>IF(ISERROR(FIND('112'!$M$9,G3727,1)),"",IF((AND(RIGHT(G3727,2)=RIGHT('112'!$M$9,2),B3727&lt;'112'!$K$9,$O3727='112'!$I$6)),"x",""))</f>
        <v/>
      </c>
      <c r="W3727" s="75" t="str">
        <f>IF(AND('341-CT'!$H$9=H3727,OR(LEFT(N3727,3)=$W$7,LEFT(O3727,3)=$W$7)),"x","")</f>
        <v/>
      </c>
      <c r="X3727" s="75" t="str">
        <f>IF(OR(TH!N3516=TH!$X$7,O3727=TH!$X$7),"x","")</f>
        <v/>
      </c>
      <c r="Y3727" s="75" t="str">
        <f>IF(AND(OR(N3727="131",O3727="131"),H3727='131-CT'!$H$9),"x","")</f>
        <v/>
      </c>
      <c r="Z3727" s="75"/>
      <c r="AA3727" s="75" t="str">
        <f>IF(AND(MONTH(E3727)='IN-NX'!$J$5,'IN-NX'!$D$7=D3727),"x","")</f>
        <v/>
      </c>
      <c r="AB3727" s="75" t="str">
        <f>IF(AND(OR(LEFT(TH!N3516,2)="15",LEFT(TH!O3516,2)="15"),LEFT(TH!O3516,3)&lt;&gt;"111",'152-CT'!$J$8=TH!F3516),"x","")</f>
        <v/>
      </c>
      <c r="AC3727" s="75" t="str">
        <f>IF(AND(OR(LEFT(TH!N3516,2)="15",LEFT(TH!O3516,2)="15"),TK!$E$7=TH!F3516),"x","")</f>
        <v/>
      </c>
      <c r="AD3727" s="75" t="str">
        <f>IF(AND(N3727="1521",MONTH(C3727)='BK-NL'!$M$11),"x","")</f>
        <v/>
      </c>
    </row>
    <row r="3728" spans="1:33" ht="16.5" customHeight="1">
      <c r="A3728" s="309" t="str">
        <f>IF(B3728&lt;&gt;"",IF(AND(B3728='IN-TC'!$S$4,OR(TH!N3726="1111",TH!O3726="1111")),TH!D3726,""),"")</f>
        <v>T03</v>
      </c>
      <c r="B3728" s="1169">
        <f t="shared" si="1300"/>
        <v>3</v>
      </c>
      <c r="C3728" s="292">
        <f t="shared" si="1301"/>
        <v>42800</v>
      </c>
      <c r="D3728" s="292" t="s">
        <v>1919</v>
      </c>
      <c r="E3728" s="292">
        <v>42800</v>
      </c>
      <c r="F3728" s="67" t="s">
        <v>891</v>
      </c>
      <c r="G3728" s="925" t="s">
        <v>1225</v>
      </c>
      <c r="H3728" s="294" t="s">
        <v>893</v>
      </c>
      <c r="I3728" s="373"/>
      <c r="J3728" s="926"/>
      <c r="K3728" s="373"/>
      <c r="L3728" s="379"/>
      <c r="M3728" s="927">
        <v>82233</v>
      </c>
      <c r="N3728" s="295" t="s">
        <v>9</v>
      </c>
      <c r="O3728" s="295" t="s">
        <v>63</v>
      </c>
      <c r="P3728" s="75" t="str">
        <f>IF(AND('331-CT'!$E$7=TH!H3517,OR(N3728="331",O3728="331")),"x","")</f>
        <v/>
      </c>
      <c r="Q3728" s="75" t="str">
        <f>IF(AND(B3728='111'!$L$11,OR($N3728=$Q$7,$O3728=$Q$7)),"x","")</f>
        <v/>
      </c>
      <c r="R3728" s="75" t="str">
        <f>IF(AND($N3728=$Q$7,$B3728&lt;'111'!$L$11),"x","")</f>
        <v/>
      </c>
      <c r="S3728" s="75" t="str">
        <f>IF(AND($O3728=$Q$7,$B3728&lt;'111'!$L$11),"x","")</f>
        <v>x</v>
      </c>
      <c r="T3728" s="75" t="str">
        <f>IF(ISERROR(FIND('112'!$M$9,G3728,1)),"",IF((AND(FIND('112'!$M$9,G3728,1)&gt;=1,B3728='112'!$K$9,OR($N3728='112'!$I$6,$O3728='112'!$I$6))),"x",""))</f>
        <v/>
      </c>
      <c r="U3728" s="75" t="str">
        <f>IF(ISERROR(FIND('112'!$M$9,G3728,1)),"",IF((AND(LEFT(G3728,2)=LEFT('112'!$M$9,2),B3728&lt;'112'!$K$9,$N3728='112'!$I$6)),"x",""))</f>
        <v/>
      </c>
      <c r="V3728" s="75" t="str">
        <f>IF(ISERROR(FIND('112'!$M$9,G3728,1)),"",IF((AND(RIGHT(G3728,2)=RIGHT('112'!$M$9,2),B3728&lt;'112'!$K$9,$O3728='112'!$I$6)),"x",""))</f>
        <v/>
      </c>
      <c r="W3728" s="75" t="str">
        <f>IF(AND('341-CT'!$H$9=H3728,OR(LEFT(N3728,3)=$W$7,LEFT(O3728,3)=$W$7)),"x","")</f>
        <v/>
      </c>
      <c r="X3728" s="75" t="str">
        <f>IF(OR(TH!N3517=TH!$X$7,O3728=TH!$X$7),"x","")</f>
        <v/>
      </c>
      <c r="Y3728" s="75" t="str">
        <f>IF(AND(OR(N3728="131",O3728="131"),H3728='131-CT'!$H$9),"x","")</f>
        <v/>
      </c>
      <c r="Z3728" s="75"/>
      <c r="AA3728" s="75" t="str">
        <f>IF(AND(MONTH(E3728)='IN-NX'!$J$5,'IN-NX'!$D$7=D3728),"x","")</f>
        <v/>
      </c>
      <c r="AB3728" s="75" t="str">
        <f>IF(AND(OR(LEFT(TH!N3517,2)="15",LEFT(TH!O3517,2)="15"),LEFT(TH!O3517,3)&lt;&gt;"111",'152-CT'!$J$8=TH!F3517),"x","")</f>
        <v/>
      </c>
      <c r="AC3728" s="75" t="str">
        <f>IF(AND(OR(LEFT(TH!N3517,2)="15",LEFT(TH!O3517,2)="15"),TK!$E$7=TH!F3517),"x","")</f>
        <v/>
      </c>
      <c r="AD3728" s="75" t="str">
        <f>IF(AND(N3728="1521",MONTH(C3728)='BK-NL'!$M$11),"x","")</f>
        <v/>
      </c>
    </row>
    <row r="3729" spans="1:31" ht="16.5" customHeight="1">
      <c r="A3729" s="309" t="str">
        <f>IF(B3729&lt;&gt;"",IF(AND(B3729='IN-TC'!$S$4,OR(TH!N3727="1111",TH!O3727="1111")),TH!D3727,""),"")</f>
        <v>C05</v>
      </c>
      <c r="B3729" s="1169">
        <f t="shared" si="1300"/>
        <v>3</v>
      </c>
      <c r="C3729" s="292">
        <f t="shared" si="1301"/>
        <v>42800</v>
      </c>
      <c r="D3729" s="292" t="s">
        <v>1920</v>
      </c>
      <c r="E3729" s="292">
        <v>42800</v>
      </c>
      <c r="F3729" s="293" t="s">
        <v>1567</v>
      </c>
      <c r="G3729" s="925" t="s">
        <v>1226</v>
      </c>
      <c r="H3729" s="294" t="s">
        <v>935</v>
      </c>
      <c r="I3729" s="373"/>
      <c r="J3729" s="926"/>
      <c r="K3729" s="373"/>
      <c r="L3729" s="379"/>
      <c r="M3729" s="927">
        <v>2639982</v>
      </c>
      <c r="N3729" s="295" t="s">
        <v>101</v>
      </c>
      <c r="O3729" s="295" t="s">
        <v>63</v>
      </c>
      <c r="P3729" s="75" t="str">
        <f>IF(AND('331-CT'!$E$7=TH!H3518,OR(N3729="331",O3729="331")),"x","")</f>
        <v/>
      </c>
      <c r="Q3729" s="75" t="str">
        <f>IF(AND(B3729='111'!$L$11,OR($N3729=$Q$7,$O3729=$Q$7)),"x","")</f>
        <v/>
      </c>
      <c r="R3729" s="75" t="str">
        <f>IF(AND($N3729=$Q$7,$B3729&lt;'111'!$L$11),"x","")</f>
        <v/>
      </c>
      <c r="S3729" s="75" t="str">
        <f>IF(AND($O3729=$Q$7,$B3729&lt;'111'!$L$11),"x","")</f>
        <v>x</v>
      </c>
      <c r="T3729" s="75" t="str">
        <f>IF(ISERROR(FIND('112'!$M$9,G3729,1)),"",IF((AND(FIND('112'!$M$9,G3729,1)&gt;=1,B3729='112'!$K$9,OR($N3729='112'!$I$6,$O3729='112'!$I$6))),"x",""))</f>
        <v/>
      </c>
      <c r="U3729" s="75" t="str">
        <f>IF(ISERROR(FIND('112'!$M$9,G3729,1)),"",IF((AND(LEFT(G3729,2)=LEFT('112'!$M$9,2),B3729&lt;'112'!$K$9,$N3729='112'!$I$6)),"x",""))</f>
        <v/>
      </c>
      <c r="V3729" s="75" t="str">
        <f>IF(ISERROR(FIND('112'!$M$9,G3729,1)),"",IF((AND(RIGHT(G3729,2)=RIGHT('112'!$M$9,2),B3729&lt;'112'!$K$9,$O3729='112'!$I$6)),"x",""))</f>
        <v/>
      </c>
      <c r="W3729" s="75" t="str">
        <f>IF(AND('341-CT'!$H$9=H3729,OR(LEFT(N3729,3)=$W$7,LEFT(O3729,3)=$W$7)),"x","")</f>
        <v/>
      </c>
      <c r="X3729" s="75" t="str">
        <f>IF(OR(TH!N3518=TH!$X$7,O3729=TH!$X$7),"x","")</f>
        <v/>
      </c>
      <c r="Y3729" s="75" t="str">
        <f>IF(AND(OR(N3729="131",O3729="131"),H3729='131-CT'!$H$9),"x","")</f>
        <v/>
      </c>
      <c r="Z3729" s="75"/>
      <c r="AA3729" s="75" t="str">
        <f>IF(AND(MONTH(E3729)='IN-NX'!$J$5,'IN-NX'!$D$7=D3729),"x","")</f>
        <v/>
      </c>
      <c r="AB3729" s="75" t="str">
        <f>IF(AND(OR(LEFT(TH!N3518,2)="15",LEFT(TH!O3518,2)="15"),LEFT(TH!O3518,3)&lt;&gt;"111",'152-CT'!$J$8=TH!F3518),"x","")</f>
        <v/>
      </c>
      <c r="AC3729" s="75" t="str">
        <f>IF(AND(OR(LEFT(TH!N3518,2)="15",LEFT(TH!O3518,2)="15"),TK!$E$7=TH!F3518),"x","")</f>
        <v/>
      </c>
      <c r="AD3729" s="75" t="str">
        <f>IF(AND(N3729="1521",MONTH(C3729)='BK-NL'!$M$11),"x","")</f>
        <v/>
      </c>
    </row>
    <row r="3730" spans="1:31" ht="16.5" customHeight="1">
      <c r="A3730" s="309" t="str">
        <f>IF(B3730&lt;&gt;"",IF(AND(B3730='IN-TC'!$S$4,OR(TH!N3728="1111",TH!O3728="1111")),TH!D3728,""),"")</f>
        <v>C05</v>
      </c>
      <c r="B3730" s="1169">
        <f t="shared" si="1300"/>
        <v>3</v>
      </c>
      <c r="C3730" s="292">
        <f t="shared" si="1301"/>
        <v>42800</v>
      </c>
      <c r="D3730" s="292" t="s">
        <v>1920</v>
      </c>
      <c r="E3730" s="292">
        <v>42800</v>
      </c>
      <c r="F3730" s="293" t="s">
        <v>1570</v>
      </c>
      <c r="G3730" s="925" t="s">
        <v>1226</v>
      </c>
      <c r="H3730" s="294" t="s">
        <v>935</v>
      </c>
      <c r="I3730" s="373"/>
      <c r="J3730" s="926"/>
      <c r="K3730" s="373"/>
      <c r="L3730" s="379"/>
      <c r="M3730" s="927">
        <v>263998</v>
      </c>
      <c r="N3730" s="295" t="s">
        <v>9</v>
      </c>
      <c r="O3730" s="295" t="s">
        <v>63</v>
      </c>
      <c r="P3730" s="75" t="str">
        <f>IF(AND('331-CT'!$E$7=TH!H3519,OR(N3730="331",O3730="331")),"x","")</f>
        <v/>
      </c>
      <c r="Q3730" s="75" t="str">
        <f>IF(AND(B3730='111'!$L$11,OR($N3730=$Q$7,$O3730=$Q$7)),"x","")</f>
        <v/>
      </c>
      <c r="R3730" s="75" t="str">
        <f>IF(AND($N3730=$Q$7,$B3730&lt;'111'!$L$11),"x","")</f>
        <v/>
      </c>
      <c r="S3730" s="75" t="str">
        <f>IF(AND($O3730=$Q$7,$B3730&lt;'111'!$L$11),"x","")</f>
        <v>x</v>
      </c>
      <c r="T3730" s="75" t="str">
        <f>IF(ISERROR(FIND('112'!$M$9,G3730,1)),"",IF((AND(FIND('112'!$M$9,G3730,1)&gt;=1,B3730='112'!$K$9,OR($N3730='112'!$I$6,$O3730='112'!$I$6))),"x",""))</f>
        <v/>
      </c>
      <c r="U3730" s="75" t="str">
        <f>IF(ISERROR(FIND('112'!$M$9,G3730,1)),"",IF((AND(LEFT(G3730,2)=LEFT('112'!$M$9,2),B3730&lt;'112'!$K$9,$N3730='112'!$I$6)),"x",""))</f>
        <v/>
      </c>
      <c r="V3730" s="75" t="str">
        <f>IF(ISERROR(FIND('112'!$M$9,G3730,1)),"",IF((AND(RIGHT(G3730,2)=RIGHT('112'!$M$9,2),B3730&lt;'112'!$K$9,$O3730='112'!$I$6)),"x",""))</f>
        <v/>
      </c>
      <c r="W3730" s="75" t="str">
        <f>IF(AND('341-CT'!$H$9=H3730,OR(LEFT(N3730,3)=$W$7,LEFT(O3730,3)=$W$7)),"x","")</f>
        <v/>
      </c>
      <c r="X3730" s="75" t="str">
        <f>IF(OR(TH!N3519=TH!$X$7,O3730=TH!$X$7),"x","")</f>
        <v/>
      </c>
      <c r="Y3730" s="75" t="str">
        <f>IF(AND(OR(N3730="131",O3730="131"),H3730='131-CT'!$H$9),"x","")</f>
        <v/>
      </c>
      <c r="Z3730" s="75"/>
      <c r="AA3730" s="75" t="str">
        <f>IF(AND(MONTH(E3730)='IN-NX'!$J$5,'IN-NX'!$D$7=D3730),"x","")</f>
        <v/>
      </c>
      <c r="AB3730" s="75" t="str">
        <f>IF(AND(OR(LEFT(TH!N3519,2)="15",LEFT(TH!O3519,2)="15"),LEFT(TH!O3519,3)&lt;&gt;"111",'152-CT'!$J$8=TH!F3519),"x","")</f>
        <v/>
      </c>
      <c r="AC3730" s="75" t="str">
        <f>IF(AND(OR(LEFT(TH!N3519,2)="15",LEFT(TH!O3519,2)="15"),TK!$E$7=TH!F3519),"x","")</f>
        <v/>
      </c>
      <c r="AD3730" s="75" t="str">
        <f>IF(AND(N3730="1521",MONTH(C3730)='BK-NL'!$M$11),"x","")</f>
        <v/>
      </c>
    </row>
    <row r="3731" spans="1:31" ht="16.5" customHeight="1">
      <c r="A3731" s="309" t="str">
        <f>IF(B3731&lt;&gt;"",IF(AND(B3731='IN-TC'!$S$4,OR(TH!N3729="1111",TH!O3729="1111")),TH!D3729,""),"")</f>
        <v>C06</v>
      </c>
      <c r="B3731" s="1243">
        <f t="shared" ref="B3731:B3794" si="1302">IF(C3731&lt;&gt;"",MONTH(C3731),"")</f>
        <v>3</v>
      </c>
      <c r="C3731" s="292">
        <f t="shared" si="1301"/>
        <v>42800</v>
      </c>
      <c r="D3731" s="292"/>
      <c r="E3731" s="292">
        <v>42800</v>
      </c>
      <c r="F3731" s="1010" t="s">
        <v>1881</v>
      </c>
      <c r="G3731" s="925"/>
      <c r="H3731" s="311" t="s">
        <v>1890</v>
      </c>
      <c r="I3731" s="373"/>
      <c r="J3731" s="926"/>
      <c r="K3731" s="373"/>
      <c r="L3731" s="379"/>
      <c r="M3731" s="927">
        <v>1998400000</v>
      </c>
      <c r="N3731" s="295" t="s">
        <v>8</v>
      </c>
      <c r="O3731" s="295" t="s">
        <v>63</v>
      </c>
      <c r="P3731" s="75" t="str">
        <f>IF(AND('331-CT'!$E$7=TH!H4273,OR(N3731="331",O3731="331")),"x","")</f>
        <v/>
      </c>
      <c r="Q3731" s="75" t="str">
        <f>IF(AND(B3731='111'!$L$11,OR($N3731=$Q$7,$O3731=$Q$7)),"x","")</f>
        <v/>
      </c>
      <c r="R3731" s="75" t="str">
        <f>IF(AND($N3731=$Q$7,$B3731&lt;'111'!$L$11),"x","")</f>
        <v/>
      </c>
      <c r="S3731" s="75" t="str">
        <f>IF(AND($O3731=$Q$7,$B3731&lt;'111'!$L$11),"x","")</f>
        <v>x</v>
      </c>
      <c r="T3731" s="75" t="str">
        <f>IF(ISERROR(FIND('112'!$M$9,G3731,1)),"",IF((AND(FIND('112'!$M$9,G3731,1)&gt;=1,B3731='112'!$K$9,OR($N3731='112'!$I$6,$O3731='112'!$I$6))),"x",""))</f>
        <v/>
      </c>
      <c r="U3731" s="75" t="str">
        <f>IF(ISERROR(FIND('112'!$M$9,G3731,1)),"",IF((AND(LEFT(G3731,2)=LEFT('112'!$M$9,2),B3731&lt;'112'!$K$9,$N3731='112'!$I$6)),"x",""))</f>
        <v/>
      </c>
      <c r="V3731" s="75" t="str">
        <f>IF(ISERROR(FIND('112'!$M$9,G3731,1)),"",IF((AND(RIGHT(G3731,2)=RIGHT('112'!$M$9,2),B3731&lt;'112'!$K$9,$O3731='112'!$I$6)),"x",""))</f>
        <v/>
      </c>
      <c r="W3731" s="75" t="str">
        <f>IF(AND('341-CT'!$H$9=H3731,OR(LEFT(N3731,3)=$W$7,LEFT(O3731,3)=$W$7)),"x","")</f>
        <v/>
      </c>
      <c r="X3731" s="75" t="str">
        <f>IF(OR(TH!N4273=TH!$X$7,O3731=TH!$X$7),"x","")</f>
        <v/>
      </c>
      <c r="Y3731" s="75" t="str">
        <f>IF(AND(OR(N3731="131",O3731="131"),H3731='131-CT'!$H$9),"x","")</f>
        <v/>
      </c>
      <c r="Z3731" s="75"/>
      <c r="AA3731" s="75" t="str">
        <f>IF(AND(MONTH(E3731)='IN-NX'!$J$5,'IN-NX'!$D$7=D3731),"x","")</f>
        <v/>
      </c>
      <c r="AB3731" s="75" t="str">
        <f>IF(AND(OR(LEFT(TH!N4273,2)="15",LEFT(TH!O4273,2)="15"),LEFT(TH!O4273,3)&lt;&gt;"111",'152-CT'!$J$8=TH!F4273),"x","")</f>
        <v/>
      </c>
      <c r="AC3731" s="75" t="str">
        <f>IF(AND(OR(LEFT(TH!N4273,2)="15",LEFT(TH!O4273,2)="15"),TK!$E$7=TH!F4273),"x","")</f>
        <v/>
      </c>
      <c r="AD3731" s="75" t="str">
        <f>IF(AND(N3731="1521",MONTH(C3731)='BK-NL'!$M$11),"x","")</f>
        <v/>
      </c>
    </row>
    <row r="3732" spans="1:31" ht="16.5" customHeight="1">
      <c r="A3732" s="309" t="str">
        <f>IF(B3732&lt;&gt;"",IF(AND(B3732='IN-TC'!$S$4,OR(TH!N3730="1111",TH!O3730="1111")),TH!D3730,""),"")</f>
        <v>C06</v>
      </c>
      <c r="B3732" s="1130">
        <f t="shared" si="1302"/>
        <v>3</v>
      </c>
      <c r="C3732" s="292">
        <f t="shared" si="1301"/>
        <v>42800</v>
      </c>
      <c r="D3732" s="292"/>
      <c r="E3732" s="292">
        <v>42800</v>
      </c>
      <c r="F3732" s="1010" t="s">
        <v>1881</v>
      </c>
      <c r="G3732" s="925"/>
      <c r="H3732" s="311" t="s">
        <v>1889</v>
      </c>
      <c r="I3732" s="373"/>
      <c r="J3732" s="926"/>
      <c r="K3732" s="373"/>
      <c r="L3732" s="379"/>
      <c r="M3732" s="927">
        <v>1000000000</v>
      </c>
      <c r="N3732" s="295" t="s">
        <v>8</v>
      </c>
      <c r="O3732" s="295" t="s">
        <v>63</v>
      </c>
      <c r="P3732" s="75" t="str">
        <f>IF(AND('331-CT'!$E$7=TH!H4309,OR(N3732="331",O3732="331")),"x","")</f>
        <v/>
      </c>
      <c r="Q3732" s="75" t="str">
        <f>IF(AND(B3732='111'!$L$11,OR($N3732=$Q$7,$O3732=$Q$7)),"x","")</f>
        <v/>
      </c>
      <c r="R3732" s="75" t="str">
        <f>IF(AND($N3732=$Q$7,$B3732&lt;'111'!$L$11),"x","")</f>
        <v/>
      </c>
      <c r="S3732" s="75" t="str">
        <f>IF(AND($O3732=$Q$7,$B3732&lt;'111'!$L$11),"x","")</f>
        <v>x</v>
      </c>
      <c r="T3732" s="75" t="str">
        <f>IF(ISERROR(FIND('112'!$M$9,G3732,1)),"",IF((AND(FIND('112'!$M$9,G3732,1)&gt;=1,B3732='112'!$K$9,OR($N3732='112'!$I$6,$O3732='112'!$I$6))),"x",""))</f>
        <v/>
      </c>
      <c r="U3732" s="75" t="str">
        <f>IF(ISERROR(FIND('112'!$M$9,G3732,1)),"",IF((AND(LEFT(G3732,2)=LEFT('112'!$M$9,2),B3732&lt;'112'!$K$9,$N3732='112'!$I$6)),"x",""))</f>
        <v/>
      </c>
      <c r="V3732" s="75" t="str">
        <f>IF(ISERROR(FIND('112'!$M$9,G3732,1)),"",IF((AND(RIGHT(G3732,2)=RIGHT('112'!$M$9,2),B3732&lt;'112'!$K$9,$O3732='112'!$I$6)),"x",""))</f>
        <v/>
      </c>
      <c r="W3732" s="75" t="str">
        <f>IF(AND('341-CT'!$H$9=H3732,OR(LEFT(N3732,3)=$W$7,LEFT(O3732,3)=$W$7)),"x","")</f>
        <v/>
      </c>
      <c r="X3732" s="75" t="str">
        <f>IF(OR(TH!N4309=TH!$X$7,O3732=TH!$X$7),"x","")</f>
        <v/>
      </c>
      <c r="Y3732" s="75" t="str">
        <f>IF(AND(OR(N3732="131",O3732="131"),H3732='131-CT'!$H$9),"x","")</f>
        <v/>
      </c>
      <c r="Z3732" s="75"/>
      <c r="AA3732" s="75" t="str">
        <f>IF(AND(MONTH(E3732)='IN-NX'!$J$5,'IN-NX'!$D$7=D3732),"x","")</f>
        <v/>
      </c>
      <c r="AB3732" s="75" t="str">
        <f>IF(AND(OR(LEFT(TH!N4309,2)="15",LEFT(TH!O4309,2)="15"),LEFT(TH!O4309,3)&lt;&gt;"111",'152-CT'!$J$8=TH!F4309),"x","")</f>
        <v/>
      </c>
      <c r="AC3732" s="75" t="str">
        <f>IF(AND(OR(LEFT(TH!N4309,2)="15",LEFT(TH!O4309,2)="15"),TK!$E$7=TH!F4309),"x","")</f>
        <v/>
      </c>
      <c r="AD3732" s="75" t="str">
        <f>IF(AND(N3732="1521",MONTH(C3732)='BK-NL'!$M$11),"x","")</f>
        <v/>
      </c>
    </row>
    <row r="3733" spans="1:31" ht="16.5" customHeight="1">
      <c r="A3733" s="309">
        <f>IF(B3733&lt;&gt;"",IF(AND(B3733='IN-TC'!$S$4,OR(TH!N3731="1111",TH!O3731="1111")),TH!D3731,""),"")</f>
        <v>0</v>
      </c>
      <c r="B3733" s="1130">
        <f t="shared" si="1302"/>
        <v>3</v>
      </c>
      <c r="C3733" s="292">
        <f t="shared" si="1301"/>
        <v>42800</v>
      </c>
      <c r="D3733" s="292"/>
      <c r="E3733" s="292">
        <v>42800</v>
      </c>
      <c r="F3733" s="1010" t="s">
        <v>1883</v>
      </c>
      <c r="G3733" s="925"/>
      <c r="H3733" s="311"/>
      <c r="I3733" s="373"/>
      <c r="J3733" s="926"/>
      <c r="K3733" s="373"/>
      <c r="L3733" s="379"/>
      <c r="M3733" s="927">
        <v>700000</v>
      </c>
      <c r="N3733" s="295" t="s">
        <v>101</v>
      </c>
      <c r="O3733" s="295" t="s">
        <v>63</v>
      </c>
      <c r="P3733" s="75" t="str">
        <f>IF(AND('331-CT'!$E$7=TH!H4310,OR(N3733="331",O3733="331")),"x","")</f>
        <v/>
      </c>
      <c r="Q3733" s="75" t="str">
        <f>IF(AND(B3733='111'!$L$11,OR($N3733=$Q$7,$O3733=$Q$7)),"x","")</f>
        <v/>
      </c>
      <c r="R3733" s="75" t="str">
        <f>IF(AND($N3733=$Q$7,$B3733&lt;'111'!$L$11),"x","")</f>
        <v/>
      </c>
      <c r="S3733" s="75" t="str">
        <f>IF(AND($O3733=$Q$7,$B3733&lt;'111'!$L$11),"x","")</f>
        <v>x</v>
      </c>
      <c r="T3733" s="75" t="str">
        <f>IF(ISERROR(FIND('112'!$M$9,G3733,1)),"",IF((AND(FIND('112'!$M$9,G3733,1)&gt;=1,B3733='112'!$K$9,OR($N3733='112'!$I$6,$O3733='112'!$I$6))),"x",""))</f>
        <v/>
      </c>
      <c r="U3733" s="75" t="str">
        <f>IF(ISERROR(FIND('112'!$M$9,G3733,1)),"",IF((AND(LEFT(G3733,2)=LEFT('112'!$M$9,2),B3733&lt;'112'!$K$9,$N3733='112'!$I$6)),"x",""))</f>
        <v/>
      </c>
      <c r="V3733" s="75" t="str">
        <f>IF(ISERROR(FIND('112'!$M$9,G3733,1)),"",IF((AND(RIGHT(G3733,2)=RIGHT('112'!$M$9,2),B3733&lt;'112'!$K$9,$O3733='112'!$I$6)),"x",""))</f>
        <v/>
      </c>
      <c r="W3733" s="75" t="str">
        <f>IF(AND('341-CT'!$H$9=H3733,OR(LEFT(N3733,3)=$W$7,LEFT(O3733,3)=$W$7)),"x","")</f>
        <v/>
      </c>
      <c r="X3733" s="75" t="str">
        <f>IF(OR(TH!N4310=TH!$X$7,O3733=TH!$X$7),"x","")</f>
        <v/>
      </c>
      <c r="Y3733" s="75" t="str">
        <f>IF(AND(OR(N3733="131",O3733="131"),H3733='131-CT'!$H$9),"x","")</f>
        <v/>
      </c>
      <c r="Z3733" s="75"/>
      <c r="AA3733" s="75" t="str">
        <f>IF(AND(MONTH(E3733)='IN-NX'!$J$5,'IN-NX'!$D$7=D3733),"x","")</f>
        <v/>
      </c>
      <c r="AB3733" s="75" t="str">
        <f>IF(AND(OR(LEFT(TH!N4310,2)="15",LEFT(TH!O4310,2)="15"),LEFT(TH!O4310,3)&lt;&gt;"111",'152-CT'!$J$8=TH!F4310),"x","")</f>
        <v/>
      </c>
      <c r="AC3733" s="75" t="str">
        <f>IF(AND(OR(LEFT(TH!N4310,2)="15",LEFT(TH!O4310,2)="15"),TK!$E$7=TH!F4310),"x","")</f>
        <v/>
      </c>
      <c r="AD3733" s="75" t="str">
        <f>IF(AND(N3733="1521",MONTH(C3733)='BK-NL'!$M$11),"x","")</f>
        <v/>
      </c>
      <c r="AE3733">
        <v>9</v>
      </c>
    </row>
    <row r="3734" spans="1:31" ht="16.5" customHeight="1">
      <c r="A3734" s="309">
        <f>IF(B3734&lt;&gt;"",IF(AND(B3734='IN-TC'!$S$4,OR(TH!N3732="1111",TH!O3732="1111")),TH!D3732,""),"")</f>
        <v>0</v>
      </c>
      <c r="B3734" s="1130">
        <f t="shared" si="1302"/>
        <v>3</v>
      </c>
      <c r="C3734" s="292">
        <f t="shared" si="1301"/>
        <v>42800</v>
      </c>
      <c r="D3734" s="292"/>
      <c r="E3734" s="292">
        <v>42800</v>
      </c>
      <c r="F3734" s="1010" t="s">
        <v>1895</v>
      </c>
      <c r="G3734" s="925"/>
      <c r="H3734" s="311"/>
      <c r="I3734" s="373"/>
      <c r="J3734" s="926"/>
      <c r="K3734" s="373"/>
      <c r="L3734" s="379"/>
      <c r="M3734" s="927">
        <v>70000</v>
      </c>
      <c r="N3734" s="295" t="s">
        <v>9</v>
      </c>
      <c r="O3734" s="295" t="s">
        <v>63</v>
      </c>
      <c r="P3734" s="75" t="str">
        <f>IF(AND('331-CT'!$E$7=TH!H4311,OR(N3734="331",O3734="331")),"x","")</f>
        <v/>
      </c>
      <c r="Q3734" s="75" t="str">
        <f>IF(AND(B3734='111'!$L$11,OR($N3734=$Q$7,$O3734=$Q$7)),"x","")</f>
        <v/>
      </c>
      <c r="R3734" s="75" t="str">
        <f>IF(AND($N3734=$Q$7,$B3734&lt;'111'!$L$11),"x","")</f>
        <v/>
      </c>
      <c r="S3734" s="75" t="str">
        <f>IF(AND($O3734=$Q$7,$B3734&lt;'111'!$L$11),"x","")</f>
        <v>x</v>
      </c>
      <c r="T3734" s="75" t="str">
        <f>IF(ISERROR(FIND('112'!$M$9,G3734,1)),"",IF((AND(FIND('112'!$M$9,G3734,1)&gt;=1,B3734='112'!$K$9,OR($N3734='112'!$I$6,$O3734='112'!$I$6))),"x",""))</f>
        <v/>
      </c>
      <c r="U3734" s="75" t="str">
        <f>IF(ISERROR(FIND('112'!$M$9,G3734,1)),"",IF((AND(LEFT(G3734,2)=LEFT('112'!$M$9,2),B3734&lt;'112'!$K$9,$N3734='112'!$I$6)),"x",""))</f>
        <v/>
      </c>
      <c r="V3734" s="75" t="str">
        <f>IF(ISERROR(FIND('112'!$M$9,G3734,1)),"",IF((AND(RIGHT(G3734,2)=RIGHT('112'!$M$9,2),B3734&lt;'112'!$K$9,$O3734='112'!$I$6)),"x",""))</f>
        <v/>
      </c>
      <c r="W3734" s="75" t="str">
        <f>IF(AND('341-CT'!$H$9=H3734,OR(LEFT(N3734,3)=$W$7,LEFT(O3734,3)=$W$7)),"x","")</f>
        <v/>
      </c>
      <c r="X3734" s="75" t="str">
        <f>IF(OR(TH!N4311=TH!$X$7,O3734=TH!$X$7),"x","")</f>
        <v/>
      </c>
      <c r="Y3734" s="75" t="str">
        <f>IF(AND(OR(N3734="131",O3734="131"),H3734='131-CT'!$H$9),"x","")</f>
        <v/>
      </c>
      <c r="Z3734" s="75"/>
      <c r="AA3734" s="75" t="str">
        <f>IF(AND(MONTH(E3734)='IN-NX'!$J$5,'IN-NX'!$D$7=D3734),"x","")</f>
        <v/>
      </c>
      <c r="AB3734" s="75" t="str">
        <f>IF(AND(OR(LEFT(TH!N4311,2)="15",LEFT(TH!O4311,2)="15"),LEFT(TH!O4311,3)&lt;&gt;"111",'152-CT'!$J$8=TH!F4311),"x","")</f>
        <v/>
      </c>
      <c r="AC3734" s="75" t="str">
        <f>IF(AND(OR(LEFT(TH!N4311,2)="15",LEFT(TH!O4311,2)="15"),TK!$E$7=TH!F4311),"x","")</f>
        <v/>
      </c>
      <c r="AD3734" s="75" t="str">
        <f>IF(AND(N3734="1521",MONTH(C3734)='BK-NL'!$M$11),"x","")</f>
        <v/>
      </c>
      <c r="AE3734">
        <v>9</v>
      </c>
    </row>
    <row r="3735" spans="1:31" ht="16.5" customHeight="1">
      <c r="A3735" s="309">
        <f>IF(B3735&lt;&gt;"",IF(AND(B3735='IN-TC'!$S$4,OR(TH!N3733="1111",TH!O3733="1111")),TH!D3733,""),"")</f>
        <v>0</v>
      </c>
      <c r="B3735" s="1243">
        <f t="shared" si="1302"/>
        <v>3</v>
      </c>
      <c r="C3735" s="292">
        <f t="shared" si="1301"/>
        <v>42800</v>
      </c>
      <c r="D3735" s="292"/>
      <c r="E3735" s="292">
        <v>42800</v>
      </c>
      <c r="F3735" s="1010" t="s">
        <v>1881</v>
      </c>
      <c r="G3735" s="925"/>
      <c r="H3735" s="311" t="s">
        <v>1886</v>
      </c>
      <c r="I3735" s="373"/>
      <c r="J3735" s="926"/>
      <c r="K3735" s="373"/>
      <c r="L3735" s="379"/>
      <c r="M3735" s="927">
        <v>1950000000</v>
      </c>
      <c r="N3735" s="295" t="s">
        <v>8</v>
      </c>
      <c r="O3735" s="295" t="s">
        <v>63</v>
      </c>
      <c r="P3735" s="75" t="str">
        <f>IF(AND('331-CT'!$E$7=TH!H4337,OR(N3735="331",O3735="331")),"x","")</f>
        <v/>
      </c>
      <c r="Q3735" s="75" t="str">
        <f>IF(AND(B3735='111'!$L$11,OR($N3735=$Q$7,$O3735=$Q$7)),"x","")</f>
        <v/>
      </c>
      <c r="R3735" s="75" t="str">
        <f>IF(AND($N3735=$Q$7,$B3735&lt;'111'!$L$11),"x","")</f>
        <v/>
      </c>
      <c r="S3735" s="75" t="str">
        <f>IF(AND($O3735=$Q$7,$B3735&lt;'111'!$L$11),"x","")</f>
        <v>x</v>
      </c>
      <c r="T3735" s="75" t="str">
        <f>IF(ISERROR(FIND('112'!$M$9,G3735,1)),"",IF((AND(FIND('112'!$M$9,G3735,1)&gt;=1,B3735='112'!$K$9,OR($N3735='112'!$I$6,$O3735='112'!$I$6))),"x",""))</f>
        <v/>
      </c>
      <c r="U3735" s="75" t="str">
        <f>IF(ISERROR(FIND('112'!$M$9,G3735,1)),"",IF((AND(LEFT(G3735,2)=LEFT('112'!$M$9,2),B3735&lt;'112'!$K$9,$N3735='112'!$I$6)),"x",""))</f>
        <v/>
      </c>
      <c r="V3735" s="75" t="str">
        <f>IF(ISERROR(FIND('112'!$M$9,G3735,1)),"",IF((AND(RIGHT(G3735,2)=RIGHT('112'!$M$9,2),B3735&lt;'112'!$K$9,$O3735='112'!$I$6)),"x",""))</f>
        <v/>
      </c>
      <c r="W3735" s="75" t="str">
        <f>IF(AND('341-CT'!$H$9=H3735,OR(LEFT(N3735,3)=$W$7,LEFT(O3735,3)=$W$7)),"x","")</f>
        <v/>
      </c>
      <c r="X3735" s="75" t="str">
        <f>IF(OR(TH!N4337=TH!$X$7,O3735=TH!$X$7),"x","")</f>
        <v/>
      </c>
      <c r="Y3735" s="75" t="str">
        <f>IF(AND(OR(N3735="131",O3735="131"),H3735='131-CT'!$H$9),"x","")</f>
        <v/>
      </c>
      <c r="Z3735" s="75"/>
      <c r="AA3735" s="75" t="str">
        <f>IF(AND(MONTH(E3735)='IN-NX'!$J$5,'IN-NX'!$D$7=D3735),"x","")</f>
        <v/>
      </c>
      <c r="AB3735" s="75" t="str">
        <f>IF(AND(OR(LEFT(TH!N4337,2)="15",LEFT(TH!O4337,2)="15"),LEFT(TH!O4337,3)&lt;&gt;"111",'152-CT'!$J$8=TH!F4337),"x","")</f>
        <v/>
      </c>
      <c r="AC3735" s="75" t="str">
        <f>IF(AND(OR(LEFT(TH!N4337,2)="15",LEFT(TH!O4337,2)="15"),TK!$E$7=TH!F4337),"x","")</f>
        <v/>
      </c>
      <c r="AD3735" s="75" t="str">
        <f>IF(AND(N3735="1521",MONTH(C3735)='BK-NL'!$M$11),"x","")</f>
        <v/>
      </c>
    </row>
    <row r="3736" spans="1:31" ht="16.5" customHeight="1">
      <c r="A3736" s="309">
        <f>IF(B3736&lt;&gt;"",IF(AND(B3736='IN-TC'!$S$4,OR(TH!N3734="1111",TH!O3734="1111")),TH!D3734,""),"")</f>
        <v>0</v>
      </c>
      <c r="B3736" s="1243">
        <f t="shared" si="1302"/>
        <v>3</v>
      </c>
      <c r="C3736" s="292">
        <f t="shared" si="1301"/>
        <v>42800</v>
      </c>
      <c r="D3736" s="292"/>
      <c r="E3736" s="292">
        <v>42800</v>
      </c>
      <c r="F3736" s="1010" t="s">
        <v>1883</v>
      </c>
      <c r="G3736" s="925"/>
      <c r="H3736" s="311"/>
      <c r="I3736" s="373"/>
      <c r="J3736" s="926"/>
      <c r="K3736" s="373"/>
      <c r="L3736" s="379"/>
      <c r="M3736" s="927">
        <v>1100000</v>
      </c>
      <c r="N3736" s="295" t="s">
        <v>101</v>
      </c>
      <c r="O3736" s="295" t="s">
        <v>63</v>
      </c>
      <c r="P3736" s="75" t="str">
        <f>IF(AND('331-CT'!$E$7=TH!H4338,OR(N3736="331",O3736="331")),"x","")</f>
        <v/>
      </c>
      <c r="Q3736" s="75" t="str">
        <f>IF(AND(B3736='111'!$L$11,OR($N3736=$Q$7,$O3736=$Q$7)),"x","")</f>
        <v/>
      </c>
      <c r="R3736" s="75" t="str">
        <f>IF(AND($N3736=$Q$7,$B3736&lt;'111'!$L$11),"x","")</f>
        <v/>
      </c>
      <c r="S3736" s="75" t="str">
        <f>IF(AND($O3736=$Q$7,$B3736&lt;'111'!$L$11),"x","")</f>
        <v>x</v>
      </c>
      <c r="T3736" s="75" t="str">
        <f>IF(ISERROR(FIND('112'!$M$9,G3736,1)),"",IF((AND(FIND('112'!$M$9,G3736,1)&gt;=1,B3736='112'!$K$9,OR($N3736='112'!$I$6,$O3736='112'!$I$6))),"x",""))</f>
        <v/>
      </c>
      <c r="U3736" s="75" t="str">
        <f>IF(ISERROR(FIND('112'!$M$9,G3736,1)),"",IF((AND(LEFT(G3736,2)=LEFT('112'!$M$9,2),B3736&lt;'112'!$K$9,$N3736='112'!$I$6)),"x",""))</f>
        <v/>
      </c>
      <c r="V3736" s="75" t="str">
        <f>IF(ISERROR(FIND('112'!$M$9,G3736,1)),"",IF((AND(RIGHT(G3736,2)=RIGHT('112'!$M$9,2),B3736&lt;'112'!$K$9,$O3736='112'!$I$6)),"x",""))</f>
        <v/>
      </c>
      <c r="W3736" s="75" t="str">
        <f>IF(AND('341-CT'!$H$9=H3736,OR(LEFT(N3736,3)=$W$7,LEFT(O3736,3)=$W$7)),"x","")</f>
        <v/>
      </c>
      <c r="X3736" s="75" t="str">
        <f>IF(OR(TH!N4338=TH!$X$7,O3736=TH!$X$7),"x","")</f>
        <v/>
      </c>
      <c r="Y3736" s="75" t="str">
        <f>IF(AND(OR(N3736="131",O3736="131"),H3736='131-CT'!$H$9),"x","")</f>
        <v/>
      </c>
      <c r="Z3736" s="75"/>
      <c r="AA3736" s="75" t="str">
        <f>IF(AND(MONTH(E3736)='IN-NX'!$J$5,'IN-NX'!$D$7=D3736),"x","")</f>
        <v/>
      </c>
      <c r="AB3736" s="75" t="str">
        <f>IF(AND(OR(LEFT(TH!N4338,2)="15",LEFT(TH!O4338,2)="15"),LEFT(TH!O4338,3)&lt;&gt;"111",'152-CT'!$J$8=TH!F4338),"x","")</f>
        <v/>
      </c>
      <c r="AC3736" s="75" t="str">
        <f>IF(AND(OR(LEFT(TH!N4338,2)="15",LEFT(TH!O4338,2)="15"),TK!$E$7=TH!F4338),"x","")</f>
        <v/>
      </c>
      <c r="AD3736" s="75" t="str">
        <f>IF(AND(N3736="1521",MONTH(C3736)='BK-NL'!$M$11),"x","")</f>
        <v/>
      </c>
    </row>
    <row r="3737" spans="1:31" ht="16.5" customHeight="1">
      <c r="A3737" s="309">
        <f>IF(B3737&lt;&gt;"",IF(AND(B3737='IN-TC'!$S$4,OR(TH!N3735="1111",TH!O3735="1111")),TH!D3735,""),"")</f>
        <v>0</v>
      </c>
      <c r="B3737" s="1169">
        <f t="shared" si="1302"/>
        <v>3</v>
      </c>
      <c r="C3737" s="292">
        <f t="shared" si="1301"/>
        <v>42800</v>
      </c>
      <c r="D3737" s="292" t="s">
        <v>1942</v>
      </c>
      <c r="E3737" s="292">
        <v>42800</v>
      </c>
      <c r="F3737" s="67" t="s">
        <v>1778</v>
      </c>
      <c r="G3737" s="925" t="s">
        <v>1187</v>
      </c>
      <c r="H3737" s="294" t="s">
        <v>563</v>
      </c>
      <c r="I3737" s="373"/>
      <c r="J3737" s="926"/>
      <c r="K3737" s="373"/>
      <c r="L3737" s="379"/>
      <c r="M3737" s="927">
        <v>11452540</v>
      </c>
      <c r="N3737" s="295" t="s">
        <v>8</v>
      </c>
      <c r="O3737" s="295" t="s">
        <v>63</v>
      </c>
      <c r="P3737" s="75" t="str">
        <f>IF(AND('331-CT'!$E$7=TH!H3544,OR(N3737="331",O3737="331")),"x","")</f>
        <v/>
      </c>
      <c r="Q3737" s="75" t="str">
        <f>IF(AND(B3737='111'!$L$11,OR($N3737=$Q$7,$O3737=$Q$7)),"x","")</f>
        <v/>
      </c>
      <c r="R3737" s="75" t="str">
        <f>IF(AND($N3737=$Q$7,$B3737&lt;'111'!$L$11),"x","")</f>
        <v/>
      </c>
      <c r="S3737" s="75" t="str">
        <f>IF(AND($O3737=$Q$7,$B3737&lt;'111'!$L$11),"x","")</f>
        <v>x</v>
      </c>
      <c r="T3737" s="75" t="str">
        <f>IF(ISERROR(FIND('112'!$M$9,G3737,1)),"",IF((AND(FIND('112'!$M$9,G3737,1)&gt;=1,B3737='112'!$K$9,OR($N3737='112'!$I$6,$O3737='112'!$I$6))),"x",""))</f>
        <v/>
      </c>
      <c r="U3737" s="75" t="str">
        <f>IF(ISERROR(FIND('112'!$M$9,G3737,1)),"",IF((AND(LEFT(G3737,2)=LEFT('112'!$M$9,2),B3737&lt;'112'!$K$9,$N3737='112'!$I$6)),"x",""))</f>
        <v/>
      </c>
      <c r="V3737" s="75" t="str">
        <f>IF(ISERROR(FIND('112'!$M$9,G3737,1)),"",IF((AND(RIGHT(G3737,2)=RIGHT('112'!$M$9,2),B3737&lt;'112'!$K$9,$O3737='112'!$I$6)),"x",""))</f>
        <v/>
      </c>
      <c r="W3737" s="75" t="str">
        <f>IF(AND('341-CT'!$H$9=H3737,OR(LEFT(N3737,3)=$W$7,LEFT(O3737,3)=$W$7)),"x","")</f>
        <v/>
      </c>
      <c r="X3737" s="75" t="str">
        <f>IF(OR(TH!N3544=TH!$X$7,O3737=TH!$X$7),"x","")</f>
        <v/>
      </c>
      <c r="Y3737" s="75" t="str">
        <f>IF(AND(OR(N3737="131",O3737="131"),H3737='131-CT'!$H$9),"x","")</f>
        <v/>
      </c>
      <c r="Z3737" s="75"/>
      <c r="AA3737" s="75" t="str">
        <f>IF(AND(MONTH(E3737)='IN-NX'!$J$5,'IN-NX'!$D$7=D3737),"x","")</f>
        <v/>
      </c>
      <c r="AB3737" s="75" t="str">
        <f>IF(AND(OR(LEFT(TH!N3544,2)="15",LEFT(TH!O3544,2)="15"),LEFT(TH!O3544,3)&lt;&gt;"111",'152-CT'!$J$8=TH!F3544),"x","")</f>
        <v/>
      </c>
      <c r="AC3737" s="75" t="str">
        <f>IF(AND(OR(LEFT(TH!N3544,2)="15",LEFT(TH!O3544,2)="15"),TK!$E$7=TH!F3544),"x","")</f>
        <v/>
      </c>
      <c r="AD3737" s="75" t="str">
        <f>IF(AND(N3737="1521",MONTH(C3737)='BK-NL'!$M$11),"x","")</f>
        <v/>
      </c>
    </row>
    <row r="3738" spans="1:31" ht="16.5" customHeight="1">
      <c r="A3738" s="309">
        <f>IF(B3738&lt;&gt;"",IF(AND(B3738='IN-TC'!$S$4,OR(TH!N3736="1111",TH!O3736="1111")),TH!D3736,""),"")</f>
        <v>0</v>
      </c>
      <c r="B3738" s="1242">
        <f t="shared" si="1302"/>
        <v>3</v>
      </c>
      <c r="C3738" s="292">
        <f t="shared" si="1301"/>
        <v>42800</v>
      </c>
      <c r="D3738" s="292" t="s">
        <v>1929</v>
      </c>
      <c r="E3738" s="292">
        <v>42800</v>
      </c>
      <c r="F3738" s="1010" t="s">
        <v>1881</v>
      </c>
      <c r="G3738" s="925"/>
      <c r="H3738" s="311" t="s">
        <v>1882</v>
      </c>
      <c r="I3738" s="373"/>
      <c r="J3738" s="926"/>
      <c r="K3738" s="373"/>
      <c r="L3738" s="379"/>
      <c r="M3738" s="927">
        <v>1955000000</v>
      </c>
      <c r="N3738" s="295" t="s">
        <v>8</v>
      </c>
      <c r="O3738" s="295" t="s">
        <v>63</v>
      </c>
      <c r="P3738" s="75" t="str">
        <f>IF(AND('331-CT'!$E$7=TH!H4246,OR(N3738="331",O3738="331")),"x","")</f>
        <v/>
      </c>
      <c r="Q3738" s="75" t="str">
        <f>IF(AND(B3738='111'!$L$11,OR($N3738=$Q$7,$O3738=$Q$7)),"x","")</f>
        <v/>
      </c>
      <c r="R3738" s="75" t="str">
        <f>IF(AND($N3738=$Q$7,$B3738&lt;'111'!$L$11),"x","")</f>
        <v/>
      </c>
      <c r="S3738" s="75" t="str">
        <f>IF(AND($O3738=$Q$7,$B3738&lt;'111'!$L$11),"x","")</f>
        <v>x</v>
      </c>
      <c r="T3738" s="75" t="str">
        <f>IF(ISERROR(FIND('112'!$M$9,G3738,1)),"",IF((AND(FIND('112'!$M$9,G3738,1)&gt;=1,B3738='112'!$K$9,OR($N3738='112'!$I$6,$O3738='112'!$I$6))),"x",""))</f>
        <v/>
      </c>
      <c r="U3738" s="75" t="str">
        <f>IF(ISERROR(FIND('112'!$M$9,G3738,1)),"",IF((AND(LEFT(G3738,2)=LEFT('112'!$M$9,2),B3738&lt;'112'!$K$9,$N3738='112'!$I$6)),"x",""))</f>
        <v/>
      </c>
      <c r="V3738" s="75" t="str">
        <f>IF(ISERROR(FIND('112'!$M$9,G3738,1)),"",IF((AND(RIGHT(G3738,2)=RIGHT('112'!$M$9,2),B3738&lt;'112'!$K$9,$O3738='112'!$I$6)),"x",""))</f>
        <v/>
      </c>
      <c r="W3738" s="75" t="str">
        <f>IF(AND('341-CT'!$H$9=H3738,OR(LEFT(N3738,3)=$W$7,LEFT(O3738,3)=$W$7)),"x","")</f>
        <v/>
      </c>
      <c r="X3738" s="75" t="str">
        <f>IF(OR(TH!N4246=TH!$X$7,O3738=TH!$X$7),"x","")</f>
        <v/>
      </c>
      <c r="Y3738" s="75" t="str">
        <f>IF(AND(OR(N3738="131",O3738="131"),H3738='131-CT'!$H$9),"x","")</f>
        <v/>
      </c>
      <c r="Z3738" s="75"/>
      <c r="AA3738" s="75" t="str">
        <f>IF(AND(MONTH(E3738)='IN-NX'!$J$5,'IN-NX'!$D$7=D3738),"x","")</f>
        <v/>
      </c>
      <c r="AB3738" s="75" t="str">
        <f>IF(AND(OR(LEFT(TH!N4246,2)="15",LEFT(TH!O4246,2)="15"),LEFT(TH!O4246,3)&lt;&gt;"111",'152-CT'!$J$8=TH!F4246),"x","")</f>
        <v/>
      </c>
      <c r="AC3738" s="75" t="str">
        <f>IF(AND(OR(LEFT(TH!N4246,2)="15",LEFT(TH!O4246,2)="15"),TK!$E$7=TH!F4246),"x","")</f>
        <v/>
      </c>
      <c r="AD3738" s="75" t="str">
        <f>IF(AND(N3738="1521",MONTH(C3738)='BK-NL'!$M$11),"x","")</f>
        <v/>
      </c>
    </row>
    <row r="3739" spans="1:31" ht="16.5" customHeight="1">
      <c r="A3739" s="309" t="str">
        <f>IF(B3739&lt;&gt;"",IF(AND(B3739='IN-TC'!$S$4,OR(TH!N3737="1111",TH!O3737="1111")),TH!D3737,""),"")</f>
        <v>C28</v>
      </c>
      <c r="B3739" s="1242">
        <f t="shared" si="1302"/>
        <v>3</v>
      </c>
      <c r="C3739" s="292">
        <f t="shared" si="1301"/>
        <v>42800</v>
      </c>
      <c r="D3739" s="292" t="s">
        <v>1930</v>
      </c>
      <c r="E3739" s="292">
        <v>42800</v>
      </c>
      <c r="F3739" s="1010" t="s">
        <v>1883</v>
      </c>
      <c r="G3739" s="925"/>
      <c r="H3739" s="311"/>
      <c r="I3739" s="373"/>
      <c r="J3739" s="926"/>
      <c r="K3739" s="373"/>
      <c r="L3739" s="379"/>
      <c r="M3739" s="927">
        <v>1000000</v>
      </c>
      <c r="N3739" s="295" t="s">
        <v>101</v>
      </c>
      <c r="O3739" s="295" t="s">
        <v>63</v>
      </c>
      <c r="P3739" s="75" t="str">
        <f>IF(AND('331-CT'!$E$7=TH!H4247,OR(N3739="331",O3739="331")),"x","")</f>
        <v/>
      </c>
      <c r="Q3739" s="75" t="str">
        <f>IF(AND(B3739='111'!$L$11,OR($N3739=$Q$7,$O3739=$Q$7)),"x","")</f>
        <v/>
      </c>
      <c r="R3739" s="75" t="str">
        <f>IF(AND($N3739=$Q$7,$B3739&lt;'111'!$L$11),"x","")</f>
        <v/>
      </c>
      <c r="S3739" s="75" t="str">
        <f>IF(AND($O3739=$Q$7,$B3739&lt;'111'!$L$11),"x","")</f>
        <v>x</v>
      </c>
      <c r="T3739" s="75" t="str">
        <f>IF(ISERROR(FIND('112'!$M$9,G3739,1)),"",IF((AND(FIND('112'!$M$9,G3739,1)&gt;=1,B3739='112'!$K$9,OR($N3739='112'!$I$6,$O3739='112'!$I$6))),"x",""))</f>
        <v/>
      </c>
      <c r="U3739" s="75" t="str">
        <f>IF(ISERROR(FIND('112'!$M$9,G3739,1)),"",IF((AND(LEFT(G3739,2)=LEFT('112'!$M$9,2),B3739&lt;'112'!$K$9,$N3739='112'!$I$6)),"x",""))</f>
        <v/>
      </c>
      <c r="V3739" s="75" t="str">
        <f>IF(ISERROR(FIND('112'!$M$9,G3739,1)),"",IF((AND(RIGHT(G3739,2)=RIGHT('112'!$M$9,2),B3739&lt;'112'!$K$9,$O3739='112'!$I$6)),"x",""))</f>
        <v/>
      </c>
      <c r="W3739" s="75" t="str">
        <f>IF(AND('341-CT'!$H$9=H3739,OR(LEFT(N3739,3)=$W$7,LEFT(O3739,3)=$W$7)),"x","")</f>
        <v/>
      </c>
      <c r="X3739" s="75" t="str">
        <f>IF(OR(TH!N4247=TH!$X$7,O3739=TH!$X$7),"x","")</f>
        <v/>
      </c>
      <c r="Y3739" s="75" t="str">
        <f>IF(AND(OR(N3739="131",O3739="131"),H3739='131-CT'!$H$9),"x","")</f>
        <v/>
      </c>
      <c r="Z3739" s="75"/>
      <c r="AA3739" s="75" t="str">
        <f>IF(AND(MONTH(E3739)='IN-NX'!$J$5,'IN-NX'!$D$7=D3739),"x","")</f>
        <v/>
      </c>
      <c r="AB3739" s="75" t="str">
        <f>IF(AND(OR(LEFT(TH!N4247,2)="15",LEFT(TH!O4247,2)="15"),LEFT(TH!O4247,3)&lt;&gt;"111",'152-CT'!$J$8=TH!F4247),"x","")</f>
        <v/>
      </c>
      <c r="AC3739" s="75" t="str">
        <f>IF(AND(OR(LEFT(TH!N4247,2)="15",LEFT(TH!O4247,2)="15"),TK!$E$7=TH!F4247),"x","")</f>
        <v/>
      </c>
      <c r="AD3739" s="75" t="str">
        <f>IF(AND(N3739="1521",MONTH(C3739)='BK-NL'!$M$11),"x","")</f>
        <v/>
      </c>
      <c r="AE3739">
        <v>9</v>
      </c>
    </row>
    <row r="3740" spans="1:31" ht="16.5" customHeight="1">
      <c r="A3740" s="309" t="str">
        <f>IF(B3740&lt;&gt;"",IF(AND(B3740='IN-TC'!$S$4,OR(TH!N3738="1111",TH!O3738="1111")),TH!D3738,""),"")</f>
        <v>C15</v>
      </c>
      <c r="B3740" s="1242">
        <f t="shared" si="1302"/>
        <v>3</v>
      </c>
      <c r="C3740" s="292">
        <f t="shared" si="1301"/>
        <v>42800</v>
      </c>
      <c r="D3740" s="292" t="s">
        <v>1930</v>
      </c>
      <c r="E3740" s="292">
        <v>42800</v>
      </c>
      <c r="F3740" s="1010" t="s">
        <v>1895</v>
      </c>
      <c r="G3740" s="925"/>
      <c r="H3740" s="311"/>
      <c r="I3740" s="373"/>
      <c r="J3740" s="926"/>
      <c r="K3740" s="373"/>
      <c r="L3740" s="379"/>
      <c r="M3740" s="927">
        <v>100000</v>
      </c>
      <c r="N3740" s="295" t="s">
        <v>9</v>
      </c>
      <c r="O3740" s="295" t="s">
        <v>63</v>
      </c>
      <c r="P3740" s="75" t="str">
        <f>IF(AND('331-CT'!$E$7=TH!H4248,OR(N3740="331",O3740="331")),"x","")</f>
        <v/>
      </c>
      <c r="Q3740" s="75" t="str">
        <f>IF(AND(B3740='111'!$L$11,OR($N3740=$Q$7,$O3740=$Q$7)),"x","")</f>
        <v/>
      </c>
      <c r="R3740" s="75" t="str">
        <f>IF(AND($N3740=$Q$7,$B3740&lt;'111'!$L$11),"x","")</f>
        <v/>
      </c>
      <c r="S3740" s="75" t="str">
        <f>IF(AND($O3740=$Q$7,$B3740&lt;'111'!$L$11),"x","")</f>
        <v>x</v>
      </c>
      <c r="T3740" s="75" t="str">
        <f>IF(ISERROR(FIND('112'!$M$9,G3740,1)),"",IF((AND(FIND('112'!$M$9,G3740,1)&gt;=1,B3740='112'!$K$9,OR($N3740='112'!$I$6,$O3740='112'!$I$6))),"x",""))</f>
        <v/>
      </c>
      <c r="U3740" s="75" t="str">
        <f>IF(ISERROR(FIND('112'!$M$9,G3740,1)),"",IF((AND(LEFT(G3740,2)=LEFT('112'!$M$9,2),B3740&lt;'112'!$K$9,$N3740='112'!$I$6)),"x",""))</f>
        <v/>
      </c>
      <c r="V3740" s="75" t="str">
        <f>IF(ISERROR(FIND('112'!$M$9,G3740,1)),"",IF((AND(RIGHT(G3740,2)=RIGHT('112'!$M$9,2),B3740&lt;'112'!$K$9,$O3740='112'!$I$6)),"x",""))</f>
        <v/>
      </c>
      <c r="W3740" s="75" t="str">
        <f>IF(AND('341-CT'!$H$9=H3740,OR(LEFT(N3740,3)=$W$7,LEFT(O3740,3)=$W$7)),"x","")</f>
        <v/>
      </c>
      <c r="X3740" s="75" t="str">
        <f>IF(OR(TH!N4248=TH!$X$7,O3740=TH!$X$7),"x","")</f>
        <v/>
      </c>
      <c r="Y3740" s="75" t="str">
        <f>IF(AND(OR(N3740="131",O3740="131"),H3740='131-CT'!$H$9),"x","")</f>
        <v/>
      </c>
      <c r="Z3740" s="75"/>
      <c r="AA3740" s="75" t="str">
        <f>IF(AND(MONTH(E3740)='IN-NX'!$J$5,'IN-NX'!$D$7=D3740),"x","")</f>
        <v/>
      </c>
      <c r="AB3740" s="75" t="str">
        <f>IF(AND(OR(LEFT(TH!N4248,2)="15",LEFT(TH!O4248,2)="15"),LEFT(TH!O4248,3)&lt;&gt;"111",'152-CT'!$J$8=TH!F4248),"x","")</f>
        <v/>
      </c>
      <c r="AC3740" s="75" t="str">
        <f>IF(AND(OR(LEFT(TH!N4248,2)="15",LEFT(TH!O4248,2)="15"),TK!$E$7=TH!F4248),"x","")</f>
        <v/>
      </c>
      <c r="AD3740" s="75" t="str">
        <f>IF(AND(N3740="1521",MONTH(C3740)='BK-NL'!$M$11),"x","")</f>
        <v/>
      </c>
      <c r="AE3740">
        <v>9</v>
      </c>
    </row>
    <row r="3741" spans="1:31" ht="16.5" customHeight="1">
      <c r="A3741" s="309" t="str">
        <f>IF(B3741&lt;&gt;"",IF(AND(B3741='IN-TC'!$S$4,OR(TH!N3739="1111",TH!O3739="1111")),TH!D3739,""),"")</f>
        <v>C16</v>
      </c>
      <c r="B3741" s="1169">
        <f t="shared" si="1302"/>
        <v>3</v>
      </c>
      <c r="C3741" s="292">
        <f t="shared" si="1301"/>
        <v>42801</v>
      </c>
      <c r="D3741" s="292" t="s">
        <v>1923</v>
      </c>
      <c r="E3741" s="292">
        <v>42801</v>
      </c>
      <c r="F3741" s="67" t="s">
        <v>1165</v>
      </c>
      <c r="G3741" s="925" t="s">
        <v>1154</v>
      </c>
      <c r="H3741" s="294" t="s">
        <v>796</v>
      </c>
      <c r="I3741" s="373"/>
      <c r="J3741" s="926"/>
      <c r="K3741" s="373"/>
      <c r="L3741" s="379"/>
      <c r="M3741" s="927">
        <v>18980500</v>
      </c>
      <c r="N3741" s="295" t="s">
        <v>8</v>
      </c>
      <c r="O3741" s="295" t="s">
        <v>63</v>
      </c>
      <c r="P3741" s="75" t="str">
        <f>IF(AND('331-CT'!$E$7=TH!H3520,OR(N3741="331",O3741="331")),"x","")</f>
        <v/>
      </c>
      <c r="Q3741" s="75" t="str">
        <f>IF(AND(B3741='111'!$L$11,OR($N3741=$Q$7,$O3741=$Q$7)),"x","")</f>
        <v/>
      </c>
      <c r="R3741" s="75" t="str">
        <f>IF(AND($N3741=$Q$7,$B3741&lt;'111'!$L$11),"x","")</f>
        <v/>
      </c>
      <c r="S3741" s="75" t="str">
        <f>IF(AND($O3741=$Q$7,$B3741&lt;'111'!$L$11),"x","")</f>
        <v>x</v>
      </c>
      <c r="T3741" s="75" t="str">
        <f>IF(ISERROR(FIND('112'!$M$9,G3741,1)),"",IF((AND(FIND('112'!$M$9,G3741,1)&gt;=1,B3741='112'!$K$9,OR($N3741='112'!$I$6,$O3741='112'!$I$6))),"x",""))</f>
        <v/>
      </c>
      <c r="U3741" s="75" t="str">
        <f>IF(ISERROR(FIND('112'!$M$9,G3741,1)),"",IF((AND(LEFT(G3741,2)=LEFT('112'!$M$9,2),B3741&lt;'112'!$K$9,$N3741='112'!$I$6)),"x",""))</f>
        <v/>
      </c>
      <c r="V3741" s="75" t="str">
        <f>IF(ISERROR(FIND('112'!$M$9,G3741,1)),"",IF((AND(RIGHT(G3741,2)=RIGHT('112'!$M$9,2),B3741&lt;'112'!$K$9,$O3741='112'!$I$6)),"x",""))</f>
        <v/>
      </c>
      <c r="W3741" s="75" t="str">
        <f>IF(AND('341-CT'!$H$9=H3741,OR(LEFT(N3741,3)=$W$7,LEFT(O3741,3)=$W$7)),"x","")</f>
        <v/>
      </c>
      <c r="X3741" s="75" t="str">
        <f>IF(OR(TH!N3520=TH!$X$7,O3741=TH!$X$7),"x","")</f>
        <v/>
      </c>
      <c r="Y3741" s="75" t="str">
        <f>IF(AND(OR(N3741="131",O3741="131"),H3741='131-CT'!$H$9),"x","")</f>
        <v/>
      </c>
      <c r="Z3741" s="75"/>
      <c r="AA3741" s="75" t="str">
        <f>IF(AND(MONTH(E3741)='IN-NX'!$J$5,'IN-NX'!$D$7=D3741),"x","")</f>
        <v/>
      </c>
      <c r="AB3741" s="75" t="str">
        <f>IF(AND(OR(LEFT(TH!N3520,2)="15",LEFT(TH!O3520,2)="15"),LEFT(TH!O3520,3)&lt;&gt;"111",'152-CT'!$J$8=TH!F3520),"x","")</f>
        <v/>
      </c>
      <c r="AC3741" s="75" t="str">
        <f>IF(AND(OR(LEFT(TH!N3520,2)="15",LEFT(TH!O3520,2)="15"),TK!$E$7=TH!F3520),"x","")</f>
        <v/>
      </c>
      <c r="AD3741" s="75" t="str">
        <f>IF(AND(N3741="1521",MONTH(C3741)='BK-NL'!$M$11),"x","")</f>
        <v/>
      </c>
    </row>
    <row r="3742" spans="1:31" ht="16.5" customHeight="1">
      <c r="A3742" s="309" t="str">
        <f>IF(B3742&lt;&gt;"",IF(AND(B3742='IN-TC'!$S$4,OR(TH!N3740="1111",TH!O3740="1111")),TH!D3740,""),"")</f>
        <v>C16</v>
      </c>
      <c r="B3742" s="1169">
        <f t="shared" si="1302"/>
        <v>3</v>
      </c>
      <c r="C3742" s="292">
        <f t="shared" si="1301"/>
        <v>42801</v>
      </c>
      <c r="D3742" s="59" t="s">
        <v>902</v>
      </c>
      <c r="E3742" s="59">
        <v>42801</v>
      </c>
      <c r="F3742" s="62" t="s">
        <v>1203</v>
      </c>
      <c r="G3742" s="62" t="s">
        <v>747</v>
      </c>
      <c r="H3742" s="311" t="s">
        <v>835</v>
      </c>
      <c r="I3742" s="373"/>
      <c r="J3742" s="379"/>
      <c r="K3742" s="373"/>
      <c r="L3742" s="379"/>
      <c r="M3742" s="60">
        <v>228400</v>
      </c>
      <c r="N3742" s="61" t="s">
        <v>101</v>
      </c>
      <c r="O3742" s="61" t="s">
        <v>26</v>
      </c>
      <c r="P3742" s="75" t="str">
        <f>IF(AND('331-CT'!$E$7=TH!H5020,OR(N3742="331",O3742="331")),"x","")</f>
        <v/>
      </c>
      <c r="Q3742" s="75" t="str">
        <f>IF(AND(B3742='111'!$L$11,OR($N3742=$Q$7,$O3742=$Q$7)),"x","")</f>
        <v/>
      </c>
      <c r="R3742" s="75" t="str">
        <f>IF(AND($N3742=$Q$7,$B3742&lt;'111'!$L$11),"x","")</f>
        <v/>
      </c>
      <c r="S3742" s="75" t="str">
        <f>IF(AND($O3742=$Q$7,$B3742&lt;'111'!$L$11),"x","")</f>
        <v/>
      </c>
      <c r="T3742" s="75" t="str">
        <f>IF(ISERROR(FIND('112'!$M$9,G3742,1)),"",IF((AND(FIND('112'!$M$9,G3742,1)&gt;=1,B3742='112'!$K$9,OR($N3742='112'!$I$6,$O3742='112'!$I$6))),"x",""))</f>
        <v/>
      </c>
      <c r="U3742" s="75" t="str">
        <f>IF(ISERROR(FIND('112'!$M$9,G3742,1)),"",IF((AND(LEFT(G3742,2)=LEFT('112'!$M$9,2),B3742&lt;'112'!$K$9,$N3742='112'!$I$6)),"x",""))</f>
        <v/>
      </c>
      <c r="V3742" s="75" t="str">
        <f>IF(ISERROR(FIND('112'!$M$9,G3742,1)),"",IF((AND(RIGHT(G3742,2)=RIGHT('112'!$M$9,2),B3742&lt;'112'!$K$9,$O3742='112'!$I$6)),"x",""))</f>
        <v/>
      </c>
      <c r="W3742" s="75" t="str">
        <f>IF(AND('341-CT'!$H$9=H3742,OR(LEFT(N3742,3)=$W$7,LEFT(O3742,3)=$W$7)),"x","")</f>
        <v/>
      </c>
      <c r="X3742" s="75" t="str">
        <f>IF(OR(TH!N5020=TH!$X$7,O3742=TH!$X$7),"x","")</f>
        <v/>
      </c>
      <c r="Y3742" s="75" t="str">
        <f>IF(AND(OR(N3742="131",O3742="131"),H3742='131-CT'!$H$9),"x","")</f>
        <v/>
      </c>
      <c r="Z3742" s="75"/>
      <c r="AA3742" s="75" t="str">
        <f>IF(AND(MONTH(E3742)='IN-NX'!$J$5,'IN-NX'!$D$7=D3742),"x","")</f>
        <v/>
      </c>
      <c r="AB3742" s="75" t="str">
        <f>IF(AND(OR(LEFT(TH!N5020,2)="15",LEFT(TH!O5020,2)="15"),LEFT(TH!O5020,3)&lt;&gt;"111",'152-CT'!$J$8=TH!F5020),"x","")</f>
        <v/>
      </c>
      <c r="AC3742" s="75" t="str">
        <f>IF(AND(OR(LEFT(TH!N5020,2)="15",LEFT(TH!O5020,2)="15"),TK!$E$7=TH!F5020),"x","")</f>
        <v/>
      </c>
      <c r="AD3742" s="75" t="str">
        <f>IF(AND(N3742="1521",MONTH(C3742)='BK-NL'!$M$11),"x","")</f>
        <v/>
      </c>
    </row>
    <row r="3743" spans="1:31" ht="16.5" customHeight="1">
      <c r="A3743" s="309" t="str">
        <f>IF(B3743&lt;&gt;"",IF(AND(B3743='IN-TC'!$S$4,OR(TH!N3741="1111",TH!O3741="1111")),TH!D3741,""),"")</f>
        <v>C09</v>
      </c>
      <c r="B3743" s="1169">
        <f t="shared" si="1302"/>
        <v>3</v>
      </c>
      <c r="C3743" s="292">
        <f t="shared" si="1301"/>
        <v>42803</v>
      </c>
      <c r="D3743" s="292" t="s">
        <v>1924</v>
      </c>
      <c r="E3743" s="292">
        <v>42803</v>
      </c>
      <c r="F3743" s="1127" t="s">
        <v>221</v>
      </c>
      <c r="G3743" s="925" t="s">
        <v>1227</v>
      </c>
      <c r="H3743" s="294" t="s">
        <v>556</v>
      </c>
      <c r="I3743" s="373"/>
      <c r="J3743" s="926"/>
      <c r="K3743" s="373"/>
      <c r="L3743" s="379"/>
      <c r="M3743" s="927">
        <v>10922727</v>
      </c>
      <c r="N3743" s="295" t="s">
        <v>272</v>
      </c>
      <c r="O3743" s="295" t="s">
        <v>63</v>
      </c>
      <c r="P3743" s="75" t="str">
        <f>IF(AND('331-CT'!$E$7=TH!H3521,OR(N3743="331",O3743="331")),"x","")</f>
        <v/>
      </c>
      <c r="Q3743" s="75" t="str">
        <f>IF(AND(B3743='111'!$L$11,OR($N3743=$Q$7,$O3743=$Q$7)),"x","")</f>
        <v/>
      </c>
      <c r="R3743" s="75" t="str">
        <f>IF(AND($N3743=$Q$7,$B3743&lt;'111'!$L$11),"x","")</f>
        <v/>
      </c>
      <c r="S3743" s="75" t="str">
        <f>IF(AND($O3743=$Q$7,$B3743&lt;'111'!$L$11),"x","")</f>
        <v>x</v>
      </c>
      <c r="T3743" s="75" t="str">
        <f>IF(ISERROR(FIND('112'!$M$9,G3743,1)),"",IF((AND(FIND('112'!$M$9,G3743,1)&gt;=1,B3743='112'!$K$9,OR($N3743='112'!$I$6,$O3743='112'!$I$6))),"x",""))</f>
        <v/>
      </c>
      <c r="U3743" s="75" t="str">
        <f>IF(ISERROR(FIND('112'!$M$9,G3743,1)),"",IF((AND(LEFT(G3743,2)=LEFT('112'!$M$9,2),B3743&lt;'112'!$K$9,$N3743='112'!$I$6)),"x",""))</f>
        <v/>
      </c>
      <c r="V3743" s="75" t="str">
        <f>IF(ISERROR(FIND('112'!$M$9,G3743,1)),"",IF((AND(RIGHT(G3743,2)=RIGHT('112'!$M$9,2),B3743&lt;'112'!$K$9,$O3743='112'!$I$6)),"x",""))</f>
        <v/>
      </c>
      <c r="W3743" s="75" t="str">
        <f>IF(AND('341-CT'!$H$9=H3743,OR(LEFT(N3743,3)=$W$7,LEFT(O3743,3)=$W$7)),"x","")</f>
        <v/>
      </c>
      <c r="X3743" s="75" t="str">
        <f>IF(OR(TH!N3521=TH!$X$7,O3743=TH!$X$7),"x","")</f>
        <v/>
      </c>
      <c r="Y3743" s="75" t="str">
        <f>IF(AND(OR(N3743="131",O3743="131"),H3743='131-CT'!$H$9),"x","")</f>
        <v/>
      </c>
      <c r="Z3743" s="75"/>
      <c r="AA3743" s="75" t="str">
        <f>IF(AND(MONTH(E3743)='IN-NX'!$J$5,'IN-NX'!$D$7=D3743),"x","")</f>
        <v/>
      </c>
      <c r="AB3743" s="75" t="str">
        <f>IF(AND(OR(LEFT(TH!N3521,2)="15",LEFT(TH!O3521,2)="15"),LEFT(TH!O3521,3)&lt;&gt;"111",'152-CT'!$J$8=TH!F3521),"x","")</f>
        <v/>
      </c>
      <c r="AC3743" s="75" t="str">
        <f>IF(AND(OR(LEFT(TH!N3521,2)="15",LEFT(TH!O3521,2)="15"),TK!$E$7=TH!F3521),"x","")</f>
        <v/>
      </c>
      <c r="AD3743" s="75" t="str">
        <f>IF(AND(N3743="1521",MONTH(C3743)='BK-NL'!$M$11),"x","")</f>
        <v/>
      </c>
    </row>
    <row r="3744" spans="1:31" ht="16.5" customHeight="1">
      <c r="A3744" s="309" t="str">
        <f>IF(B3744&lt;&gt;"",IF(AND(B3744='IN-TC'!$S$4,OR(TH!N3742="1111",TH!O3742="1111")),TH!D3742,""),"")</f>
        <v/>
      </c>
      <c r="B3744" s="1169">
        <f t="shared" si="1302"/>
        <v>3</v>
      </c>
      <c r="C3744" s="292">
        <f t="shared" si="1301"/>
        <v>42803</v>
      </c>
      <c r="D3744" s="292" t="s">
        <v>1924</v>
      </c>
      <c r="E3744" s="292">
        <v>42803</v>
      </c>
      <c r="F3744" s="1127" t="s">
        <v>943</v>
      </c>
      <c r="G3744" s="925" t="s">
        <v>1227</v>
      </c>
      <c r="H3744" s="294" t="s">
        <v>556</v>
      </c>
      <c r="I3744" s="373"/>
      <c r="J3744" s="926"/>
      <c r="K3744" s="373"/>
      <c r="L3744" s="379"/>
      <c r="M3744" s="927">
        <v>1092273</v>
      </c>
      <c r="N3744" s="295" t="s">
        <v>9</v>
      </c>
      <c r="O3744" s="295" t="s">
        <v>63</v>
      </c>
      <c r="P3744" s="75" t="str">
        <f>IF(AND('331-CT'!$E$7=TH!H3522,OR(N3744="331",O3744="331")),"x","")</f>
        <v/>
      </c>
      <c r="Q3744" s="75" t="str">
        <f>IF(AND(B3744='111'!$L$11,OR($N3744=$Q$7,$O3744=$Q$7)),"x","")</f>
        <v/>
      </c>
      <c r="R3744" s="75" t="str">
        <f>IF(AND($N3744=$Q$7,$B3744&lt;'111'!$L$11),"x","")</f>
        <v/>
      </c>
      <c r="S3744" s="75" t="str">
        <f>IF(AND($O3744=$Q$7,$B3744&lt;'111'!$L$11),"x","")</f>
        <v>x</v>
      </c>
      <c r="T3744" s="75" t="str">
        <f>IF(ISERROR(FIND('112'!$M$9,G3744,1)),"",IF((AND(FIND('112'!$M$9,G3744,1)&gt;=1,B3744='112'!$K$9,OR($N3744='112'!$I$6,$O3744='112'!$I$6))),"x",""))</f>
        <v/>
      </c>
      <c r="U3744" s="75" t="str">
        <f>IF(ISERROR(FIND('112'!$M$9,G3744,1)),"",IF((AND(LEFT(G3744,2)=LEFT('112'!$M$9,2),B3744&lt;'112'!$K$9,$N3744='112'!$I$6)),"x",""))</f>
        <v/>
      </c>
      <c r="V3744" s="75" t="str">
        <f>IF(ISERROR(FIND('112'!$M$9,G3744,1)),"",IF((AND(RIGHT(G3744,2)=RIGHT('112'!$M$9,2),B3744&lt;'112'!$K$9,$O3744='112'!$I$6)),"x",""))</f>
        <v/>
      </c>
      <c r="W3744" s="75" t="str">
        <f>IF(AND('341-CT'!$H$9=H3744,OR(LEFT(N3744,3)=$W$7,LEFT(O3744,3)=$W$7)),"x","")</f>
        <v/>
      </c>
      <c r="X3744" s="75" t="str">
        <f>IF(OR(TH!N3522=TH!$X$7,O3744=TH!$X$7),"x","")</f>
        <v/>
      </c>
      <c r="Y3744" s="75" t="str">
        <f>IF(AND(OR(N3744="131",O3744="131"),H3744='131-CT'!$H$9),"x","")</f>
        <v/>
      </c>
      <c r="Z3744" s="75"/>
      <c r="AA3744" s="75" t="str">
        <f>IF(AND(MONTH(E3744)='IN-NX'!$J$5,'IN-NX'!$D$7=D3744),"x","")</f>
        <v/>
      </c>
      <c r="AB3744" s="75" t="str">
        <f>IF(AND(OR(LEFT(TH!N3522,2)="15",LEFT(TH!O3522,2)="15"),LEFT(TH!O3522,3)&lt;&gt;"111",'152-CT'!$J$8=TH!F3522),"x","")</f>
        <v/>
      </c>
      <c r="AC3744" s="75" t="str">
        <f>IF(AND(OR(LEFT(TH!N3522,2)="15",LEFT(TH!O3522,2)="15"),TK!$E$7=TH!F3522),"x","")</f>
        <v/>
      </c>
      <c r="AD3744" s="75" t="str">
        <f>IF(AND(N3744="1521",MONTH(C3744)='BK-NL'!$M$11),"x","")</f>
        <v/>
      </c>
    </row>
    <row r="3745" spans="1:30" ht="16.5" customHeight="1">
      <c r="A3745" s="309" t="str">
        <f>IF(B3745&lt;&gt;"",IF(AND(B3745='IN-TC'!$S$4,OR(TH!N3743="1111",TH!O3743="1111")),TH!D3743,""),"")</f>
        <v>C10</v>
      </c>
      <c r="B3745" s="1169">
        <f t="shared" si="1302"/>
        <v>3</v>
      </c>
      <c r="C3745" s="292">
        <f t="shared" si="1301"/>
        <v>42804</v>
      </c>
      <c r="D3745" s="292" t="s">
        <v>1925</v>
      </c>
      <c r="E3745" s="292">
        <v>42804</v>
      </c>
      <c r="F3745" s="1127" t="s">
        <v>1165</v>
      </c>
      <c r="G3745" s="925" t="s">
        <v>1155</v>
      </c>
      <c r="H3745" s="294" t="s">
        <v>796</v>
      </c>
      <c r="I3745" s="373"/>
      <c r="J3745" s="926"/>
      <c r="K3745" s="373"/>
      <c r="L3745" s="379"/>
      <c r="M3745" s="927">
        <v>18980500</v>
      </c>
      <c r="N3745" s="295" t="s">
        <v>8</v>
      </c>
      <c r="O3745" s="295" t="s">
        <v>63</v>
      </c>
      <c r="P3745" s="75" t="str">
        <f>IF(AND('331-CT'!$E$7=TH!H3523,OR(N3745="331",O3745="331")),"x","")</f>
        <v/>
      </c>
      <c r="Q3745" s="75" t="str">
        <f>IF(AND(B3745='111'!$L$11,OR($N3745=$Q$7,$O3745=$Q$7)),"x","")</f>
        <v/>
      </c>
      <c r="R3745" s="75" t="str">
        <f>IF(AND($N3745=$Q$7,$B3745&lt;'111'!$L$11),"x","")</f>
        <v/>
      </c>
      <c r="S3745" s="75" t="str">
        <f>IF(AND($O3745=$Q$7,$B3745&lt;'111'!$L$11),"x","")</f>
        <v>x</v>
      </c>
      <c r="T3745" s="75" t="str">
        <f>IF(ISERROR(FIND('112'!$M$9,G3745,1)),"",IF((AND(FIND('112'!$M$9,G3745,1)&gt;=1,B3745='112'!$K$9,OR($N3745='112'!$I$6,$O3745='112'!$I$6))),"x",""))</f>
        <v/>
      </c>
      <c r="U3745" s="75" t="str">
        <f>IF(ISERROR(FIND('112'!$M$9,G3745,1)),"",IF((AND(LEFT(G3745,2)=LEFT('112'!$M$9,2),B3745&lt;'112'!$K$9,$N3745='112'!$I$6)),"x",""))</f>
        <v/>
      </c>
      <c r="V3745" s="75" t="str">
        <f>IF(ISERROR(FIND('112'!$M$9,G3745,1)),"",IF((AND(RIGHT(G3745,2)=RIGHT('112'!$M$9,2),B3745&lt;'112'!$K$9,$O3745='112'!$I$6)),"x",""))</f>
        <v/>
      </c>
      <c r="W3745" s="75" t="str">
        <f>IF(AND('341-CT'!$H$9=H3745,OR(LEFT(N3745,3)=$W$7,LEFT(O3745,3)=$W$7)),"x","")</f>
        <v/>
      </c>
      <c r="X3745" s="75" t="str">
        <f>IF(OR(TH!N3523=TH!$X$7,O3745=TH!$X$7),"x","")</f>
        <v/>
      </c>
      <c r="Y3745" s="75" t="str">
        <f>IF(AND(OR(N3745="131",O3745="131"),H3745='131-CT'!$H$9),"x","")</f>
        <v/>
      </c>
      <c r="Z3745" s="75"/>
      <c r="AA3745" s="75" t="str">
        <f>IF(AND(MONTH(E3745)='IN-NX'!$J$5,'IN-NX'!$D$7=D3745),"x","")</f>
        <v/>
      </c>
      <c r="AB3745" s="75" t="str">
        <f>IF(AND(OR(LEFT(TH!N3523,2)="15",LEFT(TH!O3523,2)="15"),LEFT(TH!O3523,3)&lt;&gt;"111",'152-CT'!$J$8=TH!F3523),"x","")</f>
        <v/>
      </c>
      <c r="AC3745" s="75" t="str">
        <f>IF(AND(OR(LEFT(TH!N3523,2)="15",LEFT(TH!O3523,2)="15"),TK!$E$7=TH!F3523),"x","")</f>
        <v/>
      </c>
      <c r="AD3745" s="75" t="str">
        <f>IF(AND(N3745="1521",MONTH(C3745)='BK-NL'!$M$11),"x","")</f>
        <v/>
      </c>
    </row>
    <row r="3746" spans="1:30" ht="16.5" customHeight="1">
      <c r="A3746" s="309" t="str">
        <f>IF(B3746&lt;&gt;"",IF(AND(B3746='IN-TC'!$S$4,OR(TH!N3744="1111",TH!O3744="1111")),TH!D3744,""),"")</f>
        <v>C10</v>
      </c>
      <c r="B3746" s="1169">
        <f t="shared" si="1302"/>
        <v>3</v>
      </c>
      <c r="C3746" s="292">
        <f t="shared" si="1301"/>
        <v>42804</v>
      </c>
      <c r="D3746" s="1274" t="s">
        <v>1926</v>
      </c>
      <c r="E3746" s="947">
        <v>42804</v>
      </c>
      <c r="F3746" s="1143" t="s">
        <v>2139</v>
      </c>
      <c r="G3746" s="952" t="s">
        <v>2132</v>
      </c>
      <c r="H3746" s="937" t="s">
        <v>2133</v>
      </c>
      <c r="I3746" s="939"/>
      <c r="J3746" s="949"/>
      <c r="K3746" s="939"/>
      <c r="L3746" s="938"/>
      <c r="M3746" s="940">
        <v>17300000</v>
      </c>
      <c r="N3746" s="950" t="s">
        <v>8</v>
      </c>
      <c r="O3746" s="950" t="s">
        <v>63</v>
      </c>
      <c r="P3746" s="75" t="str">
        <f>IF(AND('331-CT'!$E$7=TH!H3524,OR(N3746="331",O3746="331")),"x","")</f>
        <v/>
      </c>
      <c r="Q3746" s="75" t="str">
        <f>IF(AND(B3746='111'!$L$11,OR($N3746=$Q$7,$O3746=$Q$7)),"x","")</f>
        <v/>
      </c>
      <c r="R3746" s="75" t="str">
        <f>IF(AND($N3746=$Q$7,$B3746&lt;'111'!$L$11),"x","")</f>
        <v/>
      </c>
      <c r="S3746" s="75" t="str">
        <f>IF(AND($O3746=$Q$7,$B3746&lt;'111'!$L$11),"x","")</f>
        <v>x</v>
      </c>
      <c r="T3746" s="75" t="str">
        <f>IF(ISERROR(FIND('112'!$M$9,G3746,1)),"",IF((AND(FIND('112'!$M$9,G3746,1)&gt;=1,B3746='112'!$K$9,OR($N3746='112'!$I$6,$O3746='112'!$I$6))),"x",""))</f>
        <v/>
      </c>
      <c r="U3746" s="75" t="str">
        <f>IF(ISERROR(FIND('112'!$M$9,G3746,1)),"",IF((AND(LEFT(G3746,2)=LEFT('112'!$M$9,2),B3746&lt;'112'!$K$9,$N3746='112'!$I$6)),"x",""))</f>
        <v/>
      </c>
      <c r="V3746" s="75" t="str">
        <f>IF(ISERROR(FIND('112'!$M$9,G3746,1)),"",IF((AND(RIGHT(G3746,2)=RIGHT('112'!$M$9,2),B3746&lt;'112'!$K$9,$O3746='112'!$I$6)),"x",""))</f>
        <v/>
      </c>
      <c r="W3746" s="75" t="str">
        <f>IF(AND('341-CT'!$H$9=H3746,OR(LEFT(N3746,3)=$W$7,LEFT(O3746,3)=$W$7)),"x","")</f>
        <v/>
      </c>
      <c r="X3746" s="75" t="str">
        <f>IF(OR(TH!N3524=TH!$X$7,O3746=TH!$X$7),"x","")</f>
        <v/>
      </c>
      <c r="Y3746" s="75" t="str">
        <f>IF(AND(OR(N3746="131",O3746="131"),H3746='131-CT'!$H$9),"x","")</f>
        <v/>
      </c>
      <c r="Z3746" s="75"/>
      <c r="AA3746" s="75" t="str">
        <f>IF(AND(MONTH(E3746)='IN-NX'!$J$5,'IN-NX'!$D$7=D3746),"x","")</f>
        <v/>
      </c>
      <c r="AB3746" s="75" t="str">
        <f>IF(AND(OR(LEFT(TH!N3524,2)="15",LEFT(TH!O3524,2)="15"),LEFT(TH!O3524,3)&lt;&gt;"111",'152-CT'!$J$8=TH!F3524),"x","")</f>
        <v/>
      </c>
      <c r="AC3746" s="75" t="str">
        <f>IF(AND(OR(LEFT(TH!N3524,2)="15",LEFT(TH!O3524,2)="15"),TK!$E$7=TH!F3524),"x","")</f>
        <v/>
      </c>
      <c r="AD3746" s="75" t="str">
        <f>IF(AND(N3746="1521",MONTH(C3746)='BK-NL'!$M$11),"x","")</f>
        <v/>
      </c>
    </row>
    <row r="3747" spans="1:30" ht="16.5" customHeight="1">
      <c r="A3747" s="309" t="str">
        <f>IF(B3747&lt;&gt;"",IF(AND(B3747='IN-TC'!$S$4,OR(TH!N3745="1111",TH!O3745="1111")),TH!D3745,""),"")</f>
        <v>C11</v>
      </c>
      <c r="B3747" s="1169">
        <f t="shared" si="1302"/>
        <v>3</v>
      </c>
      <c r="C3747" s="292">
        <f t="shared" si="1301"/>
        <v>42804</v>
      </c>
      <c r="D3747" s="59" t="s">
        <v>903</v>
      </c>
      <c r="E3747" s="59">
        <v>42804</v>
      </c>
      <c r="F3747" s="1125" t="s">
        <v>2437</v>
      </c>
      <c r="G3747" s="62" t="s">
        <v>747</v>
      </c>
      <c r="H3747" s="67" t="s">
        <v>2449</v>
      </c>
      <c r="I3747" s="373"/>
      <c r="J3747" s="379"/>
      <c r="K3747" s="373">
        <v>23800</v>
      </c>
      <c r="L3747" s="379">
        <v>22790</v>
      </c>
      <c r="M3747" s="60">
        <v>542402000</v>
      </c>
      <c r="N3747" s="61" t="s">
        <v>26</v>
      </c>
      <c r="O3747" s="61" t="s">
        <v>250</v>
      </c>
      <c r="P3747" s="75" t="str">
        <f>IF(AND('331-CT'!$E$7=TH!H5021,OR(N3747="331",O3747="331")),"x","")</f>
        <v/>
      </c>
      <c r="Q3747" s="75" t="str">
        <f>IF(AND(B3747='111'!$L$11,OR($N3747=$Q$7,$O3747=$Q$7)),"x","")</f>
        <v/>
      </c>
      <c r="R3747" s="75" t="str">
        <f>IF(AND($N3747=$Q$7,$B3747&lt;'111'!$L$11),"x","")</f>
        <v/>
      </c>
      <c r="S3747" s="75" t="str">
        <f>IF(AND($O3747=$Q$7,$B3747&lt;'111'!$L$11),"x","")</f>
        <v/>
      </c>
      <c r="T3747" s="75" t="str">
        <f>IF(ISERROR(FIND('112'!$M$9,G3747,1)),"",IF((AND(FIND('112'!$M$9,G3747,1)&gt;=1,B3747='112'!$K$9,OR($N3747='112'!$I$6,$O3747='112'!$I$6))),"x",""))</f>
        <v/>
      </c>
      <c r="U3747" s="75" t="str">
        <f>IF(ISERROR(FIND('112'!$M$9,G3747,1)),"",IF((AND(LEFT(G3747,2)=LEFT('112'!$M$9,2),B3747&lt;'112'!$K$9,$N3747='112'!$I$6)),"x",""))</f>
        <v/>
      </c>
      <c r="V3747" s="75" t="str">
        <f>IF(ISERROR(FIND('112'!$M$9,G3747,1)),"",IF((AND(RIGHT(G3747,2)=RIGHT('112'!$M$9,2),B3747&lt;'112'!$K$9,$O3747='112'!$I$6)),"x",""))</f>
        <v/>
      </c>
      <c r="W3747" s="75" t="str">
        <f>IF(AND('341-CT'!$H$9=H3747,OR(LEFT(N3747,3)=$W$7,LEFT(O3747,3)=$W$7)),"x","")</f>
        <v/>
      </c>
      <c r="X3747" s="75" t="str">
        <f>IF(OR(TH!N5021=TH!$X$7,O3747=TH!$X$7),"x","")</f>
        <v/>
      </c>
      <c r="Y3747" s="75" t="str">
        <f>IF(AND(OR(N3747="131",O3747="131"),H3747='131-CT'!$H$9),"x","")</f>
        <v/>
      </c>
      <c r="Z3747" s="75"/>
      <c r="AA3747" s="75" t="str">
        <f>IF(AND(MONTH(E3747)='IN-NX'!$J$5,'IN-NX'!$D$7=D3747),"x","")</f>
        <v/>
      </c>
      <c r="AB3747" s="75" t="str">
        <f>IF(AND(OR(LEFT(TH!N5021,2)="15",LEFT(TH!O5021,2)="15"),LEFT(TH!O5021,3)&lt;&gt;"111",'152-CT'!$J$8=TH!F5021),"x","")</f>
        <v/>
      </c>
      <c r="AC3747" s="75" t="str">
        <f>IF(AND(OR(LEFT(TH!N5021,2)="15",LEFT(TH!O5021,2)="15"),TK!$E$7=TH!F5021),"x","")</f>
        <v/>
      </c>
      <c r="AD3747" s="75" t="str">
        <f>IF(AND(N3747="1521",MONTH(C3747)='BK-NL'!$M$11),"x","")</f>
        <v/>
      </c>
    </row>
    <row r="3748" spans="1:30" ht="16.5" customHeight="1">
      <c r="A3748" s="309" t="str">
        <f>IF(B3748&lt;&gt;"",IF(AND(B3748='IN-TC'!$S$4,OR(TH!N3746="1111",TH!O3746="1111")),TH!D3746,""),"")</f>
        <v>C12</v>
      </c>
      <c r="B3748" s="1169">
        <f t="shared" si="1302"/>
        <v>3</v>
      </c>
      <c r="C3748" s="292">
        <f t="shared" si="1301"/>
        <v>42805</v>
      </c>
      <c r="D3748" s="947" t="s">
        <v>1927</v>
      </c>
      <c r="E3748" s="947">
        <v>42805</v>
      </c>
      <c r="F3748" s="1143" t="s">
        <v>2139</v>
      </c>
      <c r="G3748" s="952" t="s">
        <v>2134</v>
      </c>
      <c r="H3748" s="937" t="s">
        <v>2133</v>
      </c>
      <c r="I3748" s="939"/>
      <c r="J3748" s="949"/>
      <c r="K3748" s="939"/>
      <c r="L3748" s="938"/>
      <c r="M3748" s="940">
        <v>17300000</v>
      </c>
      <c r="N3748" s="950" t="s">
        <v>8</v>
      </c>
      <c r="O3748" s="950" t="s">
        <v>63</v>
      </c>
      <c r="P3748" s="75" t="str">
        <f>IF(AND('331-CT'!$E$7=TH!H3525,OR(N3748="331",O3748="331")),"x","")</f>
        <v/>
      </c>
      <c r="Q3748" s="75" t="str">
        <f>IF(AND(B3748='111'!$L$11,OR($N3748=$Q$7,$O3748=$Q$7)),"x","")</f>
        <v/>
      </c>
      <c r="R3748" s="75" t="str">
        <f>IF(AND($N3748=$Q$7,$B3748&lt;'111'!$L$11),"x","")</f>
        <v/>
      </c>
      <c r="S3748" s="75" t="str">
        <f>IF(AND($O3748=$Q$7,$B3748&lt;'111'!$L$11),"x","")</f>
        <v>x</v>
      </c>
      <c r="T3748" s="75" t="str">
        <f>IF(ISERROR(FIND('112'!$M$9,G3748,1)),"",IF((AND(FIND('112'!$M$9,G3748,1)&gt;=1,B3748='112'!$K$9,OR($N3748='112'!$I$6,$O3748='112'!$I$6))),"x",""))</f>
        <v/>
      </c>
      <c r="U3748" s="75" t="str">
        <f>IF(ISERROR(FIND('112'!$M$9,G3748,1)),"",IF((AND(LEFT(G3748,2)=LEFT('112'!$M$9,2),B3748&lt;'112'!$K$9,$N3748='112'!$I$6)),"x",""))</f>
        <v/>
      </c>
      <c r="V3748" s="75" t="str">
        <f>IF(ISERROR(FIND('112'!$M$9,G3748,1)),"",IF((AND(RIGHT(G3748,2)=RIGHT('112'!$M$9,2),B3748&lt;'112'!$K$9,$O3748='112'!$I$6)),"x",""))</f>
        <v/>
      </c>
      <c r="W3748" s="75" t="str">
        <f>IF(AND('341-CT'!$H$9=H3748,OR(LEFT(N3748,3)=$W$7,LEFT(O3748,3)=$W$7)),"x","")</f>
        <v/>
      </c>
      <c r="X3748" s="75" t="str">
        <f>IF(OR(TH!N3525=TH!$X$7,O3748=TH!$X$7),"x","")</f>
        <v/>
      </c>
      <c r="Y3748" s="75" t="str">
        <f>IF(AND(OR(N3748="131",O3748="131"),H3748='131-CT'!$H$9),"x","")</f>
        <v/>
      </c>
      <c r="Z3748" s="75"/>
      <c r="AA3748" s="75" t="str">
        <f>IF(AND(MONTH(E3748)='IN-NX'!$J$5,'IN-NX'!$D$7=D3748),"x","")</f>
        <v/>
      </c>
      <c r="AB3748" s="75" t="str">
        <f>IF(AND(OR(LEFT(TH!N3525,2)="15",LEFT(TH!O3525,2)="15"),LEFT(TH!O3525,3)&lt;&gt;"111",'152-CT'!$J$8=TH!F3525),"x","")</f>
        <v/>
      </c>
      <c r="AC3748" s="75" t="str">
        <f>IF(AND(OR(LEFT(TH!N3525,2)="15",LEFT(TH!O3525,2)="15"),TK!$E$7=TH!F3525),"x","")</f>
        <v/>
      </c>
      <c r="AD3748" s="75" t="str">
        <f>IF(AND(N3748="1521",MONTH(C3748)='BK-NL'!$M$11),"x","")</f>
        <v/>
      </c>
    </row>
    <row r="3749" spans="1:30" ht="16.5" customHeight="1">
      <c r="A3749" s="309" t="str">
        <f>IF(B3749&lt;&gt;"",IF(AND(B3749='IN-TC'!$S$4,OR(TH!N3747="1111",TH!O3747="1111")),TH!D3747,""),"")</f>
        <v/>
      </c>
      <c r="B3749" s="1169">
        <f t="shared" si="1302"/>
        <v>3</v>
      </c>
      <c r="C3749" s="292">
        <f t="shared" si="1301"/>
        <v>42805</v>
      </c>
      <c r="D3749" s="947" t="s">
        <v>1928</v>
      </c>
      <c r="E3749" s="947">
        <v>42805</v>
      </c>
      <c r="F3749" s="1143" t="s">
        <v>2140</v>
      </c>
      <c r="G3749" s="952" t="s">
        <v>2135</v>
      </c>
      <c r="H3749" s="937" t="s">
        <v>803</v>
      </c>
      <c r="I3749" s="939"/>
      <c r="J3749" s="949"/>
      <c r="K3749" s="939"/>
      <c r="L3749" s="938"/>
      <c r="M3749" s="940">
        <v>19481000</v>
      </c>
      <c r="N3749" s="950" t="s">
        <v>8</v>
      </c>
      <c r="O3749" s="950" t="s">
        <v>63</v>
      </c>
      <c r="P3749" s="75" t="str">
        <f>IF(AND('331-CT'!$E$7=TH!H3526,OR(N3749="331",O3749="331")),"x","")</f>
        <v/>
      </c>
      <c r="Q3749" s="75" t="str">
        <f>IF(AND(B3749='111'!$L$11,OR($N3749=$Q$7,$O3749=$Q$7)),"x","")</f>
        <v/>
      </c>
      <c r="R3749" s="75" t="str">
        <f>IF(AND($N3749=$Q$7,$B3749&lt;'111'!$L$11),"x","")</f>
        <v/>
      </c>
      <c r="S3749" s="75" t="str">
        <f>IF(AND($O3749=$Q$7,$B3749&lt;'111'!$L$11),"x","")</f>
        <v>x</v>
      </c>
      <c r="T3749" s="75" t="str">
        <f>IF(ISERROR(FIND('112'!$M$9,G3749,1)),"",IF((AND(FIND('112'!$M$9,G3749,1)&gt;=1,B3749='112'!$K$9,OR($N3749='112'!$I$6,$O3749='112'!$I$6))),"x",""))</f>
        <v/>
      </c>
      <c r="U3749" s="75" t="str">
        <f>IF(ISERROR(FIND('112'!$M$9,G3749,1)),"",IF((AND(LEFT(G3749,2)=LEFT('112'!$M$9,2),B3749&lt;'112'!$K$9,$N3749='112'!$I$6)),"x",""))</f>
        <v/>
      </c>
      <c r="V3749" s="75" t="str">
        <f>IF(ISERROR(FIND('112'!$M$9,G3749,1)),"",IF((AND(RIGHT(G3749,2)=RIGHT('112'!$M$9,2),B3749&lt;'112'!$K$9,$O3749='112'!$I$6)),"x",""))</f>
        <v/>
      </c>
      <c r="W3749" s="75" t="str">
        <f>IF(AND('341-CT'!$H$9=H3749,OR(LEFT(N3749,3)=$W$7,LEFT(O3749,3)=$W$7)),"x","")</f>
        <v/>
      </c>
      <c r="X3749" s="75" t="str">
        <f>IF(OR(TH!N3526=TH!$X$7,O3749=TH!$X$7),"x","")</f>
        <v/>
      </c>
      <c r="Y3749" s="75" t="str">
        <f>IF(AND(OR(N3749="131",O3749="131"),H3749='131-CT'!$H$9),"x","")</f>
        <v/>
      </c>
      <c r="Z3749" s="75"/>
      <c r="AA3749" s="75" t="str">
        <f>IF(AND(MONTH(E3749)='IN-NX'!$J$5,'IN-NX'!$D$7=D3749),"x","")</f>
        <v/>
      </c>
      <c r="AB3749" s="75" t="str">
        <f>IF(AND(OR(LEFT(TH!N3526,2)="15",LEFT(TH!O3526,2)="15"),LEFT(TH!O3526,3)&lt;&gt;"111",'152-CT'!$J$8=TH!F3526),"x","")</f>
        <v/>
      </c>
      <c r="AC3749" s="75" t="str">
        <f>IF(AND(OR(LEFT(TH!N3526,2)="15",LEFT(TH!O3526,2)="15"),TK!$E$7=TH!F3526),"x","")</f>
        <v/>
      </c>
      <c r="AD3749" s="75" t="str">
        <f>IF(AND(N3749="1521",MONTH(C3749)='BK-NL'!$M$11),"x","")</f>
        <v/>
      </c>
    </row>
    <row r="3750" spans="1:30" ht="16.5" customHeight="1">
      <c r="A3750" s="309" t="str">
        <f>IF(B3750&lt;&gt;"",IF(AND(B3750='IN-TC'!$S$4,OR(TH!N3748="1111",TH!O3748="1111")),TH!D3748,""),"")</f>
        <v>C13</v>
      </c>
      <c r="B3750" s="1169">
        <f t="shared" si="1302"/>
        <v>3</v>
      </c>
      <c r="C3750" s="292">
        <f t="shared" si="1301"/>
        <v>42807</v>
      </c>
      <c r="D3750" s="292" t="s">
        <v>1929</v>
      </c>
      <c r="E3750" s="292">
        <v>42807</v>
      </c>
      <c r="F3750" s="1127" t="s">
        <v>1165</v>
      </c>
      <c r="G3750" s="925" t="s">
        <v>1156</v>
      </c>
      <c r="H3750" s="294" t="s">
        <v>796</v>
      </c>
      <c r="I3750" s="373"/>
      <c r="J3750" s="926"/>
      <c r="K3750" s="373"/>
      <c r="L3750" s="379"/>
      <c r="M3750" s="927">
        <v>18980500</v>
      </c>
      <c r="N3750" s="295" t="s">
        <v>8</v>
      </c>
      <c r="O3750" s="295" t="s">
        <v>63</v>
      </c>
      <c r="P3750" s="75" t="str">
        <f>IF(AND('331-CT'!$E$7=TH!H3527,OR(N3750="331",O3750="331")),"x","")</f>
        <v/>
      </c>
      <c r="Q3750" s="75" t="str">
        <f>IF(AND(B3750='111'!$L$11,OR($N3750=$Q$7,$O3750=$Q$7)),"x","")</f>
        <v/>
      </c>
      <c r="R3750" s="75" t="str">
        <f>IF(AND($N3750=$Q$7,$B3750&lt;'111'!$L$11),"x","")</f>
        <v/>
      </c>
      <c r="S3750" s="75" t="str">
        <f>IF(AND($O3750=$Q$7,$B3750&lt;'111'!$L$11),"x","")</f>
        <v>x</v>
      </c>
      <c r="T3750" s="75" t="str">
        <f>IF(ISERROR(FIND('112'!$M$9,G3750,1)),"",IF((AND(FIND('112'!$M$9,G3750,1)&gt;=1,B3750='112'!$K$9,OR($N3750='112'!$I$6,$O3750='112'!$I$6))),"x",""))</f>
        <v/>
      </c>
      <c r="U3750" s="75" t="str">
        <f>IF(ISERROR(FIND('112'!$M$9,G3750,1)),"",IF((AND(LEFT(G3750,2)=LEFT('112'!$M$9,2),B3750&lt;'112'!$K$9,$N3750='112'!$I$6)),"x",""))</f>
        <v/>
      </c>
      <c r="V3750" s="75" t="str">
        <f>IF(ISERROR(FIND('112'!$M$9,G3750,1)),"",IF((AND(RIGHT(G3750,2)=RIGHT('112'!$M$9,2),B3750&lt;'112'!$K$9,$O3750='112'!$I$6)),"x",""))</f>
        <v/>
      </c>
      <c r="W3750" s="75" t="str">
        <f>IF(AND('341-CT'!$H$9=H3750,OR(LEFT(N3750,3)=$W$7,LEFT(O3750,3)=$W$7)),"x","")</f>
        <v/>
      </c>
      <c r="X3750" s="75" t="str">
        <f>IF(OR(TH!N3527=TH!$X$7,O3750=TH!$X$7),"x","")</f>
        <v/>
      </c>
      <c r="Y3750" s="75" t="str">
        <f>IF(AND(OR(N3750="131",O3750="131"),H3750='131-CT'!$H$9),"x","")</f>
        <v/>
      </c>
      <c r="Z3750" s="75"/>
      <c r="AA3750" s="75" t="str">
        <f>IF(AND(MONTH(E3750)='IN-NX'!$J$5,'IN-NX'!$D$7=D3750),"x","")</f>
        <v/>
      </c>
      <c r="AB3750" s="75" t="str">
        <f>IF(AND(OR(LEFT(TH!N3527,2)="15",LEFT(TH!O3527,2)="15"),LEFT(TH!O3527,3)&lt;&gt;"111",'152-CT'!$J$8=TH!F3527),"x","")</f>
        <v/>
      </c>
      <c r="AC3750" s="75" t="str">
        <f>IF(AND(OR(LEFT(TH!N3527,2)="15",LEFT(TH!O3527,2)="15"),TK!$E$7=TH!F3527),"x","")</f>
        <v/>
      </c>
      <c r="AD3750" s="75" t="str">
        <f>IF(AND(N3750="1521",MONTH(C3750)='BK-NL'!$M$11),"x","")</f>
        <v/>
      </c>
    </row>
    <row r="3751" spans="1:30" ht="16.5" customHeight="1">
      <c r="A3751" s="309" t="str">
        <f>IF(B3751&lt;&gt;"",IF(AND(B3751='IN-TC'!$S$4,OR(TH!N3749="1111",TH!O3749="1111")),TH!D3749,""),"")</f>
        <v>C14</v>
      </c>
      <c r="B3751" s="1169">
        <f t="shared" si="1302"/>
        <v>3</v>
      </c>
      <c r="C3751" s="292">
        <f t="shared" si="1301"/>
        <v>42807</v>
      </c>
      <c r="D3751" s="59" t="s">
        <v>902</v>
      </c>
      <c r="E3751" s="59">
        <v>42807</v>
      </c>
      <c r="F3751" s="131" t="s">
        <v>1090</v>
      </c>
      <c r="G3751" s="62" t="s">
        <v>747</v>
      </c>
      <c r="H3751" s="311" t="s">
        <v>835</v>
      </c>
      <c r="I3751" s="373"/>
      <c r="J3751" s="379"/>
      <c r="K3751" s="373"/>
      <c r="L3751" s="379"/>
      <c r="M3751" s="60">
        <v>6959790</v>
      </c>
      <c r="N3751" s="61" t="s">
        <v>101</v>
      </c>
      <c r="O3751" s="61" t="s">
        <v>26</v>
      </c>
      <c r="P3751" s="75" t="str">
        <f>IF(AND('331-CT'!$E$7=TH!H5022,OR(N3751="331",O3751="331")),"x","")</f>
        <v/>
      </c>
      <c r="Q3751" s="75" t="str">
        <f>IF(AND(B3751='111'!$L$11,OR($N3751=$Q$7,$O3751=$Q$7)),"x","")</f>
        <v/>
      </c>
      <c r="R3751" s="75" t="str">
        <f>IF(AND($N3751=$Q$7,$B3751&lt;'111'!$L$11),"x","")</f>
        <v/>
      </c>
      <c r="S3751" s="75" t="str">
        <f>IF(AND($O3751=$Q$7,$B3751&lt;'111'!$L$11),"x","")</f>
        <v/>
      </c>
      <c r="T3751" s="75" t="str">
        <f>IF(ISERROR(FIND('112'!$M$9,G3751,1)),"",IF((AND(FIND('112'!$M$9,G3751,1)&gt;=1,B3751='112'!$K$9,OR($N3751='112'!$I$6,$O3751='112'!$I$6))),"x",""))</f>
        <v/>
      </c>
      <c r="U3751" s="75" t="str">
        <f>IF(ISERROR(FIND('112'!$M$9,G3751,1)),"",IF((AND(LEFT(G3751,2)=LEFT('112'!$M$9,2),B3751&lt;'112'!$K$9,$N3751='112'!$I$6)),"x",""))</f>
        <v/>
      </c>
      <c r="V3751" s="75" t="str">
        <f>IF(ISERROR(FIND('112'!$M$9,G3751,1)),"",IF((AND(RIGHT(G3751,2)=RIGHT('112'!$M$9,2),B3751&lt;'112'!$K$9,$O3751='112'!$I$6)),"x",""))</f>
        <v/>
      </c>
      <c r="W3751" s="75" t="str">
        <f>IF(AND('341-CT'!$H$9=H3751,OR(LEFT(N3751,3)=$W$7,LEFT(O3751,3)=$W$7)),"x","")</f>
        <v/>
      </c>
      <c r="X3751" s="75" t="str">
        <f>IF(OR(TH!N5022=TH!$X$7,O3751=TH!$X$7),"x","")</f>
        <v/>
      </c>
      <c r="Y3751" s="75" t="str">
        <f>IF(AND(OR(N3751="131",O3751="131"),H3751='131-CT'!$H$9),"x","")</f>
        <v/>
      </c>
      <c r="Z3751" s="75"/>
      <c r="AA3751" s="75" t="str">
        <f>IF(AND(MONTH(E3751)='IN-NX'!$J$5,'IN-NX'!$D$7=D3751),"x","")</f>
        <v/>
      </c>
      <c r="AB3751" s="75" t="str">
        <f>IF(AND(OR(LEFT(TH!N5022,2)="15",LEFT(TH!O5022,2)="15"),LEFT(TH!O5022,3)&lt;&gt;"111",'152-CT'!$J$8=TH!F5022),"x","")</f>
        <v/>
      </c>
      <c r="AC3751" s="75" t="str">
        <f>IF(AND(OR(LEFT(TH!N5022,2)="15",LEFT(TH!O5022,2)="15"),TK!$E$7=TH!F5022),"x","")</f>
        <v/>
      </c>
      <c r="AD3751" s="75" t="str">
        <f>IF(AND(N3751="1521",MONTH(C3751)='BK-NL'!$M$11),"x","")</f>
        <v/>
      </c>
    </row>
    <row r="3752" spans="1:30" ht="16.5" customHeight="1">
      <c r="A3752" s="309" t="str">
        <f>IF(B3752&lt;&gt;"",IF(AND(B3752='IN-TC'!$S$4,OR(TH!N3750="1111",TH!O3750="1111")),TH!D3750,""),"")</f>
        <v>C15</v>
      </c>
      <c r="B3752" s="1169">
        <f t="shared" si="1302"/>
        <v>3</v>
      </c>
      <c r="C3752" s="292">
        <f t="shared" si="1301"/>
        <v>42807</v>
      </c>
      <c r="D3752" s="292" t="s">
        <v>902</v>
      </c>
      <c r="E3752" s="292">
        <v>42807</v>
      </c>
      <c r="F3752" s="131" t="s">
        <v>1204</v>
      </c>
      <c r="G3752" s="62" t="s">
        <v>747</v>
      </c>
      <c r="H3752" s="311" t="s">
        <v>561</v>
      </c>
      <c r="I3752" s="373"/>
      <c r="J3752" s="926"/>
      <c r="K3752" s="373"/>
      <c r="L3752" s="379"/>
      <c r="M3752" s="927">
        <v>5735000</v>
      </c>
      <c r="N3752" s="295" t="s">
        <v>8</v>
      </c>
      <c r="O3752" s="295" t="s">
        <v>26</v>
      </c>
      <c r="P3752" s="75" t="str">
        <f>IF(AND('331-CT'!$E$7=TH!H5023,OR(N3752="331",O3752="331")),"x","")</f>
        <v/>
      </c>
      <c r="Q3752" s="75" t="str">
        <f>IF(AND(B3752='111'!$L$11,OR($N3752=$Q$7,$O3752=$Q$7)),"x","")</f>
        <v/>
      </c>
      <c r="R3752" s="75" t="str">
        <f>IF(AND($N3752=$Q$7,$B3752&lt;'111'!$L$11),"x","")</f>
        <v/>
      </c>
      <c r="S3752" s="75" t="str">
        <f>IF(AND($O3752=$Q$7,$B3752&lt;'111'!$L$11),"x","")</f>
        <v/>
      </c>
      <c r="T3752" s="75" t="str">
        <f>IF(ISERROR(FIND('112'!$M$9,G3752,1)),"",IF((AND(FIND('112'!$M$9,G3752,1)&gt;=1,B3752='112'!$K$9,OR($N3752='112'!$I$6,$O3752='112'!$I$6))),"x",""))</f>
        <v/>
      </c>
      <c r="U3752" s="75" t="str">
        <f>IF(ISERROR(FIND('112'!$M$9,G3752,1)),"",IF((AND(LEFT(G3752,2)=LEFT('112'!$M$9,2),B3752&lt;'112'!$K$9,$N3752='112'!$I$6)),"x",""))</f>
        <v/>
      </c>
      <c r="V3752" s="75" t="str">
        <f>IF(ISERROR(FIND('112'!$M$9,G3752,1)),"",IF((AND(RIGHT(G3752,2)=RIGHT('112'!$M$9,2),B3752&lt;'112'!$K$9,$O3752='112'!$I$6)),"x",""))</f>
        <v/>
      </c>
      <c r="W3752" s="75" t="str">
        <f>IF(AND('341-CT'!$H$9=H3752,OR(LEFT(N3752,3)=$W$7,LEFT(O3752,3)=$W$7)),"x","")</f>
        <v/>
      </c>
      <c r="X3752" s="75" t="str">
        <f>IF(OR(TH!N5023=TH!$X$7,O3752=TH!$X$7),"x","")</f>
        <v/>
      </c>
      <c r="Y3752" s="75" t="str">
        <f>IF(AND(OR(N3752="131",O3752="131"),H3752='131-CT'!$H$9),"x","")</f>
        <v/>
      </c>
      <c r="Z3752" s="75"/>
      <c r="AA3752" s="75" t="str">
        <f>IF(AND(MONTH(E3752)='IN-NX'!$J$5,'IN-NX'!$D$7=D3752),"x","")</f>
        <v/>
      </c>
      <c r="AB3752" s="75" t="str">
        <f>IF(AND(OR(LEFT(TH!N5023,2)="15",LEFT(TH!O5023,2)="15"),LEFT(TH!O5023,3)&lt;&gt;"111",'152-CT'!$J$8=TH!F5023),"x","")</f>
        <v/>
      </c>
      <c r="AC3752" s="75" t="str">
        <f>IF(AND(OR(LEFT(TH!N5023,2)="15",LEFT(TH!O5023,2)="15"),TK!$E$7=TH!F5023),"x","")</f>
        <v/>
      </c>
      <c r="AD3752" s="75" t="str">
        <f>IF(AND(N3752="1521",MONTH(C3752)='BK-NL'!$M$11),"x","")</f>
        <v/>
      </c>
    </row>
    <row r="3753" spans="1:30" ht="16.5" customHeight="1">
      <c r="A3753" s="309" t="str">
        <f>IF(B3753&lt;&gt;"",IF(AND(B3753='IN-TC'!$S$4,OR(TH!N3751="1111",TH!O3751="1111")),TH!D3751,""),"")</f>
        <v/>
      </c>
      <c r="B3753" s="1169">
        <f t="shared" si="1302"/>
        <v>3</v>
      </c>
      <c r="C3753" s="292">
        <f t="shared" si="1301"/>
        <v>42807</v>
      </c>
      <c r="D3753" s="292" t="s">
        <v>902</v>
      </c>
      <c r="E3753" s="292">
        <v>42807</v>
      </c>
      <c r="F3753" s="131" t="s">
        <v>870</v>
      </c>
      <c r="G3753" s="62" t="s">
        <v>747</v>
      </c>
      <c r="H3753" s="311" t="s">
        <v>835</v>
      </c>
      <c r="I3753" s="373"/>
      <c r="J3753" s="926"/>
      <c r="K3753" s="373"/>
      <c r="L3753" s="379"/>
      <c r="M3753" s="927">
        <v>10000</v>
      </c>
      <c r="N3753" s="295" t="s">
        <v>101</v>
      </c>
      <c r="O3753" s="295" t="s">
        <v>26</v>
      </c>
      <c r="P3753" s="75" t="str">
        <f>IF(AND('331-CT'!$E$7=TH!H5024,OR(N3753="331",O3753="331")),"x","")</f>
        <v/>
      </c>
      <c r="Q3753" s="75" t="str">
        <f>IF(AND(B3753='111'!$L$11,OR($N3753=$Q$7,$O3753=$Q$7)),"x","")</f>
        <v/>
      </c>
      <c r="R3753" s="75" t="str">
        <f>IF(AND($N3753=$Q$7,$B3753&lt;'111'!$L$11),"x","")</f>
        <v/>
      </c>
      <c r="S3753" s="75" t="str">
        <f>IF(AND($O3753=$Q$7,$B3753&lt;'111'!$L$11),"x","")</f>
        <v/>
      </c>
      <c r="T3753" s="75" t="str">
        <f>IF(ISERROR(FIND('112'!$M$9,G3753,1)),"",IF((AND(FIND('112'!$M$9,G3753,1)&gt;=1,B3753='112'!$K$9,OR($N3753='112'!$I$6,$O3753='112'!$I$6))),"x",""))</f>
        <v/>
      </c>
      <c r="U3753" s="75" t="str">
        <f>IF(ISERROR(FIND('112'!$M$9,G3753,1)),"",IF((AND(LEFT(G3753,2)=LEFT('112'!$M$9,2),B3753&lt;'112'!$K$9,$N3753='112'!$I$6)),"x",""))</f>
        <v/>
      </c>
      <c r="V3753" s="75" t="str">
        <f>IF(ISERROR(FIND('112'!$M$9,G3753,1)),"",IF((AND(RIGHT(G3753,2)=RIGHT('112'!$M$9,2),B3753&lt;'112'!$K$9,$O3753='112'!$I$6)),"x",""))</f>
        <v/>
      </c>
      <c r="W3753" s="75" t="str">
        <f>IF(AND('341-CT'!$H$9=H3753,OR(LEFT(N3753,3)=$W$7,LEFT(O3753,3)=$W$7)),"x","")</f>
        <v/>
      </c>
      <c r="X3753" s="75" t="str">
        <f>IF(OR(TH!N5024=TH!$X$7,O3753=TH!$X$7),"x","")</f>
        <v/>
      </c>
      <c r="Y3753" s="75" t="str">
        <f>IF(AND(OR(N3753="131",O3753="131"),H3753='131-CT'!$H$9),"x","")</f>
        <v/>
      </c>
      <c r="Z3753" s="75"/>
      <c r="AA3753" s="75" t="str">
        <f>IF(AND(MONTH(E3753)='IN-NX'!$J$5,'IN-NX'!$D$7=D3753),"x","")</f>
        <v/>
      </c>
      <c r="AB3753" s="75" t="str">
        <f>IF(AND(OR(LEFT(TH!N5024,2)="15",LEFT(TH!O5024,2)="15"),LEFT(TH!O5024,3)&lt;&gt;"111",'152-CT'!$J$8=TH!F5024),"x","")</f>
        <v/>
      </c>
      <c r="AC3753" s="75" t="str">
        <f>IF(AND(OR(LEFT(TH!N5024,2)="15",LEFT(TH!O5024,2)="15"),TK!$E$7=TH!F5024),"x","")</f>
        <v/>
      </c>
      <c r="AD3753" s="75" t="str">
        <f>IF(AND(N3753="1521",MONTH(C3753)='BK-NL'!$M$11),"x","")</f>
        <v/>
      </c>
    </row>
    <row r="3754" spans="1:30" ht="16.5" customHeight="1">
      <c r="A3754" s="309" t="str">
        <f>IF(B3754&lt;&gt;"",IF(AND(B3754='IN-TC'!$S$4,OR(TH!N3752="1111",TH!O3752="1111")),TH!D3752,""),"")</f>
        <v/>
      </c>
      <c r="B3754" s="1169">
        <f t="shared" si="1302"/>
        <v>3</v>
      </c>
      <c r="C3754" s="292">
        <f t="shared" si="1301"/>
        <v>42807</v>
      </c>
      <c r="D3754" s="292" t="s">
        <v>902</v>
      </c>
      <c r="E3754" s="292">
        <v>42807</v>
      </c>
      <c r="F3754" s="131" t="s">
        <v>898</v>
      </c>
      <c r="G3754" s="62" t="s">
        <v>747</v>
      </c>
      <c r="H3754" s="311" t="s">
        <v>835</v>
      </c>
      <c r="I3754" s="373"/>
      <c r="J3754" s="926"/>
      <c r="K3754" s="373"/>
      <c r="L3754" s="379"/>
      <c r="M3754" s="927">
        <v>1000</v>
      </c>
      <c r="N3754" s="295" t="s">
        <v>9</v>
      </c>
      <c r="O3754" s="295" t="s">
        <v>26</v>
      </c>
      <c r="P3754" s="75" t="str">
        <f>IF(AND('331-CT'!$E$7=TH!H5025,OR(N3754="331",O3754="331")),"x","")</f>
        <v/>
      </c>
      <c r="Q3754" s="75" t="str">
        <f>IF(AND(B3754='111'!$L$11,OR($N3754=$Q$7,$O3754=$Q$7)),"x","")</f>
        <v/>
      </c>
      <c r="R3754" s="75" t="str">
        <f>IF(AND($N3754=$Q$7,$B3754&lt;'111'!$L$11),"x","")</f>
        <v/>
      </c>
      <c r="S3754" s="75" t="str">
        <f>IF(AND($O3754=$Q$7,$B3754&lt;'111'!$L$11),"x","")</f>
        <v/>
      </c>
      <c r="T3754" s="75" t="str">
        <f>IF(ISERROR(FIND('112'!$M$9,G3754,1)),"",IF((AND(FIND('112'!$M$9,G3754,1)&gt;=1,B3754='112'!$K$9,OR($N3754='112'!$I$6,$O3754='112'!$I$6))),"x",""))</f>
        <v/>
      </c>
      <c r="U3754" s="75" t="str">
        <f>IF(ISERROR(FIND('112'!$M$9,G3754,1)),"",IF((AND(LEFT(G3754,2)=LEFT('112'!$M$9,2),B3754&lt;'112'!$K$9,$N3754='112'!$I$6)),"x",""))</f>
        <v/>
      </c>
      <c r="V3754" s="75" t="str">
        <f>IF(ISERROR(FIND('112'!$M$9,G3754,1)),"",IF((AND(RIGHT(G3754,2)=RIGHT('112'!$M$9,2),B3754&lt;'112'!$K$9,$O3754='112'!$I$6)),"x",""))</f>
        <v/>
      </c>
      <c r="W3754" s="75" t="str">
        <f>IF(AND('341-CT'!$H$9=H3754,OR(LEFT(N3754,3)=$W$7,LEFT(O3754,3)=$W$7)),"x","")</f>
        <v/>
      </c>
      <c r="X3754" s="75" t="str">
        <f>IF(OR(TH!N5025=TH!$X$7,O3754=TH!$X$7),"x","")</f>
        <v/>
      </c>
      <c r="Y3754" s="75" t="str">
        <f>IF(AND(OR(N3754="131",O3754="131"),H3754='131-CT'!$H$9),"x","")</f>
        <v/>
      </c>
      <c r="Z3754" s="75"/>
      <c r="AA3754" s="75" t="str">
        <f>IF(AND(MONTH(E3754)='IN-NX'!$J$5,'IN-NX'!$D$7=D3754),"x","")</f>
        <v/>
      </c>
      <c r="AB3754" s="75" t="str">
        <f>IF(AND(OR(LEFT(TH!N5025,2)="15",LEFT(TH!O5025,2)="15"),LEFT(TH!O5025,3)&lt;&gt;"111",'152-CT'!$J$8=TH!F5025),"x","")</f>
        <v/>
      </c>
      <c r="AC3754" s="75" t="str">
        <f>IF(AND(OR(LEFT(TH!N5025,2)="15",LEFT(TH!O5025,2)="15"),TK!$E$7=TH!F5025),"x","")</f>
        <v/>
      </c>
      <c r="AD3754" s="75" t="str">
        <f>IF(AND(N3754="1521",MONTH(C3754)='BK-NL'!$M$11),"x","")</f>
        <v/>
      </c>
    </row>
    <row r="3755" spans="1:30" ht="16.5" customHeight="1">
      <c r="A3755" s="309" t="str">
        <f>IF(B3755&lt;&gt;"",IF(AND(B3755='IN-TC'!$S$4,OR(TH!N3753="1111",TH!O3753="1111")),TH!D3753,""),"")</f>
        <v/>
      </c>
      <c r="B3755" s="1169">
        <f t="shared" si="1302"/>
        <v>3</v>
      </c>
      <c r="C3755" s="292">
        <f t="shared" si="1301"/>
        <v>42807</v>
      </c>
      <c r="D3755" s="292" t="s">
        <v>902</v>
      </c>
      <c r="E3755" s="292">
        <v>42807</v>
      </c>
      <c r="F3755" s="131" t="s">
        <v>1204</v>
      </c>
      <c r="G3755" s="62" t="s">
        <v>747</v>
      </c>
      <c r="H3755" s="311" t="s">
        <v>561</v>
      </c>
      <c r="I3755" s="373"/>
      <c r="J3755" s="926"/>
      <c r="K3755" s="373"/>
      <c r="L3755" s="379"/>
      <c r="M3755" s="927">
        <v>950000</v>
      </c>
      <c r="N3755" s="295" t="s">
        <v>8</v>
      </c>
      <c r="O3755" s="295" t="s">
        <v>26</v>
      </c>
      <c r="P3755" s="75" t="str">
        <f>IF(AND('331-CT'!$E$7=TH!H5026,OR(N3755="331",O3755="331")),"x","")</f>
        <v/>
      </c>
      <c r="Q3755" s="75" t="str">
        <f>IF(AND(B3755='111'!$L$11,OR($N3755=$Q$7,$O3755=$Q$7)),"x","")</f>
        <v/>
      </c>
      <c r="R3755" s="75" t="str">
        <f>IF(AND($N3755=$Q$7,$B3755&lt;'111'!$L$11),"x","")</f>
        <v/>
      </c>
      <c r="S3755" s="75" t="str">
        <f>IF(AND($O3755=$Q$7,$B3755&lt;'111'!$L$11),"x","")</f>
        <v/>
      </c>
      <c r="T3755" s="75" t="str">
        <f>IF(ISERROR(FIND('112'!$M$9,G3755,1)),"",IF((AND(FIND('112'!$M$9,G3755,1)&gt;=1,B3755='112'!$K$9,OR($N3755='112'!$I$6,$O3755='112'!$I$6))),"x",""))</f>
        <v/>
      </c>
      <c r="U3755" s="75" t="str">
        <f>IF(ISERROR(FIND('112'!$M$9,G3755,1)),"",IF((AND(LEFT(G3755,2)=LEFT('112'!$M$9,2),B3755&lt;'112'!$K$9,$N3755='112'!$I$6)),"x",""))</f>
        <v/>
      </c>
      <c r="V3755" s="75" t="str">
        <f>IF(ISERROR(FIND('112'!$M$9,G3755,1)),"",IF((AND(RIGHT(G3755,2)=RIGHT('112'!$M$9,2),B3755&lt;'112'!$K$9,$O3755='112'!$I$6)),"x",""))</f>
        <v/>
      </c>
      <c r="W3755" s="75" t="str">
        <f>IF(AND('341-CT'!$H$9=H3755,OR(LEFT(N3755,3)=$W$7,LEFT(O3755,3)=$W$7)),"x","")</f>
        <v/>
      </c>
      <c r="X3755" s="75" t="str">
        <f>IF(OR(TH!N5026=TH!$X$7,O3755=TH!$X$7),"x","")</f>
        <v/>
      </c>
      <c r="Y3755" s="75" t="str">
        <f>IF(AND(OR(N3755="131",O3755="131"),H3755='131-CT'!$H$9),"x","")</f>
        <v/>
      </c>
      <c r="Z3755" s="75"/>
      <c r="AA3755" s="75" t="str">
        <f>IF(AND(MONTH(E3755)='IN-NX'!$J$5,'IN-NX'!$D$7=D3755),"x","")</f>
        <v/>
      </c>
      <c r="AB3755" s="75" t="str">
        <f>IF(AND(OR(LEFT(TH!N5026,2)="15",LEFT(TH!O5026,2)="15"),LEFT(TH!O5026,3)&lt;&gt;"111",'152-CT'!$J$8=TH!F5026),"x","")</f>
        <v/>
      </c>
      <c r="AC3755" s="75" t="str">
        <f>IF(AND(OR(LEFT(TH!N5026,2)="15",LEFT(TH!O5026,2)="15"),TK!$E$7=TH!F5026),"x","")</f>
        <v/>
      </c>
      <c r="AD3755" s="75" t="str">
        <f>IF(AND(N3755="1521",MONTH(C3755)='BK-NL'!$M$11),"x","")</f>
        <v/>
      </c>
    </row>
    <row r="3756" spans="1:30" ht="16.5" customHeight="1">
      <c r="A3756" s="309" t="str">
        <f>IF(B3756&lt;&gt;"",IF(AND(B3756='IN-TC'!$S$4,OR(TH!N3754="1111",TH!O3754="1111")),TH!D3754,""),"")</f>
        <v/>
      </c>
      <c r="B3756" s="1169">
        <f t="shared" si="1302"/>
        <v>3</v>
      </c>
      <c r="C3756" s="292">
        <f t="shared" si="1301"/>
        <v>42807</v>
      </c>
      <c r="D3756" s="292" t="s">
        <v>902</v>
      </c>
      <c r="E3756" s="292">
        <v>42807</v>
      </c>
      <c r="F3756" s="131" t="s">
        <v>870</v>
      </c>
      <c r="G3756" s="62" t="s">
        <v>747</v>
      </c>
      <c r="H3756" s="311" t="s">
        <v>835</v>
      </c>
      <c r="I3756" s="373"/>
      <c r="J3756" s="926"/>
      <c r="K3756" s="373"/>
      <c r="L3756" s="379"/>
      <c r="M3756" s="927">
        <v>10000</v>
      </c>
      <c r="N3756" s="295" t="s">
        <v>101</v>
      </c>
      <c r="O3756" s="295" t="s">
        <v>26</v>
      </c>
      <c r="P3756" s="75" t="str">
        <f>IF(AND('331-CT'!$E$7=TH!H5027,OR(N3756="331",O3756="331")),"x","")</f>
        <v/>
      </c>
      <c r="Q3756" s="75" t="str">
        <f>IF(AND(B3756='111'!$L$11,OR($N3756=$Q$7,$O3756=$Q$7)),"x","")</f>
        <v/>
      </c>
      <c r="R3756" s="75" t="str">
        <f>IF(AND($N3756=$Q$7,$B3756&lt;'111'!$L$11),"x","")</f>
        <v/>
      </c>
      <c r="S3756" s="75" t="str">
        <f>IF(AND($O3756=$Q$7,$B3756&lt;'111'!$L$11),"x","")</f>
        <v/>
      </c>
      <c r="T3756" s="75" t="str">
        <f>IF(ISERROR(FIND('112'!$M$9,G3756,1)),"",IF((AND(FIND('112'!$M$9,G3756,1)&gt;=1,B3756='112'!$K$9,OR($N3756='112'!$I$6,$O3756='112'!$I$6))),"x",""))</f>
        <v/>
      </c>
      <c r="U3756" s="75" t="str">
        <f>IF(ISERROR(FIND('112'!$M$9,G3756,1)),"",IF((AND(LEFT(G3756,2)=LEFT('112'!$M$9,2),B3756&lt;'112'!$K$9,$N3756='112'!$I$6)),"x",""))</f>
        <v/>
      </c>
      <c r="V3756" s="75" t="str">
        <f>IF(ISERROR(FIND('112'!$M$9,G3756,1)),"",IF((AND(RIGHT(G3756,2)=RIGHT('112'!$M$9,2),B3756&lt;'112'!$K$9,$O3756='112'!$I$6)),"x",""))</f>
        <v/>
      </c>
      <c r="W3756" s="75" t="str">
        <f>IF(AND('341-CT'!$H$9=H3756,OR(LEFT(N3756,3)=$W$7,LEFT(O3756,3)=$W$7)),"x","")</f>
        <v/>
      </c>
      <c r="X3756" s="75" t="str">
        <f>IF(OR(TH!N5027=TH!$X$7,O3756=TH!$X$7),"x","")</f>
        <v/>
      </c>
      <c r="Y3756" s="75" t="str">
        <f>IF(AND(OR(N3756="131",O3756="131"),H3756='131-CT'!$H$9),"x","")</f>
        <v/>
      </c>
      <c r="Z3756" s="75"/>
      <c r="AA3756" s="75" t="str">
        <f>IF(AND(MONTH(E3756)='IN-NX'!$J$5,'IN-NX'!$D$7=D3756),"x","")</f>
        <v/>
      </c>
      <c r="AB3756" s="75" t="str">
        <f>IF(AND(OR(LEFT(TH!N5027,2)="15",LEFT(TH!O5027,2)="15"),LEFT(TH!O5027,3)&lt;&gt;"111",'152-CT'!$J$8=TH!F5027),"x","")</f>
        <v/>
      </c>
      <c r="AC3756" s="75" t="str">
        <f>IF(AND(OR(LEFT(TH!N5027,2)="15",LEFT(TH!O5027,2)="15"),TK!$E$7=TH!F5027),"x","")</f>
        <v/>
      </c>
      <c r="AD3756" s="75" t="str">
        <f>IF(AND(N3756="1521",MONTH(C3756)='BK-NL'!$M$11),"x","")</f>
        <v/>
      </c>
    </row>
    <row r="3757" spans="1:30" ht="16.5" customHeight="1">
      <c r="A3757" s="309" t="str">
        <f>IF(B3757&lt;&gt;"",IF(AND(B3757='IN-TC'!$S$4,OR(TH!N3755="1111",TH!O3755="1111")),TH!D3755,""),"")</f>
        <v/>
      </c>
      <c r="B3757" s="1169">
        <f t="shared" si="1302"/>
        <v>3</v>
      </c>
      <c r="C3757" s="292">
        <f t="shared" si="1301"/>
        <v>42807</v>
      </c>
      <c r="D3757" s="292" t="s">
        <v>902</v>
      </c>
      <c r="E3757" s="292">
        <v>42807</v>
      </c>
      <c r="F3757" s="131" t="s">
        <v>898</v>
      </c>
      <c r="G3757" s="62" t="s">
        <v>747</v>
      </c>
      <c r="H3757" s="311" t="s">
        <v>835</v>
      </c>
      <c r="I3757" s="373"/>
      <c r="J3757" s="926"/>
      <c r="K3757" s="373"/>
      <c r="L3757" s="379"/>
      <c r="M3757" s="927">
        <v>1000</v>
      </c>
      <c r="N3757" s="295" t="s">
        <v>9</v>
      </c>
      <c r="O3757" s="295" t="s">
        <v>26</v>
      </c>
      <c r="P3757" s="75" t="str">
        <f>IF(AND('331-CT'!$E$7=TH!H5028,OR(N3757="331",O3757="331")),"x","")</f>
        <v/>
      </c>
      <c r="Q3757" s="75" t="str">
        <f>IF(AND(B3757='111'!$L$11,OR($N3757=$Q$7,$O3757=$Q$7)),"x","")</f>
        <v/>
      </c>
      <c r="R3757" s="75" t="str">
        <f>IF(AND($N3757=$Q$7,$B3757&lt;'111'!$L$11),"x","")</f>
        <v/>
      </c>
      <c r="S3757" s="75" t="str">
        <f>IF(AND($O3757=$Q$7,$B3757&lt;'111'!$L$11),"x","")</f>
        <v/>
      </c>
      <c r="T3757" s="75" t="str">
        <f>IF(ISERROR(FIND('112'!$M$9,G3757,1)),"",IF((AND(FIND('112'!$M$9,G3757,1)&gt;=1,B3757='112'!$K$9,OR($N3757='112'!$I$6,$O3757='112'!$I$6))),"x",""))</f>
        <v/>
      </c>
      <c r="U3757" s="75" t="str">
        <f>IF(ISERROR(FIND('112'!$M$9,G3757,1)),"",IF((AND(LEFT(G3757,2)=LEFT('112'!$M$9,2),B3757&lt;'112'!$K$9,$N3757='112'!$I$6)),"x",""))</f>
        <v/>
      </c>
      <c r="V3757" s="75" t="str">
        <f>IF(ISERROR(FIND('112'!$M$9,G3757,1)),"",IF((AND(RIGHT(G3757,2)=RIGHT('112'!$M$9,2),B3757&lt;'112'!$K$9,$O3757='112'!$I$6)),"x",""))</f>
        <v/>
      </c>
      <c r="W3757" s="75" t="str">
        <f>IF(AND('341-CT'!$H$9=H3757,OR(LEFT(N3757,3)=$W$7,LEFT(O3757,3)=$W$7)),"x","")</f>
        <v/>
      </c>
      <c r="X3757" s="75" t="str">
        <f>IF(OR(TH!N5028=TH!$X$7,O3757=TH!$X$7),"x","")</f>
        <v/>
      </c>
      <c r="Y3757" s="75" t="str">
        <f>IF(AND(OR(N3757="131",O3757="131"),H3757='131-CT'!$H$9),"x","")</f>
        <v/>
      </c>
      <c r="Z3757" s="75"/>
      <c r="AA3757" s="75" t="str">
        <f>IF(AND(MONTH(E3757)='IN-NX'!$J$5,'IN-NX'!$D$7=D3757),"x","")</f>
        <v/>
      </c>
      <c r="AB3757" s="75" t="str">
        <f>IF(AND(OR(LEFT(TH!N5028,2)="15",LEFT(TH!O5028,2)="15"),LEFT(TH!O5028,3)&lt;&gt;"111",'152-CT'!$J$8=TH!F5028),"x","")</f>
        <v/>
      </c>
      <c r="AC3757" s="75" t="str">
        <f>IF(AND(OR(LEFT(TH!N5028,2)="15",LEFT(TH!O5028,2)="15"),TK!$E$7=TH!F5028),"x","")</f>
        <v/>
      </c>
      <c r="AD3757" s="75" t="str">
        <f>IF(AND(N3757="1521",MONTH(C3757)='BK-NL'!$M$11),"x","")</f>
        <v/>
      </c>
    </row>
    <row r="3758" spans="1:30" ht="16.5" customHeight="1">
      <c r="A3758" s="309" t="str">
        <f>IF(B3758&lt;&gt;"",IF(AND(B3758='IN-TC'!$S$4,OR(TH!N3756="1111",TH!O3756="1111")),TH!D3756,""),"")</f>
        <v/>
      </c>
      <c r="B3758" s="1169">
        <f t="shared" si="1302"/>
        <v>3</v>
      </c>
      <c r="C3758" s="292">
        <f t="shared" si="1301"/>
        <v>42808</v>
      </c>
      <c r="D3758" s="59" t="s">
        <v>903</v>
      </c>
      <c r="E3758" s="59">
        <v>42808</v>
      </c>
      <c r="F3758" s="1127" t="s">
        <v>1208</v>
      </c>
      <c r="G3758" s="62" t="s">
        <v>585</v>
      </c>
      <c r="H3758" s="311" t="s">
        <v>991</v>
      </c>
      <c r="I3758" s="373"/>
      <c r="J3758" s="379"/>
      <c r="K3758" s="373"/>
      <c r="L3758" s="379"/>
      <c r="M3758" s="60">
        <v>518470991</v>
      </c>
      <c r="N3758" s="61" t="s">
        <v>26</v>
      </c>
      <c r="O3758" s="61" t="s">
        <v>72</v>
      </c>
      <c r="P3758" s="75" t="str">
        <f>IF(AND('331-CT'!$E$7=TH!H4682,OR(N3758="331",O3758="331")),"x","")</f>
        <v/>
      </c>
      <c r="Q3758" s="75" t="str">
        <f>IF(AND(B3758='111'!$L$11,OR($N3758=$Q$7,$O3758=$Q$7)),"x","")</f>
        <v/>
      </c>
      <c r="R3758" s="75" t="str">
        <f>IF(AND($N3758=$Q$7,$B3758&lt;'111'!$L$11),"x","")</f>
        <v/>
      </c>
      <c r="S3758" s="75" t="str">
        <f>IF(AND($O3758=$Q$7,$B3758&lt;'111'!$L$11),"x","")</f>
        <v/>
      </c>
      <c r="T3758" s="75" t="str">
        <f>IF(ISERROR(FIND('112'!$M$9,G3758,1)),"",IF((AND(FIND('112'!$M$9,G3758,1)&gt;=1,B3758='112'!$K$9,OR($N3758='112'!$I$6,$O3758='112'!$I$6))),"x",""))</f>
        <v/>
      </c>
      <c r="U3758" s="75" t="str">
        <f>IF(ISERROR(FIND('112'!$M$9,G3758,1)),"",IF((AND(LEFT(G3758,2)=LEFT('112'!$M$9,2),B3758&lt;'112'!$K$9,$N3758='112'!$I$6)),"x",""))</f>
        <v/>
      </c>
      <c r="V3758" s="75" t="str">
        <f>IF(ISERROR(FIND('112'!$M$9,G3758,1)),"",IF((AND(RIGHT(G3758,2)=RIGHT('112'!$M$9,2),B3758&lt;'112'!$K$9,$O3758='112'!$I$6)),"x",""))</f>
        <v/>
      </c>
      <c r="W3758" s="75" t="str">
        <f>IF(AND('341-CT'!$H$9=H3758,OR(LEFT(N3758,3)=$W$7,LEFT(O3758,3)=$W$7)),"x","")</f>
        <v/>
      </c>
      <c r="X3758" s="75" t="str">
        <f>IF(OR(TH!N4682=TH!$X$7,O3758=TH!$X$7),"x","")</f>
        <v/>
      </c>
      <c r="Y3758" s="75" t="str">
        <f>IF(AND(OR(N3758="131",O3758="131"),H3758='131-CT'!$H$9),"x","")</f>
        <v/>
      </c>
      <c r="Z3758" s="75"/>
      <c r="AA3758" s="75" t="str">
        <f>IF(AND(MONTH(E3758)='IN-NX'!$J$5,'IN-NX'!$D$7=D3758),"x","")</f>
        <v/>
      </c>
      <c r="AB3758" s="75" t="str">
        <f>IF(AND(OR(LEFT(TH!N4682,2)="15",LEFT(TH!O4682,2)="15"),LEFT(TH!O4682,3)&lt;&gt;"111",'152-CT'!$J$8=TH!F4682),"x","")</f>
        <v/>
      </c>
      <c r="AC3758" s="75" t="str">
        <f>IF(AND(OR(LEFT(TH!N4682,2)="15",LEFT(TH!O4682,2)="15"),TK!$E$7=TH!F4682),"x","")</f>
        <v/>
      </c>
      <c r="AD3758" s="75" t="str">
        <f>IF(AND(N3758="1521",MONTH(C3758)='BK-NL'!$M$11),"x","")</f>
        <v/>
      </c>
    </row>
    <row r="3759" spans="1:30" ht="16.5" customHeight="1">
      <c r="A3759" s="309" t="str">
        <f>IF(B3759&lt;&gt;"",IF(AND(B3759='IN-TC'!$S$4,OR(TH!N3757="1111",TH!O3757="1111")),TH!D3757,""),"")</f>
        <v/>
      </c>
      <c r="B3759" s="1169">
        <f t="shared" si="1302"/>
        <v>3</v>
      </c>
      <c r="C3759" s="292">
        <f t="shared" si="1301"/>
        <v>42808</v>
      </c>
      <c r="D3759" s="59" t="s">
        <v>902</v>
      </c>
      <c r="E3759" s="59">
        <v>42808</v>
      </c>
      <c r="F3759" s="1127" t="s">
        <v>930</v>
      </c>
      <c r="G3759" s="62" t="s">
        <v>585</v>
      </c>
      <c r="H3759" s="311" t="s">
        <v>622</v>
      </c>
      <c r="I3759" s="373"/>
      <c r="J3759" s="379"/>
      <c r="K3759" s="373"/>
      <c r="L3759" s="379"/>
      <c r="M3759" s="60">
        <v>150000000</v>
      </c>
      <c r="N3759" s="61" t="s">
        <v>8</v>
      </c>
      <c r="O3759" s="61" t="s">
        <v>26</v>
      </c>
      <c r="P3759" s="75" t="str">
        <f>IF(AND('331-CT'!$E$7=TH!H4683,OR(N3759="331",O3759="331")),"x","")</f>
        <v/>
      </c>
      <c r="Q3759" s="75" t="str">
        <f>IF(AND(B3759='111'!$L$11,OR($N3759=$Q$7,$O3759=$Q$7)),"x","")</f>
        <v/>
      </c>
      <c r="R3759" s="75" t="str">
        <f>IF(AND($N3759=$Q$7,$B3759&lt;'111'!$L$11),"x","")</f>
        <v/>
      </c>
      <c r="S3759" s="75" t="str">
        <f>IF(AND($O3759=$Q$7,$B3759&lt;'111'!$L$11),"x","")</f>
        <v/>
      </c>
      <c r="T3759" s="75" t="str">
        <f>IF(ISERROR(FIND('112'!$M$9,G3759,1)),"",IF((AND(FIND('112'!$M$9,G3759,1)&gt;=1,B3759='112'!$K$9,OR($N3759='112'!$I$6,$O3759='112'!$I$6))),"x",""))</f>
        <v/>
      </c>
      <c r="U3759" s="75" t="str">
        <f>IF(ISERROR(FIND('112'!$M$9,G3759,1)),"",IF((AND(LEFT(G3759,2)=LEFT('112'!$M$9,2),B3759&lt;'112'!$K$9,$N3759='112'!$I$6)),"x",""))</f>
        <v/>
      </c>
      <c r="V3759" s="75" t="str">
        <f>IF(ISERROR(FIND('112'!$M$9,G3759,1)),"",IF((AND(RIGHT(G3759,2)=RIGHT('112'!$M$9,2),B3759&lt;'112'!$K$9,$O3759='112'!$I$6)),"x",""))</f>
        <v/>
      </c>
      <c r="W3759" s="75" t="str">
        <f>IF(AND('341-CT'!$H$9=H3759,OR(LEFT(N3759,3)=$W$7,LEFT(O3759,3)=$W$7)),"x","")</f>
        <v/>
      </c>
      <c r="X3759" s="75" t="str">
        <f>IF(OR(TH!N4683=TH!$X$7,O3759=TH!$X$7),"x","")</f>
        <v/>
      </c>
      <c r="Y3759" s="75" t="str">
        <f>IF(AND(OR(N3759="131",O3759="131"),H3759='131-CT'!$H$9),"x","")</f>
        <v/>
      </c>
      <c r="Z3759" s="75"/>
      <c r="AA3759" s="75" t="str">
        <f>IF(AND(MONTH(E3759)='IN-NX'!$J$5,'IN-NX'!$D$7=D3759),"x","")</f>
        <v/>
      </c>
      <c r="AB3759" s="75" t="str">
        <f>IF(AND(OR(LEFT(TH!N4683,2)="15",LEFT(TH!O4683,2)="15"),LEFT(TH!O4683,3)&lt;&gt;"111",'152-CT'!$J$8=TH!F4683),"x","")</f>
        <v/>
      </c>
      <c r="AC3759" s="75" t="str">
        <f>IF(AND(OR(LEFT(TH!N4683,2)="15",LEFT(TH!O4683,2)="15"),TK!$E$7=TH!F4683),"x","")</f>
        <v/>
      </c>
      <c r="AD3759" s="75" t="str">
        <f>IF(AND(N3759="1521",MONTH(C3759)='BK-NL'!$M$11),"x","")</f>
        <v/>
      </c>
    </row>
    <row r="3760" spans="1:30" ht="16.5" customHeight="1">
      <c r="A3760" s="309" t="str">
        <f>IF(B3760&lt;&gt;"",IF(AND(B3760='IN-TC'!$S$4,OR(TH!N3758="1111",TH!O3758="1111")),TH!D3758,""),"")</f>
        <v/>
      </c>
      <c r="B3760" s="1169">
        <f t="shared" si="1302"/>
        <v>3</v>
      </c>
      <c r="C3760" s="292">
        <f t="shared" si="1301"/>
        <v>42808</v>
      </c>
      <c r="D3760" s="59" t="s">
        <v>902</v>
      </c>
      <c r="E3760" s="59">
        <v>42808</v>
      </c>
      <c r="F3760" s="1127" t="s">
        <v>870</v>
      </c>
      <c r="G3760" s="62" t="s">
        <v>585</v>
      </c>
      <c r="H3760" s="311" t="s">
        <v>845</v>
      </c>
      <c r="I3760" s="373"/>
      <c r="J3760" s="379"/>
      <c r="K3760" s="373"/>
      <c r="L3760" s="379"/>
      <c r="M3760" s="60">
        <v>45000</v>
      </c>
      <c r="N3760" s="61" t="s">
        <v>101</v>
      </c>
      <c r="O3760" s="61" t="s">
        <v>26</v>
      </c>
      <c r="P3760" s="75" t="str">
        <f>IF(AND('331-CT'!$E$7=TH!H4684,OR(N3760="331",O3760="331")),"x","")</f>
        <v/>
      </c>
      <c r="Q3760" s="75" t="str">
        <f>IF(AND(B3760='111'!$L$11,OR($N3760=$Q$7,$O3760=$Q$7)),"x","")</f>
        <v/>
      </c>
      <c r="R3760" s="75" t="str">
        <f>IF(AND($N3760=$Q$7,$B3760&lt;'111'!$L$11),"x","")</f>
        <v/>
      </c>
      <c r="S3760" s="75" t="str">
        <f>IF(AND($O3760=$Q$7,$B3760&lt;'111'!$L$11),"x","")</f>
        <v/>
      </c>
      <c r="T3760" s="75" t="str">
        <f>IF(ISERROR(FIND('112'!$M$9,G3760,1)),"",IF((AND(FIND('112'!$M$9,G3760,1)&gt;=1,B3760='112'!$K$9,OR($N3760='112'!$I$6,$O3760='112'!$I$6))),"x",""))</f>
        <v/>
      </c>
      <c r="U3760" s="75" t="str">
        <f>IF(ISERROR(FIND('112'!$M$9,G3760,1)),"",IF((AND(LEFT(G3760,2)=LEFT('112'!$M$9,2),B3760&lt;'112'!$K$9,$N3760='112'!$I$6)),"x",""))</f>
        <v/>
      </c>
      <c r="V3760" s="75" t="str">
        <f>IF(ISERROR(FIND('112'!$M$9,G3760,1)),"",IF((AND(RIGHT(G3760,2)=RIGHT('112'!$M$9,2),B3760&lt;'112'!$K$9,$O3760='112'!$I$6)),"x",""))</f>
        <v/>
      </c>
      <c r="W3760" s="75" t="str">
        <f>IF(AND('341-CT'!$H$9=H3760,OR(LEFT(N3760,3)=$W$7,LEFT(O3760,3)=$W$7)),"x","")</f>
        <v/>
      </c>
      <c r="X3760" s="75" t="str">
        <f>IF(OR(TH!N4684=TH!$X$7,O3760=TH!$X$7),"x","")</f>
        <v/>
      </c>
      <c r="Y3760" s="75" t="str">
        <f>IF(AND(OR(N3760="131",O3760="131"),H3760='131-CT'!$H$9),"x","")</f>
        <v/>
      </c>
      <c r="Z3760" s="75"/>
      <c r="AA3760" s="75" t="str">
        <f>IF(AND(MONTH(E3760)='IN-NX'!$J$5,'IN-NX'!$D$7=D3760),"x","")</f>
        <v/>
      </c>
      <c r="AB3760" s="75" t="str">
        <f>IF(AND(OR(LEFT(TH!N4684,2)="15",LEFT(TH!O4684,2)="15"),LEFT(TH!O4684,3)&lt;&gt;"111",'152-CT'!$J$8=TH!F4684),"x","")</f>
        <v/>
      </c>
      <c r="AC3760" s="75" t="str">
        <f>IF(AND(OR(LEFT(TH!N4684,2)="15",LEFT(TH!O4684,2)="15"),TK!$E$7=TH!F4684),"x","")</f>
        <v/>
      </c>
      <c r="AD3760" s="75" t="str">
        <f>IF(AND(N3760="1521",MONTH(C3760)='BK-NL'!$M$11),"x","")</f>
        <v/>
      </c>
    </row>
    <row r="3761" spans="1:30" ht="16.5" customHeight="1">
      <c r="A3761" s="309" t="str">
        <f>IF(B3761&lt;&gt;"",IF(AND(B3761='IN-TC'!$S$4,OR(TH!N3759="1111",TH!O3759="1111")),TH!D3759,""),"")</f>
        <v/>
      </c>
      <c r="B3761" s="1169">
        <f t="shared" si="1302"/>
        <v>3</v>
      </c>
      <c r="C3761" s="292">
        <f t="shared" si="1301"/>
        <v>42808</v>
      </c>
      <c r="D3761" s="59" t="s">
        <v>902</v>
      </c>
      <c r="E3761" s="59">
        <v>42808</v>
      </c>
      <c r="F3761" s="1127" t="s">
        <v>898</v>
      </c>
      <c r="G3761" s="62" t="s">
        <v>585</v>
      </c>
      <c r="H3761" s="311" t="s">
        <v>845</v>
      </c>
      <c r="I3761" s="373"/>
      <c r="J3761" s="379"/>
      <c r="K3761" s="373"/>
      <c r="L3761" s="379"/>
      <c r="M3761" s="60">
        <v>4500</v>
      </c>
      <c r="N3761" s="61" t="s">
        <v>9</v>
      </c>
      <c r="O3761" s="61" t="s">
        <v>26</v>
      </c>
      <c r="P3761" s="75" t="str">
        <f>IF(AND('331-CT'!$E$7=TH!H4685,OR(N3761="331",O3761="331")),"x","")</f>
        <v/>
      </c>
      <c r="Q3761" s="75" t="str">
        <f>IF(AND(B3761='111'!$L$11,OR($N3761=$Q$7,$O3761=$Q$7)),"x","")</f>
        <v/>
      </c>
      <c r="R3761" s="75" t="str">
        <f>IF(AND($N3761=$Q$7,$B3761&lt;'111'!$L$11),"x","")</f>
        <v/>
      </c>
      <c r="S3761" s="75" t="str">
        <f>IF(AND($O3761=$Q$7,$B3761&lt;'111'!$L$11),"x","")</f>
        <v/>
      </c>
      <c r="T3761" s="75" t="str">
        <f>IF(ISERROR(FIND('112'!$M$9,G3761,1)),"",IF((AND(FIND('112'!$M$9,G3761,1)&gt;=1,B3761='112'!$K$9,OR($N3761='112'!$I$6,$O3761='112'!$I$6))),"x",""))</f>
        <v/>
      </c>
      <c r="U3761" s="75" t="str">
        <f>IF(ISERROR(FIND('112'!$M$9,G3761,1)),"",IF((AND(LEFT(G3761,2)=LEFT('112'!$M$9,2),B3761&lt;'112'!$K$9,$N3761='112'!$I$6)),"x",""))</f>
        <v/>
      </c>
      <c r="V3761" s="75" t="str">
        <f>IF(ISERROR(FIND('112'!$M$9,G3761,1)),"",IF((AND(RIGHT(G3761,2)=RIGHT('112'!$M$9,2),B3761&lt;'112'!$K$9,$O3761='112'!$I$6)),"x",""))</f>
        <v/>
      </c>
      <c r="W3761" s="75" t="str">
        <f>IF(AND('341-CT'!$H$9=H3761,OR(LEFT(N3761,3)=$W$7,LEFT(O3761,3)=$W$7)),"x","")</f>
        <v/>
      </c>
      <c r="X3761" s="75" t="str">
        <f>IF(OR(TH!N4685=TH!$X$7,O3761=TH!$X$7),"x","")</f>
        <v/>
      </c>
      <c r="Y3761" s="75" t="str">
        <f>IF(AND(OR(N3761="131",O3761="131"),H3761='131-CT'!$H$9),"x","")</f>
        <v/>
      </c>
      <c r="Z3761" s="75"/>
      <c r="AA3761" s="75" t="str">
        <f>IF(AND(MONTH(E3761)='IN-NX'!$J$5,'IN-NX'!$D$7=D3761),"x","")</f>
        <v/>
      </c>
      <c r="AB3761" s="75" t="str">
        <f>IF(AND(OR(LEFT(TH!N4685,2)="15",LEFT(TH!O4685,2)="15"),LEFT(TH!O4685,3)&lt;&gt;"111",'152-CT'!$J$8=TH!F4685),"x","")</f>
        <v/>
      </c>
      <c r="AC3761" s="75" t="str">
        <f>IF(AND(OR(LEFT(TH!N4685,2)="15",LEFT(TH!O4685,2)="15"),TK!$E$7=TH!F4685),"x","")</f>
        <v/>
      </c>
      <c r="AD3761" s="75" t="str">
        <f>IF(AND(N3761="1521",MONTH(C3761)='BK-NL'!$M$11),"x","")</f>
        <v/>
      </c>
    </row>
    <row r="3762" spans="1:30" ht="16.5" customHeight="1">
      <c r="A3762" s="309" t="str">
        <f>IF(B3762&lt;&gt;"",IF(AND(B3762='IN-TC'!$S$4,OR(TH!N3760="1111",TH!O3760="1111")),TH!D3760,""),"")</f>
        <v/>
      </c>
      <c r="B3762" s="1169">
        <f t="shared" si="1302"/>
        <v>3</v>
      </c>
      <c r="C3762" s="292">
        <f t="shared" si="1301"/>
        <v>42808</v>
      </c>
      <c r="D3762" s="59" t="s">
        <v>902</v>
      </c>
      <c r="E3762" s="59">
        <v>42808</v>
      </c>
      <c r="F3762" s="67" t="s">
        <v>899</v>
      </c>
      <c r="G3762" s="62" t="s">
        <v>585</v>
      </c>
      <c r="H3762" s="311" t="s">
        <v>740</v>
      </c>
      <c r="I3762" s="373"/>
      <c r="J3762" s="379"/>
      <c r="K3762" s="373"/>
      <c r="L3762" s="379"/>
      <c r="M3762" s="60">
        <v>40000000</v>
      </c>
      <c r="N3762" s="61" t="s">
        <v>8</v>
      </c>
      <c r="O3762" s="61" t="s">
        <v>26</v>
      </c>
      <c r="P3762" s="75" t="str">
        <f>IF(AND('331-CT'!$E$7=TH!H4687,OR(N3762="331",O3762="331")),"x","")</f>
        <v/>
      </c>
      <c r="Q3762" s="75" t="str">
        <f>IF(AND(B3762='111'!$L$11,OR($N3762=$Q$7,$O3762=$Q$7)),"x","")</f>
        <v/>
      </c>
      <c r="R3762" s="75" t="str">
        <f>IF(AND($N3762=$Q$7,$B3762&lt;'111'!$L$11),"x","")</f>
        <v/>
      </c>
      <c r="S3762" s="75" t="str">
        <f>IF(AND($O3762=$Q$7,$B3762&lt;'111'!$L$11),"x","")</f>
        <v/>
      </c>
      <c r="T3762" s="75" t="str">
        <f>IF(ISERROR(FIND('112'!$M$9,G3762,1)),"",IF((AND(FIND('112'!$M$9,G3762,1)&gt;=1,B3762='112'!$K$9,OR($N3762='112'!$I$6,$O3762='112'!$I$6))),"x",""))</f>
        <v/>
      </c>
      <c r="U3762" s="75" t="str">
        <f>IF(ISERROR(FIND('112'!$M$9,G3762,1)),"",IF((AND(LEFT(G3762,2)=LEFT('112'!$M$9,2),B3762&lt;'112'!$K$9,$N3762='112'!$I$6)),"x",""))</f>
        <v/>
      </c>
      <c r="V3762" s="75" t="str">
        <f>IF(ISERROR(FIND('112'!$M$9,G3762,1)),"",IF((AND(RIGHT(G3762,2)=RIGHT('112'!$M$9,2),B3762&lt;'112'!$K$9,$O3762='112'!$I$6)),"x",""))</f>
        <v/>
      </c>
      <c r="W3762" s="75" t="str">
        <f>IF(AND('341-CT'!$H$9=H3762,OR(LEFT(N3762,3)=$W$7,LEFT(O3762,3)=$W$7)),"x","")</f>
        <v/>
      </c>
      <c r="X3762" s="75" t="str">
        <f>IF(OR(TH!N4687=TH!$X$7,O3762=TH!$X$7),"x","")</f>
        <v/>
      </c>
      <c r="Y3762" s="75" t="str">
        <f>IF(AND(OR(N3762="131",O3762="131"),H3762='131-CT'!$H$9),"x","")</f>
        <v/>
      </c>
      <c r="Z3762" s="75"/>
      <c r="AA3762" s="75" t="str">
        <f>IF(AND(MONTH(E3762)='IN-NX'!$J$5,'IN-NX'!$D$7=D3762),"x","")</f>
        <v/>
      </c>
      <c r="AB3762" s="75" t="str">
        <f>IF(AND(OR(LEFT(TH!N4687,2)="15",LEFT(TH!O4687,2)="15"),LEFT(TH!O4687,3)&lt;&gt;"111",'152-CT'!$J$8=TH!F4687),"x","")</f>
        <v/>
      </c>
      <c r="AC3762" s="75" t="str">
        <f>IF(AND(OR(LEFT(TH!N4687,2)="15",LEFT(TH!O4687,2)="15"),TK!$E$7=TH!F4687),"x","")</f>
        <v/>
      </c>
      <c r="AD3762" s="75" t="str">
        <f>IF(AND(N3762="1521",MONTH(C3762)='BK-NL'!$M$11),"x","")</f>
        <v/>
      </c>
    </row>
    <row r="3763" spans="1:30" ht="16.5" customHeight="1">
      <c r="A3763" s="309" t="str">
        <f>IF(B3763&lt;&gt;"",IF(AND(B3763='IN-TC'!$S$4,OR(TH!N3761="1111",TH!O3761="1111")),TH!D3761,""),"")</f>
        <v/>
      </c>
      <c r="B3763" s="1169">
        <f t="shared" si="1302"/>
        <v>3</v>
      </c>
      <c r="C3763" s="292">
        <f t="shared" ref="C3763:C3826" si="1303">E3763</f>
        <v>42808</v>
      </c>
      <c r="D3763" s="59" t="s">
        <v>902</v>
      </c>
      <c r="E3763" s="59">
        <v>42808</v>
      </c>
      <c r="F3763" s="67" t="s">
        <v>870</v>
      </c>
      <c r="G3763" s="62" t="s">
        <v>585</v>
      </c>
      <c r="H3763" s="311" t="s">
        <v>845</v>
      </c>
      <c r="I3763" s="373"/>
      <c r="J3763" s="379"/>
      <c r="K3763" s="373"/>
      <c r="L3763" s="379"/>
      <c r="M3763" s="60">
        <v>20000</v>
      </c>
      <c r="N3763" s="61" t="s">
        <v>101</v>
      </c>
      <c r="O3763" s="61" t="s">
        <v>26</v>
      </c>
      <c r="P3763" s="75" t="str">
        <f>IF(AND('331-CT'!$E$7=TH!H4688,OR(N3763="331",O3763="331")),"x","")</f>
        <v/>
      </c>
      <c r="Q3763" s="75" t="str">
        <f>IF(AND(B3763='111'!$L$11,OR($N3763=$Q$7,$O3763=$Q$7)),"x","")</f>
        <v/>
      </c>
      <c r="R3763" s="75" t="str">
        <f>IF(AND($N3763=$Q$7,$B3763&lt;'111'!$L$11),"x","")</f>
        <v/>
      </c>
      <c r="S3763" s="75" t="str">
        <f>IF(AND($O3763=$Q$7,$B3763&lt;'111'!$L$11),"x","")</f>
        <v/>
      </c>
      <c r="T3763" s="75" t="str">
        <f>IF(ISERROR(FIND('112'!$M$9,G3763,1)),"",IF((AND(FIND('112'!$M$9,G3763,1)&gt;=1,B3763='112'!$K$9,OR($N3763='112'!$I$6,$O3763='112'!$I$6))),"x",""))</f>
        <v/>
      </c>
      <c r="U3763" s="75" t="str">
        <f>IF(ISERROR(FIND('112'!$M$9,G3763,1)),"",IF((AND(LEFT(G3763,2)=LEFT('112'!$M$9,2),B3763&lt;'112'!$K$9,$N3763='112'!$I$6)),"x",""))</f>
        <v/>
      </c>
      <c r="V3763" s="75" t="str">
        <f>IF(ISERROR(FIND('112'!$M$9,G3763,1)),"",IF((AND(RIGHT(G3763,2)=RIGHT('112'!$M$9,2),B3763&lt;'112'!$K$9,$O3763='112'!$I$6)),"x",""))</f>
        <v/>
      </c>
      <c r="W3763" s="75" t="str">
        <f>IF(AND('341-CT'!$H$9=H3763,OR(LEFT(N3763,3)=$W$7,LEFT(O3763,3)=$W$7)),"x","")</f>
        <v/>
      </c>
      <c r="X3763" s="75" t="str">
        <f>IF(OR(TH!N4688=TH!$X$7,O3763=TH!$X$7),"x","")</f>
        <v/>
      </c>
      <c r="Y3763" s="75" t="str">
        <f>IF(AND(OR(N3763="131",O3763="131"),H3763='131-CT'!$H$9),"x","")</f>
        <v/>
      </c>
      <c r="Z3763" s="75"/>
      <c r="AA3763" s="75" t="str">
        <f>IF(AND(MONTH(E3763)='IN-NX'!$J$5,'IN-NX'!$D$7=D3763),"x","")</f>
        <v/>
      </c>
      <c r="AB3763" s="75" t="str">
        <f>IF(AND(OR(LEFT(TH!N4688,2)="15",LEFT(TH!O4688,2)="15"),LEFT(TH!O4688,3)&lt;&gt;"111",'152-CT'!$J$8=TH!F4688),"x","")</f>
        <v/>
      </c>
      <c r="AC3763" s="75" t="str">
        <f>IF(AND(OR(LEFT(TH!N4688,2)="15",LEFT(TH!O4688,2)="15"),TK!$E$7=TH!F4688),"x","")</f>
        <v/>
      </c>
      <c r="AD3763" s="75" t="str">
        <f>IF(AND(N3763="1521",MONTH(C3763)='BK-NL'!$M$11),"x","")</f>
        <v/>
      </c>
    </row>
    <row r="3764" spans="1:30" ht="16.5" customHeight="1">
      <c r="A3764" s="309" t="str">
        <f>IF(B3764&lt;&gt;"",IF(AND(B3764='IN-TC'!$S$4,OR(TH!N3762="1111",TH!O3762="1111")),TH!D3762,""),"")</f>
        <v/>
      </c>
      <c r="B3764" s="1169">
        <f t="shared" si="1302"/>
        <v>3</v>
      </c>
      <c r="C3764" s="292">
        <f t="shared" si="1303"/>
        <v>42808</v>
      </c>
      <c r="D3764" s="59" t="s">
        <v>902</v>
      </c>
      <c r="E3764" s="59">
        <v>42808</v>
      </c>
      <c r="F3764" s="67" t="s">
        <v>898</v>
      </c>
      <c r="G3764" s="62" t="s">
        <v>585</v>
      </c>
      <c r="H3764" s="311" t="s">
        <v>845</v>
      </c>
      <c r="I3764" s="373"/>
      <c r="J3764" s="379"/>
      <c r="K3764" s="373"/>
      <c r="L3764" s="379"/>
      <c r="M3764" s="60">
        <v>2000</v>
      </c>
      <c r="N3764" s="61" t="s">
        <v>9</v>
      </c>
      <c r="O3764" s="61" t="s">
        <v>26</v>
      </c>
      <c r="P3764" s="75" t="str">
        <f>IF(AND('331-CT'!$E$7=TH!H4689,OR(N3764="331",O3764="331")),"x","")</f>
        <v/>
      </c>
      <c r="Q3764" s="75" t="str">
        <f>IF(AND(B3764='111'!$L$11,OR($N3764=$Q$7,$O3764=$Q$7)),"x","")</f>
        <v/>
      </c>
      <c r="R3764" s="75" t="str">
        <f>IF(AND($N3764=$Q$7,$B3764&lt;'111'!$L$11),"x","")</f>
        <v/>
      </c>
      <c r="S3764" s="75" t="str">
        <f>IF(AND($O3764=$Q$7,$B3764&lt;'111'!$L$11),"x","")</f>
        <v/>
      </c>
      <c r="T3764" s="75" t="str">
        <f>IF(ISERROR(FIND('112'!$M$9,G3764,1)),"",IF((AND(FIND('112'!$M$9,G3764,1)&gt;=1,B3764='112'!$K$9,OR($N3764='112'!$I$6,$O3764='112'!$I$6))),"x",""))</f>
        <v/>
      </c>
      <c r="U3764" s="75" t="str">
        <f>IF(ISERROR(FIND('112'!$M$9,G3764,1)),"",IF((AND(LEFT(G3764,2)=LEFT('112'!$M$9,2),B3764&lt;'112'!$K$9,$N3764='112'!$I$6)),"x",""))</f>
        <v/>
      </c>
      <c r="V3764" s="75" t="str">
        <f>IF(ISERROR(FIND('112'!$M$9,G3764,1)),"",IF((AND(RIGHT(G3764,2)=RIGHT('112'!$M$9,2),B3764&lt;'112'!$K$9,$O3764='112'!$I$6)),"x",""))</f>
        <v/>
      </c>
      <c r="W3764" s="75" t="str">
        <f>IF(AND('341-CT'!$H$9=H3764,OR(LEFT(N3764,3)=$W$7,LEFT(O3764,3)=$W$7)),"x","")</f>
        <v/>
      </c>
      <c r="X3764" s="75" t="str">
        <f>IF(OR(TH!N4689=TH!$X$7,O3764=TH!$X$7),"x","")</f>
        <v/>
      </c>
      <c r="Y3764" s="75" t="str">
        <f>IF(AND(OR(N3764="131",O3764="131"),H3764='131-CT'!$H$9),"x","")</f>
        <v/>
      </c>
      <c r="Z3764" s="75"/>
      <c r="AA3764" s="75" t="str">
        <f>IF(AND(MONTH(E3764)='IN-NX'!$J$5,'IN-NX'!$D$7=D3764),"x","")</f>
        <v/>
      </c>
      <c r="AB3764" s="75" t="str">
        <f>IF(AND(OR(LEFT(TH!N4689,2)="15",LEFT(TH!O4689,2)="15"),LEFT(TH!O4689,3)&lt;&gt;"111",'152-CT'!$J$8=TH!F4689),"x","")</f>
        <v/>
      </c>
      <c r="AC3764" s="75" t="str">
        <f>IF(AND(OR(LEFT(TH!N4689,2)="15",LEFT(TH!O4689,2)="15"),TK!$E$7=TH!F4689),"x","")</f>
        <v/>
      </c>
      <c r="AD3764" s="75" t="str">
        <f>IF(AND(N3764="1521",MONTH(C3764)='BK-NL'!$M$11),"x","")</f>
        <v/>
      </c>
    </row>
    <row r="3765" spans="1:30" ht="16.5" customHeight="1">
      <c r="A3765" s="309" t="str">
        <f>IF(B3765&lt;&gt;"",IF(AND(B3765='IN-TC'!$S$4,OR(TH!N3763="1111",TH!O3763="1111")),TH!D3763,""),"")</f>
        <v/>
      </c>
      <c r="B3765" s="1169">
        <f t="shared" si="1302"/>
        <v>3</v>
      </c>
      <c r="C3765" s="292">
        <f t="shared" si="1303"/>
        <v>42808</v>
      </c>
      <c r="D3765" s="59" t="s">
        <v>902</v>
      </c>
      <c r="E3765" s="59">
        <v>42808</v>
      </c>
      <c r="F3765" s="67" t="s">
        <v>1209</v>
      </c>
      <c r="G3765" s="62" t="s">
        <v>585</v>
      </c>
      <c r="H3765" s="311" t="s">
        <v>798</v>
      </c>
      <c r="I3765" s="373"/>
      <c r="J3765" s="379"/>
      <c r="K3765" s="373"/>
      <c r="L3765" s="379"/>
      <c r="M3765" s="60">
        <v>21000000</v>
      </c>
      <c r="N3765" s="61" t="s">
        <v>8</v>
      </c>
      <c r="O3765" s="61" t="s">
        <v>26</v>
      </c>
      <c r="P3765" s="75" t="str">
        <f>IF(AND('331-CT'!$E$7=TH!H4690,OR(N3765="331",O3765="331")),"x","")</f>
        <v/>
      </c>
      <c r="Q3765" s="75" t="str">
        <f>IF(AND(B3765='111'!$L$11,OR($N3765=$Q$7,$O3765=$Q$7)),"x","")</f>
        <v/>
      </c>
      <c r="R3765" s="75" t="str">
        <f>IF(AND($N3765=$Q$7,$B3765&lt;'111'!$L$11),"x","")</f>
        <v/>
      </c>
      <c r="S3765" s="75" t="str">
        <f>IF(AND($O3765=$Q$7,$B3765&lt;'111'!$L$11),"x","")</f>
        <v/>
      </c>
      <c r="T3765" s="75" t="str">
        <f>IF(ISERROR(FIND('112'!$M$9,G3765,1)),"",IF((AND(FIND('112'!$M$9,G3765,1)&gt;=1,B3765='112'!$K$9,OR($N3765='112'!$I$6,$O3765='112'!$I$6))),"x",""))</f>
        <v/>
      </c>
      <c r="U3765" s="75" t="str">
        <f>IF(ISERROR(FIND('112'!$M$9,G3765,1)),"",IF((AND(LEFT(G3765,2)=LEFT('112'!$M$9,2),B3765&lt;'112'!$K$9,$N3765='112'!$I$6)),"x",""))</f>
        <v/>
      </c>
      <c r="V3765" s="75" t="str">
        <f>IF(ISERROR(FIND('112'!$M$9,G3765,1)),"",IF((AND(RIGHT(G3765,2)=RIGHT('112'!$M$9,2),B3765&lt;'112'!$K$9,$O3765='112'!$I$6)),"x",""))</f>
        <v/>
      </c>
      <c r="W3765" s="75" t="str">
        <f>IF(AND('341-CT'!$H$9=H3765,OR(LEFT(N3765,3)=$W$7,LEFT(O3765,3)=$W$7)),"x","")</f>
        <v/>
      </c>
      <c r="X3765" s="75" t="str">
        <f>IF(OR(TH!N4690=TH!$X$7,O3765=TH!$X$7),"x","")</f>
        <v/>
      </c>
      <c r="Y3765" s="75" t="str">
        <f>IF(AND(OR(N3765="131",O3765="131"),H3765='131-CT'!$H$9),"x","")</f>
        <v/>
      </c>
      <c r="Z3765" s="75"/>
      <c r="AA3765" s="75" t="str">
        <f>IF(AND(MONTH(E3765)='IN-NX'!$J$5,'IN-NX'!$D$7=D3765),"x","")</f>
        <v/>
      </c>
      <c r="AB3765" s="75" t="str">
        <f>IF(AND(OR(LEFT(TH!N4690,2)="15",LEFT(TH!O4690,2)="15"),LEFT(TH!O4690,3)&lt;&gt;"111",'152-CT'!$J$8=TH!F4690),"x","")</f>
        <v/>
      </c>
      <c r="AC3765" s="75" t="str">
        <f>IF(AND(OR(LEFT(TH!N4690,2)="15",LEFT(TH!O4690,2)="15"),TK!$E$7=TH!F4690),"x","")</f>
        <v/>
      </c>
      <c r="AD3765" s="75" t="str">
        <f>IF(AND(N3765="1521",MONTH(C3765)='BK-NL'!$M$11),"x","")</f>
        <v/>
      </c>
    </row>
    <row r="3766" spans="1:30" ht="16.5" customHeight="1">
      <c r="A3766" s="309" t="str">
        <f>IF(B3766&lt;&gt;"",IF(AND(B3766='IN-TC'!$S$4,OR(TH!N3764="1111",TH!O3764="1111")),TH!D3764,""),"")</f>
        <v/>
      </c>
      <c r="B3766" s="1169">
        <f t="shared" si="1302"/>
        <v>3</v>
      </c>
      <c r="C3766" s="292">
        <f t="shared" si="1303"/>
        <v>42808</v>
      </c>
      <c r="D3766" s="59" t="s">
        <v>902</v>
      </c>
      <c r="E3766" s="59">
        <v>42808</v>
      </c>
      <c r="F3766" s="67" t="s">
        <v>870</v>
      </c>
      <c r="G3766" s="62" t="s">
        <v>585</v>
      </c>
      <c r="H3766" s="311" t="s">
        <v>845</v>
      </c>
      <c r="I3766" s="373"/>
      <c r="J3766" s="379"/>
      <c r="K3766" s="373"/>
      <c r="L3766" s="379"/>
      <c r="M3766" s="60">
        <v>20000</v>
      </c>
      <c r="N3766" s="61" t="s">
        <v>101</v>
      </c>
      <c r="O3766" s="61" t="s">
        <v>26</v>
      </c>
      <c r="P3766" s="75" t="str">
        <f>IF(AND('331-CT'!$E$7=TH!H4691,OR(N3766="331",O3766="331")),"x","")</f>
        <v/>
      </c>
      <c r="Q3766" s="75" t="str">
        <f>IF(AND(B3766='111'!$L$11,OR($N3766=$Q$7,$O3766=$Q$7)),"x","")</f>
        <v/>
      </c>
      <c r="R3766" s="75" t="str">
        <f>IF(AND($N3766=$Q$7,$B3766&lt;'111'!$L$11),"x","")</f>
        <v/>
      </c>
      <c r="S3766" s="75" t="str">
        <f>IF(AND($O3766=$Q$7,$B3766&lt;'111'!$L$11),"x","")</f>
        <v/>
      </c>
      <c r="T3766" s="75" t="str">
        <f>IF(ISERROR(FIND('112'!$M$9,G3766,1)),"",IF((AND(FIND('112'!$M$9,G3766,1)&gt;=1,B3766='112'!$K$9,OR($N3766='112'!$I$6,$O3766='112'!$I$6))),"x",""))</f>
        <v/>
      </c>
      <c r="U3766" s="75" t="str">
        <f>IF(ISERROR(FIND('112'!$M$9,G3766,1)),"",IF((AND(LEFT(G3766,2)=LEFT('112'!$M$9,2),B3766&lt;'112'!$K$9,$N3766='112'!$I$6)),"x",""))</f>
        <v/>
      </c>
      <c r="V3766" s="75" t="str">
        <f>IF(ISERROR(FIND('112'!$M$9,G3766,1)),"",IF((AND(RIGHT(G3766,2)=RIGHT('112'!$M$9,2),B3766&lt;'112'!$K$9,$O3766='112'!$I$6)),"x",""))</f>
        <v/>
      </c>
      <c r="W3766" s="75" t="str">
        <f>IF(AND('341-CT'!$H$9=H3766,OR(LEFT(N3766,3)=$W$7,LEFT(O3766,3)=$W$7)),"x","")</f>
        <v/>
      </c>
      <c r="X3766" s="75" t="str">
        <f>IF(OR(TH!N4691=TH!$X$7,O3766=TH!$X$7),"x","")</f>
        <v/>
      </c>
      <c r="Y3766" s="75" t="str">
        <f>IF(AND(OR(N3766="131",O3766="131"),H3766='131-CT'!$H$9),"x","")</f>
        <v/>
      </c>
      <c r="Z3766" s="75"/>
      <c r="AA3766" s="75" t="str">
        <f>IF(AND(MONTH(E3766)='IN-NX'!$J$5,'IN-NX'!$D$7=D3766),"x","")</f>
        <v/>
      </c>
      <c r="AB3766" s="75" t="str">
        <f>IF(AND(OR(LEFT(TH!N4691,2)="15",LEFT(TH!O4691,2)="15"),LEFT(TH!O4691,3)&lt;&gt;"111",'152-CT'!$J$8=TH!F4691),"x","")</f>
        <v/>
      </c>
      <c r="AC3766" s="75" t="str">
        <f>IF(AND(OR(LEFT(TH!N4691,2)="15",LEFT(TH!O4691,2)="15"),TK!$E$7=TH!F4691),"x","")</f>
        <v/>
      </c>
      <c r="AD3766" s="75" t="str">
        <f>IF(AND(N3766="1521",MONTH(C3766)='BK-NL'!$M$11),"x","")</f>
        <v/>
      </c>
    </row>
    <row r="3767" spans="1:30" ht="16.5" customHeight="1">
      <c r="A3767" s="309" t="str">
        <f>IF(B3767&lt;&gt;"",IF(AND(B3767='IN-TC'!$S$4,OR(TH!N3765="1111",TH!O3765="1111")),TH!D3765,""),"")</f>
        <v/>
      </c>
      <c r="B3767" s="1169">
        <f t="shared" si="1302"/>
        <v>3</v>
      </c>
      <c r="C3767" s="292">
        <f t="shared" si="1303"/>
        <v>42808</v>
      </c>
      <c r="D3767" s="59" t="s">
        <v>902</v>
      </c>
      <c r="E3767" s="59">
        <v>42808</v>
      </c>
      <c r="F3767" s="67" t="s">
        <v>898</v>
      </c>
      <c r="G3767" s="62" t="s">
        <v>585</v>
      </c>
      <c r="H3767" s="311" t="s">
        <v>845</v>
      </c>
      <c r="I3767" s="373"/>
      <c r="J3767" s="379"/>
      <c r="K3767" s="373"/>
      <c r="L3767" s="379"/>
      <c r="M3767" s="60">
        <v>2000</v>
      </c>
      <c r="N3767" s="61" t="s">
        <v>9</v>
      </c>
      <c r="O3767" s="61" t="s">
        <v>26</v>
      </c>
      <c r="P3767" s="75" t="str">
        <f>IF(AND('331-CT'!$E$7=TH!H4692,OR(N3767="331",O3767="331")),"x","")</f>
        <v/>
      </c>
      <c r="Q3767" s="75" t="str">
        <f>IF(AND(B3767='111'!$L$11,OR($N3767=$Q$7,$O3767=$Q$7)),"x","")</f>
        <v/>
      </c>
      <c r="R3767" s="75" t="str">
        <f>IF(AND($N3767=$Q$7,$B3767&lt;'111'!$L$11),"x","")</f>
        <v/>
      </c>
      <c r="S3767" s="75" t="str">
        <f>IF(AND($O3767=$Q$7,$B3767&lt;'111'!$L$11),"x","")</f>
        <v/>
      </c>
      <c r="T3767" s="75" t="str">
        <f>IF(ISERROR(FIND('112'!$M$9,G3767,1)),"",IF((AND(FIND('112'!$M$9,G3767,1)&gt;=1,B3767='112'!$K$9,OR($N3767='112'!$I$6,$O3767='112'!$I$6))),"x",""))</f>
        <v/>
      </c>
      <c r="U3767" s="75" t="str">
        <f>IF(ISERROR(FIND('112'!$M$9,G3767,1)),"",IF((AND(LEFT(G3767,2)=LEFT('112'!$M$9,2),B3767&lt;'112'!$K$9,$N3767='112'!$I$6)),"x",""))</f>
        <v/>
      </c>
      <c r="V3767" s="75" t="str">
        <f>IF(ISERROR(FIND('112'!$M$9,G3767,1)),"",IF((AND(RIGHT(G3767,2)=RIGHT('112'!$M$9,2),B3767&lt;'112'!$K$9,$O3767='112'!$I$6)),"x",""))</f>
        <v/>
      </c>
      <c r="W3767" s="75" t="str">
        <f>IF(AND('341-CT'!$H$9=H3767,OR(LEFT(N3767,3)=$W$7,LEFT(O3767,3)=$W$7)),"x","")</f>
        <v/>
      </c>
      <c r="X3767" s="75" t="str">
        <f>IF(OR(TH!N4692=TH!$X$7,O3767=TH!$X$7),"x","")</f>
        <v/>
      </c>
      <c r="Y3767" s="75" t="str">
        <f>IF(AND(OR(N3767="131",O3767="131"),H3767='131-CT'!$H$9),"x","")</f>
        <v/>
      </c>
      <c r="Z3767" s="75"/>
      <c r="AA3767" s="75" t="str">
        <f>IF(AND(MONTH(E3767)='IN-NX'!$J$5,'IN-NX'!$D$7=D3767),"x","")</f>
        <v/>
      </c>
      <c r="AB3767" s="75" t="str">
        <f>IF(AND(OR(LEFT(TH!N4692,2)="15",LEFT(TH!O4692,2)="15"),LEFT(TH!O4692,3)&lt;&gt;"111",'152-CT'!$J$8=TH!F4692),"x","")</f>
        <v/>
      </c>
      <c r="AC3767" s="75" t="str">
        <f>IF(AND(OR(LEFT(TH!N4692,2)="15",LEFT(TH!O4692,2)="15"),TK!$E$7=TH!F4692),"x","")</f>
        <v/>
      </c>
      <c r="AD3767" s="75" t="str">
        <f>IF(AND(N3767="1521",MONTH(C3767)='BK-NL'!$M$11),"x","")</f>
        <v/>
      </c>
    </row>
    <row r="3768" spans="1:30" ht="16.5" customHeight="1">
      <c r="A3768" s="309" t="str">
        <f>IF(B3768&lt;&gt;"",IF(AND(B3768='IN-TC'!$S$4,OR(TH!N3766="1111",TH!O3766="1111")),TH!D3766,""),"")</f>
        <v/>
      </c>
      <c r="B3768" s="1169">
        <f t="shared" si="1302"/>
        <v>3</v>
      </c>
      <c r="C3768" s="292">
        <f t="shared" si="1303"/>
        <v>42808</v>
      </c>
      <c r="D3768" s="59" t="s">
        <v>902</v>
      </c>
      <c r="E3768" s="59">
        <v>42808</v>
      </c>
      <c r="F3768" s="67" t="s">
        <v>930</v>
      </c>
      <c r="G3768" s="62" t="s">
        <v>585</v>
      </c>
      <c r="H3768" s="311" t="s">
        <v>755</v>
      </c>
      <c r="I3768" s="373"/>
      <c r="J3768" s="379"/>
      <c r="K3768" s="373"/>
      <c r="L3768" s="379"/>
      <c r="M3768" s="60">
        <v>35661417</v>
      </c>
      <c r="N3768" s="61" t="s">
        <v>8</v>
      </c>
      <c r="O3768" s="61" t="s">
        <v>26</v>
      </c>
      <c r="P3768" s="75" t="str">
        <f>IF(AND('331-CT'!$E$7=TH!H4693,OR(N3768="331",O3768="331")),"x","")</f>
        <v/>
      </c>
      <c r="Q3768" s="75" t="str">
        <f>IF(AND(B3768='111'!$L$11,OR($N3768=$Q$7,$O3768=$Q$7)),"x","")</f>
        <v/>
      </c>
      <c r="R3768" s="75" t="str">
        <f>IF(AND($N3768=$Q$7,$B3768&lt;'111'!$L$11),"x","")</f>
        <v/>
      </c>
      <c r="S3768" s="75" t="str">
        <f>IF(AND($O3768=$Q$7,$B3768&lt;'111'!$L$11),"x","")</f>
        <v/>
      </c>
      <c r="T3768" s="75" t="str">
        <f>IF(ISERROR(FIND('112'!$M$9,G3768,1)),"",IF((AND(FIND('112'!$M$9,G3768,1)&gt;=1,B3768='112'!$K$9,OR($N3768='112'!$I$6,$O3768='112'!$I$6))),"x",""))</f>
        <v/>
      </c>
      <c r="U3768" s="75" t="str">
        <f>IF(ISERROR(FIND('112'!$M$9,G3768,1)),"",IF((AND(LEFT(G3768,2)=LEFT('112'!$M$9,2),B3768&lt;'112'!$K$9,$N3768='112'!$I$6)),"x",""))</f>
        <v/>
      </c>
      <c r="V3768" s="75" t="str">
        <f>IF(ISERROR(FIND('112'!$M$9,G3768,1)),"",IF((AND(RIGHT(G3768,2)=RIGHT('112'!$M$9,2),B3768&lt;'112'!$K$9,$O3768='112'!$I$6)),"x",""))</f>
        <v/>
      </c>
      <c r="W3768" s="75" t="str">
        <f>IF(AND('341-CT'!$H$9=H3768,OR(LEFT(N3768,3)=$W$7,LEFT(O3768,3)=$W$7)),"x","")</f>
        <v/>
      </c>
      <c r="X3768" s="75" t="str">
        <f>IF(OR(TH!N4693=TH!$X$7,O3768=TH!$X$7),"x","")</f>
        <v/>
      </c>
      <c r="Y3768" s="75" t="str">
        <f>IF(AND(OR(N3768="131",O3768="131"),H3768='131-CT'!$H$9),"x","")</f>
        <v/>
      </c>
      <c r="Z3768" s="75"/>
      <c r="AA3768" s="75" t="str">
        <f>IF(AND(MONTH(E3768)='IN-NX'!$J$5,'IN-NX'!$D$7=D3768),"x","")</f>
        <v/>
      </c>
      <c r="AB3768" s="75" t="str">
        <f>IF(AND(OR(LEFT(TH!N4693,2)="15",LEFT(TH!O4693,2)="15"),LEFT(TH!O4693,3)&lt;&gt;"111",'152-CT'!$J$8=TH!F4693),"x","")</f>
        <v/>
      </c>
      <c r="AC3768" s="75" t="str">
        <f>IF(AND(OR(LEFT(TH!N4693,2)="15",LEFT(TH!O4693,2)="15"),TK!$E$7=TH!F4693),"x","")</f>
        <v/>
      </c>
      <c r="AD3768" s="75" t="str">
        <f>IF(AND(N3768="1521",MONTH(C3768)='BK-NL'!$M$11),"x","")</f>
        <v/>
      </c>
    </row>
    <row r="3769" spans="1:30" ht="16.5" customHeight="1">
      <c r="A3769" s="309" t="str">
        <f>IF(B3769&lt;&gt;"",IF(AND(B3769='IN-TC'!$S$4,OR(TH!N3767="1111",TH!O3767="1111")),TH!D3767,""),"")</f>
        <v/>
      </c>
      <c r="B3769" s="1169">
        <f t="shared" si="1302"/>
        <v>3</v>
      </c>
      <c r="C3769" s="292">
        <f t="shared" si="1303"/>
        <v>42808</v>
      </c>
      <c r="D3769" s="59" t="s">
        <v>902</v>
      </c>
      <c r="E3769" s="59">
        <v>42808</v>
      </c>
      <c r="F3769" s="67" t="s">
        <v>870</v>
      </c>
      <c r="G3769" s="62" t="s">
        <v>585</v>
      </c>
      <c r="H3769" s="311" t="s">
        <v>845</v>
      </c>
      <c r="I3769" s="373"/>
      <c r="J3769" s="379"/>
      <c r="K3769" s="373"/>
      <c r="L3769" s="379"/>
      <c r="M3769" s="60">
        <v>20000</v>
      </c>
      <c r="N3769" s="61" t="s">
        <v>101</v>
      </c>
      <c r="O3769" s="61" t="s">
        <v>26</v>
      </c>
      <c r="P3769" s="75" t="str">
        <f>IF(AND('331-CT'!$E$7=TH!H4694,OR(N3769="331",O3769="331")),"x","")</f>
        <v/>
      </c>
      <c r="Q3769" s="75" t="str">
        <f>IF(AND(B3769='111'!$L$11,OR($N3769=$Q$7,$O3769=$Q$7)),"x","")</f>
        <v/>
      </c>
      <c r="R3769" s="75" t="str">
        <f>IF(AND($N3769=$Q$7,$B3769&lt;'111'!$L$11),"x","")</f>
        <v/>
      </c>
      <c r="S3769" s="75" t="str">
        <f>IF(AND($O3769=$Q$7,$B3769&lt;'111'!$L$11),"x","")</f>
        <v/>
      </c>
      <c r="T3769" s="75" t="str">
        <f>IF(ISERROR(FIND('112'!$M$9,G3769,1)),"",IF((AND(FIND('112'!$M$9,G3769,1)&gt;=1,B3769='112'!$K$9,OR($N3769='112'!$I$6,$O3769='112'!$I$6))),"x",""))</f>
        <v/>
      </c>
      <c r="U3769" s="75" t="str">
        <f>IF(ISERROR(FIND('112'!$M$9,G3769,1)),"",IF((AND(LEFT(G3769,2)=LEFT('112'!$M$9,2),B3769&lt;'112'!$K$9,$N3769='112'!$I$6)),"x",""))</f>
        <v/>
      </c>
      <c r="V3769" s="75" t="str">
        <f>IF(ISERROR(FIND('112'!$M$9,G3769,1)),"",IF((AND(RIGHT(G3769,2)=RIGHT('112'!$M$9,2),B3769&lt;'112'!$K$9,$O3769='112'!$I$6)),"x",""))</f>
        <v/>
      </c>
      <c r="W3769" s="75" t="str">
        <f>IF(AND('341-CT'!$H$9=H3769,OR(LEFT(N3769,3)=$W$7,LEFT(O3769,3)=$W$7)),"x","")</f>
        <v/>
      </c>
      <c r="X3769" s="75" t="str">
        <f>IF(OR(TH!N4694=TH!$X$7,O3769=TH!$X$7),"x","")</f>
        <v/>
      </c>
      <c r="Y3769" s="75" t="str">
        <f>IF(AND(OR(N3769="131",O3769="131"),H3769='131-CT'!$H$9),"x","")</f>
        <v/>
      </c>
      <c r="Z3769" s="75"/>
      <c r="AA3769" s="75" t="str">
        <f>IF(AND(MONTH(E3769)='IN-NX'!$J$5,'IN-NX'!$D$7=D3769),"x","")</f>
        <v/>
      </c>
      <c r="AB3769" s="75" t="str">
        <f>IF(AND(OR(LEFT(TH!N4694,2)="15",LEFT(TH!O4694,2)="15"),LEFT(TH!O4694,3)&lt;&gt;"111",'152-CT'!$J$8=TH!F4694),"x","")</f>
        <v/>
      </c>
      <c r="AC3769" s="75" t="str">
        <f>IF(AND(OR(LEFT(TH!N4694,2)="15",LEFT(TH!O4694,2)="15"),TK!$E$7=TH!F4694),"x","")</f>
        <v/>
      </c>
      <c r="AD3769" s="75" t="str">
        <f>IF(AND(N3769="1521",MONTH(C3769)='BK-NL'!$M$11),"x","")</f>
        <v/>
      </c>
    </row>
    <row r="3770" spans="1:30" ht="16.5" customHeight="1">
      <c r="A3770" s="309" t="str">
        <f>IF(B3770&lt;&gt;"",IF(AND(B3770='IN-TC'!$S$4,OR(TH!N3768="1111",TH!O3768="1111")),TH!D3768,""),"")</f>
        <v/>
      </c>
      <c r="B3770" s="1169">
        <f t="shared" si="1302"/>
        <v>3</v>
      </c>
      <c r="C3770" s="292">
        <f t="shared" si="1303"/>
        <v>42808</v>
      </c>
      <c r="D3770" s="59" t="s">
        <v>902</v>
      </c>
      <c r="E3770" s="59">
        <v>42808</v>
      </c>
      <c r="F3770" s="67" t="s">
        <v>898</v>
      </c>
      <c r="G3770" s="62" t="s">
        <v>585</v>
      </c>
      <c r="H3770" s="311" t="s">
        <v>845</v>
      </c>
      <c r="I3770" s="373"/>
      <c r="J3770" s="379"/>
      <c r="K3770" s="373"/>
      <c r="L3770" s="379"/>
      <c r="M3770" s="60">
        <v>2000</v>
      </c>
      <c r="N3770" s="61" t="s">
        <v>9</v>
      </c>
      <c r="O3770" s="61" t="s">
        <v>26</v>
      </c>
      <c r="P3770" s="75" t="str">
        <f>IF(AND('331-CT'!$E$7=TH!H4695,OR(N3770="331",O3770="331")),"x","")</f>
        <v/>
      </c>
      <c r="Q3770" s="75" t="str">
        <f>IF(AND(B3770='111'!$L$11,OR($N3770=$Q$7,$O3770=$Q$7)),"x","")</f>
        <v/>
      </c>
      <c r="R3770" s="75" t="str">
        <f>IF(AND($N3770=$Q$7,$B3770&lt;'111'!$L$11),"x","")</f>
        <v/>
      </c>
      <c r="S3770" s="75" t="str">
        <f>IF(AND($O3770=$Q$7,$B3770&lt;'111'!$L$11),"x","")</f>
        <v/>
      </c>
      <c r="T3770" s="75" t="str">
        <f>IF(ISERROR(FIND('112'!$M$9,G3770,1)),"",IF((AND(FIND('112'!$M$9,G3770,1)&gt;=1,B3770='112'!$K$9,OR($N3770='112'!$I$6,$O3770='112'!$I$6))),"x",""))</f>
        <v/>
      </c>
      <c r="U3770" s="75" t="str">
        <f>IF(ISERROR(FIND('112'!$M$9,G3770,1)),"",IF((AND(LEFT(G3770,2)=LEFT('112'!$M$9,2),B3770&lt;'112'!$K$9,$N3770='112'!$I$6)),"x",""))</f>
        <v/>
      </c>
      <c r="V3770" s="75" t="str">
        <f>IF(ISERROR(FIND('112'!$M$9,G3770,1)),"",IF((AND(RIGHT(G3770,2)=RIGHT('112'!$M$9,2),B3770&lt;'112'!$K$9,$O3770='112'!$I$6)),"x",""))</f>
        <v/>
      </c>
      <c r="W3770" s="75" t="str">
        <f>IF(AND('341-CT'!$H$9=H3770,OR(LEFT(N3770,3)=$W$7,LEFT(O3770,3)=$W$7)),"x","")</f>
        <v/>
      </c>
      <c r="X3770" s="75" t="str">
        <f>IF(OR(TH!N4695=TH!$X$7,O3770=TH!$X$7),"x","")</f>
        <v/>
      </c>
      <c r="Y3770" s="75" t="str">
        <f>IF(AND(OR(N3770="131",O3770="131"),H3770='131-CT'!$H$9),"x","")</f>
        <v/>
      </c>
      <c r="Z3770" s="75"/>
      <c r="AA3770" s="75" t="str">
        <f>IF(AND(MONTH(E3770)='IN-NX'!$J$5,'IN-NX'!$D$7=D3770),"x","")</f>
        <v/>
      </c>
      <c r="AB3770" s="75" t="str">
        <f>IF(AND(OR(LEFT(TH!N4695,2)="15",LEFT(TH!O4695,2)="15"),LEFT(TH!O4695,3)&lt;&gt;"111",'152-CT'!$J$8=TH!F4695),"x","")</f>
        <v/>
      </c>
      <c r="AC3770" s="75" t="str">
        <f>IF(AND(OR(LEFT(TH!N4695,2)="15",LEFT(TH!O4695,2)="15"),TK!$E$7=TH!F4695),"x","")</f>
        <v/>
      </c>
      <c r="AD3770" s="75" t="str">
        <f>IF(AND(N3770="1521",MONTH(C3770)='BK-NL'!$M$11),"x","")</f>
        <v/>
      </c>
    </row>
    <row r="3771" spans="1:30" ht="16.5" customHeight="1">
      <c r="A3771" s="309" t="str">
        <f>IF(B3771&lt;&gt;"",IF(AND(B3771='IN-TC'!$S$4,OR(TH!N3769="1111",TH!O3769="1111")),TH!D3769,""),"")</f>
        <v/>
      </c>
      <c r="B3771" s="1169">
        <f t="shared" si="1302"/>
        <v>3</v>
      </c>
      <c r="C3771" s="292">
        <f t="shared" si="1303"/>
        <v>42808</v>
      </c>
      <c r="D3771" s="59" t="s">
        <v>902</v>
      </c>
      <c r="E3771" s="59">
        <v>42808</v>
      </c>
      <c r="F3771" s="67" t="s">
        <v>930</v>
      </c>
      <c r="G3771" s="62" t="s">
        <v>585</v>
      </c>
      <c r="H3771" s="311" t="s">
        <v>742</v>
      </c>
      <c r="I3771" s="373"/>
      <c r="J3771" s="379"/>
      <c r="K3771" s="373"/>
      <c r="L3771" s="379"/>
      <c r="M3771" s="60">
        <v>100000000</v>
      </c>
      <c r="N3771" s="61" t="s">
        <v>8</v>
      </c>
      <c r="O3771" s="61" t="s">
        <v>26</v>
      </c>
      <c r="P3771" s="75" t="str">
        <f>IF(AND('331-CT'!$E$7=TH!H4696,OR(N3771="331",O3771="331")),"x","")</f>
        <v/>
      </c>
      <c r="Q3771" s="75" t="str">
        <f>IF(AND(B3771='111'!$L$11,OR($N3771=$Q$7,$O3771=$Q$7)),"x","")</f>
        <v/>
      </c>
      <c r="R3771" s="75" t="str">
        <f>IF(AND($N3771=$Q$7,$B3771&lt;'111'!$L$11),"x","")</f>
        <v/>
      </c>
      <c r="S3771" s="75" t="str">
        <f>IF(AND($O3771=$Q$7,$B3771&lt;'111'!$L$11),"x","")</f>
        <v/>
      </c>
      <c r="T3771" s="75" t="str">
        <f>IF(ISERROR(FIND('112'!$M$9,G3771,1)),"",IF((AND(FIND('112'!$M$9,G3771,1)&gt;=1,B3771='112'!$K$9,OR($N3771='112'!$I$6,$O3771='112'!$I$6))),"x",""))</f>
        <v/>
      </c>
      <c r="U3771" s="75" t="str">
        <f>IF(ISERROR(FIND('112'!$M$9,G3771,1)),"",IF((AND(LEFT(G3771,2)=LEFT('112'!$M$9,2),B3771&lt;'112'!$K$9,$N3771='112'!$I$6)),"x",""))</f>
        <v/>
      </c>
      <c r="V3771" s="75" t="str">
        <f>IF(ISERROR(FIND('112'!$M$9,G3771,1)),"",IF((AND(RIGHT(G3771,2)=RIGHT('112'!$M$9,2),B3771&lt;'112'!$K$9,$O3771='112'!$I$6)),"x",""))</f>
        <v/>
      </c>
      <c r="W3771" s="75" t="str">
        <f>IF(AND('341-CT'!$H$9=H3771,OR(LEFT(N3771,3)=$W$7,LEFT(O3771,3)=$W$7)),"x","")</f>
        <v/>
      </c>
      <c r="X3771" s="75" t="str">
        <f>IF(OR(TH!N4696=TH!$X$7,O3771=TH!$X$7),"x","")</f>
        <v/>
      </c>
      <c r="Y3771" s="75" t="str">
        <f>IF(AND(OR(N3771="131",O3771="131"),H3771='131-CT'!$H$9),"x","")</f>
        <v/>
      </c>
      <c r="Z3771" s="75"/>
      <c r="AA3771" s="75" t="str">
        <f>IF(AND(MONTH(E3771)='IN-NX'!$J$5,'IN-NX'!$D$7=D3771),"x","")</f>
        <v/>
      </c>
      <c r="AB3771" s="75" t="str">
        <f>IF(AND(OR(LEFT(TH!N4696,2)="15",LEFT(TH!O4696,2)="15"),LEFT(TH!O4696,3)&lt;&gt;"111",'152-CT'!$J$8=TH!F4696),"x","")</f>
        <v/>
      </c>
      <c r="AC3771" s="75" t="str">
        <f>IF(AND(OR(LEFT(TH!N4696,2)="15",LEFT(TH!O4696,2)="15"),TK!$E$7=TH!F4696),"x","")</f>
        <v/>
      </c>
      <c r="AD3771" s="75" t="str">
        <f>IF(AND(N3771="1521",MONTH(C3771)='BK-NL'!$M$11),"x","")</f>
        <v/>
      </c>
    </row>
    <row r="3772" spans="1:30" ht="16.5" customHeight="1">
      <c r="A3772" s="309" t="str">
        <f>IF(B3772&lt;&gt;"",IF(AND(B3772='IN-TC'!$S$4,OR(TH!N3770="1111",TH!O3770="1111")),TH!D3770,""),"")</f>
        <v/>
      </c>
      <c r="B3772" s="1169">
        <f t="shared" si="1302"/>
        <v>3</v>
      </c>
      <c r="C3772" s="292">
        <f t="shared" si="1303"/>
        <v>42808</v>
      </c>
      <c r="D3772" s="59" t="s">
        <v>902</v>
      </c>
      <c r="E3772" s="59">
        <v>42808</v>
      </c>
      <c r="F3772" s="67" t="s">
        <v>870</v>
      </c>
      <c r="G3772" s="62" t="s">
        <v>585</v>
      </c>
      <c r="H3772" s="311" t="s">
        <v>845</v>
      </c>
      <c r="I3772" s="373"/>
      <c r="J3772" s="379"/>
      <c r="K3772" s="373"/>
      <c r="L3772" s="379"/>
      <c r="M3772" s="60">
        <v>30000</v>
      </c>
      <c r="N3772" s="61" t="s">
        <v>101</v>
      </c>
      <c r="O3772" s="61" t="s">
        <v>26</v>
      </c>
      <c r="P3772" s="75" t="str">
        <f>IF(AND('331-CT'!$E$7=TH!H4697,OR(N3772="331",O3772="331")),"x","")</f>
        <v/>
      </c>
      <c r="Q3772" s="75" t="str">
        <f>IF(AND(B3772='111'!$L$11,OR($N3772=$Q$7,$O3772=$Q$7)),"x","")</f>
        <v/>
      </c>
      <c r="R3772" s="75" t="str">
        <f>IF(AND($N3772=$Q$7,$B3772&lt;'111'!$L$11),"x","")</f>
        <v/>
      </c>
      <c r="S3772" s="75" t="str">
        <f>IF(AND($O3772=$Q$7,$B3772&lt;'111'!$L$11),"x","")</f>
        <v/>
      </c>
      <c r="T3772" s="75" t="str">
        <f>IF(ISERROR(FIND('112'!$M$9,G3772,1)),"",IF((AND(FIND('112'!$M$9,G3772,1)&gt;=1,B3772='112'!$K$9,OR($N3772='112'!$I$6,$O3772='112'!$I$6))),"x",""))</f>
        <v/>
      </c>
      <c r="U3772" s="75" t="str">
        <f>IF(ISERROR(FIND('112'!$M$9,G3772,1)),"",IF((AND(LEFT(G3772,2)=LEFT('112'!$M$9,2),B3772&lt;'112'!$K$9,$N3772='112'!$I$6)),"x",""))</f>
        <v/>
      </c>
      <c r="V3772" s="75" t="str">
        <f>IF(ISERROR(FIND('112'!$M$9,G3772,1)),"",IF((AND(RIGHT(G3772,2)=RIGHT('112'!$M$9,2),B3772&lt;'112'!$K$9,$O3772='112'!$I$6)),"x",""))</f>
        <v/>
      </c>
      <c r="W3772" s="75" t="str">
        <f>IF(AND('341-CT'!$H$9=H3772,OR(LEFT(N3772,3)=$W$7,LEFT(O3772,3)=$W$7)),"x","")</f>
        <v/>
      </c>
      <c r="X3772" s="75" t="str">
        <f>IF(OR(TH!N4697=TH!$X$7,O3772=TH!$X$7),"x","")</f>
        <v/>
      </c>
      <c r="Y3772" s="75" t="str">
        <f>IF(AND(OR(N3772="131",O3772="131"),H3772='131-CT'!$H$9),"x","")</f>
        <v/>
      </c>
      <c r="Z3772" s="75"/>
      <c r="AA3772" s="75" t="str">
        <f>IF(AND(MONTH(E3772)='IN-NX'!$J$5,'IN-NX'!$D$7=D3772),"x","")</f>
        <v/>
      </c>
      <c r="AB3772" s="75" t="str">
        <f>IF(AND(OR(LEFT(TH!N4697,2)="15",LEFT(TH!O4697,2)="15"),LEFT(TH!O4697,3)&lt;&gt;"111",'152-CT'!$J$8=TH!F4697),"x","")</f>
        <v/>
      </c>
      <c r="AC3772" s="75" t="str">
        <f>IF(AND(OR(LEFT(TH!N4697,2)="15",LEFT(TH!O4697,2)="15"),TK!$E$7=TH!F4697),"x","")</f>
        <v/>
      </c>
      <c r="AD3772" s="75" t="str">
        <f>IF(AND(N3772="1521",MONTH(C3772)='BK-NL'!$M$11),"x","")</f>
        <v/>
      </c>
    </row>
    <row r="3773" spans="1:30" ht="16.5" customHeight="1">
      <c r="A3773" s="309" t="str">
        <f>IF(B3773&lt;&gt;"",IF(AND(B3773='IN-TC'!$S$4,OR(TH!N3771="1111",TH!O3771="1111")),TH!D3771,""),"")</f>
        <v/>
      </c>
      <c r="B3773" s="1169">
        <f t="shared" si="1302"/>
        <v>3</v>
      </c>
      <c r="C3773" s="292">
        <f t="shared" si="1303"/>
        <v>42808</v>
      </c>
      <c r="D3773" s="59" t="s">
        <v>902</v>
      </c>
      <c r="E3773" s="59">
        <v>42808</v>
      </c>
      <c r="F3773" s="67" t="s">
        <v>898</v>
      </c>
      <c r="G3773" s="62" t="s">
        <v>585</v>
      </c>
      <c r="H3773" s="311" t="s">
        <v>845</v>
      </c>
      <c r="I3773" s="373"/>
      <c r="J3773" s="379"/>
      <c r="K3773" s="373"/>
      <c r="L3773" s="379"/>
      <c r="M3773" s="60">
        <v>3000</v>
      </c>
      <c r="N3773" s="61" t="s">
        <v>9</v>
      </c>
      <c r="O3773" s="61" t="s">
        <v>26</v>
      </c>
      <c r="P3773" s="75" t="str">
        <f>IF(AND('331-CT'!$E$7=TH!H4698,OR(N3773="331",O3773="331")),"x","")</f>
        <v/>
      </c>
      <c r="Q3773" s="75" t="str">
        <f>IF(AND(B3773='111'!$L$11,OR($N3773=$Q$7,$O3773=$Q$7)),"x","")</f>
        <v/>
      </c>
      <c r="R3773" s="75" t="str">
        <f>IF(AND($N3773=$Q$7,$B3773&lt;'111'!$L$11),"x","")</f>
        <v/>
      </c>
      <c r="S3773" s="75" t="str">
        <f>IF(AND($O3773=$Q$7,$B3773&lt;'111'!$L$11),"x","")</f>
        <v/>
      </c>
      <c r="T3773" s="75" t="str">
        <f>IF(ISERROR(FIND('112'!$M$9,G3773,1)),"",IF((AND(FIND('112'!$M$9,G3773,1)&gt;=1,B3773='112'!$K$9,OR($N3773='112'!$I$6,$O3773='112'!$I$6))),"x",""))</f>
        <v/>
      </c>
      <c r="U3773" s="75" t="str">
        <f>IF(ISERROR(FIND('112'!$M$9,G3773,1)),"",IF((AND(LEFT(G3773,2)=LEFT('112'!$M$9,2),B3773&lt;'112'!$K$9,$N3773='112'!$I$6)),"x",""))</f>
        <v/>
      </c>
      <c r="V3773" s="75" t="str">
        <f>IF(ISERROR(FIND('112'!$M$9,G3773,1)),"",IF((AND(RIGHT(G3773,2)=RIGHT('112'!$M$9,2),B3773&lt;'112'!$K$9,$O3773='112'!$I$6)),"x",""))</f>
        <v/>
      </c>
      <c r="W3773" s="75" t="str">
        <f>IF(AND('341-CT'!$H$9=H3773,OR(LEFT(N3773,3)=$W$7,LEFT(O3773,3)=$W$7)),"x","")</f>
        <v/>
      </c>
      <c r="X3773" s="75" t="str">
        <f>IF(OR(TH!N4698=TH!$X$7,O3773=TH!$X$7),"x","")</f>
        <v/>
      </c>
      <c r="Y3773" s="75" t="str">
        <f>IF(AND(OR(N3773="131",O3773="131"),H3773='131-CT'!$H$9),"x","")</f>
        <v/>
      </c>
      <c r="Z3773" s="75"/>
      <c r="AA3773" s="75" t="str">
        <f>IF(AND(MONTH(E3773)='IN-NX'!$J$5,'IN-NX'!$D$7=D3773),"x","")</f>
        <v/>
      </c>
      <c r="AB3773" s="75" t="str">
        <f>IF(AND(OR(LEFT(TH!N4698,2)="15",LEFT(TH!O4698,2)="15"),LEFT(TH!O4698,3)&lt;&gt;"111",'152-CT'!$J$8=TH!F4698),"x","")</f>
        <v/>
      </c>
      <c r="AC3773" s="75" t="str">
        <f>IF(AND(OR(LEFT(TH!N4698,2)="15",LEFT(TH!O4698,2)="15"),TK!$E$7=TH!F4698),"x","")</f>
        <v/>
      </c>
      <c r="AD3773" s="75" t="str">
        <f>IF(AND(N3773="1521",MONTH(C3773)='BK-NL'!$M$11),"x","")</f>
        <v/>
      </c>
    </row>
    <row r="3774" spans="1:30" ht="16.5" customHeight="1">
      <c r="A3774" s="309" t="str">
        <f>IF(B3774&lt;&gt;"",IF(AND(B3774='IN-TC'!$S$4,OR(TH!N3772="1111",TH!O3772="1111")),TH!D3772,""),"")</f>
        <v/>
      </c>
      <c r="B3774" s="1169">
        <f t="shared" si="1302"/>
        <v>3</v>
      </c>
      <c r="C3774" s="292">
        <f t="shared" si="1303"/>
        <v>42808</v>
      </c>
      <c r="D3774" s="59" t="s">
        <v>902</v>
      </c>
      <c r="E3774" s="59">
        <v>42808</v>
      </c>
      <c r="F3774" s="67" t="s">
        <v>1210</v>
      </c>
      <c r="G3774" s="62" t="s">
        <v>585</v>
      </c>
      <c r="H3774" s="311" t="s">
        <v>1211</v>
      </c>
      <c r="I3774" s="373"/>
      <c r="J3774" s="379"/>
      <c r="K3774" s="373"/>
      <c r="L3774" s="379"/>
      <c r="M3774" s="60">
        <v>126246921</v>
      </c>
      <c r="N3774" s="61" t="s">
        <v>541</v>
      </c>
      <c r="O3774" s="61" t="s">
        <v>26</v>
      </c>
      <c r="P3774" s="75" t="str">
        <f>IF(AND('331-CT'!$E$7=TH!H4699,OR(N3774="331",O3774="331")),"x","")</f>
        <v/>
      </c>
      <c r="Q3774" s="75" t="str">
        <f>IF(AND(B3774='111'!$L$11,OR($N3774=$Q$7,$O3774=$Q$7)),"x","")</f>
        <v/>
      </c>
      <c r="R3774" s="75" t="str">
        <f>IF(AND($N3774=$Q$7,$B3774&lt;'111'!$L$11),"x","")</f>
        <v/>
      </c>
      <c r="S3774" s="75" t="str">
        <f>IF(AND($O3774=$Q$7,$B3774&lt;'111'!$L$11),"x","")</f>
        <v/>
      </c>
      <c r="T3774" s="75" t="str">
        <f>IF(ISERROR(FIND('112'!$M$9,G3774,1)),"",IF((AND(FIND('112'!$M$9,G3774,1)&gt;=1,B3774='112'!$K$9,OR($N3774='112'!$I$6,$O3774='112'!$I$6))),"x",""))</f>
        <v/>
      </c>
      <c r="U3774" s="75" t="str">
        <f>IF(ISERROR(FIND('112'!$M$9,G3774,1)),"",IF((AND(LEFT(G3774,2)=LEFT('112'!$M$9,2),B3774&lt;'112'!$K$9,$N3774='112'!$I$6)),"x",""))</f>
        <v/>
      </c>
      <c r="V3774" s="75" t="str">
        <f>IF(ISERROR(FIND('112'!$M$9,G3774,1)),"",IF((AND(RIGHT(G3774,2)=RIGHT('112'!$M$9,2),B3774&lt;'112'!$K$9,$O3774='112'!$I$6)),"x",""))</f>
        <v/>
      </c>
      <c r="W3774" s="75" t="str">
        <f>IF(AND('341-CT'!$H$9=H3774,OR(LEFT(N3774,3)=$W$7,LEFT(O3774,3)=$W$7)),"x","")</f>
        <v/>
      </c>
      <c r="X3774" s="75" t="str">
        <f>IF(OR(TH!N4699=TH!$X$7,O3774=TH!$X$7),"x","")</f>
        <v/>
      </c>
      <c r="Y3774" s="75" t="str">
        <f>IF(AND(OR(N3774="131",O3774="131"),H3774='131-CT'!$H$9),"x","")</f>
        <v/>
      </c>
      <c r="Z3774" s="75"/>
      <c r="AA3774" s="75" t="str">
        <f>IF(AND(MONTH(E3774)='IN-NX'!$J$5,'IN-NX'!$D$7=D3774),"x","")</f>
        <v/>
      </c>
      <c r="AB3774" s="75" t="str">
        <f>IF(AND(OR(LEFT(TH!N4699,2)="15",LEFT(TH!O4699,2)="15"),LEFT(TH!O4699,3)&lt;&gt;"111",'152-CT'!$J$8=TH!F4699),"x","")</f>
        <v/>
      </c>
      <c r="AC3774" s="75" t="str">
        <f>IF(AND(OR(LEFT(TH!N4699,2)="15",LEFT(TH!O4699,2)="15"),TK!$E$7=TH!F4699),"x","")</f>
        <v/>
      </c>
      <c r="AD3774" s="75" t="str">
        <f>IF(AND(N3774="1521",MONTH(C3774)='BK-NL'!$M$11),"x","")</f>
        <v/>
      </c>
    </row>
    <row r="3775" spans="1:30" ht="16.5" customHeight="1">
      <c r="A3775" s="309" t="str">
        <f>IF(B3775&lt;&gt;"",IF(AND(B3775='IN-TC'!$S$4,OR(TH!N3773="1111",TH!O3773="1111")),TH!D3773,""),"")</f>
        <v/>
      </c>
      <c r="B3775" s="1169">
        <f t="shared" si="1302"/>
        <v>3</v>
      </c>
      <c r="C3775" s="292">
        <f t="shared" si="1303"/>
        <v>42808</v>
      </c>
      <c r="D3775" s="59" t="s">
        <v>902</v>
      </c>
      <c r="E3775" s="59">
        <v>42808</v>
      </c>
      <c r="F3775" s="67" t="s">
        <v>1217</v>
      </c>
      <c r="G3775" s="62" t="s">
        <v>585</v>
      </c>
      <c r="H3775" s="311" t="s">
        <v>1211</v>
      </c>
      <c r="I3775" s="373"/>
      <c r="J3775" s="379"/>
      <c r="K3775" s="373"/>
      <c r="L3775" s="379"/>
      <c r="M3775" s="60">
        <v>13749390</v>
      </c>
      <c r="N3775" s="61" t="s">
        <v>542</v>
      </c>
      <c r="O3775" s="61" t="s">
        <v>26</v>
      </c>
      <c r="P3775" s="75" t="str">
        <f>IF(AND('331-CT'!$E$7=TH!H4686,OR(N3775="331",O3775="331")),"x","")</f>
        <v/>
      </c>
      <c r="Q3775" s="75" t="str">
        <f>IF(AND(B3775='111'!$L$11,OR($N3775=$Q$7,$O3775=$Q$7)),"x","")</f>
        <v/>
      </c>
      <c r="R3775" s="75" t="str">
        <f>IF(AND($N3775=$Q$7,$B3775&lt;'111'!$L$11),"x","")</f>
        <v/>
      </c>
      <c r="S3775" s="75" t="str">
        <f>IF(AND($O3775=$Q$7,$B3775&lt;'111'!$L$11),"x","")</f>
        <v/>
      </c>
      <c r="T3775" s="75" t="str">
        <f>IF(ISERROR(FIND('112'!$M$9,G3775,1)),"",IF((AND(FIND('112'!$M$9,G3775,1)&gt;=1,B3775='112'!$K$9,OR($N3775='112'!$I$6,$O3775='112'!$I$6))),"x",""))</f>
        <v/>
      </c>
      <c r="U3775" s="75" t="str">
        <f>IF(ISERROR(FIND('112'!$M$9,G3775,1)),"",IF((AND(LEFT(G3775,2)=LEFT('112'!$M$9,2),B3775&lt;'112'!$K$9,$N3775='112'!$I$6)),"x",""))</f>
        <v/>
      </c>
      <c r="V3775" s="75" t="str">
        <f>IF(ISERROR(FIND('112'!$M$9,G3775,1)),"",IF((AND(RIGHT(G3775,2)=RIGHT('112'!$M$9,2),B3775&lt;'112'!$K$9,$O3775='112'!$I$6)),"x",""))</f>
        <v/>
      </c>
      <c r="W3775" s="75" t="str">
        <f>IF(AND('341-CT'!$H$9=H3775,OR(LEFT(N3775,3)=$W$7,LEFT(O3775,3)=$W$7)),"x","")</f>
        <v/>
      </c>
      <c r="X3775" s="75" t="str">
        <f>IF(OR(TH!N4686=TH!$X$7,O3775=TH!$X$7),"x","")</f>
        <v/>
      </c>
      <c r="Y3775" s="75" t="str">
        <f>IF(AND(OR(N3775="131",O3775="131"),H3775='131-CT'!$H$9),"x","")</f>
        <v/>
      </c>
      <c r="Z3775" s="75"/>
      <c r="AA3775" s="75" t="str">
        <f>IF(AND(MONTH(E3775)='IN-NX'!$J$5,'IN-NX'!$D$7=D3775),"x","")</f>
        <v/>
      </c>
      <c r="AB3775" s="75" t="str">
        <f>IF(AND(OR(LEFT(TH!N4686,2)="15",LEFT(TH!O4686,2)="15"),LEFT(TH!O4686,3)&lt;&gt;"111",'152-CT'!$J$8=TH!F4686),"x","")</f>
        <v/>
      </c>
      <c r="AC3775" s="75" t="str">
        <f>IF(AND(OR(LEFT(TH!N4686,2)="15",LEFT(TH!O4686,2)="15"),TK!$E$7=TH!F4686),"x","")</f>
        <v/>
      </c>
      <c r="AD3775" s="75" t="str">
        <f>IF(AND(N3775="1521",MONTH(C3775)='BK-NL'!$M$11),"x","")</f>
        <v/>
      </c>
    </row>
    <row r="3776" spans="1:30" ht="16.5" customHeight="1">
      <c r="A3776" s="309" t="str">
        <f>IF(B3776&lt;&gt;"",IF(AND(B3776='IN-TC'!$S$4,OR(TH!N3774="1111",TH!O3774="1111")),TH!D3774,""),"")</f>
        <v/>
      </c>
      <c r="B3776" s="1169">
        <f t="shared" si="1302"/>
        <v>3</v>
      </c>
      <c r="C3776" s="292">
        <f t="shared" si="1303"/>
        <v>42808</v>
      </c>
      <c r="D3776" s="59" t="s">
        <v>902</v>
      </c>
      <c r="E3776" s="59">
        <v>42808</v>
      </c>
      <c r="F3776" s="67" t="s">
        <v>1218</v>
      </c>
      <c r="G3776" s="62" t="s">
        <v>585</v>
      </c>
      <c r="H3776" s="311" t="s">
        <v>1211</v>
      </c>
      <c r="I3776" s="373"/>
      <c r="J3776" s="379"/>
      <c r="K3776" s="373"/>
      <c r="L3776" s="379"/>
      <c r="M3776" s="60">
        <v>6110840</v>
      </c>
      <c r="N3776" s="61" t="s">
        <v>543</v>
      </c>
      <c r="O3776" s="61" t="s">
        <v>26</v>
      </c>
      <c r="P3776" s="75" t="str">
        <f>IF(AND('331-CT'!$E$7=TH!H4701,OR(N3776="331",O3776="331")),"x","")</f>
        <v/>
      </c>
      <c r="Q3776" s="75" t="str">
        <f>IF(AND(B3776='111'!$L$11,OR($N3776=$Q$7,$O3776=$Q$7)),"x","")</f>
        <v/>
      </c>
      <c r="R3776" s="75" t="str">
        <f>IF(AND($N3776=$Q$7,$B3776&lt;'111'!$L$11),"x","")</f>
        <v/>
      </c>
      <c r="S3776" s="75" t="str">
        <f>IF(AND($O3776=$Q$7,$B3776&lt;'111'!$L$11),"x","")</f>
        <v/>
      </c>
      <c r="T3776" s="75" t="str">
        <f>IF(ISERROR(FIND('112'!$M$9,G3776,1)),"",IF((AND(FIND('112'!$M$9,G3776,1)&gt;=1,B3776='112'!$K$9,OR($N3776='112'!$I$6,$O3776='112'!$I$6))),"x",""))</f>
        <v/>
      </c>
      <c r="U3776" s="75" t="str">
        <f>IF(ISERROR(FIND('112'!$M$9,G3776,1)),"",IF((AND(LEFT(G3776,2)=LEFT('112'!$M$9,2),B3776&lt;'112'!$K$9,$N3776='112'!$I$6)),"x",""))</f>
        <v/>
      </c>
      <c r="V3776" s="75" t="str">
        <f>IF(ISERROR(FIND('112'!$M$9,G3776,1)),"",IF((AND(RIGHT(G3776,2)=RIGHT('112'!$M$9,2),B3776&lt;'112'!$K$9,$O3776='112'!$I$6)),"x",""))</f>
        <v/>
      </c>
      <c r="W3776" s="75" t="str">
        <f>IF(AND('341-CT'!$H$9=H3776,OR(LEFT(N3776,3)=$W$7,LEFT(O3776,3)=$W$7)),"x","")</f>
        <v/>
      </c>
      <c r="X3776" s="75" t="str">
        <f>IF(OR(TH!N4701=TH!$X$7,O3776=TH!$X$7),"x","")</f>
        <v/>
      </c>
      <c r="Y3776" s="75" t="str">
        <f>IF(AND(OR(N3776="131",O3776="131"),H3776='131-CT'!$H$9),"x","")</f>
        <v/>
      </c>
      <c r="Z3776" s="75"/>
      <c r="AA3776" s="75" t="str">
        <f>IF(AND(MONTH(E3776)='IN-NX'!$J$5,'IN-NX'!$D$7=D3776),"x","")</f>
        <v/>
      </c>
      <c r="AB3776" s="75" t="str">
        <f>IF(AND(OR(LEFT(TH!N4701,2)="15",LEFT(TH!O4701,2)="15"),LEFT(TH!O4701,3)&lt;&gt;"111",'152-CT'!$J$8=TH!F4701),"x","")</f>
        <v/>
      </c>
      <c r="AC3776" s="75" t="str">
        <f>IF(AND(OR(LEFT(TH!N4701,2)="15",LEFT(TH!O4701,2)="15"),TK!$E$7=TH!F4701),"x","")</f>
        <v/>
      </c>
      <c r="AD3776" s="75" t="str">
        <f>IF(AND(N3776="1521",MONTH(C3776)='BK-NL'!$M$11),"x","")</f>
        <v/>
      </c>
    </row>
    <row r="3777" spans="1:30" ht="16.5" customHeight="1">
      <c r="A3777" s="309" t="str">
        <f>IF(B3777&lt;&gt;"",IF(AND(B3777='IN-TC'!$S$4,OR(TH!N3775="1111",TH!O3775="1111")),TH!D3775,""),"")</f>
        <v/>
      </c>
      <c r="B3777" s="1169">
        <f t="shared" si="1302"/>
        <v>3</v>
      </c>
      <c r="C3777" s="292">
        <f t="shared" si="1303"/>
        <v>42808</v>
      </c>
      <c r="D3777" s="59" t="s">
        <v>902</v>
      </c>
      <c r="E3777" s="59">
        <v>42808</v>
      </c>
      <c r="F3777" s="67" t="s">
        <v>870</v>
      </c>
      <c r="G3777" s="62" t="s">
        <v>585</v>
      </c>
      <c r="H3777" s="311" t="s">
        <v>845</v>
      </c>
      <c r="I3777" s="373"/>
      <c r="J3777" s="379"/>
      <c r="K3777" s="373"/>
      <c r="L3777" s="379"/>
      <c r="M3777" s="60">
        <v>73054</v>
      </c>
      <c r="N3777" s="61" t="s">
        <v>101</v>
      </c>
      <c r="O3777" s="61" t="s">
        <v>26</v>
      </c>
      <c r="P3777" s="75" t="str">
        <f>IF(AND('331-CT'!$E$7=TH!H4702,OR(N3777="331",O3777="331")),"x","")</f>
        <v/>
      </c>
      <c r="Q3777" s="75" t="str">
        <f>IF(AND(B3777='111'!$L$11,OR($N3777=$Q$7,$O3777=$Q$7)),"x","")</f>
        <v/>
      </c>
      <c r="R3777" s="75" t="str">
        <f>IF(AND($N3777=$Q$7,$B3777&lt;'111'!$L$11),"x","")</f>
        <v/>
      </c>
      <c r="S3777" s="75" t="str">
        <f>IF(AND($O3777=$Q$7,$B3777&lt;'111'!$L$11),"x","")</f>
        <v/>
      </c>
      <c r="T3777" s="75" t="str">
        <f>IF(ISERROR(FIND('112'!$M$9,G3777,1)),"",IF((AND(FIND('112'!$M$9,G3777,1)&gt;=1,B3777='112'!$K$9,OR($N3777='112'!$I$6,$O3777='112'!$I$6))),"x",""))</f>
        <v/>
      </c>
      <c r="U3777" s="75" t="str">
        <f>IF(ISERROR(FIND('112'!$M$9,G3777,1)),"",IF((AND(LEFT(G3777,2)=LEFT('112'!$M$9,2),B3777&lt;'112'!$K$9,$N3777='112'!$I$6)),"x",""))</f>
        <v/>
      </c>
      <c r="V3777" s="75" t="str">
        <f>IF(ISERROR(FIND('112'!$M$9,G3777,1)),"",IF((AND(RIGHT(G3777,2)=RIGHT('112'!$M$9,2),B3777&lt;'112'!$K$9,$O3777='112'!$I$6)),"x",""))</f>
        <v/>
      </c>
      <c r="W3777" s="75" t="str">
        <f>IF(AND('341-CT'!$H$9=H3777,OR(LEFT(N3777,3)=$W$7,LEFT(O3777,3)=$W$7)),"x","")</f>
        <v/>
      </c>
      <c r="X3777" s="75" t="str">
        <f>IF(OR(TH!N4702=TH!$X$7,O3777=TH!$X$7),"x","")</f>
        <v/>
      </c>
      <c r="Y3777" s="75" t="str">
        <f>IF(AND(OR(N3777="131",O3777="131"),H3777='131-CT'!$H$9),"x","")</f>
        <v/>
      </c>
      <c r="Z3777" s="75"/>
      <c r="AA3777" s="75" t="str">
        <f>IF(AND(MONTH(E3777)='IN-NX'!$J$5,'IN-NX'!$D$7=D3777),"x","")</f>
        <v/>
      </c>
      <c r="AB3777" s="75" t="str">
        <f>IF(AND(OR(LEFT(TH!N4702,2)="15",LEFT(TH!O4702,2)="15"),LEFT(TH!O4702,3)&lt;&gt;"111",'152-CT'!$J$8=TH!F4702),"x","")</f>
        <v/>
      </c>
      <c r="AC3777" s="75" t="str">
        <f>IF(AND(OR(LEFT(TH!N4702,2)="15",LEFT(TH!O4702,2)="15"),TK!$E$7=TH!F4702),"x","")</f>
        <v/>
      </c>
      <c r="AD3777" s="75" t="str">
        <f>IF(AND(N3777="1521",MONTH(C3777)='BK-NL'!$M$11),"x","")</f>
        <v/>
      </c>
    </row>
    <row r="3778" spans="1:30" ht="16.5" customHeight="1">
      <c r="A3778" s="309" t="str">
        <f>IF(B3778&lt;&gt;"",IF(AND(B3778='IN-TC'!$S$4,OR(TH!N3776="1111",TH!O3776="1111")),TH!D3776,""),"")</f>
        <v/>
      </c>
      <c r="B3778" s="1169">
        <f t="shared" si="1302"/>
        <v>3</v>
      </c>
      <c r="C3778" s="292">
        <f t="shared" si="1303"/>
        <v>42808</v>
      </c>
      <c r="D3778" s="59" t="s">
        <v>902</v>
      </c>
      <c r="E3778" s="59">
        <v>42808</v>
      </c>
      <c r="F3778" s="67" t="s">
        <v>898</v>
      </c>
      <c r="G3778" s="62" t="s">
        <v>585</v>
      </c>
      <c r="H3778" s="311" t="s">
        <v>845</v>
      </c>
      <c r="I3778" s="373"/>
      <c r="J3778" s="379"/>
      <c r="K3778" s="373"/>
      <c r="L3778" s="379"/>
      <c r="M3778" s="60">
        <v>7305</v>
      </c>
      <c r="N3778" s="61" t="s">
        <v>9</v>
      </c>
      <c r="O3778" s="61" t="s">
        <v>26</v>
      </c>
      <c r="P3778" s="75" t="str">
        <f>IF(AND('331-CT'!$E$7=TH!H4703,OR(N3778="331",O3778="331")),"x","")</f>
        <v/>
      </c>
      <c r="Q3778" s="75" t="str">
        <f>IF(AND(B3778='111'!$L$11,OR($N3778=$Q$7,$O3778=$Q$7)),"x","")</f>
        <v/>
      </c>
      <c r="R3778" s="75" t="str">
        <f>IF(AND($N3778=$Q$7,$B3778&lt;'111'!$L$11),"x","")</f>
        <v/>
      </c>
      <c r="S3778" s="75" t="str">
        <f>IF(AND($O3778=$Q$7,$B3778&lt;'111'!$L$11),"x","")</f>
        <v/>
      </c>
      <c r="T3778" s="75" t="str">
        <f>IF(ISERROR(FIND('112'!$M$9,G3778,1)),"",IF((AND(FIND('112'!$M$9,G3778,1)&gt;=1,B3778='112'!$K$9,OR($N3778='112'!$I$6,$O3778='112'!$I$6))),"x",""))</f>
        <v/>
      </c>
      <c r="U3778" s="75" t="str">
        <f>IF(ISERROR(FIND('112'!$M$9,G3778,1)),"",IF((AND(LEFT(G3778,2)=LEFT('112'!$M$9,2),B3778&lt;'112'!$K$9,$N3778='112'!$I$6)),"x",""))</f>
        <v/>
      </c>
      <c r="V3778" s="75" t="str">
        <f>IF(ISERROR(FIND('112'!$M$9,G3778,1)),"",IF((AND(RIGHT(G3778,2)=RIGHT('112'!$M$9,2),B3778&lt;'112'!$K$9,$O3778='112'!$I$6)),"x",""))</f>
        <v/>
      </c>
      <c r="W3778" s="75" t="str">
        <f>IF(AND('341-CT'!$H$9=H3778,OR(LEFT(N3778,3)=$W$7,LEFT(O3778,3)=$W$7)),"x","")</f>
        <v/>
      </c>
      <c r="X3778" s="75" t="str">
        <f>IF(OR(TH!N4703=TH!$X$7,O3778=TH!$X$7),"x","")</f>
        <v/>
      </c>
      <c r="Y3778" s="75" t="str">
        <f>IF(AND(OR(N3778="131",O3778="131"),H3778='131-CT'!$H$9),"x","")</f>
        <v/>
      </c>
      <c r="Z3778" s="75"/>
      <c r="AA3778" s="75" t="str">
        <f>IF(AND(MONTH(E3778)='IN-NX'!$J$5,'IN-NX'!$D$7=D3778),"x","")</f>
        <v/>
      </c>
      <c r="AB3778" s="75" t="str">
        <f>IF(AND(OR(LEFT(TH!N4703,2)="15",LEFT(TH!O4703,2)="15"),LEFT(TH!O4703,3)&lt;&gt;"111",'152-CT'!$J$8=TH!F4703),"x","")</f>
        <v/>
      </c>
      <c r="AC3778" s="75" t="str">
        <f>IF(AND(OR(LEFT(TH!N4703,2)="15",LEFT(TH!O4703,2)="15"),TK!$E$7=TH!F4703),"x","")</f>
        <v/>
      </c>
      <c r="AD3778" s="75" t="str">
        <f>IF(AND(N3778="1521",MONTH(C3778)='BK-NL'!$M$11),"x","")</f>
        <v/>
      </c>
    </row>
    <row r="3779" spans="1:30" ht="16.5" customHeight="1">
      <c r="A3779" s="309" t="str">
        <f>IF(B3779&lt;&gt;"",IF(AND(B3779='IN-TC'!$S$4,OR(TH!N3777="1111",TH!O3777="1111")),TH!D3777,""),"")</f>
        <v/>
      </c>
      <c r="B3779" s="1169">
        <f t="shared" si="1302"/>
        <v>3</v>
      </c>
      <c r="C3779" s="292">
        <f t="shared" si="1303"/>
        <v>42808</v>
      </c>
      <c r="D3779" s="292" t="s">
        <v>850</v>
      </c>
      <c r="E3779" s="292">
        <v>42808</v>
      </c>
      <c r="F3779" s="293" t="s">
        <v>834</v>
      </c>
      <c r="G3779" s="943" t="s">
        <v>747</v>
      </c>
      <c r="H3779" s="67" t="s">
        <v>1023</v>
      </c>
      <c r="I3779" s="373"/>
      <c r="J3779" s="926"/>
      <c r="K3779" s="373"/>
      <c r="L3779" s="379"/>
      <c r="M3779" s="927">
        <v>530000000</v>
      </c>
      <c r="N3779" s="295" t="s">
        <v>63</v>
      </c>
      <c r="O3779" s="295" t="s">
        <v>26</v>
      </c>
      <c r="P3779" s="75" t="str">
        <f>IF(AND('331-CT'!$E$7=TH!H5029,OR(N3779="331",O3779="331")),"x","")</f>
        <v/>
      </c>
      <c r="Q3779" s="75" t="str">
        <f>IF(AND(B3779='111'!$L$11,OR($N3779=$Q$7,$O3779=$Q$7)),"x","")</f>
        <v/>
      </c>
      <c r="R3779" s="75" t="str">
        <f>IF(AND($N3779=$Q$7,$B3779&lt;'111'!$L$11),"x","")</f>
        <v>x</v>
      </c>
      <c r="S3779" s="75" t="str">
        <f>IF(AND($O3779=$Q$7,$B3779&lt;'111'!$L$11),"x","")</f>
        <v/>
      </c>
      <c r="T3779" s="75" t="str">
        <f>IF(ISERROR(FIND('112'!$M$9,G3779,1)),"",IF((AND(FIND('112'!$M$9,G3779,1)&gt;=1,B3779='112'!$K$9,OR($N3779='112'!$I$6,$O3779='112'!$I$6))),"x",""))</f>
        <v/>
      </c>
      <c r="U3779" s="75" t="str">
        <f>IF(ISERROR(FIND('112'!$M$9,G3779,1)),"",IF((AND(LEFT(G3779,2)=LEFT('112'!$M$9,2),B3779&lt;'112'!$K$9,$N3779='112'!$I$6)),"x",""))</f>
        <v/>
      </c>
      <c r="V3779" s="75" t="str">
        <f>IF(ISERROR(FIND('112'!$M$9,G3779,1)),"",IF((AND(RIGHT(G3779,2)=RIGHT('112'!$M$9,2),B3779&lt;'112'!$K$9,$O3779='112'!$I$6)),"x",""))</f>
        <v/>
      </c>
      <c r="W3779" s="75" t="str">
        <f>IF(AND('341-CT'!$H$9=H3779,OR(LEFT(N3779,3)=$W$7,LEFT(O3779,3)=$W$7)),"x","")</f>
        <v/>
      </c>
      <c r="X3779" s="75" t="str">
        <f>IF(OR(TH!N5029=TH!$X$7,O3779=TH!$X$7),"x","")</f>
        <v/>
      </c>
      <c r="Y3779" s="75" t="str">
        <f>IF(AND(OR(N3779="131",O3779="131"),H3779='131-CT'!$H$9),"x","")</f>
        <v/>
      </c>
      <c r="Z3779" s="75"/>
      <c r="AA3779" s="75" t="str">
        <f>IF(AND(MONTH(E3779)='IN-NX'!$J$5,'IN-NX'!$D$7=D3779),"x","")</f>
        <v/>
      </c>
      <c r="AB3779" s="75" t="str">
        <f>IF(AND(OR(LEFT(TH!N5029,2)="15",LEFT(TH!O5029,2)="15"),LEFT(TH!O5029,3)&lt;&gt;"111",'152-CT'!$J$8=TH!F5029),"x","")</f>
        <v/>
      </c>
      <c r="AC3779" s="75" t="str">
        <f>IF(AND(OR(LEFT(TH!N5029,2)="15",LEFT(TH!O5029,2)="15"),TK!$E$7=TH!F5029),"x","")</f>
        <v/>
      </c>
      <c r="AD3779" s="75" t="str">
        <f>IF(AND(N3779="1521",MONTH(C3779)='BK-NL'!$M$11),"x","")</f>
        <v/>
      </c>
    </row>
    <row r="3780" spans="1:30" ht="16.5" customHeight="1">
      <c r="A3780" s="309" t="str">
        <f>IF(B3780&lt;&gt;"",IF(AND(B3780='IN-TC'!$S$4,OR(TH!N3778="1111",TH!O3778="1111")),TH!D3778,""),"")</f>
        <v/>
      </c>
      <c r="B3780" s="1169">
        <f t="shared" si="1302"/>
        <v>3</v>
      </c>
      <c r="C3780" s="292">
        <f t="shared" si="1303"/>
        <v>42808</v>
      </c>
      <c r="D3780" s="59" t="s">
        <v>902</v>
      </c>
      <c r="E3780" s="59">
        <v>42808</v>
      </c>
      <c r="F3780" s="62" t="s">
        <v>904</v>
      </c>
      <c r="G3780" s="62" t="s">
        <v>747</v>
      </c>
      <c r="H3780" s="311" t="s">
        <v>835</v>
      </c>
      <c r="I3780" s="373"/>
      <c r="J3780" s="379"/>
      <c r="K3780" s="373"/>
      <c r="L3780" s="379"/>
      <c r="M3780" s="60">
        <v>188062</v>
      </c>
      <c r="N3780" s="928" t="s">
        <v>101</v>
      </c>
      <c r="O3780" s="61" t="s">
        <v>26</v>
      </c>
      <c r="P3780" s="75" t="str">
        <f>IF(AND('331-CT'!$E$7=TH!H5030,OR(N3780="331",O3780="331")),"x","")</f>
        <v/>
      </c>
      <c r="Q3780" s="75" t="str">
        <f>IF(AND(B3780='111'!$L$11,OR($N3780=$Q$7,$O3780=$Q$7)),"x","")</f>
        <v/>
      </c>
      <c r="R3780" s="75" t="str">
        <f>IF(AND($N3780=$Q$7,$B3780&lt;'111'!$L$11),"x","")</f>
        <v/>
      </c>
      <c r="S3780" s="75" t="str">
        <f>IF(AND($O3780=$Q$7,$B3780&lt;'111'!$L$11),"x","")</f>
        <v/>
      </c>
      <c r="T3780" s="75" t="str">
        <f>IF(ISERROR(FIND('112'!$M$9,G3780,1)),"",IF((AND(FIND('112'!$M$9,G3780,1)&gt;=1,B3780='112'!$K$9,OR($N3780='112'!$I$6,$O3780='112'!$I$6))),"x",""))</f>
        <v/>
      </c>
      <c r="U3780" s="75" t="str">
        <f>IF(ISERROR(FIND('112'!$M$9,G3780,1)),"",IF((AND(LEFT(G3780,2)=LEFT('112'!$M$9,2),B3780&lt;'112'!$K$9,$N3780='112'!$I$6)),"x",""))</f>
        <v/>
      </c>
      <c r="V3780" s="75" t="str">
        <f>IF(ISERROR(FIND('112'!$M$9,G3780,1)),"",IF((AND(RIGHT(G3780,2)=RIGHT('112'!$M$9,2),B3780&lt;'112'!$K$9,$O3780='112'!$I$6)),"x",""))</f>
        <v/>
      </c>
      <c r="W3780" s="75" t="str">
        <f>IF(AND('341-CT'!$H$9=H3780,OR(LEFT(N3780,3)=$W$7,LEFT(O3780,3)=$W$7)),"x","")</f>
        <v/>
      </c>
      <c r="X3780" s="75" t="str">
        <f>IF(OR(TH!N5030=TH!$X$7,O3780=TH!$X$7),"x","")</f>
        <v/>
      </c>
      <c r="Y3780" s="75" t="str">
        <f>IF(AND(OR(N3780="131",O3780="131"),H3780='131-CT'!$H$9),"x","")</f>
        <v/>
      </c>
      <c r="Z3780" s="75"/>
      <c r="AA3780" s="75" t="str">
        <f>IF(AND(MONTH(E3780)='IN-NX'!$J$5,'IN-NX'!$D$7=D3780),"x","")</f>
        <v/>
      </c>
      <c r="AB3780" s="75" t="str">
        <f>IF(AND(OR(LEFT(TH!N5030,2)="15",LEFT(TH!O5030,2)="15"),LEFT(TH!O5030,3)&lt;&gt;"111",'152-CT'!$J$8=TH!F5030),"x","")</f>
        <v/>
      </c>
      <c r="AC3780" s="75" t="str">
        <f>IF(AND(OR(LEFT(TH!N5030,2)="15",LEFT(TH!O5030,2)="15"),TK!$E$7=TH!F5030),"x","")</f>
        <v/>
      </c>
      <c r="AD3780" s="75" t="str">
        <f>IF(AND(N3780="1521",MONTH(C3780)='BK-NL'!$M$11),"x","")</f>
        <v/>
      </c>
    </row>
    <row r="3781" spans="1:30" ht="16.5" customHeight="1">
      <c r="A3781" s="309" t="str">
        <f>IF(B3781&lt;&gt;"",IF(AND(B3781='IN-TC'!$S$4,OR(TH!N3779="1111",TH!O3779="1111")),TH!D3779,""),"")</f>
        <v>T05</v>
      </c>
      <c r="B3781" s="1169">
        <f t="shared" si="1302"/>
        <v>3</v>
      </c>
      <c r="C3781" s="292">
        <f t="shared" si="1303"/>
        <v>42809</v>
      </c>
      <c r="D3781" s="292" t="s">
        <v>1930</v>
      </c>
      <c r="E3781" s="292">
        <v>42809</v>
      </c>
      <c r="F3781" s="67" t="s">
        <v>1228</v>
      </c>
      <c r="G3781" s="925" t="s">
        <v>1230</v>
      </c>
      <c r="H3781" s="294" t="s">
        <v>965</v>
      </c>
      <c r="I3781" s="373"/>
      <c r="J3781" s="926"/>
      <c r="K3781" s="373"/>
      <c r="L3781" s="379"/>
      <c r="M3781" s="927">
        <v>354533</v>
      </c>
      <c r="N3781" s="295" t="s">
        <v>101</v>
      </c>
      <c r="O3781" s="295" t="s">
        <v>63</v>
      </c>
      <c r="P3781" s="75" t="str">
        <f>IF(AND('331-CT'!$E$7=TH!H3528,OR(N3781="331",O3781="331")),"x","")</f>
        <v/>
      </c>
      <c r="Q3781" s="75" t="str">
        <f>IF(AND(B3781='111'!$L$11,OR($N3781=$Q$7,$O3781=$Q$7)),"x","")</f>
        <v/>
      </c>
      <c r="R3781" s="75" t="str">
        <f>IF(AND($N3781=$Q$7,$B3781&lt;'111'!$L$11),"x","")</f>
        <v/>
      </c>
      <c r="S3781" s="75" t="str">
        <f>IF(AND($O3781=$Q$7,$B3781&lt;'111'!$L$11),"x","")</f>
        <v>x</v>
      </c>
      <c r="T3781" s="75" t="str">
        <f>IF(ISERROR(FIND('112'!$M$9,G3781,1)),"",IF((AND(FIND('112'!$M$9,G3781,1)&gt;=1,B3781='112'!$K$9,OR($N3781='112'!$I$6,$O3781='112'!$I$6))),"x",""))</f>
        <v/>
      </c>
      <c r="U3781" s="75" t="str">
        <f>IF(ISERROR(FIND('112'!$M$9,G3781,1)),"",IF((AND(LEFT(G3781,2)=LEFT('112'!$M$9,2),B3781&lt;'112'!$K$9,$N3781='112'!$I$6)),"x",""))</f>
        <v/>
      </c>
      <c r="V3781" s="75" t="str">
        <f>IF(ISERROR(FIND('112'!$M$9,G3781,1)),"",IF((AND(RIGHT(G3781,2)=RIGHT('112'!$M$9,2),B3781&lt;'112'!$K$9,$O3781='112'!$I$6)),"x",""))</f>
        <v/>
      </c>
      <c r="W3781" s="75" t="str">
        <f>IF(AND('341-CT'!$H$9=H3781,OR(LEFT(N3781,3)=$W$7,LEFT(O3781,3)=$W$7)),"x","")</f>
        <v/>
      </c>
      <c r="X3781" s="75" t="str">
        <f>IF(OR(TH!N3528=TH!$X$7,O3781=TH!$X$7),"x","")</f>
        <v/>
      </c>
      <c r="Y3781" s="75" t="str">
        <f>IF(AND(OR(N3781="131",O3781="131"),H3781='131-CT'!$H$9),"x","")</f>
        <v/>
      </c>
      <c r="Z3781" s="75"/>
      <c r="AA3781" s="75" t="str">
        <f>IF(AND(MONTH(E3781)='IN-NX'!$J$5,'IN-NX'!$D$7=D3781),"x","")</f>
        <v/>
      </c>
      <c r="AB3781" s="75" t="str">
        <f>IF(AND(OR(LEFT(TH!N3528,2)="15",LEFT(TH!O3528,2)="15"),LEFT(TH!O3528,3)&lt;&gt;"111",'152-CT'!$J$8=TH!F3528),"x","")</f>
        <v/>
      </c>
      <c r="AC3781" s="75" t="str">
        <f>IF(AND(OR(LEFT(TH!N3528,2)="15",LEFT(TH!O3528,2)="15"),TK!$E$7=TH!F3528),"x","")</f>
        <v/>
      </c>
      <c r="AD3781" s="75" t="str">
        <f>IF(AND(N3781="1521",MONTH(C3781)='BK-NL'!$M$11),"x","")</f>
        <v/>
      </c>
    </row>
    <row r="3782" spans="1:30" ht="16.5" customHeight="1">
      <c r="A3782" s="309" t="str">
        <f>IF(B3782&lt;&gt;"",IF(AND(B3782='IN-TC'!$S$4,OR(TH!N3780="1111",TH!O3780="1111")),TH!D3780,""),"")</f>
        <v/>
      </c>
      <c r="B3782" s="1169">
        <f t="shared" si="1302"/>
        <v>3</v>
      </c>
      <c r="C3782" s="292">
        <f t="shared" si="1303"/>
        <v>42809</v>
      </c>
      <c r="D3782" s="292" t="s">
        <v>1930</v>
      </c>
      <c r="E3782" s="292">
        <v>42809</v>
      </c>
      <c r="F3782" s="1127" t="s">
        <v>1229</v>
      </c>
      <c r="G3782" s="925" t="s">
        <v>1230</v>
      </c>
      <c r="H3782" s="294" t="s">
        <v>965</v>
      </c>
      <c r="I3782" s="373"/>
      <c r="J3782" s="926"/>
      <c r="K3782" s="373"/>
      <c r="L3782" s="379"/>
      <c r="M3782" s="927">
        <v>35453</v>
      </c>
      <c r="N3782" s="295" t="s">
        <v>9</v>
      </c>
      <c r="O3782" s="295" t="s">
        <v>63</v>
      </c>
      <c r="P3782" s="75" t="str">
        <f>IF(AND('331-CT'!$E$7=TH!H3529,OR(N3782="331",O3782="331")),"x","")</f>
        <v/>
      </c>
      <c r="Q3782" s="75" t="str">
        <f>IF(AND(B3782='111'!$L$11,OR($N3782=$Q$7,$O3782=$Q$7)),"x","")</f>
        <v/>
      </c>
      <c r="R3782" s="75" t="str">
        <f>IF(AND($N3782=$Q$7,$B3782&lt;'111'!$L$11),"x","")</f>
        <v/>
      </c>
      <c r="S3782" s="75" t="str">
        <f>IF(AND($O3782=$Q$7,$B3782&lt;'111'!$L$11),"x","")</f>
        <v>x</v>
      </c>
      <c r="T3782" s="75" t="str">
        <f>IF(ISERROR(FIND('112'!$M$9,G3782,1)),"",IF((AND(FIND('112'!$M$9,G3782,1)&gt;=1,B3782='112'!$K$9,OR($N3782='112'!$I$6,$O3782='112'!$I$6))),"x",""))</f>
        <v/>
      </c>
      <c r="U3782" s="75" t="str">
        <f>IF(ISERROR(FIND('112'!$M$9,G3782,1)),"",IF((AND(LEFT(G3782,2)=LEFT('112'!$M$9,2),B3782&lt;'112'!$K$9,$N3782='112'!$I$6)),"x",""))</f>
        <v/>
      </c>
      <c r="V3782" s="75" t="str">
        <f>IF(ISERROR(FIND('112'!$M$9,G3782,1)),"",IF((AND(RIGHT(G3782,2)=RIGHT('112'!$M$9,2),B3782&lt;'112'!$K$9,$O3782='112'!$I$6)),"x",""))</f>
        <v/>
      </c>
      <c r="W3782" s="75" t="str">
        <f>IF(AND('341-CT'!$H$9=H3782,OR(LEFT(N3782,3)=$W$7,LEFT(O3782,3)=$W$7)),"x","")</f>
        <v/>
      </c>
      <c r="X3782" s="75" t="str">
        <f>IF(OR(TH!N3529=TH!$X$7,O3782=TH!$X$7),"x","")</f>
        <v/>
      </c>
      <c r="Y3782" s="75" t="str">
        <f>IF(AND(OR(N3782="131",O3782="131"),H3782='131-CT'!$H$9),"x","")</f>
        <v/>
      </c>
      <c r="Z3782" s="75"/>
      <c r="AA3782" s="75" t="str">
        <f>IF(AND(MONTH(E3782)='IN-NX'!$J$5,'IN-NX'!$D$7=D3782),"x","")</f>
        <v/>
      </c>
      <c r="AB3782" s="75" t="str">
        <f>IF(AND(OR(LEFT(TH!N3529,2)="15",LEFT(TH!O3529,2)="15"),LEFT(TH!O3529,3)&lt;&gt;"111",'152-CT'!$J$8=TH!F3529),"x","")</f>
        <v/>
      </c>
      <c r="AC3782" s="75" t="str">
        <f>IF(AND(OR(LEFT(TH!N3529,2)="15",LEFT(TH!O3529,2)="15"),TK!$E$7=TH!F3529),"x","")</f>
        <v/>
      </c>
      <c r="AD3782" s="75" t="str">
        <f>IF(AND(N3782="1521",MONTH(C3782)='BK-NL'!$M$11),"x","")</f>
        <v/>
      </c>
    </row>
    <row r="3783" spans="1:30" ht="16.5" customHeight="1">
      <c r="A3783" s="309" t="str">
        <f>IF(B3783&lt;&gt;"",IF(AND(B3783='IN-TC'!$S$4,OR(TH!N3781="1111",TH!O3781="1111")),TH!D3781,""),"")</f>
        <v>C16</v>
      </c>
      <c r="B3783" s="1169">
        <f t="shared" si="1302"/>
        <v>3</v>
      </c>
      <c r="C3783" s="292">
        <f t="shared" si="1303"/>
        <v>42809</v>
      </c>
      <c r="D3783" s="292" t="s">
        <v>1931</v>
      </c>
      <c r="E3783" s="292">
        <v>42809</v>
      </c>
      <c r="F3783" s="67" t="s">
        <v>890</v>
      </c>
      <c r="G3783" s="925" t="s">
        <v>1231</v>
      </c>
      <c r="H3783" s="294" t="s">
        <v>893</v>
      </c>
      <c r="I3783" s="373"/>
      <c r="J3783" s="926"/>
      <c r="K3783" s="373"/>
      <c r="L3783" s="379"/>
      <c r="M3783" s="927">
        <v>4480509</v>
      </c>
      <c r="N3783" s="295" t="s">
        <v>101</v>
      </c>
      <c r="O3783" s="295" t="s">
        <v>63</v>
      </c>
      <c r="P3783" s="75" t="str">
        <f>IF(AND('331-CT'!$E$7=TH!H3530,OR(N3783="331",O3783="331")),"x","")</f>
        <v/>
      </c>
      <c r="Q3783" s="75" t="str">
        <f>IF(AND(B3783='111'!$L$11,OR($N3783=$Q$7,$O3783=$Q$7)),"x","")</f>
        <v/>
      </c>
      <c r="R3783" s="75" t="str">
        <f>IF(AND($N3783=$Q$7,$B3783&lt;'111'!$L$11),"x","")</f>
        <v/>
      </c>
      <c r="S3783" s="75" t="str">
        <f>IF(AND($O3783=$Q$7,$B3783&lt;'111'!$L$11),"x","")</f>
        <v>x</v>
      </c>
      <c r="T3783" s="75" t="str">
        <f>IF(ISERROR(FIND('112'!$M$9,G3783,1)),"",IF((AND(FIND('112'!$M$9,G3783,1)&gt;=1,B3783='112'!$K$9,OR($N3783='112'!$I$6,$O3783='112'!$I$6))),"x",""))</f>
        <v/>
      </c>
      <c r="U3783" s="75" t="str">
        <f>IF(ISERROR(FIND('112'!$M$9,G3783,1)),"",IF((AND(LEFT(G3783,2)=LEFT('112'!$M$9,2),B3783&lt;'112'!$K$9,$N3783='112'!$I$6)),"x",""))</f>
        <v/>
      </c>
      <c r="V3783" s="75" t="str">
        <f>IF(ISERROR(FIND('112'!$M$9,G3783,1)),"",IF((AND(RIGHT(G3783,2)=RIGHT('112'!$M$9,2),B3783&lt;'112'!$K$9,$O3783='112'!$I$6)),"x",""))</f>
        <v/>
      </c>
      <c r="W3783" s="75" t="str">
        <f>IF(AND('341-CT'!$H$9=H3783,OR(LEFT(N3783,3)=$W$7,LEFT(O3783,3)=$W$7)),"x","")</f>
        <v/>
      </c>
      <c r="X3783" s="75" t="str">
        <f>IF(OR(TH!N3530=TH!$X$7,O3783=TH!$X$7),"x","")</f>
        <v/>
      </c>
      <c r="Y3783" s="75" t="str">
        <f>IF(AND(OR(N3783="131",O3783="131"),H3783='131-CT'!$H$9),"x","")</f>
        <v/>
      </c>
      <c r="Z3783" s="75"/>
      <c r="AA3783" s="75" t="str">
        <f>IF(AND(MONTH(E3783)='IN-NX'!$J$5,'IN-NX'!$D$7=D3783),"x","")</f>
        <v/>
      </c>
      <c r="AB3783" s="75" t="str">
        <f>IF(AND(OR(LEFT(TH!N3530,2)="15",LEFT(TH!O3530,2)="15"),LEFT(TH!O3530,3)&lt;&gt;"111",'152-CT'!$J$8=TH!F3530),"x","")</f>
        <v/>
      </c>
      <c r="AC3783" s="75" t="str">
        <f>IF(AND(OR(LEFT(TH!N3530,2)="15",LEFT(TH!O3530,2)="15"),TK!$E$7=TH!F3530),"x","")</f>
        <v/>
      </c>
      <c r="AD3783" s="75" t="str">
        <f>IF(AND(N3783="1521",MONTH(C3783)='BK-NL'!$M$11),"x","")</f>
        <v/>
      </c>
    </row>
    <row r="3784" spans="1:30" ht="16.5" customHeight="1">
      <c r="A3784" s="309" t="str">
        <f>IF(B3784&lt;&gt;"",IF(AND(B3784='IN-TC'!$S$4,OR(TH!N3782="1111",TH!O3782="1111")),TH!D3782,""),"")</f>
        <v>C16</v>
      </c>
      <c r="B3784" s="1169">
        <f t="shared" si="1302"/>
        <v>3</v>
      </c>
      <c r="C3784" s="292">
        <f t="shared" si="1303"/>
        <v>42809</v>
      </c>
      <c r="D3784" s="292" t="s">
        <v>1931</v>
      </c>
      <c r="E3784" s="292">
        <v>42809</v>
      </c>
      <c r="F3784" s="67" t="s">
        <v>891</v>
      </c>
      <c r="G3784" s="925" t="s">
        <v>1231</v>
      </c>
      <c r="H3784" s="294" t="s">
        <v>893</v>
      </c>
      <c r="I3784" s="373"/>
      <c r="J3784" s="926"/>
      <c r="K3784" s="373"/>
      <c r="L3784" s="379"/>
      <c r="M3784" s="927">
        <v>448051</v>
      </c>
      <c r="N3784" s="295" t="s">
        <v>9</v>
      </c>
      <c r="O3784" s="295" t="s">
        <v>63</v>
      </c>
      <c r="P3784" s="75" t="str">
        <f>IF(AND('331-CT'!$E$7=TH!H3531,OR(N3784="331",O3784="331")),"x","")</f>
        <v/>
      </c>
      <c r="Q3784" s="75" t="str">
        <f>IF(AND(B3784='111'!$L$11,OR($N3784=$Q$7,$O3784=$Q$7)),"x","")</f>
        <v/>
      </c>
      <c r="R3784" s="75" t="str">
        <f>IF(AND($N3784=$Q$7,$B3784&lt;'111'!$L$11),"x","")</f>
        <v/>
      </c>
      <c r="S3784" s="75" t="str">
        <f>IF(AND($O3784=$Q$7,$B3784&lt;'111'!$L$11),"x","")</f>
        <v>x</v>
      </c>
      <c r="T3784" s="75" t="str">
        <f>IF(ISERROR(FIND('112'!$M$9,G3784,1)),"",IF((AND(FIND('112'!$M$9,G3784,1)&gt;=1,B3784='112'!$K$9,OR($N3784='112'!$I$6,$O3784='112'!$I$6))),"x",""))</f>
        <v/>
      </c>
      <c r="U3784" s="75" t="str">
        <f>IF(ISERROR(FIND('112'!$M$9,G3784,1)),"",IF((AND(LEFT(G3784,2)=LEFT('112'!$M$9,2),B3784&lt;'112'!$K$9,$N3784='112'!$I$6)),"x",""))</f>
        <v/>
      </c>
      <c r="V3784" s="75" t="str">
        <f>IF(ISERROR(FIND('112'!$M$9,G3784,1)),"",IF((AND(RIGHT(G3784,2)=RIGHT('112'!$M$9,2),B3784&lt;'112'!$K$9,$O3784='112'!$I$6)),"x",""))</f>
        <v/>
      </c>
      <c r="W3784" s="75" t="str">
        <f>IF(AND('341-CT'!$H$9=H3784,OR(LEFT(N3784,3)=$W$7,LEFT(O3784,3)=$W$7)),"x","")</f>
        <v/>
      </c>
      <c r="X3784" s="75" t="str">
        <f>IF(OR(TH!N3531=TH!$X$7,O3784=TH!$X$7),"x","")</f>
        <v/>
      </c>
      <c r="Y3784" s="75" t="str">
        <f>IF(AND(OR(N3784="131",O3784="131"),H3784='131-CT'!$H$9),"x","")</f>
        <v/>
      </c>
      <c r="Z3784" s="75"/>
      <c r="AA3784" s="75" t="str">
        <f>IF(AND(MONTH(E3784)='IN-NX'!$J$5,'IN-NX'!$D$7=D3784),"x","")</f>
        <v/>
      </c>
      <c r="AB3784" s="75" t="str">
        <f>IF(AND(OR(LEFT(TH!N3531,2)="15",LEFT(TH!O3531,2)="15"),LEFT(TH!O3531,3)&lt;&gt;"111",'152-CT'!$J$8=TH!F3531),"x","")</f>
        <v/>
      </c>
      <c r="AC3784" s="75" t="str">
        <f>IF(AND(OR(LEFT(TH!N3531,2)="15",LEFT(TH!O3531,2)="15"),TK!$E$7=TH!F3531),"x","")</f>
        <v/>
      </c>
      <c r="AD3784" s="75" t="str">
        <f>IF(AND(N3784="1521",MONTH(C3784)='BK-NL'!$M$11),"x","")</f>
        <v/>
      </c>
    </row>
    <row r="3785" spans="1:30" ht="16.5" customHeight="1">
      <c r="A3785" s="309" t="str">
        <f>IF(B3785&lt;&gt;"",IF(AND(B3785='IN-TC'!$S$4,OR(TH!N3783="1111",TH!O3783="1111")),TH!D3783,""),"")</f>
        <v>C17</v>
      </c>
      <c r="B3785" s="1169">
        <f t="shared" si="1302"/>
        <v>3</v>
      </c>
      <c r="C3785" s="292">
        <f t="shared" si="1303"/>
        <v>42809</v>
      </c>
      <c r="D3785" s="292" t="s">
        <v>1932</v>
      </c>
      <c r="E3785" s="292">
        <v>42809</v>
      </c>
      <c r="F3785" s="67" t="s">
        <v>1165</v>
      </c>
      <c r="G3785" s="925" t="s">
        <v>1157</v>
      </c>
      <c r="H3785" s="294" t="s">
        <v>796</v>
      </c>
      <c r="I3785" s="373"/>
      <c r="J3785" s="926"/>
      <c r="K3785" s="373"/>
      <c r="L3785" s="379"/>
      <c r="M3785" s="927">
        <v>18980500</v>
      </c>
      <c r="N3785" s="295" t="s">
        <v>8</v>
      </c>
      <c r="O3785" s="295" t="s">
        <v>63</v>
      </c>
      <c r="P3785" s="75" t="str">
        <f>IF(AND('331-CT'!$E$7=TH!H3532,OR(N3785="331",O3785="331")),"x","")</f>
        <v/>
      </c>
      <c r="Q3785" s="75" t="str">
        <f>IF(AND(B3785='111'!$L$11,OR($N3785=$Q$7,$O3785=$Q$7)),"x","")</f>
        <v/>
      </c>
      <c r="R3785" s="75" t="str">
        <f>IF(AND($N3785=$Q$7,$B3785&lt;'111'!$L$11),"x","")</f>
        <v/>
      </c>
      <c r="S3785" s="75" t="str">
        <f>IF(AND($O3785=$Q$7,$B3785&lt;'111'!$L$11),"x","")</f>
        <v>x</v>
      </c>
      <c r="T3785" s="75" t="str">
        <f>IF(ISERROR(FIND('112'!$M$9,G3785,1)),"",IF((AND(FIND('112'!$M$9,G3785,1)&gt;=1,B3785='112'!$K$9,OR($N3785='112'!$I$6,$O3785='112'!$I$6))),"x",""))</f>
        <v/>
      </c>
      <c r="U3785" s="75" t="str">
        <f>IF(ISERROR(FIND('112'!$M$9,G3785,1)),"",IF((AND(LEFT(G3785,2)=LEFT('112'!$M$9,2),B3785&lt;'112'!$K$9,$N3785='112'!$I$6)),"x",""))</f>
        <v/>
      </c>
      <c r="V3785" s="75" t="str">
        <f>IF(ISERROR(FIND('112'!$M$9,G3785,1)),"",IF((AND(RIGHT(G3785,2)=RIGHT('112'!$M$9,2),B3785&lt;'112'!$K$9,$O3785='112'!$I$6)),"x",""))</f>
        <v/>
      </c>
      <c r="W3785" s="75" t="str">
        <f>IF(AND('341-CT'!$H$9=H3785,OR(LEFT(N3785,3)=$W$7,LEFT(O3785,3)=$W$7)),"x","")</f>
        <v/>
      </c>
      <c r="X3785" s="75" t="str">
        <f>IF(OR(TH!N3532=TH!$X$7,O3785=TH!$X$7),"x","")</f>
        <v/>
      </c>
      <c r="Y3785" s="75" t="str">
        <f>IF(AND(OR(N3785="131",O3785="131"),H3785='131-CT'!$H$9),"x","")</f>
        <v/>
      </c>
      <c r="Z3785" s="75"/>
      <c r="AA3785" s="75" t="str">
        <f>IF(AND(MONTH(E3785)='IN-NX'!$J$5,'IN-NX'!$D$7=D3785),"x","")</f>
        <v/>
      </c>
      <c r="AB3785" s="75" t="str">
        <f>IF(AND(OR(LEFT(TH!N3532,2)="15",LEFT(TH!O3532,2)="15"),LEFT(TH!O3532,3)&lt;&gt;"111",'152-CT'!$J$8=TH!F3532),"x","")</f>
        <v/>
      </c>
      <c r="AC3785" s="75" t="str">
        <f>IF(AND(OR(LEFT(TH!N3532,2)="15",LEFT(TH!O3532,2)="15"),TK!$E$7=TH!F3532),"x","")</f>
        <v/>
      </c>
      <c r="AD3785" s="75" t="str">
        <f>IF(AND(N3785="1521",MONTH(C3785)='BK-NL'!$M$11),"x","")</f>
        <v/>
      </c>
    </row>
    <row r="3786" spans="1:30" ht="16.5" customHeight="1">
      <c r="A3786" s="309" t="str">
        <f>IF(B3786&lt;&gt;"",IF(AND(B3786='IN-TC'!$S$4,OR(TH!N3784="1111",TH!O3784="1111")),TH!D3784,""),"")</f>
        <v>C17</v>
      </c>
      <c r="B3786" s="1169">
        <f t="shared" si="1302"/>
        <v>3</v>
      </c>
      <c r="C3786" s="292">
        <f t="shared" si="1303"/>
        <v>42809</v>
      </c>
      <c r="D3786" s="292" t="s">
        <v>853</v>
      </c>
      <c r="E3786" s="292">
        <v>42809</v>
      </c>
      <c r="F3786" s="293" t="s">
        <v>834</v>
      </c>
      <c r="G3786" s="943" t="s">
        <v>747</v>
      </c>
      <c r="H3786" s="67" t="s">
        <v>1023</v>
      </c>
      <c r="I3786" s="373"/>
      <c r="J3786" s="926"/>
      <c r="K3786" s="373"/>
      <c r="L3786" s="379"/>
      <c r="M3786" s="927">
        <v>340000000</v>
      </c>
      <c r="N3786" s="295" t="s">
        <v>63</v>
      </c>
      <c r="O3786" s="295" t="s">
        <v>26</v>
      </c>
      <c r="P3786" s="75" t="str">
        <f>IF(AND('331-CT'!$E$7=TH!H5031,OR(N3786="331",O3786="331")),"x","")</f>
        <v/>
      </c>
      <c r="Q3786" s="75" t="str">
        <f>IF(AND(B3786='111'!$L$11,OR($N3786=$Q$7,$O3786=$Q$7)),"x","")</f>
        <v/>
      </c>
      <c r="R3786" s="75" t="str">
        <f>IF(AND($N3786=$Q$7,$B3786&lt;'111'!$L$11),"x","")</f>
        <v>x</v>
      </c>
      <c r="S3786" s="75" t="str">
        <f>IF(AND($O3786=$Q$7,$B3786&lt;'111'!$L$11),"x","")</f>
        <v/>
      </c>
      <c r="T3786" s="75" t="str">
        <f>IF(ISERROR(FIND('112'!$M$9,G3786,1)),"",IF((AND(FIND('112'!$M$9,G3786,1)&gt;=1,B3786='112'!$K$9,OR($N3786='112'!$I$6,$O3786='112'!$I$6))),"x",""))</f>
        <v/>
      </c>
      <c r="U3786" s="75" t="str">
        <f>IF(ISERROR(FIND('112'!$M$9,G3786,1)),"",IF((AND(LEFT(G3786,2)=LEFT('112'!$M$9,2),B3786&lt;'112'!$K$9,$N3786='112'!$I$6)),"x",""))</f>
        <v/>
      </c>
      <c r="V3786" s="75" t="str">
        <f>IF(ISERROR(FIND('112'!$M$9,G3786,1)),"",IF((AND(RIGHT(G3786,2)=RIGHT('112'!$M$9,2),B3786&lt;'112'!$K$9,$O3786='112'!$I$6)),"x",""))</f>
        <v/>
      </c>
      <c r="W3786" s="75" t="str">
        <f>IF(AND('341-CT'!$H$9=H3786,OR(LEFT(N3786,3)=$W$7,LEFT(O3786,3)=$W$7)),"x","")</f>
        <v/>
      </c>
      <c r="X3786" s="75" t="str">
        <f>IF(OR(TH!N5031=TH!$X$7,O3786=TH!$X$7),"x","")</f>
        <v/>
      </c>
      <c r="Y3786" s="75" t="str">
        <f>IF(AND(OR(N3786="131",O3786="131"),H3786='131-CT'!$H$9),"x","")</f>
        <v/>
      </c>
      <c r="Z3786" s="75"/>
      <c r="AA3786" s="75" t="str">
        <f>IF(AND(MONTH(E3786)='IN-NX'!$J$5,'IN-NX'!$D$7=D3786),"x","")</f>
        <v/>
      </c>
      <c r="AB3786" s="75" t="str">
        <f>IF(AND(OR(LEFT(TH!N5031,2)="15",LEFT(TH!O5031,2)="15"),LEFT(TH!O5031,3)&lt;&gt;"111",'152-CT'!$J$8=TH!F5031),"x","")</f>
        <v/>
      </c>
      <c r="AC3786" s="75" t="str">
        <f>IF(AND(OR(LEFT(TH!N5031,2)="15",LEFT(TH!O5031,2)="15"),TK!$E$7=TH!F5031),"x","")</f>
        <v/>
      </c>
      <c r="AD3786" s="75" t="str">
        <f>IF(AND(N3786="1521",MONTH(C3786)='BK-NL'!$M$11),"x","")</f>
        <v/>
      </c>
    </row>
    <row r="3787" spans="1:30" ht="16.5" customHeight="1">
      <c r="A3787" s="309" t="str">
        <f>IF(B3787&lt;&gt;"",IF(AND(B3787='IN-TC'!$S$4,OR(TH!N3785="1111",TH!O3785="1111")),TH!D3785,""),"")</f>
        <v>C18</v>
      </c>
      <c r="B3787" s="1169">
        <f t="shared" si="1302"/>
        <v>3</v>
      </c>
      <c r="C3787" s="292">
        <f t="shared" si="1303"/>
        <v>42810</v>
      </c>
      <c r="D3787" s="292" t="s">
        <v>1933</v>
      </c>
      <c r="E3787" s="292">
        <v>42810</v>
      </c>
      <c r="F3787" s="67" t="s">
        <v>1165</v>
      </c>
      <c r="G3787" s="925" t="s">
        <v>1158</v>
      </c>
      <c r="H3787" s="294" t="s">
        <v>796</v>
      </c>
      <c r="I3787" s="373"/>
      <c r="J3787" s="926"/>
      <c r="K3787" s="373"/>
      <c r="L3787" s="379"/>
      <c r="M3787" s="927">
        <v>18980500</v>
      </c>
      <c r="N3787" s="295" t="s">
        <v>8</v>
      </c>
      <c r="O3787" s="295" t="s">
        <v>63</v>
      </c>
      <c r="P3787" s="75" t="str">
        <f>IF(AND('331-CT'!$E$7=TH!H3533,OR(N3787="331",O3787="331")),"x","")</f>
        <v/>
      </c>
      <c r="Q3787" s="75" t="str">
        <f>IF(AND(B3787='111'!$L$11,OR($N3787=$Q$7,$O3787=$Q$7)),"x","")</f>
        <v/>
      </c>
      <c r="R3787" s="75" t="str">
        <f>IF(AND($N3787=$Q$7,$B3787&lt;'111'!$L$11),"x","")</f>
        <v/>
      </c>
      <c r="S3787" s="75" t="str">
        <f>IF(AND($O3787=$Q$7,$B3787&lt;'111'!$L$11),"x","")</f>
        <v>x</v>
      </c>
      <c r="T3787" s="75" t="str">
        <f>IF(ISERROR(FIND('112'!$M$9,G3787,1)),"",IF((AND(FIND('112'!$M$9,G3787,1)&gt;=1,B3787='112'!$K$9,OR($N3787='112'!$I$6,$O3787='112'!$I$6))),"x",""))</f>
        <v/>
      </c>
      <c r="U3787" s="75" t="str">
        <f>IF(ISERROR(FIND('112'!$M$9,G3787,1)),"",IF((AND(LEFT(G3787,2)=LEFT('112'!$M$9,2),B3787&lt;'112'!$K$9,$N3787='112'!$I$6)),"x",""))</f>
        <v/>
      </c>
      <c r="V3787" s="75" t="str">
        <f>IF(ISERROR(FIND('112'!$M$9,G3787,1)),"",IF((AND(RIGHT(G3787,2)=RIGHT('112'!$M$9,2),B3787&lt;'112'!$K$9,$O3787='112'!$I$6)),"x",""))</f>
        <v/>
      </c>
      <c r="W3787" s="75" t="str">
        <f>IF(AND('341-CT'!$H$9=H3787,OR(LEFT(N3787,3)=$W$7,LEFT(O3787,3)=$W$7)),"x","")</f>
        <v/>
      </c>
      <c r="X3787" s="75" t="str">
        <f>IF(OR(TH!N3533=TH!$X$7,O3787=TH!$X$7),"x","")</f>
        <v/>
      </c>
      <c r="Y3787" s="75" t="str">
        <f>IF(AND(OR(N3787="131",O3787="131"),H3787='131-CT'!$H$9),"x","")</f>
        <v/>
      </c>
      <c r="Z3787" s="75"/>
      <c r="AA3787" s="75" t="str">
        <f>IF(AND(MONTH(E3787)='IN-NX'!$J$5,'IN-NX'!$D$7=D3787),"x","")</f>
        <v/>
      </c>
      <c r="AB3787" s="75" t="str">
        <f>IF(AND(OR(LEFT(TH!N3533,2)="15",LEFT(TH!O3533,2)="15"),LEFT(TH!O3533,3)&lt;&gt;"111",'152-CT'!$J$8=TH!F3533),"x","")</f>
        <v/>
      </c>
      <c r="AC3787" s="75" t="str">
        <f>IF(AND(OR(LEFT(TH!N3533,2)="15",LEFT(TH!O3533,2)="15"),TK!$E$7=TH!F3533),"x","")</f>
        <v/>
      </c>
      <c r="AD3787" s="75" t="str">
        <f>IF(AND(N3787="1521",MONTH(C3787)='BK-NL'!$M$11),"x","")</f>
        <v/>
      </c>
    </row>
    <row r="3788" spans="1:30" ht="16.5" customHeight="1">
      <c r="A3788" s="309" t="str">
        <f>IF(B3788&lt;&gt;"",IF(AND(B3788='IN-TC'!$S$4,OR(TH!N3786="1111",TH!O3786="1111")),TH!D3786,""),"")</f>
        <v>T06</v>
      </c>
      <c r="B3788" s="1169">
        <f t="shared" si="1302"/>
        <v>3</v>
      </c>
      <c r="C3788" s="292">
        <f t="shared" si="1303"/>
        <v>42810</v>
      </c>
      <c r="D3788" s="292" t="s">
        <v>1934</v>
      </c>
      <c r="E3788" s="292">
        <v>42810</v>
      </c>
      <c r="F3788" s="67" t="s">
        <v>1165</v>
      </c>
      <c r="G3788" s="925" t="s">
        <v>1376</v>
      </c>
      <c r="H3788" s="294" t="s">
        <v>797</v>
      </c>
      <c r="I3788" s="373"/>
      <c r="J3788" s="926"/>
      <c r="K3788" s="373"/>
      <c r="L3788" s="379"/>
      <c r="M3788" s="927">
        <v>18980500</v>
      </c>
      <c r="N3788" s="295" t="s">
        <v>8</v>
      </c>
      <c r="O3788" s="295" t="s">
        <v>63</v>
      </c>
      <c r="P3788" s="75" t="str">
        <f>IF(AND('331-CT'!$E$7=TH!H3534,OR(N3788="331",O3788="331")),"x","")</f>
        <v/>
      </c>
      <c r="Q3788" s="75" t="str">
        <f>IF(AND(B3788='111'!$L$11,OR($N3788=$Q$7,$O3788=$Q$7)),"x","")</f>
        <v/>
      </c>
      <c r="R3788" s="75" t="str">
        <f>IF(AND($N3788=$Q$7,$B3788&lt;'111'!$L$11),"x","")</f>
        <v/>
      </c>
      <c r="S3788" s="75" t="str">
        <f>IF(AND($O3788=$Q$7,$B3788&lt;'111'!$L$11),"x","")</f>
        <v>x</v>
      </c>
      <c r="T3788" s="75" t="str">
        <f>IF(ISERROR(FIND('112'!$M$9,G3788,1)),"",IF((AND(FIND('112'!$M$9,G3788,1)&gt;=1,B3788='112'!$K$9,OR($N3788='112'!$I$6,$O3788='112'!$I$6))),"x",""))</f>
        <v/>
      </c>
      <c r="U3788" s="75" t="str">
        <f>IF(ISERROR(FIND('112'!$M$9,G3788,1)),"",IF((AND(LEFT(G3788,2)=LEFT('112'!$M$9,2),B3788&lt;'112'!$K$9,$N3788='112'!$I$6)),"x",""))</f>
        <v/>
      </c>
      <c r="V3788" s="75" t="str">
        <f>IF(ISERROR(FIND('112'!$M$9,G3788,1)),"",IF((AND(RIGHT(G3788,2)=RIGHT('112'!$M$9,2),B3788&lt;'112'!$K$9,$O3788='112'!$I$6)),"x",""))</f>
        <v/>
      </c>
      <c r="W3788" s="75" t="str">
        <f>IF(AND('341-CT'!$H$9=H3788,OR(LEFT(N3788,3)=$W$7,LEFT(O3788,3)=$W$7)),"x","")</f>
        <v/>
      </c>
      <c r="X3788" s="75" t="str">
        <f>IF(OR(TH!N3534=TH!$X$7,O3788=TH!$X$7),"x","")</f>
        <v/>
      </c>
      <c r="Y3788" s="75" t="str">
        <f>IF(AND(OR(N3788="131",O3788="131"),H3788='131-CT'!$H$9),"x","")</f>
        <v/>
      </c>
      <c r="Z3788" s="75"/>
      <c r="AA3788" s="75" t="str">
        <f>IF(AND(MONTH(E3788)='IN-NX'!$J$5,'IN-NX'!$D$7=D3788),"x","")</f>
        <v/>
      </c>
      <c r="AB3788" s="75" t="str">
        <f>IF(AND(OR(LEFT(TH!N3534,2)="15",LEFT(TH!O3534,2)="15"),LEFT(TH!O3534,3)&lt;&gt;"111",'152-CT'!$J$8=TH!F3534),"x","")</f>
        <v/>
      </c>
      <c r="AC3788" s="75" t="str">
        <f>IF(AND(OR(LEFT(TH!N3534,2)="15",LEFT(TH!O3534,2)="15"),TK!$E$7=TH!F3534),"x","")</f>
        <v/>
      </c>
      <c r="AD3788" s="75" t="str">
        <f>IF(AND(N3788="1521",MONTH(C3788)='BK-NL'!$M$11),"x","")</f>
        <v/>
      </c>
    </row>
    <row r="3789" spans="1:30" ht="16.5" customHeight="1">
      <c r="A3789" s="309" t="str">
        <f>IF(B3789&lt;&gt;"",IF(AND(B3789='IN-TC'!$S$4,OR(TH!N3787="1111",TH!O3787="1111")),TH!D3787,""),"")</f>
        <v>C19</v>
      </c>
      <c r="B3789" s="1169">
        <f t="shared" si="1302"/>
        <v>3</v>
      </c>
      <c r="C3789" s="292">
        <f t="shared" si="1303"/>
        <v>42810</v>
      </c>
      <c r="D3789" s="59" t="s">
        <v>902</v>
      </c>
      <c r="E3789" s="59">
        <v>42810</v>
      </c>
      <c r="F3789" s="67" t="s">
        <v>1096</v>
      </c>
      <c r="G3789" s="62" t="s">
        <v>585</v>
      </c>
      <c r="H3789" s="311" t="s">
        <v>806</v>
      </c>
      <c r="I3789" s="373"/>
      <c r="J3789" s="379"/>
      <c r="K3789" s="373"/>
      <c r="L3789" s="379"/>
      <c r="M3789" s="60">
        <v>5218021</v>
      </c>
      <c r="N3789" s="61" t="s">
        <v>99</v>
      </c>
      <c r="O3789" s="61" t="s">
        <v>26</v>
      </c>
      <c r="P3789" s="75" t="str">
        <f>IF(AND('331-CT'!$E$7=TH!H4704,OR(N3789="331",O3789="331")),"x","")</f>
        <v/>
      </c>
      <c r="Q3789" s="75" t="str">
        <f>IF(AND(B3789='111'!$L$11,OR($N3789=$Q$7,$O3789=$Q$7)),"x","")</f>
        <v/>
      </c>
      <c r="R3789" s="75" t="str">
        <f>IF(AND($N3789=$Q$7,$B3789&lt;'111'!$L$11),"x","")</f>
        <v/>
      </c>
      <c r="S3789" s="75" t="str">
        <f>IF(AND($O3789=$Q$7,$B3789&lt;'111'!$L$11),"x","")</f>
        <v/>
      </c>
      <c r="T3789" s="75" t="str">
        <f>IF(ISERROR(FIND('112'!$M$9,G3789,1)),"",IF((AND(FIND('112'!$M$9,G3789,1)&gt;=1,B3789='112'!$K$9,OR($N3789='112'!$I$6,$O3789='112'!$I$6))),"x",""))</f>
        <v/>
      </c>
      <c r="U3789" s="75" t="str">
        <f>IF(ISERROR(FIND('112'!$M$9,G3789,1)),"",IF((AND(LEFT(G3789,2)=LEFT('112'!$M$9,2),B3789&lt;'112'!$K$9,$N3789='112'!$I$6)),"x",""))</f>
        <v/>
      </c>
      <c r="V3789" s="75" t="str">
        <f>IF(ISERROR(FIND('112'!$M$9,G3789,1)),"",IF((AND(RIGHT(G3789,2)=RIGHT('112'!$M$9,2),B3789&lt;'112'!$K$9,$O3789='112'!$I$6)),"x",""))</f>
        <v/>
      </c>
      <c r="W3789" s="75" t="str">
        <f>IF(AND('341-CT'!$H$9=H3789,OR(LEFT(N3789,3)=$W$7,LEFT(O3789,3)=$W$7)),"x","")</f>
        <v/>
      </c>
      <c r="X3789" s="75" t="str">
        <f>IF(OR(TH!N4704=TH!$X$7,O3789=TH!$X$7),"x","")</f>
        <v/>
      </c>
      <c r="Y3789" s="75" t="str">
        <f>IF(AND(OR(N3789="131",O3789="131"),H3789='131-CT'!$H$9),"x","")</f>
        <v/>
      </c>
      <c r="Z3789" s="75"/>
      <c r="AA3789" s="75" t="str">
        <f>IF(AND(MONTH(E3789)='IN-NX'!$J$5,'IN-NX'!$D$7=D3789),"x","")</f>
        <v/>
      </c>
      <c r="AB3789" s="75" t="str">
        <f>IF(AND(OR(LEFT(TH!N4704,2)="15",LEFT(TH!O4704,2)="15"),LEFT(TH!O4704,3)&lt;&gt;"111",'152-CT'!$J$8=TH!F4704),"x","")</f>
        <v/>
      </c>
      <c r="AC3789" s="75" t="str">
        <f>IF(AND(OR(LEFT(TH!N4704,2)="15",LEFT(TH!O4704,2)="15"),TK!$E$7=TH!F4704),"x","")</f>
        <v/>
      </c>
      <c r="AD3789" s="75" t="str">
        <f>IF(AND(N3789="1521",MONTH(C3789)='BK-NL'!$M$11),"x","")</f>
        <v/>
      </c>
    </row>
    <row r="3790" spans="1:30" ht="16.5" customHeight="1">
      <c r="A3790" s="309" t="str">
        <f>IF(B3790&lt;&gt;"",IF(AND(B3790='IN-TC'!$S$4,OR(TH!N3788="1111",TH!O3788="1111")),TH!D3788,""),"")</f>
        <v>C20</v>
      </c>
      <c r="B3790" s="1169">
        <f t="shared" si="1302"/>
        <v>3</v>
      </c>
      <c r="C3790" s="292">
        <f t="shared" si="1303"/>
        <v>42810</v>
      </c>
      <c r="D3790" s="59" t="s">
        <v>902</v>
      </c>
      <c r="E3790" s="59">
        <v>42810</v>
      </c>
      <c r="F3790" s="67" t="s">
        <v>1096</v>
      </c>
      <c r="G3790" s="62" t="s">
        <v>585</v>
      </c>
      <c r="H3790" s="311" t="s">
        <v>807</v>
      </c>
      <c r="I3790" s="373"/>
      <c r="J3790" s="379"/>
      <c r="K3790" s="373"/>
      <c r="L3790" s="379"/>
      <c r="M3790" s="60">
        <v>3151214</v>
      </c>
      <c r="N3790" s="61" t="s">
        <v>99</v>
      </c>
      <c r="O3790" s="61" t="s">
        <v>26</v>
      </c>
      <c r="P3790" s="75" t="str">
        <f>IF(AND('331-CT'!$E$7=TH!H4705,OR(N3790="331",O3790="331")),"x","")</f>
        <v/>
      </c>
      <c r="Q3790" s="75" t="str">
        <f>IF(AND(B3790='111'!$L$11,OR($N3790=$Q$7,$O3790=$Q$7)),"x","")</f>
        <v/>
      </c>
      <c r="R3790" s="75" t="str">
        <f>IF(AND($N3790=$Q$7,$B3790&lt;'111'!$L$11),"x","")</f>
        <v/>
      </c>
      <c r="S3790" s="75" t="str">
        <f>IF(AND($O3790=$Q$7,$B3790&lt;'111'!$L$11),"x","")</f>
        <v/>
      </c>
      <c r="T3790" s="75" t="str">
        <f>IF(ISERROR(FIND('112'!$M$9,G3790,1)),"",IF((AND(FIND('112'!$M$9,G3790,1)&gt;=1,B3790='112'!$K$9,OR($N3790='112'!$I$6,$O3790='112'!$I$6))),"x",""))</f>
        <v/>
      </c>
      <c r="U3790" s="75" t="str">
        <f>IF(ISERROR(FIND('112'!$M$9,G3790,1)),"",IF((AND(LEFT(G3790,2)=LEFT('112'!$M$9,2),B3790&lt;'112'!$K$9,$N3790='112'!$I$6)),"x",""))</f>
        <v/>
      </c>
      <c r="V3790" s="75" t="str">
        <f>IF(ISERROR(FIND('112'!$M$9,G3790,1)),"",IF((AND(RIGHT(G3790,2)=RIGHT('112'!$M$9,2),B3790&lt;'112'!$K$9,$O3790='112'!$I$6)),"x",""))</f>
        <v/>
      </c>
      <c r="W3790" s="75" t="str">
        <f>IF(AND('341-CT'!$H$9=H3790,OR(LEFT(N3790,3)=$W$7,LEFT(O3790,3)=$W$7)),"x","")</f>
        <v/>
      </c>
      <c r="X3790" s="75" t="str">
        <f>IF(OR(TH!N4705=TH!$X$7,O3790=TH!$X$7),"x","")</f>
        <v/>
      </c>
      <c r="Y3790" s="75" t="str">
        <f>IF(AND(OR(N3790="131",O3790="131"),H3790='131-CT'!$H$9),"x","")</f>
        <v/>
      </c>
      <c r="Z3790" s="75"/>
      <c r="AA3790" s="75" t="str">
        <f>IF(AND(MONTH(E3790)='IN-NX'!$J$5,'IN-NX'!$D$7=D3790),"x","")</f>
        <v/>
      </c>
      <c r="AB3790" s="75" t="str">
        <f>IF(AND(OR(LEFT(TH!N4705,2)="15",LEFT(TH!O4705,2)="15"),LEFT(TH!O4705,3)&lt;&gt;"111",'152-CT'!$J$8=TH!F4705),"x","")</f>
        <v/>
      </c>
      <c r="AC3790" s="75" t="str">
        <f>IF(AND(OR(LEFT(TH!N4705,2)="15",LEFT(TH!O4705,2)="15"),TK!$E$7=TH!F4705),"x","")</f>
        <v/>
      </c>
      <c r="AD3790" s="75" t="str">
        <f>IF(AND(N3790="1521",MONTH(C3790)='BK-NL'!$M$11),"x","")</f>
        <v/>
      </c>
    </row>
    <row r="3791" spans="1:30" ht="16.5" customHeight="1">
      <c r="A3791" s="309" t="str">
        <f>IF(B3791&lt;&gt;"",IF(AND(B3791='IN-TC'!$S$4,OR(TH!N3789="1111",TH!O3789="1111")),TH!D3789,""),"")</f>
        <v/>
      </c>
      <c r="B3791" s="1169">
        <f t="shared" si="1302"/>
        <v>3</v>
      </c>
      <c r="C3791" s="292">
        <f t="shared" si="1303"/>
        <v>42810</v>
      </c>
      <c r="D3791" s="59" t="s">
        <v>902</v>
      </c>
      <c r="E3791" s="59">
        <v>42810</v>
      </c>
      <c r="F3791" s="67" t="s">
        <v>1096</v>
      </c>
      <c r="G3791" s="62" t="s">
        <v>585</v>
      </c>
      <c r="H3791" s="311" t="s">
        <v>1095</v>
      </c>
      <c r="I3791" s="373"/>
      <c r="J3791" s="379"/>
      <c r="K3791" s="373"/>
      <c r="L3791" s="379"/>
      <c r="M3791" s="60">
        <v>2818270</v>
      </c>
      <c r="N3791" s="61" t="s">
        <v>99</v>
      </c>
      <c r="O3791" s="61" t="s">
        <v>26</v>
      </c>
      <c r="P3791" s="75" t="str">
        <f>IF(AND('331-CT'!$E$7=TH!H4706,OR(N3791="331",O3791="331")),"x","")</f>
        <v/>
      </c>
      <c r="Q3791" s="75" t="str">
        <f>IF(AND(B3791='111'!$L$11,OR($N3791=$Q$7,$O3791=$Q$7)),"x","")</f>
        <v/>
      </c>
      <c r="R3791" s="75" t="str">
        <f>IF(AND($N3791=$Q$7,$B3791&lt;'111'!$L$11),"x","")</f>
        <v/>
      </c>
      <c r="S3791" s="75" t="str">
        <f>IF(AND($O3791=$Q$7,$B3791&lt;'111'!$L$11),"x","")</f>
        <v/>
      </c>
      <c r="T3791" s="75" t="str">
        <f>IF(ISERROR(FIND('112'!$M$9,G3791,1)),"",IF((AND(FIND('112'!$M$9,G3791,1)&gt;=1,B3791='112'!$K$9,OR($N3791='112'!$I$6,$O3791='112'!$I$6))),"x",""))</f>
        <v/>
      </c>
      <c r="U3791" s="75" t="str">
        <f>IF(ISERROR(FIND('112'!$M$9,G3791,1)),"",IF((AND(LEFT(G3791,2)=LEFT('112'!$M$9,2),B3791&lt;'112'!$K$9,$N3791='112'!$I$6)),"x",""))</f>
        <v/>
      </c>
      <c r="V3791" s="75" t="str">
        <f>IF(ISERROR(FIND('112'!$M$9,G3791,1)),"",IF((AND(RIGHT(G3791,2)=RIGHT('112'!$M$9,2),B3791&lt;'112'!$K$9,$O3791='112'!$I$6)),"x",""))</f>
        <v/>
      </c>
      <c r="W3791" s="75" t="str">
        <f>IF(AND('341-CT'!$H$9=H3791,OR(LEFT(N3791,3)=$W$7,LEFT(O3791,3)=$W$7)),"x","")</f>
        <v/>
      </c>
      <c r="X3791" s="75" t="str">
        <f>IF(OR(TH!N4706=TH!$X$7,O3791=TH!$X$7),"x","")</f>
        <v/>
      </c>
      <c r="Y3791" s="75" t="str">
        <f>IF(AND(OR(N3791="131",O3791="131"),H3791='131-CT'!$H$9),"x","")</f>
        <v/>
      </c>
      <c r="Z3791" s="75"/>
      <c r="AA3791" s="75" t="str">
        <f>IF(AND(MONTH(E3791)='IN-NX'!$J$5,'IN-NX'!$D$7=D3791),"x","")</f>
        <v/>
      </c>
      <c r="AB3791" s="75" t="str">
        <f>IF(AND(OR(LEFT(TH!N4706,2)="15",LEFT(TH!O4706,2)="15"),LEFT(TH!O4706,3)&lt;&gt;"111",'152-CT'!$J$8=TH!F4706),"x","")</f>
        <v/>
      </c>
      <c r="AC3791" s="75" t="str">
        <f>IF(AND(OR(LEFT(TH!N4706,2)="15",LEFT(TH!O4706,2)="15"),TK!$E$7=TH!F4706),"x","")</f>
        <v/>
      </c>
      <c r="AD3791" s="75" t="str">
        <f>IF(AND(N3791="1521",MONTH(C3791)='BK-NL'!$M$11),"x","")</f>
        <v/>
      </c>
    </row>
    <row r="3792" spans="1:30" ht="16.5" customHeight="1">
      <c r="A3792" s="309" t="str">
        <f>IF(B3792&lt;&gt;"",IF(AND(B3792='IN-TC'!$S$4,OR(TH!N3790="1111",TH!O3790="1111")),TH!D3790,""),"")</f>
        <v/>
      </c>
      <c r="B3792" s="1169">
        <f t="shared" si="1302"/>
        <v>3</v>
      </c>
      <c r="C3792" s="292">
        <f t="shared" si="1303"/>
        <v>42810</v>
      </c>
      <c r="D3792" s="59" t="s">
        <v>902</v>
      </c>
      <c r="E3792" s="59">
        <v>42810</v>
      </c>
      <c r="F3792" s="62" t="s">
        <v>1203</v>
      </c>
      <c r="G3792" s="62" t="s">
        <v>747</v>
      </c>
      <c r="H3792" s="311" t="s">
        <v>835</v>
      </c>
      <c r="I3792" s="373"/>
      <c r="J3792" s="379"/>
      <c r="K3792" s="373"/>
      <c r="L3792" s="379"/>
      <c r="M3792" s="60">
        <v>114250</v>
      </c>
      <c r="N3792" s="61" t="s">
        <v>101</v>
      </c>
      <c r="O3792" s="61" t="s">
        <v>26</v>
      </c>
      <c r="P3792" s="75" t="str">
        <f>IF(AND('331-CT'!$E$7=TH!H5032,OR(N3792="331",O3792="331")),"x","")</f>
        <v/>
      </c>
      <c r="Q3792" s="75" t="str">
        <f>IF(AND(B3792='111'!$L$11,OR($N3792=$Q$7,$O3792=$Q$7)),"x","")</f>
        <v/>
      </c>
      <c r="R3792" s="75" t="str">
        <f>IF(AND($N3792=$Q$7,$B3792&lt;'111'!$L$11),"x","")</f>
        <v/>
      </c>
      <c r="S3792" s="75" t="str">
        <f>IF(AND($O3792=$Q$7,$B3792&lt;'111'!$L$11),"x","")</f>
        <v/>
      </c>
      <c r="T3792" s="75" t="str">
        <f>IF(ISERROR(FIND('112'!$M$9,G3792,1)),"",IF((AND(FIND('112'!$M$9,G3792,1)&gt;=1,B3792='112'!$K$9,OR($N3792='112'!$I$6,$O3792='112'!$I$6))),"x",""))</f>
        <v/>
      </c>
      <c r="U3792" s="75" t="str">
        <f>IF(ISERROR(FIND('112'!$M$9,G3792,1)),"",IF((AND(LEFT(G3792,2)=LEFT('112'!$M$9,2),B3792&lt;'112'!$K$9,$N3792='112'!$I$6)),"x",""))</f>
        <v/>
      </c>
      <c r="V3792" s="75" t="str">
        <f>IF(ISERROR(FIND('112'!$M$9,G3792,1)),"",IF((AND(RIGHT(G3792,2)=RIGHT('112'!$M$9,2),B3792&lt;'112'!$K$9,$O3792='112'!$I$6)),"x",""))</f>
        <v/>
      </c>
      <c r="W3792" s="75" t="str">
        <f>IF(AND('341-CT'!$H$9=H3792,OR(LEFT(N3792,3)=$W$7,LEFT(O3792,3)=$W$7)),"x","")</f>
        <v/>
      </c>
      <c r="X3792" s="75" t="str">
        <f>IF(OR(TH!N5032=TH!$X$7,O3792=TH!$X$7),"x","")</f>
        <v/>
      </c>
      <c r="Y3792" s="75" t="str">
        <f>IF(AND(OR(N3792="131",O3792="131"),H3792='131-CT'!$H$9),"x","")</f>
        <v/>
      </c>
      <c r="Z3792" s="75"/>
      <c r="AA3792" s="75" t="str">
        <f>IF(AND(MONTH(E3792)='IN-NX'!$J$5,'IN-NX'!$D$7=D3792),"x","")</f>
        <v/>
      </c>
      <c r="AB3792" s="75" t="str">
        <f>IF(AND(OR(LEFT(TH!N5032,2)="15",LEFT(TH!O5032,2)="15"),LEFT(TH!O5032,3)&lt;&gt;"111",'152-CT'!$J$8=TH!F5032),"x","")</f>
        <v/>
      </c>
      <c r="AC3792" s="75" t="str">
        <f>IF(AND(OR(LEFT(TH!N5032,2)="15",LEFT(TH!O5032,2)="15"),TK!$E$7=TH!F5032),"x","")</f>
        <v/>
      </c>
      <c r="AD3792" s="75" t="str">
        <f>IF(AND(N3792="1521",MONTH(C3792)='BK-NL'!$M$11),"x","")</f>
        <v/>
      </c>
    </row>
    <row r="3793" spans="1:30" ht="16.5" customHeight="1">
      <c r="A3793" s="309" t="str">
        <f>IF(B3793&lt;&gt;"",IF(AND(B3793='IN-TC'!$S$4,OR(TH!N3791="1111",TH!O3791="1111")),TH!D3791,""),"")</f>
        <v/>
      </c>
      <c r="B3793" s="1169">
        <f t="shared" si="1302"/>
        <v>3</v>
      </c>
      <c r="C3793" s="292">
        <f t="shared" si="1303"/>
        <v>42810</v>
      </c>
      <c r="D3793" s="59" t="s">
        <v>902</v>
      </c>
      <c r="E3793" s="59">
        <v>42810</v>
      </c>
      <c r="F3793" s="62" t="s">
        <v>1205</v>
      </c>
      <c r="G3793" s="62" t="s">
        <v>747</v>
      </c>
      <c r="H3793" s="311" t="s">
        <v>835</v>
      </c>
      <c r="I3793" s="373"/>
      <c r="J3793" s="379"/>
      <c r="K3793" s="373"/>
      <c r="L3793" s="379"/>
      <c r="M3793" s="60">
        <v>11425</v>
      </c>
      <c r="N3793" s="61" t="s">
        <v>9</v>
      </c>
      <c r="O3793" s="61" t="s">
        <v>26</v>
      </c>
      <c r="P3793" s="75" t="str">
        <f>IF(AND('331-CT'!$E$7=TH!H5033,OR(N3793="331",O3793="331")),"x","")</f>
        <v/>
      </c>
      <c r="Q3793" s="75" t="str">
        <f>IF(AND(B3793='111'!$L$11,OR($N3793=$Q$7,$O3793=$Q$7)),"x","")</f>
        <v/>
      </c>
      <c r="R3793" s="75" t="str">
        <f>IF(AND($N3793=$Q$7,$B3793&lt;'111'!$L$11),"x","")</f>
        <v/>
      </c>
      <c r="S3793" s="75" t="str">
        <f>IF(AND($O3793=$Q$7,$B3793&lt;'111'!$L$11),"x","")</f>
        <v/>
      </c>
      <c r="T3793" s="75" t="str">
        <f>IF(ISERROR(FIND('112'!$M$9,G3793,1)),"",IF((AND(FIND('112'!$M$9,G3793,1)&gt;=1,B3793='112'!$K$9,OR($N3793='112'!$I$6,$O3793='112'!$I$6))),"x",""))</f>
        <v/>
      </c>
      <c r="U3793" s="75" t="str">
        <f>IF(ISERROR(FIND('112'!$M$9,G3793,1)),"",IF((AND(LEFT(G3793,2)=LEFT('112'!$M$9,2),B3793&lt;'112'!$K$9,$N3793='112'!$I$6)),"x",""))</f>
        <v/>
      </c>
      <c r="V3793" s="75" t="str">
        <f>IF(ISERROR(FIND('112'!$M$9,G3793,1)),"",IF((AND(RIGHT(G3793,2)=RIGHT('112'!$M$9,2),B3793&lt;'112'!$K$9,$O3793='112'!$I$6)),"x",""))</f>
        <v/>
      </c>
      <c r="W3793" s="75" t="str">
        <f>IF(AND('341-CT'!$H$9=H3793,OR(LEFT(N3793,3)=$W$7,LEFT(O3793,3)=$W$7)),"x","")</f>
        <v/>
      </c>
      <c r="X3793" s="75" t="str">
        <f>IF(OR(TH!N5033=TH!$X$7,O3793=TH!$X$7),"x","")</f>
        <v/>
      </c>
      <c r="Y3793" s="75" t="str">
        <f>IF(AND(OR(N3793="131",O3793="131"),H3793='131-CT'!$H$9),"x","")</f>
        <v/>
      </c>
      <c r="Z3793" s="75"/>
      <c r="AA3793" s="75" t="str">
        <f>IF(AND(MONTH(E3793)='IN-NX'!$J$5,'IN-NX'!$D$7=D3793),"x","")</f>
        <v/>
      </c>
      <c r="AB3793" s="75" t="str">
        <f>IF(AND(OR(LEFT(TH!N5033,2)="15",LEFT(TH!O5033,2)="15"),LEFT(TH!O5033,3)&lt;&gt;"111",'152-CT'!$J$8=TH!F5033),"x","")</f>
        <v/>
      </c>
      <c r="AC3793" s="75" t="str">
        <f>IF(AND(OR(LEFT(TH!N5033,2)="15",LEFT(TH!O5033,2)="15"),TK!$E$7=TH!F5033),"x","")</f>
        <v/>
      </c>
      <c r="AD3793" s="75" t="str">
        <f>IF(AND(N3793="1521",MONTH(C3793)='BK-NL'!$M$11),"x","")</f>
        <v/>
      </c>
    </row>
    <row r="3794" spans="1:30" ht="16.5" customHeight="1">
      <c r="A3794" s="309" t="str">
        <f>IF(B3794&lt;&gt;"",IF(AND(B3794='IN-TC'!$S$4,OR(TH!N3792="1111",TH!O3792="1111")),TH!D3792,""),"")</f>
        <v/>
      </c>
      <c r="B3794" s="1169">
        <f t="shared" si="1302"/>
        <v>3</v>
      </c>
      <c r="C3794" s="292">
        <f t="shared" si="1303"/>
        <v>42810</v>
      </c>
      <c r="D3794" s="59" t="s">
        <v>902</v>
      </c>
      <c r="E3794" s="59">
        <v>42810</v>
      </c>
      <c r="F3794" s="62" t="s">
        <v>1203</v>
      </c>
      <c r="G3794" s="62" t="s">
        <v>747</v>
      </c>
      <c r="H3794" s="311" t="s">
        <v>835</v>
      </c>
      <c r="I3794" s="373"/>
      <c r="J3794" s="379"/>
      <c r="K3794" s="373"/>
      <c r="L3794" s="379"/>
      <c r="M3794" s="60">
        <v>687100</v>
      </c>
      <c r="N3794" s="61" t="s">
        <v>101</v>
      </c>
      <c r="O3794" s="61" t="s">
        <v>26</v>
      </c>
      <c r="P3794" s="75" t="str">
        <f>IF(AND('331-CT'!$E$7=TH!H5038,OR(N3794="331",O3794="331")),"x","")</f>
        <v/>
      </c>
      <c r="Q3794" s="75" t="str">
        <f>IF(AND(B3794='111'!$L$11,OR($N3794=$Q$7,$O3794=$Q$7)),"x","")</f>
        <v/>
      </c>
      <c r="R3794" s="75" t="str">
        <f>IF(AND($N3794=$Q$7,$B3794&lt;'111'!$L$11),"x","")</f>
        <v/>
      </c>
      <c r="S3794" s="75" t="str">
        <f>IF(AND($O3794=$Q$7,$B3794&lt;'111'!$L$11),"x","")</f>
        <v/>
      </c>
      <c r="T3794" s="75" t="str">
        <f>IF(ISERROR(FIND('112'!$M$9,G3794,1)),"",IF((AND(FIND('112'!$M$9,G3794,1)&gt;=1,B3794='112'!$K$9,OR($N3794='112'!$I$6,$O3794='112'!$I$6))),"x",""))</f>
        <v/>
      </c>
      <c r="U3794" s="75" t="str">
        <f>IF(ISERROR(FIND('112'!$M$9,G3794,1)),"",IF((AND(LEFT(G3794,2)=LEFT('112'!$M$9,2),B3794&lt;'112'!$K$9,$N3794='112'!$I$6)),"x",""))</f>
        <v/>
      </c>
      <c r="V3794" s="75" t="str">
        <f>IF(ISERROR(FIND('112'!$M$9,G3794,1)),"",IF((AND(RIGHT(G3794,2)=RIGHT('112'!$M$9,2),B3794&lt;'112'!$K$9,$O3794='112'!$I$6)),"x",""))</f>
        <v/>
      </c>
      <c r="W3794" s="75" t="str">
        <f>IF(AND('341-CT'!$H$9=H3794,OR(LEFT(N3794,3)=$W$7,LEFT(O3794,3)=$W$7)),"x","")</f>
        <v/>
      </c>
      <c r="X3794" s="75" t="str">
        <f>IF(OR(TH!N5038=TH!$X$7,O3794=TH!$X$7),"x","")</f>
        <v/>
      </c>
      <c r="Y3794" s="75" t="str">
        <f>IF(AND(OR(N3794="131",O3794="131"),H3794='131-CT'!$H$9),"x","")</f>
        <v/>
      </c>
      <c r="Z3794" s="75"/>
      <c r="AA3794" s="75" t="str">
        <f>IF(AND(MONTH(E3794)='IN-NX'!$J$5,'IN-NX'!$D$7=D3794),"x","")</f>
        <v/>
      </c>
      <c r="AB3794" s="75" t="str">
        <f>IF(AND(OR(LEFT(TH!N5038,2)="15",LEFT(TH!O5038,2)="15"),LEFT(TH!O5038,3)&lt;&gt;"111",'152-CT'!$J$8=TH!F5038),"x","")</f>
        <v/>
      </c>
      <c r="AC3794" s="75" t="str">
        <f>IF(AND(OR(LEFT(TH!N5038,2)="15",LEFT(TH!O5038,2)="15"),TK!$E$7=TH!F5038),"x","")</f>
        <v/>
      </c>
      <c r="AD3794" s="75" t="str">
        <f>IF(AND(N3794="1521",MONTH(C3794)='BK-NL'!$M$11),"x","")</f>
        <v/>
      </c>
    </row>
    <row r="3795" spans="1:30" ht="16.5" customHeight="1">
      <c r="A3795" s="309" t="str">
        <f>IF(B3795&lt;&gt;"",IF(AND(B3795='IN-TC'!$S$4,OR(TH!N3793="1111",TH!O3793="1111")),TH!D3793,""),"")</f>
        <v/>
      </c>
      <c r="B3795" s="1169">
        <f t="shared" ref="B3795:B3858" si="1304">IF(C3795&lt;&gt;"",MONTH(C3795),"")</f>
        <v>3</v>
      </c>
      <c r="C3795" s="292">
        <f t="shared" si="1303"/>
        <v>42810</v>
      </c>
      <c r="D3795" s="59" t="s">
        <v>902</v>
      </c>
      <c r="E3795" s="59">
        <v>42810</v>
      </c>
      <c r="F3795" s="62" t="s">
        <v>1205</v>
      </c>
      <c r="G3795" s="62" t="s">
        <v>747</v>
      </c>
      <c r="H3795" s="311" t="s">
        <v>835</v>
      </c>
      <c r="I3795" s="373"/>
      <c r="J3795" s="379"/>
      <c r="K3795" s="373"/>
      <c r="L3795" s="379"/>
      <c r="M3795" s="60">
        <v>68710</v>
      </c>
      <c r="N3795" s="61" t="s">
        <v>9</v>
      </c>
      <c r="O3795" s="61" t="s">
        <v>26</v>
      </c>
      <c r="P3795" s="75" t="str">
        <f>IF(AND('331-CT'!$E$7=TH!H5039,OR(N3795="331",O3795="331")),"x","")</f>
        <v/>
      </c>
      <c r="Q3795" s="75" t="str">
        <f>IF(AND(B3795='111'!$L$11,OR($N3795=$Q$7,$O3795=$Q$7)),"x","")</f>
        <v/>
      </c>
      <c r="R3795" s="75" t="str">
        <f>IF(AND($N3795=$Q$7,$B3795&lt;'111'!$L$11),"x","")</f>
        <v/>
      </c>
      <c r="S3795" s="75" t="str">
        <f>IF(AND($O3795=$Q$7,$B3795&lt;'111'!$L$11),"x","")</f>
        <v/>
      </c>
      <c r="T3795" s="75" t="str">
        <f>IF(ISERROR(FIND('112'!$M$9,G3795,1)),"",IF((AND(FIND('112'!$M$9,G3795,1)&gt;=1,B3795='112'!$K$9,OR($N3795='112'!$I$6,$O3795='112'!$I$6))),"x",""))</f>
        <v/>
      </c>
      <c r="U3795" s="75" t="str">
        <f>IF(ISERROR(FIND('112'!$M$9,G3795,1)),"",IF((AND(LEFT(G3795,2)=LEFT('112'!$M$9,2),B3795&lt;'112'!$K$9,$N3795='112'!$I$6)),"x",""))</f>
        <v/>
      </c>
      <c r="V3795" s="75" t="str">
        <f>IF(ISERROR(FIND('112'!$M$9,G3795,1)),"",IF((AND(RIGHT(G3795,2)=RIGHT('112'!$M$9,2),B3795&lt;'112'!$K$9,$O3795='112'!$I$6)),"x",""))</f>
        <v/>
      </c>
      <c r="W3795" s="75" t="str">
        <f>IF(AND('341-CT'!$H$9=H3795,OR(LEFT(N3795,3)=$W$7,LEFT(O3795,3)=$W$7)),"x","")</f>
        <v/>
      </c>
      <c r="X3795" s="75" t="str">
        <f>IF(OR(TH!N5039=TH!$X$7,O3795=TH!$X$7),"x","")</f>
        <v/>
      </c>
      <c r="Y3795" s="75" t="str">
        <f>IF(AND(OR(N3795="131",O3795="131"),H3795='131-CT'!$H$9),"x","")</f>
        <v/>
      </c>
      <c r="Z3795" s="75"/>
      <c r="AA3795" s="75" t="str">
        <f>IF(AND(MONTH(E3795)='IN-NX'!$J$5,'IN-NX'!$D$7=D3795),"x","")</f>
        <v/>
      </c>
      <c r="AB3795" s="75" t="str">
        <f>IF(AND(OR(LEFT(TH!N5039,2)="15",LEFT(TH!O5039,2)="15"),LEFT(TH!O5039,3)&lt;&gt;"111",'152-CT'!$J$8=TH!F5039),"x","")</f>
        <v/>
      </c>
      <c r="AC3795" s="75" t="str">
        <f>IF(AND(OR(LEFT(TH!N5039,2)="15",LEFT(TH!O5039,2)="15"),TK!$E$7=TH!F5039),"x","")</f>
        <v/>
      </c>
      <c r="AD3795" s="75" t="str">
        <f>IF(AND(N3795="1521",MONTH(C3795)='BK-NL'!$M$11),"x","")</f>
        <v/>
      </c>
    </row>
    <row r="3796" spans="1:30" ht="16.5" customHeight="1">
      <c r="A3796" s="309" t="str">
        <f>IF(B3796&lt;&gt;"",IF(AND(B3796='IN-TC'!$S$4,OR(TH!N3794="1111",TH!O3794="1111")),TH!D3794,""),"")</f>
        <v/>
      </c>
      <c r="B3796" s="1169">
        <f t="shared" si="1304"/>
        <v>3</v>
      </c>
      <c r="C3796" s="292">
        <f t="shared" si="1303"/>
        <v>42810</v>
      </c>
      <c r="D3796" s="59" t="s">
        <v>902</v>
      </c>
      <c r="E3796" s="59">
        <v>42810</v>
      </c>
      <c r="F3796" s="62" t="s">
        <v>1203</v>
      </c>
      <c r="G3796" s="62" t="s">
        <v>747</v>
      </c>
      <c r="H3796" s="311" t="s">
        <v>835</v>
      </c>
      <c r="I3796" s="373"/>
      <c r="J3796" s="379"/>
      <c r="K3796" s="373"/>
      <c r="L3796" s="379"/>
      <c r="M3796" s="60">
        <v>228500</v>
      </c>
      <c r="N3796" s="61" t="s">
        <v>101</v>
      </c>
      <c r="O3796" s="61" t="s">
        <v>26</v>
      </c>
      <c r="P3796" s="75" t="str">
        <f>IF(AND('331-CT'!$E$7=TH!H5040,OR(N3796="331",O3796="331")),"x","")</f>
        <v/>
      </c>
      <c r="Q3796" s="75" t="str">
        <f>IF(AND(B3796='111'!$L$11,OR($N3796=$Q$7,$O3796=$Q$7)),"x","")</f>
        <v/>
      </c>
      <c r="R3796" s="75" t="str">
        <f>IF(AND($N3796=$Q$7,$B3796&lt;'111'!$L$11),"x","")</f>
        <v/>
      </c>
      <c r="S3796" s="75" t="str">
        <f>IF(AND($O3796=$Q$7,$B3796&lt;'111'!$L$11),"x","")</f>
        <v/>
      </c>
      <c r="T3796" s="75" t="str">
        <f>IF(ISERROR(FIND('112'!$M$9,G3796,1)),"",IF((AND(FIND('112'!$M$9,G3796,1)&gt;=1,B3796='112'!$K$9,OR($N3796='112'!$I$6,$O3796='112'!$I$6))),"x",""))</f>
        <v/>
      </c>
      <c r="U3796" s="75" t="str">
        <f>IF(ISERROR(FIND('112'!$M$9,G3796,1)),"",IF((AND(LEFT(G3796,2)=LEFT('112'!$M$9,2),B3796&lt;'112'!$K$9,$N3796='112'!$I$6)),"x",""))</f>
        <v/>
      </c>
      <c r="V3796" s="75" t="str">
        <f>IF(ISERROR(FIND('112'!$M$9,G3796,1)),"",IF((AND(RIGHT(G3796,2)=RIGHT('112'!$M$9,2),B3796&lt;'112'!$K$9,$O3796='112'!$I$6)),"x",""))</f>
        <v/>
      </c>
      <c r="W3796" s="75" t="str">
        <f>IF(AND('341-CT'!$H$9=H3796,OR(LEFT(N3796,3)=$W$7,LEFT(O3796,3)=$W$7)),"x","")</f>
        <v/>
      </c>
      <c r="X3796" s="75" t="str">
        <f>IF(OR(TH!N5040=TH!$X$7,O3796=TH!$X$7),"x","")</f>
        <v/>
      </c>
      <c r="Y3796" s="75" t="str">
        <f>IF(AND(OR(N3796="131",O3796="131"),H3796='131-CT'!$H$9),"x","")</f>
        <v/>
      </c>
      <c r="Z3796" s="75"/>
      <c r="AA3796" s="75" t="str">
        <f>IF(AND(MONTH(E3796)='IN-NX'!$J$5,'IN-NX'!$D$7=D3796),"x","")</f>
        <v/>
      </c>
      <c r="AB3796" s="75" t="str">
        <f>IF(AND(OR(LEFT(TH!N5040,2)="15",LEFT(TH!O5040,2)="15"),LEFT(TH!O5040,3)&lt;&gt;"111",'152-CT'!$J$8=TH!F5040),"x","")</f>
        <v/>
      </c>
      <c r="AC3796" s="75" t="str">
        <f>IF(AND(OR(LEFT(TH!N5040,2)="15",LEFT(TH!O5040,2)="15"),TK!$E$7=TH!F5040),"x","")</f>
        <v/>
      </c>
      <c r="AD3796" s="75" t="str">
        <f>IF(AND(N3796="1521",MONTH(C3796)='BK-NL'!$M$11),"x","")</f>
        <v/>
      </c>
    </row>
    <row r="3797" spans="1:30" ht="16.5" customHeight="1">
      <c r="A3797" s="309" t="str">
        <f>IF(B3797&lt;&gt;"",IF(AND(B3797='IN-TC'!$S$4,OR(TH!N3795="1111",TH!O3795="1111")),TH!D3795,""),"")</f>
        <v/>
      </c>
      <c r="B3797" s="1169">
        <f t="shared" si="1304"/>
        <v>3</v>
      </c>
      <c r="C3797" s="292">
        <f t="shared" si="1303"/>
        <v>42810</v>
      </c>
      <c r="D3797" s="59" t="s">
        <v>902</v>
      </c>
      <c r="E3797" s="59">
        <v>42810</v>
      </c>
      <c r="F3797" s="62" t="s">
        <v>1203</v>
      </c>
      <c r="G3797" s="62" t="s">
        <v>747</v>
      </c>
      <c r="H3797" s="311" t="s">
        <v>835</v>
      </c>
      <c r="I3797" s="373"/>
      <c r="J3797" s="379"/>
      <c r="K3797" s="373"/>
      <c r="L3797" s="379"/>
      <c r="M3797" s="60">
        <v>228500</v>
      </c>
      <c r="N3797" s="61" t="s">
        <v>101</v>
      </c>
      <c r="O3797" s="61" t="s">
        <v>26</v>
      </c>
      <c r="P3797" s="75" t="str">
        <f>IF(AND('331-CT'!$E$7=TH!H5041,OR(N3797="331",O3797="331")),"x","")</f>
        <v/>
      </c>
      <c r="Q3797" s="75" t="str">
        <f>IF(AND(B3797='111'!$L$11,OR($N3797=$Q$7,$O3797=$Q$7)),"x","")</f>
        <v/>
      </c>
      <c r="R3797" s="75" t="str">
        <f>IF(AND($N3797=$Q$7,$B3797&lt;'111'!$L$11),"x","")</f>
        <v/>
      </c>
      <c r="S3797" s="75" t="str">
        <f>IF(AND($O3797=$Q$7,$B3797&lt;'111'!$L$11),"x","")</f>
        <v/>
      </c>
      <c r="T3797" s="75" t="str">
        <f>IF(ISERROR(FIND('112'!$M$9,G3797,1)),"",IF((AND(FIND('112'!$M$9,G3797,1)&gt;=1,B3797='112'!$K$9,OR($N3797='112'!$I$6,$O3797='112'!$I$6))),"x",""))</f>
        <v/>
      </c>
      <c r="U3797" s="75" t="str">
        <f>IF(ISERROR(FIND('112'!$M$9,G3797,1)),"",IF((AND(LEFT(G3797,2)=LEFT('112'!$M$9,2),B3797&lt;'112'!$K$9,$N3797='112'!$I$6)),"x",""))</f>
        <v/>
      </c>
      <c r="V3797" s="75" t="str">
        <f>IF(ISERROR(FIND('112'!$M$9,G3797,1)),"",IF((AND(RIGHT(G3797,2)=RIGHT('112'!$M$9,2),B3797&lt;'112'!$K$9,$O3797='112'!$I$6)),"x",""))</f>
        <v/>
      </c>
      <c r="W3797" s="75" t="str">
        <f>IF(AND('341-CT'!$H$9=H3797,OR(LEFT(N3797,3)=$W$7,LEFT(O3797,3)=$W$7)),"x","")</f>
        <v/>
      </c>
      <c r="X3797" s="75" t="str">
        <f>IF(OR(TH!N5041=TH!$X$7,O3797=TH!$X$7),"x","")</f>
        <v/>
      </c>
      <c r="Y3797" s="75" t="str">
        <f>IF(AND(OR(N3797="131",O3797="131"),H3797='131-CT'!$H$9),"x","")</f>
        <v/>
      </c>
      <c r="Z3797" s="75"/>
      <c r="AA3797" s="75" t="str">
        <f>IF(AND(MONTH(E3797)='IN-NX'!$J$5,'IN-NX'!$D$7=D3797),"x","")</f>
        <v/>
      </c>
      <c r="AB3797" s="75" t="str">
        <f>IF(AND(OR(LEFT(TH!N5041,2)="15",LEFT(TH!O5041,2)="15"),LEFT(TH!O5041,3)&lt;&gt;"111",'152-CT'!$J$8=TH!F5041),"x","")</f>
        <v/>
      </c>
      <c r="AC3797" s="75" t="str">
        <f>IF(AND(OR(LEFT(TH!N5041,2)="15",LEFT(TH!O5041,2)="15"),TK!$E$7=TH!F5041),"x","")</f>
        <v/>
      </c>
      <c r="AD3797" s="75" t="str">
        <f>IF(AND(N3797="1521",MONTH(C3797)='BK-NL'!$M$11),"x","")</f>
        <v/>
      </c>
    </row>
    <row r="3798" spans="1:30" ht="16.5" customHeight="1">
      <c r="A3798" s="309" t="str">
        <f>IF(B3798&lt;&gt;"",IF(AND(B3798='IN-TC'!$S$4,OR(TH!N3796="1111",TH!O3796="1111")),TH!D3796,""),"")</f>
        <v/>
      </c>
      <c r="B3798" s="1169">
        <f t="shared" si="1304"/>
        <v>3</v>
      </c>
      <c r="C3798" s="292">
        <f t="shared" si="1303"/>
        <v>42810</v>
      </c>
      <c r="D3798" s="59" t="s">
        <v>902</v>
      </c>
      <c r="E3798" s="59">
        <v>42810</v>
      </c>
      <c r="F3798" s="62" t="s">
        <v>1203</v>
      </c>
      <c r="G3798" s="62" t="s">
        <v>747</v>
      </c>
      <c r="H3798" s="311" t="s">
        <v>835</v>
      </c>
      <c r="I3798" s="373"/>
      <c r="J3798" s="379"/>
      <c r="K3798" s="373"/>
      <c r="L3798" s="379"/>
      <c r="M3798" s="60">
        <v>228500</v>
      </c>
      <c r="N3798" s="61" t="s">
        <v>101</v>
      </c>
      <c r="O3798" s="61" t="s">
        <v>26</v>
      </c>
      <c r="P3798" s="75" t="str">
        <f>IF(AND('331-CT'!$E$7=TH!H5042,OR(N3798="331",O3798="331")),"x","")</f>
        <v/>
      </c>
      <c r="Q3798" s="75" t="str">
        <f>IF(AND(B3798='111'!$L$11,OR($N3798=$Q$7,$O3798=$Q$7)),"x","")</f>
        <v/>
      </c>
      <c r="R3798" s="75" t="str">
        <f>IF(AND($N3798=$Q$7,$B3798&lt;'111'!$L$11),"x","")</f>
        <v/>
      </c>
      <c r="S3798" s="75" t="str">
        <f>IF(AND($O3798=$Q$7,$B3798&lt;'111'!$L$11),"x","")</f>
        <v/>
      </c>
      <c r="T3798" s="75" t="str">
        <f>IF(ISERROR(FIND('112'!$M$9,G3798,1)),"",IF((AND(FIND('112'!$M$9,G3798,1)&gt;=1,B3798='112'!$K$9,OR($N3798='112'!$I$6,$O3798='112'!$I$6))),"x",""))</f>
        <v/>
      </c>
      <c r="U3798" s="75" t="str">
        <f>IF(ISERROR(FIND('112'!$M$9,G3798,1)),"",IF((AND(LEFT(G3798,2)=LEFT('112'!$M$9,2),B3798&lt;'112'!$K$9,$N3798='112'!$I$6)),"x",""))</f>
        <v/>
      </c>
      <c r="V3798" s="75" t="str">
        <f>IF(ISERROR(FIND('112'!$M$9,G3798,1)),"",IF((AND(RIGHT(G3798,2)=RIGHT('112'!$M$9,2),B3798&lt;'112'!$K$9,$O3798='112'!$I$6)),"x",""))</f>
        <v/>
      </c>
      <c r="W3798" s="75" t="str">
        <f>IF(AND('341-CT'!$H$9=H3798,OR(LEFT(N3798,3)=$W$7,LEFT(O3798,3)=$W$7)),"x","")</f>
        <v/>
      </c>
      <c r="X3798" s="75" t="str">
        <f>IF(OR(TH!N5042=TH!$X$7,O3798=TH!$X$7),"x","")</f>
        <v/>
      </c>
      <c r="Y3798" s="75" t="str">
        <f>IF(AND(OR(N3798="131",O3798="131"),H3798='131-CT'!$H$9),"x","")</f>
        <v/>
      </c>
      <c r="Z3798" s="75"/>
      <c r="AA3798" s="75" t="str">
        <f>IF(AND(MONTH(E3798)='IN-NX'!$J$5,'IN-NX'!$D$7=D3798),"x","")</f>
        <v/>
      </c>
      <c r="AB3798" s="75" t="str">
        <f>IF(AND(OR(LEFT(TH!N5042,2)="15",LEFT(TH!O5042,2)="15"),LEFT(TH!O5042,3)&lt;&gt;"111",'152-CT'!$J$8=TH!F5042),"x","")</f>
        <v/>
      </c>
      <c r="AC3798" s="75" t="str">
        <f>IF(AND(OR(LEFT(TH!N5042,2)="15",LEFT(TH!O5042,2)="15"),TK!$E$7=TH!F5042),"x","")</f>
        <v/>
      </c>
      <c r="AD3798" s="75" t="str">
        <f>IF(AND(N3798="1521",MONTH(C3798)='BK-NL'!$M$11),"x","")</f>
        <v/>
      </c>
    </row>
    <row r="3799" spans="1:30" ht="16.5" customHeight="1">
      <c r="A3799" s="309" t="str">
        <f>IF(B3799&lt;&gt;"",IF(AND(B3799='IN-TC'!$S$4,OR(TH!N3797="1111",TH!O3797="1111")),TH!D3797,""),"")</f>
        <v/>
      </c>
      <c r="B3799" s="1169">
        <f t="shared" si="1304"/>
        <v>3</v>
      </c>
      <c r="C3799" s="292">
        <f t="shared" si="1303"/>
        <v>42811</v>
      </c>
      <c r="D3799" s="292" t="s">
        <v>1935</v>
      </c>
      <c r="E3799" s="292">
        <v>42811</v>
      </c>
      <c r="F3799" s="67" t="s">
        <v>1165</v>
      </c>
      <c r="G3799" s="925" t="s">
        <v>1377</v>
      </c>
      <c r="H3799" s="294" t="s">
        <v>797</v>
      </c>
      <c r="I3799" s="373"/>
      <c r="J3799" s="926"/>
      <c r="K3799" s="373"/>
      <c r="L3799" s="379"/>
      <c r="M3799" s="927">
        <v>18980500</v>
      </c>
      <c r="N3799" s="295" t="s">
        <v>8</v>
      </c>
      <c r="O3799" s="295" t="s">
        <v>63</v>
      </c>
      <c r="P3799" s="75" t="str">
        <f>IF(AND('331-CT'!$E$7=TH!H3535,OR(N3799="331",O3799="331")),"x","")</f>
        <v/>
      </c>
      <c r="Q3799" s="75" t="str">
        <f>IF(AND(B3799='111'!$L$11,OR($N3799=$Q$7,$O3799=$Q$7)),"x","")</f>
        <v/>
      </c>
      <c r="R3799" s="75" t="str">
        <f>IF(AND($N3799=$Q$7,$B3799&lt;'111'!$L$11),"x","")</f>
        <v/>
      </c>
      <c r="S3799" s="75" t="str">
        <f>IF(AND($O3799=$Q$7,$B3799&lt;'111'!$L$11),"x","")</f>
        <v>x</v>
      </c>
      <c r="T3799" s="75" t="str">
        <f>IF(ISERROR(FIND('112'!$M$9,G3799,1)),"",IF((AND(FIND('112'!$M$9,G3799,1)&gt;=1,B3799='112'!$K$9,OR($N3799='112'!$I$6,$O3799='112'!$I$6))),"x",""))</f>
        <v/>
      </c>
      <c r="U3799" s="75" t="str">
        <f>IF(ISERROR(FIND('112'!$M$9,G3799,1)),"",IF((AND(LEFT(G3799,2)=LEFT('112'!$M$9,2),B3799&lt;'112'!$K$9,$N3799='112'!$I$6)),"x",""))</f>
        <v/>
      </c>
      <c r="V3799" s="75" t="str">
        <f>IF(ISERROR(FIND('112'!$M$9,G3799,1)),"",IF((AND(RIGHT(G3799,2)=RIGHT('112'!$M$9,2),B3799&lt;'112'!$K$9,$O3799='112'!$I$6)),"x",""))</f>
        <v/>
      </c>
      <c r="W3799" s="75" t="str">
        <f>IF(AND('341-CT'!$H$9=H3799,OR(LEFT(N3799,3)=$W$7,LEFT(O3799,3)=$W$7)),"x","")</f>
        <v/>
      </c>
      <c r="X3799" s="75" t="str">
        <f>IF(OR(TH!N3535=TH!$X$7,O3799=TH!$X$7),"x","")</f>
        <v/>
      </c>
      <c r="Y3799" s="75" t="str">
        <f>IF(AND(OR(N3799="131",O3799="131"),H3799='131-CT'!$H$9),"x","")</f>
        <v/>
      </c>
      <c r="Z3799" s="75"/>
      <c r="AA3799" s="75" t="str">
        <f>IF(AND(MONTH(E3799)='IN-NX'!$J$5,'IN-NX'!$D$7=D3799),"x","")</f>
        <v/>
      </c>
      <c r="AB3799" s="75" t="str">
        <f>IF(AND(OR(LEFT(TH!N3535,2)="15",LEFT(TH!O3535,2)="15"),LEFT(TH!O3535,3)&lt;&gt;"111",'152-CT'!$J$8=TH!F3535),"x","")</f>
        <v/>
      </c>
      <c r="AC3799" s="75" t="str">
        <f>IF(AND(OR(LEFT(TH!N3535,2)="15",LEFT(TH!O3535,2)="15"),TK!$E$7=TH!F3535),"x","")</f>
        <v/>
      </c>
      <c r="AD3799" s="75" t="str">
        <f>IF(AND(N3799="1521",MONTH(C3799)='BK-NL'!$M$11),"x","")</f>
        <v/>
      </c>
    </row>
    <row r="3800" spans="1:30" ht="16.5" customHeight="1">
      <c r="A3800" s="309" t="str">
        <f>IF(B3800&lt;&gt;"",IF(AND(B3800='IN-TC'!$S$4,OR(TH!N3798="1111",TH!O3798="1111")),TH!D3798,""),"")</f>
        <v/>
      </c>
      <c r="B3800" s="1169">
        <f t="shared" si="1304"/>
        <v>3</v>
      </c>
      <c r="C3800" s="292">
        <f t="shared" si="1303"/>
        <v>42811</v>
      </c>
      <c r="D3800" s="59" t="s">
        <v>902</v>
      </c>
      <c r="E3800" s="59">
        <v>42811</v>
      </c>
      <c r="F3800" s="67" t="s">
        <v>1212</v>
      </c>
      <c r="G3800" s="62" t="s">
        <v>585</v>
      </c>
      <c r="H3800" s="311" t="s">
        <v>845</v>
      </c>
      <c r="I3800" s="373"/>
      <c r="J3800" s="379"/>
      <c r="K3800" s="373"/>
      <c r="L3800" s="379"/>
      <c r="M3800" s="60">
        <v>50000</v>
      </c>
      <c r="N3800" s="61" t="s">
        <v>101</v>
      </c>
      <c r="O3800" s="61" t="s">
        <v>26</v>
      </c>
      <c r="P3800" s="75" t="str">
        <f>IF(AND('331-CT'!$E$7=TH!H4707,OR(N3800="331",O3800="331")),"x","")</f>
        <v/>
      </c>
      <c r="Q3800" s="75" t="str">
        <f>IF(AND(B3800='111'!$L$11,OR($N3800=$Q$7,$O3800=$Q$7)),"x","")</f>
        <v/>
      </c>
      <c r="R3800" s="75" t="str">
        <f>IF(AND($N3800=$Q$7,$B3800&lt;'111'!$L$11),"x","")</f>
        <v/>
      </c>
      <c r="S3800" s="75" t="str">
        <f>IF(AND($O3800=$Q$7,$B3800&lt;'111'!$L$11),"x","")</f>
        <v/>
      </c>
      <c r="T3800" s="75" t="str">
        <f>IF(ISERROR(FIND('112'!$M$9,G3800,1)),"",IF((AND(FIND('112'!$M$9,G3800,1)&gt;=1,B3800='112'!$K$9,OR($N3800='112'!$I$6,$O3800='112'!$I$6))),"x",""))</f>
        <v/>
      </c>
      <c r="U3800" s="75" t="str">
        <f>IF(ISERROR(FIND('112'!$M$9,G3800,1)),"",IF((AND(LEFT(G3800,2)=LEFT('112'!$M$9,2),B3800&lt;'112'!$K$9,$N3800='112'!$I$6)),"x",""))</f>
        <v/>
      </c>
      <c r="V3800" s="75" t="str">
        <f>IF(ISERROR(FIND('112'!$M$9,G3800,1)),"",IF((AND(RIGHT(G3800,2)=RIGHT('112'!$M$9,2),B3800&lt;'112'!$K$9,$O3800='112'!$I$6)),"x",""))</f>
        <v/>
      </c>
      <c r="W3800" s="75" t="str">
        <f>IF(AND('341-CT'!$H$9=H3800,OR(LEFT(N3800,3)=$W$7,LEFT(O3800,3)=$W$7)),"x","")</f>
        <v/>
      </c>
      <c r="X3800" s="75" t="str">
        <f>IF(OR(TH!N4707=TH!$X$7,O3800=TH!$X$7),"x","")</f>
        <v/>
      </c>
      <c r="Y3800" s="75" t="str">
        <f>IF(AND(OR(N3800="131",O3800="131"),H3800='131-CT'!$H$9),"x","")</f>
        <v/>
      </c>
      <c r="Z3800" s="75"/>
      <c r="AA3800" s="75" t="str">
        <f>IF(AND(MONTH(E3800)='IN-NX'!$J$5,'IN-NX'!$D$7=D3800),"x","")</f>
        <v/>
      </c>
      <c r="AB3800" s="75" t="str">
        <f>IF(AND(OR(LEFT(TH!N4707,2)="15",LEFT(TH!O4707,2)="15"),LEFT(TH!O4707,3)&lt;&gt;"111",'152-CT'!$J$8=TH!F4707),"x","")</f>
        <v/>
      </c>
      <c r="AC3800" s="75" t="str">
        <f>IF(AND(OR(LEFT(TH!N4707,2)="15",LEFT(TH!O4707,2)="15"),TK!$E$7=TH!F4707),"x","")</f>
        <v/>
      </c>
      <c r="AD3800" s="75" t="str">
        <f>IF(AND(N3800="1521",MONTH(C3800)='BK-NL'!$M$11),"x","")</f>
        <v/>
      </c>
    </row>
    <row r="3801" spans="1:30" ht="16.5" customHeight="1">
      <c r="A3801" s="309" t="str">
        <f>IF(B3801&lt;&gt;"",IF(AND(B3801='IN-TC'!$S$4,OR(TH!N3799="1111",TH!O3799="1111")),TH!D3799,""),"")</f>
        <v>C21</v>
      </c>
      <c r="B3801" s="1169">
        <f t="shared" si="1304"/>
        <v>3</v>
      </c>
      <c r="C3801" s="292">
        <f t="shared" si="1303"/>
        <v>42811</v>
      </c>
      <c r="D3801" s="59" t="s">
        <v>902</v>
      </c>
      <c r="E3801" s="59">
        <v>42811</v>
      </c>
      <c r="F3801" s="67" t="s">
        <v>1213</v>
      </c>
      <c r="G3801" s="62" t="s">
        <v>585</v>
      </c>
      <c r="H3801" s="311" t="s">
        <v>845</v>
      </c>
      <c r="I3801" s="373"/>
      <c r="J3801" s="379"/>
      <c r="K3801" s="373"/>
      <c r="L3801" s="379"/>
      <c r="M3801" s="60">
        <v>5000</v>
      </c>
      <c r="N3801" s="61" t="s">
        <v>9</v>
      </c>
      <c r="O3801" s="61" t="s">
        <v>26</v>
      </c>
      <c r="P3801" s="75" t="str">
        <f>IF(AND('331-CT'!$E$7=TH!H4708,OR(N3801="331",O3801="331")),"x","")</f>
        <v/>
      </c>
      <c r="Q3801" s="75" t="str">
        <f>IF(AND(B3801='111'!$L$11,OR($N3801=$Q$7,$O3801=$Q$7)),"x","")</f>
        <v/>
      </c>
      <c r="R3801" s="75" t="str">
        <f>IF(AND($N3801=$Q$7,$B3801&lt;'111'!$L$11),"x","")</f>
        <v/>
      </c>
      <c r="S3801" s="75" t="str">
        <f>IF(AND($O3801=$Q$7,$B3801&lt;'111'!$L$11),"x","")</f>
        <v/>
      </c>
      <c r="T3801" s="75" t="str">
        <f>IF(ISERROR(FIND('112'!$M$9,G3801,1)),"",IF((AND(FIND('112'!$M$9,G3801,1)&gt;=1,B3801='112'!$K$9,OR($N3801='112'!$I$6,$O3801='112'!$I$6))),"x",""))</f>
        <v/>
      </c>
      <c r="U3801" s="75" t="str">
        <f>IF(ISERROR(FIND('112'!$M$9,G3801,1)),"",IF((AND(LEFT(G3801,2)=LEFT('112'!$M$9,2),B3801&lt;'112'!$K$9,$N3801='112'!$I$6)),"x",""))</f>
        <v/>
      </c>
      <c r="V3801" s="75" t="str">
        <f>IF(ISERROR(FIND('112'!$M$9,G3801,1)),"",IF((AND(RIGHT(G3801,2)=RIGHT('112'!$M$9,2),B3801&lt;'112'!$K$9,$O3801='112'!$I$6)),"x",""))</f>
        <v/>
      </c>
      <c r="W3801" s="75" t="str">
        <f>IF(AND('341-CT'!$H$9=H3801,OR(LEFT(N3801,3)=$W$7,LEFT(O3801,3)=$W$7)),"x","")</f>
        <v/>
      </c>
      <c r="X3801" s="75" t="str">
        <f>IF(OR(TH!N4708=TH!$X$7,O3801=TH!$X$7),"x","")</f>
        <v/>
      </c>
      <c r="Y3801" s="75" t="str">
        <f>IF(AND(OR(N3801="131",O3801="131"),H3801='131-CT'!$H$9),"x","")</f>
        <v/>
      </c>
      <c r="Z3801" s="75"/>
      <c r="AA3801" s="75" t="str">
        <f>IF(AND(MONTH(E3801)='IN-NX'!$J$5,'IN-NX'!$D$7=D3801),"x","")</f>
        <v/>
      </c>
      <c r="AB3801" s="75" t="str">
        <f>IF(AND(OR(LEFT(TH!N4708,2)="15",LEFT(TH!O4708,2)="15"),LEFT(TH!O4708,3)&lt;&gt;"111",'152-CT'!$J$8=TH!F4708),"x","")</f>
        <v/>
      </c>
      <c r="AC3801" s="75" t="str">
        <f>IF(AND(OR(LEFT(TH!N4708,2)="15",LEFT(TH!O4708,2)="15"),TK!$E$7=TH!F4708),"x","")</f>
        <v/>
      </c>
      <c r="AD3801" s="75" t="str">
        <f>IF(AND(N3801="1521",MONTH(C3801)='BK-NL'!$M$11),"x","")</f>
        <v/>
      </c>
    </row>
    <row r="3802" spans="1:30" ht="16.5" customHeight="1">
      <c r="A3802" s="309" t="str">
        <f>IF(B3802&lt;&gt;"",IF(AND(B3802='IN-TC'!$S$4,OR(TH!N3800="1111",TH!O3800="1111")),TH!D3800,""),"")</f>
        <v/>
      </c>
      <c r="B3802" s="1169">
        <f t="shared" si="1304"/>
        <v>3</v>
      </c>
      <c r="C3802" s="292">
        <f t="shared" si="1303"/>
        <v>42811</v>
      </c>
      <c r="D3802" s="59" t="s">
        <v>902</v>
      </c>
      <c r="E3802" s="59">
        <v>42811</v>
      </c>
      <c r="F3802" s="67" t="s">
        <v>1212</v>
      </c>
      <c r="G3802" s="62" t="s">
        <v>585</v>
      </c>
      <c r="H3802" s="311" t="s">
        <v>845</v>
      </c>
      <c r="I3802" s="373"/>
      <c r="J3802" s="379"/>
      <c r="K3802" s="373"/>
      <c r="L3802" s="379"/>
      <c r="M3802" s="60">
        <v>50000</v>
      </c>
      <c r="N3802" s="61" t="s">
        <v>101</v>
      </c>
      <c r="O3802" s="61" t="s">
        <v>26</v>
      </c>
      <c r="P3802" s="75" t="str">
        <f>IF(AND('331-CT'!$E$7=TH!H4709,OR(N3802="331",O3802="331")),"x","")</f>
        <v/>
      </c>
      <c r="Q3802" s="75" t="str">
        <f>IF(AND(B3802='111'!$L$11,OR($N3802=$Q$7,$O3802=$Q$7)),"x","")</f>
        <v/>
      </c>
      <c r="R3802" s="75" t="str">
        <f>IF(AND($N3802=$Q$7,$B3802&lt;'111'!$L$11),"x","")</f>
        <v/>
      </c>
      <c r="S3802" s="75" t="str">
        <f>IF(AND($O3802=$Q$7,$B3802&lt;'111'!$L$11),"x","")</f>
        <v/>
      </c>
      <c r="T3802" s="75" t="str">
        <f>IF(ISERROR(FIND('112'!$M$9,G3802,1)),"",IF((AND(FIND('112'!$M$9,G3802,1)&gt;=1,B3802='112'!$K$9,OR($N3802='112'!$I$6,$O3802='112'!$I$6))),"x",""))</f>
        <v/>
      </c>
      <c r="U3802" s="75" t="str">
        <f>IF(ISERROR(FIND('112'!$M$9,G3802,1)),"",IF((AND(LEFT(G3802,2)=LEFT('112'!$M$9,2),B3802&lt;'112'!$K$9,$N3802='112'!$I$6)),"x",""))</f>
        <v/>
      </c>
      <c r="V3802" s="75" t="str">
        <f>IF(ISERROR(FIND('112'!$M$9,G3802,1)),"",IF((AND(RIGHT(G3802,2)=RIGHT('112'!$M$9,2),B3802&lt;'112'!$K$9,$O3802='112'!$I$6)),"x",""))</f>
        <v/>
      </c>
      <c r="W3802" s="75" t="str">
        <f>IF(AND('341-CT'!$H$9=H3802,OR(LEFT(N3802,3)=$W$7,LEFT(O3802,3)=$W$7)),"x","")</f>
        <v/>
      </c>
      <c r="X3802" s="75" t="str">
        <f>IF(OR(TH!N4709=TH!$X$7,O3802=TH!$X$7),"x","")</f>
        <v/>
      </c>
      <c r="Y3802" s="75" t="str">
        <f>IF(AND(OR(N3802="131",O3802="131"),H3802='131-CT'!$H$9),"x","")</f>
        <v/>
      </c>
      <c r="Z3802" s="75"/>
      <c r="AA3802" s="75" t="str">
        <f>IF(AND(MONTH(E3802)='IN-NX'!$J$5,'IN-NX'!$D$7=D3802),"x","")</f>
        <v/>
      </c>
      <c r="AB3802" s="75" t="str">
        <f>IF(AND(OR(LEFT(TH!N4709,2)="15",LEFT(TH!O4709,2)="15"),LEFT(TH!O4709,3)&lt;&gt;"111",'152-CT'!$J$8=TH!F4709),"x","")</f>
        <v/>
      </c>
      <c r="AC3802" s="75" t="str">
        <f>IF(AND(OR(LEFT(TH!N4709,2)="15",LEFT(TH!O4709,2)="15"),TK!$E$7=TH!F4709),"x","")</f>
        <v/>
      </c>
      <c r="AD3802" s="75" t="str">
        <f>IF(AND(N3802="1521",MONTH(C3802)='BK-NL'!$M$11),"x","")</f>
        <v/>
      </c>
    </row>
    <row r="3803" spans="1:30" ht="16.5" customHeight="1">
      <c r="A3803" s="309" t="str">
        <f>IF(B3803&lt;&gt;"",IF(AND(B3803='IN-TC'!$S$4,OR(TH!N3801="1111",TH!O3801="1111")),TH!D3801,""),"")</f>
        <v/>
      </c>
      <c r="B3803" s="1169">
        <f t="shared" si="1304"/>
        <v>3</v>
      </c>
      <c r="C3803" s="292">
        <f t="shared" si="1303"/>
        <v>42811</v>
      </c>
      <c r="D3803" s="59" t="s">
        <v>902</v>
      </c>
      <c r="E3803" s="59">
        <v>42811</v>
      </c>
      <c r="F3803" s="67" t="s">
        <v>1213</v>
      </c>
      <c r="G3803" s="62" t="s">
        <v>585</v>
      </c>
      <c r="H3803" s="311" t="s">
        <v>845</v>
      </c>
      <c r="I3803" s="373"/>
      <c r="J3803" s="379"/>
      <c r="K3803" s="373"/>
      <c r="L3803" s="379"/>
      <c r="M3803" s="60">
        <v>5000</v>
      </c>
      <c r="N3803" s="61" t="s">
        <v>9</v>
      </c>
      <c r="O3803" s="61" t="s">
        <v>26</v>
      </c>
      <c r="P3803" s="75" t="str">
        <f>IF(AND('331-CT'!$E$7=TH!H4700,OR(N3803="331",O3803="331")),"x","")</f>
        <v/>
      </c>
      <c r="Q3803" s="75" t="str">
        <f>IF(AND(B3803='111'!$L$11,OR($N3803=$Q$7,$O3803=$Q$7)),"x","")</f>
        <v/>
      </c>
      <c r="R3803" s="75" t="str">
        <f>IF(AND($N3803=$Q$7,$B3803&lt;'111'!$L$11),"x","")</f>
        <v/>
      </c>
      <c r="S3803" s="75" t="str">
        <f>IF(AND($O3803=$Q$7,$B3803&lt;'111'!$L$11),"x","")</f>
        <v/>
      </c>
      <c r="T3803" s="75" t="str">
        <f>IF(ISERROR(FIND('112'!$M$9,G3803,1)),"",IF((AND(FIND('112'!$M$9,G3803,1)&gt;=1,B3803='112'!$K$9,OR($N3803='112'!$I$6,$O3803='112'!$I$6))),"x",""))</f>
        <v/>
      </c>
      <c r="U3803" s="75" t="str">
        <f>IF(ISERROR(FIND('112'!$M$9,G3803,1)),"",IF((AND(LEFT(G3803,2)=LEFT('112'!$M$9,2),B3803&lt;'112'!$K$9,$N3803='112'!$I$6)),"x",""))</f>
        <v/>
      </c>
      <c r="V3803" s="75" t="str">
        <f>IF(ISERROR(FIND('112'!$M$9,G3803,1)),"",IF((AND(RIGHT(G3803,2)=RIGHT('112'!$M$9,2),B3803&lt;'112'!$K$9,$O3803='112'!$I$6)),"x",""))</f>
        <v/>
      </c>
      <c r="W3803" s="75" t="str">
        <f>IF(AND('341-CT'!$H$9=H3803,OR(LEFT(N3803,3)=$W$7,LEFT(O3803,3)=$W$7)),"x","")</f>
        <v/>
      </c>
      <c r="X3803" s="75" t="str">
        <f>IF(OR(TH!N4700=TH!$X$7,O3803=TH!$X$7),"x","")</f>
        <v/>
      </c>
      <c r="Y3803" s="75" t="str">
        <f>IF(AND(OR(N3803="131",O3803="131"),H3803='131-CT'!$H$9),"x","")</f>
        <v/>
      </c>
      <c r="Z3803" s="75"/>
      <c r="AA3803" s="75" t="str">
        <f>IF(AND(MONTH(E3803)='IN-NX'!$J$5,'IN-NX'!$D$7=D3803),"x","")</f>
        <v/>
      </c>
      <c r="AB3803" s="75" t="str">
        <f>IF(AND(OR(LEFT(TH!N4700,2)="15",LEFT(TH!O4700,2)="15"),LEFT(TH!O4700,3)&lt;&gt;"111",'152-CT'!$J$8=TH!F4700),"x","")</f>
        <v/>
      </c>
      <c r="AC3803" s="75" t="str">
        <f>IF(AND(OR(LEFT(TH!N4700,2)="15",LEFT(TH!O4700,2)="15"),TK!$E$7=TH!F4700),"x","")</f>
        <v/>
      </c>
      <c r="AD3803" s="75" t="str">
        <f>IF(AND(N3803="1521",MONTH(C3803)='BK-NL'!$M$11),"x","")</f>
        <v/>
      </c>
    </row>
    <row r="3804" spans="1:30" ht="16.5" customHeight="1">
      <c r="A3804" s="309" t="str">
        <f>IF(B3804&lt;&gt;"",IF(AND(B3804='IN-TC'!$S$4,OR(TH!N3802="1111",TH!O3802="1111")),TH!D3802,""),"")</f>
        <v/>
      </c>
      <c r="B3804" s="1169">
        <f t="shared" si="1304"/>
        <v>3</v>
      </c>
      <c r="C3804" s="292">
        <f t="shared" si="1303"/>
        <v>42812</v>
      </c>
      <c r="D3804" s="292" t="s">
        <v>1936</v>
      </c>
      <c r="E3804" s="292">
        <v>42812</v>
      </c>
      <c r="F3804" s="67" t="s">
        <v>1165</v>
      </c>
      <c r="G3804" s="925" t="s">
        <v>1159</v>
      </c>
      <c r="H3804" s="294" t="s">
        <v>796</v>
      </c>
      <c r="I3804" s="373"/>
      <c r="J3804" s="926"/>
      <c r="K3804" s="373"/>
      <c r="L3804" s="379"/>
      <c r="M3804" s="927">
        <v>18980500</v>
      </c>
      <c r="N3804" s="295" t="s">
        <v>8</v>
      </c>
      <c r="O3804" s="295" t="s">
        <v>63</v>
      </c>
      <c r="P3804" s="75" t="str">
        <f>IF(AND('331-CT'!$E$7=TH!H3536,OR(N3804="331",O3804="331")),"x","")</f>
        <v/>
      </c>
      <c r="Q3804" s="75" t="str">
        <f>IF(AND(B3804='111'!$L$11,OR($N3804=$Q$7,$O3804=$Q$7)),"x","")</f>
        <v/>
      </c>
      <c r="R3804" s="75" t="str">
        <f>IF(AND($N3804=$Q$7,$B3804&lt;'111'!$L$11),"x","")</f>
        <v/>
      </c>
      <c r="S3804" s="75" t="str">
        <f>IF(AND($O3804=$Q$7,$B3804&lt;'111'!$L$11),"x","")</f>
        <v>x</v>
      </c>
      <c r="T3804" s="75" t="str">
        <f>IF(ISERROR(FIND('112'!$M$9,G3804,1)),"",IF((AND(FIND('112'!$M$9,G3804,1)&gt;=1,B3804='112'!$K$9,OR($N3804='112'!$I$6,$O3804='112'!$I$6))),"x",""))</f>
        <v/>
      </c>
      <c r="U3804" s="75" t="str">
        <f>IF(ISERROR(FIND('112'!$M$9,G3804,1)),"",IF((AND(LEFT(G3804,2)=LEFT('112'!$M$9,2),B3804&lt;'112'!$K$9,$N3804='112'!$I$6)),"x",""))</f>
        <v/>
      </c>
      <c r="V3804" s="75" t="str">
        <f>IF(ISERROR(FIND('112'!$M$9,G3804,1)),"",IF((AND(RIGHT(G3804,2)=RIGHT('112'!$M$9,2),B3804&lt;'112'!$K$9,$O3804='112'!$I$6)),"x",""))</f>
        <v/>
      </c>
      <c r="W3804" s="75" t="str">
        <f>IF(AND('341-CT'!$H$9=H3804,OR(LEFT(N3804,3)=$W$7,LEFT(O3804,3)=$W$7)),"x","")</f>
        <v/>
      </c>
      <c r="X3804" s="75" t="str">
        <f>IF(OR(TH!N3536=TH!$X$7,O3804=TH!$X$7),"x","")</f>
        <v/>
      </c>
      <c r="Y3804" s="75" t="str">
        <f>IF(AND(OR(N3804="131",O3804="131"),H3804='131-CT'!$H$9),"x","")</f>
        <v/>
      </c>
      <c r="Z3804" s="75"/>
      <c r="AA3804" s="75" t="str">
        <f>IF(AND(MONTH(E3804)='IN-NX'!$J$5,'IN-NX'!$D$7=D3804),"x","")</f>
        <v/>
      </c>
      <c r="AB3804" s="75" t="str">
        <f>IF(AND(OR(LEFT(TH!N3536,2)="15",LEFT(TH!O3536,2)="15"),LEFT(TH!O3536,3)&lt;&gt;"111",'152-CT'!$J$8=TH!F3536),"x","")</f>
        <v/>
      </c>
      <c r="AC3804" s="75" t="str">
        <f>IF(AND(OR(LEFT(TH!N3536,2)="15",LEFT(TH!O3536,2)="15"),TK!$E$7=TH!F3536),"x","")</f>
        <v/>
      </c>
      <c r="AD3804" s="75" t="str">
        <f>IF(AND(N3804="1521",MONTH(C3804)='BK-NL'!$M$11),"x","")</f>
        <v/>
      </c>
    </row>
    <row r="3805" spans="1:30" ht="16.5" customHeight="1">
      <c r="A3805" s="309" t="str">
        <f>IF(B3805&lt;&gt;"",IF(AND(B3805='IN-TC'!$S$4,OR(TH!N3803="1111",TH!O3803="1111")),TH!D3803,""),"")</f>
        <v/>
      </c>
      <c r="B3805" s="1169">
        <f t="shared" si="1304"/>
        <v>3</v>
      </c>
      <c r="C3805" s="292">
        <f t="shared" si="1303"/>
        <v>42814</v>
      </c>
      <c r="D3805" s="292" t="s">
        <v>1937</v>
      </c>
      <c r="E3805" s="292">
        <v>42814</v>
      </c>
      <c r="F3805" s="67" t="s">
        <v>877</v>
      </c>
      <c r="G3805" s="925" t="s">
        <v>1247</v>
      </c>
      <c r="H3805" s="294" t="s">
        <v>880</v>
      </c>
      <c r="I3805" s="373"/>
      <c r="J3805" s="926"/>
      <c r="K3805" s="373"/>
      <c r="L3805" s="379"/>
      <c r="M3805" s="927">
        <v>2173636</v>
      </c>
      <c r="N3805" s="295" t="s">
        <v>101</v>
      </c>
      <c r="O3805" s="295" t="s">
        <v>63</v>
      </c>
      <c r="P3805" s="75" t="str">
        <f>IF(AND('331-CT'!$E$7=TH!H3537,OR(N3805="331",O3805="331")),"x","")</f>
        <v/>
      </c>
      <c r="Q3805" s="75" t="str">
        <f>IF(AND(B3805='111'!$L$11,OR($N3805=$Q$7,$O3805=$Q$7)),"x","")</f>
        <v/>
      </c>
      <c r="R3805" s="75" t="str">
        <f>IF(AND($N3805=$Q$7,$B3805&lt;'111'!$L$11),"x","")</f>
        <v/>
      </c>
      <c r="S3805" s="75" t="str">
        <f>IF(AND($O3805=$Q$7,$B3805&lt;'111'!$L$11),"x","")</f>
        <v>x</v>
      </c>
      <c r="T3805" s="75" t="str">
        <f>IF(ISERROR(FIND('112'!$M$9,G3805,1)),"",IF((AND(FIND('112'!$M$9,G3805,1)&gt;=1,B3805='112'!$K$9,OR($N3805='112'!$I$6,$O3805='112'!$I$6))),"x",""))</f>
        <v/>
      </c>
      <c r="U3805" s="75" t="str">
        <f>IF(ISERROR(FIND('112'!$M$9,G3805,1)),"",IF((AND(LEFT(G3805,2)=LEFT('112'!$M$9,2),B3805&lt;'112'!$K$9,$N3805='112'!$I$6)),"x",""))</f>
        <v/>
      </c>
      <c r="V3805" s="75" t="str">
        <f>IF(ISERROR(FIND('112'!$M$9,G3805,1)),"",IF((AND(RIGHT(G3805,2)=RIGHT('112'!$M$9,2),B3805&lt;'112'!$K$9,$O3805='112'!$I$6)),"x",""))</f>
        <v/>
      </c>
      <c r="W3805" s="75" t="str">
        <f>IF(AND('341-CT'!$H$9=H3805,OR(LEFT(N3805,3)=$W$7,LEFT(O3805,3)=$W$7)),"x","")</f>
        <v/>
      </c>
      <c r="X3805" s="75" t="str">
        <f>IF(OR(TH!N3537=TH!$X$7,O3805=TH!$X$7),"x","")</f>
        <v/>
      </c>
      <c r="Y3805" s="75" t="str">
        <f>IF(AND(OR(N3805="131",O3805="131"),H3805='131-CT'!$H$9),"x","")</f>
        <v/>
      </c>
      <c r="Z3805" s="75"/>
      <c r="AA3805" s="75" t="str">
        <f>IF(AND(MONTH(E3805)='IN-NX'!$J$5,'IN-NX'!$D$7=D3805),"x","")</f>
        <v/>
      </c>
      <c r="AB3805" s="75" t="str">
        <f>IF(AND(OR(LEFT(TH!N3537,2)="15",LEFT(TH!O3537,2)="15"),LEFT(TH!O3537,3)&lt;&gt;"111",'152-CT'!$J$8=TH!F3537),"x","")</f>
        <v/>
      </c>
      <c r="AC3805" s="75" t="str">
        <f>IF(AND(OR(LEFT(TH!N3537,2)="15",LEFT(TH!O3537,2)="15"),TK!$E$7=TH!F3537),"x","")</f>
        <v/>
      </c>
      <c r="AD3805" s="75" t="str">
        <f>IF(AND(N3805="1521",MONTH(C3805)='BK-NL'!$M$11),"x","")</f>
        <v/>
      </c>
    </row>
    <row r="3806" spans="1:30" ht="16.5" customHeight="1">
      <c r="A3806" s="309" t="str">
        <f>IF(B3806&lt;&gt;"",IF(AND(B3806='IN-TC'!$S$4,OR(TH!N3804="1111",TH!O3804="1111")),TH!D3804,""),"")</f>
        <v>C22</v>
      </c>
      <c r="B3806" s="1169">
        <f t="shared" si="1304"/>
        <v>3</v>
      </c>
      <c r="C3806" s="292">
        <f t="shared" si="1303"/>
        <v>42814</v>
      </c>
      <c r="D3806" s="292" t="s">
        <v>1937</v>
      </c>
      <c r="E3806" s="292">
        <v>42814</v>
      </c>
      <c r="F3806" s="67" t="s">
        <v>1246</v>
      </c>
      <c r="G3806" s="925" t="s">
        <v>1247</v>
      </c>
      <c r="H3806" s="294" t="s">
        <v>880</v>
      </c>
      <c r="I3806" s="373"/>
      <c r="J3806" s="926"/>
      <c r="K3806" s="373"/>
      <c r="L3806" s="379"/>
      <c r="M3806" s="927">
        <v>217364</v>
      </c>
      <c r="N3806" s="295" t="s">
        <v>9</v>
      </c>
      <c r="O3806" s="295" t="s">
        <v>63</v>
      </c>
      <c r="P3806" s="75" t="str">
        <f>IF(AND('331-CT'!$E$7=TH!H3538,OR(N3806="331",O3806="331")),"x","")</f>
        <v/>
      </c>
      <c r="Q3806" s="75" t="str">
        <f>IF(AND(B3806='111'!$L$11,OR($N3806=$Q$7,$O3806=$Q$7)),"x","")</f>
        <v/>
      </c>
      <c r="R3806" s="75" t="str">
        <f>IF(AND($N3806=$Q$7,$B3806&lt;'111'!$L$11),"x","")</f>
        <v/>
      </c>
      <c r="S3806" s="75" t="str">
        <f>IF(AND($O3806=$Q$7,$B3806&lt;'111'!$L$11),"x","")</f>
        <v>x</v>
      </c>
      <c r="T3806" s="75" t="str">
        <f>IF(ISERROR(FIND('112'!$M$9,G3806,1)),"",IF((AND(FIND('112'!$M$9,G3806,1)&gt;=1,B3806='112'!$K$9,OR($N3806='112'!$I$6,$O3806='112'!$I$6))),"x",""))</f>
        <v/>
      </c>
      <c r="U3806" s="75" t="str">
        <f>IF(ISERROR(FIND('112'!$M$9,G3806,1)),"",IF((AND(LEFT(G3806,2)=LEFT('112'!$M$9,2),B3806&lt;'112'!$K$9,$N3806='112'!$I$6)),"x",""))</f>
        <v/>
      </c>
      <c r="V3806" s="75" t="str">
        <f>IF(ISERROR(FIND('112'!$M$9,G3806,1)),"",IF((AND(RIGHT(G3806,2)=RIGHT('112'!$M$9,2),B3806&lt;'112'!$K$9,$O3806='112'!$I$6)),"x",""))</f>
        <v/>
      </c>
      <c r="W3806" s="75" t="str">
        <f>IF(AND('341-CT'!$H$9=H3806,OR(LEFT(N3806,3)=$W$7,LEFT(O3806,3)=$W$7)),"x","")</f>
        <v/>
      </c>
      <c r="X3806" s="75" t="str">
        <f>IF(OR(TH!N3538=TH!$X$7,O3806=TH!$X$7),"x","")</f>
        <v/>
      </c>
      <c r="Y3806" s="75" t="str">
        <f>IF(AND(OR(N3806="131",O3806="131"),H3806='131-CT'!$H$9),"x","")</f>
        <v/>
      </c>
      <c r="Z3806" s="75"/>
      <c r="AA3806" s="75" t="str">
        <f>IF(AND(MONTH(E3806)='IN-NX'!$J$5,'IN-NX'!$D$7=D3806),"x","")</f>
        <v/>
      </c>
      <c r="AB3806" s="75" t="str">
        <f>IF(AND(OR(LEFT(TH!N3538,2)="15",LEFT(TH!O3538,2)="15"),LEFT(TH!O3538,3)&lt;&gt;"111",'152-CT'!$J$8=TH!F3538),"x","")</f>
        <v/>
      </c>
      <c r="AC3806" s="75" t="str">
        <f>IF(AND(OR(LEFT(TH!N3538,2)="15",LEFT(TH!O3538,2)="15"),TK!$E$7=TH!F3538),"x","")</f>
        <v/>
      </c>
      <c r="AD3806" s="75" t="str">
        <f>IF(AND(N3806="1521",MONTH(C3806)='BK-NL'!$M$11),"x","")</f>
        <v/>
      </c>
    </row>
    <row r="3807" spans="1:30" ht="16.5" customHeight="1">
      <c r="A3807" s="309" t="str">
        <f>IF(B3807&lt;&gt;"",IF(AND(B3807='IN-TC'!$S$4,OR(TH!N3805="1111",TH!O3805="1111")),TH!D3805,""),"")</f>
        <v>C23</v>
      </c>
      <c r="B3807" s="1169">
        <f t="shared" si="1304"/>
        <v>3</v>
      </c>
      <c r="C3807" s="292">
        <f t="shared" si="1303"/>
        <v>42814</v>
      </c>
      <c r="D3807" s="59" t="s">
        <v>903</v>
      </c>
      <c r="E3807" s="59">
        <v>42814</v>
      </c>
      <c r="F3807" s="62" t="s">
        <v>923</v>
      </c>
      <c r="G3807" s="62" t="s">
        <v>747</v>
      </c>
      <c r="H3807" s="311" t="s">
        <v>2450</v>
      </c>
      <c r="I3807" s="373"/>
      <c r="J3807" s="379"/>
      <c r="K3807" s="373">
        <v>33700</v>
      </c>
      <c r="L3807" s="379">
        <v>22773</v>
      </c>
      <c r="M3807" s="60">
        <f>K3807*L3807</f>
        <v>767450100</v>
      </c>
      <c r="N3807" s="61" t="s">
        <v>26</v>
      </c>
      <c r="O3807" s="61" t="s">
        <v>250</v>
      </c>
      <c r="P3807" s="75" t="str">
        <f>IF(AND('331-CT'!$E$7=TH!H5043,OR(N3807="331",O3807="331")),"x","")</f>
        <v/>
      </c>
      <c r="Q3807" s="75" t="str">
        <f>IF(AND(B3807='111'!$L$11,OR($N3807=$Q$7,$O3807=$Q$7)),"x","")</f>
        <v/>
      </c>
      <c r="R3807" s="75" t="str">
        <f>IF(AND($N3807=$Q$7,$B3807&lt;'111'!$L$11),"x","")</f>
        <v/>
      </c>
      <c r="S3807" s="75" t="str">
        <f>IF(AND($O3807=$Q$7,$B3807&lt;'111'!$L$11),"x","")</f>
        <v/>
      </c>
      <c r="T3807" s="75" t="str">
        <f>IF(ISERROR(FIND('112'!$M$9,G3807,1)),"",IF((AND(FIND('112'!$M$9,G3807,1)&gt;=1,B3807='112'!$K$9,OR($N3807='112'!$I$6,$O3807='112'!$I$6))),"x",""))</f>
        <v/>
      </c>
      <c r="U3807" s="75" t="str">
        <f>IF(ISERROR(FIND('112'!$M$9,G3807,1)),"",IF((AND(LEFT(G3807,2)=LEFT('112'!$M$9,2),B3807&lt;'112'!$K$9,$N3807='112'!$I$6)),"x",""))</f>
        <v/>
      </c>
      <c r="V3807" s="75" t="str">
        <f>IF(ISERROR(FIND('112'!$M$9,G3807,1)),"",IF((AND(RIGHT(G3807,2)=RIGHT('112'!$M$9,2),B3807&lt;'112'!$K$9,$O3807='112'!$I$6)),"x",""))</f>
        <v/>
      </c>
      <c r="W3807" s="75" t="str">
        <f>IF(AND('341-CT'!$H$9=H3807,OR(LEFT(N3807,3)=$W$7,LEFT(O3807,3)=$W$7)),"x","")</f>
        <v/>
      </c>
      <c r="X3807" s="75" t="str">
        <f>IF(OR(TH!N5043=TH!$X$7,O3807=TH!$X$7),"x","")</f>
        <v/>
      </c>
      <c r="Y3807" s="75" t="str">
        <f>IF(AND(OR(N3807="131",O3807="131"),H3807='131-CT'!$H$9),"x","")</f>
        <v/>
      </c>
      <c r="Z3807" s="75"/>
      <c r="AA3807" s="75" t="str">
        <f>IF(AND(MONTH(E3807)='IN-NX'!$J$5,'IN-NX'!$D$7=D3807),"x","")</f>
        <v/>
      </c>
      <c r="AB3807" s="75" t="str">
        <f>IF(AND(OR(LEFT(TH!N5043,2)="15",LEFT(TH!O5043,2)="15"),LEFT(TH!O5043,3)&lt;&gt;"111",'152-CT'!$J$8=TH!F5043),"x","")</f>
        <v/>
      </c>
      <c r="AC3807" s="75" t="str">
        <f>IF(AND(OR(LEFT(TH!N5043,2)="15",LEFT(TH!O5043,2)="15"),TK!$E$7=TH!F5043),"x","")</f>
        <v/>
      </c>
      <c r="AD3807" s="75" t="str">
        <f>IF(AND(N3807="1521",MONTH(C3807)='BK-NL'!$M$11),"x","")</f>
        <v/>
      </c>
    </row>
    <row r="3808" spans="1:30" ht="16.5" customHeight="1">
      <c r="A3808" s="309" t="str">
        <f>IF(B3808&lt;&gt;"",IF(AND(B3808='IN-TC'!$S$4,OR(TH!N3806="1111",TH!O3806="1111")),TH!D3806,""),"")</f>
        <v>C23</v>
      </c>
      <c r="B3808" s="1169">
        <f t="shared" si="1304"/>
        <v>3</v>
      </c>
      <c r="C3808" s="292">
        <f t="shared" si="1303"/>
        <v>42815</v>
      </c>
      <c r="D3808" s="292" t="s">
        <v>1938</v>
      </c>
      <c r="E3808" s="292">
        <v>42815</v>
      </c>
      <c r="F3808" s="67" t="s">
        <v>890</v>
      </c>
      <c r="G3808" s="925" t="s">
        <v>1233</v>
      </c>
      <c r="H3808" s="294" t="s">
        <v>893</v>
      </c>
      <c r="I3808" s="373"/>
      <c r="J3808" s="926"/>
      <c r="K3808" s="373"/>
      <c r="L3808" s="379"/>
      <c r="M3808" s="927">
        <v>2527855</v>
      </c>
      <c r="N3808" s="295" t="s">
        <v>101</v>
      </c>
      <c r="O3808" s="295" t="s">
        <v>63</v>
      </c>
      <c r="P3808" s="75" t="str">
        <f>IF(AND('331-CT'!$E$7=TH!H3539,OR(N3808="331",O3808="331")),"x","")</f>
        <v/>
      </c>
      <c r="Q3808" s="75" t="str">
        <f>IF(AND(B3808='111'!$L$11,OR($N3808=$Q$7,$O3808=$Q$7)),"x","")</f>
        <v/>
      </c>
      <c r="R3808" s="75" t="str">
        <f>IF(AND($N3808=$Q$7,$B3808&lt;'111'!$L$11),"x","")</f>
        <v/>
      </c>
      <c r="S3808" s="75" t="str">
        <f>IF(AND($O3808=$Q$7,$B3808&lt;'111'!$L$11),"x","")</f>
        <v>x</v>
      </c>
      <c r="T3808" s="75" t="str">
        <f>IF(ISERROR(FIND('112'!$M$9,G3808,1)),"",IF((AND(FIND('112'!$M$9,G3808,1)&gt;=1,B3808='112'!$K$9,OR($N3808='112'!$I$6,$O3808='112'!$I$6))),"x",""))</f>
        <v/>
      </c>
      <c r="U3808" s="75" t="str">
        <f>IF(ISERROR(FIND('112'!$M$9,G3808,1)),"",IF((AND(LEFT(G3808,2)=LEFT('112'!$M$9,2),B3808&lt;'112'!$K$9,$N3808='112'!$I$6)),"x",""))</f>
        <v/>
      </c>
      <c r="V3808" s="75" t="str">
        <f>IF(ISERROR(FIND('112'!$M$9,G3808,1)),"",IF((AND(RIGHT(G3808,2)=RIGHT('112'!$M$9,2),B3808&lt;'112'!$K$9,$O3808='112'!$I$6)),"x",""))</f>
        <v/>
      </c>
      <c r="W3808" s="75" t="str">
        <f>IF(AND('341-CT'!$H$9=H3808,OR(LEFT(N3808,3)=$W$7,LEFT(O3808,3)=$W$7)),"x","")</f>
        <v/>
      </c>
      <c r="X3808" s="75" t="str">
        <f>IF(OR(TH!N3539=TH!$X$7,O3808=TH!$X$7),"x","")</f>
        <v/>
      </c>
      <c r="Y3808" s="75" t="str">
        <f>IF(AND(OR(N3808="131",O3808="131"),H3808='131-CT'!$H$9),"x","")</f>
        <v/>
      </c>
      <c r="Z3808" s="75"/>
      <c r="AA3808" s="75" t="str">
        <f>IF(AND(MONTH(E3808)='IN-NX'!$J$5,'IN-NX'!$D$7=D3808),"x","")</f>
        <v/>
      </c>
      <c r="AB3808" s="75" t="str">
        <f>IF(AND(OR(LEFT(TH!N3539,2)="15",LEFT(TH!O3539,2)="15"),LEFT(TH!O3539,3)&lt;&gt;"111",'152-CT'!$J$8=TH!F3539),"x","")</f>
        <v/>
      </c>
      <c r="AC3808" s="75" t="str">
        <f>IF(AND(OR(LEFT(TH!N3539,2)="15",LEFT(TH!O3539,2)="15"),TK!$E$7=TH!F3539),"x","")</f>
        <v/>
      </c>
      <c r="AD3808" s="75" t="str">
        <f>IF(AND(N3808="1521",MONTH(C3808)='BK-NL'!$M$11),"x","")</f>
        <v/>
      </c>
    </row>
    <row r="3809" spans="1:31" ht="16.5" customHeight="1">
      <c r="A3809" s="309" t="str">
        <f>IF(B3809&lt;&gt;"",IF(AND(B3809='IN-TC'!$S$4,OR(TH!N3807="1111",TH!O3807="1111")),TH!D3807,""),"")</f>
        <v/>
      </c>
      <c r="B3809" s="1169">
        <f t="shared" si="1304"/>
        <v>3</v>
      </c>
      <c r="C3809" s="292">
        <f t="shared" si="1303"/>
        <v>42815</v>
      </c>
      <c r="D3809" s="292" t="s">
        <v>1938</v>
      </c>
      <c r="E3809" s="292">
        <v>42815</v>
      </c>
      <c r="F3809" s="67" t="s">
        <v>891</v>
      </c>
      <c r="G3809" s="925" t="s">
        <v>1233</v>
      </c>
      <c r="H3809" s="294" t="s">
        <v>893</v>
      </c>
      <c r="I3809" s="373"/>
      <c r="J3809" s="926"/>
      <c r="K3809" s="373"/>
      <c r="L3809" s="379"/>
      <c r="M3809" s="927">
        <v>252785</v>
      </c>
      <c r="N3809" s="295" t="s">
        <v>9</v>
      </c>
      <c r="O3809" s="295" t="s">
        <v>63</v>
      </c>
      <c r="P3809" s="75" t="str">
        <f>IF(AND('331-CT'!$E$7=TH!H3540,OR(N3809="331",O3809="331")),"x","")</f>
        <v/>
      </c>
      <c r="Q3809" s="75" t="str">
        <f>IF(AND(B3809='111'!$L$11,OR($N3809=$Q$7,$O3809=$Q$7)),"x","")</f>
        <v/>
      </c>
      <c r="R3809" s="75" t="str">
        <f>IF(AND($N3809=$Q$7,$B3809&lt;'111'!$L$11),"x","")</f>
        <v/>
      </c>
      <c r="S3809" s="75" t="str">
        <f>IF(AND($O3809=$Q$7,$B3809&lt;'111'!$L$11),"x","")</f>
        <v>x</v>
      </c>
      <c r="T3809" s="75" t="str">
        <f>IF(ISERROR(FIND('112'!$M$9,G3809,1)),"",IF((AND(FIND('112'!$M$9,G3809,1)&gt;=1,B3809='112'!$K$9,OR($N3809='112'!$I$6,$O3809='112'!$I$6))),"x",""))</f>
        <v/>
      </c>
      <c r="U3809" s="75" t="str">
        <f>IF(ISERROR(FIND('112'!$M$9,G3809,1)),"",IF((AND(LEFT(G3809,2)=LEFT('112'!$M$9,2),B3809&lt;'112'!$K$9,$N3809='112'!$I$6)),"x",""))</f>
        <v/>
      </c>
      <c r="V3809" s="75" t="str">
        <f>IF(ISERROR(FIND('112'!$M$9,G3809,1)),"",IF((AND(RIGHT(G3809,2)=RIGHT('112'!$M$9,2),B3809&lt;'112'!$K$9,$O3809='112'!$I$6)),"x",""))</f>
        <v/>
      </c>
      <c r="W3809" s="75" t="str">
        <f>IF(AND('341-CT'!$H$9=H3809,OR(LEFT(N3809,3)=$W$7,LEFT(O3809,3)=$W$7)),"x","")</f>
        <v/>
      </c>
      <c r="X3809" s="75" t="str">
        <f>IF(OR(TH!N3540=TH!$X$7,O3809=TH!$X$7),"x","")</f>
        <v/>
      </c>
      <c r="Y3809" s="75" t="str">
        <f>IF(AND(OR(N3809="131",O3809="131"),H3809='131-CT'!$H$9),"x","")</f>
        <v/>
      </c>
      <c r="Z3809" s="75"/>
      <c r="AA3809" s="75" t="str">
        <f>IF(AND(MONTH(E3809)='IN-NX'!$J$5,'IN-NX'!$D$7=D3809),"x","")</f>
        <v/>
      </c>
      <c r="AB3809" s="75" t="str">
        <f>IF(AND(OR(LEFT(TH!N3540,2)="15",LEFT(TH!O3540,2)="15"),LEFT(TH!O3540,3)&lt;&gt;"111",'152-CT'!$J$8=TH!F3540),"x","")</f>
        <v/>
      </c>
      <c r="AC3809" s="75" t="str">
        <f>IF(AND(OR(LEFT(TH!N3540,2)="15",LEFT(TH!O3540,2)="15"),TK!$E$7=TH!F3540),"x","")</f>
        <v/>
      </c>
      <c r="AD3809" s="75" t="str">
        <f>IF(AND(N3809="1521",MONTH(C3809)='BK-NL'!$M$11),"x","")</f>
        <v/>
      </c>
    </row>
    <row r="3810" spans="1:31" ht="16.5" customHeight="1">
      <c r="A3810" s="309" t="str">
        <f>IF(B3810&lt;&gt;"",IF(AND(B3810='IN-TC'!$S$4,OR(TH!N3808="1111",TH!O3808="1111")),TH!D3808,""),"")</f>
        <v>C24</v>
      </c>
      <c r="B3810" s="1169">
        <f t="shared" si="1304"/>
        <v>3</v>
      </c>
      <c r="C3810" s="292">
        <f t="shared" si="1303"/>
        <v>42815</v>
      </c>
      <c r="D3810" s="292" t="s">
        <v>854</v>
      </c>
      <c r="E3810" s="292">
        <v>42815</v>
      </c>
      <c r="F3810" s="293" t="s">
        <v>834</v>
      </c>
      <c r="G3810" s="943" t="s">
        <v>747</v>
      </c>
      <c r="H3810" s="67" t="s">
        <v>1023</v>
      </c>
      <c r="I3810" s="373"/>
      <c r="J3810" s="926"/>
      <c r="K3810" s="373"/>
      <c r="L3810" s="379"/>
      <c r="M3810" s="927">
        <v>760000000</v>
      </c>
      <c r="N3810" s="295" t="s">
        <v>63</v>
      </c>
      <c r="O3810" s="295" t="s">
        <v>26</v>
      </c>
      <c r="P3810" s="75" t="str">
        <f>IF(AND('331-CT'!$E$7=TH!H5034,OR(N3810="331",O3810="331")),"x","")</f>
        <v/>
      </c>
      <c r="Q3810" s="75" t="str">
        <f>IF(AND(B3810='111'!$L$11,OR($N3810=$Q$7,$O3810=$Q$7)),"x","")</f>
        <v/>
      </c>
      <c r="R3810" s="75" t="str">
        <f>IF(AND($N3810=$Q$7,$B3810&lt;'111'!$L$11),"x","")</f>
        <v>x</v>
      </c>
      <c r="S3810" s="75" t="str">
        <f>IF(AND($O3810=$Q$7,$B3810&lt;'111'!$L$11),"x","")</f>
        <v/>
      </c>
      <c r="T3810" s="75" t="str">
        <f>IF(ISERROR(FIND('112'!$M$9,G3810,1)),"",IF((AND(FIND('112'!$M$9,G3810,1)&gt;=1,B3810='112'!$K$9,OR($N3810='112'!$I$6,$O3810='112'!$I$6))),"x",""))</f>
        <v/>
      </c>
      <c r="U3810" s="75" t="str">
        <f>IF(ISERROR(FIND('112'!$M$9,G3810,1)),"",IF((AND(LEFT(G3810,2)=LEFT('112'!$M$9,2),B3810&lt;'112'!$K$9,$N3810='112'!$I$6)),"x",""))</f>
        <v/>
      </c>
      <c r="V3810" s="75" t="str">
        <f>IF(ISERROR(FIND('112'!$M$9,G3810,1)),"",IF((AND(RIGHT(G3810,2)=RIGHT('112'!$M$9,2),B3810&lt;'112'!$K$9,$O3810='112'!$I$6)),"x",""))</f>
        <v/>
      </c>
      <c r="W3810" s="75" t="str">
        <f>IF(AND('341-CT'!$H$9=H3810,OR(LEFT(N3810,3)=$W$7,LEFT(O3810,3)=$W$7)),"x","")</f>
        <v/>
      </c>
      <c r="X3810" s="75" t="str">
        <f>IF(OR(TH!N5034=TH!$X$7,O3810=TH!$X$7),"x","")</f>
        <v/>
      </c>
      <c r="Y3810" s="75" t="str">
        <f>IF(AND(OR(N3810="131",O3810="131"),H3810='131-CT'!$H$9),"x","")</f>
        <v/>
      </c>
      <c r="Z3810" s="75"/>
      <c r="AA3810" s="75" t="str">
        <f>IF(AND(MONTH(E3810)='IN-NX'!$J$5,'IN-NX'!$D$7=D3810),"x","")</f>
        <v/>
      </c>
      <c r="AB3810" s="75" t="str">
        <f>IF(AND(OR(LEFT(TH!N5034,2)="15",LEFT(TH!O5034,2)="15"),LEFT(TH!O5034,3)&lt;&gt;"111",'152-CT'!$J$8=TH!F5034),"x","")</f>
        <v/>
      </c>
      <c r="AC3810" s="75" t="str">
        <f>IF(AND(OR(LEFT(TH!N5034,2)="15",LEFT(TH!O5034,2)="15"),TK!$E$7=TH!F5034),"x","")</f>
        <v/>
      </c>
      <c r="AD3810" s="75" t="str">
        <f>IF(AND(N3810="1521",MONTH(C3810)='BK-NL'!$M$11),"x","")</f>
        <v/>
      </c>
    </row>
    <row r="3811" spans="1:31" ht="16.5" customHeight="1">
      <c r="A3811" s="309" t="str">
        <f>IF(B3811&lt;&gt;"",IF(AND(B3811='IN-TC'!$S$4,OR(TH!N3809="1111",TH!O3809="1111")),TH!D3809,""),"")</f>
        <v>C24</v>
      </c>
      <c r="B3811" s="1169">
        <f t="shared" si="1304"/>
        <v>3</v>
      </c>
      <c r="C3811" s="292">
        <f t="shared" si="1303"/>
        <v>42815</v>
      </c>
      <c r="D3811" s="292" t="s">
        <v>1939</v>
      </c>
      <c r="E3811" s="59">
        <v>42815</v>
      </c>
      <c r="F3811" s="62" t="s">
        <v>885</v>
      </c>
      <c r="G3811" s="62" t="s">
        <v>747</v>
      </c>
      <c r="H3811" s="311" t="s">
        <v>1023</v>
      </c>
      <c r="I3811" s="373"/>
      <c r="J3811" s="379"/>
      <c r="K3811" s="373"/>
      <c r="L3811" s="379"/>
      <c r="M3811" s="60">
        <v>30000000</v>
      </c>
      <c r="N3811" s="61" t="s">
        <v>26</v>
      </c>
      <c r="O3811" s="61" t="s">
        <v>63</v>
      </c>
      <c r="P3811" s="75" t="str">
        <f>IF(AND('331-CT'!$E$7=TH!H5035,OR(N3811="331",O3811="331")),"x","")</f>
        <v/>
      </c>
      <c r="Q3811" s="75" t="str">
        <f>IF(AND(B3811='111'!$L$11,OR($N3811=$Q$7,$O3811=$Q$7)),"x","")</f>
        <v/>
      </c>
      <c r="R3811" s="75" t="str">
        <f>IF(AND($N3811=$Q$7,$B3811&lt;'111'!$L$11),"x","")</f>
        <v/>
      </c>
      <c r="S3811" s="75" t="str">
        <f>IF(AND($O3811=$Q$7,$B3811&lt;'111'!$L$11),"x","")</f>
        <v>x</v>
      </c>
      <c r="T3811" s="75" t="str">
        <f>IF(ISERROR(FIND('112'!$M$9,G3811,1)),"",IF((AND(FIND('112'!$M$9,G3811,1)&gt;=1,B3811='112'!$K$9,OR($N3811='112'!$I$6,$O3811='112'!$I$6))),"x",""))</f>
        <v/>
      </c>
      <c r="U3811" s="75" t="str">
        <f>IF(ISERROR(FIND('112'!$M$9,G3811,1)),"",IF((AND(LEFT(G3811,2)=LEFT('112'!$M$9,2),B3811&lt;'112'!$K$9,$N3811='112'!$I$6)),"x",""))</f>
        <v/>
      </c>
      <c r="V3811" s="75" t="str">
        <f>IF(ISERROR(FIND('112'!$M$9,G3811,1)),"",IF((AND(RIGHT(G3811,2)=RIGHT('112'!$M$9,2),B3811&lt;'112'!$K$9,$O3811='112'!$I$6)),"x",""))</f>
        <v/>
      </c>
      <c r="W3811" s="75" t="str">
        <f>IF(AND('341-CT'!$H$9=H3811,OR(LEFT(N3811,3)=$W$7,LEFT(O3811,3)=$W$7)),"x","")</f>
        <v/>
      </c>
      <c r="X3811" s="75" t="str">
        <f>IF(OR(TH!N5035=TH!$X$7,O3811=TH!$X$7),"x","")</f>
        <v/>
      </c>
      <c r="Y3811" s="75" t="str">
        <f>IF(AND(OR(N3811="131",O3811="131"),H3811='131-CT'!$H$9),"x","")</f>
        <v/>
      </c>
      <c r="Z3811" s="75"/>
      <c r="AA3811" s="75" t="str">
        <f>IF(AND(MONTH(E3811)='IN-NX'!$J$5,'IN-NX'!$D$7=D3811),"x","")</f>
        <v/>
      </c>
      <c r="AB3811" s="75" t="str">
        <f>IF(AND(OR(LEFT(TH!N5035,2)="15",LEFT(TH!O5035,2)="15"),LEFT(TH!O5035,3)&lt;&gt;"111",'152-CT'!$J$8=TH!F5035),"x","")</f>
        <v/>
      </c>
      <c r="AC3811" s="75" t="str">
        <f>IF(AND(OR(LEFT(TH!N5035,2)="15",LEFT(TH!O5035,2)="15"),TK!$E$7=TH!F5035),"x","")</f>
        <v/>
      </c>
      <c r="AD3811" s="75" t="str">
        <f>IF(AND(N3811="1521",MONTH(C3811)='BK-NL'!$M$11),"x","")</f>
        <v/>
      </c>
    </row>
    <row r="3812" spans="1:31" ht="16.5" customHeight="1">
      <c r="A3812" s="309" t="str">
        <f>IF(B3812&lt;&gt;"",IF(AND(B3812='IN-TC'!$S$4,OR(TH!N3810="1111",TH!O3810="1111")),TH!D3810,""),"")</f>
        <v>T07</v>
      </c>
      <c r="B3812" s="1169">
        <f t="shared" si="1304"/>
        <v>3</v>
      </c>
      <c r="C3812" s="292">
        <f t="shared" si="1303"/>
        <v>42816</v>
      </c>
      <c r="D3812" s="292" t="s">
        <v>1940</v>
      </c>
      <c r="E3812" s="292">
        <v>42816</v>
      </c>
      <c r="F3812" s="67" t="s">
        <v>1234</v>
      </c>
      <c r="G3812" s="925" t="s">
        <v>1236</v>
      </c>
      <c r="H3812" s="294" t="s">
        <v>1237</v>
      </c>
      <c r="I3812" s="373"/>
      <c r="J3812" s="926"/>
      <c r="K3812" s="373"/>
      <c r="L3812" s="379"/>
      <c r="M3812" s="927">
        <v>11518182</v>
      </c>
      <c r="N3812" s="295" t="s">
        <v>101</v>
      </c>
      <c r="O3812" s="295" t="s">
        <v>63</v>
      </c>
      <c r="P3812" s="75" t="str">
        <f>IF(AND('331-CT'!$E$7=TH!H3541,OR(N3812="331",O3812="331")),"x","")</f>
        <v/>
      </c>
      <c r="Q3812" s="75" t="str">
        <f>IF(AND(B3812='111'!$L$11,OR($N3812=$Q$7,$O3812=$Q$7)),"x","")</f>
        <v/>
      </c>
      <c r="R3812" s="75" t="str">
        <f>IF(AND($N3812=$Q$7,$B3812&lt;'111'!$L$11),"x","")</f>
        <v/>
      </c>
      <c r="S3812" s="75" t="str">
        <f>IF(AND($O3812=$Q$7,$B3812&lt;'111'!$L$11),"x","")</f>
        <v>x</v>
      </c>
      <c r="T3812" s="75" t="str">
        <f>IF(ISERROR(FIND('112'!$M$9,G3812,1)),"",IF((AND(FIND('112'!$M$9,G3812,1)&gt;=1,B3812='112'!$K$9,OR($N3812='112'!$I$6,$O3812='112'!$I$6))),"x",""))</f>
        <v/>
      </c>
      <c r="U3812" s="75" t="str">
        <f>IF(ISERROR(FIND('112'!$M$9,G3812,1)),"",IF((AND(LEFT(G3812,2)=LEFT('112'!$M$9,2),B3812&lt;'112'!$K$9,$N3812='112'!$I$6)),"x",""))</f>
        <v/>
      </c>
      <c r="V3812" s="75" t="str">
        <f>IF(ISERROR(FIND('112'!$M$9,G3812,1)),"",IF((AND(RIGHT(G3812,2)=RIGHT('112'!$M$9,2),B3812&lt;'112'!$K$9,$O3812='112'!$I$6)),"x",""))</f>
        <v/>
      </c>
      <c r="W3812" s="75" t="str">
        <f>IF(AND('341-CT'!$H$9=H3812,OR(LEFT(N3812,3)=$W$7,LEFT(O3812,3)=$W$7)),"x","")</f>
        <v/>
      </c>
      <c r="X3812" s="75" t="str">
        <f>IF(OR(TH!N3541=TH!$X$7,O3812=TH!$X$7),"x","")</f>
        <v/>
      </c>
      <c r="Y3812" s="75" t="str">
        <f>IF(AND(OR(N3812="131",O3812="131"),H3812='131-CT'!$H$9),"x","")</f>
        <v/>
      </c>
      <c r="Z3812" s="75"/>
      <c r="AA3812" s="75" t="str">
        <f>IF(AND(MONTH(E3812)='IN-NX'!$J$5,'IN-NX'!$D$7=D3812),"x","")</f>
        <v/>
      </c>
      <c r="AB3812" s="75" t="str">
        <f>IF(AND(OR(LEFT(TH!N3541,2)="15",LEFT(TH!O3541,2)="15"),LEFT(TH!O3541,3)&lt;&gt;"111",'152-CT'!$J$8=TH!F3541),"x","")</f>
        <v/>
      </c>
      <c r="AC3812" s="75" t="str">
        <f>IF(AND(OR(LEFT(TH!N3541,2)="15",LEFT(TH!O3541,2)="15"),TK!$E$7=TH!F3541),"x","")</f>
        <v/>
      </c>
      <c r="AD3812" s="75" t="str">
        <f>IF(AND(N3812="1521",MONTH(C3812)='BK-NL'!$M$11),"x","")</f>
        <v/>
      </c>
    </row>
    <row r="3813" spans="1:31" ht="16.5" customHeight="1">
      <c r="A3813" s="309" t="str">
        <f>IF(B3813&lt;&gt;"",IF(AND(B3813='IN-TC'!$S$4,OR(TH!N3811="1111",TH!O3811="1111")),TH!D3811,""),"")</f>
        <v>C25</v>
      </c>
      <c r="B3813" s="1169">
        <f t="shared" si="1304"/>
        <v>3</v>
      </c>
      <c r="C3813" s="292">
        <f t="shared" si="1303"/>
        <v>42816</v>
      </c>
      <c r="D3813" s="292" t="s">
        <v>1940</v>
      </c>
      <c r="E3813" s="292">
        <v>42816</v>
      </c>
      <c r="F3813" s="67" t="s">
        <v>1235</v>
      </c>
      <c r="G3813" s="925" t="s">
        <v>1236</v>
      </c>
      <c r="H3813" s="294" t="s">
        <v>1237</v>
      </c>
      <c r="I3813" s="373"/>
      <c r="J3813" s="926"/>
      <c r="K3813" s="373"/>
      <c r="L3813" s="379"/>
      <c r="M3813" s="927">
        <v>1151818</v>
      </c>
      <c r="N3813" s="295" t="s">
        <v>9</v>
      </c>
      <c r="O3813" s="295" t="s">
        <v>63</v>
      </c>
      <c r="P3813" s="75" t="str">
        <f>IF(AND('331-CT'!$E$7=TH!H3542,OR(N3813="331",O3813="331")),"x","")</f>
        <v/>
      </c>
      <c r="Q3813" s="75" t="str">
        <f>IF(AND(B3813='111'!$L$11,OR($N3813=$Q$7,$O3813=$Q$7)),"x","")</f>
        <v/>
      </c>
      <c r="R3813" s="75" t="str">
        <f>IF(AND($N3813=$Q$7,$B3813&lt;'111'!$L$11),"x","")</f>
        <v/>
      </c>
      <c r="S3813" s="75" t="str">
        <f>IF(AND($O3813=$Q$7,$B3813&lt;'111'!$L$11),"x","")</f>
        <v>x</v>
      </c>
      <c r="T3813" s="75" t="str">
        <f>IF(ISERROR(FIND('112'!$M$9,G3813,1)),"",IF((AND(FIND('112'!$M$9,G3813,1)&gt;=1,B3813='112'!$K$9,OR($N3813='112'!$I$6,$O3813='112'!$I$6))),"x",""))</f>
        <v/>
      </c>
      <c r="U3813" s="75" t="str">
        <f>IF(ISERROR(FIND('112'!$M$9,G3813,1)),"",IF((AND(LEFT(G3813,2)=LEFT('112'!$M$9,2),B3813&lt;'112'!$K$9,$N3813='112'!$I$6)),"x",""))</f>
        <v/>
      </c>
      <c r="V3813" s="75" t="str">
        <f>IF(ISERROR(FIND('112'!$M$9,G3813,1)),"",IF((AND(RIGHT(G3813,2)=RIGHT('112'!$M$9,2),B3813&lt;'112'!$K$9,$O3813='112'!$I$6)),"x",""))</f>
        <v/>
      </c>
      <c r="W3813" s="75" t="str">
        <f>IF(AND('341-CT'!$H$9=H3813,OR(LEFT(N3813,3)=$W$7,LEFT(O3813,3)=$W$7)),"x","")</f>
        <v/>
      </c>
      <c r="X3813" s="75" t="str">
        <f>IF(OR(TH!N3542=TH!$X$7,O3813=TH!$X$7),"x","")</f>
        <v/>
      </c>
      <c r="Y3813" s="75" t="str">
        <f>IF(AND(OR(N3813="131",O3813="131"),H3813='131-CT'!$H$9),"x","")</f>
        <v/>
      </c>
      <c r="Z3813" s="75"/>
      <c r="AA3813" s="75" t="str">
        <f>IF(AND(MONTH(E3813)='IN-NX'!$J$5,'IN-NX'!$D$7=D3813),"x","")</f>
        <v/>
      </c>
      <c r="AB3813" s="75" t="str">
        <f>IF(AND(OR(LEFT(TH!N3542,2)="15",LEFT(TH!O3542,2)="15"),LEFT(TH!O3542,3)&lt;&gt;"111",'152-CT'!$J$8=TH!F3542),"x","")</f>
        <v/>
      </c>
      <c r="AC3813" s="75" t="str">
        <f>IF(AND(OR(LEFT(TH!N3542,2)="15",LEFT(TH!O3542,2)="15"),TK!$E$7=TH!F3542),"x","")</f>
        <v/>
      </c>
      <c r="AD3813" s="75" t="str">
        <f>IF(AND(N3813="1521",MONTH(C3813)='BK-NL'!$M$11),"x","")</f>
        <v/>
      </c>
    </row>
    <row r="3814" spans="1:31" ht="16.5" customHeight="1">
      <c r="A3814" s="309" t="str">
        <f>IF(B3814&lt;&gt;"",IF(AND(B3814='IN-TC'!$S$4,OR(TH!N3812="1111",TH!O3812="1111")),TH!D3812,""),"")</f>
        <v>C26</v>
      </c>
      <c r="B3814" s="1169">
        <f t="shared" si="1304"/>
        <v>3</v>
      </c>
      <c r="C3814" s="292">
        <f t="shared" si="1303"/>
        <v>42816</v>
      </c>
      <c r="D3814" s="292" t="s">
        <v>1941</v>
      </c>
      <c r="E3814" s="292">
        <v>42816</v>
      </c>
      <c r="F3814" s="67" t="s">
        <v>1165</v>
      </c>
      <c r="G3814" s="925" t="s">
        <v>1160</v>
      </c>
      <c r="H3814" s="294" t="s">
        <v>796</v>
      </c>
      <c r="I3814" s="373"/>
      <c r="J3814" s="926"/>
      <c r="K3814" s="373"/>
      <c r="L3814" s="379"/>
      <c r="M3814" s="927">
        <v>18980500</v>
      </c>
      <c r="N3814" s="295" t="s">
        <v>8</v>
      </c>
      <c r="O3814" s="295" t="s">
        <v>63</v>
      </c>
      <c r="P3814" s="75" t="str">
        <f>IF(AND('331-CT'!$E$7=TH!H3543,OR(N3814="331",O3814="331")),"x","")</f>
        <v/>
      </c>
      <c r="Q3814" s="75" t="str">
        <f>IF(AND(B3814='111'!$L$11,OR($N3814=$Q$7,$O3814=$Q$7)),"x","")</f>
        <v/>
      </c>
      <c r="R3814" s="75" t="str">
        <f>IF(AND($N3814=$Q$7,$B3814&lt;'111'!$L$11),"x","")</f>
        <v/>
      </c>
      <c r="S3814" s="75" t="str">
        <f>IF(AND($O3814=$Q$7,$B3814&lt;'111'!$L$11),"x","")</f>
        <v>x</v>
      </c>
      <c r="T3814" s="75" t="str">
        <f>IF(ISERROR(FIND('112'!$M$9,G3814,1)),"",IF((AND(FIND('112'!$M$9,G3814,1)&gt;=1,B3814='112'!$K$9,OR($N3814='112'!$I$6,$O3814='112'!$I$6))),"x",""))</f>
        <v/>
      </c>
      <c r="U3814" s="75" t="str">
        <f>IF(ISERROR(FIND('112'!$M$9,G3814,1)),"",IF((AND(LEFT(G3814,2)=LEFT('112'!$M$9,2),B3814&lt;'112'!$K$9,$N3814='112'!$I$6)),"x",""))</f>
        <v/>
      </c>
      <c r="V3814" s="75" t="str">
        <f>IF(ISERROR(FIND('112'!$M$9,G3814,1)),"",IF((AND(RIGHT(G3814,2)=RIGHT('112'!$M$9,2),B3814&lt;'112'!$K$9,$O3814='112'!$I$6)),"x",""))</f>
        <v/>
      </c>
      <c r="W3814" s="75" t="str">
        <f>IF(AND('341-CT'!$H$9=H3814,OR(LEFT(N3814,3)=$W$7,LEFT(O3814,3)=$W$7)),"x","")</f>
        <v/>
      </c>
      <c r="X3814" s="75" t="str">
        <f>IF(OR(TH!N3543=TH!$X$7,O3814=TH!$X$7),"x","")</f>
        <v/>
      </c>
      <c r="Y3814" s="75" t="str">
        <f>IF(AND(OR(N3814="131",O3814="131"),H3814='131-CT'!$H$9),"x","")</f>
        <v/>
      </c>
      <c r="Z3814" s="75"/>
      <c r="AA3814" s="75" t="str">
        <f>IF(AND(MONTH(E3814)='IN-NX'!$J$5,'IN-NX'!$D$7=D3814),"x","")</f>
        <v/>
      </c>
      <c r="AB3814" s="75" t="str">
        <f>IF(AND(OR(LEFT(TH!N3543,2)="15",LEFT(TH!O3543,2)="15"),LEFT(TH!O3543,3)&lt;&gt;"111",'152-CT'!$J$8=TH!F3543),"x","")</f>
        <v/>
      </c>
      <c r="AC3814" s="75" t="str">
        <f>IF(AND(OR(LEFT(TH!N3543,2)="15",LEFT(TH!O3543,2)="15"),TK!$E$7=TH!F3543),"x","")</f>
        <v/>
      </c>
      <c r="AD3814" s="75" t="str">
        <f>IF(AND(N3814="1521",MONTH(C3814)='BK-NL'!$M$11),"x","")</f>
        <v/>
      </c>
    </row>
    <row r="3815" spans="1:31" ht="16.5" customHeight="1">
      <c r="A3815" s="309" t="str">
        <f>IF(B3815&lt;&gt;"",IF(AND(B3815='IN-TC'!$S$4,OR(TH!N3813="1111",TH!O3813="1111")),TH!D3813,""),"")</f>
        <v>C26</v>
      </c>
      <c r="B3815" s="1169">
        <f t="shared" si="1304"/>
        <v>3</v>
      </c>
      <c r="C3815" s="292">
        <f t="shared" si="1303"/>
        <v>42816</v>
      </c>
      <c r="D3815" s="59" t="s">
        <v>902</v>
      </c>
      <c r="E3815" s="59">
        <v>42816</v>
      </c>
      <c r="F3815" s="67" t="s">
        <v>1214</v>
      </c>
      <c r="G3815" s="62" t="s">
        <v>585</v>
      </c>
      <c r="H3815" s="311" t="s">
        <v>623</v>
      </c>
      <c r="I3815" s="373"/>
      <c r="J3815" s="379"/>
      <c r="K3815" s="373"/>
      <c r="L3815" s="379"/>
      <c r="M3815" s="60">
        <v>15000000</v>
      </c>
      <c r="N3815" s="61" t="s">
        <v>72</v>
      </c>
      <c r="O3815" s="61" t="s">
        <v>26</v>
      </c>
      <c r="P3815" s="75" t="str">
        <f>IF(AND('331-CT'!$E$7=TH!H4710,OR(N3815="331",O3815="331")),"x","")</f>
        <v/>
      </c>
      <c r="Q3815" s="75" t="str">
        <f>IF(AND(B3815='111'!$L$11,OR($N3815=$Q$7,$O3815=$Q$7)),"x","")</f>
        <v/>
      </c>
      <c r="R3815" s="75" t="str">
        <f>IF(AND($N3815=$Q$7,$B3815&lt;'111'!$L$11),"x","")</f>
        <v/>
      </c>
      <c r="S3815" s="75" t="str">
        <f>IF(AND($O3815=$Q$7,$B3815&lt;'111'!$L$11),"x","")</f>
        <v/>
      </c>
      <c r="T3815" s="75" t="str">
        <f>IF(ISERROR(FIND('112'!$M$9,G3815,1)),"",IF((AND(FIND('112'!$M$9,G3815,1)&gt;=1,B3815='112'!$K$9,OR($N3815='112'!$I$6,$O3815='112'!$I$6))),"x",""))</f>
        <v/>
      </c>
      <c r="U3815" s="75" t="str">
        <f>IF(ISERROR(FIND('112'!$M$9,G3815,1)),"",IF((AND(LEFT(G3815,2)=LEFT('112'!$M$9,2),B3815&lt;'112'!$K$9,$N3815='112'!$I$6)),"x",""))</f>
        <v/>
      </c>
      <c r="V3815" s="75" t="str">
        <f>IF(ISERROR(FIND('112'!$M$9,G3815,1)),"",IF((AND(RIGHT(G3815,2)=RIGHT('112'!$M$9,2),B3815&lt;'112'!$K$9,$O3815='112'!$I$6)),"x",""))</f>
        <v/>
      </c>
      <c r="W3815" s="75" t="str">
        <f>IF(AND('341-CT'!$H$9=H3815,OR(LEFT(N3815,3)=$W$7,LEFT(O3815,3)=$W$7)),"x","")</f>
        <v/>
      </c>
      <c r="X3815" s="75" t="str">
        <f>IF(OR(TH!N4710=TH!$X$7,O3815=TH!$X$7),"x","")</f>
        <v/>
      </c>
      <c r="Y3815" s="75" t="str">
        <f>IF(AND(OR(N3815="131",O3815="131"),H3815='131-CT'!$H$9),"x","")</f>
        <v/>
      </c>
      <c r="Z3815" s="75"/>
      <c r="AA3815" s="75" t="str">
        <f>IF(AND(MONTH(E3815)='IN-NX'!$J$5,'IN-NX'!$D$7=D3815),"x","")</f>
        <v/>
      </c>
      <c r="AB3815" s="75" t="str">
        <f>IF(AND(OR(LEFT(TH!N4710,2)="15",LEFT(TH!O4710,2)="15"),LEFT(TH!O4710,3)&lt;&gt;"111",'152-CT'!$J$8=TH!F4710),"x","")</f>
        <v/>
      </c>
      <c r="AC3815" s="75" t="str">
        <f>IF(AND(OR(LEFT(TH!N4710,2)="15",LEFT(TH!O4710,2)="15"),TK!$E$7=TH!F4710),"x","")</f>
        <v/>
      </c>
      <c r="AD3815" s="75" t="str">
        <f>IF(AND(N3815="1521",MONTH(C3815)='BK-NL'!$M$11),"x","")</f>
        <v/>
      </c>
    </row>
    <row r="3816" spans="1:31" ht="16.5" customHeight="1">
      <c r="A3816" s="309" t="str">
        <f>IF(B3816&lt;&gt;"",IF(AND(B3816='IN-TC'!$S$4,OR(TH!N3814="1111",TH!O3814="1111")),TH!D3814,""),"")</f>
        <v>C27</v>
      </c>
      <c r="B3816" s="1169">
        <f t="shared" si="1304"/>
        <v>3</v>
      </c>
      <c r="C3816" s="292">
        <f t="shared" si="1303"/>
        <v>42816</v>
      </c>
      <c r="D3816" s="292" t="s">
        <v>902</v>
      </c>
      <c r="E3816" s="292">
        <v>42816</v>
      </c>
      <c r="F3816" s="62" t="s">
        <v>897</v>
      </c>
      <c r="G3816" s="62" t="s">
        <v>747</v>
      </c>
      <c r="H3816" s="311" t="s">
        <v>750</v>
      </c>
      <c r="I3816" s="373"/>
      <c r="J3816" s="926"/>
      <c r="K3816" s="373"/>
      <c r="L3816" s="379"/>
      <c r="M3816" s="927">
        <v>29375000</v>
      </c>
      <c r="N3816" s="295" t="s">
        <v>8</v>
      </c>
      <c r="O3816" s="295" t="s">
        <v>26</v>
      </c>
      <c r="P3816" s="75" t="str">
        <f>IF(AND('331-CT'!$E$7=TH!H5044,OR(N3816="331",O3816="331")),"x","")</f>
        <v/>
      </c>
      <c r="Q3816" s="75" t="str">
        <f>IF(AND(B3816='111'!$L$11,OR($N3816=$Q$7,$O3816=$Q$7)),"x","")</f>
        <v/>
      </c>
      <c r="R3816" s="75" t="str">
        <f>IF(AND($N3816=$Q$7,$B3816&lt;'111'!$L$11),"x","")</f>
        <v/>
      </c>
      <c r="S3816" s="75" t="str">
        <f>IF(AND($O3816=$Q$7,$B3816&lt;'111'!$L$11),"x","")</f>
        <v/>
      </c>
      <c r="T3816" s="75" t="str">
        <f>IF(ISERROR(FIND('112'!$M$9,G3816,1)),"",IF((AND(FIND('112'!$M$9,G3816,1)&gt;=1,B3816='112'!$K$9,OR($N3816='112'!$I$6,$O3816='112'!$I$6))),"x",""))</f>
        <v/>
      </c>
      <c r="U3816" s="75" t="str">
        <f>IF(ISERROR(FIND('112'!$M$9,G3816,1)),"",IF((AND(LEFT(G3816,2)=LEFT('112'!$M$9,2),B3816&lt;'112'!$K$9,$N3816='112'!$I$6)),"x",""))</f>
        <v/>
      </c>
      <c r="V3816" s="75" t="str">
        <f>IF(ISERROR(FIND('112'!$M$9,G3816,1)),"",IF((AND(RIGHT(G3816,2)=RIGHT('112'!$M$9,2),B3816&lt;'112'!$K$9,$O3816='112'!$I$6)),"x",""))</f>
        <v/>
      </c>
      <c r="W3816" s="75" t="str">
        <f>IF(AND('341-CT'!$H$9=H3816,OR(LEFT(N3816,3)=$W$7,LEFT(O3816,3)=$W$7)),"x","")</f>
        <v/>
      </c>
      <c r="X3816" s="75" t="str">
        <f>IF(OR(TH!N5044=TH!$X$7,O3816=TH!$X$7),"x","")</f>
        <v/>
      </c>
      <c r="Y3816" s="75" t="str">
        <f>IF(AND(OR(N3816="131",O3816="131"),H3816='131-CT'!$H$9),"x","")</f>
        <v/>
      </c>
      <c r="Z3816" s="75"/>
      <c r="AA3816" s="75" t="str">
        <f>IF(AND(MONTH(E3816)='IN-NX'!$J$5,'IN-NX'!$D$7=D3816),"x","")</f>
        <v/>
      </c>
      <c r="AB3816" s="75" t="str">
        <f>IF(AND(OR(LEFT(TH!N5044,2)="15",LEFT(TH!O5044,2)="15"),LEFT(TH!O5044,3)&lt;&gt;"111",'152-CT'!$J$8=TH!F5044),"x","")</f>
        <v/>
      </c>
      <c r="AC3816" s="75" t="str">
        <f>IF(AND(OR(LEFT(TH!N5044,2)="15",LEFT(TH!O5044,2)="15"),TK!$E$7=TH!F5044),"x","")</f>
        <v/>
      </c>
      <c r="AD3816" s="75" t="str">
        <f>IF(AND(N3816="1521",MONTH(C3816)='BK-NL'!$M$11),"x","")</f>
        <v/>
      </c>
    </row>
    <row r="3817" spans="1:31" ht="16.5" customHeight="1">
      <c r="A3817" s="309" t="str">
        <f>IF(B3817&lt;&gt;"",IF(AND(B3817='IN-TC'!$S$4,OR(TH!N3815="1111",TH!O3815="1111")),TH!D3815,""),"")</f>
        <v/>
      </c>
      <c r="B3817" s="1169">
        <f t="shared" si="1304"/>
        <v>3</v>
      </c>
      <c r="C3817" s="292">
        <f t="shared" si="1303"/>
        <v>42816</v>
      </c>
      <c r="D3817" s="292" t="s">
        <v>902</v>
      </c>
      <c r="E3817" s="292">
        <v>42816</v>
      </c>
      <c r="F3817" s="131" t="s">
        <v>870</v>
      </c>
      <c r="G3817" s="62" t="s">
        <v>747</v>
      </c>
      <c r="H3817" s="311" t="s">
        <v>835</v>
      </c>
      <c r="I3817" s="373"/>
      <c r="J3817" s="926"/>
      <c r="K3817" s="373"/>
      <c r="L3817" s="379"/>
      <c r="M3817" s="927">
        <v>10000</v>
      </c>
      <c r="N3817" s="295" t="s">
        <v>101</v>
      </c>
      <c r="O3817" s="295" t="s">
        <v>26</v>
      </c>
      <c r="P3817" s="75" t="str">
        <f>IF(AND('331-CT'!$E$7=TH!H5045,OR(N3817="331",O3817="331")),"x","")</f>
        <v/>
      </c>
      <c r="Q3817" s="75" t="str">
        <f>IF(AND(B3817='111'!$L$11,OR($N3817=$Q$7,$O3817=$Q$7)),"x","")</f>
        <v/>
      </c>
      <c r="R3817" s="75" t="str">
        <f>IF(AND($N3817=$Q$7,$B3817&lt;'111'!$L$11),"x","")</f>
        <v/>
      </c>
      <c r="S3817" s="75" t="str">
        <f>IF(AND($O3817=$Q$7,$B3817&lt;'111'!$L$11),"x","")</f>
        <v/>
      </c>
      <c r="T3817" s="75" t="str">
        <f>IF(ISERROR(FIND('112'!$M$9,G3817,1)),"",IF((AND(FIND('112'!$M$9,G3817,1)&gt;=1,B3817='112'!$K$9,OR($N3817='112'!$I$6,$O3817='112'!$I$6))),"x",""))</f>
        <v/>
      </c>
      <c r="U3817" s="75" t="str">
        <f>IF(ISERROR(FIND('112'!$M$9,G3817,1)),"",IF((AND(LEFT(G3817,2)=LEFT('112'!$M$9,2),B3817&lt;'112'!$K$9,$N3817='112'!$I$6)),"x",""))</f>
        <v/>
      </c>
      <c r="V3817" s="75" t="str">
        <f>IF(ISERROR(FIND('112'!$M$9,G3817,1)),"",IF((AND(RIGHT(G3817,2)=RIGHT('112'!$M$9,2),B3817&lt;'112'!$K$9,$O3817='112'!$I$6)),"x",""))</f>
        <v/>
      </c>
      <c r="W3817" s="75" t="str">
        <f>IF(AND('341-CT'!$H$9=H3817,OR(LEFT(N3817,3)=$W$7,LEFT(O3817,3)=$W$7)),"x","")</f>
        <v/>
      </c>
      <c r="X3817" s="75" t="str">
        <f>IF(OR(TH!N5045=TH!$X$7,O3817=TH!$X$7),"x","")</f>
        <v/>
      </c>
      <c r="Y3817" s="75" t="str">
        <f>IF(AND(OR(N3817="131",O3817="131"),H3817='131-CT'!$H$9),"x","")</f>
        <v/>
      </c>
      <c r="Z3817" s="75"/>
      <c r="AA3817" s="75" t="str">
        <f>IF(AND(MONTH(E3817)='IN-NX'!$J$5,'IN-NX'!$D$7=D3817),"x","")</f>
        <v/>
      </c>
      <c r="AB3817" s="75" t="str">
        <f>IF(AND(OR(LEFT(TH!N5045,2)="15",LEFT(TH!O5045,2)="15"),LEFT(TH!O5045,3)&lt;&gt;"111",'152-CT'!$J$8=TH!F5045),"x","")</f>
        <v/>
      </c>
      <c r="AC3817" s="75" t="str">
        <f>IF(AND(OR(LEFT(TH!N5045,2)="15",LEFT(TH!O5045,2)="15"),TK!$E$7=TH!F5045),"x","")</f>
        <v/>
      </c>
      <c r="AD3817" s="75" t="str">
        <f>IF(AND(N3817="1521",MONTH(C3817)='BK-NL'!$M$11),"x","")</f>
        <v/>
      </c>
    </row>
    <row r="3818" spans="1:31" ht="16.5" customHeight="1">
      <c r="A3818" s="309" t="str">
        <f>IF(B3818&lt;&gt;"",IF(AND(B3818='IN-TC'!$S$4,OR(TH!N3816="1111",TH!O3816="1111")),TH!D3816,""),"")</f>
        <v/>
      </c>
      <c r="B3818" s="1169">
        <f t="shared" si="1304"/>
        <v>3</v>
      </c>
      <c r="C3818" s="292">
        <f t="shared" si="1303"/>
        <v>42816</v>
      </c>
      <c r="D3818" s="292" t="s">
        <v>902</v>
      </c>
      <c r="E3818" s="292">
        <v>42816</v>
      </c>
      <c r="F3818" s="62" t="s">
        <v>898</v>
      </c>
      <c r="G3818" s="62" t="s">
        <v>747</v>
      </c>
      <c r="H3818" s="311" t="s">
        <v>835</v>
      </c>
      <c r="I3818" s="373"/>
      <c r="J3818" s="926"/>
      <c r="K3818" s="373"/>
      <c r="L3818" s="379"/>
      <c r="M3818" s="927">
        <v>1000</v>
      </c>
      <c r="N3818" s="295" t="s">
        <v>9</v>
      </c>
      <c r="O3818" s="295" t="s">
        <v>26</v>
      </c>
      <c r="P3818" s="75" t="str">
        <f>IF(AND('331-CT'!$E$7=TH!H5046,OR(N3818="331",O3818="331")),"x","")</f>
        <v/>
      </c>
      <c r="Q3818" s="75" t="str">
        <f>IF(AND(B3818='111'!$L$11,OR($N3818=$Q$7,$O3818=$Q$7)),"x","")</f>
        <v/>
      </c>
      <c r="R3818" s="75" t="str">
        <f>IF(AND($N3818=$Q$7,$B3818&lt;'111'!$L$11),"x","")</f>
        <v/>
      </c>
      <c r="S3818" s="75" t="str">
        <f>IF(AND($O3818=$Q$7,$B3818&lt;'111'!$L$11),"x","")</f>
        <v/>
      </c>
      <c r="T3818" s="75" t="str">
        <f>IF(ISERROR(FIND('112'!$M$9,G3818,1)),"",IF((AND(FIND('112'!$M$9,G3818,1)&gt;=1,B3818='112'!$K$9,OR($N3818='112'!$I$6,$O3818='112'!$I$6))),"x",""))</f>
        <v/>
      </c>
      <c r="U3818" s="75" t="str">
        <f>IF(ISERROR(FIND('112'!$M$9,G3818,1)),"",IF((AND(LEFT(G3818,2)=LEFT('112'!$M$9,2),B3818&lt;'112'!$K$9,$N3818='112'!$I$6)),"x",""))</f>
        <v/>
      </c>
      <c r="V3818" s="75" t="str">
        <f>IF(ISERROR(FIND('112'!$M$9,G3818,1)),"",IF((AND(RIGHT(G3818,2)=RIGHT('112'!$M$9,2),B3818&lt;'112'!$K$9,$O3818='112'!$I$6)),"x",""))</f>
        <v/>
      </c>
      <c r="W3818" s="75" t="str">
        <f>IF(AND('341-CT'!$H$9=H3818,OR(LEFT(N3818,3)=$W$7,LEFT(O3818,3)=$W$7)),"x","")</f>
        <v/>
      </c>
      <c r="X3818" s="75" t="str">
        <f>IF(OR(TH!N5046=TH!$X$7,O3818=TH!$X$7),"x","")</f>
        <v/>
      </c>
      <c r="Y3818" s="75" t="str">
        <f>IF(AND(OR(N3818="131",O3818="131"),H3818='131-CT'!$H$9),"x","")</f>
        <v/>
      </c>
      <c r="Z3818" s="75"/>
      <c r="AA3818" s="75" t="str">
        <f>IF(AND(MONTH(E3818)='IN-NX'!$J$5,'IN-NX'!$D$7=D3818),"x","")</f>
        <v/>
      </c>
      <c r="AB3818" s="75" t="str">
        <f>IF(AND(OR(LEFT(TH!N5046,2)="15",LEFT(TH!O5046,2)="15"),LEFT(TH!O5046,3)&lt;&gt;"111",'152-CT'!$J$8=TH!F5046),"x","")</f>
        <v/>
      </c>
      <c r="AC3818" s="75" t="str">
        <f>IF(AND(OR(LEFT(TH!N5046,2)="15",LEFT(TH!O5046,2)="15"),TK!$E$7=TH!F5046),"x","")</f>
        <v/>
      </c>
      <c r="AD3818" s="75" t="str">
        <f>IF(AND(N3818="1521",MONTH(C3818)='BK-NL'!$M$11),"x","")</f>
        <v/>
      </c>
    </row>
    <row r="3819" spans="1:31" ht="16.5" customHeight="1">
      <c r="A3819" s="309" t="str">
        <f>IF(B3819&lt;&gt;"",IF(AND(B3819='IN-TC'!$S$4,OR(TH!N3817="1111",TH!O3817="1111")),TH!D3817,""),"")</f>
        <v/>
      </c>
      <c r="B3819" s="1169">
        <f t="shared" si="1304"/>
        <v>3</v>
      </c>
      <c r="C3819" s="292">
        <f t="shared" si="1303"/>
        <v>42816</v>
      </c>
      <c r="D3819" s="59" t="s">
        <v>902</v>
      </c>
      <c r="E3819" s="59">
        <v>42816</v>
      </c>
      <c r="F3819" s="62" t="s">
        <v>1203</v>
      </c>
      <c r="G3819" s="62" t="s">
        <v>747</v>
      </c>
      <c r="H3819" s="311" t="s">
        <v>835</v>
      </c>
      <c r="I3819" s="373"/>
      <c r="J3819" s="379"/>
      <c r="K3819" s="373"/>
      <c r="L3819" s="379"/>
      <c r="M3819" s="60">
        <v>114050</v>
      </c>
      <c r="N3819" s="61" t="s">
        <v>101</v>
      </c>
      <c r="O3819" s="61" t="s">
        <v>26</v>
      </c>
      <c r="P3819" s="75" t="str">
        <f>IF(AND('331-CT'!$E$7=TH!H5047,OR(N3819="331",O3819="331")),"x","")</f>
        <v/>
      </c>
      <c r="Q3819" s="75" t="str">
        <f>IF(AND(B3819='111'!$L$11,OR($N3819=$Q$7,$O3819=$Q$7)),"x","")</f>
        <v/>
      </c>
      <c r="R3819" s="75" t="str">
        <f>IF(AND($N3819=$Q$7,$B3819&lt;'111'!$L$11),"x","")</f>
        <v/>
      </c>
      <c r="S3819" s="75" t="str">
        <f>IF(AND($O3819=$Q$7,$B3819&lt;'111'!$L$11),"x","")</f>
        <v/>
      </c>
      <c r="T3819" s="75" t="str">
        <f>IF(ISERROR(FIND('112'!$M$9,G3819,1)),"",IF((AND(FIND('112'!$M$9,G3819,1)&gt;=1,B3819='112'!$K$9,OR($N3819='112'!$I$6,$O3819='112'!$I$6))),"x",""))</f>
        <v/>
      </c>
      <c r="U3819" s="75" t="str">
        <f>IF(ISERROR(FIND('112'!$M$9,G3819,1)),"",IF((AND(LEFT(G3819,2)=LEFT('112'!$M$9,2),B3819&lt;'112'!$K$9,$N3819='112'!$I$6)),"x",""))</f>
        <v/>
      </c>
      <c r="V3819" s="75" t="str">
        <f>IF(ISERROR(FIND('112'!$M$9,G3819,1)),"",IF((AND(RIGHT(G3819,2)=RIGHT('112'!$M$9,2),B3819&lt;'112'!$K$9,$O3819='112'!$I$6)),"x",""))</f>
        <v/>
      </c>
      <c r="W3819" s="75" t="str">
        <f>IF(AND('341-CT'!$H$9=H3819,OR(LEFT(N3819,3)=$W$7,LEFT(O3819,3)=$W$7)),"x","")</f>
        <v/>
      </c>
      <c r="X3819" s="75" t="str">
        <f>IF(OR(TH!N5047=TH!$X$7,O3819=TH!$X$7),"x","")</f>
        <v/>
      </c>
      <c r="Y3819" s="75" t="str">
        <f>IF(AND(OR(N3819="131",O3819="131"),H3819='131-CT'!$H$9),"x","")</f>
        <v/>
      </c>
      <c r="Z3819" s="75"/>
      <c r="AA3819" s="75" t="str">
        <f>IF(AND(MONTH(E3819)='IN-NX'!$J$5,'IN-NX'!$D$7=D3819),"x","")</f>
        <v/>
      </c>
      <c r="AB3819" s="75" t="str">
        <f>IF(AND(OR(LEFT(TH!N5047,2)="15",LEFT(TH!O5047,2)="15"),LEFT(TH!O5047,3)&lt;&gt;"111",'152-CT'!$J$8=TH!F5047),"x","")</f>
        <v/>
      </c>
      <c r="AC3819" s="75" t="str">
        <f>IF(AND(OR(LEFT(TH!N5047,2)="15",LEFT(TH!O5047,2)="15"),TK!$E$7=TH!F5047),"x","")</f>
        <v/>
      </c>
      <c r="AD3819" s="75" t="str">
        <f>IF(AND(N3819="1521",MONTH(C3819)='BK-NL'!$M$11),"x","")</f>
        <v/>
      </c>
    </row>
    <row r="3820" spans="1:31" ht="16.5" customHeight="1">
      <c r="A3820" s="309" t="str">
        <f>IF(B3820&lt;&gt;"",IF(AND(B3820='IN-TC'!$S$4,OR(TH!N3818="1111",TH!O3818="1111")),TH!D3818,""),"")</f>
        <v/>
      </c>
      <c r="B3820" s="1169">
        <f t="shared" si="1304"/>
        <v>3</v>
      </c>
      <c r="C3820" s="292">
        <f t="shared" si="1303"/>
        <v>42816</v>
      </c>
      <c r="D3820" s="59" t="s">
        <v>902</v>
      </c>
      <c r="E3820" s="59">
        <v>42816</v>
      </c>
      <c r="F3820" s="62" t="s">
        <v>1205</v>
      </c>
      <c r="G3820" s="62" t="s">
        <v>747</v>
      </c>
      <c r="H3820" s="311" t="s">
        <v>835</v>
      </c>
      <c r="I3820" s="373"/>
      <c r="J3820" s="379"/>
      <c r="K3820" s="373"/>
      <c r="L3820" s="379"/>
      <c r="M3820" s="60">
        <v>11405</v>
      </c>
      <c r="N3820" s="61" t="s">
        <v>9</v>
      </c>
      <c r="O3820" s="61" t="s">
        <v>26</v>
      </c>
      <c r="P3820" s="75" t="str">
        <f>IF(AND('331-CT'!$E$7=TH!H5048,OR(N3820="331",O3820="331")),"x","")</f>
        <v/>
      </c>
      <c r="Q3820" s="75" t="str">
        <f>IF(AND(B3820='111'!$L$11,OR($N3820=$Q$7,$O3820=$Q$7)),"x","")</f>
        <v/>
      </c>
      <c r="R3820" s="75" t="str">
        <f>IF(AND($N3820=$Q$7,$B3820&lt;'111'!$L$11),"x","")</f>
        <v/>
      </c>
      <c r="S3820" s="75" t="str">
        <f>IF(AND($O3820=$Q$7,$B3820&lt;'111'!$L$11),"x","")</f>
        <v/>
      </c>
      <c r="T3820" s="75" t="str">
        <f>IF(ISERROR(FIND('112'!$M$9,G3820,1)),"",IF((AND(FIND('112'!$M$9,G3820,1)&gt;=1,B3820='112'!$K$9,OR($N3820='112'!$I$6,$O3820='112'!$I$6))),"x",""))</f>
        <v/>
      </c>
      <c r="U3820" s="75" t="str">
        <f>IF(ISERROR(FIND('112'!$M$9,G3820,1)),"",IF((AND(LEFT(G3820,2)=LEFT('112'!$M$9,2),B3820&lt;'112'!$K$9,$N3820='112'!$I$6)),"x",""))</f>
        <v/>
      </c>
      <c r="V3820" s="75" t="str">
        <f>IF(ISERROR(FIND('112'!$M$9,G3820,1)),"",IF((AND(RIGHT(G3820,2)=RIGHT('112'!$M$9,2),B3820&lt;'112'!$K$9,$O3820='112'!$I$6)),"x",""))</f>
        <v/>
      </c>
      <c r="W3820" s="75" t="str">
        <f>IF(AND('341-CT'!$H$9=H3820,OR(LEFT(N3820,3)=$W$7,LEFT(O3820,3)=$W$7)),"x","")</f>
        <v/>
      </c>
      <c r="X3820" s="75" t="str">
        <f>IF(OR(TH!N5048=TH!$X$7,O3820=TH!$X$7),"x","")</f>
        <v>x</v>
      </c>
      <c r="Y3820" s="75" t="str">
        <f>IF(AND(OR(N3820="131",O3820="131"),H3820='131-CT'!$H$9),"x","")</f>
        <v/>
      </c>
      <c r="Z3820" s="75"/>
      <c r="AA3820" s="75" t="str">
        <f>IF(AND(MONTH(E3820)='IN-NX'!$J$5,'IN-NX'!$D$7=D3820),"x","")</f>
        <v/>
      </c>
      <c r="AB3820" s="75" t="str">
        <f>IF(AND(OR(LEFT(TH!N5048,2)="15",LEFT(TH!O5048,2)="15"),LEFT(TH!O5048,3)&lt;&gt;"111",'152-CT'!$J$8=TH!F5048),"x","")</f>
        <v/>
      </c>
      <c r="AC3820" s="75" t="str">
        <f>IF(AND(OR(LEFT(TH!N5048,2)="15",LEFT(TH!O5048,2)="15"),TK!$E$7=TH!F5048),"x","")</f>
        <v/>
      </c>
      <c r="AD3820" s="75" t="str">
        <f>IF(AND(N3820="1521",MONTH(C3820)='BK-NL'!$M$11),"x","")</f>
        <v/>
      </c>
    </row>
    <row r="3821" spans="1:31" ht="16.5" customHeight="1">
      <c r="A3821" s="309" t="str">
        <f>IF(B3821&lt;&gt;"",IF(AND(B3821='IN-TC'!$S$4,OR(TH!N3819="1111",TH!O3819="1111")),TH!D3819,""),"")</f>
        <v/>
      </c>
      <c r="B3821" s="1169">
        <f t="shared" si="1304"/>
        <v>3</v>
      </c>
      <c r="C3821" s="292">
        <f t="shared" si="1303"/>
        <v>42816</v>
      </c>
      <c r="D3821" s="947" t="s">
        <v>1959</v>
      </c>
      <c r="E3821" s="947">
        <v>42816</v>
      </c>
      <c r="F3821" s="80" t="s">
        <v>1234</v>
      </c>
      <c r="G3821" s="952" t="s">
        <v>2099</v>
      </c>
      <c r="H3821" s="937" t="s">
        <v>1237</v>
      </c>
      <c r="I3821" s="939"/>
      <c r="J3821" s="949"/>
      <c r="K3821" s="939"/>
      <c r="L3821" s="938"/>
      <c r="M3821" s="940">
        <v>11518182</v>
      </c>
      <c r="N3821" s="950" t="s">
        <v>101</v>
      </c>
      <c r="O3821" s="950" t="s">
        <v>63</v>
      </c>
      <c r="P3821" s="75" t="str">
        <f>IF(AND('331-CT'!$E$7=TH!H3565,OR(N3821="331",O3821="331")),"x","")</f>
        <v/>
      </c>
      <c r="Q3821" s="75" t="str">
        <f>IF(AND(B3821='111'!$L$11,OR($N3821=$Q$7,$O3821=$Q$7)),"x","")</f>
        <v/>
      </c>
      <c r="R3821" s="75" t="str">
        <f>IF(AND($N3821=$Q$7,$B3821&lt;'111'!$L$11),"x","")</f>
        <v/>
      </c>
      <c r="S3821" s="75" t="str">
        <f>IF(AND($O3821=$Q$7,$B3821&lt;'111'!$L$11),"x","")</f>
        <v>x</v>
      </c>
      <c r="T3821" s="75" t="str">
        <f>IF(ISERROR(FIND('112'!$M$9,G3821,1)),"",IF((AND(FIND('112'!$M$9,G3821,1)&gt;=1,B3821='112'!$K$9,OR($N3821='112'!$I$6,$O3821='112'!$I$6))),"x",""))</f>
        <v/>
      </c>
      <c r="U3821" s="75" t="str">
        <f>IF(ISERROR(FIND('112'!$M$9,G3821,1)),"",IF((AND(LEFT(G3821,2)=LEFT('112'!$M$9,2),B3821&lt;'112'!$K$9,$N3821='112'!$I$6)),"x",""))</f>
        <v/>
      </c>
      <c r="V3821" s="75" t="str">
        <f>IF(ISERROR(FIND('112'!$M$9,G3821,1)),"",IF((AND(RIGHT(G3821,2)=RIGHT('112'!$M$9,2),B3821&lt;'112'!$K$9,$O3821='112'!$I$6)),"x",""))</f>
        <v/>
      </c>
      <c r="W3821" s="75" t="str">
        <f>IF(AND('341-CT'!$H$9=H3821,OR(LEFT(N3821,3)=$W$7,LEFT(O3821,3)=$W$7)),"x","")</f>
        <v/>
      </c>
      <c r="X3821" s="75" t="str">
        <f>IF(OR(TH!N3565=TH!$X$7,O3821=TH!$X$7),"x","")</f>
        <v/>
      </c>
      <c r="Y3821" s="75" t="str">
        <f>IF(AND(OR(N3821="131",O3821="131"),H3821='131-CT'!$H$9),"x","")</f>
        <v/>
      </c>
      <c r="Z3821" s="75"/>
      <c r="AA3821" s="75" t="str">
        <f>IF(AND(MONTH(E3821)='IN-NX'!$J$5,'IN-NX'!$D$7=D3821),"x","")</f>
        <v/>
      </c>
      <c r="AB3821" s="75" t="str">
        <f>IF(AND(OR(LEFT(TH!N3565,2)="15",LEFT(TH!O3565,2)="15"),LEFT(TH!O3565,3)&lt;&gt;"111",'152-CT'!$J$8=TH!F3565),"x","")</f>
        <v/>
      </c>
      <c r="AC3821" s="75" t="str">
        <f>IF(AND(OR(LEFT(TH!N3565,2)="15",LEFT(TH!O3565,2)="15"),TK!$E$7=TH!F3565),"x","")</f>
        <v/>
      </c>
      <c r="AD3821" s="75" t="str">
        <f>IF(AND(N3821="1521",MONTH(C3821)='BK-NL'!$M$11),"x","")</f>
        <v/>
      </c>
    </row>
    <row r="3822" spans="1:31" ht="16.5" customHeight="1">
      <c r="A3822" s="309" t="str">
        <f>IF(B3822&lt;&gt;"",IF(AND(B3822='IN-TC'!$S$4,OR(TH!N3820="1111",TH!O3820="1111")),TH!D3820,""),"")</f>
        <v/>
      </c>
      <c r="B3822" s="1169">
        <f t="shared" si="1304"/>
        <v>3</v>
      </c>
      <c r="C3822" s="292">
        <f t="shared" si="1303"/>
        <v>42816</v>
      </c>
      <c r="D3822" s="947" t="s">
        <v>1959</v>
      </c>
      <c r="E3822" s="947">
        <v>42816</v>
      </c>
      <c r="F3822" s="1143" t="s">
        <v>1235</v>
      </c>
      <c r="G3822" s="952" t="s">
        <v>2099</v>
      </c>
      <c r="H3822" s="937" t="s">
        <v>1237</v>
      </c>
      <c r="I3822" s="939"/>
      <c r="J3822" s="949"/>
      <c r="K3822" s="939"/>
      <c r="L3822" s="938"/>
      <c r="M3822" s="940">
        <v>1151818</v>
      </c>
      <c r="N3822" s="950" t="s">
        <v>9</v>
      </c>
      <c r="O3822" s="950" t="s">
        <v>63</v>
      </c>
      <c r="P3822" s="75" t="str">
        <f>IF(AND('331-CT'!$E$7=TH!H3566,OR(N3822="331",O3822="331")),"x","")</f>
        <v/>
      </c>
      <c r="Q3822" s="75" t="str">
        <f>IF(AND(B3822='111'!$L$11,OR($N3822=$Q$7,$O3822=$Q$7)),"x","")</f>
        <v/>
      </c>
      <c r="R3822" s="75" t="str">
        <f>IF(AND($N3822=$Q$7,$B3822&lt;'111'!$L$11),"x","")</f>
        <v/>
      </c>
      <c r="S3822" s="75" t="str">
        <f>IF(AND($O3822=$Q$7,$B3822&lt;'111'!$L$11),"x","")</f>
        <v>x</v>
      </c>
      <c r="T3822" s="75" t="str">
        <f>IF(ISERROR(FIND('112'!$M$9,G3822,1)),"",IF((AND(FIND('112'!$M$9,G3822,1)&gt;=1,B3822='112'!$K$9,OR($N3822='112'!$I$6,$O3822='112'!$I$6))),"x",""))</f>
        <v/>
      </c>
      <c r="U3822" s="75" t="str">
        <f>IF(ISERROR(FIND('112'!$M$9,G3822,1)),"",IF((AND(LEFT(G3822,2)=LEFT('112'!$M$9,2),B3822&lt;'112'!$K$9,$N3822='112'!$I$6)),"x",""))</f>
        <v/>
      </c>
      <c r="V3822" s="75" t="str">
        <f>IF(ISERROR(FIND('112'!$M$9,G3822,1)),"",IF((AND(RIGHT(G3822,2)=RIGHT('112'!$M$9,2),B3822&lt;'112'!$K$9,$O3822='112'!$I$6)),"x",""))</f>
        <v/>
      </c>
      <c r="W3822" s="75" t="str">
        <f>IF(AND('341-CT'!$H$9=H3822,OR(LEFT(N3822,3)=$W$7,LEFT(O3822,3)=$W$7)),"x","")</f>
        <v/>
      </c>
      <c r="X3822" s="75" t="str">
        <f>IF(OR(TH!N3566=TH!$X$7,O3822=TH!$X$7),"x","")</f>
        <v/>
      </c>
      <c r="Y3822" s="75" t="str">
        <f>IF(AND(OR(N3822="131",O3822="131"),H3822='131-CT'!$H$9),"x","")</f>
        <v/>
      </c>
      <c r="Z3822" s="75"/>
      <c r="AA3822" s="75" t="str">
        <f>IF(AND(MONTH(E3822)='IN-NX'!$J$5,'IN-NX'!$D$7=D3822),"x","")</f>
        <v/>
      </c>
      <c r="AB3822" s="75" t="str">
        <f>IF(AND(OR(LEFT(TH!N3566,2)="15",LEFT(TH!O3566,2)="15"),LEFT(TH!O3566,3)&lt;&gt;"111",'152-CT'!$J$8=TH!F3566),"x","")</f>
        <v/>
      </c>
      <c r="AC3822" s="75" t="str">
        <f>IF(AND(OR(LEFT(TH!N3566,2)="15",LEFT(TH!O3566,2)="15"),TK!$E$7=TH!F3566),"x","")</f>
        <v/>
      </c>
      <c r="AD3822" s="75" t="str">
        <f>IF(AND(N3822="1521",MONTH(C3822)='BK-NL'!$M$11),"x","")</f>
        <v/>
      </c>
      <c r="AE3822">
        <v>9</v>
      </c>
    </row>
    <row r="3823" spans="1:31" ht="16.5" customHeight="1">
      <c r="A3823" s="309" t="str">
        <f>IF(B3823&lt;&gt;"",IF(AND(B3823='IN-TC'!$S$4,OR(TH!N3821="1111",TH!O3821="1111")),TH!D3821,""),"")</f>
        <v>C45</v>
      </c>
      <c r="B3823" s="1169">
        <f t="shared" si="1304"/>
        <v>3</v>
      </c>
      <c r="C3823" s="292">
        <f t="shared" si="1303"/>
        <v>42818</v>
      </c>
      <c r="D3823" s="292" t="s">
        <v>1943</v>
      </c>
      <c r="E3823" s="292">
        <v>42818</v>
      </c>
      <c r="F3823" s="1127" t="s">
        <v>1165</v>
      </c>
      <c r="G3823" s="925" t="s">
        <v>1161</v>
      </c>
      <c r="H3823" s="294" t="s">
        <v>796</v>
      </c>
      <c r="I3823" s="373"/>
      <c r="J3823" s="926"/>
      <c r="K3823" s="373"/>
      <c r="L3823" s="379"/>
      <c r="M3823" s="927">
        <v>18980500</v>
      </c>
      <c r="N3823" s="295" t="s">
        <v>8</v>
      </c>
      <c r="O3823" s="295" t="s">
        <v>63</v>
      </c>
      <c r="P3823" s="75" t="str">
        <f>IF(AND('331-CT'!$E$7=TH!H3545,OR(N3823="331",O3823="331")),"x","")</f>
        <v/>
      </c>
      <c r="Q3823" s="75" t="str">
        <f>IF(AND(B3823='111'!$L$11,OR($N3823=$Q$7,$O3823=$Q$7)),"x","")</f>
        <v/>
      </c>
      <c r="R3823" s="75" t="str">
        <f>IF(AND($N3823=$Q$7,$B3823&lt;'111'!$L$11),"x","")</f>
        <v/>
      </c>
      <c r="S3823" s="75" t="str">
        <f>IF(AND($O3823=$Q$7,$B3823&lt;'111'!$L$11),"x","")</f>
        <v>x</v>
      </c>
      <c r="T3823" s="75" t="str">
        <f>IF(ISERROR(FIND('112'!$M$9,G3823,1)),"",IF((AND(FIND('112'!$M$9,G3823,1)&gt;=1,B3823='112'!$K$9,OR($N3823='112'!$I$6,$O3823='112'!$I$6))),"x",""))</f>
        <v/>
      </c>
      <c r="U3823" s="75" t="str">
        <f>IF(ISERROR(FIND('112'!$M$9,G3823,1)),"",IF((AND(LEFT(G3823,2)=LEFT('112'!$M$9,2),B3823&lt;'112'!$K$9,$N3823='112'!$I$6)),"x",""))</f>
        <v/>
      </c>
      <c r="V3823" s="75" t="str">
        <f>IF(ISERROR(FIND('112'!$M$9,G3823,1)),"",IF((AND(RIGHT(G3823,2)=RIGHT('112'!$M$9,2),B3823&lt;'112'!$K$9,$O3823='112'!$I$6)),"x",""))</f>
        <v/>
      </c>
      <c r="W3823" s="75" t="str">
        <f>IF(AND('341-CT'!$H$9=H3823,OR(LEFT(N3823,3)=$W$7,LEFT(O3823,3)=$W$7)),"x","")</f>
        <v/>
      </c>
      <c r="X3823" s="75" t="str">
        <f>IF(OR(TH!N3545=TH!$X$7,O3823=TH!$X$7),"x","")</f>
        <v/>
      </c>
      <c r="Y3823" s="75" t="str">
        <f>IF(AND(OR(N3823="131",O3823="131"),H3823='131-CT'!$H$9),"x","")</f>
        <v/>
      </c>
      <c r="Z3823" s="75"/>
      <c r="AA3823" s="75" t="str">
        <f>IF(AND(MONTH(E3823)='IN-NX'!$J$5,'IN-NX'!$D$7=D3823),"x","")</f>
        <v/>
      </c>
      <c r="AB3823" s="75" t="str">
        <f>IF(AND(OR(LEFT(TH!N3545,2)="15",LEFT(TH!O3545,2)="15"),LEFT(TH!O3545,3)&lt;&gt;"111",'152-CT'!$J$8=TH!F3545),"x","")</f>
        <v/>
      </c>
      <c r="AC3823" s="75" t="str">
        <f>IF(AND(OR(LEFT(TH!N3545,2)="15",LEFT(TH!O3545,2)="15"),TK!$E$7=TH!F3545),"x","")</f>
        <v/>
      </c>
      <c r="AD3823" s="75" t="str">
        <f>IF(AND(N3823="1521",MONTH(C3823)='BK-NL'!$M$11),"x","")</f>
        <v/>
      </c>
    </row>
    <row r="3824" spans="1:31" ht="16.5" customHeight="1">
      <c r="A3824" s="309" t="str">
        <f>IF(B3824&lt;&gt;"",IF(AND(B3824='IN-TC'!$S$4,OR(TH!N3822="1111",TH!O3822="1111")),TH!D3822,""),"")</f>
        <v>C45</v>
      </c>
      <c r="B3824" s="1169">
        <f t="shared" si="1304"/>
        <v>3</v>
      </c>
      <c r="C3824" s="292">
        <f t="shared" si="1303"/>
        <v>42818</v>
      </c>
      <c r="D3824" s="59" t="s">
        <v>903</v>
      </c>
      <c r="E3824" s="59">
        <v>42818</v>
      </c>
      <c r="F3824" s="67" t="s">
        <v>914</v>
      </c>
      <c r="G3824" s="62" t="s">
        <v>585</v>
      </c>
      <c r="H3824" s="311" t="s">
        <v>845</v>
      </c>
      <c r="I3824" s="373"/>
      <c r="J3824" s="379"/>
      <c r="K3824" s="373"/>
      <c r="L3824" s="379"/>
      <c r="M3824" s="60">
        <v>58635</v>
      </c>
      <c r="N3824" s="61" t="s">
        <v>26</v>
      </c>
      <c r="O3824" s="295" t="s">
        <v>43</v>
      </c>
      <c r="P3824" s="75" t="str">
        <f>IF(AND('331-CT'!$E$7=TH!H4711,OR(N3824="331",O3824="331")),"x","")</f>
        <v/>
      </c>
      <c r="Q3824" s="75" t="str">
        <f>IF(AND(B3824='111'!$L$11,OR($N3824=$Q$7,$O3824=$Q$7)),"x","")</f>
        <v/>
      </c>
      <c r="R3824" s="75" t="str">
        <f>IF(AND($N3824=$Q$7,$B3824&lt;'111'!$L$11),"x","")</f>
        <v/>
      </c>
      <c r="S3824" s="75" t="str">
        <f>IF(AND($O3824=$Q$7,$B3824&lt;'111'!$L$11),"x","")</f>
        <v/>
      </c>
      <c r="T3824" s="75" t="str">
        <f>IF(ISERROR(FIND('112'!$M$9,G3824,1)),"",IF((AND(FIND('112'!$M$9,G3824,1)&gt;=1,B3824='112'!$K$9,OR($N3824='112'!$I$6,$O3824='112'!$I$6))),"x",""))</f>
        <v/>
      </c>
      <c r="U3824" s="75" t="str">
        <f>IF(ISERROR(FIND('112'!$M$9,G3824,1)),"",IF((AND(LEFT(G3824,2)=LEFT('112'!$M$9,2),B3824&lt;'112'!$K$9,$N3824='112'!$I$6)),"x",""))</f>
        <v/>
      </c>
      <c r="V3824" s="75" t="str">
        <f>IF(ISERROR(FIND('112'!$M$9,G3824,1)),"",IF((AND(RIGHT(G3824,2)=RIGHT('112'!$M$9,2),B3824&lt;'112'!$K$9,$O3824='112'!$I$6)),"x",""))</f>
        <v/>
      </c>
      <c r="W3824" s="75" t="str">
        <f>IF(AND('341-CT'!$H$9=H3824,OR(LEFT(N3824,3)=$W$7,LEFT(O3824,3)=$W$7)),"x","")</f>
        <v/>
      </c>
      <c r="X3824" s="75" t="str">
        <f>IF(OR(TH!N4711=TH!$X$7,O3824=TH!$X$7),"x","")</f>
        <v/>
      </c>
      <c r="Y3824" s="75" t="str">
        <f>IF(AND(OR(N3824="131",O3824="131"),H3824='131-CT'!$H$9),"x","")</f>
        <v/>
      </c>
      <c r="Z3824" s="75"/>
      <c r="AA3824" s="75" t="str">
        <f>IF(AND(MONTH(E3824)='IN-NX'!$J$5,'IN-NX'!$D$7=D3824),"x","")</f>
        <v/>
      </c>
      <c r="AB3824" s="75" t="str">
        <f>IF(AND(OR(LEFT(TH!N4711,2)="15",LEFT(TH!O4711,2)="15"),LEFT(TH!O4711,3)&lt;&gt;"111",'152-CT'!$J$8=TH!F4711),"x","")</f>
        <v/>
      </c>
      <c r="AC3824" s="75" t="str">
        <f>IF(AND(OR(LEFT(TH!N4711,2)="15",LEFT(TH!O4711,2)="15"),TK!$E$7=TH!F4711),"x","")</f>
        <v/>
      </c>
      <c r="AD3824" s="75" t="str">
        <f>IF(AND(N3824="1521",MONTH(C3824)='BK-NL'!$M$11),"x","")</f>
        <v/>
      </c>
    </row>
    <row r="3825" spans="1:30" ht="16.5" customHeight="1">
      <c r="A3825" s="309" t="str">
        <f>IF(B3825&lt;&gt;"",IF(AND(B3825='IN-TC'!$S$4,OR(TH!N3823="1111",TH!O3823="1111")),TH!D3823,""),"")</f>
        <v>C29</v>
      </c>
      <c r="B3825" s="1169">
        <f t="shared" si="1304"/>
        <v>3</v>
      </c>
      <c r="C3825" s="292">
        <f t="shared" si="1303"/>
        <v>42818</v>
      </c>
      <c r="D3825" s="59" t="s">
        <v>903</v>
      </c>
      <c r="E3825" s="59">
        <v>42818</v>
      </c>
      <c r="F3825" s="62" t="s">
        <v>914</v>
      </c>
      <c r="G3825" s="62" t="s">
        <v>747</v>
      </c>
      <c r="H3825" s="311" t="s">
        <v>835</v>
      </c>
      <c r="I3825" s="373"/>
      <c r="J3825" s="379"/>
      <c r="K3825" s="373"/>
      <c r="L3825" s="379"/>
      <c r="M3825" s="60">
        <v>283982</v>
      </c>
      <c r="N3825" s="928" t="s">
        <v>26</v>
      </c>
      <c r="O3825" s="295" t="s">
        <v>43</v>
      </c>
      <c r="P3825" s="75" t="str">
        <f>IF(AND('331-CT'!$E$7=TH!H5049,OR(N3825="331",O3825="331")),"x","")</f>
        <v/>
      </c>
      <c r="Q3825" s="75" t="str">
        <f>IF(AND(B3825='111'!$L$11,OR($N3825=$Q$7,$O3825=$Q$7)),"x","")</f>
        <v/>
      </c>
      <c r="R3825" s="75" t="str">
        <f>IF(AND($N3825=$Q$7,$B3825&lt;'111'!$L$11),"x","")</f>
        <v/>
      </c>
      <c r="S3825" s="75" t="str">
        <f>IF(AND($O3825=$Q$7,$B3825&lt;'111'!$L$11),"x","")</f>
        <v/>
      </c>
      <c r="T3825" s="75" t="str">
        <f>IF(ISERROR(FIND('112'!$M$9,G3825,1)),"",IF((AND(FIND('112'!$M$9,G3825,1)&gt;=1,B3825='112'!$K$9,OR($N3825='112'!$I$6,$O3825='112'!$I$6))),"x",""))</f>
        <v/>
      </c>
      <c r="U3825" s="75" t="str">
        <f>IF(ISERROR(FIND('112'!$M$9,G3825,1)),"",IF((AND(LEFT(G3825,2)=LEFT('112'!$M$9,2),B3825&lt;'112'!$K$9,$N3825='112'!$I$6)),"x",""))</f>
        <v/>
      </c>
      <c r="V3825" s="75" t="str">
        <f>IF(ISERROR(FIND('112'!$M$9,G3825,1)),"",IF((AND(RIGHT(G3825,2)=RIGHT('112'!$M$9,2),B3825&lt;'112'!$K$9,$O3825='112'!$I$6)),"x",""))</f>
        <v/>
      </c>
      <c r="W3825" s="75" t="str">
        <f>IF(AND('341-CT'!$H$9=H3825,OR(LEFT(N3825,3)=$W$7,LEFT(O3825,3)=$W$7)),"x","")</f>
        <v/>
      </c>
      <c r="X3825" s="75" t="str">
        <f>IF(OR(TH!N5049=TH!$X$7,O3825=TH!$X$7),"x","")</f>
        <v>x</v>
      </c>
      <c r="Y3825" s="75" t="str">
        <f>IF(AND(OR(N3825="131",O3825="131"),H3825='131-CT'!$H$9),"x","")</f>
        <v/>
      </c>
      <c r="Z3825" s="75"/>
      <c r="AA3825" s="75" t="str">
        <f>IF(AND(MONTH(E3825)='IN-NX'!$J$5,'IN-NX'!$D$7=D3825),"x","")</f>
        <v/>
      </c>
      <c r="AB3825" s="75" t="str">
        <f>IF(AND(OR(LEFT(TH!N5049,2)="15",LEFT(TH!O5049,2)="15"),LEFT(TH!O5049,3)&lt;&gt;"111",'152-CT'!$J$8=TH!F5049),"x","")</f>
        <v/>
      </c>
      <c r="AC3825" s="75" t="str">
        <f>IF(AND(OR(LEFT(TH!N5049,2)="15",LEFT(TH!O5049,2)="15"),TK!$E$7=TH!F5049),"x","")</f>
        <v/>
      </c>
      <c r="AD3825" s="75" t="str">
        <f>IF(AND(N3825="1521",MONTH(C3825)='BK-NL'!$M$11),"x","")</f>
        <v/>
      </c>
    </row>
    <row r="3826" spans="1:30" ht="16.5" customHeight="1">
      <c r="A3826" s="309" t="str">
        <f>IF(B3826&lt;&gt;"",IF(AND(B3826='IN-TC'!$S$4,OR(TH!N3824="1111",TH!O3824="1111")),TH!D3824,""),"")</f>
        <v/>
      </c>
      <c r="B3826" s="1169">
        <f t="shared" si="1304"/>
        <v>3</v>
      </c>
      <c r="C3826" s="292">
        <f t="shared" si="1303"/>
        <v>42821</v>
      </c>
      <c r="D3826" s="292" t="s">
        <v>1944</v>
      </c>
      <c r="E3826" s="292">
        <v>42821</v>
      </c>
      <c r="F3826" s="67" t="s">
        <v>1165</v>
      </c>
      <c r="G3826" s="925" t="s">
        <v>1378</v>
      </c>
      <c r="H3826" s="294" t="s">
        <v>797</v>
      </c>
      <c r="I3826" s="373"/>
      <c r="J3826" s="926"/>
      <c r="K3826" s="373"/>
      <c r="L3826" s="379"/>
      <c r="M3826" s="927">
        <v>18980500</v>
      </c>
      <c r="N3826" s="295" t="s">
        <v>8</v>
      </c>
      <c r="O3826" s="295" t="s">
        <v>63</v>
      </c>
      <c r="P3826" s="75" t="str">
        <f>IF(AND('331-CT'!$E$7=TH!H3546,OR(N3826="331",O3826="331")),"x","")</f>
        <v/>
      </c>
      <c r="Q3826" s="75" t="str">
        <f>IF(AND(B3826='111'!$L$11,OR($N3826=$Q$7,$O3826=$Q$7)),"x","")</f>
        <v/>
      </c>
      <c r="R3826" s="75" t="str">
        <f>IF(AND($N3826=$Q$7,$B3826&lt;'111'!$L$11),"x","")</f>
        <v/>
      </c>
      <c r="S3826" s="75" t="str">
        <f>IF(AND($O3826=$Q$7,$B3826&lt;'111'!$L$11),"x","")</f>
        <v>x</v>
      </c>
      <c r="T3826" s="75" t="str">
        <f>IF(ISERROR(FIND('112'!$M$9,G3826,1)),"",IF((AND(FIND('112'!$M$9,G3826,1)&gt;=1,B3826='112'!$K$9,OR($N3826='112'!$I$6,$O3826='112'!$I$6))),"x",""))</f>
        <v/>
      </c>
      <c r="U3826" s="75" t="str">
        <f>IF(ISERROR(FIND('112'!$M$9,G3826,1)),"",IF((AND(LEFT(G3826,2)=LEFT('112'!$M$9,2),B3826&lt;'112'!$K$9,$N3826='112'!$I$6)),"x",""))</f>
        <v/>
      </c>
      <c r="V3826" s="75" t="str">
        <f>IF(ISERROR(FIND('112'!$M$9,G3826,1)),"",IF((AND(RIGHT(G3826,2)=RIGHT('112'!$M$9,2),B3826&lt;'112'!$K$9,$O3826='112'!$I$6)),"x",""))</f>
        <v/>
      </c>
      <c r="W3826" s="75" t="str">
        <f>IF(AND('341-CT'!$H$9=H3826,OR(LEFT(N3826,3)=$W$7,LEFT(O3826,3)=$W$7)),"x","")</f>
        <v/>
      </c>
      <c r="X3826" s="75" t="str">
        <f>IF(OR(TH!N3546=TH!$X$7,O3826=TH!$X$7),"x","")</f>
        <v/>
      </c>
      <c r="Y3826" s="75" t="str">
        <f>IF(AND(OR(N3826="131",O3826="131"),H3826='131-CT'!$H$9),"x","")</f>
        <v/>
      </c>
      <c r="Z3826" s="75"/>
      <c r="AA3826" s="75" t="str">
        <f>IF(AND(MONTH(E3826)='IN-NX'!$J$5,'IN-NX'!$D$7=D3826),"x","")</f>
        <v/>
      </c>
      <c r="AB3826" s="75" t="str">
        <f>IF(AND(OR(LEFT(TH!N3546,2)="15",LEFT(TH!O3546,2)="15"),LEFT(TH!O3546,3)&lt;&gt;"111",'152-CT'!$J$8=TH!F3546),"x","")</f>
        <v/>
      </c>
      <c r="AC3826" s="75" t="str">
        <f>IF(AND(OR(LEFT(TH!N3546,2)="15",LEFT(TH!O3546,2)="15"),TK!$E$7=TH!F3546),"x","")</f>
        <v/>
      </c>
      <c r="AD3826" s="75" t="str">
        <f>IF(AND(N3826="1521",MONTH(C3826)='BK-NL'!$M$11),"x","")</f>
        <v/>
      </c>
    </row>
    <row r="3827" spans="1:30" ht="16.5" customHeight="1">
      <c r="A3827" s="309" t="str">
        <f>IF(B3827&lt;&gt;"",IF(AND(B3827='IN-TC'!$S$4,OR(TH!N3825="1111",TH!O3825="1111")),TH!D3825,""),"")</f>
        <v/>
      </c>
      <c r="B3827" s="1169">
        <f t="shared" si="1304"/>
        <v>3</v>
      </c>
      <c r="C3827" s="292">
        <f t="shared" ref="C3827:C3890" si="1305">E3827</f>
        <v>42821</v>
      </c>
      <c r="D3827" s="292" t="s">
        <v>1945</v>
      </c>
      <c r="E3827" s="292">
        <v>42821</v>
      </c>
      <c r="F3827" s="67" t="s">
        <v>1238</v>
      </c>
      <c r="G3827" s="925" t="s">
        <v>1240</v>
      </c>
      <c r="H3827" s="294" t="s">
        <v>1241</v>
      </c>
      <c r="I3827" s="373"/>
      <c r="J3827" s="926"/>
      <c r="K3827" s="373"/>
      <c r="L3827" s="379"/>
      <c r="M3827" s="927">
        <v>1808000</v>
      </c>
      <c r="N3827" s="295" t="s">
        <v>101</v>
      </c>
      <c r="O3827" s="295" t="s">
        <v>63</v>
      </c>
      <c r="P3827" s="75" t="str">
        <f>IF(AND('331-CT'!$E$7=TH!H3547,OR(N3827="331",O3827="331")),"x","")</f>
        <v/>
      </c>
      <c r="Q3827" s="75" t="str">
        <f>IF(AND(B3827='111'!$L$11,OR($N3827=$Q$7,$O3827=$Q$7)),"x","")</f>
        <v/>
      </c>
      <c r="R3827" s="75" t="str">
        <f>IF(AND($N3827=$Q$7,$B3827&lt;'111'!$L$11),"x","")</f>
        <v/>
      </c>
      <c r="S3827" s="75" t="str">
        <f>IF(AND($O3827=$Q$7,$B3827&lt;'111'!$L$11),"x","")</f>
        <v>x</v>
      </c>
      <c r="T3827" s="75" t="str">
        <f>IF(ISERROR(FIND('112'!$M$9,G3827,1)),"",IF((AND(FIND('112'!$M$9,G3827,1)&gt;=1,B3827='112'!$K$9,OR($N3827='112'!$I$6,$O3827='112'!$I$6))),"x",""))</f>
        <v/>
      </c>
      <c r="U3827" s="75" t="str">
        <f>IF(ISERROR(FIND('112'!$M$9,G3827,1)),"",IF((AND(LEFT(G3827,2)=LEFT('112'!$M$9,2),B3827&lt;'112'!$K$9,$N3827='112'!$I$6)),"x",""))</f>
        <v/>
      </c>
      <c r="V3827" s="75" t="str">
        <f>IF(ISERROR(FIND('112'!$M$9,G3827,1)),"",IF((AND(RIGHT(G3827,2)=RIGHT('112'!$M$9,2),B3827&lt;'112'!$K$9,$O3827='112'!$I$6)),"x",""))</f>
        <v/>
      </c>
      <c r="W3827" s="75" t="str">
        <f>IF(AND('341-CT'!$H$9=H3827,OR(LEFT(N3827,3)=$W$7,LEFT(O3827,3)=$W$7)),"x","")</f>
        <v/>
      </c>
      <c r="X3827" s="75" t="str">
        <f>IF(OR(TH!N3547=TH!$X$7,O3827=TH!$X$7),"x","")</f>
        <v/>
      </c>
      <c r="Y3827" s="75" t="str">
        <f>IF(AND(OR(N3827="131",O3827="131"),H3827='131-CT'!$H$9),"x","")</f>
        <v/>
      </c>
      <c r="Z3827" s="75"/>
      <c r="AA3827" s="75" t="str">
        <f>IF(AND(MONTH(E3827)='IN-NX'!$J$5,'IN-NX'!$D$7=D3827),"x","")</f>
        <v/>
      </c>
      <c r="AB3827" s="75" t="str">
        <f>IF(AND(OR(LEFT(TH!N3547,2)="15",LEFT(TH!O3547,2)="15"),LEFT(TH!O3547,3)&lt;&gt;"111",'152-CT'!$J$8=TH!F3547),"x","")</f>
        <v/>
      </c>
      <c r="AC3827" s="75" t="str">
        <f>IF(AND(OR(LEFT(TH!N3547,2)="15",LEFT(TH!O3547,2)="15"),TK!$E$7=TH!F3547),"x","")</f>
        <v/>
      </c>
      <c r="AD3827" s="75" t="str">
        <f>IF(AND(N3827="1521",MONTH(C3827)='BK-NL'!$M$11),"x","")</f>
        <v/>
      </c>
    </row>
    <row r="3828" spans="1:30" ht="16.5" customHeight="1">
      <c r="A3828" s="309" t="str">
        <f>IF(B3828&lt;&gt;"",IF(AND(B3828='IN-TC'!$S$4,OR(TH!N3826="1111",TH!O3826="1111")),TH!D3826,""),"")</f>
        <v>C30</v>
      </c>
      <c r="B3828" s="1169">
        <f t="shared" si="1304"/>
        <v>3</v>
      </c>
      <c r="C3828" s="292">
        <f t="shared" si="1305"/>
        <v>42821</v>
      </c>
      <c r="D3828" s="292" t="s">
        <v>1945</v>
      </c>
      <c r="E3828" s="292">
        <v>42821</v>
      </c>
      <c r="F3828" s="67" t="s">
        <v>1239</v>
      </c>
      <c r="G3828" s="925" t="s">
        <v>1240</v>
      </c>
      <c r="H3828" s="294" t="s">
        <v>1241</v>
      </c>
      <c r="I3828" s="373"/>
      <c r="J3828" s="926"/>
      <c r="K3828" s="373"/>
      <c r="L3828" s="379"/>
      <c r="M3828" s="927">
        <v>180800</v>
      </c>
      <c r="N3828" s="295" t="s">
        <v>9</v>
      </c>
      <c r="O3828" s="295" t="s">
        <v>63</v>
      </c>
      <c r="P3828" s="75" t="str">
        <f>IF(AND('331-CT'!$E$7=TH!H3548,OR(N3828="331",O3828="331")),"x","")</f>
        <v/>
      </c>
      <c r="Q3828" s="75" t="str">
        <f>IF(AND(B3828='111'!$L$11,OR($N3828=$Q$7,$O3828=$Q$7)),"x","")</f>
        <v/>
      </c>
      <c r="R3828" s="75" t="str">
        <f>IF(AND($N3828=$Q$7,$B3828&lt;'111'!$L$11),"x","")</f>
        <v/>
      </c>
      <c r="S3828" s="75" t="str">
        <f>IF(AND($O3828=$Q$7,$B3828&lt;'111'!$L$11),"x","")</f>
        <v>x</v>
      </c>
      <c r="T3828" s="75" t="str">
        <f>IF(ISERROR(FIND('112'!$M$9,G3828,1)),"",IF((AND(FIND('112'!$M$9,G3828,1)&gt;=1,B3828='112'!$K$9,OR($N3828='112'!$I$6,$O3828='112'!$I$6))),"x",""))</f>
        <v/>
      </c>
      <c r="U3828" s="75" t="str">
        <f>IF(ISERROR(FIND('112'!$M$9,G3828,1)),"",IF((AND(LEFT(G3828,2)=LEFT('112'!$M$9,2),B3828&lt;'112'!$K$9,$N3828='112'!$I$6)),"x",""))</f>
        <v/>
      </c>
      <c r="V3828" s="75" t="str">
        <f>IF(ISERROR(FIND('112'!$M$9,G3828,1)),"",IF((AND(RIGHT(G3828,2)=RIGHT('112'!$M$9,2),B3828&lt;'112'!$K$9,$O3828='112'!$I$6)),"x",""))</f>
        <v/>
      </c>
      <c r="W3828" s="75" t="str">
        <f>IF(AND('341-CT'!$H$9=H3828,OR(LEFT(N3828,3)=$W$7,LEFT(O3828,3)=$W$7)),"x","")</f>
        <v/>
      </c>
      <c r="X3828" s="75" t="str">
        <f>IF(OR(TH!N3548=TH!$X$7,O3828=TH!$X$7),"x","")</f>
        <v/>
      </c>
      <c r="Y3828" s="75" t="str">
        <f>IF(AND(OR(N3828="131",O3828="131"),H3828='131-CT'!$H$9),"x","")</f>
        <v/>
      </c>
      <c r="Z3828" s="75"/>
      <c r="AA3828" s="75" t="str">
        <f>IF(AND(MONTH(E3828)='IN-NX'!$J$5,'IN-NX'!$D$7=D3828),"x","")</f>
        <v/>
      </c>
      <c r="AB3828" s="75" t="str">
        <f>IF(AND(OR(LEFT(TH!N3548,2)="15",LEFT(TH!O3548,2)="15"),LEFT(TH!O3548,3)&lt;&gt;"111",'152-CT'!$J$8=TH!F3548),"x","")</f>
        <v/>
      </c>
      <c r="AC3828" s="75" t="str">
        <f>IF(AND(OR(LEFT(TH!N3548,2)="15",LEFT(TH!O3548,2)="15"),TK!$E$7=TH!F3548),"x","")</f>
        <v/>
      </c>
      <c r="AD3828" s="75" t="str">
        <f>IF(AND(N3828="1521",MONTH(C3828)='BK-NL'!$M$11),"x","")</f>
        <v/>
      </c>
    </row>
    <row r="3829" spans="1:30" ht="16.5" customHeight="1">
      <c r="A3829" s="309" t="str">
        <f>IF(B3829&lt;&gt;"",IF(AND(B3829='IN-TC'!$S$4,OR(TH!N3827="1111",TH!O3827="1111")),TH!D3827,""),"")</f>
        <v>C31</v>
      </c>
      <c r="B3829" s="1169">
        <f t="shared" si="1304"/>
        <v>3</v>
      </c>
      <c r="C3829" s="292">
        <f t="shared" si="1305"/>
        <v>42821</v>
      </c>
      <c r="D3829" s="59" t="s">
        <v>902</v>
      </c>
      <c r="E3829" s="59">
        <v>42821</v>
      </c>
      <c r="F3829" s="62" t="s">
        <v>1212</v>
      </c>
      <c r="G3829" s="62" t="s">
        <v>586</v>
      </c>
      <c r="H3829" s="311" t="s">
        <v>982</v>
      </c>
      <c r="I3829" s="373"/>
      <c r="J3829" s="379"/>
      <c r="K3829" s="373"/>
      <c r="L3829" s="379"/>
      <c r="M3829" s="60">
        <v>55000</v>
      </c>
      <c r="N3829" s="61" t="s">
        <v>101</v>
      </c>
      <c r="O3829" s="61" t="s">
        <v>26</v>
      </c>
      <c r="P3829" s="75" t="str">
        <f>IF(AND('331-CT'!$E$7=TH!H4386,OR(N3829="331",O3829="331")),"x","")</f>
        <v/>
      </c>
      <c r="Q3829" s="75" t="str">
        <f>IF(AND(B3829='111'!$L$11,OR($N3829=$Q$7,$O3829=$Q$7)),"x","")</f>
        <v/>
      </c>
      <c r="R3829" s="75" t="str">
        <f>IF(AND($N3829=$Q$7,$B3829&lt;'111'!$L$11),"x","")</f>
        <v/>
      </c>
      <c r="S3829" s="75" t="str">
        <f>IF(AND($O3829=$Q$7,$B3829&lt;'111'!$L$11),"x","")</f>
        <v/>
      </c>
      <c r="T3829" s="75" t="str">
        <f>IF(ISERROR(FIND('112'!$M$9,G3829,1)),"",IF((AND(FIND('112'!$M$9,G3829,1)&gt;=1,B3829='112'!$K$9,OR($N3829='112'!$I$6,$O3829='112'!$I$6))),"x",""))</f>
        <v/>
      </c>
      <c r="U3829" s="75" t="str">
        <f>IF(ISERROR(FIND('112'!$M$9,G3829,1)),"",IF((AND(LEFT(G3829,2)=LEFT('112'!$M$9,2),B3829&lt;'112'!$K$9,$N3829='112'!$I$6)),"x",""))</f>
        <v/>
      </c>
      <c r="V3829" s="75" t="str">
        <f>IF(ISERROR(FIND('112'!$M$9,G3829,1)),"",IF((AND(RIGHT(G3829,2)=RIGHT('112'!$M$9,2),B3829&lt;'112'!$K$9,$O3829='112'!$I$6)),"x",""))</f>
        <v>x</v>
      </c>
      <c r="W3829" s="75" t="str">
        <f>IF(AND('341-CT'!$H$9=H3829,OR(LEFT(N3829,3)=$W$7,LEFT(O3829,3)=$W$7)),"x","")</f>
        <v/>
      </c>
      <c r="X3829" s="75" t="str">
        <f>IF(OR(TH!N4386=TH!$X$7,O3829=TH!$X$7),"x","")</f>
        <v/>
      </c>
      <c r="Y3829" s="75" t="str">
        <f>IF(AND(OR(N3829="131",O3829="131"),H3829='131-CT'!$H$9),"x","")</f>
        <v/>
      </c>
      <c r="Z3829" s="75"/>
      <c r="AA3829" s="75" t="str">
        <f>IF(AND(MONTH(E3829)='IN-NX'!$J$5,'IN-NX'!$D$7=D3829),"x","")</f>
        <v/>
      </c>
      <c r="AB3829" s="75" t="str">
        <f>IF(AND(OR(LEFT(TH!N4386,2)="15",LEFT(TH!O4386,2)="15"),LEFT(TH!O4386,3)&lt;&gt;"111",'152-CT'!$J$8=TH!F4386),"x","")</f>
        <v/>
      </c>
      <c r="AC3829" s="75" t="str">
        <f>IF(AND(OR(LEFT(TH!N4386,2)="15",LEFT(TH!O4386,2)="15"),TK!$E$7=TH!F4386),"x","")</f>
        <v/>
      </c>
      <c r="AD3829" s="75" t="str">
        <f>IF(AND(N3829="1521",MONTH(C3829)='BK-NL'!$M$11),"x","")</f>
        <v/>
      </c>
    </row>
    <row r="3830" spans="1:30" ht="16.5" customHeight="1">
      <c r="A3830" s="309" t="str">
        <f>IF(B3830&lt;&gt;"",IF(AND(B3830='IN-TC'!$S$4,OR(TH!N3828="1111",TH!O3828="1111")),TH!D3828,""),"")</f>
        <v>C31</v>
      </c>
      <c r="B3830" s="1169">
        <f t="shared" si="1304"/>
        <v>3</v>
      </c>
      <c r="C3830" s="292">
        <f t="shared" si="1305"/>
        <v>42821</v>
      </c>
      <c r="D3830" s="59" t="s">
        <v>902</v>
      </c>
      <c r="E3830" s="59">
        <v>42821</v>
      </c>
      <c r="F3830" s="62" t="s">
        <v>1212</v>
      </c>
      <c r="G3830" s="62" t="s">
        <v>586</v>
      </c>
      <c r="H3830" s="311" t="s">
        <v>982</v>
      </c>
      <c r="I3830" s="373"/>
      <c r="J3830" s="379"/>
      <c r="K3830" s="373"/>
      <c r="L3830" s="379"/>
      <c r="M3830" s="60">
        <v>55000</v>
      </c>
      <c r="N3830" s="61" t="s">
        <v>101</v>
      </c>
      <c r="O3830" s="61" t="s">
        <v>26</v>
      </c>
      <c r="P3830" s="75" t="str">
        <f>IF(AND('331-CT'!$E$7=TH!H4387,OR(N3830="331",O3830="331")),"x","")</f>
        <v/>
      </c>
      <c r="Q3830" s="75" t="str">
        <f>IF(AND(B3830='111'!$L$11,OR($N3830=$Q$7,$O3830=$Q$7)),"x","")</f>
        <v/>
      </c>
      <c r="R3830" s="75" t="str">
        <f>IF(AND($N3830=$Q$7,$B3830&lt;'111'!$L$11),"x","")</f>
        <v/>
      </c>
      <c r="S3830" s="75" t="str">
        <f>IF(AND($O3830=$Q$7,$B3830&lt;'111'!$L$11),"x","")</f>
        <v/>
      </c>
      <c r="T3830" s="75" t="str">
        <f>IF(ISERROR(FIND('112'!$M$9,G3830,1)),"",IF((AND(FIND('112'!$M$9,G3830,1)&gt;=1,B3830='112'!$K$9,OR($N3830='112'!$I$6,$O3830='112'!$I$6))),"x",""))</f>
        <v/>
      </c>
      <c r="U3830" s="75" t="str">
        <f>IF(ISERROR(FIND('112'!$M$9,G3830,1)),"",IF((AND(LEFT(G3830,2)=LEFT('112'!$M$9,2),B3830&lt;'112'!$K$9,$N3830='112'!$I$6)),"x",""))</f>
        <v/>
      </c>
      <c r="V3830" s="75" t="str">
        <f>IF(ISERROR(FIND('112'!$M$9,G3830,1)),"",IF((AND(RIGHT(G3830,2)=RIGHT('112'!$M$9,2),B3830&lt;'112'!$K$9,$O3830='112'!$I$6)),"x",""))</f>
        <v>x</v>
      </c>
      <c r="W3830" s="75" t="str">
        <f>IF(AND('341-CT'!$H$9=H3830,OR(LEFT(N3830,3)=$W$7,LEFT(O3830,3)=$W$7)),"x","")</f>
        <v/>
      </c>
      <c r="X3830" s="75" t="str">
        <f>IF(OR(TH!N4387=TH!$X$7,O3830=TH!$X$7),"x","")</f>
        <v/>
      </c>
      <c r="Y3830" s="75" t="str">
        <f>IF(AND(OR(N3830="131",O3830="131"),H3830='131-CT'!$H$9),"x","")</f>
        <v/>
      </c>
      <c r="Z3830" s="75"/>
      <c r="AA3830" s="75" t="str">
        <f>IF(AND(MONTH(E3830)='IN-NX'!$J$5,'IN-NX'!$D$7=D3830),"x","")</f>
        <v/>
      </c>
      <c r="AB3830" s="75" t="str">
        <f>IF(AND(OR(LEFT(TH!N4387,2)="15",LEFT(TH!O4387,2)="15"),LEFT(TH!O4387,3)&lt;&gt;"111",'152-CT'!$J$8=TH!F4387),"x","")</f>
        <v/>
      </c>
      <c r="AC3830" s="75" t="str">
        <f>IF(AND(OR(LEFT(TH!N4387,2)="15",LEFT(TH!O4387,2)="15"),TK!$E$7=TH!F4387),"x","")</f>
        <v/>
      </c>
      <c r="AD3830" s="75" t="str">
        <f>IF(AND(N3830="1521",MONTH(C3830)='BK-NL'!$M$11),"x","")</f>
        <v/>
      </c>
    </row>
    <row r="3831" spans="1:30" ht="16.5" customHeight="1">
      <c r="A3831" s="309" t="str">
        <f>IF(B3831&lt;&gt;"",IF(AND(B3831='IN-TC'!$S$4,OR(TH!N3829="1111",TH!O3829="1111")),TH!D3829,""),"")</f>
        <v/>
      </c>
      <c r="B3831" s="1169">
        <f t="shared" si="1304"/>
        <v>3</v>
      </c>
      <c r="C3831" s="292">
        <f t="shared" si="1305"/>
        <v>42821</v>
      </c>
      <c r="D3831" s="59" t="s">
        <v>902</v>
      </c>
      <c r="E3831" s="59">
        <v>42821</v>
      </c>
      <c r="F3831" s="62" t="s">
        <v>1212</v>
      </c>
      <c r="G3831" s="62" t="s">
        <v>586</v>
      </c>
      <c r="H3831" s="311" t="s">
        <v>982</v>
      </c>
      <c r="I3831" s="373"/>
      <c r="J3831" s="379"/>
      <c r="K3831" s="373"/>
      <c r="L3831" s="379"/>
      <c r="M3831" s="60">
        <v>55000</v>
      </c>
      <c r="N3831" s="61" t="s">
        <v>101</v>
      </c>
      <c r="O3831" s="61" t="s">
        <v>26</v>
      </c>
      <c r="P3831" s="75" t="str">
        <f>IF(AND('331-CT'!$E$7=TH!H4388,OR(N3831="331",O3831="331")),"x","")</f>
        <v/>
      </c>
      <c r="Q3831" s="75" t="str">
        <f>IF(AND(B3831='111'!$L$11,OR($N3831=$Q$7,$O3831=$Q$7)),"x","")</f>
        <v/>
      </c>
      <c r="R3831" s="75" t="str">
        <f>IF(AND($N3831=$Q$7,$B3831&lt;'111'!$L$11),"x","")</f>
        <v/>
      </c>
      <c r="S3831" s="75" t="str">
        <f>IF(AND($O3831=$Q$7,$B3831&lt;'111'!$L$11),"x","")</f>
        <v/>
      </c>
      <c r="T3831" s="75" t="str">
        <f>IF(ISERROR(FIND('112'!$M$9,G3831,1)),"",IF((AND(FIND('112'!$M$9,G3831,1)&gt;=1,B3831='112'!$K$9,OR($N3831='112'!$I$6,$O3831='112'!$I$6))),"x",""))</f>
        <v/>
      </c>
      <c r="U3831" s="75" t="str">
        <f>IF(ISERROR(FIND('112'!$M$9,G3831,1)),"",IF((AND(LEFT(G3831,2)=LEFT('112'!$M$9,2),B3831&lt;'112'!$K$9,$N3831='112'!$I$6)),"x",""))</f>
        <v/>
      </c>
      <c r="V3831" s="75" t="str">
        <f>IF(ISERROR(FIND('112'!$M$9,G3831,1)),"",IF((AND(RIGHT(G3831,2)=RIGHT('112'!$M$9,2),B3831&lt;'112'!$K$9,$O3831='112'!$I$6)),"x",""))</f>
        <v>x</v>
      </c>
      <c r="W3831" s="75" t="str">
        <f>IF(AND('341-CT'!$H$9=H3831,OR(LEFT(N3831,3)=$W$7,LEFT(O3831,3)=$W$7)),"x","")</f>
        <v/>
      </c>
      <c r="X3831" s="75" t="str">
        <f>IF(OR(TH!N4388=TH!$X$7,O3831=TH!$X$7),"x","")</f>
        <v/>
      </c>
      <c r="Y3831" s="75" t="str">
        <f>IF(AND(OR(N3831="131",O3831="131"),H3831='131-CT'!$H$9),"x","")</f>
        <v/>
      </c>
      <c r="Z3831" s="75"/>
      <c r="AA3831" s="75" t="str">
        <f>IF(AND(MONTH(E3831)='IN-NX'!$J$5,'IN-NX'!$D$7=D3831),"x","")</f>
        <v/>
      </c>
      <c r="AB3831" s="75" t="str">
        <f>IF(AND(OR(LEFT(TH!N4388,2)="15",LEFT(TH!O4388,2)="15"),LEFT(TH!O4388,3)&lt;&gt;"111",'152-CT'!$J$8=TH!F4388),"x","")</f>
        <v/>
      </c>
      <c r="AC3831" s="75" t="str">
        <f>IF(AND(OR(LEFT(TH!N4388,2)="15",LEFT(TH!O4388,2)="15"),TK!$E$7=TH!F4388),"x","")</f>
        <v/>
      </c>
      <c r="AD3831" s="75" t="str">
        <f>IF(AND(N3831="1521",MONTH(C3831)='BK-NL'!$M$11),"x","")</f>
        <v/>
      </c>
    </row>
    <row r="3832" spans="1:30" ht="16.5" customHeight="1">
      <c r="A3832" s="309" t="str">
        <f>IF(B3832&lt;&gt;"",IF(AND(B3832='IN-TC'!$S$4,OR(TH!N3830="1111",TH!O3830="1111")),TH!D3830,""),"")</f>
        <v/>
      </c>
      <c r="B3832" s="1169">
        <f t="shared" si="1304"/>
        <v>3</v>
      </c>
      <c r="C3832" s="292">
        <f t="shared" si="1305"/>
        <v>42821</v>
      </c>
      <c r="D3832" s="59" t="s">
        <v>902</v>
      </c>
      <c r="E3832" s="59">
        <v>42821</v>
      </c>
      <c r="F3832" s="131" t="s">
        <v>1212</v>
      </c>
      <c r="G3832" s="62" t="s">
        <v>586</v>
      </c>
      <c r="H3832" s="311" t="s">
        <v>982</v>
      </c>
      <c r="I3832" s="373"/>
      <c r="J3832" s="379"/>
      <c r="K3832" s="373"/>
      <c r="L3832" s="379"/>
      <c r="M3832" s="60">
        <v>55000</v>
      </c>
      <c r="N3832" s="61" t="s">
        <v>101</v>
      </c>
      <c r="O3832" s="61" t="s">
        <v>26</v>
      </c>
      <c r="P3832" s="75" t="str">
        <f>IF(AND('331-CT'!$E$7=TH!H4389,OR(N3832="331",O3832="331")),"x","")</f>
        <v/>
      </c>
      <c r="Q3832" s="75" t="str">
        <f>IF(AND(B3832='111'!$L$11,OR($N3832=$Q$7,$O3832=$Q$7)),"x","")</f>
        <v/>
      </c>
      <c r="R3832" s="75" t="str">
        <f>IF(AND($N3832=$Q$7,$B3832&lt;'111'!$L$11),"x","")</f>
        <v/>
      </c>
      <c r="S3832" s="75" t="str">
        <f>IF(AND($O3832=$Q$7,$B3832&lt;'111'!$L$11),"x","")</f>
        <v/>
      </c>
      <c r="T3832" s="75" t="str">
        <f>IF(ISERROR(FIND('112'!$M$9,G3832,1)),"",IF((AND(FIND('112'!$M$9,G3832,1)&gt;=1,B3832='112'!$K$9,OR($N3832='112'!$I$6,$O3832='112'!$I$6))),"x",""))</f>
        <v/>
      </c>
      <c r="U3832" s="75" t="str">
        <f>IF(ISERROR(FIND('112'!$M$9,G3832,1)),"",IF((AND(LEFT(G3832,2)=LEFT('112'!$M$9,2),B3832&lt;'112'!$K$9,$N3832='112'!$I$6)),"x",""))</f>
        <v/>
      </c>
      <c r="V3832" s="75" t="str">
        <f>IF(ISERROR(FIND('112'!$M$9,G3832,1)),"",IF((AND(RIGHT(G3832,2)=RIGHT('112'!$M$9,2),B3832&lt;'112'!$K$9,$O3832='112'!$I$6)),"x",""))</f>
        <v>x</v>
      </c>
      <c r="W3832" s="75" t="str">
        <f>IF(AND('341-CT'!$H$9=H3832,OR(LEFT(N3832,3)=$W$7,LEFT(O3832,3)=$W$7)),"x","")</f>
        <v/>
      </c>
      <c r="X3832" s="75" t="str">
        <f>IF(OR(TH!N4389=TH!$X$7,O3832=TH!$X$7),"x","")</f>
        <v/>
      </c>
      <c r="Y3832" s="75" t="str">
        <f>IF(AND(OR(N3832="131",O3832="131"),H3832='131-CT'!$H$9),"x","")</f>
        <v/>
      </c>
      <c r="Z3832" s="75"/>
      <c r="AA3832" s="75" t="str">
        <f>IF(AND(MONTH(E3832)='IN-NX'!$J$5,'IN-NX'!$D$7=D3832),"x","")</f>
        <v/>
      </c>
      <c r="AB3832" s="75" t="str">
        <f>IF(AND(OR(LEFT(TH!N4389,2)="15",LEFT(TH!O4389,2)="15"),LEFT(TH!O4389,3)&lt;&gt;"111",'152-CT'!$J$8=TH!F4389),"x","")</f>
        <v/>
      </c>
      <c r="AC3832" s="75" t="str">
        <f>IF(AND(OR(LEFT(TH!N4389,2)="15",LEFT(TH!O4389,2)="15"),TK!$E$7=TH!F4389),"x","")</f>
        <v/>
      </c>
      <c r="AD3832" s="75" t="str">
        <f>IF(AND(N3832="1521",MONTH(C3832)='BK-NL'!$M$11),"x","")</f>
        <v/>
      </c>
    </row>
    <row r="3833" spans="1:30" ht="16.5" customHeight="1">
      <c r="A3833" s="309" t="str">
        <f>IF(B3833&lt;&gt;"",IF(AND(B3833='IN-TC'!$S$4,OR(TH!N3831="1111",TH!O3831="1111")),TH!D3831,""),"")</f>
        <v/>
      </c>
      <c r="B3833" s="1169">
        <f t="shared" si="1304"/>
        <v>3</v>
      </c>
      <c r="C3833" s="292">
        <f t="shared" si="1305"/>
        <v>42821</v>
      </c>
      <c r="D3833" s="59" t="s">
        <v>903</v>
      </c>
      <c r="E3833" s="59">
        <v>42821</v>
      </c>
      <c r="F3833" s="67" t="s">
        <v>1086</v>
      </c>
      <c r="G3833" s="62" t="s">
        <v>585</v>
      </c>
      <c r="H3833" s="311" t="s">
        <v>805</v>
      </c>
      <c r="I3833" s="373"/>
      <c r="J3833" s="379"/>
      <c r="K3833" s="373"/>
      <c r="L3833" s="379"/>
      <c r="M3833" s="60">
        <v>495493398</v>
      </c>
      <c r="N3833" s="61" t="s">
        <v>26</v>
      </c>
      <c r="O3833" s="61" t="s">
        <v>536</v>
      </c>
      <c r="P3833" s="75" t="str">
        <f>IF(AND('331-CT'!$E$7=TH!H4712,OR(N3833="331",O3833="331")),"x","")</f>
        <v/>
      </c>
      <c r="Q3833" s="75" t="str">
        <f>IF(AND(B3833='111'!$L$11,OR($N3833=$Q$7,$O3833=$Q$7)),"x","")</f>
        <v/>
      </c>
      <c r="R3833" s="75" t="str">
        <f>IF(AND($N3833=$Q$7,$B3833&lt;'111'!$L$11),"x","")</f>
        <v/>
      </c>
      <c r="S3833" s="75" t="str">
        <f>IF(AND($O3833=$Q$7,$B3833&lt;'111'!$L$11),"x","")</f>
        <v/>
      </c>
      <c r="T3833" s="75" t="str">
        <f>IF(ISERROR(FIND('112'!$M$9,G3833,1)),"",IF((AND(FIND('112'!$M$9,G3833,1)&gt;=1,B3833='112'!$K$9,OR($N3833='112'!$I$6,$O3833='112'!$I$6))),"x",""))</f>
        <v/>
      </c>
      <c r="U3833" s="75" t="str">
        <f>IF(ISERROR(FIND('112'!$M$9,G3833,1)),"",IF((AND(LEFT(G3833,2)=LEFT('112'!$M$9,2),B3833&lt;'112'!$K$9,$N3833='112'!$I$6)),"x",""))</f>
        <v/>
      </c>
      <c r="V3833" s="75" t="str">
        <f>IF(ISERROR(FIND('112'!$M$9,G3833,1)),"",IF((AND(RIGHT(G3833,2)=RIGHT('112'!$M$9,2),B3833&lt;'112'!$K$9,$O3833='112'!$I$6)),"x",""))</f>
        <v/>
      </c>
      <c r="W3833" s="75" t="str">
        <f>IF(AND('341-CT'!$H$9=H3833,OR(LEFT(N3833,3)=$W$7,LEFT(O3833,3)=$W$7)),"x","")</f>
        <v/>
      </c>
      <c r="X3833" s="75" t="str">
        <f>IF(OR(TH!N4712=TH!$X$7,O3833=TH!$X$7),"x","")</f>
        <v/>
      </c>
      <c r="Y3833" s="75" t="str">
        <f>IF(AND(OR(N3833="131",O3833="131"),H3833='131-CT'!$H$9),"x","")</f>
        <v/>
      </c>
      <c r="Z3833" s="75"/>
      <c r="AA3833" s="75" t="str">
        <f>IF(AND(MONTH(E3833)='IN-NX'!$J$5,'IN-NX'!$D$7=D3833),"x","")</f>
        <v/>
      </c>
      <c r="AB3833" s="75" t="str">
        <f>IF(AND(OR(LEFT(TH!N4712,2)="15",LEFT(TH!O4712,2)="15"),LEFT(TH!O4712,3)&lt;&gt;"111",'152-CT'!$J$8=TH!F4712),"x","")</f>
        <v/>
      </c>
      <c r="AC3833" s="75" t="str">
        <f>IF(AND(OR(LEFT(TH!N4712,2)="15",LEFT(TH!O4712,2)="15"),TK!$E$7=TH!F4712),"x","")</f>
        <v/>
      </c>
      <c r="AD3833" s="75" t="str">
        <f>IF(AND(N3833="1521",MONTH(C3833)='BK-NL'!$M$11),"x","")</f>
        <v/>
      </c>
    </row>
    <row r="3834" spans="1:30" ht="16.5" customHeight="1">
      <c r="A3834" s="309" t="str">
        <f>IF(B3834&lt;&gt;"",IF(AND(B3834='IN-TC'!$S$4,OR(TH!N3832="1111",TH!O3832="1111")),TH!D3832,""),"")</f>
        <v/>
      </c>
      <c r="B3834" s="1169">
        <f t="shared" si="1304"/>
        <v>3</v>
      </c>
      <c r="C3834" s="292">
        <f t="shared" si="1305"/>
        <v>42821</v>
      </c>
      <c r="D3834" s="59" t="s">
        <v>902</v>
      </c>
      <c r="E3834" s="59">
        <v>42821</v>
      </c>
      <c r="F3834" s="67" t="s">
        <v>897</v>
      </c>
      <c r="G3834" s="62" t="s">
        <v>585</v>
      </c>
      <c r="H3834" s="311" t="s">
        <v>623</v>
      </c>
      <c r="I3834" s="373"/>
      <c r="J3834" s="379"/>
      <c r="K3834" s="373"/>
      <c r="L3834" s="379"/>
      <c r="M3834" s="60">
        <v>270000000</v>
      </c>
      <c r="N3834" s="61" t="s">
        <v>8</v>
      </c>
      <c r="O3834" s="61" t="s">
        <v>26</v>
      </c>
      <c r="P3834" s="75" t="str">
        <f>IF(AND('331-CT'!$E$7=TH!H4713,OR(N3834="331",O3834="331")),"x","")</f>
        <v/>
      </c>
      <c r="Q3834" s="75" t="str">
        <f>IF(AND(B3834='111'!$L$11,OR($N3834=$Q$7,$O3834=$Q$7)),"x","")</f>
        <v/>
      </c>
      <c r="R3834" s="75" t="str">
        <f>IF(AND($N3834=$Q$7,$B3834&lt;'111'!$L$11),"x","")</f>
        <v/>
      </c>
      <c r="S3834" s="75" t="str">
        <f>IF(AND($O3834=$Q$7,$B3834&lt;'111'!$L$11),"x","")</f>
        <v/>
      </c>
      <c r="T3834" s="75" t="str">
        <f>IF(ISERROR(FIND('112'!$M$9,G3834,1)),"",IF((AND(FIND('112'!$M$9,G3834,1)&gt;=1,B3834='112'!$K$9,OR($N3834='112'!$I$6,$O3834='112'!$I$6))),"x",""))</f>
        <v/>
      </c>
      <c r="U3834" s="75" t="str">
        <f>IF(ISERROR(FIND('112'!$M$9,G3834,1)),"",IF((AND(LEFT(G3834,2)=LEFT('112'!$M$9,2),B3834&lt;'112'!$K$9,$N3834='112'!$I$6)),"x",""))</f>
        <v/>
      </c>
      <c r="V3834" s="75" t="str">
        <f>IF(ISERROR(FIND('112'!$M$9,G3834,1)),"",IF((AND(RIGHT(G3834,2)=RIGHT('112'!$M$9,2),B3834&lt;'112'!$K$9,$O3834='112'!$I$6)),"x",""))</f>
        <v/>
      </c>
      <c r="W3834" s="75" t="str">
        <f>IF(AND('341-CT'!$H$9=H3834,OR(LEFT(N3834,3)=$W$7,LEFT(O3834,3)=$W$7)),"x","")</f>
        <v/>
      </c>
      <c r="X3834" s="75" t="str">
        <f>IF(OR(TH!N4713=TH!$X$7,O3834=TH!$X$7),"x","")</f>
        <v/>
      </c>
      <c r="Y3834" s="75" t="str">
        <f>IF(AND(OR(N3834="131",O3834="131"),H3834='131-CT'!$H$9),"x","")</f>
        <v/>
      </c>
      <c r="Z3834" s="75"/>
      <c r="AA3834" s="75" t="str">
        <f>IF(AND(MONTH(E3834)='IN-NX'!$J$5,'IN-NX'!$D$7=D3834),"x","")</f>
        <v/>
      </c>
      <c r="AB3834" s="75" t="str">
        <f>IF(AND(OR(LEFT(TH!N4713,2)="15",LEFT(TH!O4713,2)="15"),LEFT(TH!O4713,3)&lt;&gt;"111",'152-CT'!$J$8=TH!F4713),"x","")</f>
        <v/>
      </c>
      <c r="AC3834" s="75" t="str">
        <f>IF(AND(OR(LEFT(TH!N4713,2)="15",LEFT(TH!O4713,2)="15"),TK!$E$7=TH!F4713),"x","")</f>
        <v/>
      </c>
      <c r="AD3834" s="75" t="str">
        <f>IF(AND(N3834="1521",MONTH(C3834)='BK-NL'!$M$11),"x","")</f>
        <v/>
      </c>
    </row>
    <row r="3835" spans="1:30" ht="16.5" customHeight="1">
      <c r="A3835" s="309" t="str">
        <f>IF(B3835&lt;&gt;"",IF(AND(B3835='IN-TC'!$S$4,OR(TH!N3833="1111",TH!O3833="1111")),TH!D3833,""),"")</f>
        <v/>
      </c>
      <c r="B3835" s="1169">
        <f t="shared" si="1304"/>
        <v>3</v>
      </c>
      <c r="C3835" s="292">
        <f t="shared" si="1305"/>
        <v>42821</v>
      </c>
      <c r="D3835" s="292" t="s">
        <v>1198</v>
      </c>
      <c r="E3835" s="292">
        <v>42821</v>
      </c>
      <c r="F3835" s="67" t="s">
        <v>834</v>
      </c>
      <c r="G3835" s="943" t="s">
        <v>585</v>
      </c>
      <c r="H3835" s="67" t="s">
        <v>1023</v>
      </c>
      <c r="I3835" s="373"/>
      <c r="J3835" s="926"/>
      <c r="K3835" s="373"/>
      <c r="L3835" s="379"/>
      <c r="M3835" s="927">
        <v>220000000</v>
      </c>
      <c r="N3835" s="295" t="s">
        <v>63</v>
      </c>
      <c r="O3835" s="295" t="s">
        <v>26</v>
      </c>
      <c r="P3835" s="75" t="str">
        <f>IF(AND('331-CT'!$E$7=TH!H4714,OR(N3835="331",O3835="331")),"x","")</f>
        <v/>
      </c>
      <c r="Q3835" s="75" t="str">
        <f>IF(AND(B3835='111'!$L$11,OR($N3835=$Q$7,$O3835=$Q$7)),"x","")</f>
        <v/>
      </c>
      <c r="R3835" s="75" t="str">
        <f>IF(AND($N3835=$Q$7,$B3835&lt;'111'!$L$11),"x","")</f>
        <v>x</v>
      </c>
      <c r="S3835" s="75" t="str">
        <f>IF(AND($O3835=$Q$7,$B3835&lt;'111'!$L$11),"x","")</f>
        <v/>
      </c>
      <c r="T3835" s="75" t="str">
        <f>IF(ISERROR(FIND('112'!$M$9,G3835,1)),"",IF((AND(FIND('112'!$M$9,G3835,1)&gt;=1,B3835='112'!$K$9,OR($N3835='112'!$I$6,$O3835='112'!$I$6))),"x",""))</f>
        <v/>
      </c>
      <c r="U3835" s="75" t="str">
        <f>IF(ISERROR(FIND('112'!$M$9,G3835,1)),"",IF((AND(LEFT(G3835,2)=LEFT('112'!$M$9,2),B3835&lt;'112'!$K$9,$N3835='112'!$I$6)),"x",""))</f>
        <v/>
      </c>
      <c r="V3835" s="75" t="str">
        <f>IF(ISERROR(FIND('112'!$M$9,G3835,1)),"",IF((AND(RIGHT(G3835,2)=RIGHT('112'!$M$9,2),B3835&lt;'112'!$K$9,$O3835='112'!$I$6)),"x",""))</f>
        <v/>
      </c>
      <c r="W3835" s="75" t="str">
        <f>IF(AND('341-CT'!$H$9=H3835,OR(LEFT(N3835,3)=$W$7,LEFT(O3835,3)=$W$7)),"x","")</f>
        <v/>
      </c>
      <c r="X3835" s="75" t="str">
        <f>IF(OR(TH!N4714=TH!$X$7,O3835=TH!$X$7),"x","")</f>
        <v/>
      </c>
      <c r="Y3835" s="75" t="str">
        <f>IF(AND(OR(N3835="131",O3835="131"),H3835='131-CT'!$H$9),"x","")</f>
        <v/>
      </c>
      <c r="Z3835" s="75"/>
      <c r="AA3835" s="75" t="str">
        <f>IF(AND(MONTH(E3835)='IN-NX'!$J$5,'IN-NX'!$D$7=D3835),"x","")</f>
        <v/>
      </c>
      <c r="AB3835" s="75" t="str">
        <f>IF(AND(OR(LEFT(TH!N4714,2)="15",LEFT(TH!O4714,2)="15"),LEFT(TH!O4714,3)&lt;&gt;"111",'152-CT'!$J$8=TH!F4714),"x","")</f>
        <v/>
      </c>
      <c r="AC3835" s="75" t="str">
        <f>IF(AND(OR(LEFT(TH!N4714,2)="15",LEFT(TH!O4714,2)="15"),TK!$E$7=TH!F4714),"x","")</f>
        <v/>
      </c>
      <c r="AD3835" s="75" t="str">
        <f>IF(AND(N3835="1521",MONTH(C3835)='BK-NL'!$M$11),"x","")</f>
        <v/>
      </c>
    </row>
    <row r="3836" spans="1:30" ht="16.5" customHeight="1">
      <c r="A3836" s="309" t="str">
        <f>IF(B3836&lt;&gt;"",IF(AND(B3836='IN-TC'!$S$4,OR(TH!N3834="1111",TH!O3834="1111")),TH!D3834,""),"")</f>
        <v/>
      </c>
      <c r="B3836" s="1169">
        <f t="shared" si="1304"/>
        <v>3</v>
      </c>
      <c r="C3836" s="292">
        <f t="shared" si="1305"/>
        <v>42822</v>
      </c>
      <c r="D3836" s="292" t="s">
        <v>1946</v>
      </c>
      <c r="E3836" s="292">
        <v>42822</v>
      </c>
      <c r="F3836" s="67" t="s">
        <v>1165</v>
      </c>
      <c r="G3836" s="925" t="s">
        <v>1379</v>
      </c>
      <c r="H3836" s="294" t="s">
        <v>797</v>
      </c>
      <c r="I3836" s="373"/>
      <c r="J3836" s="926"/>
      <c r="K3836" s="373"/>
      <c r="L3836" s="379"/>
      <c r="M3836" s="927">
        <v>18980500</v>
      </c>
      <c r="N3836" s="295" t="s">
        <v>8</v>
      </c>
      <c r="O3836" s="295" t="s">
        <v>63</v>
      </c>
      <c r="P3836" s="75" t="str">
        <f>IF(AND('331-CT'!$E$7=TH!H3549,OR(N3836="331",O3836="331")),"x","")</f>
        <v/>
      </c>
      <c r="Q3836" s="75" t="str">
        <f>IF(AND(B3836='111'!$L$11,OR($N3836=$Q$7,$O3836=$Q$7)),"x","")</f>
        <v/>
      </c>
      <c r="R3836" s="75" t="str">
        <f>IF(AND($N3836=$Q$7,$B3836&lt;'111'!$L$11),"x","")</f>
        <v/>
      </c>
      <c r="S3836" s="75" t="str">
        <f>IF(AND($O3836=$Q$7,$B3836&lt;'111'!$L$11),"x","")</f>
        <v>x</v>
      </c>
      <c r="T3836" s="75" t="str">
        <f>IF(ISERROR(FIND('112'!$M$9,G3836,1)),"",IF((AND(FIND('112'!$M$9,G3836,1)&gt;=1,B3836='112'!$K$9,OR($N3836='112'!$I$6,$O3836='112'!$I$6))),"x",""))</f>
        <v/>
      </c>
      <c r="U3836" s="75" t="str">
        <f>IF(ISERROR(FIND('112'!$M$9,G3836,1)),"",IF((AND(LEFT(G3836,2)=LEFT('112'!$M$9,2),B3836&lt;'112'!$K$9,$N3836='112'!$I$6)),"x",""))</f>
        <v/>
      </c>
      <c r="V3836" s="75" t="str">
        <f>IF(ISERROR(FIND('112'!$M$9,G3836,1)),"",IF((AND(RIGHT(G3836,2)=RIGHT('112'!$M$9,2),B3836&lt;'112'!$K$9,$O3836='112'!$I$6)),"x",""))</f>
        <v/>
      </c>
      <c r="W3836" s="75" t="str">
        <f>IF(AND('341-CT'!$H$9=H3836,OR(LEFT(N3836,3)=$W$7,LEFT(O3836,3)=$W$7)),"x","")</f>
        <v/>
      </c>
      <c r="X3836" s="75" t="str">
        <f>IF(OR(TH!N3549=TH!$X$7,O3836=TH!$X$7),"x","")</f>
        <v/>
      </c>
      <c r="Y3836" s="75" t="str">
        <f>IF(AND(OR(N3836="131",O3836="131"),H3836='131-CT'!$H$9),"x","")</f>
        <v/>
      </c>
      <c r="Z3836" s="75"/>
      <c r="AA3836" s="75" t="str">
        <f>IF(AND(MONTH(E3836)='IN-NX'!$J$5,'IN-NX'!$D$7=D3836),"x","")</f>
        <v/>
      </c>
      <c r="AB3836" s="75" t="str">
        <f>IF(AND(OR(LEFT(TH!N3549,2)="15",LEFT(TH!O3549,2)="15"),LEFT(TH!O3549,3)&lt;&gt;"111",'152-CT'!$J$8=TH!F3549),"x","")</f>
        <v/>
      </c>
      <c r="AC3836" s="75" t="str">
        <f>IF(AND(OR(LEFT(TH!N3549,2)="15",LEFT(TH!O3549,2)="15"),TK!$E$7=TH!F3549),"x","")</f>
        <v/>
      </c>
      <c r="AD3836" s="75" t="str">
        <f>IF(AND(N3836="1521",MONTH(C3836)='BK-NL'!$M$11),"x","")</f>
        <v/>
      </c>
    </row>
    <row r="3837" spans="1:30" ht="16.5" customHeight="1">
      <c r="A3837" s="309" t="str">
        <f>IF(B3837&lt;&gt;"",IF(AND(B3837='IN-TC'!$S$4,OR(TH!N3835="1111",TH!O3835="1111")),TH!D3835,""),"")</f>
        <v>T08</v>
      </c>
      <c r="B3837" s="1169">
        <f t="shared" si="1304"/>
        <v>3</v>
      </c>
      <c r="C3837" s="292">
        <f t="shared" si="1305"/>
        <v>42822</v>
      </c>
      <c r="D3837" s="292" t="s">
        <v>1947</v>
      </c>
      <c r="E3837" s="292">
        <v>42822</v>
      </c>
      <c r="F3837" s="67" t="s">
        <v>1242</v>
      </c>
      <c r="G3837" s="925" t="s">
        <v>1244</v>
      </c>
      <c r="H3837" s="294" t="s">
        <v>974</v>
      </c>
      <c r="I3837" s="373"/>
      <c r="J3837" s="926"/>
      <c r="K3837" s="373"/>
      <c r="L3837" s="379"/>
      <c r="M3837" s="927">
        <v>11500000</v>
      </c>
      <c r="N3837" s="295" t="s">
        <v>101</v>
      </c>
      <c r="O3837" s="295" t="s">
        <v>63</v>
      </c>
      <c r="P3837" s="75" t="str">
        <f>IF(AND('331-CT'!$E$7=TH!H3550,OR(N3837="331",O3837="331")),"x","")</f>
        <v/>
      </c>
      <c r="Q3837" s="75" t="str">
        <f>IF(AND(B3837='111'!$L$11,OR($N3837=$Q$7,$O3837=$Q$7)),"x","")</f>
        <v/>
      </c>
      <c r="R3837" s="75" t="str">
        <f>IF(AND($N3837=$Q$7,$B3837&lt;'111'!$L$11),"x","")</f>
        <v/>
      </c>
      <c r="S3837" s="75" t="str">
        <f>IF(AND($O3837=$Q$7,$B3837&lt;'111'!$L$11),"x","")</f>
        <v>x</v>
      </c>
      <c r="T3837" s="75" t="str">
        <f>IF(ISERROR(FIND('112'!$M$9,G3837,1)),"",IF((AND(FIND('112'!$M$9,G3837,1)&gt;=1,B3837='112'!$K$9,OR($N3837='112'!$I$6,$O3837='112'!$I$6))),"x",""))</f>
        <v/>
      </c>
      <c r="U3837" s="75" t="str">
        <f>IF(ISERROR(FIND('112'!$M$9,G3837,1)),"",IF((AND(LEFT(G3837,2)=LEFT('112'!$M$9,2),B3837&lt;'112'!$K$9,$N3837='112'!$I$6)),"x",""))</f>
        <v/>
      </c>
      <c r="V3837" s="75" t="str">
        <f>IF(ISERROR(FIND('112'!$M$9,G3837,1)),"",IF((AND(RIGHT(G3837,2)=RIGHT('112'!$M$9,2),B3837&lt;'112'!$K$9,$O3837='112'!$I$6)),"x",""))</f>
        <v/>
      </c>
      <c r="W3837" s="75" t="str">
        <f>IF(AND('341-CT'!$H$9=H3837,OR(LEFT(N3837,3)=$W$7,LEFT(O3837,3)=$W$7)),"x","")</f>
        <v/>
      </c>
      <c r="X3837" s="75" t="str">
        <f>IF(OR(TH!N3550=TH!$X$7,O3837=TH!$X$7),"x","")</f>
        <v/>
      </c>
      <c r="Y3837" s="75" t="str">
        <f>IF(AND(OR(N3837="131",O3837="131"),H3837='131-CT'!$H$9),"x","")</f>
        <v/>
      </c>
      <c r="Z3837" s="75"/>
      <c r="AA3837" s="75" t="str">
        <f>IF(AND(MONTH(E3837)='IN-NX'!$J$5,'IN-NX'!$D$7=D3837),"x","")</f>
        <v/>
      </c>
      <c r="AB3837" s="75" t="str">
        <f>IF(AND(OR(LEFT(TH!N3550,2)="15",LEFT(TH!O3550,2)="15"),LEFT(TH!O3550,3)&lt;&gt;"111",'152-CT'!$J$8=TH!F3550),"x","")</f>
        <v/>
      </c>
      <c r="AC3837" s="75" t="str">
        <f>IF(AND(OR(LEFT(TH!N3550,2)="15",LEFT(TH!O3550,2)="15"),TK!$E$7=TH!F3550),"x","")</f>
        <v/>
      </c>
      <c r="AD3837" s="75" t="str">
        <f>IF(AND(N3837="1521",MONTH(C3837)='BK-NL'!$M$11),"x","")</f>
        <v/>
      </c>
    </row>
    <row r="3838" spans="1:30" ht="16.5" customHeight="1">
      <c r="A3838" s="309" t="str">
        <f>IF(B3838&lt;&gt;"",IF(AND(B3838='IN-TC'!$S$4,OR(TH!N3836="1111",TH!O3836="1111")),TH!D3836,""),"")</f>
        <v>C32</v>
      </c>
      <c r="B3838" s="1169">
        <f t="shared" si="1304"/>
        <v>3</v>
      </c>
      <c r="C3838" s="292">
        <f t="shared" si="1305"/>
        <v>42822</v>
      </c>
      <c r="D3838" s="292" t="s">
        <v>1948</v>
      </c>
      <c r="E3838" s="292">
        <v>42822</v>
      </c>
      <c r="F3838" s="67" t="s">
        <v>1243</v>
      </c>
      <c r="G3838" s="925" t="s">
        <v>1244</v>
      </c>
      <c r="H3838" s="294" t="s">
        <v>974</v>
      </c>
      <c r="I3838" s="373"/>
      <c r="J3838" s="926"/>
      <c r="K3838" s="373"/>
      <c r="L3838" s="379"/>
      <c r="M3838" s="927">
        <v>1150000</v>
      </c>
      <c r="N3838" s="295" t="s">
        <v>9</v>
      </c>
      <c r="O3838" s="295" t="s">
        <v>63</v>
      </c>
      <c r="P3838" s="75" t="str">
        <f>IF(AND('331-CT'!$E$7=TH!H3551,OR(N3838="331",O3838="331")),"x","")</f>
        <v/>
      </c>
      <c r="Q3838" s="75" t="str">
        <f>IF(AND(B3838='111'!$L$11,OR($N3838=$Q$7,$O3838=$Q$7)),"x","")</f>
        <v/>
      </c>
      <c r="R3838" s="75" t="str">
        <f>IF(AND($N3838=$Q$7,$B3838&lt;'111'!$L$11),"x","")</f>
        <v/>
      </c>
      <c r="S3838" s="75" t="str">
        <f>IF(AND($O3838=$Q$7,$B3838&lt;'111'!$L$11),"x","")</f>
        <v>x</v>
      </c>
      <c r="T3838" s="75" t="str">
        <f>IF(ISERROR(FIND('112'!$M$9,G3838,1)),"",IF((AND(FIND('112'!$M$9,G3838,1)&gt;=1,B3838='112'!$K$9,OR($N3838='112'!$I$6,$O3838='112'!$I$6))),"x",""))</f>
        <v/>
      </c>
      <c r="U3838" s="75" t="str">
        <f>IF(ISERROR(FIND('112'!$M$9,G3838,1)),"",IF((AND(LEFT(G3838,2)=LEFT('112'!$M$9,2),B3838&lt;'112'!$K$9,$N3838='112'!$I$6)),"x",""))</f>
        <v/>
      </c>
      <c r="V3838" s="75" t="str">
        <f>IF(ISERROR(FIND('112'!$M$9,G3838,1)),"",IF((AND(RIGHT(G3838,2)=RIGHT('112'!$M$9,2),B3838&lt;'112'!$K$9,$O3838='112'!$I$6)),"x",""))</f>
        <v/>
      </c>
      <c r="W3838" s="75" t="str">
        <f>IF(AND('341-CT'!$H$9=H3838,OR(LEFT(N3838,3)=$W$7,LEFT(O3838,3)=$W$7)),"x","")</f>
        <v/>
      </c>
      <c r="X3838" s="75" t="str">
        <f>IF(OR(TH!N3551=TH!$X$7,O3838=TH!$X$7),"x","")</f>
        <v/>
      </c>
      <c r="Y3838" s="75" t="str">
        <f>IF(AND(OR(N3838="131",O3838="131"),H3838='131-CT'!$H$9),"x","")</f>
        <v/>
      </c>
      <c r="Z3838" s="75"/>
      <c r="AA3838" s="75" t="str">
        <f>IF(AND(MONTH(E3838)='IN-NX'!$J$5,'IN-NX'!$D$7=D3838),"x","")</f>
        <v/>
      </c>
      <c r="AB3838" s="75" t="str">
        <f>IF(AND(OR(LEFT(TH!N3551,2)="15",LEFT(TH!O3551,2)="15"),LEFT(TH!O3551,3)&lt;&gt;"111",'152-CT'!$J$8=TH!F3551),"x","")</f>
        <v/>
      </c>
      <c r="AC3838" s="75" t="str">
        <f>IF(AND(OR(LEFT(TH!N3551,2)="15",LEFT(TH!O3551,2)="15"),TK!$E$7=TH!F3551),"x","")</f>
        <v/>
      </c>
      <c r="AD3838" s="75" t="str">
        <f>IF(AND(N3838="1521",MONTH(C3838)='BK-NL'!$M$11),"x","")</f>
        <v/>
      </c>
    </row>
    <row r="3839" spans="1:30" ht="16.5" customHeight="1">
      <c r="A3839" s="309" t="str">
        <f>IF(B3839&lt;&gt;"",IF(AND(B3839='IN-TC'!$S$4,OR(TH!N3837="1111",TH!O3837="1111")),TH!D3837,""),"")</f>
        <v>C33</v>
      </c>
      <c r="B3839" s="1169">
        <f t="shared" si="1304"/>
        <v>3</v>
      </c>
      <c r="C3839" s="292">
        <f t="shared" si="1305"/>
        <v>42822</v>
      </c>
      <c r="D3839" s="292" t="s">
        <v>1949</v>
      </c>
      <c r="E3839" s="292">
        <v>42822</v>
      </c>
      <c r="F3839" s="67" t="s">
        <v>1165</v>
      </c>
      <c r="G3839" s="925" t="s">
        <v>1162</v>
      </c>
      <c r="H3839" s="294" t="s">
        <v>796</v>
      </c>
      <c r="I3839" s="373"/>
      <c r="J3839" s="926"/>
      <c r="K3839" s="373"/>
      <c r="L3839" s="379"/>
      <c r="M3839" s="927">
        <v>18980500</v>
      </c>
      <c r="N3839" s="295" t="s">
        <v>8</v>
      </c>
      <c r="O3839" s="295" t="s">
        <v>63</v>
      </c>
      <c r="P3839" s="75" t="str">
        <f>IF(AND('331-CT'!$E$7=TH!H3552,OR(N3839="331",O3839="331")),"x","")</f>
        <v/>
      </c>
      <c r="Q3839" s="75" t="str">
        <f>IF(AND(B3839='111'!$L$11,OR($N3839=$Q$7,$O3839=$Q$7)),"x","")</f>
        <v/>
      </c>
      <c r="R3839" s="75" t="str">
        <f>IF(AND($N3839=$Q$7,$B3839&lt;'111'!$L$11),"x","")</f>
        <v/>
      </c>
      <c r="S3839" s="75" t="str">
        <f>IF(AND($O3839=$Q$7,$B3839&lt;'111'!$L$11),"x","")</f>
        <v>x</v>
      </c>
      <c r="T3839" s="75" t="str">
        <f>IF(ISERROR(FIND('112'!$M$9,G3839,1)),"",IF((AND(FIND('112'!$M$9,G3839,1)&gt;=1,B3839='112'!$K$9,OR($N3839='112'!$I$6,$O3839='112'!$I$6))),"x",""))</f>
        <v/>
      </c>
      <c r="U3839" s="75" t="str">
        <f>IF(ISERROR(FIND('112'!$M$9,G3839,1)),"",IF((AND(LEFT(G3839,2)=LEFT('112'!$M$9,2),B3839&lt;'112'!$K$9,$N3839='112'!$I$6)),"x",""))</f>
        <v/>
      </c>
      <c r="V3839" s="75" t="str">
        <f>IF(ISERROR(FIND('112'!$M$9,G3839,1)),"",IF((AND(RIGHT(G3839,2)=RIGHT('112'!$M$9,2),B3839&lt;'112'!$K$9,$O3839='112'!$I$6)),"x",""))</f>
        <v/>
      </c>
      <c r="W3839" s="75" t="str">
        <f>IF(AND('341-CT'!$H$9=H3839,OR(LEFT(N3839,3)=$W$7,LEFT(O3839,3)=$W$7)),"x","")</f>
        <v/>
      </c>
      <c r="X3839" s="75" t="str">
        <f>IF(OR(TH!N3552=TH!$X$7,O3839=TH!$X$7),"x","")</f>
        <v/>
      </c>
      <c r="Y3839" s="75" t="str">
        <f>IF(AND(OR(N3839="131",O3839="131"),H3839='131-CT'!$H$9),"x","")</f>
        <v/>
      </c>
      <c r="Z3839" s="75"/>
      <c r="AA3839" s="75" t="str">
        <f>IF(AND(MONTH(E3839)='IN-NX'!$J$5,'IN-NX'!$D$7=D3839),"x","")</f>
        <v/>
      </c>
      <c r="AB3839" s="75" t="str">
        <f>IF(AND(OR(LEFT(TH!N3552,2)="15",LEFT(TH!O3552,2)="15"),LEFT(TH!O3552,3)&lt;&gt;"111",'152-CT'!$J$8=TH!F3552),"x","")</f>
        <v/>
      </c>
      <c r="AC3839" s="75" t="str">
        <f>IF(AND(OR(LEFT(TH!N3552,2)="15",LEFT(TH!O3552,2)="15"),TK!$E$7=TH!F3552),"x","")</f>
        <v/>
      </c>
      <c r="AD3839" s="75" t="str">
        <f>IF(AND(N3839="1521",MONTH(C3839)='BK-NL'!$M$11),"x","")</f>
        <v/>
      </c>
    </row>
    <row r="3840" spans="1:30" ht="16.5" customHeight="1">
      <c r="A3840" s="309" t="str">
        <f>IF(B3840&lt;&gt;"",IF(AND(B3840='IN-TC'!$S$4,OR(TH!N3838="1111",TH!O3838="1111")),TH!D3838,""),"")</f>
        <v>C34</v>
      </c>
      <c r="B3840" s="1169">
        <f t="shared" si="1304"/>
        <v>3</v>
      </c>
      <c r="C3840" s="292">
        <f t="shared" si="1305"/>
        <v>42822</v>
      </c>
      <c r="D3840" s="59" t="s">
        <v>902</v>
      </c>
      <c r="E3840" s="59">
        <v>42822</v>
      </c>
      <c r="F3840" s="62" t="s">
        <v>1413</v>
      </c>
      <c r="G3840" s="62" t="s">
        <v>586</v>
      </c>
      <c r="H3840" s="311" t="s">
        <v>982</v>
      </c>
      <c r="I3840" s="373"/>
      <c r="J3840" s="379"/>
      <c r="K3840" s="373"/>
      <c r="L3840" s="379"/>
      <c r="M3840" s="60">
        <v>46459000</v>
      </c>
      <c r="N3840" s="61" t="s">
        <v>26</v>
      </c>
      <c r="O3840" s="61" t="s">
        <v>541</v>
      </c>
      <c r="P3840" s="75" t="str">
        <f>IF(AND('331-CT'!$E$7=TH!H4390,OR(N3840="331",O3840="331")),"x","")</f>
        <v/>
      </c>
      <c r="Q3840" s="75" t="str">
        <f>IF(AND(B3840='111'!$L$11,OR($N3840=$Q$7,$O3840=$Q$7)),"x","")</f>
        <v/>
      </c>
      <c r="R3840" s="75" t="str">
        <f>IF(AND($N3840=$Q$7,$B3840&lt;'111'!$L$11),"x","")</f>
        <v/>
      </c>
      <c r="S3840" s="75" t="str">
        <f>IF(AND($O3840=$Q$7,$B3840&lt;'111'!$L$11),"x","")</f>
        <v/>
      </c>
      <c r="T3840" s="75" t="str">
        <f>IF(ISERROR(FIND('112'!$M$9,G3840,1)),"",IF((AND(FIND('112'!$M$9,G3840,1)&gt;=1,B3840='112'!$K$9,OR($N3840='112'!$I$6,$O3840='112'!$I$6))),"x",""))</f>
        <v/>
      </c>
      <c r="U3840" s="75" t="str">
        <f>IF(ISERROR(FIND('112'!$M$9,G3840,1)),"",IF((AND(LEFT(G3840,2)=LEFT('112'!$M$9,2),B3840&lt;'112'!$K$9,$N3840='112'!$I$6)),"x",""))</f>
        <v>x</v>
      </c>
      <c r="V3840" s="75" t="str">
        <f>IF(ISERROR(FIND('112'!$M$9,G3840,1)),"",IF((AND(RIGHT(G3840,2)=RIGHT('112'!$M$9,2),B3840&lt;'112'!$K$9,$O3840='112'!$I$6)),"x",""))</f>
        <v/>
      </c>
      <c r="W3840" s="75" t="str">
        <f>IF(AND('341-CT'!$H$9=H3840,OR(LEFT(N3840,3)=$W$7,LEFT(O3840,3)=$W$7)),"x","")</f>
        <v/>
      </c>
      <c r="X3840" s="75" t="str">
        <f>IF(OR(TH!N4390=TH!$X$7,O3840=TH!$X$7),"x","")</f>
        <v/>
      </c>
      <c r="Y3840" s="75" t="str">
        <f>IF(AND(OR(N3840="131",O3840="131"),H3840='131-CT'!$H$9),"x","")</f>
        <v/>
      </c>
      <c r="Z3840" s="75"/>
      <c r="AA3840" s="75" t="str">
        <f>IF(AND(MONTH(E3840)='IN-NX'!$J$5,'IN-NX'!$D$7=D3840),"x","")</f>
        <v/>
      </c>
      <c r="AB3840" s="75" t="str">
        <f>IF(AND(OR(LEFT(TH!N4390,2)="15",LEFT(TH!O4390,2)="15"),LEFT(TH!O4390,3)&lt;&gt;"111",'152-CT'!$J$8=TH!F4390),"x","")</f>
        <v/>
      </c>
      <c r="AC3840" s="75" t="str">
        <f>IF(AND(OR(LEFT(TH!N4390,2)="15",LEFT(TH!O4390,2)="15"),TK!$E$7=TH!F4390),"x","")</f>
        <v/>
      </c>
      <c r="AD3840" s="75" t="str">
        <f>IF(AND(N3840="1521",MONTH(C3840)='BK-NL'!$M$11),"x","")</f>
        <v/>
      </c>
    </row>
    <row r="3841" spans="1:30" ht="16.5" customHeight="1">
      <c r="A3841" s="309" t="str">
        <f>IF(B3841&lt;&gt;"",IF(AND(B3841='IN-TC'!$S$4,OR(TH!N3839="1111",TH!O3839="1111")),TH!D3839,""),"")</f>
        <v>C35</v>
      </c>
      <c r="B3841" s="1169">
        <f t="shared" si="1304"/>
        <v>3</v>
      </c>
      <c r="C3841" s="292">
        <f t="shared" si="1305"/>
        <v>42824</v>
      </c>
      <c r="D3841" s="292" t="s">
        <v>1950</v>
      </c>
      <c r="E3841" s="292">
        <v>42824</v>
      </c>
      <c r="F3841" s="67" t="s">
        <v>1228</v>
      </c>
      <c r="G3841" s="925" t="s">
        <v>1245</v>
      </c>
      <c r="H3841" s="294" t="s">
        <v>962</v>
      </c>
      <c r="I3841" s="373"/>
      <c r="J3841" s="926"/>
      <c r="K3841" s="373"/>
      <c r="L3841" s="379"/>
      <c r="M3841" s="927">
        <v>1070000</v>
      </c>
      <c r="N3841" s="295" t="s">
        <v>101</v>
      </c>
      <c r="O3841" s="295" t="s">
        <v>63</v>
      </c>
      <c r="P3841" s="75" t="str">
        <f>IF(AND('331-CT'!$E$7=TH!H3553,OR(N3841="331",O3841="331")),"x","")</f>
        <v/>
      </c>
      <c r="Q3841" s="75" t="str">
        <f>IF(AND(B3841='111'!$L$11,OR($N3841=$Q$7,$O3841=$Q$7)),"x","")</f>
        <v/>
      </c>
      <c r="R3841" s="75" t="str">
        <f>IF(AND($N3841=$Q$7,$B3841&lt;'111'!$L$11),"x","")</f>
        <v/>
      </c>
      <c r="S3841" s="75" t="str">
        <f>IF(AND($O3841=$Q$7,$B3841&lt;'111'!$L$11),"x","")</f>
        <v>x</v>
      </c>
      <c r="T3841" s="75" t="str">
        <f>IF(ISERROR(FIND('112'!$M$9,G3841,1)),"",IF((AND(FIND('112'!$M$9,G3841,1)&gt;=1,B3841='112'!$K$9,OR($N3841='112'!$I$6,$O3841='112'!$I$6))),"x",""))</f>
        <v/>
      </c>
      <c r="U3841" s="75" t="str">
        <f>IF(ISERROR(FIND('112'!$M$9,G3841,1)),"",IF((AND(LEFT(G3841,2)=LEFT('112'!$M$9,2),B3841&lt;'112'!$K$9,$N3841='112'!$I$6)),"x",""))</f>
        <v/>
      </c>
      <c r="V3841" s="75" t="str">
        <f>IF(ISERROR(FIND('112'!$M$9,G3841,1)),"",IF((AND(RIGHT(G3841,2)=RIGHT('112'!$M$9,2),B3841&lt;'112'!$K$9,$O3841='112'!$I$6)),"x",""))</f>
        <v/>
      </c>
      <c r="W3841" s="75" t="str">
        <f>IF(AND('341-CT'!$H$9=H3841,OR(LEFT(N3841,3)=$W$7,LEFT(O3841,3)=$W$7)),"x","")</f>
        <v/>
      </c>
      <c r="X3841" s="75" t="str">
        <f>IF(OR(TH!N3553=TH!$X$7,O3841=TH!$X$7),"x","")</f>
        <v/>
      </c>
      <c r="Y3841" s="75" t="str">
        <f>IF(AND(OR(N3841="131",O3841="131"),H3841='131-CT'!$H$9),"x","")</f>
        <v/>
      </c>
      <c r="Z3841" s="75"/>
      <c r="AA3841" s="75" t="str">
        <f>IF(AND(MONTH(E3841)='IN-NX'!$J$5,'IN-NX'!$D$7=D3841),"x","")</f>
        <v/>
      </c>
      <c r="AB3841" s="75" t="str">
        <f>IF(AND(OR(LEFT(TH!N3553,2)="15",LEFT(TH!O3553,2)="15"),LEFT(TH!O3553,3)&lt;&gt;"111",'152-CT'!$J$8=TH!F3553),"x","")</f>
        <v/>
      </c>
      <c r="AC3841" s="75" t="str">
        <f>IF(AND(OR(LEFT(TH!N3553,2)="15",LEFT(TH!O3553,2)="15"),TK!$E$7=TH!F3553),"x","")</f>
        <v/>
      </c>
      <c r="AD3841" s="75" t="str">
        <f>IF(AND(N3841="1521",MONTH(C3841)='BK-NL'!$M$11),"x","")</f>
        <v/>
      </c>
    </row>
    <row r="3842" spans="1:30" ht="16.5" customHeight="1">
      <c r="A3842" s="309" t="str">
        <f>IF(B3842&lt;&gt;"",IF(AND(B3842='IN-TC'!$S$4,OR(TH!N3840="1111",TH!O3840="1111")),TH!D3840,""),"")</f>
        <v/>
      </c>
      <c r="B3842" s="1169">
        <f t="shared" si="1304"/>
        <v>3</v>
      </c>
      <c r="C3842" s="292">
        <f t="shared" si="1305"/>
        <v>42824</v>
      </c>
      <c r="D3842" s="292" t="s">
        <v>1950</v>
      </c>
      <c r="E3842" s="292">
        <v>42824</v>
      </c>
      <c r="F3842" s="67" t="s">
        <v>1229</v>
      </c>
      <c r="G3842" s="925" t="s">
        <v>1245</v>
      </c>
      <c r="H3842" s="294" t="s">
        <v>962</v>
      </c>
      <c r="I3842" s="373"/>
      <c r="J3842" s="926"/>
      <c r="K3842" s="373"/>
      <c r="L3842" s="379"/>
      <c r="M3842" s="927">
        <v>107000</v>
      </c>
      <c r="N3842" s="295" t="s">
        <v>9</v>
      </c>
      <c r="O3842" s="295" t="s">
        <v>63</v>
      </c>
      <c r="P3842" s="75" t="str">
        <f>IF(AND('331-CT'!$E$7=TH!H3554,OR(N3842="331",O3842="331")),"x","")</f>
        <v/>
      </c>
      <c r="Q3842" s="75" t="str">
        <f>IF(AND(B3842='111'!$L$11,OR($N3842=$Q$7,$O3842=$Q$7)),"x","")</f>
        <v/>
      </c>
      <c r="R3842" s="75" t="str">
        <f>IF(AND($N3842=$Q$7,$B3842&lt;'111'!$L$11),"x","")</f>
        <v/>
      </c>
      <c r="S3842" s="75" t="str">
        <f>IF(AND($O3842=$Q$7,$B3842&lt;'111'!$L$11),"x","")</f>
        <v>x</v>
      </c>
      <c r="T3842" s="75" t="str">
        <f>IF(ISERROR(FIND('112'!$M$9,G3842,1)),"",IF((AND(FIND('112'!$M$9,G3842,1)&gt;=1,B3842='112'!$K$9,OR($N3842='112'!$I$6,$O3842='112'!$I$6))),"x",""))</f>
        <v/>
      </c>
      <c r="U3842" s="75" t="str">
        <f>IF(ISERROR(FIND('112'!$M$9,G3842,1)),"",IF((AND(LEFT(G3842,2)=LEFT('112'!$M$9,2),B3842&lt;'112'!$K$9,$N3842='112'!$I$6)),"x",""))</f>
        <v/>
      </c>
      <c r="V3842" s="75" t="str">
        <f>IF(ISERROR(FIND('112'!$M$9,G3842,1)),"",IF((AND(RIGHT(G3842,2)=RIGHT('112'!$M$9,2),B3842&lt;'112'!$K$9,$O3842='112'!$I$6)),"x",""))</f>
        <v/>
      </c>
      <c r="W3842" s="75" t="str">
        <f>IF(AND('341-CT'!$H$9=H3842,OR(LEFT(N3842,3)=$W$7,LEFT(O3842,3)=$W$7)),"x","")</f>
        <v/>
      </c>
      <c r="X3842" s="75" t="str">
        <f>IF(OR(TH!N3554=TH!$X$7,O3842=TH!$X$7),"x","")</f>
        <v/>
      </c>
      <c r="Y3842" s="75" t="str">
        <f>IF(AND(OR(N3842="131",O3842="131"),H3842='131-CT'!$H$9),"x","")</f>
        <v/>
      </c>
      <c r="Z3842" s="75"/>
      <c r="AA3842" s="75" t="str">
        <f>IF(AND(MONTH(E3842)='IN-NX'!$J$5,'IN-NX'!$D$7=D3842),"x","")</f>
        <v/>
      </c>
      <c r="AB3842" s="75" t="str">
        <f>IF(AND(OR(LEFT(TH!N3554,2)="15",LEFT(TH!O3554,2)="15"),LEFT(TH!O3554,3)&lt;&gt;"111",'152-CT'!$J$8=TH!F3554),"x","")</f>
        <v/>
      </c>
      <c r="AC3842" s="75" t="str">
        <f>IF(AND(OR(LEFT(TH!N3554,2)="15",LEFT(TH!O3554,2)="15"),TK!$E$7=TH!F3554),"x","")</f>
        <v/>
      </c>
      <c r="AD3842" s="75" t="str">
        <f>IF(AND(N3842="1521",MONTH(C3842)='BK-NL'!$M$11),"x","")</f>
        <v/>
      </c>
    </row>
    <row r="3843" spans="1:30" ht="16.5" customHeight="1">
      <c r="A3843" s="309" t="str">
        <f>IF(B3843&lt;&gt;"",IF(AND(B3843='IN-TC'!$S$4,OR(TH!N3841="1111",TH!O3841="1111")),TH!D3841,""),"")</f>
        <v>C36</v>
      </c>
      <c r="B3843" s="1169">
        <f t="shared" si="1304"/>
        <v>3</v>
      </c>
      <c r="C3843" s="292">
        <f t="shared" si="1305"/>
        <v>42824</v>
      </c>
      <c r="D3843" s="59" t="s">
        <v>902</v>
      </c>
      <c r="E3843" s="59">
        <v>42824</v>
      </c>
      <c r="F3843" s="62" t="s">
        <v>1214</v>
      </c>
      <c r="G3843" s="62" t="s">
        <v>586</v>
      </c>
      <c r="H3843" s="311" t="s">
        <v>623</v>
      </c>
      <c r="I3843" s="1273">
        <f>K3843/J3843</f>
        <v>72151.898734177215</v>
      </c>
      <c r="J3843" s="379">
        <v>39500</v>
      </c>
      <c r="K3843" s="373">
        <v>2850000000</v>
      </c>
      <c r="L3843" s="379"/>
      <c r="M3843" s="60">
        <v>46000000</v>
      </c>
      <c r="N3843" s="61" t="s">
        <v>72</v>
      </c>
      <c r="O3843" s="61" t="s">
        <v>26</v>
      </c>
      <c r="P3843" s="75" t="str">
        <f>IF(AND('331-CT'!$E$7=TH!H4391,OR(N3843="331",O3843="331")),"x","")</f>
        <v/>
      </c>
      <c r="Q3843" s="75" t="str">
        <f>IF(AND(B3843='111'!$L$11,OR($N3843=$Q$7,$O3843=$Q$7)),"x","")</f>
        <v/>
      </c>
      <c r="R3843" s="75" t="str">
        <f>IF(AND($N3843=$Q$7,$B3843&lt;'111'!$L$11),"x","")</f>
        <v/>
      </c>
      <c r="S3843" s="75" t="str">
        <f>IF(AND($O3843=$Q$7,$B3843&lt;'111'!$L$11),"x","")</f>
        <v/>
      </c>
      <c r="T3843" s="75" t="str">
        <f>IF(ISERROR(FIND('112'!$M$9,G3843,1)),"",IF((AND(FIND('112'!$M$9,G3843,1)&gt;=1,B3843='112'!$K$9,OR($N3843='112'!$I$6,$O3843='112'!$I$6))),"x",""))</f>
        <v/>
      </c>
      <c r="U3843" s="75" t="str">
        <f>IF(ISERROR(FIND('112'!$M$9,G3843,1)),"",IF((AND(LEFT(G3843,2)=LEFT('112'!$M$9,2),B3843&lt;'112'!$K$9,$N3843='112'!$I$6)),"x",""))</f>
        <v/>
      </c>
      <c r="V3843" s="75" t="str">
        <f>IF(ISERROR(FIND('112'!$M$9,G3843,1)),"",IF((AND(RIGHT(G3843,2)=RIGHT('112'!$M$9,2),B3843&lt;'112'!$K$9,$O3843='112'!$I$6)),"x",""))</f>
        <v>x</v>
      </c>
      <c r="W3843" s="75" t="str">
        <f>IF(AND('341-CT'!$H$9=H3843,OR(LEFT(N3843,3)=$W$7,LEFT(O3843,3)=$W$7)),"x","")</f>
        <v/>
      </c>
      <c r="X3843" s="75" t="str">
        <f>IF(OR(TH!N4391=TH!$X$7,O3843=TH!$X$7),"x","")</f>
        <v/>
      </c>
      <c r="Y3843" s="75" t="str">
        <f>IF(AND(OR(N3843="131",O3843="131"),H3843='131-CT'!$H$9),"x","")</f>
        <v/>
      </c>
      <c r="Z3843" s="75"/>
      <c r="AA3843" s="75" t="str">
        <f>IF(AND(MONTH(E3843)='IN-NX'!$J$5,'IN-NX'!$D$7=D3843),"x","")</f>
        <v/>
      </c>
      <c r="AB3843" s="75" t="str">
        <f>IF(AND(OR(LEFT(TH!N4391,2)="15",LEFT(TH!O4391,2)="15"),LEFT(TH!O4391,3)&lt;&gt;"111",'152-CT'!$J$8=TH!F4391),"x","")</f>
        <v/>
      </c>
      <c r="AC3843" s="75" t="str">
        <f>IF(AND(OR(LEFT(TH!N4391,2)="15",LEFT(TH!O4391,2)="15"),TK!$E$7=TH!F4391),"x","")</f>
        <v/>
      </c>
      <c r="AD3843" s="75" t="str">
        <f>IF(AND(N3843="1521",MONTH(C3843)='BK-NL'!$M$11),"x","")</f>
        <v/>
      </c>
    </row>
    <row r="3844" spans="1:30" ht="16.5" customHeight="1">
      <c r="A3844" s="309" t="str">
        <f>IF(B3844&lt;&gt;"",IF(AND(B3844='IN-TC'!$S$4,OR(TH!N3842="1111",TH!O3842="1111")),TH!D3842,""),"")</f>
        <v>C36</v>
      </c>
      <c r="B3844" s="1169">
        <f t="shared" si="1304"/>
        <v>3</v>
      </c>
      <c r="C3844" s="292">
        <f t="shared" si="1305"/>
        <v>42824</v>
      </c>
      <c r="D3844" s="59" t="s">
        <v>902</v>
      </c>
      <c r="E3844" s="59">
        <v>42824</v>
      </c>
      <c r="F3844" s="67" t="s">
        <v>1215</v>
      </c>
      <c r="G3844" s="62" t="s">
        <v>585</v>
      </c>
      <c r="H3844" s="311" t="s">
        <v>845</v>
      </c>
      <c r="I3844" s="373"/>
      <c r="J3844" s="379"/>
      <c r="K3844" s="373"/>
      <c r="L3844" s="379"/>
      <c r="M3844" s="60">
        <v>200000</v>
      </c>
      <c r="N3844" s="61" t="s">
        <v>101</v>
      </c>
      <c r="O3844" s="61" t="s">
        <v>26</v>
      </c>
      <c r="P3844" s="75" t="str">
        <f>IF(AND('331-CT'!$E$7=TH!H4715,OR(N3844="331",O3844="331")),"x","")</f>
        <v/>
      </c>
      <c r="Q3844" s="75" t="str">
        <f>IF(AND(B3844='111'!$L$11,OR($N3844=$Q$7,$O3844=$Q$7)),"x","")</f>
        <v/>
      </c>
      <c r="R3844" s="75" t="str">
        <f>IF(AND($N3844=$Q$7,$B3844&lt;'111'!$L$11),"x","")</f>
        <v/>
      </c>
      <c r="S3844" s="75" t="str">
        <f>IF(AND($O3844=$Q$7,$B3844&lt;'111'!$L$11),"x","")</f>
        <v/>
      </c>
      <c r="T3844" s="75" t="str">
        <f>IF(ISERROR(FIND('112'!$M$9,G3844,1)),"",IF((AND(FIND('112'!$M$9,G3844,1)&gt;=1,B3844='112'!$K$9,OR($N3844='112'!$I$6,$O3844='112'!$I$6))),"x",""))</f>
        <v/>
      </c>
      <c r="U3844" s="75" t="str">
        <f>IF(ISERROR(FIND('112'!$M$9,G3844,1)),"",IF((AND(LEFT(G3844,2)=LEFT('112'!$M$9,2),B3844&lt;'112'!$K$9,$N3844='112'!$I$6)),"x",""))</f>
        <v/>
      </c>
      <c r="V3844" s="75" t="str">
        <f>IF(ISERROR(FIND('112'!$M$9,G3844,1)),"",IF((AND(RIGHT(G3844,2)=RIGHT('112'!$M$9,2),B3844&lt;'112'!$K$9,$O3844='112'!$I$6)),"x",""))</f>
        <v/>
      </c>
      <c r="W3844" s="75" t="str">
        <f>IF(AND('341-CT'!$H$9=H3844,OR(LEFT(N3844,3)=$W$7,LEFT(O3844,3)=$W$7)),"x","")</f>
        <v/>
      </c>
      <c r="X3844" s="75" t="str">
        <f>IF(OR(TH!N4715=TH!$X$7,O3844=TH!$X$7),"x","")</f>
        <v/>
      </c>
      <c r="Y3844" s="75" t="str">
        <f>IF(AND(OR(N3844="131",O3844="131"),H3844='131-CT'!$H$9),"x","")</f>
        <v/>
      </c>
      <c r="Z3844" s="75"/>
      <c r="AA3844" s="75" t="str">
        <f>IF(AND(MONTH(E3844)='IN-NX'!$J$5,'IN-NX'!$D$7=D3844),"x","")</f>
        <v/>
      </c>
      <c r="AB3844" s="75" t="str">
        <f>IF(AND(OR(LEFT(TH!N4715,2)="15",LEFT(TH!O4715,2)="15"),LEFT(TH!O4715,3)&lt;&gt;"111",'152-CT'!$J$8=TH!F4715),"x","")</f>
        <v/>
      </c>
      <c r="AC3844" s="75" t="str">
        <f>IF(AND(OR(LEFT(TH!N4715,2)="15",LEFT(TH!O4715,2)="15"),TK!$E$7=TH!F4715),"x","")</f>
        <v/>
      </c>
      <c r="AD3844" s="75" t="str">
        <f>IF(AND(N3844="1521",MONTH(C3844)='BK-NL'!$M$11),"x","")</f>
        <v/>
      </c>
    </row>
    <row r="3845" spans="1:30" ht="16.5" customHeight="1">
      <c r="A3845" s="309" t="str">
        <f>IF(B3845&lt;&gt;"",IF(AND(B3845='IN-TC'!$S$4,OR(TH!N3843="1111",TH!O3843="1111")),TH!D3843,""),"")</f>
        <v/>
      </c>
      <c r="B3845" s="1169">
        <f t="shared" si="1304"/>
        <v>3</v>
      </c>
      <c r="C3845" s="292">
        <f t="shared" si="1305"/>
        <v>42824</v>
      </c>
      <c r="D3845" s="59" t="s">
        <v>902</v>
      </c>
      <c r="E3845" s="59">
        <v>42824</v>
      </c>
      <c r="F3845" s="67" t="s">
        <v>1216</v>
      </c>
      <c r="G3845" s="62" t="s">
        <v>585</v>
      </c>
      <c r="H3845" s="311" t="s">
        <v>845</v>
      </c>
      <c r="I3845" s="373"/>
      <c r="J3845" s="379"/>
      <c r="K3845" s="373"/>
      <c r="L3845" s="379"/>
      <c r="M3845" s="60">
        <v>20000</v>
      </c>
      <c r="N3845" s="61" t="s">
        <v>9</v>
      </c>
      <c r="O3845" s="61" t="s">
        <v>26</v>
      </c>
      <c r="P3845" s="75" t="str">
        <f>IF(AND('331-CT'!$E$7=TH!H4716,OR(N3845="331",O3845="331")),"x","")</f>
        <v/>
      </c>
      <c r="Q3845" s="75" t="str">
        <f>IF(AND(B3845='111'!$L$11,OR($N3845=$Q$7,$O3845=$Q$7)),"x","")</f>
        <v/>
      </c>
      <c r="R3845" s="75" t="str">
        <f>IF(AND($N3845=$Q$7,$B3845&lt;'111'!$L$11),"x","")</f>
        <v/>
      </c>
      <c r="S3845" s="75" t="str">
        <f>IF(AND($O3845=$Q$7,$B3845&lt;'111'!$L$11),"x","")</f>
        <v/>
      </c>
      <c r="T3845" s="75" t="str">
        <f>IF(ISERROR(FIND('112'!$M$9,G3845,1)),"",IF((AND(FIND('112'!$M$9,G3845,1)&gt;=1,B3845='112'!$K$9,OR($N3845='112'!$I$6,$O3845='112'!$I$6))),"x",""))</f>
        <v/>
      </c>
      <c r="U3845" s="75" t="str">
        <f>IF(ISERROR(FIND('112'!$M$9,G3845,1)),"",IF((AND(LEFT(G3845,2)=LEFT('112'!$M$9,2),B3845&lt;'112'!$K$9,$N3845='112'!$I$6)),"x",""))</f>
        <v/>
      </c>
      <c r="V3845" s="75" t="str">
        <f>IF(ISERROR(FIND('112'!$M$9,G3845,1)),"",IF((AND(RIGHT(G3845,2)=RIGHT('112'!$M$9,2),B3845&lt;'112'!$K$9,$O3845='112'!$I$6)),"x",""))</f>
        <v/>
      </c>
      <c r="W3845" s="75" t="str">
        <f>IF(AND('341-CT'!$H$9=H3845,OR(LEFT(N3845,3)=$W$7,LEFT(O3845,3)=$W$7)),"x","")</f>
        <v/>
      </c>
      <c r="X3845" s="75" t="str">
        <f>IF(OR(TH!N4716=TH!$X$7,O3845=TH!$X$7),"x","")</f>
        <v/>
      </c>
      <c r="Y3845" s="75" t="str">
        <f>IF(AND(OR(N3845="131",O3845="131"),H3845='131-CT'!$H$9),"x","")</f>
        <v/>
      </c>
      <c r="Z3845" s="75"/>
      <c r="AA3845" s="75" t="str">
        <f>IF(AND(MONTH(E3845)='IN-NX'!$J$5,'IN-NX'!$D$7=D3845),"x","")</f>
        <v/>
      </c>
      <c r="AB3845" s="75" t="str">
        <f>IF(AND(OR(LEFT(TH!N4716,2)="15",LEFT(TH!O4716,2)="15"),LEFT(TH!O4716,3)&lt;&gt;"111",'152-CT'!$J$8=TH!F4716),"x","")</f>
        <v/>
      </c>
      <c r="AC3845" s="75" t="str">
        <f>IF(AND(OR(LEFT(TH!N4716,2)="15",LEFT(TH!O4716,2)="15"),TK!$E$7=TH!F4716),"x","")</f>
        <v/>
      </c>
      <c r="AD3845" s="75" t="str">
        <f>IF(AND(N3845="1521",MONTH(C3845)='BK-NL'!$M$11),"x","")</f>
        <v/>
      </c>
    </row>
    <row r="3846" spans="1:30" ht="16.5" customHeight="1">
      <c r="A3846" s="309" t="str">
        <f>IF(B3846&lt;&gt;"",IF(AND(B3846='IN-TC'!$S$4,OR(TH!N3844="1111",TH!O3844="1111")),TH!D3844,""),"")</f>
        <v/>
      </c>
      <c r="B3846" s="1169">
        <f t="shared" si="1304"/>
        <v>3</v>
      </c>
      <c r="C3846" s="292">
        <f t="shared" si="1305"/>
        <v>42825</v>
      </c>
      <c r="D3846" s="292" t="s">
        <v>1951</v>
      </c>
      <c r="E3846" s="929">
        <v>42825</v>
      </c>
      <c r="F3846" s="73" t="s">
        <v>1165</v>
      </c>
      <c r="G3846" s="931" t="s">
        <v>1343</v>
      </c>
      <c r="H3846" s="294" t="s">
        <v>797</v>
      </c>
      <c r="I3846" s="371"/>
      <c r="J3846" s="932"/>
      <c r="K3846" s="371"/>
      <c r="L3846" s="377"/>
      <c r="M3846" s="933">
        <v>17830450</v>
      </c>
      <c r="N3846" s="934" t="s">
        <v>8</v>
      </c>
      <c r="O3846" s="934" t="s">
        <v>63</v>
      </c>
      <c r="P3846" s="75" t="str">
        <f>IF(AND('331-CT'!$E$7=TH!H3555,OR(N3846="331",O3846="331")),"x","")</f>
        <v/>
      </c>
      <c r="Q3846" s="75" t="str">
        <f>IF(AND(B3846='111'!$L$11,OR($N3846=$Q$7,$O3846=$Q$7)),"x","")</f>
        <v/>
      </c>
      <c r="R3846" s="75" t="str">
        <f>IF(AND($N3846=$Q$7,$B3846&lt;'111'!$L$11),"x","")</f>
        <v/>
      </c>
      <c r="S3846" s="75" t="str">
        <f>IF(AND($O3846=$Q$7,$B3846&lt;'111'!$L$11),"x","")</f>
        <v>x</v>
      </c>
      <c r="T3846" s="75" t="str">
        <f>IF(ISERROR(FIND('112'!$M$9,G3846,1)),"",IF((AND(FIND('112'!$M$9,G3846,1)&gt;=1,B3846='112'!$K$9,OR($N3846='112'!$I$6,$O3846='112'!$I$6))),"x",""))</f>
        <v/>
      </c>
      <c r="U3846" s="75" t="str">
        <f>IF(ISERROR(FIND('112'!$M$9,G3846,1)),"",IF((AND(LEFT(G3846,2)=LEFT('112'!$M$9,2),B3846&lt;'112'!$K$9,$N3846='112'!$I$6)),"x",""))</f>
        <v/>
      </c>
      <c r="V3846" s="75" t="str">
        <f>IF(ISERROR(FIND('112'!$M$9,G3846,1)),"",IF((AND(RIGHT(G3846,2)=RIGHT('112'!$M$9,2),B3846&lt;'112'!$K$9,$O3846='112'!$I$6)),"x",""))</f>
        <v/>
      </c>
      <c r="W3846" s="75" t="str">
        <f>IF(AND('341-CT'!$H$9=H3846,OR(LEFT(N3846,3)=$W$7,LEFT(O3846,3)=$W$7)),"x","")</f>
        <v/>
      </c>
      <c r="X3846" s="75" t="str">
        <f>IF(OR(TH!N3555=TH!$X$7,O3846=TH!$X$7),"x","")</f>
        <v/>
      </c>
      <c r="Y3846" s="75" t="str">
        <f>IF(AND(OR(N3846="131",O3846="131"),H3846='131-CT'!$H$9),"x","")</f>
        <v/>
      </c>
      <c r="Z3846" s="75"/>
      <c r="AA3846" s="75" t="str">
        <f>IF(AND(MONTH(E3846)='IN-NX'!$J$5,'IN-NX'!$D$7=D3846),"x","")</f>
        <v/>
      </c>
      <c r="AB3846" s="75" t="str">
        <f>IF(AND(OR(LEFT(TH!N3555,2)="15",LEFT(TH!O3555,2)="15"),LEFT(TH!O3555,3)&lt;&gt;"111",'152-CT'!$J$8=TH!F3555),"x","")</f>
        <v/>
      </c>
      <c r="AC3846" s="75" t="str">
        <f>IF(AND(OR(LEFT(TH!N3555,2)="15",LEFT(TH!O3555,2)="15"),TK!$E$7=TH!F3555),"x","")</f>
        <v/>
      </c>
      <c r="AD3846" s="75" t="str">
        <f>IF(AND(N3846="1521",MONTH(C3846)='BK-NL'!$M$11),"x","")</f>
        <v/>
      </c>
    </row>
    <row r="3847" spans="1:30" ht="16.5" customHeight="1">
      <c r="A3847" s="309" t="str">
        <f>IF(B3847&lt;&gt;"",IF(AND(B3847='IN-TC'!$S$4,OR(TH!N3845="1111",TH!O3845="1111")),TH!D3845,""),"")</f>
        <v/>
      </c>
      <c r="B3847" s="1169">
        <f t="shared" si="1304"/>
        <v>3</v>
      </c>
      <c r="C3847" s="292">
        <f t="shared" si="1305"/>
        <v>42825</v>
      </c>
      <c r="D3847" s="292" t="s">
        <v>1952</v>
      </c>
      <c r="E3847" s="292">
        <v>42825</v>
      </c>
      <c r="F3847" s="67" t="s">
        <v>890</v>
      </c>
      <c r="G3847" s="925" t="s">
        <v>1248</v>
      </c>
      <c r="H3847" s="294" t="s">
        <v>893</v>
      </c>
      <c r="I3847" s="373"/>
      <c r="J3847" s="926"/>
      <c r="K3847" s="373"/>
      <c r="L3847" s="379"/>
      <c r="M3847" s="927">
        <v>5484154</v>
      </c>
      <c r="N3847" s="295" t="s">
        <v>101</v>
      </c>
      <c r="O3847" s="295" t="s">
        <v>63</v>
      </c>
      <c r="P3847" s="75" t="str">
        <f>IF(AND('331-CT'!$E$7=TH!H3556,OR(N3847="331",O3847="331")),"x","")</f>
        <v/>
      </c>
      <c r="Q3847" s="75" t="str">
        <f>IF(AND(B3847='111'!$L$11,OR($N3847=$Q$7,$O3847=$Q$7)),"x","")</f>
        <v/>
      </c>
      <c r="R3847" s="75" t="str">
        <f>IF(AND($N3847=$Q$7,$B3847&lt;'111'!$L$11),"x","")</f>
        <v/>
      </c>
      <c r="S3847" s="75" t="str">
        <f>IF(AND($O3847=$Q$7,$B3847&lt;'111'!$L$11),"x","")</f>
        <v>x</v>
      </c>
      <c r="T3847" s="75" t="str">
        <f>IF(ISERROR(FIND('112'!$M$9,G3847,1)),"",IF((AND(FIND('112'!$M$9,G3847,1)&gt;=1,B3847='112'!$K$9,OR($N3847='112'!$I$6,$O3847='112'!$I$6))),"x",""))</f>
        <v/>
      </c>
      <c r="U3847" s="75" t="str">
        <f>IF(ISERROR(FIND('112'!$M$9,G3847,1)),"",IF((AND(LEFT(G3847,2)=LEFT('112'!$M$9,2),B3847&lt;'112'!$K$9,$N3847='112'!$I$6)),"x",""))</f>
        <v/>
      </c>
      <c r="V3847" s="75" t="str">
        <f>IF(ISERROR(FIND('112'!$M$9,G3847,1)),"",IF((AND(RIGHT(G3847,2)=RIGHT('112'!$M$9,2),B3847&lt;'112'!$K$9,$O3847='112'!$I$6)),"x",""))</f>
        <v/>
      </c>
      <c r="W3847" s="75" t="str">
        <f>IF(AND('341-CT'!$H$9=H3847,OR(LEFT(N3847,3)=$W$7,LEFT(O3847,3)=$W$7)),"x","")</f>
        <v/>
      </c>
      <c r="X3847" s="75" t="str">
        <f>IF(OR(TH!N3556=TH!$X$7,O3847=TH!$X$7),"x","")</f>
        <v/>
      </c>
      <c r="Y3847" s="75" t="str">
        <f>IF(AND(OR(N3847="131",O3847="131"),H3847='131-CT'!$H$9),"x","")</f>
        <v/>
      </c>
      <c r="Z3847" s="75"/>
      <c r="AA3847" s="75" t="str">
        <f>IF(AND(MONTH(E3847)='IN-NX'!$J$5,'IN-NX'!$D$7=D3847),"x","")</f>
        <v/>
      </c>
      <c r="AB3847" s="75" t="str">
        <f>IF(AND(OR(LEFT(TH!N3556,2)="15",LEFT(TH!O3556,2)="15"),LEFT(TH!O3556,3)&lt;&gt;"111",'152-CT'!$J$8=TH!F3556),"x","")</f>
        <v/>
      </c>
      <c r="AC3847" s="75" t="str">
        <f>IF(AND(OR(LEFT(TH!N3556,2)="15",LEFT(TH!O3556,2)="15"),TK!$E$7=TH!F3556),"x","")</f>
        <v/>
      </c>
      <c r="AD3847" s="75" t="str">
        <f>IF(AND(N3847="1521",MONTH(C3847)='BK-NL'!$M$11),"x","")</f>
        <v/>
      </c>
    </row>
    <row r="3848" spans="1:30" ht="16.5" customHeight="1">
      <c r="A3848" s="309" t="str">
        <f>IF(B3848&lt;&gt;"",IF(AND(B3848='IN-TC'!$S$4,OR(TH!N3846="1111",TH!O3846="1111")),TH!D3846,""),"")</f>
        <v>C37</v>
      </c>
      <c r="B3848" s="1169">
        <f t="shared" si="1304"/>
        <v>3</v>
      </c>
      <c r="C3848" s="292">
        <f t="shared" si="1305"/>
        <v>42825</v>
      </c>
      <c r="D3848" s="292" t="s">
        <v>1952</v>
      </c>
      <c r="E3848" s="292">
        <v>42825</v>
      </c>
      <c r="F3848" s="67" t="s">
        <v>891</v>
      </c>
      <c r="G3848" s="925" t="s">
        <v>1248</v>
      </c>
      <c r="H3848" s="294" t="s">
        <v>893</v>
      </c>
      <c r="I3848" s="373"/>
      <c r="J3848" s="926"/>
      <c r="K3848" s="373"/>
      <c r="L3848" s="379"/>
      <c r="M3848" s="927">
        <v>548416</v>
      </c>
      <c r="N3848" s="295" t="s">
        <v>9</v>
      </c>
      <c r="O3848" s="295" t="s">
        <v>63</v>
      </c>
      <c r="P3848" s="75" t="str">
        <f>IF(AND('331-CT'!$E$7=TH!H3557,OR(N3848="331",O3848="331")),"x","")</f>
        <v/>
      </c>
      <c r="Q3848" s="75" t="str">
        <f>IF(AND(B3848='111'!$L$11,OR($N3848=$Q$7,$O3848=$Q$7)),"x","")</f>
        <v/>
      </c>
      <c r="R3848" s="75" t="str">
        <f>IF(AND($N3848=$Q$7,$B3848&lt;'111'!$L$11),"x","")</f>
        <v/>
      </c>
      <c r="S3848" s="75" t="str">
        <f>IF(AND($O3848=$Q$7,$B3848&lt;'111'!$L$11),"x","")</f>
        <v>x</v>
      </c>
      <c r="T3848" s="75" t="str">
        <f>IF(ISERROR(FIND('112'!$M$9,G3848,1)),"",IF((AND(FIND('112'!$M$9,G3848,1)&gt;=1,B3848='112'!$K$9,OR($N3848='112'!$I$6,$O3848='112'!$I$6))),"x",""))</f>
        <v/>
      </c>
      <c r="U3848" s="75" t="str">
        <f>IF(ISERROR(FIND('112'!$M$9,G3848,1)),"",IF((AND(LEFT(G3848,2)=LEFT('112'!$M$9,2),B3848&lt;'112'!$K$9,$N3848='112'!$I$6)),"x",""))</f>
        <v/>
      </c>
      <c r="V3848" s="75" t="str">
        <f>IF(ISERROR(FIND('112'!$M$9,G3848,1)),"",IF((AND(RIGHT(G3848,2)=RIGHT('112'!$M$9,2),B3848&lt;'112'!$K$9,$O3848='112'!$I$6)),"x",""))</f>
        <v/>
      </c>
      <c r="W3848" s="75" t="str">
        <f>IF(AND('341-CT'!$H$9=H3848,OR(LEFT(N3848,3)=$W$7,LEFT(O3848,3)=$W$7)),"x","")</f>
        <v/>
      </c>
      <c r="X3848" s="75" t="str">
        <f>IF(OR(TH!N3557=TH!$X$7,O3848=TH!$X$7),"x","")</f>
        <v/>
      </c>
      <c r="Y3848" s="75" t="str">
        <f>IF(AND(OR(N3848="131",O3848="131"),H3848='131-CT'!$H$9),"x","")</f>
        <v/>
      </c>
      <c r="Z3848" s="75"/>
      <c r="AA3848" s="75" t="str">
        <f>IF(AND(MONTH(E3848)='IN-NX'!$J$5,'IN-NX'!$D$7=D3848),"x","")</f>
        <v/>
      </c>
      <c r="AB3848" s="75" t="str">
        <f>IF(AND(OR(LEFT(TH!N3557,2)="15",LEFT(TH!O3557,2)="15"),LEFT(TH!O3557,3)&lt;&gt;"111",'152-CT'!$J$8=TH!F3557),"x","")</f>
        <v/>
      </c>
      <c r="AC3848" s="75" t="str">
        <f>IF(AND(OR(LEFT(TH!N3557,2)="15",LEFT(TH!O3557,2)="15"),TK!$E$7=TH!F3557),"x","")</f>
        <v/>
      </c>
      <c r="AD3848" s="75" t="str">
        <f>IF(AND(N3848="1521",MONTH(C3848)='BK-NL'!$M$11),"x","")</f>
        <v/>
      </c>
    </row>
    <row r="3849" spans="1:30" ht="16.5" customHeight="1">
      <c r="A3849" s="309" t="str">
        <f>IF(B3849&lt;&gt;"",IF(AND(B3849='IN-TC'!$S$4,OR(TH!N3847="1111",TH!O3847="1111")),TH!D3847,""),"")</f>
        <v>C38</v>
      </c>
      <c r="B3849" s="1169">
        <f t="shared" si="1304"/>
        <v>3</v>
      </c>
      <c r="C3849" s="292">
        <f t="shared" si="1305"/>
        <v>42825</v>
      </c>
      <c r="D3849" s="292" t="s">
        <v>1953</v>
      </c>
      <c r="E3849" s="292">
        <v>42825</v>
      </c>
      <c r="F3849" s="67" t="s">
        <v>1249</v>
      </c>
      <c r="G3849" s="925" t="s">
        <v>1248</v>
      </c>
      <c r="H3849" s="294" t="s">
        <v>1032</v>
      </c>
      <c r="I3849" s="373"/>
      <c r="J3849" s="926"/>
      <c r="K3849" s="373"/>
      <c r="L3849" s="379"/>
      <c r="M3849" s="927">
        <v>229885</v>
      </c>
      <c r="N3849" s="295" t="s">
        <v>101</v>
      </c>
      <c r="O3849" s="295" t="s">
        <v>63</v>
      </c>
      <c r="P3849" s="75" t="str">
        <f>IF(AND('331-CT'!$E$7=TH!H3558,OR(N3849="331",O3849="331")),"x","")</f>
        <v/>
      </c>
      <c r="Q3849" s="75" t="str">
        <f>IF(AND(B3849='111'!$L$11,OR($N3849=$Q$7,$O3849=$Q$7)),"x","")</f>
        <v/>
      </c>
      <c r="R3849" s="75" t="str">
        <f>IF(AND($N3849=$Q$7,$B3849&lt;'111'!$L$11),"x","")</f>
        <v/>
      </c>
      <c r="S3849" s="75" t="str">
        <f>IF(AND($O3849=$Q$7,$B3849&lt;'111'!$L$11),"x","")</f>
        <v>x</v>
      </c>
      <c r="T3849" s="75" t="str">
        <f>IF(ISERROR(FIND('112'!$M$9,G3849,1)),"",IF((AND(FIND('112'!$M$9,G3849,1)&gt;=1,B3849='112'!$K$9,OR($N3849='112'!$I$6,$O3849='112'!$I$6))),"x",""))</f>
        <v/>
      </c>
      <c r="U3849" s="75" t="str">
        <f>IF(ISERROR(FIND('112'!$M$9,G3849,1)),"",IF((AND(LEFT(G3849,2)=LEFT('112'!$M$9,2),B3849&lt;'112'!$K$9,$N3849='112'!$I$6)),"x",""))</f>
        <v/>
      </c>
      <c r="V3849" s="75" t="str">
        <f>IF(ISERROR(FIND('112'!$M$9,G3849,1)),"",IF((AND(RIGHT(G3849,2)=RIGHT('112'!$M$9,2),B3849&lt;'112'!$K$9,$O3849='112'!$I$6)),"x",""))</f>
        <v/>
      </c>
      <c r="W3849" s="75" t="str">
        <f>IF(AND('341-CT'!$H$9=H3849,OR(LEFT(N3849,3)=$W$7,LEFT(O3849,3)=$W$7)),"x","")</f>
        <v/>
      </c>
      <c r="X3849" s="75" t="str">
        <f>IF(OR(TH!N3558=TH!$X$7,O3849=TH!$X$7),"x","")</f>
        <v/>
      </c>
      <c r="Y3849" s="75" t="str">
        <f>IF(AND(OR(N3849="131",O3849="131"),H3849='131-CT'!$H$9),"x","")</f>
        <v/>
      </c>
      <c r="Z3849" s="75"/>
      <c r="AA3849" s="75" t="str">
        <f>IF(AND(MONTH(E3849)='IN-NX'!$J$5,'IN-NX'!$D$7=D3849),"x","")</f>
        <v/>
      </c>
      <c r="AB3849" s="75" t="str">
        <f>IF(AND(OR(LEFT(TH!N3558,2)="15",LEFT(TH!O3558,2)="15"),LEFT(TH!O3558,3)&lt;&gt;"111",'152-CT'!$J$8=TH!F3558),"x","")</f>
        <v/>
      </c>
      <c r="AC3849" s="75" t="str">
        <f>IF(AND(OR(LEFT(TH!N3558,2)="15",LEFT(TH!O3558,2)="15"),TK!$E$7=TH!F3558),"x","")</f>
        <v/>
      </c>
      <c r="AD3849" s="75" t="str">
        <f>IF(AND(N3849="1521",MONTH(C3849)='BK-NL'!$M$11),"x","")</f>
        <v/>
      </c>
    </row>
    <row r="3850" spans="1:30" ht="16.5" customHeight="1">
      <c r="A3850" s="309" t="str">
        <f>IF(B3850&lt;&gt;"",IF(AND(B3850='IN-TC'!$S$4,OR(TH!N3848="1111",TH!O3848="1111")),TH!D3848,""),"")</f>
        <v>C38</v>
      </c>
      <c r="B3850" s="1169">
        <f t="shared" si="1304"/>
        <v>3</v>
      </c>
      <c r="C3850" s="292">
        <f t="shared" si="1305"/>
        <v>42825</v>
      </c>
      <c r="D3850" s="292" t="s">
        <v>1953</v>
      </c>
      <c r="E3850" s="292">
        <v>42825</v>
      </c>
      <c r="F3850" s="1127" t="s">
        <v>1250</v>
      </c>
      <c r="G3850" s="925" t="s">
        <v>1248</v>
      </c>
      <c r="H3850" s="294" t="s">
        <v>1032</v>
      </c>
      <c r="I3850" s="373"/>
      <c r="J3850" s="926"/>
      <c r="K3850" s="373"/>
      <c r="L3850" s="379"/>
      <c r="M3850" s="927">
        <v>22989</v>
      </c>
      <c r="N3850" s="295" t="s">
        <v>9</v>
      </c>
      <c r="O3850" s="295" t="s">
        <v>63</v>
      </c>
      <c r="P3850" s="75" t="str">
        <f>IF(AND('331-CT'!$E$7=TH!H3559,OR(N3850="331",O3850="331")),"x","")</f>
        <v/>
      </c>
      <c r="Q3850" s="75" t="str">
        <f>IF(AND(B3850='111'!$L$11,OR($N3850=$Q$7,$O3850=$Q$7)),"x","")</f>
        <v/>
      </c>
      <c r="R3850" s="75" t="str">
        <f>IF(AND($N3850=$Q$7,$B3850&lt;'111'!$L$11),"x","")</f>
        <v/>
      </c>
      <c r="S3850" s="75" t="str">
        <f>IF(AND($O3850=$Q$7,$B3850&lt;'111'!$L$11),"x","")</f>
        <v>x</v>
      </c>
      <c r="T3850" s="75" t="str">
        <f>IF(ISERROR(FIND('112'!$M$9,G3850,1)),"",IF((AND(FIND('112'!$M$9,G3850,1)&gt;=1,B3850='112'!$K$9,OR($N3850='112'!$I$6,$O3850='112'!$I$6))),"x",""))</f>
        <v/>
      </c>
      <c r="U3850" s="75" t="str">
        <f>IF(ISERROR(FIND('112'!$M$9,G3850,1)),"",IF((AND(LEFT(G3850,2)=LEFT('112'!$M$9,2),B3850&lt;'112'!$K$9,$N3850='112'!$I$6)),"x",""))</f>
        <v/>
      </c>
      <c r="V3850" s="75" t="str">
        <f>IF(ISERROR(FIND('112'!$M$9,G3850,1)),"",IF((AND(RIGHT(G3850,2)=RIGHT('112'!$M$9,2),B3850&lt;'112'!$K$9,$O3850='112'!$I$6)),"x",""))</f>
        <v/>
      </c>
      <c r="W3850" s="75" t="str">
        <f>IF(AND('341-CT'!$H$9=H3850,OR(LEFT(N3850,3)=$W$7,LEFT(O3850,3)=$W$7)),"x","")</f>
        <v/>
      </c>
      <c r="X3850" s="75" t="str">
        <f>IF(OR(TH!N3559=TH!$X$7,O3850=TH!$X$7),"x","")</f>
        <v/>
      </c>
      <c r="Y3850" s="75" t="str">
        <f>IF(AND(OR(N3850="131",O3850="131"),H3850='131-CT'!$H$9),"x","")</f>
        <v/>
      </c>
      <c r="Z3850" s="75"/>
      <c r="AA3850" s="75" t="str">
        <f>IF(AND(MONTH(E3850)='IN-NX'!$J$5,'IN-NX'!$D$7=D3850),"x","")</f>
        <v/>
      </c>
      <c r="AB3850" s="75" t="str">
        <f>IF(AND(OR(LEFT(TH!N3559,2)="15",LEFT(TH!O3559,2)="15"),LEFT(TH!O3559,3)&lt;&gt;"111",'152-CT'!$J$8=TH!F3559),"x","")</f>
        <v/>
      </c>
      <c r="AC3850" s="75" t="str">
        <f>IF(AND(OR(LEFT(TH!N3559,2)="15",LEFT(TH!O3559,2)="15"),TK!$E$7=TH!F3559),"x","")</f>
        <v/>
      </c>
      <c r="AD3850" s="75" t="str">
        <f>IF(AND(N3850="1521",MONTH(C3850)='BK-NL'!$M$11),"x","")</f>
        <v/>
      </c>
    </row>
    <row r="3851" spans="1:30" ht="16.5" customHeight="1">
      <c r="A3851" s="309" t="str">
        <f>IF(B3851&lt;&gt;"",IF(AND(B3851='IN-TC'!$S$4,OR(TH!N3849="1111",TH!O3849="1111")),TH!D3849,""),"")</f>
        <v>C39</v>
      </c>
      <c r="B3851" s="1169">
        <f t="shared" si="1304"/>
        <v>3</v>
      </c>
      <c r="C3851" s="292">
        <f t="shared" si="1305"/>
        <v>42825</v>
      </c>
      <c r="D3851" s="292" t="s">
        <v>1954</v>
      </c>
      <c r="E3851" s="929">
        <v>42825</v>
      </c>
      <c r="F3851" s="73" t="s">
        <v>1165</v>
      </c>
      <c r="G3851" s="931" t="s">
        <v>1163</v>
      </c>
      <c r="H3851" s="294" t="s">
        <v>796</v>
      </c>
      <c r="I3851" s="371"/>
      <c r="J3851" s="932"/>
      <c r="K3851" s="371"/>
      <c r="L3851" s="377"/>
      <c r="M3851" s="933">
        <v>18980500</v>
      </c>
      <c r="N3851" s="934" t="s">
        <v>8</v>
      </c>
      <c r="O3851" s="934" t="s">
        <v>63</v>
      </c>
      <c r="P3851" s="75" t="str">
        <f>IF(AND('331-CT'!$E$7=TH!H3560,OR(N3851="331",O3851="331")),"x","")</f>
        <v/>
      </c>
      <c r="Q3851" s="75" t="str">
        <f>IF(AND(B3851='111'!$L$11,OR($N3851=$Q$7,$O3851=$Q$7)),"x","")</f>
        <v/>
      </c>
      <c r="R3851" s="75" t="str">
        <f>IF(AND($N3851=$Q$7,$B3851&lt;'111'!$L$11),"x","")</f>
        <v/>
      </c>
      <c r="S3851" s="75" t="str">
        <f>IF(AND($O3851=$Q$7,$B3851&lt;'111'!$L$11),"x","")</f>
        <v>x</v>
      </c>
      <c r="T3851" s="75" t="str">
        <f>IF(ISERROR(FIND('112'!$M$9,G3851,1)),"",IF((AND(FIND('112'!$M$9,G3851,1)&gt;=1,B3851='112'!$K$9,OR($N3851='112'!$I$6,$O3851='112'!$I$6))),"x",""))</f>
        <v/>
      </c>
      <c r="U3851" s="75" t="str">
        <f>IF(ISERROR(FIND('112'!$M$9,G3851,1)),"",IF((AND(LEFT(G3851,2)=LEFT('112'!$M$9,2),B3851&lt;'112'!$K$9,$N3851='112'!$I$6)),"x",""))</f>
        <v/>
      </c>
      <c r="V3851" s="75" t="str">
        <f>IF(ISERROR(FIND('112'!$M$9,G3851,1)),"",IF((AND(RIGHT(G3851,2)=RIGHT('112'!$M$9,2),B3851&lt;'112'!$K$9,$O3851='112'!$I$6)),"x",""))</f>
        <v/>
      </c>
      <c r="W3851" s="75" t="str">
        <f>IF(AND('341-CT'!$H$9=H3851,OR(LEFT(N3851,3)=$W$7,LEFT(O3851,3)=$W$7)),"x","")</f>
        <v/>
      </c>
      <c r="X3851" s="75" t="str">
        <f>IF(OR(TH!N3560=TH!$X$7,O3851=TH!$X$7),"x","")</f>
        <v/>
      </c>
      <c r="Y3851" s="75" t="str">
        <f>IF(AND(OR(N3851="131",O3851="131"),H3851='131-CT'!$H$9),"x","")</f>
        <v/>
      </c>
      <c r="Z3851" s="75"/>
      <c r="AA3851" s="75" t="str">
        <f>IF(AND(MONTH(E3851)='IN-NX'!$J$5,'IN-NX'!$D$7=D3851),"x","")</f>
        <v/>
      </c>
      <c r="AB3851" s="75" t="str">
        <f>IF(AND(OR(LEFT(TH!N3560,2)="15",LEFT(TH!O3560,2)="15"),LEFT(TH!O3560,3)&lt;&gt;"111",'152-CT'!$J$8=TH!F3560),"x","")</f>
        <v/>
      </c>
      <c r="AC3851" s="75" t="str">
        <f>IF(AND(OR(LEFT(TH!N3560,2)="15",LEFT(TH!O3560,2)="15"),TK!$E$7=TH!F3560),"x","")</f>
        <v/>
      </c>
      <c r="AD3851" s="75" t="str">
        <f>IF(AND(N3851="1521",MONTH(C3851)='BK-NL'!$M$11),"x","")</f>
        <v/>
      </c>
    </row>
    <row r="3852" spans="1:30" ht="16.5" customHeight="1">
      <c r="A3852" s="309" t="str">
        <f>IF(B3852&lt;&gt;"",IF(AND(B3852='IN-TC'!$S$4,OR(TH!N3850="1111",TH!O3850="1111")),TH!D3850,""),"")</f>
        <v>C39</v>
      </c>
      <c r="B3852" s="1169">
        <f t="shared" si="1304"/>
        <v>3</v>
      </c>
      <c r="C3852" s="292">
        <f t="shared" si="1305"/>
        <v>42825</v>
      </c>
      <c r="D3852" s="292" t="s">
        <v>1955</v>
      </c>
      <c r="E3852" s="292">
        <v>42825</v>
      </c>
      <c r="F3852" s="67" t="s">
        <v>1251</v>
      </c>
      <c r="G3852" s="925"/>
      <c r="H3852" s="294" t="s">
        <v>980</v>
      </c>
      <c r="I3852" s="373"/>
      <c r="J3852" s="926"/>
      <c r="K3852" s="373"/>
      <c r="L3852" s="379"/>
      <c r="M3852" s="927">
        <v>109347239</v>
      </c>
      <c r="N3852" s="295" t="s">
        <v>540</v>
      </c>
      <c r="O3852" s="295" t="s">
        <v>63</v>
      </c>
      <c r="P3852" s="75" t="str">
        <f>IF(AND('331-CT'!$E$7=TH!H3561,OR(N3852="331",O3852="331")),"x","")</f>
        <v/>
      </c>
      <c r="Q3852" s="75" t="str">
        <f>IF(AND(B3852='111'!$L$11,OR($N3852=$Q$7,$O3852=$Q$7)),"x","")</f>
        <v/>
      </c>
      <c r="R3852" s="75" t="str">
        <f>IF(AND($N3852=$Q$7,$B3852&lt;'111'!$L$11),"x","")</f>
        <v/>
      </c>
      <c r="S3852" s="75" t="str">
        <f>IF(AND($O3852=$Q$7,$B3852&lt;'111'!$L$11),"x","")</f>
        <v>x</v>
      </c>
      <c r="T3852" s="75" t="str">
        <f>IF(ISERROR(FIND('112'!$M$9,G3852,1)),"",IF((AND(FIND('112'!$M$9,G3852,1)&gt;=1,B3852='112'!$K$9,OR($N3852='112'!$I$6,$O3852='112'!$I$6))),"x",""))</f>
        <v/>
      </c>
      <c r="U3852" s="75" t="str">
        <f>IF(ISERROR(FIND('112'!$M$9,G3852,1)),"",IF((AND(LEFT(G3852,2)=LEFT('112'!$M$9,2),B3852&lt;'112'!$K$9,$N3852='112'!$I$6)),"x",""))</f>
        <v/>
      </c>
      <c r="V3852" s="75" t="str">
        <f>IF(ISERROR(FIND('112'!$M$9,G3852,1)),"",IF((AND(RIGHT(G3852,2)=RIGHT('112'!$M$9,2),B3852&lt;'112'!$K$9,$O3852='112'!$I$6)),"x",""))</f>
        <v/>
      </c>
      <c r="W3852" s="75" t="str">
        <f>IF(AND('341-CT'!$H$9=H3852,OR(LEFT(N3852,3)=$W$7,LEFT(O3852,3)=$W$7)),"x","")</f>
        <v/>
      </c>
      <c r="X3852" s="75" t="str">
        <f>IF(OR(TH!N3561=TH!$X$7,O3852=TH!$X$7),"x","")</f>
        <v/>
      </c>
      <c r="Y3852" s="75" t="str">
        <f>IF(AND(OR(N3852="131",O3852="131"),H3852='131-CT'!$H$9),"x","")</f>
        <v/>
      </c>
      <c r="Z3852" s="75"/>
      <c r="AA3852" s="75" t="str">
        <f>IF(AND(MONTH(E3852)='IN-NX'!$J$5,'IN-NX'!$D$7=D3852),"x","")</f>
        <v/>
      </c>
      <c r="AB3852" s="75" t="str">
        <f>IF(AND(OR(LEFT(TH!N3561,2)="15",LEFT(TH!O3561,2)="15"),LEFT(TH!O3561,3)&lt;&gt;"111",'152-CT'!$J$8=TH!F3561),"x","")</f>
        <v/>
      </c>
      <c r="AC3852" s="75" t="str">
        <f>IF(AND(OR(LEFT(TH!N3561,2)="15",LEFT(TH!O3561,2)="15"),TK!$E$7=TH!F3561),"x","")</f>
        <v/>
      </c>
      <c r="AD3852" s="75" t="str">
        <f>IF(AND(N3852="1521",MONTH(C3852)='BK-NL'!$M$11),"x","")</f>
        <v/>
      </c>
    </row>
    <row r="3853" spans="1:30" ht="16.5" customHeight="1">
      <c r="A3853" s="309" t="str">
        <f>IF(B3853&lt;&gt;"",IF(AND(B3853='IN-TC'!$S$4,OR(TH!N3851="1111",TH!O3851="1111")),TH!D3851,""),"")</f>
        <v>C40</v>
      </c>
      <c r="B3853" s="1169">
        <f t="shared" si="1304"/>
        <v>3</v>
      </c>
      <c r="C3853" s="292">
        <f t="shared" si="1305"/>
        <v>42825</v>
      </c>
      <c r="D3853" s="292" t="s">
        <v>1956</v>
      </c>
      <c r="E3853" s="292">
        <v>42825</v>
      </c>
      <c r="F3853" s="67" t="s">
        <v>1410</v>
      </c>
      <c r="G3853" s="943" t="s">
        <v>1412</v>
      </c>
      <c r="H3853" s="294" t="s">
        <v>1415</v>
      </c>
      <c r="I3853" s="373"/>
      <c r="J3853" s="926"/>
      <c r="K3853" s="373"/>
      <c r="L3853" s="379"/>
      <c r="M3853" s="927">
        <v>22322000</v>
      </c>
      <c r="N3853" s="295" t="s">
        <v>541</v>
      </c>
      <c r="O3853" s="295" t="s">
        <v>63</v>
      </c>
      <c r="P3853" s="75" t="str">
        <f>IF(AND('331-CT'!$E$7=TH!H3562,OR(N3853="331",O3853="331")),"x","")</f>
        <v/>
      </c>
      <c r="Q3853" s="75" t="str">
        <f>IF(AND(B3853='111'!$L$11,OR($N3853=$Q$7,$O3853=$Q$7)),"x","")</f>
        <v/>
      </c>
      <c r="R3853" s="75" t="str">
        <f>IF(AND($N3853=$Q$7,$B3853&lt;'111'!$L$11),"x","")</f>
        <v/>
      </c>
      <c r="S3853" s="75" t="str">
        <f>IF(AND($O3853=$Q$7,$B3853&lt;'111'!$L$11),"x","")</f>
        <v>x</v>
      </c>
      <c r="T3853" s="75" t="str">
        <f>IF(ISERROR(FIND('112'!$M$9,G3853,1)),"",IF((AND(FIND('112'!$M$9,G3853,1)&gt;=1,B3853='112'!$K$9,OR($N3853='112'!$I$6,$O3853='112'!$I$6))),"x",""))</f>
        <v/>
      </c>
      <c r="U3853" s="75" t="str">
        <f>IF(ISERROR(FIND('112'!$M$9,G3853,1)),"",IF((AND(LEFT(G3853,2)=LEFT('112'!$M$9,2),B3853&lt;'112'!$K$9,$N3853='112'!$I$6)),"x",""))</f>
        <v/>
      </c>
      <c r="V3853" s="75" t="str">
        <f>IF(ISERROR(FIND('112'!$M$9,G3853,1)),"",IF((AND(RIGHT(G3853,2)=RIGHT('112'!$M$9,2),B3853&lt;'112'!$K$9,$O3853='112'!$I$6)),"x",""))</f>
        <v/>
      </c>
      <c r="W3853" s="75" t="str">
        <f>IF(AND('341-CT'!$H$9=H3853,OR(LEFT(N3853,3)=$W$7,LEFT(O3853,3)=$W$7)),"x","")</f>
        <v/>
      </c>
      <c r="X3853" s="75" t="str">
        <f>IF(OR(TH!N3562=TH!$X$7,O3853=TH!$X$7),"x","")</f>
        <v/>
      </c>
      <c r="Y3853" s="75" t="str">
        <f>IF(AND(OR(N3853="131",O3853="131"),H3853='131-CT'!$H$9),"x","")</f>
        <v/>
      </c>
      <c r="Z3853" s="75"/>
      <c r="AA3853" s="75" t="str">
        <f>IF(AND(MONTH(E3853)='IN-NX'!$J$5,'IN-NX'!$D$7=D3853),"x","")</f>
        <v/>
      </c>
      <c r="AB3853" s="75" t="str">
        <f>IF(AND(OR(LEFT(TH!N3562,2)="15",LEFT(TH!O3562,2)="15"),LEFT(TH!O3562,3)&lt;&gt;"111",'152-CT'!$J$8=TH!F3562),"x","")</f>
        <v/>
      </c>
      <c r="AC3853" s="75" t="str">
        <f>IF(AND(OR(LEFT(TH!N3562,2)="15",LEFT(TH!O3562,2)="15"),TK!$E$7=TH!F3562),"x","")</f>
        <v/>
      </c>
      <c r="AD3853" s="75" t="str">
        <f>IF(AND(N3853="1521",MONTH(C3853)='BK-NL'!$M$11),"x","")</f>
        <v/>
      </c>
    </row>
    <row r="3854" spans="1:30" ht="16.5" customHeight="1">
      <c r="A3854" s="309" t="str">
        <f>IF(B3854&lt;&gt;"",IF(AND(B3854='IN-TC'!$S$4,OR(TH!N3852="1111",TH!O3852="1111")),TH!D3852,""),"")</f>
        <v>C41</v>
      </c>
      <c r="B3854" s="1169">
        <f t="shared" si="1304"/>
        <v>3</v>
      </c>
      <c r="C3854" s="292">
        <f t="shared" si="1305"/>
        <v>42825</v>
      </c>
      <c r="D3854" s="292" t="s">
        <v>1957</v>
      </c>
      <c r="E3854" s="292">
        <v>42825</v>
      </c>
      <c r="F3854" s="67" t="s">
        <v>1410</v>
      </c>
      <c r="G3854" s="943" t="s">
        <v>1412</v>
      </c>
      <c r="H3854" s="294" t="s">
        <v>1416</v>
      </c>
      <c r="I3854" s="373"/>
      <c r="J3854" s="926"/>
      <c r="K3854" s="373"/>
      <c r="L3854" s="379"/>
      <c r="M3854" s="927">
        <v>22322000</v>
      </c>
      <c r="N3854" s="295" t="s">
        <v>541</v>
      </c>
      <c r="O3854" s="295" t="s">
        <v>63</v>
      </c>
      <c r="P3854" s="75" t="str">
        <f>IF(AND('331-CT'!$E$7=TH!H3563,OR(N3854="331",O3854="331")),"x","")</f>
        <v/>
      </c>
      <c r="Q3854" s="75" t="str">
        <f>IF(AND(B3854='111'!$L$11,OR($N3854=$Q$7,$O3854=$Q$7)),"x","")</f>
        <v/>
      </c>
      <c r="R3854" s="75" t="str">
        <f>IF(AND($N3854=$Q$7,$B3854&lt;'111'!$L$11),"x","")</f>
        <v/>
      </c>
      <c r="S3854" s="75" t="str">
        <f>IF(AND($O3854=$Q$7,$B3854&lt;'111'!$L$11),"x","")</f>
        <v>x</v>
      </c>
      <c r="T3854" s="75" t="str">
        <f>IF(ISERROR(FIND('112'!$M$9,G3854,1)),"",IF((AND(FIND('112'!$M$9,G3854,1)&gt;=1,B3854='112'!$K$9,OR($N3854='112'!$I$6,$O3854='112'!$I$6))),"x",""))</f>
        <v/>
      </c>
      <c r="U3854" s="75" t="str">
        <f>IF(ISERROR(FIND('112'!$M$9,G3854,1)),"",IF((AND(LEFT(G3854,2)=LEFT('112'!$M$9,2),B3854&lt;'112'!$K$9,$N3854='112'!$I$6)),"x",""))</f>
        <v/>
      </c>
      <c r="V3854" s="75" t="str">
        <f>IF(ISERROR(FIND('112'!$M$9,G3854,1)),"",IF((AND(RIGHT(G3854,2)=RIGHT('112'!$M$9,2),B3854&lt;'112'!$K$9,$O3854='112'!$I$6)),"x",""))</f>
        <v/>
      </c>
      <c r="W3854" s="75" t="str">
        <f>IF(AND('341-CT'!$H$9=H3854,OR(LEFT(N3854,3)=$W$7,LEFT(O3854,3)=$W$7)),"x","")</f>
        <v/>
      </c>
      <c r="X3854" s="75" t="str">
        <f>IF(OR(TH!N3563=TH!$X$7,O3854=TH!$X$7),"x","")</f>
        <v/>
      </c>
      <c r="Y3854" s="75" t="str">
        <f>IF(AND(OR(N3854="131",O3854="131"),H3854='131-CT'!$H$9),"x","")</f>
        <v/>
      </c>
      <c r="Z3854" s="75"/>
      <c r="AA3854" s="75" t="str">
        <f>IF(AND(MONTH(E3854)='IN-NX'!$J$5,'IN-NX'!$D$7=D3854),"x","")</f>
        <v/>
      </c>
      <c r="AB3854" s="75" t="str">
        <f>IF(AND(OR(LEFT(TH!N3563,2)="15",LEFT(TH!O3563,2)="15"),LEFT(TH!O3563,3)&lt;&gt;"111",'152-CT'!$J$8=TH!F3563),"x","")</f>
        <v/>
      </c>
      <c r="AC3854" s="75" t="str">
        <f>IF(AND(OR(LEFT(TH!N3563,2)="15",LEFT(TH!O3563,2)="15"),TK!$E$7=TH!F3563),"x","")</f>
        <v/>
      </c>
      <c r="AD3854" s="75" t="str">
        <f>IF(AND(N3854="1521",MONTH(C3854)='BK-NL'!$M$11),"x","")</f>
        <v/>
      </c>
    </row>
    <row r="3855" spans="1:30" ht="16.5" customHeight="1">
      <c r="A3855" s="309" t="str">
        <f>IF(B3855&lt;&gt;"",IF(AND(B3855='IN-TC'!$S$4,OR(TH!N3853="1111",TH!O3853="1111")),TH!D3853,""),"")</f>
        <v>C42</v>
      </c>
      <c r="B3855" s="1169">
        <f t="shared" si="1304"/>
        <v>3</v>
      </c>
      <c r="C3855" s="292">
        <f t="shared" si="1305"/>
        <v>42825</v>
      </c>
      <c r="D3855" s="292" t="s">
        <v>1958</v>
      </c>
      <c r="E3855" s="292">
        <v>42825</v>
      </c>
      <c r="F3855" s="67" t="s">
        <v>1411</v>
      </c>
      <c r="G3855" s="943" t="s">
        <v>1412</v>
      </c>
      <c r="H3855" s="294" t="s">
        <v>1414</v>
      </c>
      <c r="I3855" s="373"/>
      <c r="J3855" s="926"/>
      <c r="K3855" s="373"/>
      <c r="L3855" s="379"/>
      <c r="M3855" s="927">
        <v>1815000</v>
      </c>
      <c r="N3855" s="295" t="s">
        <v>541</v>
      </c>
      <c r="O3855" s="295" t="s">
        <v>63</v>
      </c>
      <c r="P3855" s="75" t="str">
        <f>IF(AND('331-CT'!$E$7=TH!H3564,OR(N3855="331",O3855="331")),"x","")</f>
        <v/>
      </c>
      <c r="Q3855" s="75" t="str">
        <f>IF(AND(B3855='111'!$L$11,OR($N3855=$Q$7,$O3855=$Q$7)),"x","")</f>
        <v/>
      </c>
      <c r="R3855" s="75" t="str">
        <f>IF(AND($N3855=$Q$7,$B3855&lt;'111'!$L$11),"x","")</f>
        <v/>
      </c>
      <c r="S3855" s="75" t="str">
        <f>IF(AND($O3855=$Q$7,$B3855&lt;'111'!$L$11),"x","")</f>
        <v>x</v>
      </c>
      <c r="T3855" s="75" t="str">
        <f>IF(ISERROR(FIND('112'!$M$9,G3855,1)),"",IF((AND(FIND('112'!$M$9,G3855,1)&gt;=1,B3855='112'!$K$9,OR($N3855='112'!$I$6,$O3855='112'!$I$6))),"x",""))</f>
        <v/>
      </c>
      <c r="U3855" s="75" t="str">
        <f>IF(ISERROR(FIND('112'!$M$9,G3855,1)),"",IF((AND(LEFT(G3855,2)=LEFT('112'!$M$9,2),B3855&lt;'112'!$K$9,$N3855='112'!$I$6)),"x",""))</f>
        <v/>
      </c>
      <c r="V3855" s="75" t="str">
        <f>IF(ISERROR(FIND('112'!$M$9,G3855,1)),"",IF((AND(RIGHT(G3855,2)=RIGHT('112'!$M$9,2),B3855&lt;'112'!$K$9,$O3855='112'!$I$6)),"x",""))</f>
        <v/>
      </c>
      <c r="W3855" s="75" t="str">
        <f>IF(AND('341-CT'!$H$9=H3855,OR(LEFT(N3855,3)=$W$7,LEFT(O3855,3)=$W$7)),"x","")</f>
        <v/>
      </c>
      <c r="X3855" s="75" t="str">
        <f>IF(OR(TH!N3564=TH!$X$7,O3855=TH!$X$7),"x","")</f>
        <v/>
      </c>
      <c r="Y3855" s="75" t="str">
        <f>IF(AND(OR(N3855="131",O3855="131"),H3855='131-CT'!$H$9),"x","")</f>
        <v/>
      </c>
      <c r="Z3855" s="75"/>
      <c r="AA3855" s="75" t="str">
        <f>IF(AND(MONTH(E3855)='IN-NX'!$J$5,'IN-NX'!$D$7=D3855),"x","")</f>
        <v/>
      </c>
      <c r="AB3855" s="75" t="str">
        <f>IF(AND(OR(LEFT(TH!N3564,2)="15",LEFT(TH!O3564,2)="15"),LEFT(TH!O3564,3)&lt;&gt;"111",'152-CT'!$J$8=TH!F3564),"x","")</f>
        <v/>
      </c>
      <c r="AC3855" s="75" t="str">
        <f>IF(AND(OR(LEFT(TH!N3564,2)="15",LEFT(TH!O3564,2)="15"),TK!$E$7=TH!F3564),"x","")</f>
        <v/>
      </c>
      <c r="AD3855" s="75" t="str">
        <f>IF(AND(N3855="1521",MONTH(C3855)='BK-NL'!$M$11),"x","")</f>
        <v/>
      </c>
    </row>
    <row r="3856" spans="1:30" ht="16.5" customHeight="1">
      <c r="A3856" s="309" t="str">
        <f>IF(B3856&lt;&gt;"",IF(AND(B3856='IN-TC'!$S$4,OR(TH!N3854="1111",TH!O3854="1111")),TH!D3854,""),"")</f>
        <v>C43</v>
      </c>
      <c r="B3856" s="1169">
        <f t="shared" si="1304"/>
        <v>3</v>
      </c>
      <c r="C3856" s="292">
        <f t="shared" si="1305"/>
        <v>42825</v>
      </c>
      <c r="D3856" s="292" t="s">
        <v>1960</v>
      </c>
      <c r="E3856" s="59">
        <v>42825</v>
      </c>
      <c r="F3856" s="62" t="s">
        <v>885</v>
      </c>
      <c r="G3856" s="62" t="s">
        <v>747</v>
      </c>
      <c r="H3856" s="311" t="s">
        <v>1023</v>
      </c>
      <c r="I3856" s="373"/>
      <c r="J3856" s="379"/>
      <c r="K3856" s="373"/>
      <c r="L3856" s="379"/>
      <c r="M3856" s="60">
        <v>300000000</v>
      </c>
      <c r="N3856" s="61" t="s">
        <v>26</v>
      </c>
      <c r="O3856" s="61" t="s">
        <v>63</v>
      </c>
      <c r="P3856" s="75" t="str">
        <f>IF(AND('331-CT'!$E$7=TH!H5050,OR(N3856="331",O3856="331")),"x","")</f>
        <v/>
      </c>
      <c r="Q3856" s="75" t="str">
        <f>IF(AND(B3856='111'!$L$11,OR($N3856=$Q$7,$O3856=$Q$7)),"x","")</f>
        <v/>
      </c>
      <c r="R3856" s="75" t="str">
        <f>IF(AND($N3856=$Q$7,$B3856&lt;'111'!$L$11),"x","")</f>
        <v/>
      </c>
      <c r="S3856" s="75" t="str">
        <f>IF(AND($O3856=$Q$7,$B3856&lt;'111'!$L$11),"x","")</f>
        <v>x</v>
      </c>
      <c r="T3856" s="75" t="str">
        <f>IF(ISERROR(FIND('112'!$M$9,G3856,1)),"",IF((AND(FIND('112'!$M$9,G3856,1)&gt;=1,B3856='112'!$K$9,OR($N3856='112'!$I$6,$O3856='112'!$I$6))),"x",""))</f>
        <v/>
      </c>
      <c r="U3856" s="75" t="str">
        <f>IF(ISERROR(FIND('112'!$M$9,G3856,1)),"",IF((AND(LEFT(G3856,2)=LEFT('112'!$M$9,2),B3856&lt;'112'!$K$9,$N3856='112'!$I$6)),"x",""))</f>
        <v/>
      </c>
      <c r="V3856" s="75" t="str">
        <f>IF(ISERROR(FIND('112'!$M$9,G3856,1)),"",IF((AND(RIGHT(G3856,2)=RIGHT('112'!$M$9,2),B3856&lt;'112'!$K$9,$O3856='112'!$I$6)),"x",""))</f>
        <v/>
      </c>
      <c r="W3856" s="75" t="str">
        <f>IF(AND('341-CT'!$H$9=H3856,OR(LEFT(N3856,3)=$W$7,LEFT(O3856,3)=$W$7)),"x","")</f>
        <v/>
      </c>
      <c r="X3856" s="75" t="str">
        <f>IF(OR(TH!N5050=TH!$X$7,O3856=TH!$X$7),"x","")</f>
        <v/>
      </c>
      <c r="Y3856" s="75" t="str">
        <f>IF(AND(OR(N3856="131",O3856="131"),H3856='131-CT'!$H$9),"x","")</f>
        <v/>
      </c>
      <c r="Z3856" s="75"/>
      <c r="AA3856" s="75" t="str">
        <f>IF(AND(MONTH(E3856)='IN-NX'!$J$5,'IN-NX'!$D$7=D3856),"x","")</f>
        <v/>
      </c>
      <c r="AB3856" s="75" t="str">
        <f>IF(AND(OR(LEFT(TH!N5050,2)="15",LEFT(TH!O5050,2)="15"),LEFT(TH!O5050,3)&lt;&gt;"111",'152-CT'!$J$8=TH!F5050),"x","")</f>
        <v/>
      </c>
      <c r="AC3856" s="75" t="str">
        <f>IF(AND(OR(LEFT(TH!N5050,2)="15",LEFT(TH!O5050,2)="15"),TK!$E$7=TH!F5050),"x","")</f>
        <v/>
      </c>
      <c r="AD3856" s="75" t="str">
        <f>IF(AND(N3856="1521",MONTH(C3856)='BK-NL'!$M$11),"x","")</f>
        <v/>
      </c>
    </row>
    <row r="3857" spans="1:31" ht="16.5" customHeight="1">
      <c r="A3857" s="309" t="str">
        <f>IF(B3857&lt;&gt;"",IF(AND(B3857='IN-TC'!$S$4,OR(TH!N3855="1111",TH!O3855="1111")),TH!D3855,""),"")</f>
        <v>C44</v>
      </c>
      <c r="B3857" s="1169">
        <f t="shared" si="1304"/>
        <v>3</v>
      </c>
      <c r="C3857" s="292">
        <f t="shared" si="1305"/>
        <v>42825</v>
      </c>
      <c r="D3857" s="59" t="s">
        <v>902</v>
      </c>
      <c r="E3857" s="59">
        <v>42825</v>
      </c>
      <c r="F3857" s="62" t="s">
        <v>1203</v>
      </c>
      <c r="G3857" s="62" t="s">
        <v>747</v>
      </c>
      <c r="H3857" s="311" t="s">
        <v>835</v>
      </c>
      <c r="I3857" s="373"/>
      <c r="J3857" s="379"/>
      <c r="K3857" s="373"/>
      <c r="L3857" s="379"/>
      <c r="M3857" s="60">
        <v>227900</v>
      </c>
      <c r="N3857" s="61" t="s">
        <v>101</v>
      </c>
      <c r="O3857" s="61" t="s">
        <v>26</v>
      </c>
      <c r="P3857" s="75" t="str">
        <f>IF(AND('331-CT'!$E$7=TH!H5051,OR(N3857="331",O3857="331")),"x","")</f>
        <v/>
      </c>
      <c r="Q3857" s="75" t="str">
        <f>IF(AND(B3857='111'!$L$11,OR($N3857=$Q$7,$O3857=$Q$7)),"x","")</f>
        <v/>
      </c>
      <c r="R3857" s="75" t="str">
        <f>IF(AND($N3857=$Q$7,$B3857&lt;'111'!$L$11),"x","")</f>
        <v/>
      </c>
      <c r="S3857" s="75" t="str">
        <f>IF(AND($O3857=$Q$7,$B3857&lt;'111'!$L$11),"x","")</f>
        <v/>
      </c>
      <c r="T3857" s="75" t="str">
        <f>IF(ISERROR(FIND('112'!$M$9,G3857,1)),"",IF((AND(FIND('112'!$M$9,G3857,1)&gt;=1,B3857='112'!$K$9,OR($N3857='112'!$I$6,$O3857='112'!$I$6))),"x",""))</f>
        <v/>
      </c>
      <c r="U3857" s="75" t="str">
        <f>IF(ISERROR(FIND('112'!$M$9,G3857,1)),"",IF((AND(LEFT(G3857,2)=LEFT('112'!$M$9,2),B3857&lt;'112'!$K$9,$N3857='112'!$I$6)),"x",""))</f>
        <v/>
      </c>
      <c r="V3857" s="75" t="str">
        <f>IF(ISERROR(FIND('112'!$M$9,G3857,1)),"",IF((AND(RIGHT(G3857,2)=RIGHT('112'!$M$9,2),B3857&lt;'112'!$K$9,$O3857='112'!$I$6)),"x",""))</f>
        <v/>
      </c>
      <c r="W3857" s="75" t="str">
        <f>IF(AND('341-CT'!$H$9=H3857,OR(LEFT(N3857,3)=$W$7,LEFT(O3857,3)=$W$7)),"x","")</f>
        <v/>
      </c>
      <c r="X3857" s="75" t="str">
        <f>IF(OR(TH!N5051=TH!$X$7,O3857=TH!$X$7),"x","")</f>
        <v/>
      </c>
      <c r="Y3857" s="75" t="str">
        <f>IF(AND(OR(N3857="131",O3857="131"),H3857='131-CT'!$H$9),"x","")</f>
        <v/>
      </c>
      <c r="Z3857" s="75"/>
      <c r="AA3857" s="75" t="str">
        <f>IF(AND(MONTH(E3857)='IN-NX'!$J$5,'IN-NX'!$D$7=D3857),"x","")</f>
        <v/>
      </c>
      <c r="AB3857" s="75" t="str">
        <f>IF(AND(OR(LEFT(TH!N5051,2)="15",LEFT(TH!O5051,2)="15"),LEFT(TH!O5051,3)&lt;&gt;"111",'152-CT'!$J$8=TH!F5051),"x","")</f>
        <v/>
      </c>
      <c r="AC3857" s="75" t="str">
        <f>IF(AND(OR(LEFT(TH!N5051,2)="15",LEFT(TH!O5051,2)="15"),TK!$E$7=TH!F5051),"x","")</f>
        <v/>
      </c>
      <c r="AD3857" s="75" t="str">
        <f>IF(AND(N3857="1521",MONTH(C3857)='BK-NL'!$M$11),"x","")</f>
        <v/>
      </c>
    </row>
    <row r="3858" spans="1:31" ht="16.5" customHeight="1">
      <c r="A3858" s="309" t="str">
        <f>IF(B3858&lt;&gt;"",IF(AND(B3858='IN-TC'!$S$4,OR(TH!N3856="1111",TH!O3856="1111")),TH!D3856,""),"")</f>
        <v>C46</v>
      </c>
      <c r="B3858" s="1169">
        <f t="shared" si="1304"/>
        <v>3</v>
      </c>
      <c r="C3858" s="292">
        <f t="shared" si="1305"/>
        <v>42825</v>
      </c>
      <c r="D3858" s="59" t="s">
        <v>902</v>
      </c>
      <c r="E3858" s="59">
        <v>42825</v>
      </c>
      <c r="F3858" s="62" t="s">
        <v>1206</v>
      </c>
      <c r="G3858" s="62" t="s">
        <v>747</v>
      </c>
      <c r="H3858" s="311" t="s">
        <v>835</v>
      </c>
      <c r="I3858" s="373"/>
      <c r="J3858" s="379"/>
      <c r="K3858" s="373"/>
      <c r="L3858" s="379"/>
      <c r="M3858" s="60">
        <v>802108</v>
      </c>
      <c r="N3858" s="928" t="s">
        <v>101</v>
      </c>
      <c r="O3858" s="61" t="s">
        <v>26</v>
      </c>
      <c r="P3858" s="75" t="str">
        <f>IF(AND('331-CT'!$E$7=TH!H5052,OR(N3858="331",O3858="331")),"x","")</f>
        <v/>
      </c>
      <c r="Q3858" s="75" t="str">
        <f>IF(AND(B3858='111'!$L$11,OR($N3858=$Q$7,$O3858=$Q$7)),"x","")</f>
        <v/>
      </c>
      <c r="R3858" s="75" t="str">
        <f>IF(AND($N3858=$Q$7,$B3858&lt;'111'!$L$11),"x","")</f>
        <v/>
      </c>
      <c r="S3858" s="75" t="str">
        <f>IF(AND($O3858=$Q$7,$B3858&lt;'111'!$L$11),"x","")</f>
        <v/>
      </c>
      <c r="T3858" s="75" t="str">
        <f>IF(ISERROR(FIND('112'!$M$9,G3858,1)),"",IF((AND(FIND('112'!$M$9,G3858,1)&gt;=1,B3858='112'!$K$9,OR($N3858='112'!$I$6,$O3858='112'!$I$6))),"x",""))</f>
        <v/>
      </c>
      <c r="U3858" s="75" t="str">
        <f>IF(ISERROR(FIND('112'!$M$9,G3858,1)),"",IF((AND(LEFT(G3858,2)=LEFT('112'!$M$9,2),B3858&lt;'112'!$K$9,$N3858='112'!$I$6)),"x",""))</f>
        <v/>
      </c>
      <c r="V3858" s="75" t="str">
        <f>IF(ISERROR(FIND('112'!$M$9,G3858,1)),"",IF((AND(RIGHT(G3858,2)=RIGHT('112'!$M$9,2),B3858&lt;'112'!$K$9,$O3858='112'!$I$6)),"x",""))</f>
        <v/>
      </c>
      <c r="W3858" s="75" t="str">
        <f>IF(AND('341-CT'!$H$9=H3858,OR(LEFT(N3858,3)=$W$7,LEFT(O3858,3)=$W$7)),"x","")</f>
        <v/>
      </c>
      <c r="X3858" s="75" t="str">
        <f>IF(OR(TH!N5052=TH!$X$7,O3858=TH!$X$7),"x","")</f>
        <v/>
      </c>
      <c r="Y3858" s="75" t="str">
        <f>IF(AND(OR(N3858="131",O3858="131"),H3858='131-CT'!$H$9),"x","")</f>
        <v/>
      </c>
      <c r="Z3858" s="75"/>
      <c r="AA3858" s="75" t="str">
        <f>IF(AND(MONTH(E3858)='IN-NX'!$J$5,'IN-NX'!$D$7=D3858),"x","")</f>
        <v/>
      </c>
      <c r="AB3858" s="75" t="str">
        <f>IF(AND(OR(LEFT(TH!N5052,2)="15",LEFT(TH!O5052,2)="15"),LEFT(TH!O5052,3)&lt;&gt;"111",'152-CT'!$J$8=TH!F5052),"x","")</f>
        <v/>
      </c>
      <c r="AC3858" s="75" t="str">
        <f>IF(AND(OR(LEFT(TH!N5052,2)="15",LEFT(TH!O5052,2)="15"),TK!$E$7=TH!F5052),"x","")</f>
        <v/>
      </c>
      <c r="AD3858" s="75" t="str">
        <f>IF(AND(N3858="1521",MONTH(C3858)='BK-NL'!$M$11),"x","")</f>
        <v/>
      </c>
    </row>
    <row r="3859" spans="1:31" ht="16.5" customHeight="1">
      <c r="A3859" s="309" t="str">
        <f>IF(B3859&lt;&gt;"",IF(AND(B3859='IN-TC'!$S$4,OR(TH!N3857="1111",TH!O3857="1111")),TH!D3857,""),"")</f>
        <v/>
      </c>
      <c r="B3859" s="1241">
        <f t="shared" ref="B3859:B3922" si="1306">IF(C3859&lt;&gt;"",MONTH(C3859),"")</f>
        <v>4</v>
      </c>
      <c r="C3859" s="292">
        <f t="shared" si="1305"/>
        <v>42826</v>
      </c>
      <c r="D3859" s="292" t="s">
        <v>1915</v>
      </c>
      <c r="E3859" s="929">
        <v>42826</v>
      </c>
      <c r="F3859" s="73" t="s">
        <v>1165</v>
      </c>
      <c r="G3859" s="931" t="s">
        <v>1164</v>
      </c>
      <c r="H3859" s="296" t="s">
        <v>796</v>
      </c>
      <c r="I3859" s="371"/>
      <c r="J3859" s="932"/>
      <c r="K3859" s="371"/>
      <c r="L3859" s="377"/>
      <c r="M3859" s="933">
        <v>18980500</v>
      </c>
      <c r="N3859" s="934" t="s">
        <v>8</v>
      </c>
      <c r="O3859" s="934" t="s">
        <v>63</v>
      </c>
      <c r="P3859" s="75" t="str">
        <f>IF(AND('331-CT'!$E$7=TH!H3567,OR(N3859="331",O3859="331")),"x","")</f>
        <v/>
      </c>
      <c r="Q3859" s="75" t="str">
        <f>IF(AND(B3859='111'!$L$11,OR($N3859=$Q$7,$O3859=$Q$7)),"x","")</f>
        <v/>
      </c>
      <c r="R3859" s="75" t="str">
        <f>IF(AND($N3859=$Q$7,$B3859&lt;'111'!$L$11),"x","")</f>
        <v/>
      </c>
      <c r="S3859" s="75" t="str">
        <f>IF(AND($O3859=$Q$7,$B3859&lt;'111'!$L$11),"x","")</f>
        <v>x</v>
      </c>
      <c r="T3859" s="75" t="str">
        <f>IF(ISERROR(FIND('112'!$M$9,G3859,1)),"",IF((AND(FIND('112'!$M$9,G3859,1)&gt;=1,B3859='112'!$K$9,OR($N3859='112'!$I$6,$O3859='112'!$I$6))),"x",""))</f>
        <v/>
      </c>
      <c r="U3859" s="75" t="str">
        <f>IF(ISERROR(FIND('112'!$M$9,G3859,1)),"",IF((AND(LEFT(G3859,2)=LEFT('112'!$M$9,2),B3859&lt;'112'!$K$9,$N3859='112'!$I$6)),"x",""))</f>
        <v/>
      </c>
      <c r="V3859" s="75" t="str">
        <f>IF(ISERROR(FIND('112'!$M$9,G3859,1)),"",IF((AND(RIGHT(G3859,2)=RIGHT('112'!$M$9,2),B3859&lt;'112'!$K$9,$O3859='112'!$I$6)),"x",""))</f>
        <v/>
      </c>
      <c r="W3859" s="75" t="str">
        <f>IF(AND('341-CT'!$H$9=H3859,OR(LEFT(N3859,3)=$W$7,LEFT(O3859,3)=$W$7)),"x","")</f>
        <v/>
      </c>
      <c r="X3859" s="75" t="str">
        <f>IF(OR(TH!N3567=TH!$X$7,O3859=TH!$X$7),"x","")</f>
        <v/>
      </c>
      <c r="Y3859" s="75" t="str">
        <f>IF(AND(OR(N3859="131",O3859="131"),H3859='131-CT'!$H$9),"x","")</f>
        <v/>
      </c>
      <c r="Z3859" s="75"/>
      <c r="AA3859" s="75" t="str">
        <f>IF(AND(MONTH(E3859)='IN-NX'!$J$5,'IN-NX'!$D$7=D3859),"x","")</f>
        <v/>
      </c>
      <c r="AB3859" s="75" t="str">
        <f>IF(AND(OR(LEFT(TH!N3567,2)="15",LEFT(TH!O3567,2)="15"),LEFT(TH!O3567,3)&lt;&gt;"111",'152-CT'!$J$8=TH!F3567),"x","")</f>
        <v/>
      </c>
      <c r="AC3859" s="75" t="str">
        <f>IF(AND(OR(LEFT(TH!N3567,2)="15",LEFT(TH!O3567,2)="15"),TK!$E$7=TH!F3567),"x","")</f>
        <v/>
      </c>
      <c r="AD3859" s="75" t="str">
        <f>IF(AND(N3859="1521",MONTH(C3859)='BK-NL'!$M$11),"x","")</f>
        <v/>
      </c>
    </row>
    <row r="3860" spans="1:31" ht="16.5" customHeight="1">
      <c r="A3860" s="309" t="str">
        <f>IF(B3860&lt;&gt;"",IF(AND(B3860='IN-TC'!$S$4,OR(TH!N3858="1111",TH!O3858="1111")),TH!D3858,""),"")</f>
        <v/>
      </c>
      <c r="B3860" s="1241">
        <f t="shared" si="1306"/>
        <v>4</v>
      </c>
      <c r="C3860" s="292">
        <f t="shared" si="1305"/>
        <v>42826</v>
      </c>
      <c r="D3860" s="292" t="s">
        <v>1916</v>
      </c>
      <c r="E3860" s="929">
        <v>42826</v>
      </c>
      <c r="F3860" s="73" t="s">
        <v>1165</v>
      </c>
      <c r="G3860" s="931" t="s">
        <v>1344</v>
      </c>
      <c r="H3860" s="296" t="s">
        <v>797</v>
      </c>
      <c r="I3860" s="371"/>
      <c r="J3860" s="932"/>
      <c r="K3860" s="371"/>
      <c r="L3860" s="377"/>
      <c r="M3860" s="933">
        <v>18980500</v>
      </c>
      <c r="N3860" s="934" t="s">
        <v>8</v>
      </c>
      <c r="O3860" s="934" t="s">
        <v>63</v>
      </c>
      <c r="P3860" s="75" t="str">
        <f>IF(AND('331-CT'!$E$7=TH!H3568,OR(N3860="331",O3860="331")),"x","")</f>
        <v/>
      </c>
      <c r="Q3860" s="75" t="str">
        <f>IF(AND(B3860='111'!$L$11,OR($N3860=$Q$7,$O3860=$Q$7)),"x","")</f>
        <v/>
      </c>
      <c r="R3860" s="75" t="str">
        <f>IF(AND($N3860=$Q$7,$B3860&lt;'111'!$L$11),"x","")</f>
        <v/>
      </c>
      <c r="S3860" s="75" t="str">
        <f>IF(AND($O3860=$Q$7,$B3860&lt;'111'!$L$11),"x","")</f>
        <v>x</v>
      </c>
      <c r="T3860" s="75" t="str">
        <f>IF(ISERROR(FIND('112'!$M$9,G3860,1)),"",IF((AND(FIND('112'!$M$9,G3860,1)&gt;=1,B3860='112'!$K$9,OR($N3860='112'!$I$6,$O3860='112'!$I$6))),"x",""))</f>
        <v/>
      </c>
      <c r="U3860" s="75" t="str">
        <f>IF(ISERROR(FIND('112'!$M$9,G3860,1)),"",IF((AND(LEFT(G3860,2)=LEFT('112'!$M$9,2),B3860&lt;'112'!$K$9,$N3860='112'!$I$6)),"x",""))</f>
        <v/>
      </c>
      <c r="V3860" s="75" t="str">
        <f>IF(ISERROR(FIND('112'!$M$9,G3860,1)),"",IF((AND(RIGHT(G3860,2)=RIGHT('112'!$M$9,2),B3860&lt;'112'!$K$9,$O3860='112'!$I$6)),"x",""))</f>
        <v/>
      </c>
      <c r="W3860" s="75" t="str">
        <f>IF(AND('341-CT'!$H$9=H3860,OR(LEFT(N3860,3)=$W$7,LEFT(O3860,3)=$W$7)),"x","")</f>
        <v/>
      </c>
      <c r="X3860" s="75" t="str">
        <f>IF(OR(TH!N3568=TH!$X$7,O3860=TH!$X$7),"x","")</f>
        <v/>
      </c>
      <c r="Y3860" s="75" t="str">
        <f>IF(AND(OR(N3860="131",O3860="131"),H3860='131-CT'!$H$9),"x","")</f>
        <v/>
      </c>
      <c r="Z3860" s="75"/>
      <c r="AA3860" s="75" t="str">
        <f>IF(AND(MONTH(E3860)='IN-NX'!$J$5,'IN-NX'!$D$7=D3860),"x","")</f>
        <v/>
      </c>
      <c r="AB3860" s="75" t="str">
        <f>IF(AND(OR(LEFT(TH!N3568,2)="15",LEFT(TH!O3568,2)="15"),LEFT(TH!O3568,3)&lt;&gt;"111",'152-CT'!$J$8=TH!F3568),"x","")</f>
        <v/>
      </c>
      <c r="AC3860" s="75" t="str">
        <f>IF(AND(OR(LEFT(TH!N3568,2)="15",LEFT(TH!O3568,2)="15"),TK!$E$7=TH!F3568),"x","")</f>
        <v/>
      </c>
      <c r="AD3860" s="75" t="str">
        <f>IF(AND(N3860="1521",MONTH(C3860)='BK-NL'!$M$11),"x","")</f>
        <v/>
      </c>
    </row>
    <row r="3861" spans="1:31" ht="16.5" customHeight="1">
      <c r="A3861" s="309" t="str">
        <f>IF(B3861&lt;&gt;"",IF(AND(B3861='IN-TC'!$S$4,OR(TH!N3859="1111",TH!O3859="1111")),TH!D3859,""),"")</f>
        <v/>
      </c>
      <c r="B3861" s="1241">
        <f t="shared" si="1306"/>
        <v>4</v>
      </c>
      <c r="C3861" s="292">
        <f t="shared" si="1305"/>
        <v>42828</v>
      </c>
      <c r="D3861" s="292" t="s">
        <v>833</v>
      </c>
      <c r="E3861" s="292">
        <v>42828</v>
      </c>
      <c r="F3861" s="1125" t="s">
        <v>834</v>
      </c>
      <c r="G3861" s="943" t="s">
        <v>747</v>
      </c>
      <c r="H3861" s="67" t="s">
        <v>1023</v>
      </c>
      <c r="I3861" s="373"/>
      <c r="J3861" s="926"/>
      <c r="K3861" s="373"/>
      <c r="L3861" s="379"/>
      <c r="M3861" s="927">
        <v>6550000000</v>
      </c>
      <c r="N3861" s="295" t="s">
        <v>63</v>
      </c>
      <c r="O3861" s="295" t="s">
        <v>26</v>
      </c>
      <c r="P3861" s="75" t="str">
        <f>IF(AND('331-CT'!$E$7=TH!H5053,OR(N3861="331",O3861="331")),"x","")</f>
        <v/>
      </c>
      <c r="Q3861" s="75" t="str">
        <f>IF(AND(B3861='111'!$L$11,OR($N3861=$Q$7,$O3861=$Q$7)),"x","")</f>
        <v/>
      </c>
      <c r="R3861" s="75" t="str">
        <f>IF(AND($N3861=$Q$7,$B3861&lt;'111'!$L$11),"x","")</f>
        <v>x</v>
      </c>
      <c r="S3861" s="75" t="str">
        <f>IF(AND($O3861=$Q$7,$B3861&lt;'111'!$L$11),"x","")</f>
        <v/>
      </c>
      <c r="T3861" s="75" t="str">
        <f>IF(ISERROR(FIND('112'!$M$9,G3861,1)),"",IF((AND(FIND('112'!$M$9,G3861,1)&gt;=1,B3861='112'!$K$9,OR($N3861='112'!$I$6,$O3861='112'!$I$6))),"x",""))</f>
        <v/>
      </c>
      <c r="U3861" s="75" t="str">
        <f>IF(ISERROR(FIND('112'!$M$9,G3861,1)),"",IF((AND(LEFT(G3861,2)=LEFT('112'!$M$9,2),B3861&lt;'112'!$K$9,$N3861='112'!$I$6)),"x",""))</f>
        <v/>
      </c>
      <c r="V3861" s="75" t="str">
        <f>IF(ISERROR(FIND('112'!$M$9,G3861,1)),"",IF((AND(RIGHT(G3861,2)=RIGHT('112'!$M$9,2),B3861&lt;'112'!$K$9,$O3861='112'!$I$6)),"x",""))</f>
        <v/>
      </c>
      <c r="W3861" s="75" t="str">
        <f>IF(AND('341-CT'!$H$9=H3861,OR(LEFT(N3861,3)=$W$7,LEFT(O3861,3)=$W$7)),"x","")</f>
        <v/>
      </c>
      <c r="X3861" s="75" t="str">
        <f>IF(OR(TH!N5053=TH!$X$7,O3861=TH!$X$7),"x","")</f>
        <v/>
      </c>
      <c r="Y3861" s="75" t="str">
        <f>IF(AND(OR(N3861="131",O3861="131"),H3861='131-CT'!$H$9),"x","")</f>
        <v/>
      </c>
      <c r="Z3861" s="75"/>
      <c r="AA3861" s="75" t="str">
        <f>IF(AND(MONTH(E3861)='IN-NX'!$J$5,'IN-NX'!$D$7=D3861),"x","")</f>
        <v/>
      </c>
      <c r="AB3861" s="75" t="str">
        <f>IF(AND(OR(LEFT(TH!N5053,2)="15",LEFT(TH!O5053,2)="15"),LEFT(TH!O5053,3)&lt;&gt;"111",'152-CT'!$J$8=TH!F5053),"x","")</f>
        <v/>
      </c>
      <c r="AC3861" s="75" t="str">
        <f>IF(AND(OR(LEFT(TH!N5053,2)="15",LEFT(TH!O5053,2)="15"),TK!$E$7=TH!F5053),"x","")</f>
        <v/>
      </c>
      <c r="AD3861" s="75" t="str">
        <f>IF(AND(N3861="1521",MONTH(C3861)='BK-NL'!$M$11),"x","")</f>
        <v/>
      </c>
    </row>
    <row r="3862" spans="1:31" ht="16.5" customHeight="1">
      <c r="A3862" s="309" t="str">
        <f>IF(B3862&lt;&gt;"",IF(AND(B3862='IN-TC'!$S$4,OR(TH!N3860="1111",TH!O3860="1111")),TH!D3860,""),"")</f>
        <v/>
      </c>
      <c r="B3862" s="1241">
        <f t="shared" si="1306"/>
        <v>4</v>
      </c>
      <c r="C3862" s="292">
        <f t="shared" si="1305"/>
        <v>42828</v>
      </c>
      <c r="D3862" s="292" t="s">
        <v>1920</v>
      </c>
      <c r="E3862" s="292">
        <v>42828</v>
      </c>
      <c r="F3862" s="62" t="s">
        <v>1283</v>
      </c>
      <c r="G3862" s="742" t="s">
        <v>1285</v>
      </c>
      <c r="H3862" s="311" t="s">
        <v>893</v>
      </c>
      <c r="I3862" s="373"/>
      <c r="J3862" s="379"/>
      <c r="K3862" s="373"/>
      <c r="L3862" s="379"/>
      <c r="M3862" s="60">
        <v>900500</v>
      </c>
      <c r="N3862" s="61" t="s">
        <v>101</v>
      </c>
      <c r="O3862" s="934" t="s">
        <v>63</v>
      </c>
      <c r="P3862" s="75" t="str">
        <f>IF(AND('331-CT'!$E$7=TH!H3569,OR(N3862="331",O3862="331")),"x","")</f>
        <v/>
      </c>
      <c r="Q3862" s="75" t="str">
        <f>IF(AND(B3862='111'!$L$11,OR($N3862=$Q$7,$O3862=$Q$7)),"x","")</f>
        <v/>
      </c>
      <c r="R3862" s="75" t="str">
        <f>IF(AND($N3862=$Q$7,$B3862&lt;'111'!$L$11),"x","")</f>
        <v/>
      </c>
      <c r="S3862" s="75" t="str">
        <f>IF(AND($O3862=$Q$7,$B3862&lt;'111'!$L$11),"x","")</f>
        <v>x</v>
      </c>
      <c r="T3862" s="75" t="str">
        <f>IF(ISERROR(FIND('112'!$M$9,G3862,1)),"",IF((AND(FIND('112'!$M$9,G3862,1)&gt;=1,B3862='112'!$K$9,OR($N3862='112'!$I$6,$O3862='112'!$I$6))),"x",""))</f>
        <v/>
      </c>
      <c r="U3862" s="75" t="str">
        <f>IF(ISERROR(FIND('112'!$M$9,G3862,1)),"",IF((AND(LEFT(G3862,2)=LEFT('112'!$M$9,2),B3862&lt;'112'!$K$9,$N3862='112'!$I$6)),"x",""))</f>
        <v/>
      </c>
      <c r="V3862" s="75" t="str">
        <f>IF(ISERROR(FIND('112'!$M$9,G3862,1)),"",IF((AND(RIGHT(G3862,2)=RIGHT('112'!$M$9,2),B3862&lt;'112'!$K$9,$O3862='112'!$I$6)),"x",""))</f>
        <v/>
      </c>
      <c r="W3862" s="75" t="str">
        <f>IF(AND('341-CT'!$H$9=H3862,OR(LEFT(N3862,3)=$W$7,LEFT(O3862,3)=$W$7)),"x","")</f>
        <v/>
      </c>
      <c r="X3862" s="75" t="str">
        <f>IF(OR(TH!N3569=TH!$X$7,O3862=TH!$X$7),"x","")</f>
        <v/>
      </c>
      <c r="Y3862" s="75" t="str">
        <f>IF(AND(OR(N3862="131",O3862="131"),H3862='131-CT'!$H$9),"x","")</f>
        <v/>
      </c>
      <c r="Z3862" s="75"/>
      <c r="AA3862" s="75" t="str">
        <f>IF(AND(MONTH(E3862)='IN-NX'!$J$5,'IN-NX'!$D$7=D3862),"x","")</f>
        <v/>
      </c>
      <c r="AB3862" s="75" t="str">
        <f>IF(AND(OR(LEFT(TH!N3569,2)="15",LEFT(TH!O3569,2)="15"),LEFT(TH!O3569,3)&lt;&gt;"111",'152-CT'!$J$8=TH!F3569),"x","")</f>
        <v/>
      </c>
      <c r="AC3862" s="75" t="str">
        <f>IF(AND(OR(LEFT(TH!N3569,2)="15",LEFT(TH!O3569,2)="15"),TK!$E$7=TH!F3569),"x","")</f>
        <v/>
      </c>
      <c r="AD3862" s="75" t="str">
        <f>IF(AND(N3862="1521",MONTH(C3862)='BK-NL'!$M$11),"x","")</f>
        <v/>
      </c>
    </row>
    <row r="3863" spans="1:31" ht="16.5" customHeight="1">
      <c r="A3863" s="309" t="str">
        <f>IF(B3863&lt;&gt;"",IF(AND(B3863='IN-TC'!$S$4,OR(TH!N3861="1111",TH!O3861="1111")),TH!D3861,""),"")</f>
        <v/>
      </c>
      <c r="B3863" s="1241">
        <f t="shared" si="1306"/>
        <v>4</v>
      </c>
      <c r="C3863" s="292">
        <f t="shared" si="1305"/>
        <v>42828</v>
      </c>
      <c r="D3863" s="292" t="s">
        <v>1920</v>
      </c>
      <c r="E3863" s="292">
        <v>42828</v>
      </c>
      <c r="F3863" s="62" t="s">
        <v>1284</v>
      </c>
      <c r="G3863" s="742" t="s">
        <v>1285</v>
      </c>
      <c r="H3863" s="311" t="s">
        <v>893</v>
      </c>
      <c r="I3863" s="373"/>
      <c r="J3863" s="379"/>
      <c r="K3863" s="373"/>
      <c r="L3863" s="379"/>
      <c r="M3863" s="60">
        <v>90050</v>
      </c>
      <c r="N3863" s="61" t="s">
        <v>9</v>
      </c>
      <c r="O3863" s="934" t="s">
        <v>63</v>
      </c>
      <c r="P3863" s="75" t="str">
        <f>IF(AND('331-CT'!$E$7=TH!H3570,OR(N3863="331",O3863="331")),"x","")</f>
        <v/>
      </c>
      <c r="Q3863" s="75" t="str">
        <f>IF(AND(B3863='111'!$L$11,OR($N3863=$Q$7,$O3863=$Q$7)),"x","")</f>
        <v/>
      </c>
      <c r="R3863" s="75" t="str">
        <f>IF(AND($N3863=$Q$7,$B3863&lt;'111'!$L$11),"x","")</f>
        <v/>
      </c>
      <c r="S3863" s="75" t="str">
        <f>IF(AND($O3863=$Q$7,$B3863&lt;'111'!$L$11),"x","")</f>
        <v>x</v>
      </c>
      <c r="T3863" s="75" t="str">
        <f>IF(ISERROR(FIND('112'!$M$9,G3863,1)),"",IF((AND(FIND('112'!$M$9,G3863,1)&gt;=1,B3863='112'!$K$9,OR($N3863='112'!$I$6,$O3863='112'!$I$6))),"x",""))</f>
        <v/>
      </c>
      <c r="U3863" s="75" t="str">
        <f>IF(ISERROR(FIND('112'!$M$9,G3863,1)),"",IF((AND(LEFT(G3863,2)=LEFT('112'!$M$9,2),B3863&lt;'112'!$K$9,$N3863='112'!$I$6)),"x",""))</f>
        <v/>
      </c>
      <c r="V3863" s="75" t="str">
        <f>IF(ISERROR(FIND('112'!$M$9,G3863,1)),"",IF((AND(RIGHT(G3863,2)=RIGHT('112'!$M$9,2),B3863&lt;'112'!$K$9,$O3863='112'!$I$6)),"x",""))</f>
        <v/>
      </c>
      <c r="W3863" s="75" t="str">
        <f>IF(AND('341-CT'!$H$9=H3863,OR(LEFT(N3863,3)=$W$7,LEFT(O3863,3)=$W$7)),"x","")</f>
        <v/>
      </c>
      <c r="X3863" s="75" t="str">
        <f>IF(OR(TH!N3570=TH!$X$7,O3863=TH!$X$7),"x","")</f>
        <v/>
      </c>
      <c r="Y3863" s="75" t="str">
        <f>IF(AND(OR(N3863="131",O3863="131"),H3863='131-CT'!$H$9),"x","")</f>
        <v/>
      </c>
      <c r="Z3863" s="75"/>
      <c r="AA3863" s="75" t="str">
        <f>IF(AND(MONTH(E3863)='IN-NX'!$J$5,'IN-NX'!$D$7=D3863),"x","")</f>
        <v/>
      </c>
      <c r="AB3863" s="75" t="str">
        <f>IF(AND(OR(LEFT(TH!N3570,2)="15",LEFT(TH!O3570,2)="15"),LEFT(TH!O3570,3)&lt;&gt;"111",'152-CT'!$J$8=TH!F3570),"x","")</f>
        <v/>
      </c>
      <c r="AC3863" s="75" t="str">
        <f>IF(AND(OR(LEFT(TH!N3570,2)="15",LEFT(TH!O3570,2)="15"),TK!$E$7=TH!F3570),"x","")</f>
        <v/>
      </c>
      <c r="AD3863" s="75" t="str">
        <f>IF(AND(N3863="1521",MONTH(C3863)='BK-NL'!$M$11),"x","")</f>
        <v/>
      </c>
    </row>
    <row r="3864" spans="1:31" ht="16.5" customHeight="1">
      <c r="A3864" s="309" t="str">
        <f>IF(B3864&lt;&gt;"",IF(AND(B3864='IN-TC'!$S$4,OR(TH!N3862="1111",TH!O3862="1111")),TH!D3862,""),"")</f>
        <v/>
      </c>
      <c r="B3864" s="1241">
        <f t="shared" si="1306"/>
        <v>4</v>
      </c>
      <c r="C3864" s="292">
        <f t="shared" si="1305"/>
        <v>42828</v>
      </c>
      <c r="D3864" s="292" t="s">
        <v>1921</v>
      </c>
      <c r="E3864" s="292">
        <v>42828</v>
      </c>
      <c r="F3864" s="62" t="s">
        <v>1337</v>
      </c>
      <c r="G3864" s="742" t="s">
        <v>1999</v>
      </c>
      <c r="H3864" s="311" t="s">
        <v>1339</v>
      </c>
      <c r="I3864" s="373"/>
      <c r="J3864" s="379"/>
      <c r="K3864" s="373"/>
      <c r="L3864" s="379"/>
      <c r="M3864" s="60">
        <v>1009091</v>
      </c>
      <c r="N3864" s="61" t="s">
        <v>539</v>
      </c>
      <c r="O3864" s="934" t="s">
        <v>63</v>
      </c>
      <c r="P3864" s="75" t="str">
        <f>IF(AND('331-CT'!$E$7=TH!H3571,OR(N3864="331",O3864="331")),"x","")</f>
        <v/>
      </c>
      <c r="Q3864" s="75" t="str">
        <f>IF(AND(B3864='111'!$L$11,OR($N3864=$Q$7,$O3864=$Q$7)),"x","")</f>
        <v/>
      </c>
      <c r="R3864" s="75" t="str">
        <f>IF(AND($N3864=$Q$7,$B3864&lt;'111'!$L$11),"x","")</f>
        <v/>
      </c>
      <c r="S3864" s="75" t="str">
        <f>IF(AND($O3864=$Q$7,$B3864&lt;'111'!$L$11),"x","")</f>
        <v>x</v>
      </c>
      <c r="T3864" s="75" t="str">
        <f>IF(ISERROR(FIND('112'!$M$9,G3864,1)),"",IF((AND(FIND('112'!$M$9,G3864,1)&gt;=1,B3864='112'!$K$9,OR($N3864='112'!$I$6,$O3864='112'!$I$6))),"x",""))</f>
        <v/>
      </c>
      <c r="U3864" s="75" t="str">
        <f>IF(ISERROR(FIND('112'!$M$9,G3864,1)),"",IF((AND(LEFT(G3864,2)=LEFT('112'!$M$9,2),B3864&lt;'112'!$K$9,$N3864='112'!$I$6)),"x",""))</f>
        <v/>
      </c>
      <c r="V3864" s="75" t="str">
        <f>IF(ISERROR(FIND('112'!$M$9,G3864,1)),"",IF((AND(RIGHT(G3864,2)=RIGHT('112'!$M$9,2),B3864&lt;'112'!$K$9,$O3864='112'!$I$6)),"x",""))</f>
        <v/>
      </c>
      <c r="W3864" s="75" t="str">
        <f>IF(AND('341-CT'!$H$9=H3864,OR(LEFT(N3864,3)=$W$7,LEFT(O3864,3)=$W$7)),"x","")</f>
        <v/>
      </c>
      <c r="X3864" s="75" t="str">
        <f>IF(OR(TH!N3571=TH!$X$7,O3864=TH!$X$7),"x","")</f>
        <v/>
      </c>
      <c r="Y3864" s="75" t="str">
        <f>IF(AND(OR(N3864="131",O3864="131"),H3864='131-CT'!$H$9),"x","")</f>
        <v/>
      </c>
      <c r="Z3864" s="75"/>
      <c r="AA3864" s="75" t="str">
        <f>IF(AND(MONTH(E3864)='IN-NX'!$J$5,'IN-NX'!$D$7=D3864),"x","")</f>
        <v/>
      </c>
      <c r="AB3864" s="75" t="str">
        <f>IF(AND(OR(LEFT(TH!N3571,2)="15",LEFT(TH!O3571,2)="15"),LEFT(TH!O3571,3)&lt;&gt;"111",'152-CT'!$J$8=TH!F3571),"x","")</f>
        <v/>
      </c>
      <c r="AC3864" s="75" t="str">
        <f>IF(AND(OR(LEFT(TH!N3571,2)="15",LEFT(TH!O3571,2)="15"),TK!$E$7=TH!F3571),"x","")</f>
        <v/>
      </c>
      <c r="AD3864" s="75" t="str">
        <f>IF(AND(N3864="1521",MONTH(C3864)='BK-NL'!$M$11),"x","")</f>
        <v/>
      </c>
    </row>
    <row r="3865" spans="1:31" ht="16.5" customHeight="1">
      <c r="A3865" s="309" t="str">
        <f>IF(B3865&lt;&gt;"",IF(AND(B3865='IN-TC'!$S$4,OR(TH!N3863="1111",TH!O3863="1111")),TH!D3863,""),"")</f>
        <v/>
      </c>
      <c r="B3865" s="1241">
        <f t="shared" si="1306"/>
        <v>4</v>
      </c>
      <c r="C3865" s="292">
        <f t="shared" si="1305"/>
        <v>42828</v>
      </c>
      <c r="D3865" s="292" t="s">
        <v>1921</v>
      </c>
      <c r="E3865" s="292">
        <v>42828</v>
      </c>
      <c r="F3865" s="62" t="s">
        <v>1338</v>
      </c>
      <c r="G3865" s="742" t="s">
        <v>2000</v>
      </c>
      <c r="H3865" s="311" t="s">
        <v>1339</v>
      </c>
      <c r="I3865" s="373"/>
      <c r="J3865" s="379"/>
      <c r="K3865" s="373"/>
      <c r="L3865" s="379"/>
      <c r="M3865" s="60">
        <v>100909</v>
      </c>
      <c r="N3865" s="61" t="s">
        <v>9</v>
      </c>
      <c r="O3865" s="934" t="s">
        <v>63</v>
      </c>
      <c r="P3865" s="75" t="str">
        <f>IF(AND('331-CT'!$E$7=TH!H3572,OR(N3865="331",O3865="331")),"x","")</f>
        <v/>
      </c>
      <c r="Q3865" s="75" t="str">
        <f>IF(AND(B3865='111'!$L$11,OR($N3865=$Q$7,$O3865=$Q$7)),"x","")</f>
        <v/>
      </c>
      <c r="R3865" s="75" t="str">
        <f>IF(AND($N3865=$Q$7,$B3865&lt;'111'!$L$11),"x","")</f>
        <v/>
      </c>
      <c r="S3865" s="75" t="str">
        <f>IF(AND($O3865=$Q$7,$B3865&lt;'111'!$L$11),"x","")</f>
        <v>x</v>
      </c>
      <c r="T3865" s="75" t="str">
        <f>IF(ISERROR(FIND('112'!$M$9,G3865,1)),"",IF((AND(FIND('112'!$M$9,G3865,1)&gt;=1,B3865='112'!$K$9,OR($N3865='112'!$I$6,$O3865='112'!$I$6))),"x",""))</f>
        <v/>
      </c>
      <c r="U3865" s="75" t="str">
        <f>IF(ISERROR(FIND('112'!$M$9,G3865,1)),"",IF((AND(LEFT(G3865,2)=LEFT('112'!$M$9,2),B3865&lt;'112'!$K$9,$N3865='112'!$I$6)),"x",""))</f>
        <v/>
      </c>
      <c r="V3865" s="75" t="str">
        <f>IF(ISERROR(FIND('112'!$M$9,G3865,1)),"",IF((AND(RIGHT(G3865,2)=RIGHT('112'!$M$9,2),B3865&lt;'112'!$K$9,$O3865='112'!$I$6)),"x",""))</f>
        <v/>
      </c>
      <c r="W3865" s="75" t="str">
        <f>IF(AND('341-CT'!$H$9=H3865,OR(LEFT(N3865,3)=$W$7,LEFT(O3865,3)=$W$7)),"x","")</f>
        <v/>
      </c>
      <c r="X3865" s="75" t="str">
        <f>IF(OR(TH!N3572=TH!$X$7,O3865=TH!$X$7),"x","")</f>
        <v/>
      </c>
      <c r="Y3865" s="75" t="str">
        <f>IF(AND(OR(N3865="131",O3865="131"),H3865='131-CT'!$H$9),"x","")</f>
        <v/>
      </c>
      <c r="Z3865" s="75"/>
      <c r="AA3865" s="75" t="str">
        <f>IF(AND(MONTH(E3865)='IN-NX'!$J$5,'IN-NX'!$D$7=D3865),"x","")</f>
        <v/>
      </c>
      <c r="AB3865" s="75" t="str">
        <f>IF(AND(OR(LEFT(TH!N3572,2)="15",LEFT(TH!O3572,2)="15"),LEFT(TH!O3572,3)&lt;&gt;"111",'152-CT'!$J$8=TH!F3572),"x","")</f>
        <v/>
      </c>
      <c r="AC3865" s="75" t="str">
        <f>IF(AND(OR(LEFT(TH!N3572,2)="15",LEFT(TH!O3572,2)="15"),TK!$E$7=TH!F3572),"x","")</f>
        <v/>
      </c>
      <c r="AD3865" s="75" t="str">
        <f>IF(AND(N3865="1521",MONTH(C3865)='BK-NL'!$M$11),"x","")</f>
        <v/>
      </c>
    </row>
    <row r="3866" spans="1:31" ht="16.5" customHeight="1">
      <c r="A3866" s="309" t="str">
        <f>IF(B3866&lt;&gt;"",IF(AND(B3866='IN-TC'!$S$4,OR(TH!N3864="1111",TH!O3864="1111")),TH!D3864,""),"")</f>
        <v/>
      </c>
      <c r="B3866" s="1241">
        <f t="shared" si="1306"/>
        <v>4</v>
      </c>
      <c r="C3866" s="292">
        <f t="shared" si="1305"/>
        <v>42828</v>
      </c>
      <c r="D3866" s="292" t="s">
        <v>1922</v>
      </c>
      <c r="E3866" s="292">
        <v>42828</v>
      </c>
      <c r="F3866" s="73" t="s">
        <v>1165</v>
      </c>
      <c r="G3866" s="931" t="s">
        <v>1345</v>
      </c>
      <c r="H3866" s="296" t="s">
        <v>797</v>
      </c>
      <c r="I3866" s="371"/>
      <c r="J3866" s="932"/>
      <c r="K3866" s="371"/>
      <c r="L3866" s="377"/>
      <c r="M3866" s="933">
        <v>18980500</v>
      </c>
      <c r="N3866" s="934" t="s">
        <v>8</v>
      </c>
      <c r="O3866" s="934" t="s">
        <v>63</v>
      </c>
      <c r="P3866" s="75" t="str">
        <f>IF(AND('331-CT'!$E$7=TH!H3573,OR(N3866="331",O3866="331")),"x","")</f>
        <v/>
      </c>
      <c r="Q3866" s="75" t="str">
        <f>IF(AND(B3866='111'!$L$11,OR($N3866=$Q$7,$O3866=$Q$7)),"x","")</f>
        <v/>
      </c>
      <c r="R3866" s="75" t="str">
        <f>IF(AND($N3866=$Q$7,$B3866&lt;'111'!$L$11),"x","")</f>
        <v/>
      </c>
      <c r="S3866" s="75" t="str">
        <f>IF(AND($O3866=$Q$7,$B3866&lt;'111'!$L$11),"x","")</f>
        <v>x</v>
      </c>
      <c r="T3866" s="75" t="str">
        <f>IF(ISERROR(FIND('112'!$M$9,G3866,1)),"",IF((AND(FIND('112'!$M$9,G3866,1)&gt;=1,B3866='112'!$K$9,OR($N3866='112'!$I$6,$O3866='112'!$I$6))),"x",""))</f>
        <v/>
      </c>
      <c r="U3866" s="75" t="str">
        <f>IF(ISERROR(FIND('112'!$M$9,G3866,1)),"",IF((AND(LEFT(G3866,2)=LEFT('112'!$M$9,2),B3866&lt;'112'!$K$9,$N3866='112'!$I$6)),"x",""))</f>
        <v/>
      </c>
      <c r="V3866" s="75" t="str">
        <f>IF(ISERROR(FIND('112'!$M$9,G3866,1)),"",IF((AND(RIGHT(G3866,2)=RIGHT('112'!$M$9,2),B3866&lt;'112'!$K$9,$O3866='112'!$I$6)),"x",""))</f>
        <v/>
      </c>
      <c r="W3866" s="75" t="str">
        <f>IF(AND('341-CT'!$H$9=H3866,OR(LEFT(N3866,3)=$W$7,LEFT(O3866,3)=$W$7)),"x","")</f>
        <v/>
      </c>
      <c r="X3866" s="75" t="str">
        <f>IF(OR(TH!N3573=TH!$X$7,O3866=TH!$X$7),"x","")</f>
        <v/>
      </c>
      <c r="Y3866" s="75" t="str">
        <f>IF(AND(OR(N3866="131",O3866="131"),H3866='131-CT'!$H$9),"x","")</f>
        <v/>
      </c>
      <c r="Z3866" s="75"/>
      <c r="AA3866" s="75" t="str">
        <f>IF(AND(MONTH(E3866)='IN-NX'!$J$5,'IN-NX'!$D$7=D3866),"x","")</f>
        <v/>
      </c>
      <c r="AB3866" s="75" t="str">
        <f>IF(AND(OR(LEFT(TH!N3573,2)="15",LEFT(TH!O3573,2)="15"),LEFT(TH!O3573,3)&lt;&gt;"111",'152-CT'!$J$8=TH!F3573),"x","")</f>
        <v/>
      </c>
      <c r="AC3866" s="75" t="str">
        <f>IF(AND(OR(LEFT(TH!N3573,2)="15",LEFT(TH!O3573,2)="15"),TK!$E$7=TH!F3573),"x","")</f>
        <v/>
      </c>
      <c r="AD3866" s="75" t="str">
        <f>IF(AND(N3866="1521",MONTH(C3866)='BK-NL'!$M$11),"x","")</f>
        <v/>
      </c>
    </row>
    <row r="3867" spans="1:31" ht="16.5" customHeight="1">
      <c r="A3867" s="309" t="str">
        <f>IF(B3867&lt;&gt;"",IF(AND(B3867='IN-TC'!$S$4,OR(TH!N3865="1111",TH!O3865="1111")),TH!D3865,""),"")</f>
        <v/>
      </c>
      <c r="B3867" s="1241">
        <f t="shared" si="1306"/>
        <v>4</v>
      </c>
      <c r="C3867" s="292">
        <f t="shared" si="1305"/>
        <v>42828</v>
      </c>
      <c r="D3867" s="292" t="s">
        <v>1917</v>
      </c>
      <c r="E3867" s="292">
        <v>42828</v>
      </c>
      <c r="F3867" s="1010" t="s">
        <v>1881</v>
      </c>
      <c r="G3867" s="925"/>
      <c r="H3867" s="311" t="s">
        <v>1882</v>
      </c>
      <c r="I3867" s="373"/>
      <c r="J3867" s="926"/>
      <c r="K3867" s="373"/>
      <c r="L3867" s="379"/>
      <c r="M3867" s="927">
        <v>2848697800</v>
      </c>
      <c r="N3867" s="295" t="s">
        <v>8</v>
      </c>
      <c r="O3867" s="295" t="s">
        <v>63</v>
      </c>
      <c r="P3867" s="75" t="str">
        <f>IF(AND('331-CT'!$E$7=TH!H4231,OR(N3867="331",O3867="331")),"x","")</f>
        <v/>
      </c>
      <c r="Q3867" s="75" t="str">
        <f>IF(AND(B3867='111'!$L$11,OR($N3867=$Q$7,$O3867=$Q$7)),"x","")</f>
        <v/>
      </c>
      <c r="R3867" s="75" t="str">
        <f>IF(AND($N3867=$Q$7,$B3867&lt;'111'!$L$11),"x","")</f>
        <v/>
      </c>
      <c r="S3867" s="75" t="str">
        <f>IF(AND($O3867=$Q$7,$B3867&lt;'111'!$L$11),"x","")</f>
        <v>x</v>
      </c>
      <c r="T3867" s="75" t="str">
        <f>IF(ISERROR(FIND('112'!$M$9,G3867,1)),"",IF((AND(FIND('112'!$M$9,G3867,1)&gt;=1,B3867='112'!$K$9,OR($N3867='112'!$I$6,$O3867='112'!$I$6))),"x",""))</f>
        <v/>
      </c>
      <c r="U3867" s="75" t="str">
        <f>IF(ISERROR(FIND('112'!$M$9,G3867,1)),"",IF((AND(LEFT(G3867,2)=LEFT('112'!$M$9,2),B3867&lt;'112'!$K$9,$N3867='112'!$I$6)),"x",""))</f>
        <v/>
      </c>
      <c r="V3867" s="75" t="str">
        <f>IF(ISERROR(FIND('112'!$M$9,G3867,1)),"",IF((AND(RIGHT(G3867,2)=RIGHT('112'!$M$9,2),B3867&lt;'112'!$K$9,$O3867='112'!$I$6)),"x",""))</f>
        <v/>
      </c>
      <c r="W3867" s="75" t="str">
        <f>IF(AND('341-CT'!$H$9=H3867,OR(LEFT(N3867,3)=$W$7,LEFT(O3867,3)=$W$7)),"x","")</f>
        <v/>
      </c>
      <c r="X3867" s="75" t="str">
        <f>IF(OR(TH!N4231=TH!$X$7,O3867=TH!$X$7),"x","")</f>
        <v/>
      </c>
      <c r="Y3867" s="75" t="str">
        <f>IF(AND(OR(N3867="131",O3867="131"),H3867='131-CT'!$H$9),"x","")</f>
        <v/>
      </c>
      <c r="Z3867" s="75"/>
      <c r="AA3867" s="75" t="str">
        <f>IF(AND(MONTH(E3867)='IN-NX'!$J$5,'IN-NX'!$D$7=D3867),"x","")</f>
        <v/>
      </c>
      <c r="AB3867" s="75" t="str">
        <f>IF(AND(OR(LEFT(TH!N4231,2)="15",LEFT(TH!O4231,2)="15"),LEFT(TH!O4231,3)&lt;&gt;"111",'152-CT'!$J$8=TH!F4231),"x","")</f>
        <v/>
      </c>
      <c r="AC3867" s="75" t="str">
        <f>IF(AND(OR(LEFT(TH!N4231,2)="15",LEFT(TH!O4231,2)="15"),TK!$E$7=TH!F4231),"x","")</f>
        <v/>
      </c>
      <c r="AD3867" s="75" t="str">
        <f>IF(AND(N3867="1521",MONTH(C3867)='BK-NL'!$M$11),"x","")</f>
        <v/>
      </c>
    </row>
    <row r="3868" spans="1:31" ht="16.5" customHeight="1">
      <c r="A3868" s="309" t="str">
        <f>IF(B3868&lt;&gt;"",IF(AND(B3868='IN-TC'!$S$4,OR(TH!N3866="1111",TH!O3866="1111")),TH!D3866,""),"")</f>
        <v/>
      </c>
      <c r="B3868" s="1241">
        <f t="shared" si="1306"/>
        <v>4</v>
      </c>
      <c r="C3868" s="292">
        <f t="shared" si="1305"/>
        <v>42828</v>
      </c>
      <c r="D3868" s="292" t="s">
        <v>1917</v>
      </c>
      <c r="E3868" s="292">
        <v>42828</v>
      </c>
      <c r="F3868" s="1010" t="s">
        <v>1883</v>
      </c>
      <c r="G3868" s="925"/>
      <c r="H3868" s="311"/>
      <c r="I3868" s="373"/>
      <c r="J3868" s="926"/>
      <c r="K3868" s="373"/>
      <c r="L3868" s="379"/>
      <c r="M3868" s="927">
        <v>1000000</v>
      </c>
      <c r="N3868" s="295" t="s">
        <v>101</v>
      </c>
      <c r="O3868" s="295" t="s">
        <v>63</v>
      </c>
      <c r="P3868" s="75" t="str">
        <f>IF(AND('331-CT'!$E$7=TH!H4232,OR(N3868="331",O3868="331")),"x","")</f>
        <v/>
      </c>
      <c r="Q3868" s="75" t="str">
        <f>IF(AND(B3868='111'!$L$11,OR($N3868=$Q$7,$O3868=$Q$7)),"x","")</f>
        <v/>
      </c>
      <c r="R3868" s="75" t="str">
        <f>IF(AND($N3868=$Q$7,$B3868&lt;'111'!$L$11),"x","")</f>
        <v/>
      </c>
      <c r="S3868" s="75" t="str">
        <f>IF(AND($O3868=$Q$7,$B3868&lt;'111'!$L$11),"x","")</f>
        <v>x</v>
      </c>
      <c r="T3868" s="75" t="str">
        <f>IF(ISERROR(FIND('112'!$M$9,G3868,1)),"",IF((AND(FIND('112'!$M$9,G3868,1)&gt;=1,B3868='112'!$K$9,OR($N3868='112'!$I$6,$O3868='112'!$I$6))),"x",""))</f>
        <v/>
      </c>
      <c r="U3868" s="75" t="str">
        <f>IF(ISERROR(FIND('112'!$M$9,G3868,1)),"",IF((AND(LEFT(G3868,2)=LEFT('112'!$M$9,2),B3868&lt;'112'!$K$9,$N3868='112'!$I$6)),"x",""))</f>
        <v/>
      </c>
      <c r="V3868" s="75" t="str">
        <f>IF(ISERROR(FIND('112'!$M$9,G3868,1)),"",IF((AND(RIGHT(G3868,2)=RIGHT('112'!$M$9,2),B3868&lt;'112'!$K$9,$O3868='112'!$I$6)),"x",""))</f>
        <v/>
      </c>
      <c r="W3868" s="75" t="str">
        <f>IF(AND('341-CT'!$H$9=H3868,OR(LEFT(N3868,3)=$W$7,LEFT(O3868,3)=$W$7)),"x","")</f>
        <v/>
      </c>
      <c r="X3868" s="75" t="str">
        <f>IF(OR(TH!N4232=TH!$X$7,O3868=TH!$X$7),"x","")</f>
        <v/>
      </c>
      <c r="Y3868" s="75" t="str">
        <f>IF(AND(OR(N3868="131",O3868="131"),H3868='131-CT'!$H$9),"x","")</f>
        <v/>
      </c>
      <c r="Z3868" s="75"/>
      <c r="AA3868" s="75" t="str">
        <f>IF(AND(MONTH(E3868)='IN-NX'!$J$5,'IN-NX'!$D$7=D3868),"x","")</f>
        <v/>
      </c>
      <c r="AB3868" s="75" t="str">
        <f>IF(AND(OR(LEFT(TH!N4232,2)="15",LEFT(TH!O4232,2)="15"),LEFT(TH!O4232,3)&lt;&gt;"111",'152-CT'!$J$8=TH!F4232),"x","")</f>
        <v/>
      </c>
      <c r="AC3868" s="75" t="str">
        <f>IF(AND(OR(LEFT(TH!N4232,2)="15",LEFT(TH!O4232,2)="15"),TK!$E$7=TH!F4232),"x","")</f>
        <v/>
      </c>
      <c r="AD3868" s="75" t="str">
        <f>IF(AND(N3868="1521",MONTH(C3868)='BK-NL'!$M$11),"x","")</f>
        <v/>
      </c>
      <c r="AE3868">
        <v>9</v>
      </c>
    </row>
    <row r="3869" spans="1:31" ht="16.5" customHeight="1">
      <c r="A3869" s="309" t="str">
        <f>IF(B3869&lt;&gt;"",IF(AND(B3869='IN-TC'!$S$4,OR(TH!N3867="1111",TH!O3867="1111")),TH!D3867,""),"")</f>
        <v/>
      </c>
      <c r="B3869" s="1241">
        <f t="shared" si="1306"/>
        <v>4</v>
      </c>
      <c r="C3869" s="292">
        <f t="shared" si="1305"/>
        <v>42828</v>
      </c>
      <c r="D3869" s="292" t="s">
        <v>1917</v>
      </c>
      <c r="E3869" s="292">
        <v>42828</v>
      </c>
      <c r="F3869" s="1010" t="s">
        <v>1895</v>
      </c>
      <c r="G3869" s="925"/>
      <c r="H3869" s="311"/>
      <c r="I3869" s="373"/>
      <c r="J3869" s="926"/>
      <c r="K3869" s="373"/>
      <c r="L3869" s="379"/>
      <c r="M3869" s="927">
        <v>100000</v>
      </c>
      <c r="N3869" s="295" t="s">
        <v>9</v>
      </c>
      <c r="O3869" s="295" t="s">
        <v>63</v>
      </c>
      <c r="P3869" s="75" t="str">
        <f>IF(AND('331-CT'!$E$7=TH!H4233,OR(N3869="331",O3869="331")),"x","")</f>
        <v/>
      </c>
      <c r="Q3869" s="75" t="str">
        <f>IF(AND(B3869='111'!$L$11,OR($N3869=$Q$7,$O3869=$Q$7)),"x","")</f>
        <v/>
      </c>
      <c r="R3869" s="75" t="str">
        <f>IF(AND($N3869=$Q$7,$B3869&lt;'111'!$L$11),"x","")</f>
        <v/>
      </c>
      <c r="S3869" s="75" t="str">
        <f>IF(AND($O3869=$Q$7,$B3869&lt;'111'!$L$11),"x","")</f>
        <v>x</v>
      </c>
      <c r="T3869" s="75" t="str">
        <f>IF(ISERROR(FIND('112'!$M$9,G3869,1)),"",IF((AND(FIND('112'!$M$9,G3869,1)&gt;=1,B3869='112'!$K$9,OR($N3869='112'!$I$6,$O3869='112'!$I$6))),"x",""))</f>
        <v/>
      </c>
      <c r="U3869" s="75" t="str">
        <f>IF(ISERROR(FIND('112'!$M$9,G3869,1)),"",IF((AND(LEFT(G3869,2)=LEFT('112'!$M$9,2),B3869&lt;'112'!$K$9,$N3869='112'!$I$6)),"x",""))</f>
        <v/>
      </c>
      <c r="V3869" s="75" t="str">
        <f>IF(ISERROR(FIND('112'!$M$9,G3869,1)),"",IF((AND(RIGHT(G3869,2)=RIGHT('112'!$M$9,2),B3869&lt;'112'!$K$9,$O3869='112'!$I$6)),"x",""))</f>
        <v/>
      </c>
      <c r="W3869" s="75" t="str">
        <f>IF(AND('341-CT'!$H$9=H3869,OR(LEFT(N3869,3)=$W$7,LEFT(O3869,3)=$W$7)),"x","")</f>
        <v/>
      </c>
      <c r="X3869" s="75" t="str">
        <f>IF(OR(TH!N4233=TH!$X$7,O3869=TH!$X$7),"x","")</f>
        <v>x</v>
      </c>
      <c r="Y3869" s="75" t="str">
        <f>IF(AND(OR(N3869="131",O3869="131"),H3869='131-CT'!$H$9),"x","")</f>
        <v/>
      </c>
      <c r="Z3869" s="75"/>
      <c r="AA3869" s="75" t="str">
        <f>IF(AND(MONTH(E3869)='IN-NX'!$J$5,'IN-NX'!$D$7=D3869),"x","")</f>
        <v/>
      </c>
      <c r="AB3869" s="75" t="str">
        <f>IF(AND(OR(LEFT(TH!N4233,2)="15",LEFT(TH!O4233,2)="15"),LEFT(TH!O4233,3)&lt;&gt;"111",'152-CT'!$J$8=TH!F4233),"x","")</f>
        <v/>
      </c>
      <c r="AC3869" s="75" t="str">
        <f>IF(AND(OR(LEFT(TH!N4233,2)="15",LEFT(TH!O4233,2)="15"),TK!$E$7=TH!F4233),"x","")</f>
        <v/>
      </c>
      <c r="AD3869" s="75" t="str">
        <f>IF(AND(N3869="1521",MONTH(C3869)='BK-NL'!$M$11),"x","")</f>
        <v/>
      </c>
      <c r="AE3869">
        <v>9</v>
      </c>
    </row>
    <row r="3870" spans="1:31" ht="16.5" customHeight="1">
      <c r="A3870" s="309" t="str">
        <f>IF(B3870&lt;&gt;"",IF(AND(B3870='IN-TC'!$S$4,OR(TH!N3868="1111",TH!O3868="1111")),TH!D3868,""),"")</f>
        <v/>
      </c>
      <c r="B3870" s="1241">
        <f t="shared" si="1306"/>
        <v>4</v>
      </c>
      <c r="C3870" s="292">
        <f t="shared" si="1305"/>
        <v>42828</v>
      </c>
      <c r="D3870" s="59" t="s">
        <v>902</v>
      </c>
      <c r="E3870" s="59">
        <v>42828</v>
      </c>
      <c r="F3870" s="131" t="s">
        <v>1307</v>
      </c>
      <c r="G3870" s="62" t="s">
        <v>747</v>
      </c>
      <c r="H3870" s="311" t="s">
        <v>835</v>
      </c>
      <c r="I3870" s="373"/>
      <c r="J3870" s="379"/>
      <c r="K3870" s="373"/>
      <c r="L3870" s="379"/>
      <c r="M3870" s="60">
        <v>2506900</v>
      </c>
      <c r="N3870" s="61" t="s">
        <v>101</v>
      </c>
      <c r="O3870" s="295" t="s">
        <v>26</v>
      </c>
      <c r="P3870" s="75" t="str">
        <f>IF(AND('331-CT'!$E$7=TH!H5054,OR(N3870="331",O3870="331")),"x","")</f>
        <v/>
      </c>
      <c r="Q3870" s="75" t="str">
        <f>IF(AND(B3870='111'!$L$11,OR($N3870=$Q$7,$O3870=$Q$7)),"x","")</f>
        <v/>
      </c>
      <c r="R3870" s="75" t="str">
        <f>IF(AND($N3870=$Q$7,$B3870&lt;'111'!$L$11),"x","")</f>
        <v/>
      </c>
      <c r="S3870" s="75" t="str">
        <f>IF(AND($O3870=$Q$7,$B3870&lt;'111'!$L$11),"x","")</f>
        <v/>
      </c>
      <c r="T3870" s="75" t="str">
        <f>IF(ISERROR(FIND('112'!$M$9,G3870,1)),"",IF((AND(FIND('112'!$M$9,G3870,1)&gt;=1,B3870='112'!$K$9,OR($N3870='112'!$I$6,$O3870='112'!$I$6))),"x",""))</f>
        <v/>
      </c>
      <c r="U3870" s="75" t="str">
        <f>IF(ISERROR(FIND('112'!$M$9,G3870,1)),"",IF((AND(LEFT(G3870,2)=LEFT('112'!$M$9,2),B3870&lt;'112'!$K$9,$N3870='112'!$I$6)),"x",""))</f>
        <v/>
      </c>
      <c r="V3870" s="75" t="str">
        <f>IF(ISERROR(FIND('112'!$M$9,G3870,1)),"",IF((AND(RIGHT(G3870,2)=RIGHT('112'!$M$9,2),B3870&lt;'112'!$K$9,$O3870='112'!$I$6)),"x",""))</f>
        <v/>
      </c>
      <c r="W3870" s="75" t="str">
        <f>IF(AND('341-CT'!$H$9=H3870,OR(LEFT(N3870,3)=$W$7,LEFT(O3870,3)=$W$7)),"x","")</f>
        <v/>
      </c>
      <c r="X3870" s="75" t="str">
        <f>IF(OR(TH!N5054=TH!$X$7,O3870=TH!$X$7),"x","")</f>
        <v/>
      </c>
      <c r="Y3870" s="75" t="str">
        <f>IF(AND(OR(N3870="131",O3870="131"),H3870='131-CT'!$H$9),"x","")</f>
        <v/>
      </c>
      <c r="Z3870" s="75"/>
      <c r="AA3870" s="75" t="str">
        <f>IF(AND(MONTH(E3870)='IN-NX'!$J$5,'IN-NX'!$D$7=D3870),"x","")</f>
        <v/>
      </c>
      <c r="AB3870" s="75" t="str">
        <f>IF(AND(OR(LEFT(TH!N5054,2)="15",LEFT(TH!O5054,2)="15"),LEFT(TH!O5054,3)&lt;&gt;"111",'152-CT'!$J$8=TH!F5054),"x","")</f>
        <v/>
      </c>
      <c r="AC3870" s="75" t="str">
        <f>IF(AND(OR(LEFT(TH!N5054,2)="15",LEFT(TH!O5054,2)="15"),TK!$E$7=TH!F5054),"x","")</f>
        <v/>
      </c>
      <c r="AD3870" s="75" t="str">
        <f>IF(AND(N3870="1521",MONTH(C3870)='BK-NL'!$M$11),"x","")</f>
        <v/>
      </c>
    </row>
    <row r="3871" spans="1:31" ht="16.5" customHeight="1">
      <c r="A3871" s="309" t="str">
        <f>IF(B3871&lt;&gt;"",IF(AND(B3871='IN-TC'!$S$4,OR(TH!N3869="1111",TH!O3869="1111")),TH!D3869,""),"")</f>
        <v/>
      </c>
      <c r="B3871" s="1241">
        <f t="shared" si="1306"/>
        <v>4</v>
      </c>
      <c r="C3871" s="292">
        <f t="shared" si="1305"/>
        <v>42828</v>
      </c>
      <c r="D3871" s="59" t="s">
        <v>902</v>
      </c>
      <c r="E3871" s="59">
        <v>42828</v>
      </c>
      <c r="F3871" s="131" t="s">
        <v>1308</v>
      </c>
      <c r="G3871" s="62" t="s">
        <v>747</v>
      </c>
      <c r="H3871" s="311" t="s">
        <v>562</v>
      </c>
      <c r="I3871" s="373"/>
      <c r="J3871" s="379"/>
      <c r="K3871" s="373"/>
      <c r="L3871" s="379"/>
      <c r="M3871" s="60">
        <v>65615943</v>
      </c>
      <c r="N3871" s="61" t="s">
        <v>8</v>
      </c>
      <c r="O3871" s="61" t="s">
        <v>26</v>
      </c>
      <c r="P3871" s="75" t="str">
        <f>IF(AND('331-CT'!$E$7=TH!H5055,OR(N3871="331",O3871="331")),"x","")</f>
        <v/>
      </c>
      <c r="Q3871" s="75" t="str">
        <f>IF(AND(B3871='111'!$L$11,OR($N3871=$Q$7,$O3871=$Q$7)),"x","")</f>
        <v/>
      </c>
      <c r="R3871" s="75" t="str">
        <f>IF(AND($N3871=$Q$7,$B3871&lt;'111'!$L$11),"x","")</f>
        <v/>
      </c>
      <c r="S3871" s="75" t="str">
        <f>IF(AND($O3871=$Q$7,$B3871&lt;'111'!$L$11),"x","")</f>
        <v/>
      </c>
      <c r="T3871" s="75" t="str">
        <f>IF(ISERROR(FIND('112'!$M$9,G3871,1)),"",IF((AND(FIND('112'!$M$9,G3871,1)&gt;=1,B3871='112'!$K$9,OR($N3871='112'!$I$6,$O3871='112'!$I$6))),"x",""))</f>
        <v/>
      </c>
      <c r="U3871" s="75" t="str">
        <f>IF(ISERROR(FIND('112'!$M$9,G3871,1)),"",IF((AND(LEFT(G3871,2)=LEFT('112'!$M$9,2),B3871&lt;'112'!$K$9,$N3871='112'!$I$6)),"x",""))</f>
        <v/>
      </c>
      <c r="V3871" s="75" t="str">
        <f>IF(ISERROR(FIND('112'!$M$9,G3871,1)),"",IF((AND(RIGHT(G3871,2)=RIGHT('112'!$M$9,2),B3871&lt;'112'!$K$9,$O3871='112'!$I$6)),"x",""))</f>
        <v/>
      </c>
      <c r="W3871" s="75" t="str">
        <f>IF(AND('341-CT'!$H$9=H3871,OR(LEFT(N3871,3)=$W$7,LEFT(O3871,3)=$W$7)),"x","")</f>
        <v/>
      </c>
      <c r="X3871" s="75" t="str">
        <f>IF(OR(TH!N5055=TH!$X$7,O3871=TH!$X$7),"x","")</f>
        <v/>
      </c>
      <c r="Y3871" s="75" t="str">
        <f>IF(AND(OR(N3871="131",O3871="131"),H3871='131-CT'!$H$9),"x","")</f>
        <v/>
      </c>
      <c r="Z3871" s="75"/>
      <c r="AA3871" s="75" t="str">
        <f>IF(AND(MONTH(E3871)='IN-NX'!$J$5,'IN-NX'!$D$7=D3871),"x","")</f>
        <v/>
      </c>
      <c r="AB3871" s="75" t="str">
        <f>IF(AND(OR(LEFT(TH!N5055,2)="15",LEFT(TH!O5055,2)="15"),LEFT(TH!O5055,3)&lt;&gt;"111",'152-CT'!$J$8=TH!F5055),"x","")</f>
        <v/>
      </c>
      <c r="AC3871" s="75" t="str">
        <f>IF(AND(OR(LEFT(TH!N5055,2)="15",LEFT(TH!O5055,2)="15"),TK!$E$7=TH!F5055),"x","")</f>
        <v/>
      </c>
      <c r="AD3871" s="75" t="str">
        <f>IF(AND(N3871="1521",MONTH(C3871)='BK-NL'!$M$11),"x","")</f>
        <v/>
      </c>
    </row>
    <row r="3872" spans="1:31" ht="16.5" customHeight="1">
      <c r="A3872" s="309" t="str">
        <f>IF(B3872&lt;&gt;"",IF(AND(B3872='IN-TC'!$S$4,OR(TH!N3870="1111",TH!O3870="1111")),TH!D3870,""),"")</f>
        <v/>
      </c>
      <c r="B3872" s="1241">
        <f t="shared" si="1306"/>
        <v>4</v>
      </c>
      <c r="C3872" s="292">
        <f t="shared" si="1305"/>
        <v>42828</v>
      </c>
      <c r="D3872" s="59" t="s">
        <v>902</v>
      </c>
      <c r="E3872" s="59">
        <v>42828</v>
      </c>
      <c r="F3872" s="131" t="s">
        <v>870</v>
      </c>
      <c r="G3872" s="62" t="s">
        <v>747</v>
      </c>
      <c r="H3872" s="311" t="s">
        <v>835</v>
      </c>
      <c r="I3872" s="373"/>
      <c r="J3872" s="379"/>
      <c r="K3872" s="373"/>
      <c r="L3872" s="379"/>
      <c r="M3872" s="60">
        <v>10000</v>
      </c>
      <c r="N3872" s="61" t="s">
        <v>101</v>
      </c>
      <c r="O3872" s="61" t="s">
        <v>26</v>
      </c>
      <c r="P3872" s="75" t="str">
        <f>IF(AND('331-CT'!$E$7=TH!H5056,OR(N3872="331",O3872="331")),"x","")</f>
        <v/>
      </c>
      <c r="Q3872" s="75" t="str">
        <f>IF(AND(B3872='111'!$L$11,OR($N3872=$Q$7,$O3872=$Q$7)),"x","")</f>
        <v/>
      </c>
      <c r="R3872" s="75" t="str">
        <f>IF(AND($N3872=$Q$7,$B3872&lt;'111'!$L$11),"x","")</f>
        <v/>
      </c>
      <c r="S3872" s="75" t="str">
        <f>IF(AND($O3872=$Q$7,$B3872&lt;'111'!$L$11),"x","")</f>
        <v/>
      </c>
      <c r="T3872" s="75" t="str">
        <f>IF(ISERROR(FIND('112'!$M$9,G3872,1)),"",IF((AND(FIND('112'!$M$9,G3872,1)&gt;=1,B3872='112'!$K$9,OR($N3872='112'!$I$6,$O3872='112'!$I$6))),"x",""))</f>
        <v/>
      </c>
      <c r="U3872" s="75" t="str">
        <f>IF(ISERROR(FIND('112'!$M$9,G3872,1)),"",IF((AND(LEFT(G3872,2)=LEFT('112'!$M$9,2),B3872&lt;'112'!$K$9,$N3872='112'!$I$6)),"x",""))</f>
        <v/>
      </c>
      <c r="V3872" s="75" t="str">
        <f>IF(ISERROR(FIND('112'!$M$9,G3872,1)),"",IF((AND(RIGHT(G3872,2)=RIGHT('112'!$M$9,2),B3872&lt;'112'!$K$9,$O3872='112'!$I$6)),"x",""))</f>
        <v/>
      </c>
      <c r="W3872" s="75" t="str">
        <f>IF(AND('341-CT'!$H$9=H3872,OR(LEFT(N3872,3)=$W$7,LEFT(O3872,3)=$W$7)),"x","")</f>
        <v/>
      </c>
      <c r="X3872" s="75" t="str">
        <f>IF(OR(TH!N5056=TH!$X$7,O3872=TH!$X$7),"x","")</f>
        <v/>
      </c>
      <c r="Y3872" s="75" t="str">
        <f>IF(AND(OR(N3872="131",O3872="131"),H3872='131-CT'!$H$9),"x","")</f>
        <v/>
      </c>
      <c r="Z3872" s="75"/>
      <c r="AA3872" s="75" t="str">
        <f>IF(AND(MONTH(E3872)='IN-NX'!$J$5,'IN-NX'!$D$7=D3872),"x","")</f>
        <v/>
      </c>
      <c r="AB3872" s="75" t="str">
        <f>IF(AND(OR(LEFT(TH!N5056,2)="15",LEFT(TH!O5056,2)="15"),LEFT(TH!O5056,3)&lt;&gt;"111",'152-CT'!$J$8=TH!F5056),"x","")</f>
        <v/>
      </c>
      <c r="AC3872" s="75" t="str">
        <f>IF(AND(OR(LEFT(TH!N5056,2)="15",LEFT(TH!O5056,2)="15"),TK!$E$7=TH!F5056),"x","")</f>
        <v/>
      </c>
      <c r="AD3872" s="75" t="str">
        <f>IF(AND(N3872="1521",MONTH(C3872)='BK-NL'!$M$11),"x","")</f>
        <v/>
      </c>
    </row>
    <row r="3873" spans="1:30" ht="16.5" customHeight="1">
      <c r="A3873" s="309" t="str">
        <f>IF(B3873&lt;&gt;"",IF(AND(B3873='IN-TC'!$S$4,OR(TH!N3871="1111",TH!O3871="1111")),TH!D3871,""),"")</f>
        <v/>
      </c>
      <c r="B3873" s="1241">
        <f t="shared" si="1306"/>
        <v>4</v>
      </c>
      <c r="C3873" s="292">
        <f t="shared" si="1305"/>
        <v>42828</v>
      </c>
      <c r="D3873" s="59" t="s">
        <v>902</v>
      </c>
      <c r="E3873" s="59">
        <v>42828</v>
      </c>
      <c r="F3873" s="131" t="s">
        <v>898</v>
      </c>
      <c r="G3873" s="62" t="s">
        <v>747</v>
      </c>
      <c r="H3873" s="311" t="s">
        <v>835</v>
      </c>
      <c r="I3873" s="373"/>
      <c r="J3873" s="379"/>
      <c r="K3873" s="373"/>
      <c r="L3873" s="379"/>
      <c r="M3873" s="60">
        <v>1000</v>
      </c>
      <c r="N3873" s="61" t="s">
        <v>9</v>
      </c>
      <c r="O3873" s="61" t="s">
        <v>26</v>
      </c>
      <c r="P3873" s="75" t="str">
        <f>IF(AND('331-CT'!$E$7=TH!H5057,OR(N3873="331",O3873="331")),"x","")</f>
        <v/>
      </c>
      <c r="Q3873" s="75" t="str">
        <f>IF(AND(B3873='111'!$L$11,OR($N3873=$Q$7,$O3873=$Q$7)),"x","")</f>
        <v/>
      </c>
      <c r="R3873" s="75" t="str">
        <f>IF(AND($N3873=$Q$7,$B3873&lt;'111'!$L$11),"x","")</f>
        <v/>
      </c>
      <c r="S3873" s="75" t="str">
        <f>IF(AND($O3873=$Q$7,$B3873&lt;'111'!$L$11),"x","")</f>
        <v/>
      </c>
      <c r="T3873" s="75" t="str">
        <f>IF(ISERROR(FIND('112'!$M$9,G3873,1)),"",IF((AND(FIND('112'!$M$9,G3873,1)&gt;=1,B3873='112'!$K$9,OR($N3873='112'!$I$6,$O3873='112'!$I$6))),"x",""))</f>
        <v/>
      </c>
      <c r="U3873" s="75" t="str">
        <f>IF(ISERROR(FIND('112'!$M$9,G3873,1)),"",IF((AND(LEFT(G3873,2)=LEFT('112'!$M$9,2),B3873&lt;'112'!$K$9,$N3873='112'!$I$6)),"x",""))</f>
        <v/>
      </c>
      <c r="V3873" s="75" t="str">
        <f>IF(ISERROR(FIND('112'!$M$9,G3873,1)),"",IF((AND(RIGHT(G3873,2)=RIGHT('112'!$M$9,2),B3873&lt;'112'!$K$9,$O3873='112'!$I$6)),"x",""))</f>
        <v/>
      </c>
      <c r="W3873" s="75" t="str">
        <f>IF(AND('341-CT'!$H$9=H3873,OR(LEFT(N3873,3)=$W$7,LEFT(O3873,3)=$W$7)),"x","")</f>
        <v/>
      </c>
      <c r="X3873" s="75" t="str">
        <f>IF(OR(TH!N5057=TH!$X$7,O3873=TH!$X$7),"x","")</f>
        <v/>
      </c>
      <c r="Y3873" s="75" t="str">
        <f>IF(AND(OR(N3873="131",O3873="131"),H3873='131-CT'!$H$9),"x","")</f>
        <v/>
      </c>
      <c r="Z3873" s="75"/>
      <c r="AA3873" s="75" t="str">
        <f>IF(AND(MONTH(E3873)='IN-NX'!$J$5,'IN-NX'!$D$7=D3873),"x","")</f>
        <v/>
      </c>
      <c r="AB3873" s="75" t="str">
        <f>IF(AND(OR(LEFT(TH!N5057,2)="15",LEFT(TH!O5057,2)="15"),LEFT(TH!O5057,3)&lt;&gt;"111",'152-CT'!$J$8=TH!F5057),"x","")</f>
        <v/>
      </c>
      <c r="AC3873" s="75" t="str">
        <f>IF(AND(OR(LEFT(TH!N5057,2)="15",LEFT(TH!O5057,2)="15"),TK!$E$7=TH!F5057),"x","")</f>
        <v/>
      </c>
      <c r="AD3873" s="75" t="str">
        <f>IF(AND(N3873="1521",MONTH(C3873)='BK-NL'!$M$11),"x","")</f>
        <v/>
      </c>
    </row>
    <row r="3874" spans="1:30" ht="16.5" customHeight="1">
      <c r="A3874" s="309" t="str">
        <f>IF(B3874&lt;&gt;"",IF(AND(B3874='IN-TC'!$S$4,OR(TH!N3872="1111",TH!O3872="1111")),TH!D3872,""),"")</f>
        <v/>
      </c>
      <c r="B3874" s="1241">
        <f t="shared" si="1306"/>
        <v>4</v>
      </c>
      <c r="C3874" s="292">
        <f t="shared" si="1305"/>
        <v>42828</v>
      </c>
      <c r="D3874" s="59" t="s">
        <v>902</v>
      </c>
      <c r="E3874" s="59">
        <v>42828</v>
      </c>
      <c r="F3874" s="1125" t="s">
        <v>252</v>
      </c>
      <c r="G3874" s="62" t="s">
        <v>747</v>
      </c>
      <c r="H3874" s="962" t="s">
        <v>1558</v>
      </c>
      <c r="I3874" s="373"/>
      <c r="J3874" s="379"/>
      <c r="K3874" s="373">
        <v>96000</v>
      </c>
      <c r="L3874" s="379">
        <v>22731</v>
      </c>
      <c r="M3874" s="60">
        <f>K3874*L3874</f>
        <v>2182176000</v>
      </c>
      <c r="N3874" s="61" t="s">
        <v>26</v>
      </c>
      <c r="O3874" s="61" t="s">
        <v>250</v>
      </c>
      <c r="P3874" s="75" t="str">
        <f>IF(AND('331-CT'!$E$7=TH!H5058,OR(N3874="331",O3874="331")),"x","")</f>
        <v/>
      </c>
      <c r="Q3874" s="75" t="str">
        <f>IF(AND(B3874='111'!$L$11,OR($N3874=$Q$7,$O3874=$Q$7)),"x","")</f>
        <v/>
      </c>
      <c r="R3874" s="75" t="str">
        <f>IF(AND($N3874=$Q$7,$B3874&lt;'111'!$L$11),"x","")</f>
        <v/>
      </c>
      <c r="S3874" s="75" t="str">
        <f>IF(AND($O3874=$Q$7,$B3874&lt;'111'!$L$11),"x","")</f>
        <v/>
      </c>
      <c r="T3874" s="75" t="str">
        <f>IF(ISERROR(FIND('112'!$M$9,G3874,1)),"",IF((AND(FIND('112'!$M$9,G3874,1)&gt;=1,B3874='112'!$K$9,OR($N3874='112'!$I$6,$O3874='112'!$I$6))),"x",""))</f>
        <v/>
      </c>
      <c r="U3874" s="75" t="str">
        <f>IF(ISERROR(FIND('112'!$M$9,G3874,1)),"",IF((AND(LEFT(G3874,2)=LEFT('112'!$M$9,2),B3874&lt;'112'!$K$9,$N3874='112'!$I$6)),"x",""))</f>
        <v/>
      </c>
      <c r="V3874" s="75" t="str">
        <f>IF(ISERROR(FIND('112'!$M$9,G3874,1)),"",IF((AND(RIGHT(G3874,2)=RIGHT('112'!$M$9,2),B3874&lt;'112'!$K$9,$O3874='112'!$I$6)),"x",""))</f>
        <v/>
      </c>
      <c r="W3874" s="75" t="str">
        <f>IF(AND('341-CT'!$H$9=H3874,OR(LEFT(N3874,3)=$W$7,LEFT(O3874,3)=$W$7)),"x","")</f>
        <v/>
      </c>
      <c r="X3874" s="75" t="str">
        <f>IF(OR(TH!N5058=TH!$X$7,O3874=TH!$X$7),"x","")</f>
        <v/>
      </c>
      <c r="Y3874" s="75" t="str">
        <f>IF(AND(OR(N3874="131",O3874="131"),H3874='131-CT'!$H$9),"x","")</f>
        <v/>
      </c>
      <c r="Z3874" s="75"/>
      <c r="AA3874" s="75" t="str">
        <f>IF(AND(MONTH(E3874)='IN-NX'!$J$5,'IN-NX'!$D$7=D3874),"x","")</f>
        <v/>
      </c>
      <c r="AB3874" s="75" t="str">
        <f>IF(AND(OR(LEFT(TH!N5058,2)="15",LEFT(TH!O5058,2)="15"),LEFT(TH!O5058,3)&lt;&gt;"111",'152-CT'!$J$8=TH!F5058),"x","")</f>
        <v/>
      </c>
      <c r="AC3874" s="75" t="str">
        <f>IF(AND(OR(LEFT(TH!N5058,2)="15",LEFT(TH!O5058,2)="15"),TK!$E$7=TH!F5058),"x","")</f>
        <v/>
      </c>
      <c r="AD3874" s="75" t="str">
        <f>IF(AND(N3874="1521",MONTH(C3874)='BK-NL'!$M$11),"x","")</f>
        <v/>
      </c>
    </row>
    <row r="3875" spans="1:30" ht="16.5" customHeight="1">
      <c r="A3875" s="309" t="str">
        <f>IF(B3875&lt;&gt;"",IF(AND(B3875='IN-TC'!$S$4,OR(TH!N3873="1111",TH!O3873="1111")),TH!D3873,""),"")</f>
        <v/>
      </c>
      <c r="B3875" s="1241">
        <f t="shared" si="1306"/>
        <v>4</v>
      </c>
      <c r="C3875" s="292">
        <f t="shared" si="1305"/>
        <v>42828</v>
      </c>
      <c r="D3875" s="59" t="s">
        <v>902</v>
      </c>
      <c r="E3875" s="59">
        <v>42828</v>
      </c>
      <c r="F3875" s="131" t="s">
        <v>1307</v>
      </c>
      <c r="G3875" s="62" t="s">
        <v>747</v>
      </c>
      <c r="H3875" s="311" t="s">
        <v>835</v>
      </c>
      <c r="I3875" s="373"/>
      <c r="J3875" s="379"/>
      <c r="K3875" s="373"/>
      <c r="L3875" s="379"/>
      <c r="M3875" s="60">
        <v>2318147</v>
      </c>
      <c r="N3875" s="61" t="s">
        <v>101</v>
      </c>
      <c r="O3875" s="295" t="s">
        <v>26</v>
      </c>
      <c r="P3875" s="75" t="str">
        <f>IF(AND('331-CT'!$E$7=TH!H5059,OR(N3875="331",O3875="331")),"x","")</f>
        <v/>
      </c>
      <c r="Q3875" s="75" t="str">
        <f>IF(AND(B3875='111'!$L$11,OR($N3875=$Q$7,$O3875=$Q$7)),"x","")</f>
        <v/>
      </c>
      <c r="R3875" s="75" t="str">
        <f>IF(AND($N3875=$Q$7,$B3875&lt;'111'!$L$11),"x","")</f>
        <v/>
      </c>
      <c r="S3875" s="75" t="str">
        <f>IF(AND($O3875=$Q$7,$B3875&lt;'111'!$L$11),"x","")</f>
        <v/>
      </c>
      <c r="T3875" s="75" t="str">
        <f>IF(ISERROR(FIND('112'!$M$9,G3875,1)),"",IF((AND(FIND('112'!$M$9,G3875,1)&gt;=1,B3875='112'!$K$9,OR($N3875='112'!$I$6,$O3875='112'!$I$6))),"x",""))</f>
        <v/>
      </c>
      <c r="U3875" s="75" t="str">
        <f>IF(ISERROR(FIND('112'!$M$9,G3875,1)),"",IF((AND(LEFT(G3875,2)=LEFT('112'!$M$9,2),B3875&lt;'112'!$K$9,$N3875='112'!$I$6)),"x",""))</f>
        <v/>
      </c>
      <c r="V3875" s="75" t="str">
        <f>IF(ISERROR(FIND('112'!$M$9,G3875,1)),"",IF((AND(RIGHT(G3875,2)=RIGHT('112'!$M$9,2),B3875&lt;'112'!$K$9,$O3875='112'!$I$6)),"x",""))</f>
        <v/>
      </c>
      <c r="W3875" s="75" t="str">
        <f>IF(AND('341-CT'!$H$9=H3875,OR(LEFT(N3875,3)=$W$7,LEFT(O3875,3)=$W$7)),"x","")</f>
        <v/>
      </c>
      <c r="X3875" s="75" t="str">
        <f>IF(OR(TH!N5059=TH!$X$7,O3875=TH!$X$7),"x","")</f>
        <v/>
      </c>
      <c r="Y3875" s="75" t="str">
        <f>IF(AND(OR(N3875="131",O3875="131"),H3875='131-CT'!$H$9),"x","")</f>
        <v/>
      </c>
      <c r="Z3875" s="75"/>
      <c r="AA3875" s="75" t="str">
        <f>IF(AND(MONTH(E3875)='IN-NX'!$J$5,'IN-NX'!$D$7=D3875),"x","")</f>
        <v/>
      </c>
      <c r="AB3875" s="75" t="str">
        <f>IF(AND(OR(LEFT(TH!N5059,2)="15",LEFT(TH!O5059,2)="15"),LEFT(TH!O5059,3)&lt;&gt;"111",'152-CT'!$J$8=TH!F5059),"x","")</f>
        <v/>
      </c>
      <c r="AC3875" s="75" t="str">
        <f>IF(AND(OR(LEFT(TH!N5059,2)="15",LEFT(TH!O5059,2)="15"),TK!$E$7=TH!F5059),"x","")</f>
        <v/>
      </c>
      <c r="AD3875" s="75" t="str">
        <f>IF(AND(N3875="1521",MONTH(C3875)='BK-NL'!$M$11),"x","")</f>
        <v/>
      </c>
    </row>
    <row r="3876" spans="1:30" ht="16.5" customHeight="1">
      <c r="A3876" s="309" t="str">
        <f>IF(B3876&lt;&gt;"",IF(AND(B3876='IN-TC'!$S$4,OR(TH!N3874="1111",TH!O3874="1111")),TH!D3874,""),"")</f>
        <v/>
      </c>
      <c r="B3876" s="1241">
        <f t="shared" si="1306"/>
        <v>4</v>
      </c>
      <c r="C3876" s="292">
        <f t="shared" si="1305"/>
        <v>42829</v>
      </c>
      <c r="D3876" s="292" t="s">
        <v>843</v>
      </c>
      <c r="E3876" s="292">
        <v>42829</v>
      </c>
      <c r="F3876" s="1125" t="s">
        <v>834</v>
      </c>
      <c r="G3876" s="943" t="s">
        <v>747</v>
      </c>
      <c r="H3876" s="67" t="s">
        <v>1023</v>
      </c>
      <c r="I3876" s="373"/>
      <c r="J3876" s="926"/>
      <c r="K3876" s="373"/>
      <c r="L3876" s="379"/>
      <c r="M3876" s="927">
        <v>2200000000</v>
      </c>
      <c r="N3876" s="295" t="s">
        <v>63</v>
      </c>
      <c r="O3876" s="295" t="s">
        <v>26</v>
      </c>
      <c r="P3876" s="75" t="str">
        <f>IF(AND('331-CT'!$E$7=TH!H5061,OR(N3876="331",O3876="331")),"x","")</f>
        <v/>
      </c>
      <c r="Q3876" s="75" t="str">
        <f>IF(AND(B3876='111'!$L$11,OR($N3876=$Q$7,$O3876=$Q$7)),"x","")</f>
        <v/>
      </c>
      <c r="R3876" s="75" t="str">
        <f>IF(AND($N3876=$Q$7,$B3876&lt;'111'!$L$11),"x","")</f>
        <v>x</v>
      </c>
      <c r="S3876" s="75" t="str">
        <f>IF(AND($O3876=$Q$7,$B3876&lt;'111'!$L$11),"x","")</f>
        <v/>
      </c>
      <c r="T3876" s="75" t="str">
        <f>IF(ISERROR(FIND('112'!$M$9,G3876,1)),"",IF((AND(FIND('112'!$M$9,G3876,1)&gt;=1,B3876='112'!$K$9,OR($N3876='112'!$I$6,$O3876='112'!$I$6))),"x",""))</f>
        <v/>
      </c>
      <c r="U3876" s="75" t="str">
        <f>IF(ISERROR(FIND('112'!$M$9,G3876,1)),"",IF((AND(LEFT(G3876,2)=LEFT('112'!$M$9,2),B3876&lt;'112'!$K$9,$N3876='112'!$I$6)),"x",""))</f>
        <v/>
      </c>
      <c r="V3876" s="75" t="str">
        <f>IF(ISERROR(FIND('112'!$M$9,G3876,1)),"",IF((AND(RIGHT(G3876,2)=RIGHT('112'!$M$9,2),B3876&lt;'112'!$K$9,$O3876='112'!$I$6)),"x",""))</f>
        <v/>
      </c>
      <c r="W3876" s="75" t="str">
        <f>IF(AND('341-CT'!$H$9=H3876,OR(LEFT(N3876,3)=$W$7,LEFT(O3876,3)=$W$7)),"x","")</f>
        <v/>
      </c>
      <c r="X3876" s="75" t="str">
        <f>IF(OR(TH!N5061=TH!$X$7,O3876=TH!$X$7),"x","")</f>
        <v/>
      </c>
      <c r="Y3876" s="75" t="str">
        <f>IF(AND(OR(N3876="131",O3876="131"),H3876='131-CT'!$H$9),"x","")</f>
        <v/>
      </c>
      <c r="Z3876" s="75"/>
      <c r="AA3876" s="75" t="str">
        <f>IF(AND(MONTH(E3876)='IN-NX'!$J$5,'IN-NX'!$D$7=D3876),"x","")</f>
        <v/>
      </c>
      <c r="AB3876" s="75" t="str">
        <f>IF(AND(OR(LEFT(TH!N5061,2)="15",LEFT(TH!O5061,2)="15"),LEFT(TH!O5061,3)&lt;&gt;"111",'152-CT'!$J$8=TH!F5061),"x","")</f>
        <v/>
      </c>
      <c r="AC3876" s="75" t="str">
        <f>IF(AND(OR(LEFT(TH!N5061,2)="15",LEFT(TH!O5061,2)="15"),TK!$E$7=TH!F5061),"x","")</f>
        <v/>
      </c>
      <c r="AD3876" s="75" t="str">
        <f>IF(AND(N3876="1521",MONTH(C3876)='BK-NL'!$M$11),"x","")</f>
        <v/>
      </c>
    </row>
    <row r="3877" spans="1:30" ht="16.5" customHeight="1">
      <c r="A3877" s="309" t="str">
        <f>IF(B3877&lt;&gt;"",IF(AND(B3877='IN-TC'!$S$4,OR(TH!N3875="1111",TH!O3875="1111")),TH!D3875,""),"")</f>
        <v/>
      </c>
      <c r="B3877" s="1241">
        <f t="shared" si="1306"/>
        <v>4</v>
      </c>
      <c r="C3877" s="292">
        <f t="shared" si="1305"/>
        <v>42829</v>
      </c>
      <c r="D3877" s="292" t="s">
        <v>1926</v>
      </c>
      <c r="E3877" s="292">
        <v>42829</v>
      </c>
      <c r="F3877" s="1126" t="s">
        <v>1165</v>
      </c>
      <c r="G3877" s="931" t="s">
        <v>1683</v>
      </c>
      <c r="H3877" s="296" t="s">
        <v>1684</v>
      </c>
      <c r="I3877" s="371"/>
      <c r="J3877" s="932"/>
      <c r="K3877" s="371"/>
      <c r="L3877" s="377"/>
      <c r="M3877" s="933">
        <v>19650400</v>
      </c>
      <c r="N3877" s="934" t="s">
        <v>8</v>
      </c>
      <c r="O3877" s="934" t="s">
        <v>63</v>
      </c>
      <c r="P3877" s="75" t="str">
        <f>IF(AND('331-CT'!$E$7=TH!H3574,OR(N3877="331",O3877="331")),"x","")</f>
        <v/>
      </c>
      <c r="Q3877" s="75" t="str">
        <f>IF(AND(B3877='111'!$L$11,OR($N3877=$Q$7,$O3877=$Q$7)),"x","")</f>
        <v/>
      </c>
      <c r="R3877" s="75" t="str">
        <f>IF(AND($N3877=$Q$7,$B3877&lt;'111'!$L$11),"x","")</f>
        <v/>
      </c>
      <c r="S3877" s="75" t="str">
        <f>IF(AND($O3877=$Q$7,$B3877&lt;'111'!$L$11),"x","")</f>
        <v>x</v>
      </c>
      <c r="T3877" s="75" t="str">
        <f>IF(ISERROR(FIND('112'!$M$9,G3877,1)),"",IF((AND(FIND('112'!$M$9,G3877,1)&gt;=1,B3877='112'!$K$9,OR($N3877='112'!$I$6,$O3877='112'!$I$6))),"x",""))</f>
        <v/>
      </c>
      <c r="U3877" s="75" t="str">
        <f>IF(ISERROR(FIND('112'!$M$9,G3877,1)),"",IF((AND(LEFT(G3877,2)=LEFT('112'!$M$9,2),B3877&lt;'112'!$K$9,$N3877='112'!$I$6)),"x",""))</f>
        <v/>
      </c>
      <c r="V3877" s="75" t="str">
        <f>IF(ISERROR(FIND('112'!$M$9,G3877,1)),"",IF((AND(RIGHT(G3877,2)=RIGHT('112'!$M$9,2),B3877&lt;'112'!$K$9,$O3877='112'!$I$6)),"x",""))</f>
        <v/>
      </c>
      <c r="W3877" s="75" t="str">
        <f>IF(AND('341-CT'!$H$9=H3877,OR(LEFT(N3877,3)=$W$7,LEFT(O3877,3)=$W$7)),"x","")</f>
        <v/>
      </c>
      <c r="X3877" s="75" t="str">
        <f>IF(OR(TH!N3574=TH!$X$7,O3877=TH!$X$7),"x","")</f>
        <v/>
      </c>
      <c r="Y3877" s="75" t="str">
        <f>IF(AND(OR(N3877="131",O3877="131"),H3877='131-CT'!$H$9),"x","")</f>
        <v/>
      </c>
      <c r="Z3877" s="75"/>
      <c r="AA3877" s="75" t="str">
        <f>IF(AND(MONTH(E3877)='IN-NX'!$J$5,'IN-NX'!$D$7=D3877),"x","")</f>
        <v/>
      </c>
      <c r="AB3877" s="75" t="str">
        <f>IF(AND(OR(LEFT(TH!N3574,2)="15",LEFT(TH!O3574,2)="15"),LEFT(TH!O3574,3)&lt;&gt;"111",'152-CT'!$J$8=TH!F3574),"x","")</f>
        <v/>
      </c>
      <c r="AC3877" s="75" t="str">
        <f>IF(AND(OR(LEFT(TH!N3574,2)="15",LEFT(TH!O3574,2)="15"),TK!$E$7=TH!F3574),"x","")</f>
        <v/>
      </c>
      <c r="AD3877" s="75" t="str">
        <f>IF(AND(N3877="1521",MONTH(C3877)='BK-NL'!$M$11),"x","")</f>
        <v/>
      </c>
    </row>
    <row r="3878" spans="1:30" ht="16.5" customHeight="1">
      <c r="A3878" s="309" t="str">
        <f>IF(B3878&lt;&gt;"",IF(AND(B3878='IN-TC'!$S$4,OR(TH!N3876="1111",TH!O3876="1111")),TH!D3876,""),"")</f>
        <v/>
      </c>
      <c r="B3878" s="1241">
        <f t="shared" si="1306"/>
        <v>4</v>
      </c>
      <c r="C3878" s="292">
        <f t="shared" si="1305"/>
        <v>42829</v>
      </c>
      <c r="D3878" s="59" t="s">
        <v>903</v>
      </c>
      <c r="E3878" s="59">
        <v>42829</v>
      </c>
      <c r="F3878" s="1127" t="s">
        <v>914</v>
      </c>
      <c r="G3878" s="62" t="s">
        <v>585</v>
      </c>
      <c r="H3878" s="67" t="s">
        <v>845</v>
      </c>
      <c r="I3878" s="373"/>
      <c r="J3878" s="379"/>
      <c r="K3878" s="373"/>
      <c r="L3878" s="379"/>
      <c r="M3878" s="60">
        <v>2277</v>
      </c>
      <c r="N3878" s="61" t="s">
        <v>26</v>
      </c>
      <c r="O3878" s="295" t="s">
        <v>43</v>
      </c>
      <c r="P3878" s="75" t="str">
        <f>IF(AND('331-CT'!$E$7=TH!H4717,OR(N3878="331",O3878="331")),"x","")</f>
        <v/>
      </c>
      <c r="Q3878" s="75" t="str">
        <f>IF(AND(B3878='111'!$L$11,OR($N3878=$Q$7,$O3878=$Q$7)),"x","")</f>
        <v/>
      </c>
      <c r="R3878" s="75" t="str">
        <f>IF(AND($N3878=$Q$7,$B3878&lt;'111'!$L$11),"x","")</f>
        <v/>
      </c>
      <c r="S3878" s="75" t="str">
        <f>IF(AND($O3878=$Q$7,$B3878&lt;'111'!$L$11),"x","")</f>
        <v/>
      </c>
      <c r="T3878" s="75" t="str">
        <f>IF(ISERROR(FIND('112'!$M$9,G3878,1)),"",IF((AND(FIND('112'!$M$9,G3878,1)&gt;=1,B3878='112'!$K$9,OR($N3878='112'!$I$6,$O3878='112'!$I$6))),"x",""))</f>
        <v/>
      </c>
      <c r="U3878" s="75" t="str">
        <f>IF(ISERROR(FIND('112'!$M$9,G3878,1)),"",IF((AND(LEFT(G3878,2)=LEFT('112'!$M$9,2),B3878&lt;'112'!$K$9,$N3878='112'!$I$6)),"x",""))</f>
        <v/>
      </c>
      <c r="V3878" s="75" t="str">
        <f>IF(ISERROR(FIND('112'!$M$9,G3878,1)),"",IF((AND(RIGHT(G3878,2)=RIGHT('112'!$M$9,2),B3878&lt;'112'!$K$9,$O3878='112'!$I$6)),"x",""))</f>
        <v/>
      </c>
      <c r="W3878" s="75" t="str">
        <f>IF(AND('341-CT'!$H$9=H3878,OR(LEFT(N3878,3)=$W$7,LEFT(O3878,3)=$W$7)),"x","")</f>
        <v/>
      </c>
      <c r="X3878" s="75" t="str">
        <f>IF(OR(TH!N4717=TH!$X$7,O3878=TH!$X$7),"x","")</f>
        <v/>
      </c>
      <c r="Y3878" s="75" t="str">
        <f>IF(AND(OR(N3878="131",O3878="131"),H3878='131-CT'!$H$9),"x","")</f>
        <v/>
      </c>
      <c r="Z3878" s="75"/>
      <c r="AA3878" s="75" t="str">
        <f>IF(AND(MONTH(E3878)='IN-NX'!$J$5,'IN-NX'!$D$7=D3878),"x","")</f>
        <v/>
      </c>
      <c r="AB3878" s="75" t="str">
        <f>IF(AND(OR(LEFT(TH!N4717,2)="15",LEFT(TH!O4717,2)="15"),LEFT(TH!O4717,3)&lt;&gt;"111",'152-CT'!$J$8=TH!F4717),"x","")</f>
        <v/>
      </c>
      <c r="AC3878" s="75" t="str">
        <f>IF(AND(OR(LEFT(TH!N4717,2)="15",LEFT(TH!O4717,2)="15"),TK!$E$7=TH!F4717),"x","")</f>
        <v/>
      </c>
      <c r="AD3878" s="75" t="str">
        <f>IF(AND(N3878="1521",MONTH(C3878)='BK-NL'!$M$11),"x","")</f>
        <v/>
      </c>
    </row>
    <row r="3879" spans="1:30" ht="16.5" customHeight="1">
      <c r="A3879" s="309" t="str">
        <f>IF(B3879&lt;&gt;"",IF(AND(B3879='IN-TC'!$S$4,OR(TH!N3877="1111",TH!O3877="1111")),TH!D3877,""),"")</f>
        <v/>
      </c>
      <c r="B3879" s="1241">
        <f t="shared" si="1306"/>
        <v>4</v>
      </c>
      <c r="C3879" s="292">
        <f t="shared" si="1305"/>
        <v>42829</v>
      </c>
      <c r="D3879" s="292" t="s">
        <v>1925</v>
      </c>
      <c r="E3879" s="292">
        <v>42829</v>
      </c>
      <c r="F3879" s="131" t="s">
        <v>885</v>
      </c>
      <c r="G3879" s="62" t="s">
        <v>747</v>
      </c>
      <c r="H3879" s="311" t="s">
        <v>1023</v>
      </c>
      <c r="I3879" s="373"/>
      <c r="J3879" s="379"/>
      <c r="K3879" s="373"/>
      <c r="L3879" s="379"/>
      <c r="M3879" s="60">
        <v>1000000000</v>
      </c>
      <c r="N3879" s="61" t="s">
        <v>26</v>
      </c>
      <c r="O3879" s="295" t="s">
        <v>63</v>
      </c>
      <c r="P3879" s="75" t="str">
        <f>IF(AND('331-CT'!$E$7=TH!H5060,OR(N3879="331",O3879="331")),"x","")</f>
        <v/>
      </c>
      <c r="Q3879" s="75" t="str">
        <f>IF(AND(B3879='111'!$L$11,OR($N3879=$Q$7,$O3879=$Q$7)),"x","")</f>
        <v/>
      </c>
      <c r="R3879" s="75" t="str">
        <f>IF(AND($N3879=$Q$7,$B3879&lt;'111'!$L$11),"x","")</f>
        <v/>
      </c>
      <c r="S3879" s="75" t="str">
        <f>IF(AND($O3879=$Q$7,$B3879&lt;'111'!$L$11),"x","")</f>
        <v>x</v>
      </c>
      <c r="T3879" s="75" t="str">
        <f>IF(ISERROR(FIND('112'!$M$9,G3879,1)),"",IF((AND(FIND('112'!$M$9,G3879,1)&gt;=1,B3879='112'!$K$9,OR($N3879='112'!$I$6,$O3879='112'!$I$6))),"x",""))</f>
        <v/>
      </c>
      <c r="U3879" s="75" t="str">
        <f>IF(ISERROR(FIND('112'!$M$9,G3879,1)),"",IF((AND(LEFT(G3879,2)=LEFT('112'!$M$9,2),B3879&lt;'112'!$K$9,$N3879='112'!$I$6)),"x",""))</f>
        <v/>
      </c>
      <c r="V3879" s="75" t="str">
        <f>IF(ISERROR(FIND('112'!$M$9,G3879,1)),"",IF((AND(RIGHT(G3879,2)=RIGHT('112'!$M$9,2),B3879&lt;'112'!$K$9,$O3879='112'!$I$6)),"x",""))</f>
        <v/>
      </c>
      <c r="W3879" s="75" t="str">
        <f>IF(AND('341-CT'!$H$9=H3879,OR(LEFT(N3879,3)=$W$7,LEFT(O3879,3)=$W$7)),"x","")</f>
        <v/>
      </c>
      <c r="X3879" s="75" t="str">
        <f>IF(OR(TH!N5060=TH!$X$7,O3879=TH!$X$7),"x","")</f>
        <v/>
      </c>
      <c r="Y3879" s="75" t="str">
        <f>IF(AND(OR(N3879="131",O3879="131"),H3879='131-CT'!$H$9),"x","")</f>
        <v/>
      </c>
      <c r="Z3879" s="75"/>
      <c r="AA3879" s="75" t="str">
        <f>IF(AND(MONTH(E3879)='IN-NX'!$J$5,'IN-NX'!$D$7=D3879),"x","")</f>
        <v/>
      </c>
      <c r="AB3879" s="75" t="str">
        <f>IF(AND(OR(LEFT(TH!N5060,2)="15",LEFT(TH!O5060,2)="15"),LEFT(TH!O5060,3)&lt;&gt;"111",'152-CT'!$J$8=TH!F5060),"x","")</f>
        <v/>
      </c>
      <c r="AC3879" s="75" t="str">
        <f>IF(AND(OR(LEFT(TH!N5060,2)="15",LEFT(TH!O5060,2)="15"),TK!$E$7=TH!F5060),"x","")</f>
        <v/>
      </c>
      <c r="AD3879" s="75" t="str">
        <f>IF(AND(N3879="1521",MONTH(C3879)='BK-NL'!$M$11),"x","")</f>
        <v/>
      </c>
    </row>
    <row r="3880" spans="1:30" ht="16.5" customHeight="1">
      <c r="A3880" s="309" t="str">
        <f>IF(B3880&lt;&gt;"",IF(AND(B3880='IN-TC'!$S$4,OR(TH!N3878="1111",TH!O3878="1111")),TH!D3878,""),"")</f>
        <v/>
      </c>
      <c r="B3880" s="1241">
        <f t="shared" si="1306"/>
        <v>4</v>
      </c>
      <c r="C3880" s="292">
        <f t="shared" si="1305"/>
        <v>42829</v>
      </c>
      <c r="D3880" s="59" t="s">
        <v>902</v>
      </c>
      <c r="E3880" s="59">
        <v>42829</v>
      </c>
      <c r="F3880" s="131" t="s">
        <v>1309</v>
      </c>
      <c r="G3880" s="62" t="s">
        <v>747</v>
      </c>
      <c r="H3880" s="311" t="s">
        <v>563</v>
      </c>
      <c r="I3880" s="373"/>
      <c r="J3880" s="379"/>
      <c r="K3880" s="373"/>
      <c r="L3880" s="379"/>
      <c r="M3880" s="60">
        <v>36617790</v>
      </c>
      <c r="N3880" s="61" t="s">
        <v>8</v>
      </c>
      <c r="O3880" s="61" t="s">
        <v>26</v>
      </c>
      <c r="P3880" s="75" t="str">
        <f>IF(AND('331-CT'!$E$7=TH!H5062,OR(N3880="331",O3880="331")),"x","")</f>
        <v/>
      </c>
      <c r="Q3880" s="75" t="str">
        <f>IF(AND(B3880='111'!$L$11,OR($N3880=$Q$7,$O3880=$Q$7)),"x","")</f>
        <v/>
      </c>
      <c r="R3880" s="75" t="str">
        <f>IF(AND($N3880=$Q$7,$B3880&lt;'111'!$L$11),"x","")</f>
        <v/>
      </c>
      <c r="S3880" s="75" t="str">
        <f>IF(AND($O3880=$Q$7,$B3880&lt;'111'!$L$11),"x","")</f>
        <v/>
      </c>
      <c r="T3880" s="75" t="str">
        <f>IF(ISERROR(FIND('112'!$M$9,G3880,1)),"",IF((AND(FIND('112'!$M$9,G3880,1)&gt;=1,B3880='112'!$K$9,OR($N3880='112'!$I$6,$O3880='112'!$I$6))),"x",""))</f>
        <v/>
      </c>
      <c r="U3880" s="75" t="str">
        <f>IF(ISERROR(FIND('112'!$M$9,G3880,1)),"",IF((AND(LEFT(G3880,2)=LEFT('112'!$M$9,2),B3880&lt;'112'!$K$9,$N3880='112'!$I$6)),"x",""))</f>
        <v/>
      </c>
      <c r="V3880" s="75" t="str">
        <f>IF(ISERROR(FIND('112'!$M$9,G3880,1)),"",IF((AND(RIGHT(G3880,2)=RIGHT('112'!$M$9,2),B3880&lt;'112'!$K$9,$O3880='112'!$I$6)),"x",""))</f>
        <v/>
      </c>
      <c r="W3880" s="75" t="str">
        <f>IF(AND('341-CT'!$H$9=H3880,OR(LEFT(N3880,3)=$W$7,LEFT(O3880,3)=$W$7)),"x","")</f>
        <v/>
      </c>
      <c r="X3880" s="75" t="str">
        <f>IF(OR(TH!N5062=TH!$X$7,O3880=TH!$X$7),"x","")</f>
        <v/>
      </c>
      <c r="Y3880" s="75" t="str">
        <f>IF(AND(OR(N3880="131",O3880="131"),H3880='131-CT'!$H$9),"x","")</f>
        <v/>
      </c>
      <c r="Z3880" s="75"/>
      <c r="AA3880" s="75" t="str">
        <f>IF(AND(MONTH(E3880)='IN-NX'!$J$5,'IN-NX'!$D$7=D3880),"x","")</f>
        <v/>
      </c>
      <c r="AB3880" s="75" t="str">
        <f>IF(AND(OR(LEFT(TH!N5062,2)="15",LEFT(TH!O5062,2)="15"),LEFT(TH!O5062,3)&lt;&gt;"111",'152-CT'!$J$8=TH!F5062),"x","")</f>
        <v/>
      </c>
      <c r="AC3880" s="75" t="str">
        <f>IF(AND(OR(LEFT(TH!N5062,2)="15",LEFT(TH!O5062,2)="15"),TK!$E$7=TH!F5062),"x","")</f>
        <v/>
      </c>
      <c r="AD3880" s="75" t="str">
        <f>IF(AND(N3880="1521",MONTH(C3880)='BK-NL'!$M$11),"x","")</f>
        <v/>
      </c>
    </row>
    <row r="3881" spans="1:30" ht="16.5" customHeight="1">
      <c r="A3881" s="309" t="str">
        <f>IF(B3881&lt;&gt;"",IF(AND(B3881='IN-TC'!$S$4,OR(TH!N3879="1111",TH!O3879="1111")),TH!D3879,""),"")</f>
        <v/>
      </c>
      <c r="B3881" s="1241">
        <f t="shared" si="1306"/>
        <v>4</v>
      </c>
      <c r="C3881" s="292">
        <f t="shared" si="1305"/>
        <v>42829</v>
      </c>
      <c r="D3881" s="59" t="s">
        <v>902</v>
      </c>
      <c r="E3881" s="59">
        <v>42829</v>
      </c>
      <c r="F3881" s="131" t="s">
        <v>870</v>
      </c>
      <c r="G3881" s="62" t="s">
        <v>747</v>
      </c>
      <c r="H3881" s="311" t="s">
        <v>835</v>
      </c>
      <c r="I3881" s="373"/>
      <c r="J3881" s="379"/>
      <c r="K3881" s="373"/>
      <c r="L3881" s="379"/>
      <c r="M3881" s="60">
        <v>10000</v>
      </c>
      <c r="N3881" s="61" t="s">
        <v>101</v>
      </c>
      <c r="O3881" s="61" t="s">
        <v>26</v>
      </c>
      <c r="P3881" s="75" t="str">
        <f>IF(AND('331-CT'!$E$7=TH!H5063,OR(N3881="331",O3881="331")),"x","")</f>
        <v/>
      </c>
      <c r="Q3881" s="75" t="str">
        <f>IF(AND(B3881='111'!$L$11,OR($N3881=$Q$7,$O3881=$Q$7)),"x","")</f>
        <v/>
      </c>
      <c r="R3881" s="75" t="str">
        <f>IF(AND($N3881=$Q$7,$B3881&lt;'111'!$L$11),"x","")</f>
        <v/>
      </c>
      <c r="S3881" s="75" t="str">
        <f>IF(AND($O3881=$Q$7,$B3881&lt;'111'!$L$11),"x","")</f>
        <v/>
      </c>
      <c r="T3881" s="75" t="str">
        <f>IF(ISERROR(FIND('112'!$M$9,G3881,1)),"",IF((AND(FIND('112'!$M$9,G3881,1)&gt;=1,B3881='112'!$K$9,OR($N3881='112'!$I$6,$O3881='112'!$I$6))),"x",""))</f>
        <v/>
      </c>
      <c r="U3881" s="75" t="str">
        <f>IF(ISERROR(FIND('112'!$M$9,G3881,1)),"",IF((AND(LEFT(G3881,2)=LEFT('112'!$M$9,2),B3881&lt;'112'!$K$9,$N3881='112'!$I$6)),"x",""))</f>
        <v/>
      </c>
      <c r="V3881" s="75" t="str">
        <f>IF(ISERROR(FIND('112'!$M$9,G3881,1)),"",IF((AND(RIGHT(G3881,2)=RIGHT('112'!$M$9,2),B3881&lt;'112'!$K$9,$O3881='112'!$I$6)),"x",""))</f>
        <v/>
      </c>
      <c r="W3881" s="75" t="str">
        <f>IF(AND('341-CT'!$H$9=H3881,OR(LEFT(N3881,3)=$W$7,LEFT(O3881,3)=$W$7)),"x","")</f>
        <v/>
      </c>
      <c r="X3881" s="75" t="str">
        <f>IF(OR(TH!N5063=TH!$X$7,O3881=TH!$X$7),"x","")</f>
        <v/>
      </c>
      <c r="Y3881" s="75" t="str">
        <f>IF(AND(OR(N3881="131",O3881="131"),H3881='131-CT'!$H$9),"x","")</f>
        <v/>
      </c>
      <c r="Z3881" s="75"/>
      <c r="AA3881" s="75" t="str">
        <f>IF(AND(MONTH(E3881)='IN-NX'!$J$5,'IN-NX'!$D$7=D3881),"x","")</f>
        <v/>
      </c>
      <c r="AB3881" s="75" t="str">
        <f>IF(AND(OR(LEFT(TH!N5063,2)="15",LEFT(TH!O5063,2)="15"),LEFT(TH!O5063,3)&lt;&gt;"111",'152-CT'!$J$8=TH!F5063),"x","")</f>
        <v/>
      </c>
      <c r="AC3881" s="75" t="str">
        <f>IF(AND(OR(LEFT(TH!N5063,2)="15",LEFT(TH!O5063,2)="15"),TK!$E$7=TH!F5063),"x","")</f>
        <v/>
      </c>
      <c r="AD3881" s="75" t="str">
        <f>IF(AND(N3881="1521",MONTH(C3881)='BK-NL'!$M$11),"x","")</f>
        <v/>
      </c>
    </row>
    <row r="3882" spans="1:30" ht="16.5" customHeight="1">
      <c r="A3882" s="309" t="str">
        <f>IF(B3882&lt;&gt;"",IF(AND(B3882='IN-TC'!$S$4,OR(TH!N3880="1111",TH!O3880="1111")),TH!D3880,""),"")</f>
        <v/>
      </c>
      <c r="B3882" s="1241">
        <f t="shared" si="1306"/>
        <v>4</v>
      </c>
      <c r="C3882" s="292">
        <f t="shared" si="1305"/>
        <v>42829</v>
      </c>
      <c r="D3882" s="59" t="s">
        <v>902</v>
      </c>
      <c r="E3882" s="59">
        <v>42829</v>
      </c>
      <c r="F3882" s="62" t="s">
        <v>898</v>
      </c>
      <c r="G3882" s="62" t="s">
        <v>747</v>
      </c>
      <c r="H3882" s="311" t="s">
        <v>835</v>
      </c>
      <c r="I3882" s="373"/>
      <c r="J3882" s="379"/>
      <c r="K3882" s="373"/>
      <c r="L3882" s="379"/>
      <c r="M3882" s="60">
        <v>1000</v>
      </c>
      <c r="N3882" s="61" t="s">
        <v>9</v>
      </c>
      <c r="O3882" s="61" t="s">
        <v>26</v>
      </c>
      <c r="P3882" s="75" t="str">
        <f>IF(AND('331-CT'!$E$7=TH!H5064,OR(N3882="331",O3882="331")),"x","")</f>
        <v/>
      </c>
      <c r="Q3882" s="75" t="str">
        <f>IF(AND(B3882='111'!$L$11,OR($N3882=$Q$7,$O3882=$Q$7)),"x","")</f>
        <v/>
      </c>
      <c r="R3882" s="75" t="str">
        <f>IF(AND($N3882=$Q$7,$B3882&lt;'111'!$L$11),"x","")</f>
        <v/>
      </c>
      <c r="S3882" s="75" t="str">
        <f>IF(AND($O3882=$Q$7,$B3882&lt;'111'!$L$11),"x","")</f>
        <v/>
      </c>
      <c r="T3882" s="75" t="str">
        <f>IF(ISERROR(FIND('112'!$M$9,G3882,1)),"",IF((AND(FIND('112'!$M$9,G3882,1)&gt;=1,B3882='112'!$K$9,OR($N3882='112'!$I$6,$O3882='112'!$I$6))),"x",""))</f>
        <v/>
      </c>
      <c r="U3882" s="75" t="str">
        <f>IF(ISERROR(FIND('112'!$M$9,G3882,1)),"",IF((AND(LEFT(G3882,2)=LEFT('112'!$M$9,2),B3882&lt;'112'!$K$9,$N3882='112'!$I$6)),"x",""))</f>
        <v/>
      </c>
      <c r="V3882" s="75" t="str">
        <f>IF(ISERROR(FIND('112'!$M$9,G3882,1)),"",IF((AND(RIGHT(G3882,2)=RIGHT('112'!$M$9,2),B3882&lt;'112'!$K$9,$O3882='112'!$I$6)),"x",""))</f>
        <v/>
      </c>
      <c r="W3882" s="75" t="str">
        <f>IF(AND('341-CT'!$H$9=H3882,OR(LEFT(N3882,3)=$W$7,LEFT(O3882,3)=$W$7)),"x","")</f>
        <v/>
      </c>
      <c r="X3882" s="75" t="str">
        <f>IF(OR(TH!N5064=TH!$X$7,O3882=TH!$X$7),"x","")</f>
        <v/>
      </c>
      <c r="Y3882" s="75" t="str">
        <f>IF(AND(OR(N3882="131",O3882="131"),H3882='131-CT'!$H$9),"x","")</f>
        <v/>
      </c>
      <c r="Z3882" s="75"/>
      <c r="AA3882" s="75" t="str">
        <f>IF(AND(MONTH(E3882)='IN-NX'!$J$5,'IN-NX'!$D$7=D3882),"x","")</f>
        <v/>
      </c>
      <c r="AB3882" s="75" t="str">
        <f>IF(AND(OR(LEFT(TH!N5064,2)="15",LEFT(TH!O5064,2)="15"),LEFT(TH!O5064,3)&lt;&gt;"111",'152-CT'!$J$8=TH!F5064),"x","")</f>
        <v/>
      </c>
      <c r="AC3882" s="75" t="str">
        <f>IF(AND(OR(LEFT(TH!N5064,2)="15",LEFT(TH!O5064,2)="15"),TK!$E$7=TH!F5064),"x","")</f>
        <v/>
      </c>
      <c r="AD3882" s="75" t="str">
        <f>IF(AND(N3882="1521",MONTH(C3882)='BK-NL'!$M$11),"x","")</f>
        <v/>
      </c>
    </row>
    <row r="3883" spans="1:30" ht="16.5" customHeight="1">
      <c r="A3883" s="309" t="str">
        <f>IF(B3883&lt;&gt;"",IF(AND(B3883='IN-TC'!$S$4,OR(TH!N3881="1111",TH!O3881="1111")),TH!D3881,""),"")</f>
        <v/>
      </c>
      <c r="B3883" s="1241">
        <f t="shared" si="1306"/>
        <v>4</v>
      </c>
      <c r="C3883" s="292">
        <f t="shared" si="1305"/>
        <v>42829</v>
      </c>
      <c r="D3883" s="59" t="s">
        <v>902</v>
      </c>
      <c r="E3883" s="59">
        <v>42829</v>
      </c>
      <c r="F3883" s="62" t="s">
        <v>1310</v>
      </c>
      <c r="G3883" s="62" t="s">
        <v>747</v>
      </c>
      <c r="H3883" s="67" t="s">
        <v>739</v>
      </c>
      <c r="I3883" s="373"/>
      <c r="J3883" s="379"/>
      <c r="K3883" s="373"/>
      <c r="L3883" s="379"/>
      <c r="M3883" s="60">
        <v>18091316</v>
      </c>
      <c r="N3883" s="61" t="s">
        <v>8</v>
      </c>
      <c r="O3883" s="61" t="s">
        <v>26</v>
      </c>
      <c r="P3883" s="75" t="str">
        <f>IF(AND('331-CT'!$E$7=TH!H5065,OR(N3883="331",O3883="331")),"x","")</f>
        <v/>
      </c>
      <c r="Q3883" s="75" t="str">
        <f>IF(AND(B3883='111'!$L$11,OR($N3883=$Q$7,$O3883=$Q$7)),"x","")</f>
        <v/>
      </c>
      <c r="R3883" s="75" t="str">
        <f>IF(AND($N3883=$Q$7,$B3883&lt;'111'!$L$11),"x","")</f>
        <v/>
      </c>
      <c r="S3883" s="75" t="str">
        <f>IF(AND($O3883=$Q$7,$B3883&lt;'111'!$L$11),"x","")</f>
        <v/>
      </c>
      <c r="T3883" s="75" t="str">
        <f>IF(ISERROR(FIND('112'!$M$9,G3883,1)),"",IF((AND(FIND('112'!$M$9,G3883,1)&gt;=1,B3883='112'!$K$9,OR($N3883='112'!$I$6,$O3883='112'!$I$6))),"x",""))</f>
        <v/>
      </c>
      <c r="U3883" s="75" t="str">
        <f>IF(ISERROR(FIND('112'!$M$9,G3883,1)),"",IF((AND(LEFT(G3883,2)=LEFT('112'!$M$9,2),B3883&lt;'112'!$K$9,$N3883='112'!$I$6)),"x",""))</f>
        <v/>
      </c>
      <c r="V3883" s="75" t="str">
        <f>IF(ISERROR(FIND('112'!$M$9,G3883,1)),"",IF((AND(RIGHT(G3883,2)=RIGHT('112'!$M$9,2),B3883&lt;'112'!$K$9,$O3883='112'!$I$6)),"x",""))</f>
        <v/>
      </c>
      <c r="W3883" s="75" t="str">
        <f>IF(AND('341-CT'!$H$9=H3883,OR(LEFT(N3883,3)=$W$7,LEFT(O3883,3)=$W$7)),"x","")</f>
        <v/>
      </c>
      <c r="X3883" s="75" t="str">
        <f>IF(OR(TH!N5065=TH!$X$7,O3883=TH!$X$7),"x","")</f>
        <v/>
      </c>
      <c r="Y3883" s="75" t="str">
        <f>IF(AND(OR(N3883="131",O3883="131"),H3883='131-CT'!$H$9),"x","")</f>
        <v/>
      </c>
      <c r="Z3883" s="75"/>
      <c r="AA3883" s="75" t="str">
        <f>IF(AND(MONTH(E3883)='IN-NX'!$J$5,'IN-NX'!$D$7=D3883),"x","")</f>
        <v/>
      </c>
      <c r="AB3883" s="75" t="str">
        <f>IF(AND(OR(LEFT(TH!N5065,2)="15",LEFT(TH!O5065,2)="15"),LEFT(TH!O5065,3)&lt;&gt;"111",'152-CT'!$J$8=TH!F5065),"x","")</f>
        <v/>
      </c>
      <c r="AC3883" s="75" t="str">
        <f>IF(AND(OR(LEFT(TH!N5065,2)="15",LEFT(TH!O5065,2)="15"),TK!$E$7=TH!F5065),"x","")</f>
        <v/>
      </c>
      <c r="AD3883" s="75" t="str">
        <f>IF(AND(N3883="1521",MONTH(C3883)='BK-NL'!$M$11),"x","")</f>
        <v/>
      </c>
    </row>
    <row r="3884" spans="1:30" ht="16.5" customHeight="1">
      <c r="A3884" s="309" t="str">
        <f>IF(B3884&lt;&gt;"",IF(AND(B3884='IN-TC'!$S$4,OR(TH!N3882="1111",TH!O3882="1111")),TH!D3882,""),"")</f>
        <v/>
      </c>
      <c r="B3884" s="1241">
        <f t="shared" si="1306"/>
        <v>4</v>
      </c>
      <c r="C3884" s="292">
        <f t="shared" si="1305"/>
        <v>42829</v>
      </c>
      <c r="D3884" s="59" t="s">
        <v>902</v>
      </c>
      <c r="E3884" s="59">
        <v>42829</v>
      </c>
      <c r="F3884" s="131" t="s">
        <v>870</v>
      </c>
      <c r="G3884" s="62" t="s">
        <v>747</v>
      </c>
      <c r="H3884" s="311" t="s">
        <v>835</v>
      </c>
      <c r="I3884" s="373"/>
      <c r="J3884" s="379"/>
      <c r="K3884" s="373"/>
      <c r="L3884" s="379"/>
      <c r="M3884" s="60">
        <v>10000</v>
      </c>
      <c r="N3884" s="61" t="s">
        <v>101</v>
      </c>
      <c r="O3884" s="61" t="s">
        <v>26</v>
      </c>
      <c r="P3884" s="75" t="str">
        <f>IF(AND('331-CT'!$E$7=TH!H5066,OR(N3884="331",O3884="331")),"x","")</f>
        <v/>
      </c>
      <c r="Q3884" s="75" t="str">
        <f>IF(AND(B3884='111'!$L$11,OR($N3884=$Q$7,$O3884=$Q$7)),"x","")</f>
        <v/>
      </c>
      <c r="R3884" s="75" t="str">
        <f>IF(AND($N3884=$Q$7,$B3884&lt;'111'!$L$11),"x","")</f>
        <v/>
      </c>
      <c r="S3884" s="75" t="str">
        <f>IF(AND($O3884=$Q$7,$B3884&lt;'111'!$L$11),"x","")</f>
        <v/>
      </c>
      <c r="T3884" s="75" t="str">
        <f>IF(ISERROR(FIND('112'!$M$9,G3884,1)),"",IF((AND(FIND('112'!$M$9,G3884,1)&gt;=1,B3884='112'!$K$9,OR($N3884='112'!$I$6,$O3884='112'!$I$6))),"x",""))</f>
        <v/>
      </c>
      <c r="U3884" s="75" t="str">
        <f>IF(ISERROR(FIND('112'!$M$9,G3884,1)),"",IF((AND(LEFT(G3884,2)=LEFT('112'!$M$9,2),B3884&lt;'112'!$K$9,$N3884='112'!$I$6)),"x",""))</f>
        <v/>
      </c>
      <c r="V3884" s="75" t="str">
        <f>IF(ISERROR(FIND('112'!$M$9,G3884,1)),"",IF((AND(RIGHT(G3884,2)=RIGHT('112'!$M$9,2),B3884&lt;'112'!$K$9,$O3884='112'!$I$6)),"x",""))</f>
        <v/>
      </c>
      <c r="W3884" s="75" t="str">
        <f>IF(AND('341-CT'!$H$9=H3884,OR(LEFT(N3884,3)=$W$7,LEFT(O3884,3)=$W$7)),"x","")</f>
        <v/>
      </c>
      <c r="X3884" s="75" t="str">
        <f>IF(OR(TH!N5066=TH!$X$7,O3884=TH!$X$7),"x","")</f>
        <v/>
      </c>
      <c r="Y3884" s="75" t="str">
        <f>IF(AND(OR(N3884="131",O3884="131"),H3884='131-CT'!$H$9),"x","")</f>
        <v/>
      </c>
      <c r="Z3884" s="75"/>
      <c r="AA3884" s="75" t="str">
        <f>IF(AND(MONTH(E3884)='IN-NX'!$J$5,'IN-NX'!$D$7=D3884),"x","")</f>
        <v/>
      </c>
      <c r="AB3884" s="75" t="str">
        <f>IF(AND(OR(LEFT(TH!N5066,2)="15",LEFT(TH!O5066,2)="15"),LEFT(TH!O5066,3)&lt;&gt;"111",'152-CT'!$J$8=TH!F5066),"x","")</f>
        <v/>
      </c>
      <c r="AC3884" s="75" t="str">
        <f>IF(AND(OR(LEFT(TH!N5066,2)="15",LEFT(TH!O5066,2)="15"),TK!$E$7=TH!F5066),"x","")</f>
        <v/>
      </c>
      <c r="AD3884" s="75" t="str">
        <f>IF(AND(N3884="1521",MONTH(C3884)='BK-NL'!$M$11),"x","")</f>
        <v/>
      </c>
    </row>
    <row r="3885" spans="1:30" ht="16.5" customHeight="1">
      <c r="A3885" s="309" t="str">
        <f>IF(B3885&lt;&gt;"",IF(AND(B3885='IN-TC'!$S$4,OR(TH!N3883="1111",TH!O3883="1111")),TH!D3883,""),"")</f>
        <v/>
      </c>
      <c r="B3885" s="1241">
        <f t="shared" si="1306"/>
        <v>4</v>
      </c>
      <c r="C3885" s="292">
        <f t="shared" si="1305"/>
        <v>42829</v>
      </c>
      <c r="D3885" s="59" t="s">
        <v>902</v>
      </c>
      <c r="E3885" s="59">
        <v>42829</v>
      </c>
      <c r="F3885" s="131" t="s">
        <v>898</v>
      </c>
      <c r="G3885" s="62" t="s">
        <v>747</v>
      </c>
      <c r="H3885" s="311" t="s">
        <v>835</v>
      </c>
      <c r="I3885" s="373"/>
      <c r="J3885" s="379"/>
      <c r="K3885" s="373"/>
      <c r="L3885" s="379"/>
      <c r="M3885" s="60">
        <v>1000</v>
      </c>
      <c r="N3885" s="61" t="s">
        <v>9</v>
      </c>
      <c r="O3885" s="61" t="s">
        <v>26</v>
      </c>
      <c r="P3885" s="75" t="str">
        <f>IF(AND('331-CT'!$E$7=TH!H5067,OR(N3885="331",O3885="331")),"x","")</f>
        <v/>
      </c>
      <c r="Q3885" s="75" t="str">
        <f>IF(AND(B3885='111'!$L$11,OR($N3885=$Q$7,$O3885=$Q$7)),"x","")</f>
        <v/>
      </c>
      <c r="R3885" s="75" t="str">
        <f>IF(AND($N3885=$Q$7,$B3885&lt;'111'!$L$11),"x","")</f>
        <v/>
      </c>
      <c r="S3885" s="75" t="str">
        <f>IF(AND($O3885=$Q$7,$B3885&lt;'111'!$L$11),"x","")</f>
        <v/>
      </c>
      <c r="T3885" s="75" t="str">
        <f>IF(ISERROR(FIND('112'!$M$9,G3885,1)),"",IF((AND(FIND('112'!$M$9,G3885,1)&gt;=1,B3885='112'!$K$9,OR($N3885='112'!$I$6,$O3885='112'!$I$6))),"x",""))</f>
        <v/>
      </c>
      <c r="U3885" s="75" t="str">
        <f>IF(ISERROR(FIND('112'!$M$9,G3885,1)),"",IF((AND(LEFT(G3885,2)=LEFT('112'!$M$9,2),B3885&lt;'112'!$K$9,$N3885='112'!$I$6)),"x",""))</f>
        <v/>
      </c>
      <c r="V3885" s="75" t="str">
        <f>IF(ISERROR(FIND('112'!$M$9,G3885,1)),"",IF((AND(RIGHT(G3885,2)=RIGHT('112'!$M$9,2),B3885&lt;'112'!$K$9,$O3885='112'!$I$6)),"x",""))</f>
        <v/>
      </c>
      <c r="W3885" s="75" t="str">
        <f>IF(AND('341-CT'!$H$9=H3885,OR(LEFT(N3885,3)=$W$7,LEFT(O3885,3)=$W$7)),"x","")</f>
        <v/>
      </c>
      <c r="X3885" s="75" t="str">
        <f>IF(OR(TH!N5067=TH!$X$7,O3885=TH!$X$7),"x","")</f>
        <v/>
      </c>
      <c r="Y3885" s="75" t="str">
        <f>IF(AND(OR(N3885="131",O3885="131"),H3885='131-CT'!$H$9),"x","")</f>
        <v/>
      </c>
      <c r="Z3885" s="75"/>
      <c r="AA3885" s="75" t="str">
        <f>IF(AND(MONTH(E3885)='IN-NX'!$J$5,'IN-NX'!$D$7=D3885),"x","")</f>
        <v/>
      </c>
      <c r="AB3885" s="75" t="str">
        <f>IF(AND(OR(LEFT(TH!N5067,2)="15",LEFT(TH!O5067,2)="15"),LEFT(TH!O5067,3)&lt;&gt;"111",'152-CT'!$J$8=TH!F5067),"x","")</f>
        <v/>
      </c>
      <c r="AC3885" s="75" t="str">
        <f>IF(AND(OR(LEFT(TH!N5067,2)="15",LEFT(TH!O5067,2)="15"),TK!$E$7=TH!F5067),"x","")</f>
        <v/>
      </c>
      <c r="AD3885" s="75" t="str">
        <f>IF(AND(N3885="1521",MONTH(C3885)='BK-NL'!$M$11),"x","")</f>
        <v/>
      </c>
    </row>
    <row r="3886" spans="1:30" ht="16.5" customHeight="1">
      <c r="A3886" s="309" t="str">
        <f>IF(B3886&lt;&gt;"",IF(AND(B3886='IN-TC'!$S$4,OR(TH!N3884="1111",TH!O3884="1111")),TH!D3884,""),"")</f>
        <v/>
      </c>
      <c r="B3886" s="1241">
        <f t="shared" si="1306"/>
        <v>4</v>
      </c>
      <c r="C3886" s="292">
        <f t="shared" si="1305"/>
        <v>42829</v>
      </c>
      <c r="D3886" s="59" t="s">
        <v>902</v>
      </c>
      <c r="E3886" s="59">
        <v>42829</v>
      </c>
      <c r="F3886" s="131" t="s">
        <v>1311</v>
      </c>
      <c r="G3886" s="62" t="s">
        <v>747</v>
      </c>
      <c r="H3886" s="67" t="s">
        <v>750</v>
      </c>
      <c r="I3886" s="373"/>
      <c r="J3886" s="379"/>
      <c r="K3886" s="373"/>
      <c r="L3886" s="379"/>
      <c r="M3886" s="60">
        <v>35250000</v>
      </c>
      <c r="N3886" s="61" t="s">
        <v>8</v>
      </c>
      <c r="O3886" s="61" t="s">
        <v>26</v>
      </c>
      <c r="P3886" s="75" t="str">
        <f>IF(AND('331-CT'!$E$7=TH!H5068,OR(N3886="331",O3886="331")),"x","")</f>
        <v/>
      </c>
      <c r="Q3886" s="75" t="str">
        <f>IF(AND(B3886='111'!$L$11,OR($N3886=$Q$7,$O3886=$Q$7)),"x","")</f>
        <v/>
      </c>
      <c r="R3886" s="75" t="str">
        <f>IF(AND($N3886=$Q$7,$B3886&lt;'111'!$L$11),"x","")</f>
        <v/>
      </c>
      <c r="S3886" s="75" t="str">
        <f>IF(AND($O3886=$Q$7,$B3886&lt;'111'!$L$11),"x","")</f>
        <v/>
      </c>
      <c r="T3886" s="75" t="str">
        <f>IF(ISERROR(FIND('112'!$M$9,G3886,1)),"",IF((AND(FIND('112'!$M$9,G3886,1)&gt;=1,B3886='112'!$K$9,OR($N3886='112'!$I$6,$O3886='112'!$I$6))),"x",""))</f>
        <v/>
      </c>
      <c r="U3886" s="75" t="str">
        <f>IF(ISERROR(FIND('112'!$M$9,G3886,1)),"",IF((AND(LEFT(G3886,2)=LEFT('112'!$M$9,2),B3886&lt;'112'!$K$9,$N3886='112'!$I$6)),"x",""))</f>
        <v/>
      </c>
      <c r="V3886" s="75" t="str">
        <f>IF(ISERROR(FIND('112'!$M$9,G3886,1)),"",IF((AND(RIGHT(G3886,2)=RIGHT('112'!$M$9,2),B3886&lt;'112'!$K$9,$O3886='112'!$I$6)),"x",""))</f>
        <v/>
      </c>
      <c r="W3886" s="75" t="str">
        <f>IF(AND('341-CT'!$H$9=H3886,OR(LEFT(N3886,3)=$W$7,LEFT(O3886,3)=$W$7)),"x","")</f>
        <v/>
      </c>
      <c r="X3886" s="75" t="str">
        <f>IF(OR(TH!N5068=TH!$X$7,O3886=TH!$X$7),"x","")</f>
        <v/>
      </c>
      <c r="Y3886" s="75" t="str">
        <f>IF(AND(OR(N3886="131",O3886="131"),H3886='131-CT'!$H$9),"x","")</f>
        <v/>
      </c>
      <c r="Z3886" s="75"/>
      <c r="AA3886" s="75" t="str">
        <f>IF(AND(MONTH(E3886)='IN-NX'!$J$5,'IN-NX'!$D$7=D3886),"x","")</f>
        <v/>
      </c>
      <c r="AB3886" s="75" t="str">
        <f>IF(AND(OR(LEFT(TH!N5068,2)="15",LEFT(TH!O5068,2)="15"),LEFT(TH!O5068,3)&lt;&gt;"111",'152-CT'!$J$8=TH!F5068),"x","")</f>
        <v/>
      </c>
      <c r="AC3886" s="75" t="str">
        <f>IF(AND(OR(LEFT(TH!N5068,2)="15",LEFT(TH!O5068,2)="15"),TK!$E$7=TH!F5068),"x","")</f>
        <v/>
      </c>
      <c r="AD3886" s="75" t="str">
        <f>IF(AND(N3886="1521",MONTH(C3886)='BK-NL'!$M$11),"x","")</f>
        <v/>
      </c>
    </row>
    <row r="3887" spans="1:30" ht="16.5" customHeight="1">
      <c r="A3887" s="309" t="str">
        <f>IF(B3887&lt;&gt;"",IF(AND(B3887='IN-TC'!$S$4,OR(TH!N3885="1111",TH!O3885="1111")),TH!D3885,""),"")</f>
        <v/>
      </c>
      <c r="B3887" s="1241">
        <f t="shared" si="1306"/>
        <v>4</v>
      </c>
      <c r="C3887" s="292">
        <f t="shared" si="1305"/>
        <v>42829</v>
      </c>
      <c r="D3887" s="59" t="s">
        <v>902</v>
      </c>
      <c r="E3887" s="59">
        <v>42829</v>
      </c>
      <c r="F3887" s="131" t="s">
        <v>870</v>
      </c>
      <c r="G3887" s="62" t="s">
        <v>747</v>
      </c>
      <c r="H3887" s="311" t="s">
        <v>835</v>
      </c>
      <c r="I3887" s="373"/>
      <c r="J3887" s="379"/>
      <c r="K3887" s="373"/>
      <c r="L3887" s="379"/>
      <c r="M3887" s="60">
        <v>10000</v>
      </c>
      <c r="N3887" s="61" t="s">
        <v>101</v>
      </c>
      <c r="O3887" s="61" t="s">
        <v>26</v>
      </c>
      <c r="P3887" s="75" t="str">
        <f>IF(AND('331-CT'!$E$7=TH!H5069,OR(N3887="331",O3887="331")),"x","")</f>
        <v/>
      </c>
      <c r="Q3887" s="75" t="str">
        <f>IF(AND(B3887='111'!$L$11,OR($N3887=$Q$7,$O3887=$Q$7)),"x","")</f>
        <v/>
      </c>
      <c r="R3887" s="75" t="str">
        <f>IF(AND($N3887=$Q$7,$B3887&lt;'111'!$L$11),"x","")</f>
        <v/>
      </c>
      <c r="S3887" s="75" t="str">
        <f>IF(AND($O3887=$Q$7,$B3887&lt;'111'!$L$11),"x","")</f>
        <v/>
      </c>
      <c r="T3887" s="75" t="str">
        <f>IF(ISERROR(FIND('112'!$M$9,G3887,1)),"",IF((AND(FIND('112'!$M$9,G3887,1)&gt;=1,B3887='112'!$K$9,OR($N3887='112'!$I$6,$O3887='112'!$I$6))),"x",""))</f>
        <v/>
      </c>
      <c r="U3887" s="75" t="str">
        <f>IF(ISERROR(FIND('112'!$M$9,G3887,1)),"",IF((AND(LEFT(G3887,2)=LEFT('112'!$M$9,2),B3887&lt;'112'!$K$9,$N3887='112'!$I$6)),"x",""))</f>
        <v/>
      </c>
      <c r="V3887" s="75" t="str">
        <f>IF(ISERROR(FIND('112'!$M$9,G3887,1)),"",IF((AND(RIGHT(G3887,2)=RIGHT('112'!$M$9,2),B3887&lt;'112'!$K$9,$O3887='112'!$I$6)),"x",""))</f>
        <v/>
      </c>
      <c r="W3887" s="75" t="str">
        <f>IF(AND('341-CT'!$H$9=H3887,OR(LEFT(N3887,3)=$W$7,LEFT(O3887,3)=$W$7)),"x","")</f>
        <v/>
      </c>
      <c r="X3887" s="75" t="str">
        <f>IF(OR(TH!N5069=TH!$X$7,O3887=TH!$X$7),"x","")</f>
        <v/>
      </c>
      <c r="Y3887" s="75" t="str">
        <f>IF(AND(OR(N3887="131",O3887="131"),H3887='131-CT'!$H$9),"x","")</f>
        <v/>
      </c>
      <c r="Z3887" s="75"/>
      <c r="AA3887" s="75" t="str">
        <f>IF(AND(MONTH(E3887)='IN-NX'!$J$5,'IN-NX'!$D$7=D3887),"x","")</f>
        <v/>
      </c>
      <c r="AB3887" s="75" t="str">
        <f>IF(AND(OR(LEFT(TH!N5069,2)="15",LEFT(TH!O5069,2)="15"),LEFT(TH!O5069,3)&lt;&gt;"111",'152-CT'!$J$8=TH!F5069),"x","")</f>
        <v/>
      </c>
      <c r="AC3887" s="75" t="str">
        <f>IF(AND(OR(LEFT(TH!N5069,2)="15",LEFT(TH!O5069,2)="15"),TK!$E$7=TH!F5069),"x","")</f>
        <v/>
      </c>
      <c r="AD3887" s="75" t="str">
        <f>IF(AND(N3887="1521",MONTH(C3887)='BK-NL'!$M$11),"x","")</f>
        <v/>
      </c>
    </row>
    <row r="3888" spans="1:30" ht="16.5" customHeight="1">
      <c r="A3888" s="309" t="str">
        <f>IF(B3888&lt;&gt;"",IF(AND(B3888='IN-TC'!$S$4,OR(TH!N3886="1111",TH!O3886="1111")),TH!D3886,""),"")</f>
        <v/>
      </c>
      <c r="B3888" s="1241">
        <f t="shared" si="1306"/>
        <v>4</v>
      </c>
      <c r="C3888" s="292">
        <f t="shared" si="1305"/>
        <v>42829</v>
      </c>
      <c r="D3888" s="59" t="s">
        <v>902</v>
      </c>
      <c r="E3888" s="59">
        <v>42829</v>
      </c>
      <c r="F3888" s="131" t="s">
        <v>898</v>
      </c>
      <c r="G3888" s="62" t="s">
        <v>747</v>
      </c>
      <c r="H3888" s="311" t="s">
        <v>835</v>
      </c>
      <c r="I3888" s="373"/>
      <c r="J3888" s="379"/>
      <c r="K3888" s="373"/>
      <c r="L3888" s="379"/>
      <c r="M3888" s="60">
        <v>1000</v>
      </c>
      <c r="N3888" s="61" t="s">
        <v>9</v>
      </c>
      <c r="O3888" s="61" t="s">
        <v>26</v>
      </c>
      <c r="P3888" s="75" t="str">
        <f>IF(AND('331-CT'!$E$7=TH!H5070,OR(N3888="331",O3888="331")),"x","")</f>
        <v/>
      </c>
      <c r="Q3888" s="75" t="str">
        <f>IF(AND(B3888='111'!$L$11,OR($N3888=$Q$7,$O3888=$Q$7)),"x","")</f>
        <v/>
      </c>
      <c r="R3888" s="75" t="str">
        <f>IF(AND($N3888=$Q$7,$B3888&lt;'111'!$L$11),"x","")</f>
        <v/>
      </c>
      <c r="S3888" s="75" t="str">
        <f>IF(AND($O3888=$Q$7,$B3888&lt;'111'!$L$11),"x","")</f>
        <v/>
      </c>
      <c r="T3888" s="75" t="str">
        <f>IF(ISERROR(FIND('112'!$M$9,G3888,1)),"",IF((AND(FIND('112'!$M$9,G3888,1)&gt;=1,B3888='112'!$K$9,OR($N3888='112'!$I$6,$O3888='112'!$I$6))),"x",""))</f>
        <v/>
      </c>
      <c r="U3888" s="75" t="str">
        <f>IF(ISERROR(FIND('112'!$M$9,G3888,1)),"",IF((AND(LEFT(G3888,2)=LEFT('112'!$M$9,2),B3888&lt;'112'!$K$9,$N3888='112'!$I$6)),"x",""))</f>
        <v/>
      </c>
      <c r="V3888" s="75" t="str">
        <f>IF(ISERROR(FIND('112'!$M$9,G3888,1)),"",IF((AND(RIGHT(G3888,2)=RIGHT('112'!$M$9,2),B3888&lt;'112'!$K$9,$O3888='112'!$I$6)),"x",""))</f>
        <v/>
      </c>
      <c r="W3888" s="75" t="str">
        <f>IF(AND('341-CT'!$H$9=H3888,OR(LEFT(N3888,3)=$W$7,LEFT(O3888,3)=$W$7)),"x","")</f>
        <v/>
      </c>
      <c r="X3888" s="75" t="str">
        <f>IF(OR(TH!N5070=TH!$X$7,O3888=TH!$X$7),"x","")</f>
        <v/>
      </c>
      <c r="Y3888" s="75" t="str">
        <f>IF(AND(OR(N3888="131",O3888="131"),H3888='131-CT'!$H$9),"x","")</f>
        <v/>
      </c>
      <c r="Z3888" s="75"/>
      <c r="AA3888" s="75" t="str">
        <f>IF(AND(MONTH(E3888)='IN-NX'!$J$5,'IN-NX'!$D$7=D3888),"x","")</f>
        <v/>
      </c>
      <c r="AB3888" s="75" t="str">
        <f>IF(AND(OR(LEFT(TH!N5070,2)="15",LEFT(TH!O5070,2)="15"),LEFT(TH!O5070,3)&lt;&gt;"111",'152-CT'!$J$8=TH!F5070),"x","")</f>
        <v/>
      </c>
      <c r="AC3888" s="75" t="str">
        <f>IF(AND(OR(LEFT(TH!N5070,2)="15",LEFT(TH!O5070,2)="15"),TK!$E$7=TH!F5070),"x","")</f>
        <v/>
      </c>
      <c r="AD3888" s="75" t="str">
        <f>IF(AND(N3888="1521",MONTH(C3888)='BK-NL'!$M$11),"x","")</f>
        <v/>
      </c>
    </row>
    <row r="3889" spans="1:30" ht="16.5" customHeight="1">
      <c r="A3889" s="309" t="str">
        <f>IF(B3889&lt;&gt;"",IF(AND(B3889='IN-TC'!$S$4,OR(TH!N3887="1111",TH!O3887="1111")),TH!D3887,""),"")</f>
        <v/>
      </c>
      <c r="B3889" s="1241">
        <f t="shared" si="1306"/>
        <v>4</v>
      </c>
      <c r="C3889" s="292">
        <f t="shared" si="1305"/>
        <v>42829</v>
      </c>
      <c r="D3889" s="59" t="s">
        <v>902</v>
      </c>
      <c r="E3889" s="59">
        <v>42829</v>
      </c>
      <c r="F3889" s="131" t="s">
        <v>1087</v>
      </c>
      <c r="G3889" s="62" t="s">
        <v>747</v>
      </c>
      <c r="H3889" s="294" t="s">
        <v>622</v>
      </c>
      <c r="I3889" s="373"/>
      <c r="J3889" s="379"/>
      <c r="K3889" s="373"/>
      <c r="L3889" s="379"/>
      <c r="M3889" s="60">
        <v>150000000</v>
      </c>
      <c r="N3889" s="61" t="s">
        <v>8</v>
      </c>
      <c r="O3889" s="61" t="s">
        <v>26</v>
      </c>
      <c r="P3889" s="75" t="str">
        <f>IF(AND('331-CT'!$E$7=TH!H5071,OR(N3889="331",O3889="331")),"x","")</f>
        <v/>
      </c>
      <c r="Q3889" s="75" t="str">
        <f>IF(AND(B3889='111'!$L$11,OR($N3889=$Q$7,$O3889=$Q$7)),"x","")</f>
        <v/>
      </c>
      <c r="R3889" s="75" t="str">
        <f>IF(AND($N3889=$Q$7,$B3889&lt;'111'!$L$11),"x","")</f>
        <v/>
      </c>
      <c r="S3889" s="75" t="str">
        <f>IF(AND($O3889=$Q$7,$B3889&lt;'111'!$L$11),"x","")</f>
        <v/>
      </c>
      <c r="T3889" s="75" t="str">
        <f>IF(ISERROR(FIND('112'!$M$9,G3889,1)),"",IF((AND(FIND('112'!$M$9,G3889,1)&gt;=1,B3889='112'!$K$9,OR($N3889='112'!$I$6,$O3889='112'!$I$6))),"x",""))</f>
        <v/>
      </c>
      <c r="U3889" s="75" t="str">
        <f>IF(ISERROR(FIND('112'!$M$9,G3889,1)),"",IF((AND(LEFT(G3889,2)=LEFT('112'!$M$9,2),B3889&lt;'112'!$K$9,$N3889='112'!$I$6)),"x",""))</f>
        <v/>
      </c>
      <c r="V3889" s="75" t="str">
        <f>IF(ISERROR(FIND('112'!$M$9,G3889,1)),"",IF((AND(RIGHT(G3889,2)=RIGHT('112'!$M$9,2),B3889&lt;'112'!$K$9,$O3889='112'!$I$6)),"x",""))</f>
        <v/>
      </c>
      <c r="W3889" s="75" t="str">
        <f>IF(AND('341-CT'!$H$9=H3889,OR(LEFT(N3889,3)=$W$7,LEFT(O3889,3)=$W$7)),"x","")</f>
        <v/>
      </c>
      <c r="X3889" s="75" t="str">
        <f>IF(OR(TH!N5071=TH!$X$7,O3889=TH!$X$7),"x","")</f>
        <v/>
      </c>
      <c r="Y3889" s="75" t="str">
        <f>IF(AND(OR(N3889="131",O3889="131"),H3889='131-CT'!$H$9),"x","")</f>
        <v/>
      </c>
      <c r="Z3889" s="75"/>
      <c r="AA3889" s="75" t="str">
        <f>IF(AND(MONTH(E3889)='IN-NX'!$J$5,'IN-NX'!$D$7=D3889),"x","")</f>
        <v/>
      </c>
      <c r="AB3889" s="75" t="str">
        <f>IF(AND(OR(LEFT(TH!N5071,2)="15",LEFT(TH!O5071,2)="15"),LEFT(TH!O5071,3)&lt;&gt;"111",'152-CT'!$J$8=TH!F5071),"x","")</f>
        <v/>
      </c>
      <c r="AC3889" s="75" t="str">
        <f>IF(AND(OR(LEFT(TH!N5071,2)="15",LEFT(TH!O5071,2)="15"),TK!$E$7=TH!F5071),"x","")</f>
        <v/>
      </c>
      <c r="AD3889" s="75" t="str">
        <f>IF(AND(N3889="1521",MONTH(C3889)='BK-NL'!$M$11),"x","")</f>
        <v/>
      </c>
    </row>
    <row r="3890" spans="1:30" ht="16.5" customHeight="1">
      <c r="A3890" s="309" t="str">
        <f>IF(B3890&lt;&gt;"",IF(AND(B3890='IN-TC'!$S$4,OR(TH!N3888="1111",TH!O3888="1111")),TH!D3888,""),"")</f>
        <v/>
      </c>
      <c r="B3890" s="1241">
        <f t="shared" si="1306"/>
        <v>4</v>
      </c>
      <c r="C3890" s="292">
        <f t="shared" si="1305"/>
        <v>42829</v>
      </c>
      <c r="D3890" s="59" t="s">
        <v>902</v>
      </c>
      <c r="E3890" s="59">
        <v>42829</v>
      </c>
      <c r="F3890" s="131" t="s">
        <v>870</v>
      </c>
      <c r="G3890" s="62" t="s">
        <v>747</v>
      </c>
      <c r="H3890" s="311" t="s">
        <v>835</v>
      </c>
      <c r="I3890" s="373"/>
      <c r="J3890" s="379"/>
      <c r="K3890" s="373"/>
      <c r="L3890" s="379"/>
      <c r="M3890" s="60">
        <v>10000</v>
      </c>
      <c r="N3890" s="61" t="s">
        <v>101</v>
      </c>
      <c r="O3890" s="61" t="s">
        <v>26</v>
      </c>
      <c r="P3890" s="75" t="str">
        <f>IF(AND('331-CT'!$E$7=TH!H5072,OR(N3890="331",O3890="331")),"x","")</f>
        <v/>
      </c>
      <c r="Q3890" s="75" t="str">
        <f>IF(AND(B3890='111'!$L$11,OR($N3890=$Q$7,$O3890=$Q$7)),"x","")</f>
        <v/>
      </c>
      <c r="R3890" s="75" t="str">
        <f>IF(AND($N3890=$Q$7,$B3890&lt;'111'!$L$11),"x","")</f>
        <v/>
      </c>
      <c r="S3890" s="75" t="str">
        <f>IF(AND($O3890=$Q$7,$B3890&lt;'111'!$L$11),"x","")</f>
        <v/>
      </c>
      <c r="T3890" s="75" t="str">
        <f>IF(ISERROR(FIND('112'!$M$9,G3890,1)),"",IF((AND(FIND('112'!$M$9,G3890,1)&gt;=1,B3890='112'!$K$9,OR($N3890='112'!$I$6,$O3890='112'!$I$6))),"x",""))</f>
        <v/>
      </c>
      <c r="U3890" s="75" t="str">
        <f>IF(ISERROR(FIND('112'!$M$9,G3890,1)),"",IF((AND(LEFT(G3890,2)=LEFT('112'!$M$9,2),B3890&lt;'112'!$K$9,$N3890='112'!$I$6)),"x",""))</f>
        <v/>
      </c>
      <c r="V3890" s="75" t="str">
        <f>IF(ISERROR(FIND('112'!$M$9,G3890,1)),"",IF((AND(RIGHT(G3890,2)=RIGHT('112'!$M$9,2),B3890&lt;'112'!$K$9,$O3890='112'!$I$6)),"x",""))</f>
        <v/>
      </c>
      <c r="W3890" s="75" t="str">
        <f>IF(AND('341-CT'!$H$9=H3890,OR(LEFT(N3890,3)=$W$7,LEFT(O3890,3)=$W$7)),"x","")</f>
        <v/>
      </c>
      <c r="X3890" s="75" t="str">
        <f>IF(OR(TH!N5072=TH!$X$7,O3890=TH!$X$7),"x","")</f>
        <v/>
      </c>
      <c r="Y3890" s="75" t="str">
        <f>IF(AND(OR(N3890="131",O3890="131"),H3890='131-CT'!$H$9),"x","")</f>
        <v/>
      </c>
      <c r="Z3890" s="75"/>
      <c r="AA3890" s="75" t="str">
        <f>IF(AND(MONTH(E3890)='IN-NX'!$J$5,'IN-NX'!$D$7=D3890),"x","")</f>
        <v/>
      </c>
      <c r="AB3890" s="75" t="str">
        <f>IF(AND(OR(LEFT(TH!N5072,2)="15",LEFT(TH!O5072,2)="15"),LEFT(TH!O5072,3)&lt;&gt;"111",'152-CT'!$J$8=TH!F5072),"x","")</f>
        <v/>
      </c>
      <c r="AC3890" s="75" t="str">
        <f>IF(AND(OR(LEFT(TH!N5072,2)="15",LEFT(TH!O5072,2)="15"),TK!$E$7=TH!F5072),"x","")</f>
        <v/>
      </c>
      <c r="AD3890" s="75" t="str">
        <f>IF(AND(N3890="1521",MONTH(C3890)='BK-NL'!$M$11),"x","")</f>
        <v/>
      </c>
    </row>
    <row r="3891" spans="1:30" ht="16.5" customHeight="1">
      <c r="A3891" s="309" t="str">
        <f>IF(B3891&lt;&gt;"",IF(AND(B3891='IN-TC'!$S$4,OR(TH!N3889="1111",TH!O3889="1111")),TH!D3889,""),"")</f>
        <v/>
      </c>
      <c r="B3891" s="1241">
        <f t="shared" si="1306"/>
        <v>4</v>
      </c>
      <c r="C3891" s="292">
        <f t="shared" ref="C3891:C3954" si="1307">E3891</f>
        <v>42829</v>
      </c>
      <c r="D3891" s="59" t="s">
        <v>902</v>
      </c>
      <c r="E3891" s="59">
        <v>42829</v>
      </c>
      <c r="F3891" s="131" t="s">
        <v>898</v>
      </c>
      <c r="G3891" s="62" t="s">
        <v>747</v>
      </c>
      <c r="H3891" s="311" t="s">
        <v>835</v>
      </c>
      <c r="I3891" s="373"/>
      <c r="J3891" s="379"/>
      <c r="K3891" s="373"/>
      <c r="L3891" s="379"/>
      <c r="M3891" s="60">
        <v>1000</v>
      </c>
      <c r="N3891" s="61" t="s">
        <v>9</v>
      </c>
      <c r="O3891" s="61" t="s">
        <v>26</v>
      </c>
      <c r="P3891" s="75" t="str">
        <f>IF(AND('331-CT'!$E$7=TH!H5073,OR(N3891="331",O3891="331")),"x","")</f>
        <v/>
      </c>
      <c r="Q3891" s="75" t="str">
        <f>IF(AND(B3891='111'!$L$11,OR($N3891=$Q$7,$O3891=$Q$7)),"x","")</f>
        <v/>
      </c>
      <c r="R3891" s="75" t="str">
        <f>IF(AND($N3891=$Q$7,$B3891&lt;'111'!$L$11),"x","")</f>
        <v/>
      </c>
      <c r="S3891" s="75" t="str">
        <f>IF(AND($O3891=$Q$7,$B3891&lt;'111'!$L$11),"x","")</f>
        <v/>
      </c>
      <c r="T3891" s="75" t="str">
        <f>IF(ISERROR(FIND('112'!$M$9,G3891,1)),"",IF((AND(FIND('112'!$M$9,G3891,1)&gt;=1,B3891='112'!$K$9,OR($N3891='112'!$I$6,$O3891='112'!$I$6))),"x",""))</f>
        <v/>
      </c>
      <c r="U3891" s="75" t="str">
        <f>IF(ISERROR(FIND('112'!$M$9,G3891,1)),"",IF((AND(LEFT(G3891,2)=LEFT('112'!$M$9,2),B3891&lt;'112'!$K$9,$N3891='112'!$I$6)),"x",""))</f>
        <v/>
      </c>
      <c r="V3891" s="75" t="str">
        <f>IF(ISERROR(FIND('112'!$M$9,G3891,1)),"",IF((AND(RIGHT(G3891,2)=RIGHT('112'!$M$9,2),B3891&lt;'112'!$K$9,$O3891='112'!$I$6)),"x",""))</f>
        <v/>
      </c>
      <c r="W3891" s="75" t="str">
        <f>IF(AND('341-CT'!$H$9=H3891,OR(LEFT(N3891,3)=$W$7,LEFT(O3891,3)=$W$7)),"x","")</f>
        <v/>
      </c>
      <c r="X3891" s="75" t="str">
        <f>IF(OR(TH!N5073=TH!$X$7,O3891=TH!$X$7),"x","")</f>
        <v/>
      </c>
      <c r="Y3891" s="75" t="str">
        <f>IF(AND(OR(N3891="131",O3891="131"),H3891='131-CT'!$H$9),"x","")</f>
        <v/>
      </c>
      <c r="Z3891" s="75"/>
      <c r="AA3891" s="75" t="str">
        <f>IF(AND(MONTH(E3891)='IN-NX'!$J$5,'IN-NX'!$D$7=D3891),"x","")</f>
        <v/>
      </c>
      <c r="AB3891" s="75" t="str">
        <f>IF(AND(OR(LEFT(TH!N5073,2)="15",LEFT(TH!O5073,2)="15"),LEFT(TH!O5073,3)&lt;&gt;"111",'152-CT'!$J$8=TH!F5073),"x","")</f>
        <v/>
      </c>
      <c r="AC3891" s="75" t="str">
        <f>IF(AND(OR(LEFT(TH!N5073,2)="15",LEFT(TH!O5073,2)="15"),TK!$E$7=TH!F5073),"x","")</f>
        <v/>
      </c>
      <c r="AD3891" s="75" t="str">
        <f>IF(AND(N3891="1521",MONTH(C3891)='BK-NL'!$M$11),"x","")</f>
        <v/>
      </c>
    </row>
    <row r="3892" spans="1:30" ht="16.5" customHeight="1">
      <c r="A3892" s="309" t="str">
        <f>IF(B3892&lt;&gt;"",IF(AND(B3892='IN-TC'!$S$4,OR(TH!N3890="1111",TH!O3890="1111")),TH!D3890,""),"")</f>
        <v/>
      </c>
      <c r="B3892" s="1241">
        <f t="shared" si="1306"/>
        <v>4</v>
      </c>
      <c r="C3892" s="292">
        <f t="shared" si="1307"/>
        <v>42829</v>
      </c>
      <c r="D3892" s="59" t="s">
        <v>902</v>
      </c>
      <c r="E3892" s="59">
        <v>42829</v>
      </c>
      <c r="F3892" s="131" t="s">
        <v>1312</v>
      </c>
      <c r="G3892" s="62" t="s">
        <v>747</v>
      </c>
      <c r="H3892" s="68" t="s">
        <v>560</v>
      </c>
      <c r="I3892" s="373"/>
      <c r="J3892" s="379"/>
      <c r="K3892" s="373"/>
      <c r="L3892" s="379"/>
      <c r="M3892" s="60">
        <v>63205400</v>
      </c>
      <c r="N3892" s="61" t="s">
        <v>8</v>
      </c>
      <c r="O3892" s="61" t="s">
        <v>26</v>
      </c>
      <c r="P3892" s="75" t="str">
        <f>IF(AND('331-CT'!$E$7=TH!H5074,OR(N3892="331",O3892="331")),"x","")</f>
        <v/>
      </c>
      <c r="Q3892" s="75" t="str">
        <f>IF(AND(B3892='111'!$L$11,OR($N3892=$Q$7,$O3892=$Q$7)),"x","")</f>
        <v/>
      </c>
      <c r="R3892" s="75" t="str">
        <f>IF(AND($N3892=$Q$7,$B3892&lt;'111'!$L$11),"x","")</f>
        <v/>
      </c>
      <c r="S3892" s="75" t="str">
        <f>IF(AND($O3892=$Q$7,$B3892&lt;'111'!$L$11),"x","")</f>
        <v/>
      </c>
      <c r="T3892" s="75" t="str">
        <f>IF(ISERROR(FIND('112'!$M$9,G3892,1)),"",IF((AND(FIND('112'!$M$9,G3892,1)&gt;=1,B3892='112'!$K$9,OR($N3892='112'!$I$6,$O3892='112'!$I$6))),"x",""))</f>
        <v/>
      </c>
      <c r="U3892" s="75" t="str">
        <f>IF(ISERROR(FIND('112'!$M$9,G3892,1)),"",IF((AND(LEFT(G3892,2)=LEFT('112'!$M$9,2),B3892&lt;'112'!$K$9,$N3892='112'!$I$6)),"x",""))</f>
        <v/>
      </c>
      <c r="V3892" s="75" t="str">
        <f>IF(ISERROR(FIND('112'!$M$9,G3892,1)),"",IF((AND(RIGHT(G3892,2)=RIGHT('112'!$M$9,2),B3892&lt;'112'!$K$9,$O3892='112'!$I$6)),"x",""))</f>
        <v/>
      </c>
      <c r="W3892" s="75" t="str">
        <f>IF(AND('341-CT'!$H$9=H3892,OR(LEFT(N3892,3)=$W$7,LEFT(O3892,3)=$W$7)),"x","")</f>
        <v/>
      </c>
      <c r="X3892" s="75" t="str">
        <f>IF(OR(TH!N5074=TH!$X$7,O3892=TH!$X$7),"x","")</f>
        <v/>
      </c>
      <c r="Y3892" s="75" t="str">
        <f>IF(AND(OR(N3892="131",O3892="131"),H3892='131-CT'!$H$9),"x","")</f>
        <v/>
      </c>
      <c r="Z3892" s="75"/>
      <c r="AA3892" s="75" t="str">
        <f>IF(AND(MONTH(E3892)='IN-NX'!$J$5,'IN-NX'!$D$7=D3892),"x","")</f>
        <v/>
      </c>
      <c r="AB3892" s="75" t="str">
        <f>IF(AND(OR(LEFT(TH!N5074,2)="15",LEFT(TH!O5074,2)="15"),LEFT(TH!O5074,3)&lt;&gt;"111",'152-CT'!$J$8=TH!F5074),"x","")</f>
        <v/>
      </c>
      <c r="AC3892" s="75" t="str">
        <f>IF(AND(OR(LEFT(TH!N5074,2)="15",LEFT(TH!O5074,2)="15"),TK!$E$7=TH!F5074),"x","")</f>
        <v/>
      </c>
      <c r="AD3892" s="75" t="str">
        <f>IF(AND(N3892="1521",MONTH(C3892)='BK-NL'!$M$11),"x","")</f>
        <v/>
      </c>
    </row>
    <row r="3893" spans="1:30" ht="16.5" customHeight="1">
      <c r="A3893" s="309" t="str">
        <f>IF(B3893&lt;&gt;"",IF(AND(B3893='IN-TC'!$S$4,OR(TH!N3891="1111",TH!O3891="1111")),TH!D3891,""),"")</f>
        <v/>
      </c>
      <c r="B3893" s="1241">
        <f t="shared" si="1306"/>
        <v>4</v>
      </c>
      <c r="C3893" s="292">
        <f t="shared" si="1307"/>
        <v>42829</v>
      </c>
      <c r="D3893" s="59" t="s">
        <v>902</v>
      </c>
      <c r="E3893" s="59">
        <v>42829</v>
      </c>
      <c r="F3893" s="131" t="s">
        <v>870</v>
      </c>
      <c r="G3893" s="62" t="s">
        <v>747</v>
      </c>
      <c r="H3893" s="311" t="s">
        <v>835</v>
      </c>
      <c r="I3893" s="373"/>
      <c r="J3893" s="379"/>
      <c r="K3893" s="373"/>
      <c r="L3893" s="379"/>
      <c r="M3893" s="60">
        <v>10000</v>
      </c>
      <c r="N3893" s="61" t="s">
        <v>101</v>
      </c>
      <c r="O3893" s="61" t="s">
        <v>26</v>
      </c>
      <c r="P3893" s="75" t="str">
        <f>IF(AND('331-CT'!$E$7=TH!H5075,OR(N3893="331",O3893="331")),"x","")</f>
        <v/>
      </c>
      <c r="Q3893" s="75" t="str">
        <f>IF(AND(B3893='111'!$L$11,OR($N3893=$Q$7,$O3893=$Q$7)),"x","")</f>
        <v/>
      </c>
      <c r="R3893" s="75" t="str">
        <f>IF(AND($N3893=$Q$7,$B3893&lt;'111'!$L$11),"x","")</f>
        <v/>
      </c>
      <c r="S3893" s="75" t="str">
        <f>IF(AND($O3893=$Q$7,$B3893&lt;'111'!$L$11),"x","")</f>
        <v/>
      </c>
      <c r="T3893" s="75" t="str">
        <f>IF(ISERROR(FIND('112'!$M$9,G3893,1)),"",IF((AND(FIND('112'!$M$9,G3893,1)&gt;=1,B3893='112'!$K$9,OR($N3893='112'!$I$6,$O3893='112'!$I$6))),"x",""))</f>
        <v/>
      </c>
      <c r="U3893" s="75" t="str">
        <f>IF(ISERROR(FIND('112'!$M$9,G3893,1)),"",IF((AND(LEFT(G3893,2)=LEFT('112'!$M$9,2),B3893&lt;'112'!$K$9,$N3893='112'!$I$6)),"x",""))</f>
        <v/>
      </c>
      <c r="V3893" s="75" t="str">
        <f>IF(ISERROR(FIND('112'!$M$9,G3893,1)),"",IF((AND(RIGHT(G3893,2)=RIGHT('112'!$M$9,2),B3893&lt;'112'!$K$9,$O3893='112'!$I$6)),"x",""))</f>
        <v/>
      </c>
      <c r="W3893" s="75" t="str">
        <f>IF(AND('341-CT'!$H$9=H3893,OR(LEFT(N3893,3)=$W$7,LEFT(O3893,3)=$W$7)),"x","")</f>
        <v/>
      </c>
      <c r="X3893" s="75" t="str">
        <f>IF(OR(TH!N5075=TH!$X$7,O3893=TH!$X$7),"x","")</f>
        <v/>
      </c>
      <c r="Y3893" s="75" t="str">
        <f>IF(AND(OR(N3893="131",O3893="131"),H3893='131-CT'!$H$9),"x","")</f>
        <v/>
      </c>
      <c r="Z3893" s="75"/>
      <c r="AA3893" s="75" t="str">
        <f>IF(AND(MONTH(E3893)='IN-NX'!$J$5,'IN-NX'!$D$7=D3893),"x","")</f>
        <v/>
      </c>
      <c r="AB3893" s="75" t="str">
        <f>IF(AND(OR(LEFT(TH!N5075,2)="15",LEFT(TH!O5075,2)="15"),LEFT(TH!O5075,3)&lt;&gt;"111",'152-CT'!$J$8=TH!F5075),"x","")</f>
        <v/>
      </c>
      <c r="AC3893" s="75" t="str">
        <f>IF(AND(OR(LEFT(TH!N5075,2)="15",LEFT(TH!O5075,2)="15"),TK!$E$7=TH!F5075),"x","")</f>
        <v/>
      </c>
      <c r="AD3893" s="75" t="str">
        <f>IF(AND(N3893="1521",MONTH(C3893)='BK-NL'!$M$11),"x","")</f>
        <v/>
      </c>
    </row>
    <row r="3894" spans="1:30" ht="16.5" customHeight="1">
      <c r="A3894" s="309" t="str">
        <f>IF(B3894&lt;&gt;"",IF(AND(B3894='IN-TC'!$S$4,OR(TH!N3892="1111",TH!O3892="1111")),TH!D3892,""),"")</f>
        <v/>
      </c>
      <c r="B3894" s="1241">
        <f t="shared" si="1306"/>
        <v>4</v>
      </c>
      <c r="C3894" s="292">
        <f t="shared" si="1307"/>
        <v>42829</v>
      </c>
      <c r="D3894" s="59" t="s">
        <v>902</v>
      </c>
      <c r="E3894" s="59">
        <v>42829</v>
      </c>
      <c r="F3894" s="131" t="s">
        <v>898</v>
      </c>
      <c r="G3894" s="62" t="s">
        <v>747</v>
      </c>
      <c r="H3894" s="311" t="s">
        <v>835</v>
      </c>
      <c r="I3894" s="373"/>
      <c r="J3894" s="379"/>
      <c r="K3894" s="373"/>
      <c r="L3894" s="379"/>
      <c r="M3894" s="60">
        <v>1000</v>
      </c>
      <c r="N3894" s="61" t="s">
        <v>9</v>
      </c>
      <c r="O3894" s="61" t="s">
        <v>26</v>
      </c>
      <c r="P3894" s="75" t="str">
        <f>IF(AND('331-CT'!$E$7=TH!H5076,OR(N3894="331",O3894="331")),"x","")</f>
        <v/>
      </c>
      <c r="Q3894" s="75" t="str">
        <f>IF(AND(B3894='111'!$L$11,OR($N3894=$Q$7,$O3894=$Q$7)),"x","")</f>
        <v/>
      </c>
      <c r="R3894" s="75" t="str">
        <f>IF(AND($N3894=$Q$7,$B3894&lt;'111'!$L$11),"x","")</f>
        <v/>
      </c>
      <c r="S3894" s="75" t="str">
        <f>IF(AND($O3894=$Q$7,$B3894&lt;'111'!$L$11),"x","")</f>
        <v/>
      </c>
      <c r="T3894" s="75" t="str">
        <f>IF(ISERROR(FIND('112'!$M$9,G3894,1)),"",IF((AND(FIND('112'!$M$9,G3894,1)&gt;=1,B3894='112'!$K$9,OR($N3894='112'!$I$6,$O3894='112'!$I$6))),"x",""))</f>
        <v/>
      </c>
      <c r="U3894" s="75" t="str">
        <f>IF(ISERROR(FIND('112'!$M$9,G3894,1)),"",IF((AND(LEFT(G3894,2)=LEFT('112'!$M$9,2),B3894&lt;'112'!$K$9,$N3894='112'!$I$6)),"x",""))</f>
        <v/>
      </c>
      <c r="V3894" s="75" t="str">
        <f>IF(ISERROR(FIND('112'!$M$9,G3894,1)),"",IF((AND(RIGHT(G3894,2)=RIGHT('112'!$M$9,2),B3894&lt;'112'!$K$9,$O3894='112'!$I$6)),"x",""))</f>
        <v/>
      </c>
      <c r="W3894" s="75" t="str">
        <f>IF(AND('341-CT'!$H$9=H3894,OR(LEFT(N3894,3)=$W$7,LEFT(O3894,3)=$W$7)),"x","")</f>
        <v/>
      </c>
      <c r="X3894" s="75" t="str">
        <f>IF(OR(TH!N5076=TH!$X$7,O3894=TH!$X$7),"x","")</f>
        <v/>
      </c>
      <c r="Y3894" s="75" t="str">
        <f>IF(AND(OR(N3894="131",O3894="131"),H3894='131-CT'!$H$9),"x","")</f>
        <v/>
      </c>
      <c r="Z3894" s="75"/>
      <c r="AA3894" s="75" t="str">
        <f>IF(AND(MONTH(E3894)='IN-NX'!$J$5,'IN-NX'!$D$7=D3894),"x","")</f>
        <v/>
      </c>
      <c r="AB3894" s="75" t="str">
        <f>IF(AND(OR(LEFT(TH!N5076,2)="15",LEFT(TH!O5076,2)="15"),LEFT(TH!O5076,3)&lt;&gt;"111",'152-CT'!$J$8=TH!F5076),"x","")</f>
        <v/>
      </c>
      <c r="AC3894" s="75" t="str">
        <f>IF(AND(OR(LEFT(TH!N5076,2)="15",LEFT(TH!O5076,2)="15"),TK!$E$7=TH!F5076),"x","")</f>
        <v/>
      </c>
      <c r="AD3894" s="75" t="str">
        <f>IF(AND(N3894="1521",MONTH(C3894)='BK-NL'!$M$11),"x","")</f>
        <v/>
      </c>
    </row>
    <row r="3895" spans="1:30" ht="16.5" customHeight="1">
      <c r="A3895" s="309" t="str">
        <f>IF(B3895&lt;&gt;"",IF(AND(B3895='IN-TC'!$S$4,OR(TH!N3893="1111",TH!O3893="1111")),TH!D3893,""),"")</f>
        <v/>
      </c>
      <c r="B3895" s="1241">
        <f t="shared" si="1306"/>
        <v>4</v>
      </c>
      <c r="C3895" s="292">
        <f t="shared" si="1307"/>
        <v>42829</v>
      </c>
      <c r="D3895" s="59" t="s">
        <v>902</v>
      </c>
      <c r="E3895" s="59">
        <v>42829</v>
      </c>
      <c r="F3895" s="62" t="s">
        <v>1313</v>
      </c>
      <c r="G3895" s="62" t="s">
        <v>747</v>
      </c>
      <c r="H3895" s="311" t="s">
        <v>561</v>
      </c>
      <c r="I3895" s="373"/>
      <c r="J3895" s="379"/>
      <c r="K3895" s="373"/>
      <c r="L3895" s="379"/>
      <c r="M3895" s="60">
        <v>3395000</v>
      </c>
      <c r="N3895" s="61" t="s">
        <v>8</v>
      </c>
      <c r="O3895" s="61" t="s">
        <v>26</v>
      </c>
      <c r="P3895" s="75" t="str">
        <f>IF(AND('331-CT'!$E$7=TH!H5077,OR(N3895="331",O3895="331")),"x","")</f>
        <v/>
      </c>
      <c r="Q3895" s="75" t="str">
        <f>IF(AND(B3895='111'!$L$11,OR($N3895=$Q$7,$O3895=$Q$7)),"x","")</f>
        <v/>
      </c>
      <c r="R3895" s="75" t="str">
        <f>IF(AND($N3895=$Q$7,$B3895&lt;'111'!$L$11),"x","")</f>
        <v/>
      </c>
      <c r="S3895" s="75" t="str">
        <f>IF(AND($O3895=$Q$7,$B3895&lt;'111'!$L$11),"x","")</f>
        <v/>
      </c>
      <c r="T3895" s="75" t="str">
        <f>IF(ISERROR(FIND('112'!$M$9,G3895,1)),"",IF((AND(FIND('112'!$M$9,G3895,1)&gt;=1,B3895='112'!$K$9,OR($N3895='112'!$I$6,$O3895='112'!$I$6))),"x",""))</f>
        <v/>
      </c>
      <c r="U3895" s="75" t="str">
        <f>IF(ISERROR(FIND('112'!$M$9,G3895,1)),"",IF((AND(LEFT(G3895,2)=LEFT('112'!$M$9,2),B3895&lt;'112'!$K$9,$N3895='112'!$I$6)),"x",""))</f>
        <v/>
      </c>
      <c r="V3895" s="75" t="str">
        <f>IF(ISERROR(FIND('112'!$M$9,G3895,1)),"",IF((AND(RIGHT(G3895,2)=RIGHT('112'!$M$9,2),B3895&lt;'112'!$K$9,$O3895='112'!$I$6)),"x",""))</f>
        <v/>
      </c>
      <c r="W3895" s="75" t="str">
        <f>IF(AND('341-CT'!$H$9=H3895,OR(LEFT(N3895,3)=$W$7,LEFT(O3895,3)=$W$7)),"x","")</f>
        <v/>
      </c>
      <c r="X3895" s="75" t="str">
        <f>IF(OR(TH!N5077=TH!$X$7,O3895=TH!$X$7),"x","")</f>
        <v/>
      </c>
      <c r="Y3895" s="75" t="str">
        <f>IF(AND(OR(N3895="131",O3895="131"),H3895='131-CT'!$H$9),"x","")</f>
        <v/>
      </c>
      <c r="Z3895" s="75"/>
      <c r="AA3895" s="75" t="str">
        <f>IF(AND(MONTH(E3895)='IN-NX'!$J$5,'IN-NX'!$D$7=D3895),"x","")</f>
        <v/>
      </c>
      <c r="AB3895" s="75" t="str">
        <f>IF(AND(OR(LEFT(TH!N5077,2)="15",LEFT(TH!O5077,2)="15"),LEFT(TH!O5077,3)&lt;&gt;"111",'152-CT'!$J$8=TH!F5077),"x","")</f>
        <v/>
      </c>
      <c r="AC3895" s="75" t="str">
        <f>IF(AND(OR(LEFT(TH!N5077,2)="15",LEFT(TH!O5077,2)="15"),TK!$E$7=TH!F5077),"x","")</f>
        <v/>
      </c>
      <c r="AD3895" s="75" t="str">
        <f>IF(AND(N3895="1521",MONTH(C3895)='BK-NL'!$M$11),"x","")</f>
        <v/>
      </c>
    </row>
    <row r="3896" spans="1:30" ht="16.5" customHeight="1">
      <c r="A3896" s="309" t="str">
        <f>IF(B3896&lt;&gt;"",IF(AND(B3896='IN-TC'!$S$4,OR(TH!N3894="1111",TH!O3894="1111")),TH!D3894,""),"")</f>
        <v/>
      </c>
      <c r="B3896" s="1241">
        <f t="shared" si="1306"/>
        <v>4</v>
      </c>
      <c r="C3896" s="292">
        <f t="shared" si="1307"/>
        <v>42829</v>
      </c>
      <c r="D3896" s="59" t="s">
        <v>902</v>
      </c>
      <c r="E3896" s="59">
        <v>42829</v>
      </c>
      <c r="F3896" s="131" t="s">
        <v>870</v>
      </c>
      <c r="G3896" s="62" t="s">
        <v>747</v>
      </c>
      <c r="H3896" s="311" t="s">
        <v>835</v>
      </c>
      <c r="I3896" s="373"/>
      <c r="J3896" s="379"/>
      <c r="K3896" s="373"/>
      <c r="L3896" s="379"/>
      <c r="M3896" s="60">
        <v>10000</v>
      </c>
      <c r="N3896" s="61" t="s">
        <v>101</v>
      </c>
      <c r="O3896" s="61" t="s">
        <v>26</v>
      </c>
      <c r="P3896" s="75" t="str">
        <f>IF(AND('331-CT'!$E$7=TH!H5078,OR(N3896="331",O3896="331")),"x","")</f>
        <v/>
      </c>
      <c r="Q3896" s="75" t="str">
        <f>IF(AND(B3896='111'!$L$11,OR($N3896=$Q$7,$O3896=$Q$7)),"x","")</f>
        <v/>
      </c>
      <c r="R3896" s="75" t="str">
        <f>IF(AND($N3896=$Q$7,$B3896&lt;'111'!$L$11),"x","")</f>
        <v/>
      </c>
      <c r="S3896" s="75" t="str">
        <f>IF(AND($O3896=$Q$7,$B3896&lt;'111'!$L$11),"x","")</f>
        <v/>
      </c>
      <c r="T3896" s="75" t="str">
        <f>IF(ISERROR(FIND('112'!$M$9,G3896,1)),"",IF((AND(FIND('112'!$M$9,G3896,1)&gt;=1,B3896='112'!$K$9,OR($N3896='112'!$I$6,$O3896='112'!$I$6))),"x",""))</f>
        <v/>
      </c>
      <c r="U3896" s="75" t="str">
        <f>IF(ISERROR(FIND('112'!$M$9,G3896,1)),"",IF((AND(LEFT(G3896,2)=LEFT('112'!$M$9,2),B3896&lt;'112'!$K$9,$N3896='112'!$I$6)),"x",""))</f>
        <v/>
      </c>
      <c r="V3896" s="75" t="str">
        <f>IF(ISERROR(FIND('112'!$M$9,G3896,1)),"",IF((AND(RIGHT(G3896,2)=RIGHT('112'!$M$9,2),B3896&lt;'112'!$K$9,$O3896='112'!$I$6)),"x",""))</f>
        <v/>
      </c>
      <c r="W3896" s="75" t="str">
        <f>IF(AND('341-CT'!$H$9=H3896,OR(LEFT(N3896,3)=$W$7,LEFT(O3896,3)=$W$7)),"x","")</f>
        <v/>
      </c>
      <c r="X3896" s="75" t="str">
        <f>IF(OR(TH!N5078=TH!$X$7,O3896=TH!$X$7),"x","")</f>
        <v/>
      </c>
      <c r="Y3896" s="75" t="str">
        <f>IF(AND(OR(N3896="131",O3896="131"),H3896='131-CT'!$H$9),"x","")</f>
        <v/>
      </c>
      <c r="Z3896" s="75"/>
      <c r="AA3896" s="75" t="str">
        <f>IF(AND(MONTH(E3896)='IN-NX'!$J$5,'IN-NX'!$D$7=D3896),"x","")</f>
        <v/>
      </c>
      <c r="AB3896" s="75" t="str">
        <f>IF(AND(OR(LEFT(TH!N5078,2)="15",LEFT(TH!O5078,2)="15"),LEFT(TH!O5078,3)&lt;&gt;"111",'152-CT'!$J$8=TH!F5078),"x","")</f>
        <v/>
      </c>
      <c r="AC3896" s="75" t="str">
        <f>IF(AND(OR(LEFT(TH!N5078,2)="15",LEFT(TH!O5078,2)="15"),TK!$E$7=TH!F5078),"x","")</f>
        <v/>
      </c>
      <c r="AD3896" s="75" t="str">
        <f>IF(AND(N3896="1521",MONTH(C3896)='BK-NL'!$M$11),"x","")</f>
        <v/>
      </c>
    </row>
    <row r="3897" spans="1:30" ht="16.5" customHeight="1">
      <c r="A3897" s="309" t="str">
        <f>IF(B3897&lt;&gt;"",IF(AND(B3897='IN-TC'!$S$4,OR(TH!N3895="1111",TH!O3895="1111")),TH!D3895,""),"")</f>
        <v/>
      </c>
      <c r="B3897" s="1241">
        <f t="shared" si="1306"/>
        <v>4</v>
      </c>
      <c r="C3897" s="292">
        <f t="shared" si="1307"/>
        <v>42829</v>
      </c>
      <c r="D3897" s="59" t="s">
        <v>902</v>
      </c>
      <c r="E3897" s="59">
        <v>42829</v>
      </c>
      <c r="F3897" s="131" t="s">
        <v>898</v>
      </c>
      <c r="G3897" s="62" t="s">
        <v>747</v>
      </c>
      <c r="H3897" s="311" t="s">
        <v>835</v>
      </c>
      <c r="I3897" s="373"/>
      <c r="J3897" s="379"/>
      <c r="K3897" s="373"/>
      <c r="L3897" s="379"/>
      <c r="M3897" s="60">
        <v>1000</v>
      </c>
      <c r="N3897" s="61" t="s">
        <v>9</v>
      </c>
      <c r="O3897" s="61" t="s">
        <v>26</v>
      </c>
      <c r="P3897" s="75" t="str">
        <f>IF(AND('331-CT'!$E$7=TH!H5079,OR(N3897="331",O3897="331")),"x","")</f>
        <v/>
      </c>
      <c r="Q3897" s="75" t="str">
        <f>IF(AND(B3897='111'!$L$11,OR($N3897=$Q$7,$O3897=$Q$7)),"x","")</f>
        <v/>
      </c>
      <c r="R3897" s="75" t="str">
        <f>IF(AND($N3897=$Q$7,$B3897&lt;'111'!$L$11),"x","")</f>
        <v/>
      </c>
      <c r="S3897" s="75" t="str">
        <f>IF(AND($O3897=$Q$7,$B3897&lt;'111'!$L$11),"x","")</f>
        <v/>
      </c>
      <c r="T3897" s="75" t="str">
        <f>IF(ISERROR(FIND('112'!$M$9,G3897,1)),"",IF((AND(FIND('112'!$M$9,G3897,1)&gt;=1,B3897='112'!$K$9,OR($N3897='112'!$I$6,$O3897='112'!$I$6))),"x",""))</f>
        <v/>
      </c>
      <c r="U3897" s="75" t="str">
        <f>IF(ISERROR(FIND('112'!$M$9,G3897,1)),"",IF((AND(LEFT(G3897,2)=LEFT('112'!$M$9,2),B3897&lt;'112'!$K$9,$N3897='112'!$I$6)),"x",""))</f>
        <v/>
      </c>
      <c r="V3897" s="75" t="str">
        <f>IF(ISERROR(FIND('112'!$M$9,G3897,1)),"",IF((AND(RIGHT(G3897,2)=RIGHT('112'!$M$9,2),B3897&lt;'112'!$K$9,$O3897='112'!$I$6)),"x",""))</f>
        <v/>
      </c>
      <c r="W3897" s="75" t="str">
        <f>IF(AND('341-CT'!$H$9=H3897,OR(LEFT(N3897,3)=$W$7,LEFT(O3897,3)=$W$7)),"x","")</f>
        <v/>
      </c>
      <c r="X3897" s="75" t="str">
        <f>IF(OR(TH!N5079=TH!$X$7,O3897=TH!$X$7),"x","")</f>
        <v/>
      </c>
      <c r="Y3897" s="75" t="str">
        <f>IF(AND(OR(N3897="131",O3897="131"),H3897='131-CT'!$H$9),"x","")</f>
        <v/>
      </c>
      <c r="Z3897" s="75"/>
      <c r="AA3897" s="75" t="str">
        <f>IF(AND(MONTH(E3897)='IN-NX'!$J$5,'IN-NX'!$D$7=D3897),"x","")</f>
        <v/>
      </c>
      <c r="AB3897" s="75" t="str">
        <f>IF(AND(OR(LEFT(TH!N5079,2)="15",LEFT(TH!O5079,2)="15"),LEFT(TH!O5079,3)&lt;&gt;"111",'152-CT'!$J$8=TH!F5079),"x","")</f>
        <v/>
      </c>
      <c r="AC3897" s="75" t="str">
        <f>IF(AND(OR(LEFT(TH!N5079,2)="15",LEFT(TH!O5079,2)="15"),TK!$E$7=TH!F5079),"x","")</f>
        <v/>
      </c>
      <c r="AD3897" s="75" t="str">
        <f>IF(AND(N3897="1521",MONTH(C3897)='BK-NL'!$M$11),"x","")</f>
        <v/>
      </c>
    </row>
    <row r="3898" spans="1:30" ht="16.5" customHeight="1">
      <c r="A3898" s="309" t="str">
        <f>IF(B3898&lt;&gt;"",IF(AND(B3898='IN-TC'!$S$4,OR(TH!N3896="1111",TH!O3896="1111")),TH!D3896,""),"")</f>
        <v/>
      </c>
      <c r="B3898" s="1241">
        <f t="shared" si="1306"/>
        <v>4</v>
      </c>
      <c r="C3898" s="292">
        <f t="shared" si="1307"/>
        <v>42829</v>
      </c>
      <c r="D3898" s="59" t="s">
        <v>902</v>
      </c>
      <c r="E3898" s="59">
        <v>42829</v>
      </c>
      <c r="F3898" s="131" t="s">
        <v>1307</v>
      </c>
      <c r="G3898" s="62" t="s">
        <v>747</v>
      </c>
      <c r="H3898" s="311" t="s">
        <v>835</v>
      </c>
      <c r="I3898" s="373"/>
      <c r="J3898" s="379"/>
      <c r="K3898" s="373"/>
      <c r="L3898" s="379"/>
      <c r="M3898" s="60">
        <v>298468</v>
      </c>
      <c r="N3898" s="61" t="s">
        <v>101</v>
      </c>
      <c r="O3898" s="61" t="s">
        <v>26</v>
      </c>
      <c r="P3898" s="75" t="str">
        <f>IF(AND('331-CT'!$E$7=TH!H5080,OR(N3898="331",O3898="331")),"x","")</f>
        <v/>
      </c>
      <c r="Q3898" s="75" t="str">
        <f>IF(AND(B3898='111'!$L$11,OR($N3898=$Q$7,$O3898=$Q$7)),"x","")</f>
        <v/>
      </c>
      <c r="R3898" s="75" t="str">
        <f>IF(AND($N3898=$Q$7,$B3898&lt;'111'!$L$11),"x","")</f>
        <v/>
      </c>
      <c r="S3898" s="75" t="str">
        <f>IF(AND($O3898=$Q$7,$B3898&lt;'111'!$L$11),"x","")</f>
        <v/>
      </c>
      <c r="T3898" s="75" t="str">
        <f>IF(ISERROR(FIND('112'!$M$9,G3898,1)),"",IF((AND(FIND('112'!$M$9,G3898,1)&gt;=1,B3898='112'!$K$9,OR($N3898='112'!$I$6,$O3898='112'!$I$6))),"x",""))</f>
        <v/>
      </c>
      <c r="U3898" s="75" t="str">
        <f>IF(ISERROR(FIND('112'!$M$9,G3898,1)),"",IF((AND(LEFT(G3898,2)=LEFT('112'!$M$9,2),B3898&lt;'112'!$K$9,$N3898='112'!$I$6)),"x",""))</f>
        <v/>
      </c>
      <c r="V3898" s="75" t="str">
        <f>IF(ISERROR(FIND('112'!$M$9,G3898,1)),"",IF((AND(RIGHT(G3898,2)=RIGHT('112'!$M$9,2),B3898&lt;'112'!$K$9,$O3898='112'!$I$6)),"x",""))</f>
        <v/>
      </c>
      <c r="W3898" s="75" t="str">
        <f>IF(AND('341-CT'!$H$9=H3898,OR(LEFT(N3898,3)=$W$7,LEFT(O3898,3)=$W$7)),"x","")</f>
        <v/>
      </c>
      <c r="X3898" s="75" t="str">
        <f>IF(OR(TH!N5080=TH!$X$7,O3898=TH!$X$7),"x","")</f>
        <v/>
      </c>
      <c r="Y3898" s="75" t="str">
        <f>IF(AND(OR(N3898="131",O3898="131"),H3898='131-CT'!$H$9),"x","")</f>
        <v/>
      </c>
      <c r="Z3898" s="75"/>
      <c r="AA3898" s="75" t="str">
        <f>IF(AND(MONTH(E3898)='IN-NX'!$J$5,'IN-NX'!$D$7=D3898),"x","")</f>
        <v/>
      </c>
      <c r="AB3898" s="75" t="str">
        <f>IF(AND(OR(LEFT(TH!N5080,2)="15",LEFT(TH!O5080,2)="15"),LEFT(TH!O5080,3)&lt;&gt;"111",'152-CT'!$J$8=TH!F5080),"x","")</f>
        <v/>
      </c>
      <c r="AC3898" s="75" t="str">
        <f>IF(AND(OR(LEFT(TH!N5080,2)="15",LEFT(TH!O5080,2)="15"),TK!$E$7=TH!F5080),"x","")</f>
        <v/>
      </c>
      <c r="AD3898" s="75" t="str">
        <f>IF(AND(N3898="1521",MONTH(C3898)='BK-NL'!$M$11),"x","")</f>
        <v/>
      </c>
    </row>
    <row r="3899" spans="1:30" ht="16.5" customHeight="1">
      <c r="A3899" s="309" t="str">
        <f>IF(B3899&lt;&gt;"",IF(AND(B3899='IN-TC'!$S$4,OR(TH!N3897="1111",TH!O3897="1111")),TH!D3897,""),"")</f>
        <v/>
      </c>
      <c r="B3899" s="1241">
        <f t="shared" si="1306"/>
        <v>4</v>
      </c>
      <c r="C3899" s="292">
        <f t="shared" si="1307"/>
        <v>42829</v>
      </c>
      <c r="D3899" s="59" t="s">
        <v>902</v>
      </c>
      <c r="E3899" s="59">
        <v>42829</v>
      </c>
      <c r="F3899" s="131" t="s">
        <v>1314</v>
      </c>
      <c r="G3899" s="62" t="s">
        <v>747</v>
      </c>
      <c r="H3899" s="311" t="s">
        <v>835</v>
      </c>
      <c r="I3899" s="373"/>
      <c r="J3899" s="379"/>
      <c r="K3899" s="373"/>
      <c r="L3899" s="379"/>
      <c r="M3899" s="60">
        <v>29847</v>
      </c>
      <c r="N3899" s="61" t="s">
        <v>9</v>
      </c>
      <c r="O3899" s="61" t="s">
        <v>26</v>
      </c>
      <c r="P3899" s="75" t="str">
        <f>IF(AND('331-CT'!$E$7=TH!H5081,OR(N3899="331",O3899="331")),"x","")</f>
        <v/>
      </c>
      <c r="Q3899" s="75" t="str">
        <f>IF(AND(B3899='111'!$L$11,OR($N3899=$Q$7,$O3899=$Q$7)),"x","")</f>
        <v/>
      </c>
      <c r="R3899" s="75" t="str">
        <f>IF(AND($N3899=$Q$7,$B3899&lt;'111'!$L$11),"x","")</f>
        <v/>
      </c>
      <c r="S3899" s="75" t="str">
        <f>IF(AND($O3899=$Q$7,$B3899&lt;'111'!$L$11),"x","")</f>
        <v/>
      </c>
      <c r="T3899" s="75" t="str">
        <f>IF(ISERROR(FIND('112'!$M$9,G3899,1)),"",IF((AND(FIND('112'!$M$9,G3899,1)&gt;=1,B3899='112'!$K$9,OR($N3899='112'!$I$6,$O3899='112'!$I$6))),"x",""))</f>
        <v/>
      </c>
      <c r="U3899" s="75" t="str">
        <f>IF(ISERROR(FIND('112'!$M$9,G3899,1)),"",IF((AND(LEFT(G3899,2)=LEFT('112'!$M$9,2),B3899&lt;'112'!$K$9,$N3899='112'!$I$6)),"x",""))</f>
        <v/>
      </c>
      <c r="V3899" s="75" t="str">
        <f>IF(ISERROR(FIND('112'!$M$9,G3899,1)),"",IF((AND(RIGHT(G3899,2)=RIGHT('112'!$M$9,2),B3899&lt;'112'!$K$9,$O3899='112'!$I$6)),"x",""))</f>
        <v/>
      </c>
      <c r="W3899" s="75" t="str">
        <f>IF(AND('341-CT'!$H$9=H3899,OR(LEFT(N3899,3)=$W$7,LEFT(O3899,3)=$W$7)),"x","")</f>
        <v/>
      </c>
      <c r="X3899" s="75" t="str">
        <f>IF(OR(TH!N5081=TH!$X$7,O3899=TH!$X$7),"x","")</f>
        <v/>
      </c>
      <c r="Y3899" s="75" t="str">
        <f>IF(AND(OR(N3899="131",O3899="131"),H3899='131-CT'!$H$9),"x","")</f>
        <v/>
      </c>
      <c r="Z3899" s="75"/>
      <c r="AA3899" s="75" t="str">
        <f>IF(AND(MONTH(E3899)='IN-NX'!$J$5,'IN-NX'!$D$7=D3899),"x","")</f>
        <v/>
      </c>
      <c r="AB3899" s="75" t="str">
        <f>IF(AND(OR(LEFT(TH!N5081,2)="15",LEFT(TH!O5081,2)="15"),LEFT(TH!O5081,3)&lt;&gt;"111",'152-CT'!$J$8=TH!F5081),"x","")</f>
        <v/>
      </c>
      <c r="AC3899" s="75" t="str">
        <f>IF(AND(OR(LEFT(TH!N5081,2)="15",LEFT(TH!O5081,2)="15"),TK!$E$7=TH!F5081),"x","")</f>
        <v/>
      </c>
      <c r="AD3899" s="75" t="str">
        <f>IF(AND(N3899="1521",MONTH(C3899)='BK-NL'!$M$11),"x","")</f>
        <v/>
      </c>
    </row>
    <row r="3900" spans="1:30" ht="16.5" customHeight="1">
      <c r="A3900" s="309" t="str">
        <f>IF(B3900&lt;&gt;"",IF(AND(B3900='IN-TC'!$S$4,OR(TH!N3898="1111",TH!O3898="1111")),TH!D3898,""),"")</f>
        <v/>
      </c>
      <c r="B3900" s="1241">
        <f t="shared" si="1306"/>
        <v>4</v>
      </c>
      <c r="C3900" s="292">
        <f t="shared" si="1307"/>
        <v>42829</v>
      </c>
      <c r="D3900" s="59" t="s">
        <v>902</v>
      </c>
      <c r="E3900" s="59">
        <v>42829</v>
      </c>
      <c r="F3900" s="1127" t="s">
        <v>897</v>
      </c>
      <c r="G3900" s="62" t="s">
        <v>747</v>
      </c>
      <c r="H3900" s="67" t="s">
        <v>791</v>
      </c>
      <c r="I3900" s="373"/>
      <c r="J3900" s="379"/>
      <c r="K3900" s="373"/>
      <c r="L3900" s="379"/>
      <c r="M3900" s="60">
        <v>1419444000</v>
      </c>
      <c r="N3900" s="61" t="s">
        <v>8</v>
      </c>
      <c r="O3900" s="61" t="s">
        <v>26</v>
      </c>
      <c r="P3900" s="75" t="str">
        <f>IF(AND('331-CT'!$E$7=TH!H5082,OR(N3900="331",O3900="331")),"x","")</f>
        <v/>
      </c>
      <c r="Q3900" s="75" t="str">
        <f>IF(AND(B3900='111'!$L$11,OR($N3900=$Q$7,$O3900=$Q$7)),"x","")</f>
        <v/>
      </c>
      <c r="R3900" s="75" t="str">
        <f>IF(AND($N3900=$Q$7,$B3900&lt;'111'!$L$11),"x","")</f>
        <v/>
      </c>
      <c r="S3900" s="75" t="str">
        <f>IF(AND($O3900=$Q$7,$B3900&lt;'111'!$L$11),"x","")</f>
        <v/>
      </c>
      <c r="T3900" s="75" t="str">
        <f>IF(ISERROR(FIND('112'!$M$9,G3900,1)),"",IF((AND(FIND('112'!$M$9,G3900,1)&gt;=1,B3900='112'!$K$9,OR($N3900='112'!$I$6,$O3900='112'!$I$6))),"x",""))</f>
        <v/>
      </c>
      <c r="U3900" s="75" t="str">
        <f>IF(ISERROR(FIND('112'!$M$9,G3900,1)),"",IF((AND(LEFT(G3900,2)=LEFT('112'!$M$9,2),B3900&lt;'112'!$K$9,$N3900='112'!$I$6)),"x",""))</f>
        <v/>
      </c>
      <c r="V3900" s="75" t="str">
        <f>IF(ISERROR(FIND('112'!$M$9,G3900,1)),"",IF((AND(RIGHT(G3900,2)=RIGHT('112'!$M$9,2),B3900&lt;'112'!$K$9,$O3900='112'!$I$6)),"x",""))</f>
        <v/>
      </c>
      <c r="W3900" s="75" t="str">
        <f>IF(AND('341-CT'!$H$9=H3900,OR(LEFT(N3900,3)=$W$7,LEFT(O3900,3)=$W$7)),"x","")</f>
        <v/>
      </c>
      <c r="X3900" s="75" t="str">
        <f>IF(OR(TH!N5082=TH!$X$7,O3900=TH!$X$7),"x","")</f>
        <v/>
      </c>
      <c r="Y3900" s="75" t="str">
        <f>IF(AND(OR(N3900="131",O3900="131"),H3900='131-CT'!$H$9),"x","")</f>
        <v/>
      </c>
      <c r="Z3900" s="75"/>
      <c r="AA3900" s="75" t="str">
        <f>IF(AND(MONTH(E3900)='IN-NX'!$J$5,'IN-NX'!$D$7=D3900),"x","")</f>
        <v/>
      </c>
      <c r="AB3900" s="75" t="str">
        <f>IF(AND(OR(LEFT(TH!N5082,2)="15",LEFT(TH!O5082,2)="15"),LEFT(TH!O5082,3)&lt;&gt;"111",'152-CT'!$J$8=TH!F5082),"x","")</f>
        <v/>
      </c>
      <c r="AC3900" s="75" t="str">
        <f>IF(AND(OR(LEFT(TH!N5082,2)="15",LEFT(TH!O5082,2)="15"),TK!$E$7=TH!F5082),"x","")</f>
        <v/>
      </c>
      <c r="AD3900" s="75" t="str">
        <f>IF(AND(N3900="1521",MONTH(C3900)='BK-NL'!$M$11),"x","")</f>
        <v/>
      </c>
    </row>
    <row r="3901" spans="1:30" ht="16.5" customHeight="1">
      <c r="A3901" s="309" t="str">
        <f>IF(B3901&lt;&gt;"",IF(AND(B3901='IN-TC'!$S$4,OR(TH!N3899="1111",TH!O3899="1111")),TH!D3899,""),"")</f>
        <v/>
      </c>
      <c r="B3901" s="1241">
        <f t="shared" si="1306"/>
        <v>4</v>
      </c>
      <c r="C3901" s="292">
        <f t="shared" si="1307"/>
        <v>42829</v>
      </c>
      <c r="D3901" s="59" t="s">
        <v>902</v>
      </c>
      <c r="E3901" s="59">
        <v>42829</v>
      </c>
      <c r="F3901" s="1127" t="s">
        <v>870</v>
      </c>
      <c r="G3901" s="62" t="s">
        <v>747</v>
      </c>
      <c r="H3901" s="311" t="s">
        <v>835</v>
      </c>
      <c r="I3901" s="373"/>
      <c r="J3901" s="379"/>
      <c r="K3901" s="373"/>
      <c r="L3901" s="379"/>
      <c r="M3901" s="60">
        <v>425833</v>
      </c>
      <c r="N3901" s="61" t="s">
        <v>101</v>
      </c>
      <c r="O3901" s="61" t="s">
        <v>26</v>
      </c>
      <c r="P3901" s="75" t="str">
        <f>IF(AND('331-CT'!$E$7=TH!H5083,OR(N3901="331",O3901="331")),"x","")</f>
        <v/>
      </c>
      <c r="Q3901" s="75" t="str">
        <f>IF(AND(B3901='111'!$L$11,OR($N3901=$Q$7,$O3901=$Q$7)),"x","")</f>
        <v/>
      </c>
      <c r="R3901" s="75" t="str">
        <f>IF(AND($N3901=$Q$7,$B3901&lt;'111'!$L$11),"x","")</f>
        <v/>
      </c>
      <c r="S3901" s="75" t="str">
        <f>IF(AND($O3901=$Q$7,$B3901&lt;'111'!$L$11),"x","")</f>
        <v/>
      </c>
      <c r="T3901" s="75" t="str">
        <f>IF(ISERROR(FIND('112'!$M$9,G3901,1)),"",IF((AND(FIND('112'!$M$9,G3901,1)&gt;=1,B3901='112'!$K$9,OR($N3901='112'!$I$6,$O3901='112'!$I$6))),"x",""))</f>
        <v/>
      </c>
      <c r="U3901" s="75" t="str">
        <f>IF(ISERROR(FIND('112'!$M$9,G3901,1)),"",IF((AND(LEFT(G3901,2)=LEFT('112'!$M$9,2),B3901&lt;'112'!$K$9,$N3901='112'!$I$6)),"x",""))</f>
        <v/>
      </c>
      <c r="V3901" s="75" t="str">
        <f>IF(ISERROR(FIND('112'!$M$9,G3901,1)),"",IF((AND(RIGHT(G3901,2)=RIGHT('112'!$M$9,2),B3901&lt;'112'!$K$9,$O3901='112'!$I$6)),"x",""))</f>
        <v/>
      </c>
      <c r="W3901" s="75" t="str">
        <f>IF(AND('341-CT'!$H$9=H3901,OR(LEFT(N3901,3)=$W$7,LEFT(O3901,3)=$W$7)),"x","")</f>
        <v/>
      </c>
      <c r="X3901" s="75" t="str">
        <f>IF(OR(TH!N5083=TH!$X$7,O3901=TH!$X$7),"x","")</f>
        <v/>
      </c>
      <c r="Y3901" s="75" t="str">
        <f>IF(AND(OR(N3901="131",O3901="131"),H3901='131-CT'!$H$9),"x","")</f>
        <v/>
      </c>
      <c r="Z3901" s="75"/>
      <c r="AA3901" s="75" t="str">
        <f>IF(AND(MONTH(E3901)='IN-NX'!$J$5,'IN-NX'!$D$7=D3901),"x","")</f>
        <v/>
      </c>
      <c r="AB3901" s="75" t="str">
        <f>IF(AND(OR(LEFT(TH!N5083,2)="15",LEFT(TH!O5083,2)="15"),LEFT(TH!O5083,3)&lt;&gt;"111",'152-CT'!$J$8=TH!F5083),"x","")</f>
        <v/>
      </c>
      <c r="AC3901" s="75" t="str">
        <f>IF(AND(OR(LEFT(TH!N5083,2)="15",LEFT(TH!O5083,2)="15"),TK!$E$7=TH!F5083),"x","")</f>
        <v/>
      </c>
      <c r="AD3901" s="75" t="str">
        <f>IF(AND(N3901="1521",MONTH(C3901)='BK-NL'!$M$11),"x","")</f>
        <v/>
      </c>
    </row>
    <row r="3902" spans="1:30" ht="16.5" customHeight="1">
      <c r="A3902" s="309" t="str">
        <f>IF(B3902&lt;&gt;"",IF(AND(B3902='IN-TC'!$S$4,OR(TH!N3900="1111",TH!O3900="1111")),TH!D3900,""),"")</f>
        <v/>
      </c>
      <c r="B3902" s="1241">
        <f t="shared" si="1306"/>
        <v>4</v>
      </c>
      <c r="C3902" s="292">
        <f t="shared" si="1307"/>
        <v>42829</v>
      </c>
      <c r="D3902" s="59" t="s">
        <v>902</v>
      </c>
      <c r="E3902" s="59">
        <v>42829</v>
      </c>
      <c r="F3902" s="1127" t="s">
        <v>898</v>
      </c>
      <c r="G3902" s="62" t="s">
        <v>747</v>
      </c>
      <c r="H3902" s="311" t="s">
        <v>835</v>
      </c>
      <c r="I3902" s="373"/>
      <c r="J3902" s="379"/>
      <c r="K3902" s="373"/>
      <c r="L3902" s="379"/>
      <c r="M3902" s="60">
        <v>42583</v>
      </c>
      <c r="N3902" s="61" t="s">
        <v>9</v>
      </c>
      <c r="O3902" s="61" t="s">
        <v>26</v>
      </c>
      <c r="P3902" s="75" t="str">
        <f>IF(AND('331-CT'!$E$7=TH!H5084,OR(N3902="331",O3902="331")),"x","")</f>
        <v/>
      </c>
      <c r="Q3902" s="75" t="str">
        <f>IF(AND(B3902='111'!$L$11,OR($N3902=$Q$7,$O3902=$Q$7)),"x","")</f>
        <v/>
      </c>
      <c r="R3902" s="75" t="str">
        <f>IF(AND($N3902=$Q$7,$B3902&lt;'111'!$L$11),"x","")</f>
        <v/>
      </c>
      <c r="S3902" s="75" t="str">
        <f>IF(AND($O3902=$Q$7,$B3902&lt;'111'!$L$11),"x","")</f>
        <v/>
      </c>
      <c r="T3902" s="75" t="str">
        <f>IF(ISERROR(FIND('112'!$M$9,G3902,1)),"",IF((AND(FIND('112'!$M$9,G3902,1)&gt;=1,B3902='112'!$K$9,OR($N3902='112'!$I$6,$O3902='112'!$I$6))),"x",""))</f>
        <v/>
      </c>
      <c r="U3902" s="75" t="str">
        <f>IF(ISERROR(FIND('112'!$M$9,G3902,1)),"",IF((AND(LEFT(G3902,2)=LEFT('112'!$M$9,2),B3902&lt;'112'!$K$9,$N3902='112'!$I$6)),"x",""))</f>
        <v/>
      </c>
      <c r="V3902" s="75" t="str">
        <f>IF(ISERROR(FIND('112'!$M$9,G3902,1)),"",IF((AND(RIGHT(G3902,2)=RIGHT('112'!$M$9,2),B3902&lt;'112'!$K$9,$O3902='112'!$I$6)),"x",""))</f>
        <v/>
      </c>
      <c r="W3902" s="75" t="str">
        <f>IF(AND('341-CT'!$H$9=H3902,OR(LEFT(N3902,3)=$W$7,LEFT(O3902,3)=$W$7)),"x","")</f>
        <v/>
      </c>
      <c r="X3902" s="75" t="str">
        <f>IF(OR(TH!N5084=TH!$X$7,O3902=TH!$X$7),"x","")</f>
        <v/>
      </c>
      <c r="Y3902" s="75" t="str">
        <f>IF(AND(OR(N3902="131",O3902="131"),H3902='131-CT'!$H$9),"x","")</f>
        <v/>
      </c>
      <c r="Z3902" s="75"/>
      <c r="AA3902" s="75" t="str">
        <f>IF(AND(MONTH(E3902)='IN-NX'!$J$5,'IN-NX'!$D$7=D3902),"x","")</f>
        <v/>
      </c>
      <c r="AB3902" s="75" t="str">
        <f>IF(AND(OR(LEFT(TH!N5084,2)="15",LEFT(TH!O5084,2)="15"),LEFT(TH!O5084,3)&lt;&gt;"111",'152-CT'!$J$8=TH!F5084),"x","")</f>
        <v/>
      </c>
      <c r="AC3902" s="75" t="str">
        <f>IF(AND(OR(LEFT(TH!N5084,2)="15",LEFT(TH!O5084,2)="15"),TK!$E$7=TH!F5084),"x","")</f>
        <v/>
      </c>
      <c r="AD3902" s="75" t="str">
        <f>IF(AND(N3902="1521",MONTH(C3902)='BK-NL'!$M$11),"x","")</f>
        <v/>
      </c>
    </row>
    <row r="3903" spans="1:30" ht="16.5" customHeight="1">
      <c r="A3903" s="309" t="str">
        <f>IF(B3903&lt;&gt;"",IF(AND(B3903='IN-TC'!$S$4,OR(TH!N3901="1111",TH!O3901="1111")),TH!D3901,""),"")</f>
        <v/>
      </c>
      <c r="B3903" s="1241">
        <f t="shared" si="1306"/>
        <v>4</v>
      </c>
      <c r="C3903" s="292">
        <f t="shared" si="1307"/>
        <v>42830</v>
      </c>
      <c r="D3903" s="947" t="s">
        <v>1927</v>
      </c>
      <c r="E3903" s="947">
        <v>42830</v>
      </c>
      <c r="F3903" s="1143" t="s">
        <v>2140</v>
      </c>
      <c r="G3903" s="952" t="s">
        <v>2137</v>
      </c>
      <c r="H3903" s="937" t="s">
        <v>803</v>
      </c>
      <c r="I3903" s="939"/>
      <c r="J3903" s="949"/>
      <c r="K3903" s="939"/>
      <c r="L3903" s="938"/>
      <c r="M3903" s="940">
        <v>17710000</v>
      </c>
      <c r="N3903" s="950" t="s">
        <v>8</v>
      </c>
      <c r="O3903" s="950" t="s">
        <v>63</v>
      </c>
      <c r="P3903" s="75" t="str">
        <f>IF(AND('331-CT'!$E$7=TH!H3575,OR(N3903="331",O3903="331")),"x","")</f>
        <v/>
      </c>
      <c r="Q3903" s="75" t="str">
        <f>IF(AND(B3903='111'!$L$11,OR($N3903=$Q$7,$O3903=$Q$7)),"x","")</f>
        <v/>
      </c>
      <c r="R3903" s="75" t="str">
        <f>IF(AND($N3903=$Q$7,$B3903&lt;'111'!$L$11),"x","")</f>
        <v/>
      </c>
      <c r="S3903" s="75" t="str">
        <f>IF(AND($O3903=$Q$7,$B3903&lt;'111'!$L$11),"x","")</f>
        <v>x</v>
      </c>
      <c r="T3903" s="75" t="str">
        <f>IF(ISERROR(FIND('112'!$M$9,G3903,1)),"",IF((AND(FIND('112'!$M$9,G3903,1)&gt;=1,B3903='112'!$K$9,OR($N3903='112'!$I$6,$O3903='112'!$I$6))),"x",""))</f>
        <v/>
      </c>
      <c r="U3903" s="75" t="str">
        <f>IF(ISERROR(FIND('112'!$M$9,G3903,1)),"",IF((AND(LEFT(G3903,2)=LEFT('112'!$M$9,2),B3903&lt;'112'!$K$9,$N3903='112'!$I$6)),"x",""))</f>
        <v/>
      </c>
      <c r="V3903" s="75" t="str">
        <f>IF(ISERROR(FIND('112'!$M$9,G3903,1)),"",IF((AND(RIGHT(G3903,2)=RIGHT('112'!$M$9,2),B3903&lt;'112'!$K$9,$O3903='112'!$I$6)),"x",""))</f>
        <v/>
      </c>
      <c r="W3903" s="75" t="str">
        <f>IF(AND('341-CT'!$H$9=H3903,OR(LEFT(N3903,3)=$W$7,LEFT(O3903,3)=$W$7)),"x","")</f>
        <v/>
      </c>
      <c r="X3903" s="75" t="str">
        <f>IF(OR(TH!N3575=TH!$X$7,O3903=TH!$X$7),"x","")</f>
        <v/>
      </c>
      <c r="Y3903" s="75" t="str">
        <f>IF(AND(OR(N3903="131",O3903="131"),H3903='131-CT'!$H$9),"x","")</f>
        <v/>
      </c>
      <c r="Z3903" s="75"/>
      <c r="AA3903" s="75" t="str">
        <f>IF(AND(MONTH(E3903)='IN-NX'!$J$5,'IN-NX'!$D$7=D3903),"x","")</f>
        <v/>
      </c>
      <c r="AB3903" s="75" t="str">
        <f>IF(AND(OR(LEFT(TH!N3575,2)="15",LEFT(TH!O3575,2)="15"),LEFT(TH!O3575,3)&lt;&gt;"111",'152-CT'!$J$8=TH!F3575),"x","")</f>
        <v/>
      </c>
      <c r="AC3903" s="75" t="str">
        <f>IF(AND(OR(LEFT(TH!N3575,2)="15",LEFT(TH!O3575,2)="15"),TK!$E$7=TH!F3575),"x","")</f>
        <v/>
      </c>
      <c r="AD3903" s="75" t="str">
        <f>IF(AND(N3903="1521",MONTH(C3903)='BK-NL'!$M$11),"x","")</f>
        <v/>
      </c>
    </row>
    <row r="3904" spans="1:30" ht="16.5" customHeight="1">
      <c r="A3904" s="309" t="str">
        <f>IF(B3904&lt;&gt;"",IF(AND(B3904='IN-TC'!$S$4,OR(TH!N3902="1111",TH!O3902="1111")),TH!D3902,""),"")</f>
        <v/>
      </c>
      <c r="B3904" s="1241">
        <f t="shared" si="1306"/>
        <v>4</v>
      </c>
      <c r="C3904" s="292">
        <f t="shared" si="1307"/>
        <v>42830</v>
      </c>
      <c r="D3904" s="59" t="s">
        <v>902</v>
      </c>
      <c r="E3904" s="59">
        <v>42830</v>
      </c>
      <c r="F3904" s="1127" t="s">
        <v>1203</v>
      </c>
      <c r="G3904" s="62" t="s">
        <v>747</v>
      </c>
      <c r="H3904" s="311" t="s">
        <v>835</v>
      </c>
      <c r="I3904" s="373"/>
      <c r="J3904" s="379"/>
      <c r="K3904" s="373"/>
      <c r="L3904" s="379"/>
      <c r="M3904" s="60">
        <v>227300</v>
      </c>
      <c r="N3904" s="61" t="s">
        <v>101</v>
      </c>
      <c r="O3904" s="61" t="s">
        <v>26</v>
      </c>
      <c r="P3904" s="75" t="str">
        <f>IF(AND('331-CT'!$E$7=TH!H5085,OR(N3904="331",O3904="331")),"x","")</f>
        <v/>
      </c>
      <c r="Q3904" s="75" t="str">
        <f>IF(AND(B3904='111'!$L$11,OR($N3904=$Q$7,$O3904=$Q$7)),"x","")</f>
        <v/>
      </c>
      <c r="R3904" s="75" t="str">
        <f>IF(AND($N3904=$Q$7,$B3904&lt;'111'!$L$11),"x","")</f>
        <v/>
      </c>
      <c r="S3904" s="75" t="str">
        <f>IF(AND($O3904=$Q$7,$B3904&lt;'111'!$L$11),"x","")</f>
        <v/>
      </c>
      <c r="T3904" s="75" t="str">
        <f>IF(ISERROR(FIND('112'!$M$9,G3904,1)),"",IF((AND(FIND('112'!$M$9,G3904,1)&gt;=1,B3904='112'!$K$9,OR($N3904='112'!$I$6,$O3904='112'!$I$6))),"x",""))</f>
        <v/>
      </c>
      <c r="U3904" s="75" t="str">
        <f>IF(ISERROR(FIND('112'!$M$9,G3904,1)),"",IF((AND(LEFT(G3904,2)=LEFT('112'!$M$9,2),B3904&lt;'112'!$K$9,$N3904='112'!$I$6)),"x",""))</f>
        <v/>
      </c>
      <c r="V3904" s="75" t="str">
        <f>IF(ISERROR(FIND('112'!$M$9,G3904,1)),"",IF((AND(RIGHT(G3904,2)=RIGHT('112'!$M$9,2),B3904&lt;'112'!$K$9,$O3904='112'!$I$6)),"x",""))</f>
        <v/>
      </c>
      <c r="W3904" s="75" t="str">
        <f>IF(AND('341-CT'!$H$9=H3904,OR(LEFT(N3904,3)=$W$7,LEFT(O3904,3)=$W$7)),"x","")</f>
        <v/>
      </c>
      <c r="X3904" s="75" t="str">
        <f>IF(OR(TH!N5085=TH!$X$7,O3904=TH!$X$7),"x","")</f>
        <v/>
      </c>
      <c r="Y3904" s="75" t="str">
        <f>IF(AND(OR(N3904="131",O3904="131"),H3904='131-CT'!$H$9),"x","")</f>
        <v/>
      </c>
      <c r="Z3904" s="75"/>
      <c r="AA3904" s="75" t="str">
        <f>IF(AND(MONTH(E3904)='IN-NX'!$J$5,'IN-NX'!$D$7=D3904),"x","")</f>
        <v/>
      </c>
      <c r="AB3904" s="75" t="str">
        <f>IF(AND(OR(LEFT(TH!N5085,2)="15",LEFT(TH!O5085,2)="15"),LEFT(TH!O5085,3)&lt;&gt;"111",'152-CT'!$J$8=TH!F5085),"x","")</f>
        <v/>
      </c>
      <c r="AC3904" s="75" t="str">
        <f>IF(AND(OR(LEFT(TH!N5085,2)="15",LEFT(TH!O5085,2)="15"),TK!$E$7=TH!F5085),"x","")</f>
        <v/>
      </c>
      <c r="AD3904" s="75" t="str">
        <f>IF(AND(N3904="1521",MONTH(C3904)='BK-NL'!$M$11),"x","")</f>
        <v/>
      </c>
    </row>
    <row r="3905" spans="1:30" ht="16.5" customHeight="1">
      <c r="A3905" s="309" t="str">
        <f>IF(B3905&lt;&gt;"",IF(AND(B3905='IN-TC'!$S$4,OR(TH!N3903="1111",TH!O3903="1111")),TH!D3903,""),"")</f>
        <v/>
      </c>
      <c r="B3905" s="1241">
        <f t="shared" si="1306"/>
        <v>4</v>
      </c>
      <c r="C3905" s="292">
        <f t="shared" si="1307"/>
        <v>42831</v>
      </c>
      <c r="D3905" s="292" t="s">
        <v>1928</v>
      </c>
      <c r="E3905" s="292">
        <v>42831</v>
      </c>
      <c r="F3905" s="1125" t="s">
        <v>1568</v>
      </c>
      <c r="G3905" s="742" t="s">
        <v>1286</v>
      </c>
      <c r="H3905" s="311" t="s">
        <v>935</v>
      </c>
      <c r="I3905" s="373"/>
      <c r="J3905" s="379"/>
      <c r="K3905" s="373"/>
      <c r="L3905" s="379"/>
      <c r="M3905" s="60">
        <f>1983232 + 1543435</f>
        <v>3526667</v>
      </c>
      <c r="N3905" s="61" t="s">
        <v>101</v>
      </c>
      <c r="O3905" s="934" t="s">
        <v>63</v>
      </c>
      <c r="P3905" s="75" t="str">
        <f>IF(AND('331-CT'!$E$7=TH!H3576,OR(N3905="331",O3905="331")),"x","")</f>
        <v/>
      </c>
      <c r="Q3905" s="75" t="str">
        <f>IF(AND(B3905='111'!$L$11,OR($N3905=$Q$7,$O3905=$Q$7)),"x","")</f>
        <v/>
      </c>
      <c r="R3905" s="75" t="str">
        <f>IF(AND($N3905=$Q$7,$B3905&lt;'111'!$L$11),"x","")</f>
        <v/>
      </c>
      <c r="S3905" s="75" t="str">
        <f>IF(AND($O3905=$Q$7,$B3905&lt;'111'!$L$11),"x","")</f>
        <v>x</v>
      </c>
      <c r="T3905" s="75" t="str">
        <f>IF(ISERROR(FIND('112'!$M$9,G3905,1)),"",IF((AND(FIND('112'!$M$9,G3905,1)&gt;=1,B3905='112'!$K$9,OR($N3905='112'!$I$6,$O3905='112'!$I$6))),"x",""))</f>
        <v/>
      </c>
      <c r="U3905" s="75" t="str">
        <f>IF(ISERROR(FIND('112'!$M$9,G3905,1)),"",IF((AND(LEFT(G3905,2)=LEFT('112'!$M$9,2),B3905&lt;'112'!$K$9,$N3905='112'!$I$6)),"x",""))</f>
        <v/>
      </c>
      <c r="V3905" s="75" t="str">
        <f>IF(ISERROR(FIND('112'!$M$9,G3905,1)),"",IF((AND(RIGHT(G3905,2)=RIGHT('112'!$M$9,2),B3905&lt;'112'!$K$9,$O3905='112'!$I$6)),"x",""))</f>
        <v/>
      </c>
      <c r="W3905" s="75" t="str">
        <f>IF(AND('341-CT'!$H$9=H3905,OR(LEFT(N3905,3)=$W$7,LEFT(O3905,3)=$W$7)),"x","")</f>
        <v/>
      </c>
      <c r="X3905" s="75" t="str">
        <f>IF(OR(TH!N3576=TH!$X$7,O3905=TH!$X$7),"x","")</f>
        <v/>
      </c>
      <c r="Y3905" s="75" t="str">
        <f>IF(AND(OR(N3905="131",O3905="131"),H3905='131-CT'!$H$9),"x","")</f>
        <v/>
      </c>
      <c r="Z3905" s="75"/>
      <c r="AA3905" s="75" t="str">
        <f>IF(AND(MONTH(E3905)='IN-NX'!$J$5,'IN-NX'!$D$7=D3905),"x","")</f>
        <v/>
      </c>
      <c r="AB3905" s="75" t="str">
        <f>IF(AND(OR(LEFT(TH!N3576,2)="15",LEFT(TH!O3576,2)="15"),LEFT(TH!O3576,3)&lt;&gt;"111",'152-CT'!$J$8=TH!F3576),"x","")</f>
        <v/>
      </c>
      <c r="AC3905" s="75" t="str">
        <f>IF(AND(OR(LEFT(TH!N3576,2)="15",LEFT(TH!O3576,2)="15"),TK!$E$7=TH!F3576),"x","")</f>
        <v/>
      </c>
      <c r="AD3905" s="75" t="str">
        <f>IF(AND(N3905="1521",MONTH(C3905)='BK-NL'!$M$11),"x","")</f>
        <v/>
      </c>
    </row>
    <row r="3906" spans="1:30" ht="16.5" customHeight="1">
      <c r="A3906" s="309" t="str">
        <f>IF(B3906&lt;&gt;"",IF(AND(B3906='IN-TC'!$S$4,OR(TH!N3904="1111",TH!O3904="1111")),TH!D3904,""),"")</f>
        <v/>
      </c>
      <c r="B3906" s="1241">
        <f t="shared" si="1306"/>
        <v>4</v>
      </c>
      <c r="C3906" s="292">
        <f t="shared" si="1307"/>
        <v>42831</v>
      </c>
      <c r="D3906" s="292" t="s">
        <v>1928</v>
      </c>
      <c r="E3906" s="292">
        <v>42831</v>
      </c>
      <c r="F3906" s="1125" t="s">
        <v>1569</v>
      </c>
      <c r="G3906" s="742" t="s">
        <v>1286</v>
      </c>
      <c r="H3906" s="311" t="s">
        <v>935</v>
      </c>
      <c r="I3906" s="373"/>
      <c r="J3906" s="379"/>
      <c r="K3906" s="373"/>
      <c r="L3906" s="379"/>
      <c r="M3906" s="60">
        <f>198323+154344</f>
        <v>352667</v>
      </c>
      <c r="N3906" s="61" t="s">
        <v>9</v>
      </c>
      <c r="O3906" s="934" t="s">
        <v>63</v>
      </c>
      <c r="P3906" s="75" t="str">
        <f>IF(AND('331-CT'!$E$7=TH!H3577,OR(N3906="331",O3906="331")),"x","")</f>
        <v/>
      </c>
      <c r="Q3906" s="75" t="str">
        <f>IF(AND(B3906='111'!$L$11,OR($N3906=$Q$7,$O3906=$Q$7)),"x","")</f>
        <v/>
      </c>
      <c r="R3906" s="75" t="str">
        <f>IF(AND($N3906=$Q$7,$B3906&lt;'111'!$L$11),"x","")</f>
        <v/>
      </c>
      <c r="S3906" s="75" t="str">
        <f>IF(AND($O3906=$Q$7,$B3906&lt;'111'!$L$11),"x","")</f>
        <v>x</v>
      </c>
      <c r="T3906" s="75" t="str">
        <f>IF(ISERROR(FIND('112'!$M$9,G3906,1)),"",IF((AND(FIND('112'!$M$9,G3906,1)&gt;=1,B3906='112'!$K$9,OR($N3906='112'!$I$6,$O3906='112'!$I$6))),"x",""))</f>
        <v/>
      </c>
      <c r="U3906" s="75" t="str">
        <f>IF(ISERROR(FIND('112'!$M$9,G3906,1)),"",IF((AND(LEFT(G3906,2)=LEFT('112'!$M$9,2),B3906&lt;'112'!$K$9,$N3906='112'!$I$6)),"x",""))</f>
        <v/>
      </c>
      <c r="V3906" s="75" t="str">
        <f>IF(ISERROR(FIND('112'!$M$9,G3906,1)),"",IF((AND(RIGHT(G3906,2)=RIGHT('112'!$M$9,2),B3906&lt;'112'!$K$9,$O3906='112'!$I$6)),"x",""))</f>
        <v/>
      </c>
      <c r="W3906" s="75" t="str">
        <f>IF(AND('341-CT'!$H$9=H3906,OR(LEFT(N3906,3)=$W$7,LEFT(O3906,3)=$W$7)),"x","")</f>
        <v/>
      </c>
      <c r="X3906" s="75" t="str">
        <f>IF(OR(TH!N3577=TH!$X$7,O3906=TH!$X$7),"x","")</f>
        <v/>
      </c>
      <c r="Y3906" s="75" t="str">
        <f>IF(AND(OR(N3906="131",O3906="131"),H3906='131-CT'!$H$9),"x","")</f>
        <v/>
      </c>
      <c r="Z3906" s="75"/>
      <c r="AA3906" s="75" t="str">
        <f>IF(AND(MONTH(E3906)='IN-NX'!$J$5,'IN-NX'!$D$7=D3906),"x","")</f>
        <v/>
      </c>
      <c r="AB3906" s="75" t="str">
        <f>IF(AND(OR(LEFT(TH!N3577,2)="15",LEFT(TH!O3577,2)="15"),LEFT(TH!O3577,3)&lt;&gt;"111",'152-CT'!$J$8=TH!F3577),"x","")</f>
        <v/>
      </c>
      <c r="AC3906" s="75" t="str">
        <f>IF(AND(OR(LEFT(TH!N3577,2)="15",LEFT(TH!O3577,2)="15"),TK!$E$7=TH!F3577),"x","")</f>
        <v/>
      </c>
      <c r="AD3906" s="75" t="str">
        <f>IF(AND(N3906="1521",MONTH(C3906)='BK-NL'!$M$11),"x","")</f>
        <v/>
      </c>
    </row>
    <row r="3907" spans="1:30" ht="16.5" customHeight="1">
      <c r="A3907" s="309" t="str">
        <f>IF(B3907&lt;&gt;"",IF(AND(B3907='IN-TC'!$S$4,OR(TH!N3905="1111",TH!O3905="1111")),TH!D3905,""),"")</f>
        <v/>
      </c>
      <c r="B3907" s="1241">
        <f t="shared" si="1306"/>
        <v>4</v>
      </c>
      <c r="C3907" s="292">
        <f t="shared" si="1307"/>
        <v>42831</v>
      </c>
      <c r="D3907" s="292" t="s">
        <v>1929</v>
      </c>
      <c r="E3907" s="292">
        <v>42831</v>
      </c>
      <c r="F3907" s="131" t="s">
        <v>1029</v>
      </c>
      <c r="G3907" s="742"/>
      <c r="H3907" s="311" t="s">
        <v>948</v>
      </c>
      <c r="I3907" s="373"/>
      <c r="J3907" s="379"/>
      <c r="K3907" s="373"/>
      <c r="L3907" s="379"/>
      <c r="M3907" s="60">
        <f>ROUND((19*510000+4*450000+1*1305000)/1.1,0)</f>
        <v>11631818</v>
      </c>
      <c r="N3907" s="61" t="s">
        <v>539</v>
      </c>
      <c r="O3907" s="934" t="s">
        <v>63</v>
      </c>
      <c r="P3907" s="75" t="str">
        <f>IF(AND('331-CT'!$E$7=TH!H3578,OR(N3907="331",O3907="331")),"x","")</f>
        <v/>
      </c>
      <c r="Q3907" s="75" t="str">
        <f>IF(AND(B3907='111'!$L$11,OR($N3907=$Q$7,$O3907=$Q$7)),"x","")</f>
        <v/>
      </c>
      <c r="R3907" s="75" t="str">
        <f>IF(AND($N3907=$Q$7,$B3907&lt;'111'!$L$11),"x","")</f>
        <v/>
      </c>
      <c r="S3907" s="75" t="str">
        <f>IF(AND($O3907=$Q$7,$B3907&lt;'111'!$L$11),"x","")</f>
        <v>x</v>
      </c>
      <c r="T3907" s="75" t="str">
        <f>IF(ISERROR(FIND('112'!$M$9,G3907,1)),"",IF((AND(FIND('112'!$M$9,G3907,1)&gt;=1,B3907='112'!$K$9,OR($N3907='112'!$I$6,$O3907='112'!$I$6))),"x",""))</f>
        <v/>
      </c>
      <c r="U3907" s="75" t="str">
        <f>IF(ISERROR(FIND('112'!$M$9,G3907,1)),"",IF((AND(LEFT(G3907,2)=LEFT('112'!$M$9,2),B3907&lt;'112'!$K$9,$N3907='112'!$I$6)),"x",""))</f>
        <v/>
      </c>
      <c r="V3907" s="75" t="str">
        <f>IF(ISERROR(FIND('112'!$M$9,G3907,1)),"",IF((AND(RIGHT(G3907,2)=RIGHT('112'!$M$9,2),B3907&lt;'112'!$K$9,$O3907='112'!$I$6)),"x",""))</f>
        <v/>
      </c>
      <c r="W3907" s="75" t="str">
        <f>IF(AND('341-CT'!$H$9=H3907,OR(LEFT(N3907,3)=$W$7,LEFT(O3907,3)=$W$7)),"x","")</f>
        <v/>
      </c>
      <c r="X3907" s="75" t="str">
        <f>IF(OR(TH!N3578=TH!$X$7,O3907=TH!$X$7),"x","")</f>
        <v/>
      </c>
      <c r="Y3907" s="75" t="str">
        <f>IF(AND(OR(N3907="131",O3907="131"),H3907='131-CT'!$H$9),"x","")</f>
        <v/>
      </c>
      <c r="Z3907" s="75"/>
      <c r="AA3907" s="75" t="str">
        <f>IF(AND(MONTH(E3907)='IN-NX'!$J$5,'IN-NX'!$D$7=D3907),"x","")</f>
        <v/>
      </c>
      <c r="AB3907" s="75" t="str">
        <f>IF(AND(OR(LEFT(TH!N3578,2)="15",LEFT(TH!O3578,2)="15"),LEFT(TH!O3578,3)&lt;&gt;"111",'152-CT'!$J$8=TH!F3578),"x","")</f>
        <v/>
      </c>
      <c r="AC3907" s="75" t="str">
        <f>IF(AND(OR(LEFT(TH!N3578,2)="15",LEFT(TH!O3578,2)="15"),TK!$E$7=TH!F3578),"x","")</f>
        <v/>
      </c>
      <c r="AD3907" s="75" t="str">
        <f>IF(AND(N3907="1521",MONTH(C3907)='BK-NL'!$M$11),"x","")</f>
        <v/>
      </c>
    </row>
    <row r="3908" spans="1:30" ht="16.5" customHeight="1">
      <c r="A3908" s="309" t="str">
        <f>IF(B3908&lt;&gt;"",IF(AND(B3908='IN-TC'!$S$4,OR(TH!N3906="1111",TH!O3906="1111")),TH!D3906,""),"")</f>
        <v/>
      </c>
      <c r="B3908" s="1241">
        <f t="shared" si="1306"/>
        <v>4</v>
      </c>
      <c r="C3908" s="292">
        <f t="shared" si="1307"/>
        <v>42831</v>
      </c>
      <c r="D3908" s="292" t="s">
        <v>1929</v>
      </c>
      <c r="E3908" s="292">
        <v>42831</v>
      </c>
      <c r="F3908" s="131" t="s">
        <v>1030</v>
      </c>
      <c r="G3908" s="742"/>
      <c r="H3908" s="311" t="s">
        <v>948</v>
      </c>
      <c r="I3908" s="373"/>
      <c r="J3908" s="379"/>
      <c r="K3908" s="373"/>
      <c r="L3908" s="379"/>
      <c r="M3908" s="60">
        <v>1163182</v>
      </c>
      <c r="N3908" s="61" t="s">
        <v>9</v>
      </c>
      <c r="O3908" s="934" t="s">
        <v>63</v>
      </c>
      <c r="P3908" s="75" t="str">
        <f>IF(AND('331-CT'!$E$7=TH!H3579,OR(N3908="331",O3908="331")),"x","")</f>
        <v/>
      </c>
      <c r="Q3908" s="75" t="str">
        <f>IF(AND(B3908='111'!$L$11,OR($N3908=$Q$7,$O3908=$Q$7)),"x","")</f>
        <v/>
      </c>
      <c r="R3908" s="75" t="str">
        <f>IF(AND($N3908=$Q$7,$B3908&lt;'111'!$L$11),"x","")</f>
        <v/>
      </c>
      <c r="S3908" s="75" t="str">
        <f>IF(AND($O3908=$Q$7,$B3908&lt;'111'!$L$11),"x","")</f>
        <v>x</v>
      </c>
      <c r="T3908" s="75" t="str">
        <f>IF(ISERROR(FIND('112'!$M$9,G3908,1)),"",IF((AND(FIND('112'!$M$9,G3908,1)&gt;=1,B3908='112'!$K$9,OR($N3908='112'!$I$6,$O3908='112'!$I$6))),"x",""))</f>
        <v/>
      </c>
      <c r="U3908" s="75" t="str">
        <f>IF(ISERROR(FIND('112'!$M$9,G3908,1)),"",IF((AND(LEFT(G3908,2)=LEFT('112'!$M$9,2),B3908&lt;'112'!$K$9,$N3908='112'!$I$6)),"x",""))</f>
        <v/>
      </c>
      <c r="V3908" s="75" t="str">
        <f>IF(ISERROR(FIND('112'!$M$9,G3908,1)),"",IF((AND(RIGHT(G3908,2)=RIGHT('112'!$M$9,2),B3908&lt;'112'!$K$9,$O3908='112'!$I$6)),"x",""))</f>
        <v/>
      </c>
      <c r="W3908" s="75" t="str">
        <f>IF(AND('341-CT'!$H$9=H3908,OR(LEFT(N3908,3)=$W$7,LEFT(O3908,3)=$W$7)),"x","")</f>
        <v/>
      </c>
      <c r="X3908" s="75" t="str">
        <f>IF(OR(TH!N3579=TH!$X$7,O3908=TH!$X$7),"x","")</f>
        <v/>
      </c>
      <c r="Y3908" s="75" t="str">
        <f>IF(AND(OR(N3908="131",O3908="131"),H3908='131-CT'!$H$9),"x","")</f>
        <v/>
      </c>
      <c r="Z3908" s="75"/>
      <c r="AA3908" s="75" t="str">
        <f>IF(AND(MONTH(E3908)='IN-NX'!$J$5,'IN-NX'!$D$7=D3908),"x","")</f>
        <v/>
      </c>
      <c r="AB3908" s="75" t="str">
        <f>IF(AND(OR(LEFT(TH!N3579,2)="15",LEFT(TH!O3579,2)="15"),LEFT(TH!O3579,3)&lt;&gt;"111",'152-CT'!$J$8=TH!F3579),"x","")</f>
        <v/>
      </c>
      <c r="AC3908" s="75" t="str">
        <f>IF(AND(OR(LEFT(TH!N3579,2)="15",LEFT(TH!O3579,2)="15"),TK!$E$7=TH!F3579),"x","")</f>
        <v/>
      </c>
      <c r="AD3908" s="75" t="str">
        <f>IF(AND(N3908="1521",MONTH(C3908)='BK-NL'!$M$11),"x","")</f>
        <v/>
      </c>
    </row>
    <row r="3909" spans="1:30" ht="16.5" customHeight="1">
      <c r="A3909" s="309" t="str">
        <f>IF(B3909&lt;&gt;"",IF(AND(B3909='IN-TC'!$S$4,OR(TH!N3907="1111",TH!O3907="1111")),TH!D3907,""),"")</f>
        <v/>
      </c>
      <c r="B3909" s="1241">
        <f t="shared" si="1306"/>
        <v>4</v>
      </c>
      <c r="C3909" s="292">
        <f t="shared" si="1307"/>
        <v>42832</v>
      </c>
      <c r="D3909" s="292" t="s">
        <v>1930</v>
      </c>
      <c r="E3909" s="292">
        <v>42832</v>
      </c>
      <c r="F3909" s="131" t="s">
        <v>1334</v>
      </c>
      <c r="G3909" s="742"/>
      <c r="H3909" s="311" t="s">
        <v>1336</v>
      </c>
      <c r="I3909" s="373"/>
      <c r="J3909" s="379"/>
      <c r="K3909" s="373"/>
      <c r="L3909" s="379"/>
      <c r="M3909" s="60">
        <v>5454545</v>
      </c>
      <c r="N3909" s="61" t="s">
        <v>539</v>
      </c>
      <c r="O3909" s="934" t="s">
        <v>63</v>
      </c>
      <c r="P3909" s="75" t="str">
        <f>IF(AND('331-CT'!$E$7=TH!H3580,OR(N3909="331",O3909="331")),"x","")</f>
        <v/>
      </c>
      <c r="Q3909" s="75" t="str">
        <f>IF(AND(B3909='111'!$L$11,OR($N3909=$Q$7,$O3909=$Q$7)),"x","")</f>
        <v/>
      </c>
      <c r="R3909" s="75" t="str">
        <f>IF(AND($N3909=$Q$7,$B3909&lt;'111'!$L$11),"x","")</f>
        <v/>
      </c>
      <c r="S3909" s="75" t="str">
        <f>IF(AND($O3909=$Q$7,$B3909&lt;'111'!$L$11),"x","")</f>
        <v>x</v>
      </c>
      <c r="T3909" s="75" t="str">
        <f>IF(ISERROR(FIND('112'!$M$9,G3909,1)),"",IF((AND(FIND('112'!$M$9,G3909,1)&gt;=1,B3909='112'!$K$9,OR($N3909='112'!$I$6,$O3909='112'!$I$6))),"x",""))</f>
        <v/>
      </c>
      <c r="U3909" s="75" t="str">
        <f>IF(ISERROR(FIND('112'!$M$9,G3909,1)),"",IF((AND(LEFT(G3909,2)=LEFT('112'!$M$9,2),B3909&lt;'112'!$K$9,$N3909='112'!$I$6)),"x",""))</f>
        <v/>
      </c>
      <c r="V3909" s="75" t="str">
        <f>IF(ISERROR(FIND('112'!$M$9,G3909,1)),"",IF((AND(RIGHT(G3909,2)=RIGHT('112'!$M$9,2),B3909&lt;'112'!$K$9,$O3909='112'!$I$6)),"x",""))</f>
        <v/>
      </c>
      <c r="W3909" s="75" t="str">
        <f>IF(AND('341-CT'!$H$9=H3909,OR(LEFT(N3909,3)=$W$7,LEFT(O3909,3)=$W$7)),"x","")</f>
        <v/>
      </c>
      <c r="X3909" s="75" t="str">
        <f>IF(OR(TH!N3580=TH!$X$7,O3909=TH!$X$7),"x","")</f>
        <v/>
      </c>
      <c r="Y3909" s="75" t="str">
        <f>IF(AND(OR(N3909="131",O3909="131"),H3909='131-CT'!$H$9),"x","")</f>
        <v/>
      </c>
      <c r="Z3909" s="75"/>
      <c r="AA3909" s="75" t="str">
        <f>IF(AND(MONTH(E3909)='IN-NX'!$J$5,'IN-NX'!$D$7=D3909),"x","")</f>
        <v/>
      </c>
      <c r="AB3909" s="75" t="str">
        <f>IF(AND(OR(LEFT(TH!N3580,2)="15",LEFT(TH!O3580,2)="15"),LEFT(TH!O3580,3)&lt;&gt;"111",'152-CT'!$J$8=TH!F3580),"x","")</f>
        <v/>
      </c>
      <c r="AC3909" s="75" t="str">
        <f>IF(AND(OR(LEFT(TH!N3580,2)="15",LEFT(TH!O3580,2)="15"),TK!$E$7=TH!F3580),"x","")</f>
        <v/>
      </c>
      <c r="AD3909" s="75" t="str">
        <f>IF(AND(N3909="1521",MONTH(C3909)='BK-NL'!$M$11),"x","")</f>
        <v/>
      </c>
    </row>
    <row r="3910" spans="1:30" ht="16.5" customHeight="1">
      <c r="A3910" s="309" t="str">
        <f>IF(B3910&lt;&gt;"",IF(AND(B3910='IN-TC'!$S$4,OR(TH!N3908="1111",TH!O3908="1111")),TH!D3908,""),"")</f>
        <v/>
      </c>
      <c r="B3910" s="1241">
        <f t="shared" si="1306"/>
        <v>4</v>
      </c>
      <c r="C3910" s="292">
        <f t="shared" si="1307"/>
        <v>42832</v>
      </c>
      <c r="D3910" s="292" t="s">
        <v>1930</v>
      </c>
      <c r="E3910" s="292">
        <v>42832</v>
      </c>
      <c r="F3910" s="62" t="s">
        <v>1335</v>
      </c>
      <c r="G3910" s="742"/>
      <c r="H3910" s="311" t="s">
        <v>1336</v>
      </c>
      <c r="I3910" s="373"/>
      <c r="J3910" s="379"/>
      <c r="K3910" s="373"/>
      <c r="L3910" s="379"/>
      <c r="M3910" s="60">
        <v>545455</v>
      </c>
      <c r="N3910" s="61" t="s">
        <v>9</v>
      </c>
      <c r="O3910" s="934" t="s">
        <v>63</v>
      </c>
      <c r="P3910" s="75" t="str">
        <f>IF(AND('331-CT'!$E$7=TH!H3581,OR(N3910="331",O3910="331")),"x","")</f>
        <v/>
      </c>
      <c r="Q3910" s="75" t="str">
        <f>IF(AND(B3910='111'!$L$11,OR($N3910=$Q$7,$O3910=$Q$7)),"x","")</f>
        <v/>
      </c>
      <c r="R3910" s="75" t="str">
        <f>IF(AND($N3910=$Q$7,$B3910&lt;'111'!$L$11),"x","")</f>
        <v/>
      </c>
      <c r="S3910" s="75" t="str">
        <f>IF(AND($O3910=$Q$7,$B3910&lt;'111'!$L$11),"x","")</f>
        <v>x</v>
      </c>
      <c r="T3910" s="75" t="str">
        <f>IF(ISERROR(FIND('112'!$M$9,G3910,1)),"",IF((AND(FIND('112'!$M$9,G3910,1)&gt;=1,B3910='112'!$K$9,OR($N3910='112'!$I$6,$O3910='112'!$I$6))),"x",""))</f>
        <v/>
      </c>
      <c r="U3910" s="75" t="str">
        <f>IF(ISERROR(FIND('112'!$M$9,G3910,1)),"",IF((AND(LEFT(G3910,2)=LEFT('112'!$M$9,2),B3910&lt;'112'!$K$9,$N3910='112'!$I$6)),"x",""))</f>
        <v/>
      </c>
      <c r="V3910" s="75" t="str">
        <f>IF(ISERROR(FIND('112'!$M$9,G3910,1)),"",IF((AND(RIGHT(G3910,2)=RIGHT('112'!$M$9,2),B3910&lt;'112'!$K$9,$O3910='112'!$I$6)),"x",""))</f>
        <v/>
      </c>
      <c r="W3910" s="75" t="str">
        <f>IF(AND('341-CT'!$H$9=H3910,OR(LEFT(N3910,3)=$W$7,LEFT(O3910,3)=$W$7)),"x","")</f>
        <v/>
      </c>
      <c r="X3910" s="75" t="str">
        <f>IF(OR(TH!N3581=TH!$X$7,O3910=TH!$X$7),"x","")</f>
        <v/>
      </c>
      <c r="Y3910" s="75" t="str">
        <f>IF(AND(OR(N3910="131",O3910="131"),H3910='131-CT'!$H$9),"x","")</f>
        <v/>
      </c>
      <c r="Z3910" s="75"/>
      <c r="AA3910" s="75" t="str">
        <f>IF(AND(MONTH(E3910)='IN-NX'!$J$5,'IN-NX'!$D$7=D3910),"x","")</f>
        <v/>
      </c>
      <c r="AB3910" s="75" t="str">
        <f>IF(AND(OR(LEFT(TH!N3581,2)="15",LEFT(TH!O3581,2)="15"),LEFT(TH!O3581,3)&lt;&gt;"111",'152-CT'!$J$8=TH!F3581),"x","")</f>
        <v/>
      </c>
      <c r="AC3910" s="75" t="str">
        <f>IF(AND(OR(LEFT(TH!N3581,2)="15",LEFT(TH!O3581,2)="15"),TK!$E$7=TH!F3581),"x","")</f>
        <v/>
      </c>
      <c r="AD3910" s="75" t="str">
        <f>IF(AND(N3910="1521",MONTH(C3910)='BK-NL'!$M$11),"x","")</f>
        <v/>
      </c>
    </row>
    <row r="3911" spans="1:30" ht="16.5" customHeight="1">
      <c r="A3911" s="309" t="str">
        <f>IF(B3911&lt;&gt;"",IF(AND(B3911='IN-TC'!$S$4,OR(TH!N3909="1111",TH!O3909="1111")),TH!D3909,""),"")</f>
        <v/>
      </c>
      <c r="B3911" s="1241">
        <f t="shared" si="1306"/>
        <v>4</v>
      </c>
      <c r="C3911" s="292">
        <f t="shared" si="1307"/>
        <v>42833</v>
      </c>
      <c r="D3911" s="59" t="s">
        <v>903</v>
      </c>
      <c r="E3911" s="59">
        <v>42833</v>
      </c>
      <c r="F3911" s="131" t="s">
        <v>914</v>
      </c>
      <c r="G3911" s="62" t="s">
        <v>586</v>
      </c>
      <c r="H3911" s="67" t="s">
        <v>982</v>
      </c>
      <c r="I3911" s="375"/>
      <c r="J3911" s="381"/>
      <c r="K3911" s="375"/>
      <c r="L3911" s="381"/>
      <c r="M3911" s="60">
        <v>850</v>
      </c>
      <c r="N3911" s="61" t="s">
        <v>26</v>
      </c>
      <c r="O3911" s="295" t="s">
        <v>43</v>
      </c>
      <c r="P3911" s="75" t="str">
        <f>IF(AND('331-CT'!$E$7=TH!H4392,OR(N3911="331",O3911="331")),"x","")</f>
        <v/>
      </c>
      <c r="Q3911" s="75" t="str">
        <f>IF(AND(B3911='111'!$L$11,OR($N3911=$Q$7,$O3911=$Q$7)),"x","")</f>
        <v/>
      </c>
      <c r="R3911" s="75" t="str">
        <f>IF(AND($N3911=$Q$7,$B3911&lt;'111'!$L$11),"x","")</f>
        <v/>
      </c>
      <c r="S3911" s="75" t="str">
        <f>IF(AND($O3911=$Q$7,$B3911&lt;'111'!$L$11),"x","")</f>
        <v/>
      </c>
      <c r="T3911" s="75" t="str">
        <f>IF(ISERROR(FIND('112'!$M$9,G3911,1)),"",IF((AND(FIND('112'!$M$9,G3911,1)&gt;=1,B3911='112'!$K$9,OR($N3911='112'!$I$6,$O3911='112'!$I$6))),"x",""))</f>
        <v/>
      </c>
      <c r="U3911" s="75" t="str">
        <f>IF(ISERROR(FIND('112'!$M$9,G3911,1)),"",IF((AND(LEFT(G3911,2)=LEFT('112'!$M$9,2),B3911&lt;'112'!$K$9,$N3911='112'!$I$6)),"x",""))</f>
        <v>x</v>
      </c>
      <c r="V3911" s="75" t="str">
        <f>IF(ISERROR(FIND('112'!$M$9,G3911,1)),"",IF((AND(RIGHT(G3911,2)=RIGHT('112'!$M$9,2),B3911&lt;'112'!$K$9,$O3911='112'!$I$6)),"x",""))</f>
        <v/>
      </c>
      <c r="W3911" s="75" t="str">
        <f>IF(AND('341-CT'!$H$9=H3911,OR(LEFT(N3911,3)=$W$7,LEFT(O3911,3)=$W$7)),"x","")</f>
        <v/>
      </c>
      <c r="X3911" s="75" t="str">
        <f>IF(OR(TH!N4392=TH!$X$7,O3911=TH!$X$7),"x","")</f>
        <v/>
      </c>
      <c r="Y3911" s="75" t="str">
        <f>IF(AND(OR(N3911="131",O3911="131"),H3911='131-CT'!$H$9),"x","")</f>
        <v/>
      </c>
      <c r="Z3911" s="75"/>
      <c r="AA3911" s="75" t="str">
        <f>IF(AND(MONTH(E3911)='IN-NX'!$J$5,'IN-NX'!$D$7=D3911),"x","")</f>
        <v/>
      </c>
      <c r="AB3911" s="75" t="str">
        <f>IF(AND(OR(LEFT(TH!N4392,2)="15",LEFT(TH!O4392,2)="15"),LEFT(TH!O4392,3)&lt;&gt;"111",'152-CT'!$J$8=TH!F4392),"x","")</f>
        <v/>
      </c>
      <c r="AC3911" s="75" t="str">
        <f>IF(AND(OR(LEFT(TH!N4392,2)="15",LEFT(TH!O4392,2)="15"),TK!$E$7=TH!F4392),"x","")</f>
        <v/>
      </c>
      <c r="AD3911" s="75" t="str">
        <f>IF(AND(N3911="1521",MONTH(C3911)='BK-NL'!$M$11),"x","")</f>
        <v/>
      </c>
    </row>
    <row r="3912" spans="1:30" ht="16.5" customHeight="1">
      <c r="A3912" s="309" t="str">
        <f>IF(B3912&lt;&gt;"",IF(AND(B3912='IN-TC'!$S$4,OR(TH!N3910="1111",TH!O3910="1111")),TH!D3910,""),"")</f>
        <v/>
      </c>
      <c r="B3912" s="1241">
        <f t="shared" si="1306"/>
        <v>4</v>
      </c>
      <c r="C3912" s="292">
        <f t="shared" si="1307"/>
        <v>42836</v>
      </c>
      <c r="D3912" s="292" t="s">
        <v>1931</v>
      </c>
      <c r="E3912" s="292">
        <v>42836</v>
      </c>
      <c r="F3912" s="131" t="s">
        <v>221</v>
      </c>
      <c r="G3912" s="742" t="s">
        <v>1287</v>
      </c>
      <c r="H3912" s="311" t="s">
        <v>556</v>
      </c>
      <c r="I3912" s="373"/>
      <c r="J3912" s="379"/>
      <c r="K3912" s="373"/>
      <c r="L3912" s="379"/>
      <c r="M3912" s="60">
        <v>10068182</v>
      </c>
      <c r="N3912" s="61" t="s">
        <v>272</v>
      </c>
      <c r="O3912" s="934" t="s">
        <v>63</v>
      </c>
      <c r="P3912" s="75" t="str">
        <f>IF(AND('331-CT'!$E$7=TH!H3582,OR(N3912="331",O3912="331")),"x","")</f>
        <v/>
      </c>
      <c r="Q3912" s="75" t="str">
        <f>IF(AND(B3912='111'!$L$11,OR($N3912=$Q$7,$O3912=$Q$7)),"x","")</f>
        <v/>
      </c>
      <c r="R3912" s="75" t="str">
        <f>IF(AND($N3912=$Q$7,$B3912&lt;'111'!$L$11),"x","")</f>
        <v/>
      </c>
      <c r="S3912" s="75" t="str">
        <f>IF(AND($O3912=$Q$7,$B3912&lt;'111'!$L$11),"x","")</f>
        <v>x</v>
      </c>
      <c r="T3912" s="75" t="str">
        <f>IF(ISERROR(FIND('112'!$M$9,G3912,1)),"",IF((AND(FIND('112'!$M$9,G3912,1)&gt;=1,B3912='112'!$K$9,OR($N3912='112'!$I$6,$O3912='112'!$I$6))),"x",""))</f>
        <v/>
      </c>
      <c r="U3912" s="75" t="str">
        <f>IF(ISERROR(FIND('112'!$M$9,G3912,1)),"",IF((AND(LEFT(G3912,2)=LEFT('112'!$M$9,2),B3912&lt;'112'!$K$9,$N3912='112'!$I$6)),"x",""))</f>
        <v/>
      </c>
      <c r="V3912" s="75" t="str">
        <f>IF(ISERROR(FIND('112'!$M$9,G3912,1)),"",IF((AND(RIGHT(G3912,2)=RIGHT('112'!$M$9,2),B3912&lt;'112'!$K$9,$O3912='112'!$I$6)),"x",""))</f>
        <v/>
      </c>
      <c r="W3912" s="75" t="str">
        <f>IF(AND('341-CT'!$H$9=H3912,OR(LEFT(N3912,3)=$W$7,LEFT(O3912,3)=$W$7)),"x","")</f>
        <v/>
      </c>
      <c r="X3912" s="75" t="str">
        <f>IF(OR(TH!N3582=TH!$X$7,O3912=TH!$X$7),"x","")</f>
        <v/>
      </c>
      <c r="Y3912" s="75" t="str">
        <f>IF(AND(OR(N3912="131",O3912="131"),H3912='131-CT'!$H$9),"x","")</f>
        <v/>
      </c>
      <c r="Z3912" s="75"/>
      <c r="AA3912" s="75" t="str">
        <f>IF(AND(MONTH(E3912)='IN-NX'!$J$5,'IN-NX'!$D$7=D3912),"x","")</f>
        <v/>
      </c>
      <c r="AB3912" s="75" t="str">
        <f>IF(AND(OR(LEFT(TH!N3582,2)="15",LEFT(TH!O3582,2)="15"),LEFT(TH!O3582,3)&lt;&gt;"111",'152-CT'!$J$8=TH!F3582),"x","")</f>
        <v/>
      </c>
      <c r="AC3912" s="75" t="str">
        <f>IF(AND(OR(LEFT(TH!N3582,2)="15",LEFT(TH!O3582,2)="15"),TK!$E$7=TH!F3582),"x","")</f>
        <v/>
      </c>
      <c r="AD3912" s="75" t="str">
        <f>IF(AND(N3912="1521",MONTH(C3912)='BK-NL'!$M$11),"x","")</f>
        <v/>
      </c>
    </row>
    <row r="3913" spans="1:30" ht="16.5" customHeight="1">
      <c r="A3913" s="309" t="str">
        <f>IF(B3913&lt;&gt;"",IF(AND(B3913='IN-TC'!$S$4,OR(TH!N3911="1111",TH!O3911="1111")),TH!D3911,""),"")</f>
        <v/>
      </c>
      <c r="B3913" s="1241">
        <f t="shared" si="1306"/>
        <v>4</v>
      </c>
      <c r="C3913" s="292">
        <f t="shared" si="1307"/>
        <v>42836</v>
      </c>
      <c r="D3913" s="292" t="s">
        <v>1931</v>
      </c>
      <c r="E3913" s="292">
        <v>42836</v>
      </c>
      <c r="F3913" s="131" t="s">
        <v>943</v>
      </c>
      <c r="G3913" s="742" t="s">
        <v>1287</v>
      </c>
      <c r="H3913" s="311" t="s">
        <v>556</v>
      </c>
      <c r="I3913" s="373"/>
      <c r="J3913" s="379"/>
      <c r="K3913" s="373"/>
      <c r="L3913" s="379"/>
      <c r="M3913" s="60">
        <v>1006818</v>
      </c>
      <c r="N3913" s="61" t="s">
        <v>9</v>
      </c>
      <c r="O3913" s="934" t="s">
        <v>63</v>
      </c>
      <c r="P3913" s="75" t="str">
        <f>IF(AND('331-CT'!$E$7=TH!H3583,OR(N3913="331",O3913="331")),"x","")</f>
        <v/>
      </c>
      <c r="Q3913" s="75" t="str">
        <f>IF(AND(B3913='111'!$L$11,OR($N3913=$Q$7,$O3913=$Q$7)),"x","")</f>
        <v/>
      </c>
      <c r="R3913" s="75" t="str">
        <f>IF(AND($N3913=$Q$7,$B3913&lt;'111'!$L$11),"x","")</f>
        <v/>
      </c>
      <c r="S3913" s="75" t="str">
        <f>IF(AND($O3913=$Q$7,$B3913&lt;'111'!$L$11),"x","")</f>
        <v>x</v>
      </c>
      <c r="T3913" s="75" t="str">
        <f>IF(ISERROR(FIND('112'!$M$9,G3913,1)),"",IF((AND(FIND('112'!$M$9,G3913,1)&gt;=1,B3913='112'!$K$9,OR($N3913='112'!$I$6,$O3913='112'!$I$6))),"x",""))</f>
        <v/>
      </c>
      <c r="U3913" s="75" t="str">
        <f>IF(ISERROR(FIND('112'!$M$9,G3913,1)),"",IF((AND(LEFT(G3913,2)=LEFT('112'!$M$9,2),B3913&lt;'112'!$K$9,$N3913='112'!$I$6)),"x",""))</f>
        <v/>
      </c>
      <c r="V3913" s="75" t="str">
        <f>IF(ISERROR(FIND('112'!$M$9,G3913,1)),"",IF((AND(RIGHT(G3913,2)=RIGHT('112'!$M$9,2),B3913&lt;'112'!$K$9,$O3913='112'!$I$6)),"x",""))</f>
        <v/>
      </c>
      <c r="W3913" s="75" t="str">
        <f>IF(AND('341-CT'!$H$9=H3913,OR(LEFT(N3913,3)=$W$7,LEFT(O3913,3)=$W$7)),"x","")</f>
        <v/>
      </c>
      <c r="X3913" s="75" t="str">
        <f>IF(OR(TH!N3583=TH!$X$7,O3913=TH!$X$7),"x","")</f>
        <v/>
      </c>
      <c r="Y3913" s="75" t="str">
        <f>IF(AND(OR(N3913="131",O3913="131"),H3913='131-CT'!$H$9),"x","")</f>
        <v/>
      </c>
      <c r="Z3913" s="75"/>
      <c r="AA3913" s="75" t="str">
        <f>IF(AND(MONTH(E3913)='IN-NX'!$J$5,'IN-NX'!$D$7=D3913),"x","")</f>
        <v/>
      </c>
      <c r="AB3913" s="75" t="str">
        <f>IF(AND(OR(LEFT(TH!N3583,2)="15",LEFT(TH!O3583,2)="15"),LEFT(TH!O3583,3)&lt;&gt;"111",'152-CT'!$J$8=TH!F3583),"x","")</f>
        <v/>
      </c>
      <c r="AC3913" s="75" t="str">
        <f>IF(AND(OR(LEFT(TH!N3583,2)="15",LEFT(TH!O3583,2)="15"),TK!$E$7=TH!F3583),"x","")</f>
        <v/>
      </c>
      <c r="AD3913" s="75" t="str">
        <f>IF(AND(N3913="1521",MONTH(C3913)='BK-NL'!$M$11),"x","")</f>
        <v/>
      </c>
    </row>
    <row r="3914" spans="1:30" ht="16.5" customHeight="1">
      <c r="A3914" s="309" t="str">
        <f>IF(B3914&lt;&gt;"",IF(AND(B3914='IN-TC'!$S$4,OR(TH!N3912="1111",TH!O3912="1111")),TH!D3912,""),"")</f>
        <v/>
      </c>
      <c r="B3914" s="1241">
        <f t="shared" si="1306"/>
        <v>4</v>
      </c>
      <c r="C3914" s="292">
        <f t="shared" si="1307"/>
        <v>42836</v>
      </c>
      <c r="D3914" s="292" t="s">
        <v>1932</v>
      </c>
      <c r="E3914" s="292">
        <v>42836</v>
      </c>
      <c r="F3914" s="131" t="s">
        <v>1456</v>
      </c>
      <c r="G3914" s="742" t="s">
        <v>1458</v>
      </c>
      <c r="H3914" s="311" t="s">
        <v>1459</v>
      </c>
      <c r="I3914" s="373"/>
      <c r="J3914" s="379"/>
      <c r="K3914" s="373"/>
      <c r="L3914" s="379"/>
      <c r="M3914" s="60">
        <v>2500000</v>
      </c>
      <c r="N3914" s="61" t="s">
        <v>539</v>
      </c>
      <c r="O3914" s="934" t="s">
        <v>63</v>
      </c>
      <c r="P3914" s="75" t="str">
        <f>IF(AND('331-CT'!$E$7=TH!H3584,OR(N3914="331",O3914="331")),"x","")</f>
        <v/>
      </c>
      <c r="Q3914" s="75" t="str">
        <f>IF(AND(B3914='111'!$L$11,OR($N3914=$Q$7,$O3914=$Q$7)),"x","")</f>
        <v/>
      </c>
      <c r="R3914" s="75" t="str">
        <f>IF(AND($N3914=$Q$7,$B3914&lt;'111'!$L$11),"x","")</f>
        <v/>
      </c>
      <c r="S3914" s="75" t="str">
        <f>IF(AND($O3914=$Q$7,$B3914&lt;'111'!$L$11),"x","")</f>
        <v>x</v>
      </c>
      <c r="T3914" s="75" t="str">
        <f>IF(ISERROR(FIND('112'!$M$9,G3914,1)),"",IF((AND(FIND('112'!$M$9,G3914,1)&gt;=1,B3914='112'!$K$9,OR($N3914='112'!$I$6,$O3914='112'!$I$6))),"x",""))</f>
        <v/>
      </c>
      <c r="U3914" s="75" t="str">
        <f>IF(ISERROR(FIND('112'!$M$9,G3914,1)),"",IF((AND(LEFT(G3914,2)=LEFT('112'!$M$9,2),B3914&lt;'112'!$K$9,$N3914='112'!$I$6)),"x",""))</f>
        <v/>
      </c>
      <c r="V3914" s="75" t="str">
        <f>IF(ISERROR(FIND('112'!$M$9,G3914,1)),"",IF((AND(RIGHT(G3914,2)=RIGHT('112'!$M$9,2),B3914&lt;'112'!$K$9,$O3914='112'!$I$6)),"x",""))</f>
        <v/>
      </c>
      <c r="W3914" s="75" t="str">
        <f>IF(AND('341-CT'!$H$9=H3914,OR(LEFT(N3914,3)=$W$7,LEFT(O3914,3)=$W$7)),"x","")</f>
        <v/>
      </c>
      <c r="X3914" s="75" t="str">
        <f>IF(OR(TH!N3584=TH!$X$7,O3914=TH!$X$7),"x","")</f>
        <v/>
      </c>
      <c r="Y3914" s="75" t="str">
        <f>IF(AND(OR(N3914="131",O3914="131"),H3914='131-CT'!$H$9),"x","")</f>
        <v/>
      </c>
      <c r="Z3914" s="75"/>
      <c r="AA3914" s="75" t="str">
        <f>IF(AND(MONTH(E3914)='IN-NX'!$J$5,'IN-NX'!$D$7=D3914),"x","")</f>
        <v/>
      </c>
      <c r="AB3914" s="75" t="str">
        <f>IF(AND(OR(LEFT(TH!N3584,2)="15",LEFT(TH!O3584,2)="15"),LEFT(TH!O3584,3)&lt;&gt;"111",'152-CT'!$J$8=TH!F3584),"x","")</f>
        <v/>
      </c>
      <c r="AC3914" s="75" t="str">
        <f>IF(AND(OR(LEFT(TH!N3584,2)="15",LEFT(TH!O3584,2)="15"),TK!$E$7=TH!F3584),"x","")</f>
        <v/>
      </c>
      <c r="AD3914" s="75" t="str">
        <f>IF(AND(N3914="1521",MONTH(C3914)='BK-NL'!$M$11),"x","")</f>
        <v/>
      </c>
    </row>
    <row r="3915" spans="1:30" ht="16.5" customHeight="1">
      <c r="A3915" s="309" t="str">
        <f>IF(B3915&lt;&gt;"",IF(AND(B3915='IN-TC'!$S$4,OR(TH!N3913="1111",TH!O3913="1111")),TH!D3913,""),"")</f>
        <v/>
      </c>
      <c r="B3915" s="1241">
        <f t="shared" si="1306"/>
        <v>4</v>
      </c>
      <c r="C3915" s="292">
        <f t="shared" si="1307"/>
        <v>42836</v>
      </c>
      <c r="D3915" s="292" t="s">
        <v>1932</v>
      </c>
      <c r="E3915" s="292">
        <v>42836</v>
      </c>
      <c r="F3915" s="62" t="s">
        <v>1457</v>
      </c>
      <c r="G3915" s="742" t="s">
        <v>1458</v>
      </c>
      <c r="H3915" s="311" t="s">
        <v>1459</v>
      </c>
      <c r="I3915" s="373"/>
      <c r="J3915" s="379"/>
      <c r="K3915" s="373"/>
      <c r="L3915" s="379"/>
      <c r="M3915" s="60">
        <v>250000</v>
      </c>
      <c r="N3915" s="61" t="s">
        <v>9</v>
      </c>
      <c r="O3915" s="934" t="s">
        <v>63</v>
      </c>
      <c r="P3915" s="75" t="str">
        <f>IF(AND('331-CT'!$E$7=TH!H3585,OR(N3915="331",O3915="331")),"x","")</f>
        <v/>
      </c>
      <c r="Q3915" s="75" t="str">
        <f>IF(AND(B3915='111'!$L$11,OR($N3915=$Q$7,$O3915=$Q$7)),"x","")</f>
        <v/>
      </c>
      <c r="R3915" s="75" t="str">
        <f>IF(AND($N3915=$Q$7,$B3915&lt;'111'!$L$11),"x","")</f>
        <v/>
      </c>
      <c r="S3915" s="75" t="str">
        <f>IF(AND($O3915=$Q$7,$B3915&lt;'111'!$L$11),"x","")</f>
        <v>x</v>
      </c>
      <c r="T3915" s="75" t="str">
        <f>IF(ISERROR(FIND('112'!$M$9,G3915,1)),"",IF((AND(FIND('112'!$M$9,G3915,1)&gt;=1,B3915='112'!$K$9,OR($N3915='112'!$I$6,$O3915='112'!$I$6))),"x",""))</f>
        <v/>
      </c>
      <c r="U3915" s="75" t="str">
        <f>IF(ISERROR(FIND('112'!$M$9,G3915,1)),"",IF((AND(LEFT(G3915,2)=LEFT('112'!$M$9,2),B3915&lt;'112'!$K$9,$N3915='112'!$I$6)),"x",""))</f>
        <v/>
      </c>
      <c r="V3915" s="75" t="str">
        <f>IF(ISERROR(FIND('112'!$M$9,G3915,1)),"",IF((AND(RIGHT(G3915,2)=RIGHT('112'!$M$9,2),B3915&lt;'112'!$K$9,$O3915='112'!$I$6)),"x",""))</f>
        <v/>
      </c>
      <c r="W3915" s="75" t="str">
        <f>IF(AND('341-CT'!$H$9=H3915,OR(LEFT(N3915,3)=$W$7,LEFT(O3915,3)=$W$7)),"x","")</f>
        <v/>
      </c>
      <c r="X3915" s="75" t="str">
        <f>IF(OR(TH!N3585=TH!$X$7,O3915=TH!$X$7),"x","")</f>
        <v/>
      </c>
      <c r="Y3915" s="75" t="str">
        <f>IF(AND(OR(N3915="131",O3915="131"),H3915='131-CT'!$H$9),"x","")</f>
        <v/>
      </c>
      <c r="Z3915" s="75"/>
      <c r="AA3915" s="75" t="str">
        <f>IF(AND(MONTH(E3915)='IN-NX'!$J$5,'IN-NX'!$D$7=D3915),"x","")</f>
        <v/>
      </c>
      <c r="AB3915" s="75" t="str">
        <f>IF(AND(OR(LEFT(TH!N3585,2)="15",LEFT(TH!O3585,2)="15"),LEFT(TH!O3585,3)&lt;&gt;"111",'152-CT'!$J$8=TH!F3585),"x","")</f>
        <v/>
      </c>
      <c r="AC3915" s="75" t="str">
        <f>IF(AND(OR(LEFT(TH!N3585,2)="15",LEFT(TH!O3585,2)="15"),TK!$E$7=TH!F3585),"x","")</f>
        <v/>
      </c>
      <c r="AD3915" s="75" t="str">
        <f>IF(AND(N3915="1521",MONTH(C3915)='BK-NL'!$M$11),"x","")</f>
        <v/>
      </c>
    </row>
    <row r="3916" spans="1:30" ht="16.5" customHeight="1">
      <c r="A3916" s="309" t="str">
        <f>IF(B3916&lt;&gt;"",IF(AND(B3916='IN-TC'!$S$4,OR(TH!N3914="1111",TH!O3914="1111")),TH!D3914,""),"")</f>
        <v/>
      </c>
      <c r="B3916" s="1241">
        <f t="shared" si="1306"/>
        <v>4</v>
      </c>
      <c r="C3916" s="292">
        <f t="shared" si="1307"/>
        <v>42838</v>
      </c>
      <c r="D3916" s="292" t="s">
        <v>1935</v>
      </c>
      <c r="E3916" s="292">
        <v>42838</v>
      </c>
      <c r="F3916" s="131" t="s">
        <v>1288</v>
      </c>
      <c r="G3916" s="742" t="s">
        <v>1290</v>
      </c>
      <c r="H3916" s="311" t="s">
        <v>941</v>
      </c>
      <c r="I3916" s="373"/>
      <c r="J3916" s="379"/>
      <c r="K3916" s="373"/>
      <c r="L3916" s="379"/>
      <c r="M3916" s="60">
        <v>668720</v>
      </c>
      <c r="N3916" s="61" t="s">
        <v>101</v>
      </c>
      <c r="O3916" s="934" t="s">
        <v>63</v>
      </c>
      <c r="P3916" s="75" t="str">
        <f>IF(AND('331-CT'!$E$7=TH!H3586,OR(N3916="331",O3916="331")),"x","")</f>
        <v/>
      </c>
      <c r="Q3916" s="75" t="str">
        <f>IF(AND(B3916='111'!$L$11,OR($N3916=$Q$7,$O3916=$Q$7)),"x","")</f>
        <v/>
      </c>
      <c r="R3916" s="75" t="str">
        <f>IF(AND($N3916=$Q$7,$B3916&lt;'111'!$L$11),"x","")</f>
        <v/>
      </c>
      <c r="S3916" s="75" t="str">
        <f>IF(AND($O3916=$Q$7,$B3916&lt;'111'!$L$11),"x","")</f>
        <v>x</v>
      </c>
      <c r="T3916" s="75" t="str">
        <f>IF(ISERROR(FIND('112'!$M$9,G3916,1)),"",IF((AND(FIND('112'!$M$9,G3916,1)&gt;=1,B3916='112'!$K$9,OR($N3916='112'!$I$6,$O3916='112'!$I$6))),"x",""))</f>
        <v/>
      </c>
      <c r="U3916" s="75" t="str">
        <f>IF(ISERROR(FIND('112'!$M$9,G3916,1)),"",IF((AND(LEFT(G3916,2)=LEFT('112'!$M$9,2),B3916&lt;'112'!$K$9,$N3916='112'!$I$6)),"x",""))</f>
        <v/>
      </c>
      <c r="V3916" s="75" t="str">
        <f>IF(ISERROR(FIND('112'!$M$9,G3916,1)),"",IF((AND(RIGHT(G3916,2)=RIGHT('112'!$M$9,2),B3916&lt;'112'!$K$9,$O3916='112'!$I$6)),"x",""))</f>
        <v/>
      </c>
      <c r="W3916" s="75" t="str">
        <f>IF(AND('341-CT'!$H$9=H3916,OR(LEFT(N3916,3)=$W$7,LEFT(O3916,3)=$W$7)),"x","")</f>
        <v/>
      </c>
      <c r="X3916" s="75" t="str">
        <f>IF(OR(TH!N3586=TH!$X$7,O3916=TH!$X$7),"x","")</f>
        <v/>
      </c>
      <c r="Y3916" s="75" t="str">
        <f>IF(AND(OR(N3916="131",O3916="131"),H3916='131-CT'!$H$9),"x","")</f>
        <v/>
      </c>
      <c r="Z3916" s="75"/>
      <c r="AA3916" s="75" t="str">
        <f>IF(AND(MONTH(E3916)='IN-NX'!$J$5,'IN-NX'!$D$7=D3916),"x","")</f>
        <v/>
      </c>
      <c r="AB3916" s="75" t="str">
        <f>IF(AND(OR(LEFT(TH!N3586,2)="15",LEFT(TH!O3586,2)="15"),LEFT(TH!O3586,3)&lt;&gt;"111",'152-CT'!$J$8=TH!F3586),"x","")</f>
        <v/>
      </c>
      <c r="AC3916" s="75" t="str">
        <f>IF(AND(OR(LEFT(TH!N3586,2)="15",LEFT(TH!O3586,2)="15"),TK!$E$7=TH!F3586),"x","")</f>
        <v/>
      </c>
      <c r="AD3916" s="75" t="str">
        <f>IF(AND(N3916="1521",MONTH(C3916)='BK-NL'!$M$11),"x","")</f>
        <v/>
      </c>
    </row>
    <row r="3917" spans="1:30" ht="16.5" customHeight="1">
      <c r="A3917" s="309" t="str">
        <f>IF(B3917&lt;&gt;"",IF(AND(B3917='IN-TC'!$S$4,OR(TH!N3915="1111",TH!O3915="1111")),TH!D3915,""),"")</f>
        <v/>
      </c>
      <c r="B3917" s="1241">
        <f t="shared" si="1306"/>
        <v>4</v>
      </c>
      <c r="C3917" s="292">
        <f t="shared" si="1307"/>
        <v>42838</v>
      </c>
      <c r="D3917" s="292" t="s">
        <v>1935</v>
      </c>
      <c r="E3917" s="292">
        <v>42838</v>
      </c>
      <c r="F3917" s="131" t="s">
        <v>1289</v>
      </c>
      <c r="G3917" s="742" t="s">
        <v>1290</v>
      </c>
      <c r="H3917" s="311" t="s">
        <v>941</v>
      </c>
      <c r="I3917" s="373"/>
      <c r="J3917" s="379"/>
      <c r="K3917" s="373"/>
      <c r="L3917" s="379"/>
      <c r="M3917" s="60">
        <v>66872</v>
      </c>
      <c r="N3917" s="61" t="s">
        <v>9</v>
      </c>
      <c r="O3917" s="934" t="s">
        <v>63</v>
      </c>
      <c r="P3917" s="75" t="str">
        <f>IF(AND('331-CT'!$E$7=TH!H3589,OR(N3917="331",O3917="331")),"x","")</f>
        <v/>
      </c>
      <c r="Q3917" s="75" t="str">
        <f>IF(AND(B3917='111'!$L$11,OR($N3917=$Q$7,$O3917=$Q$7)),"x","")</f>
        <v/>
      </c>
      <c r="R3917" s="75" t="str">
        <f>IF(AND($N3917=$Q$7,$B3917&lt;'111'!$L$11),"x","")</f>
        <v/>
      </c>
      <c r="S3917" s="75" t="str">
        <f>IF(AND($O3917=$Q$7,$B3917&lt;'111'!$L$11),"x","")</f>
        <v>x</v>
      </c>
      <c r="T3917" s="75" t="str">
        <f>IF(ISERROR(FIND('112'!$M$9,G3917,1)),"",IF((AND(FIND('112'!$M$9,G3917,1)&gt;=1,B3917='112'!$K$9,OR($N3917='112'!$I$6,$O3917='112'!$I$6))),"x",""))</f>
        <v/>
      </c>
      <c r="U3917" s="75" t="str">
        <f>IF(ISERROR(FIND('112'!$M$9,G3917,1)),"",IF((AND(LEFT(G3917,2)=LEFT('112'!$M$9,2),B3917&lt;'112'!$K$9,$N3917='112'!$I$6)),"x",""))</f>
        <v/>
      </c>
      <c r="V3917" s="75" t="str">
        <f>IF(ISERROR(FIND('112'!$M$9,G3917,1)),"",IF((AND(RIGHT(G3917,2)=RIGHT('112'!$M$9,2),B3917&lt;'112'!$K$9,$O3917='112'!$I$6)),"x",""))</f>
        <v/>
      </c>
      <c r="W3917" s="75" t="str">
        <f>IF(AND('341-CT'!$H$9=H3917,OR(LEFT(N3917,3)=$W$7,LEFT(O3917,3)=$W$7)),"x","")</f>
        <v/>
      </c>
      <c r="X3917" s="75" t="str">
        <f>IF(OR(TH!N3589=TH!$X$7,O3917=TH!$X$7),"x","")</f>
        <v/>
      </c>
      <c r="Y3917" s="75" t="str">
        <f>IF(AND(OR(N3917="131",O3917="131"),H3917='131-CT'!$H$9),"x","")</f>
        <v/>
      </c>
      <c r="Z3917" s="75"/>
      <c r="AA3917" s="75" t="str">
        <f>IF(AND(MONTH(E3917)='IN-NX'!$J$5,'IN-NX'!$D$7=D3917),"x","")</f>
        <v/>
      </c>
      <c r="AB3917" s="75" t="str">
        <f>IF(AND(OR(LEFT(TH!N3589,2)="15",LEFT(TH!O3589,2)="15"),LEFT(TH!O3589,3)&lt;&gt;"111",'152-CT'!$J$8=TH!F3589),"x","")</f>
        <v/>
      </c>
      <c r="AC3917" s="75" t="str">
        <f>IF(AND(OR(LEFT(TH!N3589,2)="15",LEFT(TH!O3589,2)="15"),TK!$E$7=TH!F3589),"x","")</f>
        <v/>
      </c>
      <c r="AD3917" s="75" t="str">
        <f>IF(AND(N3917="1521",MONTH(C3917)='BK-NL'!$M$11),"x","")</f>
        <v/>
      </c>
    </row>
    <row r="3918" spans="1:30" ht="16.5" customHeight="1">
      <c r="A3918" s="309" t="str">
        <f>IF(B3918&lt;&gt;"",IF(AND(B3918='IN-TC'!$S$4,OR(TH!N3916="1111",TH!O3916="1111")),TH!D3916,""),"")</f>
        <v/>
      </c>
      <c r="B3918" s="1241">
        <f t="shared" si="1306"/>
        <v>4</v>
      </c>
      <c r="C3918" s="292">
        <f t="shared" si="1307"/>
        <v>42838</v>
      </c>
      <c r="D3918" s="292" t="s">
        <v>1936</v>
      </c>
      <c r="E3918" s="292">
        <v>42838</v>
      </c>
      <c r="F3918" s="131" t="s">
        <v>1331</v>
      </c>
      <c r="G3918" s="742"/>
      <c r="H3918" s="311" t="s">
        <v>1333</v>
      </c>
      <c r="I3918" s="373"/>
      <c r="J3918" s="379"/>
      <c r="K3918" s="373"/>
      <c r="L3918" s="379"/>
      <c r="M3918" s="60">
        <v>7090909</v>
      </c>
      <c r="N3918" s="61" t="s">
        <v>539</v>
      </c>
      <c r="O3918" s="934" t="s">
        <v>63</v>
      </c>
      <c r="P3918" s="75" t="str">
        <f>IF(AND('331-CT'!$E$7=TH!H3590,OR(N3918="331",O3918="331")),"x","")</f>
        <v/>
      </c>
      <c r="Q3918" s="75" t="str">
        <f>IF(AND(B3918='111'!$L$11,OR($N3918=$Q$7,$O3918=$Q$7)),"x","")</f>
        <v/>
      </c>
      <c r="R3918" s="75" t="str">
        <f>IF(AND($N3918=$Q$7,$B3918&lt;'111'!$L$11),"x","")</f>
        <v/>
      </c>
      <c r="S3918" s="75" t="str">
        <f>IF(AND($O3918=$Q$7,$B3918&lt;'111'!$L$11),"x","")</f>
        <v>x</v>
      </c>
      <c r="T3918" s="75" t="str">
        <f>IF(ISERROR(FIND('112'!$M$9,G3918,1)),"",IF((AND(FIND('112'!$M$9,G3918,1)&gt;=1,B3918='112'!$K$9,OR($N3918='112'!$I$6,$O3918='112'!$I$6))),"x",""))</f>
        <v/>
      </c>
      <c r="U3918" s="75" t="str">
        <f>IF(ISERROR(FIND('112'!$M$9,G3918,1)),"",IF((AND(LEFT(G3918,2)=LEFT('112'!$M$9,2),B3918&lt;'112'!$K$9,$N3918='112'!$I$6)),"x",""))</f>
        <v/>
      </c>
      <c r="V3918" s="75" t="str">
        <f>IF(ISERROR(FIND('112'!$M$9,G3918,1)),"",IF((AND(RIGHT(G3918,2)=RIGHT('112'!$M$9,2),B3918&lt;'112'!$K$9,$O3918='112'!$I$6)),"x",""))</f>
        <v/>
      </c>
      <c r="W3918" s="75" t="str">
        <f>IF(AND('341-CT'!$H$9=H3918,OR(LEFT(N3918,3)=$W$7,LEFT(O3918,3)=$W$7)),"x","")</f>
        <v/>
      </c>
      <c r="X3918" s="75" t="str">
        <f>IF(OR(TH!N3590=TH!$X$7,O3918=TH!$X$7),"x","")</f>
        <v/>
      </c>
      <c r="Y3918" s="75" t="str">
        <f>IF(AND(OR(N3918="131",O3918="131"),H3918='131-CT'!$H$9),"x","")</f>
        <v/>
      </c>
      <c r="Z3918" s="75"/>
      <c r="AA3918" s="75" t="str">
        <f>IF(AND(MONTH(E3918)='IN-NX'!$J$5,'IN-NX'!$D$7=D3918),"x","")</f>
        <v/>
      </c>
      <c r="AB3918" s="75" t="str">
        <f>IF(AND(OR(LEFT(TH!N3590,2)="15",LEFT(TH!O3590,2)="15"),LEFT(TH!O3590,3)&lt;&gt;"111",'152-CT'!$J$8=TH!F3590),"x","")</f>
        <v/>
      </c>
      <c r="AC3918" s="75" t="str">
        <f>IF(AND(OR(LEFT(TH!N3590,2)="15",LEFT(TH!O3590,2)="15"),TK!$E$7=TH!F3590),"x","")</f>
        <v/>
      </c>
      <c r="AD3918" s="75" t="str">
        <f>IF(AND(N3918="1521",MONTH(C3918)='BK-NL'!$M$11),"x","")</f>
        <v/>
      </c>
    </row>
    <row r="3919" spans="1:30" ht="16.5" customHeight="1">
      <c r="A3919" s="309" t="str">
        <f>IF(B3919&lt;&gt;"",IF(AND(B3919='IN-TC'!$S$4,OR(TH!N3917="1111",TH!O3917="1111")),TH!D3917,""),"")</f>
        <v/>
      </c>
      <c r="B3919" s="1241">
        <f t="shared" si="1306"/>
        <v>4</v>
      </c>
      <c r="C3919" s="292">
        <f t="shared" si="1307"/>
        <v>42838</v>
      </c>
      <c r="D3919" s="292" t="s">
        <v>1936</v>
      </c>
      <c r="E3919" s="292">
        <v>42838</v>
      </c>
      <c r="F3919" s="131" t="s">
        <v>1332</v>
      </c>
      <c r="G3919" s="742"/>
      <c r="H3919" s="311" t="s">
        <v>1333</v>
      </c>
      <c r="I3919" s="373"/>
      <c r="J3919" s="379"/>
      <c r="K3919" s="373"/>
      <c r="L3919" s="379"/>
      <c r="M3919" s="60">
        <v>709091</v>
      </c>
      <c r="N3919" s="61" t="s">
        <v>9</v>
      </c>
      <c r="O3919" s="934" t="s">
        <v>63</v>
      </c>
      <c r="P3919" s="75" t="str">
        <f>IF(AND('331-CT'!$E$7=TH!H3591,OR(N3919="331",O3919="331")),"x","")</f>
        <v/>
      </c>
      <c r="Q3919" s="75" t="str">
        <f>IF(AND(B3919='111'!$L$11,OR($N3919=$Q$7,$O3919=$Q$7)),"x","")</f>
        <v/>
      </c>
      <c r="R3919" s="75" t="str">
        <f>IF(AND($N3919=$Q$7,$B3919&lt;'111'!$L$11),"x","")</f>
        <v/>
      </c>
      <c r="S3919" s="75" t="str">
        <f>IF(AND($O3919=$Q$7,$B3919&lt;'111'!$L$11),"x","")</f>
        <v>x</v>
      </c>
      <c r="T3919" s="75" t="str">
        <f>IF(ISERROR(FIND('112'!$M$9,G3919,1)),"",IF((AND(FIND('112'!$M$9,G3919,1)&gt;=1,B3919='112'!$K$9,OR($N3919='112'!$I$6,$O3919='112'!$I$6))),"x",""))</f>
        <v/>
      </c>
      <c r="U3919" s="75" t="str">
        <f>IF(ISERROR(FIND('112'!$M$9,G3919,1)),"",IF((AND(LEFT(G3919,2)=LEFT('112'!$M$9,2),B3919&lt;'112'!$K$9,$N3919='112'!$I$6)),"x",""))</f>
        <v/>
      </c>
      <c r="V3919" s="75" t="str">
        <f>IF(ISERROR(FIND('112'!$M$9,G3919,1)),"",IF((AND(RIGHT(G3919,2)=RIGHT('112'!$M$9,2),B3919&lt;'112'!$K$9,$O3919='112'!$I$6)),"x",""))</f>
        <v/>
      </c>
      <c r="W3919" s="75" t="str">
        <f>IF(AND('341-CT'!$H$9=H3919,OR(LEFT(N3919,3)=$W$7,LEFT(O3919,3)=$W$7)),"x","")</f>
        <v/>
      </c>
      <c r="X3919" s="75" t="str">
        <f>IF(OR(TH!N3591=TH!$X$7,O3919=TH!$X$7),"x","")</f>
        <v/>
      </c>
      <c r="Y3919" s="75" t="str">
        <f>IF(AND(OR(N3919="131",O3919="131"),H3919='131-CT'!$H$9),"x","")</f>
        <v/>
      </c>
      <c r="Z3919" s="75"/>
      <c r="AA3919" s="75" t="str">
        <f>IF(AND(MONTH(E3919)='IN-NX'!$J$5,'IN-NX'!$D$7=D3919),"x","")</f>
        <v/>
      </c>
      <c r="AB3919" s="75" t="str">
        <f>IF(AND(OR(LEFT(TH!N3591,2)="15",LEFT(TH!O3591,2)="15"),LEFT(TH!O3591,3)&lt;&gt;"111",'152-CT'!$J$8=TH!F3591),"x","")</f>
        <v/>
      </c>
      <c r="AC3919" s="75" t="str">
        <f>IF(AND(OR(LEFT(TH!N3591,2)="15",LEFT(TH!O3591,2)="15"),TK!$E$7=TH!F3591),"x","")</f>
        <v/>
      </c>
      <c r="AD3919" s="75" t="str">
        <f>IF(AND(N3919="1521",MONTH(C3919)='BK-NL'!$M$11),"x","")</f>
        <v/>
      </c>
    </row>
    <row r="3920" spans="1:30" ht="16.5" customHeight="1">
      <c r="A3920" s="309" t="str">
        <f>IF(B3920&lt;&gt;"",IF(AND(B3920='IN-TC'!$S$4,OR(TH!N3918="1111",TH!O3918="1111")),TH!D3918,""),"")</f>
        <v/>
      </c>
      <c r="B3920" s="1241">
        <f t="shared" si="1306"/>
        <v>4</v>
      </c>
      <c r="C3920" s="292">
        <f t="shared" si="1307"/>
        <v>42839</v>
      </c>
      <c r="D3920" s="292" t="s">
        <v>1937</v>
      </c>
      <c r="E3920" s="292">
        <v>42839</v>
      </c>
      <c r="F3920" s="131" t="s">
        <v>1328</v>
      </c>
      <c r="G3920" s="742"/>
      <c r="H3920" s="311" t="s">
        <v>948</v>
      </c>
      <c r="I3920" s="373"/>
      <c r="J3920" s="379"/>
      <c r="K3920" s="373"/>
      <c r="L3920" s="379"/>
      <c r="M3920" s="60">
        <v>6868182</v>
      </c>
      <c r="N3920" s="61" t="s">
        <v>539</v>
      </c>
      <c r="O3920" s="934" t="s">
        <v>63</v>
      </c>
      <c r="P3920" s="75" t="str">
        <f>IF(AND('331-CT'!$E$7=TH!H3592,OR(N3920="331",O3920="331")),"x","")</f>
        <v/>
      </c>
      <c r="Q3920" s="75" t="str">
        <f>IF(AND(B3920='111'!$L$11,OR($N3920=$Q$7,$O3920=$Q$7)),"x","")</f>
        <v/>
      </c>
      <c r="R3920" s="75" t="str">
        <f>IF(AND($N3920=$Q$7,$B3920&lt;'111'!$L$11),"x","")</f>
        <v/>
      </c>
      <c r="S3920" s="75" t="str">
        <f>IF(AND($O3920=$Q$7,$B3920&lt;'111'!$L$11),"x","")</f>
        <v>x</v>
      </c>
      <c r="T3920" s="75" t="str">
        <f>IF(ISERROR(FIND('112'!$M$9,G3920,1)),"",IF((AND(FIND('112'!$M$9,G3920,1)&gt;=1,B3920='112'!$K$9,OR($N3920='112'!$I$6,$O3920='112'!$I$6))),"x",""))</f>
        <v/>
      </c>
      <c r="U3920" s="75" t="str">
        <f>IF(ISERROR(FIND('112'!$M$9,G3920,1)),"",IF((AND(LEFT(G3920,2)=LEFT('112'!$M$9,2),B3920&lt;'112'!$K$9,$N3920='112'!$I$6)),"x",""))</f>
        <v/>
      </c>
      <c r="V3920" s="75" t="str">
        <f>IF(ISERROR(FIND('112'!$M$9,G3920,1)),"",IF((AND(RIGHT(G3920,2)=RIGHT('112'!$M$9,2),B3920&lt;'112'!$K$9,$O3920='112'!$I$6)),"x",""))</f>
        <v/>
      </c>
      <c r="W3920" s="75" t="str">
        <f>IF(AND('341-CT'!$H$9=H3920,OR(LEFT(N3920,3)=$W$7,LEFT(O3920,3)=$W$7)),"x","")</f>
        <v/>
      </c>
      <c r="X3920" s="75" t="str">
        <f>IF(OR(TH!N3592=TH!$X$7,O3920=TH!$X$7),"x","")</f>
        <v/>
      </c>
      <c r="Y3920" s="75" t="str">
        <f>IF(AND(OR(N3920="131",O3920="131"),H3920='131-CT'!$H$9),"x","")</f>
        <v/>
      </c>
      <c r="Z3920" s="75"/>
      <c r="AA3920" s="75" t="str">
        <f>IF(AND(MONTH(E3920)='IN-NX'!$J$5,'IN-NX'!$D$7=D3920),"x","")</f>
        <v/>
      </c>
      <c r="AB3920" s="75" t="str">
        <f>IF(AND(OR(LEFT(TH!N3592,2)="15",LEFT(TH!O3592,2)="15"),LEFT(TH!O3592,3)&lt;&gt;"111",'152-CT'!$J$8=TH!F3592),"x","")</f>
        <v/>
      </c>
      <c r="AC3920" s="75" t="str">
        <f>IF(AND(OR(LEFT(TH!N3592,2)="15",LEFT(TH!O3592,2)="15"),TK!$E$7=TH!F3592),"x","")</f>
        <v/>
      </c>
      <c r="AD3920" s="75" t="str">
        <f>IF(AND(N3920="1521",MONTH(C3920)='BK-NL'!$M$11),"x","")</f>
        <v/>
      </c>
    </row>
    <row r="3921" spans="1:33" ht="16.5" customHeight="1">
      <c r="A3921" s="309" t="str">
        <f>IF(B3921&lt;&gt;"",IF(AND(B3921='IN-TC'!$S$4,OR(TH!N3919="1111",TH!O3919="1111")),TH!D3919,""),"")</f>
        <v/>
      </c>
      <c r="B3921" s="1241">
        <f t="shared" si="1306"/>
        <v>4</v>
      </c>
      <c r="C3921" s="292">
        <f t="shared" si="1307"/>
        <v>42839</v>
      </c>
      <c r="D3921" s="292" t="s">
        <v>1937</v>
      </c>
      <c r="E3921" s="292">
        <v>42839</v>
      </c>
      <c r="F3921" s="131" t="s">
        <v>1329</v>
      </c>
      <c r="G3921" s="742"/>
      <c r="H3921" s="311" t="s">
        <v>948</v>
      </c>
      <c r="I3921" s="373"/>
      <c r="J3921" s="379"/>
      <c r="K3921" s="373"/>
      <c r="L3921" s="379"/>
      <c r="M3921" s="60">
        <v>686818</v>
      </c>
      <c r="N3921" s="61" t="s">
        <v>9</v>
      </c>
      <c r="O3921" s="934" t="s">
        <v>63</v>
      </c>
      <c r="P3921" s="75" t="str">
        <f>IF(AND('331-CT'!$E$7=TH!H3593,OR(N3921="331",O3921="331")),"x","")</f>
        <v/>
      </c>
      <c r="Q3921" s="75" t="str">
        <f>IF(AND(B3921='111'!$L$11,OR($N3921=$Q$7,$O3921=$Q$7)),"x","")</f>
        <v/>
      </c>
      <c r="R3921" s="75" t="str">
        <f>IF(AND($N3921=$Q$7,$B3921&lt;'111'!$L$11),"x","")</f>
        <v/>
      </c>
      <c r="S3921" s="75" t="str">
        <f>IF(AND($O3921=$Q$7,$B3921&lt;'111'!$L$11),"x","")</f>
        <v>x</v>
      </c>
      <c r="T3921" s="75" t="str">
        <f>IF(ISERROR(FIND('112'!$M$9,G3921,1)),"",IF((AND(FIND('112'!$M$9,G3921,1)&gt;=1,B3921='112'!$K$9,OR($N3921='112'!$I$6,$O3921='112'!$I$6))),"x",""))</f>
        <v/>
      </c>
      <c r="U3921" s="75" t="str">
        <f>IF(ISERROR(FIND('112'!$M$9,G3921,1)),"",IF((AND(LEFT(G3921,2)=LEFT('112'!$M$9,2),B3921&lt;'112'!$K$9,$N3921='112'!$I$6)),"x",""))</f>
        <v/>
      </c>
      <c r="V3921" s="75" t="str">
        <f>IF(ISERROR(FIND('112'!$M$9,G3921,1)),"",IF((AND(RIGHT(G3921,2)=RIGHT('112'!$M$9,2),B3921&lt;'112'!$K$9,$O3921='112'!$I$6)),"x",""))</f>
        <v/>
      </c>
      <c r="W3921" s="75" t="str">
        <f>IF(AND('341-CT'!$H$9=H3921,OR(LEFT(N3921,3)=$W$7,LEFT(O3921,3)=$W$7)),"x","")</f>
        <v/>
      </c>
      <c r="X3921" s="75" t="str">
        <f>IF(OR(TH!N3593=TH!$X$7,O3921=TH!$X$7),"x","")</f>
        <v/>
      </c>
      <c r="Y3921" s="75" t="str">
        <f>IF(AND(OR(N3921="131",O3921="131"),H3921='131-CT'!$H$9),"x","")</f>
        <v/>
      </c>
      <c r="Z3921" s="75"/>
      <c r="AA3921" s="75" t="str">
        <f>IF(AND(MONTH(E3921)='IN-NX'!$J$5,'IN-NX'!$D$7=D3921),"x","")</f>
        <v/>
      </c>
      <c r="AB3921" s="75" t="str">
        <f>IF(AND(OR(LEFT(TH!N3593,2)="15",LEFT(TH!O3593,2)="15"),LEFT(TH!O3593,3)&lt;&gt;"111",'152-CT'!$J$8=TH!F3593),"x","")</f>
        <v/>
      </c>
      <c r="AC3921" s="75" t="str">
        <f>IF(AND(OR(LEFT(TH!N3593,2)="15",LEFT(TH!O3593,2)="15"),TK!$E$7=TH!F3593),"x","")</f>
        <v/>
      </c>
      <c r="AD3921" s="75" t="str">
        <f>IF(AND(N3921="1521",MONTH(C3921)='BK-NL'!$M$11),"x","")</f>
        <v/>
      </c>
    </row>
    <row r="3922" spans="1:33" ht="16.5" customHeight="1">
      <c r="A3922" s="309" t="str">
        <f>IF(B3922&lt;&gt;"",IF(AND(B3922='IN-TC'!$S$4,OR(TH!N3920="1111",TH!O3920="1111")),TH!D3920,""),"")</f>
        <v/>
      </c>
      <c r="B3922" s="1241">
        <f t="shared" si="1306"/>
        <v>4</v>
      </c>
      <c r="C3922" s="292">
        <f t="shared" si="1307"/>
        <v>42839</v>
      </c>
      <c r="D3922" s="59" t="s">
        <v>903</v>
      </c>
      <c r="E3922" s="59">
        <v>42839</v>
      </c>
      <c r="F3922" s="1127" t="s">
        <v>1086</v>
      </c>
      <c r="G3922" s="62" t="s">
        <v>585</v>
      </c>
      <c r="H3922" s="311" t="s">
        <v>802</v>
      </c>
      <c r="I3922" s="373"/>
      <c r="J3922" s="379"/>
      <c r="K3922" s="373"/>
      <c r="L3922" s="379"/>
      <c r="M3922" s="60">
        <v>38165600</v>
      </c>
      <c r="N3922" s="61" t="s">
        <v>26</v>
      </c>
      <c r="O3922" s="61" t="s">
        <v>536</v>
      </c>
      <c r="P3922" s="75" t="str">
        <f>IF(AND('331-CT'!$E$7=TH!H4718,OR(N3922="331",O3922="331")),"x","")</f>
        <v/>
      </c>
      <c r="Q3922" s="75" t="str">
        <f>IF(AND(B3922='111'!$L$11,OR($N3922=$Q$7,$O3922=$Q$7)),"x","")</f>
        <v/>
      </c>
      <c r="R3922" s="75" t="str">
        <f>IF(AND($N3922=$Q$7,$B3922&lt;'111'!$L$11),"x","")</f>
        <v/>
      </c>
      <c r="S3922" s="75" t="str">
        <f>IF(AND($O3922=$Q$7,$B3922&lt;'111'!$L$11),"x","")</f>
        <v/>
      </c>
      <c r="T3922" s="75" t="str">
        <f>IF(ISERROR(FIND('112'!$M$9,G3922,1)),"",IF((AND(FIND('112'!$M$9,G3922,1)&gt;=1,B3922='112'!$K$9,OR($N3922='112'!$I$6,$O3922='112'!$I$6))),"x",""))</f>
        <v/>
      </c>
      <c r="U3922" s="75" t="str">
        <f>IF(ISERROR(FIND('112'!$M$9,G3922,1)),"",IF((AND(LEFT(G3922,2)=LEFT('112'!$M$9,2),B3922&lt;'112'!$K$9,$N3922='112'!$I$6)),"x",""))</f>
        <v/>
      </c>
      <c r="V3922" s="75" t="str">
        <f>IF(ISERROR(FIND('112'!$M$9,G3922,1)),"",IF((AND(RIGHT(G3922,2)=RIGHT('112'!$M$9,2),B3922&lt;'112'!$K$9,$O3922='112'!$I$6)),"x",""))</f>
        <v/>
      </c>
      <c r="W3922" s="75" t="str">
        <f>IF(AND('341-CT'!$H$9=H3922,OR(LEFT(N3922,3)=$W$7,LEFT(O3922,3)=$W$7)),"x","")</f>
        <v/>
      </c>
      <c r="X3922" s="75" t="str">
        <f>IF(OR(TH!N4718=TH!$X$7,O3922=TH!$X$7),"x","")</f>
        <v/>
      </c>
      <c r="Y3922" s="75" t="str">
        <f>IF(AND(OR(N3922="131",O3922="131"),H3922='131-CT'!$H$9),"x","")</f>
        <v/>
      </c>
      <c r="Z3922" s="75"/>
      <c r="AA3922" s="75" t="str">
        <f>IF(AND(MONTH(E3922)='IN-NX'!$J$5,'IN-NX'!$D$7=D3922),"x","")</f>
        <v/>
      </c>
      <c r="AB3922" s="75" t="str">
        <f>IF(AND(OR(LEFT(TH!N4718,2)="15",LEFT(TH!O4718,2)="15"),LEFT(TH!O4718,3)&lt;&gt;"111",'152-CT'!$J$8=TH!F4718),"x","")</f>
        <v/>
      </c>
      <c r="AC3922" s="75" t="str">
        <f>IF(AND(OR(LEFT(TH!N4718,2)="15",LEFT(TH!O4718,2)="15"),TK!$E$7=TH!F4718),"x","")</f>
        <v/>
      </c>
      <c r="AD3922" s="75" t="str">
        <f>IF(AND(N3922="1521",MONTH(C3922)='BK-NL'!$M$11),"x","")</f>
        <v/>
      </c>
    </row>
    <row r="3923" spans="1:33" ht="16.5" customHeight="1">
      <c r="A3923" s="309" t="str">
        <f>IF(B3923&lt;&gt;"",IF(AND(B3923='IN-TC'!$S$4,OR(TH!N3921="1111",TH!O3921="1111")),TH!D3921,""),"")</f>
        <v/>
      </c>
      <c r="B3923" s="1241">
        <f t="shared" ref="B3923:B3986" si="1308">IF(C3923&lt;&gt;"",MONTH(C3923),"")</f>
        <v>4</v>
      </c>
      <c r="C3923" s="292">
        <f t="shared" si="1307"/>
        <v>42840</v>
      </c>
      <c r="D3923" s="292" t="s">
        <v>1938</v>
      </c>
      <c r="E3923" s="292">
        <v>42840</v>
      </c>
      <c r="F3923" s="1126" t="s">
        <v>1165</v>
      </c>
      <c r="G3923" s="931" t="s">
        <v>1346</v>
      </c>
      <c r="H3923" s="296" t="s">
        <v>796</v>
      </c>
      <c r="I3923" s="371"/>
      <c r="J3923" s="932"/>
      <c r="K3923" s="371"/>
      <c r="L3923" s="377"/>
      <c r="M3923" s="933">
        <v>18980500</v>
      </c>
      <c r="N3923" s="934" t="s">
        <v>8</v>
      </c>
      <c r="O3923" s="934" t="s">
        <v>63</v>
      </c>
      <c r="P3923" s="75" t="str">
        <f>IF(AND('331-CT'!$E$7=TH!H3594,OR(N3923="331",O3923="331")),"x","")</f>
        <v/>
      </c>
      <c r="Q3923" s="75" t="str">
        <f>IF(AND(B3923='111'!$L$11,OR($N3923=$Q$7,$O3923=$Q$7)),"x","")</f>
        <v/>
      </c>
      <c r="R3923" s="75" t="str">
        <f>IF(AND($N3923=$Q$7,$B3923&lt;'111'!$L$11),"x","")</f>
        <v/>
      </c>
      <c r="S3923" s="75" t="str">
        <f>IF(AND($O3923=$Q$7,$B3923&lt;'111'!$L$11),"x","")</f>
        <v>x</v>
      </c>
      <c r="T3923" s="75" t="str">
        <f>IF(ISERROR(FIND('112'!$M$9,G3923,1)),"",IF((AND(FIND('112'!$M$9,G3923,1)&gt;=1,B3923='112'!$K$9,OR($N3923='112'!$I$6,$O3923='112'!$I$6))),"x",""))</f>
        <v/>
      </c>
      <c r="U3923" s="75" t="str">
        <f>IF(ISERROR(FIND('112'!$M$9,G3923,1)),"",IF((AND(LEFT(G3923,2)=LEFT('112'!$M$9,2),B3923&lt;'112'!$K$9,$N3923='112'!$I$6)),"x",""))</f>
        <v/>
      </c>
      <c r="V3923" s="75" t="str">
        <f>IF(ISERROR(FIND('112'!$M$9,G3923,1)),"",IF((AND(RIGHT(G3923,2)=RIGHT('112'!$M$9,2),B3923&lt;'112'!$K$9,$O3923='112'!$I$6)),"x",""))</f>
        <v/>
      </c>
      <c r="W3923" s="75" t="str">
        <f>IF(AND('341-CT'!$H$9=H3923,OR(LEFT(N3923,3)=$W$7,LEFT(O3923,3)=$W$7)),"x","")</f>
        <v/>
      </c>
      <c r="X3923" s="75" t="str">
        <f>IF(OR(TH!N3594=TH!$X$7,O3923=TH!$X$7),"x","")</f>
        <v/>
      </c>
      <c r="Y3923" s="75" t="str">
        <f>IF(AND(OR(N3923="131",O3923="131"),H3923='131-CT'!$H$9),"x","")</f>
        <v/>
      </c>
      <c r="Z3923" s="75"/>
      <c r="AA3923" s="75" t="str">
        <f>IF(AND(MONTH(E3923)='IN-NX'!$J$5,'IN-NX'!$D$7=D3923),"x","")</f>
        <v/>
      </c>
      <c r="AB3923" s="75" t="str">
        <f>IF(AND(OR(LEFT(TH!N3594,2)="15",LEFT(TH!O3594,2)="15"),LEFT(TH!O3594,3)&lt;&gt;"111",'152-CT'!$J$8=TH!F3594),"x","")</f>
        <v/>
      </c>
      <c r="AC3923" s="75" t="str">
        <f>IF(AND(OR(LEFT(TH!N3594,2)="15",LEFT(TH!O3594,2)="15"),TK!$E$7=TH!F3594),"x","")</f>
        <v/>
      </c>
      <c r="AD3923" s="75" t="str">
        <f>IF(AND(N3923="1521",MONTH(C3923)='BK-NL'!$M$11),"x","")</f>
        <v/>
      </c>
    </row>
    <row r="3924" spans="1:33" ht="16.5" customHeight="1">
      <c r="A3924" s="309" t="str">
        <f>IF(B3924&lt;&gt;"",IF(AND(B3924='IN-TC'!$S$4,OR(TH!N3922="1111",TH!O3922="1111")),TH!D3922,""),"")</f>
        <v/>
      </c>
      <c r="B3924" s="1241">
        <f t="shared" si="1308"/>
        <v>4</v>
      </c>
      <c r="C3924" s="292">
        <f t="shared" si="1307"/>
        <v>42840</v>
      </c>
      <c r="D3924" s="292" t="s">
        <v>1939</v>
      </c>
      <c r="E3924" s="292">
        <v>42840</v>
      </c>
      <c r="F3924" s="131" t="s">
        <v>1326</v>
      </c>
      <c r="G3924" s="742" t="s">
        <v>2001</v>
      </c>
      <c r="H3924" s="311" t="s">
        <v>1028</v>
      </c>
      <c r="I3924" s="373"/>
      <c r="J3924" s="379"/>
      <c r="K3924" s="373"/>
      <c r="L3924" s="379"/>
      <c r="M3924" s="60">
        <v>436364</v>
      </c>
      <c r="N3924" s="61" t="s">
        <v>539</v>
      </c>
      <c r="O3924" s="934" t="s">
        <v>63</v>
      </c>
      <c r="P3924" s="75" t="str">
        <f>IF(AND('331-CT'!$E$7=TH!H3595,OR(N3924="331",O3924="331")),"x","")</f>
        <v/>
      </c>
      <c r="Q3924" s="75" t="str">
        <f>IF(AND(B3924='111'!$L$11,OR($N3924=$Q$7,$O3924=$Q$7)),"x","")</f>
        <v/>
      </c>
      <c r="R3924" s="75" t="str">
        <f>IF(AND($N3924=$Q$7,$B3924&lt;'111'!$L$11),"x","")</f>
        <v/>
      </c>
      <c r="S3924" s="75" t="str">
        <f>IF(AND($O3924=$Q$7,$B3924&lt;'111'!$L$11),"x","")</f>
        <v>x</v>
      </c>
      <c r="T3924" s="75" t="str">
        <f>IF(ISERROR(FIND('112'!$M$9,G3924,1)),"",IF((AND(FIND('112'!$M$9,G3924,1)&gt;=1,B3924='112'!$K$9,OR($N3924='112'!$I$6,$O3924='112'!$I$6))),"x",""))</f>
        <v/>
      </c>
      <c r="U3924" s="75" t="str">
        <f>IF(ISERROR(FIND('112'!$M$9,G3924,1)),"",IF((AND(LEFT(G3924,2)=LEFT('112'!$M$9,2),B3924&lt;'112'!$K$9,$N3924='112'!$I$6)),"x",""))</f>
        <v/>
      </c>
      <c r="V3924" s="75" t="str">
        <f>IF(ISERROR(FIND('112'!$M$9,G3924,1)),"",IF((AND(RIGHT(G3924,2)=RIGHT('112'!$M$9,2),B3924&lt;'112'!$K$9,$O3924='112'!$I$6)),"x",""))</f>
        <v/>
      </c>
      <c r="W3924" s="75" t="str">
        <f>IF(AND('341-CT'!$H$9=H3924,OR(LEFT(N3924,3)=$W$7,LEFT(O3924,3)=$W$7)),"x","")</f>
        <v/>
      </c>
      <c r="X3924" s="75" t="str">
        <f>IF(OR(TH!N3595=TH!$X$7,O3924=TH!$X$7),"x","")</f>
        <v/>
      </c>
      <c r="Y3924" s="75" t="str">
        <f>IF(AND(OR(N3924="131",O3924="131"),H3924='131-CT'!$H$9),"x","")</f>
        <v/>
      </c>
      <c r="Z3924" s="75"/>
      <c r="AA3924" s="75" t="str">
        <f>IF(AND(MONTH(E3924)='IN-NX'!$J$5,'IN-NX'!$D$7=D3924),"x","")</f>
        <v/>
      </c>
      <c r="AB3924" s="75" t="str">
        <f>IF(AND(OR(LEFT(TH!N3595,2)="15",LEFT(TH!O3595,2)="15"),LEFT(TH!O3595,3)&lt;&gt;"111",'152-CT'!$J$8=TH!F3595),"x","")</f>
        <v/>
      </c>
      <c r="AC3924" s="75" t="str">
        <f>IF(AND(OR(LEFT(TH!N3595,2)="15",LEFT(TH!O3595,2)="15"),TK!$E$7=TH!F3595),"x","")</f>
        <v/>
      </c>
      <c r="AD3924" s="75" t="str">
        <f>IF(AND(N3924="1521",MONTH(C3924)='BK-NL'!$M$11),"x","")</f>
        <v/>
      </c>
    </row>
    <row r="3925" spans="1:33" ht="16.5" customHeight="1">
      <c r="A3925" s="309" t="str">
        <f>IF(B3925&lt;&gt;"",IF(AND(B3925='IN-TC'!$S$4,OR(TH!N3923="1111",TH!O3923="1111")),TH!D3923,""),"")</f>
        <v/>
      </c>
      <c r="B3925" s="1241">
        <f t="shared" si="1308"/>
        <v>4</v>
      </c>
      <c r="C3925" s="292">
        <f t="shared" si="1307"/>
        <v>42840</v>
      </c>
      <c r="D3925" s="292" t="s">
        <v>1939</v>
      </c>
      <c r="E3925" s="292">
        <v>42840</v>
      </c>
      <c r="F3925" s="131" t="s">
        <v>1327</v>
      </c>
      <c r="G3925" s="742" t="s">
        <v>2002</v>
      </c>
      <c r="H3925" s="311" t="s">
        <v>1028</v>
      </c>
      <c r="I3925" s="373"/>
      <c r="J3925" s="379"/>
      <c r="K3925" s="373"/>
      <c r="L3925" s="379"/>
      <c r="M3925" s="60">
        <v>43636</v>
      </c>
      <c r="N3925" s="61" t="s">
        <v>9</v>
      </c>
      <c r="O3925" s="934" t="s">
        <v>63</v>
      </c>
      <c r="P3925" s="75" t="str">
        <f>IF(AND('331-CT'!$E$7=TH!H3596,OR(N3925="331",O3925="331")),"x","")</f>
        <v/>
      </c>
      <c r="Q3925" s="75" t="str">
        <f>IF(AND(B3925='111'!$L$11,OR($N3925=$Q$7,$O3925=$Q$7)),"x","")</f>
        <v/>
      </c>
      <c r="R3925" s="75" t="str">
        <f>IF(AND($N3925=$Q$7,$B3925&lt;'111'!$L$11),"x","")</f>
        <v/>
      </c>
      <c r="S3925" s="75" t="str">
        <f>IF(AND($O3925=$Q$7,$B3925&lt;'111'!$L$11),"x","")</f>
        <v>x</v>
      </c>
      <c r="T3925" s="75" t="str">
        <f>IF(ISERROR(FIND('112'!$M$9,G3925,1)),"",IF((AND(FIND('112'!$M$9,G3925,1)&gt;=1,B3925='112'!$K$9,OR($N3925='112'!$I$6,$O3925='112'!$I$6))),"x",""))</f>
        <v/>
      </c>
      <c r="U3925" s="75" t="str">
        <f>IF(ISERROR(FIND('112'!$M$9,G3925,1)),"",IF((AND(LEFT(G3925,2)=LEFT('112'!$M$9,2),B3925&lt;'112'!$K$9,$N3925='112'!$I$6)),"x",""))</f>
        <v/>
      </c>
      <c r="V3925" s="75" t="str">
        <f>IF(ISERROR(FIND('112'!$M$9,G3925,1)),"",IF((AND(RIGHT(G3925,2)=RIGHT('112'!$M$9,2),B3925&lt;'112'!$K$9,$O3925='112'!$I$6)),"x",""))</f>
        <v/>
      </c>
      <c r="W3925" s="75" t="str">
        <f>IF(AND('341-CT'!$H$9=H3925,OR(LEFT(N3925,3)=$W$7,LEFT(O3925,3)=$W$7)),"x","")</f>
        <v/>
      </c>
      <c r="X3925" s="75" t="str">
        <f>IF(OR(TH!N3596=TH!$X$7,O3925=TH!$X$7),"x","")</f>
        <v/>
      </c>
      <c r="Y3925" s="75" t="str">
        <f>IF(AND(OR(N3925="131",O3925="131"),H3925='131-CT'!$H$9),"x","")</f>
        <v/>
      </c>
      <c r="Z3925" s="75"/>
      <c r="AA3925" s="75" t="str">
        <f>IF(AND(MONTH(E3925)='IN-NX'!$J$5,'IN-NX'!$D$7=D3925),"x","")</f>
        <v/>
      </c>
      <c r="AB3925" s="75" t="str">
        <f>IF(AND(OR(LEFT(TH!N3596,2)="15",LEFT(TH!O3596,2)="15"),LEFT(TH!O3596,3)&lt;&gt;"111",'152-CT'!$J$8=TH!F3596),"x","")</f>
        <v/>
      </c>
      <c r="AC3925" s="75" t="str">
        <f>IF(AND(OR(LEFT(TH!N3596,2)="15",LEFT(TH!O3596,2)="15"),TK!$E$7=TH!F3596),"x","")</f>
        <v/>
      </c>
      <c r="AD3925" s="75" t="str">
        <f>IF(AND(N3925="1521",MONTH(C3925)='BK-NL'!$M$11),"x","")</f>
        <v/>
      </c>
    </row>
    <row r="3926" spans="1:33" ht="16.5" customHeight="1">
      <c r="A3926" s="309" t="str">
        <f>IF(B3926&lt;&gt;"",IF(AND(B3926='IN-TC'!$S$4,OR(TH!N3924="1111",TH!O3924="1111")),TH!D3924,""),"")</f>
        <v/>
      </c>
      <c r="B3926" s="1241">
        <f t="shared" si="1308"/>
        <v>4</v>
      </c>
      <c r="C3926" s="292">
        <f t="shared" si="1307"/>
        <v>42840</v>
      </c>
      <c r="D3926" s="292" t="s">
        <v>1940</v>
      </c>
      <c r="E3926" s="292">
        <v>42840</v>
      </c>
      <c r="F3926" s="131" t="s">
        <v>1328</v>
      </c>
      <c r="G3926" s="742" t="s">
        <v>2003</v>
      </c>
      <c r="H3926" s="311" t="s">
        <v>1330</v>
      </c>
      <c r="I3926" s="373"/>
      <c r="J3926" s="379"/>
      <c r="K3926" s="373"/>
      <c r="L3926" s="379"/>
      <c r="M3926" s="60">
        <v>409091</v>
      </c>
      <c r="N3926" s="61" t="s">
        <v>539</v>
      </c>
      <c r="O3926" s="934" t="s">
        <v>63</v>
      </c>
      <c r="P3926" s="75" t="str">
        <f>IF(AND('331-CT'!$E$7=TH!H3587,OR(N3926="331",O3926="331")),"x","")</f>
        <v/>
      </c>
      <c r="Q3926" s="75" t="str">
        <f>IF(AND(B3926='111'!$L$11,OR($N3926=$Q$7,$O3926=$Q$7)),"x","")</f>
        <v/>
      </c>
      <c r="R3926" s="75" t="str">
        <f>IF(AND($N3926=$Q$7,$B3926&lt;'111'!$L$11),"x","")</f>
        <v/>
      </c>
      <c r="S3926" s="75" t="str">
        <f>IF(AND($O3926=$Q$7,$B3926&lt;'111'!$L$11),"x","")</f>
        <v>x</v>
      </c>
      <c r="T3926" s="75" t="str">
        <f>IF(ISERROR(FIND('112'!$M$9,G3926,1)),"",IF((AND(FIND('112'!$M$9,G3926,1)&gt;=1,B3926='112'!$K$9,OR($N3926='112'!$I$6,$O3926='112'!$I$6))),"x",""))</f>
        <v/>
      </c>
      <c r="U3926" s="75" t="str">
        <f>IF(ISERROR(FIND('112'!$M$9,G3926,1)),"",IF((AND(LEFT(G3926,2)=LEFT('112'!$M$9,2),B3926&lt;'112'!$K$9,$N3926='112'!$I$6)),"x",""))</f>
        <v/>
      </c>
      <c r="V3926" s="75" t="str">
        <f>IF(ISERROR(FIND('112'!$M$9,G3926,1)),"",IF((AND(RIGHT(G3926,2)=RIGHT('112'!$M$9,2),B3926&lt;'112'!$K$9,$O3926='112'!$I$6)),"x",""))</f>
        <v/>
      </c>
      <c r="W3926" s="75" t="str">
        <f>IF(AND('341-CT'!$H$9=H3926,OR(LEFT(N3926,3)=$W$7,LEFT(O3926,3)=$W$7)),"x","")</f>
        <v/>
      </c>
      <c r="X3926" s="75" t="str">
        <f>IF(OR(TH!N3587=TH!$X$7,O3926=TH!$X$7),"x","")</f>
        <v/>
      </c>
      <c r="Y3926" s="75" t="str">
        <f>IF(AND(OR(N3926="131",O3926="131"),H3926='131-CT'!$H$9),"x","")</f>
        <v/>
      </c>
      <c r="Z3926" s="75"/>
      <c r="AA3926" s="75" t="str">
        <f>IF(AND(MONTH(E3926)='IN-NX'!$J$5,'IN-NX'!$D$7=D3926),"x","")</f>
        <v/>
      </c>
      <c r="AB3926" s="75" t="str">
        <f>IF(AND(OR(LEFT(TH!N3587,2)="15",LEFT(TH!O3587,2)="15"),LEFT(TH!O3587,3)&lt;&gt;"111",'152-CT'!$J$8=TH!F3587),"x","")</f>
        <v/>
      </c>
      <c r="AC3926" s="75" t="str">
        <f>IF(AND(OR(LEFT(TH!N3587,2)="15",LEFT(TH!O3587,2)="15"),TK!$E$7=TH!F3587),"x","")</f>
        <v/>
      </c>
      <c r="AD3926" s="75" t="str">
        <f>IF(AND(N3926="1521",MONTH(C3926)='BK-NL'!$M$11),"x","")</f>
        <v/>
      </c>
    </row>
    <row r="3927" spans="1:33" ht="16.5" customHeight="1">
      <c r="A3927" s="309" t="str">
        <f>IF(B3927&lt;&gt;"",IF(AND(B3927='IN-TC'!$S$4,OR(TH!N3925="1111",TH!O3925="1111")),TH!D3925,""),"")</f>
        <v/>
      </c>
      <c r="B3927" s="1241">
        <f t="shared" si="1308"/>
        <v>4</v>
      </c>
      <c r="C3927" s="292">
        <f t="shared" si="1307"/>
        <v>42840</v>
      </c>
      <c r="D3927" s="292" t="s">
        <v>1940</v>
      </c>
      <c r="E3927" s="292">
        <v>42840</v>
      </c>
      <c r="F3927" s="131" t="s">
        <v>1329</v>
      </c>
      <c r="G3927" s="742" t="s">
        <v>2003</v>
      </c>
      <c r="H3927" s="311" t="s">
        <v>1330</v>
      </c>
      <c r="I3927" s="373"/>
      <c r="J3927" s="379"/>
      <c r="K3927" s="373"/>
      <c r="L3927" s="379"/>
      <c r="M3927" s="60">
        <v>40909</v>
      </c>
      <c r="N3927" s="61" t="s">
        <v>9</v>
      </c>
      <c r="O3927" s="934" t="s">
        <v>63</v>
      </c>
      <c r="P3927" s="75" t="str">
        <f>IF(AND('331-CT'!$E$7=TH!H3588,OR(N3927="331",O3927="331")),"x","")</f>
        <v/>
      </c>
      <c r="Q3927" s="75" t="str">
        <f>IF(AND(B3927='111'!$L$11,OR($N3927=$Q$7,$O3927=$Q$7)),"x","")</f>
        <v/>
      </c>
      <c r="R3927" s="75" t="str">
        <f>IF(AND($N3927=$Q$7,$B3927&lt;'111'!$L$11),"x","")</f>
        <v/>
      </c>
      <c r="S3927" s="75" t="str">
        <f>IF(AND($O3927=$Q$7,$B3927&lt;'111'!$L$11),"x","")</f>
        <v>x</v>
      </c>
      <c r="T3927" s="75" t="str">
        <f>IF(ISERROR(FIND('112'!$M$9,G3927,1)),"",IF((AND(FIND('112'!$M$9,G3927,1)&gt;=1,B3927='112'!$K$9,OR($N3927='112'!$I$6,$O3927='112'!$I$6))),"x",""))</f>
        <v/>
      </c>
      <c r="U3927" s="75" t="str">
        <f>IF(ISERROR(FIND('112'!$M$9,G3927,1)),"",IF((AND(LEFT(G3927,2)=LEFT('112'!$M$9,2),B3927&lt;'112'!$K$9,$N3927='112'!$I$6)),"x",""))</f>
        <v/>
      </c>
      <c r="V3927" s="75" t="str">
        <f>IF(ISERROR(FIND('112'!$M$9,G3927,1)),"",IF((AND(RIGHT(G3927,2)=RIGHT('112'!$M$9,2),B3927&lt;'112'!$K$9,$O3927='112'!$I$6)),"x",""))</f>
        <v/>
      </c>
      <c r="W3927" s="75" t="str">
        <f>IF(AND('341-CT'!$H$9=H3927,OR(LEFT(N3927,3)=$W$7,LEFT(O3927,3)=$W$7)),"x","")</f>
        <v/>
      </c>
      <c r="X3927" s="75" t="str">
        <f>IF(OR(TH!N3588=TH!$X$7,O3927=TH!$X$7),"x","")</f>
        <v/>
      </c>
      <c r="Y3927" s="75" t="str">
        <f>IF(AND(OR(N3927="131",O3927="131"),H3927='131-CT'!$H$9),"x","")</f>
        <v/>
      </c>
      <c r="Z3927" s="75"/>
      <c r="AA3927" s="75" t="str">
        <f>IF(AND(MONTH(E3927)='IN-NX'!$J$5,'IN-NX'!$D$7=D3927),"x","")</f>
        <v/>
      </c>
      <c r="AB3927" s="75" t="str">
        <f>IF(AND(OR(LEFT(TH!N3588,2)="15",LEFT(TH!O3588,2)="15"),LEFT(TH!O3588,3)&lt;&gt;"111",'152-CT'!$J$8=TH!F3588),"x","")</f>
        <v/>
      </c>
      <c r="AC3927" s="75" t="str">
        <f>IF(AND(OR(LEFT(TH!N3588,2)="15",LEFT(TH!O3588,2)="15"),TK!$E$7=TH!F3588),"x","")</f>
        <v/>
      </c>
      <c r="AD3927" s="75" t="str">
        <f>IF(AND(N3927="1521",MONTH(C3927)='BK-NL'!$M$11),"x","")</f>
        <v/>
      </c>
    </row>
    <row r="3928" spans="1:33" ht="16.5" customHeight="1">
      <c r="A3928" s="309" t="str">
        <f>IF(B3928&lt;&gt;"",IF(AND(B3928='IN-TC'!$S$4,OR(TH!N3926="1111",TH!O3926="1111")),TH!D3926,""),"")</f>
        <v/>
      </c>
      <c r="B3928" s="1241">
        <f t="shared" si="1308"/>
        <v>4</v>
      </c>
      <c r="C3928" s="292">
        <f t="shared" si="1307"/>
        <v>42841</v>
      </c>
      <c r="D3928" s="292" t="s">
        <v>1941</v>
      </c>
      <c r="E3928" s="292">
        <v>42841</v>
      </c>
      <c r="F3928" s="1126" t="s">
        <v>1165</v>
      </c>
      <c r="G3928" s="931" t="s">
        <v>1347</v>
      </c>
      <c r="H3928" s="296" t="s">
        <v>796</v>
      </c>
      <c r="I3928" s="371"/>
      <c r="J3928" s="932"/>
      <c r="K3928" s="371"/>
      <c r="L3928" s="377"/>
      <c r="M3928" s="933">
        <v>18980500</v>
      </c>
      <c r="N3928" s="934" t="s">
        <v>8</v>
      </c>
      <c r="O3928" s="934" t="s">
        <v>63</v>
      </c>
      <c r="P3928" s="75" t="str">
        <f>IF(AND('331-CT'!$E$7=TH!H3597,OR(N3928="331",O3928="331")),"x","")</f>
        <v/>
      </c>
      <c r="Q3928" s="75" t="str">
        <f>IF(AND(B3928='111'!$L$11,OR($N3928=$Q$7,$O3928=$Q$7)),"x","")</f>
        <v/>
      </c>
      <c r="R3928" s="75" t="str">
        <f>IF(AND($N3928=$Q$7,$B3928&lt;'111'!$L$11),"x","")</f>
        <v/>
      </c>
      <c r="S3928" s="75" t="str">
        <f>IF(AND($O3928=$Q$7,$B3928&lt;'111'!$L$11),"x","")</f>
        <v>x</v>
      </c>
      <c r="T3928" s="75" t="str">
        <f>IF(ISERROR(FIND('112'!$M$9,G3928,1)),"",IF((AND(FIND('112'!$M$9,G3928,1)&gt;=1,B3928='112'!$K$9,OR($N3928='112'!$I$6,$O3928='112'!$I$6))),"x",""))</f>
        <v/>
      </c>
      <c r="U3928" s="75" t="str">
        <f>IF(ISERROR(FIND('112'!$M$9,G3928,1)),"",IF((AND(LEFT(G3928,2)=LEFT('112'!$M$9,2),B3928&lt;'112'!$K$9,$N3928='112'!$I$6)),"x",""))</f>
        <v/>
      </c>
      <c r="V3928" s="75" t="str">
        <f>IF(ISERROR(FIND('112'!$M$9,G3928,1)),"",IF((AND(RIGHT(G3928,2)=RIGHT('112'!$M$9,2),B3928&lt;'112'!$K$9,$O3928='112'!$I$6)),"x",""))</f>
        <v/>
      </c>
      <c r="W3928" s="75" t="str">
        <f>IF(AND('341-CT'!$H$9=H3928,OR(LEFT(N3928,3)=$W$7,LEFT(O3928,3)=$W$7)),"x","")</f>
        <v/>
      </c>
      <c r="X3928" s="75" t="str">
        <f>IF(OR(TH!N3597=TH!$X$7,O3928=TH!$X$7),"x","")</f>
        <v/>
      </c>
      <c r="Y3928" s="75" t="str">
        <f>IF(AND(OR(N3928="131",O3928="131"),H3928='131-CT'!$H$9),"x","")</f>
        <v/>
      </c>
      <c r="Z3928" s="75"/>
      <c r="AA3928" s="75" t="str">
        <f>IF(AND(MONTH(E3928)='IN-NX'!$J$5,'IN-NX'!$D$7=D3928),"x","")</f>
        <v/>
      </c>
      <c r="AB3928" s="75" t="str">
        <f>IF(AND(OR(LEFT(TH!N3597,2)="15",LEFT(TH!O3597,2)="15"),LEFT(TH!O3597,3)&lt;&gt;"111",'152-CT'!$J$8=TH!F3597),"x","")</f>
        <v/>
      </c>
      <c r="AC3928" s="75" t="str">
        <f>IF(AND(OR(LEFT(TH!N3597,2)="15",LEFT(TH!O3597,2)="15"),TK!$E$7=TH!F3597),"x","")</f>
        <v/>
      </c>
      <c r="AD3928" s="75" t="str">
        <f>IF(AND(N3928="1521",MONTH(C3928)='BK-NL'!$M$11),"x","")</f>
        <v/>
      </c>
    </row>
    <row r="3929" spans="1:33" ht="16.5" customHeight="1">
      <c r="A3929" s="309" t="str">
        <f>IF(B3929&lt;&gt;"",IF(AND(B3929='IN-TC'!$S$4,OR(TH!N3927="1111",TH!O3927="1111")),TH!D3927,""),"")</f>
        <v/>
      </c>
      <c r="B3929" s="1241">
        <f t="shared" si="1308"/>
        <v>4</v>
      </c>
      <c r="C3929" s="292">
        <f t="shared" si="1307"/>
        <v>42841</v>
      </c>
      <c r="D3929" s="292" t="s">
        <v>1942</v>
      </c>
      <c r="E3929" s="292">
        <v>42841</v>
      </c>
      <c r="F3929" s="131" t="s">
        <v>1291</v>
      </c>
      <c r="G3929" s="742" t="s">
        <v>1293</v>
      </c>
      <c r="H3929" s="311" t="s">
        <v>893</v>
      </c>
      <c r="I3929" s="373"/>
      <c r="J3929" s="379"/>
      <c r="K3929" s="373"/>
      <c r="L3929" s="379"/>
      <c r="M3929" s="60">
        <v>2222136</v>
      </c>
      <c r="N3929" s="61" t="s">
        <v>101</v>
      </c>
      <c r="O3929" s="934" t="s">
        <v>63</v>
      </c>
      <c r="P3929" s="75" t="str">
        <f>IF(AND('331-CT'!$E$7=TH!H3598,OR(N3929="331",O3929="331")),"x","")</f>
        <v/>
      </c>
      <c r="Q3929" s="75" t="str">
        <f>IF(AND(B3929='111'!$L$11,OR($N3929=$Q$7,$O3929=$Q$7)),"x","")</f>
        <v/>
      </c>
      <c r="R3929" s="75" t="str">
        <f>IF(AND($N3929=$Q$7,$B3929&lt;'111'!$L$11),"x","")</f>
        <v/>
      </c>
      <c r="S3929" s="75" t="str">
        <f>IF(AND($O3929=$Q$7,$B3929&lt;'111'!$L$11),"x","")</f>
        <v>x</v>
      </c>
      <c r="T3929" s="75" t="str">
        <f>IF(ISERROR(FIND('112'!$M$9,G3929,1)),"",IF((AND(FIND('112'!$M$9,G3929,1)&gt;=1,B3929='112'!$K$9,OR($N3929='112'!$I$6,$O3929='112'!$I$6))),"x",""))</f>
        <v/>
      </c>
      <c r="U3929" s="75" t="str">
        <f>IF(ISERROR(FIND('112'!$M$9,G3929,1)),"",IF((AND(LEFT(G3929,2)=LEFT('112'!$M$9,2),B3929&lt;'112'!$K$9,$N3929='112'!$I$6)),"x",""))</f>
        <v/>
      </c>
      <c r="V3929" s="75" t="str">
        <f>IF(ISERROR(FIND('112'!$M$9,G3929,1)),"",IF((AND(RIGHT(G3929,2)=RIGHT('112'!$M$9,2),B3929&lt;'112'!$K$9,$O3929='112'!$I$6)),"x",""))</f>
        <v/>
      </c>
      <c r="W3929" s="75" t="str">
        <f>IF(AND('341-CT'!$H$9=H3929,OR(LEFT(N3929,3)=$W$7,LEFT(O3929,3)=$W$7)),"x","")</f>
        <v/>
      </c>
      <c r="X3929" s="75" t="str">
        <f>IF(OR(TH!N3598=TH!$X$7,O3929=TH!$X$7),"x","")</f>
        <v/>
      </c>
      <c r="Y3929" s="75" t="str">
        <f>IF(AND(OR(N3929="131",O3929="131"),H3929='131-CT'!$H$9),"x","")</f>
        <v/>
      </c>
      <c r="Z3929" s="75"/>
      <c r="AA3929" s="75" t="str">
        <f>IF(AND(MONTH(E3929)='IN-NX'!$J$5,'IN-NX'!$D$7=D3929),"x","")</f>
        <v/>
      </c>
      <c r="AB3929" s="75" t="str">
        <f>IF(AND(OR(LEFT(TH!N3598,2)="15",LEFT(TH!O3598,2)="15"),LEFT(TH!O3598,3)&lt;&gt;"111",'152-CT'!$J$8=TH!F3598),"x","")</f>
        <v/>
      </c>
      <c r="AC3929" s="75" t="str">
        <f>IF(AND(OR(LEFT(TH!N3598,2)="15",LEFT(TH!O3598,2)="15"),TK!$E$7=TH!F3598),"x","")</f>
        <v/>
      </c>
      <c r="AD3929" s="75" t="str">
        <f>IF(AND(N3929="1521",MONTH(C3929)='BK-NL'!$M$11),"x","")</f>
        <v/>
      </c>
    </row>
    <row r="3930" spans="1:33" ht="16.5" customHeight="1">
      <c r="A3930" s="309" t="str">
        <f>IF(B3930&lt;&gt;"",IF(AND(B3930='IN-TC'!$S$4,OR(TH!N3928="1111",TH!O3928="1111")),TH!D3928,""),"")</f>
        <v/>
      </c>
      <c r="B3930" s="1241">
        <f t="shared" si="1308"/>
        <v>4</v>
      </c>
      <c r="C3930" s="292">
        <f t="shared" si="1307"/>
        <v>42841</v>
      </c>
      <c r="D3930" s="292" t="s">
        <v>1942</v>
      </c>
      <c r="E3930" s="292">
        <v>42841</v>
      </c>
      <c r="F3930" s="131" t="s">
        <v>1292</v>
      </c>
      <c r="G3930" s="742" t="s">
        <v>1293</v>
      </c>
      <c r="H3930" s="311" t="s">
        <v>893</v>
      </c>
      <c r="I3930" s="373"/>
      <c r="J3930" s="379"/>
      <c r="K3930" s="373"/>
      <c r="L3930" s="379"/>
      <c r="M3930" s="60">
        <v>222214</v>
      </c>
      <c r="N3930" s="61" t="s">
        <v>9</v>
      </c>
      <c r="O3930" s="934" t="s">
        <v>63</v>
      </c>
      <c r="P3930" s="75" t="str">
        <f>IF(AND('331-CT'!$E$7=TH!H3599,OR(N3930="331",O3930="331")),"x","")</f>
        <v/>
      </c>
      <c r="Q3930" s="75" t="str">
        <f>IF(AND(B3930='111'!$L$11,OR($N3930=$Q$7,$O3930=$Q$7)),"x","")</f>
        <v/>
      </c>
      <c r="R3930" s="75" t="str">
        <f>IF(AND($N3930=$Q$7,$B3930&lt;'111'!$L$11),"x","")</f>
        <v/>
      </c>
      <c r="S3930" s="75" t="str">
        <f>IF(AND($O3930=$Q$7,$B3930&lt;'111'!$L$11),"x","")</f>
        <v>x</v>
      </c>
      <c r="T3930" s="75" t="str">
        <f>IF(ISERROR(FIND('112'!$M$9,G3930,1)),"",IF((AND(FIND('112'!$M$9,G3930,1)&gt;=1,B3930='112'!$K$9,OR($N3930='112'!$I$6,$O3930='112'!$I$6))),"x",""))</f>
        <v/>
      </c>
      <c r="U3930" s="75" t="str">
        <f>IF(ISERROR(FIND('112'!$M$9,G3930,1)),"",IF((AND(LEFT(G3930,2)=LEFT('112'!$M$9,2),B3930&lt;'112'!$K$9,$N3930='112'!$I$6)),"x",""))</f>
        <v/>
      </c>
      <c r="V3930" s="75" t="str">
        <f>IF(ISERROR(FIND('112'!$M$9,G3930,1)),"",IF((AND(RIGHT(G3930,2)=RIGHT('112'!$M$9,2),B3930&lt;'112'!$K$9,$O3930='112'!$I$6)),"x",""))</f>
        <v/>
      </c>
      <c r="W3930" s="75" t="str">
        <f>IF(AND('341-CT'!$H$9=H3930,OR(LEFT(N3930,3)=$W$7,LEFT(O3930,3)=$W$7)),"x","")</f>
        <v/>
      </c>
      <c r="X3930" s="75" t="str">
        <f>IF(OR(TH!N3599=TH!$X$7,O3930=TH!$X$7),"x","")</f>
        <v/>
      </c>
      <c r="Y3930" s="75" t="str">
        <f>IF(AND(OR(N3930="131",O3930="131"),H3930='131-CT'!$H$9),"x","")</f>
        <v/>
      </c>
      <c r="Z3930" s="75"/>
      <c r="AA3930" s="75" t="str">
        <f>IF(AND(MONTH(E3930)='IN-NX'!$J$5,'IN-NX'!$D$7=D3930),"x","")</f>
        <v/>
      </c>
      <c r="AB3930" s="75" t="str">
        <f>IF(AND(OR(LEFT(TH!N3599,2)="15",LEFT(TH!O3599,2)="15"),LEFT(TH!O3599,3)&lt;&gt;"111",'152-CT'!$J$8=TH!F3599),"x","")</f>
        <v/>
      </c>
      <c r="AC3930" s="75" t="str">
        <f>IF(AND(OR(LEFT(TH!N3599,2)="15",LEFT(TH!O3599,2)="15"),TK!$E$7=TH!F3599),"x","")</f>
        <v/>
      </c>
      <c r="AD3930" s="75" t="str">
        <f>IF(AND(N3930="1521",MONTH(C3930)='BK-NL'!$M$11),"x","")</f>
        <v/>
      </c>
    </row>
    <row r="3931" spans="1:33" ht="15" customHeight="1">
      <c r="A3931" s="309" t="str">
        <f>IF(B3931&lt;&gt;"",IF(AND(B3931='IN-TC'!$S$4,OR(TH!N3929="1111",TH!O3929="1111")),TH!D3929,""),"")</f>
        <v/>
      </c>
      <c r="B3931" s="1241">
        <f t="shared" si="1308"/>
        <v>4</v>
      </c>
      <c r="C3931" s="292">
        <f t="shared" si="1307"/>
        <v>42842</v>
      </c>
      <c r="D3931" s="292" t="s">
        <v>844</v>
      </c>
      <c r="E3931" s="292">
        <v>42842</v>
      </c>
      <c r="F3931" s="1127" t="s">
        <v>834</v>
      </c>
      <c r="G3931" s="943" t="s">
        <v>747</v>
      </c>
      <c r="H3931" s="67" t="s">
        <v>1023</v>
      </c>
      <c r="I3931" s="373"/>
      <c r="J3931" s="926"/>
      <c r="K3931" s="373"/>
      <c r="L3931" s="379"/>
      <c r="M3931" s="927">
        <v>1800000000</v>
      </c>
      <c r="N3931" s="295" t="s">
        <v>63</v>
      </c>
      <c r="O3931" s="295" t="s">
        <v>26</v>
      </c>
      <c r="P3931" s="75" t="str">
        <f>IF(AND('331-CT'!$E$7=TH!H5086,OR(N3931="331",O3931="331")),"x","")</f>
        <v/>
      </c>
      <c r="Q3931" s="75" t="str">
        <f>IF(AND(B3931='111'!$L$11,OR($N3931=$Q$7,$O3931=$Q$7)),"x","")</f>
        <v/>
      </c>
      <c r="R3931" s="75" t="str">
        <f>IF(AND($N3931=$Q$7,$B3931&lt;'111'!$L$11),"x","")</f>
        <v>x</v>
      </c>
      <c r="S3931" s="75" t="str">
        <f>IF(AND($O3931=$Q$7,$B3931&lt;'111'!$L$11),"x","")</f>
        <v/>
      </c>
      <c r="T3931" s="75" t="str">
        <f>IF(ISERROR(FIND('112'!$M$9,G3931,1)),"",IF((AND(FIND('112'!$M$9,G3931,1)&gt;=1,B3931='112'!$K$9,OR($N3931='112'!$I$6,$O3931='112'!$I$6))),"x",""))</f>
        <v/>
      </c>
      <c r="U3931" s="75" t="str">
        <f>IF(ISERROR(FIND('112'!$M$9,G3931,1)),"",IF((AND(LEFT(G3931,2)=LEFT('112'!$M$9,2),B3931&lt;'112'!$K$9,$N3931='112'!$I$6)),"x",""))</f>
        <v/>
      </c>
      <c r="V3931" s="75" t="str">
        <f>IF(ISERROR(FIND('112'!$M$9,G3931,1)),"",IF((AND(RIGHT(G3931,2)=RIGHT('112'!$M$9,2),B3931&lt;'112'!$K$9,$O3931='112'!$I$6)),"x",""))</f>
        <v/>
      </c>
      <c r="W3931" s="75" t="str">
        <f>IF(AND('341-CT'!$H$9=H3931,OR(LEFT(N3931,3)=$W$7,LEFT(O3931,3)=$W$7)),"x","")</f>
        <v/>
      </c>
      <c r="X3931" s="75" t="str">
        <f>IF(OR(TH!N5086=TH!$X$7,O3931=TH!$X$7),"x","")</f>
        <v/>
      </c>
      <c r="Y3931" s="75" t="str">
        <f>IF(AND(OR(N3931="131",O3931="131"),H3931='131-CT'!$H$9),"x","")</f>
        <v/>
      </c>
      <c r="Z3931" s="75"/>
      <c r="AA3931" s="75" t="str">
        <f>IF(AND(MONTH(E3931)='IN-NX'!$J$5,'IN-NX'!$D$7=D3931),"x","")</f>
        <v/>
      </c>
      <c r="AB3931" s="75" t="str">
        <f>IF(AND(OR(LEFT(TH!N5086,2)="15",LEFT(TH!O5086,2)="15"),LEFT(TH!O5086,3)&lt;&gt;"111",'152-CT'!$J$8=TH!F5086),"x","")</f>
        <v/>
      </c>
      <c r="AC3931" s="75" t="str">
        <f>IF(AND(OR(LEFT(TH!N5086,2)="15",LEFT(TH!O5086,2)="15"),TK!$E$7=TH!F5086),"x","")</f>
        <v/>
      </c>
      <c r="AD3931" s="75" t="str">
        <f>IF(AND(N3931="1521",MONTH(C3931)='BK-NL'!$M$11),"x","")</f>
        <v/>
      </c>
    </row>
    <row r="3932" spans="1:33" ht="16.5" customHeight="1">
      <c r="A3932" s="309" t="str">
        <f>IF(B3932&lt;&gt;"",IF(AND(B3932='IN-TC'!$S$4,OR(TH!N3930="1111",TH!O3930="1111")),TH!D3930,""),"")</f>
        <v/>
      </c>
      <c r="B3932" s="1241">
        <f t="shared" si="1308"/>
        <v>4</v>
      </c>
      <c r="C3932" s="292">
        <f t="shared" si="1307"/>
        <v>42843</v>
      </c>
      <c r="D3932" s="59" t="s">
        <v>902</v>
      </c>
      <c r="E3932" s="59">
        <v>42843</v>
      </c>
      <c r="F3932" s="1127" t="s">
        <v>2463</v>
      </c>
      <c r="G3932" s="62" t="s">
        <v>747</v>
      </c>
      <c r="H3932" s="962" t="s">
        <v>2462</v>
      </c>
      <c r="I3932" s="373"/>
      <c r="J3932" s="379"/>
      <c r="K3932" s="373">
        <v>20530.46</v>
      </c>
      <c r="L3932" s="379">
        <v>22722</v>
      </c>
      <c r="M3932" s="927">
        <f>ROUND(L3932*K3932,0)</f>
        <v>466493112</v>
      </c>
      <c r="N3932" s="61" t="s">
        <v>26</v>
      </c>
      <c r="O3932" s="61" t="s">
        <v>250</v>
      </c>
      <c r="P3932" s="75" t="str">
        <f>IF(AND('331-CT'!$E$7=TH!H5087,OR(N3932="331",O3932="331")),"x","")</f>
        <v/>
      </c>
      <c r="Q3932" s="75" t="str">
        <f>IF(AND(B3932='111'!$L$11,OR($N3932=$Q$7,$O3932=$Q$7)),"x","")</f>
        <v/>
      </c>
      <c r="R3932" s="75" t="str">
        <f>IF(AND($N3932=$Q$7,$B3932&lt;'111'!$L$11),"x","")</f>
        <v/>
      </c>
      <c r="S3932" s="75" t="str">
        <f>IF(AND($O3932=$Q$7,$B3932&lt;'111'!$L$11),"x","")</f>
        <v/>
      </c>
      <c r="T3932" s="75" t="str">
        <f>IF(ISERROR(FIND('112'!$M$9,G3932,1)),"",IF((AND(FIND('112'!$M$9,G3932,1)&gt;=1,B3932='112'!$K$9,OR($N3932='112'!$I$6,$O3932='112'!$I$6))),"x",""))</f>
        <v/>
      </c>
      <c r="U3932" s="75" t="str">
        <f>IF(ISERROR(FIND('112'!$M$9,G3932,1)),"",IF((AND(LEFT(G3932,2)=LEFT('112'!$M$9,2),B3932&lt;'112'!$K$9,$N3932='112'!$I$6)),"x",""))</f>
        <v/>
      </c>
      <c r="V3932" s="75" t="str">
        <f>IF(ISERROR(FIND('112'!$M$9,G3932,1)),"",IF((AND(RIGHT(G3932,2)=RIGHT('112'!$M$9,2),B3932&lt;'112'!$K$9,$O3932='112'!$I$6)),"x",""))</f>
        <v/>
      </c>
      <c r="W3932" s="75" t="str">
        <f>IF(AND('341-CT'!$H$9=H3932,OR(LEFT(N3932,3)=$W$7,LEFT(O3932,3)=$W$7)),"x","")</f>
        <v/>
      </c>
      <c r="X3932" s="75" t="str">
        <f>IF(OR(TH!N5087=TH!$X$7,O3932=TH!$X$7),"x","")</f>
        <v/>
      </c>
      <c r="Y3932" s="75" t="str">
        <f>IF(AND(OR(N3932="131",O3932="131"),H3932='131-CT'!$H$9),"x","")</f>
        <v/>
      </c>
      <c r="Z3932" s="75"/>
      <c r="AA3932" s="75" t="str">
        <f>IF(AND(MONTH(E3932)='IN-NX'!$J$5,'IN-NX'!$D$7=D3932),"x","")</f>
        <v/>
      </c>
      <c r="AB3932" s="75" t="str">
        <f>IF(AND(OR(LEFT(TH!N5087,2)="15",LEFT(TH!O5087,2)="15"),LEFT(TH!O5087,3)&lt;&gt;"111",'152-CT'!$J$8=TH!F5087),"x","")</f>
        <v/>
      </c>
      <c r="AC3932" s="75" t="str">
        <f>IF(AND(OR(LEFT(TH!N5087,2)="15",LEFT(TH!O5087,2)="15"),TK!$E$7=TH!F5087),"x","")</f>
        <v/>
      </c>
      <c r="AD3932" s="75" t="str">
        <f>IF(AND(N3932="1521",MONTH(C3932)='BK-NL'!$M$11),"x","")</f>
        <v/>
      </c>
      <c r="AE3932" s="1053"/>
      <c r="AF3932" s="1053"/>
      <c r="AG3932" s="1053"/>
    </row>
    <row r="3933" spans="1:33" ht="16.5" customHeight="1">
      <c r="A3933" s="309" t="str">
        <f>IF(B3933&lt;&gt;"",IF(AND(B3933='IN-TC'!$S$4,OR(TH!N3931="1111",TH!O3931="1111")),TH!D3931,""),"")</f>
        <v/>
      </c>
      <c r="B3933" s="1241">
        <f t="shared" si="1308"/>
        <v>4</v>
      </c>
      <c r="C3933" s="292">
        <f t="shared" si="1307"/>
        <v>42844</v>
      </c>
      <c r="D3933" s="292" t="s">
        <v>1943</v>
      </c>
      <c r="E3933" s="292">
        <v>42844</v>
      </c>
      <c r="F3933" s="131" t="s">
        <v>881</v>
      </c>
      <c r="G3933" s="742" t="s">
        <v>1294</v>
      </c>
      <c r="H3933" s="67" t="s">
        <v>884</v>
      </c>
      <c r="I3933" s="373"/>
      <c r="J3933" s="379"/>
      <c r="K3933" s="373"/>
      <c r="L3933" s="379"/>
      <c r="M3933" s="60">
        <v>10400000</v>
      </c>
      <c r="N3933" s="61" t="s">
        <v>101</v>
      </c>
      <c r="O3933" s="934" t="s">
        <v>63</v>
      </c>
      <c r="P3933" s="75" t="str">
        <f>IF(AND('331-CT'!$E$7=TH!H3600,OR(N3933="331",O3933="331")),"x","")</f>
        <v/>
      </c>
      <c r="Q3933" s="75" t="str">
        <f>IF(AND(B3933='111'!$L$11,OR($N3933=$Q$7,$O3933=$Q$7)),"x","")</f>
        <v/>
      </c>
      <c r="R3933" s="75" t="str">
        <f>IF(AND($N3933=$Q$7,$B3933&lt;'111'!$L$11),"x","")</f>
        <v/>
      </c>
      <c r="S3933" s="75" t="str">
        <f>IF(AND($O3933=$Q$7,$B3933&lt;'111'!$L$11),"x","")</f>
        <v>x</v>
      </c>
      <c r="T3933" s="75" t="str">
        <f>IF(ISERROR(FIND('112'!$M$9,G3933,1)),"",IF((AND(FIND('112'!$M$9,G3933,1)&gt;=1,B3933='112'!$K$9,OR($N3933='112'!$I$6,$O3933='112'!$I$6))),"x",""))</f>
        <v/>
      </c>
      <c r="U3933" s="75" t="str">
        <f>IF(ISERROR(FIND('112'!$M$9,G3933,1)),"",IF((AND(LEFT(G3933,2)=LEFT('112'!$M$9,2),B3933&lt;'112'!$K$9,$N3933='112'!$I$6)),"x",""))</f>
        <v/>
      </c>
      <c r="V3933" s="75" t="str">
        <f>IF(ISERROR(FIND('112'!$M$9,G3933,1)),"",IF((AND(RIGHT(G3933,2)=RIGHT('112'!$M$9,2),B3933&lt;'112'!$K$9,$O3933='112'!$I$6)),"x",""))</f>
        <v/>
      </c>
      <c r="W3933" s="75" t="str">
        <f>IF(AND('341-CT'!$H$9=H3933,OR(LEFT(N3933,3)=$W$7,LEFT(O3933,3)=$W$7)),"x","")</f>
        <v/>
      </c>
      <c r="X3933" s="75" t="str">
        <f>IF(OR(TH!N3600=TH!$X$7,O3933=TH!$X$7),"x","")</f>
        <v/>
      </c>
      <c r="Y3933" s="75" t="str">
        <f>IF(AND(OR(N3933="131",O3933="131"),H3933='131-CT'!$H$9),"x","")</f>
        <v/>
      </c>
      <c r="Z3933" s="75"/>
      <c r="AA3933" s="75" t="str">
        <f>IF(AND(MONTH(E3933)='IN-NX'!$J$5,'IN-NX'!$D$7=D3933),"x","")</f>
        <v/>
      </c>
      <c r="AB3933" s="75" t="str">
        <f>IF(AND(OR(LEFT(TH!N3600,2)="15",LEFT(TH!O3600,2)="15"),LEFT(TH!O3600,3)&lt;&gt;"111",'152-CT'!$J$8=TH!F3600),"x","")</f>
        <v/>
      </c>
      <c r="AC3933" s="75" t="str">
        <f>IF(AND(OR(LEFT(TH!N3600,2)="15",LEFT(TH!O3600,2)="15"),TK!$E$7=TH!F3600),"x","")</f>
        <v/>
      </c>
      <c r="AD3933" s="75" t="str">
        <f>IF(AND(N3933="1521",MONTH(C3933)='BK-NL'!$M$11),"x","")</f>
        <v/>
      </c>
    </row>
    <row r="3934" spans="1:33" ht="16.5" customHeight="1">
      <c r="A3934" s="309" t="str">
        <f>IF(B3934&lt;&gt;"",IF(AND(B3934='IN-TC'!$S$4,OR(TH!N3932="1111",TH!O3932="1111")),TH!D3932,""),"")</f>
        <v/>
      </c>
      <c r="B3934" s="1241">
        <f t="shared" si="1308"/>
        <v>4</v>
      </c>
      <c r="C3934" s="292">
        <f t="shared" si="1307"/>
        <v>42844</v>
      </c>
      <c r="D3934" s="292" t="s">
        <v>1943</v>
      </c>
      <c r="E3934" s="292">
        <v>42844</v>
      </c>
      <c r="F3934" s="131" t="s">
        <v>882</v>
      </c>
      <c r="G3934" s="742" t="s">
        <v>1294</v>
      </c>
      <c r="H3934" s="67" t="s">
        <v>884</v>
      </c>
      <c r="I3934" s="373"/>
      <c r="J3934" s="379"/>
      <c r="K3934" s="373"/>
      <c r="L3934" s="379"/>
      <c r="M3934" s="60">
        <v>520000</v>
      </c>
      <c r="N3934" s="61" t="s">
        <v>9</v>
      </c>
      <c r="O3934" s="934" t="s">
        <v>63</v>
      </c>
      <c r="P3934" s="75" t="str">
        <f>IF(AND('331-CT'!$E$7=TH!H3601,OR(N3934="331",O3934="331")),"x","")</f>
        <v/>
      </c>
      <c r="Q3934" s="75" t="str">
        <f>IF(AND(B3934='111'!$L$11,OR($N3934=$Q$7,$O3934=$Q$7)),"x","")</f>
        <v/>
      </c>
      <c r="R3934" s="75" t="str">
        <f>IF(AND($N3934=$Q$7,$B3934&lt;'111'!$L$11),"x","")</f>
        <v/>
      </c>
      <c r="S3934" s="75" t="str">
        <f>IF(AND($O3934=$Q$7,$B3934&lt;'111'!$L$11),"x","")</f>
        <v>x</v>
      </c>
      <c r="T3934" s="75" t="str">
        <f>IF(ISERROR(FIND('112'!$M$9,G3934,1)),"",IF((AND(FIND('112'!$M$9,G3934,1)&gt;=1,B3934='112'!$K$9,OR($N3934='112'!$I$6,$O3934='112'!$I$6))),"x",""))</f>
        <v/>
      </c>
      <c r="U3934" s="75" t="str">
        <f>IF(ISERROR(FIND('112'!$M$9,G3934,1)),"",IF((AND(LEFT(G3934,2)=LEFT('112'!$M$9,2),B3934&lt;'112'!$K$9,$N3934='112'!$I$6)),"x",""))</f>
        <v/>
      </c>
      <c r="V3934" s="75" t="str">
        <f>IF(ISERROR(FIND('112'!$M$9,G3934,1)),"",IF((AND(RIGHT(G3934,2)=RIGHT('112'!$M$9,2),B3934&lt;'112'!$K$9,$O3934='112'!$I$6)),"x",""))</f>
        <v/>
      </c>
      <c r="W3934" s="75" t="str">
        <f>IF(AND('341-CT'!$H$9=H3934,OR(LEFT(N3934,3)=$W$7,LEFT(O3934,3)=$W$7)),"x","")</f>
        <v/>
      </c>
      <c r="X3934" s="75" t="str">
        <f>IF(OR(TH!N3601=TH!$X$7,O3934=TH!$X$7),"x","")</f>
        <v/>
      </c>
      <c r="Y3934" s="75" t="str">
        <f>IF(AND(OR(N3934="131",O3934="131"),H3934='131-CT'!$H$9),"x","")</f>
        <v/>
      </c>
      <c r="Z3934" s="75"/>
      <c r="AA3934" s="75" t="str">
        <f>IF(AND(MONTH(E3934)='IN-NX'!$J$5,'IN-NX'!$D$7=D3934),"x","")</f>
        <v/>
      </c>
      <c r="AB3934" s="75" t="str">
        <f>IF(AND(OR(LEFT(TH!N3601,2)="15",LEFT(TH!O3601,2)="15"),LEFT(TH!O3601,3)&lt;&gt;"111",'152-CT'!$J$8=TH!F3601),"x","")</f>
        <v/>
      </c>
      <c r="AC3934" s="75" t="str">
        <f>IF(AND(OR(LEFT(TH!N3601,2)="15",LEFT(TH!O3601,2)="15"),TK!$E$7=TH!F3601),"x","")</f>
        <v/>
      </c>
      <c r="AD3934" s="75" t="str">
        <f>IF(AND(N3934="1521",MONTH(C3934)='BK-NL'!$M$11),"x","")</f>
        <v/>
      </c>
    </row>
    <row r="3935" spans="1:33" ht="16.5" customHeight="1">
      <c r="A3935" s="309" t="str">
        <f>IF(B3935&lt;&gt;"",IF(AND(B3935='IN-TC'!$S$4,OR(TH!N3933="1111",TH!O3933="1111")),TH!D3933,""),"")</f>
        <v/>
      </c>
      <c r="B3935" s="1241">
        <f t="shared" si="1308"/>
        <v>4</v>
      </c>
      <c r="C3935" s="292">
        <f t="shared" si="1307"/>
        <v>42844</v>
      </c>
      <c r="D3935" s="292" t="s">
        <v>1944</v>
      </c>
      <c r="E3935" s="292">
        <v>42844</v>
      </c>
      <c r="F3935" s="131" t="s">
        <v>1291</v>
      </c>
      <c r="G3935" s="742" t="s">
        <v>1295</v>
      </c>
      <c r="H3935" s="311" t="s">
        <v>893</v>
      </c>
      <c r="I3935" s="373"/>
      <c r="J3935" s="379"/>
      <c r="K3935" s="373"/>
      <c r="L3935" s="379"/>
      <c r="M3935" s="60">
        <v>1753045</v>
      </c>
      <c r="N3935" s="61" t="s">
        <v>101</v>
      </c>
      <c r="O3935" s="934" t="s">
        <v>63</v>
      </c>
      <c r="P3935" s="75" t="str">
        <f>IF(AND('331-CT'!$E$7=TH!H3602,OR(N3935="331",O3935="331")),"x","")</f>
        <v/>
      </c>
      <c r="Q3935" s="75" t="str">
        <f>IF(AND(B3935='111'!$L$11,OR($N3935=$Q$7,$O3935=$Q$7)),"x","")</f>
        <v/>
      </c>
      <c r="R3935" s="75" t="str">
        <f>IF(AND($N3935=$Q$7,$B3935&lt;'111'!$L$11),"x","")</f>
        <v/>
      </c>
      <c r="S3935" s="75" t="str">
        <f>IF(AND($O3935=$Q$7,$B3935&lt;'111'!$L$11),"x","")</f>
        <v>x</v>
      </c>
      <c r="T3935" s="75" t="str">
        <f>IF(ISERROR(FIND('112'!$M$9,G3935,1)),"",IF((AND(FIND('112'!$M$9,G3935,1)&gt;=1,B3935='112'!$K$9,OR($N3935='112'!$I$6,$O3935='112'!$I$6))),"x",""))</f>
        <v/>
      </c>
      <c r="U3935" s="75" t="str">
        <f>IF(ISERROR(FIND('112'!$M$9,G3935,1)),"",IF((AND(LEFT(G3935,2)=LEFT('112'!$M$9,2),B3935&lt;'112'!$K$9,$N3935='112'!$I$6)),"x",""))</f>
        <v/>
      </c>
      <c r="V3935" s="75" t="str">
        <f>IF(ISERROR(FIND('112'!$M$9,G3935,1)),"",IF((AND(RIGHT(G3935,2)=RIGHT('112'!$M$9,2),B3935&lt;'112'!$K$9,$O3935='112'!$I$6)),"x",""))</f>
        <v/>
      </c>
      <c r="W3935" s="75" t="str">
        <f>IF(AND('341-CT'!$H$9=H3935,OR(LEFT(N3935,3)=$W$7,LEFT(O3935,3)=$W$7)),"x","")</f>
        <v/>
      </c>
      <c r="X3935" s="75" t="str">
        <f>IF(OR(TH!N3602=TH!$X$7,O3935=TH!$X$7),"x","")</f>
        <v/>
      </c>
      <c r="Y3935" s="75" t="str">
        <f>IF(AND(OR(N3935="131",O3935="131"),H3935='131-CT'!$H$9),"x","")</f>
        <v/>
      </c>
      <c r="Z3935" s="75"/>
      <c r="AA3935" s="75" t="str">
        <f>IF(AND(MONTH(E3935)='IN-NX'!$J$5,'IN-NX'!$D$7=D3935),"x","")</f>
        <v/>
      </c>
      <c r="AB3935" s="75" t="str">
        <f>IF(AND(OR(LEFT(TH!N3602,2)="15",LEFT(TH!O3602,2)="15"),LEFT(TH!O3602,3)&lt;&gt;"111",'152-CT'!$J$8=TH!F3602),"x","")</f>
        <v/>
      </c>
      <c r="AC3935" s="75" t="str">
        <f>IF(AND(OR(LEFT(TH!N3602,2)="15",LEFT(TH!O3602,2)="15"),TK!$E$7=TH!F3602),"x","")</f>
        <v/>
      </c>
      <c r="AD3935" s="75" t="str">
        <f>IF(AND(N3935="1521",MONTH(C3935)='BK-NL'!$M$11),"x","")</f>
        <v/>
      </c>
    </row>
    <row r="3936" spans="1:33" ht="16.5" customHeight="1">
      <c r="A3936" s="309" t="str">
        <f>IF(B3936&lt;&gt;"",IF(AND(B3936='IN-TC'!$S$4,OR(TH!N3934="1111",TH!O3934="1111")),TH!D3934,""),"")</f>
        <v/>
      </c>
      <c r="B3936" s="1241">
        <f t="shared" si="1308"/>
        <v>4</v>
      </c>
      <c r="C3936" s="292">
        <f t="shared" si="1307"/>
        <v>42844</v>
      </c>
      <c r="D3936" s="292" t="s">
        <v>1944</v>
      </c>
      <c r="E3936" s="292">
        <v>42844</v>
      </c>
      <c r="F3936" s="131" t="s">
        <v>1292</v>
      </c>
      <c r="G3936" s="742" t="s">
        <v>1295</v>
      </c>
      <c r="H3936" s="311" t="s">
        <v>893</v>
      </c>
      <c r="I3936" s="373"/>
      <c r="J3936" s="379"/>
      <c r="K3936" s="373"/>
      <c r="L3936" s="379"/>
      <c r="M3936" s="60">
        <v>175305</v>
      </c>
      <c r="N3936" s="61" t="s">
        <v>9</v>
      </c>
      <c r="O3936" s="934" t="s">
        <v>63</v>
      </c>
      <c r="P3936" s="75" t="str">
        <f>IF(AND('331-CT'!$E$7=TH!H3603,OR(N3936="331",O3936="331")),"x","")</f>
        <v/>
      </c>
      <c r="Q3936" s="75" t="str">
        <f>IF(AND(B3936='111'!$L$11,OR($N3936=$Q$7,$O3936=$Q$7)),"x","")</f>
        <v/>
      </c>
      <c r="R3936" s="75" t="str">
        <f>IF(AND($N3936=$Q$7,$B3936&lt;'111'!$L$11),"x","")</f>
        <v/>
      </c>
      <c r="S3936" s="75" t="str">
        <f>IF(AND($O3936=$Q$7,$B3936&lt;'111'!$L$11),"x","")</f>
        <v>x</v>
      </c>
      <c r="T3936" s="75" t="str">
        <f>IF(ISERROR(FIND('112'!$M$9,G3936,1)),"",IF((AND(FIND('112'!$M$9,G3936,1)&gt;=1,B3936='112'!$K$9,OR($N3936='112'!$I$6,$O3936='112'!$I$6))),"x",""))</f>
        <v/>
      </c>
      <c r="U3936" s="75" t="str">
        <f>IF(ISERROR(FIND('112'!$M$9,G3936,1)),"",IF((AND(LEFT(G3936,2)=LEFT('112'!$M$9,2),B3936&lt;'112'!$K$9,$N3936='112'!$I$6)),"x",""))</f>
        <v/>
      </c>
      <c r="V3936" s="75" t="str">
        <f>IF(ISERROR(FIND('112'!$M$9,G3936,1)),"",IF((AND(RIGHT(G3936,2)=RIGHT('112'!$M$9,2),B3936&lt;'112'!$K$9,$O3936='112'!$I$6)),"x",""))</f>
        <v/>
      </c>
      <c r="W3936" s="75" t="str">
        <f>IF(AND('341-CT'!$H$9=H3936,OR(LEFT(N3936,3)=$W$7,LEFT(O3936,3)=$W$7)),"x","")</f>
        <v/>
      </c>
      <c r="X3936" s="75" t="str">
        <f>IF(OR(TH!N3603=TH!$X$7,O3936=TH!$X$7),"x","")</f>
        <v/>
      </c>
      <c r="Y3936" s="75" t="str">
        <f>IF(AND(OR(N3936="131",O3936="131"),H3936='131-CT'!$H$9),"x","")</f>
        <v/>
      </c>
      <c r="Z3936" s="75"/>
      <c r="AA3936" s="75" t="str">
        <f>IF(AND(MONTH(E3936)='IN-NX'!$J$5,'IN-NX'!$D$7=D3936),"x","")</f>
        <v/>
      </c>
      <c r="AB3936" s="75" t="str">
        <f>IF(AND(OR(LEFT(TH!N3603,2)="15",LEFT(TH!O3603,2)="15"),LEFT(TH!O3603,3)&lt;&gt;"111",'152-CT'!$J$8=TH!F3603),"x","")</f>
        <v/>
      </c>
      <c r="AC3936" s="75" t="str">
        <f>IF(AND(OR(LEFT(TH!N3603,2)="15",LEFT(TH!O3603,2)="15"),TK!$E$7=TH!F3603),"x","")</f>
        <v/>
      </c>
      <c r="AD3936" s="75" t="str">
        <f>IF(AND(N3936="1521",MONTH(C3936)='BK-NL'!$M$11),"x","")</f>
        <v/>
      </c>
    </row>
    <row r="3937" spans="1:30" ht="16.5" customHeight="1">
      <c r="A3937" s="309" t="str">
        <f>IF(B3937&lt;&gt;"",IF(AND(B3937='IN-TC'!$S$4,OR(TH!N3935="1111",TH!O3935="1111")),TH!D3935,""),"")</f>
        <v/>
      </c>
      <c r="B3937" s="1241">
        <f t="shared" si="1308"/>
        <v>4</v>
      </c>
      <c r="C3937" s="292">
        <f t="shared" si="1307"/>
        <v>42844</v>
      </c>
      <c r="D3937" s="59" t="s">
        <v>902</v>
      </c>
      <c r="E3937" s="59">
        <v>42844</v>
      </c>
      <c r="F3937" s="1127" t="s">
        <v>1087</v>
      </c>
      <c r="G3937" s="62" t="s">
        <v>747</v>
      </c>
      <c r="H3937" s="67" t="s">
        <v>794</v>
      </c>
      <c r="I3937" s="373"/>
      <c r="J3937" s="379"/>
      <c r="K3937" s="373"/>
      <c r="L3937" s="379"/>
      <c r="M3937" s="60">
        <v>108275774</v>
      </c>
      <c r="N3937" s="61" t="s">
        <v>8</v>
      </c>
      <c r="O3937" s="61" t="s">
        <v>26</v>
      </c>
      <c r="P3937" s="75" t="str">
        <f>IF(AND('331-CT'!$E$7=TH!H5089,OR(N3937="331",O3937="331")),"x","")</f>
        <v/>
      </c>
      <c r="Q3937" s="75" t="str">
        <f>IF(AND(B3937='111'!$L$11,OR($N3937=$Q$7,$O3937=$Q$7)),"x","")</f>
        <v/>
      </c>
      <c r="R3937" s="75" t="str">
        <f>IF(AND($N3937=$Q$7,$B3937&lt;'111'!$L$11),"x","")</f>
        <v/>
      </c>
      <c r="S3937" s="75" t="str">
        <f>IF(AND($O3937=$Q$7,$B3937&lt;'111'!$L$11),"x","")</f>
        <v/>
      </c>
      <c r="T3937" s="75" t="str">
        <f>IF(ISERROR(FIND('112'!$M$9,G3937,1)),"",IF((AND(FIND('112'!$M$9,G3937,1)&gt;=1,B3937='112'!$K$9,OR($N3937='112'!$I$6,$O3937='112'!$I$6))),"x",""))</f>
        <v/>
      </c>
      <c r="U3937" s="75" t="str">
        <f>IF(ISERROR(FIND('112'!$M$9,G3937,1)),"",IF((AND(LEFT(G3937,2)=LEFT('112'!$M$9,2),B3937&lt;'112'!$K$9,$N3937='112'!$I$6)),"x",""))</f>
        <v/>
      </c>
      <c r="V3937" s="75" t="str">
        <f>IF(ISERROR(FIND('112'!$M$9,G3937,1)),"",IF((AND(RIGHT(G3937,2)=RIGHT('112'!$M$9,2),B3937&lt;'112'!$K$9,$O3937='112'!$I$6)),"x",""))</f>
        <v/>
      </c>
      <c r="W3937" s="75" t="str">
        <f>IF(AND('341-CT'!$H$9=H3937,OR(LEFT(N3937,3)=$W$7,LEFT(O3937,3)=$W$7)),"x","")</f>
        <v/>
      </c>
      <c r="X3937" s="75" t="str">
        <f>IF(OR(TH!N5089=TH!$X$7,O3937=TH!$X$7),"x","")</f>
        <v/>
      </c>
      <c r="Y3937" s="75" t="str">
        <f>IF(AND(OR(N3937="131",O3937="131"),H3937='131-CT'!$H$9),"x","")</f>
        <v/>
      </c>
      <c r="Z3937" s="75"/>
      <c r="AA3937" s="75" t="str">
        <f>IF(AND(MONTH(E3937)='IN-NX'!$J$5,'IN-NX'!$D$7=D3937),"x","")</f>
        <v/>
      </c>
      <c r="AB3937" s="75" t="str">
        <f>IF(AND(OR(LEFT(TH!N5089,2)="15",LEFT(TH!O5089,2)="15"),LEFT(TH!O5089,3)&lt;&gt;"111",'152-CT'!$J$8=TH!F5089),"x","")</f>
        <v/>
      </c>
      <c r="AC3937" s="75" t="str">
        <f>IF(AND(OR(LEFT(TH!N5089,2)="15",LEFT(TH!O5089,2)="15"),TK!$E$7=TH!F5089),"x","")</f>
        <v/>
      </c>
      <c r="AD3937" s="75" t="str">
        <f>IF(AND(N3937="1521",MONTH(C3937)='BK-NL'!$M$11),"x","")</f>
        <v/>
      </c>
    </row>
    <row r="3938" spans="1:30" ht="16.5" customHeight="1">
      <c r="A3938" s="309" t="str">
        <f>IF(B3938&lt;&gt;"",IF(AND(B3938='IN-TC'!$S$4,OR(TH!N3936="1111",TH!O3936="1111")),TH!D3936,""),"")</f>
        <v/>
      </c>
      <c r="B3938" s="1241">
        <f t="shared" si="1308"/>
        <v>4</v>
      </c>
      <c r="C3938" s="292">
        <f t="shared" si="1307"/>
        <v>42844</v>
      </c>
      <c r="D3938" s="59" t="s">
        <v>902</v>
      </c>
      <c r="E3938" s="59">
        <v>42844</v>
      </c>
      <c r="F3938" s="1127" t="s">
        <v>870</v>
      </c>
      <c r="G3938" s="62" t="s">
        <v>747</v>
      </c>
      <c r="H3938" s="311" t="s">
        <v>835</v>
      </c>
      <c r="I3938" s="373"/>
      <c r="J3938" s="379"/>
      <c r="K3938" s="373"/>
      <c r="L3938" s="379"/>
      <c r="M3938" s="60">
        <v>10000</v>
      </c>
      <c r="N3938" s="61" t="s">
        <v>101</v>
      </c>
      <c r="O3938" s="61" t="s">
        <v>26</v>
      </c>
      <c r="P3938" s="75" t="str">
        <f>IF(AND('331-CT'!$E$7=TH!H5090,OR(N3938="331",O3938="331")),"x","")</f>
        <v/>
      </c>
      <c r="Q3938" s="75" t="str">
        <f>IF(AND(B3938='111'!$L$11,OR($N3938=$Q$7,$O3938=$Q$7)),"x","")</f>
        <v/>
      </c>
      <c r="R3938" s="75" t="str">
        <f>IF(AND($N3938=$Q$7,$B3938&lt;'111'!$L$11),"x","")</f>
        <v/>
      </c>
      <c r="S3938" s="75" t="str">
        <f>IF(AND($O3938=$Q$7,$B3938&lt;'111'!$L$11),"x","")</f>
        <v/>
      </c>
      <c r="T3938" s="75" t="str">
        <f>IF(ISERROR(FIND('112'!$M$9,G3938,1)),"",IF((AND(FIND('112'!$M$9,G3938,1)&gt;=1,B3938='112'!$K$9,OR($N3938='112'!$I$6,$O3938='112'!$I$6))),"x",""))</f>
        <v/>
      </c>
      <c r="U3938" s="75" t="str">
        <f>IF(ISERROR(FIND('112'!$M$9,G3938,1)),"",IF((AND(LEFT(G3938,2)=LEFT('112'!$M$9,2),B3938&lt;'112'!$K$9,$N3938='112'!$I$6)),"x",""))</f>
        <v/>
      </c>
      <c r="V3938" s="75" t="str">
        <f>IF(ISERROR(FIND('112'!$M$9,G3938,1)),"",IF((AND(RIGHT(G3938,2)=RIGHT('112'!$M$9,2),B3938&lt;'112'!$K$9,$O3938='112'!$I$6)),"x",""))</f>
        <v/>
      </c>
      <c r="W3938" s="75" t="str">
        <f>IF(AND('341-CT'!$H$9=H3938,OR(LEFT(N3938,3)=$W$7,LEFT(O3938,3)=$W$7)),"x","")</f>
        <v/>
      </c>
      <c r="X3938" s="75" t="str">
        <f>IF(OR(TH!N5090=TH!$X$7,O3938=TH!$X$7),"x","")</f>
        <v/>
      </c>
      <c r="Y3938" s="75" t="str">
        <f>IF(AND(OR(N3938="131",O3938="131"),H3938='131-CT'!$H$9),"x","")</f>
        <v/>
      </c>
      <c r="Z3938" s="75"/>
      <c r="AA3938" s="75" t="str">
        <f>IF(AND(MONTH(E3938)='IN-NX'!$J$5,'IN-NX'!$D$7=D3938),"x","")</f>
        <v/>
      </c>
      <c r="AB3938" s="75" t="str">
        <f>IF(AND(OR(LEFT(TH!N5090,2)="15",LEFT(TH!O5090,2)="15"),LEFT(TH!O5090,3)&lt;&gt;"111",'152-CT'!$J$8=TH!F5090),"x","")</f>
        <v/>
      </c>
      <c r="AC3938" s="75" t="str">
        <f>IF(AND(OR(LEFT(TH!N5090,2)="15",LEFT(TH!O5090,2)="15"),TK!$E$7=TH!F5090),"x","")</f>
        <v/>
      </c>
      <c r="AD3938" s="75" t="str">
        <f>IF(AND(N3938="1521",MONTH(C3938)='BK-NL'!$M$11),"x","")</f>
        <v/>
      </c>
    </row>
    <row r="3939" spans="1:30" ht="16.5" customHeight="1">
      <c r="A3939" s="309" t="str">
        <f>IF(B3939&lt;&gt;"",IF(AND(B3939='IN-TC'!$S$4,OR(TH!N3937="1111",TH!O3937="1111")),TH!D3937,""),"")</f>
        <v/>
      </c>
      <c r="B3939" s="1241">
        <f t="shared" si="1308"/>
        <v>4</v>
      </c>
      <c r="C3939" s="292">
        <f t="shared" si="1307"/>
        <v>42844</v>
      </c>
      <c r="D3939" s="59" t="s">
        <v>902</v>
      </c>
      <c r="E3939" s="59">
        <v>42844</v>
      </c>
      <c r="F3939" s="1127" t="s">
        <v>898</v>
      </c>
      <c r="G3939" s="62" t="s">
        <v>747</v>
      </c>
      <c r="H3939" s="311" t="s">
        <v>835</v>
      </c>
      <c r="I3939" s="373"/>
      <c r="J3939" s="379"/>
      <c r="K3939" s="373"/>
      <c r="L3939" s="379"/>
      <c r="M3939" s="60">
        <v>1000</v>
      </c>
      <c r="N3939" s="61" t="s">
        <v>9</v>
      </c>
      <c r="O3939" s="61" t="s">
        <v>26</v>
      </c>
      <c r="P3939" s="75" t="str">
        <f>IF(AND('331-CT'!$E$7=TH!H5091,OR(N3939="331",O3939="331")),"x","")</f>
        <v/>
      </c>
      <c r="Q3939" s="75" t="str">
        <f>IF(AND(B3939='111'!$L$11,OR($N3939=$Q$7,$O3939=$Q$7)),"x","")</f>
        <v/>
      </c>
      <c r="R3939" s="75" t="str">
        <f>IF(AND($N3939=$Q$7,$B3939&lt;'111'!$L$11),"x","")</f>
        <v/>
      </c>
      <c r="S3939" s="75" t="str">
        <f>IF(AND($O3939=$Q$7,$B3939&lt;'111'!$L$11),"x","")</f>
        <v/>
      </c>
      <c r="T3939" s="75" t="str">
        <f>IF(ISERROR(FIND('112'!$M$9,G3939,1)),"",IF((AND(FIND('112'!$M$9,G3939,1)&gt;=1,B3939='112'!$K$9,OR($N3939='112'!$I$6,$O3939='112'!$I$6))),"x",""))</f>
        <v/>
      </c>
      <c r="U3939" s="75" t="str">
        <f>IF(ISERROR(FIND('112'!$M$9,G3939,1)),"",IF((AND(LEFT(G3939,2)=LEFT('112'!$M$9,2),B3939&lt;'112'!$K$9,$N3939='112'!$I$6)),"x",""))</f>
        <v/>
      </c>
      <c r="V3939" s="75" t="str">
        <f>IF(ISERROR(FIND('112'!$M$9,G3939,1)),"",IF((AND(RIGHT(G3939,2)=RIGHT('112'!$M$9,2),B3939&lt;'112'!$K$9,$O3939='112'!$I$6)),"x",""))</f>
        <v/>
      </c>
      <c r="W3939" s="75" t="str">
        <f>IF(AND('341-CT'!$H$9=H3939,OR(LEFT(N3939,3)=$W$7,LEFT(O3939,3)=$W$7)),"x","")</f>
        <v/>
      </c>
      <c r="X3939" s="75" t="str">
        <f>IF(OR(TH!N5091=TH!$X$7,O3939=TH!$X$7),"x","")</f>
        <v/>
      </c>
      <c r="Y3939" s="75" t="str">
        <f>IF(AND(OR(N3939="131",O3939="131"),H3939='131-CT'!$H$9),"x","")</f>
        <v/>
      </c>
      <c r="Z3939" s="75"/>
      <c r="AA3939" s="75" t="str">
        <f>IF(AND(MONTH(E3939)='IN-NX'!$J$5,'IN-NX'!$D$7=D3939),"x","")</f>
        <v/>
      </c>
      <c r="AB3939" s="75" t="str">
        <f>IF(AND(OR(LEFT(TH!N5091,2)="15",LEFT(TH!O5091,2)="15"),LEFT(TH!O5091,3)&lt;&gt;"111",'152-CT'!$J$8=TH!F5091),"x","")</f>
        <v/>
      </c>
      <c r="AC3939" s="75" t="str">
        <f>IF(AND(OR(LEFT(TH!N5091,2)="15",LEFT(TH!O5091,2)="15"),TK!$E$7=TH!F5091),"x","")</f>
        <v/>
      </c>
      <c r="AD3939" s="75" t="str">
        <f>IF(AND(N3939="1521",MONTH(C3939)='BK-NL'!$M$11),"x","")</f>
        <v/>
      </c>
    </row>
    <row r="3940" spans="1:30" ht="16.5" customHeight="1">
      <c r="A3940" s="309" t="str">
        <f>IF(B3940&lt;&gt;"",IF(AND(B3940='IN-TC'!$S$4,OR(TH!N3938="1111",TH!O3938="1111")),TH!D3938,""),"")</f>
        <v/>
      </c>
      <c r="B3940" s="1241">
        <f t="shared" si="1308"/>
        <v>4</v>
      </c>
      <c r="C3940" s="292">
        <f t="shared" si="1307"/>
        <v>42844</v>
      </c>
      <c r="D3940" s="59" t="s">
        <v>902</v>
      </c>
      <c r="E3940" s="59">
        <v>42844</v>
      </c>
      <c r="F3940" s="1127" t="s">
        <v>1203</v>
      </c>
      <c r="G3940" s="62" t="s">
        <v>747</v>
      </c>
      <c r="H3940" s="311" t="s">
        <v>835</v>
      </c>
      <c r="I3940" s="373"/>
      <c r="J3940" s="379"/>
      <c r="K3940" s="373"/>
      <c r="L3940" s="379"/>
      <c r="M3940" s="60">
        <v>228100</v>
      </c>
      <c r="N3940" s="61" t="s">
        <v>101</v>
      </c>
      <c r="O3940" s="61" t="s">
        <v>26</v>
      </c>
      <c r="P3940" s="75" t="str">
        <f>IF(AND('331-CT'!$E$7=TH!H5092,OR(N3940="331",O3940="331")),"x","")</f>
        <v/>
      </c>
      <c r="Q3940" s="75" t="str">
        <f>IF(AND(B3940='111'!$L$11,OR($N3940=$Q$7,$O3940=$Q$7)),"x","")</f>
        <v/>
      </c>
      <c r="R3940" s="75" t="str">
        <f>IF(AND($N3940=$Q$7,$B3940&lt;'111'!$L$11),"x","")</f>
        <v/>
      </c>
      <c r="S3940" s="75" t="str">
        <f>IF(AND($O3940=$Q$7,$B3940&lt;'111'!$L$11),"x","")</f>
        <v/>
      </c>
      <c r="T3940" s="75" t="str">
        <f>IF(ISERROR(FIND('112'!$M$9,G3940,1)),"",IF((AND(FIND('112'!$M$9,G3940,1)&gt;=1,B3940='112'!$K$9,OR($N3940='112'!$I$6,$O3940='112'!$I$6))),"x",""))</f>
        <v/>
      </c>
      <c r="U3940" s="75" t="str">
        <f>IF(ISERROR(FIND('112'!$M$9,G3940,1)),"",IF((AND(LEFT(G3940,2)=LEFT('112'!$M$9,2),B3940&lt;'112'!$K$9,$N3940='112'!$I$6)),"x",""))</f>
        <v/>
      </c>
      <c r="V3940" s="75" t="str">
        <f>IF(ISERROR(FIND('112'!$M$9,G3940,1)),"",IF((AND(RIGHT(G3940,2)=RIGHT('112'!$M$9,2),B3940&lt;'112'!$K$9,$O3940='112'!$I$6)),"x",""))</f>
        <v/>
      </c>
      <c r="W3940" s="75" t="str">
        <f>IF(AND('341-CT'!$H$9=H3940,OR(LEFT(N3940,3)=$W$7,LEFT(O3940,3)=$W$7)),"x","")</f>
        <v/>
      </c>
      <c r="X3940" s="75" t="str">
        <f>IF(OR(TH!N5092=TH!$X$7,O3940=TH!$X$7),"x","")</f>
        <v/>
      </c>
      <c r="Y3940" s="75" t="str">
        <f>IF(AND(OR(N3940="131",O3940="131"),H3940='131-CT'!$H$9),"x","")</f>
        <v/>
      </c>
      <c r="Z3940" s="75"/>
      <c r="AA3940" s="75" t="str">
        <f>IF(AND(MONTH(E3940)='IN-NX'!$J$5,'IN-NX'!$D$7=D3940),"x","")</f>
        <v/>
      </c>
      <c r="AB3940" s="75" t="str">
        <f>IF(AND(OR(LEFT(TH!N5092,2)="15",LEFT(TH!O5092,2)="15"),LEFT(TH!O5092,3)&lt;&gt;"111",'152-CT'!$J$8=TH!F5092),"x","")</f>
        <v/>
      </c>
      <c r="AC3940" s="75" t="str">
        <f>IF(AND(OR(LEFT(TH!N5092,2)="15",LEFT(TH!O5092,2)="15"),TK!$E$7=TH!F5092),"x","")</f>
        <v/>
      </c>
      <c r="AD3940" s="75" t="str">
        <f>IF(AND(N3940="1521",MONTH(C3940)='BK-NL'!$M$11),"x","")</f>
        <v/>
      </c>
    </row>
    <row r="3941" spans="1:30" ht="16.5" customHeight="1">
      <c r="A3941" s="309" t="str">
        <f>IF(B3941&lt;&gt;"",IF(AND(B3941='IN-TC'!$S$4,OR(TH!N3939="1111",TH!O3939="1111")),TH!D3939,""),"")</f>
        <v/>
      </c>
      <c r="B3941" s="1241">
        <f t="shared" si="1308"/>
        <v>4</v>
      </c>
      <c r="C3941" s="292">
        <f t="shared" si="1307"/>
        <v>42845</v>
      </c>
      <c r="D3941" s="292" t="s">
        <v>846</v>
      </c>
      <c r="E3941" s="292">
        <v>42845</v>
      </c>
      <c r="F3941" s="1127" t="s">
        <v>834</v>
      </c>
      <c r="G3941" s="943" t="s">
        <v>747</v>
      </c>
      <c r="H3941" s="67" t="s">
        <v>1023</v>
      </c>
      <c r="I3941" s="373"/>
      <c r="J3941" s="926"/>
      <c r="K3941" s="373"/>
      <c r="L3941" s="379"/>
      <c r="M3941" s="927">
        <v>6050000000</v>
      </c>
      <c r="N3941" s="295" t="s">
        <v>63</v>
      </c>
      <c r="O3941" s="295" t="s">
        <v>26</v>
      </c>
      <c r="P3941" s="75" t="str">
        <f>IF(AND('331-CT'!$E$7=TH!H5093,OR(N3941="331",O3941="331")),"x","")</f>
        <v/>
      </c>
      <c r="Q3941" s="75" t="str">
        <f>IF(AND(B3941='111'!$L$11,OR($N3941=$Q$7,$O3941=$Q$7)),"x","")</f>
        <v/>
      </c>
      <c r="R3941" s="75" t="str">
        <f>IF(AND($N3941=$Q$7,$B3941&lt;'111'!$L$11),"x","")</f>
        <v>x</v>
      </c>
      <c r="S3941" s="75" t="str">
        <f>IF(AND($O3941=$Q$7,$B3941&lt;'111'!$L$11),"x","")</f>
        <v/>
      </c>
      <c r="T3941" s="75" t="str">
        <f>IF(ISERROR(FIND('112'!$M$9,G3941,1)),"",IF((AND(FIND('112'!$M$9,G3941,1)&gt;=1,B3941='112'!$K$9,OR($N3941='112'!$I$6,$O3941='112'!$I$6))),"x",""))</f>
        <v/>
      </c>
      <c r="U3941" s="75" t="str">
        <f>IF(ISERROR(FIND('112'!$M$9,G3941,1)),"",IF((AND(LEFT(G3941,2)=LEFT('112'!$M$9,2),B3941&lt;'112'!$K$9,$N3941='112'!$I$6)),"x",""))</f>
        <v/>
      </c>
      <c r="V3941" s="75" t="str">
        <f>IF(ISERROR(FIND('112'!$M$9,G3941,1)),"",IF((AND(RIGHT(G3941,2)=RIGHT('112'!$M$9,2),B3941&lt;'112'!$K$9,$O3941='112'!$I$6)),"x",""))</f>
        <v/>
      </c>
      <c r="W3941" s="75" t="str">
        <f>IF(AND('341-CT'!$H$9=H3941,OR(LEFT(N3941,3)=$W$7,LEFT(O3941,3)=$W$7)),"x","")</f>
        <v/>
      </c>
      <c r="X3941" s="75" t="str">
        <f>IF(OR(TH!N5093=TH!$X$7,O3941=TH!$X$7),"x","")</f>
        <v/>
      </c>
      <c r="Y3941" s="75" t="str">
        <f>IF(AND(OR(N3941="131",O3941="131"),H3941='131-CT'!$H$9),"x","")</f>
        <v/>
      </c>
      <c r="Z3941" s="75"/>
      <c r="AA3941" s="75" t="str">
        <f>IF(AND(MONTH(E3941)='IN-NX'!$J$5,'IN-NX'!$D$7=D3941),"x","")</f>
        <v/>
      </c>
      <c r="AB3941" s="75" t="str">
        <f>IF(AND(OR(LEFT(TH!N5093,2)="15",LEFT(TH!O5093,2)="15"),LEFT(TH!O5093,3)&lt;&gt;"111",'152-CT'!$J$8=TH!F5093),"x","")</f>
        <v/>
      </c>
      <c r="AC3941" s="75" t="str">
        <f>IF(AND(OR(LEFT(TH!N5093,2)="15",LEFT(TH!O5093,2)="15"),TK!$E$7=TH!F5093),"x","")</f>
        <v/>
      </c>
      <c r="AD3941" s="75" t="str">
        <f>IF(AND(N3941="1521",MONTH(C3941)='BK-NL'!$M$11),"x","")</f>
        <v/>
      </c>
    </row>
    <row r="3942" spans="1:30" ht="16.5" customHeight="1">
      <c r="A3942" s="309" t="str">
        <f>IF(B3942&lt;&gt;"",IF(AND(B3942='IN-TC'!$S$4,OR(TH!N3940="1111",TH!O3940="1111")),TH!D3940,""),"")</f>
        <v/>
      </c>
      <c r="B3942" s="1241">
        <f t="shared" si="1308"/>
        <v>4</v>
      </c>
      <c r="C3942" s="292">
        <f t="shared" si="1307"/>
        <v>42845</v>
      </c>
      <c r="D3942" s="292" t="s">
        <v>850</v>
      </c>
      <c r="E3942" s="292">
        <v>42845</v>
      </c>
      <c r="F3942" s="1127" t="s">
        <v>834</v>
      </c>
      <c r="G3942" s="943" t="s">
        <v>747</v>
      </c>
      <c r="H3942" s="67" t="s">
        <v>1023</v>
      </c>
      <c r="I3942" s="373"/>
      <c r="J3942" s="926"/>
      <c r="K3942" s="373"/>
      <c r="L3942" s="379"/>
      <c r="M3942" s="927">
        <v>420000000</v>
      </c>
      <c r="N3942" s="295" t="s">
        <v>63</v>
      </c>
      <c r="O3942" s="295" t="s">
        <v>26</v>
      </c>
      <c r="P3942" s="75" t="str">
        <f>IF(AND('331-CT'!$E$7=TH!H5094,OR(N3942="331",O3942="331")),"x","")</f>
        <v/>
      </c>
      <c r="Q3942" s="75" t="str">
        <f>IF(AND(B3942='111'!$L$11,OR($N3942=$Q$7,$O3942=$Q$7)),"x","")</f>
        <v/>
      </c>
      <c r="R3942" s="75" t="str">
        <f>IF(AND($N3942=$Q$7,$B3942&lt;'111'!$L$11),"x","")</f>
        <v>x</v>
      </c>
      <c r="S3942" s="75" t="str">
        <f>IF(AND($O3942=$Q$7,$B3942&lt;'111'!$L$11),"x","")</f>
        <v/>
      </c>
      <c r="T3942" s="75" t="str">
        <f>IF(ISERROR(FIND('112'!$M$9,G3942,1)),"",IF((AND(FIND('112'!$M$9,G3942,1)&gt;=1,B3942='112'!$K$9,OR($N3942='112'!$I$6,$O3942='112'!$I$6))),"x",""))</f>
        <v/>
      </c>
      <c r="U3942" s="75" t="str">
        <f>IF(ISERROR(FIND('112'!$M$9,G3942,1)),"",IF((AND(LEFT(G3942,2)=LEFT('112'!$M$9,2),B3942&lt;'112'!$K$9,$N3942='112'!$I$6)),"x",""))</f>
        <v/>
      </c>
      <c r="V3942" s="75" t="str">
        <f>IF(ISERROR(FIND('112'!$M$9,G3942,1)),"",IF((AND(RIGHT(G3942,2)=RIGHT('112'!$M$9,2),B3942&lt;'112'!$K$9,$O3942='112'!$I$6)),"x",""))</f>
        <v/>
      </c>
      <c r="W3942" s="75" t="str">
        <f>IF(AND('341-CT'!$H$9=H3942,OR(LEFT(N3942,3)=$W$7,LEFT(O3942,3)=$W$7)),"x","")</f>
        <v/>
      </c>
      <c r="X3942" s="75" t="str">
        <f>IF(OR(TH!N5094=TH!$X$7,O3942=TH!$X$7),"x","")</f>
        <v/>
      </c>
      <c r="Y3942" s="75" t="str">
        <f>IF(AND(OR(N3942="131",O3942="131"),H3942='131-CT'!$H$9),"x","")</f>
        <v/>
      </c>
      <c r="Z3942" s="75"/>
      <c r="AA3942" s="75" t="str">
        <f>IF(AND(MONTH(E3942)='IN-NX'!$J$5,'IN-NX'!$D$7=D3942),"x","")</f>
        <v/>
      </c>
      <c r="AB3942" s="75" t="str">
        <f>IF(AND(OR(LEFT(TH!N5094,2)="15",LEFT(TH!O5094,2)="15"),LEFT(TH!O5094,3)&lt;&gt;"111",'152-CT'!$J$8=TH!F5094),"x","")</f>
        <v/>
      </c>
      <c r="AC3942" s="75" t="str">
        <f>IF(AND(OR(LEFT(TH!N5094,2)="15",LEFT(TH!O5094,2)="15"),TK!$E$7=TH!F5094),"x","")</f>
        <v/>
      </c>
      <c r="AD3942" s="75" t="str">
        <f>IF(AND(N3942="1521",MONTH(C3942)='BK-NL'!$M$11),"x","")</f>
        <v/>
      </c>
    </row>
    <row r="3943" spans="1:30" ht="16.5" customHeight="1">
      <c r="A3943" s="309" t="str">
        <f>IF(B3943&lt;&gt;"",IF(AND(B3943='IN-TC'!$S$4,OR(TH!N3941="1111",TH!O3941="1111")),TH!D3941,""),"")</f>
        <v/>
      </c>
      <c r="B3943" s="1241">
        <f t="shared" si="1308"/>
        <v>4</v>
      </c>
      <c r="C3943" s="292">
        <f t="shared" si="1307"/>
        <v>42845</v>
      </c>
      <c r="D3943" s="292" t="s">
        <v>1947</v>
      </c>
      <c r="E3943" s="292">
        <v>42845</v>
      </c>
      <c r="F3943" s="131" t="s">
        <v>1460</v>
      </c>
      <c r="G3943" s="62" t="s">
        <v>1462</v>
      </c>
      <c r="H3943" s="311" t="s">
        <v>962</v>
      </c>
      <c r="I3943" s="373"/>
      <c r="J3943" s="379"/>
      <c r="K3943" s="373"/>
      <c r="L3943" s="379"/>
      <c r="M3943" s="60">
        <v>1460000</v>
      </c>
      <c r="N3943" s="61" t="s">
        <v>101</v>
      </c>
      <c r="O3943" s="934" t="s">
        <v>63</v>
      </c>
      <c r="P3943" s="75" t="str">
        <f>IF(AND('331-CT'!$E$7=TH!H3604,OR(N3943="331",O3943="331")),"x","")</f>
        <v/>
      </c>
      <c r="Q3943" s="75" t="str">
        <f>IF(AND(B3943='111'!$L$11,OR($N3943=$Q$7,$O3943=$Q$7)),"x","")</f>
        <v/>
      </c>
      <c r="R3943" s="75" t="str">
        <f>IF(AND($N3943=$Q$7,$B3943&lt;'111'!$L$11),"x","")</f>
        <v/>
      </c>
      <c r="S3943" s="75" t="str">
        <f>IF(AND($O3943=$Q$7,$B3943&lt;'111'!$L$11),"x","")</f>
        <v>x</v>
      </c>
      <c r="T3943" s="75" t="str">
        <f>IF(ISERROR(FIND('112'!$M$9,G3943,1)),"",IF((AND(FIND('112'!$M$9,G3943,1)&gt;=1,B3943='112'!$K$9,OR($N3943='112'!$I$6,$O3943='112'!$I$6))),"x",""))</f>
        <v/>
      </c>
      <c r="U3943" s="75" t="str">
        <f>IF(ISERROR(FIND('112'!$M$9,G3943,1)),"",IF((AND(LEFT(G3943,2)=LEFT('112'!$M$9,2),B3943&lt;'112'!$K$9,$N3943='112'!$I$6)),"x",""))</f>
        <v/>
      </c>
      <c r="V3943" s="75" t="str">
        <f>IF(ISERROR(FIND('112'!$M$9,G3943,1)),"",IF((AND(RIGHT(G3943,2)=RIGHT('112'!$M$9,2),B3943&lt;'112'!$K$9,$O3943='112'!$I$6)),"x",""))</f>
        <v/>
      </c>
      <c r="W3943" s="75" t="str">
        <f>IF(AND('341-CT'!$H$9=H3943,OR(LEFT(N3943,3)=$W$7,LEFT(O3943,3)=$W$7)),"x","")</f>
        <v/>
      </c>
      <c r="X3943" s="75" t="str">
        <f>IF(OR(TH!N3604=TH!$X$7,O3943=TH!$X$7),"x","")</f>
        <v/>
      </c>
      <c r="Y3943" s="75" t="str">
        <f>IF(AND(OR(N3943="131",O3943="131"),H3943='131-CT'!$H$9),"x","")</f>
        <v/>
      </c>
      <c r="Z3943" s="75"/>
      <c r="AA3943" s="75" t="str">
        <f>IF(AND(MONTH(E3943)='IN-NX'!$J$5,'IN-NX'!$D$7=D3943),"x","")</f>
        <v/>
      </c>
      <c r="AB3943" s="75" t="str">
        <f>IF(AND(OR(LEFT(TH!N3604,2)="15",LEFT(TH!O3604,2)="15"),LEFT(TH!O3604,3)&lt;&gt;"111",'152-CT'!$J$8=TH!F3604),"x","")</f>
        <v/>
      </c>
      <c r="AC3943" s="75" t="str">
        <f>IF(AND(OR(LEFT(TH!N3604,2)="15",LEFT(TH!O3604,2)="15"),TK!$E$7=TH!F3604),"x","")</f>
        <v/>
      </c>
      <c r="AD3943" s="75" t="str">
        <f>IF(AND(N3943="1521",MONTH(C3943)='BK-NL'!$M$11),"x","")</f>
        <v/>
      </c>
    </row>
    <row r="3944" spans="1:30" ht="16.5" customHeight="1">
      <c r="A3944" s="309" t="str">
        <f>IF(B3944&lt;&gt;"",IF(AND(B3944='IN-TC'!$S$4,OR(TH!N3942="1111",TH!O3942="1111")),TH!D3942,""),"")</f>
        <v/>
      </c>
      <c r="B3944" s="1241">
        <f t="shared" si="1308"/>
        <v>4</v>
      </c>
      <c r="C3944" s="292">
        <f t="shared" si="1307"/>
        <v>42845</v>
      </c>
      <c r="D3944" s="292" t="s">
        <v>1947</v>
      </c>
      <c r="E3944" s="292">
        <v>42845</v>
      </c>
      <c r="F3944" s="131" t="s">
        <v>1461</v>
      </c>
      <c r="G3944" s="62" t="s">
        <v>1462</v>
      </c>
      <c r="H3944" s="311" t="s">
        <v>962</v>
      </c>
      <c r="I3944" s="373"/>
      <c r="J3944" s="379"/>
      <c r="K3944" s="373"/>
      <c r="L3944" s="379"/>
      <c r="M3944" s="60">
        <v>146000</v>
      </c>
      <c r="N3944" s="61" t="s">
        <v>9</v>
      </c>
      <c r="O3944" s="934" t="s">
        <v>63</v>
      </c>
      <c r="P3944" s="75" t="str">
        <f>IF(AND('331-CT'!$E$7=TH!H3605,OR(N3944="331",O3944="331")),"x","")</f>
        <v/>
      </c>
      <c r="Q3944" s="75" t="str">
        <f>IF(AND(B3944='111'!$L$11,OR($N3944=$Q$7,$O3944=$Q$7)),"x","")</f>
        <v/>
      </c>
      <c r="R3944" s="75" t="str">
        <f>IF(AND($N3944=$Q$7,$B3944&lt;'111'!$L$11),"x","")</f>
        <v/>
      </c>
      <c r="S3944" s="75" t="str">
        <f>IF(AND($O3944=$Q$7,$B3944&lt;'111'!$L$11),"x","")</f>
        <v>x</v>
      </c>
      <c r="T3944" s="75" t="str">
        <f>IF(ISERROR(FIND('112'!$M$9,G3944,1)),"",IF((AND(FIND('112'!$M$9,G3944,1)&gt;=1,B3944='112'!$K$9,OR($N3944='112'!$I$6,$O3944='112'!$I$6))),"x",""))</f>
        <v/>
      </c>
      <c r="U3944" s="75" t="str">
        <f>IF(ISERROR(FIND('112'!$M$9,G3944,1)),"",IF((AND(LEFT(G3944,2)=LEFT('112'!$M$9,2),B3944&lt;'112'!$K$9,$N3944='112'!$I$6)),"x",""))</f>
        <v/>
      </c>
      <c r="V3944" s="75" t="str">
        <f>IF(ISERROR(FIND('112'!$M$9,G3944,1)),"",IF((AND(RIGHT(G3944,2)=RIGHT('112'!$M$9,2),B3944&lt;'112'!$K$9,$O3944='112'!$I$6)),"x",""))</f>
        <v/>
      </c>
      <c r="W3944" s="75" t="str">
        <f>IF(AND('341-CT'!$H$9=H3944,OR(LEFT(N3944,3)=$W$7,LEFT(O3944,3)=$W$7)),"x","")</f>
        <v/>
      </c>
      <c r="X3944" s="75" t="str">
        <f>IF(OR(TH!N3605=TH!$X$7,O3944=TH!$X$7),"x","")</f>
        <v/>
      </c>
      <c r="Y3944" s="75" t="str">
        <f>IF(AND(OR(N3944="131",O3944="131"),H3944='131-CT'!$H$9),"x","")</f>
        <v/>
      </c>
      <c r="Z3944" s="75"/>
      <c r="AA3944" s="75" t="str">
        <f>IF(AND(MONTH(E3944)='IN-NX'!$J$5,'IN-NX'!$D$7=D3944),"x","")</f>
        <v/>
      </c>
      <c r="AB3944" s="75" t="str">
        <f>IF(AND(OR(LEFT(TH!N3605,2)="15",LEFT(TH!O3605,2)="15"),LEFT(TH!O3605,3)&lt;&gt;"111",'152-CT'!$J$8=TH!F3605),"x","")</f>
        <v/>
      </c>
      <c r="AC3944" s="75" t="str">
        <f>IF(AND(OR(LEFT(TH!N3605,2)="15",LEFT(TH!O3605,2)="15"),TK!$E$7=TH!F3605),"x","")</f>
        <v/>
      </c>
      <c r="AD3944" s="75" t="str">
        <f>IF(AND(N3944="1521",MONTH(C3944)='BK-NL'!$M$11),"x","")</f>
        <v/>
      </c>
    </row>
    <row r="3945" spans="1:30" ht="16.5" customHeight="1">
      <c r="A3945" s="309" t="str">
        <f>IF(B3945&lt;&gt;"",IF(AND(B3945='IN-TC'!$S$4,OR(TH!N3943="1111",TH!O3943="1111")),TH!D3943,""),"")</f>
        <v/>
      </c>
      <c r="B3945" s="1241">
        <f t="shared" si="1308"/>
        <v>4</v>
      </c>
      <c r="C3945" s="292">
        <f t="shared" si="1307"/>
        <v>42845</v>
      </c>
      <c r="D3945" s="292" t="s">
        <v>1948</v>
      </c>
      <c r="E3945" s="292">
        <v>42845</v>
      </c>
      <c r="F3945" s="1127" t="s">
        <v>885</v>
      </c>
      <c r="G3945" s="62" t="s">
        <v>747</v>
      </c>
      <c r="H3945" s="311" t="s">
        <v>1023</v>
      </c>
      <c r="I3945" s="373"/>
      <c r="J3945" s="379"/>
      <c r="K3945" s="373"/>
      <c r="L3945" s="379"/>
      <c r="M3945" s="60">
        <v>3620000000</v>
      </c>
      <c r="N3945" s="61" t="s">
        <v>26</v>
      </c>
      <c r="O3945" s="295" t="s">
        <v>63</v>
      </c>
      <c r="P3945" s="75" t="str">
        <f>IF(AND('331-CT'!$E$7=TH!H5088,OR(N3945="331",O3945="331")),"x","")</f>
        <v/>
      </c>
      <c r="Q3945" s="75" t="str">
        <f>IF(AND(B3945='111'!$L$11,OR($N3945=$Q$7,$O3945=$Q$7)),"x","")</f>
        <v/>
      </c>
      <c r="R3945" s="75" t="str">
        <f>IF(AND($N3945=$Q$7,$B3945&lt;'111'!$L$11),"x","")</f>
        <v/>
      </c>
      <c r="S3945" s="75" t="str">
        <f>IF(AND($O3945=$Q$7,$B3945&lt;'111'!$L$11),"x","")</f>
        <v>x</v>
      </c>
      <c r="T3945" s="75" t="str">
        <f>IF(ISERROR(FIND('112'!$M$9,G3945,1)),"",IF((AND(FIND('112'!$M$9,G3945,1)&gt;=1,B3945='112'!$K$9,OR($N3945='112'!$I$6,$O3945='112'!$I$6))),"x",""))</f>
        <v/>
      </c>
      <c r="U3945" s="75" t="str">
        <f>IF(ISERROR(FIND('112'!$M$9,G3945,1)),"",IF((AND(LEFT(G3945,2)=LEFT('112'!$M$9,2),B3945&lt;'112'!$K$9,$N3945='112'!$I$6)),"x",""))</f>
        <v/>
      </c>
      <c r="V3945" s="75" t="str">
        <f>IF(ISERROR(FIND('112'!$M$9,G3945,1)),"",IF((AND(RIGHT(G3945,2)=RIGHT('112'!$M$9,2),B3945&lt;'112'!$K$9,$O3945='112'!$I$6)),"x",""))</f>
        <v/>
      </c>
      <c r="W3945" s="75" t="str">
        <f>IF(AND('341-CT'!$H$9=H3945,OR(LEFT(N3945,3)=$W$7,LEFT(O3945,3)=$W$7)),"x","")</f>
        <v/>
      </c>
      <c r="X3945" s="75" t="str">
        <f>IF(OR(TH!N5088=TH!$X$7,O3945=TH!$X$7),"x","")</f>
        <v/>
      </c>
      <c r="Y3945" s="75" t="str">
        <f>IF(AND(OR(N3945="131",O3945="131"),H3945='131-CT'!$H$9),"x","")</f>
        <v/>
      </c>
      <c r="Z3945" s="75"/>
      <c r="AA3945" s="75" t="str">
        <f>IF(AND(MONTH(E3945)='IN-NX'!$J$5,'IN-NX'!$D$7=D3945),"x","")</f>
        <v/>
      </c>
      <c r="AB3945" s="75" t="str">
        <f>IF(AND(OR(LEFT(TH!N5088,2)="15",LEFT(TH!O5088,2)="15"),LEFT(TH!O5088,3)&lt;&gt;"111",'152-CT'!$J$8=TH!F5088),"x","")</f>
        <v/>
      </c>
      <c r="AC3945" s="75" t="str">
        <f>IF(AND(OR(LEFT(TH!N5088,2)="15",LEFT(TH!O5088,2)="15"),TK!$E$7=TH!F5088),"x","")</f>
        <v/>
      </c>
      <c r="AD3945" s="75" t="str">
        <f>IF(AND(N3945="1521",MONTH(C3945)='BK-NL'!$M$11),"x","")</f>
        <v/>
      </c>
    </row>
    <row r="3946" spans="1:30" ht="16.5" customHeight="1">
      <c r="A3946" s="309" t="str">
        <f>IF(B3946&lt;&gt;"",IF(AND(B3946='IN-TC'!$S$4,OR(TH!N3944="1111",TH!O3944="1111")),TH!D3944,""),"")</f>
        <v/>
      </c>
      <c r="B3946" s="1241">
        <f t="shared" si="1308"/>
        <v>4</v>
      </c>
      <c r="C3946" s="292">
        <f t="shared" si="1307"/>
        <v>42845</v>
      </c>
      <c r="D3946" s="59" t="s">
        <v>902</v>
      </c>
      <c r="E3946" s="59">
        <v>42845</v>
      </c>
      <c r="F3946" s="1127" t="s">
        <v>1203</v>
      </c>
      <c r="G3946" s="62" t="s">
        <v>747</v>
      </c>
      <c r="H3946" s="311" t="s">
        <v>835</v>
      </c>
      <c r="I3946" s="373"/>
      <c r="J3946" s="379"/>
      <c r="K3946" s="373"/>
      <c r="L3946" s="379"/>
      <c r="M3946" s="60">
        <v>227800</v>
      </c>
      <c r="N3946" s="61" t="s">
        <v>101</v>
      </c>
      <c r="O3946" s="61" t="s">
        <v>26</v>
      </c>
      <c r="P3946" s="75" t="str">
        <f>IF(AND('331-CT'!$E$7=TH!H5095,OR(N3946="331",O3946="331")),"x","")</f>
        <v/>
      </c>
      <c r="Q3946" s="75" t="str">
        <f>IF(AND(B3946='111'!$L$11,OR($N3946=$Q$7,$O3946=$Q$7)),"x","")</f>
        <v/>
      </c>
      <c r="R3946" s="75" t="str">
        <f>IF(AND($N3946=$Q$7,$B3946&lt;'111'!$L$11),"x","")</f>
        <v/>
      </c>
      <c r="S3946" s="75" t="str">
        <f>IF(AND($O3946=$Q$7,$B3946&lt;'111'!$L$11),"x","")</f>
        <v/>
      </c>
      <c r="T3946" s="75" t="str">
        <f>IF(ISERROR(FIND('112'!$M$9,G3946,1)),"",IF((AND(FIND('112'!$M$9,G3946,1)&gt;=1,B3946='112'!$K$9,OR($N3946='112'!$I$6,$O3946='112'!$I$6))),"x",""))</f>
        <v/>
      </c>
      <c r="U3946" s="75" t="str">
        <f>IF(ISERROR(FIND('112'!$M$9,G3946,1)),"",IF((AND(LEFT(G3946,2)=LEFT('112'!$M$9,2),B3946&lt;'112'!$K$9,$N3946='112'!$I$6)),"x",""))</f>
        <v/>
      </c>
      <c r="V3946" s="75" t="str">
        <f>IF(ISERROR(FIND('112'!$M$9,G3946,1)),"",IF((AND(RIGHT(G3946,2)=RIGHT('112'!$M$9,2),B3946&lt;'112'!$K$9,$O3946='112'!$I$6)),"x",""))</f>
        <v/>
      </c>
      <c r="W3946" s="75" t="str">
        <f>IF(AND('341-CT'!$H$9=H3946,OR(LEFT(N3946,3)=$W$7,LEFT(O3946,3)=$W$7)),"x","")</f>
        <v/>
      </c>
      <c r="X3946" s="75" t="str">
        <f>IF(OR(TH!N5095=TH!$X$7,O3946=TH!$X$7),"x","")</f>
        <v/>
      </c>
      <c r="Y3946" s="75" t="str">
        <f>IF(AND(OR(N3946="131",O3946="131"),H3946='131-CT'!$H$9),"x","")</f>
        <v/>
      </c>
      <c r="Z3946" s="75"/>
      <c r="AA3946" s="75" t="str">
        <f>IF(AND(MONTH(E3946)='IN-NX'!$J$5,'IN-NX'!$D$7=D3946),"x","")</f>
        <v/>
      </c>
      <c r="AB3946" s="75" t="str">
        <f>IF(AND(OR(LEFT(TH!N5095,2)="15",LEFT(TH!O5095,2)="15"),LEFT(TH!O5095,3)&lt;&gt;"111",'152-CT'!$J$8=TH!F5095),"x","")</f>
        <v/>
      </c>
      <c r="AC3946" s="75" t="str">
        <f>IF(AND(OR(LEFT(TH!N5095,2)="15",LEFT(TH!O5095,2)="15"),TK!$E$7=TH!F5095),"x","")</f>
        <v/>
      </c>
      <c r="AD3946" s="75" t="str">
        <f>IF(AND(N3946="1521",MONTH(C3946)='BK-NL'!$M$11),"x","")</f>
        <v/>
      </c>
    </row>
    <row r="3947" spans="1:30" ht="18" customHeight="1">
      <c r="A3947" s="309" t="str">
        <f>IF(B3947&lt;&gt;"",IF(AND(B3947='IN-TC'!$S$4,OR(TH!N3945="1111",TH!O3945="1111")),TH!D3945,""),"")</f>
        <v/>
      </c>
      <c r="B3947" s="1241">
        <f t="shared" si="1308"/>
        <v>4</v>
      </c>
      <c r="C3947" s="292">
        <f t="shared" si="1307"/>
        <v>42845</v>
      </c>
      <c r="D3947" s="59" t="s">
        <v>902</v>
      </c>
      <c r="E3947" s="59">
        <v>42845</v>
      </c>
      <c r="F3947" s="1127" t="s">
        <v>1205</v>
      </c>
      <c r="G3947" s="62" t="s">
        <v>747</v>
      </c>
      <c r="H3947" s="311" t="s">
        <v>835</v>
      </c>
      <c r="I3947" s="373"/>
      <c r="J3947" s="379"/>
      <c r="K3947" s="373"/>
      <c r="L3947" s="379"/>
      <c r="M3947" s="60">
        <v>22780</v>
      </c>
      <c r="N3947" s="61" t="s">
        <v>9</v>
      </c>
      <c r="O3947" s="61" t="s">
        <v>26</v>
      </c>
      <c r="P3947" s="75" t="str">
        <f>IF(AND('331-CT'!$E$7=TH!H5096,OR(N3947="331",O3947="331")),"x","")</f>
        <v/>
      </c>
      <c r="Q3947" s="75" t="str">
        <f>IF(AND(B3947='111'!$L$11,OR($N3947=$Q$7,$O3947=$Q$7)),"x","")</f>
        <v/>
      </c>
      <c r="R3947" s="75" t="str">
        <f>IF(AND($N3947=$Q$7,$B3947&lt;'111'!$L$11),"x","")</f>
        <v/>
      </c>
      <c r="S3947" s="75" t="str">
        <f>IF(AND($O3947=$Q$7,$B3947&lt;'111'!$L$11),"x","")</f>
        <v/>
      </c>
      <c r="T3947" s="75" t="str">
        <f>IF(ISERROR(FIND('112'!$M$9,G3947,1)),"",IF((AND(FIND('112'!$M$9,G3947,1)&gt;=1,B3947='112'!$K$9,OR($N3947='112'!$I$6,$O3947='112'!$I$6))),"x",""))</f>
        <v/>
      </c>
      <c r="U3947" s="75" t="str">
        <f>IF(ISERROR(FIND('112'!$M$9,G3947,1)),"",IF((AND(LEFT(G3947,2)=LEFT('112'!$M$9,2),B3947&lt;'112'!$K$9,$N3947='112'!$I$6)),"x",""))</f>
        <v/>
      </c>
      <c r="V3947" s="75" t="str">
        <f>IF(ISERROR(FIND('112'!$M$9,G3947,1)),"",IF((AND(RIGHT(G3947,2)=RIGHT('112'!$M$9,2),B3947&lt;'112'!$K$9,$O3947='112'!$I$6)),"x",""))</f>
        <v/>
      </c>
      <c r="W3947" s="75" t="str">
        <f>IF(AND('341-CT'!$H$9=H3947,OR(LEFT(N3947,3)=$W$7,LEFT(O3947,3)=$W$7)),"x","")</f>
        <v/>
      </c>
      <c r="X3947" s="75" t="str">
        <f>IF(OR(TH!N5096=TH!$X$7,O3947=TH!$X$7),"x","")</f>
        <v/>
      </c>
      <c r="Y3947" s="75" t="str">
        <f>IF(AND(OR(N3947="131",O3947="131"),H3947='131-CT'!$H$9),"x","")</f>
        <v/>
      </c>
      <c r="Z3947" s="75"/>
      <c r="AA3947" s="75" t="str">
        <f>IF(AND(MONTH(E3947)='IN-NX'!$J$5,'IN-NX'!$D$7=D3947),"x","")</f>
        <v/>
      </c>
      <c r="AB3947" s="75" t="str">
        <f>IF(AND(OR(LEFT(TH!N5096,2)="15",LEFT(TH!O5096,2)="15"),LEFT(TH!O5096,3)&lt;&gt;"111",'152-CT'!$J$8=TH!F5096),"x","")</f>
        <v/>
      </c>
      <c r="AC3947" s="75" t="str">
        <f>IF(AND(OR(LEFT(TH!N5096,2)="15",LEFT(TH!O5096,2)="15"),TK!$E$7=TH!F5096),"x","")</f>
        <v/>
      </c>
      <c r="AD3947" s="75" t="str">
        <f>IF(AND(N3947="1521",MONTH(C3947)='BK-NL'!$M$11),"x","")</f>
        <v/>
      </c>
    </row>
    <row r="3948" spans="1:30" ht="16.5" customHeight="1">
      <c r="A3948" s="309" t="str">
        <f>IF(B3948&lt;&gt;"",IF(AND(B3948='IN-TC'!$S$4,OR(TH!N3946="1111",TH!O3946="1111")),TH!D3946,""),"")</f>
        <v/>
      </c>
      <c r="B3948" s="1241">
        <f t="shared" si="1308"/>
        <v>4</v>
      </c>
      <c r="C3948" s="292">
        <f t="shared" si="1307"/>
        <v>42845</v>
      </c>
      <c r="D3948" s="59" t="s">
        <v>902</v>
      </c>
      <c r="E3948" s="59">
        <v>42845</v>
      </c>
      <c r="F3948" s="1127" t="s">
        <v>1203</v>
      </c>
      <c r="G3948" s="62" t="s">
        <v>747</v>
      </c>
      <c r="H3948" s="311" t="s">
        <v>835</v>
      </c>
      <c r="I3948" s="373"/>
      <c r="J3948" s="379"/>
      <c r="K3948" s="373"/>
      <c r="L3948" s="379"/>
      <c r="M3948" s="60">
        <v>455600</v>
      </c>
      <c r="N3948" s="61" t="s">
        <v>101</v>
      </c>
      <c r="O3948" s="61" t="s">
        <v>26</v>
      </c>
      <c r="P3948" s="75" t="str">
        <f>IF(AND('331-CT'!$E$7=TH!H5097,OR(N3948="331",O3948="331")),"x","")</f>
        <v/>
      </c>
      <c r="Q3948" s="75" t="str">
        <f>IF(AND(B3948='111'!$L$11,OR($N3948=$Q$7,$O3948=$Q$7)),"x","")</f>
        <v/>
      </c>
      <c r="R3948" s="75" t="str">
        <f>IF(AND($N3948=$Q$7,$B3948&lt;'111'!$L$11),"x","")</f>
        <v/>
      </c>
      <c r="S3948" s="75" t="str">
        <f>IF(AND($O3948=$Q$7,$B3948&lt;'111'!$L$11),"x","")</f>
        <v/>
      </c>
      <c r="T3948" s="75" t="str">
        <f>IF(ISERROR(FIND('112'!$M$9,G3948,1)),"",IF((AND(FIND('112'!$M$9,G3948,1)&gt;=1,B3948='112'!$K$9,OR($N3948='112'!$I$6,$O3948='112'!$I$6))),"x",""))</f>
        <v/>
      </c>
      <c r="U3948" s="75" t="str">
        <f>IF(ISERROR(FIND('112'!$M$9,G3948,1)),"",IF((AND(LEFT(G3948,2)=LEFT('112'!$M$9,2),B3948&lt;'112'!$K$9,$N3948='112'!$I$6)),"x",""))</f>
        <v/>
      </c>
      <c r="V3948" s="75" t="str">
        <f>IF(ISERROR(FIND('112'!$M$9,G3948,1)),"",IF((AND(RIGHT(G3948,2)=RIGHT('112'!$M$9,2),B3948&lt;'112'!$K$9,$O3948='112'!$I$6)),"x",""))</f>
        <v/>
      </c>
      <c r="W3948" s="75" t="str">
        <f>IF(AND('341-CT'!$H$9=H3948,OR(LEFT(N3948,3)=$W$7,LEFT(O3948,3)=$W$7)),"x","")</f>
        <v/>
      </c>
      <c r="X3948" s="75" t="str">
        <f>IF(OR(TH!N5097=TH!$X$7,O3948=TH!$X$7),"x","")</f>
        <v/>
      </c>
      <c r="Y3948" s="75" t="str">
        <f>IF(AND(OR(N3948="131",O3948="131"),H3948='131-CT'!$H$9),"x","")</f>
        <v/>
      </c>
      <c r="Z3948" s="75"/>
      <c r="AA3948" s="75" t="str">
        <f>IF(AND(MONTH(E3948)='IN-NX'!$J$5,'IN-NX'!$D$7=D3948),"x","")</f>
        <v/>
      </c>
      <c r="AB3948" s="75" t="str">
        <f>IF(AND(OR(LEFT(TH!N5097,2)="15",LEFT(TH!O5097,2)="15"),LEFT(TH!O5097,3)&lt;&gt;"111",'152-CT'!$J$8=TH!F5097),"x","")</f>
        <v/>
      </c>
      <c r="AC3948" s="75" t="str">
        <f>IF(AND(OR(LEFT(TH!N5097,2)="15",LEFT(TH!O5097,2)="15"),TK!$E$7=TH!F5097),"x","")</f>
        <v/>
      </c>
      <c r="AD3948" s="75" t="str">
        <f>IF(AND(N3948="1521",MONTH(C3948)='BK-NL'!$M$11),"x","")</f>
        <v/>
      </c>
    </row>
    <row r="3949" spans="1:30" ht="16.5" customHeight="1">
      <c r="A3949" s="309" t="str">
        <f>IF(B3949&lt;&gt;"",IF(AND(B3949='IN-TC'!$S$4,OR(TH!N3947="1111",TH!O3947="1111")),TH!D3947,""),"")</f>
        <v/>
      </c>
      <c r="B3949" s="1241">
        <f t="shared" si="1308"/>
        <v>4</v>
      </c>
      <c r="C3949" s="292">
        <f t="shared" si="1307"/>
        <v>42845</v>
      </c>
      <c r="D3949" s="59" t="s">
        <v>902</v>
      </c>
      <c r="E3949" s="59">
        <v>42845</v>
      </c>
      <c r="F3949" s="1127" t="s">
        <v>1205</v>
      </c>
      <c r="G3949" s="62" t="s">
        <v>747</v>
      </c>
      <c r="H3949" s="311" t="s">
        <v>835</v>
      </c>
      <c r="I3949" s="373"/>
      <c r="J3949" s="379"/>
      <c r="K3949" s="373"/>
      <c r="L3949" s="379"/>
      <c r="M3949" s="60">
        <v>45560</v>
      </c>
      <c r="N3949" s="61" t="s">
        <v>9</v>
      </c>
      <c r="O3949" s="61" t="s">
        <v>26</v>
      </c>
      <c r="P3949" s="75" t="str">
        <f>IF(AND('331-CT'!$E$7=TH!H5098,OR(N3949="331",O3949="331")),"x","")</f>
        <v/>
      </c>
      <c r="Q3949" s="75" t="str">
        <f>IF(AND(B3949='111'!$L$11,OR($N3949=$Q$7,$O3949=$Q$7)),"x","")</f>
        <v/>
      </c>
      <c r="R3949" s="75" t="str">
        <f>IF(AND($N3949=$Q$7,$B3949&lt;'111'!$L$11),"x","")</f>
        <v/>
      </c>
      <c r="S3949" s="75" t="str">
        <f>IF(AND($O3949=$Q$7,$B3949&lt;'111'!$L$11),"x","")</f>
        <v/>
      </c>
      <c r="T3949" s="75" t="str">
        <f>IF(ISERROR(FIND('112'!$M$9,G3949,1)),"",IF((AND(FIND('112'!$M$9,G3949,1)&gt;=1,B3949='112'!$K$9,OR($N3949='112'!$I$6,$O3949='112'!$I$6))),"x",""))</f>
        <v/>
      </c>
      <c r="U3949" s="75" t="str">
        <f>IF(ISERROR(FIND('112'!$M$9,G3949,1)),"",IF((AND(LEFT(G3949,2)=LEFT('112'!$M$9,2),B3949&lt;'112'!$K$9,$N3949='112'!$I$6)),"x",""))</f>
        <v/>
      </c>
      <c r="V3949" s="75" t="str">
        <f>IF(ISERROR(FIND('112'!$M$9,G3949,1)),"",IF((AND(RIGHT(G3949,2)=RIGHT('112'!$M$9,2),B3949&lt;'112'!$K$9,$O3949='112'!$I$6)),"x",""))</f>
        <v/>
      </c>
      <c r="W3949" s="75" t="str">
        <f>IF(AND('341-CT'!$H$9=H3949,OR(LEFT(N3949,3)=$W$7,LEFT(O3949,3)=$W$7)),"x","")</f>
        <v/>
      </c>
      <c r="X3949" s="75" t="str">
        <f>IF(OR(TH!N5098=TH!$X$7,O3949=TH!$X$7),"x","")</f>
        <v/>
      </c>
      <c r="Y3949" s="75" t="str">
        <f>IF(AND(OR(N3949="131",O3949="131"),H3949='131-CT'!$H$9),"x","")</f>
        <v/>
      </c>
      <c r="Z3949" s="75"/>
      <c r="AA3949" s="75" t="str">
        <f>IF(AND(MONTH(E3949)='IN-NX'!$J$5,'IN-NX'!$D$7=D3949),"x","")</f>
        <v/>
      </c>
      <c r="AB3949" s="75" t="str">
        <f>IF(AND(OR(LEFT(TH!N5098,2)="15",LEFT(TH!O5098,2)="15"),LEFT(TH!O5098,3)&lt;&gt;"111",'152-CT'!$J$8=TH!F5098),"x","")</f>
        <v/>
      </c>
      <c r="AC3949" s="75" t="str">
        <f>IF(AND(OR(LEFT(TH!N5098,2)="15",LEFT(TH!O5098,2)="15"),TK!$E$7=TH!F5098),"x","")</f>
        <v/>
      </c>
      <c r="AD3949" s="75" t="str">
        <f>IF(AND(N3949="1521",MONTH(C3949)='BK-NL'!$M$11),"x","")</f>
        <v/>
      </c>
    </row>
    <row r="3950" spans="1:30" ht="16.5" customHeight="1">
      <c r="A3950" s="309" t="str">
        <f>IF(B3950&lt;&gt;"",IF(AND(B3950='IN-TC'!$S$4,OR(TH!N3948="1111",TH!O3948="1111")),TH!D3948,""),"")</f>
        <v/>
      </c>
      <c r="B3950" s="1241">
        <f t="shared" si="1308"/>
        <v>4</v>
      </c>
      <c r="C3950" s="292">
        <f t="shared" si="1307"/>
        <v>42845</v>
      </c>
      <c r="D3950" s="59" t="s">
        <v>902</v>
      </c>
      <c r="E3950" s="59">
        <v>42845</v>
      </c>
      <c r="F3950" s="1127" t="s">
        <v>252</v>
      </c>
      <c r="G3950" s="62" t="s">
        <v>747</v>
      </c>
      <c r="H3950" s="962" t="s">
        <v>2034</v>
      </c>
      <c r="I3950" s="373"/>
      <c r="J3950" s="379"/>
      <c r="K3950" s="373">
        <v>266400</v>
      </c>
      <c r="L3950" s="379">
        <v>22698</v>
      </c>
      <c r="M3950" s="60">
        <v>6046747200</v>
      </c>
      <c r="N3950" s="61" t="s">
        <v>26</v>
      </c>
      <c r="O3950" s="61" t="s">
        <v>250</v>
      </c>
      <c r="P3950" s="75" t="str">
        <f>IF(AND('331-CT'!$E$7=TH!H5099,OR(N3950="331",O3950="331")),"x","")</f>
        <v/>
      </c>
      <c r="Q3950" s="75" t="str">
        <f>IF(AND(B3950='111'!$L$11,OR($N3950=$Q$7,$O3950=$Q$7)),"x","")</f>
        <v/>
      </c>
      <c r="R3950" s="75" t="str">
        <f>IF(AND($N3950=$Q$7,$B3950&lt;'111'!$L$11),"x","")</f>
        <v/>
      </c>
      <c r="S3950" s="75" t="str">
        <f>IF(AND($O3950=$Q$7,$B3950&lt;'111'!$L$11),"x","")</f>
        <v/>
      </c>
      <c r="T3950" s="75" t="str">
        <f>IF(ISERROR(FIND('112'!$M$9,G3950,1)),"",IF((AND(FIND('112'!$M$9,G3950,1)&gt;=1,B3950='112'!$K$9,OR($N3950='112'!$I$6,$O3950='112'!$I$6))),"x",""))</f>
        <v/>
      </c>
      <c r="U3950" s="75" t="str">
        <f>IF(ISERROR(FIND('112'!$M$9,G3950,1)),"",IF((AND(LEFT(G3950,2)=LEFT('112'!$M$9,2),B3950&lt;'112'!$K$9,$N3950='112'!$I$6)),"x",""))</f>
        <v/>
      </c>
      <c r="V3950" s="75" t="str">
        <f>IF(ISERROR(FIND('112'!$M$9,G3950,1)),"",IF((AND(RIGHT(G3950,2)=RIGHT('112'!$M$9,2),B3950&lt;'112'!$K$9,$O3950='112'!$I$6)),"x",""))</f>
        <v/>
      </c>
      <c r="W3950" s="75" t="str">
        <f>IF(AND('341-CT'!$H$9=H3950,OR(LEFT(N3950,3)=$W$7,LEFT(O3950,3)=$W$7)),"x","")</f>
        <v/>
      </c>
      <c r="X3950" s="75" t="str">
        <f>IF(OR(TH!N5099=TH!$X$7,O3950=TH!$X$7),"x","")</f>
        <v/>
      </c>
      <c r="Y3950" s="75" t="str">
        <f>IF(AND(OR(N3950="131",O3950="131"),H3950='131-CT'!$H$9),"x","")</f>
        <v/>
      </c>
      <c r="Z3950" s="75"/>
      <c r="AA3950" s="75" t="str">
        <f>IF(AND(MONTH(E3950)='IN-NX'!$J$5,'IN-NX'!$D$7=D3950),"x","")</f>
        <v/>
      </c>
      <c r="AB3950" s="75" t="str">
        <f>IF(AND(OR(LEFT(TH!N5099,2)="15",LEFT(TH!O5099,2)="15"),LEFT(TH!O5099,3)&lt;&gt;"111",'152-CT'!$J$8=TH!F5099),"x","")</f>
        <v/>
      </c>
      <c r="AC3950" s="75" t="str">
        <f>IF(AND(OR(LEFT(TH!N5099,2)="15",LEFT(TH!O5099,2)="15"),TK!$E$7=TH!F5099),"x","")</f>
        <v/>
      </c>
      <c r="AD3950" s="75" t="str">
        <f>IF(AND(N3950="1521",MONTH(C3950)='BK-NL'!$M$11),"x","")</f>
        <v/>
      </c>
    </row>
    <row r="3951" spans="1:30" ht="16.5" customHeight="1">
      <c r="A3951" s="309" t="str">
        <f>IF(B3951&lt;&gt;"",IF(AND(B3951='IN-TC'!$S$4,OR(TH!N3949="1111",TH!O3949="1111")),TH!D3949,""),"")</f>
        <v/>
      </c>
      <c r="B3951" s="1241">
        <f t="shared" si="1308"/>
        <v>4</v>
      </c>
      <c r="C3951" s="292">
        <f t="shared" si="1307"/>
        <v>42845</v>
      </c>
      <c r="D3951" s="59" t="s">
        <v>902</v>
      </c>
      <c r="E3951" s="59">
        <v>42845</v>
      </c>
      <c r="F3951" s="1127" t="s">
        <v>1207</v>
      </c>
      <c r="G3951" s="62" t="s">
        <v>747</v>
      </c>
      <c r="H3951" s="311" t="s">
        <v>835</v>
      </c>
      <c r="I3951" s="373"/>
      <c r="J3951" s="379"/>
      <c r="K3951" s="373"/>
      <c r="L3951" s="379"/>
      <c r="M3951" s="60">
        <v>1000000</v>
      </c>
      <c r="N3951" s="61" t="s">
        <v>101</v>
      </c>
      <c r="O3951" s="61" t="s">
        <v>26</v>
      </c>
      <c r="P3951" s="75" t="str">
        <f>IF(AND('331-CT'!$E$7=TH!H5100,OR(N3951="331",O3951="331")),"x","")</f>
        <v/>
      </c>
      <c r="Q3951" s="75" t="str">
        <f>IF(AND(B3951='111'!$L$11,OR($N3951=$Q$7,$O3951=$Q$7)),"x","")</f>
        <v/>
      </c>
      <c r="R3951" s="75" t="str">
        <f>IF(AND($N3951=$Q$7,$B3951&lt;'111'!$L$11),"x","")</f>
        <v/>
      </c>
      <c r="S3951" s="75" t="str">
        <f>IF(AND($O3951=$Q$7,$B3951&lt;'111'!$L$11),"x","")</f>
        <v/>
      </c>
      <c r="T3951" s="75" t="str">
        <f>IF(ISERROR(FIND('112'!$M$9,G3951,1)),"",IF((AND(FIND('112'!$M$9,G3951,1)&gt;=1,B3951='112'!$K$9,OR($N3951='112'!$I$6,$O3951='112'!$I$6))),"x",""))</f>
        <v/>
      </c>
      <c r="U3951" s="75" t="str">
        <f>IF(ISERROR(FIND('112'!$M$9,G3951,1)),"",IF((AND(LEFT(G3951,2)=LEFT('112'!$M$9,2),B3951&lt;'112'!$K$9,$N3951='112'!$I$6)),"x",""))</f>
        <v/>
      </c>
      <c r="V3951" s="75" t="str">
        <f>IF(ISERROR(FIND('112'!$M$9,G3951,1)),"",IF((AND(RIGHT(G3951,2)=RIGHT('112'!$M$9,2),B3951&lt;'112'!$K$9,$O3951='112'!$I$6)),"x",""))</f>
        <v/>
      </c>
      <c r="W3951" s="75" t="str">
        <f>IF(AND('341-CT'!$H$9=H3951,OR(LEFT(N3951,3)=$W$7,LEFT(O3951,3)=$W$7)),"x","")</f>
        <v/>
      </c>
      <c r="X3951" s="75" t="str">
        <f>IF(OR(TH!N5100=TH!$X$7,O3951=TH!$X$7),"x","")</f>
        <v/>
      </c>
      <c r="Y3951" s="75" t="str">
        <f>IF(AND(OR(N3951="131",O3951="131"),H3951='131-CT'!$H$9),"x","")</f>
        <v/>
      </c>
      <c r="Z3951" s="75"/>
      <c r="AA3951" s="75" t="str">
        <f>IF(AND(MONTH(E3951)='IN-NX'!$J$5,'IN-NX'!$D$7=D3951),"x","")</f>
        <v/>
      </c>
      <c r="AB3951" s="75" t="str">
        <f>IF(AND(OR(LEFT(TH!N5100,2)="15",LEFT(TH!O5100,2)="15"),LEFT(TH!O5100,3)&lt;&gt;"111",'152-CT'!$J$8=TH!F5100),"x","")</f>
        <v/>
      </c>
      <c r="AC3951" s="75" t="str">
        <f>IF(AND(OR(LEFT(TH!N5100,2)="15",LEFT(TH!O5100,2)="15"),TK!$E$7=TH!F5100),"x","")</f>
        <v/>
      </c>
      <c r="AD3951" s="75" t="str">
        <f>IF(AND(N3951="1521",MONTH(C3951)='BK-NL'!$M$11),"x","")</f>
        <v/>
      </c>
    </row>
    <row r="3952" spans="1:30" ht="16.5" customHeight="1">
      <c r="A3952" s="309" t="str">
        <f>IF(B3952&lt;&gt;"",IF(AND(B3952='IN-TC'!$S$4,OR(TH!N3950="1111",TH!O3950="1111")),TH!D3950,""),"")</f>
        <v/>
      </c>
      <c r="B3952" s="1241">
        <f t="shared" si="1308"/>
        <v>4</v>
      </c>
      <c r="C3952" s="292">
        <f t="shared" si="1307"/>
        <v>42845</v>
      </c>
      <c r="D3952" s="59" t="s">
        <v>902</v>
      </c>
      <c r="E3952" s="59">
        <v>42845</v>
      </c>
      <c r="F3952" s="1127" t="s">
        <v>1315</v>
      </c>
      <c r="G3952" s="62" t="s">
        <v>747</v>
      </c>
      <c r="H3952" s="311" t="s">
        <v>835</v>
      </c>
      <c r="I3952" s="373"/>
      <c r="J3952" s="379"/>
      <c r="K3952" s="373"/>
      <c r="L3952" s="379"/>
      <c r="M3952" s="60">
        <v>100000</v>
      </c>
      <c r="N3952" s="61" t="s">
        <v>9</v>
      </c>
      <c r="O3952" s="61" t="s">
        <v>26</v>
      </c>
      <c r="P3952" s="75" t="str">
        <f>IF(AND('331-CT'!$E$7=TH!H5101,OR(N3952="331",O3952="331")),"x","")</f>
        <v/>
      </c>
      <c r="Q3952" s="75" t="str">
        <f>IF(AND(B3952='111'!$L$11,OR($N3952=$Q$7,$O3952=$Q$7)),"x","")</f>
        <v/>
      </c>
      <c r="R3952" s="75" t="str">
        <f>IF(AND($N3952=$Q$7,$B3952&lt;'111'!$L$11),"x","")</f>
        <v/>
      </c>
      <c r="S3952" s="75" t="str">
        <f>IF(AND($O3952=$Q$7,$B3952&lt;'111'!$L$11),"x","")</f>
        <v/>
      </c>
      <c r="T3952" s="75" t="str">
        <f>IF(ISERROR(FIND('112'!$M$9,G3952,1)),"",IF((AND(FIND('112'!$M$9,G3952,1)&gt;=1,B3952='112'!$K$9,OR($N3952='112'!$I$6,$O3952='112'!$I$6))),"x",""))</f>
        <v/>
      </c>
      <c r="U3952" s="75" t="str">
        <f>IF(ISERROR(FIND('112'!$M$9,G3952,1)),"",IF((AND(LEFT(G3952,2)=LEFT('112'!$M$9,2),B3952&lt;'112'!$K$9,$N3952='112'!$I$6)),"x",""))</f>
        <v/>
      </c>
      <c r="V3952" s="75" t="str">
        <f>IF(ISERROR(FIND('112'!$M$9,G3952,1)),"",IF((AND(RIGHT(G3952,2)=RIGHT('112'!$M$9,2),B3952&lt;'112'!$K$9,$O3952='112'!$I$6)),"x",""))</f>
        <v/>
      </c>
      <c r="W3952" s="75" t="str">
        <f>IF(AND('341-CT'!$H$9=H3952,OR(LEFT(N3952,3)=$W$7,LEFT(O3952,3)=$W$7)),"x","")</f>
        <v/>
      </c>
      <c r="X3952" s="75" t="str">
        <f>IF(OR(TH!N5101=TH!$X$7,O3952=TH!$X$7),"x","")</f>
        <v/>
      </c>
      <c r="Y3952" s="75" t="str">
        <f>IF(AND(OR(N3952="131",O3952="131"),H3952='131-CT'!$H$9),"x","")</f>
        <v/>
      </c>
      <c r="Z3952" s="75"/>
      <c r="AA3952" s="75" t="str">
        <f>IF(AND(MONTH(E3952)='IN-NX'!$J$5,'IN-NX'!$D$7=D3952),"x","")</f>
        <v/>
      </c>
      <c r="AB3952" s="75" t="str">
        <f>IF(AND(OR(LEFT(TH!N5101,2)="15",LEFT(TH!O5101,2)="15"),LEFT(TH!O5101,3)&lt;&gt;"111",'152-CT'!$J$8=TH!F5101),"x","")</f>
        <v/>
      </c>
      <c r="AC3952" s="75" t="str">
        <f>IF(AND(OR(LEFT(TH!N5101,2)="15",LEFT(TH!O5101,2)="15"),TK!$E$7=TH!F5101),"x","")</f>
        <v/>
      </c>
      <c r="AD3952" s="75" t="str">
        <f>IF(AND(N3952="1521",MONTH(C3952)='BK-NL'!$M$11),"x","")</f>
        <v/>
      </c>
    </row>
    <row r="3953" spans="1:30" ht="16.5" customHeight="1">
      <c r="A3953" s="309" t="str">
        <f>IF(B3953&lt;&gt;"",IF(AND(B3953='IN-TC'!$S$4,OR(TH!N3951="1111",TH!O3951="1111")),TH!D3951,""),"")</f>
        <v/>
      </c>
      <c r="B3953" s="1241">
        <f t="shared" si="1308"/>
        <v>4</v>
      </c>
      <c r="C3953" s="292">
        <f t="shared" si="1307"/>
        <v>42845</v>
      </c>
      <c r="D3953" s="59" t="s">
        <v>902</v>
      </c>
      <c r="E3953" s="59">
        <v>42845</v>
      </c>
      <c r="F3953" s="1127" t="s">
        <v>897</v>
      </c>
      <c r="G3953" s="62" t="s">
        <v>747</v>
      </c>
      <c r="H3953" s="67" t="s">
        <v>789</v>
      </c>
      <c r="I3953" s="373"/>
      <c r="J3953" s="379"/>
      <c r="K3953" s="373"/>
      <c r="L3953" s="379"/>
      <c r="M3953" s="60">
        <v>1653600000</v>
      </c>
      <c r="N3953" s="61" t="s">
        <v>8</v>
      </c>
      <c r="O3953" s="61" t="s">
        <v>26</v>
      </c>
      <c r="P3953" s="75" t="str">
        <f>IF(AND('331-CT'!$E$7=TH!H5102,OR(N3953="331",O3953="331")),"x","")</f>
        <v/>
      </c>
      <c r="Q3953" s="75" t="str">
        <f>IF(AND(B3953='111'!$L$11,OR($N3953=$Q$7,$O3953=$Q$7)),"x","")</f>
        <v/>
      </c>
      <c r="R3953" s="75" t="str">
        <f>IF(AND($N3953=$Q$7,$B3953&lt;'111'!$L$11),"x","")</f>
        <v/>
      </c>
      <c r="S3953" s="75" t="str">
        <f>IF(AND($O3953=$Q$7,$B3953&lt;'111'!$L$11),"x","")</f>
        <v/>
      </c>
      <c r="T3953" s="75" t="str">
        <f>IF(ISERROR(FIND('112'!$M$9,G3953,1)),"",IF((AND(FIND('112'!$M$9,G3953,1)&gt;=1,B3953='112'!$K$9,OR($N3953='112'!$I$6,$O3953='112'!$I$6))),"x",""))</f>
        <v/>
      </c>
      <c r="U3953" s="75" t="str">
        <f>IF(ISERROR(FIND('112'!$M$9,G3953,1)),"",IF((AND(LEFT(G3953,2)=LEFT('112'!$M$9,2),B3953&lt;'112'!$K$9,$N3953='112'!$I$6)),"x",""))</f>
        <v/>
      </c>
      <c r="V3953" s="75" t="str">
        <f>IF(ISERROR(FIND('112'!$M$9,G3953,1)),"",IF((AND(RIGHT(G3953,2)=RIGHT('112'!$M$9,2),B3953&lt;'112'!$K$9,$O3953='112'!$I$6)),"x",""))</f>
        <v/>
      </c>
      <c r="W3953" s="75" t="str">
        <f>IF(AND('341-CT'!$H$9=H3953,OR(LEFT(N3953,3)=$W$7,LEFT(O3953,3)=$W$7)),"x","")</f>
        <v/>
      </c>
      <c r="X3953" s="75" t="str">
        <f>IF(OR(TH!N5102=TH!$X$7,O3953=TH!$X$7),"x","")</f>
        <v/>
      </c>
      <c r="Y3953" s="75" t="str">
        <f>IF(AND(OR(N3953="131",O3953="131"),H3953='131-CT'!$H$9),"x","")</f>
        <v/>
      </c>
      <c r="Z3953" s="75"/>
      <c r="AA3953" s="75" t="str">
        <f>IF(AND(MONTH(E3953)='IN-NX'!$J$5,'IN-NX'!$D$7=D3953),"x","")</f>
        <v/>
      </c>
      <c r="AB3953" s="75" t="str">
        <f>IF(AND(OR(LEFT(TH!N5102,2)="15",LEFT(TH!O5102,2)="15"),LEFT(TH!O5102,3)&lt;&gt;"111",'152-CT'!$J$8=TH!F5102),"x","")</f>
        <v/>
      </c>
      <c r="AC3953" s="75" t="str">
        <f>IF(AND(OR(LEFT(TH!N5102,2)="15",LEFT(TH!O5102,2)="15"),TK!$E$7=TH!F5102),"x","")</f>
        <v/>
      </c>
      <c r="AD3953" s="75" t="str">
        <f>IF(AND(N3953="1521",MONTH(C3953)='BK-NL'!$M$11),"x","")</f>
        <v/>
      </c>
    </row>
    <row r="3954" spans="1:30" ht="16.5" customHeight="1">
      <c r="A3954" s="309" t="str">
        <f>IF(B3954&lt;&gt;"",IF(AND(B3954='IN-TC'!$S$4,OR(TH!N3952="1111",TH!O3952="1111")),TH!D3952,""),"")</f>
        <v/>
      </c>
      <c r="B3954" s="1241">
        <f t="shared" si="1308"/>
        <v>4</v>
      </c>
      <c r="C3954" s="292">
        <f t="shared" si="1307"/>
        <v>42845</v>
      </c>
      <c r="D3954" s="59" t="s">
        <v>902</v>
      </c>
      <c r="E3954" s="59">
        <v>42845</v>
      </c>
      <c r="F3954" s="1127" t="s">
        <v>870</v>
      </c>
      <c r="G3954" s="62" t="s">
        <v>747</v>
      </c>
      <c r="H3954" s="311" t="s">
        <v>835</v>
      </c>
      <c r="I3954" s="373"/>
      <c r="J3954" s="379"/>
      <c r="K3954" s="373"/>
      <c r="L3954" s="379"/>
      <c r="M3954" s="60">
        <v>496080</v>
      </c>
      <c r="N3954" s="61" t="s">
        <v>101</v>
      </c>
      <c r="O3954" s="61" t="s">
        <v>26</v>
      </c>
      <c r="P3954" s="75" t="str">
        <f>IF(AND('331-CT'!$E$7=TH!H5103,OR(N3954="331",O3954="331")),"x","")</f>
        <v/>
      </c>
      <c r="Q3954" s="75" t="str">
        <f>IF(AND(B3954='111'!$L$11,OR($N3954=$Q$7,$O3954=$Q$7)),"x","")</f>
        <v/>
      </c>
      <c r="R3954" s="75" t="str">
        <f>IF(AND($N3954=$Q$7,$B3954&lt;'111'!$L$11),"x","")</f>
        <v/>
      </c>
      <c r="S3954" s="75" t="str">
        <f>IF(AND($O3954=$Q$7,$B3954&lt;'111'!$L$11),"x","")</f>
        <v/>
      </c>
      <c r="T3954" s="75" t="str">
        <f>IF(ISERROR(FIND('112'!$M$9,G3954,1)),"",IF((AND(FIND('112'!$M$9,G3954,1)&gt;=1,B3954='112'!$K$9,OR($N3954='112'!$I$6,$O3954='112'!$I$6))),"x",""))</f>
        <v/>
      </c>
      <c r="U3954" s="75" t="str">
        <f>IF(ISERROR(FIND('112'!$M$9,G3954,1)),"",IF((AND(LEFT(G3954,2)=LEFT('112'!$M$9,2),B3954&lt;'112'!$K$9,$N3954='112'!$I$6)),"x",""))</f>
        <v/>
      </c>
      <c r="V3954" s="75" t="str">
        <f>IF(ISERROR(FIND('112'!$M$9,G3954,1)),"",IF((AND(RIGHT(G3954,2)=RIGHT('112'!$M$9,2),B3954&lt;'112'!$K$9,$O3954='112'!$I$6)),"x",""))</f>
        <v/>
      </c>
      <c r="W3954" s="75" t="str">
        <f>IF(AND('341-CT'!$H$9=H3954,OR(LEFT(N3954,3)=$W$7,LEFT(O3954,3)=$W$7)),"x","")</f>
        <v/>
      </c>
      <c r="X3954" s="75" t="str">
        <f>IF(OR(TH!N5103=TH!$X$7,O3954=TH!$X$7),"x","")</f>
        <v/>
      </c>
      <c r="Y3954" s="75" t="str">
        <f>IF(AND(OR(N3954="131",O3954="131"),H3954='131-CT'!$H$9),"x","")</f>
        <v/>
      </c>
      <c r="Z3954" s="75"/>
      <c r="AA3954" s="75" t="str">
        <f>IF(AND(MONTH(E3954)='IN-NX'!$J$5,'IN-NX'!$D$7=D3954),"x","")</f>
        <v/>
      </c>
      <c r="AB3954" s="75" t="str">
        <f>IF(AND(OR(LEFT(TH!N5103,2)="15",LEFT(TH!O5103,2)="15"),LEFT(TH!O5103,3)&lt;&gt;"111",'152-CT'!$J$8=TH!F5103),"x","")</f>
        <v/>
      </c>
      <c r="AC3954" s="75" t="str">
        <f>IF(AND(OR(LEFT(TH!N5103,2)="15",LEFT(TH!O5103,2)="15"),TK!$E$7=TH!F5103),"x","")</f>
        <v/>
      </c>
      <c r="AD3954" s="75" t="str">
        <f>IF(AND(N3954="1521",MONTH(C3954)='BK-NL'!$M$11),"x","")</f>
        <v/>
      </c>
    </row>
    <row r="3955" spans="1:30" ht="16.5" customHeight="1">
      <c r="A3955" s="309" t="str">
        <f>IF(B3955&lt;&gt;"",IF(AND(B3955='IN-TC'!$S$4,OR(TH!N3953="1111",TH!O3953="1111")),TH!D3953,""),"")</f>
        <v/>
      </c>
      <c r="B3955" s="1241">
        <f t="shared" si="1308"/>
        <v>4</v>
      </c>
      <c r="C3955" s="292">
        <f t="shared" ref="C3955:C4018" si="1309">E3955</f>
        <v>42845</v>
      </c>
      <c r="D3955" s="59" t="s">
        <v>902</v>
      </c>
      <c r="E3955" s="59">
        <v>42845</v>
      </c>
      <c r="F3955" s="1127" t="s">
        <v>898</v>
      </c>
      <c r="G3955" s="62" t="s">
        <v>747</v>
      </c>
      <c r="H3955" s="311" t="s">
        <v>835</v>
      </c>
      <c r="I3955" s="373"/>
      <c r="J3955" s="379"/>
      <c r="K3955" s="373"/>
      <c r="L3955" s="379"/>
      <c r="M3955" s="60">
        <v>49608</v>
      </c>
      <c r="N3955" s="61" t="s">
        <v>9</v>
      </c>
      <c r="O3955" s="61" t="s">
        <v>26</v>
      </c>
      <c r="P3955" s="75" t="str">
        <f>IF(AND('331-CT'!$E$7=TH!H5104,OR(N3955="331",O3955="331")),"x","")</f>
        <v/>
      </c>
      <c r="Q3955" s="75" t="str">
        <f>IF(AND(B3955='111'!$L$11,OR($N3955=$Q$7,$O3955=$Q$7)),"x","")</f>
        <v/>
      </c>
      <c r="R3955" s="75" t="str">
        <f>IF(AND($N3955=$Q$7,$B3955&lt;'111'!$L$11),"x","")</f>
        <v/>
      </c>
      <c r="S3955" s="75" t="str">
        <f>IF(AND($O3955=$Q$7,$B3955&lt;'111'!$L$11),"x","")</f>
        <v/>
      </c>
      <c r="T3955" s="75" t="str">
        <f>IF(ISERROR(FIND('112'!$M$9,G3955,1)),"",IF((AND(FIND('112'!$M$9,G3955,1)&gt;=1,B3955='112'!$K$9,OR($N3955='112'!$I$6,$O3955='112'!$I$6))),"x",""))</f>
        <v/>
      </c>
      <c r="U3955" s="75" t="str">
        <f>IF(ISERROR(FIND('112'!$M$9,G3955,1)),"",IF((AND(LEFT(G3955,2)=LEFT('112'!$M$9,2),B3955&lt;'112'!$K$9,$N3955='112'!$I$6)),"x",""))</f>
        <v/>
      </c>
      <c r="V3955" s="75" t="str">
        <f>IF(ISERROR(FIND('112'!$M$9,G3955,1)),"",IF((AND(RIGHT(G3955,2)=RIGHT('112'!$M$9,2),B3955&lt;'112'!$K$9,$O3955='112'!$I$6)),"x",""))</f>
        <v/>
      </c>
      <c r="W3955" s="75" t="str">
        <f>IF(AND('341-CT'!$H$9=H3955,OR(LEFT(N3955,3)=$W$7,LEFT(O3955,3)=$W$7)),"x","")</f>
        <v/>
      </c>
      <c r="X3955" s="75" t="str">
        <f>IF(OR(TH!N5104=TH!$X$7,O3955=TH!$X$7),"x","")</f>
        <v/>
      </c>
      <c r="Y3955" s="75" t="str">
        <f>IF(AND(OR(N3955="131",O3955="131"),H3955='131-CT'!$H$9),"x","")</f>
        <v/>
      </c>
      <c r="Z3955" s="75"/>
      <c r="AA3955" s="75" t="str">
        <f>IF(AND(MONTH(E3955)='IN-NX'!$J$5,'IN-NX'!$D$7=D3955),"x","")</f>
        <v/>
      </c>
      <c r="AB3955" s="75" t="str">
        <f>IF(AND(OR(LEFT(TH!N5104,2)="15",LEFT(TH!O5104,2)="15"),LEFT(TH!O5104,3)&lt;&gt;"111",'152-CT'!$J$8=TH!F5104),"x","")</f>
        <v/>
      </c>
      <c r="AC3955" s="75" t="str">
        <f>IF(AND(OR(LEFT(TH!N5104,2)="15",LEFT(TH!O5104,2)="15"),TK!$E$7=TH!F5104),"x","")</f>
        <v/>
      </c>
      <c r="AD3955" s="75" t="str">
        <f>IF(AND(N3955="1521",MONTH(C3955)='BK-NL'!$M$11),"x","")</f>
        <v/>
      </c>
    </row>
    <row r="3956" spans="1:30" ht="16.5" customHeight="1">
      <c r="A3956" s="309" t="str">
        <f>IF(B3956&lt;&gt;"",IF(AND(B3956='IN-TC'!$S$4,OR(TH!N3954="1111",TH!O3954="1111")),TH!D3954,""),"")</f>
        <v/>
      </c>
      <c r="B3956" s="1241">
        <f t="shared" si="1308"/>
        <v>4</v>
      </c>
      <c r="C3956" s="292">
        <f t="shared" si="1309"/>
        <v>42845</v>
      </c>
      <c r="D3956" s="59" t="s">
        <v>902</v>
      </c>
      <c r="E3956" s="59">
        <v>42845</v>
      </c>
      <c r="F3956" s="1127" t="s">
        <v>897</v>
      </c>
      <c r="G3956" s="62" t="s">
        <v>747</v>
      </c>
      <c r="H3956" s="67" t="s">
        <v>791</v>
      </c>
      <c r="I3956" s="373"/>
      <c r="J3956" s="379"/>
      <c r="K3956" s="373"/>
      <c r="L3956" s="379"/>
      <c r="M3956" s="60">
        <v>1419444000</v>
      </c>
      <c r="N3956" s="61" t="s">
        <v>8</v>
      </c>
      <c r="O3956" s="61" t="s">
        <v>26</v>
      </c>
      <c r="P3956" s="75" t="str">
        <f>IF(AND('331-CT'!$E$7=TH!H5105,OR(N3956="331",O3956="331")),"x","")</f>
        <v/>
      </c>
      <c r="Q3956" s="75" t="str">
        <f>IF(AND(B3956='111'!$L$11,OR($N3956=$Q$7,$O3956=$Q$7)),"x","")</f>
        <v/>
      </c>
      <c r="R3956" s="75" t="str">
        <f>IF(AND($N3956=$Q$7,$B3956&lt;'111'!$L$11),"x","")</f>
        <v/>
      </c>
      <c r="S3956" s="75" t="str">
        <f>IF(AND($O3956=$Q$7,$B3956&lt;'111'!$L$11),"x","")</f>
        <v/>
      </c>
      <c r="T3956" s="75" t="str">
        <f>IF(ISERROR(FIND('112'!$M$9,G3956,1)),"",IF((AND(FIND('112'!$M$9,G3956,1)&gt;=1,B3956='112'!$K$9,OR($N3956='112'!$I$6,$O3956='112'!$I$6))),"x",""))</f>
        <v/>
      </c>
      <c r="U3956" s="75" t="str">
        <f>IF(ISERROR(FIND('112'!$M$9,G3956,1)),"",IF((AND(LEFT(G3956,2)=LEFT('112'!$M$9,2),B3956&lt;'112'!$K$9,$N3956='112'!$I$6)),"x",""))</f>
        <v/>
      </c>
      <c r="V3956" s="75" t="str">
        <f>IF(ISERROR(FIND('112'!$M$9,G3956,1)),"",IF((AND(RIGHT(G3956,2)=RIGHT('112'!$M$9,2),B3956&lt;'112'!$K$9,$O3956='112'!$I$6)),"x",""))</f>
        <v/>
      </c>
      <c r="W3956" s="75" t="str">
        <f>IF(AND('341-CT'!$H$9=H3956,OR(LEFT(N3956,3)=$W$7,LEFT(O3956,3)=$W$7)),"x","")</f>
        <v/>
      </c>
      <c r="X3956" s="75" t="str">
        <f>IF(OR(TH!N5105=TH!$X$7,O3956=TH!$X$7),"x","")</f>
        <v/>
      </c>
      <c r="Y3956" s="75" t="str">
        <f>IF(AND(OR(N3956="131",O3956="131"),H3956='131-CT'!$H$9),"x","")</f>
        <v/>
      </c>
      <c r="Z3956" s="75"/>
      <c r="AA3956" s="75" t="str">
        <f>IF(AND(MONTH(E3956)='IN-NX'!$J$5,'IN-NX'!$D$7=D3956),"x","")</f>
        <v/>
      </c>
      <c r="AB3956" s="75" t="str">
        <f>IF(AND(OR(LEFT(TH!N5105,2)="15",LEFT(TH!O5105,2)="15"),LEFT(TH!O5105,3)&lt;&gt;"111",'152-CT'!$J$8=TH!F5105),"x","")</f>
        <v/>
      </c>
      <c r="AC3956" s="75" t="str">
        <f>IF(AND(OR(LEFT(TH!N5105,2)="15",LEFT(TH!O5105,2)="15"),TK!$E$7=TH!F5105),"x","")</f>
        <v/>
      </c>
      <c r="AD3956" s="75" t="str">
        <f>IF(AND(N3956="1521",MONTH(C3956)='BK-NL'!$M$11),"x","")</f>
        <v/>
      </c>
    </row>
    <row r="3957" spans="1:30" ht="16.5" customHeight="1">
      <c r="A3957" s="309" t="str">
        <f>IF(B3957&lt;&gt;"",IF(AND(B3957='IN-TC'!$S$4,OR(TH!N3955="1111",TH!O3955="1111")),TH!D3955,""),"")</f>
        <v/>
      </c>
      <c r="B3957" s="1241">
        <f t="shared" si="1308"/>
        <v>4</v>
      </c>
      <c r="C3957" s="292">
        <f t="shared" si="1309"/>
        <v>42845</v>
      </c>
      <c r="D3957" s="59" t="s">
        <v>902</v>
      </c>
      <c r="E3957" s="59">
        <v>42845</v>
      </c>
      <c r="F3957" s="131" t="s">
        <v>870</v>
      </c>
      <c r="G3957" s="62" t="s">
        <v>747</v>
      </c>
      <c r="H3957" s="311" t="s">
        <v>835</v>
      </c>
      <c r="I3957" s="373"/>
      <c r="J3957" s="379"/>
      <c r="K3957" s="373"/>
      <c r="L3957" s="379"/>
      <c r="M3957" s="60">
        <v>425833</v>
      </c>
      <c r="N3957" s="61" t="s">
        <v>101</v>
      </c>
      <c r="O3957" s="61" t="s">
        <v>26</v>
      </c>
      <c r="P3957" s="75" t="str">
        <f>IF(AND('331-CT'!$E$7=TH!H5106,OR(N3957="331",O3957="331")),"x","")</f>
        <v/>
      </c>
      <c r="Q3957" s="75" t="str">
        <f>IF(AND(B3957='111'!$L$11,OR($N3957=$Q$7,$O3957=$Q$7)),"x","")</f>
        <v/>
      </c>
      <c r="R3957" s="75" t="str">
        <f>IF(AND($N3957=$Q$7,$B3957&lt;'111'!$L$11),"x","")</f>
        <v/>
      </c>
      <c r="S3957" s="75" t="str">
        <f>IF(AND($O3957=$Q$7,$B3957&lt;'111'!$L$11),"x","")</f>
        <v/>
      </c>
      <c r="T3957" s="75" t="str">
        <f>IF(ISERROR(FIND('112'!$M$9,G3957,1)),"",IF((AND(FIND('112'!$M$9,G3957,1)&gt;=1,B3957='112'!$K$9,OR($N3957='112'!$I$6,$O3957='112'!$I$6))),"x",""))</f>
        <v/>
      </c>
      <c r="U3957" s="75" t="str">
        <f>IF(ISERROR(FIND('112'!$M$9,G3957,1)),"",IF((AND(LEFT(G3957,2)=LEFT('112'!$M$9,2),B3957&lt;'112'!$K$9,$N3957='112'!$I$6)),"x",""))</f>
        <v/>
      </c>
      <c r="V3957" s="75" t="str">
        <f>IF(ISERROR(FIND('112'!$M$9,G3957,1)),"",IF((AND(RIGHT(G3957,2)=RIGHT('112'!$M$9,2),B3957&lt;'112'!$K$9,$O3957='112'!$I$6)),"x",""))</f>
        <v/>
      </c>
      <c r="W3957" s="75" t="str">
        <f>IF(AND('341-CT'!$H$9=H3957,OR(LEFT(N3957,3)=$W$7,LEFT(O3957,3)=$W$7)),"x","")</f>
        <v/>
      </c>
      <c r="X3957" s="75" t="str">
        <f>IF(OR(TH!N5106=TH!$X$7,O3957=TH!$X$7),"x","")</f>
        <v/>
      </c>
      <c r="Y3957" s="75" t="str">
        <f>IF(AND(OR(N3957="131",O3957="131"),H3957='131-CT'!$H$9),"x","")</f>
        <v/>
      </c>
      <c r="Z3957" s="75"/>
      <c r="AA3957" s="75" t="str">
        <f>IF(AND(MONTH(E3957)='IN-NX'!$J$5,'IN-NX'!$D$7=D3957),"x","")</f>
        <v/>
      </c>
      <c r="AB3957" s="75" t="str">
        <f>IF(AND(OR(LEFT(TH!N5106,2)="15",LEFT(TH!O5106,2)="15"),LEFT(TH!O5106,3)&lt;&gt;"111",'152-CT'!$J$8=TH!F5106),"x","")</f>
        <v/>
      </c>
      <c r="AC3957" s="75" t="str">
        <f>IF(AND(OR(LEFT(TH!N5106,2)="15",LEFT(TH!O5106,2)="15"),TK!$E$7=TH!F5106),"x","")</f>
        <v/>
      </c>
      <c r="AD3957" s="75" t="str">
        <f>IF(AND(N3957="1521",MONTH(C3957)='BK-NL'!$M$11),"x","")</f>
        <v/>
      </c>
    </row>
    <row r="3958" spans="1:30" ht="18" customHeight="1">
      <c r="A3958" s="309" t="str">
        <f>IF(B3958&lt;&gt;"",IF(AND(B3958='IN-TC'!$S$4,OR(TH!N3956="1111",TH!O3956="1111")),TH!D3956,""),"")</f>
        <v/>
      </c>
      <c r="B3958" s="1241">
        <f t="shared" si="1308"/>
        <v>4</v>
      </c>
      <c r="C3958" s="292">
        <f t="shared" si="1309"/>
        <v>42845</v>
      </c>
      <c r="D3958" s="59" t="s">
        <v>902</v>
      </c>
      <c r="E3958" s="59">
        <v>42845</v>
      </c>
      <c r="F3958" s="131" t="s">
        <v>898</v>
      </c>
      <c r="G3958" s="62" t="s">
        <v>747</v>
      </c>
      <c r="H3958" s="311" t="s">
        <v>835</v>
      </c>
      <c r="I3958" s="373"/>
      <c r="J3958" s="379"/>
      <c r="K3958" s="373"/>
      <c r="L3958" s="379"/>
      <c r="M3958" s="60">
        <v>42583</v>
      </c>
      <c r="N3958" s="61" t="s">
        <v>9</v>
      </c>
      <c r="O3958" s="61" t="s">
        <v>26</v>
      </c>
      <c r="P3958" s="75" t="str">
        <f>IF(AND('331-CT'!$E$7=TH!H5107,OR(N3958="331",O3958="331")),"x","")</f>
        <v/>
      </c>
      <c r="Q3958" s="75" t="str">
        <f>IF(AND(B3958='111'!$L$11,OR($N3958=$Q$7,$O3958=$Q$7)),"x","")</f>
        <v/>
      </c>
      <c r="R3958" s="75" t="str">
        <f>IF(AND($N3958=$Q$7,$B3958&lt;'111'!$L$11),"x","")</f>
        <v/>
      </c>
      <c r="S3958" s="75" t="str">
        <f>IF(AND($O3958=$Q$7,$B3958&lt;'111'!$L$11),"x","")</f>
        <v/>
      </c>
      <c r="T3958" s="75" t="str">
        <f>IF(ISERROR(FIND('112'!$M$9,G3958,1)),"",IF((AND(FIND('112'!$M$9,G3958,1)&gt;=1,B3958='112'!$K$9,OR($N3958='112'!$I$6,$O3958='112'!$I$6))),"x",""))</f>
        <v/>
      </c>
      <c r="U3958" s="75" t="str">
        <f>IF(ISERROR(FIND('112'!$M$9,G3958,1)),"",IF((AND(LEFT(G3958,2)=LEFT('112'!$M$9,2),B3958&lt;'112'!$K$9,$N3958='112'!$I$6)),"x",""))</f>
        <v/>
      </c>
      <c r="V3958" s="75" t="str">
        <f>IF(ISERROR(FIND('112'!$M$9,G3958,1)),"",IF((AND(RIGHT(G3958,2)=RIGHT('112'!$M$9,2),B3958&lt;'112'!$K$9,$O3958='112'!$I$6)),"x",""))</f>
        <v/>
      </c>
      <c r="W3958" s="75" t="str">
        <f>IF(AND('341-CT'!$H$9=H3958,OR(LEFT(N3958,3)=$W$7,LEFT(O3958,3)=$W$7)),"x","")</f>
        <v/>
      </c>
      <c r="X3958" s="75" t="str">
        <f>IF(OR(TH!N5107=TH!$X$7,O3958=TH!$X$7),"x","")</f>
        <v/>
      </c>
      <c r="Y3958" s="75" t="str">
        <f>IF(AND(OR(N3958="131",O3958="131"),H3958='131-CT'!$H$9),"x","")</f>
        <v/>
      </c>
      <c r="Z3958" s="75"/>
      <c r="AA3958" s="75" t="str">
        <f>IF(AND(MONTH(E3958)='IN-NX'!$J$5,'IN-NX'!$D$7=D3958),"x","")</f>
        <v/>
      </c>
      <c r="AB3958" s="75" t="str">
        <f>IF(AND(OR(LEFT(TH!N5107,2)="15",LEFT(TH!O5107,2)="15"),LEFT(TH!O5107,3)&lt;&gt;"111",'152-CT'!$J$8=TH!F5107),"x","")</f>
        <v/>
      </c>
      <c r="AC3958" s="75" t="str">
        <f>IF(AND(OR(LEFT(TH!N5107,2)="15",LEFT(TH!O5107,2)="15"),TK!$E$7=TH!F5107),"x","")</f>
        <v/>
      </c>
      <c r="AD3958" s="75" t="str">
        <f>IF(AND(N3958="1521",MONTH(C3958)='BK-NL'!$M$11),"x","")</f>
        <v/>
      </c>
    </row>
    <row r="3959" spans="1:30" ht="16.5" customHeight="1">
      <c r="A3959" s="309" t="str">
        <f>IF(B3959&lt;&gt;"",IF(AND(B3959='IN-TC'!$S$4,OR(TH!N3957="1111",TH!O3957="1111")),TH!D3957,""),"")</f>
        <v/>
      </c>
      <c r="B3959" s="1241">
        <f t="shared" si="1308"/>
        <v>4</v>
      </c>
      <c r="C3959" s="292">
        <f t="shared" si="1309"/>
        <v>42846</v>
      </c>
      <c r="D3959" s="292" t="s">
        <v>1949</v>
      </c>
      <c r="E3959" s="292">
        <v>42846</v>
      </c>
      <c r="F3959" s="131" t="s">
        <v>1296</v>
      </c>
      <c r="G3959" s="62" t="s">
        <v>1298</v>
      </c>
      <c r="H3959" s="311" t="s">
        <v>1299</v>
      </c>
      <c r="I3959" s="373"/>
      <c r="J3959" s="379"/>
      <c r="K3959" s="373"/>
      <c r="L3959" s="379"/>
      <c r="M3959" s="60">
        <v>3090909</v>
      </c>
      <c r="N3959" s="61" t="s">
        <v>101</v>
      </c>
      <c r="O3959" s="934" t="s">
        <v>63</v>
      </c>
      <c r="P3959" s="75" t="str">
        <f>IF(AND('331-CT'!$E$7=TH!H3606,OR(N3959="331",O3959="331")),"x","")</f>
        <v/>
      </c>
      <c r="Q3959" s="75" t="str">
        <f>IF(AND(B3959='111'!$L$11,OR($N3959=$Q$7,$O3959=$Q$7)),"x","")</f>
        <v/>
      </c>
      <c r="R3959" s="75" t="str">
        <f>IF(AND($N3959=$Q$7,$B3959&lt;'111'!$L$11),"x","")</f>
        <v/>
      </c>
      <c r="S3959" s="75" t="str">
        <f>IF(AND($O3959=$Q$7,$B3959&lt;'111'!$L$11),"x","")</f>
        <v>x</v>
      </c>
      <c r="T3959" s="75" t="str">
        <f>IF(ISERROR(FIND('112'!$M$9,G3959,1)),"",IF((AND(FIND('112'!$M$9,G3959,1)&gt;=1,B3959='112'!$K$9,OR($N3959='112'!$I$6,$O3959='112'!$I$6))),"x",""))</f>
        <v/>
      </c>
      <c r="U3959" s="75" t="str">
        <f>IF(ISERROR(FIND('112'!$M$9,G3959,1)),"",IF((AND(LEFT(G3959,2)=LEFT('112'!$M$9,2),B3959&lt;'112'!$K$9,$N3959='112'!$I$6)),"x",""))</f>
        <v/>
      </c>
      <c r="V3959" s="75" t="str">
        <f>IF(ISERROR(FIND('112'!$M$9,G3959,1)),"",IF((AND(RIGHT(G3959,2)=RIGHT('112'!$M$9,2),B3959&lt;'112'!$K$9,$O3959='112'!$I$6)),"x",""))</f>
        <v/>
      </c>
      <c r="W3959" s="75" t="str">
        <f>IF(AND('341-CT'!$H$9=H3959,OR(LEFT(N3959,3)=$W$7,LEFT(O3959,3)=$W$7)),"x","")</f>
        <v/>
      </c>
      <c r="X3959" s="75" t="str">
        <f>IF(OR(TH!N3606=TH!$X$7,O3959=TH!$X$7),"x","")</f>
        <v/>
      </c>
      <c r="Y3959" s="75" t="str">
        <f>IF(AND(OR(N3959="131",O3959="131"),H3959='131-CT'!$H$9),"x","")</f>
        <v/>
      </c>
      <c r="Z3959" s="75"/>
      <c r="AA3959" s="75" t="str">
        <f>IF(AND(MONTH(E3959)='IN-NX'!$J$5,'IN-NX'!$D$7=D3959),"x","")</f>
        <v/>
      </c>
      <c r="AB3959" s="75" t="str">
        <f>IF(AND(OR(LEFT(TH!N3606,2)="15",LEFT(TH!O3606,2)="15"),LEFT(TH!O3606,3)&lt;&gt;"111",'152-CT'!$J$8=TH!F3606),"x","")</f>
        <v/>
      </c>
      <c r="AC3959" s="75" t="str">
        <f>IF(AND(OR(LEFT(TH!N3606,2)="15",LEFT(TH!O3606,2)="15"),TK!$E$7=TH!F3606),"x","")</f>
        <v/>
      </c>
      <c r="AD3959" s="75" t="str">
        <f>IF(AND(N3959="1521",MONTH(C3959)='BK-NL'!$M$11),"x","")</f>
        <v/>
      </c>
    </row>
    <row r="3960" spans="1:30" ht="16.5" customHeight="1">
      <c r="A3960" s="309" t="str">
        <f>IF(B3960&lt;&gt;"",IF(AND(B3960='IN-TC'!$S$4,OR(TH!N3958="1111",TH!O3958="1111")),TH!D3958,""),"")</f>
        <v/>
      </c>
      <c r="B3960" s="1241">
        <f t="shared" si="1308"/>
        <v>4</v>
      </c>
      <c r="C3960" s="292">
        <f t="shared" si="1309"/>
        <v>42846</v>
      </c>
      <c r="D3960" s="292" t="s">
        <v>1949</v>
      </c>
      <c r="E3960" s="292">
        <v>42846</v>
      </c>
      <c r="F3960" s="131" t="s">
        <v>1297</v>
      </c>
      <c r="G3960" s="62" t="s">
        <v>1298</v>
      </c>
      <c r="H3960" s="311" t="s">
        <v>1299</v>
      </c>
      <c r="I3960" s="373"/>
      <c r="J3960" s="379"/>
      <c r="K3960" s="373"/>
      <c r="L3960" s="379"/>
      <c r="M3960" s="60">
        <v>309091</v>
      </c>
      <c r="N3960" s="61" t="s">
        <v>9</v>
      </c>
      <c r="O3960" s="934" t="s">
        <v>63</v>
      </c>
      <c r="P3960" s="75" t="str">
        <f>IF(AND('331-CT'!$E$7=TH!H3607,OR(N3960="331",O3960="331")),"x","")</f>
        <v/>
      </c>
      <c r="Q3960" s="75" t="str">
        <f>IF(AND(B3960='111'!$L$11,OR($N3960=$Q$7,$O3960=$Q$7)),"x","")</f>
        <v/>
      </c>
      <c r="R3960" s="75" t="str">
        <f>IF(AND($N3960=$Q$7,$B3960&lt;'111'!$L$11),"x","")</f>
        <v/>
      </c>
      <c r="S3960" s="75" t="str">
        <f>IF(AND($O3960=$Q$7,$B3960&lt;'111'!$L$11),"x","")</f>
        <v>x</v>
      </c>
      <c r="T3960" s="75" t="str">
        <f>IF(ISERROR(FIND('112'!$M$9,G3960,1)),"",IF((AND(FIND('112'!$M$9,G3960,1)&gt;=1,B3960='112'!$K$9,OR($N3960='112'!$I$6,$O3960='112'!$I$6))),"x",""))</f>
        <v/>
      </c>
      <c r="U3960" s="75" t="str">
        <f>IF(ISERROR(FIND('112'!$M$9,G3960,1)),"",IF((AND(LEFT(G3960,2)=LEFT('112'!$M$9,2),B3960&lt;'112'!$K$9,$N3960='112'!$I$6)),"x",""))</f>
        <v/>
      </c>
      <c r="V3960" s="75" t="str">
        <f>IF(ISERROR(FIND('112'!$M$9,G3960,1)),"",IF((AND(RIGHT(G3960,2)=RIGHT('112'!$M$9,2),B3960&lt;'112'!$K$9,$O3960='112'!$I$6)),"x",""))</f>
        <v/>
      </c>
      <c r="W3960" s="75" t="str">
        <f>IF(AND('341-CT'!$H$9=H3960,OR(LEFT(N3960,3)=$W$7,LEFT(O3960,3)=$W$7)),"x","")</f>
        <v/>
      </c>
      <c r="X3960" s="75" t="str">
        <f>IF(OR(TH!N3607=TH!$X$7,O3960=TH!$X$7),"x","")</f>
        <v/>
      </c>
      <c r="Y3960" s="75" t="str">
        <f>IF(AND(OR(N3960="131",O3960="131"),H3960='131-CT'!$H$9),"x","")</f>
        <v/>
      </c>
      <c r="Z3960" s="75"/>
      <c r="AA3960" s="75" t="str">
        <f>IF(AND(MONTH(E3960)='IN-NX'!$J$5,'IN-NX'!$D$7=D3960),"x","")</f>
        <v/>
      </c>
      <c r="AB3960" s="75" t="str">
        <f>IF(AND(OR(LEFT(TH!N3607,2)="15",LEFT(TH!O3607,2)="15"),LEFT(TH!O3607,3)&lt;&gt;"111",'152-CT'!$J$8=TH!F3607),"x","")</f>
        <v/>
      </c>
      <c r="AC3960" s="75" t="str">
        <f>IF(AND(OR(LEFT(TH!N3607,2)="15",LEFT(TH!O3607,2)="15"),TK!$E$7=TH!F3607),"x","")</f>
        <v/>
      </c>
      <c r="AD3960" s="75" t="str">
        <f>IF(AND(N3960="1521",MONTH(C3960)='BK-NL'!$M$11),"x","")</f>
        <v/>
      </c>
    </row>
    <row r="3961" spans="1:30" ht="18" customHeight="1">
      <c r="A3961" s="309" t="str">
        <f>IF(B3961&lt;&gt;"",IF(AND(B3961='IN-TC'!$S$4,OR(TH!N3959="1111",TH!O3959="1111")),TH!D3959,""),"")</f>
        <v/>
      </c>
      <c r="B3961" s="1241">
        <f t="shared" si="1308"/>
        <v>4</v>
      </c>
      <c r="C3961" s="292">
        <f t="shared" si="1309"/>
        <v>42846</v>
      </c>
      <c r="D3961" s="292" t="s">
        <v>1950</v>
      </c>
      <c r="E3961" s="292">
        <v>42846</v>
      </c>
      <c r="F3961" s="131" t="s">
        <v>1463</v>
      </c>
      <c r="G3961" s="62" t="s">
        <v>1464</v>
      </c>
      <c r="H3961" s="311" t="s">
        <v>741</v>
      </c>
      <c r="I3961" s="373"/>
      <c r="J3961" s="379"/>
      <c r="K3961" s="373"/>
      <c r="L3961" s="379"/>
      <c r="M3961" s="60">
        <v>1600000</v>
      </c>
      <c r="N3961" s="61" t="s">
        <v>539</v>
      </c>
      <c r="O3961" s="934" t="s">
        <v>63</v>
      </c>
      <c r="P3961" s="75" t="str">
        <f>IF(AND('331-CT'!$E$7=TH!H3608,OR(N3961="331",O3961="331")),"x","")</f>
        <v/>
      </c>
      <c r="Q3961" s="75" t="str">
        <f>IF(AND(B3961='111'!$L$11,OR($N3961=$Q$7,$O3961=$Q$7)),"x","")</f>
        <v/>
      </c>
      <c r="R3961" s="75" t="str">
        <f>IF(AND($N3961=$Q$7,$B3961&lt;'111'!$L$11),"x","")</f>
        <v/>
      </c>
      <c r="S3961" s="75" t="str">
        <f>IF(AND($O3961=$Q$7,$B3961&lt;'111'!$L$11),"x","")</f>
        <v>x</v>
      </c>
      <c r="T3961" s="75" t="str">
        <f>IF(ISERROR(FIND('112'!$M$9,G3961,1)),"",IF((AND(FIND('112'!$M$9,G3961,1)&gt;=1,B3961='112'!$K$9,OR($N3961='112'!$I$6,$O3961='112'!$I$6))),"x",""))</f>
        <v/>
      </c>
      <c r="U3961" s="75" t="str">
        <f>IF(ISERROR(FIND('112'!$M$9,G3961,1)),"",IF((AND(LEFT(G3961,2)=LEFT('112'!$M$9,2),B3961&lt;'112'!$K$9,$N3961='112'!$I$6)),"x",""))</f>
        <v/>
      </c>
      <c r="V3961" s="75" t="str">
        <f>IF(ISERROR(FIND('112'!$M$9,G3961,1)),"",IF((AND(RIGHT(G3961,2)=RIGHT('112'!$M$9,2),B3961&lt;'112'!$K$9,$O3961='112'!$I$6)),"x",""))</f>
        <v/>
      </c>
      <c r="W3961" s="75" t="str">
        <f>IF(AND('341-CT'!$H$9=H3961,OR(LEFT(N3961,3)=$W$7,LEFT(O3961,3)=$W$7)),"x","")</f>
        <v/>
      </c>
      <c r="X3961" s="75" t="str">
        <f>IF(OR(TH!N3608=TH!$X$7,O3961=TH!$X$7),"x","")</f>
        <v/>
      </c>
      <c r="Y3961" s="75" t="str">
        <f>IF(AND(OR(N3961="131",O3961="131"),H3961='131-CT'!$H$9),"x","")</f>
        <v/>
      </c>
      <c r="Z3961" s="75"/>
      <c r="AA3961" s="75" t="str">
        <f>IF(AND(MONTH(E3961)='IN-NX'!$J$5,'IN-NX'!$D$7=D3961),"x","")</f>
        <v/>
      </c>
      <c r="AB3961" s="75" t="str">
        <f>IF(AND(OR(LEFT(TH!N3608,2)="15",LEFT(TH!O3608,2)="15"),LEFT(TH!O3608,3)&lt;&gt;"111",'152-CT'!$J$8=TH!F3608),"x","")</f>
        <v/>
      </c>
      <c r="AC3961" s="75" t="str">
        <f>IF(AND(OR(LEFT(TH!N3608,2)="15",LEFT(TH!O3608,2)="15"),TK!$E$7=TH!F3608),"x","")</f>
        <v/>
      </c>
      <c r="AD3961" s="75" t="str">
        <f>IF(AND(N3961="1521",MONTH(C3961)='BK-NL'!$M$11),"x","")</f>
        <v/>
      </c>
    </row>
    <row r="3962" spans="1:30" ht="18" customHeight="1">
      <c r="A3962" s="309" t="str">
        <f>IF(B3962&lt;&gt;"",IF(AND(B3962='IN-TC'!$S$4,OR(TH!N3960="1111",TH!O3960="1111")),TH!D3960,""),"")</f>
        <v/>
      </c>
      <c r="B3962" s="1241">
        <f t="shared" si="1308"/>
        <v>4</v>
      </c>
      <c r="C3962" s="292">
        <f t="shared" si="1309"/>
        <v>42846</v>
      </c>
      <c r="D3962" s="292" t="s">
        <v>1951</v>
      </c>
      <c r="E3962" s="292">
        <v>42846</v>
      </c>
      <c r="F3962" s="131" t="s">
        <v>1465</v>
      </c>
      <c r="G3962" s="62" t="s">
        <v>1466</v>
      </c>
      <c r="H3962" s="311" t="s">
        <v>1467</v>
      </c>
      <c r="I3962" s="373"/>
      <c r="J3962" s="379"/>
      <c r="K3962" s="373"/>
      <c r="L3962" s="379"/>
      <c r="M3962" s="60">
        <v>5193104</v>
      </c>
      <c r="N3962" s="61" t="s">
        <v>539</v>
      </c>
      <c r="O3962" s="934" t="s">
        <v>63</v>
      </c>
      <c r="P3962" s="75" t="str">
        <f>IF(AND('331-CT'!$E$7=TH!H3609,OR(N3962="331",O3962="331")),"x","")</f>
        <v/>
      </c>
      <c r="Q3962" s="75" t="str">
        <f>IF(AND(B3962='111'!$L$11,OR($N3962=$Q$7,$O3962=$Q$7)),"x","")</f>
        <v/>
      </c>
      <c r="R3962" s="75" t="str">
        <f>IF(AND($N3962=$Q$7,$B3962&lt;'111'!$L$11),"x","")</f>
        <v/>
      </c>
      <c r="S3962" s="75" t="str">
        <f>IF(AND($O3962=$Q$7,$B3962&lt;'111'!$L$11),"x","")</f>
        <v>x</v>
      </c>
      <c r="T3962" s="75" t="str">
        <f>IF(ISERROR(FIND('112'!$M$9,G3962,1)),"",IF((AND(FIND('112'!$M$9,G3962,1)&gt;=1,B3962='112'!$K$9,OR($N3962='112'!$I$6,$O3962='112'!$I$6))),"x",""))</f>
        <v/>
      </c>
      <c r="U3962" s="75" t="str">
        <f>IF(ISERROR(FIND('112'!$M$9,G3962,1)),"",IF((AND(LEFT(G3962,2)=LEFT('112'!$M$9,2),B3962&lt;'112'!$K$9,$N3962='112'!$I$6)),"x",""))</f>
        <v/>
      </c>
      <c r="V3962" s="75" t="str">
        <f>IF(ISERROR(FIND('112'!$M$9,G3962,1)),"",IF((AND(RIGHT(G3962,2)=RIGHT('112'!$M$9,2),B3962&lt;'112'!$K$9,$O3962='112'!$I$6)),"x",""))</f>
        <v/>
      </c>
      <c r="W3962" s="75" t="str">
        <f>IF(AND('341-CT'!$H$9=H3962,OR(LEFT(N3962,3)=$W$7,LEFT(O3962,3)=$W$7)),"x","")</f>
        <v/>
      </c>
      <c r="X3962" s="75" t="str">
        <f>IF(OR(TH!N3609=TH!$X$7,O3962=TH!$X$7),"x","")</f>
        <v/>
      </c>
      <c r="Y3962" s="75" t="str">
        <f>IF(AND(OR(N3962="131",O3962="131"),H3962='131-CT'!$H$9),"x","")</f>
        <v/>
      </c>
      <c r="Z3962" s="75"/>
      <c r="AA3962" s="75" t="str">
        <f>IF(AND(MONTH(E3962)='IN-NX'!$J$5,'IN-NX'!$D$7=D3962),"x","")</f>
        <v/>
      </c>
      <c r="AB3962" s="75" t="str">
        <f>IF(AND(OR(LEFT(TH!N3609,2)="15",LEFT(TH!O3609,2)="15"),LEFT(TH!O3609,3)&lt;&gt;"111",'152-CT'!$J$8=TH!F3609),"x","")</f>
        <v/>
      </c>
      <c r="AC3962" s="75" t="str">
        <f>IF(AND(OR(LEFT(TH!N3609,2)="15",LEFT(TH!O3609,2)="15"),TK!$E$7=TH!F3609),"x","")</f>
        <v/>
      </c>
      <c r="AD3962" s="75" t="str">
        <f>IF(AND(N3962="1521",MONTH(C3962)='BK-NL'!$M$11),"x","")</f>
        <v/>
      </c>
    </row>
    <row r="3963" spans="1:30" ht="18" customHeight="1">
      <c r="A3963" s="309" t="str">
        <f>IF(B3963&lt;&gt;"",IF(AND(B3963='IN-TC'!$S$4,OR(TH!N3961="1111",TH!O3961="1111")),TH!D3961,""),"")</f>
        <v/>
      </c>
      <c r="B3963" s="1241">
        <f t="shared" si="1308"/>
        <v>4</v>
      </c>
      <c r="C3963" s="292">
        <f t="shared" si="1309"/>
        <v>42846</v>
      </c>
      <c r="D3963" s="292" t="s">
        <v>1951</v>
      </c>
      <c r="E3963" s="292">
        <v>42846</v>
      </c>
      <c r="F3963" s="131" t="s">
        <v>1468</v>
      </c>
      <c r="G3963" s="62" t="s">
        <v>1466</v>
      </c>
      <c r="H3963" s="311" t="s">
        <v>1467</v>
      </c>
      <c r="I3963" s="373"/>
      <c r="J3963" s="379"/>
      <c r="K3963" s="373"/>
      <c r="L3963" s="379"/>
      <c r="M3963" s="60">
        <v>519311</v>
      </c>
      <c r="N3963" s="61" t="s">
        <v>9</v>
      </c>
      <c r="O3963" s="934" t="s">
        <v>63</v>
      </c>
      <c r="P3963" s="75" t="str">
        <f>IF(AND('331-CT'!$E$7=TH!H3610,OR(N3963="331",O3963="331")),"x","")</f>
        <v/>
      </c>
      <c r="Q3963" s="75" t="str">
        <f>IF(AND(B3963='111'!$L$11,OR($N3963=$Q$7,$O3963=$Q$7)),"x","")</f>
        <v/>
      </c>
      <c r="R3963" s="75" t="str">
        <f>IF(AND($N3963=$Q$7,$B3963&lt;'111'!$L$11),"x","")</f>
        <v/>
      </c>
      <c r="S3963" s="75" t="str">
        <f>IF(AND($O3963=$Q$7,$B3963&lt;'111'!$L$11),"x","")</f>
        <v>x</v>
      </c>
      <c r="T3963" s="75" t="str">
        <f>IF(ISERROR(FIND('112'!$M$9,G3963,1)),"",IF((AND(FIND('112'!$M$9,G3963,1)&gt;=1,B3963='112'!$K$9,OR($N3963='112'!$I$6,$O3963='112'!$I$6))),"x",""))</f>
        <v/>
      </c>
      <c r="U3963" s="75" t="str">
        <f>IF(ISERROR(FIND('112'!$M$9,G3963,1)),"",IF((AND(LEFT(G3963,2)=LEFT('112'!$M$9,2),B3963&lt;'112'!$K$9,$N3963='112'!$I$6)),"x",""))</f>
        <v/>
      </c>
      <c r="V3963" s="75" t="str">
        <f>IF(ISERROR(FIND('112'!$M$9,G3963,1)),"",IF((AND(RIGHT(G3963,2)=RIGHT('112'!$M$9,2),B3963&lt;'112'!$K$9,$O3963='112'!$I$6)),"x",""))</f>
        <v/>
      </c>
      <c r="W3963" s="75" t="str">
        <f>IF(AND('341-CT'!$H$9=H3963,OR(LEFT(N3963,3)=$W$7,LEFT(O3963,3)=$W$7)),"x","")</f>
        <v/>
      </c>
      <c r="X3963" s="75" t="str">
        <f>IF(OR(TH!N3610=TH!$X$7,O3963=TH!$X$7),"x","")</f>
        <v/>
      </c>
      <c r="Y3963" s="75" t="str">
        <f>IF(AND(OR(N3963="131",O3963="131"),H3963='131-CT'!$H$9),"x","")</f>
        <v/>
      </c>
      <c r="Z3963" s="75"/>
      <c r="AA3963" s="75" t="str">
        <f>IF(AND(MONTH(E3963)='IN-NX'!$J$5,'IN-NX'!$D$7=D3963),"x","")</f>
        <v/>
      </c>
      <c r="AB3963" s="75" t="str">
        <f>IF(AND(OR(LEFT(TH!N3610,2)="15",LEFT(TH!O3610,2)="15"),LEFT(TH!O3610,3)&lt;&gt;"111",'152-CT'!$J$8=TH!F3610),"x","")</f>
        <v/>
      </c>
      <c r="AC3963" s="75" t="str">
        <f>IF(AND(OR(LEFT(TH!N3610,2)="15",LEFT(TH!O3610,2)="15"),TK!$E$7=TH!F3610),"x","")</f>
        <v/>
      </c>
      <c r="AD3963" s="75" t="str">
        <f>IF(AND(N3963="1521",MONTH(C3963)='BK-NL'!$M$11),"x","")</f>
        <v/>
      </c>
    </row>
    <row r="3964" spans="1:30" ht="16.5" customHeight="1">
      <c r="A3964" s="309" t="str">
        <f>IF(B3964&lt;&gt;"",IF(AND(B3964='IN-TC'!$S$4,OR(TH!N3962="1111",TH!O3962="1111")),TH!D3962,""),"")</f>
        <v/>
      </c>
      <c r="B3964" s="1241">
        <f t="shared" si="1308"/>
        <v>4</v>
      </c>
      <c r="C3964" s="292">
        <f t="shared" si="1309"/>
        <v>42846</v>
      </c>
      <c r="D3964" s="59" t="s">
        <v>902</v>
      </c>
      <c r="E3964" s="59">
        <v>42846</v>
      </c>
      <c r="F3964" s="131" t="s">
        <v>1087</v>
      </c>
      <c r="G3964" s="62" t="s">
        <v>747</v>
      </c>
      <c r="H3964" s="294" t="s">
        <v>622</v>
      </c>
      <c r="I3964" s="373"/>
      <c r="J3964" s="379"/>
      <c r="K3964" s="373"/>
      <c r="L3964" s="379"/>
      <c r="M3964" s="60">
        <v>250000000</v>
      </c>
      <c r="N3964" s="61" t="s">
        <v>8</v>
      </c>
      <c r="O3964" s="61" t="s">
        <v>26</v>
      </c>
      <c r="P3964" s="75" t="str">
        <f>IF(AND('331-CT'!$E$7=TH!H5108,OR(N3964="331",O3964="331")),"x","")</f>
        <v/>
      </c>
      <c r="Q3964" s="75" t="str">
        <f>IF(AND(B3964='111'!$L$11,OR($N3964=$Q$7,$O3964=$Q$7)),"x","")</f>
        <v/>
      </c>
      <c r="R3964" s="75" t="str">
        <f>IF(AND($N3964=$Q$7,$B3964&lt;'111'!$L$11),"x","")</f>
        <v/>
      </c>
      <c r="S3964" s="75" t="str">
        <f>IF(AND($O3964=$Q$7,$B3964&lt;'111'!$L$11),"x","")</f>
        <v/>
      </c>
      <c r="T3964" s="75" t="str">
        <f>IF(ISERROR(FIND('112'!$M$9,G3964,1)),"",IF((AND(FIND('112'!$M$9,G3964,1)&gt;=1,B3964='112'!$K$9,OR($N3964='112'!$I$6,$O3964='112'!$I$6))),"x",""))</f>
        <v/>
      </c>
      <c r="U3964" s="75" t="str">
        <f>IF(ISERROR(FIND('112'!$M$9,G3964,1)),"",IF((AND(LEFT(G3964,2)=LEFT('112'!$M$9,2),B3964&lt;'112'!$K$9,$N3964='112'!$I$6)),"x",""))</f>
        <v/>
      </c>
      <c r="V3964" s="75" t="str">
        <f>IF(ISERROR(FIND('112'!$M$9,G3964,1)),"",IF((AND(RIGHT(G3964,2)=RIGHT('112'!$M$9,2),B3964&lt;'112'!$K$9,$O3964='112'!$I$6)),"x",""))</f>
        <v/>
      </c>
      <c r="W3964" s="75" t="str">
        <f>IF(AND('341-CT'!$H$9=H3964,OR(LEFT(N3964,3)=$W$7,LEFT(O3964,3)=$W$7)),"x","")</f>
        <v/>
      </c>
      <c r="X3964" s="75" t="str">
        <f>IF(OR(TH!N5108=TH!$X$7,O3964=TH!$X$7),"x","")</f>
        <v/>
      </c>
      <c r="Y3964" s="75" t="str">
        <f>IF(AND(OR(N3964="131",O3964="131"),H3964='131-CT'!$H$9),"x","")</f>
        <v/>
      </c>
      <c r="Z3964" s="75"/>
      <c r="AA3964" s="75" t="str">
        <f>IF(AND(MONTH(E3964)='IN-NX'!$J$5,'IN-NX'!$D$7=D3964),"x","")</f>
        <v/>
      </c>
      <c r="AB3964" s="75" t="str">
        <f>IF(AND(OR(LEFT(TH!N5108,2)="15",LEFT(TH!O5108,2)="15"),LEFT(TH!O5108,3)&lt;&gt;"111",'152-CT'!$J$8=TH!F5108),"x","")</f>
        <v/>
      </c>
      <c r="AC3964" s="75" t="str">
        <f>IF(AND(OR(LEFT(TH!N5108,2)="15",LEFT(TH!O5108,2)="15"),TK!$E$7=TH!F5108),"x","")</f>
        <v/>
      </c>
      <c r="AD3964" s="75" t="str">
        <f>IF(AND(N3964="1521",MONTH(C3964)='BK-NL'!$M$11),"x","")</f>
        <v/>
      </c>
    </row>
    <row r="3965" spans="1:30" ht="16.5" customHeight="1">
      <c r="A3965" s="309" t="str">
        <f>IF(B3965&lt;&gt;"",IF(AND(B3965='IN-TC'!$S$4,OR(TH!N3963="1111",TH!O3963="1111")),TH!D3963,""),"")</f>
        <v/>
      </c>
      <c r="B3965" s="1241">
        <f t="shared" si="1308"/>
        <v>4</v>
      </c>
      <c r="C3965" s="292">
        <f t="shared" si="1309"/>
        <v>42846</v>
      </c>
      <c r="D3965" s="59" t="s">
        <v>902</v>
      </c>
      <c r="E3965" s="59">
        <v>42846</v>
      </c>
      <c r="F3965" s="131" t="s">
        <v>870</v>
      </c>
      <c r="G3965" s="62" t="s">
        <v>747</v>
      </c>
      <c r="H3965" s="311" t="s">
        <v>835</v>
      </c>
      <c r="I3965" s="373"/>
      <c r="J3965" s="379"/>
      <c r="K3965" s="373"/>
      <c r="L3965" s="379"/>
      <c r="M3965" s="60">
        <v>75000</v>
      </c>
      <c r="N3965" s="61" t="s">
        <v>101</v>
      </c>
      <c r="O3965" s="61" t="s">
        <v>26</v>
      </c>
      <c r="P3965" s="75" t="str">
        <f>IF(AND('331-CT'!$E$7=TH!H5109,OR(N3965="331",O3965="331")),"x","")</f>
        <v/>
      </c>
      <c r="Q3965" s="75" t="str">
        <f>IF(AND(B3965='111'!$L$11,OR($N3965=$Q$7,$O3965=$Q$7)),"x","")</f>
        <v/>
      </c>
      <c r="R3965" s="75" t="str">
        <f>IF(AND($N3965=$Q$7,$B3965&lt;'111'!$L$11),"x","")</f>
        <v/>
      </c>
      <c r="S3965" s="75" t="str">
        <f>IF(AND($O3965=$Q$7,$B3965&lt;'111'!$L$11),"x","")</f>
        <v/>
      </c>
      <c r="T3965" s="75" t="str">
        <f>IF(ISERROR(FIND('112'!$M$9,G3965,1)),"",IF((AND(FIND('112'!$M$9,G3965,1)&gt;=1,B3965='112'!$K$9,OR($N3965='112'!$I$6,$O3965='112'!$I$6))),"x",""))</f>
        <v/>
      </c>
      <c r="U3965" s="75" t="str">
        <f>IF(ISERROR(FIND('112'!$M$9,G3965,1)),"",IF((AND(LEFT(G3965,2)=LEFT('112'!$M$9,2),B3965&lt;'112'!$K$9,$N3965='112'!$I$6)),"x",""))</f>
        <v/>
      </c>
      <c r="V3965" s="75" t="str">
        <f>IF(ISERROR(FIND('112'!$M$9,G3965,1)),"",IF((AND(RIGHT(G3965,2)=RIGHT('112'!$M$9,2),B3965&lt;'112'!$K$9,$O3965='112'!$I$6)),"x",""))</f>
        <v/>
      </c>
      <c r="W3965" s="75" t="str">
        <f>IF(AND('341-CT'!$H$9=H3965,OR(LEFT(N3965,3)=$W$7,LEFT(O3965,3)=$W$7)),"x","")</f>
        <v/>
      </c>
      <c r="X3965" s="75" t="str">
        <f>IF(OR(TH!N5109=TH!$X$7,O3965=TH!$X$7),"x","")</f>
        <v/>
      </c>
      <c r="Y3965" s="75" t="str">
        <f>IF(AND(OR(N3965="131",O3965="131"),H3965='131-CT'!$H$9),"x","")</f>
        <v/>
      </c>
      <c r="Z3965" s="75"/>
      <c r="AA3965" s="75" t="str">
        <f>IF(AND(MONTH(E3965)='IN-NX'!$J$5,'IN-NX'!$D$7=D3965),"x","")</f>
        <v/>
      </c>
      <c r="AB3965" s="75" t="str">
        <f>IF(AND(OR(LEFT(TH!N5109,2)="15",LEFT(TH!O5109,2)="15"),LEFT(TH!O5109,3)&lt;&gt;"111",'152-CT'!$J$8=TH!F5109),"x","")</f>
        <v/>
      </c>
      <c r="AC3965" s="75" t="str">
        <f>IF(AND(OR(LEFT(TH!N5109,2)="15",LEFT(TH!O5109,2)="15"),TK!$E$7=TH!F5109),"x","")</f>
        <v/>
      </c>
      <c r="AD3965" s="75" t="str">
        <f>IF(AND(N3965="1521",MONTH(C3965)='BK-NL'!$M$11),"x","")</f>
        <v/>
      </c>
    </row>
    <row r="3966" spans="1:30" ht="18" customHeight="1">
      <c r="A3966" s="309" t="str">
        <f>IF(B3966&lt;&gt;"",IF(AND(B3966='IN-TC'!$S$4,OR(TH!N3964="1111",TH!O3964="1111")),TH!D3964,""),"")</f>
        <v/>
      </c>
      <c r="B3966" s="1241">
        <f t="shared" si="1308"/>
        <v>4</v>
      </c>
      <c r="C3966" s="292">
        <f t="shared" si="1309"/>
        <v>42846</v>
      </c>
      <c r="D3966" s="59" t="s">
        <v>902</v>
      </c>
      <c r="E3966" s="59">
        <v>42846</v>
      </c>
      <c r="F3966" s="131" t="s">
        <v>898</v>
      </c>
      <c r="G3966" s="62" t="s">
        <v>747</v>
      </c>
      <c r="H3966" s="311" t="s">
        <v>835</v>
      </c>
      <c r="I3966" s="373"/>
      <c r="J3966" s="379"/>
      <c r="K3966" s="373"/>
      <c r="L3966" s="379"/>
      <c r="M3966" s="60">
        <v>7500</v>
      </c>
      <c r="N3966" s="61" t="s">
        <v>9</v>
      </c>
      <c r="O3966" s="61" t="s">
        <v>26</v>
      </c>
      <c r="P3966" s="75" t="str">
        <f>IF(AND('331-CT'!$E$7=TH!H5110,OR(N3966="331",O3966="331")),"x","")</f>
        <v/>
      </c>
      <c r="Q3966" s="75" t="str">
        <f>IF(AND(B3966='111'!$L$11,OR($N3966=$Q$7,$O3966=$Q$7)),"x","")</f>
        <v/>
      </c>
      <c r="R3966" s="75" t="str">
        <f>IF(AND($N3966=$Q$7,$B3966&lt;'111'!$L$11),"x","")</f>
        <v/>
      </c>
      <c r="S3966" s="75" t="str">
        <f>IF(AND($O3966=$Q$7,$B3966&lt;'111'!$L$11),"x","")</f>
        <v/>
      </c>
      <c r="T3966" s="75" t="str">
        <f>IF(ISERROR(FIND('112'!$M$9,G3966,1)),"",IF((AND(FIND('112'!$M$9,G3966,1)&gt;=1,B3966='112'!$K$9,OR($N3966='112'!$I$6,$O3966='112'!$I$6))),"x",""))</f>
        <v/>
      </c>
      <c r="U3966" s="75" t="str">
        <f>IF(ISERROR(FIND('112'!$M$9,G3966,1)),"",IF((AND(LEFT(G3966,2)=LEFT('112'!$M$9,2),B3966&lt;'112'!$K$9,$N3966='112'!$I$6)),"x",""))</f>
        <v/>
      </c>
      <c r="V3966" s="75" t="str">
        <f>IF(ISERROR(FIND('112'!$M$9,G3966,1)),"",IF((AND(RIGHT(G3966,2)=RIGHT('112'!$M$9,2),B3966&lt;'112'!$K$9,$O3966='112'!$I$6)),"x",""))</f>
        <v/>
      </c>
      <c r="W3966" s="75" t="str">
        <f>IF(AND('341-CT'!$H$9=H3966,OR(LEFT(N3966,3)=$W$7,LEFT(O3966,3)=$W$7)),"x","")</f>
        <v/>
      </c>
      <c r="X3966" s="75" t="str">
        <f>IF(OR(TH!N5110=TH!$X$7,O3966=TH!$X$7),"x","")</f>
        <v/>
      </c>
      <c r="Y3966" s="75" t="str">
        <f>IF(AND(OR(N3966="131",O3966="131"),H3966='131-CT'!$H$9),"x","")</f>
        <v/>
      </c>
      <c r="Z3966" s="75"/>
      <c r="AA3966" s="75" t="str">
        <f>IF(AND(MONTH(E3966)='IN-NX'!$J$5,'IN-NX'!$D$7=D3966),"x","")</f>
        <v/>
      </c>
      <c r="AB3966" s="75" t="str">
        <f>IF(AND(OR(LEFT(TH!N5110,2)="15",LEFT(TH!O5110,2)="15"),LEFT(TH!O5110,3)&lt;&gt;"111",'152-CT'!$J$8=TH!F5110),"x","")</f>
        <v/>
      </c>
      <c r="AC3966" s="75" t="str">
        <f>IF(AND(OR(LEFT(TH!N5110,2)="15",LEFT(TH!O5110,2)="15"),TK!$E$7=TH!F5110),"x","")</f>
        <v/>
      </c>
      <c r="AD3966" s="75" t="str">
        <f>IF(AND(N3966="1521",MONTH(C3966)='BK-NL'!$M$11),"x","")</f>
        <v/>
      </c>
    </row>
    <row r="3967" spans="1:30" ht="18" customHeight="1">
      <c r="A3967" s="309" t="str">
        <f>IF(B3967&lt;&gt;"",IF(AND(B3967='IN-TC'!$S$4,OR(TH!N3965="1111",TH!O3965="1111")),TH!D3965,""),"")</f>
        <v/>
      </c>
      <c r="B3967" s="1241">
        <f t="shared" si="1308"/>
        <v>4</v>
      </c>
      <c r="C3967" s="292">
        <f t="shared" si="1309"/>
        <v>42847</v>
      </c>
      <c r="D3967" s="292" t="s">
        <v>1952</v>
      </c>
      <c r="E3967" s="292">
        <v>42847</v>
      </c>
      <c r="F3967" s="1338" t="s">
        <v>2189</v>
      </c>
      <c r="G3967" s="1090" t="s">
        <v>1421</v>
      </c>
      <c r="H3967" s="1091" t="s">
        <v>1422</v>
      </c>
      <c r="I3967" s="1093"/>
      <c r="J3967" s="1092"/>
      <c r="K3967" s="1093"/>
      <c r="L3967" s="1092"/>
      <c r="M3967" s="1094">
        <v>14942400</v>
      </c>
      <c r="N3967" s="1095" t="s">
        <v>748</v>
      </c>
      <c r="O3967" s="1096" t="s">
        <v>63</v>
      </c>
      <c r="P3967" s="75" t="str">
        <f>IF(AND('331-CT'!$E$7=TH!H3611,OR(N3967="331",O3967="331")),"x","")</f>
        <v/>
      </c>
      <c r="Q3967" s="75" t="str">
        <f>IF(AND(B3967='111'!$L$11,OR($N3967=$Q$7,$O3967=$Q$7)),"x","")</f>
        <v/>
      </c>
      <c r="R3967" s="75" t="str">
        <f>IF(AND($N3967=$Q$7,$B3967&lt;'111'!$L$11),"x","")</f>
        <v/>
      </c>
      <c r="S3967" s="75" t="str">
        <f>IF(AND($O3967=$Q$7,$B3967&lt;'111'!$L$11),"x","")</f>
        <v>x</v>
      </c>
      <c r="T3967" s="75" t="str">
        <f>IF(ISERROR(FIND('112'!$M$9,G3967,1)),"",IF((AND(FIND('112'!$M$9,G3967,1)&gt;=1,B3967='112'!$K$9,OR($N3967='112'!$I$6,$O3967='112'!$I$6))),"x",""))</f>
        <v/>
      </c>
      <c r="U3967" s="75" t="str">
        <f>IF(ISERROR(FIND('112'!$M$9,G3967,1)),"",IF((AND(LEFT(G3967,2)=LEFT('112'!$M$9,2),B3967&lt;'112'!$K$9,$N3967='112'!$I$6)),"x",""))</f>
        <v/>
      </c>
      <c r="V3967" s="75" t="str">
        <f>IF(ISERROR(FIND('112'!$M$9,G3967,1)),"",IF((AND(RIGHT(G3967,2)=RIGHT('112'!$M$9,2),B3967&lt;'112'!$K$9,$O3967='112'!$I$6)),"x",""))</f>
        <v/>
      </c>
      <c r="W3967" s="75" t="str">
        <f>IF(AND('341-CT'!$H$9=H3967,OR(LEFT(N3967,3)=$W$7,LEFT(O3967,3)=$W$7)),"x","")</f>
        <v/>
      </c>
      <c r="X3967" s="75" t="str">
        <f>IF(OR(TH!N3611=TH!$X$7,O3967=TH!$X$7),"x","")</f>
        <v/>
      </c>
      <c r="Y3967" s="75" t="str">
        <f>IF(AND(OR(N3967="131",O3967="131"),H3967='131-CT'!$H$9),"x","")</f>
        <v/>
      </c>
      <c r="Z3967" s="75"/>
      <c r="AA3967" s="75" t="str">
        <f>IF(AND(MONTH(E3967)='IN-NX'!$J$5,'IN-NX'!$D$7=D3967),"x","")</f>
        <v/>
      </c>
      <c r="AB3967" s="75" t="str">
        <f>IF(AND(OR(LEFT(TH!N3611,2)="15",LEFT(TH!O3611,2)="15"),LEFT(TH!O3611,3)&lt;&gt;"111",'152-CT'!$J$8=TH!F3611),"x","")</f>
        <v/>
      </c>
      <c r="AC3967" s="75" t="str">
        <f>IF(AND(OR(LEFT(TH!N3611,2)="15",LEFT(TH!O3611,2)="15"),TK!$E$7=TH!F3611),"x","")</f>
        <v/>
      </c>
      <c r="AD3967" s="75" t="str">
        <f>IF(AND(N3967="1521",MONTH(C3967)='BK-NL'!$M$11),"x","")</f>
        <v/>
      </c>
    </row>
    <row r="3968" spans="1:30" ht="16.5" customHeight="1">
      <c r="A3968" s="309" t="str">
        <f>IF(B3968&lt;&gt;"",IF(AND(B3968='IN-TC'!$S$4,OR(TH!N3966="1111",TH!O3966="1111")),TH!D3966,""),"")</f>
        <v/>
      </c>
      <c r="B3968" s="1241">
        <f t="shared" si="1308"/>
        <v>4</v>
      </c>
      <c r="C3968" s="292">
        <f t="shared" si="1309"/>
        <v>42849</v>
      </c>
      <c r="D3968" s="292" t="s">
        <v>853</v>
      </c>
      <c r="E3968" s="292">
        <v>42849</v>
      </c>
      <c r="F3968" s="1125" t="s">
        <v>834</v>
      </c>
      <c r="G3968" s="943" t="s">
        <v>747</v>
      </c>
      <c r="H3968" s="67" t="s">
        <v>1023</v>
      </c>
      <c r="I3968" s="373"/>
      <c r="J3968" s="926"/>
      <c r="K3968" s="373"/>
      <c r="L3968" s="379"/>
      <c r="M3968" s="927">
        <v>825000000</v>
      </c>
      <c r="N3968" s="295" t="s">
        <v>63</v>
      </c>
      <c r="O3968" s="295" t="s">
        <v>26</v>
      </c>
      <c r="P3968" s="75" t="str">
        <f>IF(AND('331-CT'!$E$7=TH!H5111,OR(N3968="331",O3968="331")),"x","")</f>
        <v/>
      </c>
      <c r="Q3968" s="75" t="str">
        <f>IF(AND(B3968='111'!$L$11,OR($N3968=$Q$7,$O3968=$Q$7)),"x","")</f>
        <v/>
      </c>
      <c r="R3968" s="75" t="str">
        <f>IF(AND($N3968=$Q$7,$B3968&lt;'111'!$L$11),"x","")</f>
        <v>x</v>
      </c>
      <c r="S3968" s="75" t="str">
        <f>IF(AND($O3968=$Q$7,$B3968&lt;'111'!$L$11),"x","")</f>
        <v/>
      </c>
      <c r="T3968" s="75" t="str">
        <f>IF(ISERROR(FIND('112'!$M$9,G3968,1)),"",IF((AND(FIND('112'!$M$9,G3968,1)&gt;=1,B3968='112'!$K$9,OR($N3968='112'!$I$6,$O3968='112'!$I$6))),"x",""))</f>
        <v/>
      </c>
      <c r="U3968" s="75" t="str">
        <f>IF(ISERROR(FIND('112'!$M$9,G3968,1)),"",IF((AND(LEFT(G3968,2)=LEFT('112'!$M$9,2),B3968&lt;'112'!$K$9,$N3968='112'!$I$6)),"x",""))</f>
        <v/>
      </c>
      <c r="V3968" s="75" t="str">
        <f>IF(ISERROR(FIND('112'!$M$9,G3968,1)),"",IF((AND(RIGHT(G3968,2)=RIGHT('112'!$M$9,2),B3968&lt;'112'!$K$9,$O3968='112'!$I$6)),"x",""))</f>
        <v/>
      </c>
      <c r="W3968" s="75" t="str">
        <f>IF(AND('341-CT'!$H$9=H3968,OR(LEFT(N3968,3)=$W$7,LEFT(O3968,3)=$W$7)),"x","")</f>
        <v/>
      </c>
      <c r="X3968" s="75" t="str">
        <f>IF(OR(TH!N5111=TH!$X$7,O3968=TH!$X$7),"x","")</f>
        <v/>
      </c>
      <c r="Y3968" s="75" t="str">
        <f>IF(AND(OR(N3968="131",O3968="131"),H3968='131-CT'!$H$9),"x","")</f>
        <v/>
      </c>
      <c r="Z3968" s="75"/>
      <c r="AA3968" s="75" t="str">
        <f>IF(AND(MONTH(E3968)='IN-NX'!$J$5,'IN-NX'!$D$7=D3968),"x","")</f>
        <v/>
      </c>
      <c r="AB3968" s="75" t="str">
        <f>IF(AND(OR(LEFT(TH!N5111,2)="15",LEFT(TH!O5111,2)="15"),LEFT(TH!O5111,3)&lt;&gt;"111",'152-CT'!$J$8=TH!F5111),"x","")</f>
        <v/>
      </c>
      <c r="AC3968" s="75" t="str">
        <f>IF(AND(OR(LEFT(TH!N5111,2)="15",LEFT(TH!O5111,2)="15"),TK!$E$7=TH!F5111),"x","")</f>
        <v/>
      </c>
      <c r="AD3968" s="75" t="str">
        <f>IF(AND(N3968="1521",MONTH(C3968)='BK-NL'!$M$11),"x","")</f>
        <v/>
      </c>
    </row>
    <row r="3969" spans="1:31" ht="16.5" customHeight="1">
      <c r="A3969" s="309" t="str">
        <f>IF(B3969&lt;&gt;"",IF(AND(B3969='IN-TC'!$S$4,OR(TH!N3967="1111",TH!O3967="1111")),TH!D3967,""),"")</f>
        <v/>
      </c>
      <c r="B3969" s="1241">
        <f t="shared" si="1308"/>
        <v>4</v>
      </c>
      <c r="C3969" s="292">
        <f t="shared" si="1309"/>
        <v>42849</v>
      </c>
      <c r="D3969" s="59" t="s">
        <v>902</v>
      </c>
      <c r="E3969" s="59">
        <v>42849</v>
      </c>
      <c r="F3969" s="131" t="s">
        <v>1307</v>
      </c>
      <c r="G3969" s="62" t="s">
        <v>747</v>
      </c>
      <c r="H3969" s="311" t="s">
        <v>835</v>
      </c>
      <c r="I3969" s="373"/>
      <c r="J3969" s="379"/>
      <c r="K3969" s="373"/>
      <c r="L3969" s="379"/>
      <c r="M3969" s="60">
        <v>299980</v>
      </c>
      <c r="N3969" s="61" t="s">
        <v>101</v>
      </c>
      <c r="O3969" s="61" t="s">
        <v>26</v>
      </c>
      <c r="P3969" s="75" t="str">
        <f>IF(AND('331-CT'!$E$7=TH!H5112,OR(N3969="331",O3969="331")),"x","")</f>
        <v/>
      </c>
      <c r="Q3969" s="75" t="str">
        <f>IF(AND(B3969='111'!$L$11,OR($N3969=$Q$7,$O3969=$Q$7)),"x","")</f>
        <v/>
      </c>
      <c r="R3969" s="75" t="str">
        <f>IF(AND($N3969=$Q$7,$B3969&lt;'111'!$L$11),"x","")</f>
        <v/>
      </c>
      <c r="S3969" s="75" t="str">
        <f>IF(AND($O3969=$Q$7,$B3969&lt;'111'!$L$11),"x","")</f>
        <v/>
      </c>
      <c r="T3969" s="75" t="str">
        <f>IF(ISERROR(FIND('112'!$M$9,G3969,1)),"",IF((AND(FIND('112'!$M$9,G3969,1)&gt;=1,B3969='112'!$K$9,OR($N3969='112'!$I$6,$O3969='112'!$I$6))),"x",""))</f>
        <v/>
      </c>
      <c r="U3969" s="75" t="str">
        <f>IF(ISERROR(FIND('112'!$M$9,G3969,1)),"",IF((AND(LEFT(G3969,2)=LEFT('112'!$M$9,2),B3969&lt;'112'!$K$9,$N3969='112'!$I$6)),"x",""))</f>
        <v/>
      </c>
      <c r="V3969" s="75" t="str">
        <f>IF(ISERROR(FIND('112'!$M$9,G3969,1)),"",IF((AND(RIGHT(G3969,2)=RIGHT('112'!$M$9,2),B3969&lt;'112'!$K$9,$O3969='112'!$I$6)),"x",""))</f>
        <v/>
      </c>
      <c r="W3969" s="75" t="str">
        <f>IF(AND('341-CT'!$H$9=H3969,OR(LEFT(N3969,3)=$W$7,LEFT(O3969,3)=$W$7)),"x","")</f>
        <v/>
      </c>
      <c r="X3969" s="75" t="str">
        <f>IF(OR(TH!N5112=TH!$X$7,O3969=TH!$X$7),"x","")</f>
        <v/>
      </c>
      <c r="Y3969" s="75" t="str">
        <f>IF(AND(OR(N3969="131",O3969="131"),H3969='131-CT'!$H$9),"x","")</f>
        <v/>
      </c>
      <c r="Z3969" s="75"/>
      <c r="AA3969" s="75" t="str">
        <f>IF(AND(MONTH(E3969)='IN-NX'!$J$5,'IN-NX'!$D$7=D3969),"x","")</f>
        <v/>
      </c>
      <c r="AB3969" s="75" t="str">
        <f>IF(AND(OR(LEFT(TH!N5112,2)="15",LEFT(TH!O5112,2)="15"),LEFT(TH!O5112,3)&lt;&gt;"111",'152-CT'!$J$8=TH!F5112),"x","")</f>
        <v/>
      </c>
      <c r="AC3969" s="75" t="str">
        <f>IF(AND(OR(LEFT(TH!N5112,2)="15",LEFT(TH!O5112,2)="15"),TK!$E$7=TH!F5112),"x","")</f>
        <v/>
      </c>
      <c r="AD3969" s="75" t="str">
        <f>IF(AND(N3969="1521",MONTH(C3969)='BK-NL'!$M$11),"x","")</f>
        <v/>
      </c>
    </row>
    <row r="3970" spans="1:31" ht="16.5" customHeight="1">
      <c r="A3970" s="309" t="str">
        <f>IF(B3970&lt;&gt;"",IF(AND(B3970='IN-TC'!$S$4,OR(TH!N3968="1111",TH!O3968="1111")),TH!D3968,""),"")</f>
        <v/>
      </c>
      <c r="B3970" s="1241">
        <f t="shared" si="1308"/>
        <v>4</v>
      </c>
      <c r="C3970" s="292">
        <f t="shared" si="1309"/>
        <v>42849</v>
      </c>
      <c r="D3970" s="59" t="s">
        <v>902</v>
      </c>
      <c r="E3970" s="59">
        <v>42849</v>
      </c>
      <c r="F3970" s="131" t="s">
        <v>1307</v>
      </c>
      <c r="G3970" s="62" t="s">
        <v>747</v>
      </c>
      <c r="H3970" s="311" t="s">
        <v>835</v>
      </c>
      <c r="I3970" s="373"/>
      <c r="J3970" s="379"/>
      <c r="K3970" s="373"/>
      <c r="L3970" s="379"/>
      <c r="M3970" s="60">
        <v>2503600</v>
      </c>
      <c r="N3970" s="61" t="s">
        <v>101</v>
      </c>
      <c r="O3970" s="61" t="s">
        <v>26</v>
      </c>
      <c r="P3970" s="75" t="str">
        <f>IF(AND('331-CT'!$E$7=TH!H5113,OR(N3970="331",O3970="331")),"x","")</f>
        <v/>
      </c>
      <c r="Q3970" s="75" t="str">
        <f>IF(AND(B3970='111'!$L$11,OR($N3970=$Q$7,$O3970=$Q$7)),"x","")</f>
        <v/>
      </c>
      <c r="R3970" s="75" t="str">
        <f>IF(AND($N3970=$Q$7,$B3970&lt;'111'!$L$11),"x","")</f>
        <v/>
      </c>
      <c r="S3970" s="75" t="str">
        <f>IF(AND($O3970=$Q$7,$B3970&lt;'111'!$L$11),"x","")</f>
        <v/>
      </c>
      <c r="T3970" s="75" t="str">
        <f>IF(ISERROR(FIND('112'!$M$9,G3970,1)),"",IF((AND(FIND('112'!$M$9,G3970,1)&gt;=1,B3970='112'!$K$9,OR($N3970='112'!$I$6,$O3970='112'!$I$6))),"x",""))</f>
        <v/>
      </c>
      <c r="U3970" s="75" t="str">
        <f>IF(ISERROR(FIND('112'!$M$9,G3970,1)),"",IF((AND(LEFT(G3970,2)=LEFT('112'!$M$9,2),B3970&lt;'112'!$K$9,$N3970='112'!$I$6)),"x",""))</f>
        <v/>
      </c>
      <c r="V3970" s="75" t="str">
        <f>IF(ISERROR(FIND('112'!$M$9,G3970,1)),"",IF((AND(RIGHT(G3970,2)=RIGHT('112'!$M$9,2),B3970&lt;'112'!$K$9,$O3970='112'!$I$6)),"x",""))</f>
        <v/>
      </c>
      <c r="W3970" s="75" t="str">
        <f>IF(AND('341-CT'!$H$9=H3970,OR(LEFT(N3970,3)=$W$7,LEFT(O3970,3)=$W$7)),"x","")</f>
        <v/>
      </c>
      <c r="X3970" s="75" t="str">
        <f>IF(OR(TH!N5113=TH!$X$7,O3970=TH!$X$7),"x","")</f>
        <v/>
      </c>
      <c r="Y3970" s="75" t="str">
        <f>IF(AND(OR(N3970="131",O3970="131"),H3970='131-CT'!$H$9),"x","")</f>
        <v/>
      </c>
      <c r="Z3970" s="75"/>
      <c r="AA3970" s="75" t="str">
        <f>IF(AND(MONTH(E3970)='IN-NX'!$J$5,'IN-NX'!$D$7=D3970),"x","")</f>
        <v/>
      </c>
      <c r="AB3970" s="75" t="str">
        <f>IF(AND(OR(LEFT(TH!N5113,2)="15",LEFT(TH!O5113,2)="15"),LEFT(TH!O5113,3)&lt;&gt;"111",'152-CT'!$J$8=TH!F5113),"x","")</f>
        <v/>
      </c>
      <c r="AC3970" s="75" t="str">
        <f>IF(AND(OR(LEFT(TH!N5113,2)="15",LEFT(TH!O5113,2)="15"),TK!$E$7=TH!F5113),"x","")</f>
        <v/>
      </c>
      <c r="AD3970" s="75" t="str">
        <f>IF(AND(N3970="1521",MONTH(C3970)='BK-NL'!$M$11),"x","")</f>
        <v/>
      </c>
    </row>
    <row r="3971" spans="1:31" ht="16.5" customHeight="1">
      <c r="A3971" s="309" t="str">
        <f>IF(B3971&lt;&gt;"",IF(AND(B3971='IN-TC'!$S$4,OR(TH!N3969="1111",TH!O3969="1111")),TH!D3969,""),"")</f>
        <v/>
      </c>
      <c r="B3971" s="1241">
        <f t="shared" si="1308"/>
        <v>4</v>
      </c>
      <c r="C3971" s="292">
        <f t="shared" si="1309"/>
        <v>42849</v>
      </c>
      <c r="D3971" s="59" t="s">
        <v>903</v>
      </c>
      <c r="E3971" s="59">
        <v>42849</v>
      </c>
      <c r="F3971" s="131" t="s">
        <v>914</v>
      </c>
      <c r="G3971" s="62" t="s">
        <v>747</v>
      </c>
      <c r="H3971" s="311" t="s">
        <v>835</v>
      </c>
      <c r="I3971" s="373"/>
      <c r="J3971" s="379"/>
      <c r="K3971" s="373"/>
      <c r="L3971" s="379"/>
      <c r="M3971" s="60">
        <v>125330</v>
      </c>
      <c r="N3971" s="61" t="s">
        <v>26</v>
      </c>
      <c r="O3971" s="295" t="s">
        <v>43</v>
      </c>
      <c r="P3971" s="75" t="str">
        <f>IF(AND('331-CT'!$E$7=TH!H5114,OR(N3971="331",O3971="331")),"x","")</f>
        <v/>
      </c>
      <c r="Q3971" s="75" t="str">
        <f>IF(AND(B3971='111'!$L$11,OR($N3971=$Q$7,$O3971=$Q$7)),"x","")</f>
        <v/>
      </c>
      <c r="R3971" s="75" t="str">
        <f>IF(AND($N3971=$Q$7,$B3971&lt;'111'!$L$11),"x","")</f>
        <v/>
      </c>
      <c r="S3971" s="75" t="str">
        <f>IF(AND($O3971=$Q$7,$B3971&lt;'111'!$L$11),"x","")</f>
        <v/>
      </c>
      <c r="T3971" s="75" t="str">
        <f>IF(ISERROR(FIND('112'!$M$9,G3971,1)),"",IF((AND(FIND('112'!$M$9,G3971,1)&gt;=1,B3971='112'!$K$9,OR($N3971='112'!$I$6,$O3971='112'!$I$6))),"x",""))</f>
        <v/>
      </c>
      <c r="U3971" s="75" t="str">
        <f>IF(ISERROR(FIND('112'!$M$9,G3971,1)),"",IF((AND(LEFT(G3971,2)=LEFT('112'!$M$9,2),B3971&lt;'112'!$K$9,$N3971='112'!$I$6)),"x",""))</f>
        <v/>
      </c>
      <c r="V3971" s="75" t="str">
        <f>IF(ISERROR(FIND('112'!$M$9,G3971,1)),"",IF((AND(RIGHT(G3971,2)=RIGHT('112'!$M$9,2),B3971&lt;'112'!$K$9,$O3971='112'!$I$6)),"x",""))</f>
        <v/>
      </c>
      <c r="W3971" s="75" t="str">
        <f>IF(AND('341-CT'!$H$9=H3971,OR(LEFT(N3971,3)=$W$7,LEFT(O3971,3)=$W$7)),"x","")</f>
        <v/>
      </c>
      <c r="X3971" s="75" t="str">
        <f>IF(OR(TH!N5114=TH!$X$7,O3971=TH!$X$7),"x","")</f>
        <v/>
      </c>
      <c r="Y3971" s="75" t="str">
        <f>IF(AND(OR(N3971="131",O3971="131"),H3971='131-CT'!$H$9),"x","")</f>
        <v/>
      </c>
      <c r="Z3971" s="75"/>
      <c r="AA3971" s="75" t="str">
        <f>IF(AND(MONTH(E3971)='IN-NX'!$J$5,'IN-NX'!$D$7=D3971),"x","")</f>
        <v/>
      </c>
      <c r="AB3971" s="75" t="str">
        <f>IF(AND(OR(LEFT(TH!N5114,2)="15",LEFT(TH!O5114,2)="15"),LEFT(TH!O5114,3)&lt;&gt;"111",'152-CT'!$J$8=TH!F5114),"x","")</f>
        <v/>
      </c>
      <c r="AC3971" s="75" t="str">
        <f>IF(AND(OR(LEFT(TH!N5114,2)="15",LEFT(TH!O5114,2)="15"),TK!$E$7=TH!F5114),"x","")</f>
        <v/>
      </c>
      <c r="AD3971" s="75" t="str">
        <f>IF(AND(N3971="1521",MONTH(C3971)='BK-NL'!$M$11),"x","")</f>
        <v/>
      </c>
    </row>
    <row r="3972" spans="1:31" ht="16.5" customHeight="1">
      <c r="A3972" s="309" t="str">
        <f>IF(B3972&lt;&gt;"",IF(AND(B3972='IN-TC'!$S$4,OR(TH!N3970="1111",TH!O3970="1111")),TH!D3970,""),"")</f>
        <v/>
      </c>
      <c r="B3972" s="1241">
        <f t="shared" si="1308"/>
        <v>4</v>
      </c>
      <c r="C3972" s="292">
        <f t="shared" si="1309"/>
        <v>42850</v>
      </c>
      <c r="D3972" s="292" t="s">
        <v>854</v>
      </c>
      <c r="E3972" s="292">
        <v>42850</v>
      </c>
      <c r="F3972" s="1125" t="s">
        <v>834</v>
      </c>
      <c r="G3972" s="943" t="s">
        <v>747</v>
      </c>
      <c r="H3972" s="67" t="s">
        <v>1023</v>
      </c>
      <c r="I3972" s="373"/>
      <c r="J3972" s="926"/>
      <c r="K3972" s="373"/>
      <c r="L3972" s="379"/>
      <c r="M3972" s="927">
        <v>7785000000</v>
      </c>
      <c r="N3972" s="295" t="s">
        <v>63</v>
      </c>
      <c r="O3972" s="295" t="s">
        <v>26</v>
      </c>
      <c r="P3972" s="75" t="str">
        <f>IF(AND('331-CT'!$E$7=TH!H5115,OR(N3972="331",O3972="331")),"x","")</f>
        <v/>
      </c>
      <c r="Q3972" s="75" t="str">
        <f>IF(AND(B3972='111'!$L$11,OR($N3972=$Q$7,$O3972=$Q$7)),"x","")</f>
        <v/>
      </c>
      <c r="R3972" s="75" t="str">
        <f>IF(AND($N3972=$Q$7,$B3972&lt;'111'!$L$11),"x","")</f>
        <v>x</v>
      </c>
      <c r="S3972" s="75" t="str">
        <f>IF(AND($O3972=$Q$7,$B3972&lt;'111'!$L$11),"x","")</f>
        <v/>
      </c>
      <c r="T3972" s="75" t="str">
        <f>IF(ISERROR(FIND('112'!$M$9,G3972,1)),"",IF((AND(FIND('112'!$M$9,G3972,1)&gt;=1,B3972='112'!$K$9,OR($N3972='112'!$I$6,$O3972='112'!$I$6))),"x",""))</f>
        <v/>
      </c>
      <c r="U3972" s="75" t="str">
        <f>IF(ISERROR(FIND('112'!$M$9,G3972,1)),"",IF((AND(LEFT(G3972,2)=LEFT('112'!$M$9,2),B3972&lt;'112'!$K$9,$N3972='112'!$I$6)),"x",""))</f>
        <v/>
      </c>
      <c r="V3972" s="75" t="str">
        <f>IF(ISERROR(FIND('112'!$M$9,G3972,1)),"",IF((AND(RIGHT(G3972,2)=RIGHT('112'!$M$9,2),B3972&lt;'112'!$K$9,$O3972='112'!$I$6)),"x",""))</f>
        <v/>
      </c>
      <c r="W3972" s="75" t="str">
        <f>IF(AND('341-CT'!$H$9=H3972,OR(LEFT(N3972,3)=$W$7,LEFT(O3972,3)=$W$7)),"x","")</f>
        <v/>
      </c>
      <c r="X3972" s="75" t="str">
        <f>IF(OR(TH!N5115=TH!$X$7,O3972=TH!$X$7),"x","")</f>
        <v/>
      </c>
      <c r="Y3972" s="75" t="str">
        <f>IF(AND(OR(N3972="131",O3972="131"),H3972='131-CT'!$H$9),"x","")</f>
        <v/>
      </c>
      <c r="Z3972" s="75"/>
      <c r="AA3972" s="75" t="str">
        <f>IF(AND(MONTH(E3972)='IN-NX'!$J$5,'IN-NX'!$D$7=D3972),"x","")</f>
        <v/>
      </c>
      <c r="AB3972" s="75" t="str">
        <f>IF(AND(OR(LEFT(TH!N5115,2)="15",LEFT(TH!O5115,2)="15"),LEFT(TH!O5115,3)&lt;&gt;"111",'152-CT'!$J$8=TH!F5115),"x","")</f>
        <v/>
      </c>
      <c r="AC3972" s="75" t="str">
        <f>IF(AND(OR(LEFT(TH!N5115,2)="15",LEFT(TH!O5115,2)="15"),TK!$E$7=TH!F5115),"x","")</f>
        <v/>
      </c>
      <c r="AD3972" s="75" t="str">
        <f>IF(AND(N3972="1521",MONTH(C3972)='BK-NL'!$M$11),"x","")</f>
        <v/>
      </c>
    </row>
    <row r="3973" spans="1:31" ht="16.5" customHeight="1">
      <c r="A3973" s="309" t="str">
        <f>IF(B3973&lt;&gt;"",IF(AND(B3973='IN-TC'!$S$4,OR(TH!N3971="1111",TH!O3971="1111")),TH!D3971,""),"")</f>
        <v/>
      </c>
      <c r="B3973" s="1241">
        <f t="shared" si="1308"/>
        <v>4</v>
      </c>
      <c r="C3973" s="292">
        <f t="shared" si="1309"/>
        <v>42850</v>
      </c>
      <c r="D3973" s="292" t="s">
        <v>1953</v>
      </c>
      <c r="E3973" s="292">
        <v>42850</v>
      </c>
      <c r="F3973" s="1029" t="s">
        <v>1881</v>
      </c>
      <c r="G3973" s="925"/>
      <c r="H3973" s="311" t="s">
        <v>1882</v>
      </c>
      <c r="I3973" s="373"/>
      <c r="J3973" s="926"/>
      <c r="K3973" s="373"/>
      <c r="L3973" s="379"/>
      <c r="M3973" s="927">
        <v>4982275000</v>
      </c>
      <c r="N3973" s="295" t="s">
        <v>8</v>
      </c>
      <c r="O3973" s="295" t="s">
        <v>63</v>
      </c>
      <c r="P3973" s="75" t="str">
        <f>IF(AND('331-CT'!$E$7=TH!H4234,OR(N3973="331",O3973="331")),"x","")</f>
        <v/>
      </c>
      <c r="Q3973" s="75" t="str">
        <f>IF(AND(B3973='111'!$L$11,OR($N3973=$Q$7,$O3973=$Q$7)),"x","")</f>
        <v/>
      </c>
      <c r="R3973" s="75" t="str">
        <f>IF(AND($N3973=$Q$7,$B3973&lt;'111'!$L$11),"x","")</f>
        <v/>
      </c>
      <c r="S3973" s="75" t="str">
        <f>IF(AND($O3973=$Q$7,$B3973&lt;'111'!$L$11),"x","")</f>
        <v>x</v>
      </c>
      <c r="T3973" s="75" t="str">
        <f>IF(ISERROR(FIND('112'!$M$9,G3973,1)),"",IF((AND(FIND('112'!$M$9,G3973,1)&gt;=1,B3973='112'!$K$9,OR($N3973='112'!$I$6,$O3973='112'!$I$6))),"x",""))</f>
        <v/>
      </c>
      <c r="U3973" s="75" t="str">
        <f>IF(ISERROR(FIND('112'!$M$9,G3973,1)),"",IF((AND(LEFT(G3973,2)=LEFT('112'!$M$9,2),B3973&lt;'112'!$K$9,$N3973='112'!$I$6)),"x",""))</f>
        <v/>
      </c>
      <c r="V3973" s="75" t="str">
        <f>IF(ISERROR(FIND('112'!$M$9,G3973,1)),"",IF((AND(RIGHT(G3973,2)=RIGHT('112'!$M$9,2),B3973&lt;'112'!$K$9,$O3973='112'!$I$6)),"x",""))</f>
        <v/>
      </c>
      <c r="W3973" s="75" t="str">
        <f>IF(AND('341-CT'!$H$9=H3973,OR(LEFT(N3973,3)=$W$7,LEFT(O3973,3)=$W$7)),"x","")</f>
        <v/>
      </c>
      <c r="X3973" s="75" t="str">
        <f>IF(OR(TH!N4234=TH!$X$7,O3973=TH!$X$7),"x","")</f>
        <v>x</v>
      </c>
      <c r="Y3973" s="75" t="str">
        <f>IF(AND(OR(N3973="131",O3973="131"),H3973='131-CT'!$H$9),"x","")</f>
        <v/>
      </c>
      <c r="Z3973" s="75"/>
      <c r="AA3973" s="75" t="str">
        <f>IF(AND(MONTH(E3973)='IN-NX'!$J$5,'IN-NX'!$D$7=D3973),"x","")</f>
        <v/>
      </c>
      <c r="AB3973" s="75" t="str">
        <f>IF(AND(OR(LEFT(TH!N4234,2)="15",LEFT(TH!O4234,2)="15"),LEFT(TH!O4234,3)&lt;&gt;"111",'152-CT'!$J$8=TH!F4234),"x","")</f>
        <v/>
      </c>
      <c r="AC3973" s="75" t="str">
        <f>IF(AND(OR(LEFT(TH!N4234,2)="15",LEFT(TH!O4234,2)="15"),TK!$E$7=TH!F4234),"x","")</f>
        <v/>
      </c>
      <c r="AD3973" s="75" t="str">
        <f>IF(AND(N3973="1521",MONTH(C3973)='BK-NL'!$M$11),"x","")</f>
        <v/>
      </c>
    </row>
    <row r="3974" spans="1:31" ht="16.5" customHeight="1">
      <c r="A3974" s="309" t="str">
        <f>IF(B3974&lt;&gt;"",IF(AND(B3974='IN-TC'!$S$4,OR(TH!N3972="1111",TH!O3972="1111")),TH!D3972,""),"")</f>
        <v/>
      </c>
      <c r="B3974" s="1241">
        <f t="shared" si="1308"/>
        <v>4</v>
      </c>
      <c r="C3974" s="292">
        <f t="shared" si="1309"/>
        <v>42850</v>
      </c>
      <c r="D3974" s="292" t="s">
        <v>1953</v>
      </c>
      <c r="E3974" s="292">
        <v>42850</v>
      </c>
      <c r="F3974" s="1029" t="s">
        <v>1883</v>
      </c>
      <c r="G3974" s="925"/>
      <c r="H3974" s="311"/>
      <c r="I3974" s="373"/>
      <c r="J3974" s="926"/>
      <c r="K3974" s="373"/>
      <c r="L3974" s="379"/>
      <c r="M3974" s="927">
        <v>1000000</v>
      </c>
      <c r="N3974" s="295" t="s">
        <v>101</v>
      </c>
      <c r="O3974" s="295" t="s">
        <v>63</v>
      </c>
      <c r="P3974" s="75" t="str">
        <f>IF(AND('331-CT'!$E$7=TH!H4235,OR(N3974="331",O3974="331")),"x","")</f>
        <v/>
      </c>
      <c r="Q3974" s="75" t="str">
        <f>IF(AND(B3974='111'!$L$11,OR($N3974=$Q$7,$O3974=$Q$7)),"x","")</f>
        <v/>
      </c>
      <c r="R3974" s="75" t="str">
        <f>IF(AND($N3974=$Q$7,$B3974&lt;'111'!$L$11),"x","")</f>
        <v/>
      </c>
      <c r="S3974" s="75" t="str">
        <f>IF(AND($O3974=$Q$7,$B3974&lt;'111'!$L$11),"x","")</f>
        <v>x</v>
      </c>
      <c r="T3974" s="75" t="str">
        <f>IF(ISERROR(FIND('112'!$M$9,G3974,1)),"",IF((AND(FIND('112'!$M$9,G3974,1)&gt;=1,B3974='112'!$K$9,OR($N3974='112'!$I$6,$O3974='112'!$I$6))),"x",""))</f>
        <v/>
      </c>
      <c r="U3974" s="75" t="str">
        <f>IF(ISERROR(FIND('112'!$M$9,G3974,1)),"",IF((AND(LEFT(G3974,2)=LEFT('112'!$M$9,2),B3974&lt;'112'!$K$9,$N3974='112'!$I$6)),"x",""))</f>
        <v/>
      </c>
      <c r="V3974" s="75" t="str">
        <f>IF(ISERROR(FIND('112'!$M$9,G3974,1)),"",IF((AND(RIGHT(G3974,2)=RIGHT('112'!$M$9,2),B3974&lt;'112'!$K$9,$O3974='112'!$I$6)),"x",""))</f>
        <v/>
      </c>
      <c r="W3974" s="75" t="str">
        <f>IF(AND('341-CT'!$H$9=H3974,OR(LEFT(N3974,3)=$W$7,LEFT(O3974,3)=$W$7)),"x","")</f>
        <v/>
      </c>
      <c r="X3974" s="75" t="str">
        <f>IF(OR(TH!N4235=TH!$X$7,O3974=TH!$X$7),"x","")</f>
        <v/>
      </c>
      <c r="Y3974" s="75" t="str">
        <f>IF(AND(OR(N3974="131",O3974="131"),H3974='131-CT'!$H$9),"x","")</f>
        <v/>
      </c>
      <c r="Z3974" s="75"/>
      <c r="AA3974" s="75" t="str">
        <f>IF(AND(MONTH(E3974)='IN-NX'!$J$5,'IN-NX'!$D$7=D3974),"x","")</f>
        <v/>
      </c>
      <c r="AB3974" s="75" t="str">
        <f>IF(AND(OR(LEFT(TH!N4235,2)="15",LEFT(TH!O4235,2)="15"),LEFT(TH!O4235,3)&lt;&gt;"111",'152-CT'!$J$8=TH!F4235),"x","")</f>
        <v/>
      </c>
      <c r="AC3974" s="75" t="str">
        <f>IF(AND(OR(LEFT(TH!N4235,2)="15",LEFT(TH!O4235,2)="15"),TK!$E$7=TH!F4235),"x","")</f>
        <v/>
      </c>
      <c r="AD3974" s="75" t="str">
        <f>IF(AND(N3974="1521",MONTH(C3974)='BK-NL'!$M$11),"x","")</f>
        <v/>
      </c>
      <c r="AE3974">
        <v>9</v>
      </c>
    </row>
    <row r="3975" spans="1:31" ht="16.5" customHeight="1">
      <c r="A3975" s="309" t="str">
        <f>IF(B3975&lt;&gt;"",IF(AND(B3975='IN-TC'!$S$4,OR(TH!N3973="1111",TH!O3973="1111")),TH!D3973,""),"")</f>
        <v/>
      </c>
      <c r="B3975" s="1241">
        <f t="shared" si="1308"/>
        <v>4</v>
      </c>
      <c r="C3975" s="292">
        <f t="shared" si="1309"/>
        <v>42850</v>
      </c>
      <c r="D3975" s="292" t="s">
        <v>1953</v>
      </c>
      <c r="E3975" s="292">
        <v>42850</v>
      </c>
      <c r="F3975" s="1029" t="s">
        <v>1895</v>
      </c>
      <c r="G3975" s="925"/>
      <c r="H3975" s="311"/>
      <c r="I3975" s="373"/>
      <c r="J3975" s="926"/>
      <c r="K3975" s="373"/>
      <c r="L3975" s="379"/>
      <c r="M3975" s="927">
        <v>100000</v>
      </c>
      <c r="N3975" s="295" t="s">
        <v>9</v>
      </c>
      <c r="O3975" s="295" t="s">
        <v>63</v>
      </c>
      <c r="P3975" s="75" t="str">
        <f>IF(AND('331-CT'!$E$7=TH!H4236,OR(N3975="331",O3975="331")),"x","")</f>
        <v/>
      </c>
      <c r="Q3975" s="75" t="str">
        <f>IF(AND(B3975='111'!$L$11,OR($N3975=$Q$7,$O3975=$Q$7)),"x","")</f>
        <v/>
      </c>
      <c r="R3975" s="75" t="str">
        <f>IF(AND($N3975=$Q$7,$B3975&lt;'111'!$L$11),"x","")</f>
        <v/>
      </c>
      <c r="S3975" s="75" t="str">
        <f>IF(AND($O3975=$Q$7,$B3975&lt;'111'!$L$11),"x","")</f>
        <v>x</v>
      </c>
      <c r="T3975" s="75" t="str">
        <f>IF(ISERROR(FIND('112'!$M$9,G3975,1)),"",IF((AND(FIND('112'!$M$9,G3975,1)&gt;=1,B3975='112'!$K$9,OR($N3975='112'!$I$6,$O3975='112'!$I$6))),"x",""))</f>
        <v/>
      </c>
      <c r="U3975" s="75" t="str">
        <f>IF(ISERROR(FIND('112'!$M$9,G3975,1)),"",IF((AND(LEFT(G3975,2)=LEFT('112'!$M$9,2),B3975&lt;'112'!$K$9,$N3975='112'!$I$6)),"x",""))</f>
        <v/>
      </c>
      <c r="V3975" s="75" t="str">
        <f>IF(ISERROR(FIND('112'!$M$9,G3975,1)),"",IF((AND(RIGHT(G3975,2)=RIGHT('112'!$M$9,2),B3975&lt;'112'!$K$9,$O3975='112'!$I$6)),"x",""))</f>
        <v/>
      </c>
      <c r="W3975" s="75" t="str">
        <f>IF(AND('341-CT'!$H$9=H3975,OR(LEFT(N3975,3)=$W$7,LEFT(O3975,3)=$W$7)),"x","")</f>
        <v/>
      </c>
      <c r="X3975" s="75" t="str">
        <f>IF(OR(TH!N4236=TH!$X$7,O3975=TH!$X$7),"x","")</f>
        <v/>
      </c>
      <c r="Y3975" s="75" t="str">
        <f>IF(AND(OR(N3975="131",O3975="131"),H3975='131-CT'!$H$9),"x","")</f>
        <v/>
      </c>
      <c r="Z3975" s="75"/>
      <c r="AA3975" s="75" t="str">
        <f>IF(AND(MONTH(E3975)='IN-NX'!$J$5,'IN-NX'!$D$7=D3975),"x","")</f>
        <v/>
      </c>
      <c r="AB3975" s="75" t="str">
        <f>IF(AND(OR(LEFT(TH!N4236,2)="15",LEFT(TH!O4236,2)="15"),LEFT(TH!O4236,3)&lt;&gt;"111",'152-CT'!$J$8=TH!F4236),"x","")</f>
        <v/>
      </c>
      <c r="AC3975" s="75" t="str">
        <f>IF(AND(OR(LEFT(TH!N4236,2)="15",LEFT(TH!O4236,2)="15"),TK!$E$7=TH!F4236),"x","")</f>
        <v/>
      </c>
      <c r="AD3975" s="75" t="str">
        <f>IF(AND(N3975="1521",MONTH(C3975)='BK-NL'!$M$11),"x","")</f>
        <v/>
      </c>
      <c r="AE3975">
        <v>9</v>
      </c>
    </row>
    <row r="3976" spans="1:31" ht="16.5" customHeight="1">
      <c r="A3976" s="309" t="str">
        <f>IF(B3976&lt;&gt;"",IF(AND(B3976='IN-TC'!$S$4,OR(TH!N3974="1111",TH!O3974="1111")),TH!D3974,""),"")</f>
        <v/>
      </c>
      <c r="B3976" s="1241">
        <f t="shared" si="1308"/>
        <v>4</v>
      </c>
      <c r="C3976" s="292">
        <f t="shared" si="1309"/>
        <v>42850</v>
      </c>
      <c r="D3976" s="292" t="s">
        <v>1954</v>
      </c>
      <c r="E3976" s="292">
        <v>42850</v>
      </c>
      <c r="F3976" s="1029" t="s">
        <v>1881</v>
      </c>
      <c r="G3976" s="925"/>
      <c r="H3976" s="311" t="s">
        <v>1886</v>
      </c>
      <c r="I3976" s="373"/>
      <c r="J3976" s="926"/>
      <c r="K3976" s="373"/>
      <c r="L3976" s="379"/>
      <c r="M3976" s="927">
        <v>1396240000</v>
      </c>
      <c r="N3976" s="295" t="s">
        <v>8</v>
      </c>
      <c r="O3976" s="295" t="s">
        <v>63</v>
      </c>
      <c r="P3976" s="75" t="str">
        <f>IF(AND('331-CT'!$E$7=TH!H4237,OR(N3976="331",O3976="331")),"x","")</f>
        <v/>
      </c>
      <c r="Q3976" s="75" t="str">
        <f>IF(AND(B3976='111'!$L$11,OR($N3976=$Q$7,$O3976=$Q$7)),"x","")</f>
        <v/>
      </c>
      <c r="R3976" s="75" t="str">
        <f>IF(AND($N3976=$Q$7,$B3976&lt;'111'!$L$11),"x","")</f>
        <v/>
      </c>
      <c r="S3976" s="75" t="str">
        <f>IF(AND($O3976=$Q$7,$B3976&lt;'111'!$L$11),"x","")</f>
        <v>x</v>
      </c>
      <c r="T3976" s="75" t="str">
        <f>IF(ISERROR(FIND('112'!$M$9,G3976,1)),"",IF((AND(FIND('112'!$M$9,G3976,1)&gt;=1,B3976='112'!$K$9,OR($N3976='112'!$I$6,$O3976='112'!$I$6))),"x",""))</f>
        <v/>
      </c>
      <c r="U3976" s="75" t="str">
        <f>IF(ISERROR(FIND('112'!$M$9,G3976,1)),"",IF((AND(LEFT(G3976,2)=LEFT('112'!$M$9,2),B3976&lt;'112'!$K$9,$N3976='112'!$I$6)),"x",""))</f>
        <v/>
      </c>
      <c r="V3976" s="75" t="str">
        <f>IF(ISERROR(FIND('112'!$M$9,G3976,1)),"",IF((AND(RIGHT(G3976,2)=RIGHT('112'!$M$9,2),B3976&lt;'112'!$K$9,$O3976='112'!$I$6)),"x",""))</f>
        <v/>
      </c>
      <c r="W3976" s="75" t="str">
        <f>IF(AND('341-CT'!$H$9=H3976,OR(LEFT(N3976,3)=$W$7,LEFT(O3976,3)=$W$7)),"x","")</f>
        <v/>
      </c>
      <c r="X3976" s="75" t="str">
        <f>IF(OR(TH!N4237=TH!$X$7,O3976=TH!$X$7),"x","")</f>
        <v/>
      </c>
      <c r="Y3976" s="75" t="str">
        <f>IF(AND(OR(N3976="131",O3976="131"),H3976='131-CT'!$H$9),"x","")</f>
        <v/>
      </c>
      <c r="Z3976" s="75"/>
      <c r="AA3976" s="75" t="str">
        <f>IF(AND(MONTH(E3976)='IN-NX'!$J$5,'IN-NX'!$D$7=D3976),"x","")</f>
        <v/>
      </c>
      <c r="AB3976" s="75" t="str">
        <f>IF(AND(OR(LEFT(TH!N4237,2)="15",LEFT(TH!O4237,2)="15"),LEFT(TH!O4237,3)&lt;&gt;"111",'152-CT'!$J$8=TH!F4237),"x","")</f>
        <v/>
      </c>
      <c r="AC3976" s="75" t="str">
        <f>IF(AND(OR(LEFT(TH!N4237,2)="15",LEFT(TH!O4237,2)="15"),TK!$E$7=TH!F4237),"x","")</f>
        <v/>
      </c>
      <c r="AD3976" s="75" t="str">
        <f>IF(AND(N3976="1521",MONTH(C3976)='BK-NL'!$M$11),"x","")</f>
        <v/>
      </c>
    </row>
    <row r="3977" spans="1:31" ht="16.5" customHeight="1">
      <c r="A3977" s="309" t="str">
        <f>IF(B3977&lt;&gt;"",IF(AND(B3977='IN-TC'!$S$4,OR(TH!N3975="1111",TH!O3975="1111")),TH!D3975,""),"")</f>
        <v/>
      </c>
      <c r="B3977" s="1241">
        <f t="shared" si="1308"/>
        <v>4</v>
      </c>
      <c r="C3977" s="292">
        <f t="shared" si="1309"/>
        <v>42850</v>
      </c>
      <c r="D3977" s="292" t="s">
        <v>1954</v>
      </c>
      <c r="E3977" s="292">
        <v>42850</v>
      </c>
      <c r="F3977" s="1029" t="s">
        <v>1883</v>
      </c>
      <c r="G3977" s="925"/>
      <c r="H3977" s="311"/>
      <c r="I3977" s="373"/>
      <c r="J3977" s="926"/>
      <c r="K3977" s="373"/>
      <c r="L3977" s="379"/>
      <c r="M3977" s="927">
        <v>977368</v>
      </c>
      <c r="N3977" s="295" t="s">
        <v>101</v>
      </c>
      <c r="O3977" s="295" t="s">
        <v>63</v>
      </c>
      <c r="P3977" s="75" t="str">
        <f>IF(AND('331-CT'!$E$7=TH!H4238,OR(N3977="331",O3977="331")),"x","")</f>
        <v/>
      </c>
      <c r="Q3977" s="75" t="str">
        <f>IF(AND(B3977='111'!$L$11,OR($N3977=$Q$7,$O3977=$Q$7)),"x","")</f>
        <v/>
      </c>
      <c r="R3977" s="75" t="str">
        <f>IF(AND($N3977=$Q$7,$B3977&lt;'111'!$L$11),"x","")</f>
        <v/>
      </c>
      <c r="S3977" s="75" t="str">
        <f>IF(AND($O3977=$Q$7,$B3977&lt;'111'!$L$11),"x","")</f>
        <v>x</v>
      </c>
      <c r="T3977" s="75" t="str">
        <f>IF(ISERROR(FIND('112'!$M$9,G3977,1)),"",IF((AND(FIND('112'!$M$9,G3977,1)&gt;=1,B3977='112'!$K$9,OR($N3977='112'!$I$6,$O3977='112'!$I$6))),"x",""))</f>
        <v/>
      </c>
      <c r="U3977" s="75" t="str">
        <f>IF(ISERROR(FIND('112'!$M$9,G3977,1)),"",IF((AND(LEFT(G3977,2)=LEFT('112'!$M$9,2),B3977&lt;'112'!$K$9,$N3977='112'!$I$6)),"x",""))</f>
        <v/>
      </c>
      <c r="V3977" s="75" t="str">
        <f>IF(ISERROR(FIND('112'!$M$9,G3977,1)),"",IF((AND(RIGHT(G3977,2)=RIGHT('112'!$M$9,2),B3977&lt;'112'!$K$9,$O3977='112'!$I$6)),"x",""))</f>
        <v/>
      </c>
      <c r="W3977" s="75" t="str">
        <f>IF(AND('341-CT'!$H$9=H3977,OR(LEFT(N3977,3)=$W$7,LEFT(O3977,3)=$W$7)),"x","")</f>
        <v/>
      </c>
      <c r="X3977" s="75" t="str">
        <f>IF(OR(TH!N4238=TH!$X$7,O3977=TH!$X$7),"x","")</f>
        <v/>
      </c>
      <c r="Y3977" s="75" t="str">
        <f>IF(AND(OR(N3977="131",O3977="131"),H3977='131-CT'!$H$9),"x","")</f>
        <v/>
      </c>
      <c r="Z3977" s="75"/>
      <c r="AA3977" s="75" t="str">
        <f>IF(AND(MONTH(E3977)='IN-NX'!$J$5,'IN-NX'!$D$7=D3977),"x","")</f>
        <v/>
      </c>
      <c r="AB3977" s="75" t="str">
        <f>IF(AND(OR(LEFT(TH!N4238,2)="15",LEFT(TH!O4238,2)="15"),LEFT(TH!O4238,3)&lt;&gt;"111",'152-CT'!$J$8=TH!F4238),"x","")</f>
        <v/>
      </c>
      <c r="AC3977" s="75" t="str">
        <f>IF(AND(OR(LEFT(TH!N4238,2)="15",LEFT(TH!O4238,2)="15"),TK!$E$7=TH!F4238),"x","")</f>
        <v/>
      </c>
      <c r="AD3977" s="75" t="str">
        <f>IF(AND(N3977="1521",MONTH(C3977)='BK-NL'!$M$11),"x","")</f>
        <v/>
      </c>
      <c r="AE3977">
        <v>9</v>
      </c>
    </row>
    <row r="3978" spans="1:31" ht="16.5" customHeight="1">
      <c r="A3978" s="309" t="str">
        <f>IF(B3978&lt;&gt;"",IF(AND(B3978='IN-TC'!$S$4,OR(TH!N3976="1111",TH!O3976="1111")),TH!D3976,""),"")</f>
        <v/>
      </c>
      <c r="B3978" s="1241">
        <f t="shared" si="1308"/>
        <v>4</v>
      </c>
      <c r="C3978" s="292">
        <f t="shared" si="1309"/>
        <v>42850</v>
      </c>
      <c r="D3978" s="292" t="s">
        <v>1954</v>
      </c>
      <c r="E3978" s="292">
        <v>42850</v>
      </c>
      <c r="F3978" s="1029" t="s">
        <v>1895</v>
      </c>
      <c r="G3978" s="925"/>
      <c r="H3978" s="311"/>
      <c r="I3978" s="373"/>
      <c r="J3978" s="926"/>
      <c r="K3978" s="373"/>
      <c r="L3978" s="379"/>
      <c r="M3978" s="927">
        <v>97737</v>
      </c>
      <c r="N3978" s="295" t="s">
        <v>9</v>
      </c>
      <c r="O3978" s="295" t="s">
        <v>63</v>
      </c>
      <c r="P3978" s="75" t="str">
        <f>IF(AND('331-CT'!$E$7=TH!H4239,OR(N3978="331",O3978="331")),"x","")</f>
        <v/>
      </c>
      <c r="Q3978" s="75" t="str">
        <f>IF(AND(B3978='111'!$L$11,OR($N3978=$Q$7,$O3978=$Q$7)),"x","")</f>
        <v/>
      </c>
      <c r="R3978" s="75" t="str">
        <f>IF(AND($N3978=$Q$7,$B3978&lt;'111'!$L$11),"x","")</f>
        <v/>
      </c>
      <c r="S3978" s="75" t="str">
        <f>IF(AND($O3978=$Q$7,$B3978&lt;'111'!$L$11),"x","")</f>
        <v>x</v>
      </c>
      <c r="T3978" s="75" t="str">
        <f>IF(ISERROR(FIND('112'!$M$9,G3978,1)),"",IF((AND(FIND('112'!$M$9,G3978,1)&gt;=1,B3978='112'!$K$9,OR($N3978='112'!$I$6,$O3978='112'!$I$6))),"x",""))</f>
        <v/>
      </c>
      <c r="U3978" s="75" t="str">
        <f>IF(ISERROR(FIND('112'!$M$9,G3978,1)),"",IF((AND(LEFT(G3978,2)=LEFT('112'!$M$9,2),B3978&lt;'112'!$K$9,$N3978='112'!$I$6)),"x",""))</f>
        <v/>
      </c>
      <c r="V3978" s="75" t="str">
        <f>IF(ISERROR(FIND('112'!$M$9,G3978,1)),"",IF((AND(RIGHT(G3978,2)=RIGHT('112'!$M$9,2),B3978&lt;'112'!$K$9,$O3978='112'!$I$6)),"x",""))</f>
        <v/>
      </c>
      <c r="W3978" s="75" t="str">
        <f>IF(AND('341-CT'!$H$9=H3978,OR(LEFT(N3978,3)=$W$7,LEFT(O3978,3)=$W$7)),"x","")</f>
        <v/>
      </c>
      <c r="X3978" s="75" t="str">
        <f>IF(OR(TH!N4239=TH!$X$7,O3978=TH!$X$7),"x","")</f>
        <v/>
      </c>
      <c r="Y3978" s="75" t="str">
        <f>IF(AND(OR(N3978="131",O3978="131"),H3978='131-CT'!$H$9),"x","")</f>
        <v/>
      </c>
      <c r="Z3978" s="75"/>
      <c r="AA3978" s="75" t="str">
        <f>IF(AND(MONTH(E3978)='IN-NX'!$J$5,'IN-NX'!$D$7=D3978),"x","")</f>
        <v/>
      </c>
      <c r="AB3978" s="75" t="str">
        <f>IF(AND(OR(LEFT(TH!N4239,2)="15",LEFT(TH!O4239,2)="15"),LEFT(TH!O4239,3)&lt;&gt;"111",'152-CT'!$J$8=TH!F4239),"x","")</f>
        <v/>
      </c>
      <c r="AC3978" s="75" t="str">
        <f>IF(AND(OR(LEFT(TH!N4239,2)="15",LEFT(TH!O4239,2)="15"),TK!$E$7=TH!F4239),"x","")</f>
        <v/>
      </c>
      <c r="AD3978" s="75" t="str">
        <f>IF(AND(N3978="1521",MONTH(C3978)='BK-NL'!$M$11),"x","")</f>
        <v/>
      </c>
      <c r="AE3978">
        <v>9</v>
      </c>
    </row>
    <row r="3979" spans="1:31" ht="16.5" customHeight="1">
      <c r="A3979" s="309" t="str">
        <f>IF(B3979&lt;&gt;"",IF(AND(B3979='IN-TC'!$S$4,OR(TH!N3977="1111",TH!O3977="1111")),TH!D3977,""),"")</f>
        <v/>
      </c>
      <c r="B3979" s="1241">
        <f t="shared" si="1308"/>
        <v>4</v>
      </c>
      <c r="C3979" s="292">
        <f t="shared" si="1309"/>
        <v>42850</v>
      </c>
      <c r="D3979" s="292" t="s">
        <v>1955</v>
      </c>
      <c r="E3979" s="292">
        <v>42850</v>
      </c>
      <c r="F3979" s="1029" t="s">
        <v>1881</v>
      </c>
      <c r="G3979" s="925"/>
      <c r="H3979" s="311" t="s">
        <v>1887</v>
      </c>
      <c r="I3979" s="373"/>
      <c r="J3979" s="926"/>
      <c r="K3979" s="373"/>
      <c r="L3979" s="379"/>
      <c r="M3979" s="927">
        <v>1400000000</v>
      </c>
      <c r="N3979" s="295" t="s">
        <v>8</v>
      </c>
      <c r="O3979" s="295" t="s">
        <v>63</v>
      </c>
      <c r="P3979" s="75" t="str">
        <f>IF(AND('331-CT'!$E$7=TH!H4240,OR(N3979="331",O3979="331")),"x","")</f>
        <v/>
      </c>
      <c r="Q3979" s="75" t="str">
        <f>IF(AND(B3979='111'!$L$11,OR($N3979=$Q$7,$O3979=$Q$7)),"x","")</f>
        <v/>
      </c>
      <c r="R3979" s="75" t="str">
        <f>IF(AND($N3979=$Q$7,$B3979&lt;'111'!$L$11),"x","")</f>
        <v/>
      </c>
      <c r="S3979" s="75" t="str">
        <f>IF(AND($O3979=$Q$7,$B3979&lt;'111'!$L$11),"x","")</f>
        <v>x</v>
      </c>
      <c r="T3979" s="75" t="str">
        <f>IF(ISERROR(FIND('112'!$M$9,G3979,1)),"",IF((AND(FIND('112'!$M$9,G3979,1)&gt;=1,B3979='112'!$K$9,OR($N3979='112'!$I$6,$O3979='112'!$I$6))),"x",""))</f>
        <v/>
      </c>
      <c r="U3979" s="75" t="str">
        <f>IF(ISERROR(FIND('112'!$M$9,G3979,1)),"",IF((AND(LEFT(G3979,2)=LEFT('112'!$M$9,2),B3979&lt;'112'!$K$9,$N3979='112'!$I$6)),"x",""))</f>
        <v/>
      </c>
      <c r="V3979" s="75" t="str">
        <f>IF(ISERROR(FIND('112'!$M$9,G3979,1)),"",IF((AND(RIGHT(G3979,2)=RIGHT('112'!$M$9,2),B3979&lt;'112'!$K$9,$O3979='112'!$I$6)),"x",""))</f>
        <v/>
      </c>
      <c r="W3979" s="75" t="str">
        <f>IF(AND('341-CT'!$H$9=H3979,OR(LEFT(N3979,3)=$W$7,LEFT(O3979,3)=$W$7)),"x","")</f>
        <v/>
      </c>
      <c r="X3979" s="75" t="str">
        <f>IF(OR(TH!N4240=TH!$X$7,O3979=TH!$X$7),"x","")</f>
        <v/>
      </c>
      <c r="Y3979" s="75" t="str">
        <f>IF(AND(OR(N3979="131",O3979="131"),H3979='131-CT'!$H$9),"x","")</f>
        <v/>
      </c>
      <c r="Z3979" s="75"/>
      <c r="AA3979" s="75" t="str">
        <f>IF(AND(MONTH(E3979)='IN-NX'!$J$5,'IN-NX'!$D$7=D3979),"x","")</f>
        <v/>
      </c>
      <c r="AB3979" s="75" t="str">
        <f>IF(AND(OR(LEFT(TH!N4240,2)="15",LEFT(TH!O4240,2)="15"),LEFT(TH!O4240,3)&lt;&gt;"111",'152-CT'!$J$8=TH!F4240),"x","")</f>
        <v/>
      </c>
      <c r="AC3979" s="75" t="str">
        <f>IF(AND(OR(LEFT(TH!N4240,2)="15",LEFT(TH!O4240,2)="15"),TK!$E$7=TH!F4240),"x","")</f>
        <v/>
      </c>
      <c r="AD3979" s="75" t="str">
        <f>IF(AND(N3979="1521",MONTH(C3979)='BK-NL'!$M$11),"x","")</f>
        <v/>
      </c>
    </row>
    <row r="3980" spans="1:31" ht="16.5" customHeight="1">
      <c r="A3980" s="309" t="str">
        <f>IF(B3980&lt;&gt;"",IF(AND(B3980='IN-TC'!$S$4,OR(TH!N3978="1111",TH!O3978="1111")),TH!D3978,""),"")</f>
        <v/>
      </c>
      <c r="B3980" s="1241">
        <f t="shared" si="1308"/>
        <v>4</v>
      </c>
      <c r="C3980" s="292">
        <f t="shared" si="1309"/>
        <v>42850</v>
      </c>
      <c r="D3980" s="292" t="s">
        <v>1955</v>
      </c>
      <c r="E3980" s="292">
        <v>42850</v>
      </c>
      <c r="F3980" s="1029" t="s">
        <v>1883</v>
      </c>
      <c r="G3980" s="925"/>
      <c r="H3980" s="311"/>
      <c r="I3980" s="373"/>
      <c r="J3980" s="926"/>
      <c r="K3980" s="373"/>
      <c r="L3980" s="379"/>
      <c r="M3980" s="927">
        <v>980000</v>
      </c>
      <c r="N3980" s="295" t="s">
        <v>101</v>
      </c>
      <c r="O3980" s="295" t="s">
        <v>63</v>
      </c>
      <c r="P3980" s="75" t="str">
        <f>IF(AND('331-CT'!$E$7=TH!H4241,OR(N3980="331",O3980="331")),"x","")</f>
        <v/>
      </c>
      <c r="Q3980" s="75" t="str">
        <f>IF(AND(B3980='111'!$L$11,OR($N3980=$Q$7,$O3980=$Q$7)),"x","")</f>
        <v/>
      </c>
      <c r="R3980" s="75" t="str">
        <f>IF(AND($N3980=$Q$7,$B3980&lt;'111'!$L$11),"x","")</f>
        <v/>
      </c>
      <c r="S3980" s="75" t="str">
        <f>IF(AND($O3980=$Q$7,$B3980&lt;'111'!$L$11),"x","")</f>
        <v>x</v>
      </c>
      <c r="T3980" s="75" t="str">
        <f>IF(ISERROR(FIND('112'!$M$9,G3980,1)),"",IF((AND(FIND('112'!$M$9,G3980,1)&gt;=1,B3980='112'!$K$9,OR($N3980='112'!$I$6,$O3980='112'!$I$6))),"x",""))</f>
        <v/>
      </c>
      <c r="U3980" s="75" t="str">
        <f>IF(ISERROR(FIND('112'!$M$9,G3980,1)),"",IF((AND(LEFT(G3980,2)=LEFT('112'!$M$9,2),B3980&lt;'112'!$K$9,$N3980='112'!$I$6)),"x",""))</f>
        <v/>
      </c>
      <c r="V3980" s="75" t="str">
        <f>IF(ISERROR(FIND('112'!$M$9,G3980,1)),"",IF((AND(RIGHT(G3980,2)=RIGHT('112'!$M$9,2),B3980&lt;'112'!$K$9,$O3980='112'!$I$6)),"x",""))</f>
        <v/>
      </c>
      <c r="W3980" s="75" t="str">
        <f>IF(AND('341-CT'!$H$9=H3980,OR(LEFT(N3980,3)=$W$7,LEFT(O3980,3)=$W$7)),"x","")</f>
        <v/>
      </c>
      <c r="X3980" s="75" t="str">
        <f>IF(OR(TH!N4241=TH!$X$7,O3980=TH!$X$7),"x","")</f>
        <v/>
      </c>
      <c r="Y3980" s="75" t="str">
        <f>IF(AND(OR(N3980="131",O3980="131"),H3980='131-CT'!$H$9),"x","")</f>
        <v/>
      </c>
      <c r="Z3980" s="75"/>
      <c r="AA3980" s="75" t="str">
        <f>IF(AND(MONTH(E3980)='IN-NX'!$J$5,'IN-NX'!$D$7=D3980),"x","")</f>
        <v/>
      </c>
      <c r="AB3980" s="75" t="str">
        <f>IF(AND(OR(LEFT(TH!N4241,2)="15",LEFT(TH!O4241,2)="15"),LEFT(TH!O4241,3)&lt;&gt;"111",'152-CT'!$J$8=TH!F4241),"x","")</f>
        <v/>
      </c>
      <c r="AC3980" s="75" t="str">
        <f>IF(AND(OR(LEFT(TH!N4241,2)="15",LEFT(TH!O4241,2)="15"),TK!$E$7=TH!F4241),"x","")</f>
        <v/>
      </c>
      <c r="AD3980" s="75" t="str">
        <f>IF(AND(N3980="1521",MONTH(C3980)='BK-NL'!$M$11),"x","")</f>
        <v/>
      </c>
      <c r="AE3980">
        <v>9</v>
      </c>
    </row>
    <row r="3981" spans="1:31" ht="16.5" customHeight="1">
      <c r="A3981" s="309" t="str">
        <f>IF(B3981&lt;&gt;"",IF(AND(B3981='IN-TC'!$S$4,OR(TH!N3979="1111",TH!O3979="1111")),TH!D3979,""),"")</f>
        <v/>
      </c>
      <c r="B3981" s="1241">
        <f t="shared" si="1308"/>
        <v>4</v>
      </c>
      <c r="C3981" s="292">
        <f t="shared" si="1309"/>
        <v>42850</v>
      </c>
      <c r="D3981" s="292" t="s">
        <v>1955</v>
      </c>
      <c r="E3981" s="292">
        <v>42850</v>
      </c>
      <c r="F3981" s="1029" t="s">
        <v>1895</v>
      </c>
      <c r="G3981" s="925"/>
      <c r="H3981" s="311"/>
      <c r="I3981" s="373"/>
      <c r="J3981" s="926"/>
      <c r="K3981" s="373"/>
      <c r="L3981" s="379"/>
      <c r="M3981" s="927">
        <v>98000</v>
      </c>
      <c r="N3981" s="295" t="s">
        <v>9</v>
      </c>
      <c r="O3981" s="295" t="s">
        <v>63</v>
      </c>
      <c r="P3981" s="75" t="str">
        <f>IF(AND('331-CT'!$E$7=TH!H4242,OR(N3981="331",O3981="331")),"x","")</f>
        <v/>
      </c>
      <c r="Q3981" s="75" t="str">
        <f>IF(AND(B3981='111'!$L$11,OR($N3981=$Q$7,$O3981=$Q$7)),"x","")</f>
        <v/>
      </c>
      <c r="R3981" s="75" t="str">
        <f>IF(AND($N3981=$Q$7,$B3981&lt;'111'!$L$11),"x","")</f>
        <v/>
      </c>
      <c r="S3981" s="75" t="str">
        <f>IF(AND($O3981=$Q$7,$B3981&lt;'111'!$L$11),"x","")</f>
        <v>x</v>
      </c>
      <c r="T3981" s="75" t="str">
        <f>IF(ISERROR(FIND('112'!$M$9,G3981,1)),"",IF((AND(FIND('112'!$M$9,G3981,1)&gt;=1,B3981='112'!$K$9,OR($N3981='112'!$I$6,$O3981='112'!$I$6))),"x",""))</f>
        <v/>
      </c>
      <c r="U3981" s="75" t="str">
        <f>IF(ISERROR(FIND('112'!$M$9,G3981,1)),"",IF((AND(LEFT(G3981,2)=LEFT('112'!$M$9,2),B3981&lt;'112'!$K$9,$N3981='112'!$I$6)),"x",""))</f>
        <v/>
      </c>
      <c r="V3981" s="75" t="str">
        <f>IF(ISERROR(FIND('112'!$M$9,G3981,1)),"",IF((AND(RIGHT(G3981,2)=RIGHT('112'!$M$9,2),B3981&lt;'112'!$K$9,$O3981='112'!$I$6)),"x",""))</f>
        <v/>
      </c>
      <c r="W3981" s="75" t="str">
        <f>IF(AND('341-CT'!$H$9=H3981,OR(LEFT(N3981,3)=$W$7,LEFT(O3981,3)=$W$7)),"x","")</f>
        <v/>
      </c>
      <c r="X3981" s="75" t="str">
        <f>IF(OR(TH!N4242=TH!$X$7,O3981=TH!$X$7),"x","")</f>
        <v/>
      </c>
      <c r="Y3981" s="75" t="str">
        <f>IF(AND(OR(N3981="131",O3981="131"),H3981='131-CT'!$H$9),"x","")</f>
        <v/>
      </c>
      <c r="Z3981" s="75"/>
      <c r="AA3981" s="75" t="str">
        <f>IF(AND(MONTH(E3981)='IN-NX'!$J$5,'IN-NX'!$D$7=D3981),"x","")</f>
        <v/>
      </c>
      <c r="AB3981" s="75" t="str">
        <f>IF(AND(OR(LEFT(TH!N4242,2)="15",LEFT(TH!O4242,2)="15"),LEFT(TH!O4242,3)&lt;&gt;"111",'152-CT'!$J$8=TH!F4242),"x","")</f>
        <v/>
      </c>
      <c r="AC3981" s="75" t="str">
        <f>IF(AND(OR(LEFT(TH!N4242,2)="15",LEFT(TH!O4242,2)="15"),TK!$E$7=TH!F4242),"x","")</f>
        <v/>
      </c>
      <c r="AD3981" s="75" t="str">
        <f>IF(AND(N3981="1521",MONTH(C3981)='BK-NL'!$M$11),"x","")</f>
        <v/>
      </c>
      <c r="AE3981">
        <v>9</v>
      </c>
    </row>
    <row r="3982" spans="1:31" ht="16.5" customHeight="1">
      <c r="A3982" s="309" t="str">
        <f>IF(B3982&lt;&gt;"",IF(AND(B3982='IN-TC'!$S$4,OR(TH!N3980="1111",TH!O3980="1111")),TH!D3980,""),"")</f>
        <v/>
      </c>
      <c r="B3982" s="1241">
        <f t="shared" si="1308"/>
        <v>4</v>
      </c>
      <c r="C3982" s="292">
        <f t="shared" si="1309"/>
        <v>42851</v>
      </c>
      <c r="D3982" s="292" t="s">
        <v>1198</v>
      </c>
      <c r="E3982" s="292">
        <v>42851</v>
      </c>
      <c r="F3982" s="1125" t="s">
        <v>834</v>
      </c>
      <c r="G3982" s="943" t="s">
        <v>747</v>
      </c>
      <c r="H3982" s="67" t="s">
        <v>1023</v>
      </c>
      <c r="I3982" s="373"/>
      <c r="J3982" s="926"/>
      <c r="K3982" s="373"/>
      <c r="L3982" s="379"/>
      <c r="M3982" s="927">
        <v>900000000</v>
      </c>
      <c r="N3982" s="295" t="s">
        <v>63</v>
      </c>
      <c r="O3982" s="295" t="s">
        <v>26</v>
      </c>
      <c r="P3982" s="75" t="str">
        <f>IF(AND('331-CT'!$E$7=TH!H5117,OR(N3982="331",O3982="331")),"x","")</f>
        <v/>
      </c>
      <c r="Q3982" s="75" t="str">
        <f>IF(AND(B3982='111'!$L$11,OR($N3982=$Q$7,$O3982=$Q$7)),"x","")</f>
        <v/>
      </c>
      <c r="R3982" s="75" t="str">
        <f>IF(AND($N3982=$Q$7,$B3982&lt;'111'!$L$11),"x","")</f>
        <v>x</v>
      </c>
      <c r="S3982" s="75" t="str">
        <f>IF(AND($O3982=$Q$7,$B3982&lt;'111'!$L$11),"x","")</f>
        <v/>
      </c>
      <c r="T3982" s="75" t="str">
        <f>IF(ISERROR(FIND('112'!$M$9,G3982,1)),"",IF((AND(FIND('112'!$M$9,G3982,1)&gt;=1,B3982='112'!$K$9,OR($N3982='112'!$I$6,$O3982='112'!$I$6))),"x",""))</f>
        <v/>
      </c>
      <c r="U3982" s="75" t="str">
        <f>IF(ISERROR(FIND('112'!$M$9,G3982,1)),"",IF((AND(LEFT(G3982,2)=LEFT('112'!$M$9,2),B3982&lt;'112'!$K$9,$N3982='112'!$I$6)),"x",""))</f>
        <v/>
      </c>
      <c r="V3982" s="75" t="str">
        <f>IF(ISERROR(FIND('112'!$M$9,G3982,1)),"",IF((AND(RIGHT(G3982,2)=RIGHT('112'!$M$9,2),B3982&lt;'112'!$K$9,$O3982='112'!$I$6)),"x",""))</f>
        <v/>
      </c>
      <c r="W3982" s="75" t="str">
        <f>IF(AND('341-CT'!$H$9=H3982,OR(LEFT(N3982,3)=$W$7,LEFT(O3982,3)=$W$7)),"x","")</f>
        <v/>
      </c>
      <c r="X3982" s="75" t="str">
        <f>IF(OR(TH!N5117=TH!$X$7,O3982=TH!$X$7),"x","")</f>
        <v/>
      </c>
      <c r="Y3982" s="75" t="str">
        <f>IF(AND(OR(N3982="131",O3982="131"),H3982='131-CT'!$H$9),"x","")</f>
        <v/>
      </c>
      <c r="Z3982" s="75"/>
      <c r="AA3982" s="75" t="str">
        <f>IF(AND(MONTH(E3982)='IN-NX'!$J$5,'IN-NX'!$D$7=D3982),"x","")</f>
        <v/>
      </c>
      <c r="AB3982" s="75" t="str">
        <f>IF(AND(OR(LEFT(TH!N5117,2)="15",LEFT(TH!O5117,2)="15"),LEFT(TH!O5117,3)&lt;&gt;"111",'152-CT'!$J$8=TH!F5117),"x","")</f>
        <v/>
      </c>
      <c r="AC3982" s="75" t="str">
        <f>IF(AND(OR(LEFT(TH!N5117,2)="15",LEFT(TH!O5117,2)="15"),TK!$E$7=TH!F5117),"x","")</f>
        <v/>
      </c>
      <c r="AD3982" s="75" t="str">
        <f>IF(AND(N3982="1521",MONTH(C3982)='BK-NL'!$M$11),"x","")</f>
        <v/>
      </c>
    </row>
    <row r="3983" spans="1:31" ht="18" customHeight="1">
      <c r="A3983" s="309" t="str">
        <f>IF(B3983&lt;&gt;"",IF(AND(B3983='IN-TC'!$S$4,OR(TH!N3981="1111",TH!O3981="1111")),TH!D3981,""),"")</f>
        <v/>
      </c>
      <c r="B3983" s="1241">
        <f t="shared" si="1308"/>
        <v>4</v>
      </c>
      <c r="C3983" s="292">
        <f t="shared" si="1309"/>
        <v>42851</v>
      </c>
      <c r="D3983" s="292" t="s">
        <v>1956</v>
      </c>
      <c r="E3983" s="292">
        <v>42851</v>
      </c>
      <c r="F3983" s="131" t="s">
        <v>885</v>
      </c>
      <c r="G3983" s="62" t="s">
        <v>747</v>
      </c>
      <c r="H3983" s="311" t="s">
        <v>1023</v>
      </c>
      <c r="I3983" s="373"/>
      <c r="J3983" s="379"/>
      <c r="K3983" s="373"/>
      <c r="L3983" s="379"/>
      <c r="M3983" s="60">
        <v>600000000</v>
      </c>
      <c r="N3983" s="61" t="s">
        <v>26</v>
      </c>
      <c r="O3983" s="295" t="s">
        <v>63</v>
      </c>
      <c r="P3983" s="75" t="str">
        <f>IF(AND('331-CT'!$E$7=TH!H5116,OR(N3983="331",O3983="331")),"x","")</f>
        <v/>
      </c>
      <c r="Q3983" s="75" t="str">
        <f>IF(AND(B3983='111'!$L$11,OR($N3983=$Q$7,$O3983=$Q$7)),"x","")</f>
        <v/>
      </c>
      <c r="R3983" s="75" t="str">
        <f>IF(AND($N3983=$Q$7,$B3983&lt;'111'!$L$11),"x","")</f>
        <v/>
      </c>
      <c r="S3983" s="75" t="str">
        <f>IF(AND($O3983=$Q$7,$B3983&lt;'111'!$L$11),"x","")</f>
        <v>x</v>
      </c>
      <c r="T3983" s="75" t="str">
        <f>IF(ISERROR(FIND('112'!$M$9,G3983,1)),"",IF((AND(FIND('112'!$M$9,G3983,1)&gt;=1,B3983='112'!$K$9,OR($N3983='112'!$I$6,$O3983='112'!$I$6))),"x",""))</f>
        <v/>
      </c>
      <c r="U3983" s="75" t="str">
        <f>IF(ISERROR(FIND('112'!$M$9,G3983,1)),"",IF((AND(LEFT(G3983,2)=LEFT('112'!$M$9,2),B3983&lt;'112'!$K$9,$N3983='112'!$I$6)),"x",""))</f>
        <v/>
      </c>
      <c r="V3983" s="75" t="str">
        <f>IF(ISERROR(FIND('112'!$M$9,G3983,1)),"",IF((AND(RIGHT(G3983,2)=RIGHT('112'!$M$9,2),B3983&lt;'112'!$K$9,$O3983='112'!$I$6)),"x",""))</f>
        <v/>
      </c>
      <c r="W3983" s="75" t="str">
        <f>IF(AND('341-CT'!$H$9=H3983,OR(LEFT(N3983,3)=$W$7,LEFT(O3983,3)=$W$7)),"x","")</f>
        <v/>
      </c>
      <c r="X3983" s="75" t="str">
        <f>IF(OR(TH!N5116=TH!$X$7,O3983=TH!$X$7),"x","")</f>
        <v/>
      </c>
      <c r="Y3983" s="75" t="str">
        <f>IF(AND(OR(N3983="131",O3983="131"),H3983='131-CT'!$H$9),"x","")</f>
        <v/>
      </c>
      <c r="Z3983" s="75"/>
      <c r="AA3983" s="75" t="str">
        <f>IF(AND(MONTH(E3983)='IN-NX'!$J$5,'IN-NX'!$D$7=D3983),"x","")</f>
        <v/>
      </c>
      <c r="AB3983" s="75" t="str">
        <f>IF(AND(OR(LEFT(TH!N5116,2)="15",LEFT(TH!O5116,2)="15"),LEFT(TH!O5116,3)&lt;&gt;"111",'152-CT'!$J$8=TH!F5116),"x","")</f>
        <v/>
      </c>
      <c r="AC3983" s="75" t="str">
        <f>IF(AND(OR(LEFT(TH!N5116,2)="15",LEFT(TH!O5116,2)="15"),TK!$E$7=TH!F5116),"x","")</f>
        <v/>
      </c>
      <c r="AD3983" s="75" t="str">
        <f>IF(AND(N3983="1521",MONTH(C3983)='BK-NL'!$M$11),"x","")</f>
        <v/>
      </c>
    </row>
    <row r="3984" spans="1:31" ht="18" customHeight="1">
      <c r="A3984" s="309" t="str">
        <f>IF(B3984&lt;&gt;"",IF(AND(B3984='IN-TC'!$S$4,OR(TH!N3982="1111",TH!O3982="1111")),TH!D3982,""),"")</f>
        <v/>
      </c>
      <c r="B3984" s="1241">
        <f t="shared" si="1308"/>
        <v>4</v>
      </c>
      <c r="C3984" s="292">
        <f t="shared" si="1309"/>
        <v>42851</v>
      </c>
      <c r="D3984" s="59" t="s">
        <v>902</v>
      </c>
      <c r="E3984" s="59">
        <v>42851</v>
      </c>
      <c r="F3984" s="131" t="s">
        <v>897</v>
      </c>
      <c r="G3984" s="62" t="s">
        <v>747</v>
      </c>
      <c r="H3984" s="67" t="s">
        <v>791</v>
      </c>
      <c r="I3984" s="373"/>
      <c r="J3984" s="379"/>
      <c r="K3984" s="373"/>
      <c r="L3984" s="379"/>
      <c r="M3984" s="60">
        <v>2186691000</v>
      </c>
      <c r="N3984" s="61" t="s">
        <v>8</v>
      </c>
      <c r="O3984" s="61" t="s">
        <v>26</v>
      </c>
      <c r="P3984" s="75" t="str">
        <f>IF(AND('331-CT'!$E$7=TH!H5118,OR(N3984="331",O3984="331")),"x","")</f>
        <v/>
      </c>
      <c r="Q3984" s="75" t="str">
        <f>IF(AND(B3984='111'!$L$11,OR($N3984=$Q$7,$O3984=$Q$7)),"x","")</f>
        <v/>
      </c>
      <c r="R3984" s="75" t="str">
        <f>IF(AND($N3984=$Q$7,$B3984&lt;'111'!$L$11),"x","")</f>
        <v/>
      </c>
      <c r="S3984" s="75" t="str">
        <f>IF(AND($O3984=$Q$7,$B3984&lt;'111'!$L$11),"x","")</f>
        <v/>
      </c>
      <c r="T3984" s="75" t="str">
        <f>IF(ISERROR(FIND('112'!$M$9,G3984,1)),"",IF((AND(FIND('112'!$M$9,G3984,1)&gt;=1,B3984='112'!$K$9,OR($N3984='112'!$I$6,$O3984='112'!$I$6))),"x",""))</f>
        <v/>
      </c>
      <c r="U3984" s="75" t="str">
        <f>IF(ISERROR(FIND('112'!$M$9,G3984,1)),"",IF((AND(LEFT(G3984,2)=LEFT('112'!$M$9,2),B3984&lt;'112'!$K$9,$N3984='112'!$I$6)),"x",""))</f>
        <v/>
      </c>
      <c r="V3984" s="75" t="str">
        <f>IF(ISERROR(FIND('112'!$M$9,G3984,1)),"",IF((AND(RIGHT(G3984,2)=RIGHT('112'!$M$9,2),B3984&lt;'112'!$K$9,$O3984='112'!$I$6)),"x",""))</f>
        <v/>
      </c>
      <c r="W3984" s="75" t="str">
        <f>IF(AND('341-CT'!$H$9=H3984,OR(LEFT(N3984,3)=$W$7,LEFT(O3984,3)=$W$7)),"x","")</f>
        <v/>
      </c>
      <c r="X3984" s="75" t="str">
        <f>IF(OR(TH!N5118=TH!$X$7,O3984=TH!$X$7),"x","")</f>
        <v/>
      </c>
      <c r="Y3984" s="75" t="str">
        <f>IF(AND(OR(N3984="131",O3984="131"),H3984='131-CT'!$H$9),"x","")</f>
        <v/>
      </c>
      <c r="Z3984" s="75"/>
      <c r="AA3984" s="75" t="str">
        <f>IF(AND(MONTH(E3984)='IN-NX'!$J$5,'IN-NX'!$D$7=D3984),"x","")</f>
        <v/>
      </c>
      <c r="AB3984" s="75" t="str">
        <f>IF(AND(OR(LEFT(TH!N5118,2)="15",LEFT(TH!O5118,2)="15"),LEFT(TH!O5118,3)&lt;&gt;"111",'152-CT'!$J$8=TH!F5118),"x","")</f>
        <v/>
      </c>
      <c r="AC3984" s="75" t="str">
        <f>IF(AND(OR(LEFT(TH!N5118,2)="15",LEFT(TH!O5118,2)="15"),TK!$E$7=TH!F5118),"x","")</f>
        <v/>
      </c>
      <c r="AD3984" s="75" t="str">
        <f>IF(AND(N3984="1521",MONTH(C3984)='BK-NL'!$M$11),"x","")</f>
        <v/>
      </c>
    </row>
    <row r="3985" spans="1:30" ht="16.5" customHeight="1">
      <c r="A3985" s="309" t="str">
        <f>IF(B3985&lt;&gt;"",IF(AND(B3985='IN-TC'!$S$4,OR(TH!N3983="1111",TH!O3983="1111")),TH!D3983,""),"")</f>
        <v/>
      </c>
      <c r="B3985" s="1241">
        <f t="shared" si="1308"/>
        <v>4</v>
      </c>
      <c r="C3985" s="292">
        <f t="shared" si="1309"/>
        <v>42851</v>
      </c>
      <c r="D3985" s="59" t="s">
        <v>902</v>
      </c>
      <c r="E3985" s="59">
        <v>42851</v>
      </c>
      <c r="F3985" s="131" t="s">
        <v>870</v>
      </c>
      <c r="G3985" s="62" t="s">
        <v>747</v>
      </c>
      <c r="H3985" s="311" t="s">
        <v>835</v>
      </c>
      <c r="I3985" s="373"/>
      <c r="J3985" s="379"/>
      <c r="K3985" s="373"/>
      <c r="L3985" s="379"/>
      <c r="M3985" s="60">
        <v>656007</v>
      </c>
      <c r="N3985" s="61" t="s">
        <v>101</v>
      </c>
      <c r="O3985" s="61" t="s">
        <v>26</v>
      </c>
      <c r="P3985" s="75" t="str">
        <f>IF(AND('331-CT'!$E$7=TH!H5119,OR(N3985="331",O3985="331")),"x","")</f>
        <v/>
      </c>
      <c r="Q3985" s="75" t="str">
        <f>IF(AND(B3985='111'!$L$11,OR($N3985=$Q$7,$O3985=$Q$7)),"x","")</f>
        <v/>
      </c>
      <c r="R3985" s="75" t="str">
        <f>IF(AND($N3985=$Q$7,$B3985&lt;'111'!$L$11),"x","")</f>
        <v/>
      </c>
      <c r="S3985" s="75" t="str">
        <f>IF(AND($O3985=$Q$7,$B3985&lt;'111'!$L$11),"x","")</f>
        <v/>
      </c>
      <c r="T3985" s="75" t="str">
        <f>IF(ISERROR(FIND('112'!$M$9,G3985,1)),"",IF((AND(FIND('112'!$M$9,G3985,1)&gt;=1,B3985='112'!$K$9,OR($N3985='112'!$I$6,$O3985='112'!$I$6))),"x",""))</f>
        <v/>
      </c>
      <c r="U3985" s="75" t="str">
        <f>IF(ISERROR(FIND('112'!$M$9,G3985,1)),"",IF((AND(LEFT(G3985,2)=LEFT('112'!$M$9,2),B3985&lt;'112'!$K$9,$N3985='112'!$I$6)),"x",""))</f>
        <v/>
      </c>
      <c r="V3985" s="75" t="str">
        <f>IF(ISERROR(FIND('112'!$M$9,G3985,1)),"",IF((AND(RIGHT(G3985,2)=RIGHT('112'!$M$9,2),B3985&lt;'112'!$K$9,$O3985='112'!$I$6)),"x",""))</f>
        <v/>
      </c>
      <c r="W3985" s="75" t="str">
        <f>IF(AND('341-CT'!$H$9=H3985,OR(LEFT(N3985,3)=$W$7,LEFT(O3985,3)=$W$7)),"x","")</f>
        <v/>
      </c>
      <c r="X3985" s="75" t="str">
        <f>IF(OR(TH!N5119=TH!$X$7,O3985=TH!$X$7),"x","")</f>
        <v/>
      </c>
      <c r="Y3985" s="75" t="str">
        <f>IF(AND(OR(N3985="131",O3985="131"),H3985='131-CT'!$H$9),"x","")</f>
        <v/>
      </c>
      <c r="Z3985" s="75"/>
      <c r="AA3985" s="75" t="str">
        <f>IF(AND(MONTH(E3985)='IN-NX'!$J$5,'IN-NX'!$D$7=D3985),"x","")</f>
        <v/>
      </c>
      <c r="AB3985" s="75" t="str">
        <f>IF(AND(OR(LEFT(TH!N5119,2)="15",LEFT(TH!O5119,2)="15"),LEFT(TH!O5119,3)&lt;&gt;"111",'152-CT'!$J$8=TH!F5119),"x","")</f>
        <v/>
      </c>
      <c r="AC3985" s="75" t="str">
        <f>IF(AND(OR(LEFT(TH!N5119,2)="15",LEFT(TH!O5119,2)="15"),TK!$E$7=TH!F5119),"x","")</f>
        <v/>
      </c>
      <c r="AD3985" s="75" t="str">
        <f>IF(AND(N3985="1521",MONTH(C3985)='BK-NL'!$M$11),"x","")</f>
        <v/>
      </c>
    </row>
    <row r="3986" spans="1:30" ht="16.5" customHeight="1">
      <c r="A3986" s="309" t="str">
        <f>IF(B3986&lt;&gt;"",IF(AND(B3986='IN-TC'!$S$4,OR(TH!N3984="1111",TH!O3984="1111")),TH!D3984,""),"")</f>
        <v/>
      </c>
      <c r="B3986" s="1241">
        <f t="shared" si="1308"/>
        <v>4</v>
      </c>
      <c r="C3986" s="292">
        <f t="shared" si="1309"/>
        <v>42851</v>
      </c>
      <c r="D3986" s="59" t="s">
        <v>902</v>
      </c>
      <c r="E3986" s="59">
        <v>42851</v>
      </c>
      <c r="F3986" s="131" t="s">
        <v>898</v>
      </c>
      <c r="G3986" s="62" t="s">
        <v>747</v>
      </c>
      <c r="H3986" s="311" t="s">
        <v>835</v>
      </c>
      <c r="I3986" s="373"/>
      <c r="J3986" s="379"/>
      <c r="K3986" s="373"/>
      <c r="L3986" s="379"/>
      <c r="M3986" s="60">
        <v>65601</v>
      </c>
      <c r="N3986" s="61" t="s">
        <v>9</v>
      </c>
      <c r="O3986" s="61" t="s">
        <v>26</v>
      </c>
      <c r="P3986" s="75" t="str">
        <f>IF(AND('331-CT'!$E$7=TH!H5120,OR(N3986="331",O3986="331")),"x","")</f>
        <v/>
      </c>
      <c r="Q3986" s="75" t="str">
        <f>IF(AND(B3986='111'!$L$11,OR($N3986=$Q$7,$O3986=$Q$7)),"x","")</f>
        <v/>
      </c>
      <c r="R3986" s="75" t="str">
        <f>IF(AND($N3986=$Q$7,$B3986&lt;'111'!$L$11),"x","")</f>
        <v/>
      </c>
      <c r="S3986" s="75" t="str">
        <f>IF(AND($O3986=$Q$7,$B3986&lt;'111'!$L$11),"x","")</f>
        <v/>
      </c>
      <c r="T3986" s="75" t="str">
        <f>IF(ISERROR(FIND('112'!$M$9,G3986,1)),"",IF((AND(FIND('112'!$M$9,G3986,1)&gt;=1,B3986='112'!$K$9,OR($N3986='112'!$I$6,$O3986='112'!$I$6))),"x",""))</f>
        <v/>
      </c>
      <c r="U3986" s="75" t="str">
        <f>IF(ISERROR(FIND('112'!$M$9,G3986,1)),"",IF((AND(LEFT(G3986,2)=LEFT('112'!$M$9,2),B3986&lt;'112'!$K$9,$N3986='112'!$I$6)),"x",""))</f>
        <v/>
      </c>
      <c r="V3986" s="75" t="str">
        <f>IF(ISERROR(FIND('112'!$M$9,G3986,1)),"",IF((AND(RIGHT(G3986,2)=RIGHT('112'!$M$9,2),B3986&lt;'112'!$K$9,$O3986='112'!$I$6)),"x",""))</f>
        <v/>
      </c>
      <c r="W3986" s="75" t="str">
        <f>IF(AND('341-CT'!$H$9=H3986,OR(LEFT(N3986,3)=$W$7,LEFT(O3986,3)=$W$7)),"x","")</f>
        <v/>
      </c>
      <c r="X3986" s="75" t="str">
        <f>IF(OR(TH!N5120=TH!$X$7,O3986=TH!$X$7),"x","")</f>
        <v/>
      </c>
      <c r="Y3986" s="75" t="str">
        <f>IF(AND(OR(N3986="131",O3986="131"),H3986='131-CT'!$H$9),"x","")</f>
        <v/>
      </c>
      <c r="Z3986" s="75"/>
      <c r="AA3986" s="75" t="str">
        <f>IF(AND(MONTH(E3986)='IN-NX'!$J$5,'IN-NX'!$D$7=D3986),"x","")</f>
        <v/>
      </c>
      <c r="AB3986" s="75" t="str">
        <f>IF(AND(OR(LEFT(TH!N5120,2)="15",LEFT(TH!O5120,2)="15"),LEFT(TH!O5120,3)&lt;&gt;"111",'152-CT'!$J$8=TH!F5120),"x","")</f>
        <v/>
      </c>
      <c r="AC3986" s="75" t="str">
        <f>IF(AND(OR(LEFT(TH!N5120,2)="15",LEFT(TH!O5120,2)="15"),TK!$E$7=TH!F5120),"x","")</f>
        <v/>
      </c>
      <c r="AD3986" s="75" t="str">
        <f>IF(AND(N3986="1521",MONTH(C3986)='BK-NL'!$M$11),"x","")</f>
        <v/>
      </c>
    </row>
    <row r="3987" spans="1:30" ht="18" customHeight="1">
      <c r="A3987" s="309" t="str">
        <f>IF(B3987&lt;&gt;"",IF(AND(B3987='IN-TC'!$S$4,OR(TH!N3985="1111",TH!O3985="1111")),TH!D3985,""),"")</f>
        <v/>
      </c>
      <c r="B3987" s="1241">
        <f t="shared" ref="B3987:B4050" si="1310">IF(C3987&lt;&gt;"",MONTH(C3987),"")</f>
        <v>4</v>
      </c>
      <c r="C3987" s="292">
        <f t="shared" si="1309"/>
        <v>42851</v>
      </c>
      <c r="D3987" s="59" t="s">
        <v>903</v>
      </c>
      <c r="E3987" s="59">
        <v>42851</v>
      </c>
      <c r="F3987" s="1125" t="s">
        <v>252</v>
      </c>
      <c r="G3987" s="62" t="s">
        <v>747</v>
      </c>
      <c r="H3987" s="311" t="s">
        <v>1555</v>
      </c>
      <c r="I3987" s="373"/>
      <c r="J3987" s="379"/>
      <c r="K3987" s="373">
        <v>40000</v>
      </c>
      <c r="L3987" s="379">
        <v>22720</v>
      </c>
      <c r="M3987" s="60">
        <v>908800000</v>
      </c>
      <c r="N3987" s="61" t="s">
        <v>26</v>
      </c>
      <c r="O3987" s="61" t="s">
        <v>250</v>
      </c>
      <c r="P3987" s="75" t="str">
        <f>IF(AND('331-CT'!$E$7=TH!H5121,OR(N3987="331",O3987="331")),"x","")</f>
        <v/>
      </c>
      <c r="Q3987" s="75" t="str">
        <f>IF(AND(B3987='111'!$L$11,OR($N3987=$Q$7,$O3987=$Q$7)),"x","")</f>
        <v/>
      </c>
      <c r="R3987" s="75" t="str">
        <f>IF(AND($N3987=$Q$7,$B3987&lt;'111'!$L$11),"x","")</f>
        <v/>
      </c>
      <c r="S3987" s="75" t="str">
        <f>IF(AND($O3987=$Q$7,$B3987&lt;'111'!$L$11),"x","")</f>
        <v/>
      </c>
      <c r="T3987" s="75" t="str">
        <f>IF(ISERROR(FIND('112'!$M$9,G3987,1)),"",IF((AND(FIND('112'!$M$9,G3987,1)&gt;=1,B3987='112'!$K$9,OR($N3987='112'!$I$6,$O3987='112'!$I$6))),"x",""))</f>
        <v/>
      </c>
      <c r="U3987" s="75" t="str">
        <f>IF(ISERROR(FIND('112'!$M$9,G3987,1)),"",IF((AND(LEFT(G3987,2)=LEFT('112'!$M$9,2),B3987&lt;'112'!$K$9,$N3987='112'!$I$6)),"x",""))</f>
        <v/>
      </c>
      <c r="V3987" s="75" t="str">
        <f>IF(ISERROR(FIND('112'!$M$9,G3987,1)),"",IF((AND(RIGHT(G3987,2)=RIGHT('112'!$M$9,2),B3987&lt;'112'!$K$9,$O3987='112'!$I$6)),"x",""))</f>
        <v/>
      </c>
      <c r="W3987" s="75" t="str">
        <f>IF(AND('341-CT'!$H$9=H3987,OR(LEFT(N3987,3)=$W$7,LEFT(O3987,3)=$W$7)),"x","")</f>
        <v/>
      </c>
      <c r="X3987" s="75" t="str">
        <f>IF(OR(TH!N5121=TH!$X$7,O3987=TH!$X$7),"x","")</f>
        <v/>
      </c>
      <c r="Y3987" s="75" t="str">
        <f>IF(AND(OR(N3987="131",O3987="131"),H3987='131-CT'!$H$9),"x","")</f>
        <v/>
      </c>
      <c r="Z3987" s="75"/>
      <c r="AA3987" s="75" t="str">
        <f>IF(AND(MONTH(E3987)='IN-NX'!$J$5,'IN-NX'!$D$7=D3987),"x","")</f>
        <v/>
      </c>
      <c r="AB3987" s="75" t="str">
        <f>IF(AND(OR(LEFT(TH!N5121,2)="15",LEFT(TH!O5121,2)="15"),LEFT(TH!O5121,3)&lt;&gt;"111",'152-CT'!$J$8=TH!F5121),"x","")</f>
        <v/>
      </c>
      <c r="AC3987" s="75" t="str">
        <f>IF(AND(OR(LEFT(TH!N5121,2)="15",LEFT(TH!O5121,2)="15"),TK!$E$7=TH!F5121),"x","")</f>
        <v/>
      </c>
      <c r="AD3987" s="75" t="str">
        <f>IF(AND(N3987="1521",MONTH(C3987)='BK-NL'!$M$11),"x","")</f>
        <v/>
      </c>
    </row>
    <row r="3988" spans="1:30" ht="18" customHeight="1">
      <c r="A3988" s="309" t="str">
        <f>IF(B3988&lt;&gt;"",IF(AND(B3988='IN-TC'!$S$4,OR(TH!N3986="1111",TH!O3986="1111")),TH!D3986,""),"")</f>
        <v/>
      </c>
      <c r="B3988" s="1241">
        <f t="shared" si="1310"/>
        <v>4</v>
      </c>
      <c r="C3988" s="292">
        <f t="shared" si="1309"/>
        <v>42852</v>
      </c>
      <c r="D3988" s="292" t="s">
        <v>1958</v>
      </c>
      <c r="E3988" s="292">
        <v>42852</v>
      </c>
      <c r="F3988" s="1126" t="s">
        <v>1165</v>
      </c>
      <c r="G3988" s="931" t="s">
        <v>1348</v>
      </c>
      <c r="H3988" s="296" t="s">
        <v>797</v>
      </c>
      <c r="I3988" s="371"/>
      <c r="J3988" s="932"/>
      <c r="K3988" s="371"/>
      <c r="L3988" s="377"/>
      <c r="M3988" s="933">
        <v>18980500</v>
      </c>
      <c r="N3988" s="934" t="s">
        <v>8</v>
      </c>
      <c r="O3988" s="934" t="s">
        <v>63</v>
      </c>
      <c r="P3988" s="75" t="str">
        <f>IF(AND('331-CT'!$E$7=TH!H3612,OR(N3988="331",O3988="331")),"x","")</f>
        <v/>
      </c>
      <c r="Q3988" s="75" t="str">
        <f>IF(AND(B3988='111'!$L$11,OR($N3988=$Q$7,$O3988=$Q$7)),"x","")</f>
        <v/>
      </c>
      <c r="R3988" s="75" t="str">
        <f>IF(AND($N3988=$Q$7,$B3988&lt;'111'!$L$11),"x","")</f>
        <v/>
      </c>
      <c r="S3988" s="75" t="str">
        <f>IF(AND($O3988=$Q$7,$B3988&lt;'111'!$L$11),"x","")</f>
        <v>x</v>
      </c>
      <c r="T3988" s="75" t="str">
        <f>IF(ISERROR(FIND('112'!$M$9,G3988,1)),"",IF((AND(FIND('112'!$M$9,G3988,1)&gt;=1,B3988='112'!$K$9,OR($N3988='112'!$I$6,$O3988='112'!$I$6))),"x",""))</f>
        <v/>
      </c>
      <c r="U3988" s="75" t="str">
        <f>IF(ISERROR(FIND('112'!$M$9,G3988,1)),"",IF((AND(LEFT(G3988,2)=LEFT('112'!$M$9,2),B3988&lt;'112'!$K$9,$N3988='112'!$I$6)),"x",""))</f>
        <v/>
      </c>
      <c r="V3988" s="75" t="str">
        <f>IF(ISERROR(FIND('112'!$M$9,G3988,1)),"",IF((AND(RIGHT(G3988,2)=RIGHT('112'!$M$9,2),B3988&lt;'112'!$K$9,$O3988='112'!$I$6)),"x",""))</f>
        <v/>
      </c>
      <c r="W3988" s="75" t="str">
        <f>IF(AND('341-CT'!$H$9=H3988,OR(LEFT(N3988,3)=$W$7,LEFT(O3988,3)=$W$7)),"x","")</f>
        <v/>
      </c>
      <c r="X3988" s="75" t="str">
        <f>IF(OR(TH!N3612=TH!$X$7,O3988=TH!$X$7),"x","")</f>
        <v/>
      </c>
      <c r="Y3988" s="75" t="str">
        <f>IF(AND(OR(N3988="131",O3988="131"),H3988='131-CT'!$H$9),"x","")</f>
        <v/>
      </c>
      <c r="Z3988" s="75"/>
      <c r="AA3988" s="75" t="str">
        <f>IF(AND(MONTH(E3988)='IN-NX'!$J$5,'IN-NX'!$D$7=D3988),"x","")</f>
        <v/>
      </c>
      <c r="AB3988" s="75" t="str">
        <f>IF(AND(OR(LEFT(TH!N3612,2)="15",LEFT(TH!O3612,2)="15"),LEFT(TH!O3612,3)&lt;&gt;"111",'152-CT'!$J$8=TH!F3612),"x","")</f>
        <v/>
      </c>
      <c r="AC3988" s="75" t="str">
        <f>IF(AND(OR(LEFT(TH!N3612,2)="15",LEFT(TH!O3612,2)="15"),TK!$E$7=TH!F3612),"x","")</f>
        <v/>
      </c>
      <c r="AD3988" s="75" t="str">
        <f>IF(AND(N3988="1521",MONTH(C3988)='BK-NL'!$M$11),"x","")</f>
        <v/>
      </c>
    </row>
    <row r="3989" spans="1:30" ht="18" customHeight="1">
      <c r="A3989" s="309" t="str">
        <f>IF(B3989&lt;&gt;"",IF(AND(B3989='IN-TC'!$S$4,OR(TH!N3987="1111",TH!O3987="1111")),TH!D3987,""),"")</f>
        <v/>
      </c>
      <c r="B3989" s="1241">
        <f t="shared" si="1310"/>
        <v>4</v>
      </c>
      <c r="C3989" s="292">
        <f t="shared" si="1309"/>
        <v>42852</v>
      </c>
      <c r="D3989" s="292" t="s">
        <v>1959</v>
      </c>
      <c r="E3989" s="292">
        <v>42852</v>
      </c>
      <c r="F3989" s="131" t="s">
        <v>1300</v>
      </c>
      <c r="G3989" s="742" t="s">
        <v>1302</v>
      </c>
      <c r="H3989" s="311" t="s">
        <v>974</v>
      </c>
      <c r="I3989" s="373"/>
      <c r="J3989" s="379"/>
      <c r="K3989" s="373"/>
      <c r="L3989" s="379"/>
      <c r="M3989" s="60">
        <v>11500000</v>
      </c>
      <c r="N3989" s="61" t="s">
        <v>101</v>
      </c>
      <c r="O3989" s="934" t="s">
        <v>63</v>
      </c>
      <c r="P3989" s="75" t="str">
        <f>IF(AND('331-CT'!$E$7=TH!H3613,OR(N3989="331",O3989="331")),"x","")</f>
        <v/>
      </c>
      <c r="Q3989" s="75" t="str">
        <f>IF(AND(B3989='111'!$L$11,OR($N3989=$Q$7,$O3989=$Q$7)),"x","")</f>
        <v/>
      </c>
      <c r="R3989" s="75" t="str">
        <f>IF(AND($N3989=$Q$7,$B3989&lt;'111'!$L$11),"x","")</f>
        <v/>
      </c>
      <c r="S3989" s="75" t="str">
        <f>IF(AND($O3989=$Q$7,$B3989&lt;'111'!$L$11),"x","")</f>
        <v>x</v>
      </c>
      <c r="T3989" s="75" t="str">
        <f>IF(ISERROR(FIND('112'!$M$9,G3989,1)),"",IF((AND(FIND('112'!$M$9,G3989,1)&gt;=1,B3989='112'!$K$9,OR($N3989='112'!$I$6,$O3989='112'!$I$6))),"x",""))</f>
        <v/>
      </c>
      <c r="U3989" s="75" t="str">
        <f>IF(ISERROR(FIND('112'!$M$9,G3989,1)),"",IF((AND(LEFT(G3989,2)=LEFT('112'!$M$9,2),B3989&lt;'112'!$K$9,$N3989='112'!$I$6)),"x",""))</f>
        <v/>
      </c>
      <c r="V3989" s="75" t="str">
        <f>IF(ISERROR(FIND('112'!$M$9,G3989,1)),"",IF((AND(RIGHT(G3989,2)=RIGHT('112'!$M$9,2),B3989&lt;'112'!$K$9,$O3989='112'!$I$6)),"x",""))</f>
        <v/>
      </c>
      <c r="W3989" s="75" t="str">
        <f>IF(AND('341-CT'!$H$9=H3989,OR(LEFT(N3989,3)=$W$7,LEFT(O3989,3)=$W$7)),"x","")</f>
        <v/>
      </c>
      <c r="X3989" s="75" t="str">
        <f>IF(OR(TH!N3613=TH!$X$7,O3989=TH!$X$7),"x","")</f>
        <v/>
      </c>
      <c r="Y3989" s="75" t="str">
        <f>IF(AND(OR(N3989="131",O3989="131"),H3989='131-CT'!$H$9),"x","")</f>
        <v/>
      </c>
      <c r="Z3989" s="75"/>
      <c r="AA3989" s="75" t="str">
        <f>IF(AND(MONTH(E3989)='IN-NX'!$J$5,'IN-NX'!$D$7=D3989),"x","")</f>
        <v/>
      </c>
      <c r="AB3989" s="75" t="str">
        <f>IF(AND(OR(LEFT(TH!N3613,2)="15",LEFT(TH!O3613,2)="15"),LEFT(TH!O3613,3)&lt;&gt;"111",'152-CT'!$J$8=TH!F3613),"x","")</f>
        <v/>
      </c>
      <c r="AC3989" s="75" t="str">
        <f>IF(AND(OR(LEFT(TH!N3613,2)="15",LEFT(TH!O3613,2)="15"),TK!$E$7=TH!F3613),"x","")</f>
        <v/>
      </c>
      <c r="AD3989" s="75" t="str">
        <f>IF(AND(N3989="1521",MONTH(C3989)='BK-NL'!$M$11),"x","")</f>
        <v/>
      </c>
    </row>
    <row r="3990" spans="1:30" ht="18" customHeight="1">
      <c r="A3990" s="309" t="str">
        <f>IF(B3990&lt;&gt;"",IF(AND(B3990='IN-TC'!$S$4,OR(TH!N3988="1111",TH!O3988="1111")),TH!D3988,""),"")</f>
        <v/>
      </c>
      <c r="B3990" s="1241">
        <f t="shared" si="1310"/>
        <v>4</v>
      </c>
      <c r="C3990" s="292">
        <f t="shared" si="1309"/>
        <v>42852</v>
      </c>
      <c r="D3990" s="292" t="s">
        <v>1959</v>
      </c>
      <c r="E3990" s="292">
        <v>42852</v>
      </c>
      <c r="F3990" s="131" t="s">
        <v>1301</v>
      </c>
      <c r="G3990" s="742" t="s">
        <v>1302</v>
      </c>
      <c r="H3990" s="311" t="s">
        <v>974</v>
      </c>
      <c r="I3990" s="373"/>
      <c r="J3990" s="379"/>
      <c r="K3990" s="373"/>
      <c r="L3990" s="379"/>
      <c r="M3990" s="60">
        <v>1150000</v>
      </c>
      <c r="N3990" s="61" t="s">
        <v>9</v>
      </c>
      <c r="O3990" s="934" t="s">
        <v>63</v>
      </c>
      <c r="P3990" s="75" t="str">
        <f>IF(AND('331-CT'!$E$7=TH!H3614,OR(N3990="331",O3990="331")),"x","")</f>
        <v/>
      </c>
      <c r="Q3990" s="75" t="str">
        <f>IF(AND(B3990='111'!$L$11,OR($N3990=$Q$7,$O3990=$Q$7)),"x","")</f>
        <v/>
      </c>
      <c r="R3990" s="75" t="str">
        <f>IF(AND($N3990=$Q$7,$B3990&lt;'111'!$L$11),"x","")</f>
        <v/>
      </c>
      <c r="S3990" s="75" t="str">
        <f>IF(AND($O3990=$Q$7,$B3990&lt;'111'!$L$11),"x","")</f>
        <v>x</v>
      </c>
      <c r="T3990" s="75" t="str">
        <f>IF(ISERROR(FIND('112'!$M$9,G3990,1)),"",IF((AND(FIND('112'!$M$9,G3990,1)&gt;=1,B3990='112'!$K$9,OR($N3990='112'!$I$6,$O3990='112'!$I$6))),"x",""))</f>
        <v/>
      </c>
      <c r="U3990" s="75" t="str">
        <f>IF(ISERROR(FIND('112'!$M$9,G3990,1)),"",IF((AND(LEFT(G3990,2)=LEFT('112'!$M$9,2),B3990&lt;'112'!$K$9,$N3990='112'!$I$6)),"x",""))</f>
        <v/>
      </c>
      <c r="V3990" s="75" t="str">
        <f>IF(ISERROR(FIND('112'!$M$9,G3990,1)),"",IF((AND(RIGHT(G3990,2)=RIGHT('112'!$M$9,2),B3990&lt;'112'!$K$9,$O3990='112'!$I$6)),"x",""))</f>
        <v/>
      </c>
      <c r="W3990" s="75" t="str">
        <f>IF(AND('341-CT'!$H$9=H3990,OR(LEFT(N3990,3)=$W$7,LEFT(O3990,3)=$W$7)),"x","")</f>
        <v/>
      </c>
      <c r="X3990" s="75" t="str">
        <f>IF(OR(TH!N3614=TH!$X$7,O3990=TH!$X$7),"x","")</f>
        <v/>
      </c>
      <c r="Y3990" s="75" t="str">
        <f>IF(AND(OR(N3990="131",O3990="131"),H3990='131-CT'!$H$9),"x","")</f>
        <v/>
      </c>
      <c r="Z3990" s="75"/>
      <c r="AA3990" s="75" t="str">
        <f>IF(AND(MONTH(E3990)='IN-NX'!$J$5,'IN-NX'!$D$7=D3990),"x","")</f>
        <v/>
      </c>
      <c r="AB3990" s="75" t="str">
        <f>IF(AND(OR(LEFT(TH!N3614,2)="15",LEFT(TH!O3614,2)="15"),LEFT(TH!O3614,3)&lt;&gt;"111",'152-CT'!$J$8=TH!F3614),"x","")</f>
        <v/>
      </c>
      <c r="AC3990" s="75" t="str">
        <f>IF(AND(OR(LEFT(TH!N3614,2)="15",LEFT(TH!O3614,2)="15"),TK!$E$7=TH!F3614),"x","")</f>
        <v/>
      </c>
      <c r="AD3990" s="75" t="str">
        <f>IF(AND(N3990="1521",MONTH(C3990)='BK-NL'!$M$11),"x","")</f>
        <v/>
      </c>
    </row>
    <row r="3991" spans="1:30" ht="18" customHeight="1">
      <c r="A3991" s="309" t="str">
        <f>IF(B3991&lt;&gt;"",IF(AND(B3991='IN-TC'!$S$4,OR(TH!N3989="1111",TH!O3989="1111")),TH!D3989,""),"")</f>
        <v/>
      </c>
      <c r="B3991" s="1241">
        <f t="shared" si="1310"/>
        <v>4</v>
      </c>
      <c r="C3991" s="292">
        <f t="shared" si="1309"/>
        <v>42852</v>
      </c>
      <c r="D3991" s="59" t="s">
        <v>903</v>
      </c>
      <c r="E3991" s="59">
        <v>42852</v>
      </c>
      <c r="F3991" s="1125" t="s">
        <v>252</v>
      </c>
      <c r="G3991" s="62" t="s">
        <v>747</v>
      </c>
      <c r="H3991" s="294" t="s">
        <v>1557</v>
      </c>
      <c r="I3991" s="373"/>
      <c r="J3991" s="379"/>
      <c r="K3991" s="373">
        <v>110000</v>
      </c>
      <c r="L3991" s="379">
        <v>22710</v>
      </c>
      <c r="M3991" s="60">
        <v>2498100000</v>
      </c>
      <c r="N3991" s="61" t="s">
        <v>26</v>
      </c>
      <c r="O3991" s="61" t="s">
        <v>250</v>
      </c>
      <c r="P3991" s="75" t="str">
        <f>IF(AND('331-CT'!$E$7=TH!H5122,OR(N3991="331",O3991="331")),"x","")</f>
        <v/>
      </c>
      <c r="Q3991" s="75" t="str">
        <f>IF(AND(B3991='111'!$L$11,OR($N3991=$Q$7,$O3991=$Q$7)),"x","")</f>
        <v/>
      </c>
      <c r="R3991" s="75" t="str">
        <f>IF(AND($N3991=$Q$7,$B3991&lt;'111'!$L$11),"x","")</f>
        <v/>
      </c>
      <c r="S3991" s="75" t="str">
        <f>IF(AND($O3991=$Q$7,$B3991&lt;'111'!$L$11),"x","")</f>
        <v/>
      </c>
      <c r="T3991" s="75" t="str">
        <f>IF(ISERROR(FIND('112'!$M$9,G3991,1)),"",IF((AND(FIND('112'!$M$9,G3991,1)&gt;=1,B3991='112'!$K$9,OR($N3991='112'!$I$6,$O3991='112'!$I$6))),"x",""))</f>
        <v/>
      </c>
      <c r="U3991" s="75" t="str">
        <f>IF(ISERROR(FIND('112'!$M$9,G3991,1)),"",IF((AND(LEFT(G3991,2)=LEFT('112'!$M$9,2),B3991&lt;'112'!$K$9,$N3991='112'!$I$6)),"x",""))</f>
        <v/>
      </c>
      <c r="V3991" s="75" t="str">
        <f>IF(ISERROR(FIND('112'!$M$9,G3991,1)),"",IF((AND(RIGHT(G3991,2)=RIGHT('112'!$M$9,2),B3991&lt;'112'!$K$9,$O3991='112'!$I$6)),"x",""))</f>
        <v/>
      </c>
      <c r="W3991" s="75" t="str">
        <f>IF(AND('341-CT'!$H$9=H3991,OR(LEFT(N3991,3)=$W$7,LEFT(O3991,3)=$W$7)),"x","")</f>
        <v/>
      </c>
      <c r="X3991" s="75" t="str">
        <f>IF(OR(TH!N5122=TH!$X$7,O3991=TH!$X$7),"x","")</f>
        <v/>
      </c>
      <c r="Y3991" s="75" t="str">
        <f>IF(AND(OR(N3991="131",O3991="131"),H3991='131-CT'!$H$9),"x","")</f>
        <v/>
      </c>
      <c r="Z3991" s="75"/>
      <c r="AA3991" s="75" t="str">
        <f>IF(AND(MONTH(E3991)='IN-NX'!$J$5,'IN-NX'!$D$7=D3991),"x","")</f>
        <v/>
      </c>
      <c r="AB3991" s="75" t="str">
        <f>IF(AND(OR(LEFT(TH!N5122,2)="15",LEFT(TH!O5122,2)="15"),LEFT(TH!O5122,3)&lt;&gt;"111",'152-CT'!$J$8=TH!F5122),"x","")</f>
        <v/>
      </c>
      <c r="AC3991" s="75" t="str">
        <f>IF(AND(OR(LEFT(TH!N5122,2)="15",LEFT(TH!O5122,2)="15"),TK!$E$7=TH!F5122),"x","")</f>
        <v/>
      </c>
      <c r="AD3991" s="75" t="str">
        <f>IF(AND(N3991="1521",MONTH(C3991)='BK-NL'!$M$11),"x","")</f>
        <v/>
      </c>
    </row>
    <row r="3992" spans="1:30" ht="18" customHeight="1">
      <c r="A3992" s="309" t="str">
        <f>IF(B3992&lt;&gt;"",IF(AND(B3992='IN-TC'!$S$4,OR(TH!N3990="1111",TH!O3990="1111")),TH!D3990,""),"")</f>
        <v/>
      </c>
      <c r="B3992" s="1241">
        <f t="shared" si="1310"/>
        <v>4</v>
      </c>
      <c r="C3992" s="292">
        <f t="shared" si="1309"/>
        <v>42852</v>
      </c>
      <c r="D3992" s="59" t="s">
        <v>902</v>
      </c>
      <c r="E3992" s="59">
        <v>42852</v>
      </c>
      <c r="F3992" s="131" t="s">
        <v>1203</v>
      </c>
      <c r="G3992" s="62" t="s">
        <v>747</v>
      </c>
      <c r="H3992" s="311" t="s">
        <v>835</v>
      </c>
      <c r="I3992" s="373"/>
      <c r="J3992" s="379"/>
      <c r="K3992" s="373"/>
      <c r="L3992" s="379"/>
      <c r="M3992" s="60">
        <v>113800</v>
      </c>
      <c r="N3992" s="61" t="s">
        <v>101</v>
      </c>
      <c r="O3992" s="61" t="s">
        <v>26</v>
      </c>
      <c r="P3992" s="75" t="str">
        <f>IF(AND('331-CT'!$E$7=TH!H5123,OR(N3992="331",O3992="331")),"x","")</f>
        <v/>
      </c>
      <c r="Q3992" s="75" t="str">
        <f>IF(AND(B3992='111'!$L$11,OR($N3992=$Q$7,$O3992=$Q$7)),"x","")</f>
        <v/>
      </c>
      <c r="R3992" s="75" t="str">
        <f>IF(AND($N3992=$Q$7,$B3992&lt;'111'!$L$11),"x","")</f>
        <v/>
      </c>
      <c r="S3992" s="75" t="str">
        <f>IF(AND($O3992=$Q$7,$B3992&lt;'111'!$L$11),"x","")</f>
        <v/>
      </c>
      <c r="T3992" s="75" t="str">
        <f>IF(ISERROR(FIND('112'!$M$9,G3992,1)),"",IF((AND(FIND('112'!$M$9,G3992,1)&gt;=1,B3992='112'!$K$9,OR($N3992='112'!$I$6,$O3992='112'!$I$6))),"x",""))</f>
        <v/>
      </c>
      <c r="U3992" s="75" t="str">
        <f>IF(ISERROR(FIND('112'!$M$9,G3992,1)),"",IF((AND(LEFT(G3992,2)=LEFT('112'!$M$9,2),B3992&lt;'112'!$K$9,$N3992='112'!$I$6)),"x",""))</f>
        <v/>
      </c>
      <c r="V3992" s="75" t="str">
        <f>IF(ISERROR(FIND('112'!$M$9,G3992,1)),"",IF((AND(RIGHT(G3992,2)=RIGHT('112'!$M$9,2),B3992&lt;'112'!$K$9,$O3992='112'!$I$6)),"x",""))</f>
        <v/>
      </c>
      <c r="W3992" s="75" t="str">
        <f>IF(AND('341-CT'!$H$9=H3992,OR(LEFT(N3992,3)=$W$7,LEFT(O3992,3)=$W$7)),"x","")</f>
        <v/>
      </c>
      <c r="X3992" s="75" t="str">
        <f>IF(OR(TH!N5123=TH!$X$7,O3992=TH!$X$7),"x","")</f>
        <v/>
      </c>
      <c r="Y3992" s="75" t="str">
        <f>IF(AND(OR(N3992="131",O3992="131"),H3992='131-CT'!$H$9),"x","")</f>
        <v/>
      </c>
      <c r="Z3992" s="75"/>
      <c r="AA3992" s="75" t="str">
        <f>IF(AND(MONTH(E3992)='IN-NX'!$J$5,'IN-NX'!$D$7=D3992),"x","")</f>
        <v/>
      </c>
      <c r="AB3992" s="75" t="str">
        <f>IF(AND(OR(LEFT(TH!N5123,2)="15",LEFT(TH!O5123,2)="15"),LEFT(TH!O5123,3)&lt;&gt;"111",'152-CT'!$J$8=TH!F5123),"x","")</f>
        <v/>
      </c>
      <c r="AC3992" s="75" t="str">
        <f>IF(AND(OR(LEFT(TH!N5123,2)="15",LEFT(TH!O5123,2)="15"),TK!$E$7=TH!F5123),"x","")</f>
        <v/>
      </c>
      <c r="AD3992" s="75" t="str">
        <f>IF(AND(N3992="1521",MONTH(C3992)='BK-NL'!$M$11),"x","")</f>
        <v/>
      </c>
    </row>
    <row r="3993" spans="1:30" ht="18" customHeight="1">
      <c r="A3993" s="309" t="str">
        <f>IF(B3993&lt;&gt;"",IF(AND(B3993='IN-TC'!$S$4,OR(TH!N3991="1111",TH!O3991="1111")),TH!D3991,""),"")</f>
        <v/>
      </c>
      <c r="B3993" s="1241">
        <f t="shared" si="1310"/>
        <v>4</v>
      </c>
      <c r="C3993" s="292">
        <f t="shared" si="1309"/>
        <v>42852</v>
      </c>
      <c r="D3993" s="59" t="s">
        <v>902</v>
      </c>
      <c r="E3993" s="59">
        <v>42852</v>
      </c>
      <c r="F3993" s="131" t="s">
        <v>1205</v>
      </c>
      <c r="G3993" s="62" t="s">
        <v>747</v>
      </c>
      <c r="H3993" s="311" t="s">
        <v>835</v>
      </c>
      <c r="I3993" s="373"/>
      <c r="J3993" s="379"/>
      <c r="K3993" s="373"/>
      <c r="L3993" s="379"/>
      <c r="M3993" s="60">
        <v>11380</v>
      </c>
      <c r="N3993" s="61" t="s">
        <v>9</v>
      </c>
      <c r="O3993" s="61" t="s">
        <v>26</v>
      </c>
      <c r="P3993" s="75" t="str">
        <f>IF(AND('331-CT'!$E$7=TH!H5124,OR(N3993="331",O3993="331")),"x","")</f>
        <v/>
      </c>
      <c r="Q3993" s="75" t="str">
        <f>IF(AND(B3993='111'!$L$11,OR($N3993=$Q$7,$O3993=$Q$7)),"x","")</f>
        <v/>
      </c>
      <c r="R3993" s="75" t="str">
        <f>IF(AND($N3993=$Q$7,$B3993&lt;'111'!$L$11),"x","")</f>
        <v/>
      </c>
      <c r="S3993" s="75" t="str">
        <f>IF(AND($O3993=$Q$7,$B3993&lt;'111'!$L$11),"x","")</f>
        <v/>
      </c>
      <c r="T3993" s="75" t="str">
        <f>IF(ISERROR(FIND('112'!$M$9,G3993,1)),"",IF((AND(FIND('112'!$M$9,G3993,1)&gt;=1,B3993='112'!$K$9,OR($N3993='112'!$I$6,$O3993='112'!$I$6))),"x",""))</f>
        <v/>
      </c>
      <c r="U3993" s="75" t="str">
        <f>IF(ISERROR(FIND('112'!$M$9,G3993,1)),"",IF((AND(LEFT(G3993,2)=LEFT('112'!$M$9,2),B3993&lt;'112'!$K$9,$N3993='112'!$I$6)),"x",""))</f>
        <v/>
      </c>
      <c r="V3993" s="75" t="str">
        <f>IF(ISERROR(FIND('112'!$M$9,G3993,1)),"",IF((AND(RIGHT(G3993,2)=RIGHT('112'!$M$9,2),B3993&lt;'112'!$K$9,$O3993='112'!$I$6)),"x",""))</f>
        <v/>
      </c>
      <c r="W3993" s="75" t="str">
        <f>IF(AND('341-CT'!$H$9=H3993,OR(LEFT(N3993,3)=$W$7,LEFT(O3993,3)=$W$7)),"x","")</f>
        <v/>
      </c>
      <c r="X3993" s="75" t="str">
        <f>IF(OR(TH!N5124=TH!$X$7,O3993=TH!$X$7),"x","")</f>
        <v/>
      </c>
      <c r="Y3993" s="75" t="str">
        <f>IF(AND(OR(N3993="131",O3993="131"),H3993='131-CT'!$H$9),"x","")</f>
        <v/>
      </c>
      <c r="Z3993" s="75"/>
      <c r="AA3993" s="75" t="str">
        <f>IF(AND(MONTH(E3993)='IN-NX'!$J$5,'IN-NX'!$D$7=D3993),"x","")</f>
        <v/>
      </c>
      <c r="AB3993" s="75" t="str">
        <f>IF(AND(OR(LEFT(TH!N5124,2)="15",LEFT(TH!O5124,2)="15"),LEFT(TH!O5124,3)&lt;&gt;"111",'152-CT'!$J$8=TH!F5124),"x","")</f>
        <v/>
      </c>
      <c r="AC3993" s="75" t="str">
        <f>IF(AND(OR(LEFT(TH!N5124,2)="15",LEFT(TH!O5124,2)="15"),TK!$E$7=TH!F5124),"x","")</f>
        <v/>
      </c>
      <c r="AD3993" s="75" t="str">
        <f>IF(AND(N3993="1521",MONTH(C3993)='BK-NL'!$M$11),"x","")</f>
        <v/>
      </c>
    </row>
    <row r="3994" spans="1:30" ht="18" customHeight="1">
      <c r="A3994" s="309" t="str">
        <f>IF(B3994&lt;&gt;"",IF(AND(B3994='IN-TC'!$S$4,OR(TH!N3992="1111",TH!O3992="1111")),TH!D3992,""),"")</f>
        <v/>
      </c>
      <c r="B3994" s="1241">
        <f t="shared" si="1310"/>
        <v>4</v>
      </c>
      <c r="C3994" s="292">
        <f t="shared" si="1309"/>
        <v>42853</v>
      </c>
      <c r="D3994" s="292" t="s">
        <v>1271</v>
      </c>
      <c r="E3994" s="292">
        <v>42853</v>
      </c>
      <c r="F3994" s="1125" t="s">
        <v>834</v>
      </c>
      <c r="G3994" s="943" t="s">
        <v>747</v>
      </c>
      <c r="H3994" s="67" t="s">
        <v>1023</v>
      </c>
      <c r="I3994" s="373"/>
      <c r="J3994" s="926"/>
      <c r="K3994" s="373"/>
      <c r="L3994" s="379"/>
      <c r="M3994" s="927">
        <v>2500000000</v>
      </c>
      <c r="N3994" s="295" t="s">
        <v>63</v>
      </c>
      <c r="O3994" s="295" t="s">
        <v>26</v>
      </c>
      <c r="P3994" s="75" t="str">
        <f>IF(AND('331-CT'!$E$7=TH!H5126,OR(N3994="331",O3994="331")),"x","")</f>
        <v/>
      </c>
      <c r="Q3994" s="75" t="str">
        <f>IF(AND(B3994='111'!$L$11,OR($N3994=$Q$7,$O3994=$Q$7)),"x","")</f>
        <v/>
      </c>
      <c r="R3994" s="75" t="str">
        <f>IF(AND($N3994=$Q$7,$B3994&lt;'111'!$L$11),"x","")</f>
        <v>x</v>
      </c>
      <c r="S3994" s="75" t="str">
        <f>IF(AND($O3994=$Q$7,$B3994&lt;'111'!$L$11),"x","")</f>
        <v/>
      </c>
      <c r="T3994" s="75" t="str">
        <f>IF(ISERROR(FIND('112'!$M$9,G3994,1)),"",IF((AND(FIND('112'!$M$9,G3994,1)&gt;=1,B3994='112'!$K$9,OR($N3994='112'!$I$6,$O3994='112'!$I$6))),"x",""))</f>
        <v/>
      </c>
      <c r="U3994" s="75" t="str">
        <f>IF(ISERROR(FIND('112'!$M$9,G3994,1)),"",IF((AND(LEFT(G3994,2)=LEFT('112'!$M$9,2),B3994&lt;'112'!$K$9,$N3994='112'!$I$6)),"x",""))</f>
        <v/>
      </c>
      <c r="V3994" s="75" t="str">
        <f>IF(ISERROR(FIND('112'!$M$9,G3994,1)),"",IF((AND(RIGHT(G3994,2)=RIGHT('112'!$M$9,2),B3994&lt;'112'!$K$9,$O3994='112'!$I$6)),"x",""))</f>
        <v/>
      </c>
      <c r="W3994" s="75" t="str">
        <f>IF(AND('341-CT'!$H$9=H3994,OR(LEFT(N3994,3)=$W$7,LEFT(O3994,3)=$W$7)),"x","")</f>
        <v/>
      </c>
      <c r="X3994" s="75" t="str">
        <f>IF(OR(TH!N5126=TH!$X$7,O3994=TH!$X$7),"x","")</f>
        <v/>
      </c>
      <c r="Y3994" s="75" t="str">
        <f>IF(AND(OR(N3994="131",O3994="131"),H3994='131-CT'!$H$9),"x","")</f>
        <v/>
      </c>
      <c r="Z3994" s="75"/>
      <c r="AA3994" s="75" t="str">
        <f>IF(AND(MONTH(E3994)='IN-NX'!$J$5,'IN-NX'!$D$7=D3994),"x","")</f>
        <v/>
      </c>
      <c r="AB3994" s="75" t="str">
        <f>IF(AND(OR(LEFT(TH!N5126,2)="15",LEFT(TH!O5126,2)="15"),LEFT(TH!O5126,3)&lt;&gt;"111",'152-CT'!$J$8=TH!F5126),"x","")</f>
        <v/>
      </c>
      <c r="AC3994" s="75" t="str">
        <f>IF(AND(OR(LEFT(TH!N5126,2)="15",LEFT(TH!O5126,2)="15"),TK!$E$7=TH!F5126),"x","")</f>
        <v/>
      </c>
      <c r="AD3994" s="75" t="str">
        <f>IF(AND(N3994="1521",MONTH(C3994)='BK-NL'!$M$11),"x","")</f>
        <v/>
      </c>
    </row>
    <row r="3995" spans="1:30" ht="18" customHeight="1">
      <c r="A3995" s="309" t="str">
        <f>IF(B3995&lt;&gt;"",IF(AND(B3995='IN-TC'!$S$4,OR(TH!N3993="1111",TH!O3993="1111")),TH!D3993,""),"")</f>
        <v/>
      </c>
      <c r="B3995" s="1241">
        <f t="shared" si="1310"/>
        <v>4</v>
      </c>
      <c r="C3995" s="292">
        <f t="shared" si="1309"/>
        <v>42853</v>
      </c>
      <c r="D3995" s="292" t="s">
        <v>1272</v>
      </c>
      <c r="E3995" s="292">
        <v>42853</v>
      </c>
      <c r="F3995" s="1125" t="s">
        <v>834</v>
      </c>
      <c r="G3995" s="943" t="s">
        <v>747</v>
      </c>
      <c r="H3995" s="67" t="s">
        <v>1023</v>
      </c>
      <c r="I3995" s="373"/>
      <c r="J3995" s="926"/>
      <c r="K3995" s="373"/>
      <c r="L3995" s="379"/>
      <c r="M3995" s="927">
        <v>900000000</v>
      </c>
      <c r="N3995" s="295" t="s">
        <v>63</v>
      </c>
      <c r="O3995" s="295" t="s">
        <v>26</v>
      </c>
      <c r="P3995" s="75" t="str">
        <f>IF(AND('331-CT'!$E$7=TH!H5127,OR(N3995="331",O3995="331")),"x","")</f>
        <v/>
      </c>
      <c r="Q3995" s="75" t="str">
        <f>IF(AND(B3995='111'!$L$11,OR($N3995=$Q$7,$O3995=$Q$7)),"x","")</f>
        <v/>
      </c>
      <c r="R3995" s="75" t="str">
        <f>IF(AND($N3995=$Q$7,$B3995&lt;'111'!$L$11),"x","")</f>
        <v>x</v>
      </c>
      <c r="S3995" s="75" t="str">
        <f>IF(AND($O3995=$Q$7,$B3995&lt;'111'!$L$11),"x","")</f>
        <v/>
      </c>
      <c r="T3995" s="75" t="str">
        <f>IF(ISERROR(FIND('112'!$M$9,G3995,1)),"",IF((AND(FIND('112'!$M$9,G3995,1)&gt;=1,B3995='112'!$K$9,OR($N3995='112'!$I$6,$O3995='112'!$I$6))),"x",""))</f>
        <v/>
      </c>
      <c r="U3995" s="75" t="str">
        <f>IF(ISERROR(FIND('112'!$M$9,G3995,1)),"",IF((AND(LEFT(G3995,2)=LEFT('112'!$M$9,2),B3995&lt;'112'!$K$9,$N3995='112'!$I$6)),"x",""))</f>
        <v/>
      </c>
      <c r="V3995" s="75" t="str">
        <f>IF(ISERROR(FIND('112'!$M$9,G3995,1)),"",IF((AND(RIGHT(G3995,2)=RIGHT('112'!$M$9,2),B3995&lt;'112'!$K$9,$O3995='112'!$I$6)),"x",""))</f>
        <v/>
      </c>
      <c r="W3995" s="75" t="str">
        <f>IF(AND('341-CT'!$H$9=H3995,OR(LEFT(N3995,3)=$W$7,LEFT(O3995,3)=$W$7)),"x","")</f>
        <v/>
      </c>
      <c r="X3995" s="75" t="str">
        <f>IF(OR(TH!N5127=TH!$X$7,O3995=TH!$X$7),"x","")</f>
        <v/>
      </c>
      <c r="Y3995" s="75" t="str">
        <f>IF(AND(OR(N3995="131",O3995="131"),H3995='131-CT'!$H$9),"x","")</f>
        <v/>
      </c>
      <c r="Z3995" s="75"/>
      <c r="AA3995" s="75" t="str">
        <f>IF(AND(MONTH(E3995)='IN-NX'!$J$5,'IN-NX'!$D$7=D3995),"x","")</f>
        <v/>
      </c>
      <c r="AB3995" s="75" t="str">
        <f>IF(AND(OR(LEFT(TH!N5127,2)="15",LEFT(TH!O5127,2)="15"),LEFT(TH!O5127,3)&lt;&gt;"111",'152-CT'!$J$8=TH!F5127),"x","")</f>
        <v/>
      </c>
      <c r="AC3995" s="75" t="str">
        <f>IF(AND(OR(LEFT(TH!N5127,2)="15",LEFT(TH!O5127,2)="15"),TK!$E$7=TH!F5127),"x","")</f>
        <v/>
      </c>
      <c r="AD3995" s="75" t="str">
        <f>IF(AND(N3995="1521",MONTH(C3995)='BK-NL'!$M$11),"x","")</f>
        <v/>
      </c>
    </row>
    <row r="3996" spans="1:30" ht="18" customHeight="1">
      <c r="A3996" s="309" t="str">
        <f>IF(B3996&lt;&gt;"",IF(AND(B3996='IN-TC'!$S$4,OR(TH!N3994="1111",TH!O3994="1111")),TH!D3994,""),"")</f>
        <v/>
      </c>
      <c r="B3996" s="1241">
        <f t="shared" si="1310"/>
        <v>4</v>
      </c>
      <c r="C3996" s="292">
        <f t="shared" si="1309"/>
        <v>42853</v>
      </c>
      <c r="D3996" s="292" t="s">
        <v>1960</v>
      </c>
      <c r="E3996" s="292">
        <v>42853</v>
      </c>
      <c r="F3996" s="1126" t="s">
        <v>1165</v>
      </c>
      <c r="G3996" s="931" t="s">
        <v>1349</v>
      </c>
      <c r="H3996" s="296" t="s">
        <v>796</v>
      </c>
      <c r="I3996" s="371"/>
      <c r="J3996" s="932"/>
      <c r="K3996" s="371"/>
      <c r="L3996" s="377"/>
      <c r="M3996" s="933">
        <v>18980500</v>
      </c>
      <c r="N3996" s="934" t="s">
        <v>8</v>
      </c>
      <c r="O3996" s="934" t="s">
        <v>63</v>
      </c>
      <c r="P3996" s="75" t="str">
        <f>IF(AND('331-CT'!$E$7=TH!H3615,OR(N3996="331",O3996="331")),"x","")</f>
        <v/>
      </c>
      <c r="Q3996" s="75" t="str">
        <f>IF(AND(B3996='111'!$L$11,OR($N3996=$Q$7,$O3996=$Q$7)),"x","")</f>
        <v/>
      </c>
      <c r="R3996" s="75" t="str">
        <f>IF(AND($N3996=$Q$7,$B3996&lt;'111'!$L$11),"x","")</f>
        <v/>
      </c>
      <c r="S3996" s="75" t="str">
        <f>IF(AND($O3996=$Q$7,$B3996&lt;'111'!$L$11),"x","")</f>
        <v>x</v>
      </c>
      <c r="T3996" s="75" t="str">
        <f>IF(ISERROR(FIND('112'!$M$9,G3996,1)),"",IF((AND(FIND('112'!$M$9,G3996,1)&gt;=1,B3996='112'!$K$9,OR($N3996='112'!$I$6,$O3996='112'!$I$6))),"x",""))</f>
        <v/>
      </c>
      <c r="U3996" s="75" t="str">
        <f>IF(ISERROR(FIND('112'!$M$9,G3996,1)),"",IF((AND(LEFT(G3996,2)=LEFT('112'!$M$9,2),B3996&lt;'112'!$K$9,$N3996='112'!$I$6)),"x",""))</f>
        <v/>
      </c>
      <c r="V3996" s="75" t="str">
        <f>IF(ISERROR(FIND('112'!$M$9,G3996,1)),"",IF((AND(RIGHT(G3996,2)=RIGHT('112'!$M$9,2),B3996&lt;'112'!$K$9,$O3996='112'!$I$6)),"x",""))</f>
        <v/>
      </c>
      <c r="W3996" s="75" t="str">
        <f>IF(AND('341-CT'!$H$9=H3996,OR(LEFT(N3996,3)=$W$7,LEFT(O3996,3)=$W$7)),"x","")</f>
        <v/>
      </c>
      <c r="X3996" s="75" t="str">
        <f>IF(OR(TH!N3615=TH!$X$7,O3996=TH!$X$7),"x","")</f>
        <v/>
      </c>
      <c r="Y3996" s="75" t="str">
        <f>IF(AND(OR(N3996="131",O3996="131"),H3996='131-CT'!$H$9),"x","")</f>
        <v/>
      </c>
      <c r="Z3996" s="75"/>
      <c r="AA3996" s="75" t="str">
        <f>IF(AND(MONTH(E3996)='IN-NX'!$J$5,'IN-NX'!$D$7=D3996),"x","")</f>
        <v/>
      </c>
      <c r="AB3996" s="75" t="str">
        <f>IF(AND(OR(LEFT(TH!N3615,2)="15",LEFT(TH!O3615,2)="15"),LEFT(TH!O3615,3)&lt;&gt;"111",'152-CT'!$J$8=TH!F3615),"x","")</f>
        <v/>
      </c>
      <c r="AC3996" s="75" t="str">
        <f>IF(AND(OR(LEFT(TH!N3615,2)="15",LEFT(TH!O3615,2)="15"),TK!$E$7=TH!F3615),"x","")</f>
        <v/>
      </c>
      <c r="AD3996" s="75" t="str">
        <f>IF(AND(N3996="1521",MONTH(C3996)='BK-NL'!$M$11),"x","")</f>
        <v/>
      </c>
    </row>
    <row r="3997" spans="1:30" ht="18" customHeight="1">
      <c r="A3997" s="309" t="str">
        <f>IF(B3997&lt;&gt;"",IF(AND(B3997='IN-TC'!$S$4,OR(TH!N3995="1111",TH!O3995="1111")),TH!D3995,""),"")</f>
        <v/>
      </c>
      <c r="B3997" s="1241">
        <f t="shared" si="1310"/>
        <v>4</v>
      </c>
      <c r="C3997" s="292">
        <f t="shared" si="1309"/>
        <v>42853</v>
      </c>
      <c r="D3997" s="292" t="s">
        <v>1961</v>
      </c>
      <c r="E3997" s="292">
        <v>42853</v>
      </c>
      <c r="F3997" s="131" t="s">
        <v>885</v>
      </c>
      <c r="G3997" s="62" t="s">
        <v>747</v>
      </c>
      <c r="H3997" s="311" t="s">
        <v>1023</v>
      </c>
      <c r="I3997" s="373"/>
      <c r="J3997" s="379"/>
      <c r="K3997" s="373"/>
      <c r="L3997" s="379"/>
      <c r="M3997" s="60">
        <v>500000000</v>
      </c>
      <c r="N3997" s="61" t="s">
        <v>26</v>
      </c>
      <c r="O3997" s="295" t="s">
        <v>63</v>
      </c>
      <c r="P3997" s="75" t="str">
        <f>IF(AND('331-CT'!$E$7=TH!H5125,OR(N3997="331",O3997="331")),"x","")</f>
        <v/>
      </c>
      <c r="Q3997" s="75" t="str">
        <f>IF(AND(B3997='111'!$L$11,OR($N3997=$Q$7,$O3997=$Q$7)),"x","")</f>
        <v/>
      </c>
      <c r="R3997" s="75" t="str">
        <f>IF(AND($N3997=$Q$7,$B3997&lt;'111'!$L$11),"x","")</f>
        <v/>
      </c>
      <c r="S3997" s="75" t="str">
        <f>IF(AND($O3997=$Q$7,$B3997&lt;'111'!$L$11),"x","")</f>
        <v>x</v>
      </c>
      <c r="T3997" s="75" t="str">
        <f>IF(ISERROR(FIND('112'!$M$9,G3997,1)),"",IF((AND(FIND('112'!$M$9,G3997,1)&gt;=1,B3997='112'!$K$9,OR($N3997='112'!$I$6,$O3997='112'!$I$6))),"x",""))</f>
        <v/>
      </c>
      <c r="U3997" s="75" t="str">
        <f>IF(ISERROR(FIND('112'!$M$9,G3997,1)),"",IF((AND(LEFT(G3997,2)=LEFT('112'!$M$9,2),B3997&lt;'112'!$K$9,$N3997='112'!$I$6)),"x",""))</f>
        <v/>
      </c>
      <c r="V3997" s="75" t="str">
        <f>IF(ISERROR(FIND('112'!$M$9,G3997,1)),"",IF((AND(RIGHT(G3997,2)=RIGHT('112'!$M$9,2),B3997&lt;'112'!$K$9,$O3997='112'!$I$6)),"x",""))</f>
        <v/>
      </c>
      <c r="W3997" s="75" t="str">
        <f>IF(AND('341-CT'!$H$9=H3997,OR(LEFT(N3997,3)=$W$7,LEFT(O3997,3)=$W$7)),"x","")</f>
        <v/>
      </c>
      <c r="X3997" s="75" t="str">
        <f>IF(OR(TH!N5125=TH!$X$7,O3997=TH!$X$7),"x","")</f>
        <v/>
      </c>
      <c r="Y3997" s="75" t="str">
        <f>IF(AND(OR(N3997="131",O3997="131"),H3997='131-CT'!$H$9),"x","")</f>
        <v/>
      </c>
      <c r="Z3997" s="75"/>
      <c r="AA3997" s="75" t="str">
        <f>IF(AND(MONTH(E3997)='IN-NX'!$J$5,'IN-NX'!$D$7=D3997),"x","")</f>
        <v/>
      </c>
      <c r="AB3997" s="75" t="str">
        <f>IF(AND(OR(LEFT(TH!N5125,2)="15",LEFT(TH!O5125,2)="15"),LEFT(TH!O5125,3)&lt;&gt;"111",'152-CT'!$J$8=TH!F5125),"x","")</f>
        <v/>
      </c>
      <c r="AC3997" s="75" t="str">
        <f>IF(AND(OR(LEFT(TH!N5125,2)="15",LEFT(TH!O5125,2)="15"),TK!$E$7=TH!F5125),"x","")</f>
        <v/>
      </c>
      <c r="AD3997" s="75" t="str">
        <f>IF(AND(N3997="1521",MONTH(C3997)='BK-NL'!$M$11),"x","")</f>
        <v/>
      </c>
    </row>
    <row r="3998" spans="1:30" ht="16.5" customHeight="1">
      <c r="A3998" s="309" t="str">
        <f>IF(B3998&lt;&gt;"",IF(AND(B3998='IN-TC'!$S$4,OR(TH!N3996="1111",TH!O3996="1111")),TH!D3996,""),"")</f>
        <v/>
      </c>
      <c r="B3998" s="1241">
        <f t="shared" si="1310"/>
        <v>4</v>
      </c>
      <c r="C3998" s="292">
        <f t="shared" si="1309"/>
        <v>42853</v>
      </c>
      <c r="D3998" s="59" t="s">
        <v>902</v>
      </c>
      <c r="E3998" s="59">
        <v>42853</v>
      </c>
      <c r="F3998" s="131" t="s">
        <v>1203</v>
      </c>
      <c r="G3998" s="62" t="s">
        <v>747</v>
      </c>
      <c r="H3998" s="311" t="s">
        <v>835</v>
      </c>
      <c r="I3998" s="373"/>
      <c r="J3998" s="379"/>
      <c r="K3998" s="373"/>
      <c r="L3998" s="379"/>
      <c r="M3998" s="60">
        <v>3162730</v>
      </c>
      <c r="N3998" s="61" t="s">
        <v>101</v>
      </c>
      <c r="O3998" s="61" t="s">
        <v>26</v>
      </c>
      <c r="P3998" s="75" t="str">
        <f>IF(AND('331-CT'!$E$7=TH!H5128,OR(N3998="331",O3998="331")),"x","")</f>
        <v/>
      </c>
      <c r="Q3998" s="75" t="str">
        <f>IF(AND(B3998='111'!$L$11,OR($N3998=$Q$7,$O3998=$Q$7)),"x","")</f>
        <v/>
      </c>
      <c r="R3998" s="75" t="str">
        <f>IF(AND($N3998=$Q$7,$B3998&lt;'111'!$L$11),"x","")</f>
        <v/>
      </c>
      <c r="S3998" s="75" t="str">
        <f>IF(AND($O3998=$Q$7,$B3998&lt;'111'!$L$11),"x","")</f>
        <v/>
      </c>
      <c r="T3998" s="75" t="str">
        <f>IF(ISERROR(FIND('112'!$M$9,G3998,1)),"",IF((AND(FIND('112'!$M$9,G3998,1)&gt;=1,B3998='112'!$K$9,OR($N3998='112'!$I$6,$O3998='112'!$I$6))),"x",""))</f>
        <v/>
      </c>
      <c r="U3998" s="75" t="str">
        <f>IF(ISERROR(FIND('112'!$M$9,G3998,1)),"",IF((AND(LEFT(G3998,2)=LEFT('112'!$M$9,2),B3998&lt;'112'!$K$9,$N3998='112'!$I$6)),"x",""))</f>
        <v/>
      </c>
      <c r="V3998" s="75" t="str">
        <f>IF(ISERROR(FIND('112'!$M$9,G3998,1)),"",IF((AND(RIGHT(G3998,2)=RIGHT('112'!$M$9,2),B3998&lt;'112'!$K$9,$O3998='112'!$I$6)),"x",""))</f>
        <v/>
      </c>
      <c r="W3998" s="75" t="str">
        <f>IF(AND('341-CT'!$H$9=H3998,OR(LEFT(N3998,3)=$W$7,LEFT(O3998,3)=$W$7)),"x","")</f>
        <v/>
      </c>
      <c r="X3998" s="75" t="str">
        <f>IF(OR(TH!N5128=TH!$X$7,O3998=TH!$X$7),"x","")</f>
        <v/>
      </c>
      <c r="Y3998" s="75" t="str">
        <f>IF(AND(OR(N3998="131",O3998="131"),H3998='131-CT'!$H$9),"x","")</f>
        <v/>
      </c>
      <c r="Z3998" s="75"/>
      <c r="AA3998" s="75" t="str">
        <f>IF(AND(MONTH(E3998)='IN-NX'!$J$5,'IN-NX'!$D$7=D3998),"x","")</f>
        <v/>
      </c>
      <c r="AB3998" s="75" t="str">
        <f>IF(AND(OR(LEFT(TH!N5128,2)="15",LEFT(TH!O5128,2)="15"),LEFT(TH!O5128,3)&lt;&gt;"111",'152-CT'!$J$8=TH!F5128),"x","")</f>
        <v/>
      </c>
      <c r="AC3998" s="75" t="str">
        <f>IF(AND(OR(LEFT(TH!N5128,2)="15",LEFT(TH!O5128,2)="15"),TK!$E$7=TH!F5128),"x","")</f>
        <v/>
      </c>
      <c r="AD3998" s="75" t="str">
        <f>IF(AND(N3998="1521",MONTH(C3998)='BK-NL'!$M$11),"x","")</f>
        <v/>
      </c>
    </row>
    <row r="3999" spans="1:30" ht="18" customHeight="1">
      <c r="A3999" s="309" t="str">
        <f>IF(B3999&lt;&gt;"",IF(AND(B3999='IN-TC'!$S$4,OR(TH!N3997="1111",TH!O3997="1111")),TH!D3997,""),"")</f>
        <v/>
      </c>
      <c r="B3999" s="1241">
        <f t="shared" si="1310"/>
        <v>4</v>
      </c>
      <c r="C3999" s="292">
        <f t="shared" si="1309"/>
        <v>42853</v>
      </c>
      <c r="D3999" s="59" t="s">
        <v>902</v>
      </c>
      <c r="E3999" s="59">
        <v>42853</v>
      </c>
      <c r="F3999" s="131" t="s">
        <v>1205</v>
      </c>
      <c r="G3999" s="62" t="s">
        <v>747</v>
      </c>
      <c r="H3999" s="311" t="s">
        <v>835</v>
      </c>
      <c r="I3999" s="373"/>
      <c r="J3999" s="379"/>
      <c r="K3999" s="373"/>
      <c r="L3999" s="379"/>
      <c r="M3999" s="60">
        <v>316273</v>
      </c>
      <c r="N3999" s="61" t="s">
        <v>9</v>
      </c>
      <c r="O3999" s="61" t="s">
        <v>26</v>
      </c>
      <c r="P3999" s="75" t="str">
        <f>IF(AND('331-CT'!$E$7=TH!H5129,OR(N3999="331",O3999="331")),"x","")</f>
        <v/>
      </c>
      <c r="Q3999" s="75" t="str">
        <f>IF(AND(B3999='111'!$L$11,OR($N3999=$Q$7,$O3999=$Q$7)),"x","")</f>
        <v/>
      </c>
      <c r="R3999" s="75" t="str">
        <f>IF(AND($N3999=$Q$7,$B3999&lt;'111'!$L$11),"x","")</f>
        <v/>
      </c>
      <c r="S3999" s="75" t="str">
        <f>IF(AND($O3999=$Q$7,$B3999&lt;'111'!$L$11),"x","")</f>
        <v/>
      </c>
      <c r="T3999" s="75" t="str">
        <f>IF(ISERROR(FIND('112'!$M$9,G3999,1)),"",IF((AND(FIND('112'!$M$9,G3999,1)&gt;=1,B3999='112'!$K$9,OR($N3999='112'!$I$6,$O3999='112'!$I$6))),"x",""))</f>
        <v/>
      </c>
      <c r="U3999" s="75" t="str">
        <f>IF(ISERROR(FIND('112'!$M$9,G3999,1)),"",IF((AND(LEFT(G3999,2)=LEFT('112'!$M$9,2),B3999&lt;'112'!$K$9,$N3999='112'!$I$6)),"x",""))</f>
        <v/>
      </c>
      <c r="V3999" s="75" t="str">
        <f>IF(ISERROR(FIND('112'!$M$9,G3999,1)),"",IF((AND(RIGHT(G3999,2)=RIGHT('112'!$M$9,2),B3999&lt;'112'!$K$9,$O3999='112'!$I$6)),"x",""))</f>
        <v/>
      </c>
      <c r="W3999" s="75" t="str">
        <f>IF(AND('341-CT'!$H$9=H3999,OR(LEFT(N3999,3)=$W$7,LEFT(O3999,3)=$W$7)),"x","")</f>
        <v/>
      </c>
      <c r="X3999" s="75" t="str">
        <f>IF(OR(TH!N5129=TH!$X$7,O3999=TH!$X$7),"x","")</f>
        <v/>
      </c>
      <c r="Y3999" s="75" t="str">
        <f>IF(AND(OR(N3999="131",O3999="131"),H3999='131-CT'!$H$9),"x","")</f>
        <v/>
      </c>
      <c r="Z3999" s="75"/>
      <c r="AA3999" s="75" t="str">
        <f>IF(AND(MONTH(E3999)='IN-NX'!$J$5,'IN-NX'!$D$7=D3999),"x","")</f>
        <v/>
      </c>
      <c r="AB3999" s="75" t="str">
        <f>IF(AND(OR(LEFT(TH!N5129,2)="15",LEFT(TH!O5129,2)="15"),LEFT(TH!O5129,3)&lt;&gt;"111",'152-CT'!$J$8=TH!F5129),"x","")</f>
        <v/>
      </c>
      <c r="AC3999" s="75" t="str">
        <f>IF(AND(OR(LEFT(TH!N5129,2)="15",LEFT(TH!O5129,2)="15"),TK!$E$7=TH!F5129),"x","")</f>
        <v/>
      </c>
      <c r="AD3999" s="75" t="str">
        <f>IF(AND(N3999="1521",MONTH(C3999)='BK-NL'!$M$11),"x","")</f>
        <v/>
      </c>
    </row>
    <row r="4000" spans="1:30" ht="18" customHeight="1">
      <c r="A4000" s="309" t="str">
        <f>IF(B4000&lt;&gt;"",IF(AND(B4000='IN-TC'!$S$4,OR(TH!N3998="1111",TH!O3998="1111")),TH!D3998,""),"")</f>
        <v/>
      </c>
      <c r="B4000" s="1241">
        <f t="shared" si="1310"/>
        <v>4</v>
      </c>
      <c r="C4000" s="292">
        <f t="shared" si="1309"/>
        <v>42853</v>
      </c>
      <c r="D4000" s="59" t="s">
        <v>903</v>
      </c>
      <c r="E4000" s="59">
        <v>42853</v>
      </c>
      <c r="F4000" s="1125" t="s">
        <v>252</v>
      </c>
      <c r="G4000" s="62" t="s">
        <v>747</v>
      </c>
      <c r="H4000" s="962" t="s">
        <v>1561</v>
      </c>
      <c r="I4000" s="373"/>
      <c r="J4000" s="379"/>
      <c r="K4000" s="373">
        <v>40000</v>
      </c>
      <c r="L4000" s="379">
        <v>22714</v>
      </c>
      <c r="M4000" s="60">
        <v>908560000</v>
      </c>
      <c r="N4000" s="61" t="s">
        <v>26</v>
      </c>
      <c r="O4000" s="61" t="s">
        <v>250</v>
      </c>
      <c r="P4000" s="75" t="str">
        <f>IF(AND('331-CT'!$E$7=TH!H5130,OR(N4000="331",O4000="331")),"x","")</f>
        <v/>
      </c>
      <c r="Q4000" s="75" t="str">
        <f>IF(AND(B4000='111'!$L$11,OR($N4000=$Q$7,$O4000=$Q$7)),"x","")</f>
        <v/>
      </c>
      <c r="R4000" s="75" t="str">
        <f>IF(AND($N4000=$Q$7,$B4000&lt;'111'!$L$11),"x","")</f>
        <v/>
      </c>
      <c r="S4000" s="75" t="str">
        <f>IF(AND($O4000=$Q$7,$B4000&lt;'111'!$L$11),"x","")</f>
        <v/>
      </c>
      <c r="T4000" s="75" t="str">
        <f>IF(ISERROR(FIND('112'!$M$9,G4000,1)),"",IF((AND(FIND('112'!$M$9,G4000,1)&gt;=1,B4000='112'!$K$9,OR($N4000='112'!$I$6,$O4000='112'!$I$6))),"x",""))</f>
        <v/>
      </c>
      <c r="U4000" s="75" t="str">
        <f>IF(ISERROR(FIND('112'!$M$9,G4000,1)),"",IF((AND(LEFT(G4000,2)=LEFT('112'!$M$9,2),B4000&lt;'112'!$K$9,$N4000='112'!$I$6)),"x",""))</f>
        <v/>
      </c>
      <c r="V4000" s="75" t="str">
        <f>IF(ISERROR(FIND('112'!$M$9,G4000,1)),"",IF((AND(RIGHT(G4000,2)=RIGHT('112'!$M$9,2),B4000&lt;'112'!$K$9,$O4000='112'!$I$6)),"x",""))</f>
        <v/>
      </c>
      <c r="W4000" s="75" t="str">
        <f>IF(AND('341-CT'!$H$9=H4000,OR(LEFT(N4000,3)=$W$7,LEFT(O4000,3)=$W$7)),"x","")</f>
        <v/>
      </c>
      <c r="X4000" s="75" t="str">
        <f>IF(OR(TH!N5130=TH!$X$7,O4000=TH!$X$7),"x","")</f>
        <v/>
      </c>
      <c r="Y4000" s="75" t="str">
        <f>IF(AND(OR(N4000="131",O4000="131"),H4000='131-CT'!$H$9),"x","")</f>
        <v/>
      </c>
      <c r="Z4000" s="75"/>
      <c r="AA4000" s="75" t="str">
        <f>IF(AND(MONTH(E4000)='IN-NX'!$J$5,'IN-NX'!$D$7=D4000),"x","")</f>
        <v/>
      </c>
      <c r="AB4000" s="75" t="str">
        <f>IF(AND(OR(LEFT(TH!N5130,2)="15",LEFT(TH!O5130,2)="15"),LEFT(TH!O5130,3)&lt;&gt;"111",'152-CT'!$J$8=TH!F5130),"x","")</f>
        <v/>
      </c>
      <c r="AC4000" s="75" t="str">
        <f>IF(AND(OR(LEFT(TH!N5130,2)="15",LEFT(TH!O5130,2)="15"),TK!$E$7=TH!F5130),"x","")</f>
        <v/>
      </c>
      <c r="AD4000" s="75" t="str">
        <f>IF(AND(N4000="1521",MONTH(C4000)='BK-NL'!$M$11),"x","")</f>
        <v/>
      </c>
    </row>
    <row r="4001" spans="1:30" ht="18" customHeight="1">
      <c r="A4001" s="309" t="str">
        <f>IF(B4001&lt;&gt;"",IF(AND(B4001='IN-TC'!$S$4,OR(TH!N3999="1111",TH!O3999="1111")),TH!D3999,""),"")</f>
        <v/>
      </c>
      <c r="B4001" s="1241">
        <f t="shared" si="1310"/>
        <v>4</v>
      </c>
      <c r="C4001" s="292">
        <f t="shared" si="1309"/>
        <v>42853</v>
      </c>
      <c r="D4001" s="59" t="s">
        <v>902</v>
      </c>
      <c r="E4001" s="59">
        <v>42853</v>
      </c>
      <c r="F4001" s="131" t="s">
        <v>1087</v>
      </c>
      <c r="G4001" s="62" t="s">
        <v>747</v>
      </c>
      <c r="H4001" s="294" t="s">
        <v>742</v>
      </c>
      <c r="I4001" s="373"/>
      <c r="J4001" s="379"/>
      <c r="K4001" s="373"/>
      <c r="L4001" s="379"/>
      <c r="M4001" s="60">
        <v>150000000</v>
      </c>
      <c r="N4001" s="61" t="s">
        <v>8</v>
      </c>
      <c r="O4001" s="61" t="s">
        <v>26</v>
      </c>
      <c r="P4001" s="75" t="str">
        <f>IF(AND('331-CT'!$E$7=TH!H5131,OR(N4001="331",O4001="331")),"x","")</f>
        <v/>
      </c>
      <c r="Q4001" s="75" t="str">
        <f>IF(AND(B4001='111'!$L$11,OR($N4001=$Q$7,$O4001=$Q$7)),"x","")</f>
        <v/>
      </c>
      <c r="R4001" s="75" t="str">
        <f>IF(AND($N4001=$Q$7,$B4001&lt;'111'!$L$11),"x","")</f>
        <v/>
      </c>
      <c r="S4001" s="75" t="str">
        <f>IF(AND($O4001=$Q$7,$B4001&lt;'111'!$L$11),"x","")</f>
        <v/>
      </c>
      <c r="T4001" s="75" t="str">
        <f>IF(ISERROR(FIND('112'!$M$9,G4001,1)),"",IF((AND(FIND('112'!$M$9,G4001,1)&gt;=1,B4001='112'!$K$9,OR($N4001='112'!$I$6,$O4001='112'!$I$6))),"x",""))</f>
        <v/>
      </c>
      <c r="U4001" s="75" t="str">
        <f>IF(ISERROR(FIND('112'!$M$9,G4001,1)),"",IF((AND(LEFT(G4001,2)=LEFT('112'!$M$9,2),B4001&lt;'112'!$K$9,$N4001='112'!$I$6)),"x",""))</f>
        <v/>
      </c>
      <c r="V4001" s="75" t="str">
        <f>IF(ISERROR(FIND('112'!$M$9,G4001,1)),"",IF((AND(RIGHT(G4001,2)=RIGHT('112'!$M$9,2),B4001&lt;'112'!$K$9,$O4001='112'!$I$6)),"x",""))</f>
        <v/>
      </c>
      <c r="W4001" s="75" t="str">
        <f>IF(AND('341-CT'!$H$9=H4001,OR(LEFT(N4001,3)=$W$7,LEFT(O4001,3)=$W$7)),"x","")</f>
        <v/>
      </c>
      <c r="X4001" s="75" t="str">
        <f>IF(OR(TH!N5131=TH!$X$7,O4001=TH!$X$7),"x","")</f>
        <v/>
      </c>
      <c r="Y4001" s="75" t="str">
        <f>IF(AND(OR(N4001="131",O4001="131"),H4001='131-CT'!$H$9),"x","")</f>
        <v/>
      </c>
      <c r="Z4001" s="75"/>
      <c r="AA4001" s="75" t="str">
        <f>IF(AND(MONTH(E4001)='IN-NX'!$J$5,'IN-NX'!$D$7=D4001),"x","")</f>
        <v/>
      </c>
      <c r="AB4001" s="75" t="str">
        <f>IF(AND(OR(LEFT(TH!N5131,2)="15",LEFT(TH!O5131,2)="15"),LEFT(TH!O5131,3)&lt;&gt;"111",'152-CT'!$J$8=TH!F5131),"x","")</f>
        <v/>
      </c>
      <c r="AC4001" s="75" t="str">
        <f>IF(AND(OR(LEFT(TH!N5131,2)="15",LEFT(TH!O5131,2)="15"),TK!$E$7=TH!F5131),"x","")</f>
        <v/>
      </c>
      <c r="AD4001" s="75" t="str">
        <f>IF(AND(N4001="1521",MONTH(C4001)='BK-NL'!$M$11),"x","")</f>
        <v/>
      </c>
    </row>
    <row r="4002" spans="1:30" ht="18" customHeight="1">
      <c r="A4002" s="309" t="str">
        <f>IF(B4002&lt;&gt;"",IF(AND(B4002='IN-TC'!$S$4,OR(TH!N4000="1111",TH!O4000="1111")),TH!D4000,""),"")</f>
        <v/>
      </c>
      <c r="B4002" s="1241">
        <f t="shared" si="1310"/>
        <v>4</v>
      </c>
      <c r="C4002" s="292">
        <f t="shared" si="1309"/>
        <v>42853</v>
      </c>
      <c r="D4002" s="59" t="s">
        <v>902</v>
      </c>
      <c r="E4002" s="59">
        <v>42853</v>
      </c>
      <c r="F4002" s="131" t="s">
        <v>870</v>
      </c>
      <c r="G4002" s="62" t="s">
        <v>747</v>
      </c>
      <c r="H4002" s="311" t="s">
        <v>835</v>
      </c>
      <c r="I4002" s="373"/>
      <c r="J4002" s="379"/>
      <c r="K4002" s="373"/>
      <c r="L4002" s="379"/>
      <c r="M4002" s="60">
        <v>45000</v>
      </c>
      <c r="N4002" s="61" t="s">
        <v>101</v>
      </c>
      <c r="O4002" s="61" t="s">
        <v>26</v>
      </c>
      <c r="P4002" s="75" t="str">
        <f>IF(AND('331-CT'!$E$7=TH!H5132,OR(N4002="331",O4002="331")),"x","")</f>
        <v/>
      </c>
      <c r="Q4002" s="75" t="str">
        <f>IF(AND(B4002='111'!$L$11,OR($N4002=$Q$7,$O4002=$Q$7)),"x","")</f>
        <v/>
      </c>
      <c r="R4002" s="75" t="str">
        <f>IF(AND($N4002=$Q$7,$B4002&lt;'111'!$L$11),"x","")</f>
        <v/>
      </c>
      <c r="S4002" s="75" t="str">
        <f>IF(AND($O4002=$Q$7,$B4002&lt;'111'!$L$11),"x","")</f>
        <v/>
      </c>
      <c r="T4002" s="75" t="str">
        <f>IF(ISERROR(FIND('112'!$M$9,G4002,1)),"",IF((AND(FIND('112'!$M$9,G4002,1)&gt;=1,B4002='112'!$K$9,OR($N4002='112'!$I$6,$O4002='112'!$I$6))),"x",""))</f>
        <v/>
      </c>
      <c r="U4002" s="75" t="str">
        <f>IF(ISERROR(FIND('112'!$M$9,G4002,1)),"",IF((AND(LEFT(G4002,2)=LEFT('112'!$M$9,2),B4002&lt;'112'!$K$9,$N4002='112'!$I$6)),"x",""))</f>
        <v/>
      </c>
      <c r="V4002" s="75" t="str">
        <f>IF(ISERROR(FIND('112'!$M$9,G4002,1)),"",IF((AND(RIGHT(G4002,2)=RIGHT('112'!$M$9,2),B4002&lt;'112'!$K$9,$O4002='112'!$I$6)),"x",""))</f>
        <v/>
      </c>
      <c r="W4002" s="75" t="str">
        <f>IF(AND('341-CT'!$H$9=H4002,OR(LEFT(N4002,3)=$W$7,LEFT(O4002,3)=$W$7)),"x","")</f>
        <v/>
      </c>
      <c r="X4002" s="75" t="str">
        <f>IF(OR(TH!N5132=TH!$X$7,O4002=TH!$X$7),"x","")</f>
        <v/>
      </c>
      <c r="Y4002" s="75" t="str">
        <f>IF(AND(OR(N4002="131",O4002="131"),H4002='131-CT'!$H$9),"x","")</f>
        <v/>
      </c>
      <c r="Z4002" s="75"/>
      <c r="AA4002" s="75" t="str">
        <f>IF(AND(MONTH(E4002)='IN-NX'!$J$5,'IN-NX'!$D$7=D4002),"x","")</f>
        <v/>
      </c>
      <c r="AB4002" s="75" t="str">
        <f>IF(AND(OR(LEFT(TH!N5132,2)="15",LEFT(TH!O5132,2)="15"),LEFT(TH!O5132,3)&lt;&gt;"111",'152-CT'!$J$8=TH!F5132),"x","")</f>
        <v/>
      </c>
      <c r="AC4002" s="75" t="str">
        <f>IF(AND(OR(LEFT(TH!N5132,2)="15",LEFT(TH!O5132,2)="15"),TK!$E$7=TH!F5132),"x","")</f>
        <v/>
      </c>
      <c r="AD4002" s="75" t="str">
        <f>IF(AND(N4002="1521",MONTH(C4002)='BK-NL'!$M$11),"x","")</f>
        <v/>
      </c>
    </row>
    <row r="4003" spans="1:30" ht="16.5" customHeight="1">
      <c r="A4003" s="309" t="str">
        <f>IF(B4003&lt;&gt;"",IF(AND(B4003='IN-TC'!$S$4,OR(TH!N4001="1111",TH!O4001="1111")),TH!D4001,""),"")</f>
        <v/>
      </c>
      <c r="B4003" s="1241">
        <f t="shared" si="1310"/>
        <v>4</v>
      </c>
      <c r="C4003" s="292">
        <f t="shared" si="1309"/>
        <v>42853</v>
      </c>
      <c r="D4003" s="59" t="s">
        <v>902</v>
      </c>
      <c r="E4003" s="59">
        <v>42853</v>
      </c>
      <c r="F4003" s="131" t="s">
        <v>898</v>
      </c>
      <c r="G4003" s="62" t="s">
        <v>747</v>
      </c>
      <c r="H4003" s="311" t="s">
        <v>835</v>
      </c>
      <c r="I4003" s="373"/>
      <c r="J4003" s="379"/>
      <c r="K4003" s="373"/>
      <c r="L4003" s="379"/>
      <c r="M4003" s="60">
        <v>4500</v>
      </c>
      <c r="N4003" s="61" t="s">
        <v>9</v>
      </c>
      <c r="O4003" s="61" t="s">
        <v>26</v>
      </c>
      <c r="P4003" s="75" t="str">
        <f>IF(AND('331-CT'!$E$7=TH!H5133,OR(N4003="331",O4003="331")),"x","")</f>
        <v/>
      </c>
      <c r="Q4003" s="75" t="str">
        <f>IF(AND(B4003='111'!$L$11,OR($N4003=$Q$7,$O4003=$Q$7)),"x","")</f>
        <v/>
      </c>
      <c r="R4003" s="75" t="str">
        <f>IF(AND($N4003=$Q$7,$B4003&lt;'111'!$L$11),"x","")</f>
        <v/>
      </c>
      <c r="S4003" s="75" t="str">
        <f>IF(AND($O4003=$Q$7,$B4003&lt;'111'!$L$11),"x","")</f>
        <v/>
      </c>
      <c r="T4003" s="75" t="str">
        <f>IF(ISERROR(FIND('112'!$M$9,G4003,1)),"",IF((AND(FIND('112'!$M$9,G4003,1)&gt;=1,B4003='112'!$K$9,OR($N4003='112'!$I$6,$O4003='112'!$I$6))),"x",""))</f>
        <v/>
      </c>
      <c r="U4003" s="75" t="str">
        <f>IF(ISERROR(FIND('112'!$M$9,G4003,1)),"",IF((AND(LEFT(G4003,2)=LEFT('112'!$M$9,2),B4003&lt;'112'!$K$9,$N4003='112'!$I$6)),"x",""))</f>
        <v/>
      </c>
      <c r="V4003" s="75" t="str">
        <f>IF(ISERROR(FIND('112'!$M$9,G4003,1)),"",IF((AND(RIGHT(G4003,2)=RIGHT('112'!$M$9,2),B4003&lt;'112'!$K$9,$O4003='112'!$I$6)),"x",""))</f>
        <v/>
      </c>
      <c r="W4003" s="75" t="str">
        <f>IF(AND('341-CT'!$H$9=H4003,OR(LEFT(N4003,3)=$W$7,LEFT(O4003,3)=$W$7)),"x","")</f>
        <v/>
      </c>
      <c r="X4003" s="75" t="str">
        <f>IF(OR(TH!N5133=TH!$X$7,O4003=TH!$X$7),"x","")</f>
        <v/>
      </c>
      <c r="Y4003" s="75" t="str">
        <f>IF(AND(OR(N4003="131",O4003="131"),H4003='131-CT'!$H$9),"x","")</f>
        <v/>
      </c>
      <c r="Z4003" s="75"/>
      <c r="AA4003" s="75" t="str">
        <f>IF(AND(MONTH(E4003)='IN-NX'!$J$5,'IN-NX'!$D$7=D4003),"x","")</f>
        <v/>
      </c>
      <c r="AB4003" s="75" t="str">
        <f>IF(AND(OR(LEFT(TH!N5133,2)="15",LEFT(TH!O5133,2)="15"),LEFT(TH!O5133,3)&lt;&gt;"111",'152-CT'!$J$8=TH!F5133),"x","")</f>
        <v/>
      </c>
      <c r="AC4003" s="75" t="str">
        <f>IF(AND(OR(LEFT(TH!N5133,2)="15",LEFT(TH!O5133,2)="15"),TK!$E$7=TH!F5133),"x","")</f>
        <v/>
      </c>
      <c r="AD4003" s="75" t="str">
        <f>IF(AND(N4003="1521",MONTH(C4003)='BK-NL'!$M$11),"x","")</f>
        <v/>
      </c>
    </row>
    <row r="4004" spans="1:30" ht="16.5" customHeight="1">
      <c r="A4004" s="309" t="str">
        <f>IF(B4004&lt;&gt;"",IF(AND(B4004='IN-TC'!$S$4,OR(TH!N4002="1111",TH!O4002="1111")),TH!D4002,""),"")</f>
        <v/>
      </c>
      <c r="B4004" s="1241">
        <f t="shared" si="1310"/>
        <v>4</v>
      </c>
      <c r="C4004" s="292">
        <f t="shared" si="1309"/>
        <v>42853</v>
      </c>
      <c r="D4004" s="59" t="s">
        <v>902</v>
      </c>
      <c r="E4004" s="59">
        <v>42853</v>
      </c>
      <c r="F4004" s="131" t="s">
        <v>1316</v>
      </c>
      <c r="G4004" s="62" t="s">
        <v>747</v>
      </c>
      <c r="H4004" s="311" t="s">
        <v>563</v>
      </c>
      <c r="I4004" s="373"/>
      <c r="J4004" s="379"/>
      <c r="K4004" s="373"/>
      <c r="L4004" s="379"/>
      <c r="M4004" s="60">
        <v>49956280</v>
      </c>
      <c r="N4004" s="61" t="s">
        <v>8</v>
      </c>
      <c r="O4004" s="61" t="s">
        <v>26</v>
      </c>
      <c r="P4004" s="75" t="str">
        <f>IF(AND('331-CT'!$E$7=TH!H5134,OR(N4004="331",O4004="331")),"x","")</f>
        <v/>
      </c>
      <c r="Q4004" s="75" t="str">
        <f>IF(AND(B4004='111'!$L$11,OR($N4004=$Q$7,$O4004=$Q$7)),"x","")</f>
        <v/>
      </c>
      <c r="R4004" s="75" t="str">
        <f>IF(AND($N4004=$Q$7,$B4004&lt;'111'!$L$11),"x","")</f>
        <v/>
      </c>
      <c r="S4004" s="75" t="str">
        <f>IF(AND($O4004=$Q$7,$B4004&lt;'111'!$L$11),"x","")</f>
        <v/>
      </c>
      <c r="T4004" s="75" t="str">
        <f>IF(ISERROR(FIND('112'!$M$9,G4004,1)),"",IF((AND(FIND('112'!$M$9,G4004,1)&gt;=1,B4004='112'!$K$9,OR($N4004='112'!$I$6,$O4004='112'!$I$6))),"x",""))</f>
        <v/>
      </c>
      <c r="U4004" s="75" t="str">
        <f>IF(ISERROR(FIND('112'!$M$9,G4004,1)),"",IF((AND(LEFT(G4004,2)=LEFT('112'!$M$9,2),B4004&lt;'112'!$K$9,$N4004='112'!$I$6)),"x",""))</f>
        <v/>
      </c>
      <c r="V4004" s="75" t="str">
        <f>IF(ISERROR(FIND('112'!$M$9,G4004,1)),"",IF((AND(RIGHT(G4004,2)=RIGHT('112'!$M$9,2),B4004&lt;'112'!$K$9,$O4004='112'!$I$6)),"x",""))</f>
        <v/>
      </c>
      <c r="W4004" s="75" t="str">
        <f>IF(AND('341-CT'!$H$9=H4004,OR(LEFT(N4004,3)=$W$7,LEFT(O4004,3)=$W$7)),"x","")</f>
        <v/>
      </c>
      <c r="X4004" s="75" t="str">
        <f>IF(OR(TH!N5134=TH!$X$7,O4004=TH!$X$7),"x","")</f>
        <v/>
      </c>
      <c r="Y4004" s="75" t="str">
        <f>IF(AND(OR(N4004="131",O4004="131"),H4004='131-CT'!$H$9),"x","")</f>
        <v/>
      </c>
      <c r="Z4004" s="75"/>
      <c r="AA4004" s="75" t="str">
        <f>IF(AND(MONTH(E4004)='IN-NX'!$J$5,'IN-NX'!$D$7=D4004),"x","")</f>
        <v/>
      </c>
      <c r="AB4004" s="75" t="str">
        <f>IF(AND(OR(LEFT(TH!N5134,2)="15",LEFT(TH!O5134,2)="15"),LEFT(TH!O5134,3)&lt;&gt;"111",'152-CT'!$J$8=TH!F5134),"x","")</f>
        <v/>
      </c>
      <c r="AC4004" s="75" t="str">
        <f>IF(AND(OR(LEFT(TH!N5134,2)="15",LEFT(TH!O5134,2)="15"),TK!$E$7=TH!F5134),"x","")</f>
        <v/>
      </c>
      <c r="AD4004" s="75" t="str">
        <f>IF(AND(N4004="1521",MONTH(C4004)='BK-NL'!$M$11),"x","")</f>
        <v/>
      </c>
    </row>
    <row r="4005" spans="1:30" ht="16.5" customHeight="1">
      <c r="A4005" s="309" t="str">
        <f>IF(B4005&lt;&gt;"",IF(AND(B4005='IN-TC'!$S$4,OR(TH!N4003="1111",TH!O4003="1111")),TH!D4003,""),"")</f>
        <v/>
      </c>
      <c r="B4005" s="1241">
        <f t="shared" si="1310"/>
        <v>4</v>
      </c>
      <c r="C4005" s="292">
        <f t="shared" si="1309"/>
        <v>42853</v>
      </c>
      <c r="D4005" s="59" t="s">
        <v>902</v>
      </c>
      <c r="E4005" s="59">
        <v>42853</v>
      </c>
      <c r="F4005" s="131" t="s">
        <v>870</v>
      </c>
      <c r="G4005" s="62" t="s">
        <v>747</v>
      </c>
      <c r="H4005" s="311" t="s">
        <v>835</v>
      </c>
      <c r="I4005" s="373"/>
      <c r="J4005" s="379"/>
      <c r="K4005" s="373"/>
      <c r="L4005" s="379"/>
      <c r="M4005" s="60">
        <v>15000</v>
      </c>
      <c r="N4005" s="61" t="s">
        <v>101</v>
      </c>
      <c r="O4005" s="61" t="s">
        <v>26</v>
      </c>
      <c r="P4005" s="75" t="str">
        <f>IF(AND('331-CT'!$E$7=TH!H5135,OR(N4005="331",O4005="331")),"x","")</f>
        <v/>
      </c>
      <c r="Q4005" s="75" t="str">
        <f>IF(AND(B4005='111'!$L$11,OR($N4005=$Q$7,$O4005=$Q$7)),"x","")</f>
        <v/>
      </c>
      <c r="R4005" s="75" t="str">
        <f>IF(AND($N4005=$Q$7,$B4005&lt;'111'!$L$11),"x","")</f>
        <v/>
      </c>
      <c r="S4005" s="75" t="str">
        <f>IF(AND($O4005=$Q$7,$B4005&lt;'111'!$L$11),"x","")</f>
        <v/>
      </c>
      <c r="T4005" s="75" t="str">
        <f>IF(ISERROR(FIND('112'!$M$9,G4005,1)),"",IF((AND(FIND('112'!$M$9,G4005,1)&gt;=1,B4005='112'!$K$9,OR($N4005='112'!$I$6,$O4005='112'!$I$6))),"x",""))</f>
        <v/>
      </c>
      <c r="U4005" s="75" t="str">
        <f>IF(ISERROR(FIND('112'!$M$9,G4005,1)),"",IF((AND(LEFT(G4005,2)=LEFT('112'!$M$9,2),B4005&lt;'112'!$K$9,$N4005='112'!$I$6)),"x",""))</f>
        <v/>
      </c>
      <c r="V4005" s="75" t="str">
        <f>IF(ISERROR(FIND('112'!$M$9,G4005,1)),"",IF((AND(RIGHT(G4005,2)=RIGHT('112'!$M$9,2),B4005&lt;'112'!$K$9,$O4005='112'!$I$6)),"x",""))</f>
        <v/>
      </c>
      <c r="W4005" s="75" t="str">
        <f>IF(AND('341-CT'!$H$9=H4005,OR(LEFT(N4005,3)=$W$7,LEFT(O4005,3)=$W$7)),"x","")</f>
        <v/>
      </c>
      <c r="X4005" s="75" t="str">
        <f>IF(OR(TH!N5135=TH!$X$7,O4005=TH!$X$7),"x","")</f>
        <v/>
      </c>
      <c r="Y4005" s="75" t="str">
        <f>IF(AND(OR(N4005="131",O4005="131"),H4005='131-CT'!$H$9),"x","")</f>
        <v/>
      </c>
      <c r="Z4005" s="75"/>
      <c r="AA4005" s="75" t="str">
        <f>IF(AND(MONTH(E4005)='IN-NX'!$J$5,'IN-NX'!$D$7=D4005),"x","")</f>
        <v/>
      </c>
      <c r="AB4005" s="75" t="str">
        <f>IF(AND(OR(LEFT(TH!N5135,2)="15",LEFT(TH!O5135,2)="15"),LEFT(TH!O5135,3)&lt;&gt;"111",'152-CT'!$J$8=TH!F5135),"x","")</f>
        <v/>
      </c>
      <c r="AC4005" s="75" t="str">
        <f>IF(AND(OR(LEFT(TH!N5135,2)="15",LEFT(TH!O5135,2)="15"),TK!$E$7=TH!F5135),"x","")</f>
        <v/>
      </c>
      <c r="AD4005" s="75" t="str">
        <f>IF(AND(N4005="1521",MONTH(C4005)='BK-NL'!$M$11),"x","")</f>
        <v/>
      </c>
    </row>
    <row r="4006" spans="1:30" ht="18" customHeight="1">
      <c r="A4006" s="309" t="str">
        <f>IF(B4006&lt;&gt;"",IF(AND(B4006='IN-TC'!$S$4,OR(TH!N4004="1111",TH!O4004="1111")),TH!D4004,""),"")</f>
        <v/>
      </c>
      <c r="B4006" s="1241">
        <f t="shared" si="1310"/>
        <v>4</v>
      </c>
      <c r="C4006" s="292">
        <f t="shared" si="1309"/>
        <v>42853</v>
      </c>
      <c r="D4006" s="59" t="s">
        <v>902</v>
      </c>
      <c r="E4006" s="59">
        <v>42853</v>
      </c>
      <c r="F4006" s="131" t="s">
        <v>898</v>
      </c>
      <c r="G4006" s="62" t="s">
        <v>747</v>
      </c>
      <c r="H4006" s="311" t="s">
        <v>835</v>
      </c>
      <c r="I4006" s="373"/>
      <c r="J4006" s="379"/>
      <c r="K4006" s="373"/>
      <c r="L4006" s="379"/>
      <c r="M4006" s="60">
        <v>1500</v>
      </c>
      <c r="N4006" s="61" t="s">
        <v>9</v>
      </c>
      <c r="O4006" s="61" t="s">
        <v>26</v>
      </c>
      <c r="P4006" s="75" t="str">
        <f>IF(AND('331-CT'!$E$7=TH!H5136,OR(N4006="331",O4006="331")),"x","")</f>
        <v/>
      </c>
      <c r="Q4006" s="75" t="str">
        <f>IF(AND(B4006='111'!$L$11,OR($N4006=$Q$7,$O4006=$Q$7)),"x","")</f>
        <v/>
      </c>
      <c r="R4006" s="75" t="str">
        <f>IF(AND($N4006=$Q$7,$B4006&lt;'111'!$L$11),"x","")</f>
        <v/>
      </c>
      <c r="S4006" s="75" t="str">
        <f>IF(AND($O4006=$Q$7,$B4006&lt;'111'!$L$11),"x","")</f>
        <v/>
      </c>
      <c r="T4006" s="75" t="str">
        <f>IF(ISERROR(FIND('112'!$M$9,G4006,1)),"",IF((AND(FIND('112'!$M$9,G4006,1)&gt;=1,B4006='112'!$K$9,OR($N4006='112'!$I$6,$O4006='112'!$I$6))),"x",""))</f>
        <v/>
      </c>
      <c r="U4006" s="75" t="str">
        <f>IF(ISERROR(FIND('112'!$M$9,G4006,1)),"",IF((AND(LEFT(G4006,2)=LEFT('112'!$M$9,2),B4006&lt;'112'!$K$9,$N4006='112'!$I$6)),"x",""))</f>
        <v/>
      </c>
      <c r="V4006" s="75" t="str">
        <f>IF(ISERROR(FIND('112'!$M$9,G4006,1)),"",IF((AND(RIGHT(G4006,2)=RIGHT('112'!$M$9,2),B4006&lt;'112'!$K$9,$O4006='112'!$I$6)),"x",""))</f>
        <v/>
      </c>
      <c r="W4006" s="75" t="str">
        <f>IF(AND('341-CT'!$H$9=H4006,OR(LEFT(N4006,3)=$W$7,LEFT(O4006,3)=$W$7)),"x","")</f>
        <v/>
      </c>
      <c r="X4006" s="75" t="str">
        <f>IF(OR(TH!N5136=TH!$X$7,O4006=TH!$X$7),"x","")</f>
        <v/>
      </c>
      <c r="Y4006" s="75" t="str">
        <f>IF(AND(OR(N4006="131",O4006="131"),H4006='131-CT'!$H$9),"x","")</f>
        <v/>
      </c>
      <c r="Z4006" s="75"/>
      <c r="AA4006" s="75" t="str">
        <f>IF(AND(MONTH(E4006)='IN-NX'!$J$5,'IN-NX'!$D$7=D4006),"x","")</f>
        <v/>
      </c>
      <c r="AB4006" s="75" t="str">
        <f>IF(AND(OR(LEFT(TH!N5136,2)="15",LEFT(TH!O5136,2)="15"),LEFT(TH!O5136,3)&lt;&gt;"111",'152-CT'!$J$8=TH!F5136),"x","")</f>
        <v/>
      </c>
      <c r="AC4006" s="75" t="str">
        <f>IF(AND(OR(LEFT(TH!N5136,2)="15",LEFT(TH!O5136,2)="15"),TK!$E$7=TH!F5136),"x","")</f>
        <v/>
      </c>
      <c r="AD4006" s="75" t="str">
        <f>IF(AND(N4006="1521",MONTH(C4006)='BK-NL'!$M$11),"x","")</f>
        <v/>
      </c>
    </row>
    <row r="4007" spans="1:30" ht="18" customHeight="1">
      <c r="A4007" s="309" t="str">
        <f>IF(B4007&lt;&gt;"",IF(AND(B4007='IN-TC'!$S$4,OR(TH!N4005="1111",TH!O4005="1111")),TH!D4005,""),"")</f>
        <v/>
      </c>
      <c r="B4007" s="1241">
        <f t="shared" si="1310"/>
        <v>4</v>
      </c>
      <c r="C4007" s="292">
        <f t="shared" si="1309"/>
        <v>42853</v>
      </c>
      <c r="D4007" s="59" t="s">
        <v>902</v>
      </c>
      <c r="E4007" s="59">
        <v>42853</v>
      </c>
      <c r="F4007" s="131" t="s">
        <v>899</v>
      </c>
      <c r="G4007" s="62" t="s">
        <v>747</v>
      </c>
      <c r="H4007" s="311" t="s">
        <v>558</v>
      </c>
      <c r="I4007" s="373"/>
      <c r="J4007" s="379"/>
      <c r="K4007" s="373"/>
      <c r="L4007" s="379"/>
      <c r="M4007" s="60">
        <v>100000000</v>
      </c>
      <c r="N4007" s="61" t="s">
        <v>8</v>
      </c>
      <c r="O4007" s="61" t="s">
        <v>26</v>
      </c>
      <c r="P4007" s="75" t="str">
        <f>IF(AND('331-CT'!$E$7=TH!H5137,OR(N4007="331",O4007="331")),"x","")</f>
        <v/>
      </c>
      <c r="Q4007" s="75" t="str">
        <f>IF(AND(B4007='111'!$L$11,OR($N4007=$Q$7,$O4007=$Q$7)),"x","")</f>
        <v/>
      </c>
      <c r="R4007" s="75" t="str">
        <f>IF(AND($N4007=$Q$7,$B4007&lt;'111'!$L$11),"x","")</f>
        <v/>
      </c>
      <c r="S4007" s="75" t="str">
        <f>IF(AND($O4007=$Q$7,$B4007&lt;'111'!$L$11),"x","")</f>
        <v/>
      </c>
      <c r="T4007" s="75" t="str">
        <f>IF(ISERROR(FIND('112'!$M$9,G4007,1)),"",IF((AND(FIND('112'!$M$9,G4007,1)&gt;=1,B4007='112'!$K$9,OR($N4007='112'!$I$6,$O4007='112'!$I$6))),"x",""))</f>
        <v/>
      </c>
      <c r="U4007" s="75" t="str">
        <f>IF(ISERROR(FIND('112'!$M$9,G4007,1)),"",IF((AND(LEFT(G4007,2)=LEFT('112'!$M$9,2),B4007&lt;'112'!$K$9,$N4007='112'!$I$6)),"x",""))</f>
        <v/>
      </c>
      <c r="V4007" s="75" t="str">
        <f>IF(ISERROR(FIND('112'!$M$9,G4007,1)),"",IF((AND(RIGHT(G4007,2)=RIGHT('112'!$M$9,2),B4007&lt;'112'!$K$9,$O4007='112'!$I$6)),"x",""))</f>
        <v/>
      </c>
      <c r="W4007" s="75" t="str">
        <f>IF(AND('341-CT'!$H$9=H4007,OR(LEFT(N4007,3)=$W$7,LEFT(O4007,3)=$W$7)),"x","")</f>
        <v/>
      </c>
      <c r="X4007" s="75" t="str">
        <f>IF(OR(TH!N5137=TH!$X$7,O4007=TH!$X$7),"x","")</f>
        <v/>
      </c>
      <c r="Y4007" s="75" t="str">
        <f>IF(AND(OR(N4007="131",O4007="131"),H4007='131-CT'!$H$9),"x","")</f>
        <v/>
      </c>
      <c r="Z4007" s="75"/>
      <c r="AA4007" s="75" t="str">
        <f>IF(AND(MONTH(E4007)='IN-NX'!$J$5,'IN-NX'!$D$7=D4007),"x","")</f>
        <v/>
      </c>
      <c r="AB4007" s="75" t="str">
        <f>IF(AND(OR(LEFT(TH!N5137,2)="15",LEFT(TH!O5137,2)="15"),LEFT(TH!O5137,3)&lt;&gt;"111",'152-CT'!$J$8=TH!F5137),"x","")</f>
        <v/>
      </c>
      <c r="AC4007" s="75" t="str">
        <f>IF(AND(OR(LEFT(TH!N5137,2)="15",LEFT(TH!O5137,2)="15"),TK!$E$7=TH!F5137),"x","")</f>
        <v/>
      </c>
      <c r="AD4007" s="75" t="str">
        <f>IF(AND(N4007="1521",MONTH(C4007)='BK-NL'!$M$11),"x","")</f>
        <v/>
      </c>
    </row>
    <row r="4008" spans="1:30" ht="18" customHeight="1">
      <c r="A4008" s="309" t="str">
        <f>IF(B4008&lt;&gt;"",IF(AND(B4008='IN-TC'!$S$4,OR(TH!N4006="1111",TH!O4006="1111")),TH!D4006,""),"")</f>
        <v/>
      </c>
      <c r="B4008" s="1241">
        <f t="shared" si="1310"/>
        <v>4</v>
      </c>
      <c r="C4008" s="292">
        <f t="shared" si="1309"/>
        <v>42853</v>
      </c>
      <c r="D4008" s="59" t="s">
        <v>902</v>
      </c>
      <c r="E4008" s="59">
        <v>42853</v>
      </c>
      <c r="F4008" s="131" t="s">
        <v>870</v>
      </c>
      <c r="G4008" s="62" t="s">
        <v>747</v>
      </c>
      <c r="H4008" s="311" t="s">
        <v>835</v>
      </c>
      <c r="I4008" s="373"/>
      <c r="J4008" s="379"/>
      <c r="K4008" s="373"/>
      <c r="L4008" s="379"/>
      <c r="M4008" s="60">
        <v>30000</v>
      </c>
      <c r="N4008" s="61" t="s">
        <v>101</v>
      </c>
      <c r="O4008" s="61" t="s">
        <v>26</v>
      </c>
      <c r="P4008" s="75" t="str">
        <f>IF(AND('331-CT'!$E$7=TH!H5139,OR(N4008="331",O4008="331")),"x","")</f>
        <v/>
      </c>
      <c r="Q4008" s="75" t="str">
        <f>IF(AND(B4008='111'!$L$11,OR($N4008=$Q$7,$O4008=$Q$7)),"x","")</f>
        <v/>
      </c>
      <c r="R4008" s="75" t="str">
        <f>IF(AND($N4008=$Q$7,$B4008&lt;'111'!$L$11),"x","")</f>
        <v/>
      </c>
      <c r="S4008" s="75" t="str">
        <f>IF(AND($O4008=$Q$7,$B4008&lt;'111'!$L$11),"x","")</f>
        <v/>
      </c>
      <c r="T4008" s="75" t="str">
        <f>IF(ISERROR(FIND('112'!$M$9,G4008,1)),"",IF((AND(FIND('112'!$M$9,G4008,1)&gt;=1,B4008='112'!$K$9,OR($N4008='112'!$I$6,$O4008='112'!$I$6))),"x",""))</f>
        <v/>
      </c>
      <c r="U4008" s="75" t="str">
        <f>IF(ISERROR(FIND('112'!$M$9,G4008,1)),"",IF((AND(LEFT(G4008,2)=LEFT('112'!$M$9,2),B4008&lt;'112'!$K$9,$N4008='112'!$I$6)),"x",""))</f>
        <v/>
      </c>
      <c r="V4008" s="75" t="str">
        <f>IF(ISERROR(FIND('112'!$M$9,G4008,1)),"",IF((AND(RIGHT(G4008,2)=RIGHT('112'!$M$9,2),B4008&lt;'112'!$K$9,$O4008='112'!$I$6)),"x",""))</f>
        <v/>
      </c>
      <c r="W4008" s="75" t="str">
        <f>IF(AND('341-CT'!$H$9=H4008,OR(LEFT(N4008,3)=$W$7,LEFT(O4008,3)=$W$7)),"x","")</f>
        <v/>
      </c>
      <c r="X4008" s="75" t="str">
        <f>IF(OR(TH!N5139=TH!$X$7,O4008=TH!$X$7),"x","")</f>
        <v/>
      </c>
      <c r="Y4008" s="75" t="str">
        <f>IF(AND(OR(N4008="131",O4008="131"),H4008='131-CT'!$H$9),"x","")</f>
        <v/>
      </c>
      <c r="Z4008" s="75"/>
      <c r="AA4008" s="75" t="str">
        <f>IF(AND(MONTH(E4008)='IN-NX'!$J$5,'IN-NX'!$D$7=D4008),"x","")</f>
        <v/>
      </c>
      <c r="AB4008" s="75" t="str">
        <f>IF(AND(OR(LEFT(TH!N5139,2)="15",LEFT(TH!O5139,2)="15"),LEFT(TH!O5139,3)&lt;&gt;"111",'152-CT'!$J$8=TH!F5139),"x","")</f>
        <v/>
      </c>
      <c r="AC4008" s="75" t="str">
        <f>IF(AND(OR(LEFT(TH!N5139,2)="15",LEFT(TH!O5139,2)="15"),TK!$E$7=TH!F5139),"x","")</f>
        <v/>
      </c>
      <c r="AD4008" s="75" t="str">
        <f>IF(AND(N4008="1521",MONTH(C4008)='BK-NL'!$M$11),"x","")</f>
        <v/>
      </c>
    </row>
    <row r="4009" spans="1:30" ht="18" customHeight="1">
      <c r="A4009" s="309" t="str">
        <f>IF(B4009&lt;&gt;"",IF(AND(B4009='IN-TC'!$S$4,OR(TH!N4007="1111",TH!O4007="1111")),TH!D4007,""),"")</f>
        <v/>
      </c>
      <c r="B4009" s="1241">
        <f t="shared" si="1310"/>
        <v>4</v>
      </c>
      <c r="C4009" s="292">
        <f t="shared" si="1309"/>
        <v>42853</v>
      </c>
      <c r="D4009" s="59" t="s">
        <v>902</v>
      </c>
      <c r="E4009" s="59">
        <v>42853</v>
      </c>
      <c r="F4009" s="131" t="s">
        <v>898</v>
      </c>
      <c r="G4009" s="62" t="s">
        <v>747</v>
      </c>
      <c r="H4009" s="311" t="s">
        <v>835</v>
      </c>
      <c r="I4009" s="373"/>
      <c r="J4009" s="379"/>
      <c r="K4009" s="373"/>
      <c r="L4009" s="379"/>
      <c r="M4009" s="60">
        <v>3000</v>
      </c>
      <c r="N4009" s="61" t="s">
        <v>9</v>
      </c>
      <c r="O4009" s="61" t="s">
        <v>26</v>
      </c>
      <c r="P4009" s="75" t="str">
        <f>IF(AND('331-CT'!$E$7=TH!H5140,OR(N4009="331",O4009="331")),"x","")</f>
        <v/>
      </c>
      <c r="Q4009" s="75" t="str">
        <f>IF(AND(B4009='111'!$L$11,OR($N4009=$Q$7,$O4009=$Q$7)),"x","")</f>
        <v/>
      </c>
      <c r="R4009" s="75" t="str">
        <f>IF(AND($N4009=$Q$7,$B4009&lt;'111'!$L$11),"x","")</f>
        <v/>
      </c>
      <c r="S4009" s="75" t="str">
        <f>IF(AND($O4009=$Q$7,$B4009&lt;'111'!$L$11),"x","")</f>
        <v/>
      </c>
      <c r="T4009" s="75" t="str">
        <f>IF(ISERROR(FIND('112'!$M$9,G4009,1)),"",IF((AND(FIND('112'!$M$9,G4009,1)&gt;=1,B4009='112'!$K$9,OR($N4009='112'!$I$6,$O4009='112'!$I$6))),"x",""))</f>
        <v/>
      </c>
      <c r="U4009" s="75" t="str">
        <f>IF(ISERROR(FIND('112'!$M$9,G4009,1)),"",IF((AND(LEFT(G4009,2)=LEFT('112'!$M$9,2),B4009&lt;'112'!$K$9,$N4009='112'!$I$6)),"x",""))</f>
        <v/>
      </c>
      <c r="V4009" s="75" t="str">
        <f>IF(ISERROR(FIND('112'!$M$9,G4009,1)),"",IF((AND(RIGHT(G4009,2)=RIGHT('112'!$M$9,2),B4009&lt;'112'!$K$9,$O4009='112'!$I$6)),"x",""))</f>
        <v/>
      </c>
      <c r="W4009" s="75" t="str">
        <f>IF(AND('341-CT'!$H$9=H4009,OR(LEFT(N4009,3)=$W$7,LEFT(O4009,3)=$W$7)),"x","")</f>
        <v/>
      </c>
      <c r="X4009" s="75" t="str">
        <f>IF(OR(TH!N5140=TH!$X$7,O4009=TH!$X$7),"x","")</f>
        <v/>
      </c>
      <c r="Y4009" s="75" t="str">
        <f>IF(AND(OR(N4009="131",O4009="131"),H4009='131-CT'!$H$9),"x","")</f>
        <v/>
      </c>
      <c r="Z4009" s="75"/>
      <c r="AA4009" s="75" t="str">
        <f>IF(AND(MONTH(E4009)='IN-NX'!$J$5,'IN-NX'!$D$7=D4009),"x","")</f>
        <v/>
      </c>
      <c r="AB4009" s="75" t="str">
        <f>IF(AND(OR(LEFT(TH!N5140,2)="15",LEFT(TH!O5140,2)="15"),LEFT(TH!O5140,3)&lt;&gt;"111",'152-CT'!$J$8=TH!F5140),"x","")</f>
        <v/>
      </c>
      <c r="AC4009" s="75" t="str">
        <f>IF(AND(OR(LEFT(TH!N5140,2)="15",LEFT(TH!O5140,2)="15"),TK!$E$7=TH!F5140),"x","")</f>
        <v/>
      </c>
      <c r="AD4009" s="75" t="str">
        <f>IF(AND(N4009="1521",MONTH(C4009)='BK-NL'!$M$11),"x","")</f>
        <v/>
      </c>
    </row>
    <row r="4010" spans="1:30" ht="18" customHeight="1">
      <c r="A4010" s="309" t="str">
        <f>IF(B4010&lt;&gt;"",IF(AND(B4010='IN-TC'!$S$4,OR(TH!N4008="1111",TH!O4008="1111")),TH!D4008,""),"")</f>
        <v/>
      </c>
      <c r="B4010" s="1241">
        <f t="shared" si="1310"/>
        <v>4</v>
      </c>
      <c r="C4010" s="292">
        <f t="shared" si="1309"/>
        <v>42853</v>
      </c>
      <c r="D4010" s="59" t="s">
        <v>902</v>
      </c>
      <c r="E4010" s="59">
        <v>42853</v>
      </c>
      <c r="F4010" s="131" t="s">
        <v>1087</v>
      </c>
      <c r="G4010" s="62" t="s">
        <v>747</v>
      </c>
      <c r="H4010" s="294" t="s">
        <v>567</v>
      </c>
      <c r="I4010" s="373"/>
      <c r="J4010" s="379"/>
      <c r="K4010" s="373"/>
      <c r="L4010" s="379"/>
      <c r="M4010" s="60">
        <v>50000000</v>
      </c>
      <c r="N4010" s="61" t="s">
        <v>8</v>
      </c>
      <c r="O4010" s="61" t="s">
        <v>26</v>
      </c>
      <c r="P4010" s="75" t="str">
        <f>IF(AND('331-CT'!$E$7=TH!H5141,OR(N4010="331",O4010="331")),"x","")</f>
        <v/>
      </c>
      <c r="Q4010" s="75" t="str">
        <f>IF(AND(B4010='111'!$L$11,OR($N4010=$Q$7,$O4010=$Q$7)),"x","")</f>
        <v/>
      </c>
      <c r="R4010" s="75" t="str">
        <f>IF(AND($N4010=$Q$7,$B4010&lt;'111'!$L$11),"x","")</f>
        <v/>
      </c>
      <c r="S4010" s="75" t="str">
        <f>IF(AND($O4010=$Q$7,$B4010&lt;'111'!$L$11),"x","")</f>
        <v/>
      </c>
      <c r="T4010" s="75" t="str">
        <f>IF(ISERROR(FIND('112'!$M$9,G4010,1)),"",IF((AND(FIND('112'!$M$9,G4010,1)&gt;=1,B4010='112'!$K$9,OR($N4010='112'!$I$6,$O4010='112'!$I$6))),"x",""))</f>
        <v/>
      </c>
      <c r="U4010" s="75" t="str">
        <f>IF(ISERROR(FIND('112'!$M$9,G4010,1)),"",IF((AND(LEFT(G4010,2)=LEFT('112'!$M$9,2),B4010&lt;'112'!$K$9,$N4010='112'!$I$6)),"x",""))</f>
        <v/>
      </c>
      <c r="V4010" s="75" t="str">
        <f>IF(ISERROR(FIND('112'!$M$9,G4010,1)),"",IF((AND(RIGHT(G4010,2)=RIGHT('112'!$M$9,2),B4010&lt;'112'!$K$9,$O4010='112'!$I$6)),"x",""))</f>
        <v/>
      </c>
      <c r="W4010" s="75" t="str">
        <f>IF(AND('341-CT'!$H$9=H4010,OR(LEFT(N4010,3)=$W$7,LEFT(O4010,3)=$W$7)),"x","")</f>
        <v/>
      </c>
      <c r="X4010" s="75" t="str">
        <f>IF(OR(TH!N5141=TH!$X$7,O4010=TH!$X$7),"x","")</f>
        <v/>
      </c>
      <c r="Y4010" s="75" t="str">
        <f>IF(AND(OR(N4010="131",O4010="131"),H4010='131-CT'!$H$9),"x","")</f>
        <v/>
      </c>
      <c r="Z4010" s="75"/>
      <c r="AA4010" s="75" t="str">
        <f>IF(AND(MONTH(E4010)='IN-NX'!$J$5,'IN-NX'!$D$7=D4010),"x","")</f>
        <v/>
      </c>
      <c r="AB4010" s="75" t="str">
        <f>IF(AND(OR(LEFT(TH!N5141,2)="15",LEFT(TH!O5141,2)="15"),LEFT(TH!O5141,3)&lt;&gt;"111",'152-CT'!$J$8=TH!F5141),"x","")</f>
        <v/>
      </c>
      <c r="AC4010" s="75" t="str">
        <f>IF(AND(OR(LEFT(TH!N5141,2)="15",LEFT(TH!O5141,2)="15"),TK!$E$7=TH!F5141),"x","")</f>
        <v/>
      </c>
      <c r="AD4010" s="75" t="str">
        <f>IF(AND(N4010="1521",MONTH(C4010)='BK-NL'!$M$11),"x","")</f>
        <v/>
      </c>
    </row>
    <row r="4011" spans="1:30" ht="18" customHeight="1">
      <c r="A4011" s="309" t="str">
        <f>IF(B4011&lt;&gt;"",IF(AND(B4011='IN-TC'!$S$4,OR(TH!N4009="1111",TH!O4009="1111")),TH!D4009,""),"")</f>
        <v/>
      </c>
      <c r="B4011" s="1241">
        <f t="shared" si="1310"/>
        <v>4</v>
      </c>
      <c r="C4011" s="292">
        <f t="shared" si="1309"/>
        <v>42853</v>
      </c>
      <c r="D4011" s="59" t="s">
        <v>902</v>
      </c>
      <c r="E4011" s="59">
        <v>42853</v>
      </c>
      <c r="F4011" s="131" t="s">
        <v>870</v>
      </c>
      <c r="G4011" s="62" t="s">
        <v>747</v>
      </c>
      <c r="H4011" s="311" t="s">
        <v>835</v>
      </c>
      <c r="I4011" s="373"/>
      <c r="J4011" s="379"/>
      <c r="K4011" s="373"/>
      <c r="L4011" s="379"/>
      <c r="M4011" s="60">
        <v>15000</v>
      </c>
      <c r="N4011" s="61" t="s">
        <v>101</v>
      </c>
      <c r="O4011" s="61" t="s">
        <v>26</v>
      </c>
      <c r="P4011" s="75" t="str">
        <f>IF(AND('331-CT'!$E$7=TH!H5142,OR(N4011="331",O4011="331")),"x","")</f>
        <v/>
      </c>
      <c r="Q4011" s="75" t="str">
        <f>IF(AND(B4011='111'!$L$11,OR($N4011=$Q$7,$O4011=$Q$7)),"x","")</f>
        <v/>
      </c>
      <c r="R4011" s="75" t="str">
        <f>IF(AND($N4011=$Q$7,$B4011&lt;'111'!$L$11),"x","")</f>
        <v/>
      </c>
      <c r="S4011" s="75" t="str">
        <f>IF(AND($O4011=$Q$7,$B4011&lt;'111'!$L$11),"x","")</f>
        <v/>
      </c>
      <c r="T4011" s="75" t="str">
        <f>IF(ISERROR(FIND('112'!$M$9,G4011,1)),"",IF((AND(FIND('112'!$M$9,G4011,1)&gt;=1,B4011='112'!$K$9,OR($N4011='112'!$I$6,$O4011='112'!$I$6))),"x",""))</f>
        <v/>
      </c>
      <c r="U4011" s="75" t="str">
        <f>IF(ISERROR(FIND('112'!$M$9,G4011,1)),"",IF((AND(LEFT(G4011,2)=LEFT('112'!$M$9,2),B4011&lt;'112'!$K$9,$N4011='112'!$I$6)),"x",""))</f>
        <v/>
      </c>
      <c r="V4011" s="75" t="str">
        <f>IF(ISERROR(FIND('112'!$M$9,G4011,1)),"",IF((AND(RIGHT(G4011,2)=RIGHT('112'!$M$9,2),B4011&lt;'112'!$K$9,$O4011='112'!$I$6)),"x",""))</f>
        <v/>
      </c>
      <c r="W4011" s="75" t="str">
        <f>IF(AND('341-CT'!$H$9=H4011,OR(LEFT(N4011,3)=$W$7,LEFT(O4011,3)=$W$7)),"x","")</f>
        <v/>
      </c>
      <c r="X4011" s="75" t="str">
        <f>IF(OR(TH!N5142=TH!$X$7,O4011=TH!$X$7),"x","")</f>
        <v/>
      </c>
      <c r="Y4011" s="75" t="str">
        <f>IF(AND(OR(N4011="131",O4011="131"),H4011='131-CT'!$H$9),"x","")</f>
        <v/>
      </c>
      <c r="Z4011" s="75"/>
      <c r="AA4011" s="75" t="str">
        <f>IF(AND(MONTH(E4011)='IN-NX'!$J$5,'IN-NX'!$D$7=D4011),"x","")</f>
        <v/>
      </c>
      <c r="AB4011" s="75" t="str">
        <f>IF(AND(OR(LEFT(TH!N5142,2)="15",LEFT(TH!O5142,2)="15"),LEFT(TH!O5142,3)&lt;&gt;"111",'152-CT'!$J$8=TH!F5142),"x","")</f>
        <v/>
      </c>
      <c r="AC4011" s="75" t="str">
        <f>IF(AND(OR(LEFT(TH!N5142,2)="15",LEFT(TH!O5142,2)="15"),TK!$E$7=TH!F5142),"x","")</f>
        <v/>
      </c>
      <c r="AD4011" s="75" t="str">
        <f>IF(AND(N4011="1521",MONTH(C4011)='BK-NL'!$M$11),"x","")</f>
        <v/>
      </c>
    </row>
    <row r="4012" spans="1:30" ht="16.5" customHeight="1">
      <c r="A4012" s="309" t="str">
        <f>IF(B4012&lt;&gt;"",IF(AND(B4012='IN-TC'!$S$4,OR(TH!N4010="1111",TH!O4010="1111")),TH!D4010,""),"")</f>
        <v/>
      </c>
      <c r="B4012" s="1241">
        <f t="shared" si="1310"/>
        <v>4</v>
      </c>
      <c r="C4012" s="292">
        <f t="shared" si="1309"/>
        <v>42853</v>
      </c>
      <c r="D4012" s="59" t="s">
        <v>902</v>
      </c>
      <c r="E4012" s="59">
        <v>42853</v>
      </c>
      <c r="F4012" s="131" t="s">
        <v>898</v>
      </c>
      <c r="G4012" s="62" t="s">
        <v>747</v>
      </c>
      <c r="H4012" s="311" t="s">
        <v>835</v>
      </c>
      <c r="I4012" s="373"/>
      <c r="J4012" s="379"/>
      <c r="K4012" s="373"/>
      <c r="L4012" s="379"/>
      <c r="M4012" s="60">
        <v>1500</v>
      </c>
      <c r="N4012" s="61" t="s">
        <v>9</v>
      </c>
      <c r="O4012" s="61" t="s">
        <v>26</v>
      </c>
      <c r="P4012" s="75" t="str">
        <f>IF(AND('331-CT'!$E$7=TH!H5143,OR(N4012="331",O4012="331")),"x","")</f>
        <v/>
      </c>
      <c r="Q4012" s="75" t="str">
        <f>IF(AND(B4012='111'!$L$11,OR($N4012=$Q$7,$O4012=$Q$7)),"x","")</f>
        <v/>
      </c>
      <c r="R4012" s="75" t="str">
        <f>IF(AND($N4012=$Q$7,$B4012&lt;'111'!$L$11),"x","")</f>
        <v/>
      </c>
      <c r="S4012" s="75" t="str">
        <f>IF(AND($O4012=$Q$7,$B4012&lt;'111'!$L$11),"x","")</f>
        <v/>
      </c>
      <c r="T4012" s="75" t="str">
        <f>IF(ISERROR(FIND('112'!$M$9,G4012,1)),"",IF((AND(FIND('112'!$M$9,G4012,1)&gt;=1,B4012='112'!$K$9,OR($N4012='112'!$I$6,$O4012='112'!$I$6))),"x",""))</f>
        <v/>
      </c>
      <c r="U4012" s="75" t="str">
        <f>IF(ISERROR(FIND('112'!$M$9,G4012,1)),"",IF((AND(LEFT(G4012,2)=LEFT('112'!$M$9,2),B4012&lt;'112'!$K$9,$N4012='112'!$I$6)),"x",""))</f>
        <v/>
      </c>
      <c r="V4012" s="75" t="str">
        <f>IF(ISERROR(FIND('112'!$M$9,G4012,1)),"",IF((AND(RIGHT(G4012,2)=RIGHT('112'!$M$9,2),B4012&lt;'112'!$K$9,$O4012='112'!$I$6)),"x",""))</f>
        <v/>
      </c>
      <c r="W4012" s="75" t="str">
        <f>IF(AND('341-CT'!$H$9=H4012,OR(LEFT(N4012,3)=$W$7,LEFT(O4012,3)=$W$7)),"x","")</f>
        <v/>
      </c>
      <c r="X4012" s="75" t="str">
        <f>IF(OR(TH!N5143=TH!$X$7,O4012=TH!$X$7),"x","")</f>
        <v/>
      </c>
      <c r="Y4012" s="75" t="str">
        <f>IF(AND(OR(N4012="131",O4012="131"),H4012='131-CT'!$H$9),"x","")</f>
        <v/>
      </c>
      <c r="Z4012" s="75"/>
      <c r="AA4012" s="75" t="str">
        <f>IF(AND(MONTH(E4012)='IN-NX'!$J$5,'IN-NX'!$D$7=D4012),"x","")</f>
        <v/>
      </c>
      <c r="AB4012" s="75" t="str">
        <f>IF(AND(OR(LEFT(TH!N5143,2)="15",LEFT(TH!O5143,2)="15"),LEFT(TH!O5143,3)&lt;&gt;"111",'152-CT'!$J$8=TH!F5143),"x","")</f>
        <v/>
      </c>
      <c r="AC4012" s="75" t="str">
        <f>IF(AND(OR(LEFT(TH!N5143,2)="15",LEFT(TH!O5143,2)="15"),TK!$E$7=TH!F5143),"x","")</f>
        <v/>
      </c>
      <c r="AD4012" s="75" t="str">
        <f>IF(AND(N4012="1521",MONTH(C4012)='BK-NL'!$M$11),"x","")</f>
        <v/>
      </c>
    </row>
    <row r="4013" spans="1:30" ht="16.5" customHeight="1">
      <c r="A4013" s="309" t="str">
        <f>IF(B4013&lt;&gt;"",IF(AND(B4013='IN-TC'!$S$4,OR(TH!N4011="1111",TH!O4011="1111")),TH!D4011,""),"")</f>
        <v/>
      </c>
      <c r="B4013" s="1241">
        <f t="shared" si="1310"/>
        <v>4</v>
      </c>
      <c r="C4013" s="292">
        <f t="shared" si="1309"/>
        <v>42853</v>
      </c>
      <c r="D4013" s="59" t="s">
        <v>902</v>
      </c>
      <c r="E4013" s="59">
        <v>42853</v>
      </c>
      <c r="F4013" s="131" t="s">
        <v>1313</v>
      </c>
      <c r="G4013" s="62" t="s">
        <v>747</v>
      </c>
      <c r="H4013" s="311" t="s">
        <v>561</v>
      </c>
      <c r="I4013" s="373"/>
      <c r="J4013" s="379"/>
      <c r="K4013" s="373"/>
      <c r="L4013" s="379"/>
      <c r="M4013" s="60">
        <v>2050000</v>
      </c>
      <c r="N4013" s="61" t="s">
        <v>8</v>
      </c>
      <c r="O4013" s="61" t="s">
        <v>26</v>
      </c>
      <c r="P4013" s="75" t="str">
        <f>IF(AND('331-CT'!$E$7=TH!H5144,OR(N4013="331",O4013="331")),"x","")</f>
        <v/>
      </c>
      <c r="Q4013" s="75" t="str">
        <f>IF(AND(B4013='111'!$L$11,OR($N4013=$Q$7,$O4013=$Q$7)),"x","")</f>
        <v/>
      </c>
      <c r="R4013" s="75" t="str">
        <f>IF(AND($N4013=$Q$7,$B4013&lt;'111'!$L$11),"x","")</f>
        <v/>
      </c>
      <c r="S4013" s="75" t="str">
        <f>IF(AND($O4013=$Q$7,$B4013&lt;'111'!$L$11),"x","")</f>
        <v/>
      </c>
      <c r="T4013" s="75" t="str">
        <f>IF(ISERROR(FIND('112'!$M$9,G4013,1)),"",IF((AND(FIND('112'!$M$9,G4013,1)&gt;=1,B4013='112'!$K$9,OR($N4013='112'!$I$6,$O4013='112'!$I$6))),"x",""))</f>
        <v/>
      </c>
      <c r="U4013" s="75" t="str">
        <f>IF(ISERROR(FIND('112'!$M$9,G4013,1)),"",IF((AND(LEFT(G4013,2)=LEFT('112'!$M$9,2),B4013&lt;'112'!$K$9,$N4013='112'!$I$6)),"x",""))</f>
        <v/>
      </c>
      <c r="V4013" s="75" t="str">
        <f>IF(ISERROR(FIND('112'!$M$9,G4013,1)),"",IF((AND(RIGHT(G4013,2)=RIGHT('112'!$M$9,2),B4013&lt;'112'!$K$9,$O4013='112'!$I$6)),"x",""))</f>
        <v/>
      </c>
      <c r="W4013" s="75" t="str">
        <f>IF(AND('341-CT'!$H$9=H4013,OR(LEFT(N4013,3)=$W$7,LEFT(O4013,3)=$W$7)),"x","")</f>
        <v/>
      </c>
      <c r="X4013" s="75" t="str">
        <f>IF(OR(TH!N5144=TH!$X$7,O4013=TH!$X$7),"x","")</f>
        <v/>
      </c>
      <c r="Y4013" s="75" t="str">
        <f>IF(AND(OR(N4013="131",O4013="131"),H4013='131-CT'!$H$9),"x","")</f>
        <v/>
      </c>
      <c r="Z4013" s="75"/>
      <c r="AA4013" s="75" t="str">
        <f>IF(AND(MONTH(E4013)='IN-NX'!$J$5,'IN-NX'!$D$7=D4013),"x","")</f>
        <v/>
      </c>
      <c r="AB4013" s="75" t="str">
        <f>IF(AND(OR(LEFT(TH!N5144,2)="15",LEFT(TH!O5144,2)="15"),LEFT(TH!O5144,3)&lt;&gt;"111",'152-CT'!$J$8=TH!F5144),"x","")</f>
        <v/>
      </c>
      <c r="AC4013" s="75" t="str">
        <f>IF(AND(OR(LEFT(TH!N5144,2)="15",LEFT(TH!O5144,2)="15"),TK!$E$7=TH!F5144),"x","")</f>
        <v/>
      </c>
      <c r="AD4013" s="75" t="str">
        <f>IF(AND(N4013="1521",MONTH(C4013)='BK-NL'!$M$11),"x","")</f>
        <v/>
      </c>
    </row>
    <row r="4014" spans="1:30" ht="16.5" customHeight="1">
      <c r="A4014" s="309" t="str">
        <f>IF(B4014&lt;&gt;"",IF(AND(B4014='IN-TC'!$S$4,OR(TH!N4012="1111",TH!O4012="1111")),TH!D4012,""),"")</f>
        <v/>
      </c>
      <c r="B4014" s="1241">
        <f t="shared" si="1310"/>
        <v>4</v>
      </c>
      <c r="C4014" s="292">
        <f t="shared" si="1309"/>
        <v>42853</v>
      </c>
      <c r="D4014" s="59" t="s">
        <v>902</v>
      </c>
      <c r="E4014" s="59">
        <v>42853</v>
      </c>
      <c r="F4014" s="131" t="s">
        <v>870</v>
      </c>
      <c r="G4014" s="62" t="s">
        <v>747</v>
      </c>
      <c r="H4014" s="311" t="s">
        <v>835</v>
      </c>
      <c r="I4014" s="373"/>
      <c r="J4014" s="379"/>
      <c r="K4014" s="373"/>
      <c r="L4014" s="379"/>
      <c r="M4014" s="60">
        <v>10000</v>
      </c>
      <c r="N4014" s="61" t="s">
        <v>101</v>
      </c>
      <c r="O4014" s="61" t="s">
        <v>26</v>
      </c>
      <c r="P4014" s="75" t="str">
        <f>IF(AND('331-CT'!$E$7=TH!H5145,OR(N4014="331",O4014="331")),"x","")</f>
        <v/>
      </c>
      <c r="Q4014" s="75" t="str">
        <f>IF(AND(B4014='111'!$L$11,OR($N4014=$Q$7,$O4014=$Q$7)),"x","")</f>
        <v/>
      </c>
      <c r="R4014" s="75" t="str">
        <f>IF(AND($N4014=$Q$7,$B4014&lt;'111'!$L$11),"x","")</f>
        <v/>
      </c>
      <c r="S4014" s="75" t="str">
        <f>IF(AND($O4014=$Q$7,$B4014&lt;'111'!$L$11),"x","")</f>
        <v/>
      </c>
      <c r="T4014" s="75" t="str">
        <f>IF(ISERROR(FIND('112'!$M$9,G4014,1)),"",IF((AND(FIND('112'!$M$9,G4014,1)&gt;=1,B4014='112'!$K$9,OR($N4014='112'!$I$6,$O4014='112'!$I$6))),"x",""))</f>
        <v/>
      </c>
      <c r="U4014" s="75" t="str">
        <f>IF(ISERROR(FIND('112'!$M$9,G4014,1)),"",IF((AND(LEFT(G4014,2)=LEFT('112'!$M$9,2),B4014&lt;'112'!$K$9,$N4014='112'!$I$6)),"x",""))</f>
        <v/>
      </c>
      <c r="V4014" s="75" t="str">
        <f>IF(ISERROR(FIND('112'!$M$9,G4014,1)),"",IF((AND(RIGHT(G4014,2)=RIGHT('112'!$M$9,2),B4014&lt;'112'!$K$9,$O4014='112'!$I$6)),"x",""))</f>
        <v/>
      </c>
      <c r="W4014" s="75" t="str">
        <f>IF(AND('341-CT'!$H$9=H4014,OR(LEFT(N4014,3)=$W$7,LEFT(O4014,3)=$W$7)),"x","")</f>
        <v/>
      </c>
      <c r="X4014" s="75" t="str">
        <f>IF(OR(TH!N5145=TH!$X$7,O4014=TH!$X$7),"x","")</f>
        <v/>
      </c>
      <c r="Y4014" s="75" t="str">
        <f>IF(AND(OR(N4014="131",O4014="131"),H4014='131-CT'!$H$9),"x","")</f>
        <v/>
      </c>
      <c r="Z4014" s="75"/>
      <c r="AA4014" s="75" t="str">
        <f>IF(AND(MONTH(E4014)='IN-NX'!$J$5,'IN-NX'!$D$7=D4014),"x","")</f>
        <v/>
      </c>
      <c r="AB4014" s="75" t="str">
        <f>IF(AND(OR(LEFT(TH!N5145,2)="15",LEFT(TH!O5145,2)="15"),LEFT(TH!O5145,3)&lt;&gt;"111",'152-CT'!$J$8=TH!F5145),"x","")</f>
        <v/>
      </c>
      <c r="AC4014" s="75" t="str">
        <f>IF(AND(OR(LEFT(TH!N5145,2)="15",LEFT(TH!O5145,2)="15"),TK!$E$7=TH!F5145),"x","")</f>
        <v/>
      </c>
      <c r="AD4014" s="75" t="str">
        <f>IF(AND(N4014="1521",MONTH(C4014)='BK-NL'!$M$11),"x","")</f>
        <v/>
      </c>
    </row>
    <row r="4015" spans="1:30" ht="16.5" customHeight="1">
      <c r="A4015" s="309" t="str">
        <f>IF(B4015&lt;&gt;"",IF(AND(B4015='IN-TC'!$S$4,OR(TH!N4013="1111",TH!O4013="1111")),TH!D4013,""),"")</f>
        <v/>
      </c>
      <c r="B4015" s="1241">
        <f t="shared" si="1310"/>
        <v>4</v>
      </c>
      <c r="C4015" s="292">
        <f t="shared" si="1309"/>
        <v>42853</v>
      </c>
      <c r="D4015" s="59" t="s">
        <v>902</v>
      </c>
      <c r="E4015" s="59">
        <v>42853</v>
      </c>
      <c r="F4015" s="131" t="s">
        <v>898</v>
      </c>
      <c r="G4015" s="62" t="s">
        <v>747</v>
      </c>
      <c r="H4015" s="311" t="s">
        <v>835</v>
      </c>
      <c r="I4015" s="373"/>
      <c r="J4015" s="379"/>
      <c r="K4015" s="373"/>
      <c r="L4015" s="379"/>
      <c r="M4015" s="60">
        <v>1000</v>
      </c>
      <c r="N4015" s="61" t="s">
        <v>9</v>
      </c>
      <c r="O4015" s="61" t="s">
        <v>26</v>
      </c>
      <c r="P4015" s="75" t="str">
        <f>IF(AND('331-CT'!$E$7=TH!H5146,OR(N4015="331",O4015="331")),"x","")</f>
        <v/>
      </c>
      <c r="Q4015" s="75" t="str">
        <f>IF(AND(B4015='111'!$L$11,OR($N4015=$Q$7,$O4015=$Q$7)),"x","")</f>
        <v/>
      </c>
      <c r="R4015" s="75" t="str">
        <f>IF(AND($N4015=$Q$7,$B4015&lt;'111'!$L$11),"x","")</f>
        <v/>
      </c>
      <c r="S4015" s="75" t="str">
        <f>IF(AND($O4015=$Q$7,$B4015&lt;'111'!$L$11),"x","")</f>
        <v/>
      </c>
      <c r="T4015" s="75" t="str">
        <f>IF(ISERROR(FIND('112'!$M$9,G4015,1)),"",IF((AND(FIND('112'!$M$9,G4015,1)&gt;=1,B4015='112'!$K$9,OR($N4015='112'!$I$6,$O4015='112'!$I$6))),"x",""))</f>
        <v/>
      </c>
      <c r="U4015" s="75" t="str">
        <f>IF(ISERROR(FIND('112'!$M$9,G4015,1)),"",IF((AND(LEFT(G4015,2)=LEFT('112'!$M$9,2),B4015&lt;'112'!$K$9,$N4015='112'!$I$6)),"x",""))</f>
        <v/>
      </c>
      <c r="V4015" s="75" t="str">
        <f>IF(ISERROR(FIND('112'!$M$9,G4015,1)),"",IF((AND(RIGHT(G4015,2)=RIGHT('112'!$M$9,2),B4015&lt;'112'!$K$9,$O4015='112'!$I$6)),"x",""))</f>
        <v/>
      </c>
      <c r="W4015" s="75" t="str">
        <f>IF(AND('341-CT'!$H$9=H4015,OR(LEFT(N4015,3)=$W$7,LEFT(O4015,3)=$W$7)),"x","")</f>
        <v/>
      </c>
      <c r="X4015" s="75" t="str">
        <f>IF(OR(TH!N5146=TH!$X$7,O4015=TH!$X$7),"x","")</f>
        <v/>
      </c>
      <c r="Y4015" s="75" t="str">
        <f>IF(AND(OR(N4015="131",O4015="131"),H4015='131-CT'!$H$9),"x","")</f>
        <v/>
      </c>
      <c r="Z4015" s="75"/>
      <c r="AA4015" s="75" t="str">
        <f>IF(AND(MONTH(E4015)='IN-NX'!$J$5,'IN-NX'!$D$7=D4015),"x","")</f>
        <v/>
      </c>
      <c r="AB4015" s="75" t="str">
        <f>IF(AND(OR(LEFT(TH!N5146,2)="15",LEFT(TH!O5146,2)="15"),LEFT(TH!O5146,3)&lt;&gt;"111",'152-CT'!$J$8=TH!F5146),"x","")</f>
        <v/>
      </c>
      <c r="AC4015" s="75" t="str">
        <f>IF(AND(OR(LEFT(TH!N5146,2)="15",LEFT(TH!O5146,2)="15"),TK!$E$7=TH!F5146),"x","")</f>
        <v/>
      </c>
      <c r="AD4015" s="75" t="str">
        <f>IF(AND(N4015="1521",MONTH(C4015)='BK-NL'!$M$11),"x","")</f>
        <v/>
      </c>
    </row>
    <row r="4016" spans="1:30" ht="18" customHeight="1">
      <c r="A4016" s="309" t="str">
        <f>IF(B4016&lt;&gt;"",IF(AND(B4016='IN-TC'!$S$4,OR(TH!N4014="1111",TH!O4014="1111")),TH!D4014,""),"")</f>
        <v/>
      </c>
      <c r="B4016" s="1241">
        <f t="shared" si="1310"/>
        <v>4</v>
      </c>
      <c r="C4016" s="292">
        <f t="shared" si="1309"/>
        <v>42853</v>
      </c>
      <c r="D4016" s="59" t="s">
        <v>902</v>
      </c>
      <c r="E4016" s="59">
        <v>42853</v>
      </c>
      <c r="F4016" s="131" t="s">
        <v>1317</v>
      </c>
      <c r="G4016" s="62" t="s">
        <v>747</v>
      </c>
      <c r="H4016" s="311" t="s">
        <v>561</v>
      </c>
      <c r="I4016" s="373"/>
      <c r="J4016" s="379"/>
      <c r="K4016" s="373"/>
      <c r="L4016" s="379"/>
      <c r="M4016" s="60">
        <v>1500000</v>
      </c>
      <c r="N4016" s="61" t="s">
        <v>539</v>
      </c>
      <c r="O4016" s="61" t="s">
        <v>26</v>
      </c>
      <c r="P4016" s="75" t="str">
        <f>IF(AND('331-CT'!$E$7=TH!H5147,OR(N4016="331",O4016="331")),"x","")</f>
        <v/>
      </c>
      <c r="Q4016" s="75" t="str">
        <f>IF(AND(B4016='111'!$L$11,OR($N4016=$Q$7,$O4016=$Q$7)),"x","")</f>
        <v/>
      </c>
      <c r="R4016" s="75" t="str">
        <f>IF(AND($N4016=$Q$7,$B4016&lt;'111'!$L$11),"x","")</f>
        <v/>
      </c>
      <c r="S4016" s="75" t="str">
        <f>IF(AND($O4016=$Q$7,$B4016&lt;'111'!$L$11),"x","")</f>
        <v/>
      </c>
      <c r="T4016" s="75" t="str">
        <f>IF(ISERROR(FIND('112'!$M$9,G4016,1)),"",IF((AND(FIND('112'!$M$9,G4016,1)&gt;=1,B4016='112'!$K$9,OR($N4016='112'!$I$6,$O4016='112'!$I$6))),"x",""))</f>
        <v/>
      </c>
      <c r="U4016" s="75" t="str">
        <f>IF(ISERROR(FIND('112'!$M$9,G4016,1)),"",IF((AND(LEFT(G4016,2)=LEFT('112'!$M$9,2),B4016&lt;'112'!$K$9,$N4016='112'!$I$6)),"x",""))</f>
        <v/>
      </c>
      <c r="V4016" s="75" t="str">
        <f>IF(ISERROR(FIND('112'!$M$9,G4016,1)),"",IF((AND(RIGHT(G4016,2)=RIGHT('112'!$M$9,2),B4016&lt;'112'!$K$9,$O4016='112'!$I$6)),"x",""))</f>
        <v/>
      </c>
      <c r="W4016" s="75" t="str">
        <f>IF(AND('341-CT'!$H$9=H4016,OR(LEFT(N4016,3)=$W$7,LEFT(O4016,3)=$W$7)),"x","")</f>
        <v/>
      </c>
      <c r="X4016" s="75" t="str">
        <f>IF(OR(TH!N5147=TH!$X$7,O4016=TH!$X$7),"x","")</f>
        <v/>
      </c>
      <c r="Y4016" s="75" t="str">
        <f>IF(AND(OR(N4016="131",O4016="131"),H4016='131-CT'!$H$9),"x","")</f>
        <v/>
      </c>
      <c r="Z4016" s="75"/>
      <c r="AA4016" s="75" t="str">
        <f>IF(AND(MONTH(E4016)='IN-NX'!$J$5,'IN-NX'!$D$7=D4016),"x","")</f>
        <v/>
      </c>
      <c r="AB4016" s="75" t="str">
        <f>IF(AND(OR(LEFT(TH!N5147,2)="15",LEFT(TH!O5147,2)="15"),LEFT(TH!O5147,3)&lt;&gt;"111",'152-CT'!$J$8=TH!F5147),"x","")</f>
        <v/>
      </c>
      <c r="AC4016" s="75" t="str">
        <f>IF(AND(OR(LEFT(TH!N5147,2)="15",LEFT(TH!O5147,2)="15"),TK!$E$7=TH!F5147),"x","")</f>
        <v/>
      </c>
      <c r="AD4016" s="75" t="str">
        <f>IF(AND(N4016="1521",MONTH(C4016)='BK-NL'!$M$11),"x","")</f>
        <v/>
      </c>
    </row>
    <row r="4017" spans="1:33" ht="18" customHeight="1">
      <c r="A4017" s="309" t="str">
        <f>IF(B4017&lt;&gt;"",IF(AND(B4017='IN-TC'!$S$4,OR(TH!N4015="1111",TH!O4015="1111")),TH!D4015,""),"")</f>
        <v/>
      </c>
      <c r="B4017" s="1241">
        <f t="shared" si="1310"/>
        <v>4</v>
      </c>
      <c r="C4017" s="292">
        <f t="shared" si="1309"/>
        <v>42853</v>
      </c>
      <c r="D4017" s="59" t="s">
        <v>902</v>
      </c>
      <c r="E4017" s="59">
        <v>42853</v>
      </c>
      <c r="F4017" s="131" t="s">
        <v>870</v>
      </c>
      <c r="G4017" s="62" t="s">
        <v>747</v>
      </c>
      <c r="H4017" s="311" t="s">
        <v>835</v>
      </c>
      <c r="I4017" s="373"/>
      <c r="J4017" s="379"/>
      <c r="K4017" s="373"/>
      <c r="L4017" s="379"/>
      <c r="M4017" s="60">
        <v>10000</v>
      </c>
      <c r="N4017" s="61" t="s">
        <v>101</v>
      </c>
      <c r="O4017" s="61" t="s">
        <v>26</v>
      </c>
      <c r="P4017" s="75" t="str">
        <f>IF(AND('331-CT'!$E$7=TH!H5138,OR(N4017="331",O4017="331")),"x","")</f>
        <v/>
      </c>
      <c r="Q4017" s="75" t="str">
        <f>IF(AND(B4017='111'!$L$11,OR($N4017=$Q$7,$O4017=$Q$7)),"x","")</f>
        <v/>
      </c>
      <c r="R4017" s="75" t="str">
        <f>IF(AND($N4017=$Q$7,$B4017&lt;'111'!$L$11),"x","")</f>
        <v/>
      </c>
      <c r="S4017" s="75" t="str">
        <f>IF(AND($O4017=$Q$7,$B4017&lt;'111'!$L$11),"x","")</f>
        <v/>
      </c>
      <c r="T4017" s="75" t="str">
        <f>IF(ISERROR(FIND('112'!$M$9,G4017,1)),"",IF((AND(FIND('112'!$M$9,G4017,1)&gt;=1,B4017='112'!$K$9,OR($N4017='112'!$I$6,$O4017='112'!$I$6))),"x",""))</f>
        <v/>
      </c>
      <c r="U4017" s="75" t="str">
        <f>IF(ISERROR(FIND('112'!$M$9,G4017,1)),"",IF((AND(LEFT(G4017,2)=LEFT('112'!$M$9,2),B4017&lt;'112'!$K$9,$N4017='112'!$I$6)),"x",""))</f>
        <v/>
      </c>
      <c r="V4017" s="75" t="str">
        <f>IF(ISERROR(FIND('112'!$M$9,G4017,1)),"",IF((AND(RIGHT(G4017,2)=RIGHT('112'!$M$9,2),B4017&lt;'112'!$K$9,$O4017='112'!$I$6)),"x",""))</f>
        <v/>
      </c>
      <c r="W4017" s="75" t="str">
        <f>IF(AND('341-CT'!$H$9=H4017,OR(LEFT(N4017,3)=$W$7,LEFT(O4017,3)=$W$7)),"x","")</f>
        <v/>
      </c>
      <c r="X4017" s="75" t="str">
        <f>IF(OR(TH!N5138=TH!$X$7,O4017=TH!$X$7),"x","")</f>
        <v/>
      </c>
      <c r="Y4017" s="75" t="str">
        <f>IF(AND(OR(N4017="131",O4017="131"),H4017='131-CT'!$H$9),"x","")</f>
        <v/>
      </c>
      <c r="Z4017" s="75"/>
      <c r="AA4017" s="75" t="str">
        <f>IF(AND(MONTH(E4017)='IN-NX'!$J$5,'IN-NX'!$D$7=D4017),"x","")</f>
        <v/>
      </c>
      <c r="AB4017" s="75" t="str">
        <f>IF(AND(OR(LEFT(TH!N5138,2)="15",LEFT(TH!O5138,2)="15"),LEFT(TH!O5138,3)&lt;&gt;"111",'152-CT'!$J$8=TH!F5138),"x","")</f>
        <v/>
      </c>
      <c r="AC4017" s="75" t="str">
        <f>IF(AND(OR(LEFT(TH!N5138,2)="15",LEFT(TH!O5138,2)="15"),TK!$E$7=TH!F5138),"x","")</f>
        <v/>
      </c>
      <c r="AD4017" s="75" t="str">
        <f>IF(AND(N4017="1521",MONTH(C4017)='BK-NL'!$M$11),"x","")</f>
        <v/>
      </c>
    </row>
    <row r="4018" spans="1:33" ht="18" customHeight="1">
      <c r="A4018" s="309" t="str">
        <f>IF(B4018&lt;&gt;"",IF(AND(B4018='IN-TC'!$S$4,OR(TH!N4016="1111",TH!O4016="1111")),TH!D4016,""),"")</f>
        <v/>
      </c>
      <c r="B4018" s="1241">
        <f t="shared" si="1310"/>
        <v>4</v>
      </c>
      <c r="C4018" s="292">
        <f t="shared" si="1309"/>
        <v>42853</v>
      </c>
      <c r="D4018" s="59" t="s">
        <v>902</v>
      </c>
      <c r="E4018" s="59">
        <v>42853</v>
      </c>
      <c r="F4018" s="131" t="s">
        <v>898</v>
      </c>
      <c r="G4018" s="62" t="s">
        <v>747</v>
      </c>
      <c r="H4018" s="311" t="s">
        <v>835</v>
      </c>
      <c r="I4018" s="373"/>
      <c r="J4018" s="379"/>
      <c r="K4018" s="373"/>
      <c r="L4018" s="379"/>
      <c r="M4018" s="60">
        <v>1000</v>
      </c>
      <c r="N4018" s="61" t="s">
        <v>9</v>
      </c>
      <c r="O4018" s="61" t="s">
        <v>26</v>
      </c>
      <c r="P4018" s="75" t="str">
        <f>IF(AND('331-CT'!$E$7=TH!H5148,OR(N4018="331",O4018="331")),"x","")</f>
        <v/>
      </c>
      <c r="Q4018" s="75" t="str">
        <f>IF(AND(B4018='111'!$L$11,OR($N4018=$Q$7,$O4018=$Q$7)),"x","")</f>
        <v/>
      </c>
      <c r="R4018" s="75" t="str">
        <f>IF(AND($N4018=$Q$7,$B4018&lt;'111'!$L$11),"x","")</f>
        <v/>
      </c>
      <c r="S4018" s="75" t="str">
        <f>IF(AND($O4018=$Q$7,$B4018&lt;'111'!$L$11),"x","")</f>
        <v/>
      </c>
      <c r="T4018" s="75" t="str">
        <f>IF(ISERROR(FIND('112'!$M$9,G4018,1)),"",IF((AND(FIND('112'!$M$9,G4018,1)&gt;=1,B4018='112'!$K$9,OR($N4018='112'!$I$6,$O4018='112'!$I$6))),"x",""))</f>
        <v/>
      </c>
      <c r="U4018" s="75" t="str">
        <f>IF(ISERROR(FIND('112'!$M$9,G4018,1)),"",IF((AND(LEFT(G4018,2)=LEFT('112'!$M$9,2),B4018&lt;'112'!$K$9,$N4018='112'!$I$6)),"x",""))</f>
        <v/>
      </c>
      <c r="V4018" s="75" t="str">
        <f>IF(ISERROR(FIND('112'!$M$9,G4018,1)),"",IF((AND(RIGHT(G4018,2)=RIGHT('112'!$M$9,2),B4018&lt;'112'!$K$9,$O4018='112'!$I$6)),"x",""))</f>
        <v/>
      </c>
      <c r="W4018" s="75" t="str">
        <f>IF(AND('341-CT'!$H$9=H4018,OR(LEFT(N4018,3)=$W$7,LEFT(O4018,3)=$W$7)),"x","")</f>
        <v/>
      </c>
      <c r="X4018" s="75" t="str">
        <f>IF(OR(TH!N5148=TH!$X$7,O4018=TH!$X$7),"x","")</f>
        <v/>
      </c>
      <c r="Y4018" s="75" t="str">
        <f>IF(AND(OR(N4018="131",O4018="131"),H4018='131-CT'!$H$9),"x","")</f>
        <v/>
      </c>
      <c r="Z4018" s="75"/>
      <c r="AA4018" s="75" t="str">
        <f>IF(AND(MONTH(E4018)='IN-NX'!$J$5,'IN-NX'!$D$7=D4018),"x","")</f>
        <v/>
      </c>
      <c r="AB4018" s="75" t="str">
        <f>IF(AND(OR(LEFT(TH!N5148,2)="15",LEFT(TH!O5148,2)="15"),LEFT(TH!O5148,3)&lt;&gt;"111",'152-CT'!$J$8=TH!F5148),"x","")</f>
        <v/>
      </c>
      <c r="AC4018" s="75" t="str">
        <f>IF(AND(OR(LEFT(TH!N5148,2)="15",LEFT(TH!O5148,2)="15"),TK!$E$7=TH!F5148),"x","")</f>
        <v/>
      </c>
      <c r="AD4018" s="75" t="str">
        <f>IF(AND(N4018="1521",MONTH(C4018)='BK-NL'!$M$11),"x","")</f>
        <v/>
      </c>
    </row>
    <row r="4019" spans="1:33" ht="18" customHeight="1">
      <c r="A4019" s="309" t="str">
        <f>IF(B4019&lt;&gt;"",IF(AND(B4019='IN-TC'!$S$4,OR(TH!N4017="1111",TH!O4017="1111")),TH!D4017,""),"")</f>
        <v/>
      </c>
      <c r="B4019" s="1241">
        <f t="shared" si="1310"/>
        <v>4</v>
      </c>
      <c r="C4019" s="292">
        <f t="shared" ref="C4019:C4082" si="1311">E4019</f>
        <v>42853</v>
      </c>
      <c r="D4019" s="59" t="s">
        <v>902</v>
      </c>
      <c r="E4019" s="59">
        <v>42853</v>
      </c>
      <c r="F4019" s="131" t="s">
        <v>1313</v>
      </c>
      <c r="G4019" s="62" t="s">
        <v>747</v>
      </c>
      <c r="H4019" s="311" t="s">
        <v>561</v>
      </c>
      <c r="I4019" s="373"/>
      <c r="J4019" s="379"/>
      <c r="K4019" s="373"/>
      <c r="L4019" s="379"/>
      <c r="M4019" s="60">
        <v>8090000</v>
      </c>
      <c r="N4019" s="61" t="s">
        <v>8</v>
      </c>
      <c r="O4019" s="61" t="s">
        <v>26</v>
      </c>
      <c r="P4019" s="75" t="str">
        <f>IF(AND('331-CT'!$E$7=TH!H5149,OR(N4019="331",O4019="331")),"x","")</f>
        <v/>
      </c>
      <c r="Q4019" s="75" t="str">
        <f>IF(AND(B4019='111'!$L$11,OR($N4019=$Q$7,$O4019=$Q$7)),"x","")</f>
        <v/>
      </c>
      <c r="R4019" s="75" t="str">
        <f>IF(AND($N4019=$Q$7,$B4019&lt;'111'!$L$11),"x","")</f>
        <v/>
      </c>
      <c r="S4019" s="75" t="str">
        <f>IF(AND($O4019=$Q$7,$B4019&lt;'111'!$L$11),"x","")</f>
        <v/>
      </c>
      <c r="T4019" s="75" t="str">
        <f>IF(ISERROR(FIND('112'!$M$9,G4019,1)),"",IF((AND(FIND('112'!$M$9,G4019,1)&gt;=1,B4019='112'!$K$9,OR($N4019='112'!$I$6,$O4019='112'!$I$6))),"x",""))</f>
        <v/>
      </c>
      <c r="U4019" s="75" t="str">
        <f>IF(ISERROR(FIND('112'!$M$9,G4019,1)),"",IF((AND(LEFT(G4019,2)=LEFT('112'!$M$9,2),B4019&lt;'112'!$K$9,$N4019='112'!$I$6)),"x",""))</f>
        <v/>
      </c>
      <c r="V4019" s="75" t="str">
        <f>IF(ISERROR(FIND('112'!$M$9,G4019,1)),"",IF((AND(RIGHT(G4019,2)=RIGHT('112'!$M$9,2),B4019&lt;'112'!$K$9,$O4019='112'!$I$6)),"x",""))</f>
        <v/>
      </c>
      <c r="W4019" s="75" t="str">
        <f>IF(AND('341-CT'!$H$9=H4019,OR(LEFT(N4019,3)=$W$7,LEFT(O4019,3)=$W$7)),"x","")</f>
        <v/>
      </c>
      <c r="X4019" s="75" t="str">
        <f>IF(OR(TH!N5149=TH!$X$7,O4019=TH!$X$7),"x","")</f>
        <v/>
      </c>
      <c r="Y4019" s="75" t="str">
        <f>IF(AND(OR(N4019="131",O4019="131"),H4019='131-CT'!$H$9),"x","")</f>
        <v/>
      </c>
      <c r="Z4019" s="75"/>
      <c r="AA4019" s="75" t="str">
        <f>IF(AND(MONTH(E4019)='IN-NX'!$J$5,'IN-NX'!$D$7=D4019),"x","")</f>
        <v/>
      </c>
      <c r="AB4019" s="75" t="str">
        <f>IF(AND(OR(LEFT(TH!N5149,2)="15",LEFT(TH!O5149,2)="15"),LEFT(TH!O5149,3)&lt;&gt;"111",'152-CT'!$J$8=TH!F5149),"x","")</f>
        <v/>
      </c>
      <c r="AC4019" s="75" t="str">
        <f>IF(AND(OR(LEFT(TH!N5149,2)="15",LEFT(TH!O5149,2)="15"),TK!$E$7=TH!F5149),"x","")</f>
        <v/>
      </c>
      <c r="AD4019" s="75" t="str">
        <f>IF(AND(N4019="1521",MONTH(C4019)='BK-NL'!$M$11),"x","")</f>
        <v/>
      </c>
    </row>
    <row r="4020" spans="1:33" ht="18" customHeight="1">
      <c r="A4020" s="309" t="str">
        <f>IF(B4020&lt;&gt;"",IF(AND(B4020='IN-TC'!$S$4,OR(TH!N4018="1111",TH!O4018="1111")),TH!D4018,""),"")</f>
        <v/>
      </c>
      <c r="B4020" s="1241">
        <f t="shared" si="1310"/>
        <v>4</v>
      </c>
      <c r="C4020" s="292">
        <f t="shared" si="1311"/>
        <v>42853</v>
      </c>
      <c r="D4020" s="59" t="s">
        <v>902</v>
      </c>
      <c r="E4020" s="59">
        <v>42853</v>
      </c>
      <c r="F4020" s="131" t="s">
        <v>870</v>
      </c>
      <c r="G4020" s="62" t="s">
        <v>747</v>
      </c>
      <c r="H4020" s="311" t="s">
        <v>835</v>
      </c>
      <c r="I4020" s="373"/>
      <c r="J4020" s="379"/>
      <c r="K4020" s="373"/>
      <c r="L4020" s="379"/>
      <c r="M4020" s="60">
        <v>10000</v>
      </c>
      <c r="N4020" s="61" t="s">
        <v>101</v>
      </c>
      <c r="O4020" s="61" t="s">
        <v>26</v>
      </c>
      <c r="P4020" s="75" t="str">
        <f>IF(AND('331-CT'!$E$7=TH!H5150,OR(N4020="331",O4020="331")),"x","")</f>
        <v/>
      </c>
      <c r="Q4020" s="75" t="str">
        <f>IF(AND(B4020='111'!$L$11,OR($N4020=$Q$7,$O4020=$Q$7)),"x","")</f>
        <v/>
      </c>
      <c r="R4020" s="75" t="str">
        <f>IF(AND($N4020=$Q$7,$B4020&lt;'111'!$L$11),"x","")</f>
        <v/>
      </c>
      <c r="S4020" s="75" t="str">
        <f>IF(AND($O4020=$Q$7,$B4020&lt;'111'!$L$11),"x","")</f>
        <v/>
      </c>
      <c r="T4020" s="75" t="str">
        <f>IF(ISERROR(FIND('112'!$M$9,G4020,1)),"",IF((AND(FIND('112'!$M$9,G4020,1)&gt;=1,B4020='112'!$K$9,OR($N4020='112'!$I$6,$O4020='112'!$I$6))),"x",""))</f>
        <v/>
      </c>
      <c r="U4020" s="75" t="str">
        <f>IF(ISERROR(FIND('112'!$M$9,G4020,1)),"",IF((AND(LEFT(G4020,2)=LEFT('112'!$M$9,2),B4020&lt;'112'!$K$9,$N4020='112'!$I$6)),"x",""))</f>
        <v/>
      </c>
      <c r="V4020" s="75" t="str">
        <f>IF(ISERROR(FIND('112'!$M$9,G4020,1)),"",IF((AND(RIGHT(G4020,2)=RIGHT('112'!$M$9,2),B4020&lt;'112'!$K$9,$O4020='112'!$I$6)),"x",""))</f>
        <v/>
      </c>
      <c r="W4020" s="75" t="str">
        <f>IF(AND('341-CT'!$H$9=H4020,OR(LEFT(N4020,3)=$W$7,LEFT(O4020,3)=$W$7)),"x","")</f>
        <v/>
      </c>
      <c r="X4020" s="75" t="str">
        <f>IF(OR(TH!N5150=TH!$X$7,O4020=TH!$X$7),"x","")</f>
        <v/>
      </c>
      <c r="Y4020" s="75" t="str">
        <f>IF(AND(OR(N4020="131",O4020="131"),H4020='131-CT'!$H$9),"x","")</f>
        <v/>
      </c>
      <c r="Z4020" s="75"/>
      <c r="AA4020" s="75" t="str">
        <f>IF(AND(MONTH(E4020)='IN-NX'!$J$5,'IN-NX'!$D$7=D4020),"x","")</f>
        <v/>
      </c>
      <c r="AB4020" s="75" t="str">
        <f>IF(AND(OR(LEFT(TH!N5150,2)="15",LEFT(TH!O5150,2)="15"),LEFT(TH!O5150,3)&lt;&gt;"111",'152-CT'!$J$8=TH!F5150),"x","")</f>
        <v/>
      </c>
      <c r="AC4020" s="75" t="str">
        <f>IF(AND(OR(LEFT(TH!N5150,2)="15",LEFT(TH!O5150,2)="15"),TK!$E$7=TH!F5150),"x","")</f>
        <v/>
      </c>
      <c r="AD4020" s="75" t="str">
        <f>IF(AND(N4020="1521",MONTH(C4020)='BK-NL'!$M$11),"x","")</f>
        <v/>
      </c>
    </row>
    <row r="4021" spans="1:33" ht="16.5" customHeight="1">
      <c r="A4021" s="309" t="str">
        <f>IF(B4021&lt;&gt;"",IF(AND(B4021='IN-TC'!$S$4,OR(TH!N4019="1111",TH!O4019="1111")),TH!D4019,""),"")</f>
        <v/>
      </c>
      <c r="B4021" s="1241">
        <f t="shared" si="1310"/>
        <v>4</v>
      </c>
      <c r="C4021" s="292">
        <f t="shared" si="1311"/>
        <v>42853</v>
      </c>
      <c r="D4021" s="59" t="s">
        <v>902</v>
      </c>
      <c r="E4021" s="59">
        <v>42853</v>
      </c>
      <c r="F4021" s="131" t="s">
        <v>898</v>
      </c>
      <c r="G4021" s="62" t="s">
        <v>747</v>
      </c>
      <c r="H4021" s="311" t="s">
        <v>835</v>
      </c>
      <c r="I4021" s="373"/>
      <c r="J4021" s="379"/>
      <c r="K4021" s="373"/>
      <c r="L4021" s="379"/>
      <c r="M4021" s="60">
        <v>1000</v>
      </c>
      <c r="N4021" s="61" t="s">
        <v>9</v>
      </c>
      <c r="O4021" s="61" t="s">
        <v>26</v>
      </c>
      <c r="P4021" s="75" t="str">
        <f>IF(AND('331-CT'!$E$7=TH!H5151,OR(N4021="331",O4021="331")),"x","")</f>
        <v/>
      </c>
      <c r="Q4021" s="75" t="str">
        <f>IF(AND(B4021='111'!$L$11,OR($N4021=$Q$7,$O4021=$Q$7)),"x","")</f>
        <v/>
      </c>
      <c r="R4021" s="75" t="str">
        <f>IF(AND($N4021=$Q$7,$B4021&lt;'111'!$L$11),"x","")</f>
        <v/>
      </c>
      <c r="S4021" s="75" t="str">
        <f>IF(AND($O4021=$Q$7,$B4021&lt;'111'!$L$11),"x","")</f>
        <v/>
      </c>
      <c r="T4021" s="75" t="str">
        <f>IF(ISERROR(FIND('112'!$M$9,G4021,1)),"",IF((AND(FIND('112'!$M$9,G4021,1)&gt;=1,B4021='112'!$K$9,OR($N4021='112'!$I$6,$O4021='112'!$I$6))),"x",""))</f>
        <v/>
      </c>
      <c r="U4021" s="75" t="str">
        <f>IF(ISERROR(FIND('112'!$M$9,G4021,1)),"",IF((AND(LEFT(G4021,2)=LEFT('112'!$M$9,2),B4021&lt;'112'!$K$9,$N4021='112'!$I$6)),"x",""))</f>
        <v/>
      </c>
      <c r="V4021" s="75" t="str">
        <f>IF(ISERROR(FIND('112'!$M$9,G4021,1)),"",IF((AND(RIGHT(G4021,2)=RIGHT('112'!$M$9,2),B4021&lt;'112'!$K$9,$O4021='112'!$I$6)),"x",""))</f>
        <v/>
      </c>
      <c r="W4021" s="75" t="str">
        <f>IF(AND('341-CT'!$H$9=H4021,OR(LEFT(N4021,3)=$W$7,LEFT(O4021,3)=$W$7)),"x","")</f>
        <v/>
      </c>
      <c r="X4021" s="75" t="str">
        <f>IF(OR(TH!N5151=TH!$X$7,O4021=TH!$X$7),"x","")</f>
        <v/>
      </c>
      <c r="Y4021" s="75" t="str">
        <f>IF(AND(OR(N4021="131",O4021="131"),H4021='131-CT'!$H$9),"x","")</f>
        <v/>
      </c>
      <c r="Z4021" s="75"/>
      <c r="AA4021" s="75" t="str">
        <f>IF(AND(MONTH(E4021)='IN-NX'!$J$5,'IN-NX'!$D$7=D4021),"x","")</f>
        <v/>
      </c>
      <c r="AB4021" s="75" t="str">
        <f>IF(AND(OR(LEFT(TH!N5151,2)="15",LEFT(TH!O5151,2)="15"),LEFT(TH!O5151,3)&lt;&gt;"111",'152-CT'!$J$8=TH!F5151),"x","")</f>
        <v/>
      </c>
      <c r="AC4021" s="75" t="str">
        <f>IF(AND(OR(LEFT(TH!N5151,2)="15",LEFT(TH!O5151,2)="15"),TK!$E$7=TH!F5151),"x","")</f>
        <v/>
      </c>
      <c r="AD4021" s="75" t="str">
        <f>IF(AND(N4021="1521",MONTH(C4021)='BK-NL'!$M$11),"x","")</f>
        <v/>
      </c>
    </row>
    <row r="4022" spans="1:33" ht="16.5" customHeight="1">
      <c r="A4022" s="309" t="str">
        <f>IF(B4022&lt;&gt;"",IF(AND(B4022='IN-TC'!$S$4,OR(TH!N4020="1111",TH!O4020="1111")),TH!D4020,""),"")</f>
        <v/>
      </c>
      <c r="B4022" s="1241">
        <f t="shared" si="1310"/>
        <v>4</v>
      </c>
      <c r="C4022" s="292">
        <f t="shared" si="1311"/>
        <v>42854</v>
      </c>
      <c r="D4022" s="292" t="s">
        <v>1962</v>
      </c>
      <c r="E4022" s="292">
        <v>42854</v>
      </c>
      <c r="F4022" s="131" t="s">
        <v>1341</v>
      </c>
      <c r="G4022" s="742" t="s">
        <v>1342</v>
      </c>
      <c r="H4022" s="311" t="s">
        <v>1032</v>
      </c>
      <c r="I4022" s="373"/>
      <c r="J4022" s="379"/>
      <c r="K4022" s="373"/>
      <c r="L4022" s="379"/>
      <c r="M4022" s="60">
        <v>247595</v>
      </c>
      <c r="N4022" s="61" t="s">
        <v>101</v>
      </c>
      <c r="O4022" s="934" t="s">
        <v>63</v>
      </c>
      <c r="P4022" s="75" t="str">
        <f>IF(AND('331-CT'!$E$7=TH!H3616,OR(N4022="331",O4022="331")),"x","")</f>
        <v/>
      </c>
      <c r="Q4022" s="75" t="str">
        <f>IF(AND(B4022='111'!$L$11,OR($N4022=$Q$7,$O4022=$Q$7)),"x","")</f>
        <v/>
      </c>
      <c r="R4022" s="75" t="str">
        <f>IF(AND($N4022=$Q$7,$B4022&lt;'111'!$L$11),"x","")</f>
        <v/>
      </c>
      <c r="S4022" s="75" t="str">
        <f>IF(AND($O4022=$Q$7,$B4022&lt;'111'!$L$11),"x","")</f>
        <v>x</v>
      </c>
      <c r="T4022" s="75" t="str">
        <f>IF(ISERROR(FIND('112'!$M$9,G4022,1)),"",IF((AND(FIND('112'!$M$9,G4022,1)&gt;=1,B4022='112'!$K$9,OR($N4022='112'!$I$6,$O4022='112'!$I$6))),"x",""))</f>
        <v/>
      </c>
      <c r="U4022" s="75" t="str">
        <f>IF(ISERROR(FIND('112'!$M$9,G4022,1)),"",IF((AND(LEFT(G4022,2)=LEFT('112'!$M$9,2),B4022&lt;'112'!$K$9,$N4022='112'!$I$6)),"x",""))</f>
        <v/>
      </c>
      <c r="V4022" s="75" t="str">
        <f>IF(ISERROR(FIND('112'!$M$9,G4022,1)),"",IF((AND(RIGHT(G4022,2)=RIGHT('112'!$M$9,2),B4022&lt;'112'!$K$9,$O4022='112'!$I$6)),"x",""))</f>
        <v/>
      </c>
      <c r="W4022" s="75" t="str">
        <f>IF(AND('341-CT'!$H$9=H4022,OR(LEFT(N4022,3)=$W$7,LEFT(O4022,3)=$W$7)),"x","")</f>
        <v/>
      </c>
      <c r="X4022" s="75" t="str">
        <f>IF(OR(TH!N3616=TH!$X$7,O4022=TH!$X$7),"x","")</f>
        <v/>
      </c>
      <c r="Y4022" s="75" t="str">
        <f>IF(AND(OR(N4022="131",O4022="131"),H4022='131-CT'!$H$9),"x","")</f>
        <v/>
      </c>
      <c r="Z4022" s="75"/>
      <c r="AA4022" s="75" t="str">
        <f>IF(AND(MONTH(E4022)='IN-NX'!$J$5,'IN-NX'!$D$7=D4022),"x","")</f>
        <v/>
      </c>
      <c r="AB4022" s="75" t="str">
        <f>IF(AND(OR(LEFT(TH!N3616,2)="15",LEFT(TH!O3616,2)="15"),LEFT(TH!O3616,3)&lt;&gt;"111",'152-CT'!$J$8=TH!F3616),"x","")</f>
        <v/>
      </c>
      <c r="AC4022" s="75" t="str">
        <f>IF(AND(OR(LEFT(TH!N3616,2)="15",LEFT(TH!O3616,2)="15"),TK!$E$7=TH!F3616),"x","")</f>
        <v/>
      </c>
      <c r="AD4022" s="75" t="str">
        <f>IF(AND(N4022="1521",MONTH(C4022)='BK-NL'!$M$11),"x","")</f>
        <v/>
      </c>
    </row>
    <row r="4023" spans="1:33" ht="16.5" customHeight="1">
      <c r="A4023" s="309" t="str">
        <f>IF(B4023&lt;&gt;"",IF(AND(B4023='IN-TC'!$S$4,OR(TH!N4021="1111",TH!O4021="1111")),TH!D4021,""),"")</f>
        <v/>
      </c>
      <c r="B4023" s="1241">
        <f t="shared" si="1310"/>
        <v>4</v>
      </c>
      <c r="C4023" s="292">
        <f t="shared" si="1311"/>
        <v>42854</v>
      </c>
      <c r="D4023" s="292" t="s">
        <v>1962</v>
      </c>
      <c r="E4023" s="292">
        <v>42854</v>
      </c>
      <c r="F4023" s="131" t="s">
        <v>1340</v>
      </c>
      <c r="G4023" s="742" t="s">
        <v>1342</v>
      </c>
      <c r="H4023" s="311" t="s">
        <v>1032</v>
      </c>
      <c r="I4023" s="373"/>
      <c r="J4023" s="379"/>
      <c r="K4023" s="373"/>
      <c r="L4023" s="379"/>
      <c r="M4023" s="60">
        <v>24760</v>
      </c>
      <c r="N4023" s="61" t="s">
        <v>9</v>
      </c>
      <c r="O4023" s="934" t="s">
        <v>63</v>
      </c>
      <c r="P4023" s="75" t="str">
        <f>IF(AND('331-CT'!$E$7=TH!H3617,OR(N4023="331",O4023="331")),"x","")</f>
        <v/>
      </c>
      <c r="Q4023" s="75" t="str">
        <f>IF(AND(B4023='111'!$L$11,OR($N4023=$Q$7,$O4023=$Q$7)),"x","")</f>
        <v/>
      </c>
      <c r="R4023" s="75" t="str">
        <f>IF(AND($N4023=$Q$7,$B4023&lt;'111'!$L$11),"x","")</f>
        <v/>
      </c>
      <c r="S4023" s="75" t="str">
        <f>IF(AND($O4023=$Q$7,$B4023&lt;'111'!$L$11),"x","")</f>
        <v>x</v>
      </c>
      <c r="T4023" s="75" t="str">
        <f>IF(ISERROR(FIND('112'!$M$9,G4023,1)),"",IF((AND(FIND('112'!$M$9,G4023,1)&gt;=1,B4023='112'!$K$9,OR($N4023='112'!$I$6,$O4023='112'!$I$6))),"x",""))</f>
        <v/>
      </c>
      <c r="U4023" s="75" t="str">
        <f>IF(ISERROR(FIND('112'!$M$9,G4023,1)),"",IF((AND(LEFT(G4023,2)=LEFT('112'!$M$9,2),B4023&lt;'112'!$K$9,$N4023='112'!$I$6)),"x",""))</f>
        <v/>
      </c>
      <c r="V4023" s="75" t="str">
        <f>IF(ISERROR(FIND('112'!$M$9,G4023,1)),"",IF((AND(RIGHT(G4023,2)=RIGHT('112'!$M$9,2),B4023&lt;'112'!$K$9,$O4023='112'!$I$6)),"x",""))</f>
        <v/>
      </c>
      <c r="W4023" s="75" t="str">
        <f>IF(AND('341-CT'!$H$9=H4023,OR(LEFT(N4023,3)=$W$7,LEFT(O4023,3)=$W$7)),"x","")</f>
        <v/>
      </c>
      <c r="X4023" s="75" t="str">
        <f>IF(OR(TH!N3617=TH!$X$7,O4023=TH!$X$7),"x","")</f>
        <v/>
      </c>
      <c r="Y4023" s="75" t="str">
        <f>IF(AND(OR(N4023="131",O4023="131"),H4023='131-CT'!$H$9),"x","")</f>
        <v/>
      </c>
      <c r="Z4023" s="75"/>
      <c r="AA4023" s="75" t="str">
        <f>IF(AND(MONTH(E4023)='IN-NX'!$J$5,'IN-NX'!$D$7=D4023),"x","")</f>
        <v/>
      </c>
      <c r="AB4023" s="75" t="str">
        <f>IF(AND(OR(LEFT(TH!N3617,2)="15",LEFT(TH!O3617,2)="15"),LEFT(TH!O3617,3)&lt;&gt;"111",'152-CT'!$J$8=TH!F3617),"x","")</f>
        <v/>
      </c>
      <c r="AC4023" s="75" t="str">
        <f>IF(AND(OR(LEFT(TH!N3617,2)="15",LEFT(TH!O3617,2)="15"),TK!$E$7=TH!F3617),"x","")</f>
        <v/>
      </c>
      <c r="AD4023" s="75" t="str">
        <f>IF(AND(N4023="1521",MONTH(C4023)='BK-NL'!$M$11),"x","")</f>
        <v/>
      </c>
    </row>
    <row r="4024" spans="1:33" ht="16.5" customHeight="1">
      <c r="A4024" s="309" t="str">
        <f>IF(B4024&lt;&gt;"",IF(AND(B4024='IN-TC'!$S$4,OR(TH!N4022="1111",TH!O4022="1111")),TH!D4022,""),"")</f>
        <v/>
      </c>
      <c r="B4024" s="1241">
        <f t="shared" si="1310"/>
        <v>4</v>
      </c>
      <c r="C4024" s="292">
        <f t="shared" si="1311"/>
        <v>42854</v>
      </c>
      <c r="D4024" s="292" t="s">
        <v>1963</v>
      </c>
      <c r="E4024" s="292">
        <v>42854</v>
      </c>
      <c r="F4024" s="131" t="s">
        <v>1304</v>
      </c>
      <c r="G4024" s="742"/>
      <c r="H4024" s="311" t="s">
        <v>978</v>
      </c>
      <c r="I4024" s="373"/>
      <c r="J4024" s="379"/>
      <c r="K4024" s="373"/>
      <c r="L4024" s="379"/>
      <c r="M4024" s="60">
        <v>1756364</v>
      </c>
      <c r="N4024" s="61" t="s">
        <v>101</v>
      </c>
      <c r="O4024" s="934" t="s">
        <v>63</v>
      </c>
      <c r="P4024" s="75" t="str">
        <f>IF(AND('331-CT'!$E$7=TH!H3618,OR(N4024="331",O4024="331")),"x","")</f>
        <v/>
      </c>
      <c r="Q4024" s="75" t="str">
        <f>IF(AND(B4024='111'!$L$11,OR($N4024=$Q$7,$O4024=$Q$7)),"x","")</f>
        <v/>
      </c>
      <c r="R4024" s="75" t="str">
        <f>IF(AND($N4024=$Q$7,$B4024&lt;'111'!$L$11),"x","")</f>
        <v/>
      </c>
      <c r="S4024" s="75" t="str">
        <f>IF(AND($O4024=$Q$7,$B4024&lt;'111'!$L$11),"x","")</f>
        <v>x</v>
      </c>
      <c r="T4024" s="75" t="str">
        <f>IF(ISERROR(FIND('112'!$M$9,G4024,1)),"",IF((AND(FIND('112'!$M$9,G4024,1)&gt;=1,B4024='112'!$K$9,OR($N4024='112'!$I$6,$O4024='112'!$I$6))),"x",""))</f>
        <v/>
      </c>
      <c r="U4024" s="75" t="str">
        <f>IF(ISERROR(FIND('112'!$M$9,G4024,1)),"",IF((AND(LEFT(G4024,2)=LEFT('112'!$M$9,2),B4024&lt;'112'!$K$9,$N4024='112'!$I$6)),"x",""))</f>
        <v/>
      </c>
      <c r="V4024" s="75" t="str">
        <f>IF(ISERROR(FIND('112'!$M$9,G4024,1)),"",IF((AND(RIGHT(G4024,2)=RIGHT('112'!$M$9,2),B4024&lt;'112'!$K$9,$O4024='112'!$I$6)),"x",""))</f>
        <v/>
      </c>
      <c r="W4024" s="75" t="str">
        <f>IF(AND('341-CT'!$H$9=H4024,OR(LEFT(N4024,3)=$W$7,LEFT(O4024,3)=$W$7)),"x","")</f>
        <v/>
      </c>
      <c r="X4024" s="75" t="str">
        <f>IF(OR(TH!N3618=TH!$X$7,O4024=TH!$X$7),"x","")</f>
        <v/>
      </c>
      <c r="Y4024" s="75" t="str">
        <f>IF(AND(OR(N4024="131",O4024="131"),H4024='131-CT'!$H$9),"x","")</f>
        <v/>
      </c>
      <c r="Z4024" s="75"/>
      <c r="AA4024" s="75" t="str">
        <f>IF(AND(MONTH(E4024)='IN-NX'!$J$5,'IN-NX'!$D$7=D4024),"x","")</f>
        <v/>
      </c>
      <c r="AB4024" s="75" t="str">
        <f>IF(AND(OR(LEFT(TH!N3618,2)="15",LEFT(TH!O3618,2)="15"),LEFT(TH!O3618,3)&lt;&gt;"111",'152-CT'!$J$8=TH!F3618),"x","")</f>
        <v/>
      </c>
      <c r="AC4024" s="75" t="str">
        <f>IF(AND(OR(LEFT(TH!N3618,2)="15",LEFT(TH!O3618,2)="15"),TK!$E$7=TH!F3618),"x","")</f>
        <v/>
      </c>
      <c r="AD4024" s="75" t="str">
        <f>IF(AND(N4024="1521",MONTH(C4024)='BK-NL'!$M$11),"x","")</f>
        <v/>
      </c>
    </row>
    <row r="4025" spans="1:33" ht="16.5" customHeight="1">
      <c r="A4025" s="309" t="str">
        <f>IF(B4025&lt;&gt;"",IF(AND(B4025='IN-TC'!$S$4,OR(TH!N4023="1111",TH!O4023="1111")),TH!D4023,""),"")</f>
        <v/>
      </c>
      <c r="B4025" s="1241">
        <f t="shared" si="1310"/>
        <v>4</v>
      </c>
      <c r="C4025" s="292">
        <f t="shared" si="1311"/>
        <v>42854</v>
      </c>
      <c r="D4025" s="292" t="s">
        <v>1963</v>
      </c>
      <c r="E4025" s="292">
        <v>42854</v>
      </c>
      <c r="F4025" s="131" t="s">
        <v>1305</v>
      </c>
      <c r="G4025" s="742"/>
      <c r="H4025" s="311" t="s">
        <v>978</v>
      </c>
      <c r="I4025" s="373"/>
      <c r="J4025" s="379"/>
      <c r="K4025" s="373"/>
      <c r="L4025" s="379"/>
      <c r="M4025" s="60">
        <v>175636</v>
      </c>
      <c r="N4025" s="61" t="s">
        <v>9</v>
      </c>
      <c r="O4025" s="934" t="s">
        <v>63</v>
      </c>
      <c r="P4025" s="75" t="str">
        <f>IF(AND('331-CT'!$E$7=TH!H3619,OR(N4025="331",O4025="331")),"x","")</f>
        <v/>
      </c>
      <c r="Q4025" s="75" t="str">
        <f>IF(AND(B4025='111'!$L$11,OR($N4025=$Q$7,$O4025=$Q$7)),"x","")</f>
        <v/>
      </c>
      <c r="R4025" s="75" t="str">
        <f>IF(AND($N4025=$Q$7,$B4025&lt;'111'!$L$11),"x","")</f>
        <v/>
      </c>
      <c r="S4025" s="75" t="str">
        <f>IF(AND($O4025=$Q$7,$B4025&lt;'111'!$L$11),"x","")</f>
        <v>x</v>
      </c>
      <c r="T4025" s="75" t="str">
        <f>IF(ISERROR(FIND('112'!$M$9,G4025,1)),"",IF((AND(FIND('112'!$M$9,G4025,1)&gt;=1,B4025='112'!$K$9,OR($N4025='112'!$I$6,$O4025='112'!$I$6))),"x",""))</f>
        <v/>
      </c>
      <c r="U4025" s="75" t="str">
        <f>IF(ISERROR(FIND('112'!$M$9,G4025,1)),"",IF((AND(LEFT(G4025,2)=LEFT('112'!$M$9,2),B4025&lt;'112'!$K$9,$N4025='112'!$I$6)),"x",""))</f>
        <v/>
      </c>
      <c r="V4025" s="75" t="str">
        <f>IF(ISERROR(FIND('112'!$M$9,G4025,1)),"",IF((AND(RIGHT(G4025,2)=RIGHT('112'!$M$9,2),B4025&lt;'112'!$K$9,$O4025='112'!$I$6)),"x",""))</f>
        <v/>
      </c>
      <c r="W4025" s="75" t="str">
        <f>IF(AND('341-CT'!$H$9=H4025,OR(LEFT(N4025,3)=$W$7,LEFT(O4025,3)=$W$7)),"x","")</f>
        <v/>
      </c>
      <c r="X4025" s="75" t="str">
        <f>IF(OR(TH!N3619=TH!$X$7,O4025=TH!$X$7),"x","")</f>
        <v/>
      </c>
      <c r="Y4025" s="75" t="str">
        <f>IF(AND(OR(N4025="131",O4025="131"),H4025='131-CT'!$H$9),"x","")</f>
        <v/>
      </c>
      <c r="Z4025" s="75"/>
      <c r="AA4025" s="75" t="str">
        <f>IF(AND(MONTH(E4025)='IN-NX'!$J$5,'IN-NX'!$D$7=D4025),"x","")</f>
        <v/>
      </c>
      <c r="AB4025" s="75" t="str">
        <f>IF(AND(OR(LEFT(TH!N3619,2)="15",LEFT(TH!O3619,2)="15"),LEFT(TH!O3619,3)&lt;&gt;"111",'152-CT'!$J$8=TH!F3619),"x","")</f>
        <v/>
      </c>
      <c r="AC4025" s="75" t="str">
        <f>IF(AND(OR(LEFT(TH!N3619,2)="15",LEFT(TH!O3619,2)="15"),TK!$E$7=TH!F3619),"x","")</f>
        <v/>
      </c>
      <c r="AD4025" s="75" t="str">
        <f>IF(AND(N4025="1521",MONTH(C4025)='BK-NL'!$M$11),"x","")</f>
        <v/>
      </c>
    </row>
    <row r="4026" spans="1:33" ht="16.5" customHeight="1">
      <c r="A4026" s="309" t="str">
        <f>IF(B4026&lt;&gt;"",IF(AND(B4026='IN-TC'!$S$4,OR(TH!N4024="1111",TH!O4024="1111")),TH!D4024,""),"")</f>
        <v/>
      </c>
      <c r="B4026" s="1241">
        <f t="shared" si="1310"/>
        <v>4</v>
      </c>
      <c r="C4026" s="292">
        <f t="shared" si="1311"/>
        <v>42854</v>
      </c>
      <c r="D4026" s="292" t="s">
        <v>1964</v>
      </c>
      <c r="E4026" s="292">
        <v>42854</v>
      </c>
      <c r="F4026" s="131" t="s">
        <v>1306</v>
      </c>
      <c r="G4026" s="742"/>
      <c r="H4026" s="311" t="s">
        <v>980</v>
      </c>
      <c r="I4026" s="373"/>
      <c r="J4026" s="379"/>
      <c r="K4026" s="373"/>
      <c r="L4026" s="379"/>
      <c r="M4026" s="60">
        <v>107544053</v>
      </c>
      <c r="N4026" s="61" t="s">
        <v>540</v>
      </c>
      <c r="O4026" s="295" t="s">
        <v>63</v>
      </c>
      <c r="P4026" s="75" t="str">
        <f>IF(AND('331-CT'!$E$7=TH!H3620,OR(N4026="331",O4026="331")),"x","")</f>
        <v/>
      </c>
      <c r="Q4026" s="75" t="str">
        <f>IF(AND(B4026='111'!$L$11,OR($N4026=$Q$7,$O4026=$Q$7)),"x","")</f>
        <v/>
      </c>
      <c r="R4026" s="75" t="str">
        <f>IF(AND($N4026=$Q$7,$B4026&lt;'111'!$L$11),"x","")</f>
        <v/>
      </c>
      <c r="S4026" s="75" t="str">
        <f>IF(AND($O4026=$Q$7,$B4026&lt;'111'!$L$11),"x","")</f>
        <v>x</v>
      </c>
      <c r="T4026" s="75" t="str">
        <f>IF(ISERROR(FIND('112'!$M$9,G4026,1)),"",IF((AND(FIND('112'!$M$9,G4026,1)&gt;=1,B4026='112'!$K$9,OR($N4026='112'!$I$6,$O4026='112'!$I$6))),"x",""))</f>
        <v/>
      </c>
      <c r="U4026" s="75" t="str">
        <f>IF(ISERROR(FIND('112'!$M$9,G4026,1)),"",IF((AND(LEFT(G4026,2)=LEFT('112'!$M$9,2),B4026&lt;'112'!$K$9,$N4026='112'!$I$6)),"x",""))</f>
        <v/>
      </c>
      <c r="V4026" s="75" t="str">
        <f>IF(ISERROR(FIND('112'!$M$9,G4026,1)),"",IF((AND(RIGHT(G4026,2)=RIGHT('112'!$M$9,2),B4026&lt;'112'!$K$9,$O4026='112'!$I$6)),"x",""))</f>
        <v/>
      </c>
      <c r="W4026" s="75" t="str">
        <f>IF(AND('341-CT'!$H$9=H4026,OR(LEFT(N4026,3)=$W$7,LEFT(O4026,3)=$W$7)),"x","")</f>
        <v/>
      </c>
      <c r="X4026" s="75" t="str">
        <f>IF(OR(TH!N3620=TH!$X$7,O4026=TH!$X$7),"x","")</f>
        <v/>
      </c>
      <c r="Y4026" s="75" t="str">
        <f>IF(AND(OR(N4026="131",O4026="131"),H4026='131-CT'!$H$9),"x","")</f>
        <v/>
      </c>
      <c r="Z4026" s="75"/>
      <c r="AA4026" s="75" t="str">
        <f>IF(AND(MONTH(E4026)='IN-NX'!$J$5,'IN-NX'!$D$7=D4026),"x","")</f>
        <v/>
      </c>
      <c r="AB4026" s="75" t="str">
        <f>IF(AND(OR(LEFT(TH!N3620,2)="15",LEFT(TH!O3620,2)="15"),LEFT(TH!O3620,3)&lt;&gt;"111",'152-CT'!$J$8=TH!F3620),"x","")</f>
        <v/>
      </c>
      <c r="AC4026" s="75" t="str">
        <f>IF(AND(OR(LEFT(TH!N3620,2)="15",LEFT(TH!O3620,2)="15"),TK!$E$7=TH!F3620),"x","")</f>
        <v/>
      </c>
      <c r="AD4026" s="75" t="str">
        <f>IF(AND(N4026="1521",MONTH(C4026)='BK-NL'!$M$11),"x","")</f>
        <v/>
      </c>
    </row>
    <row r="4027" spans="1:33" ht="16.5" customHeight="1">
      <c r="A4027" s="309" t="str">
        <f>IF(B4027&lt;&gt;"",IF(AND(B4027='IN-TC'!$S$4,OR(TH!N4025="1111",TH!O4025="1111")),TH!D4025,""),"")</f>
        <v/>
      </c>
      <c r="B4027" s="1241">
        <f t="shared" si="1310"/>
        <v>4</v>
      </c>
      <c r="C4027" s="292">
        <f t="shared" si="1311"/>
        <v>42855</v>
      </c>
      <c r="D4027" s="292" t="s">
        <v>1965</v>
      </c>
      <c r="E4027" s="292">
        <v>42855</v>
      </c>
      <c r="F4027" s="131" t="s">
        <v>1291</v>
      </c>
      <c r="G4027" s="742" t="s">
        <v>1303</v>
      </c>
      <c r="H4027" s="311" t="s">
        <v>893</v>
      </c>
      <c r="I4027" s="373"/>
      <c r="J4027" s="379"/>
      <c r="K4027" s="373"/>
      <c r="L4027" s="379"/>
      <c r="M4027" s="60">
        <v>4992300</v>
      </c>
      <c r="N4027" s="61" t="s">
        <v>101</v>
      </c>
      <c r="O4027" s="934" t="s">
        <v>63</v>
      </c>
      <c r="P4027" s="75" t="str">
        <f>IF(AND('331-CT'!$E$7=TH!H3621,OR(N4027="331",O4027="331")),"x","")</f>
        <v/>
      </c>
      <c r="Q4027" s="75" t="str">
        <f>IF(AND(B4027='111'!$L$11,OR($N4027=$Q$7,$O4027=$Q$7)),"x","")</f>
        <v/>
      </c>
      <c r="R4027" s="75" t="str">
        <f>IF(AND($N4027=$Q$7,$B4027&lt;'111'!$L$11),"x","")</f>
        <v/>
      </c>
      <c r="S4027" s="75" t="str">
        <f>IF(AND($O4027=$Q$7,$B4027&lt;'111'!$L$11),"x","")</f>
        <v>x</v>
      </c>
      <c r="T4027" s="75" t="str">
        <f>IF(ISERROR(FIND('112'!$M$9,G4027,1)),"",IF((AND(FIND('112'!$M$9,G4027,1)&gt;=1,B4027='112'!$K$9,OR($N4027='112'!$I$6,$O4027='112'!$I$6))),"x",""))</f>
        <v/>
      </c>
      <c r="U4027" s="75" t="str">
        <f>IF(ISERROR(FIND('112'!$M$9,G4027,1)),"",IF((AND(LEFT(G4027,2)=LEFT('112'!$M$9,2),B4027&lt;'112'!$K$9,$N4027='112'!$I$6)),"x",""))</f>
        <v/>
      </c>
      <c r="V4027" s="75" t="str">
        <f>IF(ISERROR(FIND('112'!$M$9,G4027,1)),"",IF((AND(RIGHT(G4027,2)=RIGHT('112'!$M$9,2),B4027&lt;'112'!$K$9,$O4027='112'!$I$6)),"x",""))</f>
        <v/>
      </c>
      <c r="W4027" s="75" t="str">
        <f>IF(AND('341-CT'!$H$9=H4027,OR(LEFT(N4027,3)=$W$7,LEFT(O4027,3)=$W$7)),"x","")</f>
        <v/>
      </c>
      <c r="X4027" s="75" t="str">
        <f>IF(OR(TH!N3621=TH!$X$7,O4027=TH!$X$7),"x","")</f>
        <v/>
      </c>
      <c r="Y4027" s="75" t="str">
        <f>IF(AND(OR(N4027="131",O4027="131"),H4027='131-CT'!$H$9),"x","")</f>
        <v/>
      </c>
      <c r="Z4027" s="75"/>
      <c r="AA4027" s="75" t="str">
        <f>IF(AND(MONTH(E4027)='IN-NX'!$J$5,'IN-NX'!$D$7=D4027),"x","")</f>
        <v/>
      </c>
      <c r="AB4027" s="75" t="str">
        <f>IF(AND(OR(LEFT(TH!N3621,2)="15",LEFT(TH!O3621,2)="15"),LEFT(TH!O3621,3)&lt;&gt;"111",'152-CT'!$J$8=TH!F3621),"x","")</f>
        <v/>
      </c>
      <c r="AC4027" s="75" t="str">
        <f>IF(AND(OR(LEFT(TH!N3621,2)="15",LEFT(TH!O3621,2)="15"),TK!$E$7=TH!F3621),"x","")</f>
        <v/>
      </c>
      <c r="AD4027" s="75" t="str">
        <f>IF(AND(N4027="1521",MONTH(C4027)='BK-NL'!$M$11),"x","")</f>
        <v/>
      </c>
    </row>
    <row r="4028" spans="1:33" ht="18" customHeight="1">
      <c r="A4028" s="309" t="str">
        <f>IF(B4028&lt;&gt;"",IF(AND(B4028='IN-TC'!$S$4,OR(TH!N4026="1111",TH!O4026="1111")),TH!D4026,""),"")</f>
        <v/>
      </c>
      <c r="B4028" s="1241">
        <f t="shared" si="1310"/>
        <v>4</v>
      </c>
      <c r="C4028" s="292">
        <f t="shared" si="1311"/>
        <v>42855</v>
      </c>
      <c r="D4028" s="292" t="s">
        <v>1965</v>
      </c>
      <c r="E4028" s="292">
        <v>42855</v>
      </c>
      <c r="F4028" s="131" t="s">
        <v>1292</v>
      </c>
      <c r="G4028" s="742" t="s">
        <v>1303</v>
      </c>
      <c r="H4028" s="311" t="s">
        <v>893</v>
      </c>
      <c r="I4028" s="373"/>
      <c r="J4028" s="379"/>
      <c r="K4028" s="373"/>
      <c r="L4028" s="379"/>
      <c r="M4028" s="60">
        <v>499230</v>
      </c>
      <c r="N4028" s="61" t="s">
        <v>9</v>
      </c>
      <c r="O4028" s="934" t="s">
        <v>63</v>
      </c>
      <c r="P4028" s="75" t="str">
        <f>IF(AND('331-CT'!$E$7=TH!H3622,OR(N4028="331",O4028="331")),"x","")</f>
        <v/>
      </c>
      <c r="Q4028" s="75" t="str">
        <f>IF(AND(B4028='111'!$L$11,OR($N4028=$Q$7,$O4028=$Q$7)),"x","")</f>
        <v/>
      </c>
      <c r="R4028" s="75" t="str">
        <f>IF(AND($N4028=$Q$7,$B4028&lt;'111'!$L$11),"x","")</f>
        <v/>
      </c>
      <c r="S4028" s="75" t="str">
        <f>IF(AND($O4028=$Q$7,$B4028&lt;'111'!$L$11),"x","")</f>
        <v>x</v>
      </c>
      <c r="T4028" s="75" t="str">
        <f>IF(ISERROR(FIND('112'!$M$9,G4028,1)),"",IF((AND(FIND('112'!$M$9,G4028,1)&gt;=1,B4028='112'!$K$9,OR($N4028='112'!$I$6,$O4028='112'!$I$6))),"x",""))</f>
        <v/>
      </c>
      <c r="U4028" s="75" t="str">
        <f>IF(ISERROR(FIND('112'!$M$9,G4028,1)),"",IF((AND(LEFT(G4028,2)=LEFT('112'!$M$9,2),B4028&lt;'112'!$K$9,$N4028='112'!$I$6)),"x",""))</f>
        <v/>
      </c>
      <c r="V4028" s="75" t="str">
        <f>IF(ISERROR(FIND('112'!$M$9,G4028,1)),"",IF((AND(RIGHT(G4028,2)=RIGHT('112'!$M$9,2),B4028&lt;'112'!$K$9,$O4028='112'!$I$6)),"x",""))</f>
        <v/>
      </c>
      <c r="W4028" s="75" t="str">
        <f>IF(AND('341-CT'!$H$9=H4028,OR(LEFT(N4028,3)=$W$7,LEFT(O4028,3)=$W$7)),"x","")</f>
        <v/>
      </c>
      <c r="X4028" s="75" t="str">
        <f>IF(OR(TH!N3622=TH!$X$7,O4028=TH!$X$7),"x","")</f>
        <v/>
      </c>
      <c r="Y4028" s="75" t="str">
        <f>IF(AND(OR(N4028="131",O4028="131"),H4028='131-CT'!$H$9),"x","")</f>
        <v/>
      </c>
      <c r="Z4028" s="75"/>
      <c r="AA4028" s="75" t="str">
        <f>IF(AND(MONTH(E4028)='IN-NX'!$J$5,'IN-NX'!$D$7=D4028),"x","")</f>
        <v/>
      </c>
      <c r="AB4028" s="75" t="str">
        <f>IF(AND(OR(LEFT(TH!N3622,2)="15",LEFT(TH!O3622,2)="15"),LEFT(TH!O3622,3)&lt;&gt;"111",'152-CT'!$J$8=TH!F3622),"x","")</f>
        <v/>
      </c>
      <c r="AC4028" s="75" t="str">
        <f>IF(AND(OR(LEFT(TH!N3622,2)="15",LEFT(TH!O3622,2)="15"),TK!$E$7=TH!F3622),"x","")</f>
        <v/>
      </c>
      <c r="AD4028" s="75" t="str">
        <f>IF(AND(N4028="1521",MONTH(C4028)='BK-NL'!$M$11),"x","")</f>
        <v/>
      </c>
    </row>
    <row r="4029" spans="1:33" ht="18" customHeight="1">
      <c r="A4029" s="309" t="str">
        <f>IF(B4029&lt;&gt;"",IF(AND(B4029='IN-TC'!$S$4,OR(TH!N5697="1111",TH!O5697="1111")),TH!D5697,""),"")</f>
        <v/>
      </c>
      <c r="B4029" s="1339">
        <f t="shared" si="1310"/>
        <v>5</v>
      </c>
      <c r="C4029" s="292">
        <f t="shared" si="1311"/>
        <v>42856</v>
      </c>
      <c r="D4029" s="71"/>
      <c r="E4029" s="71">
        <v>42856</v>
      </c>
      <c r="F4029" s="1216" t="s">
        <v>3010</v>
      </c>
      <c r="G4029" s="72" t="s">
        <v>332</v>
      </c>
      <c r="H4029" s="73" t="s">
        <v>1880</v>
      </c>
      <c r="I4029" s="371"/>
      <c r="J4029" s="377"/>
      <c r="K4029" s="371"/>
      <c r="L4029" s="377"/>
      <c r="M4029" s="74">
        <v>180100500</v>
      </c>
      <c r="N4029" s="75" t="s">
        <v>63</v>
      </c>
      <c r="O4029" s="75" t="s">
        <v>262</v>
      </c>
      <c r="P4029" s="75" t="str">
        <f>IF(AND('331-CT'!$E$7=TH!H5697,OR(N4029="331",O4029="331")),"x","")</f>
        <v/>
      </c>
      <c r="Q4029" s="75" t="str">
        <f>IF(AND(B4029='111'!$L$11,OR($N4029=$Q$7,$O4029=$Q$7)),"x","")</f>
        <v/>
      </c>
      <c r="R4029" s="75" t="str">
        <f>IF(AND($N4029=$Q$7,$B4029&lt;'111'!$L$11),"x","")</f>
        <v>x</v>
      </c>
      <c r="S4029" s="75" t="str">
        <f>IF(AND($O4029=$Q$7,$B4029&lt;'111'!$L$11),"x","")</f>
        <v/>
      </c>
      <c r="T4029" s="75" t="str">
        <f>IF(ISERROR(FIND('112'!$M$9,G4029,1)),"",IF((AND(FIND('112'!$M$9,G4029,1)&gt;=1,B4029='112'!$K$9,OR($N4029='112'!$I$6,$O4029='112'!$I$6))),"x",""))</f>
        <v/>
      </c>
      <c r="U4029" s="75" t="str">
        <f>IF(ISERROR(FIND('112'!$M$9,G4029,1)),"",IF((AND(LEFT(G4029,2)=LEFT('112'!$M$9,2),B4029&lt;'112'!$K$9,$N4029='112'!$I$6)),"x",""))</f>
        <v/>
      </c>
      <c r="V4029" s="75" t="str">
        <f>IF(ISERROR(FIND('112'!$M$9,G4029,1)),"",IF((AND(RIGHT(G4029,2)=RIGHT('112'!$M$9,2),B4029&lt;'112'!$K$9,$O4029='112'!$I$6)),"x",""))</f>
        <v/>
      </c>
      <c r="W4029" s="75" t="str">
        <f>IF(AND('341-CT'!$H$9=H4029,OR(LEFT(N4029,3)=$W$7,LEFT(O4029,3)=$W$7)),"x","")</f>
        <v/>
      </c>
      <c r="X4029" s="75" t="str">
        <f>IF(OR(TH!N5697=TH!$X$7,O4029=TH!$X$7),"x","")</f>
        <v>x</v>
      </c>
      <c r="Y4029" s="75" t="str">
        <f>IF(AND(OR(N4029="131",O4029="131"),H4029='131-CT'!$H$9),"x","")</f>
        <v/>
      </c>
      <c r="Z4029" s="75"/>
      <c r="AA4029" s="75" t="str">
        <f>IF(AND(MONTH(E4029)='IN-NX'!$J$5,'IN-NX'!$D$7=D4029),"x","")</f>
        <v/>
      </c>
      <c r="AB4029" s="75" t="str">
        <f>IF(AND(OR(LEFT(TH!N5697,2)="15",LEFT(TH!O5697,2)="15"),LEFT(TH!O5697,3)&lt;&gt;"111",'152-CT'!$J$8=TH!F5697),"x","")</f>
        <v/>
      </c>
      <c r="AC4029" s="75" t="str">
        <f>IF(AND(OR(LEFT(TH!N5697,2)="15",LEFT(TH!O5697,2)="15"),TK!$E$7=TH!F5697),"x","")</f>
        <v/>
      </c>
      <c r="AD4029" s="75" t="str">
        <f>IF(AND(N4029="1521",MONTH(C4029)='BK-NL'!$M$11),"x","")</f>
        <v/>
      </c>
      <c r="AE4029" s="1264"/>
      <c r="AF4029" s="1264"/>
      <c r="AG4029" s="1264"/>
    </row>
    <row r="4030" spans="1:33" s="1053" customFormat="1" ht="16.5" customHeight="1">
      <c r="A4030" s="309" t="str">
        <f>IF(B4030&lt;&gt;"",IF(AND(B4030='IN-TC'!$S$4,OR(TH!N4027="1111",TH!O4027="1111")),TH!D4027,""),"")</f>
        <v/>
      </c>
      <c r="B4030" s="1242">
        <f t="shared" si="1310"/>
        <v>5</v>
      </c>
      <c r="C4030" s="292">
        <f t="shared" si="1311"/>
        <v>42858</v>
      </c>
      <c r="D4030" s="292" t="s">
        <v>1915</v>
      </c>
      <c r="E4030" s="292">
        <v>42858</v>
      </c>
      <c r="F4030" s="67" t="s">
        <v>1488</v>
      </c>
      <c r="G4030" s="925" t="s">
        <v>1348</v>
      </c>
      <c r="H4030" s="294" t="s">
        <v>1490</v>
      </c>
      <c r="I4030" s="373"/>
      <c r="J4030" s="926"/>
      <c r="K4030" s="373"/>
      <c r="L4030" s="379"/>
      <c r="M4030" s="927">
        <v>9090909</v>
      </c>
      <c r="N4030" s="295" t="s">
        <v>539</v>
      </c>
      <c r="O4030" s="295" t="s">
        <v>63</v>
      </c>
      <c r="P4030" s="75" t="str">
        <f>IF(AND('331-CT'!$E$7=TH!H3624,OR(N4030="331",O4030="331")),"x","")</f>
        <v/>
      </c>
      <c r="Q4030" s="75" t="str">
        <f>IF(AND(B4030='111'!$L$11,OR($N4030=$Q$7,$O4030=$Q$7)),"x","")</f>
        <v/>
      </c>
      <c r="R4030" s="75" t="str">
        <f>IF(AND($N4030=$Q$7,$B4030&lt;'111'!$L$11),"x","")</f>
        <v/>
      </c>
      <c r="S4030" s="75" t="str">
        <f>IF(AND($O4030=$Q$7,$B4030&lt;'111'!$L$11),"x","")</f>
        <v>x</v>
      </c>
      <c r="T4030" s="75" t="str">
        <f>IF(ISERROR(FIND('112'!$M$9,G4030,1)),"",IF((AND(FIND('112'!$M$9,G4030,1)&gt;=1,B4030='112'!$K$9,OR($N4030='112'!$I$6,$O4030='112'!$I$6))),"x",""))</f>
        <v/>
      </c>
      <c r="U4030" s="75" t="str">
        <f>IF(ISERROR(FIND('112'!$M$9,G4030,1)),"",IF((AND(LEFT(G4030,2)=LEFT('112'!$M$9,2),B4030&lt;'112'!$K$9,$N4030='112'!$I$6)),"x",""))</f>
        <v/>
      </c>
      <c r="V4030" s="75" t="str">
        <f>IF(ISERROR(FIND('112'!$M$9,G4030,1)),"",IF((AND(RIGHT(G4030,2)=RIGHT('112'!$M$9,2),B4030&lt;'112'!$K$9,$O4030='112'!$I$6)),"x",""))</f>
        <v/>
      </c>
      <c r="W4030" s="75" t="str">
        <f>IF(AND('341-CT'!$H$9=H4030,OR(LEFT(N4030,3)=$W$7,LEFT(O4030,3)=$W$7)),"x","")</f>
        <v/>
      </c>
      <c r="X4030" s="75" t="str">
        <f>IF(OR(TH!N3624=TH!$X$7,O4030=TH!$X$7),"x","")</f>
        <v/>
      </c>
      <c r="Y4030" s="75" t="str">
        <f>IF(AND(OR(N4030="131",O4030="131"),H4030='131-CT'!$H$9),"x","")</f>
        <v/>
      </c>
      <c r="Z4030" s="75"/>
      <c r="AA4030" s="75" t="str">
        <f>IF(AND(MONTH(E4030)='IN-NX'!$J$5,'IN-NX'!$D$7=D4030),"x","")</f>
        <v/>
      </c>
      <c r="AB4030" s="75" t="str">
        <f>IF(AND(OR(LEFT(TH!N3624,2)="15",LEFT(TH!O3624,2)="15"),LEFT(TH!O3624,3)&lt;&gt;"111",'152-CT'!$J$8=TH!F3624),"x","")</f>
        <v/>
      </c>
      <c r="AC4030" s="75" t="str">
        <f>IF(AND(OR(LEFT(TH!N3624,2)="15",LEFT(TH!O3624,2)="15"),TK!$E$7=TH!F3624),"x","")</f>
        <v/>
      </c>
      <c r="AD4030" s="75" t="str">
        <f>IF(AND(N4030="1521",MONTH(C4030)='BK-NL'!$M$11),"x","")</f>
        <v/>
      </c>
      <c r="AE4030"/>
      <c r="AF4030"/>
      <c r="AG4030"/>
    </row>
    <row r="4031" spans="1:33" s="1053" customFormat="1" ht="16.5" customHeight="1">
      <c r="A4031" s="309" t="str">
        <f>IF(B4031&lt;&gt;"",IF(AND(B4031='IN-TC'!$S$4,OR(TH!N4028="1111",TH!O4028="1111")),TH!D4028,""),"")</f>
        <v/>
      </c>
      <c r="B4031" s="1242">
        <f t="shared" si="1310"/>
        <v>5</v>
      </c>
      <c r="C4031" s="292">
        <f t="shared" si="1311"/>
        <v>42858</v>
      </c>
      <c r="D4031" s="292" t="s">
        <v>1915</v>
      </c>
      <c r="E4031" s="292">
        <v>42858</v>
      </c>
      <c r="F4031" s="67" t="s">
        <v>1489</v>
      </c>
      <c r="G4031" s="925" t="s">
        <v>1348</v>
      </c>
      <c r="H4031" s="294" t="s">
        <v>1490</v>
      </c>
      <c r="I4031" s="373"/>
      <c r="J4031" s="926"/>
      <c r="K4031" s="373"/>
      <c r="L4031" s="379"/>
      <c r="M4031" s="927">
        <v>909091</v>
      </c>
      <c r="N4031" s="295" t="s">
        <v>9</v>
      </c>
      <c r="O4031" s="295" t="s">
        <v>63</v>
      </c>
      <c r="P4031" s="75" t="str">
        <f>IF(AND('331-CT'!$E$7=TH!H3625,OR(N4031="331",O4031="331")),"x","")</f>
        <v/>
      </c>
      <c r="Q4031" s="75" t="str">
        <f>IF(AND(B4031='111'!$L$11,OR($N4031=$Q$7,$O4031=$Q$7)),"x","")</f>
        <v/>
      </c>
      <c r="R4031" s="75" t="str">
        <f>IF(AND($N4031=$Q$7,$B4031&lt;'111'!$L$11),"x","")</f>
        <v/>
      </c>
      <c r="S4031" s="75" t="str">
        <f>IF(AND($O4031=$Q$7,$B4031&lt;'111'!$L$11),"x","")</f>
        <v>x</v>
      </c>
      <c r="T4031" s="75" t="str">
        <f>IF(ISERROR(FIND('112'!$M$9,G4031,1)),"",IF((AND(FIND('112'!$M$9,G4031,1)&gt;=1,B4031='112'!$K$9,OR($N4031='112'!$I$6,$O4031='112'!$I$6))),"x",""))</f>
        <v/>
      </c>
      <c r="U4031" s="75" t="str">
        <f>IF(ISERROR(FIND('112'!$M$9,G4031,1)),"",IF((AND(LEFT(G4031,2)=LEFT('112'!$M$9,2),B4031&lt;'112'!$K$9,$N4031='112'!$I$6)),"x",""))</f>
        <v/>
      </c>
      <c r="V4031" s="75" t="str">
        <f>IF(ISERROR(FIND('112'!$M$9,G4031,1)),"",IF((AND(RIGHT(G4031,2)=RIGHT('112'!$M$9,2),B4031&lt;'112'!$K$9,$O4031='112'!$I$6)),"x",""))</f>
        <v/>
      </c>
      <c r="W4031" s="75" t="str">
        <f>IF(AND('341-CT'!$H$9=H4031,OR(LEFT(N4031,3)=$W$7,LEFT(O4031,3)=$W$7)),"x","")</f>
        <v/>
      </c>
      <c r="X4031" s="75" t="str">
        <f>IF(OR(TH!N3625=TH!$X$7,O4031=TH!$X$7),"x","")</f>
        <v/>
      </c>
      <c r="Y4031" s="75" t="str">
        <f>IF(AND(OR(N4031="131",O4031="131"),H4031='131-CT'!$H$9),"x","")</f>
        <v/>
      </c>
      <c r="Z4031" s="75"/>
      <c r="AA4031" s="75" t="str">
        <f>IF(AND(MONTH(E4031)='IN-NX'!$J$5,'IN-NX'!$D$7=D4031),"x","")</f>
        <v/>
      </c>
      <c r="AB4031" s="75" t="str">
        <f>IF(AND(OR(LEFT(TH!N3625,2)="15",LEFT(TH!O3625,2)="15"),LEFT(TH!O3625,3)&lt;&gt;"111",'152-CT'!$J$8=TH!F3625),"x","")</f>
        <v/>
      </c>
      <c r="AC4031" s="75" t="str">
        <f>IF(AND(OR(LEFT(TH!N3625,2)="15",LEFT(TH!O3625,2)="15"),TK!$E$7=TH!F3625),"x","")</f>
        <v/>
      </c>
      <c r="AD4031" s="75" t="str">
        <f>IF(AND(N4031="1521",MONTH(C4031)='BK-NL'!$M$11),"x","")</f>
        <v/>
      </c>
      <c r="AE4031"/>
      <c r="AF4031"/>
      <c r="AG4031"/>
    </row>
    <row r="4032" spans="1:33" ht="18" customHeight="1">
      <c r="A4032" s="309" t="str">
        <f>IF(B4032&lt;&gt;"",IF(AND(B4032='IN-TC'!$S$4,OR(TH!N4029="1111",TH!O4029="1111")),TH!D4029,""),"")</f>
        <v/>
      </c>
      <c r="B4032" s="1242">
        <f t="shared" si="1310"/>
        <v>5</v>
      </c>
      <c r="C4032" s="292">
        <f t="shared" si="1311"/>
        <v>42858</v>
      </c>
      <c r="D4032" s="292" t="s">
        <v>902</v>
      </c>
      <c r="E4032" s="292">
        <v>42858</v>
      </c>
      <c r="F4032" s="1127" t="s">
        <v>1307</v>
      </c>
      <c r="G4032" s="293" t="s">
        <v>747</v>
      </c>
      <c r="H4032" s="294" t="s">
        <v>835</v>
      </c>
      <c r="I4032" s="373"/>
      <c r="J4032" s="379"/>
      <c r="K4032" s="373"/>
      <c r="L4032" s="379"/>
      <c r="M4032" s="60">
        <v>187098</v>
      </c>
      <c r="N4032" s="295" t="s">
        <v>101</v>
      </c>
      <c r="O4032" s="61" t="s">
        <v>26</v>
      </c>
      <c r="P4032" s="75" t="str">
        <f>IF(AND('331-CT'!$E$7=TH!H5152,OR(N4032="331",O4032="331")),"x","")</f>
        <v/>
      </c>
      <c r="Q4032" s="75" t="str">
        <f>IF(AND(B4032='111'!$L$11,OR($N4032=$Q$7,$O4032=$Q$7)),"x","")</f>
        <v/>
      </c>
      <c r="R4032" s="75" t="str">
        <f>IF(AND($N4032=$Q$7,$B4032&lt;'111'!$L$11),"x","")</f>
        <v/>
      </c>
      <c r="S4032" s="75" t="str">
        <f>IF(AND($O4032=$Q$7,$B4032&lt;'111'!$L$11),"x","")</f>
        <v/>
      </c>
      <c r="T4032" s="75" t="str">
        <f>IF(ISERROR(FIND('112'!$M$9,G4032,1)),"",IF((AND(FIND('112'!$M$9,G4032,1)&gt;=1,B4032='112'!$K$9,OR($N4032='112'!$I$6,$O4032='112'!$I$6))),"x",""))</f>
        <v/>
      </c>
      <c r="U4032" s="75" t="str">
        <f>IF(ISERROR(FIND('112'!$M$9,G4032,1)),"",IF((AND(LEFT(G4032,2)=LEFT('112'!$M$9,2),B4032&lt;'112'!$K$9,$N4032='112'!$I$6)),"x",""))</f>
        <v/>
      </c>
      <c r="V4032" s="75" t="str">
        <f>IF(ISERROR(FIND('112'!$M$9,G4032,1)),"",IF((AND(RIGHT(G4032,2)=RIGHT('112'!$M$9,2),B4032&lt;'112'!$K$9,$O4032='112'!$I$6)),"x",""))</f>
        <v/>
      </c>
      <c r="W4032" s="75" t="str">
        <f>IF(AND('341-CT'!$H$9=H4032,OR(LEFT(N4032,3)=$W$7,LEFT(O4032,3)=$W$7)),"x","")</f>
        <v/>
      </c>
      <c r="X4032" s="75" t="str">
        <f>IF(OR(TH!N5152=TH!$X$7,O4032=TH!$X$7),"x","")</f>
        <v/>
      </c>
      <c r="Y4032" s="75" t="str">
        <f>IF(AND(OR(N4032="131",O4032="131"),H4032='131-CT'!$H$9),"x","")</f>
        <v/>
      </c>
      <c r="Z4032" s="75"/>
      <c r="AA4032" s="75" t="str">
        <f>IF(AND(MONTH(E4032)='IN-NX'!$J$5,'IN-NX'!$D$7=D4032),"x","")</f>
        <v/>
      </c>
      <c r="AB4032" s="75" t="str">
        <f>IF(AND(OR(LEFT(TH!N5152,2)="15",LEFT(TH!O5152,2)="15"),LEFT(TH!O5152,3)&lt;&gt;"111",'152-CT'!$J$8=TH!F5152),"x","")</f>
        <v/>
      </c>
      <c r="AC4032" s="75" t="str">
        <f>IF(AND(OR(LEFT(TH!N5152,2)="15",LEFT(TH!O5152,2)="15"),TK!$E$7=TH!F5152),"x","")</f>
        <v/>
      </c>
      <c r="AD4032" s="75" t="str">
        <f>IF(AND(N4032="1521",MONTH(C4032)='BK-NL'!$M$11),"x","")</f>
        <v/>
      </c>
    </row>
    <row r="4033" spans="1:33" ht="18" customHeight="1">
      <c r="A4033" s="309" t="str">
        <f>IF(B4033&lt;&gt;"",IF(AND(B4033='IN-TC'!$S$4,OR(TH!N4030="1111",TH!O4030="1111")),TH!D4030,""),"")</f>
        <v/>
      </c>
      <c r="B4033" s="1339">
        <f t="shared" si="1310"/>
        <v>5</v>
      </c>
      <c r="C4033" s="292">
        <f t="shared" si="1311"/>
        <v>42858</v>
      </c>
      <c r="D4033" s="71"/>
      <c r="E4033" s="71">
        <v>42858</v>
      </c>
      <c r="F4033" s="1216" t="s">
        <v>3032</v>
      </c>
      <c r="G4033" s="72" t="s">
        <v>332</v>
      </c>
      <c r="H4033" s="73" t="s">
        <v>1880</v>
      </c>
      <c r="I4033" s="371"/>
      <c r="J4033" s="378"/>
      <c r="K4033" s="371"/>
      <c r="L4033" s="377"/>
      <c r="M4033" s="74">
        <v>2600000000</v>
      </c>
      <c r="N4033" s="75" t="s">
        <v>262</v>
      </c>
      <c r="O4033" s="75" t="s">
        <v>63</v>
      </c>
      <c r="P4033" s="75" t="str">
        <f>IF(AND('331-CT'!$E$7=TH!H5681,OR(N4033="331",O4033="331")),"x","")</f>
        <v/>
      </c>
      <c r="Q4033" s="75" t="str">
        <f>IF(AND(B4033='111'!$L$11,OR($N4033=$Q$7,$O4033=$Q$7)),"x","")</f>
        <v/>
      </c>
      <c r="R4033" s="75" t="str">
        <f>IF(AND($N4033=$Q$7,$B4033&lt;'111'!$L$11),"x","")</f>
        <v/>
      </c>
      <c r="S4033" s="75" t="str">
        <f>IF(AND($O4033=$Q$7,$B4033&lt;'111'!$L$11),"x","")</f>
        <v>x</v>
      </c>
      <c r="T4033" s="75" t="str">
        <f>IF(ISERROR(FIND('112'!$M$9,G4033,1)),"",IF((AND(FIND('112'!$M$9,G4033,1)&gt;=1,B4033='112'!$K$9,OR($N4033='112'!$I$6,$O4033='112'!$I$6))),"x",""))</f>
        <v/>
      </c>
      <c r="U4033" s="75" t="str">
        <f>IF(ISERROR(FIND('112'!$M$9,G4033,1)),"",IF((AND(LEFT(G4033,2)=LEFT('112'!$M$9,2),B4033&lt;'112'!$K$9,$N4033='112'!$I$6)),"x",""))</f>
        <v/>
      </c>
      <c r="V4033" s="75" t="str">
        <f>IF(ISERROR(FIND('112'!$M$9,G4033,1)),"",IF((AND(RIGHT(G4033,2)=RIGHT('112'!$M$9,2),B4033&lt;'112'!$K$9,$O4033='112'!$I$6)),"x",""))</f>
        <v/>
      </c>
      <c r="W4033" s="75" t="str">
        <f>IF(AND('341-CT'!$H$9=H4033,OR(LEFT(N4033,3)=$W$7,LEFT(O4033,3)=$W$7)),"x","")</f>
        <v/>
      </c>
      <c r="X4033" s="75" t="str">
        <f>IF(OR(TH!N5681=TH!$X$7,O4033=TH!$X$7),"x","")</f>
        <v/>
      </c>
      <c r="Y4033" s="75" t="str">
        <f>IF(AND(OR(N4033="131",O4033="131"),H4033='131-CT'!$H$9),"x","")</f>
        <v/>
      </c>
      <c r="Z4033" s="75"/>
      <c r="AA4033" s="75" t="str">
        <f>IF(AND(MONTH(E4033)='IN-NX'!$J$5,'IN-NX'!$D$7=D4033),"x","")</f>
        <v/>
      </c>
      <c r="AB4033" s="75" t="str">
        <f>IF(AND(OR(LEFT(TH!N5681,2)="15",LEFT(TH!O5681,2)="15"),LEFT(TH!O5681,3)&lt;&gt;"111",'152-CT'!$J$8=TH!F5681),"x","")</f>
        <v/>
      </c>
      <c r="AC4033" s="75" t="str">
        <f>IF(AND(OR(LEFT(TH!N5681,2)="15",LEFT(TH!O5681,2)="15"),TK!$E$7=TH!F5681),"x","")</f>
        <v/>
      </c>
      <c r="AD4033" s="75" t="str">
        <f>IF(AND(N4033="1521",MONTH(C4033)='BK-NL'!$M$11),"x","")</f>
        <v/>
      </c>
      <c r="AE4033" s="1264"/>
      <c r="AF4033" s="1264"/>
      <c r="AG4033" s="1264"/>
    </row>
    <row r="4034" spans="1:33" ht="18" customHeight="1">
      <c r="A4034" s="309" t="str">
        <f>IF(B4034&lt;&gt;"",IF(AND(B4034='IN-TC'!$S$4,OR(TH!N4031="1111",TH!O4031="1111")),TH!D4031,""),"")</f>
        <v/>
      </c>
      <c r="B4034" s="1339">
        <f t="shared" si="1310"/>
        <v>5</v>
      </c>
      <c r="C4034" s="292">
        <f t="shared" si="1311"/>
        <v>42858</v>
      </c>
      <c r="D4034" s="71"/>
      <c r="E4034" s="71">
        <v>42858</v>
      </c>
      <c r="F4034" s="1216" t="s">
        <v>3032</v>
      </c>
      <c r="G4034" s="72" t="s">
        <v>1899</v>
      </c>
      <c r="H4034" s="73" t="s">
        <v>1879</v>
      </c>
      <c r="I4034" s="371"/>
      <c r="J4034" s="378"/>
      <c r="K4034" s="371"/>
      <c r="L4034" s="377"/>
      <c r="M4034" s="74">
        <v>2400000000</v>
      </c>
      <c r="N4034" s="75" t="s">
        <v>262</v>
      </c>
      <c r="O4034" s="75" t="s">
        <v>63</v>
      </c>
      <c r="P4034" s="75" t="str">
        <f>IF(AND('331-CT'!$E$7=TH!H5690,OR(N4034="331",O4034="331")),"x","")</f>
        <v/>
      </c>
      <c r="Q4034" s="75" t="str">
        <f>IF(AND(B4034='111'!$L$11,OR($N4034=$Q$7,$O4034=$Q$7)),"x","")</f>
        <v/>
      </c>
      <c r="R4034" s="75" t="str">
        <f>IF(AND($N4034=$Q$7,$B4034&lt;'111'!$L$11),"x","")</f>
        <v/>
      </c>
      <c r="S4034" s="75" t="str">
        <f>IF(AND($O4034=$Q$7,$B4034&lt;'111'!$L$11),"x","")</f>
        <v>x</v>
      </c>
      <c r="T4034" s="75" t="str">
        <f>IF(ISERROR(FIND('112'!$M$9,G4034,1)),"",IF((AND(FIND('112'!$M$9,G4034,1)&gt;=1,B4034='112'!$K$9,OR($N4034='112'!$I$6,$O4034='112'!$I$6))),"x",""))</f>
        <v/>
      </c>
      <c r="U4034" s="75" t="str">
        <f>IF(ISERROR(FIND('112'!$M$9,G4034,1)),"",IF((AND(LEFT(G4034,2)=LEFT('112'!$M$9,2),B4034&lt;'112'!$K$9,$N4034='112'!$I$6)),"x",""))</f>
        <v/>
      </c>
      <c r="V4034" s="75" t="str">
        <f>IF(ISERROR(FIND('112'!$M$9,G4034,1)),"",IF((AND(RIGHT(G4034,2)=RIGHT('112'!$M$9,2),B4034&lt;'112'!$K$9,$O4034='112'!$I$6)),"x",""))</f>
        <v/>
      </c>
      <c r="W4034" s="75" t="str">
        <f>IF(AND('341-CT'!$H$9=H4034,OR(LEFT(N4034,3)=$W$7,LEFT(O4034,3)=$W$7)),"x","")</f>
        <v/>
      </c>
      <c r="X4034" s="75" t="str">
        <f>IF(OR(TH!N5690=TH!$X$7,O4034=TH!$X$7),"x","")</f>
        <v/>
      </c>
      <c r="Y4034" s="75" t="str">
        <f>IF(AND(OR(N4034="131",O4034="131"),H4034='131-CT'!$H$9),"x","")</f>
        <v/>
      </c>
      <c r="Z4034" s="75"/>
      <c r="AA4034" s="75" t="str">
        <f>IF(AND(MONTH(E4034)='IN-NX'!$J$5,'IN-NX'!$D$7=D4034),"x","")</f>
        <v/>
      </c>
      <c r="AB4034" s="75" t="str">
        <f>IF(AND(OR(LEFT(TH!N5690,2)="15",LEFT(TH!O5690,2)="15"),LEFT(TH!O5690,3)&lt;&gt;"111",'152-CT'!$J$8=TH!F5690),"x","")</f>
        <v/>
      </c>
      <c r="AC4034" s="75" t="str">
        <f>IF(AND(OR(LEFT(TH!N5690,2)="15",LEFT(TH!O5690,2)="15"),TK!$E$7=TH!F5690),"x","")</f>
        <v/>
      </c>
      <c r="AD4034" s="75" t="str">
        <f>IF(AND(N4034="1521",MONTH(C4034)='BK-NL'!$M$11),"x","")</f>
        <v/>
      </c>
      <c r="AE4034" s="1264"/>
      <c r="AF4034" s="1264"/>
      <c r="AG4034" s="1264"/>
    </row>
    <row r="4035" spans="1:33" ht="18" customHeight="1">
      <c r="A4035" s="309" t="str">
        <f>IF(B4035&lt;&gt;"",IF(AND(B4035='IN-TC'!$S$4,OR(TH!N5706="1111",TH!O5706="1111")),TH!D5706,""),"")</f>
        <v/>
      </c>
      <c r="B4035" s="1339">
        <f t="shared" si="1310"/>
        <v>5</v>
      </c>
      <c r="C4035" s="292">
        <f t="shared" si="1311"/>
        <v>42858</v>
      </c>
      <c r="D4035" s="71"/>
      <c r="E4035" s="71">
        <v>42858</v>
      </c>
      <c r="F4035" s="1216" t="s">
        <v>3010</v>
      </c>
      <c r="G4035" s="72" t="s">
        <v>1899</v>
      </c>
      <c r="H4035" s="73" t="s">
        <v>1879</v>
      </c>
      <c r="I4035" s="371"/>
      <c r="J4035" s="378"/>
      <c r="K4035" s="371"/>
      <c r="L4035" s="377"/>
      <c r="M4035" s="74">
        <v>78029000</v>
      </c>
      <c r="N4035" s="75" t="s">
        <v>63</v>
      </c>
      <c r="O4035" s="75" t="s">
        <v>262</v>
      </c>
      <c r="P4035" s="75" t="str">
        <f>IF(AND('331-CT'!$E$7=TH!H5706,OR(N4035="331",O4035="331")),"x","")</f>
        <v/>
      </c>
      <c r="Q4035" s="75" t="str">
        <f>IF(AND(B4035='111'!$L$11,OR($N4035=$Q$7,$O4035=$Q$7)),"x","")</f>
        <v/>
      </c>
      <c r="R4035" s="75" t="str">
        <f>IF(AND($N4035=$Q$7,$B4035&lt;'111'!$L$11),"x","")</f>
        <v>x</v>
      </c>
      <c r="S4035" s="75" t="str">
        <f>IF(AND($O4035=$Q$7,$B4035&lt;'111'!$L$11),"x","")</f>
        <v/>
      </c>
      <c r="T4035" s="75" t="str">
        <f>IF(ISERROR(FIND('112'!$M$9,G4035,1)),"",IF((AND(FIND('112'!$M$9,G4035,1)&gt;=1,B4035='112'!$K$9,OR($N4035='112'!$I$6,$O4035='112'!$I$6))),"x",""))</f>
        <v/>
      </c>
      <c r="U4035" s="75" t="str">
        <f>IF(ISERROR(FIND('112'!$M$9,G4035,1)),"",IF((AND(LEFT(G4035,2)=LEFT('112'!$M$9,2),B4035&lt;'112'!$K$9,$N4035='112'!$I$6)),"x",""))</f>
        <v/>
      </c>
      <c r="V4035" s="75" t="str">
        <f>IF(ISERROR(FIND('112'!$M$9,G4035,1)),"",IF((AND(RIGHT(G4035,2)=RIGHT('112'!$M$9,2),B4035&lt;'112'!$K$9,$O4035='112'!$I$6)),"x",""))</f>
        <v/>
      </c>
      <c r="W4035" s="75" t="str">
        <f>IF(AND('341-CT'!$H$9=H4035,OR(LEFT(N4035,3)=$W$7,LEFT(O4035,3)=$W$7)),"x","")</f>
        <v/>
      </c>
      <c r="X4035" s="75" t="str">
        <f>IF(OR(TH!N5706=TH!$X$7,O4035=TH!$X$7),"x","")</f>
        <v>x</v>
      </c>
      <c r="Y4035" s="75" t="str">
        <f>IF(AND(OR(N4035="131",O4035="131"),H4035='131-CT'!$H$9),"x","")</f>
        <v/>
      </c>
      <c r="Z4035" s="75"/>
      <c r="AA4035" s="75" t="str">
        <f>IF(AND(MONTH(E4035)='IN-NX'!$J$5,'IN-NX'!$D$7=D4035),"x","")</f>
        <v/>
      </c>
      <c r="AB4035" s="75" t="str">
        <f>IF(AND(OR(LEFT(TH!N5706,2)="15",LEFT(TH!O5706,2)="15"),LEFT(TH!O5706,3)&lt;&gt;"111",'152-CT'!$J$8=TH!F5706),"x","")</f>
        <v/>
      </c>
      <c r="AC4035" s="75" t="str">
        <f>IF(AND(OR(LEFT(TH!N5706,2)="15",LEFT(TH!O5706,2)="15"),TK!$E$7=TH!F5706),"x","")</f>
        <v/>
      </c>
      <c r="AD4035" s="75" t="str">
        <f>IF(AND(N4035="1521",MONTH(C4035)='BK-NL'!$M$11),"x","")</f>
        <v/>
      </c>
      <c r="AE4035" s="1264"/>
      <c r="AF4035" s="1264"/>
      <c r="AG4035" s="1264"/>
    </row>
    <row r="4036" spans="1:33" ht="16.5" customHeight="1">
      <c r="A4036" s="309" t="str">
        <f>IF(B4036&lt;&gt;"",IF(AND(B4036='IN-TC'!$S$4,OR(TH!N4032="1111",TH!O4032="1111")),TH!D4032,""),"")</f>
        <v/>
      </c>
      <c r="B4036" s="1242">
        <f t="shared" si="1310"/>
        <v>5</v>
      </c>
      <c r="C4036" s="292">
        <f t="shared" si="1311"/>
        <v>42859</v>
      </c>
      <c r="D4036" s="292" t="s">
        <v>1916</v>
      </c>
      <c r="E4036" s="929">
        <v>42859</v>
      </c>
      <c r="F4036" s="73" t="s">
        <v>1165</v>
      </c>
      <c r="G4036" s="931" t="s">
        <v>1350</v>
      </c>
      <c r="H4036" s="296" t="s">
        <v>796</v>
      </c>
      <c r="I4036" s="371"/>
      <c r="J4036" s="932"/>
      <c r="K4036" s="371"/>
      <c r="L4036" s="377"/>
      <c r="M4036" s="933">
        <v>18980500</v>
      </c>
      <c r="N4036" s="934" t="s">
        <v>8</v>
      </c>
      <c r="O4036" s="934" t="s">
        <v>63</v>
      </c>
      <c r="P4036" s="75" t="str">
        <f>IF(AND('331-CT'!$E$7=TH!H3626,OR(N4036="331",O4036="331")),"x","")</f>
        <v/>
      </c>
      <c r="Q4036" s="75" t="str">
        <f>IF(AND(B4036='111'!$L$11,OR($N4036=$Q$7,$O4036=$Q$7)),"x","")</f>
        <v/>
      </c>
      <c r="R4036" s="75" t="str">
        <f>IF(AND($N4036=$Q$7,$B4036&lt;'111'!$L$11),"x","")</f>
        <v/>
      </c>
      <c r="S4036" s="75" t="str">
        <f>IF(AND($O4036=$Q$7,$B4036&lt;'111'!$L$11),"x","")</f>
        <v>x</v>
      </c>
      <c r="T4036" s="75" t="str">
        <f>IF(ISERROR(FIND('112'!$M$9,G4036,1)),"",IF((AND(FIND('112'!$M$9,G4036,1)&gt;=1,B4036='112'!$K$9,OR($N4036='112'!$I$6,$O4036='112'!$I$6))),"x",""))</f>
        <v/>
      </c>
      <c r="U4036" s="75" t="str">
        <f>IF(ISERROR(FIND('112'!$M$9,G4036,1)),"",IF((AND(LEFT(G4036,2)=LEFT('112'!$M$9,2),B4036&lt;'112'!$K$9,$N4036='112'!$I$6)),"x",""))</f>
        <v/>
      </c>
      <c r="V4036" s="75" t="str">
        <f>IF(ISERROR(FIND('112'!$M$9,G4036,1)),"",IF((AND(RIGHT(G4036,2)=RIGHT('112'!$M$9,2),B4036&lt;'112'!$K$9,$O4036='112'!$I$6)),"x",""))</f>
        <v/>
      </c>
      <c r="W4036" s="75" t="str">
        <f>IF(AND('341-CT'!$H$9=H4036,OR(LEFT(N4036,3)=$W$7,LEFT(O4036,3)=$W$7)),"x","")</f>
        <v/>
      </c>
      <c r="X4036" s="75" t="str">
        <f>IF(OR(TH!N3626=TH!$X$7,O4036=TH!$X$7),"x","")</f>
        <v/>
      </c>
      <c r="Y4036" s="75" t="str">
        <f>IF(AND(OR(N4036="131",O4036="131"),H4036='131-CT'!$H$9),"x","")</f>
        <v/>
      </c>
      <c r="Z4036" s="75"/>
      <c r="AA4036" s="75" t="str">
        <f>IF(AND(MONTH(E4036)='IN-NX'!$J$5,'IN-NX'!$D$7=D4036),"x","")</f>
        <v/>
      </c>
      <c r="AB4036" s="75" t="str">
        <f>IF(AND(OR(LEFT(TH!N3626,2)="15",LEFT(TH!O3626,2)="15"),LEFT(TH!O3626,3)&lt;&gt;"111",'152-CT'!$J$8=TH!F3626),"x","")</f>
        <v/>
      </c>
      <c r="AC4036" s="75" t="str">
        <f>IF(AND(OR(LEFT(TH!N3626,2)="15",LEFT(TH!O3626,2)="15"),TK!$E$7=TH!F3626),"x","")</f>
        <v/>
      </c>
      <c r="AD4036" s="75" t="str">
        <f>IF(AND(N4036="1521",MONTH(C4036)='BK-NL'!$M$11),"x","")</f>
        <v/>
      </c>
    </row>
    <row r="4037" spans="1:33" ht="16.5" customHeight="1">
      <c r="A4037" s="309" t="str">
        <f>IF(B4037&lt;&gt;"",IF(AND(B4037='IN-TC'!$S$4,OR(TH!N4033="1111",TH!O4033="1111")),TH!D4033,""),"")</f>
        <v/>
      </c>
      <c r="B4037" s="1242">
        <f t="shared" si="1310"/>
        <v>5</v>
      </c>
      <c r="C4037" s="292">
        <f t="shared" si="1311"/>
        <v>42859</v>
      </c>
      <c r="D4037" s="292" t="s">
        <v>1917</v>
      </c>
      <c r="E4037" s="929">
        <v>42859</v>
      </c>
      <c r="F4037" s="73" t="s">
        <v>1562</v>
      </c>
      <c r="G4037" s="931" t="s">
        <v>1269</v>
      </c>
      <c r="H4037" s="296" t="s">
        <v>555</v>
      </c>
      <c r="I4037" s="371"/>
      <c r="J4037" s="932"/>
      <c r="K4037" s="371"/>
      <c r="L4037" s="377"/>
      <c r="M4037" s="933">
        <v>5610000</v>
      </c>
      <c r="N4037" s="934" t="s">
        <v>8</v>
      </c>
      <c r="O4037" s="934" t="s">
        <v>63</v>
      </c>
      <c r="P4037" s="75" t="str">
        <f>IF(AND('331-CT'!$E$7=TH!H3627,OR(N4037="331",O4037="331")),"x","")</f>
        <v/>
      </c>
      <c r="Q4037" s="75" t="str">
        <f>IF(AND(B4037='111'!$L$11,OR($N4037=$Q$7,$O4037=$Q$7)),"x","")</f>
        <v/>
      </c>
      <c r="R4037" s="75" t="str">
        <f>IF(AND($N4037=$Q$7,$B4037&lt;'111'!$L$11),"x","")</f>
        <v/>
      </c>
      <c r="S4037" s="75" t="str">
        <f>IF(AND($O4037=$Q$7,$B4037&lt;'111'!$L$11),"x","")</f>
        <v>x</v>
      </c>
      <c r="T4037" s="75" t="str">
        <f>IF(ISERROR(FIND('112'!$M$9,G4037,1)),"",IF((AND(FIND('112'!$M$9,G4037,1)&gt;=1,B4037='112'!$K$9,OR($N4037='112'!$I$6,$O4037='112'!$I$6))),"x",""))</f>
        <v/>
      </c>
      <c r="U4037" s="75" t="str">
        <f>IF(ISERROR(FIND('112'!$M$9,G4037,1)),"",IF((AND(LEFT(G4037,2)=LEFT('112'!$M$9,2),B4037&lt;'112'!$K$9,$N4037='112'!$I$6)),"x",""))</f>
        <v/>
      </c>
      <c r="V4037" s="75" t="str">
        <f>IF(ISERROR(FIND('112'!$M$9,G4037,1)),"",IF((AND(RIGHT(G4037,2)=RIGHT('112'!$M$9,2),B4037&lt;'112'!$K$9,$O4037='112'!$I$6)),"x",""))</f>
        <v/>
      </c>
      <c r="W4037" s="75" t="str">
        <f>IF(AND('341-CT'!$H$9=H4037,OR(LEFT(N4037,3)=$W$7,LEFT(O4037,3)=$W$7)),"x","")</f>
        <v/>
      </c>
      <c r="X4037" s="75" t="str">
        <f>IF(OR(TH!N3627=TH!$X$7,O4037=TH!$X$7),"x","")</f>
        <v/>
      </c>
      <c r="Y4037" s="75" t="str">
        <f>IF(AND(OR(N4037="131",O4037="131"),H4037='131-CT'!$H$9),"x","")</f>
        <v/>
      </c>
      <c r="Z4037" s="75"/>
      <c r="AA4037" s="75" t="str">
        <f>IF(AND(MONTH(E4037)='IN-NX'!$J$5,'IN-NX'!$D$7=D4037),"x","")</f>
        <v/>
      </c>
      <c r="AB4037" s="75" t="str">
        <f>IF(AND(OR(LEFT(TH!N3627,2)="15",LEFT(TH!O3627,2)="15"),LEFT(TH!O3627,3)&lt;&gt;"111",'152-CT'!$J$8=TH!F3627),"x","")</f>
        <v/>
      </c>
      <c r="AC4037" s="75" t="str">
        <f>IF(AND(OR(LEFT(TH!N3627,2)="15",LEFT(TH!O3627,2)="15"),TK!$E$7=TH!F3627),"x","")</f>
        <v/>
      </c>
      <c r="AD4037" s="75" t="str">
        <f>IF(AND(N4037="1521",MONTH(C4037)='BK-NL'!$M$11),"x","")</f>
        <v/>
      </c>
    </row>
    <row r="4038" spans="1:33" ht="16.5" customHeight="1">
      <c r="A4038" s="309" t="str">
        <f>IF(B4038&lt;&gt;"",IF(AND(B4038='IN-TC'!$S$4,OR(TH!N4034="1111",TH!O4034="1111")),TH!D4034,""),"")</f>
        <v/>
      </c>
      <c r="B4038" s="1242">
        <f t="shared" si="1310"/>
        <v>5</v>
      </c>
      <c r="C4038" s="292">
        <f t="shared" si="1311"/>
        <v>42859</v>
      </c>
      <c r="D4038" s="292" t="s">
        <v>903</v>
      </c>
      <c r="E4038" s="59">
        <v>42859</v>
      </c>
      <c r="F4038" s="1127" t="s">
        <v>1086</v>
      </c>
      <c r="G4038" s="62" t="s">
        <v>585</v>
      </c>
      <c r="H4038" s="311" t="s">
        <v>802</v>
      </c>
      <c r="I4038" s="373"/>
      <c r="J4038" s="379"/>
      <c r="K4038" s="373"/>
      <c r="L4038" s="379"/>
      <c r="M4038" s="60">
        <v>69965500</v>
      </c>
      <c r="N4038" s="61" t="s">
        <v>26</v>
      </c>
      <c r="O4038" s="61" t="s">
        <v>536</v>
      </c>
      <c r="P4038" s="75" t="str">
        <f>IF(AND('331-CT'!$E$7=TH!H4719,OR(N4038="331",O4038="331")),"x","")</f>
        <v/>
      </c>
      <c r="Q4038" s="75" t="str">
        <f>IF(AND(B4038='111'!$L$11,OR($N4038=$Q$7,$O4038=$Q$7)),"x","")</f>
        <v/>
      </c>
      <c r="R4038" s="75" t="str">
        <f>IF(AND($N4038=$Q$7,$B4038&lt;'111'!$L$11),"x","")</f>
        <v/>
      </c>
      <c r="S4038" s="75" t="str">
        <f>IF(AND($O4038=$Q$7,$B4038&lt;'111'!$L$11),"x","")</f>
        <v/>
      </c>
      <c r="T4038" s="75" t="str">
        <f>IF(ISERROR(FIND('112'!$M$9,G4038,1)),"",IF((AND(FIND('112'!$M$9,G4038,1)&gt;=1,B4038='112'!$K$9,OR($N4038='112'!$I$6,$O4038='112'!$I$6))),"x",""))</f>
        <v/>
      </c>
      <c r="U4038" s="75" t="str">
        <f>IF(ISERROR(FIND('112'!$M$9,G4038,1)),"",IF((AND(LEFT(G4038,2)=LEFT('112'!$M$9,2),B4038&lt;'112'!$K$9,$N4038='112'!$I$6)),"x",""))</f>
        <v/>
      </c>
      <c r="V4038" s="75" t="str">
        <f>IF(ISERROR(FIND('112'!$M$9,G4038,1)),"",IF((AND(RIGHT(G4038,2)=RIGHT('112'!$M$9,2),B4038&lt;'112'!$K$9,$O4038='112'!$I$6)),"x",""))</f>
        <v/>
      </c>
      <c r="W4038" s="75" t="str">
        <f>IF(AND('341-CT'!$H$9=H4038,OR(LEFT(N4038,3)=$W$7,LEFT(O4038,3)=$W$7)),"x","")</f>
        <v/>
      </c>
      <c r="X4038" s="75" t="str">
        <f>IF(OR(TH!N4719=TH!$X$7,O4038=TH!$X$7),"x","")</f>
        <v/>
      </c>
      <c r="Y4038" s="75" t="str">
        <f>IF(AND(OR(N4038="131",O4038="131"),H4038='131-CT'!$H$9),"x","")</f>
        <v/>
      </c>
      <c r="Z4038" s="75"/>
      <c r="AA4038" s="75" t="str">
        <f>IF(AND(MONTH(E4038)='IN-NX'!$J$5,'IN-NX'!$D$7=D4038),"x","")</f>
        <v/>
      </c>
      <c r="AB4038" s="75" t="str">
        <f>IF(AND(OR(LEFT(TH!N4719,2)="15",LEFT(TH!O4719,2)="15"),LEFT(TH!O4719,3)&lt;&gt;"111",'152-CT'!$J$8=TH!F4719),"x","")</f>
        <v/>
      </c>
      <c r="AC4038" s="75" t="str">
        <f>IF(AND(OR(LEFT(TH!N4719,2)="15",LEFT(TH!O4719,2)="15"),TK!$E$7=TH!F4719),"x","")</f>
        <v/>
      </c>
      <c r="AD4038" s="75" t="str">
        <f>IF(AND(N4038="1521",MONTH(C4038)='BK-NL'!$M$11),"x","")</f>
        <v/>
      </c>
    </row>
    <row r="4039" spans="1:33" ht="16.5" customHeight="1">
      <c r="A4039" s="309" t="str">
        <f>IF(B4039&lt;&gt;"",IF(AND(B4039='IN-TC'!$S$4,OR(TH!N4035="1111",TH!O4035="1111")),TH!D4035,""),"")</f>
        <v/>
      </c>
      <c r="B4039" s="1242">
        <f t="shared" si="1310"/>
        <v>5</v>
      </c>
      <c r="C4039" s="292">
        <f t="shared" si="1311"/>
        <v>42859</v>
      </c>
      <c r="D4039" s="292" t="s">
        <v>902</v>
      </c>
      <c r="E4039" s="59">
        <v>42859</v>
      </c>
      <c r="F4039" s="1127" t="s">
        <v>897</v>
      </c>
      <c r="G4039" s="62" t="s">
        <v>585</v>
      </c>
      <c r="H4039" s="67" t="s">
        <v>623</v>
      </c>
      <c r="I4039" s="373"/>
      <c r="J4039" s="379"/>
      <c r="K4039" s="373"/>
      <c r="L4039" s="379"/>
      <c r="M4039" s="60">
        <v>113000000</v>
      </c>
      <c r="N4039" s="61" t="s">
        <v>8</v>
      </c>
      <c r="O4039" s="61" t="s">
        <v>26</v>
      </c>
      <c r="P4039" s="75" t="str">
        <f>IF(AND('331-CT'!$E$7=TH!H4720,OR(N4039="331",O4039="331")),"x","")</f>
        <v/>
      </c>
      <c r="Q4039" s="75" t="str">
        <f>IF(AND(B4039='111'!$L$11,OR($N4039=$Q$7,$O4039=$Q$7)),"x","")</f>
        <v/>
      </c>
      <c r="R4039" s="75" t="str">
        <f>IF(AND($N4039=$Q$7,$B4039&lt;'111'!$L$11),"x","")</f>
        <v/>
      </c>
      <c r="S4039" s="75" t="str">
        <f>IF(AND($O4039=$Q$7,$B4039&lt;'111'!$L$11),"x","")</f>
        <v/>
      </c>
      <c r="T4039" s="75" t="str">
        <f>IF(ISERROR(FIND('112'!$M$9,G4039,1)),"",IF((AND(FIND('112'!$M$9,G4039,1)&gt;=1,B4039='112'!$K$9,OR($N4039='112'!$I$6,$O4039='112'!$I$6))),"x",""))</f>
        <v/>
      </c>
      <c r="U4039" s="75" t="str">
        <f>IF(ISERROR(FIND('112'!$M$9,G4039,1)),"",IF((AND(LEFT(G4039,2)=LEFT('112'!$M$9,2),B4039&lt;'112'!$K$9,$N4039='112'!$I$6)),"x",""))</f>
        <v/>
      </c>
      <c r="V4039" s="75" t="str">
        <f>IF(ISERROR(FIND('112'!$M$9,G4039,1)),"",IF((AND(RIGHT(G4039,2)=RIGHT('112'!$M$9,2),B4039&lt;'112'!$K$9,$O4039='112'!$I$6)),"x",""))</f>
        <v/>
      </c>
      <c r="W4039" s="75" t="str">
        <f>IF(AND('341-CT'!$H$9=H4039,OR(LEFT(N4039,3)=$W$7,LEFT(O4039,3)=$W$7)),"x","")</f>
        <v/>
      </c>
      <c r="X4039" s="75" t="str">
        <f>IF(OR(TH!N4720=TH!$X$7,O4039=TH!$X$7),"x","")</f>
        <v/>
      </c>
      <c r="Y4039" s="75" t="str">
        <f>IF(AND(OR(N4039="131",O4039="131"),H4039='131-CT'!$H$9),"x","")</f>
        <v/>
      </c>
      <c r="Z4039" s="75"/>
      <c r="AA4039" s="75" t="str">
        <f>IF(AND(MONTH(E4039)='IN-NX'!$J$5,'IN-NX'!$D$7=D4039),"x","")</f>
        <v/>
      </c>
      <c r="AB4039" s="75" t="str">
        <f>IF(AND(OR(LEFT(TH!N4720,2)="15",LEFT(TH!O4720,2)="15"),LEFT(TH!O4720,3)&lt;&gt;"111",'152-CT'!$J$8=TH!F4720),"x","")</f>
        <v/>
      </c>
      <c r="AC4039" s="75" t="str">
        <f>IF(AND(OR(LEFT(TH!N4720,2)="15",LEFT(TH!O4720,2)="15"),TK!$E$7=TH!F4720),"x","")</f>
        <v/>
      </c>
      <c r="AD4039" s="75" t="str">
        <f>IF(AND(N4039="1521",MONTH(C4039)='BK-NL'!$M$11),"x","")</f>
        <v/>
      </c>
    </row>
    <row r="4040" spans="1:33" ht="18" customHeight="1">
      <c r="A4040" s="309" t="str">
        <f>IF(B4040&lt;&gt;"",IF(AND(B4040='IN-TC'!$S$4,OR(TH!N4036="1111",TH!O4036="1111")),TH!D4036,""),"")</f>
        <v/>
      </c>
      <c r="B4040" s="1242">
        <f t="shared" si="1310"/>
        <v>5</v>
      </c>
      <c r="C4040" s="292">
        <f t="shared" si="1311"/>
        <v>42859</v>
      </c>
      <c r="D4040" s="292" t="s">
        <v>903</v>
      </c>
      <c r="E4040" s="59">
        <v>42859</v>
      </c>
      <c r="F4040" s="1127" t="s">
        <v>914</v>
      </c>
      <c r="G4040" s="62" t="s">
        <v>585</v>
      </c>
      <c r="H4040" s="67" t="s">
        <v>845</v>
      </c>
      <c r="I4040" s="373"/>
      <c r="J4040" s="379"/>
      <c r="K4040" s="373"/>
      <c r="L4040" s="379"/>
      <c r="M4040" s="60">
        <v>7757</v>
      </c>
      <c r="N4040" s="61" t="s">
        <v>26</v>
      </c>
      <c r="O4040" s="295" t="s">
        <v>43</v>
      </c>
      <c r="P4040" s="75" t="str">
        <f>IF(AND('331-CT'!$E$7=TH!H4721,OR(N4040="331",O4040="331")),"x","")</f>
        <v/>
      </c>
      <c r="Q4040" s="75" t="str">
        <f>IF(AND(B4040='111'!$L$11,OR($N4040=$Q$7,$O4040=$Q$7)),"x","")</f>
        <v/>
      </c>
      <c r="R4040" s="75" t="str">
        <f>IF(AND($N4040=$Q$7,$B4040&lt;'111'!$L$11),"x","")</f>
        <v/>
      </c>
      <c r="S4040" s="75" t="str">
        <f>IF(AND($O4040=$Q$7,$B4040&lt;'111'!$L$11),"x","")</f>
        <v/>
      </c>
      <c r="T4040" s="75" t="str">
        <f>IF(ISERROR(FIND('112'!$M$9,G4040,1)),"",IF((AND(FIND('112'!$M$9,G4040,1)&gt;=1,B4040='112'!$K$9,OR($N4040='112'!$I$6,$O4040='112'!$I$6))),"x",""))</f>
        <v/>
      </c>
      <c r="U4040" s="75" t="str">
        <f>IF(ISERROR(FIND('112'!$M$9,G4040,1)),"",IF((AND(LEFT(G4040,2)=LEFT('112'!$M$9,2),B4040&lt;'112'!$K$9,$N4040='112'!$I$6)),"x",""))</f>
        <v/>
      </c>
      <c r="V4040" s="75" t="str">
        <f>IF(ISERROR(FIND('112'!$M$9,G4040,1)),"",IF((AND(RIGHT(G4040,2)=RIGHT('112'!$M$9,2),B4040&lt;'112'!$K$9,$O4040='112'!$I$6)),"x",""))</f>
        <v/>
      </c>
      <c r="W4040" s="75" t="str">
        <f>IF(AND('341-CT'!$H$9=H4040,OR(LEFT(N4040,3)=$W$7,LEFT(O4040,3)=$W$7)),"x","")</f>
        <v/>
      </c>
      <c r="X4040" s="75" t="str">
        <f>IF(OR(TH!N4721=TH!$X$7,O4040=TH!$X$7),"x","")</f>
        <v/>
      </c>
      <c r="Y4040" s="75" t="str">
        <f>IF(AND(OR(N4040="131",O4040="131"),H4040='131-CT'!$H$9),"x","")</f>
        <v/>
      </c>
      <c r="Z4040" s="75"/>
      <c r="AA4040" s="75" t="str">
        <f>IF(AND(MONTH(E4040)='IN-NX'!$J$5,'IN-NX'!$D$7=D4040),"x","")</f>
        <v/>
      </c>
      <c r="AB4040" s="75" t="str">
        <f>IF(AND(OR(LEFT(TH!N4721,2)="15",LEFT(TH!O4721,2)="15"),LEFT(TH!O4721,3)&lt;&gt;"111",'152-CT'!$J$8=TH!F4721),"x","")</f>
        <v/>
      </c>
      <c r="AC4040" s="75" t="str">
        <f>IF(AND(OR(LEFT(TH!N4721,2)="15",LEFT(TH!O4721,2)="15"),TK!$E$7=TH!F4721),"x","")</f>
        <v/>
      </c>
      <c r="AD4040" s="75" t="str">
        <f>IF(AND(N4040="1521",MONTH(C4040)='BK-NL'!$M$11),"x","")</f>
        <v/>
      </c>
    </row>
    <row r="4041" spans="1:33" ht="18" customHeight="1">
      <c r="A4041" s="309" t="str">
        <f>IF(B4041&lt;&gt;"",IF(AND(B4041='IN-TC'!$S$4,OR(TH!N4037="1111",TH!O4037="1111")),TH!D4037,""),"")</f>
        <v/>
      </c>
      <c r="B4041" s="1242">
        <f t="shared" si="1310"/>
        <v>5</v>
      </c>
      <c r="C4041" s="292">
        <f t="shared" si="1311"/>
        <v>42859</v>
      </c>
      <c r="D4041" s="292" t="s">
        <v>902</v>
      </c>
      <c r="E4041" s="292">
        <v>42859</v>
      </c>
      <c r="F4041" s="1127" t="s">
        <v>897</v>
      </c>
      <c r="G4041" s="293" t="s">
        <v>747</v>
      </c>
      <c r="H4041" s="294" t="s">
        <v>623</v>
      </c>
      <c r="I4041" s="373"/>
      <c r="J4041" s="379"/>
      <c r="K4041" s="373"/>
      <c r="L4041" s="379"/>
      <c r="M4041" s="60">
        <v>645000000</v>
      </c>
      <c r="N4041" s="295" t="s">
        <v>8</v>
      </c>
      <c r="O4041" s="61" t="s">
        <v>26</v>
      </c>
      <c r="P4041" s="75" t="str">
        <f>IF(AND('331-CT'!$E$7=TH!H5153,OR(N4041="331",O4041="331")),"x","")</f>
        <v/>
      </c>
      <c r="Q4041" s="75" t="str">
        <f>IF(AND(B4041='111'!$L$11,OR($N4041=$Q$7,$O4041=$Q$7)),"x","")</f>
        <v/>
      </c>
      <c r="R4041" s="75" t="str">
        <f>IF(AND($N4041=$Q$7,$B4041&lt;'111'!$L$11),"x","")</f>
        <v/>
      </c>
      <c r="S4041" s="75" t="str">
        <f>IF(AND($O4041=$Q$7,$B4041&lt;'111'!$L$11),"x","")</f>
        <v/>
      </c>
      <c r="T4041" s="75" t="str">
        <f>IF(ISERROR(FIND('112'!$M$9,G4041,1)),"",IF((AND(FIND('112'!$M$9,G4041,1)&gt;=1,B4041='112'!$K$9,OR($N4041='112'!$I$6,$O4041='112'!$I$6))),"x",""))</f>
        <v/>
      </c>
      <c r="U4041" s="75" t="str">
        <f>IF(ISERROR(FIND('112'!$M$9,G4041,1)),"",IF((AND(LEFT(G4041,2)=LEFT('112'!$M$9,2),B4041&lt;'112'!$K$9,$N4041='112'!$I$6)),"x",""))</f>
        <v/>
      </c>
      <c r="V4041" s="75" t="str">
        <f>IF(ISERROR(FIND('112'!$M$9,G4041,1)),"",IF((AND(RIGHT(G4041,2)=RIGHT('112'!$M$9,2),B4041&lt;'112'!$K$9,$O4041='112'!$I$6)),"x",""))</f>
        <v/>
      </c>
      <c r="W4041" s="75" t="str">
        <f>IF(AND('341-CT'!$H$9=H4041,OR(LEFT(N4041,3)=$W$7,LEFT(O4041,3)=$W$7)),"x","")</f>
        <v/>
      </c>
      <c r="X4041" s="75" t="str">
        <f>IF(OR(TH!N5153=TH!$X$7,O4041=TH!$X$7),"x","")</f>
        <v/>
      </c>
      <c r="Y4041" s="75" t="str">
        <f>IF(AND(OR(N4041="131",O4041="131"),H4041='131-CT'!$H$9),"x","")</f>
        <v/>
      </c>
      <c r="Z4041" s="75"/>
      <c r="AA4041" s="75" t="str">
        <f>IF(AND(MONTH(E4041)='IN-NX'!$J$5,'IN-NX'!$D$7=D4041),"x","")</f>
        <v/>
      </c>
      <c r="AB4041" s="75" t="str">
        <f>IF(AND(OR(LEFT(TH!N5153,2)="15",LEFT(TH!O5153,2)="15"),LEFT(TH!O5153,3)&lt;&gt;"111",'152-CT'!$J$8=TH!F5153),"x","")</f>
        <v/>
      </c>
      <c r="AC4041" s="75" t="str">
        <f>IF(AND(OR(LEFT(TH!N5153,2)="15",LEFT(TH!O5153,2)="15"),TK!$E$7=TH!F5153),"x","")</f>
        <v/>
      </c>
      <c r="AD4041" s="75" t="str">
        <f>IF(AND(N4041="1521",MONTH(C4041)='BK-NL'!$M$11),"x","")</f>
        <v/>
      </c>
    </row>
    <row r="4042" spans="1:33" ht="18" customHeight="1">
      <c r="A4042" s="309" t="str">
        <f>IF(B4042&lt;&gt;"",IF(AND(B4042='IN-TC'!$S$4,OR(TH!N4038="1111",TH!O4038="1111")),TH!D4038,""),"")</f>
        <v/>
      </c>
      <c r="B4042" s="1242">
        <f t="shared" si="1310"/>
        <v>5</v>
      </c>
      <c r="C4042" s="292">
        <f t="shared" si="1311"/>
        <v>42859</v>
      </c>
      <c r="D4042" s="292" t="s">
        <v>902</v>
      </c>
      <c r="E4042" s="292">
        <v>42859</v>
      </c>
      <c r="F4042" s="1127" t="s">
        <v>870</v>
      </c>
      <c r="G4042" s="293" t="s">
        <v>747</v>
      </c>
      <c r="H4042" s="294" t="s">
        <v>835</v>
      </c>
      <c r="I4042" s="373"/>
      <c r="J4042" s="379"/>
      <c r="K4042" s="373"/>
      <c r="L4042" s="379"/>
      <c r="M4042" s="60">
        <v>193500</v>
      </c>
      <c r="N4042" s="295" t="s">
        <v>101</v>
      </c>
      <c r="O4042" s="61" t="s">
        <v>26</v>
      </c>
      <c r="P4042" s="75" t="str">
        <f>IF(AND('331-CT'!$E$7=TH!H5154,OR(N4042="331",O4042="331")),"x","")</f>
        <v/>
      </c>
      <c r="Q4042" s="75" t="str">
        <f>IF(AND(B4042='111'!$L$11,OR($N4042=$Q$7,$O4042=$Q$7)),"x","")</f>
        <v/>
      </c>
      <c r="R4042" s="75" t="str">
        <f>IF(AND($N4042=$Q$7,$B4042&lt;'111'!$L$11),"x","")</f>
        <v/>
      </c>
      <c r="S4042" s="75" t="str">
        <f>IF(AND($O4042=$Q$7,$B4042&lt;'111'!$L$11),"x","")</f>
        <v/>
      </c>
      <c r="T4042" s="75" t="str">
        <f>IF(ISERROR(FIND('112'!$M$9,G4042,1)),"",IF((AND(FIND('112'!$M$9,G4042,1)&gt;=1,B4042='112'!$K$9,OR($N4042='112'!$I$6,$O4042='112'!$I$6))),"x",""))</f>
        <v/>
      </c>
      <c r="U4042" s="75" t="str">
        <f>IF(ISERROR(FIND('112'!$M$9,G4042,1)),"",IF((AND(LEFT(G4042,2)=LEFT('112'!$M$9,2),B4042&lt;'112'!$K$9,$N4042='112'!$I$6)),"x",""))</f>
        <v/>
      </c>
      <c r="V4042" s="75" t="str">
        <f>IF(ISERROR(FIND('112'!$M$9,G4042,1)),"",IF((AND(RIGHT(G4042,2)=RIGHT('112'!$M$9,2),B4042&lt;'112'!$K$9,$O4042='112'!$I$6)),"x",""))</f>
        <v/>
      </c>
      <c r="W4042" s="75" t="str">
        <f>IF(AND('341-CT'!$H$9=H4042,OR(LEFT(N4042,3)=$W$7,LEFT(O4042,3)=$W$7)),"x","")</f>
        <v/>
      </c>
      <c r="X4042" s="75" t="str">
        <f>IF(OR(TH!N5154=TH!$X$7,O4042=TH!$X$7),"x","")</f>
        <v/>
      </c>
      <c r="Y4042" s="75" t="str">
        <f>IF(AND(OR(N4042="131",O4042="131"),H4042='131-CT'!$H$9),"x","")</f>
        <v/>
      </c>
      <c r="Z4042" s="75"/>
      <c r="AA4042" s="75" t="str">
        <f>IF(AND(MONTH(E4042)='IN-NX'!$J$5,'IN-NX'!$D$7=D4042),"x","")</f>
        <v/>
      </c>
      <c r="AB4042" s="75" t="str">
        <f>IF(AND(OR(LEFT(TH!N5154,2)="15",LEFT(TH!O5154,2)="15"),LEFT(TH!O5154,3)&lt;&gt;"111",'152-CT'!$J$8=TH!F5154),"x","")</f>
        <v/>
      </c>
      <c r="AC4042" s="75" t="str">
        <f>IF(AND(OR(LEFT(TH!N5154,2)="15",LEFT(TH!O5154,2)="15"),TK!$E$7=TH!F5154),"x","")</f>
        <v/>
      </c>
      <c r="AD4042" s="75" t="str">
        <f>IF(AND(N4042="1521",MONTH(C4042)='BK-NL'!$M$11),"x","")</f>
        <v/>
      </c>
    </row>
    <row r="4043" spans="1:33" ht="18" customHeight="1">
      <c r="A4043" s="309" t="str">
        <f>IF(B4043&lt;&gt;"",IF(AND(B4043='IN-TC'!$S$4,OR(TH!N4039="1111",TH!O4039="1111")),TH!D4039,""),"")</f>
        <v/>
      </c>
      <c r="B4043" s="1242">
        <f t="shared" si="1310"/>
        <v>5</v>
      </c>
      <c r="C4043" s="292">
        <f t="shared" si="1311"/>
        <v>42859</v>
      </c>
      <c r="D4043" s="292" t="s">
        <v>902</v>
      </c>
      <c r="E4043" s="292">
        <v>42859</v>
      </c>
      <c r="F4043" s="1127" t="s">
        <v>898</v>
      </c>
      <c r="G4043" s="293" t="s">
        <v>747</v>
      </c>
      <c r="H4043" s="294" t="s">
        <v>835</v>
      </c>
      <c r="I4043" s="373"/>
      <c r="J4043" s="379"/>
      <c r="K4043" s="373"/>
      <c r="L4043" s="379"/>
      <c r="M4043" s="60">
        <v>19350</v>
      </c>
      <c r="N4043" s="295" t="s">
        <v>9</v>
      </c>
      <c r="O4043" s="61" t="s">
        <v>26</v>
      </c>
      <c r="P4043" s="75" t="str">
        <f>IF(AND('331-CT'!$E$7=TH!H5155,OR(N4043="331",O4043="331")),"x","")</f>
        <v/>
      </c>
      <c r="Q4043" s="75" t="str">
        <f>IF(AND(B4043='111'!$L$11,OR($N4043=$Q$7,$O4043=$Q$7)),"x","")</f>
        <v/>
      </c>
      <c r="R4043" s="75" t="str">
        <f>IF(AND($N4043=$Q$7,$B4043&lt;'111'!$L$11),"x","")</f>
        <v/>
      </c>
      <c r="S4043" s="75" t="str">
        <f>IF(AND($O4043=$Q$7,$B4043&lt;'111'!$L$11),"x","")</f>
        <v/>
      </c>
      <c r="T4043" s="75" t="str">
        <f>IF(ISERROR(FIND('112'!$M$9,G4043,1)),"",IF((AND(FIND('112'!$M$9,G4043,1)&gt;=1,B4043='112'!$K$9,OR($N4043='112'!$I$6,$O4043='112'!$I$6))),"x",""))</f>
        <v/>
      </c>
      <c r="U4043" s="75" t="str">
        <f>IF(ISERROR(FIND('112'!$M$9,G4043,1)),"",IF((AND(LEFT(G4043,2)=LEFT('112'!$M$9,2),B4043&lt;'112'!$K$9,$N4043='112'!$I$6)),"x",""))</f>
        <v/>
      </c>
      <c r="V4043" s="75" t="str">
        <f>IF(ISERROR(FIND('112'!$M$9,G4043,1)),"",IF((AND(RIGHT(G4043,2)=RIGHT('112'!$M$9,2),B4043&lt;'112'!$K$9,$O4043='112'!$I$6)),"x",""))</f>
        <v/>
      </c>
      <c r="W4043" s="75" t="str">
        <f>IF(AND('341-CT'!$H$9=H4043,OR(LEFT(N4043,3)=$W$7,LEFT(O4043,3)=$W$7)),"x","")</f>
        <v/>
      </c>
      <c r="X4043" s="75" t="str">
        <f>IF(OR(TH!N5155=TH!$X$7,O4043=TH!$X$7),"x","")</f>
        <v/>
      </c>
      <c r="Y4043" s="75" t="str">
        <f>IF(AND(OR(N4043="131",O4043="131"),H4043='131-CT'!$H$9),"x","")</f>
        <v/>
      </c>
      <c r="Z4043" s="75"/>
      <c r="AA4043" s="75" t="str">
        <f>IF(AND(MONTH(E4043)='IN-NX'!$J$5,'IN-NX'!$D$7=D4043),"x","")</f>
        <v/>
      </c>
      <c r="AB4043" s="75" t="str">
        <f>IF(AND(OR(LEFT(TH!N5155,2)="15",LEFT(TH!O5155,2)="15"),LEFT(TH!O5155,3)&lt;&gt;"111",'152-CT'!$J$8=TH!F5155),"x","")</f>
        <v/>
      </c>
      <c r="AC4043" s="75" t="str">
        <f>IF(AND(OR(LEFT(TH!N5155,2)="15",LEFT(TH!O5155,2)="15"),TK!$E$7=TH!F5155),"x","")</f>
        <v/>
      </c>
      <c r="AD4043" s="75" t="str">
        <f>IF(AND(N4043="1521",MONTH(C4043)='BK-NL'!$M$11),"x","")</f>
        <v/>
      </c>
    </row>
    <row r="4044" spans="1:33" ht="18" customHeight="1">
      <c r="A4044" s="309" t="str">
        <f>IF(B4044&lt;&gt;"",IF(AND(B4044='IN-TC'!$S$4,OR(TH!N4040="1111",TH!O4040="1111")),TH!D4040,""),"")</f>
        <v/>
      </c>
      <c r="B4044" s="1242">
        <f t="shared" si="1310"/>
        <v>5</v>
      </c>
      <c r="C4044" s="292">
        <f t="shared" si="1311"/>
        <v>42860</v>
      </c>
      <c r="D4044" s="292" t="s">
        <v>1918</v>
      </c>
      <c r="E4044" s="292">
        <v>42860</v>
      </c>
      <c r="F4044" s="1127" t="s">
        <v>1491</v>
      </c>
      <c r="G4044" s="925" t="s">
        <v>1493</v>
      </c>
      <c r="H4044" s="294" t="s">
        <v>893</v>
      </c>
      <c r="I4044" s="373"/>
      <c r="J4044" s="926"/>
      <c r="K4044" s="373"/>
      <c r="L4044" s="379"/>
      <c r="M4044" s="927">
        <v>527291</v>
      </c>
      <c r="N4044" s="295" t="s">
        <v>101</v>
      </c>
      <c r="O4044" s="295" t="s">
        <v>63</v>
      </c>
      <c r="P4044" s="75" t="str">
        <f>IF(AND('331-CT'!$E$7=TH!H3628,OR(N4044="331",O4044="331")),"x","")</f>
        <v/>
      </c>
      <c r="Q4044" s="75" t="str">
        <f>IF(AND(B4044='111'!$L$11,OR($N4044=$Q$7,$O4044=$Q$7)),"x","")</f>
        <v/>
      </c>
      <c r="R4044" s="75" t="str">
        <f>IF(AND($N4044=$Q$7,$B4044&lt;'111'!$L$11),"x","")</f>
        <v/>
      </c>
      <c r="S4044" s="75" t="str">
        <f>IF(AND($O4044=$Q$7,$B4044&lt;'111'!$L$11),"x","")</f>
        <v>x</v>
      </c>
      <c r="T4044" s="75" t="str">
        <f>IF(ISERROR(FIND('112'!$M$9,G4044,1)),"",IF((AND(FIND('112'!$M$9,G4044,1)&gt;=1,B4044='112'!$K$9,OR($N4044='112'!$I$6,$O4044='112'!$I$6))),"x",""))</f>
        <v/>
      </c>
      <c r="U4044" s="75" t="str">
        <f>IF(ISERROR(FIND('112'!$M$9,G4044,1)),"",IF((AND(LEFT(G4044,2)=LEFT('112'!$M$9,2),B4044&lt;'112'!$K$9,$N4044='112'!$I$6)),"x",""))</f>
        <v/>
      </c>
      <c r="V4044" s="75" t="str">
        <f>IF(ISERROR(FIND('112'!$M$9,G4044,1)),"",IF((AND(RIGHT(G4044,2)=RIGHT('112'!$M$9,2),B4044&lt;'112'!$K$9,$O4044='112'!$I$6)),"x",""))</f>
        <v/>
      </c>
      <c r="W4044" s="75" t="str">
        <f>IF(AND('341-CT'!$H$9=H4044,OR(LEFT(N4044,3)=$W$7,LEFT(O4044,3)=$W$7)),"x","")</f>
        <v/>
      </c>
      <c r="X4044" s="75" t="str">
        <f>IF(OR(TH!N3628=TH!$X$7,O4044=TH!$X$7),"x","")</f>
        <v/>
      </c>
      <c r="Y4044" s="75" t="str">
        <f>IF(AND(OR(N4044="131",O4044="131"),H4044='131-CT'!$H$9),"x","")</f>
        <v/>
      </c>
      <c r="Z4044" s="75"/>
      <c r="AA4044" s="75" t="str">
        <f>IF(AND(MONTH(E4044)='IN-NX'!$J$5,'IN-NX'!$D$7=D4044),"x","")</f>
        <v/>
      </c>
      <c r="AB4044" s="75" t="str">
        <f>IF(AND(OR(LEFT(TH!N3628,2)="15",LEFT(TH!O3628,2)="15"),LEFT(TH!O3628,3)&lt;&gt;"111",'152-CT'!$J$8=TH!F3628),"x","")</f>
        <v/>
      </c>
      <c r="AC4044" s="75" t="str">
        <f>IF(AND(OR(LEFT(TH!N3628,2)="15",LEFT(TH!O3628,2)="15"),TK!$E$7=TH!F3628),"x","")</f>
        <v/>
      </c>
      <c r="AD4044" s="75" t="str">
        <f>IF(AND(N4044="1521",MONTH(C4044)='BK-NL'!$M$11),"x","")</f>
        <v/>
      </c>
    </row>
    <row r="4045" spans="1:33" ht="18" customHeight="1">
      <c r="A4045" s="309" t="str">
        <f>IF(B4045&lt;&gt;"",IF(AND(B4045='IN-TC'!$S$4,OR(TH!N4041="1111",TH!O4041="1111")),TH!D4041,""),"")</f>
        <v/>
      </c>
      <c r="B4045" s="1242">
        <f t="shared" si="1310"/>
        <v>5</v>
      </c>
      <c r="C4045" s="292">
        <f t="shared" si="1311"/>
        <v>42860</v>
      </c>
      <c r="D4045" s="292" t="s">
        <v>1918</v>
      </c>
      <c r="E4045" s="292">
        <v>42860</v>
      </c>
      <c r="F4045" s="1127" t="s">
        <v>1492</v>
      </c>
      <c r="G4045" s="925" t="s">
        <v>1493</v>
      </c>
      <c r="H4045" s="294" t="s">
        <v>893</v>
      </c>
      <c r="I4045" s="373"/>
      <c r="J4045" s="926"/>
      <c r="K4045" s="373"/>
      <c r="L4045" s="379"/>
      <c r="M4045" s="927">
        <v>52729</v>
      </c>
      <c r="N4045" s="295" t="s">
        <v>9</v>
      </c>
      <c r="O4045" s="295" t="s">
        <v>63</v>
      </c>
      <c r="P4045" s="75" t="str">
        <f>IF(AND('331-CT'!$E$7=TH!H3629,OR(N4045="331",O4045="331")),"x","")</f>
        <v/>
      </c>
      <c r="Q4045" s="75" t="str">
        <f>IF(AND(B4045='111'!$L$11,OR($N4045=$Q$7,$O4045=$Q$7)),"x","")</f>
        <v/>
      </c>
      <c r="R4045" s="75" t="str">
        <f>IF(AND($N4045=$Q$7,$B4045&lt;'111'!$L$11),"x","")</f>
        <v/>
      </c>
      <c r="S4045" s="75" t="str">
        <f>IF(AND($O4045=$Q$7,$B4045&lt;'111'!$L$11),"x","")</f>
        <v>x</v>
      </c>
      <c r="T4045" s="75" t="str">
        <f>IF(ISERROR(FIND('112'!$M$9,G4045,1)),"",IF((AND(FIND('112'!$M$9,G4045,1)&gt;=1,B4045='112'!$K$9,OR($N4045='112'!$I$6,$O4045='112'!$I$6))),"x",""))</f>
        <v/>
      </c>
      <c r="U4045" s="75" t="str">
        <f>IF(ISERROR(FIND('112'!$M$9,G4045,1)),"",IF((AND(LEFT(G4045,2)=LEFT('112'!$M$9,2),B4045&lt;'112'!$K$9,$N4045='112'!$I$6)),"x",""))</f>
        <v/>
      </c>
      <c r="V4045" s="75" t="str">
        <f>IF(ISERROR(FIND('112'!$M$9,G4045,1)),"",IF((AND(RIGHT(G4045,2)=RIGHT('112'!$M$9,2),B4045&lt;'112'!$K$9,$O4045='112'!$I$6)),"x",""))</f>
        <v/>
      </c>
      <c r="W4045" s="75" t="str">
        <f>IF(AND('341-CT'!$H$9=H4045,OR(LEFT(N4045,3)=$W$7,LEFT(O4045,3)=$W$7)),"x","")</f>
        <v/>
      </c>
      <c r="X4045" s="75" t="str">
        <f>IF(OR(TH!N3629=TH!$X$7,O4045=TH!$X$7),"x","")</f>
        <v/>
      </c>
      <c r="Y4045" s="75" t="str">
        <f>IF(AND(OR(N4045="131",O4045="131"),H4045='131-CT'!$H$9),"x","")</f>
        <v/>
      </c>
      <c r="Z4045" s="75"/>
      <c r="AA4045" s="75" t="str">
        <f>IF(AND(MONTH(E4045)='IN-NX'!$J$5,'IN-NX'!$D$7=D4045),"x","")</f>
        <v/>
      </c>
      <c r="AB4045" s="75" t="str">
        <f>IF(AND(OR(LEFT(TH!N3629,2)="15",LEFT(TH!O3629,2)="15"),LEFT(TH!O3629,3)&lt;&gt;"111",'152-CT'!$J$8=TH!F3629),"x","")</f>
        <v/>
      </c>
      <c r="AC4045" s="75" t="str">
        <f>IF(AND(OR(LEFT(TH!N3629,2)="15",LEFT(TH!O3629,2)="15"),TK!$E$7=TH!F3629),"x","")</f>
        <v/>
      </c>
      <c r="AD4045" s="75" t="str">
        <f>IF(AND(N4045="1521",MONTH(C4045)='BK-NL'!$M$11),"x","")</f>
        <v/>
      </c>
    </row>
    <row r="4046" spans="1:33" ht="16.5" customHeight="1">
      <c r="A4046" s="309" t="str">
        <f>IF(B4046&lt;&gt;"",IF(AND(B4046='IN-TC'!$S$4,OR(TH!N4042="1111",TH!O4042="1111")),TH!D4042,""),"")</f>
        <v/>
      </c>
      <c r="B4046" s="1242">
        <f t="shared" si="1310"/>
        <v>5</v>
      </c>
      <c r="C4046" s="292">
        <f t="shared" si="1311"/>
        <v>42860</v>
      </c>
      <c r="D4046" s="292" t="s">
        <v>1919</v>
      </c>
      <c r="E4046" s="929">
        <v>42860</v>
      </c>
      <c r="F4046" s="1126" t="s">
        <v>1165</v>
      </c>
      <c r="G4046" s="931" t="s">
        <v>1351</v>
      </c>
      <c r="H4046" s="296" t="s">
        <v>796</v>
      </c>
      <c r="I4046" s="371"/>
      <c r="J4046" s="932"/>
      <c r="K4046" s="371"/>
      <c r="L4046" s="377"/>
      <c r="M4046" s="933">
        <v>18980500</v>
      </c>
      <c r="N4046" s="934" t="s">
        <v>8</v>
      </c>
      <c r="O4046" s="934" t="s">
        <v>63</v>
      </c>
      <c r="P4046" s="75" t="str">
        <f>IF(AND('331-CT'!$E$7=TH!H3630,OR(N4046="331",O4046="331")),"x","")</f>
        <v/>
      </c>
      <c r="Q4046" s="75" t="str">
        <f>IF(AND(B4046='111'!$L$11,OR($N4046=$Q$7,$O4046=$Q$7)),"x","")</f>
        <v/>
      </c>
      <c r="R4046" s="75" t="str">
        <f>IF(AND($N4046=$Q$7,$B4046&lt;'111'!$L$11),"x","")</f>
        <v/>
      </c>
      <c r="S4046" s="75" t="str">
        <f>IF(AND($O4046=$Q$7,$B4046&lt;'111'!$L$11),"x","")</f>
        <v>x</v>
      </c>
      <c r="T4046" s="75" t="str">
        <f>IF(ISERROR(FIND('112'!$M$9,G4046,1)),"",IF((AND(FIND('112'!$M$9,G4046,1)&gt;=1,B4046='112'!$K$9,OR($N4046='112'!$I$6,$O4046='112'!$I$6))),"x",""))</f>
        <v/>
      </c>
      <c r="U4046" s="75" t="str">
        <f>IF(ISERROR(FIND('112'!$M$9,G4046,1)),"",IF((AND(LEFT(G4046,2)=LEFT('112'!$M$9,2),B4046&lt;'112'!$K$9,$N4046='112'!$I$6)),"x",""))</f>
        <v/>
      </c>
      <c r="V4046" s="75" t="str">
        <f>IF(ISERROR(FIND('112'!$M$9,G4046,1)),"",IF((AND(RIGHT(G4046,2)=RIGHT('112'!$M$9,2),B4046&lt;'112'!$K$9,$O4046='112'!$I$6)),"x",""))</f>
        <v/>
      </c>
      <c r="W4046" s="75" t="str">
        <f>IF(AND('341-CT'!$H$9=H4046,OR(LEFT(N4046,3)=$W$7,LEFT(O4046,3)=$W$7)),"x","")</f>
        <v/>
      </c>
      <c r="X4046" s="75" t="str">
        <f>IF(OR(TH!N3630=TH!$X$7,O4046=TH!$X$7),"x","")</f>
        <v/>
      </c>
      <c r="Y4046" s="75" t="str">
        <f>IF(AND(OR(N4046="131",O4046="131"),H4046='131-CT'!$H$9),"x","")</f>
        <v/>
      </c>
      <c r="Z4046" s="75"/>
      <c r="AA4046" s="75" t="str">
        <f>IF(AND(MONTH(E4046)='IN-NX'!$J$5,'IN-NX'!$D$7=D4046),"x","")</f>
        <v/>
      </c>
      <c r="AB4046" s="75" t="str">
        <f>IF(AND(OR(LEFT(TH!N3630,2)="15",LEFT(TH!O3630,2)="15"),LEFT(TH!O3630,3)&lt;&gt;"111",'152-CT'!$J$8=TH!F3630),"x","")</f>
        <v/>
      </c>
      <c r="AC4046" s="75" t="str">
        <f>IF(AND(OR(LEFT(TH!N3630,2)="15",LEFT(TH!O3630,2)="15"),TK!$E$7=TH!F3630),"x","")</f>
        <v/>
      </c>
      <c r="AD4046" s="75" t="str">
        <f>IF(AND(N4046="1521",MONTH(C4046)='BK-NL'!$M$11),"x","")</f>
        <v/>
      </c>
    </row>
    <row r="4047" spans="1:33" ht="16.5" customHeight="1">
      <c r="A4047" s="309" t="str">
        <f>IF(B4047&lt;&gt;"",IF(AND(B4047='IN-TC'!$S$4,OR(TH!N4043="1111",TH!O4043="1111")),TH!D4043,""),"")</f>
        <v/>
      </c>
      <c r="B4047" s="1242">
        <f t="shared" si="1310"/>
        <v>5</v>
      </c>
      <c r="C4047" s="292">
        <f t="shared" si="1311"/>
        <v>42860</v>
      </c>
      <c r="D4047" s="292" t="s">
        <v>1920</v>
      </c>
      <c r="E4047" s="292">
        <v>42860</v>
      </c>
      <c r="F4047" s="1127" t="s">
        <v>1494</v>
      </c>
      <c r="G4047" s="925" t="s">
        <v>1496</v>
      </c>
      <c r="H4047" s="294" t="s">
        <v>1497</v>
      </c>
      <c r="I4047" s="373"/>
      <c r="J4047" s="926"/>
      <c r="K4047" s="373"/>
      <c r="L4047" s="379"/>
      <c r="M4047" s="927">
        <v>1275454</v>
      </c>
      <c r="N4047" s="295" t="s">
        <v>539</v>
      </c>
      <c r="O4047" s="295" t="s">
        <v>63</v>
      </c>
      <c r="P4047" s="75" t="str">
        <f>IF(AND('331-CT'!$E$7=TH!H3631,OR(N4047="331",O4047="331")),"x","")</f>
        <v/>
      </c>
      <c r="Q4047" s="75" t="str">
        <f>IF(AND(B4047='111'!$L$11,OR($N4047=$Q$7,$O4047=$Q$7)),"x","")</f>
        <v/>
      </c>
      <c r="R4047" s="75" t="str">
        <f>IF(AND($N4047=$Q$7,$B4047&lt;'111'!$L$11),"x","")</f>
        <v/>
      </c>
      <c r="S4047" s="75" t="str">
        <f>IF(AND($O4047=$Q$7,$B4047&lt;'111'!$L$11),"x","")</f>
        <v>x</v>
      </c>
      <c r="T4047" s="75" t="str">
        <f>IF(ISERROR(FIND('112'!$M$9,G4047,1)),"",IF((AND(FIND('112'!$M$9,G4047,1)&gt;=1,B4047='112'!$K$9,OR($N4047='112'!$I$6,$O4047='112'!$I$6))),"x",""))</f>
        <v/>
      </c>
      <c r="U4047" s="75" t="str">
        <f>IF(ISERROR(FIND('112'!$M$9,G4047,1)),"",IF((AND(LEFT(G4047,2)=LEFT('112'!$M$9,2),B4047&lt;'112'!$K$9,$N4047='112'!$I$6)),"x",""))</f>
        <v/>
      </c>
      <c r="V4047" s="75" t="str">
        <f>IF(ISERROR(FIND('112'!$M$9,G4047,1)),"",IF((AND(RIGHT(G4047,2)=RIGHT('112'!$M$9,2),B4047&lt;'112'!$K$9,$O4047='112'!$I$6)),"x",""))</f>
        <v/>
      </c>
      <c r="W4047" s="75" t="str">
        <f>IF(AND('341-CT'!$H$9=H4047,OR(LEFT(N4047,3)=$W$7,LEFT(O4047,3)=$W$7)),"x","")</f>
        <v/>
      </c>
      <c r="X4047" s="75" t="str">
        <f>IF(OR(TH!N3631=TH!$X$7,O4047=TH!$X$7),"x","")</f>
        <v/>
      </c>
      <c r="Y4047" s="75" t="str">
        <f>IF(AND(OR(N4047="131",O4047="131"),H4047='131-CT'!$H$9),"x","")</f>
        <v/>
      </c>
      <c r="Z4047" s="75"/>
      <c r="AA4047" s="75" t="str">
        <f>IF(AND(MONTH(E4047)='IN-NX'!$J$5,'IN-NX'!$D$7=D4047),"x","")</f>
        <v/>
      </c>
      <c r="AB4047" s="75" t="str">
        <f>IF(AND(OR(LEFT(TH!N3631,2)="15",LEFT(TH!O3631,2)="15"),LEFT(TH!O3631,3)&lt;&gt;"111",'152-CT'!$J$8=TH!F3631),"x","")</f>
        <v/>
      </c>
      <c r="AC4047" s="75" t="str">
        <f>IF(AND(OR(LEFT(TH!N3631,2)="15",LEFT(TH!O3631,2)="15"),TK!$E$7=TH!F3631),"x","")</f>
        <v/>
      </c>
      <c r="AD4047" s="75" t="str">
        <f>IF(AND(N4047="1521",MONTH(C4047)='BK-NL'!$M$11),"x","")</f>
        <v/>
      </c>
    </row>
    <row r="4048" spans="1:33" ht="16.5" customHeight="1">
      <c r="A4048" s="309" t="str">
        <f>IF(B4048&lt;&gt;"",IF(AND(B4048='IN-TC'!$S$4,OR(TH!N4044="1111",TH!O4044="1111")),TH!D4044,""),"")</f>
        <v/>
      </c>
      <c r="B4048" s="1242">
        <f t="shared" si="1310"/>
        <v>5</v>
      </c>
      <c r="C4048" s="292">
        <f t="shared" si="1311"/>
        <v>42860</v>
      </c>
      <c r="D4048" s="292" t="s">
        <v>1920</v>
      </c>
      <c r="E4048" s="292">
        <v>42860</v>
      </c>
      <c r="F4048" s="1127" t="s">
        <v>1495</v>
      </c>
      <c r="G4048" s="925" t="s">
        <v>1496</v>
      </c>
      <c r="H4048" s="294" t="s">
        <v>1497</v>
      </c>
      <c r="I4048" s="373"/>
      <c r="J4048" s="926"/>
      <c r="K4048" s="373"/>
      <c r="L4048" s="379"/>
      <c r="M4048" s="927">
        <v>127545</v>
      </c>
      <c r="N4048" s="295" t="s">
        <v>9</v>
      </c>
      <c r="O4048" s="295" t="s">
        <v>63</v>
      </c>
      <c r="P4048" s="75" t="str">
        <f>IF(AND('331-CT'!$E$7=TH!H3633,OR(N4048="331",O4048="331")),"x","")</f>
        <v/>
      </c>
      <c r="Q4048" s="75" t="str">
        <f>IF(AND(B4048='111'!$L$11,OR($N4048=$Q$7,$O4048=$Q$7)),"x","")</f>
        <v/>
      </c>
      <c r="R4048" s="75" t="str">
        <f>IF(AND($N4048=$Q$7,$B4048&lt;'111'!$L$11),"x","")</f>
        <v/>
      </c>
      <c r="S4048" s="75" t="str">
        <f>IF(AND($O4048=$Q$7,$B4048&lt;'111'!$L$11),"x","")</f>
        <v>x</v>
      </c>
      <c r="T4048" s="75" t="str">
        <f>IF(ISERROR(FIND('112'!$M$9,G4048,1)),"",IF((AND(FIND('112'!$M$9,G4048,1)&gt;=1,B4048='112'!$K$9,OR($N4048='112'!$I$6,$O4048='112'!$I$6))),"x",""))</f>
        <v/>
      </c>
      <c r="U4048" s="75" t="str">
        <f>IF(ISERROR(FIND('112'!$M$9,G4048,1)),"",IF((AND(LEFT(G4048,2)=LEFT('112'!$M$9,2),B4048&lt;'112'!$K$9,$N4048='112'!$I$6)),"x",""))</f>
        <v/>
      </c>
      <c r="V4048" s="75" t="str">
        <f>IF(ISERROR(FIND('112'!$M$9,G4048,1)),"",IF((AND(RIGHT(G4048,2)=RIGHT('112'!$M$9,2),B4048&lt;'112'!$K$9,$O4048='112'!$I$6)),"x",""))</f>
        <v/>
      </c>
      <c r="W4048" s="75" t="str">
        <f>IF(AND('341-CT'!$H$9=H4048,OR(LEFT(N4048,3)=$W$7,LEFT(O4048,3)=$W$7)),"x","")</f>
        <v/>
      </c>
      <c r="X4048" s="75" t="str">
        <f>IF(OR(TH!N3633=TH!$X$7,O4048=TH!$X$7),"x","")</f>
        <v/>
      </c>
      <c r="Y4048" s="75" t="str">
        <f>IF(AND(OR(N4048="131",O4048="131"),H4048='131-CT'!$H$9),"x","")</f>
        <v/>
      </c>
      <c r="Z4048" s="75"/>
      <c r="AA4048" s="75" t="str">
        <f>IF(AND(MONTH(E4048)='IN-NX'!$J$5,'IN-NX'!$D$7=D4048),"x","")</f>
        <v/>
      </c>
      <c r="AB4048" s="75" t="str">
        <f>IF(AND(OR(LEFT(TH!N3633,2)="15",LEFT(TH!O3633,2)="15"),LEFT(TH!O3633,3)&lt;&gt;"111",'152-CT'!$J$8=TH!F3633),"x","")</f>
        <v/>
      </c>
      <c r="AC4048" s="75" t="str">
        <f>IF(AND(OR(LEFT(TH!N3633,2)="15",LEFT(TH!O3633,2)="15"),TK!$E$7=TH!F3633),"x","")</f>
        <v/>
      </c>
      <c r="AD4048" s="75" t="str">
        <f>IF(AND(N4048="1521",MONTH(C4048)='BK-NL'!$M$11),"x","")</f>
        <v/>
      </c>
    </row>
    <row r="4049" spans="1:30" ht="16.5" customHeight="1">
      <c r="A4049" s="309" t="str">
        <f>IF(B4049&lt;&gt;"",IF(AND(B4049='IN-TC'!$S$4,OR(TH!N4045="1111",TH!O4045="1111")),TH!D4045,""),"")</f>
        <v/>
      </c>
      <c r="B4049" s="1242">
        <f t="shared" si="1310"/>
        <v>5</v>
      </c>
      <c r="C4049" s="292">
        <f t="shared" si="1311"/>
        <v>42860</v>
      </c>
      <c r="D4049" s="292" t="s">
        <v>902</v>
      </c>
      <c r="E4049" s="292">
        <v>42860</v>
      </c>
      <c r="F4049" s="1127" t="s">
        <v>1549</v>
      </c>
      <c r="G4049" s="293" t="s">
        <v>747</v>
      </c>
      <c r="H4049" s="294" t="s">
        <v>835</v>
      </c>
      <c r="I4049" s="373"/>
      <c r="J4049" s="379"/>
      <c r="K4049" s="373"/>
      <c r="L4049" s="379"/>
      <c r="M4049" s="60">
        <v>227700</v>
      </c>
      <c r="N4049" s="295" t="s">
        <v>101</v>
      </c>
      <c r="O4049" s="61" t="s">
        <v>26</v>
      </c>
      <c r="P4049" s="75" t="str">
        <f>IF(AND('331-CT'!$E$7=TH!H5157,OR(N4049="331",O4049="331")),"x","")</f>
        <v/>
      </c>
      <c r="Q4049" s="75" t="str">
        <f>IF(AND(B4049='111'!$L$11,OR($N4049=$Q$7,$O4049=$Q$7)),"x","")</f>
        <v/>
      </c>
      <c r="R4049" s="75" t="str">
        <f>IF(AND($N4049=$Q$7,$B4049&lt;'111'!$L$11),"x","")</f>
        <v/>
      </c>
      <c r="S4049" s="75" t="str">
        <f>IF(AND($O4049=$Q$7,$B4049&lt;'111'!$L$11),"x","")</f>
        <v/>
      </c>
      <c r="T4049" s="75" t="str">
        <f>IF(ISERROR(FIND('112'!$M$9,G4049,1)),"",IF((AND(FIND('112'!$M$9,G4049,1)&gt;=1,B4049='112'!$K$9,OR($N4049='112'!$I$6,$O4049='112'!$I$6))),"x",""))</f>
        <v/>
      </c>
      <c r="U4049" s="75" t="str">
        <f>IF(ISERROR(FIND('112'!$M$9,G4049,1)),"",IF((AND(LEFT(G4049,2)=LEFT('112'!$M$9,2),B4049&lt;'112'!$K$9,$N4049='112'!$I$6)),"x",""))</f>
        <v/>
      </c>
      <c r="V4049" s="75" t="str">
        <f>IF(ISERROR(FIND('112'!$M$9,G4049,1)),"",IF((AND(RIGHT(G4049,2)=RIGHT('112'!$M$9,2),B4049&lt;'112'!$K$9,$O4049='112'!$I$6)),"x",""))</f>
        <v/>
      </c>
      <c r="W4049" s="75" t="str">
        <f>IF(AND('341-CT'!$H$9=H4049,OR(LEFT(N4049,3)=$W$7,LEFT(O4049,3)=$W$7)),"x","")</f>
        <v/>
      </c>
      <c r="X4049" s="75" t="str">
        <f>IF(OR(TH!N5157=TH!$X$7,O4049=TH!$X$7),"x","")</f>
        <v/>
      </c>
      <c r="Y4049" s="75" t="str">
        <f>IF(AND(OR(N4049="131",O4049="131"),H4049='131-CT'!$H$9),"x","")</f>
        <v/>
      </c>
      <c r="Z4049" s="75"/>
      <c r="AA4049" s="75" t="str">
        <f>IF(AND(MONTH(E4049)='IN-NX'!$J$5,'IN-NX'!$D$7=D4049),"x","")</f>
        <v/>
      </c>
      <c r="AB4049" s="75" t="str">
        <f>IF(AND(OR(LEFT(TH!N5157,2)="15",LEFT(TH!O5157,2)="15"),LEFT(TH!O5157,3)&lt;&gt;"111",'152-CT'!$J$8=TH!F5157),"x","")</f>
        <v/>
      </c>
      <c r="AC4049" s="75" t="str">
        <f>IF(AND(OR(LEFT(TH!N5157,2)="15",LEFT(TH!O5157,2)="15"),TK!$E$7=TH!F5157),"x","")</f>
        <v/>
      </c>
      <c r="AD4049" s="75" t="str">
        <f>IF(AND(N4049="1521",MONTH(C4049)='BK-NL'!$M$11),"x","")</f>
        <v/>
      </c>
    </row>
    <row r="4050" spans="1:30" ht="16.5" customHeight="1">
      <c r="A4050" s="309" t="str">
        <f>IF(B4050&lt;&gt;"",IF(AND(B4050='IN-TC'!$S$4,OR(TH!N4046="1111",TH!O4046="1111")),TH!D4046,""),"")</f>
        <v/>
      </c>
      <c r="B4050" s="1242">
        <f t="shared" si="1310"/>
        <v>5</v>
      </c>
      <c r="C4050" s="292">
        <f t="shared" si="1311"/>
        <v>42861</v>
      </c>
      <c r="D4050" s="292" t="s">
        <v>1921</v>
      </c>
      <c r="E4050" s="292">
        <v>42861</v>
      </c>
      <c r="F4050" s="1127" t="s">
        <v>221</v>
      </c>
      <c r="G4050" s="925" t="s">
        <v>1498</v>
      </c>
      <c r="H4050" s="294" t="s">
        <v>556</v>
      </c>
      <c r="I4050" s="373"/>
      <c r="J4050" s="926"/>
      <c r="K4050" s="373"/>
      <c r="L4050" s="379"/>
      <c r="M4050" s="927">
        <v>9304546</v>
      </c>
      <c r="N4050" s="295" t="s">
        <v>272</v>
      </c>
      <c r="O4050" s="295" t="s">
        <v>63</v>
      </c>
      <c r="P4050" s="75" t="str">
        <f>IF(AND('331-CT'!$E$7=TH!H3634,OR(N4050="331",O4050="331")),"x","")</f>
        <v/>
      </c>
      <c r="Q4050" s="75" t="str">
        <f>IF(AND(B4050='111'!$L$11,OR($N4050=$Q$7,$O4050=$Q$7)),"x","")</f>
        <v/>
      </c>
      <c r="R4050" s="75" t="str">
        <f>IF(AND($N4050=$Q$7,$B4050&lt;'111'!$L$11),"x","")</f>
        <v/>
      </c>
      <c r="S4050" s="75" t="str">
        <f>IF(AND($O4050=$Q$7,$B4050&lt;'111'!$L$11),"x","")</f>
        <v>x</v>
      </c>
      <c r="T4050" s="75" t="str">
        <f>IF(ISERROR(FIND('112'!$M$9,G4050,1)),"",IF((AND(FIND('112'!$M$9,G4050,1)&gt;=1,B4050='112'!$K$9,OR($N4050='112'!$I$6,$O4050='112'!$I$6))),"x",""))</f>
        <v/>
      </c>
      <c r="U4050" s="75" t="str">
        <f>IF(ISERROR(FIND('112'!$M$9,G4050,1)),"",IF((AND(LEFT(G4050,2)=LEFT('112'!$M$9,2),B4050&lt;'112'!$K$9,$N4050='112'!$I$6)),"x",""))</f>
        <v/>
      </c>
      <c r="V4050" s="75" t="str">
        <f>IF(ISERROR(FIND('112'!$M$9,G4050,1)),"",IF((AND(RIGHT(G4050,2)=RIGHT('112'!$M$9,2),B4050&lt;'112'!$K$9,$O4050='112'!$I$6)),"x",""))</f>
        <v/>
      </c>
      <c r="W4050" s="75" t="str">
        <f>IF(AND('341-CT'!$H$9=H4050,OR(LEFT(N4050,3)=$W$7,LEFT(O4050,3)=$W$7)),"x","")</f>
        <v/>
      </c>
      <c r="X4050" s="75" t="str">
        <f>IF(OR(TH!N3634=TH!$X$7,O4050=TH!$X$7),"x","")</f>
        <v/>
      </c>
      <c r="Y4050" s="75" t="str">
        <f>IF(AND(OR(N4050="131",O4050="131"),H4050='131-CT'!$H$9),"x","")</f>
        <v/>
      </c>
      <c r="Z4050" s="75"/>
      <c r="AA4050" s="75" t="str">
        <f>IF(AND(MONTH(E4050)='IN-NX'!$J$5,'IN-NX'!$D$7=D4050),"x","")</f>
        <v/>
      </c>
      <c r="AB4050" s="75" t="str">
        <f>IF(AND(OR(LEFT(TH!N3634,2)="15",LEFT(TH!O3634,2)="15"),LEFT(TH!O3634,3)&lt;&gt;"111",'152-CT'!$J$8=TH!F3634),"x","")</f>
        <v/>
      </c>
      <c r="AC4050" s="75" t="str">
        <f>IF(AND(OR(LEFT(TH!N3634,2)="15",LEFT(TH!O3634,2)="15"),TK!$E$7=TH!F3634),"x","")</f>
        <v/>
      </c>
      <c r="AD4050" s="75" t="str">
        <f>IF(AND(N4050="1521",MONTH(C4050)='BK-NL'!$M$11),"x","")</f>
        <v/>
      </c>
    </row>
    <row r="4051" spans="1:30" ht="16.5" customHeight="1">
      <c r="A4051" s="309" t="str">
        <f>IF(B4051&lt;&gt;"",IF(AND(B4051='IN-TC'!$S$4,OR(TH!N4047="1111",TH!O4047="1111")),TH!D4047,""),"")</f>
        <v/>
      </c>
      <c r="B4051" s="1242">
        <f t="shared" ref="B4051:B4114" si="1312">IF(C4051&lt;&gt;"",MONTH(C4051),"")</f>
        <v>5</v>
      </c>
      <c r="C4051" s="292">
        <f t="shared" si="1311"/>
        <v>42861</v>
      </c>
      <c r="D4051" s="292" t="s">
        <v>1921</v>
      </c>
      <c r="E4051" s="292">
        <v>42861</v>
      </c>
      <c r="F4051" s="1127" t="s">
        <v>943</v>
      </c>
      <c r="G4051" s="925" t="s">
        <v>1498</v>
      </c>
      <c r="H4051" s="294" t="s">
        <v>556</v>
      </c>
      <c r="I4051" s="373"/>
      <c r="J4051" s="926"/>
      <c r="K4051" s="373"/>
      <c r="L4051" s="379"/>
      <c r="M4051" s="927">
        <v>930454</v>
      </c>
      <c r="N4051" s="295" t="s">
        <v>9</v>
      </c>
      <c r="O4051" s="295" t="s">
        <v>63</v>
      </c>
      <c r="P4051" s="75" t="str">
        <f>IF(AND('331-CT'!$E$7=TH!H3635,OR(N4051="331",O4051="331")),"x","")</f>
        <v/>
      </c>
      <c r="Q4051" s="75" t="str">
        <f>IF(AND(B4051='111'!$L$11,OR($N4051=$Q$7,$O4051=$Q$7)),"x","")</f>
        <v/>
      </c>
      <c r="R4051" s="75" t="str">
        <f>IF(AND($N4051=$Q$7,$B4051&lt;'111'!$L$11),"x","")</f>
        <v/>
      </c>
      <c r="S4051" s="75" t="str">
        <f>IF(AND($O4051=$Q$7,$B4051&lt;'111'!$L$11),"x","")</f>
        <v>x</v>
      </c>
      <c r="T4051" s="75" t="str">
        <f>IF(ISERROR(FIND('112'!$M$9,G4051,1)),"",IF((AND(FIND('112'!$M$9,G4051,1)&gt;=1,B4051='112'!$K$9,OR($N4051='112'!$I$6,$O4051='112'!$I$6))),"x",""))</f>
        <v/>
      </c>
      <c r="U4051" s="75" t="str">
        <f>IF(ISERROR(FIND('112'!$M$9,G4051,1)),"",IF((AND(LEFT(G4051,2)=LEFT('112'!$M$9,2),B4051&lt;'112'!$K$9,$N4051='112'!$I$6)),"x",""))</f>
        <v/>
      </c>
      <c r="V4051" s="75" t="str">
        <f>IF(ISERROR(FIND('112'!$M$9,G4051,1)),"",IF((AND(RIGHT(G4051,2)=RIGHT('112'!$M$9,2),B4051&lt;'112'!$K$9,$O4051='112'!$I$6)),"x",""))</f>
        <v/>
      </c>
      <c r="W4051" s="75" t="str">
        <f>IF(AND('341-CT'!$H$9=H4051,OR(LEFT(N4051,3)=$W$7,LEFT(O4051,3)=$W$7)),"x","")</f>
        <v/>
      </c>
      <c r="X4051" s="75" t="str">
        <f>IF(OR(TH!N3635=TH!$X$7,O4051=TH!$X$7),"x","")</f>
        <v/>
      </c>
      <c r="Y4051" s="75" t="str">
        <f>IF(AND(OR(N4051="131",O4051="131"),H4051='131-CT'!$H$9),"x","")</f>
        <v/>
      </c>
      <c r="Z4051" s="75"/>
      <c r="AA4051" s="75" t="str">
        <f>IF(AND(MONTH(E4051)='IN-NX'!$J$5,'IN-NX'!$D$7=D4051),"x","")</f>
        <v/>
      </c>
      <c r="AB4051" s="75" t="str">
        <f>IF(AND(OR(LEFT(TH!N3635,2)="15",LEFT(TH!O3635,2)="15"),LEFT(TH!O3635,3)&lt;&gt;"111",'152-CT'!$J$8=TH!F3635),"x","")</f>
        <v/>
      </c>
      <c r="AC4051" s="75" t="str">
        <f>IF(AND(OR(LEFT(TH!N3635,2)="15",LEFT(TH!O3635,2)="15"),TK!$E$7=TH!F3635),"x","")</f>
        <v/>
      </c>
      <c r="AD4051" s="75" t="str">
        <f>IF(AND(N4051="1521",MONTH(C4051)='BK-NL'!$M$11),"x","")</f>
        <v/>
      </c>
    </row>
    <row r="4052" spans="1:30" ht="17.25" customHeight="1">
      <c r="A4052" s="309" t="str">
        <f>IF(B4052&lt;&gt;"",IF(AND(B4052='IN-TC'!$S$4,OR(TH!N4048="1111",TH!O4048="1111")),TH!D4048,""),"")</f>
        <v/>
      </c>
      <c r="B4052" s="1242">
        <f t="shared" si="1312"/>
        <v>5</v>
      </c>
      <c r="C4052" s="292">
        <f t="shared" si="1311"/>
        <v>42861</v>
      </c>
      <c r="D4052" s="292" t="s">
        <v>1922</v>
      </c>
      <c r="E4052" s="292">
        <v>42861</v>
      </c>
      <c r="F4052" s="1125" t="s">
        <v>1571</v>
      </c>
      <c r="G4052" s="943" t="s">
        <v>1573</v>
      </c>
      <c r="H4052" s="311" t="s">
        <v>935</v>
      </c>
      <c r="I4052" s="373"/>
      <c r="J4052" s="926"/>
      <c r="K4052" s="373"/>
      <c r="L4052" s="379"/>
      <c r="M4052" s="927">
        <v>3392149</v>
      </c>
      <c r="N4052" s="295" t="s">
        <v>101</v>
      </c>
      <c r="O4052" s="295" t="s">
        <v>63</v>
      </c>
      <c r="P4052" s="75" t="str">
        <f>IF(AND('331-CT'!$E$7=TH!H3636,OR(N4052="331",O4052="331")),"x","")</f>
        <v/>
      </c>
      <c r="Q4052" s="75" t="str">
        <f>IF(AND(B4052='111'!$L$11,OR($N4052=$Q$7,$O4052=$Q$7)),"x","")</f>
        <v/>
      </c>
      <c r="R4052" s="75" t="str">
        <f>IF(AND($N4052=$Q$7,$B4052&lt;'111'!$L$11),"x","")</f>
        <v/>
      </c>
      <c r="S4052" s="75" t="str">
        <f>IF(AND($O4052=$Q$7,$B4052&lt;'111'!$L$11),"x","")</f>
        <v>x</v>
      </c>
      <c r="T4052" s="75" t="str">
        <f>IF(ISERROR(FIND('112'!$M$9,G4052,1)),"",IF((AND(FIND('112'!$M$9,G4052,1)&gt;=1,B4052='112'!$K$9,OR($N4052='112'!$I$6,$O4052='112'!$I$6))),"x",""))</f>
        <v/>
      </c>
      <c r="U4052" s="75" t="str">
        <f>IF(ISERROR(FIND('112'!$M$9,G4052,1)),"",IF((AND(LEFT(G4052,2)=LEFT('112'!$M$9,2),B4052&lt;'112'!$K$9,$N4052='112'!$I$6)),"x",""))</f>
        <v/>
      </c>
      <c r="V4052" s="75" t="str">
        <f>IF(ISERROR(FIND('112'!$M$9,G4052,1)),"",IF((AND(RIGHT(G4052,2)=RIGHT('112'!$M$9,2),B4052&lt;'112'!$K$9,$O4052='112'!$I$6)),"x",""))</f>
        <v/>
      </c>
      <c r="W4052" s="75" t="str">
        <f>IF(AND('341-CT'!$H$9=H4052,OR(LEFT(N4052,3)=$W$7,LEFT(O4052,3)=$W$7)),"x","")</f>
        <v/>
      </c>
      <c r="X4052" s="75" t="str">
        <f>IF(OR(TH!N3636=TH!$X$7,O4052=TH!$X$7),"x","")</f>
        <v/>
      </c>
      <c r="Y4052" s="75" t="str">
        <f>IF(AND(OR(N4052="131",O4052="131"),H4052='131-CT'!$H$9),"x","")</f>
        <v/>
      </c>
      <c r="Z4052" s="75"/>
      <c r="AA4052" s="75" t="str">
        <f>IF(AND(MONTH(E4052)='IN-NX'!$J$5,'IN-NX'!$D$7=D4052),"x","")</f>
        <v/>
      </c>
      <c r="AB4052" s="75" t="str">
        <f>IF(AND(OR(LEFT(TH!N3636,2)="15",LEFT(TH!O3636,2)="15"),LEFT(TH!O3636,3)&lt;&gt;"111",'152-CT'!$J$8=TH!F3636),"x","")</f>
        <v/>
      </c>
      <c r="AC4052" s="75" t="str">
        <f>IF(AND(OR(LEFT(TH!N3636,2)="15",LEFT(TH!O3636,2)="15"),TK!$E$7=TH!F3636),"x","")</f>
        <v/>
      </c>
      <c r="AD4052" s="75" t="str">
        <f>IF(AND(N4052="1521",MONTH(C4052)='BK-NL'!$M$11),"x","")</f>
        <v/>
      </c>
    </row>
    <row r="4053" spans="1:30" ht="16.5" customHeight="1">
      <c r="A4053" s="309" t="str">
        <f>IF(B4053&lt;&gt;"",IF(AND(B4053='IN-TC'!$S$4,OR(TH!N4049="1111",TH!O4049="1111")),TH!D4049,""),"")</f>
        <v/>
      </c>
      <c r="B4053" s="1242">
        <f t="shared" si="1312"/>
        <v>5</v>
      </c>
      <c r="C4053" s="292">
        <f t="shared" si="1311"/>
        <v>42861</v>
      </c>
      <c r="D4053" s="292" t="s">
        <v>1922</v>
      </c>
      <c r="E4053" s="292">
        <v>42861</v>
      </c>
      <c r="F4053" s="293" t="s">
        <v>1572</v>
      </c>
      <c r="G4053" s="943" t="s">
        <v>1573</v>
      </c>
      <c r="H4053" s="311" t="s">
        <v>935</v>
      </c>
      <c r="I4053" s="373"/>
      <c r="J4053" s="926"/>
      <c r="K4053" s="373"/>
      <c r="L4053" s="379"/>
      <c r="M4053" s="927">
        <v>339215</v>
      </c>
      <c r="N4053" s="295" t="s">
        <v>9</v>
      </c>
      <c r="O4053" s="295" t="s">
        <v>63</v>
      </c>
      <c r="P4053" s="75" t="str">
        <f>IF(AND('331-CT'!$E$7=TH!H3632,OR(N4053="331",O4053="331")),"x","")</f>
        <v/>
      </c>
      <c r="Q4053" s="75" t="str">
        <f>IF(AND(B4053='111'!$L$11,OR($N4053=$Q$7,$O4053=$Q$7)),"x","")</f>
        <v/>
      </c>
      <c r="R4053" s="75" t="str">
        <f>IF(AND($N4053=$Q$7,$B4053&lt;'111'!$L$11),"x","")</f>
        <v/>
      </c>
      <c r="S4053" s="75" t="str">
        <f>IF(AND($O4053=$Q$7,$B4053&lt;'111'!$L$11),"x","")</f>
        <v>x</v>
      </c>
      <c r="T4053" s="75" t="str">
        <f>IF(ISERROR(FIND('112'!$M$9,G4053,1)),"",IF((AND(FIND('112'!$M$9,G4053,1)&gt;=1,B4053='112'!$K$9,OR($N4053='112'!$I$6,$O4053='112'!$I$6))),"x",""))</f>
        <v/>
      </c>
      <c r="U4053" s="75" t="str">
        <f>IF(ISERROR(FIND('112'!$M$9,G4053,1)),"",IF((AND(LEFT(G4053,2)=LEFT('112'!$M$9,2),B4053&lt;'112'!$K$9,$N4053='112'!$I$6)),"x",""))</f>
        <v/>
      </c>
      <c r="V4053" s="75" t="str">
        <f>IF(ISERROR(FIND('112'!$M$9,G4053,1)),"",IF((AND(RIGHT(G4053,2)=RIGHT('112'!$M$9,2),B4053&lt;'112'!$K$9,$O4053='112'!$I$6)),"x",""))</f>
        <v/>
      </c>
      <c r="W4053" s="75" t="str">
        <f>IF(AND('341-CT'!$H$9=H4053,OR(LEFT(N4053,3)=$W$7,LEFT(O4053,3)=$W$7)),"x","")</f>
        <v/>
      </c>
      <c r="X4053" s="75" t="str">
        <f>IF(OR(TH!N3632=TH!$X$7,O4053=TH!$X$7),"x","")</f>
        <v/>
      </c>
      <c r="Y4053" s="75" t="str">
        <f>IF(AND(OR(N4053="131",O4053="131"),H4053='131-CT'!$H$9),"x","")</f>
        <v/>
      </c>
      <c r="Z4053" s="75"/>
      <c r="AA4053" s="75" t="str">
        <f>IF(AND(MONTH(E4053)='IN-NX'!$J$5,'IN-NX'!$D$7=D4053),"x","")</f>
        <v/>
      </c>
      <c r="AB4053" s="75" t="str">
        <f>IF(AND(OR(LEFT(TH!N3632,2)="15",LEFT(TH!O3632,2)="15"),LEFT(TH!O3632,3)&lt;&gt;"111",'152-CT'!$J$8=TH!F3632),"x","")</f>
        <v/>
      </c>
      <c r="AC4053" s="75" t="str">
        <f>IF(AND(OR(LEFT(TH!N3632,2)="15",LEFT(TH!O3632,2)="15"),TK!$E$7=TH!F3632),"x","")</f>
        <v/>
      </c>
      <c r="AD4053" s="75" t="str">
        <f>IF(AND(N4053="1521",MONTH(C4053)='BK-NL'!$M$11),"x","")</f>
        <v/>
      </c>
    </row>
    <row r="4054" spans="1:30" ht="16.5" customHeight="1">
      <c r="A4054" s="309" t="str">
        <f>IF(B4054&lt;&gt;"",IF(AND(B4054='IN-TC'!$S$4,OR(TH!N4050="1111",TH!O4050="1111")),TH!D4050,""),"")</f>
        <v/>
      </c>
      <c r="B4054" s="1242">
        <f t="shared" si="1312"/>
        <v>5</v>
      </c>
      <c r="C4054" s="292">
        <f t="shared" si="1311"/>
        <v>42863</v>
      </c>
      <c r="D4054" s="292" t="s">
        <v>1925</v>
      </c>
      <c r="E4054" s="929">
        <v>42863</v>
      </c>
      <c r="F4054" s="73" t="s">
        <v>1165</v>
      </c>
      <c r="G4054" s="931" t="s">
        <v>1372</v>
      </c>
      <c r="H4054" s="296" t="s">
        <v>796</v>
      </c>
      <c r="I4054" s="371"/>
      <c r="J4054" s="932"/>
      <c r="K4054" s="371"/>
      <c r="L4054" s="377"/>
      <c r="M4054" s="933">
        <v>18980500</v>
      </c>
      <c r="N4054" s="934" t="s">
        <v>8</v>
      </c>
      <c r="O4054" s="934" t="s">
        <v>63</v>
      </c>
      <c r="P4054" s="75" t="str">
        <f>IF(AND('331-CT'!$E$7=TH!H3637,OR(N4054="331",O4054="331")),"x","")</f>
        <v/>
      </c>
      <c r="Q4054" s="75" t="str">
        <f>IF(AND(B4054='111'!$L$11,OR($N4054=$Q$7,$O4054=$Q$7)),"x","")</f>
        <v/>
      </c>
      <c r="R4054" s="75" t="str">
        <f>IF(AND($N4054=$Q$7,$B4054&lt;'111'!$L$11),"x","")</f>
        <v/>
      </c>
      <c r="S4054" s="75" t="str">
        <f>IF(AND($O4054=$Q$7,$B4054&lt;'111'!$L$11),"x","")</f>
        <v>x</v>
      </c>
      <c r="T4054" s="75" t="str">
        <f>IF(ISERROR(FIND('112'!$M$9,G4054,1)),"",IF((AND(FIND('112'!$M$9,G4054,1)&gt;=1,B4054='112'!$K$9,OR($N4054='112'!$I$6,$O4054='112'!$I$6))),"x",""))</f>
        <v/>
      </c>
      <c r="U4054" s="75" t="str">
        <f>IF(ISERROR(FIND('112'!$M$9,G4054,1)),"",IF((AND(LEFT(G4054,2)=LEFT('112'!$M$9,2),B4054&lt;'112'!$K$9,$N4054='112'!$I$6)),"x",""))</f>
        <v/>
      </c>
      <c r="V4054" s="75" t="str">
        <f>IF(ISERROR(FIND('112'!$M$9,G4054,1)),"",IF((AND(RIGHT(G4054,2)=RIGHT('112'!$M$9,2),B4054&lt;'112'!$K$9,$O4054='112'!$I$6)),"x",""))</f>
        <v/>
      </c>
      <c r="W4054" s="75" t="str">
        <f>IF(AND('341-CT'!$H$9=H4054,OR(LEFT(N4054,3)=$W$7,LEFT(O4054,3)=$W$7)),"x","")</f>
        <v/>
      </c>
      <c r="X4054" s="75" t="str">
        <f>IF(OR(TH!N3637=TH!$X$7,O4054=TH!$X$7),"x","")</f>
        <v/>
      </c>
      <c r="Y4054" s="75" t="str">
        <f>IF(AND(OR(N4054="131",O4054="131"),H4054='131-CT'!$H$9),"x","")</f>
        <v/>
      </c>
      <c r="Z4054" s="75"/>
      <c r="AA4054" s="75" t="str">
        <f>IF(AND(MONTH(E4054)='IN-NX'!$J$5,'IN-NX'!$D$7=D4054),"x","")</f>
        <v/>
      </c>
      <c r="AB4054" s="75" t="str">
        <f>IF(AND(OR(LEFT(TH!N3637,2)="15",LEFT(TH!O3637,2)="15"),LEFT(TH!O3637,3)&lt;&gt;"111",'152-CT'!$J$8=TH!F3637),"x","")</f>
        <v/>
      </c>
      <c r="AC4054" s="75" t="str">
        <f>IF(AND(OR(LEFT(TH!N3637,2)="15",LEFT(TH!O3637,2)="15"),TK!$E$7=TH!F3637),"x","")</f>
        <v/>
      </c>
      <c r="AD4054" s="75" t="str">
        <f>IF(AND(N4054="1521",MONTH(C4054)='BK-NL'!$M$11),"x","")</f>
        <v/>
      </c>
    </row>
    <row r="4055" spans="1:30" ht="16.5" customHeight="1">
      <c r="A4055" s="309" t="str">
        <f>IF(B4055&lt;&gt;"",IF(AND(B4055='IN-TC'!$S$4,OR(TH!N4051="1111",TH!O4051="1111")),TH!D4051,""),"")</f>
        <v/>
      </c>
      <c r="B4055" s="1242">
        <f t="shared" si="1312"/>
        <v>5</v>
      </c>
      <c r="C4055" s="292">
        <f t="shared" si="1311"/>
        <v>42863</v>
      </c>
      <c r="D4055" s="292" t="s">
        <v>1926</v>
      </c>
      <c r="E4055" s="292">
        <v>42863</v>
      </c>
      <c r="F4055" s="1127" t="s">
        <v>1506</v>
      </c>
      <c r="G4055" s="925" t="s">
        <v>1507</v>
      </c>
      <c r="H4055" s="294" t="s">
        <v>952</v>
      </c>
      <c r="I4055" s="373"/>
      <c r="J4055" s="926"/>
      <c r="K4055" s="373"/>
      <c r="L4055" s="379"/>
      <c r="M4055" s="927">
        <v>1600000</v>
      </c>
      <c r="N4055" s="295" t="s">
        <v>539</v>
      </c>
      <c r="O4055" s="295" t="s">
        <v>63</v>
      </c>
      <c r="P4055" s="75" t="str">
        <f>IF(AND('331-CT'!$E$7=TH!H3638,OR(N4055="331",O4055="331")),"x","")</f>
        <v/>
      </c>
      <c r="Q4055" s="75" t="str">
        <f>IF(AND(B4055='111'!$L$11,OR($N4055=$Q$7,$O4055=$Q$7)),"x","")</f>
        <v/>
      </c>
      <c r="R4055" s="75" t="str">
        <f>IF(AND($N4055=$Q$7,$B4055&lt;'111'!$L$11),"x","")</f>
        <v/>
      </c>
      <c r="S4055" s="75" t="str">
        <f>IF(AND($O4055=$Q$7,$B4055&lt;'111'!$L$11),"x","")</f>
        <v>x</v>
      </c>
      <c r="T4055" s="75" t="str">
        <f>IF(ISERROR(FIND('112'!$M$9,G4055,1)),"",IF((AND(FIND('112'!$M$9,G4055,1)&gt;=1,B4055='112'!$K$9,OR($N4055='112'!$I$6,$O4055='112'!$I$6))),"x",""))</f>
        <v/>
      </c>
      <c r="U4055" s="75" t="str">
        <f>IF(ISERROR(FIND('112'!$M$9,G4055,1)),"",IF((AND(LEFT(G4055,2)=LEFT('112'!$M$9,2),B4055&lt;'112'!$K$9,$N4055='112'!$I$6)),"x",""))</f>
        <v/>
      </c>
      <c r="V4055" s="75" t="str">
        <f>IF(ISERROR(FIND('112'!$M$9,G4055,1)),"",IF((AND(RIGHT(G4055,2)=RIGHT('112'!$M$9,2),B4055&lt;'112'!$K$9,$O4055='112'!$I$6)),"x",""))</f>
        <v/>
      </c>
      <c r="W4055" s="75" t="str">
        <f>IF(AND('341-CT'!$H$9=H4055,OR(LEFT(N4055,3)=$W$7,LEFT(O4055,3)=$W$7)),"x","")</f>
        <v/>
      </c>
      <c r="X4055" s="75" t="str">
        <f>IF(OR(TH!N3638=TH!$X$7,O4055=TH!$X$7),"x","")</f>
        <v/>
      </c>
      <c r="Y4055" s="75" t="str">
        <f>IF(AND(OR(N4055="131",O4055="131"),H4055='131-CT'!$H$9),"x","")</f>
        <v/>
      </c>
      <c r="Z4055" s="75"/>
      <c r="AA4055" s="75" t="str">
        <f>IF(AND(MONTH(E4055)='IN-NX'!$J$5,'IN-NX'!$D$7=D4055),"x","")</f>
        <v/>
      </c>
      <c r="AB4055" s="75" t="str">
        <f>IF(AND(OR(LEFT(TH!N3638,2)="15",LEFT(TH!O3638,2)="15"),LEFT(TH!O3638,3)&lt;&gt;"111",'152-CT'!$J$8=TH!F3638),"x","")</f>
        <v/>
      </c>
      <c r="AC4055" s="75" t="str">
        <f>IF(AND(OR(LEFT(TH!N3638,2)="15",LEFT(TH!O3638,2)="15"),TK!$E$7=TH!F3638),"x","")</f>
        <v/>
      </c>
      <c r="AD4055" s="75" t="str">
        <f>IF(AND(N4055="1521",MONTH(C4055)='BK-NL'!$M$11),"x","")</f>
        <v/>
      </c>
    </row>
    <row r="4056" spans="1:30" ht="16.5" customHeight="1">
      <c r="A4056" s="309" t="str">
        <f>IF(B4056&lt;&gt;"",IF(AND(B4056='IN-TC'!$S$4,OR(TH!N4052="1111",TH!O4052="1111")),TH!D4052,""),"")</f>
        <v/>
      </c>
      <c r="B4056" s="1242">
        <f t="shared" si="1312"/>
        <v>5</v>
      </c>
      <c r="C4056" s="292">
        <f t="shared" si="1311"/>
        <v>42863</v>
      </c>
      <c r="D4056" s="292" t="s">
        <v>1926</v>
      </c>
      <c r="E4056" s="292">
        <v>42863</v>
      </c>
      <c r="F4056" s="1127" t="s">
        <v>1505</v>
      </c>
      <c r="G4056" s="925" t="s">
        <v>1507</v>
      </c>
      <c r="H4056" s="294" t="s">
        <v>952</v>
      </c>
      <c r="I4056" s="373"/>
      <c r="J4056" s="926"/>
      <c r="K4056" s="373"/>
      <c r="L4056" s="379"/>
      <c r="M4056" s="927">
        <v>160000</v>
      </c>
      <c r="N4056" s="295" t="s">
        <v>9</v>
      </c>
      <c r="O4056" s="295" t="s">
        <v>63</v>
      </c>
      <c r="P4056" s="75" t="str">
        <f>IF(AND('331-CT'!$E$7=TH!H3639,OR(N4056="331",O4056="331")),"x","")</f>
        <v/>
      </c>
      <c r="Q4056" s="75" t="str">
        <f>IF(AND(B4056='111'!$L$11,OR($N4056=$Q$7,$O4056=$Q$7)),"x","")</f>
        <v/>
      </c>
      <c r="R4056" s="75" t="str">
        <f>IF(AND($N4056=$Q$7,$B4056&lt;'111'!$L$11),"x","")</f>
        <v/>
      </c>
      <c r="S4056" s="75" t="str">
        <f>IF(AND($O4056=$Q$7,$B4056&lt;'111'!$L$11),"x","")</f>
        <v>x</v>
      </c>
      <c r="T4056" s="75" t="str">
        <f>IF(ISERROR(FIND('112'!$M$9,G4056,1)),"",IF((AND(FIND('112'!$M$9,G4056,1)&gt;=1,B4056='112'!$K$9,OR($N4056='112'!$I$6,$O4056='112'!$I$6))),"x",""))</f>
        <v/>
      </c>
      <c r="U4056" s="75" t="str">
        <f>IF(ISERROR(FIND('112'!$M$9,G4056,1)),"",IF((AND(LEFT(G4056,2)=LEFT('112'!$M$9,2),B4056&lt;'112'!$K$9,$N4056='112'!$I$6)),"x",""))</f>
        <v/>
      </c>
      <c r="V4056" s="75" t="str">
        <f>IF(ISERROR(FIND('112'!$M$9,G4056,1)),"",IF((AND(RIGHT(G4056,2)=RIGHT('112'!$M$9,2),B4056&lt;'112'!$K$9,$O4056='112'!$I$6)),"x",""))</f>
        <v/>
      </c>
      <c r="W4056" s="75" t="str">
        <f>IF(AND('341-CT'!$H$9=H4056,OR(LEFT(N4056,3)=$W$7,LEFT(O4056,3)=$W$7)),"x","")</f>
        <v/>
      </c>
      <c r="X4056" s="75" t="str">
        <f>IF(OR(TH!N3639=TH!$X$7,O4056=TH!$X$7),"x","")</f>
        <v/>
      </c>
      <c r="Y4056" s="75" t="str">
        <f>IF(AND(OR(N4056="131",O4056="131"),H4056='131-CT'!$H$9),"x","")</f>
        <v/>
      </c>
      <c r="Z4056" s="75"/>
      <c r="AA4056" s="75" t="str">
        <f>IF(AND(MONTH(E4056)='IN-NX'!$J$5,'IN-NX'!$D$7=D4056),"x","")</f>
        <v/>
      </c>
      <c r="AB4056" s="75" t="str">
        <f>IF(AND(OR(LEFT(TH!N3639,2)="15",LEFT(TH!O3639,2)="15"),LEFT(TH!O3639,3)&lt;&gt;"111",'152-CT'!$J$8=TH!F3639),"x","")</f>
        <v/>
      </c>
      <c r="AC4056" s="75" t="str">
        <f>IF(AND(OR(LEFT(TH!N3639,2)="15",LEFT(TH!O3639,2)="15"),TK!$E$7=TH!F3639),"x","")</f>
        <v/>
      </c>
      <c r="AD4056" s="75" t="str">
        <f>IF(AND(N4056="1521",MONTH(C4056)='BK-NL'!$M$11),"x","")</f>
        <v/>
      </c>
    </row>
    <row r="4057" spans="1:30" ht="18" customHeight="1">
      <c r="A4057" s="309" t="str">
        <f>IF(B4057&lt;&gt;"",IF(AND(B4057='IN-TC'!$S$4,OR(TH!N4053="1111",TH!O4053="1111")),TH!D4053,""),"")</f>
        <v/>
      </c>
      <c r="B4057" s="1242">
        <f t="shared" si="1312"/>
        <v>5</v>
      </c>
      <c r="C4057" s="292">
        <f t="shared" si="1311"/>
        <v>42863</v>
      </c>
      <c r="D4057" s="59" t="s">
        <v>903</v>
      </c>
      <c r="E4057" s="59">
        <v>42863</v>
      </c>
      <c r="F4057" s="131" t="s">
        <v>914</v>
      </c>
      <c r="G4057" s="62" t="s">
        <v>586</v>
      </c>
      <c r="H4057" s="67" t="s">
        <v>982</v>
      </c>
      <c r="I4057" s="375"/>
      <c r="J4057" s="381"/>
      <c r="K4057" s="375"/>
      <c r="L4057" s="381"/>
      <c r="M4057" s="60">
        <v>182</v>
      </c>
      <c r="N4057" s="61" t="s">
        <v>26</v>
      </c>
      <c r="O4057" s="295" t="s">
        <v>43</v>
      </c>
      <c r="P4057" s="75" t="str">
        <f>IF(AND('331-CT'!$E$7=TH!H4393,OR(N4057="331",O4057="331")),"x","")</f>
        <v/>
      </c>
      <c r="Q4057" s="75" t="str">
        <f>IF(AND(B4057='111'!$L$11,OR($N4057=$Q$7,$O4057=$Q$7)),"x","")</f>
        <v/>
      </c>
      <c r="R4057" s="75" t="str">
        <f>IF(AND($N4057=$Q$7,$B4057&lt;'111'!$L$11),"x","")</f>
        <v/>
      </c>
      <c r="S4057" s="75" t="str">
        <f>IF(AND($O4057=$Q$7,$B4057&lt;'111'!$L$11),"x","")</f>
        <v/>
      </c>
      <c r="T4057" s="75" t="str">
        <f>IF(ISERROR(FIND('112'!$M$9,G4057,1)),"",IF((AND(FIND('112'!$M$9,G4057,1)&gt;=1,B4057='112'!$K$9,OR($N4057='112'!$I$6,$O4057='112'!$I$6))),"x",""))</f>
        <v/>
      </c>
      <c r="U4057" s="75" t="str">
        <f>IF(ISERROR(FIND('112'!$M$9,G4057,1)),"",IF((AND(LEFT(G4057,2)=LEFT('112'!$M$9,2),B4057&lt;'112'!$K$9,$N4057='112'!$I$6)),"x",""))</f>
        <v>x</v>
      </c>
      <c r="V4057" s="75" t="str">
        <f>IF(ISERROR(FIND('112'!$M$9,G4057,1)),"",IF((AND(RIGHT(G4057,2)=RIGHT('112'!$M$9,2),B4057&lt;'112'!$K$9,$O4057='112'!$I$6)),"x",""))</f>
        <v/>
      </c>
      <c r="W4057" s="75" t="str">
        <f>IF(AND('341-CT'!$H$9=H4057,OR(LEFT(N4057,3)=$W$7,LEFT(O4057,3)=$W$7)),"x","")</f>
        <v/>
      </c>
      <c r="X4057" s="75" t="str">
        <f>IF(OR(TH!N4393=TH!$X$7,O4057=TH!$X$7),"x","")</f>
        <v/>
      </c>
      <c r="Y4057" s="75" t="str">
        <f>IF(AND(OR(N4057="131",O4057="131"),H4057='131-CT'!$H$9),"x","")</f>
        <v/>
      </c>
      <c r="Z4057" s="75"/>
      <c r="AA4057" s="75" t="str">
        <f>IF(AND(MONTH(E4057)='IN-NX'!$J$5,'IN-NX'!$D$7=D4057),"x","")</f>
        <v/>
      </c>
      <c r="AB4057" s="75" t="str">
        <f>IF(AND(OR(LEFT(TH!N4393,2)="15",LEFT(TH!O4393,2)="15"),LEFT(TH!O4393,3)&lt;&gt;"111",'152-CT'!$J$8=TH!F4393),"x","")</f>
        <v/>
      </c>
      <c r="AC4057" s="75" t="str">
        <f>IF(AND(OR(LEFT(TH!N4393,2)="15",LEFT(TH!O4393,2)="15"),TK!$E$7=TH!F4393),"x","")</f>
        <v/>
      </c>
      <c r="AD4057" s="75" t="str">
        <f>IF(AND(N4057="1521",MONTH(C4057)='BK-NL'!$M$11),"x","")</f>
        <v/>
      </c>
    </row>
    <row r="4058" spans="1:30" ht="18" customHeight="1">
      <c r="A4058" s="309" t="str">
        <f>IF(B4058&lt;&gt;"",IF(AND(B4058='IN-TC'!$S$4,OR(TH!N4054="1111",TH!O4054="1111")),TH!D4054,""),"")</f>
        <v/>
      </c>
      <c r="B4058" s="1242">
        <f t="shared" si="1312"/>
        <v>5</v>
      </c>
      <c r="C4058" s="292">
        <f t="shared" si="1311"/>
        <v>42863</v>
      </c>
      <c r="D4058" s="292" t="s">
        <v>903</v>
      </c>
      <c r="E4058" s="59">
        <v>42863</v>
      </c>
      <c r="F4058" s="1127" t="s">
        <v>1086</v>
      </c>
      <c r="G4058" s="62" t="s">
        <v>585</v>
      </c>
      <c r="H4058" s="311" t="s">
        <v>792</v>
      </c>
      <c r="I4058" s="373"/>
      <c r="J4058" s="379"/>
      <c r="K4058" s="373"/>
      <c r="L4058" s="379"/>
      <c r="M4058" s="60">
        <v>523614800</v>
      </c>
      <c r="N4058" s="61" t="s">
        <v>26</v>
      </c>
      <c r="O4058" s="61" t="s">
        <v>536</v>
      </c>
      <c r="P4058" s="75" t="str">
        <f>IF(AND('331-CT'!$E$7=TH!H4722,OR(N4058="331",O4058="331")),"x","")</f>
        <v/>
      </c>
      <c r="Q4058" s="75" t="str">
        <f>IF(AND(B4058='111'!$L$11,OR($N4058=$Q$7,$O4058=$Q$7)),"x","")</f>
        <v/>
      </c>
      <c r="R4058" s="75" t="str">
        <f>IF(AND($N4058=$Q$7,$B4058&lt;'111'!$L$11),"x","")</f>
        <v/>
      </c>
      <c r="S4058" s="75" t="str">
        <f>IF(AND($O4058=$Q$7,$B4058&lt;'111'!$L$11),"x","")</f>
        <v/>
      </c>
      <c r="T4058" s="75" t="str">
        <f>IF(ISERROR(FIND('112'!$M$9,G4058,1)),"",IF((AND(FIND('112'!$M$9,G4058,1)&gt;=1,B4058='112'!$K$9,OR($N4058='112'!$I$6,$O4058='112'!$I$6))),"x",""))</f>
        <v/>
      </c>
      <c r="U4058" s="75" t="str">
        <f>IF(ISERROR(FIND('112'!$M$9,G4058,1)),"",IF((AND(LEFT(G4058,2)=LEFT('112'!$M$9,2),B4058&lt;'112'!$K$9,$N4058='112'!$I$6)),"x",""))</f>
        <v/>
      </c>
      <c r="V4058" s="75" t="str">
        <f>IF(ISERROR(FIND('112'!$M$9,G4058,1)),"",IF((AND(RIGHT(G4058,2)=RIGHT('112'!$M$9,2),B4058&lt;'112'!$K$9,$O4058='112'!$I$6)),"x",""))</f>
        <v/>
      </c>
      <c r="W4058" s="75" t="str">
        <f>IF(AND('341-CT'!$H$9=H4058,OR(LEFT(N4058,3)=$W$7,LEFT(O4058,3)=$W$7)),"x","")</f>
        <v/>
      </c>
      <c r="X4058" s="75" t="str">
        <f>IF(OR(TH!N4722=TH!$X$7,O4058=TH!$X$7),"x","")</f>
        <v/>
      </c>
      <c r="Y4058" s="75" t="str">
        <f>IF(AND(OR(N4058="131",O4058="131"),H4058='131-CT'!$H$9),"x","")</f>
        <v/>
      </c>
      <c r="Z4058" s="75"/>
      <c r="AA4058" s="75" t="str">
        <f>IF(AND(MONTH(E4058)='IN-NX'!$J$5,'IN-NX'!$D$7=D4058),"x","")</f>
        <v/>
      </c>
      <c r="AB4058" s="75" t="str">
        <f>IF(AND(OR(LEFT(TH!N4722,2)="15",LEFT(TH!O4722,2)="15"),LEFT(TH!O4722,3)&lt;&gt;"111",'152-CT'!$J$8=TH!F4722),"x","")</f>
        <v/>
      </c>
      <c r="AC4058" s="75" t="str">
        <f>IF(AND(OR(LEFT(TH!N4722,2)="15",LEFT(TH!O4722,2)="15"),TK!$E$7=TH!F4722),"x","")</f>
        <v/>
      </c>
      <c r="AD4058" s="75" t="str">
        <f>IF(AND(N4058="1521",MONTH(C4058)='BK-NL'!$M$11),"x","")</f>
        <v/>
      </c>
    </row>
    <row r="4059" spans="1:30" ht="16.5" customHeight="1">
      <c r="A4059" s="309" t="str">
        <f>IF(B4059&lt;&gt;"",IF(AND(B4059='IN-TC'!$S$4,OR(TH!N4055="1111",TH!O4055="1111")),TH!D4055,""),"")</f>
        <v/>
      </c>
      <c r="B4059" s="1242">
        <f t="shared" si="1312"/>
        <v>5</v>
      </c>
      <c r="C4059" s="292">
        <f t="shared" si="1311"/>
        <v>42863</v>
      </c>
      <c r="D4059" s="292" t="s">
        <v>903</v>
      </c>
      <c r="E4059" s="59">
        <v>42863</v>
      </c>
      <c r="F4059" s="1127" t="s">
        <v>1207</v>
      </c>
      <c r="G4059" s="62" t="s">
        <v>585</v>
      </c>
      <c r="H4059" s="311" t="s">
        <v>845</v>
      </c>
      <c r="I4059" s="373"/>
      <c r="J4059" s="379"/>
      <c r="K4059" s="373"/>
      <c r="L4059" s="379"/>
      <c r="M4059" s="60">
        <v>152735</v>
      </c>
      <c r="N4059" s="61" t="s">
        <v>101</v>
      </c>
      <c r="O4059" s="61" t="s">
        <v>26</v>
      </c>
      <c r="P4059" s="75" t="str">
        <f>IF(AND('331-CT'!$E$7=TH!H4723,OR(N4059="331",O4059="331")),"x","")</f>
        <v/>
      </c>
      <c r="Q4059" s="75" t="str">
        <f>IF(AND(B4059='111'!$L$11,OR($N4059=$Q$7,$O4059=$Q$7)),"x","")</f>
        <v/>
      </c>
      <c r="R4059" s="75" t="str">
        <f>IF(AND($N4059=$Q$7,$B4059&lt;'111'!$L$11),"x","")</f>
        <v/>
      </c>
      <c r="S4059" s="75" t="str">
        <f>IF(AND($O4059=$Q$7,$B4059&lt;'111'!$L$11),"x","")</f>
        <v/>
      </c>
      <c r="T4059" s="75" t="str">
        <f>IF(ISERROR(FIND('112'!$M$9,G4059,1)),"",IF((AND(FIND('112'!$M$9,G4059,1)&gt;=1,B4059='112'!$K$9,OR($N4059='112'!$I$6,$O4059='112'!$I$6))),"x",""))</f>
        <v/>
      </c>
      <c r="U4059" s="75" t="str">
        <f>IF(ISERROR(FIND('112'!$M$9,G4059,1)),"",IF((AND(LEFT(G4059,2)=LEFT('112'!$M$9,2),B4059&lt;'112'!$K$9,$N4059='112'!$I$6)),"x",""))</f>
        <v/>
      </c>
      <c r="V4059" s="75" t="str">
        <f>IF(ISERROR(FIND('112'!$M$9,G4059,1)),"",IF((AND(RIGHT(G4059,2)=RIGHT('112'!$M$9,2),B4059&lt;'112'!$K$9,$O4059='112'!$I$6)),"x",""))</f>
        <v/>
      </c>
      <c r="W4059" s="75" t="str">
        <f>IF(AND('341-CT'!$H$9=H4059,OR(LEFT(N4059,3)=$W$7,LEFT(O4059,3)=$W$7)),"x","")</f>
        <v/>
      </c>
      <c r="X4059" s="75" t="str">
        <f>IF(OR(TH!N4723=TH!$X$7,O4059=TH!$X$7),"x","")</f>
        <v/>
      </c>
      <c r="Y4059" s="75" t="str">
        <f>IF(AND(OR(N4059="131",O4059="131"),H4059='131-CT'!$H$9),"x","")</f>
        <v/>
      </c>
      <c r="Z4059" s="75"/>
      <c r="AA4059" s="75" t="str">
        <f>IF(AND(MONTH(E4059)='IN-NX'!$J$5,'IN-NX'!$D$7=D4059),"x","")</f>
        <v/>
      </c>
      <c r="AB4059" s="75" t="str">
        <f>IF(AND(OR(LEFT(TH!N4723,2)="15",LEFT(TH!O4723,2)="15"),LEFT(TH!O4723,3)&lt;&gt;"111",'152-CT'!$J$8=TH!F4723),"x","")</f>
        <v/>
      </c>
      <c r="AC4059" s="75" t="str">
        <f>IF(AND(OR(LEFT(TH!N4723,2)="15",LEFT(TH!O4723,2)="15"),TK!$E$7=TH!F4723),"x","")</f>
        <v/>
      </c>
      <c r="AD4059" s="75" t="str">
        <f>IF(AND(N4059="1521",MONTH(C4059)='BK-NL'!$M$11),"x","")</f>
        <v/>
      </c>
    </row>
    <row r="4060" spans="1:30" ht="16.5" customHeight="1">
      <c r="A4060" s="309" t="str">
        <f>IF(B4060&lt;&gt;"",IF(AND(B4060='IN-TC'!$S$4,OR(TH!N4056="1111",TH!O4056="1111")),TH!D4056,""),"")</f>
        <v/>
      </c>
      <c r="B4060" s="1242">
        <f t="shared" si="1312"/>
        <v>5</v>
      </c>
      <c r="C4060" s="292">
        <f t="shared" si="1311"/>
        <v>42863</v>
      </c>
      <c r="D4060" s="292" t="s">
        <v>903</v>
      </c>
      <c r="E4060" s="59">
        <v>42863</v>
      </c>
      <c r="F4060" s="1127" t="s">
        <v>1315</v>
      </c>
      <c r="G4060" s="62" t="s">
        <v>585</v>
      </c>
      <c r="H4060" s="311" t="s">
        <v>845</v>
      </c>
      <c r="I4060" s="373"/>
      <c r="J4060" s="379"/>
      <c r="K4060" s="373"/>
      <c r="L4060" s="379"/>
      <c r="M4060" s="60">
        <v>15273</v>
      </c>
      <c r="N4060" s="61" t="s">
        <v>9</v>
      </c>
      <c r="O4060" s="61" t="s">
        <v>26</v>
      </c>
      <c r="P4060" s="75" t="str">
        <f>IF(AND('331-CT'!$E$7=TH!H4724,OR(N4060="331",O4060="331")),"x","")</f>
        <v/>
      </c>
      <c r="Q4060" s="75" t="str">
        <f>IF(AND(B4060='111'!$L$11,OR($N4060=$Q$7,$O4060=$Q$7)),"x","")</f>
        <v/>
      </c>
      <c r="R4060" s="75" t="str">
        <f>IF(AND($N4060=$Q$7,$B4060&lt;'111'!$L$11),"x","")</f>
        <v/>
      </c>
      <c r="S4060" s="75" t="str">
        <f>IF(AND($O4060=$Q$7,$B4060&lt;'111'!$L$11),"x","")</f>
        <v/>
      </c>
      <c r="T4060" s="75" t="str">
        <f>IF(ISERROR(FIND('112'!$M$9,G4060,1)),"",IF((AND(FIND('112'!$M$9,G4060,1)&gt;=1,B4060='112'!$K$9,OR($N4060='112'!$I$6,$O4060='112'!$I$6))),"x",""))</f>
        <v/>
      </c>
      <c r="U4060" s="75" t="str">
        <f>IF(ISERROR(FIND('112'!$M$9,G4060,1)),"",IF((AND(LEFT(G4060,2)=LEFT('112'!$M$9,2),B4060&lt;'112'!$K$9,$N4060='112'!$I$6)),"x",""))</f>
        <v/>
      </c>
      <c r="V4060" s="75" t="str">
        <f>IF(ISERROR(FIND('112'!$M$9,G4060,1)),"",IF((AND(RIGHT(G4060,2)=RIGHT('112'!$M$9,2),B4060&lt;'112'!$K$9,$O4060='112'!$I$6)),"x",""))</f>
        <v/>
      </c>
      <c r="W4060" s="75" t="str">
        <f>IF(AND('341-CT'!$H$9=H4060,OR(LEFT(N4060,3)=$W$7,LEFT(O4060,3)=$W$7)),"x","")</f>
        <v/>
      </c>
      <c r="X4060" s="75" t="str">
        <f>IF(OR(TH!N4724=TH!$X$7,O4060=TH!$X$7),"x","")</f>
        <v/>
      </c>
      <c r="Y4060" s="75" t="str">
        <f>IF(AND(OR(N4060="131",O4060="131"),H4060='131-CT'!$H$9),"x","")</f>
        <v/>
      </c>
      <c r="Z4060" s="75"/>
      <c r="AA4060" s="75" t="str">
        <f>IF(AND(MONTH(E4060)='IN-NX'!$J$5,'IN-NX'!$D$7=D4060),"x","")</f>
        <v/>
      </c>
      <c r="AB4060" s="75" t="str">
        <f>IF(AND(OR(LEFT(TH!N4724,2)="15",LEFT(TH!O4724,2)="15"),LEFT(TH!O4724,3)&lt;&gt;"111",'152-CT'!$J$8=TH!F4724),"x","")</f>
        <v/>
      </c>
      <c r="AC4060" s="75" t="str">
        <f>IF(AND(OR(LEFT(TH!N4724,2)="15",LEFT(TH!O4724,2)="15"),TK!$E$7=TH!F4724),"x","")</f>
        <v/>
      </c>
      <c r="AD4060" s="75" t="str">
        <f>IF(AND(N4060="1521",MONTH(C4060)='BK-NL'!$M$11),"x","")</f>
        <v/>
      </c>
    </row>
    <row r="4061" spans="1:30" ht="18" customHeight="1">
      <c r="A4061" s="309" t="str">
        <f>IF(B4061&lt;&gt;"",IF(AND(B4061='IN-TC'!$S$4,OR(TH!N4057="1111",TH!O4057="1111")),TH!D4057,""),"")</f>
        <v/>
      </c>
      <c r="B4061" s="1242">
        <f t="shared" si="1312"/>
        <v>5</v>
      </c>
      <c r="C4061" s="292">
        <f t="shared" si="1311"/>
        <v>42863</v>
      </c>
      <c r="D4061" s="292" t="s">
        <v>833</v>
      </c>
      <c r="E4061" s="292">
        <v>42863</v>
      </c>
      <c r="F4061" s="1127" t="s">
        <v>834</v>
      </c>
      <c r="G4061" s="943" t="s">
        <v>585</v>
      </c>
      <c r="H4061" s="67" t="s">
        <v>1023</v>
      </c>
      <c r="I4061" s="373"/>
      <c r="J4061" s="926"/>
      <c r="K4061" s="373"/>
      <c r="L4061" s="379"/>
      <c r="M4061" s="927">
        <v>510000000</v>
      </c>
      <c r="N4061" s="295" t="s">
        <v>63</v>
      </c>
      <c r="O4061" s="295" t="s">
        <v>26</v>
      </c>
      <c r="P4061" s="75" t="str">
        <f>IF(AND('331-CT'!$E$7=TH!H4725,OR(N4061="331",O4061="331")),"x","")</f>
        <v/>
      </c>
      <c r="Q4061" s="75" t="str">
        <f>IF(AND(B4061='111'!$L$11,OR($N4061=$Q$7,$O4061=$Q$7)),"x","")</f>
        <v/>
      </c>
      <c r="R4061" s="75" t="str">
        <f>IF(AND($N4061=$Q$7,$B4061&lt;'111'!$L$11),"x","")</f>
        <v>x</v>
      </c>
      <c r="S4061" s="75" t="str">
        <f>IF(AND($O4061=$Q$7,$B4061&lt;'111'!$L$11),"x","")</f>
        <v/>
      </c>
      <c r="T4061" s="75" t="str">
        <f>IF(ISERROR(FIND('112'!$M$9,G4061,1)),"",IF((AND(FIND('112'!$M$9,G4061,1)&gt;=1,B4061='112'!$K$9,OR($N4061='112'!$I$6,$O4061='112'!$I$6))),"x",""))</f>
        <v/>
      </c>
      <c r="U4061" s="75" t="str">
        <f>IF(ISERROR(FIND('112'!$M$9,G4061,1)),"",IF((AND(LEFT(G4061,2)=LEFT('112'!$M$9,2),B4061&lt;'112'!$K$9,$N4061='112'!$I$6)),"x",""))</f>
        <v/>
      </c>
      <c r="V4061" s="75" t="str">
        <f>IF(ISERROR(FIND('112'!$M$9,G4061,1)),"",IF((AND(RIGHT(G4061,2)=RIGHT('112'!$M$9,2),B4061&lt;'112'!$K$9,$O4061='112'!$I$6)),"x",""))</f>
        <v/>
      </c>
      <c r="W4061" s="75" t="str">
        <f>IF(AND('341-CT'!$H$9=H4061,OR(LEFT(N4061,3)=$W$7,LEFT(O4061,3)=$W$7)),"x","")</f>
        <v/>
      </c>
      <c r="X4061" s="75" t="str">
        <f>IF(OR(TH!N4725=TH!$X$7,O4061=TH!$X$7),"x","")</f>
        <v/>
      </c>
      <c r="Y4061" s="75" t="str">
        <f>IF(AND(OR(N4061="131",O4061="131"),H4061='131-CT'!$H$9),"x","")</f>
        <v/>
      </c>
      <c r="Z4061" s="75"/>
      <c r="AA4061" s="75" t="str">
        <f>IF(AND(MONTH(E4061)='IN-NX'!$J$5,'IN-NX'!$D$7=D4061),"x","")</f>
        <v/>
      </c>
      <c r="AB4061" s="75" t="str">
        <f>IF(AND(OR(LEFT(TH!N4725,2)="15",LEFT(TH!O4725,2)="15"),LEFT(TH!O4725,3)&lt;&gt;"111",'152-CT'!$J$8=TH!F4725),"x","")</f>
        <v/>
      </c>
      <c r="AC4061" s="75" t="str">
        <f>IF(AND(OR(LEFT(TH!N4725,2)="15",LEFT(TH!O4725,2)="15"),TK!$E$7=TH!F4725),"x","")</f>
        <v/>
      </c>
      <c r="AD4061" s="75" t="str">
        <f>IF(AND(N4061="1521",MONTH(C4061)='BK-NL'!$M$11),"x","")</f>
        <v/>
      </c>
    </row>
    <row r="4062" spans="1:30" ht="18" customHeight="1">
      <c r="A4062" s="309" t="str">
        <f>IF(B4062&lt;&gt;"",IF(AND(B4062='IN-TC'!$S$4,OR(TH!N4058="1111",TH!O4058="1111")),TH!D4058,""),"")</f>
        <v/>
      </c>
      <c r="B4062" s="1242">
        <f t="shared" si="1312"/>
        <v>5</v>
      </c>
      <c r="C4062" s="292">
        <f t="shared" si="1311"/>
        <v>42863</v>
      </c>
      <c r="D4062" s="292" t="s">
        <v>902</v>
      </c>
      <c r="E4062" s="59">
        <v>42863</v>
      </c>
      <c r="F4062" s="1334" t="s">
        <v>1027</v>
      </c>
      <c r="G4062" s="293" t="s">
        <v>747</v>
      </c>
      <c r="H4062" s="67" t="s">
        <v>759</v>
      </c>
      <c r="I4062" s="373"/>
      <c r="J4062" s="379"/>
      <c r="K4062" s="373"/>
      <c r="L4062" s="379"/>
      <c r="M4062" s="60">
        <v>2504700</v>
      </c>
      <c r="N4062" s="61" t="s">
        <v>101</v>
      </c>
      <c r="O4062" s="61" t="s">
        <v>26</v>
      </c>
      <c r="P4062" s="75" t="str">
        <f>IF(AND('331-CT'!$E$7=TH!H5158,OR(N4062="331",O4062="331")),"x","")</f>
        <v/>
      </c>
      <c r="Q4062" s="75" t="str">
        <f>IF(AND(B4062='111'!$L$11,OR($N4062=$Q$7,$O4062=$Q$7)),"x","")</f>
        <v/>
      </c>
      <c r="R4062" s="75" t="str">
        <f>IF(AND($N4062=$Q$7,$B4062&lt;'111'!$L$11),"x","")</f>
        <v/>
      </c>
      <c r="S4062" s="75" t="str">
        <f>IF(AND($O4062=$Q$7,$B4062&lt;'111'!$L$11),"x","")</f>
        <v/>
      </c>
      <c r="T4062" s="75" t="str">
        <f>IF(ISERROR(FIND('112'!$M$9,G4062,1)),"",IF((AND(FIND('112'!$M$9,G4062,1)&gt;=1,B4062='112'!$K$9,OR($N4062='112'!$I$6,$O4062='112'!$I$6))),"x",""))</f>
        <v/>
      </c>
      <c r="U4062" s="75" t="str">
        <f>IF(ISERROR(FIND('112'!$M$9,G4062,1)),"",IF((AND(LEFT(G4062,2)=LEFT('112'!$M$9,2),B4062&lt;'112'!$K$9,$N4062='112'!$I$6)),"x",""))</f>
        <v/>
      </c>
      <c r="V4062" s="75" t="str">
        <f>IF(ISERROR(FIND('112'!$M$9,G4062,1)),"",IF((AND(RIGHT(G4062,2)=RIGHT('112'!$M$9,2),B4062&lt;'112'!$K$9,$O4062='112'!$I$6)),"x",""))</f>
        <v/>
      </c>
      <c r="W4062" s="75" t="str">
        <f>IF(AND('341-CT'!$H$9=H4062,OR(LEFT(N4062,3)=$W$7,LEFT(O4062,3)=$W$7)),"x","")</f>
        <v/>
      </c>
      <c r="X4062" s="75" t="str">
        <f>IF(OR(TH!N5158=TH!$X$7,O4062=TH!$X$7),"x","")</f>
        <v/>
      </c>
      <c r="Y4062" s="75" t="str">
        <f>IF(AND(OR(N4062="131",O4062="131"),H4062='131-CT'!$H$9),"x","")</f>
        <v/>
      </c>
      <c r="Z4062" s="75"/>
      <c r="AA4062" s="75" t="str">
        <f>IF(AND(MONTH(E4062)='IN-NX'!$J$5,'IN-NX'!$D$7=D4062),"x","")</f>
        <v/>
      </c>
      <c r="AB4062" s="75" t="str">
        <f>IF(AND(OR(LEFT(TH!N5158,2)="15",LEFT(TH!O5158,2)="15"),LEFT(TH!O5158,3)&lt;&gt;"111",'152-CT'!$J$8=TH!F5158),"x","")</f>
        <v/>
      </c>
      <c r="AC4062" s="75" t="str">
        <f>IF(AND(OR(LEFT(TH!N5158,2)="15",LEFT(TH!O5158,2)="15"),TK!$E$7=TH!F5158),"x","")</f>
        <v/>
      </c>
      <c r="AD4062" s="75" t="str">
        <f>IF(AND(N4062="1521",MONTH(C4062)='BK-NL'!$M$11),"x","")</f>
        <v/>
      </c>
    </row>
    <row r="4063" spans="1:30" ht="18" customHeight="1">
      <c r="A4063" s="309" t="str">
        <f>IF(B4063&lt;&gt;"",IF(AND(B4063='IN-TC'!$S$4,OR(TH!N4059="1111",TH!O4059="1111")),TH!D4059,""),"")</f>
        <v/>
      </c>
      <c r="B4063" s="1242">
        <f t="shared" si="1312"/>
        <v>5</v>
      </c>
      <c r="C4063" s="292">
        <f t="shared" si="1311"/>
        <v>42863</v>
      </c>
      <c r="D4063" s="292" t="s">
        <v>902</v>
      </c>
      <c r="E4063" s="292">
        <v>42863</v>
      </c>
      <c r="F4063" s="1127" t="s">
        <v>897</v>
      </c>
      <c r="G4063" s="293" t="s">
        <v>747</v>
      </c>
      <c r="H4063" s="294" t="s">
        <v>623</v>
      </c>
      <c r="I4063" s="373"/>
      <c r="J4063" s="379"/>
      <c r="K4063" s="373"/>
      <c r="L4063" s="379"/>
      <c r="M4063" s="60">
        <v>4600000000</v>
      </c>
      <c r="N4063" s="295" t="s">
        <v>8</v>
      </c>
      <c r="O4063" s="61" t="s">
        <v>26</v>
      </c>
      <c r="P4063" s="75" t="str">
        <f>IF(AND('331-CT'!$E$7=TH!H5159,OR(N4063="331",O4063="331")),"x","")</f>
        <v/>
      </c>
      <c r="Q4063" s="75" t="str">
        <f>IF(AND(B4063='111'!$L$11,OR($N4063=$Q$7,$O4063=$Q$7)),"x","")</f>
        <v/>
      </c>
      <c r="R4063" s="75" t="str">
        <f>IF(AND($N4063=$Q$7,$B4063&lt;'111'!$L$11),"x","")</f>
        <v/>
      </c>
      <c r="S4063" s="75" t="str">
        <f>IF(AND($O4063=$Q$7,$B4063&lt;'111'!$L$11),"x","")</f>
        <v/>
      </c>
      <c r="T4063" s="75" t="str">
        <f>IF(ISERROR(FIND('112'!$M$9,G4063,1)),"",IF((AND(FIND('112'!$M$9,G4063,1)&gt;=1,B4063='112'!$K$9,OR($N4063='112'!$I$6,$O4063='112'!$I$6))),"x",""))</f>
        <v/>
      </c>
      <c r="U4063" s="75" t="str">
        <f>IF(ISERROR(FIND('112'!$M$9,G4063,1)),"",IF((AND(LEFT(G4063,2)=LEFT('112'!$M$9,2),B4063&lt;'112'!$K$9,$N4063='112'!$I$6)),"x",""))</f>
        <v/>
      </c>
      <c r="V4063" s="75" t="str">
        <f>IF(ISERROR(FIND('112'!$M$9,G4063,1)),"",IF((AND(RIGHT(G4063,2)=RIGHT('112'!$M$9,2),B4063&lt;'112'!$K$9,$O4063='112'!$I$6)),"x",""))</f>
        <v/>
      </c>
      <c r="W4063" s="75" t="str">
        <f>IF(AND('341-CT'!$H$9=H4063,OR(LEFT(N4063,3)=$W$7,LEFT(O4063,3)=$W$7)),"x","")</f>
        <v/>
      </c>
      <c r="X4063" s="75" t="str">
        <f>IF(OR(TH!N5159=TH!$X$7,O4063=TH!$X$7),"x","")</f>
        <v/>
      </c>
      <c r="Y4063" s="75" t="str">
        <f>IF(AND(OR(N4063="131",O4063="131"),H4063='131-CT'!$H$9),"x","")</f>
        <v/>
      </c>
      <c r="Z4063" s="75"/>
      <c r="AA4063" s="75" t="str">
        <f>IF(AND(MONTH(E4063)='IN-NX'!$J$5,'IN-NX'!$D$7=D4063),"x","")</f>
        <v/>
      </c>
      <c r="AB4063" s="75" t="str">
        <f>IF(AND(OR(LEFT(TH!N5159,2)="15",LEFT(TH!O5159,2)="15"),LEFT(TH!O5159,3)&lt;&gt;"111",'152-CT'!$J$8=TH!F5159),"x","")</f>
        <v/>
      </c>
      <c r="AC4063" s="75" t="str">
        <f>IF(AND(OR(LEFT(TH!N5159,2)="15",LEFT(TH!O5159,2)="15"),TK!$E$7=TH!F5159),"x","")</f>
        <v/>
      </c>
      <c r="AD4063" s="75" t="str">
        <f>IF(AND(N4063="1521",MONTH(C4063)='BK-NL'!$M$11),"x","")</f>
        <v/>
      </c>
    </row>
    <row r="4064" spans="1:30" ht="18" customHeight="1">
      <c r="A4064" s="309" t="str">
        <f>IF(B4064&lt;&gt;"",IF(AND(B4064='IN-TC'!$S$4,OR(TH!N4060="1111",TH!O4060="1111")),TH!D4060,""),"")</f>
        <v/>
      </c>
      <c r="B4064" s="1242">
        <f t="shared" si="1312"/>
        <v>5</v>
      </c>
      <c r="C4064" s="292">
        <f t="shared" si="1311"/>
        <v>42863</v>
      </c>
      <c r="D4064" s="292" t="s">
        <v>902</v>
      </c>
      <c r="E4064" s="292">
        <v>42863</v>
      </c>
      <c r="F4064" s="1127" t="s">
        <v>870</v>
      </c>
      <c r="G4064" s="293" t="s">
        <v>747</v>
      </c>
      <c r="H4064" s="294" t="s">
        <v>835</v>
      </c>
      <c r="I4064" s="373"/>
      <c r="J4064" s="379"/>
      <c r="K4064" s="373"/>
      <c r="L4064" s="379"/>
      <c r="M4064" s="60">
        <v>1000000</v>
      </c>
      <c r="N4064" s="295" t="s">
        <v>101</v>
      </c>
      <c r="O4064" s="61" t="s">
        <v>26</v>
      </c>
      <c r="P4064" s="75" t="str">
        <f>IF(AND('331-CT'!$E$7=TH!H5160,OR(N4064="331",O4064="331")),"x","")</f>
        <v/>
      </c>
      <c r="Q4064" s="75" t="str">
        <f>IF(AND(B4064='111'!$L$11,OR($N4064=$Q$7,$O4064=$Q$7)),"x","")</f>
        <v/>
      </c>
      <c r="R4064" s="75" t="str">
        <f>IF(AND($N4064=$Q$7,$B4064&lt;'111'!$L$11),"x","")</f>
        <v/>
      </c>
      <c r="S4064" s="75" t="str">
        <f>IF(AND($O4064=$Q$7,$B4064&lt;'111'!$L$11),"x","")</f>
        <v/>
      </c>
      <c r="T4064" s="75" t="str">
        <f>IF(ISERROR(FIND('112'!$M$9,G4064,1)),"",IF((AND(FIND('112'!$M$9,G4064,1)&gt;=1,B4064='112'!$K$9,OR($N4064='112'!$I$6,$O4064='112'!$I$6))),"x",""))</f>
        <v/>
      </c>
      <c r="U4064" s="75" t="str">
        <f>IF(ISERROR(FIND('112'!$M$9,G4064,1)),"",IF((AND(LEFT(G4064,2)=LEFT('112'!$M$9,2),B4064&lt;'112'!$K$9,$N4064='112'!$I$6)),"x",""))</f>
        <v/>
      </c>
      <c r="V4064" s="75" t="str">
        <f>IF(ISERROR(FIND('112'!$M$9,G4064,1)),"",IF((AND(RIGHT(G4064,2)=RIGHT('112'!$M$9,2),B4064&lt;'112'!$K$9,$O4064='112'!$I$6)),"x",""))</f>
        <v/>
      </c>
      <c r="W4064" s="75" t="str">
        <f>IF(AND('341-CT'!$H$9=H4064,OR(LEFT(N4064,3)=$W$7,LEFT(O4064,3)=$W$7)),"x","")</f>
        <v/>
      </c>
      <c r="X4064" s="75" t="str">
        <f>IF(OR(TH!N5160=TH!$X$7,O4064=TH!$X$7),"x","")</f>
        <v/>
      </c>
      <c r="Y4064" s="75" t="str">
        <f>IF(AND(OR(N4064="131",O4064="131"),H4064='131-CT'!$H$9),"x","")</f>
        <v/>
      </c>
      <c r="Z4064" s="75"/>
      <c r="AA4064" s="75" t="str">
        <f>IF(AND(MONTH(E4064)='IN-NX'!$J$5,'IN-NX'!$D$7=D4064),"x","")</f>
        <v/>
      </c>
      <c r="AB4064" s="75" t="str">
        <f>IF(AND(OR(LEFT(TH!N5160,2)="15",LEFT(TH!O5160,2)="15"),LEFT(TH!O5160,3)&lt;&gt;"111",'152-CT'!$J$8=TH!F5160),"x","")</f>
        <v/>
      </c>
      <c r="AC4064" s="75" t="str">
        <f>IF(AND(OR(LEFT(TH!N5160,2)="15",LEFT(TH!O5160,2)="15"),TK!$E$7=TH!F5160),"x","")</f>
        <v/>
      </c>
      <c r="AD4064" s="75" t="str">
        <f>IF(AND(N4064="1521",MONTH(C4064)='BK-NL'!$M$11),"x","")</f>
        <v/>
      </c>
    </row>
    <row r="4065" spans="1:33" ht="16.5" customHeight="1">
      <c r="A4065" s="309" t="str">
        <f>IF(B4065&lt;&gt;"",IF(AND(B4065='IN-TC'!$S$4,OR(TH!N4061="1111",TH!O4061="1111")),TH!D4061,""),"")</f>
        <v/>
      </c>
      <c r="B4065" s="1242">
        <f t="shared" si="1312"/>
        <v>5</v>
      </c>
      <c r="C4065" s="292">
        <f t="shared" si="1311"/>
        <v>42863</v>
      </c>
      <c r="D4065" s="292" t="s">
        <v>902</v>
      </c>
      <c r="E4065" s="292">
        <v>42863</v>
      </c>
      <c r="F4065" s="1127" t="s">
        <v>898</v>
      </c>
      <c r="G4065" s="293" t="s">
        <v>747</v>
      </c>
      <c r="H4065" s="294" t="s">
        <v>835</v>
      </c>
      <c r="I4065" s="373"/>
      <c r="J4065" s="379"/>
      <c r="K4065" s="373"/>
      <c r="L4065" s="379"/>
      <c r="M4065" s="60">
        <v>100000</v>
      </c>
      <c r="N4065" s="295" t="s">
        <v>9</v>
      </c>
      <c r="O4065" s="61" t="s">
        <v>26</v>
      </c>
      <c r="P4065" s="75" t="str">
        <f>IF(AND('331-CT'!$E$7=TH!H5161,OR(N4065="331",O4065="331")),"x","")</f>
        <v/>
      </c>
      <c r="Q4065" s="75" t="str">
        <f>IF(AND(B4065='111'!$L$11,OR($N4065=$Q$7,$O4065=$Q$7)),"x","")</f>
        <v/>
      </c>
      <c r="R4065" s="75" t="str">
        <f>IF(AND($N4065=$Q$7,$B4065&lt;'111'!$L$11),"x","")</f>
        <v/>
      </c>
      <c r="S4065" s="75" t="str">
        <f>IF(AND($O4065=$Q$7,$B4065&lt;'111'!$L$11),"x","")</f>
        <v/>
      </c>
      <c r="T4065" s="75" t="str">
        <f>IF(ISERROR(FIND('112'!$M$9,G4065,1)),"",IF((AND(FIND('112'!$M$9,G4065,1)&gt;=1,B4065='112'!$K$9,OR($N4065='112'!$I$6,$O4065='112'!$I$6))),"x",""))</f>
        <v/>
      </c>
      <c r="U4065" s="75" t="str">
        <f>IF(ISERROR(FIND('112'!$M$9,G4065,1)),"",IF((AND(LEFT(G4065,2)=LEFT('112'!$M$9,2),B4065&lt;'112'!$K$9,$N4065='112'!$I$6)),"x",""))</f>
        <v/>
      </c>
      <c r="V4065" s="75" t="str">
        <f>IF(ISERROR(FIND('112'!$M$9,G4065,1)),"",IF((AND(RIGHT(G4065,2)=RIGHT('112'!$M$9,2),B4065&lt;'112'!$K$9,$O4065='112'!$I$6)),"x",""))</f>
        <v/>
      </c>
      <c r="W4065" s="75" t="str">
        <f>IF(AND('341-CT'!$H$9=H4065,OR(LEFT(N4065,3)=$W$7,LEFT(O4065,3)=$W$7)),"x","")</f>
        <v/>
      </c>
      <c r="X4065" s="75" t="str">
        <f>IF(OR(TH!N5161=TH!$X$7,O4065=TH!$X$7),"x","")</f>
        <v/>
      </c>
      <c r="Y4065" s="75" t="str">
        <f>IF(AND(OR(N4065="131",O4065="131"),H4065='131-CT'!$H$9),"x","")</f>
        <v/>
      </c>
      <c r="Z4065" s="75"/>
      <c r="AA4065" s="75" t="str">
        <f>IF(AND(MONTH(E4065)='IN-NX'!$J$5,'IN-NX'!$D$7=D4065),"x","")</f>
        <v/>
      </c>
      <c r="AB4065" s="75" t="str">
        <f>IF(AND(OR(LEFT(TH!N5161,2)="15",LEFT(TH!O5161,2)="15"),LEFT(TH!O5161,3)&lt;&gt;"111",'152-CT'!$J$8=TH!F5161),"x","")</f>
        <v/>
      </c>
      <c r="AC4065" s="75" t="str">
        <f>IF(AND(OR(LEFT(TH!N5161,2)="15",LEFT(TH!O5161,2)="15"),TK!$E$7=TH!F5161),"x","")</f>
        <v/>
      </c>
      <c r="AD4065" s="75" t="str">
        <f>IF(AND(N4065="1521",MONTH(C4065)='BK-NL'!$M$11),"x","")</f>
        <v/>
      </c>
    </row>
    <row r="4066" spans="1:33" ht="16.5" customHeight="1">
      <c r="A4066" s="309" t="str">
        <f>IF(B4066&lt;&gt;"",IF(AND(B4066='IN-TC'!$S$4,OR(TH!N4062="1111",TH!O4062="1111")),TH!D4062,""),"")</f>
        <v/>
      </c>
      <c r="B4066" s="1242">
        <f t="shared" si="1312"/>
        <v>5</v>
      </c>
      <c r="C4066" s="292">
        <f t="shared" si="1311"/>
        <v>42863</v>
      </c>
      <c r="D4066" s="59" t="s">
        <v>903</v>
      </c>
      <c r="E4066" s="59">
        <v>42863</v>
      </c>
      <c r="F4066" s="1125" t="s">
        <v>252</v>
      </c>
      <c r="G4066" s="293" t="s">
        <v>747</v>
      </c>
      <c r="H4066" s="294" t="s">
        <v>1559</v>
      </c>
      <c r="I4066" s="373"/>
      <c r="J4066" s="379"/>
      <c r="K4066" s="373">
        <v>82000</v>
      </c>
      <c r="L4066" s="379">
        <v>22715</v>
      </c>
      <c r="M4066" s="60">
        <v>1862630000</v>
      </c>
      <c r="N4066" s="61" t="s">
        <v>26</v>
      </c>
      <c r="O4066" s="61" t="s">
        <v>250</v>
      </c>
      <c r="P4066" s="75" t="str">
        <f>IF(AND('331-CT'!$E$7=TH!H5162,OR(N4066="331",O4066="331")),"x","")</f>
        <v/>
      </c>
      <c r="Q4066" s="75" t="str">
        <f>IF(AND(B4066='111'!$L$11,OR($N4066=$Q$7,$O4066=$Q$7)),"x","")</f>
        <v/>
      </c>
      <c r="R4066" s="75" t="str">
        <f>IF(AND($N4066=$Q$7,$B4066&lt;'111'!$L$11),"x","")</f>
        <v/>
      </c>
      <c r="S4066" s="75" t="str">
        <f>IF(AND($O4066=$Q$7,$B4066&lt;'111'!$L$11),"x","")</f>
        <v/>
      </c>
      <c r="T4066" s="75" t="str">
        <f>IF(ISERROR(FIND('112'!$M$9,G4066,1)),"",IF((AND(FIND('112'!$M$9,G4066,1)&gt;=1,B4066='112'!$K$9,OR($N4066='112'!$I$6,$O4066='112'!$I$6))),"x",""))</f>
        <v/>
      </c>
      <c r="U4066" s="75" t="str">
        <f>IF(ISERROR(FIND('112'!$M$9,G4066,1)),"",IF((AND(LEFT(G4066,2)=LEFT('112'!$M$9,2),B4066&lt;'112'!$K$9,$N4066='112'!$I$6)),"x",""))</f>
        <v/>
      </c>
      <c r="V4066" s="75" t="str">
        <f>IF(ISERROR(FIND('112'!$M$9,G4066,1)),"",IF((AND(RIGHT(G4066,2)=RIGHT('112'!$M$9,2),B4066&lt;'112'!$K$9,$O4066='112'!$I$6)),"x",""))</f>
        <v/>
      </c>
      <c r="W4066" s="75" t="str">
        <f>IF(AND('341-CT'!$H$9=H4066,OR(LEFT(N4066,3)=$W$7,LEFT(O4066,3)=$W$7)),"x","")</f>
        <v/>
      </c>
      <c r="X4066" s="75" t="str">
        <f>IF(OR(TH!N5162=TH!$X$7,O4066=TH!$X$7),"x","")</f>
        <v/>
      </c>
      <c r="Y4066" s="75" t="str">
        <f>IF(AND(OR(N4066="131",O4066="131"),H4066='131-CT'!$H$9),"x","")</f>
        <v/>
      </c>
      <c r="Z4066" s="75"/>
      <c r="AA4066" s="75" t="str">
        <f>IF(AND(MONTH(E4066)='IN-NX'!$J$5,'IN-NX'!$D$7=D4066),"x","")</f>
        <v/>
      </c>
      <c r="AB4066" s="75" t="str">
        <f>IF(AND(OR(LEFT(TH!N5162,2)="15",LEFT(TH!O5162,2)="15"),LEFT(TH!O5162,3)&lt;&gt;"111",'152-CT'!$J$8=TH!F5162),"x","")</f>
        <v/>
      </c>
      <c r="AC4066" s="75" t="str">
        <f>IF(AND(OR(LEFT(TH!N5162,2)="15",LEFT(TH!O5162,2)="15"),TK!$E$7=TH!F5162),"x","")</f>
        <v/>
      </c>
      <c r="AD4066" s="75" t="str">
        <f>IF(AND(N4066="1521",MONTH(C4066)='BK-NL'!$M$11),"x","")</f>
        <v/>
      </c>
    </row>
    <row r="4067" spans="1:33" ht="16.5" customHeight="1">
      <c r="A4067" s="309" t="str">
        <f>IF(B4067&lt;&gt;"",IF(AND(B4067='IN-TC'!$S$4,OR(TH!N4063="1111",TH!O4063="1111")),TH!D4063,""),"")</f>
        <v/>
      </c>
      <c r="B4067" s="1242">
        <f t="shared" si="1312"/>
        <v>5</v>
      </c>
      <c r="C4067" s="292">
        <f t="shared" si="1311"/>
        <v>42864</v>
      </c>
      <c r="D4067" s="292" t="s">
        <v>1933</v>
      </c>
      <c r="E4067" s="929">
        <v>42864</v>
      </c>
      <c r="F4067" s="1126" t="s">
        <v>1165</v>
      </c>
      <c r="G4067" s="931" t="s">
        <v>875</v>
      </c>
      <c r="H4067" s="296" t="s">
        <v>796</v>
      </c>
      <c r="I4067" s="371"/>
      <c r="J4067" s="932"/>
      <c r="K4067" s="371"/>
      <c r="L4067" s="377"/>
      <c r="M4067" s="933">
        <v>18980500</v>
      </c>
      <c r="N4067" s="934" t="s">
        <v>8</v>
      </c>
      <c r="O4067" s="934" t="s">
        <v>63</v>
      </c>
      <c r="P4067" s="75" t="str">
        <f>IF(AND('331-CT'!$E$7=TH!H3640,OR(N4067="331",O4067="331")),"x","")</f>
        <v/>
      </c>
      <c r="Q4067" s="75" t="str">
        <f>IF(AND(B4067='111'!$L$11,OR($N4067=$Q$7,$O4067=$Q$7)),"x","")</f>
        <v/>
      </c>
      <c r="R4067" s="75" t="str">
        <f>IF(AND($N4067=$Q$7,$B4067&lt;'111'!$L$11),"x","")</f>
        <v/>
      </c>
      <c r="S4067" s="75" t="str">
        <f>IF(AND($O4067=$Q$7,$B4067&lt;'111'!$L$11),"x","")</f>
        <v>x</v>
      </c>
      <c r="T4067" s="75" t="str">
        <f>IF(ISERROR(FIND('112'!$M$9,G4067,1)),"",IF((AND(FIND('112'!$M$9,G4067,1)&gt;=1,B4067='112'!$K$9,OR($N4067='112'!$I$6,$O4067='112'!$I$6))),"x",""))</f>
        <v/>
      </c>
      <c r="U4067" s="75" t="str">
        <f>IF(ISERROR(FIND('112'!$M$9,G4067,1)),"",IF((AND(LEFT(G4067,2)=LEFT('112'!$M$9,2),B4067&lt;'112'!$K$9,$N4067='112'!$I$6)),"x",""))</f>
        <v/>
      </c>
      <c r="V4067" s="75" t="str">
        <f>IF(ISERROR(FIND('112'!$M$9,G4067,1)),"",IF((AND(RIGHT(G4067,2)=RIGHT('112'!$M$9,2),B4067&lt;'112'!$K$9,$O4067='112'!$I$6)),"x",""))</f>
        <v/>
      </c>
      <c r="W4067" s="75" t="str">
        <f>IF(AND('341-CT'!$H$9=H4067,OR(LEFT(N4067,3)=$W$7,LEFT(O4067,3)=$W$7)),"x","")</f>
        <v/>
      </c>
      <c r="X4067" s="75" t="str">
        <f>IF(OR(TH!N3640=TH!$X$7,O4067=TH!$X$7),"x","")</f>
        <v/>
      </c>
      <c r="Y4067" s="75" t="str">
        <f>IF(AND(OR(N4067="131",O4067="131"),H4067='131-CT'!$H$9),"x","")</f>
        <v/>
      </c>
      <c r="Z4067" s="75"/>
      <c r="AA4067" s="75" t="str">
        <f>IF(AND(MONTH(E4067)='IN-NX'!$J$5,'IN-NX'!$D$7=D4067),"x","")</f>
        <v/>
      </c>
      <c r="AB4067" s="75" t="str">
        <f>IF(AND(OR(LEFT(TH!N3640,2)="15",LEFT(TH!O3640,2)="15"),LEFT(TH!O3640,3)&lt;&gt;"111",'152-CT'!$J$8=TH!F3640),"x","")</f>
        <v/>
      </c>
      <c r="AC4067" s="75" t="str">
        <f>IF(AND(OR(LEFT(TH!N3640,2)="15",LEFT(TH!O3640,2)="15"),TK!$E$7=TH!F3640),"x","")</f>
        <v/>
      </c>
      <c r="AD4067" s="75" t="str">
        <f>IF(AND(N4067="1521",MONTH(C4067)='BK-NL'!$M$11),"x","")</f>
        <v/>
      </c>
    </row>
    <row r="4068" spans="1:33" ht="18" customHeight="1">
      <c r="A4068" s="309" t="str">
        <f>IF(B4068&lt;&gt;"",IF(AND(B4068='IN-TC'!$S$4,OR(TH!N4064="1111",TH!O4064="1111")),TH!D4064,""),"")</f>
        <v/>
      </c>
      <c r="B4068" s="1242">
        <f t="shared" si="1312"/>
        <v>5</v>
      </c>
      <c r="C4068" s="292">
        <f t="shared" si="1311"/>
        <v>42864</v>
      </c>
      <c r="D4068" s="292" t="s">
        <v>1927</v>
      </c>
      <c r="E4068" s="292">
        <v>42864</v>
      </c>
      <c r="F4068" s="1029" t="s">
        <v>1881</v>
      </c>
      <c r="G4068" s="925"/>
      <c r="H4068" s="311" t="s">
        <v>1886</v>
      </c>
      <c r="I4068" s="373"/>
      <c r="J4068" s="926"/>
      <c r="K4068" s="373"/>
      <c r="L4068" s="379"/>
      <c r="M4068" s="927">
        <v>1399125000</v>
      </c>
      <c r="N4068" s="295" t="s">
        <v>8</v>
      </c>
      <c r="O4068" s="295" t="s">
        <v>63</v>
      </c>
      <c r="P4068" s="75" t="str">
        <f>IF(AND('331-CT'!$E$7=TH!H4243,OR(N4068="331",O4068="331")),"x","")</f>
        <v/>
      </c>
      <c r="Q4068" s="75" t="str">
        <f>IF(AND(B4068='111'!$L$11,OR($N4068=$Q$7,$O4068=$Q$7)),"x","")</f>
        <v/>
      </c>
      <c r="R4068" s="75" t="str">
        <f>IF(AND($N4068=$Q$7,$B4068&lt;'111'!$L$11),"x","")</f>
        <v/>
      </c>
      <c r="S4068" s="75" t="str">
        <f>IF(AND($O4068=$Q$7,$B4068&lt;'111'!$L$11),"x","")</f>
        <v>x</v>
      </c>
      <c r="T4068" s="75" t="str">
        <f>IF(ISERROR(FIND('112'!$M$9,G4068,1)),"",IF((AND(FIND('112'!$M$9,G4068,1)&gt;=1,B4068='112'!$K$9,OR($N4068='112'!$I$6,$O4068='112'!$I$6))),"x",""))</f>
        <v/>
      </c>
      <c r="U4068" s="75" t="str">
        <f>IF(ISERROR(FIND('112'!$M$9,G4068,1)),"",IF((AND(LEFT(G4068,2)=LEFT('112'!$M$9,2),B4068&lt;'112'!$K$9,$N4068='112'!$I$6)),"x",""))</f>
        <v/>
      </c>
      <c r="V4068" s="75" t="str">
        <f>IF(ISERROR(FIND('112'!$M$9,G4068,1)),"",IF((AND(RIGHT(G4068,2)=RIGHT('112'!$M$9,2),B4068&lt;'112'!$K$9,$O4068='112'!$I$6)),"x",""))</f>
        <v/>
      </c>
      <c r="W4068" s="75" t="str">
        <f>IF(AND('341-CT'!$H$9=H4068,OR(LEFT(N4068,3)=$W$7,LEFT(O4068,3)=$W$7)),"x","")</f>
        <v/>
      </c>
      <c r="X4068" s="75" t="str">
        <f>IF(OR(TH!N4243=TH!$X$7,O4068=TH!$X$7),"x","")</f>
        <v/>
      </c>
      <c r="Y4068" s="75" t="str">
        <f>IF(AND(OR(N4068="131",O4068="131"),H4068='131-CT'!$H$9),"x","")</f>
        <v/>
      </c>
      <c r="Z4068" s="75"/>
      <c r="AA4068" s="75" t="str">
        <f>IF(AND(MONTH(E4068)='IN-NX'!$J$5,'IN-NX'!$D$7=D4068),"x","")</f>
        <v/>
      </c>
      <c r="AB4068" s="75" t="str">
        <f>IF(AND(OR(LEFT(TH!N4243,2)="15",LEFT(TH!O4243,2)="15"),LEFT(TH!O4243,3)&lt;&gt;"111",'152-CT'!$J$8=TH!F4243),"x","")</f>
        <v/>
      </c>
      <c r="AC4068" s="75" t="str">
        <f>IF(AND(OR(LEFT(TH!N4243,2)="15",LEFT(TH!O4243,2)="15"),TK!$E$7=TH!F4243),"x","")</f>
        <v/>
      </c>
      <c r="AD4068" s="75" t="str">
        <f>IF(AND(N4068="1521",MONTH(C4068)='BK-NL'!$M$11),"x","")</f>
        <v/>
      </c>
    </row>
    <row r="4069" spans="1:33" ht="18" customHeight="1">
      <c r="A4069" s="309" t="str">
        <f>IF(B4069&lt;&gt;"",IF(AND(B4069='IN-TC'!$S$4,OR(TH!N4065="1111",TH!O4065="1111")),TH!D4065,""),"")</f>
        <v/>
      </c>
      <c r="B4069" s="1242">
        <f t="shared" si="1312"/>
        <v>5</v>
      </c>
      <c r="C4069" s="292">
        <f t="shared" si="1311"/>
        <v>42864</v>
      </c>
      <c r="D4069" s="292" t="s">
        <v>1928</v>
      </c>
      <c r="E4069" s="292">
        <v>42864</v>
      </c>
      <c r="F4069" s="1029" t="s">
        <v>1883</v>
      </c>
      <c r="G4069" s="925"/>
      <c r="H4069" s="311"/>
      <c r="I4069" s="373"/>
      <c r="J4069" s="926"/>
      <c r="K4069" s="373"/>
      <c r="L4069" s="379"/>
      <c r="M4069" s="927">
        <v>1119300</v>
      </c>
      <c r="N4069" s="295" t="s">
        <v>101</v>
      </c>
      <c r="O4069" s="295" t="s">
        <v>63</v>
      </c>
      <c r="P4069" s="75" t="str">
        <f>IF(AND('331-CT'!$E$7=TH!H4244,OR(N4069="331",O4069="331")),"x","")</f>
        <v/>
      </c>
      <c r="Q4069" s="75" t="str">
        <f>IF(AND(B4069='111'!$L$11,OR($N4069=$Q$7,$O4069=$Q$7)),"x","")</f>
        <v/>
      </c>
      <c r="R4069" s="75" t="str">
        <f>IF(AND($N4069=$Q$7,$B4069&lt;'111'!$L$11),"x","")</f>
        <v/>
      </c>
      <c r="S4069" s="75" t="str">
        <f>IF(AND($O4069=$Q$7,$B4069&lt;'111'!$L$11),"x","")</f>
        <v>x</v>
      </c>
      <c r="T4069" s="75" t="str">
        <f>IF(ISERROR(FIND('112'!$M$9,G4069,1)),"",IF((AND(FIND('112'!$M$9,G4069,1)&gt;=1,B4069='112'!$K$9,OR($N4069='112'!$I$6,$O4069='112'!$I$6))),"x",""))</f>
        <v/>
      </c>
      <c r="U4069" s="75" t="str">
        <f>IF(ISERROR(FIND('112'!$M$9,G4069,1)),"",IF((AND(LEFT(G4069,2)=LEFT('112'!$M$9,2),B4069&lt;'112'!$K$9,$N4069='112'!$I$6)),"x",""))</f>
        <v/>
      </c>
      <c r="V4069" s="75" t="str">
        <f>IF(ISERROR(FIND('112'!$M$9,G4069,1)),"",IF((AND(RIGHT(G4069,2)=RIGHT('112'!$M$9,2),B4069&lt;'112'!$K$9,$O4069='112'!$I$6)),"x",""))</f>
        <v/>
      </c>
      <c r="W4069" s="75" t="str">
        <f>IF(AND('341-CT'!$H$9=H4069,OR(LEFT(N4069,3)=$W$7,LEFT(O4069,3)=$W$7)),"x","")</f>
        <v/>
      </c>
      <c r="X4069" s="75" t="str">
        <f>IF(OR(TH!N4244=TH!$X$7,O4069=TH!$X$7),"x","")</f>
        <v/>
      </c>
      <c r="Y4069" s="75" t="str">
        <f>IF(AND(OR(N4069="131",O4069="131"),H4069='131-CT'!$H$9),"x","")</f>
        <v/>
      </c>
      <c r="Z4069" s="75"/>
      <c r="AA4069" s="75" t="str">
        <f>IF(AND(MONTH(E4069)='IN-NX'!$J$5,'IN-NX'!$D$7=D4069),"x","")</f>
        <v/>
      </c>
      <c r="AB4069" s="75" t="str">
        <f>IF(AND(OR(LEFT(TH!N4244,2)="15",LEFT(TH!O4244,2)="15"),LEFT(TH!O4244,3)&lt;&gt;"111",'152-CT'!$J$8=TH!F4244),"x","")</f>
        <v/>
      </c>
      <c r="AC4069" s="75" t="str">
        <f>IF(AND(OR(LEFT(TH!N4244,2)="15",LEFT(TH!O4244,2)="15"),TK!$E$7=TH!F4244),"x","")</f>
        <v/>
      </c>
      <c r="AD4069" s="75" t="str">
        <f>IF(AND(N4069="1521",MONTH(C4069)='BK-NL'!$M$11),"x","")</f>
        <v/>
      </c>
      <c r="AE4069">
        <v>9</v>
      </c>
    </row>
    <row r="4070" spans="1:33" ht="18" customHeight="1">
      <c r="A4070" s="309" t="str">
        <f>IF(B4070&lt;&gt;"",IF(AND(B4070='IN-TC'!$S$4,OR(TH!N4066="1111",TH!O4066="1111")),TH!D4066,""),"")</f>
        <v/>
      </c>
      <c r="B4070" s="1242">
        <f t="shared" si="1312"/>
        <v>5</v>
      </c>
      <c r="C4070" s="292">
        <f t="shared" si="1311"/>
        <v>42864</v>
      </c>
      <c r="D4070" s="292" t="s">
        <v>1928</v>
      </c>
      <c r="E4070" s="292">
        <v>42864</v>
      </c>
      <c r="F4070" s="1029" t="s">
        <v>1895</v>
      </c>
      <c r="G4070" s="925"/>
      <c r="H4070" s="311"/>
      <c r="I4070" s="373"/>
      <c r="J4070" s="926"/>
      <c r="K4070" s="373"/>
      <c r="L4070" s="379"/>
      <c r="M4070" s="927">
        <v>111930</v>
      </c>
      <c r="N4070" s="295" t="s">
        <v>9</v>
      </c>
      <c r="O4070" s="295" t="s">
        <v>63</v>
      </c>
      <c r="P4070" s="75" t="str">
        <f>IF(AND('331-CT'!$E$7=TH!H4245,OR(N4070="331",O4070="331")),"x","")</f>
        <v/>
      </c>
      <c r="Q4070" s="75" t="str">
        <f>IF(AND(B4070='111'!$L$11,OR($N4070=$Q$7,$O4070=$Q$7)),"x","")</f>
        <v/>
      </c>
      <c r="R4070" s="75" t="str">
        <f>IF(AND($N4070=$Q$7,$B4070&lt;'111'!$L$11),"x","")</f>
        <v/>
      </c>
      <c r="S4070" s="75" t="str">
        <f>IF(AND($O4070=$Q$7,$B4070&lt;'111'!$L$11),"x","")</f>
        <v>x</v>
      </c>
      <c r="T4070" s="75" t="str">
        <f>IF(ISERROR(FIND('112'!$M$9,G4070,1)),"",IF((AND(FIND('112'!$M$9,G4070,1)&gt;=1,B4070='112'!$K$9,OR($N4070='112'!$I$6,$O4070='112'!$I$6))),"x",""))</f>
        <v/>
      </c>
      <c r="U4070" s="75" t="str">
        <f>IF(ISERROR(FIND('112'!$M$9,G4070,1)),"",IF((AND(LEFT(G4070,2)=LEFT('112'!$M$9,2),B4070&lt;'112'!$K$9,$N4070='112'!$I$6)),"x",""))</f>
        <v/>
      </c>
      <c r="V4070" s="75" t="str">
        <f>IF(ISERROR(FIND('112'!$M$9,G4070,1)),"",IF((AND(RIGHT(G4070,2)=RIGHT('112'!$M$9,2),B4070&lt;'112'!$K$9,$O4070='112'!$I$6)),"x",""))</f>
        <v/>
      </c>
      <c r="W4070" s="75" t="str">
        <f>IF(AND('341-CT'!$H$9=H4070,OR(LEFT(N4070,3)=$W$7,LEFT(O4070,3)=$W$7)),"x","")</f>
        <v/>
      </c>
      <c r="X4070" s="75" t="str">
        <f>IF(OR(TH!N4245=TH!$X$7,O4070=TH!$X$7),"x","")</f>
        <v/>
      </c>
      <c r="Y4070" s="75" t="str">
        <f>IF(AND(OR(N4070="131",O4070="131"),H4070='131-CT'!$H$9),"x","")</f>
        <v/>
      </c>
      <c r="Z4070" s="75"/>
      <c r="AA4070" s="75" t="str">
        <f>IF(AND(MONTH(E4070)='IN-NX'!$J$5,'IN-NX'!$D$7=D4070),"x","")</f>
        <v/>
      </c>
      <c r="AB4070" s="75" t="str">
        <f>IF(AND(OR(LEFT(TH!N4245,2)="15",LEFT(TH!O4245,2)="15"),LEFT(TH!O4245,3)&lt;&gt;"111",'152-CT'!$J$8=TH!F4245),"x","")</f>
        <v/>
      </c>
      <c r="AC4070" s="75" t="str">
        <f>IF(AND(OR(LEFT(TH!N4245,2)="15",LEFT(TH!O4245,2)="15"),TK!$E$7=TH!F4245),"x","")</f>
        <v/>
      </c>
      <c r="AD4070" s="75" t="str">
        <f>IF(AND(N4070="1521",MONTH(C4070)='BK-NL'!$M$11),"x","")</f>
        <v/>
      </c>
      <c r="AE4070">
        <v>9</v>
      </c>
    </row>
    <row r="4071" spans="1:33" ht="18" customHeight="1">
      <c r="A4071" s="309" t="str">
        <f>IF(B4071&lt;&gt;"",IF(AND(B4071='IN-TC'!$S$4,OR(TH!N4067="1111",TH!O4067="1111")),TH!D4067,""),"")</f>
        <v/>
      </c>
      <c r="B4071" s="1242">
        <f t="shared" si="1312"/>
        <v>5</v>
      </c>
      <c r="C4071" s="292">
        <f t="shared" si="1311"/>
        <v>42864</v>
      </c>
      <c r="D4071" s="292" t="s">
        <v>1931</v>
      </c>
      <c r="E4071" s="292">
        <v>42864</v>
      </c>
      <c r="F4071" s="1029" t="s">
        <v>1881</v>
      </c>
      <c r="G4071" s="925"/>
      <c r="H4071" s="311" t="s">
        <v>1882</v>
      </c>
      <c r="I4071" s="373"/>
      <c r="J4071" s="926"/>
      <c r="K4071" s="373"/>
      <c r="L4071" s="379"/>
      <c r="M4071" s="927">
        <v>662146000</v>
      </c>
      <c r="N4071" s="295" t="s">
        <v>8</v>
      </c>
      <c r="O4071" s="295" t="s">
        <v>63</v>
      </c>
      <c r="P4071" s="75" t="str">
        <f>IF(AND('331-CT'!$E$7=TH!H4249,OR(N4071="331",O4071="331")),"x","")</f>
        <v/>
      </c>
      <c r="Q4071" s="75" t="str">
        <f>IF(AND(B4071='111'!$L$11,OR($N4071=$Q$7,$O4071=$Q$7)),"x","")</f>
        <v/>
      </c>
      <c r="R4071" s="75" t="str">
        <f>IF(AND($N4071=$Q$7,$B4071&lt;'111'!$L$11),"x","")</f>
        <v/>
      </c>
      <c r="S4071" s="75" t="str">
        <f>IF(AND($O4071=$Q$7,$B4071&lt;'111'!$L$11),"x","")</f>
        <v>x</v>
      </c>
      <c r="T4071" s="75" t="str">
        <f>IF(ISERROR(FIND('112'!$M$9,G4071,1)),"",IF((AND(FIND('112'!$M$9,G4071,1)&gt;=1,B4071='112'!$K$9,OR($N4071='112'!$I$6,$O4071='112'!$I$6))),"x",""))</f>
        <v/>
      </c>
      <c r="U4071" s="75" t="str">
        <f>IF(ISERROR(FIND('112'!$M$9,G4071,1)),"",IF((AND(LEFT(G4071,2)=LEFT('112'!$M$9,2),B4071&lt;'112'!$K$9,$N4071='112'!$I$6)),"x",""))</f>
        <v/>
      </c>
      <c r="V4071" s="75" t="str">
        <f>IF(ISERROR(FIND('112'!$M$9,G4071,1)),"",IF((AND(RIGHT(G4071,2)=RIGHT('112'!$M$9,2),B4071&lt;'112'!$K$9,$O4071='112'!$I$6)),"x",""))</f>
        <v/>
      </c>
      <c r="W4071" s="75" t="str">
        <f>IF(AND('341-CT'!$H$9=H4071,OR(LEFT(N4071,3)=$W$7,LEFT(O4071,3)=$W$7)),"x","")</f>
        <v/>
      </c>
      <c r="X4071" s="75" t="str">
        <f>IF(OR(TH!N4249=TH!$X$7,O4071=TH!$X$7),"x","")</f>
        <v/>
      </c>
      <c r="Y4071" s="75" t="str">
        <f>IF(AND(OR(N4071="131",O4071="131"),H4071='131-CT'!$H$9),"x","")</f>
        <v/>
      </c>
      <c r="Z4071" s="75"/>
      <c r="AA4071" s="75" t="str">
        <f>IF(AND(MONTH(E4071)='IN-NX'!$J$5,'IN-NX'!$D$7=D4071),"x","")</f>
        <v/>
      </c>
      <c r="AB4071" s="75" t="str">
        <f>IF(AND(OR(LEFT(TH!N4249,2)="15",LEFT(TH!O4249,2)="15"),LEFT(TH!O4249,3)&lt;&gt;"111",'152-CT'!$J$8=TH!F4249),"x","")</f>
        <v/>
      </c>
      <c r="AC4071" s="75" t="str">
        <f>IF(AND(OR(LEFT(TH!N4249,2)="15",LEFT(TH!O4249,2)="15"),TK!$E$7=TH!F4249),"x","")</f>
        <v/>
      </c>
      <c r="AD4071" s="75" t="str">
        <f>IF(AND(N4071="1521",MONTH(C4071)='BK-NL'!$M$11),"x","")</f>
        <v/>
      </c>
    </row>
    <row r="4072" spans="1:33" ht="18" customHeight="1">
      <c r="A4072" s="309" t="str">
        <f>IF(B4072&lt;&gt;"",IF(AND(B4072='IN-TC'!$S$4,OR(TH!N4068="1111",TH!O4068="1111")),TH!D4068,""),"")</f>
        <v/>
      </c>
      <c r="B4072" s="1242">
        <f t="shared" si="1312"/>
        <v>5</v>
      </c>
      <c r="C4072" s="292">
        <f t="shared" si="1311"/>
        <v>42864</v>
      </c>
      <c r="D4072" s="292" t="s">
        <v>1932</v>
      </c>
      <c r="E4072" s="292">
        <v>42864</v>
      </c>
      <c r="F4072" s="1029" t="s">
        <v>1883</v>
      </c>
      <c r="G4072" s="925"/>
      <c r="H4072" s="311"/>
      <c r="I4072" s="373"/>
      <c r="J4072" s="926"/>
      <c r="K4072" s="373"/>
      <c r="L4072" s="379"/>
      <c r="M4072" s="927">
        <v>342500</v>
      </c>
      <c r="N4072" s="295" t="s">
        <v>101</v>
      </c>
      <c r="O4072" s="295" t="s">
        <v>63</v>
      </c>
      <c r="P4072" s="75" t="str">
        <f>IF(AND('331-CT'!$E$7=TH!H4250,OR(N4072="331",O4072="331")),"x","")</f>
        <v/>
      </c>
      <c r="Q4072" s="75" t="str">
        <f>IF(AND(B4072='111'!$L$11,OR($N4072=$Q$7,$O4072=$Q$7)),"x","")</f>
        <v/>
      </c>
      <c r="R4072" s="75" t="str">
        <f>IF(AND($N4072=$Q$7,$B4072&lt;'111'!$L$11),"x","")</f>
        <v/>
      </c>
      <c r="S4072" s="75" t="str">
        <f>IF(AND($O4072=$Q$7,$B4072&lt;'111'!$L$11),"x","")</f>
        <v>x</v>
      </c>
      <c r="T4072" s="75" t="str">
        <f>IF(ISERROR(FIND('112'!$M$9,G4072,1)),"",IF((AND(FIND('112'!$M$9,G4072,1)&gt;=1,B4072='112'!$K$9,OR($N4072='112'!$I$6,$O4072='112'!$I$6))),"x",""))</f>
        <v/>
      </c>
      <c r="U4072" s="75" t="str">
        <f>IF(ISERROR(FIND('112'!$M$9,G4072,1)),"",IF((AND(LEFT(G4072,2)=LEFT('112'!$M$9,2),B4072&lt;'112'!$K$9,$N4072='112'!$I$6)),"x",""))</f>
        <v/>
      </c>
      <c r="V4072" s="75" t="str">
        <f>IF(ISERROR(FIND('112'!$M$9,G4072,1)),"",IF((AND(RIGHT(G4072,2)=RIGHT('112'!$M$9,2),B4072&lt;'112'!$K$9,$O4072='112'!$I$6)),"x",""))</f>
        <v/>
      </c>
      <c r="W4072" s="75" t="str">
        <f>IF(AND('341-CT'!$H$9=H4072,OR(LEFT(N4072,3)=$W$7,LEFT(O4072,3)=$W$7)),"x","")</f>
        <v/>
      </c>
      <c r="X4072" s="75" t="str">
        <f>IF(OR(TH!N4250=TH!$X$7,O4072=TH!$X$7),"x","")</f>
        <v/>
      </c>
      <c r="Y4072" s="75" t="str">
        <f>IF(AND(OR(N4072="131",O4072="131"),H4072='131-CT'!$H$9),"x","")</f>
        <v/>
      </c>
      <c r="Z4072" s="75"/>
      <c r="AA4072" s="75" t="str">
        <f>IF(AND(MONTH(E4072)='IN-NX'!$J$5,'IN-NX'!$D$7=D4072),"x","")</f>
        <v/>
      </c>
      <c r="AB4072" s="75" t="str">
        <f>IF(AND(OR(LEFT(TH!N4250,2)="15",LEFT(TH!O4250,2)="15"),LEFT(TH!O4250,3)&lt;&gt;"111",'152-CT'!$J$8=TH!F4250),"x","")</f>
        <v/>
      </c>
      <c r="AC4072" s="75" t="str">
        <f>IF(AND(OR(LEFT(TH!N4250,2)="15",LEFT(TH!O4250,2)="15"),TK!$E$7=TH!F4250),"x","")</f>
        <v/>
      </c>
      <c r="AD4072" s="75" t="str">
        <f>IF(AND(N4072="1521",MONTH(C4072)='BK-NL'!$M$11),"x","")</f>
        <v/>
      </c>
      <c r="AE4072">
        <v>9</v>
      </c>
    </row>
    <row r="4073" spans="1:33" ht="18" customHeight="1">
      <c r="A4073" s="309" t="str">
        <f>IF(B4073&lt;&gt;"",IF(AND(B4073='IN-TC'!$S$4,OR(TH!N4069="1111",TH!O4069="1111")),TH!D4069,""),"")</f>
        <v/>
      </c>
      <c r="B4073" s="1242">
        <f t="shared" si="1312"/>
        <v>5</v>
      </c>
      <c r="C4073" s="292">
        <f t="shared" si="1311"/>
        <v>42864</v>
      </c>
      <c r="D4073" s="292" t="s">
        <v>1932</v>
      </c>
      <c r="E4073" s="292">
        <v>42864</v>
      </c>
      <c r="F4073" s="1029" t="s">
        <v>1895</v>
      </c>
      <c r="G4073" s="925"/>
      <c r="H4073" s="311"/>
      <c r="I4073" s="373"/>
      <c r="J4073" s="926"/>
      <c r="K4073" s="373"/>
      <c r="L4073" s="379"/>
      <c r="M4073" s="927">
        <v>34250</v>
      </c>
      <c r="N4073" s="295" t="s">
        <v>9</v>
      </c>
      <c r="O4073" s="295" t="s">
        <v>63</v>
      </c>
      <c r="P4073" s="75" t="str">
        <f>IF(AND('331-CT'!$E$7=TH!H4251,OR(N4073="331",O4073="331")),"x","")</f>
        <v/>
      </c>
      <c r="Q4073" s="75" t="str">
        <f>IF(AND(B4073='111'!$L$11,OR($N4073=$Q$7,$O4073=$Q$7)),"x","")</f>
        <v/>
      </c>
      <c r="R4073" s="75" t="str">
        <f>IF(AND($N4073=$Q$7,$B4073&lt;'111'!$L$11),"x","")</f>
        <v/>
      </c>
      <c r="S4073" s="75" t="str">
        <f>IF(AND($O4073=$Q$7,$B4073&lt;'111'!$L$11),"x","")</f>
        <v>x</v>
      </c>
      <c r="T4073" s="75" t="str">
        <f>IF(ISERROR(FIND('112'!$M$9,G4073,1)),"",IF((AND(FIND('112'!$M$9,G4073,1)&gt;=1,B4073='112'!$K$9,OR($N4073='112'!$I$6,$O4073='112'!$I$6))),"x",""))</f>
        <v/>
      </c>
      <c r="U4073" s="75" t="str">
        <f>IF(ISERROR(FIND('112'!$M$9,G4073,1)),"",IF((AND(LEFT(G4073,2)=LEFT('112'!$M$9,2),B4073&lt;'112'!$K$9,$N4073='112'!$I$6)),"x",""))</f>
        <v/>
      </c>
      <c r="V4073" s="75" t="str">
        <f>IF(ISERROR(FIND('112'!$M$9,G4073,1)),"",IF((AND(RIGHT(G4073,2)=RIGHT('112'!$M$9,2),B4073&lt;'112'!$K$9,$O4073='112'!$I$6)),"x",""))</f>
        <v/>
      </c>
      <c r="W4073" s="75" t="str">
        <f>IF(AND('341-CT'!$H$9=H4073,OR(LEFT(N4073,3)=$W$7,LEFT(O4073,3)=$W$7)),"x","")</f>
        <v/>
      </c>
      <c r="X4073" s="75" t="str">
        <f>IF(OR(TH!N4251=TH!$X$7,O4073=TH!$X$7),"x","")</f>
        <v/>
      </c>
      <c r="Y4073" s="75" t="str">
        <f>IF(AND(OR(N4073="131",O4073="131"),H4073='131-CT'!$H$9),"x","")</f>
        <v/>
      </c>
      <c r="Z4073" s="75"/>
      <c r="AA4073" s="75" t="str">
        <f>IF(AND(MONTH(E4073)='IN-NX'!$J$5,'IN-NX'!$D$7=D4073),"x","")</f>
        <v/>
      </c>
      <c r="AB4073" s="75" t="str">
        <f>IF(AND(OR(LEFT(TH!N4251,2)="15",LEFT(TH!O4251,2)="15"),LEFT(TH!O4251,3)&lt;&gt;"111",'152-CT'!$J$8=TH!F4251),"x","")</f>
        <v/>
      </c>
      <c r="AC4073" s="75" t="str">
        <f>IF(AND(OR(LEFT(TH!N4251,2)="15",LEFT(TH!O4251,2)="15"),TK!$E$7=TH!F4251),"x","")</f>
        <v/>
      </c>
      <c r="AD4073" s="75" t="str">
        <f>IF(AND(N4073="1521",MONTH(C4073)='BK-NL'!$M$11),"x","")</f>
        <v/>
      </c>
      <c r="AE4073">
        <v>9</v>
      </c>
    </row>
    <row r="4074" spans="1:33" ht="18" customHeight="1">
      <c r="A4074" s="309" t="str">
        <f>IF(B4074&lt;&gt;"",IF(AND(B4074='IN-TC'!$S$4,OR(TH!N4070="1111",TH!O4070="1111")),TH!D4070,""),"")</f>
        <v/>
      </c>
      <c r="B4074" s="1242">
        <f t="shared" si="1312"/>
        <v>5</v>
      </c>
      <c r="C4074" s="292">
        <f t="shared" si="1311"/>
        <v>42864</v>
      </c>
      <c r="D4074" s="292" t="s">
        <v>843</v>
      </c>
      <c r="E4074" s="292">
        <v>42864</v>
      </c>
      <c r="F4074" s="1125" t="s">
        <v>834</v>
      </c>
      <c r="G4074" s="943" t="s">
        <v>747</v>
      </c>
      <c r="H4074" s="67" t="s">
        <v>1023</v>
      </c>
      <c r="I4074" s="373"/>
      <c r="J4074" s="926"/>
      <c r="K4074" s="373"/>
      <c r="L4074" s="379"/>
      <c r="M4074" s="927">
        <v>1890000000</v>
      </c>
      <c r="N4074" s="295" t="s">
        <v>63</v>
      </c>
      <c r="O4074" s="295" t="s">
        <v>26</v>
      </c>
      <c r="P4074" s="75" t="str">
        <f>IF(AND('331-CT'!$E$7=TH!H5163,OR(N4074="331",O4074="331")),"x","")</f>
        <v/>
      </c>
      <c r="Q4074" s="75" t="str">
        <f>IF(AND(B4074='111'!$L$11,OR($N4074=$Q$7,$O4074=$Q$7)),"x","")</f>
        <v/>
      </c>
      <c r="R4074" s="75" t="str">
        <f>IF(AND($N4074=$Q$7,$B4074&lt;'111'!$L$11),"x","")</f>
        <v>x</v>
      </c>
      <c r="S4074" s="75" t="str">
        <f>IF(AND($O4074=$Q$7,$B4074&lt;'111'!$L$11),"x","")</f>
        <v/>
      </c>
      <c r="T4074" s="75" t="str">
        <f>IF(ISERROR(FIND('112'!$M$9,G4074,1)),"",IF((AND(FIND('112'!$M$9,G4074,1)&gt;=1,B4074='112'!$K$9,OR($N4074='112'!$I$6,$O4074='112'!$I$6))),"x",""))</f>
        <v/>
      </c>
      <c r="U4074" s="75" t="str">
        <f>IF(ISERROR(FIND('112'!$M$9,G4074,1)),"",IF((AND(LEFT(G4074,2)=LEFT('112'!$M$9,2),B4074&lt;'112'!$K$9,$N4074='112'!$I$6)),"x",""))</f>
        <v/>
      </c>
      <c r="V4074" s="75" t="str">
        <f>IF(ISERROR(FIND('112'!$M$9,G4074,1)),"",IF((AND(RIGHT(G4074,2)=RIGHT('112'!$M$9,2),B4074&lt;'112'!$K$9,$O4074='112'!$I$6)),"x",""))</f>
        <v/>
      </c>
      <c r="W4074" s="75" t="str">
        <f>IF(AND('341-CT'!$H$9=H4074,OR(LEFT(N4074,3)=$W$7,LEFT(O4074,3)=$W$7)),"x","")</f>
        <v/>
      </c>
      <c r="X4074" s="75" t="str">
        <f>IF(OR(TH!N5163=TH!$X$7,O4074=TH!$X$7),"x","")</f>
        <v/>
      </c>
      <c r="Y4074" s="75" t="str">
        <f>IF(AND(OR(N4074="131",O4074="131"),H4074='131-CT'!$H$9),"x","")</f>
        <v/>
      </c>
      <c r="Z4074" s="75"/>
      <c r="AA4074" s="75" t="str">
        <f>IF(AND(MONTH(E4074)='IN-NX'!$J$5,'IN-NX'!$D$7=D4074),"x","")</f>
        <v/>
      </c>
      <c r="AB4074" s="75" t="str">
        <f>IF(AND(OR(LEFT(TH!N5163,2)="15",LEFT(TH!O5163,2)="15"),LEFT(TH!O5163,3)&lt;&gt;"111",'152-CT'!$J$8=TH!F5163),"x","")</f>
        <v/>
      </c>
      <c r="AC4074" s="75" t="str">
        <f>IF(AND(OR(LEFT(TH!N5163,2)="15",LEFT(TH!O5163,2)="15"),TK!$E$7=TH!F5163),"x","")</f>
        <v/>
      </c>
      <c r="AD4074" s="75" t="str">
        <f>IF(AND(N4074="1521",MONTH(C4074)='BK-NL'!$M$11),"x","")</f>
        <v/>
      </c>
    </row>
    <row r="4075" spans="1:33" ht="18" customHeight="1">
      <c r="A4075" s="309" t="str">
        <f>IF(B4075&lt;&gt;"",IF(AND(B4075='IN-TC'!$S$4,OR(TH!N4071="1111",TH!O4071="1111")),TH!D4071,""),"")</f>
        <v/>
      </c>
      <c r="B4075" s="1242">
        <f t="shared" si="1312"/>
        <v>5</v>
      </c>
      <c r="C4075" s="292">
        <f t="shared" si="1311"/>
        <v>42865</v>
      </c>
      <c r="D4075" s="292" t="s">
        <v>902</v>
      </c>
      <c r="E4075" s="292">
        <v>42865</v>
      </c>
      <c r="F4075" s="1127" t="s">
        <v>1549</v>
      </c>
      <c r="G4075" s="293" t="s">
        <v>747</v>
      </c>
      <c r="H4075" s="294" t="s">
        <v>835</v>
      </c>
      <c r="I4075" s="373"/>
      <c r="J4075" s="379"/>
      <c r="K4075" s="373"/>
      <c r="L4075" s="379"/>
      <c r="M4075" s="60">
        <v>227700</v>
      </c>
      <c r="N4075" s="295" t="s">
        <v>101</v>
      </c>
      <c r="O4075" s="61" t="s">
        <v>26</v>
      </c>
      <c r="P4075" s="75" t="str">
        <f>IF(AND('331-CT'!$E$7=TH!H5164,OR(N4075="331",O4075="331")),"x","")</f>
        <v/>
      </c>
      <c r="Q4075" s="75" t="str">
        <f>IF(AND(B4075='111'!$L$11,OR($N4075=$Q$7,$O4075=$Q$7)),"x","")</f>
        <v/>
      </c>
      <c r="R4075" s="75" t="str">
        <f>IF(AND($N4075=$Q$7,$B4075&lt;'111'!$L$11),"x","")</f>
        <v/>
      </c>
      <c r="S4075" s="75" t="str">
        <f>IF(AND($O4075=$Q$7,$B4075&lt;'111'!$L$11),"x","")</f>
        <v/>
      </c>
      <c r="T4075" s="75" t="str">
        <f>IF(ISERROR(FIND('112'!$M$9,G4075,1)),"",IF((AND(FIND('112'!$M$9,G4075,1)&gt;=1,B4075='112'!$K$9,OR($N4075='112'!$I$6,$O4075='112'!$I$6))),"x",""))</f>
        <v/>
      </c>
      <c r="U4075" s="75" t="str">
        <f>IF(ISERROR(FIND('112'!$M$9,G4075,1)),"",IF((AND(LEFT(G4075,2)=LEFT('112'!$M$9,2),B4075&lt;'112'!$K$9,$N4075='112'!$I$6)),"x",""))</f>
        <v/>
      </c>
      <c r="V4075" s="75" t="str">
        <f>IF(ISERROR(FIND('112'!$M$9,G4075,1)),"",IF((AND(RIGHT(G4075,2)=RIGHT('112'!$M$9,2),B4075&lt;'112'!$K$9,$O4075='112'!$I$6)),"x",""))</f>
        <v/>
      </c>
      <c r="W4075" s="75" t="str">
        <f>IF(AND('341-CT'!$H$9=H4075,OR(LEFT(N4075,3)=$W$7,LEFT(O4075,3)=$W$7)),"x","")</f>
        <v/>
      </c>
      <c r="X4075" s="75" t="str">
        <f>IF(OR(TH!N5164=TH!$X$7,O4075=TH!$X$7),"x","")</f>
        <v/>
      </c>
      <c r="Y4075" s="75" t="str">
        <f>IF(AND(OR(N4075="131",O4075="131"),H4075='131-CT'!$H$9),"x","")</f>
        <v/>
      </c>
      <c r="Z4075" s="75"/>
      <c r="AA4075" s="75" t="str">
        <f>IF(AND(MONTH(E4075)='IN-NX'!$J$5,'IN-NX'!$D$7=D4075),"x","")</f>
        <v/>
      </c>
      <c r="AB4075" s="75" t="str">
        <f>IF(AND(OR(LEFT(TH!N5164,2)="15",LEFT(TH!O5164,2)="15"),LEFT(TH!O5164,3)&lt;&gt;"111",'152-CT'!$J$8=TH!F5164),"x","")</f>
        <v/>
      </c>
      <c r="AC4075" s="75" t="str">
        <f>IF(AND(OR(LEFT(TH!N5164,2)="15",LEFT(TH!O5164,2)="15"),TK!$E$7=TH!F5164),"x","")</f>
        <v/>
      </c>
      <c r="AD4075" s="75" t="str">
        <f>IF(AND(N4075="1521",MONTH(C4075)='BK-NL'!$M$11),"x","")</f>
        <v/>
      </c>
    </row>
    <row r="4076" spans="1:33" ht="18" customHeight="1">
      <c r="A4076" s="309" t="str">
        <f>IF(B4076&lt;&gt;"",IF(AND(B4076='IN-TC'!$S$4,OR(TH!N4072="1111",TH!O4072="1111")),TH!D4072,""),"")</f>
        <v/>
      </c>
      <c r="B4076" s="1242">
        <f t="shared" si="1312"/>
        <v>5</v>
      </c>
      <c r="C4076" s="292">
        <f t="shared" si="1311"/>
        <v>42866</v>
      </c>
      <c r="D4076" s="292" t="s">
        <v>1936</v>
      </c>
      <c r="E4076" s="292">
        <v>42866</v>
      </c>
      <c r="F4076" s="1127" t="s">
        <v>221</v>
      </c>
      <c r="G4076" s="925" t="s">
        <v>1508</v>
      </c>
      <c r="H4076" s="294" t="s">
        <v>556</v>
      </c>
      <c r="I4076" s="373"/>
      <c r="J4076" s="926"/>
      <c r="K4076" s="373"/>
      <c r="L4076" s="379"/>
      <c r="M4076" s="927">
        <v>9304546</v>
      </c>
      <c r="N4076" s="295" t="s">
        <v>272</v>
      </c>
      <c r="O4076" s="295" t="s">
        <v>63</v>
      </c>
      <c r="P4076" s="75" t="str">
        <f>IF(AND('331-CT'!$E$7=TH!H3641,OR(N4076="331",O4076="331")),"x","")</f>
        <v/>
      </c>
      <c r="Q4076" s="75" t="str">
        <f>IF(AND(B4076='111'!$L$11,OR($N4076=$Q$7,$O4076=$Q$7)),"x","")</f>
        <v/>
      </c>
      <c r="R4076" s="75" t="str">
        <f>IF(AND($N4076=$Q$7,$B4076&lt;'111'!$L$11),"x","")</f>
        <v/>
      </c>
      <c r="S4076" s="75" t="str">
        <f>IF(AND($O4076=$Q$7,$B4076&lt;'111'!$L$11),"x","")</f>
        <v>x</v>
      </c>
      <c r="T4076" s="75" t="str">
        <f>IF(ISERROR(FIND('112'!$M$9,G4076,1)),"",IF((AND(FIND('112'!$M$9,G4076,1)&gt;=1,B4076='112'!$K$9,OR($N4076='112'!$I$6,$O4076='112'!$I$6))),"x",""))</f>
        <v/>
      </c>
      <c r="U4076" s="75" t="str">
        <f>IF(ISERROR(FIND('112'!$M$9,G4076,1)),"",IF((AND(LEFT(G4076,2)=LEFT('112'!$M$9,2),B4076&lt;'112'!$K$9,$N4076='112'!$I$6)),"x",""))</f>
        <v/>
      </c>
      <c r="V4076" s="75" t="str">
        <f>IF(ISERROR(FIND('112'!$M$9,G4076,1)),"",IF((AND(RIGHT(G4076,2)=RIGHT('112'!$M$9,2),B4076&lt;'112'!$K$9,$O4076='112'!$I$6)),"x",""))</f>
        <v/>
      </c>
      <c r="W4076" s="75" t="str">
        <f>IF(AND('341-CT'!$H$9=H4076,OR(LEFT(N4076,3)=$W$7,LEFT(O4076,3)=$W$7)),"x","")</f>
        <v/>
      </c>
      <c r="X4076" s="75" t="str">
        <f>IF(OR(TH!N3641=TH!$X$7,O4076=TH!$X$7),"x","")</f>
        <v/>
      </c>
      <c r="Y4076" s="75" t="str">
        <f>IF(AND(OR(N4076="131",O4076="131"),H4076='131-CT'!$H$9),"x","")</f>
        <v/>
      </c>
      <c r="Z4076" s="75"/>
      <c r="AA4076" s="75" t="str">
        <f>IF(AND(MONTH(E4076)='IN-NX'!$J$5,'IN-NX'!$D$7=D4076),"x","")</f>
        <v/>
      </c>
      <c r="AB4076" s="75" t="str">
        <f>IF(AND(OR(LEFT(TH!N3641,2)="15",LEFT(TH!O3641,2)="15"),LEFT(TH!O3641,3)&lt;&gt;"111",'152-CT'!$J$8=TH!F3641),"x","")</f>
        <v/>
      </c>
      <c r="AC4076" s="75" t="str">
        <f>IF(AND(OR(LEFT(TH!N3641,2)="15",LEFT(TH!O3641,2)="15"),TK!$E$7=TH!F3641),"x","")</f>
        <v/>
      </c>
      <c r="AD4076" s="75" t="str">
        <f>IF(AND(N4076="1521",MONTH(C4076)='BK-NL'!$M$11),"x","")</f>
        <v/>
      </c>
    </row>
    <row r="4077" spans="1:33" ht="18" customHeight="1">
      <c r="A4077" s="309" t="str">
        <f>IF(B4077&lt;&gt;"",IF(AND(B4077='IN-TC'!$S$4,OR(TH!N4073="1111",TH!O4073="1111")),TH!D4073,""),"")</f>
        <v/>
      </c>
      <c r="B4077" s="1242">
        <f t="shared" si="1312"/>
        <v>5</v>
      </c>
      <c r="C4077" s="292">
        <f t="shared" si="1311"/>
        <v>42866</v>
      </c>
      <c r="D4077" s="292" t="s">
        <v>1936</v>
      </c>
      <c r="E4077" s="292">
        <v>42866</v>
      </c>
      <c r="F4077" s="1127" t="s">
        <v>943</v>
      </c>
      <c r="G4077" s="925" t="s">
        <v>1508</v>
      </c>
      <c r="H4077" s="294" t="s">
        <v>556</v>
      </c>
      <c r="I4077" s="373"/>
      <c r="J4077" s="926"/>
      <c r="K4077" s="373"/>
      <c r="L4077" s="379"/>
      <c r="M4077" s="927">
        <v>930454</v>
      </c>
      <c r="N4077" s="295" t="s">
        <v>9</v>
      </c>
      <c r="O4077" s="295" t="s">
        <v>63</v>
      </c>
      <c r="P4077" s="75" t="str">
        <f>IF(AND('331-CT'!$E$7=TH!H3642,OR(N4077="331",O4077="331")),"x","")</f>
        <v/>
      </c>
      <c r="Q4077" s="75" t="str">
        <f>IF(AND(B4077='111'!$L$11,OR($N4077=$Q$7,$O4077=$Q$7)),"x","")</f>
        <v/>
      </c>
      <c r="R4077" s="75" t="str">
        <f>IF(AND($N4077=$Q$7,$B4077&lt;'111'!$L$11),"x","")</f>
        <v/>
      </c>
      <c r="S4077" s="75" t="str">
        <f>IF(AND($O4077=$Q$7,$B4077&lt;'111'!$L$11),"x","")</f>
        <v>x</v>
      </c>
      <c r="T4077" s="75" t="str">
        <f>IF(ISERROR(FIND('112'!$M$9,G4077,1)),"",IF((AND(FIND('112'!$M$9,G4077,1)&gt;=1,B4077='112'!$K$9,OR($N4077='112'!$I$6,$O4077='112'!$I$6))),"x",""))</f>
        <v/>
      </c>
      <c r="U4077" s="75" t="str">
        <f>IF(ISERROR(FIND('112'!$M$9,G4077,1)),"",IF((AND(LEFT(G4077,2)=LEFT('112'!$M$9,2),B4077&lt;'112'!$K$9,$N4077='112'!$I$6)),"x",""))</f>
        <v/>
      </c>
      <c r="V4077" s="75" t="str">
        <f>IF(ISERROR(FIND('112'!$M$9,G4077,1)),"",IF((AND(RIGHT(G4077,2)=RIGHT('112'!$M$9,2),B4077&lt;'112'!$K$9,$O4077='112'!$I$6)),"x",""))</f>
        <v/>
      </c>
      <c r="W4077" s="75" t="str">
        <f>IF(AND('341-CT'!$H$9=H4077,OR(LEFT(N4077,3)=$W$7,LEFT(O4077,3)=$W$7)),"x","")</f>
        <v/>
      </c>
      <c r="X4077" s="75" t="str">
        <f>IF(OR(TH!N3642=TH!$X$7,O4077=TH!$X$7),"x","")</f>
        <v/>
      </c>
      <c r="Y4077" s="75" t="str">
        <f>IF(AND(OR(N4077="131",O4077="131"),H4077='131-CT'!$H$9),"x","")</f>
        <v/>
      </c>
      <c r="Z4077" s="75"/>
      <c r="AA4077" s="75" t="str">
        <f>IF(AND(MONTH(E4077)='IN-NX'!$J$5,'IN-NX'!$D$7=D4077),"x","")</f>
        <v/>
      </c>
      <c r="AB4077" s="75" t="str">
        <f>IF(AND(OR(LEFT(TH!N3642,2)="15",LEFT(TH!O3642,2)="15"),LEFT(TH!O3642,3)&lt;&gt;"111",'152-CT'!$J$8=TH!F3642),"x","")</f>
        <v/>
      </c>
      <c r="AC4077" s="75" t="str">
        <f>IF(AND(OR(LEFT(TH!N3642,2)="15",LEFT(TH!O3642,2)="15"),TK!$E$7=TH!F3642),"x","")</f>
        <v/>
      </c>
      <c r="AD4077" s="75" t="str">
        <f>IF(AND(N4077="1521",MONTH(C4077)='BK-NL'!$M$11),"x","")</f>
        <v/>
      </c>
    </row>
    <row r="4078" spans="1:33" ht="16.5" customHeight="1">
      <c r="A4078" s="309" t="str">
        <f>IF(B4078&lt;&gt;"",IF(AND(B4078='IN-TC'!$S$4,OR(TH!N4074="1111",TH!O4074="1111")),TH!D4074,""),"")</f>
        <v/>
      </c>
      <c r="B4078" s="1242">
        <f t="shared" si="1312"/>
        <v>5</v>
      </c>
      <c r="C4078" s="292">
        <f t="shared" si="1311"/>
        <v>42866</v>
      </c>
      <c r="D4078" s="292" t="s">
        <v>1937</v>
      </c>
      <c r="E4078" s="929">
        <v>42866</v>
      </c>
      <c r="F4078" s="73" t="s">
        <v>1165</v>
      </c>
      <c r="G4078" s="931" t="s">
        <v>1373</v>
      </c>
      <c r="H4078" s="296" t="s">
        <v>796</v>
      </c>
      <c r="I4078" s="371"/>
      <c r="J4078" s="932"/>
      <c r="K4078" s="371"/>
      <c r="L4078" s="377"/>
      <c r="M4078" s="933">
        <v>18980500</v>
      </c>
      <c r="N4078" s="934" t="s">
        <v>8</v>
      </c>
      <c r="O4078" s="934" t="s">
        <v>63</v>
      </c>
      <c r="P4078" s="75" t="str">
        <f>IF(AND('331-CT'!$E$7=TH!H3643,OR(N4078="331",O4078="331")),"x","")</f>
        <v/>
      </c>
      <c r="Q4078" s="75" t="str">
        <f>IF(AND(B4078='111'!$L$11,OR($N4078=$Q$7,$O4078=$Q$7)),"x","")</f>
        <v/>
      </c>
      <c r="R4078" s="75" t="str">
        <f>IF(AND($N4078=$Q$7,$B4078&lt;'111'!$L$11),"x","")</f>
        <v/>
      </c>
      <c r="S4078" s="75" t="str">
        <f>IF(AND($O4078=$Q$7,$B4078&lt;'111'!$L$11),"x","")</f>
        <v>x</v>
      </c>
      <c r="T4078" s="75" t="str">
        <f>IF(ISERROR(FIND('112'!$M$9,G4078,1)),"",IF((AND(FIND('112'!$M$9,G4078,1)&gt;=1,B4078='112'!$K$9,OR($N4078='112'!$I$6,$O4078='112'!$I$6))),"x",""))</f>
        <v/>
      </c>
      <c r="U4078" s="75" t="str">
        <f>IF(ISERROR(FIND('112'!$M$9,G4078,1)),"",IF((AND(LEFT(G4078,2)=LEFT('112'!$M$9,2),B4078&lt;'112'!$K$9,$N4078='112'!$I$6)),"x",""))</f>
        <v/>
      </c>
      <c r="V4078" s="75" t="str">
        <f>IF(ISERROR(FIND('112'!$M$9,G4078,1)),"",IF((AND(RIGHT(G4078,2)=RIGHT('112'!$M$9,2),B4078&lt;'112'!$K$9,$O4078='112'!$I$6)),"x",""))</f>
        <v/>
      </c>
      <c r="W4078" s="75" t="str">
        <f>IF(AND('341-CT'!$H$9=H4078,OR(LEFT(N4078,3)=$W$7,LEFT(O4078,3)=$W$7)),"x","")</f>
        <v/>
      </c>
      <c r="X4078" s="75" t="str">
        <f>IF(OR(TH!N3643=TH!$X$7,O4078=TH!$X$7),"x","")</f>
        <v/>
      </c>
      <c r="Y4078" s="75" t="str">
        <f>IF(AND(OR(N4078="131",O4078="131"),H4078='131-CT'!$H$9),"x","")</f>
        <v/>
      </c>
      <c r="Z4078" s="75"/>
      <c r="AA4078" s="75" t="str">
        <f>IF(AND(MONTH(E4078)='IN-NX'!$J$5,'IN-NX'!$D$7=D4078),"x","")</f>
        <v/>
      </c>
      <c r="AB4078" s="75" t="str">
        <f>IF(AND(OR(LEFT(TH!N3643,2)="15",LEFT(TH!O3643,2)="15"),LEFT(TH!O3643,3)&lt;&gt;"111",'152-CT'!$J$8=TH!F3643),"x","")</f>
        <v/>
      </c>
      <c r="AC4078" s="75" t="str">
        <f>IF(AND(OR(LEFT(TH!N3643,2)="15",LEFT(TH!O3643,2)="15"),TK!$E$7=TH!F3643),"x","")</f>
        <v/>
      </c>
      <c r="AD4078" s="75" t="str">
        <f>IF(AND(N4078="1521",MONTH(C4078)='BK-NL'!$M$11),"x","")</f>
        <v/>
      </c>
    </row>
    <row r="4079" spans="1:33" ht="16.5" customHeight="1">
      <c r="A4079" s="309" t="str">
        <f>IF(B4079&lt;&gt;"",IF(AND(B4079='IN-TC'!$S$4,OR(TH!N4075="1111",TH!O4075="1111")),TH!D4075,""),"")</f>
        <v/>
      </c>
      <c r="B4079" s="1242">
        <f t="shared" si="1312"/>
        <v>5</v>
      </c>
      <c r="C4079" s="292">
        <f t="shared" si="1311"/>
        <v>42866</v>
      </c>
      <c r="D4079" s="292" t="s">
        <v>902</v>
      </c>
      <c r="E4079" s="59">
        <v>42866</v>
      </c>
      <c r="F4079" s="907" t="s">
        <v>1027</v>
      </c>
      <c r="G4079" s="293" t="s">
        <v>747</v>
      </c>
      <c r="H4079" s="67" t="s">
        <v>759</v>
      </c>
      <c r="I4079" s="373"/>
      <c r="J4079" s="379"/>
      <c r="K4079" s="373"/>
      <c r="L4079" s="379"/>
      <c r="M4079" s="60">
        <v>2504700</v>
      </c>
      <c r="N4079" s="61" t="s">
        <v>101</v>
      </c>
      <c r="O4079" s="61" t="s">
        <v>26</v>
      </c>
      <c r="P4079" s="75" t="str">
        <f>IF(AND('331-CT'!$E$7=TH!H5165,OR(N4079="331",O4079="331")),"x","")</f>
        <v/>
      </c>
      <c r="Q4079" s="75" t="str">
        <f>IF(AND(B4079='111'!$L$11,OR($N4079=$Q$7,$O4079=$Q$7)),"x","")</f>
        <v/>
      </c>
      <c r="R4079" s="75" t="str">
        <f>IF(AND($N4079=$Q$7,$B4079&lt;'111'!$L$11),"x","")</f>
        <v/>
      </c>
      <c r="S4079" s="75" t="str">
        <f>IF(AND($O4079=$Q$7,$B4079&lt;'111'!$L$11),"x","")</f>
        <v/>
      </c>
      <c r="T4079" s="75" t="str">
        <f>IF(ISERROR(FIND('112'!$M$9,G4079,1)),"",IF((AND(FIND('112'!$M$9,G4079,1)&gt;=1,B4079='112'!$K$9,OR($N4079='112'!$I$6,$O4079='112'!$I$6))),"x",""))</f>
        <v/>
      </c>
      <c r="U4079" s="75" t="str">
        <f>IF(ISERROR(FIND('112'!$M$9,G4079,1)),"",IF((AND(LEFT(G4079,2)=LEFT('112'!$M$9,2),B4079&lt;'112'!$K$9,$N4079='112'!$I$6)),"x",""))</f>
        <v/>
      </c>
      <c r="V4079" s="75" t="str">
        <f>IF(ISERROR(FIND('112'!$M$9,G4079,1)),"",IF((AND(RIGHT(G4079,2)=RIGHT('112'!$M$9,2),B4079&lt;'112'!$K$9,$O4079='112'!$I$6)),"x",""))</f>
        <v/>
      </c>
      <c r="W4079" s="75" t="str">
        <f>IF(AND('341-CT'!$H$9=H4079,OR(LEFT(N4079,3)=$W$7,LEFT(O4079,3)=$W$7)),"x","")</f>
        <v/>
      </c>
      <c r="X4079" s="75" t="str">
        <f>IF(OR(TH!N5165=TH!$X$7,O4079=TH!$X$7),"x","")</f>
        <v/>
      </c>
      <c r="Y4079" s="75" t="str">
        <f>IF(AND(OR(N4079="131",O4079="131"),H4079='131-CT'!$H$9),"x","")</f>
        <v/>
      </c>
      <c r="Z4079" s="75"/>
      <c r="AA4079" s="75" t="str">
        <f>IF(AND(MONTH(E4079)='IN-NX'!$J$5,'IN-NX'!$D$7=D4079),"x","")</f>
        <v/>
      </c>
      <c r="AB4079" s="75" t="str">
        <f>IF(AND(OR(LEFT(TH!N5165,2)="15",LEFT(TH!O5165,2)="15"),LEFT(TH!O5165,3)&lt;&gt;"111",'152-CT'!$J$8=TH!F5165),"x","")</f>
        <v/>
      </c>
      <c r="AC4079" s="75" t="str">
        <f>IF(AND(OR(LEFT(TH!N5165,2)="15",LEFT(TH!O5165,2)="15"),TK!$E$7=TH!F5165),"x","")</f>
        <v/>
      </c>
      <c r="AD4079" s="75" t="str">
        <f>IF(AND(N4079="1521",MONTH(C4079)='BK-NL'!$M$11),"x","")</f>
        <v/>
      </c>
      <c r="AE4079" s="1053"/>
      <c r="AF4079" s="1053"/>
      <c r="AG4079" s="1053"/>
    </row>
    <row r="4080" spans="1:33" ht="16.5" customHeight="1">
      <c r="A4080" s="309" t="str">
        <f>IF(B4080&lt;&gt;"",IF(AND(B4080='IN-TC'!$S$4,OR(TH!N4076="1111",TH!O4076="1111")),TH!D4076,""),"")</f>
        <v/>
      </c>
      <c r="B4080" s="1242">
        <f t="shared" si="1312"/>
        <v>5</v>
      </c>
      <c r="C4080" s="292">
        <f t="shared" si="1311"/>
        <v>42866</v>
      </c>
      <c r="D4080" s="292" t="s">
        <v>902</v>
      </c>
      <c r="E4080" s="292">
        <v>42866</v>
      </c>
      <c r="F4080" s="67" t="s">
        <v>1549</v>
      </c>
      <c r="G4080" s="293" t="s">
        <v>747</v>
      </c>
      <c r="H4080" s="294" t="s">
        <v>835</v>
      </c>
      <c r="I4080" s="373"/>
      <c r="J4080" s="379"/>
      <c r="K4080" s="373"/>
      <c r="L4080" s="379"/>
      <c r="M4080" s="60">
        <v>227700</v>
      </c>
      <c r="N4080" s="295" t="s">
        <v>101</v>
      </c>
      <c r="O4080" s="61" t="s">
        <v>26</v>
      </c>
      <c r="P4080" s="75" t="str">
        <f>IF(AND('331-CT'!$E$7=TH!H5166,OR(N4080="331",O4080="331")),"x","")</f>
        <v/>
      </c>
      <c r="Q4080" s="75" t="str">
        <f>IF(AND(B4080='111'!$L$11,OR($N4080=$Q$7,$O4080=$Q$7)),"x","")</f>
        <v/>
      </c>
      <c r="R4080" s="75" t="str">
        <f>IF(AND($N4080=$Q$7,$B4080&lt;'111'!$L$11),"x","")</f>
        <v/>
      </c>
      <c r="S4080" s="75" t="str">
        <f>IF(AND($O4080=$Q$7,$B4080&lt;'111'!$L$11),"x","")</f>
        <v/>
      </c>
      <c r="T4080" s="75" t="str">
        <f>IF(ISERROR(FIND('112'!$M$9,G4080,1)),"",IF((AND(FIND('112'!$M$9,G4080,1)&gt;=1,B4080='112'!$K$9,OR($N4080='112'!$I$6,$O4080='112'!$I$6))),"x",""))</f>
        <v/>
      </c>
      <c r="U4080" s="75" t="str">
        <f>IF(ISERROR(FIND('112'!$M$9,G4080,1)),"",IF((AND(LEFT(G4080,2)=LEFT('112'!$M$9,2),B4080&lt;'112'!$K$9,$N4080='112'!$I$6)),"x",""))</f>
        <v/>
      </c>
      <c r="V4080" s="75" t="str">
        <f>IF(ISERROR(FIND('112'!$M$9,G4080,1)),"",IF((AND(RIGHT(G4080,2)=RIGHT('112'!$M$9,2),B4080&lt;'112'!$K$9,$O4080='112'!$I$6)),"x",""))</f>
        <v/>
      </c>
      <c r="W4080" s="75" t="str">
        <f>IF(AND('341-CT'!$H$9=H4080,OR(LEFT(N4080,3)=$W$7,LEFT(O4080,3)=$W$7)),"x","")</f>
        <v/>
      </c>
      <c r="X4080" s="75" t="str">
        <f>IF(OR(TH!N5166=TH!$X$7,O4080=TH!$X$7),"x","")</f>
        <v/>
      </c>
      <c r="Y4080" s="75" t="str">
        <f>IF(AND(OR(N4080="131",O4080="131"),H4080='131-CT'!$H$9),"x","")</f>
        <v/>
      </c>
      <c r="Z4080" s="75"/>
      <c r="AA4080" s="75" t="str">
        <f>IF(AND(MONTH(E4080)='IN-NX'!$J$5,'IN-NX'!$D$7=D4080),"x","")</f>
        <v/>
      </c>
      <c r="AB4080" s="75" t="str">
        <f>IF(AND(OR(LEFT(TH!N5166,2)="15",LEFT(TH!O5166,2)="15"),LEFT(TH!O5166,3)&lt;&gt;"111",'152-CT'!$J$8=TH!F5166),"x","")</f>
        <v/>
      </c>
      <c r="AC4080" s="75" t="str">
        <f>IF(AND(OR(LEFT(TH!N5166,2)="15",LEFT(TH!O5166,2)="15"),TK!$E$7=TH!F5166),"x","")</f>
        <v/>
      </c>
      <c r="AD4080" s="75" t="str">
        <f>IF(AND(N4080="1521",MONTH(C4080)='BK-NL'!$M$11),"x","")</f>
        <v/>
      </c>
    </row>
    <row r="4081" spans="1:33" ht="16.5" customHeight="1">
      <c r="A4081" s="309" t="str">
        <f>IF(B4081&lt;&gt;"",IF(AND(B4081='IN-TC'!$S$4,OR(TH!N4077="1111",TH!O4077="1111")),TH!D4077,""),"")</f>
        <v/>
      </c>
      <c r="B4081" s="1242">
        <f t="shared" si="1312"/>
        <v>5</v>
      </c>
      <c r="C4081" s="292">
        <f t="shared" si="1311"/>
        <v>42867</v>
      </c>
      <c r="D4081" s="292" t="s">
        <v>1938</v>
      </c>
      <c r="E4081" s="292">
        <v>42867</v>
      </c>
      <c r="F4081" s="67" t="s">
        <v>885</v>
      </c>
      <c r="G4081" s="943" t="s">
        <v>585</v>
      </c>
      <c r="H4081" s="294" t="s">
        <v>1023</v>
      </c>
      <c r="I4081" s="373"/>
      <c r="J4081" s="926"/>
      <c r="K4081" s="373"/>
      <c r="L4081" s="379"/>
      <c r="M4081" s="927">
        <v>1900000000</v>
      </c>
      <c r="N4081" s="295" t="s">
        <v>26</v>
      </c>
      <c r="O4081" s="295" t="s">
        <v>63</v>
      </c>
      <c r="P4081" s="75" t="str">
        <f>IF(AND('331-CT'!$E$7=TH!H4726,OR(N4081="331",O4081="331")),"x","")</f>
        <v/>
      </c>
      <c r="Q4081" s="75" t="str">
        <f>IF(AND(B4081='111'!$L$11,OR($N4081=$Q$7,$O4081=$Q$7)),"x","")</f>
        <v/>
      </c>
      <c r="R4081" s="75" t="str">
        <f>IF(AND($N4081=$Q$7,$B4081&lt;'111'!$L$11),"x","")</f>
        <v/>
      </c>
      <c r="S4081" s="75" t="str">
        <f>IF(AND($O4081=$Q$7,$B4081&lt;'111'!$L$11),"x","")</f>
        <v>x</v>
      </c>
      <c r="T4081" s="75" t="str">
        <f>IF(ISERROR(FIND('112'!$M$9,G4081,1)),"",IF((AND(FIND('112'!$M$9,G4081,1)&gt;=1,B4081='112'!$K$9,OR($N4081='112'!$I$6,$O4081='112'!$I$6))),"x",""))</f>
        <v/>
      </c>
      <c r="U4081" s="75" t="str">
        <f>IF(ISERROR(FIND('112'!$M$9,G4081,1)),"",IF((AND(LEFT(G4081,2)=LEFT('112'!$M$9,2),B4081&lt;'112'!$K$9,$N4081='112'!$I$6)),"x",""))</f>
        <v/>
      </c>
      <c r="V4081" s="75" t="str">
        <f>IF(ISERROR(FIND('112'!$M$9,G4081,1)),"",IF((AND(RIGHT(G4081,2)=RIGHT('112'!$M$9,2),B4081&lt;'112'!$K$9,$O4081='112'!$I$6)),"x",""))</f>
        <v/>
      </c>
      <c r="W4081" s="75" t="str">
        <f>IF(AND('341-CT'!$H$9=H4081,OR(LEFT(N4081,3)=$W$7,LEFT(O4081,3)=$W$7)),"x","")</f>
        <v/>
      </c>
      <c r="X4081" s="75" t="str">
        <f>IF(OR(TH!N4726=TH!$X$7,O4081=TH!$X$7),"x","")</f>
        <v/>
      </c>
      <c r="Y4081" s="75" t="str">
        <f>IF(AND(OR(N4081="131",O4081="131"),H4081='131-CT'!$H$9),"x","")</f>
        <v/>
      </c>
      <c r="Z4081" s="75"/>
      <c r="AA4081" s="75" t="str">
        <f>IF(AND(MONTH(E4081)='IN-NX'!$J$5,'IN-NX'!$D$7=D4081),"x","")</f>
        <v/>
      </c>
      <c r="AB4081" s="75" t="str">
        <f>IF(AND(OR(LEFT(TH!N4726,2)="15",LEFT(TH!O4726,2)="15"),LEFT(TH!O4726,3)&lt;&gt;"111",'152-CT'!$J$8=TH!F4726),"x","")</f>
        <v/>
      </c>
      <c r="AC4081" s="75" t="str">
        <f>IF(AND(OR(LEFT(TH!N4726,2)="15",LEFT(TH!O4726,2)="15"),TK!$E$7=TH!F4726),"x","")</f>
        <v/>
      </c>
      <c r="AD4081" s="75" t="str">
        <f>IF(AND(N4081="1521",MONTH(C4081)='BK-NL'!$M$11),"x","")</f>
        <v/>
      </c>
    </row>
    <row r="4082" spans="1:33" ht="16.5" customHeight="1">
      <c r="A4082" s="309" t="str">
        <f>IF(B4082&lt;&gt;"",IF(AND(B4082='IN-TC'!$S$4,OR(TH!N4078="1111",TH!O4078="1111")),TH!D4078,""),"")</f>
        <v/>
      </c>
      <c r="B4082" s="1242">
        <f t="shared" si="1312"/>
        <v>5</v>
      </c>
      <c r="C4082" s="292">
        <f t="shared" si="1311"/>
        <v>42867</v>
      </c>
      <c r="D4082" s="59" t="s">
        <v>903</v>
      </c>
      <c r="E4082" s="59">
        <v>42867</v>
      </c>
      <c r="F4082" s="293" t="s">
        <v>252</v>
      </c>
      <c r="G4082" s="293" t="s">
        <v>747</v>
      </c>
      <c r="H4082" s="294" t="s">
        <v>1560</v>
      </c>
      <c r="I4082" s="373"/>
      <c r="J4082" s="379"/>
      <c r="K4082" s="373">
        <v>89000</v>
      </c>
      <c r="L4082" s="379">
        <v>22677</v>
      </c>
      <c r="M4082" s="927">
        <f>ROUND(L4082*K4082,0)</f>
        <v>2018253000</v>
      </c>
      <c r="N4082" s="61" t="s">
        <v>26</v>
      </c>
      <c r="O4082" s="61" t="s">
        <v>250</v>
      </c>
      <c r="P4082" s="75" t="str">
        <f>IF(AND('331-CT'!$E$7=TH!H5167,OR(N4082="331",O4082="331")),"x","")</f>
        <v/>
      </c>
      <c r="Q4082" s="75" t="str">
        <f>IF(AND(B4082='111'!$L$11,OR($N4082=$Q$7,$O4082=$Q$7)),"x","")</f>
        <v/>
      </c>
      <c r="R4082" s="75" t="str">
        <f>IF(AND($N4082=$Q$7,$B4082&lt;'111'!$L$11),"x","")</f>
        <v/>
      </c>
      <c r="S4082" s="75" t="str">
        <f>IF(AND($O4082=$Q$7,$B4082&lt;'111'!$L$11),"x","")</f>
        <v/>
      </c>
      <c r="T4082" s="75" t="str">
        <f>IF(ISERROR(FIND('112'!$M$9,G4082,1)),"",IF((AND(FIND('112'!$M$9,G4082,1)&gt;=1,B4082='112'!$K$9,OR($N4082='112'!$I$6,$O4082='112'!$I$6))),"x",""))</f>
        <v/>
      </c>
      <c r="U4082" s="75" t="str">
        <f>IF(ISERROR(FIND('112'!$M$9,G4082,1)),"",IF((AND(LEFT(G4082,2)=LEFT('112'!$M$9,2),B4082&lt;'112'!$K$9,$N4082='112'!$I$6)),"x",""))</f>
        <v/>
      </c>
      <c r="V4082" s="75" t="str">
        <f>IF(ISERROR(FIND('112'!$M$9,G4082,1)),"",IF((AND(RIGHT(G4082,2)=RIGHT('112'!$M$9,2),B4082&lt;'112'!$K$9,$O4082='112'!$I$6)),"x",""))</f>
        <v/>
      </c>
      <c r="W4082" s="75" t="str">
        <f>IF(AND('341-CT'!$H$9=H4082,OR(LEFT(N4082,3)=$W$7,LEFT(O4082,3)=$W$7)),"x","")</f>
        <v/>
      </c>
      <c r="X4082" s="75" t="str">
        <f>IF(OR(TH!N5167=TH!$X$7,O4082=TH!$X$7),"x","")</f>
        <v/>
      </c>
      <c r="Y4082" s="75" t="str">
        <f>IF(AND(OR(N4082="131",O4082="131"),H4082='131-CT'!$H$9),"x","")</f>
        <v/>
      </c>
      <c r="Z4082" s="75"/>
      <c r="AA4082" s="75" t="str">
        <f>IF(AND(MONTH(E4082)='IN-NX'!$J$5,'IN-NX'!$D$7=D4082),"x","")</f>
        <v/>
      </c>
      <c r="AB4082" s="75" t="str">
        <f>IF(AND(OR(LEFT(TH!N5167,2)="15",LEFT(TH!O5167,2)="15"),LEFT(TH!O5167,3)&lt;&gt;"111",'152-CT'!$J$8=TH!F5167),"x","")</f>
        <v/>
      </c>
      <c r="AC4082" s="75" t="str">
        <f>IF(AND(OR(LEFT(TH!N5167,2)="15",LEFT(TH!O5167,2)="15"),TK!$E$7=TH!F5167),"x","")</f>
        <v/>
      </c>
      <c r="AD4082" s="75" t="str">
        <f>IF(AND(N4082="1521",MONTH(C4082)='BK-NL'!$M$11),"x","")</f>
        <v/>
      </c>
      <c r="AE4082" s="1053"/>
      <c r="AF4082" s="1053"/>
      <c r="AG4082" s="1053"/>
    </row>
    <row r="4083" spans="1:33" ht="16.5" customHeight="1">
      <c r="A4083" s="309" t="str">
        <f>IF(B4083&lt;&gt;"",IF(AND(B4083='IN-TC'!$S$4,OR(TH!N4079="1111",TH!O4079="1111")),TH!D4079,""),"")</f>
        <v/>
      </c>
      <c r="B4083" s="1242">
        <f t="shared" si="1312"/>
        <v>5</v>
      </c>
      <c r="C4083" s="292">
        <f t="shared" ref="C4083:C4146" si="1313">E4083</f>
        <v>42867</v>
      </c>
      <c r="D4083" s="292" t="s">
        <v>844</v>
      </c>
      <c r="E4083" s="292">
        <v>42867</v>
      </c>
      <c r="F4083" s="293" t="s">
        <v>834</v>
      </c>
      <c r="G4083" s="943" t="s">
        <v>747</v>
      </c>
      <c r="H4083" s="67" t="s">
        <v>1023</v>
      </c>
      <c r="I4083" s="373"/>
      <c r="J4083" s="926"/>
      <c r="K4083" s="373"/>
      <c r="L4083" s="379"/>
      <c r="M4083" s="927">
        <v>2019000000</v>
      </c>
      <c r="N4083" s="295" t="s">
        <v>63</v>
      </c>
      <c r="O4083" s="295" t="s">
        <v>26</v>
      </c>
      <c r="P4083" s="75" t="str">
        <f>IF(AND('331-CT'!$E$7=TH!H5168,OR(N4083="331",O4083="331")),"x","")</f>
        <v/>
      </c>
      <c r="Q4083" s="75" t="str">
        <f>IF(AND(B4083='111'!$L$11,OR($N4083=$Q$7,$O4083=$Q$7)),"x","")</f>
        <v/>
      </c>
      <c r="R4083" s="75" t="str">
        <f>IF(AND($N4083=$Q$7,$B4083&lt;'111'!$L$11),"x","")</f>
        <v>x</v>
      </c>
      <c r="S4083" s="75" t="str">
        <f>IF(AND($O4083=$Q$7,$B4083&lt;'111'!$L$11),"x","")</f>
        <v/>
      </c>
      <c r="T4083" s="75" t="str">
        <f>IF(ISERROR(FIND('112'!$M$9,G4083,1)),"",IF((AND(FIND('112'!$M$9,G4083,1)&gt;=1,B4083='112'!$K$9,OR($N4083='112'!$I$6,$O4083='112'!$I$6))),"x",""))</f>
        <v/>
      </c>
      <c r="U4083" s="75" t="str">
        <f>IF(ISERROR(FIND('112'!$M$9,G4083,1)),"",IF((AND(LEFT(G4083,2)=LEFT('112'!$M$9,2),B4083&lt;'112'!$K$9,$N4083='112'!$I$6)),"x",""))</f>
        <v/>
      </c>
      <c r="V4083" s="75" t="str">
        <f>IF(ISERROR(FIND('112'!$M$9,G4083,1)),"",IF((AND(RIGHT(G4083,2)=RIGHT('112'!$M$9,2),B4083&lt;'112'!$K$9,$O4083='112'!$I$6)),"x",""))</f>
        <v/>
      </c>
      <c r="W4083" s="75" t="str">
        <f>IF(AND('341-CT'!$H$9=H4083,OR(LEFT(N4083,3)=$W$7,LEFT(O4083,3)=$W$7)),"x","")</f>
        <v/>
      </c>
      <c r="X4083" s="75" t="str">
        <f>IF(OR(TH!N5168=TH!$X$7,O4083=TH!$X$7),"x","")</f>
        <v/>
      </c>
      <c r="Y4083" s="75" t="str">
        <f>IF(AND(OR(N4083="131",O4083="131"),H4083='131-CT'!$H$9),"x","")</f>
        <v/>
      </c>
      <c r="Z4083" s="75"/>
      <c r="AA4083" s="75" t="str">
        <f>IF(AND(MONTH(E4083)='IN-NX'!$J$5,'IN-NX'!$D$7=D4083),"x","")</f>
        <v/>
      </c>
      <c r="AB4083" s="75" t="str">
        <f>IF(AND(OR(LEFT(TH!N5168,2)="15",LEFT(TH!O5168,2)="15"),LEFT(TH!O5168,3)&lt;&gt;"111",'152-CT'!$J$8=TH!F5168),"x","")</f>
        <v/>
      </c>
      <c r="AC4083" s="75" t="str">
        <f>IF(AND(OR(LEFT(TH!N5168,2)="15",LEFT(TH!O5168,2)="15"),TK!$E$7=TH!F5168),"x","")</f>
        <v/>
      </c>
      <c r="AD4083" s="75" t="str">
        <f>IF(AND(N4083="1521",MONTH(C4083)='BK-NL'!$M$11),"x","")</f>
        <v/>
      </c>
      <c r="AE4083" s="1053"/>
      <c r="AF4083" s="1053"/>
      <c r="AG4083" s="1053"/>
    </row>
    <row r="4084" spans="1:33" ht="16.5" customHeight="1">
      <c r="A4084" s="309" t="str">
        <f>IF(B4084&lt;&gt;"",IF(AND(B4084='IN-TC'!$S$4,OR(TH!N4080="1111",TH!O4080="1111")),TH!D4080,""),"")</f>
        <v/>
      </c>
      <c r="B4084" s="1242">
        <f t="shared" si="1312"/>
        <v>5</v>
      </c>
      <c r="C4084" s="292">
        <f t="shared" si="1313"/>
        <v>42869</v>
      </c>
      <c r="D4084" s="292" t="s">
        <v>1939</v>
      </c>
      <c r="E4084" s="929">
        <v>42869</v>
      </c>
      <c r="F4084" s="73" t="s">
        <v>1165</v>
      </c>
      <c r="G4084" s="931" t="s">
        <v>1375</v>
      </c>
      <c r="H4084" s="296" t="s">
        <v>797</v>
      </c>
      <c r="I4084" s="371"/>
      <c r="J4084" s="932"/>
      <c r="K4084" s="371"/>
      <c r="L4084" s="377"/>
      <c r="M4084" s="933">
        <v>18980500</v>
      </c>
      <c r="N4084" s="934" t="s">
        <v>8</v>
      </c>
      <c r="O4084" s="934" t="s">
        <v>63</v>
      </c>
      <c r="P4084" s="75" t="str">
        <f>IF(AND('331-CT'!$E$7=TH!H3644,OR(N4084="331",O4084="331")),"x","")</f>
        <v/>
      </c>
      <c r="Q4084" s="75" t="str">
        <f>IF(AND(B4084='111'!$L$11,OR($N4084=$Q$7,$O4084=$Q$7)),"x","")</f>
        <v/>
      </c>
      <c r="R4084" s="75" t="str">
        <f>IF(AND($N4084=$Q$7,$B4084&lt;'111'!$L$11),"x","")</f>
        <v/>
      </c>
      <c r="S4084" s="75" t="str">
        <f>IF(AND($O4084=$Q$7,$B4084&lt;'111'!$L$11),"x","")</f>
        <v>x</v>
      </c>
      <c r="T4084" s="75" t="str">
        <f>IF(ISERROR(FIND('112'!$M$9,G4084,1)),"",IF((AND(FIND('112'!$M$9,G4084,1)&gt;=1,B4084='112'!$K$9,OR($N4084='112'!$I$6,$O4084='112'!$I$6))),"x",""))</f>
        <v/>
      </c>
      <c r="U4084" s="75" t="str">
        <f>IF(ISERROR(FIND('112'!$M$9,G4084,1)),"",IF((AND(LEFT(G4084,2)=LEFT('112'!$M$9,2),B4084&lt;'112'!$K$9,$N4084='112'!$I$6)),"x",""))</f>
        <v/>
      </c>
      <c r="V4084" s="75" t="str">
        <f>IF(ISERROR(FIND('112'!$M$9,G4084,1)),"",IF((AND(RIGHT(G4084,2)=RIGHT('112'!$M$9,2),B4084&lt;'112'!$K$9,$O4084='112'!$I$6)),"x",""))</f>
        <v/>
      </c>
      <c r="W4084" s="75" t="str">
        <f>IF(AND('341-CT'!$H$9=H4084,OR(LEFT(N4084,3)=$W$7,LEFT(O4084,3)=$W$7)),"x","")</f>
        <v/>
      </c>
      <c r="X4084" s="75" t="str">
        <f>IF(OR(TH!N3644=TH!$X$7,O4084=TH!$X$7),"x","")</f>
        <v/>
      </c>
      <c r="Y4084" s="75" t="str">
        <f>IF(AND(OR(N4084="131",O4084="131"),H4084='131-CT'!$H$9),"x","")</f>
        <v/>
      </c>
      <c r="Z4084" s="75"/>
      <c r="AA4084" s="75" t="str">
        <f>IF(AND(MONTH(E4084)='IN-NX'!$J$5,'IN-NX'!$D$7=D4084),"x","")</f>
        <v/>
      </c>
      <c r="AB4084" s="75" t="str">
        <f>IF(AND(OR(LEFT(TH!N3644,2)="15",LEFT(TH!O3644,2)="15"),LEFT(TH!O3644,3)&lt;&gt;"111",'152-CT'!$J$8=TH!F3644),"x","")</f>
        <v/>
      </c>
      <c r="AC4084" s="75" t="str">
        <f>IF(AND(OR(LEFT(TH!N3644,2)="15",LEFT(TH!O3644,2)="15"),TK!$E$7=TH!F3644),"x","")</f>
        <v/>
      </c>
      <c r="AD4084" s="75" t="str">
        <f>IF(AND(N4084="1521",MONTH(C4084)='BK-NL'!$M$11),"x","")</f>
        <v/>
      </c>
    </row>
    <row r="4085" spans="1:33" ht="16.5" customHeight="1">
      <c r="A4085" s="309" t="str">
        <f>IF(B4085&lt;&gt;"",IF(AND(B4085='IN-TC'!$S$4,OR(TH!N4081="1111",TH!O4081="1111")),TH!D4081,""),"")</f>
        <v/>
      </c>
      <c r="B4085" s="1242">
        <f t="shared" si="1312"/>
        <v>5</v>
      </c>
      <c r="C4085" s="292">
        <f t="shared" si="1313"/>
        <v>42870</v>
      </c>
      <c r="D4085" s="292" t="s">
        <v>1950</v>
      </c>
      <c r="E4085" s="292">
        <v>42870</v>
      </c>
      <c r="F4085" s="67" t="s">
        <v>1499</v>
      </c>
      <c r="G4085" s="925" t="s">
        <v>1501</v>
      </c>
      <c r="H4085" s="294" t="s">
        <v>893</v>
      </c>
      <c r="I4085" s="373"/>
      <c r="J4085" s="926"/>
      <c r="K4085" s="373"/>
      <c r="L4085" s="379"/>
      <c r="M4085" s="927">
        <v>3721718</v>
      </c>
      <c r="N4085" s="295" t="s">
        <v>101</v>
      </c>
      <c r="O4085" s="295" t="s">
        <v>63</v>
      </c>
      <c r="P4085" s="75" t="str">
        <f>IF(AND('331-CT'!$E$7=TH!H3645,OR(N4085="331",O4085="331")),"x","")</f>
        <v/>
      </c>
      <c r="Q4085" s="75" t="str">
        <f>IF(AND(B4085='111'!$L$11,OR($N4085=$Q$7,$O4085=$Q$7)),"x","")</f>
        <v/>
      </c>
      <c r="R4085" s="75" t="str">
        <f>IF(AND($N4085=$Q$7,$B4085&lt;'111'!$L$11),"x","")</f>
        <v/>
      </c>
      <c r="S4085" s="75" t="str">
        <f>IF(AND($O4085=$Q$7,$B4085&lt;'111'!$L$11),"x","")</f>
        <v>x</v>
      </c>
      <c r="T4085" s="75" t="str">
        <f>IF(ISERROR(FIND('112'!$M$9,G4085,1)),"",IF((AND(FIND('112'!$M$9,G4085,1)&gt;=1,B4085='112'!$K$9,OR($N4085='112'!$I$6,$O4085='112'!$I$6))),"x",""))</f>
        <v/>
      </c>
      <c r="U4085" s="75" t="str">
        <f>IF(ISERROR(FIND('112'!$M$9,G4085,1)),"",IF((AND(LEFT(G4085,2)=LEFT('112'!$M$9,2),B4085&lt;'112'!$K$9,$N4085='112'!$I$6)),"x",""))</f>
        <v/>
      </c>
      <c r="V4085" s="75" t="str">
        <f>IF(ISERROR(FIND('112'!$M$9,G4085,1)),"",IF((AND(RIGHT(G4085,2)=RIGHT('112'!$M$9,2),B4085&lt;'112'!$K$9,$O4085='112'!$I$6)),"x",""))</f>
        <v/>
      </c>
      <c r="W4085" s="75" t="str">
        <f>IF(AND('341-CT'!$H$9=H4085,OR(LEFT(N4085,3)=$W$7,LEFT(O4085,3)=$W$7)),"x","")</f>
        <v/>
      </c>
      <c r="X4085" s="75" t="str">
        <f>IF(OR(TH!N3645=TH!$X$7,O4085=TH!$X$7),"x","")</f>
        <v/>
      </c>
      <c r="Y4085" s="75" t="str">
        <f>IF(AND(OR(N4085="131",O4085="131"),H4085='131-CT'!$H$9),"x","")</f>
        <v/>
      </c>
      <c r="Z4085" s="75"/>
      <c r="AA4085" s="75" t="str">
        <f>IF(AND(MONTH(E4085)='IN-NX'!$J$5,'IN-NX'!$D$7=D4085),"x","")</f>
        <v/>
      </c>
      <c r="AB4085" s="75" t="str">
        <f>IF(AND(OR(LEFT(TH!N3645,2)="15",LEFT(TH!O3645,2)="15"),LEFT(TH!O3645,3)&lt;&gt;"111",'152-CT'!$J$8=TH!F3645),"x","")</f>
        <v/>
      </c>
      <c r="AC4085" s="75" t="str">
        <f>IF(AND(OR(LEFT(TH!N3645,2)="15",LEFT(TH!O3645,2)="15"),TK!$E$7=TH!F3645),"x","")</f>
        <v/>
      </c>
      <c r="AD4085" s="75" t="str">
        <f>IF(AND(N4085="1521",MONTH(C4085)='BK-NL'!$M$11),"x","")</f>
        <v/>
      </c>
    </row>
    <row r="4086" spans="1:33" ht="16.5" customHeight="1">
      <c r="A4086" s="309" t="str">
        <f>IF(B4086&lt;&gt;"",IF(AND(B4086='IN-TC'!$S$4,OR(TH!N4082="1111",TH!O4082="1111")),TH!D4082,""),"")</f>
        <v/>
      </c>
      <c r="B4086" s="1242">
        <f t="shared" si="1312"/>
        <v>5</v>
      </c>
      <c r="C4086" s="292">
        <f t="shared" si="1313"/>
        <v>42870</v>
      </c>
      <c r="D4086" s="292" t="s">
        <v>1950</v>
      </c>
      <c r="E4086" s="292">
        <v>42870</v>
      </c>
      <c r="F4086" s="67" t="s">
        <v>1500</v>
      </c>
      <c r="G4086" s="925" t="s">
        <v>1501</v>
      </c>
      <c r="H4086" s="294" t="s">
        <v>893</v>
      </c>
      <c r="I4086" s="373"/>
      <c r="J4086" s="926"/>
      <c r="K4086" s="373"/>
      <c r="L4086" s="379"/>
      <c r="M4086" s="927">
        <v>372172</v>
      </c>
      <c r="N4086" s="295" t="s">
        <v>9</v>
      </c>
      <c r="O4086" s="295" t="s">
        <v>63</v>
      </c>
      <c r="P4086" s="75" t="str">
        <f>IF(AND('331-CT'!$E$7=TH!H3646,OR(N4086="331",O4086="331")),"x","")</f>
        <v/>
      </c>
      <c r="Q4086" s="75" t="str">
        <f>IF(AND(B4086='111'!$L$11,OR($N4086=$Q$7,$O4086=$Q$7)),"x","")</f>
        <v/>
      </c>
      <c r="R4086" s="75" t="str">
        <f>IF(AND($N4086=$Q$7,$B4086&lt;'111'!$L$11),"x","")</f>
        <v/>
      </c>
      <c r="S4086" s="75" t="str">
        <f>IF(AND($O4086=$Q$7,$B4086&lt;'111'!$L$11),"x","")</f>
        <v>x</v>
      </c>
      <c r="T4086" s="75" t="str">
        <f>IF(ISERROR(FIND('112'!$M$9,G4086,1)),"",IF((AND(FIND('112'!$M$9,G4086,1)&gt;=1,B4086='112'!$K$9,OR($N4086='112'!$I$6,$O4086='112'!$I$6))),"x",""))</f>
        <v/>
      </c>
      <c r="U4086" s="75" t="str">
        <f>IF(ISERROR(FIND('112'!$M$9,G4086,1)),"",IF((AND(LEFT(G4086,2)=LEFT('112'!$M$9,2),B4086&lt;'112'!$K$9,$N4086='112'!$I$6)),"x",""))</f>
        <v/>
      </c>
      <c r="V4086" s="75" t="str">
        <f>IF(ISERROR(FIND('112'!$M$9,G4086,1)),"",IF((AND(RIGHT(G4086,2)=RIGHT('112'!$M$9,2),B4086&lt;'112'!$K$9,$O4086='112'!$I$6)),"x",""))</f>
        <v/>
      </c>
      <c r="W4086" s="75" t="str">
        <f>IF(AND('341-CT'!$H$9=H4086,OR(LEFT(N4086,3)=$W$7,LEFT(O4086,3)=$W$7)),"x","")</f>
        <v/>
      </c>
      <c r="X4086" s="75" t="str">
        <f>IF(OR(TH!N3646=TH!$X$7,O4086=TH!$X$7),"x","")</f>
        <v/>
      </c>
      <c r="Y4086" s="75" t="str">
        <f>IF(AND(OR(N4086="131",O4086="131"),H4086='131-CT'!$H$9),"x","")</f>
        <v/>
      </c>
      <c r="Z4086" s="75"/>
      <c r="AA4086" s="75" t="str">
        <f>IF(AND(MONTH(E4086)='IN-NX'!$J$5,'IN-NX'!$D$7=D4086),"x","")</f>
        <v/>
      </c>
      <c r="AB4086" s="75" t="str">
        <f>IF(AND(OR(LEFT(TH!N3646,2)="15",LEFT(TH!O3646,2)="15"),LEFT(TH!O3646,3)&lt;&gt;"111",'152-CT'!$J$8=TH!F3646),"x","")</f>
        <v/>
      </c>
      <c r="AC4086" s="75" t="str">
        <f>IF(AND(OR(LEFT(TH!N3646,2)="15",LEFT(TH!O3646,2)="15"),TK!$E$7=TH!F3646),"x","")</f>
        <v/>
      </c>
      <c r="AD4086" s="75" t="str">
        <f>IF(AND(N4086="1521",MONTH(C4086)='BK-NL'!$M$11),"x","")</f>
        <v/>
      </c>
    </row>
    <row r="4087" spans="1:33" ht="16.5" customHeight="1">
      <c r="A4087" s="309" t="str">
        <f>IF(B4087&lt;&gt;"",IF(AND(B4087='IN-TC'!$S$4,OR(TH!N4083="1111",TH!O4083="1111")),TH!D4083,""),"")</f>
        <v/>
      </c>
      <c r="B4087" s="1242">
        <f t="shared" si="1312"/>
        <v>5</v>
      </c>
      <c r="C4087" s="292">
        <f t="shared" si="1313"/>
        <v>42870</v>
      </c>
      <c r="D4087" s="292" t="s">
        <v>1951</v>
      </c>
      <c r="E4087" s="929">
        <v>42870</v>
      </c>
      <c r="F4087" s="73" t="s">
        <v>1165</v>
      </c>
      <c r="G4087" s="931" t="s">
        <v>1388</v>
      </c>
      <c r="H4087" s="296" t="s">
        <v>797</v>
      </c>
      <c r="I4087" s="371"/>
      <c r="J4087" s="932"/>
      <c r="K4087" s="371"/>
      <c r="L4087" s="377"/>
      <c r="M4087" s="933">
        <v>18980500</v>
      </c>
      <c r="N4087" s="934" t="s">
        <v>8</v>
      </c>
      <c r="O4087" s="934" t="s">
        <v>63</v>
      </c>
      <c r="P4087" s="75" t="str">
        <f>IF(AND('331-CT'!$E$7=TH!H3647,OR(N4087="331",O4087="331")),"x","")</f>
        <v/>
      </c>
      <c r="Q4087" s="75" t="str">
        <f>IF(AND(B4087='111'!$L$11,OR($N4087=$Q$7,$O4087=$Q$7)),"x","")</f>
        <v/>
      </c>
      <c r="R4087" s="75" t="str">
        <f>IF(AND($N4087=$Q$7,$B4087&lt;'111'!$L$11),"x","")</f>
        <v/>
      </c>
      <c r="S4087" s="75" t="str">
        <f>IF(AND($O4087=$Q$7,$B4087&lt;'111'!$L$11),"x","")</f>
        <v>x</v>
      </c>
      <c r="T4087" s="75" t="str">
        <f>IF(ISERROR(FIND('112'!$M$9,G4087,1)),"",IF((AND(FIND('112'!$M$9,G4087,1)&gt;=1,B4087='112'!$K$9,OR($N4087='112'!$I$6,$O4087='112'!$I$6))),"x",""))</f>
        <v/>
      </c>
      <c r="U4087" s="75" t="str">
        <f>IF(ISERROR(FIND('112'!$M$9,G4087,1)),"",IF((AND(LEFT(G4087,2)=LEFT('112'!$M$9,2),B4087&lt;'112'!$K$9,$N4087='112'!$I$6)),"x",""))</f>
        <v/>
      </c>
      <c r="V4087" s="75" t="str">
        <f>IF(ISERROR(FIND('112'!$M$9,G4087,1)),"",IF((AND(RIGHT(G4087,2)=RIGHT('112'!$M$9,2),B4087&lt;'112'!$K$9,$O4087='112'!$I$6)),"x",""))</f>
        <v/>
      </c>
      <c r="W4087" s="75" t="str">
        <f>IF(AND('341-CT'!$H$9=H4087,OR(LEFT(N4087,3)=$W$7,LEFT(O4087,3)=$W$7)),"x","")</f>
        <v/>
      </c>
      <c r="X4087" s="75" t="str">
        <f>IF(OR(TH!N3647=TH!$X$7,O4087=TH!$X$7),"x","")</f>
        <v/>
      </c>
      <c r="Y4087" s="75" t="str">
        <f>IF(AND(OR(N4087="131",O4087="131"),H4087='131-CT'!$H$9),"x","")</f>
        <v/>
      </c>
      <c r="Z4087" s="75"/>
      <c r="AA4087" s="75" t="str">
        <f>IF(AND(MONTH(E4087)='IN-NX'!$J$5,'IN-NX'!$D$7=D4087),"x","")</f>
        <v/>
      </c>
      <c r="AB4087" s="75" t="str">
        <f>IF(AND(OR(LEFT(TH!N3647,2)="15",LEFT(TH!O3647,2)="15"),LEFT(TH!O3647,3)&lt;&gt;"111",'152-CT'!$J$8=TH!F3647),"x","")</f>
        <v/>
      </c>
      <c r="AC4087" s="75" t="str">
        <f>IF(AND(OR(LEFT(TH!N3647,2)="15",LEFT(TH!O3647,2)="15"),TK!$E$7=TH!F3647),"x","")</f>
        <v/>
      </c>
      <c r="AD4087" s="75" t="str">
        <f>IF(AND(N4087="1521",MONTH(C4087)='BK-NL'!$M$11),"x","")</f>
        <v/>
      </c>
    </row>
    <row r="4088" spans="1:33" ht="16.5" customHeight="1">
      <c r="A4088" s="309" t="str">
        <f>IF(B4088&lt;&gt;"",IF(AND(B4088='IN-TC'!$S$4,OR(TH!N4084="1111",TH!O4084="1111")),TH!D4084,""),"")</f>
        <v/>
      </c>
      <c r="B4088" s="1242">
        <f t="shared" si="1312"/>
        <v>5</v>
      </c>
      <c r="C4088" s="292">
        <f t="shared" si="1313"/>
        <v>42870</v>
      </c>
      <c r="D4088" s="292" t="s">
        <v>1952</v>
      </c>
      <c r="E4088" s="929">
        <v>42870</v>
      </c>
      <c r="F4088" s="73" t="s">
        <v>1165</v>
      </c>
      <c r="G4088" s="931" t="s">
        <v>1374</v>
      </c>
      <c r="H4088" s="296" t="s">
        <v>796</v>
      </c>
      <c r="I4088" s="371"/>
      <c r="J4088" s="932"/>
      <c r="K4088" s="371"/>
      <c r="L4088" s="377"/>
      <c r="M4088" s="933">
        <v>18980500</v>
      </c>
      <c r="N4088" s="934" t="s">
        <v>8</v>
      </c>
      <c r="O4088" s="934" t="s">
        <v>63</v>
      </c>
      <c r="P4088" s="75" t="str">
        <f>IF(AND('331-CT'!$E$7=TH!H3648,OR(N4088="331",O4088="331")),"x","")</f>
        <v/>
      </c>
      <c r="Q4088" s="75" t="str">
        <f>IF(AND(B4088='111'!$L$11,OR($N4088=$Q$7,$O4088=$Q$7)),"x","")</f>
        <v/>
      </c>
      <c r="R4088" s="75" t="str">
        <f>IF(AND($N4088=$Q$7,$B4088&lt;'111'!$L$11),"x","")</f>
        <v/>
      </c>
      <c r="S4088" s="75" t="str">
        <f>IF(AND($O4088=$Q$7,$B4088&lt;'111'!$L$11),"x","")</f>
        <v>x</v>
      </c>
      <c r="T4088" s="75" t="str">
        <f>IF(ISERROR(FIND('112'!$M$9,G4088,1)),"",IF((AND(FIND('112'!$M$9,G4088,1)&gt;=1,B4088='112'!$K$9,OR($N4088='112'!$I$6,$O4088='112'!$I$6))),"x",""))</f>
        <v/>
      </c>
      <c r="U4088" s="75" t="str">
        <f>IF(ISERROR(FIND('112'!$M$9,G4088,1)),"",IF((AND(LEFT(G4088,2)=LEFT('112'!$M$9,2),B4088&lt;'112'!$K$9,$N4088='112'!$I$6)),"x",""))</f>
        <v/>
      </c>
      <c r="V4088" s="75" t="str">
        <f>IF(ISERROR(FIND('112'!$M$9,G4088,1)),"",IF((AND(RIGHT(G4088,2)=RIGHT('112'!$M$9,2),B4088&lt;'112'!$K$9,$O4088='112'!$I$6)),"x",""))</f>
        <v/>
      </c>
      <c r="W4088" s="75" t="str">
        <f>IF(AND('341-CT'!$H$9=H4088,OR(LEFT(N4088,3)=$W$7,LEFT(O4088,3)=$W$7)),"x","")</f>
        <v/>
      </c>
      <c r="X4088" s="75" t="str">
        <f>IF(OR(TH!N3648=TH!$X$7,O4088=TH!$X$7),"x","")</f>
        <v/>
      </c>
      <c r="Y4088" s="75" t="str">
        <f>IF(AND(OR(N4088="131",O4088="131"),H4088='131-CT'!$H$9),"x","")</f>
        <v/>
      </c>
      <c r="Z4088" s="75"/>
      <c r="AA4088" s="75" t="str">
        <f>IF(AND(MONTH(E4088)='IN-NX'!$J$5,'IN-NX'!$D$7=D4088),"x","")</f>
        <v/>
      </c>
      <c r="AB4088" s="75" t="str">
        <f>IF(AND(OR(LEFT(TH!N3648,2)="15",LEFT(TH!O3648,2)="15"),LEFT(TH!O3648,3)&lt;&gt;"111",'152-CT'!$J$8=TH!F3648),"x","")</f>
        <v/>
      </c>
      <c r="AC4088" s="75" t="str">
        <f>IF(AND(OR(LEFT(TH!N3648,2)="15",LEFT(TH!O3648,2)="15"),TK!$E$7=TH!F3648),"x","")</f>
        <v/>
      </c>
      <c r="AD4088" s="75" t="str">
        <f>IF(AND(N4088="1521",MONTH(C4088)='BK-NL'!$M$11),"x","")</f>
        <v/>
      </c>
    </row>
    <row r="4089" spans="1:33" ht="16.5" customHeight="1">
      <c r="A4089" s="309" t="str">
        <f>IF(B4089&lt;&gt;"",IF(AND(B4089='IN-TC'!$S$4,OR(TH!N4085="1111",TH!O4085="1111")),TH!D4085,""),"")</f>
        <v/>
      </c>
      <c r="B4089" s="1242">
        <f t="shared" si="1312"/>
        <v>5</v>
      </c>
      <c r="C4089" s="292">
        <f t="shared" si="1313"/>
        <v>42870</v>
      </c>
      <c r="D4089" s="292" t="s">
        <v>1940</v>
      </c>
      <c r="E4089" s="292">
        <v>42870</v>
      </c>
      <c r="F4089" s="1010" t="s">
        <v>1881</v>
      </c>
      <c r="G4089" s="925"/>
      <c r="H4089" s="311" t="s">
        <v>1888</v>
      </c>
      <c r="I4089" s="373"/>
      <c r="J4089" s="926"/>
      <c r="K4089" s="373"/>
      <c r="L4089" s="379"/>
      <c r="M4089" s="927">
        <v>734922500</v>
      </c>
      <c r="N4089" s="295" t="s">
        <v>8</v>
      </c>
      <c r="O4089" s="295" t="s">
        <v>63</v>
      </c>
      <c r="P4089" s="75" t="str">
        <f>IF(AND('331-CT'!$E$7=TH!H4252,OR(N4089="331",O4089="331")),"x","")</f>
        <v/>
      </c>
      <c r="Q4089" s="75" t="str">
        <f>IF(AND(B4089='111'!$L$11,OR($N4089=$Q$7,$O4089=$Q$7)),"x","")</f>
        <v/>
      </c>
      <c r="R4089" s="75" t="str">
        <f>IF(AND($N4089=$Q$7,$B4089&lt;'111'!$L$11),"x","")</f>
        <v/>
      </c>
      <c r="S4089" s="75" t="str">
        <f>IF(AND($O4089=$Q$7,$B4089&lt;'111'!$L$11),"x","")</f>
        <v>x</v>
      </c>
      <c r="T4089" s="75" t="str">
        <f>IF(ISERROR(FIND('112'!$M$9,G4089,1)),"",IF((AND(FIND('112'!$M$9,G4089,1)&gt;=1,B4089='112'!$K$9,OR($N4089='112'!$I$6,$O4089='112'!$I$6))),"x",""))</f>
        <v/>
      </c>
      <c r="U4089" s="75" t="str">
        <f>IF(ISERROR(FIND('112'!$M$9,G4089,1)),"",IF((AND(LEFT(G4089,2)=LEFT('112'!$M$9,2),B4089&lt;'112'!$K$9,$N4089='112'!$I$6)),"x",""))</f>
        <v/>
      </c>
      <c r="V4089" s="75" t="str">
        <f>IF(ISERROR(FIND('112'!$M$9,G4089,1)),"",IF((AND(RIGHT(G4089,2)=RIGHT('112'!$M$9,2),B4089&lt;'112'!$K$9,$O4089='112'!$I$6)),"x",""))</f>
        <v/>
      </c>
      <c r="W4089" s="75" t="str">
        <f>IF(AND('341-CT'!$H$9=H4089,OR(LEFT(N4089,3)=$W$7,LEFT(O4089,3)=$W$7)),"x","")</f>
        <v/>
      </c>
      <c r="X4089" s="75" t="str">
        <f>IF(OR(TH!N4252=TH!$X$7,O4089=TH!$X$7),"x","")</f>
        <v/>
      </c>
      <c r="Y4089" s="75" t="str">
        <f>IF(AND(OR(N4089="131",O4089="131"),H4089='131-CT'!$H$9),"x","")</f>
        <v/>
      </c>
      <c r="Z4089" s="75"/>
      <c r="AA4089" s="75" t="str">
        <f>IF(AND(MONTH(E4089)='IN-NX'!$J$5,'IN-NX'!$D$7=D4089),"x","")</f>
        <v/>
      </c>
      <c r="AB4089" s="75" t="str">
        <f>IF(AND(OR(LEFT(TH!N4252,2)="15",LEFT(TH!O4252,2)="15"),LEFT(TH!O4252,3)&lt;&gt;"111",'152-CT'!$J$8=TH!F4252),"x","")</f>
        <v/>
      </c>
      <c r="AC4089" s="75" t="str">
        <f>IF(AND(OR(LEFT(TH!N4252,2)="15",LEFT(TH!O4252,2)="15"),TK!$E$7=TH!F4252),"x","")</f>
        <v/>
      </c>
      <c r="AD4089" s="75" t="str">
        <f>IF(AND(N4089="1521",MONTH(C4089)='BK-NL'!$M$11),"x","")</f>
        <v/>
      </c>
    </row>
    <row r="4090" spans="1:33" ht="16.5" customHeight="1">
      <c r="A4090" s="309" t="str">
        <f>IF(B4090&lt;&gt;"",IF(AND(B4090='IN-TC'!$S$4,OR(TH!N4086="1111",TH!O4086="1111")),TH!D4086,""),"")</f>
        <v/>
      </c>
      <c r="B4090" s="1242">
        <f t="shared" si="1312"/>
        <v>5</v>
      </c>
      <c r="C4090" s="292">
        <f t="shared" si="1313"/>
        <v>42870</v>
      </c>
      <c r="D4090" s="292" t="s">
        <v>1941</v>
      </c>
      <c r="E4090" s="292">
        <v>42870</v>
      </c>
      <c r="F4090" s="1010" t="s">
        <v>1883</v>
      </c>
      <c r="G4090" s="925"/>
      <c r="H4090" s="311"/>
      <c r="I4090" s="373"/>
      <c r="J4090" s="926"/>
      <c r="K4090" s="373"/>
      <c r="L4090" s="379"/>
      <c r="M4090" s="927">
        <v>367461</v>
      </c>
      <c r="N4090" s="295" t="s">
        <v>101</v>
      </c>
      <c r="O4090" s="295" t="s">
        <v>63</v>
      </c>
      <c r="P4090" s="75" t="str">
        <f>IF(AND('331-CT'!$E$7=TH!H4253,OR(N4090="331",O4090="331")),"x","")</f>
        <v/>
      </c>
      <c r="Q4090" s="75" t="str">
        <f>IF(AND(B4090='111'!$L$11,OR($N4090=$Q$7,$O4090=$Q$7)),"x","")</f>
        <v/>
      </c>
      <c r="R4090" s="75" t="str">
        <f>IF(AND($N4090=$Q$7,$B4090&lt;'111'!$L$11),"x","")</f>
        <v/>
      </c>
      <c r="S4090" s="75" t="str">
        <f>IF(AND($O4090=$Q$7,$B4090&lt;'111'!$L$11),"x","")</f>
        <v>x</v>
      </c>
      <c r="T4090" s="75" t="str">
        <f>IF(ISERROR(FIND('112'!$M$9,G4090,1)),"",IF((AND(FIND('112'!$M$9,G4090,1)&gt;=1,B4090='112'!$K$9,OR($N4090='112'!$I$6,$O4090='112'!$I$6))),"x",""))</f>
        <v/>
      </c>
      <c r="U4090" s="75" t="str">
        <f>IF(ISERROR(FIND('112'!$M$9,G4090,1)),"",IF((AND(LEFT(G4090,2)=LEFT('112'!$M$9,2),B4090&lt;'112'!$K$9,$N4090='112'!$I$6)),"x",""))</f>
        <v/>
      </c>
      <c r="V4090" s="75" t="str">
        <f>IF(ISERROR(FIND('112'!$M$9,G4090,1)),"",IF((AND(RIGHT(G4090,2)=RIGHT('112'!$M$9,2),B4090&lt;'112'!$K$9,$O4090='112'!$I$6)),"x",""))</f>
        <v/>
      </c>
      <c r="W4090" s="75" t="str">
        <f>IF(AND('341-CT'!$H$9=H4090,OR(LEFT(N4090,3)=$W$7,LEFT(O4090,3)=$W$7)),"x","")</f>
        <v/>
      </c>
      <c r="X4090" s="75" t="str">
        <f>IF(OR(TH!N4253=TH!$X$7,O4090=TH!$X$7),"x","")</f>
        <v/>
      </c>
      <c r="Y4090" s="75" t="str">
        <f>IF(AND(OR(N4090="131",O4090="131"),H4090='131-CT'!$H$9),"x","")</f>
        <v/>
      </c>
      <c r="Z4090" s="75"/>
      <c r="AA4090" s="75" t="str">
        <f>IF(AND(MONTH(E4090)='IN-NX'!$J$5,'IN-NX'!$D$7=D4090),"x","")</f>
        <v/>
      </c>
      <c r="AB4090" s="75" t="str">
        <f>IF(AND(OR(LEFT(TH!N4253,2)="15",LEFT(TH!O4253,2)="15"),LEFT(TH!O4253,3)&lt;&gt;"111",'152-CT'!$J$8=TH!F4253),"x","")</f>
        <v/>
      </c>
      <c r="AC4090" s="75" t="str">
        <f>IF(AND(OR(LEFT(TH!N4253,2)="15",LEFT(TH!O4253,2)="15"),TK!$E$7=TH!F4253),"x","")</f>
        <v/>
      </c>
      <c r="AD4090" s="75" t="str">
        <f>IF(AND(N4090="1521",MONTH(C4090)='BK-NL'!$M$11),"x","")</f>
        <v/>
      </c>
      <c r="AE4090">
        <v>9</v>
      </c>
    </row>
    <row r="4091" spans="1:33" ht="16.5" customHeight="1">
      <c r="A4091" s="309" t="str">
        <f>IF(B4091&lt;&gt;"",IF(AND(B4091='IN-TC'!$S$4,OR(TH!N4087="1111",TH!O4087="1111")),TH!D4087,""),"")</f>
        <v/>
      </c>
      <c r="B4091" s="1242">
        <f t="shared" si="1312"/>
        <v>5</v>
      </c>
      <c r="C4091" s="292">
        <f t="shared" si="1313"/>
        <v>42870</v>
      </c>
      <c r="D4091" s="292" t="s">
        <v>1941</v>
      </c>
      <c r="E4091" s="292">
        <v>42870</v>
      </c>
      <c r="F4091" s="1010" t="s">
        <v>1895</v>
      </c>
      <c r="G4091" s="925"/>
      <c r="H4091" s="311"/>
      <c r="I4091" s="373"/>
      <c r="J4091" s="926"/>
      <c r="K4091" s="373"/>
      <c r="L4091" s="379"/>
      <c r="M4091" s="927">
        <v>36746</v>
      </c>
      <c r="N4091" s="295" t="s">
        <v>9</v>
      </c>
      <c r="O4091" s="295" t="s">
        <v>63</v>
      </c>
      <c r="P4091" s="75" t="str">
        <f>IF(AND('331-CT'!$E$7=TH!H4254,OR(N4091="331",O4091="331")),"x","")</f>
        <v/>
      </c>
      <c r="Q4091" s="75" t="str">
        <f>IF(AND(B4091='111'!$L$11,OR($N4091=$Q$7,$O4091=$Q$7)),"x","")</f>
        <v/>
      </c>
      <c r="R4091" s="75" t="str">
        <f>IF(AND($N4091=$Q$7,$B4091&lt;'111'!$L$11),"x","")</f>
        <v/>
      </c>
      <c r="S4091" s="75" t="str">
        <f>IF(AND($O4091=$Q$7,$B4091&lt;'111'!$L$11),"x","")</f>
        <v>x</v>
      </c>
      <c r="T4091" s="75" t="str">
        <f>IF(ISERROR(FIND('112'!$M$9,G4091,1)),"",IF((AND(FIND('112'!$M$9,G4091,1)&gt;=1,B4091='112'!$K$9,OR($N4091='112'!$I$6,$O4091='112'!$I$6))),"x",""))</f>
        <v/>
      </c>
      <c r="U4091" s="75" t="str">
        <f>IF(ISERROR(FIND('112'!$M$9,G4091,1)),"",IF((AND(LEFT(G4091,2)=LEFT('112'!$M$9,2),B4091&lt;'112'!$K$9,$N4091='112'!$I$6)),"x",""))</f>
        <v/>
      </c>
      <c r="V4091" s="75" t="str">
        <f>IF(ISERROR(FIND('112'!$M$9,G4091,1)),"",IF((AND(RIGHT(G4091,2)=RIGHT('112'!$M$9,2),B4091&lt;'112'!$K$9,$O4091='112'!$I$6)),"x",""))</f>
        <v/>
      </c>
      <c r="W4091" s="75" t="str">
        <f>IF(AND('341-CT'!$H$9=H4091,OR(LEFT(N4091,3)=$W$7,LEFT(O4091,3)=$W$7)),"x","")</f>
        <v/>
      </c>
      <c r="X4091" s="75" t="str">
        <f>IF(OR(TH!N4254=TH!$X$7,O4091=TH!$X$7),"x","")</f>
        <v/>
      </c>
      <c r="Y4091" s="75" t="str">
        <f>IF(AND(OR(N4091="131",O4091="131"),H4091='131-CT'!$H$9),"x","")</f>
        <v/>
      </c>
      <c r="Z4091" s="75"/>
      <c r="AA4091" s="75" t="str">
        <f>IF(AND(MONTH(E4091)='IN-NX'!$J$5,'IN-NX'!$D$7=D4091),"x","")</f>
        <v/>
      </c>
      <c r="AB4091" s="75" t="str">
        <f>IF(AND(OR(LEFT(TH!N4254,2)="15",LEFT(TH!O4254,2)="15"),LEFT(TH!O4254,3)&lt;&gt;"111",'152-CT'!$J$8=TH!F4254),"x","")</f>
        <v/>
      </c>
      <c r="AC4091" s="75" t="str">
        <f>IF(AND(OR(LEFT(TH!N4254,2)="15",LEFT(TH!O4254,2)="15"),TK!$E$7=TH!F4254),"x","")</f>
        <v/>
      </c>
      <c r="AD4091" s="75" t="str">
        <f>IF(AND(N4091="1521",MONTH(C4091)='BK-NL'!$M$11),"x","")</f>
        <v/>
      </c>
      <c r="AE4091">
        <v>9</v>
      </c>
    </row>
    <row r="4092" spans="1:33" ht="16.5" customHeight="1">
      <c r="A4092" s="309" t="str">
        <f>IF(B4092&lt;&gt;"",IF(AND(B4092='IN-TC'!$S$4,OR(TH!N4088="1111",TH!O4088="1111")),TH!D4088,""),"")</f>
        <v/>
      </c>
      <c r="B4092" s="1242">
        <f t="shared" si="1312"/>
        <v>5</v>
      </c>
      <c r="C4092" s="292">
        <f t="shared" si="1313"/>
        <v>42870</v>
      </c>
      <c r="D4092" s="292" t="s">
        <v>1942</v>
      </c>
      <c r="E4092" s="292">
        <v>42870</v>
      </c>
      <c r="F4092" s="1010" t="s">
        <v>1881</v>
      </c>
      <c r="G4092" s="925"/>
      <c r="H4092" s="311" t="s">
        <v>1889</v>
      </c>
      <c r="I4092" s="373"/>
      <c r="J4092" s="926"/>
      <c r="K4092" s="373"/>
      <c r="L4092" s="379"/>
      <c r="M4092" s="927">
        <v>975975000</v>
      </c>
      <c r="N4092" s="295" t="s">
        <v>8</v>
      </c>
      <c r="O4092" s="295" t="s">
        <v>63</v>
      </c>
      <c r="P4092" s="75" t="str">
        <f>IF(AND('331-CT'!$E$7=TH!H4255,OR(N4092="331",O4092="331")),"x","")</f>
        <v/>
      </c>
      <c r="Q4092" s="75" t="str">
        <f>IF(AND(B4092='111'!$L$11,OR($N4092=$Q$7,$O4092=$Q$7)),"x","")</f>
        <v/>
      </c>
      <c r="R4092" s="75" t="str">
        <f>IF(AND($N4092=$Q$7,$B4092&lt;'111'!$L$11),"x","")</f>
        <v/>
      </c>
      <c r="S4092" s="75" t="str">
        <f>IF(AND($O4092=$Q$7,$B4092&lt;'111'!$L$11),"x","")</f>
        <v>x</v>
      </c>
      <c r="T4092" s="75" t="str">
        <f>IF(ISERROR(FIND('112'!$M$9,G4092,1)),"",IF((AND(FIND('112'!$M$9,G4092,1)&gt;=1,B4092='112'!$K$9,OR($N4092='112'!$I$6,$O4092='112'!$I$6))),"x",""))</f>
        <v/>
      </c>
      <c r="U4092" s="75" t="str">
        <f>IF(ISERROR(FIND('112'!$M$9,G4092,1)),"",IF((AND(LEFT(G4092,2)=LEFT('112'!$M$9,2),B4092&lt;'112'!$K$9,$N4092='112'!$I$6)),"x",""))</f>
        <v/>
      </c>
      <c r="V4092" s="75" t="str">
        <f>IF(ISERROR(FIND('112'!$M$9,G4092,1)),"",IF((AND(RIGHT(G4092,2)=RIGHT('112'!$M$9,2),B4092&lt;'112'!$K$9,$O4092='112'!$I$6)),"x",""))</f>
        <v/>
      </c>
      <c r="W4092" s="75" t="str">
        <f>IF(AND('341-CT'!$H$9=H4092,OR(LEFT(N4092,3)=$W$7,LEFT(O4092,3)=$W$7)),"x","")</f>
        <v/>
      </c>
      <c r="X4092" s="75" t="str">
        <f>IF(OR(TH!N4255=TH!$X$7,O4092=TH!$X$7),"x","")</f>
        <v/>
      </c>
      <c r="Y4092" s="75" t="str">
        <f>IF(AND(OR(N4092="131",O4092="131"),H4092='131-CT'!$H$9),"x","")</f>
        <v/>
      </c>
      <c r="Z4092" s="75"/>
      <c r="AA4092" s="75" t="str">
        <f>IF(AND(MONTH(E4092)='IN-NX'!$J$5,'IN-NX'!$D$7=D4092),"x","")</f>
        <v/>
      </c>
      <c r="AB4092" s="75" t="str">
        <f>IF(AND(OR(LEFT(TH!N4255,2)="15",LEFT(TH!O4255,2)="15"),LEFT(TH!O4255,3)&lt;&gt;"111",'152-CT'!$J$8=TH!F4255),"x","")</f>
        <v/>
      </c>
      <c r="AC4092" s="75" t="str">
        <f>IF(AND(OR(LEFT(TH!N4255,2)="15",LEFT(TH!O4255,2)="15"),TK!$E$7=TH!F4255),"x","")</f>
        <v/>
      </c>
      <c r="AD4092" s="75" t="str">
        <f>IF(AND(N4092="1521",MONTH(C4092)='BK-NL'!$M$11),"x","")</f>
        <v/>
      </c>
    </row>
    <row r="4093" spans="1:33" ht="16.5" customHeight="1">
      <c r="A4093" s="309" t="str">
        <f>IF(B4093&lt;&gt;"",IF(AND(B4093='IN-TC'!$S$4,OR(TH!N4089="1111",TH!O4089="1111")),TH!D4089,""),"")</f>
        <v/>
      </c>
      <c r="B4093" s="1242">
        <f t="shared" si="1312"/>
        <v>5</v>
      </c>
      <c r="C4093" s="292">
        <f t="shared" si="1313"/>
        <v>42870</v>
      </c>
      <c r="D4093" s="292" t="s">
        <v>1943</v>
      </c>
      <c r="E4093" s="292">
        <v>42870</v>
      </c>
      <c r="F4093" s="1010" t="s">
        <v>1883</v>
      </c>
      <c r="G4093" s="925"/>
      <c r="H4093" s="311"/>
      <c r="I4093" s="373"/>
      <c r="J4093" s="926"/>
      <c r="K4093" s="373"/>
      <c r="L4093" s="379"/>
      <c r="M4093" s="927">
        <v>487987</v>
      </c>
      <c r="N4093" s="295" t="s">
        <v>101</v>
      </c>
      <c r="O4093" s="295" t="s">
        <v>63</v>
      </c>
      <c r="P4093" s="75" t="str">
        <f>IF(AND('331-CT'!$E$7=TH!H4256,OR(N4093="331",O4093="331")),"x","")</f>
        <v/>
      </c>
      <c r="Q4093" s="75" t="str">
        <f>IF(AND(B4093='111'!$L$11,OR($N4093=$Q$7,$O4093=$Q$7)),"x","")</f>
        <v/>
      </c>
      <c r="R4093" s="75" t="str">
        <f>IF(AND($N4093=$Q$7,$B4093&lt;'111'!$L$11),"x","")</f>
        <v/>
      </c>
      <c r="S4093" s="75" t="str">
        <f>IF(AND($O4093=$Q$7,$B4093&lt;'111'!$L$11),"x","")</f>
        <v>x</v>
      </c>
      <c r="T4093" s="75" t="str">
        <f>IF(ISERROR(FIND('112'!$M$9,G4093,1)),"",IF((AND(FIND('112'!$M$9,G4093,1)&gt;=1,B4093='112'!$K$9,OR($N4093='112'!$I$6,$O4093='112'!$I$6))),"x",""))</f>
        <v/>
      </c>
      <c r="U4093" s="75" t="str">
        <f>IF(ISERROR(FIND('112'!$M$9,G4093,1)),"",IF((AND(LEFT(G4093,2)=LEFT('112'!$M$9,2),B4093&lt;'112'!$K$9,$N4093='112'!$I$6)),"x",""))</f>
        <v/>
      </c>
      <c r="V4093" s="75" t="str">
        <f>IF(ISERROR(FIND('112'!$M$9,G4093,1)),"",IF((AND(RIGHT(G4093,2)=RIGHT('112'!$M$9,2),B4093&lt;'112'!$K$9,$O4093='112'!$I$6)),"x",""))</f>
        <v/>
      </c>
      <c r="W4093" s="75" t="str">
        <f>IF(AND('341-CT'!$H$9=H4093,OR(LEFT(N4093,3)=$W$7,LEFT(O4093,3)=$W$7)),"x","")</f>
        <v/>
      </c>
      <c r="X4093" s="75" t="str">
        <f>IF(OR(TH!N4256=TH!$X$7,O4093=TH!$X$7),"x","")</f>
        <v/>
      </c>
      <c r="Y4093" s="75" t="str">
        <f>IF(AND(OR(N4093="131",O4093="131"),H4093='131-CT'!$H$9),"x","")</f>
        <v/>
      </c>
      <c r="Z4093" s="75"/>
      <c r="AA4093" s="75" t="str">
        <f>IF(AND(MONTH(E4093)='IN-NX'!$J$5,'IN-NX'!$D$7=D4093),"x","")</f>
        <v/>
      </c>
      <c r="AB4093" s="75" t="str">
        <f>IF(AND(OR(LEFT(TH!N4256,2)="15",LEFT(TH!O4256,2)="15"),LEFT(TH!O4256,3)&lt;&gt;"111",'152-CT'!$J$8=TH!F4256),"x","")</f>
        <v/>
      </c>
      <c r="AC4093" s="75" t="str">
        <f>IF(AND(OR(LEFT(TH!N4256,2)="15",LEFT(TH!O4256,2)="15"),TK!$E$7=TH!F4256),"x","")</f>
        <v/>
      </c>
      <c r="AD4093" s="75" t="str">
        <f>IF(AND(N4093="1521",MONTH(C4093)='BK-NL'!$M$11),"x","")</f>
        <v/>
      </c>
      <c r="AE4093">
        <v>9</v>
      </c>
    </row>
    <row r="4094" spans="1:33" ht="16.5" customHeight="1">
      <c r="A4094" s="309" t="str">
        <f>IF(B4094&lt;&gt;"",IF(AND(B4094='IN-TC'!$S$4,OR(TH!N4090="1111",TH!O4090="1111")),TH!D4090,""),"")</f>
        <v/>
      </c>
      <c r="B4094" s="1242">
        <f t="shared" si="1312"/>
        <v>5</v>
      </c>
      <c r="C4094" s="292">
        <f t="shared" si="1313"/>
        <v>42870</v>
      </c>
      <c r="D4094" s="292" t="s">
        <v>1943</v>
      </c>
      <c r="E4094" s="292">
        <v>42870</v>
      </c>
      <c r="F4094" s="1010" t="s">
        <v>1895</v>
      </c>
      <c r="G4094" s="925"/>
      <c r="H4094" s="311"/>
      <c r="I4094" s="373"/>
      <c r="J4094" s="926"/>
      <c r="K4094" s="373"/>
      <c r="L4094" s="379"/>
      <c r="M4094" s="927">
        <v>48799</v>
      </c>
      <c r="N4094" s="295" t="s">
        <v>9</v>
      </c>
      <c r="O4094" s="295" t="s">
        <v>63</v>
      </c>
      <c r="P4094" s="75" t="str">
        <f>IF(AND('331-CT'!$E$7=TH!H4257,OR(N4094="331",O4094="331")),"x","")</f>
        <v/>
      </c>
      <c r="Q4094" s="75" t="str">
        <f>IF(AND(B4094='111'!$L$11,OR($N4094=$Q$7,$O4094=$Q$7)),"x","")</f>
        <v/>
      </c>
      <c r="R4094" s="75" t="str">
        <f>IF(AND($N4094=$Q$7,$B4094&lt;'111'!$L$11),"x","")</f>
        <v/>
      </c>
      <c r="S4094" s="75" t="str">
        <f>IF(AND($O4094=$Q$7,$B4094&lt;'111'!$L$11),"x","")</f>
        <v>x</v>
      </c>
      <c r="T4094" s="75" t="str">
        <f>IF(ISERROR(FIND('112'!$M$9,G4094,1)),"",IF((AND(FIND('112'!$M$9,G4094,1)&gt;=1,B4094='112'!$K$9,OR($N4094='112'!$I$6,$O4094='112'!$I$6))),"x",""))</f>
        <v/>
      </c>
      <c r="U4094" s="75" t="str">
        <f>IF(ISERROR(FIND('112'!$M$9,G4094,1)),"",IF((AND(LEFT(G4094,2)=LEFT('112'!$M$9,2),B4094&lt;'112'!$K$9,$N4094='112'!$I$6)),"x",""))</f>
        <v/>
      </c>
      <c r="V4094" s="75" t="str">
        <f>IF(ISERROR(FIND('112'!$M$9,G4094,1)),"",IF((AND(RIGHT(G4094,2)=RIGHT('112'!$M$9,2),B4094&lt;'112'!$K$9,$O4094='112'!$I$6)),"x",""))</f>
        <v/>
      </c>
      <c r="W4094" s="75" t="str">
        <f>IF(AND('341-CT'!$H$9=H4094,OR(LEFT(N4094,3)=$W$7,LEFT(O4094,3)=$W$7)),"x","")</f>
        <v/>
      </c>
      <c r="X4094" s="75" t="str">
        <f>IF(OR(TH!N4257=TH!$X$7,O4094=TH!$X$7),"x","")</f>
        <v/>
      </c>
      <c r="Y4094" s="75" t="str">
        <f>IF(AND(OR(N4094="131",O4094="131"),H4094='131-CT'!$H$9),"x","")</f>
        <v/>
      </c>
      <c r="Z4094" s="75"/>
      <c r="AA4094" s="75" t="str">
        <f>IF(AND(MONTH(E4094)='IN-NX'!$J$5,'IN-NX'!$D$7=D4094),"x","")</f>
        <v/>
      </c>
      <c r="AB4094" s="75" t="str">
        <f>IF(AND(OR(LEFT(TH!N4257,2)="15",LEFT(TH!O4257,2)="15"),LEFT(TH!O4257,3)&lt;&gt;"111",'152-CT'!$J$8=TH!F4257),"x","")</f>
        <v/>
      </c>
      <c r="AC4094" s="75" t="str">
        <f>IF(AND(OR(LEFT(TH!N4257,2)="15",LEFT(TH!O4257,2)="15"),TK!$E$7=TH!F4257),"x","")</f>
        <v/>
      </c>
      <c r="AD4094" s="75" t="str">
        <f>IF(AND(N4094="1521",MONTH(C4094)='BK-NL'!$M$11),"x","")</f>
        <v/>
      </c>
      <c r="AE4094">
        <v>9</v>
      </c>
    </row>
    <row r="4095" spans="1:33" ht="16.5" customHeight="1">
      <c r="A4095" s="309" t="str">
        <f>IF(B4095&lt;&gt;"",IF(AND(B4095='IN-TC'!$S$4,OR(TH!N4091="1111",TH!O4091="1111")),TH!D4091,""),"")</f>
        <v/>
      </c>
      <c r="B4095" s="1242">
        <f t="shared" si="1312"/>
        <v>5</v>
      </c>
      <c r="C4095" s="292">
        <f t="shared" si="1313"/>
        <v>42870</v>
      </c>
      <c r="D4095" s="292" t="s">
        <v>1944</v>
      </c>
      <c r="E4095" s="292">
        <v>42870</v>
      </c>
      <c r="F4095" s="1010" t="s">
        <v>1881</v>
      </c>
      <c r="G4095" s="925"/>
      <c r="H4095" s="311" t="s">
        <v>1890</v>
      </c>
      <c r="I4095" s="373"/>
      <c r="J4095" s="926"/>
      <c r="K4095" s="373"/>
      <c r="L4095" s="379"/>
      <c r="M4095" s="927">
        <v>1205070000</v>
      </c>
      <c r="N4095" s="295" t="s">
        <v>8</v>
      </c>
      <c r="O4095" s="295" t="s">
        <v>63</v>
      </c>
      <c r="P4095" s="75" t="str">
        <f>IF(AND('331-CT'!$E$7=TH!H4258,OR(N4095="331",O4095="331")),"x","")</f>
        <v/>
      </c>
      <c r="Q4095" s="75" t="str">
        <f>IF(AND(B4095='111'!$L$11,OR($N4095=$Q$7,$O4095=$Q$7)),"x","")</f>
        <v/>
      </c>
      <c r="R4095" s="75" t="str">
        <f>IF(AND($N4095=$Q$7,$B4095&lt;'111'!$L$11),"x","")</f>
        <v/>
      </c>
      <c r="S4095" s="75" t="str">
        <f>IF(AND($O4095=$Q$7,$B4095&lt;'111'!$L$11),"x","")</f>
        <v>x</v>
      </c>
      <c r="T4095" s="75" t="str">
        <f>IF(ISERROR(FIND('112'!$M$9,G4095,1)),"",IF((AND(FIND('112'!$M$9,G4095,1)&gt;=1,B4095='112'!$K$9,OR($N4095='112'!$I$6,$O4095='112'!$I$6))),"x",""))</f>
        <v/>
      </c>
      <c r="U4095" s="75" t="str">
        <f>IF(ISERROR(FIND('112'!$M$9,G4095,1)),"",IF((AND(LEFT(G4095,2)=LEFT('112'!$M$9,2),B4095&lt;'112'!$K$9,$N4095='112'!$I$6)),"x",""))</f>
        <v/>
      </c>
      <c r="V4095" s="75" t="str">
        <f>IF(ISERROR(FIND('112'!$M$9,G4095,1)),"",IF((AND(RIGHT(G4095,2)=RIGHT('112'!$M$9,2),B4095&lt;'112'!$K$9,$O4095='112'!$I$6)),"x",""))</f>
        <v/>
      </c>
      <c r="W4095" s="75" t="str">
        <f>IF(AND('341-CT'!$H$9=H4095,OR(LEFT(N4095,3)=$W$7,LEFT(O4095,3)=$W$7)),"x","")</f>
        <v/>
      </c>
      <c r="X4095" s="75" t="str">
        <f>IF(OR(TH!N4258=TH!$X$7,O4095=TH!$X$7),"x","")</f>
        <v/>
      </c>
      <c r="Y4095" s="75" t="str">
        <f>IF(AND(OR(N4095="131",O4095="131"),H4095='131-CT'!$H$9),"x","")</f>
        <v/>
      </c>
      <c r="Z4095" s="75"/>
      <c r="AA4095" s="75" t="str">
        <f>IF(AND(MONTH(E4095)='IN-NX'!$J$5,'IN-NX'!$D$7=D4095),"x","")</f>
        <v/>
      </c>
      <c r="AB4095" s="75" t="str">
        <f>IF(AND(OR(LEFT(TH!N4258,2)="15",LEFT(TH!O4258,2)="15"),LEFT(TH!O4258,3)&lt;&gt;"111",'152-CT'!$J$8=TH!F4258),"x","")</f>
        <v/>
      </c>
      <c r="AC4095" s="75" t="str">
        <f>IF(AND(OR(LEFT(TH!N4258,2)="15",LEFT(TH!O4258,2)="15"),TK!$E$7=TH!F4258),"x","")</f>
        <v/>
      </c>
      <c r="AD4095" s="75" t="str">
        <f>IF(AND(N4095="1521",MONTH(C4095)='BK-NL'!$M$11),"x","")</f>
        <v/>
      </c>
    </row>
    <row r="4096" spans="1:33" ht="16.5" customHeight="1">
      <c r="A4096" s="309" t="str">
        <f>IF(B4096&lt;&gt;"",IF(AND(B4096='IN-TC'!$S$4,OR(TH!N4092="1111",TH!O4092="1111")),TH!D4092,""),"")</f>
        <v/>
      </c>
      <c r="B4096" s="1242">
        <f t="shared" si="1312"/>
        <v>5</v>
      </c>
      <c r="C4096" s="292">
        <f t="shared" si="1313"/>
        <v>42870</v>
      </c>
      <c r="D4096" s="292" t="s">
        <v>1945</v>
      </c>
      <c r="E4096" s="292">
        <v>42870</v>
      </c>
      <c r="F4096" s="1010" t="s">
        <v>1883</v>
      </c>
      <c r="G4096" s="925"/>
      <c r="H4096" s="311"/>
      <c r="I4096" s="373"/>
      <c r="J4096" s="926"/>
      <c r="K4096" s="373"/>
      <c r="L4096" s="379"/>
      <c r="M4096" s="927">
        <v>602535</v>
      </c>
      <c r="N4096" s="295" t="s">
        <v>101</v>
      </c>
      <c r="O4096" s="295" t="s">
        <v>63</v>
      </c>
      <c r="P4096" s="75" t="str">
        <f>IF(AND('331-CT'!$E$7=TH!H4259,OR(N4096="331",O4096="331")),"x","")</f>
        <v/>
      </c>
      <c r="Q4096" s="75" t="str">
        <f>IF(AND(B4096='111'!$L$11,OR($N4096=$Q$7,$O4096=$Q$7)),"x","")</f>
        <v/>
      </c>
      <c r="R4096" s="75" t="str">
        <f>IF(AND($N4096=$Q$7,$B4096&lt;'111'!$L$11),"x","")</f>
        <v/>
      </c>
      <c r="S4096" s="75" t="str">
        <f>IF(AND($O4096=$Q$7,$B4096&lt;'111'!$L$11),"x","")</f>
        <v>x</v>
      </c>
      <c r="T4096" s="75" t="str">
        <f>IF(ISERROR(FIND('112'!$M$9,G4096,1)),"",IF((AND(FIND('112'!$M$9,G4096,1)&gt;=1,B4096='112'!$K$9,OR($N4096='112'!$I$6,$O4096='112'!$I$6))),"x",""))</f>
        <v/>
      </c>
      <c r="U4096" s="75" t="str">
        <f>IF(ISERROR(FIND('112'!$M$9,G4096,1)),"",IF((AND(LEFT(G4096,2)=LEFT('112'!$M$9,2),B4096&lt;'112'!$K$9,$N4096='112'!$I$6)),"x",""))</f>
        <v/>
      </c>
      <c r="V4096" s="75" t="str">
        <f>IF(ISERROR(FIND('112'!$M$9,G4096,1)),"",IF((AND(RIGHT(G4096,2)=RIGHT('112'!$M$9,2),B4096&lt;'112'!$K$9,$O4096='112'!$I$6)),"x",""))</f>
        <v/>
      </c>
      <c r="W4096" s="75" t="str">
        <f>IF(AND('341-CT'!$H$9=H4096,OR(LEFT(N4096,3)=$W$7,LEFT(O4096,3)=$W$7)),"x","")</f>
        <v/>
      </c>
      <c r="X4096" s="75" t="str">
        <f>IF(OR(TH!N4259=TH!$X$7,O4096=TH!$X$7),"x","")</f>
        <v/>
      </c>
      <c r="Y4096" s="75" t="str">
        <f>IF(AND(OR(N4096="131",O4096="131"),H4096='131-CT'!$H$9),"x","")</f>
        <v/>
      </c>
      <c r="Z4096" s="75"/>
      <c r="AA4096" s="75" t="str">
        <f>IF(AND(MONTH(E4096)='IN-NX'!$J$5,'IN-NX'!$D$7=D4096),"x","")</f>
        <v/>
      </c>
      <c r="AB4096" s="75" t="str">
        <f>IF(AND(OR(LEFT(TH!N4259,2)="15",LEFT(TH!O4259,2)="15"),LEFT(TH!O4259,3)&lt;&gt;"111",'152-CT'!$J$8=TH!F4259),"x","")</f>
        <v/>
      </c>
      <c r="AC4096" s="75" t="str">
        <f>IF(AND(OR(LEFT(TH!N4259,2)="15",LEFT(TH!O4259,2)="15"),TK!$E$7=TH!F4259),"x","")</f>
        <v/>
      </c>
      <c r="AD4096" s="75" t="str">
        <f>IF(AND(N4096="1521",MONTH(C4096)='BK-NL'!$M$11),"x","")</f>
        <v/>
      </c>
      <c r="AE4096">
        <v>9</v>
      </c>
    </row>
    <row r="4097" spans="1:33" ht="16.5" customHeight="1">
      <c r="A4097" s="309" t="str">
        <f>IF(B4097&lt;&gt;"",IF(AND(B4097='IN-TC'!$S$4,OR(TH!N4093="1111",TH!O4093="1111")),TH!D4093,""),"")</f>
        <v/>
      </c>
      <c r="B4097" s="1242">
        <f t="shared" si="1312"/>
        <v>5</v>
      </c>
      <c r="C4097" s="292">
        <f t="shared" si="1313"/>
        <v>42870</v>
      </c>
      <c r="D4097" s="292" t="s">
        <v>1945</v>
      </c>
      <c r="E4097" s="292">
        <v>42870</v>
      </c>
      <c r="F4097" s="1010" t="s">
        <v>1895</v>
      </c>
      <c r="G4097" s="925"/>
      <c r="H4097" s="311"/>
      <c r="I4097" s="373"/>
      <c r="J4097" s="926"/>
      <c r="K4097" s="373"/>
      <c r="L4097" s="379"/>
      <c r="M4097" s="927">
        <v>60254</v>
      </c>
      <c r="N4097" s="295" t="s">
        <v>9</v>
      </c>
      <c r="O4097" s="295" t="s">
        <v>63</v>
      </c>
      <c r="P4097" s="75" t="str">
        <f>IF(AND('331-CT'!$E$7=TH!H4260,OR(N4097="331",O4097="331")),"x","")</f>
        <v/>
      </c>
      <c r="Q4097" s="75" t="str">
        <f>IF(AND(B4097='111'!$L$11,OR($N4097=$Q$7,$O4097=$Q$7)),"x","")</f>
        <v/>
      </c>
      <c r="R4097" s="75" t="str">
        <f>IF(AND($N4097=$Q$7,$B4097&lt;'111'!$L$11),"x","")</f>
        <v/>
      </c>
      <c r="S4097" s="75" t="str">
        <f>IF(AND($O4097=$Q$7,$B4097&lt;'111'!$L$11),"x","")</f>
        <v>x</v>
      </c>
      <c r="T4097" s="75" t="str">
        <f>IF(ISERROR(FIND('112'!$M$9,G4097,1)),"",IF((AND(FIND('112'!$M$9,G4097,1)&gt;=1,B4097='112'!$K$9,OR($N4097='112'!$I$6,$O4097='112'!$I$6))),"x",""))</f>
        <v/>
      </c>
      <c r="U4097" s="75" t="str">
        <f>IF(ISERROR(FIND('112'!$M$9,G4097,1)),"",IF((AND(LEFT(G4097,2)=LEFT('112'!$M$9,2),B4097&lt;'112'!$K$9,$N4097='112'!$I$6)),"x",""))</f>
        <v/>
      </c>
      <c r="V4097" s="75" t="str">
        <f>IF(ISERROR(FIND('112'!$M$9,G4097,1)),"",IF((AND(RIGHT(G4097,2)=RIGHT('112'!$M$9,2),B4097&lt;'112'!$K$9,$O4097='112'!$I$6)),"x",""))</f>
        <v/>
      </c>
      <c r="W4097" s="75" t="str">
        <f>IF(AND('341-CT'!$H$9=H4097,OR(LEFT(N4097,3)=$W$7,LEFT(O4097,3)=$W$7)),"x","")</f>
        <v/>
      </c>
      <c r="X4097" s="75" t="str">
        <f>IF(OR(TH!N4260=TH!$X$7,O4097=TH!$X$7),"x","")</f>
        <v/>
      </c>
      <c r="Y4097" s="75" t="str">
        <f>IF(AND(OR(N4097="131",O4097="131"),H4097='131-CT'!$H$9),"x","")</f>
        <v/>
      </c>
      <c r="Z4097" s="75"/>
      <c r="AA4097" s="75" t="str">
        <f>IF(AND(MONTH(E4097)='IN-NX'!$J$5,'IN-NX'!$D$7=D4097),"x","")</f>
        <v/>
      </c>
      <c r="AB4097" s="75" t="str">
        <f>IF(AND(OR(LEFT(TH!N4260,2)="15",LEFT(TH!O4260,2)="15"),LEFT(TH!O4260,3)&lt;&gt;"111",'152-CT'!$J$8=TH!F4260),"x","")</f>
        <v/>
      </c>
      <c r="AC4097" s="75" t="str">
        <f>IF(AND(OR(LEFT(TH!N4260,2)="15",LEFT(TH!O4260,2)="15"),TK!$E$7=TH!F4260),"x","")</f>
        <v/>
      </c>
      <c r="AD4097" s="75" t="str">
        <f>IF(AND(N4097="1521",MONTH(C4097)='BK-NL'!$M$11),"x","")</f>
        <v/>
      </c>
      <c r="AE4097">
        <v>9</v>
      </c>
    </row>
    <row r="4098" spans="1:33" ht="16.5" customHeight="1">
      <c r="A4098" s="309" t="str">
        <f>IF(B4098&lt;&gt;"",IF(AND(B4098='IN-TC'!$S$4,OR(TH!N4094="1111",TH!O4094="1111")),TH!D4094,""),"")</f>
        <v/>
      </c>
      <c r="B4098" s="1242">
        <f t="shared" si="1312"/>
        <v>5</v>
      </c>
      <c r="C4098" s="292">
        <f t="shared" si="1313"/>
        <v>42870</v>
      </c>
      <c r="D4098" s="292" t="s">
        <v>1948</v>
      </c>
      <c r="E4098" s="292">
        <v>42870</v>
      </c>
      <c r="F4098" s="1010" t="s">
        <v>1881</v>
      </c>
      <c r="G4098" s="925"/>
      <c r="H4098" s="311" t="s">
        <v>1891</v>
      </c>
      <c r="I4098" s="373"/>
      <c r="J4098" s="926"/>
      <c r="K4098" s="373"/>
      <c r="L4098" s="379"/>
      <c r="M4098" s="927">
        <v>1969695000</v>
      </c>
      <c r="N4098" s="295" t="s">
        <v>8</v>
      </c>
      <c r="O4098" s="295" t="s">
        <v>63</v>
      </c>
      <c r="P4098" s="75" t="str">
        <f>IF(AND('331-CT'!$E$7=TH!H4261,OR(N4098="331",O4098="331")),"x","")</f>
        <v/>
      </c>
      <c r="Q4098" s="75" t="str">
        <f>IF(AND(B4098='111'!$L$11,OR($N4098=$Q$7,$O4098=$Q$7)),"x","")</f>
        <v/>
      </c>
      <c r="R4098" s="75" t="str">
        <f>IF(AND($N4098=$Q$7,$B4098&lt;'111'!$L$11),"x","")</f>
        <v/>
      </c>
      <c r="S4098" s="75" t="str">
        <f>IF(AND($O4098=$Q$7,$B4098&lt;'111'!$L$11),"x","")</f>
        <v>x</v>
      </c>
      <c r="T4098" s="75" t="str">
        <f>IF(ISERROR(FIND('112'!$M$9,G4098,1)),"",IF((AND(FIND('112'!$M$9,G4098,1)&gt;=1,B4098='112'!$K$9,OR($N4098='112'!$I$6,$O4098='112'!$I$6))),"x",""))</f>
        <v/>
      </c>
      <c r="U4098" s="75" t="str">
        <f>IF(ISERROR(FIND('112'!$M$9,G4098,1)),"",IF((AND(LEFT(G4098,2)=LEFT('112'!$M$9,2),B4098&lt;'112'!$K$9,$N4098='112'!$I$6)),"x",""))</f>
        <v/>
      </c>
      <c r="V4098" s="75" t="str">
        <f>IF(ISERROR(FIND('112'!$M$9,G4098,1)),"",IF((AND(RIGHT(G4098,2)=RIGHT('112'!$M$9,2),B4098&lt;'112'!$K$9,$O4098='112'!$I$6)),"x",""))</f>
        <v/>
      </c>
      <c r="W4098" s="75" t="str">
        <f>IF(AND('341-CT'!$H$9=H4098,OR(LEFT(N4098,3)=$W$7,LEFT(O4098,3)=$W$7)),"x","")</f>
        <v/>
      </c>
      <c r="X4098" s="75" t="str">
        <f>IF(OR(TH!N4261=TH!$X$7,O4098=TH!$X$7),"x","")</f>
        <v/>
      </c>
      <c r="Y4098" s="75" t="str">
        <f>IF(AND(OR(N4098="131",O4098="131"),H4098='131-CT'!$H$9),"x","")</f>
        <v/>
      </c>
      <c r="Z4098" s="75"/>
      <c r="AA4098" s="75" t="str">
        <f>IF(AND(MONTH(E4098)='IN-NX'!$J$5,'IN-NX'!$D$7=D4098),"x","")</f>
        <v/>
      </c>
      <c r="AB4098" s="75" t="str">
        <f>IF(AND(OR(LEFT(TH!N4261,2)="15",LEFT(TH!O4261,2)="15"),LEFT(TH!O4261,3)&lt;&gt;"111",'152-CT'!$J$8=TH!F4261),"x","")</f>
        <v/>
      </c>
      <c r="AC4098" s="75" t="str">
        <f>IF(AND(OR(LEFT(TH!N4261,2)="15",LEFT(TH!O4261,2)="15"),TK!$E$7=TH!F4261),"x","")</f>
        <v/>
      </c>
      <c r="AD4098" s="75" t="str">
        <f>IF(AND(N4098="1521",MONTH(C4098)='BK-NL'!$M$11),"x","")</f>
        <v/>
      </c>
    </row>
    <row r="4099" spans="1:33" ht="16.5" customHeight="1">
      <c r="A4099" s="309" t="str">
        <f>IF(B4099&lt;&gt;"",IF(AND(B4099='IN-TC'!$S$4,OR(TH!N4095="1111",TH!O4095="1111")),TH!D4095,""),"")</f>
        <v/>
      </c>
      <c r="B4099" s="1242">
        <f t="shared" si="1312"/>
        <v>5</v>
      </c>
      <c r="C4099" s="292">
        <f t="shared" si="1313"/>
        <v>42870</v>
      </c>
      <c r="D4099" s="292" t="s">
        <v>1949</v>
      </c>
      <c r="E4099" s="292">
        <v>42870</v>
      </c>
      <c r="F4099" s="1010" t="s">
        <v>1883</v>
      </c>
      <c r="G4099" s="925"/>
      <c r="H4099" s="311"/>
      <c r="I4099" s="373"/>
      <c r="J4099" s="926"/>
      <c r="K4099" s="373"/>
      <c r="L4099" s="379"/>
      <c r="M4099" s="927">
        <v>984838</v>
      </c>
      <c r="N4099" s="295" t="s">
        <v>101</v>
      </c>
      <c r="O4099" s="295" t="s">
        <v>63</v>
      </c>
      <c r="P4099" s="75" t="str">
        <f>IF(AND('331-CT'!$E$7=TH!H4262,OR(N4099="331",O4099="331")),"x","")</f>
        <v/>
      </c>
      <c r="Q4099" s="75" t="str">
        <f>IF(AND(B4099='111'!$L$11,OR($N4099=$Q$7,$O4099=$Q$7)),"x","")</f>
        <v/>
      </c>
      <c r="R4099" s="75" t="str">
        <f>IF(AND($N4099=$Q$7,$B4099&lt;'111'!$L$11),"x","")</f>
        <v/>
      </c>
      <c r="S4099" s="75" t="str">
        <f>IF(AND($O4099=$Q$7,$B4099&lt;'111'!$L$11),"x","")</f>
        <v>x</v>
      </c>
      <c r="T4099" s="75" t="str">
        <f>IF(ISERROR(FIND('112'!$M$9,G4099,1)),"",IF((AND(FIND('112'!$M$9,G4099,1)&gt;=1,B4099='112'!$K$9,OR($N4099='112'!$I$6,$O4099='112'!$I$6))),"x",""))</f>
        <v/>
      </c>
      <c r="U4099" s="75" t="str">
        <f>IF(ISERROR(FIND('112'!$M$9,G4099,1)),"",IF((AND(LEFT(G4099,2)=LEFT('112'!$M$9,2),B4099&lt;'112'!$K$9,$N4099='112'!$I$6)),"x",""))</f>
        <v/>
      </c>
      <c r="V4099" s="75" t="str">
        <f>IF(ISERROR(FIND('112'!$M$9,G4099,1)),"",IF((AND(RIGHT(G4099,2)=RIGHT('112'!$M$9,2),B4099&lt;'112'!$K$9,$O4099='112'!$I$6)),"x",""))</f>
        <v/>
      </c>
      <c r="W4099" s="75" t="str">
        <f>IF(AND('341-CT'!$H$9=H4099,OR(LEFT(N4099,3)=$W$7,LEFT(O4099,3)=$W$7)),"x","")</f>
        <v/>
      </c>
      <c r="X4099" s="75" t="str">
        <f>IF(OR(TH!N4262=TH!$X$7,O4099=TH!$X$7),"x","")</f>
        <v/>
      </c>
      <c r="Y4099" s="75" t="str">
        <f>IF(AND(OR(N4099="131",O4099="131"),H4099='131-CT'!$H$9),"x","")</f>
        <v/>
      </c>
      <c r="Z4099" s="75"/>
      <c r="AA4099" s="75" t="str">
        <f>IF(AND(MONTH(E4099)='IN-NX'!$J$5,'IN-NX'!$D$7=D4099),"x","")</f>
        <v/>
      </c>
      <c r="AB4099" s="75" t="str">
        <f>IF(AND(OR(LEFT(TH!N4262,2)="15",LEFT(TH!O4262,2)="15"),LEFT(TH!O4262,3)&lt;&gt;"111",'152-CT'!$J$8=TH!F4262),"x","")</f>
        <v/>
      </c>
      <c r="AC4099" s="75" t="str">
        <f>IF(AND(OR(LEFT(TH!N4262,2)="15",LEFT(TH!O4262,2)="15"),TK!$E$7=TH!F4262),"x","")</f>
        <v/>
      </c>
      <c r="AD4099" s="75" t="str">
        <f>IF(AND(N4099="1521",MONTH(C4099)='BK-NL'!$M$11),"x","")</f>
        <v/>
      </c>
      <c r="AE4099">
        <v>9</v>
      </c>
    </row>
    <row r="4100" spans="1:33" ht="16.5" customHeight="1">
      <c r="A4100" s="309" t="str">
        <f>IF(B4100&lt;&gt;"",IF(AND(B4100='IN-TC'!$S$4,OR(TH!N4096="1111",TH!O4096="1111")),TH!D4096,""),"")</f>
        <v/>
      </c>
      <c r="B4100" s="1242">
        <f t="shared" si="1312"/>
        <v>5</v>
      </c>
      <c r="C4100" s="292">
        <f t="shared" si="1313"/>
        <v>42870</v>
      </c>
      <c r="D4100" s="292" t="s">
        <v>1949</v>
      </c>
      <c r="E4100" s="292">
        <v>42870</v>
      </c>
      <c r="F4100" s="1010" t="s">
        <v>1895</v>
      </c>
      <c r="G4100" s="925"/>
      <c r="H4100" s="311"/>
      <c r="I4100" s="373"/>
      <c r="J4100" s="926"/>
      <c r="K4100" s="373"/>
      <c r="L4100" s="379"/>
      <c r="M4100" s="927">
        <v>98484</v>
      </c>
      <c r="N4100" s="295" t="s">
        <v>9</v>
      </c>
      <c r="O4100" s="295" t="s">
        <v>63</v>
      </c>
      <c r="P4100" s="75" t="str">
        <f>IF(AND('331-CT'!$E$7=TH!H4263,OR(N4100="331",O4100="331")),"x","")</f>
        <v/>
      </c>
      <c r="Q4100" s="75" t="str">
        <f>IF(AND(B4100='111'!$L$11,OR($N4100=$Q$7,$O4100=$Q$7)),"x","")</f>
        <v/>
      </c>
      <c r="R4100" s="75" t="str">
        <f>IF(AND($N4100=$Q$7,$B4100&lt;'111'!$L$11),"x","")</f>
        <v/>
      </c>
      <c r="S4100" s="75" t="str">
        <f>IF(AND($O4100=$Q$7,$B4100&lt;'111'!$L$11),"x","")</f>
        <v>x</v>
      </c>
      <c r="T4100" s="75" t="str">
        <f>IF(ISERROR(FIND('112'!$M$9,G4100,1)),"",IF((AND(FIND('112'!$M$9,G4100,1)&gt;=1,B4100='112'!$K$9,OR($N4100='112'!$I$6,$O4100='112'!$I$6))),"x",""))</f>
        <v/>
      </c>
      <c r="U4100" s="75" t="str">
        <f>IF(ISERROR(FIND('112'!$M$9,G4100,1)),"",IF((AND(LEFT(G4100,2)=LEFT('112'!$M$9,2),B4100&lt;'112'!$K$9,$N4100='112'!$I$6)),"x",""))</f>
        <v/>
      </c>
      <c r="V4100" s="75" t="str">
        <f>IF(ISERROR(FIND('112'!$M$9,G4100,1)),"",IF((AND(RIGHT(G4100,2)=RIGHT('112'!$M$9,2),B4100&lt;'112'!$K$9,$O4100='112'!$I$6)),"x",""))</f>
        <v/>
      </c>
      <c r="W4100" s="75" t="str">
        <f>IF(AND('341-CT'!$H$9=H4100,OR(LEFT(N4100,3)=$W$7,LEFT(O4100,3)=$W$7)),"x","")</f>
        <v/>
      </c>
      <c r="X4100" s="75" t="str">
        <f>IF(OR(TH!N4263=TH!$X$7,O4100=TH!$X$7),"x","")</f>
        <v/>
      </c>
      <c r="Y4100" s="75" t="str">
        <f>IF(AND(OR(N4100="131",O4100="131"),H4100='131-CT'!$H$9),"x","")</f>
        <v/>
      </c>
      <c r="Z4100" s="75"/>
      <c r="AA4100" s="75" t="str">
        <f>IF(AND(MONTH(E4100)='IN-NX'!$J$5,'IN-NX'!$D$7=D4100),"x","")</f>
        <v/>
      </c>
      <c r="AB4100" s="75" t="str">
        <f>IF(AND(OR(LEFT(TH!N4263,2)="15",LEFT(TH!O4263,2)="15"),LEFT(TH!O4263,3)&lt;&gt;"111",'152-CT'!$J$8=TH!F4263),"x","")</f>
        <v/>
      </c>
      <c r="AC4100" s="75" t="str">
        <f>IF(AND(OR(LEFT(TH!N4263,2)="15",LEFT(TH!O4263,2)="15"),TK!$E$7=TH!F4263),"x","")</f>
        <v/>
      </c>
      <c r="AD4100" s="75" t="str">
        <f>IF(AND(N4100="1521",MONTH(C4100)='BK-NL'!$M$11),"x","")</f>
        <v/>
      </c>
      <c r="AE4100">
        <v>9</v>
      </c>
    </row>
    <row r="4101" spans="1:33" ht="16.5" customHeight="1">
      <c r="A4101" s="309" t="str">
        <f>IF(B4101&lt;&gt;"",IF(AND(B4101='IN-TC'!$S$4,OR(TH!N4097="1111",TH!O4097="1111")),TH!D4097,""),"")</f>
        <v/>
      </c>
      <c r="B4101" s="1242">
        <f t="shared" si="1312"/>
        <v>5</v>
      </c>
      <c r="C4101" s="292">
        <f t="shared" si="1313"/>
        <v>42870</v>
      </c>
      <c r="D4101" s="292" t="s">
        <v>1946</v>
      </c>
      <c r="E4101" s="292">
        <v>42870</v>
      </c>
      <c r="F4101" s="1010" t="s">
        <v>1881</v>
      </c>
      <c r="G4101" s="925"/>
      <c r="H4101" s="311" t="s">
        <v>1884</v>
      </c>
      <c r="I4101" s="373"/>
      <c r="J4101" s="926"/>
      <c r="K4101" s="373"/>
      <c r="L4101" s="379"/>
      <c r="M4101" s="927">
        <v>1372280000</v>
      </c>
      <c r="N4101" s="295" t="s">
        <v>8</v>
      </c>
      <c r="O4101" s="295" t="s">
        <v>63</v>
      </c>
      <c r="P4101" s="75" t="str">
        <f>IF(AND('331-CT'!$E$7=TH!H4321,OR(N4101="331",O4101="331")),"x","")</f>
        <v/>
      </c>
      <c r="Q4101" s="75" t="str">
        <f>IF(AND(B4101='111'!$L$11,OR($N4101=$Q$7,$O4101=$Q$7)),"x","")</f>
        <v/>
      </c>
      <c r="R4101" s="75" t="str">
        <f>IF(AND($N4101=$Q$7,$B4101&lt;'111'!$L$11),"x","")</f>
        <v/>
      </c>
      <c r="S4101" s="75" t="str">
        <f>IF(AND($O4101=$Q$7,$B4101&lt;'111'!$L$11),"x","")</f>
        <v>x</v>
      </c>
      <c r="T4101" s="75" t="str">
        <f>IF(ISERROR(FIND('112'!$M$9,G4101,1)),"",IF((AND(FIND('112'!$M$9,G4101,1)&gt;=1,B4101='112'!$K$9,OR($N4101='112'!$I$6,$O4101='112'!$I$6))),"x",""))</f>
        <v/>
      </c>
      <c r="U4101" s="75" t="str">
        <f>IF(ISERROR(FIND('112'!$M$9,G4101,1)),"",IF((AND(LEFT(G4101,2)=LEFT('112'!$M$9,2),B4101&lt;'112'!$K$9,$N4101='112'!$I$6)),"x",""))</f>
        <v/>
      </c>
      <c r="V4101" s="75" t="str">
        <f>IF(ISERROR(FIND('112'!$M$9,G4101,1)),"",IF((AND(RIGHT(G4101,2)=RIGHT('112'!$M$9,2),B4101&lt;'112'!$K$9,$O4101='112'!$I$6)),"x",""))</f>
        <v/>
      </c>
      <c r="W4101" s="75" t="str">
        <f>IF(AND('341-CT'!$H$9=H4101,OR(LEFT(N4101,3)=$W$7,LEFT(O4101,3)=$W$7)),"x","")</f>
        <v/>
      </c>
      <c r="X4101" s="75" t="str">
        <f>IF(OR(TH!N4321=TH!$X$7,O4101=TH!$X$7),"x","")</f>
        <v/>
      </c>
      <c r="Y4101" s="75" t="str">
        <f>IF(AND(OR(N4101="131",O4101="131"),H4101='131-CT'!$H$9),"x","")</f>
        <v/>
      </c>
      <c r="Z4101" s="75"/>
      <c r="AA4101" s="75" t="str">
        <f>IF(AND(MONTH(E4101)='IN-NX'!$J$5,'IN-NX'!$D$7=D4101),"x","")</f>
        <v/>
      </c>
      <c r="AB4101" s="75" t="str">
        <f>IF(AND(OR(LEFT(TH!N4321,2)="15",LEFT(TH!O4321,2)="15"),LEFT(TH!O4321,3)&lt;&gt;"111",'152-CT'!$J$8=TH!F4321),"x","")</f>
        <v/>
      </c>
      <c r="AC4101" s="75" t="str">
        <f>IF(AND(OR(LEFT(TH!N4321,2)="15",LEFT(TH!O4321,2)="15"),TK!$E$7=TH!F4321),"x","")</f>
        <v/>
      </c>
      <c r="AD4101" s="75" t="str">
        <f>IF(AND(N4101="1521",MONTH(C4101)='BK-NL'!$M$11),"x","")</f>
        <v/>
      </c>
    </row>
    <row r="4102" spans="1:33" ht="16.5" customHeight="1">
      <c r="A4102" s="309" t="str">
        <f>IF(B4102&lt;&gt;"",IF(AND(B4102='IN-TC'!$S$4,OR(TH!N4098="1111",TH!O4098="1111")),TH!D4098,""),"")</f>
        <v/>
      </c>
      <c r="B4102" s="1242">
        <f t="shared" si="1312"/>
        <v>5</v>
      </c>
      <c r="C4102" s="292">
        <f t="shared" si="1313"/>
        <v>42870</v>
      </c>
      <c r="D4102" s="292" t="s">
        <v>1947</v>
      </c>
      <c r="E4102" s="292">
        <v>42870</v>
      </c>
      <c r="F4102" s="1010" t="s">
        <v>1883</v>
      </c>
      <c r="G4102" s="925"/>
      <c r="H4102" s="311"/>
      <c r="I4102" s="373"/>
      <c r="J4102" s="926"/>
      <c r="K4102" s="373"/>
      <c r="L4102" s="379"/>
      <c r="M4102" s="927">
        <v>686140</v>
      </c>
      <c r="N4102" s="295" t="s">
        <v>101</v>
      </c>
      <c r="O4102" s="295" t="s">
        <v>63</v>
      </c>
      <c r="P4102" s="75" t="str">
        <f>IF(AND('331-CT'!$E$7=TH!H4322,OR(N4102="331",O4102="331")),"x","")</f>
        <v/>
      </c>
      <c r="Q4102" s="75" t="str">
        <f>IF(AND(B4102='111'!$L$11,OR($N4102=$Q$7,$O4102=$Q$7)),"x","")</f>
        <v/>
      </c>
      <c r="R4102" s="75" t="str">
        <f>IF(AND($N4102=$Q$7,$B4102&lt;'111'!$L$11),"x","")</f>
        <v/>
      </c>
      <c r="S4102" s="75" t="str">
        <f>IF(AND($O4102=$Q$7,$B4102&lt;'111'!$L$11),"x","")</f>
        <v>x</v>
      </c>
      <c r="T4102" s="75" t="str">
        <f>IF(ISERROR(FIND('112'!$M$9,G4102,1)),"",IF((AND(FIND('112'!$M$9,G4102,1)&gt;=1,B4102='112'!$K$9,OR($N4102='112'!$I$6,$O4102='112'!$I$6))),"x",""))</f>
        <v/>
      </c>
      <c r="U4102" s="75" t="str">
        <f>IF(ISERROR(FIND('112'!$M$9,G4102,1)),"",IF((AND(LEFT(G4102,2)=LEFT('112'!$M$9,2),B4102&lt;'112'!$K$9,$N4102='112'!$I$6)),"x",""))</f>
        <v/>
      </c>
      <c r="V4102" s="75" t="str">
        <f>IF(ISERROR(FIND('112'!$M$9,G4102,1)),"",IF((AND(RIGHT(G4102,2)=RIGHT('112'!$M$9,2),B4102&lt;'112'!$K$9,$O4102='112'!$I$6)),"x",""))</f>
        <v/>
      </c>
      <c r="W4102" s="75" t="str">
        <f>IF(AND('341-CT'!$H$9=H4102,OR(LEFT(N4102,3)=$W$7,LEFT(O4102,3)=$W$7)),"x","")</f>
        <v/>
      </c>
      <c r="X4102" s="75" t="str">
        <f>IF(OR(TH!N4322=TH!$X$7,O4102=TH!$X$7),"x","")</f>
        <v/>
      </c>
      <c r="Y4102" s="75" t="str">
        <f>IF(AND(OR(N4102="131",O4102="131"),H4102='131-CT'!$H$9),"x","")</f>
        <v/>
      </c>
      <c r="Z4102" s="75"/>
      <c r="AA4102" s="75" t="str">
        <f>IF(AND(MONTH(E4102)='IN-NX'!$J$5,'IN-NX'!$D$7=D4102),"x","")</f>
        <v/>
      </c>
      <c r="AB4102" s="75" t="str">
        <f>IF(AND(OR(LEFT(TH!N4322,2)="15",LEFT(TH!O4322,2)="15"),LEFT(TH!O4322,3)&lt;&gt;"111",'152-CT'!$J$8=TH!F4322),"x","")</f>
        <v/>
      </c>
      <c r="AC4102" s="75" t="str">
        <f>IF(AND(OR(LEFT(TH!N4322,2)="15",LEFT(TH!O4322,2)="15"),TK!$E$7=TH!F4322),"x","")</f>
        <v/>
      </c>
      <c r="AD4102" s="75" t="str">
        <f>IF(AND(N4102="1521",MONTH(C4102)='BK-NL'!$M$11),"x","")</f>
        <v/>
      </c>
      <c r="AE4102">
        <v>9</v>
      </c>
    </row>
    <row r="4103" spans="1:33" ht="16.5" customHeight="1">
      <c r="A4103" s="309" t="str">
        <f>IF(B4103&lt;&gt;"",IF(AND(B4103='IN-TC'!$S$4,OR(TH!N4099="1111",TH!O4099="1111")),TH!D4099,""),"")</f>
        <v/>
      </c>
      <c r="B4103" s="1242">
        <f t="shared" si="1312"/>
        <v>5</v>
      </c>
      <c r="C4103" s="292">
        <f t="shared" si="1313"/>
        <v>42870</v>
      </c>
      <c r="D4103" s="292" t="s">
        <v>1947</v>
      </c>
      <c r="E4103" s="292">
        <v>42870</v>
      </c>
      <c r="F4103" s="1010" t="s">
        <v>1895</v>
      </c>
      <c r="G4103" s="925"/>
      <c r="H4103" s="311"/>
      <c r="I4103" s="373"/>
      <c r="J4103" s="926"/>
      <c r="K4103" s="373"/>
      <c r="L4103" s="379"/>
      <c r="M4103" s="927">
        <v>68614</v>
      </c>
      <c r="N4103" s="295" t="s">
        <v>9</v>
      </c>
      <c r="O4103" s="295" t="s">
        <v>63</v>
      </c>
      <c r="P4103" s="75" t="str">
        <f>IF(AND('331-CT'!$E$7=TH!H4323,OR(N4103="331",O4103="331")),"x","")</f>
        <v/>
      </c>
      <c r="Q4103" s="75" t="str">
        <f>IF(AND(B4103='111'!$L$11,OR($N4103=$Q$7,$O4103=$Q$7)),"x","")</f>
        <v/>
      </c>
      <c r="R4103" s="75" t="str">
        <f>IF(AND($N4103=$Q$7,$B4103&lt;'111'!$L$11),"x","")</f>
        <v/>
      </c>
      <c r="S4103" s="75" t="str">
        <f>IF(AND($O4103=$Q$7,$B4103&lt;'111'!$L$11),"x","")</f>
        <v>x</v>
      </c>
      <c r="T4103" s="75" t="str">
        <f>IF(ISERROR(FIND('112'!$M$9,G4103,1)),"",IF((AND(FIND('112'!$M$9,G4103,1)&gt;=1,B4103='112'!$K$9,OR($N4103='112'!$I$6,$O4103='112'!$I$6))),"x",""))</f>
        <v/>
      </c>
      <c r="U4103" s="75" t="str">
        <f>IF(ISERROR(FIND('112'!$M$9,G4103,1)),"",IF((AND(LEFT(G4103,2)=LEFT('112'!$M$9,2),B4103&lt;'112'!$K$9,$N4103='112'!$I$6)),"x",""))</f>
        <v/>
      </c>
      <c r="V4103" s="75" t="str">
        <f>IF(ISERROR(FIND('112'!$M$9,G4103,1)),"",IF((AND(RIGHT(G4103,2)=RIGHT('112'!$M$9,2),B4103&lt;'112'!$K$9,$O4103='112'!$I$6)),"x",""))</f>
        <v/>
      </c>
      <c r="W4103" s="75" t="str">
        <f>IF(AND('341-CT'!$H$9=H4103,OR(LEFT(N4103,3)=$W$7,LEFT(O4103,3)=$W$7)),"x","")</f>
        <v/>
      </c>
      <c r="X4103" s="75" t="str">
        <f>IF(OR(TH!N4323=TH!$X$7,O4103=TH!$X$7),"x","")</f>
        <v/>
      </c>
      <c r="Y4103" s="75" t="str">
        <f>IF(AND(OR(N4103="131",O4103="131"),H4103='131-CT'!$H$9),"x","")</f>
        <v/>
      </c>
      <c r="Z4103" s="75"/>
      <c r="AA4103" s="75" t="str">
        <f>IF(AND(MONTH(E4103)='IN-NX'!$J$5,'IN-NX'!$D$7=D4103),"x","")</f>
        <v/>
      </c>
      <c r="AB4103" s="75" t="str">
        <f>IF(AND(OR(LEFT(TH!N4323,2)="15",LEFT(TH!O4323,2)="15"),LEFT(TH!O4323,3)&lt;&gt;"111",'152-CT'!$J$8=TH!F4323),"x","")</f>
        <v/>
      </c>
      <c r="AC4103" s="75" t="str">
        <f>IF(AND(OR(LEFT(TH!N4323,2)="15",LEFT(TH!O4323,2)="15"),TK!$E$7=TH!F4323),"x","")</f>
        <v/>
      </c>
      <c r="AD4103" s="75" t="str">
        <f>IF(AND(N4103="1521",MONTH(C4103)='BK-NL'!$M$11),"x","")</f>
        <v/>
      </c>
      <c r="AE4103">
        <v>9</v>
      </c>
    </row>
    <row r="4104" spans="1:33" ht="16.5" customHeight="1">
      <c r="A4104" s="309" t="str">
        <f>IF(B4104&lt;&gt;"",IF(AND(B4104='IN-TC'!$S$4,OR(TH!N4100="1111",TH!O4100="1111")),TH!D4100,""),"")</f>
        <v/>
      </c>
      <c r="B4104" s="1277">
        <f t="shared" si="1312"/>
        <v>5</v>
      </c>
      <c r="C4104" s="292">
        <f t="shared" si="1313"/>
        <v>42870</v>
      </c>
      <c r="D4104" s="929"/>
      <c r="E4104" s="292">
        <v>42870</v>
      </c>
      <c r="F4104" s="1335" t="s">
        <v>1881</v>
      </c>
      <c r="G4104" s="931"/>
      <c r="H4104" s="73" t="s">
        <v>1888</v>
      </c>
      <c r="I4104" s="371"/>
      <c r="J4104" s="932"/>
      <c r="K4104" s="371"/>
      <c r="L4104" s="377"/>
      <c r="M4104" s="933">
        <v>380736500</v>
      </c>
      <c r="N4104" s="934" t="s">
        <v>8</v>
      </c>
      <c r="O4104" s="934" t="s">
        <v>63</v>
      </c>
      <c r="P4104" s="75" t="str">
        <f>IF(AND('331-CT'!$E$7=TH!H4374,OR(N4104="331",O4104="331")),"x","")</f>
        <v/>
      </c>
      <c r="Q4104" s="75" t="str">
        <f>IF(AND(B4104='111'!$L$11,OR($N4104=$Q$7,$O4104=$Q$7)),"x","")</f>
        <v/>
      </c>
      <c r="R4104" s="75" t="str">
        <f>IF(AND($N4104=$Q$7,$B4104&lt;'111'!$L$11),"x","")</f>
        <v/>
      </c>
      <c r="S4104" s="75" t="str">
        <f>IF(AND($O4104=$Q$7,$B4104&lt;'111'!$L$11),"x","")</f>
        <v>x</v>
      </c>
      <c r="T4104" s="75" t="str">
        <f>IF(ISERROR(FIND('112'!$M$9,G4104,1)),"",IF((AND(FIND('112'!$M$9,G4104,1)&gt;=1,B4104='112'!$K$9,OR($N4104='112'!$I$6,$O4104='112'!$I$6))),"x",""))</f>
        <v/>
      </c>
      <c r="U4104" s="75" t="str">
        <f>IF(ISERROR(FIND('112'!$M$9,G4104,1)),"",IF((AND(LEFT(G4104,2)=LEFT('112'!$M$9,2),B4104&lt;'112'!$K$9,$N4104='112'!$I$6)),"x",""))</f>
        <v/>
      </c>
      <c r="V4104" s="75" t="str">
        <f>IF(ISERROR(FIND('112'!$M$9,G4104,1)),"",IF((AND(RIGHT(G4104,2)=RIGHT('112'!$M$9,2),B4104&lt;'112'!$K$9,$O4104='112'!$I$6)),"x",""))</f>
        <v/>
      </c>
      <c r="W4104" s="75" t="str">
        <f>IF(AND('341-CT'!$H$9=H4104,OR(LEFT(N4104,3)=$W$7,LEFT(O4104,3)=$W$7)),"x","")</f>
        <v/>
      </c>
      <c r="X4104" s="75" t="str">
        <f>IF(OR(TH!N4374=TH!$X$7,O4104=TH!$X$7),"x","")</f>
        <v/>
      </c>
      <c r="Y4104" s="75" t="str">
        <f>IF(AND(OR(N4104="131",O4104="131"),H4104='131-CT'!$H$9),"x","")</f>
        <v/>
      </c>
      <c r="Z4104" s="75"/>
      <c r="AA4104" s="75" t="str">
        <f>IF(AND(MONTH(E4104)='IN-NX'!$J$5,'IN-NX'!$D$7=D4104),"x","")</f>
        <v/>
      </c>
      <c r="AB4104" s="75" t="str">
        <f>IF(AND(OR(LEFT(TH!N4374,2)="15",LEFT(TH!O4374,2)="15"),LEFT(TH!O4374,3)&lt;&gt;"111",'152-CT'!$J$8=TH!F4374),"x","")</f>
        <v/>
      </c>
      <c r="AC4104" s="75" t="str">
        <f>IF(AND(OR(LEFT(TH!N4374,2)="15",LEFT(TH!O4374,2)="15"),TK!$E$7=TH!F4374),"x","")</f>
        <v/>
      </c>
      <c r="AD4104" s="75" t="str">
        <f>IF(AND(N4104="1521",MONTH(C4104)='BK-NL'!$M$11),"x","")</f>
        <v/>
      </c>
      <c r="AE4104" s="1264"/>
      <c r="AF4104" s="1264"/>
      <c r="AG4104" s="1264"/>
    </row>
    <row r="4105" spans="1:33" ht="16.5" customHeight="1">
      <c r="A4105" s="309" t="str">
        <f>IF(B4105&lt;&gt;"",IF(AND(B4105='IN-TC'!$S$4,OR(TH!N4101="1111",TH!O4101="1111")),TH!D4101,""),"")</f>
        <v/>
      </c>
      <c r="B4105" s="1277">
        <f t="shared" si="1312"/>
        <v>5</v>
      </c>
      <c r="C4105" s="292">
        <f t="shared" si="1313"/>
        <v>42870</v>
      </c>
      <c r="D4105" s="929"/>
      <c r="E4105" s="929">
        <v>42870</v>
      </c>
      <c r="F4105" s="1335" t="s">
        <v>1881</v>
      </c>
      <c r="G4105" s="931"/>
      <c r="H4105" s="73" t="s">
        <v>1887</v>
      </c>
      <c r="I4105" s="371"/>
      <c r="J4105" s="932"/>
      <c r="K4105" s="371"/>
      <c r="L4105" s="377"/>
      <c r="M4105" s="933">
        <v>55510500</v>
      </c>
      <c r="N4105" s="934" t="s">
        <v>8</v>
      </c>
      <c r="O4105" s="934" t="s">
        <v>63</v>
      </c>
      <c r="P4105" s="75" t="str">
        <f>IF(AND('331-CT'!$E$7=TH!H4375,OR(N4105="331",O4105="331")),"x","")</f>
        <v/>
      </c>
      <c r="Q4105" s="75" t="str">
        <f>IF(AND(B4105='111'!$L$11,OR($N4105=$Q$7,$O4105=$Q$7)),"x","")</f>
        <v/>
      </c>
      <c r="R4105" s="75" t="str">
        <f>IF(AND($N4105=$Q$7,$B4105&lt;'111'!$L$11),"x","")</f>
        <v/>
      </c>
      <c r="S4105" s="75" t="str">
        <f>IF(AND($O4105=$Q$7,$B4105&lt;'111'!$L$11),"x","")</f>
        <v>x</v>
      </c>
      <c r="T4105" s="75" t="str">
        <f>IF(ISERROR(FIND('112'!$M$9,G4105,1)),"",IF((AND(FIND('112'!$M$9,G4105,1)&gt;=1,B4105='112'!$K$9,OR($N4105='112'!$I$6,$O4105='112'!$I$6))),"x",""))</f>
        <v/>
      </c>
      <c r="U4105" s="75" t="str">
        <f>IF(ISERROR(FIND('112'!$M$9,G4105,1)),"",IF((AND(LEFT(G4105,2)=LEFT('112'!$M$9,2),B4105&lt;'112'!$K$9,$N4105='112'!$I$6)),"x",""))</f>
        <v/>
      </c>
      <c r="V4105" s="75" t="str">
        <f>IF(ISERROR(FIND('112'!$M$9,G4105,1)),"",IF((AND(RIGHT(G4105,2)=RIGHT('112'!$M$9,2),B4105&lt;'112'!$K$9,$O4105='112'!$I$6)),"x",""))</f>
        <v/>
      </c>
      <c r="W4105" s="75" t="str">
        <f>IF(AND('341-CT'!$H$9=H4105,OR(LEFT(N4105,3)=$W$7,LEFT(O4105,3)=$W$7)),"x","")</f>
        <v/>
      </c>
      <c r="X4105" s="75" t="str">
        <f>IF(OR(TH!N4375=TH!$X$7,O4105=TH!$X$7),"x","")</f>
        <v/>
      </c>
      <c r="Y4105" s="75" t="str">
        <f>IF(AND(OR(N4105="131",O4105="131"),H4105='131-CT'!$H$9),"x","")</f>
        <v/>
      </c>
      <c r="Z4105" s="75"/>
      <c r="AA4105" s="75" t="str">
        <f>IF(AND(MONTH(E4105)='IN-NX'!$J$5,'IN-NX'!$D$7=D4105),"x","")</f>
        <v/>
      </c>
      <c r="AB4105" s="75" t="str">
        <f>IF(AND(OR(LEFT(TH!N4375,2)="15",LEFT(TH!O4375,2)="15"),LEFT(TH!O4375,3)&lt;&gt;"111",'152-CT'!$J$8=TH!F4375),"x","")</f>
        <v/>
      </c>
      <c r="AC4105" s="75" t="str">
        <f>IF(AND(OR(LEFT(TH!N4375,2)="15",LEFT(TH!O4375,2)="15"),TK!$E$7=TH!F4375),"x","")</f>
        <v/>
      </c>
      <c r="AD4105" s="75" t="str">
        <f>IF(AND(N4105="1521",MONTH(C4105)='BK-NL'!$M$11),"x","")</f>
        <v/>
      </c>
      <c r="AE4105" s="1264"/>
      <c r="AF4105" s="1264"/>
      <c r="AG4105" s="1264"/>
    </row>
    <row r="4106" spans="1:33" ht="16.5" customHeight="1">
      <c r="A4106" s="309" t="str">
        <f>IF(B4106&lt;&gt;"",IF(AND(B4106='IN-TC'!$S$4,OR(TH!N4102="1111",TH!O4102="1111")),TH!D4102,""),"")</f>
        <v/>
      </c>
      <c r="B4106" s="1242">
        <f t="shared" si="1312"/>
        <v>5</v>
      </c>
      <c r="C4106" s="292">
        <f t="shared" si="1313"/>
        <v>42870</v>
      </c>
      <c r="D4106" s="292" t="s">
        <v>902</v>
      </c>
      <c r="E4106" s="59">
        <v>42870</v>
      </c>
      <c r="F4106" s="67" t="s">
        <v>897</v>
      </c>
      <c r="G4106" s="62" t="s">
        <v>585</v>
      </c>
      <c r="H4106" s="67" t="s">
        <v>623</v>
      </c>
      <c r="I4106" s="373"/>
      <c r="J4106" s="379"/>
      <c r="K4106" s="373"/>
      <c r="L4106" s="379"/>
      <c r="M4106" s="60">
        <v>9980000000</v>
      </c>
      <c r="N4106" s="61" t="s">
        <v>8</v>
      </c>
      <c r="O4106" s="61" t="s">
        <v>26</v>
      </c>
      <c r="P4106" s="75" t="str">
        <f>IF(AND('331-CT'!$E$7=TH!H4727,OR(N4106="331",O4106="331")),"x","")</f>
        <v/>
      </c>
      <c r="Q4106" s="75" t="str">
        <f>IF(AND(B4106='111'!$L$11,OR($N4106=$Q$7,$O4106=$Q$7)),"x","")</f>
        <v/>
      </c>
      <c r="R4106" s="75" t="str">
        <f>IF(AND($N4106=$Q$7,$B4106&lt;'111'!$L$11),"x","")</f>
        <v/>
      </c>
      <c r="S4106" s="75" t="str">
        <f>IF(AND($O4106=$Q$7,$B4106&lt;'111'!$L$11),"x","")</f>
        <v/>
      </c>
      <c r="T4106" s="75" t="str">
        <f>IF(ISERROR(FIND('112'!$M$9,G4106,1)),"",IF((AND(FIND('112'!$M$9,G4106,1)&gt;=1,B4106='112'!$K$9,OR($N4106='112'!$I$6,$O4106='112'!$I$6))),"x",""))</f>
        <v/>
      </c>
      <c r="U4106" s="75" t="str">
        <f>IF(ISERROR(FIND('112'!$M$9,G4106,1)),"",IF((AND(LEFT(G4106,2)=LEFT('112'!$M$9,2),B4106&lt;'112'!$K$9,$N4106='112'!$I$6)),"x",""))</f>
        <v/>
      </c>
      <c r="V4106" s="75" t="str">
        <f>IF(ISERROR(FIND('112'!$M$9,G4106,1)),"",IF((AND(RIGHT(G4106,2)=RIGHT('112'!$M$9,2),B4106&lt;'112'!$K$9,$O4106='112'!$I$6)),"x",""))</f>
        <v/>
      </c>
      <c r="W4106" s="75" t="str">
        <f>IF(AND('341-CT'!$H$9=H4106,OR(LEFT(N4106,3)=$W$7,LEFT(O4106,3)=$W$7)),"x","")</f>
        <v/>
      </c>
      <c r="X4106" s="75" t="str">
        <f>IF(OR(TH!N4727=TH!$X$7,O4106=TH!$X$7),"x","")</f>
        <v/>
      </c>
      <c r="Y4106" s="75" t="str">
        <f>IF(AND(OR(N4106="131",O4106="131"),H4106='131-CT'!$H$9),"x","")</f>
        <v/>
      </c>
      <c r="Z4106" s="75"/>
      <c r="AA4106" s="75" t="str">
        <f>IF(AND(MONTH(E4106)='IN-NX'!$J$5,'IN-NX'!$D$7=D4106),"x","")</f>
        <v/>
      </c>
      <c r="AB4106" s="75" t="str">
        <f>IF(AND(OR(LEFT(TH!N4727,2)="15",LEFT(TH!O4727,2)="15"),LEFT(TH!O4727,3)&lt;&gt;"111",'152-CT'!$J$8=TH!F4727),"x","")</f>
        <v/>
      </c>
      <c r="AC4106" s="75" t="str">
        <f>IF(AND(OR(LEFT(TH!N4727,2)="15",LEFT(TH!O4727,2)="15"),TK!$E$7=TH!F4727),"x","")</f>
        <v/>
      </c>
      <c r="AD4106" s="75" t="str">
        <f>IF(AND(N4106="1521",MONTH(C4106)='BK-NL'!$M$11),"x","")</f>
        <v/>
      </c>
    </row>
    <row r="4107" spans="1:33" ht="16.5" customHeight="1">
      <c r="A4107" s="309" t="str">
        <f>IF(B4107&lt;&gt;"",IF(AND(B4107='IN-TC'!$S$4,OR(TH!N4103="1111",TH!O4103="1111")),TH!D4103,""),"")</f>
        <v/>
      </c>
      <c r="B4107" s="1242">
        <f t="shared" si="1312"/>
        <v>5</v>
      </c>
      <c r="C4107" s="292">
        <f t="shared" si="1313"/>
        <v>42870</v>
      </c>
      <c r="D4107" s="292" t="s">
        <v>902</v>
      </c>
      <c r="E4107" s="292">
        <v>42870</v>
      </c>
      <c r="F4107" s="1127" t="s">
        <v>1549</v>
      </c>
      <c r="G4107" s="293" t="s">
        <v>747</v>
      </c>
      <c r="H4107" s="294" t="s">
        <v>835</v>
      </c>
      <c r="I4107" s="373"/>
      <c r="J4107" s="379"/>
      <c r="K4107" s="373"/>
      <c r="L4107" s="379"/>
      <c r="M4107" s="60">
        <v>227200</v>
      </c>
      <c r="N4107" s="295" t="s">
        <v>101</v>
      </c>
      <c r="O4107" s="61" t="s">
        <v>26</v>
      </c>
      <c r="P4107" s="75" t="str">
        <f>IF(AND('331-CT'!$E$7=TH!H5169,OR(N4107="331",O4107="331")),"x","")</f>
        <v/>
      </c>
      <c r="Q4107" s="75" t="str">
        <f>IF(AND(B4107='111'!$L$11,OR($N4107=$Q$7,$O4107=$Q$7)),"x","")</f>
        <v/>
      </c>
      <c r="R4107" s="75" t="str">
        <f>IF(AND($N4107=$Q$7,$B4107&lt;'111'!$L$11),"x","")</f>
        <v/>
      </c>
      <c r="S4107" s="75" t="str">
        <f>IF(AND($O4107=$Q$7,$B4107&lt;'111'!$L$11),"x","")</f>
        <v/>
      </c>
      <c r="T4107" s="75" t="str">
        <f>IF(ISERROR(FIND('112'!$M$9,G4107,1)),"",IF((AND(FIND('112'!$M$9,G4107,1)&gt;=1,B4107='112'!$K$9,OR($N4107='112'!$I$6,$O4107='112'!$I$6))),"x",""))</f>
        <v/>
      </c>
      <c r="U4107" s="75" t="str">
        <f>IF(ISERROR(FIND('112'!$M$9,G4107,1)),"",IF((AND(LEFT(G4107,2)=LEFT('112'!$M$9,2),B4107&lt;'112'!$K$9,$N4107='112'!$I$6)),"x",""))</f>
        <v/>
      </c>
      <c r="V4107" s="75" t="str">
        <f>IF(ISERROR(FIND('112'!$M$9,G4107,1)),"",IF((AND(RIGHT(G4107,2)=RIGHT('112'!$M$9,2),B4107&lt;'112'!$K$9,$O4107='112'!$I$6)),"x",""))</f>
        <v/>
      </c>
      <c r="W4107" s="75" t="str">
        <f>IF(AND('341-CT'!$H$9=H4107,OR(LEFT(N4107,3)=$W$7,LEFT(O4107,3)=$W$7)),"x","")</f>
        <v/>
      </c>
      <c r="X4107" s="75" t="str">
        <f>IF(OR(TH!N5169=TH!$X$7,O4107=TH!$X$7),"x","")</f>
        <v/>
      </c>
      <c r="Y4107" s="75" t="str">
        <f>IF(AND(OR(N4107="131",O4107="131"),H4107='131-CT'!$H$9),"x","")</f>
        <v/>
      </c>
      <c r="Z4107" s="75"/>
      <c r="AA4107" s="75" t="str">
        <f>IF(AND(MONTH(E4107)='IN-NX'!$J$5,'IN-NX'!$D$7=D4107),"x","")</f>
        <v/>
      </c>
      <c r="AB4107" s="75" t="str">
        <f>IF(AND(OR(LEFT(TH!N5169,2)="15",LEFT(TH!O5169,2)="15"),LEFT(TH!O5169,3)&lt;&gt;"111",'152-CT'!$J$8=TH!F5169),"x","")</f>
        <v/>
      </c>
      <c r="AC4107" s="75" t="str">
        <f>IF(AND(OR(LEFT(TH!N5169,2)="15",LEFT(TH!O5169,2)="15"),TK!$E$7=TH!F5169),"x","")</f>
        <v/>
      </c>
      <c r="AD4107" s="75" t="str">
        <f>IF(AND(N4107="1521",MONTH(C4107)='BK-NL'!$M$11),"x","")</f>
        <v/>
      </c>
    </row>
    <row r="4108" spans="1:33" ht="16.5" customHeight="1">
      <c r="A4108" s="309" t="str">
        <f>IF(B4108&lt;&gt;"",IF(AND(B4108='IN-TC'!$S$4,OR(TH!N4104="1111",TH!O4104="1111")),TH!D4104,""),"")</f>
        <v/>
      </c>
      <c r="B4108" s="1130">
        <f t="shared" si="1312"/>
        <v>5</v>
      </c>
      <c r="C4108" s="292">
        <f t="shared" si="1313"/>
        <v>42870</v>
      </c>
      <c r="D4108" s="292" t="s">
        <v>1916</v>
      </c>
      <c r="E4108" s="292">
        <v>42870</v>
      </c>
      <c r="F4108" s="1127" t="s">
        <v>1337</v>
      </c>
      <c r="G4108" s="925" t="s">
        <v>1699</v>
      </c>
      <c r="H4108" s="294" t="s">
        <v>1339</v>
      </c>
      <c r="I4108" s="373"/>
      <c r="J4108" s="926"/>
      <c r="K4108" s="373"/>
      <c r="L4108" s="379"/>
      <c r="M4108" s="927">
        <v>336364</v>
      </c>
      <c r="N4108" s="295" t="s">
        <v>539</v>
      </c>
      <c r="O4108" s="295" t="s">
        <v>63</v>
      </c>
      <c r="P4108" s="75" t="str">
        <f>IF(AND('331-CT'!$E$7=TH!H3693,OR(N4108="331",O4108="331")),"x","")</f>
        <v/>
      </c>
      <c r="Q4108" s="75" t="str">
        <f>IF(AND(B4108='111'!$L$11,OR($N4108=$Q$7,$O4108=$Q$7)),"x","")</f>
        <v/>
      </c>
      <c r="R4108" s="75" t="str">
        <f>IF(AND($N4108=$Q$7,$B4108&lt;'111'!$L$11),"x","")</f>
        <v/>
      </c>
      <c r="S4108" s="75" t="str">
        <f>IF(AND($O4108=$Q$7,$B4108&lt;'111'!$L$11),"x","")</f>
        <v>x</v>
      </c>
      <c r="T4108" s="75" t="str">
        <f>IF(ISERROR(FIND('112'!$M$9,G4108,1)),"",IF((AND(FIND('112'!$M$9,G4108,1)&gt;=1,B4108='112'!$K$9,OR($N4108='112'!$I$6,$O4108='112'!$I$6))),"x",""))</f>
        <v/>
      </c>
      <c r="U4108" s="75" t="str">
        <f>IF(ISERROR(FIND('112'!$M$9,G4108,1)),"",IF((AND(LEFT(G4108,2)=LEFT('112'!$M$9,2),B4108&lt;'112'!$K$9,$N4108='112'!$I$6)),"x",""))</f>
        <v/>
      </c>
      <c r="V4108" s="75" t="str">
        <f>IF(ISERROR(FIND('112'!$M$9,G4108,1)),"",IF((AND(RIGHT(G4108,2)=RIGHT('112'!$M$9,2),B4108&lt;'112'!$K$9,$O4108='112'!$I$6)),"x",""))</f>
        <v/>
      </c>
      <c r="W4108" s="75" t="str">
        <f>IF(AND('341-CT'!$H$9=H4108,OR(LEFT(N4108,3)=$W$7,LEFT(O4108,3)=$W$7)),"x","")</f>
        <v/>
      </c>
      <c r="X4108" s="75" t="str">
        <f>IF(OR(TH!N3693=TH!$X$7,O4108=TH!$X$7),"x","")</f>
        <v/>
      </c>
      <c r="Y4108" s="75" t="str">
        <f>IF(AND(OR(N4108="131",O4108="131"),H4108='131-CT'!$H$9),"x","")</f>
        <v/>
      </c>
      <c r="Z4108" s="75"/>
      <c r="AA4108" s="75" t="str">
        <f>IF(AND(MONTH(E4108)='IN-NX'!$J$5,'IN-NX'!$D$7=D4108),"x","")</f>
        <v/>
      </c>
      <c r="AB4108" s="75" t="str">
        <f>IF(AND(OR(LEFT(TH!N3693,2)="15",LEFT(TH!O3693,2)="15"),LEFT(TH!O3693,3)&lt;&gt;"111",'152-CT'!$J$8=TH!F3693),"x","")</f>
        <v/>
      </c>
      <c r="AC4108" s="75" t="str">
        <f>IF(AND(OR(LEFT(TH!N3693,2)="15",LEFT(TH!O3693,2)="15"),TK!$E$7=TH!F3693),"x","")</f>
        <v/>
      </c>
      <c r="AD4108" s="75" t="str">
        <f>IF(AND(N4108="1521",MONTH(C4108)='BK-NL'!$M$11),"x","")</f>
        <v/>
      </c>
    </row>
    <row r="4109" spans="1:33" ht="16.5" customHeight="1">
      <c r="A4109" s="309" t="str">
        <f>IF(B4109&lt;&gt;"",IF(AND(B4109='IN-TC'!$S$4,OR(TH!N4105="1111",TH!O4105="1111")),TH!D4105,""),"")</f>
        <v/>
      </c>
      <c r="B4109" s="1130">
        <f t="shared" si="1312"/>
        <v>5</v>
      </c>
      <c r="C4109" s="292">
        <f t="shared" si="1313"/>
        <v>42870</v>
      </c>
      <c r="D4109" s="292" t="s">
        <v>1916</v>
      </c>
      <c r="E4109" s="292">
        <v>42870</v>
      </c>
      <c r="F4109" s="67" t="s">
        <v>1338</v>
      </c>
      <c r="G4109" s="925" t="s">
        <v>1699</v>
      </c>
      <c r="H4109" s="294" t="s">
        <v>1339</v>
      </c>
      <c r="I4109" s="373"/>
      <c r="J4109" s="926"/>
      <c r="K4109" s="373"/>
      <c r="L4109" s="379"/>
      <c r="M4109" s="927">
        <v>33636</v>
      </c>
      <c r="N4109" s="295" t="s">
        <v>9</v>
      </c>
      <c r="O4109" s="295" t="s">
        <v>63</v>
      </c>
      <c r="P4109" s="75" t="str">
        <f>IF(AND('331-CT'!$E$7=TH!H3694,OR(N4109="331",O4109="331")),"x","")</f>
        <v/>
      </c>
      <c r="Q4109" s="75" t="str">
        <f>IF(AND(B4109='111'!$L$11,OR($N4109=$Q$7,$O4109=$Q$7)),"x","")</f>
        <v/>
      </c>
      <c r="R4109" s="75" t="str">
        <f>IF(AND($N4109=$Q$7,$B4109&lt;'111'!$L$11),"x","")</f>
        <v/>
      </c>
      <c r="S4109" s="75" t="str">
        <f>IF(AND($O4109=$Q$7,$B4109&lt;'111'!$L$11),"x","")</f>
        <v>x</v>
      </c>
      <c r="T4109" s="75" t="str">
        <f>IF(ISERROR(FIND('112'!$M$9,G4109,1)),"",IF((AND(FIND('112'!$M$9,G4109,1)&gt;=1,B4109='112'!$K$9,OR($N4109='112'!$I$6,$O4109='112'!$I$6))),"x",""))</f>
        <v/>
      </c>
      <c r="U4109" s="75" t="str">
        <f>IF(ISERROR(FIND('112'!$M$9,G4109,1)),"",IF((AND(LEFT(G4109,2)=LEFT('112'!$M$9,2),B4109&lt;'112'!$K$9,$N4109='112'!$I$6)),"x",""))</f>
        <v/>
      </c>
      <c r="V4109" s="75" t="str">
        <f>IF(ISERROR(FIND('112'!$M$9,G4109,1)),"",IF((AND(RIGHT(G4109,2)=RIGHT('112'!$M$9,2),B4109&lt;'112'!$K$9,$O4109='112'!$I$6)),"x",""))</f>
        <v/>
      </c>
      <c r="W4109" s="75" t="str">
        <f>IF(AND('341-CT'!$H$9=H4109,OR(LEFT(N4109,3)=$W$7,LEFT(O4109,3)=$W$7)),"x","")</f>
        <v/>
      </c>
      <c r="X4109" s="75" t="str">
        <f>IF(OR(TH!N3694=TH!$X$7,O4109=TH!$X$7),"x","")</f>
        <v/>
      </c>
      <c r="Y4109" s="75" t="str">
        <f>IF(AND(OR(N4109="131",O4109="131"),H4109='131-CT'!$H$9),"x","")</f>
        <v/>
      </c>
      <c r="Z4109" s="75"/>
      <c r="AA4109" s="75" t="str">
        <f>IF(AND(MONTH(E4109)='IN-NX'!$J$5,'IN-NX'!$D$7=D4109),"x","")</f>
        <v/>
      </c>
      <c r="AB4109" s="75" t="str">
        <f>IF(AND(OR(LEFT(TH!N3694,2)="15",LEFT(TH!O3694,2)="15"),LEFT(TH!O3694,3)&lt;&gt;"111",'152-CT'!$J$8=TH!F3694),"x","")</f>
        <v/>
      </c>
      <c r="AC4109" s="75" t="str">
        <f>IF(AND(OR(LEFT(TH!N3694,2)="15",LEFT(TH!O3694,2)="15"),TK!$E$7=TH!F3694),"x","")</f>
        <v/>
      </c>
      <c r="AD4109" s="75" t="str">
        <f>IF(AND(N4109="1521",MONTH(C4109)='BK-NL'!$M$11),"x","")</f>
        <v/>
      </c>
    </row>
    <row r="4110" spans="1:33" ht="16.5" customHeight="1">
      <c r="A4110" s="309" t="str">
        <f>IF(B4110&lt;&gt;"",IF(AND(B4110='IN-TC'!$S$4,OR(TH!N4106="1111",TH!O4106="1111")),TH!D4106,""),"")</f>
        <v/>
      </c>
      <c r="B4110" s="1130">
        <f t="shared" si="1312"/>
        <v>5</v>
      </c>
      <c r="C4110" s="292">
        <f t="shared" si="1313"/>
        <v>42870</v>
      </c>
      <c r="D4110" s="292" t="s">
        <v>1917</v>
      </c>
      <c r="E4110" s="292">
        <v>42870</v>
      </c>
      <c r="F4110" s="67" t="s">
        <v>1697</v>
      </c>
      <c r="G4110" s="925"/>
      <c r="H4110" s="294" t="s">
        <v>948</v>
      </c>
      <c r="I4110" s="373"/>
      <c r="J4110" s="926"/>
      <c r="K4110" s="373"/>
      <c r="L4110" s="379"/>
      <c r="M4110" s="927">
        <v>13972727</v>
      </c>
      <c r="N4110" s="295" t="s">
        <v>539</v>
      </c>
      <c r="O4110" s="295" t="s">
        <v>63</v>
      </c>
      <c r="P4110" s="75" t="str">
        <f>IF(AND('331-CT'!$E$7=TH!H3695,OR(N4110="331",O4110="331")),"x","")</f>
        <v/>
      </c>
      <c r="Q4110" s="75" t="str">
        <f>IF(AND(B4110='111'!$L$11,OR($N4110=$Q$7,$O4110=$Q$7)),"x","")</f>
        <v/>
      </c>
      <c r="R4110" s="75" t="str">
        <f>IF(AND($N4110=$Q$7,$B4110&lt;'111'!$L$11),"x","")</f>
        <v/>
      </c>
      <c r="S4110" s="75" t="str">
        <f>IF(AND($O4110=$Q$7,$B4110&lt;'111'!$L$11),"x","")</f>
        <v>x</v>
      </c>
      <c r="T4110" s="75" t="str">
        <f>IF(ISERROR(FIND('112'!$M$9,G4110,1)),"",IF((AND(FIND('112'!$M$9,G4110,1)&gt;=1,B4110='112'!$K$9,OR($N4110='112'!$I$6,$O4110='112'!$I$6))),"x",""))</f>
        <v/>
      </c>
      <c r="U4110" s="75" t="str">
        <f>IF(ISERROR(FIND('112'!$M$9,G4110,1)),"",IF((AND(LEFT(G4110,2)=LEFT('112'!$M$9,2),B4110&lt;'112'!$K$9,$N4110='112'!$I$6)),"x",""))</f>
        <v/>
      </c>
      <c r="V4110" s="75" t="str">
        <f>IF(ISERROR(FIND('112'!$M$9,G4110,1)),"",IF((AND(RIGHT(G4110,2)=RIGHT('112'!$M$9,2),B4110&lt;'112'!$K$9,$O4110='112'!$I$6)),"x",""))</f>
        <v/>
      </c>
      <c r="W4110" s="75" t="str">
        <f>IF(AND('341-CT'!$H$9=H4110,OR(LEFT(N4110,3)=$W$7,LEFT(O4110,3)=$W$7)),"x","")</f>
        <v/>
      </c>
      <c r="X4110" s="75" t="str">
        <f>IF(OR(TH!N3695=TH!$X$7,O4110=TH!$X$7),"x","")</f>
        <v/>
      </c>
      <c r="Y4110" s="75" t="str">
        <f>IF(AND(OR(N4110="131",O4110="131"),H4110='131-CT'!$H$9),"x","")</f>
        <v/>
      </c>
      <c r="Z4110" s="75"/>
      <c r="AA4110" s="75" t="str">
        <f>IF(AND(MONTH(E4110)='IN-NX'!$J$5,'IN-NX'!$D$7=D4110),"x","")</f>
        <v/>
      </c>
      <c r="AB4110" s="75" t="str">
        <f>IF(AND(OR(LEFT(TH!N3695,2)="15",LEFT(TH!O3695,2)="15"),LEFT(TH!O3695,3)&lt;&gt;"111",'152-CT'!$J$8=TH!F3695),"x","")</f>
        <v/>
      </c>
      <c r="AC4110" s="75" t="str">
        <f>IF(AND(OR(LEFT(TH!N3695,2)="15",LEFT(TH!O3695,2)="15"),TK!$E$7=TH!F3695),"x","")</f>
        <v/>
      </c>
      <c r="AD4110" s="75" t="str">
        <f>IF(AND(N4110="1521",MONTH(C4110)='BK-NL'!$M$11),"x","")</f>
        <v/>
      </c>
    </row>
    <row r="4111" spans="1:33" ht="16.5" customHeight="1">
      <c r="A4111" s="309" t="str">
        <f>IF(B4111&lt;&gt;"",IF(AND(B4111='IN-TC'!$S$4,OR(TH!N4107="1111",TH!O4107="1111")),TH!D4107,""),"")</f>
        <v/>
      </c>
      <c r="B4111" s="1130">
        <f t="shared" si="1312"/>
        <v>5</v>
      </c>
      <c r="C4111" s="292">
        <f t="shared" si="1313"/>
        <v>42870</v>
      </c>
      <c r="D4111" s="292" t="s">
        <v>1917</v>
      </c>
      <c r="E4111" s="292">
        <v>42870</v>
      </c>
      <c r="F4111" s="1127" t="s">
        <v>1698</v>
      </c>
      <c r="G4111" s="925"/>
      <c r="H4111" s="294" t="s">
        <v>948</v>
      </c>
      <c r="I4111" s="373"/>
      <c r="J4111" s="926"/>
      <c r="K4111" s="373"/>
      <c r="L4111" s="379"/>
      <c r="M4111" s="927">
        <v>1397273</v>
      </c>
      <c r="N4111" s="295" t="s">
        <v>9</v>
      </c>
      <c r="O4111" s="295" t="s">
        <v>63</v>
      </c>
      <c r="P4111" s="75" t="str">
        <f>IF(AND('331-CT'!$E$7=TH!H3696,OR(N4111="331",O4111="331")),"x","")</f>
        <v/>
      </c>
      <c r="Q4111" s="75" t="str">
        <f>IF(AND(B4111='111'!$L$11,OR($N4111=$Q$7,$O4111=$Q$7)),"x","")</f>
        <v/>
      </c>
      <c r="R4111" s="75" t="str">
        <f>IF(AND($N4111=$Q$7,$B4111&lt;'111'!$L$11),"x","")</f>
        <v/>
      </c>
      <c r="S4111" s="75" t="str">
        <f>IF(AND($O4111=$Q$7,$B4111&lt;'111'!$L$11),"x","")</f>
        <v>x</v>
      </c>
      <c r="T4111" s="75" t="str">
        <f>IF(ISERROR(FIND('112'!$M$9,G4111,1)),"",IF((AND(FIND('112'!$M$9,G4111,1)&gt;=1,B4111='112'!$K$9,OR($N4111='112'!$I$6,$O4111='112'!$I$6))),"x",""))</f>
        <v/>
      </c>
      <c r="U4111" s="75" t="str">
        <f>IF(ISERROR(FIND('112'!$M$9,G4111,1)),"",IF((AND(LEFT(G4111,2)=LEFT('112'!$M$9,2),B4111&lt;'112'!$K$9,$N4111='112'!$I$6)),"x",""))</f>
        <v/>
      </c>
      <c r="V4111" s="75" t="str">
        <f>IF(ISERROR(FIND('112'!$M$9,G4111,1)),"",IF((AND(RIGHT(G4111,2)=RIGHT('112'!$M$9,2),B4111&lt;'112'!$K$9,$O4111='112'!$I$6)),"x",""))</f>
        <v/>
      </c>
      <c r="W4111" s="75" t="str">
        <f>IF(AND('341-CT'!$H$9=H4111,OR(LEFT(N4111,3)=$W$7,LEFT(O4111,3)=$W$7)),"x","")</f>
        <v/>
      </c>
      <c r="X4111" s="75" t="str">
        <f>IF(OR(TH!N3696=TH!$X$7,O4111=TH!$X$7),"x","")</f>
        <v/>
      </c>
      <c r="Y4111" s="75" t="str">
        <f>IF(AND(OR(N4111="131",O4111="131"),H4111='131-CT'!$H$9),"x","")</f>
        <v/>
      </c>
      <c r="Z4111" s="75"/>
      <c r="AA4111" s="75" t="str">
        <f>IF(AND(MONTH(E4111)='IN-NX'!$J$5,'IN-NX'!$D$7=D4111),"x","")</f>
        <v/>
      </c>
      <c r="AB4111" s="75" t="str">
        <f>IF(AND(OR(LEFT(TH!N3696,2)="15",LEFT(TH!O3696,2)="15"),LEFT(TH!O3696,3)&lt;&gt;"111",'152-CT'!$J$8=TH!F3696),"x","")</f>
        <v/>
      </c>
      <c r="AC4111" s="75" t="str">
        <f>IF(AND(OR(LEFT(TH!N3696,2)="15",LEFT(TH!O3696,2)="15"),TK!$E$7=TH!F3696),"x","")</f>
        <v/>
      </c>
      <c r="AD4111" s="75" t="str">
        <f>IF(AND(N4111="1521",MONTH(C4111)='BK-NL'!$M$11),"x","")</f>
        <v/>
      </c>
    </row>
    <row r="4112" spans="1:33" ht="16.5" customHeight="1">
      <c r="A4112" s="309" t="str">
        <f>IF(B4112&lt;&gt;"",IF(AND(B4112='IN-TC'!$S$4,OR(TH!N4108="1111",TH!O4108="1111")),TH!D4108,""),"")</f>
        <v/>
      </c>
      <c r="B4112" s="1242">
        <f t="shared" si="1312"/>
        <v>5</v>
      </c>
      <c r="C4112" s="292">
        <f t="shared" si="1313"/>
        <v>42871</v>
      </c>
      <c r="D4112" s="292" t="s">
        <v>1955</v>
      </c>
      <c r="E4112" s="292">
        <v>42871</v>
      </c>
      <c r="F4112" s="1127" t="s">
        <v>1502</v>
      </c>
      <c r="G4112" s="925" t="s">
        <v>1504</v>
      </c>
      <c r="H4112" s="294" t="s">
        <v>948</v>
      </c>
      <c r="I4112" s="373"/>
      <c r="J4112" s="926"/>
      <c r="K4112" s="373"/>
      <c r="L4112" s="379"/>
      <c r="M4112" s="927">
        <v>204545</v>
      </c>
      <c r="N4112" s="295" t="s">
        <v>539</v>
      </c>
      <c r="O4112" s="295" t="s">
        <v>63</v>
      </c>
      <c r="P4112" s="75" t="str">
        <f>IF(AND('331-CT'!$E$7=TH!H3650,OR(N4112="331",O4112="331")),"x","")</f>
        <v/>
      </c>
      <c r="Q4112" s="75" t="str">
        <f>IF(AND(B4112='111'!$L$11,OR($N4112=$Q$7,$O4112=$Q$7)),"x","")</f>
        <v/>
      </c>
      <c r="R4112" s="75" t="str">
        <f>IF(AND($N4112=$Q$7,$B4112&lt;'111'!$L$11),"x","")</f>
        <v/>
      </c>
      <c r="S4112" s="75" t="str">
        <f>IF(AND($O4112=$Q$7,$B4112&lt;'111'!$L$11),"x","")</f>
        <v>x</v>
      </c>
      <c r="T4112" s="75" t="str">
        <f>IF(ISERROR(FIND('112'!$M$9,G4112,1)),"",IF((AND(FIND('112'!$M$9,G4112,1)&gt;=1,B4112='112'!$K$9,OR($N4112='112'!$I$6,$O4112='112'!$I$6))),"x",""))</f>
        <v/>
      </c>
      <c r="U4112" s="75" t="str">
        <f>IF(ISERROR(FIND('112'!$M$9,G4112,1)),"",IF((AND(LEFT(G4112,2)=LEFT('112'!$M$9,2),B4112&lt;'112'!$K$9,$N4112='112'!$I$6)),"x",""))</f>
        <v/>
      </c>
      <c r="V4112" s="75" t="str">
        <f>IF(ISERROR(FIND('112'!$M$9,G4112,1)),"",IF((AND(RIGHT(G4112,2)=RIGHT('112'!$M$9,2),B4112&lt;'112'!$K$9,$O4112='112'!$I$6)),"x",""))</f>
        <v/>
      </c>
      <c r="W4112" s="75" t="str">
        <f>IF(AND('341-CT'!$H$9=H4112,OR(LEFT(N4112,3)=$W$7,LEFT(O4112,3)=$W$7)),"x","")</f>
        <v/>
      </c>
      <c r="X4112" s="75" t="str">
        <f>IF(OR(TH!N3650=TH!$X$7,O4112=TH!$X$7),"x","")</f>
        <v/>
      </c>
      <c r="Y4112" s="75" t="str">
        <f>IF(AND(OR(N4112="131",O4112="131"),H4112='131-CT'!$H$9),"x","")</f>
        <v/>
      </c>
      <c r="Z4112" s="75"/>
      <c r="AA4112" s="75" t="str">
        <f>IF(AND(MONTH(E4112)='IN-NX'!$J$5,'IN-NX'!$D$7=D4112),"x","")</f>
        <v/>
      </c>
      <c r="AB4112" s="75" t="str">
        <f>IF(AND(OR(LEFT(TH!N3650,2)="15",LEFT(TH!O3650,2)="15"),LEFT(TH!O3650,3)&lt;&gt;"111",'152-CT'!$J$8=TH!F3650),"x","")</f>
        <v/>
      </c>
      <c r="AC4112" s="75" t="str">
        <f>IF(AND(OR(LEFT(TH!N3650,2)="15",LEFT(TH!O3650,2)="15"),TK!$E$7=TH!F3650),"x","")</f>
        <v/>
      </c>
      <c r="AD4112" s="75" t="str">
        <f>IF(AND(N4112="1521",MONTH(C4112)='BK-NL'!$M$11),"x","")</f>
        <v/>
      </c>
    </row>
    <row r="4113" spans="1:30" ht="16.5" customHeight="1">
      <c r="A4113" s="309" t="str">
        <f>IF(B4113&lt;&gt;"",IF(AND(B4113='IN-TC'!$S$4,OR(TH!N4109="1111",TH!O4109="1111")),TH!D4109,""),"")</f>
        <v/>
      </c>
      <c r="B4113" s="1242">
        <f t="shared" si="1312"/>
        <v>5</v>
      </c>
      <c r="C4113" s="292">
        <f t="shared" si="1313"/>
        <v>42871</v>
      </c>
      <c r="D4113" s="292" t="s">
        <v>1955</v>
      </c>
      <c r="E4113" s="292">
        <v>42871</v>
      </c>
      <c r="F4113" s="67" t="s">
        <v>1503</v>
      </c>
      <c r="G4113" s="925" t="s">
        <v>1504</v>
      </c>
      <c r="H4113" s="294" t="s">
        <v>948</v>
      </c>
      <c r="I4113" s="373"/>
      <c r="J4113" s="926"/>
      <c r="K4113" s="373"/>
      <c r="L4113" s="379"/>
      <c r="M4113" s="927">
        <v>20455</v>
      </c>
      <c r="N4113" s="295" t="s">
        <v>9</v>
      </c>
      <c r="O4113" s="295" t="s">
        <v>63</v>
      </c>
      <c r="P4113" s="75" t="str">
        <f>IF(AND('331-CT'!$E$7=TH!H3651,OR(N4113="331",O4113="331")),"x","")</f>
        <v/>
      </c>
      <c r="Q4113" s="75" t="str">
        <f>IF(AND(B4113='111'!$L$11,OR($N4113=$Q$7,$O4113=$Q$7)),"x","")</f>
        <v/>
      </c>
      <c r="R4113" s="75" t="str">
        <f>IF(AND($N4113=$Q$7,$B4113&lt;'111'!$L$11),"x","")</f>
        <v/>
      </c>
      <c r="S4113" s="75" t="str">
        <f>IF(AND($O4113=$Q$7,$B4113&lt;'111'!$L$11),"x","")</f>
        <v>x</v>
      </c>
      <c r="T4113" s="75" t="str">
        <f>IF(ISERROR(FIND('112'!$M$9,G4113,1)),"",IF((AND(FIND('112'!$M$9,G4113,1)&gt;=1,B4113='112'!$K$9,OR($N4113='112'!$I$6,$O4113='112'!$I$6))),"x",""))</f>
        <v/>
      </c>
      <c r="U4113" s="75" t="str">
        <f>IF(ISERROR(FIND('112'!$M$9,G4113,1)),"",IF((AND(LEFT(G4113,2)=LEFT('112'!$M$9,2),B4113&lt;'112'!$K$9,$N4113='112'!$I$6)),"x",""))</f>
        <v/>
      </c>
      <c r="V4113" s="75" t="str">
        <f>IF(ISERROR(FIND('112'!$M$9,G4113,1)),"",IF((AND(RIGHT(G4113,2)=RIGHT('112'!$M$9,2),B4113&lt;'112'!$K$9,$O4113='112'!$I$6)),"x",""))</f>
        <v/>
      </c>
      <c r="W4113" s="75" t="str">
        <f>IF(AND('341-CT'!$H$9=H4113,OR(LEFT(N4113,3)=$W$7,LEFT(O4113,3)=$W$7)),"x","")</f>
        <v/>
      </c>
      <c r="X4113" s="75" t="str">
        <f>IF(OR(TH!N3651=TH!$X$7,O4113=TH!$X$7),"x","")</f>
        <v/>
      </c>
      <c r="Y4113" s="75" t="str">
        <f>IF(AND(OR(N4113="131",O4113="131"),H4113='131-CT'!$H$9),"x","")</f>
        <v/>
      </c>
      <c r="Z4113" s="75"/>
      <c r="AA4113" s="75" t="str">
        <f>IF(AND(MONTH(E4113)='IN-NX'!$J$5,'IN-NX'!$D$7=D4113),"x","")</f>
        <v/>
      </c>
      <c r="AB4113" s="75" t="str">
        <f>IF(AND(OR(LEFT(TH!N3651,2)="15",LEFT(TH!O3651,2)="15"),LEFT(TH!O3651,3)&lt;&gt;"111",'152-CT'!$J$8=TH!F3651),"x","")</f>
        <v/>
      </c>
      <c r="AC4113" s="75" t="str">
        <f>IF(AND(OR(LEFT(TH!N3651,2)="15",LEFT(TH!O3651,2)="15"),TK!$E$7=TH!F3651),"x","")</f>
        <v/>
      </c>
      <c r="AD4113" s="75" t="str">
        <f>IF(AND(N4113="1521",MONTH(C4113)='BK-NL'!$M$11),"x","")</f>
        <v/>
      </c>
    </row>
    <row r="4114" spans="1:30" ht="16.5" customHeight="1">
      <c r="A4114" s="309" t="str">
        <f>IF(B4114&lt;&gt;"",IF(AND(B4114='IN-TC'!$S$4,OR(TH!N4110="1111",TH!O4110="1111")),TH!D4110,""),"")</f>
        <v/>
      </c>
      <c r="B4114" s="1242">
        <f t="shared" si="1312"/>
        <v>5</v>
      </c>
      <c r="C4114" s="292">
        <f t="shared" si="1313"/>
        <v>42871</v>
      </c>
      <c r="D4114" s="292" t="s">
        <v>1956</v>
      </c>
      <c r="E4114" s="929">
        <v>42871</v>
      </c>
      <c r="F4114" s="73" t="s">
        <v>1165</v>
      </c>
      <c r="G4114" s="931" t="s">
        <v>1397</v>
      </c>
      <c r="H4114" s="296" t="s">
        <v>797</v>
      </c>
      <c r="I4114" s="371"/>
      <c r="J4114" s="932"/>
      <c r="K4114" s="371"/>
      <c r="L4114" s="377"/>
      <c r="M4114" s="933">
        <v>18980500</v>
      </c>
      <c r="N4114" s="934" t="s">
        <v>8</v>
      </c>
      <c r="O4114" s="934" t="s">
        <v>63</v>
      </c>
      <c r="P4114" s="75" t="str">
        <f>IF(AND('331-CT'!$E$7=TH!H3652,OR(N4114="331",O4114="331")),"x","")</f>
        <v/>
      </c>
      <c r="Q4114" s="75" t="str">
        <f>IF(AND(B4114='111'!$L$11,OR($N4114=$Q$7,$O4114=$Q$7)),"x","")</f>
        <v/>
      </c>
      <c r="R4114" s="75" t="str">
        <f>IF(AND($N4114=$Q$7,$B4114&lt;'111'!$L$11),"x","")</f>
        <v/>
      </c>
      <c r="S4114" s="75" t="str">
        <f>IF(AND($O4114=$Q$7,$B4114&lt;'111'!$L$11),"x","")</f>
        <v>x</v>
      </c>
      <c r="T4114" s="75" t="str">
        <f>IF(ISERROR(FIND('112'!$M$9,G4114,1)),"",IF((AND(FIND('112'!$M$9,G4114,1)&gt;=1,B4114='112'!$K$9,OR($N4114='112'!$I$6,$O4114='112'!$I$6))),"x",""))</f>
        <v/>
      </c>
      <c r="U4114" s="75" t="str">
        <f>IF(ISERROR(FIND('112'!$M$9,G4114,1)),"",IF((AND(LEFT(G4114,2)=LEFT('112'!$M$9,2),B4114&lt;'112'!$K$9,$N4114='112'!$I$6)),"x",""))</f>
        <v/>
      </c>
      <c r="V4114" s="75" t="str">
        <f>IF(ISERROR(FIND('112'!$M$9,G4114,1)),"",IF((AND(RIGHT(G4114,2)=RIGHT('112'!$M$9,2),B4114&lt;'112'!$K$9,$O4114='112'!$I$6)),"x",""))</f>
        <v/>
      </c>
      <c r="W4114" s="75" t="str">
        <f>IF(AND('341-CT'!$H$9=H4114,OR(LEFT(N4114,3)=$W$7,LEFT(O4114,3)=$W$7)),"x","")</f>
        <v/>
      </c>
      <c r="X4114" s="75" t="str">
        <f>IF(OR(TH!N3652=TH!$X$7,O4114=TH!$X$7),"x","")</f>
        <v/>
      </c>
      <c r="Y4114" s="75" t="str">
        <f>IF(AND(OR(N4114="131",O4114="131"),H4114='131-CT'!$H$9),"x","")</f>
        <v/>
      </c>
      <c r="Z4114" s="75"/>
      <c r="AA4114" s="75" t="str">
        <f>IF(AND(MONTH(E4114)='IN-NX'!$J$5,'IN-NX'!$D$7=D4114),"x","")</f>
        <v/>
      </c>
      <c r="AB4114" s="75" t="str">
        <f>IF(AND(OR(LEFT(TH!N3652,2)="15",LEFT(TH!O3652,2)="15"),LEFT(TH!O3652,3)&lt;&gt;"111",'152-CT'!$J$8=TH!F3652),"x","")</f>
        <v/>
      </c>
      <c r="AC4114" s="75" t="str">
        <f>IF(AND(OR(LEFT(TH!N3652,2)="15",LEFT(TH!O3652,2)="15"),TK!$E$7=TH!F3652),"x","")</f>
        <v/>
      </c>
      <c r="AD4114" s="75" t="str">
        <f>IF(AND(N4114="1521",MONTH(C4114)='BK-NL'!$M$11),"x","")</f>
        <v/>
      </c>
    </row>
    <row r="4115" spans="1:30" ht="16.5" customHeight="1">
      <c r="A4115" s="309" t="str">
        <f>IF(B4115&lt;&gt;"",IF(AND(B4115='IN-TC'!$S$4,OR(TH!N4111="1111",TH!O4111="1111")),TH!D4111,""),"")</f>
        <v/>
      </c>
      <c r="B4115" s="1242">
        <f t="shared" ref="B4115:B4178" si="1314">IF(C4115&lt;&gt;"",MONTH(C4115),"")</f>
        <v>5</v>
      </c>
      <c r="C4115" s="292">
        <f t="shared" si="1313"/>
        <v>42871</v>
      </c>
      <c r="D4115" s="292" t="s">
        <v>903</v>
      </c>
      <c r="E4115" s="59">
        <v>42871</v>
      </c>
      <c r="F4115" s="67" t="s">
        <v>2475</v>
      </c>
      <c r="G4115" s="62" t="s">
        <v>585</v>
      </c>
      <c r="H4115" s="67" t="s">
        <v>623</v>
      </c>
      <c r="I4115" s="373"/>
      <c r="J4115" s="379"/>
      <c r="K4115" s="373"/>
      <c r="L4115" s="379"/>
      <c r="M4115" s="60">
        <v>100000000</v>
      </c>
      <c r="N4115" s="61" t="s">
        <v>26</v>
      </c>
      <c r="O4115" s="61" t="s">
        <v>72</v>
      </c>
      <c r="P4115" s="75" t="str">
        <f>IF(AND('331-CT'!$E$7=TH!H4728,OR(N4115="331",O4115="331")),"x","")</f>
        <v/>
      </c>
      <c r="Q4115" s="75" t="str">
        <f>IF(AND(B4115='111'!$L$11,OR($N4115=$Q$7,$O4115=$Q$7)),"x","")</f>
        <v/>
      </c>
      <c r="R4115" s="75" t="str">
        <f>IF(AND($N4115=$Q$7,$B4115&lt;'111'!$L$11),"x","")</f>
        <v/>
      </c>
      <c r="S4115" s="75" t="str">
        <f>IF(AND($O4115=$Q$7,$B4115&lt;'111'!$L$11),"x","")</f>
        <v/>
      </c>
      <c r="T4115" s="75" t="str">
        <f>IF(ISERROR(FIND('112'!$M$9,G4115,1)),"",IF((AND(FIND('112'!$M$9,G4115,1)&gt;=1,B4115='112'!$K$9,OR($N4115='112'!$I$6,$O4115='112'!$I$6))),"x",""))</f>
        <v/>
      </c>
      <c r="U4115" s="75" t="str">
        <f>IF(ISERROR(FIND('112'!$M$9,G4115,1)),"",IF((AND(LEFT(G4115,2)=LEFT('112'!$M$9,2),B4115&lt;'112'!$K$9,$N4115='112'!$I$6)),"x",""))</f>
        <v/>
      </c>
      <c r="V4115" s="75" t="str">
        <f>IF(ISERROR(FIND('112'!$M$9,G4115,1)),"",IF((AND(RIGHT(G4115,2)=RIGHT('112'!$M$9,2),B4115&lt;'112'!$K$9,$O4115='112'!$I$6)),"x",""))</f>
        <v/>
      </c>
      <c r="W4115" s="75" t="str">
        <f>IF(AND('341-CT'!$H$9=H4115,OR(LEFT(N4115,3)=$W$7,LEFT(O4115,3)=$W$7)),"x","")</f>
        <v/>
      </c>
      <c r="X4115" s="75" t="str">
        <f>IF(OR(TH!N4728=TH!$X$7,O4115=TH!$X$7),"x","")</f>
        <v/>
      </c>
      <c r="Y4115" s="75" t="str">
        <f>IF(AND(OR(N4115="131",O4115="131"),H4115='131-CT'!$H$9),"x","")</f>
        <v/>
      </c>
      <c r="Z4115" s="75"/>
      <c r="AA4115" s="75" t="str">
        <f>IF(AND(MONTH(E4115)='IN-NX'!$J$5,'IN-NX'!$D$7=D4115),"x","")</f>
        <v/>
      </c>
      <c r="AB4115" s="75" t="str">
        <f>IF(AND(OR(LEFT(TH!N4728,2)="15",LEFT(TH!O4728,2)="15"),LEFT(TH!O4728,3)&lt;&gt;"111",'152-CT'!$J$8=TH!F4728),"x","")</f>
        <v/>
      </c>
      <c r="AC4115" s="75" t="str">
        <f>IF(AND(OR(LEFT(TH!N4728,2)="15",LEFT(TH!O4728,2)="15"),TK!$E$7=TH!F4728),"x","")</f>
        <v/>
      </c>
      <c r="AD4115" s="75" t="str">
        <f>IF(AND(N4115="1521",MONTH(C4115)='BK-NL'!$M$11),"x","")</f>
        <v/>
      </c>
    </row>
    <row r="4116" spans="1:30" ht="16.5" customHeight="1">
      <c r="A4116" s="309" t="str">
        <f>IF(B4116&lt;&gt;"",IF(AND(B4116='IN-TC'!$S$4,OR(TH!N4112="1111",TH!O4112="1111")),TH!D4112,""),"")</f>
        <v/>
      </c>
      <c r="B4116" s="1242">
        <f t="shared" si="1314"/>
        <v>5</v>
      </c>
      <c r="C4116" s="292">
        <f t="shared" si="1313"/>
        <v>42871</v>
      </c>
      <c r="D4116" s="292" t="s">
        <v>902</v>
      </c>
      <c r="E4116" s="59">
        <v>42871</v>
      </c>
      <c r="F4116" s="67" t="s">
        <v>897</v>
      </c>
      <c r="G4116" s="62" t="s">
        <v>585</v>
      </c>
      <c r="H4116" s="67" t="s">
        <v>740</v>
      </c>
      <c r="I4116" s="373"/>
      <c r="J4116" s="379"/>
      <c r="K4116" s="373"/>
      <c r="L4116" s="379"/>
      <c r="M4116" s="60">
        <v>35000000</v>
      </c>
      <c r="N4116" s="295" t="s">
        <v>8</v>
      </c>
      <c r="O4116" s="61" t="s">
        <v>26</v>
      </c>
      <c r="P4116" s="75" t="str">
        <f>IF(AND('331-CT'!$E$7=TH!H4729,OR(N4116="331",O4116="331")),"x","")</f>
        <v/>
      </c>
      <c r="Q4116" s="75" t="str">
        <f>IF(AND(B4116='111'!$L$11,OR($N4116=$Q$7,$O4116=$Q$7)),"x","")</f>
        <v/>
      </c>
      <c r="R4116" s="75" t="str">
        <f>IF(AND($N4116=$Q$7,$B4116&lt;'111'!$L$11),"x","")</f>
        <v/>
      </c>
      <c r="S4116" s="75" t="str">
        <f>IF(AND($O4116=$Q$7,$B4116&lt;'111'!$L$11),"x","")</f>
        <v/>
      </c>
      <c r="T4116" s="75" t="str">
        <f>IF(ISERROR(FIND('112'!$M$9,G4116,1)),"",IF((AND(FIND('112'!$M$9,G4116,1)&gt;=1,B4116='112'!$K$9,OR($N4116='112'!$I$6,$O4116='112'!$I$6))),"x",""))</f>
        <v/>
      </c>
      <c r="U4116" s="75" t="str">
        <f>IF(ISERROR(FIND('112'!$M$9,G4116,1)),"",IF((AND(LEFT(G4116,2)=LEFT('112'!$M$9,2),B4116&lt;'112'!$K$9,$N4116='112'!$I$6)),"x",""))</f>
        <v/>
      </c>
      <c r="V4116" s="75" t="str">
        <f>IF(ISERROR(FIND('112'!$M$9,G4116,1)),"",IF((AND(RIGHT(G4116,2)=RIGHT('112'!$M$9,2),B4116&lt;'112'!$K$9,$O4116='112'!$I$6)),"x",""))</f>
        <v/>
      </c>
      <c r="W4116" s="75" t="str">
        <f>IF(AND('341-CT'!$H$9=H4116,OR(LEFT(N4116,3)=$W$7,LEFT(O4116,3)=$W$7)),"x","")</f>
        <v/>
      </c>
      <c r="X4116" s="75" t="str">
        <f>IF(OR(TH!N4729=TH!$X$7,O4116=TH!$X$7),"x","")</f>
        <v/>
      </c>
      <c r="Y4116" s="75" t="str">
        <f>IF(AND(OR(N4116="131",O4116="131"),H4116='131-CT'!$H$9),"x","")</f>
        <v/>
      </c>
      <c r="Z4116" s="75"/>
      <c r="AA4116" s="75" t="str">
        <f>IF(AND(MONTH(E4116)='IN-NX'!$J$5,'IN-NX'!$D$7=D4116),"x","")</f>
        <v/>
      </c>
      <c r="AB4116" s="75" t="str">
        <f>IF(AND(OR(LEFT(TH!N4729,2)="15",LEFT(TH!O4729,2)="15"),LEFT(TH!O4729,3)&lt;&gt;"111",'152-CT'!$J$8=TH!F4729),"x","")</f>
        <v/>
      </c>
      <c r="AC4116" s="75" t="str">
        <f>IF(AND(OR(LEFT(TH!N4729,2)="15",LEFT(TH!O4729,2)="15"),TK!$E$7=TH!F4729),"x","")</f>
        <v/>
      </c>
      <c r="AD4116" s="75" t="str">
        <f>IF(AND(N4116="1521",MONTH(C4116)='BK-NL'!$M$11),"x","")</f>
        <v/>
      </c>
    </row>
    <row r="4117" spans="1:30" ht="16.5" customHeight="1">
      <c r="A4117" s="309" t="str">
        <f>IF(B4117&lt;&gt;"",IF(AND(B4117='IN-TC'!$S$4,OR(TH!N4113="1111",TH!O4113="1111")),TH!D4113,""),"")</f>
        <v/>
      </c>
      <c r="B4117" s="1242">
        <f t="shared" si="1314"/>
        <v>5</v>
      </c>
      <c r="C4117" s="292">
        <f t="shared" si="1313"/>
        <v>42871</v>
      </c>
      <c r="D4117" s="292" t="s">
        <v>902</v>
      </c>
      <c r="E4117" s="59">
        <v>42871</v>
      </c>
      <c r="F4117" s="67" t="s">
        <v>870</v>
      </c>
      <c r="G4117" s="62" t="s">
        <v>585</v>
      </c>
      <c r="H4117" s="311" t="s">
        <v>845</v>
      </c>
      <c r="I4117" s="373"/>
      <c r="J4117" s="379"/>
      <c r="K4117" s="373"/>
      <c r="L4117" s="379"/>
      <c r="M4117" s="60">
        <v>20000</v>
      </c>
      <c r="N4117" s="295" t="s">
        <v>101</v>
      </c>
      <c r="O4117" s="61" t="s">
        <v>26</v>
      </c>
      <c r="P4117" s="75" t="str">
        <f>IF(AND('331-CT'!$E$7=TH!H4730,OR(N4117="331",O4117="331")),"x","")</f>
        <v/>
      </c>
      <c r="Q4117" s="75" t="str">
        <f>IF(AND(B4117='111'!$L$11,OR($N4117=$Q$7,$O4117=$Q$7)),"x","")</f>
        <v/>
      </c>
      <c r="R4117" s="75" t="str">
        <f>IF(AND($N4117=$Q$7,$B4117&lt;'111'!$L$11),"x","")</f>
        <v/>
      </c>
      <c r="S4117" s="75" t="str">
        <f>IF(AND($O4117=$Q$7,$B4117&lt;'111'!$L$11),"x","")</f>
        <v/>
      </c>
      <c r="T4117" s="75" t="str">
        <f>IF(ISERROR(FIND('112'!$M$9,G4117,1)),"",IF((AND(FIND('112'!$M$9,G4117,1)&gt;=1,B4117='112'!$K$9,OR($N4117='112'!$I$6,$O4117='112'!$I$6))),"x",""))</f>
        <v/>
      </c>
      <c r="U4117" s="75" t="str">
        <f>IF(ISERROR(FIND('112'!$M$9,G4117,1)),"",IF((AND(LEFT(G4117,2)=LEFT('112'!$M$9,2),B4117&lt;'112'!$K$9,$N4117='112'!$I$6)),"x",""))</f>
        <v/>
      </c>
      <c r="V4117" s="75" t="str">
        <f>IF(ISERROR(FIND('112'!$M$9,G4117,1)),"",IF((AND(RIGHT(G4117,2)=RIGHT('112'!$M$9,2),B4117&lt;'112'!$K$9,$O4117='112'!$I$6)),"x",""))</f>
        <v/>
      </c>
      <c r="W4117" s="75" t="str">
        <f>IF(AND('341-CT'!$H$9=H4117,OR(LEFT(N4117,3)=$W$7,LEFT(O4117,3)=$W$7)),"x","")</f>
        <v/>
      </c>
      <c r="X4117" s="75" t="str">
        <f>IF(OR(TH!N4730=TH!$X$7,O4117=TH!$X$7),"x","")</f>
        <v/>
      </c>
      <c r="Y4117" s="75" t="str">
        <f>IF(AND(OR(N4117="131",O4117="131"),H4117='131-CT'!$H$9),"x","")</f>
        <v/>
      </c>
      <c r="Z4117" s="75"/>
      <c r="AA4117" s="75" t="str">
        <f>IF(AND(MONTH(E4117)='IN-NX'!$J$5,'IN-NX'!$D$7=D4117),"x","")</f>
        <v/>
      </c>
      <c r="AB4117" s="75" t="str">
        <f>IF(AND(OR(LEFT(TH!N4730,2)="15",LEFT(TH!O4730,2)="15"),LEFT(TH!O4730,3)&lt;&gt;"111",'152-CT'!$J$8=TH!F4730),"x","")</f>
        <v/>
      </c>
      <c r="AC4117" s="75" t="str">
        <f>IF(AND(OR(LEFT(TH!N4730,2)="15",LEFT(TH!O4730,2)="15"),TK!$E$7=TH!F4730),"x","")</f>
        <v/>
      </c>
      <c r="AD4117" s="75" t="str">
        <f>IF(AND(N4117="1521",MONTH(C4117)='BK-NL'!$M$11),"x","")</f>
        <v/>
      </c>
    </row>
    <row r="4118" spans="1:30" ht="16.5" customHeight="1">
      <c r="A4118" s="309" t="str">
        <f>IF(B4118&lt;&gt;"",IF(AND(B4118='IN-TC'!$S$4,OR(TH!N4114="1111",TH!O4114="1111")),TH!D4114,""),"")</f>
        <v/>
      </c>
      <c r="B4118" s="1242">
        <f t="shared" si="1314"/>
        <v>5</v>
      </c>
      <c r="C4118" s="292">
        <f t="shared" si="1313"/>
        <v>42871</v>
      </c>
      <c r="D4118" s="292" t="s">
        <v>902</v>
      </c>
      <c r="E4118" s="59">
        <v>42871</v>
      </c>
      <c r="F4118" s="67" t="s">
        <v>898</v>
      </c>
      <c r="G4118" s="62" t="s">
        <v>585</v>
      </c>
      <c r="H4118" s="311" t="s">
        <v>845</v>
      </c>
      <c r="I4118" s="373"/>
      <c r="J4118" s="379"/>
      <c r="K4118" s="373"/>
      <c r="L4118" s="379"/>
      <c r="M4118" s="60">
        <v>2000</v>
      </c>
      <c r="N4118" s="295" t="s">
        <v>9</v>
      </c>
      <c r="O4118" s="61" t="s">
        <v>26</v>
      </c>
      <c r="P4118" s="75" t="str">
        <f>IF(AND('331-CT'!$E$7=TH!H4731,OR(N4118="331",O4118="331")),"x","")</f>
        <v/>
      </c>
      <c r="Q4118" s="75" t="str">
        <f>IF(AND(B4118='111'!$L$11,OR($N4118=$Q$7,$O4118=$Q$7)),"x","")</f>
        <v/>
      </c>
      <c r="R4118" s="75" t="str">
        <f>IF(AND($N4118=$Q$7,$B4118&lt;'111'!$L$11),"x","")</f>
        <v/>
      </c>
      <c r="S4118" s="75" t="str">
        <f>IF(AND($O4118=$Q$7,$B4118&lt;'111'!$L$11),"x","")</f>
        <v/>
      </c>
      <c r="T4118" s="75" t="str">
        <f>IF(ISERROR(FIND('112'!$M$9,G4118,1)),"",IF((AND(FIND('112'!$M$9,G4118,1)&gt;=1,B4118='112'!$K$9,OR($N4118='112'!$I$6,$O4118='112'!$I$6))),"x",""))</f>
        <v/>
      </c>
      <c r="U4118" s="75" t="str">
        <f>IF(ISERROR(FIND('112'!$M$9,G4118,1)),"",IF((AND(LEFT(G4118,2)=LEFT('112'!$M$9,2),B4118&lt;'112'!$K$9,$N4118='112'!$I$6)),"x",""))</f>
        <v/>
      </c>
      <c r="V4118" s="75" t="str">
        <f>IF(ISERROR(FIND('112'!$M$9,G4118,1)),"",IF((AND(RIGHT(G4118,2)=RIGHT('112'!$M$9,2),B4118&lt;'112'!$K$9,$O4118='112'!$I$6)),"x",""))</f>
        <v/>
      </c>
      <c r="W4118" s="75" t="str">
        <f>IF(AND('341-CT'!$H$9=H4118,OR(LEFT(N4118,3)=$W$7,LEFT(O4118,3)=$W$7)),"x","")</f>
        <v/>
      </c>
      <c r="X4118" s="75" t="str">
        <f>IF(OR(TH!N4731=TH!$X$7,O4118=TH!$X$7),"x","")</f>
        <v/>
      </c>
      <c r="Y4118" s="75" t="str">
        <f>IF(AND(OR(N4118="131",O4118="131"),H4118='131-CT'!$H$9),"x","")</f>
        <v/>
      </c>
      <c r="Z4118" s="75"/>
      <c r="AA4118" s="75" t="str">
        <f>IF(AND(MONTH(E4118)='IN-NX'!$J$5,'IN-NX'!$D$7=D4118),"x","")</f>
        <v/>
      </c>
      <c r="AB4118" s="75" t="str">
        <f>IF(AND(OR(LEFT(TH!N4731,2)="15",LEFT(TH!O4731,2)="15"),LEFT(TH!O4731,3)&lt;&gt;"111",'152-CT'!$J$8=TH!F4731),"x","")</f>
        <v/>
      </c>
      <c r="AC4118" s="75" t="str">
        <f>IF(AND(OR(LEFT(TH!N4731,2)="15",LEFT(TH!O4731,2)="15"),TK!$E$7=TH!F4731),"x","")</f>
        <v/>
      </c>
      <c r="AD4118" s="75" t="str">
        <f>IF(AND(N4118="1521",MONTH(C4118)='BK-NL'!$M$11),"x","")</f>
        <v/>
      </c>
    </row>
    <row r="4119" spans="1:30" ht="16.5" customHeight="1">
      <c r="A4119" s="309" t="str">
        <f>IF(B4119&lt;&gt;"",IF(AND(B4119='IN-TC'!$S$4,OR(TH!N4115="1111",TH!O4115="1111")),TH!D4115,""),"")</f>
        <v/>
      </c>
      <c r="B4119" s="1242">
        <f t="shared" si="1314"/>
        <v>5</v>
      </c>
      <c r="C4119" s="292">
        <f t="shared" si="1313"/>
        <v>42871</v>
      </c>
      <c r="D4119" s="292" t="s">
        <v>902</v>
      </c>
      <c r="E4119" s="59">
        <v>42871</v>
      </c>
      <c r="F4119" s="67" t="s">
        <v>930</v>
      </c>
      <c r="G4119" s="62" t="s">
        <v>585</v>
      </c>
      <c r="H4119" s="67" t="s">
        <v>755</v>
      </c>
      <c r="I4119" s="373"/>
      <c r="J4119" s="379"/>
      <c r="K4119" s="373"/>
      <c r="L4119" s="379"/>
      <c r="M4119" s="60">
        <v>28674397</v>
      </c>
      <c r="N4119" s="295" t="s">
        <v>8</v>
      </c>
      <c r="O4119" s="61" t="s">
        <v>26</v>
      </c>
      <c r="P4119" s="75" t="str">
        <f>IF(AND('331-CT'!$E$7=TH!H4732,OR(N4119="331",O4119="331")),"x","")</f>
        <v/>
      </c>
      <c r="Q4119" s="75" t="str">
        <f>IF(AND(B4119='111'!$L$11,OR($N4119=$Q$7,$O4119=$Q$7)),"x","")</f>
        <v/>
      </c>
      <c r="R4119" s="75" t="str">
        <f>IF(AND($N4119=$Q$7,$B4119&lt;'111'!$L$11),"x","")</f>
        <v/>
      </c>
      <c r="S4119" s="75" t="str">
        <f>IF(AND($O4119=$Q$7,$B4119&lt;'111'!$L$11),"x","")</f>
        <v/>
      </c>
      <c r="T4119" s="75" t="str">
        <f>IF(ISERROR(FIND('112'!$M$9,G4119,1)),"",IF((AND(FIND('112'!$M$9,G4119,1)&gt;=1,B4119='112'!$K$9,OR($N4119='112'!$I$6,$O4119='112'!$I$6))),"x",""))</f>
        <v/>
      </c>
      <c r="U4119" s="75" t="str">
        <f>IF(ISERROR(FIND('112'!$M$9,G4119,1)),"",IF((AND(LEFT(G4119,2)=LEFT('112'!$M$9,2),B4119&lt;'112'!$K$9,$N4119='112'!$I$6)),"x",""))</f>
        <v/>
      </c>
      <c r="V4119" s="75" t="str">
        <f>IF(ISERROR(FIND('112'!$M$9,G4119,1)),"",IF((AND(RIGHT(G4119,2)=RIGHT('112'!$M$9,2),B4119&lt;'112'!$K$9,$O4119='112'!$I$6)),"x",""))</f>
        <v/>
      </c>
      <c r="W4119" s="75" t="str">
        <f>IF(AND('341-CT'!$H$9=H4119,OR(LEFT(N4119,3)=$W$7,LEFT(O4119,3)=$W$7)),"x","")</f>
        <v/>
      </c>
      <c r="X4119" s="75" t="str">
        <f>IF(OR(TH!N4732=TH!$X$7,O4119=TH!$X$7),"x","")</f>
        <v/>
      </c>
      <c r="Y4119" s="75" t="str">
        <f>IF(AND(OR(N4119="131",O4119="131"),H4119='131-CT'!$H$9),"x","")</f>
        <v/>
      </c>
      <c r="Z4119" s="75"/>
      <c r="AA4119" s="75" t="str">
        <f>IF(AND(MONTH(E4119)='IN-NX'!$J$5,'IN-NX'!$D$7=D4119),"x","")</f>
        <v/>
      </c>
      <c r="AB4119" s="75" t="str">
        <f>IF(AND(OR(LEFT(TH!N4732,2)="15",LEFT(TH!O4732,2)="15"),LEFT(TH!O4732,3)&lt;&gt;"111",'152-CT'!$J$8=TH!F4732),"x","")</f>
        <v/>
      </c>
      <c r="AC4119" s="75" t="str">
        <f>IF(AND(OR(LEFT(TH!N4732,2)="15",LEFT(TH!O4732,2)="15"),TK!$E$7=TH!F4732),"x","")</f>
        <v/>
      </c>
      <c r="AD4119" s="75" t="str">
        <f>IF(AND(N4119="1521",MONTH(C4119)='BK-NL'!$M$11),"x","")</f>
        <v/>
      </c>
    </row>
    <row r="4120" spans="1:30" ht="16.5" customHeight="1">
      <c r="A4120" s="309" t="str">
        <f>IF(B4120&lt;&gt;"",IF(AND(B4120='IN-TC'!$S$4,OR(TH!N4116="1111",TH!O4116="1111")),TH!D4116,""),"")</f>
        <v/>
      </c>
      <c r="B4120" s="1242">
        <f t="shared" si="1314"/>
        <v>5</v>
      </c>
      <c r="C4120" s="292">
        <f t="shared" si="1313"/>
        <v>42871</v>
      </c>
      <c r="D4120" s="292" t="s">
        <v>902</v>
      </c>
      <c r="E4120" s="59">
        <v>42871</v>
      </c>
      <c r="F4120" s="67" t="s">
        <v>870</v>
      </c>
      <c r="G4120" s="62" t="s">
        <v>585</v>
      </c>
      <c r="H4120" s="311" t="s">
        <v>845</v>
      </c>
      <c r="I4120" s="373"/>
      <c r="J4120" s="379"/>
      <c r="K4120" s="373"/>
      <c r="L4120" s="379"/>
      <c r="M4120" s="60">
        <v>20000</v>
      </c>
      <c r="N4120" s="295" t="s">
        <v>101</v>
      </c>
      <c r="O4120" s="61" t="s">
        <v>26</v>
      </c>
      <c r="P4120" s="75" t="str">
        <f>IF(AND('331-CT'!$E$7=TH!H4733,OR(N4120="331",O4120="331")),"x","")</f>
        <v/>
      </c>
      <c r="Q4120" s="75" t="str">
        <f>IF(AND(B4120='111'!$L$11,OR($N4120=$Q$7,$O4120=$Q$7)),"x","")</f>
        <v/>
      </c>
      <c r="R4120" s="75" t="str">
        <f>IF(AND($N4120=$Q$7,$B4120&lt;'111'!$L$11),"x","")</f>
        <v/>
      </c>
      <c r="S4120" s="75" t="str">
        <f>IF(AND($O4120=$Q$7,$B4120&lt;'111'!$L$11),"x","")</f>
        <v/>
      </c>
      <c r="T4120" s="75" t="str">
        <f>IF(ISERROR(FIND('112'!$M$9,G4120,1)),"",IF((AND(FIND('112'!$M$9,G4120,1)&gt;=1,B4120='112'!$K$9,OR($N4120='112'!$I$6,$O4120='112'!$I$6))),"x",""))</f>
        <v/>
      </c>
      <c r="U4120" s="75" t="str">
        <f>IF(ISERROR(FIND('112'!$M$9,G4120,1)),"",IF((AND(LEFT(G4120,2)=LEFT('112'!$M$9,2),B4120&lt;'112'!$K$9,$N4120='112'!$I$6)),"x",""))</f>
        <v/>
      </c>
      <c r="V4120" s="75" t="str">
        <f>IF(ISERROR(FIND('112'!$M$9,G4120,1)),"",IF((AND(RIGHT(G4120,2)=RIGHT('112'!$M$9,2),B4120&lt;'112'!$K$9,$O4120='112'!$I$6)),"x",""))</f>
        <v/>
      </c>
      <c r="W4120" s="75" t="str">
        <f>IF(AND('341-CT'!$H$9=H4120,OR(LEFT(N4120,3)=$W$7,LEFT(O4120,3)=$W$7)),"x","")</f>
        <v/>
      </c>
      <c r="X4120" s="75" t="str">
        <f>IF(OR(TH!N4733=TH!$X$7,O4120=TH!$X$7),"x","")</f>
        <v/>
      </c>
      <c r="Y4120" s="75" t="str">
        <f>IF(AND(OR(N4120="131",O4120="131"),H4120='131-CT'!$H$9),"x","")</f>
        <v/>
      </c>
      <c r="Z4120" s="75"/>
      <c r="AA4120" s="75" t="str">
        <f>IF(AND(MONTH(E4120)='IN-NX'!$J$5,'IN-NX'!$D$7=D4120),"x","")</f>
        <v/>
      </c>
      <c r="AB4120" s="75" t="str">
        <f>IF(AND(OR(LEFT(TH!N4733,2)="15",LEFT(TH!O4733,2)="15"),LEFT(TH!O4733,3)&lt;&gt;"111",'152-CT'!$J$8=TH!F4733),"x","")</f>
        <v/>
      </c>
      <c r="AC4120" s="75" t="str">
        <f>IF(AND(OR(LEFT(TH!N4733,2)="15",LEFT(TH!O4733,2)="15"),TK!$E$7=TH!F4733),"x","")</f>
        <v/>
      </c>
      <c r="AD4120" s="75" t="str">
        <f>IF(AND(N4120="1521",MONTH(C4120)='BK-NL'!$M$11),"x","")</f>
        <v/>
      </c>
    </row>
    <row r="4121" spans="1:30" ht="16.5" customHeight="1">
      <c r="A4121" s="309" t="str">
        <f>IF(B4121&lt;&gt;"",IF(AND(B4121='IN-TC'!$S$4,OR(TH!N4117="1111",TH!O4117="1111")),TH!D4117,""),"")</f>
        <v/>
      </c>
      <c r="B4121" s="1242">
        <f t="shared" si="1314"/>
        <v>5</v>
      </c>
      <c r="C4121" s="292">
        <f t="shared" si="1313"/>
        <v>42871</v>
      </c>
      <c r="D4121" s="292" t="s">
        <v>902</v>
      </c>
      <c r="E4121" s="59">
        <v>42871</v>
      </c>
      <c r="F4121" s="67" t="s">
        <v>898</v>
      </c>
      <c r="G4121" s="62" t="s">
        <v>585</v>
      </c>
      <c r="H4121" s="311" t="s">
        <v>845</v>
      </c>
      <c r="I4121" s="373"/>
      <c r="J4121" s="379"/>
      <c r="K4121" s="373"/>
      <c r="L4121" s="379"/>
      <c r="M4121" s="60">
        <v>2000</v>
      </c>
      <c r="N4121" s="295" t="s">
        <v>9</v>
      </c>
      <c r="O4121" s="61" t="s">
        <v>26</v>
      </c>
      <c r="P4121" s="75" t="str">
        <f>IF(AND('331-CT'!$E$7=TH!H4734,OR(N4121="331",O4121="331")),"x","")</f>
        <v/>
      </c>
      <c r="Q4121" s="75" t="str">
        <f>IF(AND(B4121='111'!$L$11,OR($N4121=$Q$7,$O4121=$Q$7)),"x","")</f>
        <v/>
      </c>
      <c r="R4121" s="75" t="str">
        <f>IF(AND($N4121=$Q$7,$B4121&lt;'111'!$L$11),"x","")</f>
        <v/>
      </c>
      <c r="S4121" s="75" t="str">
        <f>IF(AND($O4121=$Q$7,$B4121&lt;'111'!$L$11),"x","")</f>
        <v/>
      </c>
      <c r="T4121" s="75" t="str">
        <f>IF(ISERROR(FIND('112'!$M$9,G4121,1)),"",IF((AND(FIND('112'!$M$9,G4121,1)&gt;=1,B4121='112'!$K$9,OR($N4121='112'!$I$6,$O4121='112'!$I$6))),"x",""))</f>
        <v/>
      </c>
      <c r="U4121" s="75" t="str">
        <f>IF(ISERROR(FIND('112'!$M$9,G4121,1)),"",IF((AND(LEFT(G4121,2)=LEFT('112'!$M$9,2),B4121&lt;'112'!$K$9,$N4121='112'!$I$6)),"x",""))</f>
        <v/>
      </c>
      <c r="V4121" s="75" t="str">
        <f>IF(ISERROR(FIND('112'!$M$9,G4121,1)),"",IF((AND(RIGHT(G4121,2)=RIGHT('112'!$M$9,2),B4121&lt;'112'!$K$9,$O4121='112'!$I$6)),"x",""))</f>
        <v/>
      </c>
      <c r="W4121" s="75" t="str">
        <f>IF(AND('341-CT'!$H$9=H4121,OR(LEFT(N4121,3)=$W$7,LEFT(O4121,3)=$W$7)),"x","")</f>
        <v/>
      </c>
      <c r="X4121" s="75" t="str">
        <f>IF(OR(TH!N4734=TH!$X$7,O4121=TH!$X$7),"x","")</f>
        <v/>
      </c>
      <c r="Y4121" s="75" t="str">
        <f>IF(AND(OR(N4121="131",O4121="131"),H4121='131-CT'!$H$9),"x","")</f>
        <v/>
      </c>
      <c r="Z4121" s="75"/>
      <c r="AA4121" s="75" t="str">
        <f>IF(AND(MONTH(E4121)='IN-NX'!$J$5,'IN-NX'!$D$7=D4121),"x","")</f>
        <v/>
      </c>
      <c r="AB4121" s="75" t="str">
        <f>IF(AND(OR(LEFT(TH!N4734,2)="15",LEFT(TH!O4734,2)="15"),LEFT(TH!O4734,3)&lt;&gt;"111",'152-CT'!$J$8=TH!F4734),"x","")</f>
        <v/>
      </c>
      <c r="AC4121" s="75" t="str">
        <f>IF(AND(OR(LEFT(TH!N4734,2)="15",LEFT(TH!O4734,2)="15"),TK!$E$7=TH!F4734),"x","")</f>
        <v/>
      </c>
      <c r="AD4121" s="75" t="str">
        <f>IF(AND(N4121="1521",MONTH(C4121)='BK-NL'!$M$11),"x","")</f>
        <v/>
      </c>
    </row>
    <row r="4122" spans="1:30" ht="16.5" customHeight="1">
      <c r="A4122" s="309" t="str">
        <f>IF(B4122&lt;&gt;"",IF(AND(B4122='IN-TC'!$S$4,OR(TH!N4118="1111",TH!O4118="1111")),TH!D4118,""),"")</f>
        <v/>
      </c>
      <c r="B4122" s="1242">
        <f t="shared" si="1314"/>
        <v>5</v>
      </c>
      <c r="C4122" s="292">
        <f t="shared" si="1313"/>
        <v>42871</v>
      </c>
      <c r="D4122" s="292" t="s">
        <v>902</v>
      </c>
      <c r="E4122" s="59">
        <v>42871</v>
      </c>
      <c r="F4122" s="67" t="s">
        <v>1541</v>
      </c>
      <c r="G4122" s="62" t="s">
        <v>585</v>
      </c>
      <c r="H4122" s="311" t="s">
        <v>557</v>
      </c>
      <c r="I4122" s="373"/>
      <c r="J4122" s="379"/>
      <c r="K4122" s="373"/>
      <c r="L4122" s="379"/>
      <c r="M4122" s="60">
        <v>9600000</v>
      </c>
      <c r="N4122" s="295" t="s">
        <v>8</v>
      </c>
      <c r="O4122" s="61" t="s">
        <v>26</v>
      </c>
      <c r="P4122" s="75" t="str">
        <f>IF(AND('331-CT'!$E$7=TH!H4735,OR(N4122="331",O4122="331")),"x","")</f>
        <v/>
      </c>
      <c r="Q4122" s="75" t="str">
        <f>IF(AND(B4122='111'!$L$11,OR($N4122=$Q$7,$O4122=$Q$7)),"x","")</f>
        <v/>
      </c>
      <c r="R4122" s="75" t="str">
        <f>IF(AND($N4122=$Q$7,$B4122&lt;'111'!$L$11),"x","")</f>
        <v/>
      </c>
      <c r="S4122" s="75" t="str">
        <f>IF(AND($O4122=$Q$7,$B4122&lt;'111'!$L$11),"x","")</f>
        <v/>
      </c>
      <c r="T4122" s="75" t="str">
        <f>IF(ISERROR(FIND('112'!$M$9,G4122,1)),"",IF((AND(FIND('112'!$M$9,G4122,1)&gt;=1,B4122='112'!$K$9,OR($N4122='112'!$I$6,$O4122='112'!$I$6))),"x",""))</f>
        <v/>
      </c>
      <c r="U4122" s="75" t="str">
        <f>IF(ISERROR(FIND('112'!$M$9,G4122,1)),"",IF((AND(LEFT(G4122,2)=LEFT('112'!$M$9,2),B4122&lt;'112'!$K$9,$N4122='112'!$I$6)),"x",""))</f>
        <v/>
      </c>
      <c r="V4122" s="75" t="str">
        <f>IF(ISERROR(FIND('112'!$M$9,G4122,1)),"",IF((AND(RIGHT(G4122,2)=RIGHT('112'!$M$9,2),B4122&lt;'112'!$K$9,$O4122='112'!$I$6)),"x",""))</f>
        <v/>
      </c>
      <c r="W4122" s="75" t="str">
        <f>IF(AND('341-CT'!$H$9=H4122,OR(LEFT(N4122,3)=$W$7,LEFT(O4122,3)=$W$7)),"x","")</f>
        <v/>
      </c>
      <c r="X4122" s="75" t="str">
        <f>IF(OR(TH!N4735=TH!$X$7,O4122=TH!$X$7),"x","")</f>
        <v/>
      </c>
      <c r="Y4122" s="75" t="str">
        <f>IF(AND(OR(N4122="131",O4122="131"),H4122='131-CT'!$H$9),"x","")</f>
        <v/>
      </c>
      <c r="Z4122" s="75"/>
      <c r="AA4122" s="75" t="str">
        <f>IF(AND(MONTH(E4122)='IN-NX'!$J$5,'IN-NX'!$D$7=D4122),"x","")</f>
        <v/>
      </c>
      <c r="AB4122" s="75" t="str">
        <f>IF(AND(OR(LEFT(TH!N4735,2)="15",LEFT(TH!O4735,2)="15"),LEFT(TH!O4735,3)&lt;&gt;"111",'152-CT'!$J$8=TH!F4735),"x","")</f>
        <v/>
      </c>
      <c r="AC4122" s="75" t="str">
        <f>IF(AND(OR(LEFT(TH!N4735,2)="15",LEFT(TH!O4735,2)="15"),TK!$E$7=TH!F4735),"x","")</f>
        <v/>
      </c>
      <c r="AD4122" s="75" t="str">
        <f>IF(AND(N4122="1521",MONTH(C4122)='BK-NL'!$M$11),"x","")</f>
        <v/>
      </c>
    </row>
    <row r="4123" spans="1:30" ht="16.5" customHeight="1">
      <c r="A4123" s="309" t="str">
        <f>IF(B4123&lt;&gt;"",IF(AND(B4123='IN-TC'!$S$4,OR(TH!N4119="1111",TH!O4119="1111")),TH!D4119,""),"")</f>
        <v/>
      </c>
      <c r="B4123" s="1242">
        <f t="shared" si="1314"/>
        <v>5</v>
      </c>
      <c r="C4123" s="292">
        <f t="shared" si="1313"/>
        <v>42871</v>
      </c>
      <c r="D4123" s="292" t="s">
        <v>902</v>
      </c>
      <c r="E4123" s="59">
        <v>42871</v>
      </c>
      <c r="F4123" s="67" t="s">
        <v>870</v>
      </c>
      <c r="G4123" s="62" t="s">
        <v>585</v>
      </c>
      <c r="H4123" s="311" t="s">
        <v>845</v>
      </c>
      <c r="I4123" s="373"/>
      <c r="J4123" s="379"/>
      <c r="K4123" s="373"/>
      <c r="L4123" s="379"/>
      <c r="M4123" s="60">
        <v>20000</v>
      </c>
      <c r="N4123" s="295" t="s">
        <v>101</v>
      </c>
      <c r="O4123" s="61" t="s">
        <v>26</v>
      </c>
      <c r="P4123" s="75" t="str">
        <f>IF(AND('331-CT'!$E$7=TH!H4736,OR(N4123="331",O4123="331")),"x","")</f>
        <v/>
      </c>
      <c r="Q4123" s="75" t="str">
        <f>IF(AND(B4123='111'!$L$11,OR($N4123=$Q$7,$O4123=$Q$7)),"x","")</f>
        <v/>
      </c>
      <c r="R4123" s="75" t="str">
        <f>IF(AND($N4123=$Q$7,$B4123&lt;'111'!$L$11),"x","")</f>
        <v/>
      </c>
      <c r="S4123" s="75" t="str">
        <f>IF(AND($O4123=$Q$7,$B4123&lt;'111'!$L$11),"x","")</f>
        <v/>
      </c>
      <c r="T4123" s="75" t="str">
        <f>IF(ISERROR(FIND('112'!$M$9,G4123,1)),"",IF((AND(FIND('112'!$M$9,G4123,1)&gt;=1,B4123='112'!$K$9,OR($N4123='112'!$I$6,$O4123='112'!$I$6))),"x",""))</f>
        <v/>
      </c>
      <c r="U4123" s="75" t="str">
        <f>IF(ISERROR(FIND('112'!$M$9,G4123,1)),"",IF((AND(LEFT(G4123,2)=LEFT('112'!$M$9,2),B4123&lt;'112'!$K$9,$N4123='112'!$I$6)),"x",""))</f>
        <v/>
      </c>
      <c r="V4123" s="75" t="str">
        <f>IF(ISERROR(FIND('112'!$M$9,G4123,1)),"",IF((AND(RIGHT(G4123,2)=RIGHT('112'!$M$9,2),B4123&lt;'112'!$K$9,$O4123='112'!$I$6)),"x",""))</f>
        <v/>
      </c>
      <c r="W4123" s="75" t="str">
        <f>IF(AND('341-CT'!$H$9=H4123,OR(LEFT(N4123,3)=$W$7,LEFT(O4123,3)=$W$7)),"x","")</f>
        <v/>
      </c>
      <c r="X4123" s="75" t="str">
        <f>IF(OR(TH!N4736=TH!$X$7,O4123=TH!$X$7),"x","")</f>
        <v/>
      </c>
      <c r="Y4123" s="75" t="str">
        <f>IF(AND(OR(N4123="131",O4123="131"),H4123='131-CT'!$H$9),"x","")</f>
        <v/>
      </c>
      <c r="Z4123" s="75"/>
      <c r="AA4123" s="75" t="str">
        <f>IF(AND(MONTH(E4123)='IN-NX'!$J$5,'IN-NX'!$D$7=D4123),"x","")</f>
        <v/>
      </c>
      <c r="AB4123" s="75" t="str">
        <f>IF(AND(OR(LEFT(TH!N4736,2)="15",LEFT(TH!O4736,2)="15"),LEFT(TH!O4736,3)&lt;&gt;"111",'152-CT'!$J$8=TH!F4736),"x","")</f>
        <v/>
      </c>
      <c r="AC4123" s="75" t="str">
        <f>IF(AND(OR(LEFT(TH!N4736,2)="15",LEFT(TH!O4736,2)="15"),TK!$E$7=TH!F4736),"x","")</f>
        <v/>
      </c>
      <c r="AD4123" s="75" t="str">
        <f>IF(AND(N4123="1521",MONTH(C4123)='BK-NL'!$M$11),"x","")</f>
        <v/>
      </c>
    </row>
    <row r="4124" spans="1:30" ht="16.5" customHeight="1">
      <c r="A4124" s="309" t="str">
        <f>IF(B4124&lt;&gt;"",IF(AND(B4124='IN-TC'!$S$4,OR(TH!N4120="1111",TH!O4120="1111")),TH!D4120,""),"")</f>
        <v/>
      </c>
      <c r="B4124" s="1242">
        <f t="shared" si="1314"/>
        <v>5</v>
      </c>
      <c r="C4124" s="292">
        <f t="shared" si="1313"/>
        <v>42871</v>
      </c>
      <c r="D4124" s="292" t="s">
        <v>902</v>
      </c>
      <c r="E4124" s="59">
        <v>42871</v>
      </c>
      <c r="F4124" s="67" t="s">
        <v>898</v>
      </c>
      <c r="G4124" s="62" t="s">
        <v>585</v>
      </c>
      <c r="H4124" s="311" t="s">
        <v>845</v>
      </c>
      <c r="I4124" s="373"/>
      <c r="J4124" s="379"/>
      <c r="K4124" s="373"/>
      <c r="L4124" s="379"/>
      <c r="M4124" s="60">
        <v>2000</v>
      </c>
      <c r="N4124" s="295" t="s">
        <v>9</v>
      </c>
      <c r="O4124" s="61" t="s">
        <v>26</v>
      </c>
      <c r="P4124" s="75" t="str">
        <f>IF(AND('331-CT'!$E$7=TH!H4737,OR(N4124="331",O4124="331")),"x","")</f>
        <v/>
      </c>
      <c r="Q4124" s="75" t="str">
        <f>IF(AND(B4124='111'!$L$11,OR($N4124=$Q$7,$O4124=$Q$7)),"x","")</f>
        <v/>
      </c>
      <c r="R4124" s="75" t="str">
        <f>IF(AND($N4124=$Q$7,$B4124&lt;'111'!$L$11),"x","")</f>
        <v/>
      </c>
      <c r="S4124" s="75" t="str">
        <f>IF(AND($O4124=$Q$7,$B4124&lt;'111'!$L$11),"x","")</f>
        <v/>
      </c>
      <c r="T4124" s="75" t="str">
        <f>IF(ISERROR(FIND('112'!$M$9,G4124,1)),"",IF((AND(FIND('112'!$M$9,G4124,1)&gt;=1,B4124='112'!$K$9,OR($N4124='112'!$I$6,$O4124='112'!$I$6))),"x",""))</f>
        <v/>
      </c>
      <c r="U4124" s="75" t="str">
        <f>IF(ISERROR(FIND('112'!$M$9,G4124,1)),"",IF((AND(LEFT(G4124,2)=LEFT('112'!$M$9,2),B4124&lt;'112'!$K$9,$N4124='112'!$I$6)),"x",""))</f>
        <v/>
      </c>
      <c r="V4124" s="75" t="str">
        <f>IF(ISERROR(FIND('112'!$M$9,G4124,1)),"",IF((AND(RIGHT(G4124,2)=RIGHT('112'!$M$9,2),B4124&lt;'112'!$K$9,$O4124='112'!$I$6)),"x",""))</f>
        <v/>
      </c>
      <c r="W4124" s="75" t="str">
        <f>IF(AND('341-CT'!$H$9=H4124,OR(LEFT(N4124,3)=$W$7,LEFT(O4124,3)=$W$7)),"x","")</f>
        <v/>
      </c>
      <c r="X4124" s="75" t="str">
        <f>IF(OR(TH!N4737=TH!$X$7,O4124=TH!$X$7),"x","")</f>
        <v/>
      </c>
      <c r="Y4124" s="75" t="str">
        <f>IF(AND(OR(N4124="131",O4124="131"),H4124='131-CT'!$H$9),"x","")</f>
        <v/>
      </c>
      <c r="Z4124" s="75"/>
      <c r="AA4124" s="75" t="str">
        <f>IF(AND(MONTH(E4124)='IN-NX'!$J$5,'IN-NX'!$D$7=D4124),"x","")</f>
        <v/>
      </c>
      <c r="AB4124" s="75" t="str">
        <f>IF(AND(OR(LEFT(TH!N4737,2)="15",LEFT(TH!O4737,2)="15"),LEFT(TH!O4737,3)&lt;&gt;"111",'152-CT'!$J$8=TH!F4737),"x","")</f>
        <v/>
      </c>
      <c r="AC4124" s="75" t="str">
        <f>IF(AND(OR(LEFT(TH!N4737,2)="15",LEFT(TH!O4737,2)="15"),TK!$E$7=TH!F4737),"x","")</f>
        <v/>
      </c>
      <c r="AD4124" s="75" t="str">
        <f>IF(AND(N4124="1521",MONTH(C4124)='BK-NL'!$M$11),"x","")</f>
        <v/>
      </c>
    </row>
    <row r="4125" spans="1:30" ht="16.5" customHeight="1">
      <c r="A4125" s="309" t="str">
        <f>IF(B4125&lt;&gt;"",IF(AND(B4125='IN-TC'!$S$4,OR(TH!N4121="1111",TH!O4121="1111")),TH!D4121,""),"")</f>
        <v/>
      </c>
      <c r="B4125" s="1242">
        <f t="shared" si="1314"/>
        <v>5</v>
      </c>
      <c r="C4125" s="292">
        <f t="shared" si="1313"/>
        <v>42871</v>
      </c>
      <c r="D4125" s="292" t="s">
        <v>902</v>
      </c>
      <c r="E4125" s="59">
        <v>42871</v>
      </c>
      <c r="F4125" s="67" t="s">
        <v>1088</v>
      </c>
      <c r="G4125" s="62" t="s">
        <v>585</v>
      </c>
      <c r="H4125" s="311" t="s">
        <v>845</v>
      </c>
      <c r="I4125" s="373"/>
      <c r="J4125" s="379"/>
      <c r="K4125" s="373"/>
      <c r="L4125" s="379"/>
      <c r="M4125" s="60">
        <v>50000</v>
      </c>
      <c r="N4125" s="295" t="s">
        <v>101</v>
      </c>
      <c r="O4125" s="61" t="s">
        <v>26</v>
      </c>
      <c r="P4125" s="75" t="str">
        <f>IF(AND('331-CT'!$E$7=TH!H4738,OR(N4125="331",O4125="331")),"x","")</f>
        <v/>
      </c>
      <c r="Q4125" s="75" t="str">
        <f>IF(AND(B4125='111'!$L$11,OR($N4125=$Q$7,$O4125=$Q$7)),"x","")</f>
        <v/>
      </c>
      <c r="R4125" s="75" t="str">
        <f>IF(AND($N4125=$Q$7,$B4125&lt;'111'!$L$11),"x","")</f>
        <v/>
      </c>
      <c r="S4125" s="75" t="str">
        <f>IF(AND($O4125=$Q$7,$B4125&lt;'111'!$L$11),"x","")</f>
        <v/>
      </c>
      <c r="T4125" s="75" t="str">
        <f>IF(ISERROR(FIND('112'!$M$9,G4125,1)),"",IF((AND(FIND('112'!$M$9,G4125,1)&gt;=1,B4125='112'!$K$9,OR($N4125='112'!$I$6,$O4125='112'!$I$6))),"x",""))</f>
        <v/>
      </c>
      <c r="U4125" s="75" t="str">
        <f>IF(ISERROR(FIND('112'!$M$9,G4125,1)),"",IF((AND(LEFT(G4125,2)=LEFT('112'!$M$9,2),B4125&lt;'112'!$K$9,$N4125='112'!$I$6)),"x",""))</f>
        <v/>
      </c>
      <c r="V4125" s="75" t="str">
        <f>IF(ISERROR(FIND('112'!$M$9,G4125,1)),"",IF((AND(RIGHT(G4125,2)=RIGHT('112'!$M$9,2),B4125&lt;'112'!$K$9,$O4125='112'!$I$6)),"x",""))</f>
        <v/>
      </c>
      <c r="W4125" s="75" t="str">
        <f>IF(AND('341-CT'!$H$9=H4125,OR(LEFT(N4125,3)=$W$7,LEFT(O4125,3)=$W$7)),"x","")</f>
        <v/>
      </c>
      <c r="X4125" s="75" t="str">
        <f>IF(OR(TH!N4738=TH!$X$7,O4125=TH!$X$7),"x","")</f>
        <v/>
      </c>
      <c r="Y4125" s="75" t="str">
        <f>IF(AND(OR(N4125="131",O4125="131"),H4125='131-CT'!$H$9),"x","")</f>
        <v/>
      </c>
      <c r="Z4125" s="75"/>
      <c r="AA4125" s="75" t="str">
        <f>IF(AND(MONTH(E4125)='IN-NX'!$J$5,'IN-NX'!$D$7=D4125),"x","")</f>
        <v/>
      </c>
      <c r="AB4125" s="75" t="str">
        <f>IF(AND(OR(LEFT(TH!N4738,2)="15",LEFT(TH!O4738,2)="15"),LEFT(TH!O4738,3)&lt;&gt;"111",'152-CT'!$J$8=TH!F4738),"x","")</f>
        <v/>
      </c>
      <c r="AC4125" s="75" t="str">
        <f>IF(AND(OR(LEFT(TH!N4738,2)="15",LEFT(TH!O4738,2)="15"),TK!$E$7=TH!F4738),"x","")</f>
        <v/>
      </c>
      <c r="AD4125" s="75" t="str">
        <f>IF(AND(N4125="1521",MONTH(C4125)='BK-NL'!$M$11),"x","")</f>
        <v/>
      </c>
    </row>
    <row r="4126" spans="1:30" ht="16.5" customHeight="1">
      <c r="A4126" s="309" t="str">
        <f>IF(B4126&lt;&gt;"",IF(AND(B4126='IN-TC'!$S$4,OR(TH!N4122="1111",TH!O4122="1111")),TH!D4122,""),"")</f>
        <v/>
      </c>
      <c r="B4126" s="1242">
        <f t="shared" si="1314"/>
        <v>5</v>
      </c>
      <c r="C4126" s="292">
        <f t="shared" si="1313"/>
        <v>42871</v>
      </c>
      <c r="D4126" s="292" t="s">
        <v>902</v>
      </c>
      <c r="E4126" s="59">
        <v>42871</v>
      </c>
      <c r="F4126" s="67" t="s">
        <v>1089</v>
      </c>
      <c r="G4126" s="62" t="s">
        <v>585</v>
      </c>
      <c r="H4126" s="311" t="s">
        <v>845</v>
      </c>
      <c r="I4126" s="373"/>
      <c r="J4126" s="379"/>
      <c r="K4126" s="373"/>
      <c r="L4126" s="379"/>
      <c r="M4126" s="60">
        <v>5000</v>
      </c>
      <c r="N4126" s="295" t="s">
        <v>9</v>
      </c>
      <c r="O4126" s="61" t="s">
        <v>26</v>
      </c>
      <c r="P4126" s="75" t="str">
        <f>IF(AND('331-CT'!$E$7=TH!H4740,OR(N4126="331",O4126="331")),"x","")</f>
        <v/>
      </c>
      <c r="Q4126" s="75" t="str">
        <f>IF(AND(B4126='111'!$L$11,OR($N4126=$Q$7,$O4126=$Q$7)),"x","")</f>
        <v/>
      </c>
      <c r="R4126" s="75" t="str">
        <f>IF(AND($N4126=$Q$7,$B4126&lt;'111'!$L$11),"x","")</f>
        <v/>
      </c>
      <c r="S4126" s="75" t="str">
        <f>IF(AND($O4126=$Q$7,$B4126&lt;'111'!$L$11),"x","")</f>
        <v/>
      </c>
      <c r="T4126" s="75" t="str">
        <f>IF(ISERROR(FIND('112'!$M$9,G4126,1)),"",IF((AND(FIND('112'!$M$9,G4126,1)&gt;=1,B4126='112'!$K$9,OR($N4126='112'!$I$6,$O4126='112'!$I$6))),"x",""))</f>
        <v/>
      </c>
      <c r="U4126" s="75" t="str">
        <f>IF(ISERROR(FIND('112'!$M$9,G4126,1)),"",IF((AND(LEFT(G4126,2)=LEFT('112'!$M$9,2),B4126&lt;'112'!$K$9,$N4126='112'!$I$6)),"x",""))</f>
        <v/>
      </c>
      <c r="V4126" s="75" t="str">
        <f>IF(ISERROR(FIND('112'!$M$9,G4126,1)),"",IF((AND(RIGHT(G4126,2)=RIGHT('112'!$M$9,2),B4126&lt;'112'!$K$9,$O4126='112'!$I$6)),"x",""))</f>
        <v/>
      </c>
      <c r="W4126" s="75" t="str">
        <f>IF(AND('341-CT'!$H$9=H4126,OR(LEFT(N4126,3)=$W$7,LEFT(O4126,3)=$W$7)),"x","")</f>
        <v/>
      </c>
      <c r="X4126" s="75" t="str">
        <f>IF(OR(TH!N4740=TH!$X$7,O4126=TH!$X$7),"x","")</f>
        <v/>
      </c>
      <c r="Y4126" s="75" t="str">
        <f>IF(AND(OR(N4126="131",O4126="131"),H4126='131-CT'!$H$9),"x","")</f>
        <v/>
      </c>
      <c r="Z4126" s="75"/>
      <c r="AA4126" s="75" t="str">
        <f>IF(AND(MONTH(E4126)='IN-NX'!$J$5,'IN-NX'!$D$7=D4126),"x","")</f>
        <v/>
      </c>
      <c r="AB4126" s="75" t="str">
        <f>IF(AND(OR(LEFT(TH!N4740,2)="15",LEFT(TH!O4740,2)="15"),LEFT(TH!O4740,3)&lt;&gt;"111",'152-CT'!$J$8=TH!F4740),"x","")</f>
        <v/>
      </c>
      <c r="AC4126" s="75" t="str">
        <f>IF(AND(OR(LEFT(TH!N4740,2)="15",LEFT(TH!O4740,2)="15"),TK!$E$7=TH!F4740),"x","")</f>
        <v/>
      </c>
      <c r="AD4126" s="75" t="str">
        <f>IF(AND(N4126="1521",MONTH(C4126)='BK-NL'!$M$11),"x","")</f>
        <v/>
      </c>
    </row>
    <row r="4127" spans="1:30" ht="16.5" customHeight="1">
      <c r="A4127" s="309" t="str">
        <f>IF(B4127&lt;&gt;"",IF(AND(B4127='IN-TC'!$S$4,OR(TH!N4123="1111",TH!O4123="1111")),TH!D4123,""),"")</f>
        <v/>
      </c>
      <c r="B4127" s="1242">
        <f t="shared" si="1314"/>
        <v>5</v>
      </c>
      <c r="C4127" s="292">
        <f t="shared" si="1313"/>
        <v>42871</v>
      </c>
      <c r="D4127" s="292" t="s">
        <v>902</v>
      </c>
      <c r="E4127" s="59">
        <v>42871</v>
      </c>
      <c r="F4127" s="67" t="s">
        <v>1088</v>
      </c>
      <c r="G4127" s="62" t="s">
        <v>585</v>
      </c>
      <c r="H4127" s="311" t="s">
        <v>845</v>
      </c>
      <c r="I4127" s="373"/>
      <c r="J4127" s="379"/>
      <c r="K4127" s="373"/>
      <c r="L4127" s="379"/>
      <c r="M4127" s="60">
        <v>50000</v>
      </c>
      <c r="N4127" s="295" t="s">
        <v>101</v>
      </c>
      <c r="O4127" s="61" t="s">
        <v>26</v>
      </c>
      <c r="P4127" s="75" t="str">
        <f>IF(AND('331-CT'!$E$7=TH!H4741,OR(N4127="331",O4127="331")),"x","")</f>
        <v/>
      </c>
      <c r="Q4127" s="75" t="str">
        <f>IF(AND(B4127='111'!$L$11,OR($N4127=$Q$7,$O4127=$Q$7)),"x","")</f>
        <v/>
      </c>
      <c r="R4127" s="75" t="str">
        <f>IF(AND($N4127=$Q$7,$B4127&lt;'111'!$L$11),"x","")</f>
        <v/>
      </c>
      <c r="S4127" s="75" t="str">
        <f>IF(AND($O4127=$Q$7,$B4127&lt;'111'!$L$11),"x","")</f>
        <v/>
      </c>
      <c r="T4127" s="75" t="str">
        <f>IF(ISERROR(FIND('112'!$M$9,G4127,1)),"",IF((AND(FIND('112'!$M$9,G4127,1)&gt;=1,B4127='112'!$K$9,OR($N4127='112'!$I$6,$O4127='112'!$I$6))),"x",""))</f>
        <v/>
      </c>
      <c r="U4127" s="75" t="str">
        <f>IF(ISERROR(FIND('112'!$M$9,G4127,1)),"",IF((AND(LEFT(G4127,2)=LEFT('112'!$M$9,2),B4127&lt;'112'!$K$9,$N4127='112'!$I$6)),"x",""))</f>
        <v/>
      </c>
      <c r="V4127" s="75" t="str">
        <f>IF(ISERROR(FIND('112'!$M$9,G4127,1)),"",IF((AND(RIGHT(G4127,2)=RIGHT('112'!$M$9,2),B4127&lt;'112'!$K$9,$O4127='112'!$I$6)),"x",""))</f>
        <v/>
      </c>
      <c r="W4127" s="75" t="str">
        <f>IF(AND('341-CT'!$H$9=H4127,OR(LEFT(N4127,3)=$W$7,LEFT(O4127,3)=$W$7)),"x","")</f>
        <v/>
      </c>
      <c r="X4127" s="75" t="str">
        <f>IF(OR(TH!N4741=TH!$X$7,O4127=TH!$X$7),"x","")</f>
        <v/>
      </c>
      <c r="Y4127" s="75" t="str">
        <f>IF(AND(OR(N4127="131",O4127="131"),H4127='131-CT'!$H$9),"x","")</f>
        <v/>
      </c>
      <c r="Z4127" s="75"/>
      <c r="AA4127" s="75" t="str">
        <f>IF(AND(MONTH(E4127)='IN-NX'!$J$5,'IN-NX'!$D$7=D4127),"x","")</f>
        <v/>
      </c>
      <c r="AB4127" s="75" t="str">
        <f>IF(AND(OR(LEFT(TH!N4741,2)="15",LEFT(TH!O4741,2)="15"),LEFT(TH!O4741,3)&lt;&gt;"111",'152-CT'!$J$8=TH!F4741),"x","")</f>
        <v/>
      </c>
      <c r="AC4127" s="75" t="str">
        <f>IF(AND(OR(LEFT(TH!N4741,2)="15",LEFT(TH!O4741,2)="15"),TK!$E$7=TH!F4741),"x","")</f>
        <v/>
      </c>
      <c r="AD4127" s="75" t="str">
        <f>IF(AND(N4127="1521",MONTH(C4127)='BK-NL'!$M$11),"x","")</f>
        <v/>
      </c>
    </row>
    <row r="4128" spans="1:30" ht="16.5" customHeight="1">
      <c r="A4128" s="309" t="str">
        <f>IF(B4128&lt;&gt;"",IF(AND(B4128='IN-TC'!$S$4,OR(TH!N4124="1111",TH!O4124="1111")),TH!D4124,""),"")</f>
        <v/>
      </c>
      <c r="B4128" s="1242">
        <f t="shared" si="1314"/>
        <v>5</v>
      </c>
      <c r="C4128" s="292">
        <f t="shared" si="1313"/>
        <v>42871</v>
      </c>
      <c r="D4128" s="292" t="s">
        <v>902</v>
      </c>
      <c r="E4128" s="59">
        <v>42871</v>
      </c>
      <c r="F4128" s="67" t="s">
        <v>1089</v>
      </c>
      <c r="G4128" s="62" t="s">
        <v>585</v>
      </c>
      <c r="H4128" s="311" t="s">
        <v>845</v>
      </c>
      <c r="I4128" s="373"/>
      <c r="J4128" s="379"/>
      <c r="K4128" s="373"/>
      <c r="L4128" s="379"/>
      <c r="M4128" s="60">
        <v>5000</v>
      </c>
      <c r="N4128" s="295" t="s">
        <v>9</v>
      </c>
      <c r="O4128" s="61" t="s">
        <v>26</v>
      </c>
      <c r="P4128" s="75" t="str">
        <f>IF(AND('331-CT'!$E$7=TH!H4742,OR(N4128="331",O4128="331")),"x","")</f>
        <v/>
      </c>
      <c r="Q4128" s="75" t="str">
        <f>IF(AND(B4128='111'!$L$11,OR($N4128=$Q$7,$O4128=$Q$7)),"x","")</f>
        <v/>
      </c>
      <c r="R4128" s="75" t="str">
        <f>IF(AND($N4128=$Q$7,$B4128&lt;'111'!$L$11),"x","")</f>
        <v/>
      </c>
      <c r="S4128" s="75" t="str">
        <f>IF(AND($O4128=$Q$7,$B4128&lt;'111'!$L$11),"x","")</f>
        <v/>
      </c>
      <c r="T4128" s="75" t="str">
        <f>IF(ISERROR(FIND('112'!$M$9,G4128,1)),"",IF((AND(FIND('112'!$M$9,G4128,1)&gt;=1,B4128='112'!$K$9,OR($N4128='112'!$I$6,$O4128='112'!$I$6))),"x",""))</f>
        <v/>
      </c>
      <c r="U4128" s="75" t="str">
        <f>IF(ISERROR(FIND('112'!$M$9,G4128,1)),"",IF((AND(LEFT(G4128,2)=LEFT('112'!$M$9,2),B4128&lt;'112'!$K$9,$N4128='112'!$I$6)),"x",""))</f>
        <v/>
      </c>
      <c r="V4128" s="75" t="str">
        <f>IF(ISERROR(FIND('112'!$M$9,G4128,1)),"",IF((AND(RIGHT(G4128,2)=RIGHT('112'!$M$9,2),B4128&lt;'112'!$K$9,$O4128='112'!$I$6)),"x",""))</f>
        <v/>
      </c>
      <c r="W4128" s="75" t="str">
        <f>IF(AND('341-CT'!$H$9=H4128,OR(LEFT(N4128,3)=$W$7,LEFT(O4128,3)=$W$7)),"x","")</f>
        <v/>
      </c>
      <c r="X4128" s="75" t="str">
        <f>IF(OR(TH!N4742=TH!$X$7,O4128=TH!$X$7),"x","")</f>
        <v/>
      </c>
      <c r="Y4128" s="75" t="str">
        <f>IF(AND(OR(N4128="131",O4128="131"),H4128='131-CT'!$H$9),"x","")</f>
        <v/>
      </c>
      <c r="Z4128" s="75"/>
      <c r="AA4128" s="75" t="str">
        <f>IF(AND(MONTH(E4128)='IN-NX'!$J$5,'IN-NX'!$D$7=D4128),"x","")</f>
        <v/>
      </c>
      <c r="AB4128" s="75" t="str">
        <f>IF(AND(OR(LEFT(TH!N4742,2)="15",LEFT(TH!O4742,2)="15"),LEFT(TH!O4742,3)&lt;&gt;"111",'152-CT'!$J$8=TH!F4742),"x","")</f>
        <v/>
      </c>
      <c r="AC4128" s="75" t="str">
        <f>IF(AND(OR(LEFT(TH!N4742,2)="15",LEFT(TH!O4742,2)="15"),TK!$E$7=TH!F4742),"x","")</f>
        <v/>
      </c>
      <c r="AD4128" s="75" t="str">
        <f>IF(AND(N4128="1521",MONTH(C4128)='BK-NL'!$M$11),"x","")</f>
        <v/>
      </c>
    </row>
    <row r="4129" spans="1:33" ht="16.5" customHeight="1">
      <c r="A4129" s="309" t="str">
        <f>IF(B4129&lt;&gt;"",IF(AND(B4129='IN-TC'!$S$4,OR(TH!N4125="1111",TH!O4125="1111")),TH!D4125,""),"")</f>
        <v/>
      </c>
      <c r="B4129" s="1242">
        <f t="shared" si="1314"/>
        <v>5</v>
      </c>
      <c r="C4129" s="292">
        <f t="shared" si="1313"/>
        <v>42871</v>
      </c>
      <c r="D4129" s="292" t="s">
        <v>902</v>
      </c>
      <c r="E4129" s="292">
        <v>42871</v>
      </c>
      <c r="F4129" s="67" t="s">
        <v>1549</v>
      </c>
      <c r="G4129" s="293" t="s">
        <v>747</v>
      </c>
      <c r="H4129" s="294" t="s">
        <v>835</v>
      </c>
      <c r="I4129" s="373"/>
      <c r="J4129" s="379"/>
      <c r="K4129" s="373"/>
      <c r="L4129" s="379"/>
      <c r="M4129" s="60">
        <v>227200</v>
      </c>
      <c r="N4129" s="295" t="s">
        <v>101</v>
      </c>
      <c r="O4129" s="61" t="s">
        <v>26</v>
      </c>
      <c r="P4129" s="75" t="str">
        <f>IF(AND('331-CT'!$E$7=TH!H5170,OR(N4129="331",O4129="331")),"x","")</f>
        <v/>
      </c>
      <c r="Q4129" s="75" t="str">
        <f>IF(AND(B4129='111'!$L$11,OR($N4129=$Q$7,$O4129=$Q$7)),"x","")</f>
        <v/>
      </c>
      <c r="R4129" s="75" t="str">
        <f>IF(AND($N4129=$Q$7,$B4129&lt;'111'!$L$11),"x","")</f>
        <v/>
      </c>
      <c r="S4129" s="75" t="str">
        <f>IF(AND($O4129=$Q$7,$B4129&lt;'111'!$L$11),"x","")</f>
        <v/>
      </c>
      <c r="T4129" s="75" t="str">
        <f>IF(ISERROR(FIND('112'!$M$9,G4129,1)),"",IF((AND(FIND('112'!$M$9,G4129,1)&gt;=1,B4129='112'!$K$9,OR($N4129='112'!$I$6,$O4129='112'!$I$6))),"x",""))</f>
        <v/>
      </c>
      <c r="U4129" s="75" t="str">
        <f>IF(ISERROR(FIND('112'!$M$9,G4129,1)),"",IF((AND(LEFT(G4129,2)=LEFT('112'!$M$9,2),B4129&lt;'112'!$K$9,$N4129='112'!$I$6)),"x",""))</f>
        <v/>
      </c>
      <c r="V4129" s="75" t="str">
        <f>IF(ISERROR(FIND('112'!$M$9,G4129,1)),"",IF((AND(RIGHT(G4129,2)=RIGHT('112'!$M$9,2),B4129&lt;'112'!$K$9,$O4129='112'!$I$6)),"x",""))</f>
        <v/>
      </c>
      <c r="W4129" s="75" t="str">
        <f>IF(AND('341-CT'!$H$9=H4129,OR(LEFT(N4129,3)=$W$7,LEFT(O4129,3)=$W$7)),"x","")</f>
        <v/>
      </c>
      <c r="X4129" s="75" t="str">
        <f>IF(OR(TH!N5170=TH!$X$7,O4129=TH!$X$7),"x","")</f>
        <v/>
      </c>
      <c r="Y4129" s="75" t="str">
        <f>IF(AND(OR(N4129="131",O4129="131"),H4129='131-CT'!$H$9),"x","")</f>
        <v/>
      </c>
      <c r="Z4129" s="75"/>
      <c r="AA4129" s="75" t="str">
        <f>IF(AND(MONTH(E4129)='IN-NX'!$J$5,'IN-NX'!$D$7=D4129),"x","")</f>
        <v/>
      </c>
      <c r="AB4129" s="75" t="str">
        <f>IF(AND(OR(LEFT(TH!N5170,2)="15",LEFT(TH!O5170,2)="15"),LEFT(TH!O5170,3)&lt;&gt;"111",'152-CT'!$J$8=TH!F5170),"x","")</f>
        <v/>
      </c>
      <c r="AC4129" s="75" t="str">
        <f>IF(AND(OR(LEFT(TH!N5170,2)="15",LEFT(TH!O5170,2)="15"),TK!$E$7=TH!F5170),"x","")</f>
        <v/>
      </c>
      <c r="AD4129" s="75" t="str">
        <f>IF(AND(N4129="1521",MONTH(C4129)='BK-NL'!$M$11),"x","")</f>
        <v/>
      </c>
    </row>
    <row r="4130" spans="1:33" ht="16.5" customHeight="1">
      <c r="A4130" s="309" t="str">
        <f>IF(B4130&lt;&gt;"",IF(AND(B4130='IN-TC'!$S$4,OR(TH!N4126="1111",TH!O4126="1111")),TH!D4126,""),"")</f>
        <v/>
      </c>
      <c r="B4130" s="1242">
        <f t="shared" si="1314"/>
        <v>5</v>
      </c>
      <c r="C4130" s="292">
        <f t="shared" si="1313"/>
        <v>42872</v>
      </c>
      <c r="D4130" s="292" t="s">
        <v>1957</v>
      </c>
      <c r="E4130" s="929">
        <v>42872</v>
      </c>
      <c r="F4130" s="1126" t="s">
        <v>1165</v>
      </c>
      <c r="G4130" s="931" t="s">
        <v>1686</v>
      </c>
      <c r="H4130" s="296" t="s">
        <v>1684</v>
      </c>
      <c r="I4130" s="371"/>
      <c r="J4130" s="932"/>
      <c r="K4130" s="371"/>
      <c r="L4130" s="377"/>
      <c r="M4130" s="933">
        <v>19650400</v>
      </c>
      <c r="N4130" s="934" t="s">
        <v>8</v>
      </c>
      <c r="O4130" s="934" t="s">
        <v>63</v>
      </c>
      <c r="P4130" s="75" t="str">
        <f>IF(AND('331-CT'!$E$7=TH!H3653,OR(N4130="331",O4130="331")),"x","")</f>
        <v/>
      </c>
      <c r="Q4130" s="75" t="str">
        <f>IF(AND(B4130='111'!$L$11,OR($N4130=$Q$7,$O4130=$Q$7)),"x","")</f>
        <v/>
      </c>
      <c r="R4130" s="75" t="str">
        <f>IF(AND($N4130=$Q$7,$B4130&lt;'111'!$L$11),"x","")</f>
        <v/>
      </c>
      <c r="S4130" s="75" t="str">
        <f>IF(AND($O4130=$Q$7,$B4130&lt;'111'!$L$11),"x","")</f>
        <v>x</v>
      </c>
      <c r="T4130" s="75" t="str">
        <f>IF(ISERROR(FIND('112'!$M$9,G4130,1)),"",IF((AND(FIND('112'!$M$9,G4130,1)&gt;=1,B4130='112'!$K$9,OR($N4130='112'!$I$6,$O4130='112'!$I$6))),"x",""))</f>
        <v/>
      </c>
      <c r="U4130" s="75" t="str">
        <f>IF(ISERROR(FIND('112'!$M$9,G4130,1)),"",IF((AND(LEFT(G4130,2)=LEFT('112'!$M$9,2),B4130&lt;'112'!$K$9,$N4130='112'!$I$6)),"x",""))</f>
        <v/>
      </c>
      <c r="V4130" s="75" t="str">
        <f>IF(ISERROR(FIND('112'!$M$9,G4130,1)),"",IF((AND(RIGHT(G4130,2)=RIGHT('112'!$M$9,2),B4130&lt;'112'!$K$9,$O4130='112'!$I$6)),"x",""))</f>
        <v/>
      </c>
      <c r="W4130" s="75" t="str">
        <f>IF(AND('341-CT'!$H$9=H4130,OR(LEFT(N4130,3)=$W$7,LEFT(O4130,3)=$W$7)),"x","")</f>
        <v/>
      </c>
      <c r="X4130" s="75" t="str">
        <f>IF(OR(TH!N3653=TH!$X$7,O4130=TH!$X$7),"x","")</f>
        <v/>
      </c>
      <c r="Y4130" s="75" t="str">
        <f>IF(AND(OR(N4130="131",O4130="131"),H4130='131-CT'!$H$9),"x","")</f>
        <v/>
      </c>
      <c r="Z4130" s="75"/>
      <c r="AA4130" s="75" t="str">
        <f>IF(AND(MONTH(E4130)='IN-NX'!$J$5,'IN-NX'!$D$7=D4130),"x","")</f>
        <v/>
      </c>
      <c r="AB4130" s="75" t="str">
        <f>IF(AND(OR(LEFT(TH!N3653,2)="15",LEFT(TH!O3653,2)="15"),LEFT(TH!O3653,3)&lt;&gt;"111",'152-CT'!$J$8=TH!F3653),"x","")</f>
        <v/>
      </c>
      <c r="AC4130" s="75" t="str">
        <f>IF(AND(OR(LEFT(TH!N3653,2)="15",LEFT(TH!O3653,2)="15"),TK!$E$7=TH!F3653),"x","")</f>
        <v/>
      </c>
      <c r="AD4130" s="75" t="str">
        <f>IF(AND(N4130="1521",MONTH(C4130)='BK-NL'!$M$11),"x","")</f>
        <v/>
      </c>
    </row>
    <row r="4131" spans="1:33" ht="16.5" customHeight="1">
      <c r="A4131" s="309" t="str">
        <f>IF(B4131&lt;&gt;"",IF(AND(B4131='IN-TC'!$S$4,OR(TH!N4127="1111",TH!O4127="1111")),TH!D4127,""),"")</f>
        <v/>
      </c>
      <c r="B4131" s="1242">
        <f t="shared" si="1314"/>
        <v>5</v>
      </c>
      <c r="C4131" s="292">
        <f t="shared" si="1313"/>
        <v>42872</v>
      </c>
      <c r="D4131" s="292" t="s">
        <v>846</v>
      </c>
      <c r="E4131" s="292">
        <v>42872</v>
      </c>
      <c r="F4131" s="1125" t="s">
        <v>834</v>
      </c>
      <c r="G4131" s="943" t="s">
        <v>747</v>
      </c>
      <c r="H4131" s="67" t="s">
        <v>1023</v>
      </c>
      <c r="I4131" s="373"/>
      <c r="J4131" s="926"/>
      <c r="K4131" s="373"/>
      <c r="L4131" s="379"/>
      <c r="M4131" s="927">
        <v>1430000000</v>
      </c>
      <c r="N4131" s="295" t="s">
        <v>63</v>
      </c>
      <c r="O4131" s="295" t="s">
        <v>26</v>
      </c>
      <c r="P4131" s="75" t="str">
        <f>IF(AND('331-CT'!$E$7=TH!H5171,OR(N4131="331",O4131="331")),"x","")</f>
        <v/>
      </c>
      <c r="Q4131" s="75" t="str">
        <f>IF(AND(B4131='111'!$L$11,OR($N4131=$Q$7,$O4131=$Q$7)),"x","")</f>
        <v/>
      </c>
      <c r="R4131" s="75" t="str">
        <f>IF(AND($N4131=$Q$7,$B4131&lt;'111'!$L$11),"x","")</f>
        <v>x</v>
      </c>
      <c r="S4131" s="75" t="str">
        <f>IF(AND($O4131=$Q$7,$B4131&lt;'111'!$L$11),"x","")</f>
        <v/>
      </c>
      <c r="T4131" s="75" t="str">
        <f>IF(ISERROR(FIND('112'!$M$9,G4131,1)),"",IF((AND(FIND('112'!$M$9,G4131,1)&gt;=1,B4131='112'!$K$9,OR($N4131='112'!$I$6,$O4131='112'!$I$6))),"x",""))</f>
        <v/>
      </c>
      <c r="U4131" s="75" t="str">
        <f>IF(ISERROR(FIND('112'!$M$9,G4131,1)),"",IF((AND(LEFT(G4131,2)=LEFT('112'!$M$9,2),B4131&lt;'112'!$K$9,$N4131='112'!$I$6)),"x",""))</f>
        <v/>
      </c>
      <c r="V4131" s="75" t="str">
        <f>IF(ISERROR(FIND('112'!$M$9,G4131,1)),"",IF((AND(RIGHT(G4131,2)=RIGHT('112'!$M$9,2),B4131&lt;'112'!$K$9,$O4131='112'!$I$6)),"x",""))</f>
        <v/>
      </c>
      <c r="W4131" s="75" t="str">
        <f>IF(AND('341-CT'!$H$9=H4131,OR(LEFT(N4131,3)=$W$7,LEFT(O4131,3)=$W$7)),"x","")</f>
        <v/>
      </c>
      <c r="X4131" s="75" t="str">
        <f>IF(OR(TH!N5171=TH!$X$7,O4131=TH!$X$7),"x","")</f>
        <v/>
      </c>
      <c r="Y4131" s="75" t="str">
        <f>IF(AND(OR(N4131="131",O4131="131"),H4131='131-CT'!$H$9),"x","")</f>
        <v/>
      </c>
      <c r="Z4131" s="75"/>
      <c r="AA4131" s="75" t="str">
        <f>IF(AND(MONTH(E4131)='IN-NX'!$J$5,'IN-NX'!$D$7=D4131),"x","")</f>
        <v/>
      </c>
      <c r="AB4131" s="75" t="str">
        <f>IF(AND(OR(LEFT(TH!N5171,2)="15",LEFT(TH!O5171,2)="15"),LEFT(TH!O5171,3)&lt;&gt;"111",'152-CT'!$J$8=TH!F5171),"x","")</f>
        <v/>
      </c>
      <c r="AC4131" s="75" t="str">
        <f>IF(AND(OR(LEFT(TH!N5171,2)="15",LEFT(TH!O5171,2)="15"),TK!$E$7=TH!F5171),"x","")</f>
        <v/>
      </c>
      <c r="AD4131" s="75" t="str">
        <f>IF(AND(N4131="1521",MONTH(C4131)='BK-NL'!$M$11),"x","")</f>
        <v/>
      </c>
    </row>
    <row r="4132" spans="1:33" ht="16.5" customHeight="1">
      <c r="A4132" s="309" t="str">
        <f>IF(B4132&lt;&gt;"",IF(AND(B4132='IN-TC'!$S$4,OR(TH!N4128="1111",TH!O4128="1111")),TH!D4128,""),"")</f>
        <v/>
      </c>
      <c r="B4132" s="1242">
        <f t="shared" si="1314"/>
        <v>5</v>
      </c>
      <c r="C4132" s="292">
        <f t="shared" si="1313"/>
        <v>42872</v>
      </c>
      <c r="D4132" s="292" t="s">
        <v>902</v>
      </c>
      <c r="E4132" s="292">
        <v>42872</v>
      </c>
      <c r="F4132" s="67" t="s">
        <v>1549</v>
      </c>
      <c r="G4132" s="293" t="s">
        <v>747</v>
      </c>
      <c r="H4132" s="294" t="s">
        <v>835</v>
      </c>
      <c r="I4132" s="373"/>
      <c r="J4132" s="379"/>
      <c r="K4132" s="373"/>
      <c r="L4132" s="379"/>
      <c r="M4132" s="60">
        <v>227200</v>
      </c>
      <c r="N4132" s="295" t="s">
        <v>101</v>
      </c>
      <c r="O4132" s="61" t="s">
        <v>26</v>
      </c>
      <c r="P4132" s="75" t="str">
        <f>IF(AND('331-CT'!$E$7=TH!H5172,OR(N4132="331",O4132="331")),"x","")</f>
        <v/>
      </c>
      <c r="Q4132" s="75" t="str">
        <f>IF(AND(B4132='111'!$L$11,OR($N4132=$Q$7,$O4132=$Q$7)),"x","")</f>
        <v/>
      </c>
      <c r="R4132" s="75" t="str">
        <f>IF(AND($N4132=$Q$7,$B4132&lt;'111'!$L$11),"x","")</f>
        <v/>
      </c>
      <c r="S4132" s="75" t="str">
        <f>IF(AND($O4132=$Q$7,$B4132&lt;'111'!$L$11),"x","")</f>
        <v/>
      </c>
      <c r="T4132" s="75" t="str">
        <f>IF(ISERROR(FIND('112'!$M$9,G4132,1)),"",IF((AND(FIND('112'!$M$9,G4132,1)&gt;=1,B4132='112'!$K$9,OR($N4132='112'!$I$6,$O4132='112'!$I$6))),"x",""))</f>
        <v/>
      </c>
      <c r="U4132" s="75" t="str">
        <f>IF(ISERROR(FIND('112'!$M$9,G4132,1)),"",IF((AND(LEFT(G4132,2)=LEFT('112'!$M$9,2),B4132&lt;'112'!$K$9,$N4132='112'!$I$6)),"x",""))</f>
        <v/>
      </c>
      <c r="V4132" s="75" t="str">
        <f>IF(ISERROR(FIND('112'!$M$9,G4132,1)),"",IF((AND(RIGHT(G4132,2)=RIGHT('112'!$M$9,2),B4132&lt;'112'!$K$9,$O4132='112'!$I$6)),"x",""))</f>
        <v/>
      </c>
      <c r="W4132" s="75" t="str">
        <f>IF(AND('341-CT'!$H$9=H4132,OR(LEFT(N4132,3)=$W$7,LEFT(O4132,3)=$W$7)),"x","")</f>
        <v/>
      </c>
      <c r="X4132" s="75" t="str">
        <f>IF(OR(TH!N5172=TH!$X$7,O4132=TH!$X$7),"x","")</f>
        <v/>
      </c>
      <c r="Y4132" s="75" t="str">
        <f>IF(AND(OR(N4132="131",O4132="131"),H4132='131-CT'!$H$9),"x","")</f>
        <v/>
      </c>
      <c r="Z4132" s="75"/>
      <c r="AA4132" s="75" t="str">
        <f>IF(AND(MONTH(E4132)='IN-NX'!$J$5,'IN-NX'!$D$7=D4132),"x","")</f>
        <v/>
      </c>
      <c r="AB4132" s="75" t="str">
        <f>IF(AND(OR(LEFT(TH!N5172,2)="15",LEFT(TH!O5172,2)="15"),LEFT(TH!O5172,3)&lt;&gt;"111",'152-CT'!$J$8=TH!F5172),"x","")</f>
        <v/>
      </c>
      <c r="AC4132" s="75" t="str">
        <f>IF(AND(OR(LEFT(TH!N5172,2)="15",LEFT(TH!O5172,2)="15"),TK!$E$7=TH!F5172),"x","")</f>
        <v/>
      </c>
      <c r="AD4132" s="75" t="str">
        <f>IF(AND(N4132="1521",MONTH(C4132)='BK-NL'!$M$11),"x","")</f>
        <v/>
      </c>
    </row>
    <row r="4133" spans="1:33" ht="16.5" customHeight="1">
      <c r="A4133" s="309" t="str">
        <f>IF(B4133&lt;&gt;"",IF(AND(B4133='IN-TC'!$S$4,OR(TH!N4129="1111",TH!O4129="1111")),TH!D4129,""),"")</f>
        <v/>
      </c>
      <c r="B4133" s="1242">
        <f t="shared" si="1314"/>
        <v>5</v>
      </c>
      <c r="C4133" s="292">
        <f t="shared" si="1313"/>
        <v>42872</v>
      </c>
      <c r="D4133" s="59" t="s">
        <v>903</v>
      </c>
      <c r="E4133" s="59">
        <v>42872</v>
      </c>
      <c r="F4133" s="293" t="s">
        <v>2438</v>
      </c>
      <c r="G4133" s="293" t="s">
        <v>747</v>
      </c>
      <c r="H4133" s="962" t="s">
        <v>2451</v>
      </c>
      <c r="I4133" s="373"/>
      <c r="J4133" s="379"/>
      <c r="K4133" s="373">
        <v>27400</v>
      </c>
      <c r="L4133" s="379">
        <v>22665</v>
      </c>
      <c r="M4133" s="60">
        <v>621021000</v>
      </c>
      <c r="N4133" s="61" t="s">
        <v>26</v>
      </c>
      <c r="O4133" s="61" t="s">
        <v>250</v>
      </c>
      <c r="P4133" s="75" t="str">
        <f>IF(AND('331-CT'!$E$7=TH!H5173,OR(N4133="331",O4133="331")),"x","")</f>
        <v/>
      </c>
      <c r="Q4133" s="75" t="str">
        <f>IF(AND(B4133='111'!$L$11,OR($N4133=$Q$7,$O4133=$Q$7)),"x","")</f>
        <v/>
      </c>
      <c r="R4133" s="75" t="str">
        <f>IF(AND($N4133=$Q$7,$B4133&lt;'111'!$L$11),"x","")</f>
        <v/>
      </c>
      <c r="S4133" s="75" t="str">
        <f>IF(AND($O4133=$Q$7,$B4133&lt;'111'!$L$11),"x","")</f>
        <v/>
      </c>
      <c r="T4133" s="75" t="str">
        <f>IF(ISERROR(FIND('112'!$M$9,G4133,1)),"",IF((AND(FIND('112'!$M$9,G4133,1)&gt;=1,B4133='112'!$K$9,OR($N4133='112'!$I$6,$O4133='112'!$I$6))),"x",""))</f>
        <v/>
      </c>
      <c r="U4133" s="75" t="str">
        <f>IF(ISERROR(FIND('112'!$M$9,G4133,1)),"",IF((AND(LEFT(G4133,2)=LEFT('112'!$M$9,2),B4133&lt;'112'!$K$9,$N4133='112'!$I$6)),"x",""))</f>
        <v/>
      </c>
      <c r="V4133" s="75" t="str">
        <f>IF(ISERROR(FIND('112'!$M$9,G4133,1)),"",IF((AND(RIGHT(G4133,2)=RIGHT('112'!$M$9,2),B4133&lt;'112'!$K$9,$O4133='112'!$I$6)),"x",""))</f>
        <v/>
      </c>
      <c r="W4133" s="75" t="str">
        <f>IF(AND('341-CT'!$H$9=H4133,OR(LEFT(N4133,3)=$W$7,LEFT(O4133,3)=$W$7)),"x","")</f>
        <v/>
      </c>
      <c r="X4133" s="75" t="str">
        <f>IF(OR(TH!N5173=TH!$X$7,O4133=TH!$X$7),"x","")</f>
        <v/>
      </c>
      <c r="Y4133" s="75" t="str">
        <f>IF(AND(OR(N4133="131",O4133="131"),H4133='131-CT'!$H$9),"x","")</f>
        <v/>
      </c>
      <c r="Z4133" s="75"/>
      <c r="AA4133" s="75" t="str">
        <f>IF(AND(MONTH(E4133)='IN-NX'!$J$5,'IN-NX'!$D$7=D4133),"x","")</f>
        <v/>
      </c>
      <c r="AB4133" s="75" t="str">
        <f>IF(AND(OR(LEFT(TH!N5173,2)="15",LEFT(TH!O5173,2)="15"),LEFT(TH!O5173,3)&lt;&gt;"111",'152-CT'!$J$8=TH!F5173),"x","")</f>
        <v/>
      </c>
      <c r="AC4133" s="75" t="str">
        <f>IF(AND(OR(LEFT(TH!N5173,2)="15",LEFT(TH!O5173,2)="15"),TK!$E$7=TH!F5173),"x","")</f>
        <v/>
      </c>
      <c r="AD4133" s="75" t="str">
        <f>IF(AND(N4133="1521",MONTH(C4133)='BK-NL'!$M$11),"x","")</f>
        <v/>
      </c>
    </row>
    <row r="4134" spans="1:33" ht="16.5" customHeight="1">
      <c r="A4134" s="309" t="str">
        <f>IF(B4134&lt;&gt;"",IF(AND(B4134='IN-TC'!$S$4,OR(TH!N4130="1111",TH!O4130="1111")),TH!D4130,""),"")</f>
        <v/>
      </c>
      <c r="B4134" s="1242">
        <f t="shared" si="1314"/>
        <v>5</v>
      </c>
      <c r="C4134" s="292">
        <f t="shared" si="1313"/>
        <v>42872</v>
      </c>
      <c r="D4134" s="59" t="s">
        <v>903</v>
      </c>
      <c r="E4134" s="59">
        <v>42872</v>
      </c>
      <c r="F4134" s="293" t="s">
        <v>2439</v>
      </c>
      <c r="G4134" s="293" t="s">
        <v>747</v>
      </c>
      <c r="H4134" s="294" t="s">
        <v>2452</v>
      </c>
      <c r="I4134" s="373"/>
      <c r="J4134" s="379"/>
      <c r="K4134" s="373">
        <v>36000</v>
      </c>
      <c r="L4134" s="379">
        <v>22665</v>
      </c>
      <c r="M4134" s="60">
        <v>815940000</v>
      </c>
      <c r="N4134" s="61" t="s">
        <v>26</v>
      </c>
      <c r="O4134" s="61" t="s">
        <v>250</v>
      </c>
      <c r="P4134" s="75" t="str">
        <f>IF(AND('331-CT'!$E$7=TH!H5174,OR(N4134="331",O4134="331")),"x","")</f>
        <v/>
      </c>
      <c r="Q4134" s="75" t="str">
        <f>IF(AND(B4134='111'!$L$11,OR($N4134=$Q$7,$O4134=$Q$7)),"x","")</f>
        <v/>
      </c>
      <c r="R4134" s="75" t="str">
        <f>IF(AND($N4134=$Q$7,$B4134&lt;'111'!$L$11),"x","")</f>
        <v/>
      </c>
      <c r="S4134" s="75" t="str">
        <f>IF(AND($O4134=$Q$7,$B4134&lt;'111'!$L$11),"x","")</f>
        <v/>
      </c>
      <c r="T4134" s="75" t="str">
        <f>IF(ISERROR(FIND('112'!$M$9,G4134,1)),"",IF((AND(FIND('112'!$M$9,G4134,1)&gt;=1,B4134='112'!$K$9,OR($N4134='112'!$I$6,$O4134='112'!$I$6))),"x",""))</f>
        <v/>
      </c>
      <c r="U4134" s="75" t="str">
        <f>IF(ISERROR(FIND('112'!$M$9,G4134,1)),"",IF((AND(LEFT(G4134,2)=LEFT('112'!$M$9,2),B4134&lt;'112'!$K$9,$N4134='112'!$I$6)),"x",""))</f>
        <v/>
      </c>
      <c r="V4134" s="75" t="str">
        <f>IF(ISERROR(FIND('112'!$M$9,G4134,1)),"",IF((AND(RIGHT(G4134,2)=RIGHT('112'!$M$9,2),B4134&lt;'112'!$K$9,$O4134='112'!$I$6)),"x",""))</f>
        <v/>
      </c>
      <c r="W4134" s="75" t="str">
        <f>IF(AND('341-CT'!$H$9=H4134,OR(LEFT(N4134,3)=$W$7,LEFT(O4134,3)=$W$7)),"x","")</f>
        <v/>
      </c>
      <c r="X4134" s="75" t="str">
        <f>IF(OR(TH!N5174=TH!$X$7,O4134=TH!$X$7),"x","")</f>
        <v/>
      </c>
      <c r="Y4134" s="75" t="str">
        <f>IF(AND(OR(N4134="131",O4134="131"),H4134='131-CT'!$H$9),"x","")</f>
        <v/>
      </c>
      <c r="Z4134" s="75"/>
      <c r="AA4134" s="75" t="str">
        <f>IF(AND(MONTH(E4134)='IN-NX'!$J$5,'IN-NX'!$D$7=D4134),"x","")</f>
        <v/>
      </c>
      <c r="AB4134" s="75" t="str">
        <f>IF(AND(OR(LEFT(TH!N5174,2)="15",LEFT(TH!O5174,2)="15"),LEFT(TH!O5174,3)&lt;&gt;"111",'152-CT'!$J$8=TH!F5174),"x","")</f>
        <v/>
      </c>
      <c r="AC4134" s="75" t="str">
        <f>IF(AND(OR(LEFT(TH!N5174,2)="15",LEFT(TH!O5174,2)="15"),TK!$E$7=TH!F5174),"x","")</f>
        <v/>
      </c>
      <c r="AD4134" s="75" t="str">
        <f>IF(AND(N4134="1521",MONTH(C4134)='BK-NL'!$M$11),"x","")</f>
        <v/>
      </c>
    </row>
    <row r="4135" spans="1:33" ht="16.5" customHeight="1">
      <c r="A4135" s="309" t="str">
        <f>IF(B4135&lt;&gt;"",IF(AND(B4135='IN-TC'!$S$4,OR(TH!N4131="1111",TH!O4131="1111")),TH!D4131,""),"")</f>
        <v/>
      </c>
      <c r="B4135" s="1242">
        <f t="shared" si="1314"/>
        <v>5</v>
      </c>
      <c r="C4135" s="292">
        <f t="shared" si="1313"/>
        <v>42873</v>
      </c>
      <c r="D4135" s="292" t="s">
        <v>1958</v>
      </c>
      <c r="E4135" s="292">
        <v>42873</v>
      </c>
      <c r="F4135" s="67" t="s">
        <v>1509</v>
      </c>
      <c r="G4135" s="925" t="s">
        <v>1440</v>
      </c>
      <c r="H4135" s="294" t="s">
        <v>1511</v>
      </c>
      <c r="I4135" s="373"/>
      <c r="J4135" s="926"/>
      <c r="K4135" s="373"/>
      <c r="L4135" s="379"/>
      <c r="M4135" s="927">
        <v>4428581</v>
      </c>
      <c r="N4135" s="295" t="s">
        <v>539</v>
      </c>
      <c r="O4135" s="295" t="s">
        <v>63</v>
      </c>
      <c r="P4135" s="75" t="str">
        <f>IF(AND('331-CT'!$E$7=TH!H3654,OR(N4135="331",O4135="331")),"x","")</f>
        <v/>
      </c>
      <c r="Q4135" s="75" t="str">
        <f>IF(AND(B4135='111'!$L$11,OR($N4135=$Q$7,$O4135=$Q$7)),"x","")</f>
        <v/>
      </c>
      <c r="R4135" s="75" t="str">
        <f>IF(AND($N4135=$Q$7,$B4135&lt;'111'!$L$11),"x","")</f>
        <v/>
      </c>
      <c r="S4135" s="75" t="str">
        <f>IF(AND($O4135=$Q$7,$B4135&lt;'111'!$L$11),"x","")</f>
        <v>x</v>
      </c>
      <c r="T4135" s="75" t="str">
        <f>IF(ISERROR(FIND('112'!$M$9,G4135,1)),"",IF((AND(FIND('112'!$M$9,G4135,1)&gt;=1,B4135='112'!$K$9,OR($N4135='112'!$I$6,$O4135='112'!$I$6))),"x",""))</f>
        <v/>
      </c>
      <c r="U4135" s="75" t="str">
        <f>IF(ISERROR(FIND('112'!$M$9,G4135,1)),"",IF((AND(LEFT(G4135,2)=LEFT('112'!$M$9,2),B4135&lt;'112'!$K$9,$N4135='112'!$I$6)),"x",""))</f>
        <v/>
      </c>
      <c r="V4135" s="75" t="str">
        <f>IF(ISERROR(FIND('112'!$M$9,G4135,1)),"",IF((AND(RIGHT(G4135,2)=RIGHT('112'!$M$9,2),B4135&lt;'112'!$K$9,$O4135='112'!$I$6)),"x",""))</f>
        <v/>
      </c>
      <c r="W4135" s="75" t="str">
        <f>IF(AND('341-CT'!$H$9=H4135,OR(LEFT(N4135,3)=$W$7,LEFT(O4135,3)=$W$7)),"x","")</f>
        <v/>
      </c>
      <c r="X4135" s="75" t="str">
        <f>IF(OR(TH!N3654=TH!$X$7,O4135=TH!$X$7),"x","")</f>
        <v/>
      </c>
      <c r="Y4135" s="75" t="str">
        <f>IF(AND(OR(N4135="131",O4135="131"),H4135='131-CT'!$H$9),"x","")</f>
        <v/>
      </c>
      <c r="Z4135" s="75"/>
      <c r="AA4135" s="75" t="str">
        <f>IF(AND(MONTH(E4135)='IN-NX'!$J$5,'IN-NX'!$D$7=D4135),"x","")</f>
        <v/>
      </c>
      <c r="AB4135" s="75" t="str">
        <f>IF(AND(OR(LEFT(TH!N3654,2)="15",LEFT(TH!O3654,2)="15"),LEFT(TH!O3654,3)&lt;&gt;"111",'152-CT'!$J$8=TH!F3654),"x","")</f>
        <v/>
      </c>
      <c r="AC4135" s="75" t="str">
        <f>IF(AND(OR(LEFT(TH!N3654,2)="15",LEFT(TH!O3654,2)="15"),TK!$E$7=TH!F3654),"x","")</f>
        <v/>
      </c>
      <c r="AD4135" s="75" t="str">
        <f>IF(AND(N4135="1521",MONTH(C4135)='BK-NL'!$M$11),"x","")</f>
        <v/>
      </c>
    </row>
    <row r="4136" spans="1:33" ht="16.5" customHeight="1">
      <c r="A4136" s="309" t="str">
        <f>IF(B4136&lt;&gt;"",IF(AND(B4136='IN-TC'!$S$4,OR(TH!N4132="1111",TH!O4132="1111")),TH!D4132,""),"")</f>
        <v/>
      </c>
      <c r="B4136" s="1242">
        <f t="shared" si="1314"/>
        <v>5</v>
      </c>
      <c r="C4136" s="292">
        <f t="shared" si="1313"/>
        <v>42873</v>
      </c>
      <c r="D4136" s="292" t="s">
        <v>1958</v>
      </c>
      <c r="E4136" s="292">
        <v>42873</v>
      </c>
      <c r="F4136" s="67" t="s">
        <v>1510</v>
      </c>
      <c r="G4136" s="925" t="s">
        <v>1440</v>
      </c>
      <c r="H4136" s="294" t="s">
        <v>1511</v>
      </c>
      <c r="I4136" s="373"/>
      <c r="J4136" s="926"/>
      <c r="K4136" s="373"/>
      <c r="L4136" s="379"/>
      <c r="M4136" s="927">
        <v>442858</v>
      </c>
      <c r="N4136" s="295" t="s">
        <v>9</v>
      </c>
      <c r="O4136" s="295" t="s">
        <v>63</v>
      </c>
      <c r="P4136" s="75" t="str">
        <f>IF(AND('331-CT'!$E$7=TH!H3655,OR(N4136="331",O4136="331")),"x","")</f>
        <v/>
      </c>
      <c r="Q4136" s="75" t="str">
        <f>IF(AND(B4136='111'!$L$11,OR($N4136=$Q$7,$O4136=$Q$7)),"x","")</f>
        <v/>
      </c>
      <c r="R4136" s="75" t="str">
        <f>IF(AND($N4136=$Q$7,$B4136&lt;'111'!$L$11),"x","")</f>
        <v/>
      </c>
      <c r="S4136" s="75" t="str">
        <f>IF(AND($O4136=$Q$7,$B4136&lt;'111'!$L$11),"x","")</f>
        <v>x</v>
      </c>
      <c r="T4136" s="75" t="str">
        <f>IF(ISERROR(FIND('112'!$M$9,G4136,1)),"",IF((AND(FIND('112'!$M$9,G4136,1)&gt;=1,B4136='112'!$K$9,OR($N4136='112'!$I$6,$O4136='112'!$I$6))),"x",""))</f>
        <v/>
      </c>
      <c r="U4136" s="75" t="str">
        <f>IF(ISERROR(FIND('112'!$M$9,G4136,1)),"",IF((AND(LEFT(G4136,2)=LEFT('112'!$M$9,2),B4136&lt;'112'!$K$9,$N4136='112'!$I$6)),"x",""))</f>
        <v/>
      </c>
      <c r="V4136" s="75" t="str">
        <f>IF(ISERROR(FIND('112'!$M$9,G4136,1)),"",IF((AND(RIGHT(G4136,2)=RIGHT('112'!$M$9,2),B4136&lt;'112'!$K$9,$O4136='112'!$I$6)),"x",""))</f>
        <v/>
      </c>
      <c r="W4136" s="75" t="str">
        <f>IF(AND('341-CT'!$H$9=H4136,OR(LEFT(N4136,3)=$W$7,LEFT(O4136,3)=$W$7)),"x","")</f>
        <v/>
      </c>
      <c r="X4136" s="75" t="str">
        <f>IF(OR(TH!N3655=TH!$X$7,O4136=TH!$X$7),"x","")</f>
        <v>x</v>
      </c>
      <c r="Y4136" s="75" t="str">
        <f>IF(AND(OR(N4136="131",O4136="131"),H4136='131-CT'!$H$9),"x","")</f>
        <v/>
      </c>
      <c r="Z4136" s="75"/>
      <c r="AA4136" s="75" t="str">
        <f>IF(AND(MONTH(E4136)='IN-NX'!$J$5,'IN-NX'!$D$7=D4136),"x","")</f>
        <v/>
      </c>
      <c r="AB4136" s="75" t="str">
        <f>IF(AND(OR(LEFT(TH!N3655,2)="15",LEFT(TH!O3655,2)="15"),LEFT(TH!O3655,3)&lt;&gt;"111",'152-CT'!$J$8=TH!F3655),"x","")</f>
        <v/>
      </c>
      <c r="AC4136" s="75" t="str">
        <f>IF(AND(OR(LEFT(TH!N3655,2)="15",LEFT(TH!O3655,2)="15"),TK!$E$7=TH!F3655),"x","")</f>
        <v/>
      </c>
      <c r="AD4136" s="75" t="str">
        <f>IF(AND(N4136="1521",MONTH(C4136)='BK-NL'!$M$11),"x","")</f>
        <v/>
      </c>
    </row>
    <row r="4137" spans="1:33" ht="16.5" customHeight="1">
      <c r="A4137" s="309" t="str">
        <f>IF(B4137&lt;&gt;"",IF(AND(B4137='IN-TC'!$S$4,OR(TH!N4133="1111",TH!O4133="1111")),TH!D4133,""),"")</f>
        <v/>
      </c>
      <c r="B4137" s="1242">
        <f t="shared" si="1314"/>
        <v>5</v>
      </c>
      <c r="C4137" s="292">
        <f t="shared" si="1313"/>
        <v>42873</v>
      </c>
      <c r="D4137" s="292" t="s">
        <v>1959</v>
      </c>
      <c r="E4137" s="929">
        <v>42873</v>
      </c>
      <c r="F4137" s="73" t="s">
        <v>1165</v>
      </c>
      <c r="G4137" s="931" t="s">
        <v>1472</v>
      </c>
      <c r="H4137" s="296" t="s">
        <v>796</v>
      </c>
      <c r="I4137" s="371"/>
      <c r="J4137" s="932"/>
      <c r="K4137" s="371"/>
      <c r="L4137" s="377"/>
      <c r="M4137" s="933">
        <v>19650400</v>
      </c>
      <c r="N4137" s="934" t="s">
        <v>8</v>
      </c>
      <c r="O4137" s="934" t="s">
        <v>63</v>
      </c>
      <c r="P4137" s="75" t="str">
        <f>IF(AND('331-CT'!$E$7=TH!H3656,OR(N4137="331",O4137="331")),"x","")</f>
        <v/>
      </c>
      <c r="Q4137" s="75" t="str">
        <f>IF(AND(B4137='111'!$L$11,OR($N4137=$Q$7,$O4137=$Q$7)),"x","")</f>
        <v/>
      </c>
      <c r="R4137" s="75" t="str">
        <f>IF(AND($N4137=$Q$7,$B4137&lt;'111'!$L$11),"x","")</f>
        <v/>
      </c>
      <c r="S4137" s="75" t="str">
        <f>IF(AND($O4137=$Q$7,$B4137&lt;'111'!$L$11),"x","")</f>
        <v>x</v>
      </c>
      <c r="T4137" s="75" t="str">
        <f>IF(ISERROR(FIND('112'!$M$9,G4137,1)),"",IF((AND(FIND('112'!$M$9,G4137,1)&gt;=1,B4137='112'!$K$9,OR($N4137='112'!$I$6,$O4137='112'!$I$6))),"x",""))</f>
        <v/>
      </c>
      <c r="U4137" s="75" t="str">
        <f>IF(ISERROR(FIND('112'!$M$9,G4137,1)),"",IF((AND(LEFT(G4137,2)=LEFT('112'!$M$9,2),B4137&lt;'112'!$K$9,$N4137='112'!$I$6)),"x",""))</f>
        <v/>
      </c>
      <c r="V4137" s="75" t="str">
        <f>IF(ISERROR(FIND('112'!$M$9,G4137,1)),"",IF((AND(RIGHT(G4137,2)=RIGHT('112'!$M$9,2),B4137&lt;'112'!$K$9,$O4137='112'!$I$6)),"x",""))</f>
        <v/>
      </c>
      <c r="W4137" s="75" t="str">
        <f>IF(AND('341-CT'!$H$9=H4137,OR(LEFT(N4137,3)=$W$7,LEFT(O4137,3)=$W$7)),"x","")</f>
        <v/>
      </c>
      <c r="X4137" s="75" t="str">
        <f>IF(OR(TH!N3656=TH!$X$7,O4137=TH!$X$7),"x","")</f>
        <v>x</v>
      </c>
      <c r="Y4137" s="75" t="str">
        <f>IF(AND(OR(N4137="131",O4137="131"),H4137='131-CT'!$H$9),"x","")</f>
        <v/>
      </c>
      <c r="Z4137" s="75"/>
      <c r="AA4137" s="75" t="str">
        <f>IF(AND(MONTH(E4137)='IN-NX'!$J$5,'IN-NX'!$D$7=D4137),"x","")</f>
        <v/>
      </c>
      <c r="AB4137" s="75" t="str">
        <f>IF(AND(OR(LEFT(TH!N3656,2)="15",LEFT(TH!O3656,2)="15"),LEFT(TH!O3656,3)&lt;&gt;"111",'152-CT'!$J$8=TH!F3656),"x","")</f>
        <v/>
      </c>
      <c r="AC4137" s="75" t="str">
        <f>IF(AND(OR(LEFT(TH!N3656,2)="15",LEFT(TH!O3656,2)="15"),TK!$E$7=TH!F3656),"x","")</f>
        <v/>
      </c>
      <c r="AD4137" s="75" t="str">
        <f>IF(AND(N4137="1521",MONTH(C4137)='BK-NL'!$M$11),"x","")</f>
        <v/>
      </c>
    </row>
    <row r="4138" spans="1:33" ht="16.5" customHeight="1">
      <c r="A4138" s="309" t="str">
        <f>IF(B4138&lt;&gt;"",IF(AND(B4138='IN-TC'!$S$4,OR(TH!N4134="1111",TH!O4134="1111")),TH!D4134,""),"")</f>
        <v/>
      </c>
      <c r="B4138" s="1277">
        <f t="shared" si="1314"/>
        <v>5</v>
      </c>
      <c r="C4138" s="292">
        <f t="shared" si="1313"/>
        <v>42873</v>
      </c>
      <c r="D4138" s="929"/>
      <c r="E4138" s="929">
        <v>42873</v>
      </c>
      <c r="F4138" s="1335" t="s">
        <v>1881</v>
      </c>
      <c r="G4138" s="931"/>
      <c r="H4138" s="735" t="s">
        <v>1889</v>
      </c>
      <c r="I4138" s="371"/>
      <c r="J4138" s="932"/>
      <c r="K4138" s="371"/>
      <c r="L4138" s="377"/>
      <c r="M4138" s="933">
        <v>262605000</v>
      </c>
      <c r="N4138" s="934" t="s">
        <v>8</v>
      </c>
      <c r="O4138" s="934" t="s">
        <v>63</v>
      </c>
      <c r="P4138" s="75" t="str">
        <f>IF(AND('331-CT'!$E$7=TH!H4373,OR(N4138="331",O4138="331")),"x","")</f>
        <v/>
      </c>
      <c r="Q4138" s="75" t="str">
        <f>IF(AND(B4138='111'!$L$11,OR($N4138=$Q$7,$O4138=$Q$7)),"x","")</f>
        <v/>
      </c>
      <c r="R4138" s="75" t="str">
        <f>IF(AND($N4138=$Q$7,$B4138&lt;'111'!$L$11),"x","")</f>
        <v/>
      </c>
      <c r="S4138" s="75" t="str">
        <f>IF(AND($O4138=$Q$7,$B4138&lt;'111'!$L$11),"x","")</f>
        <v>x</v>
      </c>
      <c r="T4138" s="75" t="str">
        <f>IF(ISERROR(FIND('112'!$M$9,G4138,1)),"",IF((AND(FIND('112'!$M$9,G4138,1)&gt;=1,B4138='112'!$K$9,OR($N4138='112'!$I$6,$O4138='112'!$I$6))),"x",""))</f>
        <v/>
      </c>
      <c r="U4138" s="75" t="str">
        <f>IF(ISERROR(FIND('112'!$M$9,G4138,1)),"",IF((AND(LEFT(G4138,2)=LEFT('112'!$M$9,2),B4138&lt;'112'!$K$9,$N4138='112'!$I$6)),"x",""))</f>
        <v/>
      </c>
      <c r="V4138" s="75" t="str">
        <f>IF(ISERROR(FIND('112'!$M$9,G4138,1)),"",IF((AND(RIGHT(G4138,2)=RIGHT('112'!$M$9,2),B4138&lt;'112'!$K$9,$O4138='112'!$I$6)),"x",""))</f>
        <v/>
      </c>
      <c r="W4138" s="75" t="str">
        <f>IF(AND('341-CT'!$H$9=H4138,OR(LEFT(N4138,3)=$W$7,LEFT(O4138,3)=$W$7)),"x","")</f>
        <v/>
      </c>
      <c r="X4138" s="75" t="str">
        <f>IF(OR(TH!N4373=TH!$X$7,O4138=TH!$X$7),"x","")</f>
        <v/>
      </c>
      <c r="Y4138" s="75" t="str">
        <f>IF(AND(OR(N4138="131",O4138="131"),H4138='131-CT'!$H$9),"x","")</f>
        <v/>
      </c>
      <c r="Z4138" s="75"/>
      <c r="AA4138" s="75" t="str">
        <f>IF(AND(MONTH(E4138)='IN-NX'!$J$5,'IN-NX'!$D$7=D4138),"x","")</f>
        <v/>
      </c>
      <c r="AB4138" s="75" t="str">
        <f>IF(AND(OR(LEFT(TH!N4373,2)="15",LEFT(TH!O4373,2)="15"),LEFT(TH!O4373,3)&lt;&gt;"111",'152-CT'!$J$8=TH!F4373),"x","")</f>
        <v/>
      </c>
      <c r="AC4138" s="75" t="str">
        <f>IF(AND(OR(LEFT(TH!N4373,2)="15",LEFT(TH!O4373,2)="15"),TK!$E$7=TH!F4373),"x","")</f>
        <v/>
      </c>
      <c r="AD4138" s="75" t="str">
        <f>IF(AND(N4138="1521",MONTH(C4138)='BK-NL'!$M$11),"x","")</f>
        <v/>
      </c>
      <c r="AE4138" s="1264"/>
      <c r="AF4138" s="1264"/>
      <c r="AG4138" s="1264"/>
    </row>
    <row r="4139" spans="1:33" ht="16.5" customHeight="1">
      <c r="A4139" s="309" t="str">
        <f>IF(B4139&lt;&gt;"",IF(AND(B4139='IN-TC'!$S$4,OR(TH!N4135="1111",TH!O4135="1111")),TH!D4135,""),"")</f>
        <v/>
      </c>
      <c r="B4139" s="1242">
        <f t="shared" si="1314"/>
        <v>5</v>
      </c>
      <c r="C4139" s="292">
        <f t="shared" si="1313"/>
        <v>42873</v>
      </c>
      <c r="D4139" s="292" t="s">
        <v>902</v>
      </c>
      <c r="E4139" s="59">
        <v>42873</v>
      </c>
      <c r="F4139" s="907" t="s">
        <v>1027</v>
      </c>
      <c r="G4139" s="293" t="s">
        <v>747</v>
      </c>
      <c r="H4139" s="67" t="s">
        <v>759</v>
      </c>
      <c r="I4139" s="373"/>
      <c r="J4139" s="379"/>
      <c r="K4139" s="373"/>
      <c r="L4139" s="379"/>
      <c r="M4139" s="60">
        <v>2183641</v>
      </c>
      <c r="N4139" s="61" t="s">
        <v>101</v>
      </c>
      <c r="O4139" s="61" t="s">
        <v>26</v>
      </c>
      <c r="P4139" s="75" t="str">
        <f>IF(AND('331-CT'!$E$7=TH!H5175,OR(N4139="331",O4139="331")),"x","")</f>
        <v/>
      </c>
      <c r="Q4139" s="75" t="str">
        <f>IF(AND(B4139='111'!$L$11,OR($N4139=$Q$7,$O4139=$Q$7)),"x","")</f>
        <v/>
      </c>
      <c r="R4139" s="75" t="str">
        <f>IF(AND($N4139=$Q$7,$B4139&lt;'111'!$L$11),"x","")</f>
        <v/>
      </c>
      <c r="S4139" s="75" t="str">
        <f>IF(AND($O4139=$Q$7,$B4139&lt;'111'!$L$11),"x","")</f>
        <v/>
      </c>
      <c r="T4139" s="75" t="str">
        <f>IF(ISERROR(FIND('112'!$M$9,G4139,1)),"",IF((AND(FIND('112'!$M$9,G4139,1)&gt;=1,B4139='112'!$K$9,OR($N4139='112'!$I$6,$O4139='112'!$I$6))),"x",""))</f>
        <v/>
      </c>
      <c r="U4139" s="75" t="str">
        <f>IF(ISERROR(FIND('112'!$M$9,G4139,1)),"",IF((AND(LEFT(G4139,2)=LEFT('112'!$M$9,2),B4139&lt;'112'!$K$9,$N4139='112'!$I$6)),"x",""))</f>
        <v/>
      </c>
      <c r="V4139" s="75" t="str">
        <f>IF(ISERROR(FIND('112'!$M$9,G4139,1)),"",IF((AND(RIGHT(G4139,2)=RIGHT('112'!$M$9,2),B4139&lt;'112'!$K$9,$O4139='112'!$I$6)),"x",""))</f>
        <v/>
      </c>
      <c r="W4139" s="75" t="str">
        <f>IF(AND('341-CT'!$H$9=H4139,OR(LEFT(N4139,3)=$W$7,LEFT(O4139,3)=$W$7)),"x","")</f>
        <v/>
      </c>
      <c r="X4139" s="75" t="str">
        <f>IF(OR(TH!N5175=TH!$X$7,O4139=TH!$X$7),"x","")</f>
        <v/>
      </c>
      <c r="Y4139" s="75" t="str">
        <f>IF(AND(OR(N4139="131",O4139="131"),H4139='131-CT'!$H$9),"x","")</f>
        <v/>
      </c>
      <c r="Z4139" s="75"/>
      <c r="AA4139" s="75" t="str">
        <f>IF(AND(MONTH(E4139)='IN-NX'!$J$5,'IN-NX'!$D$7=D4139),"x","")</f>
        <v/>
      </c>
      <c r="AB4139" s="75" t="str">
        <f>IF(AND(OR(LEFT(TH!N5175,2)="15",LEFT(TH!O5175,2)="15"),LEFT(TH!O5175,3)&lt;&gt;"111",'152-CT'!$J$8=TH!F5175),"x","")</f>
        <v/>
      </c>
      <c r="AC4139" s="75" t="str">
        <f>IF(AND(OR(LEFT(TH!N5175,2)="15",LEFT(TH!O5175,2)="15"),TK!$E$7=TH!F5175),"x","")</f>
        <v/>
      </c>
      <c r="AD4139" s="75" t="str">
        <f>IF(AND(N4139="1521",MONTH(C4139)='BK-NL'!$M$11),"x","")</f>
        <v/>
      </c>
      <c r="AE4139" s="1053"/>
      <c r="AF4139" s="1053"/>
      <c r="AG4139" s="1053"/>
    </row>
    <row r="4140" spans="1:33" ht="16.5" customHeight="1">
      <c r="A4140" s="309" t="str">
        <f>IF(B4140&lt;&gt;"",IF(AND(B4140='IN-TC'!$S$4,OR(TH!N4136="1111",TH!O4136="1111")),TH!D4136,""),"")</f>
        <v/>
      </c>
      <c r="B4140" s="1242">
        <f t="shared" si="1314"/>
        <v>5</v>
      </c>
      <c r="C4140" s="292">
        <f t="shared" si="1313"/>
        <v>42874</v>
      </c>
      <c r="D4140" s="292" t="s">
        <v>1960</v>
      </c>
      <c r="E4140" s="292">
        <v>42874</v>
      </c>
      <c r="F4140" s="67" t="s">
        <v>1228</v>
      </c>
      <c r="G4140" s="925" t="s">
        <v>1512</v>
      </c>
      <c r="H4140" s="294" t="s">
        <v>962</v>
      </c>
      <c r="I4140" s="373"/>
      <c r="J4140" s="926"/>
      <c r="K4140" s="373"/>
      <c r="L4140" s="379"/>
      <c r="M4140" s="927">
        <v>960000</v>
      </c>
      <c r="N4140" s="295" t="s">
        <v>101</v>
      </c>
      <c r="O4140" s="295" t="s">
        <v>63</v>
      </c>
      <c r="P4140" s="75" t="str">
        <f>IF(AND('331-CT'!$E$7=TH!H3657,OR(N4140="331",O4140="331")),"x","")</f>
        <v/>
      </c>
      <c r="Q4140" s="75" t="str">
        <f>IF(AND(B4140='111'!$L$11,OR($N4140=$Q$7,$O4140=$Q$7)),"x","")</f>
        <v/>
      </c>
      <c r="R4140" s="75" t="str">
        <f>IF(AND($N4140=$Q$7,$B4140&lt;'111'!$L$11),"x","")</f>
        <v/>
      </c>
      <c r="S4140" s="75" t="str">
        <f>IF(AND($O4140=$Q$7,$B4140&lt;'111'!$L$11),"x","")</f>
        <v>x</v>
      </c>
      <c r="T4140" s="75" t="str">
        <f>IF(ISERROR(FIND('112'!$M$9,G4140,1)),"",IF((AND(FIND('112'!$M$9,G4140,1)&gt;=1,B4140='112'!$K$9,OR($N4140='112'!$I$6,$O4140='112'!$I$6))),"x",""))</f>
        <v/>
      </c>
      <c r="U4140" s="75" t="str">
        <f>IF(ISERROR(FIND('112'!$M$9,G4140,1)),"",IF((AND(LEFT(G4140,2)=LEFT('112'!$M$9,2),B4140&lt;'112'!$K$9,$N4140='112'!$I$6)),"x",""))</f>
        <v/>
      </c>
      <c r="V4140" s="75" t="str">
        <f>IF(ISERROR(FIND('112'!$M$9,G4140,1)),"",IF((AND(RIGHT(G4140,2)=RIGHT('112'!$M$9,2),B4140&lt;'112'!$K$9,$O4140='112'!$I$6)),"x",""))</f>
        <v/>
      </c>
      <c r="W4140" s="75" t="str">
        <f>IF(AND('341-CT'!$H$9=H4140,OR(LEFT(N4140,3)=$W$7,LEFT(O4140,3)=$W$7)),"x","")</f>
        <v/>
      </c>
      <c r="X4140" s="75" t="str">
        <f>IF(OR(TH!N3657=TH!$X$7,O4140=TH!$X$7),"x","")</f>
        <v>x</v>
      </c>
      <c r="Y4140" s="75" t="str">
        <f>IF(AND(OR(N4140="131",O4140="131"),H4140='131-CT'!$H$9),"x","")</f>
        <v/>
      </c>
      <c r="Z4140" s="75"/>
      <c r="AA4140" s="75" t="str">
        <f>IF(AND(MONTH(E4140)='IN-NX'!$J$5,'IN-NX'!$D$7=D4140),"x","")</f>
        <v/>
      </c>
      <c r="AB4140" s="75" t="str">
        <f>IF(AND(OR(LEFT(TH!N3657,2)="15",LEFT(TH!O3657,2)="15"),LEFT(TH!O3657,3)&lt;&gt;"111",'152-CT'!$J$8=TH!F3657),"x","")</f>
        <v/>
      </c>
      <c r="AC4140" s="75" t="str">
        <f>IF(AND(OR(LEFT(TH!N3657,2)="15",LEFT(TH!O3657,2)="15"),TK!$E$7=TH!F3657),"x","")</f>
        <v/>
      </c>
      <c r="AD4140" s="75" t="str">
        <f>IF(AND(N4140="1521",MONTH(C4140)='BK-NL'!$M$11),"x","")</f>
        <v/>
      </c>
    </row>
    <row r="4141" spans="1:33" ht="16.5" customHeight="1">
      <c r="A4141" s="309" t="str">
        <f>IF(B4141&lt;&gt;"",IF(AND(B4141='IN-TC'!$S$4,OR(TH!N4137="1111",TH!O4137="1111")),TH!D4137,""),"")</f>
        <v/>
      </c>
      <c r="B4141" s="1242">
        <f t="shared" si="1314"/>
        <v>5</v>
      </c>
      <c r="C4141" s="292">
        <f t="shared" si="1313"/>
        <v>42874</v>
      </c>
      <c r="D4141" s="292" t="s">
        <v>1960</v>
      </c>
      <c r="E4141" s="292">
        <v>42874</v>
      </c>
      <c r="F4141" s="67" t="s">
        <v>1229</v>
      </c>
      <c r="G4141" s="925" t="s">
        <v>1512</v>
      </c>
      <c r="H4141" s="294" t="s">
        <v>962</v>
      </c>
      <c r="I4141" s="373"/>
      <c r="J4141" s="926"/>
      <c r="K4141" s="373"/>
      <c r="L4141" s="379"/>
      <c r="M4141" s="927">
        <v>96000</v>
      </c>
      <c r="N4141" s="295" t="s">
        <v>9</v>
      </c>
      <c r="O4141" s="295" t="s">
        <v>63</v>
      </c>
      <c r="P4141" s="75" t="str">
        <f>IF(AND('331-CT'!$E$7=TH!H3658,OR(N4141="331",O4141="331")),"x","")</f>
        <v/>
      </c>
      <c r="Q4141" s="75" t="str">
        <f>IF(AND(B4141='111'!$L$11,OR($N4141=$Q$7,$O4141=$Q$7)),"x","")</f>
        <v/>
      </c>
      <c r="R4141" s="75" t="str">
        <f>IF(AND($N4141=$Q$7,$B4141&lt;'111'!$L$11),"x","")</f>
        <v/>
      </c>
      <c r="S4141" s="75" t="str">
        <f>IF(AND($O4141=$Q$7,$B4141&lt;'111'!$L$11),"x","")</f>
        <v>x</v>
      </c>
      <c r="T4141" s="75" t="str">
        <f>IF(ISERROR(FIND('112'!$M$9,G4141,1)),"",IF((AND(FIND('112'!$M$9,G4141,1)&gt;=1,B4141='112'!$K$9,OR($N4141='112'!$I$6,$O4141='112'!$I$6))),"x",""))</f>
        <v/>
      </c>
      <c r="U4141" s="75" t="str">
        <f>IF(ISERROR(FIND('112'!$M$9,G4141,1)),"",IF((AND(LEFT(G4141,2)=LEFT('112'!$M$9,2),B4141&lt;'112'!$K$9,$N4141='112'!$I$6)),"x",""))</f>
        <v/>
      </c>
      <c r="V4141" s="75" t="str">
        <f>IF(ISERROR(FIND('112'!$M$9,G4141,1)),"",IF((AND(RIGHT(G4141,2)=RIGHT('112'!$M$9,2),B4141&lt;'112'!$K$9,$O4141='112'!$I$6)),"x",""))</f>
        <v/>
      </c>
      <c r="W4141" s="75" t="str">
        <f>IF(AND('341-CT'!$H$9=H4141,OR(LEFT(N4141,3)=$W$7,LEFT(O4141,3)=$W$7)),"x","")</f>
        <v/>
      </c>
      <c r="X4141" s="75" t="str">
        <f>IF(OR(TH!N3658=TH!$X$7,O4141=TH!$X$7),"x","")</f>
        <v>x</v>
      </c>
      <c r="Y4141" s="75" t="str">
        <f>IF(AND(OR(N4141="131",O4141="131"),H4141='131-CT'!$H$9),"x","")</f>
        <v/>
      </c>
      <c r="Z4141" s="75"/>
      <c r="AA4141" s="75" t="str">
        <f>IF(AND(MONTH(E4141)='IN-NX'!$J$5,'IN-NX'!$D$7=D4141),"x","")</f>
        <v/>
      </c>
      <c r="AB4141" s="75" t="str">
        <f>IF(AND(OR(LEFT(TH!N3658,2)="15",LEFT(TH!O3658,2)="15"),LEFT(TH!O3658,3)&lt;&gt;"111",'152-CT'!$J$8=TH!F3658),"x","")</f>
        <v/>
      </c>
      <c r="AC4141" s="75" t="str">
        <f>IF(AND(OR(LEFT(TH!N3658,2)="15",LEFT(TH!O3658,2)="15"),TK!$E$7=TH!F3658),"x","")</f>
        <v/>
      </c>
      <c r="AD4141" s="75" t="str">
        <f>IF(AND(N4141="1521",MONTH(C4141)='BK-NL'!$M$11),"x","")</f>
        <v/>
      </c>
    </row>
    <row r="4142" spans="1:33" ht="16.5" customHeight="1">
      <c r="A4142" s="309" t="str">
        <f>IF(B4142&lt;&gt;"",IF(AND(B4142='IN-TC'!$S$4,OR(TH!N4138="1111",TH!O4138="1111")),TH!D4138,""),"")</f>
        <v/>
      </c>
      <c r="B4142" s="1242">
        <f t="shared" si="1314"/>
        <v>5</v>
      </c>
      <c r="C4142" s="292">
        <f t="shared" si="1313"/>
        <v>42874</v>
      </c>
      <c r="D4142" s="292" t="s">
        <v>1961</v>
      </c>
      <c r="E4142" s="292">
        <v>42874</v>
      </c>
      <c r="F4142" s="67" t="s">
        <v>1228</v>
      </c>
      <c r="G4142" s="925" t="s">
        <v>1513</v>
      </c>
      <c r="H4142" s="294" t="s">
        <v>962</v>
      </c>
      <c r="I4142" s="373"/>
      <c r="J4142" s="926"/>
      <c r="K4142" s="373"/>
      <c r="L4142" s="379"/>
      <c r="M4142" s="927">
        <v>960000</v>
      </c>
      <c r="N4142" s="295" t="s">
        <v>101</v>
      </c>
      <c r="O4142" s="295" t="s">
        <v>63</v>
      </c>
      <c r="P4142" s="75" t="str">
        <f>IF(AND('331-CT'!$E$7=TH!H3659,OR(N4142="331",O4142="331")),"x","")</f>
        <v/>
      </c>
      <c r="Q4142" s="75" t="str">
        <f>IF(AND(B4142='111'!$L$11,OR($N4142=$Q$7,$O4142=$Q$7)),"x","")</f>
        <v/>
      </c>
      <c r="R4142" s="75" t="str">
        <f>IF(AND($N4142=$Q$7,$B4142&lt;'111'!$L$11),"x","")</f>
        <v/>
      </c>
      <c r="S4142" s="75" t="str">
        <f>IF(AND($O4142=$Q$7,$B4142&lt;'111'!$L$11),"x","")</f>
        <v>x</v>
      </c>
      <c r="T4142" s="75" t="str">
        <f>IF(ISERROR(FIND('112'!$M$9,G4142,1)),"",IF((AND(FIND('112'!$M$9,G4142,1)&gt;=1,B4142='112'!$K$9,OR($N4142='112'!$I$6,$O4142='112'!$I$6))),"x",""))</f>
        <v/>
      </c>
      <c r="U4142" s="75" t="str">
        <f>IF(ISERROR(FIND('112'!$M$9,G4142,1)),"",IF((AND(LEFT(G4142,2)=LEFT('112'!$M$9,2),B4142&lt;'112'!$K$9,$N4142='112'!$I$6)),"x",""))</f>
        <v/>
      </c>
      <c r="V4142" s="75" t="str">
        <f>IF(ISERROR(FIND('112'!$M$9,G4142,1)),"",IF((AND(RIGHT(G4142,2)=RIGHT('112'!$M$9,2),B4142&lt;'112'!$K$9,$O4142='112'!$I$6)),"x",""))</f>
        <v/>
      </c>
      <c r="W4142" s="75" t="str">
        <f>IF(AND('341-CT'!$H$9=H4142,OR(LEFT(N4142,3)=$W$7,LEFT(O4142,3)=$W$7)),"x","")</f>
        <v/>
      </c>
      <c r="X4142" s="75" t="str">
        <f>IF(OR(TH!N3659=TH!$X$7,O4142=TH!$X$7),"x","")</f>
        <v/>
      </c>
      <c r="Y4142" s="75" t="str">
        <f>IF(AND(OR(N4142="131",O4142="131"),H4142='131-CT'!$H$9),"x","")</f>
        <v/>
      </c>
      <c r="Z4142" s="75"/>
      <c r="AA4142" s="75" t="str">
        <f>IF(AND(MONTH(E4142)='IN-NX'!$J$5,'IN-NX'!$D$7=D4142),"x","")</f>
        <v/>
      </c>
      <c r="AB4142" s="75" t="str">
        <f>IF(AND(OR(LEFT(TH!N3659,2)="15",LEFT(TH!O3659,2)="15"),LEFT(TH!O3659,3)&lt;&gt;"111",'152-CT'!$J$8=TH!F3659),"x","")</f>
        <v/>
      </c>
      <c r="AC4142" s="75" t="str">
        <f>IF(AND(OR(LEFT(TH!N3659,2)="15",LEFT(TH!O3659,2)="15"),TK!$E$7=TH!F3659),"x","")</f>
        <v/>
      </c>
      <c r="AD4142" s="75" t="str">
        <f>IF(AND(N4142="1521",MONTH(C4142)='BK-NL'!$M$11),"x","")</f>
        <v/>
      </c>
    </row>
    <row r="4143" spans="1:33" ht="16.5" customHeight="1">
      <c r="A4143" s="309" t="str">
        <f>IF(B4143&lt;&gt;"",IF(AND(B4143='IN-TC'!$S$4,OR(TH!N4139="1111",TH!O4139="1111")),TH!D4139,""),"")</f>
        <v/>
      </c>
      <c r="B4143" s="1242">
        <f t="shared" si="1314"/>
        <v>5</v>
      </c>
      <c r="C4143" s="292">
        <f t="shared" si="1313"/>
        <v>42874</v>
      </c>
      <c r="D4143" s="292" t="s">
        <v>1961</v>
      </c>
      <c r="E4143" s="292">
        <v>42874</v>
      </c>
      <c r="F4143" s="67" t="s">
        <v>1229</v>
      </c>
      <c r="G4143" s="925" t="s">
        <v>1513</v>
      </c>
      <c r="H4143" s="294" t="s">
        <v>962</v>
      </c>
      <c r="I4143" s="373"/>
      <c r="J4143" s="926"/>
      <c r="K4143" s="373"/>
      <c r="L4143" s="379"/>
      <c r="M4143" s="927">
        <v>96000</v>
      </c>
      <c r="N4143" s="295" t="s">
        <v>9</v>
      </c>
      <c r="O4143" s="295" t="s">
        <v>63</v>
      </c>
      <c r="P4143" s="75" t="str">
        <f>IF(AND('331-CT'!$E$7=TH!H3660,OR(N4143="331",O4143="331")),"x","")</f>
        <v/>
      </c>
      <c r="Q4143" s="75" t="str">
        <f>IF(AND(B4143='111'!$L$11,OR($N4143=$Q$7,$O4143=$Q$7)),"x","")</f>
        <v/>
      </c>
      <c r="R4143" s="75" t="str">
        <f>IF(AND($N4143=$Q$7,$B4143&lt;'111'!$L$11),"x","")</f>
        <v/>
      </c>
      <c r="S4143" s="75" t="str">
        <f>IF(AND($O4143=$Q$7,$B4143&lt;'111'!$L$11),"x","")</f>
        <v>x</v>
      </c>
      <c r="T4143" s="75" t="str">
        <f>IF(ISERROR(FIND('112'!$M$9,G4143,1)),"",IF((AND(FIND('112'!$M$9,G4143,1)&gt;=1,B4143='112'!$K$9,OR($N4143='112'!$I$6,$O4143='112'!$I$6))),"x",""))</f>
        <v/>
      </c>
      <c r="U4143" s="75" t="str">
        <f>IF(ISERROR(FIND('112'!$M$9,G4143,1)),"",IF((AND(LEFT(G4143,2)=LEFT('112'!$M$9,2),B4143&lt;'112'!$K$9,$N4143='112'!$I$6)),"x",""))</f>
        <v/>
      </c>
      <c r="V4143" s="75" t="str">
        <f>IF(ISERROR(FIND('112'!$M$9,G4143,1)),"",IF((AND(RIGHT(G4143,2)=RIGHT('112'!$M$9,2),B4143&lt;'112'!$K$9,$O4143='112'!$I$6)),"x",""))</f>
        <v/>
      </c>
      <c r="W4143" s="75" t="str">
        <f>IF(AND('341-CT'!$H$9=H4143,OR(LEFT(N4143,3)=$W$7,LEFT(O4143,3)=$W$7)),"x","")</f>
        <v/>
      </c>
      <c r="X4143" s="75" t="str">
        <f>IF(OR(TH!N3660=TH!$X$7,O4143=TH!$X$7),"x","")</f>
        <v/>
      </c>
      <c r="Y4143" s="75" t="str">
        <f>IF(AND(OR(N4143="131",O4143="131"),H4143='131-CT'!$H$9),"x","")</f>
        <v/>
      </c>
      <c r="Z4143" s="75"/>
      <c r="AA4143" s="75" t="str">
        <f>IF(AND(MONTH(E4143)='IN-NX'!$J$5,'IN-NX'!$D$7=D4143),"x","")</f>
        <v/>
      </c>
      <c r="AB4143" s="75" t="str">
        <f>IF(AND(OR(LEFT(TH!N3660,2)="15",LEFT(TH!O3660,2)="15"),LEFT(TH!O3660,3)&lt;&gt;"111",'152-CT'!$J$8=TH!F3660),"x","")</f>
        <v/>
      </c>
      <c r="AC4143" s="75" t="str">
        <f>IF(AND(OR(LEFT(TH!N3660,2)="15",LEFT(TH!O3660,2)="15"),TK!$E$7=TH!F3660),"x","")</f>
        <v/>
      </c>
      <c r="AD4143" s="75" t="str">
        <f>IF(AND(N4143="1521",MONTH(C4143)='BK-NL'!$M$11),"x","")</f>
        <v/>
      </c>
    </row>
    <row r="4144" spans="1:33" ht="16.5" customHeight="1">
      <c r="A4144" s="309" t="str">
        <f>IF(B4144&lt;&gt;"",IF(AND(B4144='IN-TC'!$S$4,OR(TH!N4140="1111",TH!O4140="1111")),TH!D4140,""),"")</f>
        <v/>
      </c>
      <c r="B4144" s="1242">
        <f t="shared" si="1314"/>
        <v>5</v>
      </c>
      <c r="C4144" s="292">
        <f t="shared" si="1313"/>
        <v>42874</v>
      </c>
      <c r="D4144" s="292" t="s">
        <v>1962</v>
      </c>
      <c r="E4144" s="292">
        <v>42874</v>
      </c>
      <c r="F4144" s="67" t="s">
        <v>1228</v>
      </c>
      <c r="G4144" s="925" t="s">
        <v>1514</v>
      </c>
      <c r="H4144" s="294" t="s">
        <v>1515</v>
      </c>
      <c r="I4144" s="373"/>
      <c r="J4144" s="926"/>
      <c r="K4144" s="373"/>
      <c r="L4144" s="379"/>
      <c r="M4144" s="927">
        <v>407592</v>
      </c>
      <c r="N4144" s="295" t="s">
        <v>101</v>
      </c>
      <c r="O4144" s="295" t="s">
        <v>63</v>
      </c>
      <c r="P4144" s="75" t="str">
        <f>IF(AND('331-CT'!$E$7=TH!H3661,OR(N4144="331",O4144="331")),"x","")</f>
        <v/>
      </c>
      <c r="Q4144" s="75" t="str">
        <f>IF(AND(B4144='111'!$L$11,OR($N4144=$Q$7,$O4144=$Q$7)),"x","")</f>
        <v/>
      </c>
      <c r="R4144" s="75" t="str">
        <f>IF(AND($N4144=$Q$7,$B4144&lt;'111'!$L$11),"x","")</f>
        <v/>
      </c>
      <c r="S4144" s="75" t="str">
        <f>IF(AND($O4144=$Q$7,$B4144&lt;'111'!$L$11),"x","")</f>
        <v>x</v>
      </c>
      <c r="T4144" s="75" t="str">
        <f>IF(ISERROR(FIND('112'!$M$9,G4144,1)),"",IF((AND(FIND('112'!$M$9,G4144,1)&gt;=1,B4144='112'!$K$9,OR($N4144='112'!$I$6,$O4144='112'!$I$6))),"x",""))</f>
        <v/>
      </c>
      <c r="U4144" s="75" t="str">
        <f>IF(ISERROR(FIND('112'!$M$9,G4144,1)),"",IF((AND(LEFT(G4144,2)=LEFT('112'!$M$9,2),B4144&lt;'112'!$K$9,$N4144='112'!$I$6)),"x",""))</f>
        <v/>
      </c>
      <c r="V4144" s="75" t="str">
        <f>IF(ISERROR(FIND('112'!$M$9,G4144,1)),"",IF((AND(RIGHT(G4144,2)=RIGHT('112'!$M$9,2),B4144&lt;'112'!$K$9,$O4144='112'!$I$6)),"x",""))</f>
        <v/>
      </c>
      <c r="W4144" s="75" t="str">
        <f>IF(AND('341-CT'!$H$9=H4144,OR(LEFT(N4144,3)=$W$7,LEFT(O4144,3)=$W$7)),"x","")</f>
        <v/>
      </c>
      <c r="X4144" s="75" t="str">
        <f>IF(OR(TH!N3661=TH!$X$7,O4144=TH!$X$7),"x","")</f>
        <v/>
      </c>
      <c r="Y4144" s="75" t="str">
        <f>IF(AND(OR(N4144="131",O4144="131"),H4144='131-CT'!$H$9),"x","")</f>
        <v/>
      </c>
      <c r="Z4144" s="75"/>
      <c r="AA4144" s="75" t="str">
        <f>IF(AND(MONTH(E4144)='IN-NX'!$J$5,'IN-NX'!$D$7=D4144),"x","")</f>
        <v/>
      </c>
      <c r="AB4144" s="75" t="str">
        <f>IF(AND(OR(LEFT(TH!N3661,2)="15",LEFT(TH!O3661,2)="15"),LEFT(TH!O3661,3)&lt;&gt;"111",'152-CT'!$J$8=TH!F3661),"x","")</f>
        <v/>
      </c>
      <c r="AC4144" s="75" t="str">
        <f>IF(AND(OR(LEFT(TH!N3661,2)="15",LEFT(TH!O3661,2)="15"),TK!$E$7=TH!F3661),"x","")</f>
        <v/>
      </c>
      <c r="AD4144" s="75" t="str">
        <f>IF(AND(N4144="1521",MONTH(C4144)='BK-NL'!$M$11),"x","")</f>
        <v/>
      </c>
    </row>
    <row r="4145" spans="1:30" ht="16.5" customHeight="1">
      <c r="A4145" s="309" t="str">
        <f>IF(B4145&lt;&gt;"",IF(AND(B4145='IN-TC'!$S$4,OR(TH!N4141="1111",TH!O4141="1111")),TH!D4141,""),"")</f>
        <v/>
      </c>
      <c r="B4145" s="1242">
        <f t="shared" si="1314"/>
        <v>5</v>
      </c>
      <c r="C4145" s="292">
        <f t="shared" si="1313"/>
        <v>42874</v>
      </c>
      <c r="D4145" s="292" t="s">
        <v>1962</v>
      </c>
      <c r="E4145" s="292">
        <v>42874</v>
      </c>
      <c r="F4145" s="67" t="s">
        <v>1229</v>
      </c>
      <c r="G4145" s="925" t="s">
        <v>1514</v>
      </c>
      <c r="H4145" s="294" t="s">
        <v>1515</v>
      </c>
      <c r="I4145" s="373"/>
      <c r="J4145" s="926"/>
      <c r="K4145" s="373"/>
      <c r="L4145" s="379"/>
      <c r="M4145" s="927">
        <v>40759</v>
      </c>
      <c r="N4145" s="295" t="s">
        <v>9</v>
      </c>
      <c r="O4145" s="295" t="s">
        <v>63</v>
      </c>
      <c r="P4145" s="75" t="str">
        <f>IF(AND('331-CT'!$E$7=TH!H3662,OR(N4145="331",O4145="331")),"x","")</f>
        <v/>
      </c>
      <c r="Q4145" s="75" t="str">
        <f>IF(AND(B4145='111'!$L$11,OR($N4145=$Q$7,$O4145=$Q$7)),"x","")</f>
        <v/>
      </c>
      <c r="R4145" s="75" t="str">
        <f>IF(AND($N4145=$Q$7,$B4145&lt;'111'!$L$11),"x","")</f>
        <v/>
      </c>
      <c r="S4145" s="75" t="str">
        <f>IF(AND($O4145=$Q$7,$B4145&lt;'111'!$L$11),"x","")</f>
        <v>x</v>
      </c>
      <c r="T4145" s="75" t="str">
        <f>IF(ISERROR(FIND('112'!$M$9,G4145,1)),"",IF((AND(FIND('112'!$M$9,G4145,1)&gt;=1,B4145='112'!$K$9,OR($N4145='112'!$I$6,$O4145='112'!$I$6))),"x",""))</f>
        <v/>
      </c>
      <c r="U4145" s="75" t="str">
        <f>IF(ISERROR(FIND('112'!$M$9,G4145,1)),"",IF((AND(LEFT(G4145,2)=LEFT('112'!$M$9,2),B4145&lt;'112'!$K$9,$N4145='112'!$I$6)),"x",""))</f>
        <v/>
      </c>
      <c r="V4145" s="75" t="str">
        <f>IF(ISERROR(FIND('112'!$M$9,G4145,1)),"",IF((AND(RIGHT(G4145,2)=RIGHT('112'!$M$9,2),B4145&lt;'112'!$K$9,$O4145='112'!$I$6)),"x",""))</f>
        <v/>
      </c>
      <c r="W4145" s="75" t="str">
        <f>IF(AND('341-CT'!$H$9=H4145,OR(LEFT(N4145,3)=$W$7,LEFT(O4145,3)=$W$7)),"x","")</f>
        <v/>
      </c>
      <c r="X4145" s="75" t="str">
        <f>IF(OR(TH!N3662=TH!$X$7,O4145=TH!$X$7),"x","")</f>
        <v/>
      </c>
      <c r="Y4145" s="75" t="str">
        <f>IF(AND(OR(N4145="131",O4145="131"),H4145='131-CT'!$H$9),"x","")</f>
        <v/>
      </c>
      <c r="Z4145" s="75"/>
      <c r="AA4145" s="75" t="str">
        <f>IF(AND(MONTH(E4145)='IN-NX'!$J$5,'IN-NX'!$D$7=D4145),"x","")</f>
        <v/>
      </c>
      <c r="AB4145" s="75" t="str">
        <f>IF(AND(OR(LEFT(TH!N3662,2)="15",LEFT(TH!O3662,2)="15"),LEFT(TH!O3662,3)&lt;&gt;"111",'152-CT'!$J$8=TH!F3662),"x","")</f>
        <v/>
      </c>
      <c r="AC4145" s="75" t="str">
        <f>IF(AND(OR(LEFT(TH!N3662,2)="15",LEFT(TH!O3662,2)="15"),TK!$E$7=TH!F3662),"x","")</f>
        <v/>
      </c>
      <c r="AD4145" s="75" t="str">
        <f>IF(AND(N4145="1521",MONTH(C4145)='BK-NL'!$M$11),"x","")</f>
        <v/>
      </c>
    </row>
    <row r="4146" spans="1:30" ht="16.5" customHeight="1">
      <c r="A4146" s="309" t="str">
        <f>IF(B4146&lt;&gt;"",IF(AND(B4146='IN-TC'!$S$4,OR(TH!N4142="1111",TH!O4142="1111")),TH!D4142,""),"")</f>
        <v/>
      </c>
      <c r="B4146" s="1242">
        <f t="shared" si="1314"/>
        <v>5</v>
      </c>
      <c r="C4146" s="292">
        <f t="shared" si="1313"/>
        <v>42874</v>
      </c>
      <c r="D4146" s="292" t="s">
        <v>902</v>
      </c>
      <c r="E4146" s="292">
        <v>42874</v>
      </c>
      <c r="F4146" s="67" t="s">
        <v>1307</v>
      </c>
      <c r="G4146" s="293" t="s">
        <v>747</v>
      </c>
      <c r="H4146" s="294" t="s">
        <v>835</v>
      </c>
      <c r="I4146" s="373"/>
      <c r="J4146" s="379"/>
      <c r="K4146" s="373"/>
      <c r="L4146" s="379"/>
      <c r="M4146" s="60">
        <v>133307</v>
      </c>
      <c r="N4146" s="295" t="s">
        <v>101</v>
      </c>
      <c r="O4146" s="61" t="s">
        <v>26</v>
      </c>
      <c r="P4146" s="75" t="str">
        <f>IF(AND('331-CT'!$E$7=TH!H5176,OR(N4146="331",O4146="331")),"x","")</f>
        <v/>
      </c>
      <c r="Q4146" s="75" t="str">
        <f>IF(AND(B4146='111'!$L$11,OR($N4146=$Q$7,$O4146=$Q$7)),"x","")</f>
        <v/>
      </c>
      <c r="R4146" s="75" t="str">
        <f>IF(AND($N4146=$Q$7,$B4146&lt;'111'!$L$11),"x","")</f>
        <v/>
      </c>
      <c r="S4146" s="75" t="str">
        <f>IF(AND($O4146=$Q$7,$B4146&lt;'111'!$L$11),"x","")</f>
        <v/>
      </c>
      <c r="T4146" s="75" t="str">
        <f>IF(ISERROR(FIND('112'!$M$9,G4146,1)),"",IF((AND(FIND('112'!$M$9,G4146,1)&gt;=1,B4146='112'!$K$9,OR($N4146='112'!$I$6,$O4146='112'!$I$6))),"x",""))</f>
        <v/>
      </c>
      <c r="U4146" s="75" t="str">
        <f>IF(ISERROR(FIND('112'!$M$9,G4146,1)),"",IF((AND(LEFT(G4146,2)=LEFT('112'!$M$9,2),B4146&lt;'112'!$K$9,$N4146='112'!$I$6)),"x",""))</f>
        <v/>
      </c>
      <c r="V4146" s="75" t="str">
        <f>IF(ISERROR(FIND('112'!$M$9,G4146,1)),"",IF((AND(RIGHT(G4146,2)=RIGHT('112'!$M$9,2),B4146&lt;'112'!$K$9,$O4146='112'!$I$6)),"x",""))</f>
        <v/>
      </c>
      <c r="W4146" s="75" t="str">
        <f>IF(AND('341-CT'!$H$9=H4146,OR(LEFT(N4146,3)=$W$7,LEFT(O4146,3)=$W$7)),"x","")</f>
        <v/>
      </c>
      <c r="X4146" s="75" t="str">
        <f>IF(OR(TH!N5176=TH!$X$7,O4146=TH!$X$7),"x","")</f>
        <v/>
      </c>
      <c r="Y4146" s="75" t="str">
        <f>IF(AND(OR(N4146="131",O4146="131"),H4146='131-CT'!$H$9),"x","")</f>
        <v/>
      </c>
      <c r="Z4146" s="75"/>
      <c r="AA4146" s="75" t="str">
        <f>IF(AND(MONTH(E4146)='IN-NX'!$J$5,'IN-NX'!$D$7=D4146),"x","")</f>
        <v/>
      </c>
      <c r="AB4146" s="75" t="str">
        <f>IF(AND(OR(LEFT(TH!N5176,2)="15",LEFT(TH!O5176,2)="15"),LEFT(TH!O5176,3)&lt;&gt;"111",'152-CT'!$J$8=TH!F5176),"x","")</f>
        <v/>
      </c>
      <c r="AC4146" s="75" t="str">
        <f>IF(AND(OR(LEFT(TH!N5176,2)="15",LEFT(TH!O5176,2)="15"),TK!$E$7=TH!F5176),"x","")</f>
        <v/>
      </c>
      <c r="AD4146" s="75" t="str">
        <f>IF(AND(N4146="1521",MONTH(C4146)='BK-NL'!$M$11),"x","")</f>
        <v/>
      </c>
    </row>
    <row r="4147" spans="1:30" ht="16.5" customHeight="1">
      <c r="A4147" s="309" t="str">
        <f>IF(B4147&lt;&gt;"",IF(AND(B4147='IN-TC'!$S$4,OR(TH!N4143="1111",TH!O4143="1111")),TH!D4143,""),"")</f>
        <v/>
      </c>
      <c r="B4147" s="1242">
        <f t="shared" si="1314"/>
        <v>5</v>
      </c>
      <c r="C4147" s="292">
        <f t="shared" ref="C4147:C4210" si="1315">E4147</f>
        <v>42874</v>
      </c>
      <c r="D4147" s="292" t="s">
        <v>902</v>
      </c>
      <c r="E4147" s="292">
        <v>42874</v>
      </c>
      <c r="F4147" s="67" t="s">
        <v>1549</v>
      </c>
      <c r="G4147" s="293" t="s">
        <v>747</v>
      </c>
      <c r="H4147" s="294" t="s">
        <v>835</v>
      </c>
      <c r="I4147" s="373"/>
      <c r="J4147" s="379"/>
      <c r="K4147" s="373"/>
      <c r="L4147" s="379"/>
      <c r="M4147" s="60">
        <v>227300</v>
      </c>
      <c r="N4147" s="295" t="s">
        <v>101</v>
      </c>
      <c r="O4147" s="61" t="s">
        <v>26</v>
      </c>
      <c r="P4147" s="75" t="str">
        <f>IF(AND('331-CT'!$E$7=TH!H5177,OR(N4147="331",O4147="331")),"x","")</f>
        <v/>
      </c>
      <c r="Q4147" s="75" t="str">
        <f>IF(AND(B4147='111'!$L$11,OR($N4147=$Q$7,$O4147=$Q$7)),"x","")</f>
        <v/>
      </c>
      <c r="R4147" s="75" t="str">
        <f>IF(AND($N4147=$Q$7,$B4147&lt;'111'!$L$11),"x","")</f>
        <v/>
      </c>
      <c r="S4147" s="75" t="str">
        <f>IF(AND($O4147=$Q$7,$B4147&lt;'111'!$L$11),"x","")</f>
        <v/>
      </c>
      <c r="T4147" s="75" t="str">
        <f>IF(ISERROR(FIND('112'!$M$9,G4147,1)),"",IF((AND(FIND('112'!$M$9,G4147,1)&gt;=1,B4147='112'!$K$9,OR($N4147='112'!$I$6,$O4147='112'!$I$6))),"x",""))</f>
        <v/>
      </c>
      <c r="U4147" s="75" t="str">
        <f>IF(ISERROR(FIND('112'!$M$9,G4147,1)),"",IF((AND(LEFT(G4147,2)=LEFT('112'!$M$9,2),B4147&lt;'112'!$K$9,$N4147='112'!$I$6)),"x",""))</f>
        <v/>
      </c>
      <c r="V4147" s="75" t="str">
        <f>IF(ISERROR(FIND('112'!$M$9,G4147,1)),"",IF((AND(RIGHT(G4147,2)=RIGHT('112'!$M$9,2),B4147&lt;'112'!$K$9,$O4147='112'!$I$6)),"x",""))</f>
        <v/>
      </c>
      <c r="W4147" s="75" t="str">
        <f>IF(AND('341-CT'!$H$9=H4147,OR(LEFT(N4147,3)=$W$7,LEFT(O4147,3)=$W$7)),"x","")</f>
        <v/>
      </c>
      <c r="X4147" s="75" t="str">
        <f>IF(OR(TH!N5177=TH!$X$7,O4147=TH!$X$7),"x","")</f>
        <v/>
      </c>
      <c r="Y4147" s="75" t="str">
        <f>IF(AND(OR(N4147="131",O4147="131"),H4147='131-CT'!$H$9),"x","")</f>
        <v/>
      </c>
      <c r="Z4147" s="75"/>
      <c r="AA4147" s="75" t="str">
        <f>IF(AND(MONTH(E4147)='IN-NX'!$J$5,'IN-NX'!$D$7=D4147),"x","")</f>
        <v/>
      </c>
      <c r="AB4147" s="75" t="str">
        <f>IF(AND(OR(LEFT(TH!N5177,2)="15",LEFT(TH!O5177,2)="15"),LEFT(TH!O5177,3)&lt;&gt;"111",'152-CT'!$J$8=TH!F5177),"x","")</f>
        <v/>
      </c>
      <c r="AC4147" s="75" t="str">
        <f>IF(AND(OR(LEFT(TH!N5177,2)="15",LEFT(TH!O5177,2)="15"),TK!$E$7=TH!F5177),"x","")</f>
        <v/>
      </c>
      <c r="AD4147" s="75" t="str">
        <f>IF(AND(N4147="1521",MONTH(C4147)='BK-NL'!$M$11),"x","")</f>
        <v/>
      </c>
    </row>
    <row r="4148" spans="1:30" ht="16.5" customHeight="1">
      <c r="A4148" s="309" t="str">
        <f>IF(B4148&lt;&gt;"",IF(AND(B4148='IN-TC'!$S$4,OR(TH!N4144="1111",TH!O4144="1111")),TH!D4144,""),"")</f>
        <v/>
      </c>
      <c r="B4148" s="1242">
        <f t="shared" si="1314"/>
        <v>5</v>
      </c>
      <c r="C4148" s="292">
        <f t="shared" si="1315"/>
        <v>42874</v>
      </c>
      <c r="D4148" s="292" t="s">
        <v>902</v>
      </c>
      <c r="E4148" s="292">
        <v>42874</v>
      </c>
      <c r="F4148" s="67" t="s">
        <v>897</v>
      </c>
      <c r="G4148" s="293" t="s">
        <v>747</v>
      </c>
      <c r="H4148" s="294" t="s">
        <v>623</v>
      </c>
      <c r="I4148" s="373"/>
      <c r="J4148" s="379"/>
      <c r="K4148" s="373"/>
      <c r="L4148" s="379"/>
      <c r="M4148" s="60">
        <v>4200000000</v>
      </c>
      <c r="N4148" s="295" t="s">
        <v>8</v>
      </c>
      <c r="O4148" s="61" t="s">
        <v>26</v>
      </c>
      <c r="P4148" s="75" t="str">
        <f>IF(AND('331-CT'!$E$7=TH!H5178,OR(N4148="331",O4148="331")),"x","")</f>
        <v/>
      </c>
      <c r="Q4148" s="75" t="str">
        <f>IF(AND(B4148='111'!$L$11,OR($N4148=$Q$7,$O4148=$Q$7)),"x","")</f>
        <v/>
      </c>
      <c r="R4148" s="75" t="str">
        <f>IF(AND($N4148=$Q$7,$B4148&lt;'111'!$L$11),"x","")</f>
        <v/>
      </c>
      <c r="S4148" s="75" t="str">
        <f>IF(AND($O4148=$Q$7,$B4148&lt;'111'!$L$11),"x","")</f>
        <v/>
      </c>
      <c r="T4148" s="75" t="str">
        <f>IF(ISERROR(FIND('112'!$M$9,G4148,1)),"",IF((AND(FIND('112'!$M$9,G4148,1)&gt;=1,B4148='112'!$K$9,OR($N4148='112'!$I$6,$O4148='112'!$I$6))),"x",""))</f>
        <v/>
      </c>
      <c r="U4148" s="75" t="str">
        <f>IF(ISERROR(FIND('112'!$M$9,G4148,1)),"",IF((AND(LEFT(G4148,2)=LEFT('112'!$M$9,2),B4148&lt;'112'!$K$9,$N4148='112'!$I$6)),"x",""))</f>
        <v/>
      </c>
      <c r="V4148" s="75" t="str">
        <f>IF(ISERROR(FIND('112'!$M$9,G4148,1)),"",IF((AND(RIGHT(G4148,2)=RIGHT('112'!$M$9,2),B4148&lt;'112'!$K$9,$O4148='112'!$I$6)),"x",""))</f>
        <v/>
      </c>
      <c r="W4148" s="75" t="str">
        <f>IF(AND('341-CT'!$H$9=H4148,OR(LEFT(N4148,3)=$W$7,LEFT(O4148,3)=$W$7)),"x","")</f>
        <v/>
      </c>
      <c r="X4148" s="75" t="str">
        <f>IF(OR(TH!N5178=TH!$X$7,O4148=TH!$X$7),"x","")</f>
        <v/>
      </c>
      <c r="Y4148" s="75" t="str">
        <f>IF(AND(OR(N4148="131",O4148="131"),H4148='131-CT'!$H$9),"x","")</f>
        <v/>
      </c>
      <c r="Z4148" s="75"/>
      <c r="AA4148" s="75" t="str">
        <f>IF(AND(MONTH(E4148)='IN-NX'!$J$5,'IN-NX'!$D$7=D4148),"x","")</f>
        <v/>
      </c>
      <c r="AB4148" s="75" t="str">
        <f>IF(AND(OR(LEFT(TH!N5178,2)="15",LEFT(TH!O5178,2)="15"),LEFT(TH!O5178,3)&lt;&gt;"111",'152-CT'!$J$8=TH!F5178),"x","")</f>
        <v/>
      </c>
      <c r="AC4148" s="75" t="str">
        <f>IF(AND(OR(LEFT(TH!N5178,2)="15",LEFT(TH!O5178,2)="15"),TK!$E$7=TH!F5178),"x","")</f>
        <v/>
      </c>
      <c r="AD4148" s="75" t="str">
        <f>IF(AND(N4148="1521",MONTH(C4148)='BK-NL'!$M$11),"x","")</f>
        <v/>
      </c>
    </row>
    <row r="4149" spans="1:30" ht="16.5" customHeight="1">
      <c r="A4149" s="309" t="str">
        <f>IF(B4149&lt;&gt;"",IF(AND(B4149='IN-TC'!$S$4,OR(TH!N4145="1111",TH!O4145="1111")),TH!D4145,""),"")</f>
        <v/>
      </c>
      <c r="B4149" s="1242">
        <f t="shared" si="1314"/>
        <v>5</v>
      </c>
      <c r="C4149" s="292">
        <f t="shared" si="1315"/>
        <v>42874</v>
      </c>
      <c r="D4149" s="292" t="s">
        <v>902</v>
      </c>
      <c r="E4149" s="292">
        <v>42874</v>
      </c>
      <c r="F4149" s="67" t="s">
        <v>870</v>
      </c>
      <c r="G4149" s="293" t="s">
        <v>747</v>
      </c>
      <c r="H4149" s="294" t="s">
        <v>835</v>
      </c>
      <c r="I4149" s="373"/>
      <c r="J4149" s="379"/>
      <c r="K4149" s="373"/>
      <c r="L4149" s="379"/>
      <c r="M4149" s="60">
        <v>1000000</v>
      </c>
      <c r="N4149" s="295" t="s">
        <v>101</v>
      </c>
      <c r="O4149" s="61" t="s">
        <v>26</v>
      </c>
      <c r="P4149" s="75" t="str">
        <f>IF(AND('331-CT'!$E$7=TH!H5179,OR(N4149="331",O4149="331")),"x","")</f>
        <v/>
      </c>
      <c r="Q4149" s="75" t="str">
        <f>IF(AND(B4149='111'!$L$11,OR($N4149=$Q$7,$O4149=$Q$7)),"x","")</f>
        <v/>
      </c>
      <c r="R4149" s="75" t="str">
        <f>IF(AND($N4149=$Q$7,$B4149&lt;'111'!$L$11),"x","")</f>
        <v/>
      </c>
      <c r="S4149" s="75" t="str">
        <f>IF(AND($O4149=$Q$7,$B4149&lt;'111'!$L$11),"x","")</f>
        <v/>
      </c>
      <c r="T4149" s="75" t="str">
        <f>IF(ISERROR(FIND('112'!$M$9,G4149,1)),"",IF((AND(FIND('112'!$M$9,G4149,1)&gt;=1,B4149='112'!$K$9,OR($N4149='112'!$I$6,$O4149='112'!$I$6))),"x",""))</f>
        <v/>
      </c>
      <c r="U4149" s="75" t="str">
        <f>IF(ISERROR(FIND('112'!$M$9,G4149,1)),"",IF((AND(LEFT(G4149,2)=LEFT('112'!$M$9,2),B4149&lt;'112'!$K$9,$N4149='112'!$I$6)),"x",""))</f>
        <v/>
      </c>
      <c r="V4149" s="75" t="str">
        <f>IF(ISERROR(FIND('112'!$M$9,G4149,1)),"",IF((AND(RIGHT(G4149,2)=RIGHT('112'!$M$9,2),B4149&lt;'112'!$K$9,$O4149='112'!$I$6)),"x",""))</f>
        <v/>
      </c>
      <c r="W4149" s="75" t="str">
        <f>IF(AND('341-CT'!$H$9=H4149,OR(LEFT(N4149,3)=$W$7,LEFT(O4149,3)=$W$7)),"x","")</f>
        <v/>
      </c>
      <c r="X4149" s="75" t="str">
        <f>IF(OR(TH!N5179=TH!$X$7,O4149=TH!$X$7),"x","")</f>
        <v/>
      </c>
      <c r="Y4149" s="75" t="str">
        <f>IF(AND(OR(N4149="131",O4149="131"),H4149='131-CT'!$H$9),"x","")</f>
        <v/>
      </c>
      <c r="Z4149" s="75"/>
      <c r="AA4149" s="75" t="str">
        <f>IF(AND(MONTH(E4149)='IN-NX'!$J$5,'IN-NX'!$D$7=D4149),"x","")</f>
        <v/>
      </c>
      <c r="AB4149" s="75" t="str">
        <f>IF(AND(OR(LEFT(TH!N5179,2)="15",LEFT(TH!O5179,2)="15"),LEFT(TH!O5179,3)&lt;&gt;"111",'152-CT'!$J$8=TH!F5179),"x","")</f>
        <v/>
      </c>
      <c r="AC4149" s="75" t="str">
        <f>IF(AND(OR(LEFT(TH!N5179,2)="15",LEFT(TH!O5179,2)="15"),TK!$E$7=TH!F5179),"x","")</f>
        <v/>
      </c>
      <c r="AD4149" s="75" t="str">
        <f>IF(AND(N4149="1521",MONTH(C4149)='BK-NL'!$M$11),"x","")</f>
        <v/>
      </c>
    </row>
    <row r="4150" spans="1:30" ht="16.5" customHeight="1">
      <c r="A4150" s="309" t="str">
        <f>IF(B4150&lt;&gt;"",IF(AND(B4150='IN-TC'!$S$4,OR(TH!N4146="1111",TH!O4146="1111")),TH!D4146,""),"")</f>
        <v/>
      </c>
      <c r="B4150" s="1242">
        <f t="shared" si="1314"/>
        <v>5</v>
      </c>
      <c r="C4150" s="292">
        <f t="shared" si="1315"/>
        <v>42874</v>
      </c>
      <c r="D4150" s="292" t="s">
        <v>902</v>
      </c>
      <c r="E4150" s="292">
        <v>42874</v>
      </c>
      <c r="F4150" s="67" t="s">
        <v>898</v>
      </c>
      <c r="G4150" s="293" t="s">
        <v>747</v>
      </c>
      <c r="H4150" s="294" t="s">
        <v>835</v>
      </c>
      <c r="I4150" s="373"/>
      <c r="J4150" s="379"/>
      <c r="K4150" s="373"/>
      <c r="L4150" s="379"/>
      <c r="M4150" s="60">
        <v>100000</v>
      </c>
      <c r="N4150" s="295" t="s">
        <v>9</v>
      </c>
      <c r="O4150" s="61" t="s">
        <v>26</v>
      </c>
      <c r="P4150" s="75" t="str">
        <f>IF(AND('331-CT'!$E$7=TH!H5180,OR(N4150="331",O4150="331")),"x","")</f>
        <v/>
      </c>
      <c r="Q4150" s="75" t="str">
        <f>IF(AND(B4150='111'!$L$11,OR($N4150=$Q$7,$O4150=$Q$7)),"x","")</f>
        <v/>
      </c>
      <c r="R4150" s="75" t="str">
        <f>IF(AND($N4150=$Q$7,$B4150&lt;'111'!$L$11),"x","")</f>
        <v/>
      </c>
      <c r="S4150" s="75" t="str">
        <f>IF(AND($O4150=$Q$7,$B4150&lt;'111'!$L$11),"x","")</f>
        <v/>
      </c>
      <c r="T4150" s="75" t="str">
        <f>IF(ISERROR(FIND('112'!$M$9,G4150,1)),"",IF((AND(FIND('112'!$M$9,G4150,1)&gt;=1,B4150='112'!$K$9,OR($N4150='112'!$I$6,$O4150='112'!$I$6))),"x",""))</f>
        <v/>
      </c>
      <c r="U4150" s="75" t="str">
        <f>IF(ISERROR(FIND('112'!$M$9,G4150,1)),"",IF((AND(LEFT(G4150,2)=LEFT('112'!$M$9,2),B4150&lt;'112'!$K$9,$N4150='112'!$I$6)),"x",""))</f>
        <v/>
      </c>
      <c r="V4150" s="75" t="str">
        <f>IF(ISERROR(FIND('112'!$M$9,G4150,1)),"",IF((AND(RIGHT(G4150,2)=RIGHT('112'!$M$9,2),B4150&lt;'112'!$K$9,$O4150='112'!$I$6)),"x",""))</f>
        <v/>
      </c>
      <c r="W4150" s="75" t="str">
        <f>IF(AND('341-CT'!$H$9=H4150,OR(LEFT(N4150,3)=$W$7,LEFT(O4150,3)=$W$7)),"x","")</f>
        <v/>
      </c>
      <c r="X4150" s="75" t="str">
        <f>IF(OR(TH!N5180=TH!$X$7,O4150=TH!$X$7),"x","")</f>
        <v/>
      </c>
      <c r="Y4150" s="75" t="str">
        <f>IF(AND(OR(N4150="131",O4150="131"),H4150='131-CT'!$H$9),"x","")</f>
        <v/>
      </c>
      <c r="Z4150" s="75"/>
      <c r="AA4150" s="75" t="str">
        <f>IF(AND(MONTH(E4150)='IN-NX'!$J$5,'IN-NX'!$D$7=D4150),"x","")</f>
        <v/>
      </c>
      <c r="AB4150" s="75" t="str">
        <f>IF(AND(OR(LEFT(TH!N5180,2)="15",LEFT(TH!O5180,2)="15"),LEFT(TH!O5180,3)&lt;&gt;"111",'152-CT'!$J$8=TH!F5180),"x","")</f>
        <v/>
      </c>
      <c r="AC4150" s="75" t="str">
        <f>IF(AND(OR(LEFT(TH!N5180,2)="15",LEFT(TH!O5180,2)="15"),TK!$E$7=TH!F5180),"x","")</f>
        <v/>
      </c>
      <c r="AD4150" s="75" t="str">
        <f>IF(AND(N4150="1521",MONTH(C4150)='BK-NL'!$M$11),"x","")</f>
        <v/>
      </c>
    </row>
    <row r="4151" spans="1:30" ht="16.5" customHeight="1">
      <c r="A4151" s="309" t="str">
        <f>IF(B4151&lt;&gt;"",IF(AND(B4151='IN-TC'!$S$4,OR(TH!N4147="1111",TH!O4147="1111")),TH!D4147,""),"")</f>
        <v/>
      </c>
      <c r="B4151" s="1130">
        <f t="shared" si="1314"/>
        <v>5</v>
      </c>
      <c r="C4151" s="292">
        <f t="shared" si="1315"/>
        <v>42874</v>
      </c>
      <c r="D4151" s="292" t="s">
        <v>1924</v>
      </c>
      <c r="E4151" s="292">
        <v>42874</v>
      </c>
      <c r="F4151" s="67" t="s">
        <v>1697</v>
      </c>
      <c r="G4151" s="925"/>
      <c r="H4151" s="294" t="s">
        <v>948</v>
      </c>
      <c r="I4151" s="373"/>
      <c r="J4151" s="926"/>
      <c r="K4151" s="373"/>
      <c r="L4151" s="379"/>
      <c r="M4151" s="927">
        <v>10295455</v>
      </c>
      <c r="N4151" s="295" t="s">
        <v>539</v>
      </c>
      <c r="O4151" s="295" t="s">
        <v>63</v>
      </c>
      <c r="P4151" s="75" t="str">
        <f>IF(AND('331-CT'!$E$7=TH!H3709,OR(N4151="331",O4151="331")),"x","")</f>
        <v/>
      </c>
      <c r="Q4151" s="75" t="str">
        <f>IF(AND(B4151='111'!$L$11,OR($N4151=$Q$7,$O4151=$Q$7)),"x","")</f>
        <v/>
      </c>
      <c r="R4151" s="75" t="str">
        <f>IF(AND($N4151=$Q$7,$B4151&lt;'111'!$L$11),"x","")</f>
        <v/>
      </c>
      <c r="S4151" s="75" t="str">
        <f>IF(AND($O4151=$Q$7,$B4151&lt;'111'!$L$11),"x","")</f>
        <v>x</v>
      </c>
      <c r="T4151" s="75" t="str">
        <f>IF(ISERROR(FIND('112'!$M$9,G4151,1)),"",IF((AND(FIND('112'!$M$9,G4151,1)&gt;=1,B4151='112'!$K$9,OR($N4151='112'!$I$6,$O4151='112'!$I$6))),"x",""))</f>
        <v/>
      </c>
      <c r="U4151" s="75" t="str">
        <f>IF(ISERROR(FIND('112'!$M$9,G4151,1)),"",IF((AND(LEFT(G4151,2)=LEFT('112'!$M$9,2),B4151&lt;'112'!$K$9,$N4151='112'!$I$6)),"x",""))</f>
        <v/>
      </c>
      <c r="V4151" s="75" t="str">
        <f>IF(ISERROR(FIND('112'!$M$9,G4151,1)),"",IF((AND(RIGHT(G4151,2)=RIGHT('112'!$M$9,2),B4151&lt;'112'!$K$9,$O4151='112'!$I$6)),"x",""))</f>
        <v/>
      </c>
      <c r="W4151" s="75" t="str">
        <f>IF(AND('341-CT'!$H$9=H4151,OR(LEFT(N4151,3)=$W$7,LEFT(O4151,3)=$W$7)),"x","")</f>
        <v/>
      </c>
      <c r="X4151" s="75" t="str">
        <f>IF(OR(TH!N3709=TH!$X$7,O4151=TH!$X$7),"x","")</f>
        <v/>
      </c>
      <c r="Y4151" s="75" t="str">
        <f>IF(AND(OR(N4151="131",O4151="131"),H4151='131-CT'!$H$9),"x","")</f>
        <v/>
      </c>
      <c r="Z4151" s="75"/>
      <c r="AA4151" s="75" t="str">
        <f>IF(AND(MONTH(E4151)='IN-NX'!$J$5,'IN-NX'!$D$7=D4151),"x","")</f>
        <v/>
      </c>
      <c r="AB4151" s="75" t="str">
        <f>IF(AND(OR(LEFT(TH!N3709,2)="15",LEFT(TH!O3709,2)="15"),LEFT(TH!O3709,3)&lt;&gt;"111",'152-CT'!$J$8=TH!F3709),"x","")</f>
        <v/>
      </c>
      <c r="AC4151" s="75" t="str">
        <f>IF(AND(OR(LEFT(TH!N3709,2)="15",LEFT(TH!O3709,2)="15"),TK!$E$7=TH!F3709),"x","")</f>
        <v/>
      </c>
      <c r="AD4151" s="75" t="str">
        <f>IF(AND(N4151="1521",MONTH(C4151)='BK-NL'!$M$11),"x","")</f>
        <v/>
      </c>
    </row>
    <row r="4152" spans="1:30" ht="16.5" customHeight="1">
      <c r="A4152" s="309" t="str">
        <f>IF(B4152&lt;&gt;"",IF(AND(B4152='IN-TC'!$S$4,OR(TH!N4148="1111",TH!O4148="1111")),TH!D4148,""),"")</f>
        <v/>
      </c>
      <c r="B4152" s="1130">
        <f t="shared" si="1314"/>
        <v>5</v>
      </c>
      <c r="C4152" s="292">
        <f t="shared" si="1315"/>
        <v>42874</v>
      </c>
      <c r="D4152" s="292" t="s">
        <v>1924</v>
      </c>
      <c r="E4152" s="292">
        <v>42874</v>
      </c>
      <c r="F4152" s="67" t="s">
        <v>1698</v>
      </c>
      <c r="G4152" s="925"/>
      <c r="H4152" s="294" t="s">
        <v>948</v>
      </c>
      <c r="I4152" s="373"/>
      <c r="J4152" s="926"/>
      <c r="K4152" s="373"/>
      <c r="L4152" s="379"/>
      <c r="M4152" s="927">
        <v>1029545</v>
      </c>
      <c r="N4152" s="295" t="s">
        <v>9</v>
      </c>
      <c r="O4152" s="295" t="s">
        <v>63</v>
      </c>
      <c r="P4152" s="75" t="str">
        <f>IF(AND('331-CT'!$E$7=TH!H3710,OR(N4152="331",O4152="331")),"x","")</f>
        <v/>
      </c>
      <c r="Q4152" s="75" t="str">
        <f>IF(AND(B4152='111'!$L$11,OR($N4152=$Q$7,$O4152=$Q$7)),"x","")</f>
        <v/>
      </c>
      <c r="R4152" s="75" t="str">
        <f>IF(AND($N4152=$Q$7,$B4152&lt;'111'!$L$11),"x","")</f>
        <v/>
      </c>
      <c r="S4152" s="75" t="str">
        <f>IF(AND($O4152=$Q$7,$B4152&lt;'111'!$L$11),"x","")</f>
        <v>x</v>
      </c>
      <c r="T4152" s="75" t="str">
        <f>IF(ISERROR(FIND('112'!$M$9,G4152,1)),"",IF((AND(FIND('112'!$M$9,G4152,1)&gt;=1,B4152='112'!$K$9,OR($N4152='112'!$I$6,$O4152='112'!$I$6))),"x",""))</f>
        <v/>
      </c>
      <c r="U4152" s="75" t="str">
        <f>IF(ISERROR(FIND('112'!$M$9,G4152,1)),"",IF((AND(LEFT(G4152,2)=LEFT('112'!$M$9,2),B4152&lt;'112'!$K$9,$N4152='112'!$I$6)),"x",""))</f>
        <v/>
      </c>
      <c r="V4152" s="75" t="str">
        <f>IF(ISERROR(FIND('112'!$M$9,G4152,1)),"",IF((AND(RIGHT(G4152,2)=RIGHT('112'!$M$9,2),B4152&lt;'112'!$K$9,$O4152='112'!$I$6)),"x",""))</f>
        <v/>
      </c>
      <c r="W4152" s="75" t="str">
        <f>IF(AND('341-CT'!$H$9=H4152,OR(LEFT(N4152,3)=$W$7,LEFT(O4152,3)=$W$7)),"x","")</f>
        <v/>
      </c>
      <c r="X4152" s="75" t="str">
        <f>IF(OR(TH!N3710=TH!$X$7,O4152=TH!$X$7),"x","")</f>
        <v/>
      </c>
      <c r="Y4152" s="75" t="str">
        <f>IF(AND(OR(N4152="131",O4152="131"),H4152='131-CT'!$H$9),"x","")</f>
        <v/>
      </c>
      <c r="Z4152" s="75"/>
      <c r="AA4152" s="75" t="str">
        <f>IF(AND(MONTH(E4152)='IN-NX'!$J$5,'IN-NX'!$D$7=D4152),"x","")</f>
        <v/>
      </c>
      <c r="AB4152" s="75" t="str">
        <f>IF(AND(OR(LEFT(TH!N3710,2)="15",LEFT(TH!O3710,2)="15"),LEFT(TH!O3710,3)&lt;&gt;"111",'152-CT'!$J$8=TH!F3710),"x","")</f>
        <v/>
      </c>
      <c r="AC4152" s="75" t="str">
        <f>IF(AND(OR(LEFT(TH!N3710,2)="15",LEFT(TH!O3710,2)="15"),TK!$E$7=TH!F3710),"x","")</f>
        <v/>
      </c>
      <c r="AD4152" s="75" t="str">
        <f>IF(AND(N4152="1521",MONTH(C4152)='BK-NL'!$M$11),"x","")</f>
        <v/>
      </c>
    </row>
    <row r="4153" spans="1:30" ht="16.5" customHeight="1">
      <c r="A4153" s="309" t="str">
        <f>IF(B4153&lt;&gt;"",IF(AND(B4153='IN-TC'!$S$4,OR(TH!N4149="1111",TH!O4149="1111")),TH!D4149,""),"")</f>
        <v/>
      </c>
      <c r="B4153" s="1242">
        <f t="shared" si="1314"/>
        <v>5</v>
      </c>
      <c r="C4153" s="292">
        <f t="shared" si="1315"/>
        <v>42875</v>
      </c>
      <c r="D4153" s="292" t="s">
        <v>1963</v>
      </c>
      <c r="E4153" s="929">
        <v>42875</v>
      </c>
      <c r="F4153" s="73" t="s">
        <v>1165</v>
      </c>
      <c r="G4153" s="931" t="s">
        <v>1473</v>
      </c>
      <c r="H4153" s="296" t="s">
        <v>796</v>
      </c>
      <c r="I4153" s="371"/>
      <c r="J4153" s="932"/>
      <c r="K4153" s="371"/>
      <c r="L4153" s="377"/>
      <c r="M4153" s="933">
        <v>19650400</v>
      </c>
      <c r="N4153" s="934" t="s">
        <v>8</v>
      </c>
      <c r="O4153" s="934" t="s">
        <v>63</v>
      </c>
      <c r="P4153" s="75" t="str">
        <f>IF(AND('331-CT'!$E$7=TH!H3663,OR(N4153="331",O4153="331")),"x","")</f>
        <v/>
      </c>
      <c r="Q4153" s="75" t="str">
        <f>IF(AND(B4153='111'!$L$11,OR($N4153=$Q$7,$O4153=$Q$7)),"x","")</f>
        <v/>
      </c>
      <c r="R4153" s="75" t="str">
        <f>IF(AND($N4153=$Q$7,$B4153&lt;'111'!$L$11),"x","")</f>
        <v/>
      </c>
      <c r="S4153" s="75" t="str">
        <f>IF(AND($O4153=$Q$7,$B4153&lt;'111'!$L$11),"x","")</f>
        <v>x</v>
      </c>
      <c r="T4153" s="75" t="str">
        <f>IF(ISERROR(FIND('112'!$M$9,G4153,1)),"",IF((AND(FIND('112'!$M$9,G4153,1)&gt;=1,B4153='112'!$K$9,OR($N4153='112'!$I$6,$O4153='112'!$I$6))),"x",""))</f>
        <v/>
      </c>
      <c r="U4153" s="75" t="str">
        <f>IF(ISERROR(FIND('112'!$M$9,G4153,1)),"",IF((AND(LEFT(G4153,2)=LEFT('112'!$M$9,2),B4153&lt;'112'!$K$9,$N4153='112'!$I$6)),"x",""))</f>
        <v/>
      </c>
      <c r="V4153" s="75" t="str">
        <f>IF(ISERROR(FIND('112'!$M$9,G4153,1)),"",IF((AND(RIGHT(G4153,2)=RIGHT('112'!$M$9,2),B4153&lt;'112'!$K$9,$O4153='112'!$I$6)),"x",""))</f>
        <v/>
      </c>
      <c r="W4153" s="75" t="str">
        <f>IF(AND('341-CT'!$H$9=H4153,OR(LEFT(N4153,3)=$W$7,LEFT(O4153,3)=$W$7)),"x","")</f>
        <v/>
      </c>
      <c r="X4153" s="75" t="str">
        <f>IF(OR(TH!N3663=TH!$X$7,O4153=TH!$X$7),"x","")</f>
        <v/>
      </c>
      <c r="Y4153" s="75" t="str">
        <f>IF(AND(OR(N4153="131",O4153="131"),H4153='131-CT'!$H$9),"x","")</f>
        <v/>
      </c>
      <c r="Z4153" s="75"/>
      <c r="AA4153" s="75" t="str">
        <f>IF(AND(MONTH(E4153)='IN-NX'!$J$5,'IN-NX'!$D$7=D4153),"x","")</f>
        <v/>
      </c>
      <c r="AB4153" s="75" t="str">
        <f>IF(AND(OR(LEFT(TH!N3663,2)="15",LEFT(TH!O3663,2)="15"),LEFT(TH!O3663,3)&lt;&gt;"111",'152-CT'!$J$8=TH!F3663),"x","")</f>
        <v/>
      </c>
      <c r="AC4153" s="75" t="str">
        <f>IF(AND(OR(LEFT(TH!N3663,2)="15",LEFT(TH!O3663,2)="15"),TK!$E$7=TH!F3663),"x","")</f>
        <v/>
      </c>
      <c r="AD4153" s="75" t="str">
        <f>IF(AND(N4153="1521",MONTH(C4153)='BK-NL'!$M$11),"x","")</f>
        <v/>
      </c>
    </row>
    <row r="4154" spans="1:30" ht="16.5" customHeight="1">
      <c r="A4154" s="309" t="str">
        <f>IF(B4154&lt;&gt;"",IF(AND(B4154='IN-TC'!$S$4,OR(TH!N4150="1111",TH!O4150="1111")),TH!D4150,""),"")</f>
        <v/>
      </c>
      <c r="B4154" s="1242">
        <f t="shared" si="1314"/>
        <v>5</v>
      </c>
      <c r="C4154" s="292">
        <f t="shared" si="1315"/>
        <v>42875</v>
      </c>
      <c r="D4154" s="292" t="s">
        <v>1964</v>
      </c>
      <c r="E4154" s="292">
        <v>42875</v>
      </c>
      <c r="F4154" s="67" t="s">
        <v>1499</v>
      </c>
      <c r="G4154" s="925" t="s">
        <v>1516</v>
      </c>
      <c r="H4154" s="294" t="s">
        <v>893</v>
      </c>
      <c r="I4154" s="373"/>
      <c r="J4154" s="926"/>
      <c r="K4154" s="373"/>
      <c r="L4154" s="379"/>
      <c r="M4154" s="927">
        <v>1487982</v>
      </c>
      <c r="N4154" s="295" t="s">
        <v>101</v>
      </c>
      <c r="O4154" s="295" t="s">
        <v>63</v>
      </c>
      <c r="P4154" s="75" t="str">
        <f>IF(AND('331-CT'!$E$7=TH!H3664,OR(N4154="331",O4154="331")),"x","")</f>
        <v/>
      </c>
      <c r="Q4154" s="75" t="str">
        <f>IF(AND(B4154='111'!$L$11,OR($N4154=$Q$7,$O4154=$Q$7)),"x","")</f>
        <v/>
      </c>
      <c r="R4154" s="75" t="str">
        <f>IF(AND($N4154=$Q$7,$B4154&lt;'111'!$L$11),"x","")</f>
        <v/>
      </c>
      <c r="S4154" s="75" t="str">
        <f>IF(AND($O4154=$Q$7,$B4154&lt;'111'!$L$11),"x","")</f>
        <v>x</v>
      </c>
      <c r="T4154" s="75" t="str">
        <f>IF(ISERROR(FIND('112'!$M$9,G4154,1)),"",IF((AND(FIND('112'!$M$9,G4154,1)&gt;=1,B4154='112'!$K$9,OR($N4154='112'!$I$6,$O4154='112'!$I$6))),"x",""))</f>
        <v/>
      </c>
      <c r="U4154" s="75" t="str">
        <f>IF(ISERROR(FIND('112'!$M$9,G4154,1)),"",IF((AND(LEFT(G4154,2)=LEFT('112'!$M$9,2),B4154&lt;'112'!$K$9,$N4154='112'!$I$6)),"x",""))</f>
        <v/>
      </c>
      <c r="V4154" s="75" t="str">
        <f>IF(ISERROR(FIND('112'!$M$9,G4154,1)),"",IF((AND(RIGHT(G4154,2)=RIGHT('112'!$M$9,2),B4154&lt;'112'!$K$9,$O4154='112'!$I$6)),"x",""))</f>
        <v/>
      </c>
      <c r="W4154" s="75" t="str">
        <f>IF(AND('341-CT'!$H$9=H4154,OR(LEFT(N4154,3)=$W$7,LEFT(O4154,3)=$W$7)),"x","")</f>
        <v/>
      </c>
      <c r="X4154" s="75" t="str">
        <f>IF(OR(TH!N3664=TH!$X$7,O4154=TH!$X$7),"x","")</f>
        <v/>
      </c>
      <c r="Y4154" s="75" t="str">
        <f>IF(AND(OR(N4154="131",O4154="131"),H4154='131-CT'!$H$9),"x","")</f>
        <v/>
      </c>
      <c r="Z4154" s="75"/>
      <c r="AA4154" s="75" t="str">
        <f>IF(AND(MONTH(E4154)='IN-NX'!$J$5,'IN-NX'!$D$7=D4154),"x","")</f>
        <v/>
      </c>
      <c r="AB4154" s="75" t="str">
        <f>IF(AND(OR(LEFT(TH!N3664,2)="15",LEFT(TH!O3664,2)="15"),LEFT(TH!O3664,3)&lt;&gt;"111",'152-CT'!$J$8=TH!F3664),"x","")</f>
        <v/>
      </c>
      <c r="AC4154" s="75" t="str">
        <f>IF(AND(OR(LEFT(TH!N3664,2)="15",LEFT(TH!O3664,2)="15"),TK!$E$7=TH!F3664),"x","")</f>
        <v/>
      </c>
      <c r="AD4154" s="75" t="str">
        <f>IF(AND(N4154="1521",MONTH(C4154)='BK-NL'!$M$11),"x","")</f>
        <v/>
      </c>
    </row>
    <row r="4155" spans="1:30" ht="16.5" customHeight="1">
      <c r="A4155" s="309" t="str">
        <f>IF(B4155&lt;&gt;"",IF(AND(B4155='IN-TC'!$S$4,OR(TH!N4151="1111",TH!O4151="1111")),TH!D4151,""),"")</f>
        <v/>
      </c>
      <c r="B4155" s="1242">
        <f t="shared" si="1314"/>
        <v>5</v>
      </c>
      <c r="C4155" s="292">
        <f t="shared" si="1315"/>
        <v>42875</v>
      </c>
      <c r="D4155" s="292" t="s">
        <v>1964</v>
      </c>
      <c r="E4155" s="292">
        <v>42875</v>
      </c>
      <c r="F4155" s="67" t="s">
        <v>1500</v>
      </c>
      <c r="G4155" s="925" t="s">
        <v>1516</v>
      </c>
      <c r="H4155" s="294" t="s">
        <v>893</v>
      </c>
      <c r="I4155" s="373"/>
      <c r="J4155" s="926"/>
      <c r="K4155" s="373"/>
      <c r="L4155" s="379"/>
      <c r="M4155" s="927">
        <v>148798</v>
      </c>
      <c r="N4155" s="295" t="s">
        <v>9</v>
      </c>
      <c r="O4155" s="295" t="s">
        <v>63</v>
      </c>
      <c r="P4155" s="75" t="str">
        <f>IF(AND('331-CT'!$E$7=TH!H3665,OR(N4155="331",O4155="331")),"x","")</f>
        <v/>
      </c>
      <c r="Q4155" s="75" t="str">
        <f>IF(AND(B4155='111'!$L$11,OR($N4155=$Q$7,$O4155=$Q$7)),"x","")</f>
        <v/>
      </c>
      <c r="R4155" s="75" t="str">
        <f>IF(AND($N4155=$Q$7,$B4155&lt;'111'!$L$11),"x","")</f>
        <v/>
      </c>
      <c r="S4155" s="75" t="str">
        <f>IF(AND($O4155=$Q$7,$B4155&lt;'111'!$L$11),"x","")</f>
        <v>x</v>
      </c>
      <c r="T4155" s="75" t="str">
        <f>IF(ISERROR(FIND('112'!$M$9,G4155,1)),"",IF((AND(FIND('112'!$M$9,G4155,1)&gt;=1,B4155='112'!$K$9,OR($N4155='112'!$I$6,$O4155='112'!$I$6))),"x",""))</f>
        <v/>
      </c>
      <c r="U4155" s="75" t="str">
        <f>IF(ISERROR(FIND('112'!$M$9,G4155,1)),"",IF((AND(LEFT(G4155,2)=LEFT('112'!$M$9,2),B4155&lt;'112'!$K$9,$N4155='112'!$I$6)),"x",""))</f>
        <v/>
      </c>
      <c r="V4155" s="75" t="str">
        <f>IF(ISERROR(FIND('112'!$M$9,G4155,1)),"",IF((AND(RIGHT(G4155,2)=RIGHT('112'!$M$9,2),B4155&lt;'112'!$K$9,$O4155='112'!$I$6)),"x",""))</f>
        <v/>
      </c>
      <c r="W4155" s="75" t="str">
        <f>IF(AND('341-CT'!$H$9=H4155,OR(LEFT(N4155,3)=$W$7,LEFT(O4155,3)=$W$7)),"x","")</f>
        <v/>
      </c>
      <c r="X4155" s="75" t="str">
        <f>IF(OR(TH!N3665=TH!$X$7,O4155=TH!$X$7),"x","")</f>
        <v/>
      </c>
      <c r="Y4155" s="75" t="str">
        <f>IF(AND(OR(N4155="131",O4155="131"),H4155='131-CT'!$H$9),"x","")</f>
        <v/>
      </c>
      <c r="Z4155" s="75"/>
      <c r="AA4155" s="75" t="str">
        <f>IF(AND(MONTH(E4155)='IN-NX'!$J$5,'IN-NX'!$D$7=D4155),"x","")</f>
        <v/>
      </c>
      <c r="AB4155" s="75" t="str">
        <f>IF(AND(OR(LEFT(TH!N3665,2)="15",LEFT(TH!O3665,2)="15"),LEFT(TH!O3665,3)&lt;&gt;"111",'152-CT'!$J$8=TH!F3665),"x","")</f>
        <v/>
      </c>
      <c r="AC4155" s="75" t="str">
        <f>IF(AND(OR(LEFT(TH!N3665,2)="15",LEFT(TH!O3665,2)="15"),TK!$E$7=TH!F3665),"x","")</f>
        <v/>
      </c>
      <c r="AD4155" s="75" t="str">
        <f>IF(AND(N4155="1521",MONTH(C4155)='BK-NL'!$M$11),"x","")</f>
        <v/>
      </c>
    </row>
    <row r="4156" spans="1:30" ht="16.5" customHeight="1">
      <c r="A4156" s="309" t="str">
        <f>IF(B4156&lt;&gt;"",IF(AND(B4156='IN-TC'!$S$4,OR(TH!N4152="1111",TH!O4152="1111")),TH!D4152,""),"")</f>
        <v/>
      </c>
      <c r="B4156" s="1242">
        <f t="shared" si="1314"/>
        <v>5</v>
      </c>
      <c r="C4156" s="292">
        <f t="shared" si="1315"/>
        <v>42876</v>
      </c>
      <c r="D4156" s="292" t="s">
        <v>1965</v>
      </c>
      <c r="E4156" s="929">
        <v>42876</v>
      </c>
      <c r="F4156" s="73" t="s">
        <v>1165</v>
      </c>
      <c r="G4156" s="931" t="s">
        <v>1474</v>
      </c>
      <c r="H4156" s="296" t="s">
        <v>796</v>
      </c>
      <c r="I4156" s="371"/>
      <c r="J4156" s="932"/>
      <c r="K4156" s="371"/>
      <c r="L4156" s="377"/>
      <c r="M4156" s="933">
        <v>19650400</v>
      </c>
      <c r="N4156" s="934" t="s">
        <v>8</v>
      </c>
      <c r="O4156" s="934" t="s">
        <v>63</v>
      </c>
      <c r="P4156" s="75" t="str">
        <f>IF(AND('331-CT'!$E$7=TH!H3666,OR(N4156="331",O4156="331")),"x","")</f>
        <v/>
      </c>
      <c r="Q4156" s="75" t="str">
        <f>IF(AND(B4156='111'!$L$11,OR($N4156=$Q$7,$O4156=$Q$7)),"x","")</f>
        <v/>
      </c>
      <c r="R4156" s="75" t="str">
        <f>IF(AND($N4156=$Q$7,$B4156&lt;'111'!$L$11),"x","")</f>
        <v/>
      </c>
      <c r="S4156" s="75" t="str">
        <f>IF(AND($O4156=$Q$7,$B4156&lt;'111'!$L$11),"x","")</f>
        <v>x</v>
      </c>
      <c r="T4156" s="75" t="str">
        <f>IF(ISERROR(FIND('112'!$M$9,G4156,1)),"",IF((AND(FIND('112'!$M$9,G4156,1)&gt;=1,B4156='112'!$K$9,OR($N4156='112'!$I$6,$O4156='112'!$I$6))),"x",""))</f>
        <v/>
      </c>
      <c r="U4156" s="75" t="str">
        <f>IF(ISERROR(FIND('112'!$M$9,G4156,1)),"",IF((AND(LEFT(G4156,2)=LEFT('112'!$M$9,2),B4156&lt;'112'!$K$9,$N4156='112'!$I$6)),"x",""))</f>
        <v/>
      </c>
      <c r="V4156" s="75" t="str">
        <f>IF(ISERROR(FIND('112'!$M$9,G4156,1)),"",IF((AND(RIGHT(G4156,2)=RIGHT('112'!$M$9,2),B4156&lt;'112'!$K$9,$O4156='112'!$I$6)),"x",""))</f>
        <v/>
      </c>
      <c r="W4156" s="75" t="str">
        <f>IF(AND('341-CT'!$H$9=H4156,OR(LEFT(N4156,3)=$W$7,LEFT(O4156,3)=$W$7)),"x","")</f>
        <v/>
      </c>
      <c r="X4156" s="75" t="str">
        <f>IF(OR(TH!N3666=TH!$X$7,O4156=TH!$X$7),"x","")</f>
        <v/>
      </c>
      <c r="Y4156" s="75" t="str">
        <f>IF(AND(OR(N4156="131",O4156="131"),H4156='131-CT'!$H$9),"x","")</f>
        <v/>
      </c>
      <c r="Z4156" s="75"/>
      <c r="AA4156" s="75" t="str">
        <f>IF(AND(MONTH(E4156)='IN-NX'!$J$5,'IN-NX'!$D$7=D4156),"x","")</f>
        <v/>
      </c>
      <c r="AB4156" s="75" t="str">
        <f>IF(AND(OR(LEFT(TH!N3666,2)="15",LEFT(TH!O3666,2)="15"),LEFT(TH!O3666,3)&lt;&gt;"111",'152-CT'!$J$8=TH!F3666),"x","")</f>
        <v/>
      </c>
      <c r="AC4156" s="75" t="str">
        <f>IF(AND(OR(LEFT(TH!N3666,2)="15",LEFT(TH!O3666,2)="15"),TK!$E$7=TH!F3666),"x","")</f>
        <v/>
      </c>
      <c r="AD4156" s="75" t="str">
        <f>IF(AND(N4156="1521",MONTH(C4156)='BK-NL'!$M$11),"x","")</f>
        <v/>
      </c>
    </row>
    <row r="4157" spans="1:30" ht="16.5" customHeight="1">
      <c r="A4157" s="309" t="str">
        <f>IF(B4157&lt;&gt;"",IF(AND(B4157='IN-TC'!$S$4,OR(TH!N4153="1111",TH!O4153="1111")),TH!D4153,""),"")</f>
        <v/>
      </c>
      <c r="B4157" s="1242">
        <f t="shared" si="1314"/>
        <v>5</v>
      </c>
      <c r="C4157" s="292">
        <f t="shared" si="1315"/>
        <v>42877</v>
      </c>
      <c r="D4157" s="292" t="s">
        <v>1968</v>
      </c>
      <c r="E4157" s="929">
        <v>42877</v>
      </c>
      <c r="F4157" s="73" t="s">
        <v>1165</v>
      </c>
      <c r="G4157" s="931" t="s">
        <v>1475</v>
      </c>
      <c r="H4157" s="296" t="s">
        <v>796</v>
      </c>
      <c r="I4157" s="371"/>
      <c r="J4157" s="932"/>
      <c r="K4157" s="371"/>
      <c r="L4157" s="377"/>
      <c r="M4157" s="933">
        <v>19650400</v>
      </c>
      <c r="N4157" s="934" t="s">
        <v>8</v>
      </c>
      <c r="O4157" s="934" t="s">
        <v>63</v>
      </c>
      <c r="P4157" s="75" t="str">
        <f>IF(AND('331-CT'!$E$7=TH!H3667,OR(N4157="331",O4157="331")),"x","")</f>
        <v/>
      </c>
      <c r="Q4157" s="75" t="str">
        <f>IF(AND(B4157='111'!$L$11,OR($N4157=$Q$7,$O4157=$Q$7)),"x","")</f>
        <v/>
      </c>
      <c r="R4157" s="75" t="str">
        <f>IF(AND($N4157=$Q$7,$B4157&lt;'111'!$L$11),"x","")</f>
        <v/>
      </c>
      <c r="S4157" s="75" t="str">
        <f>IF(AND($O4157=$Q$7,$B4157&lt;'111'!$L$11),"x","")</f>
        <v>x</v>
      </c>
      <c r="T4157" s="75" t="str">
        <f>IF(ISERROR(FIND('112'!$M$9,G4157,1)),"",IF((AND(FIND('112'!$M$9,G4157,1)&gt;=1,B4157='112'!$K$9,OR($N4157='112'!$I$6,$O4157='112'!$I$6))),"x",""))</f>
        <v/>
      </c>
      <c r="U4157" s="75" t="str">
        <f>IF(ISERROR(FIND('112'!$M$9,G4157,1)),"",IF((AND(LEFT(G4157,2)=LEFT('112'!$M$9,2),B4157&lt;'112'!$K$9,$N4157='112'!$I$6)),"x",""))</f>
        <v/>
      </c>
      <c r="V4157" s="75" t="str">
        <f>IF(ISERROR(FIND('112'!$M$9,G4157,1)),"",IF((AND(RIGHT(G4157,2)=RIGHT('112'!$M$9,2),B4157&lt;'112'!$K$9,$O4157='112'!$I$6)),"x",""))</f>
        <v/>
      </c>
      <c r="W4157" s="75" t="str">
        <f>IF(AND('341-CT'!$H$9=H4157,OR(LEFT(N4157,3)=$W$7,LEFT(O4157,3)=$W$7)),"x","")</f>
        <v/>
      </c>
      <c r="X4157" s="75" t="str">
        <f>IF(OR(TH!N3667=TH!$X$7,O4157=TH!$X$7),"x","")</f>
        <v/>
      </c>
      <c r="Y4157" s="75" t="str">
        <f>IF(AND(OR(N4157="131",O4157="131"),H4157='131-CT'!$H$9),"x","")</f>
        <v/>
      </c>
      <c r="Z4157" s="75"/>
      <c r="AA4157" s="75" t="str">
        <f>IF(AND(MONTH(E4157)='IN-NX'!$J$5,'IN-NX'!$D$7=D4157),"x","")</f>
        <v/>
      </c>
      <c r="AB4157" s="75" t="str">
        <f>IF(AND(OR(LEFT(TH!N3667,2)="15",LEFT(TH!O3667,2)="15"),LEFT(TH!O3667,3)&lt;&gt;"111",'152-CT'!$J$8=TH!F3667),"x","")</f>
        <v/>
      </c>
      <c r="AC4157" s="75" t="str">
        <f>IF(AND(OR(LEFT(TH!N3667,2)="15",LEFT(TH!O3667,2)="15"),TK!$E$7=TH!F3667),"x","")</f>
        <v/>
      </c>
      <c r="AD4157" s="75" t="str">
        <f>IF(AND(N4157="1521",MONTH(C4157)='BK-NL'!$M$11),"x","")</f>
        <v/>
      </c>
    </row>
    <row r="4158" spans="1:30" ht="16.5" customHeight="1">
      <c r="A4158" s="309" t="str">
        <f>IF(B4158&lt;&gt;"",IF(AND(B4158='IN-TC'!$S$4,OR(TH!N4154="1111",TH!O4154="1111")),TH!D4154,""),"")</f>
        <v/>
      </c>
      <c r="B4158" s="1242">
        <f t="shared" si="1314"/>
        <v>5</v>
      </c>
      <c r="C4158" s="292">
        <f t="shared" si="1315"/>
        <v>42877</v>
      </c>
      <c r="D4158" s="59" t="s">
        <v>903</v>
      </c>
      <c r="E4158" s="59">
        <v>42877</v>
      </c>
      <c r="F4158" s="62" t="s">
        <v>923</v>
      </c>
      <c r="G4158" s="293" t="s">
        <v>747</v>
      </c>
      <c r="H4158" s="294" t="s">
        <v>2453</v>
      </c>
      <c r="I4158" s="373"/>
      <c r="J4158" s="379"/>
      <c r="K4158" s="373">
        <v>41000</v>
      </c>
      <c r="L4158" s="379">
        <v>22675</v>
      </c>
      <c r="M4158" s="60">
        <v>929675000</v>
      </c>
      <c r="N4158" s="61" t="s">
        <v>26</v>
      </c>
      <c r="O4158" s="61" t="s">
        <v>250</v>
      </c>
      <c r="P4158" s="75" t="str">
        <f>IF(AND('331-CT'!$E$7=TH!H5156,OR(N4158="331",O4158="331")),"x","")</f>
        <v/>
      </c>
      <c r="Q4158" s="75" t="str">
        <f>IF(AND(B4158='111'!$L$11,OR($N4158=$Q$7,$O4158=$Q$7)),"x","")</f>
        <v/>
      </c>
      <c r="R4158" s="75" t="str">
        <f>IF(AND($N4158=$Q$7,$B4158&lt;'111'!$L$11),"x","")</f>
        <v/>
      </c>
      <c r="S4158" s="75" t="str">
        <f>IF(AND($O4158=$Q$7,$B4158&lt;'111'!$L$11),"x","")</f>
        <v/>
      </c>
      <c r="T4158" s="75" t="str">
        <f>IF(ISERROR(FIND('112'!$M$9,G4158,1)),"",IF((AND(FIND('112'!$M$9,G4158,1)&gt;=1,B4158='112'!$K$9,OR($N4158='112'!$I$6,$O4158='112'!$I$6))),"x",""))</f>
        <v/>
      </c>
      <c r="U4158" s="75" t="str">
        <f>IF(ISERROR(FIND('112'!$M$9,G4158,1)),"",IF((AND(LEFT(G4158,2)=LEFT('112'!$M$9,2),B4158&lt;'112'!$K$9,$N4158='112'!$I$6)),"x",""))</f>
        <v/>
      </c>
      <c r="V4158" s="75" t="str">
        <f>IF(ISERROR(FIND('112'!$M$9,G4158,1)),"",IF((AND(RIGHT(G4158,2)=RIGHT('112'!$M$9,2),B4158&lt;'112'!$K$9,$O4158='112'!$I$6)),"x",""))</f>
        <v/>
      </c>
      <c r="W4158" s="75" t="str">
        <f>IF(AND('341-CT'!$H$9=H4158,OR(LEFT(N4158,3)=$W$7,LEFT(O4158,3)=$W$7)),"x","")</f>
        <v/>
      </c>
      <c r="X4158" s="75" t="str">
        <f>IF(OR(TH!N5156=TH!$X$7,O4158=TH!$X$7),"x","")</f>
        <v/>
      </c>
      <c r="Y4158" s="75" t="str">
        <f>IF(AND(OR(N4158="131",O4158="131"),H4158='131-CT'!$H$9),"x","")</f>
        <v/>
      </c>
      <c r="Z4158" s="75"/>
      <c r="AA4158" s="75" t="str">
        <f>IF(AND(MONTH(E4158)='IN-NX'!$J$5,'IN-NX'!$D$7=D4158),"x","")</f>
        <v/>
      </c>
      <c r="AB4158" s="75" t="str">
        <f>IF(AND(OR(LEFT(TH!N5156,2)="15",LEFT(TH!O5156,2)="15"),LEFT(TH!O5156,3)&lt;&gt;"111",'152-CT'!$J$8=TH!F5156),"x","")</f>
        <v/>
      </c>
      <c r="AC4158" s="75" t="str">
        <f>IF(AND(OR(LEFT(TH!N5156,2)="15",LEFT(TH!O5156,2)="15"),TK!$E$7=TH!F5156),"x","")</f>
        <v/>
      </c>
      <c r="AD4158" s="75" t="str">
        <f>IF(AND(N4158="1521",MONTH(C4158)='BK-NL'!$M$11),"x","")</f>
        <v/>
      </c>
    </row>
    <row r="4159" spans="1:30" ht="16.5" customHeight="1">
      <c r="A4159" s="309" t="str">
        <f>IF(B4159&lt;&gt;"",IF(AND(B4159='IN-TC'!$S$4,OR(TH!N4155="1111",TH!O4155="1111")),TH!D4155,""),"")</f>
        <v/>
      </c>
      <c r="B4159" s="1130">
        <f t="shared" si="1314"/>
        <v>5</v>
      </c>
      <c r="C4159" s="292">
        <f t="shared" si="1315"/>
        <v>42877</v>
      </c>
      <c r="D4159" s="292" t="s">
        <v>1925</v>
      </c>
      <c r="E4159" s="292">
        <v>42877</v>
      </c>
      <c r="F4159" s="67" t="s">
        <v>1326</v>
      </c>
      <c r="G4159" s="925"/>
      <c r="H4159" s="294" t="s">
        <v>1028</v>
      </c>
      <c r="I4159" s="373"/>
      <c r="J4159" s="926"/>
      <c r="K4159" s="373"/>
      <c r="L4159" s="379"/>
      <c r="M4159" s="927">
        <v>572727</v>
      </c>
      <c r="N4159" s="295" t="s">
        <v>539</v>
      </c>
      <c r="O4159" s="295" t="s">
        <v>63</v>
      </c>
      <c r="P4159" s="75" t="str">
        <f>IF(AND('331-CT'!$E$7=TH!H3711,OR(N4159="331",O4159="331")),"x","")</f>
        <v/>
      </c>
      <c r="Q4159" s="75" t="str">
        <f>IF(AND(B4159='111'!$L$11,OR($N4159=$Q$7,$O4159=$Q$7)),"x","")</f>
        <v/>
      </c>
      <c r="R4159" s="75" t="str">
        <f>IF(AND($N4159=$Q$7,$B4159&lt;'111'!$L$11),"x","")</f>
        <v/>
      </c>
      <c r="S4159" s="75" t="str">
        <f>IF(AND($O4159=$Q$7,$B4159&lt;'111'!$L$11),"x","")</f>
        <v>x</v>
      </c>
      <c r="T4159" s="75" t="str">
        <f>IF(ISERROR(FIND('112'!$M$9,G4159,1)),"",IF((AND(FIND('112'!$M$9,G4159,1)&gt;=1,B4159='112'!$K$9,OR($N4159='112'!$I$6,$O4159='112'!$I$6))),"x",""))</f>
        <v/>
      </c>
      <c r="U4159" s="75" t="str">
        <f>IF(ISERROR(FIND('112'!$M$9,G4159,1)),"",IF((AND(LEFT(G4159,2)=LEFT('112'!$M$9,2),B4159&lt;'112'!$K$9,$N4159='112'!$I$6)),"x",""))</f>
        <v/>
      </c>
      <c r="V4159" s="75" t="str">
        <f>IF(ISERROR(FIND('112'!$M$9,G4159,1)),"",IF((AND(RIGHT(G4159,2)=RIGHT('112'!$M$9,2),B4159&lt;'112'!$K$9,$O4159='112'!$I$6)),"x",""))</f>
        <v/>
      </c>
      <c r="W4159" s="75" t="str">
        <f>IF(AND('341-CT'!$H$9=H4159,OR(LEFT(N4159,3)=$W$7,LEFT(O4159,3)=$W$7)),"x","")</f>
        <v/>
      </c>
      <c r="X4159" s="75" t="str">
        <f>IF(OR(TH!N3711=TH!$X$7,O4159=TH!$X$7),"x","")</f>
        <v/>
      </c>
      <c r="Y4159" s="75" t="str">
        <f>IF(AND(OR(N4159="131",O4159="131"),H4159='131-CT'!$H$9),"x","")</f>
        <v/>
      </c>
      <c r="Z4159" s="75"/>
      <c r="AA4159" s="75" t="str">
        <f>IF(AND(MONTH(E4159)='IN-NX'!$J$5,'IN-NX'!$D$7=D4159),"x","")</f>
        <v/>
      </c>
      <c r="AB4159" s="75" t="str">
        <f>IF(AND(OR(LEFT(TH!N3711,2)="15",LEFT(TH!O3711,2)="15"),LEFT(TH!O3711,3)&lt;&gt;"111",'152-CT'!$J$8=TH!F3711),"x","")</f>
        <v/>
      </c>
      <c r="AC4159" s="75" t="str">
        <f>IF(AND(OR(LEFT(TH!N3711,2)="15",LEFT(TH!O3711,2)="15"),TK!$E$7=TH!F3711),"x","")</f>
        <v/>
      </c>
      <c r="AD4159" s="75" t="str">
        <f>IF(AND(N4159="1521",MONTH(C4159)='BK-NL'!$M$11),"x","")</f>
        <v/>
      </c>
    </row>
    <row r="4160" spans="1:30" ht="16.5" customHeight="1">
      <c r="A4160" s="309" t="str">
        <f>IF(B4160&lt;&gt;"",IF(AND(B4160='IN-TC'!$S$4,OR(TH!N4156="1111",TH!O4156="1111")),TH!D4156,""),"")</f>
        <v/>
      </c>
      <c r="B4160" s="1130">
        <f t="shared" si="1314"/>
        <v>5</v>
      </c>
      <c r="C4160" s="292">
        <f t="shared" si="1315"/>
        <v>42877</v>
      </c>
      <c r="D4160" s="292" t="s">
        <v>1925</v>
      </c>
      <c r="E4160" s="292">
        <v>42877</v>
      </c>
      <c r="F4160" s="67" t="s">
        <v>1327</v>
      </c>
      <c r="G4160" s="925"/>
      <c r="H4160" s="294" t="s">
        <v>1028</v>
      </c>
      <c r="I4160" s="373"/>
      <c r="J4160" s="926"/>
      <c r="K4160" s="373"/>
      <c r="L4160" s="379"/>
      <c r="M4160" s="927">
        <v>57273</v>
      </c>
      <c r="N4160" s="295" t="s">
        <v>9</v>
      </c>
      <c r="O4160" s="295" t="s">
        <v>63</v>
      </c>
      <c r="P4160" s="75" t="str">
        <f>IF(AND('331-CT'!$E$7=TH!H3712,OR(N4160="331",O4160="331")),"x","")</f>
        <v/>
      </c>
      <c r="Q4160" s="75" t="str">
        <f>IF(AND(B4160='111'!$L$11,OR($N4160=$Q$7,$O4160=$Q$7)),"x","")</f>
        <v/>
      </c>
      <c r="R4160" s="75" t="str">
        <f>IF(AND($N4160=$Q$7,$B4160&lt;'111'!$L$11),"x","")</f>
        <v/>
      </c>
      <c r="S4160" s="75" t="str">
        <f>IF(AND($O4160=$Q$7,$B4160&lt;'111'!$L$11),"x","")</f>
        <v>x</v>
      </c>
      <c r="T4160" s="75" t="str">
        <f>IF(ISERROR(FIND('112'!$M$9,G4160,1)),"",IF((AND(FIND('112'!$M$9,G4160,1)&gt;=1,B4160='112'!$K$9,OR($N4160='112'!$I$6,$O4160='112'!$I$6))),"x",""))</f>
        <v/>
      </c>
      <c r="U4160" s="75" t="str">
        <f>IF(ISERROR(FIND('112'!$M$9,G4160,1)),"",IF((AND(LEFT(G4160,2)=LEFT('112'!$M$9,2),B4160&lt;'112'!$K$9,$N4160='112'!$I$6)),"x",""))</f>
        <v/>
      </c>
      <c r="V4160" s="75" t="str">
        <f>IF(ISERROR(FIND('112'!$M$9,G4160,1)),"",IF((AND(RIGHT(G4160,2)=RIGHT('112'!$M$9,2),B4160&lt;'112'!$K$9,$O4160='112'!$I$6)),"x",""))</f>
        <v/>
      </c>
      <c r="W4160" s="75" t="str">
        <f>IF(AND('341-CT'!$H$9=H4160,OR(LEFT(N4160,3)=$W$7,LEFT(O4160,3)=$W$7)),"x","")</f>
        <v/>
      </c>
      <c r="X4160" s="75" t="str">
        <f>IF(OR(TH!N3712=TH!$X$7,O4160=TH!$X$7),"x","")</f>
        <v/>
      </c>
      <c r="Y4160" s="75" t="str">
        <f>IF(AND(OR(N4160="131",O4160="131"),H4160='131-CT'!$H$9),"x","")</f>
        <v/>
      </c>
      <c r="Z4160" s="75"/>
      <c r="AA4160" s="75" t="str">
        <f>IF(AND(MONTH(E4160)='IN-NX'!$J$5,'IN-NX'!$D$7=D4160),"x","")</f>
        <v/>
      </c>
      <c r="AB4160" s="75" t="str">
        <f>IF(AND(OR(LEFT(TH!N3712,2)="15",LEFT(TH!O3712,2)="15"),LEFT(TH!O3712,3)&lt;&gt;"111",'152-CT'!$J$8=TH!F3712),"x","")</f>
        <v/>
      </c>
      <c r="AC4160" s="75" t="str">
        <f>IF(AND(OR(LEFT(TH!N3712,2)="15",LEFT(TH!O3712,2)="15"),TK!$E$7=TH!F3712),"x","")</f>
        <v/>
      </c>
      <c r="AD4160" s="75" t="str">
        <f>IF(AND(N4160="1521",MONTH(C4160)='BK-NL'!$M$11),"x","")</f>
        <v/>
      </c>
    </row>
    <row r="4161" spans="1:30" ht="16.5" customHeight="1">
      <c r="A4161" s="309" t="str">
        <f>IF(B4161&lt;&gt;"",IF(AND(B4161='IN-TC'!$S$4,OR(TH!N4157="1111",TH!O4157="1111")),TH!D4157,""),"")</f>
        <v/>
      </c>
      <c r="B4161" s="1242">
        <f t="shared" si="1314"/>
        <v>5</v>
      </c>
      <c r="C4161" s="292">
        <f t="shared" si="1315"/>
        <v>42878</v>
      </c>
      <c r="D4161" s="292" t="s">
        <v>1969</v>
      </c>
      <c r="E4161" s="929">
        <v>42878</v>
      </c>
      <c r="F4161" s="73" t="s">
        <v>1165</v>
      </c>
      <c r="G4161" s="931" t="s">
        <v>1476</v>
      </c>
      <c r="H4161" s="296" t="s">
        <v>796</v>
      </c>
      <c r="I4161" s="371"/>
      <c r="J4161" s="932"/>
      <c r="K4161" s="371"/>
      <c r="L4161" s="377"/>
      <c r="M4161" s="933">
        <v>19650400</v>
      </c>
      <c r="N4161" s="934" t="s">
        <v>8</v>
      </c>
      <c r="O4161" s="934" t="s">
        <v>63</v>
      </c>
      <c r="P4161" s="75" t="str">
        <f>IF(AND('331-CT'!$E$7=TH!H3649,OR(N4161="331",O4161="331")),"x","")</f>
        <v/>
      </c>
      <c r="Q4161" s="75" t="str">
        <f>IF(AND(B4161='111'!$L$11,OR($N4161=$Q$7,$O4161=$Q$7)),"x","")</f>
        <v/>
      </c>
      <c r="R4161" s="75" t="str">
        <f>IF(AND($N4161=$Q$7,$B4161&lt;'111'!$L$11),"x","")</f>
        <v/>
      </c>
      <c r="S4161" s="75" t="str">
        <f>IF(AND($O4161=$Q$7,$B4161&lt;'111'!$L$11),"x","")</f>
        <v>x</v>
      </c>
      <c r="T4161" s="75" t="str">
        <f>IF(ISERROR(FIND('112'!$M$9,G4161,1)),"",IF((AND(FIND('112'!$M$9,G4161,1)&gt;=1,B4161='112'!$K$9,OR($N4161='112'!$I$6,$O4161='112'!$I$6))),"x",""))</f>
        <v/>
      </c>
      <c r="U4161" s="75" t="str">
        <f>IF(ISERROR(FIND('112'!$M$9,G4161,1)),"",IF((AND(LEFT(G4161,2)=LEFT('112'!$M$9,2),B4161&lt;'112'!$K$9,$N4161='112'!$I$6)),"x",""))</f>
        <v/>
      </c>
      <c r="V4161" s="75" t="str">
        <f>IF(ISERROR(FIND('112'!$M$9,G4161,1)),"",IF((AND(RIGHT(G4161,2)=RIGHT('112'!$M$9,2),B4161&lt;'112'!$K$9,$O4161='112'!$I$6)),"x",""))</f>
        <v/>
      </c>
      <c r="W4161" s="75" t="str">
        <f>IF(AND('341-CT'!$H$9=H4161,OR(LEFT(N4161,3)=$W$7,LEFT(O4161,3)=$W$7)),"x","")</f>
        <v/>
      </c>
      <c r="X4161" s="75" t="str">
        <f>IF(OR(TH!N3649=TH!$X$7,O4161=TH!$X$7),"x","")</f>
        <v/>
      </c>
      <c r="Y4161" s="75" t="str">
        <f>IF(AND(OR(N4161="131",O4161="131"),H4161='131-CT'!$H$9),"x","")</f>
        <v/>
      </c>
      <c r="Z4161" s="75"/>
      <c r="AA4161" s="75" t="str">
        <f>IF(AND(MONTH(E4161)='IN-NX'!$J$5,'IN-NX'!$D$7=D4161),"x","")</f>
        <v/>
      </c>
      <c r="AB4161" s="75" t="str">
        <f>IF(AND(OR(LEFT(TH!N3649,2)="15",LEFT(TH!O3649,2)="15"),LEFT(TH!O3649,3)&lt;&gt;"111",'152-CT'!$J$8=TH!F3649),"x","")</f>
        <v/>
      </c>
      <c r="AC4161" s="75" t="str">
        <f>IF(AND(OR(LEFT(TH!N3649,2)="15",LEFT(TH!O3649,2)="15"),TK!$E$7=TH!F3649),"x","")</f>
        <v/>
      </c>
      <c r="AD4161" s="75" t="str">
        <f>IF(AND(N4161="1521",MONTH(C4161)='BK-NL'!$M$11),"x","")</f>
        <v/>
      </c>
    </row>
    <row r="4162" spans="1:30" ht="16.5" customHeight="1">
      <c r="A4162" s="309" t="str">
        <f>IF(B4162&lt;&gt;"",IF(AND(B4162='IN-TC'!$S$4,OR(TH!N4158="1111",TH!O4158="1111")),TH!D4158,""),"")</f>
        <v/>
      </c>
      <c r="B4162" s="1242">
        <f t="shared" si="1314"/>
        <v>5</v>
      </c>
      <c r="C4162" s="292">
        <f t="shared" si="1315"/>
        <v>42878</v>
      </c>
      <c r="D4162" s="292" t="s">
        <v>850</v>
      </c>
      <c r="E4162" s="292">
        <v>42878</v>
      </c>
      <c r="F4162" s="293" t="s">
        <v>834</v>
      </c>
      <c r="G4162" s="943" t="s">
        <v>747</v>
      </c>
      <c r="H4162" s="67" t="s">
        <v>1023</v>
      </c>
      <c r="I4162" s="373"/>
      <c r="J4162" s="926"/>
      <c r="K4162" s="373"/>
      <c r="L4162" s="379"/>
      <c r="M4162" s="927">
        <v>580000000</v>
      </c>
      <c r="N4162" s="295" t="s">
        <v>63</v>
      </c>
      <c r="O4162" s="295" t="s">
        <v>26</v>
      </c>
      <c r="P4162" s="75" t="str">
        <f>IF(AND('331-CT'!$E$7=TH!H5181,OR(N4162="331",O4162="331")),"x","")</f>
        <v/>
      </c>
      <c r="Q4162" s="75" t="str">
        <f>IF(AND(B4162='111'!$L$11,OR($N4162=$Q$7,$O4162=$Q$7)),"x","")</f>
        <v/>
      </c>
      <c r="R4162" s="75" t="str">
        <f>IF(AND($N4162=$Q$7,$B4162&lt;'111'!$L$11),"x","")</f>
        <v>x</v>
      </c>
      <c r="S4162" s="75" t="str">
        <f>IF(AND($O4162=$Q$7,$B4162&lt;'111'!$L$11),"x","")</f>
        <v/>
      </c>
      <c r="T4162" s="75" t="str">
        <f>IF(ISERROR(FIND('112'!$M$9,G4162,1)),"",IF((AND(FIND('112'!$M$9,G4162,1)&gt;=1,B4162='112'!$K$9,OR($N4162='112'!$I$6,$O4162='112'!$I$6))),"x",""))</f>
        <v/>
      </c>
      <c r="U4162" s="75" t="str">
        <f>IF(ISERROR(FIND('112'!$M$9,G4162,1)),"",IF((AND(LEFT(G4162,2)=LEFT('112'!$M$9,2),B4162&lt;'112'!$K$9,$N4162='112'!$I$6)),"x",""))</f>
        <v/>
      </c>
      <c r="V4162" s="75" t="str">
        <f>IF(ISERROR(FIND('112'!$M$9,G4162,1)),"",IF((AND(RIGHT(G4162,2)=RIGHT('112'!$M$9,2),B4162&lt;'112'!$K$9,$O4162='112'!$I$6)),"x",""))</f>
        <v/>
      </c>
      <c r="W4162" s="75" t="str">
        <f>IF(AND('341-CT'!$H$9=H4162,OR(LEFT(N4162,3)=$W$7,LEFT(O4162,3)=$W$7)),"x","")</f>
        <v/>
      </c>
      <c r="X4162" s="75" t="str">
        <f>IF(OR(TH!N5181=TH!$X$7,O4162=TH!$X$7),"x","")</f>
        <v/>
      </c>
      <c r="Y4162" s="75" t="str">
        <f>IF(AND(OR(N4162="131",O4162="131"),H4162='131-CT'!$H$9),"x","")</f>
        <v/>
      </c>
      <c r="Z4162" s="75"/>
      <c r="AA4162" s="75" t="str">
        <f>IF(AND(MONTH(E4162)='IN-NX'!$J$5,'IN-NX'!$D$7=D4162),"x","")</f>
        <v/>
      </c>
      <c r="AB4162" s="75" t="str">
        <f>IF(AND(OR(LEFT(TH!N5181,2)="15",LEFT(TH!O5181,2)="15"),LEFT(TH!O5181,3)&lt;&gt;"111",'152-CT'!$J$8=TH!F5181),"x","")</f>
        <v/>
      </c>
      <c r="AC4162" s="75" t="str">
        <f>IF(AND(OR(LEFT(TH!N5181,2)="15",LEFT(TH!O5181,2)="15"),TK!$E$7=TH!F5181),"x","")</f>
        <v/>
      </c>
      <c r="AD4162" s="75" t="str">
        <f>IF(AND(N4162="1521",MONTH(C4162)='BK-NL'!$M$11),"x","")</f>
        <v/>
      </c>
    </row>
    <row r="4163" spans="1:30" ht="16.5" customHeight="1">
      <c r="A4163" s="309" t="str">
        <f>IF(B4163&lt;&gt;"",IF(AND(B4163='IN-TC'!$S$4,OR(TH!N4159="1111",TH!O4159="1111")),TH!D4159,""),"")</f>
        <v/>
      </c>
      <c r="B4163" s="1242">
        <f t="shared" si="1314"/>
        <v>5</v>
      </c>
      <c r="C4163" s="292">
        <f t="shared" si="1315"/>
        <v>42878</v>
      </c>
      <c r="D4163" s="292" t="s">
        <v>902</v>
      </c>
      <c r="E4163" s="292">
        <v>42878</v>
      </c>
      <c r="F4163" s="67" t="s">
        <v>1550</v>
      </c>
      <c r="G4163" s="293" t="s">
        <v>747</v>
      </c>
      <c r="H4163" s="311" t="s">
        <v>561</v>
      </c>
      <c r="I4163" s="373"/>
      <c r="J4163" s="379"/>
      <c r="K4163" s="373"/>
      <c r="L4163" s="379"/>
      <c r="M4163" s="60">
        <v>1200000</v>
      </c>
      <c r="N4163" s="295" t="s">
        <v>8</v>
      </c>
      <c r="O4163" s="61" t="s">
        <v>26</v>
      </c>
      <c r="P4163" s="75" t="str">
        <f>IF(AND('331-CT'!$E$7=TH!H5182,OR(N4163="331",O4163="331")),"x","")</f>
        <v/>
      </c>
      <c r="Q4163" s="75" t="str">
        <f>IF(AND(B4163='111'!$L$11,OR($N4163=$Q$7,$O4163=$Q$7)),"x","")</f>
        <v/>
      </c>
      <c r="R4163" s="75" t="str">
        <f>IF(AND($N4163=$Q$7,$B4163&lt;'111'!$L$11),"x","")</f>
        <v/>
      </c>
      <c r="S4163" s="75" t="str">
        <f>IF(AND($O4163=$Q$7,$B4163&lt;'111'!$L$11),"x","")</f>
        <v/>
      </c>
      <c r="T4163" s="75" t="str">
        <f>IF(ISERROR(FIND('112'!$M$9,G4163,1)),"",IF((AND(FIND('112'!$M$9,G4163,1)&gt;=1,B4163='112'!$K$9,OR($N4163='112'!$I$6,$O4163='112'!$I$6))),"x",""))</f>
        <v/>
      </c>
      <c r="U4163" s="75" t="str">
        <f>IF(ISERROR(FIND('112'!$M$9,G4163,1)),"",IF((AND(LEFT(G4163,2)=LEFT('112'!$M$9,2),B4163&lt;'112'!$K$9,$N4163='112'!$I$6)),"x",""))</f>
        <v/>
      </c>
      <c r="V4163" s="75" t="str">
        <f>IF(ISERROR(FIND('112'!$M$9,G4163,1)),"",IF((AND(RIGHT(G4163,2)=RIGHT('112'!$M$9,2),B4163&lt;'112'!$K$9,$O4163='112'!$I$6)),"x",""))</f>
        <v/>
      </c>
      <c r="W4163" s="75" t="str">
        <f>IF(AND('341-CT'!$H$9=H4163,OR(LEFT(N4163,3)=$W$7,LEFT(O4163,3)=$W$7)),"x","")</f>
        <v/>
      </c>
      <c r="X4163" s="75" t="str">
        <f>IF(OR(TH!N5182=TH!$X$7,O4163=TH!$X$7),"x","")</f>
        <v/>
      </c>
      <c r="Y4163" s="75" t="str">
        <f>IF(AND(OR(N4163="131",O4163="131"),H4163='131-CT'!$H$9),"x","")</f>
        <v/>
      </c>
      <c r="Z4163" s="75"/>
      <c r="AA4163" s="75" t="str">
        <f>IF(AND(MONTH(E4163)='IN-NX'!$J$5,'IN-NX'!$D$7=D4163),"x","")</f>
        <v/>
      </c>
      <c r="AB4163" s="75" t="str">
        <f>IF(AND(OR(LEFT(TH!N5182,2)="15",LEFT(TH!O5182,2)="15"),LEFT(TH!O5182,3)&lt;&gt;"111",'152-CT'!$J$8=TH!F5182),"x","")</f>
        <v/>
      </c>
      <c r="AC4163" s="75" t="str">
        <f>IF(AND(OR(LEFT(TH!N5182,2)="15",LEFT(TH!O5182,2)="15"),TK!$E$7=TH!F5182),"x","")</f>
        <v/>
      </c>
      <c r="AD4163" s="75" t="str">
        <f>IF(AND(N4163="1521",MONTH(C4163)='BK-NL'!$M$11),"x","")</f>
        <v/>
      </c>
    </row>
    <row r="4164" spans="1:30" ht="16.5" customHeight="1">
      <c r="A4164" s="309" t="str">
        <f>IF(B4164&lt;&gt;"",IF(AND(B4164='IN-TC'!$S$4,OR(TH!N4160="1111",TH!O4160="1111")),TH!D4160,""),"")</f>
        <v/>
      </c>
      <c r="B4164" s="1242">
        <f t="shared" si="1314"/>
        <v>5</v>
      </c>
      <c r="C4164" s="292">
        <f t="shared" si="1315"/>
        <v>42878</v>
      </c>
      <c r="D4164" s="292" t="s">
        <v>902</v>
      </c>
      <c r="E4164" s="292">
        <v>42878</v>
      </c>
      <c r="F4164" s="67" t="s">
        <v>870</v>
      </c>
      <c r="G4164" s="293" t="s">
        <v>747</v>
      </c>
      <c r="H4164" s="294" t="s">
        <v>835</v>
      </c>
      <c r="I4164" s="373"/>
      <c r="J4164" s="379"/>
      <c r="K4164" s="373"/>
      <c r="L4164" s="379"/>
      <c r="M4164" s="60">
        <v>10000</v>
      </c>
      <c r="N4164" s="295" t="s">
        <v>101</v>
      </c>
      <c r="O4164" s="61" t="s">
        <v>26</v>
      </c>
      <c r="P4164" s="75" t="str">
        <f>IF(AND('331-CT'!$E$7=TH!H5183,OR(N4164="331",O4164="331")),"x","")</f>
        <v/>
      </c>
      <c r="Q4164" s="75" t="str">
        <f>IF(AND(B4164='111'!$L$11,OR($N4164=$Q$7,$O4164=$Q$7)),"x","")</f>
        <v/>
      </c>
      <c r="R4164" s="75" t="str">
        <f>IF(AND($N4164=$Q$7,$B4164&lt;'111'!$L$11),"x","")</f>
        <v/>
      </c>
      <c r="S4164" s="75" t="str">
        <f>IF(AND($O4164=$Q$7,$B4164&lt;'111'!$L$11),"x","")</f>
        <v/>
      </c>
      <c r="T4164" s="75" t="str">
        <f>IF(ISERROR(FIND('112'!$M$9,G4164,1)),"",IF((AND(FIND('112'!$M$9,G4164,1)&gt;=1,B4164='112'!$K$9,OR($N4164='112'!$I$6,$O4164='112'!$I$6))),"x",""))</f>
        <v/>
      </c>
      <c r="U4164" s="75" t="str">
        <f>IF(ISERROR(FIND('112'!$M$9,G4164,1)),"",IF((AND(LEFT(G4164,2)=LEFT('112'!$M$9,2),B4164&lt;'112'!$K$9,$N4164='112'!$I$6)),"x",""))</f>
        <v/>
      </c>
      <c r="V4164" s="75" t="str">
        <f>IF(ISERROR(FIND('112'!$M$9,G4164,1)),"",IF((AND(RIGHT(G4164,2)=RIGHT('112'!$M$9,2),B4164&lt;'112'!$K$9,$O4164='112'!$I$6)),"x",""))</f>
        <v/>
      </c>
      <c r="W4164" s="75" t="str">
        <f>IF(AND('341-CT'!$H$9=H4164,OR(LEFT(N4164,3)=$W$7,LEFT(O4164,3)=$W$7)),"x","")</f>
        <v/>
      </c>
      <c r="X4164" s="75" t="str">
        <f>IF(OR(TH!N5183=TH!$X$7,O4164=TH!$X$7),"x","")</f>
        <v/>
      </c>
      <c r="Y4164" s="75" t="str">
        <f>IF(AND(OR(N4164="131",O4164="131"),H4164='131-CT'!$H$9),"x","")</f>
        <v/>
      </c>
      <c r="Z4164" s="75"/>
      <c r="AA4164" s="75" t="str">
        <f>IF(AND(MONTH(E4164)='IN-NX'!$J$5,'IN-NX'!$D$7=D4164),"x","")</f>
        <v/>
      </c>
      <c r="AB4164" s="75" t="str">
        <f>IF(AND(OR(LEFT(TH!N5183,2)="15",LEFT(TH!O5183,2)="15"),LEFT(TH!O5183,3)&lt;&gt;"111",'152-CT'!$J$8=TH!F5183),"x","")</f>
        <v/>
      </c>
      <c r="AC4164" s="75" t="str">
        <f>IF(AND(OR(LEFT(TH!N5183,2)="15",LEFT(TH!O5183,2)="15"),TK!$E$7=TH!F5183),"x","")</f>
        <v/>
      </c>
      <c r="AD4164" s="75" t="str">
        <f>IF(AND(N4164="1521",MONTH(C4164)='BK-NL'!$M$11),"x","")</f>
        <v/>
      </c>
    </row>
    <row r="4165" spans="1:30" ht="16.5" customHeight="1">
      <c r="A4165" s="309" t="str">
        <f>IF(B4165&lt;&gt;"",IF(AND(B4165='IN-TC'!$S$4,OR(TH!N4161="1111",TH!O4161="1111")),TH!D4161,""),"")</f>
        <v/>
      </c>
      <c r="B4165" s="1242">
        <f t="shared" si="1314"/>
        <v>5</v>
      </c>
      <c r="C4165" s="292">
        <f t="shared" si="1315"/>
        <v>42878</v>
      </c>
      <c r="D4165" s="292" t="s">
        <v>902</v>
      </c>
      <c r="E4165" s="292">
        <v>42878</v>
      </c>
      <c r="F4165" s="67" t="s">
        <v>898</v>
      </c>
      <c r="G4165" s="293" t="s">
        <v>747</v>
      </c>
      <c r="H4165" s="294" t="s">
        <v>835</v>
      </c>
      <c r="I4165" s="373"/>
      <c r="J4165" s="379"/>
      <c r="K4165" s="373"/>
      <c r="L4165" s="379"/>
      <c r="M4165" s="60">
        <v>1000</v>
      </c>
      <c r="N4165" s="295" t="s">
        <v>9</v>
      </c>
      <c r="O4165" s="61" t="s">
        <v>26</v>
      </c>
      <c r="P4165" s="75" t="str">
        <f>IF(AND('331-CT'!$E$7=TH!H5184,OR(N4165="331",O4165="331")),"x","")</f>
        <v/>
      </c>
      <c r="Q4165" s="75" t="str">
        <f>IF(AND(B4165='111'!$L$11,OR($N4165=$Q$7,$O4165=$Q$7)),"x","")</f>
        <v/>
      </c>
      <c r="R4165" s="75" t="str">
        <f>IF(AND($N4165=$Q$7,$B4165&lt;'111'!$L$11),"x","")</f>
        <v/>
      </c>
      <c r="S4165" s="75" t="str">
        <f>IF(AND($O4165=$Q$7,$B4165&lt;'111'!$L$11),"x","")</f>
        <v/>
      </c>
      <c r="T4165" s="75" t="str">
        <f>IF(ISERROR(FIND('112'!$M$9,G4165,1)),"",IF((AND(FIND('112'!$M$9,G4165,1)&gt;=1,B4165='112'!$K$9,OR($N4165='112'!$I$6,$O4165='112'!$I$6))),"x",""))</f>
        <v/>
      </c>
      <c r="U4165" s="75" t="str">
        <f>IF(ISERROR(FIND('112'!$M$9,G4165,1)),"",IF((AND(LEFT(G4165,2)=LEFT('112'!$M$9,2),B4165&lt;'112'!$K$9,$N4165='112'!$I$6)),"x",""))</f>
        <v/>
      </c>
      <c r="V4165" s="75" t="str">
        <f>IF(ISERROR(FIND('112'!$M$9,G4165,1)),"",IF((AND(RIGHT(G4165,2)=RIGHT('112'!$M$9,2),B4165&lt;'112'!$K$9,$O4165='112'!$I$6)),"x",""))</f>
        <v/>
      </c>
      <c r="W4165" s="75" t="str">
        <f>IF(AND('341-CT'!$H$9=H4165,OR(LEFT(N4165,3)=$W$7,LEFT(O4165,3)=$W$7)),"x","")</f>
        <v/>
      </c>
      <c r="X4165" s="75" t="str">
        <f>IF(OR(TH!N5184=TH!$X$7,O4165=TH!$X$7),"x","")</f>
        <v/>
      </c>
      <c r="Y4165" s="75" t="str">
        <f>IF(AND(OR(N4165="131",O4165="131"),H4165='131-CT'!$H$9),"x","")</f>
        <v/>
      </c>
      <c r="Z4165" s="75"/>
      <c r="AA4165" s="75" t="str">
        <f>IF(AND(MONTH(E4165)='IN-NX'!$J$5,'IN-NX'!$D$7=D4165),"x","")</f>
        <v/>
      </c>
      <c r="AB4165" s="75" t="str">
        <f>IF(AND(OR(LEFT(TH!N5184,2)="15",LEFT(TH!O5184,2)="15"),LEFT(TH!O5184,3)&lt;&gt;"111",'152-CT'!$J$8=TH!F5184),"x","")</f>
        <v/>
      </c>
      <c r="AC4165" s="75" t="str">
        <f>IF(AND(OR(LEFT(TH!N5184,2)="15",LEFT(TH!O5184,2)="15"),TK!$E$7=TH!F5184),"x","")</f>
        <v/>
      </c>
      <c r="AD4165" s="75" t="str">
        <f>IF(AND(N4165="1521",MONTH(C4165)='BK-NL'!$M$11),"x","")</f>
        <v/>
      </c>
    </row>
    <row r="4166" spans="1:30" ht="16.5" customHeight="1">
      <c r="A4166" s="309" t="str">
        <f>IF(B4166&lt;&gt;"",IF(AND(B4166='IN-TC'!$S$4,OR(TH!N4162="1111",TH!O4162="1111")),TH!D4162,""),"")</f>
        <v/>
      </c>
      <c r="B4166" s="1242">
        <f t="shared" si="1314"/>
        <v>5</v>
      </c>
      <c r="C4166" s="292">
        <f t="shared" si="1315"/>
        <v>42878</v>
      </c>
      <c r="D4166" s="292" t="s">
        <v>902</v>
      </c>
      <c r="E4166" s="292">
        <v>42878</v>
      </c>
      <c r="F4166" s="67" t="s">
        <v>1550</v>
      </c>
      <c r="G4166" s="293" t="s">
        <v>747</v>
      </c>
      <c r="H4166" s="311" t="s">
        <v>561</v>
      </c>
      <c r="I4166" s="373"/>
      <c r="J4166" s="379"/>
      <c r="K4166" s="373"/>
      <c r="L4166" s="379"/>
      <c r="M4166" s="60">
        <v>4895000</v>
      </c>
      <c r="N4166" s="295" t="s">
        <v>8</v>
      </c>
      <c r="O4166" s="61" t="s">
        <v>26</v>
      </c>
      <c r="P4166" s="75" t="str">
        <f>IF(AND('331-CT'!$E$7=TH!H5185,OR(N4166="331",O4166="331")),"x","")</f>
        <v/>
      </c>
      <c r="Q4166" s="75" t="str">
        <f>IF(AND(B4166='111'!$L$11,OR($N4166=$Q$7,$O4166=$Q$7)),"x","")</f>
        <v/>
      </c>
      <c r="R4166" s="75" t="str">
        <f>IF(AND($N4166=$Q$7,$B4166&lt;'111'!$L$11),"x","")</f>
        <v/>
      </c>
      <c r="S4166" s="75" t="str">
        <f>IF(AND($O4166=$Q$7,$B4166&lt;'111'!$L$11),"x","")</f>
        <v/>
      </c>
      <c r="T4166" s="75" t="str">
        <f>IF(ISERROR(FIND('112'!$M$9,G4166,1)),"",IF((AND(FIND('112'!$M$9,G4166,1)&gt;=1,B4166='112'!$K$9,OR($N4166='112'!$I$6,$O4166='112'!$I$6))),"x",""))</f>
        <v/>
      </c>
      <c r="U4166" s="75" t="str">
        <f>IF(ISERROR(FIND('112'!$M$9,G4166,1)),"",IF((AND(LEFT(G4166,2)=LEFT('112'!$M$9,2),B4166&lt;'112'!$K$9,$N4166='112'!$I$6)),"x",""))</f>
        <v/>
      </c>
      <c r="V4166" s="75" t="str">
        <f>IF(ISERROR(FIND('112'!$M$9,G4166,1)),"",IF((AND(RIGHT(G4166,2)=RIGHT('112'!$M$9,2),B4166&lt;'112'!$K$9,$O4166='112'!$I$6)),"x",""))</f>
        <v/>
      </c>
      <c r="W4166" s="75" t="str">
        <f>IF(AND('341-CT'!$H$9=H4166,OR(LEFT(N4166,3)=$W$7,LEFT(O4166,3)=$W$7)),"x","")</f>
        <v/>
      </c>
      <c r="X4166" s="75" t="str">
        <f>IF(OR(TH!N5185=TH!$X$7,O4166=TH!$X$7),"x","")</f>
        <v/>
      </c>
      <c r="Y4166" s="75" t="str">
        <f>IF(AND(OR(N4166="131",O4166="131"),H4166='131-CT'!$H$9),"x","")</f>
        <v/>
      </c>
      <c r="Z4166" s="75"/>
      <c r="AA4166" s="75" t="str">
        <f>IF(AND(MONTH(E4166)='IN-NX'!$J$5,'IN-NX'!$D$7=D4166),"x","")</f>
        <v/>
      </c>
      <c r="AB4166" s="75" t="str">
        <f>IF(AND(OR(LEFT(TH!N5185,2)="15",LEFT(TH!O5185,2)="15"),LEFT(TH!O5185,3)&lt;&gt;"111",'152-CT'!$J$8=TH!F5185),"x","")</f>
        <v/>
      </c>
      <c r="AC4166" s="75" t="str">
        <f>IF(AND(OR(LEFT(TH!N5185,2)="15",LEFT(TH!O5185,2)="15"),TK!$E$7=TH!F5185),"x","")</f>
        <v/>
      </c>
      <c r="AD4166" s="75" t="str">
        <f>IF(AND(N4166="1521",MONTH(C4166)='BK-NL'!$M$11),"x","")</f>
        <v/>
      </c>
    </row>
    <row r="4167" spans="1:30" ht="16.5" customHeight="1">
      <c r="A4167" s="309" t="str">
        <f>IF(B4167&lt;&gt;"",IF(AND(B4167='IN-TC'!$S$4,OR(TH!N4163="1111",TH!O4163="1111")),TH!D4163,""),"")</f>
        <v/>
      </c>
      <c r="B4167" s="1242">
        <f t="shared" si="1314"/>
        <v>5</v>
      </c>
      <c r="C4167" s="292">
        <f t="shared" si="1315"/>
        <v>42878</v>
      </c>
      <c r="D4167" s="292" t="s">
        <v>902</v>
      </c>
      <c r="E4167" s="292">
        <v>42878</v>
      </c>
      <c r="F4167" s="67" t="s">
        <v>870</v>
      </c>
      <c r="G4167" s="293" t="s">
        <v>747</v>
      </c>
      <c r="H4167" s="294" t="s">
        <v>835</v>
      </c>
      <c r="I4167" s="373"/>
      <c r="J4167" s="379"/>
      <c r="K4167" s="373"/>
      <c r="L4167" s="379"/>
      <c r="M4167" s="60">
        <v>10000</v>
      </c>
      <c r="N4167" s="295" t="s">
        <v>101</v>
      </c>
      <c r="O4167" s="61" t="s">
        <v>26</v>
      </c>
      <c r="P4167" s="75" t="str">
        <f>IF(AND('331-CT'!$E$7=TH!H5186,OR(N4167="331",O4167="331")),"x","")</f>
        <v/>
      </c>
      <c r="Q4167" s="75" t="str">
        <f>IF(AND(B4167='111'!$L$11,OR($N4167=$Q$7,$O4167=$Q$7)),"x","")</f>
        <v/>
      </c>
      <c r="R4167" s="75" t="str">
        <f>IF(AND($N4167=$Q$7,$B4167&lt;'111'!$L$11),"x","")</f>
        <v/>
      </c>
      <c r="S4167" s="75" t="str">
        <f>IF(AND($O4167=$Q$7,$B4167&lt;'111'!$L$11),"x","")</f>
        <v/>
      </c>
      <c r="T4167" s="75" t="str">
        <f>IF(ISERROR(FIND('112'!$M$9,G4167,1)),"",IF((AND(FIND('112'!$M$9,G4167,1)&gt;=1,B4167='112'!$K$9,OR($N4167='112'!$I$6,$O4167='112'!$I$6))),"x",""))</f>
        <v/>
      </c>
      <c r="U4167" s="75" t="str">
        <f>IF(ISERROR(FIND('112'!$M$9,G4167,1)),"",IF((AND(LEFT(G4167,2)=LEFT('112'!$M$9,2),B4167&lt;'112'!$K$9,$N4167='112'!$I$6)),"x",""))</f>
        <v/>
      </c>
      <c r="V4167" s="75" t="str">
        <f>IF(ISERROR(FIND('112'!$M$9,G4167,1)),"",IF((AND(RIGHT(G4167,2)=RIGHT('112'!$M$9,2),B4167&lt;'112'!$K$9,$O4167='112'!$I$6)),"x",""))</f>
        <v/>
      </c>
      <c r="W4167" s="75" t="str">
        <f>IF(AND('341-CT'!$H$9=H4167,OR(LEFT(N4167,3)=$W$7,LEFT(O4167,3)=$W$7)),"x","")</f>
        <v/>
      </c>
      <c r="X4167" s="75" t="str">
        <f>IF(OR(TH!N5186=TH!$X$7,O4167=TH!$X$7),"x","")</f>
        <v/>
      </c>
      <c r="Y4167" s="75" t="str">
        <f>IF(AND(OR(N4167="131",O4167="131"),H4167='131-CT'!$H$9),"x","")</f>
        <v/>
      </c>
      <c r="Z4167" s="75"/>
      <c r="AA4167" s="75" t="str">
        <f>IF(AND(MONTH(E4167)='IN-NX'!$J$5,'IN-NX'!$D$7=D4167),"x","")</f>
        <v/>
      </c>
      <c r="AB4167" s="75" t="str">
        <f>IF(AND(OR(LEFT(TH!N5186,2)="15",LEFT(TH!O5186,2)="15"),LEFT(TH!O5186,3)&lt;&gt;"111",'152-CT'!$J$8=TH!F5186),"x","")</f>
        <v/>
      </c>
      <c r="AC4167" s="75" t="str">
        <f>IF(AND(OR(LEFT(TH!N5186,2)="15",LEFT(TH!O5186,2)="15"),TK!$E$7=TH!F5186),"x","")</f>
        <v/>
      </c>
      <c r="AD4167" s="75" t="str">
        <f>IF(AND(N4167="1521",MONTH(C4167)='BK-NL'!$M$11),"x","")</f>
        <v/>
      </c>
    </row>
    <row r="4168" spans="1:30" ht="16.5" customHeight="1">
      <c r="A4168" s="309" t="str">
        <f>IF(B4168&lt;&gt;"",IF(AND(B4168='IN-TC'!$S$4,OR(TH!N4164="1111",TH!O4164="1111")),TH!D4164,""),"")</f>
        <v/>
      </c>
      <c r="B4168" s="1242">
        <f t="shared" si="1314"/>
        <v>5</v>
      </c>
      <c r="C4168" s="292">
        <f t="shared" si="1315"/>
        <v>42878</v>
      </c>
      <c r="D4168" s="292" t="s">
        <v>902</v>
      </c>
      <c r="E4168" s="292">
        <v>42878</v>
      </c>
      <c r="F4168" s="67" t="s">
        <v>898</v>
      </c>
      <c r="G4168" s="293" t="s">
        <v>747</v>
      </c>
      <c r="H4168" s="294" t="s">
        <v>835</v>
      </c>
      <c r="I4168" s="373"/>
      <c r="J4168" s="379"/>
      <c r="K4168" s="373"/>
      <c r="L4168" s="379"/>
      <c r="M4168" s="60">
        <v>1000</v>
      </c>
      <c r="N4168" s="295" t="s">
        <v>9</v>
      </c>
      <c r="O4168" s="61" t="s">
        <v>26</v>
      </c>
      <c r="P4168" s="75" t="str">
        <f>IF(AND('331-CT'!$E$7=TH!H5187,OR(N4168="331",O4168="331")),"x","")</f>
        <v/>
      </c>
      <c r="Q4168" s="75" t="str">
        <f>IF(AND(B4168='111'!$L$11,OR($N4168=$Q$7,$O4168=$Q$7)),"x","")</f>
        <v/>
      </c>
      <c r="R4168" s="75" t="str">
        <f>IF(AND($N4168=$Q$7,$B4168&lt;'111'!$L$11),"x","")</f>
        <v/>
      </c>
      <c r="S4168" s="75" t="str">
        <f>IF(AND($O4168=$Q$7,$B4168&lt;'111'!$L$11),"x","")</f>
        <v/>
      </c>
      <c r="T4168" s="75" t="str">
        <f>IF(ISERROR(FIND('112'!$M$9,G4168,1)),"",IF((AND(FIND('112'!$M$9,G4168,1)&gt;=1,B4168='112'!$K$9,OR($N4168='112'!$I$6,$O4168='112'!$I$6))),"x",""))</f>
        <v/>
      </c>
      <c r="U4168" s="75" t="str">
        <f>IF(ISERROR(FIND('112'!$M$9,G4168,1)),"",IF((AND(LEFT(G4168,2)=LEFT('112'!$M$9,2),B4168&lt;'112'!$K$9,$N4168='112'!$I$6)),"x",""))</f>
        <v/>
      </c>
      <c r="V4168" s="75" t="str">
        <f>IF(ISERROR(FIND('112'!$M$9,G4168,1)),"",IF((AND(RIGHT(G4168,2)=RIGHT('112'!$M$9,2),B4168&lt;'112'!$K$9,$O4168='112'!$I$6)),"x",""))</f>
        <v/>
      </c>
      <c r="W4168" s="75" t="str">
        <f>IF(AND('341-CT'!$H$9=H4168,OR(LEFT(N4168,3)=$W$7,LEFT(O4168,3)=$W$7)),"x","")</f>
        <v/>
      </c>
      <c r="X4168" s="75" t="str">
        <f>IF(OR(TH!N5187=TH!$X$7,O4168=TH!$X$7),"x","")</f>
        <v/>
      </c>
      <c r="Y4168" s="75" t="str">
        <f>IF(AND(OR(N4168="131",O4168="131"),H4168='131-CT'!$H$9),"x","")</f>
        <v/>
      </c>
      <c r="Z4168" s="75"/>
      <c r="AA4168" s="75" t="str">
        <f>IF(AND(MONTH(E4168)='IN-NX'!$J$5,'IN-NX'!$D$7=D4168),"x","")</f>
        <v/>
      </c>
      <c r="AB4168" s="75" t="str">
        <f>IF(AND(OR(LEFT(TH!N5187,2)="15",LEFT(TH!O5187,2)="15"),LEFT(TH!O5187,3)&lt;&gt;"111",'152-CT'!$J$8=TH!F5187),"x","")</f>
        <v/>
      </c>
      <c r="AC4168" s="75" t="str">
        <f>IF(AND(OR(LEFT(TH!N5187,2)="15",LEFT(TH!O5187,2)="15"),TK!$E$7=TH!F5187),"x","")</f>
        <v/>
      </c>
      <c r="AD4168" s="75" t="str">
        <f>IF(AND(N4168="1521",MONTH(C4168)='BK-NL'!$M$11),"x","")</f>
        <v/>
      </c>
    </row>
    <row r="4169" spans="1:30" ht="16.5" customHeight="1">
      <c r="A4169" s="309" t="str">
        <f>IF(B4169&lt;&gt;"",IF(AND(B4169='IN-TC'!$S$4,OR(TH!N4165="1111",TH!O4165="1111")),TH!D4165,""),"")</f>
        <v/>
      </c>
      <c r="B4169" s="1242">
        <f t="shared" si="1314"/>
        <v>5</v>
      </c>
      <c r="C4169" s="292">
        <f t="shared" si="1315"/>
        <v>42878</v>
      </c>
      <c r="D4169" s="292" t="s">
        <v>902</v>
      </c>
      <c r="E4169" s="292">
        <v>42878</v>
      </c>
      <c r="F4169" s="67" t="s">
        <v>1551</v>
      </c>
      <c r="G4169" s="293" t="s">
        <v>747</v>
      </c>
      <c r="H4169" s="311" t="s">
        <v>563</v>
      </c>
      <c r="I4169" s="373"/>
      <c r="J4169" s="379"/>
      <c r="K4169" s="373"/>
      <c r="L4169" s="379"/>
      <c r="M4169" s="60">
        <v>31328330</v>
      </c>
      <c r="N4169" s="295" t="s">
        <v>8</v>
      </c>
      <c r="O4169" s="61" t="s">
        <v>26</v>
      </c>
      <c r="P4169" s="75" t="str">
        <f>IF(AND('331-CT'!$E$7=TH!H5188,OR(N4169="331",O4169="331")),"x","")</f>
        <v/>
      </c>
      <c r="Q4169" s="75" t="str">
        <f>IF(AND(B4169='111'!$L$11,OR($N4169=$Q$7,$O4169=$Q$7)),"x","")</f>
        <v/>
      </c>
      <c r="R4169" s="75" t="str">
        <f>IF(AND($N4169=$Q$7,$B4169&lt;'111'!$L$11),"x","")</f>
        <v/>
      </c>
      <c r="S4169" s="75" t="str">
        <f>IF(AND($O4169=$Q$7,$B4169&lt;'111'!$L$11),"x","")</f>
        <v/>
      </c>
      <c r="T4169" s="75" t="str">
        <f>IF(ISERROR(FIND('112'!$M$9,G4169,1)),"",IF((AND(FIND('112'!$M$9,G4169,1)&gt;=1,B4169='112'!$K$9,OR($N4169='112'!$I$6,$O4169='112'!$I$6))),"x",""))</f>
        <v/>
      </c>
      <c r="U4169" s="75" t="str">
        <f>IF(ISERROR(FIND('112'!$M$9,G4169,1)),"",IF((AND(LEFT(G4169,2)=LEFT('112'!$M$9,2),B4169&lt;'112'!$K$9,$N4169='112'!$I$6)),"x",""))</f>
        <v/>
      </c>
      <c r="V4169" s="75" t="str">
        <f>IF(ISERROR(FIND('112'!$M$9,G4169,1)),"",IF((AND(RIGHT(G4169,2)=RIGHT('112'!$M$9,2),B4169&lt;'112'!$K$9,$O4169='112'!$I$6)),"x",""))</f>
        <v/>
      </c>
      <c r="W4169" s="75" t="str">
        <f>IF(AND('341-CT'!$H$9=H4169,OR(LEFT(N4169,3)=$W$7,LEFT(O4169,3)=$W$7)),"x","")</f>
        <v/>
      </c>
      <c r="X4169" s="75" t="str">
        <f>IF(OR(TH!N5188=TH!$X$7,O4169=TH!$X$7),"x","")</f>
        <v/>
      </c>
      <c r="Y4169" s="75" t="str">
        <f>IF(AND(OR(N4169="131",O4169="131"),H4169='131-CT'!$H$9),"x","")</f>
        <v/>
      </c>
      <c r="Z4169" s="75"/>
      <c r="AA4169" s="75" t="str">
        <f>IF(AND(MONTH(E4169)='IN-NX'!$J$5,'IN-NX'!$D$7=D4169),"x","")</f>
        <v/>
      </c>
      <c r="AB4169" s="75" t="str">
        <f>IF(AND(OR(LEFT(TH!N5188,2)="15",LEFT(TH!O5188,2)="15"),LEFT(TH!O5188,3)&lt;&gt;"111",'152-CT'!$J$8=TH!F5188),"x","")</f>
        <v/>
      </c>
      <c r="AC4169" s="75" t="str">
        <f>IF(AND(OR(LEFT(TH!N5188,2)="15",LEFT(TH!O5188,2)="15"),TK!$E$7=TH!F5188),"x","")</f>
        <v/>
      </c>
      <c r="AD4169" s="75" t="str">
        <f>IF(AND(N4169="1521",MONTH(C4169)='BK-NL'!$M$11),"x","")</f>
        <v/>
      </c>
    </row>
    <row r="4170" spans="1:30" ht="16.5" customHeight="1">
      <c r="A4170" s="309" t="str">
        <f>IF(B4170&lt;&gt;"",IF(AND(B4170='IN-TC'!$S$4,OR(TH!N4166="1111",TH!O4166="1111")),TH!D4166,""),"")</f>
        <v/>
      </c>
      <c r="B4170" s="1242">
        <f t="shared" si="1314"/>
        <v>5</v>
      </c>
      <c r="C4170" s="292">
        <f t="shared" si="1315"/>
        <v>42878</v>
      </c>
      <c r="D4170" s="292" t="s">
        <v>902</v>
      </c>
      <c r="E4170" s="292">
        <v>42878</v>
      </c>
      <c r="F4170" s="67" t="s">
        <v>870</v>
      </c>
      <c r="G4170" s="293" t="s">
        <v>747</v>
      </c>
      <c r="H4170" s="294" t="s">
        <v>835</v>
      </c>
      <c r="I4170" s="373"/>
      <c r="J4170" s="379"/>
      <c r="K4170" s="373"/>
      <c r="L4170" s="379"/>
      <c r="M4170" s="60">
        <v>10000</v>
      </c>
      <c r="N4170" s="295" t="s">
        <v>101</v>
      </c>
      <c r="O4170" s="61" t="s">
        <v>26</v>
      </c>
      <c r="P4170" s="75" t="str">
        <f>IF(AND('331-CT'!$E$7=TH!H5189,OR(N4170="331",O4170="331")),"x","")</f>
        <v/>
      </c>
      <c r="Q4170" s="75" t="str">
        <f>IF(AND(B4170='111'!$L$11,OR($N4170=$Q$7,$O4170=$Q$7)),"x","")</f>
        <v/>
      </c>
      <c r="R4170" s="75" t="str">
        <f>IF(AND($N4170=$Q$7,$B4170&lt;'111'!$L$11),"x","")</f>
        <v/>
      </c>
      <c r="S4170" s="75" t="str">
        <f>IF(AND($O4170=$Q$7,$B4170&lt;'111'!$L$11),"x","")</f>
        <v/>
      </c>
      <c r="T4170" s="75" t="str">
        <f>IF(ISERROR(FIND('112'!$M$9,G4170,1)),"",IF((AND(FIND('112'!$M$9,G4170,1)&gt;=1,B4170='112'!$K$9,OR($N4170='112'!$I$6,$O4170='112'!$I$6))),"x",""))</f>
        <v/>
      </c>
      <c r="U4170" s="75" t="str">
        <f>IF(ISERROR(FIND('112'!$M$9,G4170,1)),"",IF((AND(LEFT(G4170,2)=LEFT('112'!$M$9,2),B4170&lt;'112'!$K$9,$N4170='112'!$I$6)),"x",""))</f>
        <v/>
      </c>
      <c r="V4170" s="75" t="str">
        <f>IF(ISERROR(FIND('112'!$M$9,G4170,1)),"",IF((AND(RIGHT(G4170,2)=RIGHT('112'!$M$9,2),B4170&lt;'112'!$K$9,$O4170='112'!$I$6)),"x",""))</f>
        <v/>
      </c>
      <c r="W4170" s="75" t="str">
        <f>IF(AND('341-CT'!$H$9=H4170,OR(LEFT(N4170,3)=$W$7,LEFT(O4170,3)=$W$7)),"x","")</f>
        <v/>
      </c>
      <c r="X4170" s="75" t="str">
        <f>IF(OR(TH!N5189=TH!$X$7,O4170=TH!$X$7),"x","")</f>
        <v/>
      </c>
      <c r="Y4170" s="75" t="str">
        <f>IF(AND(OR(N4170="131",O4170="131"),H4170='131-CT'!$H$9),"x","")</f>
        <v/>
      </c>
      <c r="Z4170" s="75"/>
      <c r="AA4170" s="75" t="str">
        <f>IF(AND(MONTH(E4170)='IN-NX'!$J$5,'IN-NX'!$D$7=D4170),"x","")</f>
        <v/>
      </c>
      <c r="AB4170" s="75" t="str">
        <f>IF(AND(OR(LEFT(TH!N5189,2)="15",LEFT(TH!O5189,2)="15"),LEFT(TH!O5189,3)&lt;&gt;"111",'152-CT'!$J$8=TH!F5189),"x","")</f>
        <v/>
      </c>
      <c r="AC4170" s="75" t="str">
        <f>IF(AND(OR(LEFT(TH!N5189,2)="15",LEFT(TH!O5189,2)="15"),TK!$E$7=TH!F5189),"x","")</f>
        <v/>
      </c>
      <c r="AD4170" s="75" t="str">
        <f>IF(AND(N4170="1521",MONTH(C4170)='BK-NL'!$M$11),"x","")</f>
        <v/>
      </c>
    </row>
    <row r="4171" spans="1:30" ht="16.5" customHeight="1">
      <c r="A4171" s="309" t="str">
        <f>IF(B4171&lt;&gt;"",IF(AND(B4171='IN-TC'!$S$4,OR(TH!N4167="1111",TH!O4167="1111")),TH!D4167,""),"")</f>
        <v/>
      </c>
      <c r="B4171" s="1242">
        <f t="shared" si="1314"/>
        <v>5</v>
      </c>
      <c r="C4171" s="292">
        <f t="shared" si="1315"/>
        <v>42878</v>
      </c>
      <c r="D4171" s="292" t="s">
        <v>902</v>
      </c>
      <c r="E4171" s="292">
        <v>42878</v>
      </c>
      <c r="F4171" s="67" t="s">
        <v>898</v>
      </c>
      <c r="G4171" s="293" t="s">
        <v>747</v>
      </c>
      <c r="H4171" s="294" t="s">
        <v>835</v>
      </c>
      <c r="I4171" s="373"/>
      <c r="J4171" s="379"/>
      <c r="K4171" s="373"/>
      <c r="L4171" s="379"/>
      <c r="M4171" s="60">
        <v>1000</v>
      </c>
      <c r="N4171" s="295" t="s">
        <v>9</v>
      </c>
      <c r="O4171" s="61" t="s">
        <v>26</v>
      </c>
      <c r="P4171" s="75" t="str">
        <f>IF(AND('331-CT'!$E$7=TH!H5190,OR(N4171="331",O4171="331")),"x","")</f>
        <v/>
      </c>
      <c r="Q4171" s="75" t="str">
        <f>IF(AND(B4171='111'!$L$11,OR($N4171=$Q$7,$O4171=$Q$7)),"x","")</f>
        <v/>
      </c>
      <c r="R4171" s="75" t="str">
        <f>IF(AND($N4171=$Q$7,$B4171&lt;'111'!$L$11),"x","")</f>
        <v/>
      </c>
      <c r="S4171" s="75" t="str">
        <f>IF(AND($O4171=$Q$7,$B4171&lt;'111'!$L$11),"x","")</f>
        <v/>
      </c>
      <c r="T4171" s="75" t="str">
        <f>IF(ISERROR(FIND('112'!$M$9,G4171,1)),"",IF((AND(FIND('112'!$M$9,G4171,1)&gt;=1,B4171='112'!$K$9,OR($N4171='112'!$I$6,$O4171='112'!$I$6))),"x",""))</f>
        <v/>
      </c>
      <c r="U4171" s="75" t="str">
        <f>IF(ISERROR(FIND('112'!$M$9,G4171,1)),"",IF((AND(LEFT(G4171,2)=LEFT('112'!$M$9,2),B4171&lt;'112'!$K$9,$N4171='112'!$I$6)),"x",""))</f>
        <v/>
      </c>
      <c r="V4171" s="75" t="str">
        <f>IF(ISERROR(FIND('112'!$M$9,G4171,1)),"",IF((AND(RIGHT(G4171,2)=RIGHT('112'!$M$9,2),B4171&lt;'112'!$K$9,$O4171='112'!$I$6)),"x",""))</f>
        <v/>
      </c>
      <c r="W4171" s="75" t="str">
        <f>IF(AND('341-CT'!$H$9=H4171,OR(LEFT(N4171,3)=$W$7,LEFT(O4171,3)=$W$7)),"x","")</f>
        <v/>
      </c>
      <c r="X4171" s="75" t="str">
        <f>IF(OR(TH!N5190=TH!$X$7,O4171=TH!$X$7),"x","")</f>
        <v/>
      </c>
      <c r="Y4171" s="75" t="str">
        <f>IF(AND(OR(N4171="131",O4171="131"),H4171='131-CT'!$H$9),"x","")</f>
        <v/>
      </c>
      <c r="Z4171" s="75"/>
      <c r="AA4171" s="75" t="str">
        <f>IF(AND(MONTH(E4171)='IN-NX'!$J$5,'IN-NX'!$D$7=D4171),"x","")</f>
        <v/>
      </c>
      <c r="AB4171" s="75" t="str">
        <f>IF(AND(OR(LEFT(TH!N5190,2)="15",LEFT(TH!O5190,2)="15"),LEFT(TH!O5190,3)&lt;&gt;"111",'152-CT'!$J$8=TH!F5190),"x","")</f>
        <v/>
      </c>
      <c r="AC4171" s="75" t="str">
        <f>IF(AND(OR(LEFT(TH!N5190,2)="15",LEFT(TH!O5190,2)="15"),TK!$E$7=TH!F5190),"x","")</f>
        <v/>
      </c>
      <c r="AD4171" s="75" t="str">
        <f>IF(AND(N4171="1521",MONTH(C4171)='BK-NL'!$M$11),"x","")</f>
        <v/>
      </c>
    </row>
    <row r="4172" spans="1:30" ht="16.5" customHeight="1">
      <c r="A4172" s="309" t="str">
        <f>IF(B4172&lt;&gt;"",IF(AND(B4172='IN-TC'!$S$4,OR(TH!N4168="1111",TH!O4168="1111")),TH!D4168,""),"")</f>
        <v/>
      </c>
      <c r="B4172" s="1242">
        <f t="shared" si="1314"/>
        <v>5</v>
      </c>
      <c r="C4172" s="292">
        <f t="shared" si="1315"/>
        <v>42878</v>
      </c>
      <c r="D4172" s="292" t="s">
        <v>902</v>
      </c>
      <c r="E4172" s="292">
        <v>42878</v>
      </c>
      <c r="F4172" s="67" t="s">
        <v>930</v>
      </c>
      <c r="G4172" s="293" t="s">
        <v>747</v>
      </c>
      <c r="H4172" s="294" t="s">
        <v>622</v>
      </c>
      <c r="I4172" s="373"/>
      <c r="J4172" s="379"/>
      <c r="K4172" s="373"/>
      <c r="L4172" s="379"/>
      <c r="M4172" s="60">
        <v>300000000</v>
      </c>
      <c r="N4172" s="295" t="s">
        <v>8</v>
      </c>
      <c r="O4172" s="61" t="s">
        <v>26</v>
      </c>
      <c r="P4172" s="75" t="str">
        <f>IF(AND('331-CT'!$E$7=TH!H5191,OR(N4172="331",O4172="331")),"x","")</f>
        <v/>
      </c>
      <c r="Q4172" s="75" t="str">
        <f>IF(AND(B4172='111'!$L$11,OR($N4172=$Q$7,$O4172=$Q$7)),"x","")</f>
        <v/>
      </c>
      <c r="R4172" s="75" t="str">
        <f>IF(AND($N4172=$Q$7,$B4172&lt;'111'!$L$11),"x","")</f>
        <v/>
      </c>
      <c r="S4172" s="75" t="str">
        <f>IF(AND($O4172=$Q$7,$B4172&lt;'111'!$L$11),"x","")</f>
        <v/>
      </c>
      <c r="T4172" s="75" t="str">
        <f>IF(ISERROR(FIND('112'!$M$9,G4172,1)),"",IF((AND(FIND('112'!$M$9,G4172,1)&gt;=1,B4172='112'!$K$9,OR($N4172='112'!$I$6,$O4172='112'!$I$6))),"x",""))</f>
        <v/>
      </c>
      <c r="U4172" s="75" t="str">
        <f>IF(ISERROR(FIND('112'!$M$9,G4172,1)),"",IF((AND(LEFT(G4172,2)=LEFT('112'!$M$9,2),B4172&lt;'112'!$K$9,$N4172='112'!$I$6)),"x",""))</f>
        <v/>
      </c>
      <c r="V4172" s="75" t="str">
        <f>IF(ISERROR(FIND('112'!$M$9,G4172,1)),"",IF((AND(RIGHT(G4172,2)=RIGHT('112'!$M$9,2),B4172&lt;'112'!$K$9,$O4172='112'!$I$6)),"x",""))</f>
        <v/>
      </c>
      <c r="W4172" s="75" t="str">
        <f>IF(AND('341-CT'!$H$9=H4172,OR(LEFT(N4172,3)=$W$7,LEFT(O4172,3)=$W$7)),"x","")</f>
        <v/>
      </c>
      <c r="X4172" s="75" t="str">
        <f>IF(OR(TH!N5191=TH!$X$7,O4172=TH!$X$7),"x","")</f>
        <v/>
      </c>
      <c r="Y4172" s="75" t="str">
        <f>IF(AND(OR(N4172="131",O4172="131"),H4172='131-CT'!$H$9),"x","")</f>
        <v/>
      </c>
      <c r="Z4172" s="75"/>
      <c r="AA4172" s="75" t="str">
        <f>IF(AND(MONTH(E4172)='IN-NX'!$J$5,'IN-NX'!$D$7=D4172),"x","")</f>
        <v/>
      </c>
      <c r="AB4172" s="75" t="str">
        <f>IF(AND(OR(LEFT(TH!N5191,2)="15",LEFT(TH!O5191,2)="15"),LEFT(TH!O5191,3)&lt;&gt;"111",'152-CT'!$J$8=TH!F5191),"x","")</f>
        <v/>
      </c>
      <c r="AC4172" s="75" t="str">
        <f>IF(AND(OR(LEFT(TH!N5191,2)="15",LEFT(TH!O5191,2)="15"),TK!$E$7=TH!F5191),"x","")</f>
        <v/>
      </c>
      <c r="AD4172" s="75" t="str">
        <f>IF(AND(N4172="1521",MONTH(C4172)='BK-NL'!$M$11),"x","")</f>
        <v/>
      </c>
    </row>
    <row r="4173" spans="1:30" ht="16.5" customHeight="1">
      <c r="A4173" s="309" t="str">
        <f>IF(B4173&lt;&gt;"",IF(AND(B4173='IN-TC'!$S$4,OR(TH!N4169="1111",TH!O4169="1111")),TH!D4169,""),"")</f>
        <v/>
      </c>
      <c r="B4173" s="1242">
        <f t="shared" si="1314"/>
        <v>5</v>
      </c>
      <c r="C4173" s="292">
        <f t="shared" si="1315"/>
        <v>42878</v>
      </c>
      <c r="D4173" s="292" t="s">
        <v>902</v>
      </c>
      <c r="E4173" s="292">
        <v>42878</v>
      </c>
      <c r="F4173" s="67" t="s">
        <v>870</v>
      </c>
      <c r="G4173" s="293" t="s">
        <v>747</v>
      </c>
      <c r="H4173" s="294" t="s">
        <v>835</v>
      </c>
      <c r="I4173" s="373"/>
      <c r="J4173" s="379"/>
      <c r="K4173" s="373"/>
      <c r="L4173" s="379"/>
      <c r="M4173" s="60">
        <v>10000</v>
      </c>
      <c r="N4173" s="295" t="s">
        <v>101</v>
      </c>
      <c r="O4173" s="61" t="s">
        <v>26</v>
      </c>
      <c r="P4173" s="75" t="str">
        <f>IF(AND('331-CT'!$E$7=TH!H5192,OR(N4173="331",O4173="331")),"x","")</f>
        <v/>
      </c>
      <c r="Q4173" s="75" t="str">
        <f>IF(AND(B4173='111'!$L$11,OR($N4173=$Q$7,$O4173=$Q$7)),"x","")</f>
        <v/>
      </c>
      <c r="R4173" s="75" t="str">
        <f>IF(AND($N4173=$Q$7,$B4173&lt;'111'!$L$11),"x","")</f>
        <v/>
      </c>
      <c r="S4173" s="75" t="str">
        <f>IF(AND($O4173=$Q$7,$B4173&lt;'111'!$L$11),"x","")</f>
        <v/>
      </c>
      <c r="T4173" s="75" t="str">
        <f>IF(ISERROR(FIND('112'!$M$9,G4173,1)),"",IF((AND(FIND('112'!$M$9,G4173,1)&gt;=1,B4173='112'!$K$9,OR($N4173='112'!$I$6,$O4173='112'!$I$6))),"x",""))</f>
        <v/>
      </c>
      <c r="U4173" s="75" t="str">
        <f>IF(ISERROR(FIND('112'!$M$9,G4173,1)),"",IF((AND(LEFT(G4173,2)=LEFT('112'!$M$9,2),B4173&lt;'112'!$K$9,$N4173='112'!$I$6)),"x",""))</f>
        <v/>
      </c>
      <c r="V4173" s="75" t="str">
        <f>IF(ISERROR(FIND('112'!$M$9,G4173,1)),"",IF((AND(RIGHT(G4173,2)=RIGHT('112'!$M$9,2),B4173&lt;'112'!$K$9,$O4173='112'!$I$6)),"x",""))</f>
        <v/>
      </c>
      <c r="W4173" s="75" t="str">
        <f>IF(AND('341-CT'!$H$9=H4173,OR(LEFT(N4173,3)=$W$7,LEFT(O4173,3)=$W$7)),"x","")</f>
        <v/>
      </c>
      <c r="X4173" s="75" t="str">
        <f>IF(OR(TH!N5192=TH!$X$7,O4173=TH!$X$7),"x","")</f>
        <v/>
      </c>
      <c r="Y4173" s="75" t="str">
        <f>IF(AND(OR(N4173="131",O4173="131"),H4173='131-CT'!$H$9),"x","")</f>
        <v/>
      </c>
      <c r="Z4173" s="75"/>
      <c r="AA4173" s="75" t="str">
        <f>IF(AND(MONTH(E4173)='IN-NX'!$J$5,'IN-NX'!$D$7=D4173),"x","")</f>
        <v/>
      </c>
      <c r="AB4173" s="75" t="str">
        <f>IF(AND(OR(LEFT(TH!N5192,2)="15",LEFT(TH!O5192,2)="15"),LEFT(TH!O5192,3)&lt;&gt;"111",'152-CT'!$J$8=TH!F5192),"x","")</f>
        <v/>
      </c>
      <c r="AC4173" s="75" t="str">
        <f>IF(AND(OR(LEFT(TH!N5192,2)="15",LEFT(TH!O5192,2)="15"),TK!$E$7=TH!F5192),"x","")</f>
        <v/>
      </c>
      <c r="AD4173" s="75" t="str">
        <f>IF(AND(N4173="1521",MONTH(C4173)='BK-NL'!$M$11),"x","")</f>
        <v/>
      </c>
    </row>
    <row r="4174" spans="1:30" ht="16.5" customHeight="1">
      <c r="A4174" s="309" t="str">
        <f>IF(B4174&lt;&gt;"",IF(AND(B4174='IN-TC'!$S$4,OR(TH!N4170="1111",TH!O4170="1111")),TH!D4170,""),"")</f>
        <v/>
      </c>
      <c r="B4174" s="1242">
        <f t="shared" si="1314"/>
        <v>5</v>
      </c>
      <c r="C4174" s="292">
        <f t="shared" si="1315"/>
        <v>42878</v>
      </c>
      <c r="D4174" s="292" t="s">
        <v>902</v>
      </c>
      <c r="E4174" s="292">
        <v>42878</v>
      </c>
      <c r="F4174" s="67" t="s">
        <v>898</v>
      </c>
      <c r="G4174" s="293" t="s">
        <v>747</v>
      </c>
      <c r="H4174" s="294" t="s">
        <v>835</v>
      </c>
      <c r="I4174" s="373"/>
      <c r="J4174" s="379"/>
      <c r="K4174" s="373"/>
      <c r="L4174" s="379"/>
      <c r="M4174" s="60">
        <v>1000</v>
      </c>
      <c r="N4174" s="295" t="s">
        <v>9</v>
      </c>
      <c r="O4174" s="61" t="s">
        <v>26</v>
      </c>
      <c r="P4174" s="75" t="str">
        <f>IF(AND('331-CT'!$E$7=TH!H5193,OR(N4174="331",O4174="331")),"x","")</f>
        <v/>
      </c>
      <c r="Q4174" s="75" t="str">
        <f>IF(AND(B4174='111'!$L$11,OR($N4174=$Q$7,$O4174=$Q$7)),"x","")</f>
        <v/>
      </c>
      <c r="R4174" s="75" t="str">
        <f>IF(AND($N4174=$Q$7,$B4174&lt;'111'!$L$11),"x","")</f>
        <v/>
      </c>
      <c r="S4174" s="75" t="str">
        <f>IF(AND($O4174=$Q$7,$B4174&lt;'111'!$L$11),"x","")</f>
        <v/>
      </c>
      <c r="T4174" s="75" t="str">
        <f>IF(ISERROR(FIND('112'!$M$9,G4174,1)),"",IF((AND(FIND('112'!$M$9,G4174,1)&gt;=1,B4174='112'!$K$9,OR($N4174='112'!$I$6,$O4174='112'!$I$6))),"x",""))</f>
        <v/>
      </c>
      <c r="U4174" s="75" t="str">
        <f>IF(ISERROR(FIND('112'!$M$9,G4174,1)),"",IF((AND(LEFT(G4174,2)=LEFT('112'!$M$9,2),B4174&lt;'112'!$K$9,$N4174='112'!$I$6)),"x",""))</f>
        <v/>
      </c>
      <c r="V4174" s="75" t="str">
        <f>IF(ISERROR(FIND('112'!$M$9,G4174,1)),"",IF((AND(RIGHT(G4174,2)=RIGHT('112'!$M$9,2),B4174&lt;'112'!$K$9,$O4174='112'!$I$6)),"x",""))</f>
        <v/>
      </c>
      <c r="W4174" s="75" t="str">
        <f>IF(AND('341-CT'!$H$9=H4174,OR(LEFT(N4174,3)=$W$7,LEFT(O4174,3)=$W$7)),"x","")</f>
        <v/>
      </c>
      <c r="X4174" s="75" t="str">
        <f>IF(OR(TH!N5193=TH!$X$7,O4174=TH!$X$7),"x","")</f>
        <v/>
      </c>
      <c r="Y4174" s="75" t="str">
        <f>IF(AND(OR(N4174="131",O4174="131"),H4174='131-CT'!$H$9),"x","")</f>
        <v/>
      </c>
      <c r="Z4174" s="75"/>
      <c r="AA4174" s="75" t="str">
        <f>IF(AND(MONTH(E4174)='IN-NX'!$J$5,'IN-NX'!$D$7=D4174),"x","")</f>
        <v/>
      </c>
      <c r="AB4174" s="75" t="str">
        <f>IF(AND(OR(LEFT(TH!N5193,2)="15",LEFT(TH!O5193,2)="15"),LEFT(TH!O5193,3)&lt;&gt;"111",'152-CT'!$J$8=TH!F5193),"x","")</f>
        <v/>
      </c>
      <c r="AC4174" s="75" t="str">
        <f>IF(AND(OR(LEFT(TH!N5193,2)="15",LEFT(TH!O5193,2)="15"),TK!$E$7=TH!F5193),"x","")</f>
        <v/>
      </c>
      <c r="AD4174" s="75" t="str">
        <f>IF(AND(N4174="1521",MONTH(C4174)='BK-NL'!$M$11),"x","")</f>
        <v/>
      </c>
    </row>
    <row r="4175" spans="1:30" ht="16.5" customHeight="1">
      <c r="A4175" s="309" t="str">
        <f>IF(B4175&lt;&gt;"",IF(AND(B4175='IN-TC'!$S$4,OR(TH!N4171="1111",TH!O4171="1111")),TH!D4171,""),"")</f>
        <v/>
      </c>
      <c r="B4175" s="1242">
        <f t="shared" si="1314"/>
        <v>5</v>
      </c>
      <c r="C4175" s="292">
        <f t="shared" si="1315"/>
        <v>42879</v>
      </c>
      <c r="D4175" s="292" t="s">
        <v>1970</v>
      </c>
      <c r="E4175" s="929">
        <v>42879</v>
      </c>
      <c r="F4175" s="73" t="s">
        <v>1165</v>
      </c>
      <c r="G4175" s="931" t="s">
        <v>1688</v>
      </c>
      <c r="H4175" s="296" t="s">
        <v>1684</v>
      </c>
      <c r="I4175" s="371"/>
      <c r="J4175" s="932"/>
      <c r="K4175" s="371"/>
      <c r="L4175" s="377"/>
      <c r="M4175" s="933">
        <v>19650400</v>
      </c>
      <c r="N4175" s="934" t="s">
        <v>8</v>
      </c>
      <c r="O4175" s="934" t="s">
        <v>63</v>
      </c>
      <c r="P4175" s="75" t="str">
        <f>IF(AND('331-CT'!$E$7=TH!H3668,OR(N4175="331",O4175="331")),"x","")</f>
        <v/>
      </c>
      <c r="Q4175" s="75" t="str">
        <f>IF(AND(B4175='111'!$L$11,OR($N4175=$Q$7,$O4175=$Q$7)),"x","")</f>
        <v/>
      </c>
      <c r="R4175" s="75" t="str">
        <f>IF(AND($N4175=$Q$7,$B4175&lt;'111'!$L$11),"x","")</f>
        <v/>
      </c>
      <c r="S4175" s="75" t="str">
        <f>IF(AND($O4175=$Q$7,$B4175&lt;'111'!$L$11),"x","")</f>
        <v>x</v>
      </c>
      <c r="T4175" s="75" t="str">
        <f>IF(ISERROR(FIND('112'!$M$9,G4175,1)),"",IF((AND(FIND('112'!$M$9,G4175,1)&gt;=1,B4175='112'!$K$9,OR($N4175='112'!$I$6,$O4175='112'!$I$6))),"x",""))</f>
        <v/>
      </c>
      <c r="U4175" s="75" t="str">
        <f>IF(ISERROR(FIND('112'!$M$9,G4175,1)),"",IF((AND(LEFT(G4175,2)=LEFT('112'!$M$9,2),B4175&lt;'112'!$K$9,$N4175='112'!$I$6)),"x",""))</f>
        <v/>
      </c>
      <c r="V4175" s="75" t="str">
        <f>IF(ISERROR(FIND('112'!$M$9,G4175,1)),"",IF((AND(RIGHT(G4175,2)=RIGHT('112'!$M$9,2),B4175&lt;'112'!$K$9,$O4175='112'!$I$6)),"x",""))</f>
        <v/>
      </c>
      <c r="W4175" s="75" t="str">
        <f>IF(AND('341-CT'!$H$9=H4175,OR(LEFT(N4175,3)=$W$7,LEFT(O4175,3)=$W$7)),"x","")</f>
        <v/>
      </c>
      <c r="X4175" s="75" t="str">
        <f>IF(OR(TH!N3668=TH!$X$7,O4175=TH!$X$7),"x","")</f>
        <v/>
      </c>
      <c r="Y4175" s="75" t="str">
        <f>IF(AND(OR(N4175="131",O4175="131"),H4175='131-CT'!$H$9),"x","")</f>
        <v/>
      </c>
      <c r="Z4175" s="75"/>
      <c r="AA4175" s="75" t="str">
        <f>IF(AND(MONTH(E4175)='IN-NX'!$J$5,'IN-NX'!$D$7=D4175),"x","")</f>
        <v/>
      </c>
      <c r="AB4175" s="75" t="str">
        <f>IF(AND(OR(LEFT(TH!N3668,2)="15",LEFT(TH!O3668,2)="15"),LEFT(TH!O3668,3)&lt;&gt;"111",'152-CT'!$J$8=TH!F3668),"x","")</f>
        <v/>
      </c>
      <c r="AC4175" s="75" t="str">
        <f>IF(AND(OR(LEFT(TH!N3668,2)="15",LEFT(TH!O3668,2)="15"),TK!$E$7=TH!F3668),"x","")</f>
        <v/>
      </c>
      <c r="AD4175" s="75" t="str">
        <f>IF(AND(N4175="1521",MONTH(C4175)='BK-NL'!$M$11),"x","")</f>
        <v/>
      </c>
    </row>
    <row r="4176" spans="1:30" ht="16.5" customHeight="1">
      <c r="A4176" s="309" t="str">
        <f>IF(B4176&lt;&gt;"",IF(AND(B4176='IN-TC'!$S$4,OR(TH!N4172="1111",TH!O4172="1111")),TH!D4172,""),"")</f>
        <v/>
      </c>
      <c r="B4176" s="1242">
        <f t="shared" si="1314"/>
        <v>5</v>
      </c>
      <c r="C4176" s="292">
        <f t="shared" si="1315"/>
        <v>42879</v>
      </c>
      <c r="D4176" s="292" t="s">
        <v>1971</v>
      </c>
      <c r="E4176" s="929">
        <v>42879</v>
      </c>
      <c r="F4176" s="73" t="s">
        <v>1165</v>
      </c>
      <c r="G4176" s="931" t="s">
        <v>814</v>
      </c>
      <c r="H4176" s="296" t="s">
        <v>796</v>
      </c>
      <c r="I4176" s="371"/>
      <c r="J4176" s="932"/>
      <c r="K4176" s="371"/>
      <c r="L4176" s="377"/>
      <c r="M4176" s="933">
        <v>19650400</v>
      </c>
      <c r="N4176" s="934" t="s">
        <v>8</v>
      </c>
      <c r="O4176" s="934" t="s">
        <v>63</v>
      </c>
      <c r="P4176" s="75" t="str">
        <f>IF(AND('331-CT'!$E$7=TH!H3669,OR(N4176="331",O4176="331")),"x","")</f>
        <v/>
      </c>
      <c r="Q4176" s="75" t="str">
        <f>IF(AND(B4176='111'!$L$11,OR($N4176=$Q$7,$O4176=$Q$7)),"x","")</f>
        <v/>
      </c>
      <c r="R4176" s="75" t="str">
        <f>IF(AND($N4176=$Q$7,$B4176&lt;'111'!$L$11),"x","")</f>
        <v/>
      </c>
      <c r="S4176" s="75" t="str">
        <f>IF(AND($O4176=$Q$7,$B4176&lt;'111'!$L$11),"x","")</f>
        <v>x</v>
      </c>
      <c r="T4176" s="75" t="str">
        <f>IF(ISERROR(FIND('112'!$M$9,G4176,1)),"",IF((AND(FIND('112'!$M$9,G4176,1)&gt;=1,B4176='112'!$K$9,OR($N4176='112'!$I$6,$O4176='112'!$I$6))),"x",""))</f>
        <v/>
      </c>
      <c r="U4176" s="75" t="str">
        <f>IF(ISERROR(FIND('112'!$M$9,G4176,1)),"",IF((AND(LEFT(G4176,2)=LEFT('112'!$M$9,2),B4176&lt;'112'!$K$9,$N4176='112'!$I$6)),"x",""))</f>
        <v/>
      </c>
      <c r="V4176" s="75" t="str">
        <f>IF(ISERROR(FIND('112'!$M$9,G4176,1)),"",IF((AND(RIGHT(G4176,2)=RIGHT('112'!$M$9,2),B4176&lt;'112'!$K$9,$O4176='112'!$I$6)),"x",""))</f>
        <v/>
      </c>
      <c r="W4176" s="75" t="str">
        <f>IF(AND('341-CT'!$H$9=H4176,OR(LEFT(N4176,3)=$W$7,LEFT(O4176,3)=$W$7)),"x","")</f>
        <v/>
      </c>
      <c r="X4176" s="75" t="str">
        <f>IF(OR(TH!N3669=TH!$X$7,O4176=TH!$X$7),"x","")</f>
        <v/>
      </c>
      <c r="Y4176" s="75" t="str">
        <f>IF(AND(OR(N4176="131",O4176="131"),H4176='131-CT'!$H$9),"x","")</f>
        <v/>
      </c>
      <c r="Z4176" s="75"/>
      <c r="AA4176" s="75" t="str">
        <f>IF(AND(MONTH(E4176)='IN-NX'!$J$5,'IN-NX'!$D$7=D4176),"x","")</f>
        <v/>
      </c>
      <c r="AB4176" s="75" t="str">
        <f>IF(AND(OR(LEFT(TH!N3669,2)="15",LEFT(TH!O3669,2)="15"),LEFT(TH!O3669,3)&lt;&gt;"111",'152-CT'!$J$8=TH!F3669),"x","")</f>
        <v/>
      </c>
      <c r="AC4176" s="75" t="str">
        <f>IF(AND(OR(LEFT(TH!N3669,2)="15",LEFT(TH!O3669,2)="15"),TK!$E$7=TH!F3669),"x","")</f>
        <v/>
      </c>
      <c r="AD4176" s="75" t="str">
        <f>IF(AND(N4176="1521",MONTH(C4176)='BK-NL'!$M$11),"x","")</f>
        <v/>
      </c>
    </row>
    <row r="4177" spans="1:30" ht="16.5" customHeight="1">
      <c r="A4177" s="309" t="str">
        <f>IF(B4177&lt;&gt;"",IF(AND(B4177='IN-TC'!$S$4,OR(TH!N4173="1111",TH!O4173="1111")),TH!D4173,""),"")</f>
        <v/>
      </c>
      <c r="B4177" s="1242">
        <f t="shared" si="1314"/>
        <v>5</v>
      </c>
      <c r="C4177" s="292">
        <f t="shared" si="1315"/>
        <v>42879</v>
      </c>
      <c r="D4177" s="292" t="s">
        <v>1972</v>
      </c>
      <c r="E4177" s="292">
        <v>42879</v>
      </c>
      <c r="F4177" s="67" t="s">
        <v>885</v>
      </c>
      <c r="G4177" s="943" t="s">
        <v>747</v>
      </c>
      <c r="H4177" s="294" t="s">
        <v>1517</v>
      </c>
      <c r="I4177" s="373"/>
      <c r="J4177" s="926"/>
      <c r="K4177" s="373"/>
      <c r="L4177" s="379"/>
      <c r="M4177" s="927">
        <v>50000000</v>
      </c>
      <c r="N4177" s="295" t="s">
        <v>26</v>
      </c>
      <c r="O4177" s="295" t="s">
        <v>63</v>
      </c>
      <c r="P4177" s="75" t="str">
        <f>IF(AND('331-CT'!$E$7=TH!H5194,OR(N4177="331",O4177="331")),"x","")</f>
        <v/>
      </c>
      <c r="Q4177" s="75" t="str">
        <f>IF(AND(B4177='111'!$L$11,OR($N4177=$Q$7,$O4177=$Q$7)),"x","")</f>
        <v/>
      </c>
      <c r="R4177" s="75" t="str">
        <f>IF(AND($N4177=$Q$7,$B4177&lt;'111'!$L$11),"x","")</f>
        <v/>
      </c>
      <c r="S4177" s="75" t="str">
        <f>IF(AND($O4177=$Q$7,$B4177&lt;'111'!$L$11),"x","")</f>
        <v>x</v>
      </c>
      <c r="T4177" s="75" t="str">
        <f>IF(ISERROR(FIND('112'!$M$9,G4177,1)),"",IF((AND(FIND('112'!$M$9,G4177,1)&gt;=1,B4177='112'!$K$9,OR($N4177='112'!$I$6,$O4177='112'!$I$6))),"x",""))</f>
        <v/>
      </c>
      <c r="U4177" s="75" t="str">
        <f>IF(ISERROR(FIND('112'!$M$9,G4177,1)),"",IF((AND(LEFT(G4177,2)=LEFT('112'!$M$9,2),B4177&lt;'112'!$K$9,$N4177='112'!$I$6)),"x",""))</f>
        <v/>
      </c>
      <c r="V4177" s="75" t="str">
        <f>IF(ISERROR(FIND('112'!$M$9,G4177,1)),"",IF((AND(RIGHT(G4177,2)=RIGHT('112'!$M$9,2),B4177&lt;'112'!$K$9,$O4177='112'!$I$6)),"x",""))</f>
        <v/>
      </c>
      <c r="W4177" s="75" t="str">
        <f>IF(AND('341-CT'!$H$9=H4177,OR(LEFT(N4177,3)=$W$7,LEFT(O4177,3)=$W$7)),"x","")</f>
        <v/>
      </c>
      <c r="X4177" s="75" t="str">
        <f>IF(OR(TH!N5194=TH!$X$7,O4177=TH!$X$7),"x","")</f>
        <v/>
      </c>
      <c r="Y4177" s="75" t="str">
        <f>IF(AND(OR(N4177="131",O4177="131"),H4177='131-CT'!$H$9),"x","")</f>
        <v/>
      </c>
      <c r="Z4177" s="75"/>
      <c r="AA4177" s="75" t="str">
        <f>IF(AND(MONTH(E4177)='IN-NX'!$J$5,'IN-NX'!$D$7=D4177),"x","")</f>
        <v/>
      </c>
      <c r="AB4177" s="75" t="str">
        <f>IF(AND(OR(LEFT(TH!N5194,2)="15",LEFT(TH!O5194,2)="15"),LEFT(TH!O5194,3)&lt;&gt;"111",'152-CT'!$J$8=TH!F5194),"x","")</f>
        <v/>
      </c>
      <c r="AC4177" s="75" t="str">
        <f>IF(AND(OR(LEFT(TH!N5194,2)="15",LEFT(TH!O5194,2)="15"),TK!$E$7=TH!F5194),"x","")</f>
        <v/>
      </c>
      <c r="AD4177" s="75" t="str">
        <f>IF(AND(N4177="1521",MONTH(C4177)='BK-NL'!$M$11),"x","")</f>
        <v/>
      </c>
    </row>
    <row r="4178" spans="1:30" ht="16.5" customHeight="1">
      <c r="A4178" s="309" t="str">
        <f>IF(B4178&lt;&gt;"",IF(AND(B4178='IN-TC'!$S$4,OR(TH!N4174="1111",TH!O4174="1111")),TH!D4174,""),"")</f>
        <v/>
      </c>
      <c r="B4178" s="1242">
        <f t="shared" si="1314"/>
        <v>5</v>
      </c>
      <c r="C4178" s="292">
        <f t="shared" si="1315"/>
        <v>42879</v>
      </c>
      <c r="D4178" s="292" t="s">
        <v>902</v>
      </c>
      <c r="E4178" s="292">
        <v>42879</v>
      </c>
      <c r="F4178" s="67" t="s">
        <v>1549</v>
      </c>
      <c r="G4178" s="293" t="s">
        <v>747</v>
      </c>
      <c r="H4178" s="294" t="s">
        <v>835</v>
      </c>
      <c r="I4178" s="373"/>
      <c r="J4178" s="379"/>
      <c r="K4178" s="373"/>
      <c r="L4178" s="379"/>
      <c r="M4178" s="60">
        <v>113600</v>
      </c>
      <c r="N4178" s="295" t="s">
        <v>101</v>
      </c>
      <c r="O4178" s="61" t="s">
        <v>26</v>
      </c>
      <c r="P4178" s="75" t="str">
        <f>IF(AND('331-CT'!$E$7=TH!H5195,OR(N4178="331",O4178="331")),"x","")</f>
        <v/>
      </c>
      <c r="Q4178" s="75" t="str">
        <f>IF(AND(B4178='111'!$L$11,OR($N4178=$Q$7,$O4178=$Q$7)),"x","")</f>
        <v/>
      </c>
      <c r="R4178" s="75" t="str">
        <f>IF(AND($N4178=$Q$7,$B4178&lt;'111'!$L$11),"x","")</f>
        <v/>
      </c>
      <c r="S4178" s="75" t="str">
        <f>IF(AND($O4178=$Q$7,$B4178&lt;'111'!$L$11),"x","")</f>
        <v/>
      </c>
      <c r="T4178" s="75" t="str">
        <f>IF(ISERROR(FIND('112'!$M$9,G4178,1)),"",IF((AND(FIND('112'!$M$9,G4178,1)&gt;=1,B4178='112'!$K$9,OR($N4178='112'!$I$6,$O4178='112'!$I$6))),"x",""))</f>
        <v/>
      </c>
      <c r="U4178" s="75" t="str">
        <f>IF(ISERROR(FIND('112'!$M$9,G4178,1)),"",IF((AND(LEFT(G4178,2)=LEFT('112'!$M$9,2),B4178&lt;'112'!$K$9,$N4178='112'!$I$6)),"x",""))</f>
        <v/>
      </c>
      <c r="V4178" s="75" t="str">
        <f>IF(ISERROR(FIND('112'!$M$9,G4178,1)),"",IF((AND(RIGHT(G4178,2)=RIGHT('112'!$M$9,2),B4178&lt;'112'!$K$9,$O4178='112'!$I$6)),"x",""))</f>
        <v/>
      </c>
      <c r="W4178" s="75" t="str">
        <f>IF(AND('341-CT'!$H$9=H4178,OR(LEFT(N4178,3)=$W$7,LEFT(O4178,3)=$W$7)),"x","")</f>
        <v/>
      </c>
      <c r="X4178" s="75" t="str">
        <f>IF(OR(TH!N5195=TH!$X$7,O4178=TH!$X$7),"x","")</f>
        <v/>
      </c>
      <c r="Y4178" s="75" t="str">
        <f>IF(AND(OR(N4178="131",O4178="131"),H4178='131-CT'!$H$9),"x","")</f>
        <v/>
      </c>
      <c r="Z4178" s="75"/>
      <c r="AA4178" s="75" t="str">
        <f>IF(AND(MONTH(E4178)='IN-NX'!$J$5,'IN-NX'!$D$7=D4178),"x","")</f>
        <v/>
      </c>
      <c r="AB4178" s="75" t="str">
        <f>IF(AND(OR(LEFT(TH!N5195,2)="15",LEFT(TH!O5195,2)="15"),LEFT(TH!O5195,3)&lt;&gt;"111",'152-CT'!$J$8=TH!F5195),"x","")</f>
        <v/>
      </c>
      <c r="AC4178" s="75" t="str">
        <f>IF(AND(OR(LEFT(TH!N5195,2)="15",LEFT(TH!O5195,2)="15"),TK!$E$7=TH!F5195),"x","")</f>
        <v/>
      </c>
      <c r="AD4178" s="75" t="str">
        <f>IF(AND(N4178="1521",MONTH(C4178)='BK-NL'!$M$11),"x","")</f>
        <v/>
      </c>
    </row>
    <row r="4179" spans="1:30" ht="16.5" customHeight="1">
      <c r="A4179" s="309" t="str">
        <f>IF(B4179&lt;&gt;"",IF(AND(B4179='IN-TC'!$S$4,OR(TH!N4175="1111",TH!O4175="1111")),TH!D4175,""),"")</f>
        <v/>
      </c>
      <c r="B4179" s="1242">
        <f t="shared" ref="B4179:B4242" si="1316">IF(C4179&lt;&gt;"",MONTH(C4179),"")</f>
        <v>5</v>
      </c>
      <c r="C4179" s="292">
        <f t="shared" si="1315"/>
        <v>42879</v>
      </c>
      <c r="D4179" s="292" t="s">
        <v>902</v>
      </c>
      <c r="E4179" s="292">
        <v>42879</v>
      </c>
      <c r="F4179" s="67" t="s">
        <v>1552</v>
      </c>
      <c r="G4179" s="293" t="s">
        <v>747</v>
      </c>
      <c r="H4179" s="294" t="s">
        <v>835</v>
      </c>
      <c r="I4179" s="373"/>
      <c r="J4179" s="379"/>
      <c r="K4179" s="373"/>
      <c r="L4179" s="379"/>
      <c r="M4179" s="60">
        <v>11360</v>
      </c>
      <c r="N4179" s="295" t="s">
        <v>9</v>
      </c>
      <c r="O4179" s="61" t="s">
        <v>26</v>
      </c>
      <c r="P4179" s="75" t="str">
        <f>IF(AND('331-CT'!$E$7=TH!H5197,OR(N4179="331",O4179="331")),"x","")</f>
        <v/>
      </c>
      <c r="Q4179" s="75" t="str">
        <f>IF(AND(B4179='111'!$L$11,OR($N4179=$Q$7,$O4179=$Q$7)),"x","")</f>
        <v/>
      </c>
      <c r="R4179" s="75" t="str">
        <f>IF(AND($N4179=$Q$7,$B4179&lt;'111'!$L$11),"x","")</f>
        <v/>
      </c>
      <c r="S4179" s="75" t="str">
        <f>IF(AND($O4179=$Q$7,$B4179&lt;'111'!$L$11),"x","")</f>
        <v/>
      </c>
      <c r="T4179" s="75" t="str">
        <f>IF(ISERROR(FIND('112'!$M$9,G4179,1)),"",IF((AND(FIND('112'!$M$9,G4179,1)&gt;=1,B4179='112'!$K$9,OR($N4179='112'!$I$6,$O4179='112'!$I$6))),"x",""))</f>
        <v/>
      </c>
      <c r="U4179" s="75" t="str">
        <f>IF(ISERROR(FIND('112'!$M$9,G4179,1)),"",IF((AND(LEFT(G4179,2)=LEFT('112'!$M$9,2),B4179&lt;'112'!$K$9,$N4179='112'!$I$6)),"x",""))</f>
        <v/>
      </c>
      <c r="V4179" s="75" t="str">
        <f>IF(ISERROR(FIND('112'!$M$9,G4179,1)),"",IF((AND(RIGHT(G4179,2)=RIGHT('112'!$M$9,2),B4179&lt;'112'!$K$9,$O4179='112'!$I$6)),"x",""))</f>
        <v/>
      </c>
      <c r="W4179" s="75" t="str">
        <f>IF(AND('341-CT'!$H$9=H4179,OR(LEFT(N4179,3)=$W$7,LEFT(O4179,3)=$W$7)),"x","")</f>
        <v/>
      </c>
      <c r="X4179" s="75" t="str">
        <f>IF(OR(TH!N5197=TH!$X$7,O4179=TH!$X$7),"x","")</f>
        <v/>
      </c>
      <c r="Y4179" s="75" t="str">
        <f>IF(AND(OR(N4179="131",O4179="131"),H4179='131-CT'!$H$9),"x","")</f>
        <v/>
      </c>
      <c r="Z4179" s="75"/>
      <c r="AA4179" s="75" t="str">
        <f>IF(AND(MONTH(E4179)='IN-NX'!$J$5,'IN-NX'!$D$7=D4179),"x","")</f>
        <v/>
      </c>
      <c r="AB4179" s="75" t="str">
        <f>IF(AND(OR(LEFT(TH!N5197,2)="15",LEFT(TH!O5197,2)="15"),LEFT(TH!O5197,3)&lt;&gt;"111",'152-CT'!$J$8=TH!F5197),"x","")</f>
        <v/>
      </c>
      <c r="AC4179" s="75" t="str">
        <f>IF(AND(OR(LEFT(TH!N5197,2)="15",LEFT(TH!O5197,2)="15"),TK!$E$7=TH!F5197),"x","")</f>
        <v/>
      </c>
      <c r="AD4179" s="75" t="str">
        <f>IF(AND(N4179="1521",MONTH(C4179)='BK-NL'!$M$11),"x","")</f>
        <v/>
      </c>
    </row>
    <row r="4180" spans="1:30" ht="16.5" customHeight="1">
      <c r="A4180" s="309" t="str">
        <f>IF(B4180&lt;&gt;"",IF(AND(B4180='IN-TC'!$S$4,OR(TH!N4176="1111",TH!O4176="1111")),TH!D4176,""),"")</f>
        <v/>
      </c>
      <c r="B4180" s="1242">
        <f t="shared" si="1316"/>
        <v>5</v>
      </c>
      <c r="C4180" s="292">
        <f t="shared" si="1315"/>
        <v>42879</v>
      </c>
      <c r="D4180" s="292" t="s">
        <v>902</v>
      </c>
      <c r="E4180" s="292">
        <v>42879</v>
      </c>
      <c r="F4180" s="67" t="s">
        <v>1549</v>
      </c>
      <c r="G4180" s="293" t="s">
        <v>747</v>
      </c>
      <c r="H4180" s="294" t="s">
        <v>835</v>
      </c>
      <c r="I4180" s="373"/>
      <c r="J4180" s="379"/>
      <c r="K4180" s="373"/>
      <c r="L4180" s="379"/>
      <c r="M4180" s="60">
        <v>2257459</v>
      </c>
      <c r="N4180" s="295" t="s">
        <v>101</v>
      </c>
      <c r="O4180" s="61" t="s">
        <v>26</v>
      </c>
      <c r="P4180" s="75" t="str">
        <f>IF(AND('331-CT'!$E$7=TH!H5198,OR(N4180="331",O4180="331")),"x","")</f>
        <v/>
      </c>
      <c r="Q4180" s="75" t="str">
        <f>IF(AND(B4180='111'!$L$11,OR($N4180=$Q$7,$O4180=$Q$7)),"x","")</f>
        <v/>
      </c>
      <c r="R4180" s="75" t="str">
        <f>IF(AND($N4180=$Q$7,$B4180&lt;'111'!$L$11),"x","")</f>
        <v/>
      </c>
      <c r="S4180" s="75" t="str">
        <f>IF(AND($O4180=$Q$7,$B4180&lt;'111'!$L$11),"x","")</f>
        <v/>
      </c>
      <c r="T4180" s="75" t="str">
        <f>IF(ISERROR(FIND('112'!$M$9,G4180,1)),"",IF((AND(FIND('112'!$M$9,G4180,1)&gt;=1,B4180='112'!$K$9,OR($N4180='112'!$I$6,$O4180='112'!$I$6))),"x",""))</f>
        <v/>
      </c>
      <c r="U4180" s="75" t="str">
        <f>IF(ISERROR(FIND('112'!$M$9,G4180,1)),"",IF((AND(LEFT(G4180,2)=LEFT('112'!$M$9,2),B4180&lt;'112'!$K$9,$N4180='112'!$I$6)),"x",""))</f>
        <v/>
      </c>
      <c r="V4180" s="75" t="str">
        <f>IF(ISERROR(FIND('112'!$M$9,G4180,1)),"",IF((AND(RIGHT(G4180,2)=RIGHT('112'!$M$9,2),B4180&lt;'112'!$K$9,$O4180='112'!$I$6)),"x",""))</f>
        <v/>
      </c>
      <c r="W4180" s="75" t="str">
        <f>IF(AND('341-CT'!$H$9=H4180,OR(LEFT(N4180,3)=$W$7,LEFT(O4180,3)=$W$7)),"x","")</f>
        <v/>
      </c>
      <c r="X4180" s="75" t="str">
        <f>IF(OR(TH!N5198=TH!$X$7,O4180=TH!$X$7),"x","")</f>
        <v/>
      </c>
      <c r="Y4180" s="75" t="str">
        <f>IF(AND(OR(N4180="131",O4180="131"),H4180='131-CT'!$H$9),"x","")</f>
        <v/>
      </c>
      <c r="Z4180" s="75"/>
      <c r="AA4180" s="75" t="str">
        <f>IF(AND(MONTH(E4180)='IN-NX'!$J$5,'IN-NX'!$D$7=D4180),"x","")</f>
        <v/>
      </c>
      <c r="AB4180" s="75" t="str">
        <f>IF(AND(OR(LEFT(TH!N5198,2)="15",LEFT(TH!O5198,2)="15"),LEFT(TH!O5198,3)&lt;&gt;"111",'152-CT'!$J$8=TH!F5198),"x","")</f>
        <v/>
      </c>
      <c r="AC4180" s="75" t="str">
        <f>IF(AND(OR(LEFT(TH!N5198,2)="15",LEFT(TH!O5198,2)="15"),TK!$E$7=TH!F5198),"x","")</f>
        <v/>
      </c>
      <c r="AD4180" s="75" t="str">
        <f>IF(AND(N4180="1521",MONTH(C4180)='BK-NL'!$M$11),"x","")</f>
        <v/>
      </c>
    </row>
    <row r="4181" spans="1:30" ht="16.5" customHeight="1">
      <c r="A4181" s="309" t="str">
        <f>IF(B4181&lt;&gt;"",IF(AND(B4181='IN-TC'!$S$4,OR(TH!N4177="1111",TH!O4177="1111")),TH!D4177,""),"")</f>
        <v/>
      </c>
      <c r="B4181" s="1242">
        <f t="shared" si="1316"/>
        <v>5</v>
      </c>
      <c r="C4181" s="292">
        <f t="shared" si="1315"/>
        <v>42879</v>
      </c>
      <c r="D4181" s="292" t="s">
        <v>902</v>
      </c>
      <c r="E4181" s="292">
        <v>42879</v>
      </c>
      <c r="F4181" s="67" t="s">
        <v>1552</v>
      </c>
      <c r="G4181" s="293" t="s">
        <v>747</v>
      </c>
      <c r="H4181" s="294" t="s">
        <v>835</v>
      </c>
      <c r="I4181" s="373"/>
      <c r="J4181" s="379"/>
      <c r="K4181" s="373"/>
      <c r="L4181" s="379"/>
      <c r="M4181" s="60">
        <v>225746</v>
      </c>
      <c r="N4181" s="295" t="s">
        <v>9</v>
      </c>
      <c r="O4181" s="61" t="s">
        <v>26</v>
      </c>
      <c r="P4181" s="75" t="str">
        <f>IF(AND('331-CT'!$E$7=TH!H5199,OR(N4181="331",O4181="331")),"x","")</f>
        <v/>
      </c>
      <c r="Q4181" s="75" t="str">
        <f>IF(AND(B4181='111'!$L$11,OR($N4181=$Q$7,$O4181=$Q$7)),"x","")</f>
        <v/>
      </c>
      <c r="R4181" s="75" t="str">
        <f>IF(AND($N4181=$Q$7,$B4181&lt;'111'!$L$11),"x","")</f>
        <v/>
      </c>
      <c r="S4181" s="75" t="str">
        <f>IF(AND($O4181=$Q$7,$B4181&lt;'111'!$L$11),"x","")</f>
        <v/>
      </c>
      <c r="T4181" s="75" t="str">
        <f>IF(ISERROR(FIND('112'!$M$9,G4181,1)),"",IF((AND(FIND('112'!$M$9,G4181,1)&gt;=1,B4181='112'!$K$9,OR($N4181='112'!$I$6,$O4181='112'!$I$6))),"x",""))</f>
        <v/>
      </c>
      <c r="U4181" s="75" t="str">
        <f>IF(ISERROR(FIND('112'!$M$9,G4181,1)),"",IF((AND(LEFT(G4181,2)=LEFT('112'!$M$9,2),B4181&lt;'112'!$K$9,$N4181='112'!$I$6)),"x",""))</f>
        <v/>
      </c>
      <c r="V4181" s="75" t="str">
        <f>IF(ISERROR(FIND('112'!$M$9,G4181,1)),"",IF((AND(RIGHT(G4181,2)=RIGHT('112'!$M$9,2),B4181&lt;'112'!$K$9,$O4181='112'!$I$6)),"x",""))</f>
        <v/>
      </c>
      <c r="W4181" s="75" t="str">
        <f>IF(AND('341-CT'!$H$9=H4181,OR(LEFT(N4181,3)=$W$7,LEFT(O4181,3)=$W$7)),"x","")</f>
        <v/>
      </c>
      <c r="X4181" s="75" t="str">
        <f>IF(OR(TH!N5199=TH!$X$7,O4181=TH!$X$7),"x","")</f>
        <v/>
      </c>
      <c r="Y4181" s="75" t="str">
        <f>IF(AND(OR(N4181="131",O4181="131"),H4181='131-CT'!$H$9),"x","")</f>
        <v/>
      </c>
      <c r="Z4181" s="75"/>
      <c r="AA4181" s="75" t="str">
        <f>IF(AND(MONTH(E4181)='IN-NX'!$J$5,'IN-NX'!$D$7=D4181),"x","")</f>
        <v/>
      </c>
      <c r="AB4181" s="75" t="str">
        <f>IF(AND(OR(LEFT(TH!N5199,2)="15",LEFT(TH!O5199,2)="15"),LEFT(TH!O5199,3)&lt;&gt;"111",'152-CT'!$J$8=TH!F5199),"x","")</f>
        <v/>
      </c>
      <c r="AC4181" s="75" t="str">
        <f>IF(AND(OR(LEFT(TH!N5199,2)="15",LEFT(TH!O5199,2)="15"),TK!$E$7=TH!F5199),"x","")</f>
        <v/>
      </c>
      <c r="AD4181" s="75" t="str">
        <f>IF(AND(N4181="1521",MONTH(C4181)='BK-NL'!$M$11),"x","")</f>
        <v/>
      </c>
    </row>
    <row r="4182" spans="1:30" ht="16.5" customHeight="1">
      <c r="A4182" s="309" t="str">
        <f>IF(B4182&lt;&gt;"",IF(AND(B4182='IN-TC'!$S$4,OR(TH!N4178="1111",TH!O4178="1111")),TH!D4178,""),"")</f>
        <v/>
      </c>
      <c r="B4182" s="1242">
        <f t="shared" si="1316"/>
        <v>5</v>
      </c>
      <c r="C4182" s="292">
        <f t="shared" si="1315"/>
        <v>42879</v>
      </c>
      <c r="D4182" s="292" t="s">
        <v>902</v>
      </c>
      <c r="E4182" s="292">
        <v>42879</v>
      </c>
      <c r="F4182" s="67" t="s">
        <v>1549</v>
      </c>
      <c r="G4182" s="293" t="s">
        <v>747</v>
      </c>
      <c r="H4182" s="294" t="s">
        <v>835</v>
      </c>
      <c r="I4182" s="373"/>
      <c r="J4182" s="379"/>
      <c r="K4182" s="373"/>
      <c r="L4182" s="379"/>
      <c r="M4182" s="60">
        <v>227200</v>
      </c>
      <c r="N4182" s="295" t="s">
        <v>101</v>
      </c>
      <c r="O4182" s="61" t="s">
        <v>26</v>
      </c>
      <c r="P4182" s="75" t="str">
        <f>IF(AND('331-CT'!$E$7=TH!H5200,OR(N4182="331",O4182="331")),"x","")</f>
        <v/>
      </c>
      <c r="Q4182" s="75" t="str">
        <f>IF(AND(B4182='111'!$L$11,OR($N4182=$Q$7,$O4182=$Q$7)),"x","")</f>
        <v/>
      </c>
      <c r="R4182" s="75" t="str">
        <f>IF(AND($N4182=$Q$7,$B4182&lt;'111'!$L$11),"x","")</f>
        <v/>
      </c>
      <c r="S4182" s="75" t="str">
        <f>IF(AND($O4182=$Q$7,$B4182&lt;'111'!$L$11),"x","")</f>
        <v/>
      </c>
      <c r="T4182" s="75" t="str">
        <f>IF(ISERROR(FIND('112'!$M$9,G4182,1)),"",IF((AND(FIND('112'!$M$9,G4182,1)&gt;=1,B4182='112'!$K$9,OR($N4182='112'!$I$6,$O4182='112'!$I$6))),"x",""))</f>
        <v/>
      </c>
      <c r="U4182" s="75" t="str">
        <f>IF(ISERROR(FIND('112'!$M$9,G4182,1)),"",IF((AND(LEFT(G4182,2)=LEFT('112'!$M$9,2),B4182&lt;'112'!$K$9,$N4182='112'!$I$6)),"x",""))</f>
        <v/>
      </c>
      <c r="V4182" s="75" t="str">
        <f>IF(ISERROR(FIND('112'!$M$9,G4182,1)),"",IF((AND(RIGHT(G4182,2)=RIGHT('112'!$M$9,2),B4182&lt;'112'!$K$9,$O4182='112'!$I$6)),"x",""))</f>
        <v/>
      </c>
      <c r="W4182" s="75" t="str">
        <f>IF(AND('341-CT'!$H$9=H4182,OR(LEFT(N4182,3)=$W$7,LEFT(O4182,3)=$W$7)),"x","")</f>
        <v/>
      </c>
      <c r="X4182" s="75" t="str">
        <f>IF(OR(TH!N5200=TH!$X$7,O4182=TH!$X$7),"x","")</f>
        <v/>
      </c>
      <c r="Y4182" s="75" t="str">
        <f>IF(AND(OR(N4182="131",O4182="131"),H4182='131-CT'!$H$9),"x","")</f>
        <v/>
      </c>
      <c r="Z4182" s="75"/>
      <c r="AA4182" s="75" t="str">
        <f>IF(AND(MONTH(E4182)='IN-NX'!$J$5,'IN-NX'!$D$7=D4182),"x","")</f>
        <v/>
      </c>
      <c r="AB4182" s="75" t="str">
        <f>IF(AND(OR(LEFT(TH!N5200,2)="15",LEFT(TH!O5200,2)="15"),LEFT(TH!O5200,3)&lt;&gt;"111",'152-CT'!$J$8=TH!F5200),"x","")</f>
        <v/>
      </c>
      <c r="AC4182" s="75" t="str">
        <f>IF(AND(OR(LEFT(TH!N5200,2)="15",LEFT(TH!O5200,2)="15"),TK!$E$7=TH!F5200),"x","")</f>
        <v/>
      </c>
      <c r="AD4182" s="75" t="str">
        <f>IF(AND(N4182="1521",MONTH(C4182)='BK-NL'!$M$11),"x","")</f>
        <v/>
      </c>
    </row>
    <row r="4183" spans="1:30" ht="16.5" customHeight="1">
      <c r="A4183" s="309" t="str">
        <f>IF(B4183&lt;&gt;"",IF(AND(B4183='IN-TC'!$S$4,OR(TH!N4179="1111",TH!O4179="1111")),TH!D4179,""),"")</f>
        <v/>
      </c>
      <c r="B4183" s="1242">
        <f t="shared" si="1316"/>
        <v>5</v>
      </c>
      <c r="C4183" s="292">
        <f t="shared" si="1315"/>
        <v>42879</v>
      </c>
      <c r="D4183" s="292" t="s">
        <v>903</v>
      </c>
      <c r="E4183" s="59">
        <v>42879</v>
      </c>
      <c r="F4183" s="62" t="s">
        <v>914</v>
      </c>
      <c r="G4183" s="293" t="s">
        <v>747</v>
      </c>
      <c r="H4183" s="294" t="s">
        <v>835</v>
      </c>
      <c r="I4183" s="375"/>
      <c r="J4183" s="381"/>
      <c r="K4183" s="375"/>
      <c r="L4183" s="381"/>
      <c r="M4183" s="60">
        <v>67259</v>
      </c>
      <c r="N4183" s="61" t="s">
        <v>26</v>
      </c>
      <c r="O4183" s="295" t="s">
        <v>43</v>
      </c>
      <c r="P4183" s="75" t="str">
        <f>IF(AND('331-CT'!$E$7=TH!H5201,OR(N4183="331",O4183="331")),"x","")</f>
        <v/>
      </c>
      <c r="Q4183" s="75" t="str">
        <f>IF(AND(B4183='111'!$L$11,OR($N4183=$Q$7,$O4183=$Q$7)),"x","")</f>
        <v/>
      </c>
      <c r="R4183" s="75" t="str">
        <f>IF(AND($N4183=$Q$7,$B4183&lt;'111'!$L$11),"x","")</f>
        <v/>
      </c>
      <c r="S4183" s="75" t="str">
        <f>IF(AND($O4183=$Q$7,$B4183&lt;'111'!$L$11),"x","")</f>
        <v/>
      </c>
      <c r="T4183" s="75" t="str">
        <f>IF(ISERROR(FIND('112'!$M$9,G4183,1)),"",IF((AND(FIND('112'!$M$9,G4183,1)&gt;=1,B4183='112'!$K$9,OR($N4183='112'!$I$6,$O4183='112'!$I$6))),"x",""))</f>
        <v/>
      </c>
      <c r="U4183" s="75" t="str">
        <f>IF(ISERROR(FIND('112'!$M$9,G4183,1)),"",IF((AND(LEFT(G4183,2)=LEFT('112'!$M$9,2),B4183&lt;'112'!$K$9,$N4183='112'!$I$6)),"x",""))</f>
        <v/>
      </c>
      <c r="V4183" s="75" t="str">
        <f>IF(ISERROR(FIND('112'!$M$9,G4183,1)),"",IF((AND(RIGHT(G4183,2)=RIGHT('112'!$M$9,2),B4183&lt;'112'!$K$9,$O4183='112'!$I$6)),"x",""))</f>
        <v/>
      </c>
      <c r="W4183" s="75" t="str">
        <f>IF(AND('341-CT'!$H$9=H4183,OR(LEFT(N4183,3)=$W$7,LEFT(O4183,3)=$W$7)),"x","")</f>
        <v/>
      </c>
      <c r="X4183" s="75" t="str">
        <f>IF(OR(TH!N5201=TH!$X$7,O4183=TH!$X$7),"x","")</f>
        <v/>
      </c>
      <c r="Y4183" s="75" t="str">
        <f>IF(AND(OR(N4183="131",O4183="131"),H4183='131-CT'!$H$9),"x","")</f>
        <v/>
      </c>
      <c r="Z4183" s="75"/>
      <c r="AA4183" s="75" t="str">
        <f>IF(AND(MONTH(E4183)='IN-NX'!$J$5,'IN-NX'!$D$7=D4183),"x","")</f>
        <v/>
      </c>
      <c r="AB4183" s="75" t="str">
        <f>IF(AND(OR(LEFT(TH!N5201,2)="15",LEFT(TH!O5201,2)="15"),LEFT(TH!O5201,3)&lt;&gt;"111",'152-CT'!$J$8=TH!F5201),"x","")</f>
        <v/>
      </c>
      <c r="AC4183" s="75" t="str">
        <f>IF(AND(OR(LEFT(TH!N5201,2)="15",LEFT(TH!O5201,2)="15"),TK!$E$7=TH!F5201),"x","")</f>
        <v/>
      </c>
      <c r="AD4183" s="75" t="str">
        <f>IF(AND(N4183="1521",MONTH(C4183)='BK-NL'!$M$11),"x","")</f>
        <v/>
      </c>
    </row>
    <row r="4184" spans="1:30" ht="16.5" customHeight="1">
      <c r="A4184" s="309" t="str">
        <f>IF(B4184&lt;&gt;"",IF(AND(B4184='IN-TC'!$S$4,OR(TH!N4180="1111",TH!O4180="1111")),TH!D4180,""),"")</f>
        <v/>
      </c>
      <c r="B4184" s="1242">
        <f t="shared" si="1316"/>
        <v>5</v>
      </c>
      <c r="C4184" s="292">
        <f t="shared" si="1315"/>
        <v>42880</v>
      </c>
      <c r="D4184" s="292" t="s">
        <v>1973</v>
      </c>
      <c r="E4184" s="929">
        <v>42880</v>
      </c>
      <c r="F4184" s="73" t="s">
        <v>1165</v>
      </c>
      <c r="G4184" s="931" t="s">
        <v>1477</v>
      </c>
      <c r="H4184" s="296" t="s">
        <v>796</v>
      </c>
      <c r="I4184" s="371"/>
      <c r="J4184" s="932"/>
      <c r="K4184" s="371"/>
      <c r="L4184" s="377"/>
      <c r="M4184" s="933">
        <v>19650400</v>
      </c>
      <c r="N4184" s="934" t="s">
        <v>8</v>
      </c>
      <c r="O4184" s="934" t="s">
        <v>63</v>
      </c>
      <c r="P4184" s="75" t="str">
        <f>IF(AND('331-CT'!$E$7=TH!H3670,OR(N4184="331",O4184="331")),"x","")</f>
        <v/>
      </c>
      <c r="Q4184" s="75" t="str">
        <f>IF(AND(B4184='111'!$L$11,OR($N4184=$Q$7,$O4184=$Q$7)),"x","")</f>
        <v/>
      </c>
      <c r="R4184" s="75" t="str">
        <f>IF(AND($N4184=$Q$7,$B4184&lt;'111'!$L$11),"x","")</f>
        <v/>
      </c>
      <c r="S4184" s="75" t="str">
        <f>IF(AND($O4184=$Q$7,$B4184&lt;'111'!$L$11),"x","")</f>
        <v>x</v>
      </c>
      <c r="T4184" s="75" t="str">
        <f>IF(ISERROR(FIND('112'!$M$9,G4184,1)),"",IF((AND(FIND('112'!$M$9,G4184,1)&gt;=1,B4184='112'!$K$9,OR($N4184='112'!$I$6,$O4184='112'!$I$6))),"x",""))</f>
        <v/>
      </c>
      <c r="U4184" s="75" t="str">
        <f>IF(ISERROR(FIND('112'!$M$9,G4184,1)),"",IF((AND(LEFT(G4184,2)=LEFT('112'!$M$9,2),B4184&lt;'112'!$K$9,$N4184='112'!$I$6)),"x",""))</f>
        <v/>
      </c>
      <c r="V4184" s="75" t="str">
        <f>IF(ISERROR(FIND('112'!$M$9,G4184,1)),"",IF((AND(RIGHT(G4184,2)=RIGHT('112'!$M$9,2),B4184&lt;'112'!$K$9,$O4184='112'!$I$6)),"x",""))</f>
        <v/>
      </c>
      <c r="W4184" s="75" t="str">
        <f>IF(AND('341-CT'!$H$9=H4184,OR(LEFT(N4184,3)=$W$7,LEFT(O4184,3)=$W$7)),"x","")</f>
        <v/>
      </c>
      <c r="X4184" s="75" t="str">
        <f>IF(OR(TH!N3670=TH!$X$7,O4184=TH!$X$7),"x","")</f>
        <v/>
      </c>
      <c r="Y4184" s="75" t="str">
        <f>IF(AND(OR(N4184="131",O4184="131"),H4184='131-CT'!$H$9),"x","")</f>
        <v/>
      </c>
      <c r="Z4184" s="75"/>
      <c r="AA4184" s="75" t="str">
        <f>IF(AND(MONTH(E4184)='IN-NX'!$J$5,'IN-NX'!$D$7=D4184),"x","")</f>
        <v/>
      </c>
      <c r="AB4184" s="75" t="str">
        <f>IF(AND(OR(LEFT(TH!N3670,2)="15",LEFT(TH!O3670,2)="15"),LEFT(TH!O3670,3)&lt;&gt;"111",'152-CT'!$J$8=TH!F3670),"x","")</f>
        <v/>
      </c>
      <c r="AC4184" s="75" t="str">
        <f>IF(AND(OR(LEFT(TH!N3670,2)="15",LEFT(TH!O3670,2)="15"),TK!$E$7=TH!F3670),"x","")</f>
        <v/>
      </c>
      <c r="AD4184" s="75" t="str">
        <f>IF(AND(N4184="1521",MONTH(C4184)='BK-NL'!$M$11),"x","")</f>
        <v/>
      </c>
    </row>
    <row r="4185" spans="1:30" ht="16.5" customHeight="1">
      <c r="A4185" s="309" t="str">
        <f>IF(B4185&lt;&gt;"",IF(AND(B4185='IN-TC'!$S$4,OR(TH!N4181="1111",TH!O4181="1111")),TH!D4181,""),"")</f>
        <v/>
      </c>
      <c r="B4185" s="1242">
        <f t="shared" si="1316"/>
        <v>5</v>
      </c>
      <c r="C4185" s="292">
        <f t="shared" si="1315"/>
        <v>42880</v>
      </c>
      <c r="D4185" s="292" t="s">
        <v>1975</v>
      </c>
      <c r="E4185" s="292">
        <v>42880</v>
      </c>
      <c r="F4185" s="67" t="s">
        <v>1518</v>
      </c>
      <c r="G4185" s="925" t="s">
        <v>1520</v>
      </c>
      <c r="H4185" s="294" t="s">
        <v>941</v>
      </c>
      <c r="I4185" s="373"/>
      <c r="J4185" s="926"/>
      <c r="K4185" s="373"/>
      <c r="L4185" s="379"/>
      <c r="M4185" s="927">
        <v>5188740</v>
      </c>
      <c r="N4185" s="295" t="s">
        <v>101</v>
      </c>
      <c r="O4185" s="295" t="s">
        <v>63</v>
      </c>
      <c r="P4185" s="75" t="str">
        <f>IF(AND('331-CT'!$E$7=TH!H3671,OR(N4185="331",O4185="331")),"x","")</f>
        <v/>
      </c>
      <c r="Q4185" s="75" t="str">
        <f>IF(AND(B4185='111'!$L$11,OR($N4185=$Q$7,$O4185=$Q$7)),"x","")</f>
        <v/>
      </c>
      <c r="R4185" s="75" t="str">
        <f>IF(AND($N4185=$Q$7,$B4185&lt;'111'!$L$11),"x","")</f>
        <v/>
      </c>
      <c r="S4185" s="75" t="str">
        <f>IF(AND($O4185=$Q$7,$B4185&lt;'111'!$L$11),"x","")</f>
        <v>x</v>
      </c>
      <c r="T4185" s="75" t="str">
        <f>IF(ISERROR(FIND('112'!$M$9,G4185,1)),"",IF((AND(FIND('112'!$M$9,G4185,1)&gt;=1,B4185='112'!$K$9,OR($N4185='112'!$I$6,$O4185='112'!$I$6))),"x",""))</f>
        <v/>
      </c>
      <c r="U4185" s="75" t="str">
        <f>IF(ISERROR(FIND('112'!$M$9,G4185,1)),"",IF((AND(LEFT(G4185,2)=LEFT('112'!$M$9,2),B4185&lt;'112'!$K$9,$N4185='112'!$I$6)),"x",""))</f>
        <v/>
      </c>
      <c r="V4185" s="75" t="str">
        <f>IF(ISERROR(FIND('112'!$M$9,G4185,1)),"",IF((AND(RIGHT(G4185,2)=RIGHT('112'!$M$9,2),B4185&lt;'112'!$K$9,$O4185='112'!$I$6)),"x",""))</f>
        <v/>
      </c>
      <c r="W4185" s="75" t="str">
        <f>IF(AND('341-CT'!$H$9=H4185,OR(LEFT(N4185,3)=$W$7,LEFT(O4185,3)=$W$7)),"x","")</f>
        <v/>
      </c>
      <c r="X4185" s="75" t="str">
        <f>IF(OR(TH!N3671=TH!$X$7,O4185=TH!$X$7),"x","")</f>
        <v/>
      </c>
      <c r="Y4185" s="75" t="str">
        <f>IF(AND(OR(N4185="131",O4185="131"),H4185='131-CT'!$H$9),"x","")</f>
        <v/>
      </c>
      <c r="Z4185" s="75"/>
      <c r="AA4185" s="75" t="str">
        <f>IF(AND(MONTH(E4185)='IN-NX'!$J$5,'IN-NX'!$D$7=D4185),"x","")</f>
        <v/>
      </c>
      <c r="AB4185" s="75" t="str">
        <f>IF(AND(OR(LEFT(TH!N3671,2)="15",LEFT(TH!O3671,2)="15"),LEFT(TH!O3671,3)&lt;&gt;"111",'152-CT'!$J$8=TH!F3671),"x","")</f>
        <v/>
      </c>
      <c r="AC4185" s="75" t="str">
        <f>IF(AND(OR(LEFT(TH!N3671,2)="15",LEFT(TH!O3671,2)="15"),TK!$E$7=TH!F3671),"x","")</f>
        <v/>
      </c>
      <c r="AD4185" s="75" t="str">
        <f>IF(AND(N4185="1521",MONTH(C4185)='BK-NL'!$M$11),"x","")</f>
        <v/>
      </c>
    </row>
    <row r="4186" spans="1:30" ht="16.5" customHeight="1">
      <c r="A4186" s="309" t="str">
        <f>IF(B4186&lt;&gt;"",IF(AND(B4186='IN-TC'!$S$4,OR(TH!N4182="1111",TH!O4182="1111")),TH!D4182,""),"")</f>
        <v/>
      </c>
      <c r="B4186" s="1242">
        <f t="shared" si="1316"/>
        <v>5</v>
      </c>
      <c r="C4186" s="292">
        <f t="shared" si="1315"/>
        <v>42880</v>
      </c>
      <c r="D4186" s="292" t="s">
        <v>1975</v>
      </c>
      <c r="E4186" s="292">
        <v>42880</v>
      </c>
      <c r="F4186" s="67" t="s">
        <v>1519</v>
      </c>
      <c r="G4186" s="925" t="s">
        <v>1520</v>
      </c>
      <c r="H4186" s="294" t="s">
        <v>941</v>
      </c>
      <c r="I4186" s="373"/>
      <c r="J4186" s="926"/>
      <c r="K4186" s="373"/>
      <c r="L4186" s="379"/>
      <c r="M4186" s="927">
        <v>518874</v>
      </c>
      <c r="N4186" s="295" t="s">
        <v>9</v>
      </c>
      <c r="O4186" s="295" t="s">
        <v>63</v>
      </c>
      <c r="P4186" s="75" t="str">
        <f>IF(AND('331-CT'!$E$7=TH!H3672,OR(N4186="331",O4186="331")),"x","")</f>
        <v/>
      </c>
      <c r="Q4186" s="75" t="str">
        <f>IF(AND(B4186='111'!$L$11,OR($N4186=$Q$7,$O4186=$Q$7)),"x","")</f>
        <v/>
      </c>
      <c r="R4186" s="75" t="str">
        <f>IF(AND($N4186=$Q$7,$B4186&lt;'111'!$L$11),"x","")</f>
        <v/>
      </c>
      <c r="S4186" s="75" t="str">
        <f>IF(AND($O4186=$Q$7,$B4186&lt;'111'!$L$11),"x","")</f>
        <v>x</v>
      </c>
      <c r="T4186" s="75" t="str">
        <f>IF(ISERROR(FIND('112'!$M$9,G4186,1)),"",IF((AND(FIND('112'!$M$9,G4186,1)&gt;=1,B4186='112'!$K$9,OR($N4186='112'!$I$6,$O4186='112'!$I$6))),"x",""))</f>
        <v/>
      </c>
      <c r="U4186" s="75" t="str">
        <f>IF(ISERROR(FIND('112'!$M$9,G4186,1)),"",IF((AND(LEFT(G4186,2)=LEFT('112'!$M$9,2),B4186&lt;'112'!$K$9,$N4186='112'!$I$6)),"x",""))</f>
        <v/>
      </c>
      <c r="V4186" s="75" t="str">
        <f>IF(ISERROR(FIND('112'!$M$9,G4186,1)),"",IF((AND(RIGHT(G4186,2)=RIGHT('112'!$M$9,2),B4186&lt;'112'!$K$9,$O4186='112'!$I$6)),"x",""))</f>
        <v/>
      </c>
      <c r="W4186" s="75" t="str">
        <f>IF(AND('341-CT'!$H$9=H4186,OR(LEFT(N4186,3)=$W$7,LEFT(O4186,3)=$W$7)),"x","")</f>
        <v/>
      </c>
      <c r="X4186" s="75" t="str">
        <f>IF(OR(TH!N3672=TH!$X$7,O4186=TH!$X$7),"x","")</f>
        <v/>
      </c>
      <c r="Y4186" s="75" t="str">
        <f>IF(AND(OR(N4186="131",O4186="131"),H4186='131-CT'!$H$9),"x","")</f>
        <v/>
      </c>
      <c r="Z4186" s="75"/>
      <c r="AA4186" s="75" t="str">
        <f>IF(AND(MONTH(E4186)='IN-NX'!$J$5,'IN-NX'!$D$7=D4186),"x","")</f>
        <v/>
      </c>
      <c r="AB4186" s="75" t="str">
        <f>IF(AND(OR(LEFT(TH!N3672,2)="15",LEFT(TH!O3672,2)="15"),LEFT(TH!O3672,3)&lt;&gt;"111",'152-CT'!$J$8=TH!F3672),"x","")</f>
        <v/>
      </c>
      <c r="AC4186" s="75" t="str">
        <f>IF(AND(OR(LEFT(TH!N3672,2)="15",LEFT(TH!O3672,2)="15"),TK!$E$7=TH!F3672),"x","")</f>
        <v/>
      </c>
      <c r="AD4186" s="75" t="str">
        <f>IF(AND(N4186="1521",MONTH(C4186)='BK-NL'!$M$11),"x","")</f>
        <v/>
      </c>
    </row>
    <row r="4187" spans="1:30" ht="16.5" customHeight="1">
      <c r="A4187" s="309" t="str">
        <f>IF(B4187&lt;&gt;"",IF(AND(B4187='IN-TC'!$S$4,OR(TH!N4183="1111",TH!O4183="1111")),TH!D4183,""),"")</f>
        <v/>
      </c>
      <c r="B4187" s="1242">
        <f t="shared" si="1316"/>
        <v>5</v>
      </c>
      <c r="C4187" s="292">
        <f t="shared" si="1315"/>
        <v>42880</v>
      </c>
      <c r="D4187" s="292" t="s">
        <v>1976</v>
      </c>
      <c r="E4187" s="292">
        <v>42880</v>
      </c>
      <c r="F4187" s="67" t="s">
        <v>1521</v>
      </c>
      <c r="G4187" s="925" t="s">
        <v>1522</v>
      </c>
      <c r="H4187" s="294" t="s">
        <v>561</v>
      </c>
      <c r="I4187" s="373"/>
      <c r="J4187" s="926"/>
      <c r="K4187" s="373"/>
      <c r="L4187" s="379"/>
      <c r="M4187" s="927">
        <v>1200000</v>
      </c>
      <c r="N4187" s="295" t="s">
        <v>539</v>
      </c>
      <c r="O4187" s="295" t="s">
        <v>63</v>
      </c>
      <c r="P4187" s="75" t="str">
        <f>IF(AND('331-CT'!$E$7=TH!H3673,OR(N4187="331",O4187="331")),"x","")</f>
        <v/>
      </c>
      <c r="Q4187" s="75" t="str">
        <f>IF(AND(B4187='111'!$L$11,OR($N4187=$Q$7,$O4187=$Q$7)),"x","")</f>
        <v/>
      </c>
      <c r="R4187" s="75" t="str">
        <f>IF(AND($N4187=$Q$7,$B4187&lt;'111'!$L$11),"x","")</f>
        <v/>
      </c>
      <c r="S4187" s="75" t="str">
        <f>IF(AND($O4187=$Q$7,$B4187&lt;'111'!$L$11),"x","")</f>
        <v>x</v>
      </c>
      <c r="T4187" s="75" t="str">
        <f>IF(ISERROR(FIND('112'!$M$9,G4187,1)),"",IF((AND(FIND('112'!$M$9,G4187,1)&gt;=1,B4187='112'!$K$9,OR($N4187='112'!$I$6,$O4187='112'!$I$6))),"x",""))</f>
        <v/>
      </c>
      <c r="U4187" s="75" t="str">
        <f>IF(ISERROR(FIND('112'!$M$9,G4187,1)),"",IF((AND(LEFT(G4187,2)=LEFT('112'!$M$9,2),B4187&lt;'112'!$K$9,$N4187='112'!$I$6)),"x",""))</f>
        <v/>
      </c>
      <c r="V4187" s="75" t="str">
        <f>IF(ISERROR(FIND('112'!$M$9,G4187,1)),"",IF((AND(RIGHT(G4187,2)=RIGHT('112'!$M$9,2),B4187&lt;'112'!$K$9,$O4187='112'!$I$6)),"x",""))</f>
        <v/>
      </c>
      <c r="W4187" s="75" t="str">
        <f>IF(AND('341-CT'!$H$9=H4187,OR(LEFT(N4187,3)=$W$7,LEFT(O4187,3)=$W$7)),"x","")</f>
        <v/>
      </c>
      <c r="X4187" s="75" t="str">
        <f>IF(OR(TH!N3673=TH!$X$7,O4187=TH!$X$7),"x","")</f>
        <v/>
      </c>
      <c r="Y4187" s="75" t="str">
        <f>IF(AND(OR(N4187="131",O4187="131"),H4187='131-CT'!$H$9),"x","")</f>
        <v/>
      </c>
      <c r="Z4187" s="75"/>
      <c r="AA4187" s="75" t="str">
        <f>IF(AND(MONTH(E4187)='IN-NX'!$J$5,'IN-NX'!$D$7=D4187),"x","")</f>
        <v/>
      </c>
      <c r="AB4187" s="75" t="str">
        <f>IF(AND(OR(LEFT(TH!N3673,2)="15",LEFT(TH!O3673,2)="15"),LEFT(TH!O3673,3)&lt;&gt;"111",'152-CT'!$J$8=TH!F3673),"x","")</f>
        <v/>
      </c>
      <c r="AC4187" s="75" t="str">
        <f>IF(AND(OR(LEFT(TH!N3673,2)="15",LEFT(TH!O3673,2)="15"),TK!$E$7=TH!F3673),"x","")</f>
        <v/>
      </c>
      <c r="AD4187" s="75" t="str">
        <f>IF(AND(N4187="1521",MONTH(C4187)='BK-NL'!$M$11),"x","")</f>
        <v/>
      </c>
    </row>
    <row r="4188" spans="1:30" ht="16.5" customHeight="1">
      <c r="A4188" s="309" t="str">
        <f>IF(B4188&lt;&gt;"",IF(AND(B4188='IN-TC'!$S$4,OR(TH!N4184="1111",TH!O4184="1111")),TH!D4184,""),"")</f>
        <v/>
      </c>
      <c r="B4188" s="1242">
        <f t="shared" si="1316"/>
        <v>5</v>
      </c>
      <c r="C4188" s="292">
        <f t="shared" si="1315"/>
        <v>42880</v>
      </c>
      <c r="D4188" s="292" t="s">
        <v>853</v>
      </c>
      <c r="E4188" s="292">
        <v>42880</v>
      </c>
      <c r="F4188" s="293" t="s">
        <v>834</v>
      </c>
      <c r="G4188" s="943" t="s">
        <v>747</v>
      </c>
      <c r="H4188" s="67" t="s">
        <v>1023</v>
      </c>
      <c r="I4188" s="373"/>
      <c r="J4188" s="926"/>
      <c r="K4188" s="373"/>
      <c r="L4188" s="379"/>
      <c r="M4188" s="927">
        <v>1190000000</v>
      </c>
      <c r="N4188" s="295" t="s">
        <v>63</v>
      </c>
      <c r="O4188" s="295" t="s">
        <v>26</v>
      </c>
      <c r="P4188" s="75" t="str">
        <f>IF(AND('331-CT'!$E$7=TH!H5202,OR(N4188="331",O4188="331")),"x","")</f>
        <v/>
      </c>
      <c r="Q4188" s="75" t="str">
        <f>IF(AND(B4188='111'!$L$11,OR($N4188=$Q$7,$O4188=$Q$7)),"x","")</f>
        <v/>
      </c>
      <c r="R4188" s="75" t="str">
        <f>IF(AND($N4188=$Q$7,$B4188&lt;'111'!$L$11),"x","")</f>
        <v>x</v>
      </c>
      <c r="S4188" s="75" t="str">
        <f>IF(AND($O4188=$Q$7,$B4188&lt;'111'!$L$11),"x","")</f>
        <v/>
      </c>
      <c r="T4188" s="75" t="str">
        <f>IF(ISERROR(FIND('112'!$M$9,G4188,1)),"",IF((AND(FIND('112'!$M$9,G4188,1)&gt;=1,B4188='112'!$K$9,OR($N4188='112'!$I$6,$O4188='112'!$I$6))),"x",""))</f>
        <v/>
      </c>
      <c r="U4188" s="75" t="str">
        <f>IF(ISERROR(FIND('112'!$M$9,G4188,1)),"",IF((AND(LEFT(G4188,2)=LEFT('112'!$M$9,2),B4188&lt;'112'!$K$9,$N4188='112'!$I$6)),"x",""))</f>
        <v/>
      </c>
      <c r="V4188" s="75" t="str">
        <f>IF(ISERROR(FIND('112'!$M$9,G4188,1)),"",IF((AND(RIGHT(G4188,2)=RIGHT('112'!$M$9,2),B4188&lt;'112'!$K$9,$O4188='112'!$I$6)),"x",""))</f>
        <v/>
      </c>
      <c r="W4188" s="75" t="str">
        <f>IF(AND('341-CT'!$H$9=H4188,OR(LEFT(N4188,3)=$W$7,LEFT(O4188,3)=$W$7)),"x","")</f>
        <v/>
      </c>
      <c r="X4188" s="75" t="str">
        <f>IF(OR(TH!N5202=TH!$X$7,O4188=TH!$X$7),"x","")</f>
        <v/>
      </c>
      <c r="Y4188" s="75" t="str">
        <f>IF(AND(OR(N4188="131",O4188="131"),H4188='131-CT'!$H$9),"x","")</f>
        <v/>
      </c>
      <c r="Z4188" s="75"/>
      <c r="AA4188" s="75" t="str">
        <f>IF(AND(MONTH(E4188)='IN-NX'!$J$5,'IN-NX'!$D$7=D4188),"x","")</f>
        <v/>
      </c>
      <c r="AB4188" s="75" t="str">
        <f>IF(AND(OR(LEFT(TH!N5202,2)="15",LEFT(TH!O5202,2)="15"),LEFT(TH!O5202,3)&lt;&gt;"111",'152-CT'!$J$8=TH!F5202),"x","")</f>
        <v/>
      </c>
      <c r="AC4188" s="75" t="str">
        <f>IF(AND(OR(LEFT(TH!N5202,2)="15",LEFT(TH!O5202,2)="15"),TK!$E$7=TH!F5202),"x","")</f>
        <v/>
      </c>
      <c r="AD4188" s="75" t="str">
        <f>IF(AND(N4188="1521",MONTH(C4188)='BK-NL'!$M$11),"x","")</f>
        <v/>
      </c>
    </row>
    <row r="4189" spans="1:30" ht="16.5" customHeight="1">
      <c r="A4189" s="309" t="str">
        <f>IF(B4189&lt;&gt;"",IF(AND(B4189='IN-TC'!$S$4,OR(TH!N4185="1111",TH!O4185="1111")),TH!D4185,""),"")</f>
        <v/>
      </c>
      <c r="B4189" s="1242">
        <f t="shared" si="1316"/>
        <v>5</v>
      </c>
      <c r="C4189" s="292">
        <f t="shared" si="1315"/>
        <v>42880</v>
      </c>
      <c r="D4189" s="59" t="s">
        <v>903</v>
      </c>
      <c r="E4189" s="59">
        <v>42880</v>
      </c>
      <c r="F4189" s="293" t="s">
        <v>2440</v>
      </c>
      <c r="G4189" s="293" t="s">
        <v>747</v>
      </c>
      <c r="H4189" s="294" t="s">
        <v>2454</v>
      </c>
      <c r="I4189" s="373"/>
      <c r="J4189" s="379"/>
      <c r="K4189" s="373">
        <v>50000</v>
      </c>
      <c r="L4189" s="379">
        <v>22665</v>
      </c>
      <c r="M4189" s="60">
        <v>1133250000</v>
      </c>
      <c r="N4189" s="61" t="s">
        <v>26</v>
      </c>
      <c r="O4189" s="61" t="s">
        <v>250</v>
      </c>
      <c r="P4189" s="75" t="str">
        <f>IF(AND('331-CT'!$E$7=TH!H5203,OR(N4189="331",O4189="331")),"x","")</f>
        <v/>
      </c>
      <c r="Q4189" s="75" t="str">
        <f>IF(AND(B4189='111'!$L$11,OR($N4189=$Q$7,$O4189=$Q$7)),"x","")</f>
        <v/>
      </c>
      <c r="R4189" s="75" t="str">
        <f>IF(AND($N4189=$Q$7,$B4189&lt;'111'!$L$11),"x","")</f>
        <v/>
      </c>
      <c r="S4189" s="75" t="str">
        <f>IF(AND($O4189=$Q$7,$B4189&lt;'111'!$L$11),"x","")</f>
        <v/>
      </c>
      <c r="T4189" s="75" t="str">
        <f>IF(ISERROR(FIND('112'!$M$9,G4189,1)),"",IF((AND(FIND('112'!$M$9,G4189,1)&gt;=1,B4189='112'!$K$9,OR($N4189='112'!$I$6,$O4189='112'!$I$6))),"x",""))</f>
        <v/>
      </c>
      <c r="U4189" s="75" t="str">
        <f>IF(ISERROR(FIND('112'!$M$9,G4189,1)),"",IF((AND(LEFT(G4189,2)=LEFT('112'!$M$9,2),B4189&lt;'112'!$K$9,$N4189='112'!$I$6)),"x",""))</f>
        <v/>
      </c>
      <c r="V4189" s="75" t="str">
        <f>IF(ISERROR(FIND('112'!$M$9,G4189,1)),"",IF((AND(RIGHT(G4189,2)=RIGHT('112'!$M$9,2),B4189&lt;'112'!$K$9,$O4189='112'!$I$6)),"x",""))</f>
        <v/>
      </c>
      <c r="W4189" s="75" t="str">
        <f>IF(AND('341-CT'!$H$9=H4189,OR(LEFT(N4189,3)=$W$7,LEFT(O4189,3)=$W$7)),"x","")</f>
        <v/>
      </c>
      <c r="X4189" s="75" t="str">
        <f>IF(OR(TH!N5203=TH!$X$7,O4189=TH!$X$7),"x","")</f>
        <v/>
      </c>
      <c r="Y4189" s="75" t="str">
        <f>IF(AND(OR(N4189="131",O4189="131"),H4189='131-CT'!$H$9),"x","")</f>
        <v/>
      </c>
      <c r="Z4189" s="75"/>
      <c r="AA4189" s="75" t="str">
        <f>IF(AND(MONTH(E4189)='IN-NX'!$J$5,'IN-NX'!$D$7=D4189),"x","")</f>
        <v/>
      </c>
      <c r="AB4189" s="75" t="str">
        <f>IF(AND(OR(LEFT(TH!N5203,2)="15",LEFT(TH!O5203,2)="15"),LEFT(TH!O5203,3)&lt;&gt;"111",'152-CT'!$J$8=TH!F5203),"x","")</f>
        <v/>
      </c>
      <c r="AC4189" s="75" t="str">
        <f>IF(AND(OR(LEFT(TH!N5203,2)="15",LEFT(TH!O5203,2)="15"),TK!$E$7=TH!F5203),"x","")</f>
        <v/>
      </c>
      <c r="AD4189" s="75" t="str">
        <f>IF(AND(N4189="1521",MONTH(C4189)='BK-NL'!$M$11),"x","")</f>
        <v/>
      </c>
    </row>
    <row r="4190" spans="1:30" ht="16.5" customHeight="1">
      <c r="A4190" s="309" t="str">
        <f>IF(B4190&lt;&gt;"",IF(AND(B4190='IN-TC'!$S$4,OR(TH!N4186="1111",TH!O4186="1111")),TH!D4186,""),"")</f>
        <v/>
      </c>
      <c r="B4190" s="1242">
        <f t="shared" si="1316"/>
        <v>5</v>
      </c>
      <c r="C4190" s="292">
        <f t="shared" si="1315"/>
        <v>42881</v>
      </c>
      <c r="D4190" s="292" t="s">
        <v>854</v>
      </c>
      <c r="E4190" s="292">
        <v>42881</v>
      </c>
      <c r="F4190" s="293" t="s">
        <v>1086</v>
      </c>
      <c r="G4190" s="943"/>
      <c r="H4190" s="311" t="s">
        <v>1101</v>
      </c>
      <c r="I4190" s="373"/>
      <c r="J4190" s="926"/>
      <c r="K4190" s="373"/>
      <c r="L4190" s="379"/>
      <c r="M4190" s="927">
        <v>1760000</v>
      </c>
      <c r="N4190" s="295" t="s">
        <v>63</v>
      </c>
      <c r="O4190" s="295" t="s">
        <v>536</v>
      </c>
      <c r="P4190" s="75" t="str">
        <f>IF(AND('331-CT'!$E$7=TH!H3623,OR(N4190="331",O4190="331")),"x","")</f>
        <v/>
      </c>
      <c r="Q4190" s="75" t="str">
        <f>IF(AND(B4190='111'!$L$11,OR($N4190=$Q$7,$O4190=$Q$7)),"x","")</f>
        <v/>
      </c>
      <c r="R4190" s="75" t="str">
        <f>IF(AND($N4190=$Q$7,$B4190&lt;'111'!$L$11),"x","")</f>
        <v>x</v>
      </c>
      <c r="S4190" s="75" t="str">
        <f>IF(AND($O4190=$Q$7,$B4190&lt;'111'!$L$11),"x","")</f>
        <v/>
      </c>
      <c r="T4190" s="75" t="str">
        <f>IF(ISERROR(FIND('112'!$M$9,G4190,1)),"",IF((AND(FIND('112'!$M$9,G4190,1)&gt;=1,B4190='112'!$K$9,OR($N4190='112'!$I$6,$O4190='112'!$I$6))),"x",""))</f>
        <v/>
      </c>
      <c r="U4190" s="75" t="str">
        <f>IF(ISERROR(FIND('112'!$M$9,G4190,1)),"",IF((AND(LEFT(G4190,2)=LEFT('112'!$M$9,2),B4190&lt;'112'!$K$9,$N4190='112'!$I$6)),"x",""))</f>
        <v/>
      </c>
      <c r="V4190" s="75" t="str">
        <f>IF(ISERROR(FIND('112'!$M$9,G4190,1)),"",IF((AND(RIGHT(G4190,2)=RIGHT('112'!$M$9,2),B4190&lt;'112'!$K$9,$O4190='112'!$I$6)),"x",""))</f>
        <v/>
      </c>
      <c r="W4190" s="75" t="str">
        <f>IF(AND('341-CT'!$H$9=H4190,OR(LEFT(N4190,3)=$W$7,LEFT(O4190,3)=$W$7)),"x","")</f>
        <v/>
      </c>
      <c r="X4190" s="75" t="str">
        <f>IF(OR(TH!N3623=TH!$X$7,O4190=TH!$X$7),"x","")</f>
        <v/>
      </c>
      <c r="Y4190" s="75" t="str">
        <f>IF(AND(OR(N4190="131",O4190="131"),H4190='131-CT'!$H$9),"x","")</f>
        <v/>
      </c>
      <c r="Z4190" s="75"/>
      <c r="AA4190" s="75" t="str">
        <f>IF(AND(MONTH(E4190)='IN-NX'!$J$5,'IN-NX'!$D$7=D4190),"x","")</f>
        <v/>
      </c>
      <c r="AB4190" s="75" t="str">
        <f>IF(AND(OR(LEFT(TH!N3623,2)="15",LEFT(TH!O3623,2)="15"),LEFT(TH!O3623,3)&lt;&gt;"111",'152-CT'!$J$8=TH!F3623),"x","")</f>
        <v/>
      </c>
      <c r="AC4190" s="75" t="str">
        <f>IF(AND(OR(LEFT(TH!N3623,2)="15",LEFT(TH!O3623,2)="15"),TK!$E$7=TH!F3623),"x","")</f>
        <v/>
      </c>
      <c r="AD4190" s="75" t="str">
        <f>IF(AND(N4190="1521",MONTH(C4190)='BK-NL'!$M$11),"x","")</f>
        <v/>
      </c>
    </row>
    <row r="4191" spans="1:30" ht="16.5" customHeight="1">
      <c r="A4191" s="309" t="str">
        <f>IF(B4191&lt;&gt;"",IF(AND(B4191='IN-TC'!$S$4,OR(TH!N4187="1111",TH!O4187="1111")),TH!D4187,""),"")</f>
        <v/>
      </c>
      <c r="B4191" s="1242">
        <f t="shared" si="1316"/>
        <v>5</v>
      </c>
      <c r="C4191" s="292">
        <f t="shared" si="1315"/>
        <v>42881</v>
      </c>
      <c r="D4191" s="292" t="s">
        <v>1977</v>
      </c>
      <c r="E4191" s="929">
        <v>42881</v>
      </c>
      <c r="F4191" s="73" t="s">
        <v>1165</v>
      </c>
      <c r="G4191" s="931" t="s">
        <v>1478</v>
      </c>
      <c r="H4191" s="296" t="s">
        <v>796</v>
      </c>
      <c r="I4191" s="371"/>
      <c r="J4191" s="932"/>
      <c r="K4191" s="371"/>
      <c r="L4191" s="377"/>
      <c r="M4191" s="933">
        <v>19650400</v>
      </c>
      <c r="N4191" s="934" t="s">
        <v>8</v>
      </c>
      <c r="O4191" s="934" t="s">
        <v>63</v>
      </c>
      <c r="P4191" s="75" t="str">
        <f>IF(AND('331-CT'!$E$7=TH!H3674,OR(N4191="331",O4191="331")),"x","")</f>
        <v/>
      </c>
      <c r="Q4191" s="75" t="str">
        <f>IF(AND(B4191='111'!$L$11,OR($N4191=$Q$7,$O4191=$Q$7)),"x","")</f>
        <v/>
      </c>
      <c r="R4191" s="75" t="str">
        <f>IF(AND($N4191=$Q$7,$B4191&lt;'111'!$L$11),"x","")</f>
        <v/>
      </c>
      <c r="S4191" s="75" t="str">
        <f>IF(AND($O4191=$Q$7,$B4191&lt;'111'!$L$11),"x","")</f>
        <v>x</v>
      </c>
      <c r="T4191" s="75" t="str">
        <f>IF(ISERROR(FIND('112'!$M$9,G4191,1)),"",IF((AND(FIND('112'!$M$9,G4191,1)&gt;=1,B4191='112'!$K$9,OR($N4191='112'!$I$6,$O4191='112'!$I$6))),"x",""))</f>
        <v/>
      </c>
      <c r="U4191" s="75" t="str">
        <f>IF(ISERROR(FIND('112'!$M$9,G4191,1)),"",IF((AND(LEFT(G4191,2)=LEFT('112'!$M$9,2),B4191&lt;'112'!$K$9,$N4191='112'!$I$6)),"x",""))</f>
        <v/>
      </c>
      <c r="V4191" s="75" t="str">
        <f>IF(ISERROR(FIND('112'!$M$9,G4191,1)),"",IF((AND(RIGHT(G4191,2)=RIGHT('112'!$M$9,2),B4191&lt;'112'!$K$9,$O4191='112'!$I$6)),"x",""))</f>
        <v/>
      </c>
      <c r="W4191" s="75" t="str">
        <f>IF(AND('341-CT'!$H$9=H4191,OR(LEFT(N4191,3)=$W$7,LEFT(O4191,3)=$W$7)),"x","")</f>
        <v/>
      </c>
      <c r="X4191" s="75" t="str">
        <f>IF(OR(TH!N3674=TH!$X$7,O4191=TH!$X$7),"x","")</f>
        <v/>
      </c>
      <c r="Y4191" s="75" t="str">
        <f>IF(AND(OR(N4191="131",O4191="131"),H4191='131-CT'!$H$9),"x","")</f>
        <v/>
      </c>
      <c r="Z4191" s="75"/>
      <c r="AA4191" s="75" t="str">
        <f>IF(AND(MONTH(E4191)='IN-NX'!$J$5,'IN-NX'!$D$7=D4191),"x","")</f>
        <v/>
      </c>
      <c r="AB4191" s="75" t="str">
        <f>IF(AND(OR(LEFT(TH!N3674,2)="15",LEFT(TH!O3674,2)="15"),LEFT(TH!O3674,3)&lt;&gt;"111",'152-CT'!$J$8=TH!F3674),"x","")</f>
        <v/>
      </c>
      <c r="AC4191" s="75" t="str">
        <f>IF(AND(OR(LEFT(TH!N3674,2)="15",LEFT(TH!O3674,2)="15"),TK!$E$7=TH!F3674),"x","")</f>
        <v/>
      </c>
      <c r="AD4191" s="75" t="str">
        <f>IF(AND(N4191="1521",MONTH(C4191)='BK-NL'!$M$11),"x","")</f>
        <v/>
      </c>
    </row>
    <row r="4192" spans="1:30" ht="16.5" customHeight="1">
      <c r="A4192" s="309" t="str">
        <f>IF(B4192&lt;&gt;"",IF(AND(B4192='IN-TC'!$S$4,OR(TH!N4188="1111",TH!O4188="1111")),TH!D4188,""),"")</f>
        <v/>
      </c>
      <c r="B4192" s="1242">
        <f t="shared" si="1316"/>
        <v>5</v>
      </c>
      <c r="C4192" s="292">
        <f t="shared" si="1315"/>
        <v>42881</v>
      </c>
      <c r="D4192" s="292" t="s">
        <v>902</v>
      </c>
      <c r="E4192" s="292">
        <v>42881</v>
      </c>
      <c r="F4192" s="67" t="s">
        <v>928</v>
      </c>
      <c r="G4192" s="293" t="s">
        <v>747</v>
      </c>
      <c r="H4192" s="294" t="s">
        <v>835</v>
      </c>
      <c r="I4192" s="373"/>
      <c r="J4192" s="379"/>
      <c r="K4192" s="373"/>
      <c r="L4192" s="379"/>
      <c r="M4192" s="60">
        <v>15000</v>
      </c>
      <c r="N4192" s="295" t="s">
        <v>101</v>
      </c>
      <c r="O4192" s="61" t="s">
        <v>26</v>
      </c>
      <c r="P4192" s="75" t="str">
        <f>IF(AND('331-CT'!$E$7=TH!H5204,OR(N4192="331",O4192="331")),"x","")</f>
        <v/>
      </c>
      <c r="Q4192" s="75" t="str">
        <f>IF(AND(B4192='111'!$L$11,OR($N4192=$Q$7,$O4192=$Q$7)),"x","")</f>
        <v/>
      </c>
      <c r="R4192" s="75" t="str">
        <f>IF(AND($N4192=$Q$7,$B4192&lt;'111'!$L$11),"x","")</f>
        <v/>
      </c>
      <c r="S4192" s="75" t="str">
        <f>IF(AND($O4192=$Q$7,$B4192&lt;'111'!$L$11),"x","")</f>
        <v/>
      </c>
      <c r="T4192" s="75" t="str">
        <f>IF(ISERROR(FIND('112'!$M$9,G4192,1)),"",IF((AND(FIND('112'!$M$9,G4192,1)&gt;=1,B4192='112'!$K$9,OR($N4192='112'!$I$6,$O4192='112'!$I$6))),"x",""))</f>
        <v/>
      </c>
      <c r="U4192" s="75" t="str">
        <f>IF(ISERROR(FIND('112'!$M$9,G4192,1)),"",IF((AND(LEFT(G4192,2)=LEFT('112'!$M$9,2),B4192&lt;'112'!$K$9,$N4192='112'!$I$6)),"x",""))</f>
        <v/>
      </c>
      <c r="V4192" s="75" t="str">
        <f>IF(ISERROR(FIND('112'!$M$9,G4192,1)),"",IF((AND(RIGHT(G4192,2)=RIGHT('112'!$M$9,2),B4192&lt;'112'!$K$9,$O4192='112'!$I$6)),"x",""))</f>
        <v/>
      </c>
      <c r="W4192" s="75" t="str">
        <f>IF(AND('341-CT'!$H$9=H4192,OR(LEFT(N4192,3)=$W$7,LEFT(O4192,3)=$W$7)),"x","")</f>
        <v/>
      </c>
      <c r="X4192" s="75" t="str">
        <f>IF(OR(TH!N5204=TH!$X$7,O4192=TH!$X$7),"x","")</f>
        <v/>
      </c>
      <c r="Y4192" s="75" t="str">
        <f>IF(AND(OR(N4192="131",O4192="131"),H4192='131-CT'!$H$9),"x","")</f>
        <v/>
      </c>
      <c r="Z4192" s="75"/>
      <c r="AA4192" s="75" t="str">
        <f>IF(AND(MONTH(E4192)='IN-NX'!$J$5,'IN-NX'!$D$7=D4192),"x","")</f>
        <v/>
      </c>
      <c r="AB4192" s="75" t="str">
        <f>IF(AND(OR(LEFT(TH!N5204,2)="15",LEFT(TH!O5204,2)="15"),LEFT(TH!O5204,3)&lt;&gt;"111",'152-CT'!$J$8=TH!F5204),"x","")</f>
        <v/>
      </c>
      <c r="AC4192" s="75" t="str">
        <f>IF(AND(OR(LEFT(TH!N5204,2)="15",LEFT(TH!O5204,2)="15"),TK!$E$7=TH!F5204),"x","")</f>
        <v/>
      </c>
      <c r="AD4192" s="75" t="str">
        <f>IF(AND(N4192="1521",MONTH(C4192)='BK-NL'!$M$11),"x","")</f>
        <v/>
      </c>
    </row>
    <row r="4193" spans="1:33" s="1054" customFormat="1" ht="16.5" customHeight="1">
      <c r="A4193" s="309" t="str">
        <f>IF(B4193&lt;&gt;"",IF(AND(B4193='IN-TC'!$S$4,OR(TH!N4189="1111",TH!O4189="1111")),TH!D4189,""),"")</f>
        <v/>
      </c>
      <c r="B4193" s="1242">
        <f t="shared" si="1316"/>
        <v>5</v>
      </c>
      <c r="C4193" s="292">
        <f t="shared" si="1315"/>
        <v>42881</v>
      </c>
      <c r="D4193" s="292" t="s">
        <v>902</v>
      </c>
      <c r="E4193" s="292">
        <v>42881</v>
      </c>
      <c r="F4193" s="1127" t="s">
        <v>929</v>
      </c>
      <c r="G4193" s="293" t="s">
        <v>747</v>
      </c>
      <c r="H4193" s="294" t="s">
        <v>835</v>
      </c>
      <c r="I4193" s="373"/>
      <c r="J4193" s="379"/>
      <c r="K4193" s="373"/>
      <c r="L4193" s="379"/>
      <c r="M4193" s="60">
        <v>1500</v>
      </c>
      <c r="N4193" s="295" t="s">
        <v>9</v>
      </c>
      <c r="O4193" s="61" t="s">
        <v>26</v>
      </c>
      <c r="P4193" s="75" t="str">
        <f>IF(AND('331-CT'!$E$7=TH!H5205,OR(N4193="331",O4193="331")),"x","")</f>
        <v/>
      </c>
      <c r="Q4193" s="75" t="str">
        <f>IF(AND(B4193='111'!$L$11,OR($N4193=$Q$7,$O4193=$Q$7)),"x","")</f>
        <v/>
      </c>
      <c r="R4193" s="75" t="str">
        <f>IF(AND($N4193=$Q$7,$B4193&lt;'111'!$L$11),"x","")</f>
        <v/>
      </c>
      <c r="S4193" s="75" t="str">
        <f>IF(AND($O4193=$Q$7,$B4193&lt;'111'!$L$11),"x","")</f>
        <v/>
      </c>
      <c r="T4193" s="75" t="str">
        <f>IF(ISERROR(FIND('112'!$M$9,G4193,1)),"",IF((AND(FIND('112'!$M$9,G4193,1)&gt;=1,B4193='112'!$K$9,OR($N4193='112'!$I$6,$O4193='112'!$I$6))),"x",""))</f>
        <v/>
      </c>
      <c r="U4193" s="75" t="str">
        <f>IF(ISERROR(FIND('112'!$M$9,G4193,1)),"",IF((AND(LEFT(G4193,2)=LEFT('112'!$M$9,2),B4193&lt;'112'!$K$9,$N4193='112'!$I$6)),"x",""))</f>
        <v/>
      </c>
      <c r="V4193" s="75" t="str">
        <f>IF(ISERROR(FIND('112'!$M$9,G4193,1)),"",IF((AND(RIGHT(G4193,2)=RIGHT('112'!$M$9,2),B4193&lt;'112'!$K$9,$O4193='112'!$I$6)),"x",""))</f>
        <v/>
      </c>
      <c r="W4193" s="75" t="str">
        <f>IF(AND('341-CT'!$H$9=H4193,OR(LEFT(N4193,3)=$W$7,LEFT(O4193,3)=$W$7)),"x","")</f>
        <v/>
      </c>
      <c r="X4193" s="75" t="str">
        <f>IF(OR(TH!N5205=TH!$X$7,O4193=TH!$X$7),"x","")</f>
        <v/>
      </c>
      <c r="Y4193" s="75" t="str">
        <f>IF(AND(OR(N4193="131",O4193="131"),H4193='131-CT'!$H$9),"x","")</f>
        <v/>
      </c>
      <c r="Z4193" s="75"/>
      <c r="AA4193" s="75" t="str">
        <f>IF(AND(MONTH(E4193)='IN-NX'!$J$5,'IN-NX'!$D$7=D4193),"x","")</f>
        <v/>
      </c>
      <c r="AB4193" s="75" t="str">
        <f>IF(AND(OR(LEFT(TH!N5205,2)="15",LEFT(TH!O5205,2)="15"),LEFT(TH!O5205,3)&lt;&gt;"111",'152-CT'!$J$8=TH!F5205),"x","")</f>
        <v/>
      </c>
      <c r="AC4193" s="75" t="str">
        <f>IF(AND(OR(LEFT(TH!N5205,2)="15",LEFT(TH!O5205,2)="15"),TK!$E$7=TH!F5205),"x","")</f>
        <v/>
      </c>
      <c r="AD4193" s="75" t="str">
        <f>IF(AND(N4193="1521",MONTH(C4193)='BK-NL'!$M$11),"x","")</f>
        <v/>
      </c>
      <c r="AE4193"/>
      <c r="AF4193"/>
      <c r="AG4193"/>
    </row>
    <row r="4194" spans="1:33" ht="16.5" customHeight="1">
      <c r="A4194" s="309" t="str">
        <f>IF(B4194&lt;&gt;"",IF(AND(B4194='IN-TC'!$S$4,OR(TH!N4190="1111",TH!O4190="1111")),TH!D4190,""),"")</f>
        <v/>
      </c>
      <c r="B4194" s="1242">
        <f t="shared" si="1316"/>
        <v>5</v>
      </c>
      <c r="C4194" s="292">
        <f t="shared" si="1315"/>
        <v>42882</v>
      </c>
      <c r="D4194" s="292" t="s">
        <v>1978</v>
      </c>
      <c r="E4194" s="292">
        <v>42882</v>
      </c>
      <c r="F4194" s="1127" t="s">
        <v>1523</v>
      </c>
      <c r="G4194" s="925" t="s">
        <v>1525</v>
      </c>
      <c r="H4194" s="294" t="s">
        <v>974</v>
      </c>
      <c r="I4194" s="373"/>
      <c r="J4194" s="926"/>
      <c r="K4194" s="373"/>
      <c r="L4194" s="379"/>
      <c r="M4194" s="927">
        <v>11500000</v>
      </c>
      <c r="N4194" s="295" t="s">
        <v>101</v>
      </c>
      <c r="O4194" s="295" t="s">
        <v>63</v>
      </c>
      <c r="P4194" s="75" t="str">
        <f>IF(AND('331-CT'!$E$7=TH!H3675,OR(N4194="331",O4194="331")),"x","")</f>
        <v/>
      </c>
      <c r="Q4194" s="75" t="str">
        <f>IF(AND(B4194='111'!$L$11,OR($N4194=$Q$7,$O4194=$Q$7)),"x","")</f>
        <v/>
      </c>
      <c r="R4194" s="75" t="str">
        <f>IF(AND($N4194=$Q$7,$B4194&lt;'111'!$L$11),"x","")</f>
        <v/>
      </c>
      <c r="S4194" s="75" t="str">
        <f>IF(AND($O4194=$Q$7,$B4194&lt;'111'!$L$11),"x","")</f>
        <v>x</v>
      </c>
      <c r="T4194" s="75" t="str">
        <f>IF(ISERROR(FIND('112'!$M$9,G4194,1)),"",IF((AND(FIND('112'!$M$9,G4194,1)&gt;=1,B4194='112'!$K$9,OR($N4194='112'!$I$6,$O4194='112'!$I$6))),"x",""))</f>
        <v/>
      </c>
      <c r="U4194" s="75" t="str">
        <f>IF(ISERROR(FIND('112'!$M$9,G4194,1)),"",IF((AND(LEFT(G4194,2)=LEFT('112'!$M$9,2),B4194&lt;'112'!$K$9,$N4194='112'!$I$6)),"x",""))</f>
        <v/>
      </c>
      <c r="V4194" s="75" t="str">
        <f>IF(ISERROR(FIND('112'!$M$9,G4194,1)),"",IF((AND(RIGHT(G4194,2)=RIGHT('112'!$M$9,2),B4194&lt;'112'!$K$9,$O4194='112'!$I$6)),"x",""))</f>
        <v/>
      </c>
      <c r="W4194" s="75" t="str">
        <f>IF(AND('341-CT'!$H$9=H4194,OR(LEFT(N4194,3)=$W$7,LEFT(O4194,3)=$W$7)),"x","")</f>
        <v/>
      </c>
      <c r="X4194" s="75" t="str">
        <f>IF(OR(TH!N3675=TH!$X$7,O4194=TH!$X$7),"x","")</f>
        <v/>
      </c>
      <c r="Y4194" s="75" t="str">
        <f>IF(AND(OR(N4194="131",O4194="131"),H4194='131-CT'!$H$9),"x","")</f>
        <v/>
      </c>
      <c r="Z4194" s="75"/>
      <c r="AA4194" s="75" t="str">
        <f>IF(AND(MONTH(E4194)='IN-NX'!$J$5,'IN-NX'!$D$7=D4194),"x","")</f>
        <v/>
      </c>
      <c r="AB4194" s="75" t="str">
        <f>IF(AND(OR(LEFT(TH!N3675,2)="15",LEFT(TH!O3675,2)="15"),LEFT(TH!O3675,3)&lt;&gt;"111",'152-CT'!$J$8=TH!F3675),"x","")</f>
        <v/>
      </c>
      <c r="AC4194" s="75" t="str">
        <f>IF(AND(OR(LEFT(TH!N3675,2)="15",LEFT(TH!O3675,2)="15"),TK!$E$7=TH!F3675),"x","")</f>
        <v/>
      </c>
      <c r="AD4194" s="75" t="str">
        <f>IF(AND(N4194="1521",MONTH(C4194)='BK-NL'!$M$11),"x","")</f>
        <v/>
      </c>
    </row>
    <row r="4195" spans="1:33" ht="16.5" customHeight="1">
      <c r="A4195" s="309" t="str">
        <f>IF(B4195&lt;&gt;"",IF(AND(B4195='IN-TC'!$S$4,OR(TH!N4191="1111",TH!O4191="1111")),TH!D4191,""),"")</f>
        <v/>
      </c>
      <c r="B4195" s="1242">
        <f t="shared" si="1316"/>
        <v>5</v>
      </c>
      <c r="C4195" s="292">
        <f t="shared" si="1315"/>
        <v>42882</v>
      </c>
      <c r="D4195" s="292" t="s">
        <v>1978</v>
      </c>
      <c r="E4195" s="292">
        <v>42882</v>
      </c>
      <c r="F4195" s="1127" t="s">
        <v>1524</v>
      </c>
      <c r="G4195" s="925" t="s">
        <v>1525</v>
      </c>
      <c r="H4195" s="294" t="s">
        <v>974</v>
      </c>
      <c r="I4195" s="373"/>
      <c r="J4195" s="926"/>
      <c r="K4195" s="373"/>
      <c r="L4195" s="379"/>
      <c r="M4195" s="927">
        <v>1150000</v>
      </c>
      <c r="N4195" s="295" t="s">
        <v>9</v>
      </c>
      <c r="O4195" s="295" t="s">
        <v>63</v>
      </c>
      <c r="P4195" s="75" t="str">
        <f>IF(AND('331-CT'!$E$7=TH!H3676,OR(N4195="331",O4195="331")),"x","")</f>
        <v/>
      </c>
      <c r="Q4195" s="75" t="str">
        <f>IF(AND(B4195='111'!$L$11,OR($N4195=$Q$7,$O4195=$Q$7)),"x","")</f>
        <v/>
      </c>
      <c r="R4195" s="75" t="str">
        <f>IF(AND($N4195=$Q$7,$B4195&lt;'111'!$L$11),"x","")</f>
        <v/>
      </c>
      <c r="S4195" s="75" t="str">
        <f>IF(AND($O4195=$Q$7,$B4195&lt;'111'!$L$11),"x","")</f>
        <v>x</v>
      </c>
      <c r="T4195" s="75" t="str">
        <f>IF(ISERROR(FIND('112'!$M$9,G4195,1)),"",IF((AND(FIND('112'!$M$9,G4195,1)&gt;=1,B4195='112'!$K$9,OR($N4195='112'!$I$6,$O4195='112'!$I$6))),"x",""))</f>
        <v/>
      </c>
      <c r="U4195" s="75" t="str">
        <f>IF(ISERROR(FIND('112'!$M$9,G4195,1)),"",IF((AND(LEFT(G4195,2)=LEFT('112'!$M$9,2),B4195&lt;'112'!$K$9,$N4195='112'!$I$6)),"x",""))</f>
        <v/>
      </c>
      <c r="V4195" s="75" t="str">
        <f>IF(ISERROR(FIND('112'!$M$9,G4195,1)),"",IF((AND(RIGHT(G4195,2)=RIGHT('112'!$M$9,2),B4195&lt;'112'!$K$9,$O4195='112'!$I$6)),"x",""))</f>
        <v/>
      </c>
      <c r="W4195" s="75" t="str">
        <f>IF(AND('341-CT'!$H$9=H4195,OR(LEFT(N4195,3)=$W$7,LEFT(O4195,3)=$W$7)),"x","")</f>
        <v/>
      </c>
      <c r="X4195" s="75" t="str">
        <f>IF(OR(TH!N3676=TH!$X$7,O4195=TH!$X$7),"x","")</f>
        <v/>
      </c>
      <c r="Y4195" s="75" t="str">
        <f>IF(AND(OR(N4195="131",O4195="131"),H4195='131-CT'!$H$9),"x","")</f>
        <v/>
      </c>
      <c r="Z4195" s="75"/>
      <c r="AA4195" s="75" t="str">
        <f>IF(AND(MONTH(E4195)='IN-NX'!$J$5,'IN-NX'!$D$7=D4195),"x","")</f>
        <v/>
      </c>
      <c r="AB4195" s="75" t="str">
        <f>IF(AND(OR(LEFT(TH!N3676,2)="15",LEFT(TH!O3676,2)="15"),LEFT(TH!O3676,3)&lt;&gt;"111",'152-CT'!$J$8=TH!F3676),"x","")</f>
        <v/>
      </c>
      <c r="AC4195" s="75" t="str">
        <f>IF(AND(OR(LEFT(TH!N3676,2)="15",LEFT(TH!O3676,2)="15"),TK!$E$7=TH!F3676),"x","")</f>
        <v/>
      </c>
      <c r="AD4195" s="75" t="str">
        <f>IF(AND(N4195="1521",MONTH(C4195)='BK-NL'!$M$11),"x","")</f>
        <v/>
      </c>
    </row>
    <row r="4196" spans="1:33" ht="16.5" customHeight="1">
      <c r="A4196" s="309" t="str">
        <f>IF(B4196&lt;&gt;"",IF(AND(B4196='IN-TC'!$S$4,OR(TH!N4192="1111",TH!O4192="1111")),TH!D4192,""),"")</f>
        <v/>
      </c>
      <c r="B4196" s="1242">
        <f t="shared" si="1316"/>
        <v>5</v>
      </c>
      <c r="C4196" s="292">
        <f t="shared" si="1315"/>
        <v>42882</v>
      </c>
      <c r="D4196" s="292" t="s">
        <v>1979</v>
      </c>
      <c r="E4196" s="929">
        <v>42882</v>
      </c>
      <c r="F4196" s="1126" t="s">
        <v>1165</v>
      </c>
      <c r="G4196" s="931" t="s">
        <v>1479</v>
      </c>
      <c r="H4196" s="296" t="s">
        <v>796</v>
      </c>
      <c r="I4196" s="371"/>
      <c r="J4196" s="932"/>
      <c r="K4196" s="371"/>
      <c r="L4196" s="377"/>
      <c r="M4196" s="933">
        <v>19650400</v>
      </c>
      <c r="N4196" s="934" t="s">
        <v>8</v>
      </c>
      <c r="O4196" s="934" t="s">
        <v>63</v>
      </c>
      <c r="P4196" s="75" t="str">
        <f>IF(AND('331-CT'!$E$7=TH!H3677,OR(N4196="331",O4196="331")),"x","")</f>
        <v/>
      </c>
      <c r="Q4196" s="75" t="str">
        <f>IF(AND(B4196='111'!$L$11,OR($N4196=$Q$7,$O4196=$Q$7)),"x","")</f>
        <v/>
      </c>
      <c r="R4196" s="75" t="str">
        <f>IF(AND($N4196=$Q$7,$B4196&lt;'111'!$L$11),"x","")</f>
        <v/>
      </c>
      <c r="S4196" s="75" t="str">
        <f>IF(AND($O4196=$Q$7,$B4196&lt;'111'!$L$11),"x","")</f>
        <v>x</v>
      </c>
      <c r="T4196" s="75" t="str">
        <f>IF(ISERROR(FIND('112'!$M$9,G4196,1)),"",IF((AND(FIND('112'!$M$9,G4196,1)&gt;=1,B4196='112'!$K$9,OR($N4196='112'!$I$6,$O4196='112'!$I$6))),"x",""))</f>
        <v/>
      </c>
      <c r="U4196" s="75" t="str">
        <f>IF(ISERROR(FIND('112'!$M$9,G4196,1)),"",IF((AND(LEFT(G4196,2)=LEFT('112'!$M$9,2),B4196&lt;'112'!$K$9,$N4196='112'!$I$6)),"x",""))</f>
        <v/>
      </c>
      <c r="V4196" s="75" t="str">
        <f>IF(ISERROR(FIND('112'!$M$9,G4196,1)),"",IF((AND(RIGHT(G4196,2)=RIGHT('112'!$M$9,2),B4196&lt;'112'!$K$9,$O4196='112'!$I$6)),"x",""))</f>
        <v/>
      </c>
      <c r="W4196" s="75" t="str">
        <f>IF(AND('341-CT'!$H$9=H4196,OR(LEFT(N4196,3)=$W$7,LEFT(O4196,3)=$W$7)),"x","")</f>
        <v/>
      </c>
      <c r="X4196" s="75" t="str">
        <f>IF(OR(TH!N3677=TH!$X$7,O4196=TH!$X$7),"x","")</f>
        <v/>
      </c>
      <c r="Y4196" s="75" t="str">
        <f>IF(AND(OR(N4196="131",O4196="131"),H4196='131-CT'!$H$9),"x","")</f>
        <v/>
      </c>
      <c r="Z4196" s="75"/>
      <c r="AA4196" s="75" t="str">
        <f>IF(AND(MONTH(E4196)='IN-NX'!$J$5,'IN-NX'!$D$7=D4196),"x","")</f>
        <v/>
      </c>
      <c r="AB4196" s="75" t="str">
        <f>IF(AND(OR(LEFT(TH!N3677,2)="15",LEFT(TH!O3677,2)="15"),LEFT(TH!O3677,3)&lt;&gt;"111",'152-CT'!$J$8=TH!F3677),"x","")</f>
        <v/>
      </c>
      <c r="AC4196" s="75" t="str">
        <f>IF(AND(OR(LEFT(TH!N3677,2)="15",LEFT(TH!O3677,2)="15"),TK!$E$7=TH!F3677),"x","")</f>
        <v/>
      </c>
      <c r="AD4196" s="75" t="str">
        <f>IF(AND(N4196="1521",MONTH(C4196)='BK-NL'!$M$11),"x","")</f>
        <v/>
      </c>
    </row>
    <row r="4197" spans="1:33" ht="16.5" customHeight="1">
      <c r="A4197" s="309" t="str">
        <f>IF(B4197&lt;&gt;"",IF(AND(B4197='IN-TC'!$S$4,OR(TH!N4193="1111",TH!O4193="1111")),TH!D4193,""),"")</f>
        <v/>
      </c>
      <c r="B4197" s="1130">
        <f t="shared" si="1316"/>
        <v>5</v>
      </c>
      <c r="C4197" s="292">
        <f t="shared" si="1315"/>
        <v>42882</v>
      </c>
      <c r="D4197" s="292" t="s">
        <v>1929</v>
      </c>
      <c r="E4197" s="292">
        <v>42882</v>
      </c>
      <c r="F4197" s="1127" t="s">
        <v>1334</v>
      </c>
      <c r="G4197" s="925"/>
      <c r="H4197" s="294" t="s">
        <v>1333</v>
      </c>
      <c r="I4197" s="373"/>
      <c r="J4197" s="926"/>
      <c r="K4197" s="373"/>
      <c r="L4197" s="379"/>
      <c r="M4197" s="927">
        <v>9718182</v>
      </c>
      <c r="N4197" s="295" t="s">
        <v>539</v>
      </c>
      <c r="O4197" s="295" t="s">
        <v>63</v>
      </c>
      <c r="P4197" s="75" t="str">
        <f>IF(AND('331-CT'!$E$7=TH!H3716,OR(N4197="331",O4197="331")),"x","")</f>
        <v/>
      </c>
      <c r="Q4197" s="75" t="str">
        <f>IF(AND(B4197='111'!$L$11,OR($N4197=$Q$7,$O4197=$Q$7)),"x","")</f>
        <v/>
      </c>
      <c r="R4197" s="75" t="str">
        <f>IF(AND($N4197=$Q$7,$B4197&lt;'111'!$L$11),"x","")</f>
        <v/>
      </c>
      <c r="S4197" s="75" t="str">
        <f>IF(AND($O4197=$Q$7,$B4197&lt;'111'!$L$11),"x","")</f>
        <v>x</v>
      </c>
      <c r="T4197" s="75" t="str">
        <f>IF(ISERROR(FIND('112'!$M$9,G4197,1)),"",IF((AND(FIND('112'!$M$9,G4197,1)&gt;=1,B4197='112'!$K$9,OR($N4197='112'!$I$6,$O4197='112'!$I$6))),"x",""))</f>
        <v/>
      </c>
      <c r="U4197" s="75" t="str">
        <f>IF(ISERROR(FIND('112'!$M$9,G4197,1)),"",IF((AND(LEFT(G4197,2)=LEFT('112'!$M$9,2),B4197&lt;'112'!$K$9,$N4197='112'!$I$6)),"x",""))</f>
        <v/>
      </c>
      <c r="V4197" s="75" t="str">
        <f>IF(ISERROR(FIND('112'!$M$9,G4197,1)),"",IF((AND(RIGHT(G4197,2)=RIGHT('112'!$M$9,2),B4197&lt;'112'!$K$9,$O4197='112'!$I$6)),"x",""))</f>
        <v/>
      </c>
      <c r="W4197" s="75" t="str">
        <f>IF(AND('341-CT'!$H$9=H4197,OR(LEFT(N4197,3)=$W$7,LEFT(O4197,3)=$W$7)),"x","")</f>
        <v/>
      </c>
      <c r="X4197" s="75" t="str">
        <f>IF(OR(TH!N3716=TH!$X$7,O4197=TH!$X$7),"x","")</f>
        <v/>
      </c>
      <c r="Y4197" s="75" t="str">
        <f>IF(AND(OR(N4197="131",O4197="131"),H4197='131-CT'!$H$9),"x","")</f>
        <v/>
      </c>
      <c r="Z4197" s="75"/>
      <c r="AA4197" s="75" t="str">
        <f>IF(AND(MONTH(E4197)='IN-NX'!$J$5,'IN-NX'!$D$7=D4197),"x","")</f>
        <v/>
      </c>
      <c r="AB4197" s="75" t="str">
        <f>IF(AND(OR(LEFT(TH!N3716,2)="15",LEFT(TH!O3716,2)="15"),LEFT(TH!O3716,3)&lt;&gt;"111",'152-CT'!$J$8=TH!F3716),"x","")</f>
        <v/>
      </c>
      <c r="AC4197" s="75" t="str">
        <f>IF(AND(OR(LEFT(TH!N3716,2)="15",LEFT(TH!O3716,2)="15"),TK!$E$7=TH!F3716),"x","")</f>
        <v/>
      </c>
      <c r="AD4197" s="75" t="str">
        <f>IF(AND(N4197="1521",MONTH(C4197)='BK-NL'!$M$11),"x","")</f>
        <v/>
      </c>
    </row>
    <row r="4198" spans="1:33" ht="16.5" customHeight="1">
      <c r="A4198" s="309" t="str">
        <f>IF(B4198&lt;&gt;"",IF(AND(B4198='IN-TC'!$S$4,OR(TH!N4194="1111",TH!O4194="1111")),TH!D4194,""),"")</f>
        <v/>
      </c>
      <c r="B4198" s="1130">
        <f t="shared" si="1316"/>
        <v>5</v>
      </c>
      <c r="C4198" s="292">
        <f t="shared" si="1315"/>
        <v>42882</v>
      </c>
      <c r="D4198" s="292" t="s">
        <v>1929</v>
      </c>
      <c r="E4198" s="292">
        <v>42882</v>
      </c>
      <c r="F4198" s="1127" t="s">
        <v>1335</v>
      </c>
      <c r="G4198" s="925"/>
      <c r="H4198" s="294" t="s">
        <v>1333</v>
      </c>
      <c r="I4198" s="373"/>
      <c r="J4198" s="926"/>
      <c r="K4198" s="373"/>
      <c r="L4198" s="379"/>
      <c r="M4198" s="927">
        <v>971818</v>
      </c>
      <c r="N4198" s="295" t="s">
        <v>9</v>
      </c>
      <c r="O4198" s="295" t="s">
        <v>63</v>
      </c>
      <c r="P4198" s="75" t="str">
        <f>IF(AND('331-CT'!$E$7=TH!H3717,OR(N4198="331",O4198="331")),"x","")</f>
        <v/>
      </c>
      <c r="Q4198" s="75" t="str">
        <f>IF(AND(B4198='111'!$L$11,OR($N4198=$Q$7,$O4198=$Q$7)),"x","")</f>
        <v/>
      </c>
      <c r="R4198" s="75" t="str">
        <f>IF(AND($N4198=$Q$7,$B4198&lt;'111'!$L$11),"x","")</f>
        <v/>
      </c>
      <c r="S4198" s="75" t="str">
        <f>IF(AND($O4198=$Q$7,$B4198&lt;'111'!$L$11),"x","")</f>
        <v>x</v>
      </c>
      <c r="T4198" s="75" t="str">
        <f>IF(ISERROR(FIND('112'!$M$9,G4198,1)),"",IF((AND(FIND('112'!$M$9,G4198,1)&gt;=1,B4198='112'!$K$9,OR($N4198='112'!$I$6,$O4198='112'!$I$6))),"x",""))</f>
        <v/>
      </c>
      <c r="U4198" s="75" t="str">
        <f>IF(ISERROR(FIND('112'!$M$9,G4198,1)),"",IF((AND(LEFT(G4198,2)=LEFT('112'!$M$9,2),B4198&lt;'112'!$K$9,$N4198='112'!$I$6)),"x",""))</f>
        <v/>
      </c>
      <c r="V4198" s="75" t="str">
        <f>IF(ISERROR(FIND('112'!$M$9,G4198,1)),"",IF((AND(RIGHT(G4198,2)=RIGHT('112'!$M$9,2),B4198&lt;'112'!$K$9,$O4198='112'!$I$6)),"x",""))</f>
        <v/>
      </c>
      <c r="W4198" s="75" t="str">
        <f>IF(AND('341-CT'!$H$9=H4198,OR(LEFT(N4198,3)=$W$7,LEFT(O4198,3)=$W$7)),"x","")</f>
        <v/>
      </c>
      <c r="X4198" s="75" t="str">
        <f>IF(OR(TH!N3717=TH!$X$7,O4198=TH!$X$7),"x","")</f>
        <v/>
      </c>
      <c r="Y4198" s="75" t="str">
        <f>IF(AND(OR(N4198="131",O4198="131"),H4198='131-CT'!$H$9),"x","")</f>
        <v/>
      </c>
      <c r="Z4198" s="75"/>
      <c r="AA4198" s="75" t="str">
        <f>IF(AND(MONTH(E4198)='IN-NX'!$J$5,'IN-NX'!$D$7=D4198),"x","")</f>
        <v/>
      </c>
      <c r="AB4198" s="75" t="str">
        <f>IF(AND(OR(LEFT(TH!N3717,2)="15",LEFT(TH!O3717,2)="15"),LEFT(TH!O3717,3)&lt;&gt;"111",'152-CT'!$J$8=TH!F3717),"x","")</f>
        <v/>
      </c>
      <c r="AC4198" s="75" t="str">
        <f>IF(AND(OR(LEFT(TH!N3717,2)="15",LEFT(TH!O3717,2)="15"),TK!$E$7=TH!F3717),"x","")</f>
        <v/>
      </c>
      <c r="AD4198" s="75" t="str">
        <f>IF(AND(N4198="1521",MONTH(C4198)='BK-NL'!$M$11),"x","")</f>
        <v/>
      </c>
    </row>
    <row r="4199" spans="1:33" ht="16.5" customHeight="1">
      <c r="A4199" s="309" t="str">
        <f>IF(B4199&lt;&gt;"",IF(AND(B4199='IN-TC'!$S$4,OR(TH!N4195="1111",TH!O4195="1111")),TH!D4195,""),"")</f>
        <v/>
      </c>
      <c r="B4199" s="1242">
        <f t="shared" si="1316"/>
        <v>5</v>
      </c>
      <c r="C4199" s="292">
        <f t="shared" si="1315"/>
        <v>42883</v>
      </c>
      <c r="D4199" s="292" t="s">
        <v>1979</v>
      </c>
      <c r="E4199" s="929">
        <v>42883</v>
      </c>
      <c r="F4199" s="1126" t="s">
        <v>1165</v>
      </c>
      <c r="G4199" s="931" t="s">
        <v>1480</v>
      </c>
      <c r="H4199" s="296" t="s">
        <v>796</v>
      </c>
      <c r="I4199" s="371"/>
      <c r="J4199" s="932"/>
      <c r="K4199" s="371"/>
      <c r="L4199" s="377"/>
      <c r="M4199" s="933">
        <v>19650400</v>
      </c>
      <c r="N4199" s="934" t="s">
        <v>8</v>
      </c>
      <c r="O4199" s="934" t="s">
        <v>63</v>
      </c>
      <c r="P4199" s="75" t="str">
        <f>IF(AND('331-CT'!$E$7=TH!H3678,OR(N4199="331",O4199="331")),"x","")</f>
        <v/>
      </c>
      <c r="Q4199" s="75" t="str">
        <f>IF(AND(B4199='111'!$L$11,OR($N4199=$Q$7,$O4199=$Q$7)),"x","")</f>
        <v/>
      </c>
      <c r="R4199" s="75" t="str">
        <f>IF(AND($N4199=$Q$7,$B4199&lt;'111'!$L$11),"x","")</f>
        <v/>
      </c>
      <c r="S4199" s="75" t="str">
        <f>IF(AND($O4199=$Q$7,$B4199&lt;'111'!$L$11),"x","")</f>
        <v>x</v>
      </c>
      <c r="T4199" s="75" t="str">
        <f>IF(ISERROR(FIND('112'!$M$9,G4199,1)),"",IF((AND(FIND('112'!$M$9,G4199,1)&gt;=1,B4199='112'!$K$9,OR($N4199='112'!$I$6,$O4199='112'!$I$6))),"x",""))</f>
        <v/>
      </c>
      <c r="U4199" s="75" t="str">
        <f>IF(ISERROR(FIND('112'!$M$9,G4199,1)),"",IF((AND(LEFT(G4199,2)=LEFT('112'!$M$9,2),B4199&lt;'112'!$K$9,$N4199='112'!$I$6)),"x",""))</f>
        <v/>
      </c>
      <c r="V4199" s="75" t="str">
        <f>IF(ISERROR(FIND('112'!$M$9,G4199,1)),"",IF((AND(RIGHT(G4199,2)=RIGHT('112'!$M$9,2),B4199&lt;'112'!$K$9,$O4199='112'!$I$6)),"x",""))</f>
        <v/>
      </c>
      <c r="W4199" s="75" t="str">
        <f>IF(AND('341-CT'!$H$9=H4199,OR(LEFT(N4199,3)=$W$7,LEFT(O4199,3)=$W$7)),"x","")</f>
        <v/>
      </c>
      <c r="X4199" s="75" t="str">
        <f>IF(OR(TH!N3678=TH!$X$7,O4199=TH!$X$7),"x","")</f>
        <v/>
      </c>
      <c r="Y4199" s="75" t="str">
        <f>IF(AND(OR(N4199="131",O4199="131"),H4199='131-CT'!$H$9),"x","")</f>
        <v/>
      </c>
      <c r="Z4199" s="75"/>
      <c r="AA4199" s="75" t="str">
        <f>IF(AND(MONTH(E4199)='IN-NX'!$J$5,'IN-NX'!$D$7=D4199),"x","")</f>
        <v/>
      </c>
      <c r="AB4199" s="75" t="str">
        <f>IF(AND(OR(LEFT(TH!N3678,2)="15",LEFT(TH!O3678,2)="15"),LEFT(TH!O3678,3)&lt;&gt;"111",'152-CT'!$J$8=TH!F3678),"x","")</f>
        <v/>
      </c>
      <c r="AC4199" s="75" t="str">
        <f>IF(AND(OR(LEFT(TH!N3678,2)="15",LEFT(TH!O3678,2)="15"),TK!$E$7=TH!F3678),"x","")</f>
        <v/>
      </c>
      <c r="AD4199" s="75" t="str">
        <f>IF(AND(N4199="1521",MONTH(C4199)='BK-NL'!$M$11),"x","")</f>
        <v/>
      </c>
    </row>
    <row r="4200" spans="1:33" ht="16.5" customHeight="1">
      <c r="A4200" s="309" t="str">
        <f>IF(B4200&lt;&gt;"",IF(AND(B4200='IN-TC'!$S$4,OR(TH!N4196="1111",TH!O4196="1111")),TH!D4196,""),"")</f>
        <v/>
      </c>
      <c r="B4200" s="1242">
        <f t="shared" si="1316"/>
        <v>5</v>
      </c>
      <c r="C4200" s="292">
        <f t="shared" si="1315"/>
        <v>42884</v>
      </c>
      <c r="D4200" s="292" t="s">
        <v>1980</v>
      </c>
      <c r="E4200" s="929">
        <v>42884</v>
      </c>
      <c r="F4200" s="1126" t="s">
        <v>1165</v>
      </c>
      <c r="G4200" s="931" t="s">
        <v>1481</v>
      </c>
      <c r="H4200" s="296" t="s">
        <v>796</v>
      </c>
      <c r="I4200" s="371"/>
      <c r="J4200" s="932"/>
      <c r="K4200" s="371"/>
      <c r="L4200" s="377"/>
      <c r="M4200" s="933">
        <v>19650400</v>
      </c>
      <c r="N4200" s="934" t="s">
        <v>8</v>
      </c>
      <c r="O4200" s="934" t="s">
        <v>63</v>
      </c>
      <c r="P4200" s="75" t="str">
        <f>IF(AND('331-CT'!$E$7=TH!H3680,OR(N4200="331",O4200="331")),"x","")</f>
        <v/>
      </c>
      <c r="Q4200" s="75" t="str">
        <f>IF(AND(B4200='111'!$L$11,OR($N4200=$Q$7,$O4200=$Q$7)),"x","")</f>
        <v/>
      </c>
      <c r="R4200" s="75" t="str">
        <f>IF(AND($N4200=$Q$7,$B4200&lt;'111'!$L$11),"x","")</f>
        <v/>
      </c>
      <c r="S4200" s="75" t="str">
        <f>IF(AND($O4200=$Q$7,$B4200&lt;'111'!$L$11),"x","")</f>
        <v>x</v>
      </c>
      <c r="T4200" s="75" t="str">
        <f>IF(ISERROR(FIND('112'!$M$9,G4200,1)),"",IF((AND(FIND('112'!$M$9,G4200,1)&gt;=1,B4200='112'!$K$9,OR($N4200='112'!$I$6,$O4200='112'!$I$6))),"x",""))</f>
        <v/>
      </c>
      <c r="U4200" s="75" t="str">
        <f>IF(ISERROR(FIND('112'!$M$9,G4200,1)),"",IF((AND(LEFT(G4200,2)=LEFT('112'!$M$9,2),B4200&lt;'112'!$K$9,$N4200='112'!$I$6)),"x",""))</f>
        <v/>
      </c>
      <c r="V4200" s="75" t="str">
        <f>IF(ISERROR(FIND('112'!$M$9,G4200,1)),"",IF((AND(RIGHT(G4200,2)=RIGHT('112'!$M$9,2),B4200&lt;'112'!$K$9,$O4200='112'!$I$6)),"x",""))</f>
        <v/>
      </c>
      <c r="W4200" s="75" t="str">
        <f>IF(AND('341-CT'!$H$9=H4200,OR(LEFT(N4200,3)=$W$7,LEFT(O4200,3)=$W$7)),"x","")</f>
        <v/>
      </c>
      <c r="X4200" s="75" t="str">
        <f>IF(OR(TH!N3680=TH!$X$7,O4200=TH!$X$7),"x","")</f>
        <v/>
      </c>
      <c r="Y4200" s="75" t="str">
        <f>IF(AND(OR(N4200="131",O4200="131"),H4200='131-CT'!$H$9),"x","")</f>
        <v/>
      </c>
      <c r="Z4200" s="75"/>
      <c r="AA4200" s="75" t="str">
        <f>IF(AND(MONTH(E4200)='IN-NX'!$J$5,'IN-NX'!$D$7=D4200),"x","")</f>
        <v/>
      </c>
      <c r="AB4200" s="75" t="str">
        <f>IF(AND(OR(LEFT(TH!N3680,2)="15",LEFT(TH!O3680,2)="15"),LEFT(TH!O3680,3)&lt;&gt;"111",'152-CT'!$J$8=TH!F3680),"x","")</f>
        <v/>
      </c>
      <c r="AC4200" s="75" t="str">
        <f>IF(AND(OR(LEFT(TH!N3680,2)="15",LEFT(TH!O3680,2)="15"),TK!$E$7=TH!F3680),"x","")</f>
        <v/>
      </c>
      <c r="AD4200" s="75" t="str">
        <f>IF(AND(N4200="1521",MONTH(C4200)='BK-NL'!$M$11),"x","")</f>
        <v/>
      </c>
    </row>
    <row r="4201" spans="1:33" ht="16.5" customHeight="1">
      <c r="A4201" s="309" t="str">
        <f>IF(B4201&lt;&gt;"",IF(AND(B4201='IN-TC'!$S$4,OR(TH!N4197="1111",TH!O4197="1111")),TH!D4197,""),"")</f>
        <v/>
      </c>
      <c r="B4201" s="1242">
        <f t="shared" si="1316"/>
        <v>5</v>
      </c>
      <c r="C4201" s="292">
        <f t="shared" si="1315"/>
        <v>42884</v>
      </c>
      <c r="D4201" s="292" t="s">
        <v>902</v>
      </c>
      <c r="E4201" s="292">
        <v>42884</v>
      </c>
      <c r="F4201" s="1127" t="s">
        <v>1549</v>
      </c>
      <c r="G4201" s="293" t="s">
        <v>747</v>
      </c>
      <c r="H4201" s="294" t="s">
        <v>835</v>
      </c>
      <c r="I4201" s="373"/>
      <c r="J4201" s="379"/>
      <c r="K4201" s="373"/>
      <c r="L4201" s="379"/>
      <c r="M4201" s="60">
        <v>113850</v>
      </c>
      <c r="N4201" s="295" t="s">
        <v>101</v>
      </c>
      <c r="O4201" s="61" t="s">
        <v>26</v>
      </c>
      <c r="P4201" s="75" t="str">
        <f>IF(AND('331-CT'!$E$7=TH!H5206,OR(N4201="331",O4201="331")),"x","")</f>
        <v/>
      </c>
      <c r="Q4201" s="75" t="str">
        <f>IF(AND(B4201='111'!$L$11,OR($N4201=$Q$7,$O4201=$Q$7)),"x","")</f>
        <v/>
      </c>
      <c r="R4201" s="75" t="str">
        <f>IF(AND($N4201=$Q$7,$B4201&lt;'111'!$L$11),"x","")</f>
        <v/>
      </c>
      <c r="S4201" s="75" t="str">
        <f>IF(AND($O4201=$Q$7,$B4201&lt;'111'!$L$11),"x","")</f>
        <v/>
      </c>
      <c r="T4201" s="75" t="str">
        <f>IF(ISERROR(FIND('112'!$M$9,G4201,1)),"",IF((AND(FIND('112'!$M$9,G4201,1)&gt;=1,B4201='112'!$K$9,OR($N4201='112'!$I$6,$O4201='112'!$I$6))),"x",""))</f>
        <v/>
      </c>
      <c r="U4201" s="75" t="str">
        <f>IF(ISERROR(FIND('112'!$M$9,G4201,1)),"",IF((AND(LEFT(G4201,2)=LEFT('112'!$M$9,2),B4201&lt;'112'!$K$9,$N4201='112'!$I$6)),"x",""))</f>
        <v/>
      </c>
      <c r="V4201" s="75" t="str">
        <f>IF(ISERROR(FIND('112'!$M$9,G4201,1)),"",IF((AND(RIGHT(G4201,2)=RIGHT('112'!$M$9,2),B4201&lt;'112'!$K$9,$O4201='112'!$I$6)),"x",""))</f>
        <v/>
      </c>
      <c r="W4201" s="75" t="str">
        <f>IF(AND('341-CT'!$H$9=H4201,OR(LEFT(N4201,3)=$W$7,LEFT(O4201,3)=$W$7)),"x","")</f>
        <v/>
      </c>
      <c r="X4201" s="75" t="str">
        <f>IF(OR(TH!N5206=TH!$X$7,O4201=TH!$X$7),"x","")</f>
        <v/>
      </c>
      <c r="Y4201" s="75" t="str">
        <f>IF(AND(OR(N4201="131",O4201="131"),H4201='131-CT'!$H$9),"x","")</f>
        <v/>
      </c>
      <c r="Z4201" s="75"/>
      <c r="AA4201" s="75" t="str">
        <f>IF(AND(MONTH(E4201)='IN-NX'!$J$5,'IN-NX'!$D$7=D4201),"x","")</f>
        <v/>
      </c>
      <c r="AB4201" s="75" t="str">
        <f>IF(AND(OR(LEFT(TH!N5206,2)="15",LEFT(TH!O5206,2)="15"),LEFT(TH!O5206,3)&lt;&gt;"111",'152-CT'!$J$8=TH!F5206),"x","")</f>
        <v/>
      </c>
      <c r="AC4201" s="75" t="str">
        <f>IF(AND(OR(LEFT(TH!N5206,2)="15",LEFT(TH!O5206,2)="15"),TK!$E$7=TH!F5206),"x","")</f>
        <v/>
      </c>
      <c r="AD4201" s="75" t="str">
        <f>IF(AND(N4201="1521",MONTH(C4201)='BK-NL'!$M$11),"x","")</f>
        <v/>
      </c>
    </row>
    <row r="4202" spans="1:33" ht="16.5" customHeight="1">
      <c r="A4202" s="309" t="str">
        <f>IF(B4202&lt;&gt;"",IF(AND(B4202='IN-TC'!$S$4,OR(TH!N4198="1111",TH!O4198="1111")),TH!D4198,""),"")</f>
        <v/>
      </c>
      <c r="B4202" s="1242">
        <f t="shared" si="1316"/>
        <v>5</v>
      </c>
      <c r="C4202" s="292">
        <f t="shared" si="1315"/>
        <v>42884</v>
      </c>
      <c r="D4202" s="292" t="s">
        <v>902</v>
      </c>
      <c r="E4202" s="292">
        <v>42884</v>
      </c>
      <c r="F4202" s="1127" t="s">
        <v>1552</v>
      </c>
      <c r="G4202" s="293" t="s">
        <v>747</v>
      </c>
      <c r="H4202" s="294" t="s">
        <v>835</v>
      </c>
      <c r="I4202" s="373"/>
      <c r="J4202" s="379"/>
      <c r="K4202" s="373"/>
      <c r="L4202" s="379"/>
      <c r="M4202" s="60">
        <v>11385</v>
      </c>
      <c r="N4202" s="295" t="s">
        <v>9</v>
      </c>
      <c r="O4202" s="61" t="s">
        <v>26</v>
      </c>
      <c r="P4202" s="75" t="str">
        <f>IF(AND('331-CT'!$E$7=TH!H5207,OR(N4202="331",O4202="331")),"x","")</f>
        <v/>
      </c>
      <c r="Q4202" s="75" t="str">
        <f>IF(AND(B4202='111'!$L$11,OR($N4202=$Q$7,$O4202=$Q$7)),"x","")</f>
        <v/>
      </c>
      <c r="R4202" s="75" t="str">
        <f>IF(AND($N4202=$Q$7,$B4202&lt;'111'!$L$11),"x","")</f>
        <v/>
      </c>
      <c r="S4202" s="75" t="str">
        <f>IF(AND($O4202=$Q$7,$B4202&lt;'111'!$L$11),"x","")</f>
        <v/>
      </c>
      <c r="T4202" s="75" t="str">
        <f>IF(ISERROR(FIND('112'!$M$9,G4202,1)),"",IF((AND(FIND('112'!$M$9,G4202,1)&gt;=1,B4202='112'!$K$9,OR($N4202='112'!$I$6,$O4202='112'!$I$6))),"x",""))</f>
        <v/>
      </c>
      <c r="U4202" s="75" t="str">
        <f>IF(ISERROR(FIND('112'!$M$9,G4202,1)),"",IF((AND(LEFT(G4202,2)=LEFT('112'!$M$9,2),B4202&lt;'112'!$K$9,$N4202='112'!$I$6)),"x",""))</f>
        <v/>
      </c>
      <c r="V4202" s="75" t="str">
        <f>IF(ISERROR(FIND('112'!$M$9,G4202,1)),"",IF((AND(RIGHT(G4202,2)=RIGHT('112'!$M$9,2),B4202&lt;'112'!$K$9,$O4202='112'!$I$6)),"x",""))</f>
        <v/>
      </c>
      <c r="W4202" s="75" t="str">
        <f>IF(AND('341-CT'!$H$9=H4202,OR(LEFT(N4202,3)=$W$7,LEFT(O4202,3)=$W$7)),"x","")</f>
        <v/>
      </c>
      <c r="X4202" s="75" t="str">
        <f>IF(OR(TH!N5207=TH!$X$7,O4202=TH!$X$7),"x","")</f>
        <v/>
      </c>
      <c r="Y4202" s="75" t="str">
        <f>IF(AND(OR(N4202="131",O4202="131"),H4202='131-CT'!$H$9),"x","")</f>
        <v/>
      </c>
      <c r="Z4202" s="75"/>
      <c r="AA4202" s="75" t="str">
        <f>IF(AND(MONTH(E4202)='IN-NX'!$J$5,'IN-NX'!$D$7=D4202),"x","")</f>
        <v/>
      </c>
      <c r="AB4202" s="75" t="str">
        <f>IF(AND(OR(LEFT(TH!N5207,2)="15",LEFT(TH!O5207,2)="15"),LEFT(TH!O5207,3)&lt;&gt;"111",'152-CT'!$J$8=TH!F5207),"x","")</f>
        <v/>
      </c>
      <c r="AC4202" s="75" t="str">
        <f>IF(AND(OR(LEFT(TH!N5207,2)="15",LEFT(TH!O5207,2)="15"),TK!$E$7=TH!F5207),"x","")</f>
        <v/>
      </c>
      <c r="AD4202" s="75" t="str">
        <f>IF(AND(N4202="1521",MONTH(C4202)='BK-NL'!$M$11),"x","")</f>
        <v/>
      </c>
    </row>
    <row r="4203" spans="1:33" ht="16.5" customHeight="1">
      <c r="A4203" s="309" t="str">
        <f>IF(B4203&lt;&gt;"",IF(AND(B4203='IN-TC'!$S$4,OR(TH!N4199="1111",TH!O4199="1111")),TH!D4199,""),"")</f>
        <v/>
      </c>
      <c r="B4203" s="1242">
        <f t="shared" si="1316"/>
        <v>5</v>
      </c>
      <c r="C4203" s="292">
        <f t="shared" si="1315"/>
        <v>42884</v>
      </c>
      <c r="D4203" s="292" t="s">
        <v>902</v>
      </c>
      <c r="E4203" s="292">
        <v>42884</v>
      </c>
      <c r="F4203" s="1127" t="s">
        <v>1549</v>
      </c>
      <c r="G4203" s="293" t="s">
        <v>747</v>
      </c>
      <c r="H4203" s="294" t="s">
        <v>835</v>
      </c>
      <c r="I4203" s="373"/>
      <c r="J4203" s="379"/>
      <c r="K4203" s="373"/>
      <c r="L4203" s="379"/>
      <c r="M4203" s="60">
        <v>1036826</v>
      </c>
      <c r="N4203" s="295" t="s">
        <v>101</v>
      </c>
      <c r="O4203" s="61" t="s">
        <v>26</v>
      </c>
      <c r="P4203" s="75" t="str">
        <f>IF(AND('331-CT'!$E$7=TH!H5208,OR(N4203="331",O4203="331")),"x","")</f>
        <v/>
      </c>
      <c r="Q4203" s="75" t="str">
        <f>IF(AND(B4203='111'!$L$11,OR($N4203=$Q$7,$O4203=$Q$7)),"x","")</f>
        <v/>
      </c>
      <c r="R4203" s="75" t="str">
        <f>IF(AND($N4203=$Q$7,$B4203&lt;'111'!$L$11),"x","")</f>
        <v/>
      </c>
      <c r="S4203" s="75" t="str">
        <f>IF(AND($O4203=$Q$7,$B4203&lt;'111'!$L$11),"x","")</f>
        <v/>
      </c>
      <c r="T4203" s="75" t="str">
        <f>IF(ISERROR(FIND('112'!$M$9,G4203,1)),"",IF((AND(FIND('112'!$M$9,G4203,1)&gt;=1,B4203='112'!$K$9,OR($N4203='112'!$I$6,$O4203='112'!$I$6))),"x",""))</f>
        <v/>
      </c>
      <c r="U4203" s="75" t="str">
        <f>IF(ISERROR(FIND('112'!$M$9,G4203,1)),"",IF((AND(LEFT(G4203,2)=LEFT('112'!$M$9,2),B4203&lt;'112'!$K$9,$N4203='112'!$I$6)),"x",""))</f>
        <v/>
      </c>
      <c r="V4203" s="75" t="str">
        <f>IF(ISERROR(FIND('112'!$M$9,G4203,1)),"",IF((AND(RIGHT(G4203,2)=RIGHT('112'!$M$9,2),B4203&lt;'112'!$K$9,$O4203='112'!$I$6)),"x",""))</f>
        <v/>
      </c>
      <c r="W4203" s="75" t="str">
        <f>IF(AND('341-CT'!$H$9=H4203,OR(LEFT(N4203,3)=$W$7,LEFT(O4203,3)=$W$7)),"x","")</f>
        <v/>
      </c>
      <c r="X4203" s="75" t="str">
        <f>IF(OR(TH!N5208=TH!$X$7,O4203=TH!$X$7),"x","")</f>
        <v/>
      </c>
      <c r="Y4203" s="75" t="str">
        <f>IF(AND(OR(N4203="131",O4203="131"),H4203='131-CT'!$H$9),"x","")</f>
        <v/>
      </c>
      <c r="Z4203" s="75"/>
      <c r="AA4203" s="75" t="str">
        <f>IF(AND(MONTH(E4203)='IN-NX'!$J$5,'IN-NX'!$D$7=D4203),"x","")</f>
        <v/>
      </c>
      <c r="AB4203" s="75" t="str">
        <f>IF(AND(OR(LEFT(TH!N5208,2)="15",LEFT(TH!O5208,2)="15"),LEFT(TH!O5208,3)&lt;&gt;"111",'152-CT'!$J$8=TH!F5208),"x","")</f>
        <v/>
      </c>
      <c r="AC4203" s="75" t="str">
        <f>IF(AND(OR(LEFT(TH!N5208,2)="15",LEFT(TH!O5208,2)="15"),TK!$E$7=TH!F5208),"x","")</f>
        <v/>
      </c>
      <c r="AD4203" s="75" t="str">
        <f>IF(AND(N4203="1521",MONTH(C4203)='BK-NL'!$M$11),"x","")</f>
        <v/>
      </c>
    </row>
    <row r="4204" spans="1:33" ht="16.5" customHeight="1">
      <c r="A4204" s="309" t="str">
        <f>IF(B4204&lt;&gt;"",IF(AND(B4204='IN-TC'!$S$4,OR(TH!N4200="1111",TH!O4200="1111")),TH!D4200,""),"")</f>
        <v/>
      </c>
      <c r="B4204" s="1242">
        <f t="shared" si="1316"/>
        <v>5</v>
      </c>
      <c r="C4204" s="292">
        <f t="shared" si="1315"/>
        <v>42884</v>
      </c>
      <c r="D4204" s="292" t="s">
        <v>902</v>
      </c>
      <c r="E4204" s="292">
        <v>42884</v>
      </c>
      <c r="F4204" s="1127" t="s">
        <v>1552</v>
      </c>
      <c r="G4204" s="293" t="s">
        <v>747</v>
      </c>
      <c r="H4204" s="294" t="s">
        <v>835</v>
      </c>
      <c r="I4204" s="373"/>
      <c r="J4204" s="379"/>
      <c r="K4204" s="373"/>
      <c r="L4204" s="379"/>
      <c r="M4204" s="60">
        <v>103683</v>
      </c>
      <c r="N4204" s="295" t="s">
        <v>9</v>
      </c>
      <c r="O4204" s="61" t="s">
        <v>26</v>
      </c>
      <c r="P4204" s="75" t="str">
        <f>IF(AND('331-CT'!$E$7=TH!H5209,OR(N4204="331",O4204="331")),"x","")</f>
        <v/>
      </c>
      <c r="Q4204" s="75" t="str">
        <f>IF(AND(B4204='111'!$L$11,OR($N4204=$Q$7,$O4204=$Q$7)),"x","")</f>
        <v/>
      </c>
      <c r="R4204" s="75" t="str">
        <f>IF(AND($N4204=$Q$7,$B4204&lt;'111'!$L$11),"x","")</f>
        <v/>
      </c>
      <c r="S4204" s="75" t="str">
        <f>IF(AND($O4204=$Q$7,$B4204&lt;'111'!$L$11),"x","")</f>
        <v/>
      </c>
      <c r="T4204" s="75" t="str">
        <f>IF(ISERROR(FIND('112'!$M$9,G4204,1)),"",IF((AND(FIND('112'!$M$9,G4204,1)&gt;=1,B4204='112'!$K$9,OR($N4204='112'!$I$6,$O4204='112'!$I$6))),"x",""))</f>
        <v/>
      </c>
      <c r="U4204" s="75" t="str">
        <f>IF(ISERROR(FIND('112'!$M$9,G4204,1)),"",IF((AND(LEFT(G4204,2)=LEFT('112'!$M$9,2),B4204&lt;'112'!$K$9,$N4204='112'!$I$6)),"x",""))</f>
        <v/>
      </c>
      <c r="V4204" s="75" t="str">
        <f>IF(ISERROR(FIND('112'!$M$9,G4204,1)),"",IF((AND(RIGHT(G4204,2)=RIGHT('112'!$M$9,2),B4204&lt;'112'!$K$9,$O4204='112'!$I$6)),"x",""))</f>
        <v/>
      </c>
      <c r="W4204" s="75" t="str">
        <f>IF(AND('341-CT'!$H$9=H4204,OR(LEFT(N4204,3)=$W$7,LEFT(O4204,3)=$W$7)),"x","")</f>
        <v/>
      </c>
      <c r="X4204" s="75" t="str">
        <f>IF(OR(TH!N5209=TH!$X$7,O4204=TH!$X$7),"x","")</f>
        <v/>
      </c>
      <c r="Y4204" s="75" t="str">
        <f>IF(AND(OR(N4204="131",O4204="131"),H4204='131-CT'!$H$9),"x","")</f>
        <v/>
      </c>
      <c r="Z4204" s="75"/>
      <c r="AA4204" s="75" t="str">
        <f>IF(AND(MONTH(E4204)='IN-NX'!$J$5,'IN-NX'!$D$7=D4204),"x","")</f>
        <v/>
      </c>
      <c r="AB4204" s="75" t="str">
        <f>IF(AND(OR(LEFT(TH!N5209,2)="15",LEFT(TH!O5209,2)="15"),LEFT(TH!O5209,3)&lt;&gt;"111",'152-CT'!$J$8=TH!F5209),"x","")</f>
        <v/>
      </c>
      <c r="AC4204" s="75" t="str">
        <f>IF(AND(OR(LEFT(TH!N5209,2)="15",LEFT(TH!O5209,2)="15"),TK!$E$7=TH!F5209),"x","")</f>
        <v/>
      </c>
      <c r="AD4204" s="75" t="str">
        <f>IF(AND(N4204="1521",MONTH(C4204)='BK-NL'!$M$11),"x","")</f>
        <v/>
      </c>
    </row>
    <row r="4205" spans="1:33" ht="16.5" customHeight="1">
      <c r="A4205" s="309" t="str">
        <f>IF(B4205&lt;&gt;"",IF(AND(B4205='IN-TC'!$S$4,OR(TH!N4201="1111",TH!O4201="1111")),TH!D4201,""),"")</f>
        <v/>
      </c>
      <c r="B4205" s="1242">
        <f t="shared" si="1316"/>
        <v>5</v>
      </c>
      <c r="C4205" s="292">
        <f t="shared" si="1315"/>
        <v>42884</v>
      </c>
      <c r="D4205" s="59" t="s">
        <v>530</v>
      </c>
      <c r="E4205" s="292">
        <v>42884</v>
      </c>
      <c r="F4205" s="131" t="s">
        <v>1010</v>
      </c>
      <c r="G4205" s="62" t="s">
        <v>747</v>
      </c>
      <c r="H4205" s="294" t="s">
        <v>2452</v>
      </c>
      <c r="I4205" s="373"/>
      <c r="J4205" s="379"/>
      <c r="K4205" s="373"/>
      <c r="L4205" s="379"/>
      <c r="M4205" s="60">
        <v>1260000</v>
      </c>
      <c r="N4205" s="61" t="s">
        <v>99</v>
      </c>
      <c r="O4205" s="61" t="s">
        <v>250</v>
      </c>
      <c r="P4205" s="75" t="str">
        <f>IF(AND('331-CT'!$E$7=TH!H5210,OR(N4205="331",O4205="331")),"x","")</f>
        <v/>
      </c>
      <c r="Q4205" s="75" t="str">
        <f>IF(AND(B4205='111'!$L$11,OR($N4205=$Q$7,$O4205=$Q$7)),"x","")</f>
        <v/>
      </c>
      <c r="R4205" s="75" t="str">
        <f>IF(AND($N4205=$Q$7,$B4205&lt;'111'!$L$11),"x","")</f>
        <v/>
      </c>
      <c r="S4205" s="75" t="str">
        <f>IF(AND($O4205=$Q$7,$B4205&lt;'111'!$L$11),"x","")</f>
        <v/>
      </c>
      <c r="T4205" s="75" t="str">
        <f>IF(ISERROR(FIND('112'!$M$9,G4205,1)),"",IF((AND(FIND('112'!$M$9,G4205,1)&gt;=1,B4205='112'!$K$9,OR($N4205='112'!$I$6,$O4205='112'!$I$6))),"x",""))</f>
        <v/>
      </c>
      <c r="U4205" s="75" t="str">
        <f>IF(ISERROR(FIND('112'!$M$9,G4205,1)),"",IF((AND(LEFT(G4205,2)=LEFT('112'!$M$9,2),B4205&lt;'112'!$K$9,$N4205='112'!$I$6)),"x",""))</f>
        <v/>
      </c>
      <c r="V4205" s="75" t="str">
        <f>IF(ISERROR(FIND('112'!$M$9,G4205,1)),"",IF((AND(RIGHT(G4205,2)=RIGHT('112'!$M$9,2),B4205&lt;'112'!$K$9,$O4205='112'!$I$6)),"x",""))</f>
        <v/>
      </c>
      <c r="W4205" s="75" t="str">
        <f>IF(AND('341-CT'!$H$9=H4205,OR(LEFT(N4205,3)=$W$7,LEFT(O4205,3)=$W$7)),"x","")</f>
        <v/>
      </c>
      <c r="X4205" s="75" t="str">
        <f>IF(OR(TH!N5210=TH!$X$7,O4205=TH!$X$7),"x","")</f>
        <v/>
      </c>
      <c r="Y4205" s="75" t="str">
        <f>IF(AND(OR(N4205="131",O4205="131"),H4205='131-CT'!$H$9),"x","")</f>
        <v/>
      </c>
      <c r="Z4205" s="75"/>
      <c r="AA4205" s="75" t="str">
        <f>IF(AND(MONTH(E4205)='IN-NX'!$J$5,'IN-NX'!$D$7=D4205),"x","")</f>
        <v/>
      </c>
      <c r="AB4205" s="75" t="str">
        <f>IF(AND(OR(LEFT(TH!N5210,2)="15",LEFT(TH!O5210,2)="15"),LEFT(TH!O5210,3)&lt;&gt;"111",'152-CT'!$J$8=TH!F5210),"x","")</f>
        <v/>
      </c>
      <c r="AC4205" s="75" t="str">
        <f>IF(AND(OR(LEFT(TH!N5210,2)="15",LEFT(TH!O5210,2)="15"),TK!$E$7=TH!F5210),"x","")</f>
        <v/>
      </c>
      <c r="AD4205" s="75" t="str">
        <f>IF(AND(N4205="1521",MONTH(C4205)='BK-NL'!$M$11),"x","")</f>
        <v/>
      </c>
    </row>
    <row r="4206" spans="1:33" ht="16.5" customHeight="1">
      <c r="A4206" s="309" t="str">
        <f>IF(B4206&lt;&gt;"",IF(AND(B4206='IN-TC'!$S$4,OR(TH!N4202="1111",TH!O4202="1111")),TH!D4202,""),"")</f>
        <v/>
      </c>
      <c r="B4206" s="1242">
        <f t="shared" si="1316"/>
        <v>5</v>
      </c>
      <c r="C4206" s="292">
        <f t="shared" si="1315"/>
        <v>42885</v>
      </c>
      <c r="D4206" s="292" t="s">
        <v>1981</v>
      </c>
      <c r="E4206" s="929">
        <v>42885</v>
      </c>
      <c r="F4206" s="1126" t="s">
        <v>1165</v>
      </c>
      <c r="G4206" s="931" t="s">
        <v>1482</v>
      </c>
      <c r="H4206" s="296" t="s">
        <v>796</v>
      </c>
      <c r="I4206" s="371"/>
      <c r="J4206" s="932"/>
      <c r="K4206" s="371"/>
      <c r="L4206" s="377"/>
      <c r="M4206" s="933">
        <v>19650400</v>
      </c>
      <c r="N4206" s="934" t="s">
        <v>8</v>
      </c>
      <c r="O4206" s="934" t="s">
        <v>63</v>
      </c>
      <c r="P4206" s="75" t="str">
        <f>IF(AND('331-CT'!$E$7=TH!H3681,OR(N4206="331",O4206="331")),"x","")</f>
        <v/>
      </c>
      <c r="Q4206" s="75" t="str">
        <f>IF(AND(B4206='111'!$L$11,OR($N4206=$Q$7,$O4206=$Q$7)),"x","")</f>
        <v/>
      </c>
      <c r="R4206" s="75" t="str">
        <f>IF(AND($N4206=$Q$7,$B4206&lt;'111'!$L$11),"x","")</f>
        <v/>
      </c>
      <c r="S4206" s="75" t="str">
        <f>IF(AND($O4206=$Q$7,$B4206&lt;'111'!$L$11),"x","")</f>
        <v>x</v>
      </c>
      <c r="T4206" s="75" t="str">
        <f>IF(ISERROR(FIND('112'!$M$9,G4206,1)),"",IF((AND(FIND('112'!$M$9,G4206,1)&gt;=1,B4206='112'!$K$9,OR($N4206='112'!$I$6,$O4206='112'!$I$6))),"x",""))</f>
        <v/>
      </c>
      <c r="U4206" s="75" t="str">
        <f>IF(ISERROR(FIND('112'!$M$9,G4206,1)),"",IF((AND(LEFT(G4206,2)=LEFT('112'!$M$9,2),B4206&lt;'112'!$K$9,$N4206='112'!$I$6)),"x",""))</f>
        <v/>
      </c>
      <c r="V4206" s="75" t="str">
        <f>IF(ISERROR(FIND('112'!$M$9,G4206,1)),"",IF((AND(RIGHT(G4206,2)=RIGHT('112'!$M$9,2),B4206&lt;'112'!$K$9,$O4206='112'!$I$6)),"x",""))</f>
        <v/>
      </c>
      <c r="W4206" s="75" t="str">
        <f>IF(AND('341-CT'!$H$9=H4206,OR(LEFT(N4206,3)=$W$7,LEFT(O4206,3)=$W$7)),"x","")</f>
        <v/>
      </c>
      <c r="X4206" s="75" t="str">
        <f>IF(OR(TH!N3681=TH!$X$7,O4206=TH!$X$7),"x","")</f>
        <v/>
      </c>
      <c r="Y4206" s="75" t="str">
        <f>IF(AND(OR(N4206="131",O4206="131"),H4206='131-CT'!$H$9),"x","")</f>
        <v/>
      </c>
      <c r="Z4206" s="75"/>
      <c r="AA4206" s="75" t="str">
        <f>IF(AND(MONTH(E4206)='IN-NX'!$J$5,'IN-NX'!$D$7=D4206),"x","")</f>
        <v/>
      </c>
      <c r="AB4206" s="75" t="str">
        <f>IF(AND(OR(LEFT(TH!N3681,2)="15",LEFT(TH!O3681,2)="15"),LEFT(TH!O3681,3)&lt;&gt;"111",'152-CT'!$J$8=TH!F3681),"x","")</f>
        <v/>
      </c>
      <c r="AC4206" s="75" t="str">
        <f>IF(AND(OR(LEFT(TH!N3681,2)="15",LEFT(TH!O3681,2)="15"),TK!$E$7=TH!F3681),"x","")</f>
        <v/>
      </c>
      <c r="AD4206" s="75" t="str">
        <f>IF(AND(N4206="1521",MONTH(C4206)='BK-NL'!$M$11),"x","")</f>
        <v/>
      </c>
    </row>
    <row r="4207" spans="1:33" ht="16.5" customHeight="1">
      <c r="A4207" s="309" t="str">
        <f>IF(B4207&lt;&gt;"",IF(AND(B4207='IN-TC'!$S$4,OR(TH!N4203="1111",TH!O4203="1111")),TH!D4203,""),"")</f>
        <v/>
      </c>
      <c r="B4207" s="1242">
        <f t="shared" si="1316"/>
        <v>5</v>
      </c>
      <c r="C4207" s="292">
        <f t="shared" si="1315"/>
        <v>42885</v>
      </c>
      <c r="D4207" s="292" t="s">
        <v>902</v>
      </c>
      <c r="E4207" s="292">
        <v>42885</v>
      </c>
      <c r="F4207" s="1127" t="s">
        <v>1549</v>
      </c>
      <c r="G4207" s="293" t="s">
        <v>747</v>
      </c>
      <c r="H4207" s="294" t="s">
        <v>835</v>
      </c>
      <c r="I4207" s="373"/>
      <c r="J4207" s="379"/>
      <c r="K4207" s="373"/>
      <c r="L4207" s="379"/>
      <c r="M4207" s="60">
        <v>113800</v>
      </c>
      <c r="N4207" s="295" t="s">
        <v>101</v>
      </c>
      <c r="O4207" s="61" t="s">
        <v>26</v>
      </c>
      <c r="P4207" s="75" t="str">
        <f>IF(AND('331-CT'!$E$7=TH!H5211,OR(N4207="331",O4207="331")),"x","")</f>
        <v/>
      </c>
      <c r="Q4207" s="75" t="str">
        <f>IF(AND(B4207='111'!$L$11,OR($N4207=$Q$7,$O4207=$Q$7)),"x","")</f>
        <v/>
      </c>
      <c r="R4207" s="75" t="str">
        <f>IF(AND($N4207=$Q$7,$B4207&lt;'111'!$L$11),"x","")</f>
        <v/>
      </c>
      <c r="S4207" s="75" t="str">
        <f>IF(AND($O4207=$Q$7,$B4207&lt;'111'!$L$11),"x","")</f>
        <v/>
      </c>
      <c r="T4207" s="75" t="str">
        <f>IF(ISERROR(FIND('112'!$M$9,G4207,1)),"",IF((AND(FIND('112'!$M$9,G4207,1)&gt;=1,B4207='112'!$K$9,OR($N4207='112'!$I$6,$O4207='112'!$I$6))),"x",""))</f>
        <v/>
      </c>
      <c r="U4207" s="75" t="str">
        <f>IF(ISERROR(FIND('112'!$M$9,G4207,1)),"",IF((AND(LEFT(G4207,2)=LEFT('112'!$M$9,2),B4207&lt;'112'!$K$9,$N4207='112'!$I$6)),"x",""))</f>
        <v/>
      </c>
      <c r="V4207" s="75" t="str">
        <f>IF(ISERROR(FIND('112'!$M$9,G4207,1)),"",IF((AND(RIGHT(G4207,2)=RIGHT('112'!$M$9,2),B4207&lt;'112'!$K$9,$O4207='112'!$I$6)),"x",""))</f>
        <v/>
      </c>
      <c r="W4207" s="75" t="str">
        <f>IF(AND('341-CT'!$H$9=H4207,OR(LEFT(N4207,3)=$W$7,LEFT(O4207,3)=$W$7)),"x","")</f>
        <v/>
      </c>
      <c r="X4207" s="75" t="str">
        <f>IF(OR(TH!N5211=TH!$X$7,O4207=TH!$X$7),"x","")</f>
        <v/>
      </c>
      <c r="Y4207" s="75" t="str">
        <f>IF(AND(OR(N4207="131",O4207="131"),H4207='131-CT'!$H$9),"x","")</f>
        <v/>
      </c>
      <c r="Z4207" s="75"/>
      <c r="AA4207" s="75" t="str">
        <f>IF(AND(MONTH(E4207)='IN-NX'!$J$5,'IN-NX'!$D$7=D4207),"x","")</f>
        <v/>
      </c>
      <c r="AB4207" s="75" t="str">
        <f>IF(AND(OR(LEFT(TH!N5211,2)="15",LEFT(TH!O5211,2)="15"),LEFT(TH!O5211,3)&lt;&gt;"111",'152-CT'!$J$8=TH!F5211),"x","")</f>
        <v/>
      </c>
      <c r="AC4207" s="75" t="str">
        <f>IF(AND(OR(LEFT(TH!N5211,2)="15",LEFT(TH!O5211,2)="15"),TK!$E$7=TH!F5211),"x","")</f>
        <v/>
      </c>
      <c r="AD4207" s="75" t="str">
        <f>IF(AND(N4207="1521",MONTH(C4207)='BK-NL'!$M$11),"x","")</f>
        <v/>
      </c>
    </row>
    <row r="4208" spans="1:33" ht="16.5" customHeight="1">
      <c r="A4208" s="309" t="str">
        <f>IF(B4208&lt;&gt;"",IF(AND(B4208='IN-TC'!$S$4,OR(TH!N4204="1111",TH!O4204="1111")),TH!D4204,""),"")</f>
        <v/>
      </c>
      <c r="B4208" s="1242">
        <f t="shared" si="1316"/>
        <v>5</v>
      </c>
      <c r="C4208" s="292">
        <f t="shared" si="1315"/>
        <v>42885</v>
      </c>
      <c r="D4208" s="292" t="s">
        <v>902</v>
      </c>
      <c r="E4208" s="292">
        <v>42885</v>
      </c>
      <c r="F4208" s="1127" t="s">
        <v>1552</v>
      </c>
      <c r="G4208" s="293" t="s">
        <v>747</v>
      </c>
      <c r="H4208" s="294" t="s">
        <v>835</v>
      </c>
      <c r="I4208" s="373"/>
      <c r="J4208" s="379"/>
      <c r="K4208" s="373"/>
      <c r="L4208" s="379"/>
      <c r="M4208" s="60">
        <v>11380</v>
      </c>
      <c r="N4208" s="295" t="s">
        <v>9</v>
      </c>
      <c r="O4208" s="61" t="s">
        <v>26</v>
      </c>
      <c r="P4208" s="75" t="str">
        <f>IF(AND('331-CT'!$E$7=TH!H5212,OR(N4208="331",O4208="331")),"x","")</f>
        <v/>
      </c>
      <c r="Q4208" s="75" t="str">
        <f>IF(AND(B4208='111'!$L$11,OR($N4208=$Q$7,$O4208=$Q$7)),"x","")</f>
        <v/>
      </c>
      <c r="R4208" s="75" t="str">
        <f>IF(AND($N4208=$Q$7,$B4208&lt;'111'!$L$11),"x","")</f>
        <v/>
      </c>
      <c r="S4208" s="75" t="str">
        <f>IF(AND($O4208=$Q$7,$B4208&lt;'111'!$L$11),"x","")</f>
        <v/>
      </c>
      <c r="T4208" s="75" t="str">
        <f>IF(ISERROR(FIND('112'!$M$9,G4208,1)),"",IF((AND(FIND('112'!$M$9,G4208,1)&gt;=1,B4208='112'!$K$9,OR($N4208='112'!$I$6,$O4208='112'!$I$6))),"x",""))</f>
        <v/>
      </c>
      <c r="U4208" s="75" t="str">
        <f>IF(ISERROR(FIND('112'!$M$9,G4208,1)),"",IF((AND(LEFT(G4208,2)=LEFT('112'!$M$9,2),B4208&lt;'112'!$K$9,$N4208='112'!$I$6)),"x",""))</f>
        <v/>
      </c>
      <c r="V4208" s="75" t="str">
        <f>IF(ISERROR(FIND('112'!$M$9,G4208,1)),"",IF((AND(RIGHT(G4208,2)=RIGHT('112'!$M$9,2),B4208&lt;'112'!$K$9,$O4208='112'!$I$6)),"x",""))</f>
        <v/>
      </c>
      <c r="W4208" s="75" t="str">
        <f>IF(AND('341-CT'!$H$9=H4208,OR(LEFT(N4208,3)=$W$7,LEFT(O4208,3)=$W$7)),"x","")</f>
        <v/>
      </c>
      <c r="X4208" s="75" t="str">
        <f>IF(OR(TH!N5212=TH!$X$7,O4208=TH!$X$7),"x","")</f>
        <v/>
      </c>
      <c r="Y4208" s="75" t="str">
        <f>IF(AND(OR(N4208="131",O4208="131"),H4208='131-CT'!$H$9),"x","")</f>
        <v/>
      </c>
      <c r="Z4208" s="75"/>
      <c r="AA4208" s="75" t="str">
        <f>IF(AND(MONTH(E4208)='IN-NX'!$J$5,'IN-NX'!$D$7=D4208),"x","")</f>
        <v/>
      </c>
      <c r="AB4208" s="75" t="str">
        <f>IF(AND(OR(LEFT(TH!N5212,2)="15",LEFT(TH!O5212,2)="15"),LEFT(TH!O5212,3)&lt;&gt;"111",'152-CT'!$J$8=TH!F5212),"x","")</f>
        <v/>
      </c>
      <c r="AC4208" s="75" t="str">
        <f>IF(AND(OR(LEFT(TH!N5212,2)="15",LEFT(TH!O5212,2)="15"),TK!$E$7=TH!F5212),"x","")</f>
        <v/>
      </c>
      <c r="AD4208" s="75" t="str">
        <f>IF(AND(N4208="1521",MONTH(C4208)='BK-NL'!$M$11),"x","")</f>
        <v/>
      </c>
    </row>
    <row r="4209" spans="1:30" ht="16.5" customHeight="1">
      <c r="A4209" s="309" t="str">
        <f>IF(B4209&lt;&gt;"",IF(AND(B4209='IN-TC'!$S$4,OR(TH!N4205="1111",TH!O4205="1111")),TH!D4205,""),"")</f>
        <v/>
      </c>
      <c r="B4209" s="1242">
        <f t="shared" si="1316"/>
        <v>5</v>
      </c>
      <c r="C4209" s="292">
        <f t="shared" si="1315"/>
        <v>42885</v>
      </c>
      <c r="D4209" s="292" t="s">
        <v>902</v>
      </c>
      <c r="E4209" s="292">
        <v>42885</v>
      </c>
      <c r="F4209" s="1127" t="s">
        <v>1549</v>
      </c>
      <c r="G4209" s="293" t="s">
        <v>747</v>
      </c>
      <c r="H4209" s="294" t="s">
        <v>835</v>
      </c>
      <c r="I4209" s="373"/>
      <c r="J4209" s="379"/>
      <c r="K4209" s="373"/>
      <c r="L4209" s="379"/>
      <c r="M4209" s="60">
        <v>1437977</v>
      </c>
      <c r="N4209" s="295" t="s">
        <v>101</v>
      </c>
      <c r="O4209" s="61" t="s">
        <v>26</v>
      </c>
      <c r="P4209" s="75" t="str">
        <f>IF(AND('331-CT'!$E$7=TH!H5213,OR(N4209="331",O4209="331")),"x","")</f>
        <v/>
      </c>
      <c r="Q4209" s="75" t="str">
        <f>IF(AND(B4209='111'!$L$11,OR($N4209=$Q$7,$O4209=$Q$7)),"x","")</f>
        <v/>
      </c>
      <c r="R4209" s="75" t="str">
        <f>IF(AND($N4209=$Q$7,$B4209&lt;'111'!$L$11),"x","")</f>
        <v/>
      </c>
      <c r="S4209" s="75" t="str">
        <f>IF(AND($O4209=$Q$7,$B4209&lt;'111'!$L$11),"x","")</f>
        <v/>
      </c>
      <c r="T4209" s="75" t="str">
        <f>IF(ISERROR(FIND('112'!$M$9,G4209,1)),"",IF((AND(FIND('112'!$M$9,G4209,1)&gt;=1,B4209='112'!$K$9,OR($N4209='112'!$I$6,$O4209='112'!$I$6))),"x",""))</f>
        <v/>
      </c>
      <c r="U4209" s="75" t="str">
        <f>IF(ISERROR(FIND('112'!$M$9,G4209,1)),"",IF((AND(LEFT(G4209,2)=LEFT('112'!$M$9,2),B4209&lt;'112'!$K$9,$N4209='112'!$I$6)),"x",""))</f>
        <v/>
      </c>
      <c r="V4209" s="75" t="str">
        <f>IF(ISERROR(FIND('112'!$M$9,G4209,1)),"",IF((AND(RIGHT(G4209,2)=RIGHT('112'!$M$9,2),B4209&lt;'112'!$K$9,$O4209='112'!$I$6)),"x",""))</f>
        <v/>
      </c>
      <c r="W4209" s="75" t="str">
        <f>IF(AND('341-CT'!$H$9=H4209,OR(LEFT(N4209,3)=$W$7,LEFT(O4209,3)=$W$7)),"x","")</f>
        <v/>
      </c>
      <c r="X4209" s="75" t="str">
        <f>IF(OR(TH!N5213=TH!$X$7,O4209=TH!$X$7),"x","")</f>
        <v/>
      </c>
      <c r="Y4209" s="75" t="str">
        <f>IF(AND(OR(N4209="131",O4209="131"),H4209='131-CT'!$H$9),"x","")</f>
        <v/>
      </c>
      <c r="Z4209" s="75"/>
      <c r="AA4209" s="75" t="str">
        <f>IF(AND(MONTH(E4209)='IN-NX'!$J$5,'IN-NX'!$D$7=D4209),"x","")</f>
        <v/>
      </c>
      <c r="AB4209" s="75" t="str">
        <f>IF(AND(OR(LEFT(TH!N5213,2)="15",LEFT(TH!O5213,2)="15"),LEFT(TH!O5213,3)&lt;&gt;"111",'152-CT'!$J$8=TH!F5213),"x","")</f>
        <v/>
      </c>
      <c r="AC4209" s="75" t="str">
        <f>IF(AND(OR(LEFT(TH!N5213,2)="15",LEFT(TH!O5213,2)="15"),TK!$E$7=TH!F5213),"x","")</f>
        <v/>
      </c>
      <c r="AD4209" s="75" t="str">
        <f>IF(AND(N4209="1521",MONTH(C4209)='BK-NL'!$M$11),"x","")</f>
        <v/>
      </c>
    </row>
    <row r="4210" spans="1:30" ht="16.5" customHeight="1">
      <c r="A4210" s="309" t="str">
        <f>IF(B4210&lt;&gt;"",IF(AND(B4210='IN-TC'!$S$4,OR(TH!N4206="1111",TH!O4206="1111")),TH!D4206,""),"")</f>
        <v/>
      </c>
      <c r="B4210" s="1242">
        <f t="shared" si="1316"/>
        <v>5</v>
      </c>
      <c r="C4210" s="292">
        <f t="shared" si="1315"/>
        <v>42885</v>
      </c>
      <c r="D4210" s="292" t="s">
        <v>902</v>
      </c>
      <c r="E4210" s="292">
        <v>42885</v>
      </c>
      <c r="F4210" s="1127" t="s">
        <v>1552</v>
      </c>
      <c r="G4210" s="293" t="s">
        <v>747</v>
      </c>
      <c r="H4210" s="294" t="s">
        <v>835</v>
      </c>
      <c r="I4210" s="373"/>
      <c r="J4210" s="379"/>
      <c r="K4210" s="373"/>
      <c r="L4210" s="379"/>
      <c r="M4210" s="60">
        <v>143798</v>
      </c>
      <c r="N4210" s="295" t="s">
        <v>9</v>
      </c>
      <c r="O4210" s="61" t="s">
        <v>26</v>
      </c>
      <c r="P4210" s="75" t="str">
        <f>IF(AND('331-CT'!$E$7=TH!H5214,OR(N4210="331",O4210="331")),"x","")</f>
        <v/>
      </c>
      <c r="Q4210" s="75" t="str">
        <f>IF(AND(B4210='111'!$L$11,OR($N4210=$Q$7,$O4210=$Q$7)),"x","")</f>
        <v/>
      </c>
      <c r="R4210" s="75" t="str">
        <f>IF(AND($N4210=$Q$7,$B4210&lt;'111'!$L$11),"x","")</f>
        <v/>
      </c>
      <c r="S4210" s="75" t="str">
        <f>IF(AND($O4210=$Q$7,$B4210&lt;'111'!$L$11),"x","")</f>
        <v/>
      </c>
      <c r="T4210" s="75" t="str">
        <f>IF(ISERROR(FIND('112'!$M$9,G4210,1)),"",IF((AND(FIND('112'!$M$9,G4210,1)&gt;=1,B4210='112'!$K$9,OR($N4210='112'!$I$6,$O4210='112'!$I$6))),"x",""))</f>
        <v/>
      </c>
      <c r="U4210" s="75" t="str">
        <f>IF(ISERROR(FIND('112'!$M$9,G4210,1)),"",IF((AND(LEFT(G4210,2)=LEFT('112'!$M$9,2),B4210&lt;'112'!$K$9,$N4210='112'!$I$6)),"x",""))</f>
        <v/>
      </c>
      <c r="V4210" s="75" t="str">
        <f>IF(ISERROR(FIND('112'!$M$9,G4210,1)),"",IF((AND(RIGHT(G4210,2)=RIGHT('112'!$M$9,2),B4210&lt;'112'!$K$9,$O4210='112'!$I$6)),"x",""))</f>
        <v/>
      </c>
      <c r="W4210" s="75" t="str">
        <f>IF(AND('341-CT'!$H$9=H4210,OR(LEFT(N4210,3)=$W$7,LEFT(O4210,3)=$W$7)),"x","")</f>
        <v/>
      </c>
      <c r="X4210" s="75" t="str">
        <f>IF(OR(TH!N5214=TH!$X$7,O4210=TH!$X$7),"x","")</f>
        <v/>
      </c>
      <c r="Y4210" s="75" t="str">
        <f>IF(AND(OR(N4210="131",O4210="131"),H4210='131-CT'!$H$9),"x","")</f>
        <v/>
      </c>
      <c r="Z4210" s="75"/>
      <c r="AA4210" s="75" t="str">
        <f>IF(AND(MONTH(E4210)='IN-NX'!$J$5,'IN-NX'!$D$7=D4210),"x","")</f>
        <v/>
      </c>
      <c r="AB4210" s="75" t="str">
        <f>IF(AND(OR(LEFT(TH!N5214,2)="15",LEFT(TH!O5214,2)="15"),LEFT(TH!O5214,3)&lt;&gt;"111",'152-CT'!$J$8=TH!F5214),"x","")</f>
        <v/>
      </c>
      <c r="AC4210" s="75" t="str">
        <f>IF(AND(OR(LEFT(TH!N5214,2)="15",LEFT(TH!O5214,2)="15"),TK!$E$7=TH!F5214),"x","")</f>
        <v/>
      </c>
      <c r="AD4210" s="75" t="str">
        <f>IF(AND(N4210="1521",MONTH(C4210)='BK-NL'!$M$11),"x","")</f>
        <v/>
      </c>
    </row>
    <row r="4211" spans="1:30" ht="16.5" customHeight="1">
      <c r="A4211" s="309" t="str">
        <f>IF(B4211&lt;&gt;"",IF(AND(B4211='IN-TC'!$S$4,OR(TH!N4207="1111",TH!O4207="1111")),TH!D4207,""),"")</f>
        <v/>
      </c>
      <c r="B4211" s="1242">
        <f t="shared" si="1316"/>
        <v>5</v>
      </c>
      <c r="C4211" s="292">
        <f t="shared" ref="C4211:C4274" si="1317">E4211</f>
        <v>42886</v>
      </c>
      <c r="D4211" s="292" t="s">
        <v>1982</v>
      </c>
      <c r="E4211" s="292">
        <v>42886</v>
      </c>
      <c r="F4211" s="67" t="s">
        <v>877</v>
      </c>
      <c r="G4211" s="925" t="s">
        <v>1526</v>
      </c>
      <c r="H4211" s="294" t="s">
        <v>880</v>
      </c>
      <c r="I4211" s="373"/>
      <c r="J4211" s="926"/>
      <c r="K4211" s="373"/>
      <c r="L4211" s="379"/>
      <c r="M4211" s="927">
        <v>764545</v>
      </c>
      <c r="N4211" s="295" t="s">
        <v>101</v>
      </c>
      <c r="O4211" s="295" t="s">
        <v>63</v>
      </c>
      <c r="P4211" s="75" t="str">
        <f>IF(AND('331-CT'!$E$7=TH!H3682,OR(N4211="331",O4211="331")),"x","")</f>
        <v/>
      </c>
      <c r="Q4211" s="75" t="str">
        <f>IF(AND(B4211='111'!$L$11,OR($N4211=$Q$7,$O4211=$Q$7)),"x","")</f>
        <v/>
      </c>
      <c r="R4211" s="75" t="str">
        <f>IF(AND($N4211=$Q$7,$B4211&lt;'111'!$L$11),"x","")</f>
        <v/>
      </c>
      <c r="S4211" s="75" t="str">
        <f>IF(AND($O4211=$Q$7,$B4211&lt;'111'!$L$11),"x","")</f>
        <v>x</v>
      </c>
      <c r="T4211" s="75" t="str">
        <f>IF(ISERROR(FIND('112'!$M$9,G4211,1)),"",IF((AND(FIND('112'!$M$9,G4211,1)&gt;=1,B4211='112'!$K$9,OR($N4211='112'!$I$6,$O4211='112'!$I$6))),"x",""))</f>
        <v/>
      </c>
      <c r="U4211" s="75" t="str">
        <f>IF(ISERROR(FIND('112'!$M$9,G4211,1)),"",IF((AND(LEFT(G4211,2)=LEFT('112'!$M$9,2),B4211&lt;'112'!$K$9,$N4211='112'!$I$6)),"x",""))</f>
        <v/>
      </c>
      <c r="V4211" s="75" t="str">
        <f>IF(ISERROR(FIND('112'!$M$9,G4211,1)),"",IF((AND(RIGHT(G4211,2)=RIGHT('112'!$M$9,2),B4211&lt;'112'!$K$9,$O4211='112'!$I$6)),"x",""))</f>
        <v/>
      </c>
      <c r="W4211" s="75" t="str">
        <f>IF(AND('341-CT'!$H$9=H4211,OR(LEFT(N4211,3)=$W$7,LEFT(O4211,3)=$W$7)),"x","")</f>
        <v/>
      </c>
      <c r="X4211" s="75" t="str">
        <f>IF(OR(TH!N3682=TH!$X$7,O4211=TH!$X$7),"x","")</f>
        <v/>
      </c>
      <c r="Y4211" s="75" t="str">
        <f>IF(AND(OR(N4211="131",O4211="131"),H4211='131-CT'!$H$9),"x","")</f>
        <v/>
      </c>
      <c r="Z4211" s="75"/>
      <c r="AA4211" s="75" t="str">
        <f>IF(AND(MONTH(E4211)='IN-NX'!$J$5,'IN-NX'!$D$7=D4211),"x","")</f>
        <v/>
      </c>
      <c r="AB4211" s="75" t="str">
        <f>IF(AND(OR(LEFT(TH!N3682,2)="15",LEFT(TH!O3682,2)="15"),LEFT(TH!O3682,3)&lt;&gt;"111",'152-CT'!$J$8=TH!F3682),"x","")</f>
        <v/>
      </c>
      <c r="AC4211" s="75" t="str">
        <f>IF(AND(OR(LEFT(TH!N3682,2)="15",LEFT(TH!O3682,2)="15"),TK!$E$7=TH!F3682),"x","")</f>
        <v/>
      </c>
      <c r="AD4211" s="75" t="str">
        <f>IF(AND(N4211="1521",MONTH(C4211)='BK-NL'!$M$11),"x","")</f>
        <v/>
      </c>
    </row>
    <row r="4212" spans="1:30" ht="16.5" customHeight="1">
      <c r="A4212" s="309" t="str">
        <f>IF(B4212&lt;&gt;"",IF(AND(B4212='IN-TC'!$S$4,OR(TH!N4208="1111",TH!O4208="1111")),TH!D4208,""),"")</f>
        <v/>
      </c>
      <c r="B4212" s="1242">
        <f t="shared" si="1316"/>
        <v>5</v>
      </c>
      <c r="C4212" s="292">
        <f t="shared" si="1317"/>
        <v>42886</v>
      </c>
      <c r="D4212" s="292" t="s">
        <v>1982</v>
      </c>
      <c r="E4212" s="292">
        <v>42886</v>
      </c>
      <c r="F4212" s="67" t="s">
        <v>1246</v>
      </c>
      <c r="G4212" s="925" t="s">
        <v>1526</v>
      </c>
      <c r="H4212" s="294" t="s">
        <v>880</v>
      </c>
      <c r="I4212" s="373"/>
      <c r="J4212" s="926"/>
      <c r="K4212" s="373"/>
      <c r="L4212" s="379"/>
      <c r="M4212" s="927">
        <v>76455</v>
      </c>
      <c r="N4212" s="295" t="s">
        <v>9</v>
      </c>
      <c r="O4212" s="295" t="s">
        <v>63</v>
      </c>
      <c r="P4212" s="75" t="str">
        <f>IF(AND('331-CT'!$E$7=TH!H3683,OR(N4212="331",O4212="331")),"x","")</f>
        <v/>
      </c>
      <c r="Q4212" s="75" t="str">
        <f>IF(AND(B4212='111'!$L$11,OR($N4212=$Q$7,$O4212=$Q$7)),"x","")</f>
        <v/>
      </c>
      <c r="R4212" s="75" t="str">
        <f>IF(AND($N4212=$Q$7,$B4212&lt;'111'!$L$11),"x","")</f>
        <v/>
      </c>
      <c r="S4212" s="75" t="str">
        <f>IF(AND($O4212=$Q$7,$B4212&lt;'111'!$L$11),"x","")</f>
        <v>x</v>
      </c>
      <c r="T4212" s="75" t="str">
        <f>IF(ISERROR(FIND('112'!$M$9,G4212,1)),"",IF((AND(FIND('112'!$M$9,G4212,1)&gt;=1,B4212='112'!$K$9,OR($N4212='112'!$I$6,$O4212='112'!$I$6))),"x",""))</f>
        <v/>
      </c>
      <c r="U4212" s="75" t="str">
        <f>IF(ISERROR(FIND('112'!$M$9,G4212,1)),"",IF((AND(LEFT(G4212,2)=LEFT('112'!$M$9,2),B4212&lt;'112'!$K$9,$N4212='112'!$I$6)),"x",""))</f>
        <v/>
      </c>
      <c r="V4212" s="75" t="str">
        <f>IF(ISERROR(FIND('112'!$M$9,G4212,1)),"",IF((AND(RIGHT(G4212,2)=RIGHT('112'!$M$9,2),B4212&lt;'112'!$K$9,$O4212='112'!$I$6)),"x",""))</f>
        <v/>
      </c>
      <c r="W4212" s="75" t="str">
        <f>IF(AND('341-CT'!$H$9=H4212,OR(LEFT(N4212,3)=$W$7,LEFT(O4212,3)=$W$7)),"x","")</f>
        <v/>
      </c>
      <c r="X4212" s="75" t="str">
        <f>IF(OR(TH!N3683=TH!$X$7,O4212=TH!$X$7),"x","")</f>
        <v/>
      </c>
      <c r="Y4212" s="75" t="str">
        <f>IF(AND(OR(N4212="131",O4212="131"),H4212='131-CT'!$H$9),"x","")</f>
        <v/>
      </c>
      <c r="Z4212" s="75"/>
      <c r="AA4212" s="75" t="str">
        <f>IF(AND(MONTH(E4212)='IN-NX'!$J$5,'IN-NX'!$D$7=D4212),"x","")</f>
        <v/>
      </c>
      <c r="AB4212" s="75" t="str">
        <f>IF(AND(OR(LEFT(TH!N3683,2)="15",LEFT(TH!O3683,2)="15"),LEFT(TH!O3683,3)&lt;&gt;"111",'152-CT'!$J$8=TH!F3683),"x","")</f>
        <v/>
      </c>
      <c r="AC4212" s="75" t="str">
        <f>IF(AND(OR(LEFT(TH!N3683,2)="15",LEFT(TH!O3683,2)="15"),TK!$E$7=TH!F3683),"x","")</f>
        <v/>
      </c>
      <c r="AD4212" s="75" t="str">
        <f>IF(AND(N4212="1521",MONTH(C4212)='BK-NL'!$M$11),"x","")</f>
        <v/>
      </c>
    </row>
    <row r="4213" spans="1:30" ht="16.5" customHeight="1">
      <c r="A4213" s="309" t="str">
        <f>IF(B4213&lt;&gt;"",IF(AND(B4213='IN-TC'!$S$4,OR(TH!N4209="1111",TH!O4209="1111")),TH!D4209,""),"")</f>
        <v/>
      </c>
      <c r="B4213" s="1242">
        <f t="shared" si="1316"/>
        <v>5</v>
      </c>
      <c r="C4213" s="292">
        <f t="shared" si="1317"/>
        <v>42886</v>
      </c>
      <c r="D4213" s="292" t="s">
        <v>1983</v>
      </c>
      <c r="E4213" s="292">
        <v>42886</v>
      </c>
      <c r="F4213" s="67" t="s">
        <v>1499</v>
      </c>
      <c r="G4213" s="925" t="s">
        <v>1527</v>
      </c>
      <c r="H4213" s="294" t="s">
        <v>893</v>
      </c>
      <c r="I4213" s="373"/>
      <c r="J4213" s="926"/>
      <c r="K4213" s="373"/>
      <c r="L4213" s="379"/>
      <c r="M4213" s="927">
        <v>3875509</v>
      </c>
      <c r="N4213" s="295" t="s">
        <v>101</v>
      </c>
      <c r="O4213" s="295" t="s">
        <v>63</v>
      </c>
      <c r="P4213" s="75" t="str">
        <f>IF(AND('331-CT'!$E$7=TH!H3684,OR(N4213="331",O4213="331")),"x","")</f>
        <v/>
      </c>
      <c r="Q4213" s="75" t="str">
        <f>IF(AND(B4213='111'!$L$11,OR($N4213=$Q$7,$O4213=$Q$7)),"x","")</f>
        <v/>
      </c>
      <c r="R4213" s="75" t="str">
        <f>IF(AND($N4213=$Q$7,$B4213&lt;'111'!$L$11),"x","")</f>
        <v/>
      </c>
      <c r="S4213" s="75" t="str">
        <f>IF(AND($O4213=$Q$7,$B4213&lt;'111'!$L$11),"x","")</f>
        <v>x</v>
      </c>
      <c r="T4213" s="75" t="str">
        <f>IF(ISERROR(FIND('112'!$M$9,G4213,1)),"",IF((AND(FIND('112'!$M$9,G4213,1)&gt;=1,B4213='112'!$K$9,OR($N4213='112'!$I$6,$O4213='112'!$I$6))),"x",""))</f>
        <v/>
      </c>
      <c r="U4213" s="75" t="str">
        <f>IF(ISERROR(FIND('112'!$M$9,G4213,1)),"",IF((AND(LEFT(G4213,2)=LEFT('112'!$M$9,2),B4213&lt;'112'!$K$9,$N4213='112'!$I$6)),"x",""))</f>
        <v/>
      </c>
      <c r="V4213" s="75" t="str">
        <f>IF(ISERROR(FIND('112'!$M$9,G4213,1)),"",IF((AND(RIGHT(G4213,2)=RIGHT('112'!$M$9,2),B4213&lt;'112'!$K$9,$O4213='112'!$I$6)),"x",""))</f>
        <v/>
      </c>
      <c r="W4213" s="75" t="str">
        <f>IF(AND('341-CT'!$H$9=H4213,OR(LEFT(N4213,3)=$W$7,LEFT(O4213,3)=$W$7)),"x","")</f>
        <v/>
      </c>
      <c r="X4213" s="75" t="str">
        <f>IF(OR(TH!N3684=TH!$X$7,O4213=TH!$X$7),"x","")</f>
        <v/>
      </c>
      <c r="Y4213" s="75" t="str">
        <f>IF(AND(OR(N4213="131",O4213="131"),H4213='131-CT'!$H$9),"x","")</f>
        <v/>
      </c>
      <c r="Z4213" s="75"/>
      <c r="AA4213" s="75" t="str">
        <f>IF(AND(MONTH(E4213)='IN-NX'!$J$5,'IN-NX'!$D$7=D4213),"x","")</f>
        <v/>
      </c>
      <c r="AB4213" s="75" t="str">
        <f>IF(AND(OR(LEFT(TH!N3684,2)="15",LEFT(TH!O3684,2)="15"),LEFT(TH!O3684,3)&lt;&gt;"111",'152-CT'!$J$8=TH!F3684),"x","")</f>
        <v/>
      </c>
      <c r="AC4213" s="75" t="str">
        <f>IF(AND(OR(LEFT(TH!N3684,2)="15",LEFT(TH!O3684,2)="15"),TK!$E$7=TH!F3684),"x","")</f>
        <v/>
      </c>
      <c r="AD4213" s="75" t="str">
        <f>IF(AND(N4213="1521",MONTH(C4213)='BK-NL'!$M$11),"x","")</f>
        <v/>
      </c>
    </row>
    <row r="4214" spans="1:30" ht="16.5" customHeight="1">
      <c r="A4214" s="309" t="str">
        <f>IF(B4214&lt;&gt;"",IF(AND(B4214='IN-TC'!$S$4,OR(TH!N4210="1111",TH!O4210="1111")),TH!D4210,""),"")</f>
        <v/>
      </c>
      <c r="B4214" s="1242">
        <f t="shared" si="1316"/>
        <v>5</v>
      </c>
      <c r="C4214" s="292">
        <f t="shared" si="1317"/>
        <v>42886</v>
      </c>
      <c r="D4214" s="292" t="s">
        <v>1983</v>
      </c>
      <c r="E4214" s="292">
        <v>42886</v>
      </c>
      <c r="F4214" s="67" t="s">
        <v>1500</v>
      </c>
      <c r="G4214" s="925" t="s">
        <v>1527</v>
      </c>
      <c r="H4214" s="294" t="s">
        <v>893</v>
      </c>
      <c r="I4214" s="373"/>
      <c r="J4214" s="926"/>
      <c r="K4214" s="373"/>
      <c r="L4214" s="379"/>
      <c r="M4214" s="927">
        <v>387551</v>
      </c>
      <c r="N4214" s="295" t="s">
        <v>9</v>
      </c>
      <c r="O4214" s="295" t="s">
        <v>63</v>
      </c>
      <c r="P4214" s="75" t="str">
        <f>IF(AND('331-CT'!$E$7=TH!H3685,OR(N4214="331",O4214="331")),"x","")</f>
        <v/>
      </c>
      <c r="Q4214" s="75" t="str">
        <f>IF(AND(B4214='111'!$L$11,OR($N4214=$Q$7,$O4214=$Q$7)),"x","")</f>
        <v/>
      </c>
      <c r="R4214" s="75" t="str">
        <f>IF(AND($N4214=$Q$7,$B4214&lt;'111'!$L$11),"x","")</f>
        <v/>
      </c>
      <c r="S4214" s="75" t="str">
        <f>IF(AND($O4214=$Q$7,$B4214&lt;'111'!$L$11),"x","")</f>
        <v>x</v>
      </c>
      <c r="T4214" s="75" t="str">
        <f>IF(ISERROR(FIND('112'!$M$9,G4214,1)),"",IF((AND(FIND('112'!$M$9,G4214,1)&gt;=1,B4214='112'!$K$9,OR($N4214='112'!$I$6,$O4214='112'!$I$6))),"x",""))</f>
        <v/>
      </c>
      <c r="U4214" s="75" t="str">
        <f>IF(ISERROR(FIND('112'!$M$9,G4214,1)),"",IF((AND(LEFT(G4214,2)=LEFT('112'!$M$9,2),B4214&lt;'112'!$K$9,$N4214='112'!$I$6)),"x",""))</f>
        <v/>
      </c>
      <c r="V4214" s="75" t="str">
        <f>IF(ISERROR(FIND('112'!$M$9,G4214,1)),"",IF((AND(RIGHT(G4214,2)=RIGHT('112'!$M$9,2),B4214&lt;'112'!$K$9,$O4214='112'!$I$6)),"x",""))</f>
        <v/>
      </c>
      <c r="W4214" s="75" t="str">
        <f>IF(AND('341-CT'!$H$9=H4214,OR(LEFT(N4214,3)=$W$7,LEFT(O4214,3)=$W$7)),"x","")</f>
        <v/>
      </c>
      <c r="X4214" s="75" t="str">
        <f>IF(OR(TH!N3685=TH!$X$7,O4214=TH!$X$7),"x","")</f>
        <v/>
      </c>
      <c r="Y4214" s="75" t="str">
        <f>IF(AND(OR(N4214="131",O4214="131"),H4214='131-CT'!$H$9),"x","")</f>
        <v/>
      </c>
      <c r="Z4214" s="75"/>
      <c r="AA4214" s="75" t="str">
        <f>IF(AND(MONTH(E4214)='IN-NX'!$J$5,'IN-NX'!$D$7=D4214),"x","")</f>
        <v/>
      </c>
      <c r="AB4214" s="75" t="str">
        <f>IF(AND(OR(LEFT(TH!N3685,2)="15",LEFT(TH!O3685,2)="15"),LEFT(TH!O3685,3)&lt;&gt;"111",'152-CT'!$J$8=TH!F3685),"x","")</f>
        <v/>
      </c>
      <c r="AC4214" s="75" t="str">
        <f>IF(AND(OR(LEFT(TH!N3685,2)="15",LEFT(TH!O3685,2)="15"),TK!$E$7=TH!F3685),"x","")</f>
        <v/>
      </c>
      <c r="AD4214" s="75" t="str">
        <f>IF(AND(N4214="1521",MONTH(C4214)='BK-NL'!$M$11),"x","")</f>
        <v/>
      </c>
    </row>
    <row r="4215" spans="1:30" ht="16.5" customHeight="1">
      <c r="A4215" s="309" t="str">
        <f>IF(B4215&lt;&gt;"",IF(AND(B4215='IN-TC'!$S$4,OR(TH!N4211="1111",TH!O4211="1111")),TH!D4211,""),"")</f>
        <v/>
      </c>
      <c r="B4215" s="1242">
        <f t="shared" si="1316"/>
        <v>5</v>
      </c>
      <c r="C4215" s="292">
        <f t="shared" si="1317"/>
        <v>42886</v>
      </c>
      <c r="D4215" s="292" t="s">
        <v>1985</v>
      </c>
      <c r="E4215" s="292">
        <v>42886</v>
      </c>
      <c r="F4215" s="67" t="s">
        <v>1528</v>
      </c>
      <c r="G4215" s="925" t="s">
        <v>1530</v>
      </c>
      <c r="H4215" s="294" t="s">
        <v>1032</v>
      </c>
      <c r="I4215" s="373"/>
      <c r="J4215" s="926"/>
      <c r="K4215" s="373"/>
      <c r="L4215" s="379"/>
      <c r="M4215" s="927">
        <v>176755</v>
      </c>
      <c r="N4215" s="295" t="s">
        <v>101</v>
      </c>
      <c r="O4215" s="295" t="s">
        <v>63</v>
      </c>
      <c r="P4215" s="75" t="str">
        <f>IF(AND('331-CT'!$E$7=TH!H3686,OR(N4215="331",O4215="331")),"x","")</f>
        <v/>
      </c>
      <c r="Q4215" s="75" t="str">
        <f>IF(AND(B4215='111'!$L$11,OR($N4215=$Q$7,$O4215=$Q$7)),"x","")</f>
        <v/>
      </c>
      <c r="R4215" s="75" t="str">
        <f>IF(AND($N4215=$Q$7,$B4215&lt;'111'!$L$11),"x","")</f>
        <v/>
      </c>
      <c r="S4215" s="75" t="str">
        <f>IF(AND($O4215=$Q$7,$B4215&lt;'111'!$L$11),"x","")</f>
        <v>x</v>
      </c>
      <c r="T4215" s="75" t="str">
        <f>IF(ISERROR(FIND('112'!$M$9,G4215,1)),"",IF((AND(FIND('112'!$M$9,G4215,1)&gt;=1,B4215='112'!$K$9,OR($N4215='112'!$I$6,$O4215='112'!$I$6))),"x",""))</f>
        <v/>
      </c>
      <c r="U4215" s="75" t="str">
        <f>IF(ISERROR(FIND('112'!$M$9,G4215,1)),"",IF((AND(LEFT(G4215,2)=LEFT('112'!$M$9,2),B4215&lt;'112'!$K$9,$N4215='112'!$I$6)),"x",""))</f>
        <v/>
      </c>
      <c r="V4215" s="75" t="str">
        <f>IF(ISERROR(FIND('112'!$M$9,G4215,1)),"",IF((AND(RIGHT(G4215,2)=RIGHT('112'!$M$9,2),B4215&lt;'112'!$K$9,$O4215='112'!$I$6)),"x",""))</f>
        <v/>
      </c>
      <c r="W4215" s="75" t="str">
        <f>IF(AND('341-CT'!$H$9=H4215,OR(LEFT(N4215,3)=$W$7,LEFT(O4215,3)=$W$7)),"x","")</f>
        <v/>
      </c>
      <c r="X4215" s="75" t="str">
        <f>IF(OR(TH!N3686=TH!$X$7,O4215=TH!$X$7),"x","")</f>
        <v/>
      </c>
      <c r="Y4215" s="75" t="str">
        <f>IF(AND(OR(N4215="131",O4215="131"),H4215='131-CT'!$H$9),"x","")</f>
        <v/>
      </c>
      <c r="Z4215" s="75"/>
      <c r="AA4215" s="75" t="str">
        <f>IF(AND(MONTH(E4215)='IN-NX'!$J$5,'IN-NX'!$D$7=D4215),"x","")</f>
        <v/>
      </c>
      <c r="AB4215" s="75" t="str">
        <f>IF(AND(OR(LEFT(TH!N3686,2)="15",LEFT(TH!O3686,2)="15"),LEFT(TH!O3686,3)&lt;&gt;"111",'152-CT'!$J$8=TH!F3686),"x","")</f>
        <v/>
      </c>
      <c r="AC4215" s="75" t="str">
        <f>IF(AND(OR(LEFT(TH!N3686,2)="15",LEFT(TH!O3686,2)="15"),TK!$E$7=TH!F3686),"x","")</f>
        <v/>
      </c>
      <c r="AD4215" s="75" t="str">
        <f>IF(AND(N4215="1521",MONTH(C4215)='BK-NL'!$M$11),"x","")</f>
        <v/>
      </c>
    </row>
    <row r="4216" spans="1:30" ht="16.5" customHeight="1">
      <c r="A4216" s="309" t="str">
        <f>IF(B4216&lt;&gt;"",IF(AND(B4216='IN-TC'!$S$4,OR(TH!N4212="1111",TH!O4212="1111")),TH!D4212,""),"")</f>
        <v/>
      </c>
      <c r="B4216" s="1242">
        <f t="shared" si="1316"/>
        <v>5</v>
      </c>
      <c r="C4216" s="292">
        <f t="shared" si="1317"/>
        <v>42886</v>
      </c>
      <c r="D4216" s="292" t="s">
        <v>1985</v>
      </c>
      <c r="E4216" s="292">
        <v>42886</v>
      </c>
      <c r="F4216" s="67" t="s">
        <v>1529</v>
      </c>
      <c r="G4216" s="925" t="s">
        <v>1530</v>
      </c>
      <c r="H4216" s="294" t="s">
        <v>1032</v>
      </c>
      <c r="I4216" s="373"/>
      <c r="J4216" s="926"/>
      <c r="K4216" s="373"/>
      <c r="L4216" s="379"/>
      <c r="M4216" s="927">
        <v>17676</v>
      </c>
      <c r="N4216" s="295" t="s">
        <v>9</v>
      </c>
      <c r="O4216" s="295" t="s">
        <v>63</v>
      </c>
      <c r="P4216" s="75" t="str">
        <f>IF(AND('331-CT'!$E$7=TH!H3679,OR(N4216="331",O4216="331")),"x","")</f>
        <v/>
      </c>
      <c r="Q4216" s="75" t="str">
        <f>IF(AND(B4216='111'!$L$11,OR($N4216=$Q$7,$O4216=$Q$7)),"x","")</f>
        <v/>
      </c>
      <c r="R4216" s="75" t="str">
        <f>IF(AND($N4216=$Q$7,$B4216&lt;'111'!$L$11),"x","")</f>
        <v/>
      </c>
      <c r="S4216" s="75" t="str">
        <f>IF(AND($O4216=$Q$7,$B4216&lt;'111'!$L$11),"x","")</f>
        <v>x</v>
      </c>
      <c r="T4216" s="75" t="str">
        <f>IF(ISERROR(FIND('112'!$M$9,G4216,1)),"",IF((AND(FIND('112'!$M$9,G4216,1)&gt;=1,B4216='112'!$K$9,OR($N4216='112'!$I$6,$O4216='112'!$I$6))),"x",""))</f>
        <v/>
      </c>
      <c r="U4216" s="75" t="str">
        <f>IF(ISERROR(FIND('112'!$M$9,G4216,1)),"",IF((AND(LEFT(G4216,2)=LEFT('112'!$M$9,2),B4216&lt;'112'!$K$9,$N4216='112'!$I$6)),"x",""))</f>
        <v/>
      </c>
      <c r="V4216" s="75" t="str">
        <f>IF(ISERROR(FIND('112'!$M$9,G4216,1)),"",IF((AND(RIGHT(G4216,2)=RIGHT('112'!$M$9,2),B4216&lt;'112'!$K$9,$O4216='112'!$I$6)),"x",""))</f>
        <v/>
      </c>
      <c r="W4216" s="75" t="str">
        <f>IF(AND('341-CT'!$H$9=H4216,OR(LEFT(N4216,3)=$W$7,LEFT(O4216,3)=$W$7)),"x","")</f>
        <v/>
      </c>
      <c r="X4216" s="75" t="str">
        <f>IF(OR(TH!N3679=TH!$X$7,O4216=TH!$X$7),"x","")</f>
        <v/>
      </c>
      <c r="Y4216" s="75" t="str">
        <f>IF(AND(OR(N4216="131",O4216="131"),H4216='131-CT'!$H$9),"x","")</f>
        <v/>
      </c>
      <c r="Z4216" s="75"/>
      <c r="AA4216" s="75" t="str">
        <f>IF(AND(MONTH(E4216)='IN-NX'!$J$5,'IN-NX'!$D$7=D4216),"x","")</f>
        <v/>
      </c>
      <c r="AB4216" s="75" t="str">
        <f>IF(AND(OR(LEFT(TH!N3679,2)="15",LEFT(TH!O3679,2)="15"),LEFT(TH!O3679,3)&lt;&gt;"111",'152-CT'!$J$8=TH!F3679),"x","")</f>
        <v/>
      </c>
      <c r="AC4216" s="75" t="str">
        <f>IF(AND(OR(LEFT(TH!N3679,2)="15",LEFT(TH!O3679,2)="15"),TK!$E$7=TH!F3679),"x","")</f>
        <v/>
      </c>
      <c r="AD4216" s="75" t="str">
        <f>IF(AND(N4216="1521",MONTH(C4216)='BK-NL'!$M$11),"x","")</f>
        <v/>
      </c>
    </row>
    <row r="4217" spans="1:30" ht="16.5" customHeight="1">
      <c r="A4217" s="309" t="str">
        <f>IF(B4217&lt;&gt;"",IF(AND(B4217='IN-TC'!$S$4,OR(TH!N4213="1111",TH!O4213="1111")),TH!D4213,""),"")</f>
        <v/>
      </c>
      <c r="B4217" s="1242">
        <f t="shared" si="1316"/>
        <v>5</v>
      </c>
      <c r="C4217" s="292">
        <f t="shared" si="1317"/>
        <v>42886</v>
      </c>
      <c r="D4217" s="292" t="s">
        <v>1986</v>
      </c>
      <c r="E4217" s="929">
        <v>42886</v>
      </c>
      <c r="F4217" s="73" t="s">
        <v>1165</v>
      </c>
      <c r="G4217" s="931" t="s">
        <v>1483</v>
      </c>
      <c r="H4217" s="296" t="s">
        <v>796</v>
      </c>
      <c r="I4217" s="371"/>
      <c r="J4217" s="932"/>
      <c r="K4217" s="371"/>
      <c r="L4217" s="377"/>
      <c r="M4217" s="933">
        <v>19650400</v>
      </c>
      <c r="N4217" s="934" t="s">
        <v>8</v>
      </c>
      <c r="O4217" s="934" t="s">
        <v>63</v>
      </c>
      <c r="P4217" s="75" t="str">
        <f>IF(AND('331-CT'!$E$7=TH!H3687,OR(N4217="331",O4217="331")),"x","")</f>
        <v/>
      </c>
      <c r="Q4217" s="75" t="str">
        <f>IF(AND(B4217='111'!$L$11,OR($N4217=$Q$7,$O4217=$Q$7)),"x","")</f>
        <v/>
      </c>
      <c r="R4217" s="75" t="str">
        <f>IF(AND($N4217=$Q$7,$B4217&lt;'111'!$L$11),"x","")</f>
        <v/>
      </c>
      <c r="S4217" s="75" t="str">
        <f>IF(AND($O4217=$Q$7,$B4217&lt;'111'!$L$11),"x","")</f>
        <v>x</v>
      </c>
      <c r="T4217" s="75" t="str">
        <f>IF(ISERROR(FIND('112'!$M$9,G4217,1)),"",IF((AND(FIND('112'!$M$9,G4217,1)&gt;=1,B4217='112'!$K$9,OR($N4217='112'!$I$6,$O4217='112'!$I$6))),"x",""))</f>
        <v/>
      </c>
      <c r="U4217" s="75" t="str">
        <f>IF(ISERROR(FIND('112'!$M$9,G4217,1)),"",IF((AND(LEFT(G4217,2)=LEFT('112'!$M$9,2),B4217&lt;'112'!$K$9,$N4217='112'!$I$6)),"x",""))</f>
        <v/>
      </c>
      <c r="V4217" s="75" t="str">
        <f>IF(ISERROR(FIND('112'!$M$9,G4217,1)),"",IF((AND(RIGHT(G4217,2)=RIGHT('112'!$M$9,2),B4217&lt;'112'!$K$9,$O4217='112'!$I$6)),"x",""))</f>
        <v/>
      </c>
      <c r="W4217" s="75" t="str">
        <f>IF(AND('341-CT'!$H$9=H4217,OR(LEFT(N4217,3)=$W$7,LEFT(O4217,3)=$W$7)),"x","")</f>
        <v/>
      </c>
      <c r="X4217" s="75" t="str">
        <f>IF(OR(TH!N3687=TH!$X$7,O4217=TH!$X$7),"x","")</f>
        <v/>
      </c>
      <c r="Y4217" s="75" t="str">
        <f>IF(AND(OR(N4217="131",O4217="131"),H4217='131-CT'!$H$9),"x","")</f>
        <v/>
      </c>
      <c r="Z4217" s="75"/>
      <c r="AA4217" s="75" t="str">
        <f>IF(AND(MONTH(E4217)='IN-NX'!$J$5,'IN-NX'!$D$7=D4217),"x","")</f>
        <v/>
      </c>
      <c r="AB4217" s="75" t="str">
        <f>IF(AND(OR(LEFT(TH!N3687,2)="15",LEFT(TH!O3687,2)="15"),LEFT(TH!O3687,3)&lt;&gt;"111",'152-CT'!$J$8=TH!F3687),"x","")</f>
        <v/>
      </c>
      <c r="AC4217" s="75" t="str">
        <f>IF(AND(OR(LEFT(TH!N3687,2)="15",LEFT(TH!O3687,2)="15"),TK!$E$7=TH!F3687),"x","")</f>
        <v/>
      </c>
      <c r="AD4217" s="75" t="str">
        <f>IF(AND(N4217="1521",MONTH(C4217)='BK-NL'!$M$11),"x","")</f>
        <v/>
      </c>
    </row>
    <row r="4218" spans="1:30" ht="16.5" customHeight="1">
      <c r="A4218" s="309" t="str">
        <f>IF(B4218&lt;&gt;"",IF(AND(B4218='IN-TC'!$S$4,OR(TH!N4214="1111",TH!O4214="1111")),TH!D4214,""),"")</f>
        <v/>
      </c>
      <c r="B4218" s="1242">
        <f t="shared" si="1316"/>
        <v>5</v>
      </c>
      <c r="C4218" s="292">
        <f t="shared" si="1317"/>
        <v>42886</v>
      </c>
      <c r="D4218" s="292" t="s">
        <v>1987</v>
      </c>
      <c r="E4218" s="929">
        <v>42886</v>
      </c>
      <c r="F4218" s="73" t="s">
        <v>1165</v>
      </c>
      <c r="G4218" s="931" t="s">
        <v>1690</v>
      </c>
      <c r="H4218" s="296" t="s">
        <v>1684</v>
      </c>
      <c r="I4218" s="371"/>
      <c r="J4218" s="932"/>
      <c r="K4218" s="371"/>
      <c r="L4218" s="377"/>
      <c r="M4218" s="933">
        <v>19650400</v>
      </c>
      <c r="N4218" s="934" t="s">
        <v>8</v>
      </c>
      <c r="O4218" s="934" t="s">
        <v>63</v>
      </c>
      <c r="P4218" s="75" t="str">
        <f>IF(AND('331-CT'!$E$7=TH!H3688,OR(N4218="331",O4218="331")),"x","")</f>
        <v/>
      </c>
      <c r="Q4218" s="75" t="str">
        <f>IF(AND(B4218='111'!$L$11,OR($N4218=$Q$7,$O4218=$Q$7)),"x","")</f>
        <v/>
      </c>
      <c r="R4218" s="75" t="str">
        <f>IF(AND($N4218=$Q$7,$B4218&lt;'111'!$L$11),"x","")</f>
        <v/>
      </c>
      <c r="S4218" s="75" t="str">
        <f>IF(AND($O4218=$Q$7,$B4218&lt;'111'!$L$11),"x","")</f>
        <v>x</v>
      </c>
      <c r="T4218" s="75" t="str">
        <f>IF(ISERROR(FIND('112'!$M$9,G4218,1)),"",IF((AND(FIND('112'!$M$9,G4218,1)&gt;=1,B4218='112'!$K$9,OR($N4218='112'!$I$6,$O4218='112'!$I$6))),"x",""))</f>
        <v/>
      </c>
      <c r="U4218" s="75" t="str">
        <f>IF(ISERROR(FIND('112'!$M$9,G4218,1)),"",IF((AND(LEFT(G4218,2)=LEFT('112'!$M$9,2),B4218&lt;'112'!$K$9,$N4218='112'!$I$6)),"x",""))</f>
        <v/>
      </c>
      <c r="V4218" s="75" t="str">
        <f>IF(ISERROR(FIND('112'!$M$9,G4218,1)),"",IF((AND(RIGHT(G4218,2)=RIGHT('112'!$M$9,2),B4218&lt;'112'!$K$9,$O4218='112'!$I$6)),"x",""))</f>
        <v/>
      </c>
      <c r="W4218" s="75" t="str">
        <f>IF(AND('341-CT'!$H$9=H4218,OR(LEFT(N4218,3)=$W$7,LEFT(O4218,3)=$W$7)),"x","")</f>
        <v/>
      </c>
      <c r="X4218" s="75" t="str">
        <f>IF(OR(TH!N3688=TH!$X$7,O4218=TH!$X$7),"x","")</f>
        <v/>
      </c>
      <c r="Y4218" s="75" t="str">
        <f>IF(AND(OR(N4218="131",O4218="131"),H4218='131-CT'!$H$9),"x","")</f>
        <v/>
      </c>
      <c r="Z4218" s="75"/>
      <c r="AA4218" s="75" t="str">
        <f>IF(AND(MONTH(E4218)='IN-NX'!$J$5,'IN-NX'!$D$7=D4218),"x","")</f>
        <v/>
      </c>
      <c r="AB4218" s="75" t="str">
        <f>IF(AND(OR(LEFT(TH!N3688,2)="15",LEFT(TH!O3688,2)="15"),LEFT(TH!O3688,3)&lt;&gt;"111",'152-CT'!$J$8=TH!F3688),"x","")</f>
        <v/>
      </c>
      <c r="AC4218" s="75" t="str">
        <f>IF(AND(OR(LEFT(TH!N3688,2)="15",LEFT(TH!O3688,2)="15"),TK!$E$7=TH!F3688),"x","")</f>
        <v/>
      </c>
      <c r="AD4218" s="75" t="str">
        <f>IF(AND(N4218="1521",MONTH(C4218)='BK-NL'!$M$11),"x","")</f>
        <v/>
      </c>
    </row>
    <row r="4219" spans="1:30" ht="16.5" customHeight="1">
      <c r="A4219" s="309" t="str">
        <f>IF(B4219&lt;&gt;"",IF(AND(B4219='IN-TC'!$S$4,OR(TH!N4215="1111",TH!O4215="1111")),TH!D4215,""),"")</f>
        <v/>
      </c>
      <c r="B4219" s="1242">
        <f t="shared" si="1316"/>
        <v>5</v>
      </c>
      <c r="C4219" s="292">
        <f t="shared" si="1317"/>
        <v>42886</v>
      </c>
      <c r="D4219" s="292" t="s">
        <v>1988</v>
      </c>
      <c r="E4219" s="292">
        <v>42886</v>
      </c>
      <c r="F4219" s="62" t="s">
        <v>1576</v>
      </c>
      <c r="G4219" s="742"/>
      <c r="H4219" s="311" t="s">
        <v>978</v>
      </c>
      <c r="I4219" s="373"/>
      <c r="J4219" s="379"/>
      <c r="K4219" s="373"/>
      <c r="L4219" s="379"/>
      <c r="M4219" s="60">
        <v>4804545</v>
      </c>
      <c r="N4219" s="61" t="s">
        <v>101</v>
      </c>
      <c r="O4219" s="934" t="s">
        <v>63</v>
      </c>
      <c r="P4219" s="75" t="str">
        <f>IF(AND('331-CT'!$E$7=TH!H3689,OR(N4219="331",O4219="331")),"x","")</f>
        <v/>
      </c>
      <c r="Q4219" s="75" t="str">
        <f>IF(AND(B4219='111'!$L$11,OR($N4219=$Q$7,$O4219=$Q$7)),"x","")</f>
        <v/>
      </c>
      <c r="R4219" s="75" t="str">
        <f>IF(AND($N4219=$Q$7,$B4219&lt;'111'!$L$11),"x","")</f>
        <v/>
      </c>
      <c r="S4219" s="75" t="str">
        <f>IF(AND($O4219=$Q$7,$B4219&lt;'111'!$L$11),"x","")</f>
        <v>x</v>
      </c>
      <c r="T4219" s="75" t="str">
        <f>IF(ISERROR(FIND('112'!$M$9,G4219,1)),"",IF((AND(FIND('112'!$M$9,G4219,1)&gt;=1,B4219='112'!$K$9,OR($N4219='112'!$I$6,$O4219='112'!$I$6))),"x",""))</f>
        <v/>
      </c>
      <c r="U4219" s="75" t="str">
        <f>IF(ISERROR(FIND('112'!$M$9,G4219,1)),"",IF((AND(LEFT(G4219,2)=LEFT('112'!$M$9,2),B4219&lt;'112'!$K$9,$N4219='112'!$I$6)),"x",""))</f>
        <v/>
      </c>
      <c r="V4219" s="75" t="str">
        <f>IF(ISERROR(FIND('112'!$M$9,G4219,1)),"",IF((AND(RIGHT(G4219,2)=RIGHT('112'!$M$9,2),B4219&lt;'112'!$K$9,$O4219='112'!$I$6)),"x",""))</f>
        <v/>
      </c>
      <c r="W4219" s="75" t="str">
        <f>IF(AND('341-CT'!$H$9=H4219,OR(LEFT(N4219,3)=$W$7,LEFT(O4219,3)=$W$7)),"x","")</f>
        <v/>
      </c>
      <c r="X4219" s="75" t="str">
        <f>IF(OR(TH!N3689=TH!$X$7,O4219=TH!$X$7),"x","")</f>
        <v/>
      </c>
      <c r="Y4219" s="75" t="str">
        <f>IF(AND(OR(N4219="131",O4219="131"),H4219='131-CT'!$H$9),"x","")</f>
        <v/>
      </c>
      <c r="Z4219" s="75"/>
      <c r="AA4219" s="75" t="str">
        <f>IF(AND(MONTH(E4219)='IN-NX'!$J$5,'IN-NX'!$D$7=D4219),"x","")</f>
        <v/>
      </c>
      <c r="AB4219" s="75" t="str">
        <f>IF(AND(OR(LEFT(TH!N3689,2)="15",LEFT(TH!O3689,2)="15"),LEFT(TH!O3689,3)&lt;&gt;"111",'152-CT'!$J$8=TH!F3689),"x","")</f>
        <v/>
      </c>
      <c r="AC4219" s="75" t="str">
        <f>IF(AND(OR(LEFT(TH!N3689,2)="15",LEFT(TH!O3689,2)="15"),TK!$E$7=TH!F3689),"x","")</f>
        <v/>
      </c>
      <c r="AD4219" s="75" t="str">
        <f>IF(AND(N4219="1521",MONTH(C4219)='BK-NL'!$M$11),"x","")</f>
        <v/>
      </c>
    </row>
    <row r="4220" spans="1:30" ht="16.5" customHeight="1">
      <c r="A4220" s="309" t="str">
        <f>IF(B4220&lt;&gt;"",IF(AND(B4220='IN-TC'!$S$4,OR(TH!N4216="1111",TH!O4216="1111")),TH!D4216,""),"")</f>
        <v/>
      </c>
      <c r="B4220" s="1242">
        <f t="shared" si="1316"/>
        <v>5</v>
      </c>
      <c r="C4220" s="292">
        <f t="shared" si="1317"/>
        <v>42886</v>
      </c>
      <c r="D4220" s="292" t="s">
        <v>1988</v>
      </c>
      <c r="E4220" s="292">
        <v>42886</v>
      </c>
      <c r="F4220" s="62" t="s">
        <v>1577</v>
      </c>
      <c r="G4220" s="742"/>
      <c r="H4220" s="311" t="s">
        <v>978</v>
      </c>
      <c r="I4220" s="373"/>
      <c r="J4220" s="379"/>
      <c r="K4220" s="373"/>
      <c r="L4220" s="379"/>
      <c r="M4220" s="60">
        <v>480455</v>
      </c>
      <c r="N4220" s="61" t="s">
        <v>9</v>
      </c>
      <c r="O4220" s="934" t="s">
        <v>63</v>
      </c>
      <c r="P4220" s="75" t="str">
        <f>IF(AND('331-CT'!$E$7=TH!H3690,OR(N4220="331",O4220="331")),"x","")</f>
        <v/>
      </c>
      <c r="Q4220" s="75" t="str">
        <f>IF(AND(B4220='111'!$L$11,OR($N4220=$Q$7,$O4220=$Q$7)),"x","")</f>
        <v/>
      </c>
      <c r="R4220" s="75" t="str">
        <f>IF(AND($N4220=$Q$7,$B4220&lt;'111'!$L$11),"x","")</f>
        <v/>
      </c>
      <c r="S4220" s="75" t="str">
        <f>IF(AND($O4220=$Q$7,$B4220&lt;'111'!$L$11),"x","")</f>
        <v>x</v>
      </c>
      <c r="T4220" s="75" t="str">
        <f>IF(ISERROR(FIND('112'!$M$9,G4220,1)),"",IF((AND(FIND('112'!$M$9,G4220,1)&gt;=1,B4220='112'!$K$9,OR($N4220='112'!$I$6,$O4220='112'!$I$6))),"x",""))</f>
        <v/>
      </c>
      <c r="U4220" s="75" t="str">
        <f>IF(ISERROR(FIND('112'!$M$9,G4220,1)),"",IF((AND(LEFT(G4220,2)=LEFT('112'!$M$9,2),B4220&lt;'112'!$K$9,$N4220='112'!$I$6)),"x",""))</f>
        <v/>
      </c>
      <c r="V4220" s="75" t="str">
        <f>IF(ISERROR(FIND('112'!$M$9,G4220,1)),"",IF((AND(RIGHT(G4220,2)=RIGHT('112'!$M$9,2),B4220&lt;'112'!$K$9,$O4220='112'!$I$6)),"x",""))</f>
        <v/>
      </c>
      <c r="W4220" s="75" t="str">
        <f>IF(AND('341-CT'!$H$9=H4220,OR(LEFT(N4220,3)=$W$7,LEFT(O4220,3)=$W$7)),"x","")</f>
        <v/>
      </c>
      <c r="X4220" s="75" t="str">
        <f>IF(OR(TH!N3690=TH!$X$7,O4220=TH!$X$7),"x","")</f>
        <v/>
      </c>
      <c r="Y4220" s="75" t="str">
        <f>IF(AND(OR(N4220="131",O4220="131"),H4220='131-CT'!$H$9),"x","")</f>
        <v/>
      </c>
      <c r="Z4220" s="75"/>
      <c r="AA4220" s="75" t="str">
        <f>IF(AND(MONTH(E4220)='IN-NX'!$J$5,'IN-NX'!$D$7=D4220),"x","")</f>
        <v/>
      </c>
      <c r="AB4220" s="75" t="str">
        <f>IF(AND(OR(LEFT(TH!N3690,2)="15",LEFT(TH!O3690,2)="15"),LEFT(TH!O3690,3)&lt;&gt;"111",'152-CT'!$J$8=TH!F3690),"x","")</f>
        <v/>
      </c>
      <c r="AC4220" s="75" t="str">
        <f>IF(AND(OR(LEFT(TH!N3690,2)="15",LEFT(TH!O3690,2)="15"),TK!$E$7=TH!F3690),"x","")</f>
        <v/>
      </c>
      <c r="AD4220" s="75" t="str">
        <f>IF(AND(N4220="1521",MONTH(C4220)='BK-NL'!$M$11),"x","")</f>
        <v/>
      </c>
    </row>
    <row r="4221" spans="1:30" ht="16.5" customHeight="1">
      <c r="A4221" s="309" t="str">
        <f>IF(B4221&lt;&gt;"",IF(AND(B4221='IN-TC'!$S$4,OR(TH!N4217="1111",TH!O4217="1111")),TH!D4217,""),"")</f>
        <v/>
      </c>
      <c r="B4221" s="1242">
        <f t="shared" si="1316"/>
        <v>5</v>
      </c>
      <c r="C4221" s="292">
        <f t="shared" si="1317"/>
        <v>42886</v>
      </c>
      <c r="D4221" s="292" t="s">
        <v>1989</v>
      </c>
      <c r="E4221" s="292">
        <v>42886</v>
      </c>
      <c r="F4221" s="62" t="s">
        <v>1579</v>
      </c>
      <c r="G4221" s="742"/>
      <c r="H4221" s="311" t="s">
        <v>980</v>
      </c>
      <c r="I4221" s="373"/>
      <c r="J4221" s="379"/>
      <c r="K4221" s="373"/>
      <c r="L4221" s="379"/>
      <c r="M4221" s="60">
        <v>112097502</v>
      </c>
      <c r="N4221" s="61" t="s">
        <v>540</v>
      </c>
      <c r="O4221" s="295" t="s">
        <v>63</v>
      </c>
      <c r="P4221" s="75" t="str">
        <f>IF(AND('331-CT'!$E$7=TH!H3691,OR(N4221="331",O4221="331")),"x","")</f>
        <v/>
      </c>
      <c r="Q4221" s="75" t="str">
        <f>IF(AND(B4221='111'!$L$11,OR($N4221=$Q$7,$O4221=$Q$7)),"x","")</f>
        <v/>
      </c>
      <c r="R4221" s="75" t="str">
        <f>IF(AND($N4221=$Q$7,$B4221&lt;'111'!$L$11),"x","")</f>
        <v/>
      </c>
      <c r="S4221" s="75" t="str">
        <f>IF(AND($O4221=$Q$7,$B4221&lt;'111'!$L$11),"x","")</f>
        <v>x</v>
      </c>
      <c r="T4221" s="75" t="str">
        <f>IF(ISERROR(FIND('112'!$M$9,G4221,1)),"",IF((AND(FIND('112'!$M$9,G4221,1)&gt;=1,B4221='112'!$K$9,OR($N4221='112'!$I$6,$O4221='112'!$I$6))),"x",""))</f>
        <v/>
      </c>
      <c r="U4221" s="75" t="str">
        <f>IF(ISERROR(FIND('112'!$M$9,G4221,1)),"",IF((AND(LEFT(G4221,2)=LEFT('112'!$M$9,2),B4221&lt;'112'!$K$9,$N4221='112'!$I$6)),"x",""))</f>
        <v/>
      </c>
      <c r="V4221" s="75" t="str">
        <f>IF(ISERROR(FIND('112'!$M$9,G4221,1)),"",IF((AND(RIGHT(G4221,2)=RIGHT('112'!$M$9,2),B4221&lt;'112'!$K$9,$O4221='112'!$I$6)),"x",""))</f>
        <v/>
      </c>
      <c r="W4221" s="75" t="str">
        <f>IF(AND('341-CT'!$H$9=H4221,OR(LEFT(N4221,3)=$W$7,LEFT(O4221,3)=$W$7)),"x","")</f>
        <v/>
      </c>
      <c r="X4221" s="75" t="str">
        <f>IF(OR(TH!N3691=TH!$X$7,O4221=TH!$X$7),"x","")</f>
        <v/>
      </c>
      <c r="Y4221" s="75" t="str">
        <f>IF(AND(OR(N4221="131",O4221="131"),H4221='131-CT'!$H$9),"x","")</f>
        <v/>
      </c>
      <c r="Z4221" s="75"/>
      <c r="AA4221" s="75" t="str">
        <f>IF(AND(MONTH(E4221)='IN-NX'!$J$5,'IN-NX'!$D$7=D4221),"x","")</f>
        <v/>
      </c>
      <c r="AB4221" s="75" t="str">
        <f>IF(AND(OR(LEFT(TH!N3691,2)="15",LEFT(TH!O3691,2)="15"),LEFT(TH!O3691,3)&lt;&gt;"111",'152-CT'!$J$8=TH!F3691),"x","")</f>
        <v/>
      </c>
      <c r="AC4221" s="75" t="str">
        <f>IF(AND(OR(LEFT(TH!N3691,2)="15",LEFT(TH!O3691,2)="15"),TK!$E$7=TH!F3691),"x","")</f>
        <v/>
      </c>
      <c r="AD4221" s="75" t="str">
        <f>IF(AND(N4221="1521",MONTH(C4221)='BK-NL'!$M$11),"x","")</f>
        <v/>
      </c>
    </row>
    <row r="4222" spans="1:30" ht="16.5" customHeight="1">
      <c r="A4222" s="309" t="str">
        <f>IF(B4222&lt;&gt;"",IF(AND(B4222='IN-TC'!$S$4,OR(TH!N4218="1111",TH!O4218="1111")),TH!D4218,""),"")</f>
        <v/>
      </c>
      <c r="B4222" s="1242">
        <f t="shared" si="1316"/>
        <v>5</v>
      </c>
      <c r="C4222" s="292">
        <f t="shared" si="1317"/>
        <v>42886</v>
      </c>
      <c r="D4222" s="292" t="s">
        <v>1984</v>
      </c>
      <c r="E4222" s="292">
        <v>42886</v>
      </c>
      <c r="F4222" s="67" t="s">
        <v>885</v>
      </c>
      <c r="G4222" s="943" t="s">
        <v>585</v>
      </c>
      <c r="H4222" s="294" t="s">
        <v>1023</v>
      </c>
      <c r="I4222" s="373"/>
      <c r="J4222" s="926"/>
      <c r="K4222" s="373"/>
      <c r="L4222" s="379"/>
      <c r="M4222" s="927">
        <v>5000000</v>
      </c>
      <c r="N4222" s="295" t="s">
        <v>26</v>
      </c>
      <c r="O4222" s="295" t="s">
        <v>63</v>
      </c>
      <c r="P4222" s="75" t="str">
        <f>IF(AND('331-CT'!$E$7=TH!H4743,OR(N4222="331",O4222="331")),"x","")</f>
        <v/>
      </c>
      <c r="Q4222" s="75" t="str">
        <f>IF(AND(B4222='111'!$L$11,OR($N4222=$Q$7,$O4222=$Q$7)),"x","")</f>
        <v/>
      </c>
      <c r="R4222" s="75" t="str">
        <f>IF(AND($N4222=$Q$7,$B4222&lt;'111'!$L$11),"x","")</f>
        <v/>
      </c>
      <c r="S4222" s="75" t="str">
        <f>IF(AND($O4222=$Q$7,$B4222&lt;'111'!$L$11),"x","")</f>
        <v>x</v>
      </c>
      <c r="T4222" s="75" t="str">
        <f>IF(ISERROR(FIND('112'!$M$9,G4222,1)),"",IF((AND(FIND('112'!$M$9,G4222,1)&gt;=1,B4222='112'!$K$9,OR($N4222='112'!$I$6,$O4222='112'!$I$6))),"x",""))</f>
        <v/>
      </c>
      <c r="U4222" s="75" t="str">
        <f>IF(ISERROR(FIND('112'!$M$9,G4222,1)),"",IF((AND(LEFT(G4222,2)=LEFT('112'!$M$9,2),B4222&lt;'112'!$K$9,$N4222='112'!$I$6)),"x",""))</f>
        <v/>
      </c>
      <c r="V4222" s="75" t="str">
        <f>IF(ISERROR(FIND('112'!$M$9,G4222,1)),"",IF((AND(RIGHT(G4222,2)=RIGHT('112'!$M$9,2),B4222&lt;'112'!$K$9,$O4222='112'!$I$6)),"x",""))</f>
        <v/>
      </c>
      <c r="W4222" s="75" t="str">
        <f>IF(AND('341-CT'!$H$9=H4222,OR(LEFT(N4222,3)=$W$7,LEFT(O4222,3)=$W$7)),"x","")</f>
        <v/>
      </c>
      <c r="X4222" s="75" t="str">
        <f>IF(OR(TH!N4743=TH!$X$7,O4222=TH!$X$7),"x","")</f>
        <v/>
      </c>
      <c r="Y4222" s="75" t="str">
        <f>IF(AND(OR(N4222="131",O4222="131"),H4222='131-CT'!$H$9),"x","")</f>
        <v/>
      </c>
      <c r="Z4222" s="75"/>
      <c r="AA4222" s="75" t="str">
        <f>IF(AND(MONTH(E4222)='IN-NX'!$J$5,'IN-NX'!$D$7=D4222),"x","")</f>
        <v/>
      </c>
      <c r="AB4222" s="75" t="str">
        <f>IF(AND(OR(LEFT(TH!N4743,2)="15",LEFT(TH!O4743,2)="15"),LEFT(TH!O4743,3)&lt;&gt;"111",'152-CT'!$J$8=TH!F4743),"x","")</f>
        <v/>
      </c>
      <c r="AC4222" s="75" t="str">
        <f>IF(AND(OR(LEFT(TH!N4743,2)="15",LEFT(TH!O4743,2)="15"),TK!$E$7=TH!F4743),"x","")</f>
        <v/>
      </c>
      <c r="AD4222" s="75" t="str">
        <f>IF(AND(N4222="1521",MONTH(C4222)='BK-NL'!$M$11),"x","")</f>
        <v/>
      </c>
    </row>
    <row r="4223" spans="1:30" ht="16.5" customHeight="1">
      <c r="A4223" s="309" t="str">
        <f>IF(B4223&lt;&gt;"",IF(AND(B4223='IN-TC'!$S$4,OR(TH!N4219="1111",TH!O4219="1111")),TH!D4219,""),"")</f>
        <v/>
      </c>
      <c r="B4223" s="1242">
        <f t="shared" si="1316"/>
        <v>5</v>
      </c>
      <c r="C4223" s="292">
        <f t="shared" si="1317"/>
        <v>42886</v>
      </c>
      <c r="D4223" s="292" t="s">
        <v>1198</v>
      </c>
      <c r="E4223" s="292">
        <v>42886</v>
      </c>
      <c r="F4223" s="293" t="s">
        <v>834</v>
      </c>
      <c r="G4223" s="943" t="s">
        <v>747</v>
      </c>
      <c r="H4223" s="67" t="s">
        <v>1023</v>
      </c>
      <c r="I4223" s="373"/>
      <c r="J4223" s="926"/>
      <c r="K4223" s="373"/>
      <c r="L4223" s="379"/>
      <c r="M4223" s="927">
        <v>120000000</v>
      </c>
      <c r="N4223" s="295" t="s">
        <v>63</v>
      </c>
      <c r="O4223" s="295" t="s">
        <v>26</v>
      </c>
      <c r="P4223" s="75" t="str">
        <f>IF(AND('331-CT'!$E$7=TH!H5215,OR(N4223="331",O4223="331")),"x","")</f>
        <v/>
      </c>
      <c r="Q4223" s="75" t="str">
        <f>IF(AND(B4223='111'!$L$11,OR($N4223=$Q$7,$O4223=$Q$7)),"x","")</f>
        <v/>
      </c>
      <c r="R4223" s="75" t="str">
        <f>IF(AND($N4223=$Q$7,$B4223&lt;'111'!$L$11),"x","")</f>
        <v>x</v>
      </c>
      <c r="S4223" s="75" t="str">
        <f>IF(AND($O4223=$Q$7,$B4223&lt;'111'!$L$11),"x","")</f>
        <v/>
      </c>
      <c r="T4223" s="75" t="str">
        <f>IF(ISERROR(FIND('112'!$M$9,G4223,1)),"",IF((AND(FIND('112'!$M$9,G4223,1)&gt;=1,B4223='112'!$K$9,OR($N4223='112'!$I$6,$O4223='112'!$I$6))),"x",""))</f>
        <v/>
      </c>
      <c r="U4223" s="75" t="str">
        <f>IF(ISERROR(FIND('112'!$M$9,G4223,1)),"",IF((AND(LEFT(G4223,2)=LEFT('112'!$M$9,2),B4223&lt;'112'!$K$9,$N4223='112'!$I$6)),"x",""))</f>
        <v/>
      </c>
      <c r="V4223" s="75" t="str">
        <f>IF(ISERROR(FIND('112'!$M$9,G4223,1)),"",IF((AND(RIGHT(G4223,2)=RIGHT('112'!$M$9,2),B4223&lt;'112'!$K$9,$O4223='112'!$I$6)),"x",""))</f>
        <v/>
      </c>
      <c r="W4223" s="75" t="str">
        <f>IF(AND('341-CT'!$H$9=H4223,OR(LEFT(N4223,3)=$W$7,LEFT(O4223,3)=$W$7)),"x","")</f>
        <v/>
      </c>
      <c r="X4223" s="75" t="str">
        <f>IF(OR(TH!N5215=TH!$X$7,O4223=TH!$X$7),"x","")</f>
        <v/>
      </c>
      <c r="Y4223" s="75" t="str">
        <f>IF(AND(OR(N4223="131",O4223="131"),H4223='131-CT'!$H$9),"x","")</f>
        <v/>
      </c>
      <c r="Z4223" s="75"/>
      <c r="AA4223" s="75" t="str">
        <f>IF(AND(MONTH(E4223)='IN-NX'!$J$5,'IN-NX'!$D$7=D4223),"x","")</f>
        <v/>
      </c>
      <c r="AB4223" s="75" t="str">
        <f>IF(AND(OR(LEFT(TH!N5215,2)="15",LEFT(TH!O5215,2)="15"),LEFT(TH!O5215,3)&lt;&gt;"111",'152-CT'!$J$8=TH!F5215),"x","")</f>
        <v/>
      </c>
      <c r="AC4223" s="75" t="str">
        <f>IF(AND(OR(LEFT(TH!N5215,2)="15",LEFT(TH!O5215,2)="15"),TK!$E$7=TH!F5215),"x","")</f>
        <v/>
      </c>
      <c r="AD4223" s="75" t="str">
        <f>IF(AND(N4223="1521",MONTH(C4223)='BK-NL'!$M$11),"x","")</f>
        <v/>
      </c>
    </row>
    <row r="4224" spans="1:30" ht="16.5" customHeight="1">
      <c r="A4224" s="309" t="str">
        <f>IF(B4224&lt;&gt;"",IF(AND(B4224='IN-TC'!$S$4,OR(TH!N4220="1111",TH!O4220="1111")),TH!D4220,""),"")</f>
        <v/>
      </c>
      <c r="B4224" s="1242">
        <f t="shared" si="1316"/>
        <v>5</v>
      </c>
      <c r="C4224" s="292">
        <f t="shared" si="1317"/>
        <v>42886</v>
      </c>
      <c r="D4224" s="292" t="s">
        <v>1271</v>
      </c>
      <c r="E4224" s="292">
        <v>42886</v>
      </c>
      <c r="F4224" s="293" t="s">
        <v>834</v>
      </c>
      <c r="G4224" s="943" t="s">
        <v>747</v>
      </c>
      <c r="H4224" s="67" t="s">
        <v>1023</v>
      </c>
      <c r="I4224" s="373"/>
      <c r="J4224" s="926"/>
      <c r="K4224" s="373"/>
      <c r="L4224" s="379"/>
      <c r="M4224" s="927">
        <v>340000000</v>
      </c>
      <c r="N4224" s="295" t="s">
        <v>63</v>
      </c>
      <c r="O4224" s="295" t="s">
        <v>26</v>
      </c>
      <c r="P4224" s="75" t="str">
        <f>IF(AND('331-CT'!$E$7=TH!H5196,OR(N4224="331",O4224="331")),"x","")</f>
        <v/>
      </c>
      <c r="Q4224" s="75" t="str">
        <f>IF(AND(B4224='111'!$L$11,OR($N4224=$Q$7,$O4224=$Q$7)),"x","")</f>
        <v/>
      </c>
      <c r="R4224" s="75" t="str">
        <f>IF(AND($N4224=$Q$7,$B4224&lt;'111'!$L$11),"x","")</f>
        <v>x</v>
      </c>
      <c r="S4224" s="75" t="str">
        <f>IF(AND($O4224=$Q$7,$B4224&lt;'111'!$L$11),"x","")</f>
        <v/>
      </c>
      <c r="T4224" s="75" t="str">
        <f>IF(ISERROR(FIND('112'!$M$9,G4224,1)),"",IF((AND(FIND('112'!$M$9,G4224,1)&gt;=1,B4224='112'!$K$9,OR($N4224='112'!$I$6,$O4224='112'!$I$6))),"x",""))</f>
        <v/>
      </c>
      <c r="U4224" s="75" t="str">
        <f>IF(ISERROR(FIND('112'!$M$9,G4224,1)),"",IF((AND(LEFT(G4224,2)=LEFT('112'!$M$9,2),B4224&lt;'112'!$K$9,$N4224='112'!$I$6)),"x",""))</f>
        <v/>
      </c>
      <c r="V4224" s="75" t="str">
        <f>IF(ISERROR(FIND('112'!$M$9,G4224,1)),"",IF((AND(RIGHT(G4224,2)=RIGHT('112'!$M$9,2),B4224&lt;'112'!$K$9,$O4224='112'!$I$6)),"x",""))</f>
        <v/>
      </c>
      <c r="W4224" s="75" t="str">
        <f>IF(AND('341-CT'!$H$9=H4224,OR(LEFT(N4224,3)=$W$7,LEFT(O4224,3)=$W$7)),"x","")</f>
        <v/>
      </c>
      <c r="X4224" s="75" t="str">
        <f>IF(OR(TH!N5196=TH!$X$7,O4224=TH!$X$7),"x","")</f>
        <v/>
      </c>
      <c r="Y4224" s="75" t="str">
        <f>IF(AND(OR(N4224="131",O4224="131"),H4224='131-CT'!$H$9),"x","")</f>
        <v/>
      </c>
      <c r="Z4224" s="75"/>
      <c r="AA4224" s="75" t="str">
        <f>IF(AND(MONTH(E4224)='IN-NX'!$J$5,'IN-NX'!$D$7=D4224),"x","")</f>
        <v/>
      </c>
      <c r="AB4224" s="75" t="str">
        <f>IF(AND(OR(LEFT(TH!N5196,2)="15",LEFT(TH!O5196,2)="15"),LEFT(TH!O5196,3)&lt;&gt;"111",'152-CT'!$J$8=TH!F5196),"x","")</f>
        <v/>
      </c>
      <c r="AC4224" s="75" t="str">
        <f>IF(AND(OR(LEFT(TH!N5196,2)="15",LEFT(TH!O5196,2)="15"),TK!$E$7=TH!F5196),"x","")</f>
        <v/>
      </c>
      <c r="AD4224" s="75" t="str">
        <f>IF(AND(N4224="1521",MONTH(C4224)='BK-NL'!$M$11),"x","")</f>
        <v/>
      </c>
    </row>
    <row r="4225" spans="1:33" ht="16.5" customHeight="1">
      <c r="A4225" s="309" t="str">
        <f>IF(B4225&lt;&gt;"",IF(AND(B4225='IN-TC'!$S$4,OR(TH!N4221="1111",TH!O4221="1111")),TH!D4221,""),"")</f>
        <v/>
      </c>
      <c r="B4225" s="1242">
        <f t="shared" si="1316"/>
        <v>5</v>
      </c>
      <c r="C4225" s="292">
        <f t="shared" si="1317"/>
        <v>42886</v>
      </c>
      <c r="D4225" s="292" t="s">
        <v>902</v>
      </c>
      <c r="E4225" s="292">
        <v>42886</v>
      </c>
      <c r="F4225" s="67" t="s">
        <v>1307</v>
      </c>
      <c r="G4225" s="293" t="s">
        <v>747</v>
      </c>
      <c r="H4225" s="294" t="s">
        <v>835</v>
      </c>
      <c r="I4225" s="373"/>
      <c r="J4225" s="379"/>
      <c r="K4225" s="373"/>
      <c r="L4225" s="379"/>
      <c r="M4225" s="60">
        <v>187285</v>
      </c>
      <c r="N4225" s="295" t="s">
        <v>101</v>
      </c>
      <c r="O4225" s="61" t="s">
        <v>26</v>
      </c>
      <c r="P4225" s="75" t="str">
        <f>IF(AND('331-CT'!$E$7=TH!H5216,OR(N4225="331",O4225="331")),"x","")</f>
        <v/>
      </c>
      <c r="Q4225" s="75" t="str">
        <f>IF(AND(B4225='111'!$L$11,OR($N4225=$Q$7,$O4225=$Q$7)),"x","")</f>
        <v/>
      </c>
      <c r="R4225" s="75" t="str">
        <f>IF(AND($N4225=$Q$7,$B4225&lt;'111'!$L$11),"x","")</f>
        <v/>
      </c>
      <c r="S4225" s="75" t="str">
        <f>IF(AND($O4225=$Q$7,$B4225&lt;'111'!$L$11),"x","")</f>
        <v/>
      </c>
      <c r="T4225" s="75" t="str">
        <f>IF(ISERROR(FIND('112'!$M$9,G4225,1)),"",IF((AND(FIND('112'!$M$9,G4225,1)&gt;=1,B4225='112'!$K$9,OR($N4225='112'!$I$6,$O4225='112'!$I$6))),"x",""))</f>
        <v/>
      </c>
      <c r="U4225" s="75" t="str">
        <f>IF(ISERROR(FIND('112'!$M$9,G4225,1)),"",IF((AND(LEFT(G4225,2)=LEFT('112'!$M$9,2),B4225&lt;'112'!$K$9,$N4225='112'!$I$6)),"x",""))</f>
        <v/>
      </c>
      <c r="V4225" s="75" t="str">
        <f>IF(ISERROR(FIND('112'!$M$9,G4225,1)),"",IF((AND(RIGHT(G4225,2)=RIGHT('112'!$M$9,2),B4225&lt;'112'!$K$9,$O4225='112'!$I$6)),"x",""))</f>
        <v/>
      </c>
      <c r="W4225" s="75" t="str">
        <f>IF(AND('341-CT'!$H$9=H4225,OR(LEFT(N4225,3)=$W$7,LEFT(O4225,3)=$W$7)),"x","")</f>
        <v/>
      </c>
      <c r="X4225" s="75" t="str">
        <f>IF(OR(TH!N5216=TH!$X$7,O4225=TH!$X$7),"x","")</f>
        <v/>
      </c>
      <c r="Y4225" s="75" t="str">
        <f>IF(AND(OR(N4225="131",O4225="131"),H4225='131-CT'!$H$9),"x","")</f>
        <v/>
      </c>
      <c r="Z4225" s="75"/>
      <c r="AA4225" s="75" t="str">
        <f>IF(AND(MONTH(E4225)='IN-NX'!$J$5,'IN-NX'!$D$7=D4225),"x","")</f>
        <v/>
      </c>
      <c r="AB4225" s="75" t="str">
        <f>IF(AND(OR(LEFT(TH!N5216,2)="15",LEFT(TH!O5216,2)="15"),LEFT(TH!O5216,3)&lt;&gt;"111",'152-CT'!$J$8=TH!F5216),"x","")</f>
        <v/>
      </c>
      <c r="AC4225" s="75" t="str">
        <f>IF(AND(OR(LEFT(TH!N5216,2)="15",LEFT(TH!O5216,2)="15"),TK!$E$7=TH!F5216),"x","")</f>
        <v/>
      </c>
      <c r="AD4225" s="75" t="str">
        <f>IF(AND(N4225="1521",MONTH(C4225)='BK-NL'!$M$11),"x","")</f>
        <v/>
      </c>
    </row>
    <row r="4226" spans="1:33" ht="16.5" customHeight="1">
      <c r="A4226" s="309" t="str">
        <f>IF(B4226&lt;&gt;"",IF(AND(B4226='IN-TC'!$S$4,OR(TH!N5698="1111",TH!O5698="1111")),TH!D5698,""),"")</f>
        <v/>
      </c>
      <c r="B4226" s="1339">
        <f t="shared" si="1316"/>
        <v>5</v>
      </c>
      <c r="C4226" s="292">
        <f t="shared" si="1317"/>
        <v>42886</v>
      </c>
      <c r="D4226" s="71"/>
      <c r="E4226" s="71">
        <v>42886</v>
      </c>
      <c r="F4226" s="72" t="s">
        <v>3010</v>
      </c>
      <c r="G4226" s="72" t="s">
        <v>332</v>
      </c>
      <c r="H4226" s="73" t="s">
        <v>1880</v>
      </c>
      <c r="I4226" s="371"/>
      <c r="J4226" s="377"/>
      <c r="K4226" s="371"/>
      <c r="L4226" s="377"/>
      <c r="M4226" s="74">
        <v>92552000</v>
      </c>
      <c r="N4226" s="75" t="s">
        <v>63</v>
      </c>
      <c r="O4226" s="75" t="s">
        <v>262</v>
      </c>
      <c r="P4226" s="75" t="str">
        <f>IF(AND('331-CT'!$E$7=TH!H5698,OR(N4226="331",O4226="331")),"x","")</f>
        <v/>
      </c>
      <c r="Q4226" s="75" t="str">
        <f>IF(AND(B4226='111'!$L$11,OR($N4226=$Q$7,$O4226=$Q$7)),"x","")</f>
        <v/>
      </c>
      <c r="R4226" s="75" t="str">
        <f>IF(AND($N4226=$Q$7,$B4226&lt;'111'!$L$11),"x","")</f>
        <v>x</v>
      </c>
      <c r="S4226" s="75" t="str">
        <f>IF(AND($O4226=$Q$7,$B4226&lt;'111'!$L$11),"x","")</f>
        <v/>
      </c>
      <c r="T4226" s="75" t="str">
        <f>IF(ISERROR(FIND('112'!$M$9,G4226,1)),"",IF((AND(FIND('112'!$M$9,G4226,1)&gt;=1,B4226='112'!$K$9,OR($N4226='112'!$I$6,$O4226='112'!$I$6))),"x",""))</f>
        <v/>
      </c>
      <c r="U4226" s="75" t="str">
        <f>IF(ISERROR(FIND('112'!$M$9,G4226,1)),"",IF((AND(LEFT(G4226,2)=LEFT('112'!$M$9,2),B4226&lt;'112'!$K$9,$N4226='112'!$I$6)),"x",""))</f>
        <v/>
      </c>
      <c r="V4226" s="75" t="str">
        <f>IF(ISERROR(FIND('112'!$M$9,G4226,1)),"",IF((AND(RIGHT(G4226,2)=RIGHT('112'!$M$9,2),B4226&lt;'112'!$K$9,$O4226='112'!$I$6)),"x",""))</f>
        <v/>
      </c>
      <c r="W4226" s="75" t="str">
        <f>IF(AND('341-CT'!$H$9=H4226,OR(LEFT(N4226,3)=$W$7,LEFT(O4226,3)=$W$7)),"x","")</f>
        <v/>
      </c>
      <c r="X4226" s="75" t="str">
        <f>IF(OR(TH!N5698=TH!$X$7,O4226=TH!$X$7),"x","")</f>
        <v>x</v>
      </c>
      <c r="Y4226" s="75" t="str">
        <f>IF(AND(OR(N4226="131",O4226="131"),H4226='131-CT'!$H$9),"x","")</f>
        <v/>
      </c>
      <c r="Z4226" s="75"/>
      <c r="AA4226" s="75" t="str">
        <f>IF(AND(MONTH(E4226)='IN-NX'!$J$5,'IN-NX'!$D$7=D4226),"x","")</f>
        <v/>
      </c>
      <c r="AB4226" s="75" t="str">
        <f>IF(AND(OR(LEFT(TH!N5698,2)="15",LEFT(TH!O5698,2)="15"),LEFT(TH!O5698,3)&lt;&gt;"111",'152-CT'!$J$8=TH!F5698),"x","")</f>
        <v/>
      </c>
      <c r="AC4226" s="75" t="str">
        <f>IF(AND(OR(LEFT(TH!N5698,2)="15",LEFT(TH!O5698,2)="15"),TK!$E$7=TH!F5698),"x","")</f>
        <v/>
      </c>
      <c r="AD4226" s="75" t="str">
        <f>IF(AND(N4226="1521",MONTH(C4226)='BK-NL'!$M$11),"x","")</f>
        <v/>
      </c>
      <c r="AE4226" s="1264"/>
      <c r="AF4226" s="1264"/>
      <c r="AG4226" s="1264"/>
    </row>
    <row r="4227" spans="1:33" s="1053" customFormat="1" ht="16.5" customHeight="1">
      <c r="A4227" s="309" t="str">
        <f>IF(B4227&lt;&gt;"",IF(AND(B4227='IN-TC'!$S$4,OR(TH!N5707="1111",TH!O5707="1111")),TH!D5707,""),"")</f>
        <v/>
      </c>
      <c r="B4227" s="1339">
        <f t="shared" si="1316"/>
        <v>5</v>
      </c>
      <c r="C4227" s="292">
        <f t="shared" si="1317"/>
        <v>42886</v>
      </c>
      <c r="D4227" s="71"/>
      <c r="E4227" s="71">
        <v>42886</v>
      </c>
      <c r="F4227" s="72" t="s">
        <v>3010</v>
      </c>
      <c r="G4227" s="72" t="s">
        <v>1899</v>
      </c>
      <c r="H4227" s="73" t="s">
        <v>1879</v>
      </c>
      <c r="I4227" s="371"/>
      <c r="J4227" s="378"/>
      <c r="K4227" s="371"/>
      <c r="L4227" s="377"/>
      <c r="M4227" s="74">
        <v>56692000</v>
      </c>
      <c r="N4227" s="75" t="s">
        <v>63</v>
      </c>
      <c r="O4227" s="75" t="s">
        <v>262</v>
      </c>
      <c r="P4227" s="75" t="str">
        <f>IF(AND('331-CT'!$E$7=TH!H5707,OR(N4227="331",O4227="331")),"x","")</f>
        <v/>
      </c>
      <c r="Q4227" s="75" t="str">
        <f>IF(AND(B4227='111'!$L$11,OR($N4227=$Q$7,$O4227=$Q$7)),"x","")</f>
        <v/>
      </c>
      <c r="R4227" s="75" t="str">
        <f>IF(AND($N4227=$Q$7,$B4227&lt;'111'!$L$11),"x","")</f>
        <v>x</v>
      </c>
      <c r="S4227" s="75" t="str">
        <f>IF(AND($O4227=$Q$7,$B4227&lt;'111'!$L$11),"x","")</f>
        <v/>
      </c>
      <c r="T4227" s="75" t="str">
        <f>IF(ISERROR(FIND('112'!$M$9,G4227,1)),"",IF((AND(FIND('112'!$M$9,G4227,1)&gt;=1,B4227='112'!$K$9,OR($N4227='112'!$I$6,$O4227='112'!$I$6))),"x",""))</f>
        <v/>
      </c>
      <c r="U4227" s="75" t="str">
        <f>IF(ISERROR(FIND('112'!$M$9,G4227,1)),"",IF((AND(LEFT(G4227,2)=LEFT('112'!$M$9,2),B4227&lt;'112'!$K$9,$N4227='112'!$I$6)),"x",""))</f>
        <v/>
      </c>
      <c r="V4227" s="75" t="str">
        <f>IF(ISERROR(FIND('112'!$M$9,G4227,1)),"",IF((AND(RIGHT(G4227,2)=RIGHT('112'!$M$9,2),B4227&lt;'112'!$K$9,$O4227='112'!$I$6)),"x",""))</f>
        <v/>
      </c>
      <c r="W4227" s="75" t="str">
        <f>IF(AND('341-CT'!$H$9=H4227,OR(LEFT(N4227,3)=$W$7,LEFT(O4227,3)=$W$7)),"x","")</f>
        <v/>
      </c>
      <c r="X4227" s="75" t="str">
        <f>IF(OR(TH!N5707=TH!$X$7,O4227=TH!$X$7),"x","")</f>
        <v>x</v>
      </c>
      <c r="Y4227" s="75" t="str">
        <f>IF(AND(OR(N4227="131",O4227="131"),H4227='131-CT'!$H$9),"x","")</f>
        <v/>
      </c>
      <c r="Z4227" s="75"/>
      <c r="AA4227" s="75" t="str">
        <f>IF(AND(MONTH(E4227)='IN-NX'!$J$5,'IN-NX'!$D$7=D4227),"x","")</f>
        <v/>
      </c>
      <c r="AB4227" s="75" t="str">
        <f>IF(AND(OR(LEFT(TH!N5707,2)="15",LEFT(TH!O5707,2)="15"),LEFT(TH!O5707,3)&lt;&gt;"111",'152-CT'!$J$8=TH!F5707),"x","")</f>
        <v/>
      </c>
      <c r="AC4227" s="75" t="str">
        <f>IF(AND(OR(LEFT(TH!N5707,2)="15",LEFT(TH!O5707,2)="15"),TK!$E$7=TH!F5707),"x","")</f>
        <v/>
      </c>
      <c r="AD4227" s="75" t="str">
        <f>IF(AND(N4227="1521",MONTH(C4227)='BK-NL'!$M$11),"x","")</f>
        <v/>
      </c>
      <c r="AE4227" s="1264"/>
      <c r="AF4227" s="1264"/>
      <c r="AG4227" s="1264"/>
    </row>
    <row r="4228" spans="1:33" s="1053" customFormat="1" ht="16.5" customHeight="1">
      <c r="A4228" s="309" t="str">
        <f>IF(B4228&lt;&gt;"",IF(AND(B4228='IN-TC'!$S$4,OR(TH!N4222="1111",TH!O4222="1111")),TH!D4222,""),"")</f>
        <v/>
      </c>
      <c r="B4228" s="1130">
        <f t="shared" si="1316"/>
        <v>6</v>
      </c>
      <c r="C4228" s="292">
        <f t="shared" si="1317"/>
        <v>42887</v>
      </c>
      <c r="D4228" s="292" t="s">
        <v>1915</v>
      </c>
      <c r="E4228" s="292">
        <v>42887</v>
      </c>
      <c r="F4228" s="67" t="s">
        <v>1165</v>
      </c>
      <c r="G4228" s="925" t="s">
        <v>1484</v>
      </c>
      <c r="H4228" s="294" t="s">
        <v>796</v>
      </c>
      <c r="I4228" s="373"/>
      <c r="J4228" s="926"/>
      <c r="K4228" s="373"/>
      <c r="L4228" s="379"/>
      <c r="M4228" s="927">
        <v>19650400</v>
      </c>
      <c r="N4228" s="295" t="s">
        <v>8</v>
      </c>
      <c r="O4228" s="295" t="s">
        <v>63</v>
      </c>
      <c r="P4228" s="75" t="str">
        <f>IF(AND('331-CT'!$E$7=TH!H3692,OR(N4228="331",O4228="331")),"x","")</f>
        <v/>
      </c>
      <c r="Q4228" s="75" t="str">
        <f>IF(AND(B4228='111'!$L$11,OR($N4228=$Q$7,$O4228=$Q$7)),"x","")</f>
        <v/>
      </c>
      <c r="R4228" s="75" t="str">
        <f>IF(AND($N4228=$Q$7,$B4228&lt;'111'!$L$11),"x","")</f>
        <v/>
      </c>
      <c r="S4228" s="75" t="str">
        <f>IF(AND($O4228=$Q$7,$B4228&lt;'111'!$L$11),"x","")</f>
        <v>x</v>
      </c>
      <c r="T4228" s="75" t="str">
        <f>IF(ISERROR(FIND('112'!$M$9,G4228,1)),"",IF((AND(FIND('112'!$M$9,G4228,1)&gt;=1,B4228='112'!$K$9,OR($N4228='112'!$I$6,$O4228='112'!$I$6))),"x",""))</f>
        <v/>
      </c>
      <c r="U4228" s="75" t="str">
        <f>IF(ISERROR(FIND('112'!$M$9,G4228,1)),"",IF((AND(LEFT(G4228,2)=LEFT('112'!$M$9,2),B4228&lt;'112'!$K$9,$N4228='112'!$I$6)),"x",""))</f>
        <v/>
      </c>
      <c r="V4228" s="75" t="str">
        <f>IF(ISERROR(FIND('112'!$M$9,G4228,1)),"",IF((AND(RIGHT(G4228,2)=RIGHT('112'!$M$9,2),B4228&lt;'112'!$K$9,$O4228='112'!$I$6)),"x",""))</f>
        <v/>
      </c>
      <c r="W4228" s="75" t="str">
        <f>IF(AND('341-CT'!$H$9=H4228,OR(LEFT(N4228,3)=$W$7,LEFT(O4228,3)=$W$7)),"x","")</f>
        <v/>
      </c>
      <c r="X4228" s="75" t="str">
        <f>IF(OR(TH!N3692=TH!$X$7,O4228=TH!$X$7),"x","")</f>
        <v/>
      </c>
      <c r="Y4228" s="75" t="str">
        <f>IF(AND(OR(N4228="131",O4228="131"),H4228='131-CT'!$H$9),"x","")</f>
        <v/>
      </c>
      <c r="Z4228" s="75"/>
      <c r="AA4228" s="75" t="str">
        <f>IF(AND(MONTH(E4228)='IN-NX'!$J$5,'IN-NX'!$D$7=D4228),"x","")</f>
        <v/>
      </c>
      <c r="AB4228" s="75" t="str">
        <f>IF(AND(OR(LEFT(TH!N3692,2)="15",LEFT(TH!O3692,2)="15"),LEFT(TH!O3692,3)&lt;&gt;"111",'152-CT'!$J$8=TH!F3692),"x","")</f>
        <v/>
      </c>
      <c r="AC4228" s="75" t="str">
        <f>IF(AND(OR(LEFT(TH!N3692,2)="15",LEFT(TH!O3692,2)="15"),TK!$E$7=TH!F3692),"x","")</f>
        <v/>
      </c>
      <c r="AD4228" s="75" t="str">
        <f>IF(AND(N4228="1521",MONTH(C4228)='BK-NL'!$M$11),"x","")</f>
        <v/>
      </c>
      <c r="AE4228"/>
      <c r="AF4228"/>
      <c r="AG4228"/>
    </row>
    <row r="4229" spans="1:33" ht="16.5" customHeight="1">
      <c r="A4229" s="309" t="str">
        <f>IF(B4229&lt;&gt;"",IF(AND(B4229='IN-TC'!$S$4,OR(TH!N4223="1111",TH!O4223="1111")),TH!D4223,""),"")</f>
        <v/>
      </c>
      <c r="B4229" s="1130">
        <f t="shared" si="1316"/>
        <v>6</v>
      </c>
      <c r="C4229" s="292">
        <f t="shared" si="1317"/>
        <v>42887</v>
      </c>
      <c r="D4229" s="59" t="s">
        <v>902</v>
      </c>
      <c r="E4229" s="59">
        <v>42887</v>
      </c>
      <c r="F4229" s="67" t="s">
        <v>1603</v>
      </c>
      <c r="G4229" s="62" t="s">
        <v>585</v>
      </c>
      <c r="H4229" s="67" t="s">
        <v>563</v>
      </c>
      <c r="I4229" s="375"/>
      <c r="J4229" s="381"/>
      <c r="K4229" s="375"/>
      <c r="L4229" s="381"/>
      <c r="M4229" s="60">
        <v>32243090</v>
      </c>
      <c r="N4229" s="61" t="s">
        <v>8</v>
      </c>
      <c r="O4229" s="61" t="s">
        <v>26</v>
      </c>
      <c r="P4229" s="75" t="str">
        <f>IF(AND('331-CT'!$E$7=TH!H4739,OR(N4229="331",O4229="331")),"x","")</f>
        <v/>
      </c>
      <c r="Q4229" s="75" t="str">
        <f>IF(AND(B4229='111'!$L$11,OR($N4229=$Q$7,$O4229=$Q$7)),"x","")</f>
        <v/>
      </c>
      <c r="R4229" s="75" t="str">
        <f>IF(AND($N4229=$Q$7,$B4229&lt;'111'!$L$11),"x","")</f>
        <v/>
      </c>
      <c r="S4229" s="75" t="str">
        <f>IF(AND($O4229=$Q$7,$B4229&lt;'111'!$L$11),"x","")</f>
        <v/>
      </c>
      <c r="T4229" s="75" t="str">
        <f>IF(ISERROR(FIND('112'!$M$9,G4229,1)),"",IF((AND(FIND('112'!$M$9,G4229,1)&gt;=1,B4229='112'!$K$9,OR($N4229='112'!$I$6,$O4229='112'!$I$6))),"x",""))</f>
        <v/>
      </c>
      <c r="U4229" s="75" t="str">
        <f>IF(ISERROR(FIND('112'!$M$9,G4229,1)),"",IF((AND(LEFT(G4229,2)=LEFT('112'!$M$9,2),B4229&lt;'112'!$K$9,$N4229='112'!$I$6)),"x",""))</f>
        <v/>
      </c>
      <c r="V4229" s="75" t="str">
        <f>IF(ISERROR(FIND('112'!$M$9,G4229,1)),"",IF((AND(RIGHT(G4229,2)=RIGHT('112'!$M$9,2),B4229&lt;'112'!$K$9,$O4229='112'!$I$6)),"x",""))</f>
        <v/>
      </c>
      <c r="W4229" s="75" t="str">
        <f>IF(AND('341-CT'!$H$9=H4229,OR(LEFT(N4229,3)=$W$7,LEFT(O4229,3)=$W$7)),"x","")</f>
        <v/>
      </c>
      <c r="X4229" s="75" t="str">
        <f>IF(OR(TH!N4739=TH!$X$7,O4229=TH!$X$7),"x","")</f>
        <v/>
      </c>
      <c r="Y4229" s="75" t="str">
        <f>IF(AND(OR(N4229="131",O4229="131"),H4229='131-CT'!$H$9),"x","")</f>
        <v/>
      </c>
      <c r="Z4229" s="75"/>
      <c r="AA4229" s="75" t="str">
        <f>IF(AND(MONTH(E4229)='IN-NX'!$J$5,'IN-NX'!$D$7=D4229),"x","")</f>
        <v/>
      </c>
      <c r="AB4229" s="75" t="str">
        <f>IF(AND(OR(LEFT(TH!N4739,2)="15",LEFT(TH!O4739,2)="15"),LEFT(TH!O4739,3)&lt;&gt;"111",'152-CT'!$J$8=TH!F4739),"x","")</f>
        <v/>
      </c>
      <c r="AC4229" s="75" t="str">
        <f>IF(AND(OR(LEFT(TH!N4739,2)="15",LEFT(TH!O4739,2)="15"),TK!$E$7=TH!F4739),"x","")</f>
        <v/>
      </c>
      <c r="AD4229" s="75" t="str">
        <f>IF(AND(N4229="1521",MONTH(C4229)='BK-NL'!$M$11),"x","")</f>
        <v/>
      </c>
    </row>
    <row r="4230" spans="1:33" ht="16.5" customHeight="1">
      <c r="A4230" s="309" t="str">
        <f>IF(B4230&lt;&gt;"",IF(AND(B4230='IN-TC'!$S$4,OR(TH!N4224="1111",TH!O4224="1111")),TH!D4224,""),"")</f>
        <v/>
      </c>
      <c r="B4230" s="1130">
        <f t="shared" si="1316"/>
        <v>6</v>
      </c>
      <c r="C4230" s="292">
        <f t="shared" si="1317"/>
        <v>42887</v>
      </c>
      <c r="D4230" s="59" t="s">
        <v>902</v>
      </c>
      <c r="E4230" s="59">
        <v>42887</v>
      </c>
      <c r="F4230" s="67" t="s">
        <v>870</v>
      </c>
      <c r="G4230" s="62" t="s">
        <v>585</v>
      </c>
      <c r="H4230" s="67" t="s">
        <v>845</v>
      </c>
      <c r="I4230" s="375"/>
      <c r="J4230" s="381"/>
      <c r="K4230" s="375"/>
      <c r="L4230" s="381"/>
      <c r="M4230" s="60">
        <v>20000</v>
      </c>
      <c r="N4230" s="61" t="s">
        <v>101</v>
      </c>
      <c r="O4230" s="61" t="s">
        <v>26</v>
      </c>
      <c r="P4230" s="75" t="str">
        <f>IF(AND('331-CT'!$E$7=TH!H4744,OR(N4230="331",O4230="331")),"x","")</f>
        <v/>
      </c>
      <c r="Q4230" s="75" t="str">
        <f>IF(AND(B4230='111'!$L$11,OR($N4230=$Q$7,$O4230=$Q$7)),"x","")</f>
        <v/>
      </c>
      <c r="R4230" s="75" t="str">
        <f>IF(AND($N4230=$Q$7,$B4230&lt;'111'!$L$11),"x","")</f>
        <v/>
      </c>
      <c r="S4230" s="75" t="str">
        <f>IF(AND($O4230=$Q$7,$B4230&lt;'111'!$L$11),"x","")</f>
        <v/>
      </c>
      <c r="T4230" s="75" t="str">
        <f>IF(ISERROR(FIND('112'!$M$9,G4230,1)),"",IF((AND(FIND('112'!$M$9,G4230,1)&gt;=1,B4230='112'!$K$9,OR($N4230='112'!$I$6,$O4230='112'!$I$6))),"x",""))</f>
        <v/>
      </c>
      <c r="U4230" s="75" t="str">
        <f>IF(ISERROR(FIND('112'!$M$9,G4230,1)),"",IF((AND(LEFT(G4230,2)=LEFT('112'!$M$9,2),B4230&lt;'112'!$K$9,$N4230='112'!$I$6)),"x",""))</f>
        <v/>
      </c>
      <c r="V4230" s="75" t="str">
        <f>IF(ISERROR(FIND('112'!$M$9,G4230,1)),"",IF((AND(RIGHT(G4230,2)=RIGHT('112'!$M$9,2),B4230&lt;'112'!$K$9,$O4230='112'!$I$6)),"x",""))</f>
        <v/>
      </c>
      <c r="W4230" s="75" t="str">
        <f>IF(AND('341-CT'!$H$9=H4230,OR(LEFT(N4230,3)=$W$7,LEFT(O4230,3)=$W$7)),"x","")</f>
        <v/>
      </c>
      <c r="X4230" s="75" t="str">
        <f>IF(OR(TH!N4744=TH!$X$7,O4230=TH!$X$7),"x","")</f>
        <v/>
      </c>
      <c r="Y4230" s="75" t="str">
        <f>IF(AND(OR(N4230="131",O4230="131"),H4230='131-CT'!$H$9),"x","")</f>
        <v/>
      </c>
      <c r="Z4230" s="75"/>
      <c r="AA4230" s="75" t="str">
        <f>IF(AND(MONTH(E4230)='IN-NX'!$J$5,'IN-NX'!$D$7=D4230),"x","")</f>
        <v/>
      </c>
      <c r="AB4230" s="75" t="str">
        <f>IF(AND(OR(LEFT(TH!N4744,2)="15",LEFT(TH!O4744,2)="15"),LEFT(TH!O4744,3)&lt;&gt;"111",'152-CT'!$J$8=TH!F4744),"x","")</f>
        <v/>
      </c>
      <c r="AC4230" s="75" t="str">
        <f>IF(AND(OR(LEFT(TH!N4744,2)="15",LEFT(TH!O4744,2)="15"),TK!$E$7=TH!F4744),"x","")</f>
        <v/>
      </c>
      <c r="AD4230" s="75" t="str">
        <f>IF(AND(N4230="1521",MONTH(C4230)='BK-NL'!$M$11),"x","")</f>
        <v/>
      </c>
    </row>
    <row r="4231" spans="1:33" ht="16.5" customHeight="1">
      <c r="A4231" s="309" t="str">
        <f>IF(B4231&lt;&gt;"",IF(AND(B4231='IN-TC'!$S$4,OR(TH!N4225="1111",TH!O4225="1111")),TH!D4225,""),"")</f>
        <v/>
      </c>
      <c r="B4231" s="1130">
        <f t="shared" si="1316"/>
        <v>6</v>
      </c>
      <c r="C4231" s="292">
        <f t="shared" si="1317"/>
        <v>42887</v>
      </c>
      <c r="D4231" s="59" t="s">
        <v>902</v>
      </c>
      <c r="E4231" s="59">
        <v>42887</v>
      </c>
      <c r="F4231" s="1127" t="s">
        <v>898</v>
      </c>
      <c r="G4231" s="62" t="s">
        <v>585</v>
      </c>
      <c r="H4231" s="67" t="s">
        <v>845</v>
      </c>
      <c r="I4231" s="375"/>
      <c r="J4231" s="381"/>
      <c r="K4231" s="375"/>
      <c r="L4231" s="381"/>
      <c r="M4231" s="60">
        <v>2000</v>
      </c>
      <c r="N4231" s="61" t="s">
        <v>9</v>
      </c>
      <c r="O4231" s="61" t="s">
        <v>26</v>
      </c>
      <c r="P4231" s="75" t="str">
        <f>IF(AND('331-CT'!$E$7=TH!H4745,OR(N4231="331",O4231="331")),"x","")</f>
        <v/>
      </c>
      <c r="Q4231" s="75" t="str">
        <f>IF(AND(B4231='111'!$L$11,OR($N4231=$Q$7,$O4231=$Q$7)),"x","")</f>
        <v/>
      </c>
      <c r="R4231" s="75" t="str">
        <f>IF(AND($N4231=$Q$7,$B4231&lt;'111'!$L$11),"x","")</f>
        <v/>
      </c>
      <c r="S4231" s="75" t="str">
        <f>IF(AND($O4231=$Q$7,$B4231&lt;'111'!$L$11),"x","")</f>
        <v/>
      </c>
      <c r="T4231" s="75" t="str">
        <f>IF(ISERROR(FIND('112'!$M$9,G4231,1)),"",IF((AND(FIND('112'!$M$9,G4231,1)&gt;=1,B4231='112'!$K$9,OR($N4231='112'!$I$6,$O4231='112'!$I$6))),"x",""))</f>
        <v/>
      </c>
      <c r="U4231" s="75" t="str">
        <f>IF(ISERROR(FIND('112'!$M$9,G4231,1)),"",IF((AND(LEFT(G4231,2)=LEFT('112'!$M$9,2),B4231&lt;'112'!$K$9,$N4231='112'!$I$6)),"x",""))</f>
        <v/>
      </c>
      <c r="V4231" s="75" t="str">
        <f>IF(ISERROR(FIND('112'!$M$9,G4231,1)),"",IF((AND(RIGHT(G4231,2)=RIGHT('112'!$M$9,2),B4231&lt;'112'!$K$9,$O4231='112'!$I$6)),"x",""))</f>
        <v/>
      </c>
      <c r="W4231" s="75" t="str">
        <f>IF(AND('341-CT'!$H$9=H4231,OR(LEFT(N4231,3)=$W$7,LEFT(O4231,3)=$W$7)),"x","")</f>
        <v/>
      </c>
      <c r="X4231" s="75" t="str">
        <f>IF(OR(TH!N4745=TH!$X$7,O4231=TH!$X$7),"x","")</f>
        <v/>
      </c>
      <c r="Y4231" s="75" t="str">
        <f>IF(AND(OR(N4231="131",O4231="131"),H4231='131-CT'!$H$9),"x","")</f>
        <v/>
      </c>
      <c r="Z4231" s="75"/>
      <c r="AA4231" s="75" t="str">
        <f>IF(AND(MONTH(E4231)='IN-NX'!$J$5,'IN-NX'!$D$7=D4231),"x","")</f>
        <v/>
      </c>
      <c r="AB4231" s="75" t="str">
        <f>IF(AND(OR(LEFT(TH!N4745,2)="15",LEFT(TH!O4745,2)="15"),LEFT(TH!O4745,3)&lt;&gt;"111",'152-CT'!$J$8=TH!F4745),"x","")</f>
        <v/>
      </c>
      <c r="AC4231" s="75" t="str">
        <f>IF(AND(OR(LEFT(TH!N4745,2)="15",LEFT(TH!O4745,2)="15"),TK!$E$7=TH!F4745),"x","")</f>
        <v/>
      </c>
      <c r="AD4231" s="75" t="str">
        <f>IF(AND(N4231="1521",MONTH(C4231)='BK-NL'!$M$11),"x","")</f>
        <v/>
      </c>
    </row>
    <row r="4232" spans="1:33" ht="16.5" customHeight="1">
      <c r="A4232" s="309" t="str">
        <f>IF(B4232&lt;&gt;"",IF(AND(B4232='IN-TC'!$S$4,OR(TH!N4226="1111",TH!O4226="1111")),TH!D4226,""),"")</f>
        <v/>
      </c>
      <c r="B4232" s="1130">
        <f t="shared" si="1316"/>
        <v>6</v>
      </c>
      <c r="C4232" s="292">
        <f t="shared" si="1317"/>
        <v>42887</v>
      </c>
      <c r="D4232" s="59" t="s">
        <v>902</v>
      </c>
      <c r="E4232" s="59">
        <v>42887</v>
      </c>
      <c r="F4232" s="1334" t="s">
        <v>1549</v>
      </c>
      <c r="G4232" s="62" t="s">
        <v>747</v>
      </c>
      <c r="H4232" s="67" t="s">
        <v>835</v>
      </c>
      <c r="I4232" s="1165"/>
      <c r="J4232" s="908"/>
      <c r="K4232" s="375"/>
      <c r="L4232" s="381"/>
      <c r="M4232" s="60">
        <v>227500</v>
      </c>
      <c r="N4232" s="61" t="s">
        <v>101</v>
      </c>
      <c r="O4232" s="61" t="s">
        <v>26</v>
      </c>
      <c r="P4232" s="75" t="str">
        <f>IF(AND('331-CT'!$E$7=TH!H5217,OR(N4232="331",O4232="331")),"x","")</f>
        <v/>
      </c>
      <c r="Q4232" s="75" t="str">
        <f>IF(AND(B4232='111'!$L$11,OR($N4232=$Q$7,$O4232=$Q$7)),"x","")</f>
        <v/>
      </c>
      <c r="R4232" s="75" t="str">
        <f>IF(AND($N4232=$Q$7,$B4232&lt;'111'!$L$11),"x","")</f>
        <v/>
      </c>
      <c r="S4232" s="75" t="str">
        <f>IF(AND($O4232=$Q$7,$B4232&lt;'111'!$L$11),"x","")</f>
        <v/>
      </c>
      <c r="T4232" s="75" t="str">
        <f>IF(ISERROR(FIND('112'!$M$9,G4232,1)),"",IF((AND(FIND('112'!$M$9,G4232,1)&gt;=1,B4232='112'!$K$9,OR($N4232='112'!$I$6,$O4232='112'!$I$6))),"x",""))</f>
        <v/>
      </c>
      <c r="U4232" s="75" t="str">
        <f>IF(ISERROR(FIND('112'!$M$9,G4232,1)),"",IF((AND(LEFT(G4232,2)=LEFT('112'!$M$9,2),B4232&lt;'112'!$K$9,$N4232='112'!$I$6)),"x",""))</f>
        <v/>
      </c>
      <c r="V4232" s="75" t="str">
        <f>IF(ISERROR(FIND('112'!$M$9,G4232,1)),"",IF((AND(RIGHT(G4232,2)=RIGHT('112'!$M$9,2),B4232&lt;'112'!$K$9,$O4232='112'!$I$6)),"x",""))</f>
        <v/>
      </c>
      <c r="W4232" s="75" t="str">
        <f>IF(AND('341-CT'!$H$9=H4232,OR(LEFT(N4232,3)=$W$7,LEFT(O4232,3)=$W$7)),"x","")</f>
        <v/>
      </c>
      <c r="X4232" s="75" t="str">
        <f>IF(OR(TH!N5217=TH!$X$7,O4232=TH!$X$7),"x","")</f>
        <v/>
      </c>
      <c r="Y4232" s="75" t="str">
        <f>IF(AND(OR(N4232="131",O4232="131"),H4232='131-CT'!$H$9),"x","")</f>
        <v/>
      </c>
      <c r="Z4232" s="75"/>
      <c r="AA4232" s="75" t="str">
        <f>IF(AND(MONTH(E4232)='IN-NX'!$J$5,'IN-NX'!$D$7=D4232),"x","")</f>
        <v/>
      </c>
      <c r="AB4232" s="75" t="str">
        <f>IF(AND(OR(LEFT(TH!N5217,2)="15",LEFT(TH!O5217,2)="15"),LEFT(TH!O5217,3)&lt;&gt;"111",'152-CT'!$J$8=TH!F5217),"x","")</f>
        <v/>
      </c>
      <c r="AC4232" s="75" t="str">
        <f>IF(AND(OR(LEFT(TH!N5217,2)="15",LEFT(TH!O5217,2)="15"),TK!$E$7=TH!F5217),"x","")</f>
        <v/>
      </c>
      <c r="AD4232" s="75" t="str">
        <f>IF(AND(N4232="1521",MONTH(C4232)='BK-NL'!$M$11),"x","")</f>
        <v/>
      </c>
    </row>
    <row r="4233" spans="1:33" ht="16.5" customHeight="1">
      <c r="A4233" s="309" t="str">
        <f>IF(B4233&lt;&gt;"",IF(AND(B4233='IN-TC'!$S$4,OR(TH!N4227="1111",TH!O4227="1111")),TH!D4227,""),"")</f>
        <v/>
      </c>
      <c r="B4233" s="1339">
        <f t="shared" si="1316"/>
        <v>6</v>
      </c>
      <c r="C4233" s="292">
        <f t="shared" si="1317"/>
        <v>42888</v>
      </c>
      <c r="D4233" s="71"/>
      <c r="E4233" s="71">
        <v>42888</v>
      </c>
      <c r="F4233" s="1216" t="s">
        <v>3032</v>
      </c>
      <c r="G4233" s="72" t="s">
        <v>332</v>
      </c>
      <c r="H4233" s="73" t="s">
        <v>1880</v>
      </c>
      <c r="I4233" s="371"/>
      <c r="J4233" s="378"/>
      <c r="K4233" s="371"/>
      <c r="L4233" s="377"/>
      <c r="M4233" s="74">
        <v>4000000000</v>
      </c>
      <c r="N4233" s="75" t="s">
        <v>262</v>
      </c>
      <c r="O4233" s="75" t="s">
        <v>63</v>
      </c>
      <c r="P4233" s="75" t="str">
        <f>IF(AND('331-CT'!$E$7=TH!H5885,OR(N4233="331",O4233="331")),"x","")</f>
        <v/>
      </c>
      <c r="Q4233" s="75" t="str">
        <f>IF(AND(B4233='111'!$L$11,OR($N4233=$Q$7,$O4233=$Q$7)),"x","")</f>
        <v/>
      </c>
      <c r="R4233" s="75" t="str">
        <f>IF(AND($N4233=$Q$7,$B4233&lt;'111'!$L$11),"x","")</f>
        <v/>
      </c>
      <c r="S4233" s="75" t="str">
        <f>IF(AND($O4233=$Q$7,$B4233&lt;'111'!$L$11),"x","")</f>
        <v>x</v>
      </c>
      <c r="T4233" s="75" t="str">
        <f>IF(ISERROR(FIND('112'!$M$9,G4233,1)),"",IF((AND(FIND('112'!$M$9,G4233,1)&gt;=1,B4233='112'!$K$9,OR($N4233='112'!$I$6,$O4233='112'!$I$6))),"x",""))</f>
        <v/>
      </c>
      <c r="U4233" s="75" t="str">
        <f>IF(ISERROR(FIND('112'!$M$9,G4233,1)),"",IF((AND(LEFT(G4233,2)=LEFT('112'!$M$9,2),B4233&lt;'112'!$K$9,$N4233='112'!$I$6)),"x",""))</f>
        <v/>
      </c>
      <c r="V4233" s="75" t="str">
        <f>IF(ISERROR(FIND('112'!$M$9,G4233,1)),"",IF((AND(RIGHT(G4233,2)=RIGHT('112'!$M$9,2),B4233&lt;'112'!$K$9,$O4233='112'!$I$6)),"x",""))</f>
        <v/>
      </c>
      <c r="W4233" s="75" t="str">
        <f>IF(AND('341-CT'!$H$9=H4233,OR(LEFT(N4233,3)=$W$7,LEFT(O4233,3)=$W$7)),"x","")</f>
        <v/>
      </c>
      <c r="X4233" s="75" t="str">
        <f>IF(OR(TH!N5885=TH!$X$7,O4233=TH!$X$7),"x","")</f>
        <v/>
      </c>
      <c r="Y4233" s="75" t="str">
        <f>IF(AND(OR(N4233="131",O4233="131"),H4233='131-CT'!$H$9),"x","")</f>
        <v/>
      </c>
      <c r="Z4233" s="75"/>
      <c r="AA4233" s="75" t="str">
        <f>IF(AND(MONTH(E4233)='IN-NX'!$J$5,'IN-NX'!$D$7=D4233),"x","")</f>
        <v/>
      </c>
      <c r="AB4233" s="75" t="str">
        <f>IF(AND(OR(LEFT(TH!N5885,2)="15",LEFT(TH!O5885,2)="15"),LEFT(TH!O5885,3)&lt;&gt;"111",'152-CT'!$J$8=TH!F5885),"x","")</f>
        <v/>
      </c>
      <c r="AC4233" s="75" t="str">
        <f>IF(AND(OR(LEFT(TH!N5885,2)="15",LEFT(TH!O5885,2)="15"),TK!$E$7=TH!F5885),"x","")</f>
        <v/>
      </c>
      <c r="AD4233" s="75" t="str">
        <f>IF(AND(N4233="1521",MONTH(C4233)='BK-NL'!$M$11),"x","")</f>
        <v/>
      </c>
      <c r="AE4233" s="1264"/>
      <c r="AF4233" s="1264"/>
      <c r="AG4233" s="1264"/>
    </row>
    <row r="4234" spans="1:33" ht="16.5" customHeight="1">
      <c r="A4234" s="309" t="str">
        <f>IF(B4234&lt;&gt;"",IF(AND(B4234='IN-TC'!$S$4,OR(TH!N4228="1111",TH!O4228="1111")),TH!D4228,""),"")</f>
        <v/>
      </c>
      <c r="B4234" s="1339">
        <f t="shared" si="1316"/>
        <v>6</v>
      </c>
      <c r="C4234" s="292">
        <f t="shared" si="1317"/>
        <v>42888</v>
      </c>
      <c r="D4234" s="71"/>
      <c r="E4234" s="71">
        <v>42888</v>
      </c>
      <c r="F4234" s="72" t="s">
        <v>3032</v>
      </c>
      <c r="G4234" s="72" t="s">
        <v>1899</v>
      </c>
      <c r="H4234" s="73" t="s">
        <v>1879</v>
      </c>
      <c r="I4234" s="371"/>
      <c r="J4234" s="378"/>
      <c r="K4234" s="371"/>
      <c r="L4234" s="377"/>
      <c r="M4234" s="74">
        <v>1900000000</v>
      </c>
      <c r="N4234" s="75" t="s">
        <v>262</v>
      </c>
      <c r="O4234" s="75" t="s">
        <v>63</v>
      </c>
      <c r="P4234" s="75" t="str">
        <f>IF(AND('331-CT'!$E$7=TH!H5894,OR(N4234="331",O4234="331")),"x","")</f>
        <v/>
      </c>
      <c r="Q4234" s="75" t="str">
        <f>IF(AND(B4234='111'!$L$11,OR($N4234=$Q$7,$O4234=$Q$7)),"x","")</f>
        <v/>
      </c>
      <c r="R4234" s="75" t="str">
        <f>IF(AND($N4234=$Q$7,$B4234&lt;'111'!$L$11),"x","")</f>
        <v/>
      </c>
      <c r="S4234" s="75" t="str">
        <f>IF(AND($O4234=$Q$7,$B4234&lt;'111'!$L$11),"x","")</f>
        <v>x</v>
      </c>
      <c r="T4234" s="75" t="str">
        <f>IF(ISERROR(FIND('112'!$M$9,G4234,1)),"",IF((AND(FIND('112'!$M$9,G4234,1)&gt;=1,B4234='112'!$K$9,OR($N4234='112'!$I$6,$O4234='112'!$I$6))),"x",""))</f>
        <v/>
      </c>
      <c r="U4234" s="75" t="str">
        <f>IF(ISERROR(FIND('112'!$M$9,G4234,1)),"",IF((AND(LEFT(G4234,2)=LEFT('112'!$M$9,2),B4234&lt;'112'!$K$9,$N4234='112'!$I$6)),"x",""))</f>
        <v/>
      </c>
      <c r="V4234" s="75" t="str">
        <f>IF(ISERROR(FIND('112'!$M$9,G4234,1)),"",IF((AND(RIGHT(G4234,2)=RIGHT('112'!$M$9,2),B4234&lt;'112'!$K$9,$O4234='112'!$I$6)),"x",""))</f>
        <v/>
      </c>
      <c r="W4234" s="75" t="str">
        <f>IF(AND('341-CT'!$H$9=H4234,OR(LEFT(N4234,3)=$W$7,LEFT(O4234,3)=$W$7)),"x","")</f>
        <v/>
      </c>
      <c r="X4234" s="75" t="str">
        <f>IF(OR(TH!N5894=TH!$X$7,O4234=TH!$X$7),"x","")</f>
        <v/>
      </c>
      <c r="Y4234" s="75" t="str">
        <f>IF(AND(OR(N4234="131",O4234="131"),H4234='131-CT'!$H$9),"x","")</f>
        <v/>
      </c>
      <c r="Z4234" s="75"/>
      <c r="AA4234" s="75" t="str">
        <f>IF(AND(MONTH(E4234)='IN-NX'!$J$5,'IN-NX'!$D$7=D4234),"x","")</f>
        <v/>
      </c>
      <c r="AB4234" s="75" t="str">
        <f>IF(AND(OR(LEFT(TH!N5894,2)="15",LEFT(TH!O5894,2)="15"),LEFT(TH!O5894,3)&lt;&gt;"111",'152-CT'!$J$8=TH!F5894),"x","")</f>
        <v/>
      </c>
      <c r="AC4234" s="75" t="str">
        <f>IF(AND(OR(LEFT(TH!N5894,2)="15",LEFT(TH!O5894,2)="15"),TK!$E$7=TH!F5894),"x","")</f>
        <v/>
      </c>
      <c r="AD4234" s="75" t="str">
        <f>IF(AND(N4234="1521",MONTH(C4234)='BK-NL'!$M$11),"x","")</f>
        <v/>
      </c>
      <c r="AE4234" s="1264"/>
      <c r="AF4234" s="1264"/>
      <c r="AG4234" s="1264"/>
    </row>
    <row r="4235" spans="1:33" ht="16.5" customHeight="1">
      <c r="A4235" s="309" t="str">
        <f>IF(B4235&lt;&gt;"",IF(AND(B4235='IN-TC'!$S$4,OR(TH!N4229="1111",TH!O4229="1111")),TH!D4229,""),"")</f>
        <v/>
      </c>
      <c r="B4235" s="1130">
        <f t="shared" si="1316"/>
        <v>6</v>
      </c>
      <c r="C4235" s="292">
        <f t="shared" si="1317"/>
        <v>42888</v>
      </c>
      <c r="D4235" s="292" t="s">
        <v>1918</v>
      </c>
      <c r="E4235" s="292">
        <v>42888</v>
      </c>
      <c r="F4235" s="67" t="s">
        <v>1165</v>
      </c>
      <c r="G4235" s="925" t="s">
        <v>1485</v>
      </c>
      <c r="H4235" s="294" t="s">
        <v>796</v>
      </c>
      <c r="I4235" s="373"/>
      <c r="J4235" s="926"/>
      <c r="K4235" s="373"/>
      <c r="L4235" s="379"/>
      <c r="M4235" s="927">
        <v>19650400</v>
      </c>
      <c r="N4235" s="295" t="s">
        <v>8</v>
      </c>
      <c r="O4235" s="295" t="s">
        <v>63</v>
      </c>
      <c r="P4235" s="75" t="str">
        <f>IF(AND('331-CT'!$E$7=TH!H3697,OR(N4235="331",O4235="331")),"x","")</f>
        <v/>
      </c>
      <c r="Q4235" s="75" t="str">
        <f>IF(AND(B4235='111'!$L$11,OR($N4235=$Q$7,$O4235=$Q$7)),"x","")</f>
        <v/>
      </c>
      <c r="R4235" s="75" t="str">
        <f>IF(AND($N4235=$Q$7,$B4235&lt;'111'!$L$11),"x","")</f>
        <v/>
      </c>
      <c r="S4235" s="75" t="str">
        <f>IF(AND($O4235=$Q$7,$B4235&lt;'111'!$L$11),"x","")</f>
        <v>x</v>
      </c>
      <c r="T4235" s="75" t="str">
        <f>IF(ISERROR(FIND('112'!$M$9,G4235,1)),"",IF((AND(FIND('112'!$M$9,G4235,1)&gt;=1,B4235='112'!$K$9,OR($N4235='112'!$I$6,$O4235='112'!$I$6))),"x",""))</f>
        <v/>
      </c>
      <c r="U4235" s="75" t="str">
        <f>IF(ISERROR(FIND('112'!$M$9,G4235,1)),"",IF((AND(LEFT(G4235,2)=LEFT('112'!$M$9,2),B4235&lt;'112'!$K$9,$N4235='112'!$I$6)),"x",""))</f>
        <v/>
      </c>
      <c r="V4235" s="75" t="str">
        <f>IF(ISERROR(FIND('112'!$M$9,G4235,1)),"",IF((AND(RIGHT(G4235,2)=RIGHT('112'!$M$9,2),B4235&lt;'112'!$K$9,$O4235='112'!$I$6)),"x",""))</f>
        <v/>
      </c>
      <c r="W4235" s="75" t="str">
        <f>IF(AND('341-CT'!$H$9=H4235,OR(LEFT(N4235,3)=$W$7,LEFT(O4235,3)=$W$7)),"x","")</f>
        <v/>
      </c>
      <c r="X4235" s="75" t="str">
        <f>IF(OR(TH!N3697=TH!$X$7,O4235=TH!$X$7),"x","")</f>
        <v/>
      </c>
      <c r="Y4235" s="75" t="str">
        <f>IF(AND(OR(N4235="131",O4235="131"),H4235='131-CT'!$H$9),"x","")</f>
        <v/>
      </c>
      <c r="Z4235" s="75"/>
      <c r="AA4235" s="75" t="str">
        <f>IF(AND(MONTH(E4235)='IN-NX'!$J$5,'IN-NX'!$D$7=D4235),"x","")</f>
        <v/>
      </c>
      <c r="AB4235" s="75" t="str">
        <f>IF(AND(OR(LEFT(TH!N3697,2)="15",LEFT(TH!O3697,2)="15"),LEFT(TH!O3697,3)&lt;&gt;"111",'152-CT'!$J$8=TH!F3697),"x","")</f>
        <v/>
      </c>
      <c r="AC4235" s="75" t="str">
        <f>IF(AND(OR(LEFT(TH!N3697,2)="15",LEFT(TH!O3697,2)="15"),TK!$E$7=TH!F3697),"x","")</f>
        <v/>
      </c>
      <c r="AD4235" s="75" t="str">
        <f>IF(AND(N4235="1521",MONTH(C4235)='BK-NL'!$M$11),"x","")</f>
        <v/>
      </c>
    </row>
    <row r="4236" spans="1:33" ht="16.5" customHeight="1">
      <c r="A4236" s="309" t="str">
        <f>IF(B4236&lt;&gt;"",IF(AND(B4236='IN-TC'!$S$4,OR(TH!N4230="1111",TH!O4230="1111")),TH!D4230,""),"")</f>
        <v/>
      </c>
      <c r="B4236" s="1130">
        <f t="shared" si="1316"/>
        <v>6</v>
      </c>
      <c r="C4236" s="292">
        <f t="shared" si="1317"/>
        <v>42888</v>
      </c>
      <c r="D4236" s="292" t="s">
        <v>1919</v>
      </c>
      <c r="E4236" s="292">
        <v>42888</v>
      </c>
      <c r="F4236" s="67" t="s">
        <v>1702</v>
      </c>
      <c r="G4236" s="925" t="s">
        <v>1731</v>
      </c>
      <c r="H4236" s="294" t="s">
        <v>1241</v>
      </c>
      <c r="I4236" s="373"/>
      <c r="J4236" s="926"/>
      <c r="K4236" s="373"/>
      <c r="L4236" s="379"/>
      <c r="M4236" s="927">
        <v>7993000</v>
      </c>
      <c r="N4236" s="295" t="s">
        <v>101</v>
      </c>
      <c r="O4236" s="295" t="s">
        <v>63</v>
      </c>
      <c r="P4236" s="75" t="str">
        <f>IF(AND('331-CT'!$E$7=TH!H3698,OR(N4236="331",O4236="331")),"x","")</f>
        <v/>
      </c>
      <c r="Q4236" s="75" t="str">
        <f>IF(AND(B4236='111'!$L$11,OR($N4236=$Q$7,$O4236=$Q$7)),"x","")</f>
        <v/>
      </c>
      <c r="R4236" s="75" t="str">
        <f>IF(AND($N4236=$Q$7,$B4236&lt;'111'!$L$11),"x","")</f>
        <v/>
      </c>
      <c r="S4236" s="75" t="str">
        <f>IF(AND($O4236=$Q$7,$B4236&lt;'111'!$L$11),"x","")</f>
        <v>x</v>
      </c>
      <c r="T4236" s="75" t="str">
        <f>IF(ISERROR(FIND('112'!$M$9,G4236,1)),"",IF((AND(FIND('112'!$M$9,G4236,1)&gt;=1,B4236='112'!$K$9,OR($N4236='112'!$I$6,$O4236='112'!$I$6))),"x",""))</f>
        <v/>
      </c>
      <c r="U4236" s="75" t="str">
        <f>IF(ISERROR(FIND('112'!$M$9,G4236,1)),"",IF((AND(LEFT(G4236,2)=LEFT('112'!$M$9,2),B4236&lt;'112'!$K$9,$N4236='112'!$I$6)),"x",""))</f>
        <v/>
      </c>
      <c r="V4236" s="75" t="str">
        <f>IF(ISERROR(FIND('112'!$M$9,G4236,1)),"",IF((AND(RIGHT(G4236,2)=RIGHT('112'!$M$9,2),B4236&lt;'112'!$K$9,$O4236='112'!$I$6)),"x",""))</f>
        <v/>
      </c>
      <c r="W4236" s="75" t="str">
        <f>IF(AND('341-CT'!$H$9=H4236,OR(LEFT(N4236,3)=$W$7,LEFT(O4236,3)=$W$7)),"x","")</f>
        <v/>
      </c>
      <c r="X4236" s="75" t="str">
        <f>IF(OR(TH!N3698=TH!$X$7,O4236=TH!$X$7),"x","")</f>
        <v/>
      </c>
      <c r="Y4236" s="75" t="str">
        <f>IF(AND(OR(N4236="131",O4236="131"),H4236='131-CT'!$H$9),"x","")</f>
        <v/>
      </c>
      <c r="Z4236" s="75"/>
      <c r="AA4236" s="75" t="str">
        <f>IF(AND(MONTH(E4236)='IN-NX'!$J$5,'IN-NX'!$D$7=D4236),"x","")</f>
        <v/>
      </c>
      <c r="AB4236" s="75" t="str">
        <f>IF(AND(OR(LEFT(TH!N3698,2)="15",LEFT(TH!O3698,2)="15"),LEFT(TH!O3698,3)&lt;&gt;"111",'152-CT'!$J$8=TH!F3698),"x","")</f>
        <v/>
      </c>
      <c r="AC4236" s="75" t="str">
        <f>IF(AND(OR(LEFT(TH!N3698,2)="15",LEFT(TH!O3698,2)="15"),TK!$E$7=TH!F3698),"x","")</f>
        <v/>
      </c>
      <c r="AD4236" s="75" t="str">
        <f>IF(AND(N4236="1521",MONTH(C4236)='BK-NL'!$M$11),"x","")</f>
        <v/>
      </c>
    </row>
    <row r="4237" spans="1:33" ht="16.5" customHeight="1">
      <c r="A4237" s="309" t="str">
        <f>IF(B4237&lt;&gt;"",IF(AND(B4237='IN-TC'!$S$4,OR(TH!N4231="1111",TH!O4231="1111")),TH!D4231,""),"")</f>
        <v/>
      </c>
      <c r="B4237" s="1130">
        <f t="shared" si="1316"/>
        <v>6</v>
      </c>
      <c r="C4237" s="292">
        <f t="shared" si="1317"/>
        <v>42888</v>
      </c>
      <c r="D4237" s="292" t="s">
        <v>1919</v>
      </c>
      <c r="E4237" s="292">
        <v>42888</v>
      </c>
      <c r="F4237" s="67" t="s">
        <v>1703</v>
      </c>
      <c r="G4237" s="925" t="s">
        <v>1731</v>
      </c>
      <c r="H4237" s="294" t="s">
        <v>1241</v>
      </c>
      <c r="I4237" s="373"/>
      <c r="J4237" s="926"/>
      <c r="K4237" s="373"/>
      <c r="L4237" s="379"/>
      <c r="M4237" s="927">
        <v>799300</v>
      </c>
      <c r="N4237" s="295" t="s">
        <v>9</v>
      </c>
      <c r="O4237" s="295" t="s">
        <v>63</v>
      </c>
      <c r="P4237" s="75" t="str">
        <f>IF(AND('331-CT'!$E$7=TH!H3699,OR(N4237="331",O4237="331")),"x","")</f>
        <v/>
      </c>
      <c r="Q4237" s="75" t="str">
        <f>IF(AND(B4237='111'!$L$11,OR($N4237=$Q$7,$O4237=$Q$7)),"x","")</f>
        <v/>
      </c>
      <c r="R4237" s="75" t="str">
        <f>IF(AND($N4237=$Q$7,$B4237&lt;'111'!$L$11),"x","")</f>
        <v/>
      </c>
      <c r="S4237" s="75" t="str">
        <f>IF(AND($O4237=$Q$7,$B4237&lt;'111'!$L$11),"x","")</f>
        <v>x</v>
      </c>
      <c r="T4237" s="75" t="str">
        <f>IF(ISERROR(FIND('112'!$M$9,G4237,1)),"",IF((AND(FIND('112'!$M$9,G4237,1)&gt;=1,B4237='112'!$K$9,OR($N4237='112'!$I$6,$O4237='112'!$I$6))),"x",""))</f>
        <v/>
      </c>
      <c r="U4237" s="75" t="str">
        <f>IF(ISERROR(FIND('112'!$M$9,G4237,1)),"",IF((AND(LEFT(G4237,2)=LEFT('112'!$M$9,2),B4237&lt;'112'!$K$9,$N4237='112'!$I$6)),"x",""))</f>
        <v/>
      </c>
      <c r="V4237" s="75" t="str">
        <f>IF(ISERROR(FIND('112'!$M$9,G4237,1)),"",IF((AND(RIGHT(G4237,2)=RIGHT('112'!$M$9,2),B4237&lt;'112'!$K$9,$O4237='112'!$I$6)),"x",""))</f>
        <v/>
      </c>
      <c r="W4237" s="75" t="str">
        <f>IF(AND('341-CT'!$H$9=H4237,OR(LEFT(N4237,3)=$W$7,LEFT(O4237,3)=$W$7)),"x","")</f>
        <v/>
      </c>
      <c r="X4237" s="75" t="str">
        <f>IF(OR(TH!N3699=TH!$X$7,O4237=TH!$X$7),"x","")</f>
        <v/>
      </c>
      <c r="Y4237" s="75" t="str">
        <f>IF(AND(OR(N4237="131",O4237="131"),H4237='131-CT'!$H$9),"x","")</f>
        <v/>
      </c>
      <c r="Z4237" s="75"/>
      <c r="AA4237" s="75" t="str">
        <f>IF(AND(MONTH(E4237)='IN-NX'!$J$5,'IN-NX'!$D$7=D4237),"x","")</f>
        <v/>
      </c>
      <c r="AB4237" s="75" t="str">
        <f>IF(AND(OR(LEFT(TH!N3699,2)="15",LEFT(TH!O3699,2)="15"),LEFT(TH!O3699,3)&lt;&gt;"111",'152-CT'!$J$8=TH!F3699),"x","")</f>
        <v/>
      </c>
      <c r="AC4237" s="75" t="str">
        <f>IF(AND(OR(LEFT(TH!N3699,2)="15",LEFT(TH!O3699,2)="15"),TK!$E$7=TH!F3699),"x","")</f>
        <v/>
      </c>
      <c r="AD4237" s="75" t="str">
        <f>IF(AND(N4237="1521",MONTH(C4237)='BK-NL'!$M$11),"x","")</f>
        <v/>
      </c>
    </row>
    <row r="4238" spans="1:33" ht="16.5" customHeight="1">
      <c r="A4238" s="309" t="str">
        <f>IF(B4238&lt;&gt;"",IF(AND(B4238='IN-TC'!$S$4,OR(TH!N4232="1111",TH!O4232="1111")),TH!D4232,""),"")</f>
        <v/>
      </c>
      <c r="B4238" s="1130">
        <f t="shared" si="1316"/>
        <v>6</v>
      </c>
      <c r="C4238" s="292">
        <f t="shared" si="1317"/>
        <v>42888</v>
      </c>
      <c r="D4238" s="292" t="s">
        <v>1920</v>
      </c>
      <c r="E4238" s="292">
        <v>42888</v>
      </c>
      <c r="F4238" s="67" t="s">
        <v>1697</v>
      </c>
      <c r="G4238" s="925"/>
      <c r="H4238" s="294" t="s">
        <v>948</v>
      </c>
      <c r="I4238" s="373"/>
      <c r="J4238" s="926"/>
      <c r="K4238" s="373"/>
      <c r="L4238" s="379"/>
      <c r="M4238" s="927">
        <v>10927273</v>
      </c>
      <c r="N4238" s="295" t="s">
        <v>539</v>
      </c>
      <c r="O4238" s="295" t="s">
        <v>63</v>
      </c>
      <c r="P4238" s="75" t="str">
        <f>IF(AND('331-CT'!$E$7=TH!H3700,OR(N4238="331",O4238="331")),"x","")</f>
        <v/>
      </c>
      <c r="Q4238" s="75" t="str">
        <f>IF(AND(B4238='111'!$L$11,OR($N4238=$Q$7,$O4238=$Q$7)),"x","")</f>
        <v/>
      </c>
      <c r="R4238" s="75" t="str">
        <f>IF(AND($N4238=$Q$7,$B4238&lt;'111'!$L$11),"x","")</f>
        <v/>
      </c>
      <c r="S4238" s="75" t="str">
        <f>IF(AND($O4238=$Q$7,$B4238&lt;'111'!$L$11),"x","")</f>
        <v>x</v>
      </c>
      <c r="T4238" s="75" t="str">
        <f>IF(ISERROR(FIND('112'!$M$9,G4238,1)),"",IF((AND(FIND('112'!$M$9,G4238,1)&gt;=1,B4238='112'!$K$9,OR($N4238='112'!$I$6,$O4238='112'!$I$6))),"x",""))</f>
        <v/>
      </c>
      <c r="U4238" s="75" t="str">
        <f>IF(ISERROR(FIND('112'!$M$9,G4238,1)),"",IF((AND(LEFT(G4238,2)=LEFT('112'!$M$9,2),B4238&lt;'112'!$K$9,$N4238='112'!$I$6)),"x",""))</f>
        <v/>
      </c>
      <c r="V4238" s="75" t="str">
        <f>IF(ISERROR(FIND('112'!$M$9,G4238,1)),"",IF((AND(RIGHT(G4238,2)=RIGHT('112'!$M$9,2),B4238&lt;'112'!$K$9,$O4238='112'!$I$6)),"x",""))</f>
        <v/>
      </c>
      <c r="W4238" s="75" t="str">
        <f>IF(AND('341-CT'!$H$9=H4238,OR(LEFT(N4238,3)=$W$7,LEFT(O4238,3)=$W$7)),"x","")</f>
        <v/>
      </c>
      <c r="X4238" s="75" t="str">
        <f>IF(OR(TH!N3700=TH!$X$7,O4238=TH!$X$7),"x","")</f>
        <v/>
      </c>
      <c r="Y4238" s="75" t="str">
        <f>IF(AND(OR(N4238="131",O4238="131"),H4238='131-CT'!$H$9),"x","")</f>
        <v/>
      </c>
      <c r="Z4238" s="75"/>
      <c r="AA4238" s="75" t="str">
        <f>IF(AND(MONTH(E4238)='IN-NX'!$J$5,'IN-NX'!$D$7=D4238),"x","")</f>
        <v/>
      </c>
      <c r="AB4238" s="75" t="str">
        <f>IF(AND(OR(LEFT(TH!N3700,2)="15",LEFT(TH!O3700,2)="15"),LEFT(TH!O3700,3)&lt;&gt;"111",'152-CT'!$J$8=TH!F3700),"x","")</f>
        <v/>
      </c>
      <c r="AC4238" s="75" t="str">
        <f>IF(AND(OR(LEFT(TH!N3700,2)="15",LEFT(TH!O3700,2)="15"),TK!$E$7=TH!F3700),"x","")</f>
        <v/>
      </c>
      <c r="AD4238" s="75" t="str">
        <f>IF(AND(N4238="1521",MONTH(C4238)='BK-NL'!$M$11),"x","")</f>
        <v/>
      </c>
    </row>
    <row r="4239" spans="1:33" ht="16.5" customHeight="1">
      <c r="A4239" s="309" t="str">
        <f>IF(B4239&lt;&gt;"",IF(AND(B4239='IN-TC'!$S$4,OR(TH!N4233="1111",TH!O4233="1111")),TH!D4233,""),"")</f>
        <v/>
      </c>
      <c r="B4239" s="1130">
        <f t="shared" si="1316"/>
        <v>6</v>
      </c>
      <c r="C4239" s="292">
        <f t="shared" si="1317"/>
        <v>42888</v>
      </c>
      <c r="D4239" s="292" t="s">
        <v>1920</v>
      </c>
      <c r="E4239" s="292">
        <v>42888</v>
      </c>
      <c r="F4239" s="67" t="s">
        <v>1698</v>
      </c>
      <c r="G4239" s="925"/>
      <c r="H4239" s="294" t="s">
        <v>948</v>
      </c>
      <c r="I4239" s="373"/>
      <c r="J4239" s="926"/>
      <c r="K4239" s="373"/>
      <c r="L4239" s="379"/>
      <c r="M4239" s="927">
        <v>1092727</v>
      </c>
      <c r="N4239" s="295" t="s">
        <v>9</v>
      </c>
      <c r="O4239" s="295" t="s">
        <v>63</v>
      </c>
      <c r="P4239" s="75" t="str">
        <f>IF(AND('331-CT'!$E$7=TH!H3703,OR(N4239="331",O4239="331")),"x","")</f>
        <v/>
      </c>
      <c r="Q4239" s="75" t="str">
        <f>IF(AND(B4239='111'!$L$11,OR($N4239=$Q$7,$O4239=$Q$7)),"x","")</f>
        <v/>
      </c>
      <c r="R4239" s="75" t="str">
        <f>IF(AND($N4239=$Q$7,$B4239&lt;'111'!$L$11),"x","")</f>
        <v/>
      </c>
      <c r="S4239" s="75" t="str">
        <f>IF(AND($O4239=$Q$7,$B4239&lt;'111'!$L$11),"x","")</f>
        <v>x</v>
      </c>
      <c r="T4239" s="75" t="str">
        <f>IF(ISERROR(FIND('112'!$M$9,G4239,1)),"",IF((AND(FIND('112'!$M$9,G4239,1)&gt;=1,B4239='112'!$K$9,OR($N4239='112'!$I$6,$O4239='112'!$I$6))),"x",""))</f>
        <v/>
      </c>
      <c r="U4239" s="75" t="str">
        <f>IF(ISERROR(FIND('112'!$M$9,G4239,1)),"",IF((AND(LEFT(G4239,2)=LEFT('112'!$M$9,2),B4239&lt;'112'!$K$9,$N4239='112'!$I$6)),"x",""))</f>
        <v/>
      </c>
      <c r="V4239" s="75" t="str">
        <f>IF(ISERROR(FIND('112'!$M$9,G4239,1)),"",IF((AND(RIGHT(G4239,2)=RIGHT('112'!$M$9,2),B4239&lt;'112'!$K$9,$O4239='112'!$I$6)),"x",""))</f>
        <v/>
      </c>
      <c r="W4239" s="75" t="str">
        <f>IF(AND('341-CT'!$H$9=H4239,OR(LEFT(N4239,3)=$W$7,LEFT(O4239,3)=$W$7)),"x","")</f>
        <v/>
      </c>
      <c r="X4239" s="75" t="str">
        <f>IF(OR(TH!N3703=TH!$X$7,O4239=TH!$X$7),"x","")</f>
        <v/>
      </c>
      <c r="Y4239" s="75" t="str">
        <f>IF(AND(OR(N4239="131",O4239="131"),H4239='131-CT'!$H$9),"x","")</f>
        <v/>
      </c>
      <c r="Z4239" s="75"/>
      <c r="AA4239" s="75" t="str">
        <f>IF(AND(MONTH(E4239)='IN-NX'!$J$5,'IN-NX'!$D$7=D4239),"x","")</f>
        <v/>
      </c>
      <c r="AB4239" s="75" t="str">
        <f>IF(AND(OR(LEFT(TH!N3703,2)="15",LEFT(TH!O3703,2)="15"),LEFT(TH!O3703,3)&lt;&gt;"111",'152-CT'!$J$8=TH!F3703),"x","")</f>
        <v/>
      </c>
      <c r="AC4239" s="75" t="str">
        <f>IF(AND(OR(LEFT(TH!N3703,2)="15",LEFT(TH!O3703,2)="15"),TK!$E$7=TH!F3703),"x","")</f>
        <v/>
      </c>
      <c r="AD4239" s="75" t="str">
        <f>IF(AND(N4239="1521",MONTH(C4239)='BK-NL'!$M$11),"x","")</f>
        <v/>
      </c>
    </row>
    <row r="4240" spans="1:33" ht="16.5" customHeight="1">
      <c r="A4240" s="309" t="str">
        <f>IF(B4240&lt;&gt;"",IF(AND(B4240='IN-TC'!$S$4,OR(TH!N4234="1111",TH!O4234="1111")),TH!D4234,""),"")</f>
        <v/>
      </c>
      <c r="B4240" s="1130">
        <f t="shared" si="1316"/>
        <v>6</v>
      </c>
      <c r="C4240" s="292">
        <f t="shared" si="1317"/>
        <v>42888</v>
      </c>
      <c r="D4240" s="292" t="s">
        <v>1921</v>
      </c>
      <c r="E4240" s="292">
        <v>42888</v>
      </c>
      <c r="F4240" s="67" t="s">
        <v>1700</v>
      </c>
      <c r="G4240" s="925"/>
      <c r="H4240" s="294" t="s">
        <v>1330</v>
      </c>
      <c r="I4240" s="373"/>
      <c r="J4240" s="926"/>
      <c r="K4240" s="373"/>
      <c r="L4240" s="379"/>
      <c r="M4240" s="927">
        <v>2236364</v>
      </c>
      <c r="N4240" s="295" t="s">
        <v>539</v>
      </c>
      <c r="O4240" s="295" t="s">
        <v>63</v>
      </c>
      <c r="P4240" s="75" t="str">
        <f>IF(AND('331-CT'!$E$7=TH!H3704,OR(N4240="331",O4240="331")),"x","")</f>
        <v/>
      </c>
      <c r="Q4240" s="75" t="str">
        <f>IF(AND(B4240='111'!$L$11,OR($N4240=$Q$7,$O4240=$Q$7)),"x","")</f>
        <v/>
      </c>
      <c r="R4240" s="75" t="str">
        <f>IF(AND($N4240=$Q$7,$B4240&lt;'111'!$L$11),"x","")</f>
        <v/>
      </c>
      <c r="S4240" s="75" t="str">
        <f>IF(AND($O4240=$Q$7,$B4240&lt;'111'!$L$11),"x","")</f>
        <v>x</v>
      </c>
      <c r="T4240" s="75" t="str">
        <f>IF(ISERROR(FIND('112'!$M$9,G4240,1)),"",IF((AND(FIND('112'!$M$9,G4240,1)&gt;=1,B4240='112'!$K$9,OR($N4240='112'!$I$6,$O4240='112'!$I$6))),"x",""))</f>
        <v/>
      </c>
      <c r="U4240" s="75" t="str">
        <f>IF(ISERROR(FIND('112'!$M$9,G4240,1)),"",IF((AND(LEFT(G4240,2)=LEFT('112'!$M$9,2),B4240&lt;'112'!$K$9,$N4240='112'!$I$6)),"x",""))</f>
        <v/>
      </c>
      <c r="V4240" s="75" t="str">
        <f>IF(ISERROR(FIND('112'!$M$9,G4240,1)),"",IF((AND(RIGHT(G4240,2)=RIGHT('112'!$M$9,2),B4240&lt;'112'!$K$9,$O4240='112'!$I$6)),"x",""))</f>
        <v/>
      </c>
      <c r="W4240" s="75" t="str">
        <f>IF(AND('341-CT'!$H$9=H4240,OR(LEFT(N4240,3)=$W$7,LEFT(O4240,3)=$W$7)),"x","")</f>
        <v/>
      </c>
      <c r="X4240" s="75" t="str">
        <f>IF(OR(TH!N3704=TH!$X$7,O4240=TH!$X$7),"x","")</f>
        <v/>
      </c>
      <c r="Y4240" s="75" t="str">
        <f>IF(AND(OR(N4240="131",O4240="131"),H4240='131-CT'!$H$9),"x","")</f>
        <v/>
      </c>
      <c r="Z4240" s="75"/>
      <c r="AA4240" s="75" t="str">
        <f>IF(AND(MONTH(E4240)='IN-NX'!$J$5,'IN-NX'!$D$7=D4240),"x","")</f>
        <v/>
      </c>
      <c r="AB4240" s="75" t="str">
        <f>IF(AND(OR(LEFT(TH!N3704,2)="15",LEFT(TH!O3704,2)="15"),LEFT(TH!O3704,3)&lt;&gt;"111",'152-CT'!$J$8=TH!F3704),"x","")</f>
        <v/>
      </c>
      <c r="AC4240" s="75" t="str">
        <f>IF(AND(OR(LEFT(TH!N3704,2)="15",LEFT(TH!O3704,2)="15"),TK!$E$7=TH!F3704),"x","")</f>
        <v/>
      </c>
      <c r="AD4240" s="75" t="str">
        <f>IF(AND(N4240="1521",MONTH(C4240)='BK-NL'!$M$11),"x","")</f>
        <v/>
      </c>
    </row>
    <row r="4241" spans="1:30" ht="16.5" customHeight="1">
      <c r="A4241" s="309" t="str">
        <f>IF(B4241&lt;&gt;"",IF(AND(B4241='IN-TC'!$S$4,OR(TH!N4235="1111",TH!O4235="1111")),TH!D4235,""),"")</f>
        <v/>
      </c>
      <c r="B4241" s="1130">
        <f t="shared" si="1316"/>
        <v>6</v>
      </c>
      <c r="C4241" s="292">
        <f t="shared" si="1317"/>
        <v>42888</v>
      </c>
      <c r="D4241" s="292" t="s">
        <v>1921</v>
      </c>
      <c r="E4241" s="292">
        <v>42888</v>
      </c>
      <c r="F4241" s="67" t="s">
        <v>1701</v>
      </c>
      <c r="G4241" s="925"/>
      <c r="H4241" s="294" t="s">
        <v>1330</v>
      </c>
      <c r="I4241" s="373"/>
      <c r="J4241" s="926"/>
      <c r="K4241" s="373"/>
      <c r="L4241" s="379"/>
      <c r="M4241" s="927">
        <v>223636</v>
      </c>
      <c r="N4241" s="295" t="s">
        <v>9</v>
      </c>
      <c r="O4241" s="295" t="s">
        <v>63</v>
      </c>
      <c r="P4241" s="75" t="str">
        <f>IF(AND('331-CT'!$E$7=TH!H3705,OR(N4241="331",O4241="331")),"x","")</f>
        <v/>
      </c>
      <c r="Q4241" s="75" t="str">
        <f>IF(AND(B4241='111'!$L$11,OR($N4241=$Q$7,$O4241=$Q$7)),"x","")</f>
        <v/>
      </c>
      <c r="R4241" s="75" t="str">
        <f>IF(AND($N4241=$Q$7,$B4241&lt;'111'!$L$11),"x","")</f>
        <v/>
      </c>
      <c r="S4241" s="75" t="str">
        <f>IF(AND($O4241=$Q$7,$B4241&lt;'111'!$L$11),"x","")</f>
        <v>x</v>
      </c>
      <c r="T4241" s="75" t="str">
        <f>IF(ISERROR(FIND('112'!$M$9,G4241,1)),"",IF((AND(FIND('112'!$M$9,G4241,1)&gt;=1,B4241='112'!$K$9,OR($N4241='112'!$I$6,$O4241='112'!$I$6))),"x",""))</f>
        <v/>
      </c>
      <c r="U4241" s="75" t="str">
        <f>IF(ISERROR(FIND('112'!$M$9,G4241,1)),"",IF((AND(LEFT(G4241,2)=LEFT('112'!$M$9,2),B4241&lt;'112'!$K$9,$N4241='112'!$I$6)),"x",""))</f>
        <v/>
      </c>
      <c r="V4241" s="75" t="str">
        <f>IF(ISERROR(FIND('112'!$M$9,G4241,1)),"",IF((AND(RIGHT(G4241,2)=RIGHT('112'!$M$9,2),B4241&lt;'112'!$K$9,$O4241='112'!$I$6)),"x",""))</f>
        <v/>
      </c>
      <c r="W4241" s="75" t="str">
        <f>IF(AND('341-CT'!$H$9=H4241,OR(LEFT(N4241,3)=$W$7,LEFT(O4241,3)=$W$7)),"x","")</f>
        <v/>
      </c>
      <c r="X4241" s="75" t="str">
        <f>IF(OR(TH!N3705=TH!$X$7,O4241=TH!$X$7),"x","")</f>
        <v/>
      </c>
      <c r="Y4241" s="75" t="str">
        <f>IF(AND(OR(N4241="131",O4241="131"),H4241='131-CT'!$H$9),"x","")</f>
        <v/>
      </c>
      <c r="Z4241" s="75"/>
      <c r="AA4241" s="75" t="str">
        <f>IF(AND(MONTH(E4241)='IN-NX'!$J$5,'IN-NX'!$D$7=D4241),"x","")</f>
        <v/>
      </c>
      <c r="AB4241" s="75" t="str">
        <f>IF(AND(OR(LEFT(TH!N3705,2)="15",LEFT(TH!O3705,2)="15"),LEFT(TH!O3705,3)&lt;&gt;"111",'152-CT'!$J$8=TH!F3705),"x","")</f>
        <v/>
      </c>
      <c r="AC4241" s="75" t="str">
        <f>IF(AND(OR(LEFT(TH!N3705,2)="15",LEFT(TH!O3705,2)="15"),TK!$E$7=TH!F3705),"x","")</f>
        <v/>
      </c>
      <c r="AD4241" s="75" t="str">
        <f>IF(AND(N4241="1521",MONTH(C4241)='BK-NL'!$M$11),"x","")</f>
        <v/>
      </c>
    </row>
    <row r="4242" spans="1:30" ht="16.5" customHeight="1">
      <c r="A4242" s="309" t="str">
        <f>IF(B4242&lt;&gt;"",IF(AND(B4242='IN-TC'!$S$4,OR(TH!N4236="1111",TH!O4236="1111")),TH!D4236,""),"")</f>
        <v/>
      </c>
      <c r="B4242" s="1130">
        <f t="shared" si="1316"/>
        <v>6</v>
      </c>
      <c r="C4242" s="292">
        <f t="shared" si="1317"/>
        <v>42888</v>
      </c>
      <c r="D4242" s="292" t="s">
        <v>1922</v>
      </c>
      <c r="E4242" s="292">
        <v>42888</v>
      </c>
      <c r="F4242" s="67" t="s">
        <v>1700</v>
      </c>
      <c r="G4242" s="925"/>
      <c r="H4242" s="294" t="s">
        <v>1336</v>
      </c>
      <c r="I4242" s="373"/>
      <c r="J4242" s="926"/>
      <c r="K4242" s="373"/>
      <c r="L4242" s="379"/>
      <c r="M4242" s="927">
        <v>5454550</v>
      </c>
      <c r="N4242" s="295" t="s">
        <v>539</v>
      </c>
      <c r="O4242" s="295" t="s">
        <v>63</v>
      </c>
      <c r="P4242" s="75" t="str">
        <f>IF(AND('331-CT'!$E$7=TH!H3706,OR(N4242="331",O4242="331")),"x","")</f>
        <v/>
      </c>
      <c r="Q4242" s="75" t="str">
        <f>IF(AND(B4242='111'!$L$11,OR($N4242=$Q$7,$O4242=$Q$7)),"x","")</f>
        <v/>
      </c>
      <c r="R4242" s="75" t="str">
        <f>IF(AND($N4242=$Q$7,$B4242&lt;'111'!$L$11),"x","")</f>
        <v/>
      </c>
      <c r="S4242" s="75" t="str">
        <f>IF(AND($O4242=$Q$7,$B4242&lt;'111'!$L$11),"x","")</f>
        <v>x</v>
      </c>
      <c r="T4242" s="75" t="str">
        <f>IF(ISERROR(FIND('112'!$M$9,G4242,1)),"",IF((AND(FIND('112'!$M$9,G4242,1)&gt;=1,B4242='112'!$K$9,OR($N4242='112'!$I$6,$O4242='112'!$I$6))),"x",""))</f>
        <v/>
      </c>
      <c r="U4242" s="75" t="str">
        <f>IF(ISERROR(FIND('112'!$M$9,G4242,1)),"",IF((AND(LEFT(G4242,2)=LEFT('112'!$M$9,2),B4242&lt;'112'!$K$9,$N4242='112'!$I$6)),"x",""))</f>
        <v/>
      </c>
      <c r="V4242" s="75" t="str">
        <f>IF(ISERROR(FIND('112'!$M$9,G4242,1)),"",IF((AND(RIGHT(G4242,2)=RIGHT('112'!$M$9,2),B4242&lt;'112'!$K$9,$O4242='112'!$I$6)),"x",""))</f>
        <v/>
      </c>
      <c r="W4242" s="75" t="str">
        <f>IF(AND('341-CT'!$H$9=H4242,OR(LEFT(N4242,3)=$W$7,LEFT(O4242,3)=$W$7)),"x","")</f>
        <v/>
      </c>
      <c r="X4242" s="75" t="str">
        <f>IF(OR(TH!N3706=TH!$X$7,O4242=TH!$X$7),"x","")</f>
        <v/>
      </c>
      <c r="Y4242" s="75" t="str">
        <f>IF(AND(OR(N4242="131",O4242="131"),H4242='131-CT'!$H$9),"x","")</f>
        <v/>
      </c>
      <c r="Z4242" s="75"/>
      <c r="AA4242" s="75" t="str">
        <f>IF(AND(MONTH(E4242)='IN-NX'!$J$5,'IN-NX'!$D$7=D4242),"x","")</f>
        <v/>
      </c>
      <c r="AB4242" s="75" t="str">
        <f>IF(AND(OR(LEFT(TH!N3706,2)="15",LEFT(TH!O3706,2)="15"),LEFT(TH!O3706,3)&lt;&gt;"111",'152-CT'!$J$8=TH!F3706),"x","")</f>
        <v/>
      </c>
      <c r="AC4242" s="75" t="str">
        <f>IF(AND(OR(LEFT(TH!N3706,2)="15",LEFT(TH!O3706,2)="15"),TK!$E$7=TH!F3706),"x","")</f>
        <v/>
      </c>
      <c r="AD4242" s="75" t="str">
        <f>IF(AND(N4242="1521",MONTH(C4242)='BK-NL'!$M$11),"x","")</f>
        <v/>
      </c>
    </row>
    <row r="4243" spans="1:30" ht="16.5" customHeight="1">
      <c r="A4243" s="309" t="str">
        <f>IF(B4243&lt;&gt;"",IF(AND(B4243='IN-TC'!$S$4,OR(TH!N4237="1111",TH!O4237="1111")),TH!D4237,""),"")</f>
        <v/>
      </c>
      <c r="B4243" s="1130">
        <f t="shared" ref="B4243:B4306" si="1318">IF(C4243&lt;&gt;"",MONTH(C4243),"")</f>
        <v>6</v>
      </c>
      <c r="C4243" s="292">
        <f t="shared" si="1317"/>
        <v>42888</v>
      </c>
      <c r="D4243" s="292" t="s">
        <v>1922</v>
      </c>
      <c r="E4243" s="292">
        <v>42888</v>
      </c>
      <c r="F4243" s="1127" t="s">
        <v>1701</v>
      </c>
      <c r="G4243" s="925"/>
      <c r="H4243" s="294" t="s">
        <v>1336</v>
      </c>
      <c r="I4243" s="373"/>
      <c r="J4243" s="926"/>
      <c r="K4243" s="373"/>
      <c r="L4243" s="379"/>
      <c r="M4243" s="927">
        <v>545450</v>
      </c>
      <c r="N4243" s="295" t="s">
        <v>9</v>
      </c>
      <c r="O4243" s="295" t="s">
        <v>63</v>
      </c>
      <c r="P4243" s="75" t="str">
        <f>IF(AND('331-CT'!$E$7=TH!H3707,OR(N4243="331",O4243="331")),"x","")</f>
        <v/>
      </c>
      <c r="Q4243" s="75" t="str">
        <f>IF(AND(B4243='111'!$L$11,OR($N4243=$Q$7,$O4243=$Q$7)),"x","")</f>
        <v/>
      </c>
      <c r="R4243" s="75" t="str">
        <f>IF(AND($N4243=$Q$7,$B4243&lt;'111'!$L$11),"x","")</f>
        <v/>
      </c>
      <c r="S4243" s="75" t="str">
        <f>IF(AND($O4243=$Q$7,$B4243&lt;'111'!$L$11),"x","")</f>
        <v>x</v>
      </c>
      <c r="T4243" s="75" t="str">
        <f>IF(ISERROR(FIND('112'!$M$9,G4243,1)),"",IF((AND(FIND('112'!$M$9,G4243,1)&gt;=1,B4243='112'!$K$9,OR($N4243='112'!$I$6,$O4243='112'!$I$6))),"x",""))</f>
        <v/>
      </c>
      <c r="U4243" s="75" t="str">
        <f>IF(ISERROR(FIND('112'!$M$9,G4243,1)),"",IF((AND(LEFT(G4243,2)=LEFT('112'!$M$9,2),B4243&lt;'112'!$K$9,$N4243='112'!$I$6)),"x",""))</f>
        <v/>
      </c>
      <c r="V4243" s="75" t="str">
        <f>IF(ISERROR(FIND('112'!$M$9,G4243,1)),"",IF((AND(RIGHT(G4243,2)=RIGHT('112'!$M$9,2),B4243&lt;'112'!$K$9,$O4243='112'!$I$6)),"x",""))</f>
        <v/>
      </c>
      <c r="W4243" s="75" t="str">
        <f>IF(AND('341-CT'!$H$9=H4243,OR(LEFT(N4243,3)=$W$7,LEFT(O4243,3)=$W$7)),"x","")</f>
        <v/>
      </c>
      <c r="X4243" s="75" t="str">
        <f>IF(OR(TH!N3707=TH!$X$7,O4243=TH!$X$7),"x","")</f>
        <v/>
      </c>
      <c r="Y4243" s="75" t="str">
        <f>IF(AND(OR(N4243="131",O4243="131"),H4243='131-CT'!$H$9),"x","")</f>
        <v/>
      </c>
      <c r="Z4243" s="75"/>
      <c r="AA4243" s="75" t="str">
        <f>IF(AND(MONTH(E4243)='IN-NX'!$J$5,'IN-NX'!$D$7=D4243),"x","")</f>
        <v/>
      </c>
      <c r="AB4243" s="75" t="str">
        <f>IF(AND(OR(LEFT(TH!N3707,2)="15",LEFT(TH!O3707,2)="15"),LEFT(TH!O3707,3)&lt;&gt;"111",'152-CT'!$J$8=TH!F3707),"x","")</f>
        <v/>
      </c>
      <c r="AC4243" s="75" t="str">
        <f>IF(AND(OR(LEFT(TH!N3707,2)="15",LEFT(TH!O3707,2)="15"),TK!$E$7=TH!F3707),"x","")</f>
        <v/>
      </c>
      <c r="AD4243" s="75" t="str">
        <f>IF(AND(N4243="1521",MONTH(C4243)='BK-NL'!$M$11),"x","")</f>
        <v/>
      </c>
    </row>
    <row r="4244" spans="1:30" ht="16.5" customHeight="1">
      <c r="A4244" s="309" t="str">
        <f>IF(B4244&lt;&gt;"",IF(AND(B4244='IN-TC'!$S$4,OR(TH!N4238="1111",TH!O4238="1111")),TH!D4238,""),"")</f>
        <v/>
      </c>
      <c r="B4244" s="1130">
        <f t="shared" si="1318"/>
        <v>6</v>
      </c>
      <c r="C4244" s="292">
        <f t="shared" si="1317"/>
        <v>42889</v>
      </c>
      <c r="D4244" s="292" t="s">
        <v>1923</v>
      </c>
      <c r="E4244" s="292">
        <v>42889</v>
      </c>
      <c r="F4244" s="1127" t="s">
        <v>1165</v>
      </c>
      <c r="G4244" s="925" t="s">
        <v>1486</v>
      </c>
      <c r="H4244" s="294" t="s">
        <v>796</v>
      </c>
      <c r="I4244" s="373"/>
      <c r="J4244" s="926"/>
      <c r="K4244" s="373"/>
      <c r="L4244" s="379"/>
      <c r="M4244" s="927">
        <v>19650400</v>
      </c>
      <c r="N4244" s="295" t="s">
        <v>8</v>
      </c>
      <c r="O4244" s="295" t="s">
        <v>63</v>
      </c>
      <c r="P4244" s="75" t="str">
        <f>IF(AND('331-CT'!$E$7=TH!H3708,OR(N4244="331",O4244="331")),"x","")</f>
        <v/>
      </c>
      <c r="Q4244" s="75" t="str">
        <f>IF(AND(B4244='111'!$L$11,OR($N4244=$Q$7,$O4244=$Q$7)),"x","")</f>
        <v/>
      </c>
      <c r="R4244" s="75" t="str">
        <f>IF(AND($N4244=$Q$7,$B4244&lt;'111'!$L$11),"x","")</f>
        <v/>
      </c>
      <c r="S4244" s="75" t="str">
        <f>IF(AND($O4244=$Q$7,$B4244&lt;'111'!$L$11),"x","")</f>
        <v>x</v>
      </c>
      <c r="T4244" s="75" t="str">
        <f>IF(ISERROR(FIND('112'!$M$9,G4244,1)),"",IF((AND(FIND('112'!$M$9,G4244,1)&gt;=1,B4244='112'!$K$9,OR($N4244='112'!$I$6,$O4244='112'!$I$6))),"x",""))</f>
        <v/>
      </c>
      <c r="U4244" s="75" t="str">
        <f>IF(ISERROR(FIND('112'!$M$9,G4244,1)),"",IF((AND(LEFT(G4244,2)=LEFT('112'!$M$9,2),B4244&lt;'112'!$K$9,$N4244='112'!$I$6)),"x",""))</f>
        <v/>
      </c>
      <c r="V4244" s="75" t="str">
        <f>IF(ISERROR(FIND('112'!$M$9,G4244,1)),"",IF((AND(RIGHT(G4244,2)=RIGHT('112'!$M$9,2),B4244&lt;'112'!$K$9,$O4244='112'!$I$6)),"x",""))</f>
        <v/>
      </c>
      <c r="W4244" s="75" t="str">
        <f>IF(AND('341-CT'!$H$9=H4244,OR(LEFT(N4244,3)=$W$7,LEFT(O4244,3)=$W$7)),"x","")</f>
        <v/>
      </c>
      <c r="X4244" s="75" t="str">
        <f>IF(OR(TH!N3708=TH!$X$7,O4244=TH!$X$7),"x","")</f>
        <v/>
      </c>
      <c r="Y4244" s="75" t="str">
        <f>IF(AND(OR(N4244="131",O4244="131"),H4244='131-CT'!$H$9),"x","")</f>
        <v/>
      </c>
      <c r="Z4244" s="75"/>
      <c r="AA4244" s="75" t="str">
        <f>IF(AND(MONTH(E4244)='IN-NX'!$J$5,'IN-NX'!$D$7=D4244),"x","")</f>
        <v/>
      </c>
      <c r="AB4244" s="75" t="str">
        <f>IF(AND(OR(LEFT(TH!N3708,2)="15",LEFT(TH!O3708,2)="15"),LEFT(TH!O3708,3)&lt;&gt;"111",'152-CT'!$J$8=TH!F3708),"x","")</f>
        <v/>
      </c>
      <c r="AC4244" s="75" t="str">
        <f>IF(AND(OR(LEFT(TH!N3708,2)="15",LEFT(TH!O3708,2)="15"),TK!$E$7=TH!F3708),"x","")</f>
        <v/>
      </c>
      <c r="AD4244" s="75" t="str">
        <f>IF(AND(N4244="1521",MONTH(C4244)='BK-NL'!$M$11),"x","")</f>
        <v/>
      </c>
    </row>
    <row r="4245" spans="1:30" ht="16.5" customHeight="1">
      <c r="A4245" s="309" t="str">
        <f>IF(B4245&lt;&gt;"",IF(AND(B4245='IN-TC'!$S$4,OR(TH!N4239="1111",TH!O4239="1111")),TH!D4239,""),"")</f>
        <v/>
      </c>
      <c r="B4245" s="1130">
        <f t="shared" si="1318"/>
        <v>6</v>
      </c>
      <c r="C4245" s="292">
        <f t="shared" si="1317"/>
        <v>42889</v>
      </c>
      <c r="D4245" s="59" t="s">
        <v>903</v>
      </c>
      <c r="E4245" s="59">
        <v>42889</v>
      </c>
      <c r="F4245" s="1127" t="s">
        <v>914</v>
      </c>
      <c r="G4245" s="62" t="s">
        <v>585</v>
      </c>
      <c r="H4245" s="67" t="s">
        <v>845</v>
      </c>
      <c r="I4245" s="375"/>
      <c r="J4245" s="381"/>
      <c r="K4245" s="375"/>
      <c r="L4245" s="381"/>
      <c r="M4245" s="60">
        <v>52271</v>
      </c>
      <c r="N4245" s="61" t="s">
        <v>26</v>
      </c>
      <c r="O4245" s="295" t="s">
        <v>43</v>
      </c>
      <c r="P4245" s="75" t="str">
        <f>IF(AND('331-CT'!$E$7=TH!H4746,OR(N4245="331",O4245="331")),"x","")</f>
        <v/>
      </c>
      <c r="Q4245" s="75" t="str">
        <f>IF(AND(B4245='111'!$L$11,OR($N4245=$Q$7,$O4245=$Q$7)),"x","")</f>
        <v/>
      </c>
      <c r="R4245" s="75" t="str">
        <f>IF(AND($N4245=$Q$7,$B4245&lt;'111'!$L$11),"x","")</f>
        <v/>
      </c>
      <c r="S4245" s="75" t="str">
        <f>IF(AND($O4245=$Q$7,$B4245&lt;'111'!$L$11),"x","")</f>
        <v/>
      </c>
      <c r="T4245" s="75" t="str">
        <f>IF(ISERROR(FIND('112'!$M$9,G4245,1)),"",IF((AND(FIND('112'!$M$9,G4245,1)&gt;=1,B4245='112'!$K$9,OR($N4245='112'!$I$6,$O4245='112'!$I$6))),"x",""))</f>
        <v/>
      </c>
      <c r="U4245" s="75" t="str">
        <f>IF(ISERROR(FIND('112'!$M$9,G4245,1)),"",IF((AND(LEFT(G4245,2)=LEFT('112'!$M$9,2),B4245&lt;'112'!$K$9,$N4245='112'!$I$6)),"x",""))</f>
        <v/>
      </c>
      <c r="V4245" s="75" t="str">
        <f>IF(ISERROR(FIND('112'!$M$9,G4245,1)),"",IF((AND(RIGHT(G4245,2)=RIGHT('112'!$M$9,2),B4245&lt;'112'!$K$9,$O4245='112'!$I$6)),"x",""))</f>
        <v/>
      </c>
      <c r="W4245" s="75" t="str">
        <f>IF(AND('341-CT'!$H$9=H4245,OR(LEFT(N4245,3)=$W$7,LEFT(O4245,3)=$W$7)),"x","")</f>
        <v/>
      </c>
      <c r="X4245" s="75" t="str">
        <f>IF(OR(TH!N4746=TH!$X$7,O4245=TH!$X$7),"x","")</f>
        <v/>
      </c>
      <c r="Y4245" s="75" t="str">
        <f>IF(AND(OR(N4245="131",O4245="131"),H4245='131-CT'!$H$9),"x","")</f>
        <v/>
      </c>
      <c r="Z4245" s="75"/>
      <c r="AA4245" s="75" t="str">
        <f>IF(AND(MONTH(E4245)='IN-NX'!$J$5,'IN-NX'!$D$7=D4245),"x","")</f>
        <v/>
      </c>
      <c r="AB4245" s="75" t="str">
        <f>IF(AND(OR(LEFT(TH!N4746,2)="15",LEFT(TH!O4746,2)="15"),LEFT(TH!O4746,3)&lt;&gt;"111",'152-CT'!$J$8=TH!F4746),"x","")</f>
        <v/>
      </c>
      <c r="AC4245" s="75" t="str">
        <f>IF(AND(OR(LEFT(TH!N4746,2)="15",LEFT(TH!O4746,2)="15"),TK!$E$7=TH!F4746),"x","")</f>
        <v/>
      </c>
      <c r="AD4245" s="75" t="str">
        <f>IF(AND(N4245="1521",MONTH(C4245)='BK-NL'!$M$11),"x","")</f>
        <v/>
      </c>
    </row>
    <row r="4246" spans="1:30" ht="16.5" customHeight="1">
      <c r="A4246" s="309" t="str">
        <f>IF(B4246&lt;&gt;"",IF(AND(B4246='IN-TC'!$S$4,OR(TH!N4240="1111",TH!O4240="1111")),TH!D4240,""),"")</f>
        <v/>
      </c>
      <c r="B4246" s="1130">
        <f t="shared" si="1318"/>
        <v>6</v>
      </c>
      <c r="C4246" s="292">
        <f t="shared" si="1317"/>
        <v>42891</v>
      </c>
      <c r="D4246" s="292" t="s">
        <v>1926</v>
      </c>
      <c r="E4246" s="292">
        <v>42891</v>
      </c>
      <c r="F4246" s="1127" t="s">
        <v>1499</v>
      </c>
      <c r="G4246" s="925" t="s">
        <v>1704</v>
      </c>
      <c r="H4246" s="294" t="s">
        <v>893</v>
      </c>
      <c r="I4246" s="373"/>
      <c r="J4246" s="926"/>
      <c r="K4246" s="373"/>
      <c r="L4246" s="379"/>
      <c r="M4246" s="927">
        <v>1514619</v>
      </c>
      <c r="N4246" s="295" t="s">
        <v>101</v>
      </c>
      <c r="O4246" s="295" t="s">
        <v>63</v>
      </c>
      <c r="P4246" s="75" t="str">
        <f>IF(AND('331-CT'!$E$7=TH!H3701,OR(N4246="331",O4246="331")),"x","")</f>
        <v/>
      </c>
      <c r="Q4246" s="75" t="str">
        <f>IF(AND(B4246='111'!$L$11,OR($N4246=$Q$7,$O4246=$Q$7)),"x","")</f>
        <v/>
      </c>
      <c r="R4246" s="75" t="str">
        <f>IF(AND($N4246=$Q$7,$B4246&lt;'111'!$L$11),"x","")</f>
        <v/>
      </c>
      <c r="S4246" s="75" t="str">
        <f>IF(AND($O4246=$Q$7,$B4246&lt;'111'!$L$11),"x","")</f>
        <v>x</v>
      </c>
      <c r="T4246" s="75" t="str">
        <f>IF(ISERROR(FIND('112'!$M$9,G4246,1)),"",IF((AND(FIND('112'!$M$9,G4246,1)&gt;=1,B4246='112'!$K$9,OR($N4246='112'!$I$6,$O4246='112'!$I$6))),"x",""))</f>
        <v/>
      </c>
      <c r="U4246" s="75" t="str">
        <f>IF(ISERROR(FIND('112'!$M$9,G4246,1)),"",IF((AND(LEFT(G4246,2)=LEFT('112'!$M$9,2),B4246&lt;'112'!$K$9,$N4246='112'!$I$6)),"x",""))</f>
        <v/>
      </c>
      <c r="V4246" s="75" t="str">
        <f>IF(ISERROR(FIND('112'!$M$9,G4246,1)),"",IF((AND(RIGHT(G4246,2)=RIGHT('112'!$M$9,2),B4246&lt;'112'!$K$9,$O4246='112'!$I$6)),"x",""))</f>
        <v/>
      </c>
      <c r="W4246" s="75" t="str">
        <f>IF(AND('341-CT'!$H$9=H4246,OR(LEFT(N4246,3)=$W$7,LEFT(O4246,3)=$W$7)),"x","")</f>
        <v/>
      </c>
      <c r="X4246" s="75" t="str">
        <f>IF(OR(TH!N3701=TH!$X$7,O4246=TH!$X$7),"x","")</f>
        <v/>
      </c>
      <c r="Y4246" s="75" t="str">
        <f>IF(AND(OR(N4246="131",O4246="131"),H4246='131-CT'!$H$9),"x","")</f>
        <v/>
      </c>
      <c r="Z4246" s="75"/>
      <c r="AA4246" s="75" t="str">
        <f>IF(AND(MONTH(E4246)='IN-NX'!$J$5,'IN-NX'!$D$7=D4246),"x","")</f>
        <v/>
      </c>
      <c r="AB4246" s="75" t="str">
        <f>IF(AND(OR(LEFT(TH!N3701,2)="15",LEFT(TH!O3701,2)="15"),LEFT(TH!O3701,3)&lt;&gt;"111",'152-CT'!$J$8=TH!F3701),"x","")</f>
        <v/>
      </c>
      <c r="AC4246" s="75" t="str">
        <f>IF(AND(OR(LEFT(TH!N3701,2)="15",LEFT(TH!O3701,2)="15"),TK!$E$7=TH!F3701),"x","")</f>
        <v/>
      </c>
      <c r="AD4246" s="75" t="str">
        <f>IF(AND(N4246="1521",MONTH(C4246)='BK-NL'!$M$11),"x","")</f>
        <v/>
      </c>
    </row>
    <row r="4247" spans="1:30" ht="16.5" customHeight="1">
      <c r="A4247" s="309" t="str">
        <f>IF(B4247&lt;&gt;"",IF(AND(B4247='IN-TC'!$S$4,OR(TH!N4241="1111",TH!O4241="1111")),TH!D4241,""),"")</f>
        <v/>
      </c>
      <c r="B4247" s="1130">
        <f t="shared" si="1318"/>
        <v>6</v>
      </c>
      <c r="C4247" s="292">
        <f t="shared" si="1317"/>
        <v>42891</v>
      </c>
      <c r="D4247" s="292" t="s">
        <v>1926</v>
      </c>
      <c r="E4247" s="292">
        <v>42891</v>
      </c>
      <c r="F4247" s="1127" t="s">
        <v>1500</v>
      </c>
      <c r="G4247" s="925" t="s">
        <v>1704</v>
      </c>
      <c r="H4247" s="294" t="s">
        <v>893</v>
      </c>
      <c r="I4247" s="373"/>
      <c r="J4247" s="926"/>
      <c r="K4247" s="373"/>
      <c r="L4247" s="379"/>
      <c r="M4247" s="927">
        <v>151461</v>
      </c>
      <c r="N4247" s="295" t="s">
        <v>9</v>
      </c>
      <c r="O4247" s="295" t="s">
        <v>63</v>
      </c>
      <c r="P4247" s="75" t="str">
        <f>IF(AND('331-CT'!$E$7=TH!H3702,OR(N4247="331",O4247="331")),"x","")</f>
        <v/>
      </c>
      <c r="Q4247" s="75" t="str">
        <f>IF(AND(B4247='111'!$L$11,OR($N4247=$Q$7,$O4247=$Q$7)),"x","")</f>
        <v/>
      </c>
      <c r="R4247" s="75" t="str">
        <f>IF(AND($N4247=$Q$7,$B4247&lt;'111'!$L$11),"x","")</f>
        <v/>
      </c>
      <c r="S4247" s="75" t="str">
        <f>IF(AND($O4247=$Q$7,$B4247&lt;'111'!$L$11),"x","")</f>
        <v>x</v>
      </c>
      <c r="T4247" s="75" t="str">
        <f>IF(ISERROR(FIND('112'!$M$9,G4247,1)),"",IF((AND(FIND('112'!$M$9,G4247,1)&gt;=1,B4247='112'!$K$9,OR($N4247='112'!$I$6,$O4247='112'!$I$6))),"x",""))</f>
        <v/>
      </c>
      <c r="U4247" s="75" t="str">
        <f>IF(ISERROR(FIND('112'!$M$9,G4247,1)),"",IF((AND(LEFT(G4247,2)=LEFT('112'!$M$9,2),B4247&lt;'112'!$K$9,$N4247='112'!$I$6)),"x",""))</f>
        <v/>
      </c>
      <c r="V4247" s="75" t="str">
        <f>IF(ISERROR(FIND('112'!$M$9,G4247,1)),"",IF((AND(RIGHT(G4247,2)=RIGHT('112'!$M$9,2),B4247&lt;'112'!$K$9,$O4247='112'!$I$6)),"x",""))</f>
        <v/>
      </c>
      <c r="W4247" s="75" t="str">
        <f>IF(AND('341-CT'!$H$9=H4247,OR(LEFT(N4247,3)=$W$7,LEFT(O4247,3)=$W$7)),"x","")</f>
        <v/>
      </c>
      <c r="X4247" s="75" t="str">
        <f>IF(OR(TH!N3702=TH!$X$7,O4247=TH!$X$7),"x","")</f>
        <v/>
      </c>
      <c r="Y4247" s="75" t="str">
        <f>IF(AND(OR(N4247="131",O4247="131"),H4247='131-CT'!$H$9),"x","")</f>
        <v/>
      </c>
      <c r="Z4247" s="75"/>
      <c r="AA4247" s="75" t="str">
        <f>IF(AND(MONTH(E4247)='IN-NX'!$J$5,'IN-NX'!$D$7=D4247),"x","")</f>
        <v/>
      </c>
      <c r="AB4247" s="75" t="str">
        <f>IF(AND(OR(LEFT(TH!N3702,2)="15",LEFT(TH!O3702,2)="15"),LEFT(TH!O3702,3)&lt;&gt;"111",'152-CT'!$J$8=TH!F3702),"x","")</f>
        <v/>
      </c>
      <c r="AC4247" s="75" t="str">
        <f>IF(AND(OR(LEFT(TH!N3702,2)="15",LEFT(TH!O3702,2)="15"),TK!$E$7=TH!F3702),"x","")</f>
        <v/>
      </c>
      <c r="AD4247" s="75" t="str">
        <f>IF(AND(N4247="1521",MONTH(C4247)='BK-NL'!$M$11),"x","")</f>
        <v/>
      </c>
    </row>
    <row r="4248" spans="1:30" ht="16.5" customHeight="1">
      <c r="A4248" s="309" t="str">
        <f>IF(B4248&lt;&gt;"",IF(AND(B4248='IN-TC'!$S$4,OR(TH!N4242="1111",TH!O4242="1111")),TH!D4242,""),"")</f>
        <v/>
      </c>
      <c r="B4248" s="1130">
        <f t="shared" si="1318"/>
        <v>6</v>
      </c>
      <c r="C4248" s="292">
        <f t="shared" si="1317"/>
        <v>42891</v>
      </c>
      <c r="D4248" s="59" t="s">
        <v>903</v>
      </c>
      <c r="E4248" s="59">
        <v>42891</v>
      </c>
      <c r="F4248" s="1127" t="s">
        <v>1604</v>
      </c>
      <c r="G4248" s="62" t="s">
        <v>585</v>
      </c>
      <c r="H4248" s="311" t="s">
        <v>991</v>
      </c>
      <c r="I4248" s="373"/>
      <c r="J4248" s="379"/>
      <c r="K4248" s="373"/>
      <c r="L4248" s="379"/>
      <c r="M4248" s="60">
        <v>405386154</v>
      </c>
      <c r="N4248" s="61" t="s">
        <v>26</v>
      </c>
      <c r="O4248" s="61" t="s">
        <v>72</v>
      </c>
      <c r="P4248" s="75" t="str">
        <f>IF(AND('331-CT'!$E$7=TH!H4747,OR(N4248="331",O4248="331")),"x","")</f>
        <v/>
      </c>
      <c r="Q4248" s="75" t="str">
        <f>IF(AND(B4248='111'!$L$11,OR($N4248=$Q$7,$O4248=$Q$7)),"x","")</f>
        <v/>
      </c>
      <c r="R4248" s="75" t="str">
        <f>IF(AND($N4248=$Q$7,$B4248&lt;'111'!$L$11),"x","")</f>
        <v/>
      </c>
      <c r="S4248" s="75" t="str">
        <f>IF(AND($O4248=$Q$7,$B4248&lt;'111'!$L$11),"x","")</f>
        <v/>
      </c>
      <c r="T4248" s="75" t="str">
        <f>IF(ISERROR(FIND('112'!$M$9,G4248,1)),"",IF((AND(FIND('112'!$M$9,G4248,1)&gt;=1,B4248='112'!$K$9,OR($N4248='112'!$I$6,$O4248='112'!$I$6))),"x",""))</f>
        <v/>
      </c>
      <c r="U4248" s="75" t="str">
        <f>IF(ISERROR(FIND('112'!$M$9,G4248,1)),"",IF((AND(LEFT(G4248,2)=LEFT('112'!$M$9,2),B4248&lt;'112'!$K$9,$N4248='112'!$I$6)),"x",""))</f>
        <v/>
      </c>
      <c r="V4248" s="75" t="str">
        <f>IF(ISERROR(FIND('112'!$M$9,G4248,1)),"",IF((AND(RIGHT(G4248,2)=RIGHT('112'!$M$9,2),B4248&lt;'112'!$K$9,$O4248='112'!$I$6)),"x",""))</f>
        <v/>
      </c>
      <c r="W4248" s="75" t="str">
        <f>IF(AND('341-CT'!$H$9=H4248,OR(LEFT(N4248,3)=$W$7,LEFT(O4248,3)=$W$7)),"x","")</f>
        <v/>
      </c>
      <c r="X4248" s="75" t="str">
        <f>IF(OR(TH!N4747=TH!$X$7,O4248=TH!$X$7),"x","")</f>
        <v/>
      </c>
      <c r="Y4248" s="75" t="str">
        <f>IF(AND(OR(N4248="131",O4248="131"),H4248='131-CT'!$H$9),"x","")</f>
        <v/>
      </c>
      <c r="Z4248" s="75"/>
      <c r="AA4248" s="75" t="str">
        <f>IF(AND(MONTH(E4248)='IN-NX'!$J$5,'IN-NX'!$D$7=D4248),"x","")</f>
        <v/>
      </c>
      <c r="AB4248" s="75" t="str">
        <f>IF(AND(OR(LEFT(TH!N4747,2)="15",LEFT(TH!O4747,2)="15"),LEFT(TH!O4747,3)&lt;&gt;"111",'152-CT'!$J$8=TH!F4747),"x","")</f>
        <v/>
      </c>
      <c r="AC4248" s="75" t="str">
        <f>IF(AND(OR(LEFT(TH!N4747,2)="15",LEFT(TH!O4747,2)="15"),TK!$E$7=TH!F4747),"x","")</f>
        <v/>
      </c>
      <c r="AD4248" s="75" t="str">
        <f>IF(AND(N4248="1521",MONTH(C4248)='BK-NL'!$M$11),"x","")</f>
        <v/>
      </c>
    </row>
    <row r="4249" spans="1:30" ht="16.5" customHeight="1">
      <c r="A4249" s="309" t="str">
        <f>IF(B4249&lt;&gt;"",IF(AND(B4249='IN-TC'!$S$4,OR(TH!N4243="1111",TH!O4243="1111")),TH!D4243,""),"")</f>
        <v/>
      </c>
      <c r="B4249" s="1130">
        <f t="shared" si="1318"/>
        <v>6</v>
      </c>
      <c r="C4249" s="292">
        <f t="shared" si="1317"/>
        <v>42891</v>
      </c>
      <c r="D4249" s="59" t="s">
        <v>902</v>
      </c>
      <c r="E4249" s="59">
        <v>42891</v>
      </c>
      <c r="F4249" s="1334" t="s">
        <v>1549</v>
      </c>
      <c r="G4249" s="62" t="s">
        <v>747</v>
      </c>
      <c r="H4249" s="67" t="s">
        <v>835</v>
      </c>
      <c r="I4249" s="1165"/>
      <c r="J4249" s="908"/>
      <c r="K4249" s="375"/>
      <c r="L4249" s="381"/>
      <c r="M4249" s="60">
        <v>227500</v>
      </c>
      <c r="N4249" s="61" t="s">
        <v>101</v>
      </c>
      <c r="O4249" s="61" t="s">
        <v>26</v>
      </c>
      <c r="P4249" s="75" t="str">
        <f>IF(AND('331-CT'!$E$7=TH!H5218,OR(N4249="331",O4249="331")),"x","")</f>
        <v/>
      </c>
      <c r="Q4249" s="75" t="str">
        <f>IF(AND(B4249='111'!$L$11,OR($N4249=$Q$7,$O4249=$Q$7)),"x","")</f>
        <v/>
      </c>
      <c r="R4249" s="75" t="str">
        <f>IF(AND($N4249=$Q$7,$B4249&lt;'111'!$L$11),"x","")</f>
        <v/>
      </c>
      <c r="S4249" s="75" t="str">
        <f>IF(AND($O4249=$Q$7,$B4249&lt;'111'!$L$11),"x","")</f>
        <v/>
      </c>
      <c r="T4249" s="75" t="str">
        <f>IF(ISERROR(FIND('112'!$M$9,G4249,1)),"",IF((AND(FIND('112'!$M$9,G4249,1)&gt;=1,B4249='112'!$K$9,OR($N4249='112'!$I$6,$O4249='112'!$I$6))),"x",""))</f>
        <v/>
      </c>
      <c r="U4249" s="75" t="str">
        <f>IF(ISERROR(FIND('112'!$M$9,G4249,1)),"",IF((AND(LEFT(G4249,2)=LEFT('112'!$M$9,2),B4249&lt;'112'!$K$9,$N4249='112'!$I$6)),"x",""))</f>
        <v/>
      </c>
      <c r="V4249" s="75" t="str">
        <f>IF(ISERROR(FIND('112'!$M$9,G4249,1)),"",IF((AND(RIGHT(G4249,2)=RIGHT('112'!$M$9,2),B4249&lt;'112'!$K$9,$O4249='112'!$I$6)),"x",""))</f>
        <v/>
      </c>
      <c r="W4249" s="75" t="str">
        <f>IF(AND('341-CT'!$H$9=H4249,OR(LEFT(N4249,3)=$W$7,LEFT(O4249,3)=$W$7)),"x","")</f>
        <v/>
      </c>
      <c r="X4249" s="75" t="str">
        <f>IF(OR(TH!N5218=TH!$X$7,O4249=TH!$X$7),"x","")</f>
        <v/>
      </c>
      <c r="Y4249" s="75" t="str">
        <f>IF(AND(OR(N4249="131",O4249="131"),H4249='131-CT'!$H$9),"x","")</f>
        <v/>
      </c>
      <c r="Z4249" s="75"/>
      <c r="AA4249" s="75" t="str">
        <f>IF(AND(MONTH(E4249)='IN-NX'!$J$5,'IN-NX'!$D$7=D4249),"x","")</f>
        <v/>
      </c>
      <c r="AB4249" s="75" t="str">
        <f>IF(AND(OR(LEFT(TH!N5218,2)="15",LEFT(TH!O5218,2)="15"),LEFT(TH!O5218,3)&lt;&gt;"111",'152-CT'!$J$8=TH!F5218),"x","")</f>
        <v/>
      </c>
      <c r="AC4249" s="75" t="str">
        <f>IF(AND(OR(LEFT(TH!N5218,2)="15",LEFT(TH!O5218,2)="15"),TK!$E$7=TH!F5218),"x","")</f>
        <v/>
      </c>
      <c r="AD4249" s="75" t="str">
        <f>IF(AND(N4249="1521",MONTH(C4249)='BK-NL'!$M$11),"x","")</f>
        <v/>
      </c>
    </row>
    <row r="4250" spans="1:30" ht="16.5" customHeight="1">
      <c r="A4250" s="309" t="str">
        <f>IF(B4250&lt;&gt;"",IF(AND(B4250='IN-TC'!$S$4,OR(TH!N4244="1111",TH!O4244="1111")),TH!D4244,""),"")</f>
        <v/>
      </c>
      <c r="B4250" s="1130">
        <f t="shared" si="1318"/>
        <v>6</v>
      </c>
      <c r="C4250" s="292">
        <f t="shared" si="1317"/>
        <v>42892</v>
      </c>
      <c r="D4250" s="292" t="s">
        <v>1927</v>
      </c>
      <c r="E4250" s="292">
        <v>42892</v>
      </c>
      <c r="F4250" s="1127" t="s">
        <v>1705</v>
      </c>
      <c r="G4250" s="925" t="s">
        <v>1707</v>
      </c>
      <c r="H4250" s="294" t="s">
        <v>935</v>
      </c>
      <c r="I4250" s="373"/>
      <c r="J4250" s="926"/>
      <c r="K4250" s="373"/>
      <c r="L4250" s="379"/>
      <c r="M4250" s="927">
        <v>3475886</v>
      </c>
      <c r="N4250" s="295" t="s">
        <v>539</v>
      </c>
      <c r="O4250" s="295" t="s">
        <v>63</v>
      </c>
      <c r="P4250" s="75" t="str">
        <f>IF(AND('331-CT'!$E$7=TH!H3713,OR(N4250="331",O4250="331")),"x","")</f>
        <v/>
      </c>
      <c r="Q4250" s="75" t="str">
        <f>IF(AND(B4250='111'!$L$11,OR($N4250=$Q$7,$O4250=$Q$7)),"x","")</f>
        <v/>
      </c>
      <c r="R4250" s="75" t="str">
        <f>IF(AND($N4250=$Q$7,$B4250&lt;'111'!$L$11),"x","")</f>
        <v/>
      </c>
      <c r="S4250" s="75" t="str">
        <f>IF(AND($O4250=$Q$7,$B4250&lt;'111'!$L$11),"x","")</f>
        <v>x</v>
      </c>
      <c r="T4250" s="75" t="str">
        <f>IF(ISERROR(FIND('112'!$M$9,G4250,1)),"",IF((AND(FIND('112'!$M$9,G4250,1)&gt;=1,B4250='112'!$K$9,OR($N4250='112'!$I$6,$O4250='112'!$I$6))),"x",""))</f>
        <v/>
      </c>
      <c r="U4250" s="75" t="str">
        <f>IF(ISERROR(FIND('112'!$M$9,G4250,1)),"",IF((AND(LEFT(G4250,2)=LEFT('112'!$M$9,2),B4250&lt;'112'!$K$9,$N4250='112'!$I$6)),"x",""))</f>
        <v/>
      </c>
      <c r="V4250" s="75" t="str">
        <f>IF(ISERROR(FIND('112'!$M$9,G4250,1)),"",IF((AND(RIGHT(G4250,2)=RIGHT('112'!$M$9,2),B4250&lt;'112'!$K$9,$O4250='112'!$I$6)),"x",""))</f>
        <v/>
      </c>
      <c r="W4250" s="75" t="str">
        <f>IF(AND('341-CT'!$H$9=H4250,OR(LEFT(N4250,3)=$W$7,LEFT(O4250,3)=$W$7)),"x","")</f>
        <v/>
      </c>
      <c r="X4250" s="75" t="str">
        <f>IF(OR(TH!N3713=TH!$X$7,O4250=TH!$X$7),"x","")</f>
        <v/>
      </c>
      <c r="Y4250" s="75" t="str">
        <f>IF(AND(OR(N4250="131",O4250="131"),H4250='131-CT'!$H$9),"x","")</f>
        <v/>
      </c>
      <c r="Z4250" s="75"/>
      <c r="AA4250" s="75" t="str">
        <f>IF(AND(MONTH(E4250)='IN-NX'!$J$5,'IN-NX'!$D$7=D4250),"x","")</f>
        <v/>
      </c>
      <c r="AB4250" s="75" t="str">
        <f>IF(AND(OR(LEFT(TH!N3713,2)="15",LEFT(TH!O3713,2)="15"),LEFT(TH!O3713,3)&lt;&gt;"111",'152-CT'!$J$8=TH!F3713),"x","")</f>
        <v/>
      </c>
      <c r="AC4250" s="75" t="str">
        <f>IF(AND(OR(LEFT(TH!N3713,2)="15",LEFT(TH!O3713,2)="15"),TK!$E$7=TH!F3713),"x","")</f>
        <v/>
      </c>
      <c r="AD4250" s="75" t="str">
        <f>IF(AND(N4250="1521",MONTH(C4250)='BK-NL'!$M$11),"x","")</f>
        <v/>
      </c>
    </row>
    <row r="4251" spans="1:30" ht="16.5" customHeight="1">
      <c r="A4251" s="309" t="str">
        <f>IF(B4251&lt;&gt;"",IF(AND(B4251='IN-TC'!$S$4,OR(TH!N4245="1111",TH!O4245="1111")),TH!D4245,""),"")</f>
        <v/>
      </c>
      <c r="B4251" s="1130">
        <f t="shared" si="1318"/>
        <v>6</v>
      </c>
      <c r="C4251" s="292">
        <f t="shared" si="1317"/>
        <v>42892</v>
      </c>
      <c r="D4251" s="292" t="s">
        <v>1927</v>
      </c>
      <c r="E4251" s="292">
        <v>42892</v>
      </c>
      <c r="F4251" s="1127" t="s">
        <v>1706</v>
      </c>
      <c r="G4251" s="925" t="s">
        <v>1707</v>
      </c>
      <c r="H4251" s="294" t="s">
        <v>935</v>
      </c>
      <c r="I4251" s="373"/>
      <c r="J4251" s="926"/>
      <c r="K4251" s="373"/>
      <c r="L4251" s="379"/>
      <c r="M4251" s="927">
        <v>347589</v>
      </c>
      <c r="N4251" s="295" t="s">
        <v>9</v>
      </c>
      <c r="O4251" s="295" t="s">
        <v>63</v>
      </c>
      <c r="P4251" s="75" t="str">
        <f>IF(AND('331-CT'!$E$7=TH!H3714,OR(N4251="331",O4251="331")),"x","")</f>
        <v/>
      </c>
      <c r="Q4251" s="75" t="str">
        <f>IF(AND(B4251='111'!$L$11,OR($N4251=$Q$7,$O4251=$Q$7)),"x","")</f>
        <v/>
      </c>
      <c r="R4251" s="75" t="str">
        <f>IF(AND($N4251=$Q$7,$B4251&lt;'111'!$L$11),"x","")</f>
        <v/>
      </c>
      <c r="S4251" s="75" t="str">
        <f>IF(AND($O4251=$Q$7,$B4251&lt;'111'!$L$11),"x","")</f>
        <v>x</v>
      </c>
      <c r="T4251" s="75" t="str">
        <f>IF(ISERROR(FIND('112'!$M$9,G4251,1)),"",IF((AND(FIND('112'!$M$9,G4251,1)&gt;=1,B4251='112'!$K$9,OR($N4251='112'!$I$6,$O4251='112'!$I$6))),"x",""))</f>
        <v/>
      </c>
      <c r="U4251" s="75" t="str">
        <f>IF(ISERROR(FIND('112'!$M$9,G4251,1)),"",IF((AND(LEFT(G4251,2)=LEFT('112'!$M$9,2),B4251&lt;'112'!$K$9,$N4251='112'!$I$6)),"x",""))</f>
        <v/>
      </c>
      <c r="V4251" s="75" t="str">
        <f>IF(ISERROR(FIND('112'!$M$9,G4251,1)),"",IF((AND(RIGHT(G4251,2)=RIGHT('112'!$M$9,2),B4251&lt;'112'!$K$9,$O4251='112'!$I$6)),"x",""))</f>
        <v/>
      </c>
      <c r="W4251" s="75" t="str">
        <f>IF(AND('341-CT'!$H$9=H4251,OR(LEFT(N4251,3)=$W$7,LEFT(O4251,3)=$W$7)),"x","")</f>
        <v/>
      </c>
      <c r="X4251" s="75" t="str">
        <f>IF(OR(TH!N3714=TH!$X$7,O4251=TH!$X$7),"x","")</f>
        <v/>
      </c>
      <c r="Y4251" s="75" t="str">
        <f>IF(AND(OR(N4251="131",O4251="131"),H4251='131-CT'!$H$9),"x","")</f>
        <v/>
      </c>
      <c r="Z4251" s="75"/>
      <c r="AA4251" s="75" t="str">
        <f>IF(AND(MONTH(E4251)='IN-NX'!$J$5,'IN-NX'!$D$7=D4251),"x","")</f>
        <v/>
      </c>
      <c r="AB4251" s="75" t="str">
        <f>IF(AND(OR(LEFT(TH!N3714,2)="15",LEFT(TH!O3714,2)="15"),LEFT(TH!O3714,3)&lt;&gt;"111",'152-CT'!$J$8=TH!F3714),"x","")</f>
        <v/>
      </c>
      <c r="AC4251" s="75" t="str">
        <f>IF(AND(OR(LEFT(TH!N3714,2)="15",LEFT(TH!O3714,2)="15"),TK!$E$7=TH!F3714),"x","")</f>
        <v/>
      </c>
      <c r="AD4251" s="75" t="str">
        <f>IF(AND(N4251="1521",MONTH(C4251)='BK-NL'!$M$11),"x","")</f>
        <v/>
      </c>
    </row>
    <row r="4252" spans="1:30" ht="16.5" customHeight="1">
      <c r="A4252" s="309" t="str">
        <f>IF(B4252&lt;&gt;"",IF(AND(B4252='IN-TC'!$S$4,OR(TH!N4246="1111",TH!O4246="1111")),TH!D4246,""),"")</f>
        <v/>
      </c>
      <c r="B4252" s="1130">
        <f t="shared" si="1318"/>
        <v>6</v>
      </c>
      <c r="C4252" s="292">
        <f t="shared" si="1317"/>
        <v>42892</v>
      </c>
      <c r="D4252" s="292" t="s">
        <v>1928</v>
      </c>
      <c r="E4252" s="292">
        <v>42892</v>
      </c>
      <c r="F4252" s="67" t="s">
        <v>1165</v>
      </c>
      <c r="G4252" s="925" t="s">
        <v>1487</v>
      </c>
      <c r="H4252" s="294" t="s">
        <v>796</v>
      </c>
      <c r="I4252" s="373"/>
      <c r="J4252" s="926"/>
      <c r="K4252" s="373"/>
      <c r="L4252" s="379"/>
      <c r="M4252" s="927">
        <v>19650400</v>
      </c>
      <c r="N4252" s="295" t="s">
        <v>8</v>
      </c>
      <c r="O4252" s="295" t="s">
        <v>63</v>
      </c>
      <c r="P4252" s="75" t="str">
        <f>IF(AND('331-CT'!$E$7=TH!H3715,OR(N4252="331",O4252="331")),"x","")</f>
        <v/>
      </c>
      <c r="Q4252" s="75" t="str">
        <f>IF(AND(B4252='111'!$L$11,OR($N4252=$Q$7,$O4252=$Q$7)),"x","")</f>
        <v/>
      </c>
      <c r="R4252" s="75" t="str">
        <f>IF(AND($N4252=$Q$7,$B4252&lt;'111'!$L$11),"x","")</f>
        <v/>
      </c>
      <c r="S4252" s="75" t="str">
        <f>IF(AND($O4252=$Q$7,$B4252&lt;'111'!$L$11),"x","")</f>
        <v>x</v>
      </c>
      <c r="T4252" s="75" t="str">
        <f>IF(ISERROR(FIND('112'!$M$9,G4252,1)),"",IF((AND(FIND('112'!$M$9,G4252,1)&gt;=1,B4252='112'!$K$9,OR($N4252='112'!$I$6,$O4252='112'!$I$6))),"x",""))</f>
        <v/>
      </c>
      <c r="U4252" s="75" t="str">
        <f>IF(ISERROR(FIND('112'!$M$9,G4252,1)),"",IF((AND(LEFT(G4252,2)=LEFT('112'!$M$9,2),B4252&lt;'112'!$K$9,$N4252='112'!$I$6)),"x",""))</f>
        <v/>
      </c>
      <c r="V4252" s="75" t="str">
        <f>IF(ISERROR(FIND('112'!$M$9,G4252,1)),"",IF((AND(RIGHT(G4252,2)=RIGHT('112'!$M$9,2),B4252&lt;'112'!$K$9,$O4252='112'!$I$6)),"x",""))</f>
        <v/>
      </c>
      <c r="W4252" s="75" t="str">
        <f>IF(AND('341-CT'!$H$9=H4252,OR(LEFT(N4252,3)=$W$7,LEFT(O4252,3)=$W$7)),"x","")</f>
        <v/>
      </c>
      <c r="X4252" s="75" t="str">
        <f>IF(OR(TH!N3715=TH!$X$7,O4252=TH!$X$7),"x","")</f>
        <v/>
      </c>
      <c r="Y4252" s="75" t="str">
        <f>IF(AND(OR(N4252="131",O4252="131"),H4252='131-CT'!$H$9),"x","")</f>
        <v/>
      </c>
      <c r="Z4252" s="75"/>
      <c r="AA4252" s="75" t="str">
        <f>IF(AND(MONTH(E4252)='IN-NX'!$J$5,'IN-NX'!$D$7=D4252),"x","")</f>
        <v/>
      </c>
      <c r="AB4252" s="75" t="str">
        <f>IF(AND(OR(LEFT(TH!N3715,2)="15",LEFT(TH!O3715,2)="15"),LEFT(TH!O3715,3)&lt;&gt;"111",'152-CT'!$J$8=TH!F3715),"x","")</f>
        <v/>
      </c>
      <c r="AC4252" s="75" t="str">
        <f>IF(AND(OR(LEFT(TH!N3715,2)="15",LEFT(TH!O3715,2)="15"),TK!$E$7=TH!F3715),"x","")</f>
        <v/>
      </c>
      <c r="AD4252" s="75" t="str">
        <f>IF(AND(N4252="1521",MONTH(C4252)='BK-NL'!$M$11),"x","")</f>
        <v/>
      </c>
    </row>
    <row r="4253" spans="1:30" ht="16.5" customHeight="1">
      <c r="A4253" s="309" t="str">
        <f>IF(B4253&lt;&gt;"",IF(AND(B4253='IN-TC'!$S$4,OR(TH!N4247="1111",TH!O4247="1111")),TH!D4247,""),"")</f>
        <v/>
      </c>
      <c r="B4253" s="1130">
        <f t="shared" si="1318"/>
        <v>6</v>
      </c>
      <c r="C4253" s="292">
        <f t="shared" si="1317"/>
        <v>42892</v>
      </c>
      <c r="D4253" s="292" t="s">
        <v>833</v>
      </c>
      <c r="E4253" s="292">
        <v>42892</v>
      </c>
      <c r="F4253" s="67" t="s">
        <v>834</v>
      </c>
      <c r="G4253" s="943" t="s">
        <v>585</v>
      </c>
      <c r="H4253" s="67" t="s">
        <v>1023</v>
      </c>
      <c r="I4253" s="373"/>
      <c r="J4253" s="926"/>
      <c r="K4253" s="373"/>
      <c r="L4253" s="379"/>
      <c r="M4253" s="927">
        <v>360000000</v>
      </c>
      <c r="N4253" s="295" t="s">
        <v>63</v>
      </c>
      <c r="O4253" s="295" t="s">
        <v>26</v>
      </c>
      <c r="P4253" s="75" t="str">
        <f>IF(AND('331-CT'!$E$7=TH!H4748,OR(N4253="331",O4253="331")),"x","")</f>
        <v/>
      </c>
      <c r="Q4253" s="75" t="str">
        <f>IF(AND(B4253='111'!$L$11,OR($N4253=$Q$7,$O4253=$Q$7)),"x","")</f>
        <v/>
      </c>
      <c r="R4253" s="75" t="str">
        <f>IF(AND($N4253=$Q$7,$B4253&lt;'111'!$L$11),"x","")</f>
        <v>x</v>
      </c>
      <c r="S4253" s="75" t="str">
        <f>IF(AND($O4253=$Q$7,$B4253&lt;'111'!$L$11),"x","")</f>
        <v/>
      </c>
      <c r="T4253" s="75" t="str">
        <f>IF(ISERROR(FIND('112'!$M$9,G4253,1)),"",IF((AND(FIND('112'!$M$9,G4253,1)&gt;=1,B4253='112'!$K$9,OR($N4253='112'!$I$6,$O4253='112'!$I$6))),"x",""))</f>
        <v/>
      </c>
      <c r="U4253" s="75" t="str">
        <f>IF(ISERROR(FIND('112'!$M$9,G4253,1)),"",IF((AND(LEFT(G4253,2)=LEFT('112'!$M$9,2),B4253&lt;'112'!$K$9,$N4253='112'!$I$6)),"x",""))</f>
        <v/>
      </c>
      <c r="V4253" s="75" t="str">
        <f>IF(ISERROR(FIND('112'!$M$9,G4253,1)),"",IF((AND(RIGHT(G4253,2)=RIGHT('112'!$M$9,2),B4253&lt;'112'!$K$9,$O4253='112'!$I$6)),"x",""))</f>
        <v/>
      </c>
      <c r="W4253" s="75" t="str">
        <f>IF(AND('341-CT'!$H$9=H4253,OR(LEFT(N4253,3)=$W$7,LEFT(O4253,3)=$W$7)),"x","")</f>
        <v/>
      </c>
      <c r="X4253" s="75" t="str">
        <f>IF(OR(TH!N4748=TH!$X$7,O4253=TH!$X$7),"x","")</f>
        <v/>
      </c>
      <c r="Y4253" s="75" t="str">
        <f>IF(AND(OR(N4253="131",O4253="131"),H4253='131-CT'!$H$9),"x","")</f>
        <v/>
      </c>
      <c r="Z4253" s="75"/>
      <c r="AA4253" s="75" t="str">
        <f>IF(AND(MONTH(E4253)='IN-NX'!$J$5,'IN-NX'!$D$7=D4253),"x","")</f>
        <v/>
      </c>
      <c r="AB4253" s="75" t="str">
        <f>IF(AND(OR(LEFT(TH!N4748,2)="15",LEFT(TH!O4748,2)="15"),LEFT(TH!O4748,3)&lt;&gt;"111",'152-CT'!$J$8=TH!F4748),"x","")</f>
        <v/>
      </c>
      <c r="AC4253" s="75" t="str">
        <f>IF(AND(OR(LEFT(TH!N4748,2)="15",LEFT(TH!O4748,2)="15"),TK!$E$7=TH!F4748),"x","")</f>
        <v/>
      </c>
      <c r="AD4253" s="75" t="str">
        <f>IF(AND(N4253="1521",MONTH(C4253)='BK-NL'!$M$11),"x","")</f>
        <v/>
      </c>
    </row>
    <row r="4254" spans="1:30" ht="16.5" customHeight="1">
      <c r="A4254" s="309" t="str">
        <f>IF(B4254&lt;&gt;"",IF(AND(B4254='IN-TC'!$S$4,OR(TH!N4248="1111",TH!O4248="1111")),TH!D4248,""),"")</f>
        <v/>
      </c>
      <c r="B4254" s="1130">
        <f t="shared" si="1318"/>
        <v>6</v>
      </c>
      <c r="C4254" s="292">
        <f t="shared" si="1317"/>
        <v>42892</v>
      </c>
      <c r="D4254" s="59" t="s">
        <v>902</v>
      </c>
      <c r="E4254" s="59">
        <v>42892</v>
      </c>
      <c r="F4254" s="67" t="s">
        <v>1605</v>
      </c>
      <c r="G4254" s="62" t="s">
        <v>585</v>
      </c>
      <c r="H4254" s="67" t="s">
        <v>563</v>
      </c>
      <c r="I4254" s="375"/>
      <c r="J4254" s="381"/>
      <c r="K4254" s="375"/>
      <c r="L4254" s="381"/>
      <c r="M4254" s="60">
        <v>36966270</v>
      </c>
      <c r="N4254" s="61" t="s">
        <v>8</v>
      </c>
      <c r="O4254" s="61" t="s">
        <v>26</v>
      </c>
      <c r="P4254" s="75" t="str">
        <f>IF(AND('331-CT'!$E$7=TH!H4749,OR(N4254="331",O4254="331")),"x","")</f>
        <v/>
      </c>
      <c r="Q4254" s="75" t="str">
        <f>IF(AND(B4254='111'!$L$11,OR($N4254=$Q$7,$O4254=$Q$7)),"x","")</f>
        <v/>
      </c>
      <c r="R4254" s="75" t="str">
        <f>IF(AND($N4254=$Q$7,$B4254&lt;'111'!$L$11),"x","")</f>
        <v/>
      </c>
      <c r="S4254" s="75" t="str">
        <f>IF(AND($O4254=$Q$7,$B4254&lt;'111'!$L$11),"x","")</f>
        <v/>
      </c>
      <c r="T4254" s="75" t="str">
        <f>IF(ISERROR(FIND('112'!$M$9,G4254,1)),"",IF((AND(FIND('112'!$M$9,G4254,1)&gt;=1,B4254='112'!$K$9,OR($N4254='112'!$I$6,$O4254='112'!$I$6))),"x",""))</f>
        <v/>
      </c>
      <c r="U4254" s="75" t="str">
        <f>IF(ISERROR(FIND('112'!$M$9,G4254,1)),"",IF((AND(LEFT(G4254,2)=LEFT('112'!$M$9,2),B4254&lt;'112'!$K$9,$N4254='112'!$I$6)),"x",""))</f>
        <v/>
      </c>
      <c r="V4254" s="75" t="str">
        <f>IF(ISERROR(FIND('112'!$M$9,G4254,1)),"",IF((AND(RIGHT(G4254,2)=RIGHT('112'!$M$9,2),B4254&lt;'112'!$K$9,$O4254='112'!$I$6)),"x",""))</f>
        <v/>
      </c>
      <c r="W4254" s="75" t="str">
        <f>IF(AND('341-CT'!$H$9=H4254,OR(LEFT(N4254,3)=$W$7,LEFT(O4254,3)=$W$7)),"x","")</f>
        <v/>
      </c>
      <c r="X4254" s="75" t="str">
        <f>IF(OR(TH!N4749=TH!$X$7,O4254=TH!$X$7),"x","")</f>
        <v/>
      </c>
      <c r="Y4254" s="75" t="str">
        <f>IF(AND(OR(N4254="131",O4254="131"),H4254='131-CT'!$H$9),"x","")</f>
        <v/>
      </c>
      <c r="Z4254" s="75"/>
      <c r="AA4254" s="75" t="str">
        <f>IF(AND(MONTH(E4254)='IN-NX'!$J$5,'IN-NX'!$D$7=D4254),"x","")</f>
        <v/>
      </c>
      <c r="AB4254" s="75" t="str">
        <f>IF(AND(OR(LEFT(TH!N4749,2)="15",LEFT(TH!O4749,2)="15"),LEFT(TH!O4749,3)&lt;&gt;"111",'152-CT'!$J$8=TH!F4749),"x","")</f>
        <v/>
      </c>
      <c r="AC4254" s="75" t="str">
        <f>IF(AND(OR(LEFT(TH!N4749,2)="15",LEFT(TH!O4749,2)="15"),TK!$E$7=TH!F4749),"x","")</f>
        <v/>
      </c>
      <c r="AD4254" s="75" t="str">
        <f>IF(AND(N4254="1521",MONTH(C4254)='BK-NL'!$M$11),"x","")</f>
        <v/>
      </c>
    </row>
    <row r="4255" spans="1:30" ht="16.5" customHeight="1">
      <c r="A4255" s="309" t="str">
        <f>IF(B4255&lt;&gt;"",IF(AND(B4255='IN-TC'!$S$4,OR(TH!N4249="1111",TH!O4249="1111")),TH!D4249,""),"")</f>
        <v/>
      </c>
      <c r="B4255" s="1130">
        <f t="shared" si="1318"/>
        <v>6</v>
      </c>
      <c r="C4255" s="292">
        <f t="shared" si="1317"/>
        <v>42892</v>
      </c>
      <c r="D4255" s="59" t="s">
        <v>902</v>
      </c>
      <c r="E4255" s="59">
        <v>42892</v>
      </c>
      <c r="F4255" s="67" t="s">
        <v>870</v>
      </c>
      <c r="G4255" s="62" t="s">
        <v>585</v>
      </c>
      <c r="H4255" s="67" t="s">
        <v>845</v>
      </c>
      <c r="I4255" s="375"/>
      <c r="J4255" s="381"/>
      <c r="K4255" s="375"/>
      <c r="L4255" s="381"/>
      <c r="M4255" s="60">
        <v>20000</v>
      </c>
      <c r="N4255" s="61" t="s">
        <v>101</v>
      </c>
      <c r="O4255" s="61" t="s">
        <v>26</v>
      </c>
      <c r="P4255" s="75" t="str">
        <f>IF(AND('331-CT'!$E$7=TH!H4750,OR(N4255="331",O4255="331")),"x","")</f>
        <v/>
      </c>
      <c r="Q4255" s="75" t="str">
        <f>IF(AND(B4255='111'!$L$11,OR($N4255=$Q$7,$O4255=$Q$7)),"x","")</f>
        <v/>
      </c>
      <c r="R4255" s="75" t="str">
        <f>IF(AND($N4255=$Q$7,$B4255&lt;'111'!$L$11),"x","")</f>
        <v/>
      </c>
      <c r="S4255" s="75" t="str">
        <f>IF(AND($O4255=$Q$7,$B4255&lt;'111'!$L$11),"x","")</f>
        <v/>
      </c>
      <c r="T4255" s="75" t="str">
        <f>IF(ISERROR(FIND('112'!$M$9,G4255,1)),"",IF((AND(FIND('112'!$M$9,G4255,1)&gt;=1,B4255='112'!$K$9,OR($N4255='112'!$I$6,$O4255='112'!$I$6))),"x",""))</f>
        <v/>
      </c>
      <c r="U4255" s="75" t="str">
        <f>IF(ISERROR(FIND('112'!$M$9,G4255,1)),"",IF((AND(LEFT(G4255,2)=LEFT('112'!$M$9,2),B4255&lt;'112'!$K$9,$N4255='112'!$I$6)),"x",""))</f>
        <v/>
      </c>
      <c r="V4255" s="75" t="str">
        <f>IF(ISERROR(FIND('112'!$M$9,G4255,1)),"",IF((AND(RIGHT(G4255,2)=RIGHT('112'!$M$9,2),B4255&lt;'112'!$K$9,$O4255='112'!$I$6)),"x",""))</f>
        <v/>
      </c>
      <c r="W4255" s="75" t="str">
        <f>IF(AND('341-CT'!$H$9=H4255,OR(LEFT(N4255,3)=$W$7,LEFT(O4255,3)=$W$7)),"x","")</f>
        <v/>
      </c>
      <c r="X4255" s="75" t="str">
        <f>IF(OR(TH!N4750=TH!$X$7,O4255=TH!$X$7),"x","")</f>
        <v/>
      </c>
      <c r="Y4255" s="75" t="str">
        <f>IF(AND(OR(N4255="131",O4255="131"),H4255='131-CT'!$H$9),"x","")</f>
        <v/>
      </c>
      <c r="Z4255" s="75"/>
      <c r="AA4255" s="75" t="str">
        <f>IF(AND(MONTH(E4255)='IN-NX'!$J$5,'IN-NX'!$D$7=D4255),"x","")</f>
        <v/>
      </c>
      <c r="AB4255" s="75" t="str">
        <f>IF(AND(OR(LEFT(TH!N4750,2)="15",LEFT(TH!O4750,2)="15"),LEFT(TH!O4750,3)&lt;&gt;"111",'152-CT'!$J$8=TH!F4750),"x","")</f>
        <v/>
      </c>
      <c r="AC4255" s="75" t="str">
        <f>IF(AND(OR(LEFT(TH!N4750,2)="15",LEFT(TH!O4750,2)="15"),TK!$E$7=TH!F4750),"x","")</f>
        <v/>
      </c>
      <c r="AD4255" s="75" t="str">
        <f>IF(AND(N4255="1521",MONTH(C4255)='BK-NL'!$M$11),"x","")</f>
        <v/>
      </c>
    </row>
    <row r="4256" spans="1:30" ht="16.5" customHeight="1">
      <c r="A4256" s="309" t="str">
        <f>IF(B4256&lt;&gt;"",IF(AND(B4256='IN-TC'!$S$4,OR(TH!N4250="1111",TH!O4250="1111")),TH!D4250,""),"")</f>
        <v/>
      </c>
      <c r="B4256" s="1130">
        <f t="shared" si="1318"/>
        <v>6</v>
      </c>
      <c r="C4256" s="292">
        <f t="shared" si="1317"/>
        <v>42892</v>
      </c>
      <c r="D4256" s="59" t="s">
        <v>902</v>
      </c>
      <c r="E4256" s="59">
        <v>42892</v>
      </c>
      <c r="F4256" s="67" t="s">
        <v>898</v>
      </c>
      <c r="G4256" s="62" t="s">
        <v>585</v>
      </c>
      <c r="H4256" s="67" t="s">
        <v>845</v>
      </c>
      <c r="I4256" s="375"/>
      <c r="J4256" s="381"/>
      <c r="K4256" s="375"/>
      <c r="L4256" s="381"/>
      <c r="M4256" s="60">
        <v>2000</v>
      </c>
      <c r="N4256" s="61" t="s">
        <v>9</v>
      </c>
      <c r="O4256" s="61" t="s">
        <v>26</v>
      </c>
      <c r="P4256" s="75" t="str">
        <f>IF(AND('331-CT'!$E$7=TH!H4751,OR(N4256="331",O4256="331")),"x","")</f>
        <v/>
      </c>
      <c r="Q4256" s="75" t="str">
        <f>IF(AND(B4256='111'!$L$11,OR($N4256=$Q$7,$O4256=$Q$7)),"x","")</f>
        <v/>
      </c>
      <c r="R4256" s="75" t="str">
        <f>IF(AND($N4256=$Q$7,$B4256&lt;'111'!$L$11),"x","")</f>
        <v/>
      </c>
      <c r="S4256" s="75" t="str">
        <f>IF(AND($O4256=$Q$7,$B4256&lt;'111'!$L$11),"x","")</f>
        <v/>
      </c>
      <c r="T4256" s="75" t="str">
        <f>IF(ISERROR(FIND('112'!$M$9,G4256,1)),"",IF((AND(FIND('112'!$M$9,G4256,1)&gt;=1,B4256='112'!$K$9,OR($N4256='112'!$I$6,$O4256='112'!$I$6))),"x",""))</f>
        <v/>
      </c>
      <c r="U4256" s="75" t="str">
        <f>IF(ISERROR(FIND('112'!$M$9,G4256,1)),"",IF((AND(LEFT(G4256,2)=LEFT('112'!$M$9,2),B4256&lt;'112'!$K$9,$N4256='112'!$I$6)),"x",""))</f>
        <v/>
      </c>
      <c r="V4256" s="75" t="str">
        <f>IF(ISERROR(FIND('112'!$M$9,G4256,1)),"",IF((AND(RIGHT(G4256,2)=RIGHT('112'!$M$9,2),B4256&lt;'112'!$K$9,$O4256='112'!$I$6)),"x",""))</f>
        <v/>
      </c>
      <c r="W4256" s="75" t="str">
        <f>IF(AND('341-CT'!$H$9=H4256,OR(LEFT(N4256,3)=$W$7,LEFT(O4256,3)=$W$7)),"x","")</f>
        <v/>
      </c>
      <c r="X4256" s="75" t="str">
        <f>IF(OR(TH!N4751=TH!$X$7,O4256=TH!$X$7),"x","")</f>
        <v/>
      </c>
      <c r="Y4256" s="75" t="str">
        <f>IF(AND(OR(N4256="131",O4256="131"),H4256='131-CT'!$H$9),"x","")</f>
        <v/>
      </c>
      <c r="Z4256" s="75"/>
      <c r="AA4256" s="75" t="str">
        <f>IF(AND(MONTH(E4256)='IN-NX'!$J$5,'IN-NX'!$D$7=D4256),"x","")</f>
        <v/>
      </c>
      <c r="AB4256" s="75" t="str">
        <f>IF(AND(OR(LEFT(TH!N4751,2)="15",LEFT(TH!O4751,2)="15"),LEFT(TH!O4751,3)&lt;&gt;"111",'152-CT'!$J$8=TH!F4751),"x","")</f>
        <v/>
      </c>
      <c r="AC4256" s="75" t="str">
        <f>IF(AND(OR(LEFT(TH!N4751,2)="15",LEFT(TH!O4751,2)="15"),TK!$E$7=TH!F4751),"x","")</f>
        <v/>
      </c>
      <c r="AD4256" s="75" t="str">
        <f>IF(AND(N4256="1521",MONTH(C4256)='BK-NL'!$M$11),"x","")</f>
        <v/>
      </c>
    </row>
    <row r="4257" spans="1:31" ht="16.5" customHeight="1">
      <c r="A4257" s="309" t="str">
        <f>IF(B4257&lt;&gt;"",IF(AND(B4257='IN-TC'!$S$4,OR(TH!N4251="1111",TH!O4251="1111")),TH!D4251,""),"")</f>
        <v/>
      </c>
      <c r="B4257" s="1130">
        <f t="shared" si="1318"/>
        <v>6</v>
      </c>
      <c r="C4257" s="292">
        <f t="shared" si="1317"/>
        <v>42892</v>
      </c>
      <c r="D4257" s="59" t="s">
        <v>902</v>
      </c>
      <c r="E4257" s="59">
        <v>42892</v>
      </c>
      <c r="F4257" s="907" t="s">
        <v>1027</v>
      </c>
      <c r="G4257" s="62" t="s">
        <v>747</v>
      </c>
      <c r="H4257" s="67" t="s">
        <v>759</v>
      </c>
      <c r="I4257" s="1165"/>
      <c r="J4257" s="908"/>
      <c r="K4257" s="375"/>
      <c r="L4257" s="381"/>
      <c r="M4257" s="60">
        <v>2502500</v>
      </c>
      <c r="N4257" s="61" t="s">
        <v>101</v>
      </c>
      <c r="O4257" s="61" t="s">
        <v>26</v>
      </c>
      <c r="P4257" s="75" t="str">
        <f>IF(AND('331-CT'!$E$7=TH!H5219,OR(N4257="331",O4257="331")),"x","")</f>
        <v/>
      </c>
      <c r="Q4257" s="75" t="str">
        <f>IF(AND(B4257='111'!$L$11,OR($N4257=$Q$7,$O4257=$Q$7)),"x","")</f>
        <v/>
      </c>
      <c r="R4257" s="75" t="str">
        <f>IF(AND($N4257=$Q$7,$B4257&lt;'111'!$L$11),"x","")</f>
        <v/>
      </c>
      <c r="S4257" s="75" t="str">
        <f>IF(AND($O4257=$Q$7,$B4257&lt;'111'!$L$11),"x","")</f>
        <v/>
      </c>
      <c r="T4257" s="75" t="str">
        <f>IF(ISERROR(FIND('112'!$M$9,G4257,1)),"",IF((AND(FIND('112'!$M$9,G4257,1)&gt;=1,B4257='112'!$K$9,OR($N4257='112'!$I$6,$O4257='112'!$I$6))),"x",""))</f>
        <v/>
      </c>
      <c r="U4257" s="75" t="str">
        <f>IF(ISERROR(FIND('112'!$M$9,G4257,1)),"",IF((AND(LEFT(G4257,2)=LEFT('112'!$M$9,2),B4257&lt;'112'!$K$9,$N4257='112'!$I$6)),"x",""))</f>
        <v/>
      </c>
      <c r="V4257" s="75" t="str">
        <f>IF(ISERROR(FIND('112'!$M$9,G4257,1)),"",IF((AND(RIGHT(G4257,2)=RIGHT('112'!$M$9,2),B4257&lt;'112'!$K$9,$O4257='112'!$I$6)),"x",""))</f>
        <v/>
      </c>
      <c r="W4257" s="75" t="str">
        <f>IF(AND('341-CT'!$H$9=H4257,OR(LEFT(N4257,3)=$W$7,LEFT(O4257,3)=$W$7)),"x","")</f>
        <v/>
      </c>
      <c r="X4257" s="75" t="str">
        <f>IF(OR(TH!N5219=TH!$X$7,O4257=TH!$X$7),"x","")</f>
        <v/>
      </c>
      <c r="Y4257" s="75" t="str">
        <f>IF(AND(OR(N4257="131",O4257="131"),H4257='131-CT'!$H$9),"x","")</f>
        <v/>
      </c>
      <c r="Z4257" s="75"/>
      <c r="AA4257" s="75" t="str">
        <f>IF(AND(MONTH(E4257)='IN-NX'!$J$5,'IN-NX'!$D$7=D4257),"x","")</f>
        <v/>
      </c>
      <c r="AB4257" s="75" t="str">
        <f>IF(AND(OR(LEFT(TH!N5219,2)="15",LEFT(TH!O5219,2)="15"),LEFT(TH!O5219,3)&lt;&gt;"111",'152-CT'!$J$8=TH!F5219),"x","")</f>
        <v/>
      </c>
      <c r="AC4257" s="75" t="str">
        <f>IF(AND(OR(LEFT(TH!N5219,2)="15",LEFT(TH!O5219,2)="15"),TK!$E$7=TH!F5219),"x","")</f>
        <v/>
      </c>
      <c r="AD4257" s="75" t="str">
        <f>IF(AND(N4257="1521",MONTH(C4257)='BK-NL'!$M$11),"x","")</f>
        <v/>
      </c>
    </row>
    <row r="4258" spans="1:31" ht="16.5" customHeight="1">
      <c r="A4258" s="309" t="str">
        <f>IF(B4258&lt;&gt;"",IF(AND(B4258='IN-TC'!$S$4,OR(TH!N4252="1111",TH!O4252="1111")),TH!D4252,""),"")</f>
        <v/>
      </c>
      <c r="B4258" s="1130">
        <f t="shared" si="1318"/>
        <v>6</v>
      </c>
      <c r="C4258" s="292">
        <f t="shared" si="1317"/>
        <v>42892</v>
      </c>
      <c r="D4258" s="59" t="s">
        <v>902</v>
      </c>
      <c r="E4258" s="59">
        <v>42892</v>
      </c>
      <c r="F4258" s="907" t="s">
        <v>1549</v>
      </c>
      <c r="G4258" s="62" t="s">
        <v>747</v>
      </c>
      <c r="H4258" s="67" t="s">
        <v>835</v>
      </c>
      <c r="I4258" s="1165"/>
      <c r="J4258" s="908"/>
      <c r="K4258" s="375"/>
      <c r="L4258" s="381"/>
      <c r="M4258" s="60">
        <v>227500</v>
      </c>
      <c r="N4258" s="61" t="s">
        <v>101</v>
      </c>
      <c r="O4258" s="61" t="s">
        <v>26</v>
      </c>
      <c r="P4258" s="75" t="str">
        <f>IF(AND('331-CT'!$E$7=TH!H5220,OR(N4258="331",O4258="331")),"x","")</f>
        <v/>
      </c>
      <c r="Q4258" s="75" t="str">
        <f>IF(AND(B4258='111'!$L$11,OR($N4258=$Q$7,$O4258=$Q$7)),"x","")</f>
        <v/>
      </c>
      <c r="R4258" s="75" t="str">
        <f>IF(AND($N4258=$Q$7,$B4258&lt;'111'!$L$11),"x","")</f>
        <v/>
      </c>
      <c r="S4258" s="75" t="str">
        <f>IF(AND($O4258=$Q$7,$B4258&lt;'111'!$L$11),"x","")</f>
        <v/>
      </c>
      <c r="T4258" s="75" t="str">
        <f>IF(ISERROR(FIND('112'!$M$9,G4258,1)),"",IF((AND(FIND('112'!$M$9,G4258,1)&gt;=1,B4258='112'!$K$9,OR($N4258='112'!$I$6,$O4258='112'!$I$6))),"x",""))</f>
        <v/>
      </c>
      <c r="U4258" s="75" t="str">
        <f>IF(ISERROR(FIND('112'!$M$9,G4258,1)),"",IF((AND(LEFT(G4258,2)=LEFT('112'!$M$9,2),B4258&lt;'112'!$K$9,$N4258='112'!$I$6)),"x",""))</f>
        <v/>
      </c>
      <c r="V4258" s="75" t="str">
        <f>IF(ISERROR(FIND('112'!$M$9,G4258,1)),"",IF((AND(RIGHT(G4258,2)=RIGHT('112'!$M$9,2),B4258&lt;'112'!$K$9,$O4258='112'!$I$6)),"x",""))</f>
        <v/>
      </c>
      <c r="W4258" s="75" t="str">
        <f>IF(AND('341-CT'!$H$9=H4258,OR(LEFT(N4258,3)=$W$7,LEFT(O4258,3)=$W$7)),"x","")</f>
        <v/>
      </c>
      <c r="X4258" s="75" t="str">
        <f>IF(OR(TH!N5220=TH!$X$7,O4258=TH!$X$7),"x","")</f>
        <v/>
      </c>
      <c r="Y4258" s="75" t="str">
        <f>IF(AND(OR(N4258="131",O4258="131"),H4258='131-CT'!$H$9),"x","")</f>
        <v/>
      </c>
      <c r="Z4258" s="75"/>
      <c r="AA4258" s="75" t="str">
        <f>IF(AND(MONTH(E4258)='IN-NX'!$J$5,'IN-NX'!$D$7=D4258),"x","")</f>
        <v/>
      </c>
      <c r="AB4258" s="75" t="str">
        <f>IF(AND(OR(LEFT(TH!N5220,2)="15",LEFT(TH!O5220,2)="15"),LEFT(TH!O5220,3)&lt;&gt;"111",'152-CT'!$J$8=TH!F5220),"x","")</f>
        <v/>
      </c>
      <c r="AC4258" s="75" t="str">
        <f>IF(AND(OR(LEFT(TH!N5220,2)="15",LEFT(TH!O5220,2)="15"),TK!$E$7=TH!F5220),"x","")</f>
        <v/>
      </c>
      <c r="AD4258" s="75" t="str">
        <f>IF(AND(N4258="1521",MONTH(C4258)='BK-NL'!$M$11),"x","")</f>
        <v/>
      </c>
    </row>
    <row r="4259" spans="1:31" ht="16.5" customHeight="1">
      <c r="A4259" s="309" t="str">
        <f>IF(B4259&lt;&gt;"",IF(AND(B4259='IN-TC'!$S$4,OR(TH!N4253="1111",TH!O4253="1111")),TH!D4253,""),"")</f>
        <v/>
      </c>
      <c r="B4259" s="1130">
        <f t="shared" si="1318"/>
        <v>6</v>
      </c>
      <c r="C4259" s="292">
        <f t="shared" si="1317"/>
        <v>42892</v>
      </c>
      <c r="D4259" s="59" t="s">
        <v>902</v>
      </c>
      <c r="E4259" s="59">
        <v>42892</v>
      </c>
      <c r="F4259" s="67" t="s">
        <v>897</v>
      </c>
      <c r="G4259" s="62" t="s">
        <v>747</v>
      </c>
      <c r="H4259" s="67" t="s">
        <v>623</v>
      </c>
      <c r="I4259" s="373"/>
      <c r="J4259" s="379"/>
      <c r="K4259" s="373"/>
      <c r="L4259" s="379"/>
      <c r="M4259" s="60">
        <v>6780000000</v>
      </c>
      <c r="N4259" s="61" t="s">
        <v>8</v>
      </c>
      <c r="O4259" s="61" t="s">
        <v>26</v>
      </c>
      <c r="P4259" s="75" t="str">
        <f>IF(AND('331-CT'!$E$7=TH!H5221,OR(N4259="331",O4259="331")),"x","")</f>
        <v/>
      </c>
      <c r="Q4259" s="75" t="str">
        <f>IF(AND(B4259='111'!$L$11,OR($N4259=$Q$7,$O4259=$Q$7)),"x","")</f>
        <v/>
      </c>
      <c r="R4259" s="75" t="str">
        <f>IF(AND($N4259=$Q$7,$B4259&lt;'111'!$L$11),"x","")</f>
        <v/>
      </c>
      <c r="S4259" s="75" t="str">
        <f>IF(AND($O4259=$Q$7,$B4259&lt;'111'!$L$11),"x","")</f>
        <v/>
      </c>
      <c r="T4259" s="75" t="str">
        <f>IF(ISERROR(FIND('112'!$M$9,G4259,1)),"",IF((AND(FIND('112'!$M$9,G4259,1)&gt;=1,B4259='112'!$K$9,OR($N4259='112'!$I$6,$O4259='112'!$I$6))),"x",""))</f>
        <v/>
      </c>
      <c r="U4259" s="75" t="str">
        <f>IF(ISERROR(FIND('112'!$M$9,G4259,1)),"",IF((AND(LEFT(G4259,2)=LEFT('112'!$M$9,2),B4259&lt;'112'!$K$9,$N4259='112'!$I$6)),"x",""))</f>
        <v/>
      </c>
      <c r="V4259" s="75" t="str">
        <f>IF(ISERROR(FIND('112'!$M$9,G4259,1)),"",IF((AND(RIGHT(G4259,2)=RIGHT('112'!$M$9,2),B4259&lt;'112'!$K$9,$O4259='112'!$I$6)),"x",""))</f>
        <v/>
      </c>
      <c r="W4259" s="75" t="str">
        <f>IF(AND('341-CT'!$H$9=H4259,OR(LEFT(N4259,3)=$W$7,LEFT(O4259,3)=$W$7)),"x","")</f>
        <v/>
      </c>
      <c r="X4259" s="75" t="str">
        <f>IF(OR(TH!N5221=TH!$X$7,O4259=TH!$X$7),"x","")</f>
        <v/>
      </c>
      <c r="Y4259" s="75" t="str">
        <f>IF(AND(OR(N4259="131",O4259="131"),H4259='131-CT'!$H$9),"x","")</f>
        <v/>
      </c>
      <c r="Z4259" s="75"/>
      <c r="AA4259" s="75" t="str">
        <f>IF(AND(MONTH(E4259)='IN-NX'!$J$5,'IN-NX'!$D$7=D4259),"x","")</f>
        <v/>
      </c>
      <c r="AB4259" s="75" t="str">
        <f>IF(AND(OR(LEFT(TH!N5221,2)="15",LEFT(TH!O5221,2)="15"),LEFT(TH!O5221,3)&lt;&gt;"111",'152-CT'!$J$8=TH!F5221),"x","")</f>
        <v/>
      </c>
      <c r="AC4259" s="75" t="str">
        <f>IF(AND(OR(LEFT(TH!N5221,2)="15",LEFT(TH!O5221,2)="15"),TK!$E$7=TH!F5221),"x","")</f>
        <v/>
      </c>
      <c r="AD4259" s="75" t="str">
        <f>IF(AND(N4259="1521",MONTH(C4259)='BK-NL'!$M$11),"x","")</f>
        <v/>
      </c>
    </row>
    <row r="4260" spans="1:31" ht="16.5" customHeight="1">
      <c r="A4260" s="309" t="str">
        <f>IF(B4260&lt;&gt;"",IF(AND(B4260='IN-TC'!$S$4,OR(TH!N4254="1111",TH!O4254="1111")),TH!D4254,""),"")</f>
        <v/>
      </c>
      <c r="B4260" s="1130">
        <f t="shared" si="1318"/>
        <v>6</v>
      </c>
      <c r="C4260" s="292">
        <f t="shared" si="1317"/>
        <v>42892</v>
      </c>
      <c r="D4260" s="59" t="s">
        <v>902</v>
      </c>
      <c r="E4260" s="59">
        <v>42892</v>
      </c>
      <c r="F4260" s="67" t="s">
        <v>870</v>
      </c>
      <c r="G4260" s="62" t="s">
        <v>747</v>
      </c>
      <c r="H4260" s="67" t="s">
        <v>835</v>
      </c>
      <c r="I4260" s="375"/>
      <c r="J4260" s="381"/>
      <c r="K4260" s="375"/>
      <c r="L4260" s="381"/>
      <c r="M4260" s="60">
        <v>1000000</v>
      </c>
      <c r="N4260" s="61" t="s">
        <v>101</v>
      </c>
      <c r="O4260" s="61" t="s">
        <v>26</v>
      </c>
      <c r="P4260" s="75" t="str">
        <f>IF(AND('331-CT'!$E$7=TH!H5222,OR(N4260="331",O4260="331")),"x","")</f>
        <v/>
      </c>
      <c r="Q4260" s="75" t="str">
        <f>IF(AND(B4260='111'!$L$11,OR($N4260=$Q$7,$O4260=$Q$7)),"x","")</f>
        <v/>
      </c>
      <c r="R4260" s="75" t="str">
        <f>IF(AND($N4260=$Q$7,$B4260&lt;'111'!$L$11),"x","")</f>
        <v/>
      </c>
      <c r="S4260" s="75" t="str">
        <f>IF(AND($O4260=$Q$7,$B4260&lt;'111'!$L$11),"x","")</f>
        <v/>
      </c>
      <c r="T4260" s="75" t="str">
        <f>IF(ISERROR(FIND('112'!$M$9,G4260,1)),"",IF((AND(FIND('112'!$M$9,G4260,1)&gt;=1,B4260='112'!$K$9,OR($N4260='112'!$I$6,$O4260='112'!$I$6))),"x",""))</f>
        <v/>
      </c>
      <c r="U4260" s="75" t="str">
        <f>IF(ISERROR(FIND('112'!$M$9,G4260,1)),"",IF((AND(LEFT(G4260,2)=LEFT('112'!$M$9,2),B4260&lt;'112'!$K$9,$N4260='112'!$I$6)),"x",""))</f>
        <v/>
      </c>
      <c r="V4260" s="75" t="str">
        <f>IF(ISERROR(FIND('112'!$M$9,G4260,1)),"",IF((AND(RIGHT(G4260,2)=RIGHT('112'!$M$9,2),B4260&lt;'112'!$K$9,$O4260='112'!$I$6)),"x",""))</f>
        <v/>
      </c>
      <c r="W4260" s="75" t="str">
        <f>IF(AND('341-CT'!$H$9=H4260,OR(LEFT(N4260,3)=$W$7,LEFT(O4260,3)=$W$7)),"x","")</f>
        <v/>
      </c>
      <c r="X4260" s="75" t="str">
        <f>IF(OR(TH!N5222=TH!$X$7,O4260=TH!$X$7),"x","")</f>
        <v/>
      </c>
      <c r="Y4260" s="75" t="str">
        <f>IF(AND(OR(N4260="131",O4260="131"),H4260='131-CT'!$H$9),"x","")</f>
        <v/>
      </c>
      <c r="Z4260" s="75"/>
      <c r="AA4260" s="75" t="str">
        <f>IF(AND(MONTH(E4260)='IN-NX'!$J$5,'IN-NX'!$D$7=D4260),"x","")</f>
        <v/>
      </c>
      <c r="AB4260" s="75" t="str">
        <f>IF(AND(OR(LEFT(TH!N5222,2)="15",LEFT(TH!O5222,2)="15"),LEFT(TH!O5222,3)&lt;&gt;"111",'152-CT'!$J$8=TH!F5222),"x","")</f>
        <v/>
      </c>
      <c r="AC4260" s="75" t="str">
        <f>IF(AND(OR(LEFT(TH!N5222,2)="15",LEFT(TH!O5222,2)="15"),TK!$E$7=TH!F5222),"x","")</f>
        <v/>
      </c>
      <c r="AD4260" s="75" t="str">
        <f>IF(AND(N4260="1521",MONTH(C4260)='BK-NL'!$M$11),"x","")</f>
        <v/>
      </c>
    </row>
    <row r="4261" spans="1:31" ht="16.5" customHeight="1">
      <c r="A4261" s="309" t="str">
        <f>IF(B4261&lt;&gt;"",IF(AND(B4261='IN-TC'!$S$4,OR(TH!N4255="1111",TH!O4255="1111")),TH!D4255,""),"")</f>
        <v/>
      </c>
      <c r="B4261" s="1130">
        <f t="shared" si="1318"/>
        <v>6</v>
      </c>
      <c r="C4261" s="292">
        <f t="shared" si="1317"/>
        <v>42892</v>
      </c>
      <c r="D4261" s="59" t="s">
        <v>902</v>
      </c>
      <c r="E4261" s="59">
        <v>42892</v>
      </c>
      <c r="F4261" s="67" t="s">
        <v>898</v>
      </c>
      <c r="G4261" s="62" t="s">
        <v>747</v>
      </c>
      <c r="H4261" s="67" t="s">
        <v>835</v>
      </c>
      <c r="I4261" s="375"/>
      <c r="J4261" s="381"/>
      <c r="K4261" s="375"/>
      <c r="L4261" s="381"/>
      <c r="M4261" s="60">
        <v>100000</v>
      </c>
      <c r="N4261" s="61" t="s">
        <v>9</v>
      </c>
      <c r="O4261" s="61" t="s">
        <v>26</v>
      </c>
      <c r="P4261" s="75" t="str">
        <f>IF(AND('331-CT'!$E$7=TH!H5223,OR(N4261="331",O4261="331")),"x","")</f>
        <v/>
      </c>
      <c r="Q4261" s="75" t="str">
        <f>IF(AND(B4261='111'!$L$11,OR($N4261=$Q$7,$O4261=$Q$7)),"x","")</f>
        <v/>
      </c>
      <c r="R4261" s="75" t="str">
        <f>IF(AND($N4261=$Q$7,$B4261&lt;'111'!$L$11),"x","")</f>
        <v/>
      </c>
      <c r="S4261" s="75" t="str">
        <f>IF(AND($O4261=$Q$7,$B4261&lt;'111'!$L$11),"x","")</f>
        <v/>
      </c>
      <c r="T4261" s="75" t="str">
        <f>IF(ISERROR(FIND('112'!$M$9,G4261,1)),"",IF((AND(FIND('112'!$M$9,G4261,1)&gt;=1,B4261='112'!$K$9,OR($N4261='112'!$I$6,$O4261='112'!$I$6))),"x",""))</f>
        <v/>
      </c>
      <c r="U4261" s="75" t="str">
        <f>IF(ISERROR(FIND('112'!$M$9,G4261,1)),"",IF((AND(LEFT(G4261,2)=LEFT('112'!$M$9,2),B4261&lt;'112'!$K$9,$N4261='112'!$I$6)),"x",""))</f>
        <v/>
      </c>
      <c r="V4261" s="75" t="str">
        <f>IF(ISERROR(FIND('112'!$M$9,G4261,1)),"",IF((AND(RIGHT(G4261,2)=RIGHT('112'!$M$9,2),B4261&lt;'112'!$K$9,$O4261='112'!$I$6)),"x",""))</f>
        <v/>
      </c>
      <c r="W4261" s="75" t="str">
        <f>IF(AND('341-CT'!$H$9=H4261,OR(LEFT(N4261,3)=$W$7,LEFT(O4261,3)=$W$7)),"x","")</f>
        <v/>
      </c>
      <c r="X4261" s="75" t="str">
        <f>IF(OR(TH!N5223=TH!$X$7,O4261=TH!$X$7),"x","")</f>
        <v/>
      </c>
      <c r="Y4261" s="75" t="str">
        <f>IF(AND(OR(N4261="131",O4261="131"),H4261='131-CT'!$H$9),"x","")</f>
        <v/>
      </c>
      <c r="Z4261" s="75"/>
      <c r="AA4261" s="75" t="str">
        <f>IF(AND(MONTH(E4261)='IN-NX'!$J$5,'IN-NX'!$D$7=D4261),"x","")</f>
        <v/>
      </c>
      <c r="AB4261" s="75" t="str">
        <f>IF(AND(OR(LEFT(TH!N5223,2)="15",LEFT(TH!O5223,2)="15"),LEFT(TH!O5223,3)&lt;&gt;"111",'152-CT'!$J$8=TH!F5223),"x","")</f>
        <v/>
      </c>
      <c r="AC4261" s="75" t="str">
        <f>IF(AND(OR(LEFT(TH!N5223,2)="15",LEFT(TH!O5223,2)="15"),TK!$E$7=TH!F5223),"x","")</f>
        <v/>
      </c>
      <c r="AD4261" s="75" t="str">
        <f>IF(AND(N4261="1521",MONTH(C4261)='BK-NL'!$M$11),"x","")</f>
        <v/>
      </c>
    </row>
    <row r="4262" spans="1:31" ht="16.5" customHeight="1">
      <c r="A4262" s="309" t="str">
        <f>IF(B4262&lt;&gt;"",IF(AND(B4262='IN-TC'!$S$4,OR(TH!N4256="1111",TH!O4256="1111")),TH!D4256,""),"")</f>
        <v/>
      </c>
      <c r="B4262" s="1130">
        <f t="shared" si="1318"/>
        <v>6</v>
      </c>
      <c r="C4262" s="292">
        <f t="shared" si="1317"/>
        <v>42892</v>
      </c>
      <c r="D4262" s="59" t="s">
        <v>903</v>
      </c>
      <c r="E4262" s="59">
        <v>42892</v>
      </c>
      <c r="F4262" s="293" t="s">
        <v>252</v>
      </c>
      <c r="G4262" s="62" t="s">
        <v>747</v>
      </c>
      <c r="H4262" s="67" t="s">
        <v>1609</v>
      </c>
      <c r="I4262" s="373"/>
      <c r="J4262" s="379"/>
      <c r="K4262" s="373">
        <v>70000</v>
      </c>
      <c r="L4262" s="379">
        <v>22695</v>
      </c>
      <c r="M4262" s="60">
        <f>K4262*L4262</f>
        <v>1588650000</v>
      </c>
      <c r="N4262" s="61" t="s">
        <v>26</v>
      </c>
      <c r="O4262" s="61" t="s">
        <v>250</v>
      </c>
      <c r="P4262" s="75" t="str">
        <f>IF(AND('331-CT'!$E$7=TH!H5224,OR(N4262="331",O4262="331")),"x","")</f>
        <v/>
      </c>
      <c r="Q4262" s="75" t="str">
        <f>IF(AND(B4262='111'!$L$11,OR($N4262=$Q$7,$O4262=$Q$7)),"x","")</f>
        <v/>
      </c>
      <c r="R4262" s="75" t="str">
        <f>IF(AND($N4262=$Q$7,$B4262&lt;'111'!$L$11),"x","")</f>
        <v/>
      </c>
      <c r="S4262" s="75" t="str">
        <f>IF(AND($O4262=$Q$7,$B4262&lt;'111'!$L$11),"x","")</f>
        <v/>
      </c>
      <c r="T4262" s="75" t="str">
        <f>IF(ISERROR(FIND('112'!$M$9,G4262,1)),"",IF((AND(FIND('112'!$M$9,G4262,1)&gt;=1,B4262='112'!$K$9,OR($N4262='112'!$I$6,$O4262='112'!$I$6))),"x",""))</f>
        <v/>
      </c>
      <c r="U4262" s="75" t="str">
        <f>IF(ISERROR(FIND('112'!$M$9,G4262,1)),"",IF((AND(LEFT(G4262,2)=LEFT('112'!$M$9,2),B4262&lt;'112'!$K$9,$N4262='112'!$I$6)),"x",""))</f>
        <v/>
      </c>
      <c r="V4262" s="75" t="str">
        <f>IF(ISERROR(FIND('112'!$M$9,G4262,1)),"",IF((AND(RIGHT(G4262,2)=RIGHT('112'!$M$9,2),B4262&lt;'112'!$K$9,$O4262='112'!$I$6)),"x",""))</f>
        <v/>
      </c>
      <c r="W4262" s="75" t="str">
        <f>IF(AND('341-CT'!$H$9=H4262,OR(LEFT(N4262,3)=$W$7,LEFT(O4262,3)=$W$7)),"x","")</f>
        <v/>
      </c>
      <c r="X4262" s="75" t="str">
        <f>IF(OR(TH!N5224=TH!$X$7,O4262=TH!$X$7),"x","")</f>
        <v/>
      </c>
      <c r="Y4262" s="75" t="str">
        <f>IF(AND(OR(N4262="131",O4262="131"),H4262='131-CT'!$H$9),"x","")</f>
        <v/>
      </c>
      <c r="Z4262" s="75"/>
      <c r="AA4262" s="75" t="str">
        <f>IF(AND(MONTH(E4262)='IN-NX'!$J$5,'IN-NX'!$D$7=D4262),"x","")</f>
        <v/>
      </c>
      <c r="AB4262" s="75" t="str">
        <f>IF(AND(OR(LEFT(TH!N5224,2)="15",LEFT(TH!O5224,2)="15"),LEFT(TH!O5224,3)&lt;&gt;"111",'152-CT'!$J$8=TH!F5224),"x","")</f>
        <v/>
      </c>
      <c r="AC4262" s="75" t="str">
        <f>IF(AND(OR(LEFT(TH!N5224,2)="15",LEFT(TH!O5224,2)="15"),TK!$E$7=TH!F5224),"x","")</f>
        <v/>
      </c>
      <c r="AD4262" s="75" t="str">
        <f>IF(AND(N4262="1521",MONTH(C4262)='BK-NL'!$M$11),"x","")</f>
        <v/>
      </c>
    </row>
    <row r="4263" spans="1:31" ht="16.5" customHeight="1">
      <c r="A4263" s="309" t="str">
        <f>IF(B4263&lt;&gt;"",IF(AND(B4263='IN-TC'!$S$4,OR(TH!N4257="1111",TH!O4257="1111")),TH!D4257,""),"")</f>
        <v/>
      </c>
      <c r="B4263" s="1130">
        <f t="shared" si="1318"/>
        <v>6</v>
      </c>
      <c r="C4263" s="292">
        <f t="shared" si="1317"/>
        <v>42893</v>
      </c>
      <c r="D4263" s="292"/>
      <c r="E4263" s="292">
        <v>42893</v>
      </c>
      <c r="F4263" s="67" t="s">
        <v>885</v>
      </c>
      <c r="G4263" s="943" t="s">
        <v>585</v>
      </c>
      <c r="H4263" s="294" t="s">
        <v>1023</v>
      </c>
      <c r="I4263" s="373"/>
      <c r="J4263" s="926"/>
      <c r="K4263" s="373"/>
      <c r="L4263" s="379"/>
      <c r="M4263" s="927">
        <v>3200000000</v>
      </c>
      <c r="N4263" s="295" t="s">
        <v>26</v>
      </c>
      <c r="O4263" s="295" t="s">
        <v>63</v>
      </c>
      <c r="P4263" s="75" t="str">
        <f>IF(AND('331-CT'!$E$7=TH!H4752,OR(N4263="331",O4263="331")),"x","")</f>
        <v/>
      </c>
      <c r="Q4263" s="75" t="str">
        <f>IF(AND(B4263='111'!$L$11,OR($N4263=$Q$7,$O4263=$Q$7)),"x","")</f>
        <v/>
      </c>
      <c r="R4263" s="75" t="str">
        <f>IF(AND($N4263=$Q$7,$B4263&lt;'111'!$L$11),"x","")</f>
        <v/>
      </c>
      <c r="S4263" s="75" t="str">
        <f>IF(AND($O4263=$Q$7,$B4263&lt;'111'!$L$11),"x","")</f>
        <v>x</v>
      </c>
      <c r="T4263" s="75" t="str">
        <f>IF(ISERROR(FIND('112'!$M$9,G4263,1)),"",IF((AND(FIND('112'!$M$9,G4263,1)&gt;=1,B4263='112'!$K$9,OR($N4263='112'!$I$6,$O4263='112'!$I$6))),"x",""))</f>
        <v/>
      </c>
      <c r="U4263" s="75" t="str">
        <f>IF(ISERROR(FIND('112'!$M$9,G4263,1)),"",IF((AND(LEFT(G4263,2)=LEFT('112'!$M$9,2),B4263&lt;'112'!$K$9,$N4263='112'!$I$6)),"x",""))</f>
        <v/>
      </c>
      <c r="V4263" s="75" t="str">
        <f>IF(ISERROR(FIND('112'!$M$9,G4263,1)),"",IF((AND(RIGHT(G4263,2)=RIGHT('112'!$M$9,2),B4263&lt;'112'!$K$9,$O4263='112'!$I$6)),"x",""))</f>
        <v/>
      </c>
      <c r="W4263" s="75" t="str">
        <f>IF(AND('341-CT'!$H$9=H4263,OR(LEFT(N4263,3)=$W$7,LEFT(O4263,3)=$W$7)),"x","")</f>
        <v/>
      </c>
      <c r="X4263" s="75" t="str">
        <f>IF(OR(TH!N4752=TH!$X$7,O4263=TH!$X$7),"x","")</f>
        <v/>
      </c>
      <c r="Y4263" s="75" t="str">
        <f>IF(AND(OR(N4263="131",O4263="131"),H4263='131-CT'!$H$9),"x","")</f>
        <v/>
      </c>
      <c r="Z4263" s="75"/>
      <c r="AA4263" s="75" t="str">
        <f>IF(AND(MONTH(E4263)='IN-NX'!$J$5,'IN-NX'!$D$7=D4263),"x","")</f>
        <v/>
      </c>
      <c r="AB4263" s="75" t="str">
        <f>IF(AND(OR(LEFT(TH!N4752,2)="15",LEFT(TH!O4752,2)="15"),LEFT(TH!O4752,3)&lt;&gt;"111",'152-CT'!$J$8=TH!F4752),"x","")</f>
        <v/>
      </c>
      <c r="AC4263" s="75" t="str">
        <f>IF(AND(OR(LEFT(TH!N4752,2)="15",LEFT(TH!O4752,2)="15"),TK!$E$7=TH!F4752),"x","")</f>
        <v/>
      </c>
      <c r="AD4263" s="75" t="str">
        <f>IF(AND(N4263="1521",MONTH(C4263)='BK-NL'!$M$11),"x","")</f>
        <v/>
      </c>
    </row>
    <row r="4264" spans="1:31" ht="16.5" customHeight="1">
      <c r="A4264" s="309" t="str">
        <f>IF(B4264&lt;&gt;"",IF(AND(B4264='IN-TC'!$S$4,OR(TH!N4258="1111",TH!O4258="1111")),TH!D4258,""),"")</f>
        <v/>
      </c>
      <c r="B4264" s="1130">
        <f t="shared" si="1318"/>
        <v>6</v>
      </c>
      <c r="C4264" s="292">
        <f t="shared" si="1317"/>
        <v>42893</v>
      </c>
      <c r="D4264" s="59" t="s">
        <v>902</v>
      </c>
      <c r="E4264" s="59">
        <v>42893</v>
      </c>
      <c r="F4264" s="67" t="s">
        <v>897</v>
      </c>
      <c r="G4264" s="62" t="s">
        <v>585</v>
      </c>
      <c r="H4264" s="67" t="s">
        <v>789</v>
      </c>
      <c r="I4264" s="373"/>
      <c r="J4264" s="379"/>
      <c r="K4264" s="373"/>
      <c r="L4264" s="379"/>
      <c r="M4264" s="60">
        <v>2850120000</v>
      </c>
      <c r="N4264" s="61" t="s">
        <v>8</v>
      </c>
      <c r="O4264" s="61" t="s">
        <v>26</v>
      </c>
      <c r="P4264" s="75" t="str">
        <f>IF(AND('331-CT'!$E$7=TH!H4753,OR(N4264="331",O4264="331")),"x","")</f>
        <v/>
      </c>
      <c r="Q4264" s="75" t="str">
        <f>IF(AND(B4264='111'!$L$11,OR($N4264=$Q$7,$O4264=$Q$7)),"x","")</f>
        <v/>
      </c>
      <c r="R4264" s="75" t="str">
        <f>IF(AND($N4264=$Q$7,$B4264&lt;'111'!$L$11),"x","")</f>
        <v/>
      </c>
      <c r="S4264" s="75" t="str">
        <f>IF(AND($O4264=$Q$7,$B4264&lt;'111'!$L$11),"x","")</f>
        <v/>
      </c>
      <c r="T4264" s="75" t="str">
        <f>IF(ISERROR(FIND('112'!$M$9,G4264,1)),"",IF((AND(FIND('112'!$M$9,G4264,1)&gt;=1,B4264='112'!$K$9,OR($N4264='112'!$I$6,$O4264='112'!$I$6))),"x",""))</f>
        <v/>
      </c>
      <c r="U4264" s="75" t="str">
        <f>IF(ISERROR(FIND('112'!$M$9,G4264,1)),"",IF((AND(LEFT(G4264,2)=LEFT('112'!$M$9,2),B4264&lt;'112'!$K$9,$N4264='112'!$I$6)),"x",""))</f>
        <v/>
      </c>
      <c r="V4264" s="75" t="str">
        <f>IF(ISERROR(FIND('112'!$M$9,G4264,1)),"",IF((AND(RIGHT(G4264,2)=RIGHT('112'!$M$9,2),B4264&lt;'112'!$K$9,$O4264='112'!$I$6)),"x",""))</f>
        <v/>
      </c>
      <c r="W4264" s="75" t="str">
        <f>IF(AND('341-CT'!$H$9=H4264,OR(LEFT(N4264,3)=$W$7,LEFT(O4264,3)=$W$7)),"x","")</f>
        <v/>
      </c>
      <c r="X4264" s="75" t="str">
        <f>IF(OR(TH!N4753=TH!$X$7,O4264=TH!$X$7),"x","")</f>
        <v/>
      </c>
      <c r="Y4264" s="75" t="str">
        <f>IF(AND(OR(N4264="131",O4264="131"),H4264='131-CT'!$H$9),"x","")</f>
        <v/>
      </c>
      <c r="Z4264" s="75"/>
      <c r="AA4264" s="75" t="str">
        <f>IF(AND(MONTH(E4264)='IN-NX'!$J$5,'IN-NX'!$D$7=D4264),"x","")</f>
        <v/>
      </c>
      <c r="AB4264" s="75" t="str">
        <f>IF(AND(OR(LEFT(TH!N4753,2)="15",LEFT(TH!O4753,2)="15"),LEFT(TH!O4753,3)&lt;&gt;"111",'152-CT'!$J$8=TH!F4753),"x","")</f>
        <v/>
      </c>
      <c r="AC4264" s="75" t="str">
        <f>IF(AND(OR(LEFT(TH!N4753,2)="15",LEFT(TH!O4753,2)="15"),TK!$E$7=TH!F4753),"x","")</f>
        <v/>
      </c>
      <c r="AD4264" s="75" t="str">
        <f>IF(AND(N4264="1521",MONTH(C4264)='BK-NL'!$M$11),"x","")</f>
        <v/>
      </c>
    </row>
    <row r="4265" spans="1:31" ht="16.5" customHeight="1">
      <c r="A4265" s="309" t="str">
        <f>IF(B4265&lt;&gt;"",IF(AND(B4265='IN-TC'!$S$4,OR(TH!N4259="1111",TH!O4259="1111")),TH!D4259,""),"")</f>
        <v/>
      </c>
      <c r="B4265" s="1130">
        <f t="shared" si="1318"/>
        <v>6</v>
      </c>
      <c r="C4265" s="292">
        <f t="shared" si="1317"/>
        <v>42893</v>
      </c>
      <c r="D4265" s="59" t="s">
        <v>902</v>
      </c>
      <c r="E4265" s="59">
        <v>42893</v>
      </c>
      <c r="F4265" s="67" t="s">
        <v>870</v>
      </c>
      <c r="G4265" s="62" t="s">
        <v>585</v>
      </c>
      <c r="H4265" s="67" t="s">
        <v>845</v>
      </c>
      <c r="I4265" s="375"/>
      <c r="J4265" s="381"/>
      <c r="K4265" s="375"/>
      <c r="L4265" s="381"/>
      <c r="M4265" s="60">
        <v>2277147</v>
      </c>
      <c r="N4265" s="61" t="s">
        <v>101</v>
      </c>
      <c r="O4265" s="61" t="s">
        <v>26</v>
      </c>
      <c r="P4265" s="75" t="str">
        <f>IF(AND('331-CT'!$E$7=TH!H4754,OR(N4265="331",O4265="331")),"x","")</f>
        <v/>
      </c>
      <c r="Q4265" s="75" t="str">
        <f>IF(AND(B4265='111'!$L$11,OR($N4265=$Q$7,$O4265=$Q$7)),"x","")</f>
        <v/>
      </c>
      <c r="R4265" s="75" t="str">
        <f>IF(AND($N4265=$Q$7,$B4265&lt;'111'!$L$11),"x","")</f>
        <v/>
      </c>
      <c r="S4265" s="75" t="str">
        <f>IF(AND($O4265=$Q$7,$B4265&lt;'111'!$L$11),"x","")</f>
        <v/>
      </c>
      <c r="T4265" s="75" t="str">
        <f>IF(ISERROR(FIND('112'!$M$9,G4265,1)),"",IF((AND(FIND('112'!$M$9,G4265,1)&gt;=1,B4265='112'!$K$9,OR($N4265='112'!$I$6,$O4265='112'!$I$6))),"x",""))</f>
        <v/>
      </c>
      <c r="U4265" s="75" t="str">
        <f>IF(ISERROR(FIND('112'!$M$9,G4265,1)),"",IF((AND(LEFT(G4265,2)=LEFT('112'!$M$9,2),B4265&lt;'112'!$K$9,$N4265='112'!$I$6)),"x",""))</f>
        <v/>
      </c>
      <c r="V4265" s="75" t="str">
        <f>IF(ISERROR(FIND('112'!$M$9,G4265,1)),"",IF((AND(RIGHT(G4265,2)=RIGHT('112'!$M$9,2),B4265&lt;'112'!$K$9,$O4265='112'!$I$6)),"x",""))</f>
        <v/>
      </c>
      <c r="W4265" s="75" t="str">
        <f>IF(AND('341-CT'!$H$9=H4265,OR(LEFT(N4265,3)=$W$7,LEFT(O4265,3)=$W$7)),"x","")</f>
        <v/>
      </c>
      <c r="X4265" s="75" t="str">
        <f>IF(OR(TH!N4754=TH!$X$7,O4265=TH!$X$7),"x","")</f>
        <v/>
      </c>
      <c r="Y4265" s="75" t="str">
        <f>IF(AND(OR(N4265="131",O4265="131"),H4265='131-CT'!$H$9),"x","")</f>
        <v/>
      </c>
      <c r="Z4265" s="75"/>
      <c r="AA4265" s="75" t="str">
        <f>IF(AND(MONTH(E4265)='IN-NX'!$J$5,'IN-NX'!$D$7=D4265),"x","")</f>
        <v/>
      </c>
      <c r="AB4265" s="75" t="str">
        <f>IF(AND(OR(LEFT(TH!N4754,2)="15",LEFT(TH!O4754,2)="15"),LEFT(TH!O4754,3)&lt;&gt;"111",'152-CT'!$J$8=TH!F4754),"x","")</f>
        <v/>
      </c>
      <c r="AC4265" s="75" t="str">
        <f>IF(AND(OR(LEFT(TH!N4754,2)="15",LEFT(TH!O4754,2)="15"),TK!$E$7=TH!F4754),"x","")</f>
        <v/>
      </c>
      <c r="AD4265" s="75" t="str">
        <f>IF(AND(N4265="1521",MONTH(C4265)='BK-NL'!$M$11),"x","")</f>
        <v/>
      </c>
    </row>
    <row r="4266" spans="1:31" ht="16.5" customHeight="1">
      <c r="A4266" s="309" t="str">
        <f>IF(B4266&lt;&gt;"",IF(AND(B4266='IN-TC'!$S$4,OR(TH!N4260="1111",TH!O4260="1111")),TH!D4260,""),"")</f>
        <v/>
      </c>
      <c r="B4266" s="1130">
        <f t="shared" si="1318"/>
        <v>6</v>
      </c>
      <c r="C4266" s="292">
        <f t="shared" si="1317"/>
        <v>42893</v>
      </c>
      <c r="D4266" s="59" t="s">
        <v>902</v>
      </c>
      <c r="E4266" s="59">
        <v>42893</v>
      </c>
      <c r="F4266" s="67" t="s">
        <v>898</v>
      </c>
      <c r="G4266" s="62" t="s">
        <v>585</v>
      </c>
      <c r="H4266" s="67" t="s">
        <v>845</v>
      </c>
      <c r="I4266" s="375"/>
      <c r="J4266" s="381"/>
      <c r="K4266" s="375"/>
      <c r="L4266" s="381"/>
      <c r="M4266" s="60">
        <v>227715</v>
      </c>
      <c r="N4266" s="61" t="s">
        <v>9</v>
      </c>
      <c r="O4266" s="61" t="s">
        <v>26</v>
      </c>
      <c r="P4266" s="75" t="str">
        <f>IF(AND('331-CT'!$E$7=TH!H4755,OR(N4266="331",O4266="331")),"x","")</f>
        <v/>
      </c>
      <c r="Q4266" s="75" t="str">
        <f>IF(AND(B4266='111'!$L$11,OR($N4266=$Q$7,$O4266=$Q$7)),"x","")</f>
        <v/>
      </c>
      <c r="R4266" s="75" t="str">
        <f>IF(AND($N4266=$Q$7,$B4266&lt;'111'!$L$11),"x","")</f>
        <v/>
      </c>
      <c r="S4266" s="75" t="str">
        <f>IF(AND($O4266=$Q$7,$B4266&lt;'111'!$L$11),"x","")</f>
        <v/>
      </c>
      <c r="T4266" s="75" t="str">
        <f>IF(ISERROR(FIND('112'!$M$9,G4266,1)),"",IF((AND(FIND('112'!$M$9,G4266,1)&gt;=1,B4266='112'!$K$9,OR($N4266='112'!$I$6,$O4266='112'!$I$6))),"x",""))</f>
        <v/>
      </c>
      <c r="U4266" s="75" t="str">
        <f>IF(ISERROR(FIND('112'!$M$9,G4266,1)),"",IF((AND(LEFT(G4266,2)=LEFT('112'!$M$9,2),B4266&lt;'112'!$K$9,$N4266='112'!$I$6)),"x",""))</f>
        <v/>
      </c>
      <c r="V4266" s="75" t="str">
        <f>IF(ISERROR(FIND('112'!$M$9,G4266,1)),"",IF((AND(RIGHT(G4266,2)=RIGHT('112'!$M$9,2),B4266&lt;'112'!$K$9,$O4266='112'!$I$6)),"x",""))</f>
        <v/>
      </c>
      <c r="W4266" s="75" t="str">
        <f>IF(AND('341-CT'!$H$9=H4266,OR(LEFT(N4266,3)=$W$7,LEFT(O4266,3)=$W$7)),"x","")</f>
        <v/>
      </c>
      <c r="X4266" s="75" t="str">
        <f>IF(OR(TH!N4755=TH!$X$7,O4266=TH!$X$7),"x","")</f>
        <v/>
      </c>
      <c r="Y4266" s="75" t="str">
        <f>IF(AND(OR(N4266="131",O4266="131"),H4266='131-CT'!$H$9),"x","")</f>
        <v/>
      </c>
      <c r="Z4266" s="75"/>
      <c r="AA4266" s="75" t="str">
        <f>IF(AND(MONTH(E4266)='IN-NX'!$J$5,'IN-NX'!$D$7=D4266),"x","")</f>
        <v/>
      </c>
      <c r="AB4266" s="75" t="str">
        <f>IF(AND(OR(LEFT(TH!N4755,2)="15",LEFT(TH!O4755,2)="15"),LEFT(TH!O4755,3)&lt;&gt;"111",'152-CT'!$J$8=TH!F4755),"x","")</f>
        <v/>
      </c>
      <c r="AC4266" s="75" t="str">
        <f>IF(AND(OR(LEFT(TH!N4755,2)="15",LEFT(TH!O4755,2)="15"),TK!$E$7=TH!F4755),"x","")</f>
        <v/>
      </c>
      <c r="AD4266" s="75" t="str">
        <f>IF(AND(N4266="1521",MONTH(C4266)='BK-NL'!$M$11),"x","")</f>
        <v/>
      </c>
    </row>
    <row r="4267" spans="1:31" ht="16.5" customHeight="1">
      <c r="A4267" s="309" t="str">
        <f>IF(B4267&lt;&gt;"",IF(AND(B4267='IN-TC'!$S$4,OR(TH!N4261="1111",TH!O4261="1111")),TH!D4261,""),"")</f>
        <v/>
      </c>
      <c r="B4267" s="1130">
        <f t="shared" si="1318"/>
        <v>6</v>
      </c>
      <c r="C4267" s="292">
        <f t="shared" si="1317"/>
        <v>42893</v>
      </c>
      <c r="D4267" s="292" t="s">
        <v>843</v>
      </c>
      <c r="E4267" s="292">
        <v>42893</v>
      </c>
      <c r="F4267" s="293" t="s">
        <v>834</v>
      </c>
      <c r="G4267" s="943" t="s">
        <v>747</v>
      </c>
      <c r="H4267" s="67" t="s">
        <v>1023</v>
      </c>
      <c r="I4267" s="373"/>
      <c r="J4267" s="926"/>
      <c r="K4267" s="373"/>
      <c r="L4267" s="379"/>
      <c r="M4267" s="927">
        <v>1590000000</v>
      </c>
      <c r="N4267" s="295" t="s">
        <v>63</v>
      </c>
      <c r="O4267" s="295" t="s">
        <v>26</v>
      </c>
      <c r="P4267" s="75" t="str">
        <f>IF(AND('331-CT'!$E$7=TH!H5225,OR(N4267="331",O4267="331")),"x","")</f>
        <v/>
      </c>
      <c r="Q4267" s="75" t="str">
        <f>IF(AND(B4267='111'!$L$11,OR($N4267=$Q$7,$O4267=$Q$7)),"x","")</f>
        <v/>
      </c>
      <c r="R4267" s="75" t="str">
        <f>IF(AND($N4267=$Q$7,$B4267&lt;'111'!$L$11),"x","")</f>
        <v>x</v>
      </c>
      <c r="S4267" s="75" t="str">
        <f>IF(AND($O4267=$Q$7,$B4267&lt;'111'!$L$11),"x","")</f>
        <v/>
      </c>
      <c r="T4267" s="75" t="str">
        <f>IF(ISERROR(FIND('112'!$M$9,G4267,1)),"",IF((AND(FIND('112'!$M$9,G4267,1)&gt;=1,B4267='112'!$K$9,OR($N4267='112'!$I$6,$O4267='112'!$I$6))),"x",""))</f>
        <v/>
      </c>
      <c r="U4267" s="75" t="str">
        <f>IF(ISERROR(FIND('112'!$M$9,G4267,1)),"",IF((AND(LEFT(G4267,2)=LEFT('112'!$M$9,2),B4267&lt;'112'!$K$9,$N4267='112'!$I$6)),"x",""))</f>
        <v/>
      </c>
      <c r="V4267" s="75" t="str">
        <f>IF(ISERROR(FIND('112'!$M$9,G4267,1)),"",IF((AND(RIGHT(G4267,2)=RIGHT('112'!$M$9,2),B4267&lt;'112'!$K$9,$O4267='112'!$I$6)),"x",""))</f>
        <v/>
      </c>
      <c r="W4267" s="75" t="str">
        <f>IF(AND('341-CT'!$H$9=H4267,OR(LEFT(N4267,3)=$W$7,LEFT(O4267,3)=$W$7)),"x","")</f>
        <v/>
      </c>
      <c r="X4267" s="75" t="str">
        <f>IF(OR(TH!N5225=TH!$X$7,O4267=TH!$X$7),"x","")</f>
        <v/>
      </c>
      <c r="Y4267" s="75" t="str">
        <f>IF(AND(OR(N4267="131",O4267="131"),H4267='131-CT'!$H$9),"x","")</f>
        <v/>
      </c>
      <c r="Z4267" s="75"/>
      <c r="AA4267" s="75" t="str">
        <f>IF(AND(MONTH(E4267)='IN-NX'!$J$5,'IN-NX'!$D$7=D4267),"x","")</f>
        <v/>
      </c>
      <c r="AB4267" s="75" t="str">
        <f>IF(AND(OR(LEFT(TH!N5225,2)="15",LEFT(TH!O5225,2)="15"),LEFT(TH!O5225,3)&lt;&gt;"111",'152-CT'!$J$8=TH!F5225),"x","")</f>
        <v/>
      </c>
      <c r="AC4267" s="75" t="str">
        <f>IF(AND(OR(LEFT(TH!N5225,2)="15",LEFT(TH!O5225,2)="15"),TK!$E$7=TH!F5225),"x","")</f>
        <v/>
      </c>
      <c r="AD4267" s="75" t="str">
        <f>IF(AND(N4267="1521",MONTH(C4267)='BK-NL'!$M$11),"x","")</f>
        <v/>
      </c>
    </row>
    <row r="4268" spans="1:31" ht="16.5" customHeight="1">
      <c r="A4268" s="309" t="str">
        <f>IF(B4268&lt;&gt;"",IF(AND(B4268='IN-TC'!$S$4,OR(TH!N4262="1111",TH!O4262="1111")),TH!D4262,""),"")</f>
        <v/>
      </c>
      <c r="B4268" s="1130">
        <f t="shared" si="1318"/>
        <v>6</v>
      </c>
      <c r="C4268" s="292">
        <f t="shared" si="1317"/>
        <v>42893</v>
      </c>
      <c r="D4268" s="59" t="s">
        <v>902</v>
      </c>
      <c r="E4268" s="59">
        <v>42893</v>
      </c>
      <c r="F4268" s="907" t="s">
        <v>1549</v>
      </c>
      <c r="G4268" s="62" t="s">
        <v>747</v>
      </c>
      <c r="H4268" s="67" t="s">
        <v>835</v>
      </c>
      <c r="I4268" s="1165"/>
      <c r="J4268" s="908"/>
      <c r="K4268" s="375"/>
      <c r="L4268" s="381"/>
      <c r="M4268" s="60">
        <v>227500</v>
      </c>
      <c r="N4268" s="61" t="s">
        <v>101</v>
      </c>
      <c r="O4268" s="61" t="s">
        <v>26</v>
      </c>
      <c r="P4268" s="75" t="str">
        <f>IF(AND('331-CT'!$E$7=TH!H5235,OR(N4268="331",O4268="331")),"x","")</f>
        <v/>
      </c>
      <c r="Q4268" s="75" t="str">
        <f>IF(AND(B4268='111'!$L$11,OR($N4268=$Q$7,$O4268=$Q$7)),"x","")</f>
        <v/>
      </c>
      <c r="R4268" s="75" t="str">
        <f>IF(AND($N4268=$Q$7,$B4268&lt;'111'!$L$11),"x","")</f>
        <v/>
      </c>
      <c r="S4268" s="75" t="str">
        <f>IF(AND($O4268=$Q$7,$B4268&lt;'111'!$L$11),"x","")</f>
        <v/>
      </c>
      <c r="T4268" s="75" t="str">
        <f>IF(ISERROR(FIND('112'!$M$9,G4268,1)),"",IF((AND(FIND('112'!$M$9,G4268,1)&gt;=1,B4268='112'!$K$9,OR($N4268='112'!$I$6,$O4268='112'!$I$6))),"x",""))</f>
        <v/>
      </c>
      <c r="U4268" s="75" t="str">
        <f>IF(ISERROR(FIND('112'!$M$9,G4268,1)),"",IF((AND(LEFT(G4268,2)=LEFT('112'!$M$9,2),B4268&lt;'112'!$K$9,$N4268='112'!$I$6)),"x",""))</f>
        <v/>
      </c>
      <c r="V4268" s="75" t="str">
        <f>IF(ISERROR(FIND('112'!$M$9,G4268,1)),"",IF((AND(RIGHT(G4268,2)=RIGHT('112'!$M$9,2),B4268&lt;'112'!$K$9,$O4268='112'!$I$6)),"x",""))</f>
        <v/>
      </c>
      <c r="W4268" s="75" t="str">
        <f>IF(AND('341-CT'!$H$9=H4268,OR(LEFT(N4268,3)=$W$7,LEFT(O4268,3)=$W$7)),"x","")</f>
        <v/>
      </c>
      <c r="X4268" s="75" t="str">
        <f>IF(OR(TH!N5235=TH!$X$7,O4268=TH!$X$7),"x","")</f>
        <v/>
      </c>
      <c r="Y4268" s="75" t="str">
        <f>IF(AND(OR(N4268="131",O4268="131"),H4268='131-CT'!$H$9),"x","")</f>
        <v/>
      </c>
      <c r="Z4268" s="75"/>
      <c r="AA4268" s="75" t="str">
        <f>IF(AND(MONTH(E4268)='IN-NX'!$J$5,'IN-NX'!$D$7=D4268),"x","")</f>
        <v/>
      </c>
      <c r="AB4268" s="75" t="str">
        <f>IF(AND(OR(LEFT(TH!N5235,2)="15",LEFT(TH!O5235,2)="15"),LEFT(TH!O5235,3)&lt;&gt;"111",'152-CT'!$J$8=TH!F5235),"x","")</f>
        <v/>
      </c>
      <c r="AC4268" s="75" t="str">
        <f>IF(AND(OR(LEFT(TH!N5235,2)="15",LEFT(TH!O5235,2)="15"),TK!$E$7=TH!F5235),"x","")</f>
        <v/>
      </c>
      <c r="AD4268" s="75" t="str">
        <f>IF(AND(N4268="1521",MONTH(C4268)='BK-NL'!$M$11),"x","")</f>
        <v/>
      </c>
    </row>
    <row r="4269" spans="1:31" ht="16.5" customHeight="1">
      <c r="A4269" s="309" t="str">
        <f>IF(B4269&lt;&gt;"",IF(AND(B4269='IN-TC'!$S$4,OR(TH!N4263="1111",TH!O4263="1111")),TH!D4263,""),"")</f>
        <v/>
      </c>
      <c r="B4269" s="1130">
        <f t="shared" si="1318"/>
        <v>6</v>
      </c>
      <c r="C4269" s="292">
        <f t="shared" si="1317"/>
        <v>42894</v>
      </c>
      <c r="D4269" s="292"/>
      <c r="E4269" s="292">
        <v>42894</v>
      </c>
      <c r="F4269" s="67" t="s">
        <v>1331</v>
      </c>
      <c r="G4269" s="925" t="s">
        <v>2249</v>
      </c>
      <c r="H4269" s="294" t="s">
        <v>1333</v>
      </c>
      <c r="I4269" s="373"/>
      <c r="J4269" s="926"/>
      <c r="K4269" s="373"/>
      <c r="L4269" s="379"/>
      <c r="M4269" s="927">
        <v>2181818</v>
      </c>
      <c r="N4269" s="295" t="s">
        <v>539</v>
      </c>
      <c r="O4269" s="295" t="s">
        <v>63</v>
      </c>
      <c r="P4269" s="75" t="str">
        <f>IF(AND('331-CT'!$E$7=TH!H3718,OR(N4269="331",O4269="331")),"x","")</f>
        <v/>
      </c>
      <c r="Q4269" s="75" t="str">
        <f>IF(AND(B4269='111'!$L$11,OR($N4269=$Q$7,$O4269=$Q$7)),"x","")</f>
        <v/>
      </c>
      <c r="R4269" s="75" t="str">
        <f>IF(AND($N4269=$Q$7,$B4269&lt;'111'!$L$11),"x","")</f>
        <v/>
      </c>
      <c r="S4269" s="75" t="str">
        <f>IF(AND($O4269=$Q$7,$B4269&lt;'111'!$L$11),"x","")</f>
        <v>x</v>
      </c>
      <c r="T4269" s="75" t="str">
        <f>IF(ISERROR(FIND('112'!$M$9,G4269,1)),"",IF((AND(FIND('112'!$M$9,G4269,1)&gt;=1,B4269='112'!$K$9,OR($N4269='112'!$I$6,$O4269='112'!$I$6))),"x",""))</f>
        <v/>
      </c>
      <c r="U4269" s="75" t="str">
        <f>IF(ISERROR(FIND('112'!$M$9,G4269,1)),"",IF((AND(LEFT(G4269,2)=LEFT('112'!$M$9,2),B4269&lt;'112'!$K$9,$N4269='112'!$I$6)),"x",""))</f>
        <v/>
      </c>
      <c r="V4269" s="75" t="str">
        <f>IF(ISERROR(FIND('112'!$M$9,G4269,1)),"",IF((AND(RIGHT(G4269,2)=RIGHT('112'!$M$9,2),B4269&lt;'112'!$K$9,$O4269='112'!$I$6)),"x",""))</f>
        <v/>
      </c>
      <c r="W4269" s="75" t="str">
        <f>IF(AND('341-CT'!$H$9=H4269,OR(LEFT(N4269,3)=$W$7,LEFT(O4269,3)=$W$7)),"x","")</f>
        <v/>
      </c>
      <c r="X4269" s="75" t="str">
        <f>IF(OR(TH!N3718=TH!$X$7,O4269=TH!$X$7),"x","")</f>
        <v/>
      </c>
      <c r="Y4269" s="75" t="str">
        <f>IF(AND(OR(N4269="131",O4269="131"),H4269='131-CT'!$H$9),"x","")</f>
        <v/>
      </c>
      <c r="Z4269" s="75"/>
      <c r="AA4269" s="75" t="str">
        <f>IF(AND(MONTH(E4269)='IN-NX'!$J$5,'IN-NX'!$D$7=D4269),"x","")</f>
        <v/>
      </c>
      <c r="AB4269" s="75" t="str">
        <f>IF(AND(OR(LEFT(TH!N3718,2)="15",LEFT(TH!O3718,2)="15"),LEFT(TH!O3718,3)&lt;&gt;"111",'152-CT'!$J$8=TH!F3718),"x","")</f>
        <v/>
      </c>
      <c r="AC4269" s="75" t="str">
        <f>IF(AND(OR(LEFT(TH!N3718,2)="15",LEFT(TH!O3718,2)="15"),TK!$E$7=TH!F3718),"x","")</f>
        <v/>
      </c>
      <c r="AD4269" s="75" t="str">
        <f>IF(AND(N4269="1521",MONTH(C4269)='BK-NL'!$M$11),"x","")</f>
        <v/>
      </c>
      <c r="AE4269">
        <v>9</v>
      </c>
    </row>
    <row r="4270" spans="1:31" ht="16.5" customHeight="1">
      <c r="A4270" s="309" t="str">
        <f>IF(B4270&lt;&gt;"",IF(AND(B4270='IN-TC'!$S$4,OR(TH!N4264="1111",TH!O4264="1111")),TH!D4264,""),"")</f>
        <v/>
      </c>
      <c r="B4270" s="1130">
        <f t="shared" si="1318"/>
        <v>6</v>
      </c>
      <c r="C4270" s="292">
        <f t="shared" si="1317"/>
        <v>42894</v>
      </c>
      <c r="D4270" s="292"/>
      <c r="E4270" s="292">
        <v>42894</v>
      </c>
      <c r="F4270" s="1127" t="s">
        <v>1332</v>
      </c>
      <c r="G4270" s="925" t="s">
        <v>2249</v>
      </c>
      <c r="H4270" s="294" t="s">
        <v>1333</v>
      </c>
      <c r="I4270" s="373"/>
      <c r="J4270" s="926"/>
      <c r="K4270" s="373"/>
      <c r="L4270" s="379"/>
      <c r="M4270" s="927">
        <v>218182</v>
      </c>
      <c r="N4270" s="295" t="s">
        <v>9</v>
      </c>
      <c r="O4270" s="295" t="s">
        <v>63</v>
      </c>
      <c r="P4270" s="75" t="str">
        <f>IF(AND('331-CT'!$E$7=TH!H3721,OR(N4270="331",O4270="331")),"x","")</f>
        <v/>
      </c>
      <c r="Q4270" s="75" t="str">
        <f>IF(AND(B4270='111'!$L$11,OR($N4270=$Q$7,$O4270=$Q$7)),"x","")</f>
        <v/>
      </c>
      <c r="R4270" s="75" t="str">
        <f>IF(AND($N4270=$Q$7,$B4270&lt;'111'!$L$11),"x","")</f>
        <v/>
      </c>
      <c r="S4270" s="75" t="str">
        <f>IF(AND($O4270=$Q$7,$B4270&lt;'111'!$L$11),"x","")</f>
        <v>x</v>
      </c>
      <c r="T4270" s="75" t="str">
        <f>IF(ISERROR(FIND('112'!$M$9,G4270,1)),"",IF((AND(FIND('112'!$M$9,G4270,1)&gt;=1,B4270='112'!$K$9,OR($N4270='112'!$I$6,$O4270='112'!$I$6))),"x",""))</f>
        <v/>
      </c>
      <c r="U4270" s="75" t="str">
        <f>IF(ISERROR(FIND('112'!$M$9,G4270,1)),"",IF((AND(LEFT(G4270,2)=LEFT('112'!$M$9,2),B4270&lt;'112'!$K$9,$N4270='112'!$I$6)),"x",""))</f>
        <v/>
      </c>
      <c r="V4270" s="75" t="str">
        <f>IF(ISERROR(FIND('112'!$M$9,G4270,1)),"",IF((AND(RIGHT(G4270,2)=RIGHT('112'!$M$9,2),B4270&lt;'112'!$K$9,$O4270='112'!$I$6)),"x",""))</f>
        <v/>
      </c>
      <c r="W4270" s="75" t="str">
        <f>IF(AND('341-CT'!$H$9=H4270,OR(LEFT(N4270,3)=$W$7,LEFT(O4270,3)=$W$7)),"x","")</f>
        <v/>
      </c>
      <c r="X4270" s="75" t="str">
        <f>IF(OR(TH!N3721=TH!$X$7,O4270=TH!$X$7),"x","")</f>
        <v>x</v>
      </c>
      <c r="Y4270" s="75" t="str">
        <f>IF(AND(OR(N4270="131",O4270="131"),H4270='131-CT'!$H$9),"x","")</f>
        <v/>
      </c>
      <c r="Z4270" s="75"/>
      <c r="AA4270" s="75" t="str">
        <f>IF(AND(MONTH(E4270)='IN-NX'!$J$5,'IN-NX'!$D$7=D4270),"x","")</f>
        <v/>
      </c>
      <c r="AB4270" s="75" t="str">
        <f>IF(AND(OR(LEFT(TH!N3721,2)="15",LEFT(TH!O3721,2)="15"),LEFT(TH!O3721,3)&lt;&gt;"111",'152-CT'!$J$8=TH!F3721),"x","")</f>
        <v/>
      </c>
      <c r="AC4270" s="75" t="str">
        <f>IF(AND(OR(LEFT(TH!N3721,2)="15",LEFT(TH!O3721,2)="15"),TK!$E$7=TH!F3721),"x","")</f>
        <v/>
      </c>
      <c r="AD4270" s="75" t="str">
        <f>IF(AND(N4270="1521",MONTH(C4270)='BK-NL'!$M$11),"x","")</f>
        <v/>
      </c>
      <c r="AE4270">
        <v>9</v>
      </c>
    </row>
    <row r="4271" spans="1:31" ht="16.5" customHeight="1">
      <c r="A4271" s="309" t="str">
        <f>IF(B4271&lt;&gt;"",IF(AND(B4271='IN-TC'!$S$4,OR(TH!N4265="1111",TH!O4265="1111")),TH!D4265,""),"")</f>
        <v/>
      </c>
      <c r="B4271" s="1130">
        <f t="shared" si="1318"/>
        <v>6</v>
      </c>
      <c r="C4271" s="292">
        <f t="shared" si="1317"/>
        <v>42894</v>
      </c>
      <c r="D4271" s="59" t="s">
        <v>903</v>
      </c>
      <c r="E4271" s="59">
        <v>42894</v>
      </c>
      <c r="F4271" s="131" t="s">
        <v>914</v>
      </c>
      <c r="G4271" s="62" t="s">
        <v>586</v>
      </c>
      <c r="H4271" s="67" t="s">
        <v>982</v>
      </c>
      <c r="I4271" s="375"/>
      <c r="J4271" s="381"/>
      <c r="K4271" s="375"/>
      <c r="L4271" s="381"/>
      <c r="M4271" s="60">
        <v>188</v>
      </c>
      <c r="N4271" s="61" t="s">
        <v>26</v>
      </c>
      <c r="O4271" s="295" t="s">
        <v>43</v>
      </c>
      <c r="P4271" s="75" t="str">
        <f>IF(AND('331-CT'!$E$7=TH!H4394,OR(N4271="331",O4271="331")),"x","")</f>
        <v/>
      </c>
      <c r="Q4271" s="75" t="str">
        <f>IF(AND(B4271='111'!$L$11,OR($N4271=$Q$7,$O4271=$Q$7)),"x","")</f>
        <v/>
      </c>
      <c r="R4271" s="75" t="str">
        <f>IF(AND($N4271=$Q$7,$B4271&lt;'111'!$L$11),"x","")</f>
        <v/>
      </c>
      <c r="S4271" s="75" t="str">
        <f>IF(AND($O4271=$Q$7,$B4271&lt;'111'!$L$11),"x","")</f>
        <v/>
      </c>
      <c r="T4271" s="75" t="str">
        <f>IF(ISERROR(FIND('112'!$M$9,G4271,1)),"",IF((AND(FIND('112'!$M$9,G4271,1)&gt;=1,B4271='112'!$K$9,OR($N4271='112'!$I$6,$O4271='112'!$I$6))),"x",""))</f>
        <v/>
      </c>
      <c r="U4271" s="75" t="str">
        <f>IF(ISERROR(FIND('112'!$M$9,G4271,1)),"",IF((AND(LEFT(G4271,2)=LEFT('112'!$M$9,2),B4271&lt;'112'!$K$9,$N4271='112'!$I$6)),"x",""))</f>
        <v>x</v>
      </c>
      <c r="V4271" s="75" t="str">
        <f>IF(ISERROR(FIND('112'!$M$9,G4271,1)),"",IF((AND(RIGHT(G4271,2)=RIGHT('112'!$M$9,2),B4271&lt;'112'!$K$9,$O4271='112'!$I$6)),"x",""))</f>
        <v/>
      </c>
      <c r="W4271" s="75" t="str">
        <f>IF(AND('341-CT'!$H$9=H4271,OR(LEFT(N4271,3)=$W$7,LEFT(O4271,3)=$W$7)),"x","")</f>
        <v/>
      </c>
      <c r="X4271" s="75" t="str">
        <f>IF(OR(TH!N4394=TH!$X$7,O4271=TH!$X$7),"x","")</f>
        <v/>
      </c>
      <c r="Y4271" s="75" t="str">
        <f>IF(AND(OR(N4271="131",O4271="131"),H4271='131-CT'!$H$9),"x","")</f>
        <v/>
      </c>
      <c r="Z4271" s="75"/>
      <c r="AA4271" s="75" t="str">
        <f>IF(AND(MONTH(E4271)='IN-NX'!$J$5,'IN-NX'!$D$7=D4271),"x","")</f>
        <v/>
      </c>
      <c r="AB4271" s="75" t="str">
        <f>IF(AND(OR(LEFT(TH!N4394,2)="15",LEFT(TH!O4394,2)="15"),LEFT(TH!O4394,3)&lt;&gt;"111",'152-CT'!$J$8=TH!F4394),"x","")</f>
        <v/>
      </c>
      <c r="AC4271" s="75" t="str">
        <f>IF(AND(OR(LEFT(TH!N4394,2)="15",LEFT(TH!O4394,2)="15"),TK!$E$7=TH!F4394),"x","")</f>
        <v/>
      </c>
      <c r="AD4271" s="75" t="str">
        <f>IF(AND(N4271="1521",MONTH(C4271)='BK-NL'!$M$11),"x","")</f>
        <v/>
      </c>
    </row>
    <row r="4272" spans="1:31" ht="16.5" customHeight="1">
      <c r="A4272" s="309" t="str">
        <f>IF(B4272&lt;&gt;"",IF(AND(B4272='IN-TC'!$S$4,OR(TH!N4266="1111",TH!O4266="1111")),TH!D4266,""),"")</f>
        <v/>
      </c>
      <c r="B4272" s="1130">
        <f t="shared" si="1318"/>
        <v>6</v>
      </c>
      <c r="C4272" s="292">
        <f t="shared" si="1317"/>
        <v>42894</v>
      </c>
      <c r="D4272" s="59" t="s">
        <v>902</v>
      </c>
      <c r="E4272" s="59">
        <v>42894</v>
      </c>
      <c r="F4272" s="1127" t="s">
        <v>930</v>
      </c>
      <c r="G4272" s="62" t="s">
        <v>585</v>
      </c>
      <c r="H4272" s="294" t="s">
        <v>622</v>
      </c>
      <c r="I4272" s="375"/>
      <c r="J4272" s="381"/>
      <c r="K4272" s="375"/>
      <c r="L4272" s="381"/>
      <c r="M4272" s="60">
        <v>200000000</v>
      </c>
      <c r="N4272" s="61" t="s">
        <v>8</v>
      </c>
      <c r="O4272" s="61" t="s">
        <v>26</v>
      </c>
      <c r="P4272" s="75" t="str">
        <f>IF(AND('331-CT'!$E$7=TH!H4756,OR(N4272="331",O4272="331")),"x","")</f>
        <v/>
      </c>
      <c r="Q4272" s="75" t="str">
        <f>IF(AND(B4272='111'!$L$11,OR($N4272=$Q$7,$O4272=$Q$7)),"x","")</f>
        <v/>
      </c>
      <c r="R4272" s="75" t="str">
        <f>IF(AND($N4272=$Q$7,$B4272&lt;'111'!$L$11),"x","")</f>
        <v/>
      </c>
      <c r="S4272" s="75" t="str">
        <f>IF(AND($O4272=$Q$7,$B4272&lt;'111'!$L$11),"x","")</f>
        <v/>
      </c>
      <c r="T4272" s="75" t="str">
        <f>IF(ISERROR(FIND('112'!$M$9,G4272,1)),"",IF((AND(FIND('112'!$M$9,G4272,1)&gt;=1,B4272='112'!$K$9,OR($N4272='112'!$I$6,$O4272='112'!$I$6))),"x",""))</f>
        <v/>
      </c>
      <c r="U4272" s="75" t="str">
        <f>IF(ISERROR(FIND('112'!$M$9,G4272,1)),"",IF((AND(LEFT(G4272,2)=LEFT('112'!$M$9,2),B4272&lt;'112'!$K$9,$N4272='112'!$I$6)),"x",""))</f>
        <v/>
      </c>
      <c r="V4272" s="75" t="str">
        <f>IF(ISERROR(FIND('112'!$M$9,G4272,1)),"",IF((AND(RIGHT(G4272,2)=RIGHT('112'!$M$9,2),B4272&lt;'112'!$K$9,$O4272='112'!$I$6)),"x",""))</f>
        <v/>
      </c>
      <c r="W4272" s="75" t="str">
        <f>IF(AND('341-CT'!$H$9=H4272,OR(LEFT(N4272,3)=$W$7,LEFT(O4272,3)=$W$7)),"x","")</f>
        <v/>
      </c>
      <c r="X4272" s="75" t="str">
        <f>IF(OR(TH!N4756=TH!$X$7,O4272=TH!$X$7),"x","")</f>
        <v/>
      </c>
      <c r="Y4272" s="75" t="str">
        <f>IF(AND(OR(N4272="131",O4272="131"),H4272='131-CT'!$H$9),"x","")</f>
        <v/>
      </c>
      <c r="Z4272" s="75"/>
      <c r="AA4272" s="75" t="str">
        <f>IF(AND(MONTH(E4272)='IN-NX'!$J$5,'IN-NX'!$D$7=D4272),"x","")</f>
        <v/>
      </c>
      <c r="AB4272" s="75" t="str">
        <f>IF(AND(OR(LEFT(TH!N4756,2)="15",LEFT(TH!O4756,2)="15"),LEFT(TH!O4756,3)&lt;&gt;"111",'152-CT'!$J$8=TH!F4756),"x","")</f>
        <v/>
      </c>
      <c r="AC4272" s="75" t="str">
        <f>IF(AND(OR(LEFT(TH!N4756,2)="15",LEFT(TH!O4756,2)="15"),TK!$E$7=TH!F4756),"x","")</f>
        <v/>
      </c>
      <c r="AD4272" s="75" t="str">
        <f>IF(AND(N4272="1521",MONTH(C4272)='BK-NL'!$M$11),"x","")</f>
        <v/>
      </c>
    </row>
    <row r="4273" spans="1:31" ht="16.5" customHeight="1">
      <c r="A4273" s="309" t="str">
        <f>IF(B4273&lt;&gt;"",IF(AND(B4273='IN-TC'!$S$4,OR(TH!N4267="1111",TH!O4267="1111")),TH!D4267,""),"")</f>
        <v/>
      </c>
      <c r="B4273" s="1130">
        <f t="shared" si="1318"/>
        <v>6</v>
      </c>
      <c r="C4273" s="292">
        <f t="shared" si="1317"/>
        <v>42894</v>
      </c>
      <c r="D4273" s="59" t="s">
        <v>902</v>
      </c>
      <c r="E4273" s="59">
        <v>42894</v>
      </c>
      <c r="F4273" s="1127" t="s">
        <v>870</v>
      </c>
      <c r="G4273" s="62" t="s">
        <v>585</v>
      </c>
      <c r="H4273" s="67" t="s">
        <v>845</v>
      </c>
      <c r="I4273" s="375"/>
      <c r="J4273" s="381"/>
      <c r="K4273" s="375"/>
      <c r="L4273" s="381"/>
      <c r="M4273" s="60">
        <v>60000</v>
      </c>
      <c r="N4273" s="61" t="s">
        <v>101</v>
      </c>
      <c r="O4273" s="61" t="s">
        <v>26</v>
      </c>
      <c r="P4273" s="75" t="str">
        <f>IF(AND('331-CT'!$E$7=TH!H4759,OR(N4273="331",O4273="331")),"x","")</f>
        <v/>
      </c>
      <c r="Q4273" s="75" t="str">
        <f>IF(AND(B4273='111'!$L$11,OR($N4273=$Q$7,$O4273=$Q$7)),"x","")</f>
        <v/>
      </c>
      <c r="R4273" s="75" t="str">
        <f>IF(AND($N4273=$Q$7,$B4273&lt;'111'!$L$11),"x","")</f>
        <v/>
      </c>
      <c r="S4273" s="75" t="str">
        <f>IF(AND($O4273=$Q$7,$B4273&lt;'111'!$L$11),"x","")</f>
        <v/>
      </c>
      <c r="T4273" s="75" t="str">
        <f>IF(ISERROR(FIND('112'!$M$9,G4273,1)),"",IF((AND(FIND('112'!$M$9,G4273,1)&gt;=1,B4273='112'!$K$9,OR($N4273='112'!$I$6,$O4273='112'!$I$6))),"x",""))</f>
        <v/>
      </c>
      <c r="U4273" s="75" t="str">
        <f>IF(ISERROR(FIND('112'!$M$9,G4273,1)),"",IF((AND(LEFT(G4273,2)=LEFT('112'!$M$9,2),B4273&lt;'112'!$K$9,$N4273='112'!$I$6)),"x",""))</f>
        <v/>
      </c>
      <c r="V4273" s="75" t="str">
        <f>IF(ISERROR(FIND('112'!$M$9,G4273,1)),"",IF((AND(RIGHT(G4273,2)=RIGHT('112'!$M$9,2),B4273&lt;'112'!$K$9,$O4273='112'!$I$6)),"x",""))</f>
        <v/>
      </c>
      <c r="W4273" s="75" t="str">
        <f>IF(AND('341-CT'!$H$9=H4273,OR(LEFT(N4273,3)=$W$7,LEFT(O4273,3)=$W$7)),"x","")</f>
        <v/>
      </c>
      <c r="X4273" s="75" t="str">
        <f>IF(OR(TH!N4759=TH!$X$7,O4273=TH!$X$7),"x","")</f>
        <v/>
      </c>
      <c r="Y4273" s="75" t="str">
        <f>IF(AND(OR(N4273="131",O4273="131"),H4273='131-CT'!$H$9),"x","")</f>
        <v/>
      </c>
      <c r="Z4273" s="75"/>
      <c r="AA4273" s="75" t="str">
        <f>IF(AND(MONTH(E4273)='IN-NX'!$J$5,'IN-NX'!$D$7=D4273),"x","")</f>
        <v/>
      </c>
      <c r="AB4273" s="75" t="str">
        <f>IF(AND(OR(LEFT(TH!N4759,2)="15",LEFT(TH!O4759,2)="15"),LEFT(TH!O4759,3)&lt;&gt;"111",'152-CT'!$J$8=TH!F4759),"x","")</f>
        <v/>
      </c>
      <c r="AC4273" s="75" t="str">
        <f>IF(AND(OR(LEFT(TH!N4759,2)="15",LEFT(TH!O4759,2)="15"),TK!$E$7=TH!F4759),"x","")</f>
        <v/>
      </c>
      <c r="AD4273" s="75" t="str">
        <f>IF(AND(N4273="1521",MONTH(C4273)='BK-NL'!$M$11),"x","")</f>
        <v/>
      </c>
    </row>
    <row r="4274" spans="1:31" ht="16.5" customHeight="1">
      <c r="A4274" s="309" t="str">
        <f>IF(B4274&lt;&gt;"",IF(AND(B4274='IN-TC'!$S$4,OR(TH!N4268="1111",TH!O4268="1111")),TH!D4268,""),"")</f>
        <v/>
      </c>
      <c r="B4274" s="1130">
        <f t="shared" si="1318"/>
        <v>6</v>
      </c>
      <c r="C4274" s="292">
        <f t="shared" si="1317"/>
        <v>42894</v>
      </c>
      <c r="D4274" s="59" t="s">
        <v>902</v>
      </c>
      <c r="E4274" s="59">
        <v>42894</v>
      </c>
      <c r="F4274" s="1127" t="s">
        <v>898</v>
      </c>
      <c r="G4274" s="62" t="s">
        <v>585</v>
      </c>
      <c r="H4274" s="67" t="s">
        <v>845</v>
      </c>
      <c r="I4274" s="375"/>
      <c r="J4274" s="381"/>
      <c r="K4274" s="375"/>
      <c r="L4274" s="381"/>
      <c r="M4274" s="60">
        <v>6000</v>
      </c>
      <c r="N4274" s="61" t="s">
        <v>9</v>
      </c>
      <c r="O4274" s="61" t="s">
        <v>26</v>
      </c>
      <c r="P4274" s="75" t="str">
        <f>IF(AND('331-CT'!$E$7=TH!H4760,OR(N4274="331",O4274="331")),"x","")</f>
        <v/>
      </c>
      <c r="Q4274" s="75" t="str">
        <f>IF(AND(B4274='111'!$L$11,OR($N4274=$Q$7,$O4274=$Q$7)),"x","")</f>
        <v/>
      </c>
      <c r="R4274" s="75" t="str">
        <f>IF(AND($N4274=$Q$7,$B4274&lt;'111'!$L$11),"x","")</f>
        <v/>
      </c>
      <c r="S4274" s="75" t="str">
        <f>IF(AND($O4274=$Q$7,$B4274&lt;'111'!$L$11),"x","")</f>
        <v/>
      </c>
      <c r="T4274" s="75" t="str">
        <f>IF(ISERROR(FIND('112'!$M$9,G4274,1)),"",IF((AND(FIND('112'!$M$9,G4274,1)&gt;=1,B4274='112'!$K$9,OR($N4274='112'!$I$6,$O4274='112'!$I$6))),"x",""))</f>
        <v/>
      </c>
      <c r="U4274" s="75" t="str">
        <f>IF(ISERROR(FIND('112'!$M$9,G4274,1)),"",IF((AND(LEFT(G4274,2)=LEFT('112'!$M$9,2),B4274&lt;'112'!$K$9,$N4274='112'!$I$6)),"x",""))</f>
        <v/>
      </c>
      <c r="V4274" s="75" t="str">
        <f>IF(ISERROR(FIND('112'!$M$9,G4274,1)),"",IF((AND(RIGHT(G4274,2)=RIGHT('112'!$M$9,2),B4274&lt;'112'!$K$9,$O4274='112'!$I$6)),"x",""))</f>
        <v/>
      </c>
      <c r="W4274" s="75" t="str">
        <f>IF(AND('341-CT'!$H$9=H4274,OR(LEFT(N4274,3)=$W$7,LEFT(O4274,3)=$W$7)),"x","")</f>
        <v/>
      </c>
      <c r="X4274" s="75" t="str">
        <f>IF(OR(TH!N4760=TH!$X$7,O4274=TH!$X$7),"x","")</f>
        <v/>
      </c>
      <c r="Y4274" s="75" t="str">
        <f>IF(AND(OR(N4274="131",O4274="131"),H4274='131-CT'!$H$9),"x","")</f>
        <v/>
      </c>
      <c r="Z4274" s="75"/>
      <c r="AA4274" s="75" t="str">
        <f>IF(AND(MONTH(E4274)='IN-NX'!$J$5,'IN-NX'!$D$7=D4274),"x","")</f>
        <v/>
      </c>
      <c r="AB4274" s="75" t="str">
        <f>IF(AND(OR(LEFT(TH!N4760,2)="15",LEFT(TH!O4760,2)="15"),LEFT(TH!O4760,3)&lt;&gt;"111",'152-CT'!$J$8=TH!F4760),"x","")</f>
        <v/>
      </c>
      <c r="AC4274" s="75" t="str">
        <f>IF(AND(OR(LEFT(TH!N4760,2)="15",LEFT(TH!O4760,2)="15"),TK!$E$7=TH!F4760),"x","")</f>
        <v/>
      </c>
      <c r="AD4274" s="75" t="str">
        <f>IF(AND(N4274="1521",MONTH(C4274)='BK-NL'!$M$11),"x","")</f>
        <v/>
      </c>
    </row>
    <row r="4275" spans="1:31" ht="16.5" customHeight="1">
      <c r="A4275" s="309" t="str">
        <f>IF(B4275&lt;&gt;"",IF(AND(B4275='IN-TC'!$S$4,OR(TH!N4269="1111",TH!O4269="1111")),TH!D4269,""),"")</f>
        <v/>
      </c>
      <c r="B4275" s="1130">
        <f t="shared" si="1318"/>
        <v>6</v>
      </c>
      <c r="C4275" s="292">
        <f t="shared" ref="C4275:C4338" si="1319">E4275</f>
        <v>42894</v>
      </c>
      <c r="D4275" s="59" t="s">
        <v>902</v>
      </c>
      <c r="E4275" s="59">
        <v>42894</v>
      </c>
      <c r="F4275" s="1127" t="s">
        <v>930</v>
      </c>
      <c r="G4275" s="62" t="s">
        <v>585</v>
      </c>
      <c r="H4275" s="67" t="s">
        <v>567</v>
      </c>
      <c r="I4275" s="375"/>
      <c r="J4275" s="381"/>
      <c r="K4275" s="375"/>
      <c r="L4275" s="381"/>
      <c r="M4275" s="60">
        <v>150000000</v>
      </c>
      <c r="N4275" s="61" t="s">
        <v>8</v>
      </c>
      <c r="O4275" s="61" t="s">
        <v>26</v>
      </c>
      <c r="P4275" s="75" t="str">
        <f>IF(AND('331-CT'!$E$7=TH!H4761,OR(N4275="331",O4275="331")),"x","")</f>
        <v/>
      </c>
      <c r="Q4275" s="75" t="str">
        <f>IF(AND(B4275='111'!$L$11,OR($N4275=$Q$7,$O4275=$Q$7)),"x","")</f>
        <v/>
      </c>
      <c r="R4275" s="75" t="str">
        <f>IF(AND($N4275=$Q$7,$B4275&lt;'111'!$L$11),"x","")</f>
        <v/>
      </c>
      <c r="S4275" s="75" t="str">
        <f>IF(AND($O4275=$Q$7,$B4275&lt;'111'!$L$11),"x","")</f>
        <v/>
      </c>
      <c r="T4275" s="75" t="str">
        <f>IF(ISERROR(FIND('112'!$M$9,G4275,1)),"",IF((AND(FIND('112'!$M$9,G4275,1)&gt;=1,B4275='112'!$K$9,OR($N4275='112'!$I$6,$O4275='112'!$I$6))),"x",""))</f>
        <v/>
      </c>
      <c r="U4275" s="75" t="str">
        <f>IF(ISERROR(FIND('112'!$M$9,G4275,1)),"",IF((AND(LEFT(G4275,2)=LEFT('112'!$M$9,2),B4275&lt;'112'!$K$9,$N4275='112'!$I$6)),"x",""))</f>
        <v/>
      </c>
      <c r="V4275" s="75" t="str">
        <f>IF(ISERROR(FIND('112'!$M$9,G4275,1)),"",IF((AND(RIGHT(G4275,2)=RIGHT('112'!$M$9,2),B4275&lt;'112'!$K$9,$O4275='112'!$I$6)),"x",""))</f>
        <v/>
      </c>
      <c r="W4275" s="75" t="str">
        <f>IF(AND('341-CT'!$H$9=H4275,OR(LEFT(N4275,3)=$W$7,LEFT(O4275,3)=$W$7)),"x","")</f>
        <v/>
      </c>
      <c r="X4275" s="75" t="str">
        <f>IF(OR(TH!N4761=TH!$X$7,O4275=TH!$X$7),"x","")</f>
        <v/>
      </c>
      <c r="Y4275" s="75" t="str">
        <f>IF(AND(OR(N4275="131",O4275="131"),H4275='131-CT'!$H$9),"x","")</f>
        <v/>
      </c>
      <c r="Z4275" s="75"/>
      <c r="AA4275" s="75" t="str">
        <f>IF(AND(MONTH(E4275)='IN-NX'!$J$5,'IN-NX'!$D$7=D4275),"x","")</f>
        <v/>
      </c>
      <c r="AB4275" s="75" t="str">
        <f>IF(AND(OR(LEFT(TH!N4761,2)="15",LEFT(TH!O4761,2)="15"),LEFT(TH!O4761,3)&lt;&gt;"111",'152-CT'!$J$8=TH!F4761),"x","")</f>
        <v/>
      </c>
      <c r="AC4275" s="75" t="str">
        <f>IF(AND(OR(LEFT(TH!N4761,2)="15",LEFT(TH!O4761,2)="15"),TK!$E$7=TH!F4761),"x","")</f>
        <v/>
      </c>
      <c r="AD4275" s="75" t="str">
        <f>IF(AND(N4275="1521",MONTH(C4275)='BK-NL'!$M$11),"x","")</f>
        <v/>
      </c>
    </row>
    <row r="4276" spans="1:31" ht="16.5" customHeight="1">
      <c r="A4276" s="309" t="str">
        <f>IF(B4276&lt;&gt;"",IF(AND(B4276='IN-TC'!$S$4,OR(TH!N4270="1111",TH!O4270="1111")),TH!D4270,""),"")</f>
        <v/>
      </c>
      <c r="B4276" s="1130">
        <f t="shared" si="1318"/>
        <v>6</v>
      </c>
      <c r="C4276" s="292">
        <f t="shared" si="1319"/>
        <v>42894</v>
      </c>
      <c r="D4276" s="59" t="s">
        <v>902</v>
      </c>
      <c r="E4276" s="59">
        <v>42894</v>
      </c>
      <c r="F4276" s="1127" t="s">
        <v>870</v>
      </c>
      <c r="G4276" s="62" t="s">
        <v>585</v>
      </c>
      <c r="H4276" s="67" t="s">
        <v>845</v>
      </c>
      <c r="I4276" s="375"/>
      <c r="J4276" s="381"/>
      <c r="K4276" s="375"/>
      <c r="L4276" s="381"/>
      <c r="M4276" s="60">
        <v>45045</v>
      </c>
      <c r="N4276" s="61" t="s">
        <v>101</v>
      </c>
      <c r="O4276" s="61" t="s">
        <v>26</v>
      </c>
      <c r="P4276" s="75" t="str">
        <f>IF(AND('331-CT'!$E$7=TH!H4762,OR(N4276="331",O4276="331")),"x","")</f>
        <v/>
      </c>
      <c r="Q4276" s="75" t="str">
        <f>IF(AND(B4276='111'!$L$11,OR($N4276=$Q$7,$O4276=$Q$7)),"x","")</f>
        <v/>
      </c>
      <c r="R4276" s="75" t="str">
        <f>IF(AND($N4276=$Q$7,$B4276&lt;'111'!$L$11),"x","")</f>
        <v/>
      </c>
      <c r="S4276" s="75" t="str">
        <f>IF(AND($O4276=$Q$7,$B4276&lt;'111'!$L$11),"x","")</f>
        <v/>
      </c>
      <c r="T4276" s="75" t="str">
        <f>IF(ISERROR(FIND('112'!$M$9,G4276,1)),"",IF((AND(FIND('112'!$M$9,G4276,1)&gt;=1,B4276='112'!$K$9,OR($N4276='112'!$I$6,$O4276='112'!$I$6))),"x",""))</f>
        <v/>
      </c>
      <c r="U4276" s="75" t="str">
        <f>IF(ISERROR(FIND('112'!$M$9,G4276,1)),"",IF((AND(LEFT(G4276,2)=LEFT('112'!$M$9,2),B4276&lt;'112'!$K$9,$N4276='112'!$I$6)),"x",""))</f>
        <v/>
      </c>
      <c r="V4276" s="75" t="str">
        <f>IF(ISERROR(FIND('112'!$M$9,G4276,1)),"",IF((AND(RIGHT(G4276,2)=RIGHT('112'!$M$9,2),B4276&lt;'112'!$K$9,$O4276='112'!$I$6)),"x",""))</f>
        <v/>
      </c>
      <c r="W4276" s="75" t="str">
        <f>IF(AND('341-CT'!$H$9=H4276,OR(LEFT(N4276,3)=$W$7,LEFT(O4276,3)=$W$7)),"x","")</f>
        <v/>
      </c>
      <c r="X4276" s="75" t="str">
        <f>IF(OR(TH!N4762=TH!$X$7,O4276=TH!$X$7),"x","")</f>
        <v/>
      </c>
      <c r="Y4276" s="75" t="str">
        <f>IF(AND(OR(N4276="131",O4276="131"),H4276='131-CT'!$H$9),"x","")</f>
        <v/>
      </c>
      <c r="Z4276" s="75"/>
      <c r="AA4276" s="75" t="str">
        <f>IF(AND(MONTH(E4276)='IN-NX'!$J$5,'IN-NX'!$D$7=D4276),"x","")</f>
        <v/>
      </c>
      <c r="AB4276" s="75" t="str">
        <f>IF(AND(OR(LEFT(TH!N4762,2)="15",LEFT(TH!O4762,2)="15"),LEFT(TH!O4762,3)&lt;&gt;"111",'152-CT'!$J$8=TH!F4762),"x","")</f>
        <v/>
      </c>
      <c r="AC4276" s="75" t="str">
        <f>IF(AND(OR(LEFT(TH!N4762,2)="15",LEFT(TH!O4762,2)="15"),TK!$E$7=TH!F4762),"x","")</f>
        <v/>
      </c>
      <c r="AD4276" s="75" t="str">
        <f>IF(AND(N4276="1521",MONTH(C4276)='BK-NL'!$M$11),"x","")</f>
        <v/>
      </c>
    </row>
    <row r="4277" spans="1:31" ht="16.5" customHeight="1">
      <c r="A4277" s="309" t="str">
        <f>IF(B4277&lt;&gt;"",IF(AND(B4277='IN-TC'!$S$4,OR(TH!N4271="1111",TH!O4271="1111")),TH!D4271,""),"")</f>
        <v/>
      </c>
      <c r="B4277" s="1130">
        <f t="shared" si="1318"/>
        <v>6</v>
      </c>
      <c r="C4277" s="292">
        <f t="shared" si="1319"/>
        <v>42894</v>
      </c>
      <c r="D4277" s="59" t="s">
        <v>902</v>
      </c>
      <c r="E4277" s="59">
        <v>42894</v>
      </c>
      <c r="F4277" s="1127" t="s">
        <v>898</v>
      </c>
      <c r="G4277" s="62" t="s">
        <v>585</v>
      </c>
      <c r="H4277" s="67" t="s">
        <v>845</v>
      </c>
      <c r="I4277" s="375"/>
      <c r="J4277" s="381"/>
      <c r="K4277" s="375"/>
      <c r="L4277" s="381"/>
      <c r="M4277" s="60">
        <v>4455</v>
      </c>
      <c r="N4277" s="61" t="s">
        <v>9</v>
      </c>
      <c r="O4277" s="61" t="s">
        <v>26</v>
      </c>
      <c r="P4277" s="75" t="str">
        <f>IF(AND('331-CT'!$E$7=TH!H4763,OR(N4277="331",O4277="331")),"x","")</f>
        <v/>
      </c>
      <c r="Q4277" s="75" t="str">
        <f>IF(AND(B4277='111'!$L$11,OR($N4277=$Q$7,$O4277=$Q$7)),"x","")</f>
        <v/>
      </c>
      <c r="R4277" s="75" t="str">
        <f>IF(AND($N4277=$Q$7,$B4277&lt;'111'!$L$11),"x","")</f>
        <v/>
      </c>
      <c r="S4277" s="75" t="str">
        <f>IF(AND($O4277=$Q$7,$B4277&lt;'111'!$L$11),"x","")</f>
        <v/>
      </c>
      <c r="T4277" s="75" t="str">
        <f>IF(ISERROR(FIND('112'!$M$9,G4277,1)),"",IF((AND(FIND('112'!$M$9,G4277,1)&gt;=1,B4277='112'!$K$9,OR($N4277='112'!$I$6,$O4277='112'!$I$6))),"x",""))</f>
        <v/>
      </c>
      <c r="U4277" s="75" t="str">
        <f>IF(ISERROR(FIND('112'!$M$9,G4277,1)),"",IF((AND(LEFT(G4277,2)=LEFT('112'!$M$9,2),B4277&lt;'112'!$K$9,$N4277='112'!$I$6)),"x",""))</f>
        <v/>
      </c>
      <c r="V4277" s="75" t="str">
        <f>IF(ISERROR(FIND('112'!$M$9,G4277,1)),"",IF((AND(RIGHT(G4277,2)=RIGHT('112'!$M$9,2),B4277&lt;'112'!$K$9,$O4277='112'!$I$6)),"x",""))</f>
        <v/>
      </c>
      <c r="W4277" s="75" t="str">
        <f>IF(AND('341-CT'!$H$9=H4277,OR(LEFT(N4277,3)=$W$7,LEFT(O4277,3)=$W$7)),"x","")</f>
        <v/>
      </c>
      <c r="X4277" s="75" t="str">
        <f>IF(OR(TH!N4763=TH!$X$7,O4277=TH!$X$7),"x","")</f>
        <v/>
      </c>
      <c r="Y4277" s="75" t="str">
        <f>IF(AND(OR(N4277="131",O4277="131"),H4277='131-CT'!$H$9),"x","")</f>
        <v/>
      </c>
      <c r="Z4277" s="75"/>
      <c r="AA4277" s="75" t="str">
        <f>IF(AND(MONTH(E4277)='IN-NX'!$J$5,'IN-NX'!$D$7=D4277),"x","")</f>
        <v/>
      </c>
      <c r="AB4277" s="75" t="str">
        <f>IF(AND(OR(LEFT(TH!N4763,2)="15",LEFT(TH!O4763,2)="15"),LEFT(TH!O4763,3)&lt;&gt;"111",'152-CT'!$J$8=TH!F4763),"x","")</f>
        <v/>
      </c>
      <c r="AC4277" s="75" t="str">
        <f>IF(AND(OR(LEFT(TH!N4763,2)="15",LEFT(TH!O4763,2)="15"),TK!$E$7=TH!F4763),"x","")</f>
        <v/>
      </c>
      <c r="AD4277" s="75" t="str">
        <f>IF(AND(N4277="1521",MONTH(C4277)='BK-NL'!$M$11),"x","")</f>
        <v/>
      </c>
    </row>
    <row r="4278" spans="1:31" ht="16.5" customHeight="1">
      <c r="A4278" s="309" t="str">
        <f>IF(B4278&lt;&gt;"",IF(AND(B4278='IN-TC'!$S$4,OR(TH!N4272="1111",TH!O4272="1111")),TH!D4272,""),"")</f>
        <v/>
      </c>
      <c r="B4278" s="1130">
        <f t="shared" si="1318"/>
        <v>6</v>
      </c>
      <c r="C4278" s="292">
        <f t="shared" si="1319"/>
        <v>42894</v>
      </c>
      <c r="D4278" s="59" t="s">
        <v>902</v>
      </c>
      <c r="E4278" s="59">
        <v>42894</v>
      </c>
      <c r="F4278" s="1341" t="s">
        <v>1307</v>
      </c>
      <c r="G4278" s="62" t="s">
        <v>747</v>
      </c>
      <c r="H4278" s="67" t="s">
        <v>835</v>
      </c>
      <c r="I4278" s="1165"/>
      <c r="J4278" s="908"/>
      <c r="K4278" s="375"/>
      <c r="L4278" s="381"/>
      <c r="M4278" s="60">
        <v>6227716</v>
      </c>
      <c r="N4278" s="61" t="s">
        <v>101</v>
      </c>
      <c r="O4278" s="61" t="s">
        <v>26</v>
      </c>
      <c r="P4278" s="75" t="str">
        <f>IF(AND('331-CT'!$E$7=TH!H5236,OR(N4278="331",O4278="331")),"x","")</f>
        <v/>
      </c>
      <c r="Q4278" s="75" t="str">
        <f>IF(AND(B4278='111'!$L$11,OR($N4278=$Q$7,$O4278=$Q$7)),"x","")</f>
        <v/>
      </c>
      <c r="R4278" s="75" t="str">
        <f>IF(AND($N4278=$Q$7,$B4278&lt;'111'!$L$11),"x","")</f>
        <v/>
      </c>
      <c r="S4278" s="75" t="str">
        <f>IF(AND($O4278=$Q$7,$B4278&lt;'111'!$L$11),"x","")</f>
        <v/>
      </c>
      <c r="T4278" s="75" t="str">
        <f>IF(ISERROR(FIND('112'!$M$9,G4278,1)),"",IF((AND(FIND('112'!$M$9,G4278,1)&gt;=1,B4278='112'!$K$9,OR($N4278='112'!$I$6,$O4278='112'!$I$6))),"x",""))</f>
        <v/>
      </c>
      <c r="U4278" s="75" t="str">
        <f>IF(ISERROR(FIND('112'!$M$9,G4278,1)),"",IF((AND(LEFT(G4278,2)=LEFT('112'!$M$9,2),B4278&lt;'112'!$K$9,$N4278='112'!$I$6)),"x",""))</f>
        <v/>
      </c>
      <c r="V4278" s="75" t="str">
        <f>IF(ISERROR(FIND('112'!$M$9,G4278,1)),"",IF((AND(RIGHT(G4278,2)=RIGHT('112'!$M$9,2),B4278&lt;'112'!$K$9,$O4278='112'!$I$6)),"x",""))</f>
        <v/>
      </c>
      <c r="W4278" s="75" t="str">
        <f>IF(AND('341-CT'!$H$9=H4278,OR(LEFT(N4278,3)=$W$7,LEFT(O4278,3)=$W$7)),"x","")</f>
        <v/>
      </c>
      <c r="X4278" s="75" t="str">
        <f>IF(OR(TH!N5236=TH!$X$7,O4278=TH!$X$7),"x","")</f>
        <v/>
      </c>
      <c r="Y4278" s="75" t="str">
        <f>IF(AND(OR(N4278="131",O4278="131"),H4278='131-CT'!$H$9),"x","")</f>
        <v/>
      </c>
      <c r="Z4278" s="75"/>
      <c r="AA4278" s="75" t="str">
        <f>IF(AND(MONTH(E4278)='IN-NX'!$J$5,'IN-NX'!$D$7=D4278),"x","")</f>
        <v/>
      </c>
      <c r="AB4278" s="75" t="str">
        <f>IF(AND(OR(LEFT(TH!N5236,2)="15",LEFT(TH!O5236,2)="15"),LEFT(TH!O5236,3)&lt;&gt;"111",'152-CT'!$J$8=TH!F5236),"x","")</f>
        <v/>
      </c>
      <c r="AC4278" s="75" t="str">
        <f>IF(AND(OR(LEFT(TH!N5236,2)="15",LEFT(TH!O5236,2)="15"),TK!$E$7=TH!F5236),"x","")</f>
        <v/>
      </c>
      <c r="AD4278" s="75" t="str">
        <f>IF(AND(N4278="1521",MONTH(C4278)='BK-NL'!$M$11),"x","")</f>
        <v/>
      </c>
    </row>
    <row r="4279" spans="1:31" ht="16.5" customHeight="1">
      <c r="A4279" s="309" t="str">
        <f>IF(B4279&lt;&gt;"",IF(AND(B4279='IN-TC'!$S$4,OR(TH!N4273="1111",TH!O4273="1111")),TH!D4273,""),"")</f>
        <v/>
      </c>
      <c r="B4279" s="1130">
        <f t="shared" si="1318"/>
        <v>6</v>
      </c>
      <c r="C4279" s="292">
        <f t="shared" si="1319"/>
        <v>42896</v>
      </c>
      <c r="D4279" s="292"/>
      <c r="E4279" s="292">
        <v>42896</v>
      </c>
      <c r="F4279" s="1127" t="s">
        <v>1710</v>
      </c>
      <c r="G4279" s="925" t="s">
        <v>1708</v>
      </c>
      <c r="H4279" s="294" t="s">
        <v>1709</v>
      </c>
      <c r="I4279" s="373"/>
      <c r="J4279" s="926"/>
      <c r="K4279" s="373"/>
      <c r="L4279" s="379"/>
      <c r="M4279" s="927">
        <v>1240000</v>
      </c>
      <c r="N4279" s="295" t="s">
        <v>101</v>
      </c>
      <c r="O4279" s="295" t="s">
        <v>63</v>
      </c>
      <c r="P4279" s="75" t="str">
        <f>IF(AND('331-CT'!$E$7=TH!H3722,OR(N4279="331",O4279="331")),"x","")</f>
        <v/>
      </c>
      <c r="Q4279" s="75" t="str">
        <f>IF(AND(B4279='111'!$L$11,OR($N4279=$Q$7,$O4279=$Q$7)),"x","")</f>
        <v/>
      </c>
      <c r="R4279" s="75" t="str">
        <f>IF(AND($N4279=$Q$7,$B4279&lt;'111'!$L$11),"x","")</f>
        <v/>
      </c>
      <c r="S4279" s="75" t="str">
        <f>IF(AND($O4279=$Q$7,$B4279&lt;'111'!$L$11),"x","")</f>
        <v>x</v>
      </c>
      <c r="T4279" s="75" t="str">
        <f>IF(ISERROR(FIND('112'!$M$9,G4279,1)),"",IF((AND(FIND('112'!$M$9,G4279,1)&gt;=1,B4279='112'!$K$9,OR($N4279='112'!$I$6,$O4279='112'!$I$6))),"x",""))</f>
        <v/>
      </c>
      <c r="U4279" s="75" t="str">
        <f>IF(ISERROR(FIND('112'!$M$9,G4279,1)),"",IF((AND(LEFT(G4279,2)=LEFT('112'!$M$9,2),B4279&lt;'112'!$K$9,$N4279='112'!$I$6)),"x",""))</f>
        <v/>
      </c>
      <c r="V4279" s="75" t="str">
        <f>IF(ISERROR(FIND('112'!$M$9,G4279,1)),"",IF((AND(RIGHT(G4279,2)=RIGHT('112'!$M$9,2),B4279&lt;'112'!$K$9,$O4279='112'!$I$6)),"x",""))</f>
        <v/>
      </c>
      <c r="W4279" s="75" t="str">
        <f>IF(AND('341-CT'!$H$9=H4279,OR(LEFT(N4279,3)=$W$7,LEFT(O4279,3)=$W$7)),"x","")</f>
        <v/>
      </c>
      <c r="X4279" s="75" t="str">
        <f>IF(OR(TH!N3722=TH!$X$7,O4279=TH!$X$7),"x","")</f>
        <v>x</v>
      </c>
      <c r="Y4279" s="75" t="str">
        <f>IF(AND(OR(N4279="131",O4279="131"),H4279='131-CT'!$H$9),"x","")</f>
        <v/>
      </c>
      <c r="Z4279" s="75"/>
      <c r="AA4279" s="75" t="str">
        <f>IF(AND(MONTH(E4279)='IN-NX'!$J$5,'IN-NX'!$D$7=D4279),"x","")</f>
        <v/>
      </c>
      <c r="AB4279" s="75" t="str">
        <f>IF(AND(OR(LEFT(TH!N3722,2)="15",LEFT(TH!O3722,2)="15"),LEFT(TH!O3722,3)&lt;&gt;"111",'152-CT'!$J$8=TH!F3722),"x","")</f>
        <v/>
      </c>
      <c r="AC4279" s="75" t="str">
        <f>IF(AND(OR(LEFT(TH!N3722,2)="15",LEFT(TH!O3722,2)="15"),TK!$E$7=TH!F3722),"x","")</f>
        <v/>
      </c>
      <c r="AD4279" s="75" t="str">
        <f>IF(AND(N4279="1521",MONTH(C4279)='BK-NL'!$M$11),"x","")</f>
        <v/>
      </c>
    </row>
    <row r="4280" spans="1:31" ht="16.5" customHeight="1">
      <c r="A4280" s="309" t="str">
        <f>IF(B4280&lt;&gt;"",IF(AND(B4280='IN-TC'!$S$4,OR(TH!N4274="1111",TH!O4274="1111")),TH!D4274,""),"")</f>
        <v/>
      </c>
      <c r="B4280" s="1130">
        <f t="shared" si="1318"/>
        <v>6</v>
      </c>
      <c r="C4280" s="292">
        <f t="shared" si="1319"/>
        <v>42896</v>
      </c>
      <c r="D4280" s="292"/>
      <c r="E4280" s="292">
        <v>42896</v>
      </c>
      <c r="F4280" s="1127" t="s">
        <v>2242</v>
      </c>
      <c r="G4280" s="925" t="s">
        <v>2248</v>
      </c>
      <c r="H4280" s="294" t="s">
        <v>948</v>
      </c>
      <c r="I4280" s="373"/>
      <c r="J4280" s="926"/>
      <c r="K4280" s="373"/>
      <c r="L4280" s="379"/>
      <c r="M4280" s="927">
        <v>2427273</v>
      </c>
      <c r="N4280" s="295" t="s">
        <v>539</v>
      </c>
      <c r="O4280" s="295" t="s">
        <v>63</v>
      </c>
      <c r="P4280" s="75" t="str">
        <f>IF(AND('331-CT'!$E$7=TH!H3723,OR(N4280="331",O4280="331")),"x","")</f>
        <v/>
      </c>
      <c r="Q4280" s="75" t="str">
        <f>IF(AND(B4280='111'!$L$11,OR($N4280=$Q$7,$O4280=$Q$7)),"x","")</f>
        <v/>
      </c>
      <c r="R4280" s="75" t="str">
        <f>IF(AND($N4280=$Q$7,$B4280&lt;'111'!$L$11),"x","")</f>
        <v/>
      </c>
      <c r="S4280" s="75" t="str">
        <f>IF(AND($O4280=$Q$7,$B4280&lt;'111'!$L$11),"x","")</f>
        <v>x</v>
      </c>
      <c r="T4280" s="75" t="str">
        <f>IF(ISERROR(FIND('112'!$M$9,G4280,1)),"",IF((AND(FIND('112'!$M$9,G4280,1)&gt;=1,B4280='112'!$K$9,OR($N4280='112'!$I$6,$O4280='112'!$I$6))),"x",""))</f>
        <v/>
      </c>
      <c r="U4280" s="75" t="str">
        <f>IF(ISERROR(FIND('112'!$M$9,G4280,1)),"",IF((AND(LEFT(G4280,2)=LEFT('112'!$M$9,2),B4280&lt;'112'!$K$9,$N4280='112'!$I$6)),"x",""))</f>
        <v/>
      </c>
      <c r="V4280" s="75" t="str">
        <f>IF(ISERROR(FIND('112'!$M$9,G4280,1)),"",IF((AND(RIGHT(G4280,2)=RIGHT('112'!$M$9,2),B4280&lt;'112'!$K$9,$O4280='112'!$I$6)),"x",""))</f>
        <v/>
      </c>
      <c r="W4280" s="75" t="str">
        <f>IF(AND('341-CT'!$H$9=H4280,OR(LEFT(N4280,3)=$W$7,LEFT(O4280,3)=$W$7)),"x","")</f>
        <v/>
      </c>
      <c r="X4280" s="75" t="str">
        <f>IF(OR(TH!N3723=TH!$X$7,O4280=TH!$X$7),"x","")</f>
        <v/>
      </c>
      <c r="Y4280" s="75" t="str">
        <f>IF(AND(OR(N4280="131",O4280="131"),H4280='131-CT'!$H$9),"x","")</f>
        <v/>
      </c>
      <c r="Z4280" s="75"/>
      <c r="AA4280" s="75" t="str">
        <f>IF(AND(MONTH(E4280)='IN-NX'!$J$5,'IN-NX'!$D$7=D4280),"x","")</f>
        <v/>
      </c>
      <c r="AB4280" s="75" t="str">
        <f>IF(AND(OR(LEFT(TH!N3723,2)="15",LEFT(TH!O3723,2)="15"),LEFT(TH!O3723,3)&lt;&gt;"111",'152-CT'!$J$8=TH!F3723),"x","")</f>
        <v/>
      </c>
      <c r="AC4280" s="75" t="str">
        <f>IF(AND(OR(LEFT(TH!N3723,2)="15",LEFT(TH!O3723,2)="15"),TK!$E$7=TH!F3723),"x","")</f>
        <v/>
      </c>
      <c r="AD4280" s="75" t="str">
        <f>IF(AND(N4280="1521",MONTH(C4280)='BK-NL'!$M$11),"x","")</f>
        <v/>
      </c>
      <c r="AE4280">
        <v>9</v>
      </c>
    </row>
    <row r="4281" spans="1:31" ht="16.5" customHeight="1">
      <c r="A4281" s="309" t="str">
        <f>IF(B4281&lt;&gt;"",IF(AND(B4281='IN-TC'!$S$4,OR(TH!N4275="1111",TH!O4275="1111")),TH!D4275,""),"")</f>
        <v/>
      </c>
      <c r="B4281" s="1130">
        <f t="shared" si="1318"/>
        <v>6</v>
      </c>
      <c r="C4281" s="292">
        <f t="shared" si="1319"/>
        <v>42896</v>
      </c>
      <c r="D4281" s="292"/>
      <c r="E4281" s="292">
        <v>42896</v>
      </c>
      <c r="F4281" s="67" t="s">
        <v>2243</v>
      </c>
      <c r="G4281" s="925" t="s">
        <v>2248</v>
      </c>
      <c r="H4281" s="294" t="s">
        <v>948</v>
      </c>
      <c r="I4281" s="373"/>
      <c r="J4281" s="926"/>
      <c r="K4281" s="373"/>
      <c r="L4281" s="379"/>
      <c r="M4281" s="927">
        <v>242727</v>
      </c>
      <c r="N4281" s="295" t="s">
        <v>9</v>
      </c>
      <c r="O4281" s="295" t="s">
        <v>63</v>
      </c>
      <c r="P4281" s="75" t="str">
        <f>IF(AND('331-CT'!$E$7=TH!H3724,OR(N4281="331",O4281="331")),"x","")</f>
        <v/>
      </c>
      <c r="Q4281" s="75" t="str">
        <f>IF(AND(B4281='111'!$L$11,OR($N4281=$Q$7,$O4281=$Q$7)),"x","")</f>
        <v/>
      </c>
      <c r="R4281" s="75" t="str">
        <f>IF(AND($N4281=$Q$7,$B4281&lt;'111'!$L$11),"x","")</f>
        <v/>
      </c>
      <c r="S4281" s="75" t="str">
        <f>IF(AND($O4281=$Q$7,$B4281&lt;'111'!$L$11),"x","")</f>
        <v>x</v>
      </c>
      <c r="T4281" s="75" t="str">
        <f>IF(ISERROR(FIND('112'!$M$9,G4281,1)),"",IF((AND(FIND('112'!$M$9,G4281,1)&gt;=1,B4281='112'!$K$9,OR($N4281='112'!$I$6,$O4281='112'!$I$6))),"x",""))</f>
        <v/>
      </c>
      <c r="U4281" s="75" t="str">
        <f>IF(ISERROR(FIND('112'!$M$9,G4281,1)),"",IF((AND(LEFT(G4281,2)=LEFT('112'!$M$9,2),B4281&lt;'112'!$K$9,$N4281='112'!$I$6)),"x",""))</f>
        <v/>
      </c>
      <c r="V4281" s="75" t="str">
        <f>IF(ISERROR(FIND('112'!$M$9,G4281,1)),"",IF((AND(RIGHT(G4281,2)=RIGHT('112'!$M$9,2),B4281&lt;'112'!$K$9,$O4281='112'!$I$6)),"x",""))</f>
        <v/>
      </c>
      <c r="W4281" s="75" t="str">
        <f>IF(AND('341-CT'!$H$9=H4281,OR(LEFT(N4281,3)=$W$7,LEFT(O4281,3)=$W$7)),"x","")</f>
        <v/>
      </c>
      <c r="X4281" s="75" t="str">
        <f>IF(OR(TH!N3724=TH!$X$7,O4281=TH!$X$7),"x","")</f>
        <v/>
      </c>
      <c r="Y4281" s="75" t="str">
        <f>IF(AND(OR(N4281="131",O4281="131"),H4281='131-CT'!$H$9),"x","")</f>
        <v/>
      </c>
      <c r="Z4281" s="75"/>
      <c r="AA4281" s="75" t="str">
        <f>IF(AND(MONTH(E4281)='IN-NX'!$J$5,'IN-NX'!$D$7=D4281),"x","")</f>
        <v/>
      </c>
      <c r="AB4281" s="75" t="str">
        <f>IF(AND(OR(LEFT(TH!N3724,2)="15",LEFT(TH!O3724,2)="15"),LEFT(TH!O3724,3)&lt;&gt;"111",'152-CT'!$J$8=TH!F3724),"x","")</f>
        <v/>
      </c>
      <c r="AC4281" s="75" t="str">
        <f>IF(AND(OR(LEFT(TH!N3724,2)="15",LEFT(TH!O3724,2)="15"),TK!$E$7=TH!F3724),"x","")</f>
        <v/>
      </c>
      <c r="AD4281" s="75" t="str">
        <f>IF(AND(N4281="1521",MONTH(C4281)='BK-NL'!$M$11),"x","")</f>
        <v/>
      </c>
      <c r="AE4281">
        <v>9</v>
      </c>
    </row>
    <row r="4282" spans="1:31" ht="16.5" customHeight="1">
      <c r="A4282" s="309" t="str">
        <f>IF(B4282&lt;&gt;"",IF(AND(B4282='IN-TC'!$S$4,OR(TH!N4276="1111",TH!O4276="1111")),TH!D4276,""),"")</f>
        <v/>
      </c>
      <c r="B4282" s="1130">
        <f t="shared" si="1318"/>
        <v>6</v>
      </c>
      <c r="C4282" s="292">
        <f t="shared" si="1319"/>
        <v>42899</v>
      </c>
      <c r="D4282" s="292" t="s">
        <v>844</v>
      </c>
      <c r="E4282" s="59">
        <v>42899</v>
      </c>
      <c r="F4282" s="907" t="s">
        <v>834</v>
      </c>
      <c r="G4282" s="62" t="s">
        <v>747</v>
      </c>
      <c r="H4282" s="67" t="s">
        <v>1023</v>
      </c>
      <c r="I4282" s="1165"/>
      <c r="J4282" s="908"/>
      <c r="K4282" s="375"/>
      <c r="L4282" s="381"/>
      <c r="M4282" s="60">
        <v>1800000000</v>
      </c>
      <c r="N4282" s="61" t="s">
        <v>63</v>
      </c>
      <c r="O4282" s="61" t="s">
        <v>26</v>
      </c>
      <c r="P4282" s="75" t="str">
        <f>IF(AND('331-CT'!$E$7=TH!H5237,OR(N4282="331",O4282="331")),"x","")</f>
        <v/>
      </c>
      <c r="Q4282" s="75" t="str">
        <f>IF(AND(B4282='111'!$L$11,OR($N4282=$Q$7,$O4282=$Q$7)),"x","")</f>
        <v/>
      </c>
      <c r="R4282" s="75" t="str">
        <f>IF(AND($N4282=$Q$7,$B4282&lt;'111'!$L$11),"x","")</f>
        <v>x</v>
      </c>
      <c r="S4282" s="75" t="str">
        <f>IF(AND($O4282=$Q$7,$B4282&lt;'111'!$L$11),"x","")</f>
        <v/>
      </c>
      <c r="T4282" s="75" t="str">
        <f>IF(ISERROR(FIND('112'!$M$9,G4282,1)),"",IF((AND(FIND('112'!$M$9,G4282,1)&gt;=1,B4282='112'!$K$9,OR($N4282='112'!$I$6,$O4282='112'!$I$6))),"x",""))</f>
        <v/>
      </c>
      <c r="U4282" s="75" t="str">
        <f>IF(ISERROR(FIND('112'!$M$9,G4282,1)),"",IF((AND(LEFT(G4282,2)=LEFT('112'!$M$9,2),B4282&lt;'112'!$K$9,$N4282='112'!$I$6)),"x",""))</f>
        <v/>
      </c>
      <c r="V4282" s="75" t="str">
        <f>IF(ISERROR(FIND('112'!$M$9,G4282,1)),"",IF((AND(RIGHT(G4282,2)=RIGHT('112'!$M$9,2),B4282&lt;'112'!$K$9,$O4282='112'!$I$6)),"x",""))</f>
        <v/>
      </c>
      <c r="W4282" s="75" t="str">
        <f>IF(AND('341-CT'!$H$9=H4282,OR(LEFT(N4282,3)=$W$7,LEFT(O4282,3)=$W$7)),"x","")</f>
        <v/>
      </c>
      <c r="X4282" s="75" t="str">
        <f>IF(OR(TH!N5237=TH!$X$7,O4282=TH!$X$7),"x","")</f>
        <v/>
      </c>
      <c r="Y4282" s="75" t="str">
        <f>IF(AND(OR(N4282="131",O4282="131"),H4282='131-CT'!$H$9),"x","")</f>
        <v/>
      </c>
      <c r="Z4282" s="75"/>
      <c r="AA4282" s="75" t="str">
        <f>IF(AND(MONTH(E4282)='IN-NX'!$J$5,'IN-NX'!$D$7=D4282),"x","")</f>
        <v/>
      </c>
      <c r="AB4282" s="75" t="str">
        <f>IF(AND(OR(LEFT(TH!N5237,2)="15",LEFT(TH!O5237,2)="15"),LEFT(TH!O5237,3)&lt;&gt;"111",'152-CT'!$J$8=TH!F5237),"x","")</f>
        <v/>
      </c>
      <c r="AC4282" s="75" t="str">
        <f>IF(AND(OR(LEFT(TH!N5237,2)="15",LEFT(TH!O5237,2)="15"),TK!$E$7=TH!F5237),"x","")</f>
        <v/>
      </c>
      <c r="AD4282" s="75" t="str">
        <f>IF(AND(N4282="1521",MONTH(C4282)='BK-NL'!$M$11),"x","")</f>
        <v/>
      </c>
    </row>
    <row r="4283" spans="1:31" ht="16.5" customHeight="1">
      <c r="A4283" s="309" t="str">
        <f>IF(B4283&lt;&gt;"",IF(AND(B4283='IN-TC'!$S$4,OR(TH!N4277="1111",TH!O4277="1111")),TH!D4277,""),"")</f>
        <v/>
      </c>
      <c r="B4283" s="1130">
        <f t="shared" si="1318"/>
        <v>6</v>
      </c>
      <c r="C4283" s="292">
        <f t="shared" si="1319"/>
        <v>42899</v>
      </c>
      <c r="D4283" s="59" t="s">
        <v>902</v>
      </c>
      <c r="E4283" s="59">
        <v>42899</v>
      </c>
      <c r="F4283" s="293" t="s">
        <v>2441</v>
      </c>
      <c r="G4283" s="62" t="s">
        <v>747</v>
      </c>
      <c r="H4283" s="67" t="s">
        <v>2455</v>
      </c>
      <c r="I4283" s="1165"/>
      <c r="J4283" s="908"/>
      <c r="K4283" s="375">
        <v>13900</v>
      </c>
      <c r="L4283" s="381">
        <v>22679</v>
      </c>
      <c r="M4283" s="60">
        <f>K4283*L4283</f>
        <v>315238100</v>
      </c>
      <c r="N4283" s="61" t="s">
        <v>26</v>
      </c>
      <c r="O4283" s="61" t="s">
        <v>250</v>
      </c>
      <c r="P4283" s="75" t="str">
        <f>IF(AND('331-CT'!$E$7=TH!H5238,OR(N4283="331",O4283="331")),"x","")</f>
        <v/>
      </c>
      <c r="Q4283" s="75" t="str">
        <f>IF(AND(B4283='111'!$L$11,OR($N4283=$Q$7,$O4283=$Q$7)),"x","")</f>
        <v/>
      </c>
      <c r="R4283" s="75" t="str">
        <f>IF(AND($N4283=$Q$7,$B4283&lt;'111'!$L$11),"x","")</f>
        <v/>
      </c>
      <c r="S4283" s="75" t="str">
        <f>IF(AND($O4283=$Q$7,$B4283&lt;'111'!$L$11),"x","")</f>
        <v/>
      </c>
      <c r="T4283" s="75" t="str">
        <f>IF(ISERROR(FIND('112'!$M$9,G4283,1)),"",IF((AND(FIND('112'!$M$9,G4283,1)&gt;=1,B4283='112'!$K$9,OR($N4283='112'!$I$6,$O4283='112'!$I$6))),"x",""))</f>
        <v/>
      </c>
      <c r="U4283" s="75" t="str">
        <f>IF(ISERROR(FIND('112'!$M$9,G4283,1)),"",IF((AND(LEFT(G4283,2)=LEFT('112'!$M$9,2),B4283&lt;'112'!$K$9,$N4283='112'!$I$6)),"x",""))</f>
        <v/>
      </c>
      <c r="V4283" s="75" t="str">
        <f>IF(ISERROR(FIND('112'!$M$9,G4283,1)),"",IF((AND(RIGHT(G4283,2)=RIGHT('112'!$M$9,2),B4283&lt;'112'!$K$9,$O4283='112'!$I$6)),"x",""))</f>
        <v/>
      </c>
      <c r="W4283" s="75" t="str">
        <f>IF(AND('341-CT'!$H$9=H4283,OR(LEFT(N4283,3)=$W$7,LEFT(O4283,3)=$W$7)),"x","")</f>
        <v/>
      </c>
      <c r="X4283" s="75" t="str">
        <f>IF(OR(TH!N5238=TH!$X$7,O4283=TH!$X$7),"x","")</f>
        <v/>
      </c>
      <c r="Y4283" s="75" t="str">
        <f>IF(AND(OR(N4283="131",O4283="131"),H4283='131-CT'!$H$9),"x","")</f>
        <v/>
      </c>
      <c r="Z4283" s="75"/>
      <c r="AA4283" s="75" t="str">
        <f>IF(AND(MONTH(E4283)='IN-NX'!$J$5,'IN-NX'!$D$7=D4283),"x","")</f>
        <v/>
      </c>
      <c r="AB4283" s="75" t="str">
        <f>IF(AND(OR(LEFT(TH!N5238,2)="15",LEFT(TH!O5238,2)="15"),LEFT(TH!O5238,3)&lt;&gt;"111",'152-CT'!$J$8=TH!F5238),"x","")</f>
        <v/>
      </c>
      <c r="AC4283" s="75" t="str">
        <f>IF(AND(OR(LEFT(TH!N5238,2)="15",LEFT(TH!O5238,2)="15"),TK!$E$7=TH!F5238),"x","")</f>
        <v/>
      </c>
      <c r="AD4283" s="75" t="str">
        <f>IF(AND(N4283="1521",MONTH(C4283)='BK-NL'!$M$11),"x","")</f>
        <v/>
      </c>
    </row>
    <row r="4284" spans="1:31" ht="16.5" customHeight="1">
      <c r="A4284" s="309" t="str">
        <f>IF(B4284&lt;&gt;"",IF(AND(B4284='IN-TC'!$S$4,OR(TH!N4278="1111",TH!O4278="1111")),TH!D4278,""),"")</f>
        <v/>
      </c>
      <c r="B4284" s="1130">
        <f t="shared" si="1318"/>
        <v>6</v>
      </c>
      <c r="C4284" s="292">
        <f t="shared" si="1319"/>
        <v>42899</v>
      </c>
      <c r="D4284" s="59" t="s">
        <v>902</v>
      </c>
      <c r="E4284" s="59">
        <v>42899</v>
      </c>
      <c r="F4284" s="293" t="s">
        <v>252</v>
      </c>
      <c r="G4284" s="62" t="s">
        <v>747</v>
      </c>
      <c r="H4284" s="67" t="s">
        <v>2442</v>
      </c>
      <c r="I4284" s="1165"/>
      <c r="J4284" s="908"/>
      <c r="K4284" s="375">
        <v>67000</v>
      </c>
      <c r="L4284" s="381">
        <v>22679</v>
      </c>
      <c r="M4284" s="60">
        <f>K4284*L4284</f>
        <v>1519493000</v>
      </c>
      <c r="N4284" s="61" t="s">
        <v>26</v>
      </c>
      <c r="O4284" s="61" t="s">
        <v>250</v>
      </c>
      <c r="P4284" s="75" t="str">
        <f>IF(AND('331-CT'!$E$7=TH!H5234,OR(N4284="331",O4284="331")),"x","")</f>
        <v/>
      </c>
      <c r="Q4284" s="75" t="str">
        <f>IF(AND(B4284='111'!$L$11,OR($N4284=$Q$7,$O4284=$Q$7)),"x","")</f>
        <v/>
      </c>
      <c r="R4284" s="75" t="str">
        <f>IF(AND($N4284=$Q$7,$B4284&lt;'111'!$L$11),"x","")</f>
        <v/>
      </c>
      <c r="S4284" s="75" t="str">
        <f>IF(AND($O4284=$Q$7,$B4284&lt;'111'!$L$11),"x","")</f>
        <v/>
      </c>
      <c r="T4284" s="75" t="str">
        <f>IF(ISERROR(FIND('112'!$M$9,G4284,1)),"",IF((AND(FIND('112'!$M$9,G4284,1)&gt;=1,B4284='112'!$K$9,OR($N4284='112'!$I$6,$O4284='112'!$I$6))),"x",""))</f>
        <v/>
      </c>
      <c r="U4284" s="75" t="str">
        <f>IF(ISERROR(FIND('112'!$M$9,G4284,1)),"",IF((AND(LEFT(G4284,2)=LEFT('112'!$M$9,2),B4284&lt;'112'!$K$9,$N4284='112'!$I$6)),"x",""))</f>
        <v/>
      </c>
      <c r="V4284" s="75" t="str">
        <f>IF(ISERROR(FIND('112'!$M$9,G4284,1)),"",IF((AND(RIGHT(G4284,2)=RIGHT('112'!$M$9,2),B4284&lt;'112'!$K$9,$O4284='112'!$I$6)),"x",""))</f>
        <v/>
      </c>
      <c r="W4284" s="75" t="str">
        <f>IF(AND('341-CT'!$H$9=H4284,OR(LEFT(N4284,3)=$W$7,LEFT(O4284,3)=$W$7)),"x","")</f>
        <v/>
      </c>
      <c r="X4284" s="75" t="str">
        <f>IF(OR(TH!N5234=TH!$X$7,O4284=TH!$X$7),"x","")</f>
        <v/>
      </c>
      <c r="Y4284" s="75" t="str">
        <f>IF(AND(OR(N4284="131",O4284="131"),H4284='131-CT'!$H$9),"x","")</f>
        <v/>
      </c>
      <c r="Z4284" s="75"/>
      <c r="AA4284" s="75" t="str">
        <f>IF(AND(MONTH(E4284)='IN-NX'!$J$5,'IN-NX'!$D$7=D4284),"x","")</f>
        <v/>
      </c>
      <c r="AB4284" s="75" t="str">
        <f>IF(AND(OR(LEFT(TH!N5234,2)="15",LEFT(TH!O5234,2)="15"),LEFT(TH!O5234,3)&lt;&gt;"111",'152-CT'!$J$8=TH!F5234),"x","")</f>
        <v/>
      </c>
      <c r="AC4284" s="75" t="str">
        <f>IF(AND(OR(LEFT(TH!N5234,2)="15",LEFT(TH!O5234,2)="15"),TK!$E$7=TH!F5234),"x","")</f>
        <v/>
      </c>
      <c r="AD4284" s="75" t="str">
        <f>IF(AND(N4284="1521",MONTH(C4284)='BK-NL'!$M$11),"x","")</f>
        <v/>
      </c>
    </row>
    <row r="4285" spans="1:31" ht="16.5" customHeight="1">
      <c r="A4285" s="309" t="str">
        <f>IF(B4285&lt;&gt;"",IF(AND(B4285='IN-TC'!$S$4,OR(TH!N4279="1111",TH!O4279="1111")),TH!D4279,""),"")</f>
        <v/>
      </c>
      <c r="B4285" s="1130">
        <f t="shared" si="1318"/>
        <v>6</v>
      </c>
      <c r="C4285" s="292">
        <f t="shared" si="1319"/>
        <v>42900</v>
      </c>
      <c r="D4285" s="59" t="s">
        <v>902</v>
      </c>
      <c r="E4285" s="59">
        <v>42900</v>
      </c>
      <c r="F4285" s="907" t="s">
        <v>1549</v>
      </c>
      <c r="G4285" s="62" t="s">
        <v>747</v>
      </c>
      <c r="H4285" s="67" t="s">
        <v>835</v>
      </c>
      <c r="I4285" s="1165"/>
      <c r="J4285" s="908"/>
      <c r="K4285" s="375"/>
      <c r="L4285" s="381"/>
      <c r="M4285" s="60">
        <v>227300</v>
      </c>
      <c r="N4285" s="61" t="s">
        <v>101</v>
      </c>
      <c r="O4285" s="61" t="s">
        <v>26</v>
      </c>
      <c r="P4285" s="75" t="str">
        <f>IF(AND('331-CT'!$E$7=TH!H5226,OR(N4285="331",O4285="331")),"x","")</f>
        <v/>
      </c>
      <c r="Q4285" s="75" t="str">
        <f>IF(AND(B4285='111'!$L$11,OR($N4285=$Q$7,$O4285=$Q$7)),"x","")</f>
        <v/>
      </c>
      <c r="R4285" s="75" t="str">
        <f>IF(AND($N4285=$Q$7,$B4285&lt;'111'!$L$11),"x","")</f>
        <v/>
      </c>
      <c r="S4285" s="75" t="str">
        <f>IF(AND($O4285=$Q$7,$B4285&lt;'111'!$L$11),"x","")</f>
        <v/>
      </c>
      <c r="T4285" s="75" t="str">
        <f>IF(ISERROR(FIND('112'!$M$9,G4285,1)),"",IF((AND(FIND('112'!$M$9,G4285,1)&gt;=1,B4285='112'!$K$9,OR($N4285='112'!$I$6,$O4285='112'!$I$6))),"x",""))</f>
        <v/>
      </c>
      <c r="U4285" s="75" t="str">
        <f>IF(ISERROR(FIND('112'!$M$9,G4285,1)),"",IF((AND(LEFT(G4285,2)=LEFT('112'!$M$9,2),B4285&lt;'112'!$K$9,$N4285='112'!$I$6)),"x",""))</f>
        <v/>
      </c>
      <c r="V4285" s="75" t="str">
        <f>IF(ISERROR(FIND('112'!$M$9,G4285,1)),"",IF((AND(RIGHT(G4285,2)=RIGHT('112'!$M$9,2),B4285&lt;'112'!$K$9,$O4285='112'!$I$6)),"x",""))</f>
        <v/>
      </c>
      <c r="W4285" s="75" t="str">
        <f>IF(AND('341-CT'!$H$9=H4285,OR(LEFT(N4285,3)=$W$7,LEFT(O4285,3)=$W$7)),"x","")</f>
        <v/>
      </c>
      <c r="X4285" s="75" t="str">
        <f>IF(OR(TH!N5226=TH!$X$7,O4285=TH!$X$7),"x","")</f>
        <v/>
      </c>
      <c r="Y4285" s="75" t="str">
        <f>IF(AND(OR(N4285="131",O4285="131"),H4285='131-CT'!$H$9),"x","")</f>
        <v/>
      </c>
      <c r="Z4285" s="75"/>
      <c r="AA4285" s="75" t="str">
        <f>IF(AND(MONTH(E4285)='IN-NX'!$J$5,'IN-NX'!$D$7=D4285),"x","")</f>
        <v/>
      </c>
      <c r="AB4285" s="75" t="str">
        <f>IF(AND(OR(LEFT(TH!N5226,2)="15",LEFT(TH!O5226,2)="15"),LEFT(TH!O5226,3)&lt;&gt;"111",'152-CT'!$J$8=TH!F5226),"x","")</f>
        <v/>
      </c>
      <c r="AC4285" s="75" t="str">
        <f>IF(AND(OR(LEFT(TH!N5226,2)="15",LEFT(TH!O5226,2)="15"),TK!$E$7=TH!F5226),"x","")</f>
        <v/>
      </c>
      <c r="AD4285" s="75" t="str">
        <f>IF(AND(N4285="1521",MONTH(C4285)='BK-NL'!$M$11),"x","")</f>
        <v/>
      </c>
    </row>
    <row r="4286" spans="1:31" ht="16.5" customHeight="1">
      <c r="A4286" s="309" t="str">
        <f>IF(B4286&lt;&gt;"",IF(AND(B4286='IN-TC'!$S$4,OR(TH!N4280="1111",TH!O4280="1111")),TH!D4280,""),"")</f>
        <v/>
      </c>
      <c r="B4286" s="1130">
        <f t="shared" si="1318"/>
        <v>6</v>
      </c>
      <c r="C4286" s="292">
        <f t="shared" si="1319"/>
        <v>42900</v>
      </c>
      <c r="D4286" s="59" t="s">
        <v>902</v>
      </c>
      <c r="E4286" s="59">
        <v>42900</v>
      </c>
      <c r="F4286" s="67" t="s">
        <v>1610</v>
      </c>
      <c r="G4286" s="62" t="s">
        <v>747</v>
      </c>
      <c r="H4286" s="67" t="s">
        <v>563</v>
      </c>
      <c r="I4286" s="375"/>
      <c r="J4286" s="381"/>
      <c r="K4286" s="375"/>
      <c r="L4286" s="381"/>
      <c r="M4286" s="60">
        <v>33269610</v>
      </c>
      <c r="N4286" s="61" t="s">
        <v>8</v>
      </c>
      <c r="O4286" s="61" t="s">
        <v>26</v>
      </c>
      <c r="P4286" s="75" t="str">
        <f>IF(AND('331-CT'!$E$7=TH!H5227,OR(N4286="331",O4286="331")),"x","")</f>
        <v/>
      </c>
      <c r="Q4286" s="75" t="str">
        <f>IF(AND(B4286='111'!$L$11,OR($N4286=$Q$7,$O4286=$Q$7)),"x","")</f>
        <v/>
      </c>
      <c r="R4286" s="75" t="str">
        <f>IF(AND($N4286=$Q$7,$B4286&lt;'111'!$L$11),"x","")</f>
        <v/>
      </c>
      <c r="S4286" s="75" t="str">
        <f>IF(AND($O4286=$Q$7,$B4286&lt;'111'!$L$11),"x","")</f>
        <v/>
      </c>
      <c r="T4286" s="75" t="str">
        <f>IF(ISERROR(FIND('112'!$M$9,G4286,1)),"",IF((AND(FIND('112'!$M$9,G4286,1)&gt;=1,B4286='112'!$K$9,OR($N4286='112'!$I$6,$O4286='112'!$I$6))),"x",""))</f>
        <v/>
      </c>
      <c r="U4286" s="75" t="str">
        <f>IF(ISERROR(FIND('112'!$M$9,G4286,1)),"",IF((AND(LEFT(G4286,2)=LEFT('112'!$M$9,2),B4286&lt;'112'!$K$9,$N4286='112'!$I$6)),"x",""))</f>
        <v/>
      </c>
      <c r="V4286" s="75" t="str">
        <f>IF(ISERROR(FIND('112'!$M$9,G4286,1)),"",IF((AND(RIGHT(G4286,2)=RIGHT('112'!$M$9,2),B4286&lt;'112'!$K$9,$O4286='112'!$I$6)),"x",""))</f>
        <v/>
      </c>
      <c r="W4286" s="75" t="str">
        <f>IF(AND('341-CT'!$H$9=H4286,OR(LEFT(N4286,3)=$W$7,LEFT(O4286,3)=$W$7)),"x","")</f>
        <v/>
      </c>
      <c r="X4286" s="75" t="str">
        <f>IF(OR(TH!N5227=TH!$X$7,O4286=TH!$X$7),"x","")</f>
        <v/>
      </c>
      <c r="Y4286" s="75" t="str">
        <f>IF(AND(OR(N4286="131",O4286="131"),H4286='131-CT'!$H$9),"x","")</f>
        <v/>
      </c>
      <c r="Z4286" s="75"/>
      <c r="AA4286" s="75" t="str">
        <f>IF(AND(MONTH(E4286)='IN-NX'!$J$5,'IN-NX'!$D$7=D4286),"x","")</f>
        <v/>
      </c>
      <c r="AB4286" s="75" t="str">
        <f>IF(AND(OR(LEFT(TH!N5227,2)="15",LEFT(TH!O5227,2)="15"),LEFT(TH!O5227,3)&lt;&gt;"111",'152-CT'!$J$8=TH!F5227),"x","")</f>
        <v/>
      </c>
      <c r="AC4286" s="75" t="str">
        <f>IF(AND(OR(LEFT(TH!N5227,2)="15",LEFT(TH!O5227,2)="15"),TK!$E$7=TH!F5227),"x","")</f>
        <v/>
      </c>
      <c r="AD4286" s="75" t="str">
        <f>IF(AND(N4286="1521",MONTH(C4286)='BK-NL'!$M$11),"x","")</f>
        <v/>
      </c>
    </row>
    <row r="4287" spans="1:31" ht="16.5" customHeight="1">
      <c r="A4287" s="309" t="str">
        <f>IF(B4287&lt;&gt;"",IF(AND(B4287='IN-TC'!$S$4,OR(TH!N4281="1111",TH!O4281="1111")),TH!D4281,""),"")</f>
        <v/>
      </c>
      <c r="B4287" s="1130">
        <f t="shared" si="1318"/>
        <v>6</v>
      </c>
      <c r="C4287" s="292">
        <f t="shared" si="1319"/>
        <v>42900</v>
      </c>
      <c r="D4287" s="59" t="s">
        <v>902</v>
      </c>
      <c r="E4287" s="59">
        <v>42900</v>
      </c>
      <c r="F4287" s="67" t="s">
        <v>870</v>
      </c>
      <c r="G4287" s="62" t="s">
        <v>747</v>
      </c>
      <c r="H4287" s="67" t="s">
        <v>835</v>
      </c>
      <c r="I4287" s="375"/>
      <c r="J4287" s="381"/>
      <c r="K4287" s="375"/>
      <c r="L4287" s="381"/>
      <c r="M4287" s="60">
        <v>10000</v>
      </c>
      <c r="N4287" s="61" t="s">
        <v>101</v>
      </c>
      <c r="O4287" s="61" t="s">
        <v>26</v>
      </c>
      <c r="P4287" s="75" t="str">
        <f>IF(AND('331-CT'!$E$7=TH!H5228,OR(N4287="331",O4287="331")),"x","")</f>
        <v/>
      </c>
      <c r="Q4287" s="75" t="str">
        <f>IF(AND(B4287='111'!$L$11,OR($N4287=$Q$7,$O4287=$Q$7)),"x","")</f>
        <v/>
      </c>
      <c r="R4287" s="75" t="str">
        <f>IF(AND($N4287=$Q$7,$B4287&lt;'111'!$L$11),"x","")</f>
        <v/>
      </c>
      <c r="S4287" s="75" t="str">
        <f>IF(AND($O4287=$Q$7,$B4287&lt;'111'!$L$11),"x","")</f>
        <v/>
      </c>
      <c r="T4287" s="75" t="str">
        <f>IF(ISERROR(FIND('112'!$M$9,G4287,1)),"",IF((AND(FIND('112'!$M$9,G4287,1)&gt;=1,B4287='112'!$K$9,OR($N4287='112'!$I$6,$O4287='112'!$I$6))),"x",""))</f>
        <v/>
      </c>
      <c r="U4287" s="75" t="str">
        <f>IF(ISERROR(FIND('112'!$M$9,G4287,1)),"",IF((AND(LEFT(G4287,2)=LEFT('112'!$M$9,2),B4287&lt;'112'!$K$9,$N4287='112'!$I$6)),"x",""))</f>
        <v/>
      </c>
      <c r="V4287" s="75" t="str">
        <f>IF(ISERROR(FIND('112'!$M$9,G4287,1)),"",IF((AND(RIGHT(G4287,2)=RIGHT('112'!$M$9,2),B4287&lt;'112'!$K$9,$O4287='112'!$I$6)),"x",""))</f>
        <v/>
      </c>
      <c r="W4287" s="75" t="str">
        <f>IF(AND('341-CT'!$H$9=H4287,OR(LEFT(N4287,3)=$W$7,LEFT(O4287,3)=$W$7)),"x","")</f>
        <v/>
      </c>
      <c r="X4287" s="75" t="str">
        <f>IF(OR(TH!N5228=TH!$X$7,O4287=TH!$X$7),"x","")</f>
        <v/>
      </c>
      <c r="Y4287" s="75" t="str">
        <f>IF(AND(OR(N4287="131",O4287="131"),H4287='131-CT'!$H$9),"x","")</f>
        <v/>
      </c>
      <c r="Z4287" s="75"/>
      <c r="AA4287" s="75" t="str">
        <f>IF(AND(MONTH(E4287)='IN-NX'!$J$5,'IN-NX'!$D$7=D4287),"x","")</f>
        <v/>
      </c>
      <c r="AB4287" s="75" t="str">
        <f>IF(AND(OR(LEFT(TH!N5228,2)="15",LEFT(TH!O5228,2)="15"),LEFT(TH!O5228,3)&lt;&gt;"111",'152-CT'!$J$8=TH!F5228),"x","")</f>
        <v/>
      </c>
      <c r="AC4287" s="75" t="str">
        <f>IF(AND(OR(LEFT(TH!N5228,2)="15",LEFT(TH!O5228,2)="15"),TK!$E$7=TH!F5228),"x","")</f>
        <v/>
      </c>
      <c r="AD4287" s="75" t="str">
        <f>IF(AND(N4287="1521",MONTH(C4287)='BK-NL'!$M$11),"x","")</f>
        <v/>
      </c>
    </row>
    <row r="4288" spans="1:31" ht="16.5" customHeight="1">
      <c r="A4288" s="309" t="str">
        <f>IF(B4288&lt;&gt;"",IF(AND(B4288='IN-TC'!$S$4,OR(TH!N4282="1111",TH!O4282="1111")),TH!D4282,""),"")</f>
        <v/>
      </c>
      <c r="B4288" s="1130">
        <f t="shared" si="1318"/>
        <v>6</v>
      </c>
      <c r="C4288" s="292">
        <f t="shared" si="1319"/>
        <v>42900</v>
      </c>
      <c r="D4288" s="59" t="s">
        <v>902</v>
      </c>
      <c r="E4288" s="59">
        <v>42900</v>
      </c>
      <c r="F4288" s="67" t="s">
        <v>898</v>
      </c>
      <c r="G4288" s="62" t="s">
        <v>747</v>
      </c>
      <c r="H4288" s="67" t="s">
        <v>835</v>
      </c>
      <c r="I4288" s="375"/>
      <c r="J4288" s="381"/>
      <c r="K4288" s="375"/>
      <c r="L4288" s="381"/>
      <c r="M4288" s="60">
        <v>1000</v>
      </c>
      <c r="N4288" s="61" t="s">
        <v>9</v>
      </c>
      <c r="O4288" s="61" t="s">
        <v>26</v>
      </c>
      <c r="P4288" s="75" t="str">
        <f>IF(AND('331-CT'!$E$7=TH!H5229,OR(N4288="331",O4288="331")),"x","")</f>
        <v/>
      </c>
      <c r="Q4288" s="75" t="str">
        <f>IF(AND(B4288='111'!$L$11,OR($N4288=$Q$7,$O4288=$Q$7)),"x","")</f>
        <v/>
      </c>
      <c r="R4288" s="75" t="str">
        <f>IF(AND($N4288=$Q$7,$B4288&lt;'111'!$L$11),"x","")</f>
        <v/>
      </c>
      <c r="S4288" s="75" t="str">
        <f>IF(AND($O4288=$Q$7,$B4288&lt;'111'!$L$11),"x","")</f>
        <v/>
      </c>
      <c r="T4288" s="75" t="str">
        <f>IF(ISERROR(FIND('112'!$M$9,G4288,1)),"",IF((AND(FIND('112'!$M$9,G4288,1)&gt;=1,B4288='112'!$K$9,OR($N4288='112'!$I$6,$O4288='112'!$I$6))),"x",""))</f>
        <v/>
      </c>
      <c r="U4288" s="75" t="str">
        <f>IF(ISERROR(FIND('112'!$M$9,G4288,1)),"",IF((AND(LEFT(G4288,2)=LEFT('112'!$M$9,2),B4288&lt;'112'!$K$9,$N4288='112'!$I$6)),"x",""))</f>
        <v/>
      </c>
      <c r="V4288" s="75" t="str">
        <f>IF(ISERROR(FIND('112'!$M$9,G4288,1)),"",IF((AND(RIGHT(G4288,2)=RIGHT('112'!$M$9,2),B4288&lt;'112'!$K$9,$O4288='112'!$I$6)),"x",""))</f>
        <v/>
      </c>
      <c r="W4288" s="75" t="str">
        <f>IF(AND('341-CT'!$H$9=H4288,OR(LEFT(N4288,3)=$W$7,LEFT(O4288,3)=$W$7)),"x","")</f>
        <v/>
      </c>
      <c r="X4288" s="75" t="str">
        <f>IF(OR(TH!N5229=TH!$X$7,O4288=TH!$X$7),"x","")</f>
        <v/>
      </c>
      <c r="Y4288" s="75" t="str">
        <f>IF(AND(OR(N4288="131",O4288="131"),H4288='131-CT'!$H$9),"x","")</f>
        <v/>
      </c>
      <c r="Z4288" s="75"/>
      <c r="AA4288" s="75" t="str">
        <f>IF(AND(MONTH(E4288)='IN-NX'!$J$5,'IN-NX'!$D$7=D4288),"x","")</f>
        <v/>
      </c>
      <c r="AB4288" s="75" t="str">
        <f>IF(AND(OR(LEFT(TH!N5229,2)="15",LEFT(TH!O5229,2)="15"),LEFT(TH!O5229,3)&lt;&gt;"111",'152-CT'!$J$8=TH!F5229),"x","")</f>
        <v/>
      </c>
      <c r="AC4288" s="75" t="str">
        <f>IF(AND(OR(LEFT(TH!N5229,2)="15",LEFT(TH!O5229,2)="15"),TK!$E$7=TH!F5229),"x","")</f>
        <v/>
      </c>
      <c r="AD4288" s="75" t="str">
        <f>IF(AND(N4288="1521",MONTH(C4288)='BK-NL'!$M$11),"x","")</f>
        <v/>
      </c>
    </row>
    <row r="4289" spans="1:31" ht="16.5" customHeight="1">
      <c r="A4289" s="309" t="str">
        <f>IF(B4289&lt;&gt;"",IF(AND(B4289='IN-TC'!$S$4,OR(TH!N4283="1111",TH!O4283="1111")),TH!D4283,""),"")</f>
        <v/>
      </c>
      <c r="B4289" s="1130">
        <f t="shared" si="1318"/>
        <v>6</v>
      </c>
      <c r="C4289" s="292">
        <f t="shared" si="1319"/>
        <v>42901</v>
      </c>
      <c r="D4289" s="292"/>
      <c r="E4289" s="292">
        <v>42901</v>
      </c>
      <c r="F4289" s="67" t="s">
        <v>1499</v>
      </c>
      <c r="G4289" s="925" t="s">
        <v>1711</v>
      </c>
      <c r="H4289" s="294" t="s">
        <v>893</v>
      </c>
      <c r="I4289" s="373"/>
      <c r="J4289" s="926"/>
      <c r="K4289" s="373"/>
      <c r="L4289" s="379"/>
      <c r="M4289" s="927">
        <v>3696745</v>
      </c>
      <c r="N4289" s="295" t="s">
        <v>101</v>
      </c>
      <c r="O4289" s="295" t="s">
        <v>63</v>
      </c>
      <c r="P4289" s="75" t="str">
        <f>IF(AND('331-CT'!$E$7=TH!H3725,OR(N4289="331",O4289="331")),"x","")</f>
        <v/>
      </c>
      <c r="Q4289" s="75" t="str">
        <f>IF(AND(B4289='111'!$L$11,OR($N4289=$Q$7,$O4289=$Q$7)),"x","")</f>
        <v/>
      </c>
      <c r="R4289" s="75" t="str">
        <f>IF(AND($N4289=$Q$7,$B4289&lt;'111'!$L$11),"x","")</f>
        <v/>
      </c>
      <c r="S4289" s="75" t="str">
        <f>IF(AND($O4289=$Q$7,$B4289&lt;'111'!$L$11),"x","")</f>
        <v>x</v>
      </c>
      <c r="T4289" s="75" t="str">
        <f>IF(ISERROR(FIND('112'!$M$9,G4289,1)),"",IF((AND(FIND('112'!$M$9,G4289,1)&gt;=1,B4289='112'!$K$9,OR($N4289='112'!$I$6,$O4289='112'!$I$6))),"x",""))</f>
        <v/>
      </c>
      <c r="U4289" s="75" t="str">
        <f>IF(ISERROR(FIND('112'!$M$9,G4289,1)),"",IF((AND(LEFT(G4289,2)=LEFT('112'!$M$9,2),B4289&lt;'112'!$K$9,$N4289='112'!$I$6)),"x",""))</f>
        <v/>
      </c>
      <c r="V4289" s="75" t="str">
        <f>IF(ISERROR(FIND('112'!$M$9,G4289,1)),"",IF((AND(RIGHT(G4289,2)=RIGHT('112'!$M$9,2),B4289&lt;'112'!$K$9,$O4289='112'!$I$6)),"x",""))</f>
        <v/>
      </c>
      <c r="W4289" s="75" t="str">
        <f>IF(AND('341-CT'!$H$9=H4289,OR(LEFT(N4289,3)=$W$7,LEFT(O4289,3)=$W$7)),"x","")</f>
        <v/>
      </c>
      <c r="X4289" s="75" t="str">
        <f>IF(OR(TH!N3725=TH!$X$7,O4289=TH!$X$7),"x","")</f>
        <v/>
      </c>
      <c r="Y4289" s="75" t="str">
        <f>IF(AND(OR(N4289="131",O4289="131"),H4289='131-CT'!$H$9),"x","")</f>
        <v/>
      </c>
      <c r="Z4289" s="75"/>
      <c r="AA4289" s="75" t="str">
        <f>IF(AND(MONTH(E4289)='IN-NX'!$J$5,'IN-NX'!$D$7=D4289),"x","")</f>
        <v/>
      </c>
      <c r="AB4289" s="75" t="str">
        <f>IF(AND(OR(LEFT(TH!N3725,2)="15",LEFT(TH!O3725,2)="15"),LEFT(TH!O3725,3)&lt;&gt;"111",'152-CT'!$J$8=TH!F3725),"x","")</f>
        <v/>
      </c>
      <c r="AC4289" s="75" t="str">
        <f>IF(AND(OR(LEFT(TH!N3725,2)="15",LEFT(TH!O3725,2)="15"),TK!$E$7=TH!F3725),"x","")</f>
        <v/>
      </c>
      <c r="AD4289" s="75" t="str">
        <f>IF(AND(N4289="1521",MONTH(C4289)='BK-NL'!$M$11),"x","")</f>
        <v/>
      </c>
    </row>
    <row r="4290" spans="1:31" ht="16.5" customHeight="1">
      <c r="A4290" s="309" t="str">
        <f>IF(B4290&lt;&gt;"",IF(AND(B4290='IN-TC'!$S$4,OR(TH!N4284="1111",TH!O4284="1111")),TH!D4284,""),"")</f>
        <v/>
      </c>
      <c r="B4290" s="1130">
        <f t="shared" si="1318"/>
        <v>6</v>
      </c>
      <c r="C4290" s="292">
        <f t="shared" si="1319"/>
        <v>42901</v>
      </c>
      <c r="D4290" s="292"/>
      <c r="E4290" s="292">
        <v>42901</v>
      </c>
      <c r="F4290" s="67" t="s">
        <v>1500</v>
      </c>
      <c r="G4290" s="925" t="s">
        <v>1711</v>
      </c>
      <c r="H4290" s="294" t="s">
        <v>893</v>
      </c>
      <c r="I4290" s="373"/>
      <c r="J4290" s="926"/>
      <c r="K4290" s="373"/>
      <c r="L4290" s="379"/>
      <c r="M4290" s="927">
        <v>369675</v>
      </c>
      <c r="N4290" s="295" t="s">
        <v>9</v>
      </c>
      <c r="O4290" s="295" t="s">
        <v>63</v>
      </c>
      <c r="P4290" s="75" t="str">
        <f>IF(AND('331-CT'!$E$7=TH!H3726,OR(N4290="331",O4290="331")),"x","")</f>
        <v/>
      </c>
      <c r="Q4290" s="75" t="str">
        <f>IF(AND(B4290='111'!$L$11,OR($N4290=$Q$7,$O4290=$Q$7)),"x","")</f>
        <v/>
      </c>
      <c r="R4290" s="75" t="str">
        <f>IF(AND($N4290=$Q$7,$B4290&lt;'111'!$L$11),"x","")</f>
        <v/>
      </c>
      <c r="S4290" s="75" t="str">
        <f>IF(AND($O4290=$Q$7,$B4290&lt;'111'!$L$11),"x","")</f>
        <v>x</v>
      </c>
      <c r="T4290" s="75" t="str">
        <f>IF(ISERROR(FIND('112'!$M$9,G4290,1)),"",IF((AND(FIND('112'!$M$9,G4290,1)&gt;=1,B4290='112'!$K$9,OR($N4290='112'!$I$6,$O4290='112'!$I$6))),"x",""))</f>
        <v/>
      </c>
      <c r="U4290" s="75" t="str">
        <f>IF(ISERROR(FIND('112'!$M$9,G4290,1)),"",IF((AND(LEFT(G4290,2)=LEFT('112'!$M$9,2),B4290&lt;'112'!$K$9,$N4290='112'!$I$6)),"x",""))</f>
        <v/>
      </c>
      <c r="V4290" s="75" t="str">
        <f>IF(ISERROR(FIND('112'!$M$9,G4290,1)),"",IF((AND(RIGHT(G4290,2)=RIGHT('112'!$M$9,2),B4290&lt;'112'!$K$9,$O4290='112'!$I$6)),"x",""))</f>
        <v/>
      </c>
      <c r="W4290" s="75" t="str">
        <f>IF(AND('341-CT'!$H$9=H4290,OR(LEFT(N4290,3)=$W$7,LEFT(O4290,3)=$W$7)),"x","")</f>
        <v/>
      </c>
      <c r="X4290" s="75" t="str">
        <f>IF(OR(TH!N3726=TH!$X$7,O4290=TH!$X$7),"x","")</f>
        <v/>
      </c>
      <c r="Y4290" s="75" t="str">
        <f>IF(AND(OR(N4290="131",O4290="131"),H4290='131-CT'!$H$9),"x","")</f>
        <v/>
      </c>
      <c r="Z4290" s="75"/>
      <c r="AA4290" s="75" t="str">
        <f>IF(AND(MONTH(E4290)='IN-NX'!$J$5,'IN-NX'!$D$7=D4290),"x","")</f>
        <v/>
      </c>
      <c r="AB4290" s="75" t="str">
        <f>IF(AND(OR(LEFT(TH!N3726,2)="15",LEFT(TH!O3726,2)="15"),LEFT(TH!O3726,3)&lt;&gt;"111",'152-CT'!$J$8=TH!F3726),"x","")</f>
        <v/>
      </c>
      <c r="AC4290" s="75" t="str">
        <f>IF(AND(OR(LEFT(TH!N3726,2)="15",LEFT(TH!O3726,2)="15"),TK!$E$7=TH!F3726),"x","")</f>
        <v/>
      </c>
      <c r="AD4290" s="75" t="str">
        <f>IF(AND(N4290="1521",MONTH(C4290)='BK-NL'!$M$11),"x","")</f>
        <v/>
      </c>
    </row>
    <row r="4291" spans="1:31" ht="16.5" customHeight="1">
      <c r="A4291" s="309" t="str">
        <f>IF(B4291&lt;&gt;"",IF(AND(B4291='IN-TC'!$S$4,OR(TH!N4285="1111",TH!O4285="1111")),TH!D4285,""),"")</f>
        <v/>
      </c>
      <c r="B4291" s="1130">
        <f t="shared" si="1318"/>
        <v>6</v>
      </c>
      <c r="C4291" s="292">
        <f t="shared" si="1319"/>
        <v>42901</v>
      </c>
      <c r="D4291" s="59" t="s">
        <v>902</v>
      </c>
      <c r="E4291" s="59">
        <v>42901</v>
      </c>
      <c r="F4291" s="907" t="s">
        <v>1549</v>
      </c>
      <c r="G4291" s="62" t="s">
        <v>747</v>
      </c>
      <c r="H4291" s="67" t="s">
        <v>835</v>
      </c>
      <c r="I4291" s="1165"/>
      <c r="J4291" s="908"/>
      <c r="K4291" s="375"/>
      <c r="L4291" s="381"/>
      <c r="M4291" s="60">
        <v>227300</v>
      </c>
      <c r="N4291" s="61" t="s">
        <v>101</v>
      </c>
      <c r="O4291" s="61" t="s">
        <v>26</v>
      </c>
      <c r="P4291" s="75" t="str">
        <f>IF(AND('331-CT'!$E$7=TH!H5230,OR(N4291="331",O4291="331")),"x","")</f>
        <v/>
      </c>
      <c r="Q4291" s="75" t="str">
        <f>IF(AND(B4291='111'!$L$11,OR($N4291=$Q$7,$O4291=$Q$7)),"x","")</f>
        <v/>
      </c>
      <c r="R4291" s="75" t="str">
        <f>IF(AND($N4291=$Q$7,$B4291&lt;'111'!$L$11),"x","")</f>
        <v/>
      </c>
      <c r="S4291" s="75" t="str">
        <f>IF(AND($O4291=$Q$7,$B4291&lt;'111'!$L$11),"x","")</f>
        <v/>
      </c>
      <c r="T4291" s="75" t="str">
        <f>IF(ISERROR(FIND('112'!$M$9,G4291,1)),"",IF((AND(FIND('112'!$M$9,G4291,1)&gt;=1,B4291='112'!$K$9,OR($N4291='112'!$I$6,$O4291='112'!$I$6))),"x",""))</f>
        <v/>
      </c>
      <c r="U4291" s="75" t="str">
        <f>IF(ISERROR(FIND('112'!$M$9,G4291,1)),"",IF((AND(LEFT(G4291,2)=LEFT('112'!$M$9,2),B4291&lt;'112'!$K$9,$N4291='112'!$I$6)),"x",""))</f>
        <v/>
      </c>
      <c r="V4291" s="75" t="str">
        <f>IF(ISERROR(FIND('112'!$M$9,G4291,1)),"",IF((AND(RIGHT(G4291,2)=RIGHT('112'!$M$9,2),B4291&lt;'112'!$K$9,$O4291='112'!$I$6)),"x",""))</f>
        <v/>
      </c>
      <c r="W4291" s="75" t="str">
        <f>IF(AND('341-CT'!$H$9=H4291,OR(LEFT(N4291,3)=$W$7,LEFT(O4291,3)=$W$7)),"x","")</f>
        <v/>
      </c>
      <c r="X4291" s="75" t="str">
        <f>IF(OR(TH!N5230=TH!$X$7,O4291=TH!$X$7),"x","")</f>
        <v/>
      </c>
      <c r="Y4291" s="75" t="str">
        <f>IF(AND(OR(N4291="131",O4291="131"),H4291='131-CT'!$H$9),"x","")</f>
        <v/>
      </c>
      <c r="Z4291" s="75"/>
      <c r="AA4291" s="75" t="str">
        <f>IF(AND(MONTH(E4291)='IN-NX'!$J$5,'IN-NX'!$D$7=D4291),"x","")</f>
        <v/>
      </c>
      <c r="AB4291" s="75" t="str">
        <f>IF(AND(OR(LEFT(TH!N5230,2)="15",LEFT(TH!O5230,2)="15"),LEFT(TH!O5230,3)&lt;&gt;"111",'152-CT'!$J$8=TH!F5230),"x","")</f>
        <v/>
      </c>
      <c r="AC4291" s="75" t="str">
        <f>IF(AND(OR(LEFT(TH!N5230,2)="15",LEFT(TH!O5230,2)="15"),TK!$E$7=TH!F5230),"x","")</f>
        <v/>
      </c>
      <c r="AD4291" s="75" t="str">
        <f>IF(AND(N4291="1521",MONTH(C4291)='BK-NL'!$M$11),"x","")</f>
        <v/>
      </c>
    </row>
    <row r="4292" spans="1:31" ht="16.5" customHeight="1">
      <c r="A4292" s="309" t="str">
        <f>IF(B4292&lt;&gt;"",IF(AND(B4292='IN-TC'!$S$4,OR(TH!N4286="1111",TH!O4286="1111")),TH!D4286,""),"")</f>
        <v/>
      </c>
      <c r="B4292" s="1130">
        <f t="shared" si="1318"/>
        <v>6</v>
      </c>
      <c r="C4292" s="292">
        <f t="shared" si="1319"/>
        <v>42901</v>
      </c>
      <c r="D4292" s="59" t="s">
        <v>902</v>
      </c>
      <c r="E4292" s="59">
        <v>42901</v>
      </c>
      <c r="F4292" s="907" t="s">
        <v>1549</v>
      </c>
      <c r="G4292" s="62" t="s">
        <v>747</v>
      </c>
      <c r="H4292" s="67" t="s">
        <v>835</v>
      </c>
      <c r="I4292" s="1165"/>
      <c r="J4292" s="908"/>
      <c r="K4292" s="375"/>
      <c r="L4292" s="381"/>
      <c r="M4292" s="60">
        <v>227300</v>
      </c>
      <c r="N4292" s="61" t="s">
        <v>101</v>
      </c>
      <c r="O4292" s="61" t="s">
        <v>26</v>
      </c>
      <c r="P4292" s="75" t="str">
        <f>IF(AND('331-CT'!$E$7=TH!H5231,OR(N4292="331",O4292="331")),"x","")</f>
        <v/>
      </c>
      <c r="Q4292" s="75" t="str">
        <f>IF(AND(B4292='111'!$L$11,OR($N4292=$Q$7,$O4292=$Q$7)),"x","")</f>
        <v/>
      </c>
      <c r="R4292" s="75" t="str">
        <f>IF(AND($N4292=$Q$7,$B4292&lt;'111'!$L$11),"x","")</f>
        <v/>
      </c>
      <c r="S4292" s="75" t="str">
        <f>IF(AND($O4292=$Q$7,$B4292&lt;'111'!$L$11),"x","")</f>
        <v/>
      </c>
      <c r="T4292" s="75" t="str">
        <f>IF(ISERROR(FIND('112'!$M$9,G4292,1)),"",IF((AND(FIND('112'!$M$9,G4292,1)&gt;=1,B4292='112'!$K$9,OR($N4292='112'!$I$6,$O4292='112'!$I$6))),"x",""))</f>
        <v/>
      </c>
      <c r="U4292" s="75" t="str">
        <f>IF(ISERROR(FIND('112'!$M$9,G4292,1)),"",IF((AND(LEFT(G4292,2)=LEFT('112'!$M$9,2),B4292&lt;'112'!$K$9,$N4292='112'!$I$6)),"x",""))</f>
        <v/>
      </c>
      <c r="V4292" s="75" t="str">
        <f>IF(ISERROR(FIND('112'!$M$9,G4292,1)),"",IF((AND(RIGHT(G4292,2)=RIGHT('112'!$M$9,2),B4292&lt;'112'!$K$9,$O4292='112'!$I$6)),"x",""))</f>
        <v/>
      </c>
      <c r="W4292" s="75" t="str">
        <f>IF(AND('341-CT'!$H$9=H4292,OR(LEFT(N4292,3)=$W$7,LEFT(O4292,3)=$W$7)),"x","")</f>
        <v/>
      </c>
      <c r="X4292" s="75" t="str">
        <f>IF(OR(TH!N5231=TH!$X$7,O4292=TH!$X$7),"x","")</f>
        <v/>
      </c>
      <c r="Y4292" s="75" t="str">
        <f>IF(AND(OR(N4292="131",O4292="131"),H4292='131-CT'!$H$9),"x","")</f>
        <v/>
      </c>
      <c r="Z4292" s="75"/>
      <c r="AA4292" s="75" t="str">
        <f>IF(AND(MONTH(E4292)='IN-NX'!$J$5,'IN-NX'!$D$7=D4292),"x","")</f>
        <v/>
      </c>
      <c r="AB4292" s="75" t="str">
        <f>IF(AND(OR(LEFT(TH!N5231,2)="15",LEFT(TH!O5231,2)="15"),LEFT(TH!O5231,3)&lt;&gt;"111",'152-CT'!$J$8=TH!F5231),"x","")</f>
        <v/>
      </c>
      <c r="AC4292" s="75" t="str">
        <f>IF(AND(OR(LEFT(TH!N5231,2)="15",LEFT(TH!O5231,2)="15"),TK!$E$7=TH!F5231),"x","")</f>
        <v/>
      </c>
      <c r="AD4292" s="75" t="str">
        <f>IF(AND(N4292="1521",MONTH(C4292)='BK-NL'!$M$11),"x","")</f>
        <v/>
      </c>
    </row>
    <row r="4293" spans="1:31" ht="16.5" customHeight="1">
      <c r="A4293" s="309" t="str">
        <f>IF(B4293&lt;&gt;"",IF(AND(B4293='IN-TC'!$S$4,OR(TH!N4287="1111",TH!O4287="1111")),TH!D4287,""),"")</f>
        <v/>
      </c>
      <c r="B4293" s="1130">
        <f t="shared" si="1318"/>
        <v>6</v>
      </c>
      <c r="C4293" s="292">
        <f t="shared" si="1319"/>
        <v>42901</v>
      </c>
      <c r="D4293" s="59" t="s">
        <v>902</v>
      </c>
      <c r="E4293" s="59">
        <v>42901</v>
      </c>
      <c r="F4293" s="907" t="s">
        <v>1549</v>
      </c>
      <c r="G4293" s="62" t="s">
        <v>747</v>
      </c>
      <c r="H4293" s="67" t="s">
        <v>835</v>
      </c>
      <c r="I4293" s="1165"/>
      <c r="J4293" s="908"/>
      <c r="K4293" s="375"/>
      <c r="L4293" s="381"/>
      <c r="M4293" s="60">
        <v>227300</v>
      </c>
      <c r="N4293" s="61" t="s">
        <v>101</v>
      </c>
      <c r="O4293" s="61" t="s">
        <v>26</v>
      </c>
      <c r="P4293" s="75" t="str">
        <f>IF(AND('331-CT'!$E$7=TH!H5232,OR(N4293="331",O4293="331")),"x","")</f>
        <v/>
      </c>
      <c r="Q4293" s="75" t="str">
        <f>IF(AND(B4293='111'!$L$11,OR($N4293=$Q$7,$O4293=$Q$7)),"x","")</f>
        <v/>
      </c>
      <c r="R4293" s="75" t="str">
        <f>IF(AND($N4293=$Q$7,$B4293&lt;'111'!$L$11),"x","")</f>
        <v/>
      </c>
      <c r="S4293" s="75" t="str">
        <f>IF(AND($O4293=$Q$7,$B4293&lt;'111'!$L$11),"x","")</f>
        <v/>
      </c>
      <c r="T4293" s="75" t="str">
        <f>IF(ISERROR(FIND('112'!$M$9,G4293,1)),"",IF((AND(FIND('112'!$M$9,G4293,1)&gt;=1,B4293='112'!$K$9,OR($N4293='112'!$I$6,$O4293='112'!$I$6))),"x",""))</f>
        <v/>
      </c>
      <c r="U4293" s="75" t="str">
        <f>IF(ISERROR(FIND('112'!$M$9,G4293,1)),"",IF((AND(LEFT(G4293,2)=LEFT('112'!$M$9,2),B4293&lt;'112'!$K$9,$N4293='112'!$I$6)),"x",""))</f>
        <v/>
      </c>
      <c r="V4293" s="75" t="str">
        <f>IF(ISERROR(FIND('112'!$M$9,G4293,1)),"",IF((AND(RIGHT(G4293,2)=RIGHT('112'!$M$9,2),B4293&lt;'112'!$K$9,$O4293='112'!$I$6)),"x",""))</f>
        <v/>
      </c>
      <c r="W4293" s="75" t="str">
        <f>IF(AND('341-CT'!$H$9=H4293,OR(LEFT(N4293,3)=$W$7,LEFT(O4293,3)=$W$7)),"x","")</f>
        <v/>
      </c>
      <c r="X4293" s="75" t="str">
        <f>IF(OR(TH!N5232=TH!$X$7,O4293=TH!$X$7),"x","")</f>
        <v/>
      </c>
      <c r="Y4293" s="75" t="str">
        <f>IF(AND(OR(N4293="131",O4293="131"),H4293='131-CT'!$H$9),"x","")</f>
        <v/>
      </c>
      <c r="Z4293" s="75"/>
      <c r="AA4293" s="75" t="str">
        <f>IF(AND(MONTH(E4293)='IN-NX'!$J$5,'IN-NX'!$D$7=D4293),"x","")</f>
        <v/>
      </c>
      <c r="AB4293" s="75" t="str">
        <f>IF(AND(OR(LEFT(TH!N5232,2)="15",LEFT(TH!O5232,2)="15"),LEFT(TH!O5232,3)&lt;&gt;"111",'152-CT'!$J$8=TH!F5232),"x","")</f>
        <v/>
      </c>
      <c r="AC4293" s="75" t="str">
        <f>IF(AND(OR(LEFT(TH!N5232,2)="15",LEFT(TH!O5232,2)="15"),TK!$E$7=TH!F5232),"x","")</f>
        <v/>
      </c>
      <c r="AD4293" s="75" t="str">
        <f>IF(AND(N4293="1521",MONTH(C4293)='BK-NL'!$M$11),"x","")</f>
        <v/>
      </c>
    </row>
    <row r="4294" spans="1:31" ht="16.5" customHeight="1">
      <c r="A4294" s="309" t="str">
        <f>IF(B4294&lt;&gt;"",IF(AND(B4294='IN-TC'!$S$4,OR(TH!N4288="1111",TH!O4288="1111")),TH!D4288,""),"")</f>
        <v/>
      </c>
      <c r="B4294" s="1130">
        <f t="shared" si="1318"/>
        <v>6</v>
      </c>
      <c r="C4294" s="292">
        <f t="shared" si="1319"/>
        <v>42902</v>
      </c>
      <c r="D4294" s="292"/>
      <c r="E4294" s="292">
        <v>42902</v>
      </c>
      <c r="F4294" s="67" t="s">
        <v>1328</v>
      </c>
      <c r="G4294" s="925" t="s">
        <v>2250</v>
      </c>
      <c r="H4294" s="294" t="s">
        <v>1330</v>
      </c>
      <c r="I4294" s="373"/>
      <c r="J4294" s="926"/>
      <c r="K4294" s="373"/>
      <c r="L4294" s="379"/>
      <c r="M4294" s="927">
        <v>1527273</v>
      </c>
      <c r="N4294" s="295" t="s">
        <v>539</v>
      </c>
      <c r="O4294" s="295" t="s">
        <v>63</v>
      </c>
      <c r="P4294" s="75" t="str">
        <f>IF(AND('331-CT'!$E$7=TH!H3727,OR(N4294="331",O4294="331")),"x","")</f>
        <v/>
      </c>
      <c r="Q4294" s="75" t="str">
        <f>IF(AND(B4294='111'!$L$11,OR($N4294=$Q$7,$O4294=$Q$7)),"x","")</f>
        <v/>
      </c>
      <c r="R4294" s="75" t="str">
        <f>IF(AND($N4294=$Q$7,$B4294&lt;'111'!$L$11),"x","")</f>
        <v/>
      </c>
      <c r="S4294" s="75" t="str">
        <f>IF(AND($O4294=$Q$7,$B4294&lt;'111'!$L$11),"x","")</f>
        <v>x</v>
      </c>
      <c r="T4294" s="75" t="str">
        <f>IF(ISERROR(FIND('112'!$M$9,G4294,1)),"",IF((AND(FIND('112'!$M$9,G4294,1)&gt;=1,B4294='112'!$K$9,OR($N4294='112'!$I$6,$O4294='112'!$I$6))),"x",""))</f>
        <v/>
      </c>
      <c r="U4294" s="75" t="str">
        <f>IF(ISERROR(FIND('112'!$M$9,G4294,1)),"",IF((AND(LEFT(G4294,2)=LEFT('112'!$M$9,2),B4294&lt;'112'!$K$9,$N4294='112'!$I$6)),"x",""))</f>
        <v/>
      </c>
      <c r="V4294" s="75" t="str">
        <f>IF(ISERROR(FIND('112'!$M$9,G4294,1)),"",IF((AND(RIGHT(G4294,2)=RIGHT('112'!$M$9,2),B4294&lt;'112'!$K$9,$O4294='112'!$I$6)),"x",""))</f>
        <v/>
      </c>
      <c r="W4294" s="75" t="str">
        <f>IF(AND('341-CT'!$H$9=H4294,OR(LEFT(N4294,3)=$W$7,LEFT(O4294,3)=$W$7)),"x","")</f>
        <v/>
      </c>
      <c r="X4294" s="75" t="str">
        <f>IF(OR(TH!N3727=TH!$X$7,O4294=TH!$X$7),"x","")</f>
        <v/>
      </c>
      <c r="Y4294" s="75" t="str">
        <f>IF(AND(OR(N4294="131",O4294="131"),H4294='131-CT'!$H$9),"x","")</f>
        <v/>
      </c>
      <c r="Z4294" s="75"/>
      <c r="AA4294" s="75" t="str">
        <f>IF(AND(MONTH(E4294)='IN-NX'!$J$5,'IN-NX'!$D$7=D4294),"x","")</f>
        <v/>
      </c>
      <c r="AB4294" s="75" t="str">
        <f>IF(AND(OR(LEFT(TH!N3727,2)="15",LEFT(TH!O3727,2)="15"),LEFT(TH!O3727,3)&lt;&gt;"111",'152-CT'!$J$8=TH!F3727),"x","")</f>
        <v/>
      </c>
      <c r="AC4294" s="75" t="str">
        <f>IF(AND(OR(LEFT(TH!N3727,2)="15",LEFT(TH!O3727,2)="15"),TK!$E$7=TH!F3727),"x","")</f>
        <v/>
      </c>
      <c r="AD4294" s="75" t="str">
        <f>IF(AND(N4294="1521",MONTH(C4294)='BK-NL'!$M$11),"x","")</f>
        <v/>
      </c>
      <c r="AE4294">
        <v>9</v>
      </c>
    </row>
    <row r="4295" spans="1:31" ht="16.5" customHeight="1">
      <c r="A4295" s="309" t="str">
        <f>IF(B4295&lt;&gt;"",IF(AND(B4295='IN-TC'!$S$4,OR(TH!N4289="1111",TH!O4289="1111")),TH!D4289,""),"")</f>
        <v/>
      </c>
      <c r="B4295" s="1130">
        <f t="shared" si="1318"/>
        <v>6</v>
      </c>
      <c r="C4295" s="292">
        <f t="shared" si="1319"/>
        <v>42902</v>
      </c>
      <c r="D4295" s="292"/>
      <c r="E4295" s="292">
        <v>42902</v>
      </c>
      <c r="F4295" s="67" t="s">
        <v>1329</v>
      </c>
      <c r="G4295" s="925" t="s">
        <v>2250</v>
      </c>
      <c r="H4295" s="294" t="s">
        <v>1330</v>
      </c>
      <c r="I4295" s="373"/>
      <c r="J4295" s="926"/>
      <c r="K4295" s="373"/>
      <c r="L4295" s="379"/>
      <c r="M4295" s="927">
        <v>152727</v>
      </c>
      <c r="N4295" s="295" t="s">
        <v>9</v>
      </c>
      <c r="O4295" s="295" t="s">
        <v>63</v>
      </c>
      <c r="P4295" s="75" t="str">
        <f>IF(AND('331-CT'!$E$7=TH!H3728,OR(N4295="331",O4295="331")),"x","")</f>
        <v/>
      </c>
      <c r="Q4295" s="75" t="str">
        <f>IF(AND(B4295='111'!$L$11,OR($N4295=$Q$7,$O4295=$Q$7)),"x","")</f>
        <v/>
      </c>
      <c r="R4295" s="75" t="str">
        <f>IF(AND($N4295=$Q$7,$B4295&lt;'111'!$L$11),"x","")</f>
        <v/>
      </c>
      <c r="S4295" s="75" t="str">
        <f>IF(AND($O4295=$Q$7,$B4295&lt;'111'!$L$11),"x","")</f>
        <v>x</v>
      </c>
      <c r="T4295" s="75" t="str">
        <f>IF(ISERROR(FIND('112'!$M$9,G4295,1)),"",IF((AND(FIND('112'!$M$9,G4295,1)&gt;=1,B4295='112'!$K$9,OR($N4295='112'!$I$6,$O4295='112'!$I$6))),"x",""))</f>
        <v/>
      </c>
      <c r="U4295" s="75" t="str">
        <f>IF(ISERROR(FIND('112'!$M$9,G4295,1)),"",IF((AND(LEFT(G4295,2)=LEFT('112'!$M$9,2),B4295&lt;'112'!$K$9,$N4295='112'!$I$6)),"x",""))</f>
        <v/>
      </c>
      <c r="V4295" s="75" t="str">
        <f>IF(ISERROR(FIND('112'!$M$9,G4295,1)),"",IF((AND(RIGHT(G4295,2)=RIGHT('112'!$M$9,2),B4295&lt;'112'!$K$9,$O4295='112'!$I$6)),"x",""))</f>
        <v/>
      </c>
      <c r="W4295" s="75" t="str">
        <f>IF(AND('341-CT'!$H$9=H4295,OR(LEFT(N4295,3)=$W$7,LEFT(O4295,3)=$W$7)),"x","")</f>
        <v/>
      </c>
      <c r="X4295" s="75" t="str">
        <f>IF(OR(TH!N3728=TH!$X$7,O4295=TH!$X$7),"x","")</f>
        <v/>
      </c>
      <c r="Y4295" s="75" t="str">
        <f>IF(AND(OR(N4295="131",O4295="131"),H4295='131-CT'!$H$9),"x","")</f>
        <v/>
      </c>
      <c r="Z4295" s="75"/>
      <c r="AA4295" s="75" t="str">
        <f>IF(AND(MONTH(E4295)='IN-NX'!$J$5,'IN-NX'!$D$7=D4295),"x","")</f>
        <v/>
      </c>
      <c r="AB4295" s="75" t="str">
        <f>IF(AND(OR(LEFT(TH!N3728,2)="15",LEFT(TH!O3728,2)="15"),LEFT(TH!O3728,3)&lt;&gt;"111",'152-CT'!$J$8=TH!F3728),"x","")</f>
        <v/>
      </c>
      <c r="AC4295" s="75" t="str">
        <f>IF(AND(OR(LEFT(TH!N3728,2)="15",LEFT(TH!O3728,2)="15"),TK!$E$7=TH!F3728),"x","")</f>
        <v/>
      </c>
      <c r="AD4295" s="75" t="str">
        <f>IF(AND(N4295="1521",MONTH(C4295)='BK-NL'!$M$11),"x","")</f>
        <v/>
      </c>
      <c r="AE4295">
        <v>9</v>
      </c>
    </row>
    <row r="4296" spans="1:31" ht="16.5" customHeight="1">
      <c r="A4296" s="309" t="str">
        <f>IF(B4296&lt;&gt;"",IF(AND(B4296='IN-TC'!$S$4,OR(TH!N4290="1111",TH!O4290="1111")),TH!D4290,""),"")</f>
        <v/>
      </c>
      <c r="B4296" s="1130">
        <f t="shared" si="1318"/>
        <v>6</v>
      </c>
      <c r="C4296" s="292">
        <f t="shared" si="1319"/>
        <v>42902</v>
      </c>
      <c r="D4296" s="59" t="s">
        <v>903</v>
      </c>
      <c r="E4296" s="59">
        <v>42902</v>
      </c>
      <c r="F4296" s="62" t="s">
        <v>1086</v>
      </c>
      <c r="G4296" s="62" t="s">
        <v>586</v>
      </c>
      <c r="H4296" s="67" t="s">
        <v>751</v>
      </c>
      <c r="I4296" s="375"/>
      <c r="J4296" s="381"/>
      <c r="K4296" s="375"/>
      <c r="L4296" s="381"/>
      <c r="M4296" s="60">
        <v>100163250</v>
      </c>
      <c r="N4296" s="61" t="s">
        <v>26</v>
      </c>
      <c r="O4296" s="61" t="s">
        <v>536</v>
      </c>
      <c r="P4296" s="75" t="str">
        <f>IF(AND('331-CT'!$E$7=TH!H4395,OR(N4296="331",O4296="331")),"x","")</f>
        <v/>
      </c>
      <c r="Q4296" s="75" t="str">
        <f>IF(AND(B4296='111'!$L$11,OR($N4296=$Q$7,$O4296=$Q$7)),"x","")</f>
        <v/>
      </c>
      <c r="R4296" s="75" t="str">
        <f>IF(AND($N4296=$Q$7,$B4296&lt;'111'!$L$11),"x","")</f>
        <v/>
      </c>
      <c r="S4296" s="75" t="str">
        <f>IF(AND($O4296=$Q$7,$B4296&lt;'111'!$L$11),"x","")</f>
        <v/>
      </c>
      <c r="T4296" s="75" t="str">
        <f>IF(ISERROR(FIND('112'!$M$9,G4296,1)),"",IF((AND(FIND('112'!$M$9,G4296,1)&gt;=1,B4296='112'!$K$9,OR($N4296='112'!$I$6,$O4296='112'!$I$6))),"x",""))</f>
        <v/>
      </c>
      <c r="U4296" s="75" t="str">
        <f>IF(ISERROR(FIND('112'!$M$9,G4296,1)),"",IF((AND(LEFT(G4296,2)=LEFT('112'!$M$9,2),B4296&lt;'112'!$K$9,$N4296='112'!$I$6)),"x",""))</f>
        <v>x</v>
      </c>
      <c r="V4296" s="75" t="str">
        <f>IF(ISERROR(FIND('112'!$M$9,G4296,1)),"",IF((AND(RIGHT(G4296,2)=RIGHT('112'!$M$9,2),B4296&lt;'112'!$K$9,$O4296='112'!$I$6)),"x",""))</f>
        <v/>
      </c>
      <c r="W4296" s="75" t="str">
        <f>IF(AND('341-CT'!$H$9=H4296,OR(LEFT(N4296,3)=$W$7,LEFT(O4296,3)=$W$7)),"x","")</f>
        <v/>
      </c>
      <c r="X4296" s="75" t="str">
        <f>IF(OR(TH!N4395=TH!$X$7,O4296=TH!$X$7),"x","")</f>
        <v/>
      </c>
      <c r="Y4296" s="75" t="str">
        <f>IF(AND(OR(N4296="131",O4296="131"),H4296='131-CT'!$H$9),"x","")</f>
        <v>x</v>
      </c>
      <c r="Z4296" s="75"/>
      <c r="AA4296" s="75" t="str">
        <f>IF(AND(MONTH(E4296)='IN-NX'!$J$5,'IN-NX'!$D$7=D4296),"x","")</f>
        <v/>
      </c>
      <c r="AB4296" s="75" t="str">
        <f>IF(AND(OR(LEFT(TH!N4395,2)="15",LEFT(TH!O4395,2)="15"),LEFT(TH!O4395,3)&lt;&gt;"111",'152-CT'!$J$8=TH!F4395),"x","")</f>
        <v/>
      </c>
      <c r="AC4296" s="75" t="str">
        <f>IF(AND(OR(LEFT(TH!N4395,2)="15",LEFT(TH!O4395,2)="15"),TK!$E$7=TH!F4395),"x","")</f>
        <v/>
      </c>
      <c r="AD4296" s="75" t="str">
        <f>IF(AND(N4296="1521",MONTH(C4296)='BK-NL'!$M$11),"x","")</f>
        <v/>
      </c>
    </row>
    <row r="4297" spans="1:31" ht="16.5" customHeight="1">
      <c r="A4297" s="309" t="str">
        <f>IF(B4297&lt;&gt;"",IF(AND(B4297='IN-TC'!$S$4,OR(TH!N4291="1111",TH!O4291="1111")),TH!D4291,""),"")</f>
        <v/>
      </c>
      <c r="B4297" s="1130">
        <f t="shared" si="1318"/>
        <v>6</v>
      </c>
      <c r="C4297" s="292">
        <f t="shared" si="1319"/>
        <v>42903</v>
      </c>
      <c r="D4297" s="292" t="s">
        <v>846</v>
      </c>
      <c r="E4297" s="59">
        <v>42903</v>
      </c>
      <c r="F4297" s="1334" t="s">
        <v>834</v>
      </c>
      <c r="G4297" s="62" t="s">
        <v>586</v>
      </c>
      <c r="H4297" s="67" t="s">
        <v>1023</v>
      </c>
      <c r="I4297" s="1165"/>
      <c r="J4297" s="908"/>
      <c r="K4297" s="375"/>
      <c r="L4297" s="381"/>
      <c r="M4297" s="60">
        <v>100000000</v>
      </c>
      <c r="N4297" s="61" t="s">
        <v>63</v>
      </c>
      <c r="O4297" s="61" t="s">
        <v>26</v>
      </c>
      <c r="P4297" s="75" t="str">
        <f>IF(AND('331-CT'!$E$7=TH!H4396,OR(N4297="331",O4297="331")),"x","")</f>
        <v/>
      </c>
      <c r="Q4297" s="75" t="str">
        <f>IF(AND(B4297='111'!$L$11,OR($N4297=$Q$7,$O4297=$Q$7)),"x","")</f>
        <v/>
      </c>
      <c r="R4297" s="75" t="str">
        <f>IF(AND($N4297=$Q$7,$B4297&lt;'111'!$L$11),"x","")</f>
        <v>x</v>
      </c>
      <c r="S4297" s="75" t="str">
        <f>IF(AND($O4297=$Q$7,$B4297&lt;'111'!$L$11),"x","")</f>
        <v/>
      </c>
      <c r="T4297" s="75" t="str">
        <f>IF(ISERROR(FIND('112'!$M$9,G4297,1)),"",IF((AND(FIND('112'!$M$9,G4297,1)&gt;=1,B4297='112'!$K$9,OR($N4297='112'!$I$6,$O4297='112'!$I$6))),"x",""))</f>
        <v/>
      </c>
      <c r="U4297" s="75" t="str">
        <f>IF(ISERROR(FIND('112'!$M$9,G4297,1)),"",IF((AND(LEFT(G4297,2)=LEFT('112'!$M$9,2),B4297&lt;'112'!$K$9,$N4297='112'!$I$6)),"x",""))</f>
        <v/>
      </c>
      <c r="V4297" s="75" t="str">
        <f>IF(ISERROR(FIND('112'!$M$9,G4297,1)),"",IF((AND(RIGHT(G4297,2)=RIGHT('112'!$M$9,2),B4297&lt;'112'!$K$9,$O4297='112'!$I$6)),"x",""))</f>
        <v>x</v>
      </c>
      <c r="W4297" s="75" t="str">
        <f>IF(AND('341-CT'!$H$9=H4297,OR(LEFT(N4297,3)=$W$7,LEFT(O4297,3)=$W$7)),"x","")</f>
        <v/>
      </c>
      <c r="X4297" s="75" t="str">
        <f>IF(OR(TH!N4396=TH!$X$7,O4297=TH!$X$7),"x","")</f>
        <v/>
      </c>
      <c r="Y4297" s="75" t="str">
        <f>IF(AND(OR(N4297="131",O4297="131"),H4297='131-CT'!$H$9),"x","")</f>
        <v/>
      </c>
      <c r="Z4297" s="75"/>
      <c r="AA4297" s="75" t="str">
        <f>IF(AND(MONTH(E4297)='IN-NX'!$J$5,'IN-NX'!$D$7=D4297),"x","")</f>
        <v/>
      </c>
      <c r="AB4297" s="75" t="str">
        <f>IF(AND(OR(LEFT(TH!N4396,2)="15",LEFT(TH!O4396,2)="15"),LEFT(TH!O4396,3)&lt;&gt;"111",'152-CT'!$J$8=TH!F4396),"x","")</f>
        <v/>
      </c>
      <c r="AC4297" s="75" t="str">
        <f>IF(AND(OR(LEFT(TH!N4396,2)="15",LEFT(TH!O4396,2)="15"),TK!$E$7=TH!F4396),"x","")</f>
        <v/>
      </c>
      <c r="AD4297" s="75" t="str">
        <f>IF(AND(N4297="1521",MONTH(C4297)='BK-NL'!$M$11),"x","")</f>
        <v/>
      </c>
    </row>
    <row r="4298" spans="1:31" ht="16.5" customHeight="1">
      <c r="A4298" s="309" t="str">
        <f>IF(B4298&lt;&gt;"",IF(AND(B4298='IN-TC'!$S$4,OR(TH!N4292="1111",TH!O4292="1111")),TH!D4292,""),"")</f>
        <v/>
      </c>
      <c r="B4298" s="1130">
        <f t="shared" si="1318"/>
        <v>6</v>
      </c>
      <c r="C4298" s="292">
        <f t="shared" si="1319"/>
        <v>42903</v>
      </c>
      <c r="D4298" s="59" t="s">
        <v>902</v>
      </c>
      <c r="E4298" s="59">
        <v>42903</v>
      </c>
      <c r="F4298" s="1127" t="s">
        <v>1088</v>
      </c>
      <c r="G4298" s="62" t="s">
        <v>585</v>
      </c>
      <c r="H4298" s="311" t="s">
        <v>845</v>
      </c>
      <c r="I4298" s="1165"/>
      <c r="J4298" s="908"/>
      <c r="K4298" s="375"/>
      <c r="L4298" s="381"/>
      <c r="M4298" s="60">
        <v>50000</v>
      </c>
      <c r="N4298" s="61" t="s">
        <v>101</v>
      </c>
      <c r="O4298" s="61" t="s">
        <v>26</v>
      </c>
      <c r="P4298" s="75" t="str">
        <f>IF(AND('331-CT'!$E$7=TH!H4764,OR(N4298="331",O4298="331")),"x","")</f>
        <v/>
      </c>
      <c r="Q4298" s="75" t="str">
        <f>IF(AND(B4298='111'!$L$11,OR($N4298=$Q$7,$O4298=$Q$7)),"x","")</f>
        <v/>
      </c>
      <c r="R4298" s="75" t="str">
        <f>IF(AND($N4298=$Q$7,$B4298&lt;'111'!$L$11),"x","")</f>
        <v/>
      </c>
      <c r="S4298" s="75" t="str">
        <f>IF(AND($O4298=$Q$7,$B4298&lt;'111'!$L$11),"x","")</f>
        <v/>
      </c>
      <c r="T4298" s="75" t="str">
        <f>IF(ISERROR(FIND('112'!$M$9,G4298,1)),"",IF((AND(FIND('112'!$M$9,G4298,1)&gt;=1,B4298='112'!$K$9,OR($N4298='112'!$I$6,$O4298='112'!$I$6))),"x",""))</f>
        <v/>
      </c>
      <c r="U4298" s="75" t="str">
        <f>IF(ISERROR(FIND('112'!$M$9,G4298,1)),"",IF((AND(LEFT(G4298,2)=LEFT('112'!$M$9,2),B4298&lt;'112'!$K$9,$N4298='112'!$I$6)),"x",""))</f>
        <v/>
      </c>
      <c r="V4298" s="75" t="str">
        <f>IF(ISERROR(FIND('112'!$M$9,G4298,1)),"",IF((AND(RIGHT(G4298,2)=RIGHT('112'!$M$9,2),B4298&lt;'112'!$K$9,$O4298='112'!$I$6)),"x",""))</f>
        <v/>
      </c>
      <c r="W4298" s="75" t="str">
        <f>IF(AND('341-CT'!$H$9=H4298,OR(LEFT(N4298,3)=$W$7,LEFT(O4298,3)=$W$7)),"x","")</f>
        <v/>
      </c>
      <c r="X4298" s="75" t="str">
        <f>IF(OR(TH!N4764=TH!$X$7,O4298=TH!$X$7),"x","")</f>
        <v/>
      </c>
      <c r="Y4298" s="75" t="str">
        <f>IF(AND(OR(N4298="131",O4298="131"),H4298='131-CT'!$H$9),"x","")</f>
        <v/>
      </c>
      <c r="Z4298" s="75"/>
      <c r="AA4298" s="75" t="str">
        <f>IF(AND(MONTH(E4298)='IN-NX'!$J$5,'IN-NX'!$D$7=D4298),"x","")</f>
        <v/>
      </c>
      <c r="AB4298" s="75" t="str">
        <f>IF(AND(OR(LEFT(TH!N4764,2)="15",LEFT(TH!O4764,2)="15"),LEFT(TH!O4764,3)&lt;&gt;"111",'152-CT'!$J$8=TH!F4764),"x","")</f>
        <v/>
      </c>
      <c r="AC4298" s="75" t="str">
        <f>IF(AND(OR(LEFT(TH!N4764,2)="15",LEFT(TH!O4764,2)="15"),TK!$E$7=TH!F4764),"x","")</f>
        <v/>
      </c>
      <c r="AD4298" s="75" t="str">
        <f>IF(AND(N4298="1521",MONTH(C4298)='BK-NL'!$M$11),"x","")</f>
        <v/>
      </c>
    </row>
    <row r="4299" spans="1:31" ht="16.5" customHeight="1">
      <c r="A4299" s="309" t="str">
        <f>IF(B4299&lt;&gt;"",IF(AND(B4299='IN-TC'!$S$4,OR(TH!N4293="1111",TH!O4293="1111")),TH!D4293,""),"")</f>
        <v/>
      </c>
      <c r="B4299" s="1130">
        <f t="shared" si="1318"/>
        <v>6</v>
      </c>
      <c r="C4299" s="292">
        <f t="shared" si="1319"/>
        <v>42903</v>
      </c>
      <c r="D4299" s="59" t="s">
        <v>902</v>
      </c>
      <c r="E4299" s="59">
        <v>42903</v>
      </c>
      <c r="F4299" s="1127" t="s">
        <v>1089</v>
      </c>
      <c r="G4299" s="62" t="s">
        <v>585</v>
      </c>
      <c r="H4299" s="311" t="s">
        <v>845</v>
      </c>
      <c r="I4299" s="1165"/>
      <c r="J4299" s="908"/>
      <c r="K4299" s="375"/>
      <c r="L4299" s="381"/>
      <c r="M4299" s="60">
        <v>5000</v>
      </c>
      <c r="N4299" s="61" t="s">
        <v>9</v>
      </c>
      <c r="O4299" s="61" t="s">
        <v>26</v>
      </c>
      <c r="P4299" s="75" t="str">
        <f>IF(AND('331-CT'!$E$7=TH!H4765,OR(N4299="331",O4299="331")),"x","")</f>
        <v/>
      </c>
      <c r="Q4299" s="75" t="str">
        <f>IF(AND(B4299='111'!$L$11,OR($N4299=$Q$7,$O4299=$Q$7)),"x","")</f>
        <v/>
      </c>
      <c r="R4299" s="75" t="str">
        <f>IF(AND($N4299=$Q$7,$B4299&lt;'111'!$L$11),"x","")</f>
        <v/>
      </c>
      <c r="S4299" s="75" t="str">
        <f>IF(AND($O4299=$Q$7,$B4299&lt;'111'!$L$11),"x","")</f>
        <v/>
      </c>
      <c r="T4299" s="75" t="str">
        <f>IF(ISERROR(FIND('112'!$M$9,G4299,1)),"",IF((AND(FIND('112'!$M$9,G4299,1)&gt;=1,B4299='112'!$K$9,OR($N4299='112'!$I$6,$O4299='112'!$I$6))),"x",""))</f>
        <v/>
      </c>
      <c r="U4299" s="75" t="str">
        <f>IF(ISERROR(FIND('112'!$M$9,G4299,1)),"",IF((AND(LEFT(G4299,2)=LEFT('112'!$M$9,2),B4299&lt;'112'!$K$9,$N4299='112'!$I$6)),"x",""))</f>
        <v/>
      </c>
      <c r="V4299" s="75" t="str">
        <f>IF(ISERROR(FIND('112'!$M$9,G4299,1)),"",IF((AND(RIGHT(G4299,2)=RIGHT('112'!$M$9,2),B4299&lt;'112'!$K$9,$O4299='112'!$I$6)),"x",""))</f>
        <v/>
      </c>
      <c r="W4299" s="75" t="str">
        <f>IF(AND('341-CT'!$H$9=H4299,OR(LEFT(N4299,3)=$W$7,LEFT(O4299,3)=$W$7)),"x","")</f>
        <v/>
      </c>
      <c r="X4299" s="75" t="str">
        <f>IF(OR(TH!N4765=TH!$X$7,O4299=TH!$X$7),"x","")</f>
        <v/>
      </c>
      <c r="Y4299" s="75" t="str">
        <f>IF(AND(OR(N4299="131",O4299="131"),H4299='131-CT'!$H$9),"x","")</f>
        <v/>
      </c>
      <c r="Z4299" s="75"/>
      <c r="AA4299" s="75" t="str">
        <f>IF(AND(MONTH(E4299)='IN-NX'!$J$5,'IN-NX'!$D$7=D4299),"x","")</f>
        <v/>
      </c>
      <c r="AB4299" s="75" t="str">
        <f>IF(AND(OR(LEFT(TH!N4765,2)="15",LEFT(TH!O4765,2)="15"),LEFT(TH!O4765,3)&lt;&gt;"111",'152-CT'!$J$8=TH!F4765),"x","")</f>
        <v/>
      </c>
      <c r="AC4299" s="75" t="str">
        <f>IF(AND(OR(LEFT(TH!N4765,2)="15",LEFT(TH!O4765,2)="15"),TK!$E$7=TH!F4765),"x","")</f>
        <v/>
      </c>
      <c r="AD4299" s="75" t="str">
        <f>IF(AND(N4299="1521",MONTH(C4299)='BK-NL'!$M$11),"x","")</f>
        <v/>
      </c>
    </row>
    <row r="4300" spans="1:31" ht="16.5" customHeight="1">
      <c r="A4300" s="309" t="str">
        <f>IF(B4300&lt;&gt;"",IF(AND(B4300='IN-TC'!$S$4,OR(TH!N4294="1111",TH!O4294="1111")),TH!D4294,""),"")</f>
        <v/>
      </c>
      <c r="B4300" s="1130">
        <f t="shared" si="1318"/>
        <v>6</v>
      </c>
      <c r="C4300" s="292">
        <f t="shared" si="1319"/>
        <v>42903</v>
      </c>
      <c r="D4300" s="59" t="s">
        <v>902</v>
      </c>
      <c r="E4300" s="59">
        <v>42903</v>
      </c>
      <c r="F4300" s="1127" t="s">
        <v>1088</v>
      </c>
      <c r="G4300" s="62" t="s">
        <v>585</v>
      </c>
      <c r="H4300" s="311" t="s">
        <v>845</v>
      </c>
      <c r="I4300" s="1165"/>
      <c r="J4300" s="908"/>
      <c r="K4300" s="375"/>
      <c r="L4300" s="381"/>
      <c r="M4300" s="60">
        <v>50000</v>
      </c>
      <c r="N4300" s="61" t="s">
        <v>101</v>
      </c>
      <c r="O4300" s="61" t="s">
        <v>26</v>
      </c>
      <c r="P4300" s="75" t="str">
        <f>IF(AND('331-CT'!$E$7=TH!H4766,OR(N4300="331",O4300="331")),"x","")</f>
        <v/>
      </c>
      <c r="Q4300" s="75" t="str">
        <f>IF(AND(B4300='111'!$L$11,OR($N4300=$Q$7,$O4300=$Q$7)),"x","")</f>
        <v/>
      </c>
      <c r="R4300" s="75" t="str">
        <f>IF(AND($N4300=$Q$7,$B4300&lt;'111'!$L$11),"x","")</f>
        <v/>
      </c>
      <c r="S4300" s="75" t="str">
        <f>IF(AND($O4300=$Q$7,$B4300&lt;'111'!$L$11),"x","")</f>
        <v/>
      </c>
      <c r="T4300" s="75" t="str">
        <f>IF(ISERROR(FIND('112'!$M$9,G4300,1)),"",IF((AND(FIND('112'!$M$9,G4300,1)&gt;=1,B4300='112'!$K$9,OR($N4300='112'!$I$6,$O4300='112'!$I$6))),"x",""))</f>
        <v/>
      </c>
      <c r="U4300" s="75" t="str">
        <f>IF(ISERROR(FIND('112'!$M$9,G4300,1)),"",IF((AND(LEFT(G4300,2)=LEFT('112'!$M$9,2),B4300&lt;'112'!$K$9,$N4300='112'!$I$6)),"x",""))</f>
        <v/>
      </c>
      <c r="V4300" s="75" t="str">
        <f>IF(ISERROR(FIND('112'!$M$9,G4300,1)),"",IF((AND(RIGHT(G4300,2)=RIGHT('112'!$M$9,2),B4300&lt;'112'!$K$9,$O4300='112'!$I$6)),"x",""))</f>
        <v/>
      </c>
      <c r="W4300" s="75" t="str">
        <f>IF(AND('341-CT'!$H$9=H4300,OR(LEFT(N4300,3)=$W$7,LEFT(O4300,3)=$W$7)),"x","")</f>
        <v/>
      </c>
      <c r="X4300" s="75" t="str">
        <f>IF(OR(TH!N4766=TH!$X$7,O4300=TH!$X$7),"x","")</f>
        <v/>
      </c>
      <c r="Y4300" s="75" t="str">
        <f>IF(AND(OR(N4300="131",O4300="131"),H4300='131-CT'!$H$9),"x","")</f>
        <v/>
      </c>
      <c r="Z4300" s="75"/>
      <c r="AA4300" s="75" t="str">
        <f>IF(AND(MONTH(E4300)='IN-NX'!$J$5,'IN-NX'!$D$7=D4300),"x","")</f>
        <v/>
      </c>
      <c r="AB4300" s="75" t="str">
        <f>IF(AND(OR(LEFT(TH!N4766,2)="15",LEFT(TH!O4766,2)="15"),LEFT(TH!O4766,3)&lt;&gt;"111",'152-CT'!$J$8=TH!F4766),"x","")</f>
        <v/>
      </c>
      <c r="AC4300" s="75" t="str">
        <f>IF(AND(OR(LEFT(TH!N4766,2)="15",LEFT(TH!O4766,2)="15"),TK!$E$7=TH!F4766),"x","")</f>
        <v/>
      </c>
      <c r="AD4300" s="75" t="str">
        <f>IF(AND(N4300="1521",MONTH(C4300)='BK-NL'!$M$11),"x","")</f>
        <v/>
      </c>
    </row>
    <row r="4301" spans="1:31" ht="16.5" customHeight="1">
      <c r="A4301" s="309" t="str">
        <f>IF(B4301&lt;&gt;"",IF(AND(B4301='IN-TC'!$S$4,OR(TH!N4295="1111",TH!O4295="1111")),TH!D4295,""),"")</f>
        <v/>
      </c>
      <c r="B4301" s="1130">
        <f t="shared" si="1318"/>
        <v>6</v>
      </c>
      <c r="C4301" s="292">
        <f t="shared" si="1319"/>
        <v>42903</v>
      </c>
      <c r="D4301" s="59" t="s">
        <v>902</v>
      </c>
      <c r="E4301" s="59">
        <v>42903</v>
      </c>
      <c r="F4301" s="1127" t="s">
        <v>1089</v>
      </c>
      <c r="G4301" s="62" t="s">
        <v>585</v>
      </c>
      <c r="H4301" s="311" t="s">
        <v>845</v>
      </c>
      <c r="I4301" s="1165"/>
      <c r="J4301" s="908"/>
      <c r="K4301" s="375"/>
      <c r="L4301" s="381"/>
      <c r="M4301" s="60">
        <v>5000</v>
      </c>
      <c r="N4301" s="61" t="s">
        <v>9</v>
      </c>
      <c r="O4301" s="61" t="s">
        <v>26</v>
      </c>
      <c r="P4301" s="75" t="str">
        <f>IF(AND('331-CT'!$E$7=TH!H4767,OR(N4301="331",O4301="331")),"x","")</f>
        <v/>
      </c>
      <c r="Q4301" s="75" t="str">
        <f>IF(AND(B4301='111'!$L$11,OR($N4301=$Q$7,$O4301=$Q$7)),"x","")</f>
        <v/>
      </c>
      <c r="R4301" s="75" t="str">
        <f>IF(AND($N4301=$Q$7,$B4301&lt;'111'!$L$11),"x","")</f>
        <v/>
      </c>
      <c r="S4301" s="75" t="str">
        <f>IF(AND($O4301=$Q$7,$B4301&lt;'111'!$L$11),"x","")</f>
        <v/>
      </c>
      <c r="T4301" s="75" t="str">
        <f>IF(ISERROR(FIND('112'!$M$9,G4301,1)),"",IF((AND(FIND('112'!$M$9,G4301,1)&gt;=1,B4301='112'!$K$9,OR($N4301='112'!$I$6,$O4301='112'!$I$6))),"x",""))</f>
        <v/>
      </c>
      <c r="U4301" s="75" t="str">
        <f>IF(ISERROR(FIND('112'!$M$9,G4301,1)),"",IF((AND(LEFT(G4301,2)=LEFT('112'!$M$9,2),B4301&lt;'112'!$K$9,$N4301='112'!$I$6)),"x",""))</f>
        <v/>
      </c>
      <c r="V4301" s="75" t="str">
        <f>IF(ISERROR(FIND('112'!$M$9,G4301,1)),"",IF((AND(RIGHT(G4301,2)=RIGHT('112'!$M$9,2),B4301&lt;'112'!$K$9,$O4301='112'!$I$6)),"x",""))</f>
        <v/>
      </c>
      <c r="W4301" s="75" t="str">
        <f>IF(AND('341-CT'!$H$9=H4301,OR(LEFT(N4301,3)=$W$7,LEFT(O4301,3)=$W$7)),"x","")</f>
        <v/>
      </c>
      <c r="X4301" s="75" t="str">
        <f>IF(OR(TH!N4767=TH!$X$7,O4301=TH!$X$7),"x","")</f>
        <v>x</v>
      </c>
      <c r="Y4301" s="75" t="str">
        <f>IF(AND(OR(N4301="131",O4301="131"),H4301='131-CT'!$H$9),"x","")</f>
        <v/>
      </c>
      <c r="Z4301" s="75"/>
      <c r="AA4301" s="75" t="str">
        <f>IF(AND(MONTH(E4301)='IN-NX'!$J$5,'IN-NX'!$D$7=D4301),"x","")</f>
        <v/>
      </c>
      <c r="AB4301" s="75" t="str">
        <f>IF(AND(OR(LEFT(TH!N4767,2)="15",LEFT(TH!O4767,2)="15"),LEFT(TH!O4767,3)&lt;&gt;"111",'152-CT'!$J$8=TH!F4767),"x","")</f>
        <v/>
      </c>
      <c r="AC4301" s="75" t="str">
        <f>IF(AND(OR(LEFT(TH!N4767,2)="15",LEFT(TH!O4767,2)="15"),TK!$E$7=TH!F4767),"x","")</f>
        <v/>
      </c>
      <c r="AD4301" s="75" t="str">
        <f>IF(AND(N4301="1521",MONTH(C4301)='BK-NL'!$M$11),"x","")</f>
        <v/>
      </c>
    </row>
    <row r="4302" spans="1:31" ht="16.5" customHeight="1">
      <c r="A4302" s="309" t="str">
        <f>IF(B4302&lt;&gt;"",IF(AND(B4302='IN-TC'!$S$4,OR(TH!N4296="1111",TH!O4296="1111")),TH!D4296,""),"")</f>
        <v/>
      </c>
      <c r="B4302" s="1130">
        <f t="shared" si="1318"/>
        <v>6</v>
      </c>
      <c r="C4302" s="292">
        <f t="shared" si="1319"/>
        <v>42906</v>
      </c>
      <c r="D4302" s="292"/>
      <c r="E4302" s="292">
        <v>42906</v>
      </c>
      <c r="F4302" s="1127" t="s">
        <v>1499</v>
      </c>
      <c r="G4302" s="925" t="s">
        <v>1712</v>
      </c>
      <c r="H4302" s="294" t="s">
        <v>893</v>
      </c>
      <c r="I4302" s="373"/>
      <c r="J4302" s="926"/>
      <c r="K4302" s="373"/>
      <c r="L4302" s="379"/>
      <c r="M4302" s="927">
        <v>1826964</v>
      </c>
      <c r="N4302" s="295" t="s">
        <v>101</v>
      </c>
      <c r="O4302" s="295" t="s">
        <v>63</v>
      </c>
      <c r="P4302" s="75" t="str">
        <f>IF(AND('331-CT'!$E$7=TH!H3729,OR(N4302="331",O4302="331")),"x","")</f>
        <v/>
      </c>
      <c r="Q4302" s="75" t="str">
        <f>IF(AND(B4302='111'!$L$11,OR($N4302=$Q$7,$O4302=$Q$7)),"x","")</f>
        <v/>
      </c>
      <c r="R4302" s="75" t="str">
        <f>IF(AND($N4302=$Q$7,$B4302&lt;'111'!$L$11),"x","")</f>
        <v/>
      </c>
      <c r="S4302" s="75" t="str">
        <f>IF(AND($O4302=$Q$7,$B4302&lt;'111'!$L$11),"x","")</f>
        <v>x</v>
      </c>
      <c r="T4302" s="75" t="str">
        <f>IF(ISERROR(FIND('112'!$M$9,G4302,1)),"",IF((AND(FIND('112'!$M$9,G4302,1)&gt;=1,B4302='112'!$K$9,OR($N4302='112'!$I$6,$O4302='112'!$I$6))),"x",""))</f>
        <v/>
      </c>
      <c r="U4302" s="75" t="str">
        <f>IF(ISERROR(FIND('112'!$M$9,G4302,1)),"",IF((AND(LEFT(G4302,2)=LEFT('112'!$M$9,2),B4302&lt;'112'!$K$9,$N4302='112'!$I$6)),"x",""))</f>
        <v/>
      </c>
      <c r="V4302" s="75" t="str">
        <f>IF(ISERROR(FIND('112'!$M$9,G4302,1)),"",IF((AND(RIGHT(G4302,2)=RIGHT('112'!$M$9,2),B4302&lt;'112'!$K$9,$O4302='112'!$I$6)),"x",""))</f>
        <v/>
      </c>
      <c r="W4302" s="75" t="str">
        <f>IF(AND('341-CT'!$H$9=H4302,OR(LEFT(N4302,3)=$W$7,LEFT(O4302,3)=$W$7)),"x","")</f>
        <v/>
      </c>
      <c r="X4302" s="75" t="str">
        <f>IF(OR(TH!N3729=TH!$X$7,O4302=TH!$X$7),"x","")</f>
        <v/>
      </c>
      <c r="Y4302" s="75" t="str">
        <f>IF(AND(OR(N4302="131",O4302="131"),H4302='131-CT'!$H$9),"x","")</f>
        <v/>
      </c>
      <c r="Z4302" s="75"/>
      <c r="AA4302" s="75" t="str">
        <f>IF(AND(MONTH(E4302)='IN-NX'!$J$5,'IN-NX'!$D$7=D4302),"x","")</f>
        <v/>
      </c>
      <c r="AB4302" s="75" t="str">
        <f>IF(AND(OR(LEFT(TH!N3729,2)="15",LEFT(TH!O3729,2)="15"),LEFT(TH!O3729,3)&lt;&gt;"111",'152-CT'!$J$8=TH!F3729),"x","")</f>
        <v/>
      </c>
      <c r="AC4302" s="75" t="str">
        <f>IF(AND(OR(LEFT(TH!N3729,2)="15",LEFT(TH!O3729,2)="15"),TK!$E$7=TH!F3729),"x","")</f>
        <v/>
      </c>
      <c r="AD4302" s="75" t="str">
        <f>IF(AND(N4302="1521",MONTH(C4302)='BK-NL'!$M$11),"x","")</f>
        <v/>
      </c>
    </row>
    <row r="4303" spans="1:31" ht="16.5" customHeight="1">
      <c r="A4303" s="309" t="str">
        <f>IF(B4303&lt;&gt;"",IF(AND(B4303='IN-TC'!$S$4,OR(TH!N4297="1111",TH!O4297="1111")),TH!D4297,""),"")</f>
        <v/>
      </c>
      <c r="B4303" s="1130">
        <f t="shared" si="1318"/>
        <v>6</v>
      </c>
      <c r="C4303" s="292">
        <f t="shared" si="1319"/>
        <v>42906</v>
      </c>
      <c r="D4303" s="292"/>
      <c r="E4303" s="292">
        <v>42906</v>
      </c>
      <c r="F4303" s="1127" t="s">
        <v>1500</v>
      </c>
      <c r="G4303" s="925" t="s">
        <v>1712</v>
      </c>
      <c r="H4303" s="294" t="s">
        <v>893</v>
      </c>
      <c r="I4303" s="373"/>
      <c r="J4303" s="926"/>
      <c r="K4303" s="373"/>
      <c r="L4303" s="379"/>
      <c r="M4303" s="927">
        <v>182696</v>
      </c>
      <c r="N4303" s="295" t="s">
        <v>9</v>
      </c>
      <c r="O4303" s="295" t="s">
        <v>63</v>
      </c>
      <c r="P4303" s="75" t="str">
        <f>IF(AND('331-CT'!$E$7=TH!H3730,OR(N4303="331",O4303="331")),"x","")</f>
        <v/>
      </c>
      <c r="Q4303" s="75" t="str">
        <f>IF(AND(B4303='111'!$L$11,OR($N4303=$Q$7,$O4303=$Q$7)),"x","")</f>
        <v/>
      </c>
      <c r="R4303" s="75" t="str">
        <f>IF(AND($N4303=$Q$7,$B4303&lt;'111'!$L$11),"x","")</f>
        <v/>
      </c>
      <c r="S4303" s="75" t="str">
        <f>IF(AND($O4303=$Q$7,$B4303&lt;'111'!$L$11),"x","")</f>
        <v>x</v>
      </c>
      <c r="T4303" s="75" t="str">
        <f>IF(ISERROR(FIND('112'!$M$9,G4303,1)),"",IF((AND(FIND('112'!$M$9,G4303,1)&gt;=1,B4303='112'!$K$9,OR($N4303='112'!$I$6,$O4303='112'!$I$6))),"x",""))</f>
        <v/>
      </c>
      <c r="U4303" s="75" t="str">
        <f>IF(ISERROR(FIND('112'!$M$9,G4303,1)),"",IF((AND(LEFT(G4303,2)=LEFT('112'!$M$9,2),B4303&lt;'112'!$K$9,$N4303='112'!$I$6)),"x",""))</f>
        <v/>
      </c>
      <c r="V4303" s="75" t="str">
        <f>IF(ISERROR(FIND('112'!$M$9,G4303,1)),"",IF((AND(RIGHT(G4303,2)=RIGHT('112'!$M$9,2),B4303&lt;'112'!$K$9,$O4303='112'!$I$6)),"x",""))</f>
        <v/>
      </c>
      <c r="W4303" s="75" t="str">
        <f>IF(AND('341-CT'!$H$9=H4303,OR(LEFT(N4303,3)=$W$7,LEFT(O4303,3)=$W$7)),"x","")</f>
        <v/>
      </c>
      <c r="X4303" s="75" t="str">
        <f>IF(OR(TH!N3730=TH!$X$7,O4303=TH!$X$7),"x","")</f>
        <v/>
      </c>
      <c r="Y4303" s="75" t="str">
        <f>IF(AND(OR(N4303="131",O4303="131"),H4303='131-CT'!$H$9),"x","")</f>
        <v/>
      </c>
      <c r="Z4303" s="75"/>
      <c r="AA4303" s="75" t="str">
        <f>IF(AND(MONTH(E4303)='IN-NX'!$J$5,'IN-NX'!$D$7=D4303),"x","")</f>
        <v/>
      </c>
      <c r="AB4303" s="75" t="str">
        <f>IF(AND(OR(LEFT(TH!N3730,2)="15",LEFT(TH!O3730,2)="15"),LEFT(TH!O3730,3)&lt;&gt;"111",'152-CT'!$J$8=TH!F3730),"x","")</f>
        <v/>
      </c>
      <c r="AC4303" s="75" t="str">
        <f>IF(AND(OR(LEFT(TH!N3730,2)="15",LEFT(TH!O3730,2)="15"),TK!$E$7=TH!F3730),"x","")</f>
        <v/>
      </c>
      <c r="AD4303" s="75" t="str">
        <f>IF(AND(N4303="1521",MONTH(C4303)='BK-NL'!$M$11),"x","")</f>
        <v/>
      </c>
    </row>
    <row r="4304" spans="1:31" ht="16.5" customHeight="1">
      <c r="A4304" s="309" t="str">
        <f>IF(B4304&lt;&gt;"",IF(AND(B4304='IN-TC'!$S$4,OR(TH!N4298="1111",TH!O4298="1111")),TH!D4298,""),"")</f>
        <v/>
      </c>
      <c r="B4304" s="1130">
        <f t="shared" si="1318"/>
        <v>6</v>
      </c>
      <c r="C4304" s="292">
        <f t="shared" si="1319"/>
        <v>42907</v>
      </c>
      <c r="D4304" s="292" t="s">
        <v>850</v>
      </c>
      <c r="E4304" s="59">
        <v>42907</v>
      </c>
      <c r="F4304" s="1127" t="s">
        <v>834</v>
      </c>
      <c r="G4304" s="62" t="s">
        <v>585</v>
      </c>
      <c r="H4304" s="67" t="s">
        <v>1023</v>
      </c>
      <c r="I4304" s="1165"/>
      <c r="J4304" s="908"/>
      <c r="K4304" s="375"/>
      <c r="L4304" s="381"/>
      <c r="M4304" s="60">
        <v>120000000</v>
      </c>
      <c r="N4304" s="61" t="s">
        <v>63</v>
      </c>
      <c r="O4304" s="61" t="s">
        <v>26</v>
      </c>
      <c r="P4304" s="75" t="str">
        <f>IF(AND('331-CT'!$E$7=TH!H4768,OR(N4304="331",O4304="331")),"x","")</f>
        <v/>
      </c>
      <c r="Q4304" s="75" t="str">
        <f>IF(AND(B4304='111'!$L$11,OR($N4304=$Q$7,$O4304=$Q$7)),"x","")</f>
        <v/>
      </c>
      <c r="R4304" s="75" t="str">
        <f>IF(AND($N4304=$Q$7,$B4304&lt;'111'!$L$11),"x","")</f>
        <v>x</v>
      </c>
      <c r="S4304" s="75" t="str">
        <f>IF(AND($O4304=$Q$7,$B4304&lt;'111'!$L$11),"x","")</f>
        <v/>
      </c>
      <c r="T4304" s="75" t="str">
        <f>IF(ISERROR(FIND('112'!$M$9,G4304,1)),"",IF((AND(FIND('112'!$M$9,G4304,1)&gt;=1,B4304='112'!$K$9,OR($N4304='112'!$I$6,$O4304='112'!$I$6))),"x",""))</f>
        <v/>
      </c>
      <c r="U4304" s="75" t="str">
        <f>IF(ISERROR(FIND('112'!$M$9,G4304,1)),"",IF((AND(LEFT(G4304,2)=LEFT('112'!$M$9,2),B4304&lt;'112'!$K$9,$N4304='112'!$I$6)),"x",""))</f>
        <v/>
      </c>
      <c r="V4304" s="75" t="str">
        <f>IF(ISERROR(FIND('112'!$M$9,G4304,1)),"",IF((AND(RIGHT(G4304,2)=RIGHT('112'!$M$9,2),B4304&lt;'112'!$K$9,$O4304='112'!$I$6)),"x",""))</f>
        <v/>
      </c>
      <c r="W4304" s="75" t="str">
        <f>IF(AND('341-CT'!$H$9=H4304,OR(LEFT(N4304,3)=$W$7,LEFT(O4304,3)=$W$7)),"x","")</f>
        <v/>
      </c>
      <c r="X4304" s="75" t="str">
        <f>IF(OR(TH!N4768=TH!$X$7,O4304=TH!$X$7),"x","")</f>
        <v>x</v>
      </c>
      <c r="Y4304" s="75" t="str">
        <f>IF(AND(OR(N4304="131",O4304="131"),H4304='131-CT'!$H$9),"x","")</f>
        <v/>
      </c>
      <c r="Z4304" s="75"/>
      <c r="AA4304" s="75" t="str">
        <f>IF(AND(MONTH(E4304)='IN-NX'!$J$5,'IN-NX'!$D$7=D4304),"x","")</f>
        <v/>
      </c>
      <c r="AB4304" s="75" t="str">
        <f>IF(AND(OR(LEFT(TH!N4768,2)="15",LEFT(TH!O4768,2)="15"),LEFT(TH!O4768,3)&lt;&gt;"111",'152-CT'!$J$8=TH!F4768),"x","")</f>
        <v/>
      </c>
      <c r="AC4304" s="75" t="str">
        <f>IF(AND(OR(LEFT(TH!N4768,2)="15",LEFT(TH!O4768,2)="15"),TK!$E$7=TH!F4768),"x","")</f>
        <v/>
      </c>
      <c r="AD4304" s="75" t="str">
        <f>IF(AND(N4304="1521",MONTH(C4304)='BK-NL'!$M$11),"x","")</f>
        <v/>
      </c>
    </row>
    <row r="4305" spans="1:33" ht="16.5" customHeight="1">
      <c r="A4305" s="309" t="str">
        <f>IF(B4305&lt;&gt;"",IF(AND(B4305='IN-TC'!$S$4,OR(TH!N4299="1111",TH!O4299="1111")),TH!D4299,""),"")</f>
        <v/>
      </c>
      <c r="B4305" s="1130">
        <f t="shared" si="1318"/>
        <v>6</v>
      </c>
      <c r="C4305" s="292">
        <f t="shared" si="1319"/>
        <v>42907</v>
      </c>
      <c r="D4305" s="59" t="s">
        <v>903</v>
      </c>
      <c r="E4305" s="59">
        <v>42907</v>
      </c>
      <c r="F4305" s="1127" t="s">
        <v>1086</v>
      </c>
      <c r="G4305" s="62" t="s">
        <v>585</v>
      </c>
      <c r="H4305" s="311" t="s">
        <v>802</v>
      </c>
      <c r="I4305" s="1165"/>
      <c r="J4305" s="908"/>
      <c r="K4305" s="375"/>
      <c r="L4305" s="381"/>
      <c r="M4305" s="60">
        <v>116270000</v>
      </c>
      <c r="N4305" s="61" t="s">
        <v>26</v>
      </c>
      <c r="O4305" s="61" t="s">
        <v>536</v>
      </c>
      <c r="P4305" s="75" t="str">
        <f>IF(AND('331-CT'!$E$7=TH!H4769,OR(N4305="331",O4305="331")),"x","")</f>
        <v/>
      </c>
      <c r="Q4305" s="75" t="str">
        <f>IF(AND(B4305='111'!$L$11,OR($N4305=$Q$7,$O4305=$Q$7)),"x","")</f>
        <v/>
      </c>
      <c r="R4305" s="75" t="str">
        <f>IF(AND($N4305=$Q$7,$B4305&lt;'111'!$L$11),"x","")</f>
        <v/>
      </c>
      <c r="S4305" s="75" t="str">
        <f>IF(AND($O4305=$Q$7,$B4305&lt;'111'!$L$11),"x","")</f>
        <v/>
      </c>
      <c r="T4305" s="75" t="str">
        <f>IF(ISERROR(FIND('112'!$M$9,G4305,1)),"",IF((AND(FIND('112'!$M$9,G4305,1)&gt;=1,B4305='112'!$K$9,OR($N4305='112'!$I$6,$O4305='112'!$I$6))),"x",""))</f>
        <v/>
      </c>
      <c r="U4305" s="75" t="str">
        <f>IF(ISERROR(FIND('112'!$M$9,G4305,1)),"",IF((AND(LEFT(G4305,2)=LEFT('112'!$M$9,2),B4305&lt;'112'!$K$9,$N4305='112'!$I$6)),"x",""))</f>
        <v/>
      </c>
      <c r="V4305" s="75" t="str">
        <f>IF(ISERROR(FIND('112'!$M$9,G4305,1)),"",IF((AND(RIGHT(G4305,2)=RIGHT('112'!$M$9,2),B4305&lt;'112'!$K$9,$O4305='112'!$I$6)),"x",""))</f>
        <v/>
      </c>
      <c r="W4305" s="75" t="str">
        <f>IF(AND('341-CT'!$H$9=H4305,OR(LEFT(N4305,3)=$W$7,LEFT(O4305,3)=$W$7)),"x","")</f>
        <v/>
      </c>
      <c r="X4305" s="75" t="str">
        <f>IF(OR(TH!N4769=TH!$X$7,O4305=TH!$X$7),"x","")</f>
        <v/>
      </c>
      <c r="Y4305" s="75" t="str">
        <f>IF(AND(OR(N4305="131",O4305="131"),H4305='131-CT'!$H$9),"x","")</f>
        <v/>
      </c>
      <c r="Z4305" s="75"/>
      <c r="AA4305" s="75" t="str">
        <f>IF(AND(MONTH(E4305)='IN-NX'!$J$5,'IN-NX'!$D$7=D4305),"x","")</f>
        <v/>
      </c>
      <c r="AB4305" s="75" t="str">
        <f>IF(AND(OR(LEFT(TH!N4769,2)="15",LEFT(TH!O4769,2)="15"),LEFT(TH!O4769,3)&lt;&gt;"111",'152-CT'!$J$8=TH!F4769),"x","")</f>
        <v/>
      </c>
      <c r="AC4305" s="75" t="str">
        <f>IF(AND(OR(LEFT(TH!N4769,2)="15",LEFT(TH!O4769,2)="15"),TK!$E$7=TH!F4769),"x","")</f>
        <v/>
      </c>
      <c r="AD4305" s="75" t="str">
        <f>IF(AND(N4305="1521",MONTH(C4305)='BK-NL'!$M$11),"x","")</f>
        <v/>
      </c>
    </row>
    <row r="4306" spans="1:33" ht="16.5" customHeight="1">
      <c r="A4306" s="309" t="str">
        <f>IF(B4306&lt;&gt;"",IF(AND(B4306='IN-TC'!$S$4,OR(TH!N4300="1111",TH!O4300="1111")),TH!D4300,""),"")</f>
        <v/>
      </c>
      <c r="B4306" s="1130">
        <f t="shared" si="1318"/>
        <v>6</v>
      </c>
      <c r="C4306" s="292">
        <f t="shared" si="1319"/>
        <v>42907</v>
      </c>
      <c r="D4306" s="59" t="s">
        <v>902</v>
      </c>
      <c r="E4306" s="59">
        <v>42907</v>
      </c>
      <c r="F4306" s="67" t="s">
        <v>1606</v>
      </c>
      <c r="G4306" s="62" t="s">
        <v>585</v>
      </c>
      <c r="H4306" s="311" t="s">
        <v>845</v>
      </c>
      <c r="I4306" s="1165"/>
      <c r="J4306" s="908"/>
      <c r="K4306" s="375"/>
      <c r="L4306" s="381"/>
      <c r="M4306" s="60">
        <v>33906</v>
      </c>
      <c r="N4306" s="61" t="s">
        <v>101</v>
      </c>
      <c r="O4306" s="61" t="s">
        <v>26</v>
      </c>
      <c r="P4306" s="75" t="str">
        <f>IF(AND('331-CT'!$E$7=TH!H4770,OR(N4306="331",O4306="331")),"x","")</f>
        <v/>
      </c>
      <c r="Q4306" s="75" t="str">
        <f>IF(AND(B4306='111'!$L$11,OR($N4306=$Q$7,$O4306=$Q$7)),"x","")</f>
        <v/>
      </c>
      <c r="R4306" s="75" t="str">
        <f>IF(AND($N4306=$Q$7,$B4306&lt;'111'!$L$11),"x","")</f>
        <v/>
      </c>
      <c r="S4306" s="75" t="str">
        <f>IF(AND($O4306=$Q$7,$B4306&lt;'111'!$L$11),"x","")</f>
        <v/>
      </c>
      <c r="T4306" s="75" t="str">
        <f>IF(ISERROR(FIND('112'!$M$9,G4306,1)),"",IF((AND(FIND('112'!$M$9,G4306,1)&gt;=1,B4306='112'!$K$9,OR($N4306='112'!$I$6,$O4306='112'!$I$6))),"x",""))</f>
        <v/>
      </c>
      <c r="U4306" s="75" t="str">
        <f>IF(ISERROR(FIND('112'!$M$9,G4306,1)),"",IF((AND(LEFT(G4306,2)=LEFT('112'!$M$9,2),B4306&lt;'112'!$K$9,$N4306='112'!$I$6)),"x",""))</f>
        <v/>
      </c>
      <c r="V4306" s="75" t="str">
        <f>IF(ISERROR(FIND('112'!$M$9,G4306,1)),"",IF((AND(RIGHT(G4306,2)=RIGHT('112'!$M$9,2),B4306&lt;'112'!$K$9,$O4306='112'!$I$6)),"x",""))</f>
        <v/>
      </c>
      <c r="W4306" s="75" t="str">
        <f>IF(AND('341-CT'!$H$9=H4306,OR(LEFT(N4306,3)=$W$7,LEFT(O4306,3)=$W$7)),"x","")</f>
        <v/>
      </c>
      <c r="X4306" s="75" t="str">
        <f>IF(OR(TH!N4770=TH!$X$7,O4306=TH!$X$7),"x","")</f>
        <v/>
      </c>
      <c r="Y4306" s="75" t="str">
        <f>IF(AND(OR(N4306="131",O4306="131"),H4306='131-CT'!$H$9),"x","")</f>
        <v/>
      </c>
      <c r="Z4306" s="75"/>
      <c r="AA4306" s="75" t="str">
        <f>IF(AND(MONTH(E4306)='IN-NX'!$J$5,'IN-NX'!$D$7=D4306),"x","")</f>
        <v/>
      </c>
      <c r="AB4306" s="75" t="str">
        <f>IF(AND(OR(LEFT(TH!N4770,2)="15",LEFT(TH!O4770,2)="15"),LEFT(TH!O4770,3)&lt;&gt;"111",'152-CT'!$J$8=TH!F4770),"x","")</f>
        <v/>
      </c>
      <c r="AC4306" s="75" t="str">
        <f>IF(AND(OR(LEFT(TH!N4770,2)="15",LEFT(TH!O4770,2)="15"),TK!$E$7=TH!F4770),"x","")</f>
        <v/>
      </c>
      <c r="AD4306" s="75" t="str">
        <f>IF(AND(N4306="1521",MONTH(C4306)='BK-NL'!$M$11),"x","")</f>
        <v/>
      </c>
    </row>
    <row r="4307" spans="1:33" ht="16.5" customHeight="1">
      <c r="A4307" s="309" t="str">
        <f>IF(B4307&lt;&gt;"",IF(AND(B4307='IN-TC'!$S$4,OR(TH!N4301="1111",TH!O4301="1111")),TH!D4301,""),"")</f>
        <v/>
      </c>
      <c r="B4307" s="1130">
        <f t="shared" ref="B4307:B4370" si="1320">IF(C4307&lt;&gt;"",MONTH(C4307),"")</f>
        <v>6</v>
      </c>
      <c r="C4307" s="292">
        <f t="shared" si="1319"/>
        <v>42907</v>
      </c>
      <c r="D4307" s="59" t="s">
        <v>902</v>
      </c>
      <c r="E4307" s="59">
        <v>42907</v>
      </c>
      <c r="F4307" s="67" t="s">
        <v>1607</v>
      </c>
      <c r="G4307" s="62" t="s">
        <v>585</v>
      </c>
      <c r="H4307" s="311" t="s">
        <v>845</v>
      </c>
      <c r="I4307" s="1165"/>
      <c r="J4307" s="908"/>
      <c r="K4307" s="375"/>
      <c r="L4307" s="381"/>
      <c r="M4307" s="60">
        <v>3391</v>
      </c>
      <c r="N4307" s="61" t="s">
        <v>9</v>
      </c>
      <c r="O4307" s="61" t="s">
        <v>26</v>
      </c>
      <c r="P4307" s="75" t="str">
        <f>IF(AND('331-CT'!$E$7=TH!H4771,OR(N4307="331",O4307="331")),"x","")</f>
        <v/>
      </c>
      <c r="Q4307" s="75" t="str">
        <f>IF(AND(B4307='111'!$L$11,OR($N4307=$Q$7,$O4307=$Q$7)),"x","")</f>
        <v/>
      </c>
      <c r="R4307" s="75" t="str">
        <f>IF(AND($N4307=$Q$7,$B4307&lt;'111'!$L$11),"x","")</f>
        <v/>
      </c>
      <c r="S4307" s="75" t="str">
        <f>IF(AND($O4307=$Q$7,$B4307&lt;'111'!$L$11),"x","")</f>
        <v/>
      </c>
      <c r="T4307" s="75" t="str">
        <f>IF(ISERROR(FIND('112'!$M$9,G4307,1)),"",IF((AND(FIND('112'!$M$9,G4307,1)&gt;=1,B4307='112'!$K$9,OR($N4307='112'!$I$6,$O4307='112'!$I$6))),"x",""))</f>
        <v/>
      </c>
      <c r="U4307" s="75" t="str">
        <f>IF(ISERROR(FIND('112'!$M$9,G4307,1)),"",IF((AND(LEFT(G4307,2)=LEFT('112'!$M$9,2),B4307&lt;'112'!$K$9,$N4307='112'!$I$6)),"x",""))</f>
        <v/>
      </c>
      <c r="V4307" s="75" t="str">
        <f>IF(ISERROR(FIND('112'!$M$9,G4307,1)),"",IF((AND(RIGHT(G4307,2)=RIGHT('112'!$M$9,2),B4307&lt;'112'!$K$9,$O4307='112'!$I$6)),"x",""))</f>
        <v/>
      </c>
      <c r="W4307" s="75" t="str">
        <f>IF(AND('341-CT'!$H$9=H4307,OR(LEFT(N4307,3)=$W$7,LEFT(O4307,3)=$W$7)),"x","")</f>
        <v/>
      </c>
      <c r="X4307" s="75" t="str">
        <f>IF(OR(TH!N4771=TH!$X$7,O4307=TH!$X$7),"x","")</f>
        <v/>
      </c>
      <c r="Y4307" s="75" t="str">
        <f>IF(AND(OR(N4307="131",O4307="131"),H4307='131-CT'!$H$9),"x","")</f>
        <v/>
      </c>
      <c r="Z4307" s="75"/>
      <c r="AA4307" s="75" t="str">
        <f>IF(AND(MONTH(E4307)='IN-NX'!$J$5,'IN-NX'!$D$7=D4307),"x","")</f>
        <v/>
      </c>
      <c r="AB4307" s="75" t="str">
        <f>IF(AND(OR(LEFT(TH!N4771,2)="15",LEFT(TH!O4771,2)="15"),LEFT(TH!O4771,3)&lt;&gt;"111",'152-CT'!$J$8=TH!F4771),"x","")</f>
        <v/>
      </c>
      <c r="AC4307" s="75" t="str">
        <f>IF(AND(OR(LEFT(TH!N4771,2)="15",LEFT(TH!O4771,2)="15"),TK!$E$7=TH!F4771),"x","")</f>
        <v/>
      </c>
      <c r="AD4307" s="75" t="str">
        <f>IF(AND(N4307="1521",MONTH(C4307)='BK-NL'!$M$11),"x","")</f>
        <v/>
      </c>
    </row>
    <row r="4308" spans="1:33" ht="16.5" customHeight="1">
      <c r="A4308" s="309" t="str">
        <f>IF(B4308&lt;&gt;"",IF(AND(B4308='IN-TC'!$S$4,OR(TH!N4302="1111",TH!O4302="1111")),TH!D4302,""),"")</f>
        <v/>
      </c>
      <c r="B4308" s="1130">
        <f t="shared" si="1320"/>
        <v>6</v>
      </c>
      <c r="C4308" s="292">
        <f t="shared" si="1319"/>
        <v>42907</v>
      </c>
      <c r="D4308" s="59" t="s">
        <v>902</v>
      </c>
      <c r="E4308" s="59">
        <v>42907</v>
      </c>
      <c r="F4308" s="67" t="s">
        <v>897</v>
      </c>
      <c r="G4308" s="62" t="s">
        <v>747</v>
      </c>
      <c r="H4308" s="67" t="s">
        <v>623</v>
      </c>
      <c r="I4308" s="373"/>
      <c r="J4308" s="379"/>
      <c r="K4308" s="373"/>
      <c r="L4308" s="379"/>
      <c r="M4308" s="60">
        <v>7450000000</v>
      </c>
      <c r="N4308" s="61" t="s">
        <v>8</v>
      </c>
      <c r="O4308" s="61" t="s">
        <v>26</v>
      </c>
      <c r="P4308" s="75" t="str">
        <f>IF(AND('331-CT'!$E$7=TH!H5233,OR(N4308="331",O4308="331")),"x","")</f>
        <v/>
      </c>
      <c r="Q4308" s="75" t="str">
        <f>IF(AND(B4308='111'!$L$11,OR($N4308=$Q$7,$O4308=$Q$7)),"x","")</f>
        <v/>
      </c>
      <c r="R4308" s="75" t="str">
        <f>IF(AND($N4308=$Q$7,$B4308&lt;'111'!$L$11),"x","")</f>
        <v/>
      </c>
      <c r="S4308" s="75" t="str">
        <f>IF(AND($O4308=$Q$7,$B4308&lt;'111'!$L$11),"x","")</f>
        <v/>
      </c>
      <c r="T4308" s="75" t="str">
        <f>IF(ISERROR(FIND('112'!$M$9,G4308,1)),"",IF((AND(FIND('112'!$M$9,G4308,1)&gt;=1,B4308='112'!$K$9,OR($N4308='112'!$I$6,$O4308='112'!$I$6))),"x",""))</f>
        <v/>
      </c>
      <c r="U4308" s="75" t="str">
        <f>IF(ISERROR(FIND('112'!$M$9,G4308,1)),"",IF((AND(LEFT(G4308,2)=LEFT('112'!$M$9,2),B4308&lt;'112'!$K$9,$N4308='112'!$I$6)),"x",""))</f>
        <v/>
      </c>
      <c r="V4308" s="75" t="str">
        <f>IF(ISERROR(FIND('112'!$M$9,G4308,1)),"",IF((AND(RIGHT(G4308,2)=RIGHT('112'!$M$9,2),B4308&lt;'112'!$K$9,$O4308='112'!$I$6)),"x",""))</f>
        <v/>
      </c>
      <c r="W4308" s="75" t="str">
        <f>IF(AND('341-CT'!$H$9=H4308,OR(LEFT(N4308,3)=$W$7,LEFT(O4308,3)=$W$7)),"x","")</f>
        <v/>
      </c>
      <c r="X4308" s="75" t="str">
        <f>IF(OR(TH!N5233=TH!$X$7,O4308=TH!$X$7),"x","")</f>
        <v/>
      </c>
      <c r="Y4308" s="75" t="str">
        <f>IF(AND(OR(N4308="131",O4308="131"),H4308='131-CT'!$H$9),"x","")</f>
        <v/>
      </c>
      <c r="Z4308" s="75"/>
      <c r="AA4308" s="75" t="str">
        <f>IF(AND(MONTH(E4308)='IN-NX'!$J$5,'IN-NX'!$D$7=D4308),"x","")</f>
        <v/>
      </c>
      <c r="AB4308" s="75" t="str">
        <f>IF(AND(OR(LEFT(TH!N5233,2)="15",LEFT(TH!O5233,2)="15"),LEFT(TH!O5233,3)&lt;&gt;"111",'152-CT'!$J$8=TH!F5233),"x","")</f>
        <v/>
      </c>
      <c r="AC4308" s="75" t="str">
        <f>IF(AND(OR(LEFT(TH!N5233,2)="15",LEFT(TH!O5233,2)="15"),TK!$E$7=TH!F5233),"x","")</f>
        <v/>
      </c>
      <c r="AD4308" s="75" t="str">
        <f>IF(AND(N4308="1521",MONTH(C4308)='BK-NL'!$M$11),"x","")</f>
        <v/>
      </c>
    </row>
    <row r="4309" spans="1:33" ht="16.5" customHeight="1">
      <c r="A4309" s="309" t="str">
        <f>IF(B4309&lt;&gt;"",IF(AND(B4309='IN-TC'!$S$4,OR(TH!N4303="1111",TH!O4303="1111")),TH!D4303,""),"")</f>
        <v/>
      </c>
      <c r="B4309" s="1130">
        <f t="shared" si="1320"/>
        <v>6</v>
      </c>
      <c r="C4309" s="292">
        <f t="shared" si="1319"/>
        <v>42907</v>
      </c>
      <c r="D4309" s="59" t="s">
        <v>902</v>
      </c>
      <c r="E4309" s="59">
        <v>42907</v>
      </c>
      <c r="F4309" s="67" t="s">
        <v>870</v>
      </c>
      <c r="G4309" s="62" t="s">
        <v>747</v>
      </c>
      <c r="H4309" s="67" t="s">
        <v>835</v>
      </c>
      <c r="I4309" s="375"/>
      <c r="J4309" s="381"/>
      <c r="K4309" s="375"/>
      <c r="L4309" s="381"/>
      <c r="M4309" s="60">
        <v>1000000</v>
      </c>
      <c r="N4309" s="61" t="s">
        <v>101</v>
      </c>
      <c r="O4309" s="61" t="s">
        <v>26</v>
      </c>
      <c r="P4309" s="75" t="str">
        <f>IF(AND('331-CT'!$E$7=TH!H5239,OR(N4309="331",O4309="331")),"x","")</f>
        <v/>
      </c>
      <c r="Q4309" s="75" t="str">
        <f>IF(AND(B4309='111'!$L$11,OR($N4309=$Q$7,$O4309=$Q$7)),"x","")</f>
        <v/>
      </c>
      <c r="R4309" s="75" t="str">
        <f>IF(AND($N4309=$Q$7,$B4309&lt;'111'!$L$11),"x","")</f>
        <v/>
      </c>
      <c r="S4309" s="75" t="str">
        <f>IF(AND($O4309=$Q$7,$B4309&lt;'111'!$L$11),"x","")</f>
        <v/>
      </c>
      <c r="T4309" s="75" t="str">
        <f>IF(ISERROR(FIND('112'!$M$9,G4309,1)),"",IF((AND(FIND('112'!$M$9,G4309,1)&gt;=1,B4309='112'!$K$9,OR($N4309='112'!$I$6,$O4309='112'!$I$6))),"x",""))</f>
        <v/>
      </c>
      <c r="U4309" s="75" t="str">
        <f>IF(ISERROR(FIND('112'!$M$9,G4309,1)),"",IF((AND(LEFT(G4309,2)=LEFT('112'!$M$9,2),B4309&lt;'112'!$K$9,$N4309='112'!$I$6)),"x",""))</f>
        <v/>
      </c>
      <c r="V4309" s="75" t="str">
        <f>IF(ISERROR(FIND('112'!$M$9,G4309,1)),"",IF((AND(RIGHT(G4309,2)=RIGHT('112'!$M$9,2),B4309&lt;'112'!$K$9,$O4309='112'!$I$6)),"x",""))</f>
        <v/>
      </c>
      <c r="W4309" s="75" t="str">
        <f>IF(AND('341-CT'!$H$9=H4309,OR(LEFT(N4309,3)=$W$7,LEFT(O4309,3)=$W$7)),"x","")</f>
        <v/>
      </c>
      <c r="X4309" s="75" t="str">
        <f>IF(OR(TH!N5239=TH!$X$7,O4309=TH!$X$7),"x","")</f>
        <v/>
      </c>
      <c r="Y4309" s="75" t="str">
        <f>IF(AND(OR(N4309="131",O4309="131"),H4309='131-CT'!$H$9),"x","")</f>
        <v/>
      </c>
      <c r="Z4309" s="75"/>
      <c r="AA4309" s="75" t="str">
        <f>IF(AND(MONTH(E4309)='IN-NX'!$J$5,'IN-NX'!$D$7=D4309),"x","")</f>
        <v/>
      </c>
      <c r="AB4309" s="75" t="str">
        <f>IF(AND(OR(LEFT(TH!N5239,2)="15",LEFT(TH!O5239,2)="15"),LEFT(TH!O5239,3)&lt;&gt;"111",'152-CT'!$J$8=TH!F5239),"x","")</f>
        <v/>
      </c>
      <c r="AC4309" s="75" t="str">
        <f>IF(AND(OR(LEFT(TH!N5239,2)="15",LEFT(TH!O5239,2)="15"),TK!$E$7=TH!F5239),"x","")</f>
        <v/>
      </c>
      <c r="AD4309" s="75" t="str">
        <f>IF(AND(N4309="1521",MONTH(C4309)='BK-NL'!$M$11),"x","")</f>
        <v/>
      </c>
    </row>
    <row r="4310" spans="1:33" ht="16.5" customHeight="1">
      <c r="A4310" s="309" t="str">
        <f>IF(B4310&lt;&gt;"",IF(AND(B4310='IN-TC'!$S$4,OR(TH!N4304="1111",TH!O4304="1111")),TH!D4304,""),"")</f>
        <v/>
      </c>
      <c r="B4310" s="1130">
        <f t="shared" si="1320"/>
        <v>6</v>
      </c>
      <c r="C4310" s="292">
        <f t="shared" si="1319"/>
        <v>42907</v>
      </c>
      <c r="D4310" s="59" t="s">
        <v>902</v>
      </c>
      <c r="E4310" s="59">
        <v>42907</v>
      </c>
      <c r="F4310" s="67" t="s">
        <v>898</v>
      </c>
      <c r="G4310" s="62" t="s">
        <v>747</v>
      </c>
      <c r="H4310" s="67" t="s">
        <v>835</v>
      </c>
      <c r="I4310" s="375"/>
      <c r="J4310" s="381"/>
      <c r="K4310" s="375"/>
      <c r="L4310" s="381"/>
      <c r="M4310" s="60">
        <v>100000</v>
      </c>
      <c r="N4310" s="61" t="s">
        <v>9</v>
      </c>
      <c r="O4310" s="61" t="s">
        <v>26</v>
      </c>
      <c r="P4310" s="75" t="str">
        <f>IF(AND('331-CT'!$E$7=TH!H5240,OR(N4310="331",O4310="331")),"x","")</f>
        <v/>
      </c>
      <c r="Q4310" s="75" t="str">
        <f>IF(AND(B4310='111'!$L$11,OR($N4310=$Q$7,$O4310=$Q$7)),"x","")</f>
        <v/>
      </c>
      <c r="R4310" s="75" t="str">
        <f>IF(AND($N4310=$Q$7,$B4310&lt;'111'!$L$11),"x","")</f>
        <v/>
      </c>
      <c r="S4310" s="75" t="str">
        <f>IF(AND($O4310=$Q$7,$B4310&lt;'111'!$L$11),"x","")</f>
        <v/>
      </c>
      <c r="T4310" s="75" t="str">
        <f>IF(ISERROR(FIND('112'!$M$9,G4310,1)),"",IF((AND(FIND('112'!$M$9,G4310,1)&gt;=1,B4310='112'!$K$9,OR($N4310='112'!$I$6,$O4310='112'!$I$6))),"x",""))</f>
        <v/>
      </c>
      <c r="U4310" s="75" t="str">
        <f>IF(ISERROR(FIND('112'!$M$9,G4310,1)),"",IF((AND(LEFT(G4310,2)=LEFT('112'!$M$9,2),B4310&lt;'112'!$K$9,$N4310='112'!$I$6)),"x",""))</f>
        <v/>
      </c>
      <c r="V4310" s="75" t="str">
        <f>IF(ISERROR(FIND('112'!$M$9,G4310,1)),"",IF((AND(RIGHT(G4310,2)=RIGHT('112'!$M$9,2),B4310&lt;'112'!$K$9,$O4310='112'!$I$6)),"x",""))</f>
        <v/>
      </c>
      <c r="W4310" s="75" t="str">
        <f>IF(AND('341-CT'!$H$9=H4310,OR(LEFT(N4310,3)=$W$7,LEFT(O4310,3)=$W$7)),"x","")</f>
        <v/>
      </c>
      <c r="X4310" s="75" t="str">
        <f>IF(OR(TH!N5240=TH!$X$7,O4310=TH!$X$7),"x","")</f>
        <v/>
      </c>
      <c r="Y4310" s="75" t="str">
        <f>IF(AND(OR(N4310="131",O4310="131"),H4310='131-CT'!$H$9),"x","")</f>
        <v/>
      </c>
      <c r="Z4310" s="75"/>
      <c r="AA4310" s="75" t="str">
        <f>IF(AND(MONTH(E4310)='IN-NX'!$J$5,'IN-NX'!$D$7=D4310),"x","")</f>
        <v/>
      </c>
      <c r="AB4310" s="75" t="str">
        <f>IF(AND(OR(LEFT(TH!N5240,2)="15",LEFT(TH!O5240,2)="15"),LEFT(TH!O5240,3)&lt;&gt;"111",'152-CT'!$J$8=TH!F5240),"x","")</f>
        <v/>
      </c>
      <c r="AC4310" s="75" t="str">
        <f>IF(AND(OR(LEFT(TH!N5240,2)="15",LEFT(TH!O5240,2)="15"),TK!$E$7=TH!F5240),"x","")</f>
        <v/>
      </c>
      <c r="AD4310" s="75" t="str">
        <f>IF(AND(N4310="1521",MONTH(C4310)='BK-NL'!$M$11),"x","")</f>
        <v/>
      </c>
    </row>
    <row r="4311" spans="1:33" ht="16.5" customHeight="1">
      <c r="A4311" s="309" t="str">
        <f>IF(B4311&lt;&gt;"",IF(AND(B4311='IN-TC'!$S$4,OR(TH!N4305="1111",TH!O4305="1111")),TH!D4305,""),"")</f>
        <v/>
      </c>
      <c r="B4311" s="1130">
        <f t="shared" si="1320"/>
        <v>6</v>
      </c>
      <c r="C4311" s="292">
        <f t="shared" si="1319"/>
        <v>42909</v>
      </c>
      <c r="D4311" s="292"/>
      <c r="E4311" s="292">
        <v>42909</v>
      </c>
      <c r="F4311" s="67" t="s">
        <v>1228</v>
      </c>
      <c r="G4311" s="925" t="s">
        <v>1714</v>
      </c>
      <c r="H4311" s="294" t="s">
        <v>965</v>
      </c>
      <c r="I4311" s="373"/>
      <c r="J4311" s="926"/>
      <c r="K4311" s="373"/>
      <c r="L4311" s="379"/>
      <c r="M4311" s="927">
        <v>354533</v>
      </c>
      <c r="N4311" s="295" t="s">
        <v>101</v>
      </c>
      <c r="O4311" s="295" t="s">
        <v>63</v>
      </c>
      <c r="P4311" s="75" t="str">
        <f>IF(AND('331-CT'!$E$7=TH!H3731,OR(N4311="331",O4311="331")),"x","")</f>
        <v/>
      </c>
      <c r="Q4311" s="75" t="str">
        <f>IF(AND(B4311='111'!$L$11,OR($N4311=$Q$7,$O4311=$Q$7)),"x","")</f>
        <v/>
      </c>
      <c r="R4311" s="75" t="str">
        <f>IF(AND($N4311=$Q$7,$B4311&lt;'111'!$L$11),"x","")</f>
        <v/>
      </c>
      <c r="S4311" s="75" t="str">
        <f>IF(AND($O4311=$Q$7,$B4311&lt;'111'!$L$11),"x","")</f>
        <v>x</v>
      </c>
      <c r="T4311" s="75" t="str">
        <f>IF(ISERROR(FIND('112'!$M$9,G4311,1)),"",IF((AND(FIND('112'!$M$9,G4311,1)&gt;=1,B4311='112'!$K$9,OR($N4311='112'!$I$6,$O4311='112'!$I$6))),"x",""))</f>
        <v/>
      </c>
      <c r="U4311" s="75" t="str">
        <f>IF(ISERROR(FIND('112'!$M$9,G4311,1)),"",IF((AND(LEFT(G4311,2)=LEFT('112'!$M$9,2),B4311&lt;'112'!$K$9,$N4311='112'!$I$6)),"x",""))</f>
        <v/>
      </c>
      <c r="V4311" s="75" t="str">
        <f>IF(ISERROR(FIND('112'!$M$9,G4311,1)),"",IF((AND(RIGHT(G4311,2)=RIGHT('112'!$M$9,2),B4311&lt;'112'!$K$9,$O4311='112'!$I$6)),"x",""))</f>
        <v/>
      </c>
      <c r="W4311" s="75" t="str">
        <f>IF(AND('341-CT'!$H$9=H4311,OR(LEFT(N4311,3)=$W$7,LEFT(O4311,3)=$W$7)),"x","")</f>
        <v/>
      </c>
      <c r="X4311" s="75" t="str">
        <f>IF(OR(TH!N3731=TH!$X$7,O4311=TH!$X$7),"x","")</f>
        <v/>
      </c>
      <c r="Y4311" s="75" t="str">
        <f>IF(AND(OR(N4311="131",O4311="131"),H4311='131-CT'!$H$9),"x","")</f>
        <v/>
      </c>
      <c r="Z4311" s="75"/>
      <c r="AA4311" s="75" t="str">
        <f>IF(AND(MONTH(E4311)='IN-NX'!$J$5,'IN-NX'!$D$7=D4311),"x","")</f>
        <v/>
      </c>
      <c r="AB4311" s="75" t="str">
        <f>IF(AND(OR(LEFT(TH!N3731,2)="15",LEFT(TH!O3731,2)="15"),LEFT(TH!O3731,3)&lt;&gt;"111",'152-CT'!$J$8=TH!F3731),"x","")</f>
        <v/>
      </c>
      <c r="AC4311" s="75" t="str">
        <f>IF(AND(OR(LEFT(TH!N3731,2)="15",LEFT(TH!O3731,2)="15"),TK!$E$7=TH!F3731),"x","")</f>
        <v/>
      </c>
      <c r="AD4311" s="75" t="str">
        <f>IF(AND(N4311="1521",MONTH(C4311)='BK-NL'!$M$11),"x","")</f>
        <v/>
      </c>
    </row>
    <row r="4312" spans="1:33" ht="16.5" customHeight="1">
      <c r="A4312" s="309" t="str">
        <f>IF(B4312&lt;&gt;"",IF(AND(B4312='IN-TC'!$S$4,OR(TH!N4306="1111",TH!O4306="1111")),TH!D4306,""),"")</f>
        <v/>
      </c>
      <c r="B4312" s="1130">
        <f t="shared" si="1320"/>
        <v>6</v>
      </c>
      <c r="C4312" s="292">
        <f t="shared" si="1319"/>
        <v>42909</v>
      </c>
      <c r="D4312" s="292"/>
      <c r="E4312" s="292">
        <v>42909</v>
      </c>
      <c r="F4312" s="1127" t="s">
        <v>1229</v>
      </c>
      <c r="G4312" s="925" t="s">
        <v>1714</v>
      </c>
      <c r="H4312" s="294" t="s">
        <v>965</v>
      </c>
      <c r="I4312" s="373"/>
      <c r="J4312" s="926"/>
      <c r="K4312" s="373"/>
      <c r="L4312" s="379"/>
      <c r="M4312" s="927">
        <v>35453</v>
      </c>
      <c r="N4312" s="295" t="s">
        <v>9</v>
      </c>
      <c r="O4312" s="295" t="s">
        <v>63</v>
      </c>
      <c r="P4312" s="75" t="str">
        <f>IF(AND('331-CT'!$E$7=TH!H3732,OR(N4312="331",O4312="331")),"x","")</f>
        <v/>
      </c>
      <c r="Q4312" s="75" t="str">
        <f>IF(AND(B4312='111'!$L$11,OR($N4312=$Q$7,$O4312=$Q$7)),"x","")</f>
        <v/>
      </c>
      <c r="R4312" s="75" t="str">
        <f>IF(AND($N4312=$Q$7,$B4312&lt;'111'!$L$11),"x","")</f>
        <v/>
      </c>
      <c r="S4312" s="75" t="str">
        <f>IF(AND($O4312=$Q$7,$B4312&lt;'111'!$L$11),"x","")</f>
        <v>x</v>
      </c>
      <c r="T4312" s="75" t="str">
        <f>IF(ISERROR(FIND('112'!$M$9,G4312,1)),"",IF((AND(FIND('112'!$M$9,G4312,1)&gt;=1,B4312='112'!$K$9,OR($N4312='112'!$I$6,$O4312='112'!$I$6))),"x",""))</f>
        <v/>
      </c>
      <c r="U4312" s="75" t="str">
        <f>IF(ISERROR(FIND('112'!$M$9,G4312,1)),"",IF((AND(LEFT(G4312,2)=LEFT('112'!$M$9,2),B4312&lt;'112'!$K$9,$N4312='112'!$I$6)),"x",""))</f>
        <v/>
      </c>
      <c r="V4312" s="75" t="str">
        <f>IF(ISERROR(FIND('112'!$M$9,G4312,1)),"",IF((AND(RIGHT(G4312,2)=RIGHT('112'!$M$9,2),B4312&lt;'112'!$K$9,$O4312='112'!$I$6)),"x",""))</f>
        <v/>
      </c>
      <c r="W4312" s="75" t="str">
        <f>IF(AND('341-CT'!$H$9=H4312,OR(LEFT(N4312,3)=$W$7,LEFT(O4312,3)=$W$7)),"x","")</f>
        <v/>
      </c>
      <c r="X4312" s="75" t="str">
        <f>IF(OR(TH!N3732=TH!$X$7,O4312=TH!$X$7),"x","")</f>
        <v/>
      </c>
      <c r="Y4312" s="75" t="str">
        <f>IF(AND(OR(N4312="131",O4312="131"),H4312='131-CT'!$H$9),"x","")</f>
        <v/>
      </c>
      <c r="Z4312" s="75"/>
      <c r="AA4312" s="75" t="str">
        <f>IF(AND(MONTH(E4312)='IN-NX'!$J$5,'IN-NX'!$D$7=D4312),"x","")</f>
        <v/>
      </c>
      <c r="AB4312" s="75" t="str">
        <f>IF(AND(OR(LEFT(TH!N3732,2)="15",LEFT(TH!O3732,2)="15"),LEFT(TH!O3732,3)&lt;&gt;"111",'152-CT'!$J$8=TH!F3732),"x","")</f>
        <v/>
      </c>
      <c r="AC4312" s="75" t="str">
        <f>IF(AND(OR(LEFT(TH!N3732,2)="15",LEFT(TH!O3732,2)="15"),TK!$E$7=TH!F3732),"x","")</f>
        <v/>
      </c>
      <c r="AD4312" s="75" t="str">
        <f>IF(AND(N4312="1521",MONTH(C4312)='BK-NL'!$M$11),"x","")</f>
        <v/>
      </c>
    </row>
    <row r="4313" spans="1:33" ht="16.5" customHeight="1">
      <c r="A4313" s="309" t="str">
        <f>IF(B4313&lt;&gt;"",IF(AND(B4313='IN-TC'!$S$4,OR(TH!N4307="1111",TH!O4307="1111")),TH!D4307,""),"")</f>
        <v/>
      </c>
      <c r="B4313" s="1130">
        <f t="shared" si="1320"/>
        <v>6</v>
      </c>
      <c r="C4313" s="292">
        <f t="shared" si="1319"/>
        <v>42909</v>
      </c>
      <c r="D4313" s="292"/>
      <c r="E4313" s="292">
        <v>42909</v>
      </c>
      <c r="F4313" s="1127" t="s">
        <v>885</v>
      </c>
      <c r="G4313" s="943" t="s">
        <v>1713</v>
      </c>
      <c r="H4313" s="294" t="s">
        <v>1023</v>
      </c>
      <c r="I4313" s="373"/>
      <c r="J4313" s="926"/>
      <c r="K4313" s="373"/>
      <c r="L4313" s="379"/>
      <c r="M4313" s="927">
        <v>40000000</v>
      </c>
      <c r="N4313" s="295" t="s">
        <v>26</v>
      </c>
      <c r="O4313" s="295" t="s">
        <v>63</v>
      </c>
      <c r="P4313" s="75" t="str">
        <f>IF(AND('331-CT'!$E$7=TH!H4440,OR(N4313="331",O4313="331")),"x","")</f>
        <v/>
      </c>
      <c r="Q4313" s="75" t="str">
        <f>IF(AND(B4313='111'!$L$11,OR($N4313=$Q$7,$O4313=$Q$7)),"x","")</f>
        <v/>
      </c>
      <c r="R4313" s="75" t="str">
        <f>IF(AND($N4313=$Q$7,$B4313&lt;'111'!$L$11),"x","")</f>
        <v/>
      </c>
      <c r="S4313" s="75" t="str">
        <f>IF(AND($O4313=$Q$7,$B4313&lt;'111'!$L$11),"x","")</f>
        <v>x</v>
      </c>
      <c r="T4313" s="75" t="str">
        <f>IF(ISERROR(FIND('112'!$M$9,G4313,1)),"",IF((AND(FIND('112'!$M$9,G4313,1)&gt;=1,B4313='112'!$K$9,OR($N4313='112'!$I$6,$O4313='112'!$I$6))),"x",""))</f>
        <v/>
      </c>
      <c r="U4313" s="75" t="str">
        <f>IF(ISERROR(FIND('112'!$M$9,G4313,1)),"",IF((AND(LEFT(G4313,2)=LEFT('112'!$M$9,2),B4313&lt;'112'!$K$9,$N4313='112'!$I$6)),"x",""))</f>
        <v/>
      </c>
      <c r="V4313" s="75" t="str">
        <f>IF(ISERROR(FIND('112'!$M$9,G4313,1)),"",IF((AND(RIGHT(G4313,2)=RIGHT('112'!$M$9,2),B4313&lt;'112'!$K$9,$O4313='112'!$I$6)),"x",""))</f>
        <v/>
      </c>
      <c r="W4313" s="75" t="str">
        <f>IF(AND('341-CT'!$H$9=H4313,OR(LEFT(N4313,3)=$W$7,LEFT(O4313,3)=$W$7)),"x","")</f>
        <v/>
      </c>
      <c r="X4313" s="75" t="str">
        <f>IF(OR(TH!N4440=TH!$X$7,O4313=TH!$X$7),"x","")</f>
        <v/>
      </c>
      <c r="Y4313" s="75" t="str">
        <f>IF(AND(OR(N4313="131",O4313="131"),H4313='131-CT'!$H$9),"x","")</f>
        <v/>
      </c>
      <c r="Z4313" s="75"/>
      <c r="AA4313" s="75" t="str">
        <f>IF(AND(MONTH(E4313)='IN-NX'!$J$5,'IN-NX'!$D$7=D4313),"x","")</f>
        <v/>
      </c>
      <c r="AB4313" s="75" t="str">
        <f>IF(AND(OR(LEFT(TH!N4440,2)="15",LEFT(TH!O4440,2)="15"),LEFT(TH!O4440,3)&lt;&gt;"111",'152-CT'!$J$8=TH!F4440),"x","")</f>
        <v/>
      </c>
      <c r="AC4313" s="75" t="str">
        <f>IF(AND(OR(LEFT(TH!N4440,2)="15",LEFT(TH!O4440,2)="15"),TK!$E$7=TH!F4440),"x","")</f>
        <v/>
      </c>
      <c r="AD4313" s="75" t="str">
        <f>IF(AND(N4313="1521",MONTH(C4313)='BK-NL'!$M$11),"x","")</f>
        <v/>
      </c>
      <c r="AE4313" s="1053"/>
      <c r="AF4313" s="1053"/>
      <c r="AG4313" s="1053"/>
    </row>
    <row r="4314" spans="1:33" ht="16.5" customHeight="1">
      <c r="A4314" s="309" t="str">
        <f>IF(B4314&lt;&gt;"",IF(AND(B4314='IN-TC'!$S$4,OR(TH!N4308="1111",TH!O4308="1111")),TH!D4308,""),"")</f>
        <v/>
      </c>
      <c r="B4314" s="1130">
        <f t="shared" si="1320"/>
        <v>6</v>
      </c>
      <c r="C4314" s="292">
        <f t="shared" si="1319"/>
        <v>42909</v>
      </c>
      <c r="D4314" s="59" t="s">
        <v>902</v>
      </c>
      <c r="E4314" s="59">
        <v>42909</v>
      </c>
      <c r="F4314" s="1334" t="s">
        <v>1896</v>
      </c>
      <c r="G4314" s="62" t="s">
        <v>1713</v>
      </c>
      <c r="H4314" s="67"/>
      <c r="I4314" s="373"/>
      <c r="J4314" s="379"/>
      <c r="K4314" s="373"/>
      <c r="L4314" s="379"/>
      <c r="M4314" s="60">
        <v>31500000</v>
      </c>
      <c r="N4314" s="61" t="s">
        <v>101</v>
      </c>
      <c r="O4314" s="61" t="s">
        <v>26</v>
      </c>
      <c r="P4314" s="75" t="str">
        <f>IF(AND('331-CT'!$E$7=TH!H4441,OR(N4314="331",O4314="331")),"x","")</f>
        <v/>
      </c>
      <c r="Q4314" s="75" t="str">
        <f>IF(AND(B4314='111'!$L$11,OR($N4314=$Q$7,$O4314=$Q$7)),"x","")</f>
        <v/>
      </c>
      <c r="R4314" s="75" t="str">
        <f>IF(AND($N4314=$Q$7,$B4314&lt;'111'!$L$11),"x","")</f>
        <v/>
      </c>
      <c r="S4314" s="75" t="str">
        <f>IF(AND($O4314=$Q$7,$B4314&lt;'111'!$L$11),"x","")</f>
        <v/>
      </c>
      <c r="T4314" s="75" t="str">
        <f>IF(ISERROR(FIND('112'!$M$9,G4314,1)),"",IF((AND(FIND('112'!$M$9,G4314,1)&gt;=1,B4314='112'!$K$9,OR($N4314='112'!$I$6,$O4314='112'!$I$6))),"x",""))</f>
        <v/>
      </c>
      <c r="U4314" s="75" t="str">
        <f>IF(ISERROR(FIND('112'!$M$9,G4314,1)),"",IF((AND(LEFT(G4314,2)=LEFT('112'!$M$9,2),B4314&lt;'112'!$K$9,$N4314='112'!$I$6)),"x",""))</f>
        <v/>
      </c>
      <c r="V4314" s="75" t="str">
        <f>IF(ISERROR(FIND('112'!$M$9,G4314,1)),"",IF((AND(RIGHT(G4314,2)=RIGHT('112'!$M$9,2),B4314&lt;'112'!$K$9,$O4314='112'!$I$6)),"x",""))</f>
        <v/>
      </c>
      <c r="W4314" s="75" t="str">
        <f>IF(AND('341-CT'!$H$9=H4314,OR(LEFT(N4314,3)=$W$7,LEFT(O4314,3)=$W$7)),"x","")</f>
        <v/>
      </c>
      <c r="X4314" s="75" t="str">
        <f>IF(OR(TH!N4441=TH!$X$7,O4314=TH!$X$7),"x","")</f>
        <v/>
      </c>
      <c r="Y4314" s="75" t="str">
        <f>IF(AND(OR(N4314="131",O4314="131"),H4314='131-CT'!$H$9),"x","")</f>
        <v/>
      </c>
      <c r="Z4314" s="75"/>
      <c r="AA4314" s="75" t="str">
        <f>IF(AND(MONTH(E4314)='IN-NX'!$J$5,'IN-NX'!$D$7=D4314),"x","")</f>
        <v/>
      </c>
      <c r="AB4314" s="75" t="str">
        <f>IF(AND(OR(LEFT(TH!N4441,2)="15",LEFT(TH!O4441,2)="15"),LEFT(TH!O4441,3)&lt;&gt;"111",'152-CT'!$J$8=TH!F4441),"x","")</f>
        <v/>
      </c>
      <c r="AC4314" s="75" t="str">
        <f>IF(AND(OR(LEFT(TH!N4441,2)="15",LEFT(TH!O4441,2)="15"),TK!$E$7=TH!F4441),"x","")</f>
        <v/>
      </c>
      <c r="AD4314" s="75" t="str">
        <f>IF(AND(N4314="1521",MONTH(C4314)='BK-NL'!$M$11),"x","")</f>
        <v/>
      </c>
      <c r="AE4314" s="1053"/>
      <c r="AF4314" s="1053"/>
      <c r="AG4314" s="1053"/>
    </row>
    <row r="4315" spans="1:33" ht="16.5" customHeight="1">
      <c r="A4315" s="309" t="str">
        <f>IF(B4315&lt;&gt;"",IF(AND(B4315='IN-TC'!$S$4,OR(TH!N4309="1111",TH!O4309="1111")),TH!D4309,""),"")</f>
        <v/>
      </c>
      <c r="B4315" s="1130">
        <f t="shared" si="1320"/>
        <v>6</v>
      </c>
      <c r="C4315" s="292">
        <f t="shared" si="1319"/>
        <v>42910</v>
      </c>
      <c r="D4315" s="59" t="s">
        <v>903</v>
      </c>
      <c r="E4315" s="59">
        <v>42910</v>
      </c>
      <c r="F4315" s="1127" t="s">
        <v>914</v>
      </c>
      <c r="G4315" s="62" t="s">
        <v>747</v>
      </c>
      <c r="H4315" s="67" t="s">
        <v>835</v>
      </c>
      <c r="I4315" s="373"/>
      <c r="J4315" s="379"/>
      <c r="K4315" s="373"/>
      <c r="L4315" s="379"/>
      <c r="M4315" s="60">
        <v>15328</v>
      </c>
      <c r="N4315" s="61" t="s">
        <v>26</v>
      </c>
      <c r="O4315" s="295" t="s">
        <v>43</v>
      </c>
      <c r="P4315" s="75" t="str">
        <f>IF(AND('331-CT'!$E$7=TH!H5241,OR(N4315="331",O4315="331")),"x","")</f>
        <v/>
      </c>
      <c r="Q4315" s="75" t="str">
        <f>IF(AND(B4315='111'!$L$11,OR($N4315=$Q$7,$O4315=$Q$7)),"x","")</f>
        <v/>
      </c>
      <c r="R4315" s="75" t="str">
        <f>IF(AND($N4315=$Q$7,$B4315&lt;'111'!$L$11),"x","")</f>
        <v/>
      </c>
      <c r="S4315" s="75" t="str">
        <f>IF(AND($O4315=$Q$7,$B4315&lt;'111'!$L$11),"x","")</f>
        <v/>
      </c>
      <c r="T4315" s="75" t="str">
        <f>IF(ISERROR(FIND('112'!$M$9,G4315,1)),"",IF((AND(FIND('112'!$M$9,G4315,1)&gt;=1,B4315='112'!$K$9,OR($N4315='112'!$I$6,$O4315='112'!$I$6))),"x",""))</f>
        <v/>
      </c>
      <c r="U4315" s="75" t="str">
        <f>IF(ISERROR(FIND('112'!$M$9,G4315,1)),"",IF((AND(LEFT(G4315,2)=LEFT('112'!$M$9,2),B4315&lt;'112'!$K$9,$N4315='112'!$I$6)),"x",""))</f>
        <v/>
      </c>
      <c r="V4315" s="75" t="str">
        <f>IF(ISERROR(FIND('112'!$M$9,G4315,1)),"",IF((AND(RIGHT(G4315,2)=RIGHT('112'!$M$9,2),B4315&lt;'112'!$K$9,$O4315='112'!$I$6)),"x",""))</f>
        <v/>
      </c>
      <c r="W4315" s="75" t="str">
        <f>IF(AND('341-CT'!$H$9=H4315,OR(LEFT(N4315,3)=$W$7,LEFT(O4315,3)=$W$7)),"x","")</f>
        <v/>
      </c>
      <c r="X4315" s="75" t="str">
        <f>IF(OR(TH!N5241=TH!$X$7,O4315=TH!$X$7),"x","")</f>
        <v/>
      </c>
      <c r="Y4315" s="75" t="str">
        <f>IF(AND(OR(N4315="131",O4315="131"),H4315='131-CT'!$H$9),"x","")</f>
        <v/>
      </c>
      <c r="Z4315" s="75"/>
      <c r="AA4315" s="75" t="str">
        <f>IF(AND(MONTH(E4315)='IN-NX'!$J$5,'IN-NX'!$D$7=D4315),"x","")</f>
        <v/>
      </c>
      <c r="AB4315" s="75" t="str">
        <f>IF(AND(OR(LEFT(TH!N5241,2)="15",LEFT(TH!O5241,2)="15"),LEFT(TH!O5241,3)&lt;&gt;"111",'152-CT'!$J$8=TH!F5241),"x","")</f>
        <v/>
      </c>
      <c r="AC4315" s="75" t="str">
        <f>IF(AND(OR(LEFT(TH!N5241,2)="15",LEFT(TH!O5241,2)="15"),TK!$E$7=TH!F5241),"x","")</f>
        <v/>
      </c>
      <c r="AD4315" s="75" t="str">
        <f>IF(AND(N4315="1521",MONTH(C4315)='BK-NL'!$M$11),"x","")</f>
        <v/>
      </c>
    </row>
    <row r="4316" spans="1:33" ht="16.5" customHeight="1">
      <c r="A4316" s="309" t="str">
        <f>IF(B4316&lt;&gt;"",IF(AND(B4316='IN-TC'!$S$4,OR(TH!N4310="1111",TH!O4310="1111")),TH!D4310,""),"")</f>
        <v/>
      </c>
      <c r="B4316" s="1130">
        <f t="shared" si="1320"/>
        <v>6</v>
      </c>
      <c r="C4316" s="292">
        <f t="shared" si="1319"/>
        <v>42912</v>
      </c>
      <c r="D4316" s="59" t="s">
        <v>903</v>
      </c>
      <c r="E4316" s="59">
        <v>42912</v>
      </c>
      <c r="F4316" s="1334" t="s">
        <v>2410</v>
      </c>
      <c r="G4316" s="62" t="s">
        <v>1713</v>
      </c>
      <c r="H4316" s="67" t="s">
        <v>2406</v>
      </c>
      <c r="I4316" s="373"/>
      <c r="J4316" s="379"/>
      <c r="K4316" s="373">
        <v>44000</v>
      </c>
      <c r="L4316" s="379">
        <v>22690</v>
      </c>
      <c r="M4316" s="60">
        <f>ROUND(K4316*L4316,0)</f>
        <v>998360000</v>
      </c>
      <c r="N4316" s="61" t="s">
        <v>26</v>
      </c>
      <c r="O4316" s="61" t="s">
        <v>250</v>
      </c>
      <c r="P4316" s="75" t="str">
        <f>IF(AND('331-CT'!$E$7=TH!H4442,OR(N4316="331",O4316="331")),"x","")</f>
        <v/>
      </c>
      <c r="Q4316" s="75" t="str">
        <f>IF(AND(B4316='111'!$L$11,OR($N4316=$Q$7,$O4316=$Q$7)),"x","")</f>
        <v/>
      </c>
      <c r="R4316" s="75" t="str">
        <f>IF(AND($N4316=$Q$7,$B4316&lt;'111'!$L$11),"x","")</f>
        <v/>
      </c>
      <c r="S4316" s="75" t="str">
        <f>IF(AND($O4316=$Q$7,$B4316&lt;'111'!$L$11),"x","")</f>
        <v/>
      </c>
      <c r="T4316" s="75" t="str">
        <f>IF(ISERROR(FIND('112'!$M$9,G4316,1)),"",IF((AND(FIND('112'!$M$9,G4316,1)&gt;=1,B4316='112'!$K$9,OR($N4316='112'!$I$6,$O4316='112'!$I$6))),"x",""))</f>
        <v/>
      </c>
      <c r="U4316" s="75" t="str">
        <f>IF(ISERROR(FIND('112'!$M$9,G4316,1)),"",IF((AND(LEFT(G4316,2)=LEFT('112'!$M$9,2),B4316&lt;'112'!$K$9,$N4316='112'!$I$6)),"x",""))</f>
        <v/>
      </c>
      <c r="V4316" s="75" t="str">
        <f>IF(ISERROR(FIND('112'!$M$9,G4316,1)),"",IF((AND(RIGHT(G4316,2)=RIGHT('112'!$M$9,2),B4316&lt;'112'!$K$9,$O4316='112'!$I$6)),"x",""))</f>
        <v/>
      </c>
      <c r="W4316" s="75" t="str">
        <f>IF(AND('341-CT'!$H$9=H4316,OR(LEFT(N4316,3)=$W$7,LEFT(O4316,3)=$W$7)),"x","")</f>
        <v/>
      </c>
      <c r="X4316" s="75" t="str">
        <f>IF(OR(TH!N4442=TH!$X$7,O4316=TH!$X$7),"x","")</f>
        <v/>
      </c>
      <c r="Y4316" s="75" t="str">
        <f>IF(AND(OR(N4316="131",O4316="131"),H4316='131-CT'!$H$9),"x","")</f>
        <v/>
      </c>
      <c r="Z4316" s="75"/>
      <c r="AA4316" s="75" t="str">
        <f>IF(AND(MONTH(E4316)='IN-NX'!$J$5,'IN-NX'!$D$7=D4316),"x","")</f>
        <v/>
      </c>
      <c r="AB4316" s="75" t="str">
        <f>IF(AND(OR(LEFT(TH!N4442,2)="15",LEFT(TH!O4442,2)="15"),LEFT(TH!O4442,3)&lt;&gt;"111",'152-CT'!$J$8=TH!F4442),"x","")</f>
        <v/>
      </c>
      <c r="AC4316" s="75" t="str">
        <f>IF(AND(OR(LEFT(TH!N4442,2)="15",LEFT(TH!O4442,2)="15"),TK!$E$7=TH!F4442),"x","")</f>
        <v/>
      </c>
      <c r="AD4316" s="75" t="str">
        <f>IF(AND(N4316="1521",MONTH(C4316)='BK-NL'!$M$11),"x","")</f>
        <v/>
      </c>
      <c r="AE4316" s="1053"/>
      <c r="AF4316" s="1053"/>
      <c r="AG4316" s="1053"/>
    </row>
    <row r="4317" spans="1:33" ht="16.5" customHeight="1">
      <c r="A4317" s="309" t="str">
        <f>IF(B4317&lt;&gt;"",IF(AND(B4317='IN-TC'!$S$4,OR(TH!N4311="1111",TH!O4311="1111")),TH!D4311,""),"")</f>
        <v/>
      </c>
      <c r="B4317" s="1130">
        <f t="shared" si="1320"/>
        <v>6</v>
      </c>
      <c r="C4317" s="292">
        <f t="shared" si="1319"/>
        <v>42912</v>
      </c>
      <c r="D4317" s="292" t="s">
        <v>854</v>
      </c>
      <c r="E4317" s="59">
        <v>42912</v>
      </c>
      <c r="F4317" s="1334" t="s">
        <v>834</v>
      </c>
      <c r="G4317" s="62" t="s">
        <v>1713</v>
      </c>
      <c r="H4317" s="294" t="s">
        <v>1023</v>
      </c>
      <c r="I4317" s="1165"/>
      <c r="J4317" s="908"/>
      <c r="K4317" s="375"/>
      <c r="L4317" s="381"/>
      <c r="M4317" s="60">
        <v>1000000000</v>
      </c>
      <c r="N4317" s="61" t="s">
        <v>63</v>
      </c>
      <c r="O4317" s="61" t="s">
        <v>26</v>
      </c>
      <c r="P4317" s="75" t="str">
        <f>IF(AND('331-CT'!$E$7=TH!H4443,OR(N4317="331",O4317="331")),"x","")</f>
        <v/>
      </c>
      <c r="Q4317" s="75" t="str">
        <f>IF(AND(B4317='111'!$L$11,OR($N4317=$Q$7,$O4317=$Q$7)),"x","")</f>
        <v/>
      </c>
      <c r="R4317" s="75" t="str">
        <f>IF(AND($N4317=$Q$7,$B4317&lt;'111'!$L$11),"x","")</f>
        <v>x</v>
      </c>
      <c r="S4317" s="75" t="str">
        <f>IF(AND($O4317=$Q$7,$B4317&lt;'111'!$L$11),"x","")</f>
        <v/>
      </c>
      <c r="T4317" s="75" t="str">
        <f>IF(ISERROR(FIND('112'!$M$9,G4317,1)),"",IF((AND(FIND('112'!$M$9,G4317,1)&gt;=1,B4317='112'!$K$9,OR($N4317='112'!$I$6,$O4317='112'!$I$6))),"x",""))</f>
        <v/>
      </c>
      <c r="U4317" s="75" t="str">
        <f>IF(ISERROR(FIND('112'!$M$9,G4317,1)),"",IF((AND(LEFT(G4317,2)=LEFT('112'!$M$9,2),B4317&lt;'112'!$K$9,$N4317='112'!$I$6)),"x",""))</f>
        <v/>
      </c>
      <c r="V4317" s="75" t="str">
        <f>IF(ISERROR(FIND('112'!$M$9,G4317,1)),"",IF((AND(RIGHT(G4317,2)=RIGHT('112'!$M$9,2),B4317&lt;'112'!$K$9,$O4317='112'!$I$6)),"x",""))</f>
        <v/>
      </c>
      <c r="W4317" s="75" t="str">
        <f>IF(AND('341-CT'!$H$9=H4317,OR(LEFT(N4317,3)=$W$7,LEFT(O4317,3)=$W$7)),"x","")</f>
        <v/>
      </c>
      <c r="X4317" s="75" t="str">
        <f>IF(OR(TH!N4443=TH!$X$7,O4317=TH!$X$7),"x","")</f>
        <v/>
      </c>
      <c r="Y4317" s="75" t="str">
        <f>IF(AND(OR(N4317="131",O4317="131"),H4317='131-CT'!$H$9),"x","")</f>
        <v/>
      </c>
      <c r="Z4317" s="75"/>
      <c r="AA4317" s="75" t="str">
        <f>IF(AND(MONTH(E4317)='IN-NX'!$J$5,'IN-NX'!$D$7=D4317),"x","")</f>
        <v/>
      </c>
      <c r="AB4317" s="75" t="str">
        <f>IF(AND(OR(LEFT(TH!N4443,2)="15",LEFT(TH!O4443,2)="15"),LEFT(TH!O4443,3)&lt;&gt;"111",'152-CT'!$J$8=TH!F4443),"x","")</f>
        <v/>
      </c>
      <c r="AC4317" s="75" t="str">
        <f>IF(AND(OR(LEFT(TH!N4443,2)="15",LEFT(TH!O4443,2)="15"),TK!$E$7=TH!F4443),"x","")</f>
        <v/>
      </c>
      <c r="AD4317" s="75" t="str">
        <f>IF(AND(N4317="1521",MONTH(C4317)='BK-NL'!$M$11),"x","")</f>
        <v/>
      </c>
      <c r="AE4317" s="1053"/>
      <c r="AF4317" s="1053"/>
      <c r="AG4317" s="1053"/>
    </row>
    <row r="4318" spans="1:33" ht="16.5" customHeight="1">
      <c r="A4318" s="309" t="str">
        <f>IF(B4318&lt;&gt;"",IF(AND(B4318='IN-TC'!$S$4,OR(TH!N4312="1111",TH!O4312="1111")),TH!D4312,""),"")</f>
        <v/>
      </c>
      <c r="B4318" s="1130">
        <f t="shared" si="1320"/>
        <v>6</v>
      </c>
      <c r="C4318" s="292">
        <f t="shared" si="1319"/>
        <v>42912</v>
      </c>
      <c r="D4318" s="59" t="s">
        <v>902</v>
      </c>
      <c r="E4318" s="59">
        <v>42912</v>
      </c>
      <c r="F4318" s="907" t="s">
        <v>1772</v>
      </c>
      <c r="G4318" s="62" t="s">
        <v>1713</v>
      </c>
      <c r="H4318" s="67"/>
      <c r="I4318" s="373"/>
      <c r="J4318" s="379"/>
      <c r="K4318" s="373"/>
      <c r="L4318" s="379"/>
      <c r="M4318" s="60">
        <v>11000</v>
      </c>
      <c r="N4318" s="61" t="s">
        <v>101</v>
      </c>
      <c r="O4318" s="61" t="s">
        <v>26</v>
      </c>
      <c r="P4318" s="75" t="str">
        <f>IF(AND('331-CT'!$E$7=TH!H4444,OR(N4318="331",O4318="331")),"x","")</f>
        <v/>
      </c>
      <c r="Q4318" s="75" t="str">
        <f>IF(AND(B4318='111'!$L$11,OR($N4318=$Q$7,$O4318=$Q$7)),"x","")</f>
        <v/>
      </c>
      <c r="R4318" s="75" t="str">
        <f>IF(AND($N4318=$Q$7,$B4318&lt;'111'!$L$11),"x","")</f>
        <v/>
      </c>
      <c r="S4318" s="75" t="str">
        <f>IF(AND($O4318=$Q$7,$B4318&lt;'111'!$L$11),"x","")</f>
        <v/>
      </c>
      <c r="T4318" s="75" t="str">
        <f>IF(ISERROR(FIND('112'!$M$9,G4318,1)),"",IF((AND(FIND('112'!$M$9,G4318,1)&gt;=1,B4318='112'!$K$9,OR($N4318='112'!$I$6,$O4318='112'!$I$6))),"x",""))</f>
        <v/>
      </c>
      <c r="U4318" s="75" t="str">
        <f>IF(ISERROR(FIND('112'!$M$9,G4318,1)),"",IF((AND(LEFT(G4318,2)=LEFT('112'!$M$9,2),B4318&lt;'112'!$K$9,$N4318='112'!$I$6)),"x",""))</f>
        <v/>
      </c>
      <c r="V4318" s="75" t="str">
        <f>IF(ISERROR(FIND('112'!$M$9,G4318,1)),"",IF((AND(RIGHT(G4318,2)=RIGHT('112'!$M$9,2),B4318&lt;'112'!$K$9,$O4318='112'!$I$6)),"x",""))</f>
        <v/>
      </c>
      <c r="W4318" s="75" t="str">
        <f>IF(AND('341-CT'!$H$9=H4318,OR(LEFT(N4318,3)=$W$7,LEFT(O4318,3)=$W$7)),"x","")</f>
        <v/>
      </c>
      <c r="X4318" s="75" t="str">
        <f>IF(OR(TH!N4444=TH!$X$7,O4318=TH!$X$7),"x","")</f>
        <v/>
      </c>
      <c r="Y4318" s="75" t="str">
        <f>IF(AND(OR(N4318="131",O4318="131"),H4318='131-CT'!$H$9),"x","")</f>
        <v/>
      </c>
      <c r="Z4318" s="75"/>
      <c r="AA4318" s="75" t="str">
        <f>IF(AND(MONTH(E4318)='IN-NX'!$J$5,'IN-NX'!$D$7=D4318),"x","")</f>
        <v/>
      </c>
      <c r="AB4318" s="75" t="str">
        <f>IF(AND(OR(LEFT(TH!N4444,2)="15",LEFT(TH!O4444,2)="15"),LEFT(TH!O4444,3)&lt;&gt;"111",'152-CT'!$J$8=TH!F4444),"x","")</f>
        <v/>
      </c>
      <c r="AC4318" s="75" t="str">
        <f>IF(AND(OR(LEFT(TH!N4444,2)="15",LEFT(TH!O4444,2)="15"),TK!$E$7=TH!F4444),"x","")</f>
        <v/>
      </c>
      <c r="AD4318" s="75" t="str">
        <f>IF(AND(N4318="1521",MONTH(C4318)='BK-NL'!$M$11),"x","")</f>
        <v/>
      </c>
      <c r="AE4318" s="1053"/>
      <c r="AF4318" s="1053"/>
      <c r="AG4318" s="1053"/>
    </row>
    <row r="4319" spans="1:33" ht="16.5" customHeight="1">
      <c r="A4319" s="309" t="str">
        <f>IF(B4319&lt;&gt;"",IF(AND(B4319='IN-TC'!$S$4,OR(TH!N4313="1111",TH!O4313="1111")),TH!D4313,""),"")</f>
        <v/>
      </c>
      <c r="B4319" s="1130">
        <f t="shared" si="1320"/>
        <v>6</v>
      </c>
      <c r="C4319" s="292">
        <f t="shared" si="1319"/>
        <v>42912</v>
      </c>
      <c r="D4319" s="292" t="s">
        <v>853</v>
      </c>
      <c r="E4319" s="59">
        <v>42912</v>
      </c>
      <c r="F4319" s="67" t="s">
        <v>834</v>
      </c>
      <c r="G4319" s="62" t="s">
        <v>585</v>
      </c>
      <c r="H4319" s="67" t="s">
        <v>1023</v>
      </c>
      <c r="I4319" s="1165"/>
      <c r="J4319" s="908"/>
      <c r="K4319" s="375"/>
      <c r="L4319" s="381"/>
      <c r="M4319" s="60">
        <v>1300000000</v>
      </c>
      <c r="N4319" s="61" t="s">
        <v>63</v>
      </c>
      <c r="O4319" s="61" t="s">
        <v>26</v>
      </c>
      <c r="P4319" s="75" t="str">
        <f>IF(AND('331-CT'!$E$7=TH!H4772,OR(N4319="331",O4319="331")),"x","")</f>
        <v/>
      </c>
      <c r="Q4319" s="75" t="str">
        <f>IF(AND(B4319='111'!$L$11,OR($N4319=$Q$7,$O4319=$Q$7)),"x","")</f>
        <v/>
      </c>
      <c r="R4319" s="75" t="str">
        <f>IF(AND($N4319=$Q$7,$B4319&lt;'111'!$L$11),"x","")</f>
        <v>x</v>
      </c>
      <c r="S4319" s="75" t="str">
        <f>IF(AND($O4319=$Q$7,$B4319&lt;'111'!$L$11),"x","")</f>
        <v/>
      </c>
      <c r="T4319" s="75" t="str">
        <f>IF(ISERROR(FIND('112'!$M$9,G4319,1)),"",IF((AND(FIND('112'!$M$9,G4319,1)&gt;=1,B4319='112'!$K$9,OR($N4319='112'!$I$6,$O4319='112'!$I$6))),"x",""))</f>
        <v/>
      </c>
      <c r="U4319" s="75" t="str">
        <f>IF(ISERROR(FIND('112'!$M$9,G4319,1)),"",IF((AND(LEFT(G4319,2)=LEFT('112'!$M$9,2),B4319&lt;'112'!$K$9,$N4319='112'!$I$6)),"x",""))</f>
        <v/>
      </c>
      <c r="V4319" s="75" t="str">
        <f>IF(ISERROR(FIND('112'!$M$9,G4319,1)),"",IF((AND(RIGHT(G4319,2)=RIGHT('112'!$M$9,2),B4319&lt;'112'!$K$9,$O4319='112'!$I$6)),"x",""))</f>
        <v/>
      </c>
      <c r="W4319" s="75" t="str">
        <f>IF(AND('341-CT'!$H$9=H4319,OR(LEFT(N4319,3)=$W$7,LEFT(O4319,3)=$W$7)),"x","")</f>
        <v/>
      </c>
      <c r="X4319" s="75" t="str">
        <f>IF(OR(TH!N4772=TH!$X$7,O4319=TH!$X$7),"x","")</f>
        <v/>
      </c>
      <c r="Y4319" s="75" t="str">
        <f>IF(AND(OR(N4319="131",O4319="131"),H4319='131-CT'!$H$9),"x","")</f>
        <v/>
      </c>
      <c r="Z4319" s="75"/>
      <c r="AA4319" s="75" t="str">
        <f>IF(AND(MONTH(E4319)='IN-NX'!$J$5,'IN-NX'!$D$7=D4319),"x","")</f>
        <v/>
      </c>
      <c r="AB4319" s="75" t="str">
        <f>IF(AND(OR(LEFT(TH!N4772,2)="15",LEFT(TH!O4772,2)="15"),LEFT(TH!O4772,3)&lt;&gt;"111",'152-CT'!$J$8=TH!F4772),"x","")</f>
        <v/>
      </c>
      <c r="AC4319" s="75" t="str">
        <f>IF(AND(OR(LEFT(TH!N4772,2)="15",LEFT(TH!O4772,2)="15"),TK!$E$7=TH!F4772),"x","")</f>
        <v/>
      </c>
      <c r="AD4319" s="75" t="str">
        <f>IF(AND(N4319="1521",MONTH(C4319)='BK-NL'!$M$11),"x","")</f>
        <v/>
      </c>
    </row>
    <row r="4320" spans="1:33" ht="16.5" customHeight="1">
      <c r="A4320" s="309" t="str">
        <f>IF(B4320&lt;&gt;"",IF(AND(B4320='IN-TC'!$S$4,OR(TH!N4314="1111",TH!O4314="1111")),TH!D4314,""),"")</f>
        <v/>
      </c>
      <c r="B4320" s="1130">
        <f t="shared" si="1320"/>
        <v>6</v>
      </c>
      <c r="C4320" s="292">
        <f t="shared" si="1319"/>
        <v>42912</v>
      </c>
      <c r="D4320" s="59" t="s">
        <v>903</v>
      </c>
      <c r="E4320" s="59">
        <v>42912</v>
      </c>
      <c r="F4320" s="67" t="s">
        <v>2430</v>
      </c>
      <c r="G4320" s="62" t="s">
        <v>585</v>
      </c>
      <c r="H4320" s="311" t="s">
        <v>1601</v>
      </c>
      <c r="I4320" s="1165"/>
      <c r="J4320" s="908"/>
      <c r="K4320" s="375">
        <v>67200</v>
      </c>
      <c r="L4320" s="381">
        <f>M4320/K4320</f>
        <v>22725</v>
      </c>
      <c r="M4320" s="60">
        <v>1527120000</v>
      </c>
      <c r="N4320" s="61" t="s">
        <v>26</v>
      </c>
      <c r="O4320" s="61" t="s">
        <v>536</v>
      </c>
      <c r="P4320" s="75" t="str">
        <f>IF(AND('331-CT'!$E$7=TH!H4773,OR(N4320="331",O4320="331")),"x","")</f>
        <v/>
      </c>
      <c r="Q4320" s="75" t="str">
        <f>IF(AND(B4320='111'!$L$11,OR($N4320=$Q$7,$O4320=$Q$7)),"x","")</f>
        <v/>
      </c>
      <c r="R4320" s="75" t="str">
        <f>IF(AND($N4320=$Q$7,$B4320&lt;'111'!$L$11),"x","")</f>
        <v/>
      </c>
      <c r="S4320" s="75" t="str">
        <f>IF(AND($O4320=$Q$7,$B4320&lt;'111'!$L$11),"x","")</f>
        <v/>
      </c>
      <c r="T4320" s="75" t="str">
        <f>IF(ISERROR(FIND('112'!$M$9,G4320,1)),"",IF((AND(FIND('112'!$M$9,G4320,1)&gt;=1,B4320='112'!$K$9,OR($N4320='112'!$I$6,$O4320='112'!$I$6))),"x",""))</f>
        <v/>
      </c>
      <c r="U4320" s="75" t="str">
        <f>IF(ISERROR(FIND('112'!$M$9,G4320,1)),"",IF((AND(LEFT(G4320,2)=LEFT('112'!$M$9,2),B4320&lt;'112'!$K$9,$N4320='112'!$I$6)),"x",""))</f>
        <v/>
      </c>
      <c r="V4320" s="75" t="str">
        <f>IF(ISERROR(FIND('112'!$M$9,G4320,1)),"",IF((AND(RIGHT(G4320,2)=RIGHT('112'!$M$9,2),B4320&lt;'112'!$K$9,$O4320='112'!$I$6)),"x",""))</f>
        <v/>
      </c>
      <c r="W4320" s="75" t="str">
        <f>IF(AND('341-CT'!$H$9=H4320,OR(LEFT(N4320,3)=$W$7,LEFT(O4320,3)=$W$7)),"x","")</f>
        <v/>
      </c>
      <c r="X4320" s="75" t="str">
        <f>IF(OR(TH!N4773=TH!$X$7,O4320=TH!$X$7),"x","")</f>
        <v/>
      </c>
      <c r="Y4320" s="75" t="str">
        <f>IF(AND(OR(N4320="131",O4320="131"),H4320='131-CT'!$H$9),"x","")</f>
        <v/>
      </c>
      <c r="Z4320" s="75"/>
      <c r="AA4320" s="75" t="str">
        <f>IF(AND(MONTH(E4320)='IN-NX'!$J$5,'IN-NX'!$D$7=D4320),"x","")</f>
        <v/>
      </c>
      <c r="AB4320" s="75" t="str">
        <f>IF(AND(OR(LEFT(TH!N4773,2)="15",LEFT(TH!O4773,2)="15"),LEFT(TH!O4773,3)&lt;&gt;"111",'152-CT'!$J$8=TH!F4773),"x","")</f>
        <v/>
      </c>
      <c r="AC4320" s="75" t="str">
        <f>IF(AND(OR(LEFT(TH!N4773,2)="15",LEFT(TH!O4773,2)="15"),TK!$E$7=TH!F4773),"x","")</f>
        <v/>
      </c>
      <c r="AD4320" s="75" t="str">
        <f>IF(AND(N4320="1521",MONTH(C4320)='BK-NL'!$M$11),"x","")</f>
        <v/>
      </c>
    </row>
    <row r="4321" spans="1:31" ht="16.5" customHeight="1">
      <c r="A4321" s="309" t="str">
        <f>IF(B4321&lt;&gt;"",IF(AND(B4321='IN-TC'!$S$4,OR(TH!N4315="1111",TH!O4315="1111")),TH!D4315,""),"")</f>
        <v/>
      </c>
      <c r="B4321" s="1130">
        <f t="shared" si="1320"/>
        <v>6</v>
      </c>
      <c r="C4321" s="292">
        <f t="shared" si="1319"/>
        <v>42912</v>
      </c>
      <c r="D4321" s="59" t="s">
        <v>902</v>
      </c>
      <c r="E4321" s="59">
        <v>42912</v>
      </c>
      <c r="F4321" s="67" t="s">
        <v>1608</v>
      </c>
      <c r="G4321" s="62" t="s">
        <v>585</v>
      </c>
      <c r="H4321" s="67" t="s">
        <v>563</v>
      </c>
      <c r="I4321" s="375"/>
      <c r="J4321" s="381"/>
      <c r="K4321" s="375"/>
      <c r="L4321" s="381"/>
      <c r="M4321" s="60">
        <v>39151530</v>
      </c>
      <c r="N4321" s="61" t="s">
        <v>8</v>
      </c>
      <c r="O4321" s="61" t="s">
        <v>26</v>
      </c>
      <c r="P4321" s="75" t="str">
        <f>IF(AND('331-CT'!$E$7=TH!H4774,OR(N4321="331",O4321="331")),"x","")</f>
        <v/>
      </c>
      <c r="Q4321" s="75" t="str">
        <f>IF(AND(B4321='111'!$L$11,OR($N4321=$Q$7,$O4321=$Q$7)),"x","")</f>
        <v/>
      </c>
      <c r="R4321" s="75" t="str">
        <f>IF(AND($N4321=$Q$7,$B4321&lt;'111'!$L$11),"x","")</f>
        <v/>
      </c>
      <c r="S4321" s="75" t="str">
        <f>IF(AND($O4321=$Q$7,$B4321&lt;'111'!$L$11),"x","")</f>
        <v/>
      </c>
      <c r="T4321" s="75" t="str">
        <f>IF(ISERROR(FIND('112'!$M$9,G4321,1)),"",IF((AND(FIND('112'!$M$9,G4321,1)&gt;=1,B4321='112'!$K$9,OR($N4321='112'!$I$6,$O4321='112'!$I$6))),"x",""))</f>
        <v/>
      </c>
      <c r="U4321" s="75" t="str">
        <f>IF(ISERROR(FIND('112'!$M$9,G4321,1)),"",IF((AND(LEFT(G4321,2)=LEFT('112'!$M$9,2),B4321&lt;'112'!$K$9,$N4321='112'!$I$6)),"x",""))</f>
        <v/>
      </c>
      <c r="V4321" s="75" t="str">
        <f>IF(ISERROR(FIND('112'!$M$9,G4321,1)),"",IF((AND(RIGHT(G4321,2)=RIGHT('112'!$M$9,2),B4321&lt;'112'!$K$9,$O4321='112'!$I$6)),"x",""))</f>
        <v/>
      </c>
      <c r="W4321" s="75" t="str">
        <f>IF(AND('341-CT'!$H$9=H4321,OR(LEFT(N4321,3)=$W$7,LEFT(O4321,3)=$W$7)),"x","")</f>
        <v/>
      </c>
      <c r="X4321" s="75" t="str">
        <f>IF(OR(TH!N4774=TH!$X$7,O4321=TH!$X$7),"x","")</f>
        <v/>
      </c>
      <c r="Y4321" s="75" t="str">
        <f>IF(AND(OR(N4321="131",O4321="131"),H4321='131-CT'!$H$9),"x","")</f>
        <v/>
      </c>
      <c r="Z4321" s="75"/>
      <c r="AA4321" s="75" t="str">
        <f>IF(AND(MONTH(E4321)='IN-NX'!$J$5,'IN-NX'!$D$7=D4321),"x","")</f>
        <v/>
      </c>
      <c r="AB4321" s="75" t="str">
        <f>IF(AND(OR(LEFT(TH!N4774,2)="15",LEFT(TH!O4774,2)="15"),LEFT(TH!O4774,3)&lt;&gt;"111",'152-CT'!$J$8=TH!F4774),"x","")</f>
        <v/>
      </c>
      <c r="AC4321" s="75" t="str">
        <f>IF(AND(OR(LEFT(TH!N4774,2)="15",LEFT(TH!O4774,2)="15"),TK!$E$7=TH!F4774),"x","")</f>
        <v/>
      </c>
      <c r="AD4321" s="75" t="str">
        <f>IF(AND(N4321="1521",MONTH(C4321)='BK-NL'!$M$11),"x","")</f>
        <v/>
      </c>
    </row>
    <row r="4322" spans="1:31" ht="16.5" customHeight="1">
      <c r="A4322" s="309" t="str">
        <f>IF(B4322&lt;&gt;"",IF(AND(B4322='IN-TC'!$S$4,OR(TH!N4316="1111",TH!O4316="1111")),TH!D4316,""),"")</f>
        <v/>
      </c>
      <c r="B4322" s="1130">
        <f t="shared" si="1320"/>
        <v>6</v>
      </c>
      <c r="C4322" s="292">
        <f t="shared" si="1319"/>
        <v>42912</v>
      </c>
      <c r="D4322" s="59" t="s">
        <v>902</v>
      </c>
      <c r="E4322" s="59">
        <v>42912</v>
      </c>
      <c r="F4322" s="67" t="s">
        <v>870</v>
      </c>
      <c r="G4322" s="62" t="s">
        <v>585</v>
      </c>
      <c r="H4322" s="67" t="s">
        <v>845</v>
      </c>
      <c r="I4322" s="375"/>
      <c r="J4322" s="381"/>
      <c r="K4322" s="375"/>
      <c r="L4322" s="381"/>
      <c r="M4322" s="60">
        <v>20000</v>
      </c>
      <c r="N4322" s="61" t="s">
        <v>101</v>
      </c>
      <c r="O4322" s="61" t="s">
        <v>26</v>
      </c>
      <c r="P4322" s="75" t="str">
        <f>IF(AND('331-CT'!$E$7=TH!H4775,OR(N4322="331",O4322="331")),"x","")</f>
        <v/>
      </c>
      <c r="Q4322" s="75" t="str">
        <f>IF(AND(B4322='111'!$L$11,OR($N4322=$Q$7,$O4322=$Q$7)),"x","")</f>
        <v/>
      </c>
      <c r="R4322" s="75" t="str">
        <f>IF(AND($N4322=$Q$7,$B4322&lt;'111'!$L$11),"x","")</f>
        <v/>
      </c>
      <c r="S4322" s="75" t="str">
        <f>IF(AND($O4322=$Q$7,$B4322&lt;'111'!$L$11),"x","")</f>
        <v/>
      </c>
      <c r="T4322" s="75" t="str">
        <f>IF(ISERROR(FIND('112'!$M$9,G4322,1)),"",IF((AND(FIND('112'!$M$9,G4322,1)&gt;=1,B4322='112'!$K$9,OR($N4322='112'!$I$6,$O4322='112'!$I$6))),"x",""))</f>
        <v/>
      </c>
      <c r="U4322" s="75" t="str">
        <f>IF(ISERROR(FIND('112'!$M$9,G4322,1)),"",IF((AND(LEFT(G4322,2)=LEFT('112'!$M$9,2),B4322&lt;'112'!$K$9,$N4322='112'!$I$6)),"x",""))</f>
        <v/>
      </c>
      <c r="V4322" s="75" t="str">
        <f>IF(ISERROR(FIND('112'!$M$9,G4322,1)),"",IF((AND(RIGHT(G4322,2)=RIGHT('112'!$M$9,2),B4322&lt;'112'!$K$9,$O4322='112'!$I$6)),"x",""))</f>
        <v/>
      </c>
      <c r="W4322" s="75" t="str">
        <f>IF(AND('341-CT'!$H$9=H4322,OR(LEFT(N4322,3)=$W$7,LEFT(O4322,3)=$W$7)),"x","")</f>
        <v/>
      </c>
      <c r="X4322" s="75" t="str">
        <f>IF(OR(TH!N4775=TH!$X$7,O4322=TH!$X$7),"x","")</f>
        <v/>
      </c>
      <c r="Y4322" s="75" t="str">
        <f>IF(AND(OR(N4322="131",O4322="131"),H4322='131-CT'!$H$9),"x","")</f>
        <v/>
      </c>
      <c r="Z4322" s="75"/>
      <c r="AA4322" s="75" t="str">
        <f>IF(AND(MONTH(E4322)='IN-NX'!$J$5,'IN-NX'!$D$7=D4322),"x","")</f>
        <v/>
      </c>
      <c r="AB4322" s="75" t="str">
        <f>IF(AND(OR(LEFT(TH!N4775,2)="15",LEFT(TH!O4775,2)="15"),LEFT(TH!O4775,3)&lt;&gt;"111",'152-CT'!$J$8=TH!F4775),"x","")</f>
        <v/>
      </c>
      <c r="AC4322" s="75" t="str">
        <f>IF(AND(OR(LEFT(TH!N4775,2)="15",LEFT(TH!O4775,2)="15"),TK!$E$7=TH!F4775),"x","")</f>
        <v/>
      </c>
      <c r="AD4322" s="75" t="str">
        <f>IF(AND(N4322="1521",MONTH(C4322)='BK-NL'!$M$11),"x","")</f>
        <v/>
      </c>
    </row>
    <row r="4323" spans="1:31" ht="16.5" customHeight="1">
      <c r="A4323" s="309" t="str">
        <f>IF(B4323&lt;&gt;"",IF(AND(B4323='IN-TC'!$S$4,OR(TH!N4317="1111",TH!O4317="1111")),TH!D4317,""),"")</f>
        <v/>
      </c>
      <c r="B4323" s="1130">
        <f t="shared" si="1320"/>
        <v>6</v>
      </c>
      <c r="C4323" s="292">
        <f t="shared" si="1319"/>
        <v>42912</v>
      </c>
      <c r="D4323" s="59" t="s">
        <v>902</v>
      </c>
      <c r="E4323" s="59">
        <v>42912</v>
      </c>
      <c r="F4323" s="67" t="s">
        <v>898</v>
      </c>
      <c r="G4323" s="62" t="s">
        <v>585</v>
      </c>
      <c r="H4323" s="67" t="s">
        <v>845</v>
      </c>
      <c r="I4323" s="375"/>
      <c r="J4323" s="381"/>
      <c r="K4323" s="375"/>
      <c r="L4323" s="381"/>
      <c r="M4323" s="60">
        <v>2000</v>
      </c>
      <c r="N4323" s="61" t="s">
        <v>9</v>
      </c>
      <c r="O4323" s="61" t="s">
        <v>26</v>
      </c>
      <c r="P4323" s="75" t="str">
        <f>IF(AND('331-CT'!$E$7=TH!H4776,OR(N4323="331",O4323="331")),"x","")</f>
        <v/>
      </c>
      <c r="Q4323" s="75" t="str">
        <f>IF(AND(B4323='111'!$L$11,OR($N4323=$Q$7,$O4323=$Q$7)),"x","")</f>
        <v/>
      </c>
      <c r="R4323" s="75" t="str">
        <f>IF(AND($N4323=$Q$7,$B4323&lt;'111'!$L$11),"x","")</f>
        <v/>
      </c>
      <c r="S4323" s="75" t="str">
        <f>IF(AND($O4323=$Q$7,$B4323&lt;'111'!$L$11),"x","")</f>
        <v/>
      </c>
      <c r="T4323" s="75" t="str">
        <f>IF(ISERROR(FIND('112'!$M$9,G4323,1)),"",IF((AND(FIND('112'!$M$9,G4323,1)&gt;=1,B4323='112'!$K$9,OR($N4323='112'!$I$6,$O4323='112'!$I$6))),"x",""))</f>
        <v/>
      </c>
      <c r="U4323" s="75" t="str">
        <f>IF(ISERROR(FIND('112'!$M$9,G4323,1)),"",IF((AND(LEFT(G4323,2)=LEFT('112'!$M$9,2),B4323&lt;'112'!$K$9,$N4323='112'!$I$6)),"x",""))</f>
        <v/>
      </c>
      <c r="V4323" s="75" t="str">
        <f>IF(ISERROR(FIND('112'!$M$9,G4323,1)),"",IF((AND(RIGHT(G4323,2)=RIGHT('112'!$M$9,2),B4323&lt;'112'!$K$9,$O4323='112'!$I$6)),"x",""))</f>
        <v/>
      </c>
      <c r="W4323" s="75" t="str">
        <f>IF(AND('341-CT'!$H$9=H4323,OR(LEFT(N4323,3)=$W$7,LEFT(O4323,3)=$W$7)),"x","")</f>
        <v/>
      </c>
      <c r="X4323" s="75" t="str">
        <f>IF(OR(TH!N4776=TH!$X$7,O4323=TH!$X$7),"x","")</f>
        <v/>
      </c>
      <c r="Y4323" s="75" t="str">
        <f>IF(AND(OR(N4323="131",O4323="131"),H4323='131-CT'!$H$9),"x","")</f>
        <v/>
      </c>
      <c r="Z4323" s="75"/>
      <c r="AA4323" s="75" t="str">
        <f>IF(AND(MONTH(E4323)='IN-NX'!$J$5,'IN-NX'!$D$7=D4323),"x","")</f>
        <v/>
      </c>
      <c r="AB4323" s="75" t="str">
        <f>IF(AND(OR(LEFT(TH!N4776,2)="15",LEFT(TH!O4776,2)="15"),LEFT(TH!O4776,3)&lt;&gt;"111",'152-CT'!$J$8=TH!F4776),"x","")</f>
        <v/>
      </c>
      <c r="AC4323" s="75" t="str">
        <f>IF(AND(OR(LEFT(TH!N4776,2)="15",LEFT(TH!O4776,2)="15"),TK!$E$7=TH!F4776),"x","")</f>
        <v/>
      </c>
      <c r="AD4323" s="75" t="str">
        <f>IF(AND(N4323="1521",MONTH(C4323)='BK-NL'!$M$11),"x","")</f>
        <v/>
      </c>
    </row>
    <row r="4324" spans="1:31" ht="16.5" customHeight="1">
      <c r="A4324" s="309" t="str">
        <f>IF(B4324&lt;&gt;"",IF(AND(B4324='IN-TC'!$S$4,OR(TH!N4318="1111",TH!O4318="1111")),TH!D4318,""),"")</f>
        <v/>
      </c>
      <c r="B4324" s="1130">
        <f t="shared" si="1320"/>
        <v>6</v>
      </c>
      <c r="C4324" s="292">
        <f t="shared" si="1319"/>
        <v>42913</v>
      </c>
      <c r="D4324" s="292"/>
      <c r="E4324" s="292">
        <v>42913</v>
      </c>
      <c r="F4324" s="1127" t="s">
        <v>1715</v>
      </c>
      <c r="G4324" s="925" t="s">
        <v>1717</v>
      </c>
      <c r="H4324" s="294" t="s">
        <v>974</v>
      </c>
      <c r="I4324" s="373"/>
      <c r="J4324" s="926"/>
      <c r="K4324" s="373"/>
      <c r="L4324" s="379"/>
      <c r="M4324" s="927">
        <v>11500000</v>
      </c>
      <c r="N4324" s="295" t="s">
        <v>101</v>
      </c>
      <c r="O4324" s="295" t="s">
        <v>63</v>
      </c>
      <c r="P4324" s="75" t="str">
        <f>IF(AND('331-CT'!$E$7=TH!H3733,OR(N4324="331",O4324="331")),"x","")</f>
        <v/>
      </c>
      <c r="Q4324" s="75" t="str">
        <f>IF(AND(B4324='111'!$L$11,OR($N4324=$Q$7,$O4324=$Q$7)),"x","")</f>
        <v/>
      </c>
      <c r="R4324" s="75" t="str">
        <f>IF(AND($N4324=$Q$7,$B4324&lt;'111'!$L$11),"x","")</f>
        <v/>
      </c>
      <c r="S4324" s="75" t="str">
        <f>IF(AND($O4324=$Q$7,$B4324&lt;'111'!$L$11),"x","")</f>
        <v>x</v>
      </c>
      <c r="T4324" s="75" t="str">
        <f>IF(ISERROR(FIND('112'!$M$9,G4324,1)),"",IF((AND(FIND('112'!$M$9,G4324,1)&gt;=1,B4324='112'!$K$9,OR($N4324='112'!$I$6,$O4324='112'!$I$6))),"x",""))</f>
        <v/>
      </c>
      <c r="U4324" s="75" t="str">
        <f>IF(ISERROR(FIND('112'!$M$9,G4324,1)),"",IF((AND(LEFT(G4324,2)=LEFT('112'!$M$9,2),B4324&lt;'112'!$K$9,$N4324='112'!$I$6)),"x",""))</f>
        <v/>
      </c>
      <c r="V4324" s="75" t="str">
        <f>IF(ISERROR(FIND('112'!$M$9,G4324,1)),"",IF((AND(RIGHT(G4324,2)=RIGHT('112'!$M$9,2),B4324&lt;'112'!$K$9,$O4324='112'!$I$6)),"x",""))</f>
        <v/>
      </c>
      <c r="W4324" s="75" t="str">
        <f>IF(AND('341-CT'!$H$9=H4324,OR(LEFT(N4324,3)=$W$7,LEFT(O4324,3)=$W$7)),"x","")</f>
        <v/>
      </c>
      <c r="X4324" s="75" t="str">
        <f>IF(OR(TH!N3733=TH!$X$7,O4324=TH!$X$7),"x","")</f>
        <v/>
      </c>
      <c r="Y4324" s="75" t="str">
        <f>IF(AND(OR(N4324="131",O4324="131"),H4324='131-CT'!$H$9),"x","")</f>
        <v/>
      </c>
      <c r="Z4324" s="75"/>
      <c r="AA4324" s="75" t="str">
        <f>IF(AND(MONTH(E4324)='IN-NX'!$J$5,'IN-NX'!$D$7=D4324),"x","")</f>
        <v/>
      </c>
      <c r="AB4324" s="75" t="str">
        <f>IF(AND(OR(LEFT(TH!N3733,2)="15",LEFT(TH!O3733,2)="15"),LEFT(TH!O3733,3)&lt;&gt;"111",'152-CT'!$J$8=TH!F3733),"x","")</f>
        <v/>
      </c>
      <c r="AC4324" s="75" t="str">
        <f>IF(AND(OR(LEFT(TH!N3733,2)="15",LEFT(TH!O3733,2)="15"),TK!$E$7=TH!F3733),"x","")</f>
        <v/>
      </c>
      <c r="AD4324" s="75" t="str">
        <f>IF(AND(N4324="1521",MONTH(C4324)='BK-NL'!$M$11),"x","")</f>
        <v/>
      </c>
    </row>
    <row r="4325" spans="1:31" ht="16.5" customHeight="1">
      <c r="A4325" s="309" t="str">
        <f>IF(B4325&lt;&gt;"",IF(AND(B4325='IN-TC'!$S$4,OR(TH!N4319="1111",TH!O4319="1111")),TH!D4319,""),"")</f>
        <v/>
      </c>
      <c r="B4325" s="1130">
        <f t="shared" si="1320"/>
        <v>6</v>
      </c>
      <c r="C4325" s="292">
        <f t="shared" si="1319"/>
        <v>42913</v>
      </c>
      <c r="D4325" s="292"/>
      <c r="E4325" s="292">
        <v>42913</v>
      </c>
      <c r="F4325" s="1127" t="s">
        <v>1716</v>
      </c>
      <c r="G4325" s="925" t="s">
        <v>1717</v>
      </c>
      <c r="H4325" s="294" t="s">
        <v>974</v>
      </c>
      <c r="I4325" s="373"/>
      <c r="J4325" s="926"/>
      <c r="K4325" s="373"/>
      <c r="L4325" s="379"/>
      <c r="M4325" s="927">
        <v>1150000</v>
      </c>
      <c r="N4325" s="295" t="s">
        <v>9</v>
      </c>
      <c r="O4325" s="295" t="s">
        <v>63</v>
      </c>
      <c r="P4325" s="75" t="str">
        <f>IF(AND('331-CT'!$E$7=TH!H3734,OR(N4325="331",O4325="331")),"x","")</f>
        <v/>
      </c>
      <c r="Q4325" s="75" t="str">
        <f>IF(AND(B4325='111'!$L$11,OR($N4325=$Q$7,$O4325=$Q$7)),"x","")</f>
        <v/>
      </c>
      <c r="R4325" s="75" t="str">
        <f>IF(AND($N4325=$Q$7,$B4325&lt;'111'!$L$11),"x","")</f>
        <v/>
      </c>
      <c r="S4325" s="75" t="str">
        <f>IF(AND($O4325=$Q$7,$B4325&lt;'111'!$L$11),"x","")</f>
        <v>x</v>
      </c>
      <c r="T4325" s="75" t="str">
        <f>IF(ISERROR(FIND('112'!$M$9,G4325,1)),"",IF((AND(FIND('112'!$M$9,G4325,1)&gt;=1,B4325='112'!$K$9,OR($N4325='112'!$I$6,$O4325='112'!$I$6))),"x",""))</f>
        <v/>
      </c>
      <c r="U4325" s="75" t="str">
        <f>IF(ISERROR(FIND('112'!$M$9,G4325,1)),"",IF((AND(LEFT(G4325,2)=LEFT('112'!$M$9,2),B4325&lt;'112'!$K$9,$N4325='112'!$I$6)),"x",""))</f>
        <v/>
      </c>
      <c r="V4325" s="75" t="str">
        <f>IF(ISERROR(FIND('112'!$M$9,G4325,1)),"",IF((AND(RIGHT(G4325,2)=RIGHT('112'!$M$9,2),B4325&lt;'112'!$K$9,$O4325='112'!$I$6)),"x",""))</f>
        <v/>
      </c>
      <c r="W4325" s="75" t="str">
        <f>IF(AND('341-CT'!$H$9=H4325,OR(LEFT(N4325,3)=$W$7,LEFT(O4325,3)=$W$7)),"x","")</f>
        <v/>
      </c>
      <c r="X4325" s="75" t="str">
        <f>IF(OR(TH!N3734=TH!$X$7,O4325=TH!$X$7),"x","")</f>
        <v/>
      </c>
      <c r="Y4325" s="75" t="str">
        <f>IF(AND(OR(N4325="131",O4325="131"),H4325='131-CT'!$H$9),"x","")</f>
        <v/>
      </c>
      <c r="Z4325" s="75"/>
      <c r="AA4325" s="75" t="str">
        <f>IF(AND(MONTH(E4325)='IN-NX'!$J$5,'IN-NX'!$D$7=D4325),"x","")</f>
        <v/>
      </c>
      <c r="AB4325" s="75" t="str">
        <f>IF(AND(OR(LEFT(TH!N3734,2)="15",LEFT(TH!O3734,2)="15"),LEFT(TH!O3734,3)&lt;&gt;"111",'152-CT'!$J$8=TH!F3734),"x","")</f>
        <v/>
      </c>
      <c r="AC4325" s="75" t="str">
        <f>IF(AND(OR(LEFT(TH!N3734,2)="15",LEFT(TH!O3734,2)="15"),TK!$E$7=TH!F3734),"x","")</f>
        <v/>
      </c>
      <c r="AD4325" s="75" t="str">
        <f>IF(AND(N4325="1521",MONTH(C4325)='BK-NL'!$M$11),"x","")</f>
        <v/>
      </c>
    </row>
    <row r="4326" spans="1:31" ht="16.5" customHeight="1">
      <c r="A4326" s="309" t="str">
        <f>IF(B4326&lt;&gt;"",IF(AND(B4326='IN-TC'!$S$4,OR(TH!N4320="1111",TH!O4320="1111")),TH!D4320,""),"")</f>
        <v/>
      </c>
      <c r="B4326" s="1130">
        <f t="shared" si="1320"/>
        <v>6</v>
      </c>
      <c r="C4326" s="292">
        <f t="shared" si="1319"/>
        <v>42913</v>
      </c>
      <c r="D4326" s="292"/>
      <c r="E4326" s="292">
        <v>42913</v>
      </c>
      <c r="F4326" s="1029" t="s">
        <v>1881</v>
      </c>
      <c r="G4326" s="925"/>
      <c r="H4326" s="311" t="s">
        <v>1890</v>
      </c>
      <c r="I4326" s="373"/>
      <c r="J4326" s="926"/>
      <c r="K4326" s="373"/>
      <c r="L4326" s="379"/>
      <c r="M4326" s="927">
        <v>3529000000</v>
      </c>
      <c r="N4326" s="295" t="s">
        <v>8</v>
      </c>
      <c r="O4326" s="295" t="s">
        <v>63</v>
      </c>
      <c r="P4326" s="75" t="str">
        <f>IF(AND('331-CT'!$E$7=TH!H4267,OR(N4326="331",O4326="331")),"x","")</f>
        <v/>
      </c>
      <c r="Q4326" s="75" t="str">
        <f>IF(AND(B4326='111'!$L$11,OR($N4326=$Q$7,$O4326=$Q$7)),"x","")</f>
        <v/>
      </c>
      <c r="R4326" s="75" t="str">
        <f>IF(AND($N4326=$Q$7,$B4326&lt;'111'!$L$11),"x","")</f>
        <v/>
      </c>
      <c r="S4326" s="75" t="str">
        <f>IF(AND($O4326=$Q$7,$B4326&lt;'111'!$L$11),"x","")</f>
        <v>x</v>
      </c>
      <c r="T4326" s="75" t="str">
        <f>IF(ISERROR(FIND('112'!$M$9,G4326,1)),"",IF((AND(FIND('112'!$M$9,G4326,1)&gt;=1,B4326='112'!$K$9,OR($N4326='112'!$I$6,$O4326='112'!$I$6))),"x",""))</f>
        <v/>
      </c>
      <c r="U4326" s="75" t="str">
        <f>IF(ISERROR(FIND('112'!$M$9,G4326,1)),"",IF((AND(LEFT(G4326,2)=LEFT('112'!$M$9,2),B4326&lt;'112'!$K$9,$N4326='112'!$I$6)),"x",""))</f>
        <v/>
      </c>
      <c r="V4326" s="75" t="str">
        <f>IF(ISERROR(FIND('112'!$M$9,G4326,1)),"",IF((AND(RIGHT(G4326,2)=RIGHT('112'!$M$9,2),B4326&lt;'112'!$K$9,$O4326='112'!$I$6)),"x",""))</f>
        <v/>
      </c>
      <c r="W4326" s="75" t="str">
        <f>IF(AND('341-CT'!$H$9=H4326,OR(LEFT(N4326,3)=$W$7,LEFT(O4326,3)=$W$7)),"x","")</f>
        <v/>
      </c>
      <c r="X4326" s="75" t="str">
        <f>IF(OR(TH!N4267=TH!$X$7,O4326=TH!$X$7),"x","")</f>
        <v/>
      </c>
      <c r="Y4326" s="75" t="str">
        <f>IF(AND(OR(N4326="131",O4326="131"),H4326='131-CT'!$H$9),"x","")</f>
        <v/>
      </c>
      <c r="Z4326" s="75"/>
      <c r="AA4326" s="75" t="str">
        <f>IF(AND(MONTH(E4326)='IN-NX'!$J$5,'IN-NX'!$D$7=D4326),"x","")</f>
        <v/>
      </c>
      <c r="AB4326" s="75" t="str">
        <f>IF(AND(OR(LEFT(TH!N4267,2)="15",LEFT(TH!O4267,2)="15"),LEFT(TH!O4267,3)&lt;&gt;"111",'152-CT'!$J$8=TH!F4267),"x","")</f>
        <v/>
      </c>
      <c r="AC4326" s="75" t="str">
        <f>IF(AND(OR(LEFT(TH!N4267,2)="15",LEFT(TH!O4267,2)="15"),TK!$E$7=TH!F4267),"x","")</f>
        <v/>
      </c>
      <c r="AD4326" s="75" t="str">
        <f>IF(AND(N4326="1521",MONTH(C4326)='BK-NL'!$M$11),"x","")</f>
        <v/>
      </c>
    </row>
    <row r="4327" spans="1:31" ht="16.5" customHeight="1">
      <c r="A4327" s="309" t="str">
        <f>IF(B4327&lt;&gt;"",IF(AND(B4327='IN-TC'!$S$4,OR(TH!N4321="1111",TH!O4321="1111")),TH!D4321,""),"")</f>
        <v/>
      </c>
      <c r="B4327" s="1130">
        <f t="shared" si="1320"/>
        <v>6</v>
      </c>
      <c r="C4327" s="292">
        <f t="shared" si="1319"/>
        <v>42913</v>
      </c>
      <c r="D4327" s="292"/>
      <c r="E4327" s="292">
        <v>42913</v>
      </c>
      <c r="F4327" s="1029" t="s">
        <v>1883</v>
      </c>
      <c r="G4327" s="925"/>
      <c r="H4327" s="311"/>
      <c r="I4327" s="373"/>
      <c r="J4327" s="926"/>
      <c r="K4327" s="373"/>
      <c r="L4327" s="379"/>
      <c r="M4327" s="927">
        <v>1000000</v>
      </c>
      <c r="N4327" s="295" t="s">
        <v>101</v>
      </c>
      <c r="O4327" s="295" t="s">
        <v>63</v>
      </c>
      <c r="P4327" s="75" t="str">
        <f>IF(AND('331-CT'!$E$7=TH!H4268,OR(N4327="331",O4327="331")),"x","")</f>
        <v/>
      </c>
      <c r="Q4327" s="75" t="str">
        <f>IF(AND(B4327='111'!$L$11,OR($N4327=$Q$7,$O4327=$Q$7)),"x","")</f>
        <v/>
      </c>
      <c r="R4327" s="75" t="str">
        <f>IF(AND($N4327=$Q$7,$B4327&lt;'111'!$L$11),"x","")</f>
        <v/>
      </c>
      <c r="S4327" s="75" t="str">
        <f>IF(AND($O4327=$Q$7,$B4327&lt;'111'!$L$11),"x","")</f>
        <v>x</v>
      </c>
      <c r="T4327" s="75" t="str">
        <f>IF(ISERROR(FIND('112'!$M$9,G4327,1)),"",IF((AND(FIND('112'!$M$9,G4327,1)&gt;=1,B4327='112'!$K$9,OR($N4327='112'!$I$6,$O4327='112'!$I$6))),"x",""))</f>
        <v/>
      </c>
      <c r="U4327" s="75" t="str">
        <f>IF(ISERROR(FIND('112'!$M$9,G4327,1)),"",IF((AND(LEFT(G4327,2)=LEFT('112'!$M$9,2),B4327&lt;'112'!$K$9,$N4327='112'!$I$6)),"x",""))</f>
        <v/>
      </c>
      <c r="V4327" s="75" t="str">
        <f>IF(ISERROR(FIND('112'!$M$9,G4327,1)),"",IF((AND(RIGHT(G4327,2)=RIGHT('112'!$M$9,2),B4327&lt;'112'!$K$9,$O4327='112'!$I$6)),"x",""))</f>
        <v/>
      </c>
      <c r="W4327" s="75" t="str">
        <f>IF(AND('341-CT'!$H$9=H4327,OR(LEFT(N4327,3)=$W$7,LEFT(O4327,3)=$W$7)),"x","")</f>
        <v/>
      </c>
      <c r="X4327" s="75" t="str">
        <f>IF(OR(TH!N4268=TH!$X$7,O4327=TH!$X$7),"x","")</f>
        <v/>
      </c>
      <c r="Y4327" s="75" t="str">
        <f>IF(AND(OR(N4327="131",O4327="131"),H4327='131-CT'!$H$9),"x","")</f>
        <v/>
      </c>
      <c r="Z4327" s="75"/>
      <c r="AA4327" s="75" t="str">
        <f>IF(AND(MONTH(E4327)='IN-NX'!$J$5,'IN-NX'!$D$7=D4327),"x","")</f>
        <v/>
      </c>
      <c r="AB4327" s="75" t="str">
        <f>IF(AND(OR(LEFT(TH!N4268,2)="15",LEFT(TH!O4268,2)="15"),LEFT(TH!O4268,3)&lt;&gt;"111",'152-CT'!$J$8=TH!F4268),"x","")</f>
        <v/>
      </c>
      <c r="AC4327" s="75" t="str">
        <f>IF(AND(OR(LEFT(TH!N4268,2)="15",LEFT(TH!O4268,2)="15"),TK!$E$7=TH!F4268),"x","")</f>
        <v/>
      </c>
      <c r="AD4327" s="75" t="str">
        <f>IF(AND(N4327="1521",MONTH(C4327)='BK-NL'!$M$11),"x","")</f>
        <v/>
      </c>
      <c r="AE4327">
        <v>9</v>
      </c>
    </row>
    <row r="4328" spans="1:31" ht="16.5" customHeight="1">
      <c r="A4328" s="309" t="str">
        <f>IF(B4328&lt;&gt;"",IF(AND(B4328='IN-TC'!$S$4,OR(TH!N4322="1111",TH!O4322="1111")),TH!D4322,""),"")</f>
        <v/>
      </c>
      <c r="B4328" s="1130">
        <f t="shared" si="1320"/>
        <v>6</v>
      </c>
      <c r="C4328" s="292">
        <f t="shared" si="1319"/>
        <v>42913</v>
      </c>
      <c r="D4328" s="292"/>
      <c r="E4328" s="292">
        <v>42913</v>
      </c>
      <c r="F4328" s="1029" t="s">
        <v>1895</v>
      </c>
      <c r="G4328" s="925"/>
      <c r="H4328" s="311"/>
      <c r="I4328" s="373"/>
      <c r="J4328" s="926"/>
      <c r="K4328" s="373"/>
      <c r="L4328" s="379"/>
      <c r="M4328" s="927">
        <v>100000</v>
      </c>
      <c r="N4328" s="295" t="s">
        <v>9</v>
      </c>
      <c r="O4328" s="295" t="s">
        <v>63</v>
      </c>
      <c r="P4328" s="75" t="str">
        <f>IF(AND('331-CT'!$E$7=TH!H4269,OR(N4328="331",O4328="331")),"x","")</f>
        <v/>
      </c>
      <c r="Q4328" s="75" t="str">
        <f>IF(AND(B4328='111'!$L$11,OR($N4328=$Q$7,$O4328=$Q$7)),"x","")</f>
        <v/>
      </c>
      <c r="R4328" s="75" t="str">
        <f>IF(AND($N4328=$Q$7,$B4328&lt;'111'!$L$11),"x","")</f>
        <v/>
      </c>
      <c r="S4328" s="75" t="str">
        <f>IF(AND($O4328=$Q$7,$B4328&lt;'111'!$L$11),"x","")</f>
        <v>x</v>
      </c>
      <c r="T4328" s="75" t="str">
        <f>IF(ISERROR(FIND('112'!$M$9,G4328,1)),"",IF((AND(FIND('112'!$M$9,G4328,1)&gt;=1,B4328='112'!$K$9,OR($N4328='112'!$I$6,$O4328='112'!$I$6))),"x",""))</f>
        <v/>
      </c>
      <c r="U4328" s="75" t="str">
        <f>IF(ISERROR(FIND('112'!$M$9,G4328,1)),"",IF((AND(LEFT(G4328,2)=LEFT('112'!$M$9,2),B4328&lt;'112'!$K$9,$N4328='112'!$I$6)),"x",""))</f>
        <v/>
      </c>
      <c r="V4328" s="75" t="str">
        <f>IF(ISERROR(FIND('112'!$M$9,G4328,1)),"",IF((AND(RIGHT(G4328,2)=RIGHT('112'!$M$9,2),B4328&lt;'112'!$K$9,$O4328='112'!$I$6)),"x",""))</f>
        <v/>
      </c>
      <c r="W4328" s="75" t="str">
        <f>IF(AND('341-CT'!$H$9=H4328,OR(LEFT(N4328,3)=$W$7,LEFT(O4328,3)=$W$7)),"x","")</f>
        <v/>
      </c>
      <c r="X4328" s="75" t="str">
        <f>IF(OR(TH!N4269=TH!$X$7,O4328=TH!$X$7),"x","")</f>
        <v/>
      </c>
      <c r="Y4328" s="75" t="str">
        <f>IF(AND(OR(N4328="131",O4328="131"),H4328='131-CT'!$H$9),"x","")</f>
        <v/>
      </c>
      <c r="Z4328" s="75"/>
      <c r="AA4328" s="75" t="str">
        <f>IF(AND(MONTH(E4328)='IN-NX'!$J$5,'IN-NX'!$D$7=D4328),"x","")</f>
        <v/>
      </c>
      <c r="AB4328" s="75" t="str">
        <f>IF(AND(OR(LEFT(TH!N4269,2)="15",LEFT(TH!O4269,2)="15"),LEFT(TH!O4269,3)&lt;&gt;"111",'152-CT'!$J$8=TH!F4269),"x","")</f>
        <v/>
      </c>
      <c r="AC4328" s="75" t="str">
        <f>IF(AND(OR(LEFT(TH!N4269,2)="15",LEFT(TH!O4269,2)="15"),TK!$E$7=TH!F4269),"x","")</f>
        <v/>
      </c>
      <c r="AD4328" s="75" t="str">
        <f>IF(AND(N4328="1521",MONTH(C4328)='BK-NL'!$M$11),"x","")</f>
        <v/>
      </c>
      <c r="AE4328">
        <v>9</v>
      </c>
    </row>
    <row r="4329" spans="1:31" ht="16.5" customHeight="1">
      <c r="A4329" s="309" t="str">
        <f>IF(B4329&lt;&gt;"",IF(AND(B4329='IN-TC'!$S$4,OR(TH!N4323="1111",TH!O4323="1111")),TH!D4323,""),"")</f>
        <v/>
      </c>
      <c r="B4329" s="1130">
        <f t="shared" si="1320"/>
        <v>6</v>
      </c>
      <c r="C4329" s="292">
        <f t="shared" si="1319"/>
        <v>42913</v>
      </c>
      <c r="D4329" s="59" t="s">
        <v>902</v>
      </c>
      <c r="E4329" s="59">
        <v>42913</v>
      </c>
      <c r="F4329" s="131" t="s">
        <v>1212</v>
      </c>
      <c r="G4329" s="62" t="s">
        <v>586</v>
      </c>
      <c r="H4329" s="67" t="s">
        <v>982</v>
      </c>
      <c r="I4329" s="375"/>
      <c r="J4329" s="381"/>
      <c r="K4329" s="375"/>
      <c r="L4329" s="381"/>
      <c r="M4329" s="60">
        <v>50000</v>
      </c>
      <c r="N4329" s="61" t="s">
        <v>101</v>
      </c>
      <c r="O4329" s="61" t="s">
        <v>26</v>
      </c>
      <c r="P4329" s="75" t="str">
        <f>IF(AND('331-CT'!$E$7=TH!H4397,OR(N4329="331",O4329="331")),"x","")</f>
        <v/>
      </c>
      <c r="Q4329" s="75" t="str">
        <f>IF(AND(B4329='111'!$L$11,OR($N4329=$Q$7,$O4329=$Q$7)),"x","")</f>
        <v/>
      </c>
      <c r="R4329" s="75" t="str">
        <f>IF(AND($N4329=$Q$7,$B4329&lt;'111'!$L$11),"x","")</f>
        <v/>
      </c>
      <c r="S4329" s="75" t="str">
        <f>IF(AND($O4329=$Q$7,$B4329&lt;'111'!$L$11),"x","")</f>
        <v/>
      </c>
      <c r="T4329" s="75" t="str">
        <f>IF(ISERROR(FIND('112'!$M$9,G4329,1)),"",IF((AND(FIND('112'!$M$9,G4329,1)&gt;=1,B4329='112'!$K$9,OR($N4329='112'!$I$6,$O4329='112'!$I$6))),"x",""))</f>
        <v/>
      </c>
      <c r="U4329" s="75" t="str">
        <f>IF(ISERROR(FIND('112'!$M$9,G4329,1)),"",IF((AND(LEFT(G4329,2)=LEFT('112'!$M$9,2),B4329&lt;'112'!$K$9,$N4329='112'!$I$6)),"x",""))</f>
        <v/>
      </c>
      <c r="V4329" s="75" t="str">
        <f>IF(ISERROR(FIND('112'!$M$9,G4329,1)),"",IF((AND(RIGHT(G4329,2)=RIGHT('112'!$M$9,2),B4329&lt;'112'!$K$9,$O4329='112'!$I$6)),"x",""))</f>
        <v>x</v>
      </c>
      <c r="W4329" s="75" t="str">
        <f>IF(AND('341-CT'!$H$9=H4329,OR(LEFT(N4329,3)=$W$7,LEFT(O4329,3)=$W$7)),"x","")</f>
        <v/>
      </c>
      <c r="X4329" s="75" t="str">
        <f>IF(OR(TH!N4397=TH!$X$7,O4329=TH!$X$7),"x","")</f>
        <v/>
      </c>
      <c r="Y4329" s="75" t="str">
        <f>IF(AND(OR(N4329="131",O4329="131"),H4329='131-CT'!$H$9),"x","")</f>
        <v/>
      </c>
      <c r="Z4329" s="75"/>
      <c r="AA4329" s="75" t="str">
        <f>IF(AND(MONTH(E4329)='IN-NX'!$J$5,'IN-NX'!$D$7=D4329),"x","")</f>
        <v/>
      </c>
      <c r="AB4329" s="75" t="str">
        <f>IF(AND(OR(LEFT(TH!N4397,2)="15",LEFT(TH!O4397,2)="15"),LEFT(TH!O4397,3)&lt;&gt;"111",'152-CT'!$J$8=TH!F4397),"x","")</f>
        <v/>
      </c>
      <c r="AC4329" s="75" t="str">
        <f>IF(AND(OR(LEFT(TH!N4397,2)="15",LEFT(TH!O4397,2)="15"),TK!$E$7=TH!F4397),"x","")</f>
        <v/>
      </c>
      <c r="AD4329" s="75" t="str">
        <f>IF(AND(N4329="1521",MONTH(C4329)='BK-NL'!$M$11),"x","")</f>
        <v/>
      </c>
    </row>
    <row r="4330" spans="1:31" ht="16.5" customHeight="1">
      <c r="A4330" s="309" t="str">
        <f>IF(B4330&lt;&gt;"",IF(AND(B4330='IN-TC'!$S$4,OR(TH!N4324="1111",TH!O4324="1111")),TH!D4324,""),"")</f>
        <v/>
      </c>
      <c r="B4330" s="1130">
        <f t="shared" si="1320"/>
        <v>6</v>
      </c>
      <c r="C4330" s="292">
        <f t="shared" si="1319"/>
        <v>42913</v>
      </c>
      <c r="D4330" s="59" t="s">
        <v>902</v>
      </c>
      <c r="E4330" s="59">
        <v>42913</v>
      </c>
      <c r="F4330" s="131" t="s">
        <v>1213</v>
      </c>
      <c r="G4330" s="62" t="s">
        <v>586</v>
      </c>
      <c r="H4330" s="67" t="s">
        <v>982</v>
      </c>
      <c r="I4330" s="375"/>
      <c r="J4330" s="381"/>
      <c r="K4330" s="375"/>
      <c r="L4330" s="381"/>
      <c r="M4330" s="60">
        <v>5000</v>
      </c>
      <c r="N4330" s="61" t="s">
        <v>9</v>
      </c>
      <c r="O4330" s="61" t="s">
        <v>26</v>
      </c>
      <c r="P4330" s="75" t="str">
        <f>IF(AND('331-CT'!$E$7=TH!H4398,OR(N4330="331",O4330="331")),"x","")</f>
        <v/>
      </c>
      <c r="Q4330" s="75" t="str">
        <f>IF(AND(B4330='111'!$L$11,OR($N4330=$Q$7,$O4330=$Q$7)),"x","")</f>
        <v/>
      </c>
      <c r="R4330" s="75" t="str">
        <f>IF(AND($N4330=$Q$7,$B4330&lt;'111'!$L$11),"x","")</f>
        <v/>
      </c>
      <c r="S4330" s="75" t="str">
        <f>IF(AND($O4330=$Q$7,$B4330&lt;'111'!$L$11),"x","")</f>
        <v/>
      </c>
      <c r="T4330" s="75" t="str">
        <f>IF(ISERROR(FIND('112'!$M$9,G4330,1)),"",IF((AND(FIND('112'!$M$9,G4330,1)&gt;=1,B4330='112'!$K$9,OR($N4330='112'!$I$6,$O4330='112'!$I$6))),"x",""))</f>
        <v/>
      </c>
      <c r="U4330" s="75" t="str">
        <f>IF(ISERROR(FIND('112'!$M$9,G4330,1)),"",IF((AND(LEFT(G4330,2)=LEFT('112'!$M$9,2),B4330&lt;'112'!$K$9,$N4330='112'!$I$6)),"x",""))</f>
        <v/>
      </c>
      <c r="V4330" s="75" t="str">
        <f>IF(ISERROR(FIND('112'!$M$9,G4330,1)),"",IF((AND(RIGHT(G4330,2)=RIGHT('112'!$M$9,2),B4330&lt;'112'!$K$9,$O4330='112'!$I$6)),"x",""))</f>
        <v>x</v>
      </c>
      <c r="W4330" s="75" t="str">
        <f>IF(AND('341-CT'!$H$9=H4330,OR(LEFT(N4330,3)=$W$7,LEFT(O4330,3)=$W$7)),"x","")</f>
        <v/>
      </c>
      <c r="X4330" s="75" t="str">
        <f>IF(OR(TH!N4398=TH!$X$7,O4330=TH!$X$7),"x","")</f>
        <v/>
      </c>
      <c r="Y4330" s="75" t="str">
        <f>IF(AND(OR(N4330="131",O4330="131"),H4330='131-CT'!$H$9),"x","")</f>
        <v/>
      </c>
      <c r="Z4330" s="75"/>
      <c r="AA4330" s="75" t="str">
        <f>IF(AND(MONTH(E4330)='IN-NX'!$J$5,'IN-NX'!$D$7=D4330),"x","")</f>
        <v/>
      </c>
      <c r="AB4330" s="75" t="str">
        <f>IF(AND(OR(LEFT(TH!N4398,2)="15",LEFT(TH!O4398,2)="15"),LEFT(TH!O4398,3)&lt;&gt;"111",'152-CT'!$J$8=TH!F4398),"x","")</f>
        <v/>
      </c>
      <c r="AC4330" s="75" t="str">
        <f>IF(AND(OR(LEFT(TH!N4398,2)="15",LEFT(TH!O4398,2)="15"),TK!$E$7=TH!F4398),"x","")</f>
        <v/>
      </c>
      <c r="AD4330" s="75" t="str">
        <f>IF(AND(N4330="1521",MONTH(C4330)='BK-NL'!$M$11),"x","")</f>
        <v/>
      </c>
    </row>
    <row r="4331" spans="1:31" ht="16.5" customHeight="1">
      <c r="A4331" s="309" t="str">
        <f>IF(B4331&lt;&gt;"",IF(AND(B4331='IN-TC'!$S$4,OR(TH!N4325="1111",TH!O4325="1111")),TH!D4325,""),"")</f>
        <v/>
      </c>
      <c r="B4331" s="1130">
        <f t="shared" si="1320"/>
        <v>6</v>
      </c>
      <c r="C4331" s="292">
        <f t="shared" si="1319"/>
        <v>42913</v>
      </c>
      <c r="D4331" s="59" t="s">
        <v>902</v>
      </c>
      <c r="E4331" s="59">
        <v>42913</v>
      </c>
      <c r="F4331" s="131" t="s">
        <v>1212</v>
      </c>
      <c r="G4331" s="62" t="s">
        <v>586</v>
      </c>
      <c r="H4331" s="67" t="s">
        <v>982</v>
      </c>
      <c r="I4331" s="375"/>
      <c r="J4331" s="381"/>
      <c r="K4331" s="375"/>
      <c r="L4331" s="381"/>
      <c r="M4331" s="60">
        <v>50000</v>
      </c>
      <c r="N4331" s="61" t="s">
        <v>101</v>
      </c>
      <c r="O4331" s="61" t="s">
        <v>26</v>
      </c>
      <c r="P4331" s="75" t="str">
        <f>IF(AND('331-CT'!$E$7=TH!H4399,OR(N4331="331",O4331="331")),"x","")</f>
        <v/>
      </c>
      <c r="Q4331" s="75" t="str">
        <f>IF(AND(B4331='111'!$L$11,OR($N4331=$Q$7,$O4331=$Q$7)),"x","")</f>
        <v/>
      </c>
      <c r="R4331" s="75" t="str">
        <f>IF(AND($N4331=$Q$7,$B4331&lt;'111'!$L$11),"x","")</f>
        <v/>
      </c>
      <c r="S4331" s="75" t="str">
        <f>IF(AND($O4331=$Q$7,$B4331&lt;'111'!$L$11),"x","")</f>
        <v/>
      </c>
      <c r="T4331" s="75" t="str">
        <f>IF(ISERROR(FIND('112'!$M$9,G4331,1)),"",IF((AND(FIND('112'!$M$9,G4331,1)&gt;=1,B4331='112'!$K$9,OR($N4331='112'!$I$6,$O4331='112'!$I$6))),"x",""))</f>
        <v/>
      </c>
      <c r="U4331" s="75" t="str">
        <f>IF(ISERROR(FIND('112'!$M$9,G4331,1)),"",IF((AND(LEFT(G4331,2)=LEFT('112'!$M$9,2),B4331&lt;'112'!$K$9,$N4331='112'!$I$6)),"x",""))</f>
        <v/>
      </c>
      <c r="V4331" s="75" t="str">
        <f>IF(ISERROR(FIND('112'!$M$9,G4331,1)),"",IF((AND(RIGHT(G4331,2)=RIGHT('112'!$M$9,2),B4331&lt;'112'!$K$9,$O4331='112'!$I$6)),"x",""))</f>
        <v>x</v>
      </c>
      <c r="W4331" s="75" t="str">
        <f>IF(AND('341-CT'!$H$9=H4331,OR(LEFT(N4331,3)=$W$7,LEFT(O4331,3)=$W$7)),"x","")</f>
        <v/>
      </c>
      <c r="X4331" s="75" t="str">
        <f>IF(OR(TH!N4399=TH!$X$7,O4331=TH!$X$7),"x","")</f>
        <v/>
      </c>
      <c r="Y4331" s="75" t="str">
        <f>IF(AND(OR(N4331="131",O4331="131"),H4331='131-CT'!$H$9),"x","")</f>
        <v/>
      </c>
      <c r="Z4331" s="75"/>
      <c r="AA4331" s="75" t="str">
        <f>IF(AND(MONTH(E4331)='IN-NX'!$J$5,'IN-NX'!$D$7=D4331),"x","")</f>
        <v/>
      </c>
      <c r="AB4331" s="75" t="str">
        <f>IF(AND(OR(LEFT(TH!N4399,2)="15",LEFT(TH!O4399,2)="15"),LEFT(TH!O4399,3)&lt;&gt;"111",'152-CT'!$J$8=TH!F4399),"x","")</f>
        <v/>
      </c>
      <c r="AC4331" s="75" t="str">
        <f>IF(AND(OR(LEFT(TH!N4399,2)="15",LEFT(TH!O4399,2)="15"),TK!$E$7=TH!F4399),"x","")</f>
        <v/>
      </c>
      <c r="AD4331" s="75" t="str">
        <f>IF(AND(N4331="1521",MONTH(C4331)='BK-NL'!$M$11),"x","")</f>
        <v/>
      </c>
    </row>
    <row r="4332" spans="1:31" ht="16.5" customHeight="1">
      <c r="A4332" s="309" t="str">
        <f>IF(B4332&lt;&gt;"",IF(AND(B4332='IN-TC'!$S$4,OR(TH!N4326="1111",TH!O4326="1111")),TH!D4326,""),"")</f>
        <v/>
      </c>
      <c r="B4332" s="1130">
        <f t="shared" si="1320"/>
        <v>6</v>
      </c>
      <c r="C4332" s="292">
        <f t="shared" si="1319"/>
        <v>42913</v>
      </c>
      <c r="D4332" s="59" t="s">
        <v>902</v>
      </c>
      <c r="E4332" s="59">
        <v>42913</v>
      </c>
      <c r="F4332" s="131" t="s">
        <v>1213</v>
      </c>
      <c r="G4332" s="62" t="s">
        <v>586</v>
      </c>
      <c r="H4332" s="67" t="s">
        <v>982</v>
      </c>
      <c r="I4332" s="375"/>
      <c r="J4332" s="381"/>
      <c r="K4332" s="375"/>
      <c r="L4332" s="381"/>
      <c r="M4332" s="60">
        <v>5000</v>
      </c>
      <c r="N4332" s="61" t="s">
        <v>9</v>
      </c>
      <c r="O4332" s="61" t="s">
        <v>26</v>
      </c>
      <c r="P4332" s="75" t="str">
        <f>IF(AND('331-CT'!$E$7=TH!H4400,OR(N4332="331",O4332="331")),"x","")</f>
        <v/>
      </c>
      <c r="Q4332" s="75" t="str">
        <f>IF(AND(B4332='111'!$L$11,OR($N4332=$Q$7,$O4332=$Q$7)),"x","")</f>
        <v/>
      </c>
      <c r="R4332" s="75" t="str">
        <f>IF(AND($N4332=$Q$7,$B4332&lt;'111'!$L$11),"x","")</f>
        <v/>
      </c>
      <c r="S4332" s="75" t="str">
        <f>IF(AND($O4332=$Q$7,$B4332&lt;'111'!$L$11),"x","")</f>
        <v/>
      </c>
      <c r="T4332" s="75" t="str">
        <f>IF(ISERROR(FIND('112'!$M$9,G4332,1)),"",IF((AND(FIND('112'!$M$9,G4332,1)&gt;=1,B4332='112'!$K$9,OR($N4332='112'!$I$6,$O4332='112'!$I$6))),"x",""))</f>
        <v/>
      </c>
      <c r="U4332" s="75" t="str">
        <f>IF(ISERROR(FIND('112'!$M$9,G4332,1)),"",IF((AND(LEFT(G4332,2)=LEFT('112'!$M$9,2),B4332&lt;'112'!$K$9,$N4332='112'!$I$6)),"x",""))</f>
        <v/>
      </c>
      <c r="V4332" s="75" t="str">
        <f>IF(ISERROR(FIND('112'!$M$9,G4332,1)),"",IF((AND(RIGHT(G4332,2)=RIGHT('112'!$M$9,2),B4332&lt;'112'!$K$9,$O4332='112'!$I$6)),"x",""))</f>
        <v>x</v>
      </c>
      <c r="W4332" s="75" t="str">
        <f>IF(AND('341-CT'!$H$9=H4332,OR(LEFT(N4332,3)=$W$7,LEFT(O4332,3)=$W$7)),"x","")</f>
        <v/>
      </c>
      <c r="X4332" s="75" t="str">
        <f>IF(OR(TH!N4400=TH!$X$7,O4332=TH!$X$7),"x","")</f>
        <v/>
      </c>
      <c r="Y4332" s="75" t="str">
        <f>IF(AND(OR(N4332="131",O4332="131"),H4332='131-CT'!$H$9),"x","")</f>
        <v/>
      </c>
      <c r="Z4332" s="75"/>
      <c r="AA4332" s="75" t="str">
        <f>IF(AND(MONTH(E4332)='IN-NX'!$J$5,'IN-NX'!$D$7=D4332),"x","")</f>
        <v/>
      </c>
      <c r="AB4332" s="75" t="str">
        <f>IF(AND(OR(LEFT(TH!N4400,2)="15",LEFT(TH!O4400,2)="15"),LEFT(TH!O4400,3)&lt;&gt;"111",'152-CT'!$J$8=TH!F4400),"x","")</f>
        <v/>
      </c>
      <c r="AC4332" s="75" t="str">
        <f>IF(AND(OR(LEFT(TH!N4400,2)="15",LEFT(TH!O4400,2)="15"),TK!$E$7=TH!F4400),"x","")</f>
        <v/>
      </c>
      <c r="AD4332" s="75" t="str">
        <f>IF(AND(N4332="1521",MONTH(C4332)='BK-NL'!$M$11),"x","")</f>
        <v/>
      </c>
    </row>
    <row r="4333" spans="1:31" ht="16.5" customHeight="1">
      <c r="A4333" s="309" t="str">
        <f>IF(B4333&lt;&gt;"",IF(AND(B4333='IN-TC'!$S$4,OR(TH!N4327="1111",TH!O4327="1111")),TH!D4327,""),"")</f>
        <v/>
      </c>
      <c r="B4333" s="1130">
        <f t="shared" si="1320"/>
        <v>6</v>
      </c>
      <c r="C4333" s="292">
        <f t="shared" si="1319"/>
        <v>42913</v>
      </c>
      <c r="D4333" s="59" t="s">
        <v>902</v>
      </c>
      <c r="E4333" s="59">
        <v>42913</v>
      </c>
      <c r="F4333" s="131" t="s">
        <v>1212</v>
      </c>
      <c r="G4333" s="62" t="s">
        <v>586</v>
      </c>
      <c r="H4333" s="67" t="s">
        <v>982</v>
      </c>
      <c r="I4333" s="375"/>
      <c r="J4333" s="381"/>
      <c r="K4333" s="375"/>
      <c r="L4333" s="381"/>
      <c r="M4333" s="60">
        <v>50000</v>
      </c>
      <c r="N4333" s="61" t="s">
        <v>101</v>
      </c>
      <c r="O4333" s="61" t="s">
        <v>26</v>
      </c>
      <c r="P4333" s="75" t="str">
        <f>IF(AND('331-CT'!$E$7=TH!H4401,OR(N4333="331",O4333="331")),"x","")</f>
        <v/>
      </c>
      <c r="Q4333" s="75" t="str">
        <f>IF(AND(B4333='111'!$L$11,OR($N4333=$Q$7,$O4333=$Q$7)),"x","")</f>
        <v/>
      </c>
      <c r="R4333" s="75" t="str">
        <f>IF(AND($N4333=$Q$7,$B4333&lt;'111'!$L$11),"x","")</f>
        <v/>
      </c>
      <c r="S4333" s="75" t="str">
        <f>IF(AND($O4333=$Q$7,$B4333&lt;'111'!$L$11),"x","")</f>
        <v/>
      </c>
      <c r="T4333" s="75" t="str">
        <f>IF(ISERROR(FIND('112'!$M$9,G4333,1)),"",IF((AND(FIND('112'!$M$9,G4333,1)&gt;=1,B4333='112'!$K$9,OR($N4333='112'!$I$6,$O4333='112'!$I$6))),"x",""))</f>
        <v/>
      </c>
      <c r="U4333" s="75" t="str">
        <f>IF(ISERROR(FIND('112'!$M$9,G4333,1)),"",IF((AND(LEFT(G4333,2)=LEFT('112'!$M$9,2),B4333&lt;'112'!$K$9,$N4333='112'!$I$6)),"x",""))</f>
        <v/>
      </c>
      <c r="V4333" s="75" t="str">
        <f>IF(ISERROR(FIND('112'!$M$9,G4333,1)),"",IF((AND(RIGHT(G4333,2)=RIGHT('112'!$M$9,2),B4333&lt;'112'!$K$9,$O4333='112'!$I$6)),"x",""))</f>
        <v>x</v>
      </c>
      <c r="W4333" s="75" t="str">
        <f>IF(AND('341-CT'!$H$9=H4333,OR(LEFT(N4333,3)=$W$7,LEFT(O4333,3)=$W$7)),"x","")</f>
        <v/>
      </c>
      <c r="X4333" s="75" t="str">
        <f>IF(OR(TH!N4401=TH!$X$7,O4333=TH!$X$7),"x","")</f>
        <v/>
      </c>
      <c r="Y4333" s="75" t="str">
        <f>IF(AND(OR(N4333="131",O4333="131"),H4333='131-CT'!$H$9),"x","")</f>
        <v/>
      </c>
      <c r="Z4333" s="75"/>
      <c r="AA4333" s="75" t="str">
        <f>IF(AND(MONTH(E4333)='IN-NX'!$J$5,'IN-NX'!$D$7=D4333),"x","")</f>
        <v/>
      </c>
      <c r="AB4333" s="75" t="str">
        <f>IF(AND(OR(LEFT(TH!N4401,2)="15",LEFT(TH!O4401,2)="15"),LEFT(TH!O4401,3)&lt;&gt;"111",'152-CT'!$J$8=TH!F4401),"x","")</f>
        <v/>
      </c>
      <c r="AC4333" s="75" t="str">
        <f>IF(AND(OR(LEFT(TH!N4401,2)="15",LEFT(TH!O4401,2)="15"),TK!$E$7=TH!F4401),"x","")</f>
        <v/>
      </c>
      <c r="AD4333" s="75" t="str">
        <f>IF(AND(N4333="1521",MONTH(C4333)='BK-NL'!$M$11),"x","")</f>
        <v/>
      </c>
    </row>
    <row r="4334" spans="1:31" ht="16.5" customHeight="1">
      <c r="A4334" s="309" t="str">
        <f>IF(B4334&lt;&gt;"",IF(AND(B4334='IN-TC'!$S$4,OR(TH!N4328="1111",TH!O4328="1111")),TH!D4328,""),"")</f>
        <v/>
      </c>
      <c r="B4334" s="1130">
        <f t="shared" si="1320"/>
        <v>6</v>
      </c>
      <c r="C4334" s="292">
        <f t="shared" si="1319"/>
        <v>42913</v>
      </c>
      <c r="D4334" s="59" t="s">
        <v>902</v>
      </c>
      <c r="E4334" s="59">
        <v>42913</v>
      </c>
      <c r="F4334" s="131" t="s">
        <v>1213</v>
      </c>
      <c r="G4334" s="62" t="s">
        <v>586</v>
      </c>
      <c r="H4334" s="67" t="s">
        <v>982</v>
      </c>
      <c r="I4334" s="375"/>
      <c r="J4334" s="381"/>
      <c r="K4334" s="375"/>
      <c r="L4334" s="381"/>
      <c r="M4334" s="60">
        <v>5000</v>
      </c>
      <c r="N4334" s="61" t="s">
        <v>9</v>
      </c>
      <c r="O4334" s="61" t="s">
        <v>26</v>
      </c>
      <c r="P4334" s="75" t="str">
        <f>IF(AND('331-CT'!$E$7=TH!H4402,OR(N4334="331",O4334="331")),"x","")</f>
        <v/>
      </c>
      <c r="Q4334" s="75" t="str">
        <f>IF(AND(B4334='111'!$L$11,OR($N4334=$Q$7,$O4334=$Q$7)),"x","")</f>
        <v/>
      </c>
      <c r="R4334" s="75" t="str">
        <f>IF(AND($N4334=$Q$7,$B4334&lt;'111'!$L$11),"x","")</f>
        <v/>
      </c>
      <c r="S4334" s="75" t="str">
        <f>IF(AND($O4334=$Q$7,$B4334&lt;'111'!$L$11),"x","")</f>
        <v/>
      </c>
      <c r="T4334" s="75" t="str">
        <f>IF(ISERROR(FIND('112'!$M$9,G4334,1)),"",IF((AND(FIND('112'!$M$9,G4334,1)&gt;=1,B4334='112'!$K$9,OR($N4334='112'!$I$6,$O4334='112'!$I$6))),"x",""))</f>
        <v/>
      </c>
      <c r="U4334" s="75" t="str">
        <f>IF(ISERROR(FIND('112'!$M$9,G4334,1)),"",IF((AND(LEFT(G4334,2)=LEFT('112'!$M$9,2),B4334&lt;'112'!$K$9,$N4334='112'!$I$6)),"x",""))</f>
        <v/>
      </c>
      <c r="V4334" s="75" t="str">
        <f>IF(ISERROR(FIND('112'!$M$9,G4334,1)),"",IF((AND(RIGHT(G4334,2)=RIGHT('112'!$M$9,2),B4334&lt;'112'!$K$9,$O4334='112'!$I$6)),"x",""))</f>
        <v>x</v>
      </c>
      <c r="W4334" s="75" t="str">
        <f>IF(AND('341-CT'!$H$9=H4334,OR(LEFT(N4334,3)=$W$7,LEFT(O4334,3)=$W$7)),"x","")</f>
        <v/>
      </c>
      <c r="X4334" s="75" t="str">
        <f>IF(OR(TH!N4402=TH!$X$7,O4334=TH!$X$7),"x","")</f>
        <v/>
      </c>
      <c r="Y4334" s="75" t="str">
        <f>IF(AND(OR(N4334="131",O4334="131"),H4334='131-CT'!$H$9),"x","")</f>
        <v/>
      </c>
      <c r="Z4334" s="75"/>
      <c r="AA4334" s="75" t="str">
        <f>IF(AND(MONTH(E4334)='IN-NX'!$J$5,'IN-NX'!$D$7=D4334),"x","")</f>
        <v/>
      </c>
      <c r="AB4334" s="75" t="str">
        <f>IF(AND(OR(LEFT(TH!N4402,2)="15",LEFT(TH!O4402,2)="15"),LEFT(TH!O4402,3)&lt;&gt;"111",'152-CT'!$J$8=TH!F4402),"x","")</f>
        <v/>
      </c>
      <c r="AC4334" s="75" t="str">
        <f>IF(AND(OR(LEFT(TH!N4402,2)="15",LEFT(TH!O4402,2)="15"),TK!$E$7=TH!F4402),"x","")</f>
        <v/>
      </c>
      <c r="AD4334" s="75" t="str">
        <f>IF(AND(N4334="1521",MONTH(C4334)='BK-NL'!$M$11),"x","")</f>
        <v/>
      </c>
    </row>
    <row r="4335" spans="1:31" ht="16.5" customHeight="1">
      <c r="A4335" s="309" t="str">
        <f>IF(B4335&lt;&gt;"",IF(AND(B4335='IN-TC'!$S$4,OR(TH!N4329="1111",TH!O4329="1111")),TH!D4329,""),"")</f>
        <v/>
      </c>
      <c r="B4335" s="1130">
        <f t="shared" si="1320"/>
        <v>6</v>
      </c>
      <c r="C4335" s="292">
        <f t="shared" si="1319"/>
        <v>42913</v>
      </c>
      <c r="D4335" s="59" t="s">
        <v>902</v>
      </c>
      <c r="E4335" s="59">
        <v>42913</v>
      </c>
      <c r="F4335" s="131" t="s">
        <v>1212</v>
      </c>
      <c r="G4335" s="62" t="s">
        <v>586</v>
      </c>
      <c r="H4335" s="67" t="s">
        <v>982</v>
      </c>
      <c r="I4335" s="375"/>
      <c r="J4335" s="381"/>
      <c r="K4335" s="375"/>
      <c r="L4335" s="381"/>
      <c r="M4335" s="60">
        <v>50000</v>
      </c>
      <c r="N4335" s="61" t="s">
        <v>101</v>
      </c>
      <c r="O4335" s="61" t="s">
        <v>26</v>
      </c>
      <c r="P4335" s="75" t="str">
        <f>IF(AND('331-CT'!$E$7=TH!H4403,OR(N4335="331",O4335="331")),"x","")</f>
        <v/>
      </c>
      <c r="Q4335" s="75" t="str">
        <f>IF(AND(B4335='111'!$L$11,OR($N4335=$Q$7,$O4335=$Q$7)),"x","")</f>
        <v/>
      </c>
      <c r="R4335" s="75" t="str">
        <f>IF(AND($N4335=$Q$7,$B4335&lt;'111'!$L$11),"x","")</f>
        <v/>
      </c>
      <c r="S4335" s="75" t="str">
        <f>IF(AND($O4335=$Q$7,$B4335&lt;'111'!$L$11),"x","")</f>
        <v/>
      </c>
      <c r="T4335" s="75" t="str">
        <f>IF(ISERROR(FIND('112'!$M$9,G4335,1)),"",IF((AND(FIND('112'!$M$9,G4335,1)&gt;=1,B4335='112'!$K$9,OR($N4335='112'!$I$6,$O4335='112'!$I$6))),"x",""))</f>
        <v/>
      </c>
      <c r="U4335" s="75" t="str">
        <f>IF(ISERROR(FIND('112'!$M$9,G4335,1)),"",IF((AND(LEFT(G4335,2)=LEFT('112'!$M$9,2),B4335&lt;'112'!$K$9,$N4335='112'!$I$6)),"x",""))</f>
        <v/>
      </c>
      <c r="V4335" s="75" t="str">
        <f>IF(ISERROR(FIND('112'!$M$9,G4335,1)),"",IF((AND(RIGHT(G4335,2)=RIGHT('112'!$M$9,2),B4335&lt;'112'!$K$9,$O4335='112'!$I$6)),"x",""))</f>
        <v>x</v>
      </c>
      <c r="W4335" s="75" t="str">
        <f>IF(AND('341-CT'!$H$9=H4335,OR(LEFT(N4335,3)=$W$7,LEFT(O4335,3)=$W$7)),"x","")</f>
        <v/>
      </c>
      <c r="X4335" s="75" t="str">
        <f>IF(OR(TH!N4403=TH!$X$7,O4335=TH!$X$7),"x","")</f>
        <v/>
      </c>
      <c r="Y4335" s="75" t="str">
        <f>IF(AND(OR(N4335="131",O4335="131"),H4335='131-CT'!$H$9),"x","")</f>
        <v/>
      </c>
      <c r="Z4335" s="75"/>
      <c r="AA4335" s="75" t="str">
        <f>IF(AND(MONTH(E4335)='IN-NX'!$J$5,'IN-NX'!$D$7=D4335),"x","")</f>
        <v/>
      </c>
      <c r="AB4335" s="75" t="str">
        <f>IF(AND(OR(LEFT(TH!N4403,2)="15",LEFT(TH!O4403,2)="15"),LEFT(TH!O4403,3)&lt;&gt;"111",'152-CT'!$J$8=TH!F4403),"x","")</f>
        <v/>
      </c>
      <c r="AC4335" s="75" t="str">
        <f>IF(AND(OR(LEFT(TH!N4403,2)="15",LEFT(TH!O4403,2)="15"),TK!$E$7=TH!F4403),"x","")</f>
        <v/>
      </c>
      <c r="AD4335" s="75" t="str">
        <f>IF(AND(N4335="1521",MONTH(C4335)='BK-NL'!$M$11),"x","")</f>
        <v/>
      </c>
    </row>
    <row r="4336" spans="1:31" ht="16.5" customHeight="1">
      <c r="A4336" s="309" t="str">
        <f>IF(B4336&lt;&gt;"",IF(AND(B4336='IN-TC'!$S$4,OR(TH!N4330="1111",TH!O4330="1111")),TH!D4330,""),"")</f>
        <v/>
      </c>
      <c r="B4336" s="1130">
        <f t="shared" si="1320"/>
        <v>6</v>
      </c>
      <c r="C4336" s="292">
        <f t="shared" si="1319"/>
        <v>42913</v>
      </c>
      <c r="D4336" s="59" t="s">
        <v>902</v>
      </c>
      <c r="E4336" s="59">
        <v>42913</v>
      </c>
      <c r="F4336" s="131" t="s">
        <v>1213</v>
      </c>
      <c r="G4336" s="62" t="s">
        <v>586</v>
      </c>
      <c r="H4336" s="67" t="s">
        <v>982</v>
      </c>
      <c r="I4336" s="375"/>
      <c r="J4336" s="381"/>
      <c r="K4336" s="375"/>
      <c r="L4336" s="381"/>
      <c r="M4336" s="60">
        <v>5000</v>
      </c>
      <c r="N4336" s="61" t="s">
        <v>9</v>
      </c>
      <c r="O4336" s="61" t="s">
        <v>26</v>
      </c>
      <c r="P4336" s="75" t="str">
        <f>IF(AND('331-CT'!$E$7=TH!H4404,OR(N4336="331",O4336="331")),"x","")</f>
        <v/>
      </c>
      <c r="Q4336" s="75" t="str">
        <f>IF(AND(B4336='111'!$L$11,OR($N4336=$Q$7,$O4336=$Q$7)),"x","")</f>
        <v/>
      </c>
      <c r="R4336" s="75" t="str">
        <f>IF(AND($N4336=$Q$7,$B4336&lt;'111'!$L$11),"x","")</f>
        <v/>
      </c>
      <c r="S4336" s="75" t="str">
        <f>IF(AND($O4336=$Q$7,$B4336&lt;'111'!$L$11),"x","")</f>
        <v/>
      </c>
      <c r="T4336" s="75" t="str">
        <f>IF(ISERROR(FIND('112'!$M$9,G4336,1)),"",IF((AND(FIND('112'!$M$9,G4336,1)&gt;=1,B4336='112'!$K$9,OR($N4336='112'!$I$6,$O4336='112'!$I$6))),"x",""))</f>
        <v/>
      </c>
      <c r="U4336" s="75" t="str">
        <f>IF(ISERROR(FIND('112'!$M$9,G4336,1)),"",IF((AND(LEFT(G4336,2)=LEFT('112'!$M$9,2),B4336&lt;'112'!$K$9,$N4336='112'!$I$6)),"x",""))</f>
        <v/>
      </c>
      <c r="V4336" s="75" t="str">
        <f>IF(ISERROR(FIND('112'!$M$9,G4336,1)),"",IF((AND(RIGHT(G4336,2)=RIGHT('112'!$M$9,2),B4336&lt;'112'!$K$9,$O4336='112'!$I$6)),"x",""))</f>
        <v>x</v>
      </c>
      <c r="W4336" s="75" t="str">
        <f>IF(AND('341-CT'!$H$9=H4336,OR(LEFT(N4336,3)=$W$7,LEFT(O4336,3)=$W$7)),"x","")</f>
        <v/>
      </c>
      <c r="X4336" s="75" t="str">
        <f>IF(OR(TH!N4404=TH!$X$7,O4336=TH!$X$7),"x","")</f>
        <v/>
      </c>
      <c r="Y4336" s="75" t="str">
        <f>IF(AND(OR(N4336="131",O4336="131"),H4336='131-CT'!$H$9),"x","")</f>
        <v/>
      </c>
      <c r="Z4336" s="75"/>
      <c r="AA4336" s="75" t="str">
        <f>IF(AND(MONTH(E4336)='IN-NX'!$J$5,'IN-NX'!$D$7=D4336),"x","")</f>
        <v/>
      </c>
      <c r="AB4336" s="75" t="str">
        <f>IF(AND(OR(LEFT(TH!N4404,2)="15",LEFT(TH!O4404,2)="15"),LEFT(TH!O4404,3)&lt;&gt;"111",'152-CT'!$J$8=TH!F4404),"x","")</f>
        <v/>
      </c>
      <c r="AC4336" s="75" t="str">
        <f>IF(AND(OR(LEFT(TH!N4404,2)="15",LEFT(TH!O4404,2)="15"),TK!$E$7=TH!F4404),"x","")</f>
        <v/>
      </c>
      <c r="AD4336" s="75" t="str">
        <f>IF(AND(N4336="1521",MONTH(C4336)='BK-NL'!$M$11),"x","")</f>
        <v/>
      </c>
    </row>
    <row r="4337" spans="1:30" ht="16.5" customHeight="1">
      <c r="A4337" s="309" t="str">
        <f>IF(B4337&lt;&gt;"",IF(AND(B4337='IN-TC'!$S$4,OR(TH!N4331="1111",TH!O4331="1111")),TH!D4331,""),"")</f>
        <v/>
      </c>
      <c r="B4337" s="1130">
        <f t="shared" si="1320"/>
        <v>6</v>
      </c>
      <c r="C4337" s="292">
        <f t="shared" si="1319"/>
        <v>42913</v>
      </c>
      <c r="D4337" s="59" t="s">
        <v>902</v>
      </c>
      <c r="E4337" s="59">
        <v>42913</v>
      </c>
      <c r="F4337" s="1127" t="s">
        <v>1734</v>
      </c>
      <c r="G4337" s="62" t="s">
        <v>585</v>
      </c>
      <c r="H4337" s="67" t="s">
        <v>739</v>
      </c>
      <c r="I4337" s="375"/>
      <c r="J4337" s="381"/>
      <c r="K4337" s="375"/>
      <c r="L4337" s="381"/>
      <c r="M4337" s="60">
        <v>29623908</v>
      </c>
      <c r="N4337" s="61" t="s">
        <v>8</v>
      </c>
      <c r="O4337" s="61" t="s">
        <v>26</v>
      </c>
      <c r="P4337" s="75" t="str">
        <f>IF(AND('331-CT'!$E$7=TH!H4777,OR(N4337="331",O4337="331")),"x","")</f>
        <v/>
      </c>
      <c r="Q4337" s="75" t="str">
        <f>IF(AND(B4337='111'!$L$11,OR($N4337=$Q$7,$O4337=$Q$7)),"x","")</f>
        <v/>
      </c>
      <c r="R4337" s="75" t="str">
        <f>IF(AND($N4337=$Q$7,$B4337&lt;'111'!$L$11),"x","")</f>
        <v/>
      </c>
      <c r="S4337" s="75" t="str">
        <f>IF(AND($O4337=$Q$7,$B4337&lt;'111'!$L$11),"x","")</f>
        <v/>
      </c>
      <c r="T4337" s="75" t="str">
        <f>IF(ISERROR(FIND('112'!$M$9,G4337,1)),"",IF((AND(FIND('112'!$M$9,G4337,1)&gt;=1,B4337='112'!$K$9,OR($N4337='112'!$I$6,$O4337='112'!$I$6))),"x",""))</f>
        <v/>
      </c>
      <c r="U4337" s="75" t="str">
        <f>IF(ISERROR(FIND('112'!$M$9,G4337,1)),"",IF((AND(LEFT(G4337,2)=LEFT('112'!$M$9,2),B4337&lt;'112'!$K$9,$N4337='112'!$I$6)),"x",""))</f>
        <v/>
      </c>
      <c r="V4337" s="75" t="str">
        <f>IF(ISERROR(FIND('112'!$M$9,G4337,1)),"",IF((AND(RIGHT(G4337,2)=RIGHT('112'!$M$9,2),B4337&lt;'112'!$K$9,$O4337='112'!$I$6)),"x",""))</f>
        <v/>
      </c>
      <c r="W4337" s="75" t="str">
        <f>IF(AND('341-CT'!$H$9=H4337,OR(LEFT(N4337,3)=$W$7,LEFT(O4337,3)=$W$7)),"x","")</f>
        <v/>
      </c>
      <c r="X4337" s="75" t="str">
        <f>IF(OR(TH!N4777=TH!$X$7,O4337=TH!$X$7),"x","")</f>
        <v/>
      </c>
      <c r="Y4337" s="75" t="str">
        <f>IF(AND(OR(N4337="131",O4337="131"),H4337='131-CT'!$H$9),"x","")</f>
        <v/>
      </c>
      <c r="Z4337" s="75"/>
      <c r="AA4337" s="75" t="str">
        <f>IF(AND(MONTH(E4337)='IN-NX'!$J$5,'IN-NX'!$D$7=D4337),"x","")</f>
        <v/>
      </c>
      <c r="AB4337" s="75" t="str">
        <f>IF(AND(OR(LEFT(TH!N4777,2)="15",LEFT(TH!O4777,2)="15"),LEFT(TH!O4777,3)&lt;&gt;"111",'152-CT'!$J$8=TH!F4777),"x","")</f>
        <v/>
      </c>
      <c r="AC4337" s="75" t="str">
        <f>IF(AND(OR(LEFT(TH!N4777,2)="15",LEFT(TH!O4777,2)="15"),TK!$E$7=TH!F4777),"x","")</f>
        <v/>
      </c>
      <c r="AD4337" s="75" t="str">
        <f>IF(AND(N4337="1521",MONTH(C4337)='BK-NL'!$M$11),"x","")</f>
        <v/>
      </c>
    </row>
    <row r="4338" spans="1:30" ht="16.5" customHeight="1">
      <c r="A4338" s="309" t="str">
        <f>IF(B4338&lt;&gt;"",IF(AND(B4338='IN-TC'!$S$4,OR(TH!N4332="1111",TH!O4332="1111")),TH!D4332,""),"")</f>
        <v/>
      </c>
      <c r="B4338" s="1130">
        <f t="shared" si="1320"/>
        <v>6</v>
      </c>
      <c r="C4338" s="292">
        <f t="shared" si="1319"/>
        <v>42913</v>
      </c>
      <c r="D4338" s="59" t="s">
        <v>902</v>
      </c>
      <c r="E4338" s="59">
        <v>42913</v>
      </c>
      <c r="F4338" s="1127" t="s">
        <v>1735</v>
      </c>
      <c r="G4338" s="62" t="s">
        <v>585</v>
      </c>
      <c r="H4338" s="67" t="s">
        <v>1211</v>
      </c>
      <c r="I4338" s="375"/>
      <c r="J4338" s="381"/>
      <c r="K4338" s="375"/>
      <c r="L4338" s="381"/>
      <c r="M4338" s="60">
        <v>77313061</v>
      </c>
      <c r="N4338" s="61" t="s">
        <v>541</v>
      </c>
      <c r="O4338" s="61" t="s">
        <v>26</v>
      </c>
      <c r="P4338" s="75" t="str">
        <f>IF(AND('331-CT'!$E$7=TH!H4778,OR(N4338="331",O4338="331")),"x","")</f>
        <v/>
      </c>
      <c r="Q4338" s="75" t="str">
        <f>IF(AND(B4338='111'!$L$11,OR($N4338=$Q$7,$O4338=$Q$7)),"x","")</f>
        <v/>
      </c>
      <c r="R4338" s="75" t="str">
        <f>IF(AND($N4338=$Q$7,$B4338&lt;'111'!$L$11),"x","")</f>
        <v/>
      </c>
      <c r="S4338" s="75" t="str">
        <f>IF(AND($O4338=$Q$7,$B4338&lt;'111'!$L$11),"x","")</f>
        <v/>
      </c>
      <c r="T4338" s="75" t="str">
        <f>IF(ISERROR(FIND('112'!$M$9,G4338,1)),"",IF((AND(FIND('112'!$M$9,G4338,1)&gt;=1,B4338='112'!$K$9,OR($N4338='112'!$I$6,$O4338='112'!$I$6))),"x",""))</f>
        <v/>
      </c>
      <c r="U4338" s="75" t="str">
        <f>IF(ISERROR(FIND('112'!$M$9,G4338,1)),"",IF((AND(LEFT(G4338,2)=LEFT('112'!$M$9,2),B4338&lt;'112'!$K$9,$N4338='112'!$I$6)),"x",""))</f>
        <v/>
      </c>
      <c r="V4338" s="75" t="str">
        <f>IF(ISERROR(FIND('112'!$M$9,G4338,1)),"",IF((AND(RIGHT(G4338,2)=RIGHT('112'!$M$9,2),B4338&lt;'112'!$K$9,$O4338='112'!$I$6)),"x",""))</f>
        <v/>
      </c>
      <c r="W4338" s="75" t="str">
        <f>IF(AND('341-CT'!$H$9=H4338,OR(LEFT(N4338,3)=$W$7,LEFT(O4338,3)=$W$7)),"x","")</f>
        <v/>
      </c>
      <c r="X4338" s="75" t="str">
        <f>IF(OR(TH!N4778=TH!$X$7,O4338=TH!$X$7),"x","")</f>
        <v/>
      </c>
      <c r="Y4338" s="75" t="str">
        <f>IF(AND(OR(N4338="131",O4338="131"),H4338='131-CT'!$H$9),"x","")</f>
        <v/>
      </c>
      <c r="Z4338" s="75"/>
      <c r="AA4338" s="75" t="str">
        <f>IF(AND(MONTH(E4338)='IN-NX'!$J$5,'IN-NX'!$D$7=D4338),"x","")</f>
        <v/>
      </c>
      <c r="AB4338" s="75" t="str">
        <f>IF(AND(OR(LEFT(TH!N4778,2)="15",LEFT(TH!O4778,2)="15"),LEFT(TH!O4778,3)&lt;&gt;"111",'152-CT'!$J$8=TH!F4778),"x","")</f>
        <v/>
      </c>
      <c r="AC4338" s="75" t="str">
        <f>IF(AND(OR(LEFT(TH!N4778,2)="15",LEFT(TH!O4778,2)="15"),TK!$E$7=TH!F4778),"x","")</f>
        <v/>
      </c>
      <c r="AD4338" s="75" t="str">
        <f>IF(AND(N4338="1521",MONTH(C4338)='BK-NL'!$M$11),"x","")</f>
        <v/>
      </c>
    </row>
    <row r="4339" spans="1:30" ht="16.5" customHeight="1">
      <c r="A4339" s="309" t="str">
        <f>IF(B4339&lt;&gt;"",IF(AND(B4339='IN-TC'!$S$4,OR(TH!N4333="1111",TH!O4333="1111")),TH!D4333,""),"")</f>
        <v/>
      </c>
      <c r="B4339" s="1130">
        <f t="shared" si="1320"/>
        <v>6</v>
      </c>
      <c r="C4339" s="292">
        <f t="shared" ref="C4339:C4402" si="1321">E4339</f>
        <v>42913</v>
      </c>
      <c r="D4339" s="59" t="s">
        <v>902</v>
      </c>
      <c r="E4339" s="59">
        <v>42913</v>
      </c>
      <c r="F4339" s="1127" t="s">
        <v>2673</v>
      </c>
      <c r="G4339" s="62" t="s">
        <v>585</v>
      </c>
      <c r="H4339" s="67" t="s">
        <v>1211</v>
      </c>
      <c r="I4339" s="375"/>
      <c r="J4339" s="381"/>
      <c r="K4339" s="375"/>
      <c r="L4339" s="381"/>
      <c r="M4339" s="60">
        <v>16035435</v>
      </c>
      <c r="N4339" s="61" t="s">
        <v>542</v>
      </c>
      <c r="O4339" s="61" t="s">
        <v>26</v>
      </c>
      <c r="P4339" s="75" t="str">
        <f>IF(AND('331-CT'!$E$7=TH!H4779,OR(N4339="331",O4339="331")),"x","")</f>
        <v/>
      </c>
      <c r="Q4339" s="75" t="str">
        <f>IF(AND(B4339='111'!$L$11,OR($N4339=$Q$7,$O4339=$Q$7)),"x","")</f>
        <v/>
      </c>
      <c r="R4339" s="75" t="str">
        <f>IF(AND($N4339=$Q$7,$B4339&lt;'111'!$L$11),"x","")</f>
        <v/>
      </c>
      <c r="S4339" s="75" t="str">
        <f>IF(AND($O4339=$Q$7,$B4339&lt;'111'!$L$11),"x","")</f>
        <v/>
      </c>
      <c r="T4339" s="75" t="str">
        <f>IF(ISERROR(FIND('112'!$M$9,G4339,1)),"",IF((AND(FIND('112'!$M$9,G4339,1)&gt;=1,B4339='112'!$K$9,OR($N4339='112'!$I$6,$O4339='112'!$I$6))),"x",""))</f>
        <v/>
      </c>
      <c r="U4339" s="75" t="str">
        <f>IF(ISERROR(FIND('112'!$M$9,G4339,1)),"",IF((AND(LEFT(G4339,2)=LEFT('112'!$M$9,2),B4339&lt;'112'!$K$9,$N4339='112'!$I$6)),"x",""))</f>
        <v/>
      </c>
      <c r="V4339" s="75" t="str">
        <f>IF(ISERROR(FIND('112'!$M$9,G4339,1)),"",IF((AND(RIGHT(G4339,2)=RIGHT('112'!$M$9,2),B4339&lt;'112'!$K$9,$O4339='112'!$I$6)),"x",""))</f>
        <v/>
      </c>
      <c r="W4339" s="75" t="str">
        <f>IF(AND('341-CT'!$H$9=H4339,OR(LEFT(N4339,3)=$W$7,LEFT(O4339,3)=$W$7)),"x","")</f>
        <v/>
      </c>
      <c r="X4339" s="75" t="str">
        <f>IF(OR(TH!N4779=TH!$X$7,O4339=TH!$X$7),"x","")</f>
        <v/>
      </c>
      <c r="Y4339" s="75" t="str">
        <f>IF(AND(OR(N4339="131",O4339="131"),H4339='131-CT'!$H$9),"x","")</f>
        <v/>
      </c>
      <c r="Z4339" s="75"/>
      <c r="AA4339" s="75" t="str">
        <f>IF(AND(MONTH(E4339)='IN-NX'!$J$5,'IN-NX'!$D$7=D4339),"x","")</f>
        <v/>
      </c>
      <c r="AB4339" s="75" t="str">
        <f>IF(AND(OR(LEFT(TH!N4779,2)="15",LEFT(TH!O4779,2)="15"),LEFT(TH!O4779,3)&lt;&gt;"111",'152-CT'!$J$8=TH!F4779),"x","")</f>
        <v/>
      </c>
      <c r="AC4339" s="75" t="str">
        <f>IF(AND(OR(LEFT(TH!N4779,2)="15",LEFT(TH!O4779,2)="15"),TK!$E$7=TH!F4779),"x","")</f>
        <v/>
      </c>
      <c r="AD4339" s="75" t="str">
        <f>IF(AND(N4339="1521",MONTH(C4339)='BK-NL'!$M$11),"x","")</f>
        <v/>
      </c>
    </row>
    <row r="4340" spans="1:30" ht="16.5" customHeight="1">
      <c r="A4340" s="309" t="str">
        <f>IF(B4340&lt;&gt;"",IF(AND(B4340='IN-TC'!$S$4,OR(TH!N4334="1111",TH!O4334="1111")),TH!D4334,""),"")</f>
        <v/>
      </c>
      <c r="B4340" s="1130">
        <f t="shared" si="1320"/>
        <v>6</v>
      </c>
      <c r="C4340" s="292">
        <f t="shared" si="1321"/>
        <v>42913</v>
      </c>
      <c r="D4340" s="59" t="s">
        <v>902</v>
      </c>
      <c r="E4340" s="59">
        <v>42913</v>
      </c>
      <c r="F4340" s="1127" t="s">
        <v>2674</v>
      </c>
      <c r="G4340" s="62" t="s">
        <v>585</v>
      </c>
      <c r="H4340" s="67" t="s">
        <v>1211</v>
      </c>
      <c r="I4340" s="375"/>
      <c r="J4340" s="381"/>
      <c r="K4340" s="375"/>
      <c r="L4340" s="381"/>
      <c r="M4340" s="60">
        <v>6651504</v>
      </c>
      <c r="N4340" s="61" t="s">
        <v>543</v>
      </c>
      <c r="O4340" s="61" t="s">
        <v>26</v>
      </c>
      <c r="P4340" s="75" t="str">
        <f>IF(AND('331-CT'!$E$7=TH!H4780,OR(N4340="331",O4340="331")),"x","")</f>
        <v/>
      </c>
      <c r="Q4340" s="75" t="str">
        <f>IF(AND(B4340='111'!$L$11,OR($N4340=$Q$7,$O4340=$Q$7)),"x","")</f>
        <v/>
      </c>
      <c r="R4340" s="75" t="str">
        <f>IF(AND($N4340=$Q$7,$B4340&lt;'111'!$L$11),"x","")</f>
        <v/>
      </c>
      <c r="S4340" s="75" t="str">
        <f>IF(AND($O4340=$Q$7,$B4340&lt;'111'!$L$11),"x","")</f>
        <v/>
      </c>
      <c r="T4340" s="75" t="str">
        <f>IF(ISERROR(FIND('112'!$M$9,G4340,1)),"",IF((AND(FIND('112'!$M$9,G4340,1)&gt;=1,B4340='112'!$K$9,OR($N4340='112'!$I$6,$O4340='112'!$I$6))),"x",""))</f>
        <v/>
      </c>
      <c r="U4340" s="75" t="str">
        <f>IF(ISERROR(FIND('112'!$M$9,G4340,1)),"",IF((AND(LEFT(G4340,2)=LEFT('112'!$M$9,2),B4340&lt;'112'!$K$9,$N4340='112'!$I$6)),"x",""))</f>
        <v/>
      </c>
      <c r="V4340" s="75" t="str">
        <f>IF(ISERROR(FIND('112'!$M$9,G4340,1)),"",IF((AND(RIGHT(G4340,2)=RIGHT('112'!$M$9,2),B4340&lt;'112'!$K$9,$O4340='112'!$I$6)),"x",""))</f>
        <v/>
      </c>
      <c r="W4340" s="75" t="str">
        <f>IF(AND('341-CT'!$H$9=H4340,OR(LEFT(N4340,3)=$W$7,LEFT(O4340,3)=$W$7)),"x","")</f>
        <v/>
      </c>
      <c r="X4340" s="75" t="str">
        <f>IF(OR(TH!N4780=TH!$X$7,O4340=TH!$X$7),"x","")</f>
        <v/>
      </c>
      <c r="Y4340" s="75" t="str">
        <f>IF(AND(OR(N4340="131",O4340="131"),H4340='131-CT'!$H$9),"x","")</f>
        <v/>
      </c>
      <c r="Z4340" s="75"/>
      <c r="AA4340" s="75" t="str">
        <f>IF(AND(MONTH(E4340)='IN-NX'!$J$5,'IN-NX'!$D$7=D4340),"x","")</f>
        <v/>
      </c>
      <c r="AB4340" s="75" t="str">
        <f>IF(AND(OR(LEFT(TH!N4780,2)="15",LEFT(TH!O4780,2)="15"),LEFT(TH!O4780,3)&lt;&gt;"111",'152-CT'!$J$8=TH!F4780),"x","")</f>
        <v/>
      </c>
      <c r="AC4340" s="75" t="str">
        <f>IF(AND(OR(LEFT(TH!N4780,2)="15",LEFT(TH!O4780,2)="15"),TK!$E$7=TH!F4780),"x","")</f>
        <v/>
      </c>
      <c r="AD4340" s="75" t="str">
        <f>IF(AND(N4340="1521",MONTH(C4340)='BK-NL'!$M$11),"x","")</f>
        <v/>
      </c>
    </row>
    <row r="4341" spans="1:30" ht="16.5" customHeight="1">
      <c r="A4341" s="309" t="str">
        <f>IF(B4341&lt;&gt;"",IF(AND(B4341='IN-TC'!$S$4,OR(TH!N4335="1111",TH!O4335="1111")),TH!D4335,""),"")</f>
        <v/>
      </c>
      <c r="B4341" s="1130">
        <f t="shared" si="1320"/>
        <v>6</v>
      </c>
      <c r="C4341" s="292">
        <f t="shared" si="1321"/>
        <v>42913</v>
      </c>
      <c r="D4341" s="59" t="s">
        <v>902</v>
      </c>
      <c r="E4341" s="59">
        <v>42913</v>
      </c>
      <c r="F4341" s="1127" t="s">
        <v>870</v>
      </c>
      <c r="G4341" s="62" t="s">
        <v>585</v>
      </c>
      <c r="H4341" s="67" t="s">
        <v>845</v>
      </c>
      <c r="I4341" s="375"/>
      <c r="J4341" s="381"/>
      <c r="K4341" s="375"/>
      <c r="L4341" s="381"/>
      <c r="M4341" s="60">
        <v>50000</v>
      </c>
      <c r="N4341" s="61" t="s">
        <v>101</v>
      </c>
      <c r="O4341" s="61" t="s">
        <v>26</v>
      </c>
      <c r="P4341" s="75" t="str">
        <f>IF(AND('331-CT'!$E$7=TH!H4781,OR(N4341="331",O4341="331")),"x","")</f>
        <v/>
      </c>
      <c r="Q4341" s="75" t="str">
        <f>IF(AND(B4341='111'!$L$11,OR($N4341=$Q$7,$O4341=$Q$7)),"x","")</f>
        <v/>
      </c>
      <c r="R4341" s="75" t="str">
        <f>IF(AND($N4341=$Q$7,$B4341&lt;'111'!$L$11),"x","")</f>
        <v/>
      </c>
      <c r="S4341" s="75" t="str">
        <f>IF(AND($O4341=$Q$7,$B4341&lt;'111'!$L$11),"x","")</f>
        <v/>
      </c>
      <c r="T4341" s="75" t="str">
        <f>IF(ISERROR(FIND('112'!$M$9,G4341,1)),"",IF((AND(FIND('112'!$M$9,G4341,1)&gt;=1,B4341='112'!$K$9,OR($N4341='112'!$I$6,$O4341='112'!$I$6))),"x",""))</f>
        <v/>
      </c>
      <c r="U4341" s="75" t="str">
        <f>IF(ISERROR(FIND('112'!$M$9,G4341,1)),"",IF((AND(LEFT(G4341,2)=LEFT('112'!$M$9,2),B4341&lt;'112'!$K$9,$N4341='112'!$I$6)),"x",""))</f>
        <v/>
      </c>
      <c r="V4341" s="75" t="str">
        <f>IF(ISERROR(FIND('112'!$M$9,G4341,1)),"",IF((AND(RIGHT(G4341,2)=RIGHT('112'!$M$9,2),B4341&lt;'112'!$K$9,$O4341='112'!$I$6)),"x",""))</f>
        <v/>
      </c>
      <c r="W4341" s="75" t="str">
        <f>IF(AND('341-CT'!$H$9=H4341,OR(LEFT(N4341,3)=$W$7,LEFT(O4341,3)=$W$7)),"x","")</f>
        <v/>
      </c>
      <c r="X4341" s="75" t="str">
        <f>IF(OR(TH!N4781=TH!$X$7,O4341=TH!$X$7),"x","")</f>
        <v/>
      </c>
      <c r="Y4341" s="75" t="str">
        <f>IF(AND(OR(N4341="131",O4341="131"),H4341='131-CT'!$H$9),"x","")</f>
        <v/>
      </c>
      <c r="Z4341" s="75"/>
      <c r="AA4341" s="75" t="str">
        <f>IF(AND(MONTH(E4341)='IN-NX'!$J$5,'IN-NX'!$D$7=D4341),"x","")</f>
        <v/>
      </c>
      <c r="AB4341" s="75" t="str">
        <f>IF(AND(OR(LEFT(TH!N4781,2)="15",LEFT(TH!O4781,2)="15"),LEFT(TH!O4781,3)&lt;&gt;"111",'152-CT'!$J$8=TH!F4781),"x","")</f>
        <v/>
      </c>
      <c r="AC4341" s="75" t="str">
        <f>IF(AND(OR(LEFT(TH!N4781,2)="15",LEFT(TH!O4781,2)="15"),TK!$E$7=TH!F4781),"x","")</f>
        <v/>
      </c>
      <c r="AD4341" s="75" t="str">
        <f>IF(AND(N4341="1521",MONTH(C4341)='BK-NL'!$M$11),"x","")</f>
        <v/>
      </c>
    </row>
    <row r="4342" spans="1:30" ht="16.5" customHeight="1">
      <c r="A4342" s="309" t="str">
        <f>IF(B4342&lt;&gt;"",IF(AND(B4342='IN-TC'!$S$4,OR(TH!N4336="1111",TH!O4336="1111")),TH!D4336,""),"")</f>
        <v/>
      </c>
      <c r="B4342" s="1130">
        <f t="shared" si="1320"/>
        <v>6</v>
      </c>
      <c r="C4342" s="292">
        <f t="shared" si="1321"/>
        <v>42913</v>
      </c>
      <c r="D4342" s="59" t="s">
        <v>902</v>
      </c>
      <c r="E4342" s="59">
        <v>42913</v>
      </c>
      <c r="F4342" s="1127" t="s">
        <v>898</v>
      </c>
      <c r="G4342" s="62" t="s">
        <v>585</v>
      </c>
      <c r="H4342" s="67" t="s">
        <v>845</v>
      </c>
      <c r="I4342" s="375"/>
      <c r="J4342" s="381"/>
      <c r="K4342" s="375"/>
      <c r="L4342" s="381"/>
      <c r="M4342" s="60">
        <v>5000</v>
      </c>
      <c r="N4342" s="61" t="s">
        <v>9</v>
      </c>
      <c r="O4342" s="61" t="s">
        <v>26</v>
      </c>
      <c r="P4342" s="75" t="str">
        <f>IF(AND('331-CT'!$E$7=TH!H4782,OR(N4342="331",O4342="331")),"x","")</f>
        <v/>
      </c>
      <c r="Q4342" s="75" t="str">
        <f>IF(AND(B4342='111'!$L$11,OR($N4342=$Q$7,$O4342=$Q$7)),"x","")</f>
        <v/>
      </c>
      <c r="R4342" s="75" t="str">
        <f>IF(AND($N4342=$Q$7,$B4342&lt;'111'!$L$11),"x","")</f>
        <v/>
      </c>
      <c r="S4342" s="75" t="str">
        <f>IF(AND($O4342=$Q$7,$B4342&lt;'111'!$L$11),"x","")</f>
        <v/>
      </c>
      <c r="T4342" s="75" t="str">
        <f>IF(ISERROR(FIND('112'!$M$9,G4342,1)),"",IF((AND(FIND('112'!$M$9,G4342,1)&gt;=1,B4342='112'!$K$9,OR($N4342='112'!$I$6,$O4342='112'!$I$6))),"x",""))</f>
        <v/>
      </c>
      <c r="U4342" s="75" t="str">
        <f>IF(ISERROR(FIND('112'!$M$9,G4342,1)),"",IF((AND(LEFT(G4342,2)=LEFT('112'!$M$9,2),B4342&lt;'112'!$K$9,$N4342='112'!$I$6)),"x",""))</f>
        <v/>
      </c>
      <c r="V4342" s="75" t="str">
        <f>IF(ISERROR(FIND('112'!$M$9,G4342,1)),"",IF((AND(RIGHT(G4342,2)=RIGHT('112'!$M$9,2),B4342&lt;'112'!$K$9,$O4342='112'!$I$6)),"x",""))</f>
        <v/>
      </c>
      <c r="W4342" s="75" t="str">
        <f>IF(AND('341-CT'!$H$9=H4342,OR(LEFT(N4342,3)=$W$7,LEFT(O4342,3)=$W$7)),"x","")</f>
        <v/>
      </c>
      <c r="X4342" s="75" t="str">
        <f>IF(OR(TH!N4782=TH!$X$7,O4342=TH!$X$7),"x","")</f>
        <v/>
      </c>
      <c r="Y4342" s="75" t="str">
        <f>IF(AND(OR(N4342="131",O4342="131"),H4342='131-CT'!$H$9),"x","")</f>
        <v/>
      </c>
      <c r="Z4342" s="75"/>
      <c r="AA4342" s="75" t="str">
        <f>IF(AND(MONTH(E4342)='IN-NX'!$J$5,'IN-NX'!$D$7=D4342),"x","")</f>
        <v/>
      </c>
      <c r="AB4342" s="75" t="str">
        <f>IF(AND(OR(LEFT(TH!N4782,2)="15",LEFT(TH!O4782,2)="15"),LEFT(TH!O4782,3)&lt;&gt;"111",'152-CT'!$J$8=TH!F4782),"x","")</f>
        <v/>
      </c>
      <c r="AC4342" s="75" t="str">
        <f>IF(AND(OR(LEFT(TH!N4782,2)="15",LEFT(TH!O4782,2)="15"),TK!$E$7=TH!F4782),"x","")</f>
        <v/>
      </c>
      <c r="AD4342" s="75" t="str">
        <f>IF(AND(N4342="1521",MONTH(C4342)='BK-NL'!$M$11),"x","")</f>
        <v/>
      </c>
    </row>
    <row r="4343" spans="1:30" ht="16.5" customHeight="1">
      <c r="A4343" s="309" t="str">
        <f>IF(B4343&lt;&gt;"",IF(AND(B4343='IN-TC'!$S$4,OR(TH!N4337="1111",TH!O4337="1111")),TH!D4337,""),"")</f>
        <v/>
      </c>
      <c r="B4343" s="1130">
        <f t="shared" si="1320"/>
        <v>6</v>
      </c>
      <c r="C4343" s="292">
        <f t="shared" si="1321"/>
        <v>42913</v>
      </c>
      <c r="D4343" s="59" t="s">
        <v>902</v>
      </c>
      <c r="E4343" s="59">
        <v>42913</v>
      </c>
      <c r="F4343" s="1127" t="s">
        <v>1736</v>
      </c>
      <c r="G4343" s="62" t="s">
        <v>585</v>
      </c>
      <c r="H4343" s="311" t="s">
        <v>561</v>
      </c>
      <c r="I4343" s="375"/>
      <c r="J4343" s="381"/>
      <c r="K4343" s="375"/>
      <c r="L4343" s="381"/>
      <c r="M4343" s="60">
        <v>2650000</v>
      </c>
      <c r="N4343" s="61" t="s">
        <v>8</v>
      </c>
      <c r="O4343" s="61" t="s">
        <v>26</v>
      </c>
      <c r="P4343" s="75" t="str">
        <f>IF(AND('331-CT'!$E$7=TH!H4783,OR(N4343="331",O4343="331")),"x","")</f>
        <v/>
      </c>
      <c r="Q4343" s="75" t="str">
        <f>IF(AND(B4343='111'!$L$11,OR($N4343=$Q$7,$O4343=$Q$7)),"x","")</f>
        <v/>
      </c>
      <c r="R4343" s="75" t="str">
        <f>IF(AND($N4343=$Q$7,$B4343&lt;'111'!$L$11),"x","")</f>
        <v/>
      </c>
      <c r="S4343" s="75" t="str">
        <f>IF(AND($O4343=$Q$7,$B4343&lt;'111'!$L$11),"x","")</f>
        <v/>
      </c>
      <c r="T4343" s="75" t="str">
        <f>IF(ISERROR(FIND('112'!$M$9,G4343,1)),"",IF((AND(FIND('112'!$M$9,G4343,1)&gt;=1,B4343='112'!$K$9,OR($N4343='112'!$I$6,$O4343='112'!$I$6))),"x",""))</f>
        <v/>
      </c>
      <c r="U4343" s="75" t="str">
        <f>IF(ISERROR(FIND('112'!$M$9,G4343,1)),"",IF((AND(LEFT(G4343,2)=LEFT('112'!$M$9,2),B4343&lt;'112'!$K$9,$N4343='112'!$I$6)),"x",""))</f>
        <v/>
      </c>
      <c r="V4343" s="75" t="str">
        <f>IF(ISERROR(FIND('112'!$M$9,G4343,1)),"",IF((AND(RIGHT(G4343,2)=RIGHT('112'!$M$9,2),B4343&lt;'112'!$K$9,$O4343='112'!$I$6)),"x",""))</f>
        <v/>
      </c>
      <c r="W4343" s="75" t="str">
        <f>IF(AND('341-CT'!$H$9=H4343,OR(LEFT(N4343,3)=$W$7,LEFT(O4343,3)=$W$7)),"x","")</f>
        <v/>
      </c>
      <c r="X4343" s="75" t="str">
        <f>IF(OR(TH!N4783=TH!$X$7,O4343=TH!$X$7),"x","")</f>
        <v/>
      </c>
      <c r="Y4343" s="75" t="str">
        <f>IF(AND(OR(N4343="131",O4343="131"),H4343='131-CT'!$H$9),"x","")</f>
        <v/>
      </c>
      <c r="Z4343" s="75"/>
      <c r="AA4343" s="75" t="str">
        <f>IF(AND(MONTH(E4343)='IN-NX'!$J$5,'IN-NX'!$D$7=D4343),"x","")</f>
        <v/>
      </c>
      <c r="AB4343" s="75" t="str">
        <f>IF(AND(OR(LEFT(TH!N4783,2)="15",LEFT(TH!O4783,2)="15"),LEFT(TH!O4783,3)&lt;&gt;"111",'152-CT'!$J$8=TH!F4783),"x","")</f>
        <v/>
      </c>
      <c r="AC4343" s="75" t="str">
        <f>IF(AND(OR(LEFT(TH!N4783,2)="15",LEFT(TH!O4783,2)="15"),TK!$E$7=TH!F4783),"x","")</f>
        <v/>
      </c>
      <c r="AD4343" s="75" t="str">
        <f>IF(AND(N4343="1521",MONTH(C4343)='BK-NL'!$M$11),"x","")</f>
        <v/>
      </c>
    </row>
    <row r="4344" spans="1:30" ht="16.5" customHeight="1">
      <c r="A4344" s="309" t="str">
        <f>IF(B4344&lt;&gt;"",IF(AND(B4344='IN-TC'!$S$4,OR(TH!N4338="1111",TH!O4338="1111")),TH!D4338,""),"")</f>
        <v/>
      </c>
      <c r="B4344" s="1130">
        <f t="shared" si="1320"/>
        <v>6</v>
      </c>
      <c r="C4344" s="292">
        <f t="shared" si="1321"/>
        <v>42913</v>
      </c>
      <c r="D4344" s="59" t="s">
        <v>902</v>
      </c>
      <c r="E4344" s="59">
        <v>42913</v>
      </c>
      <c r="F4344" s="1127" t="s">
        <v>870</v>
      </c>
      <c r="G4344" s="62" t="s">
        <v>585</v>
      </c>
      <c r="H4344" s="67" t="s">
        <v>845</v>
      </c>
      <c r="I4344" s="375"/>
      <c r="J4344" s="381"/>
      <c r="K4344" s="375"/>
      <c r="L4344" s="381"/>
      <c r="M4344" s="60">
        <v>15000</v>
      </c>
      <c r="N4344" s="61" t="s">
        <v>101</v>
      </c>
      <c r="O4344" s="61" t="s">
        <v>26</v>
      </c>
      <c r="P4344" s="75" t="str">
        <f>IF(AND('331-CT'!$E$7=TH!H4784,OR(N4344="331",O4344="331")),"x","")</f>
        <v/>
      </c>
      <c r="Q4344" s="75" t="str">
        <f>IF(AND(B4344='111'!$L$11,OR($N4344=$Q$7,$O4344=$Q$7)),"x","")</f>
        <v/>
      </c>
      <c r="R4344" s="75" t="str">
        <f>IF(AND($N4344=$Q$7,$B4344&lt;'111'!$L$11),"x","")</f>
        <v/>
      </c>
      <c r="S4344" s="75" t="str">
        <f>IF(AND($O4344=$Q$7,$B4344&lt;'111'!$L$11),"x","")</f>
        <v/>
      </c>
      <c r="T4344" s="75" t="str">
        <f>IF(ISERROR(FIND('112'!$M$9,G4344,1)),"",IF((AND(FIND('112'!$M$9,G4344,1)&gt;=1,B4344='112'!$K$9,OR($N4344='112'!$I$6,$O4344='112'!$I$6))),"x",""))</f>
        <v/>
      </c>
      <c r="U4344" s="75" t="str">
        <f>IF(ISERROR(FIND('112'!$M$9,G4344,1)),"",IF((AND(LEFT(G4344,2)=LEFT('112'!$M$9,2),B4344&lt;'112'!$K$9,$N4344='112'!$I$6)),"x",""))</f>
        <v/>
      </c>
      <c r="V4344" s="75" t="str">
        <f>IF(ISERROR(FIND('112'!$M$9,G4344,1)),"",IF((AND(RIGHT(G4344,2)=RIGHT('112'!$M$9,2),B4344&lt;'112'!$K$9,$O4344='112'!$I$6)),"x",""))</f>
        <v/>
      </c>
      <c r="W4344" s="75" t="str">
        <f>IF(AND('341-CT'!$H$9=H4344,OR(LEFT(N4344,3)=$W$7,LEFT(O4344,3)=$W$7)),"x","")</f>
        <v/>
      </c>
      <c r="X4344" s="75" t="str">
        <f>IF(OR(TH!N4784=TH!$X$7,O4344=TH!$X$7),"x","")</f>
        <v/>
      </c>
      <c r="Y4344" s="75" t="str">
        <f>IF(AND(OR(N4344="131",O4344="131"),H4344='131-CT'!$H$9),"x","")</f>
        <v/>
      </c>
      <c r="Z4344" s="75"/>
      <c r="AA4344" s="75" t="str">
        <f>IF(AND(MONTH(E4344)='IN-NX'!$J$5,'IN-NX'!$D$7=D4344),"x","")</f>
        <v/>
      </c>
      <c r="AB4344" s="75" t="str">
        <f>IF(AND(OR(LEFT(TH!N4784,2)="15",LEFT(TH!O4784,2)="15"),LEFT(TH!O4784,3)&lt;&gt;"111",'152-CT'!$J$8=TH!F4784),"x","")</f>
        <v/>
      </c>
      <c r="AC4344" s="75" t="str">
        <f>IF(AND(OR(LEFT(TH!N4784,2)="15",LEFT(TH!O4784,2)="15"),TK!$E$7=TH!F4784),"x","")</f>
        <v/>
      </c>
      <c r="AD4344" s="75" t="str">
        <f>IF(AND(N4344="1521",MONTH(C4344)='BK-NL'!$M$11),"x","")</f>
        <v/>
      </c>
    </row>
    <row r="4345" spans="1:30" ht="16.5" customHeight="1">
      <c r="A4345" s="309" t="str">
        <f>IF(B4345&lt;&gt;"",IF(AND(B4345='IN-TC'!$S$4,OR(TH!N4339="1111",TH!O4339="1111")),TH!D4339,""),"")</f>
        <v/>
      </c>
      <c r="B4345" s="1130">
        <f t="shared" si="1320"/>
        <v>6</v>
      </c>
      <c r="C4345" s="292">
        <f t="shared" si="1321"/>
        <v>42913</v>
      </c>
      <c r="D4345" s="59" t="s">
        <v>902</v>
      </c>
      <c r="E4345" s="59">
        <v>42913</v>
      </c>
      <c r="F4345" s="1127" t="s">
        <v>898</v>
      </c>
      <c r="G4345" s="62" t="s">
        <v>585</v>
      </c>
      <c r="H4345" s="67" t="s">
        <v>845</v>
      </c>
      <c r="I4345" s="375"/>
      <c r="J4345" s="381"/>
      <c r="K4345" s="375"/>
      <c r="L4345" s="381"/>
      <c r="M4345" s="60">
        <v>1500</v>
      </c>
      <c r="N4345" s="61" t="s">
        <v>9</v>
      </c>
      <c r="O4345" s="61" t="s">
        <v>26</v>
      </c>
      <c r="P4345" s="75" t="str">
        <f>IF(AND('331-CT'!$E$7=TH!H4785,OR(N4345="331",O4345="331")),"x","")</f>
        <v/>
      </c>
      <c r="Q4345" s="75" t="str">
        <f>IF(AND(B4345='111'!$L$11,OR($N4345=$Q$7,$O4345=$Q$7)),"x","")</f>
        <v/>
      </c>
      <c r="R4345" s="75" t="str">
        <f>IF(AND($N4345=$Q$7,$B4345&lt;'111'!$L$11),"x","")</f>
        <v/>
      </c>
      <c r="S4345" s="75" t="str">
        <f>IF(AND($O4345=$Q$7,$B4345&lt;'111'!$L$11),"x","")</f>
        <v/>
      </c>
      <c r="T4345" s="75" t="str">
        <f>IF(ISERROR(FIND('112'!$M$9,G4345,1)),"",IF((AND(FIND('112'!$M$9,G4345,1)&gt;=1,B4345='112'!$K$9,OR($N4345='112'!$I$6,$O4345='112'!$I$6))),"x",""))</f>
        <v/>
      </c>
      <c r="U4345" s="75" t="str">
        <f>IF(ISERROR(FIND('112'!$M$9,G4345,1)),"",IF((AND(LEFT(G4345,2)=LEFT('112'!$M$9,2),B4345&lt;'112'!$K$9,$N4345='112'!$I$6)),"x",""))</f>
        <v/>
      </c>
      <c r="V4345" s="75" t="str">
        <f>IF(ISERROR(FIND('112'!$M$9,G4345,1)),"",IF((AND(RIGHT(G4345,2)=RIGHT('112'!$M$9,2),B4345&lt;'112'!$K$9,$O4345='112'!$I$6)),"x",""))</f>
        <v/>
      </c>
      <c r="W4345" s="75" t="str">
        <f>IF(AND('341-CT'!$H$9=H4345,OR(LEFT(N4345,3)=$W$7,LEFT(O4345,3)=$W$7)),"x","")</f>
        <v/>
      </c>
      <c r="X4345" s="75" t="str">
        <f>IF(OR(TH!N4785=TH!$X$7,O4345=TH!$X$7),"x","")</f>
        <v/>
      </c>
      <c r="Y4345" s="75" t="str">
        <f>IF(AND(OR(N4345="131",O4345="131"),H4345='131-CT'!$H$9),"x","")</f>
        <v/>
      </c>
      <c r="Z4345" s="75"/>
      <c r="AA4345" s="75" t="str">
        <f>IF(AND(MONTH(E4345)='IN-NX'!$J$5,'IN-NX'!$D$7=D4345),"x","")</f>
        <v/>
      </c>
      <c r="AB4345" s="75" t="str">
        <f>IF(AND(OR(LEFT(TH!N4785,2)="15",LEFT(TH!O4785,2)="15"),LEFT(TH!O4785,3)&lt;&gt;"111",'152-CT'!$J$8=TH!F4785),"x","")</f>
        <v/>
      </c>
      <c r="AC4345" s="75" t="str">
        <f>IF(AND(OR(LEFT(TH!N4785,2)="15",LEFT(TH!O4785,2)="15"),TK!$E$7=TH!F4785),"x","")</f>
        <v/>
      </c>
      <c r="AD4345" s="75" t="str">
        <f>IF(AND(N4345="1521",MONTH(C4345)='BK-NL'!$M$11),"x","")</f>
        <v/>
      </c>
    </row>
    <row r="4346" spans="1:30" ht="16.5" customHeight="1">
      <c r="A4346" s="309" t="str">
        <f>IF(B4346&lt;&gt;"",IF(AND(B4346='IN-TC'!$S$4,OR(TH!N4340="1111",TH!O4340="1111")),TH!D4340,""),"")</f>
        <v/>
      </c>
      <c r="B4346" s="1130">
        <f t="shared" si="1320"/>
        <v>6</v>
      </c>
      <c r="C4346" s="292">
        <f t="shared" si="1321"/>
        <v>42913</v>
      </c>
      <c r="D4346" s="59" t="s">
        <v>902</v>
      </c>
      <c r="E4346" s="59">
        <v>42913</v>
      </c>
      <c r="F4346" s="1127" t="s">
        <v>1736</v>
      </c>
      <c r="G4346" s="62" t="s">
        <v>585</v>
      </c>
      <c r="H4346" s="311" t="s">
        <v>561</v>
      </c>
      <c r="I4346" s="375"/>
      <c r="J4346" s="381"/>
      <c r="K4346" s="375"/>
      <c r="L4346" s="381"/>
      <c r="M4346" s="60">
        <v>7115000</v>
      </c>
      <c r="N4346" s="61" t="s">
        <v>8</v>
      </c>
      <c r="O4346" s="61" t="s">
        <v>26</v>
      </c>
      <c r="P4346" s="75" t="str">
        <f>IF(AND('331-CT'!$E$7=TH!H4786,OR(N4346="331",O4346="331")),"x","")</f>
        <v/>
      </c>
      <c r="Q4346" s="75" t="str">
        <f>IF(AND(B4346='111'!$L$11,OR($N4346=$Q$7,$O4346=$Q$7)),"x","")</f>
        <v/>
      </c>
      <c r="R4346" s="75" t="str">
        <f>IF(AND($N4346=$Q$7,$B4346&lt;'111'!$L$11),"x","")</f>
        <v/>
      </c>
      <c r="S4346" s="75" t="str">
        <f>IF(AND($O4346=$Q$7,$B4346&lt;'111'!$L$11),"x","")</f>
        <v/>
      </c>
      <c r="T4346" s="75" t="str">
        <f>IF(ISERROR(FIND('112'!$M$9,G4346,1)),"",IF((AND(FIND('112'!$M$9,G4346,1)&gt;=1,B4346='112'!$K$9,OR($N4346='112'!$I$6,$O4346='112'!$I$6))),"x",""))</f>
        <v/>
      </c>
      <c r="U4346" s="75" t="str">
        <f>IF(ISERROR(FIND('112'!$M$9,G4346,1)),"",IF((AND(LEFT(G4346,2)=LEFT('112'!$M$9,2),B4346&lt;'112'!$K$9,$N4346='112'!$I$6)),"x",""))</f>
        <v/>
      </c>
      <c r="V4346" s="75" t="str">
        <f>IF(ISERROR(FIND('112'!$M$9,G4346,1)),"",IF((AND(RIGHT(G4346,2)=RIGHT('112'!$M$9,2),B4346&lt;'112'!$K$9,$O4346='112'!$I$6)),"x",""))</f>
        <v/>
      </c>
      <c r="W4346" s="75" t="str">
        <f>IF(AND('341-CT'!$H$9=H4346,OR(LEFT(N4346,3)=$W$7,LEFT(O4346,3)=$W$7)),"x","")</f>
        <v/>
      </c>
      <c r="X4346" s="75" t="str">
        <f>IF(OR(TH!N4786=TH!$X$7,O4346=TH!$X$7),"x","")</f>
        <v/>
      </c>
      <c r="Y4346" s="75" t="str">
        <f>IF(AND(OR(N4346="131",O4346="131"),H4346='131-CT'!$H$9),"x","")</f>
        <v/>
      </c>
      <c r="Z4346" s="75"/>
      <c r="AA4346" s="75" t="str">
        <f>IF(AND(MONTH(E4346)='IN-NX'!$J$5,'IN-NX'!$D$7=D4346),"x","")</f>
        <v/>
      </c>
      <c r="AB4346" s="75" t="str">
        <f>IF(AND(OR(LEFT(TH!N4786,2)="15",LEFT(TH!O4786,2)="15"),LEFT(TH!O4786,3)&lt;&gt;"111",'152-CT'!$J$8=TH!F4786),"x","")</f>
        <v/>
      </c>
      <c r="AC4346" s="75" t="str">
        <f>IF(AND(OR(LEFT(TH!N4786,2)="15",LEFT(TH!O4786,2)="15"),TK!$E$7=TH!F4786),"x","")</f>
        <v/>
      </c>
      <c r="AD4346" s="75" t="str">
        <f>IF(AND(N4346="1521",MONTH(C4346)='BK-NL'!$M$11),"x","")</f>
        <v/>
      </c>
    </row>
    <row r="4347" spans="1:30" ht="16.5" customHeight="1">
      <c r="A4347" s="309" t="str">
        <f>IF(B4347&lt;&gt;"",IF(AND(B4347='IN-TC'!$S$4,OR(TH!N4341="1111",TH!O4341="1111")),TH!D4341,""),"")</f>
        <v/>
      </c>
      <c r="B4347" s="1130">
        <f t="shared" si="1320"/>
        <v>6</v>
      </c>
      <c r="C4347" s="292">
        <f t="shared" si="1321"/>
        <v>42913</v>
      </c>
      <c r="D4347" s="59" t="s">
        <v>902</v>
      </c>
      <c r="E4347" s="59">
        <v>42913</v>
      </c>
      <c r="F4347" s="1127" t="s">
        <v>870</v>
      </c>
      <c r="G4347" s="62" t="s">
        <v>585</v>
      </c>
      <c r="H4347" s="67" t="s">
        <v>845</v>
      </c>
      <c r="I4347" s="375"/>
      <c r="J4347" s="381"/>
      <c r="K4347" s="375"/>
      <c r="L4347" s="381"/>
      <c r="M4347" s="60">
        <v>15000</v>
      </c>
      <c r="N4347" s="61" t="s">
        <v>101</v>
      </c>
      <c r="O4347" s="61" t="s">
        <v>26</v>
      </c>
      <c r="P4347" s="75" t="str">
        <f>IF(AND('331-CT'!$E$7=TH!H4791,OR(N4347="331",O4347="331")),"x","")</f>
        <v/>
      </c>
      <c r="Q4347" s="75" t="str">
        <f>IF(AND(B4347='111'!$L$11,OR($N4347=$Q$7,$O4347=$Q$7)),"x","")</f>
        <v/>
      </c>
      <c r="R4347" s="75" t="str">
        <f>IF(AND($N4347=$Q$7,$B4347&lt;'111'!$L$11),"x","")</f>
        <v/>
      </c>
      <c r="S4347" s="75" t="str">
        <f>IF(AND($O4347=$Q$7,$B4347&lt;'111'!$L$11),"x","")</f>
        <v/>
      </c>
      <c r="T4347" s="75" t="str">
        <f>IF(ISERROR(FIND('112'!$M$9,G4347,1)),"",IF((AND(FIND('112'!$M$9,G4347,1)&gt;=1,B4347='112'!$K$9,OR($N4347='112'!$I$6,$O4347='112'!$I$6))),"x",""))</f>
        <v/>
      </c>
      <c r="U4347" s="75" t="str">
        <f>IF(ISERROR(FIND('112'!$M$9,G4347,1)),"",IF((AND(LEFT(G4347,2)=LEFT('112'!$M$9,2),B4347&lt;'112'!$K$9,$N4347='112'!$I$6)),"x",""))</f>
        <v/>
      </c>
      <c r="V4347" s="75" t="str">
        <f>IF(ISERROR(FIND('112'!$M$9,G4347,1)),"",IF((AND(RIGHT(G4347,2)=RIGHT('112'!$M$9,2),B4347&lt;'112'!$K$9,$O4347='112'!$I$6)),"x",""))</f>
        <v/>
      </c>
      <c r="W4347" s="75" t="str">
        <f>IF(AND('341-CT'!$H$9=H4347,OR(LEFT(N4347,3)=$W$7,LEFT(O4347,3)=$W$7)),"x","")</f>
        <v/>
      </c>
      <c r="X4347" s="75" t="str">
        <f>IF(OR(TH!N4791=TH!$X$7,O4347=TH!$X$7),"x","")</f>
        <v/>
      </c>
      <c r="Y4347" s="75" t="str">
        <f>IF(AND(OR(N4347="131",O4347="131"),H4347='131-CT'!$H$9),"x","")</f>
        <v/>
      </c>
      <c r="Z4347" s="75"/>
      <c r="AA4347" s="75" t="str">
        <f>IF(AND(MONTH(E4347)='IN-NX'!$J$5,'IN-NX'!$D$7=D4347),"x","")</f>
        <v/>
      </c>
      <c r="AB4347" s="75" t="str">
        <f>IF(AND(OR(LEFT(TH!N4791,2)="15",LEFT(TH!O4791,2)="15"),LEFT(TH!O4791,3)&lt;&gt;"111",'152-CT'!$J$8=TH!F4791),"x","")</f>
        <v/>
      </c>
      <c r="AC4347" s="75" t="str">
        <f>IF(AND(OR(LEFT(TH!N4791,2)="15",LEFT(TH!O4791,2)="15"),TK!$E$7=TH!F4791),"x","")</f>
        <v/>
      </c>
      <c r="AD4347" s="75" t="str">
        <f>IF(AND(N4347="1521",MONTH(C4347)='BK-NL'!$M$11),"x","")</f>
        <v/>
      </c>
    </row>
    <row r="4348" spans="1:30" ht="16.5" customHeight="1">
      <c r="A4348" s="309" t="str">
        <f>IF(B4348&lt;&gt;"",IF(AND(B4348='IN-TC'!$S$4,OR(TH!N4342="1111",TH!O4342="1111")),TH!D4342,""),"")</f>
        <v/>
      </c>
      <c r="B4348" s="1130">
        <f t="shared" si="1320"/>
        <v>6</v>
      </c>
      <c r="C4348" s="292">
        <f t="shared" si="1321"/>
        <v>42913</v>
      </c>
      <c r="D4348" s="59" t="s">
        <v>902</v>
      </c>
      <c r="E4348" s="59">
        <v>42913</v>
      </c>
      <c r="F4348" s="1127" t="s">
        <v>898</v>
      </c>
      <c r="G4348" s="62" t="s">
        <v>585</v>
      </c>
      <c r="H4348" s="67" t="s">
        <v>845</v>
      </c>
      <c r="I4348" s="375"/>
      <c r="J4348" s="381"/>
      <c r="K4348" s="375"/>
      <c r="L4348" s="381"/>
      <c r="M4348" s="60">
        <v>1500</v>
      </c>
      <c r="N4348" s="61" t="s">
        <v>9</v>
      </c>
      <c r="O4348" s="61" t="s">
        <v>26</v>
      </c>
      <c r="P4348" s="75" t="str">
        <f>IF(AND('331-CT'!$E$7=TH!H4792,OR(N4348="331",O4348="331")),"x","")</f>
        <v/>
      </c>
      <c r="Q4348" s="75" t="str">
        <f>IF(AND(B4348='111'!$L$11,OR($N4348=$Q$7,$O4348=$Q$7)),"x","")</f>
        <v/>
      </c>
      <c r="R4348" s="75" t="str">
        <f>IF(AND($N4348=$Q$7,$B4348&lt;'111'!$L$11),"x","")</f>
        <v/>
      </c>
      <c r="S4348" s="75" t="str">
        <f>IF(AND($O4348=$Q$7,$B4348&lt;'111'!$L$11),"x","")</f>
        <v/>
      </c>
      <c r="T4348" s="75" t="str">
        <f>IF(ISERROR(FIND('112'!$M$9,G4348,1)),"",IF((AND(FIND('112'!$M$9,G4348,1)&gt;=1,B4348='112'!$K$9,OR($N4348='112'!$I$6,$O4348='112'!$I$6))),"x",""))</f>
        <v/>
      </c>
      <c r="U4348" s="75" t="str">
        <f>IF(ISERROR(FIND('112'!$M$9,G4348,1)),"",IF((AND(LEFT(G4348,2)=LEFT('112'!$M$9,2),B4348&lt;'112'!$K$9,$N4348='112'!$I$6)),"x",""))</f>
        <v/>
      </c>
      <c r="V4348" s="75" t="str">
        <f>IF(ISERROR(FIND('112'!$M$9,G4348,1)),"",IF((AND(RIGHT(G4348,2)=RIGHT('112'!$M$9,2),B4348&lt;'112'!$K$9,$O4348='112'!$I$6)),"x",""))</f>
        <v/>
      </c>
      <c r="W4348" s="75" t="str">
        <f>IF(AND('341-CT'!$H$9=H4348,OR(LEFT(N4348,3)=$W$7,LEFT(O4348,3)=$W$7)),"x","")</f>
        <v/>
      </c>
      <c r="X4348" s="75" t="str">
        <f>IF(OR(TH!N4792=TH!$X$7,O4348=TH!$X$7),"x","")</f>
        <v/>
      </c>
      <c r="Y4348" s="75" t="str">
        <f>IF(AND(OR(N4348="131",O4348="131"),H4348='131-CT'!$H$9),"x","")</f>
        <v/>
      </c>
      <c r="Z4348" s="75"/>
      <c r="AA4348" s="75" t="str">
        <f>IF(AND(MONTH(E4348)='IN-NX'!$J$5,'IN-NX'!$D$7=D4348),"x","")</f>
        <v/>
      </c>
      <c r="AB4348" s="75" t="str">
        <f>IF(AND(OR(LEFT(TH!N4792,2)="15",LEFT(TH!O4792,2)="15"),LEFT(TH!O4792,3)&lt;&gt;"111",'152-CT'!$J$8=TH!F4792),"x","")</f>
        <v/>
      </c>
      <c r="AC4348" s="75" t="str">
        <f>IF(AND(OR(LEFT(TH!N4792,2)="15",LEFT(TH!O4792,2)="15"),TK!$E$7=TH!F4792),"x","")</f>
        <v/>
      </c>
      <c r="AD4348" s="75" t="str">
        <f>IF(AND(N4348="1521",MONTH(C4348)='BK-NL'!$M$11),"x","")</f>
        <v/>
      </c>
    </row>
    <row r="4349" spans="1:30" ht="16.5" customHeight="1">
      <c r="A4349" s="309" t="str">
        <f>IF(B4349&lt;&gt;"",IF(AND(B4349='IN-TC'!$S$4,OR(TH!N4343="1111",TH!O4343="1111")),TH!D4343,""),"")</f>
        <v/>
      </c>
      <c r="B4349" s="1130">
        <f t="shared" si="1320"/>
        <v>6</v>
      </c>
      <c r="C4349" s="292">
        <f t="shared" si="1321"/>
        <v>42913</v>
      </c>
      <c r="D4349" s="292" t="s">
        <v>1198</v>
      </c>
      <c r="E4349" s="59">
        <v>42913</v>
      </c>
      <c r="F4349" s="1334" t="s">
        <v>834</v>
      </c>
      <c r="G4349" s="62" t="s">
        <v>747</v>
      </c>
      <c r="H4349" s="67" t="s">
        <v>1023</v>
      </c>
      <c r="I4349" s="1165"/>
      <c r="J4349" s="908"/>
      <c r="K4349" s="375"/>
      <c r="L4349" s="381"/>
      <c r="M4349" s="60">
        <v>1500000000</v>
      </c>
      <c r="N4349" s="61" t="s">
        <v>63</v>
      </c>
      <c r="O4349" s="61" t="s">
        <v>26</v>
      </c>
      <c r="P4349" s="75" t="str">
        <f>IF(AND('331-CT'!$E$7=TH!H5242,OR(N4349="331",O4349="331")),"x","")</f>
        <v/>
      </c>
      <c r="Q4349" s="75" t="str">
        <f>IF(AND(B4349='111'!$L$11,OR($N4349=$Q$7,$O4349=$Q$7)),"x","")</f>
        <v/>
      </c>
      <c r="R4349" s="75" t="str">
        <f>IF(AND($N4349=$Q$7,$B4349&lt;'111'!$L$11),"x","")</f>
        <v>x</v>
      </c>
      <c r="S4349" s="75" t="str">
        <f>IF(AND($O4349=$Q$7,$B4349&lt;'111'!$L$11),"x","")</f>
        <v/>
      </c>
      <c r="T4349" s="75" t="str">
        <f>IF(ISERROR(FIND('112'!$M$9,G4349,1)),"",IF((AND(FIND('112'!$M$9,G4349,1)&gt;=1,B4349='112'!$K$9,OR($N4349='112'!$I$6,$O4349='112'!$I$6))),"x",""))</f>
        <v/>
      </c>
      <c r="U4349" s="75" t="str">
        <f>IF(ISERROR(FIND('112'!$M$9,G4349,1)),"",IF((AND(LEFT(G4349,2)=LEFT('112'!$M$9,2),B4349&lt;'112'!$K$9,$N4349='112'!$I$6)),"x",""))</f>
        <v/>
      </c>
      <c r="V4349" s="75" t="str">
        <f>IF(ISERROR(FIND('112'!$M$9,G4349,1)),"",IF((AND(RIGHT(G4349,2)=RIGHT('112'!$M$9,2),B4349&lt;'112'!$K$9,$O4349='112'!$I$6)),"x",""))</f>
        <v/>
      </c>
      <c r="W4349" s="75" t="str">
        <f>IF(AND('341-CT'!$H$9=H4349,OR(LEFT(N4349,3)=$W$7,LEFT(O4349,3)=$W$7)),"x","")</f>
        <v/>
      </c>
      <c r="X4349" s="75" t="str">
        <f>IF(OR(TH!N5242=TH!$X$7,O4349=TH!$X$7),"x","")</f>
        <v/>
      </c>
      <c r="Y4349" s="75" t="str">
        <f>IF(AND(OR(N4349="131",O4349="131"),H4349='131-CT'!$H$9),"x","")</f>
        <v/>
      </c>
      <c r="Z4349" s="75"/>
      <c r="AA4349" s="75" t="str">
        <f>IF(AND(MONTH(E4349)='IN-NX'!$J$5,'IN-NX'!$D$7=D4349),"x","")</f>
        <v/>
      </c>
      <c r="AB4349" s="75" t="str">
        <f>IF(AND(OR(LEFT(TH!N5242,2)="15",LEFT(TH!O5242,2)="15"),LEFT(TH!O5242,3)&lt;&gt;"111",'152-CT'!$J$8=TH!F5242),"x","")</f>
        <v/>
      </c>
      <c r="AC4349" s="75" t="str">
        <f>IF(AND(OR(LEFT(TH!N5242,2)="15",LEFT(TH!O5242,2)="15"),TK!$E$7=TH!F5242),"x","")</f>
        <v/>
      </c>
      <c r="AD4349" s="75" t="str">
        <f>IF(AND(N4349="1521",MONTH(C4349)='BK-NL'!$M$11),"x","")</f>
        <v/>
      </c>
    </row>
    <row r="4350" spans="1:30" ht="16.5" customHeight="1">
      <c r="A4350" s="309" t="str">
        <f>IF(B4350&lt;&gt;"",IF(AND(B4350='IN-TC'!$S$4,OR(TH!N4344="1111",TH!O4344="1111")),TH!D4344,""),"")</f>
        <v/>
      </c>
      <c r="B4350" s="1130">
        <f t="shared" si="1320"/>
        <v>6</v>
      </c>
      <c r="C4350" s="292">
        <f t="shared" si="1321"/>
        <v>42913</v>
      </c>
      <c r="D4350" s="59" t="s">
        <v>902</v>
      </c>
      <c r="E4350" s="59">
        <v>42913</v>
      </c>
      <c r="F4350" s="1337" t="s">
        <v>1307</v>
      </c>
      <c r="G4350" s="62" t="s">
        <v>747</v>
      </c>
      <c r="H4350" s="67" t="s">
        <v>835</v>
      </c>
      <c r="I4350" s="373"/>
      <c r="J4350" s="379"/>
      <c r="K4350" s="373"/>
      <c r="L4350" s="379"/>
      <c r="M4350" s="60">
        <v>2505800</v>
      </c>
      <c r="N4350" s="61" t="s">
        <v>101</v>
      </c>
      <c r="O4350" s="61" t="s">
        <v>26</v>
      </c>
      <c r="P4350" s="75" t="str">
        <f>IF(AND('331-CT'!$E$7=TH!H5243,OR(N4350="331",O4350="331")),"x","")</f>
        <v/>
      </c>
      <c r="Q4350" s="75" t="str">
        <f>IF(AND(B4350='111'!$L$11,OR($N4350=$Q$7,$O4350=$Q$7)),"x","")</f>
        <v/>
      </c>
      <c r="R4350" s="75" t="str">
        <f>IF(AND($N4350=$Q$7,$B4350&lt;'111'!$L$11),"x","")</f>
        <v/>
      </c>
      <c r="S4350" s="75" t="str">
        <f>IF(AND($O4350=$Q$7,$B4350&lt;'111'!$L$11),"x","")</f>
        <v/>
      </c>
      <c r="T4350" s="75" t="str">
        <f>IF(ISERROR(FIND('112'!$M$9,G4350,1)),"",IF((AND(FIND('112'!$M$9,G4350,1)&gt;=1,B4350='112'!$K$9,OR($N4350='112'!$I$6,$O4350='112'!$I$6))),"x",""))</f>
        <v/>
      </c>
      <c r="U4350" s="75" t="str">
        <f>IF(ISERROR(FIND('112'!$M$9,G4350,1)),"",IF((AND(LEFT(G4350,2)=LEFT('112'!$M$9,2),B4350&lt;'112'!$K$9,$N4350='112'!$I$6)),"x",""))</f>
        <v/>
      </c>
      <c r="V4350" s="75" t="str">
        <f>IF(ISERROR(FIND('112'!$M$9,G4350,1)),"",IF((AND(RIGHT(G4350,2)=RIGHT('112'!$M$9,2),B4350&lt;'112'!$K$9,$O4350='112'!$I$6)),"x",""))</f>
        <v/>
      </c>
      <c r="W4350" s="75" t="str">
        <f>IF(AND('341-CT'!$H$9=H4350,OR(LEFT(N4350,3)=$W$7,LEFT(O4350,3)=$W$7)),"x","")</f>
        <v/>
      </c>
      <c r="X4350" s="75" t="str">
        <f>IF(OR(TH!N5243=TH!$X$7,O4350=TH!$X$7),"x","")</f>
        <v/>
      </c>
      <c r="Y4350" s="75" t="str">
        <f>IF(AND(OR(N4350="131",O4350="131"),H4350='131-CT'!$H$9),"x","")</f>
        <v/>
      </c>
      <c r="Z4350" s="75"/>
      <c r="AA4350" s="75" t="str">
        <f>IF(AND(MONTH(E4350)='IN-NX'!$J$5,'IN-NX'!$D$7=D4350),"x","")</f>
        <v/>
      </c>
      <c r="AB4350" s="75" t="str">
        <f>IF(AND(OR(LEFT(TH!N5243,2)="15",LEFT(TH!O5243,2)="15"),LEFT(TH!O5243,3)&lt;&gt;"111",'152-CT'!$J$8=TH!F5243),"x","")</f>
        <v/>
      </c>
      <c r="AC4350" s="75" t="str">
        <f>IF(AND(OR(LEFT(TH!N5243,2)="15",LEFT(TH!O5243,2)="15"),TK!$E$7=TH!F5243),"x","")</f>
        <v/>
      </c>
      <c r="AD4350" s="75" t="str">
        <f>IF(AND(N4350="1521",MONTH(C4350)='BK-NL'!$M$11),"x","")</f>
        <v/>
      </c>
    </row>
    <row r="4351" spans="1:30" ht="16.5" customHeight="1">
      <c r="A4351" s="309" t="str">
        <f>IF(B4351&lt;&gt;"",IF(AND(B4351='IN-TC'!$S$4,OR(TH!N4345="1111",TH!O4345="1111")),TH!D4345,""),"")</f>
        <v/>
      </c>
      <c r="B4351" s="1130">
        <f t="shared" si="1320"/>
        <v>6</v>
      </c>
      <c r="C4351" s="292">
        <f t="shared" si="1321"/>
        <v>42914</v>
      </c>
      <c r="D4351" s="292" t="s">
        <v>1271</v>
      </c>
      <c r="E4351" s="59">
        <v>42914</v>
      </c>
      <c r="F4351" s="1334" t="s">
        <v>834</v>
      </c>
      <c r="G4351" s="62" t="s">
        <v>747</v>
      </c>
      <c r="H4351" s="67" t="s">
        <v>1023</v>
      </c>
      <c r="I4351" s="1165"/>
      <c r="J4351" s="908"/>
      <c r="K4351" s="375"/>
      <c r="L4351" s="381"/>
      <c r="M4351" s="60">
        <v>1500000000</v>
      </c>
      <c r="N4351" s="61" t="s">
        <v>63</v>
      </c>
      <c r="O4351" s="61" t="s">
        <v>26</v>
      </c>
      <c r="P4351" s="75" t="str">
        <f>IF(AND('331-CT'!$E$7=TH!H5244,OR(N4351="331",O4351="331")),"x","")</f>
        <v/>
      </c>
      <c r="Q4351" s="75" t="str">
        <f>IF(AND(B4351='111'!$L$11,OR($N4351=$Q$7,$O4351=$Q$7)),"x","")</f>
        <v/>
      </c>
      <c r="R4351" s="75" t="str">
        <f>IF(AND($N4351=$Q$7,$B4351&lt;'111'!$L$11),"x","")</f>
        <v>x</v>
      </c>
      <c r="S4351" s="75" t="str">
        <f>IF(AND($O4351=$Q$7,$B4351&lt;'111'!$L$11),"x","")</f>
        <v/>
      </c>
      <c r="T4351" s="75" t="str">
        <f>IF(ISERROR(FIND('112'!$M$9,G4351,1)),"",IF((AND(FIND('112'!$M$9,G4351,1)&gt;=1,B4351='112'!$K$9,OR($N4351='112'!$I$6,$O4351='112'!$I$6))),"x",""))</f>
        <v/>
      </c>
      <c r="U4351" s="75" t="str">
        <f>IF(ISERROR(FIND('112'!$M$9,G4351,1)),"",IF((AND(LEFT(G4351,2)=LEFT('112'!$M$9,2),B4351&lt;'112'!$K$9,$N4351='112'!$I$6)),"x",""))</f>
        <v/>
      </c>
      <c r="V4351" s="75" t="str">
        <f>IF(ISERROR(FIND('112'!$M$9,G4351,1)),"",IF((AND(RIGHT(G4351,2)=RIGHT('112'!$M$9,2),B4351&lt;'112'!$K$9,$O4351='112'!$I$6)),"x",""))</f>
        <v/>
      </c>
      <c r="W4351" s="75" t="str">
        <f>IF(AND('341-CT'!$H$9=H4351,OR(LEFT(N4351,3)=$W$7,LEFT(O4351,3)=$W$7)),"x","")</f>
        <v/>
      </c>
      <c r="X4351" s="75" t="str">
        <f>IF(OR(TH!N5244=TH!$X$7,O4351=TH!$X$7),"x","")</f>
        <v/>
      </c>
      <c r="Y4351" s="75" t="str">
        <f>IF(AND(OR(N4351="131",O4351="131"),H4351='131-CT'!$H$9),"x","")</f>
        <v/>
      </c>
      <c r="Z4351" s="75"/>
      <c r="AA4351" s="75" t="str">
        <f>IF(AND(MONTH(E4351)='IN-NX'!$J$5,'IN-NX'!$D$7=D4351),"x","")</f>
        <v/>
      </c>
      <c r="AB4351" s="75" t="str">
        <f>IF(AND(OR(LEFT(TH!N5244,2)="15",LEFT(TH!O5244,2)="15"),LEFT(TH!O5244,3)&lt;&gt;"111",'152-CT'!$J$8=TH!F5244),"x","")</f>
        <v/>
      </c>
      <c r="AC4351" s="75" t="str">
        <f>IF(AND(OR(LEFT(TH!N5244,2)="15",LEFT(TH!O5244,2)="15"),TK!$E$7=TH!F5244),"x","")</f>
        <v/>
      </c>
      <c r="AD4351" s="75" t="str">
        <f>IF(AND(N4351="1521",MONTH(C4351)='BK-NL'!$M$11),"x","")</f>
        <v/>
      </c>
    </row>
    <row r="4352" spans="1:30" ht="16.5" customHeight="1">
      <c r="A4352" s="309" t="str">
        <f>IF(B4352&lt;&gt;"",IF(AND(B4352='IN-TC'!$S$4,OR(TH!N4346="1111",TH!O4346="1111")),TH!D4346,""),"")</f>
        <v/>
      </c>
      <c r="B4352" s="1130">
        <f t="shared" si="1320"/>
        <v>6</v>
      </c>
      <c r="C4352" s="292">
        <f t="shared" si="1321"/>
        <v>42914</v>
      </c>
      <c r="D4352" s="59" t="s">
        <v>902</v>
      </c>
      <c r="E4352" s="59">
        <v>42914</v>
      </c>
      <c r="F4352" s="1127" t="s">
        <v>1674</v>
      </c>
      <c r="G4352" s="62" t="s">
        <v>747</v>
      </c>
      <c r="H4352" s="311" t="s">
        <v>749</v>
      </c>
      <c r="I4352" s="373"/>
      <c r="J4352" s="379"/>
      <c r="K4352" s="373"/>
      <c r="L4352" s="379"/>
      <c r="M4352" s="60">
        <v>20293420</v>
      </c>
      <c r="N4352" s="61" t="s">
        <v>8</v>
      </c>
      <c r="O4352" s="61" t="s">
        <v>26</v>
      </c>
      <c r="P4352" s="75" t="str">
        <f>IF(AND('331-CT'!$E$7=TH!H5245,OR(N4352="331",O4352="331")),"x","")</f>
        <v/>
      </c>
      <c r="Q4352" s="75" t="str">
        <f>IF(AND(B4352='111'!$L$11,OR($N4352=$Q$7,$O4352=$Q$7)),"x","")</f>
        <v/>
      </c>
      <c r="R4352" s="75" t="str">
        <f>IF(AND($N4352=$Q$7,$B4352&lt;'111'!$L$11),"x","")</f>
        <v/>
      </c>
      <c r="S4352" s="75" t="str">
        <f>IF(AND($O4352=$Q$7,$B4352&lt;'111'!$L$11),"x","")</f>
        <v/>
      </c>
      <c r="T4352" s="75" t="str">
        <f>IF(ISERROR(FIND('112'!$M$9,G4352,1)),"",IF((AND(FIND('112'!$M$9,G4352,1)&gt;=1,B4352='112'!$K$9,OR($N4352='112'!$I$6,$O4352='112'!$I$6))),"x",""))</f>
        <v/>
      </c>
      <c r="U4352" s="75" t="str">
        <f>IF(ISERROR(FIND('112'!$M$9,G4352,1)),"",IF((AND(LEFT(G4352,2)=LEFT('112'!$M$9,2),B4352&lt;'112'!$K$9,$N4352='112'!$I$6)),"x",""))</f>
        <v/>
      </c>
      <c r="V4352" s="75" t="str">
        <f>IF(ISERROR(FIND('112'!$M$9,G4352,1)),"",IF((AND(RIGHT(G4352,2)=RIGHT('112'!$M$9,2),B4352&lt;'112'!$K$9,$O4352='112'!$I$6)),"x",""))</f>
        <v/>
      </c>
      <c r="W4352" s="75" t="str">
        <f>IF(AND('341-CT'!$H$9=H4352,OR(LEFT(N4352,3)=$W$7,LEFT(O4352,3)=$W$7)),"x","")</f>
        <v/>
      </c>
      <c r="X4352" s="75" t="str">
        <f>IF(OR(TH!N5245=TH!$X$7,O4352=TH!$X$7),"x","")</f>
        <v/>
      </c>
      <c r="Y4352" s="75" t="str">
        <f>IF(AND(OR(N4352="131",O4352="131"),H4352='131-CT'!$H$9),"x","")</f>
        <v/>
      </c>
      <c r="Z4352" s="75"/>
      <c r="AA4352" s="75" t="str">
        <f>IF(AND(MONTH(E4352)='IN-NX'!$J$5,'IN-NX'!$D$7=D4352),"x","")</f>
        <v/>
      </c>
      <c r="AB4352" s="75" t="str">
        <f>IF(AND(OR(LEFT(TH!N5245,2)="15",LEFT(TH!O5245,2)="15"),LEFT(TH!O5245,3)&lt;&gt;"111",'152-CT'!$J$8=TH!F5245),"x","")</f>
        <v/>
      </c>
      <c r="AC4352" s="75" t="str">
        <f>IF(AND(OR(LEFT(TH!N5245,2)="15",LEFT(TH!O5245,2)="15"),TK!$E$7=TH!F5245),"x","")</f>
        <v/>
      </c>
      <c r="AD4352" s="75" t="str">
        <f>IF(AND(N4352="1521",MONTH(C4352)='BK-NL'!$M$11),"x","")</f>
        <v/>
      </c>
    </row>
    <row r="4353" spans="1:30" ht="16.5" customHeight="1">
      <c r="A4353" s="309" t="str">
        <f>IF(B4353&lt;&gt;"",IF(AND(B4353='IN-TC'!$S$4,OR(TH!N4347="1111",TH!O4347="1111")),TH!D4347,""),"")</f>
        <v/>
      </c>
      <c r="B4353" s="1130">
        <f t="shared" si="1320"/>
        <v>6</v>
      </c>
      <c r="C4353" s="292">
        <f t="shared" si="1321"/>
        <v>42914</v>
      </c>
      <c r="D4353" s="59" t="s">
        <v>902</v>
      </c>
      <c r="E4353" s="59">
        <v>42914</v>
      </c>
      <c r="F4353" s="1127" t="s">
        <v>870</v>
      </c>
      <c r="G4353" s="62" t="s">
        <v>747</v>
      </c>
      <c r="H4353" s="67" t="s">
        <v>835</v>
      </c>
      <c r="I4353" s="375"/>
      <c r="J4353" s="381"/>
      <c r="K4353" s="375"/>
      <c r="L4353" s="381"/>
      <c r="M4353" s="60">
        <v>10000</v>
      </c>
      <c r="N4353" s="61" t="s">
        <v>101</v>
      </c>
      <c r="O4353" s="61" t="s">
        <v>26</v>
      </c>
      <c r="P4353" s="75" t="str">
        <f>IF(AND('331-CT'!$E$7=TH!H5246,OR(N4353="331",O4353="331")),"x","")</f>
        <v/>
      </c>
      <c r="Q4353" s="75" t="str">
        <f>IF(AND(B4353='111'!$L$11,OR($N4353=$Q$7,$O4353=$Q$7)),"x","")</f>
        <v/>
      </c>
      <c r="R4353" s="75" t="str">
        <f>IF(AND($N4353=$Q$7,$B4353&lt;'111'!$L$11),"x","")</f>
        <v/>
      </c>
      <c r="S4353" s="75" t="str">
        <f>IF(AND($O4353=$Q$7,$B4353&lt;'111'!$L$11),"x","")</f>
        <v/>
      </c>
      <c r="T4353" s="75" t="str">
        <f>IF(ISERROR(FIND('112'!$M$9,G4353,1)),"",IF((AND(FIND('112'!$M$9,G4353,1)&gt;=1,B4353='112'!$K$9,OR($N4353='112'!$I$6,$O4353='112'!$I$6))),"x",""))</f>
        <v/>
      </c>
      <c r="U4353" s="75" t="str">
        <f>IF(ISERROR(FIND('112'!$M$9,G4353,1)),"",IF((AND(LEFT(G4353,2)=LEFT('112'!$M$9,2),B4353&lt;'112'!$K$9,$N4353='112'!$I$6)),"x",""))</f>
        <v/>
      </c>
      <c r="V4353" s="75" t="str">
        <f>IF(ISERROR(FIND('112'!$M$9,G4353,1)),"",IF((AND(RIGHT(G4353,2)=RIGHT('112'!$M$9,2),B4353&lt;'112'!$K$9,$O4353='112'!$I$6)),"x",""))</f>
        <v/>
      </c>
      <c r="W4353" s="75" t="str">
        <f>IF(AND('341-CT'!$H$9=H4353,OR(LEFT(N4353,3)=$W$7,LEFT(O4353,3)=$W$7)),"x","")</f>
        <v/>
      </c>
      <c r="X4353" s="75" t="str">
        <f>IF(OR(TH!N5246=TH!$X$7,O4353=TH!$X$7),"x","")</f>
        <v/>
      </c>
      <c r="Y4353" s="75" t="str">
        <f>IF(AND(OR(N4353="131",O4353="131"),H4353='131-CT'!$H$9),"x","")</f>
        <v/>
      </c>
      <c r="Z4353" s="75"/>
      <c r="AA4353" s="75" t="str">
        <f>IF(AND(MONTH(E4353)='IN-NX'!$J$5,'IN-NX'!$D$7=D4353),"x","")</f>
        <v/>
      </c>
      <c r="AB4353" s="75" t="str">
        <f>IF(AND(OR(LEFT(TH!N5246,2)="15",LEFT(TH!O5246,2)="15"),LEFT(TH!O5246,3)&lt;&gt;"111",'152-CT'!$J$8=TH!F5246),"x","")</f>
        <v/>
      </c>
      <c r="AC4353" s="75" t="str">
        <f>IF(AND(OR(LEFT(TH!N5246,2)="15",LEFT(TH!O5246,2)="15"),TK!$E$7=TH!F5246),"x","")</f>
        <v/>
      </c>
      <c r="AD4353" s="75" t="str">
        <f>IF(AND(N4353="1521",MONTH(C4353)='BK-NL'!$M$11),"x","")</f>
        <v/>
      </c>
    </row>
    <row r="4354" spans="1:30" ht="16.5" customHeight="1">
      <c r="A4354" s="309" t="str">
        <f>IF(B4354&lt;&gt;"",IF(AND(B4354='IN-TC'!$S$4,OR(TH!N4348="1111",TH!O4348="1111")),TH!D4348,""),"")</f>
        <v/>
      </c>
      <c r="B4354" s="1130">
        <f t="shared" si="1320"/>
        <v>6</v>
      </c>
      <c r="C4354" s="292">
        <f t="shared" si="1321"/>
        <v>42914</v>
      </c>
      <c r="D4354" s="59" t="s">
        <v>902</v>
      </c>
      <c r="E4354" s="59">
        <v>42914</v>
      </c>
      <c r="F4354" s="1127" t="s">
        <v>898</v>
      </c>
      <c r="G4354" s="62" t="s">
        <v>747</v>
      </c>
      <c r="H4354" s="67" t="s">
        <v>835</v>
      </c>
      <c r="I4354" s="375"/>
      <c r="J4354" s="381"/>
      <c r="K4354" s="375"/>
      <c r="L4354" s="381"/>
      <c r="M4354" s="60">
        <v>1000</v>
      </c>
      <c r="N4354" s="61" t="s">
        <v>9</v>
      </c>
      <c r="O4354" s="61" t="s">
        <v>26</v>
      </c>
      <c r="P4354" s="75" t="str">
        <f>IF(AND('331-CT'!$E$7=TH!H5247,OR(N4354="331",O4354="331")),"x","")</f>
        <v/>
      </c>
      <c r="Q4354" s="75" t="str">
        <f>IF(AND(B4354='111'!$L$11,OR($N4354=$Q$7,$O4354=$Q$7)),"x","")</f>
        <v/>
      </c>
      <c r="R4354" s="75" t="str">
        <f>IF(AND($N4354=$Q$7,$B4354&lt;'111'!$L$11),"x","")</f>
        <v/>
      </c>
      <c r="S4354" s="75" t="str">
        <f>IF(AND($O4354=$Q$7,$B4354&lt;'111'!$L$11),"x","")</f>
        <v/>
      </c>
      <c r="T4354" s="75" t="str">
        <f>IF(ISERROR(FIND('112'!$M$9,G4354,1)),"",IF((AND(FIND('112'!$M$9,G4354,1)&gt;=1,B4354='112'!$K$9,OR($N4354='112'!$I$6,$O4354='112'!$I$6))),"x",""))</f>
        <v/>
      </c>
      <c r="U4354" s="75" t="str">
        <f>IF(ISERROR(FIND('112'!$M$9,G4354,1)),"",IF((AND(LEFT(G4354,2)=LEFT('112'!$M$9,2),B4354&lt;'112'!$K$9,$N4354='112'!$I$6)),"x",""))</f>
        <v/>
      </c>
      <c r="V4354" s="75" t="str">
        <f>IF(ISERROR(FIND('112'!$M$9,G4354,1)),"",IF((AND(RIGHT(G4354,2)=RIGHT('112'!$M$9,2),B4354&lt;'112'!$K$9,$O4354='112'!$I$6)),"x",""))</f>
        <v/>
      </c>
      <c r="W4354" s="75" t="str">
        <f>IF(AND('341-CT'!$H$9=H4354,OR(LEFT(N4354,3)=$W$7,LEFT(O4354,3)=$W$7)),"x","")</f>
        <v/>
      </c>
      <c r="X4354" s="75" t="str">
        <f>IF(OR(TH!N5247=TH!$X$7,O4354=TH!$X$7),"x","")</f>
        <v/>
      </c>
      <c r="Y4354" s="75" t="str">
        <f>IF(AND(OR(N4354="131",O4354="131"),H4354='131-CT'!$H$9),"x","")</f>
        <v/>
      </c>
      <c r="Z4354" s="75"/>
      <c r="AA4354" s="75" t="str">
        <f>IF(AND(MONTH(E4354)='IN-NX'!$J$5,'IN-NX'!$D$7=D4354),"x","")</f>
        <v/>
      </c>
      <c r="AB4354" s="75" t="str">
        <f>IF(AND(OR(LEFT(TH!N5247,2)="15",LEFT(TH!O5247,2)="15"),LEFT(TH!O5247,3)&lt;&gt;"111",'152-CT'!$J$8=TH!F5247),"x","")</f>
        <v/>
      </c>
      <c r="AC4354" s="75" t="str">
        <f>IF(AND(OR(LEFT(TH!N5247,2)="15",LEFT(TH!O5247,2)="15"),TK!$E$7=TH!F5247),"x","")</f>
        <v/>
      </c>
      <c r="AD4354" s="75" t="str">
        <f>IF(AND(N4354="1521",MONTH(C4354)='BK-NL'!$M$11),"x","")</f>
        <v/>
      </c>
    </row>
    <row r="4355" spans="1:30" ht="16.5" customHeight="1">
      <c r="A4355" s="309" t="str">
        <f>IF(B4355&lt;&gt;"",IF(AND(B4355='IN-TC'!$S$4,OR(TH!N4349="1111",TH!O4349="1111")),TH!D4349,""),"")</f>
        <v/>
      </c>
      <c r="B4355" s="1130">
        <f t="shared" si="1320"/>
        <v>6</v>
      </c>
      <c r="C4355" s="292">
        <f t="shared" si="1321"/>
        <v>42914</v>
      </c>
      <c r="D4355" s="59" t="s">
        <v>902</v>
      </c>
      <c r="E4355" s="59">
        <v>42914</v>
      </c>
      <c r="F4355" s="1127" t="s">
        <v>930</v>
      </c>
      <c r="G4355" s="62" t="s">
        <v>747</v>
      </c>
      <c r="H4355" s="294" t="s">
        <v>622</v>
      </c>
      <c r="I4355" s="375"/>
      <c r="J4355" s="381"/>
      <c r="K4355" s="375"/>
      <c r="L4355" s="381"/>
      <c r="M4355" s="60">
        <v>230000000</v>
      </c>
      <c r="N4355" s="61" t="s">
        <v>8</v>
      </c>
      <c r="O4355" s="61" t="s">
        <v>26</v>
      </c>
      <c r="P4355" s="75" t="str">
        <f>IF(AND('331-CT'!$E$7=TH!H5248,OR(N4355="331",O4355="331")),"x","")</f>
        <v/>
      </c>
      <c r="Q4355" s="75" t="str">
        <f>IF(AND(B4355='111'!$L$11,OR($N4355=$Q$7,$O4355=$Q$7)),"x","")</f>
        <v/>
      </c>
      <c r="R4355" s="75" t="str">
        <f>IF(AND($N4355=$Q$7,$B4355&lt;'111'!$L$11),"x","")</f>
        <v/>
      </c>
      <c r="S4355" s="75" t="str">
        <f>IF(AND($O4355=$Q$7,$B4355&lt;'111'!$L$11),"x","")</f>
        <v/>
      </c>
      <c r="T4355" s="75" t="str">
        <f>IF(ISERROR(FIND('112'!$M$9,G4355,1)),"",IF((AND(FIND('112'!$M$9,G4355,1)&gt;=1,B4355='112'!$K$9,OR($N4355='112'!$I$6,$O4355='112'!$I$6))),"x",""))</f>
        <v/>
      </c>
      <c r="U4355" s="75" t="str">
        <f>IF(ISERROR(FIND('112'!$M$9,G4355,1)),"",IF((AND(LEFT(G4355,2)=LEFT('112'!$M$9,2),B4355&lt;'112'!$K$9,$N4355='112'!$I$6)),"x",""))</f>
        <v/>
      </c>
      <c r="V4355" s="75" t="str">
        <f>IF(ISERROR(FIND('112'!$M$9,G4355,1)),"",IF((AND(RIGHT(G4355,2)=RIGHT('112'!$M$9,2),B4355&lt;'112'!$K$9,$O4355='112'!$I$6)),"x",""))</f>
        <v/>
      </c>
      <c r="W4355" s="75" t="str">
        <f>IF(AND('341-CT'!$H$9=H4355,OR(LEFT(N4355,3)=$W$7,LEFT(O4355,3)=$W$7)),"x","")</f>
        <v/>
      </c>
      <c r="X4355" s="75" t="str">
        <f>IF(OR(TH!N5248=TH!$X$7,O4355=TH!$X$7),"x","")</f>
        <v/>
      </c>
      <c r="Y4355" s="75" t="str">
        <f>IF(AND(OR(N4355="131",O4355="131"),H4355='131-CT'!$H$9),"x","")</f>
        <v/>
      </c>
      <c r="Z4355" s="75"/>
      <c r="AA4355" s="75" t="str">
        <f>IF(AND(MONTH(E4355)='IN-NX'!$J$5,'IN-NX'!$D$7=D4355),"x","")</f>
        <v/>
      </c>
      <c r="AB4355" s="75" t="str">
        <f>IF(AND(OR(LEFT(TH!N5248,2)="15",LEFT(TH!O5248,2)="15"),LEFT(TH!O5248,3)&lt;&gt;"111",'152-CT'!$J$8=TH!F5248),"x","")</f>
        <v/>
      </c>
      <c r="AC4355" s="75" t="str">
        <f>IF(AND(OR(LEFT(TH!N5248,2)="15",LEFT(TH!O5248,2)="15"),TK!$E$7=TH!F5248),"x","")</f>
        <v/>
      </c>
      <c r="AD4355" s="75" t="str">
        <f>IF(AND(N4355="1521",MONTH(C4355)='BK-NL'!$M$11),"x","")</f>
        <v/>
      </c>
    </row>
    <row r="4356" spans="1:30" ht="16.5" customHeight="1">
      <c r="A4356" s="309" t="str">
        <f>IF(B4356&lt;&gt;"",IF(AND(B4356='IN-TC'!$S$4,OR(TH!N4350="1111",TH!O4350="1111")),TH!D4350,""),"")</f>
        <v/>
      </c>
      <c r="B4356" s="1130">
        <f t="shared" si="1320"/>
        <v>6</v>
      </c>
      <c r="C4356" s="292">
        <f t="shared" si="1321"/>
        <v>42914</v>
      </c>
      <c r="D4356" s="59" t="s">
        <v>902</v>
      </c>
      <c r="E4356" s="59">
        <v>42914</v>
      </c>
      <c r="F4356" s="1127" t="s">
        <v>870</v>
      </c>
      <c r="G4356" s="62" t="s">
        <v>747</v>
      </c>
      <c r="H4356" s="67" t="s">
        <v>835</v>
      </c>
      <c r="I4356" s="375"/>
      <c r="J4356" s="381"/>
      <c r="K4356" s="375"/>
      <c r="L4356" s="381"/>
      <c r="M4356" s="60">
        <v>10000</v>
      </c>
      <c r="N4356" s="61" t="s">
        <v>101</v>
      </c>
      <c r="O4356" s="61" t="s">
        <v>26</v>
      </c>
      <c r="P4356" s="75" t="str">
        <f>IF(AND('331-CT'!$E$7=TH!H5249,OR(N4356="331",O4356="331")),"x","")</f>
        <v/>
      </c>
      <c r="Q4356" s="75" t="str">
        <f>IF(AND(B4356='111'!$L$11,OR($N4356=$Q$7,$O4356=$Q$7)),"x","")</f>
        <v/>
      </c>
      <c r="R4356" s="75" t="str">
        <f>IF(AND($N4356=$Q$7,$B4356&lt;'111'!$L$11),"x","")</f>
        <v/>
      </c>
      <c r="S4356" s="75" t="str">
        <f>IF(AND($O4356=$Q$7,$B4356&lt;'111'!$L$11),"x","")</f>
        <v/>
      </c>
      <c r="T4356" s="75" t="str">
        <f>IF(ISERROR(FIND('112'!$M$9,G4356,1)),"",IF((AND(FIND('112'!$M$9,G4356,1)&gt;=1,B4356='112'!$K$9,OR($N4356='112'!$I$6,$O4356='112'!$I$6))),"x",""))</f>
        <v/>
      </c>
      <c r="U4356" s="75" t="str">
        <f>IF(ISERROR(FIND('112'!$M$9,G4356,1)),"",IF((AND(LEFT(G4356,2)=LEFT('112'!$M$9,2),B4356&lt;'112'!$K$9,$N4356='112'!$I$6)),"x",""))</f>
        <v/>
      </c>
      <c r="V4356" s="75" t="str">
        <f>IF(ISERROR(FIND('112'!$M$9,G4356,1)),"",IF((AND(RIGHT(G4356,2)=RIGHT('112'!$M$9,2),B4356&lt;'112'!$K$9,$O4356='112'!$I$6)),"x",""))</f>
        <v/>
      </c>
      <c r="W4356" s="75" t="str">
        <f>IF(AND('341-CT'!$H$9=H4356,OR(LEFT(N4356,3)=$W$7,LEFT(O4356,3)=$W$7)),"x","")</f>
        <v/>
      </c>
      <c r="X4356" s="75" t="str">
        <f>IF(OR(TH!N5249=TH!$X$7,O4356=TH!$X$7),"x","")</f>
        <v/>
      </c>
      <c r="Y4356" s="75" t="str">
        <f>IF(AND(OR(N4356="131",O4356="131"),H4356='131-CT'!$H$9),"x","")</f>
        <v/>
      </c>
      <c r="Z4356" s="75"/>
      <c r="AA4356" s="75" t="str">
        <f>IF(AND(MONTH(E4356)='IN-NX'!$J$5,'IN-NX'!$D$7=D4356),"x","")</f>
        <v/>
      </c>
      <c r="AB4356" s="75" t="str">
        <f>IF(AND(OR(LEFT(TH!N5249,2)="15",LEFT(TH!O5249,2)="15"),LEFT(TH!O5249,3)&lt;&gt;"111",'152-CT'!$J$8=TH!F5249),"x","")</f>
        <v/>
      </c>
      <c r="AC4356" s="75" t="str">
        <f>IF(AND(OR(LEFT(TH!N5249,2)="15",LEFT(TH!O5249,2)="15"),TK!$E$7=TH!F5249),"x","")</f>
        <v/>
      </c>
      <c r="AD4356" s="75" t="str">
        <f>IF(AND(N4356="1521",MONTH(C4356)='BK-NL'!$M$11),"x","")</f>
        <v/>
      </c>
    </row>
    <row r="4357" spans="1:30" ht="16.5" customHeight="1">
      <c r="A4357" s="309" t="str">
        <f>IF(B4357&lt;&gt;"",IF(AND(B4357='IN-TC'!$S$4,OR(TH!N4351="1111",TH!O4351="1111")),TH!D4351,""),"")</f>
        <v/>
      </c>
      <c r="B4357" s="1130">
        <f t="shared" si="1320"/>
        <v>6</v>
      </c>
      <c r="C4357" s="292">
        <f t="shared" si="1321"/>
        <v>42914</v>
      </c>
      <c r="D4357" s="59" t="s">
        <v>902</v>
      </c>
      <c r="E4357" s="59">
        <v>42914</v>
      </c>
      <c r="F4357" s="1127" t="s">
        <v>898</v>
      </c>
      <c r="G4357" s="62" t="s">
        <v>747</v>
      </c>
      <c r="H4357" s="67" t="s">
        <v>835</v>
      </c>
      <c r="I4357" s="375"/>
      <c r="J4357" s="381"/>
      <c r="K4357" s="375"/>
      <c r="L4357" s="381"/>
      <c r="M4357" s="60">
        <v>1000</v>
      </c>
      <c r="N4357" s="61" t="s">
        <v>9</v>
      </c>
      <c r="O4357" s="61" t="s">
        <v>26</v>
      </c>
      <c r="P4357" s="75" t="str">
        <f>IF(AND('331-CT'!$E$7=TH!H5250,OR(N4357="331",O4357="331")),"x","")</f>
        <v/>
      </c>
      <c r="Q4357" s="75" t="str">
        <f>IF(AND(B4357='111'!$L$11,OR($N4357=$Q$7,$O4357=$Q$7)),"x","")</f>
        <v/>
      </c>
      <c r="R4357" s="75" t="str">
        <f>IF(AND($N4357=$Q$7,$B4357&lt;'111'!$L$11),"x","")</f>
        <v/>
      </c>
      <c r="S4357" s="75" t="str">
        <f>IF(AND($O4357=$Q$7,$B4357&lt;'111'!$L$11),"x","")</f>
        <v/>
      </c>
      <c r="T4357" s="75" t="str">
        <f>IF(ISERROR(FIND('112'!$M$9,G4357,1)),"",IF((AND(FIND('112'!$M$9,G4357,1)&gt;=1,B4357='112'!$K$9,OR($N4357='112'!$I$6,$O4357='112'!$I$6))),"x",""))</f>
        <v/>
      </c>
      <c r="U4357" s="75" t="str">
        <f>IF(ISERROR(FIND('112'!$M$9,G4357,1)),"",IF((AND(LEFT(G4357,2)=LEFT('112'!$M$9,2),B4357&lt;'112'!$K$9,$N4357='112'!$I$6)),"x",""))</f>
        <v/>
      </c>
      <c r="V4357" s="75" t="str">
        <f>IF(ISERROR(FIND('112'!$M$9,G4357,1)),"",IF((AND(RIGHT(G4357,2)=RIGHT('112'!$M$9,2),B4357&lt;'112'!$K$9,$O4357='112'!$I$6)),"x",""))</f>
        <v/>
      </c>
      <c r="W4357" s="75" t="str">
        <f>IF(AND('341-CT'!$H$9=H4357,OR(LEFT(N4357,3)=$W$7,LEFT(O4357,3)=$W$7)),"x","")</f>
        <v/>
      </c>
      <c r="X4357" s="75" t="str">
        <f>IF(OR(TH!N5250=TH!$X$7,O4357=TH!$X$7),"x","")</f>
        <v/>
      </c>
      <c r="Y4357" s="75" t="str">
        <f>IF(AND(OR(N4357="131",O4357="131"),H4357='131-CT'!$H$9),"x","")</f>
        <v/>
      </c>
      <c r="Z4357" s="75"/>
      <c r="AA4357" s="75" t="str">
        <f>IF(AND(MONTH(E4357)='IN-NX'!$J$5,'IN-NX'!$D$7=D4357),"x","")</f>
        <v/>
      </c>
      <c r="AB4357" s="75" t="str">
        <f>IF(AND(OR(LEFT(TH!N5250,2)="15",LEFT(TH!O5250,2)="15"),LEFT(TH!O5250,3)&lt;&gt;"111",'152-CT'!$J$8=TH!F5250),"x","")</f>
        <v/>
      </c>
      <c r="AC4357" s="75" t="str">
        <f>IF(AND(OR(LEFT(TH!N5250,2)="15",LEFT(TH!O5250,2)="15"),TK!$E$7=TH!F5250),"x","")</f>
        <v/>
      </c>
      <c r="AD4357" s="75" t="str">
        <f>IF(AND(N4357="1521",MONTH(C4357)='BK-NL'!$M$11),"x","")</f>
        <v/>
      </c>
    </row>
    <row r="4358" spans="1:30" ht="16.5" customHeight="1">
      <c r="A4358" s="309" t="str">
        <f>IF(B4358&lt;&gt;"",IF(AND(B4358='IN-TC'!$S$4,OR(TH!N4352="1111",TH!O4352="1111")),TH!D4352,""),"")</f>
        <v/>
      </c>
      <c r="B4358" s="1130">
        <f t="shared" si="1320"/>
        <v>6</v>
      </c>
      <c r="C4358" s="292">
        <f t="shared" si="1321"/>
        <v>42914</v>
      </c>
      <c r="D4358" s="59" t="s">
        <v>902</v>
      </c>
      <c r="E4358" s="59">
        <v>42914</v>
      </c>
      <c r="F4358" s="1127" t="s">
        <v>930</v>
      </c>
      <c r="G4358" s="62" t="s">
        <v>747</v>
      </c>
      <c r="H4358" s="294" t="s">
        <v>742</v>
      </c>
      <c r="I4358" s="375"/>
      <c r="J4358" s="381"/>
      <c r="K4358" s="375"/>
      <c r="L4358" s="381"/>
      <c r="M4358" s="60">
        <v>177413940</v>
      </c>
      <c r="N4358" s="61" t="s">
        <v>8</v>
      </c>
      <c r="O4358" s="61" t="s">
        <v>26</v>
      </c>
      <c r="P4358" s="75" t="str">
        <f>IF(AND('331-CT'!$E$7=TH!H5261,OR(N4358="331",O4358="331")),"x","")</f>
        <v/>
      </c>
      <c r="Q4358" s="75" t="str">
        <f>IF(AND(B4358='111'!$L$11,OR($N4358=$Q$7,$O4358=$Q$7)),"x","")</f>
        <v/>
      </c>
      <c r="R4358" s="75" t="str">
        <f>IF(AND($N4358=$Q$7,$B4358&lt;'111'!$L$11),"x","")</f>
        <v/>
      </c>
      <c r="S4358" s="75" t="str">
        <f>IF(AND($O4358=$Q$7,$B4358&lt;'111'!$L$11),"x","")</f>
        <v/>
      </c>
      <c r="T4358" s="75" t="str">
        <f>IF(ISERROR(FIND('112'!$M$9,G4358,1)),"",IF((AND(FIND('112'!$M$9,G4358,1)&gt;=1,B4358='112'!$K$9,OR($N4358='112'!$I$6,$O4358='112'!$I$6))),"x",""))</f>
        <v/>
      </c>
      <c r="U4358" s="75" t="str">
        <f>IF(ISERROR(FIND('112'!$M$9,G4358,1)),"",IF((AND(LEFT(G4358,2)=LEFT('112'!$M$9,2),B4358&lt;'112'!$K$9,$N4358='112'!$I$6)),"x",""))</f>
        <v/>
      </c>
      <c r="V4358" s="75" t="str">
        <f>IF(ISERROR(FIND('112'!$M$9,G4358,1)),"",IF((AND(RIGHT(G4358,2)=RIGHT('112'!$M$9,2),B4358&lt;'112'!$K$9,$O4358='112'!$I$6)),"x",""))</f>
        <v/>
      </c>
      <c r="W4358" s="75" t="str">
        <f>IF(AND('341-CT'!$H$9=H4358,OR(LEFT(N4358,3)=$W$7,LEFT(O4358,3)=$W$7)),"x","")</f>
        <v/>
      </c>
      <c r="X4358" s="75" t="str">
        <f>IF(OR(TH!N5261=TH!$X$7,O4358=TH!$X$7),"x","")</f>
        <v/>
      </c>
      <c r="Y4358" s="75" t="str">
        <f>IF(AND(OR(N4358="131",O4358="131"),H4358='131-CT'!$H$9),"x","")</f>
        <v/>
      </c>
      <c r="Z4358" s="75"/>
      <c r="AA4358" s="75" t="str">
        <f>IF(AND(MONTH(E4358)='IN-NX'!$J$5,'IN-NX'!$D$7=D4358),"x","")</f>
        <v/>
      </c>
      <c r="AB4358" s="75" t="str">
        <f>IF(AND(OR(LEFT(TH!N5261,2)="15",LEFT(TH!O5261,2)="15"),LEFT(TH!O5261,3)&lt;&gt;"111",'152-CT'!$J$8=TH!F5261),"x","")</f>
        <v/>
      </c>
      <c r="AC4358" s="75" t="str">
        <f>IF(AND(OR(LEFT(TH!N5261,2)="15",LEFT(TH!O5261,2)="15"),TK!$E$7=TH!F5261),"x","")</f>
        <v/>
      </c>
      <c r="AD4358" s="75" t="str">
        <f>IF(AND(N4358="1521",MONTH(C4358)='BK-NL'!$M$11),"x","")</f>
        <v/>
      </c>
    </row>
    <row r="4359" spans="1:30" ht="16.5" customHeight="1">
      <c r="A4359" s="309" t="str">
        <f>IF(B4359&lt;&gt;"",IF(AND(B4359='IN-TC'!$S$4,OR(TH!N4353="1111",TH!O4353="1111")),TH!D4353,""),"")</f>
        <v/>
      </c>
      <c r="B4359" s="1130">
        <f t="shared" si="1320"/>
        <v>6</v>
      </c>
      <c r="C4359" s="292">
        <f t="shared" si="1321"/>
        <v>42914</v>
      </c>
      <c r="D4359" s="59" t="s">
        <v>902</v>
      </c>
      <c r="E4359" s="59">
        <v>42914</v>
      </c>
      <c r="F4359" s="1127" t="s">
        <v>870</v>
      </c>
      <c r="G4359" s="62" t="s">
        <v>747</v>
      </c>
      <c r="H4359" s="67" t="s">
        <v>835</v>
      </c>
      <c r="I4359" s="375"/>
      <c r="J4359" s="381"/>
      <c r="K4359" s="375"/>
      <c r="L4359" s="381"/>
      <c r="M4359" s="60">
        <v>10000</v>
      </c>
      <c r="N4359" s="61" t="s">
        <v>101</v>
      </c>
      <c r="O4359" s="61" t="s">
        <v>26</v>
      </c>
      <c r="P4359" s="75" t="str">
        <f>IF(AND('331-CT'!$E$7=TH!H5262,OR(N4359="331",O4359="331")),"x","")</f>
        <v/>
      </c>
      <c r="Q4359" s="75" t="str">
        <f>IF(AND(B4359='111'!$L$11,OR($N4359=$Q$7,$O4359=$Q$7)),"x","")</f>
        <v/>
      </c>
      <c r="R4359" s="75" t="str">
        <f>IF(AND($N4359=$Q$7,$B4359&lt;'111'!$L$11),"x","")</f>
        <v/>
      </c>
      <c r="S4359" s="75" t="str">
        <f>IF(AND($O4359=$Q$7,$B4359&lt;'111'!$L$11),"x","")</f>
        <v/>
      </c>
      <c r="T4359" s="75" t="str">
        <f>IF(ISERROR(FIND('112'!$M$9,G4359,1)),"",IF((AND(FIND('112'!$M$9,G4359,1)&gt;=1,B4359='112'!$K$9,OR($N4359='112'!$I$6,$O4359='112'!$I$6))),"x",""))</f>
        <v/>
      </c>
      <c r="U4359" s="75" t="str">
        <f>IF(ISERROR(FIND('112'!$M$9,G4359,1)),"",IF((AND(LEFT(G4359,2)=LEFT('112'!$M$9,2),B4359&lt;'112'!$K$9,$N4359='112'!$I$6)),"x",""))</f>
        <v/>
      </c>
      <c r="V4359" s="75" t="str">
        <f>IF(ISERROR(FIND('112'!$M$9,G4359,1)),"",IF((AND(RIGHT(G4359,2)=RIGHT('112'!$M$9,2),B4359&lt;'112'!$K$9,$O4359='112'!$I$6)),"x",""))</f>
        <v/>
      </c>
      <c r="W4359" s="75" t="str">
        <f>IF(AND('341-CT'!$H$9=H4359,OR(LEFT(N4359,3)=$W$7,LEFT(O4359,3)=$W$7)),"x","")</f>
        <v/>
      </c>
      <c r="X4359" s="75" t="str">
        <f>IF(OR(TH!N5262=TH!$X$7,O4359=TH!$X$7),"x","")</f>
        <v/>
      </c>
      <c r="Y4359" s="75" t="str">
        <f>IF(AND(OR(N4359="131",O4359="131"),H4359='131-CT'!$H$9),"x","")</f>
        <v/>
      </c>
      <c r="Z4359" s="75"/>
      <c r="AA4359" s="75" t="str">
        <f>IF(AND(MONTH(E4359)='IN-NX'!$J$5,'IN-NX'!$D$7=D4359),"x","")</f>
        <v/>
      </c>
      <c r="AB4359" s="75" t="str">
        <f>IF(AND(OR(LEFT(TH!N5262,2)="15",LEFT(TH!O5262,2)="15"),LEFT(TH!O5262,3)&lt;&gt;"111",'152-CT'!$J$8=TH!F5262),"x","")</f>
        <v/>
      </c>
      <c r="AC4359" s="75" t="str">
        <f>IF(AND(OR(LEFT(TH!N5262,2)="15",LEFT(TH!O5262,2)="15"),TK!$E$7=TH!F5262),"x","")</f>
        <v/>
      </c>
      <c r="AD4359" s="75" t="str">
        <f>IF(AND(N4359="1521",MONTH(C4359)='BK-NL'!$M$11),"x","")</f>
        <v/>
      </c>
    </row>
    <row r="4360" spans="1:30" ht="16.5" customHeight="1">
      <c r="A4360" s="309" t="str">
        <f>IF(B4360&lt;&gt;"",IF(AND(B4360='IN-TC'!$S$4,OR(TH!N4354="1111",TH!O4354="1111")),TH!D4354,""),"")</f>
        <v/>
      </c>
      <c r="B4360" s="1130">
        <f t="shared" si="1320"/>
        <v>6</v>
      </c>
      <c r="C4360" s="292">
        <f t="shared" si="1321"/>
        <v>42914</v>
      </c>
      <c r="D4360" s="59" t="s">
        <v>902</v>
      </c>
      <c r="E4360" s="59">
        <v>42914</v>
      </c>
      <c r="F4360" s="1127" t="s">
        <v>898</v>
      </c>
      <c r="G4360" s="62" t="s">
        <v>747</v>
      </c>
      <c r="H4360" s="67" t="s">
        <v>835</v>
      </c>
      <c r="I4360" s="375"/>
      <c r="J4360" s="381"/>
      <c r="K4360" s="375"/>
      <c r="L4360" s="381"/>
      <c r="M4360" s="60">
        <v>1000</v>
      </c>
      <c r="N4360" s="61" t="s">
        <v>9</v>
      </c>
      <c r="O4360" s="61" t="s">
        <v>26</v>
      </c>
      <c r="P4360" s="75" t="str">
        <f>IF(AND('331-CT'!$E$7=TH!H5263,OR(N4360="331",O4360="331")),"x","")</f>
        <v/>
      </c>
      <c r="Q4360" s="75" t="str">
        <f>IF(AND(B4360='111'!$L$11,OR($N4360=$Q$7,$O4360=$Q$7)),"x","")</f>
        <v/>
      </c>
      <c r="R4360" s="75" t="str">
        <f>IF(AND($N4360=$Q$7,$B4360&lt;'111'!$L$11),"x","")</f>
        <v/>
      </c>
      <c r="S4360" s="75" t="str">
        <f>IF(AND($O4360=$Q$7,$B4360&lt;'111'!$L$11),"x","")</f>
        <v/>
      </c>
      <c r="T4360" s="75" t="str">
        <f>IF(ISERROR(FIND('112'!$M$9,G4360,1)),"",IF((AND(FIND('112'!$M$9,G4360,1)&gt;=1,B4360='112'!$K$9,OR($N4360='112'!$I$6,$O4360='112'!$I$6))),"x",""))</f>
        <v/>
      </c>
      <c r="U4360" s="75" t="str">
        <f>IF(ISERROR(FIND('112'!$M$9,G4360,1)),"",IF((AND(LEFT(G4360,2)=LEFT('112'!$M$9,2),B4360&lt;'112'!$K$9,$N4360='112'!$I$6)),"x",""))</f>
        <v/>
      </c>
      <c r="V4360" s="75" t="str">
        <f>IF(ISERROR(FIND('112'!$M$9,G4360,1)),"",IF((AND(RIGHT(G4360,2)=RIGHT('112'!$M$9,2),B4360&lt;'112'!$K$9,$O4360='112'!$I$6)),"x",""))</f>
        <v/>
      </c>
      <c r="W4360" s="75" t="str">
        <f>IF(AND('341-CT'!$H$9=H4360,OR(LEFT(N4360,3)=$W$7,LEFT(O4360,3)=$W$7)),"x","")</f>
        <v/>
      </c>
      <c r="X4360" s="75" t="str">
        <f>IF(OR(TH!N5263=TH!$X$7,O4360=TH!$X$7),"x","")</f>
        <v/>
      </c>
      <c r="Y4360" s="75" t="str">
        <f>IF(AND(OR(N4360="131",O4360="131"),H4360='131-CT'!$H$9),"x","")</f>
        <v/>
      </c>
      <c r="Z4360" s="75"/>
      <c r="AA4360" s="75" t="str">
        <f>IF(AND(MONTH(E4360)='IN-NX'!$J$5,'IN-NX'!$D$7=D4360),"x","")</f>
        <v/>
      </c>
      <c r="AB4360" s="75" t="str">
        <f>IF(AND(OR(LEFT(TH!N5263,2)="15",LEFT(TH!O5263,2)="15"),LEFT(TH!O5263,3)&lt;&gt;"111",'152-CT'!$J$8=TH!F5263),"x","")</f>
        <v/>
      </c>
      <c r="AC4360" s="75" t="str">
        <f>IF(AND(OR(LEFT(TH!N5263,2)="15",LEFT(TH!O5263,2)="15"),TK!$E$7=TH!F5263),"x","")</f>
        <v/>
      </c>
      <c r="AD4360" s="75" t="str">
        <f>IF(AND(N4360="1521",MONTH(C4360)='BK-NL'!$M$11),"x","")</f>
        <v/>
      </c>
    </row>
    <row r="4361" spans="1:30" ht="16.5" customHeight="1">
      <c r="A4361" s="309" t="str">
        <f>IF(B4361&lt;&gt;"",IF(AND(B4361='IN-TC'!$S$4,OR(TH!N4355="1111",TH!O4355="1111")),TH!D4355,""),"")</f>
        <v/>
      </c>
      <c r="B4361" s="1130">
        <f t="shared" si="1320"/>
        <v>6</v>
      </c>
      <c r="C4361" s="292">
        <f t="shared" si="1321"/>
        <v>42914</v>
      </c>
      <c r="D4361" s="59" t="s">
        <v>902</v>
      </c>
      <c r="E4361" s="59">
        <v>42914</v>
      </c>
      <c r="F4361" s="1127" t="s">
        <v>897</v>
      </c>
      <c r="G4361" s="62" t="s">
        <v>747</v>
      </c>
      <c r="H4361" s="67" t="s">
        <v>623</v>
      </c>
      <c r="I4361" s="373"/>
      <c r="J4361" s="379"/>
      <c r="K4361" s="373"/>
      <c r="L4361" s="379"/>
      <c r="M4361" s="60">
        <v>250000000</v>
      </c>
      <c r="N4361" s="61" t="s">
        <v>8</v>
      </c>
      <c r="O4361" s="61" t="s">
        <v>26</v>
      </c>
      <c r="P4361" s="75" t="str">
        <f>IF(AND('331-CT'!$E$7=TH!H5264,OR(N4361="331",O4361="331")),"x","")</f>
        <v/>
      </c>
      <c r="Q4361" s="75" t="str">
        <f>IF(AND(B4361='111'!$L$11,OR($N4361=$Q$7,$O4361=$Q$7)),"x","")</f>
        <v/>
      </c>
      <c r="R4361" s="75" t="str">
        <f>IF(AND($N4361=$Q$7,$B4361&lt;'111'!$L$11),"x","")</f>
        <v/>
      </c>
      <c r="S4361" s="75" t="str">
        <f>IF(AND($O4361=$Q$7,$B4361&lt;'111'!$L$11),"x","")</f>
        <v/>
      </c>
      <c r="T4361" s="75" t="str">
        <f>IF(ISERROR(FIND('112'!$M$9,G4361,1)),"",IF((AND(FIND('112'!$M$9,G4361,1)&gt;=1,B4361='112'!$K$9,OR($N4361='112'!$I$6,$O4361='112'!$I$6))),"x",""))</f>
        <v/>
      </c>
      <c r="U4361" s="75" t="str">
        <f>IF(ISERROR(FIND('112'!$M$9,G4361,1)),"",IF((AND(LEFT(G4361,2)=LEFT('112'!$M$9,2),B4361&lt;'112'!$K$9,$N4361='112'!$I$6)),"x",""))</f>
        <v/>
      </c>
      <c r="V4361" s="75" t="str">
        <f>IF(ISERROR(FIND('112'!$M$9,G4361,1)),"",IF((AND(RIGHT(G4361,2)=RIGHT('112'!$M$9,2),B4361&lt;'112'!$K$9,$O4361='112'!$I$6)),"x",""))</f>
        <v/>
      </c>
      <c r="W4361" s="75" t="str">
        <f>IF(AND('341-CT'!$H$9=H4361,OR(LEFT(N4361,3)=$W$7,LEFT(O4361,3)=$W$7)),"x","")</f>
        <v/>
      </c>
      <c r="X4361" s="75" t="str">
        <f>IF(OR(TH!N5264=TH!$X$7,O4361=TH!$X$7),"x","")</f>
        <v/>
      </c>
      <c r="Y4361" s="75" t="str">
        <f>IF(AND(OR(N4361="131",O4361="131"),H4361='131-CT'!$H$9),"x","")</f>
        <v/>
      </c>
      <c r="Z4361" s="75"/>
      <c r="AA4361" s="75" t="str">
        <f>IF(AND(MONTH(E4361)='IN-NX'!$J$5,'IN-NX'!$D$7=D4361),"x","")</f>
        <v/>
      </c>
      <c r="AB4361" s="75" t="str">
        <f>IF(AND(OR(LEFT(TH!N5264,2)="15",LEFT(TH!O5264,2)="15"),LEFT(TH!O5264,3)&lt;&gt;"111",'152-CT'!$J$8=TH!F5264),"x","")</f>
        <v/>
      </c>
      <c r="AC4361" s="75" t="str">
        <f>IF(AND(OR(LEFT(TH!N5264,2)="15",LEFT(TH!O5264,2)="15"),TK!$E$7=TH!F5264),"x","")</f>
        <v/>
      </c>
      <c r="AD4361" s="75" t="str">
        <f>IF(AND(N4361="1521",MONTH(C4361)='BK-NL'!$M$11),"x","")</f>
        <v/>
      </c>
    </row>
    <row r="4362" spans="1:30" ht="16.5" customHeight="1">
      <c r="A4362" s="309" t="str">
        <f>IF(B4362&lt;&gt;"",IF(AND(B4362='IN-TC'!$S$4,OR(TH!N4356="1111",TH!O4356="1111")),TH!D4356,""),"")</f>
        <v/>
      </c>
      <c r="B4362" s="1130">
        <f t="shared" si="1320"/>
        <v>6</v>
      </c>
      <c r="C4362" s="292">
        <f t="shared" si="1321"/>
        <v>42914</v>
      </c>
      <c r="D4362" s="59" t="s">
        <v>902</v>
      </c>
      <c r="E4362" s="59">
        <v>42914</v>
      </c>
      <c r="F4362" s="1127" t="s">
        <v>870</v>
      </c>
      <c r="G4362" s="62" t="s">
        <v>747</v>
      </c>
      <c r="H4362" s="67" t="s">
        <v>835</v>
      </c>
      <c r="I4362" s="375"/>
      <c r="J4362" s="381"/>
      <c r="K4362" s="375"/>
      <c r="L4362" s="381"/>
      <c r="M4362" s="60">
        <v>75000</v>
      </c>
      <c r="N4362" s="61" t="s">
        <v>101</v>
      </c>
      <c r="O4362" s="61" t="s">
        <v>26</v>
      </c>
      <c r="P4362" s="75" t="str">
        <f>IF(AND('331-CT'!$E$7=TH!H5265,OR(N4362="331",O4362="331")),"x","")</f>
        <v/>
      </c>
      <c r="Q4362" s="75" t="str">
        <f>IF(AND(B4362='111'!$L$11,OR($N4362=$Q$7,$O4362=$Q$7)),"x","")</f>
        <v/>
      </c>
      <c r="R4362" s="75" t="str">
        <f>IF(AND($N4362=$Q$7,$B4362&lt;'111'!$L$11),"x","")</f>
        <v/>
      </c>
      <c r="S4362" s="75" t="str">
        <f>IF(AND($O4362=$Q$7,$B4362&lt;'111'!$L$11),"x","")</f>
        <v/>
      </c>
      <c r="T4362" s="75" t="str">
        <f>IF(ISERROR(FIND('112'!$M$9,G4362,1)),"",IF((AND(FIND('112'!$M$9,G4362,1)&gt;=1,B4362='112'!$K$9,OR($N4362='112'!$I$6,$O4362='112'!$I$6))),"x",""))</f>
        <v/>
      </c>
      <c r="U4362" s="75" t="str">
        <f>IF(ISERROR(FIND('112'!$M$9,G4362,1)),"",IF((AND(LEFT(G4362,2)=LEFT('112'!$M$9,2),B4362&lt;'112'!$K$9,$N4362='112'!$I$6)),"x",""))</f>
        <v/>
      </c>
      <c r="V4362" s="75" t="str">
        <f>IF(ISERROR(FIND('112'!$M$9,G4362,1)),"",IF((AND(RIGHT(G4362,2)=RIGHT('112'!$M$9,2),B4362&lt;'112'!$K$9,$O4362='112'!$I$6)),"x",""))</f>
        <v/>
      </c>
      <c r="W4362" s="75" t="str">
        <f>IF(AND('341-CT'!$H$9=H4362,OR(LEFT(N4362,3)=$W$7,LEFT(O4362,3)=$W$7)),"x","")</f>
        <v/>
      </c>
      <c r="X4362" s="75" t="str">
        <f>IF(OR(TH!N5265=TH!$X$7,O4362=TH!$X$7),"x","")</f>
        <v/>
      </c>
      <c r="Y4362" s="75" t="str">
        <f>IF(AND(OR(N4362="131",O4362="131"),H4362='131-CT'!$H$9),"x","")</f>
        <v/>
      </c>
      <c r="Z4362" s="75"/>
      <c r="AA4362" s="75" t="str">
        <f>IF(AND(MONTH(E4362)='IN-NX'!$J$5,'IN-NX'!$D$7=D4362),"x","")</f>
        <v/>
      </c>
      <c r="AB4362" s="75" t="str">
        <f>IF(AND(OR(LEFT(TH!N5265,2)="15",LEFT(TH!O5265,2)="15"),LEFT(TH!O5265,3)&lt;&gt;"111",'152-CT'!$J$8=TH!F5265),"x","")</f>
        <v/>
      </c>
      <c r="AC4362" s="75" t="str">
        <f>IF(AND(OR(LEFT(TH!N5265,2)="15",LEFT(TH!O5265,2)="15"),TK!$E$7=TH!F5265),"x","")</f>
        <v/>
      </c>
      <c r="AD4362" s="75" t="str">
        <f>IF(AND(N4362="1521",MONTH(C4362)='BK-NL'!$M$11),"x","")</f>
        <v/>
      </c>
    </row>
    <row r="4363" spans="1:30" ht="16.5" customHeight="1">
      <c r="A4363" s="309" t="str">
        <f>IF(B4363&lt;&gt;"",IF(AND(B4363='IN-TC'!$S$4,OR(TH!N4357="1111",TH!O4357="1111")),TH!D4357,""),"")</f>
        <v/>
      </c>
      <c r="B4363" s="1130">
        <f t="shared" si="1320"/>
        <v>6</v>
      </c>
      <c r="C4363" s="292">
        <f t="shared" si="1321"/>
        <v>42914</v>
      </c>
      <c r="D4363" s="59" t="s">
        <v>902</v>
      </c>
      <c r="E4363" s="59">
        <v>42914</v>
      </c>
      <c r="F4363" s="1127" t="s">
        <v>898</v>
      </c>
      <c r="G4363" s="62" t="s">
        <v>747</v>
      </c>
      <c r="H4363" s="67" t="s">
        <v>835</v>
      </c>
      <c r="I4363" s="375"/>
      <c r="J4363" s="381"/>
      <c r="K4363" s="375"/>
      <c r="L4363" s="381"/>
      <c r="M4363" s="60">
        <v>7500</v>
      </c>
      <c r="N4363" s="61" t="s">
        <v>9</v>
      </c>
      <c r="O4363" s="61" t="s">
        <v>26</v>
      </c>
      <c r="P4363" s="75" t="str">
        <f>IF(AND('331-CT'!$E$7=TH!H5266,OR(N4363="331",O4363="331")),"x","")</f>
        <v/>
      </c>
      <c r="Q4363" s="75" t="str">
        <f>IF(AND(B4363='111'!$L$11,OR($N4363=$Q$7,$O4363=$Q$7)),"x","")</f>
        <v/>
      </c>
      <c r="R4363" s="75" t="str">
        <f>IF(AND($N4363=$Q$7,$B4363&lt;'111'!$L$11),"x","")</f>
        <v/>
      </c>
      <c r="S4363" s="75" t="str">
        <f>IF(AND($O4363=$Q$7,$B4363&lt;'111'!$L$11),"x","")</f>
        <v/>
      </c>
      <c r="T4363" s="75" t="str">
        <f>IF(ISERROR(FIND('112'!$M$9,G4363,1)),"",IF((AND(FIND('112'!$M$9,G4363,1)&gt;=1,B4363='112'!$K$9,OR($N4363='112'!$I$6,$O4363='112'!$I$6))),"x",""))</f>
        <v/>
      </c>
      <c r="U4363" s="75" t="str">
        <f>IF(ISERROR(FIND('112'!$M$9,G4363,1)),"",IF((AND(LEFT(G4363,2)=LEFT('112'!$M$9,2),B4363&lt;'112'!$K$9,$N4363='112'!$I$6)),"x",""))</f>
        <v/>
      </c>
      <c r="V4363" s="75" t="str">
        <f>IF(ISERROR(FIND('112'!$M$9,G4363,1)),"",IF((AND(RIGHT(G4363,2)=RIGHT('112'!$M$9,2),B4363&lt;'112'!$K$9,$O4363='112'!$I$6)),"x",""))</f>
        <v/>
      </c>
      <c r="W4363" s="75" t="str">
        <f>IF(AND('341-CT'!$H$9=H4363,OR(LEFT(N4363,3)=$W$7,LEFT(O4363,3)=$W$7)),"x","")</f>
        <v/>
      </c>
      <c r="X4363" s="75" t="str">
        <f>IF(OR(TH!N5266=TH!$X$7,O4363=TH!$X$7),"x","")</f>
        <v/>
      </c>
      <c r="Y4363" s="75" t="str">
        <f>IF(AND(OR(N4363="131",O4363="131"),H4363='131-CT'!$H$9),"x","")</f>
        <v/>
      </c>
      <c r="Z4363" s="75"/>
      <c r="AA4363" s="75" t="str">
        <f>IF(AND(MONTH(E4363)='IN-NX'!$J$5,'IN-NX'!$D$7=D4363),"x","")</f>
        <v/>
      </c>
      <c r="AB4363" s="75" t="str">
        <f>IF(AND(OR(LEFT(TH!N5266,2)="15",LEFT(TH!O5266,2)="15"),LEFT(TH!O5266,3)&lt;&gt;"111",'152-CT'!$J$8=TH!F5266),"x","")</f>
        <v/>
      </c>
      <c r="AC4363" s="75" t="str">
        <f>IF(AND(OR(LEFT(TH!N5266,2)="15",LEFT(TH!O5266,2)="15"),TK!$E$7=TH!F5266),"x","")</f>
        <v/>
      </c>
      <c r="AD4363" s="75" t="str">
        <f>IF(AND(N4363="1521",MONTH(C4363)='BK-NL'!$M$11),"x","")</f>
        <v/>
      </c>
    </row>
    <row r="4364" spans="1:30" ht="16.5" customHeight="1">
      <c r="A4364" s="309" t="str">
        <f>IF(B4364&lt;&gt;"",IF(AND(B4364='IN-TC'!$S$4,OR(TH!N4358="1111",TH!O4358="1111")),TH!D4358,""),"")</f>
        <v/>
      </c>
      <c r="B4364" s="1130">
        <f t="shared" si="1320"/>
        <v>6</v>
      </c>
      <c r="C4364" s="292">
        <f t="shared" si="1321"/>
        <v>42914</v>
      </c>
      <c r="D4364" s="59" t="s">
        <v>902</v>
      </c>
      <c r="E4364" s="59">
        <v>42914</v>
      </c>
      <c r="F4364" s="1127" t="s">
        <v>899</v>
      </c>
      <c r="G4364" s="62" t="s">
        <v>747</v>
      </c>
      <c r="H4364" s="67" t="s">
        <v>740</v>
      </c>
      <c r="I4364" s="375"/>
      <c r="J4364" s="381"/>
      <c r="K4364" s="375"/>
      <c r="L4364" s="381"/>
      <c r="M4364" s="60">
        <v>32030000</v>
      </c>
      <c r="N4364" s="61" t="s">
        <v>8</v>
      </c>
      <c r="O4364" s="61" t="s">
        <v>26</v>
      </c>
      <c r="P4364" s="75" t="str">
        <f>IF(AND('331-CT'!$E$7=TH!H5267,OR(N4364="331",O4364="331")),"x","")</f>
        <v/>
      </c>
      <c r="Q4364" s="75" t="str">
        <f>IF(AND(B4364='111'!$L$11,OR($N4364=$Q$7,$O4364=$Q$7)),"x","")</f>
        <v/>
      </c>
      <c r="R4364" s="75" t="str">
        <f>IF(AND($N4364=$Q$7,$B4364&lt;'111'!$L$11),"x","")</f>
        <v/>
      </c>
      <c r="S4364" s="75" t="str">
        <f>IF(AND($O4364=$Q$7,$B4364&lt;'111'!$L$11),"x","")</f>
        <v/>
      </c>
      <c r="T4364" s="75" t="str">
        <f>IF(ISERROR(FIND('112'!$M$9,G4364,1)),"",IF((AND(FIND('112'!$M$9,G4364,1)&gt;=1,B4364='112'!$K$9,OR($N4364='112'!$I$6,$O4364='112'!$I$6))),"x",""))</f>
        <v/>
      </c>
      <c r="U4364" s="75" t="str">
        <f>IF(ISERROR(FIND('112'!$M$9,G4364,1)),"",IF((AND(LEFT(G4364,2)=LEFT('112'!$M$9,2),B4364&lt;'112'!$K$9,$N4364='112'!$I$6)),"x",""))</f>
        <v/>
      </c>
      <c r="V4364" s="75" t="str">
        <f>IF(ISERROR(FIND('112'!$M$9,G4364,1)),"",IF((AND(RIGHT(G4364,2)=RIGHT('112'!$M$9,2),B4364&lt;'112'!$K$9,$O4364='112'!$I$6)),"x",""))</f>
        <v/>
      </c>
      <c r="W4364" s="75" t="str">
        <f>IF(AND('341-CT'!$H$9=H4364,OR(LEFT(N4364,3)=$W$7,LEFT(O4364,3)=$W$7)),"x","")</f>
        <v/>
      </c>
      <c r="X4364" s="75" t="str">
        <f>IF(OR(TH!N5267=TH!$X$7,O4364=TH!$X$7),"x","")</f>
        <v/>
      </c>
      <c r="Y4364" s="75" t="str">
        <f>IF(AND(OR(N4364="131",O4364="131"),H4364='131-CT'!$H$9),"x","")</f>
        <v/>
      </c>
      <c r="Z4364" s="75"/>
      <c r="AA4364" s="75" t="str">
        <f>IF(AND(MONTH(E4364)='IN-NX'!$J$5,'IN-NX'!$D$7=D4364),"x","")</f>
        <v/>
      </c>
      <c r="AB4364" s="75" t="str">
        <f>IF(AND(OR(LEFT(TH!N5267,2)="15",LEFT(TH!O5267,2)="15"),LEFT(TH!O5267,3)&lt;&gt;"111",'152-CT'!$J$8=TH!F5267),"x","")</f>
        <v/>
      </c>
      <c r="AC4364" s="75" t="str">
        <f>IF(AND(OR(LEFT(TH!N5267,2)="15",LEFT(TH!O5267,2)="15"),TK!$E$7=TH!F5267),"x","")</f>
        <v/>
      </c>
      <c r="AD4364" s="75" t="str">
        <f>IF(AND(N4364="1521",MONTH(C4364)='BK-NL'!$M$11),"x","")</f>
        <v/>
      </c>
    </row>
    <row r="4365" spans="1:30" ht="16.5" customHeight="1">
      <c r="A4365" s="309" t="str">
        <f>IF(B4365&lt;&gt;"",IF(AND(B4365='IN-TC'!$S$4,OR(TH!N4359="1111",TH!O4359="1111")),TH!D4359,""),"")</f>
        <v/>
      </c>
      <c r="B4365" s="1130">
        <f t="shared" si="1320"/>
        <v>6</v>
      </c>
      <c r="C4365" s="292">
        <f t="shared" si="1321"/>
        <v>42914</v>
      </c>
      <c r="D4365" s="59" t="s">
        <v>902</v>
      </c>
      <c r="E4365" s="59">
        <v>42914</v>
      </c>
      <c r="F4365" s="1127" t="s">
        <v>870</v>
      </c>
      <c r="G4365" s="62" t="s">
        <v>747</v>
      </c>
      <c r="H4365" s="67" t="s">
        <v>835</v>
      </c>
      <c r="I4365" s="375"/>
      <c r="J4365" s="381"/>
      <c r="K4365" s="375"/>
      <c r="L4365" s="381"/>
      <c r="M4365" s="60">
        <v>10000</v>
      </c>
      <c r="N4365" s="61" t="s">
        <v>101</v>
      </c>
      <c r="O4365" s="61" t="s">
        <v>26</v>
      </c>
      <c r="P4365" s="75" t="str">
        <f>IF(AND('331-CT'!$E$7=TH!H5268,OR(N4365="331",O4365="331")),"x","")</f>
        <v/>
      </c>
      <c r="Q4365" s="75" t="str">
        <f>IF(AND(B4365='111'!$L$11,OR($N4365=$Q$7,$O4365=$Q$7)),"x","")</f>
        <v/>
      </c>
      <c r="R4365" s="75" t="str">
        <f>IF(AND($N4365=$Q$7,$B4365&lt;'111'!$L$11),"x","")</f>
        <v/>
      </c>
      <c r="S4365" s="75" t="str">
        <f>IF(AND($O4365=$Q$7,$B4365&lt;'111'!$L$11),"x","")</f>
        <v/>
      </c>
      <c r="T4365" s="75" t="str">
        <f>IF(ISERROR(FIND('112'!$M$9,G4365,1)),"",IF((AND(FIND('112'!$M$9,G4365,1)&gt;=1,B4365='112'!$K$9,OR($N4365='112'!$I$6,$O4365='112'!$I$6))),"x",""))</f>
        <v/>
      </c>
      <c r="U4365" s="75" t="str">
        <f>IF(ISERROR(FIND('112'!$M$9,G4365,1)),"",IF((AND(LEFT(G4365,2)=LEFT('112'!$M$9,2),B4365&lt;'112'!$K$9,$N4365='112'!$I$6)),"x",""))</f>
        <v/>
      </c>
      <c r="V4365" s="75" t="str">
        <f>IF(ISERROR(FIND('112'!$M$9,G4365,1)),"",IF((AND(RIGHT(G4365,2)=RIGHT('112'!$M$9,2),B4365&lt;'112'!$K$9,$O4365='112'!$I$6)),"x",""))</f>
        <v/>
      </c>
      <c r="W4365" s="75" t="str">
        <f>IF(AND('341-CT'!$H$9=H4365,OR(LEFT(N4365,3)=$W$7,LEFT(O4365,3)=$W$7)),"x","")</f>
        <v/>
      </c>
      <c r="X4365" s="75" t="str">
        <f>IF(OR(TH!N5268=TH!$X$7,O4365=TH!$X$7),"x","")</f>
        <v/>
      </c>
      <c r="Y4365" s="75" t="str">
        <f>IF(AND(OR(N4365="131",O4365="131"),H4365='131-CT'!$H$9),"x","")</f>
        <v/>
      </c>
      <c r="Z4365" s="75"/>
      <c r="AA4365" s="75" t="str">
        <f>IF(AND(MONTH(E4365)='IN-NX'!$J$5,'IN-NX'!$D$7=D4365),"x","")</f>
        <v/>
      </c>
      <c r="AB4365" s="75" t="str">
        <f>IF(AND(OR(LEFT(TH!N5268,2)="15",LEFT(TH!O5268,2)="15"),LEFT(TH!O5268,3)&lt;&gt;"111",'152-CT'!$J$8=TH!F5268),"x","")</f>
        <v/>
      </c>
      <c r="AC4365" s="75" t="str">
        <f>IF(AND(OR(LEFT(TH!N5268,2)="15",LEFT(TH!O5268,2)="15"),TK!$E$7=TH!F5268),"x","")</f>
        <v/>
      </c>
      <c r="AD4365" s="75" t="str">
        <f>IF(AND(N4365="1521",MONTH(C4365)='BK-NL'!$M$11),"x","")</f>
        <v/>
      </c>
    </row>
    <row r="4366" spans="1:30" ht="16.5" customHeight="1">
      <c r="A4366" s="309" t="str">
        <f>IF(B4366&lt;&gt;"",IF(AND(B4366='IN-TC'!$S$4,OR(TH!N4360="1111",TH!O4360="1111")),TH!D4360,""),"")</f>
        <v/>
      </c>
      <c r="B4366" s="1130">
        <f t="shared" si="1320"/>
        <v>6</v>
      </c>
      <c r="C4366" s="292">
        <f t="shared" si="1321"/>
        <v>42914</v>
      </c>
      <c r="D4366" s="59" t="s">
        <v>902</v>
      </c>
      <c r="E4366" s="59">
        <v>42914</v>
      </c>
      <c r="F4366" s="1127" t="s">
        <v>898</v>
      </c>
      <c r="G4366" s="62" t="s">
        <v>747</v>
      </c>
      <c r="H4366" s="67" t="s">
        <v>835</v>
      </c>
      <c r="I4366" s="375"/>
      <c r="J4366" s="381"/>
      <c r="K4366" s="375"/>
      <c r="L4366" s="381"/>
      <c r="M4366" s="60">
        <v>1000</v>
      </c>
      <c r="N4366" s="61" t="s">
        <v>9</v>
      </c>
      <c r="O4366" s="61" t="s">
        <v>26</v>
      </c>
      <c r="P4366" s="75" t="str">
        <f>IF(AND('331-CT'!$E$7=TH!H5269,OR(N4366="331",O4366="331")),"x","")</f>
        <v/>
      </c>
      <c r="Q4366" s="75" t="str">
        <f>IF(AND(B4366='111'!$L$11,OR($N4366=$Q$7,$O4366=$Q$7)),"x","")</f>
        <v/>
      </c>
      <c r="R4366" s="75" t="str">
        <f>IF(AND($N4366=$Q$7,$B4366&lt;'111'!$L$11),"x","")</f>
        <v/>
      </c>
      <c r="S4366" s="75" t="str">
        <f>IF(AND($O4366=$Q$7,$B4366&lt;'111'!$L$11),"x","")</f>
        <v/>
      </c>
      <c r="T4366" s="75" t="str">
        <f>IF(ISERROR(FIND('112'!$M$9,G4366,1)),"",IF((AND(FIND('112'!$M$9,G4366,1)&gt;=1,B4366='112'!$K$9,OR($N4366='112'!$I$6,$O4366='112'!$I$6))),"x",""))</f>
        <v/>
      </c>
      <c r="U4366" s="75" t="str">
        <f>IF(ISERROR(FIND('112'!$M$9,G4366,1)),"",IF((AND(LEFT(G4366,2)=LEFT('112'!$M$9,2),B4366&lt;'112'!$K$9,$N4366='112'!$I$6)),"x",""))</f>
        <v/>
      </c>
      <c r="V4366" s="75" t="str">
        <f>IF(ISERROR(FIND('112'!$M$9,G4366,1)),"",IF((AND(RIGHT(G4366,2)=RIGHT('112'!$M$9,2),B4366&lt;'112'!$K$9,$O4366='112'!$I$6)),"x",""))</f>
        <v/>
      </c>
      <c r="W4366" s="75" t="str">
        <f>IF(AND('341-CT'!$H$9=H4366,OR(LEFT(N4366,3)=$W$7,LEFT(O4366,3)=$W$7)),"x","")</f>
        <v/>
      </c>
      <c r="X4366" s="75" t="str">
        <f>IF(OR(TH!N5269=TH!$X$7,O4366=TH!$X$7),"x","")</f>
        <v/>
      </c>
      <c r="Y4366" s="75" t="str">
        <f>IF(AND(OR(N4366="131",O4366="131"),H4366='131-CT'!$H$9),"x","")</f>
        <v/>
      </c>
      <c r="Z4366" s="75"/>
      <c r="AA4366" s="75" t="str">
        <f>IF(AND(MONTH(E4366)='IN-NX'!$J$5,'IN-NX'!$D$7=D4366),"x","")</f>
        <v/>
      </c>
      <c r="AB4366" s="75" t="str">
        <f>IF(AND(OR(LEFT(TH!N5269,2)="15",LEFT(TH!O5269,2)="15"),LEFT(TH!O5269,3)&lt;&gt;"111",'152-CT'!$J$8=TH!F5269),"x","")</f>
        <v/>
      </c>
      <c r="AC4366" s="75" t="str">
        <f>IF(AND(OR(LEFT(TH!N5269,2)="15",LEFT(TH!O5269,2)="15"),TK!$E$7=TH!F5269),"x","")</f>
        <v/>
      </c>
      <c r="AD4366" s="75" t="str">
        <f>IF(AND(N4366="1521",MONTH(C4366)='BK-NL'!$M$11),"x","")</f>
        <v/>
      </c>
    </row>
    <row r="4367" spans="1:30" ht="16.5" customHeight="1">
      <c r="A4367" s="309" t="str">
        <f>IF(B4367&lt;&gt;"",IF(AND(B4367='IN-TC'!$S$4,OR(TH!N4361="1111",TH!O4361="1111")),TH!D4361,""),"")</f>
        <v/>
      </c>
      <c r="B4367" s="1130">
        <f t="shared" si="1320"/>
        <v>6</v>
      </c>
      <c r="C4367" s="292">
        <f t="shared" si="1321"/>
        <v>42914</v>
      </c>
      <c r="D4367" s="59" t="s">
        <v>902</v>
      </c>
      <c r="E4367" s="59">
        <v>42914</v>
      </c>
      <c r="F4367" s="1127" t="s">
        <v>899</v>
      </c>
      <c r="G4367" s="62" t="s">
        <v>747</v>
      </c>
      <c r="H4367" s="311" t="s">
        <v>558</v>
      </c>
      <c r="I4367" s="375"/>
      <c r="J4367" s="381"/>
      <c r="K4367" s="375"/>
      <c r="L4367" s="381"/>
      <c r="M4367" s="60">
        <v>60000000</v>
      </c>
      <c r="N4367" s="61" t="s">
        <v>8</v>
      </c>
      <c r="O4367" s="61" t="s">
        <v>26</v>
      </c>
      <c r="P4367" s="75" t="str">
        <f>IF(AND('331-CT'!$E$7=TH!H5251,OR(N4367="331",O4367="331")),"x","")</f>
        <v/>
      </c>
      <c r="Q4367" s="75" t="str">
        <f>IF(AND(B4367='111'!$L$11,OR($N4367=$Q$7,$O4367=$Q$7)),"x","")</f>
        <v/>
      </c>
      <c r="R4367" s="75" t="str">
        <f>IF(AND($N4367=$Q$7,$B4367&lt;'111'!$L$11),"x","")</f>
        <v/>
      </c>
      <c r="S4367" s="75" t="str">
        <f>IF(AND($O4367=$Q$7,$B4367&lt;'111'!$L$11),"x","")</f>
        <v/>
      </c>
      <c r="T4367" s="75" t="str">
        <f>IF(ISERROR(FIND('112'!$M$9,G4367,1)),"",IF((AND(FIND('112'!$M$9,G4367,1)&gt;=1,B4367='112'!$K$9,OR($N4367='112'!$I$6,$O4367='112'!$I$6))),"x",""))</f>
        <v/>
      </c>
      <c r="U4367" s="75" t="str">
        <f>IF(ISERROR(FIND('112'!$M$9,G4367,1)),"",IF((AND(LEFT(G4367,2)=LEFT('112'!$M$9,2),B4367&lt;'112'!$K$9,$N4367='112'!$I$6)),"x",""))</f>
        <v/>
      </c>
      <c r="V4367" s="75" t="str">
        <f>IF(ISERROR(FIND('112'!$M$9,G4367,1)),"",IF((AND(RIGHT(G4367,2)=RIGHT('112'!$M$9,2),B4367&lt;'112'!$K$9,$O4367='112'!$I$6)),"x",""))</f>
        <v/>
      </c>
      <c r="W4367" s="75" t="str">
        <f>IF(AND('341-CT'!$H$9=H4367,OR(LEFT(N4367,3)=$W$7,LEFT(O4367,3)=$W$7)),"x","")</f>
        <v/>
      </c>
      <c r="X4367" s="75" t="str">
        <f>IF(OR(TH!N5251=TH!$X$7,O4367=TH!$X$7),"x","")</f>
        <v/>
      </c>
      <c r="Y4367" s="75" t="str">
        <f>IF(AND(OR(N4367="131",O4367="131"),H4367='131-CT'!$H$9),"x","")</f>
        <v/>
      </c>
      <c r="Z4367" s="75"/>
      <c r="AA4367" s="75" t="str">
        <f>IF(AND(MONTH(E4367)='IN-NX'!$J$5,'IN-NX'!$D$7=D4367),"x","")</f>
        <v/>
      </c>
      <c r="AB4367" s="75" t="str">
        <f>IF(AND(OR(LEFT(TH!N5251,2)="15",LEFT(TH!O5251,2)="15"),LEFT(TH!O5251,3)&lt;&gt;"111",'152-CT'!$J$8=TH!F5251),"x","")</f>
        <v/>
      </c>
      <c r="AC4367" s="75" t="str">
        <f>IF(AND(OR(LEFT(TH!N5251,2)="15",LEFT(TH!O5251,2)="15"),TK!$E$7=TH!F5251),"x","")</f>
        <v/>
      </c>
      <c r="AD4367" s="75" t="str">
        <f>IF(AND(N4367="1521",MONTH(C4367)='BK-NL'!$M$11),"x","")</f>
        <v/>
      </c>
    </row>
    <row r="4368" spans="1:30" ht="16.5" customHeight="1">
      <c r="A4368" s="309" t="str">
        <f>IF(B4368&lt;&gt;"",IF(AND(B4368='IN-TC'!$S$4,OR(TH!N4362="1111",TH!O4362="1111")),TH!D4362,""),"")</f>
        <v/>
      </c>
      <c r="B4368" s="1130">
        <f t="shared" si="1320"/>
        <v>6</v>
      </c>
      <c r="C4368" s="292">
        <f t="shared" si="1321"/>
        <v>42914</v>
      </c>
      <c r="D4368" s="59" t="s">
        <v>902</v>
      </c>
      <c r="E4368" s="59">
        <v>42914</v>
      </c>
      <c r="F4368" s="1127" t="s">
        <v>870</v>
      </c>
      <c r="G4368" s="62" t="s">
        <v>747</v>
      </c>
      <c r="H4368" s="67" t="s">
        <v>835</v>
      </c>
      <c r="I4368" s="375"/>
      <c r="J4368" s="381"/>
      <c r="K4368" s="375"/>
      <c r="L4368" s="381"/>
      <c r="M4368" s="60">
        <v>18000</v>
      </c>
      <c r="N4368" s="61" t="s">
        <v>101</v>
      </c>
      <c r="O4368" s="61" t="s">
        <v>26</v>
      </c>
      <c r="P4368" s="75" t="str">
        <f>IF(AND('331-CT'!$E$7=TH!H5252,OR(N4368="331",O4368="331")),"x","")</f>
        <v/>
      </c>
      <c r="Q4368" s="75" t="str">
        <f>IF(AND(B4368='111'!$L$11,OR($N4368=$Q$7,$O4368=$Q$7)),"x","")</f>
        <v/>
      </c>
      <c r="R4368" s="75" t="str">
        <f>IF(AND($N4368=$Q$7,$B4368&lt;'111'!$L$11),"x","")</f>
        <v/>
      </c>
      <c r="S4368" s="75" t="str">
        <f>IF(AND($O4368=$Q$7,$B4368&lt;'111'!$L$11),"x","")</f>
        <v/>
      </c>
      <c r="T4368" s="75" t="str">
        <f>IF(ISERROR(FIND('112'!$M$9,G4368,1)),"",IF((AND(FIND('112'!$M$9,G4368,1)&gt;=1,B4368='112'!$K$9,OR($N4368='112'!$I$6,$O4368='112'!$I$6))),"x",""))</f>
        <v/>
      </c>
      <c r="U4368" s="75" t="str">
        <f>IF(ISERROR(FIND('112'!$M$9,G4368,1)),"",IF((AND(LEFT(G4368,2)=LEFT('112'!$M$9,2),B4368&lt;'112'!$K$9,$N4368='112'!$I$6)),"x",""))</f>
        <v/>
      </c>
      <c r="V4368" s="75" t="str">
        <f>IF(ISERROR(FIND('112'!$M$9,G4368,1)),"",IF((AND(RIGHT(G4368,2)=RIGHT('112'!$M$9,2),B4368&lt;'112'!$K$9,$O4368='112'!$I$6)),"x",""))</f>
        <v/>
      </c>
      <c r="W4368" s="75" t="str">
        <f>IF(AND('341-CT'!$H$9=H4368,OR(LEFT(N4368,3)=$W$7,LEFT(O4368,3)=$W$7)),"x","")</f>
        <v/>
      </c>
      <c r="X4368" s="75" t="str">
        <f>IF(OR(TH!N5252=TH!$X$7,O4368=TH!$X$7),"x","")</f>
        <v/>
      </c>
      <c r="Y4368" s="75" t="str">
        <f>IF(AND(OR(N4368="131",O4368="131"),H4368='131-CT'!$H$9),"x","")</f>
        <v/>
      </c>
      <c r="Z4368" s="75"/>
      <c r="AA4368" s="75" t="str">
        <f>IF(AND(MONTH(E4368)='IN-NX'!$J$5,'IN-NX'!$D$7=D4368),"x","")</f>
        <v/>
      </c>
      <c r="AB4368" s="75" t="str">
        <f>IF(AND(OR(LEFT(TH!N5252,2)="15",LEFT(TH!O5252,2)="15"),LEFT(TH!O5252,3)&lt;&gt;"111",'152-CT'!$J$8=TH!F5252),"x","")</f>
        <v/>
      </c>
      <c r="AC4368" s="75" t="str">
        <f>IF(AND(OR(LEFT(TH!N5252,2)="15",LEFT(TH!O5252,2)="15"),TK!$E$7=TH!F5252),"x","")</f>
        <v/>
      </c>
      <c r="AD4368" s="75" t="str">
        <f>IF(AND(N4368="1521",MONTH(C4368)='BK-NL'!$M$11),"x","")</f>
        <v/>
      </c>
    </row>
    <row r="4369" spans="1:33" ht="16.5" customHeight="1">
      <c r="A4369" s="309" t="str">
        <f>IF(B4369&lt;&gt;"",IF(AND(B4369='IN-TC'!$S$4,OR(TH!N4363="1111",TH!O4363="1111")),TH!D4363,""),"")</f>
        <v/>
      </c>
      <c r="B4369" s="1130">
        <f t="shared" si="1320"/>
        <v>6</v>
      </c>
      <c r="C4369" s="292">
        <f t="shared" si="1321"/>
        <v>42914</v>
      </c>
      <c r="D4369" s="59" t="s">
        <v>902</v>
      </c>
      <c r="E4369" s="59">
        <v>42914</v>
      </c>
      <c r="F4369" s="1127" t="s">
        <v>898</v>
      </c>
      <c r="G4369" s="62" t="s">
        <v>747</v>
      </c>
      <c r="H4369" s="67" t="s">
        <v>835</v>
      </c>
      <c r="I4369" s="375"/>
      <c r="J4369" s="381"/>
      <c r="K4369" s="375"/>
      <c r="L4369" s="381"/>
      <c r="M4369" s="60">
        <v>1800</v>
      </c>
      <c r="N4369" s="61" t="s">
        <v>9</v>
      </c>
      <c r="O4369" s="61" t="s">
        <v>26</v>
      </c>
      <c r="P4369" s="75" t="str">
        <f>IF(AND('331-CT'!$E$7=TH!H5253,OR(N4369="331",O4369="331")),"x","")</f>
        <v/>
      </c>
      <c r="Q4369" s="75" t="str">
        <f>IF(AND(B4369='111'!$L$11,OR($N4369=$Q$7,$O4369=$Q$7)),"x","")</f>
        <v/>
      </c>
      <c r="R4369" s="75" t="str">
        <f>IF(AND($N4369=$Q$7,$B4369&lt;'111'!$L$11),"x","")</f>
        <v/>
      </c>
      <c r="S4369" s="75" t="str">
        <f>IF(AND($O4369=$Q$7,$B4369&lt;'111'!$L$11),"x","")</f>
        <v/>
      </c>
      <c r="T4369" s="75" t="str">
        <f>IF(ISERROR(FIND('112'!$M$9,G4369,1)),"",IF((AND(FIND('112'!$M$9,G4369,1)&gt;=1,B4369='112'!$K$9,OR($N4369='112'!$I$6,$O4369='112'!$I$6))),"x",""))</f>
        <v/>
      </c>
      <c r="U4369" s="75" t="str">
        <f>IF(ISERROR(FIND('112'!$M$9,G4369,1)),"",IF((AND(LEFT(G4369,2)=LEFT('112'!$M$9,2),B4369&lt;'112'!$K$9,$N4369='112'!$I$6)),"x",""))</f>
        <v/>
      </c>
      <c r="V4369" s="75" t="str">
        <f>IF(ISERROR(FIND('112'!$M$9,G4369,1)),"",IF((AND(RIGHT(G4369,2)=RIGHT('112'!$M$9,2),B4369&lt;'112'!$K$9,$O4369='112'!$I$6)),"x",""))</f>
        <v/>
      </c>
      <c r="W4369" s="75" t="str">
        <f>IF(AND('341-CT'!$H$9=H4369,OR(LEFT(N4369,3)=$W$7,LEFT(O4369,3)=$W$7)),"x","")</f>
        <v/>
      </c>
      <c r="X4369" s="75" t="str">
        <f>IF(OR(TH!N5253=TH!$X$7,O4369=TH!$X$7),"x","")</f>
        <v/>
      </c>
      <c r="Y4369" s="75" t="str">
        <f>IF(AND(OR(N4369="131",O4369="131"),H4369='131-CT'!$H$9),"x","")</f>
        <v/>
      </c>
      <c r="Z4369" s="75"/>
      <c r="AA4369" s="75" t="str">
        <f>IF(AND(MONTH(E4369)='IN-NX'!$J$5,'IN-NX'!$D$7=D4369),"x","")</f>
        <v/>
      </c>
      <c r="AB4369" s="75" t="str">
        <f>IF(AND(OR(LEFT(TH!N5253,2)="15",LEFT(TH!O5253,2)="15"),LEFT(TH!O5253,3)&lt;&gt;"111",'152-CT'!$J$8=TH!F5253),"x","")</f>
        <v/>
      </c>
      <c r="AC4369" s="75" t="str">
        <f>IF(AND(OR(LEFT(TH!N5253,2)="15",LEFT(TH!O5253,2)="15"),TK!$E$7=TH!F5253),"x","")</f>
        <v/>
      </c>
      <c r="AD4369" s="75" t="str">
        <f>IF(AND(N4369="1521",MONTH(C4369)='BK-NL'!$M$11),"x","")</f>
        <v/>
      </c>
    </row>
    <row r="4370" spans="1:33" ht="16.5" customHeight="1">
      <c r="A4370" s="309" t="str">
        <f>IF(B4370&lt;&gt;"",IF(AND(B4370='IN-TC'!$S$4,OR(TH!N4364="1111",TH!O4364="1111")),TH!D4364,""),"")</f>
        <v/>
      </c>
      <c r="B4370" s="1130">
        <f t="shared" si="1320"/>
        <v>6</v>
      </c>
      <c r="C4370" s="292">
        <f t="shared" si="1321"/>
        <v>42914</v>
      </c>
      <c r="D4370" s="59" t="s">
        <v>902</v>
      </c>
      <c r="E4370" s="59">
        <v>42914</v>
      </c>
      <c r="F4370" s="131" t="s">
        <v>2472</v>
      </c>
      <c r="G4370" s="62" t="s">
        <v>747</v>
      </c>
      <c r="H4370" s="67" t="s">
        <v>2473</v>
      </c>
      <c r="I4370" s="1165"/>
      <c r="J4370" s="908"/>
      <c r="K4370" s="375">
        <v>61700</v>
      </c>
      <c r="L4370" s="381">
        <v>22722</v>
      </c>
      <c r="M4370" s="60">
        <v>1401947400</v>
      </c>
      <c r="N4370" s="61" t="s">
        <v>26</v>
      </c>
      <c r="O4370" s="61" t="s">
        <v>250</v>
      </c>
      <c r="P4370" s="75" t="str">
        <f>IF(AND('331-CT'!$E$7=TH!H5254,OR(N4370="331",O4370="331")),"x","")</f>
        <v/>
      </c>
      <c r="Q4370" s="75" t="str">
        <f>IF(AND(B4370='111'!$L$11,OR($N4370=$Q$7,$O4370=$Q$7)),"x","")</f>
        <v/>
      </c>
      <c r="R4370" s="75" t="str">
        <f>IF(AND($N4370=$Q$7,$B4370&lt;'111'!$L$11),"x","")</f>
        <v/>
      </c>
      <c r="S4370" s="75" t="str">
        <f>IF(AND($O4370=$Q$7,$B4370&lt;'111'!$L$11),"x","")</f>
        <v/>
      </c>
      <c r="T4370" s="75" t="str">
        <f>IF(ISERROR(FIND('112'!$M$9,G4370,1)),"",IF((AND(FIND('112'!$M$9,G4370,1)&gt;=1,B4370='112'!$K$9,OR($N4370='112'!$I$6,$O4370='112'!$I$6))),"x",""))</f>
        <v/>
      </c>
      <c r="U4370" s="75" t="str">
        <f>IF(ISERROR(FIND('112'!$M$9,G4370,1)),"",IF((AND(LEFT(G4370,2)=LEFT('112'!$M$9,2),B4370&lt;'112'!$K$9,$N4370='112'!$I$6)),"x",""))</f>
        <v/>
      </c>
      <c r="V4370" s="75" t="str">
        <f>IF(ISERROR(FIND('112'!$M$9,G4370,1)),"",IF((AND(RIGHT(G4370,2)=RIGHT('112'!$M$9,2),B4370&lt;'112'!$K$9,$O4370='112'!$I$6)),"x",""))</f>
        <v/>
      </c>
      <c r="W4370" s="75" t="str">
        <f>IF(AND('341-CT'!$H$9=H4370,OR(LEFT(N4370,3)=$W$7,LEFT(O4370,3)=$W$7)),"x","")</f>
        <v/>
      </c>
      <c r="X4370" s="75" t="str">
        <f>IF(OR(TH!N5254=TH!$X$7,O4370=TH!$X$7),"x","")</f>
        <v/>
      </c>
      <c r="Y4370" s="75" t="str">
        <f>IF(AND(OR(N4370="131",O4370="131"),H4370='131-CT'!$H$9),"x","")</f>
        <v/>
      </c>
      <c r="Z4370" s="75"/>
      <c r="AA4370" s="75" t="str">
        <f>IF(AND(MONTH(E4370)='IN-NX'!$J$5,'IN-NX'!$D$7=D4370),"x","")</f>
        <v/>
      </c>
      <c r="AB4370" s="75" t="str">
        <f>IF(AND(OR(LEFT(TH!N5254,2)="15",LEFT(TH!O5254,2)="15"),LEFT(TH!O5254,3)&lt;&gt;"111",'152-CT'!$J$8=TH!F5254),"x","")</f>
        <v/>
      </c>
      <c r="AC4370" s="75" t="str">
        <f>IF(AND(OR(LEFT(TH!N5254,2)="15",LEFT(TH!O5254,2)="15"),TK!$E$7=TH!F5254),"x","")</f>
        <v/>
      </c>
      <c r="AD4370" s="75" t="str">
        <f>IF(AND(N4370="1521",MONTH(C4370)='BK-NL'!$M$11),"x","")</f>
        <v/>
      </c>
    </row>
    <row r="4371" spans="1:33" ht="16.5" customHeight="1">
      <c r="A4371" s="309" t="str">
        <f>IF(B4371&lt;&gt;"",IF(AND(B4371='IN-TC'!$S$4,OR(TH!N4365="1111",TH!O4365="1111")),TH!D4365,""),"")</f>
        <v/>
      </c>
      <c r="B4371" s="1130">
        <f t="shared" ref="B4371:B4434" si="1322">IF(C4371&lt;&gt;"",MONTH(C4371),"")</f>
        <v>6</v>
      </c>
      <c r="C4371" s="292">
        <f t="shared" si="1321"/>
        <v>42914</v>
      </c>
      <c r="D4371" s="59" t="s">
        <v>902</v>
      </c>
      <c r="E4371" s="59">
        <v>42914</v>
      </c>
      <c r="F4371" s="1127" t="s">
        <v>1549</v>
      </c>
      <c r="G4371" s="62" t="s">
        <v>747</v>
      </c>
      <c r="H4371" s="67" t="s">
        <v>835</v>
      </c>
      <c r="I4371" s="375"/>
      <c r="J4371" s="381"/>
      <c r="K4371" s="375"/>
      <c r="L4371" s="381"/>
      <c r="M4371" s="60">
        <v>227800</v>
      </c>
      <c r="N4371" s="61" t="s">
        <v>101</v>
      </c>
      <c r="O4371" s="61" t="s">
        <v>26</v>
      </c>
      <c r="P4371" s="75" t="str">
        <f>IF(AND('331-CT'!$E$7=TH!H5255,OR(N4371="331",O4371="331")),"x","")</f>
        <v/>
      </c>
      <c r="Q4371" s="75" t="str">
        <f>IF(AND(B4371='111'!$L$11,OR($N4371=$Q$7,$O4371=$Q$7)),"x","")</f>
        <v/>
      </c>
      <c r="R4371" s="75" t="str">
        <f>IF(AND($N4371=$Q$7,$B4371&lt;'111'!$L$11),"x","")</f>
        <v/>
      </c>
      <c r="S4371" s="75" t="str">
        <f>IF(AND($O4371=$Q$7,$B4371&lt;'111'!$L$11),"x","")</f>
        <v/>
      </c>
      <c r="T4371" s="75" t="str">
        <f>IF(ISERROR(FIND('112'!$M$9,G4371,1)),"",IF((AND(FIND('112'!$M$9,G4371,1)&gt;=1,B4371='112'!$K$9,OR($N4371='112'!$I$6,$O4371='112'!$I$6))),"x",""))</f>
        <v/>
      </c>
      <c r="U4371" s="75" t="str">
        <f>IF(ISERROR(FIND('112'!$M$9,G4371,1)),"",IF((AND(LEFT(G4371,2)=LEFT('112'!$M$9,2),B4371&lt;'112'!$K$9,$N4371='112'!$I$6)),"x",""))</f>
        <v/>
      </c>
      <c r="V4371" s="75" t="str">
        <f>IF(ISERROR(FIND('112'!$M$9,G4371,1)),"",IF((AND(RIGHT(G4371,2)=RIGHT('112'!$M$9,2),B4371&lt;'112'!$K$9,$O4371='112'!$I$6)),"x",""))</f>
        <v/>
      </c>
      <c r="W4371" s="75" t="str">
        <f>IF(AND('341-CT'!$H$9=H4371,OR(LEFT(N4371,3)=$W$7,LEFT(O4371,3)=$W$7)),"x","")</f>
        <v/>
      </c>
      <c r="X4371" s="75" t="str">
        <f>IF(OR(TH!N5255=TH!$X$7,O4371=TH!$X$7),"x","")</f>
        <v/>
      </c>
      <c r="Y4371" s="75" t="str">
        <f>IF(AND(OR(N4371="131",O4371="131"),H4371='131-CT'!$H$9),"x","")</f>
        <v/>
      </c>
      <c r="Z4371" s="75"/>
      <c r="AA4371" s="75" t="str">
        <f>IF(AND(MONTH(E4371)='IN-NX'!$J$5,'IN-NX'!$D$7=D4371),"x","")</f>
        <v/>
      </c>
      <c r="AB4371" s="75" t="str">
        <f>IF(AND(OR(LEFT(TH!N5255,2)="15",LEFT(TH!O5255,2)="15"),LEFT(TH!O5255,3)&lt;&gt;"111",'152-CT'!$J$8=TH!F5255),"x","")</f>
        <v/>
      </c>
      <c r="AC4371" s="75" t="str">
        <f>IF(AND(OR(LEFT(TH!N5255,2)="15",LEFT(TH!O5255,2)="15"),TK!$E$7=TH!F5255),"x","")</f>
        <v/>
      </c>
      <c r="AD4371" s="75" t="str">
        <f>IF(AND(N4371="1521",MONTH(C4371)='BK-NL'!$M$11),"x","")</f>
        <v/>
      </c>
    </row>
    <row r="4372" spans="1:33" ht="16.5" customHeight="1">
      <c r="A4372" s="309" t="str">
        <f>IF(B4372&lt;&gt;"",IF(AND(B4372='IN-TC'!$S$4,OR(TH!N4366="1111",TH!O4366="1111")),TH!D4366,""),"")</f>
        <v/>
      </c>
      <c r="B4372" s="1130">
        <f t="shared" si="1322"/>
        <v>6</v>
      </c>
      <c r="C4372" s="292">
        <f t="shared" si="1321"/>
        <v>42914</v>
      </c>
      <c r="D4372" s="59" t="s">
        <v>902</v>
      </c>
      <c r="E4372" s="59">
        <v>42914</v>
      </c>
      <c r="F4372" s="1125" t="s">
        <v>252</v>
      </c>
      <c r="G4372" s="62" t="s">
        <v>747</v>
      </c>
      <c r="H4372" s="67" t="s">
        <v>1725</v>
      </c>
      <c r="I4372" s="1165"/>
      <c r="J4372" s="908"/>
      <c r="K4372" s="375">
        <v>84000</v>
      </c>
      <c r="L4372" s="381">
        <v>22722</v>
      </c>
      <c r="M4372" s="60">
        <v>1908648000</v>
      </c>
      <c r="N4372" s="61" t="s">
        <v>26</v>
      </c>
      <c r="O4372" s="61" t="s">
        <v>250</v>
      </c>
      <c r="P4372" s="75" t="str">
        <f>IF(AND('331-CT'!$E$7=TH!H5256,OR(N4372="331",O4372="331")),"x","")</f>
        <v/>
      </c>
      <c r="Q4372" s="75" t="str">
        <f>IF(AND(B4372='111'!$L$11,OR($N4372=$Q$7,$O4372=$Q$7)),"x","")</f>
        <v/>
      </c>
      <c r="R4372" s="75" t="str">
        <f>IF(AND($N4372=$Q$7,$B4372&lt;'111'!$L$11),"x","")</f>
        <v/>
      </c>
      <c r="S4372" s="75" t="str">
        <f>IF(AND($O4372=$Q$7,$B4372&lt;'111'!$L$11),"x","")</f>
        <v/>
      </c>
      <c r="T4372" s="75" t="str">
        <f>IF(ISERROR(FIND('112'!$M$9,G4372,1)),"",IF((AND(FIND('112'!$M$9,G4372,1)&gt;=1,B4372='112'!$K$9,OR($N4372='112'!$I$6,$O4372='112'!$I$6))),"x",""))</f>
        <v/>
      </c>
      <c r="U4372" s="75" t="str">
        <f>IF(ISERROR(FIND('112'!$M$9,G4372,1)),"",IF((AND(LEFT(G4372,2)=LEFT('112'!$M$9,2),B4372&lt;'112'!$K$9,$N4372='112'!$I$6)),"x",""))</f>
        <v/>
      </c>
      <c r="V4372" s="75" t="str">
        <f>IF(ISERROR(FIND('112'!$M$9,G4372,1)),"",IF((AND(RIGHT(G4372,2)=RIGHT('112'!$M$9,2),B4372&lt;'112'!$K$9,$O4372='112'!$I$6)),"x",""))</f>
        <v/>
      </c>
      <c r="W4372" s="75" t="str">
        <f>IF(AND('341-CT'!$H$9=H4372,OR(LEFT(N4372,3)=$W$7,LEFT(O4372,3)=$W$7)),"x","")</f>
        <v/>
      </c>
      <c r="X4372" s="75" t="str">
        <f>IF(OR(TH!N5256=TH!$X$7,O4372=TH!$X$7),"x","")</f>
        <v/>
      </c>
      <c r="Y4372" s="75" t="str">
        <f>IF(AND(OR(N4372="131",O4372="131"),H4372='131-CT'!$H$9),"x","")</f>
        <v/>
      </c>
      <c r="Z4372" s="75"/>
      <c r="AA4372" s="75" t="str">
        <f>IF(AND(MONTH(E4372)='IN-NX'!$J$5,'IN-NX'!$D$7=D4372),"x","")</f>
        <v/>
      </c>
      <c r="AB4372" s="75" t="str">
        <f>IF(AND(OR(LEFT(TH!N5256,2)="15",LEFT(TH!O5256,2)="15"),LEFT(TH!O5256,3)&lt;&gt;"111",'152-CT'!$J$8=TH!F5256),"x","")</f>
        <v/>
      </c>
      <c r="AC4372" s="75" t="str">
        <f>IF(AND(OR(LEFT(TH!N5256,2)="15",LEFT(TH!O5256,2)="15"),TK!$E$7=TH!F5256),"x","")</f>
        <v/>
      </c>
      <c r="AD4372" s="75" t="str">
        <f>IF(AND(N4372="1521",MONTH(C4372)='BK-NL'!$M$11),"x","")</f>
        <v/>
      </c>
    </row>
    <row r="4373" spans="1:33" s="1264" customFormat="1" ht="16.5" customHeight="1">
      <c r="A4373" s="309" t="str">
        <f>IF(B4373&lt;&gt;"",IF(AND(B4373='IN-TC'!$S$4,OR(TH!N4367="1111",TH!O4367="1111")),TH!D4367,""),"")</f>
        <v/>
      </c>
      <c r="B4373" s="1130">
        <f t="shared" si="1322"/>
        <v>6</v>
      </c>
      <c r="C4373" s="292">
        <f t="shared" si="1321"/>
        <v>42915</v>
      </c>
      <c r="D4373" s="292"/>
      <c r="E4373" s="292">
        <v>42915</v>
      </c>
      <c r="F4373" s="1127" t="s">
        <v>1718</v>
      </c>
      <c r="G4373" s="925" t="s">
        <v>1719</v>
      </c>
      <c r="H4373" s="294" t="s">
        <v>1720</v>
      </c>
      <c r="I4373" s="373"/>
      <c r="J4373" s="926"/>
      <c r="K4373" s="373"/>
      <c r="L4373" s="379"/>
      <c r="M4373" s="927">
        <v>2940000</v>
      </c>
      <c r="N4373" s="295" t="s">
        <v>101</v>
      </c>
      <c r="O4373" s="295" t="s">
        <v>63</v>
      </c>
      <c r="P4373" s="75" t="str">
        <f>IF(AND('331-CT'!$E$7=TH!H3735,OR(N4373="331",O4373="331")),"x","")</f>
        <v/>
      </c>
      <c r="Q4373" s="75" t="str">
        <f>IF(AND(B4373='111'!$L$11,OR($N4373=$Q$7,$O4373=$Q$7)),"x","")</f>
        <v/>
      </c>
      <c r="R4373" s="75" t="str">
        <f>IF(AND($N4373=$Q$7,$B4373&lt;'111'!$L$11),"x","")</f>
        <v/>
      </c>
      <c r="S4373" s="75" t="str">
        <f>IF(AND($O4373=$Q$7,$B4373&lt;'111'!$L$11),"x","")</f>
        <v>x</v>
      </c>
      <c r="T4373" s="75" t="str">
        <f>IF(ISERROR(FIND('112'!$M$9,G4373,1)),"",IF((AND(FIND('112'!$M$9,G4373,1)&gt;=1,B4373='112'!$K$9,OR($N4373='112'!$I$6,$O4373='112'!$I$6))),"x",""))</f>
        <v/>
      </c>
      <c r="U4373" s="75" t="str">
        <f>IF(ISERROR(FIND('112'!$M$9,G4373,1)),"",IF((AND(LEFT(G4373,2)=LEFT('112'!$M$9,2),B4373&lt;'112'!$K$9,$N4373='112'!$I$6)),"x",""))</f>
        <v/>
      </c>
      <c r="V4373" s="75" t="str">
        <f>IF(ISERROR(FIND('112'!$M$9,G4373,1)),"",IF((AND(RIGHT(G4373,2)=RIGHT('112'!$M$9,2),B4373&lt;'112'!$K$9,$O4373='112'!$I$6)),"x",""))</f>
        <v/>
      </c>
      <c r="W4373" s="75" t="str">
        <f>IF(AND('341-CT'!$H$9=H4373,OR(LEFT(N4373,3)=$W$7,LEFT(O4373,3)=$W$7)),"x","")</f>
        <v/>
      </c>
      <c r="X4373" s="75" t="str">
        <f>IF(OR(TH!N3735=TH!$X$7,O4373=TH!$X$7),"x","")</f>
        <v/>
      </c>
      <c r="Y4373" s="75" t="str">
        <f>IF(AND(OR(N4373="131",O4373="131"),H4373='131-CT'!$H$9),"x","")</f>
        <v/>
      </c>
      <c r="Z4373" s="75"/>
      <c r="AA4373" s="75" t="str">
        <f>IF(AND(MONTH(E4373)='IN-NX'!$J$5,'IN-NX'!$D$7=D4373),"x","")</f>
        <v/>
      </c>
      <c r="AB4373" s="75" t="str">
        <f>IF(AND(OR(LEFT(TH!N3735,2)="15",LEFT(TH!O3735,2)="15"),LEFT(TH!O3735,3)&lt;&gt;"111",'152-CT'!$J$8=TH!F3735),"x","")</f>
        <v/>
      </c>
      <c r="AC4373" s="75" t="str">
        <f>IF(AND(OR(LEFT(TH!N3735,2)="15",LEFT(TH!O3735,2)="15"),TK!$E$7=TH!F3735),"x","")</f>
        <v/>
      </c>
      <c r="AD4373" s="75" t="str">
        <f>IF(AND(N4373="1521",MONTH(C4373)='BK-NL'!$M$11),"x","")</f>
        <v/>
      </c>
      <c r="AE4373"/>
      <c r="AF4373"/>
      <c r="AG4373"/>
    </row>
    <row r="4374" spans="1:33" s="1264" customFormat="1" ht="16.5" customHeight="1">
      <c r="A4374" s="309" t="str">
        <f>IF(B4374&lt;&gt;"",IF(AND(B4374='IN-TC'!$S$4,OR(TH!N4368="1111",TH!O4368="1111")),TH!D4368,""),"")</f>
        <v/>
      </c>
      <c r="B4374" s="1130">
        <f t="shared" si="1322"/>
        <v>6</v>
      </c>
      <c r="C4374" s="292">
        <f t="shared" si="1321"/>
        <v>42915</v>
      </c>
      <c r="D4374" s="292"/>
      <c r="E4374" s="292">
        <v>42915</v>
      </c>
      <c r="F4374" s="1127" t="s">
        <v>1499</v>
      </c>
      <c r="G4374" s="925" t="s">
        <v>1721</v>
      </c>
      <c r="H4374" s="294" t="s">
        <v>893</v>
      </c>
      <c r="I4374" s="373"/>
      <c r="J4374" s="926"/>
      <c r="K4374" s="373"/>
      <c r="L4374" s="379"/>
      <c r="M4374" s="927">
        <v>3854291</v>
      </c>
      <c r="N4374" s="295" t="s">
        <v>101</v>
      </c>
      <c r="O4374" s="295" t="s">
        <v>63</v>
      </c>
      <c r="P4374" s="75" t="str">
        <f>IF(AND('331-CT'!$E$7=TH!H3736,OR(N4374="331",O4374="331")),"x","")</f>
        <v/>
      </c>
      <c r="Q4374" s="75" t="str">
        <f>IF(AND(B4374='111'!$L$11,OR($N4374=$Q$7,$O4374=$Q$7)),"x","")</f>
        <v/>
      </c>
      <c r="R4374" s="75" t="str">
        <f>IF(AND($N4374=$Q$7,$B4374&lt;'111'!$L$11),"x","")</f>
        <v/>
      </c>
      <c r="S4374" s="75" t="str">
        <f>IF(AND($O4374=$Q$7,$B4374&lt;'111'!$L$11),"x","")</f>
        <v>x</v>
      </c>
      <c r="T4374" s="75" t="str">
        <f>IF(ISERROR(FIND('112'!$M$9,G4374,1)),"",IF((AND(FIND('112'!$M$9,G4374,1)&gt;=1,B4374='112'!$K$9,OR($N4374='112'!$I$6,$O4374='112'!$I$6))),"x",""))</f>
        <v/>
      </c>
      <c r="U4374" s="75" t="str">
        <f>IF(ISERROR(FIND('112'!$M$9,G4374,1)),"",IF((AND(LEFT(G4374,2)=LEFT('112'!$M$9,2),B4374&lt;'112'!$K$9,$N4374='112'!$I$6)),"x",""))</f>
        <v/>
      </c>
      <c r="V4374" s="75" t="str">
        <f>IF(ISERROR(FIND('112'!$M$9,G4374,1)),"",IF((AND(RIGHT(G4374,2)=RIGHT('112'!$M$9,2),B4374&lt;'112'!$K$9,$O4374='112'!$I$6)),"x",""))</f>
        <v/>
      </c>
      <c r="W4374" s="75" t="str">
        <f>IF(AND('341-CT'!$H$9=H4374,OR(LEFT(N4374,3)=$W$7,LEFT(O4374,3)=$W$7)),"x","")</f>
        <v/>
      </c>
      <c r="X4374" s="75" t="str">
        <f>IF(OR(TH!N3736=TH!$X$7,O4374=TH!$X$7),"x","")</f>
        <v/>
      </c>
      <c r="Y4374" s="75" t="str">
        <f>IF(AND(OR(N4374="131",O4374="131"),H4374='131-CT'!$H$9),"x","")</f>
        <v/>
      </c>
      <c r="Z4374" s="75"/>
      <c r="AA4374" s="75" t="str">
        <f>IF(AND(MONTH(E4374)='IN-NX'!$J$5,'IN-NX'!$D$7=D4374),"x","")</f>
        <v/>
      </c>
      <c r="AB4374" s="75" t="str">
        <f>IF(AND(OR(LEFT(TH!N3736,2)="15",LEFT(TH!O3736,2)="15"),LEFT(TH!O3736,3)&lt;&gt;"111",'152-CT'!$J$8=TH!F3736),"x","")</f>
        <v/>
      </c>
      <c r="AC4374" s="75" t="str">
        <f>IF(AND(OR(LEFT(TH!N3736,2)="15",LEFT(TH!O3736,2)="15"),TK!$E$7=TH!F3736),"x","")</f>
        <v/>
      </c>
      <c r="AD4374" s="75" t="str">
        <f>IF(AND(N4374="1521",MONTH(C4374)='BK-NL'!$M$11),"x","")</f>
        <v/>
      </c>
      <c r="AE4374"/>
      <c r="AF4374"/>
      <c r="AG4374"/>
    </row>
    <row r="4375" spans="1:33" s="1264" customFormat="1" ht="16.5" customHeight="1">
      <c r="A4375" s="309" t="str">
        <f>IF(B4375&lt;&gt;"",IF(AND(B4375='IN-TC'!$S$4,OR(TH!N4369="1111",TH!O4369="1111")),TH!D4369,""),"")</f>
        <v/>
      </c>
      <c r="B4375" s="1130">
        <f t="shared" si="1322"/>
        <v>6</v>
      </c>
      <c r="C4375" s="292">
        <f t="shared" si="1321"/>
        <v>42915</v>
      </c>
      <c r="D4375" s="292"/>
      <c r="E4375" s="292">
        <v>42915</v>
      </c>
      <c r="F4375" s="1127" t="s">
        <v>1500</v>
      </c>
      <c r="G4375" s="925" t="s">
        <v>1721</v>
      </c>
      <c r="H4375" s="294" t="s">
        <v>893</v>
      </c>
      <c r="I4375" s="373"/>
      <c r="J4375" s="926"/>
      <c r="K4375" s="373"/>
      <c r="L4375" s="379"/>
      <c r="M4375" s="927">
        <v>385429</v>
      </c>
      <c r="N4375" s="295" t="s">
        <v>9</v>
      </c>
      <c r="O4375" s="295" t="s">
        <v>63</v>
      </c>
      <c r="P4375" s="75" t="str">
        <f>IF(AND('331-CT'!$E$7=TH!H3737,OR(N4375="331",O4375="331")),"x","")</f>
        <v/>
      </c>
      <c r="Q4375" s="75" t="str">
        <f>IF(AND(B4375='111'!$L$11,OR($N4375=$Q$7,$O4375=$Q$7)),"x","")</f>
        <v/>
      </c>
      <c r="R4375" s="75" t="str">
        <f>IF(AND($N4375=$Q$7,$B4375&lt;'111'!$L$11),"x","")</f>
        <v/>
      </c>
      <c r="S4375" s="75" t="str">
        <f>IF(AND($O4375=$Q$7,$B4375&lt;'111'!$L$11),"x","")</f>
        <v>x</v>
      </c>
      <c r="T4375" s="75" t="str">
        <f>IF(ISERROR(FIND('112'!$M$9,G4375,1)),"",IF((AND(FIND('112'!$M$9,G4375,1)&gt;=1,B4375='112'!$K$9,OR($N4375='112'!$I$6,$O4375='112'!$I$6))),"x",""))</f>
        <v/>
      </c>
      <c r="U4375" s="75" t="str">
        <f>IF(ISERROR(FIND('112'!$M$9,G4375,1)),"",IF((AND(LEFT(G4375,2)=LEFT('112'!$M$9,2),B4375&lt;'112'!$K$9,$N4375='112'!$I$6)),"x",""))</f>
        <v/>
      </c>
      <c r="V4375" s="75" t="str">
        <f>IF(ISERROR(FIND('112'!$M$9,G4375,1)),"",IF((AND(RIGHT(G4375,2)=RIGHT('112'!$M$9,2),B4375&lt;'112'!$K$9,$O4375='112'!$I$6)),"x",""))</f>
        <v/>
      </c>
      <c r="W4375" s="75" t="str">
        <f>IF(AND('341-CT'!$H$9=H4375,OR(LEFT(N4375,3)=$W$7,LEFT(O4375,3)=$W$7)),"x","")</f>
        <v/>
      </c>
      <c r="X4375" s="75" t="str">
        <f>IF(OR(TH!N3737=TH!$X$7,O4375=TH!$X$7),"x","")</f>
        <v/>
      </c>
      <c r="Y4375" s="75" t="str">
        <f>IF(AND(OR(N4375="131",O4375="131"),H4375='131-CT'!$H$9),"x","")</f>
        <v/>
      </c>
      <c r="Z4375" s="75"/>
      <c r="AA4375" s="75" t="str">
        <f>IF(AND(MONTH(E4375)='IN-NX'!$J$5,'IN-NX'!$D$7=D4375),"x","")</f>
        <v/>
      </c>
      <c r="AB4375" s="75" t="str">
        <f>IF(AND(OR(LEFT(TH!N3737,2)="15",LEFT(TH!O3737,2)="15"),LEFT(TH!O3737,3)&lt;&gt;"111",'152-CT'!$J$8=TH!F3737),"x","")</f>
        <v/>
      </c>
      <c r="AC4375" s="75" t="str">
        <f>IF(AND(OR(LEFT(TH!N3737,2)="15",LEFT(TH!O3737,2)="15"),TK!$E$7=TH!F3737),"x","")</f>
        <v/>
      </c>
      <c r="AD4375" s="75" t="str">
        <f>IF(AND(N4375="1521",MONTH(C4375)='BK-NL'!$M$11),"x","")</f>
        <v/>
      </c>
      <c r="AE4375"/>
      <c r="AF4375"/>
      <c r="AG4375"/>
    </row>
    <row r="4376" spans="1:33" s="1264" customFormat="1" ht="16.5" customHeight="1">
      <c r="A4376" s="309" t="str">
        <f>IF(B4376&lt;&gt;"",IF(AND(B4376='IN-TC'!$S$4,OR(TH!N4370="1111",TH!O4370="1111")),TH!D4370,""),"")</f>
        <v/>
      </c>
      <c r="B4376" s="1130">
        <f t="shared" si="1322"/>
        <v>6</v>
      </c>
      <c r="C4376" s="292">
        <f t="shared" si="1321"/>
        <v>42915</v>
      </c>
      <c r="D4376" s="59" t="s">
        <v>902</v>
      </c>
      <c r="E4376" s="59">
        <v>42915</v>
      </c>
      <c r="F4376" s="1127" t="s">
        <v>1737</v>
      </c>
      <c r="G4376" s="62" t="s">
        <v>585</v>
      </c>
      <c r="H4376" s="67" t="s">
        <v>563</v>
      </c>
      <c r="I4376" s="375"/>
      <c r="J4376" s="381"/>
      <c r="K4376" s="375"/>
      <c r="L4376" s="381"/>
      <c r="M4376" s="60">
        <v>33269060</v>
      </c>
      <c r="N4376" s="61" t="s">
        <v>8</v>
      </c>
      <c r="O4376" s="61" t="s">
        <v>26</v>
      </c>
      <c r="P4376" s="75" t="str">
        <f>IF(AND('331-CT'!$E$7=TH!H4793,OR(N4376="331",O4376="331")),"x","")</f>
        <v/>
      </c>
      <c r="Q4376" s="75" t="str">
        <f>IF(AND(B4376='111'!$L$11,OR($N4376=$Q$7,$O4376=$Q$7)),"x","")</f>
        <v/>
      </c>
      <c r="R4376" s="75" t="str">
        <f>IF(AND($N4376=$Q$7,$B4376&lt;'111'!$L$11),"x","")</f>
        <v/>
      </c>
      <c r="S4376" s="75" t="str">
        <f>IF(AND($O4376=$Q$7,$B4376&lt;'111'!$L$11),"x","")</f>
        <v/>
      </c>
      <c r="T4376" s="75" t="str">
        <f>IF(ISERROR(FIND('112'!$M$9,G4376,1)),"",IF((AND(FIND('112'!$M$9,G4376,1)&gt;=1,B4376='112'!$K$9,OR($N4376='112'!$I$6,$O4376='112'!$I$6))),"x",""))</f>
        <v/>
      </c>
      <c r="U4376" s="75" t="str">
        <f>IF(ISERROR(FIND('112'!$M$9,G4376,1)),"",IF((AND(LEFT(G4376,2)=LEFT('112'!$M$9,2),B4376&lt;'112'!$K$9,$N4376='112'!$I$6)),"x",""))</f>
        <v/>
      </c>
      <c r="V4376" s="75" t="str">
        <f>IF(ISERROR(FIND('112'!$M$9,G4376,1)),"",IF((AND(RIGHT(G4376,2)=RIGHT('112'!$M$9,2),B4376&lt;'112'!$K$9,$O4376='112'!$I$6)),"x",""))</f>
        <v/>
      </c>
      <c r="W4376" s="75" t="str">
        <f>IF(AND('341-CT'!$H$9=H4376,OR(LEFT(N4376,3)=$W$7,LEFT(O4376,3)=$W$7)),"x","")</f>
        <v/>
      </c>
      <c r="X4376" s="75" t="str">
        <f>IF(OR(TH!N4793=TH!$X$7,O4376=TH!$X$7),"x","")</f>
        <v/>
      </c>
      <c r="Y4376" s="75" t="str">
        <f>IF(AND(OR(N4376="131",O4376="131"),H4376='131-CT'!$H$9),"x","")</f>
        <v/>
      </c>
      <c r="Z4376" s="75"/>
      <c r="AA4376" s="75" t="str">
        <f>IF(AND(MONTH(E4376)='IN-NX'!$J$5,'IN-NX'!$D$7=D4376),"x","")</f>
        <v/>
      </c>
      <c r="AB4376" s="75" t="str">
        <f>IF(AND(OR(LEFT(TH!N4793,2)="15",LEFT(TH!O4793,2)="15"),LEFT(TH!O4793,3)&lt;&gt;"111",'152-CT'!$J$8=TH!F4793),"x","")</f>
        <v/>
      </c>
      <c r="AC4376" s="75" t="str">
        <f>IF(AND(OR(LEFT(TH!N4793,2)="15",LEFT(TH!O4793,2)="15"),TK!$E$7=TH!F4793),"x","")</f>
        <v/>
      </c>
      <c r="AD4376" s="75" t="str">
        <f>IF(AND(N4376="1521",MONTH(C4376)='BK-NL'!$M$11),"x","")</f>
        <v/>
      </c>
      <c r="AE4376"/>
      <c r="AF4376"/>
      <c r="AG4376"/>
    </row>
    <row r="4377" spans="1:33" s="1264" customFormat="1" ht="16.5" customHeight="1">
      <c r="A4377" s="309" t="str">
        <f>IF(B4377&lt;&gt;"",IF(AND(B4377='IN-TC'!$S$4,OR(TH!N4371="1111",TH!O4371="1111")),TH!D4371,""),"")</f>
        <v/>
      </c>
      <c r="B4377" s="1130">
        <f t="shared" si="1322"/>
        <v>6</v>
      </c>
      <c r="C4377" s="292">
        <f t="shared" si="1321"/>
        <v>42915</v>
      </c>
      <c r="D4377" s="59" t="s">
        <v>902</v>
      </c>
      <c r="E4377" s="59">
        <v>42915</v>
      </c>
      <c r="F4377" s="1127" t="s">
        <v>870</v>
      </c>
      <c r="G4377" s="62" t="s">
        <v>585</v>
      </c>
      <c r="H4377" s="67" t="s">
        <v>845</v>
      </c>
      <c r="I4377" s="375"/>
      <c r="J4377" s="381"/>
      <c r="K4377" s="375"/>
      <c r="L4377" s="381"/>
      <c r="M4377" s="60">
        <v>20000</v>
      </c>
      <c r="N4377" s="61" t="s">
        <v>101</v>
      </c>
      <c r="O4377" s="61" t="s">
        <v>26</v>
      </c>
      <c r="P4377" s="75" t="str">
        <f>IF(AND('331-CT'!$E$7=TH!H4794,OR(N4377="331",O4377="331")),"x","")</f>
        <v/>
      </c>
      <c r="Q4377" s="75" t="str">
        <f>IF(AND(B4377='111'!$L$11,OR($N4377=$Q$7,$O4377=$Q$7)),"x","")</f>
        <v/>
      </c>
      <c r="R4377" s="75" t="str">
        <f>IF(AND($N4377=$Q$7,$B4377&lt;'111'!$L$11),"x","")</f>
        <v/>
      </c>
      <c r="S4377" s="75" t="str">
        <f>IF(AND($O4377=$Q$7,$B4377&lt;'111'!$L$11),"x","")</f>
        <v/>
      </c>
      <c r="T4377" s="75" t="str">
        <f>IF(ISERROR(FIND('112'!$M$9,G4377,1)),"",IF((AND(FIND('112'!$M$9,G4377,1)&gt;=1,B4377='112'!$K$9,OR($N4377='112'!$I$6,$O4377='112'!$I$6))),"x",""))</f>
        <v/>
      </c>
      <c r="U4377" s="75" t="str">
        <f>IF(ISERROR(FIND('112'!$M$9,G4377,1)),"",IF((AND(LEFT(G4377,2)=LEFT('112'!$M$9,2),B4377&lt;'112'!$K$9,$N4377='112'!$I$6)),"x",""))</f>
        <v/>
      </c>
      <c r="V4377" s="75" t="str">
        <f>IF(ISERROR(FIND('112'!$M$9,G4377,1)),"",IF((AND(RIGHT(G4377,2)=RIGHT('112'!$M$9,2),B4377&lt;'112'!$K$9,$O4377='112'!$I$6)),"x",""))</f>
        <v/>
      </c>
      <c r="W4377" s="75" t="str">
        <f>IF(AND('341-CT'!$H$9=H4377,OR(LEFT(N4377,3)=$W$7,LEFT(O4377,3)=$W$7)),"x","")</f>
        <v/>
      </c>
      <c r="X4377" s="75" t="str">
        <f>IF(OR(TH!N4794=TH!$X$7,O4377=TH!$X$7),"x","")</f>
        <v/>
      </c>
      <c r="Y4377" s="75" t="str">
        <f>IF(AND(OR(N4377="131",O4377="131"),H4377='131-CT'!$H$9),"x","")</f>
        <v/>
      </c>
      <c r="Z4377" s="75"/>
      <c r="AA4377" s="75" t="str">
        <f>IF(AND(MONTH(E4377)='IN-NX'!$J$5,'IN-NX'!$D$7=D4377),"x","")</f>
        <v/>
      </c>
      <c r="AB4377" s="75" t="str">
        <f>IF(AND(OR(LEFT(TH!N4794,2)="15",LEFT(TH!O4794,2)="15"),LEFT(TH!O4794,3)&lt;&gt;"111",'152-CT'!$J$8=TH!F4794),"x","")</f>
        <v/>
      </c>
      <c r="AC4377" s="75" t="str">
        <f>IF(AND(OR(LEFT(TH!N4794,2)="15",LEFT(TH!O4794,2)="15"),TK!$E$7=TH!F4794),"x","")</f>
        <v/>
      </c>
      <c r="AD4377" s="75" t="str">
        <f>IF(AND(N4377="1521",MONTH(C4377)='BK-NL'!$M$11),"x","")</f>
        <v/>
      </c>
      <c r="AE4377"/>
      <c r="AF4377"/>
      <c r="AG4377"/>
    </row>
    <row r="4378" spans="1:33" s="1264" customFormat="1" ht="16.5" customHeight="1">
      <c r="A4378" s="309" t="str">
        <f>IF(B4378&lt;&gt;"",IF(AND(B4378='IN-TC'!$S$4,OR(TH!N4372="1111",TH!O4372="1111")),TH!D4372,""),"")</f>
        <v/>
      </c>
      <c r="B4378" s="1130">
        <f t="shared" si="1322"/>
        <v>6</v>
      </c>
      <c r="C4378" s="292">
        <f t="shared" si="1321"/>
        <v>42915</v>
      </c>
      <c r="D4378" s="59" t="s">
        <v>902</v>
      </c>
      <c r="E4378" s="59">
        <v>42915</v>
      </c>
      <c r="F4378" s="1127" t="s">
        <v>898</v>
      </c>
      <c r="G4378" s="62" t="s">
        <v>585</v>
      </c>
      <c r="H4378" s="67" t="s">
        <v>845</v>
      </c>
      <c r="I4378" s="375"/>
      <c r="J4378" s="381"/>
      <c r="K4378" s="375"/>
      <c r="L4378" s="381"/>
      <c r="M4378" s="60">
        <v>2000</v>
      </c>
      <c r="N4378" s="61" t="s">
        <v>9</v>
      </c>
      <c r="O4378" s="61" t="s">
        <v>26</v>
      </c>
      <c r="P4378" s="75" t="str">
        <f>IF(AND('331-CT'!$E$7=TH!H4795,OR(N4378="331",O4378="331")),"x","")</f>
        <v/>
      </c>
      <c r="Q4378" s="75" t="str">
        <f>IF(AND(B4378='111'!$L$11,OR($N4378=$Q$7,$O4378=$Q$7)),"x","")</f>
        <v/>
      </c>
      <c r="R4378" s="75" t="str">
        <f>IF(AND($N4378=$Q$7,$B4378&lt;'111'!$L$11),"x","")</f>
        <v/>
      </c>
      <c r="S4378" s="75" t="str">
        <f>IF(AND($O4378=$Q$7,$B4378&lt;'111'!$L$11),"x","")</f>
        <v/>
      </c>
      <c r="T4378" s="75" t="str">
        <f>IF(ISERROR(FIND('112'!$M$9,G4378,1)),"",IF((AND(FIND('112'!$M$9,G4378,1)&gt;=1,B4378='112'!$K$9,OR($N4378='112'!$I$6,$O4378='112'!$I$6))),"x",""))</f>
        <v/>
      </c>
      <c r="U4378" s="75" t="str">
        <f>IF(ISERROR(FIND('112'!$M$9,G4378,1)),"",IF((AND(LEFT(G4378,2)=LEFT('112'!$M$9,2),B4378&lt;'112'!$K$9,$N4378='112'!$I$6)),"x",""))</f>
        <v/>
      </c>
      <c r="V4378" s="75" t="str">
        <f>IF(ISERROR(FIND('112'!$M$9,G4378,1)),"",IF((AND(RIGHT(G4378,2)=RIGHT('112'!$M$9,2),B4378&lt;'112'!$K$9,$O4378='112'!$I$6)),"x",""))</f>
        <v/>
      </c>
      <c r="W4378" s="75" t="str">
        <f>IF(AND('341-CT'!$H$9=H4378,OR(LEFT(N4378,3)=$W$7,LEFT(O4378,3)=$W$7)),"x","")</f>
        <v/>
      </c>
      <c r="X4378" s="75" t="str">
        <f>IF(OR(TH!N4795=TH!$X$7,O4378=TH!$X$7),"x","")</f>
        <v/>
      </c>
      <c r="Y4378" s="75" t="str">
        <f>IF(AND(OR(N4378="131",O4378="131"),H4378='131-CT'!$H$9),"x","")</f>
        <v/>
      </c>
      <c r="Z4378" s="75"/>
      <c r="AA4378" s="75" t="str">
        <f>IF(AND(MONTH(E4378)='IN-NX'!$J$5,'IN-NX'!$D$7=D4378),"x","")</f>
        <v/>
      </c>
      <c r="AB4378" s="75" t="str">
        <f>IF(AND(OR(LEFT(TH!N4795,2)="15",LEFT(TH!O4795,2)="15"),LEFT(TH!O4795,3)&lt;&gt;"111",'152-CT'!$J$8=TH!F4795),"x","")</f>
        <v/>
      </c>
      <c r="AC4378" s="75" t="str">
        <f>IF(AND(OR(LEFT(TH!N4795,2)="15",LEFT(TH!O4795,2)="15"),TK!$E$7=TH!F4795),"x","")</f>
        <v/>
      </c>
      <c r="AD4378" s="75" t="str">
        <f>IF(AND(N4378="1521",MONTH(C4378)='BK-NL'!$M$11),"x","")</f>
        <v/>
      </c>
      <c r="AE4378"/>
      <c r="AF4378"/>
      <c r="AG4378"/>
    </row>
    <row r="4379" spans="1:33" s="1264" customFormat="1" ht="16.5" customHeight="1">
      <c r="A4379" s="309" t="str">
        <f>IF(B4379&lt;&gt;"",IF(AND(B4379='IN-TC'!$S$4,OR(TH!N4373="1111",TH!O4373="1111")),TH!D4373,""),"")</f>
        <v/>
      </c>
      <c r="B4379" s="1130">
        <f t="shared" si="1322"/>
        <v>6</v>
      </c>
      <c r="C4379" s="292">
        <f t="shared" si="1321"/>
        <v>42916</v>
      </c>
      <c r="D4379" s="292"/>
      <c r="E4379" s="292">
        <v>42916</v>
      </c>
      <c r="F4379" s="1127" t="s">
        <v>1722</v>
      </c>
      <c r="G4379" s="925" t="s">
        <v>1724</v>
      </c>
      <c r="H4379" s="294" t="s">
        <v>1032</v>
      </c>
      <c r="I4379" s="373"/>
      <c r="J4379" s="926"/>
      <c r="K4379" s="373"/>
      <c r="L4379" s="379"/>
      <c r="M4379" s="927">
        <v>201020</v>
      </c>
      <c r="N4379" s="295" t="s">
        <v>101</v>
      </c>
      <c r="O4379" s="295" t="s">
        <v>63</v>
      </c>
      <c r="P4379" s="75" t="str">
        <f>IF(AND('331-CT'!$E$7=TH!H3738,OR(N4379="331",O4379="331")),"x","")</f>
        <v/>
      </c>
      <c r="Q4379" s="75" t="str">
        <f>IF(AND(B4379='111'!$L$11,OR($N4379=$Q$7,$O4379=$Q$7)),"x","")</f>
        <v/>
      </c>
      <c r="R4379" s="75" t="str">
        <f>IF(AND($N4379=$Q$7,$B4379&lt;'111'!$L$11),"x","")</f>
        <v/>
      </c>
      <c r="S4379" s="75" t="str">
        <f>IF(AND($O4379=$Q$7,$B4379&lt;'111'!$L$11),"x","")</f>
        <v>x</v>
      </c>
      <c r="T4379" s="75" t="str">
        <f>IF(ISERROR(FIND('112'!$M$9,G4379,1)),"",IF((AND(FIND('112'!$M$9,G4379,1)&gt;=1,B4379='112'!$K$9,OR($N4379='112'!$I$6,$O4379='112'!$I$6))),"x",""))</f>
        <v/>
      </c>
      <c r="U4379" s="75" t="str">
        <f>IF(ISERROR(FIND('112'!$M$9,G4379,1)),"",IF((AND(LEFT(G4379,2)=LEFT('112'!$M$9,2),B4379&lt;'112'!$K$9,$N4379='112'!$I$6)),"x",""))</f>
        <v/>
      </c>
      <c r="V4379" s="75" t="str">
        <f>IF(ISERROR(FIND('112'!$M$9,G4379,1)),"",IF((AND(RIGHT(G4379,2)=RIGHT('112'!$M$9,2),B4379&lt;'112'!$K$9,$O4379='112'!$I$6)),"x",""))</f>
        <v/>
      </c>
      <c r="W4379" s="75" t="str">
        <f>IF(AND('341-CT'!$H$9=H4379,OR(LEFT(N4379,3)=$W$7,LEFT(O4379,3)=$W$7)),"x","")</f>
        <v/>
      </c>
      <c r="X4379" s="75" t="str">
        <f>IF(OR(TH!N3738=TH!$X$7,O4379=TH!$X$7),"x","")</f>
        <v/>
      </c>
      <c r="Y4379" s="75" t="str">
        <f>IF(AND(OR(N4379="131",O4379="131"),H4379='131-CT'!$H$9),"x","")</f>
        <v/>
      </c>
      <c r="Z4379" s="75"/>
      <c r="AA4379" s="75" t="str">
        <f>IF(AND(MONTH(E4379)='IN-NX'!$J$5,'IN-NX'!$D$7=D4379),"x","")</f>
        <v/>
      </c>
      <c r="AB4379" s="75" t="str">
        <f>IF(AND(OR(LEFT(TH!N3738,2)="15",LEFT(TH!O3738,2)="15"),LEFT(TH!O3738,3)&lt;&gt;"111",'152-CT'!$J$8=TH!F3738),"x","")</f>
        <v/>
      </c>
      <c r="AC4379" s="75" t="str">
        <f>IF(AND(OR(LEFT(TH!N3738,2)="15",LEFT(TH!O3738,2)="15"),TK!$E$7=TH!F3738),"x","")</f>
        <v/>
      </c>
      <c r="AD4379" s="75" t="str">
        <f>IF(AND(N4379="1521",MONTH(C4379)='BK-NL'!$M$11),"x","")</f>
        <v/>
      </c>
      <c r="AE4379"/>
      <c r="AF4379"/>
      <c r="AG4379"/>
    </row>
    <row r="4380" spans="1:33" s="1264" customFormat="1" ht="16.5" customHeight="1">
      <c r="A4380" s="309" t="str">
        <f>IF(B4380&lt;&gt;"",IF(AND(B4380='IN-TC'!$S$4,OR(TH!N4374="1111",TH!O4374="1111")),TH!D4374,""),"")</f>
        <v/>
      </c>
      <c r="B4380" s="1130">
        <f t="shared" si="1322"/>
        <v>6</v>
      </c>
      <c r="C4380" s="292">
        <f t="shared" si="1321"/>
        <v>42916</v>
      </c>
      <c r="D4380" s="292"/>
      <c r="E4380" s="292">
        <v>42916</v>
      </c>
      <c r="F4380" s="1127" t="s">
        <v>1723</v>
      </c>
      <c r="G4380" s="925" t="s">
        <v>1724</v>
      </c>
      <c r="H4380" s="294" t="s">
        <v>1032</v>
      </c>
      <c r="I4380" s="373"/>
      <c r="J4380" s="926"/>
      <c r="K4380" s="373"/>
      <c r="L4380" s="379"/>
      <c r="M4380" s="927">
        <v>20102</v>
      </c>
      <c r="N4380" s="295" t="s">
        <v>9</v>
      </c>
      <c r="O4380" s="295" t="s">
        <v>63</v>
      </c>
      <c r="P4380" s="75" t="str">
        <f>IF(AND('331-CT'!$E$7=TH!H3739,OR(N4380="331",O4380="331")),"x","")</f>
        <v/>
      </c>
      <c r="Q4380" s="75" t="str">
        <f>IF(AND(B4380='111'!$L$11,OR($N4380=$Q$7,$O4380=$Q$7)),"x","")</f>
        <v/>
      </c>
      <c r="R4380" s="75" t="str">
        <f>IF(AND($N4380=$Q$7,$B4380&lt;'111'!$L$11),"x","")</f>
        <v/>
      </c>
      <c r="S4380" s="75" t="str">
        <f>IF(AND($O4380=$Q$7,$B4380&lt;'111'!$L$11),"x","")</f>
        <v>x</v>
      </c>
      <c r="T4380" s="75" t="str">
        <f>IF(ISERROR(FIND('112'!$M$9,G4380,1)),"",IF((AND(FIND('112'!$M$9,G4380,1)&gt;=1,B4380='112'!$K$9,OR($N4380='112'!$I$6,$O4380='112'!$I$6))),"x",""))</f>
        <v/>
      </c>
      <c r="U4380" s="75" t="str">
        <f>IF(ISERROR(FIND('112'!$M$9,G4380,1)),"",IF((AND(LEFT(G4380,2)=LEFT('112'!$M$9,2),B4380&lt;'112'!$K$9,$N4380='112'!$I$6)),"x",""))</f>
        <v/>
      </c>
      <c r="V4380" s="75" t="str">
        <f>IF(ISERROR(FIND('112'!$M$9,G4380,1)),"",IF((AND(RIGHT(G4380,2)=RIGHT('112'!$M$9,2),B4380&lt;'112'!$K$9,$O4380='112'!$I$6)),"x",""))</f>
        <v/>
      </c>
      <c r="W4380" s="75" t="str">
        <f>IF(AND('341-CT'!$H$9=H4380,OR(LEFT(N4380,3)=$W$7,LEFT(O4380,3)=$W$7)),"x","")</f>
        <v/>
      </c>
      <c r="X4380" s="75" t="str">
        <f>IF(OR(TH!N3739=TH!$X$7,O4380=TH!$X$7),"x","")</f>
        <v/>
      </c>
      <c r="Y4380" s="75" t="str">
        <f>IF(AND(OR(N4380="131",O4380="131"),H4380='131-CT'!$H$9),"x","")</f>
        <v/>
      </c>
      <c r="Z4380" s="75"/>
      <c r="AA4380" s="75" t="str">
        <f>IF(AND(MONTH(E4380)='IN-NX'!$J$5,'IN-NX'!$D$7=D4380),"x","")</f>
        <v/>
      </c>
      <c r="AB4380" s="75" t="str">
        <f>IF(AND(OR(LEFT(TH!N3739,2)="15",LEFT(TH!O3739,2)="15"),LEFT(TH!O3739,3)&lt;&gt;"111",'152-CT'!$J$8=TH!F3739),"x","")</f>
        <v/>
      </c>
      <c r="AC4380" s="75" t="str">
        <f>IF(AND(OR(LEFT(TH!N3739,2)="15",LEFT(TH!O3739,2)="15"),TK!$E$7=TH!F3739),"x","")</f>
        <v/>
      </c>
      <c r="AD4380" s="75" t="str">
        <f>IF(AND(N4380="1521",MONTH(C4380)='BK-NL'!$M$11),"x","")</f>
        <v/>
      </c>
      <c r="AE4380"/>
      <c r="AF4380"/>
      <c r="AG4380"/>
    </row>
    <row r="4381" spans="1:33" s="1264" customFormat="1" ht="16.5" customHeight="1">
      <c r="A4381" s="309" t="str">
        <f>IF(B4381&lt;&gt;"",IF(AND(B4381='IN-TC'!$S$4,OR(TH!N4375="1111",TH!O4375="1111")),TH!D4375,""),"")</f>
        <v/>
      </c>
      <c r="B4381" s="1130">
        <f t="shared" si="1322"/>
        <v>6</v>
      </c>
      <c r="C4381" s="292">
        <f t="shared" si="1321"/>
        <v>42916</v>
      </c>
      <c r="D4381" s="292"/>
      <c r="E4381" s="292">
        <v>42916</v>
      </c>
      <c r="F4381" s="1127" t="s">
        <v>1029</v>
      </c>
      <c r="G4381" s="925" t="s">
        <v>2247</v>
      </c>
      <c r="H4381" s="294" t="s">
        <v>948</v>
      </c>
      <c r="I4381" s="373"/>
      <c r="J4381" s="926"/>
      <c r="K4381" s="373"/>
      <c r="L4381" s="379"/>
      <c r="M4381" s="927">
        <v>5690909</v>
      </c>
      <c r="N4381" s="295" t="s">
        <v>539</v>
      </c>
      <c r="O4381" s="295" t="s">
        <v>63</v>
      </c>
      <c r="P4381" s="75" t="str">
        <f>IF(AND('331-CT'!$E$7=TH!H3740,OR(N4381="331",O4381="331")),"x","")</f>
        <v/>
      </c>
      <c r="Q4381" s="75" t="str">
        <f>IF(AND(B4381='111'!$L$11,OR($N4381=$Q$7,$O4381=$Q$7)),"x","")</f>
        <v/>
      </c>
      <c r="R4381" s="75" t="str">
        <f>IF(AND($N4381=$Q$7,$B4381&lt;'111'!$L$11),"x","")</f>
        <v/>
      </c>
      <c r="S4381" s="75" t="str">
        <f>IF(AND($O4381=$Q$7,$B4381&lt;'111'!$L$11),"x","")</f>
        <v>x</v>
      </c>
      <c r="T4381" s="75" t="str">
        <f>IF(ISERROR(FIND('112'!$M$9,G4381,1)),"",IF((AND(FIND('112'!$M$9,G4381,1)&gt;=1,B4381='112'!$K$9,OR($N4381='112'!$I$6,$O4381='112'!$I$6))),"x",""))</f>
        <v/>
      </c>
      <c r="U4381" s="75" t="str">
        <f>IF(ISERROR(FIND('112'!$M$9,G4381,1)),"",IF((AND(LEFT(G4381,2)=LEFT('112'!$M$9,2),B4381&lt;'112'!$K$9,$N4381='112'!$I$6)),"x",""))</f>
        <v/>
      </c>
      <c r="V4381" s="75" t="str">
        <f>IF(ISERROR(FIND('112'!$M$9,G4381,1)),"",IF((AND(RIGHT(G4381,2)=RIGHT('112'!$M$9,2),B4381&lt;'112'!$K$9,$O4381='112'!$I$6)),"x",""))</f>
        <v/>
      </c>
      <c r="W4381" s="75" t="str">
        <f>IF(AND('341-CT'!$H$9=H4381,OR(LEFT(N4381,3)=$W$7,LEFT(O4381,3)=$W$7)),"x","")</f>
        <v/>
      </c>
      <c r="X4381" s="75" t="str">
        <f>IF(OR(TH!N3740=TH!$X$7,O4381=TH!$X$7),"x","")</f>
        <v/>
      </c>
      <c r="Y4381" s="75" t="str">
        <f>IF(AND(OR(N4381="131",O4381="131"),H4381='131-CT'!$H$9),"x","")</f>
        <v/>
      </c>
      <c r="Z4381" s="75"/>
      <c r="AA4381" s="75" t="str">
        <f>IF(AND(MONTH(E4381)='IN-NX'!$J$5,'IN-NX'!$D$7=D4381),"x","")</f>
        <v/>
      </c>
      <c r="AB4381" s="75" t="str">
        <f>IF(AND(OR(LEFT(TH!N3740,2)="15",LEFT(TH!O3740,2)="15"),LEFT(TH!O3740,3)&lt;&gt;"111",'152-CT'!$J$8=TH!F3740),"x","")</f>
        <v/>
      </c>
      <c r="AC4381" s="75" t="str">
        <f>IF(AND(OR(LEFT(TH!N3740,2)="15",LEFT(TH!O3740,2)="15"),TK!$E$7=TH!F3740),"x","")</f>
        <v/>
      </c>
      <c r="AD4381" s="75" t="str">
        <f>IF(AND(N4381="1521",MONTH(C4381)='BK-NL'!$M$11),"x","")</f>
        <v/>
      </c>
      <c r="AE4381">
        <v>9</v>
      </c>
      <c r="AF4381"/>
      <c r="AG4381"/>
    </row>
    <row r="4382" spans="1:33" s="1264" customFormat="1" ht="16.5" customHeight="1">
      <c r="A4382" s="309" t="str">
        <f>IF(B4382&lt;&gt;"",IF(AND(B4382='IN-TC'!$S$4,OR(TH!N4376="1111",TH!O4376="1111")),TH!D4376,""),"")</f>
        <v/>
      </c>
      <c r="B4382" s="1130">
        <f t="shared" si="1322"/>
        <v>6</v>
      </c>
      <c r="C4382" s="292">
        <f t="shared" si="1321"/>
        <v>42916</v>
      </c>
      <c r="D4382" s="292"/>
      <c r="E4382" s="292">
        <v>42916</v>
      </c>
      <c r="F4382" s="1127" t="s">
        <v>1029</v>
      </c>
      <c r="G4382" s="925" t="s">
        <v>2247</v>
      </c>
      <c r="H4382" s="294" t="s">
        <v>948</v>
      </c>
      <c r="I4382" s="373"/>
      <c r="J4382" s="926"/>
      <c r="K4382" s="373"/>
      <c r="L4382" s="379"/>
      <c r="M4382" s="927">
        <v>569091</v>
      </c>
      <c r="N4382" s="295" t="s">
        <v>9</v>
      </c>
      <c r="O4382" s="295" t="s">
        <v>63</v>
      </c>
      <c r="P4382" s="75" t="str">
        <f>IF(AND('331-CT'!$E$7=TH!H3741,OR(N4382="331",O4382="331")),"x","")</f>
        <v/>
      </c>
      <c r="Q4382" s="75" t="str">
        <f>IF(AND(B4382='111'!$L$11,OR($N4382=$Q$7,$O4382=$Q$7)),"x","")</f>
        <v/>
      </c>
      <c r="R4382" s="75" t="str">
        <f>IF(AND($N4382=$Q$7,$B4382&lt;'111'!$L$11),"x","")</f>
        <v/>
      </c>
      <c r="S4382" s="75" t="str">
        <f>IF(AND($O4382=$Q$7,$B4382&lt;'111'!$L$11),"x","")</f>
        <v>x</v>
      </c>
      <c r="T4382" s="75" t="str">
        <f>IF(ISERROR(FIND('112'!$M$9,G4382,1)),"",IF((AND(FIND('112'!$M$9,G4382,1)&gt;=1,B4382='112'!$K$9,OR($N4382='112'!$I$6,$O4382='112'!$I$6))),"x",""))</f>
        <v/>
      </c>
      <c r="U4382" s="75" t="str">
        <f>IF(ISERROR(FIND('112'!$M$9,G4382,1)),"",IF((AND(LEFT(G4382,2)=LEFT('112'!$M$9,2),B4382&lt;'112'!$K$9,$N4382='112'!$I$6)),"x",""))</f>
        <v/>
      </c>
      <c r="V4382" s="75" t="str">
        <f>IF(ISERROR(FIND('112'!$M$9,G4382,1)),"",IF((AND(RIGHT(G4382,2)=RIGHT('112'!$M$9,2),B4382&lt;'112'!$K$9,$O4382='112'!$I$6)),"x",""))</f>
        <v/>
      </c>
      <c r="W4382" s="75" t="str">
        <f>IF(AND('341-CT'!$H$9=H4382,OR(LEFT(N4382,3)=$W$7,LEFT(O4382,3)=$W$7)),"x","")</f>
        <v/>
      </c>
      <c r="X4382" s="75" t="str">
        <f>IF(OR(TH!N3741=TH!$X$7,O4382=TH!$X$7),"x","")</f>
        <v/>
      </c>
      <c r="Y4382" s="75" t="str">
        <f>IF(AND(OR(N4382="131",O4382="131"),H4382='131-CT'!$H$9),"x","")</f>
        <v/>
      </c>
      <c r="Z4382" s="75"/>
      <c r="AA4382" s="75" t="str">
        <f>IF(AND(MONTH(E4382)='IN-NX'!$J$5,'IN-NX'!$D$7=D4382),"x","")</f>
        <v/>
      </c>
      <c r="AB4382" s="75" t="str">
        <f>IF(AND(OR(LEFT(TH!N3741,2)="15",LEFT(TH!O3741,2)="15"),LEFT(TH!O3741,3)&lt;&gt;"111",'152-CT'!$J$8=TH!F3741),"x","")</f>
        <v/>
      </c>
      <c r="AC4382" s="75" t="str">
        <f>IF(AND(OR(LEFT(TH!N3741,2)="15",LEFT(TH!O3741,2)="15"),TK!$E$7=TH!F3741),"x","")</f>
        <v/>
      </c>
      <c r="AD4382" s="75" t="str">
        <f>IF(AND(N4382="1521",MONTH(C4382)='BK-NL'!$M$11),"x","")</f>
        <v/>
      </c>
      <c r="AE4382">
        <v>9</v>
      </c>
      <c r="AF4382"/>
      <c r="AG4382"/>
    </row>
    <row r="4383" spans="1:33" ht="16.5" customHeight="1">
      <c r="A4383" s="309" t="str">
        <f>IF(B4383&lt;&gt;"",IF(AND(B4383='IN-TC'!$S$4,OR(TH!N4377="1111",TH!O4377="1111")),TH!D4377,""),"")</f>
        <v/>
      </c>
      <c r="B4383" s="1130">
        <f t="shared" si="1322"/>
        <v>6</v>
      </c>
      <c r="C4383" s="292">
        <f t="shared" si="1321"/>
        <v>42916</v>
      </c>
      <c r="D4383" s="292"/>
      <c r="E4383" s="929">
        <v>42916</v>
      </c>
      <c r="F4383" s="73" t="s">
        <v>1746</v>
      </c>
      <c r="G4383" s="931"/>
      <c r="H4383" s="296" t="s">
        <v>980</v>
      </c>
      <c r="I4383" s="371"/>
      <c r="J4383" s="932"/>
      <c r="K4383" s="371"/>
      <c r="L4383" s="377"/>
      <c r="M4383" s="933">
        <f>61065535+43284450</f>
        <v>104349985</v>
      </c>
      <c r="N4383" s="934" t="s">
        <v>540</v>
      </c>
      <c r="O4383" s="934" t="s">
        <v>63</v>
      </c>
      <c r="P4383" s="75" t="str">
        <f>IF(AND('331-CT'!$E$7=TH!H3742,OR(N4383="331",O4383="331")),"x","")</f>
        <v/>
      </c>
      <c r="Q4383" s="75" t="str">
        <f>IF(AND(B4383='111'!$L$11,OR($N4383=$Q$7,$O4383=$Q$7)),"x","")</f>
        <v/>
      </c>
      <c r="R4383" s="75" t="str">
        <f>IF(AND($N4383=$Q$7,$B4383&lt;'111'!$L$11),"x","")</f>
        <v/>
      </c>
      <c r="S4383" s="75" t="str">
        <f>IF(AND($O4383=$Q$7,$B4383&lt;'111'!$L$11),"x","")</f>
        <v>x</v>
      </c>
      <c r="T4383" s="75" t="str">
        <f>IF(ISERROR(FIND('112'!$M$9,G4383,1)),"",IF((AND(FIND('112'!$M$9,G4383,1)&gt;=1,B4383='112'!$K$9,OR($N4383='112'!$I$6,$O4383='112'!$I$6))),"x",""))</f>
        <v/>
      </c>
      <c r="U4383" s="75" t="str">
        <f>IF(ISERROR(FIND('112'!$M$9,G4383,1)),"",IF((AND(LEFT(G4383,2)=LEFT('112'!$M$9,2),B4383&lt;'112'!$K$9,$N4383='112'!$I$6)),"x",""))</f>
        <v/>
      </c>
      <c r="V4383" s="75" t="str">
        <f>IF(ISERROR(FIND('112'!$M$9,G4383,1)),"",IF((AND(RIGHT(G4383,2)=RIGHT('112'!$M$9,2),B4383&lt;'112'!$K$9,$O4383='112'!$I$6)),"x",""))</f>
        <v/>
      </c>
      <c r="W4383" s="75" t="str">
        <f>IF(AND('341-CT'!$H$9=H4383,OR(LEFT(N4383,3)=$W$7,LEFT(O4383,3)=$W$7)),"x","")</f>
        <v/>
      </c>
      <c r="X4383" s="75" t="str">
        <f>IF(OR(TH!N3742=TH!$X$7,O4383=TH!$X$7),"x","")</f>
        <v/>
      </c>
      <c r="Y4383" s="75" t="str">
        <f>IF(AND(OR(N4383="131",O4383="131"),H4383='131-CT'!$H$9),"x","")</f>
        <v/>
      </c>
      <c r="Z4383" s="75"/>
      <c r="AA4383" s="75" t="str">
        <f>IF(AND(MONTH(E4383)='IN-NX'!$J$5,'IN-NX'!$D$7=D4383),"x","")</f>
        <v/>
      </c>
      <c r="AB4383" s="75" t="str">
        <f>IF(AND(OR(LEFT(TH!N3742,2)="15",LEFT(TH!O3742,2)="15"),LEFT(TH!O3742,3)&lt;&gt;"111",'152-CT'!$J$8=TH!F3742),"x","")</f>
        <v/>
      </c>
      <c r="AC4383" s="75" t="str">
        <f>IF(AND(OR(LEFT(TH!N3742,2)="15",LEFT(TH!O3742,2)="15"),TK!$E$7=TH!F3742),"x","")</f>
        <v/>
      </c>
      <c r="AD4383" s="75" t="str">
        <f>IF(AND(N4383="1521",MONTH(C4383)='BK-NL'!$M$11),"x","")</f>
        <v/>
      </c>
    </row>
    <row r="4384" spans="1:33" ht="16.5" customHeight="1">
      <c r="A4384" s="309" t="str">
        <f>IF(B4384&lt;&gt;"",IF(AND(B4384='IN-TC'!$S$4,OR(TH!N4378="1111",TH!O4378="1111")),TH!D4378,""),"")</f>
        <v/>
      </c>
      <c r="B4384" s="1130">
        <f t="shared" si="1322"/>
        <v>6</v>
      </c>
      <c r="C4384" s="292">
        <f t="shared" si="1321"/>
        <v>42916</v>
      </c>
      <c r="D4384" s="59" t="s">
        <v>903</v>
      </c>
      <c r="E4384" s="59">
        <v>42916</v>
      </c>
      <c r="F4384" s="907" t="s">
        <v>914</v>
      </c>
      <c r="G4384" s="62" t="s">
        <v>1713</v>
      </c>
      <c r="H4384" s="67"/>
      <c r="I4384" s="373"/>
      <c r="J4384" s="379"/>
      <c r="K4384" s="373"/>
      <c r="L4384" s="379"/>
      <c r="M4384" s="60">
        <v>1328</v>
      </c>
      <c r="N4384" s="61" t="s">
        <v>26</v>
      </c>
      <c r="O4384" s="295" t="s">
        <v>43</v>
      </c>
      <c r="P4384" s="75" t="str">
        <f>IF(AND('331-CT'!$E$7=TH!H4445,OR(N4384="331",O4384="331")),"x","")</f>
        <v/>
      </c>
      <c r="Q4384" s="75" t="str">
        <f>IF(AND(B4384='111'!$L$11,OR($N4384=$Q$7,$O4384=$Q$7)),"x","")</f>
        <v/>
      </c>
      <c r="R4384" s="75" t="str">
        <f>IF(AND($N4384=$Q$7,$B4384&lt;'111'!$L$11),"x","")</f>
        <v/>
      </c>
      <c r="S4384" s="75" t="str">
        <f>IF(AND($O4384=$Q$7,$B4384&lt;'111'!$L$11),"x","")</f>
        <v/>
      </c>
      <c r="T4384" s="75" t="str">
        <f>IF(ISERROR(FIND('112'!$M$9,G4384,1)),"",IF((AND(FIND('112'!$M$9,G4384,1)&gt;=1,B4384='112'!$K$9,OR($N4384='112'!$I$6,$O4384='112'!$I$6))),"x",""))</f>
        <v/>
      </c>
      <c r="U4384" s="75" t="str">
        <f>IF(ISERROR(FIND('112'!$M$9,G4384,1)),"",IF((AND(LEFT(G4384,2)=LEFT('112'!$M$9,2),B4384&lt;'112'!$K$9,$N4384='112'!$I$6)),"x",""))</f>
        <v/>
      </c>
      <c r="V4384" s="75" t="str">
        <f>IF(ISERROR(FIND('112'!$M$9,G4384,1)),"",IF((AND(RIGHT(G4384,2)=RIGHT('112'!$M$9,2),B4384&lt;'112'!$K$9,$O4384='112'!$I$6)),"x",""))</f>
        <v/>
      </c>
      <c r="W4384" s="75" t="str">
        <f>IF(AND('341-CT'!$H$9=H4384,OR(LEFT(N4384,3)=$W$7,LEFT(O4384,3)=$W$7)),"x","")</f>
        <v/>
      </c>
      <c r="X4384" s="75" t="str">
        <f>IF(OR(TH!N4445=TH!$X$7,O4384=TH!$X$7),"x","")</f>
        <v/>
      </c>
      <c r="Y4384" s="75" t="str">
        <f>IF(AND(OR(N4384="131",O4384="131"),H4384='131-CT'!$H$9),"x","")</f>
        <v/>
      </c>
      <c r="Z4384" s="75"/>
      <c r="AA4384" s="75" t="str">
        <f>IF(AND(MONTH(E4384)='IN-NX'!$J$5,'IN-NX'!$D$7=D4384),"x","")</f>
        <v/>
      </c>
      <c r="AB4384" s="75" t="str">
        <f>IF(AND(OR(LEFT(TH!N4445,2)="15",LEFT(TH!O4445,2)="15"),LEFT(TH!O4445,3)&lt;&gt;"111",'152-CT'!$J$8=TH!F4445),"x","")</f>
        <v/>
      </c>
      <c r="AC4384" s="75" t="str">
        <f>IF(AND(OR(LEFT(TH!N4445,2)="15",LEFT(TH!O4445,2)="15"),TK!$E$7=TH!F4445),"x","")</f>
        <v/>
      </c>
      <c r="AD4384" s="75" t="str">
        <f>IF(AND(N4384="1521",MONTH(C4384)='BK-NL'!$M$11),"x","")</f>
        <v/>
      </c>
      <c r="AE4384" s="1053"/>
      <c r="AF4384" s="1053"/>
      <c r="AG4384" s="1053"/>
    </row>
    <row r="4385" spans="1:33" ht="16.5" customHeight="1">
      <c r="A4385" s="309" t="str">
        <f>IF(B4385&lt;&gt;"",IF(AND(B4385='IN-TC'!$S$4,OR(TH!N4379="1111",TH!O4379="1111")),TH!D4379,""),"")</f>
        <v/>
      </c>
      <c r="B4385" s="1130">
        <f t="shared" si="1322"/>
        <v>6</v>
      </c>
      <c r="C4385" s="292">
        <f t="shared" si="1321"/>
        <v>42916</v>
      </c>
      <c r="D4385" s="59" t="s">
        <v>903</v>
      </c>
      <c r="E4385" s="59">
        <v>42916</v>
      </c>
      <c r="F4385" s="67" t="s">
        <v>2430</v>
      </c>
      <c r="G4385" s="62" t="s">
        <v>585</v>
      </c>
      <c r="H4385" s="311" t="s">
        <v>822</v>
      </c>
      <c r="I4385" s="375"/>
      <c r="J4385" s="381"/>
      <c r="K4385" s="375">
        <v>56100</v>
      </c>
      <c r="L4385" s="381">
        <v>22715</v>
      </c>
      <c r="M4385" s="927">
        <f>ROUND(L4385*K4385,0)</f>
        <v>1274311500</v>
      </c>
      <c r="N4385" s="61" t="s">
        <v>26</v>
      </c>
      <c r="O4385" s="61" t="s">
        <v>536</v>
      </c>
      <c r="P4385" s="75" t="str">
        <f>IF(AND('331-CT'!$E$7=TH!H4787,OR(N4385="331",O4385="331")),"x","")</f>
        <v/>
      </c>
      <c r="Q4385" s="75" t="str">
        <f>IF(AND(B4385='111'!$L$11,OR($N4385=$Q$7,$O4385=$Q$7)),"x","")</f>
        <v/>
      </c>
      <c r="R4385" s="75" t="str">
        <f>IF(AND($N4385=$Q$7,$B4385&lt;'111'!$L$11),"x","")</f>
        <v/>
      </c>
      <c r="S4385" s="75" t="str">
        <f>IF(AND($O4385=$Q$7,$B4385&lt;'111'!$L$11),"x","")</f>
        <v/>
      </c>
      <c r="T4385" s="75" t="str">
        <f>IF(ISERROR(FIND('112'!$M$9,G4385,1)),"",IF((AND(FIND('112'!$M$9,G4385,1)&gt;=1,B4385='112'!$K$9,OR($N4385='112'!$I$6,$O4385='112'!$I$6))),"x",""))</f>
        <v/>
      </c>
      <c r="U4385" s="75" t="str">
        <f>IF(ISERROR(FIND('112'!$M$9,G4385,1)),"",IF((AND(LEFT(G4385,2)=LEFT('112'!$M$9,2),B4385&lt;'112'!$K$9,$N4385='112'!$I$6)),"x",""))</f>
        <v/>
      </c>
      <c r="V4385" s="75" t="str">
        <f>IF(ISERROR(FIND('112'!$M$9,G4385,1)),"",IF((AND(RIGHT(G4385,2)=RIGHT('112'!$M$9,2),B4385&lt;'112'!$K$9,$O4385='112'!$I$6)),"x",""))</f>
        <v/>
      </c>
      <c r="W4385" s="75" t="str">
        <f>IF(AND('341-CT'!$H$9=H4385,OR(LEFT(N4385,3)=$W$7,LEFT(O4385,3)=$W$7)),"x","")</f>
        <v/>
      </c>
      <c r="X4385" s="75" t="str">
        <f>IF(OR(TH!N4787=TH!$X$7,O4385=TH!$X$7),"x","")</f>
        <v/>
      </c>
      <c r="Y4385" s="75" t="str">
        <f>IF(AND(OR(N4385="131",O4385="131"),H4385='131-CT'!$H$9),"x","")</f>
        <v/>
      </c>
      <c r="Z4385" s="75"/>
      <c r="AA4385" s="75" t="str">
        <f>IF(AND(MONTH(E4385)='IN-NX'!$J$5,'IN-NX'!$D$7=D4385),"x","")</f>
        <v/>
      </c>
      <c r="AB4385" s="75" t="str">
        <f>IF(AND(OR(LEFT(TH!N4787,2)="15",LEFT(TH!O4787,2)="15"),LEFT(TH!O4787,3)&lt;&gt;"111",'152-CT'!$J$8=TH!F4787),"x","")</f>
        <v/>
      </c>
      <c r="AC4385" s="75" t="str">
        <f>IF(AND(OR(LEFT(TH!N4787,2)="15",LEFT(TH!O4787,2)="15"),TK!$E$7=TH!F4787),"x","")</f>
        <v/>
      </c>
      <c r="AD4385" s="75" t="str">
        <f>IF(AND(N4385="1521",MONTH(C4385)='BK-NL'!$M$11),"x","")</f>
        <v/>
      </c>
    </row>
    <row r="4386" spans="1:33" ht="16.5" customHeight="1">
      <c r="A4386" s="309" t="str">
        <f>IF(B4386&lt;&gt;"",IF(AND(B4386='IN-TC'!$S$4,OR(TH!N4380="1111",TH!O4380="1111")),TH!D4380,""),"")</f>
        <v/>
      </c>
      <c r="B4386" s="1130">
        <f t="shared" si="1322"/>
        <v>6</v>
      </c>
      <c r="C4386" s="292">
        <f t="shared" si="1321"/>
        <v>42916</v>
      </c>
      <c r="D4386" s="292" t="s">
        <v>1272</v>
      </c>
      <c r="E4386" s="59">
        <v>42916</v>
      </c>
      <c r="F4386" s="907" t="s">
        <v>834</v>
      </c>
      <c r="G4386" s="62" t="s">
        <v>747</v>
      </c>
      <c r="H4386" s="67" t="s">
        <v>1023</v>
      </c>
      <c r="I4386" s="1165"/>
      <c r="J4386" s="908"/>
      <c r="K4386" s="375"/>
      <c r="L4386" s="381"/>
      <c r="M4386" s="60">
        <v>200000000</v>
      </c>
      <c r="N4386" s="61" t="s">
        <v>63</v>
      </c>
      <c r="O4386" s="61" t="s">
        <v>26</v>
      </c>
      <c r="P4386" s="75" t="str">
        <f>IF(AND('331-CT'!$E$7=TH!H5257,OR(N4386="331",O4386="331")),"x","")</f>
        <v/>
      </c>
      <c r="Q4386" s="75" t="str">
        <f>IF(AND(B4386='111'!$L$11,OR($N4386=$Q$7,$O4386=$Q$7)),"x","")</f>
        <v/>
      </c>
      <c r="R4386" s="75" t="str">
        <f>IF(AND($N4386=$Q$7,$B4386&lt;'111'!$L$11),"x","")</f>
        <v>x</v>
      </c>
      <c r="S4386" s="75" t="str">
        <f>IF(AND($O4386=$Q$7,$B4386&lt;'111'!$L$11),"x","")</f>
        <v/>
      </c>
      <c r="T4386" s="75" t="str">
        <f>IF(ISERROR(FIND('112'!$M$9,G4386,1)),"",IF((AND(FIND('112'!$M$9,G4386,1)&gt;=1,B4386='112'!$K$9,OR($N4386='112'!$I$6,$O4386='112'!$I$6))),"x",""))</f>
        <v/>
      </c>
      <c r="U4386" s="75" t="str">
        <f>IF(ISERROR(FIND('112'!$M$9,G4386,1)),"",IF((AND(LEFT(G4386,2)=LEFT('112'!$M$9,2),B4386&lt;'112'!$K$9,$N4386='112'!$I$6)),"x",""))</f>
        <v/>
      </c>
      <c r="V4386" s="75" t="str">
        <f>IF(ISERROR(FIND('112'!$M$9,G4386,1)),"",IF((AND(RIGHT(G4386,2)=RIGHT('112'!$M$9,2),B4386&lt;'112'!$K$9,$O4386='112'!$I$6)),"x",""))</f>
        <v/>
      </c>
      <c r="W4386" s="75" t="str">
        <f>IF(AND('341-CT'!$H$9=H4386,OR(LEFT(N4386,3)=$W$7,LEFT(O4386,3)=$W$7)),"x","")</f>
        <v/>
      </c>
      <c r="X4386" s="75" t="str">
        <f>IF(OR(TH!N5257=TH!$X$7,O4386=TH!$X$7),"x","")</f>
        <v/>
      </c>
      <c r="Y4386" s="75" t="str">
        <f>IF(AND(OR(N4386="131",O4386="131"),H4386='131-CT'!$H$9),"x","")</f>
        <v/>
      </c>
      <c r="Z4386" s="75"/>
      <c r="AA4386" s="75" t="str">
        <f>IF(AND(MONTH(E4386)='IN-NX'!$J$5,'IN-NX'!$D$7=D4386),"x","")</f>
        <v/>
      </c>
      <c r="AB4386" s="75" t="str">
        <f>IF(AND(OR(LEFT(TH!N5257,2)="15",LEFT(TH!O5257,2)="15"),LEFT(TH!O5257,3)&lt;&gt;"111",'152-CT'!$J$8=TH!F5257),"x","")</f>
        <v/>
      </c>
      <c r="AC4386" s="75" t="str">
        <f>IF(AND(OR(LEFT(TH!N5257,2)="15",LEFT(TH!O5257,2)="15"),TK!$E$7=TH!F5257),"x","")</f>
        <v/>
      </c>
      <c r="AD4386" s="75" t="str">
        <f>IF(AND(N4386="1521",MONTH(C4386)='BK-NL'!$M$11),"x","")</f>
        <v/>
      </c>
    </row>
    <row r="4387" spans="1:33" ht="16.5" customHeight="1">
      <c r="A4387" s="309" t="str">
        <f>IF(B4387&lt;&gt;"",IF(AND(B4387='IN-TC'!$S$4,OR(TH!N4381="1111",TH!O4381="1111")),TH!D4381,""),"")</f>
        <v/>
      </c>
      <c r="B4387" s="1130">
        <f t="shared" si="1322"/>
        <v>6</v>
      </c>
      <c r="C4387" s="292">
        <f t="shared" si="1321"/>
        <v>42916</v>
      </c>
      <c r="D4387" s="59" t="s">
        <v>902</v>
      </c>
      <c r="E4387" s="59">
        <v>42916</v>
      </c>
      <c r="F4387" s="67" t="s">
        <v>1549</v>
      </c>
      <c r="G4387" s="62" t="s">
        <v>747</v>
      </c>
      <c r="H4387" s="67" t="s">
        <v>835</v>
      </c>
      <c r="I4387" s="375"/>
      <c r="J4387" s="381"/>
      <c r="K4387" s="375"/>
      <c r="L4387" s="381"/>
      <c r="M4387" s="60">
        <v>227800</v>
      </c>
      <c r="N4387" s="61" t="s">
        <v>101</v>
      </c>
      <c r="O4387" s="61" t="s">
        <v>26</v>
      </c>
      <c r="P4387" s="75" t="str">
        <f>IF(AND('331-CT'!$E$7=TH!H5258,OR(N4387="331",O4387="331")),"x","")</f>
        <v/>
      </c>
      <c r="Q4387" s="75" t="str">
        <f>IF(AND(B4387='111'!$L$11,OR($N4387=$Q$7,$O4387=$Q$7)),"x","")</f>
        <v/>
      </c>
      <c r="R4387" s="75" t="str">
        <f>IF(AND($N4387=$Q$7,$B4387&lt;'111'!$L$11),"x","")</f>
        <v/>
      </c>
      <c r="S4387" s="75" t="str">
        <f>IF(AND($O4387=$Q$7,$B4387&lt;'111'!$L$11),"x","")</f>
        <v/>
      </c>
      <c r="T4387" s="75" t="str">
        <f>IF(ISERROR(FIND('112'!$M$9,G4387,1)),"",IF((AND(FIND('112'!$M$9,G4387,1)&gt;=1,B4387='112'!$K$9,OR($N4387='112'!$I$6,$O4387='112'!$I$6))),"x",""))</f>
        <v/>
      </c>
      <c r="U4387" s="75" t="str">
        <f>IF(ISERROR(FIND('112'!$M$9,G4387,1)),"",IF((AND(LEFT(G4387,2)=LEFT('112'!$M$9,2),B4387&lt;'112'!$K$9,$N4387='112'!$I$6)),"x",""))</f>
        <v/>
      </c>
      <c r="V4387" s="75" t="str">
        <f>IF(ISERROR(FIND('112'!$M$9,G4387,1)),"",IF((AND(RIGHT(G4387,2)=RIGHT('112'!$M$9,2),B4387&lt;'112'!$K$9,$O4387='112'!$I$6)),"x",""))</f>
        <v/>
      </c>
      <c r="W4387" s="75" t="str">
        <f>IF(AND('341-CT'!$H$9=H4387,OR(LEFT(N4387,3)=$W$7,LEFT(O4387,3)=$W$7)),"x","")</f>
        <v/>
      </c>
      <c r="X4387" s="75" t="str">
        <f>IF(OR(TH!N5258=TH!$X$7,O4387=TH!$X$7),"x","")</f>
        <v/>
      </c>
      <c r="Y4387" s="75" t="str">
        <f>IF(AND(OR(N4387="131",O4387="131"),H4387='131-CT'!$H$9),"x","")</f>
        <v/>
      </c>
      <c r="Z4387" s="75"/>
      <c r="AA4387" s="75" t="str">
        <f>IF(AND(MONTH(E4387)='IN-NX'!$J$5,'IN-NX'!$D$7=D4387),"x","")</f>
        <v/>
      </c>
      <c r="AB4387" s="75" t="str">
        <f>IF(AND(OR(LEFT(TH!N5258,2)="15",LEFT(TH!O5258,2)="15"),LEFT(TH!O5258,3)&lt;&gt;"111",'152-CT'!$J$8=TH!F5258),"x","")</f>
        <v/>
      </c>
      <c r="AC4387" s="75" t="str">
        <f>IF(AND(OR(LEFT(TH!N5258,2)="15",LEFT(TH!O5258,2)="15"),TK!$E$7=TH!F5258),"x","")</f>
        <v/>
      </c>
      <c r="AD4387" s="75" t="str">
        <f>IF(AND(N4387="1521",MONTH(C4387)='BK-NL'!$M$11),"x","")</f>
        <v/>
      </c>
    </row>
    <row r="4388" spans="1:33" ht="16.5" customHeight="1">
      <c r="A4388" s="309" t="str">
        <f>IF(B4388&lt;&gt;"",IF(AND(B4388='IN-TC'!$S$4,OR(TH!N5708="1111",TH!O5708="1111")),TH!D5708,""),"")</f>
        <v/>
      </c>
      <c r="B4388" s="1339">
        <f t="shared" si="1322"/>
        <v>6</v>
      </c>
      <c r="C4388" s="292">
        <f t="shared" si="1321"/>
        <v>42916</v>
      </c>
      <c r="D4388" s="71"/>
      <c r="E4388" s="71">
        <v>42916</v>
      </c>
      <c r="F4388" s="72" t="s">
        <v>3010</v>
      </c>
      <c r="G4388" s="72" t="s">
        <v>1899</v>
      </c>
      <c r="H4388" s="73" t="s">
        <v>1879</v>
      </c>
      <c r="I4388" s="371"/>
      <c r="J4388" s="378"/>
      <c r="K4388" s="371"/>
      <c r="L4388" s="377"/>
      <c r="M4388" s="74">
        <v>65949600</v>
      </c>
      <c r="N4388" s="75" t="s">
        <v>63</v>
      </c>
      <c r="O4388" s="75" t="s">
        <v>262</v>
      </c>
      <c r="P4388" s="75" t="str">
        <f>IF(AND('331-CT'!$E$7=TH!H5708,OR(N4388="331",O4388="331")),"x","")</f>
        <v/>
      </c>
      <c r="Q4388" s="75" t="str">
        <f>IF(AND(B4388='111'!$L$11,OR($N4388=$Q$7,$O4388=$Q$7)),"x","")</f>
        <v/>
      </c>
      <c r="R4388" s="75" t="str">
        <f>IF(AND($N4388=$Q$7,$B4388&lt;'111'!$L$11),"x","")</f>
        <v>x</v>
      </c>
      <c r="S4388" s="75" t="str">
        <f>IF(AND($O4388=$Q$7,$B4388&lt;'111'!$L$11),"x","")</f>
        <v/>
      </c>
      <c r="T4388" s="75" t="str">
        <f>IF(ISERROR(FIND('112'!$M$9,G4388,1)),"",IF((AND(FIND('112'!$M$9,G4388,1)&gt;=1,B4388='112'!$K$9,OR($N4388='112'!$I$6,$O4388='112'!$I$6))),"x",""))</f>
        <v/>
      </c>
      <c r="U4388" s="75" t="str">
        <f>IF(ISERROR(FIND('112'!$M$9,G4388,1)),"",IF((AND(LEFT(G4388,2)=LEFT('112'!$M$9,2),B4388&lt;'112'!$K$9,$N4388='112'!$I$6)),"x",""))</f>
        <v/>
      </c>
      <c r="V4388" s="75" t="str">
        <f>IF(ISERROR(FIND('112'!$M$9,G4388,1)),"",IF((AND(RIGHT(G4388,2)=RIGHT('112'!$M$9,2),B4388&lt;'112'!$K$9,$O4388='112'!$I$6)),"x",""))</f>
        <v/>
      </c>
      <c r="W4388" s="75" t="str">
        <f>IF(AND('341-CT'!$H$9=H4388,OR(LEFT(N4388,3)=$W$7,LEFT(O4388,3)=$W$7)),"x","")</f>
        <v/>
      </c>
      <c r="X4388" s="75" t="str">
        <f>IF(OR(TH!N5708=TH!$X$7,O4388=TH!$X$7),"x","")</f>
        <v>x</v>
      </c>
      <c r="Y4388" s="75" t="str">
        <f>IF(AND(OR(N4388="131",O4388="131"),H4388='131-CT'!$H$9),"x","")</f>
        <v/>
      </c>
      <c r="Z4388" s="75"/>
      <c r="AA4388" s="75" t="str">
        <f>IF(AND(MONTH(E4388)='IN-NX'!$J$5,'IN-NX'!$D$7=D4388),"x","")</f>
        <v/>
      </c>
      <c r="AB4388" s="75" t="str">
        <f>IF(AND(OR(LEFT(TH!N5708,2)="15",LEFT(TH!O5708,2)="15"),LEFT(TH!O5708,3)&lt;&gt;"111",'152-CT'!$J$8=TH!F5708),"x","")</f>
        <v/>
      </c>
      <c r="AC4388" s="75" t="str">
        <f>IF(AND(OR(LEFT(TH!N5708,2)="15",LEFT(TH!O5708,2)="15"),TK!$E$7=TH!F5708),"x","")</f>
        <v/>
      </c>
      <c r="AD4388" s="75" t="str">
        <f>IF(AND(N4388="1521",MONTH(C4388)='BK-NL'!$M$11),"x","")</f>
        <v/>
      </c>
      <c r="AE4388" s="1264"/>
      <c r="AF4388" s="1264"/>
      <c r="AG4388" s="1264"/>
    </row>
    <row r="4389" spans="1:33" ht="16.5" customHeight="1">
      <c r="A4389" s="309" t="str">
        <f>IF(B4389&lt;&gt;"",IF(AND(B4389='IN-TC'!$S$4,OR(TH!N4382="1111",TH!O4382="1111")),TH!D4382,""),"")</f>
        <v/>
      </c>
      <c r="B4389" s="1243">
        <f t="shared" si="1322"/>
        <v>7</v>
      </c>
      <c r="C4389" s="292">
        <f t="shared" si="1321"/>
        <v>42917</v>
      </c>
      <c r="D4389" s="292" t="s">
        <v>833</v>
      </c>
      <c r="E4389" s="292">
        <v>42917</v>
      </c>
      <c r="F4389" s="293" t="s">
        <v>834</v>
      </c>
      <c r="G4389" s="943" t="s">
        <v>747</v>
      </c>
      <c r="H4389" s="67" t="s">
        <v>1023</v>
      </c>
      <c r="I4389" s="373"/>
      <c r="J4389" s="926"/>
      <c r="K4389" s="373"/>
      <c r="L4389" s="379"/>
      <c r="M4389" s="927">
        <v>200000000</v>
      </c>
      <c r="N4389" s="295" t="s">
        <v>63</v>
      </c>
      <c r="O4389" s="295" t="s">
        <v>26</v>
      </c>
      <c r="P4389" s="75" t="str">
        <f>IF(AND('331-CT'!$E$7=TH!H5259,OR(N4389="331",O4389="331")),"x","")</f>
        <v/>
      </c>
      <c r="Q4389" s="75" t="str">
        <f>IF(AND(B4389='111'!$L$11,OR($N4389=$Q$7,$O4389=$Q$7)),"x","")</f>
        <v/>
      </c>
      <c r="R4389" s="75" t="str">
        <f>IF(AND($N4389=$Q$7,$B4389&lt;'111'!$L$11),"x","")</f>
        <v>x</v>
      </c>
      <c r="S4389" s="75" t="str">
        <f>IF(AND($O4389=$Q$7,$B4389&lt;'111'!$L$11),"x","")</f>
        <v/>
      </c>
      <c r="T4389" s="75" t="str">
        <f>IF(ISERROR(FIND('112'!$M$9,G4389,1)),"",IF((AND(FIND('112'!$M$9,G4389,1)&gt;=1,B4389='112'!$K$9,OR($N4389='112'!$I$6,$O4389='112'!$I$6))),"x",""))</f>
        <v/>
      </c>
      <c r="U4389" s="75" t="str">
        <f>IF(ISERROR(FIND('112'!$M$9,G4389,1)),"",IF((AND(LEFT(G4389,2)=LEFT('112'!$M$9,2),B4389&lt;'112'!$K$9,$N4389='112'!$I$6)),"x",""))</f>
        <v/>
      </c>
      <c r="V4389" s="75" t="str">
        <f>IF(ISERROR(FIND('112'!$M$9,G4389,1)),"",IF((AND(RIGHT(G4389,2)=RIGHT('112'!$M$9,2),B4389&lt;'112'!$K$9,$O4389='112'!$I$6)),"x",""))</f>
        <v/>
      </c>
      <c r="W4389" s="75" t="str">
        <f>IF(AND('341-CT'!$H$9=H4389,OR(LEFT(N4389,3)=$W$7,LEFT(O4389,3)=$W$7)),"x","")</f>
        <v/>
      </c>
      <c r="X4389" s="75" t="str">
        <f>IF(OR(TH!N5259=TH!$X$7,O4389=TH!$X$7),"x","")</f>
        <v/>
      </c>
      <c r="Y4389" s="75" t="str">
        <f>IF(AND(OR(N4389="131",O4389="131"),H4389='131-CT'!$H$9),"x","")</f>
        <v/>
      </c>
      <c r="Z4389" s="75"/>
      <c r="AA4389" s="75" t="str">
        <f>IF(AND(MONTH(E4389)='IN-NX'!$J$5,'IN-NX'!$D$7=D4389),"x","")</f>
        <v/>
      </c>
      <c r="AB4389" s="75" t="str">
        <f>IF(AND(OR(LEFT(TH!N5259,2)="15",LEFT(TH!O5259,2)="15"),LEFT(TH!O5259,3)&lt;&gt;"111",'152-CT'!$J$8=TH!F5259),"x","")</f>
        <v/>
      </c>
      <c r="AC4389" s="75" t="str">
        <f>IF(AND(OR(LEFT(TH!N5259,2)="15",LEFT(TH!O5259,2)="15"),TK!$E$7=TH!F5259),"x","")</f>
        <v/>
      </c>
      <c r="AD4389" s="75" t="str">
        <f>IF(AND(N4389="1521",MONTH(C4389)='BK-NL'!$M$11),"x","")</f>
        <v/>
      </c>
    </row>
    <row r="4390" spans="1:33" ht="16.5" customHeight="1">
      <c r="A4390" s="309" t="str">
        <f>IF(B4390&lt;&gt;"",IF(AND(B4390='IN-TC'!$S$4,OR(TH!N4383="1111",TH!O4383="1111")),TH!D4383,""),"")</f>
        <v/>
      </c>
      <c r="B4390" s="1243">
        <f t="shared" si="1322"/>
        <v>7</v>
      </c>
      <c r="C4390" s="292">
        <f t="shared" si="1321"/>
        <v>42919</v>
      </c>
      <c r="D4390" s="292"/>
      <c r="E4390" s="292">
        <v>42919</v>
      </c>
      <c r="F4390" s="1010" t="s">
        <v>1881</v>
      </c>
      <c r="G4390" s="925"/>
      <c r="H4390" s="311" t="s">
        <v>1890</v>
      </c>
      <c r="I4390" s="373"/>
      <c r="J4390" s="926"/>
      <c r="K4390" s="373"/>
      <c r="L4390" s="379"/>
      <c r="M4390" s="927">
        <v>2309400000</v>
      </c>
      <c r="N4390" s="295" t="s">
        <v>8</v>
      </c>
      <c r="O4390" s="295" t="s">
        <v>63</v>
      </c>
      <c r="P4390" s="75" t="str">
        <f>IF(AND('331-CT'!$E$7=TH!H4270,OR(N4390="331",O4390="331")),"x","")</f>
        <v/>
      </c>
      <c r="Q4390" s="75" t="str">
        <f>IF(AND(B4390='111'!$L$11,OR($N4390=$Q$7,$O4390=$Q$7)),"x","")</f>
        <v/>
      </c>
      <c r="R4390" s="75" t="str">
        <f>IF(AND($N4390=$Q$7,$B4390&lt;'111'!$L$11),"x","")</f>
        <v/>
      </c>
      <c r="S4390" s="75" t="str">
        <f>IF(AND($O4390=$Q$7,$B4390&lt;'111'!$L$11),"x","")</f>
        <v>x</v>
      </c>
      <c r="T4390" s="75" t="str">
        <f>IF(ISERROR(FIND('112'!$M$9,G4390,1)),"",IF((AND(FIND('112'!$M$9,G4390,1)&gt;=1,B4390='112'!$K$9,OR($N4390='112'!$I$6,$O4390='112'!$I$6))),"x",""))</f>
        <v/>
      </c>
      <c r="U4390" s="75" t="str">
        <f>IF(ISERROR(FIND('112'!$M$9,G4390,1)),"",IF((AND(LEFT(G4390,2)=LEFT('112'!$M$9,2),B4390&lt;'112'!$K$9,$N4390='112'!$I$6)),"x",""))</f>
        <v/>
      </c>
      <c r="V4390" s="75" t="str">
        <f>IF(ISERROR(FIND('112'!$M$9,G4390,1)),"",IF((AND(RIGHT(G4390,2)=RIGHT('112'!$M$9,2),B4390&lt;'112'!$K$9,$O4390='112'!$I$6)),"x",""))</f>
        <v/>
      </c>
      <c r="W4390" s="75" t="str">
        <f>IF(AND('341-CT'!$H$9=H4390,OR(LEFT(N4390,3)=$W$7,LEFT(O4390,3)=$W$7)),"x","")</f>
        <v/>
      </c>
      <c r="X4390" s="75" t="str">
        <f>IF(OR(TH!N4270=TH!$X$7,O4390=TH!$X$7),"x","")</f>
        <v/>
      </c>
      <c r="Y4390" s="75" t="str">
        <f>IF(AND(OR(N4390="131",O4390="131"),H4390='131-CT'!$H$9),"x","")</f>
        <v/>
      </c>
      <c r="Z4390" s="75"/>
      <c r="AA4390" s="75" t="str">
        <f>IF(AND(MONTH(E4390)='IN-NX'!$J$5,'IN-NX'!$D$7=D4390),"x","")</f>
        <v/>
      </c>
      <c r="AB4390" s="75" t="str">
        <f>IF(AND(OR(LEFT(TH!N4270,2)="15",LEFT(TH!O4270,2)="15"),LEFT(TH!O4270,3)&lt;&gt;"111",'152-CT'!$J$8=TH!F4270),"x","")</f>
        <v/>
      </c>
      <c r="AC4390" s="75" t="str">
        <f>IF(AND(OR(LEFT(TH!N4270,2)="15",LEFT(TH!O4270,2)="15"),TK!$E$7=TH!F4270),"x","")</f>
        <v/>
      </c>
      <c r="AD4390" s="75" t="str">
        <f>IF(AND(N4390="1521",MONTH(C4390)='BK-NL'!$M$11),"x","")</f>
        <v/>
      </c>
    </row>
    <row r="4391" spans="1:33" ht="16.5" customHeight="1">
      <c r="A4391" s="309" t="str">
        <f>IF(B4391&lt;&gt;"",IF(AND(B4391='IN-TC'!$S$4,OR(TH!N4384="1111",TH!O4384="1111")),TH!D4384,""),"")</f>
        <v/>
      </c>
      <c r="B4391" s="1243">
        <f t="shared" si="1322"/>
        <v>7</v>
      </c>
      <c r="C4391" s="292">
        <f t="shared" si="1321"/>
        <v>42919</v>
      </c>
      <c r="D4391" s="292"/>
      <c r="E4391" s="292">
        <v>42919</v>
      </c>
      <c r="F4391" s="1010" t="s">
        <v>1883</v>
      </c>
      <c r="G4391" s="925"/>
      <c r="H4391" s="311"/>
      <c r="I4391" s="373"/>
      <c r="J4391" s="926"/>
      <c r="K4391" s="373"/>
      <c r="L4391" s="379"/>
      <c r="M4391" s="927">
        <v>1000000</v>
      </c>
      <c r="N4391" s="295" t="s">
        <v>101</v>
      </c>
      <c r="O4391" s="295" t="s">
        <v>63</v>
      </c>
      <c r="P4391" s="75" t="str">
        <f>IF(AND('331-CT'!$E$7=TH!H4271,OR(N4391="331",O4391="331")),"x","")</f>
        <v/>
      </c>
      <c r="Q4391" s="75" t="str">
        <f>IF(AND(B4391='111'!$L$11,OR($N4391=$Q$7,$O4391=$Q$7)),"x","")</f>
        <v/>
      </c>
      <c r="R4391" s="75" t="str">
        <f>IF(AND($N4391=$Q$7,$B4391&lt;'111'!$L$11),"x","")</f>
        <v/>
      </c>
      <c r="S4391" s="75" t="str">
        <f>IF(AND($O4391=$Q$7,$B4391&lt;'111'!$L$11),"x","")</f>
        <v>x</v>
      </c>
      <c r="T4391" s="75" t="str">
        <f>IF(ISERROR(FIND('112'!$M$9,G4391,1)),"",IF((AND(FIND('112'!$M$9,G4391,1)&gt;=1,B4391='112'!$K$9,OR($N4391='112'!$I$6,$O4391='112'!$I$6))),"x",""))</f>
        <v/>
      </c>
      <c r="U4391" s="75" t="str">
        <f>IF(ISERROR(FIND('112'!$M$9,G4391,1)),"",IF((AND(LEFT(G4391,2)=LEFT('112'!$M$9,2),B4391&lt;'112'!$K$9,$N4391='112'!$I$6)),"x",""))</f>
        <v/>
      </c>
      <c r="V4391" s="75" t="str">
        <f>IF(ISERROR(FIND('112'!$M$9,G4391,1)),"",IF((AND(RIGHT(G4391,2)=RIGHT('112'!$M$9,2),B4391&lt;'112'!$K$9,$O4391='112'!$I$6)),"x",""))</f>
        <v/>
      </c>
      <c r="W4391" s="75" t="str">
        <f>IF(AND('341-CT'!$H$9=H4391,OR(LEFT(N4391,3)=$W$7,LEFT(O4391,3)=$W$7)),"x","")</f>
        <v/>
      </c>
      <c r="X4391" s="75" t="str">
        <f>IF(OR(TH!N4271=TH!$X$7,O4391=TH!$X$7),"x","")</f>
        <v/>
      </c>
      <c r="Y4391" s="75" t="str">
        <f>IF(AND(OR(N4391="131",O4391="131"),H4391='131-CT'!$H$9),"x","")</f>
        <v/>
      </c>
      <c r="Z4391" s="75"/>
      <c r="AA4391" s="75" t="str">
        <f>IF(AND(MONTH(E4391)='IN-NX'!$J$5,'IN-NX'!$D$7=D4391),"x","")</f>
        <v/>
      </c>
      <c r="AB4391" s="75" t="str">
        <f>IF(AND(OR(LEFT(TH!N4271,2)="15",LEFT(TH!O4271,2)="15"),LEFT(TH!O4271,3)&lt;&gt;"111",'152-CT'!$J$8=TH!F4271),"x","")</f>
        <v/>
      </c>
      <c r="AC4391" s="75" t="str">
        <f>IF(AND(OR(LEFT(TH!N4271,2)="15",LEFT(TH!O4271,2)="15"),TK!$E$7=TH!F4271),"x","")</f>
        <v/>
      </c>
      <c r="AD4391" s="75" t="str">
        <f>IF(AND(N4391="1521",MONTH(C4391)='BK-NL'!$M$11),"x","")</f>
        <v/>
      </c>
      <c r="AE4391">
        <v>9</v>
      </c>
    </row>
    <row r="4392" spans="1:33" ht="16.5" customHeight="1">
      <c r="A4392" s="309" t="str">
        <f>IF(B4392&lt;&gt;"",IF(AND(B4392='IN-TC'!$S$4,OR(TH!N4385="1111",TH!O4385="1111")),TH!D4385,""),"")</f>
        <v/>
      </c>
      <c r="B4392" s="1243">
        <f t="shared" si="1322"/>
        <v>7</v>
      </c>
      <c r="C4392" s="292">
        <f t="shared" si="1321"/>
        <v>42919</v>
      </c>
      <c r="D4392" s="292"/>
      <c r="E4392" s="292">
        <v>42919</v>
      </c>
      <c r="F4392" s="1010" t="s">
        <v>1895</v>
      </c>
      <c r="G4392" s="925"/>
      <c r="H4392" s="311"/>
      <c r="I4392" s="373"/>
      <c r="J4392" s="926"/>
      <c r="K4392" s="373"/>
      <c r="L4392" s="379"/>
      <c r="M4392" s="927">
        <v>100000</v>
      </c>
      <c r="N4392" s="295" t="s">
        <v>9</v>
      </c>
      <c r="O4392" s="295" t="s">
        <v>63</v>
      </c>
      <c r="P4392" s="75" t="str">
        <f>IF(AND('331-CT'!$E$7=TH!H4272,OR(N4392="331",O4392="331")),"x","")</f>
        <v/>
      </c>
      <c r="Q4392" s="75" t="str">
        <f>IF(AND(B4392='111'!$L$11,OR($N4392=$Q$7,$O4392=$Q$7)),"x","")</f>
        <v/>
      </c>
      <c r="R4392" s="75" t="str">
        <f>IF(AND($N4392=$Q$7,$B4392&lt;'111'!$L$11),"x","")</f>
        <v/>
      </c>
      <c r="S4392" s="75" t="str">
        <f>IF(AND($O4392=$Q$7,$B4392&lt;'111'!$L$11),"x","")</f>
        <v>x</v>
      </c>
      <c r="T4392" s="75" t="str">
        <f>IF(ISERROR(FIND('112'!$M$9,G4392,1)),"",IF((AND(FIND('112'!$M$9,G4392,1)&gt;=1,B4392='112'!$K$9,OR($N4392='112'!$I$6,$O4392='112'!$I$6))),"x",""))</f>
        <v/>
      </c>
      <c r="U4392" s="75" t="str">
        <f>IF(ISERROR(FIND('112'!$M$9,G4392,1)),"",IF((AND(LEFT(G4392,2)=LEFT('112'!$M$9,2),B4392&lt;'112'!$K$9,$N4392='112'!$I$6)),"x",""))</f>
        <v/>
      </c>
      <c r="V4392" s="75" t="str">
        <f>IF(ISERROR(FIND('112'!$M$9,G4392,1)),"",IF((AND(RIGHT(G4392,2)=RIGHT('112'!$M$9,2),B4392&lt;'112'!$K$9,$O4392='112'!$I$6)),"x",""))</f>
        <v/>
      </c>
      <c r="W4392" s="75" t="str">
        <f>IF(AND('341-CT'!$H$9=H4392,OR(LEFT(N4392,3)=$W$7,LEFT(O4392,3)=$W$7)),"x","")</f>
        <v/>
      </c>
      <c r="X4392" s="75" t="str">
        <f>IF(OR(TH!N4272=TH!$X$7,O4392=TH!$X$7),"x","")</f>
        <v/>
      </c>
      <c r="Y4392" s="75" t="str">
        <f>IF(AND(OR(N4392="131",O4392="131"),H4392='131-CT'!$H$9),"x","")</f>
        <v/>
      </c>
      <c r="Z4392" s="75"/>
      <c r="AA4392" s="75" t="str">
        <f>IF(AND(MONTH(E4392)='IN-NX'!$J$5,'IN-NX'!$D$7=D4392),"x","")</f>
        <v/>
      </c>
      <c r="AB4392" s="75" t="str">
        <f>IF(AND(OR(LEFT(TH!N4272,2)="15",LEFT(TH!O4272,2)="15"),LEFT(TH!O4272,3)&lt;&gt;"111",'152-CT'!$J$8=TH!F4272),"x","")</f>
        <v/>
      </c>
      <c r="AC4392" s="75" t="str">
        <f>IF(AND(OR(LEFT(TH!N4272,2)="15",LEFT(TH!O4272,2)="15"),TK!$E$7=TH!F4272),"x","")</f>
        <v/>
      </c>
      <c r="AD4392" s="75" t="str">
        <f>IF(AND(N4392="1521",MONTH(C4392)='BK-NL'!$M$11),"x","")</f>
        <v/>
      </c>
      <c r="AE4392">
        <v>9</v>
      </c>
    </row>
    <row r="4393" spans="1:33" ht="16.5" customHeight="1">
      <c r="A4393" s="309" t="str">
        <f>IF(B4393&lt;&gt;"",IF(AND(B4393='IN-TC'!$S$4,OR(TH!N4386="1111",TH!O4386="1111")),TH!D4386,""),"")</f>
        <v/>
      </c>
      <c r="B4393" s="1243">
        <f t="shared" si="1322"/>
        <v>7</v>
      </c>
      <c r="C4393" s="292">
        <f t="shared" si="1321"/>
        <v>42919</v>
      </c>
      <c r="D4393" s="292"/>
      <c r="E4393" s="292">
        <v>42919</v>
      </c>
      <c r="F4393" s="1010" t="s">
        <v>1883</v>
      </c>
      <c r="G4393" s="925"/>
      <c r="H4393" s="311"/>
      <c r="I4393" s="373"/>
      <c r="J4393" s="926"/>
      <c r="K4393" s="373"/>
      <c r="L4393" s="379"/>
      <c r="M4393" s="927">
        <v>1000000</v>
      </c>
      <c r="N4393" s="295" t="s">
        <v>101</v>
      </c>
      <c r="O4393" s="295" t="s">
        <v>63</v>
      </c>
      <c r="P4393" s="75" t="str">
        <f>IF(AND('331-CT'!$E$7=TH!H4274,OR(N4393="331",O4393="331")),"x","")</f>
        <v/>
      </c>
      <c r="Q4393" s="75" t="str">
        <f>IF(AND(B4393='111'!$L$11,OR($N4393=$Q$7,$O4393=$Q$7)),"x","")</f>
        <v/>
      </c>
      <c r="R4393" s="75" t="str">
        <f>IF(AND($N4393=$Q$7,$B4393&lt;'111'!$L$11),"x","")</f>
        <v/>
      </c>
      <c r="S4393" s="75" t="str">
        <f>IF(AND($O4393=$Q$7,$B4393&lt;'111'!$L$11),"x","")</f>
        <v>x</v>
      </c>
      <c r="T4393" s="75" t="str">
        <f>IF(ISERROR(FIND('112'!$M$9,G4393,1)),"",IF((AND(FIND('112'!$M$9,G4393,1)&gt;=1,B4393='112'!$K$9,OR($N4393='112'!$I$6,$O4393='112'!$I$6))),"x",""))</f>
        <v/>
      </c>
      <c r="U4393" s="75" t="str">
        <f>IF(ISERROR(FIND('112'!$M$9,G4393,1)),"",IF((AND(LEFT(G4393,2)=LEFT('112'!$M$9,2),B4393&lt;'112'!$K$9,$N4393='112'!$I$6)),"x",""))</f>
        <v/>
      </c>
      <c r="V4393" s="75" t="str">
        <f>IF(ISERROR(FIND('112'!$M$9,G4393,1)),"",IF((AND(RIGHT(G4393,2)=RIGHT('112'!$M$9,2),B4393&lt;'112'!$K$9,$O4393='112'!$I$6)),"x",""))</f>
        <v/>
      </c>
      <c r="W4393" s="75" t="str">
        <f>IF(AND('341-CT'!$H$9=H4393,OR(LEFT(N4393,3)=$W$7,LEFT(O4393,3)=$W$7)),"x","")</f>
        <v/>
      </c>
      <c r="X4393" s="75" t="str">
        <f>IF(OR(TH!N4274=TH!$X$7,O4393=TH!$X$7),"x","")</f>
        <v/>
      </c>
      <c r="Y4393" s="75" t="str">
        <f>IF(AND(OR(N4393="131",O4393="131"),H4393='131-CT'!$H$9),"x","")</f>
        <v/>
      </c>
      <c r="Z4393" s="75"/>
      <c r="AA4393" s="75" t="str">
        <f>IF(AND(MONTH(E4393)='IN-NX'!$J$5,'IN-NX'!$D$7=D4393),"x","")</f>
        <v/>
      </c>
      <c r="AB4393" s="75" t="str">
        <f>IF(AND(OR(LEFT(TH!N4274,2)="15",LEFT(TH!O4274,2)="15"),LEFT(TH!O4274,3)&lt;&gt;"111",'152-CT'!$J$8=TH!F4274),"x","")</f>
        <v/>
      </c>
      <c r="AC4393" s="75" t="str">
        <f>IF(AND(OR(LEFT(TH!N4274,2)="15",LEFT(TH!O4274,2)="15"),TK!$E$7=TH!F4274),"x","")</f>
        <v/>
      </c>
      <c r="AD4393" s="75" t="str">
        <f>IF(AND(N4393="1521",MONTH(C4393)='BK-NL'!$M$11),"x","")</f>
        <v/>
      </c>
      <c r="AE4393">
        <v>9</v>
      </c>
    </row>
    <row r="4394" spans="1:33" ht="16.5" customHeight="1">
      <c r="A4394" s="309" t="str">
        <f>IF(B4394&lt;&gt;"",IF(AND(B4394='IN-TC'!$S$4,OR(TH!N4387="1111",TH!O4387="1111")),TH!D4387,""),"")</f>
        <v/>
      </c>
      <c r="B4394" s="1243">
        <f t="shared" si="1322"/>
        <v>7</v>
      </c>
      <c r="C4394" s="292">
        <f t="shared" si="1321"/>
        <v>42919</v>
      </c>
      <c r="D4394" s="292"/>
      <c r="E4394" s="292">
        <v>42919</v>
      </c>
      <c r="F4394" s="1010" t="s">
        <v>1895</v>
      </c>
      <c r="G4394" s="925"/>
      <c r="H4394" s="311"/>
      <c r="I4394" s="373"/>
      <c r="J4394" s="926"/>
      <c r="K4394" s="373"/>
      <c r="L4394" s="379"/>
      <c r="M4394" s="927">
        <v>100000</v>
      </c>
      <c r="N4394" s="295" t="s">
        <v>9</v>
      </c>
      <c r="O4394" s="295" t="s">
        <v>63</v>
      </c>
      <c r="P4394" s="75" t="str">
        <f>IF(AND('331-CT'!$E$7=TH!H4275,OR(N4394="331",O4394="331")),"x","")</f>
        <v/>
      </c>
      <c r="Q4394" s="75" t="str">
        <f>IF(AND(B4394='111'!$L$11,OR($N4394=$Q$7,$O4394=$Q$7)),"x","")</f>
        <v/>
      </c>
      <c r="R4394" s="75" t="str">
        <f>IF(AND($N4394=$Q$7,$B4394&lt;'111'!$L$11),"x","")</f>
        <v/>
      </c>
      <c r="S4394" s="75" t="str">
        <f>IF(AND($O4394=$Q$7,$B4394&lt;'111'!$L$11),"x","")</f>
        <v>x</v>
      </c>
      <c r="T4394" s="75" t="str">
        <f>IF(ISERROR(FIND('112'!$M$9,G4394,1)),"",IF((AND(FIND('112'!$M$9,G4394,1)&gt;=1,B4394='112'!$K$9,OR($N4394='112'!$I$6,$O4394='112'!$I$6))),"x",""))</f>
        <v/>
      </c>
      <c r="U4394" s="75" t="str">
        <f>IF(ISERROR(FIND('112'!$M$9,G4394,1)),"",IF((AND(LEFT(G4394,2)=LEFT('112'!$M$9,2),B4394&lt;'112'!$K$9,$N4394='112'!$I$6)),"x",""))</f>
        <v/>
      </c>
      <c r="V4394" s="75" t="str">
        <f>IF(ISERROR(FIND('112'!$M$9,G4394,1)),"",IF((AND(RIGHT(G4394,2)=RIGHT('112'!$M$9,2),B4394&lt;'112'!$K$9,$O4394='112'!$I$6)),"x",""))</f>
        <v/>
      </c>
      <c r="W4394" s="75" t="str">
        <f>IF(AND('341-CT'!$H$9=H4394,OR(LEFT(N4394,3)=$W$7,LEFT(O4394,3)=$W$7)),"x","")</f>
        <v/>
      </c>
      <c r="X4394" s="75" t="str">
        <f>IF(OR(TH!N4275=TH!$X$7,O4394=TH!$X$7),"x","")</f>
        <v/>
      </c>
      <c r="Y4394" s="75" t="str">
        <f>IF(AND(OR(N4394="131",O4394="131"),H4394='131-CT'!$H$9),"x","")</f>
        <v/>
      </c>
      <c r="Z4394" s="75"/>
      <c r="AA4394" s="75" t="str">
        <f>IF(AND(MONTH(E4394)='IN-NX'!$J$5,'IN-NX'!$D$7=D4394),"x","")</f>
        <v/>
      </c>
      <c r="AB4394" s="75" t="str">
        <f>IF(AND(OR(LEFT(TH!N4275,2)="15",LEFT(TH!O4275,2)="15"),LEFT(TH!O4275,3)&lt;&gt;"111",'152-CT'!$J$8=TH!F4275),"x","")</f>
        <v/>
      </c>
      <c r="AC4394" s="75" t="str">
        <f>IF(AND(OR(LEFT(TH!N4275,2)="15",LEFT(TH!O4275,2)="15"),TK!$E$7=TH!F4275),"x","")</f>
        <v/>
      </c>
      <c r="AD4394" s="75" t="str">
        <f>IF(AND(N4394="1521",MONTH(C4394)='BK-NL'!$M$11),"x","")</f>
        <v/>
      </c>
      <c r="AE4394">
        <v>9</v>
      </c>
    </row>
    <row r="4395" spans="1:33" ht="16.5" customHeight="1">
      <c r="A4395" s="309" t="str">
        <f>IF(B4395&lt;&gt;"",IF(AND(B4395='IN-TC'!$S$4,OR(TH!N4388="1111",TH!O4388="1111")),TH!D4388,""),"")</f>
        <v/>
      </c>
      <c r="B4395" s="1243">
        <f t="shared" si="1322"/>
        <v>7</v>
      </c>
      <c r="C4395" s="292">
        <f t="shared" si="1321"/>
        <v>42919</v>
      </c>
      <c r="D4395" s="59" t="s">
        <v>903</v>
      </c>
      <c r="E4395" s="59">
        <v>42919</v>
      </c>
      <c r="F4395" s="67" t="s">
        <v>2430</v>
      </c>
      <c r="G4395" s="62" t="s">
        <v>585</v>
      </c>
      <c r="H4395" s="311" t="s">
        <v>1642</v>
      </c>
      <c r="I4395" s="375"/>
      <c r="J4395" s="381"/>
      <c r="K4395" s="375">
        <v>12900</v>
      </c>
      <c r="L4395" s="381">
        <v>22720</v>
      </c>
      <c r="M4395" s="927">
        <f>ROUND(L4395*K4395,0)</f>
        <v>293088000</v>
      </c>
      <c r="N4395" s="61" t="s">
        <v>26</v>
      </c>
      <c r="O4395" s="61" t="s">
        <v>536</v>
      </c>
      <c r="P4395" s="75" t="str">
        <f>IF(AND('331-CT'!$E$7=TH!H4790,OR(N4395="331",O4395="331")),"x","")</f>
        <v/>
      </c>
      <c r="Q4395" s="75" t="str">
        <f>IF(AND(B4395='111'!$L$11,OR($N4395=$Q$7,$O4395=$Q$7)),"x","")</f>
        <v/>
      </c>
      <c r="R4395" s="75" t="str">
        <f>IF(AND($N4395=$Q$7,$B4395&lt;'111'!$L$11),"x","")</f>
        <v/>
      </c>
      <c r="S4395" s="75" t="str">
        <f>IF(AND($O4395=$Q$7,$B4395&lt;'111'!$L$11),"x","")</f>
        <v/>
      </c>
      <c r="T4395" s="75" t="str">
        <f>IF(ISERROR(FIND('112'!$M$9,G4395,1)),"",IF((AND(FIND('112'!$M$9,G4395,1)&gt;=1,B4395='112'!$K$9,OR($N4395='112'!$I$6,$O4395='112'!$I$6))),"x",""))</f>
        <v/>
      </c>
      <c r="U4395" s="75" t="str">
        <f>IF(ISERROR(FIND('112'!$M$9,G4395,1)),"",IF((AND(LEFT(G4395,2)=LEFT('112'!$M$9,2),B4395&lt;'112'!$K$9,$N4395='112'!$I$6)),"x",""))</f>
        <v/>
      </c>
      <c r="V4395" s="75" t="str">
        <f>IF(ISERROR(FIND('112'!$M$9,G4395,1)),"",IF((AND(RIGHT(G4395,2)=RIGHT('112'!$M$9,2),B4395&lt;'112'!$K$9,$O4395='112'!$I$6)),"x",""))</f>
        <v/>
      </c>
      <c r="W4395" s="75" t="str">
        <f>IF(AND('341-CT'!$H$9=H4395,OR(LEFT(N4395,3)=$W$7,LEFT(O4395,3)=$W$7)),"x","")</f>
        <v/>
      </c>
      <c r="X4395" s="75" t="str">
        <f>IF(OR(TH!N4790=TH!$X$7,O4395=TH!$X$7),"x","")</f>
        <v/>
      </c>
      <c r="Y4395" s="75" t="str">
        <f>IF(AND(OR(N4395="131",O4395="131"),H4395='131-CT'!$H$9),"x","")</f>
        <v/>
      </c>
      <c r="Z4395" s="75"/>
      <c r="AA4395" s="75" t="str">
        <f>IF(AND(MONTH(E4395)='IN-NX'!$J$5,'IN-NX'!$D$7=D4395),"x","")</f>
        <v/>
      </c>
      <c r="AB4395" s="75" t="str">
        <f>IF(AND(OR(LEFT(TH!N4790,2)="15",LEFT(TH!O4790,2)="15"),LEFT(TH!O4790,3)&lt;&gt;"111",'152-CT'!$J$8=TH!F4790),"x","")</f>
        <v/>
      </c>
      <c r="AC4395" s="75" t="str">
        <f>IF(AND(OR(LEFT(TH!N4790,2)="15",LEFT(TH!O4790,2)="15"),TK!$E$7=TH!F4790),"x","")</f>
        <v/>
      </c>
      <c r="AD4395" s="75" t="str">
        <f>IF(AND(N4395="1521",MONTH(C4395)='BK-NL'!$M$11),"x","")</f>
        <v/>
      </c>
    </row>
    <row r="4396" spans="1:33" ht="16.5" customHeight="1">
      <c r="A4396" s="309" t="str">
        <f>IF(B4396&lt;&gt;"",IF(AND(B4396='IN-TC'!$S$4,OR(TH!N4389="1111",TH!O4389="1111")),TH!D4389,""),"")</f>
        <v/>
      </c>
      <c r="B4396" s="1243">
        <f t="shared" si="1322"/>
        <v>7</v>
      </c>
      <c r="C4396" s="292">
        <f t="shared" si="1321"/>
        <v>42919</v>
      </c>
      <c r="D4396" s="292" t="s">
        <v>843</v>
      </c>
      <c r="E4396" s="292">
        <v>42919</v>
      </c>
      <c r="F4396" s="293" t="s">
        <v>834</v>
      </c>
      <c r="G4396" s="943" t="s">
        <v>585</v>
      </c>
      <c r="H4396" s="67" t="s">
        <v>1023</v>
      </c>
      <c r="I4396" s="373"/>
      <c r="J4396" s="926"/>
      <c r="K4396" s="373"/>
      <c r="L4396" s="379"/>
      <c r="M4396" s="927">
        <v>2500000000</v>
      </c>
      <c r="N4396" s="295" t="s">
        <v>63</v>
      </c>
      <c r="O4396" s="295" t="s">
        <v>26</v>
      </c>
      <c r="P4396" s="75" t="str">
        <f>IF(AND('331-CT'!$E$7=TH!H4788,OR(N4396="331",O4396="331")),"x","")</f>
        <v/>
      </c>
      <c r="Q4396" s="75" t="str">
        <f>IF(AND(B4396='111'!$L$11,OR($N4396=$Q$7,$O4396=$Q$7)),"x","")</f>
        <v/>
      </c>
      <c r="R4396" s="75" t="str">
        <f>IF(AND($N4396=$Q$7,$B4396&lt;'111'!$L$11),"x","")</f>
        <v>x</v>
      </c>
      <c r="S4396" s="75" t="str">
        <f>IF(AND($O4396=$Q$7,$B4396&lt;'111'!$L$11),"x","")</f>
        <v/>
      </c>
      <c r="T4396" s="75" t="str">
        <f>IF(ISERROR(FIND('112'!$M$9,G4396,1)),"",IF((AND(FIND('112'!$M$9,G4396,1)&gt;=1,B4396='112'!$K$9,OR($N4396='112'!$I$6,$O4396='112'!$I$6))),"x",""))</f>
        <v/>
      </c>
      <c r="U4396" s="75" t="str">
        <f>IF(ISERROR(FIND('112'!$M$9,G4396,1)),"",IF((AND(LEFT(G4396,2)=LEFT('112'!$M$9,2),B4396&lt;'112'!$K$9,$N4396='112'!$I$6)),"x",""))</f>
        <v/>
      </c>
      <c r="V4396" s="75" t="str">
        <f>IF(ISERROR(FIND('112'!$M$9,G4396,1)),"",IF((AND(RIGHT(G4396,2)=RIGHT('112'!$M$9,2),B4396&lt;'112'!$K$9,$O4396='112'!$I$6)),"x",""))</f>
        <v/>
      </c>
      <c r="W4396" s="75" t="str">
        <f>IF(AND('341-CT'!$H$9=H4396,OR(LEFT(N4396,3)=$W$7,LEFT(O4396,3)=$W$7)),"x","")</f>
        <v/>
      </c>
      <c r="X4396" s="75" t="str">
        <f>IF(OR(TH!N4788=TH!$X$7,O4396=TH!$X$7),"x","")</f>
        <v/>
      </c>
      <c r="Y4396" s="75" t="str">
        <f>IF(AND(OR(N4396="131",O4396="131"),H4396='131-CT'!$H$9),"x","")</f>
        <v/>
      </c>
      <c r="Z4396" s="75"/>
      <c r="AA4396" s="75" t="str">
        <f>IF(AND(MONTH(E4396)='IN-NX'!$J$5,'IN-NX'!$D$7=D4396),"x","")</f>
        <v/>
      </c>
      <c r="AB4396" s="75" t="str">
        <f>IF(AND(OR(LEFT(TH!N4788,2)="15",LEFT(TH!O4788,2)="15"),LEFT(TH!O4788,3)&lt;&gt;"111",'152-CT'!$J$8=TH!F4788),"x","")</f>
        <v/>
      </c>
      <c r="AC4396" s="75" t="str">
        <f>IF(AND(OR(LEFT(TH!N4788,2)="15",LEFT(TH!O4788,2)="15"),TK!$E$7=TH!F4788),"x","")</f>
        <v/>
      </c>
      <c r="AD4396" s="75" t="str">
        <f>IF(AND(N4396="1521",MONTH(C4396)='BK-NL'!$M$11),"x","")</f>
        <v/>
      </c>
    </row>
    <row r="4397" spans="1:33" ht="16.5" customHeight="1">
      <c r="A4397" s="309" t="str">
        <f>IF(B4397&lt;&gt;"",IF(AND(B4397='IN-TC'!$S$4,OR(TH!N4390="1111",TH!O4390="1111")),TH!D4390,""),"")</f>
        <v/>
      </c>
      <c r="B4397" s="1243">
        <f t="shared" si="1322"/>
        <v>7</v>
      </c>
      <c r="C4397" s="292">
        <f t="shared" si="1321"/>
        <v>42919</v>
      </c>
      <c r="D4397" s="59" t="s">
        <v>902</v>
      </c>
      <c r="E4397" s="59">
        <v>42919</v>
      </c>
      <c r="F4397" s="67" t="s">
        <v>897</v>
      </c>
      <c r="G4397" s="62" t="s">
        <v>585</v>
      </c>
      <c r="H4397" s="294" t="s">
        <v>789</v>
      </c>
      <c r="I4397" s="373"/>
      <c r="J4397" s="379"/>
      <c r="K4397" s="373"/>
      <c r="L4397" s="379"/>
      <c r="M4397" s="60">
        <v>4189938000</v>
      </c>
      <c r="N4397" s="61" t="s">
        <v>8</v>
      </c>
      <c r="O4397" s="61" t="s">
        <v>26</v>
      </c>
      <c r="P4397" s="75" t="str">
        <f>IF(AND('331-CT'!$E$7=TH!H4789,OR(N4397="331",O4397="331")),"x","")</f>
        <v/>
      </c>
      <c r="Q4397" s="75" t="str">
        <f>IF(AND(B4397='111'!$L$11,OR($N4397=$Q$7,$O4397=$Q$7)),"x","")</f>
        <v/>
      </c>
      <c r="R4397" s="75" t="str">
        <f>IF(AND($N4397=$Q$7,$B4397&lt;'111'!$L$11),"x","")</f>
        <v/>
      </c>
      <c r="S4397" s="75" t="str">
        <f>IF(AND($O4397=$Q$7,$B4397&lt;'111'!$L$11),"x","")</f>
        <v/>
      </c>
      <c r="T4397" s="75" t="str">
        <f>IF(ISERROR(FIND('112'!$M$9,G4397,1)),"",IF((AND(FIND('112'!$M$9,G4397,1)&gt;=1,B4397='112'!$K$9,OR($N4397='112'!$I$6,$O4397='112'!$I$6))),"x",""))</f>
        <v/>
      </c>
      <c r="U4397" s="75" t="str">
        <f>IF(ISERROR(FIND('112'!$M$9,G4397,1)),"",IF((AND(LEFT(G4397,2)=LEFT('112'!$M$9,2),B4397&lt;'112'!$K$9,$N4397='112'!$I$6)),"x",""))</f>
        <v/>
      </c>
      <c r="V4397" s="75" t="str">
        <f>IF(ISERROR(FIND('112'!$M$9,G4397,1)),"",IF((AND(RIGHT(G4397,2)=RIGHT('112'!$M$9,2),B4397&lt;'112'!$K$9,$O4397='112'!$I$6)),"x",""))</f>
        <v/>
      </c>
      <c r="W4397" s="75" t="str">
        <f>IF(AND('341-CT'!$H$9=H4397,OR(LEFT(N4397,3)=$W$7,LEFT(O4397,3)=$W$7)),"x","")</f>
        <v/>
      </c>
      <c r="X4397" s="75" t="str">
        <f>IF(OR(TH!N4789=TH!$X$7,O4397=TH!$X$7),"x","")</f>
        <v/>
      </c>
      <c r="Y4397" s="75" t="str">
        <f>IF(AND(OR(N4397="131",O4397="131"),H4397='131-CT'!$H$9),"x","")</f>
        <v/>
      </c>
      <c r="Z4397" s="75"/>
      <c r="AA4397" s="75" t="str">
        <f>IF(AND(MONTH(E4397)='IN-NX'!$J$5,'IN-NX'!$D$7=D4397),"x","")</f>
        <v/>
      </c>
      <c r="AB4397" s="75" t="str">
        <f>IF(AND(OR(LEFT(TH!N4789,2)="15",LEFT(TH!O4789,2)="15"),LEFT(TH!O4789,3)&lt;&gt;"111",'152-CT'!$J$8=TH!F4789),"x","")</f>
        <v/>
      </c>
      <c r="AC4397" s="75" t="str">
        <f>IF(AND(OR(LEFT(TH!N4789,2)="15",LEFT(TH!O4789,2)="15"),TK!$E$7=TH!F4789),"x","")</f>
        <v/>
      </c>
      <c r="AD4397" s="75" t="str">
        <f>IF(AND(N4397="1521",MONTH(C4397)='BK-NL'!$M$11),"x","")</f>
        <v/>
      </c>
    </row>
    <row r="4398" spans="1:33" ht="16.5" customHeight="1">
      <c r="A4398" s="309" t="str">
        <f>IF(B4398&lt;&gt;"",IF(AND(B4398='IN-TC'!$S$4,OR(TH!N4391="1111",TH!O4391="1111")),TH!D4391,""),"")</f>
        <v/>
      </c>
      <c r="B4398" s="1243">
        <f t="shared" si="1322"/>
        <v>7</v>
      </c>
      <c r="C4398" s="292">
        <f t="shared" si="1321"/>
        <v>42919</v>
      </c>
      <c r="D4398" s="59" t="s">
        <v>902</v>
      </c>
      <c r="E4398" s="59">
        <v>42919</v>
      </c>
      <c r="F4398" s="67" t="s">
        <v>1549</v>
      </c>
      <c r="G4398" s="62" t="s">
        <v>747</v>
      </c>
      <c r="H4398" s="67" t="s">
        <v>835</v>
      </c>
      <c r="I4398" s="373"/>
      <c r="J4398" s="379"/>
      <c r="K4398" s="379"/>
      <c r="L4398" s="379"/>
      <c r="M4398" s="379">
        <v>113850</v>
      </c>
      <c r="N4398" s="61" t="s">
        <v>101</v>
      </c>
      <c r="O4398" s="61" t="s">
        <v>26</v>
      </c>
      <c r="P4398" s="75" t="str">
        <f>IF(AND('331-CT'!$E$7=TH!H5260,OR(N4398="331",O4398="331")),"x","")</f>
        <v/>
      </c>
      <c r="Q4398" s="75" t="str">
        <f>IF(AND(B4398='111'!$L$11,OR($N4398=$Q$7,$O4398=$Q$7)),"x","")</f>
        <v/>
      </c>
      <c r="R4398" s="75" t="str">
        <f>IF(AND($N4398=$Q$7,$B4398&lt;'111'!$L$11),"x","")</f>
        <v/>
      </c>
      <c r="S4398" s="75" t="str">
        <f>IF(AND($O4398=$Q$7,$B4398&lt;'111'!$L$11),"x","")</f>
        <v/>
      </c>
      <c r="T4398" s="75" t="str">
        <f>IF(ISERROR(FIND('112'!$M$9,G4398,1)),"",IF((AND(FIND('112'!$M$9,G4398,1)&gt;=1,B4398='112'!$K$9,OR($N4398='112'!$I$6,$O4398='112'!$I$6))),"x",""))</f>
        <v/>
      </c>
      <c r="U4398" s="75" t="str">
        <f>IF(ISERROR(FIND('112'!$M$9,G4398,1)),"",IF((AND(LEFT(G4398,2)=LEFT('112'!$M$9,2),B4398&lt;'112'!$K$9,$N4398='112'!$I$6)),"x",""))</f>
        <v/>
      </c>
      <c r="V4398" s="75" t="str">
        <f>IF(ISERROR(FIND('112'!$M$9,G4398,1)),"",IF((AND(RIGHT(G4398,2)=RIGHT('112'!$M$9,2),B4398&lt;'112'!$K$9,$O4398='112'!$I$6)),"x",""))</f>
        <v/>
      </c>
      <c r="W4398" s="75" t="str">
        <f>IF(AND('341-CT'!$H$9=H4398,OR(LEFT(N4398,3)=$W$7,LEFT(O4398,3)=$W$7)),"x","")</f>
        <v/>
      </c>
      <c r="X4398" s="75" t="str">
        <f>IF(OR(TH!N5260=TH!$X$7,O4398=TH!$X$7),"x","")</f>
        <v/>
      </c>
      <c r="Y4398" s="75" t="str">
        <f>IF(AND(OR(N4398="131",O4398="131"),H4398='131-CT'!$H$9),"x","")</f>
        <v/>
      </c>
      <c r="Z4398" s="75"/>
      <c r="AA4398" s="75" t="str">
        <f>IF(AND(MONTH(E4398)='IN-NX'!$J$5,'IN-NX'!$D$7=D4398),"x","")</f>
        <v/>
      </c>
      <c r="AB4398" s="75" t="str">
        <f>IF(AND(OR(LEFT(TH!N5260,2)="15",LEFT(TH!O5260,2)="15"),LEFT(TH!O5260,3)&lt;&gt;"111",'152-CT'!$J$8=TH!F5260),"x","")</f>
        <v/>
      </c>
      <c r="AC4398" s="75" t="str">
        <f>IF(AND(OR(LEFT(TH!N5260,2)="15",LEFT(TH!O5260,2)="15"),TK!$E$7=TH!F5260),"x","")</f>
        <v/>
      </c>
      <c r="AD4398" s="75" t="str">
        <f>IF(AND(N4398="1521",MONTH(C4398)='BK-NL'!$M$11),"x","")</f>
        <v/>
      </c>
    </row>
    <row r="4399" spans="1:33" ht="16.5" customHeight="1">
      <c r="A4399" s="309" t="str">
        <f>IF(B4399&lt;&gt;"",IF(AND(B4399='IN-TC'!$S$4,OR(TH!N4392="1111",TH!O4392="1111")),TH!D4392,""),"")</f>
        <v/>
      </c>
      <c r="B4399" s="1243">
        <f t="shared" si="1322"/>
        <v>7</v>
      </c>
      <c r="C4399" s="292">
        <f t="shared" si="1321"/>
        <v>42919</v>
      </c>
      <c r="D4399" s="59" t="s">
        <v>902</v>
      </c>
      <c r="E4399" s="59">
        <v>42919</v>
      </c>
      <c r="F4399" s="67" t="s">
        <v>1552</v>
      </c>
      <c r="G4399" s="62" t="s">
        <v>747</v>
      </c>
      <c r="H4399" s="67" t="s">
        <v>835</v>
      </c>
      <c r="I4399" s="373"/>
      <c r="J4399" s="379"/>
      <c r="K4399" s="379"/>
      <c r="L4399" s="379"/>
      <c r="M4399" s="379">
        <v>11385</v>
      </c>
      <c r="N4399" s="61" t="s">
        <v>9</v>
      </c>
      <c r="O4399" s="61" t="s">
        <v>26</v>
      </c>
      <c r="P4399" s="75" t="str">
        <f>IF(AND('331-CT'!$E$7=TH!H5270,OR(N4399="331",O4399="331")),"x","")</f>
        <v/>
      </c>
      <c r="Q4399" s="75" t="str">
        <f>IF(AND(B4399='111'!$L$11,OR($N4399=$Q$7,$O4399=$Q$7)),"x","")</f>
        <v/>
      </c>
      <c r="R4399" s="75" t="str">
        <f>IF(AND($N4399=$Q$7,$B4399&lt;'111'!$L$11),"x","")</f>
        <v/>
      </c>
      <c r="S4399" s="75" t="str">
        <f>IF(AND($O4399=$Q$7,$B4399&lt;'111'!$L$11),"x","")</f>
        <v/>
      </c>
      <c r="T4399" s="75" t="str">
        <f>IF(ISERROR(FIND('112'!$M$9,G4399,1)),"",IF((AND(FIND('112'!$M$9,G4399,1)&gt;=1,B4399='112'!$K$9,OR($N4399='112'!$I$6,$O4399='112'!$I$6))),"x",""))</f>
        <v/>
      </c>
      <c r="U4399" s="75" t="str">
        <f>IF(ISERROR(FIND('112'!$M$9,G4399,1)),"",IF((AND(LEFT(G4399,2)=LEFT('112'!$M$9,2),B4399&lt;'112'!$K$9,$N4399='112'!$I$6)),"x",""))</f>
        <v/>
      </c>
      <c r="V4399" s="75" t="str">
        <f>IF(ISERROR(FIND('112'!$M$9,G4399,1)),"",IF((AND(RIGHT(G4399,2)=RIGHT('112'!$M$9,2),B4399&lt;'112'!$K$9,$O4399='112'!$I$6)),"x",""))</f>
        <v/>
      </c>
      <c r="W4399" s="75" t="str">
        <f>IF(AND('341-CT'!$H$9=H4399,OR(LEFT(N4399,3)=$W$7,LEFT(O4399,3)=$W$7)),"x","")</f>
        <v/>
      </c>
      <c r="X4399" s="75" t="str">
        <f>IF(OR(TH!N5270=TH!$X$7,O4399=TH!$X$7),"x","")</f>
        <v/>
      </c>
      <c r="Y4399" s="75" t="str">
        <f>IF(AND(OR(N4399="131",O4399="131"),H4399='131-CT'!$H$9),"x","")</f>
        <v/>
      </c>
      <c r="Z4399" s="75"/>
      <c r="AA4399" s="75" t="str">
        <f>IF(AND(MONTH(E4399)='IN-NX'!$J$5,'IN-NX'!$D$7=D4399),"x","")</f>
        <v/>
      </c>
      <c r="AB4399" s="75" t="str">
        <f>IF(AND(OR(LEFT(TH!N5270,2)="15",LEFT(TH!O5270,2)="15"),LEFT(TH!O5270,3)&lt;&gt;"111",'152-CT'!$J$8=TH!F5270),"x","")</f>
        <v/>
      </c>
      <c r="AC4399" s="75" t="str">
        <f>IF(AND(OR(LEFT(TH!N5270,2)="15",LEFT(TH!O5270,2)="15"),TK!$E$7=TH!F5270),"x","")</f>
        <v/>
      </c>
      <c r="AD4399" s="75" t="str">
        <f>IF(AND(N4399="1521",MONTH(C4399)='BK-NL'!$M$11),"x","")</f>
        <v/>
      </c>
      <c r="AE4399">
        <v>7</v>
      </c>
    </row>
    <row r="4400" spans="1:33" ht="16.5" customHeight="1">
      <c r="A4400" s="309" t="str">
        <f>IF(B4400&lt;&gt;"",IF(AND(B4400='IN-TC'!$S$4,OR(TH!N4393="1111",TH!O4393="1111")),TH!D4393,""),"")</f>
        <v/>
      </c>
      <c r="B4400" s="1243">
        <f t="shared" si="1322"/>
        <v>7</v>
      </c>
      <c r="C4400" s="292">
        <f t="shared" si="1321"/>
        <v>42919</v>
      </c>
      <c r="D4400" s="59" t="s">
        <v>902</v>
      </c>
      <c r="E4400" s="59">
        <v>42919</v>
      </c>
      <c r="F4400" s="67" t="s">
        <v>1549</v>
      </c>
      <c r="G4400" s="62" t="s">
        <v>747</v>
      </c>
      <c r="H4400" s="67" t="s">
        <v>835</v>
      </c>
      <c r="I4400" s="373"/>
      <c r="J4400" s="379"/>
      <c r="K4400" s="379"/>
      <c r="L4400" s="379"/>
      <c r="M4400" s="379">
        <v>758241</v>
      </c>
      <c r="N4400" s="61" t="s">
        <v>101</v>
      </c>
      <c r="O4400" s="61" t="s">
        <v>26</v>
      </c>
      <c r="P4400" s="75" t="str">
        <f>IF(AND('331-CT'!$E$7=TH!H5271,OR(N4400="331",O4400="331")),"x","")</f>
        <v/>
      </c>
      <c r="Q4400" s="75" t="str">
        <f>IF(AND(B4400='111'!$L$11,OR($N4400=$Q$7,$O4400=$Q$7)),"x","")</f>
        <v/>
      </c>
      <c r="R4400" s="75" t="str">
        <f>IF(AND($N4400=$Q$7,$B4400&lt;'111'!$L$11),"x","")</f>
        <v/>
      </c>
      <c r="S4400" s="75" t="str">
        <f>IF(AND($O4400=$Q$7,$B4400&lt;'111'!$L$11),"x","")</f>
        <v/>
      </c>
      <c r="T4400" s="75" t="str">
        <f>IF(ISERROR(FIND('112'!$M$9,G4400,1)),"",IF((AND(FIND('112'!$M$9,G4400,1)&gt;=1,B4400='112'!$K$9,OR($N4400='112'!$I$6,$O4400='112'!$I$6))),"x",""))</f>
        <v/>
      </c>
      <c r="U4400" s="75" t="str">
        <f>IF(ISERROR(FIND('112'!$M$9,G4400,1)),"",IF((AND(LEFT(G4400,2)=LEFT('112'!$M$9,2),B4400&lt;'112'!$K$9,$N4400='112'!$I$6)),"x",""))</f>
        <v/>
      </c>
      <c r="V4400" s="75" t="str">
        <f>IF(ISERROR(FIND('112'!$M$9,G4400,1)),"",IF((AND(RIGHT(G4400,2)=RIGHT('112'!$M$9,2),B4400&lt;'112'!$K$9,$O4400='112'!$I$6)),"x",""))</f>
        <v/>
      </c>
      <c r="W4400" s="75" t="str">
        <f>IF(AND('341-CT'!$H$9=H4400,OR(LEFT(N4400,3)=$W$7,LEFT(O4400,3)=$W$7)),"x","")</f>
        <v/>
      </c>
      <c r="X4400" s="75" t="str">
        <f>IF(OR(TH!N5271=TH!$X$7,O4400=TH!$X$7),"x","")</f>
        <v/>
      </c>
      <c r="Y4400" s="75" t="str">
        <f>IF(AND(OR(N4400="131",O4400="131"),H4400='131-CT'!$H$9),"x","")</f>
        <v/>
      </c>
      <c r="Z4400" s="75"/>
      <c r="AA4400" s="75" t="str">
        <f>IF(AND(MONTH(E4400)='IN-NX'!$J$5,'IN-NX'!$D$7=D4400),"x","")</f>
        <v/>
      </c>
      <c r="AB4400" s="75" t="str">
        <f>IF(AND(OR(LEFT(TH!N5271,2)="15",LEFT(TH!O5271,2)="15"),LEFT(TH!O5271,3)&lt;&gt;"111",'152-CT'!$J$8=TH!F5271),"x","")</f>
        <v/>
      </c>
      <c r="AC4400" s="75" t="str">
        <f>IF(AND(OR(LEFT(TH!N5271,2)="15",LEFT(TH!O5271,2)="15"),TK!$E$7=TH!F5271),"x","")</f>
        <v/>
      </c>
      <c r="AD4400" s="75" t="str">
        <f>IF(AND(N4400="1521",MONTH(C4400)='BK-NL'!$M$11),"x","")</f>
        <v/>
      </c>
    </row>
    <row r="4401" spans="1:33" ht="16.5" customHeight="1">
      <c r="A4401" s="309" t="str">
        <f>IF(B4401&lt;&gt;"",IF(AND(B4401='IN-TC'!$S$4,OR(TH!N4394="1111",TH!O4394="1111")),TH!D4394,""),"")</f>
        <v/>
      </c>
      <c r="B4401" s="1243">
        <f t="shared" si="1322"/>
        <v>7</v>
      </c>
      <c r="C4401" s="292">
        <f t="shared" si="1321"/>
        <v>42919</v>
      </c>
      <c r="D4401" s="59" t="s">
        <v>902</v>
      </c>
      <c r="E4401" s="59">
        <v>42919</v>
      </c>
      <c r="F4401" s="67" t="s">
        <v>1552</v>
      </c>
      <c r="G4401" s="62" t="s">
        <v>747</v>
      </c>
      <c r="H4401" s="67" t="s">
        <v>835</v>
      </c>
      <c r="I4401" s="373"/>
      <c r="J4401" s="379"/>
      <c r="K4401" s="379"/>
      <c r="L4401" s="379"/>
      <c r="M4401" s="379">
        <v>75824</v>
      </c>
      <c r="N4401" s="61" t="s">
        <v>9</v>
      </c>
      <c r="O4401" s="61" t="s">
        <v>26</v>
      </c>
      <c r="P4401" s="75" t="str">
        <f>IF(AND('331-CT'!$E$7=TH!H5272,OR(N4401="331",O4401="331")),"x","")</f>
        <v/>
      </c>
      <c r="Q4401" s="75" t="str">
        <f>IF(AND(B4401='111'!$L$11,OR($N4401=$Q$7,$O4401=$Q$7)),"x","")</f>
        <v/>
      </c>
      <c r="R4401" s="75" t="str">
        <f>IF(AND($N4401=$Q$7,$B4401&lt;'111'!$L$11),"x","")</f>
        <v/>
      </c>
      <c r="S4401" s="75" t="str">
        <f>IF(AND($O4401=$Q$7,$B4401&lt;'111'!$L$11),"x","")</f>
        <v/>
      </c>
      <c r="T4401" s="75" t="str">
        <f>IF(ISERROR(FIND('112'!$M$9,G4401,1)),"",IF((AND(FIND('112'!$M$9,G4401,1)&gt;=1,B4401='112'!$K$9,OR($N4401='112'!$I$6,$O4401='112'!$I$6))),"x",""))</f>
        <v/>
      </c>
      <c r="U4401" s="75" t="str">
        <f>IF(ISERROR(FIND('112'!$M$9,G4401,1)),"",IF((AND(LEFT(G4401,2)=LEFT('112'!$M$9,2),B4401&lt;'112'!$K$9,$N4401='112'!$I$6)),"x",""))</f>
        <v/>
      </c>
      <c r="V4401" s="75" t="str">
        <f>IF(ISERROR(FIND('112'!$M$9,G4401,1)),"",IF((AND(RIGHT(G4401,2)=RIGHT('112'!$M$9,2),B4401&lt;'112'!$K$9,$O4401='112'!$I$6)),"x",""))</f>
        <v/>
      </c>
      <c r="W4401" s="75" t="str">
        <f>IF(AND('341-CT'!$H$9=H4401,OR(LEFT(N4401,3)=$W$7,LEFT(O4401,3)=$W$7)),"x","")</f>
        <v/>
      </c>
      <c r="X4401" s="75" t="str">
        <f>IF(OR(TH!N5272=TH!$X$7,O4401=TH!$X$7),"x","")</f>
        <v/>
      </c>
      <c r="Y4401" s="75" t="str">
        <f>IF(AND(OR(N4401="131",O4401="131"),H4401='131-CT'!$H$9),"x","")</f>
        <v/>
      </c>
      <c r="Z4401" s="75"/>
      <c r="AA4401" s="75" t="str">
        <f>IF(AND(MONTH(E4401)='IN-NX'!$J$5,'IN-NX'!$D$7=D4401),"x","")</f>
        <v/>
      </c>
      <c r="AB4401" s="75" t="str">
        <f>IF(AND(OR(LEFT(TH!N5272,2)="15",LEFT(TH!O5272,2)="15"),LEFT(TH!O5272,3)&lt;&gt;"111",'152-CT'!$J$8=TH!F5272),"x","")</f>
        <v/>
      </c>
      <c r="AC4401" s="75" t="str">
        <f>IF(AND(OR(LEFT(TH!N5272,2)="15",LEFT(TH!O5272,2)="15"),TK!$E$7=TH!F5272),"x","")</f>
        <v/>
      </c>
      <c r="AD4401" s="75" t="str">
        <f>IF(AND(N4401="1521",MONTH(C4401)='BK-NL'!$M$11),"x","")</f>
        <v/>
      </c>
      <c r="AE4401">
        <v>7</v>
      </c>
    </row>
    <row r="4402" spans="1:33" ht="16.5" customHeight="1">
      <c r="A4402" s="309" t="str">
        <f>IF(B4402&lt;&gt;"",IF(AND(B4402='IN-TC'!$S$4,OR(TH!N4395="1111",TH!O4395="1111")),TH!D4395,""),"")</f>
        <v/>
      </c>
      <c r="B4402" s="1243">
        <f t="shared" si="1322"/>
        <v>7</v>
      </c>
      <c r="C4402" s="292">
        <f t="shared" si="1321"/>
        <v>42919</v>
      </c>
      <c r="D4402" s="59" t="s">
        <v>902</v>
      </c>
      <c r="E4402" s="59">
        <v>42919</v>
      </c>
      <c r="F4402" s="907" t="s">
        <v>1027</v>
      </c>
      <c r="G4402" s="62" t="s">
        <v>747</v>
      </c>
      <c r="H4402" s="67" t="s">
        <v>759</v>
      </c>
      <c r="I4402" s="373"/>
      <c r="J4402" s="379"/>
      <c r="K4402" s="379"/>
      <c r="L4402" s="379"/>
      <c r="M4402" s="379">
        <v>2504700</v>
      </c>
      <c r="N4402" s="61" t="s">
        <v>101</v>
      </c>
      <c r="O4402" s="61" t="s">
        <v>26</v>
      </c>
      <c r="P4402" s="75" t="str">
        <f>IF(AND('331-CT'!$E$7=TH!H5273,OR(N4402="331",O4402="331")),"x","")</f>
        <v/>
      </c>
      <c r="Q4402" s="75" t="str">
        <f>IF(AND(B4402='111'!$L$11,OR($N4402=$Q$7,$O4402=$Q$7)),"x","")</f>
        <v/>
      </c>
      <c r="R4402" s="75" t="str">
        <f>IF(AND($N4402=$Q$7,$B4402&lt;'111'!$L$11),"x","")</f>
        <v/>
      </c>
      <c r="S4402" s="75" t="str">
        <f>IF(AND($O4402=$Q$7,$B4402&lt;'111'!$L$11),"x","")</f>
        <v/>
      </c>
      <c r="T4402" s="75" t="str">
        <f>IF(ISERROR(FIND('112'!$M$9,G4402,1)),"",IF((AND(FIND('112'!$M$9,G4402,1)&gt;=1,B4402='112'!$K$9,OR($N4402='112'!$I$6,$O4402='112'!$I$6))),"x",""))</f>
        <v/>
      </c>
      <c r="U4402" s="75" t="str">
        <f>IF(ISERROR(FIND('112'!$M$9,G4402,1)),"",IF((AND(LEFT(G4402,2)=LEFT('112'!$M$9,2),B4402&lt;'112'!$K$9,$N4402='112'!$I$6)),"x",""))</f>
        <v/>
      </c>
      <c r="V4402" s="75" t="str">
        <f>IF(ISERROR(FIND('112'!$M$9,G4402,1)),"",IF((AND(RIGHT(G4402,2)=RIGHT('112'!$M$9,2),B4402&lt;'112'!$K$9,$O4402='112'!$I$6)),"x",""))</f>
        <v/>
      </c>
      <c r="W4402" s="75" t="str">
        <f>IF(AND('341-CT'!$H$9=H4402,OR(LEFT(N4402,3)=$W$7,LEFT(O4402,3)=$W$7)),"x","")</f>
        <v/>
      </c>
      <c r="X4402" s="75" t="str">
        <f>IF(OR(TH!N5273=TH!$X$7,O4402=TH!$X$7),"x","")</f>
        <v/>
      </c>
      <c r="Y4402" s="75" t="str">
        <f>IF(AND(OR(N4402="131",O4402="131"),H4402='131-CT'!$H$9),"x","")</f>
        <v/>
      </c>
      <c r="Z4402" s="75"/>
      <c r="AA4402" s="75" t="str">
        <f>IF(AND(MONTH(E4402)='IN-NX'!$J$5,'IN-NX'!$D$7=D4402),"x","")</f>
        <v/>
      </c>
      <c r="AB4402" s="75" t="str">
        <f>IF(AND(OR(LEFT(TH!N5273,2)="15",LEFT(TH!O5273,2)="15"),LEFT(TH!O5273,3)&lt;&gt;"111",'152-CT'!$J$8=TH!F5273),"x","")</f>
        <v/>
      </c>
      <c r="AC4402" s="75" t="str">
        <f>IF(AND(OR(LEFT(TH!N5273,2)="15",LEFT(TH!O5273,2)="15"),TK!$E$7=TH!F5273),"x","")</f>
        <v/>
      </c>
      <c r="AD4402" s="75" t="str">
        <f>IF(AND(N4402="1521",MONTH(C4402)='BK-NL'!$M$11),"x","")</f>
        <v/>
      </c>
    </row>
    <row r="4403" spans="1:33" ht="16.5" customHeight="1">
      <c r="A4403" s="309" t="str">
        <f>IF(B4403&lt;&gt;"",IF(AND(B4403='IN-TC'!$S$4,OR(TH!N4396="1111",TH!O4396="1111")),TH!D4396,""),"")</f>
        <v/>
      </c>
      <c r="B4403" s="1243">
        <f t="shared" si="1322"/>
        <v>7</v>
      </c>
      <c r="C4403" s="292">
        <f t="shared" ref="C4403:C4466" si="1323">E4403</f>
        <v>42919</v>
      </c>
      <c r="D4403" s="292" t="s">
        <v>844</v>
      </c>
      <c r="E4403" s="292">
        <v>42919</v>
      </c>
      <c r="F4403" s="293" t="s">
        <v>834</v>
      </c>
      <c r="G4403" s="943" t="s">
        <v>747</v>
      </c>
      <c r="H4403" s="67" t="s">
        <v>1023</v>
      </c>
      <c r="I4403" s="373"/>
      <c r="J4403" s="926"/>
      <c r="K4403" s="373"/>
      <c r="L4403" s="379"/>
      <c r="M4403" s="927">
        <v>3680000000</v>
      </c>
      <c r="N4403" s="295" t="s">
        <v>63</v>
      </c>
      <c r="O4403" s="295" t="s">
        <v>26</v>
      </c>
      <c r="P4403" s="75" t="str">
        <f>IF(AND('331-CT'!$E$7=TH!H5274,OR(N4403="331",O4403="331")),"x","")</f>
        <v/>
      </c>
      <c r="Q4403" s="75" t="str">
        <f>IF(AND(B4403='111'!$L$11,OR($N4403=$Q$7,$O4403=$Q$7)),"x","")</f>
        <v/>
      </c>
      <c r="R4403" s="75" t="str">
        <f>IF(AND($N4403=$Q$7,$B4403&lt;'111'!$L$11),"x","")</f>
        <v>x</v>
      </c>
      <c r="S4403" s="75" t="str">
        <f>IF(AND($O4403=$Q$7,$B4403&lt;'111'!$L$11),"x","")</f>
        <v/>
      </c>
      <c r="T4403" s="75" t="str">
        <f>IF(ISERROR(FIND('112'!$M$9,G4403,1)),"",IF((AND(FIND('112'!$M$9,G4403,1)&gt;=1,B4403='112'!$K$9,OR($N4403='112'!$I$6,$O4403='112'!$I$6))),"x",""))</f>
        <v/>
      </c>
      <c r="U4403" s="75" t="str">
        <f>IF(ISERROR(FIND('112'!$M$9,G4403,1)),"",IF((AND(LEFT(G4403,2)=LEFT('112'!$M$9,2),B4403&lt;'112'!$K$9,$N4403='112'!$I$6)),"x",""))</f>
        <v/>
      </c>
      <c r="V4403" s="75" t="str">
        <f>IF(ISERROR(FIND('112'!$M$9,G4403,1)),"",IF((AND(RIGHT(G4403,2)=RIGHT('112'!$M$9,2),B4403&lt;'112'!$K$9,$O4403='112'!$I$6)),"x",""))</f>
        <v/>
      </c>
      <c r="W4403" s="75" t="str">
        <f>IF(AND('341-CT'!$H$9=H4403,OR(LEFT(N4403,3)=$W$7,LEFT(O4403,3)=$W$7)),"x","")</f>
        <v/>
      </c>
      <c r="X4403" s="75" t="str">
        <f>IF(OR(TH!N5274=TH!$X$7,O4403=TH!$X$7),"x","")</f>
        <v/>
      </c>
      <c r="Y4403" s="75" t="str">
        <f>IF(AND(OR(N4403="131",O4403="131"),H4403='131-CT'!$H$9),"x","")</f>
        <v/>
      </c>
      <c r="Z4403" s="75"/>
      <c r="AA4403" s="75" t="str">
        <f>IF(AND(MONTH(E4403)='IN-NX'!$J$5,'IN-NX'!$D$7=D4403),"x","")</f>
        <v/>
      </c>
      <c r="AB4403" s="75" t="str">
        <f>IF(AND(OR(LEFT(TH!N5274,2)="15",LEFT(TH!O5274,2)="15"),LEFT(TH!O5274,3)&lt;&gt;"111",'152-CT'!$J$8=TH!F5274),"x","")</f>
        <v/>
      </c>
      <c r="AC4403" s="75" t="str">
        <f>IF(AND(OR(LEFT(TH!N5274,2)="15",LEFT(TH!O5274,2)="15"),TK!$E$7=TH!F5274),"x","")</f>
        <v/>
      </c>
      <c r="AD4403" s="75" t="str">
        <f>IF(AND(N4403="1521",MONTH(C4403)='BK-NL'!$M$11),"x","")</f>
        <v/>
      </c>
    </row>
    <row r="4404" spans="1:33" ht="16.5" customHeight="1">
      <c r="A4404" s="309" t="str">
        <f>IF(B4404&lt;&gt;"",IF(AND(B4404='IN-TC'!$S$4,OR(TH!N4397="1111",TH!O4397="1111")),TH!D4397,""),"")</f>
        <v/>
      </c>
      <c r="B4404" s="1243">
        <f t="shared" si="1322"/>
        <v>7</v>
      </c>
      <c r="C4404" s="292">
        <f t="shared" si="1323"/>
        <v>42920</v>
      </c>
      <c r="D4404" s="292"/>
      <c r="E4404" s="292">
        <v>42920</v>
      </c>
      <c r="F4404" s="67" t="s">
        <v>881</v>
      </c>
      <c r="G4404" s="925" t="s">
        <v>1816</v>
      </c>
      <c r="H4404" s="294" t="s">
        <v>1817</v>
      </c>
      <c r="I4404" s="373"/>
      <c r="J4404" s="926"/>
      <c r="K4404" s="373"/>
      <c r="L4404" s="379"/>
      <c r="M4404" s="927">
        <v>300000</v>
      </c>
      <c r="N4404" s="295" t="s">
        <v>101</v>
      </c>
      <c r="O4404" s="295" t="s">
        <v>63</v>
      </c>
      <c r="P4404" s="75" t="str">
        <f>IF(AND('331-CT'!$E$7=TH!H3743,OR(N4404="331",O4404="331")),"x","")</f>
        <v/>
      </c>
      <c r="Q4404" s="75" t="str">
        <f>IF(AND(B4404='111'!$L$11,OR($N4404=$Q$7,$O4404=$Q$7)),"x","")</f>
        <v/>
      </c>
      <c r="R4404" s="75" t="str">
        <f>IF(AND($N4404=$Q$7,$B4404&lt;'111'!$L$11),"x","")</f>
        <v/>
      </c>
      <c r="S4404" s="75" t="str">
        <f>IF(AND($O4404=$Q$7,$B4404&lt;'111'!$L$11),"x","")</f>
        <v>x</v>
      </c>
      <c r="T4404" s="75" t="str">
        <f>IF(ISERROR(FIND('112'!$M$9,G4404,1)),"",IF((AND(FIND('112'!$M$9,G4404,1)&gt;=1,B4404='112'!$K$9,OR($N4404='112'!$I$6,$O4404='112'!$I$6))),"x",""))</f>
        <v/>
      </c>
      <c r="U4404" s="75" t="str">
        <f>IF(ISERROR(FIND('112'!$M$9,G4404,1)),"",IF((AND(LEFT(G4404,2)=LEFT('112'!$M$9,2),B4404&lt;'112'!$K$9,$N4404='112'!$I$6)),"x",""))</f>
        <v/>
      </c>
      <c r="V4404" s="75" t="str">
        <f>IF(ISERROR(FIND('112'!$M$9,G4404,1)),"",IF((AND(RIGHT(G4404,2)=RIGHT('112'!$M$9,2),B4404&lt;'112'!$K$9,$O4404='112'!$I$6)),"x",""))</f>
        <v/>
      </c>
      <c r="W4404" s="75" t="str">
        <f>IF(AND('341-CT'!$H$9=H4404,OR(LEFT(N4404,3)=$W$7,LEFT(O4404,3)=$W$7)),"x","")</f>
        <v/>
      </c>
      <c r="X4404" s="75" t="str">
        <f>IF(OR(TH!N3743=TH!$X$7,O4404=TH!$X$7),"x","")</f>
        <v/>
      </c>
      <c r="Y4404" s="75" t="str">
        <f>IF(AND(OR(N4404="131",O4404="131"),H4404='131-CT'!$H$9),"x","")</f>
        <v/>
      </c>
      <c r="Z4404" s="75"/>
      <c r="AA4404" s="75" t="str">
        <f>IF(AND(MONTH(E4404)='IN-NX'!$J$5,'IN-NX'!$D$7=D4404),"x","")</f>
        <v/>
      </c>
      <c r="AB4404" s="75" t="str">
        <f>IF(AND(OR(LEFT(TH!N3743,2)="15",LEFT(TH!O3743,2)="15"),LEFT(TH!O3743,3)&lt;&gt;"111",'152-CT'!$J$8=TH!F3743),"x","")</f>
        <v/>
      </c>
      <c r="AC4404" s="75" t="str">
        <f>IF(AND(OR(LEFT(TH!N3743,2)="15",LEFT(TH!O3743,2)="15"),TK!$E$7=TH!F3743),"x","")</f>
        <v/>
      </c>
      <c r="AD4404" s="75" t="str">
        <f>IF(AND(N4404="1521",MONTH(C4404)='BK-NL'!$M$11),"x","")</f>
        <v/>
      </c>
    </row>
    <row r="4405" spans="1:33" ht="16.5" customHeight="1">
      <c r="A4405" s="309" t="str">
        <f>IF(B4405&lt;&gt;"",IF(AND(B4405='IN-TC'!$S$4,OR(TH!N4398="1111",TH!O4398="1111")),TH!D4398,""),"")</f>
        <v/>
      </c>
      <c r="B4405" s="1243">
        <f t="shared" si="1322"/>
        <v>7</v>
      </c>
      <c r="C4405" s="292">
        <f t="shared" si="1323"/>
        <v>42920</v>
      </c>
      <c r="D4405" s="292"/>
      <c r="E4405" s="292">
        <v>42920</v>
      </c>
      <c r="F4405" s="67" t="s">
        <v>882</v>
      </c>
      <c r="G4405" s="925" t="s">
        <v>1816</v>
      </c>
      <c r="H4405" s="294" t="s">
        <v>1817</v>
      </c>
      <c r="I4405" s="373"/>
      <c r="J4405" s="926"/>
      <c r="K4405" s="373"/>
      <c r="L4405" s="379"/>
      <c r="M4405" s="927">
        <v>15000</v>
      </c>
      <c r="N4405" s="295" t="s">
        <v>9</v>
      </c>
      <c r="O4405" s="295" t="s">
        <v>63</v>
      </c>
      <c r="P4405" s="75" t="str">
        <f>IF(AND('331-CT'!$E$7=TH!H3744,OR(N4405="331",O4405="331")),"x","")</f>
        <v/>
      </c>
      <c r="Q4405" s="75" t="str">
        <f>IF(AND(B4405='111'!$L$11,OR($N4405=$Q$7,$O4405=$Q$7)),"x","")</f>
        <v/>
      </c>
      <c r="R4405" s="75" t="str">
        <f>IF(AND($N4405=$Q$7,$B4405&lt;'111'!$L$11),"x","")</f>
        <v/>
      </c>
      <c r="S4405" s="75" t="str">
        <f>IF(AND($O4405=$Q$7,$B4405&lt;'111'!$L$11),"x","")</f>
        <v>x</v>
      </c>
      <c r="T4405" s="75" t="str">
        <f>IF(ISERROR(FIND('112'!$M$9,G4405,1)),"",IF((AND(FIND('112'!$M$9,G4405,1)&gt;=1,B4405='112'!$K$9,OR($N4405='112'!$I$6,$O4405='112'!$I$6))),"x",""))</f>
        <v/>
      </c>
      <c r="U4405" s="75" t="str">
        <f>IF(ISERROR(FIND('112'!$M$9,G4405,1)),"",IF((AND(LEFT(G4405,2)=LEFT('112'!$M$9,2),B4405&lt;'112'!$K$9,$N4405='112'!$I$6)),"x",""))</f>
        <v/>
      </c>
      <c r="V4405" s="75" t="str">
        <f>IF(ISERROR(FIND('112'!$M$9,G4405,1)),"",IF((AND(RIGHT(G4405,2)=RIGHT('112'!$M$9,2),B4405&lt;'112'!$K$9,$O4405='112'!$I$6)),"x",""))</f>
        <v/>
      </c>
      <c r="W4405" s="75" t="str">
        <f>IF(AND('341-CT'!$H$9=H4405,OR(LEFT(N4405,3)=$W$7,LEFT(O4405,3)=$W$7)),"x","")</f>
        <v/>
      </c>
      <c r="X4405" s="75" t="str">
        <f>IF(OR(TH!N3744=TH!$X$7,O4405=TH!$X$7),"x","")</f>
        <v/>
      </c>
      <c r="Y4405" s="75" t="str">
        <f>IF(AND(OR(N4405="131",O4405="131"),H4405='131-CT'!$H$9),"x","")</f>
        <v/>
      </c>
      <c r="Z4405" s="75"/>
      <c r="AA4405" s="75" t="str">
        <f>IF(AND(MONTH(E4405)='IN-NX'!$J$5,'IN-NX'!$D$7=D4405),"x","")</f>
        <v/>
      </c>
      <c r="AB4405" s="75" t="str">
        <f>IF(AND(OR(LEFT(TH!N3744,2)="15",LEFT(TH!O3744,2)="15"),LEFT(TH!O3744,3)&lt;&gt;"111",'152-CT'!$J$8=TH!F3744),"x","")</f>
        <v/>
      </c>
      <c r="AC4405" s="75" t="str">
        <f>IF(AND(OR(LEFT(TH!N3744,2)="15",LEFT(TH!O3744,2)="15"),TK!$E$7=TH!F3744),"x","")</f>
        <v/>
      </c>
      <c r="AD4405" s="75" t="str">
        <f>IF(AND(N4405="1521",MONTH(C4405)='BK-NL'!$M$11),"x","")</f>
        <v/>
      </c>
      <c r="AE4405">
        <v>7</v>
      </c>
    </row>
    <row r="4406" spans="1:33" ht="16.5" customHeight="1">
      <c r="A4406" s="309" t="str">
        <f>IF(B4406&lt;&gt;"",IF(AND(B4406='IN-TC'!$S$4,OR(TH!N4399="1111",TH!O4399="1111")),TH!D4399,""),"")</f>
        <v/>
      </c>
      <c r="B4406" s="1243">
        <f t="shared" si="1322"/>
        <v>7</v>
      </c>
      <c r="C4406" s="292">
        <f t="shared" si="1323"/>
        <v>42920</v>
      </c>
      <c r="D4406" s="292" t="s">
        <v>846</v>
      </c>
      <c r="E4406" s="292">
        <v>42920</v>
      </c>
      <c r="F4406" s="293" t="s">
        <v>834</v>
      </c>
      <c r="G4406" s="943" t="s">
        <v>585</v>
      </c>
      <c r="H4406" s="67" t="s">
        <v>1023</v>
      </c>
      <c r="I4406" s="373"/>
      <c r="J4406" s="926"/>
      <c r="K4406" s="373"/>
      <c r="L4406" s="379"/>
      <c r="M4406" s="927">
        <v>430000000</v>
      </c>
      <c r="N4406" s="295" t="s">
        <v>63</v>
      </c>
      <c r="O4406" s="295" t="s">
        <v>26</v>
      </c>
      <c r="P4406" s="75" t="str">
        <f>IF(AND('331-CT'!$E$7=TH!H4796,OR(N4406="331",O4406="331")),"x","")</f>
        <v/>
      </c>
      <c r="Q4406" s="75" t="str">
        <f>IF(AND(B4406='111'!$L$11,OR($N4406=$Q$7,$O4406=$Q$7)),"x","")</f>
        <v/>
      </c>
      <c r="R4406" s="75" t="str">
        <f>IF(AND($N4406=$Q$7,$B4406&lt;'111'!$L$11),"x","")</f>
        <v>x</v>
      </c>
      <c r="S4406" s="75" t="str">
        <f>IF(AND($O4406=$Q$7,$B4406&lt;'111'!$L$11),"x","")</f>
        <v/>
      </c>
      <c r="T4406" s="75" t="str">
        <f>IF(ISERROR(FIND('112'!$M$9,G4406,1)),"",IF((AND(FIND('112'!$M$9,G4406,1)&gt;=1,B4406='112'!$K$9,OR($N4406='112'!$I$6,$O4406='112'!$I$6))),"x",""))</f>
        <v/>
      </c>
      <c r="U4406" s="75" t="str">
        <f>IF(ISERROR(FIND('112'!$M$9,G4406,1)),"",IF((AND(LEFT(G4406,2)=LEFT('112'!$M$9,2),B4406&lt;'112'!$K$9,$N4406='112'!$I$6)),"x",""))</f>
        <v/>
      </c>
      <c r="V4406" s="75" t="str">
        <f>IF(ISERROR(FIND('112'!$M$9,G4406,1)),"",IF((AND(RIGHT(G4406,2)=RIGHT('112'!$M$9,2),B4406&lt;'112'!$K$9,$O4406='112'!$I$6)),"x",""))</f>
        <v/>
      </c>
      <c r="W4406" s="75" t="str">
        <f>IF(AND('341-CT'!$H$9=H4406,OR(LEFT(N4406,3)=$W$7,LEFT(O4406,3)=$W$7)),"x","")</f>
        <v/>
      </c>
      <c r="X4406" s="75" t="str">
        <f>IF(OR(TH!N4796=TH!$X$7,O4406=TH!$X$7),"x","")</f>
        <v/>
      </c>
      <c r="Y4406" s="75" t="str">
        <f>IF(AND(OR(N4406="131",O4406="131"),H4406='131-CT'!$H$9),"x","")</f>
        <v/>
      </c>
      <c r="Z4406" s="75"/>
      <c r="AA4406" s="75" t="str">
        <f>IF(AND(MONTH(E4406)='IN-NX'!$J$5,'IN-NX'!$D$7=D4406),"x","")</f>
        <v/>
      </c>
      <c r="AB4406" s="75" t="str">
        <f>IF(AND(OR(LEFT(TH!N4796,2)="15",LEFT(TH!O4796,2)="15"),LEFT(TH!O4796,3)&lt;&gt;"111",'152-CT'!$J$8=TH!F4796),"x","")</f>
        <v/>
      </c>
      <c r="AC4406" s="75" t="str">
        <f>IF(AND(OR(LEFT(TH!N4796,2)="15",LEFT(TH!O4796,2)="15"),TK!$E$7=TH!F4796),"x","")</f>
        <v/>
      </c>
      <c r="AD4406" s="75" t="str">
        <f>IF(AND(N4406="1521",MONTH(C4406)='BK-NL'!$M$11),"x","")</f>
        <v/>
      </c>
    </row>
    <row r="4407" spans="1:33" ht="16.5" customHeight="1">
      <c r="A4407" s="309" t="str">
        <f>IF(B4407&lt;&gt;"",IF(AND(B4407='IN-TC'!$S$4,OR(TH!N4400="1111",TH!O4400="1111")),TH!D4400,""),"")</f>
        <v/>
      </c>
      <c r="B4407" s="1243">
        <f t="shared" si="1322"/>
        <v>7</v>
      </c>
      <c r="C4407" s="292">
        <f t="shared" si="1323"/>
        <v>42920</v>
      </c>
      <c r="D4407" s="59" t="s">
        <v>903</v>
      </c>
      <c r="E4407" s="59">
        <v>42920</v>
      </c>
      <c r="F4407" s="67" t="s">
        <v>914</v>
      </c>
      <c r="G4407" s="62" t="s">
        <v>585</v>
      </c>
      <c r="H4407" s="294" t="s">
        <v>845</v>
      </c>
      <c r="I4407" s="373"/>
      <c r="J4407" s="379"/>
      <c r="K4407" s="373"/>
      <c r="L4407" s="379"/>
      <c r="M4407" s="60">
        <v>45951</v>
      </c>
      <c r="N4407" s="61" t="s">
        <v>26</v>
      </c>
      <c r="O4407" s="295" t="s">
        <v>43</v>
      </c>
      <c r="P4407" s="75" t="str">
        <f>IF(AND('331-CT'!$E$7=TH!H4797,OR(N4407="331",O4407="331")),"x","")</f>
        <v/>
      </c>
      <c r="Q4407" s="75" t="str">
        <f>IF(AND(B4407='111'!$L$11,OR($N4407=$Q$7,$O4407=$Q$7)),"x","")</f>
        <v/>
      </c>
      <c r="R4407" s="75" t="str">
        <f>IF(AND($N4407=$Q$7,$B4407&lt;'111'!$L$11),"x","")</f>
        <v/>
      </c>
      <c r="S4407" s="75" t="str">
        <f>IF(AND($O4407=$Q$7,$B4407&lt;'111'!$L$11),"x","")</f>
        <v/>
      </c>
      <c r="T4407" s="75" t="str">
        <f>IF(ISERROR(FIND('112'!$M$9,G4407,1)),"",IF((AND(FIND('112'!$M$9,G4407,1)&gt;=1,B4407='112'!$K$9,OR($N4407='112'!$I$6,$O4407='112'!$I$6))),"x",""))</f>
        <v/>
      </c>
      <c r="U4407" s="75" t="str">
        <f>IF(ISERROR(FIND('112'!$M$9,G4407,1)),"",IF((AND(LEFT(G4407,2)=LEFT('112'!$M$9,2),B4407&lt;'112'!$K$9,$N4407='112'!$I$6)),"x",""))</f>
        <v/>
      </c>
      <c r="V4407" s="75" t="str">
        <f>IF(ISERROR(FIND('112'!$M$9,G4407,1)),"",IF((AND(RIGHT(G4407,2)=RIGHT('112'!$M$9,2),B4407&lt;'112'!$K$9,$O4407='112'!$I$6)),"x",""))</f>
        <v/>
      </c>
      <c r="W4407" s="75" t="str">
        <f>IF(AND('341-CT'!$H$9=H4407,OR(LEFT(N4407,3)=$W$7,LEFT(O4407,3)=$W$7)),"x","")</f>
        <v/>
      </c>
      <c r="X4407" s="75" t="str">
        <f>IF(OR(TH!N4797=TH!$X$7,O4407=TH!$X$7),"x","")</f>
        <v/>
      </c>
      <c r="Y4407" s="75" t="str">
        <f>IF(AND(OR(N4407="131",O4407="131"),H4407='131-CT'!$H$9),"x","")</f>
        <v/>
      </c>
      <c r="Z4407" s="75"/>
      <c r="AA4407" s="75" t="str">
        <f>IF(AND(MONTH(E4407)='IN-NX'!$J$5,'IN-NX'!$D$7=D4407),"x","")</f>
        <v/>
      </c>
      <c r="AB4407" s="75" t="str">
        <f>IF(AND(OR(LEFT(TH!N4797,2)="15",LEFT(TH!O4797,2)="15"),LEFT(TH!O4797,3)&lt;&gt;"111",'152-CT'!$J$8=TH!F4797),"x","")</f>
        <v/>
      </c>
      <c r="AC4407" s="75" t="str">
        <f>IF(AND(OR(LEFT(TH!N4797,2)="15",LEFT(TH!O4797,2)="15"),TK!$E$7=TH!F4797),"x","")</f>
        <v/>
      </c>
      <c r="AD4407" s="75" t="str">
        <f>IF(AND(N4407="1521",MONTH(C4407)='BK-NL'!$M$11),"x","")</f>
        <v/>
      </c>
    </row>
    <row r="4408" spans="1:33" ht="16.5" customHeight="1">
      <c r="A4408" s="309" t="str">
        <f>IF(B4408&lt;&gt;"",IF(AND(B4408='IN-TC'!$S$4,OR(TH!N4401="1111",TH!O4401="1111")),TH!D4401,""),"")</f>
        <v/>
      </c>
      <c r="B4408" s="1243">
        <f t="shared" si="1322"/>
        <v>7</v>
      </c>
      <c r="C4408" s="292">
        <f t="shared" si="1323"/>
        <v>42921</v>
      </c>
      <c r="D4408" s="292"/>
      <c r="E4408" s="292">
        <v>42921</v>
      </c>
      <c r="F4408" s="67" t="s">
        <v>1165</v>
      </c>
      <c r="G4408" s="925" t="s">
        <v>1691</v>
      </c>
      <c r="H4408" s="294" t="s">
        <v>1684</v>
      </c>
      <c r="I4408" s="373"/>
      <c r="J4408" s="926"/>
      <c r="K4408" s="373"/>
      <c r="L4408" s="379"/>
      <c r="M4408" s="927">
        <v>19650400</v>
      </c>
      <c r="N4408" s="295" t="s">
        <v>8</v>
      </c>
      <c r="O4408" s="295" t="s">
        <v>63</v>
      </c>
      <c r="P4408" s="75" t="str">
        <f>IF(AND('331-CT'!$E$7=TH!H3745,OR(N4408="331",O4408="331")),"x","")</f>
        <v/>
      </c>
      <c r="Q4408" s="75" t="str">
        <f>IF(AND(B4408='111'!$L$11,OR($N4408=$Q$7,$O4408=$Q$7)),"x","")</f>
        <v/>
      </c>
      <c r="R4408" s="75" t="str">
        <f>IF(AND($N4408=$Q$7,$B4408&lt;'111'!$L$11),"x","")</f>
        <v/>
      </c>
      <c r="S4408" s="75" t="str">
        <f>IF(AND($O4408=$Q$7,$B4408&lt;'111'!$L$11),"x","")</f>
        <v>x</v>
      </c>
      <c r="T4408" s="75" t="str">
        <f>IF(ISERROR(FIND('112'!$M$9,G4408,1)),"",IF((AND(FIND('112'!$M$9,G4408,1)&gt;=1,B4408='112'!$K$9,OR($N4408='112'!$I$6,$O4408='112'!$I$6))),"x",""))</f>
        <v/>
      </c>
      <c r="U4408" s="75" t="str">
        <f>IF(ISERROR(FIND('112'!$M$9,G4408,1)),"",IF((AND(LEFT(G4408,2)=LEFT('112'!$M$9,2),B4408&lt;'112'!$K$9,$N4408='112'!$I$6)),"x",""))</f>
        <v/>
      </c>
      <c r="V4408" s="75" t="str">
        <f>IF(ISERROR(FIND('112'!$M$9,G4408,1)),"",IF((AND(RIGHT(G4408,2)=RIGHT('112'!$M$9,2),B4408&lt;'112'!$K$9,$O4408='112'!$I$6)),"x",""))</f>
        <v/>
      </c>
      <c r="W4408" s="75" t="str">
        <f>IF(AND('341-CT'!$H$9=H4408,OR(LEFT(N4408,3)=$W$7,LEFT(O4408,3)=$W$7)),"x","")</f>
        <v/>
      </c>
      <c r="X4408" s="75" t="str">
        <f>IF(OR(TH!N3745=TH!$X$7,O4408=TH!$X$7),"x","")</f>
        <v/>
      </c>
      <c r="Y4408" s="75" t="str">
        <f>IF(AND(OR(N4408="131",O4408="131"),H4408='131-CT'!$H$9),"x","")</f>
        <v/>
      </c>
      <c r="Z4408" s="75"/>
      <c r="AA4408" s="75" t="str">
        <f>IF(AND(MONTH(E4408)='IN-NX'!$J$5,'IN-NX'!$D$7=D4408),"x","")</f>
        <v/>
      </c>
      <c r="AB4408" s="75" t="str">
        <f>IF(AND(OR(LEFT(TH!N3745,2)="15",LEFT(TH!O3745,2)="15"),LEFT(TH!O3745,3)&lt;&gt;"111",'152-CT'!$J$8=TH!F3745),"x","")</f>
        <v/>
      </c>
      <c r="AC4408" s="75" t="str">
        <f>IF(AND(OR(LEFT(TH!N3745,2)="15",LEFT(TH!O3745,2)="15"),TK!$E$7=TH!F3745),"x","")</f>
        <v/>
      </c>
      <c r="AD4408" s="75" t="str">
        <f>IF(AND(N4408="1521",MONTH(C4408)='BK-NL'!$M$11),"x","")</f>
        <v/>
      </c>
    </row>
    <row r="4409" spans="1:33" ht="16.5" customHeight="1">
      <c r="A4409" s="309" t="str">
        <f>IF(B4409&lt;&gt;"",IF(AND(B4409='IN-TC'!$S$4,OR(TH!N4402="1111",TH!O4402="1111")),TH!D4402,""),"")</f>
        <v/>
      </c>
      <c r="B4409" s="1243">
        <f t="shared" si="1322"/>
        <v>7</v>
      </c>
      <c r="C4409" s="292">
        <f t="shared" si="1323"/>
        <v>42921</v>
      </c>
      <c r="D4409" s="292"/>
      <c r="E4409" s="292">
        <v>42921</v>
      </c>
      <c r="F4409" s="67" t="s">
        <v>1499</v>
      </c>
      <c r="G4409" s="925" t="s">
        <v>1818</v>
      </c>
      <c r="H4409" s="294" t="s">
        <v>893</v>
      </c>
      <c r="I4409" s="373"/>
      <c r="J4409" s="926"/>
      <c r="K4409" s="373"/>
      <c r="L4409" s="379"/>
      <c r="M4409" s="927">
        <v>571518</v>
      </c>
      <c r="N4409" s="295" t="s">
        <v>101</v>
      </c>
      <c r="O4409" s="295" t="s">
        <v>63</v>
      </c>
      <c r="P4409" s="75" t="str">
        <f>IF(AND('331-CT'!$E$7=TH!H3746,OR(N4409="331",O4409="331")),"x","")</f>
        <v/>
      </c>
      <c r="Q4409" s="75" t="str">
        <f>IF(AND(B4409='111'!$L$11,OR($N4409=$Q$7,$O4409=$Q$7)),"x","")</f>
        <v/>
      </c>
      <c r="R4409" s="75" t="str">
        <f>IF(AND($N4409=$Q$7,$B4409&lt;'111'!$L$11),"x","")</f>
        <v/>
      </c>
      <c r="S4409" s="75" t="str">
        <f>IF(AND($O4409=$Q$7,$B4409&lt;'111'!$L$11),"x","")</f>
        <v>x</v>
      </c>
      <c r="T4409" s="75" t="str">
        <f>IF(ISERROR(FIND('112'!$M$9,G4409,1)),"",IF((AND(FIND('112'!$M$9,G4409,1)&gt;=1,B4409='112'!$K$9,OR($N4409='112'!$I$6,$O4409='112'!$I$6))),"x",""))</f>
        <v/>
      </c>
      <c r="U4409" s="75" t="str">
        <f>IF(ISERROR(FIND('112'!$M$9,G4409,1)),"",IF((AND(LEFT(G4409,2)=LEFT('112'!$M$9,2),B4409&lt;'112'!$K$9,$N4409='112'!$I$6)),"x",""))</f>
        <v/>
      </c>
      <c r="V4409" s="75" t="str">
        <f>IF(ISERROR(FIND('112'!$M$9,G4409,1)),"",IF((AND(RIGHT(G4409,2)=RIGHT('112'!$M$9,2),B4409&lt;'112'!$K$9,$O4409='112'!$I$6)),"x",""))</f>
        <v/>
      </c>
      <c r="W4409" s="75" t="str">
        <f>IF(AND('341-CT'!$H$9=H4409,OR(LEFT(N4409,3)=$W$7,LEFT(O4409,3)=$W$7)),"x","")</f>
        <v/>
      </c>
      <c r="X4409" s="75" t="str">
        <f>IF(OR(TH!N3746=TH!$X$7,O4409=TH!$X$7),"x","")</f>
        <v/>
      </c>
      <c r="Y4409" s="75" t="str">
        <f>IF(AND(OR(N4409="131",O4409="131"),H4409='131-CT'!$H$9),"x","")</f>
        <v/>
      </c>
      <c r="Z4409" s="75"/>
      <c r="AA4409" s="75" t="str">
        <f>IF(AND(MONTH(E4409)='IN-NX'!$J$5,'IN-NX'!$D$7=D4409),"x","")</f>
        <v/>
      </c>
      <c r="AB4409" s="75" t="str">
        <f>IF(AND(OR(LEFT(TH!N3746,2)="15",LEFT(TH!O3746,2)="15"),LEFT(TH!O3746,3)&lt;&gt;"111",'152-CT'!$J$8=TH!F3746),"x","")</f>
        <v/>
      </c>
      <c r="AC4409" s="75" t="str">
        <f>IF(AND(OR(LEFT(TH!N3746,2)="15",LEFT(TH!O3746,2)="15"),TK!$E$7=TH!F3746),"x","")</f>
        <v/>
      </c>
      <c r="AD4409" s="75" t="str">
        <f>IF(AND(N4409="1521",MONTH(C4409)='BK-NL'!$M$11),"x","")</f>
        <v/>
      </c>
    </row>
    <row r="4410" spans="1:33" ht="16.5" customHeight="1">
      <c r="A4410" s="309" t="str">
        <f>IF(B4410&lt;&gt;"",IF(AND(B4410='IN-TC'!$S$4,OR(TH!N4403="1111",TH!O4403="1111")),TH!D4403,""),"")</f>
        <v/>
      </c>
      <c r="B4410" s="1243">
        <f t="shared" si="1322"/>
        <v>7</v>
      </c>
      <c r="C4410" s="292">
        <f t="shared" si="1323"/>
        <v>42921</v>
      </c>
      <c r="D4410" s="292"/>
      <c r="E4410" s="292">
        <v>42921</v>
      </c>
      <c r="F4410" s="67" t="s">
        <v>1500</v>
      </c>
      <c r="G4410" s="925" t="s">
        <v>1818</v>
      </c>
      <c r="H4410" s="294" t="s">
        <v>893</v>
      </c>
      <c r="I4410" s="373"/>
      <c r="J4410" s="926"/>
      <c r="K4410" s="373"/>
      <c r="L4410" s="379"/>
      <c r="M4410" s="927">
        <v>57152</v>
      </c>
      <c r="N4410" s="295" t="s">
        <v>9</v>
      </c>
      <c r="O4410" s="295" t="s">
        <v>63</v>
      </c>
      <c r="P4410" s="75" t="str">
        <f>IF(AND('331-CT'!$E$7=TH!H3747,OR(N4410="331",O4410="331")),"x","")</f>
        <v/>
      </c>
      <c r="Q4410" s="75" t="str">
        <f>IF(AND(B4410='111'!$L$11,OR($N4410=$Q$7,$O4410=$Q$7)),"x","")</f>
        <v/>
      </c>
      <c r="R4410" s="75" t="str">
        <f>IF(AND($N4410=$Q$7,$B4410&lt;'111'!$L$11),"x","")</f>
        <v/>
      </c>
      <c r="S4410" s="75" t="str">
        <f>IF(AND($O4410=$Q$7,$B4410&lt;'111'!$L$11),"x","")</f>
        <v>x</v>
      </c>
      <c r="T4410" s="75" t="str">
        <f>IF(ISERROR(FIND('112'!$M$9,G4410,1)),"",IF((AND(FIND('112'!$M$9,G4410,1)&gt;=1,B4410='112'!$K$9,OR($N4410='112'!$I$6,$O4410='112'!$I$6))),"x",""))</f>
        <v/>
      </c>
      <c r="U4410" s="75" t="str">
        <f>IF(ISERROR(FIND('112'!$M$9,G4410,1)),"",IF((AND(LEFT(G4410,2)=LEFT('112'!$M$9,2),B4410&lt;'112'!$K$9,$N4410='112'!$I$6)),"x",""))</f>
        <v/>
      </c>
      <c r="V4410" s="75" t="str">
        <f>IF(ISERROR(FIND('112'!$M$9,G4410,1)),"",IF((AND(RIGHT(G4410,2)=RIGHT('112'!$M$9,2),B4410&lt;'112'!$K$9,$O4410='112'!$I$6)),"x",""))</f>
        <v/>
      </c>
      <c r="W4410" s="75" t="str">
        <f>IF(AND('341-CT'!$H$9=H4410,OR(LEFT(N4410,3)=$W$7,LEFT(O4410,3)=$W$7)),"x","")</f>
        <v/>
      </c>
      <c r="X4410" s="75" t="str">
        <f>IF(OR(TH!N3747=TH!$X$7,O4410=TH!$X$7),"x","")</f>
        <v/>
      </c>
      <c r="Y4410" s="75" t="str">
        <f>IF(AND(OR(N4410="131",O4410="131"),H4410='131-CT'!$H$9),"x","")</f>
        <v/>
      </c>
      <c r="Z4410" s="75"/>
      <c r="AA4410" s="75" t="str">
        <f>IF(AND(MONTH(E4410)='IN-NX'!$J$5,'IN-NX'!$D$7=D4410),"x","")</f>
        <v/>
      </c>
      <c r="AB4410" s="75" t="str">
        <f>IF(AND(OR(LEFT(TH!N3747,2)="15",LEFT(TH!O3747,2)="15"),LEFT(TH!O3747,3)&lt;&gt;"111",'152-CT'!$J$8=TH!F3747),"x","")</f>
        <v/>
      </c>
      <c r="AC4410" s="75" t="str">
        <f>IF(AND(OR(LEFT(TH!N3747,2)="15",LEFT(TH!O3747,2)="15"),TK!$E$7=TH!F3747),"x","")</f>
        <v/>
      </c>
      <c r="AD4410" s="75" t="str">
        <f>IF(AND(N4410="1521",MONTH(C4410)='BK-NL'!$M$11),"x","")</f>
        <v/>
      </c>
      <c r="AE4410">
        <v>7</v>
      </c>
    </row>
    <row r="4411" spans="1:33" ht="16.5" customHeight="1">
      <c r="A4411" s="309" t="str">
        <f>IF(B4411&lt;&gt;"",IF(AND(B4411='IN-TC'!$S$4,OR(TH!N4404="1111",TH!O4404="1111")),TH!D4404,""),"")</f>
        <v/>
      </c>
      <c r="B4411" s="1243">
        <f t="shared" si="1322"/>
        <v>7</v>
      </c>
      <c r="C4411" s="292">
        <f t="shared" si="1323"/>
        <v>42921</v>
      </c>
      <c r="D4411" s="59" t="s">
        <v>903</v>
      </c>
      <c r="E4411" s="59">
        <v>42921</v>
      </c>
      <c r="F4411" s="293" t="s">
        <v>252</v>
      </c>
      <c r="G4411" s="62" t="s">
        <v>747</v>
      </c>
      <c r="H4411" s="67" t="s">
        <v>1781</v>
      </c>
      <c r="I4411" s="67"/>
      <c r="J4411" s="379"/>
      <c r="K4411" s="373">
        <v>92500</v>
      </c>
      <c r="L4411" s="379">
        <v>22732</v>
      </c>
      <c r="M4411" s="927">
        <f>ROUND(L4411*K4411,0)</f>
        <v>2102710000</v>
      </c>
      <c r="N4411" s="61" t="s">
        <v>26</v>
      </c>
      <c r="O4411" s="61" t="s">
        <v>250</v>
      </c>
      <c r="P4411" s="75" t="str">
        <f>IF(AND('331-CT'!$E$7=TH!H5275,OR(N4411="331",O4411="331")),"x","")</f>
        <v/>
      </c>
      <c r="Q4411" s="75" t="str">
        <f>IF(AND(B4411='111'!$L$11,OR($N4411=$Q$7,$O4411=$Q$7)),"x","")</f>
        <v/>
      </c>
      <c r="R4411" s="75" t="str">
        <f>IF(AND($N4411=$Q$7,$B4411&lt;'111'!$L$11),"x","")</f>
        <v/>
      </c>
      <c r="S4411" s="75" t="str">
        <f>IF(AND($O4411=$Q$7,$B4411&lt;'111'!$L$11),"x","")</f>
        <v/>
      </c>
      <c r="T4411" s="75" t="str">
        <f>IF(ISERROR(FIND('112'!$M$9,G4411,1)),"",IF((AND(FIND('112'!$M$9,G4411,1)&gt;=1,B4411='112'!$K$9,OR($N4411='112'!$I$6,$O4411='112'!$I$6))),"x",""))</f>
        <v/>
      </c>
      <c r="U4411" s="75" t="str">
        <f>IF(ISERROR(FIND('112'!$M$9,G4411,1)),"",IF((AND(LEFT(G4411,2)=LEFT('112'!$M$9,2),B4411&lt;'112'!$K$9,$N4411='112'!$I$6)),"x",""))</f>
        <v/>
      </c>
      <c r="V4411" s="75" t="str">
        <f>IF(ISERROR(FIND('112'!$M$9,G4411,1)),"",IF((AND(RIGHT(G4411,2)=RIGHT('112'!$M$9,2),B4411&lt;'112'!$K$9,$O4411='112'!$I$6)),"x",""))</f>
        <v/>
      </c>
      <c r="W4411" s="75" t="str">
        <f>IF(AND('341-CT'!$H$9=H4411,OR(LEFT(N4411,3)=$W$7,LEFT(O4411,3)=$W$7)),"x","")</f>
        <v/>
      </c>
      <c r="X4411" s="75" t="str">
        <f>IF(OR(TH!N5275=TH!$X$7,O4411=TH!$X$7),"x","")</f>
        <v/>
      </c>
      <c r="Y4411" s="75" t="str">
        <f>IF(AND(OR(N4411="131",O4411="131"),H4411='131-CT'!$H$9),"x","")</f>
        <v/>
      </c>
      <c r="Z4411" s="75"/>
      <c r="AA4411" s="75" t="str">
        <f>IF(AND(MONTH(E4411)='IN-NX'!$J$5,'IN-NX'!$D$7=D4411),"x","")</f>
        <v/>
      </c>
      <c r="AB4411" s="75" t="str">
        <f>IF(AND(OR(LEFT(TH!N5275,2)="15",LEFT(TH!O5275,2)="15"),LEFT(TH!O5275,3)&lt;&gt;"111",'152-CT'!$J$8=TH!F5275),"x","")</f>
        <v/>
      </c>
      <c r="AC4411" s="75" t="str">
        <f>IF(AND(OR(LEFT(TH!N5275,2)="15",LEFT(TH!O5275,2)="15"),TK!$E$7=TH!F5275),"x","")</f>
        <v/>
      </c>
      <c r="AD4411" s="75" t="str">
        <f>IF(AND(N4411="1521",MONTH(C4411)='BK-NL'!$M$11),"x","")</f>
        <v/>
      </c>
      <c r="AE4411" s="1053"/>
      <c r="AF4411" s="1053"/>
      <c r="AG4411" s="1053"/>
    </row>
    <row r="4412" spans="1:33" ht="16.5" customHeight="1">
      <c r="A4412" s="309" t="str">
        <f>IF(B4412&lt;&gt;"",IF(AND(B4412='IN-TC'!$S$4,OR(TH!N4405="1111",TH!O4405="1111")),TH!D4405,""),"")</f>
        <v/>
      </c>
      <c r="B4412" s="1243">
        <f t="shared" si="1322"/>
        <v>7</v>
      </c>
      <c r="C4412" s="292">
        <f t="shared" si="1323"/>
        <v>42921</v>
      </c>
      <c r="D4412" s="59" t="s">
        <v>902</v>
      </c>
      <c r="E4412" s="59">
        <v>42921</v>
      </c>
      <c r="F4412" s="67" t="s">
        <v>1307</v>
      </c>
      <c r="G4412" s="62" t="s">
        <v>747</v>
      </c>
      <c r="H4412" s="311" t="s">
        <v>546</v>
      </c>
      <c r="I4412" s="373"/>
      <c r="J4412" s="379"/>
      <c r="K4412" s="373"/>
      <c r="L4412" s="379"/>
      <c r="M4412" s="60">
        <v>1907406</v>
      </c>
      <c r="N4412" s="61" t="s">
        <v>101</v>
      </c>
      <c r="O4412" s="61" t="s">
        <v>26</v>
      </c>
      <c r="P4412" s="75" t="str">
        <f>IF(AND('331-CT'!$E$7=TH!H5276,OR(N4412="331",O4412="331")),"x","")</f>
        <v/>
      </c>
      <c r="Q4412" s="75" t="str">
        <f>IF(AND(B4412='111'!$L$11,OR($N4412=$Q$7,$O4412=$Q$7)),"x","")</f>
        <v/>
      </c>
      <c r="R4412" s="75" t="str">
        <f>IF(AND($N4412=$Q$7,$B4412&lt;'111'!$L$11),"x","")</f>
        <v/>
      </c>
      <c r="S4412" s="75" t="str">
        <f>IF(AND($O4412=$Q$7,$B4412&lt;'111'!$L$11),"x","")</f>
        <v/>
      </c>
      <c r="T4412" s="75" t="str">
        <f>IF(ISERROR(FIND('112'!$M$9,G4412,1)),"",IF((AND(FIND('112'!$M$9,G4412,1)&gt;=1,B4412='112'!$K$9,OR($N4412='112'!$I$6,$O4412='112'!$I$6))),"x",""))</f>
        <v/>
      </c>
      <c r="U4412" s="75" t="str">
        <f>IF(ISERROR(FIND('112'!$M$9,G4412,1)),"",IF((AND(LEFT(G4412,2)=LEFT('112'!$M$9,2),B4412&lt;'112'!$K$9,$N4412='112'!$I$6)),"x",""))</f>
        <v/>
      </c>
      <c r="V4412" s="75" t="str">
        <f>IF(ISERROR(FIND('112'!$M$9,G4412,1)),"",IF((AND(RIGHT(G4412,2)=RIGHT('112'!$M$9,2),B4412&lt;'112'!$K$9,$O4412='112'!$I$6)),"x",""))</f>
        <v/>
      </c>
      <c r="W4412" s="75" t="str">
        <f>IF(AND('341-CT'!$H$9=H4412,OR(LEFT(N4412,3)=$W$7,LEFT(O4412,3)=$W$7)),"x","")</f>
        <v/>
      </c>
      <c r="X4412" s="75" t="str">
        <f>IF(OR(TH!N5276=TH!$X$7,O4412=TH!$X$7),"x","")</f>
        <v/>
      </c>
      <c r="Y4412" s="75" t="str">
        <f>IF(AND(OR(N4412="131",O4412="131"),H4412='131-CT'!$H$9),"x","")</f>
        <v/>
      </c>
      <c r="Z4412" s="75"/>
      <c r="AA4412" s="75" t="str">
        <f>IF(AND(MONTH(E4412)='IN-NX'!$J$5,'IN-NX'!$D$7=D4412),"x","")</f>
        <v/>
      </c>
      <c r="AB4412" s="75" t="str">
        <f>IF(AND(OR(LEFT(TH!N5276,2)="15",LEFT(TH!O5276,2)="15"),LEFT(TH!O5276,3)&lt;&gt;"111",'152-CT'!$J$8=TH!F5276),"x","")</f>
        <v/>
      </c>
      <c r="AC4412" s="75" t="str">
        <f>IF(AND(OR(LEFT(TH!N5276,2)="15",LEFT(TH!O5276,2)="15"),TK!$E$7=TH!F5276),"x","")</f>
        <v/>
      </c>
      <c r="AD4412" s="75" t="str">
        <f>IF(AND(N4412="1521",MONTH(C4412)='BK-NL'!$M$11),"x","")</f>
        <v/>
      </c>
      <c r="AE4412" s="1053"/>
      <c r="AF4412" s="1053"/>
      <c r="AG4412" s="1053"/>
    </row>
    <row r="4413" spans="1:33" ht="16.5" customHeight="1">
      <c r="A4413" s="309" t="str">
        <f>IF(B4413&lt;&gt;"",IF(AND(B4413='IN-TC'!$S$4,OR(TH!N4406="1111",TH!O4406="1111")),TH!D4406,""),"")</f>
        <v/>
      </c>
      <c r="B4413" s="1243">
        <f t="shared" si="1322"/>
        <v>7</v>
      </c>
      <c r="C4413" s="292">
        <f t="shared" si="1323"/>
        <v>42921</v>
      </c>
      <c r="D4413" s="59" t="s">
        <v>902</v>
      </c>
      <c r="E4413" s="59">
        <v>42921</v>
      </c>
      <c r="F4413" s="67" t="s">
        <v>1314</v>
      </c>
      <c r="G4413" s="62" t="s">
        <v>747</v>
      </c>
      <c r="H4413" s="311" t="s">
        <v>546</v>
      </c>
      <c r="I4413" s="373"/>
      <c r="J4413" s="379"/>
      <c r="K4413" s="373"/>
      <c r="L4413" s="379"/>
      <c r="M4413" s="60">
        <v>190741</v>
      </c>
      <c r="N4413" s="61" t="s">
        <v>9</v>
      </c>
      <c r="O4413" s="61" t="s">
        <v>26</v>
      </c>
      <c r="P4413" s="75" t="str">
        <f>IF(AND('331-CT'!$E$7=TH!H5277,OR(N4413="331",O4413="331")),"x","")</f>
        <v/>
      </c>
      <c r="Q4413" s="75" t="str">
        <f>IF(AND(B4413='111'!$L$11,OR($N4413=$Q$7,$O4413=$Q$7)),"x","")</f>
        <v/>
      </c>
      <c r="R4413" s="75" t="str">
        <f>IF(AND($N4413=$Q$7,$B4413&lt;'111'!$L$11),"x","")</f>
        <v/>
      </c>
      <c r="S4413" s="75" t="str">
        <f>IF(AND($O4413=$Q$7,$B4413&lt;'111'!$L$11),"x","")</f>
        <v/>
      </c>
      <c r="T4413" s="75" t="str">
        <f>IF(ISERROR(FIND('112'!$M$9,G4413,1)),"",IF((AND(FIND('112'!$M$9,G4413,1)&gt;=1,B4413='112'!$K$9,OR($N4413='112'!$I$6,$O4413='112'!$I$6))),"x",""))</f>
        <v/>
      </c>
      <c r="U4413" s="75" t="str">
        <f>IF(ISERROR(FIND('112'!$M$9,G4413,1)),"",IF((AND(LEFT(G4413,2)=LEFT('112'!$M$9,2),B4413&lt;'112'!$K$9,$N4413='112'!$I$6)),"x",""))</f>
        <v/>
      </c>
      <c r="V4413" s="75" t="str">
        <f>IF(ISERROR(FIND('112'!$M$9,G4413,1)),"",IF((AND(RIGHT(G4413,2)=RIGHT('112'!$M$9,2),B4413&lt;'112'!$K$9,$O4413='112'!$I$6)),"x",""))</f>
        <v/>
      </c>
      <c r="W4413" s="75" t="str">
        <f>IF(AND('341-CT'!$H$9=H4413,OR(LEFT(N4413,3)=$W$7,LEFT(O4413,3)=$W$7)),"x","")</f>
        <v/>
      </c>
      <c r="X4413" s="75" t="str">
        <f>IF(OR(TH!N5277=TH!$X$7,O4413=TH!$X$7),"x","")</f>
        <v/>
      </c>
      <c r="Y4413" s="75" t="str">
        <f>IF(AND(OR(N4413="131",O4413="131"),H4413='131-CT'!$H$9),"x","")</f>
        <v/>
      </c>
      <c r="Z4413" s="75"/>
      <c r="AA4413" s="75" t="str">
        <f>IF(AND(MONTH(E4413)='IN-NX'!$J$5,'IN-NX'!$D$7=D4413),"x","")</f>
        <v/>
      </c>
      <c r="AB4413" s="75" t="str">
        <f>IF(AND(OR(LEFT(TH!N5277,2)="15",LEFT(TH!O5277,2)="15"),LEFT(TH!O5277,3)&lt;&gt;"111",'152-CT'!$J$8=TH!F5277),"x","")</f>
        <v/>
      </c>
      <c r="AC4413" s="75" t="str">
        <f>IF(AND(OR(LEFT(TH!N5277,2)="15",LEFT(TH!O5277,2)="15"),TK!$E$7=TH!F5277),"x","")</f>
        <v/>
      </c>
      <c r="AD4413" s="75" t="str">
        <f>IF(AND(N4413="1521",MONTH(C4413)='BK-NL'!$M$11),"x","")</f>
        <v/>
      </c>
      <c r="AE4413">
        <v>7</v>
      </c>
      <c r="AF4413" s="1053"/>
      <c r="AG4413" s="1053"/>
    </row>
    <row r="4414" spans="1:33" ht="16.5" customHeight="1">
      <c r="A4414" s="309" t="str">
        <f>IF(B4414&lt;&gt;"",IF(AND(B4414='IN-TC'!$S$4,OR(TH!N4407="1111",TH!O4407="1111")),TH!D4407,""),"")</f>
        <v/>
      </c>
      <c r="B4414" s="1243">
        <f t="shared" si="1322"/>
        <v>7</v>
      </c>
      <c r="C4414" s="292">
        <f t="shared" si="1323"/>
        <v>42922</v>
      </c>
      <c r="D4414" s="292"/>
      <c r="E4414" s="292">
        <v>42922</v>
      </c>
      <c r="F4414" s="67" t="s">
        <v>1228</v>
      </c>
      <c r="G4414" s="925" t="s">
        <v>1812</v>
      </c>
      <c r="H4414" s="294" t="s">
        <v>962</v>
      </c>
      <c r="I4414" s="373"/>
      <c r="J4414" s="926"/>
      <c r="K4414" s="373"/>
      <c r="L4414" s="379"/>
      <c r="M4414" s="927">
        <v>1070000</v>
      </c>
      <c r="N4414" s="295" t="s">
        <v>101</v>
      </c>
      <c r="O4414" s="295" t="s">
        <v>63</v>
      </c>
      <c r="P4414" s="75" t="str">
        <f>IF(AND('331-CT'!$E$7=TH!H3748,OR(N4414="331",O4414="331")),"x","")</f>
        <v/>
      </c>
      <c r="Q4414" s="75" t="str">
        <f>IF(AND(B4414='111'!$L$11,OR($N4414=$Q$7,$O4414=$Q$7)),"x","")</f>
        <v/>
      </c>
      <c r="R4414" s="75" t="str">
        <f>IF(AND($N4414=$Q$7,$B4414&lt;'111'!$L$11),"x","")</f>
        <v/>
      </c>
      <c r="S4414" s="75" t="str">
        <f>IF(AND($O4414=$Q$7,$B4414&lt;'111'!$L$11),"x","")</f>
        <v>x</v>
      </c>
      <c r="T4414" s="75" t="str">
        <f>IF(ISERROR(FIND('112'!$M$9,G4414,1)),"",IF((AND(FIND('112'!$M$9,G4414,1)&gt;=1,B4414='112'!$K$9,OR($N4414='112'!$I$6,$O4414='112'!$I$6))),"x",""))</f>
        <v/>
      </c>
      <c r="U4414" s="75" t="str">
        <f>IF(ISERROR(FIND('112'!$M$9,G4414,1)),"",IF((AND(LEFT(G4414,2)=LEFT('112'!$M$9,2),B4414&lt;'112'!$K$9,$N4414='112'!$I$6)),"x",""))</f>
        <v/>
      </c>
      <c r="V4414" s="75" t="str">
        <f>IF(ISERROR(FIND('112'!$M$9,G4414,1)),"",IF((AND(RIGHT(G4414,2)=RIGHT('112'!$M$9,2),B4414&lt;'112'!$K$9,$O4414='112'!$I$6)),"x",""))</f>
        <v/>
      </c>
      <c r="W4414" s="75" t="str">
        <f>IF(AND('341-CT'!$H$9=H4414,OR(LEFT(N4414,3)=$W$7,LEFT(O4414,3)=$W$7)),"x","")</f>
        <v/>
      </c>
      <c r="X4414" s="75" t="str">
        <f>IF(OR(TH!N3748=TH!$X$7,O4414=TH!$X$7),"x","")</f>
        <v/>
      </c>
      <c r="Y4414" s="75" t="str">
        <f>IF(AND(OR(N4414="131",O4414="131"),H4414='131-CT'!$H$9),"x","")</f>
        <v/>
      </c>
      <c r="Z4414" s="75"/>
      <c r="AA4414" s="75" t="str">
        <f>IF(AND(MONTH(E4414)='IN-NX'!$J$5,'IN-NX'!$D$7=D4414),"x","")</f>
        <v/>
      </c>
      <c r="AB4414" s="75" t="str">
        <f>IF(AND(OR(LEFT(TH!N3748,2)="15",LEFT(TH!O3748,2)="15"),LEFT(TH!O3748,3)&lt;&gt;"111",'152-CT'!$J$8=TH!F3748),"x","")</f>
        <v/>
      </c>
      <c r="AC4414" s="75" t="str">
        <f>IF(AND(OR(LEFT(TH!N3748,2)="15",LEFT(TH!O3748,2)="15"),TK!$E$7=TH!F3748),"x","")</f>
        <v/>
      </c>
      <c r="AD4414" s="75" t="str">
        <f>IF(AND(N4414="1521",MONTH(C4414)='BK-NL'!$M$11),"x","")</f>
        <v/>
      </c>
    </row>
    <row r="4415" spans="1:33" ht="16.5" customHeight="1">
      <c r="A4415" s="309" t="str">
        <f>IF(B4415&lt;&gt;"",IF(AND(B4415='IN-TC'!$S$4,OR(TH!N4408="1111",TH!O4408="1111")),TH!D4408,""),"")</f>
        <v/>
      </c>
      <c r="B4415" s="1243">
        <f t="shared" si="1322"/>
        <v>7</v>
      </c>
      <c r="C4415" s="292">
        <f t="shared" si="1323"/>
        <v>42922</v>
      </c>
      <c r="D4415" s="292"/>
      <c r="E4415" s="292">
        <v>42922</v>
      </c>
      <c r="F4415" s="67" t="s">
        <v>1229</v>
      </c>
      <c r="G4415" s="925" t="s">
        <v>1812</v>
      </c>
      <c r="H4415" s="294" t="s">
        <v>962</v>
      </c>
      <c r="I4415" s="373"/>
      <c r="J4415" s="926"/>
      <c r="K4415" s="373"/>
      <c r="L4415" s="379"/>
      <c r="M4415" s="927">
        <v>107000</v>
      </c>
      <c r="N4415" s="295" t="s">
        <v>9</v>
      </c>
      <c r="O4415" s="295" t="s">
        <v>63</v>
      </c>
      <c r="P4415" s="75" t="str">
        <f>IF(AND('331-CT'!$E$7=TH!H3749,OR(N4415="331",O4415="331")),"x","")</f>
        <v/>
      </c>
      <c r="Q4415" s="75" t="str">
        <f>IF(AND(B4415='111'!$L$11,OR($N4415=$Q$7,$O4415=$Q$7)),"x","")</f>
        <v/>
      </c>
      <c r="R4415" s="75" t="str">
        <f>IF(AND($N4415=$Q$7,$B4415&lt;'111'!$L$11),"x","")</f>
        <v/>
      </c>
      <c r="S4415" s="75" t="str">
        <f>IF(AND($O4415=$Q$7,$B4415&lt;'111'!$L$11),"x","")</f>
        <v>x</v>
      </c>
      <c r="T4415" s="75" t="str">
        <f>IF(ISERROR(FIND('112'!$M$9,G4415,1)),"",IF((AND(FIND('112'!$M$9,G4415,1)&gt;=1,B4415='112'!$K$9,OR($N4415='112'!$I$6,$O4415='112'!$I$6))),"x",""))</f>
        <v/>
      </c>
      <c r="U4415" s="75" t="str">
        <f>IF(ISERROR(FIND('112'!$M$9,G4415,1)),"",IF((AND(LEFT(G4415,2)=LEFT('112'!$M$9,2),B4415&lt;'112'!$K$9,$N4415='112'!$I$6)),"x",""))</f>
        <v/>
      </c>
      <c r="V4415" s="75" t="str">
        <f>IF(ISERROR(FIND('112'!$M$9,G4415,1)),"",IF((AND(RIGHT(G4415,2)=RIGHT('112'!$M$9,2),B4415&lt;'112'!$K$9,$O4415='112'!$I$6)),"x",""))</f>
        <v/>
      </c>
      <c r="W4415" s="75" t="str">
        <f>IF(AND('341-CT'!$H$9=H4415,OR(LEFT(N4415,3)=$W$7,LEFT(O4415,3)=$W$7)),"x","")</f>
        <v/>
      </c>
      <c r="X4415" s="75" t="str">
        <f>IF(OR(TH!N3749=TH!$X$7,O4415=TH!$X$7),"x","")</f>
        <v/>
      </c>
      <c r="Y4415" s="75" t="str">
        <f>IF(AND(OR(N4415="131",O4415="131"),H4415='131-CT'!$H$9),"x","")</f>
        <v/>
      </c>
      <c r="Z4415" s="75"/>
      <c r="AA4415" s="75" t="str">
        <f>IF(AND(MONTH(E4415)='IN-NX'!$J$5,'IN-NX'!$D$7=D4415),"x","")</f>
        <v/>
      </c>
      <c r="AB4415" s="75" t="str">
        <f>IF(AND(OR(LEFT(TH!N3749,2)="15",LEFT(TH!O3749,2)="15"),LEFT(TH!O3749,3)&lt;&gt;"111",'152-CT'!$J$8=TH!F3749),"x","")</f>
        <v/>
      </c>
      <c r="AC4415" s="75" t="str">
        <f>IF(AND(OR(LEFT(TH!N3749,2)="15",LEFT(TH!O3749,2)="15"),TK!$E$7=TH!F3749),"x","")</f>
        <v/>
      </c>
      <c r="AD4415" s="75" t="str">
        <f>IF(AND(N4415="1521",MONTH(C4415)='BK-NL'!$M$11),"x","")</f>
        <v/>
      </c>
      <c r="AE4415">
        <v>7</v>
      </c>
    </row>
    <row r="4416" spans="1:33" ht="16.5" customHeight="1">
      <c r="A4416" s="309" t="str">
        <f>IF(B4416&lt;&gt;"",IF(AND(B4416='IN-TC'!$S$4,OR(TH!N4409="1111",TH!O4409="1111")),TH!D4409,""),"")</f>
        <v/>
      </c>
      <c r="B4416" s="1243">
        <f t="shared" si="1322"/>
        <v>7</v>
      </c>
      <c r="C4416" s="292">
        <f t="shared" si="1323"/>
        <v>42922</v>
      </c>
      <c r="D4416" s="292"/>
      <c r="E4416" s="292">
        <v>42922</v>
      </c>
      <c r="F4416" s="67" t="s">
        <v>1228</v>
      </c>
      <c r="G4416" s="925" t="s">
        <v>1813</v>
      </c>
      <c r="H4416" s="294" t="s">
        <v>962</v>
      </c>
      <c r="I4416" s="373"/>
      <c r="J4416" s="926"/>
      <c r="K4416" s="373"/>
      <c r="L4416" s="379"/>
      <c r="M4416" s="927">
        <v>960000</v>
      </c>
      <c r="N4416" s="295" t="s">
        <v>101</v>
      </c>
      <c r="O4416" s="295" t="s">
        <v>63</v>
      </c>
      <c r="P4416" s="75" t="str">
        <f>IF(AND('331-CT'!$E$7=TH!H3750,OR(N4416="331",O4416="331")),"x","")</f>
        <v/>
      </c>
      <c r="Q4416" s="75" t="str">
        <f>IF(AND(B4416='111'!$L$11,OR($N4416=$Q$7,$O4416=$Q$7)),"x","")</f>
        <v/>
      </c>
      <c r="R4416" s="75" t="str">
        <f>IF(AND($N4416=$Q$7,$B4416&lt;'111'!$L$11),"x","")</f>
        <v/>
      </c>
      <c r="S4416" s="75" t="str">
        <f>IF(AND($O4416=$Q$7,$B4416&lt;'111'!$L$11),"x","")</f>
        <v>x</v>
      </c>
      <c r="T4416" s="75" t="str">
        <f>IF(ISERROR(FIND('112'!$M$9,G4416,1)),"",IF((AND(FIND('112'!$M$9,G4416,1)&gt;=1,B4416='112'!$K$9,OR($N4416='112'!$I$6,$O4416='112'!$I$6))),"x",""))</f>
        <v/>
      </c>
      <c r="U4416" s="75" t="str">
        <f>IF(ISERROR(FIND('112'!$M$9,G4416,1)),"",IF((AND(LEFT(G4416,2)=LEFT('112'!$M$9,2),B4416&lt;'112'!$K$9,$N4416='112'!$I$6)),"x",""))</f>
        <v/>
      </c>
      <c r="V4416" s="75" t="str">
        <f>IF(ISERROR(FIND('112'!$M$9,G4416,1)),"",IF((AND(RIGHT(G4416,2)=RIGHT('112'!$M$9,2),B4416&lt;'112'!$K$9,$O4416='112'!$I$6)),"x",""))</f>
        <v/>
      </c>
      <c r="W4416" s="75" t="str">
        <f>IF(AND('341-CT'!$H$9=H4416,OR(LEFT(N4416,3)=$W$7,LEFT(O4416,3)=$W$7)),"x","")</f>
        <v/>
      </c>
      <c r="X4416" s="75" t="str">
        <f>IF(OR(TH!N3750=TH!$X$7,O4416=TH!$X$7),"x","")</f>
        <v/>
      </c>
      <c r="Y4416" s="75" t="str">
        <f>IF(AND(OR(N4416="131",O4416="131"),H4416='131-CT'!$H$9),"x","")</f>
        <v/>
      </c>
      <c r="Z4416" s="75"/>
      <c r="AA4416" s="75" t="str">
        <f>IF(AND(MONTH(E4416)='IN-NX'!$J$5,'IN-NX'!$D$7=D4416),"x","")</f>
        <v/>
      </c>
      <c r="AB4416" s="75" t="str">
        <f>IF(AND(OR(LEFT(TH!N3750,2)="15",LEFT(TH!O3750,2)="15"),LEFT(TH!O3750,3)&lt;&gt;"111",'152-CT'!$J$8=TH!F3750),"x","")</f>
        <v/>
      </c>
      <c r="AC4416" s="75" t="str">
        <f>IF(AND(OR(LEFT(TH!N3750,2)="15",LEFT(TH!O3750,2)="15"),TK!$E$7=TH!F3750),"x","")</f>
        <v/>
      </c>
      <c r="AD4416" s="75" t="str">
        <f>IF(AND(N4416="1521",MONTH(C4416)='BK-NL'!$M$11),"x","")</f>
        <v/>
      </c>
    </row>
    <row r="4417" spans="1:31" ht="16.5" customHeight="1">
      <c r="A4417" s="309" t="str">
        <f>IF(B4417&lt;&gt;"",IF(AND(B4417='IN-TC'!$S$4,OR(TH!N4410="1111",TH!O4410="1111")),TH!D4410,""),"")</f>
        <v/>
      </c>
      <c r="B4417" s="1243">
        <f t="shared" si="1322"/>
        <v>7</v>
      </c>
      <c r="C4417" s="292">
        <f t="shared" si="1323"/>
        <v>42922</v>
      </c>
      <c r="D4417" s="292"/>
      <c r="E4417" s="292">
        <v>42922</v>
      </c>
      <c r="F4417" s="67" t="s">
        <v>1229</v>
      </c>
      <c r="G4417" s="925" t="s">
        <v>1813</v>
      </c>
      <c r="H4417" s="294" t="s">
        <v>962</v>
      </c>
      <c r="I4417" s="373"/>
      <c r="J4417" s="926"/>
      <c r="K4417" s="373"/>
      <c r="L4417" s="379"/>
      <c r="M4417" s="927">
        <v>96000</v>
      </c>
      <c r="N4417" s="295" t="s">
        <v>9</v>
      </c>
      <c r="O4417" s="295" t="s">
        <v>63</v>
      </c>
      <c r="P4417" s="75" t="str">
        <f>IF(AND('331-CT'!$E$7=TH!H3751,OR(N4417="331",O4417="331")),"x","")</f>
        <v/>
      </c>
      <c r="Q4417" s="75" t="str">
        <f>IF(AND(B4417='111'!$L$11,OR($N4417=$Q$7,$O4417=$Q$7)),"x","")</f>
        <v/>
      </c>
      <c r="R4417" s="75" t="str">
        <f>IF(AND($N4417=$Q$7,$B4417&lt;'111'!$L$11),"x","")</f>
        <v/>
      </c>
      <c r="S4417" s="75" t="str">
        <f>IF(AND($O4417=$Q$7,$B4417&lt;'111'!$L$11),"x","")</f>
        <v>x</v>
      </c>
      <c r="T4417" s="75" t="str">
        <f>IF(ISERROR(FIND('112'!$M$9,G4417,1)),"",IF((AND(FIND('112'!$M$9,G4417,1)&gt;=1,B4417='112'!$K$9,OR($N4417='112'!$I$6,$O4417='112'!$I$6))),"x",""))</f>
        <v/>
      </c>
      <c r="U4417" s="75" t="str">
        <f>IF(ISERROR(FIND('112'!$M$9,G4417,1)),"",IF((AND(LEFT(G4417,2)=LEFT('112'!$M$9,2),B4417&lt;'112'!$K$9,$N4417='112'!$I$6)),"x",""))</f>
        <v/>
      </c>
      <c r="V4417" s="75" t="str">
        <f>IF(ISERROR(FIND('112'!$M$9,G4417,1)),"",IF((AND(RIGHT(G4417,2)=RIGHT('112'!$M$9,2),B4417&lt;'112'!$K$9,$O4417='112'!$I$6)),"x",""))</f>
        <v/>
      </c>
      <c r="W4417" s="75" t="str">
        <f>IF(AND('341-CT'!$H$9=H4417,OR(LEFT(N4417,3)=$W$7,LEFT(O4417,3)=$W$7)),"x","")</f>
        <v/>
      </c>
      <c r="X4417" s="75" t="str">
        <f>IF(OR(TH!N3751=TH!$X$7,O4417=TH!$X$7),"x","")</f>
        <v/>
      </c>
      <c r="Y4417" s="75" t="str">
        <f>IF(AND(OR(N4417="131",O4417="131"),H4417='131-CT'!$H$9),"x","")</f>
        <v/>
      </c>
      <c r="Z4417" s="75"/>
      <c r="AA4417" s="75" t="str">
        <f>IF(AND(MONTH(E4417)='IN-NX'!$J$5,'IN-NX'!$D$7=D4417),"x","")</f>
        <v/>
      </c>
      <c r="AB4417" s="75" t="str">
        <f>IF(AND(OR(LEFT(TH!N3751,2)="15",LEFT(TH!O3751,2)="15"),LEFT(TH!O3751,3)&lt;&gt;"111",'152-CT'!$J$8=TH!F3751),"x","")</f>
        <v/>
      </c>
      <c r="AC4417" s="75" t="str">
        <f>IF(AND(OR(LEFT(TH!N3751,2)="15",LEFT(TH!O3751,2)="15"),TK!$E$7=TH!F3751),"x","")</f>
        <v/>
      </c>
      <c r="AD4417" s="75" t="str">
        <f>IF(AND(N4417="1521",MONTH(C4417)='BK-NL'!$M$11),"x","")</f>
        <v/>
      </c>
      <c r="AE4417">
        <v>7</v>
      </c>
    </row>
    <row r="4418" spans="1:31" ht="16.5" customHeight="1">
      <c r="A4418" s="309" t="str">
        <f>IF(B4418&lt;&gt;"",IF(AND(B4418='IN-TC'!$S$4,OR(TH!N4411="1111",TH!O4411="1111")),TH!D4411,""),"")</f>
        <v/>
      </c>
      <c r="B4418" s="1243">
        <f t="shared" si="1322"/>
        <v>7</v>
      </c>
      <c r="C4418" s="292">
        <f t="shared" si="1323"/>
        <v>42922</v>
      </c>
      <c r="D4418" s="292"/>
      <c r="E4418" s="292">
        <v>42922</v>
      </c>
      <c r="F4418" s="67" t="s">
        <v>1228</v>
      </c>
      <c r="G4418" s="925" t="s">
        <v>1814</v>
      </c>
      <c r="H4418" s="294" t="s">
        <v>962</v>
      </c>
      <c r="I4418" s="373"/>
      <c r="J4418" s="926"/>
      <c r="K4418" s="373"/>
      <c r="L4418" s="379"/>
      <c r="M4418" s="927">
        <v>960000</v>
      </c>
      <c r="N4418" s="295" t="s">
        <v>101</v>
      </c>
      <c r="O4418" s="295" t="s">
        <v>63</v>
      </c>
      <c r="P4418" s="75" t="str">
        <f>IF(AND('331-CT'!$E$7=TH!H3752,OR(N4418="331",O4418="331")),"x","")</f>
        <v/>
      </c>
      <c r="Q4418" s="75" t="str">
        <f>IF(AND(B4418='111'!$L$11,OR($N4418=$Q$7,$O4418=$Q$7)),"x","")</f>
        <v/>
      </c>
      <c r="R4418" s="75" t="str">
        <f>IF(AND($N4418=$Q$7,$B4418&lt;'111'!$L$11),"x","")</f>
        <v/>
      </c>
      <c r="S4418" s="75" t="str">
        <f>IF(AND($O4418=$Q$7,$B4418&lt;'111'!$L$11),"x","")</f>
        <v>x</v>
      </c>
      <c r="T4418" s="75" t="str">
        <f>IF(ISERROR(FIND('112'!$M$9,G4418,1)),"",IF((AND(FIND('112'!$M$9,G4418,1)&gt;=1,B4418='112'!$K$9,OR($N4418='112'!$I$6,$O4418='112'!$I$6))),"x",""))</f>
        <v/>
      </c>
      <c r="U4418" s="75" t="str">
        <f>IF(ISERROR(FIND('112'!$M$9,G4418,1)),"",IF((AND(LEFT(G4418,2)=LEFT('112'!$M$9,2),B4418&lt;'112'!$K$9,$N4418='112'!$I$6)),"x",""))</f>
        <v/>
      </c>
      <c r="V4418" s="75" t="str">
        <f>IF(ISERROR(FIND('112'!$M$9,G4418,1)),"",IF((AND(RIGHT(G4418,2)=RIGHT('112'!$M$9,2),B4418&lt;'112'!$K$9,$O4418='112'!$I$6)),"x",""))</f>
        <v/>
      </c>
      <c r="W4418" s="75" t="str">
        <f>IF(AND('341-CT'!$H$9=H4418,OR(LEFT(N4418,3)=$W$7,LEFT(O4418,3)=$W$7)),"x","")</f>
        <v/>
      </c>
      <c r="X4418" s="75" t="str">
        <f>IF(OR(TH!N3752=TH!$X$7,O4418=TH!$X$7),"x","")</f>
        <v/>
      </c>
      <c r="Y4418" s="75" t="str">
        <f>IF(AND(OR(N4418="131",O4418="131"),H4418='131-CT'!$H$9),"x","")</f>
        <v/>
      </c>
      <c r="Z4418" s="75"/>
      <c r="AA4418" s="75" t="str">
        <f>IF(AND(MONTH(E4418)='IN-NX'!$J$5,'IN-NX'!$D$7=D4418),"x","")</f>
        <v/>
      </c>
      <c r="AB4418" s="75" t="str">
        <f>IF(AND(OR(LEFT(TH!N3752,2)="15",LEFT(TH!O3752,2)="15"),LEFT(TH!O3752,3)&lt;&gt;"111",'152-CT'!$J$8=TH!F3752),"x","")</f>
        <v/>
      </c>
      <c r="AC4418" s="75" t="str">
        <f>IF(AND(OR(LEFT(TH!N3752,2)="15",LEFT(TH!O3752,2)="15"),TK!$E$7=TH!F3752),"x","")</f>
        <v/>
      </c>
      <c r="AD4418" s="75" t="str">
        <f>IF(AND(N4418="1521",MONTH(C4418)='BK-NL'!$M$11),"x","")</f>
        <v/>
      </c>
    </row>
    <row r="4419" spans="1:31" ht="16.5" customHeight="1">
      <c r="A4419" s="309" t="str">
        <f>IF(B4419&lt;&gt;"",IF(AND(B4419='IN-TC'!$S$4,OR(TH!N4412="1111",TH!O4412="1111")),TH!D4412,""),"")</f>
        <v/>
      </c>
      <c r="B4419" s="1243">
        <f t="shared" si="1322"/>
        <v>7</v>
      </c>
      <c r="C4419" s="292">
        <f t="shared" si="1323"/>
        <v>42922</v>
      </c>
      <c r="D4419" s="292"/>
      <c r="E4419" s="292">
        <v>42922</v>
      </c>
      <c r="F4419" s="67" t="s">
        <v>1229</v>
      </c>
      <c r="G4419" s="925" t="s">
        <v>1814</v>
      </c>
      <c r="H4419" s="294" t="s">
        <v>962</v>
      </c>
      <c r="I4419" s="373"/>
      <c r="J4419" s="926"/>
      <c r="K4419" s="373"/>
      <c r="L4419" s="379"/>
      <c r="M4419" s="927">
        <v>96000</v>
      </c>
      <c r="N4419" s="295" t="s">
        <v>9</v>
      </c>
      <c r="O4419" s="295" t="s">
        <v>63</v>
      </c>
      <c r="P4419" s="75" t="str">
        <f>IF(AND('331-CT'!$E$7=TH!H3753,OR(N4419="331",O4419="331")),"x","")</f>
        <v/>
      </c>
      <c r="Q4419" s="75" t="str">
        <f>IF(AND(B4419='111'!$L$11,OR($N4419=$Q$7,$O4419=$Q$7)),"x","")</f>
        <v/>
      </c>
      <c r="R4419" s="75" t="str">
        <f>IF(AND($N4419=$Q$7,$B4419&lt;'111'!$L$11),"x","")</f>
        <v/>
      </c>
      <c r="S4419" s="75" t="str">
        <f>IF(AND($O4419=$Q$7,$B4419&lt;'111'!$L$11),"x","")</f>
        <v>x</v>
      </c>
      <c r="T4419" s="75" t="str">
        <f>IF(ISERROR(FIND('112'!$M$9,G4419,1)),"",IF((AND(FIND('112'!$M$9,G4419,1)&gt;=1,B4419='112'!$K$9,OR($N4419='112'!$I$6,$O4419='112'!$I$6))),"x",""))</f>
        <v/>
      </c>
      <c r="U4419" s="75" t="str">
        <f>IF(ISERROR(FIND('112'!$M$9,G4419,1)),"",IF((AND(LEFT(G4419,2)=LEFT('112'!$M$9,2),B4419&lt;'112'!$K$9,$N4419='112'!$I$6)),"x",""))</f>
        <v/>
      </c>
      <c r="V4419" s="75" t="str">
        <f>IF(ISERROR(FIND('112'!$M$9,G4419,1)),"",IF((AND(RIGHT(G4419,2)=RIGHT('112'!$M$9,2),B4419&lt;'112'!$K$9,$O4419='112'!$I$6)),"x",""))</f>
        <v/>
      </c>
      <c r="W4419" s="75" t="str">
        <f>IF(AND('341-CT'!$H$9=H4419,OR(LEFT(N4419,3)=$W$7,LEFT(O4419,3)=$W$7)),"x","")</f>
        <v/>
      </c>
      <c r="X4419" s="75" t="str">
        <f>IF(OR(TH!N3753=TH!$X$7,O4419=TH!$X$7),"x","")</f>
        <v/>
      </c>
      <c r="Y4419" s="75" t="str">
        <f>IF(AND(OR(N4419="131",O4419="131"),H4419='131-CT'!$H$9),"x","")</f>
        <v/>
      </c>
      <c r="Z4419" s="75"/>
      <c r="AA4419" s="75" t="str">
        <f>IF(AND(MONTH(E4419)='IN-NX'!$J$5,'IN-NX'!$D$7=D4419),"x","")</f>
        <v/>
      </c>
      <c r="AB4419" s="75" t="str">
        <f>IF(AND(OR(LEFT(TH!N3753,2)="15",LEFT(TH!O3753,2)="15"),LEFT(TH!O3753,3)&lt;&gt;"111",'152-CT'!$J$8=TH!F3753),"x","")</f>
        <v/>
      </c>
      <c r="AC4419" s="75" t="str">
        <f>IF(AND(OR(LEFT(TH!N3753,2)="15",LEFT(TH!O3753,2)="15"),TK!$E$7=TH!F3753),"x","")</f>
        <v/>
      </c>
      <c r="AD4419" s="75" t="str">
        <f>IF(AND(N4419="1521",MONTH(C4419)='BK-NL'!$M$11),"x","")</f>
        <v/>
      </c>
      <c r="AE4419">
        <v>7</v>
      </c>
    </row>
    <row r="4420" spans="1:31" ht="16.5" customHeight="1">
      <c r="A4420" s="309" t="str">
        <f>IF(B4420&lt;&gt;"",IF(AND(B4420='IN-TC'!$S$4,OR(TH!N4413="1111",TH!O4413="1111")),TH!D4413,""),"")</f>
        <v/>
      </c>
      <c r="B4420" s="1243">
        <f t="shared" si="1322"/>
        <v>7</v>
      </c>
      <c r="C4420" s="292">
        <f t="shared" si="1323"/>
        <v>42922</v>
      </c>
      <c r="D4420" s="292"/>
      <c r="E4420" s="292">
        <v>42922</v>
      </c>
      <c r="F4420" s="67" t="s">
        <v>1228</v>
      </c>
      <c r="G4420" s="925" t="s">
        <v>1815</v>
      </c>
      <c r="H4420" s="294" t="s">
        <v>962</v>
      </c>
      <c r="I4420" s="373"/>
      <c r="J4420" s="926"/>
      <c r="K4420" s="373"/>
      <c r="L4420" s="379"/>
      <c r="M4420" s="927">
        <v>500000</v>
      </c>
      <c r="N4420" s="295" t="s">
        <v>101</v>
      </c>
      <c r="O4420" s="295" t="s">
        <v>63</v>
      </c>
      <c r="P4420" s="75" t="str">
        <f>IF(AND('331-CT'!$E$7=TH!H3754,OR(N4420="331",O4420="331")),"x","")</f>
        <v/>
      </c>
      <c r="Q4420" s="75" t="str">
        <f>IF(AND(B4420='111'!$L$11,OR($N4420=$Q$7,$O4420=$Q$7)),"x","")</f>
        <v/>
      </c>
      <c r="R4420" s="75" t="str">
        <f>IF(AND($N4420=$Q$7,$B4420&lt;'111'!$L$11),"x","")</f>
        <v/>
      </c>
      <c r="S4420" s="75" t="str">
        <f>IF(AND($O4420=$Q$7,$B4420&lt;'111'!$L$11),"x","")</f>
        <v>x</v>
      </c>
      <c r="T4420" s="75" t="str">
        <f>IF(ISERROR(FIND('112'!$M$9,G4420,1)),"",IF((AND(FIND('112'!$M$9,G4420,1)&gt;=1,B4420='112'!$K$9,OR($N4420='112'!$I$6,$O4420='112'!$I$6))),"x",""))</f>
        <v/>
      </c>
      <c r="U4420" s="75" t="str">
        <f>IF(ISERROR(FIND('112'!$M$9,G4420,1)),"",IF((AND(LEFT(G4420,2)=LEFT('112'!$M$9,2),B4420&lt;'112'!$K$9,$N4420='112'!$I$6)),"x",""))</f>
        <v/>
      </c>
      <c r="V4420" s="75" t="str">
        <f>IF(ISERROR(FIND('112'!$M$9,G4420,1)),"",IF((AND(RIGHT(G4420,2)=RIGHT('112'!$M$9,2),B4420&lt;'112'!$K$9,$O4420='112'!$I$6)),"x",""))</f>
        <v/>
      </c>
      <c r="W4420" s="75" t="str">
        <f>IF(AND('341-CT'!$H$9=H4420,OR(LEFT(N4420,3)=$W$7,LEFT(O4420,3)=$W$7)),"x","")</f>
        <v/>
      </c>
      <c r="X4420" s="75" t="str">
        <f>IF(OR(TH!N3754=TH!$X$7,O4420=TH!$X$7),"x","")</f>
        <v/>
      </c>
      <c r="Y4420" s="75" t="str">
        <f>IF(AND(OR(N4420="131",O4420="131"),H4420='131-CT'!$H$9),"x","")</f>
        <v/>
      </c>
      <c r="Z4420" s="75"/>
      <c r="AA4420" s="75" t="str">
        <f>IF(AND(MONTH(E4420)='IN-NX'!$J$5,'IN-NX'!$D$7=D4420),"x","")</f>
        <v/>
      </c>
      <c r="AB4420" s="75" t="str">
        <f>IF(AND(OR(LEFT(TH!N3754,2)="15",LEFT(TH!O3754,2)="15"),LEFT(TH!O3754,3)&lt;&gt;"111",'152-CT'!$J$8=TH!F3754),"x","")</f>
        <v/>
      </c>
      <c r="AC4420" s="75" t="str">
        <f>IF(AND(OR(LEFT(TH!N3754,2)="15",LEFT(TH!O3754,2)="15"),TK!$E$7=TH!F3754),"x","")</f>
        <v/>
      </c>
      <c r="AD4420" s="75" t="str">
        <f>IF(AND(N4420="1521",MONTH(C4420)='BK-NL'!$M$11),"x","")</f>
        <v/>
      </c>
    </row>
    <row r="4421" spans="1:31" ht="16.5" customHeight="1">
      <c r="A4421" s="309" t="str">
        <f>IF(B4421&lt;&gt;"",IF(AND(B4421='IN-TC'!$S$4,OR(TH!N4414="1111",TH!O4414="1111")),TH!D4414,""),"")</f>
        <v/>
      </c>
      <c r="B4421" s="1243">
        <f t="shared" si="1322"/>
        <v>7</v>
      </c>
      <c r="C4421" s="292">
        <f t="shared" si="1323"/>
        <v>42922</v>
      </c>
      <c r="D4421" s="292"/>
      <c r="E4421" s="292">
        <v>42922</v>
      </c>
      <c r="F4421" s="67" t="s">
        <v>1229</v>
      </c>
      <c r="G4421" s="925" t="s">
        <v>1815</v>
      </c>
      <c r="H4421" s="294" t="s">
        <v>962</v>
      </c>
      <c r="I4421" s="373"/>
      <c r="J4421" s="926"/>
      <c r="K4421" s="373"/>
      <c r="L4421" s="379"/>
      <c r="M4421" s="927">
        <v>50000</v>
      </c>
      <c r="N4421" s="295" t="s">
        <v>9</v>
      </c>
      <c r="O4421" s="295" t="s">
        <v>63</v>
      </c>
      <c r="P4421" s="75" t="str">
        <f>IF(AND('331-CT'!$E$7=TH!H3755,OR(N4421="331",O4421="331")),"x","")</f>
        <v/>
      </c>
      <c r="Q4421" s="75" t="str">
        <f>IF(AND(B4421='111'!$L$11,OR($N4421=$Q$7,$O4421=$Q$7)),"x","")</f>
        <v/>
      </c>
      <c r="R4421" s="75" t="str">
        <f>IF(AND($N4421=$Q$7,$B4421&lt;'111'!$L$11),"x","")</f>
        <v/>
      </c>
      <c r="S4421" s="75" t="str">
        <f>IF(AND($O4421=$Q$7,$B4421&lt;'111'!$L$11),"x","")</f>
        <v>x</v>
      </c>
      <c r="T4421" s="75" t="str">
        <f>IF(ISERROR(FIND('112'!$M$9,G4421,1)),"",IF((AND(FIND('112'!$M$9,G4421,1)&gt;=1,B4421='112'!$K$9,OR($N4421='112'!$I$6,$O4421='112'!$I$6))),"x",""))</f>
        <v/>
      </c>
      <c r="U4421" s="75" t="str">
        <f>IF(ISERROR(FIND('112'!$M$9,G4421,1)),"",IF((AND(LEFT(G4421,2)=LEFT('112'!$M$9,2),B4421&lt;'112'!$K$9,$N4421='112'!$I$6)),"x",""))</f>
        <v/>
      </c>
      <c r="V4421" s="75" t="str">
        <f>IF(ISERROR(FIND('112'!$M$9,G4421,1)),"",IF((AND(RIGHT(G4421,2)=RIGHT('112'!$M$9,2),B4421&lt;'112'!$K$9,$O4421='112'!$I$6)),"x",""))</f>
        <v/>
      </c>
      <c r="W4421" s="75" t="str">
        <f>IF(AND('341-CT'!$H$9=H4421,OR(LEFT(N4421,3)=$W$7,LEFT(O4421,3)=$W$7)),"x","")</f>
        <v/>
      </c>
      <c r="X4421" s="75" t="str">
        <f>IF(OR(TH!N3755=TH!$X$7,O4421=TH!$X$7),"x","")</f>
        <v/>
      </c>
      <c r="Y4421" s="75" t="str">
        <f>IF(AND(OR(N4421="131",O4421="131"),H4421='131-CT'!$H$9),"x","")</f>
        <v/>
      </c>
      <c r="Z4421" s="75"/>
      <c r="AA4421" s="75" t="str">
        <f>IF(AND(MONTH(E4421)='IN-NX'!$J$5,'IN-NX'!$D$7=D4421),"x","")</f>
        <v/>
      </c>
      <c r="AB4421" s="75" t="str">
        <f>IF(AND(OR(LEFT(TH!N3755,2)="15",LEFT(TH!O3755,2)="15"),LEFT(TH!O3755,3)&lt;&gt;"111",'152-CT'!$J$8=TH!F3755),"x","")</f>
        <v/>
      </c>
      <c r="AC4421" s="75" t="str">
        <f>IF(AND(OR(LEFT(TH!N3755,2)="15",LEFT(TH!O3755,2)="15"),TK!$E$7=TH!F3755),"x","")</f>
        <v/>
      </c>
      <c r="AD4421" s="75" t="str">
        <f>IF(AND(N4421="1521",MONTH(C4421)='BK-NL'!$M$11),"x","")</f>
        <v/>
      </c>
      <c r="AE4421">
        <v>7</v>
      </c>
    </row>
    <row r="4422" spans="1:31" ht="16.5" customHeight="1">
      <c r="A4422" s="309" t="str">
        <f>IF(B4422&lt;&gt;"",IF(AND(B4422='IN-TC'!$S$4,OR(TH!N4415="1111",TH!O4415="1111")),TH!D4415,""),"")</f>
        <v/>
      </c>
      <c r="B4422" s="1243">
        <f t="shared" si="1322"/>
        <v>7</v>
      </c>
      <c r="C4422" s="292">
        <f t="shared" si="1323"/>
        <v>42922</v>
      </c>
      <c r="D4422" s="292"/>
      <c r="E4422" s="292">
        <v>42922</v>
      </c>
      <c r="F4422" s="67" t="s">
        <v>1165</v>
      </c>
      <c r="G4422" s="925" t="s">
        <v>1692</v>
      </c>
      <c r="H4422" s="294" t="s">
        <v>1684</v>
      </c>
      <c r="I4422" s="373"/>
      <c r="J4422" s="926"/>
      <c r="K4422" s="373"/>
      <c r="L4422" s="379"/>
      <c r="M4422" s="927">
        <v>19650400</v>
      </c>
      <c r="N4422" s="295" t="s">
        <v>8</v>
      </c>
      <c r="O4422" s="295" t="s">
        <v>63</v>
      </c>
      <c r="P4422" s="75" t="str">
        <f>IF(AND('331-CT'!$E$7=TH!H3756,OR(N4422="331",O4422="331")),"x","")</f>
        <v/>
      </c>
      <c r="Q4422" s="75" t="str">
        <f>IF(AND(B4422='111'!$L$11,OR($N4422=$Q$7,$O4422=$Q$7)),"x","")</f>
        <v/>
      </c>
      <c r="R4422" s="75" t="str">
        <f>IF(AND($N4422=$Q$7,$B4422&lt;'111'!$L$11),"x","")</f>
        <v/>
      </c>
      <c r="S4422" s="75" t="str">
        <f>IF(AND($O4422=$Q$7,$B4422&lt;'111'!$L$11),"x","")</f>
        <v>x</v>
      </c>
      <c r="T4422" s="75" t="str">
        <f>IF(ISERROR(FIND('112'!$M$9,G4422,1)),"",IF((AND(FIND('112'!$M$9,G4422,1)&gt;=1,B4422='112'!$K$9,OR($N4422='112'!$I$6,$O4422='112'!$I$6))),"x",""))</f>
        <v/>
      </c>
      <c r="U4422" s="75" t="str">
        <f>IF(ISERROR(FIND('112'!$M$9,G4422,1)),"",IF((AND(LEFT(G4422,2)=LEFT('112'!$M$9,2),B4422&lt;'112'!$K$9,$N4422='112'!$I$6)),"x",""))</f>
        <v/>
      </c>
      <c r="V4422" s="75" t="str">
        <f>IF(ISERROR(FIND('112'!$M$9,G4422,1)),"",IF((AND(RIGHT(G4422,2)=RIGHT('112'!$M$9,2),B4422&lt;'112'!$K$9,$O4422='112'!$I$6)),"x",""))</f>
        <v/>
      </c>
      <c r="W4422" s="75" t="str">
        <f>IF(AND('341-CT'!$H$9=H4422,OR(LEFT(N4422,3)=$W$7,LEFT(O4422,3)=$W$7)),"x","")</f>
        <v/>
      </c>
      <c r="X4422" s="75" t="str">
        <f>IF(OR(TH!N3756=TH!$X$7,O4422=TH!$X$7),"x","")</f>
        <v/>
      </c>
      <c r="Y4422" s="75" t="str">
        <f>IF(AND(OR(N4422="131",O4422="131"),H4422='131-CT'!$H$9),"x","")</f>
        <v/>
      </c>
      <c r="Z4422" s="75"/>
      <c r="AA4422" s="75" t="str">
        <f>IF(AND(MONTH(E4422)='IN-NX'!$J$5,'IN-NX'!$D$7=D4422),"x","")</f>
        <v/>
      </c>
      <c r="AB4422" s="75" t="str">
        <f>IF(AND(OR(LEFT(TH!N3756,2)="15",LEFT(TH!O3756,2)="15"),LEFT(TH!O3756,3)&lt;&gt;"111",'152-CT'!$J$8=TH!F3756),"x","")</f>
        <v/>
      </c>
      <c r="AC4422" s="75" t="str">
        <f>IF(AND(OR(LEFT(TH!N3756,2)="15",LEFT(TH!O3756,2)="15"),TK!$E$7=TH!F3756),"x","")</f>
        <v/>
      </c>
      <c r="AD4422" s="75" t="str">
        <f>IF(AND(N4422="1521",MONTH(C4422)='BK-NL'!$M$11),"x","")</f>
        <v/>
      </c>
    </row>
    <row r="4423" spans="1:31" ht="16.5" customHeight="1">
      <c r="A4423" s="309" t="str">
        <f>IF(B4423&lt;&gt;"",IF(AND(B4423='IN-TC'!$S$4,OR(TH!N4416="1111",TH!O4416="1111")),TH!D4416,""),"")</f>
        <v/>
      </c>
      <c r="B4423" s="1243">
        <f t="shared" si="1322"/>
        <v>7</v>
      </c>
      <c r="C4423" s="292">
        <f t="shared" si="1323"/>
        <v>42922</v>
      </c>
      <c r="D4423" s="292"/>
      <c r="E4423" s="292">
        <v>42922</v>
      </c>
      <c r="F4423" s="293" t="s">
        <v>1856</v>
      </c>
      <c r="G4423" s="943" t="s">
        <v>2094</v>
      </c>
      <c r="H4423" s="311" t="s">
        <v>935</v>
      </c>
      <c r="I4423" s="1219"/>
      <c r="J4423" s="1220"/>
      <c r="K4423" s="373"/>
      <c r="L4423" s="379"/>
      <c r="M4423" s="927">
        <f>1831925+457089</f>
        <v>2289014</v>
      </c>
      <c r="N4423" s="295" t="s">
        <v>101</v>
      </c>
      <c r="O4423" s="295" t="s">
        <v>63</v>
      </c>
      <c r="P4423" s="75" t="str">
        <f>IF(AND('331-CT'!$E$7=TH!H3757,OR(N4423="331",O4423="331")),"x","")</f>
        <v/>
      </c>
      <c r="Q4423" s="75" t="str">
        <f>IF(AND(B4423='111'!$L$11,OR($N4423=$Q$7,$O4423=$Q$7)),"x","")</f>
        <v/>
      </c>
      <c r="R4423" s="75" t="str">
        <f>IF(AND($N4423=$Q$7,$B4423&lt;'111'!$L$11),"x","")</f>
        <v/>
      </c>
      <c r="S4423" s="75" t="str">
        <f>IF(AND($O4423=$Q$7,$B4423&lt;'111'!$L$11),"x","")</f>
        <v>x</v>
      </c>
      <c r="T4423" s="75" t="str">
        <f>IF(ISERROR(FIND('112'!$M$9,G4423,1)),"",IF((AND(FIND('112'!$M$9,G4423,1)&gt;=1,B4423='112'!$K$9,OR($N4423='112'!$I$6,$O4423='112'!$I$6))),"x",""))</f>
        <v/>
      </c>
      <c r="U4423" s="75" t="str">
        <f>IF(ISERROR(FIND('112'!$M$9,G4423,1)),"",IF((AND(LEFT(G4423,2)=LEFT('112'!$M$9,2),B4423&lt;'112'!$K$9,$N4423='112'!$I$6)),"x",""))</f>
        <v/>
      </c>
      <c r="V4423" s="75" t="str">
        <f>IF(ISERROR(FIND('112'!$M$9,G4423,1)),"",IF((AND(RIGHT(G4423,2)=RIGHT('112'!$M$9,2),B4423&lt;'112'!$K$9,$O4423='112'!$I$6)),"x",""))</f>
        <v/>
      </c>
      <c r="W4423" s="75" t="str">
        <f>IF(AND('341-CT'!$H$9=H4423,OR(LEFT(N4423,3)=$W$7,LEFT(O4423,3)=$W$7)),"x","")</f>
        <v/>
      </c>
      <c r="X4423" s="75" t="str">
        <f>IF(OR(TH!N3757=TH!$X$7,O4423=TH!$X$7),"x","")</f>
        <v/>
      </c>
      <c r="Y4423" s="75" t="str">
        <f>IF(AND(OR(N4423="131",O4423="131"),H4423='131-CT'!$H$9),"x","")</f>
        <v/>
      </c>
      <c r="Z4423" s="75"/>
      <c r="AA4423" s="75" t="str">
        <f>IF(AND(MONTH(E4423)='IN-NX'!$J$5,'IN-NX'!$D$7=D4423),"x","")</f>
        <v/>
      </c>
      <c r="AB4423" s="75" t="str">
        <f>IF(AND(OR(LEFT(TH!N3757,2)="15",LEFT(TH!O3757,2)="15"),LEFT(TH!O3757,3)&lt;&gt;"111",'152-CT'!$J$8=TH!F3757),"x","")</f>
        <v/>
      </c>
      <c r="AC4423" s="75" t="str">
        <f>IF(AND(OR(LEFT(TH!N3757,2)="15",LEFT(TH!O3757,2)="15"),TK!$E$7=TH!F3757),"x","")</f>
        <v/>
      </c>
      <c r="AD4423" s="75" t="str">
        <f>IF(AND(N4423="1521",MONTH(C4423)='BK-NL'!$M$11),"x","")</f>
        <v/>
      </c>
    </row>
    <row r="4424" spans="1:31" ht="16.5" customHeight="1">
      <c r="A4424" s="309" t="str">
        <f>IF(B4424&lt;&gt;"",IF(AND(B4424='IN-TC'!$S$4,OR(TH!N4417="1111",TH!O4417="1111")),TH!D4417,""),"")</f>
        <v/>
      </c>
      <c r="B4424" s="1243">
        <f t="shared" si="1322"/>
        <v>7</v>
      </c>
      <c r="C4424" s="292">
        <f t="shared" si="1323"/>
        <v>42922</v>
      </c>
      <c r="D4424" s="292"/>
      <c r="E4424" s="292">
        <v>42922</v>
      </c>
      <c r="F4424" s="293" t="s">
        <v>1857</v>
      </c>
      <c r="G4424" s="943" t="s">
        <v>2094</v>
      </c>
      <c r="H4424" s="311" t="s">
        <v>935</v>
      </c>
      <c r="I4424" s="1219"/>
      <c r="J4424" s="1220"/>
      <c r="K4424" s="373"/>
      <c r="L4424" s="379"/>
      <c r="M4424" s="927">
        <v>228902</v>
      </c>
      <c r="N4424" s="295" t="s">
        <v>9</v>
      </c>
      <c r="O4424" s="295" t="s">
        <v>63</v>
      </c>
      <c r="P4424" s="75" t="str">
        <f>IF(AND('331-CT'!$E$7=TH!H3758,OR(N4424="331",O4424="331")),"x","")</f>
        <v/>
      </c>
      <c r="Q4424" s="75" t="str">
        <f>IF(AND(B4424='111'!$L$11,OR($N4424=$Q$7,$O4424=$Q$7)),"x","")</f>
        <v/>
      </c>
      <c r="R4424" s="75" t="str">
        <f>IF(AND($N4424=$Q$7,$B4424&lt;'111'!$L$11),"x","")</f>
        <v/>
      </c>
      <c r="S4424" s="75" t="str">
        <f>IF(AND($O4424=$Q$7,$B4424&lt;'111'!$L$11),"x","")</f>
        <v>x</v>
      </c>
      <c r="T4424" s="75" t="str">
        <f>IF(ISERROR(FIND('112'!$M$9,G4424,1)),"",IF((AND(FIND('112'!$M$9,G4424,1)&gt;=1,B4424='112'!$K$9,OR($N4424='112'!$I$6,$O4424='112'!$I$6))),"x",""))</f>
        <v/>
      </c>
      <c r="U4424" s="75" t="str">
        <f>IF(ISERROR(FIND('112'!$M$9,G4424,1)),"",IF((AND(LEFT(G4424,2)=LEFT('112'!$M$9,2),B4424&lt;'112'!$K$9,$N4424='112'!$I$6)),"x",""))</f>
        <v/>
      </c>
      <c r="V4424" s="75" t="str">
        <f>IF(ISERROR(FIND('112'!$M$9,G4424,1)),"",IF((AND(RIGHT(G4424,2)=RIGHT('112'!$M$9,2),B4424&lt;'112'!$K$9,$O4424='112'!$I$6)),"x",""))</f>
        <v/>
      </c>
      <c r="W4424" s="75" t="str">
        <f>IF(AND('341-CT'!$H$9=H4424,OR(LEFT(N4424,3)=$W$7,LEFT(O4424,3)=$W$7)),"x","")</f>
        <v/>
      </c>
      <c r="X4424" s="75" t="str">
        <f>IF(OR(TH!N3758=TH!$X$7,O4424=TH!$X$7),"x","")</f>
        <v/>
      </c>
      <c r="Y4424" s="75" t="str">
        <f>IF(AND(OR(N4424="131",O4424="131"),H4424='131-CT'!$H$9),"x","")</f>
        <v/>
      </c>
      <c r="Z4424" s="75"/>
      <c r="AA4424" s="75" t="str">
        <f>IF(AND(MONTH(E4424)='IN-NX'!$J$5,'IN-NX'!$D$7=D4424),"x","")</f>
        <v/>
      </c>
      <c r="AB4424" s="75" t="str">
        <f>IF(AND(OR(LEFT(TH!N3758,2)="15",LEFT(TH!O3758,2)="15"),LEFT(TH!O3758,3)&lt;&gt;"111",'152-CT'!$J$8=TH!F3758),"x","")</f>
        <v/>
      </c>
      <c r="AC4424" s="75" t="str">
        <f>IF(AND(OR(LEFT(TH!N3758,2)="15",LEFT(TH!O3758,2)="15"),TK!$E$7=TH!F3758),"x","")</f>
        <v/>
      </c>
      <c r="AD4424" s="75" t="str">
        <f>IF(AND(N4424="1521",MONTH(C4424)='BK-NL'!$M$11),"x","")</f>
        <v/>
      </c>
      <c r="AE4424">
        <v>7</v>
      </c>
    </row>
    <row r="4425" spans="1:31" ht="16.5" customHeight="1">
      <c r="A4425" s="309" t="str">
        <f>IF(B4425&lt;&gt;"",IF(AND(B4425='IN-TC'!$S$4,OR(TH!N4418="1111",TH!O4418="1111")),TH!D4418,""),"")</f>
        <v/>
      </c>
      <c r="B4425" s="1243">
        <f t="shared" si="1322"/>
        <v>7</v>
      </c>
      <c r="C4425" s="292">
        <f t="shared" si="1323"/>
        <v>42922</v>
      </c>
      <c r="D4425" s="59" t="s">
        <v>902</v>
      </c>
      <c r="E4425" s="59">
        <v>42922</v>
      </c>
      <c r="F4425" s="67" t="s">
        <v>1739</v>
      </c>
      <c r="G4425" s="62" t="s">
        <v>747</v>
      </c>
      <c r="H4425" s="294" t="s">
        <v>1450</v>
      </c>
      <c r="I4425" s="1122"/>
      <c r="J4425" s="992"/>
      <c r="K4425" s="375"/>
      <c r="L4425" s="381"/>
      <c r="M4425" s="60">
        <v>30029522</v>
      </c>
      <c r="N4425" s="61" t="s">
        <v>8</v>
      </c>
      <c r="O4425" s="61" t="s">
        <v>26</v>
      </c>
      <c r="P4425" s="75" t="str">
        <f>IF(AND('331-CT'!$E$7=TH!H5278,OR(N4425="331",O4425="331")),"x","")</f>
        <v/>
      </c>
      <c r="Q4425" s="75" t="str">
        <f>IF(AND(B4425='111'!$L$11,OR($N4425=$Q$7,$O4425=$Q$7)),"x","")</f>
        <v/>
      </c>
      <c r="R4425" s="75" t="str">
        <f>IF(AND($N4425=$Q$7,$B4425&lt;'111'!$L$11),"x","")</f>
        <v/>
      </c>
      <c r="S4425" s="75" t="str">
        <f>IF(AND($O4425=$Q$7,$B4425&lt;'111'!$L$11),"x","")</f>
        <v/>
      </c>
      <c r="T4425" s="75" t="str">
        <f>IF(ISERROR(FIND('112'!$M$9,G4425,1)),"",IF((AND(FIND('112'!$M$9,G4425,1)&gt;=1,B4425='112'!$K$9,OR($N4425='112'!$I$6,$O4425='112'!$I$6))),"x",""))</f>
        <v/>
      </c>
      <c r="U4425" s="75" t="str">
        <f>IF(ISERROR(FIND('112'!$M$9,G4425,1)),"",IF((AND(LEFT(G4425,2)=LEFT('112'!$M$9,2),B4425&lt;'112'!$K$9,$N4425='112'!$I$6)),"x",""))</f>
        <v/>
      </c>
      <c r="V4425" s="75" t="str">
        <f>IF(ISERROR(FIND('112'!$M$9,G4425,1)),"",IF((AND(RIGHT(G4425,2)=RIGHT('112'!$M$9,2),B4425&lt;'112'!$K$9,$O4425='112'!$I$6)),"x",""))</f>
        <v/>
      </c>
      <c r="W4425" s="75" t="str">
        <f>IF(AND('341-CT'!$H$9=H4425,OR(LEFT(N4425,3)=$W$7,LEFT(O4425,3)=$W$7)),"x","")</f>
        <v/>
      </c>
      <c r="X4425" s="75" t="str">
        <f>IF(OR(TH!N5278=TH!$X$7,O4425=TH!$X$7),"x","")</f>
        <v/>
      </c>
      <c r="Y4425" s="75" t="str">
        <f>IF(AND(OR(N4425="131",O4425="131"),H4425='131-CT'!$H$9),"x","")</f>
        <v/>
      </c>
      <c r="Z4425" s="75"/>
      <c r="AA4425" s="75" t="str">
        <f>IF(AND(MONTH(E4425)='IN-NX'!$J$5,'IN-NX'!$D$7=D4425),"x","")</f>
        <v/>
      </c>
      <c r="AB4425" s="75" t="str">
        <f>IF(AND(OR(LEFT(TH!N5278,2)="15",LEFT(TH!O5278,2)="15"),LEFT(TH!O5278,3)&lt;&gt;"111",'152-CT'!$J$8=TH!F5278),"x","")</f>
        <v/>
      </c>
      <c r="AC4425" s="75" t="str">
        <f>IF(AND(OR(LEFT(TH!N5278,2)="15",LEFT(TH!O5278,2)="15"),TK!$E$7=TH!F5278),"x","")</f>
        <v/>
      </c>
      <c r="AD4425" s="75" t="str">
        <f>IF(AND(N4425="1521",MONTH(C4425)='BK-NL'!$M$11),"x","")</f>
        <v/>
      </c>
    </row>
    <row r="4426" spans="1:31" ht="16.5" customHeight="1">
      <c r="A4426" s="309" t="str">
        <f>IF(B4426&lt;&gt;"",IF(AND(B4426='IN-TC'!$S$4,OR(TH!N4419="1111",TH!O4419="1111")),TH!D4419,""),"")</f>
        <v/>
      </c>
      <c r="B4426" s="1243">
        <f t="shared" si="1322"/>
        <v>7</v>
      </c>
      <c r="C4426" s="292">
        <f t="shared" si="1323"/>
        <v>42922</v>
      </c>
      <c r="D4426" s="59" t="s">
        <v>902</v>
      </c>
      <c r="E4426" s="59">
        <v>42922</v>
      </c>
      <c r="F4426" s="67" t="s">
        <v>870</v>
      </c>
      <c r="G4426" s="62" t="s">
        <v>747</v>
      </c>
      <c r="H4426" s="67" t="s">
        <v>835</v>
      </c>
      <c r="I4426" s="1122"/>
      <c r="J4426" s="992"/>
      <c r="K4426" s="375"/>
      <c r="L4426" s="381"/>
      <c r="M4426" s="60">
        <v>10000</v>
      </c>
      <c r="N4426" s="61" t="s">
        <v>101</v>
      </c>
      <c r="O4426" s="61" t="s">
        <v>26</v>
      </c>
      <c r="P4426" s="75" t="str">
        <f>IF(AND('331-CT'!$E$7=TH!H5279,OR(N4426="331",O4426="331")),"x","")</f>
        <v/>
      </c>
      <c r="Q4426" s="75" t="str">
        <f>IF(AND(B4426='111'!$L$11,OR($N4426=$Q$7,$O4426=$Q$7)),"x","")</f>
        <v/>
      </c>
      <c r="R4426" s="75" t="str">
        <f>IF(AND($N4426=$Q$7,$B4426&lt;'111'!$L$11),"x","")</f>
        <v/>
      </c>
      <c r="S4426" s="75" t="str">
        <f>IF(AND($O4426=$Q$7,$B4426&lt;'111'!$L$11),"x","")</f>
        <v/>
      </c>
      <c r="T4426" s="75" t="str">
        <f>IF(ISERROR(FIND('112'!$M$9,G4426,1)),"",IF((AND(FIND('112'!$M$9,G4426,1)&gt;=1,B4426='112'!$K$9,OR($N4426='112'!$I$6,$O4426='112'!$I$6))),"x",""))</f>
        <v/>
      </c>
      <c r="U4426" s="75" t="str">
        <f>IF(ISERROR(FIND('112'!$M$9,G4426,1)),"",IF((AND(LEFT(G4426,2)=LEFT('112'!$M$9,2),B4426&lt;'112'!$K$9,$N4426='112'!$I$6)),"x",""))</f>
        <v/>
      </c>
      <c r="V4426" s="75" t="str">
        <f>IF(ISERROR(FIND('112'!$M$9,G4426,1)),"",IF((AND(RIGHT(G4426,2)=RIGHT('112'!$M$9,2),B4426&lt;'112'!$K$9,$O4426='112'!$I$6)),"x",""))</f>
        <v/>
      </c>
      <c r="W4426" s="75" t="str">
        <f>IF(AND('341-CT'!$H$9=H4426,OR(LEFT(N4426,3)=$W$7,LEFT(O4426,3)=$W$7)),"x","")</f>
        <v/>
      </c>
      <c r="X4426" s="75" t="str">
        <f>IF(OR(TH!N5279=TH!$X$7,O4426=TH!$X$7),"x","")</f>
        <v/>
      </c>
      <c r="Y4426" s="75" t="str">
        <f>IF(AND(OR(N4426="131",O4426="131"),H4426='131-CT'!$H$9),"x","")</f>
        <v/>
      </c>
      <c r="Z4426" s="75"/>
      <c r="AA4426" s="75" t="str">
        <f>IF(AND(MONTH(E4426)='IN-NX'!$J$5,'IN-NX'!$D$7=D4426),"x","")</f>
        <v/>
      </c>
      <c r="AB4426" s="75" t="str">
        <f>IF(AND(OR(LEFT(TH!N5279,2)="15",LEFT(TH!O5279,2)="15"),LEFT(TH!O5279,3)&lt;&gt;"111",'152-CT'!$J$8=TH!F5279),"x","")</f>
        <v/>
      </c>
      <c r="AC4426" s="75" t="str">
        <f>IF(AND(OR(LEFT(TH!N5279,2)="15",LEFT(TH!O5279,2)="15"),TK!$E$7=TH!F5279),"x","")</f>
        <v/>
      </c>
      <c r="AD4426" s="75" t="str">
        <f>IF(AND(N4426="1521",MONTH(C4426)='BK-NL'!$M$11),"x","")</f>
        <v/>
      </c>
    </row>
    <row r="4427" spans="1:31" ht="16.5" customHeight="1">
      <c r="A4427" s="309" t="str">
        <f>IF(B4427&lt;&gt;"",IF(AND(B4427='IN-TC'!$S$4,OR(TH!N4420="1111",TH!O4420="1111")),TH!D4420,""),"")</f>
        <v/>
      </c>
      <c r="B4427" s="1243">
        <f t="shared" si="1322"/>
        <v>7</v>
      </c>
      <c r="C4427" s="292">
        <f t="shared" si="1323"/>
        <v>42922</v>
      </c>
      <c r="D4427" s="59" t="s">
        <v>902</v>
      </c>
      <c r="E4427" s="59">
        <v>42922</v>
      </c>
      <c r="F4427" s="67" t="s">
        <v>898</v>
      </c>
      <c r="G4427" s="62" t="s">
        <v>747</v>
      </c>
      <c r="H4427" s="67" t="s">
        <v>835</v>
      </c>
      <c r="I4427" s="1122"/>
      <c r="J4427" s="992"/>
      <c r="K4427" s="375"/>
      <c r="L4427" s="381"/>
      <c r="M4427" s="60">
        <v>1000</v>
      </c>
      <c r="N4427" s="61" t="s">
        <v>9</v>
      </c>
      <c r="O4427" s="61" t="s">
        <v>26</v>
      </c>
      <c r="P4427" s="75" t="str">
        <f>IF(AND('331-CT'!$E$7=TH!H5280,OR(N4427="331",O4427="331")),"x","")</f>
        <v/>
      </c>
      <c r="Q4427" s="75" t="str">
        <f>IF(AND(B4427='111'!$L$11,OR($N4427=$Q$7,$O4427=$Q$7)),"x","")</f>
        <v/>
      </c>
      <c r="R4427" s="75" t="str">
        <f>IF(AND($N4427=$Q$7,$B4427&lt;'111'!$L$11),"x","")</f>
        <v/>
      </c>
      <c r="S4427" s="75" t="str">
        <f>IF(AND($O4427=$Q$7,$B4427&lt;'111'!$L$11),"x","")</f>
        <v/>
      </c>
      <c r="T4427" s="75" t="str">
        <f>IF(ISERROR(FIND('112'!$M$9,G4427,1)),"",IF((AND(FIND('112'!$M$9,G4427,1)&gt;=1,B4427='112'!$K$9,OR($N4427='112'!$I$6,$O4427='112'!$I$6))),"x",""))</f>
        <v/>
      </c>
      <c r="U4427" s="75" t="str">
        <f>IF(ISERROR(FIND('112'!$M$9,G4427,1)),"",IF((AND(LEFT(G4427,2)=LEFT('112'!$M$9,2),B4427&lt;'112'!$K$9,$N4427='112'!$I$6)),"x",""))</f>
        <v/>
      </c>
      <c r="V4427" s="75" t="str">
        <f>IF(ISERROR(FIND('112'!$M$9,G4427,1)),"",IF((AND(RIGHT(G4427,2)=RIGHT('112'!$M$9,2),B4427&lt;'112'!$K$9,$O4427='112'!$I$6)),"x",""))</f>
        <v/>
      </c>
      <c r="W4427" s="75" t="str">
        <f>IF(AND('341-CT'!$H$9=H4427,OR(LEFT(N4427,3)=$W$7,LEFT(O4427,3)=$W$7)),"x","")</f>
        <v/>
      </c>
      <c r="X4427" s="75" t="str">
        <f>IF(OR(TH!N5280=TH!$X$7,O4427=TH!$X$7),"x","")</f>
        <v/>
      </c>
      <c r="Y4427" s="75" t="str">
        <f>IF(AND(OR(N4427="131",O4427="131"),H4427='131-CT'!$H$9),"x","")</f>
        <v/>
      </c>
      <c r="Z4427" s="75"/>
      <c r="AA4427" s="75" t="str">
        <f>IF(AND(MONTH(E4427)='IN-NX'!$J$5,'IN-NX'!$D$7=D4427),"x","")</f>
        <v/>
      </c>
      <c r="AB4427" s="75" t="str">
        <f>IF(AND(OR(LEFT(TH!N5280,2)="15",LEFT(TH!O5280,2)="15"),LEFT(TH!O5280,3)&lt;&gt;"111",'152-CT'!$J$8=TH!F5280),"x","")</f>
        <v/>
      </c>
      <c r="AC4427" s="75" t="str">
        <f>IF(AND(OR(LEFT(TH!N5280,2)="15",LEFT(TH!O5280,2)="15"),TK!$E$7=TH!F5280),"x","")</f>
        <v/>
      </c>
      <c r="AD4427" s="75" t="str">
        <f>IF(AND(N4427="1521",MONTH(C4427)='BK-NL'!$M$11),"x","")</f>
        <v/>
      </c>
      <c r="AE4427">
        <v>7</v>
      </c>
    </row>
    <row r="4428" spans="1:31" ht="16.5" customHeight="1">
      <c r="A4428" s="309" t="str">
        <f>IF(B4428&lt;&gt;"",IF(AND(B4428='IN-TC'!$S$4,OR(TH!N4421="1111",TH!O4421="1111")),TH!D4421,""),"")</f>
        <v/>
      </c>
      <c r="B4428" s="1243">
        <f t="shared" si="1322"/>
        <v>7</v>
      </c>
      <c r="C4428" s="292">
        <f t="shared" si="1323"/>
        <v>42922</v>
      </c>
      <c r="D4428" s="59" t="s">
        <v>902</v>
      </c>
      <c r="E4428" s="59">
        <v>42922</v>
      </c>
      <c r="F4428" s="67" t="s">
        <v>1087</v>
      </c>
      <c r="G4428" s="62" t="s">
        <v>747</v>
      </c>
      <c r="H4428" s="67" t="s">
        <v>567</v>
      </c>
      <c r="I4428" s="1122"/>
      <c r="J4428" s="992"/>
      <c r="K4428" s="375"/>
      <c r="L4428" s="381"/>
      <c r="M4428" s="60">
        <v>100000000</v>
      </c>
      <c r="N4428" s="61" t="s">
        <v>8</v>
      </c>
      <c r="O4428" s="61" t="s">
        <v>26</v>
      </c>
      <c r="P4428" s="75" t="str">
        <f>IF(AND('331-CT'!$E$7=TH!H5281,OR(N4428="331",O4428="331")),"x","")</f>
        <v/>
      </c>
      <c r="Q4428" s="75" t="str">
        <f>IF(AND(B4428='111'!$L$11,OR($N4428=$Q$7,$O4428=$Q$7)),"x","")</f>
        <v/>
      </c>
      <c r="R4428" s="75" t="str">
        <f>IF(AND($N4428=$Q$7,$B4428&lt;'111'!$L$11),"x","")</f>
        <v/>
      </c>
      <c r="S4428" s="75" t="str">
        <f>IF(AND($O4428=$Q$7,$B4428&lt;'111'!$L$11),"x","")</f>
        <v/>
      </c>
      <c r="T4428" s="75" t="str">
        <f>IF(ISERROR(FIND('112'!$M$9,G4428,1)),"",IF((AND(FIND('112'!$M$9,G4428,1)&gt;=1,B4428='112'!$K$9,OR($N4428='112'!$I$6,$O4428='112'!$I$6))),"x",""))</f>
        <v/>
      </c>
      <c r="U4428" s="75" t="str">
        <f>IF(ISERROR(FIND('112'!$M$9,G4428,1)),"",IF((AND(LEFT(G4428,2)=LEFT('112'!$M$9,2),B4428&lt;'112'!$K$9,$N4428='112'!$I$6)),"x",""))</f>
        <v/>
      </c>
      <c r="V4428" s="75" t="str">
        <f>IF(ISERROR(FIND('112'!$M$9,G4428,1)),"",IF((AND(RIGHT(G4428,2)=RIGHT('112'!$M$9,2),B4428&lt;'112'!$K$9,$O4428='112'!$I$6)),"x",""))</f>
        <v/>
      </c>
      <c r="W4428" s="75" t="str">
        <f>IF(AND('341-CT'!$H$9=H4428,OR(LEFT(N4428,3)=$W$7,LEFT(O4428,3)=$W$7)),"x","")</f>
        <v/>
      </c>
      <c r="X4428" s="75" t="str">
        <f>IF(OR(TH!N5281=TH!$X$7,O4428=TH!$X$7),"x","")</f>
        <v/>
      </c>
      <c r="Y4428" s="75" t="str">
        <f>IF(AND(OR(N4428="131",O4428="131"),H4428='131-CT'!$H$9),"x","")</f>
        <v/>
      </c>
      <c r="Z4428" s="75"/>
      <c r="AA4428" s="75" t="str">
        <f>IF(AND(MONTH(E4428)='IN-NX'!$J$5,'IN-NX'!$D$7=D4428),"x","")</f>
        <v/>
      </c>
      <c r="AB4428" s="75" t="str">
        <f>IF(AND(OR(LEFT(TH!N5281,2)="15",LEFT(TH!O5281,2)="15"),LEFT(TH!O5281,3)&lt;&gt;"111",'152-CT'!$J$8=TH!F5281),"x","")</f>
        <v/>
      </c>
      <c r="AC4428" s="75" t="str">
        <f>IF(AND(OR(LEFT(TH!N5281,2)="15",LEFT(TH!O5281,2)="15"),TK!$E$7=TH!F5281),"x","")</f>
        <v/>
      </c>
      <c r="AD4428" s="75" t="str">
        <f>IF(AND(N4428="1521",MONTH(C4428)='BK-NL'!$M$11),"x","")</f>
        <v/>
      </c>
    </row>
    <row r="4429" spans="1:31" ht="16.5" customHeight="1">
      <c r="A4429" s="309" t="str">
        <f>IF(B4429&lt;&gt;"",IF(AND(B4429='IN-TC'!$S$4,OR(TH!N4422="1111",TH!O4422="1111")),TH!D4422,""),"")</f>
        <v/>
      </c>
      <c r="B4429" s="1243">
        <f t="shared" si="1322"/>
        <v>7</v>
      </c>
      <c r="C4429" s="292">
        <f t="shared" si="1323"/>
        <v>42922</v>
      </c>
      <c r="D4429" s="59" t="s">
        <v>902</v>
      </c>
      <c r="E4429" s="59">
        <v>42922</v>
      </c>
      <c r="F4429" s="67" t="s">
        <v>870</v>
      </c>
      <c r="G4429" s="62" t="s">
        <v>747</v>
      </c>
      <c r="H4429" s="67" t="s">
        <v>835</v>
      </c>
      <c r="I4429" s="1122"/>
      <c r="J4429" s="992"/>
      <c r="K4429" s="375"/>
      <c r="L4429" s="381"/>
      <c r="M4429" s="60">
        <v>10000</v>
      </c>
      <c r="N4429" s="61" t="s">
        <v>101</v>
      </c>
      <c r="O4429" s="61" t="s">
        <v>26</v>
      </c>
      <c r="P4429" s="75" t="str">
        <f>IF(AND('331-CT'!$E$7=TH!H5282,OR(N4429="331",O4429="331")),"x","")</f>
        <v/>
      </c>
      <c r="Q4429" s="75" t="str">
        <f>IF(AND(B4429='111'!$L$11,OR($N4429=$Q$7,$O4429=$Q$7)),"x","")</f>
        <v/>
      </c>
      <c r="R4429" s="75" t="str">
        <f>IF(AND($N4429=$Q$7,$B4429&lt;'111'!$L$11),"x","")</f>
        <v/>
      </c>
      <c r="S4429" s="75" t="str">
        <f>IF(AND($O4429=$Q$7,$B4429&lt;'111'!$L$11),"x","")</f>
        <v/>
      </c>
      <c r="T4429" s="75" t="str">
        <f>IF(ISERROR(FIND('112'!$M$9,G4429,1)),"",IF((AND(FIND('112'!$M$9,G4429,1)&gt;=1,B4429='112'!$K$9,OR($N4429='112'!$I$6,$O4429='112'!$I$6))),"x",""))</f>
        <v/>
      </c>
      <c r="U4429" s="75" t="str">
        <f>IF(ISERROR(FIND('112'!$M$9,G4429,1)),"",IF((AND(LEFT(G4429,2)=LEFT('112'!$M$9,2),B4429&lt;'112'!$K$9,$N4429='112'!$I$6)),"x",""))</f>
        <v/>
      </c>
      <c r="V4429" s="75" t="str">
        <f>IF(ISERROR(FIND('112'!$M$9,G4429,1)),"",IF((AND(RIGHT(G4429,2)=RIGHT('112'!$M$9,2),B4429&lt;'112'!$K$9,$O4429='112'!$I$6)),"x",""))</f>
        <v/>
      </c>
      <c r="W4429" s="75" t="str">
        <f>IF(AND('341-CT'!$H$9=H4429,OR(LEFT(N4429,3)=$W$7,LEFT(O4429,3)=$W$7)),"x","")</f>
        <v/>
      </c>
      <c r="X4429" s="75" t="str">
        <f>IF(OR(TH!N5282=TH!$X$7,O4429=TH!$X$7),"x","")</f>
        <v/>
      </c>
      <c r="Y4429" s="75" t="str">
        <f>IF(AND(OR(N4429="131",O4429="131"),H4429='131-CT'!$H$9),"x","")</f>
        <v/>
      </c>
      <c r="Z4429" s="75"/>
      <c r="AA4429" s="75" t="str">
        <f>IF(AND(MONTH(E4429)='IN-NX'!$J$5,'IN-NX'!$D$7=D4429),"x","")</f>
        <v/>
      </c>
      <c r="AB4429" s="75" t="str">
        <f>IF(AND(OR(LEFT(TH!N5282,2)="15",LEFT(TH!O5282,2)="15"),LEFT(TH!O5282,3)&lt;&gt;"111",'152-CT'!$J$8=TH!F5282),"x","")</f>
        <v/>
      </c>
      <c r="AC4429" s="75" t="str">
        <f>IF(AND(OR(LEFT(TH!N5282,2)="15",LEFT(TH!O5282,2)="15"),TK!$E$7=TH!F5282),"x","")</f>
        <v/>
      </c>
      <c r="AD4429" s="75" t="str">
        <f>IF(AND(N4429="1521",MONTH(C4429)='BK-NL'!$M$11),"x","")</f>
        <v/>
      </c>
    </row>
    <row r="4430" spans="1:31" ht="16.5" customHeight="1">
      <c r="A4430" s="309" t="str">
        <f>IF(B4430&lt;&gt;"",IF(AND(B4430='IN-TC'!$S$4,OR(TH!N4423="1111",TH!O4423="1111")),TH!D4423,""),"")</f>
        <v/>
      </c>
      <c r="B4430" s="1243">
        <f t="shared" si="1322"/>
        <v>7</v>
      </c>
      <c r="C4430" s="292">
        <f t="shared" si="1323"/>
        <v>42922</v>
      </c>
      <c r="D4430" s="59" t="s">
        <v>902</v>
      </c>
      <c r="E4430" s="59">
        <v>42922</v>
      </c>
      <c r="F4430" s="67" t="s">
        <v>898</v>
      </c>
      <c r="G4430" s="62" t="s">
        <v>747</v>
      </c>
      <c r="H4430" s="67" t="s">
        <v>835</v>
      </c>
      <c r="I4430" s="1122"/>
      <c r="J4430" s="992"/>
      <c r="K4430" s="375"/>
      <c r="L4430" s="381"/>
      <c r="M4430" s="60">
        <v>1000</v>
      </c>
      <c r="N4430" s="61" t="s">
        <v>9</v>
      </c>
      <c r="O4430" s="61" t="s">
        <v>26</v>
      </c>
      <c r="P4430" s="75" t="str">
        <f>IF(AND('331-CT'!$E$7=TH!H5283,OR(N4430="331",O4430="331")),"x","")</f>
        <v/>
      </c>
      <c r="Q4430" s="75" t="str">
        <f>IF(AND(B4430='111'!$L$11,OR($N4430=$Q$7,$O4430=$Q$7)),"x","")</f>
        <v/>
      </c>
      <c r="R4430" s="75" t="str">
        <f>IF(AND($N4430=$Q$7,$B4430&lt;'111'!$L$11),"x","")</f>
        <v/>
      </c>
      <c r="S4430" s="75" t="str">
        <f>IF(AND($O4430=$Q$7,$B4430&lt;'111'!$L$11),"x","")</f>
        <v/>
      </c>
      <c r="T4430" s="75" t="str">
        <f>IF(ISERROR(FIND('112'!$M$9,G4430,1)),"",IF((AND(FIND('112'!$M$9,G4430,1)&gt;=1,B4430='112'!$K$9,OR($N4430='112'!$I$6,$O4430='112'!$I$6))),"x",""))</f>
        <v/>
      </c>
      <c r="U4430" s="75" t="str">
        <f>IF(ISERROR(FIND('112'!$M$9,G4430,1)),"",IF((AND(LEFT(G4430,2)=LEFT('112'!$M$9,2),B4430&lt;'112'!$K$9,$N4430='112'!$I$6)),"x",""))</f>
        <v/>
      </c>
      <c r="V4430" s="75" t="str">
        <f>IF(ISERROR(FIND('112'!$M$9,G4430,1)),"",IF((AND(RIGHT(G4430,2)=RIGHT('112'!$M$9,2),B4430&lt;'112'!$K$9,$O4430='112'!$I$6)),"x",""))</f>
        <v/>
      </c>
      <c r="W4430" s="75" t="str">
        <f>IF(AND('341-CT'!$H$9=H4430,OR(LEFT(N4430,3)=$W$7,LEFT(O4430,3)=$W$7)),"x","")</f>
        <v/>
      </c>
      <c r="X4430" s="75" t="str">
        <f>IF(OR(TH!N5283=TH!$X$7,O4430=TH!$X$7),"x","")</f>
        <v/>
      </c>
      <c r="Y4430" s="75" t="str">
        <f>IF(AND(OR(N4430="131",O4430="131"),H4430='131-CT'!$H$9),"x","")</f>
        <v/>
      </c>
      <c r="Z4430" s="75"/>
      <c r="AA4430" s="75" t="str">
        <f>IF(AND(MONTH(E4430)='IN-NX'!$J$5,'IN-NX'!$D$7=D4430),"x","")</f>
        <v/>
      </c>
      <c r="AB4430" s="75" t="str">
        <f>IF(AND(OR(LEFT(TH!N5283,2)="15",LEFT(TH!O5283,2)="15"),LEFT(TH!O5283,3)&lt;&gt;"111",'152-CT'!$J$8=TH!F5283),"x","")</f>
        <v/>
      </c>
      <c r="AC4430" s="75" t="str">
        <f>IF(AND(OR(LEFT(TH!N5283,2)="15",LEFT(TH!O5283,2)="15"),TK!$E$7=TH!F5283),"x","")</f>
        <v/>
      </c>
      <c r="AD4430" s="75" t="str">
        <f>IF(AND(N4430="1521",MONTH(C4430)='BK-NL'!$M$11),"x","")</f>
        <v/>
      </c>
      <c r="AE4430">
        <v>7</v>
      </c>
    </row>
    <row r="4431" spans="1:31" ht="16.5" customHeight="1">
      <c r="A4431" s="309" t="str">
        <f>IF(B4431&lt;&gt;"",IF(AND(B4431='IN-TC'!$S$4,OR(TH!N4424="1111",TH!O4424="1111")),TH!D4424,""),"")</f>
        <v/>
      </c>
      <c r="B4431" s="1243">
        <f t="shared" si="1322"/>
        <v>7</v>
      </c>
      <c r="C4431" s="292">
        <f t="shared" si="1323"/>
        <v>42922</v>
      </c>
      <c r="D4431" s="59" t="s">
        <v>902</v>
      </c>
      <c r="E4431" s="59">
        <v>42922</v>
      </c>
      <c r="F4431" s="67" t="s">
        <v>897</v>
      </c>
      <c r="G4431" s="62" t="s">
        <v>747</v>
      </c>
      <c r="H4431" s="294" t="s">
        <v>789</v>
      </c>
      <c r="I4431" s="373"/>
      <c r="J4431" s="379"/>
      <c r="K4431" s="373"/>
      <c r="L4431" s="379"/>
      <c r="M4431" s="60">
        <v>2784145000</v>
      </c>
      <c r="N4431" s="61" t="s">
        <v>8</v>
      </c>
      <c r="O4431" s="61" t="s">
        <v>26</v>
      </c>
      <c r="P4431" s="75" t="str">
        <f>IF(AND('331-CT'!$E$7=TH!H5284,OR(N4431="331",O4431="331")),"x","")</f>
        <v/>
      </c>
      <c r="Q4431" s="75" t="str">
        <f>IF(AND(B4431='111'!$L$11,OR($N4431=$Q$7,$O4431=$Q$7)),"x","")</f>
        <v/>
      </c>
      <c r="R4431" s="75" t="str">
        <f>IF(AND($N4431=$Q$7,$B4431&lt;'111'!$L$11),"x","")</f>
        <v/>
      </c>
      <c r="S4431" s="75" t="str">
        <f>IF(AND($O4431=$Q$7,$B4431&lt;'111'!$L$11),"x","")</f>
        <v/>
      </c>
      <c r="T4431" s="75" t="str">
        <f>IF(ISERROR(FIND('112'!$M$9,G4431,1)),"",IF((AND(FIND('112'!$M$9,G4431,1)&gt;=1,B4431='112'!$K$9,OR($N4431='112'!$I$6,$O4431='112'!$I$6))),"x",""))</f>
        <v/>
      </c>
      <c r="U4431" s="75" t="str">
        <f>IF(ISERROR(FIND('112'!$M$9,G4431,1)),"",IF((AND(LEFT(G4431,2)=LEFT('112'!$M$9,2),B4431&lt;'112'!$K$9,$N4431='112'!$I$6)),"x",""))</f>
        <v/>
      </c>
      <c r="V4431" s="75" t="str">
        <f>IF(ISERROR(FIND('112'!$M$9,G4431,1)),"",IF((AND(RIGHT(G4431,2)=RIGHT('112'!$M$9,2),B4431&lt;'112'!$K$9,$O4431='112'!$I$6)),"x",""))</f>
        <v/>
      </c>
      <c r="W4431" s="75" t="str">
        <f>IF(AND('341-CT'!$H$9=H4431,OR(LEFT(N4431,3)=$W$7,LEFT(O4431,3)=$W$7)),"x","")</f>
        <v/>
      </c>
      <c r="X4431" s="75" t="str">
        <f>IF(OR(TH!N5284=TH!$X$7,O4431=TH!$X$7),"x","")</f>
        <v/>
      </c>
      <c r="Y4431" s="75" t="str">
        <f>IF(AND(OR(N4431="131",O4431="131"),H4431='131-CT'!$H$9),"x","")</f>
        <v/>
      </c>
      <c r="Z4431" s="75"/>
      <c r="AA4431" s="75" t="str">
        <f>IF(AND(MONTH(E4431)='IN-NX'!$J$5,'IN-NX'!$D$7=D4431),"x","")</f>
        <v/>
      </c>
      <c r="AB4431" s="75" t="str">
        <f>IF(AND(OR(LEFT(TH!N5284,2)="15",LEFT(TH!O5284,2)="15"),LEFT(TH!O5284,3)&lt;&gt;"111",'152-CT'!$J$8=TH!F5284),"x","")</f>
        <v/>
      </c>
      <c r="AC4431" s="75" t="str">
        <f>IF(AND(OR(LEFT(TH!N5284,2)="15",LEFT(TH!O5284,2)="15"),TK!$E$7=TH!F5284),"x","")</f>
        <v/>
      </c>
      <c r="AD4431" s="75" t="str">
        <f>IF(AND(N4431="1521",MONTH(C4431)='BK-NL'!$M$11),"x","")</f>
        <v/>
      </c>
    </row>
    <row r="4432" spans="1:31" ht="16.5" customHeight="1">
      <c r="A4432" s="309" t="str">
        <f>IF(B4432&lt;&gt;"",IF(AND(B4432='IN-TC'!$S$4,OR(TH!N4425="1111",TH!O4425="1111")),TH!D4425,""),"")</f>
        <v/>
      </c>
      <c r="B4432" s="1243">
        <f t="shared" si="1322"/>
        <v>7</v>
      </c>
      <c r="C4432" s="292">
        <f t="shared" si="1323"/>
        <v>42922</v>
      </c>
      <c r="D4432" s="59" t="s">
        <v>902</v>
      </c>
      <c r="E4432" s="59">
        <v>42922</v>
      </c>
      <c r="F4432" s="67" t="s">
        <v>870</v>
      </c>
      <c r="G4432" s="62" t="s">
        <v>747</v>
      </c>
      <c r="H4432" s="67" t="s">
        <v>835</v>
      </c>
      <c r="I4432" s="375"/>
      <c r="J4432" s="381"/>
      <c r="K4432" s="375"/>
      <c r="L4432" s="381"/>
      <c r="M4432" s="60">
        <v>835244</v>
      </c>
      <c r="N4432" s="61" t="s">
        <v>101</v>
      </c>
      <c r="O4432" s="61" t="s">
        <v>26</v>
      </c>
      <c r="P4432" s="75" t="str">
        <f>IF(AND('331-CT'!$E$7=TH!H5285,OR(N4432="331",O4432="331")),"x","")</f>
        <v/>
      </c>
      <c r="Q4432" s="75" t="str">
        <f>IF(AND(B4432='111'!$L$11,OR($N4432=$Q$7,$O4432=$Q$7)),"x","")</f>
        <v/>
      </c>
      <c r="R4432" s="75" t="str">
        <f>IF(AND($N4432=$Q$7,$B4432&lt;'111'!$L$11),"x","")</f>
        <v/>
      </c>
      <c r="S4432" s="75" t="str">
        <f>IF(AND($O4432=$Q$7,$B4432&lt;'111'!$L$11),"x","")</f>
        <v/>
      </c>
      <c r="T4432" s="75" t="str">
        <f>IF(ISERROR(FIND('112'!$M$9,G4432,1)),"",IF((AND(FIND('112'!$M$9,G4432,1)&gt;=1,B4432='112'!$K$9,OR($N4432='112'!$I$6,$O4432='112'!$I$6))),"x",""))</f>
        <v/>
      </c>
      <c r="U4432" s="75" t="str">
        <f>IF(ISERROR(FIND('112'!$M$9,G4432,1)),"",IF((AND(LEFT(G4432,2)=LEFT('112'!$M$9,2),B4432&lt;'112'!$K$9,$N4432='112'!$I$6)),"x",""))</f>
        <v/>
      </c>
      <c r="V4432" s="75" t="str">
        <f>IF(ISERROR(FIND('112'!$M$9,G4432,1)),"",IF((AND(RIGHT(G4432,2)=RIGHT('112'!$M$9,2),B4432&lt;'112'!$K$9,$O4432='112'!$I$6)),"x",""))</f>
        <v/>
      </c>
      <c r="W4432" s="75" t="str">
        <f>IF(AND('341-CT'!$H$9=H4432,OR(LEFT(N4432,3)=$W$7,LEFT(O4432,3)=$W$7)),"x","")</f>
        <v/>
      </c>
      <c r="X4432" s="75" t="str">
        <f>IF(OR(TH!N5285=TH!$X$7,O4432=TH!$X$7),"x","")</f>
        <v/>
      </c>
      <c r="Y4432" s="75" t="str">
        <f>IF(AND(OR(N4432="131",O4432="131"),H4432='131-CT'!$H$9),"x","")</f>
        <v/>
      </c>
      <c r="Z4432" s="75"/>
      <c r="AA4432" s="75" t="str">
        <f>IF(AND(MONTH(E4432)='IN-NX'!$J$5,'IN-NX'!$D$7=D4432),"x","")</f>
        <v/>
      </c>
      <c r="AB4432" s="75" t="str">
        <f>IF(AND(OR(LEFT(TH!N5285,2)="15",LEFT(TH!O5285,2)="15"),LEFT(TH!O5285,3)&lt;&gt;"111",'152-CT'!$J$8=TH!F5285),"x","")</f>
        <v/>
      </c>
      <c r="AC4432" s="75" t="str">
        <f>IF(AND(OR(LEFT(TH!N5285,2)="15",LEFT(TH!O5285,2)="15"),TK!$E$7=TH!F5285),"x","")</f>
        <v/>
      </c>
      <c r="AD4432" s="75" t="str">
        <f>IF(AND(N4432="1521",MONTH(C4432)='BK-NL'!$M$11),"x","")</f>
        <v/>
      </c>
    </row>
    <row r="4433" spans="1:33" ht="16.5" customHeight="1">
      <c r="A4433" s="309" t="str">
        <f>IF(B4433&lt;&gt;"",IF(AND(B4433='IN-TC'!$S$4,OR(TH!N4426="1111",TH!O4426="1111")),TH!D4426,""),"")</f>
        <v/>
      </c>
      <c r="B4433" s="1243">
        <f t="shared" si="1322"/>
        <v>7</v>
      </c>
      <c r="C4433" s="292">
        <f t="shared" si="1323"/>
        <v>42922</v>
      </c>
      <c r="D4433" s="59" t="s">
        <v>902</v>
      </c>
      <c r="E4433" s="59">
        <v>42922</v>
      </c>
      <c r="F4433" s="67" t="s">
        <v>898</v>
      </c>
      <c r="G4433" s="62" t="s">
        <v>747</v>
      </c>
      <c r="H4433" s="67" t="s">
        <v>835</v>
      </c>
      <c r="I4433" s="375"/>
      <c r="J4433" s="381"/>
      <c r="K4433" s="375"/>
      <c r="L4433" s="381"/>
      <c r="M4433" s="60">
        <v>83524</v>
      </c>
      <c r="N4433" s="61" t="s">
        <v>9</v>
      </c>
      <c r="O4433" s="61" t="s">
        <v>26</v>
      </c>
      <c r="P4433" s="75" t="str">
        <f>IF(AND('331-CT'!$E$7=TH!H5286,OR(N4433="331",O4433="331")),"x","")</f>
        <v/>
      </c>
      <c r="Q4433" s="75" t="str">
        <f>IF(AND(B4433='111'!$L$11,OR($N4433=$Q$7,$O4433=$Q$7)),"x","")</f>
        <v/>
      </c>
      <c r="R4433" s="75" t="str">
        <f>IF(AND($N4433=$Q$7,$B4433&lt;'111'!$L$11),"x","")</f>
        <v/>
      </c>
      <c r="S4433" s="75" t="str">
        <f>IF(AND($O4433=$Q$7,$B4433&lt;'111'!$L$11),"x","")</f>
        <v/>
      </c>
      <c r="T4433" s="75" t="str">
        <f>IF(ISERROR(FIND('112'!$M$9,G4433,1)),"",IF((AND(FIND('112'!$M$9,G4433,1)&gt;=1,B4433='112'!$K$9,OR($N4433='112'!$I$6,$O4433='112'!$I$6))),"x",""))</f>
        <v/>
      </c>
      <c r="U4433" s="75" t="str">
        <f>IF(ISERROR(FIND('112'!$M$9,G4433,1)),"",IF((AND(LEFT(G4433,2)=LEFT('112'!$M$9,2),B4433&lt;'112'!$K$9,$N4433='112'!$I$6)),"x",""))</f>
        <v/>
      </c>
      <c r="V4433" s="75" t="str">
        <f>IF(ISERROR(FIND('112'!$M$9,G4433,1)),"",IF((AND(RIGHT(G4433,2)=RIGHT('112'!$M$9,2),B4433&lt;'112'!$K$9,$O4433='112'!$I$6)),"x",""))</f>
        <v/>
      </c>
      <c r="W4433" s="75" t="str">
        <f>IF(AND('341-CT'!$H$9=H4433,OR(LEFT(N4433,3)=$W$7,LEFT(O4433,3)=$W$7)),"x","")</f>
        <v/>
      </c>
      <c r="X4433" s="75" t="str">
        <f>IF(OR(TH!N5286=TH!$X$7,O4433=TH!$X$7),"x","")</f>
        <v/>
      </c>
      <c r="Y4433" s="75" t="str">
        <f>IF(AND(OR(N4433="131",O4433="131"),H4433='131-CT'!$H$9),"x","")</f>
        <v/>
      </c>
      <c r="Z4433" s="75"/>
      <c r="AA4433" s="75" t="str">
        <f>IF(AND(MONTH(E4433)='IN-NX'!$J$5,'IN-NX'!$D$7=D4433),"x","")</f>
        <v/>
      </c>
      <c r="AB4433" s="75" t="str">
        <f>IF(AND(OR(LEFT(TH!N5286,2)="15",LEFT(TH!O5286,2)="15"),LEFT(TH!O5286,3)&lt;&gt;"111",'152-CT'!$J$8=TH!F5286),"x","")</f>
        <v/>
      </c>
      <c r="AC4433" s="75" t="str">
        <f>IF(AND(OR(LEFT(TH!N5286,2)="15",LEFT(TH!O5286,2)="15"),TK!$E$7=TH!F5286),"x","")</f>
        <v/>
      </c>
      <c r="AD4433" s="75" t="str">
        <f>IF(AND(N4433="1521",MONTH(C4433)='BK-NL'!$M$11),"x","")</f>
        <v/>
      </c>
      <c r="AE4433">
        <v>7</v>
      </c>
    </row>
    <row r="4434" spans="1:33" ht="16.5" customHeight="1">
      <c r="A4434" s="309" t="str">
        <f>IF(B4434&lt;&gt;"",IF(AND(B4434='IN-TC'!$S$4,OR(TH!N4427="1111",TH!O4427="1111")),TH!D4427,""),"")</f>
        <v/>
      </c>
      <c r="B4434" s="1243">
        <f t="shared" si="1322"/>
        <v>7</v>
      </c>
      <c r="C4434" s="292">
        <f t="shared" si="1323"/>
        <v>42922</v>
      </c>
      <c r="D4434" s="59" t="s">
        <v>902</v>
      </c>
      <c r="E4434" s="59">
        <v>42922</v>
      </c>
      <c r="F4434" s="67" t="s">
        <v>897</v>
      </c>
      <c r="G4434" s="62" t="s">
        <v>747</v>
      </c>
      <c r="H4434" s="294" t="s">
        <v>791</v>
      </c>
      <c r="I4434" s="373"/>
      <c r="J4434" s="379"/>
      <c r="K4434" s="373"/>
      <c r="L4434" s="379"/>
      <c r="M4434" s="60">
        <v>1727752000</v>
      </c>
      <c r="N4434" s="61" t="s">
        <v>8</v>
      </c>
      <c r="O4434" s="61" t="s">
        <v>26</v>
      </c>
      <c r="P4434" s="75" t="str">
        <f>IF(AND('331-CT'!$E$7=TH!H5287,OR(N4434="331",O4434="331")),"x","")</f>
        <v/>
      </c>
      <c r="Q4434" s="75" t="str">
        <f>IF(AND(B4434='111'!$L$11,OR($N4434=$Q$7,$O4434=$Q$7)),"x","")</f>
        <v/>
      </c>
      <c r="R4434" s="75" t="str">
        <f>IF(AND($N4434=$Q$7,$B4434&lt;'111'!$L$11),"x","")</f>
        <v/>
      </c>
      <c r="S4434" s="75" t="str">
        <f>IF(AND($O4434=$Q$7,$B4434&lt;'111'!$L$11),"x","")</f>
        <v/>
      </c>
      <c r="T4434" s="75" t="str">
        <f>IF(ISERROR(FIND('112'!$M$9,G4434,1)),"",IF((AND(FIND('112'!$M$9,G4434,1)&gt;=1,B4434='112'!$K$9,OR($N4434='112'!$I$6,$O4434='112'!$I$6))),"x",""))</f>
        <v/>
      </c>
      <c r="U4434" s="75" t="str">
        <f>IF(ISERROR(FIND('112'!$M$9,G4434,1)),"",IF((AND(LEFT(G4434,2)=LEFT('112'!$M$9,2),B4434&lt;'112'!$K$9,$N4434='112'!$I$6)),"x",""))</f>
        <v/>
      </c>
      <c r="V4434" s="75" t="str">
        <f>IF(ISERROR(FIND('112'!$M$9,G4434,1)),"",IF((AND(RIGHT(G4434,2)=RIGHT('112'!$M$9,2),B4434&lt;'112'!$K$9,$O4434='112'!$I$6)),"x",""))</f>
        <v/>
      </c>
      <c r="W4434" s="75" t="str">
        <f>IF(AND('341-CT'!$H$9=H4434,OR(LEFT(N4434,3)=$W$7,LEFT(O4434,3)=$W$7)),"x","")</f>
        <v/>
      </c>
      <c r="X4434" s="75" t="str">
        <f>IF(OR(TH!N5287=TH!$X$7,O4434=TH!$X$7),"x","")</f>
        <v/>
      </c>
      <c r="Y4434" s="75" t="str">
        <f>IF(AND(OR(N4434="131",O4434="131"),H4434='131-CT'!$H$9),"x","")</f>
        <v/>
      </c>
      <c r="Z4434" s="75"/>
      <c r="AA4434" s="75" t="str">
        <f>IF(AND(MONTH(E4434)='IN-NX'!$J$5,'IN-NX'!$D$7=D4434),"x","")</f>
        <v/>
      </c>
      <c r="AB4434" s="75" t="str">
        <f>IF(AND(OR(LEFT(TH!N5287,2)="15",LEFT(TH!O5287,2)="15"),LEFT(TH!O5287,3)&lt;&gt;"111",'152-CT'!$J$8=TH!F5287),"x","")</f>
        <v/>
      </c>
      <c r="AC4434" s="75" t="str">
        <f>IF(AND(OR(LEFT(TH!N5287,2)="15",LEFT(TH!O5287,2)="15"),TK!$E$7=TH!F5287),"x","")</f>
        <v/>
      </c>
      <c r="AD4434" s="75" t="str">
        <f>IF(AND(N4434="1521",MONTH(C4434)='BK-NL'!$M$11),"x","")</f>
        <v/>
      </c>
    </row>
    <row r="4435" spans="1:33" ht="16.5" customHeight="1">
      <c r="A4435" s="309" t="str">
        <f>IF(B4435&lt;&gt;"",IF(AND(B4435='IN-TC'!$S$4,OR(TH!N4428="1111",TH!O4428="1111")),TH!D4428,""),"")</f>
        <v/>
      </c>
      <c r="B4435" s="1243">
        <f t="shared" ref="B4435:B4498" si="1324">IF(C4435&lt;&gt;"",MONTH(C4435),"")</f>
        <v>7</v>
      </c>
      <c r="C4435" s="292">
        <f t="shared" si="1323"/>
        <v>42922</v>
      </c>
      <c r="D4435" s="59" t="s">
        <v>902</v>
      </c>
      <c r="E4435" s="59">
        <v>42922</v>
      </c>
      <c r="F4435" s="67" t="s">
        <v>870</v>
      </c>
      <c r="G4435" s="62" t="s">
        <v>747</v>
      </c>
      <c r="H4435" s="67" t="s">
        <v>835</v>
      </c>
      <c r="I4435" s="375"/>
      <c r="J4435" s="381"/>
      <c r="K4435" s="375"/>
      <c r="L4435" s="381"/>
      <c r="M4435" s="60">
        <v>518326</v>
      </c>
      <c r="N4435" s="61" t="s">
        <v>101</v>
      </c>
      <c r="O4435" s="61" t="s">
        <v>26</v>
      </c>
      <c r="P4435" s="75" t="str">
        <f>IF(AND('331-CT'!$E$7=TH!H5288,OR(N4435="331",O4435="331")),"x","")</f>
        <v/>
      </c>
      <c r="Q4435" s="75" t="str">
        <f>IF(AND(B4435='111'!$L$11,OR($N4435=$Q$7,$O4435=$Q$7)),"x","")</f>
        <v/>
      </c>
      <c r="R4435" s="75" t="str">
        <f>IF(AND($N4435=$Q$7,$B4435&lt;'111'!$L$11),"x","")</f>
        <v/>
      </c>
      <c r="S4435" s="75" t="str">
        <f>IF(AND($O4435=$Q$7,$B4435&lt;'111'!$L$11),"x","")</f>
        <v/>
      </c>
      <c r="T4435" s="75" t="str">
        <f>IF(ISERROR(FIND('112'!$M$9,G4435,1)),"",IF((AND(FIND('112'!$M$9,G4435,1)&gt;=1,B4435='112'!$K$9,OR($N4435='112'!$I$6,$O4435='112'!$I$6))),"x",""))</f>
        <v/>
      </c>
      <c r="U4435" s="75" t="str">
        <f>IF(ISERROR(FIND('112'!$M$9,G4435,1)),"",IF((AND(LEFT(G4435,2)=LEFT('112'!$M$9,2),B4435&lt;'112'!$K$9,$N4435='112'!$I$6)),"x",""))</f>
        <v/>
      </c>
      <c r="V4435" s="75" t="str">
        <f>IF(ISERROR(FIND('112'!$M$9,G4435,1)),"",IF((AND(RIGHT(G4435,2)=RIGHT('112'!$M$9,2),B4435&lt;'112'!$K$9,$O4435='112'!$I$6)),"x",""))</f>
        <v/>
      </c>
      <c r="W4435" s="75" t="str">
        <f>IF(AND('341-CT'!$H$9=H4435,OR(LEFT(N4435,3)=$W$7,LEFT(O4435,3)=$W$7)),"x","")</f>
        <v/>
      </c>
      <c r="X4435" s="75" t="str">
        <f>IF(OR(TH!N5288=TH!$X$7,O4435=TH!$X$7),"x","")</f>
        <v/>
      </c>
      <c r="Y4435" s="75" t="str">
        <f>IF(AND(OR(N4435="131",O4435="131"),H4435='131-CT'!$H$9),"x","")</f>
        <v/>
      </c>
      <c r="Z4435" s="75"/>
      <c r="AA4435" s="75" t="str">
        <f>IF(AND(MONTH(E4435)='IN-NX'!$J$5,'IN-NX'!$D$7=D4435),"x","")</f>
        <v/>
      </c>
      <c r="AB4435" s="75" t="str">
        <f>IF(AND(OR(LEFT(TH!N5288,2)="15",LEFT(TH!O5288,2)="15"),LEFT(TH!O5288,3)&lt;&gt;"111",'152-CT'!$J$8=TH!F5288),"x","")</f>
        <v/>
      </c>
      <c r="AC4435" s="75" t="str">
        <f>IF(AND(OR(LEFT(TH!N5288,2)="15",LEFT(TH!O5288,2)="15"),TK!$E$7=TH!F5288),"x","")</f>
        <v/>
      </c>
      <c r="AD4435" s="75" t="str">
        <f>IF(AND(N4435="1521",MONTH(C4435)='BK-NL'!$M$11),"x","")</f>
        <v/>
      </c>
    </row>
    <row r="4436" spans="1:33" ht="16.5" customHeight="1">
      <c r="A4436" s="309" t="str">
        <f>IF(B4436&lt;&gt;"",IF(AND(B4436='IN-TC'!$S$4,OR(TH!N4429="1111",TH!O4429="1111")),TH!D4429,""),"")</f>
        <v/>
      </c>
      <c r="B4436" s="1243">
        <f t="shared" si="1324"/>
        <v>7</v>
      </c>
      <c r="C4436" s="292">
        <f t="shared" si="1323"/>
        <v>42922</v>
      </c>
      <c r="D4436" s="59" t="s">
        <v>902</v>
      </c>
      <c r="E4436" s="59">
        <v>42922</v>
      </c>
      <c r="F4436" s="67" t="s">
        <v>898</v>
      </c>
      <c r="G4436" s="62" t="s">
        <v>747</v>
      </c>
      <c r="H4436" s="67" t="s">
        <v>835</v>
      </c>
      <c r="I4436" s="375"/>
      <c r="J4436" s="381"/>
      <c r="K4436" s="375"/>
      <c r="L4436" s="381"/>
      <c r="M4436" s="60">
        <v>51833</v>
      </c>
      <c r="N4436" s="61" t="s">
        <v>9</v>
      </c>
      <c r="O4436" s="61" t="s">
        <v>26</v>
      </c>
      <c r="P4436" s="75" t="str">
        <f>IF(AND('331-CT'!$E$7=TH!H5289,OR(N4436="331",O4436="331")),"x","")</f>
        <v/>
      </c>
      <c r="Q4436" s="75" t="str">
        <f>IF(AND(B4436='111'!$L$11,OR($N4436=$Q$7,$O4436=$Q$7)),"x","")</f>
        <v/>
      </c>
      <c r="R4436" s="75" t="str">
        <f>IF(AND($N4436=$Q$7,$B4436&lt;'111'!$L$11),"x","")</f>
        <v/>
      </c>
      <c r="S4436" s="75" t="str">
        <f>IF(AND($O4436=$Q$7,$B4436&lt;'111'!$L$11),"x","")</f>
        <v/>
      </c>
      <c r="T4436" s="75" t="str">
        <f>IF(ISERROR(FIND('112'!$M$9,G4436,1)),"",IF((AND(FIND('112'!$M$9,G4436,1)&gt;=1,B4436='112'!$K$9,OR($N4436='112'!$I$6,$O4436='112'!$I$6))),"x",""))</f>
        <v/>
      </c>
      <c r="U4436" s="75" t="str">
        <f>IF(ISERROR(FIND('112'!$M$9,G4436,1)),"",IF((AND(LEFT(G4436,2)=LEFT('112'!$M$9,2),B4436&lt;'112'!$K$9,$N4436='112'!$I$6)),"x",""))</f>
        <v/>
      </c>
      <c r="V4436" s="75" t="str">
        <f>IF(ISERROR(FIND('112'!$M$9,G4436,1)),"",IF((AND(RIGHT(G4436,2)=RIGHT('112'!$M$9,2),B4436&lt;'112'!$K$9,$O4436='112'!$I$6)),"x",""))</f>
        <v/>
      </c>
      <c r="W4436" s="75" t="str">
        <f>IF(AND('341-CT'!$H$9=H4436,OR(LEFT(N4436,3)=$W$7,LEFT(O4436,3)=$W$7)),"x","")</f>
        <v/>
      </c>
      <c r="X4436" s="75" t="str">
        <f>IF(OR(TH!N5289=TH!$X$7,O4436=TH!$X$7),"x","")</f>
        <v/>
      </c>
      <c r="Y4436" s="75" t="str">
        <f>IF(AND(OR(N4436="131",O4436="131"),H4436='131-CT'!$H$9),"x","")</f>
        <v/>
      </c>
      <c r="Z4436" s="75"/>
      <c r="AA4436" s="75" t="str">
        <f>IF(AND(MONTH(E4436)='IN-NX'!$J$5,'IN-NX'!$D$7=D4436),"x","")</f>
        <v/>
      </c>
      <c r="AB4436" s="75" t="str">
        <f>IF(AND(OR(LEFT(TH!N5289,2)="15",LEFT(TH!O5289,2)="15"),LEFT(TH!O5289,3)&lt;&gt;"111",'152-CT'!$J$8=TH!F5289),"x","")</f>
        <v/>
      </c>
      <c r="AC4436" s="75" t="str">
        <f>IF(AND(OR(LEFT(TH!N5289,2)="15",LEFT(TH!O5289,2)="15"),TK!$E$7=TH!F5289),"x","")</f>
        <v/>
      </c>
      <c r="AD4436" s="75" t="str">
        <f>IF(AND(N4436="1521",MONTH(C4436)='BK-NL'!$M$11),"x","")</f>
        <v/>
      </c>
      <c r="AE4436">
        <v>7</v>
      </c>
    </row>
    <row r="4437" spans="1:33" ht="16.5" customHeight="1">
      <c r="A4437" s="309" t="str">
        <f>IF(B4437&lt;&gt;"",IF(AND(B4437='IN-TC'!$S$4,OR(TH!N4430="1111",TH!O4430="1111")),TH!D4430,""),"")</f>
        <v/>
      </c>
      <c r="B4437" s="1243">
        <f t="shared" si="1324"/>
        <v>7</v>
      </c>
      <c r="C4437" s="292">
        <f t="shared" si="1323"/>
        <v>42923</v>
      </c>
      <c r="D4437" s="292"/>
      <c r="E4437" s="292">
        <v>42923</v>
      </c>
      <c r="F4437" s="67" t="s">
        <v>1165</v>
      </c>
      <c r="G4437" s="925" t="s">
        <v>1693</v>
      </c>
      <c r="H4437" s="294" t="s">
        <v>1684</v>
      </c>
      <c r="I4437" s="373"/>
      <c r="J4437" s="926"/>
      <c r="K4437" s="373"/>
      <c r="L4437" s="379"/>
      <c r="M4437" s="927">
        <v>19650400</v>
      </c>
      <c r="N4437" s="295" t="s">
        <v>8</v>
      </c>
      <c r="O4437" s="295" t="s">
        <v>63</v>
      </c>
      <c r="P4437" s="75" t="str">
        <f>IF(AND('331-CT'!$E$7=TH!H3759,OR(N4437="331",O4437="331")),"x","")</f>
        <v/>
      </c>
      <c r="Q4437" s="75" t="str">
        <f>IF(AND(B4437='111'!$L$11,OR($N4437=$Q$7,$O4437=$Q$7)),"x","")</f>
        <v/>
      </c>
      <c r="R4437" s="75" t="str">
        <f>IF(AND($N4437=$Q$7,$B4437&lt;'111'!$L$11),"x","")</f>
        <v/>
      </c>
      <c r="S4437" s="75" t="str">
        <f>IF(AND($O4437=$Q$7,$B4437&lt;'111'!$L$11),"x","")</f>
        <v>x</v>
      </c>
      <c r="T4437" s="75" t="str">
        <f>IF(ISERROR(FIND('112'!$M$9,G4437,1)),"",IF((AND(FIND('112'!$M$9,G4437,1)&gt;=1,B4437='112'!$K$9,OR($N4437='112'!$I$6,$O4437='112'!$I$6))),"x",""))</f>
        <v/>
      </c>
      <c r="U4437" s="75" t="str">
        <f>IF(ISERROR(FIND('112'!$M$9,G4437,1)),"",IF((AND(LEFT(G4437,2)=LEFT('112'!$M$9,2),B4437&lt;'112'!$K$9,$N4437='112'!$I$6)),"x",""))</f>
        <v/>
      </c>
      <c r="V4437" s="75" t="str">
        <f>IF(ISERROR(FIND('112'!$M$9,G4437,1)),"",IF((AND(RIGHT(G4437,2)=RIGHT('112'!$M$9,2),B4437&lt;'112'!$K$9,$O4437='112'!$I$6)),"x",""))</f>
        <v/>
      </c>
      <c r="W4437" s="75" t="str">
        <f>IF(AND('341-CT'!$H$9=H4437,OR(LEFT(N4437,3)=$W$7,LEFT(O4437,3)=$W$7)),"x","")</f>
        <v/>
      </c>
      <c r="X4437" s="75" t="str">
        <f>IF(OR(TH!N3759=TH!$X$7,O4437=TH!$X$7),"x","")</f>
        <v/>
      </c>
      <c r="Y4437" s="75" t="str">
        <f>IF(AND(OR(N4437="131",O4437="131"),H4437='131-CT'!$H$9),"x","")</f>
        <v/>
      </c>
      <c r="Z4437" s="75"/>
      <c r="AA4437" s="75" t="str">
        <f>IF(AND(MONTH(E4437)='IN-NX'!$J$5,'IN-NX'!$D$7=D4437),"x","")</f>
        <v/>
      </c>
      <c r="AB4437" s="75" t="str">
        <f>IF(AND(OR(LEFT(TH!N3759,2)="15",LEFT(TH!O3759,2)="15"),LEFT(TH!O3759,3)&lt;&gt;"111",'152-CT'!$J$8=TH!F3759),"x","")</f>
        <v/>
      </c>
      <c r="AC4437" s="75" t="str">
        <f>IF(AND(OR(LEFT(TH!N3759,2)="15",LEFT(TH!O3759,2)="15"),TK!$E$7=TH!F3759),"x","")</f>
        <v/>
      </c>
      <c r="AD4437" s="75" t="str">
        <f>IF(AND(N4437="1521",MONTH(C4437)='BK-NL'!$M$11),"x","")</f>
        <v/>
      </c>
    </row>
    <row r="4438" spans="1:33" ht="16.5" customHeight="1">
      <c r="A4438" s="309" t="str">
        <f>IF(B4438&lt;&gt;"",IF(AND(B4438='IN-TC'!$S$4,OR(TH!N4431="1111",TH!O4431="1111")),TH!D4431,""),"")</f>
        <v/>
      </c>
      <c r="B4438" s="1243">
        <f t="shared" si="1324"/>
        <v>7</v>
      </c>
      <c r="C4438" s="292">
        <f t="shared" si="1323"/>
        <v>42923</v>
      </c>
      <c r="D4438" s="292"/>
      <c r="E4438" s="292">
        <v>42923</v>
      </c>
      <c r="F4438" s="1010" t="s">
        <v>1881</v>
      </c>
      <c r="G4438" s="925"/>
      <c r="H4438" s="311" t="s">
        <v>1890</v>
      </c>
      <c r="I4438" s="373"/>
      <c r="J4438" s="926"/>
      <c r="K4438" s="373"/>
      <c r="L4438" s="379"/>
      <c r="M4438" s="927">
        <v>2984500000</v>
      </c>
      <c r="N4438" s="295" t="s">
        <v>8</v>
      </c>
      <c r="O4438" s="295" t="s">
        <v>63</v>
      </c>
      <c r="P4438" s="75" t="str">
        <f>IF(AND('331-CT'!$E$7=TH!H4276,OR(N4438="331",O4438="331")),"x","")</f>
        <v/>
      </c>
      <c r="Q4438" s="75" t="str">
        <f>IF(AND(B4438='111'!$L$11,OR($N4438=$Q$7,$O4438=$Q$7)),"x","")</f>
        <v/>
      </c>
      <c r="R4438" s="75" t="str">
        <f>IF(AND($N4438=$Q$7,$B4438&lt;'111'!$L$11),"x","")</f>
        <v/>
      </c>
      <c r="S4438" s="75" t="str">
        <f>IF(AND($O4438=$Q$7,$B4438&lt;'111'!$L$11),"x","")</f>
        <v>x</v>
      </c>
      <c r="T4438" s="75" t="str">
        <f>IF(ISERROR(FIND('112'!$M$9,G4438,1)),"",IF((AND(FIND('112'!$M$9,G4438,1)&gt;=1,B4438='112'!$K$9,OR($N4438='112'!$I$6,$O4438='112'!$I$6))),"x",""))</f>
        <v/>
      </c>
      <c r="U4438" s="75" t="str">
        <f>IF(ISERROR(FIND('112'!$M$9,G4438,1)),"",IF((AND(LEFT(G4438,2)=LEFT('112'!$M$9,2),B4438&lt;'112'!$K$9,$N4438='112'!$I$6)),"x",""))</f>
        <v/>
      </c>
      <c r="V4438" s="75" t="str">
        <f>IF(ISERROR(FIND('112'!$M$9,G4438,1)),"",IF((AND(RIGHT(G4438,2)=RIGHT('112'!$M$9,2),B4438&lt;'112'!$K$9,$O4438='112'!$I$6)),"x",""))</f>
        <v/>
      </c>
      <c r="W4438" s="75" t="str">
        <f>IF(AND('341-CT'!$H$9=H4438,OR(LEFT(N4438,3)=$W$7,LEFT(O4438,3)=$W$7)),"x","")</f>
        <v/>
      </c>
      <c r="X4438" s="75" t="str">
        <f>IF(OR(TH!N4276=TH!$X$7,O4438=TH!$X$7),"x","")</f>
        <v/>
      </c>
      <c r="Y4438" s="75" t="str">
        <f>IF(AND(OR(N4438="131",O4438="131"),H4438='131-CT'!$H$9),"x","")</f>
        <v/>
      </c>
      <c r="Z4438" s="75"/>
      <c r="AA4438" s="75" t="str">
        <f>IF(AND(MONTH(E4438)='IN-NX'!$J$5,'IN-NX'!$D$7=D4438),"x","")</f>
        <v/>
      </c>
      <c r="AB4438" s="75" t="str">
        <f>IF(AND(OR(LEFT(TH!N4276,2)="15",LEFT(TH!O4276,2)="15"),LEFT(TH!O4276,3)&lt;&gt;"111",'152-CT'!$J$8=TH!F4276),"x","")</f>
        <v/>
      </c>
      <c r="AC4438" s="75" t="str">
        <f>IF(AND(OR(LEFT(TH!N4276,2)="15",LEFT(TH!O4276,2)="15"),TK!$E$7=TH!F4276),"x","")</f>
        <v/>
      </c>
      <c r="AD4438" s="75" t="str">
        <f>IF(AND(N4438="1521",MONTH(C4438)='BK-NL'!$M$11),"x","")</f>
        <v/>
      </c>
    </row>
    <row r="4439" spans="1:33" ht="16.5" customHeight="1">
      <c r="A4439" s="309" t="str">
        <f>IF(B4439&lt;&gt;"",IF(AND(B4439='IN-TC'!$S$4,OR(TH!N4432="1111",TH!O4432="1111")),TH!D4432,""),"")</f>
        <v/>
      </c>
      <c r="B4439" s="1243">
        <f t="shared" si="1324"/>
        <v>7</v>
      </c>
      <c r="C4439" s="292">
        <f t="shared" si="1323"/>
        <v>42923</v>
      </c>
      <c r="D4439" s="292"/>
      <c r="E4439" s="292">
        <v>42923</v>
      </c>
      <c r="F4439" s="1010" t="s">
        <v>1883</v>
      </c>
      <c r="G4439" s="925"/>
      <c r="H4439" s="311"/>
      <c r="I4439" s="373"/>
      <c r="J4439" s="926"/>
      <c r="K4439" s="373"/>
      <c r="L4439" s="379"/>
      <c r="M4439" s="927">
        <v>500000</v>
      </c>
      <c r="N4439" s="295" t="s">
        <v>101</v>
      </c>
      <c r="O4439" s="295" t="s">
        <v>63</v>
      </c>
      <c r="P4439" s="75" t="str">
        <f>IF(AND('331-CT'!$E$7=TH!H4277,OR(N4439="331",O4439="331")),"x","")</f>
        <v/>
      </c>
      <c r="Q4439" s="75" t="str">
        <f>IF(AND(B4439='111'!$L$11,OR($N4439=$Q$7,$O4439=$Q$7)),"x","")</f>
        <v/>
      </c>
      <c r="R4439" s="75" t="str">
        <f>IF(AND($N4439=$Q$7,$B4439&lt;'111'!$L$11),"x","")</f>
        <v/>
      </c>
      <c r="S4439" s="75" t="str">
        <f>IF(AND($O4439=$Q$7,$B4439&lt;'111'!$L$11),"x","")</f>
        <v>x</v>
      </c>
      <c r="T4439" s="75" t="str">
        <f>IF(ISERROR(FIND('112'!$M$9,G4439,1)),"",IF((AND(FIND('112'!$M$9,G4439,1)&gt;=1,B4439='112'!$K$9,OR($N4439='112'!$I$6,$O4439='112'!$I$6))),"x",""))</f>
        <v/>
      </c>
      <c r="U4439" s="75" t="str">
        <f>IF(ISERROR(FIND('112'!$M$9,G4439,1)),"",IF((AND(LEFT(G4439,2)=LEFT('112'!$M$9,2),B4439&lt;'112'!$K$9,$N4439='112'!$I$6)),"x",""))</f>
        <v/>
      </c>
      <c r="V4439" s="75" t="str">
        <f>IF(ISERROR(FIND('112'!$M$9,G4439,1)),"",IF((AND(RIGHT(G4439,2)=RIGHT('112'!$M$9,2),B4439&lt;'112'!$K$9,$O4439='112'!$I$6)),"x",""))</f>
        <v/>
      </c>
      <c r="W4439" s="75" t="str">
        <f>IF(AND('341-CT'!$H$9=H4439,OR(LEFT(N4439,3)=$W$7,LEFT(O4439,3)=$W$7)),"x","")</f>
        <v/>
      </c>
      <c r="X4439" s="75" t="str">
        <f>IF(OR(TH!N4277=TH!$X$7,O4439=TH!$X$7),"x","")</f>
        <v/>
      </c>
      <c r="Y4439" s="75" t="str">
        <f>IF(AND(OR(N4439="131",O4439="131"),H4439='131-CT'!$H$9),"x","")</f>
        <v/>
      </c>
      <c r="Z4439" s="75"/>
      <c r="AA4439" s="75" t="str">
        <f>IF(AND(MONTH(E4439)='IN-NX'!$J$5,'IN-NX'!$D$7=D4439),"x","")</f>
        <v/>
      </c>
      <c r="AB4439" s="75" t="str">
        <f>IF(AND(OR(LEFT(TH!N4277,2)="15",LEFT(TH!O4277,2)="15"),LEFT(TH!O4277,3)&lt;&gt;"111",'152-CT'!$J$8=TH!F4277),"x","")</f>
        <v/>
      </c>
      <c r="AC4439" s="75" t="str">
        <f>IF(AND(OR(LEFT(TH!N4277,2)="15",LEFT(TH!O4277,2)="15"),TK!$E$7=TH!F4277),"x","")</f>
        <v/>
      </c>
      <c r="AD4439" s="75" t="str">
        <f>IF(AND(N4439="1521",MONTH(C4439)='BK-NL'!$M$11),"x","")</f>
        <v/>
      </c>
      <c r="AE4439">
        <v>9</v>
      </c>
    </row>
    <row r="4440" spans="1:33" s="1053" customFormat="1" ht="16.5" customHeight="1">
      <c r="A4440" s="309" t="str">
        <f>IF(B4440&lt;&gt;"",IF(AND(B4440='IN-TC'!$S$4,OR(TH!N4433="1111",TH!O4433="1111")),TH!D4433,""),"")</f>
        <v/>
      </c>
      <c r="B4440" s="1243">
        <f t="shared" si="1324"/>
        <v>7</v>
      </c>
      <c r="C4440" s="292">
        <f t="shared" si="1323"/>
        <v>42923</v>
      </c>
      <c r="D4440" s="292"/>
      <c r="E4440" s="292">
        <v>42923</v>
      </c>
      <c r="F4440" s="1010" t="s">
        <v>1895</v>
      </c>
      <c r="G4440" s="925"/>
      <c r="H4440" s="311"/>
      <c r="I4440" s="1219"/>
      <c r="J4440" s="1220"/>
      <c r="K4440" s="373"/>
      <c r="L4440" s="379"/>
      <c r="M4440" s="927">
        <v>50000</v>
      </c>
      <c r="N4440" s="295" t="s">
        <v>9</v>
      </c>
      <c r="O4440" s="295" t="s">
        <v>63</v>
      </c>
      <c r="P4440" s="75" t="str">
        <f>IF(AND('331-CT'!$E$7=TH!H4278,OR(N4440="331",O4440="331")),"x","")</f>
        <v/>
      </c>
      <c r="Q4440" s="75" t="str">
        <f>IF(AND(B4440='111'!$L$11,OR($N4440=$Q$7,$O4440=$Q$7)),"x","")</f>
        <v/>
      </c>
      <c r="R4440" s="75" t="str">
        <f>IF(AND($N4440=$Q$7,$B4440&lt;'111'!$L$11),"x","")</f>
        <v/>
      </c>
      <c r="S4440" s="75" t="str">
        <f>IF(AND($O4440=$Q$7,$B4440&lt;'111'!$L$11),"x","")</f>
        <v>x</v>
      </c>
      <c r="T4440" s="75" t="str">
        <f>IF(ISERROR(FIND('112'!$M$9,G4440,1)),"",IF((AND(FIND('112'!$M$9,G4440,1)&gt;=1,B4440='112'!$K$9,OR($N4440='112'!$I$6,$O4440='112'!$I$6))),"x",""))</f>
        <v/>
      </c>
      <c r="U4440" s="75" t="str">
        <f>IF(ISERROR(FIND('112'!$M$9,G4440,1)),"",IF((AND(LEFT(G4440,2)=LEFT('112'!$M$9,2),B4440&lt;'112'!$K$9,$N4440='112'!$I$6)),"x",""))</f>
        <v/>
      </c>
      <c r="V4440" s="75" t="str">
        <f>IF(ISERROR(FIND('112'!$M$9,G4440,1)),"",IF((AND(RIGHT(G4440,2)=RIGHT('112'!$M$9,2),B4440&lt;'112'!$K$9,$O4440='112'!$I$6)),"x",""))</f>
        <v/>
      </c>
      <c r="W4440" s="75" t="str">
        <f>IF(AND('341-CT'!$H$9=H4440,OR(LEFT(N4440,3)=$W$7,LEFT(O4440,3)=$W$7)),"x","")</f>
        <v/>
      </c>
      <c r="X4440" s="75" t="str">
        <f>IF(OR(TH!N4278=TH!$X$7,O4440=TH!$X$7),"x","")</f>
        <v/>
      </c>
      <c r="Y4440" s="75" t="str">
        <f>IF(AND(OR(N4440="131",O4440="131"),H4440='131-CT'!$H$9),"x","")</f>
        <v/>
      </c>
      <c r="Z4440" s="75"/>
      <c r="AA4440" s="75" t="str">
        <f>IF(AND(MONTH(E4440)='IN-NX'!$J$5,'IN-NX'!$D$7=D4440),"x","")</f>
        <v/>
      </c>
      <c r="AB4440" s="75" t="str">
        <f>IF(AND(OR(LEFT(TH!N4278,2)="15",LEFT(TH!O4278,2)="15"),LEFT(TH!O4278,3)&lt;&gt;"111",'152-CT'!$J$8=TH!F4278),"x","")</f>
        <v/>
      </c>
      <c r="AC4440" s="75" t="str">
        <f>IF(AND(OR(LEFT(TH!N4278,2)="15",LEFT(TH!O4278,2)="15"),TK!$E$7=TH!F4278),"x","")</f>
        <v/>
      </c>
      <c r="AD4440" s="75" t="str">
        <f>IF(AND(N4440="1521",MONTH(C4440)='BK-NL'!$M$11),"x","")</f>
        <v/>
      </c>
      <c r="AE4440">
        <v>9</v>
      </c>
      <c r="AF4440"/>
      <c r="AG4440"/>
    </row>
    <row r="4441" spans="1:33" s="1053" customFormat="1" ht="16.5" customHeight="1">
      <c r="A4441" s="309" t="str">
        <f>IF(B4441&lt;&gt;"",IF(AND(B4441='IN-TC'!$S$4,OR(TH!N4434="1111",TH!O4434="1111")),TH!D4434,""),"")</f>
        <v/>
      </c>
      <c r="B4441" s="1243">
        <f t="shared" si="1324"/>
        <v>7</v>
      </c>
      <c r="C4441" s="292">
        <f t="shared" si="1323"/>
        <v>42923</v>
      </c>
      <c r="D4441" s="59" t="s">
        <v>902</v>
      </c>
      <c r="E4441" s="59">
        <v>42923</v>
      </c>
      <c r="F4441" s="907" t="s">
        <v>1027</v>
      </c>
      <c r="G4441" s="62" t="s">
        <v>747</v>
      </c>
      <c r="H4441" s="67" t="s">
        <v>759</v>
      </c>
      <c r="I4441" s="373"/>
      <c r="J4441" s="379"/>
      <c r="K4441" s="379"/>
      <c r="L4441" s="379"/>
      <c r="M4441" s="379">
        <v>2504700</v>
      </c>
      <c r="N4441" s="61" t="s">
        <v>101</v>
      </c>
      <c r="O4441" s="61" t="s">
        <v>26</v>
      </c>
      <c r="P4441" s="75" t="str">
        <f>IF(AND('331-CT'!$E$7=TH!H5290,OR(N4441="331",O4441="331")),"x","")</f>
        <v/>
      </c>
      <c r="Q4441" s="75" t="str">
        <f>IF(AND(B4441='111'!$L$11,OR($N4441=$Q$7,$O4441=$Q$7)),"x","")</f>
        <v/>
      </c>
      <c r="R4441" s="75" t="str">
        <f>IF(AND($N4441=$Q$7,$B4441&lt;'111'!$L$11),"x","")</f>
        <v/>
      </c>
      <c r="S4441" s="75" t="str">
        <f>IF(AND($O4441=$Q$7,$B4441&lt;'111'!$L$11),"x","")</f>
        <v/>
      </c>
      <c r="T4441" s="75" t="str">
        <f>IF(ISERROR(FIND('112'!$M$9,G4441,1)),"",IF((AND(FIND('112'!$M$9,G4441,1)&gt;=1,B4441='112'!$K$9,OR($N4441='112'!$I$6,$O4441='112'!$I$6))),"x",""))</f>
        <v/>
      </c>
      <c r="U4441" s="75" t="str">
        <f>IF(ISERROR(FIND('112'!$M$9,G4441,1)),"",IF((AND(LEFT(G4441,2)=LEFT('112'!$M$9,2),B4441&lt;'112'!$K$9,$N4441='112'!$I$6)),"x",""))</f>
        <v/>
      </c>
      <c r="V4441" s="75" t="str">
        <f>IF(ISERROR(FIND('112'!$M$9,G4441,1)),"",IF((AND(RIGHT(G4441,2)=RIGHT('112'!$M$9,2),B4441&lt;'112'!$K$9,$O4441='112'!$I$6)),"x",""))</f>
        <v/>
      </c>
      <c r="W4441" s="75" t="str">
        <f>IF(AND('341-CT'!$H$9=H4441,OR(LEFT(N4441,3)=$W$7,LEFT(O4441,3)=$W$7)),"x","")</f>
        <v/>
      </c>
      <c r="X4441" s="75" t="str">
        <f>IF(OR(TH!N5290=TH!$X$7,O4441=TH!$X$7),"x","")</f>
        <v/>
      </c>
      <c r="Y4441" s="75" t="str">
        <f>IF(AND(OR(N4441="131",O4441="131"),H4441='131-CT'!$H$9),"x","")</f>
        <v/>
      </c>
      <c r="Z4441" s="75"/>
      <c r="AA4441" s="75" t="str">
        <f>IF(AND(MONTH(E4441)='IN-NX'!$J$5,'IN-NX'!$D$7=D4441),"x","")</f>
        <v/>
      </c>
      <c r="AB4441" s="75" t="str">
        <f>IF(AND(OR(LEFT(TH!N5290,2)="15",LEFT(TH!O5290,2)="15"),LEFT(TH!O5290,3)&lt;&gt;"111",'152-CT'!$J$8=TH!F5290),"x","")</f>
        <v/>
      </c>
      <c r="AC4441" s="75" t="str">
        <f>IF(AND(OR(LEFT(TH!N5290,2)="15",LEFT(TH!O5290,2)="15"),TK!$E$7=TH!F5290),"x","")</f>
        <v/>
      </c>
      <c r="AD4441" s="75" t="str">
        <f>IF(AND(N4441="1521",MONTH(C4441)='BK-NL'!$M$11),"x","")</f>
        <v/>
      </c>
      <c r="AE4441"/>
      <c r="AF4441"/>
      <c r="AG4441"/>
    </row>
    <row r="4442" spans="1:33" s="1053" customFormat="1" ht="16.5" customHeight="1">
      <c r="A4442" s="309" t="str">
        <f>IF(B4442&lt;&gt;"",IF(AND(B4442='IN-TC'!$S$4,OR(TH!N4435="1111",TH!O4435="1111")),TH!D4435,""),"")</f>
        <v/>
      </c>
      <c r="B4442" s="1243">
        <f t="shared" si="1324"/>
        <v>7</v>
      </c>
      <c r="C4442" s="292">
        <f t="shared" si="1323"/>
        <v>42923</v>
      </c>
      <c r="D4442" s="59" t="s">
        <v>902</v>
      </c>
      <c r="E4442" s="59">
        <v>42923</v>
      </c>
      <c r="F4442" s="67" t="s">
        <v>1549</v>
      </c>
      <c r="G4442" s="62" t="s">
        <v>747</v>
      </c>
      <c r="H4442" s="67" t="s">
        <v>835</v>
      </c>
      <c r="I4442" s="373"/>
      <c r="J4442" s="379"/>
      <c r="K4442" s="379"/>
      <c r="L4442" s="379"/>
      <c r="M4442" s="379">
        <v>227800</v>
      </c>
      <c r="N4442" s="61" t="s">
        <v>101</v>
      </c>
      <c r="O4442" s="61" t="s">
        <v>26</v>
      </c>
      <c r="P4442" s="75" t="str">
        <f>IF(AND('331-CT'!$E$7=TH!H5291,OR(N4442="331",O4442="331")),"x","")</f>
        <v/>
      </c>
      <c r="Q4442" s="75" t="str">
        <f>IF(AND(B4442='111'!$L$11,OR($N4442=$Q$7,$O4442=$Q$7)),"x","")</f>
        <v/>
      </c>
      <c r="R4442" s="75" t="str">
        <f>IF(AND($N4442=$Q$7,$B4442&lt;'111'!$L$11),"x","")</f>
        <v/>
      </c>
      <c r="S4442" s="75" t="str">
        <f>IF(AND($O4442=$Q$7,$B4442&lt;'111'!$L$11),"x","")</f>
        <v/>
      </c>
      <c r="T4442" s="75" t="str">
        <f>IF(ISERROR(FIND('112'!$M$9,G4442,1)),"",IF((AND(FIND('112'!$M$9,G4442,1)&gt;=1,B4442='112'!$K$9,OR($N4442='112'!$I$6,$O4442='112'!$I$6))),"x",""))</f>
        <v/>
      </c>
      <c r="U4442" s="75" t="str">
        <f>IF(ISERROR(FIND('112'!$M$9,G4442,1)),"",IF((AND(LEFT(G4442,2)=LEFT('112'!$M$9,2),B4442&lt;'112'!$K$9,$N4442='112'!$I$6)),"x",""))</f>
        <v/>
      </c>
      <c r="V4442" s="75" t="str">
        <f>IF(ISERROR(FIND('112'!$M$9,G4442,1)),"",IF((AND(RIGHT(G4442,2)=RIGHT('112'!$M$9,2),B4442&lt;'112'!$K$9,$O4442='112'!$I$6)),"x",""))</f>
        <v/>
      </c>
      <c r="W4442" s="75" t="str">
        <f>IF(AND('341-CT'!$H$9=H4442,OR(LEFT(N4442,3)=$W$7,LEFT(O4442,3)=$W$7)),"x","")</f>
        <v/>
      </c>
      <c r="X4442" s="75" t="str">
        <f>IF(OR(TH!N5291=TH!$X$7,O4442=TH!$X$7),"x","")</f>
        <v/>
      </c>
      <c r="Y4442" s="75" t="str">
        <f>IF(AND(OR(N4442="131",O4442="131"),H4442='131-CT'!$H$9),"x","")</f>
        <v/>
      </c>
      <c r="Z4442" s="75"/>
      <c r="AA4442" s="75" t="str">
        <f>IF(AND(MONTH(E4442)='IN-NX'!$J$5,'IN-NX'!$D$7=D4442),"x","")</f>
        <v/>
      </c>
      <c r="AB4442" s="75" t="str">
        <f>IF(AND(OR(LEFT(TH!N5291,2)="15",LEFT(TH!O5291,2)="15"),LEFT(TH!O5291,3)&lt;&gt;"111",'152-CT'!$J$8=TH!F5291),"x","")</f>
        <v/>
      </c>
      <c r="AC4442" s="75" t="str">
        <f>IF(AND(OR(LEFT(TH!N5291,2)="15",LEFT(TH!O5291,2)="15"),TK!$E$7=TH!F5291),"x","")</f>
        <v/>
      </c>
      <c r="AD4442" s="75" t="str">
        <f>IF(AND(N4442="1521",MONTH(C4442)='BK-NL'!$M$11),"x","")</f>
        <v/>
      </c>
      <c r="AE4442"/>
      <c r="AF4442"/>
      <c r="AG4442"/>
    </row>
    <row r="4443" spans="1:33" s="1053" customFormat="1" ht="16.5" customHeight="1">
      <c r="A4443" s="309" t="str">
        <f>IF(B4443&lt;&gt;"",IF(AND(B4443='IN-TC'!$S$4,OR(TH!N4436="1111",TH!O4436="1111")),TH!D4436,""),"")</f>
        <v/>
      </c>
      <c r="B4443" s="1243">
        <f t="shared" si="1324"/>
        <v>7</v>
      </c>
      <c r="C4443" s="292">
        <f t="shared" si="1323"/>
        <v>42923</v>
      </c>
      <c r="D4443" s="59" t="s">
        <v>902</v>
      </c>
      <c r="E4443" s="59">
        <v>42923</v>
      </c>
      <c r="F4443" s="67" t="s">
        <v>897</v>
      </c>
      <c r="G4443" s="62" t="s">
        <v>747</v>
      </c>
      <c r="H4443" s="294" t="s">
        <v>623</v>
      </c>
      <c r="I4443" s="373"/>
      <c r="J4443" s="379"/>
      <c r="K4443" s="373"/>
      <c r="L4443" s="379"/>
      <c r="M4443" s="60">
        <v>9500000000</v>
      </c>
      <c r="N4443" s="61" t="s">
        <v>8</v>
      </c>
      <c r="O4443" s="61" t="s">
        <v>26</v>
      </c>
      <c r="P4443" s="75" t="str">
        <f>IF(AND('331-CT'!$E$7=TH!H5292,OR(N4443="331",O4443="331")),"x","")</f>
        <v/>
      </c>
      <c r="Q4443" s="75" t="str">
        <f>IF(AND(B4443='111'!$L$11,OR($N4443=$Q$7,$O4443=$Q$7)),"x","")</f>
        <v/>
      </c>
      <c r="R4443" s="75" t="str">
        <f>IF(AND($N4443=$Q$7,$B4443&lt;'111'!$L$11),"x","")</f>
        <v/>
      </c>
      <c r="S4443" s="75" t="str">
        <f>IF(AND($O4443=$Q$7,$B4443&lt;'111'!$L$11),"x","")</f>
        <v/>
      </c>
      <c r="T4443" s="75" t="str">
        <f>IF(ISERROR(FIND('112'!$M$9,G4443,1)),"",IF((AND(FIND('112'!$M$9,G4443,1)&gt;=1,B4443='112'!$K$9,OR($N4443='112'!$I$6,$O4443='112'!$I$6))),"x",""))</f>
        <v/>
      </c>
      <c r="U4443" s="75" t="str">
        <f>IF(ISERROR(FIND('112'!$M$9,G4443,1)),"",IF((AND(LEFT(G4443,2)=LEFT('112'!$M$9,2),B4443&lt;'112'!$K$9,$N4443='112'!$I$6)),"x",""))</f>
        <v/>
      </c>
      <c r="V4443" s="75" t="str">
        <f>IF(ISERROR(FIND('112'!$M$9,G4443,1)),"",IF((AND(RIGHT(G4443,2)=RIGHT('112'!$M$9,2),B4443&lt;'112'!$K$9,$O4443='112'!$I$6)),"x",""))</f>
        <v/>
      </c>
      <c r="W4443" s="75" t="str">
        <f>IF(AND('341-CT'!$H$9=H4443,OR(LEFT(N4443,3)=$W$7,LEFT(O4443,3)=$W$7)),"x","")</f>
        <v/>
      </c>
      <c r="X4443" s="75" t="str">
        <f>IF(OR(TH!N5292=TH!$X$7,O4443=TH!$X$7),"x","")</f>
        <v/>
      </c>
      <c r="Y4443" s="75" t="str">
        <f>IF(AND(OR(N4443="131",O4443="131"),H4443='131-CT'!$H$9),"x","")</f>
        <v/>
      </c>
      <c r="Z4443" s="75"/>
      <c r="AA4443" s="75" t="str">
        <f>IF(AND(MONTH(E4443)='IN-NX'!$J$5,'IN-NX'!$D$7=D4443),"x","")</f>
        <v/>
      </c>
      <c r="AB4443" s="75" t="str">
        <f>IF(AND(OR(LEFT(TH!N5292,2)="15",LEFT(TH!O5292,2)="15"),LEFT(TH!O5292,3)&lt;&gt;"111",'152-CT'!$J$8=TH!F5292),"x","")</f>
        <v/>
      </c>
      <c r="AC4443" s="75" t="str">
        <f>IF(AND(OR(LEFT(TH!N5292,2)="15",LEFT(TH!O5292,2)="15"),TK!$E$7=TH!F5292),"x","")</f>
        <v/>
      </c>
      <c r="AD4443" s="75" t="str">
        <f>IF(AND(N4443="1521",MONTH(C4443)='BK-NL'!$M$11),"x","")</f>
        <v/>
      </c>
      <c r="AE4443"/>
      <c r="AF4443"/>
      <c r="AG4443"/>
    </row>
    <row r="4444" spans="1:33" s="1053" customFormat="1" ht="16.5" customHeight="1">
      <c r="A4444" s="309" t="str">
        <f>IF(B4444&lt;&gt;"",IF(AND(B4444='IN-TC'!$S$4,OR(TH!N4437="1111",TH!O4437="1111")),TH!D4437,""),"")</f>
        <v/>
      </c>
      <c r="B4444" s="1243">
        <f t="shared" si="1324"/>
        <v>7</v>
      </c>
      <c r="C4444" s="292">
        <f t="shared" si="1323"/>
        <v>42923</v>
      </c>
      <c r="D4444" s="59" t="s">
        <v>902</v>
      </c>
      <c r="E4444" s="59">
        <v>42923</v>
      </c>
      <c r="F4444" s="67" t="s">
        <v>870</v>
      </c>
      <c r="G4444" s="62" t="s">
        <v>747</v>
      </c>
      <c r="H4444" s="67" t="s">
        <v>835</v>
      </c>
      <c r="I4444" s="375"/>
      <c r="J4444" s="381"/>
      <c r="K4444" s="375"/>
      <c r="L4444" s="381"/>
      <c r="M4444" s="60">
        <v>1000000</v>
      </c>
      <c r="N4444" s="61" t="s">
        <v>101</v>
      </c>
      <c r="O4444" s="61" t="s">
        <v>26</v>
      </c>
      <c r="P4444" s="75" t="str">
        <f>IF(AND('331-CT'!$E$7=TH!H5293,OR(N4444="331",O4444="331")),"x","")</f>
        <v/>
      </c>
      <c r="Q4444" s="75" t="str">
        <f>IF(AND(B4444='111'!$L$11,OR($N4444=$Q$7,$O4444=$Q$7)),"x","")</f>
        <v/>
      </c>
      <c r="R4444" s="75" t="str">
        <f>IF(AND($N4444=$Q$7,$B4444&lt;'111'!$L$11),"x","")</f>
        <v/>
      </c>
      <c r="S4444" s="75" t="str">
        <f>IF(AND($O4444=$Q$7,$B4444&lt;'111'!$L$11),"x","")</f>
        <v/>
      </c>
      <c r="T4444" s="75" t="str">
        <f>IF(ISERROR(FIND('112'!$M$9,G4444,1)),"",IF((AND(FIND('112'!$M$9,G4444,1)&gt;=1,B4444='112'!$K$9,OR($N4444='112'!$I$6,$O4444='112'!$I$6))),"x",""))</f>
        <v/>
      </c>
      <c r="U4444" s="75" t="str">
        <f>IF(ISERROR(FIND('112'!$M$9,G4444,1)),"",IF((AND(LEFT(G4444,2)=LEFT('112'!$M$9,2),B4444&lt;'112'!$K$9,$N4444='112'!$I$6)),"x",""))</f>
        <v/>
      </c>
      <c r="V4444" s="75" t="str">
        <f>IF(ISERROR(FIND('112'!$M$9,G4444,1)),"",IF((AND(RIGHT(G4444,2)=RIGHT('112'!$M$9,2),B4444&lt;'112'!$K$9,$O4444='112'!$I$6)),"x",""))</f>
        <v/>
      </c>
      <c r="W4444" s="75" t="str">
        <f>IF(AND('341-CT'!$H$9=H4444,OR(LEFT(N4444,3)=$W$7,LEFT(O4444,3)=$W$7)),"x","")</f>
        <v/>
      </c>
      <c r="X4444" s="75" t="str">
        <f>IF(OR(TH!N5293=TH!$X$7,O4444=TH!$X$7),"x","")</f>
        <v/>
      </c>
      <c r="Y4444" s="75" t="str">
        <f>IF(AND(OR(N4444="131",O4444="131"),H4444='131-CT'!$H$9),"x","")</f>
        <v/>
      </c>
      <c r="Z4444" s="75"/>
      <c r="AA4444" s="75" t="str">
        <f>IF(AND(MONTH(E4444)='IN-NX'!$J$5,'IN-NX'!$D$7=D4444),"x","")</f>
        <v/>
      </c>
      <c r="AB4444" s="75" t="str">
        <f>IF(AND(OR(LEFT(TH!N5293,2)="15",LEFT(TH!O5293,2)="15"),LEFT(TH!O5293,3)&lt;&gt;"111",'152-CT'!$J$8=TH!F5293),"x","")</f>
        <v/>
      </c>
      <c r="AC4444" s="75" t="str">
        <f>IF(AND(OR(LEFT(TH!N5293,2)="15",LEFT(TH!O5293,2)="15"),TK!$E$7=TH!F5293),"x","")</f>
        <v/>
      </c>
      <c r="AD4444" s="75" t="str">
        <f>IF(AND(N4444="1521",MONTH(C4444)='BK-NL'!$M$11),"x","")</f>
        <v/>
      </c>
      <c r="AE4444"/>
      <c r="AF4444"/>
      <c r="AG4444"/>
    </row>
    <row r="4445" spans="1:33" s="1053" customFormat="1" ht="16.5" customHeight="1">
      <c r="A4445" s="309" t="str">
        <f>IF(B4445&lt;&gt;"",IF(AND(B4445='IN-TC'!$S$4,OR(TH!N4438="1111",TH!O4438="1111")),TH!D4438,""),"")</f>
        <v/>
      </c>
      <c r="B4445" s="1243">
        <f t="shared" si="1324"/>
        <v>7</v>
      </c>
      <c r="C4445" s="292">
        <f t="shared" si="1323"/>
        <v>42923</v>
      </c>
      <c r="D4445" s="59" t="s">
        <v>902</v>
      </c>
      <c r="E4445" s="59">
        <v>42923</v>
      </c>
      <c r="F4445" s="67" t="s">
        <v>898</v>
      </c>
      <c r="G4445" s="62" t="s">
        <v>747</v>
      </c>
      <c r="H4445" s="67" t="s">
        <v>835</v>
      </c>
      <c r="I4445" s="375"/>
      <c r="J4445" s="381"/>
      <c r="K4445" s="375"/>
      <c r="L4445" s="381"/>
      <c r="M4445" s="60">
        <v>100000</v>
      </c>
      <c r="N4445" s="61" t="s">
        <v>9</v>
      </c>
      <c r="O4445" s="61" t="s">
        <v>26</v>
      </c>
      <c r="P4445" s="75" t="str">
        <f>IF(AND('331-CT'!$E$7=TH!H5294,OR(N4445="331",O4445="331")),"x","")</f>
        <v/>
      </c>
      <c r="Q4445" s="75" t="str">
        <f>IF(AND(B4445='111'!$L$11,OR($N4445=$Q$7,$O4445=$Q$7)),"x","")</f>
        <v/>
      </c>
      <c r="R4445" s="75" t="str">
        <f>IF(AND($N4445=$Q$7,$B4445&lt;'111'!$L$11),"x","")</f>
        <v/>
      </c>
      <c r="S4445" s="75" t="str">
        <f>IF(AND($O4445=$Q$7,$B4445&lt;'111'!$L$11),"x","")</f>
        <v/>
      </c>
      <c r="T4445" s="75" t="str">
        <f>IF(ISERROR(FIND('112'!$M$9,G4445,1)),"",IF((AND(FIND('112'!$M$9,G4445,1)&gt;=1,B4445='112'!$K$9,OR($N4445='112'!$I$6,$O4445='112'!$I$6))),"x",""))</f>
        <v/>
      </c>
      <c r="U4445" s="75" t="str">
        <f>IF(ISERROR(FIND('112'!$M$9,G4445,1)),"",IF((AND(LEFT(G4445,2)=LEFT('112'!$M$9,2),B4445&lt;'112'!$K$9,$N4445='112'!$I$6)),"x",""))</f>
        <v/>
      </c>
      <c r="V4445" s="75" t="str">
        <f>IF(ISERROR(FIND('112'!$M$9,G4445,1)),"",IF((AND(RIGHT(G4445,2)=RIGHT('112'!$M$9,2),B4445&lt;'112'!$K$9,$O4445='112'!$I$6)),"x",""))</f>
        <v/>
      </c>
      <c r="W4445" s="75" t="str">
        <f>IF(AND('341-CT'!$H$9=H4445,OR(LEFT(N4445,3)=$W$7,LEFT(O4445,3)=$W$7)),"x","")</f>
        <v/>
      </c>
      <c r="X4445" s="75" t="str">
        <f>IF(OR(TH!N5294=TH!$X$7,O4445=TH!$X$7),"x","")</f>
        <v/>
      </c>
      <c r="Y4445" s="75" t="str">
        <f>IF(AND(OR(N4445="131",O4445="131"),H4445='131-CT'!$H$9),"x","")</f>
        <v/>
      </c>
      <c r="Z4445" s="75"/>
      <c r="AA4445" s="75" t="str">
        <f>IF(AND(MONTH(E4445)='IN-NX'!$J$5,'IN-NX'!$D$7=D4445),"x","")</f>
        <v/>
      </c>
      <c r="AB4445" s="75" t="str">
        <f>IF(AND(OR(LEFT(TH!N5294,2)="15",LEFT(TH!O5294,2)="15"),LEFT(TH!O5294,3)&lt;&gt;"111",'152-CT'!$J$8=TH!F5294),"x","")</f>
        <v/>
      </c>
      <c r="AC4445" s="75" t="str">
        <f>IF(AND(OR(LEFT(TH!N5294,2)="15",LEFT(TH!O5294,2)="15"),TK!$E$7=TH!F5294),"x","")</f>
        <v/>
      </c>
      <c r="AD4445" s="75" t="str">
        <f>IF(AND(N4445="1521",MONTH(C4445)='BK-NL'!$M$11),"x","")</f>
        <v/>
      </c>
      <c r="AE4445">
        <v>7</v>
      </c>
      <c r="AF4445"/>
      <c r="AG4445"/>
    </row>
    <row r="4446" spans="1:33" s="1053" customFormat="1" ht="16.5" customHeight="1">
      <c r="A4446" s="309" t="str">
        <f>IF(B4446&lt;&gt;"",IF(AND(B4446='IN-TC'!$S$4,OR(TH!N4439="1111",TH!O4439="1111")),TH!D4439,""),"")</f>
        <v/>
      </c>
      <c r="B4446" s="1243">
        <f t="shared" si="1324"/>
        <v>7</v>
      </c>
      <c r="C4446" s="292">
        <f t="shared" si="1323"/>
        <v>42923</v>
      </c>
      <c r="D4446" s="292" t="s">
        <v>850</v>
      </c>
      <c r="E4446" s="292">
        <v>42923</v>
      </c>
      <c r="F4446" s="293" t="s">
        <v>834</v>
      </c>
      <c r="G4446" s="943" t="s">
        <v>747</v>
      </c>
      <c r="H4446" s="67" t="s">
        <v>1023</v>
      </c>
      <c r="I4446" s="373"/>
      <c r="J4446" s="926"/>
      <c r="K4446" s="373"/>
      <c r="L4446" s="379"/>
      <c r="M4446" s="927">
        <v>5000000000</v>
      </c>
      <c r="N4446" s="295" t="s">
        <v>63</v>
      </c>
      <c r="O4446" s="295" t="s">
        <v>26</v>
      </c>
      <c r="P4446" s="75" t="str">
        <f>IF(AND('331-CT'!$E$7=TH!H5296,OR(N4446="331",O4446="331")),"x","")</f>
        <v/>
      </c>
      <c r="Q4446" s="75" t="str">
        <f>IF(AND(B4446='111'!$L$11,OR($N4446=$Q$7,$O4446=$Q$7)),"x","")</f>
        <v/>
      </c>
      <c r="R4446" s="75" t="str">
        <f>IF(AND($N4446=$Q$7,$B4446&lt;'111'!$L$11),"x","")</f>
        <v>x</v>
      </c>
      <c r="S4446" s="75" t="str">
        <f>IF(AND($O4446=$Q$7,$B4446&lt;'111'!$L$11),"x","")</f>
        <v/>
      </c>
      <c r="T4446" s="75" t="str">
        <f>IF(ISERROR(FIND('112'!$M$9,G4446,1)),"",IF((AND(FIND('112'!$M$9,G4446,1)&gt;=1,B4446='112'!$K$9,OR($N4446='112'!$I$6,$O4446='112'!$I$6))),"x",""))</f>
        <v/>
      </c>
      <c r="U4446" s="75" t="str">
        <f>IF(ISERROR(FIND('112'!$M$9,G4446,1)),"",IF((AND(LEFT(G4446,2)=LEFT('112'!$M$9,2),B4446&lt;'112'!$K$9,$N4446='112'!$I$6)),"x",""))</f>
        <v/>
      </c>
      <c r="V4446" s="75" t="str">
        <f>IF(ISERROR(FIND('112'!$M$9,G4446,1)),"",IF((AND(RIGHT(G4446,2)=RIGHT('112'!$M$9,2),B4446&lt;'112'!$K$9,$O4446='112'!$I$6)),"x",""))</f>
        <v/>
      </c>
      <c r="W4446" s="75" t="str">
        <f>IF(AND('341-CT'!$H$9=H4446,OR(LEFT(N4446,3)=$W$7,LEFT(O4446,3)=$W$7)),"x","")</f>
        <v/>
      </c>
      <c r="X4446" s="75" t="str">
        <f>IF(OR(TH!N5296=TH!$X$7,O4446=TH!$X$7),"x","")</f>
        <v/>
      </c>
      <c r="Y4446" s="75" t="str">
        <f>IF(AND(OR(N4446="131",O4446="131"),H4446='131-CT'!$H$9),"x","")</f>
        <v/>
      </c>
      <c r="Z4446" s="75"/>
      <c r="AA4446" s="75" t="str">
        <f>IF(AND(MONTH(E4446)='IN-NX'!$J$5,'IN-NX'!$D$7=D4446),"x","")</f>
        <v/>
      </c>
      <c r="AB4446" s="75" t="str">
        <f>IF(AND(OR(LEFT(TH!N5296,2)="15",LEFT(TH!O5296,2)="15"),LEFT(TH!O5296,3)&lt;&gt;"111",'152-CT'!$J$8=TH!F5296),"x","")</f>
        <v/>
      </c>
      <c r="AC4446" s="75" t="str">
        <f>IF(AND(OR(LEFT(TH!N5296,2)="15",LEFT(TH!O5296,2)="15"),TK!$E$7=TH!F5296),"x","")</f>
        <v/>
      </c>
      <c r="AD4446" s="75" t="str">
        <f>IF(AND(N4446="1521",MONTH(C4446)='BK-NL'!$M$11),"x","")</f>
        <v/>
      </c>
      <c r="AE4446"/>
      <c r="AF4446"/>
      <c r="AG4446"/>
    </row>
    <row r="4447" spans="1:33" s="1053" customFormat="1" ht="16.5" customHeight="1">
      <c r="A4447" s="309" t="str">
        <f>IF(B4447&lt;&gt;"",IF(AND(B4447='IN-TC'!$S$4,OR(TH!N4440="1111",TH!O4440="1111")),TH!D4440,""),"")</f>
        <v/>
      </c>
      <c r="B4447" s="1243">
        <f t="shared" si="1324"/>
        <v>7</v>
      </c>
      <c r="C4447" s="292">
        <f t="shared" si="1323"/>
        <v>42924</v>
      </c>
      <c r="D4447" s="292"/>
      <c r="E4447" s="292">
        <v>42924</v>
      </c>
      <c r="F4447" s="67" t="s">
        <v>1165</v>
      </c>
      <c r="G4447" s="925" t="s">
        <v>1694</v>
      </c>
      <c r="H4447" s="294" t="s">
        <v>1684</v>
      </c>
      <c r="I4447" s="373"/>
      <c r="J4447" s="926"/>
      <c r="K4447" s="373"/>
      <c r="L4447" s="379"/>
      <c r="M4447" s="927">
        <v>19650400</v>
      </c>
      <c r="N4447" s="295" t="s">
        <v>8</v>
      </c>
      <c r="O4447" s="295" t="s">
        <v>63</v>
      </c>
      <c r="P4447" s="75" t="str">
        <f>IF(AND('331-CT'!$E$7=TH!H3760,OR(N4447="331",O4447="331")),"x","")</f>
        <v/>
      </c>
      <c r="Q4447" s="75" t="str">
        <f>IF(AND(B4447='111'!$L$11,OR($N4447=$Q$7,$O4447=$Q$7)),"x","")</f>
        <v/>
      </c>
      <c r="R4447" s="75" t="str">
        <f>IF(AND($N4447=$Q$7,$B4447&lt;'111'!$L$11),"x","")</f>
        <v/>
      </c>
      <c r="S4447" s="75" t="str">
        <f>IF(AND($O4447=$Q$7,$B4447&lt;'111'!$L$11),"x","")</f>
        <v>x</v>
      </c>
      <c r="T4447" s="75" t="str">
        <f>IF(ISERROR(FIND('112'!$M$9,G4447,1)),"",IF((AND(FIND('112'!$M$9,G4447,1)&gt;=1,B4447='112'!$K$9,OR($N4447='112'!$I$6,$O4447='112'!$I$6))),"x",""))</f>
        <v/>
      </c>
      <c r="U4447" s="75" t="str">
        <f>IF(ISERROR(FIND('112'!$M$9,G4447,1)),"",IF((AND(LEFT(G4447,2)=LEFT('112'!$M$9,2),B4447&lt;'112'!$K$9,$N4447='112'!$I$6)),"x",""))</f>
        <v/>
      </c>
      <c r="V4447" s="75" t="str">
        <f>IF(ISERROR(FIND('112'!$M$9,G4447,1)),"",IF((AND(RIGHT(G4447,2)=RIGHT('112'!$M$9,2),B4447&lt;'112'!$K$9,$O4447='112'!$I$6)),"x",""))</f>
        <v/>
      </c>
      <c r="W4447" s="75" t="str">
        <f>IF(AND('341-CT'!$H$9=H4447,OR(LEFT(N4447,3)=$W$7,LEFT(O4447,3)=$W$7)),"x","")</f>
        <v/>
      </c>
      <c r="X4447" s="75" t="str">
        <f>IF(OR(TH!N3760=TH!$X$7,O4447=TH!$X$7),"x","")</f>
        <v/>
      </c>
      <c r="Y4447" s="75" t="str">
        <f>IF(AND(OR(N4447="131",O4447="131"),H4447='131-CT'!$H$9),"x","")</f>
        <v/>
      </c>
      <c r="Z4447" s="75"/>
      <c r="AA4447" s="75" t="str">
        <f>IF(AND(MONTH(E4447)='IN-NX'!$J$5,'IN-NX'!$D$7=D4447),"x","")</f>
        <v/>
      </c>
      <c r="AB4447" s="75" t="str">
        <f>IF(AND(OR(LEFT(TH!N3760,2)="15",LEFT(TH!O3760,2)="15"),LEFT(TH!O3760,3)&lt;&gt;"111",'152-CT'!$J$8=TH!F3760),"x","")</f>
        <v/>
      </c>
      <c r="AC4447" s="75" t="str">
        <f>IF(AND(OR(LEFT(TH!N3760,2)="15",LEFT(TH!O3760,2)="15"),TK!$E$7=TH!F3760),"x","")</f>
        <v/>
      </c>
      <c r="AD4447" s="75" t="str">
        <f>IF(AND(N4447="1521",MONTH(C4447)='BK-NL'!$M$11),"x","")</f>
        <v/>
      </c>
      <c r="AE4447"/>
      <c r="AF4447"/>
      <c r="AG4447"/>
    </row>
    <row r="4448" spans="1:33" s="1053" customFormat="1" ht="16.5" customHeight="1">
      <c r="A4448" s="309" t="str">
        <f>IF(B4448&lt;&gt;"",IF(AND(B4448='IN-TC'!$S$4,OR(TH!N4441="1111",TH!O4441="1111")),TH!D4441,""),"")</f>
        <v/>
      </c>
      <c r="B4448" s="1243">
        <f t="shared" si="1324"/>
        <v>7</v>
      </c>
      <c r="C4448" s="292">
        <f t="shared" si="1323"/>
        <v>42924</v>
      </c>
      <c r="D4448" s="59" t="s">
        <v>903</v>
      </c>
      <c r="E4448" s="59">
        <v>42924</v>
      </c>
      <c r="F4448" s="131" t="s">
        <v>914</v>
      </c>
      <c r="G4448" s="62" t="s">
        <v>586</v>
      </c>
      <c r="H4448" s="67" t="s">
        <v>982</v>
      </c>
      <c r="I4448" s="375"/>
      <c r="J4448" s="381"/>
      <c r="K4448" s="375"/>
      <c r="L4448" s="379"/>
      <c r="M4448" s="60">
        <v>1025</v>
      </c>
      <c r="N4448" s="61" t="s">
        <v>26</v>
      </c>
      <c r="O4448" s="295" t="s">
        <v>43</v>
      </c>
      <c r="P4448" s="75" t="str">
        <f>IF(AND('331-CT'!$E$7=TH!H4405,OR(N4448="331",O4448="331")),"x","")</f>
        <v/>
      </c>
      <c r="Q4448" s="75" t="str">
        <f>IF(AND(B4448='111'!$L$11,OR($N4448=$Q$7,$O4448=$Q$7)),"x","")</f>
        <v/>
      </c>
      <c r="R4448" s="75" t="str">
        <f>IF(AND($N4448=$Q$7,$B4448&lt;'111'!$L$11),"x","")</f>
        <v/>
      </c>
      <c r="S4448" s="75" t="str">
        <f>IF(AND($O4448=$Q$7,$B4448&lt;'111'!$L$11),"x","")</f>
        <v/>
      </c>
      <c r="T4448" s="75" t="str">
        <f>IF(ISERROR(FIND('112'!$M$9,G4448,1)),"",IF((AND(FIND('112'!$M$9,G4448,1)&gt;=1,B4448='112'!$K$9,OR($N4448='112'!$I$6,$O4448='112'!$I$6))),"x",""))</f>
        <v/>
      </c>
      <c r="U4448" s="75" t="str">
        <f>IF(ISERROR(FIND('112'!$M$9,G4448,1)),"",IF((AND(LEFT(G4448,2)=LEFT('112'!$M$9,2),B4448&lt;'112'!$K$9,$N4448='112'!$I$6)),"x",""))</f>
        <v>x</v>
      </c>
      <c r="V4448" s="75" t="str">
        <f>IF(ISERROR(FIND('112'!$M$9,G4448,1)),"",IF((AND(RIGHT(G4448,2)=RIGHT('112'!$M$9,2),B4448&lt;'112'!$K$9,$O4448='112'!$I$6)),"x",""))</f>
        <v/>
      </c>
      <c r="W4448" s="75" t="str">
        <f>IF(AND('341-CT'!$H$9=H4448,OR(LEFT(N4448,3)=$W$7,LEFT(O4448,3)=$W$7)),"x","")</f>
        <v/>
      </c>
      <c r="X4448" s="75" t="str">
        <f>IF(OR(TH!N4405=TH!$X$7,O4448=TH!$X$7),"x","")</f>
        <v/>
      </c>
      <c r="Y4448" s="75" t="str">
        <f>IF(AND(OR(N4448="131",O4448="131"),H4448='131-CT'!$H$9),"x","")</f>
        <v/>
      </c>
      <c r="Z4448" s="75"/>
      <c r="AA4448" s="75" t="str">
        <f>IF(AND(MONTH(E4448)='IN-NX'!$J$5,'IN-NX'!$D$7=D4448),"x","")</f>
        <v/>
      </c>
      <c r="AB4448" s="75" t="str">
        <f>IF(AND(OR(LEFT(TH!N4405,2)="15",LEFT(TH!O4405,2)="15"),LEFT(TH!O4405,3)&lt;&gt;"111",'152-CT'!$J$8=TH!F4405),"x","")</f>
        <v/>
      </c>
      <c r="AC4448" s="75" t="str">
        <f>IF(AND(OR(LEFT(TH!N4405,2)="15",LEFT(TH!O4405,2)="15"),TK!$E$7=TH!F4405),"x","")</f>
        <v/>
      </c>
      <c r="AD4448" s="75" t="str">
        <f>IF(AND(N4448="1521",MONTH(C4448)='BK-NL'!$M$11),"x","")</f>
        <v/>
      </c>
      <c r="AE4448"/>
      <c r="AF4448"/>
      <c r="AG4448"/>
    </row>
    <row r="4449" spans="1:33" s="1053" customFormat="1" ht="16.5" customHeight="1">
      <c r="A4449" s="309" t="str">
        <f>IF(B4449&lt;&gt;"",IF(AND(B4449='IN-TC'!$S$4,OR(TH!N4442="1111",TH!O4442="1111")),TH!D4442,""),"")</f>
        <v/>
      </c>
      <c r="B4449" s="1243">
        <f t="shared" si="1324"/>
        <v>7</v>
      </c>
      <c r="C4449" s="292">
        <f t="shared" si="1323"/>
        <v>42925</v>
      </c>
      <c r="D4449" s="292"/>
      <c r="E4449" s="292">
        <v>42925</v>
      </c>
      <c r="F4449" s="1127" t="s">
        <v>1165</v>
      </c>
      <c r="G4449" s="925" t="s">
        <v>1695</v>
      </c>
      <c r="H4449" s="294" t="s">
        <v>1684</v>
      </c>
      <c r="I4449" s="373"/>
      <c r="J4449" s="926"/>
      <c r="K4449" s="373"/>
      <c r="L4449" s="379"/>
      <c r="M4449" s="927">
        <v>19650400</v>
      </c>
      <c r="N4449" s="295" t="s">
        <v>8</v>
      </c>
      <c r="O4449" s="295" t="s">
        <v>63</v>
      </c>
      <c r="P4449" s="75" t="str">
        <f>IF(AND('331-CT'!$E$7=TH!H3761,OR(N4449="331",O4449="331")),"x","")</f>
        <v/>
      </c>
      <c r="Q4449" s="75" t="str">
        <f>IF(AND(B4449='111'!$L$11,OR($N4449=$Q$7,$O4449=$Q$7)),"x","")</f>
        <v/>
      </c>
      <c r="R4449" s="75" t="str">
        <f>IF(AND($N4449=$Q$7,$B4449&lt;'111'!$L$11),"x","")</f>
        <v/>
      </c>
      <c r="S4449" s="75" t="str">
        <f>IF(AND($O4449=$Q$7,$B4449&lt;'111'!$L$11),"x","")</f>
        <v>x</v>
      </c>
      <c r="T4449" s="75" t="str">
        <f>IF(ISERROR(FIND('112'!$M$9,G4449,1)),"",IF((AND(FIND('112'!$M$9,G4449,1)&gt;=1,B4449='112'!$K$9,OR($N4449='112'!$I$6,$O4449='112'!$I$6))),"x",""))</f>
        <v/>
      </c>
      <c r="U4449" s="75" t="str">
        <f>IF(ISERROR(FIND('112'!$M$9,G4449,1)),"",IF((AND(LEFT(G4449,2)=LEFT('112'!$M$9,2),B4449&lt;'112'!$K$9,$N4449='112'!$I$6)),"x",""))</f>
        <v/>
      </c>
      <c r="V4449" s="75" t="str">
        <f>IF(ISERROR(FIND('112'!$M$9,G4449,1)),"",IF((AND(RIGHT(G4449,2)=RIGHT('112'!$M$9,2),B4449&lt;'112'!$K$9,$O4449='112'!$I$6)),"x",""))</f>
        <v/>
      </c>
      <c r="W4449" s="75" t="str">
        <f>IF(AND('341-CT'!$H$9=H4449,OR(LEFT(N4449,3)=$W$7,LEFT(O4449,3)=$W$7)),"x","")</f>
        <v/>
      </c>
      <c r="X4449" s="75" t="str">
        <f>IF(OR(TH!N3761=TH!$X$7,O4449=TH!$X$7),"x","")</f>
        <v/>
      </c>
      <c r="Y4449" s="75" t="str">
        <f>IF(AND(OR(N4449="131",O4449="131"),H4449='131-CT'!$H$9),"x","")</f>
        <v/>
      </c>
      <c r="Z4449" s="75"/>
      <c r="AA4449" s="75" t="str">
        <f>IF(AND(MONTH(E4449)='IN-NX'!$J$5,'IN-NX'!$D$7=D4449),"x","")</f>
        <v/>
      </c>
      <c r="AB4449" s="75" t="str">
        <f>IF(AND(OR(LEFT(TH!N3761,2)="15",LEFT(TH!O3761,2)="15"),LEFT(TH!O3761,3)&lt;&gt;"111",'152-CT'!$J$8=TH!F3761),"x","")</f>
        <v/>
      </c>
      <c r="AC4449" s="75" t="str">
        <f>IF(AND(OR(LEFT(TH!N3761,2)="15",LEFT(TH!O3761,2)="15"),TK!$E$7=TH!F3761),"x","")</f>
        <v/>
      </c>
      <c r="AD4449" s="75" t="str">
        <f>IF(AND(N4449="1521",MONTH(C4449)='BK-NL'!$M$11),"x","")</f>
        <v/>
      </c>
      <c r="AE4449"/>
      <c r="AF4449"/>
      <c r="AG4449"/>
    </row>
    <row r="4450" spans="1:33" s="1053" customFormat="1" ht="16.5" customHeight="1">
      <c r="A4450" s="309" t="str">
        <f>IF(B4450&lt;&gt;"",IF(AND(B4450='IN-TC'!$S$4,OR(TH!N4443="1111",TH!O4443="1111")),TH!D4443,""),"")</f>
        <v/>
      </c>
      <c r="B4450" s="1243">
        <f t="shared" si="1324"/>
        <v>7</v>
      </c>
      <c r="C4450" s="292">
        <f t="shared" si="1323"/>
        <v>42926</v>
      </c>
      <c r="D4450" s="292"/>
      <c r="E4450" s="292">
        <v>42926</v>
      </c>
      <c r="F4450" s="67" t="s">
        <v>1165</v>
      </c>
      <c r="G4450" s="925" t="s">
        <v>1661</v>
      </c>
      <c r="H4450" s="294" t="s">
        <v>1684</v>
      </c>
      <c r="I4450" s="373"/>
      <c r="J4450" s="926"/>
      <c r="K4450" s="373"/>
      <c r="L4450" s="379"/>
      <c r="M4450" s="927">
        <v>19641400</v>
      </c>
      <c r="N4450" s="295" t="s">
        <v>8</v>
      </c>
      <c r="O4450" s="295" t="s">
        <v>63</v>
      </c>
      <c r="P4450" s="75" t="str">
        <f>IF(AND('331-CT'!$E$7=TH!H3762,OR(N4450="331",O4450="331")),"x","")</f>
        <v/>
      </c>
      <c r="Q4450" s="75" t="str">
        <f>IF(AND(B4450='111'!$L$11,OR($N4450=$Q$7,$O4450=$Q$7)),"x","")</f>
        <v/>
      </c>
      <c r="R4450" s="75" t="str">
        <f>IF(AND($N4450=$Q$7,$B4450&lt;'111'!$L$11),"x","")</f>
        <v/>
      </c>
      <c r="S4450" s="75" t="str">
        <f>IF(AND($O4450=$Q$7,$B4450&lt;'111'!$L$11),"x","")</f>
        <v>x</v>
      </c>
      <c r="T4450" s="75" t="str">
        <f>IF(ISERROR(FIND('112'!$M$9,G4450,1)),"",IF((AND(FIND('112'!$M$9,G4450,1)&gt;=1,B4450='112'!$K$9,OR($N4450='112'!$I$6,$O4450='112'!$I$6))),"x",""))</f>
        <v/>
      </c>
      <c r="U4450" s="75" t="str">
        <f>IF(ISERROR(FIND('112'!$M$9,G4450,1)),"",IF((AND(LEFT(G4450,2)=LEFT('112'!$M$9,2),B4450&lt;'112'!$K$9,$N4450='112'!$I$6)),"x",""))</f>
        <v/>
      </c>
      <c r="V4450" s="75" t="str">
        <f>IF(ISERROR(FIND('112'!$M$9,G4450,1)),"",IF((AND(RIGHT(G4450,2)=RIGHT('112'!$M$9,2),B4450&lt;'112'!$K$9,$O4450='112'!$I$6)),"x",""))</f>
        <v/>
      </c>
      <c r="W4450" s="75" t="str">
        <f>IF(AND('341-CT'!$H$9=H4450,OR(LEFT(N4450,3)=$W$7,LEFT(O4450,3)=$W$7)),"x","")</f>
        <v/>
      </c>
      <c r="X4450" s="75" t="str">
        <f>IF(OR(TH!N3762=TH!$X$7,O4450=TH!$X$7),"x","")</f>
        <v/>
      </c>
      <c r="Y4450" s="75" t="str">
        <f>IF(AND(OR(N4450="131",O4450="131"),H4450='131-CT'!$H$9),"x","")</f>
        <v/>
      </c>
      <c r="Z4450" s="75"/>
      <c r="AA4450" s="75" t="str">
        <f>IF(AND(MONTH(E4450)='IN-NX'!$J$5,'IN-NX'!$D$7=D4450),"x","")</f>
        <v/>
      </c>
      <c r="AB4450" s="75" t="str">
        <f>IF(AND(OR(LEFT(TH!N3762,2)="15",LEFT(TH!O3762,2)="15"),LEFT(TH!O3762,3)&lt;&gt;"111",'152-CT'!$J$8=TH!F3762),"x","")</f>
        <v/>
      </c>
      <c r="AC4450" s="75" t="str">
        <f>IF(AND(OR(LEFT(TH!N3762,2)="15",LEFT(TH!O3762,2)="15"),TK!$E$7=TH!F3762),"x","")</f>
        <v/>
      </c>
      <c r="AD4450" s="75" t="str">
        <f>IF(AND(N4450="1521",MONTH(C4450)='BK-NL'!$M$11),"x","")</f>
        <v/>
      </c>
      <c r="AE4450"/>
      <c r="AF4450"/>
      <c r="AG4450"/>
    </row>
    <row r="4451" spans="1:33" s="1053" customFormat="1" ht="16.5" customHeight="1">
      <c r="A4451" s="309" t="str">
        <f>IF(B4451&lt;&gt;"",IF(AND(B4451='IN-TC'!$S$4,OR(TH!N4444="1111",TH!O4444="1111")),TH!D4444,""),"")</f>
        <v/>
      </c>
      <c r="B4451" s="1243">
        <f t="shared" si="1324"/>
        <v>7</v>
      </c>
      <c r="C4451" s="292">
        <f t="shared" si="1323"/>
        <v>42926</v>
      </c>
      <c r="D4451" s="292"/>
      <c r="E4451" s="292">
        <v>42926</v>
      </c>
      <c r="F4451" s="1010" t="s">
        <v>1881</v>
      </c>
      <c r="G4451" s="925"/>
      <c r="H4451" s="311" t="s">
        <v>1890</v>
      </c>
      <c r="I4451" s="373"/>
      <c r="J4451" s="926"/>
      <c r="K4451" s="373"/>
      <c r="L4451" s="379"/>
      <c r="M4451" s="927">
        <v>1159150000</v>
      </c>
      <c r="N4451" s="295" t="s">
        <v>8</v>
      </c>
      <c r="O4451" s="295" t="s">
        <v>63</v>
      </c>
      <c r="P4451" s="75" t="str">
        <f>IF(AND('331-CT'!$E$7=TH!H4279,OR(N4451="331",O4451="331")),"x","")</f>
        <v/>
      </c>
      <c r="Q4451" s="75" t="str">
        <f>IF(AND(B4451='111'!$L$11,OR($N4451=$Q$7,$O4451=$Q$7)),"x","")</f>
        <v/>
      </c>
      <c r="R4451" s="75" t="str">
        <f>IF(AND($N4451=$Q$7,$B4451&lt;'111'!$L$11),"x","")</f>
        <v/>
      </c>
      <c r="S4451" s="75" t="str">
        <f>IF(AND($O4451=$Q$7,$B4451&lt;'111'!$L$11),"x","")</f>
        <v>x</v>
      </c>
      <c r="T4451" s="75" t="str">
        <f>IF(ISERROR(FIND('112'!$M$9,G4451,1)),"",IF((AND(FIND('112'!$M$9,G4451,1)&gt;=1,B4451='112'!$K$9,OR($N4451='112'!$I$6,$O4451='112'!$I$6))),"x",""))</f>
        <v/>
      </c>
      <c r="U4451" s="75" t="str">
        <f>IF(ISERROR(FIND('112'!$M$9,G4451,1)),"",IF((AND(LEFT(G4451,2)=LEFT('112'!$M$9,2),B4451&lt;'112'!$K$9,$N4451='112'!$I$6)),"x",""))</f>
        <v/>
      </c>
      <c r="V4451" s="75" t="str">
        <f>IF(ISERROR(FIND('112'!$M$9,G4451,1)),"",IF((AND(RIGHT(G4451,2)=RIGHT('112'!$M$9,2),B4451&lt;'112'!$K$9,$O4451='112'!$I$6)),"x",""))</f>
        <v/>
      </c>
      <c r="W4451" s="75" t="str">
        <f>IF(AND('341-CT'!$H$9=H4451,OR(LEFT(N4451,3)=$W$7,LEFT(O4451,3)=$W$7)),"x","")</f>
        <v/>
      </c>
      <c r="X4451" s="75" t="str">
        <f>IF(OR(TH!N4279=TH!$X$7,O4451=TH!$X$7),"x","")</f>
        <v/>
      </c>
      <c r="Y4451" s="75" t="str">
        <f>IF(AND(OR(N4451="131",O4451="131"),H4451='131-CT'!$H$9),"x","")</f>
        <v/>
      </c>
      <c r="Z4451" s="75"/>
      <c r="AA4451" s="75" t="str">
        <f>IF(AND(MONTH(E4451)='IN-NX'!$J$5,'IN-NX'!$D$7=D4451),"x","")</f>
        <v/>
      </c>
      <c r="AB4451" s="75" t="str">
        <f>IF(AND(OR(LEFT(TH!N4279,2)="15",LEFT(TH!O4279,2)="15"),LEFT(TH!O4279,3)&lt;&gt;"111",'152-CT'!$J$8=TH!F4279),"x","")</f>
        <v/>
      </c>
      <c r="AC4451" s="75" t="str">
        <f>IF(AND(OR(LEFT(TH!N4279,2)="15",LEFT(TH!O4279,2)="15"),TK!$E$7=TH!F4279),"x","")</f>
        <v/>
      </c>
      <c r="AD4451" s="75" t="str">
        <f>IF(AND(N4451="1521",MONTH(C4451)='BK-NL'!$M$11),"x","")</f>
        <v/>
      </c>
      <c r="AE4451"/>
      <c r="AF4451"/>
      <c r="AG4451"/>
    </row>
    <row r="4452" spans="1:33" s="1053" customFormat="1" ht="16.5" customHeight="1">
      <c r="A4452" s="309" t="str">
        <f>IF(B4452&lt;&gt;"",IF(AND(B4452='IN-TC'!$S$4,OR(TH!N4445="1111",TH!O4445="1111")),TH!D4445,""),"")</f>
        <v/>
      </c>
      <c r="B4452" s="1243">
        <f t="shared" si="1324"/>
        <v>7</v>
      </c>
      <c r="C4452" s="292">
        <f t="shared" si="1323"/>
        <v>42926</v>
      </c>
      <c r="D4452" s="292"/>
      <c r="E4452" s="292">
        <v>42926</v>
      </c>
      <c r="F4452" s="1010" t="s">
        <v>1883</v>
      </c>
      <c r="G4452" s="925"/>
      <c r="H4452" s="311"/>
      <c r="I4452" s="373"/>
      <c r="J4452" s="926"/>
      <c r="K4452" s="373"/>
      <c r="L4452" s="379"/>
      <c r="M4452" s="927">
        <v>579578</v>
      </c>
      <c r="N4452" s="295" t="s">
        <v>101</v>
      </c>
      <c r="O4452" s="295" t="s">
        <v>63</v>
      </c>
      <c r="P4452" s="75" t="str">
        <f>IF(AND('331-CT'!$E$7=TH!H4280,OR(N4452="331",O4452="331")),"x","")</f>
        <v/>
      </c>
      <c r="Q4452" s="75" t="str">
        <f>IF(AND(B4452='111'!$L$11,OR($N4452=$Q$7,$O4452=$Q$7)),"x","")</f>
        <v/>
      </c>
      <c r="R4452" s="75" t="str">
        <f>IF(AND($N4452=$Q$7,$B4452&lt;'111'!$L$11),"x","")</f>
        <v/>
      </c>
      <c r="S4452" s="75" t="str">
        <f>IF(AND($O4452=$Q$7,$B4452&lt;'111'!$L$11),"x","")</f>
        <v>x</v>
      </c>
      <c r="T4452" s="75" t="str">
        <f>IF(ISERROR(FIND('112'!$M$9,G4452,1)),"",IF((AND(FIND('112'!$M$9,G4452,1)&gt;=1,B4452='112'!$K$9,OR($N4452='112'!$I$6,$O4452='112'!$I$6))),"x",""))</f>
        <v/>
      </c>
      <c r="U4452" s="75" t="str">
        <f>IF(ISERROR(FIND('112'!$M$9,G4452,1)),"",IF((AND(LEFT(G4452,2)=LEFT('112'!$M$9,2),B4452&lt;'112'!$K$9,$N4452='112'!$I$6)),"x",""))</f>
        <v/>
      </c>
      <c r="V4452" s="75" t="str">
        <f>IF(ISERROR(FIND('112'!$M$9,G4452,1)),"",IF((AND(RIGHT(G4452,2)=RIGHT('112'!$M$9,2),B4452&lt;'112'!$K$9,$O4452='112'!$I$6)),"x",""))</f>
        <v/>
      </c>
      <c r="W4452" s="75" t="str">
        <f>IF(AND('341-CT'!$H$9=H4452,OR(LEFT(N4452,3)=$W$7,LEFT(O4452,3)=$W$7)),"x","")</f>
        <v/>
      </c>
      <c r="X4452" s="75" t="str">
        <f>IF(OR(TH!N4280=TH!$X$7,O4452=TH!$X$7),"x","")</f>
        <v/>
      </c>
      <c r="Y4452" s="75" t="str">
        <f>IF(AND(OR(N4452="131",O4452="131"),H4452='131-CT'!$H$9),"x","")</f>
        <v/>
      </c>
      <c r="Z4452" s="75"/>
      <c r="AA4452" s="75" t="str">
        <f>IF(AND(MONTH(E4452)='IN-NX'!$J$5,'IN-NX'!$D$7=D4452),"x","")</f>
        <v/>
      </c>
      <c r="AB4452" s="75" t="str">
        <f>IF(AND(OR(LEFT(TH!N4280,2)="15",LEFT(TH!O4280,2)="15"),LEFT(TH!O4280,3)&lt;&gt;"111",'152-CT'!$J$8=TH!F4280),"x","")</f>
        <v/>
      </c>
      <c r="AC4452" s="75" t="str">
        <f>IF(AND(OR(LEFT(TH!N4280,2)="15",LEFT(TH!O4280,2)="15"),TK!$E$7=TH!F4280),"x","")</f>
        <v/>
      </c>
      <c r="AD4452" s="75" t="str">
        <f>IF(AND(N4452="1521",MONTH(C4452)='BK-NL'!$M$11),"x","")</f>
        <v/>
      </c>
      <c r="AE4452">
        <v>9</v>
      </c>
      <c r="AF4452"/>
      <c r="AG4452"/>
    </row>
    <row r="4453" spans="1:33" s="1053" customFormat="1" ht="16.5" customHeight="1">
      <c r="A4453" s="309" t="str">
        <f>IF(B4453&lt;&gt;"",IF(AND(B4453='IN-TC'!$S$4,OR(TH!N4446="1111",TH!O4446="1111")),TH!D4446,""),"")</f>
        <v/>
      </c>
      <c r="B4453" s="1243">
        <f t="shared" si="1324"/>
        <v>7</v>
      </c>
      <c r="C4453" s="292">
        <f t="shared" si="1323"/>
        <v>42926</v>
      </c>
      <c r="D4453" s="292"/>
      <c r="E4453" s="292">
        <v>42926</v>
      </c>
      <c r="F4453" s="1010" t="s">
        <v>1895</v>
      </c>
      <c r="G4453" s="925"/>
      <c r="H4453" s="311"/>
      <c r="I4453" s="373"/>
      <c r="J4453" s="926"/>
      <c r="K4453" s="373"/>
      <c r="L4453" s="379"/>
      <c r="M4453" s="927">
        <v>57958</v>
      </c>
      <c r="N4453" s="295" t="s">
        <v>9</v>
      </c>
      <c r="O4453" s="295" t="s">
        <v>63</v>
      </c>
      <c r="P4453" s="75" t="str">
        <f>IF(AND('331-CT'!$E$7=TH!H4281,OR(N4453="331",O4453="331")),"x","")</f>
        <v/>
      </c>
      <c r="Q4453" s="75" t="str">
        <f>IF(AND(B4453='111'!$L$11,OR($N4453=$Q$7,$O4453=$Q$7)),"x","")</f>
        <v/>
      </c>
      <c r="R4453" s="75" t="str">
        <f>IF(AND($N4453=$Q$7,$B4453&lt;'111'!$L$11),"x","")</f>
        <v/>
      </c>
      <c r="S4453" s="75" t="str">
        <f>IF(AND($O4453=$Q$7,$B4453&lt;'111'!$L$11),"x","")</f>
        <v>x</v>
      </c>
      <c r="T4453" s="75" t="str">
        <f>IF(ISERROR(FIND('112'!$M$9,G4453,1)),"",IF((AND(FIND('112'!$M$9,G4453,1)&gt;=1,B4453='112'!$K$9,OR($N4453='112'!$I$6,$O4453='112'!$I$6))),"x",""))</f>
        <v/>
      </c>
      <c r="U4453" s="75" t="str">
        <f>IF(ISERROR(FIND('112'!$M$9,G4453,1)),"",IF((AND(LEFT(G4453,2)=LEFT('112'!$M$9,2),B4453&lt;'112'!$K$9,$N4453='112'!$I$6)),"x",""))</f>
        <v/>
      </c>
      <c r="V4453" s="75" t="str">
        <f>IF(ISERROR(FIND('112'!$M$9,G4453,1)),"",IF((AND(RIGHT(G4453,2)=RIGHT('112'!$M$9,2),B4453&lt;'112'!$K$9,$O4453='112'!$I$6)),"x",""))</f>
        <v/>
      </c>
      <c r="W4453" s="75" t="str">
        <f>IF(AND('341-CT'!$H$9=H4453,OR(LEFT(N4453,3)=$W$7,LEFT(O4453,3)=$W$7)),"x","")</f>
        <v/>
      </c>
      <c r="X4453" s="75" t="str">
        <f>IF(OR(TH!N4281=TH!$X$7,O4453=TH!$X$7),"x","")</f>
        <v/>
      </c>
      <c r="Y4453" s="75" t="str">
        <f>IF(AND(OR(N4453="131",O4453="131"),H4453='131-CT'!$H$9),"x","")</f>
        <v/>
      </c>
      <c r="Z4453" s="75"/>
      <c r="AA4453" s="75" t="str">
        <f>IF(AND(MONTH(E4453)='IN-NX'!$J$5,'IN-NX'!$D$7=D4453),"x","")</f>
        <v/>
      </c>
      <c r="AB4453" s="75" t="str">
        <f>IF(AND(OR(LEFT(TH!N4281,2)="15",LEFT(TH!O4281,2)="15"),LEFT(TH!O4281,3)&lt;&gt;"111",'152-CT'!$J$8=TH!F4281),"x","")</f>
        <v/>
      </c>
      <c r="AC4453" s="75" t="str">
        <f>IF(AND(OR(LEFT(TH!N4281,2)="15",LEFT(TH!O4281,2)="15"),TK!$E$7=TH!F4281),"x","")</f>
        <v/>
      </c>
      <c r="AD4453" s="75" t="str">
        <f>IF(AND(N4453="1521",MONTH(C4453)='BK-NL'!$M$11),"x","")</f>
        <v/>
      </c>
      <c r="AE4453">
        <v>9</v>
      </c>
      <c r="AF4453"/>
      <c r="AG4453"/>
    </row>
    <row r="4454" spans="1:33" s="1053" customFormat="1" ht="16.5" customHeight="1">
      <c r="A4454" s="309" t="str">
        <f>IF(B4454&lt;&gt;"",IF(AND(B4454='IN-TC'!$S$4,OR(TH!N4447="1111",TH!O4447="1111")),TH!D4447,""),"")</f>
        <v/>
      </c>
      <c r="B4454" s="1243">
        <f t="shared" si="1324"/>
        <v>7</v>
      </c>
      <c r="C4454" s="292">
        <f t="shared" si="1323"/>
        <v>42926</v>
      </c>
      <c r="D4454" s="292"/>
      <c r="E4454" s="292">
        <v>42926</v>
      </c>
      <c r="F4454" s="1010" t="s">
        <v>1881</v>
      </c>
      <c r="G4454" s="925"/>
      <c r="H4454" s="311" t="s">
        <v>1892</v>
      </c>
      <c r="I4454" s="373"/>
      <c r="J4454" s="926"/>
      <c r="K4454" s="373"/>
      <c r="L4454" s="379"/>
      <c r="M4454" s="927">
        <v>2000000000</v>
      </c>
      <c r="N4454" s="295" t="s">
        <v>8</v>
      </c>
      <c r="O4454" s="295" t="s">
        <v>63</v>
      </c>
      <c r="P4454" s="75" t="str">
        <f>IF(AND('331-CT'!$E$7=TH!H4318,OR(N4454="331",O4454="331")),"x","")</f>
        <v/>
      </c>
      <c r="Q4454" s="75" t="str">
        <f>IF(AND(B4454='111'!$L$11,OR($N4454=$Q$7,$O4454=$Q$7)),"x","")</f>
        <v/>
      </c>
      <c r="R4454" s="75" t="str">
        <f>IF(AND($N4454=$Q$7,$B4454&lt;'111'!$L$11),"x","")</f>
        <v/>
      </c>
      <c r="S4454" s="75" t="str">
        <f>IF(AND($O4454=$Q$7,$B4454&lt;'111'!$L$11),"x","")</f>
        <v>x</v>
      </c>
      <c r="T4454" s="75" t="str">
        <f>IF(ISERROR(FIND('112'!$M$9,G4454,1)),"",IF((AND(FIND('112'!$M$9,G4454,1)&gt;=1,B4454='112'!$K$9,OR($N4454='112'!$I$6,$O4454='112'!$I$6))),"x",""))</f>
        <v/>
      </c>
      <c r="U4454" s="75" t="str">
        <f>IF(ISERROR(FIND('112'!$M$9,G4454,1)),"",IF((AND(LEFT(G4454,2)=LEFT('112'!$M$9,2),B4454&lt;'112'!$K$9,$N4454='112'!$I$6)),"x",""))</f>
        <v/>
      </c>
      <c r="V4454" s="75" t="str">
        <f>IF(ISERROR(FIND('112'!$M$9,G4454,1)),"",IF((AND(RIGHT(G4454,2)=RIGHT('112'!$M$9,2),B4454&lt;'112'!$K$9,$O4454='112'!$I$6)),"x",""))</f>
        <v/>
      </c>
      <c r="W4454" s="75" t="str">
        <f>IF(AND('341-CT'!$H$9=H4454,OR(LEFT(N4454,3)=$W$7,LEFT(O4454,3)=$W$7)),"x","")</f>
        <v/>
      </c>
      <c r="X4454" s="75" t="str">
        <f>IF(OR(TH!N4318=TH!$X$7,O4454=TH!$X$7),"x","")</f>
        <v/>
      </c>
      <c r="Y4454" s="75" t="str">
        <f>IF(AND(OR(N4454="131",O4454="131"),H4454='131-CT'!$H$9),"x","")</f>
        <v/>
      </c>
      <c r="Z4454" s="75"/>
      <c r="AA4454" s="75" t="str">
        <f>IF(AND(MONTH(E4454)='IN-NX'!$J$5,'IN-NX'!$D$7=D4454),"x","")</f>
        <v/>
      </c>
      <c r="AB4454" s="75" t="str">
        <f>IF(AND(OR(LEFT(TH!N4318,2)="15",LEFT(TH!O4318,2)="15"),LEFT(TH!O4318,3)&lt;&gt;"111",'152-CT'!$J$8=TH!F4318),"x","")</f>
        <v/>
      </c>
      <c r="AC4454" s="75" t="str">
        <f>IF(AND(OR(LEFT(TH!N4318,2)="15",LEFT(TH!O4318,2)="15"),TK!$E$7=TH!F4318),"x","")</f>
        <v/>
      </c>
      <c r="AD4454" s="75" t="str">
        <f>IF(AND(N4454="1521",MONTH(C4454)='BK-NL'!$M$11),"x","")</f>
        <v/>
      </c>
      <c r="AE4454"/>
      <c r="AF4454"/>
      <c r="AG4454"/>
    </row>
    <row r="4455" spans="1:33" s="1053" customFormat="1" ht="16.5" customHeight="1">
      <c r="A4455" s="309" t="str">
        <f>IF(B4455&lt;&gt;"",IF(AND(B4455='IN-TC'!$S$4,OR(TH!N4448="1111",TH!O4448="1111")),TH!D4448,""),"")</f>
        <v/>
      </c>
      <c r="B4455" s="1243">
        <f t="shared" si="1324"/>
        <v>7</v>
      </c>
      <c r="C4455" s="292">
        <f t="shared" si="1323"/>
        <v>42926</v>
      </c>
      <c r="D4455" s="292"/>
      <c r="E4455" s="292">
        <v>42926</v>
      </c>
      <c r="F4455" s="1010" t="s">
        <v>1883</v>
      </c>
      <c r="G4455" s="925"/>
      <c r="H4455" s="311"/>
      <c r="I4455" s="373"/>
      <c r="J4455" s="926"/>
      <c r="K4455" s="373"/>
      <c r="L4455" s="379"/>
      <c r="M4455" s="927">
        <v>600000</v>
      </c>
      <c r="N4455" s="295" t="s">
        <v>101</v>
      </c>
      <c r="O4455" s="295" t="s">
        <v>63</v>
      </c>
      <c r="P4455" s="75" t="str">
        <f>IF(AND('331-CT'!$E$7=TH!H4319,OR(N4455="331",O4455="331")),"x","")</f>
        <v/>
      </c>
      <c r="Q4455" s="75" t="str">
        <f>IF(AND(B4455='111'!$L$11,OR($N4455=$Q$7,$O4455=$Q$7)),"x","")</f>
        <v/>
      </c>
      <c r="R4455" s="75" t="str">
        <f>IF(AND($N4455=$Q$7,$B4455&lt;'111'!$L$11),"x","")</f>
        <v/>
      </c>
      <c r="S4455" s="75" t="str">
        <f>IF(AND($O4455=$Q$7,$B4455&lt;'111'!$L$11),"x","")</f>
        <v>x</v>
      </c>
      <c r="T4455" s="75" t="str">
        <f>IF(ISERROR(FIND('112'!$M$9,G4455,1)),"",IF((AND(FIND('112'!$M$9,G4455,1)&gt;=1,B4455='112'!$K$9,OR($N4455='112'!$I$6,$O4455='112'!$I$6))),"x",""))</f>
        <v/>
      </c>
      <c r="U4455" s="75" t="str">
        <f>IF(ISERROR(FIND('112'!$M$9,G4455,1)),"",IF((AND(LEFT(G4455,2)=LEFT('112'!$M$9,2),B4455&lt;'112'!$K$9,$N4455='112'!$I$6)),"x",""))</f>
        <v/>
      </c>
      <c r="V4455" s="75" t="str">
        <f>IF(ISERROR(FIND('112'!$M$9,G4455,1)),"",IF((AND(RIGHT(G4455,2)=RIGHT('112'!$M$9,2),B4455&lt;'112'!$K$9,$O4455='112'!$I$6)),"x",""))</f>
        <v/>
      </c>
      <c r="W4455" s="75" t="str">
        <f>IF(AND('341-CT'!$H$9=H4455,OR(LEFT(N4455,3)=$W$7,LEFT(O4455,3)=$W$7)),"x","")</f>
        <v/>
      </c>
      <c r="X4455" s="75" t="str">
        <f>IF(OR(TH!N4319=TH!$X$7,O4455=TH!$X$7),"x","")</f>
        <v/>
      </c>
      <c r="Y4455" s="75" t="str">
        <f>IF(AND(OR(N4455="131",O4455="131"),H4455='131-CT'!$H$9),"x","")</f>
        <v/>
      </c>
      <c r="Z4455" s="75"/>
      <c r="AA4455" s="75" t="str">
        <f>IF(AND(MONTH(E4455)='IN-NX'!$J$5,'IN-NX'!$D$7=D4455),"x","")</f>
        <v/>
      </c>
      <c r="AB4455" s="75" t="str">
        <f>IF(AND(OR(LEFT(TH!N4319,2)="15",LEFT(TH!O4319,2)="15"),LEFT(TH!O4319,3)&lt;&gt;"111",'152-CT'!$J$8=TH!F4319),"x","")</f>
        <v/>
      </c>
      <c r="AC4455" s="75" t="str">
        <f>IF(AND(OR(LEFT(TH!N4319,2)="15",LEFT(TH!O4319,2)="15"),TK!$E$7=TH!F4319),"x","")</f>
        <v/>
      </c>
      <c r="AD4455" s="75" t="str">
        <f>IF(AND(N4455="1521",MONTH(C4455)='BK-NL'!$M$11),"x","")</f>
        <v/>
      </c>
      <c r="AE4455">
        <v>9</v>
      </c>
      <c r="AF4455"/>
      <c r="AG4455"/>
    </row>
    <row r="4456" spans="1:33" s="1053" customFormat="1" ht="16.5" customHeight="1">
      <c r="A4456" s="309" t="str">
        <f>IF(B4456&lt;&gt;"",IF(AND(B4456='IN-TC'!$S$4,OR(TH!N4449="1111",TH!O4449="1111")),TH!D4449,""),"")</f>
        <v/>
      </c>
      <c r="B4456" s="1243">
        <f t="shared" si="1324"/>
        <v>7</v>
      </c>
      <c r="C4456" s="292">
        <f t="shared" si="1323"/>
        <v>42926</v>
      </c>
      <c r="D4456" s="292"/>
      <c r="E4456" s="292">
        <v>42926</v>
      </c>
      <c r="F4456" s="1010" t="s">
        <v>1895</v>
      </c>
      <c r="G4456" s="925"/>
      <c r="H4456" s="311"/>
      <c r="I4456" s="373"/>
      <c r="J4456" s="926"/>
      <c r="K4456" s="373"/>
      <c r="L4456" s="379"/>
      <c r="M4456" s="927">
        <v>60000</v>
      </c>
      <c r="N4456" s="295" t="s">
        <v>9</v>
      </c>
      <c r="O4456" s="295" t="s">
        <v>63</v>
      </c>
      <c r="P4456" s="75" t="str">
        <f>IF(AND('331-CT'!$E$7=TH!H4320,OR(N4456="331",O4456="331")),"x","")</f>
        <v/>
      </c>
      <c r="Q4456" s="75" t="str">
        <f>IF(AND(B4456='111'!$L$11,OR($N4456=$Q$7,$O4456=$Q$7)),"x","")</f>
        <v/>
      </c>
      <c r="R4456" s="75" t="str">
        <f>IF(AND($N4456=$Q$7,$B4456&lt;'111'!$L$11),"x","")</f>
        <v/>
      </c>
      <c r="S4456" s="75" t="str">
        <f>IF(AND($O4456=$Q$7,$B4456&lt;'111'!$L$11),"x","")</f>
        <v>x</v>
      </c>
      <c r="T4456" s="75" t="str">
        <f>IF(ISERROR(FIND('112'!$M$9,G4456,1)),"",IF((AND(FIND('112'!$M$9,G4456,1)&gt;=1,B4456='112'!$K$9,OR($N4456='112'!$I$6,$O4456='112'!$I$6))),"x",""))</f>
        <v/>
      </c>
      <c r="U4456" s="75" t="str">
        <f>IF(ISERROR(FIND('112'!$M$9,G4456,1)),"",IF((AND(LEFT(G4456,2)=LEFT('112'!$M$9,2),B4456&lt;'112'!$K$9,$N4456='112'!$I$6)),"x",""))</f>
        <v/>
      </c>
      <c r="V4456" s="75" t="str">
        <f>IF(ISERROR(FIND('112'!$M$9,G4456,1)),"",IF((AND(RIGHT(G4456,2)=RIGHT('112'!$M$9,2),B4456&lt;'112'!$K$9,$O4456='112'!$I$6)),"x",""))</f>
        <v/>
      </c>
      <c r="W4456" s="75" t="str">
        <f>IF(AND('341-CT'!$H$9=H4456,OR(LEFT(N4456,3)=$W$7,LEFT(O4456,3)=$W$7)),"x","")</f>
        <v/>
      </c>
      <c r="X4456" s="75" t="str">
        <f>IF(OR(TH!N4320=TH!$X$7,O4456=TH!$X$7),"x","")</f>
        <v/>
      </c>
      <c r="Y4456" s="75" t="str">
        <f>IF(AND(OR(N4456="131",O4456="131"),H4456='131-CT'!$H$9),"x","")</f>
        <v/>
      </c>
      <c r="Z4456" s="75"/>
      <c r="AA4456" s="75" t="str">
        <f>IF(AND(MONTH(E4456)='IN-NX'!$J$5,'IN-NX'!$D$7=D4456),"x","")</f>
        <v/>
      </c>
      <c r="AB4456" s="75" t="str">
        <f>IF(AND(OR(LEFT(TH!N4320,2)="15",LEFT(TH!O4320,2)="15"),LEFT(TH!O4320,3)&lt;&gt;"111",'152-CT'!$J$8=TH!F4320),"x","")</f>
        <v/>
      </c>
      <c r="AC4456" s="75" t="str">
        <f>IF(AND(OR(LEFT(TH!N4320,2)="15",LEFT(TH!O4320,2)="15"),TK!$E$7=TH!F4320),"x","")</f>
        <v/>
      </c>
      <c r="AD4456" s="75" t="str">
        <f>IF(AND(N4456="1521",MONTH(C4456)='BK-NL'!$M$11),"x","")</f>
        <v/>
      </c>
      <c r="AE4456">
        <v>9</v>
      </c>
      <c r="AF4456"/>
      <c r="AG4456"/>
    </row>
    <row r="4457" spans="1:33" s="1053" customFormat="1" ht="16.5" customHeight="1">
      <c r="A4457" s="309" t="str">
        <f>IF(B4457&lt;&gt;"",IF(AND(B4457='IN-TC'!$S$4,OR(TH!N4450="1111",TH!O4450="1111")),TH!D4450,""),"")</f>
        <v/>
      </c>
      <c r="B4457" s="1243">
        <f t="shared" si="1324"/>
        <v>7</v>
      </c>
      <c r="C4457" s="292">
        <f t="shared" si="1323"/>
        <v>42926</v>
      </c>
      <c r="D4457" s="292"/>
      <c r="E4457" s="292">
        <v>42926</v>
      </c>
      <c r="F4457" s="1010" t="s">
        <v>1881</v>
      </c>
      <c r="G4457" s="925"/>
      <c r="H4457" s="311" t="s">
        <v>1894</v>
      </c>
      <c r="I4457" s="373"/>
      <c r="J4457" s="926"/>
      <c r="K4457" s="373"/>
      <c r="L4457" s="379"/>
      <c r="M4457" s="927">
        <v>1727323000</v>
      </c>
      <c r="N4457" s="295" t="s">
        <v>8</v>
      </c>
      <c r="O4457" s="295" t="s">
        <v>63</v>
      </c>
      <c r="P4457" s="75" t="str">
        <f>IF(AND('331-CT'!$E$7=TH!H4324,OR(N4457="331",O4457="331")),"x","")</f>
        <v/>
      </c>
      <c r="Q4457" s="75" t="str">
        <f>IF(AND(B4457='111'!$L$11,OR($N4457=$Q$7,$O4457=$Q$7)),"x","")</f>
        <v/>
      </c>
      <c r="R4457" s="75" t="str">
        <f>IF(AND($N4457=$Q$7,$B4457&lt;'111'!$L$11),"x","")</f>
        <v/>
      </c>
      <c r="S4457" s="75" t="str">
        <f>IF(AND($O4457=$Q$7,$B4457&lt;'111'!$L$11),"x","")</f>
        <v>x</v>
      </c>
      <c r="T4457" s="75" t="str">
        <f>IF(ISERROR(FIND('112'!$M$9,G4457,1)),"",IF((AND(FIND('112'!$M$9,G4457,1)&gt;=1,B4457='112'!$K$9,OR($N4457='112'!$I$6,$O4457='112'!$I$6))),"x",""))</f>
        <v/>
      </c>
      <c r="U4457" s="75" t="str">
        <f>IF(ISERROR(FIND('112'!$M$9,G4457,1)),"",IF((AND(LEFT(G4457,2)=LEFT('112'!$M$9,2),B4457&lt;'112'!$K$9,$N4457='112'!$I$6)),"x",""))</f>
        <v/>
      </c>
      <c r="V4457" s="75" t="str">
        <f>IF(ISERROR(FIND('112'!$M$9,G4457,1)),"",IF((AND(RIGHT(G4457,2)=RIGHT('112'!$M$9,2),B4457&lt;'112'!$K$9,$O4457='112'!$I$6)),"x",""))</f>
        <v/>
      </c>
      <c r="W4457" s="75" t="str">
        <f>IF(AND('341-CT'!$H$9=H4457,OR(LEFT(N4457,3)=$W$7,LEFT(O4457,3)=$W$7)),"x","")</f>
        <v/>
      </c>
      <c r="X4457" s="75" t="str">
        <f>IF(OR(TH!N4324=TH!$X$7,O4457=TH!$X$7),"x","")</f>
        <v/>
      </c>
      <c r="Y4457" s="75" t="str">
        <f>IF(AND(OR(N4457="131",O4457="131"),H4457='131-CT'!$H$9),"x","")</f>
        <v/>
      </c>
      <c r="Z4457" s="75"/>
      <c r="AA4457" s="75" t="str">
        <f>IF(AND(MONTH(E4457)='IN-NX'!$J$5,'IN-NX'!$D$7=D4457),"x","")</f>
        <v/>
      </c>
      <c r="AB4457" s="75" t="str">
        <f>IF(AND(OR(LEFT(TH!N4324,2)="15",LEFT(TH!O4324,2)="15"),LEFT(TH!O4324,3)&lt;&gt;"111",'152-CT'!$J$8=TH!F4324),"x","")</f>
        <v/>
      </c>
      <c r="AC4457" s="75" t="str">
        <f>IF(AND(OR(LEFT(TH!N4324,2)="15",LEFT(TH!O4324,2)="15"),TK!$E$7=TH!F4324),"x","")</f>
        <v/>
      </c>
      <c r="AD4457" s="75" t="str">
        <f>IF(AND(N4457="1521",MONTH(C4457)='BK-NL'!$M$11),"x","")</f>
        <v/>
      </c>
      <c r="AE4457"/>
      <c r="AF4457"/>
      <c r="AG4457"/>
    </row>
    <row r="4458" spans="1:33" s="1053" customFormat="1" ht="16.5" customHeight="1">
      <c r="A4458" s="309" t="str">
        <f>IF(B4458&lt;&gt;"",IF(AND(B4458='IN-TC'!$S$4,OR(TH!N4451="1111",TH!O4451="1111")),TH!D4451,""),"")</f>
        <v/>
      </c>
      <c r="B4458" s="1243">
        <f t="shared" si="1324"/>
        <v>7</v>
      </c>
      <c r="C4458" s="292">
        <f t="shared" si="1323"/>
        <v>42926</v>
      </c>
      <c r="D4458" s="292"/>
      <c r="E4458" s="292">
        <v>42926</v>
      </c>
      <c r="F4458" s="1010" t="s">
        <v>1883</v>
      </c>
      <c r="G4458" s="925"/>
      <c r="H4458" s="311"/>
      <c r="I4458" s="373"/>
      <c r="J4458" s="926"/>
      <c r="K4458" s="373"/>
      <c r="L4458" s="379"/>
      <c r="M4458" s="927">
        <v>863662</v>
      </c>
      <c r="N4458" s="295" t="s">
        <v>101</v>
      </c>
      <c r="O4458" s="295" t="s">
        <v>63</v>
      </c>
      <c r="P4458" s="75" t="str">
        <f>IF(AND('331-CT'!$E$7=TH!H4325,OR(N4458="331",O4458="331")),"x","")</f>
        <v/>
      </c>
      <c r="Q4458" s="75" t="str">
        <f>IF(AND(B4458='111'!$L$11,OR($N4458=$Q$7,$O4458=$Q$7)),"x","")</f>
        <v/>
      </c>
      <c r="R4458" s="75" t="str">
        <f>IF(AND($N4458=$Q$7,$B4458&lt;'111'!$L$11),"x","")</f>
        <v/>
      </c>
      <c r="S4458" s="75" t="str">
        <f>IF(AND($O4458=$Q$7,$B4458&lt;'111'!$L$11),"x","")</f>
        <v>x</v>
      </c>
      <c r="T4458" s="75" t="str">
        <f>IF(ISERROR(FIND('112'!$M$9,G4458,1)),"",IF((AND(FIND('112'!$M$9,G4458,1)&gt;=1,B4458='112'!$K$9,OR($N4458='112'!$I$6,$O4458='112'!$I$6))),"x",""))</f>
        <v/>
      </c>
      <c r="U4458" s="75" t="str">
        <f>IF(ISERROR(FIND('112'!$M$9,G4458,1)),"",IF((AND(LEFT(G4458,2)=LEFT('112'!$M$9,2),B4458&lt;'112'!$K$9,$N4458='112'!$I$6)),"x",""))</f>
        <v/>
      </c>
      <c r="V4458" s="75" t="str">
        <f>IF(ISERROR(FIND('112'!$M$9,G4458,1)),"",IF((AND(RIGHT(G4458,2)=RIGHT('112'!$M$9,2),B4458&lt;'112'!$K$9,$O4458='112'!$I$6)),"x",""))</f>
        <v/>
      </c>
      <c r="W4458" s="75" t="str">
        <f>IF(AND('341-CT'!$H$9=H4458,OR(LEFT(N4458,3)=$W$7,LEFT(O4458,3)=$W$7)),"x","")</f>
        <v/>
      </c>
      <c r="X4458" s="75" t="str">
        <f>IF(OR(TH!N4325=TH!$X$7,O4458=TH!$X$7),"x","")</f>
        <v/>
      </c>
      <c r="Y4458" s="75" t="str">
        <f>IF(AND(OR(N4458="131",O4458="131"),H4458='131-CT'!$H$9),"x","")</f>
        <v/>
      </c>
      <c r="Z4458" s="75"/>
      <c r="AA4458" s="75" t="str">
        <f>IF(AND(MONTH(E4458)='IN-NX'!$J$5,'IN-NX'!$D$7=D4458),"x","")</f>
        <v/>
      </c>
      <c r="AB4458" s="75" t="str">
        <f>IF(AND(OR(LEFT(TH!N4325,2)="15",LEFT(TH!O4325,2)="15"),LEFT(TH!O4325,3)&lt;&gt;"111",'152-CT'!$J$8=TH!F4325),"x","")</f>
        <v/>
      </c>
      <c r="AC4458" s="75" t="str">
        <f>IF(AND(OR(LEFT(TH!N4325,2)="15",LEFT(TH!O4325,2)="15"),TK!$E$7=TH!F4325),"x","")</f>
        <v/>
      </c>
      <c r="AD4458" s="75" t="str">
        <f>IF(AND(N4458="1521",MONTH(C4458)='BK-NL'!$M$11),"x","")</f>
        <v/>
      </c>
      <c r="AE4458">
        <v>9</v>
      </c>
      <c r="AF4458"/>
      <c r="AG4458"/>
    </row>
    <row r="4459" spans="1:33" s="1053" customFormat="1" ht="16.5" customHeight="1">
      <c r="A4459" s="309" t="str">
        <f>IF(B4459&lt;&gt;"",IF(AND(B4459='IN-TC'!$S$4,OR(TH!N4452="1111",TH!O4452="1111")),TH!D4452,""),"")</f>
        <v/>
      </c>
      <c r="B4459" s="1243">
        <f t="shared" si="1324"/>
        <v>7</v>
      </c>
      <c r="C4459" s="292">
        <f t="shared" si="1323"/>
        <v>42926</v>
      </c>
      <c r="D4459" s="292"/>
      <c r="E4459" s="292">
        <v>42926</v>
      </c>
      <c r="F4459" s="1010" t="s">
        <v>1895</v>
      </c>
      <c r="G4459" s="925"/>
      <c r="H4459" s="311"/>
      <c r="I4459" s="373"/>
      <c r="J4459" s="926"/>
      <c r="K4459" s="373"/>
      <c r="L4459" s="379"/>
      <c r="M4459" s="927">
        <v>86366</v>
      </c>
      <c r="N4459" s="295" t="s">
        <v>9</v>
      </c>
      <c r="O4459" s="295" t="s">
        <v>63</v>
      </c>
      <c r="P4459" s="75" t="str">
        <f>IF(AND('331-CT'!$E$7=TH!H4326,OR(N4459="331",O4459="331")),"x","")</f>
        <v/>
      </c>
      <c r="Q4459" s="75" t="str">
        <f>IF(AND(B4459='111'!$L$11,OR($N4459=$Q$7,$O4459=$Q$7)),"x","")</f>
        <v/>
      </c>
      <c r="R4459" s="75" t="str">
        <f>IF(AND($N4459=$Q$7,$B4459&lt;'111'!$L$11),"x","")</f>
        <v/>
      </c>
      <c r="S4459" s="75" t="str">
        <f>IF(AND($O4459=$Q$7,$B4459&lt;'111'!$L$11),"x","")</f>
        <v>x</v>
      </c>
      <c r="T4459" s="75" t="str">
        <f>IF(ISERROR(FIND('112'!$M$9,G4459,1)),"",IF((AND(FIND('112'!$M$9,G4459,1)&gt;=1,B4459='112'!$K$9,OR($N4459='112'!$I$6,$O4459='112'!$I$6))),"x",""))</f>
        <v/>
      </c>
      <c r="U4459" s="75" t="str">
        <f>IF(ISERROR(FIND('112'!$M$9,G4459,1)),"",IF((AND(LEFT(G4459,2)=LEFT('112'!$M$9,2),B4459&lt;'112'!$K$9,$N4459='112'!$I$6)),"x",""))</f>
        <v/>
      </c>
      <c r="V4459" s="75" t="str">
        <f>IF(ISERROR(FIND('112'!$M$9,G4459,1)),"",IF((AND(RIGHT(G4459,2)=RIGHT('112'!$M$9,2),B4459&lt;'112'!$K$9,$O4459='112'!$I$6)),"x",""))</f>
        <v/>
      </c>
      <c r="W4459" s="75" t="str">
        <f>IF(AND('341-CT'!$H$9=H4459,OR(LEFT(N4459,3)=$W$7,LEFT(O4459,3)=$W$7)),"x","")</f>
        <v/>
      </c>
      <c r="X4459" s="75" t="str">
        <f>IF(OR(TH!N4326=TH!$X$7,O4459=TH!$X$7),"x","")</f>
        <v/>
      </c>
      <c r="Y4459" s="75" t="str">
        <f>IF(AND(OR(N4459="131",O4459="131"),H4459='131-CT'!$H$9),"x","")</f>
        <v/>
      </c>
      <c r="Z4459" s="75"/>
      <c r="AA4459" s="75" t="str">
        <f>IF(AND(MONTH(E4459)='IN-NX'!$J$5,'IN-NX'!$D$7=D4459),"x","")</f>
        <v/>
      </c>
      <c r="AB4459" s="75" t="str">
        <f>IF(AND(OR(LEFT(TH!N4326,2)="15",LEFT(TH!O4326,2)="15"),LEFT(TH!O4326,3)&lt;&gt;"111",'152-CT'!$J$8=TH!F4326),"x","")</f>
        <v/>
      </c>
      <c r="AC4459" s="75" t="str">
        <f>IF(AND(OR(LEFT(TH!N4326,2)="15",LEFT(TH!O4326,2)="15"),TK!$E$7=TH!F4326),"x","")</f>
        <v/>
      </c>
      <c r="AD4459" s="75" t="str">
        <f>IF(AND(N4459="1521",MONTH(C4459)='BK-NL'!$M$11),"x","")</f>
        <v/>
      </c>
      <c r="AE4459">
        <v>9</v>
      </c>
      <c r="AF4459"/>
      <c r="AG4459"/>
    </row>
    <row r="4460" spans="1:33" s="1053" customFormat="1" ht="16.5" customHeight="1">
      <c r="A4460" s="309" t="str">
        <f>IF(B4460&lt;&gt;"",IF(AND(B4460='IN-TC'!$S$4,OR(TH!N4453="1111",TH!O4453="1111")),TH!D4453,""),"")</f>
        <v/>
      </c>
      <c r="B4460" s="1277">
        <f t="shared" si="1324"/>
        <v>7</v>
      </c>
      <c r="C4460" s="292">
        <f t="shared" si="1323"/>
        <v>42926</v>
      </c>
      <c r="D4460" s="929"/>
      <c r="E4460" s="292">
        <v>42926</v>
      </c>
      <c r="F4460" s="1335" t="s">
        <v>1881</v>
      </c>
      <c r="G4460" s="931"/>
      <c r="H4460" s="73" t="s">
        <v>1894</v>
      </c>
      <c r="I4460" s="371"/>
      <c r="J4460" s="932"/>
      <c r="K4460" s="371"/>
      <c r="L4460" s="377"/>
      <c r="M4460" s="933">
        <v>44932000</v>
      </c>
      <c r="N4460" s="934" t="s">
        <v>8</v>
      </c>
      <c r="O4460" s="934" t="s">
        <v>63</v>
      </c>
      <c r="P4460" s="75" t="str">
        <f>IF(AND('331-CT'!$E$7=TH!H4379,OR(N4460="331",O4460="331")),"x","")</f>
        <v/>
      </c>
      <c r="Q4460" s="75" t="str">
        <f>IF(AND(B4460='111'!$L$11,OR($N4460=$Q$7,$O4460=$Q$7)),"x","")</f>
        <v/>
      </c>
      <c r="R4460" s="75" t="str">
        <f>IF(AND($N4460=$Q$7,$B4460&lt;'111'!$L$11),"x","")</f>
        <v/>
      </c>
      <c r="S4460" s="75" t="str">
        <f>IF(AND($O4460=$Q$7,$B4460&lt;'111'!$L$11),"x","")</f>
        <v>x</v>
      </c>
      <c r="T4460" s="75" t="str">
        <f>IF(ISERROR(FIND('112'!$M$9,G4460,1)),"",IF((AND(FIND('112'!$M$9,G4460,1)&gt;=1,B4460='112'!$K$9,OR($N4460='112'!$I$6,$O4460='112'!$I$6))),"x",""))</f>
        <v/>
      </c>
      <c r="U4460" s="75" t="str">
        <f>IF(ISERROR(FIND('112'!$M$9,G4460,1)),"",IF((AND(LEFT(G4460,2)=LEFT('112'!$M$9,2),B4460&lt;'112'!$K$9,$N4460='112'!$I$6)),"x",""))</f>
        <v/>
      </c>
      <c r="V4460" s="75" t="str">
        <f>IF(ISERROR(FIND('112'!$M$9,G4460,1)),"",IF((AND(RIGHT(G4460,2)=RIGHT('112'!$M$9,2),B4460&lt;'112'!$K$9,$O4460='112'!$I$6)),"x",""))</f>
        <v/>
      </c>
      <c r="W4460" s="75" t="str">
        <f>IF(AND('341-CT'!$H$9=H4460,OR(LEFT(N4460,3)=$W$7,LEFT(O4460,3)=$W$7)),"x","")</f>
        <v/>
      </c>
      <c r="X4460" s="75" t="str">
        <f>IF(OR(TH!N4379=TH!$X$7,O4460=TH!$X$7),"x","")</f>
        <v/>
      </c>
      <c r="Y4460" s="75" t="str">
        <f>IF(AND(OR(N4460="131",O4460="131"),H4460='131-CT'!$H$9),"x","")</f>
        <v/>
      </c>
      <c r="Z4460" s="75"/>
      <c r="AA4460" s="75" t="str">
        <f>IF(AND(MONTH(E4460)='IN-NX'!$J$5,'IN-NX'!$D$7=D4460),"x","")</f>
        <v/>
      </c>
      <c r="AB4460" s="75" t="str">
        <f>IF(AND(OR(LEFT(TH!N4379,2)="15",LEFT(TH!O4379,2)="15"),LEFT(TH!O4379,3)&lt;&gt;"111",'152-CT'!$J$8=TH!F4379),"x","")</f>
        <v/>
      </c>
      <c r="AC4460" s="75" t="str">
        <f>IF(AND(OR(LEFT(TH!N4379,2)="15",LEFT(TH!O4379,2)="15"),TK!$E$7=TH!F4379),"x","")</f>
        <v/>
      </c>
      <c r="AD4460" s="75" t="str">
        <f>IF(AND(N4460="1521",MONTH(C4460)='BK-NL'!$M$11),"x","")</f>
        <v/>
      </c>
      <c r="AE4460" s="1264"/>
      <c r="AF4460" s="1264"/>
      <c r="AG4460" s="1264"/>
    </row>
    <row r="4461" spans="1:33" s="1053" customFormat="1" ht="16.5" customHeight="1">
      <c r="A4461" s="309" t="str">
        <f>IF(B4461&lt;&gt;"",IF(AND(B4461='IN-TC'!$S$4,OR(TH!N4454="1111",TH!O4454="1111")),TH!D4454,""),"")</f>
        <v/>
      </c>
      <c r="B4461" s="1277">
        <f t="shared" si="1324"/>
        <v>7</v>
      </c>
      <c r="C4461" s="292">
        <f t="shared" si="1323"/>
        <v>42926</v>
      </c>
      <c r="D4461" s="929"/>
      <c r="E4461" s="292">
        <v>42926</v>
      </c>
      <c r="F4461" s="1335" t="s">
        <v>1881</v>
      </c>
      <c r="G4461" s="931"/>
      <c r="H4461" s="73" t="s">
        <v>1892</v>
      </c>
      <c r="I4461" s="371"/>
      <c r="J4461" s="932"/>
      <c r="K4461" s="371"/>
      <c r="L4461" s="377"/>
      <c r="M4461" s="933">
        <v>122218000</v>
      </c>
      <c r="N4461" s="934" t="s">
        <v>8</v>
      </c>
      <c r="O4461" s="934" t="s">
        <v>63</v>
      </c>
      <c r="P4461" s="75" t="str">
        <f>IF(AND('331-CT'!$E$7=TH!H4380,OR(N4461="331",O4461="331")),"x","")</f>
        <v/>
      </c>
      <c r="Q4461" s="75" t="str">
        <f>IF(AND(B4461='111'!$L$11,OR($N4461=$Q$7,$O4461=$Q$7)),"x","")</f>
        <v/>
      </c>
      <c r="R4461" s="75" t="str">
        <f>IF(AND($N4461=$Q$7,$B4461&lt;'111'!$L$11),"x","")</f>
        <v/>
      </c>
      <c r="S4461" s="75" t="str">
        <f>IF(AND($O4461=$Q$7,$B4461&lt;'111'!$L$11),"x","")</f>
        <v>x</v>
      </c>
      <c r="T4461" s="75" t="str">
        <f>IF(ISERROR(FIND('112'!$M$9,G4461,1)),"",IF((AND(FIND('112'!$M$9,G4461,1)&gt;=1,B4461='112'!$K$9,OR($N4461='112'!$I$6,$O4461='112'!$I$6))),"x",""))</f>
        <v/>
      </c>
      <c r="U4461" s="75" t="str">
        <f>IF(ISERROR(FIND('112'!$M$9,G4461,1)),"",IF((AND(LEFT(G4461,2)=LEFT('112'!$M$9,2),B4461&lt;'112'!$K$9,$N4461='112'!$I$6)),"x",""))</f>
        <v/>
      </c>
      <c r="V4461" s="75" t="str">
        <f>IF(ISERROR(FIND('112'!$M$9,G4461,1)),"",IF((AND(RIGHT(G4461,2)=RIGHT('112'!$M$9,2),B4461&lt;'112'!$K$9,$O4461='112'!$I$6)),"x",""))</f>
        <v/>
      </c>
      <c r="W4461" s="75" t="str">
        <f>IF(AND('341-CT'!$H$9=H4461,OR(LEFT(N4461,3)=$W$7,LEFT(O4461,3)=$W$7)),"x","")</f>
        <v/>
      </c>
      <c r="X4461" s="75" t="str">
        <f>IF(OR(TH!N4380=TH!$X$7,O4461=TH!$X$7),"x","")</f>
        <v/>
      </c>
      <c r="Y4461" s="75" t="str">
        <f>IF(AND(OR(N4461="131",O4461="131"),H4461='131-CT'!$H$9),"x","")</f>
        <v/>
      </c>
      <c r="Z4461" s="75"/>
      <c r="AA4461" s="75" t="str">
        <f>IF(AND(MONTH(E4461)='IN-NX'!$J$5,'IN-NX'!$D$7=D4461),"x","")</f>
        <v/>
      </c>
      <c r="AB4461" s="75" t="str">
        <f>IF(AND(OR(LEFT(TH!N4380,2)="15",LEFT(TH!O4380,2)="15"),LEFT(TH!O4380,3)&lt;&gt;"111",'152-CT'!$J$8=TH!F4380),"x","")</f>
        <v/>
      </c>
      <c r="AC4461" s="75" t="str">
        <f>IF(AND(OR(LEFT(TH!N4380,2)="15",LEFT(TH!O4380,2)="15"),TK!$E$7=TH!F4380),"x","")</f>
        <v/>
      </c>
      <c r="AD4461" s="75" t="str">
        <f>IF(AND(N4461="1521",MONTH(C4461)='BK-NL'!$M$11),"x","")</f>
        <v/>
      </c>
      <c r="AE4461" s="1264"/>
      <c r="AF4461" s="1264"/>
      <c r="AG4461" s="1264"/>
    </row>
    <row r="4462" spans="1:33" s="1053" customFormat="1" ht="16.5" customHeight="1">
      <c r="A4462" s="309" t="str">
        <f>IF(B4462&lt;&gt;"",IF(AND(B4462='IN-TC'!$S$4,OR(TH!N4455="1111",TH!O4455="1111")),TH!D4455,""),"")</f>
        <v/>
      </c>
      <c r="B4462" s="1243">
        <f t="shared" si="1324"/>
        <v>7</v>
      </c>
      <c r="C4462" s="292">
        <f t="shared" si="1323"/>
        <v>42926</v>
      </c>
      <c r="D4462" s="59" t="s">
        <v>902</v>
      </c>
      <c r="E4462" s="59">
        <v>42926</v>
      </c>
      <c r="F4462" s="67" t="s">
        <v>899</v>
      </c>
      <c r="G4462" s="62" t="s">
        <v>747</v>
      </c>
      <c r="H4462" s="311" t="s">
        <v>1684</v>
      </c>
      <c r="I4462" s="373"/>
      <c r="J4462" s="379"/>
      <c r="K4462" s="373"/>
      <c r="L4462" s="379"/>
      <c r="M4462" s="60">
        <v>19659400</v>
      </c>
      <c r="N4462" s="61" t="s">
        <v>8</v>
      </c>
      <c r="O4462" s="61" t="s">
        <v>26</v>
      </c>
      <c r="P4462" s="75" t="str">
        <f>IF(AND('331-CT'!$E$7=TH!H5297,OR(N4462="331",O4462="331")),"x","")</f>
        <v/>
      </c>
      <c r="Q4462" s="75" t="str">
        <f>IF(AND(B4462='111'!$L$11,OR($N4462=$Q$7,$O4462=$Q$7)),"x","")</f>
        <v/>
      </c>
      <c r="R4462" s="75" t="str">
        <f>IF(AND($N4462=$Q$7,$B4462&lt;'111'!$L$11),"x","")</f>
        <v/>
      </c>
      <c r="S4462" s="75" t="str">
        <f>IF(AND($O4462=$Q$7,$B4462&lt;'111'!$L$11),"x","")</f>
        <v/>
      </c>
      <c r="T4462" s="75" t="str">
        <f>IF(ISERROR(FIND('112'!$M$9,G4462,1)),"",IF((AND(FIND('112'!$M$9,G4462,1)&gt;=1,B4462='112'!$K$9,OR($N4462='112'!$I$6,$O4462='112'!$I$6))),"x",""))</f>
        <v/>
      </c>
      <c r="U4462" s="75" t="str">
        <f>IF(ISERROR(FIND('112'!$M$9,G4462,1)),"",IF((AND(LEFT(G4462,2)=LEFT('112'!$M$9,2),B4462&lt;'112'!$K$9,$N4462='112'!$I$6)),"x",""))</f>
        <v/>
      </c>
      <c r="V4462" s="75" t="str">
        <f>IF(ISERROR(FIND('112'!$M$9,G4462,1)),"",IF((AND(RIGHT(G4462,2)=RIGHT('112'!$M$9,2),B4462&lt;'112'!$K$9,$O4462='112'!$I$6)),"x",""))</f>
        <v/>
      </c>
      <c r="W4462" s="75" t="str">
        <f>IF(AND('341-CT'!$H$9=H4462,OR(LEFT(N4462,3)=$W$7,LEFT(O4462,3)=$W$7)),"x","")</f>
        <v/>
      </c>
      <c r="X4462" s="75" t="str">
        <f>IF(OR(TH!N5297=TH!$X$7,O4462=TH!$X$7),"x","")</f>
        <v/>
      </c>
      <c r="Y4462" s="75" t="str">
        <f>IF(AND(OR(N4462="131",O4462="131"),H4462='131-CT'!$H$9),"x","")</f>
        <v/>
      </c>
      <c r="Z4462" s="75"/>
      <c r="AA4462" s="75" t="str">
        <f>IF(AND(MONTH(E4462)='IN-NX'!$J$5,'IN-NX'!$D$7=D4462),"x","")</f>
        <v/>
      </c>
      <c r="AB4462" s="75" t="str">
        <f>IF(AND(OR(LEFT(TH!N5297,2)="15",LEFT(TH!O5297,2)="15"),LEFT(TH!O5297,3)&lt;&gt;"111",'152-CT'!$J$8=TH!F5297),"x","")</f>
        <v/>
      </c>
      <c r="AC4462" s="75" t="str">
        <f>IF(AND(OR(LEFT(TH!N5297,2)="15",LEFT(TH!O5297,2)="15"),TK!$E$7=TH!F5297),"x","")</f>
        <v/>
      </c>
      <c r="AD4462" s="75" t="str">
        <f>IF(AND(N4462="1521",MONTH(C4462)='BK-NL'!$M$11),"x","")</f>
        <v/>
      </c>
      <c r="AE4462"/>
      <c r="AF4462"/>
      <c r="AG4462"/>
    </row>
    <row r="4463" spans="1:33" s="1053" customFormat="1" ht="16.5" customHeight="1">
      <c r="A4463" s="309" t="str">
        <f>IF(B4463&lt;&gt;"",IF(AND(B4463='IN-TC'!$S$4,OR(TH!N4456="1111",TH!O4456="1111")),TH!D4456,""),"")</f>
        <v/>
      </c>
      <c r="B4463" s="1243">
        <f t="shared" si="1324"/>
        <v>7</v>
      </c>
      <c r="C4463" s="292">
        <f t="shared" si="1323"/>
        <v>42926</v>
      </c>
      <c r="D4463" s="59" t="s">
        <v>902</v>
      </c>
      <c r="E4463" s="59">
        <v>42926</v>
      </c>
      <c r="F4463" s="67" t="s">
        <v>870</v>
      </c>
      <c r="G4463" s="62" t="s">
        <v>747</v>
      </c>
      <c r="H4463" s="67" t="s">
        <v>835</v>
      </c>
      <c r="I4463" s="375"/>
      <c r="J4463" s="381"/>
      <c r="K4463" s="375"/>
      <c r="L4463" s="381"/>
      <c r="M4463" s="60">
        <v>10000</v>
      </c>
      <c r="N4463" s="61" t="s">
        <v>101</v>
      </c>
      <c r="O4463" s="61" t="s">
        <v>26</v>
      </c>
      <c r="P4463" s="75" t="str">
        <f>IF(AND('331-CT'!$E$7=TH!H5298,OR(N4463="331",O4463="331")),"x","")</f>
        <v/>
      </c>
      <c r="Q4463" s="75" t="str">
        <f>IF(AND(B4463='111'!$L$11,OR($N4463=$Q$7,$O4463=$Q$7)),"x","")</f>
        <v/>
      </c>
      <c r="R4463" s="75" t="str">
        <f>IF(AND($N4463=$Q$7,$B4463&lt;'111'!$L$11),"x","")</f>
        <v/>
      </c>
      <c r="S4463" s="75" t="str">
        <f>IF(AND($O4463=$Q$7,$B4463&lt;'111'!$L$11),"x","")</f>
        <v/>
      </c>
      <c r="T4463" s="75" t="str">
        <f>IF(ISERROR(FIND('112'!$M$9,G4463,1)),"",IF((AND(FIND('112'!$M$9,G4463,1)&gt;=1,B4463='112'!$K$9,OR($N4463='112'!$I$6,$O4463='112'!$I$6))),"x",""))</f>
        <v/>
      </c>
      <c r="U4463" s="75" t="str">
        <f>IF(ISERROR(FIND('112'!$M$9,G4463,1)),"",IF((AND(LEFT(G4463,2)=LEFT('112'!$M$9,2),B4463&lt;'112'!$K$9,$N4463='112'!$I$6)),"x",""))</f>
        <v/>
      </c>
      <c r="V4463" s="75" t="str">
        <f>IF(ISERROR(FIND('112'!$M$9,G4463,1)),"",IF((AND(RIGHT(G4463,2)=RIGHT('112'!$M$9,2),B4463&lt;'112'!$K$9,$O4463='112'!$I$6)),"x",""))</f>
        <v/>
      </c>
      <c r="W4463" s="75" t="str">
        <f>IF(AND('341-CT'!$H$9=H4463,OR(LEFT(N4463,3)=$W$7,LEFT(O4463,3)=$W$7)),"x","")</f>
        <v/>
      </c>
      <c r="X4463" s="75" t="str">
        <f>IF(OR(TH!N5298=TH!$X$7,O4463=TH!$X$7),"x","")</f>
        <v/>
      </c>
      <c r="Y4463" s="75" t="str">
        <f>IF(AND(OR(N4463="131",O4463="131"),H4463='131-CT'!$H$9),"x","")</f>
        <v/>
      </c>
      <c r="Z4463" s="75"/>
      <c r="AA4463" s="75" t="str">
        <f>IF(AND(MONTH(E4463)='IN-NX'!$J$5,'IN-NX'!$D$7=D4463),"x","")</f>
        <v/>
      </c>
      <c r="AB4463" s="75" t="str">
        <f>IF(AND(OR(LEFT(TH!N5298,2)="15",LEFT(TH!O5298,2)="15"),LEFT(TH!O5298,3)&lt;&gt;"111",'152-CT'!$J$8=TH!F5298),"x","")</f>
        <v/>
      </c>
      <c r="AC4463" s="75" t="str">
        <f>IF(AND(OR(LEFT(TH!N5298,2)="15",LEFT(TH!O5298,2)="15"),TK!$E$7=TH!F5298),"x","")</f>
        <v/>
      </c>
      <c r="AD4463" s="75" t="str">
        <f>IF(AND(N4463="1521",MONTH(C4463)='BK-NL'!$M$11),"x","")</f>
        <v/>
      </c>
      <c r="AE4463"/>
      <c r="AF4463"/>
      <c r="AG4463"/>
    </row>
    <row r="4464" spans="1:33" s="1053" customFormat="1" ht="16.5" customHeight="1">
      <c r="A4464" s="309" t="str">
        <f>IF(B4464&lt;&gt;"",IF(AND(B4464='IN-TC'!$S$4,OR(TH!N4457="1111",TH!O4457="1111")),TH!D4457,""),"")</f>
        <v/>
      </c>
      <c r="B4464" s="1243">
        <f t="shared" si="1324"/>
        <v>7</v>
      </c>
      <c r="C4464" s="292">
        <f t="shared" si="1323"/>
        <v>42926</v>
      </c>
      <c r="D4464" s="59" t="s">
        <v>902</v>
      </c>
      <c r="E4464" s="59">
        <v>42926</v>
      </c>
      <c r="F4464" s="67" t="s">
        <v>898</v>
      </c>
      <c r="G4464" s="62" t="s">
        <v>747</v>
      </c>
      <c r="H4464" s="67" t="s">
        <v>835</v>
      </c>
      <c r="I4464" s="375"/>
      <c r="J4464" s="381"/>
      <c r="K4464" s="375"/>
      <c r="L4464" s="381"/>
      <c r="M4464" s="60">
        <v>1000</v>
      </c>
      <c r="N4464" s="61" t="s">
        <v>9</v>
      </c>
      <c r="O4464" s="61" t="s">
        <v>26</v>
      </c>
      <c r="P4464" s="75" t="str">
        <f>IF(AND('331-CT'!$E$7=TH!H5299,OR(N4464="331",O4464="331")),"x","")</f>
        <v/>
      </c>
      <c r="Q4464" s="75" t="str">
        <f>IF(AND(B4464='111'!$L$11,OR($N4464=$Q$7,$O4464=$Q$7)),"x","")</f>
        <v/>
      </c>
      <c r="R4464" s="75" t="str">
        <f>IF(AND($N4464=$Q$7,$B4464&lt;'111'!$L$11),"x","")</f>
        <v/>
      </c>
      <c r="S4464" s="75" t="str">
        <f>IF(AND($O4464=$Q$7,$B4464&lt;'111'!$L$11),"x","")</f>
        <v/>
      </c>
      <c r="T4464" s="75" t="str">
        <f>IF(ISERROR(FIND('112'!$M$9,G4464,1)),"",IF((AND(FIND('112'!$M$9,G4464,1)&gt;=1,B4464='112'!$K$9,OR($N4464='112'!$I$6,$O4464='112'!$I$6))),"x",""))</f>
        <v/>
      </c>
      <c r="U4464" s="75" t="str">
        <f>IF(ISERROR(FIND('112'!$M$9,G4464,1)),"",IF((AND(LEFT(G4464,2)=LEFT('112'!$M$9,2),B4464&lt;'112'!$K$9,$N4464='112'!$I$6)),"x",""))</f>
        <v/>
      </c>
      <c r="V4464" s="75" t="str">
        <f>IF(ISERROR(FIND('112'!$M$9,G4464,1)),"",IF((AND(RIGHT(G4464,2)=RIGHT('112'!$M$9,2),B4464&lt;'112'!$K$9,$O4464='112'!$I$6)),"x",""))</f>
        <v/>
      </c>
      <c r="W4464" s="75" t="str">
        <f>IF(AND('341-CT'!$H$9=H4464,OR(LEFT(N4464,3)=$W$7,LEFT(O4464,3)=$W$7)),"x","")</f>
        <v/>
      </c>
      <c r="X4464" s="75" t="str">
        <f>IF(OR(TH!N5299=TH!$X$7,O4464=TH!$X$7),"x","")</f>
        <v/>
      </c>
      <c r="Y4464" s="75" t="str">
        <f>IF(AND(OR(N4464="131",O4464="131"),H4464='131-CT'!$H$9),"x","")</f>
        <v/>
      </c>
      <c r="Z4464" s="75"/>
      <c r="AA4464" s="75" t="str">
        <f>IF(AND(MONTH(E4464)='IN-NX'!$J$5,'IN-NX'!$D$7=D4464),"x","")</f>
        <v/>
      </c>
      <c r="AB4464" s="75" t="str">
        <f>IF(AND(OR(LEFT(TH!N5299,2)="15",LEFT(TH!O5299,2)="15"),LEFT(TH!O5299,3)&lt;&gt;"111",'152-CT'!$J$8=TH!F5299),"x","")</f>
        <v/>
      </c>
      <c r="AC4464" s="75" t="str">
        <f>IF(AND(OR(LEFT(TH!N5299,2)="15",LEFT(TH!O5299,2)="15"),TK!$E$7=TH!F5299),"x","")</f>
        <v/>
      </c>
      <c r="AD4464" s="75" t="str">
        <f>IF(AND(N4464="1521",MONTH(C4464)='BK-NL'!$M$11),"x","")</f>
        <v/>
      </c>
      <c r="AE4464">
        <v>7</v>
      </c>
      <c r="AF4464"/>
      <c r="AG4464"/>
    </row>
    <row r="4465" spans="1:33" s="1053" customFormat="1" ht="16.5" customHeight="1">
      <c r="A4465" s="309" t="str">
        <f>IF(B4465&lt;&gt;"",IF(AND(B4465='IN-TC'!$S$4,OR(TH!N4458="1111",TH!O4458="1111")),TH!D4458,""),"")</f>
        <v/>
      </c>
      <c r="B4465" s="1243">
        <f t="shared" si="1324"/>
        <v>7</v>
      </c>
      <c r="C4465" s="292">
        <f t="shared" si="1323"/>
        <v>42926</v>
      </c>
      <c r="D4465" s="59" t="s">
        <v>902</v>
      </c>
      <c r="E4465" s="59">
        <v>42926</v>
      </c>
      <c r="F4465" s="67" t="s">
        <v>897</v>
      </c>
      <c r="G4465" s="62" t="s">
        <v>747</v>
      </c>
      <c r="H4465" s="294" t="s">
        <v>791</v>
      </c>
      <c r="I4465" s="373"/>
      <c r="J4465" s="379"/>
      <c r="K4465" s="373"/>
      <c r="L4465" s="379"/>
      <c r="M4465" s="60">
        <v>1504776000</v>
      </c>
      <c r="N4465" s="61" t="s">
        <v>8</v>
      </c>
      <c r="O4465" s="61" t="s">
        <v>26</v>
      </c>
      <c r="P4465" s="75" t="str">
        <f>IF(AND('331-CT'!$E$7=TH!H5295,OR(N4465="331",O4465="331")),"x","")</f>
        <v/>
      </c>
      <c r="Q4465" s="75" t="str">
        <f>IF(AND(B4465='111'!$L$11,OR($N4465=$Q$7,$O4465=$Q$7)),"x","")</f>
        <v/>
      </c>
      <c r="R4465" s="75" t="str">
        <f>IF(AND($N4465=$Q$7,$B4465&lt;'111'!$L$11),"x","")</f>
        <v/>
      </c>
      <c r="S4465" s="75" t="str">
        <f>IF(AND($O4465=$Q$7,$B4465&lt;'111'!$L$11),"x","")</f>
        <v/>
      </c>
      <c r="T4465" s="75" t="str">
        <f>IF(ISERROR(FIND('112'!$M$9,G4465,1)),"",IF((AND(FIND('112'!$M$9,G4465,1)&gt;=1,B4465='112'!$K$9,OR($N4465='112'!$I$6,$O4465='112'!$I$6))),"x",""))</f>
        <v/>
      </c>
      <c r="U4465" s="75" t="str">
        <f>IF(ISERROR(FIND('112'!$M$9,G4465,1)),"",IF((AND(LEFT(G4465,2)=LEFT('112'!$M$9,2),B4465&lt;'112'!$K$9,$N4465='112'!$I$6)),"x",""))</f>
        <v/>
      </c>
      <c r="V4465" s="75" t="str">
        <f>IF(ISERROR(FIND('112'!$M$9,G4465,1)),"",IF((AND(RIGHT(G4465,2)=RIGHT('112'!$M$9,2),B4465&lt;'112'!$K$9,$O4465='112'!$I$6)),"x",""))</f>
        <v/>
      </c>
      <c r="W4465" s="75" t="str">
        <f>IF(AND('341-CT'!$H$9=H4465,OR(LEFT(N4465,3)=$W$7,LEFT(O4465,3)=$W$7)),"x","")</f>
        <v/>
      </c>
      <c r="X4465" s="75" t="str">
        <f>IF(OR(TH!N5295=TH!$X$7,O4465=TH!$X$7),"x","")</f>
        <v/>
      </c>
      <c r="Y4465" s="75" t="str">
        <f>IF(AND(OR(N4465="131",O4465="131"),H4465='131-CT'!$H$9),"x","")</f>
        <v/>
      </c>
      <c r="Z4465" s="75"/>
      <c r="AA4465" s="75" t="str">
        <f>IF(AND(MONTH(E4465)='IN-NX'!$J$5,'IN-NX'!$D$7=D4465),"x","")</f>
        <v/>
      </c>
      <c r="AB4465" s="75" t="str">
        <f>IF(AND(OR(LEFT(TH!N5295,2)="15",LEFT(TH!O5295,2)="15"),LEFT(TH!O5295,3)&lt;&gt;"111",'152-CT'!$J$8=TH!F5295),"x","")</f>
        <v/>
      </c>
      <c r="AC4465" s="75" t="str">
        <f>IF(AND(OR(LEFT(TH!N5295,2)="15",LEFT(TH!O5295,2)="15"),TK!$E$7=TH!F5295),"x","")</f>
        <v/>
      </c>
      <c r="AD4465" s="75" t="str">
        <f>IF(AND(N4465="1521",MONTH(C4465)='BK-NL'!$M$11),"x","")</f>
        <v/>
      </c>
      <c r="AE4465"/>
      <c r="AF4465"/>
      <c r="AG4465"/>
    </row>
    <row r="4466" spans="1:33" s="1365" customFormat="1" ht="16.5" customHeight="1">
      <c r="A4466" s="1356" t="str">
        <f>IF(B4466&lt;&gt;"",IF(AND(B4466='IN-TC'!$S$4,OR(TH!N4459="1111",TH!O4459="1111")),TH!D4459,""),"")</f>
        <v/>
      </c>
      <c r="B4466" s="1357">
        <f t="shared" si="1324"/>
        <v>7</v>
      </c>
      <c r="C4466" s="970">
        <f t="shared" si="1323"/>
        <v>42926</v>
      </c>
      <c r="D4466" s="1358" t="s">
        <v>902</v>
      </c>
      <c r="E4466" s="1358">
        <v>42926</v>
      </c>
      <c r="F4466" s="1359" t="s">
        <v>870</v>
      </c>
      <c r="G4466" s="1360" t="s">
        <v>747</v>
      </c>
      <c r="H4466" s="1359" t="s">
        <v>835</v>
      </c>
      <c r="I4466" s="1361"/>
      <c r="J4466" s="1362"/>
      <c r="K4466" s="1361"/>
      <c r="L4466" s="1362"/>
      <c r="M4466" s="1363">
        <v>1053343</v>
      </c>
      <c r="N4466" s="1364" t="s">
        <v>72</v>
      </c>
      <c r="O4466" s="1364" t="s">
        <v>26</v>
      </c>
      <c r="P4466" s="1133" t="str">
        <f>IF(AND('331-CT'!$E$7=TH!H5300,OR(N4466="331",O4466="331")),"x","")</f>
        <v/>
      </c>
      <c r="Q4466" s="1133" t="str">
        <f>IF(AND(B4466='111'!$L$11,OR($N4466=$Q$7,$O4466=$Q$7)),"x","")</f>
        <v/>
      </c>
      <c r="R4466" s="1133" t="str">
        <f>IF(AND($N4466=$Q$7,$B4466&lt;'111'!$L$11),"x","")</f>
        <v/>
      </c>
      <c r="S4466" s="1133" t="str">
        <f>IF(AND($O4466=$Q$7,$B4466&lt;'111'!$L$11),"x","")</f>
        <v/>
      </c>
      <c r="T4466" s="1133" t="str">
        <f>IF(ISERROR(FIND('112'!$M$9,G4466,1)),"",IF((AND(FIND('112'!$M$9,G4466,1)&gt;=1,B4466='112'!$K$9,OR($N4466='112'!$I$6,$O4466='112'!$I$6))),"x",""))</f>
        <v/>
      </c>
      <c r="U4466" s="1133" t="str">
        <f>IF(ISERROR(FIND('112'!$M$9,G4466,1)),"",IF((AND(LEFT(G4466,2)=LEFT('112'!$M$9,2),B4466&lt;'112'!$K$9,$N4466='112'!$I$6)),"x",""))</f>
        <v/>
      </c>
      <c r="V4466" s="1133" t="str">
        <f>IF(ISERROR(FIND('112'!$M$9,G4466,1)),"",IF((AND(RIGHT(G4466,2)=RIGHT('112'!$M$9,2),B4466&lt;'112'!$K$9,$O4466='112'!$I$6)),"x",""))</f>
        <v/>
      </c>
      <c r="W4466" s="1133" t="str">
        <f>IF(AND('341-CT'!$H$9=H4466,OR(LEFT(N4466,3)=$W$7,LEFT(O4466,3)=$W$7)),"x","")</f>
        <v/>
      </c>
      <c r="X4466" s="1133" t="str">
        <f>IF(OR(TH!N5300=TH!$X$7,O4466=TH!$X$7),"x","")</f>
        <v/>
      </c>
      <c r="Y4466" s="1133" t="str">
        <f>IF(AND(OR(N4466="131",O4466="131"),H4466='131-CT'!$H$9),"x","")</f>
        <v/>
      </c>
      <c r="Z4466" s="1133"/>
      <c r="AA4466" s="1133" t="str">
        <f>IF(AND(MONTH(E4466)='IN-NX'!$J$5,'IN-NX'!$D$7=D4466),"x","")</f>
        <v/>
      </c>
      <c r="AB4466" s="1133" t="str">
        <f>IF(AND(OR(LEFT(TH!N5300,2)="15",LEFT(TH!O5300,2)="15"),LEFT(TH!O5300,3)&lt;&gt;"111",'152-CT'!$J$8=TH!F5300),"x","")</f>
        <v/>
      </c>
      <c r="AC4466" s="1133" t="str">
        <f>IF(AND(OR(LEFT(TH!N5300,2)="15",LEFT(TH!O5300,2)="15"),TK!$E$7=TH!F5300),"x","")</f>
        <v/>
      </c>
      <c r="AD4466" s="1133" t="str">
        <f>IF(AND(N4466="1521",MONTH(C4466)='BK-NL'!$M$11),"x","")</f>
        <v/>
      </c>
      <c r="AE4466" s="1267"/>
      <c r="AF4466" s="1267"/>
      <c r="AG4466" s="1267"/>
    </row>
    <row r="4467" spans="1:33" s="1365" customFormat="1" ht="16.5" customHeight="1">
      <c r="A4467" s="1356" t="str">
        <f>IF(B4467&lt;&gt;"",IF(AND(B4467='IN-TC'!$S$4,OR(TH!N4460="1111",TH!O4460="1111")),TH!D4460,""),"")</f>
        <v/>
      </c>
      <c r="B4467" s="1357">
        <f t="shared" si="1324"/>
        <v>7</v>
      </c>
      <c r="C4467" s="970">
        <f t="shared" ref="C4467:C4530" si="1325">E4467</f>
        <v>42926</v>
      </c>
      <c r="D4467" s="1358" t="s">
        <v>902</v>
      </c>
      <c r="E4467" s="1358">
        <v>42926</v>
      </c>
      <c r="F4467" s="1359" t="s">
        <v>898</v>
      </c>
      <c r="G4467" s="1360" t="s">
        <v>747</v>
      </c>
      <c r="H4467" s="1359" t="s">
        <v>835</v>
      </c>
      <c r="I4467" s="1361"/>
      <c r="J4467" s="1362"/>
      <c r="K4467" s="1361"/>
      <c r="L4467" s="1362"/>
      <c r="M4467" s="1363">
        <v>105334</v>
      </c>
      <c r="N4467" s="1364" t="s">
        <v>72</v>
      </c>
      <c r="O4467" s="1364" t="s">
        <v>26</v>
      </c>
      <c r="P4467" s="1133" t="str">
        <f>IF(AND('331-CT'!$E$7=TH!H5301,OR(N4467="331",O4467="331")),"x","")</f>
        <v/>
      </c>
      <c r="Q4467" s="1133" t="str">
        <f>IF(AND(B4467='111'!$L$11,OR($N4467=$Q$7,$O4467=$Q$7)),"x","")</f>
        <v/>
      </c>
      <c r="R4467" s="1133" t="str">
        <f>IF(AND($N4467=$Q$7,$B4467&lt;'111'!$L$11),"x","")</f>
        <v/>
      </c>
      <c r="S4467" s="1133" t="str">
        <f>IF(AND($O4467=$Q$7,$B4467&lt;'111'!$L$11),"x","")</f>
        <v/>
      </c>
      <c r="T4467" s="1133" t="str">
        <f>IF(ISERROR(FIND('112'!$M$9,G4467,1)),"",IF((AND(FIND('112'!$M$9,G4467,1)&gt;=1,B4467='112'!$K$9,OR($N4467='112'!$I$6,$O4467='112'!$I$6))),"x",""))</f>
        <v/>
      </c>
      <c r="U4467" s="1133" t="str">
        <f>IF(ISERROR(FIND('112'!$M$9,G4467,1)),"",IF((AND(LEFT(G4467,2)=LEFT('112'!$M$9,2),B4467&lt;'112'!$K$9,$N4467='112'!$I$6)),"x",""))</f>
        <v/>
      </c>
      <c r="V4467" s="1133" t="str">
        <f>IF(ISERROR(FIND('112'!$M$9,G4467,1)),"",IF((AND(RIGHT(G4467,2)=RIGHT('112'!$M$9,2),B4467&lt;'112'!$K$9,$O4467='112'!$I$6)),"x",""))</f>
        <v/>
      </c>
      <c r="W4467" s="1133" t="str">
        <f>IF(AND('341-CT'!$H$9=H4467,OR(LEFT(N4467,3)=$W$7,LEFT(O4467,3)=$W$7)),"x","")</f>
        <v/>
      </c>
      <c r="X4467" s="1133" t="str">
        <f>IF(OR(TH!N5301=TH!$X$7,O4467=TH!$X$7),"x","")</f>
        <v/>
      </c>
      <c r="Y4467" s="1133" t="str">
        <f>IF(AND(OR(N4467="131",O4467="131"),H4467='131-CT'!$H$9),"x","")</f>
        <v/>
      </c>
      <c r="Z4467" s="1133"/>
      <c r="AA4467" s="1133" t="str">
        <f>IF(AND(MONTH(E4467)='IN-NX'!$J$5,'IN-NX'!$D$7=D4467),"x","")</f>
        <v/>
      </c>
      <c r="AB4467" s="1133" t="str">
        <f>IF(AND(OR(LEFT(TH!N5301,2)="15",LEFT(TH!O5301,2)="15"),LEFT(TH!O5301,3)&lt;&gt;"111",'152-CT'!$J$8=TH!F5301),"x","")</f>
        <v/>
      </c>
      <c r="AC4467" s="1133" t="str">
        <f>IF(AND(OR(LEFT(TH!N5301,2)="15",LEFT(TH!O5301,2)="15"),TK!$E$7=TH!F5301),"x","")</f>
        <v/>
      </c>
      <c r="AD4467" s="1133" t="str">
        <f>IF(AND(N4467="1521",MONTH(C4467)='BK-NL'!$M$11),"x","")</f>
        <v/>
      </c>
      <c r="AE4467" s="1267">
        <v>7</v>
      </c>
      <c r="AF4467" s="1267"/>
      <c r="AG4467" s="1267"/>
    </row>
    <row r="4468" spans="1:33" s="1053" customFormat="1" ht="16.5" customHeight="1">
      <c r="A4468" s="309" t="str">
        <f>IF(B4468&lt;&gt;"",IF(AND(B4468='IN-TC'!$S$4,OR(TH!N4461="1111",TH!O4461="1111")),TH!D4461,""),"")</f>
        <v/>
      </c>
      <c r="B4468" s="1243">
        <f t="shared" si="1324"/>
        <v>7</v>
      </c>
      <c r="C4468" s="292">
        <f t="shared" si="1325"/>
        <v>42926</v>
      </c>
      <c r="D4468" s="59" t="s">
        <v>902</v>
      </c>
      <c r="E4468" s="59">
        <v>42926</v>
      </c>
      <c r="F4468" s="67" t="s">
        <v>1740</v>
      </c>
      <c r="G4468" s="62" t="s">
        <v>747</v>
      </c>
      <c r="H4468" s="311" t="s">
        <v>563</v>
      </c>
      <c r="I4468" s="373"/>
      <c r="J4468" s="379"/>
      <c r="K4468" s="373"/>
      <c r="L4468" s="379"/>
      <c r="M4468" s="60">
        <v>31581550</v>
      </c>
      <c r="N4468" s="61" t="s">
        <v>8</v>
      </c>
      <c r="O4468" s="61" t="s">
        <v>26</v>
      </c>
      <c r="P4468" s="75" t="str">
        <f>IF(AND('331-CT'!$E$7=TH!H5302,OR(N4468="331",O4468="331")),"x","")</f>
        <v/>
      </c>
      <c r="Q4468" s="75" t="str">
        <f>IF(AND(B4468='111'!$L$11,OR($N4468=$Q$7,$O4468=$Q$7)),"x","")</f>
        <v/>
      </c>
      <c r="R4468" s="75" t="str">
        <f>IF(AND($N4468=$Q$7,$B4468&lt;'111'!$L$11),"x","")</f>
        <v/>
      </c>
      <c r="S4468" s="75" t="str">
        <f>IF(AND($O4468=$Q$7,$B4468&lt;'111'!$L$11),"x","")</f>
        <v/>
      </c>
      <c r="T4468" s="75" t="str">
        <f>IF(ISERROR(FIND('112'!$M$9,G4468,1)),"",IF((AND(FIND('112'!$M$9,G4468,1)&gt;=1,B4468='112'!$K$9,OR($N4468='112'!$I$6,$O4468='112'!$I$6))),"x",""))</f>
        <v/>
      </c>
      <c r="U4468" s="75" t="str">
        <f>IF(ISERROR(FIND('112'!$M$9,G4468,1)),"",IF((AND(LEFT(G4468,2)=LEFT('112'!$M$9,2),B4468&lt;'112'!$K$9,$N4468='112'!$I$6)),"x",""))</f>
        <v/>
      </c>
      <c r="V4468" s="75" t="str">
        <f>IF(ISERROR(FIND('112'!$M$9,G4468,1)),"",IF((AND(RIGHT(G4468,2)=RIGHT('112'!$M$9,2),B4468&lt;'112'!$K$9,$O4468='112'!$I$6)),"x",""))</f>
        <v/>
      </c>
      <c r="W4468" s="75" t="str">
        <f>IF(AND('341-CT'!$H$9=H4468,OR(LEFT(N4468,3)=$W$7,LEFT(O4468,3)=$W$7)),"x","")</f>
        <v/>
      </c>
      <c r="X4468" s="75" t="str">
        <f>IF(OR(TH!N5302=TH!$X$7,O4468=TH!$X$7),"x","")</f>
        <v/>
      </c>
      <c r="Y4468" s="75" t="str">
        <f>IF(AND(OR(N4468="131",O4468="131"),H4468='131-CT'!$H$9),"x","")</f>
        <v/>
      </c>
      <c r="Z4468" s="75"/>
      <c r="AA4468" s="75" t="str">
        <f>IF(AND(MONTH(E4468)='IN-NX'!$J$5,'IN-NX'!$D$7=D4468),"x","")</f>
        <v/>
      </c>
      <c r="AB4468" s="75" t="str">
        <f>IF(AND(OR(LEFT(TH!N5302,2)="15",LEFT(TH!O5302,2)="15"),LEFT(TH!O5302,3)&lt;&gt;"111",'152-CT'!$J$8=TH!F5302),"x","")</f>
        <v/>
      </c>
      <c r="AC4468" s="75" t="str">
        <f>IF(AND(OR(LEFT(TH!N5302,2)="15",LEFT(TH!O5302,2)="15"),TK!$E$7=TH!F5302),"x","")</f>
        <v/>
      </c>
      <c r="AD4468" s="75" t="str">
        <f>IF(AND(N4468="1521",MONTH(C4468)='BK-NL'!$M$11),"x","")</f>
        <v/>
      </c>
      <c r="AE4468"/>
      <c r="AF4468"/>
      <c r="AG4468"/>
    </row>
    <row r="4469" spans="1:33" s="1053" customFormat="1" ht="16.5" customHeight="1">
      <c r="A4469" s="309" t="str">
        <f>IF(B4469&lt;&gt;"",IF(AND(B4469='IN-TC'!$S$4,OR(TH!N4462="1111",TH!O4462="1111")),TH!D4462,""),"")</f>
        <v/>
      </c>
      <c r="B4469" s="1243">
        <f t="shared" si="1324"/>
        <v>7</v>
      </c>
      <c r="C4469" s="292">
        <f t="shared" si="1325"/>
        <v>42926</v>
      </c>
      <c r="D4469" s="59" t="s">
        <v>902</v>
      </c>
      <c r="E4469" s="59">
        <v>42926</v>
      </c>
      <c r="F4469" s="67" t="s">
        <v>870</v>
      </c>
      <c r="G4469" s="62" t="s">
        <v>747</v>
      </c>
      <c r="H4469" s="67" t="s">
        <v>835</v>
      </c>
      <c r="I4469" s="375"/>
      <c r="J4469" s="381"/>
      <c r="K4469" s="375"/>
      <c r="L4469" s="381"/>
      <c r="M4469" s="60">
        <v>10000</v>
      </c>
      <c r="N4469" s="61" t="s">
        <v>101</v>
      </c>
      <c r="O4469" s="61" t="s">
        <v>26</v>
      </c>
      <c r="P4469" s="75" t="str">
        <f>IF(AND('331-CT'!$E$7=TH!H5303,OR(N4469="331",O4469="331")),"x","")</f>
        <v/>
      </c>
      <c r="Q4469" s="75" t="str">
        <f>IF(AND(B4469='111'!$L$11,OR($N4469=$Q$7,$O4469=$Q$7)),"x","")</f>
        <v/>
      </c>
      <c r="R4469" s="75" t="str">
        <f>IF(AND($N4469=$Q$7,$B4469&lt;'111'!$L$11),"x","")</f>
        <v/>
      </c>
      <c r="S4469" s="75" t="str">
        <f>IF(AND($O4469=$Q$7,$B4469&lt;'111'!$L$11),"x","")</f>
        <v/>
      </c>
      <c r="T4469" s="75" t="str">
        <f>IF(ISERROR(FIND('112'!$M$9,G4469,1)),"",IF((AND(FIND('112'!$M$9,G4469,1)&gt;=1,B4469='112'!$K$9,OR($N4469='112'!$I$6,$O4469='112'!$I$6))),"x",""))</f>
        <v/>
      </c>
      <c r="U4469" s="75" t="str">
        <f>IF(ISERROR(FIND('112'!$M$9,G4469,1)),"",IF((AND(LEFT(G4469,2)=LEFT('112'!$M$9,2),B4469&lt;'112'!$K$9,$N4469='112'!$I$6)),"x",""))</f>
        <v/>
      </c>
      <c r="V4469" s="75" t="str">
        <f>IF(ISERROR(FIND('112'!$M$9,G4469,1)),"",IF((AND(RIGHT(G4469,2)=RIGHT('112'!$M$9,2),B4469&lt;'112'!$K$9,$O4469='112'!$I$6)),"x",""))</f>
        <v/>
      </c>
      <c r="W4469" s="75" t="str">
        <f>IF(AND('341-CT'!$H$9=H4469,OR(LEFT(N4469,3)=$W$7,LEFT(O4469,3)=$W$7)),"x","")</f>
        <v/>
      </c>
      <c r="X4469" s="75" t="str">
        <f>IF(OR(TH!N5303=TH!$X$7,O4469=TH!$X$7),"x","")</f>
        <v/>
      </c>
      <c r="Y4469" s="75" t="str">
        <f>IF(AND(OR(N4469="131",O4469="131"),H4469='131-CT'!$H$9),"x","")</f>
        <v/>
      </c>
      <c r="Z4469" s="75"/>
      <c r="AA4469" s="75" t="str">
        <f>IF(AND(MONTH(E4469)='IN-NX'!$J$5,'IN-NX'!$D$7=D4469),"x","")</f>
        <v/>
      </c>
      <c r="AB4469" s="75" t="str">
        <f>IF(AND(OR(LEFT(TH!N5303,2)="15",LEFT(TH!O5303,2)="15"),LEFT(TH!O5303,3)&lt;&gt;"111",'152-CT'!$J$8=TH!F5303),"x","")</f>
        <v/>
      </c>
      <c r="AC4469" s="75" t="str">
        <f>IF(AND(OR(LEFT(TH!N5303,2)="15",LEFT(TH!O5303,2)="15"),TK!$E$7=TH!F5303),"x","")</f>
        <v/>
      </c>
      <c r="AD4469" s="75" t="str">
        <f>IF(AND(N4469="1521",MONTH(C4469)='BK-NL'!$M$11),"x","")</f>
        <v/>
      </c>
      <c r="AE4469"/>
      <c r="AF4469"/>
      <c r="AG4469"/>
    </row>
    <row r="4470" spans="1:33" s="1053" customFormat="1" ht="16.5" customHeight="1">
      <c r="A4470" s="309" t="str">
        <f>IF(B4470&lt;&gt;"",IF(AND(B4470='IN-TC'!$S$4,OR(TH!N4463="1111",TH!O4463="1111")),TH!D4463,""),"")</f>
        <v/>
      </c>
      <c r="B4470" s="1243">
        <f t="shared" si="1324"/>
        <v>7</v>
      </c>
      <c r="C4470" s="292">
        <f t="shared" si="1325"/>
        <v>42926</v>
      </c>
      <c r="D4470" s="59" t="s">
        <v>902</v>
      </c>
      <c r="E4470" s="59">
        <v>42926</v>
      </c>
      <c r="F4470" s="67" t="s">
        <v>898</v>
      </c>
      <c r="G4470" s="62" t="s">
        <v>747</v>
      </c>
      <c r="H4470" s="67" t="s">
        <v>835</v>
      </c>
      <c r="I4470" s="375"/>
      <c r="J4470" s="381"/>
      <c r="K4470" s="375"/>
      <c r="L4470" s="381"/>
      <c r="M4470" s="60">
        <v>1000</v>
      </c>
      <c r="N4470" s="61" t="s">
        <v>9</v>
      </c>
      <c r="O4470" s="61" t="s">
        <v>26</v>
      </c>
      <c r="P4470" s="75" t="str">
        <f>IF(AND('331-CT'!$E$7=TH!H5304,OR(N4470="331",O4470="331")),"x","")</f>
        <v/>
      </c>
      <c r="Q4470" s="75" t="str">
        <f>IF(AND(B4470='111'!$L$11,OR($N4470=$Q$7,$O4470=$Q$7)),"x","")</f>
        <v/>
      </c>
      <c r="R4470" s="75" t="str">
        <f>IF(AND($N4470=$Q$7,$B4470&lt;'111'!$L$11),"x","")</f>
        <v/>
      </c>
      <c r="S4470" s="75" t="str">
        <f>IF(AND($O4470=$Q$7,$B4470&lt;'111'!$L$11),"x","")</f>
        <v/>
      </c>
      <c r="T4470" s="75" t="str">
        <f>IF(ISERROR(FIND('112'!$M$9,G4470,1)),"",IF((AND(FIND('112'!$M$9,G4470,1)&gt;=1,B4470='112'!$K$9,OR($N4470='112'!$I$6,$O4470='112'!$I$6))),"x",""))</f>
        <v/>
      </c>
      <c r="U4470" s="75" t="str">
        <f>IF(ISERROR(FIND('112'!$M$9,G4470,1)),"",IF((AND(LEFT(G4470,2)=LEFT('112'!$M$9,2),B4470&lt;'112'!$K$9,$N4470='112'!$I$6)),"x",""))</f>
        <v/>
      </c>
      <c r="V4470" s="75" t="str">
        <f>IF(ISERROR(FIND('112'!$M$9,G4470,1)),"",IF((AND(RIGHT(G4470,2)=RIGHT('112'!$M$9,2),B4470&lt;'112'!$K$9,$O4470='112'!$I$6)),"x",""))</f>
        <v/>
      </c>
      <c r="W4470" s="75" t="str">
        <f>IF(AND('341-CT'!$H$9=H4470,OR(LEFT(N4470,3)=$W$7,LEFT(O4470,3)=$W$7)),"x","")</f>
        <v/>
      </c>
      <c r="X4470" s="75" t="str">
        <f>IF(OR(TH!N5304=TH!$X$7,O4470=TH!$X$7),"x","")</f>
        <v/>
      </c>
      <c r="Y4470" s="75" t="str">
        <f>IF(AND(OR(N4470="131",O4470="131"),H4470='131-CT'!$H$9),"x","")</f>
        <v/>
      </c>
      <c r="Z4470" s="75"/>
      <c r="AA4470" s="75" t="str">
        <f>IF(AND(MONTH(E4470)='IN-NX'!$J$5,'IN-NX'!$D$7=D4470),"x","")</f>
        <v/>
      </c>
      <c r="AB4470" s="75" t="str">
        <f>IF(AND(OR(LEFT(TH!N5304,2)="15",LEFT(TH!O5304,2)="15"),LEFT(TH!O5304,3)&lt;&gt;"111",'152-CT'!$J$8=TH!F5304),"x","")</f>
        <v/>
      </c>
      <c r="AC4470" s="75" t="str">
        <f>IF(AND(OR(LEFT(TH!N5304,2)="15",LEFT(TH!O5304,2)="15"),TK!$E$7=TH!F5304),"x","")</f>
        <v/>
      </c>
      <c r="AD4470" s="75" t="str">
        <f>IF(AND(N4470="1521",MONTH(C4470)='BK-NL'!$M$11),"x","")</f>
        <v/>
      </c>
      <c r="AE4470">
        <v>7</v>
      </c>
      <c r="AF4470"/>
      <c r="AG4470"/>
    </row>
    <row r="4471" spans="1:33" s="1053" customFormat="1" ht="16.5" customHeight="1">
      <c r="A4471" s="309" t="str">
        <f>IF(B4471&lt;&gt;"",IF(AND(B4471='IN-TC'!$S$4,OR(TH!N4464="1111",TH!O4464="1111")),TH!D4464,""),"")</f>
        <v/>
      </c>
      <c r="B4471" s="1243">
        <f t="shared" si="1324"/>
        <v>7</v>
      </c>
      <c r="C4471" s="292">
        <f t="shared" si="1325"/>
        <v>42926</v>
      </c>
      <c r="D4471" s="59" t="s">
        <v>902</v>
      </c>
      <c r="E4471" s="59">
        <v>42926</v>
      </c>
      <c r="F4471" s="67" t="s">
        <v>897</v>
      </c>
      <c r="G4471" s="62" t="s">
        <v>747</v>
      </c>
      <c r="H4471" s="294" t="s">
        <v>789</v>
      </c>
      <c r="I4471" s="373"/>
      <c r="J4471" s="379"/>
      <c r="K4471" s="373"/>
      <c r="L4471" s="379"/>
      <c r="M4471" s="60">
        <v>1138547500</v>
      </c>
      <c r="N4471" s="61" t="s">
        <v>8</v>
      </c>
      <c r="O4471" s="61" t="s">
        <v>26</v>
      </c>
      <c r="P4471" s="75" t="str">
        <f>IF(AND('331-CT'!$E$7=TH!H5305,OR(N4471="331",O4471="331")),"x","")</f>
        <v/>
      </c>
      <c r="Q4471" s="75" t="str">
        <f>IF(AND(B4471='111'!$L$11,OR($N4471=$Q$7,$O4471=$Q$7)),"x","")</f>
        <v/>
      </c>
      <c r="R4471" s="75" t="str">
        <f>IF(AND($N4471=$Q$7,$B4471&lt;'111'!$L$11),"x","")</f>
        <v/>
      </c>
      <c r="S4471" s="75" t="str">
        <f>IF(AND($O4471=$Q$7,$B4471&lt;'111'!$L$11),"x","")</f>
        <v/>
      </c>
      <c r="T4471" s="75" t="str">
        <f>IF(ISERROR(FIND('112'!$M$9,G4471,1)),"",IF((AND(FIND('112'!$M$9,G4471,1)&gt;=1,B4471='112'!$K$9,OR($N4471='112'!$I$6,$O4471='112'!$I$6))),"x",""))</f>
        <v/>
      </c>
      <c r="U4471" s="75" t="str">
        <f>IF(ISERROR(FIND('112'!$M$9,G4471,1)),"",IF((AND(LEFT(G4471,2)=LEFT('112'!$M$9,2),B4471&lt;'112'!$K$9,$N4471='112'!$I$6)),"x",""))</f>
        <v/>
      </c>
      <c r="V4471" s="75" t="str">
        <f>IF(ISERROR(FIND('112'!$M$9,G4471,1)),"",IF((AND(RIGHT(G4471,2)=RIGHT('112'!$M$9,2),B4471&lt;'112'!$K$9,$O4471='112'!$I$6)),"x",""))</f>
        <v/>
      </c>
      <c r="W4471" s="75" t="str">
        <f>IF(AND('341-CT'!$H$9=H4471,OR(LEFT(N4471,3)=$W$7,LEFT(O4471,3)=$W$7)),"x","")</f>
        <v/>
      </c>
      <c r="X4471" s="75" t="str">
        <f>IF(OR(TH!N5305=TH!$X$7,O4471=TH!$X$7),"x","")</f>
        <v/>
      </c>
      <c r="Y4471" s="75" t="str">
        <f>IF(AND(OR(N4471="131",O4471="131"),H4471='131-CT'!$H$9),"x","")</f>
        <v/>
      </c>
      <c r="Z4471" s="75"/>
      <c r="AA4471" s="75" t="str">
        <f>IF(AND(MONTH(E4471)='IN-NX'!$J$5,'IN-NX'!$D$7=D4471),"x","")</f>
        <v/>
      </c>
      <c r="AB4471" s="75" t="str">
        <f>IF(AND(OR(LEFT(TH!N5305,2)="15",LEFT(TH!O5305,2)="15"),LEFT(TH!O5305,3)&lt;&gt;"111",'152-CT'!$J$8=TH!F5305),"x","")</f>
        <v/>
      </c>
      <c r="AC4471" s="75" t="str">
        <f>IF(AND(OR(LEFT(TH!N5305,2)="15",LEFT(TH!O5305,2)="15"),TK!$E$7=TH!F5305),"x","")</f>
        <v/>
      </c>
      <c r="AD4471" s="75" t="str">
        <f>IF(AND(N4471="1521",MONTH(C4471)='BK-NL'!$M$11),"x","")</f>
        <v/>
      </c>
      <c r="AE4471"/>
      <c r="AF4471"/>
      <c r="AG4471"/>
    </row>
    <row r="4472" spans="1:33" s="1365" customFormat="1" ht="16.5" customHeight="1">
      <c r="A4472" s="1356" t="str">
        <f>IF(B4472&lt;&gt;"",IF(AND(B4472='IN-TC'!$S$4,OR(TH!N4465="1111",TH!O4465="1111")),TH!D4465,""),"")</f>
        <v/>
      </c>
      <c r="B4472" s="1357">
        <f t="shared" si="1324"/>
        <v>7</v>
      </c>
      <c r="C4472" s="970">
        <f t="shared" si="1325"/>
        <v>42926</v>
      </c>
      <c r="D4472" s="1358" t="s">
        <v>902</v>
      </c>
      <c r="E4472" s="1358">
        <v>42926</v>
      </c>
      <c r="F4472" s="1359" t="s">
        <v>870</v>
      </c>
      <c r="G4472" s="1360" t="s">
        <v>747</v>
      </c>
      <c r="H4472" s="1359" t="s">
        <v>835</v>
      </c>
      <c r="I4472" s="1361"/>
      <c r="J4472" s="1362"/>
      <c r="K4472" s="1361"/>
      <c r="L4472" s="1362"/>
      <c r="M4472" s="1363">
        <v>794866</v>
      </c>
      <c r="N4472" s="1364" t="s">
        <v>72</v>
      </c>
      <c r="O4472" s="1364" t="s">
        <v>26</v>
      </c>
      <c r="P4472" s="1133" t="str">
        <f>IF(AND('331-CT'!$E$7=TH!H5306,OR(N4472="331",O4472="331")),"x","")</f>
        <v/>
      </c>
      <c r="Q4472" s="1133" t="str">
        <f>IF(AND(B4472='111'!$L$11,OR($N4472=$Q$7,$O4472=$Q$7)),"x","")</f>
        <v/>
      </c>
      <c r="R4472" s="1133" t="str">
        <f>IF(AND($N4472=$Q$7,$B4472&lt;'111'!$L$11),"x","")</f>
        <v/>
      </c>
      <c r="S4472" s="1133" t="str">
        <f>IF(AND($O4472=$Q$7,$B4472&lt;'111'!$L$11),"x","")</f>
        <v/>
      </c>
      <c r="T4472" s="1133" t="str">
        <f>IF(ISERROR(FIND('112'!$M$9,G4472,1)),"",IF((AND(FIND('112'!$M$9,G4472,1)&gt;=1,B4472='112'!$K$9,OR($N4472='112'!$I$6,$O4472='112'!$I$6))),"x",""))</f>
        <v/>
      </c>
      <c r="U4472" s="1133" t="str">
        <f>IF(ISERROR(FIND('112'!$M$9,G4472,1)),"",IF((AND(LEFT(G4472,2)=LEFT('112'!$M$9,2),B4472&lt;'112'!$K$9,$N4472='112'!$I$6)),"x",""))</f>
        <v/>
      </c>
      <c r="V4472" s="1133" t="str">
        <f>IF(ISERROR(FIND('112'!$M$9,G4472,1)),"",IF((AND(RIGHT(G4472,2)=RIGHT('112'!$M$9,2),B4472&lt;'112'!$K$9,$O4472='112'!$I$6)),"x",""))</f>
        <v/>
      </c>
      <c r="W4472" s="1133" t="str">
        <f>IF(AND('341-CT'!$H$9=H4472,OR(LEFT(N4472,3)=$W$7,LEFT(O4472,3)=$W$7)),"x","")</f>
        <v/>
      </c>
      <c r="X4472" s="1133" t="str">
        <f>IF(OR(TH!N5306=TH!$X$7,O4472=TH!$X$7),"x","")</f>
        <v/>
      </c>
      <c r="Y4472" s="1133" t="str">
        <f>IF(AND(OR(N4472="131",O4472="131"),H4472='131-CT'!$H$9),"x","")</f>
        <v/>
      </c>
      <c r="Z4472" s="1133"/>
      <c r="AA4472" s="1133" t="str">
        <f>IF(AND(MONTH(E4472)='IN-NX'!$J$5,'IN-NX'!$D$7=D4472),"x","")</f>
        <v/>
      </c>
      <c r="AB4472" s="1133" t="str">
        <f>IF(AND(OR(LEFT(TH!N5306,2)="15",LEFT(TH!O5306,2)="15"),LEFT(TH!O5306,3)&lt;&gt;"111",'152-CT'!$J$8=TH!F5306),"x","")</f>
        <v/>
      </c>
      <c r="AC4472" s="1133" t="str">
        <f>IF(AND(OR(LEFT(TH!N5306,2)="15",LEFT(TH!O5306,2)="15"),TK!$E$7=TH!F5306),"x","")</f>
        <v/>
      </c>
      <c r="AD4472" s="1133" t="str">
        <f>IF(AND(N4472="1521",MONTH(C4472)='BK-NL'!$M$11),"x","")</f>
        <v/>
      </c>
      <c r="AE4472" s="1267"/>
      <c r="AF4472" s="1267"/>
      <c r="AG4472" s="1267"/>
    </row>
    <row r="4473" spans="1:33" s="1365" customFormat="1" ht="16.5" customHeight="1">
      <c r="A4473" s="1356" t="str">
        <f>IF(B4473&lt;&gt;"",IF(AND(B4473='IN-TC'!$S$4,OR(TH!N4466="1111",TH!O4466="1111")),TH!D4466,""),"")</f>
        <v/>
      </c>
      <c r="B4473" s="1357">
        <f t="shared" si="1324"/>
        <v>7</v>
      </c>
      <c r="C4473" s="970">
        <f t="shared" si="1325"/>
        <v>42926</v>
      </c>
      <c r="D4473" s="1358" t="s">
        <v>902</v>
      </c>
      <c r="E4473" s="1358">
        <v>42926</v>
      </c>
      <c r="F4473" s="1359" t="s">
        <v>898</v>
      </c>
      <c r="G4473" s="1360" t="s">
        <v>747</v>
      </c>
      <c r="H4473" s="1359" t="s">
        <v>835</v>
      </c>
      <c r="I4473" s="1361"/>
      <c r="J4473" s="1362"/>
      <c r="K4473" s="1361"/>
      <c r="L4473" s="1362"/>
      <c r="M4473" s="1363">
        <v>79487</v>
      </c>
      <c r="N4473" s="1364" t="s">
        <v>72</v>
      </c>
      <c r="O4473" s="1364" t="s">
        <v>26</v>
      </c>
      <c r="P4473" s="1133" t="str">
        <f>IF(AND('331-CT'!$E$7=TH!H5307,OR(N4473="331",O4473="331")),"x","")</f>
        <v/>
      </c>
      <c r="Q4473" s="1133" t="str">
        <f>IF(AND(B4473='111'!$L$11,OR($N4473=$Q$7,$O4473=$Q$7)),"x","")</f>
        <v/>
      </c>
      <c r="R4473" s="1133" t="str">
        <f>IF(AND($N4473=$Q$7,$B4473&lt;'111'!$L$11),"x","")</f>
        <v/>
      </c>
      <c r="S4473" s="1133" t="str">
        <f>IF(AND($O4473=$Q$7,$B4473&lt;'111'!$L$11),"x","")</f>
        <v/>
      </c>
      <c r="T4473" s="1133" t="str">
        <f>IF(ISERROR(FIND('112'!$M$9,G4473,1)),"",IF((AND(FIND('112'!$M$9,G4473,1)&gt;=1,B4473='112'!$K$9,OR($N4473='112'!$I$6,$O4473='112'!$I$6))),"x",""))</f>
        <v/>
      </c>
      <c r="U4473" s="1133" t="str">
        <f>IF(ISERROR(FIND('112'!$M$9,G4473,1)),"",IF((AND(LEFT(G4473,2)=LEFT('112'!$M$9,2),B4473&lt;'112'!$K$9,$N4473='112'!$I$6)),"x",""))</f>
        <v/>
      </c>
      <c r="V4473" s="1133" t="str">
        <f>IF(ISERROR(FIND('112'!$M$9,G4473,1)),"",IF((AND(RIGHT(G4473,2)=RIGHT('112'!$M$9,2),B4473&lt;'112'!$K$9,$O4473='112'!$I$6)),"x",""))</f>
        <v/>
      </c>
      <c r="W4473" s="1133" t="str">
        <f>IF(AND('341-CT'!$H$9=H4473,OR(LEFT(N4473,3)=$W$7,LEFT(O4473,3)=$W$7)),"x","")</f>
        <v/>
      </c>
      <c r="X4473" s="1133" t="str">
        <f>IF(OR(TH!N5307=TH!$X$7,O4473=TH!$X$7),"x","")</f>
        <v/>
      </c>
      <c r="Y4473" s="1133" t="str">
        <f>IF(AND(OR(N4473="131",O4473="131"),H4473='131-CT'!$H$9),"x","")</f>
        <v/>
      </c>
      <c r="Z4473" s="1133"/>
      <c r="AA4473" s="1133" t="str">
        <f>IF(AND(MONTH(E4473)='IN-NX'!$J$5,'IN-NX'!$D$7=D4473),"x","")</f>
        <v/>
      </c>
      <c r="AB4473" s="1133" t="str">
        <f>IF(AND(OR(LEFT(TH!N5307,2)="15",LEFT(TH!O5307,2)="15"),LEFT(TH!O5307,3)&lt;&gt;"111",'152-CT'!$J$8=TH!F5307),"x","")</f>
        <v/>
      </c>
      <c r="AC4473" s="1133" t="str">
        <f>IF(AND(OR(LEFT(TH!N5307,2)="15",LEFT(TH!O5307,2)="15"),TK!$E$7=TH!F5307),"x","")</f>
        <v/>
      </c>
      <c r="AD4473" s="1133" t="str">
        <f>IF(AND(N4473="1521",MONTH(C4473)='BK-NL'!$M$11),"x","")</f>
        <v/>
      </c>
      <c r="AE4473" s="1267">
        <v>7</v>
      </c>
      <c r="AF4473" s="1267"/>
      <c r="AG4473" s="1267"/>
    </row>
    <row r="4474" spans="1:33" s="1053" customFormat="1" ht="16.5" customHeight="1">
      <c r="A4474" s="309" t="str">
        <f>IF(B4474&lt;&gt;"",IF(AND(B4474='IN-TC'!$S$4,OR(TH!N4467="1111",TH!O4467="1111")),TH!D4467,""),"")</f>
        <v/>
      </c>
      <c r="B4474" s="1243">
        <f t="shared" si="1324"/>
        <v>7</v>
      </c>
      <c r="C4474" s="292">
        <f t="shared" si="1325"/>
        <v>42926</v>
      </c>
      <c r="D4474" s="59" t="s">
        <v>902</v>
      </c>
      <c r="E4474" s="59">
        <v>42926</v>
      </c>
      <c r="F4474" s="67" t="s">
        <v>897</v>
      </c>
      <c r="G4474" s="62" t="s">
        <v>747</v>
      </c>
      <c r="H4474" s="67" t="s">
        <v>750</v>
      </c>
      <c r="I4474" s="373"/>
      <c r="J4474" s="379"/>
      <c r="K4474" s="373"/>
      <c r="L4474" s="379"/>
      <c r="M4474" s="60">
        <v>23500000</v>
      </c>
      <c r="N4474" s="61" t="s">
        <v>8</v>
      </c>
      <c r="O4474" s="61" t="s">
        <v>26</v>
      </c>
      <c r="P4474" s="75" t="str">
        <f>IF(AND('331-CT'!$E$7=TH!H5308,OR(N4474="331",O4474="331")),"x","")</f>
        <v/>
      </c>
      <c r="Q4474" s="75" t="str">
        <f>IF(AND(B4474='111'!$L$11,OR($N4474=$Q$7,$O4474=$Q$7)),"x","")</f>
        <v/>
      </c>
      <c r="R4474" s="75" t="str">
        <f>IF(AND($N4474=$Q$7,$B4474&lt;'111'!$L$11),"x","")</f>
        <v/>
      </c>
      <c r="S4474" s="75" t="str">
        <f>IF(AND($O4474=$Q$7,$B4474&lt;'111'!$L$11),"x","")</f>
        <v/>
      </c>
      <c r="T4474" s="75" t="str">
        <f>IF(ISERROR(FIND('112'!$M$9,G4474,1)),"",IF((AND(FIND('112'!$M$9,G4474,1)&gt;=1,B4474='112'!$K$9,OR($N4474='112'!$I$6,$O4474='112'!$I$6))),"x",""))</f>
        <v/>
      </c>
      <c r="U4474" s="75" t="str">
        <f>IF(ISERROR(FIND('112'!$M$9,G4474,1)),"",IF((AND(LEFT(G4474,2)=LEFT('112'!$M$9,2),B4474&lt;'112'!$K$9,$N4474='112'!$I$6)),"x",""))</f>
        <v/>
      </c>
      <c r="V4474" s="75" t="str">
        <f>IF(ISERROR(FIND('112'!$M$9,G4474,1)),"",IF((AND(RIGHT(G4474,2)=RIGHT('112'!$M$9,2),B4474&lt;'112'!$K$9,$O4474='112'!$I$6)),"x",""))</f>
        <v/>
      </c>
      <c r="W4474" s="75" t="str">
        <f>IF(AND('341-CT'!$H$9=H4474,OR(LEFT(N4474,3)=$W$7,LEFT(O4474,3)=$W$7)),"x","")</f>
        <v/>
      </c>
      <c r="X4474" s="75" t="str">
        <f>IF(OR(TH!N5308=TH!$X$7,O4474=TH!$X$7),"x","")</f>
        <v/>
      </c>
      <c r="Y4474" s="75" t="str">
        <f>IF(AND(OR(N4474="131",O4474="131"),H4474='131-CT'!$H$9),"x","")</f>
        <v/>
      </c>
      <c r="Z4474" s="75"/>
      <c r="AA4474" s="75" t="str">
        <f>IF(AND(MONTH(E4474)='IN-NX'!$J$5,'IN-NX'!$D$7=D4474),"x","")</f>
        <v/>
      </c>
      <c r="AB4474" s="75" t="str">
        <f>IF(AND(OR(LEFT(TH!N5308,2)="15",LEFT(TH!O5308,2)="15"),LEFT(TH!O5308,3)&lt;&gt;"111",'152-CT'!$J$8=TH!F5308),"x","")</f>
        <v/>
      </c>
      <c r="AC4474" s="75" t="str">
        <f>IF(AND(OR(LEFT(TH!N5308,2)="15",LEFT(TH!O5308,2)="15"),TK!$E$7=TH!F5308),"x","")</f>
        <v/>
      </c>
      <c r="AD4474" s="75" t="str">
        <f>IF(AND(N4474="1521",MONTH(C4474)='BK-NL'!$M$11),"x","")</f>
        <v/>
      </c>
      <c r="AE4474"/>
      <c r="AF4474"/>
      <c r="AG4474"/>
    </row>
    <row r="4475" spans="1:33" s="1053" customFormat="1" ht="16.5" customHeight="1">
      <c r="A4475" s="309" t="str">
        <f>IF(B4475&lt;&gt;"",IF(AND(B4475='IN-TC'!$S$4,OR(TH!N4468="1111",TH!O4468="1111")),TH!D4468,""),"")</f>
        <v/>
      </c>
      <c r="B4475" s="1243">
        <f t="shared" si="1324"/>
        <v>7</v>
      </c>
      <c r="C4475" s="292">
        <f t="shared" si="1325"/>
        <v>42926</v>
      </c>
      <c r="D4475" s="59" t="s">
        <v>902</v>
      </c>
      <c r="E4475" s="59">
        <v>42926</v>
      </c>
      <c r="F4475" s="67" t="s">
        <v>870</v>
      </c>
      <c r="G4475" s="62" t="s">
        <v>747</v>
      </c>
      <c r="H4475" s="67" t="s">
        <v>835</v>
      </c>
      <c r="I4475" s="375"/>
      <c r="J4475" s="381"/>
      <c r="K4475" s="375"/>
      <c r="L4475" s="381"/>
      <c r="M4475" s="60">
        <v>10000</v>
      </c>
      <c r="N4475" s="61" t="s">
        <v>101</v>
      </c>
      <c r="O4475" s="61" t="s">
        <v>26</v>
      </c>
      <c r="P4475" s="75" t="str">
        <f>IF(AND('331-CT'!$E$7=TH!H5309,OR(N4475="331",O4475="331")),"x","")</f>
        <v/>
      </c>
      <c r="Q4475" s="75" t="str">
        <f>IF(AND(B4475='111'!$L$11,OR($N4475=$Q$7,$O4475=$Q$7)),"x","")</f>
        <v/>
      </c>
      <c r="R4475" s="75" t="str">
        <f>IF(AND($N4475=$Q$7,$B4475&lt;'111'!$L$11),"x","")</f>
        <v/>
      </c>
      <c r="S4475" s="75" t="str">
        <f>IF(AND($O4475=$Q$7,$B4475&lt;'111'!$L$11),"x","")</f>
        <v/>
      </c>
      <c r="T4475" s="75" t="str">
        <f>IF(ISERROR(FIND('112'!$M$9,G4475,1)),"",IF((AND(FIND('112'!$M$9,G4475,1)&gt;=1,B4475='112'!$K$9,OR($N4475='112'!$I$6,$O4475='112'!$I$6))),"x",""))</f>
        <v/>
      </c>
      <c r="U4475" s="75" t="str">
        <f>IF(ISERROR(FIND('112'!$M$9,G4475,1)),"",IF((AND(LEFT(G4475,2)=LEFT('112'!$M$9,2),B4475&lt;'112'!$K$9,$N4475='112'!$I$6)),"x",""))</f>
        <v/>
      </c>
      <c r="V4475" s="75" t="str">
        <f>IF(ISERROR(FIND('112'!$M$9,G4475,1)),"",IF((AND(RIGHT(G4475,2)=RIGHT('112'!$M$9,2),B4475&lt;'112'!$K$9,$O4475='112'!$I$6)),"x",""))</f>
        <v/>
      </c>
      <c r="W4475" s="75" t="str">
        <f>IF(AND('341-CT'!$H$9=H4475,OR(LEFT(N4475,3)=$W$7,LEFT(O4475,3)=$W$7)),"x","")</f>
        <v/>
      </c>
      <c r="X4475" s="75" t="str">
        <f>IF(OR(TH!N5309=TH!$X$7,O4475=TH!$X$7),"x","")</f>
        <v/>
      </c>
      <c r="Y4475" s="75" t="str">
        <f>IF(AND(OR(N4475="131",O4475="131"),H4475='131-CT'!$H$9),"x","")</f>
        <v/>
      </c>
      <c r="Z4475" s="75"/>
      <c r="AA4475" s="75" t="str">
        <f>IF(AND(MONTH(E4475)='IN-NX'!$J$5,'IN-NX'!$D$7=D4475),"x","")</f>
        <v/>
      </c>
      <c r="AB4475" s="75" t="str">
        <f>IF(AND(OR(LEFT(TH!N5309,2)="15",LEFT(TH!O5309,2)="15"),LEFT(TH!O5309,3)&lt;&gt;"111",'152-CT'!$J$8=TH!F5309),"x","")</f>
        <v/>
      </c>
      <c r="AC4475" s="75" t="str">
        <f>IF(AND(OR(LEFT(TH!N5309,2)="15",LEFT(TH!O5309,2)="15"),TK!$E$7=TH!F5309),"x","")</f>
        <v/>
      </c>
      <c r="AD4475" s="75" t="str">
        <f>IF(AND(N4475="1521",MONTH(C4475)='BK-NL'!$M$11),"x","")</f>
        <v/>
      </c>
      <c r="AE4475"/>
      <c r="AF4475"/>
      <c r="AG4475"/>
    </row>
    <row r="4476" spans="1:33" s="1053" customFormat="1" ht="16.5" customHeight="1">
      <c r="A4476" s="309" t="str">
        <f>IF(B4476&lt;&gt;"",IF(AND(B4476='IN-TC'!$S$4,OR(TH!N4469="1111",TH!O4469="1111")),TH!D4469,""),"")</f>
        <v/>
      </c>
      <c r="B4476" s="1243">
        <f t="shared" si="1324"/>
        <v>7</v>
      </c>
      <c r="C4476" s="292">
        <f t="shared" si="1325"/>
        <v>42926</v>
      </c>
      <c r="D4476" s="59" t="s">
        <v>902</v>
      </c>
      <c r="E4476" s="59">
        <v>42926</v>
      </c>
      <c r="F4476" s="67" t="s">
        <v>898</v>
      </c>
      <c r="G4476" s="62" t="s">
        <v>747</v>
      </c>
      <c r="H4476" s="67" t="s">
        <v>835</v>
      </c>
      <c r="I4476" s="375"/>
      <c r="J4476" s="381"/>
      <c r="K4476" s="375"/>
      <c r="L4476" s="381"/>
      <c r="M4476" s="60">
        <v>1000</v>
      </c>
      <c r="N4476" s="61" t="s">
        <v>9</v>
      </c>
      <c r="O4476" s="61" t="s">
        <v>26</v>
      </c>
      <c r="P4476" s="75" t="str">
        <f>IF(AND('331-CT'!$E$7=TH!H5310,OR(N4476="331",O4476="331")),"x","")</f>
        <v/>
      </c>
      <c r="Q4476" s="75" t="str">
        <f>IF(AND(B4476='111'!$L$11,OR($N4476=$Q$7,$O4476=$Q$7)),"x","")</f>
        <v/>
      </c>
      <c r="R4476" s="75" t="str">
        <f>IF(AND($N4476=$Q$7,$B4476&lt;'111'!$L$11),"x","")</f>
        <v/>
      </c>
      <c r="S4476" s="75" t="str">
        <f>IF(AND($O4476=$Q$7,$B4476&lt;'111'!$L$11),"x","")</f>
        <v/>
      </c>
      <c r="T4476" s="75" t="str">
        <f>IF(ISERROR(FIND('112'!$M$9,G4476,1)),"",IF((AND(FIND('112'!$M$9,G4476,1)&gt;=1,B4476='112'!$K$9,OR($N4476='112'!$I$6,$O4476='112'!$I$6))),"x",""))</f>
        <v/>
      </c>
      <c r="U4476" s="75" t="str">
        <f>IF(ISERROR(FIND('112'!$M$9,G4476,1)),"",IF((AND(LEFT(G4476,2)=LEFT('112'!$M$9,2),B4476&lt;'112'!$K$9,$N4476='112'!$I$6)),"x",""))</f>
        <v/>
      </c>
      <c r="V4476" s="75" t="str">
        <f>IF(ISERROR(FIND('112'!$M$9,G4476,1)),"",IF((AND(RIGHT(G4476,2)=RIGHT('112'!$M$9,2),B4476&lt;'112'!$K$9,$O4476='112'!$I$6)),"x",""))</f>
        <v/>
      </c>
      <c r="W4476" s="75" t="str">
        <f>IF(AND('341-CT'!$H$9=H4476,OR(LEFT(N4476,3)=$W$7,LEFT(O4476,3)=$W$7)),"x","")</f>
        <v/>
      </c>
      <c r="X4476" s="75" t="str">
        <f>IF(OR(TH!N5310=TH!$X$7,O4476=TH!$X$7),"x","")</f>
        <v/>
      </c>
      <c r="Y4476" s="75" t="str">
        <f>IF(AND(OR(N4476="131",O4476="131"),H4476='131-CT'!$H$9),"x","")</f>
        <v/>
      </c>
      <c r="Z4476" s="75"/>
      <c r="AA4476" s="75" t="str">
        <f>IF(AND(MONTH(E4476)='IN-NX'!$J$5,'IN-NX'!$D$7=D4476),"x","")</f>
        <v/>
      </c>
      <c r="AB4476" s="75" t="str">
        <f>IF(AND(OR(LEFT(TH!N5310,2)="15",LEFT(TH!O5310,2)="15"),LEFT(TH!O5310,3)&lt;&gt;"111",'152-CT'!$J$8=TH!F5310),"x","")</f>
        <v/>
      </c>
      <c r="AC4476" s="75" t="str">
        <f>IF(AND(OR(LEFT(TH!N5310,2)="15",LEFT(TH!O5310,2)="15"),TK!$E$7=TH!F5310),"x","")</f>
        <v/>
      </c>
      <c r="AD4476" s="75" t="str">
        <f>IF(AND(N4476="1521",MONTH(C4476)='BK-NL'!$M$11),"x","")</f>
        <v/>
      </c>
      <c r="AE4476">
        <v>7</v>
      </c>
      <c r="AF4476"/>
      <c r="AG4476"/>
    </row>
    <row r="4477" spans="1:33" s="1053" customFormat="1" ht="16.5" customHeight="1">
      <c r="A4477" s="309" t="str">
        <f>IF(B4477&lt;&gt;"",IF(AND(B4477='IN-TC'!$S$4,OR(TH!N4470="1111",TH!O4470="1111")),TH!D4470,""),"")</f>
        <v/>
      </c>
      <c r="B4477" s="1243">
        <f t="shared" si="1324"/>
        <v>7</v>
      </c>
      <c r="C4477" s="292">
        <f t="shared" si="1325"/>
        <v>42926</v>
      </c>
      <c r="D4477" s="292" t="s">
        <v>853</v>
      </c>
      <c r="E4477" s="292">
        <v>42926</v>
      </c>
      <c r="F4477" s="293" t="s">
        <v>834</v>
      </c>
      <c r="G4477" s="943" t="s">
        <v>747</v>
      </c>
      <c r="H4477" s="67" t="s">
        <v>1023</v>
      </c>
      <c r="I4477" s="373"/>
      <c r="J4477" s="926"/>
      <c r="K4477" s="373"/>
      <c r="L4477" s="379"/>
      <c r="M4477" s="927">
        <v>200000000</v>
      </c>
      <c r="N4477" s="295" t="s">
        <v>63</v>
      </c>
      <c r="O4477" s="295" t="s">
        <v>26</v>
      </c>
      <c r="P4477" s="75" t="str">
        <f>IF(AND('331-CT'!$E$7=TH!H5311,OR(N4477="331",O4477="331")),"x","")</f>
        <v/>
      </c>
      <c r="Q4477" s="75" t="str">
        <f>IF(AND(B4477='111'!$L$11,OR($N4477=$Q$7,$O4477=$Q$7)),"x","")</f>
        <v/>
      </c>
      <c r="R4477" s="75" t="str">
        <f>IF(AND($N4477=$Q$7,$B4477&lt;'111'!$L$11),"x","")</f>
        <v>x</v>
      </c>
      <c r="S4477" s="75" t="str">
        <f>IF(AND($O4477=$Q$7,$B4477&lt;'111'!$L$11),"x","")</f>
        <v/>
      </c>
      <c r="T4477" s="75" t="str">
        <f>IF(ISERROR(FIND('112'!$M$9,G4477,1)),"",IF((AND(FIND('112'!$M$9,G4477,1)&gt;=1,B4477='112'!$K$9,OR($N4477='112'!$I$6,$O4477='112'!$I$6))),"x",""))</f>
        <v/>
      </c>
      <c r="U4477" s="75" t="str">
        <f>IF(ISERROR(FIND('112'!$M$9,G4477,1)),"",IF((AND(LEFT(G4477,2)=LEFT('112'!$M$9,2),B4477&lt;'112'!$K$9,$N4477='112'!$I$6)),"x",""))</f>
        <v/>
      </c>
      <c r="V4477" s="75" t="str">
        <f>IF(ISERROR(FIND('112'!$M$9,G4477,1)),"",IF((AND(RIGHT(G4477,2)=RIGHT('112'!$M$9,2),B4477&lt;'112'!$K$9,$O4477='112'!$I$6)),"x",""))</f>
        <v/>
      </c>
      <c r="W4477" s="75" t="str">
        <f>IF(AND('341-CT'!$H$9=H4477,OR(LEFT(N4477,3)=$W$7,LEFT(O4477,3)=$W$7)),"x","")</f>
        <v/>
      </c>
      <c r="X4477" s="75" t="str">
        <f>IF(OR(TH!N5311=TH!$X$7,O4477=TH!$X$7),"x","")</f>
        <v/>
      </c>
      <c r="Y4477" s="75" t="str">
        <f>IF(AND(OR(N4477="131",O4477="131"),H4477='131-CT'!$H$9),"x","")</f>
        <v/>
      </c>
      <c r="Z4477" s="75"/>
      <c r="AA4477" s="75" t="str">
        <f>IF(AND(MONTH(E4477)='IN-NX'!$J$5,'IN-NX'!$D$7=D4477),"x","")</f>
        <v/>
      </c>
      <c r="AB4477" s="75" t="str">
        <f>IF(AND(OR(LEFT(TH!N5311,2)="15",LEFT(TH!O5311,2)="15"),LEFT(TH!O5311,3)&lt;&gt;"111",'152-CT'!$J$8=TH!F5311),"x","")</f>
        <v/>
      </c>
      <c r="AC4477" s="75" t="str">
        <f>IF(AND(OR(LEFT(TH!N5311,2)="15",LEFT(TH!O5311,2)="15"),TK!$E$7=TH!F5311),"x","")</f>
        <v/>
      </c>
      <c r="AD4477" s="75" t="str">
        <f>IF(AND(N4477="1521",MONTH(C4477)='BK-NL'!$M$11),"x","")</f>
        <v/>
      </c>
      <c r="AE4477"/>
      <c r="AF4477"/>
      <c r="AG4477"/>
    </row>
    <row r="4478" spans="1:33" s="1053" customFormat="1" ht="16.5" customHeight="1">
      <c r="A4478" s="309" t="str">
        <f>IF(B4478&lt;&gt;"",IF(AND(B4478='IN-TC'!$S$4,OR(TH!N4471="1111",TH!O4471="1111")),TH!D4471,""),"")</f>
        <v/>
      </c>
      <c r="B4478" s="1243">
        <f t="shared" si="1324"/>
        <v>7</v>
      </c>
      <c r="C4478" s="292">
        <f t="shared" si="1325"/>
        <v>42926</v>
      </c>
      <c r="D4478" s="292" t="s">
        <v>2493</v>
      </c>
      <c r="E4478" s="292">
        <v>42926</v>
      </c>
      <c r="F4478" s="67" t="s">
        <v>885</v>
      </c>
      <c r="G4478" s="943" t="s">
        <v>747</v>
      </c>
      <c r="H4478" s="294" t="s">
        <v>1023</v>
      </c>
      <c r="I4478" s="373"/>
      <c r="J4478" s="926"/>
      <c r="K4478" s="373"/>
      <c r="L4478" s="379"/>
      <c r="M4478" s="927">
        <v>2485000000</v>
      </c>
      <c r="N4478" s="295" t="s">
        <v>26</v>
      </c>
      <c r="O4478" s="295" t="s">
        <v>63</v>
      </c>
      <c r="P4478" s="75" t="str">
        <f>IF(AND('331-CT'!$E$7=TH!H5312,OR(N4478="331",O4478="331")),"x","")</f>
        <v/>
      </c>
      <c r="Q4478" s="75" t="str">
        <f>IF(AND(B4478='111'!$L$11,OR($N4478=$Q$7,$O4478=$Q$7)),"x","")</f>
        <v/>
      </c>
      <c r="R4478" s="75" t="str">
        <f>IF(AND($N4478=$Q$7,$B4478&lt;'111'!$L$11),"x","")</f>
        <v/>
      </c>
      <c r="S4478" s="75" t="str">
        <f>IF(AND($O4478=$Q$7,$B4478&lt;'111'!$L$11),"x","")</f>
        <v>x</v>
      </c>
      <c r="T4478" s="75" t="str">
        <f>IF(ISERROR(FIND('112'!$M$9,G4478,1)),"",IF((AND(FIND('112'!$M$9,G4478,1)&gt;=1,B4478='112'!$K$9,OR($N4478='112'!$I$6,$O4478='112'!$I$6))),"x",""))</f>
        <v/>
      </c>
      <c r="U4478" s="75" t="str">
        <f>IF(ISERROR(FIND('112'!$M$9,G4478,1)),"",IF((AND(LEFT(G4478,2)=LEFT('112'!$M$9,2),B4478&lt;'112'!$K$9,$N4478='112'!$I$6)),"x",""))</f>
        <v/>
      </c>
      <c r="V4478" s="75" t="str">
        <f>IF(ISERROR(FIND('112'!$M$9,G4478,1)),"",IF((AND(RIGHT(G4478,2)=RIGHT('112'!$M$9,2),B4478&lt;'112'!$K$9,$O4478='112'!$I$6)),"x",""))</f>
        <v/>
      </c>
      <c r="W4478" s="75" t="str">
        <f>IF(AND('341-CT'!$H$9=H4478,OR(LEFT(N4478,3)=$W$7,LEFT(O4478,3)=$W$7)),"x","")</f>
        <v/>
      </c>
      <c r="X4478" s="75" t="str">
        <f>IF(OR(TH!N5312=TH!$X$7,O4478=TH!$X$7),"x","")</f>
        <v/>
      </c>
      <c r="Y4478" s="75" t="str">
        <f>IF(AND(OR(N4478="131",O4478="131"),H4478='131-CT'!$H$9),"x","")</f>
        <v/>
      </c>
      <c r="Z4478" s="75"/>
      <c r="AA4478" s="75" t="str">
        <f>IF(AND(MONTH(E4478)='IN-NX'!$J$5,'IN-NX'!$D$7=D4478),"x","")</f>
        <v/>
      </c>
      <c r="AB4478" s="75" t="str">
        <f>IF(AND(OR(LEFT(TH!N5312,2)="15",LEFT(TH!O5312,2)="15"),LEFT(TH!O5312,3)&lt;&gt;"111",'152-CT'!$J$8=TH!F5312),"x","")</f>
        <v/>
      </c>
      <c r="AC4478" s="75" t="str">
        <f>IF(AND(OR(LEFT(TH!N5312,2)="15",LEFT(TH!O5312,2)="15"),TK!$E$7=TH!F5312),"x","")</f>
        <v/>
      </c>
      <c r="AD4478" s="75" t="str">
        <f>IF(AND(N4478="1521",MONTH(C4478)='BK-NL'!$M$11),"x","")</f>
        <v/>
      </c>
      <c r="AE4478"/>
      <c r="AF4478"/>
      <c r="AG4478"/>
    </row>
    <row r="4479" spans="1:33" s="1053" customFormat="1" ht="16.5" customHeight="1">
      <c r="A4479" s="309" t="str">
        <f>IF(B4479&lt;&gt;"",IF(AND(B4479='IN-TC'!$S$4,OR(TH!N4472="1111",TH!O4472="1111")),TH!D4472,""),"")</f>
        <v/>
      </c>
      <c r="B4479" s="1243">
        <f t="shared" si="1324"/>
        <v>7</v>
      </c>
      <c r="C4479" s="292">
        <f t="shared" si="1325"/>
        <v>42927</v>
      </c>
      <c r="D4479" s="59" t="s">
        <v>902</v>
      </c>
      <c r="E4479" s="59">
        <v>42927</v>
      </c>
      <c r="F4479" s="907" t="s">
        <v>1027</v>
      </c>
      <c r="G4479" s="62" t="s">
        <v>747</v>
      </c>
      <c r="H4479" s="67" t="s">
        <v>759</v>
      </c>
      <c r="I4479" s="373"/>
      <c r="J4479" s="379"/>
      <c r="K4479" s="379"/>
      <c r="L4479" s="379"/>
      <c r="M4479" s="379">
        <v>2506900</v>
      </c>
      <c r="N4479" s="61" t="s">
        <v>101</v>
      </c>
      <c r="O4479" s="61" t="s">
        <v>26</v>
      </c>
      <c r="P4479" s="75" t="str">
        <f>IF(AND('331-CT'!$E$7=TH!H5313,OR(N4479="331",O4479="331")),"x","")</f>
        <v/>
      </c>
      <c r="Q4479" s="75" t="str">
        <f>IF(AND(B4479='111'!$L$11,OR($N4479=$Q$7,$O4479=$Q$7)),"x","")</f>
        <v/>
      </c>
      <c r="R4479" s="75" t="str">
        <f>IF(AND($N4479=$Q$7,$B4479&lt;'111'!$L$11),"x","")</f>
        <v/>
      </c>
      <c r="S4479" s="75" t="str">
        <f>IF(AND($O4479=$Q$7,$B4479&lt;'111'!$L$11),"x","")</f>
        <v/>
      </c>
      <c r="T4479" s="75" t="str">
        <f>IF(ISERROR(FIND('112'!$M$9,G4479,1)),"",IF((AND(FIND('112'!$M$9,G4479,1)&gt;=1,B4479='112'!$K$9,OR($N4479='112'!$I$6,$O4479='112'!$I$6))),"x",""))</f>
        <v/>
      </c>
      <c r="U4479" s="75" t="str">
        <f>IF(ISERROR(FIND('112'!$M$9,G4479,1)),"",IF((AND(LEFT(G4479,2)=LEFT('112'!$M$9,2),B4479&lt;'112'!$K$9,$N4479='112'!$I$6)),"x",""))</f>
        <v/>
      </c>
      <c r="V4479" s="75" t="str">
        <f>IF(ISERROR(FIND('112'!$M$9,G4479,1)),"",IF((AND(RIGHT(G4479,2)=RIGHT('112'!$M$9,2),B4479&lt;'112'!$K$9,$O4479='112'!$I$6)),"x",""))</f>
        <v/>
      </c>
      <c r="W4479" s="75" t="str">
        <f>IF(AND('341-CT'!$H$9=H4479,OR(LEFT(N4479,3)=$W$7,LEFT(O4479,3)=$W$7)),"x","")</f>
        <v/>
      </c>
      <c r="X4479" s="75" t="str">
        <f>IF(OR(TH!N5313=TH!$X$7,O4479=TH!$X$7),"x","")</f>
        <v/>
      </c>
      <c r="Y4479" s="75" t="str">
        <f>IF(AND(OR(N4479="131",O4479="131"),H4479='131-CT'!$H$9),"x","")</f>
        <v/>
      </c>
      <c r="Z4479" s="75"/>
      <c r="AA4479" s="75" t="str">
        <f>IF(AND(MONTH(E4479)='IN-NX'!$J$5,'IN-NX'!$D$7=D4479),"x","")</f>
        <v/>
      </c>
      <c r="AB4479" s="75" t="str">
        <f>IF(AND(OR(LEFT(TH!N5313,2)="15",LEFT(TH!O5313,2)="15"),LEFT(TH!O5313,3)&lt;&gt;"111",'152-CT'!$J$8=TH!F5313),"x","")</f>
        <v/>
      </c>
      <c r="AC4479" s="75" t="str">
        <f>IF(AND(OR(LEFT(TH!N5313,2)="15",LEFT(TH!O5313,2)="15"),TK!$E$7=TH!F5313),"x","")</f>
        <v/>
      </c>
      <c r="AD4479" s="75" t="str">
        <f>IF(AND(N4479="1521",MONTH(C4479)='BK-NL'!$M$11),"x","")</f>
        <v/>
      </c>
      <c r="AE4479"/>
      <c r="AF4479"/>
      <c r="AG4479"/>
    </row>
    <row r="4480" spans="1:33" s="1053" customFormat="1" ht="16.5" customHeight="1">
      <c r="A4480" s="309" t="str">
        <f>IF(B4480&lt;&gt;"",IF(AND(B4480='IN-TC'!$S$4,OR(TH!N4473="1111",TH!O4473="1111")),TH!D4473,""),"")</f>
        <v/>
      </c>
      <c r="B4480" s="1243">
        <f t="shared" si="1324"/>
        <v>7</v>
      </c>
      <c r="C4480" s="292">
        <f t="shared" si="1325"/>
        <v>42928</v>
      </c>
      <c r="D4480" s="292"/>
      <c r="E4480" s="292">
        <v>42928</v>
      </c>
      <c r="F4480" s="67" t="s">
        <v>1820</v>
      </c>
      <c r="G4480" s="925" t="s">
        <v>1819</v>
      </c>
      <c r="H4480" s="294" t="s">
        <v>1822</v>
      </c>
      <c r="I4480" s="373"/>
      <c r="J4480" s="926"/>
      <c r="K4480" s="373"/>
      <c r="L4480" s="379"/>
      <c r="M4480" s="927">
        <v>800000</v>
      </c>
      <c r="N4480" s="295" t="s">
        <v>101</v>
      </c>
      <c r="O4480" s="295" t="s">
        <v>63</v>
      </c>
      <c r="P4480" s="75" t="str">
        <f>IF(AND('331-CT'!$E$7=TH!H3763,OR(N4480="331",O4480="331")),"x","")</f>
        <v/>
      </c>
      <c r="Q4480" s="75" t="str">
        <f>IF(AND(B4480='111'!$L$11,OR($N4480=$Q$7,$O4480=$Q$7)),"x","")</f>
        <v/>
      </c>
      <c r="R4480" s="75" t="str">
        <f>IF(AND($N4480=$Q$7,$B4480&lt;'111'!$L$11),"x","")</f>
        <v/>
      </c>
      <c r="S4480" s="75" t="str">
        <f>IF(AND($O4480=$Q$7,$B4480&lt;'111'!$L$11),"x","")</f>
        <v>x</v>
      </c>
      <c r="T4480" s="75" t="str">
        <f>IF(ISERROR(FIND('112'!$M$9,G4480,1)),"",IF((AND(FIND('112'!$M$9,G4480,1)&gt;=1,B4480='112'!$K$9,OR($N4480='112'!$I$6,$O4480='112'!$I$6))),"x",""))</f>
        <v/>
      </c>
      <c r="U4480" s="75" t="str">
        <f>IF(ISERROR(FIND('112'!$M$9,G4480,1)),"",IF((AND(LEFT(G4480,2)=LEFT('112'!$M$9,2),B4480&lt;'112'!$K$9,$N4480='112'!$I$6)),"x",""))</f>
        <v/>
      </c>
      <c r="V4480" s="75" t="str">
        <f>IF(ISERROR(FIND('112'!$M$9,G4480,1)),"",IF((AND(RIGHT(G4480,2)=RIGHT('112'!$M$9,2),B4480&lt;'112'!$K$9,$O4480='112'!$I$6)),"x",""))</f>
        <v/>
      </c>
      <c r="W4480" s="75" t="str">
        <f>IF(AND('341-CT'!$H$9=H4480,OR(LEFT(N4480,3)=$W$7,LEFT(O4480,3)=$W$7)),"x","")</f>
        <v/>
      </c>
      <c r="X4480" s="75" t="str">
        <f>IF(OR(TH!N3763=TH!$X$7,O4480=TH!$X$7),"x","")</f>
        <v/>
      </c>
      <c r="Y4480" s="75" t="str">
        <f>IF(AND(OR(N4480="131",O4480="131"),H4480='131-CT'!$H$9),"x","")</f>
        <v/>
      </c>
      <c r="Z4480" s="75"/>
      <c r="AA4480" s="75" t="str">
        <f>IF(AND(MONTH(E4480)='IN-NX'!$J$5,'IN-NX'!$D$7=D4480),"x","")</f>
        <v/>
      </c>
      <c r="AB4480" s="75" t="str">
        <f>IF(AND(OR(LEFT(TH!N3763,2)="15",LEFT(TH!O3763,2)="15"),LEFT(TH!O3763,3)&lt;&gt;"111",'152-CT'!$J$8=TH!F3763),"x","")</f>
        <v/>
      </c>
      <c r="AC4480" s="75" t="str">
        <f>IF(AND(OR(LEFT(TH!N3763,2)="15",LEFT(TH!O3763,2)="15"),TK!$E$7=TH!F3763),"x","")</f>
        <v/>
      </c>
      <c r="AD4480" s="75" t="str">
        <f>IF(AND(N4480="1521",MONTH(C4480)='BK-NL'!$M$11),"x","")</f>
        <v/>
      </c>
      <c r="AE4480"/>
      <c r="AF4480"/>
      <c r="AG4480"/>
    </row>
    <row r="4481" spans="1:33" s="1053" customFormat="1" ht="16.5" customHeight="1">
      <c r="A4481" s="309" t="str">
        <f>IF(B4481&lt;&gt;"",IF(AND(B4481='IN-TC'!$S$4,OR(TH!N4474="1111",TH!O4474="1111")),TH!D4474,""),"")</f>
        <v/>
      </c>
      <c r="B4481" s="1243">
        <f t="shared" si="1324"/>
        <v>7</v>
      </c>
      <c r="C4481" s="292">
        <f t="shared" si="1325"/>
        <v>42928</v>
      </c>
      <c r="D4481" s="292"/>
      <c r="E4481" s="292">
        <v>42928</v>
      </c>
      <c r="F4481" s="67" t="s">
        <v>1820</v>
      </c>
      <c r="G4481" s="925" t="s">
        <v>1823</v>
      </c>
      <c r="H4481" s="294" t="s">
        <v>1822</v>
      </c>
      <c r="I4481" s="373"/>
      <c r="J4481" s="926"/>
      <c r="K4481" s="373"/>
      <c r="L4481" s="379"/>
      <c r="M4481" s="927">
        <v>11012550</v>
      </c>
      <c r="N4481" s="295" t="s">
        <v>101</v>
      </c>
      <c r="O4481" s="295" t="s">
        <v>63</v>
      </c>
      <c r="P4481" s="75" t="str">
        <f>IF(AND('331-CT'!$E$7=TH!H3764,OR(N4481="331",O4481="331")),"x","")</f>
        <v/>
      </c>
      <c r="Q4481" s="75" t="str">
        <f>IF(AND(B4481='111'!$L$11,OR($N4481=$Q$7,$O4481=$Q$7)),"x","")</f>
        <v/>
      </c>
      <c r="R4481" s="75" t="str">
        <f>IF(AND($N4481=$Q$7,$B4481&lt;'111'!$L$11),"x","")</f>
        <v/>
      </c>
      <c r="S4481" s="75" t="str">
        <f>IF(AND($O4481=$Q$7,$B4481&lt;'111'!$L$11),"x","")</f>
        <v>x</v>
      </c>
      <c r="T4481" s="75" t="str">
        <f>IF(ISERROR(FIND('112'!$M$9,G4481,1)),"",IF((AND(FIND('112'!$M$9,G4481,1)&gt;=1,B4481='112'!$K$9,OR($N4481='112'!$I$6,$O4481='112'!$I$6))),"x",""))</f>
        <v/>
      </c>
      <c r="U4481" s="75" t="str">
        <f>IF(ISERROR(FIND('112'!$M$9,G4481,1)),"",IF((AND(LEFT(G4481,2)=LEFT('112'!$M$9,2),B4481&lt;'112'!$K$9,$N4481='112'!$I$6)),"x",""))</f>
        <v/>
      </c>
      <c r="V4481" s="75" t="str">
        <f>IF(ISERROR(FIND('112'!$M$9,G4481,1)),"",IF((AND(RIGHT(G4481,2)=RIGHT('112'!$M$9,2),B4481&lt;'112'!$K$9,$O4481='112'!$I$6)),"x",""))</f>
        <v/>
      </c>
      <c r="W4481" s="75" t="str">
        <f>IF(AND('341-CT'!$H$9=H4481,OR(LEFT(N4481,3)=$W$7,LEFT(O4481,3)=$W$7)),"x","")</f>
        <v/>
      </c>
      <c r="X4481" s="75" t="str">
        <f>IF(OR(TH!N3764=TH!$X$7,O4481=TH!$X$7),"x","")</f>
        <v/>
      </c>
      <c r="Y4481" s="75" t="str">
        <f>IF(AND(OR(N4481="131",O4481="131"),H4481='131-CT'!$H$9),"x","")</f>
        <v/>
      </c>
      <c r="Z4481" s="75"/>
      <c r="AA4481" s="75" t="str">
        <f>IF(AND(MONTH(E4481)='IN-NX'!$J$5,'IN-NX'!$D$7=D4481),"x","")</f>
        <v/>
      </c>
      <c r="AB4481" s="75" t="str">
        <f>IF(AND(OR(LEFT(TH!N3764,2)="15",LEFT(TH!O3764,2)="15"),LEFT(TH!O3764,3)&lt;&gt;"111",'152-CT'!$J$8=TH!F3764),"x","")</f>
        <v/>
      </c>
      <c r="AC4481" s="75" t="str">
        <f>IF(AND(OR(LEFT(TH!N3764,2)="15",LEFT(TH!O3764,2)="15"),TK!$E$7=TH!F3764),"x","")</f>
        <v/>
      </c>
      <c r="AD4481" s="75" t="str">
        <f>IF(AND(N4481="1521",MONTH(C4481)='BK-NL'!$M$11),"x","")</f>
        <v/>
      </c>
      <c r="AE4481"/>
      <c r="AF4481"/>
      <c r="AG4481"/>
    </row>
    <row r="4482" spans="1:33" s="1053" customFormat="1" ht="16.5" customHeight="1">
      <c r="A4482" s="309" t="str">
        <f>IF(B4482&lt;&gt;"",IF(AND(B4482='IN-TC'!$S$4,OR(TH!N4475="1111",TH!O4475="1111")),TH!D4475,""),"")</f>
        <v/>
      </c>
      <c r="B4482" s="1243">
        <f t="shared" si="1324"/>
        <v>7</v>
      </c>
      <c r="C4482" s="292">
        <f t="shared" si="1325"/>
        <v>42928</v>
      </c>
      <c r="D4482" s="292"/>
      <c r="E4482" s="292">
        <v>42928</v>
      </c>
      <c r="F4482" s="67" t="s">
        <v>1821</v>
      </c>
      <c r="G4482" s="925" t="s">
        <v>1823</v>
      </c>
      <c r="H4482" s="294" t="s">
        <v>1822</v>
      </c>
      <c r="I4482" s="373"/>
      <c r="J4482" s="926"/>
      <c r="K4482" s="373"/>
      <c r="L4482" s="379"/>
      <c r="M4482" s="927">
        <v>1101255</v>
      </c>
      <c r="N4482" s="295" t="s">
        <v>9</v>
      </c>
      <c r="O4482" s="295" t="s">
        <v>63</v>
      </c>
      <c r="P4482" s="75" t="str">
        <f>IF(AND('331-CT'!$E$7=TH!H3765,OR(N4482="331",O4482="331")),"x","")</f>
        <v/>
      </c>
      <c r="Q4482" s="75" t="str">
        <f>IF(AND(B4482='111'!$L$11,OR($N4482=$Q$7,$O4482=$Q$7)),"x","")</f>
        <v/>
      </c>
      <c r="R4482" s="75" t="str">
        <f>IF(AND($N4482=$Q$7,$B4482&lt;'111'!$L$11),"x","")</f>
        <v/>
      </c>
      <c r="S4482" s="75" t="str">
        <f>IF(AND($O4482=$Q$7,$B4482&lt;'111'!$L$11),"x","")</f>
        <v>x</v>
      </c>
      <c r="T4482" s="75" t="str">
        <f>IF(ISERROR(FIND('112'!$M$9,G4482,1)),"",IF((AND(FIND('112'!$M$9,G4482,1)&gt;=1,B4482='112'!$K$9,OR($N4482='112'!$I$6,$O4482='112'!$I$6))),"x",""))</f>
        <v/>
      </c>
      <c r="U4482" s="75" t="str">
        <f>IF(ISERROR(FIND('112'!$M$9,G4482,1)),"",IF((AND(LEFT(G4482,2)=LEFT('112'!$M$9,2),B4482&lt;'112'!$K$9,$N4482='112'!$I$6)),"x",""))</f>
        <v/>
      </c>
      <c r="V4482" s="75" t="str">
        <f>IF(ISERROR(FIND('112'!$M$9,G4482,1)),"",IF((AND(RIGHT(G4482,2)=RIGHT('112'!$M$9,2),B4482&lt;'112'!$K$9,$O4482='112'!$I$6)),"x",""))</f>
        <v/>
      </c>
      <c r="W4482" s="75" t="str">
        <f>IF(AND('341-CT'!$H$9=H4482,OR(LEFT(N4482,3)=$W$7,LEFT(O4482,3)=$W$7)),"x","")</f>
        <v/>
      </c>
      <c r="X4482" s="75" t="str">
        <f>IF(OR(TH!N3765=TH!$X$7,O4482=TH!$X$7),"x","")</f>
        <v/>
      </c>
      <c r="Y4482" s="75" t="str">
        <f>IF(AND(OR(N4482="131",O4482="131"),H4482='131-CT'!$H$9),"x","")</f>
        <v/>
      </c>
      <c r="Z4482" s="75"/>
      <c r="AA4482" s="75" t="str">
        <f>IF(AND(MONTH(E4482)='IN-NX'!$J$5,'IN-NX'!$D$7=D4482),"x","")</f>
        <v/>
      </c>
      <c r="AB4482" s="75" t="str">
        <f>IF(AND(OR(LEFT(TH!N3765,2)="15",LEFT(TH!O3765,2)="15"),LEFT(TH!O3765,3)&lt;&gt;"111",'152-CT'!$J$8=TH!F3765),"x","")</f>
        <v/>
      </c>
      <c r="AC4482" s="75" t="str">
        <f>IF(AND(OR(LEFT(TH!N3765,2)="15",LEFT(TH!O3765,2)="15"),TK!$E$7=TH!F3765),"x","")</f>
        <v/>
      </c>
      <c r="AD4482" s="75" t="str">
        <f>IF(AND(N4482="1521",MONTH(C4482)='BK-NL'!$M$11),"x","")</f>
        <v/>
      </c>
      <c r="AE4482">
        <v>7</v>
      </c>
      <c r="AF4482"/>
      <c r="AG4482"/>
    </row>
    <row r="4483" spans="1:33" s="1053" customFormat="1" ht="16.5" customHeight="1">
      <c r="A4483" s="309" t="str">
        <f>IF(B4483&lt;&gt;"",IF(AND(B4483='IN-TC'!$S$4,OR(TH!N4476="1111",TH!O4476="1111")),TH!D4476,""),"")</f>
        <v/>
      </c>
      <c r="B4483" s="1243">
        <f t="shared" si="1324"/>
        <v>7</v>
      </c>
      <c r="C4483" s="292">
        <f t="shared" si="1325"/>
        <v>42928</v>
      </c>
      <c r="D4483" s="59" t="s">
        <v>903</v>
      </c>
      <c r="E4483" s="59">
        <v>42928</v>
      </c>
      <c r="F4483" s="293" t="s">
        <v>2461</v>
      </c>
      <c r="G4483" s="62" t="s">
        <v>747</v>
      </c>
      <c r="H4483" s="67" t="s">
        <v>2460</v>
      </c>
      <c r="I4483" s="373"/>
      <c r="J4483" s="379"/>
      <c r="K4483" s="373">
        <v>60800</v>
      </c>
      <c r="L4483" s="379">
        <v>22715</v>
      </c>
      <c r="M4483" s="60">
        <v>1381072000</v>
      </c>
      <c r="N4483" s="61" t="s">
        <v>26</v>
      </c>
      <c r="O4483" s="61" t="s">
        <v>250</v>
      </c>
      <c r="P4483" s="75" t="str">
        <f>IF(AND('331-CT'!$E$7=TH!H5314,OR(N4483="331",O4483="331")),"x","")</f>
        <v/>
      </c>
      <c r="Q4483" s="75" t="str">
        <f>IF(AND(B4483='111'!$L$11,OR($N4483=$Q$7,$O4483=$Q$7)),"x","")</f>
        <v/>
      </c>
      <c r="R4483" s="75" t="str">
        <f>IF(AND($N4483=$Q$7,$B4483&lt;'111'!$L$11),"x","")</f>
        <v/>
      </c>
      <c r="S4483" s="75" t="str">
        <f>IF(AND($O4483=$Q$7,$B4483&lt;'111'!$L$11),"x","")</f>
        <v/>
      </c>
      <c r="T4483" s="75" t="str">
        <f>IF(ISERROR(FIND('112'!$M$9,G4483,1)),"",IF((AND(FIND('112'!$M$9,G4483,1)&gt;=1,B4483='112'!$K$9,OR($N4483='112'!$I$6,$O4483='112'!$I$6))),"x",""))</f>
        <v/>
      </c>
      <c r="U4483" s="75" t="str">
        <f>IF(ISERROR(FIND('112'!$M$9,G4483,1)),"",IF((AND(LEFT(G4483,2)=LEFT('112'!$M$9,2),B4483&lt;'112'!$K$9,$N4483='112'!$I$6)),"x",""))</f>
        <v/>
      </c>
      <c r="V4483" s="75" t="str">
        <f>IF(ISERROR(FIND('112'!$M$9,G4483,1)),"",IF((AND(RIGHT(G4483,2)=RIGHT('112'!$M$9,2),B4483&lt;'112'!$K$9,$O4483='112'!$I$6)),"x",""))</f>
        <v/>
      </c>
      <c r="W4483" s="75" t="str">
        <f>IF(AND('341-CT'!$H$9=H4483,OR(LEFT(N4483,3)=$W$7,LEFT(O4483,3)=$W$7)),"x","")</f>
        <v/>
      </c>
      <c r="X4483" s="75" t="str">
        <f>IF(OR(TH!N5314=TH!$X$7,O4483=TH!$X$7),"x","")</f>
        <v/>
      </c>
      <c r="Y4483" s="75" t="str">
        <f>IF(AND(OR(N4483="131",O4483="131"),H4483='131-CT'!$H$9),"x","")</f>
        <v/>
      </c>
      <c r="Z4483" s="75"/>
      <c r="AA4483" s="75" t="str">
        <f>IF(AND(MONTH(E4483)='IN-NX'!$J$5,'IN-NX'!$D$7=D4483),"x","")</f>
        <v/>
      </c>
      <c r="AB4483" s="75" t="str">
        <f>IF(AND(OR(LEFT(TH!N5314,2)="15",LEFT(TH!O5314,2)="15"),LEFT(TH!O5314,3)&lt;&gt;"111",'152-CT'!$J$8=TH!F5314),"x","")</f>
        <v/>
      </c>
      <c r="AC4483" s="75" t="str">
        <f>IF(AND(OR(LEFT(TH!N5314,2)="15",LEFT(TH!O5314,2)="15"),TK!$E$7=TH!F5314),"x","")</f>
        <v/>
      </c>
      <c r="AD4483" s="75" t="str">
        <f>IF(AND(N4483="1521",MONTH(C4483)='BK-NL'!$M$11),"x","")</f>
        <v/>
      </c>
      <c r="AE4483"/>
      <c r="AF4483"/>
      <c r="AG4483"/>
    </row>
    <row r="4484" spans="1:33" s="1053" customFormat="1" ht="16.5" customHeight="1">
      <c r="A4484" s="309" t="str">
        <f>IF(B4484&lt;&gt;"",IF(AND(B4484='IN-TC'!$S$4,OR(TH!N4477="1111",TH!O4477="1111")),TH!D4477,""),"")</f>
        <v/>
      </c>
      <c r="B4484" s="1243">
        <f t="shared" si="1324"/>
        <v>7</v>
      </c>
      <c r="C4484" s="292">
        <f t="shared" si="1325"/>
        <v>42929</v>
      </c>
      <c r="D4484" s="59" t="s">
        <v>902</v>
      </c>
      <c r="E4484" s="59">
        <v>42929</v>
      </c>
      <c r="F4484" s="67" t="s">
        <v>1549</v>
      </c>
      <c r="G4484" s="62" t="s">
        <v>747</v>
      </c>
      <c r="H4484" s="67" t="s">
        <v>835</v>
      </c>
      <c r="I4484" s="373"/>
      <c r="J4484" s="379"/>
      <c r="K4484" s="379"/>
      <c r="L4484" s="379"/>
      <c r="M4484" s="379">
        <v>227700</v>
      </c>
      <c r="N4484" s="61" t="s">
        <v>101</v>
      </c>
      <c r="O4484" s="61" t="s">
        <v>26</v>
      </c>
      <c r="P4484" s="75" t="str">
        <f>IF(AND('331-CT'!$E$7=TH!H5315,OR(N4484="331",O4484="331")),"x","")</f>
        <v/>
      </c>
      <c r="Q4484" s="75" t="str">
        <f>IF(AND(B4484='111'!$L$11,OR($N4484=$Q$7,$O4484=$Q$7)),"x","")</f>
        <v/>
      </c>
      <c r="R4484" s="75" t="str">
        <f>IF(AND($N4484=$Q$7,$B4484&lt;'111'!$L$11),"x","")</f>
        <v/>
      </c>
      <c r="S4484" s="75" t="str">
        <f>IF(AND($O4484=$Q$7,$B4484&lt;'111'!$L$11),"x","")</f>
        <v/>
      </c>
      <c r="T4484" s="75" t="str">
        <f>IF(ISERROR(FIND('112'!$M$9,G4484,1)),"",IF((AND(FIND('112'!$M$9,G4484,1)&gt;=1,B4484='112'!$K$9,OR($N4484='112'!$I$6,$O4484='112'!$I$6))),"x",""))</f>
        <v/>
      </c>
      <c r="U4484" s="75" t="str">
        <f>IF(ISERROR(FIND('112'!$M$9,G4484,1)),"",IF((AND(LEFT(G4484,2)=LEFT('112'!$M$9,2),B4484&lt;'112'!$K$9,$N4484='112'!$I$6)),"x",""))</f>
        <v/>
      </c>
      <c r="V4484" s="75" t="str">
        <f>IF(ISERROR(FIND('112'!$M$9,G4484,1)),"",IF((AND(RIGHT(G4484,2)=RIGHT('112'!$M$9,2),B4484&lt;'112'!$K$9,$O4484='112'!$I$6)),"x",""))</f>
        <v/>
      </c>
      <c r="W4484" s="75" t="str">
        <f>IF(AND('341-CT'!$H$9=H4484,OR(LEFT(N4484,3)=$W$7,LEFT(O4484,3)=$W$7)),"x","")</f>
        <v/>
      </c>
      <c r="X4484" s="75" t="str">
        <f>IF(OR(TH!N5315=TH!$X$7,O4484=TH!$X$7),"x","")</f>
        <v/>
      </c>
      <c r="Y4484" s="75" t="str">
        <f>IF(AND(OR(N4484="131",O4484="131"),H4484='131-CT'!$H$9),"x","")</f>
        <v/>
      </c>
      <c r="Z4484" s="75"/>
      <c r="AA4484" s="75" t="str">
        <f>IF(AND(MONTH(E4484)='IN-NX'!$J$5,'IN-NX'!$D$7=D4484),"x","")</f>
        <v/>
      </c>
      <c r="AB4484" s="75" t="str">
        <f>IF(AND(OR(LEFT(TH!N5315,2)="15",LEFT(TH!O5315,2)="15"),LEFT(TH!O5315,3)&lt;&gt;"111",'152-CT'!$J$8=TH!F5315),"x","")</f>
        <v/>
      </c>
      <c r="AC4484" s="75" t="str">
        <f>IF(AND(OR(LEFT(TH!N5315,2)="15",LEFT(TH!O5315,2)="15"),TK!$E$7=TH!F5315),"x","")</f>
        <v/>
      </c>
      <c r="AD4484" s="75" t="str">
        <f>IF(AND(N4484="1521",MONTH(C4484)='BK-NL'!$M$11),"x","")</f>
        <v/>
      </c>
      <c r="AE4484"/>
      <c r="AF4484"/>
      <c r="AG4484"/>
    </row>
    <row r="4485" spans="1:33" s="1053" customFormat="1" ht="16.5" customHeight="1">
      <c r="A4485" s="309" t="str">
        <f>IF(B4485&lt;&gt;"",IF(AND(B4485='IN-TC'!$S$4,OR(TH!N4478="1111",TH!O4478="1111")),TH!D4478,""),"")</f>
        <v/>
      </c>
      <c r="B4485" s="1243">
        <f t="shared" si="1324"/>
        <v>7</v>
      </c>
      <c r="C4485" s="292">
        <f t="shared" si="1325"/>
        <v>42929</v>
      </c>
      <c r="D4485" s="59" t="s">
        <v>902</v>
      </c>
      <c r="E4485" s="59">
        <v>42929</v>
      </c>
      <c r="F4485" s="67" t="s">
        <v>1307</v>
      </c>
      <c r="G4485" s="62" t="s">
        <v>747</v>
      </c>
      <c r="H4485" s="67" t="s">
        <v>1548</v>
      </c>
      <c r="I4485" s="373"/>
      <c r="J4485" s="379"/>
      <c r="K4485" s="373"/>
      <c r="L4485" s="379"/>
      <c r="M4485" s="60">
        <v>1321000</v>
      </c>
      <c r="N4485" s="61" t="s">
        <v>101</v>
      </c>
      <c r="O4485" s="61" t="s">
        <v>26</v>
      </c>
      <c r="P4485" s="75" t="str">
        <f>IF(AND('331-CT'!$E$7=TH!H5316,OR(N4485="331",O4485="331")),"x","")</f>
        <v/>
      </c>
      <c r="Q4485" s="75" t="str">
        <f>IF(AND(B4485='111'!$L$11,OR($N4485=$Q$7,$O4485=$Q$7)),"x","")</f>
        <v/>
      </c>
      <c r="R4485" s="75" t="str">
        <f>IF(AND($N4485=$Q$7,$B4485&lt;'111'!$L$11),"x","")</f>
        <v/>
      </c>
      <c r="S4485" s="75" t="str">
        <f>IF(AND($O4485=$Q$7,$B4485&lt;'111'!$L$11),"x","")</f>
        <v/>
      </c>
      <c r="T4485" s="75" t="str">
        <f>IF(ISERROR(FIND('112'!$M$9,G4485,1)),"",IF((AND(FIND('112'!$M$9,G4485,1)&gt;=1,B4485='112'!$K$9,OR($N4485='112'!$I$6,$O4485='112'!$I$6))),"x",""))</f>
        <v/>
      </c>
      <c r="U4485" s="75" t="str">
        <f>IF(ISERROR(FIND('112'!$M$9,G4485,1)),"",IF((AND(LEFT(G4485,2)=LEFT('112'!$M$9,2),B4485&lt;'112'!$K$9,$N4485='112'!$I$6)),"x",""))</f>
        <v/>
      </c>
      <c r="V4485" s="75" t="str">
        <f>IF(ISERROR(FIND('112'!$M$9,G4485,1)),"",IF((AND(RIGHT(G4485,2)=RIGHT('112'!$M$9,2),B4485&lt;'112'!$K$9,$O4485='112'!$I$6)),"x",""))</f>
        <v/>
      </c>
      <c r="W4485" s="75" t="str">
        <f>IF(AND('341-CT'!$H$9=H4485,OR(LEFT(N4485,3)=$W$7,LEFT(O4485,3)=$W$7)),"x","")</f>
        <v/>
      </c>
      <c r="X4485" s="75" t="str">
        <f>IF(OR(TH!N5316=TH!$X$7,O4485=TH!$X$7),"x","")</f>
        <v/>
      </c>
      <c r="Y4485" s="75" t="str">
        <f>IF(AND(OR(N4485="131",O4485="131"),H4485='131-CT'!$H$9),"x","")</f>
        <v/>
      </c>
      <c r="Z4485" s="75"/>
      <c r="AA4485" s="75" t="str">
        <f>IF(AND(MONTH(E4485)='IN-NX'!$J$5,'IN-NX'!$D$7=D4485),"x","")</f>
        <v/>
      </c>
      <c r="AB4485" s="75" t="str">
        <f>IF(AND(OR(LEFT(TH!N5316,2)="15",LEFT(TH!O5316,2)="15"),LEFT(TH!O5316,3)&lt;&gt;"111",'152-CT'!$J$8=TH!F5316),"x","")</f>
        <v/>
      </c>
      <c r="AC4485" s="75" t="str">
        <f>IF(AND(OR(LEFT(TH!N5316,2)="15",LEFT(TH!O5316,2)="15"),TK!$E$7=TH!F5316),"x","")</f>
        <v/>
      </c>
      <c r="AD4485" s="75" t="str">
        <f>IF(AND(N4485="1521",MONTH(C4485)='BK-NL'!$M$11),"x","")</f>
        <v/>
      </c>
      <c r="AE4485"/>
      <c r="AF4485"/>
      <c r="AG4485"/>
    </row>
    <row r="4486" spans="1:33" s="1053" customFormat="1" ht="16.5" customHeight="1">
      <c r="A4486" s="309" t="str">
        <f>IF(B4486&lt;&gt;"",IF(AND(B4486='IN-TC'!$S$4,OR(TH!N4479="1111",TH!O4479="1111")),TH!D4479,""),"")</f>
        <v/>
      </c>
      <c r="B4486" s="1243">
        <f t="shared" si="1324"/>
        <v>7</v>
      </c>
      <c r="C4486" s="292">
        <f t="shared" si="1325"/>
        <v>42929</v>
      </c>
      <c r="D4486" s="292" t="s">
        <v>854</v>
      </c>
      <c r="E4486" s="292">
        <v>42929</v>
      </c>
      <c r="F4486" s="293" t="s">
        <v>834</v>
      </c>
      <c r="G4486" s="943" t="s">
        <v>747</v>
      </c>
      <c r="H4486" s="67" t="s">
        <v>1023</v>
      </c>
      <c r="I4486" s="373"/>
      <c r="J4486" s="926"/>
      <c r="K4486" s="373"/>
      <c r="L4486" s="379"/>
      <c r="M4486" s="927">
        <v>1380000000</v>
      </c>
      <c r="N4486" s="295" t="s">
        <v>63</v>
      </c>
      <c r="O4486" s="295" t="s">
        <v>26</v>
      </c>
      <c r="P4486" s="75" t="str">
        <f>IF(AND('331-CT'!$E$7=TH!H5317,OR(N4486="331",O4486="331")),"x","")</f>
        <v/>
      </c>
      <c r="Q4486" s="75" t="str">
        <f>IF(AND(B4486='111'!$L$11,OR($N4486=$Q$7,$O4486=$Q$7)),"x","")</f>
        <v/>
      </c>
      <c r="R4486" s="75" t="str">
        <f>IF(AND($N4486=$Q$7,$B4486&lt;'111'!$L$11),"x","")</f>
        <v>x</v>
      </c>
      <c r="S4486" s="75" t="str">
        <f>IF(AND($O4486=$Q$7,$B4486&lt;'111'!$L$11),"x","")</f>
        <v/>
      </c>
      <c r="T4486" s="75" t="str">
        <f>IF(ISERROR(FIND('112'!$M$9,G4486,1)),"",IF((AND(FIND('112'!$M$9,G4486,1)&gt;=1,B4486='112'!$K$9,OR($N4486='112'!$I$6,$O4486='112'!$I$6))),"x",""))</f>
        <v/>
      </c>
      <c r="U4486" s="75" t="str">
        <f>IF(ISERROR(FIND('112'!$M$9,G4486,1)),"",IF((AND(LEFT(G4486,2)=LEFT('112'!$M$9,2),B4486&lt;'112'!$K$9,$N4486='112'!$I$6)),"x",""))</f>
        <v/>
      </c>
      <c r="V4486" s="75" t="str">
        <f>IF(ISERROR(FIND('112'!$M$9,G4486,1)),"",IF((AND(RIGHT(G4486,2)=RIGHT('112'!$M$9,2),B4486&lt;'112'!$K$9,$O4486='112'!$I$6)),"x",""))</f>
        <v/>
      </c>
      <c r="W4486" s="75" t="str">
        <f>IF(AND('341-CT'!$H$9=H4486,OR(LEFT(N4486,3)=$W$7,LEFT(O4486,3)=$W$7)),"x","")</f>
        <v/>
      </c>
      <c r="X4486" s="75" t="str">
        <f>IF(OR(TH!N5317=TH!$X$7,O4486=TH!$X$7),"x","")</f>
        <v/>
      </c>
      <c r="Y4486" s="75" t="str">
        <f>IF(AND(OR(N4486="131",O4486="131"),H4486='131-CT'!$H$9),"x","")</f>
        <v/>
      </c>
      <c r="Z4486" s="75"/>
      <c r="AA4486" s="75" t="str">
        <f>IF(AND(MONTH(E4486)='IN-NX'!$J$5,'IN-NX'!$D$7=D4486),"x","")</f>
        <v/>
      </c>
      <c r="AB4486" s="75" t="str">
        <f>IF(AND(OR(LEFT(TH!N5317,2)="15",LEFT(TH!O5317,2)="15"),LEFT(TH!O5317,3)&lt;&gt;"111",'152-CT'!$J$8=TH!F5317),"x","")</f>
        <v/>
      </c>
      <c r="AC4486" s="75" t="str">
        <f>IF(AND(OR(LEFT(TH!N5317,2)="15",LEFT(TH!O5317,2)="15"),TK!$E$7=TH!F5317),"x","")</f>
        <v/>
      </c>
      <c r="AD4486" s="75" t="str">
        <f>IF(AND(N4486="1521",MONTH(C4486)='BK-NL'!$M$11),"x","")</f>
        <v/>
      </c>
      <c r="AE4486"/>
      <c r="AF4486"/>
      <c r="AG4486"/>
    </row>
    <row r="4487" spans="1:33" s="1053" customFormat="1" ht="16.5" customHeight="1">
      <c r="A4487" s="309" t="str">
        <f>IF(B4487&lt;&gt;"",IF(AND(B4487='IN-TC'!$S$4,OR(TH!N4480="1111",TH!O4480="1111")),TH!D4480,""),"")</f>
        <v/>
      </c>
      <c r="B4487" s="1243">
        <f t="shared" si="1324"/>
        <v>7</v>
      </c>
      <c r="C4487" s="292">
        <f t="shared" si="1325"/>
        <v>42930</v>
      </c>
      <c r="D4487" s="292"/>
      <c r="E4487" s="292">
        <v>42930</v>
      </c>
      <c r="F4487" s="1010" t="s">
        <v>1881</v>
      </c>
      <c r="G4487" s="925"/>
      <c r="H4487" s="311" t="s">
        <v>1893</v>
      </c>
      <c r="I4487" s="373"/>
      <c r="J4487" s="926"/>
      <c r="K4487" s="373"/>
      <c r="L4487" s="379"/>
      <c r="M4487" s="927">
        <v>1491262500</v>
      </c>
      <c r="N4487" s="295" t="s">
        <v>8</v>
      </c>
      <c r="O4487" s="295" t="s">
        <v>63</v>
      </c>
      <c r="P4487" s="75" t="str">
        <f>IF(AND('331-CT'!$E$7=TH!H4282,OR(N4487="331",O4487="331")),"x","")</f>
        <v/>
      </c>
      <c r="Q4487" s="75" t="str">
        <f>IF(AND(B4487='111'!$L$11,OR($N4487=$Q$7,$O4487=$Q$7)),"x","")</f>
        <v/>
      </c>
      <c r="R4487" s="75" t="str">
        <f>IF(AND($N4487=$Q$7,$B4487&lt;'111'!$L$11),"x","")</f>
        <v/>
      </c>
      <c r="S4487" s="75" t="str">
        <f>IF(AND($O4487=$Q$7,$B4487&lt;'111'!$L$11),"x","")</f>
        <v>x</v>
      </c>
      <c r="T4487" s="75" t="str">
        <f>IF(ISERROR(FIND('112'!$M$9,G4487,1)),"",IF((AND(FIND('112'!$M$9,G4487,1)&gt;=1,B4487='112'!$K$9,OR($N4487='112'!$I$6,$O4487='112'!$I$6))),"x",""))</f>
        <v/>
      </c>
      <c r="U4487" s="75" t="str">
        <f>IF(ISERROR(FIND('112'!$M$9,G4487,1)),"",IF((AND(LEFT(G4487,2)=LEFT('112'!$M$9,2),B4487&lt;'112'!$K$9,$N4487='112'!$I$6)),"x",""))</f>
        <v/>
      </c>
      <c r="V4487" s="75" t="str">
        <f>IF(ISERROR(FIND('112'!$M$9,G4487,1)),"",IF((AND(RIGHT(G4487,2)=RIGHT('112'!$M$9,2),B4487&lt;'112'!$K$9,$O4487='112'!$I$6)),"x",""))</f>
        <v/>
      </c>
      <c r="W4487" s="75" t="str">
        <f>IF(AND('341-CT'!$H$9=H4487,OR(LEFT(N4487,3)=$W$7,LEFT(O4487,3)=$W$7)),"x","")</f>
        <v/>
      </c>
      <c r="X4487" s="75" t="str">
        <f>IF(OR(TH!N4282=TH!$X$7,O4487=TH!$X$7),"x","")</f>
        <v/>
      </c>
      <c r="Y4487" s="75" t="str">
        <f>IF(AND(OR(N4487="131",O4487="131"),H4487='131-CT'!$H$9),"x","")</f>
        <v/>
      </c>
      <c r="Z4487" s="75"/>
      <c r="AA4487" s="75" t="str">
        <f>IF(AND(MONTH(E4487)='IN-NX'!$J$5,'IN-NX'!$D$7=D4487),"x","")</f>
        <v/>
      </c>
      <c r="AB4487" s="75" t="str">
        <f>IF(AND(OR(LEFT(TH!N4282,2)="15",LEFT(TH!O4282,2)="15"),LEFT(TH!O4282,3)&lt;&gt;"111",'152-CT'!$J$8=TH!F4282),"x","")</f>
        <v/>
      </c>
      <c r="AC4487" s="75" t="str">
        <f>IF(AND(OR(LEFT(TH!N4282,2)="15",LEFT(TH!O4282,2)="15"),TK!$E$7=TH!F4282),"x","")</f>
        <v/>
      </c>
      <c r="AD4487" s="75" t="str">
        <f>IF(AND(N4487="1521",MONTH(C4487)='BK-NL'!$M$11),"x","")</f>
        <v/>
      </c>
      <c r="AE4487"/>
      <c r="AF4487"/>
      <c r="AG4487"/>
    </row>
    <row r="4488" spans="1:33" s="1053" customFormat="1" ht="16.5" customHeight="1">
      <c r="A4488" s="309" t="str">
        <f>IF(B4488&lt;&gt;"",IF(AND(B4488='IN-TC'!$S$4,OR(TH!N4481="1111",TH!O4481="1111")),TH!D4481,""),"")</f>
        <v/>
      </c>
      <c r="B4488" s="1243">
        <f t="shared" si="1324"/>
        <v>7</v>
      </c>
      <c r="C4488" s="292">
        <f t="shared" si="1325"/>
        <v>42930</v>
      </c>
      <c r="D4488" s="292"/>
      <c r="E4488" s="292">
        <v>42930</v>
      </c>
      <c r="F4488" s="1010" t="s">
        <v>1883</v>
      </c>
      <c r="G4488" s="925"/>
      <c r="H4488" s="311"/>
      <c r="I4488" s="373"/>
      <c r="J4488" s="926"/>
      <c r="K4488" s="373"/>
      <c r="L4488" s="379"/>
      <c r="M4488" s="927">
        <v>1000000</v>
      </c>
      <c r="N4488" s="295" t="s">
        <v>101</v>
      </c>
      <c r="O4488" s="295" t="s">
        <v>63</v>
      </c>
      <c r="P4488" s="75" t="str">
        <f>IF(AND('331-CT'!$E$7=TH!H4283,OR(N4488="331",O4488="331")),"x","")</f>
        <v/>
      </c>
      <c r="Q4488" s="75" t="str">
        <f>IF(AND(B4488='111'!$L$11,OR($N4488=$Q$7,$O4488=$Q$7)),"x","")</f>
        <v/>
      </c>
      <c r="R4488" s="75" t="str">
        <f>IF(AND($N4488=$Q$7,$B4488&lt;'111'!$L$11),"x","")</f>
        <v/>
      </c>
      <c r="S4488" s="75" t="str">
        <f>IF(AND($O4488=$Q$7,$B4488&lt;'111'!$L$11),"x","")</f>
        <v>x</v>
      </c>
      <c r="T4488" s="75" t="str">
        <f>IF(ISERROR(FIND('112'!$M$9,G4488,1)),"",IF((AND(FIND('112'!$M$9,G4488,1)&gt;=1,B4488='112'!$K$9,OR($N4488='112'!$I$6,$O4488='112'!$I$6))),"x",""))</f>
        <v/>
      </c>
      <c r="U4488" s="75" t="str">
        <f>IF(ISERROR(FIND('112'!$M$9,G4488,1)),"",IF((AND(LEFT(G4488,2)=LEFT('112'!$M$9,2),B4488&lt;'112'!$K$9,$N4488='112'!$I$6)),"x",""))</f>
        <v/>
      </c>
      <c r="V4488" s="75" t="str">
        <f>IF(ISERROR(FIND('112'!$M$9,G4488,1)),"",IF((AND(RIGHT(G4488,2)=RIGHT('112'!$M$9,2),B4488&lt;'112'!$K$9,$O4488='112'!$I$6)),"x",""))</f>
        <v/>
      </c>
      <c r="W4488" s="75" t="str">
        <f>IF(AND('341-CT'!$H$9=H4488,OR(LEFT(N4488,3)=$W$7,LEFT(O4488,3)=$W$7)),"x","")</f>
        <v/>
      </c>
      <c r="X4488" s="75" t="str">
        <f>IF(OR(TH!N4283=TH!$X$7,O4488=TH!$X$7),"x","")</f>
        <v/>
      </c>
      <c r="Y4488" s="75" t="str">
        <f>IF(AND(OR(N4488="131",O4488="131"),H4488='131-CT'!$H$9),"x","")</f>
        <v/>
      </c>
      <c r="Z4488" s="75"/>
      <c r="AA4488" s="75" t="str">
        <f>IF(AND(MONTH(E4488)='IN-NX'!$J$5,'IN-NX'!$D$7=D4488),"x","")</f>
        <v/>
      </c>
      <c r="AB4488" s="75" t="str">
        <f>IF(AND(OR(LEFT(TH!N4283,2)="15",LEFT(TH!O4283,2)="15"),LEFT(TH!O4283,3)&lt;&gt;"111",'152-CT'!$J$8=TH!F4283),"x","")</f>
        <v/>
      </c>
      <c r="AC4488" s="75" t="str">
        <f>IF(AND(OR(LEFT(TH!N4283,2)="15",LEFT(TH!O4283,2)="15"),TK!$E$7=TH!F4283),"x","")</f>
        <v/>
      </c>
      <c r="AD4488" s="75" t="str">
        <f>IF(AND(N4488="1521",MONTH(C4488)='BK-NL'!$M$11),"x","")</f>
        <v/>
      </c>
      <c r="AE4488">
        <v>9</v>
      </c>
      <c r="AF4488"/>
      <c r="AG4488"/>
    </row>
    <row r="4489" spans="1:33" ht="16.5" customHeight="1">
      <c r="A4489" s="309" t="str">
        <f>IF(B4489&lt;&gt;"",IF(AND(B4489='IN-TC'!$S$4,OR(TH!N4482="1111",TH!O4482="1111")),TH!D4482,""),"")</f>
        <v/>
      </c>
      <c r="B4489" s="1243">
        <f t="shared" si="1324"/>
        <v>7</v>
      </c>
      <c r="C4489" s="292">
        <f t="shared" si="1325"/>
        <v>42930</v>
      </c>
      <c r="D4489" s="292"/>
      <c r="E4489" s="292">
        <v>42930</v>
      </c>
      <c r="F4489" s="1010" t="s">
        <v>1895</v>
      </c>
      <c r="G4489" s="925"/>
      <c r="H4489" s="311"/>
      <c r="I4489" s="373"/>
      <c r="J4489" s="926"/>
      <c r="K4489" s="373"/>
      <c r="L4489" s="379"/>
      <c r="M4489" s="927">
        <v>100000</v>
      </c>
      <c r="N4489" s="295" t="s">
        <v>9</v>
      </c>
      <c r="O4489" s="295" t="s">
        <v>63</v>
      </c>
      <c r="P4489" s="75" t="str">
        <f>IF(AND('331-CT'!$E$7=TH!H4284,OR(N4489="331",O4489="331")),"x","")</f>
        <v/>
      </c>
      <c r="Q4489" s="75" t="str">
        <f>IF(AND(B4489='111'!$L$11,OR($N4489=$Q$7,$O4489=$Q$7)),"x","")</f>
        <v/>
      </c>
      <c r="R4489" s="75" t="str">
        <f>IF(AND($N4489=$Q$7,$B4489&lt;'111'!$L$11),"x","")</f>
        <v/>
      </c>
      <c r="S4489" s="75" t="str">
        <f>IF(AND($O4489=$Q$7,$B4489&lt;'111'!$L$11),"x","")</f>
        <v>x</v>
      </c>
      <c r="T4489" s="75" t="str">
        <f>IF(ISERROR(FIND('112'!$M$9,G4489,1)),"",IF((AND(FIND('112'!$M$9,G4489,1)&gt;=1,B4489='112'!$K$9,OR($N4489='112'!$I$6,$O4489='112'!$I$6))),"x",""))</f>
        <v/>
      </c>
      <c r="U4489" s="75" t="str">
        <f>IF(ISERROR(FIND('112'!$M$9,G4489,1)),"",IF((AND(LEFT(G4489,2)=LEFT('112'!$M$9,2),B4489&lt;'112'!$K$9,$N4489='112'!$I$6)),"x",""))</f>
        <v/>
      </c>
      <c r="V4489" s="75" t="str">
        <f>IF(ISERROR(FIND('112'!$M$9,G4489,1)),"",IF((AND(RIGHT(G4489,2)=RIGHT('112'!$M$9,2),B4489&lt;'112'!$K$9,$O4489='112'!$I$6)),"x",""))</f>
        <v/>
      </c>
      <c r="W4489" s="75" t="str">
        <f>IF(AND('341-CT'!$H$9=H4489,OR(LEFT(N4489,3)=$W$7,LEFT(O4489,3)=$W$7)),"x","")</f>
        <v/>
      </c>
      <c r="X4489" s="75" t="str">
        <f>IF(OR(TH!N4284=TH!$X$7,O4489=TH!$X$7),"x","")</f>
        <v/>
      </c>
      <c r="Y4489" s="75" t="str">
        <f>IF(AND(OR(N4489="131",O4489="131"),H4489='131-CT'!$H$9),"x","")</f>
        <v/>
      </c>
      <c r="Z4489" s="75"/>
      <c r="AA4489" s="75" t="str">
        <f>IF(AND(MONTH(E4489)='IN-NX'!$J$5,'IN-NX'!$D$7=D4489),"x","")</f>
        <v/>
      </c>
      <c r="AB4489" s="75" t="str">
        <f>IF(AND(OR(LEFT(TH!N4284,2)="15",LEFT(TH!O4284,2)="15"),LEFT(TH!O4284,3)&lt;&gt;"111",'152-CT'!$J$8=TH!F4284),"x","")</f>
        <v/>
      </c>
      <c r="AC4489" s="75" t="str">
        <f>IF(AND(OR(LEFT(TH!N4284,2)="15",LEFT(TH!O4284,2)="15"),TK!$E$7=TH!F4284),"x","")</f>
        <v/>
      </c>
      <c r="AD4489" s="75" t="str">
        <f>IF(AND(N4489="1521",MONTH(C4489)='BK-NL'!$M$11),"x","")</f>
        <v/>
      </c>
      <c r="AE4489">
        <v>9</v>
      </c>
    </row>
    <row r="4490" spans="1:33" s="1053" customFormat="1" ht="16.5" customHeight="1">
      <c r="A4490" s="309" t="str">
        <f>IF(B4490&lt;&gt;"",IF(AND(B4490='IN-TC'!$S$4,OR(TH!N4483="1111",TH!O4483="1111")),TH!D4483,""),"")</f>
        <v/>
      </c>
      <c r="B4490" s="1277">
        <f t="shared" si="1324"/>
        <v>7</v>
      </c>
      <c r="C4490" s="292">
        <f t="shared" si="1325"/>
        <v>42930</v>
      </c>
      <c r="D4490" s="929"/>
      <c r="E4490" s="292">
        <v>42930</v>
      </c>
      <c r="F4490" s="1335" t="s">
        <v>1881</v>
      </c>
      <c r="G4490" s="931"/>
      <c r="H4490" s="73" t="s">
        <v>1893</v>
      </c>
      <c r="I4490" s="371"/>
      <c r="J4490" s="932"/>
      <c r="K4490" s="371"/>
      <c r="L4490" s="377"/>
      <c r="M4490" s="933">
        <v>1865360000</v>
      </c>
      <c r="N4490" s="934" t="s">
        <v>8</v>
      </c>
      <c r="O4490" s="934" t="s">
        <v>63</v>
      </c>
      <c r="P4490" s="75" t="str">
        <f>IF(AND('331-CT'!$E$7=TH!H4381,OR(N4490="331",O4490="331")),"x","")</f>
        <v/>
      </c>
      <c r="Q4490" s="75" t="str">
        <f>IF(AND(B4490='111'!$L$11,OR($N4490=$Q$7,$O4490=$Q$7)),"x","")</f>
        <v/>
      </c>
      <c r="R4490" s="75" t="str">
        <f>IF(AND($N4490=$Q$7,$B4490&lt;'111'!$L$11),"x","")</f>
        <v/>
      </c>
      <c r="S4490" s="75" t="str">
        <f>IF(AND($O4490=$Q$7,$B4490&lt;'111'!$L$11),"x","")</f>
        <v>x</v>
      </c>
      <c r="T4490" s="75" t="str">
        <f>IF(ISERROR(FIND('112'!$M$9,G4490,1)),"",IF((AND(FIND('112'!$M$9,G4490,1)&gt;=1,B4490='112'!$K$9,OR($N4490='112'!$I$6,$O4490='112'!$I$6))),"x",""))</f>
        <v/>
      </c>
      <c r="U4490" s="75" t="str">
        <f>IF(ISERROR(FIND('112'!$M$9,G4490,1)),"",IF((AND(LEFT(G4490,2)=LEFT('112'!$M$9,2),B4490&lt;'112'!$K$9,$N4490='112'!$I$6)),"x",""))</f>
        <v/>
      </c>
      <c r="V4490" s="75" t="str">
        <f>IF(ISERROR(FIND('112'!$M$9,G4490,1)),"",IF((AND(RIGHT(G4490,2)=RIGHT('112'!$M$9,2),B4490&lt;'112'!$K$9,$O4490='112'!$I$6)),"x",""))</f>
        <v/>
      </c>
      <c r="W4490" s="75" t="str">
        <f>IF(AND('341-CT'!$H$9=H4490,OR(LEFT(N4490,3)=$W$7,LEFT(O4490,3)=$W$7)),"x","")</f>
        <v/>
      </c>
      <c r="X4490" s="75" t="str">
        <f>IF(OR(TH!N4381=TH!$X$7,O4490=TH!$X$7),"x","")</f>
        <v/>
      </c>
      <c r="Y4490" s="75" t="str">
        <f>IF(AND(OR(N4490="131",O4490="131"),H4490='131-CT'!$H$9),"x","")</f>
        <v/>
      </c>
      <c r="Z4490" s="75"/>
      <c r="AA4490" s="75" t="str">
        <f>IF(AND(MONTH(E4490)='IN-NX'!$J$5,'IN-NX'!$D$7=D4490),"x","")</f>
        <v/>
      </c>
      <c r="AB4490" s="75" t="str">
        <f>IF(AND(OR(LEFT(TH!N4381,2)="15",LEFT(TH!O4381,2)="15"),LEFT(TH!O4381,3)&lt;&gt;"111",'152-CT'!$J$8=TH!F4381),"x","")</f>
        <v/>
      </c>
      <c r="AC4490" s="75" t="str">
        <f>IF(AND(OR(LEFT(TH!N4381,2)="15",LEFT(TH!O4381,2)="15"),TK!$E$7=TH!F4381),"x","")</f>
        <v/>
      </c>
      <c r="AD4490" s="75" t="str">
        <f>IF(AND(N4490="1521",MONTH(C4490)='BK-NL'!$M$11),"x","")</f>
        <v/>
      </c>
      <c r="AE4490" s="1264"/>
      <c r="AF4490" s="1264"/>
      <c r="AG4490" s="1264"/>
    </row>
    <row r="4491" spans="1:33" s="1053" customFormat="1" ht="16.5" customHeight="1">
      <c r="A4491" s="309" t="str">
        <f>IF(B4491&lt;&gt;"",IF(AND(B4491='IN-TC'!$S$4,OR(TH!N4484="1111",TH!O4484="1111")),TH!D4484,""),"")</f>
        <v/>
      </c>
      <c r="B4491" s="1243">
        <f t="shared" si="1324"/>
        <v>7</v>
      </c>
      <c r="C4491" s="292">
        <f t="shared" si="1325"/>
        <v>42930</v>
      </c>
      <c r="D4491" s="59" t="s">
        <v>902</v>
      </c>
      <c r="E4491" s="59">
        <v>42930</v>
      </c>
      <c r="F4491" s="907" t="s">
        <v>1027</v>
      </c>
      <c r="G4491" s="62" t="s">
        <v>747</v>
      </c>
      <c r="H4491" s="67" t="s">
        <v>759</v>
      </c>
      <c r="I4491" s="373"/>
      <c r="J4491" s="379"/>
      <c r="K4491" s="379"/>
      <c r="L4491" s="379"/>
      <c r="M4491" s="379">
        <v>2504700</v>
      </c>
      <c r="N4491" s="61" t="s">
        <v>101</v>
      </c>
      <c r="O4491" s="61" t="s">
        <v>26</v>
      </c>
      <c r="P4491" s="75" t="str">
        <f>IF(AND('331-CT'!$E$7=TH!H5318,OR(N4491="331",O4491="331")),"x","")</f>
        <v/>
      </c>
      <c r="Q4491" s="75" t="str">
        <f>IF(AND(B4491='111'!$L$11,OR($N4491=$Q$7,$O4491=$Q$7)),"x","")</f>
        <v/>
      </c>
      <c r="R4491" s="75" t="str">
        <f>IF(AND($N4491=$Q$7,$B4491&lt;'111'!$L$11),"x","")</f>
        <v/>
      </c>
      <c r="S4491" s="75" t="str">
        <f>IF(AND($O4491=$Q$7,$B4491&lt;'111'!$L$11),"x","")</f>
        <v/>
      </c>
      <c r="T4491" s="75" t="str">
        <f>IF(ISERROR(FIND('112'!$M$9,G4491,1)),"",IF((AND(FIND('112'!$M$9,G4491,1)&gt;=1,B4491='112'!$K$9,OR($N4491='112'!$I$6,$O4491='112'!$I$6))),"x",""))</f>
        <v/>
      </c>
      <c r="U4491" s="75" t="str">
        <f>IF(ISERROR(FIND('112'!$M$9,G4491,1)),"",IF((AND(LEFT(G4491,2)=LEFT('112'!$M$9,2),B4491&lt;'112'!$K$9,$N4491='112'!$I$6)),"x",""))</f>
        <v/>
      </c>
      <c r="V4491" s="75" t="str">
        <f>IF(ISERROR(FIND('112'!$M$9,G4491,1)),"",IF((AND(RIGHT(G4491,2)=RIGHT('112'!$M$9,2),B4491&lt;'112'!$K$9,$O4491='112'!$I$6)),"x",""))</f>
        <v/>
      </c>
      <c r="W4491" s="75" t="str">
        <f>IF(AND('341-CT'!$H$9=H4491,OR(LEFT(N4491,3)=$W$7,LEFT(O4491,3)=$W$7)),"x","")</f>
        <v/>
      </c>
      <c r="X4491" s="75" t="str">
        <f>IF(OR(TH!N5318=TH!$X$7,O4491=TH!$X$7),"x","")</f>
        <v/>
      </c>
      <c r="Y4491" s="75" t="str">
        <f>IF(AND(OR(N4491="131",O4491="131"),H4491='131-CT'!$H$9),"x","")</f>
        <v/>
      </c>
      <c r="Z4491" s="75"/>
      <c r="AA4491" s="75" t="str">
        <f>IF(AND(MONTH(E4491)='IN-NX'!$J$5,'IN-NX'!$D$7=D4491),"x","")</f>
        <v/>
      </c>
      <c r="AB4491" s="75" t="str">
        <f>IF(AND(OR(LEFT(TH!N5318,2)="15",LEFT(TH!O5318,2)="15"),LEFT(TH!O5318,3)&lt;&gt;"111",'152-CT'!$J$8=TH!F5318),"x","")</f>
        <v/>
      </c>
      <c r="AC4491" s="75" t="str">
        <f>IF(AND(OR(LEFT(TH!N5318,2)="15",LEFT(TH!O5318,2)="15"),TK!$E$7=TH!F5318),"x","")</f>
        <v/>
      </c>
      <c r="AD4491" s="75" t="str">
        <f>IF(AND(N4491="1521",MONTH(C4491)='BK-NL'!$M$11),"x","")</f>
        <v/>
      </c>
      <c r="AE4491"/>
      <c r="AF4491"/>
      <c r="AG4491"/>
    </row>
    <row r="4492" spans="1:33" s="1053" customFormat="1" ht="16.5" customHeight="1">
      <c r="A4492" s="309" t="str">
        <f>IF(B4492&lt;&gt;"",IF(AND(B4492='IN-TC'!$S$4,OR(TH!N4485="1111",TH!O4485="1111")),TH!D4485,""),"")</f>
        <v/>
      </c>
      <c r="B4492" s="1243">
        <f t="shared" si="1324"/>
        <v>7</v>
      </c>
      <c r="C4492" s="292">
        <f t="shared" si="1325"/>
        <v>42930</v>
      </c>
      <c r="D4492" s="59" t="s">
        <v>902</v>
      </c>
      <c r="E4492" s="59">
        <v>42930</v>
      </c>
      <c r="F4492" s="67" t="s">
        <v>897</v>
      </c>
      <c r="G4492" s="62" t="s">
        <v>747</v>
      </c>
      <c r="H4492" s="294" t="s">
        <v>791</v>
      </c>
      <c r="I4492" s="373"/>
      <c r="J4492" s="379"/>
      <c r="K4492" s="373"/>
      <c r="L4492" s="379"/>
      <c r="M4492" s="60">
        <v>1378689000</v>
      </c>
      <c r="N4492" s="61" t="s">
        <v>8</v>
      </c>
      <c r="O4492" s="61" t="s">
        <v>26</v>
      </c>
      <c r="P4492" s="75" t="str">
        <f>IF(AND('331-CT'!$E$7=TH!H5319,OR(N4492="331",O4492="331")),"x","")</f>
        <v/>
      </c>
      <c r="Q4492" s="75" t="str">
        <f>IF(AND(B4492='111'!$L$11,OR($N4492=$Q$7,$O4492=$Q$7)),"x","")</f>
        <v/>
      </c>
      <c r="R4492" s="75" t="str">
        <f>IF(AND($N4492=$Q$7,$B4492&lt;'111'!$L$11),"x","")</f>
        <v/>
      </c>
      <c r="S4492" s="75" t="str">
        <f>IF(AND($O4492=$Q$7,$B4492&lt;'111'!$L$11),"x","")</f>
        <v/>
      </c>
      <c r="T4492" s="75" t="str">
        <f>IF(ISERROR(FIND('112'!$M$9,G4492,1)),"",IF((AND(FIND('112'!$M$9,G4492,1)&gt;=1,B4492='112'!$K$9,OR($N4492='112'!$I$6,$O4492='112'!$I$6))),"x",""))</f>
        <v/>
      </c>
      <c r="U4492" s="75" t="str">
        <f>IF(ISERROR(FIND('112'!$M$9,G4492,1)),"",IF((AND(LEFT(G4492,2)=LEFT('112'!$M$9,2),B4492&lt;'112'!$K$9,$N4492='112'!$I$6)),"x",""))</f>
        <v/>
      </c>
      <c r="V4492" s="75" t="str">
        <f>IF(ISERROR(FIND('112'!$M$9,G4492,1)),"",IF((AND(RIGHT(G4492,2)=RIGHT('112'!$M$9,2),B4492&lt;'112'!$K$9,$O4492='112'!$I$6)),"x",""))</f>
        <v/>
      </c>
      <c r="W4492" s="75" t="str">
        <f>IF(AND('341-CT'!$H$9=H4492,OR(LEFT(N4492,3)=$W$7,LEFT(O4492,3)=$W$7)),"x","")</f>
        <v/>
      </c>
      <c r="X4492" s="75" t="str">
        <f>IF(OR(TH!N5319=TH!$X$7,O4492=TH!$X$7),"x","")</f>
        <v/>
      </c>
      <c r="Y4492" s="75" t="str">
        <f>IF(AND(OR(N4492="131",O4492="131"),H4492='131-CT'!$H$9),"x","")</f>
        <v/>
      </c>
      <c r="Z4492" s="75"/>
      <c r="AA4492" s="75" t="str">
        <f>IF(AND(MONTH(E4492)='IN-NX'!$J$5,'IN-NX'!$D$7=D4492),"x","")</f>
        <v/>
      </c>
      <c r="AB4492" s="75" t="str">
        <f>IF(AND(OR(LEFT(TH!N5319,2)="15",LEFT(TH!O5319,2)="15"),LEFT(TH!O5319,3)&lt;&gt;"111",'152-CT'!$J$8=TH!F5319),"x","")</f>
        <v/>
      </c>
      <c r="AC4492" s="75" t="str">
        <f>IF(AND(OR(LEFT(TH!N5319,2)="15",LEFT(TH!O5319,2)="15"),TK!$E$7=TH!F5319),"x","")</f>
        <v/>
      </c>
      <c r="AD4492" s="75" t="str">
        <f>IF(AND(N4492="1521",MONTH(C4492)='BK-NL'!$M$11),"x","")</f>
        <v/>
      </c>
      <c r="AE4492"/>
      <c r="AF4492"/>
      <c r="AG4492"/>
    </row>
    <row r="4493" spans="1:33" s="1053" customFormat="1" ht="16.5" customHeight="1">
      <c r="A4493" s="309" t="str">
        <f>IF(B4493&lt;&gt;"",IF(AND(B4493='IN-TC'!$S$4,OR(TH!N4486="1111",TH!O4486="1111")),TH!D4486,""),"")</f>
        <v/>
      </c>
      <c r="B4493" s="1243">
        <f t="shared" si="1324"/>
        <v>7</v>
      </c>
      <c r="C4493" s="292">
        <f t="shared" si="1325"/>
        <v>42930</v>
      </c>
      <c r="D4493" s="59" t="s">
        <v>902</v>
      </c>
      <c r="E4493" s="59">
        <v>42930</v>
      </c>
      <c r="F4493" s="67" t="s">
        <v>870</v>
      </c>
      <c r="G4493" s="62" t="s">
        <v>747</v>
      </c>
      <c r="H4493" s="67" t="s">
        <v>835</v>
      </c>
      <c r="I4493" s="375"/>
      <c r="J4493" s="381"/>
      <c r="K4493" s="375"/>
      <c r="L4493" s="381"/>
      <c r="M4493" s="60">
        <v>413607</v>
      </c>
      <c r="N4493" s="61" t="s">
        <v>101</v>
      </c>
      <c r="O4493" s="61" t="s">
        <v>26</v>
      </c>
      <c r="P4493" s="75" t="str">
        <f>IF(AND('331-CT'!$E$7=TH!H5320,OR(N4493="331",O4493="331")),"x","")</f>
        <v/>
      </c>
      <c r="Q4493" s="75" t="str">
        <f>IF(AND(B4493='111'!$L$11,OR($N4493=$Q$7,$O4493=$Q$7)),"x","")</f>
        <v/>
      </c>
      <c r="R4493" s="75" t="str">
        <f>IF(AND($N4493=$Q$7,$B4493&lt;'111'!$L$11),"x","")</f>
        <v/>
      </c>
      <c r="S4493" s="75" t="str">
        <f>IF(AND($O4493=$Q$7,$B4493&lt;'111'!$L$11),"x","")</f>
        <v/>
      </c>
      <c r="T4493" s="75" t="str">
        <f>IF(ISERROR(FIND('112'!$M$9,G4493,1)),"",IF((AND(FIND('112'!$M$9,G4493,1)&gt;=1,B4493='112'!$K$9,OR($N4493='112'!$I$6,$O4493='112'!$I$6))),"x",""))</f>
        <v/>
      </c>
      <c r="U4493" s="75" t="str">
        <f>IF(ISERROR(FIND('112'!$M$9,G4493,1)),"",IF((AND(LEFT(G4493,2)=LEFT('112'!$M$9,2),B4493&lt;'112'!$K$9,$N4493='112'!$I$6)),"x",""))</f>
        <v/>
      </c>
      <c r="V4493" s="75" t="str">
        <f>IF(ISERROR(FIND('112'!$M$9,G4493,1)),"",IF((AND(RIGHT(G4493,2)=RIGHT('112'!$M$9,2),B4493&lt;'112'!$K$9,$O4493='112'!$I$6)),"x",""))</f>
        <v/>
      </c>
      <c r="W4493" s="75" t="str">
        <f>IF(AND('341-CT'!$H$9=H4493,OR(LEFT(N4493,3)=$W$7,LEFT(O4493,3)=$W$7)),"x","")</f>
        <v/>
      </c>
      <c r="X4493" s="75" t="str">
        <f>IF(OR(TH!N5320=TH!$X$7,O4493=TH!$X$7),"x","")</f>
        <v/>
      </c>
      <c r="Y4493" s="75" t="str">
        <f>IF(AND(OR(N4493="131",O4493="131"),H4493='131-CT'!$H$9),"x","")</f>
        <v/>
      </c>
      <c r="Z4493" s="75"/>
      <c r="AA4493" s="75" t="str">
        <f>IF(AND(MONTH(E4493)='IN-NX'!$J$5,'IN-NX'!$D$7=D4493),"x","")</f>
        <v/>
      </c>
      <c r="AB4493" s="75" t="str">
        <f>IF(AND(OR(LEFT(TH!N5320,2)="15",LEFT(TH!O5320,2)="15"),LEFT(TH!O5320,3)&lt;&gt;"111",'152-CT'!$J$8=TH!F5320),"x","")</f>
        <v/>
      </c>
      <c r="AC4493" s="75" t="str">
        <f>IF(AND(OR(LEFT(TH!N5320,2)="15",LEFT(TH!O5320,2)="15"),TK!$E$7=TH!F5320),"x","")</f>
        <v/>
      </c>
      <c r="AD4493" s="75" t="str">
        <f>IF(AND(N4493="1521",MONTH(C4493)='BK-NL'!$M$11),"x","")</f>
        <v/>
      </c>
      <c r="AE4493"/>
      <c r="AF4493"/>
      <c r="AG4493"/>
    </row>
    <row r="4494" spans="1:33" s="1053" customFormat="1" ht="16.5" customHeight="1">
      <c r="A4494" s="309" t="str">
        <f>IF(B4494&lt;&gt;"",IF(AND(B4494='IN-TC'!$S$4,OR(TH!N4487="1111",TH!O4487="1111")),TH!D4487,""),"")</f>
        <v/>
      </c>
      <c r="B4494" s="1243">
        <f t="shared" si="1324"/>
        <v>7</v>
      </c>
      <c r="C4494" s="292">
        <f t="shared" si="1325"/>
        <v>42930</v>
      </c>
      <c r="D4494" s="59" t="s">
        <v>902</v>
      </c>
      <c r="E4494" s="59">
        <v>42930</v>
      </c>
      <c r="F4494" s="67" t="s">
        <v>898</v>
      </c>
      <c r="G4494" s="62" t="s">
        <v>747</v>
      </c>
      <c r="H4494" s="67" t="s">
        <v>835</v>
      </c>
      <c r="I4494" s="375"/>
      <c r="J4494" s="381"/>
      <c r="K4494" s="375"/>
      <c r="L4494" s="381"/>
      <c r="M4494" s="60">
        <v>41361</v>
      </c>
      <c r="N4494" s="61" t="s">
        <v>9</v>
      </c>
      <c r="O4494" s="61" t="s">
        <v>26</v>
      </c>
      <c r="P4494" s="75" t="str">
        <f>IF(AND('331-CT'!$E$7=TH!H5321,OR(N4494="331",O4494="331")),"x","")</f>
        <v/>
      </c>
      <c r="Q4494" s="75" t="str">
        <f>IF(AND(B4494='111'!$L$11,OR($N4494=$Q$7,$O4494=$Q$7)),"x","")</f>
        <v/>
      </c>
      <c r="R4494" s="75" t="str">
        <f>IF(AND($N4494=$Q$7,$B4494&lt;'111'!$L$11),"x","")</f>
        <v/>
      </c>
      <c r="S4494" s="75" t="str">
        <f>IF(AND($O4494=$Q$7,$B4494&lt;'111'!$L$11),"x","")</f>
        <v/>
      </c>
      <c r="T4494" s="75" t="str">
        <f>IF(ISERROR(FIND('112'!$M$9,G4494,1)),"",IF((AND(FIND('112'!$M$9,G4494,1)&gt;=1,B4494='112'!$K$9,OR($N4494='112'!$I$6,$O4494='112'!$I$6))),"x",""))</f>
        <v/>
      </c>
      <c r="U4494" s="75" t="str">
        <f>IF(ISERROR(FIND('112'!$M$9,G4494,1)),"",IF((AND(LEFT(G4494,2)=LEFT('112'!$M$9,2),B4494&lt;'112'!$K$9,$N4494='112'!$I$6)),"x",""))</f>
        <v/>
      </c>
      <c r="V4494" s="75" t="str">
        <f>IF(ISERROR(FIND('112'!$M$9,G4494,1)),"",IF((AND(RIGHT(G4494,2)=RIGHT('112'!$M$9,2),B4494&lt;'112'!$K$9,$O4494='112'!$I$6)),"x",""))</f>
        <v/>
      </c>
      <c r="W4494" s="75" t="str">
        <f>IF(AND('341-CT'!$H$9=H4494,OR(LEFT(N4494,3)=$W$7,LEFT(O4494,3)=$W$7)),"x","")</f>
        <v/>
      </c>
      <c r="X4494" s="75" t="str">
        <f>IF(OR(TH!N5321=TH!$X$7,O4494=TH!$X$7),"x","")</f>
        <v/>
      </c>
      <c r="Y4494" s="75" t="str">
        <f>IF(AND(OR(N4494="131",O4494="131"),H4494='131-CT'!$H$9),"x","")</f>
        <v/>
      </c>
      <c r="Z4494" s="75"/>
      <c r="AA4494" s="75" t="str">
        <f>IF(AND(MONTH(E4494)='IN-NX'!$J$5,'IN-NX'!$D$7=D4494),"x","")</f>
        <v/>
      </c>
      <c r="AB4494" s="75" t="str">
        <f>IF(AND(OR(LEFT(TH!N5321,2)="15",LEFT(TH!O5321,2)="15"),LEFT(TH!O5321,3)&lt;&gt;"111",'152-CT'!$J$8=TH!F5321),"x","")</f>
        <v/>
      </c>
      <c r="AC4494" s="75" t="str">
        <f>IF(AND(OR(LEFT(TH!N5321,2)="15",LEFT(TH!O5321,2)="15"),TK!$E$7=TH!F5321),"x","")</f>
        <v/>
      </c>
      <c r="AD4494" s="75" t="str">
        <f>IF(AND(N4494="1521",MONTH(C4494)='BK-NL'!$M$11),"x","")</f>
        <v/>
      </c>
      <c r="AE4494">
        <v>7</v>
      </c>
      <c r="AF4494"/>
      <c r="AG4494"/>
    </row>
    <row r="4495" spans="1:33" s="1053" customFormat="1" ht="16.5" customHeight="1">
      <c r="A4495" s="309" t="str">
        <f>IF(B4495&lt;&gt;"",IF(AND(B4495='IN-TC'!$S$4,OR(TH!N4488="1111",TH!O4488="1111")),TH!D4488,""),"")</f>
        <v/>
      </c>
      <c r="B4495" s="1243">
        <f t="shared" si="1324"/>
        <v>7</v>
      </c>
      <c r="C4495" s="292">
        <f t="shared" si="1325"/>
        <v>42930</v>
      </c>
      <c r="D4495" s="59" t="s">
        <v>902</v>
      </c>
      <c r="E4495" s="59">
        <v>42930</v>
      </c>
      <c r="F4495" s="67" t="s">
        <v>897</v>
      </c>
      <c r="G4495" s="62" t="s">
        <v>747</v>
      </c>
      <c r="H4495" s="294" t="s">
        <v>789</v>
      </c>
      <c r="I4495" s="373"/>
      <c r="J4495" s="379"/>
      <c r="K4495" s="373"/>
      <c r="L4495" s="379"/>
      <c r="M4495" s="60">
        <v>1632402500</v>
      </c>
      <c r="N4495" s="61" t="s">
        <v>8</v>
      </c>
      <c r="O4495" s="61" t="s">
        <v>26</v>
      </c>
      <c r="P4495" s="75" t="str">
        <f>IF(AND('331-CT'!$E$7=TH!H5322,OR(N4495="331",O4495="331")),"x","")</f>
        <v/>
      </c>
      <c r="Q4495" s="75" t="str">
        <f>IF(AND(B4495='111'!$L$11,OR($N4495=$Q$7,$O4495=$Q$7)),"x","")</f>
        <v/>
      </c>
      <c r="R4495" s="75" t="str">
        <f>IF(AND($N4495=$Q$7,$B4495&lt;'111'!$L$11),"x","")</f>
        <v/>
      </c>
      <c r="S4495" s="75" t="str">
        <f>IF(AND($O4495=$Q$7,$B4495&lt;'111'!$L$11),"x","")</f>
        <v/>
      </c>
      <c r="T4495" s="75" t="str">
        <f>IF(ISERROR(FIND('112'!$M$9,G4495,1)),"",IF((AND(FIND('112'!$M$9,G4495,1)&gt;=1,B4495='112'!$K$9,OR($N4495='112'!$I$6,$O4495='112'!$I$6))),"x",""))</f>
        <v/>
      </c>
      <c r="U4495" s="75" t="str">
        <f>IF(ISERROR(FIND('112'!$M$9,G4495,1)),"",IF((AND(LEFT(G4495,2)=LEFT('112'!$M$9,2),B4495&lt;'112'!$K$9,$N4495='112'!$I$6)),"x",""))</f>
        <v/>
      </c>
      <c r="V4495" s="75" t="str">
        <f>IF(ISERROR(FIND('112'!$M$9,G4495,1)),"",IF((AND(RIGHT(G4495,2)=RIGHT('112'!$M$9,2),B4495&lt;'112'!$K$9,$O4495='112'!$I$6)),"x",""))</f>
        <v/>
      </c>
      <c r="W4495" s="75" t="str">
        <f>IF(AND('341-CT'!$H$9=H4495,OR(LEFT(N4495,3)=$W$7,LEFT(O4495,3)=$W$7)),"x","")</f>
        <v/>
      </c>
      <c r="X4495" s="75" t="str">
        <f>IF(OR(TH!N5322=TH!$X$7,O4495=TH!$X$7),"x","")</f>
        <v/>
      </c>
      <c r="Y4495" s="75" t="str">
        <f>IF(AND(OR(N4495="131",O4495="131"),H4495='131-CT'!$H$9),"x","")</f>
        <v/>
      </c>
      <c r="Z4495" s="75"/>
      <c r="AA4495" s="75" t="str">
        <f>IF(AND(MONTH(E4495)='IN-NX'!$J$5,'IN-NX'!$D$7=D4495),"x","")</f>
        <v/>
      </c>
      <c r="AB4495" s="75" t="str">
        <f>IF(AND(OR(LEFT(TH!N5322,2)="15",LEFT(TH!O5322,2)="15"),LEFT(TH!O5322,3)&lt;&gt;"111",'152-CT'!$J$8=TH!F5322),"x","")</f>
        <v/>
      </c>
      <c r="AC4495" s="75" t="str">
        <f>IF(AND(OR(LEFT(TH!N5322,2)="15",LEFT(TH!O5322,2)="15"),TK!$E$7=TH!F5322),"x","")</f>
        <v/>
      </c>
      <c r="AD4495" s="75" t="str">
        <f>IF(AND(N4495="1521",MONTH(C4495)='BK-NL'!$M$11),"x","")</f>
        <v/>
      </c>
      <c r="AE4495"/>
      <c r="AF4495"/>
      <c r="AG4495"/>
    </row>
    <row r="4496" spans="1:33" s="1053" customFormat="1" ht="16.5" customHeight="1">
      <c r="A4496" s="309" t="str">
        <f>IF(B4496&lt;&gt;"",IF(AND(B4496='IN-TC'!$S$4,OR(TH!N4489="1111",TH!O4489="1111")),TH!D4489,""),"")</f>
        <v/>
      </c>
      <c r="B4496" s="1243">
        <f t="shared" si="1324"/>
        <v>7</v>
      </c>
      <c r="C4496" s="292">
        <f t="shared" si="1325"/>
        <v>42930</v>
      </c>
      <c r="D4496" s="59" t="s">
        <v>902</v>
      </c>
      <c r="E4496" s="59">
        <v>42930</v>
      </c>
      <c r="F4496" s="67" t="s">
        <v>870</v>
      </c>
      <c r="G4496" s="62" t="s">
        <v>747</v>
      </c>
      <c r="H4496" s="67" t="s">
        <v>835</v>
      </c>
      <c r="I4496" s="375"/>
      <c r="J4496" s="381"/>
      <c r="K4496" s="375"/>
      <c r="L4496" s="381"/>
      <c r="M4496" s="60">
        <v>489721</v>
      </c>
      <c r="N4496" s="61" t="s">
        <v>101</v>
      </c>
      <c r="O4496" s="61" t="s">
        <v>26</v>
      </c>
      <c r="P4496" s="75" t="str">
        <f>IF(AND('331-CT'!$E$7=TH!H5323,OR(N4496="331",O4496="331")),"x","")</f>
        <v/>
      </c>
      <c r="Q4496" s="75" t="str">
        <f>IF(AND(B4496='111'!$L$11,OR($N4496=$Q$7,$O4496=$Q$7)),"x","")</f>
        <v/>
      </c>
      <c r="R4496" s="75" t="str">
        <f>IF(AND($N4496=$Q$7,$B4496&lt;'111'!$L$11),"x","")</f>
        <v/>
      </c>
      <c r="S4496" s="75" t="str">
        <f>IF(AND($O4496=$Q$7,$B4496&lt;'111'!$L$11),"x","")</f>
        <v/>
      </c>
      <c r="T4496" s="75" t="str">
        <f>IF(ISERROR(FIND('112'!$M$9,G4496,1)),"",IF((AND(FIND('112'!$M$9,G4496,1)&gt;=1,B4496='112'!$K$9,OR($N4496='112'!$I$6,$O4496='112'!$I$6))),"x",""))</f>
        <v/>
      </c>
      <c r="U4496" s="75" t="str">
        <f>IF(ISERROR(FIND('112'!$M$9,G4496,1)),"",IF((AND(LEFT(G4496,2)=LEFT('112'!$M$9,2),B4496&lt;'112'!$K$9,$N4496='112'!$I$6)),"x",""))</f>
        <v/>
      </c>
      <c r="V4496" s="75" t="str">
        <f>IF(ISERROR(FIND('112'!$M$9,G4496,1)),"",IF((AND(RIGHT(G4496,2)=RIGHT('112'!$M$9,2),B4496&lt;'112'!$K$9,$O4496='112'!$I$6)),"x",""))</f>
        <v/>
      </c>
      <c r="W4496" s="75" t="str">
        <f>IF(AND('341-CT'!$H$9=H4496,OR(LEFT(N4496,3)=$W$7,LEFT(O4496,3)=$W$7)),"x","")</f>
        <v/>
      </c>
      <c r="X4496" s="75" t="str">
        <f>IF(OR(TH!N5323=TH!$X$7,O4496=TH!$X$7),"x","")</f>
        <v/>
      </c>
      <c r="Y4496" s="75" t="str">
        <f>IF(AND(OR(N4496="131",O4496="131"),H4496='131-CT'!$H$9),"x","")</f>
        <v/>
      </c>
      <c r="Z4496" s="75"/>
      <c r="AA4496" s="75" t="str">
        <f>IF(AND(MONTH(E4496)='IN-NX'!$J$5,'IN-NX'!$D$7=D4496),"x","")</f>
        <v/>
      </c>
      <c r="AB4496" s="75" t="str">
        <f>IF(AND(OR(LEFT(TH!N5323,2)="15",LEFT(TH!O5323,2)="15"),LEFT(TH!O5323,3)&lt;&gt;"111",'152-CT'!$J$8=TH!F5323),"x","")</f>
        <v/>
      </c>
      <c r="AC4496" s="75" t="str">
        <f>IF(AND(OR(LEFT(TH!N5323,2)="15",LEFT(TH!O5323,2)="15"),TK!$E$7=TH!F5323),"x","")</f>
        <v/>
      </c>
      <c r="AD4496" s="75" t="str">
        <f>IF(AND(N4496="1521",MONTH(C4496)='BK-NL'!$M$11),"x","")</f>
        <v/>
      </c>
      <c r="AE4496"/>
      <c r="AF4496"/>
      <c r="AG4496"/>
    </row>
    <row r="4497" spans="1:33" s="1053" customFormat="1" ht="16.5" customHeight="1">
      <c r="A4497" s="309" t="str">
        <f>IF(B4497&lt;&gt;"",IF(AND(B4497='IN-TC'!$S$4,OR(TH!N4490="1111",TH!O4490="1111")),TH!D4490,""),"")</f>
        <v/>
      </c>
      <c r="B4497" s="1243">
        <f t="shared" si="1324"/>
        <v>7</v>
      </c>
      <c r="C4497" s="292">
        <f t="shared" si="1325"/>
        <v>42930</v>
      </c>
      <c r="D4497" s="59" t="s">
        <v>902</v>
      </c>
      <c r="E4497" s="59">
        <v>42930</v>
      </c>
      <c r="F4497" s="67" t="s">
        <v>898</v>
      </c>
      <c r="G4497" s="62" t="s">
        <v>747</v>
      </c>
      <c r="H4497" s="67" t="s">
        <v>835</v>
      </c>
      <c r="I4497" s="375"/>
      <c r="J4497" s="381"/>
      <c r="K4497" s="375"/>
      <c r="L4497" s="381"/>
      <c r="M4497" s="60">
        <v>48972</v>
      </c>
      <c r="N4497" s="61" t="s">
        <v>9</v>
      </c>
      <c r="O4497" s="61" t="s">
        <v>26</v>
      </c>
      <c r="P4497" s="75" t="str">
        <f>IF(AND('331-CT'!$E$7=TH!H5324,OR(N4497="331",O4497="331")),"x","")</f>
        <v/>
      </c>
      <c r="Q4497" s="75" t="str">
        <f>IF(AND(B4497='111'!$L$11,OR($N4497=$Q$7,$O4497=$Q$7)),"x","")</f>
        <v/>
      </c>
      <c r="R4497" s="75" t="str">
        <f>IF(AND($N4497=$Q$7,$B4497&lt;'111'!$L$11),"x","")</f>
        <v/>
      </c>
      <c r="S4497" s="75" t="str">
        <f>IF(AND($O4497=$Q$7,$B4497&lt;'111'!$L$11),"x","")</f>
        <v/>
      </c>
      <c r="T4497" s="75" t="str">
        <f>IF(ISERROR(FIND('112'!$M$9,G4497,1)),"",IF((AND(FIND('112'!$M$9,G4497,1)&gt;=1,B4497='112'!$K$9,OR($N4497='112'!$I$6,$O4497='112'!$I$6))),"x",""))</f>
        <v/>
      </c>
      <c r="U4497" s="75" t="str">
        <f>IF(ISERROR(FIND('112'!$M$9,G4497,1)),"",IF((AND(LEFT(G4497,2)=LEFT('112'!$M$9,2),B4497&lt;'112'!$K$9,$N4497='112'!$I$6)),"x",""))</f>
        <v/>
      </c>
      <c r="V4497" s="75" t="str">
        <f>IF(ISERROR(FIND('112'!$M$9,G4497,1)),"",IF((AND(RIGHT(G4497,2)=RIGHT('112'!$M$9,2),B4497&lt;'112'!$K$9,$O4497='112'!$I$6)),"x",""))</f>
        <v/>
      </c>
      <c r="W4497" s="75" t="str">
        <f>IF(AND('341-CT'!$H$9=H4497,OR(LEFT(N4497,3)=$W$7,LEFT(O4497,3)=$W$7)),"x","")</f>
        <v/>
      </c>
      <c r="X4497" s="75" t="str">
        <f>IF(OR(TH!N5324=TH!$X$7,O4497=TH!$X$7),"x","")</f>
        <v/>
      </c>
      <c r="Y4497" s="75" t="str">
        <f>IF(AND(OR(N4497="131",O4497="131"),H4497='131-CT'!$H$9),"x","")</f>
        <v/>
      </c>
      <c r="Z4497" s="75"/>
      <c r="AA4497" s="75" t="str">
        <f>IF(AND(MONTH(E4497)='IN-NX'!$J$5,'IN-NX'!$D$7=D4497),"x","")</f>
        <v/>
      </c>
      <c r="AB4497" s="75" t="str">
        <f>IF(AND(OR(LEFT(TH!N5324,2)="15",LEFT(TH!O5324,2)="15"),LEFT(TH!O5324,3)&lt;&gt;"111",'152-CT'!$J$8=TH!F5324),"x","")</f>
        <v/>
      </c>
      <c r="AC4497" s="75" t="str">
        <f>IF(AND(OR(LEFT(TH!N5324,2)="15",LEFT(TH!O5324,2)="15"),TK!$E$7=TH!F5324),"x","")</f>
        <v/>
      </c>
      <c r="AD4497" s="75" t="str">
        <f>IF(AND(N4497="1521",MONTH(C4497)='BK-NL'!$M$11),"x","")</f>
        <v/>
      </c>
      <c r="AE4497">
        <v>7</v>
      </c>
      <c r="AF4497"/>
      <c r="AG4497"/>
    </row>
    <row r="4498" spans="1:33" s="1053" customFormat="1" ht="16.5" customHeight="1">
      <c r="A4498" s="309" t="str">
        <f>IF(B4498&lt;&gt;"",IF(AND(B4498='IN-TC'!$S$4,OR(TH!N4491="1111",TH!O4491="1111")),TH!D4491,""),"")</f>
        <v/>
      </c>
      <c r="B4498" s="1243">
        <f t="shared" si="1324"/>
        <v>7</v>
      </c>
      <c r="C4498" s="292">
        <f t="shared" si="1325"/>
        <v>42930</v>
      </c>
      <c r="D4498" s="292" t="s">
        <v>1198</v>
      </c>
      <c r="E4498" s="292">
        <v>42930</v>
      </c>
      <c r="F4498" s="293" t="s">
        <v>834</v>
      </c>
      <c r="G4498" s="943" t="s">
        <v>747</v>
      </c>
      <c r="H4498" s="67" t="s">
        <v>1023</v>
      </c>
      <c r="I4498" s="373"/>
      <c r="J4498" s="926"/>
      <c r="K4498" s="373"/>
      <c r="L4498" s="379"/>
      <c r="M4498" s="927">
        <v>6500000000</v>
      </c>
      <c r="N4498" s="295" t="s">
        <v>63</v>
      </c>
      <c r="O4498" s="295" t="s">
        <v>26</v>
      </c>
      <c r="P4498" s="75" t="str">
        <f>IF(AND('331-CT'!$E$7=TH!H5325,OR(N4498="331",O4498="331")),"x","")</f>
        <v/>
      </c>
      <c r="Q4498" s="75" t="str">
        <f>IF(AND(B4498='111'!$L$11,OR($N4498=$Q$7,$O4498=$Q$7)),"x","")</f>
        <v/>
      </c>
      <c r="R4498" s="75" t="str">
        <f>IF(AND($N4498=$Q$7,$B4498&lt;'111'!$L$11),"x","")</f>
        <v>x</v>
      </c>
      <c r="S4498" s="75" t="str">
        <f>IF(AND($O4498=$Q$7,$B4498&lt;'111'!$L$11),"x","")</f>
        <v/>
      </c>
      <c r="T4498" s="75" t="str">
        <f>IF(ISERROR(FIND('112'!$M$9,G4498,1)),"",IF((AND(FIND('112'!$M$9,G4498,1)&gt;=1,B4498='112'!$K$9,OR($N4498='112'!$I$6,$O4498='112'!$I$6))),"x",""))</f>
        <v/>
      </c>
      <c r="U4498" s="75" t="str">
        <f>IF(ISERROR(FIND('112'!$M$9,G4498,1)),"",IF((AND(LEFT(G4498,2)=LEFT('112'!$M$9,2),B4498&lt;'112'!$K$9,$N4498='112'!$I$6)),"x",""))</f>
        <v/>
      </c>
      <c r="V4498" s="75" t="str">
        <f>IF(ISERROR(FIND('112'!$M$9,G4498,1)),"",IF((AND(RIGHT(G4498,2)=RIGHT('112'!$M$9,2),B4498&lt;'112'!$K$9,$O4498='112'!$I$6)),"x",""))</f>
        <v/>
      </c>
      <c r="W4498" s="75" t="str">
        <f>IF(AND('341-CT'!$H$9=H4498,OR(LEFT(N4498,3)=$W$7,LEFT(O4498,3)=$W$7)),"x","")</f>
        <v/>
      </c>
      <c r="X4498" s="75" t="str">
        <f>IF(OR(TH!N5325=TH!$X$7,O4498=TH!$X$7),"x","")</f>
        <v/>
      </c>
      <c r="Y4498" s="75" t="str">
        <f>IF(AND(OR(N4498="131",O4498="131"),H4498='131-CT'!$H$9),"x","")</f>
        <v/>
      </c>
      <c r="Z4498" s="75"/>
      <c r="AA4498" s="75" t="str">
        <f>IF(AND(MONTH(E4498)='IN-NX'!$J$5,'IN-NX'!$D$7=D4498),"x","")</f>
        <v/>
      </c>
      <c r="AB4498" s="75" t="str">
        <f>IF(AND(OR(LEFT(TH!N5325,2)="15",LEFT(TH!O5325,2)="15"),LEFT(TH!O5325,3)&lt;&gt;"111",'152-CT'!$J$8=TH!F5325),"x","")</f>
        <v/>
      </c>
      <c r="AC4498" s="75" t="str">
        <f>IF(AND(OR(LEFT(TH!N5325,2)="15",LEFT(TH!O5325,2)="15"),TK!$E$7=TH!F5325),"x","")</f>
        <v/>
      </c>
      <c r="AD4498" s="75" t="str">
        <f>IF(AND(N4498="1521",MONTH(C4498)='BK-NL'!$M$11),"x","")</f>
        <v/>
      </c>
      <c r="AE4498"/>
      <c r="AF4498"/>
      <c r="AG4498"/>
    </row>
    <row r="4499" spans="1:33" s="1053" customFormat="1" ht="16.5" customHeight="1">
      <c r="A4499" s="309" t="str">
        <f>IF(B4499&lt;&gt;"",IF(AND(B4499='IN-TC'!$S$4,OR(TH!N4492="1111",TH!O4492="1111")),TH!D4492,""),"")</f>
        <v/>
      </c>
      <c r="B4499" s="1243">
        <f t="shared" ref="B4499:B4562" si="1326">IF(C4499&lt;&gt;"",MONTH(C4499),"")</f>
        <v>7</v>
      </c>
      <c r="C4499" s="292">
        <f t="shared" si="1325"/>
        <v>42932</v>
      </c>
      <c r="D4499" s="292"/>
      <c r="E4499" s="292">
        <v>42932</v>
      </c>
      <c r="F4499" s="67" t="s">
        <v>1499</v>
      </c>
      <c r="G4499" s="925" t="s">
        <v>1824</v>
      </c>
      <c r="H4499" s="294" t="s">
        <v>893</v>
      </c>
      <c r="I4499" s="373"/>
      <c r="J4499" s="926"/>
      <c r="K4499" s="373"/>
      <c r="L4499" s="379"/>
      <c r="M4499" s="927">
        <v>2166972</v>
      </c>
      <c r="N4499" s="295" t="s">
        <v>101</v>
      </c>
      <c r="O4499" s="295" t="s">
        <v>63</v>
      </c>
      <c r="P4499" s="75" t="str">
        <f>IF(AND('331-CT'!$E$7=TH!H3766,OR(N4499="331",O4499="331")),"x","")</f>
        <v/>
      </c>
      <c r="Q4499" s="75" t="str">
        <f>IF(AND(B4499='111'!$L$11,OR($N4499=$Q$7,$O4499=$Q$7)),"x","")</f>
        <v/>
      </c>
      <c r="R4499" s="75" t="str">
        <f>IF(AND($N4499=$Q$7,$B4499&lt;'111'!$L$11),"x","")</f>
        <v/>
      </c>
      <c r="S4499" s="75" t="str">
        <f>IF(AND($O4499=$Q$7,$B4499&lt;'111'!$L$11),"x","")</f>
        <v>x</v>
      </c>
      <c r="T4499" s="75" t="str">
        <f>IF(ISERROR(FIND('112'!$M$9,G4499,1)),"",IF((AND(FIND('112'!$M$9,G4499,1)&gt;=1,B4499='112'!$K$9,OR($N4499='112'!$I$6,$O4499='112'!$I$6))),"x",""))</f>
        <v/>
      </c>
      <c r="U4499" s="75" t="str">
        <f>IF(ISERROR(FIND('112'!$M$9,G4499,1)),"",IF((AND(LEFT(G4499,2)=LEFT('112'!$M$9,2),B4499&lt;'112'!$K$9,$N4499='112'!$I$6)),"x",""))</f>
        <v/>
      </c>
      <c r="V4499" s="75" t="str">
        <f>IF(ISERROR(FIND('112'!$M$9,G4499,1)),"",IF((AND(RIGHT(G4499,2)=RIGHT('112'!$M$9,2),B4499&lt;'112'!$K$9,$O4499='112'!$I$6)),"x",""))</f>
        <v/>
      </c>
      <c r="W4499" s="75" t="str">
        <f>IF(AND('341-CT'!$H$9=H4499,OR(LEFT(N4499,3)=$W$7,LEFT(O4499,3)=$W$7)),"x","")</f>
        <v/>
      </c>
      <c r="X4499" s="75" t="str">
        <f>IF(OR(TH!N3766=TH!$X$7,O4499=TH!$X$7),"x","")</f>
        <v/>
      </c>
      <c r="Y4499" s="75" t="str">
        <f>IF(AND(OR(N4499="131",O4499="131"),H4499='131-CT'!$H$9),"x","")</f>
        <v/>
      </c>
      <c r="Z4499" s="75"/>
      <c r="AA4499" s="75" t="str">
        <f>IF(AND(MONTH(E4499)='IN-NX'!$J$5,'IN-NX'!$D$7=D4499),"x","")</f>
        <v/>
      </c>
      <c r="AB4499" s="75" t="str">
        <f>IF(AND(OR(LEFT(TH!N3766,2)="15",LEFT(TH!O3766,2)="15"),LEFT(TH!O3766,3)&lt;&gt;"111",'152-CT'!$J$8=TH!F3766),"x","")</f>
        <v/>
      </c>
      <c r="AC4499" s="75" t="str">
        <f>IF(AND(OR(LEFT(TH!N3766,2)="15",LEFT(TH!O3766,2)="15"),TK!$E$7=TH!F3766),"x","")</f>
        <v/>
      </c>
      <c r="AD4499" s="75" t="str">
        <f>IF(AND(N4499="1521",MONTH(C4499)='BK-NL'!$M$11),"x","")</f>
        <v/>
      </c>
      <c r="AE4499"/>
      <c r="AF4499"/>
      <c r="AG4499"/>
    </row>
    <row r="4500" spans="1:33" s="1053" customFormat="1" ht="16.5" customHeight="1">
      <c r="A4500" s="309" t="str">
        <f>IF(B4500&lt;&gt;"",IF(AND(B4500='IN-TC'!$S$4,OR(TH!N4493="1111",TH!O4493="1111")),TH!D4493,""),"")</f>
        <v/>
      </c>
      <c r="B4500" s="1243">
        <f t="shared" si="1326"/>
        <v>7</v>
      </c>
      <c r="C4500" s="292">
        <f t="shared" si="1325"/>
        <v>42932</v>
      </c>
      <c r="D4500" s="292"/>
      <c r="E4500" s="292">
        <v>42932</v>
      </c>
      <c r="F4500" s="67" t="s">
        <v>1500</v>
      </c>
      <c r="G4500" s="925" t="s">
        <v>1824</v>
      </c>
      <c r="H4500" s="294" t="s">
        <v>893</v>
      </c>
      <c r="I4500" s="373"/>
      <c r="J4500" s="926"/>
      <c r="K4500" s="373"/>
      <c r="L4500" s="379"/>
      <c r="M4500" s="927">
        <v>216698</v>
      </c>
      <c r="N4500" s="295" t="s">
        <v>9</v>
      </c>
      <c r="O4500" s="295" t="s">
        <v>63</v>
      </c>
      <c r="P4500" s="75" t="str">
        <f>IF(AND('331-CT'!$E$7=TH!H3767,OR(N4500="331",O4500="331")),"x","")</f>
        <v/>
      </c>
      <c r="Q4500" s="75" t="str">
        <f>IF(AND(B4500='111'!$L$11,OR($N4500=$Q$7,$O4500=$Q$7)),"x","")</f>
        <v/>
      </c>
      <c r="R4500" s="75" t="str">
        <f>IF(AND($N4500=$Q$7,$B4500&lt;'111'!$L$11),"x","")</f>
        <v/>
      </c>
      <c r="S4500" s="75" t="str">
        <f>IF(AND($O4500=$Q$7,$B4500&lt;'111'!$L$11),"x","")</f>
        <v>x</v>
      </c>
      <c r="T4500" s="75" t="str">
        <f>IF(ISERROR(FIND('112'!$M$9,G4500,1)),"",IF((AND(FIND('112'!$M$9,G4500,1)&gt;=1,B4500='112'!$K$9,OR($N4500='112'!$I$6,$O4500='112'!$I$6))),"x",""))</f>
        <v/>
      </c>
      <c r="U4500" s="75" t="str">
        <f>IF(ISERROR(FIND('112'!$M$9,G4500,1)),"",IF((AND(LEFT(G4500,2)=LEFT('112'!$M$9,2),B4500&lt;'112'!$K$9,$N4500='112'!$I$6)),"x",""))</f>
        <v/>
      </c>
      <c r="V4500" s="75" t="str">
        <f>IF(ISERROR(FIND('112'!$M$9,G4500,1)),"",IF((AND(RIGHT(G4500,2)=RIGHT('112'!$M$9,2),B4500&lt;'112'!$K$9,$O4500='112'!$I$6)),"x",""))</f>
        <v/>
      </c>
      <c r="W4500" s="75" t="str">
        <f>IF(AND('341-CT'!$H$9=H4500,OR(LEFT(N4500,3)=$W$7,LEFT(O4500,3)=$W$7)),"x","")</f>
        <v/>
      </c>
      <c r="X4500" s="75" t="str">
        <f>IF(OR(TH!N3767=TH!$X$7,O4500=TH!$X$7),"x","")</f>
        <v/>
      </c>
      <c r="Y4500" s="75" t="str">
        <f>IF(AND(OR(N4500="131",O4500="131"),H4500='131-CT'!$H$9),"x","")</f>
        <v/>
      </c>
      <c r="Z4500" s="75"/>
      <c r="AA4500" s="75" t="str">
        <f>IF(AND(MONTH(E4500)='IN-NX'!$J$5,'IN-NX'!$D$7=D4500),"x","")</f>
        <v/>
      </c>
      <c r="AB4500" s="75" t="str">
        <f>IF(AND(OR(LEFT(TH!N3767,2)="15",LEFT(TH!O3767,2)="15"),LEFT(TH!O3767,3)&lt;&gt;"111",'152-CT'!$J$8=TH!F3767),"x","")</f>
        <v/>
      </c>
      <c r="AC4500" s="75" t="str">
        <f>IF(AND(OR(LEFT(TH!N3767,2)="15",LEFT(TH!O3767,2)="15"),TK!$E$7=TH!F3767),"x","")</f>
        <v/>
      </c>
      <c r="AD4500" s="75" t="str">
        <f>IF(AND(N4500="1521",MONTH(C4500)='BK-NL'!$M$11),"x","")</f>
        <v/>
      </c>
      <c r="AE4500">
        <v>7</v>
      </c>
      <c r="AF4500"/>
      <c r="AG4500"/>
    </row>
    <row r="4501" spans="1:33" s="1053" customFormat="1" ht="16.5" customHeight="1">
      <c r="A4501" s="309" t="str">
        <f>IF(B4501&lt;&gt;"",IF(AND(B4501='IN-TC'!$S$4,OR(TH!N4494="1111",TH!O4494="1111")),TH!D4494,""),"")</f>
        <v/>
      </c>
      <c r="B4501" s="1243">
        <f t="shared" si="1326"/>
        <v>7</v>
      </c>
      <c r="C4501" s="292">
        <f t="shared" si="1325"/>
        <v>42932</v>
      </c>
      <c r="D4501" s="292"/>
      <c r="E4501" s="292">
        <v>42932</v>
      </c>
      <c r="F4501" s="67" t="s">
        <v>1499</v>
      </c>
      <c r="G4501" s="925" t="s">
        <v>1825</v>
      </c>
      <c r="H4501" s="294" t="s">
        <v>755</v>
      </c>
      <c r="I4501" s="373"/>
      <c r="J4501" s="926"/>
      <c r="K4501" s="373"/>
      <c r="L4501" s="379"/>
      <c r="M4501" s="927">
        <v>3603556</v>
      </c>
      <c r="N4501" s="295" t="s">
        <v>101</v>
      </c>
      <c r="O4501" s="295" t="s">
        <v>63</v>
      </c>
      <c r="P4501" s="75" t="str">
        <f>IF(AND('331-CT'!$E$7=TH!H3768,OR(N4501="331",O4501="331")),"x","")</f>
        <v/>
      </c>
      <c r="Q4501" s="75" t="str">
        <f>IF(AND(B4501='111'!$L$11,OR($N4501=$Q$7,$O4501=$Q$7)),"x","")</f>
        <v/>
      </c>
      <c r="R4501" s="75" t="str">
        <f>IF(AND($N4501=$Q$7,$B4501&lt;'111'!$L$11),"x","")</f>
        <v/>
      </c>
      <c r="S4501" s="75" t="str">
        <f>IF(AND($O4501=$Q$7,$B4501&lt;'111'!$L$11),"x","")</f>
        <v>x</v>
      </c>
      <c r="T4501" s="75" t="str">
        <f>IF(ISERROR(FIND('112'!$M$9,G4501,1)),"",IF((AND(FIND('112'!$M$9,G4501,1)&gt;=1,B4501='112'!$K$9,OR($N4501='112'!$I$6,$O4501='112'!$I$6))),"x",""))</f>
        <v/>
      </c>
      <c r="U4501" s="75" t="str">
        <f>IF(ISERROR(FIND('112'!$M$9,G4501,1)),"",IF((AND(LEFT(G4501,2)=LEFT('112'!$M$9,2),B4501&lt;'112'!$K$9,$N4501='112'!$I$6)),"x",""))</f>
        <v/>
      </c>
      <c r="V4501" s="75" t="str">
        <f>IF(ISERROR(FIND('112'!$M$9,G4501,1)),"",IF((AND(RIGHT(G4501,2)=RIGHT('112'!$M$9,2),B4501&lt;'112'!$K$9,$O4501='112'!$I$6)),"x",""))</f>
        <v/>
      </c>
      <c r="W4501" s="75" t="str">
        <f>IF(AND('341-CT'!$H$9=H4501,OR(LEFT(N4501,3)=$W$7,LEFT(O4501,3)=$W$7)),"x","")</f>
        <v/>
      </c>
      <c r="X4501" s="75" t="str">
        <f>IF(OR(TH!N3768=TH!$X$7,O4501=TH!$X$7),"x","")</f>
        <v/>
      </c>
      <c r="Y4501" s="75" t="str">
        <f>IF(AND(OR(N4501="131",O4501="131"),H4501='131-CT'!$H$9),"x","")</f>
        <v/>
      </c>
      <c r="Z4501" s="75"/>
      <c r="AA4501" s="75" t="str">
        <f>IF(AND(MONTH(E4501)='IN-NX'!$J$5,'IN-NX'!$D$7=D4501),"x","")</f>
        <v/>
      </c>
      <c r="AB4501" s="75" t="str">
        <f>IF(AND(OR(LEFT(TH!N3768,2)="15",LEFT(TH!O3768,2)="15"),LEFT(TH!O3768,3)&lt;&gt;"111",'152-CT'!$J$8=TH!F3768),"x","")</f>
        <v/>
      </c>
      <c r="AC4501" s="75" t="str">
        <f>IF(AND(OR(LEFT(TH!N3768,2)="15",LEFT(TH!O3768,2)="15"),TK!$E$7=TH!F3768),"x","")</f>
        <v/>
      </c>
      <c r="AD4501" s="75" t="str">
        <f>IF(AND(N4501="1521",MONTH(C4501)='BK-NL'!$M$11),"x","")</f>
        <v/>
      </c>
      <c r="AE4501"/>
      <c r="AF4501"/>
      <c r="AG4501"/>
    </row>
    <row r="4502" spans="1:33" s="1053" customFormat="1" ht="16.5" customHeight="1">
      <c r="A4502" s="309" t="str">
        <f>IF(B4502&lt;&gt;"",IF(AND(B4502='IN-TC'!$S$4,OR(TH!N4495="1111",TH!O4495="1111")),TH!D4495,""),"")</f>
        <v/>
      </c>
      <c r="B4502" s="1243">
        <f t="shared" si="1326"/>
        <v>7</v>
      </c>
      <c r="C4502" s="292">
        <f t="shared" si="1325"/>
        <v>42932</v>
      </c>
      <c r="D4502" s="292"/>
      <c r="E4502" s="292">
        <v>42932</v>
      </c>
      <c r="F4502" s="67" t="s">
        <v>1500</v>
      </c>
      <c r="G4502" s="925" t="s">
        <v>1825</v>
      </c>
      <c r="H4502" s="294" t="s">
        <v>755</v>
      </c>
      <c r="I4502" s="373"/>
      <c r="J4502" s="926"/>
      <c r="K4502" s="373"/>
      <c r="L4502" s="379"/>
      <c r="M4502" s="927">
        <v>360356</v>
      </c>
      <c r="N4502" s="295" t="s">
        <v>9</v>
      </c>
      <c r="O4502" s="295" t="s">
        <v>63</v>
      </c>
      <c r="P4502" s="75" t="str">
        <f>IF(AND('331-CT'!$E$7=TH!H3769,OR(N4502="331",O4502="331")),"x","")</f>
        <v/>
      </c>
      <c r="Q4502" s="75" t="str">
        <f>IF(AND(B4502='111'!$L$11,OR($N4502=$Q$7,$O4502=$Q$7)),"x","")</f>
        <v/>
      </c>
      <c r="R4502" s="75" t="str">
        <f>IF(AND($N4502=$Q$7,$B4502&lt;'111'!$L$11),"x","")</f>
        <v/>
      </c>
      <c r="S4502" s="75" t="str">
        <f>IF(AND($O4502=$Q$7,$B4502&lt;'111'!$L$11),"x","")</f>
        <v>x</v>
      </c>
      <c r="T4502" s="75" t="str">
        <f>IF(ISERROR(FIND('112'!$M$9,G4502,1)),"",IF((AND(FIND('112'!$M$9,G4502,1)&gt;=1,B4502='112'!$K$9,OR($N4502='112'!$I$6,$O4502='112'!$I$6))),"x",""))</f>
        <v/>
      </c>
      <c r="U4502" s="75" t="str">
        <f>IF(ISERROR(FIND('112'!$M$9,G4502,1)),"",IF((AND(LEFT(G4502,2)=LEFT('112'!$M$9,2),B4502&lt;'112'!$K$9,$N4502='112'!$I$6)),"x",""))</f>
        <v/>
      </c>
      <c r="V4502" s="75" t="str">
        <f>IF(ISERROR(FIND('112'!$M$9,G4502,1)),"",IF((AND(RIGHT(G4502,2)=RIGHT('112'!$M$9,2),B4502&lt;'112'!$K$9,$O4502='112'!$I$6)),"x",""))</f>
        <v/>
      </c>
      <c r="W4502" s="75" t="str">
        <f>IF(AND('341-CT'!$H$9=H4502,OR(LEFT(N4502,3)=$W$7,LEFT(O4502,3)=$W$7)),"x","")</f>
        <v/>
      </c>
      <c r="X4502" s="75" t="str">
        <f>IF(OR(TH!N3769=TH!$X$7,O4502=TH!$X$7),"x","")</f>
        <v/>
      </c>
      <c r="Y4502" s="75" t="str">
        <f>IF(AND(OR(N4502="131",O4502="131"),H4502='131-CT'!$H$9),"x","")</f>
        <v/>
      </c>
      <c r="Z4502" s="75"/>
      <c r="AA4502" s="75" t="str">
        <f>IF(AND(MONTH(E4502)='IN-NX'!$J$5,'IN-NX'!$D$7=D4502),"x","")</f>
        <v/>
      </c>
      <c r="AB4502" s="75" t="str">
        <f>IF(AND(OR(LEFT(TH!N3769,2)="15",LEFT(TH!O3769,2)="15"),LEFT(TH!O3769,3)&lt;&gt;"111",'152-CT'!$J$8=TH!F3769),"x","")</f>
        <v/>
      </c>
      <c r="AC4502" s="75" t="str">
        <f>IF(AND(OR(LEFT(TH!N3769,2)="15",LEFT(TH!O3769,2)="15"),TK!$E$7=TH!F3769),"x","")</f>
        <v/>
      </c>
      <c r="AD4502" s="75" t="str">
        <f>IF(AND(N4502="1521",MONTH(C4502)='BK-NL'!$M$11),"x","")</f>
        <v/>
      </c>
      <c r="AE4502">
        <v>7</v>
      </c>
      <c r="AF4502"/>
      <c r="AG4502"/>
    </row>
    <row r="4503" spans="1:33" s="1053" customFormat="1" ht="16.5" customHeight="1">
      <c r="A4503" s="309" t="str">
        <f>IF(B4503&lt;&gt;"",IF(AND(B4503='IN-TC'!$S$4,OR(TH!N4496="1111",TH!O4496="1111")),TH!D4496,""),"")</f>
        <v/>
      </c>
      <c r="B4503" s="1243">
        <f t="shared" si="1326"/>
        <v>7</v>
      </c>
      <c r="C4503" s="292">
        <f t="shared" si="1325"/>
        <v>42933</v>
      </c>
      <c r="D4503" s="59" t="s">
        <v>902</v>
      </c>
      <c r="E4503" s="59">
        <v>42933</v>
      </c>
      <c r="F4503" s="67" t="s">
        <v>1549</v>
      </c>
      <c r="G4503" s="62" t="s">
        <v>747</v>
      </c>
      <c r="H4503" s="67" t="s">
        <v>835</v>
      </c>
      <c r="I4503" s="373"/>
      <c r="J4503" s="379"/>
      <c r="K4503" s="379"/>
      <c r="L4503" s="379"/>
      <c r="M4503" s="379">
        <v>227700</v>
      </c>
      <c r="N4503" s="61" t="s">
        <v>101</v>
      </c>
      <c r="O4503" s="61" t="s">
        <v>26</v>
      </c>
      <c r="P4503" s="75" t="str">
        <f>IF(AND('331-CT'!$E$7=TH!H5326,OR(N4503="331",O4503="331")),"x","")</f>
        <v/>
      </c>
      <c r="Q4503" s="75" t="str">
        <f>IF(AND(B4503='111'!$L$11,OR($N4503=$Q$7,$O4503=$Q$7)),"x","")</f>
        <v/>
      </c>
      <c r="R4503" s="75" t="str">
        <f>IF(AND($N4503=$Q$7,$B4503&lt;'111'!$L$11),"x","")</f>
        <v/>
      </c>
      <c r="S4503" s="75" t="str">
        <f>IF(AND($O4503=$Q$7,$B4503&lt;'111'!$L$11),"x","")</f>
        <v/>
      </c>
      <c r="T4503" s="75" t="str">
        <f>IF(ISERROR(FIND('112'!$M$9,G4503,1)),"",IF((AND(FIND('112'!$M$9,G4503,1)&gt;=1,B4503='112'!$K$9,OR($N4503='112'!$I$6,$O4503='112'!$I$6))),"x",""))</f>
        <v/>
      </c>
      <c r="U4503" s="75" t="str">
        <f>IF(ISERROR(FIND('112'!$M$9,G4503,1)),"",IF((AND(LEFT(G4503,2)=LEFT('112'!$M$9,2),B4503&lt;'112'!$K$9,$N4503='112'!$I$6)),"x",""))</f>
        <v/>
      </c>
      <c r="V4503" s="75" t="str">
        <f>IF(ISERROR(FIND('112'!$M$9,G4503,1)),"",IF((AND(RIGHT(G4503,2)=RIGHT('112'!$M$9,2),B4503&lt;'112'!$K$9,$O4503='112'!$I$6)),"x",""))</f>
        <v/>
      </c>
      <c r="W4503" s="75" t="str">
        <f>IF(AND('341-CT'!$H$9=H4503,OR(LEFT(N4503,3)=$W$7,LEFT(O4503,3)=$W$7)),"x","")</f>
        <v/>
      </c>
      <c r="X4503" s="75" t="str">
        <f>IF(OR(TH!N5326=TH!$X$7,O4503=TH!$X$7),"x","")</f>
        <v/>
      </c>
      <c r="Y4503" s="75" t="str">
        <f>IF(AND(OR(N4503="131",O4503="131"),H4503='131-CT'!$H$9),"x","")</f>
        <v/>
      </c>
      <c r="Z4503" s="75"/>
      <c r="AA4503" s="75" t="str">
        <f>IF(AND(MONTH(E4503)='IN-NX'!$J$5,'IN-NX'!$D$7=D4503),"x","")</f>
        <v/>
      </c>
      <c r="AB4503" s="75" t="str">
        <f>IF(AND(OR(LEFT(TH!N5326,2)="15",LEFT(TH!O5326,2)="15"),LEFT(TH!O5326,3)&lt;&gt;"111",'152-CT'!$J$8=TH!F5326),"x","")</f>
        <v/>
      </c>
      <c r="AC4503" s="75" t="str">
        <f>IF(AND(OR(LEFT(TH!N5326,2)="15",LEFT(TH!O5326,2)="15"),TK!$E$7=TH!F5326),"x","")</f>
        <v/>
      </c>
      <c r="AD4503" s="75" t="str">
        <f>IF(AND(N4503="1521",MONTH(C4503)='BK-NL'!$M$11),"x","")</f>
        <v/>
      </c>
      <c r="AE4503"/>
      <c r="AF4503"/>
      <c r="AG4503"/>
    </row>
    <row r="4504" spans="1:33" s="1053" customFormat="1" ht="16.5" customHeight="1">
      <c r="A4504" s="309" t="str">
        <f>IF(B4504&lt;&gt;"",IF(AND(B4504='IN-TC'!$S$4,OR(TH!N4497="1111",TH!O4497="1111")),TH!D4497,""),"")</f>
        <v/>
      </c>
      <c r="B4504" s="1243">
        <f t="shared" si="1326"/>
        <v>7</v>
      </c>
      <c r="C4504" s="292">
        <f t="shared" si="1325"/>
        <v>42933</v>
      </c>
      <c r="D4504" s="59" t="s">
        <v>902</v>
      </c>
      <c r="E4504" s="59">
        <v>42933</v>
      </c>
      <c r="F4504" s="67" t="s">
        <v>897</v>
      </c>
      <c r="G4504" s="62" t="s">
        <v>747</v>
      </c>
      <c r="H4504" s="294" t="s">
        <v>623</v>
      </c>
      <c r="I4504" s="373"/>
      <c r="J4504" s="379"/>
      <c r="K4504" s="373"/>
      <c r="L4504" s="379"/>
      <c r="M4504" s="60">
        <v>9200000000</v>
      </c>
      <c r="N4504" s="61" t="s">
        <v>8</v>
      </c>
      <c r="O4504" s="61" t="s">
        <v>26</v>
      </c>
      <c r="P4504" s="75" t="str">
        <f>IF(AND('331-CT'!$E$7=TH!H5327,OR(N4504="331",O4504="331")),"x","")</f>
        <v/>
      </c>
      <c r="Q4504" s="75" t="str">
        <f>IF(AND(B4504='111'!$L$11,OR($N4504=$Q$7,$O4504=$Q$7)),"x","")</f>
        <v/>
      </c>
      <c r="R4504" s="75" t="str">
        <f>IF(AND($N4504=$Q$7,$B4504&lt;'111'!$L$11),"x","")</f>
        <v/>
      </c>
      <c r="S4504" s="75" t="str">
        <f>IF(AND($O4504=$Q$7,$B4504&lt;'111'!$L$11),"x","")</f>
        <v/>
      </c>
      <c r="T4504" s="75" t="str">
        <f>IF(ISERROR(FIND('112'!$M$9,G4504,1)),"",IF((AND(FIND('112'!$M$9,G4504,1)&gt;=1,B4504='112'!$K$9,OR($N4504='112'!$I$6,$O4504='112'!$I$6))),"x",""))</f>
        <v/>
      </c>
      <c r="U4504" s="75" t="str">
        <f>IF(ISERROR(FIND('112'!$M$9,G4504,1)),"",IF((AND(LEFT(G4504,2)=LEFT('112'!$M$9,2),B4504&lt;'112'!$K$9,$N4504='112'!$I$6)),"x",""))</f>
        <v/>
      </c>
      <c r="V4504" s="75" t="str">
        <f>IF(ISERROR(FIND('112'!$M$9,G4504,1)),"",IF((AND(RIGHT(G4504,2)=RIGHT('112'!$M$9,2),B4504&lt;'112'!$K$9,$O4504='112'!$I$6)),"x",""))</f>
        <v/>
      </c>
      <c r="W4504" s="75" t="str">
        <f>IF(AND('341-CT'!$H$9=H4504,OR(LEFT(N4504,3)=$W$7,LEFT(O4504,3)=$W$7)),"x","")</f>
        <v/>
      </c>
      <c r="X4504" s="75" t="str">
        <f>IF(OR(TH!N5327=TH!$X$7,O4504=TH!$X$7),"x","")</f>
        <v/>
      </c>
      <c r="Y4504" s="75" t="str">
        <f>IF(AND(OR(N4504="131",O4504="131"),H4504='131-CT'!$H$9),"x","")</f>
        <v/>
      </c>
      <c r="Z4504" s="75"/>
      <c r="AA4504" s="75" t="str">
        <f>IF(AND(MONTH(E4504)='IN-NX'!$J$5,'IN-NX'!$D$7=D4504),"x","")</f>
        <v/>
      </c>
      <c r="AB4504" s="75" t="str">
        <f>IF(AND(OR(LEFT(TH!N5327,2)="15",LEFT(TH!O5327,2)="15"),LEFT(TH!O5327,3)&lt;&gt;"111",'152-CT'!$J$8=TH!F5327),"x","")</f>
        <v/>
      </c>
      <c r="AC4504" s="75" t="str">
        <f>IF(AND(OR(LEFT(TH!N5327,2)="15",LEFT(TH!O5327,2)="15"),TK!$E$7=TH!F5327),"x","")</f>
        <v/>
      </c>
      <c r="AD4504" s="75" t="str">
        <f>IF(AND(N4504="1521",MONTH(C4504)='BK-NL'!$M$11),"x","")</f>
        <v/>
      </c>
      <c r="AE4504"/>
      <c r="AF4504"/>
      <c r="AG4504"/>
    </row>
    <row r="4505" spans="1:33" s="1053" customFormat="1" ht="16.5" customHeight="1">
      <c r="A4505" s="309" t="str">
        <f>IF(B4505&lt;&gt;"",IF(AND(B4505='IN-TC'!$S$4,OR(TH!N4498="1111",TH!O4498="1111")),TH!D4498,""),"")</f>
        <v/>
      </c>
      <c r="B4505" s="1243">
        <f t="shared" si="1326"/>
        <v>7</v>
      </c>
      <c r="C4505" s="292">
        <f t="shared" si="1325"/>
        <v>42933</v>
      </c>
      <c r="D4505" s="59" t="s">
        <v>902</v>
      </c>
      <c r="E4505" s="59">
        <v>42933</v>
      </c>
      <c r="F4505" s="67" t="s">
        <v>870</v>
      </c>
      <c r="G4505" s="62" t="s">
        <v>747</v>
      </c>
      <c r="H4505" s="67" t="s">
        <v>835</v>
      </c>
      <c r="I4505" s="375"/>
      <c r="J4505" s="381"/>
      <c r="K4505" s="375"/>
      <c r="L4505" s="381"/>
      <c r="M4505" s="60">
        <v>1000000</v>
      </c>
      <c r="N4505" s="61" t="s">
        <v>101</v>
      </c>
      <c r="O4505" s="61" t="s">
        <v>26</v>
      </c>
      <c r="P4505" s="75" t="str">
        <f>IF(AND('331-CT'!$E$7=TH!H5329,OR(N4505="331",O4505="331")),"x","")</f>
        <v/>
      </c>
      <c r="Q4505" s="75" t="str">
        <f>IF(AND(B4505='111'!$L$11,OR($N4505=$Q$7,$O4505=$Q$7)),"x","")</f>
        <v/>
      </c>
      <c r="R4505" s="75" t="str">
        <f>IF(AND($N4505=$Q$7,$B4505&lt;'111'!$L$11),"x","")</f>
        <v/>
      </c>
      <c r="S4505" s="75" t="str">
        <f>IF(AND($O4505=$Q$7,$B4505&lt;'111'!$L$11),"x","")</f>
        <v/>
      </c>
      <c r="T4505" s="75" t="str">
        <f>IF(ISERROR(FIND('112'!$M$9,G4505,1)),"",IF((AND(FIND('112'!$M$9,G4505,1)&gt;=1,B4505='112'!$K$9,OR($N4505='112'!$I$6,$O4505='112'!$I$6))),"x",""))</f>
        <v/>
      </c>
      <c r="U4505" s="75" t="str">
        <f>IF(ISERROR(FIND('112'!$M$9,G4505,1)),"",IF((AND(LEFT(G4505,2)=LEFT('112'!$M$9,2),B4505&lt;'112'!$K$9,$N4505='112'!$I$6)),"x",""))</f>
        <v/>
      </c>
      <c r="V4505" s="75" t="str">
        <f>IF(ISERROR(FIND('112'!$M$9,G4505,1)),"",IF((AND(RIGHT(G4505,2)=RIGHT('112'!$M$9,2),B4505&lt;'112'!$K$9,$O4505='112'!$I$6)),"x",""))</f>
        <v/>
      </c>
      <c r="W4505" s="75" t="str">
        <f>IF(AND('341-CT'!$H$9=H4505,OR(LEFT(N4505,3)=$W$7,LEFT(O4505,3)=$W$7)),"x","")</f>
        <v/>
      </c>
      <c r="X4505" s="75" t="str">
        <f>IF(OR(TH!N5329=TH!$X$7,O4505=TH!$X$7),"x","")</f>
        <v/>
      </c>
      <c r="Y4505" s="75" t="str">
        <f>IF(AND(OR(N4505="131",O4505="131"),H4505='131-CT'!$H$9),"x","")</f>
        <v/>
      </c>
      <c r="Z4505" s="75"/>
      <c r="AA4505" s="75" t="str">
        <f>IF(AND(MONTH(E4505)='IN-NX'!$J$5,'IN-NX'!$D$7=D4505),"x","")</f>
        <v/>
      </c>
      <c r="AB4505" s="75" t="str">
        <f>IF(AND(OR(LEFT(TH!N5329,2)="15",LEFT(TH!O5329,2)="15"),LEFT(TH!O5329,3)&lt;&gt;"111",'152-CT'!$J$8=TH!F5329),"x","")</f>
        <v/>
      </c>
      <c r="AC4505" s="75" t="str">
        <f>IF(AND(OR(LEFT(TH!N5329,2)="15",LEFT(TH!O5329,2)="15"),TK!$E$7=TH!F5329),"x","")</f>
        <v/>
      </c>
      <c r="AD4505" s="75" t="str">
        <f>IF(AND(N4505="1521",MONTH(C4505)='BK-NL'!$M$11),"x","")</f>
        <v/>
      </c>
      <c r="AE4505"/>
      <c r="AF4505"/>
      <c r="AG4505"/>
    </row>
    <row r="4506" spans="1:33" s="1053" customFormat="1" ht="16.5" customHeight="1">
      <c r="A4506" s="309" t="str">
        <f>IF(B4506&lt;&gt;"",IF(AND(B4506='IN-TC'!$S$4,OR(TH!N4499="1111",TH!O4499="1111")),TH!D4499,""),"")</f>
        <v/>
      </c>
      <c r="B4506" s="1243">
        <f t="shared" si="1326"/>
        <v>7</v>
      </c>
      <c r="C4506" s="292">
        <f t="shared" si="1325"/>
        <v>42933</v>
      </c>
      <c r="D4506" s="59" t="s">
        <v>902</v>
      </c>
      <c r="E4506" s="59">
        <v>42933</v>
      </c>
      <c r="F4506" s="67" t="s">
        <v>898</v>
      </c>
      <c r="G4506" s="62" t="s">
        <v>747</v>
      </c>
      <c r="H4506" s="67" t="s">
        <v>835</v>
      </c>
      <c r="I4506" s="375"/>
      <c r="J4506" s="381"/>
      <c r="K4506" s="375"/>
      <c r="L4506" s="381"/>
      <c r="M4506" s="60">
        <v>100000</v>
      </c>
      <c r="N4506" s="61" t="s">
        <v>9</v>
      </c>
      <c r="O4506" s="61" t="s">
        <v>26</v>
      </c>
      <c r="P4506" s="75" t="str">
        <f>IF(AND('331-CT'!$E$7=TH!H5328,OR(N4506="331",O4506="331")),"x","")</f>
        <v/>
      </c>
      <c r="Q4506" s="75" t="str">
        <f>IF(AND(B4506='111'!$L$11,OR($N4506=$Q$7,$O4506=$Q$7)),"x","")</f>
        <v/>
      </c>
      <c r="R4506" s="75" t="str">
        <f>IF(AND($N4506=$Q$7,$B4506&lt;'111'!$L$11),"x","")</f>
        <v/>
      </c>
      <c r="S4506" s="75" t="str">
        <f>IF(AND($O4506=$Q$7,$B4506&lt;'111'!$L$11),"x","")</f>
        <v/>
      </c>
      <c r="T4506" s="75" t="str">
        <f>IF(ISERROR(FIND('112'!$M$9,G4506,1)),"",IF((AND(FIND('112'!$M$9,G4506,1)&gt;=1,B4506='112'!$K$9,OR($N4506='112'!$I$6,$O4506='112'!$I$6))),"x",""))</f>
        <v/>
      </c>
      <c r="U4506" s="75" t="str">
        <f>IF(ISERROR(FIND('112'!$M$9,G4506,1)),"",IF((AND(LEFT(G4506,2)=LEFT('112'!$M$9,2),B4506&lt;'112'!$K$9,$N4506='112'!$I$6)),"x",""))</f>
        <v/>
      </c>
      <c r="V4506" s="75" t="str">
        <f>IF(ISERROR(FIND('112'!$M$9,G4506,1)),"",IF((AND(RIGHT(G4506,2)=RIGHT('112'!$M$9,2),B4506&lt;'112'!$K$9,$O4506='112'!$I$6)),"x",""))</f>
        <v/>
      </c>
      <c r="W4506" s="75" t="str">
        <f>IF(AND('341-CT'!$H$9=H4506,OR(LEFT(N4506,3)=$W$7,LEFT(O4506,3)=$W$7)),"x","")</f>
        <v/>
      </c>
      <c r="X4506" s="75" t="str">
        <f>IF(OR(TH!N5328=TH!$X$7,O4506=TH!$X$7),"x","")</f>
        <v/>
      </c>
      <c r="Y4506" s="75" t="str">
        <f>IF(AND(OR(N4506="131",O4506="131"),H4506='131-CT'!$H$9),"x","")</f>
        <v/>
      </c>
      <c r="Z4506" s="75"/>
      <c r="AA4506" s="75" t="str">
        <f>IF(AND(MONTH(E4506)='IN-NX'!$J$5,'IN-NX'!$D$7=D4506),"x","")</f>
        <v/>
      </c>
      <c r="AB4506" s="75" t="str">
        <f>IF(AND(OR(LEFT(TH!N5328,2)="15",LEFT(TH!O5328,2)="15"),LEFT(TH!O5328,3)&lt;&gt;"111",'152-CT'!$J$8=TH!F5328),"x","")</f>
        <v/>
      </c>
      <c r="AC4506" s="75" t="str">
        <f>IF(AND(OR(LEFT(TH!N5328,2)="15",LEFT(TH!O5328,2)="15"),TK!$E$7=TH!F5328),"x","")</f>
        <v/>
      </c>
      <c r="AD4506" s="75" t="str">
        <f>IF(AND(N4506="1521",MONTH(C4506)='BK-NL'!$M$11),"x","")</f>
        <v/>
      </c>
      <c r="AE4506">
        <v>7</v>
      </c>
      <c r="AF4506"/>
      <c r="AG4506"/>
    </row>
    <row r="4507" spans="1:33" s="1053" customFormat="1" ht="16.5" customHeight="1">
      <c r="A4507" s="309" t="str">
        <f>IF(B4507&lt;&gt;"",IF(AND(B4507='IN-TC'!$S$4,OR(TH!N4500="1111",TH!O4500="1111")),TH!D4500,""),"")</f>
        <v/>
      </c>
      <c r="B4507" s="1243">
        <f t="shared" si="1326"/>
        <v>7</v>
      </c>
      <c r="C4507" s="292">
        <f t="shared" si="1325"/>
        <v>42933</v>
      </c>
      <c r="D4507" s="59" t="s">
        <v>902</v>
      </c>
      <c r="E4507" s="59">
        <v>42933</v>
      </c>
      <c r="F4507" s="67" t="s">
        <v>1741</v>
      </c>
      <c r="G4507" s="62" t="s">
        <v>747</v>
      </c>
      <c r="H4507" s="311" t="s">
        <v>561</v>
      </c>
      <c r="I4507" s="375"/>
      <c r="J4507" s="381"/>
      <c r="K4507" s="375"/>
      <c r="L4507" s="381"/>
      <c r="M4507" s="60">
        <v>700000</v>
      </c>
      <c r="N4507" s="61" t="s">
        <v>8</v>
      </c>
      <c r="O4507" s="61" t="s">
        <v>26</v>
      </c>
      <c r="P4507" s="75" t="str">
        <f>IF(AND('331-CT'!$E$7=TH!H5330,OR(N4507="331",O4507="331")),"x","")</f>
        <v/>
      </c>
      <c r="Q4507" s="75" t="str">
        <f>IF(AND(B4507='111'!$L$11,OR($N4507=$Q$7,$O4507=$Q$7)),"x","")</f>
        <v/>
      </c>
      <c r="R4507" s="75" t="str">
        <f>IF(AND($N4507=$Q$7,$B4507&lt;'111'!$L$11),"x","")</f>
        <v/>
      </c>
      <c r="S4507" s="75" t="str">
        <f>IF(AND($O4507=$Q$7,$B4507&lt;'111'!$L$11),"x","")</f>
        <v/>
      </c>
      <c r="T4507" s="75" t="str">
        <f>IF(ISERROR(FIND('112'!$M$9,G4507,1)),"",IF((AND(FIND('112'!$M$9,G4507,1)&gt;=1,B4507='112'!$K$9,OR($N4507='112'!$I$6,$O4507='112'!$I$6))),"x",""))</f>
        <v/>
      </c>
      <c r="U4507" s="75" t="str">
        <f>IF(ISERROR(FIND('112'!$M$9,G4507,1)),"",IF((AND(LEFT(G4507,2)=LEFT('112'!$M$9,2),B4507&lt;'112'!$K$9,$N4507='112'!$I$6)),"x",""))</f>
        <v/>
      </c>
      <c r="V4507" s="75" t="str">
        <f>IF(ISERROR(FIND('112'!$M$9,G4507,1)),"",IF((AND(RIGHT(G4507,2)=RIGHT('112'!$M$9,2),B4507&lt;'112'!$K$9,$O4507='112'!$I$6)),"x",""))</f>
        <v/>
      </c>
      <c r="W4507" s="75" t="str">
        <f>IF(AND('341-CT'!$H$9=H4507,OR(LEFT(N4507,3)=$W$7,LEFT(O4507,3)=$W$7)),"x","")</f>
        <v/>
      </c>
      <c r="X4507" s="75" t="str">
        <f>IF(OR(TH!N5330=TH!$X$7,O4507=TH!$X$7),"x","")</f>
        <v/>
      </c>
      <c r="Y4507" s="75" t="str">
        <f>IF(AND(OR(N4507="131",O4507="131"),H4507='131-CT'!$H$9),"x","")</f>
        <v/>
      </c>
      <c r="Z4507" s="75"/>
      <c r="AA4507" s="75" t="str">
        <f>IF(AND(MONTH(E4507)='IN-NX'!$J$5,'IN-NX'!$D$7=D4507),"x","")</f>
        <v/>
      </c>
      <c r="AB4507" s="75" t="str">
        <f>IF(AND(OR(LEFT(TH!N5330,2)="15",LEFT(TH!O5330,2)="15"),LEFT(TH!O5330,3)&lt;&gt;"111",'152-CT'!$J$8=TH!F5330),"x","")</f>
        <v/>
      </c>
      <c r="AC4507" s="75" t="str">
        <f>IF(AND(OR(LEFT(TH!N5330,2)="15",LEFT(TH!O5330,2)="15"),TK!$E$7=TH!F5330),"x","")</f>
        <v/>
      </c>
      <c r="AD4507" s="75" t="str">
        <f>IF(AND(N4507="1521",MONTH(C4507)='BK-NL'!$M$11),"x","")</f>
        <v/>
      </c>
      <c r="AE4507"/>
      <c r="AF4507"/>
      <c r="AG4507"/>
    </row>
    <row r="4508" spans="1:33" s="1053" customFormat="1" ht="16.5" customHeight="1">
      <c r="A4508" s="309" t="str">
        <f>IF(B4508&lt;&gt;"",IF(AND(B4508='IN-TC'!$S$4,OR(TH!N4501="1111",TH!O4501="1111")),TH!D4501,""),"")</f>
        <v/>
      </c>
      <c r="B4508" s="1243">
        <f t="shared" si="1326"/>
        <v>7</v>
      </c>
      <c r="C4508" s="292">
        <f t="shared" si="1325"/>
        <v>42933</v>
      </c>
      <c r="D4508" s="59" t="s">
        <v>902</v>
      </c>
      <c r="E4508" s="59">
        <v>42933</v>
      </c>
      <c r="F4508" s="67" t="s">
        <v>870</v>
      </c>
      <c r="G4508" s="62" t="s">
        <v>747</v>
      </c>
      <c r="H4508" s="67" t="s">
        <v>835</v>
      </c>
      <c r="I4508" s="375"/>
      <c r="J4508" s="381"/>
      <c r="K4508" s="375"/>
      <c r="L4508" s="381"/>
      <c r="M4508" s="60">
        <v>10000</v>
      </c>
      <c r="N4508" s="61" t="s">
        <v>101</v>
      </c>
      <c r="O4508" s="61" t="s">
        <v>26</v>
      </c>
      <c r="P4508" s="75" t="str">
        <f>IF(AND('331-CT'!$E$7=TH!H5331,OR(N4508="331",O4508="331")),"x","")</f>
        <v/>
      </c>
      <c r="Q4508" s="75" t="str">
        <f>IF(AND(B4508='111'!$L$11,OR($N4508=$Q$7,$O4508=$Q$7)),"x","")</f>
        <v/>
      </c>
      <c r="R4508" s="75" t="str">
        <f>IF(AND($N4508=$Q$7,$B4508&lt;'111'!$L$11),"x","")</f>
        <v/>
      </c>
      <c r="S4508" s="75" t="str">
        <f>IF(AND($O4508=$Q$7,$B4508&lt;'111'!$L$11),"x","")</f>
        <v/>
      </c>
      <c r="T4508" s="75" t="str">
        <f>IF(ISERROR(FIND('112'!$M$9,G4508,1)),"",IF((AND(FIND('112'!$M$9,G4508,1)&gt;=1,B4508='112'!$K$9,OR($N4508='112'!$I$6,$O4508='112'!$I$6))),"x",""))</f>
        <v/>
      </c>
      <c r="U4508" s="75" t="str">
        <f>IF(ISERROR(FIND('112'!$M$9,G4508,1)),"",IF((AND(LEFT(G4508,2)=LEFT('112'!$M$9,2),B4508&lt;'112'!$K$9,$N4508='112'!$I$6)),"x",""))</f>
        <v/>
      </c>
      <c r="V4508" s="75" t="str">
        <f>IF(ISERROR(FIND('112'!$M$9,G4508,1)),"",IF((AND(RIGHT(G4508,2)=RIGHT('112'!$M$9,2),B4508&lt;'112'!$K$9,$O4508='112'!$I$6)),"x",""))</f>
        <v/>
      </c>
      <c r="W4508" s="75" t="str">
        <f>IF(AND('341-CT'!$H$9=H4508,OR(LEFT(N4508,3)=$W$7,LEFT(O4508,3)=$W$7)),"x","")</f>
        <v/>
      </c>
      <c r="X4508" s="75" t="str">
        <f>IF(OR(TH!N5331=TH!$X$7,O4508=TH!$X$7),"x","")</f>
        <v/>
      </c>
      <c r="Y4508" s="75" t="str">
        <f>IF(AND(OR(N4508="131",O4508="131"),H4508='131-CT'!$H$9),"x","")</f>
        <v/>
      </c>
      <c r="Z4508" s="75"/>
      <c r="AA4508" s="75" t="str">
        <f>IF(AND(MONTH(E4508)='IN-NX'!$J$5,'IN-NX'!$D$7=D4508),"x","")</f>
        <v/>
      </c>
      <c r="AB4508" s="75" t="str">
        <f>IF(AND(OR(LEFT(TH!N5331,2)="15",LEFT(TH!O5331,2)="15"),LEFT(TH!O5331,3)&lt;&gt;"111",'152-CT'!$J$8=TH!F5331),"x","")</f>
        <v/>
      </c>
      <c r="AC4508" s="75" t="str">
        <f>IF(AND(OR(LEFT(TH!N5331,2)="15",LEFT(TH!O5331,2)="15"),TK!$E$7=TH!F5331),"x","")</f>
        <v/>
      </c>
      <c r="AD4508" s="75" t="str">
        <f>IF(AND(N4508="1521",MONTH(C4508)='BK-NL'!$M$11),"x","")</f>
        <v/>
      </c>
      <c r="AE4508"/>
      <c r="AF4508"/>
      <c r="AG4508"/>
    </row>
    <row r="4509" spans="1:33" s="1053" customFormat="1" ht="16.5" customHeight="1">
      <c r="A4509" s="309" t="str">
        <f>IF(B4509&lt;&gt;"",IF(AND(B4509='IN-TC'!$S$4,OR(TH!N4502="1111",TH!O4502="1111")),TH!D4502,""),"")</f>
        <v/>
      </c>
      <c r="B4509" s="1243">
        <f t="shared" si="1326"/>
        <v>7</v>
      </c>
      <c r="C4509" s="292">
        <f t="shared" si="1325"/>
        <v>42933</v>
      </c>
      <c r="D4509" s="59" t="s">
        <v>902</v>
      </c>
      <c r="E4509" s="59">
        <v>42933</v>
      </c>
      <c r="F4509" s="67" t="s">
        <v>898</v>
      </c>
      <c r="G4509" s="62" t="s">
        <v>747</v>
      </c>
      <c r="H4509" s="67" t="s">
        <v>835</v>
      </c>
      <c r="I4509" s="375"/>
      <c r="J4509" s="381"/>
      <c r="K4509" s="375"/>
      <c r="L4509" s="381"/>
      <c r="M4509" s="60">
        <v>1000</v>
      </c>
      <c r="N4509" s="61" t="s">
        <v>9</v>
      </c>
      <c r="O4509" s="61" t="s">
        <v>26</v>
      </c>
      <c r="P4509" s="75" t="str">
        <f>IF(AND('331-CT'!$E$7=TH!H5332,OR(N4509="331",O4509="331")),"x","")</f>
        <v/>
      </c>
      <c r="Q4509" s="75" t="str">
        <f>IF(AND(B4509='111'!$L$11,OR($N4509=$Q$7,$O4509=$Q$7)),"x","")</f>
        <v/>
      </c>
      <c r="R4509" s="75" t="str">
        <f>IF(AND($N4509=$Q$7,$B4509&lt;'111'!$L$11),"x","")</f>
        <v/>
      </c>
      <c r="S4509" s="75" t="str">
        <f>IF(AND($O4509=$Q$7,$B4509&lt;'111'!$L$11),"x","")</f>
        <v/>
      </c>
      <c r="T4509" s="75" t="str">
        <f>IF(ISERROR(FIND('112'!$M$9,G4509,1)),"",IF((AND(FIND('112'!$M$9,G4509,1)&gt;=1,B4509='112'!$K$9,OR($N4509='112'!$I$6,$O4509='112'!$I$6))),"x",""))</f>
        <v/>
      </c>
      <c r="U4509" s="75" t="str">
        <f>IF(ISERROR(FIND('112'!$M$9,G4509,1)),"",IF((AND(LEFT(G4509,2)=LEFT('112'!$M$9,2),B4509&lt;'112'!$K$9,$N4509='112'!$I$6)),"x",""))</f>
        <v/>
      </c>
      <c r="V4509" s="75" t="str">
        <f>IF(ISERROR(FIND('112'!$M$9,G4509,1)),"",IF((AND(RIGHT(G4509,2)=RIGHT('112'!$M$9,2),B4509&lt;'112'!$K$9,$O4509='112'!$I$6)),"x",""))</f>
        <v/>
      </c>
      <c r="W4509" s="75" t="str">
        <f>IF(AND('341-CT'!$H$9=H4509,OR(LEFT(N4509,3)=$W$7,LEFT(O4509,3)=$W$7)),"x","")</f>
        <v/>
      </c>
      <c r="X4509" s="75" t="str">
        <f>IF(OR(TH!N5332=TH!$X$7,O4509=TH!$X$7),"x","")</f>
        <v/>
      </c>
      <c r="Y4509" s="75" t="str">
        <f>IF(AND(OR(N4509="131",O4509="131"),H4509='131-CT'!$H$9),"x","")</f>
        <v/>
      </c>
      <c r="Z4509" s="75"/>
      <c r="AA4509" s="75" t="str">
        <f>IF(AND(MONTH(E4509)='IN-NX'!$J$5,'IN-NX'!$D$7=D4509),"x","")</f>
        <v/>
      </c>
      <c r="AB4509" s="75" t="str">
        <f>IF(AND(OR(LEFT(TH!N5332,2)="15",LEFT(TH!O5332,2)="15"),LEFT(TH!O5332,3)&lt;&gt;"111",'152-CT'!$J$8=TH!F5332),"x","")</f>
        <v/>
      </c>
      <c r="AC4509" s="75" t="str">
        <f>IF(AND(OR(LEFT(TH!N5332,2)="15",LEFT(TH!O5332,2)="15"),TK!$E$7=TH!F5332),"x","")</f>
        <v/>
      </c>
      <c r="AD4509" s="75" t="str">
        <f>IF(AND(N4509="1521",MONTH(C4509)='BK-NL'!$M$11),"x","")</f>
        <v/>
      </c>
      <c r="AE4509">
        <v>7</v>
      </c>
      <c r="AF4509"/>
      <c r="AG4509"/>
    </row>
    <row r="4510" spans="1:33" s="1053" customFormat="1" ht="16.5" customHeight="1">
      <c r="A4510" s="309" t="str">
        <f>IF(B4510&lt;&gt;"",IF(AND(B4510='IN-TC'!$S$4,OR(TH!N4503="1111",TH!O4503="1111")),TH!D4503,""),"")</f>
        <v/>
      </c>
      <c r="B4510" s="1243">
        <f t="shared" si="1326"/>
        <v>7</v>
      </c>
      <c r="C4510" s="292">
        <f t="shared" si="1325"/>
        <v>42933</v>
      </c>
      <c r="D4510" s="59" t="s">
        <v>902</v>
      </c>
      <c r="E4510" s="59">
        <v>42933</v>
      </c>
      <c r="F4510" s="67" t="s">
        <v>1741</v>
      </c>
      <c r="G4510" s="62" t="s">
        <v>747</v>
      </c>
      <c r="H4510" s="311" t="s">
        <v>561</v>
      </c>
      <c r="I4510" s="375"/>
      <c r="J4510" s="381"/>
      <c r="K4510" s="375"/>
      <c r="L4510" s="381"/>
      <c r="M4510" s="60">
        <v>3065000</v>
      </c>
      <c r="N4510" s="61" t="s">
        <v>8</v>
      </c>
      <c r="O4510" s="61" t="s">
        <v>26</v>
      </c>
      <c r="P4510" s="75" t="str">
        <f>IF(AND('331-CT'!$E$7=TH!H5333,OR(N4510="331",O4510="331")),"x","")</f>
        <v/>
      </c>
      <c r="Q4510" s="75" t="str">
        <f>IF(AND(B4510='111'!$L$11,OR($N4510=$Q$7,$O4510=$Q$7)),"x","")</f>
        <v/>
      </c>
      <c r="R4510" s="75" t="str">
        <f>IF(AND($N4510=$Q$7,$B4510&lt;'111'!$L$11),"x","")</f>
        <v/>
      </c>
      <c r="S4510" s="75" t="str">
        <f>IF(AND($O4510=$Q$7,$B4510&lt;'111'!$L$11),"x","")</f>
        <v/>
      </c>
      <c r="T4510" s="75" t="str">
        <f>IF(ISERROR(FIND('112'!$M$9,G4510,1)),"",IF((AND(FIND('112'!$M$9,G4510,1)&gt;=1,B4510='112'!$K$9,OR($N4510='112'!$I$6,$O4510='112'!$I$6))),"x",""))</f>
        <v/>
      </c>
      <c r="U4510" s="75" t="str">
        <f>IF(ISERROR(FIND('112'!$M$9,G4510,1)),"",IF((AND(LEFT(G4510,2)=LEFT('112'!$M$9,2),B4510&lt;'112'!$K$9,$N4510='112'!$I$6)),"x",""))</f>
        <v/>
      </c>
      <c r="V4510" s="75" t="str">
        <f>IF(ISERROR(FIND('112'!$M$9,G4510,1)),"",IF((AND(RIGHT(G4510,2)=RIGHT('112'!$M$9,2),B4510&lt;'112'!$K$9,$O4510='112'!$I$6)),"x",""))</f>
        <v/>
      </c>
      <c r="W4510" s="75" t="str">
        <f>IF(AND('341-CT'!$H$9=H4510,OR(LEFT(N4510,3)=$W$7,LEFT(O4510,3)=$W$7)),"x","")</f>
        <v/>
      </c>
      <c r="X4510" s="75" t="str">
        <f>IF(OR(TH!N5333=TH!$X$7,O4510=TH!$X$7),"x","")</f>
        <v/>
      </c>
      <c r="Y4510" s="75" t="str">
        <f>IF(AND(OR(N4510="131",O4510="131"),H4510='131-CT'!$H$9),"x","")</f>
        <v/>
      </c>
      <c r="Z4510" s="75"/>
      <c r="AA4510" s="75" t="str">
        <f>IF(AND(MONTH(E4510)='IN-NX'!$J$5,'IN-NX'!$D$7=D4510),"x","")</f>
        <v/>
      </c>
      <c r="AB4510" s="75" t="str">
        <f>IF(AND(OR(LEFT(TH!N5333,2)="15",LEFT(TH!O5333,2)="15"),LEFT(TH!O5333,3)&lt;&gt;"111",'152-CT'!$J$8=TH!F5333),"x","")</f>
        <v/>
      </c>
      <c r="AC4510" s="75" t="str">
        <f>IF(AND(OR(LEFT(TH!N5333,2)="15",LEFT(TH!O5333,2)="15"),TK!$E$7=TH!F5333),"x","")</f>
        <v/>
      </c>
      <c r="AD4510" s="75" t="str">
        <f>IF(AND(N4510="1521",MONTH(C4510)='BK-NL'!$M$11),"x","")</f>
        <v/>
      </c>
      <c r="AE4510"/>
      <c r="AF4510"/>
      <c r="AG4510"/>
    </row>
    <row r="4511" spans="1:33" s="1053" customFormat="1" ht="16.5" customHeight="1">
      <c r="A4511" s="309" t="str">
        <f>IF(B4511&lt;&gt;"",IF(AND(B4511='IN-TC'!$S$4,OR(TH!N4504="1111",TH!O4504="1111")),TH!D4504,""),"")</f>
        <v/>
      </c>
      <c r="B4511" s="1243">
        <f t="shared" si="1326"/>
        <v>7</v>
      </c>
      <c r="C4511" s="292">
        <f t="shared" si="1325"/>
        <v>42933</v>
      </c>
      <c r="D4511" s="59" t="s">
        <v>902</v>
      </c>
      <c r="E4511" s="59">
        <v>42933</v>
      </c>
      <c r="F4511" s="67" t="s">
        <v>870</v>
      </c>
      <c r="G4511" s="62" t="s">
        <v>747</v>
      </c>
      <c r="H4511" s="67" t="s">
        <v>835</v>
      </c>
      <c r="I4511" s="375"/>
      <c r="J4511" s="381"/>
      <c r="K4511" s="375"/>
      <c r="L4511" s="381"/>
      <c r="M4511" s="60">
        <v>10000</v>
      </c>
      <c r="N4511" s="61" t="s">
        <v>101</v>
      </c>
      <c r="O4511" s="61" t="s">
        <v>26</v>
      </c>
      <c r="P4511" s="75" t="str">
        <f>IF(AND('331-CT'!$E$7=TH!H5334,OR(N4511="331",O4511="331")),"x","")</f>
        <v/>
      </c>
      <c r="Q4511" s="75" t="str">
        <f>IF(AND(B4511='111'!$L$11,OR($N4511=$Q$7,$O4511=$Q$7)),"x","")</f>
        <v/>
      </c>
      <c r="R4511" s="75" t="str">
        <f>IF(AND($N4511=$Q$7,$B4511&lt;'111'!$L$11),"x","")</f>
        <v/>
      </c>
      <c r="S4511" s="75" t="str">
        <f>IF(AND($O4511=$Q$7,$B4511&lt;'111'!$L$11),"x","")</f>
        <v/>
      </c>
      <c r="T4511" s="75" t="str">
        <f>IF(ISERROR(FIND('112'!$M$9,G4511,1)),"",IF((AND(FIND('112'!$M$9,G4511,1)&gt;=1,B4511='112'!$K$9,OR($N4511='112'!$I$6,$O4511='112'!$I$6))),"x",""))</f>
        <v/>
      </c>
      <c r="U4511" s="75" t="str">
        <f>IF(ISERROR(FIND('112'!$M$9,G4511,1)),"",IF((AND(LEFT(G4511,2)=LEFT('112'!$M$9,2),B4511&lt;'112'!$K$9,$N4511='112'!$I$6)),"x",""))</f>
        <v/>
      </c>
      <c r="V4511" s="75" t="str">
        <f>IF(ISERROR(FIND('112'!$M$9,G4511,1)),"",IF((AND(RIGHT(G4511,2)=RIGHT('112'!$M$9,2),B4511&lt;'112'!$K$9,$O4511='112'!$I$6)),"x",""))</f>
        <v/>
      </c>
      <c r="W4511" s="75" t="str">
        <f>IF(AND('341-CT'!$H$9=H4511,OR(LEFT(N4511,3)=$W$7,LEFT(O4511,3)=$W$7)),"x","")</f>
        <v/>
      </c>
      <c r="X4511" s="75" t="str">
        <f>IF(OR(TH!N5334=TH!$X$7,O4511=TH!$X$7),"x","")</f>
        <v/>
      </c>
      <c r="Y4511" s="75" t="str">
        <f>IF(AND(OR(N4511="131",O4511="131"),H4511='131-CT'!$H$9),"x","")</f>
        <v/>
      </c>
      <c r="Z4511" s="75"/>
      <c r="AA4511" s="75" t="str">
        <f>IF(AND(MONTH(E4511)='IN-NX'!$J$5,'IN-NX'!$D$7=D4511),"x","")</f>
        <v/>
      </c>
      <c r="AB4511" s="75" t="str">
        <f>IF(AND(OR(LEFT(TH!N5334,2)="15",LEFT(TH!O5334,2)="15"),LEFT(TH!O5334,3)&lt;&gt;"111",'152-CT'!$J$8=TH!F5334),"x","")</f>
        <v/>
      </c>
      <c r="AC4511" s="75" t="str">
        <f>IF(AND(OR(LEFT(TH!N5334,2)="15",LEFT(TH!O5334,2)="15"),TK!$E$7=TH!F5334),"x","")</f>
        <v/>
      </c>
      <c r="AD4511" s="75" t="str">
        <f>IF(AND(N4511="1521",MONTH(C4511)='BK-NL'!$M$11),"x","")</f>
        <v/>
      </c>
      <c r="AE4511"/>
      <c r="AF4511"/>
      <c r="AG4511"/>
    </row>
    <row r="4512" spans="1:33" s="1053" customFormat="1" ht="16.5" customHeight="1">
      <c r="A4512" s="309" t="str">
        <f>IF(B4512&lt;&gt;"",IF(AND(B4512='IN-TC'!$S$4,OR(TH!N4505="1111",TH!O4505="1111")),TH!D4505,""),"")</f>
        <v/>
      </c>
      <c r="B4512" s="1243">
        <f t="shared" si="1326"/>
        <v>7</v>
      </c>
      <c r="C4512" s="292">
        <f t="shared" si="1325"/>
        <v>42933</v>
      </c>
      <c r="D4512" s="59" t="s">
        <v>902</v>
      </c>
      <c r="E4512" s="59">
        <v>42933</v>
      </c>
      <c r="F4512" s="67" t="s">
        <v>898</v>
      </c>
      <c r="G4512" s="62" t="s">
        <v>747</v>
      </c>
      <c r="H4512" s="67" t="s">
        <v>835</v>
      </c>
      <c r="I4512" s="373"/>
      <c r="J4512" s="381"/>
      <c r="K4512" s="375"/>
      <c r="L4512" s="381"/>
      <c r="M4512" s="60">
        <v>1000</v>
      </c>
      <c r="N4512" s="61" t="s">
        <v>9</v>
      </c>
      <c r="O4512" s="61" t="s">
        <v>26</v>
      </c>
      <c r="P4512" s="75" t="str">
        <f>IF(AND('331-CT'!$E$7=TH!H5335,OR(N4512="331",O4512="331")),"x","")</f>
        <v/>
      </c>
      <c r="Q4512" s="75" t="str">
        <f>IF(AND(B4512='111'!$L$11,OR($N4512=$Q$7,$O4512=$Q$7)),"x","")</f>
        <v/>
      </c>
      <c r="R4512" s="75" t="str">
        <f>IF(AND($N4512=$Q$7,$B4512&lt;'111'!$L$11),"x","")</f>
        <v/>
      </c>
      <c r="S4512" s="75" t="str">
        <f>IF(AND($O4512=$Q$7,$B4512&lt;'111'!$L$11),"x","")</f>
        <v/>
      </c>
      <c r="T4512" s="75" t="str">
        <f>IF(ISERROR(FIND('112'!$M$9,G4512,1)),"",IF((AND(FIND('112'!$M$9,G4512,1)&gt;=1,B4512='112'!$K$9,OR($N4512='112'!$I$6,$O4512='112'!$I$6))),"x",""))</f>
        <v/>
      </c>
      <c r="U4512" s="75" t="str">
        <f>IF(ISERROR(FIND('112'!$M$9,G4512,1)),"",IF((AND(LEFT(G4512,2)=LEFT('112'!$M$9,2),B4512&lt;'112'!$K$9,$N4512='112'!$I$6)),"x",""))</f>
        <v/>
      </c>
      <c r="V4512" s="75" t="str">
        <f>IF(ISERROR(FIND('112'!$M$9,G4512,1)),"",IF((AND(RIGHT(G4512,2)=RIGHT('112'!$M$9,2),B4512&lt;'112'!$K$9,$O4512='112'!$I$6)),"x",""))</f>
        <v/>
      </c>
      <c r="W4512" s="75" t="str">
        <f>IF(AND('341-CT'!$H$9=H4512,OR(LEFT(N4512,3)=$W$7,LEFT(O4512,3)=$W$7)),"x","")</f>
        <v/>
      </c>
      <c r="X4512" s="75" t="str">
        <f>IF(OR(TH!N5335=TH!$X$7,O4512=TH!$X$7),"x","")</f>
        <v/>
      </c>
      <c r="Y4512" s="75" t="str">
        <f>IF(AND(OR(N4512="131",O4512="131"),H4512='131-CT'!$H$9),"x","")</f>
        <v/>
      </c>
      <c r="Z4512" s="75"/>
      <c r="AA4512" s="75" t="str">
        <f>IF(AND(MONTH(E4512)='IN-NX'!$J$5,'IN-NX'!$D$7=D4512),"x","")</f>
        <v/>
      </c>
      <c r="AB4512" s="75" t="str">
        <f>IF(AND(OR(LEFT(TH!N5335,2)="15",LEFT(TH!O5335,2)="15"),LEFT(TH!O5335,3)&lt;&gt;"111",'152-CT'!$J$8=TH!F5335),"x","")</f>
        <v/>
      </c>
      <c r="AC4512" s="75" t="str">
        <f>IF(AND(OR(LEFT(TH!N5335,2)="15",LEFT(TH!O5335,2)="15"),TK!$E$7=TH!F5335),"x","")</f>
        <v/>
      </c>
      <c r="AD4512" s="75" t="str">
        <f>IF(AND(N4512="1521",MONTH(C4512)='BK-NL'!$M$11),"x","")</f>
        <v/>
      </c>
      <c r="AE4512">
        <v>7</v>
      </c>
      <c r="AF4512"/>
      <c r="AG4512"/>
    </row>
    <row r="4513" spans="1:33" s="1053" customFormat="1" ht="16.5" customHeight="1">
      <c r="A4513" s="309" t="str">
        <f>IF(B4513&lt;&gt;"",IF(AND(B4513='IN-TC'!$S$4,OR(TH!N4506="1111",TH!O4506="1111")),TH!D4506,""),"")</f>
        <v/>
      </c>
      <c r="B4513" s="1243">
        <f t="shared" si="1326"/>
        <v>7</v>
      </c>
      <c r="C4513" s="292">
        <f t="shared" si="1325"/>
        <v>42933</v>
      </c>
      <c r="D4513" s="59" t="s">
        <v>902</v>
      </c>
      <c r="E4513" s="59">
        <v>42933</v>
      </c>
      <c r="F4513" s="67" t="s">
        <v>930</v>
      </c>
      <c r="G4513" s="62" t="s">
        <v>747</v>
      </c>
      <c r="H4513" s="294" t="s">
        <v>622</v>
      </c>
      <c r="I4513" s="373"/>
      <c r="J4513" s="381"/>
      <c r="K4513" s="375"/>
      <c r="L4513" s="381"/>
      <c r="M4513" s="60">
        <v>300000000</v>
      </c>
      <c r="N4513" s="61" t="s">
        <v>8</v>
      </c>
      <c r="O4513" s="61" t="s">
        <v>26</v>
      </c>
      <c r="P4513" s="75" t="str">
        <f>IF(AND('331-CT'!$E$7=TH!H5336,OR(N4513="331",O4513="331")),"x","")</f>
        <v/>
      </c>
      <c r="Q4513" s="75" t="str">
        <f>IF(AND(B4513='111'!$L$11,OR($N4513=$Q$7,$O4513=$Q$7)),"x","")</f>
        <v/>
      </c>
      <c r="R4513" s="75" t="str">
        <f>IF(AND($N4513=$Q$7,$B4513&lt;'111'!$L$11),"x","")</f>
        <v/>
      </c>
      <c r="S4513" s="75" t="str">
        <f>IF(AND($O4513=$Q$7,$B4513&lt;'111'!$L$11),"x","")</f>
        <v/>
      </c>
      <c r="T4513" s="75" t="str">
        <f>IF(ISERROR(FIND('112'!$M$9,G4513,1)),"",IF((AND(FIND('112'!$M$9,G4513,1)&gt;=1,B4513='112'!$K$9,OR($N4513='112'!$I$6,$O4513='112'!$I$6))),"x",""))</f>
        <v/>
      </c>
      <c r="U4513" s="75" t="str">
        <f>IF(ISERROR(FIND('112'!$M$9,G4513,1)),"",IF((AND(LEFT(G4513,2)=LEFT('112'!$M$9,2),B4513&lt;'112'!$K$9,$N4513='112'!$I$6)),"x",""))</f>
        <v/>
      </c>
      <c r="V4513" s="75" t="str">
        <f>IF(ISERROR(FIND('112'!$M$9,G4513,1)),"",IF((AND(RIGHT(G4513,2)=RIGHT('112'!$M$9,2),B4513&lt;'112'!$K$9,$O4513='112'!$I$6)),"x",""))</f>
        <v/>
      </c>
      <c r="W4513" s="75" t="str">
        <f>IF(AND('341-CT'!$H$9=H4513,OR(LEFT(N4513,3)=$W$7,LEFT(O4513,3)=$W$7)),"x","")</f>
        <v/>
      </c>
      <c r="X4513" s="75" t="str">
        <f>IF(OR(TH!N5336=TH!$X$7,O4513=TH!$X$7),"x","")</f>
        <v/>
      </c>
      <c r="Y4513" s="75" t="str">
        <f>IF(AND(OR(N4513="131",O4513="131"),H4513='131-CT'!$H$9),"x","")</f>
        <v/>
      </c>
      <c r="Z4513" s="75"/>
      <c r="AA4513" s="75" t="str">
        <f>IF(AND(MONTH(E4513)='IN-NX'!$J$5,'IN-NX'!$D$7=D4513),"x","")</f>
        <v/>
      </c>
      <c r="AB4513" s="75" t="str">
        <f>IF(AND(OR(LEFT(TH!N5336,2)="15",LEFT(TH!O5336,2)="15"),LEFT(TH!O5336,3)&lt;&gt;"111",'152-CT'!$J$8=TH!F5336),"x","")</f>
        <v/>
      </c>
      <c r="AC4513" s="75" t="str">
        <f>IF(AND(OR(LEFT(TH!N5336,2)="15",LEFT(TH!O5336,2)="15"),TK!$E$7=TH!F5336),"x","")</f>
        <v/>
      </c>
      <c r="AD4513" s="75" t="str">
        <f>IF(AND(N4513="1521",MONTH(C4513)='BK-NL'!$M$11),"x","")</f>
        <v/>
      </c>
      <c r="AE4513"/>
      <c r="AF4513"/>
      <c r="AG4513"/>
    </row>
    <row r="4514" spans="1:33" s="1053" customFormat="1" ht="16.5" customHeight="1">
      <c r="A4514" s="309" t="str">
        <f>IF(B4514&lt;&gt;"",IF(AND(B4514='IN-TC'!$S$4,OR(TH!N4507="1111",TH!O4507="1111")),TH!D4507,""),"")</f>
        <v/>
      </c>
      <c r="B4514" s="1243">
        <f t="shared" si="1326"/>
        <v>7</v>
      </c>
      <c r="C4514" s="292">
        <f t="shared" si="1325"/>
        <v>42933</v>
      </c>
      <c r="D4514" s="59" t="s">
        <v>902</v>
      </c>
      <c r="E4514" s="59">
        <v>42933</v>
      </c>
      <c r="F4514" s="67" t="s">
        <v>870</v>
      </c>
      <c r="G4514" s="62" t="s">
        <v>747</v>
      </c>
      <c r="H4514" s="67" t="s">
        <v>835</v>
      </c>
      <c r="I4514" s="373"/>
      <c r="J4514" s="381"/>
      <c r="K4514" s="375"/>
      <c r="L4514" s="381"/>
      <c r="M4514" s="60">
        <v>90000</v>
      </c>
      <c r="N4514" s="61" t="s">
        <v>101</v>
      </c>
      <c r="O4514" s="61" t="s">
        <v>26</v>
      </c>
      <c r="P4514" s="75" t="str">
        <f>IF(AND('331-CT'!$E$7=TH!H5337,OR(N4514="331",O4514="331")),"x","")</f>
        <v/>
      </c>
      <c r="Q4514" s="75" t="str">
        <f>IF(AND(B4514='111'!$L$11,OR($N4514=$Q$7,$O4514=$Q$7)),"x","")</f>
        <v/>
      </c>
      <c r="R4514" s="75" t="str">
        <f>IF(AND($N4514=$Q$7,$B4514&lt;'111'!$L$11),"x","")</f>
        <v/>
      </c>
      <c r="S4514" s="75" t="str">
        <f>IF(AND($O4514=$Q$7,$B4514&lt;'111'!$L$11),"x","")</f>
        <v/>
      </c>
      <c r="T4514" s="75" t="str">
        <f>IF(ISERROR(FIND('112'!$M$9,G4514,1)),"",IF((AND(FIND('112'!$M$9,G4514,1)&gt;=1,B4514='112'!$K$9,OR($N4514='112'!$I$6,$O4514='112'!$I$6))),"x",""))</f>
        <v/>
      </c>
      <c r="U4514" s="75" t="str">
        <f>IF(ISERROR(FIND('112'!$M$9,G4514,1)),"",IF((AND(LEFT(G4514,2)=LEFT('112'!$M$9,2),B4514&lt;'112'!$K$9,$N4514='112'!$I$6)),"x",""))</f>
        <v/>
      </c>
      <c r="V4514" s="75" t="str">
        <f>IF(ISERROR(FIND('112'!$M$9,G4514,1)),"",IF((AND(RIGHT(G4514,2)=RIGHT('112'!$M$9,2),B4514&lt;'112'!$K$9,$O4514='112'!$I$6)),"x",""))</f>
        <v/>
      </c>
      <c r="W4514" s="75" t="str">
        <f>IF(AND('341-CT'!$H$9=H4514,OR(LEFT(N4514,3)=$W$7,LEFT(O4514,3)=$W$7)),"x","")</f>
        <v/>
      </c>
      <c r="X4514" s="75" t="str">
        <f>IF(OR(TH!N5337=TH!$X$7,O4514=TH!$X$7),"x","")</f>
        <v/>
      </c>
      <c r="Y4514" s="75" t="str">
        <f>IF(AND(OR(N4514="131",O4514="131"),H4514='131-CT'!$H$9),"x","")</f>
        <v/>
      </c>
      <c r="Z4514" s="75"/>
      <c r="AA4514" s="75" t="str">
        <f>IF(AND(MONTH(E4514)='IN-NX'!$J$5,'IN-NX'!$D$7=D4514),"x","")</f>
        <v/>
      </c>
      <c r="AB4514" s="75" t="str">
        <f>IF(AND(OR(LEFT(TH!N5337,2)="15",LEFT(TH!O5337,2)="15"),LEFT(TH!O5337,3)&lt;&gt;"111",'152-CT'!$J$8=TH!F5337),"x","")</f>
        <v/>
      </c>
      <c r="AC4514" s="75" t="str">
        <f>IF(AND(OR(LEFT(TH!N5337,2)="15",LEFT(TH!O5337,2)="15"),TK!$E$7=TH!F5337),"x","")</f>
        <v/>
      </c>
      <c r="AD4514" s="75" t="str">
        <f>IF(AND(N4514="1521",MONTH(C4514)='BK-NL'!$M$11),"x","")</f>
        <v/>
      </c>
      <c r="AE4514"/>
      <c r="AF4514"/>
      <c r="AG4514"/>
    </row>
    <row r="4515" spans="1:33" s="1053" customFormat="1" ht="16.5" customHeight="1">
      <c r="A4515" s="309" t="str">
        <f>IF(B4515&lt;&gt;"",IF(AND(B4515='IN-TC'!$S$4,OR(TH!N4508="1111",TH!O4508="1111")),TH!D4508,""),"")</f>
        <v/>
      </c>
      <c r="B4515" s="1243">
        <f t="shared" si="1326"/>
        <v>7</v>
      </c>
      <c r="C4515" s="292">
        <f t="shared" si="1325"/>
        <v>42933</v>
      </c>
      <c r="D4515" s="59" t="s">
        <v>902</v>
      </c>
      <c r="E4515" s="59">
        <v>42933</v>
      </c>
      <c r="F4515" s="67" t="s">
        <v>898</v>
      </c>
      <c r="G4515" s="62" t="s">
        <v>747</v>
      </c>
      <c r="H4515" s="67" t="s">
        <v>835</v>
      </c>
      <c r="I4515" s="373"/>
      <c r="J4515" s="381"/>
      <c r="K4515" s="375"/>
      <c r="L4515" s="381"/>
      <c r="M4515" s="60">
        <v>9000</v>
      </c>
      <c r="N4515" s="61" t="s">
        <v>9</v>
      </c>
      <c r="O4515" s="61" t="s">
        <v>26</v>
      </c>
      <c r="P4515" s="75" t="str">
        <f>IF(AND('331-CT'!$E$7=TH!H5338,OR(N4515="331",O4515="331")),"x","")</f>
        <v/>
      </c>
      <c r="Q4515" s="75" t="str">
        <f>IF(AND(B4515='111'!$L$11,OR($N4515=$Q$7,$O4515=$Q$7)),"x","")</f>
        <v/>
      </c>
      <c r="R4515" s="75" t="str">
        <f>IF(AND($N4515=$Q$7,$B4515&lt;'111'!$L$11),"x","")</f>
        <v/>
      </c>
      <c r="S4515" s="75" t="str">
        <f>IF(AND($O4515=$Q$7,$B4515&lt;'111'!$L$11),"x","")</f>
        <v/>
      </c>
      <c r="T4515" s="75" t="str">
        <f>IF(ISERROR(FIND('112'!$M$9,G4515,1)),"",IF((AND(FIND('112'!$M$9,G4515,1)&gt;=1,B4515='112'!$K$9,OR($N4515='112'!$I$6,$O4515='112'!$I$6))),"x",""))</f>
        <v/>
      </c>
      <c r="U4515" s="75" t="str">
        <f>IF(ISERROR(FIND('112'!$M$9,G4515,1)),"",IF((AND(LEFT(G4515,2)=LEFT('112'!$M$9,2),B4515&lt;'112'!$K$9,$N4515='112'!$I$6)),"x",""))</f>
        <v/>
      </c>
      <c r="V4515" s="75" t="str">
        <f>IF(ISERROR(FIND('112'!$M$9,G4515,1)),"",IF((AND(RIGHT(G4515,2)=RIGHT('112'!$M$9,2),B4515&lt;'112'!$K$9,$O4515='112'!$I$6)),"x",""))</f>
        <v/>
      </c>
      <c r="W4515" s="75" t="str">
        <f>IF(AND('341-CT'!$H$9=H4515,OR(LEFT(N4515,3)=$W$7,LEFT(O4515,3)=$W$7)),"x","")</f>
        <v/>
      </c>
      <c r="X4515" s="75" t="str">
        <f>IF(OR(TH!N5338=TH!$X$7,O4515=TH!$X$7),"x","")</f>
        <v/>
      </c>
      <c r="Y4515" s="75" t="str">
        <f>IF(AND(OR(N4515="131",O4515="131"),H4515='131-CT'!$H$9),"x","")</f>
        <v/>
      </c>
      <c r="Z4515" s="75"/>
      <c r="AA4515" s="75" t="str">
        <f>IF(AND(MONTH(E4515)='IN-NX'!$J$5,'IN-NX'!$D$7=D4515),"x","")</f>
        <v/>
      </c>
      <c r="AB4515" s="75" t="str">
        <f>IF(AND(OR(LEFT(TH!N5338,2)="15",LEFT(TH!O5338,2)="15"),LEFT(TH!O5338,3)&lt;&gt;"111",'152-CT'!$J$8=TH!F5338),"x","")</f>
        <v/>
      </c>
      <c r="AC4515" s="75" t="str">
        <f>IF(AND(OR(LEFT(TH!N5338,2)="15",LEFT(TH!O5338,2)="15"),TK!$E$7=TH!F5338),"x","")</f>
        <v/>
      </c>
      <c r="AD4515" s="75" t="str">
        <f>IF(AND(N4515="1521",MONTH(C4515)='BK-NL'!$M$11),"x","")</f>
        <v/>
      </c>
      <c r="AE4515">
        <v>7</v>
      </c>
      <c r="AF4515"/>
      <c r="AG4515"/>
    </row>
    <row r="4516" spans="1:33" s="1053" customFormat="1" ht="16.5" customHeight="1">
      <c r="A4516" s="309" t="str">
        <f>IF(B4516&lt;&gt;"",IF(AND(B4516='IN-TC'!$S$4,OR(TH!N4509="1111",TH!O4509="1111")),TH!D4509,""),"")</f>
        <v/>
      </c>
      <c r="B4516" s="1243">
        <f t="shared" si="1326"/>
        <v>7</v>
      </c>
      <c r="C4516" s="292">
        <f t="shared" si="1325"/>
        <v>42934</v>
      </c>
      <c r="D4516" s="292"/>
      <c r="E4516" s="292">
        <v>42934</v>
      </c>
      <c r="F4516" s="67" t="s">
        <v>1826</v>
      </c>
      <c r="G4516" s="925" t="s">
        <v>1828</v>
      </c>
      <c r="H4516" s="294" t="s">
        <v>1829</v>
      </c>
      <c r="I4516" s="373"/>
      <c r="J4516" s="926"/>
      <c r="K4516" s="373"/>
      <c r="L4516" s="379"/>
      <c r="M4516" s="927">
        <v>1910000</v>
      </c>
      <c r="N4516" s="295" t="s">
        <v>101</v>
      </c>
      <c r="O4516" s="295" t="s">
        <v>63</v>
      </c>
      <c r="P4516" s="75" t="str">
        <f>IF(AND('331-CT'!$E$7=TH!H3770,OR(N4516="331",O4516="331")),"x","")</f>
        <v/>
      </c>
      <c r="Q4516" s="75" t="str">
        <f>IF(AND(B4516='111'!$L$11,OR($N4516=$Q$7,$O4516=$Q$7)),"x","")</f>
        <v/>
      </c>
      <c r="R4516" s="75" t="str">
        <f>IF(AND($N4516=$Q$7,$B4516&lt;'111'!$L$11),"x","")</f>
        <v/>
      </c>
      <c r="S4516" s="75" t="str">
        <f>IF(AND($O4516=$Q$7,$B4516&lt;'111'!$L$11),"x","")</f>
        <v>x</v>
      </c>
      <c r="T4516" s="75" t="str">
        <f>IF(ISERROR(FIND('112'!$M$9,G4516,1)),"",IF((AND(FIND('112'!$M$9,G4516,1)&gt;=1,B4516='112'!$K$9,OR($N4516='112'!$I$6,$O4516='112'!$I$6))),"x",""))</f>
        <v/>
      </c>
      <c r="U4516" s="75" t="str">
        <f>IF(ISERROR(FIND('112'!$M$9,G4516,1)),"",IF((AND(LEFT(G4516,2)=LEFT('112'!$M$9,2),B4516&lt;'112'!$K$9,$N4516='112'!$I$6)),"x",""))</f>
        <v/>
      </c>
      <c r="V4516" s="75" t="str">
        <f>IF(ISERROR(FIND('112'!$M$9,G4516,1)),"",IF((AND(RIGHT(G4516,2)=RIGHT('112'!$M$9,2),B4516&lt;'112'!$K$9,$O4516='112'!$I$6)),"x",""))</f>
        <v/>
      </c>
      <c r="W4516" s="75" t="str">
        <f>IF(AND('341-CT'!$H$9=H4516,OR(LEFT(N4516,3)=$W$7,LEFT(O4516,3)=$W$7)),"x","")</f>
        <v/>
      </c>
      <c r="X4516" s="75" t="str">
        <f>IF(OR(TH!N3770=TH!$X$7,O4516=TH!$X$7),"x","")</f>
        <v/>
      </c>
      <c r="Y4516" s="75" t="str">
        <f>IF(AND(OR(N4516="131",O4516="131"),H4516='131-CT'!$H$9),"x","")</f>
        <v/>
      </c>
      <c r="Z4516" s="75"/>
      <c r="AA4516" s="75" t="str">
        <f>IF(AND(MONTH(E4516)='IN-NX'!$J$5,'IN-NX'!$D$7=D4516),"x","")</f>
        <v/>
      </c>
      <c r="AB4516" s="75" t="str">
        <f>IF(AND(OR(LEFT(TH!N3770,2)="15",LEFT(TH!O3770,2)="15"),LEFT(TH!O3770,3)&lt;&gt;"111",'152-CT'!$J$8=TH!F3770),"x","")</f>
        <v/>
      </c>
      <c r="AC4516" s="75" t="str">
        <f>IF(AND(OR(LEFT(TH!N3770,2)="15",LEFT(TH!O3770,2)="15"),TK!$E$7=TH!F3770),"x","")</f>
        <v/>
      </c>
      <c r="AD4516" s="75" t="str">
        <f>IF(AND(N4516="1521",MONTH(C4516)='BK-NL'!$M$11),"x","")</f>
        <v/>
      </c>
      <c r="AE4516"/>
      <c r="AF4516"/>
      <c r="AG4516"/>
    </row>
    <row r="4517" spans="1:33" s="1053" customFormat="1" ht="16.5" customHeight="1">
      <c r="A4517" s="309" t="str">
        <f>IF(B4517&lt;&gt;"",IF(AND(B4517='IN-TC'!$S$4,OR(TH!N4510="1111",TH!O4510="1111")),TH!D4510,""),"")</f>
        <v/>
      </c>
      <c r="B4517" s="1243">
        <f t="shared" si="1326"/>
        <v>7</v>
      </c>
      <c r="C4517" s="292">
        <f t="shared" si="1325"/>
        <v>42934</v>
      </c>
      <c r="D4517" s="292"/>
      <c r="E4517" s="292">
        <v>42934</v>
      </c>
      <c r="F4517" s="67" t="s">
        <v>1827</v>
      </c>
      <c r="G4517" s="925" t="s">
        <v>1828</v>
      </c>
      <c r="H4517" s="294" t="s">
        <v>1829</v>
      </c>
      <c r="I4517" s="373"/>
      <c r="J4517" s="926"/>
      <c r="K4517" s="373"/>
      <c r="L4517" s="379"/>
      <c r="M4517" s="927">
        <v>191000</v>
      </c>
      <c r="N4517" s="295" t="s">
        <v>9</v>
      </c>
      <c r="O4517" s="295" t="s">
        <v>63</v>
      </c>
      <c r="P4517" s="75" t="str">
        <f>IF(AND('331-CT'!$E$7=TH!H3771,OR(N4517="331",O4517="331")),"x","")</f>
        <v/>
      </c>
      <c r="Q4517" s="75" t="str">
        <f>IF(AND(B4517='111'!$L$11,OR($N4517=$Q$7,$O4517=$Q$7)),"x","")</f>
        <v/>
      </c>
      <c r="R4517" s="75" t="str">
        <f>IF(AND($N4517=$Q$7,$B4517&lt;'111'!$L$11),"x","")</f>
        <v/>
      </c>
      <c r="S4517" s="75" t="str">
        <f>IF(AND($O4517=$Q$7,$B4517&lt;'111'!$L$11),"x","")</f>
        <v>x</v>
      </c>
      <c r="T4517" s="75" t="str">
        <f>IF(ISERROR(FIND('112'!$M$9,G4517,1)),"",IF((AND(FIND('112'!$M$9,G4517,1)&gt;=1,B4517='112'!$K$9,OR($N4517='112'!$I$6,$O4517='112'!$I$6))),"x",""))</f>
        <v/>
      </c>
      <c r="U4517" s="75" t="str">
        <f>IF(ISERROR(FIND('112'!$M$9,G4517,1)),"",IF((AND(LEFT(G4517,2)=LEFT('112'!$M$9,2),B4517&lt;'112'!$K$9,$N4517='112'!$I$6)),"x",""))</f>
        <v/>
      </c>
      <c r="V4517" s="75" t="str">
        <f>IF(ISERROR(FIND('112'!$M$9,G4517,1)),"",IF((AND(RIGHT(G4517,2)=RIGHT('112'!$M$9,2),B4517&lt;'112'!$K$9,$O4517='112'!$I$6)),"x",""))</f>
        <v/>
      </c>
      <c r="W4517" s="75" t="str">
        <f>IF(AND('341-CT'!$H$9=H4517,OR(LEFT(N4517,3)=$W$7,LEFT(O4517,3)=$W$7)),"x","")</f>
        <v/>
      </c>
      <c r="X4517" s="75" t="str">
        <f>IF(OR(TH!N3771=TH!$X$7,O4517=TH!$X$7),"x","")</f>
        <v/>
      </c>
      <c r="Y4517" s="75" t="str">
        <f>IF(AND(OR(N4517="131",O4517="131"),H4517='131-CT'!$H$9),"x","")</f>
        <v/>
      </c>
      <c r="Z4517" s="75"/>
      <c r="AA4517" s="75" t="str">
        <f>IF(AND(MONTH(E4517)='IN-NX'!$J$5,'IN-NX'!$D$7=D4517),"x","")</f>
        <v/>
      </c>
      <c r="AB4517" s="75" t="str">
        <f>IF(AND(OR(LEFT(TH!N3771,2)="15",LEFT(TH!O3771,2)="15"),LEFT(TH!O3771,3)&lt;&gt;"111",'152-CT'!$J$8=TH!F3771),"x","")</f>
        <v/>
      </c>
      <c r="AC4517" s="75" t="str">
        <f>IF(AND(OR(LEFT(TH!N3771,2)="15",LEFT(TH!O3771,2)="15"),TK!$E$7=TH!F3771),"x","")</f>
        <v/>
      </c>
      <c r="AD4517" s="75" t="str">
        <f>IF(AND(N4517="1521",MONTH(C4517)='BK-NL'!$M$11),"x","")</f>
        <v/>
      </c>
      <c r="AE4517">
        <v>7</v>
      </c>
      <c r="AF4517"/>
      <c r="AG4517"/>
    </row>
    <row r="4518" spans="1:33" s="1053" customFormat="1" ht="16.5" customHeight="1">
      <c r="A4518" s="309" t="str">
        <f>IF(B4518&lt;&gt;"",IF(AND(B4518='IN-TC'!$S$4,OR(TH!N4511="1111",TH!O4511="1111")),TH!D4511,""),"")</f>
        <v/>
      </c>
      <c r="B4518" s="1243">
        <f t="shared" si="1326"/>
        <v>7</v>
      </c>
      <c r="C4518" s="292">
        <f t="shared" si="1325"/>
        <v>42934</v>
      </c>
      <c r="D4518" s="292"/>
      <c r="E4518" s="292">
        <v>42934</v>
      </c>
      <c r="F4518" s="67" t="s">
        <v>1745</v>
      </c>
      <c r="G4518" s="925" t="s">
        <v>1744</v>
      </c>
      <c r="H4518" s="294" t="s">
        <v>1450</v>
      </c>
      <c r="I4518" s="373"/>
      <c r="J4518" s="926"/>
      <c r="K4518" s="373"/>
      <c r="L4518" s="379"/>
      <c r="M4518" s="927">
        <v>14982008</v>
      </c>
      <c r="N4518" s="295" t="s">
        <v>8</v>
      </c>
      <c r="O4518" s="295" t="s">
        <v>63</v>
      </c>
      <c r="P4518" s="75" t="str">
        <f>IF(AND('331-CT'!$E$7=TH!H3772,OR(N4518="331",O4518="331")),"x","")</f>
        <v/>
      </c>
      <c r="Q4518" s="75" t="str">
        <f>IF(AND(B4518='111'!$L$11,OR($N4518=$Q$7,$O4518=$Q$7)),"x","")</f>
        <v/>
      </c>
      <c r="R4518" s="75" t="str">
        <f>IF(AND($N4518=$Q$7,$B4518&lt;'111'!$L$11),"x","")</f>
        <v/>
      </c>
      <c r="S4518" s="75" t="str">
        <f>IF(AND($O4518=$Q$7,$B4518&lt;'111'!$L$11),"x","")</f>
        <v>x</v>
      </c>
      <c r="T4518" s="75" t="str">
        <f>IF(ISERROR(FIND('112'!$M$9,G4518,1)),"",IF((AND(FIND('112'!$M$9,G4518,1)&gt;=1,B4518='112'!$K$9,OR($N4518='112'!$I$6,$O4518='112'!$I$6))),"x",""))</f>
        <v/>
      </c>
      <c r="U4518" s="75" t="str">
        <f>IF(ISERROR(FIND('112'!$M$9,G4518,1)),"",IF((AND(LEFT(G4518,2)=LEFT('112'!$M$9,2),B4518&lt;'112'!$K$9,$N4518='112'!$I$6)),"x",""))</f>
        <v/>
      </c>
      <c r="V4518" s="75" t="str">
        <f>IF(ISERROR(FIND('112'!$M$9,G4518,1)),"",IF((AND(RIGHT(G4518,2)=RIGHT('112'!$M$9,2),B4518&lt;'112'!$K$9,$O4518='112'!$I$6)),"x",""))</f>
        <v/>
      </c>
      <c r="W4518" s="75" t="str">
        <f>IF(AND('341-CT'!$H$9=H4518,OR(LEFT(N4518,3)=$W$7,LEFT(O4518,3)=$W$7)),"x","")</f>
        <v/>
      </c>
      <c r="X4518" s="75" t="str">
        <f>IF(OR(TH!N3772=TH!$X$7,O4518=TH!$X$7),"x","")</f>
        <v/>
      </c>
      <c r="Y4518" s="75" t="str">
        <f>IF(AND(OR(N4518="131",O4518="131"),H4518='131-CT'!$H$9),"x","")</f>
        <v/>
      </c>
      <c r="Z4518" s="75"/>
      <c r="AA4518" s="75" t="str">
        <f>IF(AND(MONTH(E4518)='IN-NX'!$J$5,'IN-NX'!$D$7=D4518),"x","")</f>
        <v/>
      </c>
      <c r="AB4518" s="75" t="str">
        <f>IF(AND(OR(LEFT(TH!N3772,2)="15",LEFT(TH!O3772,2)="15"),LEFT(TH!O3772,3)&lt;&gt;"111",'152-CT'!$J$8=TH!F3772),"x","")</f>
        <v/>
      </c>
      <c r="AC4518" s="75" t="str">
        <f>IF(AND(OR(LEFT(TH!N3772,2)="15",LEFT(TH!O3772,2)="15"),TK!$E$7=TH!F3772),"x","")</f>
        <v/>
      </c>
      <c r="AD4518" s="75" t="str">
        <f>IF(AND(N4518="1521",MONTH(C4518)='BK-NL'!$M$11),"x","")</f>
        <v/>
      </c>
      <c r="AE4518"/>
      <c r="AF4518"/>
      <c r="AG4518"/>
    </row>
    <row r="4519" spans="1:33" s="1053" customFormat="1" ht="16.5" customHeight="1">
      <c r="A4519" s="309" t="str">
        <f>IF(B4519&lt;&gt;"",IF(AND(B4519='IN-TC'!$S$4,OR(TH!N4512="1111",TH!O4512="1111")),TH!D4512,""),"")</f>
        <v/>
      </c>
      <c r="B4519" s="1243">
        <f t="shared" si="1326"/>
        <v>7</v>
      </c>
      <c r="C4519" s="292">
        <f t="shared" si="1325"/>
        <v>42934</v>
      </c>
      <c r="D4519" s="59" t="s">
        <v>902</v>
      </c>
      <c r="E4519" s="59">
        <v>42934</v>
      </c>
      <c r="F4519" s="67" t="s">
        <v>1549</v>
      </c>
      <c r="G4519" s="62" t="s">
        <v>747</v>
      </c>
      <c r="H4519" s="67" t="s">
        <v>835</v>
      </c>
      <c r="I4519" s="373"/>
      <c r="J4519" s="379"/>
      <c r="K4519" s="373"/>
      <c r="L4519" s="379"/>
      <c r="M4519" s="60">
        <v>227700</v>
      </c>
      <c r="N4519" s="61" t="s">
        <v>101</v>
      </c>
      <c r="O4519" s="61" t="s">
        <v>26</v>
      </c>
      <c r="P4519" s="75" t="str">
        <f>IF(AND('331-CT'!$E$7=TH!H5339,OR(N4519="331",O4519="331")),"x","")</f>
        <v/>
      </c>
      <c r="Q4519" s="75" t="str">
        <f>IF(AND(B4519='111'!$L$11,OR($N4519=$Q$7,$O4519=$Q$7)),"x","")</f>
        <v/>
      </c>
      <c r="R4519" s="75" t="str">
        <f>IF(AND($N4519=$Q$7,$B4519&lt;'111'!$L$11),"x","")</f>
        <v/>
      </c>
      <c r="S4519" s="75" t="str">
        <f>IF(AND($O4519=$Q$7,$B4519&lt;'111'!$L$11),"x","")</f>
        <v/>
      </c>
      <c r="T4519" s="75" t="str">
        <f>IF(ISERROR(FIND('112'!$M$9,G4519,1)),"",IF((AND(FIND('112'!$M$9,G4519,1)&gt;=1,B4519='112'!$K$9,OR($N4519='112'!$I$6,$O4519='112'!$I$6))),"x",""))</f>
        <v/>
      </c>
      <c r="U4519" s="75" t="str">
        <f>IF(ISERROR(FIND('112'!$M$9,G4519,1)),"",IF((AND(LEFT(G4519,2)=LEFT('112'!$M$9,2),B4519&lt;'112'!$K$9,$N4519='112'!$I$6)),"x",""))</f>
        <v/>
      </c>
      <c r="V4519" s="75" t="str">
        <f>IF(ISERROR(FIND('112'!$M$9,G4519,1)),"",IF((AND(RIGHT(G4519,2)=RIGHT('112'!$M$9,2),B4519&lt;'112'!$K$9,$O4519='112'!$I$6)),"x",""))</f>
        <v/>
      </c>
      <c r="W4519" s="75" t="str">
        <f>IF(AND('341-CT'!$H$9=H4519,OR(LEFT(N4519,3)=$W$7,LEFT(O4519,3)=$W$7)),"x","")</f>
        <v/>
      </c>
      <c r="X4519" s="75" t="str">
        <f>IF(OR(TH!N5339=TH!$X$7,O4519=TH!$X$7),"x","")</f>
        <v/>
      </c>
      <c r="Y4519" s="75" t="str">
        <f>IF(AND(OR(N4519="131",O4519="131"),H4519='131-CT'!$H$9),"x","")</f>
        <v/>
      </c>
      <c r="Z4519" s="75"/>
      <c r="AA4519" s="75" t="str">
        <f>IF(AND(MONTH(E4519)='IN-NX'!$J$5,'IN-NX'!$D$7=D4519),"x","")</f>
        <v/>
      </c>
      <c r="AB4519" s="75" t="str">
        <f>IF(AND(OR(LEFT(TH!N5339,2)="15",LEFT(TH!O5339,2)="15"),LEFT(TH!O5339,3)&lt;&gt;"111",'152-CT'!$J$8=TH!F5339),"x","")</f>
        <v/>
      </c>
      <c r="AC4519" s="75" t="str">
        <f>IF(AND(OR(LEFT(TH!N5339,2)="15",LEFT(TH!O5339,2)="15"),TK!$E$7=TH!F5339),"x","")</f>
        <v/>
      </c>
      <c r="AD4519" s="75" t="str">
        <f>IF(AND(N4519="1521",MONTH(C4519)='BK-NL'!$M$11),"x","")</f>
        <v/>
      </c>
      <c r="AE4519"/>
      <c r="AF4519"/>
      <c r="AG4519"/>
    </row>
    <row r="4520" spans="1:33" s="1053" customFormat="1" ht="16.5" customHeight="1">
      <c r="A4520" s="309" t="str">
        <f>IF(B4520&lt;&gt;"",IF(AND(B4520='IN-TC'!$S$4,OR(TH!N4513="1111",TH!O4513="1111")),TH!D4513,""),"")</f>
        <v/>
      </c>
      <c r="B4520" s="1243">
        <f t="shared" si="1326"/>
        <v>7</v>
      </c>
      <c r="C4520" s="292">
        <f t="shared" si="1325"/>
        <v>42935</v>
      </c>
      <c r="D4520" s="292"/>
      <c r="E4520" s="59">
        <v>42935</v>
      </c>
      <c r="F4520" s="67" t="s">
        <v>1830</v>
      </c>
      <c r="G4520" s="742" t="s">
        <v>1831</v>
      </c>
      <c r="H4520" s="67" t="s">
        <v>1720</v>
      </c>
      <c r="I4520" s="373"/>
      <c r="J4520" s="379"/>
      <c r="K4520" s="373"/>
      <c r="L4520" s="379"/>
      <c r="M4520" s="60">
        <v>2280000</v>
      </c>
      <c r="N4520" s="61" t="s">
        <v>101</v>
      </c>
      <c r="O4520" s="61" t="s">
        <v>63</v>
      </c>
      <c r="P4520" s="75" t="str">
        <f>IF(AND('331-CT'!$E$7=TH!H3773,OR(N4520="331",O4520="331")),"x","")</f>
        <v/>
      </c>
      <c r="Q4520" s="75" t="str">
        <f>IF(AND(B4520='111'!$L$11,OR($N4520=$Q$7,$O4520=$Q$7)),"x","")</f>
        <v/>
      </c>
      <c r="R4520" s="75" t="str">
        <f>IF(AND($N4520=$Q$7,$B4520&lt;'111'!$L$11),"x","")</f>
        <v/>
      </c>
      <c r="S4520" s="75" t="str">
        <f>IF(AND($O4520=$Q$7,$B4520&lt;'111'!$L$11),"x","")</f>
        <v>x</v>
      </c>
      <c r="T4520" s="75" t="str">
        <f>IF(ISERROR(FIND('112'!$M$9,G4520,1)),"",IF((AND(FIND('112'!$M$9,G4520,1)&gt;=1,B4520='112'!$K$9,OR($N4520='112'!$I$6,$O4520='112'!$I$6))),"x",""))</f>
        <v/>
      </c>
      <c r="U4520" s="75" t="str">
        <f>IF(ISERROR(FIND('112'!$M$9,G4520,1)),"",IF((AND(LEFT(G4520,2)=LEFT('112'!$M$9,2),B4520&lt;'112'!$K$9,$N4520='112'!$I$6)),"x",""))</f>
        <v/>
      </c>
      <c r="V4520" s="75" t="str">
        <f>IF(ISERROR(FIND('112'!$M$9,G4520,1)),"",IF((AND(RIGHT(G4520,2)=RIGHT('112'!$M$9,2),B4520&lt;'112'!$K$9,$O4520='112'!$I$6)),"x",""))</f>
        <v/>
      </c>
      <c r="W4520" s="75" t="str">
        <f>IF(AND('341-CT'!$H$9=H4520,OR(LEFT(N4520,3)=$W$7,LEFT(O4520,3)=$W$7)),"x","")</f>
        <v/>
      </c>
      <c r="X4520" s="75" t="str">
        <f>IF(OR(TH!N3773=TH!$X$7,O4520=TH!$X$7),"x","")</f>
        <v/>
      </c>
      <c r="Y4520" s="75" t="str">
        <f>IF(AND(OR(N4520="131",O4520="131"),H4520='131-CT'!$H$9),"x","")</f>
        <v/>
      </c>
      <c r="Z4520" s="75"/>
      <c r="AA4520" s="75" t="str">
        <f>IF(AND(MONTH(E4520)='IN-NX'!$J$5,'IN-NX'!$D$7=D4520),"x","")</f>
        <v/>
      </c>
      <c r="AB4520" s="75" t="str">
        <f>IF(AND(OR(LEFT(TH!N3773,2)="15",LEFT(TH!O3773,2)="15"),LEFT(TH!O3773,3)&lt;&gt;"111",'152-CT'!$J$8=TH!F3773),"x","")</f>
        <v/>
      </c>
      <c r="AC4520" s="75" t="str">
        <f>IF(AND(OR(LEFT(TH!N3773,2)="15",LEFT(TH!O3773,2)="15"),TK!$E$7=TH!F3773),"x","")</f>
        <v/>
      </c>
      <c r="AD4520" s="75" t="str">
        <f>IF(AND(N4520="1521",MONTH(C4520)='BK-NL'!$M$11),"x","")</f>
        <v/>
      </c>
      <c r="AE4520"/>
      <c r="AF4520"/>
      <c r="AG4520"/>
    </row>
    <row r="4521" spans="1:33" ht="16.5" customHeight="1">
      <c r="A4521" s="309" t="str">
        <f>IF(B4521&lt;&gt;"",IF(AND(B4521='IN-TC'!$S$4,OR(TH!N4514="1111",TH!O4514="1111")),TH!D4514,""),"")</f>
        <v/>
      </c>
      <c r="B4521" s="1243">
        <f t="shared" si="1326"/>
        <v>7</v>
      </c>
      <c r="C4521" s="292">
        <f t="shared" si="1325"/>
        <v>42935</v>
      </c>
      <c r="D4521" s="292"/>
      <c r="E4521" s="292">
        <v>42935</v>
      </c>
      <c r="F4521" s="1010" t="s">
        <v>1881</v>
      </c>
      <c r="G4521" s="925"/>
      <c r="H4521" s="311" t="s">
        <v>1890</v>
      </c>
      <c r="I4521" s="373"/>
      <c r="J4521" s="926"/>
      <c r="K4521" s="373"/>
      <c r="L4521" s="379"/>
      <c r="M4521" s="927">
        <v>2889719000</v>
      </c>
      <c r="N4521" s="295" t="s">
        <v>8</v>
      </c>
      <c r="O4521" s="295" t="s">
        <v>63</v>
      </c>
      <c r="P4521" s="75" t="str">
        <f>IF(AND('331-CT'!$E$7=TH!H4285,OR(N4521="331",O4521="331")),"x","")</f>
        <v/>
      </c>
      <c r="Q4521" s="75" t="str">
        <f>IF(AND(B4521='111'!$L$11,OR($N4521=$Q$7,$O4521=$Q$7)),"x","")</f>
        <v/>
      </c>
      <c r="R4521" s="75" t="str">
        <f>IF(AND($N4521=$Q$7,$B4521&lt;'111'!$L$11),"x","")</f>
        <v/>
      </c>
      <c r="S4521" s="75" t="str">
        <f>IF(AND($O4521=$Q$7,$B4521&lt;'111'!$L$11),"x","")</f>
        <v>x</v>
      </c>
      <c r="T4521" s="75" t="str">
        <f>IF(ISERROR(FIND('112'!$M$9,G4521,1)),"",IF((AND(FIND('112'!$M$9,G4521,1)&gt;=1,B4521='112'!$K$9,OR($N4521='112'!$I$6,$O4521='112'!$I$6))),"x",""))</f>
        <v/>
      </c>
      <c r="U4521" s="75" t="str">
        <f>IF(ISERROR(FIND('112'!$M$9,G4521,1)),"",IF((AND(LEFT(G4521,2)=LEFT('112'!$M$9,2),B4521&lt;'112'!$K$9,$N4521='112'!$I$6)),"x",""))</f>
        <v/>
      </c>
      <c r="V4521" s="75" t="str">
        <f>IF(ISERROR(FIND('112'!$M$9,G4521,1)),"",IF((AND(RIGHT(G4521,2)=RIGHT('112'!$M$9,2),B4521&lt;'112'!$K$9,$O4521='112'!$I$6)),"x",""))</f>
        <v/>
      </c>
      <c r="W4521" s="75" t="str">
        <f>IF(AND('341-CT'!$H$9=H4521,OR(LEFT(N4521,3)=$W$7,LEFT(O4521,3)=$W$7)),"x","")</f>
        <v/>
      </c>
      <c r="X4521" s="75" t="str">
        <f>IF(OR(TH!N4285=TH!$X$7,O4521=TH!$X$7),"x","")</f>
        <v/>
      </c>
      <c r="Y4521" s="75" t="str">
        <f>IF(AND(OR(N4521="131",O4521="131"),H4521='131-CT'!$H$9),"x","")</f>
        <v/>
      </c>
      <c r="Z4521" s="75"/>
      <c r="AA4521" s="75" t="str">
        <f>IF(AND(MONTH(E4521)='IN-NX'!$J$5,'IN-NX'!$D$7=D4521),"x","")</f>
        <v/>
      </c>
      <c r="AB4521" s="75" t="str">
        <f>IF(AND(OR(LEFT(TH!N4285,2)="15",LEFT(TH!O4285,2)="15"),LEFT(TH!O4285,3)&lt;&gt;"111",'152-CT'!$J$8=TH!F4285),"x","")</f>
        <v/>
      </c>
      <c r="AC4521" s="75" t="str">
        <f>IF(AND(OR(LEFT(TH!N4285,2)="15",LEFT(TH!O4285,2)="15"),TK!$E$7=TH!F4285),"x","")</f>
        <v/>
      </c>
      <c r="AD4521" s="75" t="str">
        <f>IF(AND(N4521="1521",MONTH(C4521)='BK-NL'!$M$11),"x","")</f>
        <v/>
      </c>
    </row>
    <row r="4522" spans="1:33" ht="16.5" customHeight="1">
      <c r="A4522" s="309" t="str">
        <f>IF(B4522&lt;&gt;"",IF(AND(B4522='IN-TC'!$S$4,OR(TH!N4515="1111",TH!O4515="1111")),TH!D4515,""),"")</f>
        <v/>
      </c>
      <c r="B4522" s="1243">
        <f t="shared" si="1326"/>
        <v>7</v>
      </c>
      <c r="C4522" s="292">
        <f t="shared" si="1325"/>
        <v>42935</v>
      </c>
      <c r="D4522" s="292"/>
      <c r="E4522" s="292">
        <v>42935</v>
      </c>
      <c r="F4522" s="1010" t="s">
        <v>1883</v>
      </c>
      <c r="G4522" s="925"/>
      <c r="H4522" s="311"/>
      <c r="I4522" s="373"/>
      <c r="J4522" s="926"/>
      <c r="K4522" s="373"/>
      <c r="L4522" s="379"/>
      <c r="M4522" s="927">
        <v>1000000</v>
      </c>
      <c r="N4522" s="295" t="s">
        <v>101</v>
      </c>
      <c r="O4522" s="295" t="s">
        <v>63</v>
      </c>
      <c r="P4522" s="75" t="str">
        <f>IF(AND('331-CT'!$E$7=TH!H4286,OR(N4522="331",O4522="331")),"x","")</f>
        <v/>
      </c>
      <c r="Q4522" s="75" t="str">
        <f>IF(AND(B4522='111'!$L$11,OR($N4522=$Q$7,$O4522=$Q$7)),"x","")</f>
        <v/>
      </c>
      <c r="R4522" s="75" t="str">
        <f>IF(AND($N4522=$Q$7,$B4522&lt;'111'!$L$11),"x","")</f>
        <v/>
      </c>
      <c r="S4522" s="75" t="str">
        <f>IF(AND($O4522=$Q$7,$B4522&lt;'111'!$L$11),"x","")</f>
        <v>x</v>
      </c>
      <c r="T4522" s="75" t="str">
        <f>IF(ISERROR(FIND('112'!$M$9,G4522,1)),"",IF((AND(FIND('112'!$M$9,G4522,1)&gt;=1,B4522='112'!$K$9,OR($N4522='112'!$I$6,$O4522='112'!$I$6))),"x",""))</f>
        <v/>
      </c>
      <c r="U4522" s="75" t="str">
        <f>IF(ISERROR(FIND('112'!$M$9,G4522,1)),"",IF((AND(LEFT(G4522,2)=LEFT('112'!$M$9,2),B4522&lt;'112'!$K$9,$N4522='112'!$I$6)),"x",""))</f>
        <v/>
      </c>
      <c r="V4522" s="75" t="str">
        <f>IF(ISERROR(FIND('112'!$M$9,G4522,1)),"",IF((AND(RIGHT(G4522,2)=RIGHT('112'!$M$9,2),B4522&lt;'112'!$K$9,$O4522='112'!$I$6)),"x",""))</f>
        <v/>
      </c>
      <c r="W4522" s="75" t="str">
        <f>IF(AND('341-CT'!$H$9=H4522,OR(LEFT(N4522,3)=$W$7,LEFT(O4522,3)=$W$7)),"x","")</f>
        <v/>
      </c>
      <c r="X4522" s="75" t="str">
        <f>IF(OR(TH!N4286=TH!$X$7,O4522=TH!$X$7),"x","")</f>
        <v/>
      </c>
      <c r="Y4522" s="75" t="str">
        <f>IF(AND(OR(N4522="131",O4522="131"),H4522='131-CT'!$H$9),"x","")</f>
        <v/>
      </c>
      <c r="Z4522" s="75"/>
      <c r="AA4522" s="75" t="str">
        <f>IF(AND(MONTH(E4522)='IN-NX'!$J$5,'IN-NX'!$D$7=D4522),"x","")</f>
        <v/>
      </c>
      <c r="AB4522" s="75" t="str">
        <f>IF(AND(OR(LEFT(TH!N4286,2)="15",LEFT(TH!O4286,2)="15"),LEFT(TH!O4286,3)&lt;&gt;"111",'152-CT'!$J$8=TH!F4286),"x","")</f>
        <v/>
      </c>
      <c r="AC4522" s="75" t="str">
        <f>IF(AND(OR(LEFT(TH!N4286,2)="15",LEFT(TH!O4286,2)="15"),TK!$E$7=TH!F4286),"x","")</f>
        <v/>
      </c>
      <c r="AD4522" s="75" t="str">
        <f>IF(AND(N4522="1521",MONTH(C4522)='BK-NL'!$M$11),"x","")</f>
        <v/>
      </c>
      <c r="AE4522">
        <v>9</v>
      </c>
    </row>
    <row r="4523" spans="1:33" ht="16.5" customHeight="1">
      <c r="A4523" s="309" t="str">
        <f>IF(B4523&lt;&gt;"",IF(AND(B4523='IN-TC'!$S$4,OR(TH!N4516="1111",TH!O4516="1111")),TH!D4516,""),"")</f>
        <v/>
      </c>
      <c r="B4523" s="1243">
        <f t="shared" si="1326"/>
        <v>7</v>
      </c>
      <c r="C4523" s="292">
        <f t="shared" si="1325"/>
        <v>42935</v>
      </c>
      <c r="D4523" s="292"/>
      <c r="E4523" s="292">
        <v>42935</v>
      </c>
      <c r="F4523" s="1010" t="s">
        <v>1895</v>
      </c>
      <c r="G4523" s="925"/>
      <c r="H4523" s="311"/>
      <c r="I4523" s="373"/>
      <c r="J4523" s="926"/>
      <c r="K4523" s="373"/>
      <c r="L4523" s="379"/>
      <c r="M4523" s="927">
        <v>100000</v>
      </c>
      <c r="N4523" s="295" t="s">
        <v>9</v>
      </c>
      <c r="O4523" s="295" t="s">
        <v>63</v>
      </c>
      <c r="P4523" s="75" t="str">
        <f>IF(AND('331-CT'!$E$7=TH!H4287,OR(N4523="331",O4523="331")),"x","")</f>
        <v/>
      </c>
      <c r="Q4523" s="75" t="str">
        <f>IF(AND(B4523='111'!$L$11,OR($N4523=$Q$7,$O4523=$Q$7)),"x","")</f>
        <v/>
      </c>
      <c r="R4523" s="75" t="str">
        <f>IF(AND($N4523=$Q$7,$B4523&lt;'111'!$L$11),"x","")</f>
        <v/>
      </c>
      <c r="S4523" s="75" t="str">
        <f>IF(AND($O4523=$Q$7,$B4523&lt;'111'!$L$11),"x","")</f>
        <v>x</v>
      </c>
      <c r="T4523" s="75" t="str">
        <f>IF(ISERROR(FIND('112'!$M$9,G4523,1)),"",IF((AND(FIND('112'!$M$9,G4523,1)&gt;=1,B4523='112'!$K$9,OR($N4523='112'!$I$6,$O4523='112'!$I$6))),"x",""))</f>
        <v/>
      </c>
      <c r="U4523" s="75" t="str">
        <f>IF(ISERROR(FIND('112'!$M$9,G4523,1)),"",IF((AND(LEFT(G4523,2)=LEFT('112'!$M$9,2),B4523&lt;'112'!$K$9,$N4523='112'!$I$6)),"x",""))</f>
        <v/>
      </c>
      <c r="V4523" s="75" t="str">
        <f>IF(ISERROR(FIND('112'!$M$9,G4523,1)),"",IF((AND(RIGHT(G4523,2)=RIGHT('112'!$M$9,2),B4523&lt;'112'!$K$9,$O4523='112'!$I$6)),"x",""))</f>
        <v/>
      </c>
      <c r="W4523" s="75" t="str">
        <f>IF(AND('341-CT'!$H$9=H4523,OR(LEFT(N4523,3)=$W$7,LEFT(O4523,3)=$W$7)),"x","")</f>
        <v/>
      </c>
      <c r="X4523" s="75" t="str">
        <f>IF(OR(TH!N4287=TH!$X$7,O4523=TH!$X$7),"x","")</f>
        <v/>
      </c>
      <c r="Y4523" s="75" t="str">
        <f>IF(AND(OR(N4523="131",O4523="131"),H4523='131-CT'!$H$9),"x","")</f>
        <v/>
      </c>
      <c r="Z4523" s="75"/>
      <c r="AA4523" s="75" t="str">
        <f>IF(AND(MONTH(E4523)='IN-NX'!$J$5,'IN-NX'!$D$7=D4523),"x","")</f>
        <v/>
      </c>
      <c r="AB4523" s="75" t="str">
        <f>IF(AND(OR(LEFT(TH!N4287,2)="15",LEFT(TH!O4287,2)="15"),LEFT(TH!O4287,3)&lt;&gt;"111",'152-CT'!$J$8=TH!F4287),"x","")</f>
        <v/>
      </c>
      <c r="AC4523" s="75" t="str">
        <f>IF(AND(OR(LEFT(TH!N4287,2)="15",LEFT(TH!O4287,2)="15"),TK!$E$7=TH!F4287),"x","")</f>
        <v/>
      </c>
      <c r="AD4523" s="75" t="str">
        <f>IF(AND(N4523="1521",MONTH(C4523)='BK-NL'!$M$11),"x","")</f>
        <v/>
      </c>
      <c r="AE4523">
        <v>9</v>
      </c>
    </row>
    <row r="4524" spans="1:33" ht="16.5" customHeight="1">
      <c r="A4524" s="309" t="str">
        <f>IF(B4524&lt;&gt;"",IF(AND(B4524='IN-TC'!$S$4,OR(TH!N4517="1111",TH!O4517="1111")),TH!D4517,""),"")</f>
        <v/>
      </c>
      <c r="B4524" s="1243">
        <f t="shared" si="1326"/>
        <v>7</v>
      </c>
      <c r="C4524" s="292">
        <f t="shared" si="1325"/>
        <v>42935</v>
      </c>
      <c r="D4524" s="292"/>
      <c r="E4524" s="292">
        <v>42935</v>
      </c>
      <c r="F4524" s="1010" t="s">
        <v>1881</v>
      </c>
      <c r="G4524" s="925"/>
      <c r="H4524" s="311" t="s">
        <v>1882</v>
      </c>
      <c r="I4524" s="373"/>
      <c r="J4524" s="926"/>
      <c r="K4524" s="373"/>
      <c r="L4524" s="379"/>
      <c r="M4524" s="927">
        <v>1912587000</v>
      </c>
      <c r="N4524" s="295" t="s">
        <v>8</v>
      </c>
      <c r="O4524" s="295" t="s">
        <v>63</v>
      </c>
      <c r="P4524" s="75" t="str">
        <f>IF(AND('331-CT'!$E$7=TH!H4288,OR(N4524="331",O4524="331")),"x","")</f>
        <v/>
      </c>
      <c r="Q4524" s="75" t="str">
        <f>IF(AND(B4524='111'!$L$11,OR($N4524=$Q$7,$O4524=$Q$7)),"x","")</f>
        <v/>
      </c>
      <c r="R4524" s="75" t="str">
        <f>IF(AND($N4524=$Q$7,$B4524&lt;'111'!$L$11),"x","")</f>
        <v/>
      </c>
      <c r="S4524" s="75" t="str">
        <f>IF(AND($O4524=$Q$7,$B4524&lt;'111'!$L$11),"x","")</f>
        <v>x</v>
      </c>
      <c r="T4524" s="75" t="str">
        <f>IF(ISERROR(FIND('112'!$M$9,G4524,1)),"",IF((AND(FIND('112'!$M$9,G4524,1)&gt;=1,B4524='112'!$K$9,OR($N4524='112'!$I$6,$O4524='112'!$I$6))),"x",""))</f>
        <v/>
      </c>
      <c r="U4524" s="75" t="str">
        <f>IF(ISERROR(FIND('112'!$M$9,G4524,1)),"",IF((AND(LEFT(G4524,2)=LEFT('112'!$M$9,2),B4524&lt;'112'!$K$9,$N4524='112'!$I$6)),"x",""))</f>
        <v/>
      </c>
      <c r="V4524" s="75" t="str">
        <f>IF(ISERROR(FIND('112'!$M$9,G4524,1)),"",IF((AND(RIGHT(G4524,2)=RIGHT('112'!$M$9,2),B4524&lt;'112'!$K$9,$O4524='112'!$I$6)),"x",""))</f>
        <v/>
      </c>
      <c r="W4524" s="75" t="str">
        <f>IF(AND('341-CT'!$H$9=H4524,OR(LEFT(N4524,3)=$W$7,LEFT(O4524,3)=$W$7)),"x","")</f>
        <v/>
      </c>
      <c r="X4524" s="75" t="str">
        <f>IF(OR(TH!N4288=TH!$X$7,O4524=TH!$X$7),"x","")</f>
        <v/>
      </c>
      <c r="Y4524" s="75" t="str">
        <f>IF(AND(OR(N4524="131",O4524="131"),H4524='131-CT'!$H$9),"x","")</f>
        <v/>
      </c>
      <c r="Z4524" s="75"/>
      <c r="AA4524" s="75" t="str">
        <f>IF(AND(MONTH(E4524)='IN-NX'!$J$5,'IN-NX'!$D$7=D4524),"x","")</f>
        <v/>
      </c>
      <c r="AB4524" s="75" t="str">
        <f>IF(AND(OR(LEFT(TH!N4288,2)="15",LEFT(TH!O4288,2)="15"),LEFT(TH!O4288,3)&lt;&gt;"111",'152-CT'!$J$8=TH!F4288),"x","")</f>
        <v/>
      </c>
      <c r="AC4524" s="75" t="str">
        <f>IF(AND(OR(LEFT(TH!N4288,2)="15",LEFT(TH!O4288,2)="15"),TK!$E$7=TH!F4288),"x","")</f>
        <v/>
      </c>
      <c r="AD4524" s="75" t="str">
        <f>IF(AND(N4524="1521",MONTH(C4524)='BK-NL'!$M$11),"x","")</f>
        <v/>
      </c>
    </row>
    <row r="4525" spans="1:33" ht="16.5" customHeight="1">
      <c r="A4525" s="309" t="str">
        <f>IF(B4525&lt;&gt;"",IF(AND(B4525='IN-TC'!$S$4,OR(TH!N4518="1111",TH!O4518="1111")),TH!D4518,""),"")</f>
        <v/>
      </c>
      <c r="B4525" s="1243">
        <f t="shared" si="1326"/>
        <v>7</v>
      </c>
      <c r="C4525" s="292">
        <f t="shared" si="1325"/>
        <v>42935</v>
      </c>
      <c r="D4525" s="292"/>
      <c r="E4525" s="292">
        <v>42935</v>
      </c>
      <c r="F4525" s="1010" t="s">
        <v>1883</v>
      </c>
      <c r="G4525" s="925"/>
      <c r="H4525" s="311"/>
      <c r="I4525" s="373"/>
      <c r="J4525" s="926"/>
      <c r="K4525" s="373"/>
      <c r="L4525" s="379"/>
      <c r="M4525" s="927">
        <v>956294</v>
      </c>
      <c r="N4525" s="295" t="s">
        <v>101</v>
      </c>
      <c r="O4525" s="295" t="s">
        <v>63</v>
      </c>
      <c r="P4525" s="75" t="str">
        <f>IF(AND('331-CT'!$E$7=TH!H4289,OR(N4525="331",O4525="331")),"x","")</f>
        <v/>
      </c>
      <c r="Q4525" s="75" t="str">
        <f>IF(AND(B4525='111'!$L$11,OR($N4525=$Q$7,$O4525=$Q$7)),"x","")</f>
        <v/>
      </c>
      <c r="R4525" s="75" t="str">
        <f>IF(AND($N4525=$Q$7,$B4525&lt;'111'!$L$11),"x","")</f>
        <v/>
      </c>
      <c r="S4525" s="75" t="str">
        <f>IF(AND($O4525=$Q$7,$B4525&lt;'111'!$L$11),"x","")</f>
        <v>x</v>
      </c>
      <c r="T4525" s="75" t="str">
        <f>IF(ISERROR(FIND('112'!$M$9,G4525,1)),"",IF((AND(FIND('112'!$M$9,G4525,1)&gt;=1,B4525='112'!$K$9,OR($N4525='112'!$I$6,$O4525='112'!$I$6))),"x",""))</f>
        <v/>
      </c>
      <c r="U4525" s="75" t="str">
        <f>IF(ISERROR(FIND('112'!$M$9,G4525,1)),"",IF((AND(LEFT(G4525,2)=LEFT('112'!$M$9,2),B4525&lt;'112'!$K$9,$N4525='112'!$I$6)),"x",""))</f>
        <v/>
      </c>
      <c r="V4525" s="75" t="str">
        <f>IF(ISERROR(FIND('112'!$M$9,G4525,1)),"",IF((AND(RIGHT(G4525,2)=RIGHT('112'!$M$9,2),B4525&lt;'112'!$K$9,$O4525='112'!$I$6)),"x",""))</f>
        <v/>
      </c>
      <c r="W4525" s="75" t="str">
        <f>IF(AND('341-CT'!$H$9=H4525,OR(LEFT(N4525,3)=$W$7,LEFT(O4525,3)=$W$7)),"x","")</f>
        <v/>
      </c>
      <c r="X4525" s="75" t="str">
        <f>IF(OR(TH!N4289=TH!$X$7,O4525=TH!$X$7),"x","")</f>
        <v/>
      </c>
      <c r="Y4525" s="75" t="str">
        <f>IF(AND(OR(N4525="131",O4525="131"),H4525='131-CT'!$H$9),"x","")</f>
        <v/>
      </c>
      <c r="Z4525" s="75"/>
      <c r="AA4525" s="75" t="str">
        <f>IF(AND(MONTH(E4525)='IN-NX'!$J$5,'IN-NX'!$D$7=D4525),"x","")</f>
        <v/>
      </c>
      <c r="AB4525" s="75" t="str">
        <f>IF(AND(OR(LEFT(TH!N4289,2)="15",LEFT(TH!O4289,2)="15"),LEFT(TH!O4289,3)&lt;&gt;"111",'152-CT'!$J$8=TH!F4289),"x","")</f>
        <v/>
      </c>
      <c r="AC4525" s="75" t="str">
        <f>IF(AND(OR(LEFT(TH!N4289,2)="15",LEFT(TH!O4289,2)="15"),TK!$E$7=TH!F4289),"x","")</f>
        <v/>
      </c>
      <c r="AD4525" s="75" t="str">
        <f>IF(AND(N4525="1521",MONTH(C4525)='BK-NL'!$M$11),"x","")</f>
        <v/>
      </c>
      <c r="AE4525">
        <v>9</v>
      </c>
    </row>
    <row r="4526" spans="1:33" ht="16.5" customHeight="1">
      <c r="A4526" s="309" t="str">
        <f>IF(B4526&lt;&gt;"",IF(AND(B4526='IN-TC'!$S$4,OR(TH!N4519="1111",TH!O4519="1111")),TH!D4519,""),"")</f>
        <v/>
      </c>
      <c r="B4526" s="1243">
        <f t="shared" si="1326"/>
        <v>7</v>
      </c>
      <c r="C4526" s="292">
        <f t="shared" si="1325"/>
        <v>42935</v>
      </c>
      <c r="D4526" s="292"/>
      <c r="E4526" s="292">
        <v>42935</v>
      </c>
      <c r="F4526" s="1010" t="s">
        <v>1895</v>
      </c>
      <c r="G4526" s="925"/>
      <c r="H4526" s="311"/>
      <c r="I4526" s="373"/>
      <c r="J4526" s="926"/>
      <c r="K4526" s="373"/>
      <c r="L4526" s="379"/>
      <c r="M4526" s="927">
        <v>95629</v>
      </c>
      <c r="N4526" s="295" t="s">
        <v>9</v>
      </c>
      <c r="O4526" s="295" t="s">
        <v>63</v>
      </c>
      <c r="P4526" s="75" t="str">
        <f>IF(AND('331-CT'!$E$7=TH!H4290,OR(N4526="331",O4526="331")),"x","")</f>
        <v/>
      </c>
      <c r="Q4526" s="75" t="str">
        <f>IF(AND(B4526='111'!$L$11,OR($N4526=$Q$7,$O4526=$Q$7)),"x","")</f>
        <v/>
      </c>
      <c r="R4526" s="75" t="str">
        <f>IF(AND($N4526=$Q$7,$B4526&lt;'111'!$L$11),"x","")</f>
        <v/>
      </c>
      <c r="S4526" s="75" t="str">
        <f>IF(AND($O4526=$Q$7,$B4526&lt;'111'!$L$11),"x","")</f>
        <v>x</v>
      </c>
      <c r="T4526" s="75" t="str">
        <f>IF(ISERROR(FIND('112'!$M$9,G4526,1)),"",IF((AND(FIND('112'!$M$9,G4526,1)&gt;=1,B4526='112'!$K$9,OR($N4526='112'!$I$6,$O4526='112'!$I$6))),"x",""))</f>
        <v/>
      </c>
      <c r="U4526" s="75" t="str">
        <f>IF(ISERROR(FIND('112'!$M$9,G4526,1)),"",IF((AND(LEFT(G4526,2)=LEFT('112'!$M$9,2),B4526&lt;'112'!$K$9,$N4526='112'!$I$6)),"x",""))</f>
        <v/>
      </c>
      <c r="V4526" s="75" t="str">
        <f>IF(ISERROR(FIND('112'!$M$9,G4526,1)),"",IF((AND(RIGHT(G4526,2)=RIGHT('112'!$M$9,2),B4526&lt;'112'!$K$9,$O4526='112'!$I$6)),"x",""))</f>
        <v/>
      </c>
      <c r="W4526" s="75" t="str">
        <f>IF(AND('341-CT'!$H$9=H4526,OR(LEFT(N4526,3)=$W$7,LEFT(O4526,3)=$W$7)),"x","")</f>
        <v/>
      </c>
      <c r="X4526" s="75" t="str">
        <f>IF(OR(TH!N4290=TH!$X$7,O4526=TH!$X$7),"x","")</f>
        <v/>
      </c>
      <c r="Y4526" s="75" t="str">
        <f>IF(AND(OR(N4526="131",O4526="131"),H4526='131-CT'!$H$9),"x","")</f>
        <v/>
      </c>
      <c r="Z4526" s="75"/>
      <c r="AA4526" s="75" t="str">
        <f>IF(AND(MONTH(E4526)='IN-NX'!$J$5,'IN-NX'!$D$7=D4526),"x","")</f>
        <v/>
      </c>
      <c r="AB4526" s="75" t="str">
        <f>IF(AND(OR(LEFT(TH!N4290,2)="15",LEFT(TH!O4290,2)="15"),LEFT(TH!O4290,3)&lt;&gt;"111",'152-CT'!$J$8=TH!F4290),"x","")</f>
        <v/>
      </c>
      <c r="AC4526" s="75" t="str">
        <f>IF(AND(OR(LEFT(TH!N4290,2)="15",LEFT(TH!O4290,2)="15"),TK!$E$7=TH!F4290),"x","")</f>
        <v/>
      </c>
      <c r="AD4526" s="75" t="str">
        <f>IF(AND(N4526="1521",MONTH(C4526)='BK-NL'!$M$11),"x","")</f>
        <v/>
      </c>
      <c r="AE4526">
        <v>9</v>
      </c>
    </row>
    <row r="4527" spans="1:33" ht="16.5" customHeight="1">
      <c r="A4527" s="309" t="str">
        <f>IF(B4527&lt;&gt;"",IF(AND(B4527='IN-TC'!$S$4,OR(TH!N4520="1111",TH!O4520="1111")),TH!D4520,""),"")</f>
        <v/>
      </c>
      <c r="B4527" s="1243">
        <f t="shared" si="1326"/>
        <v>7</v>
      </c>
      <c r="C4527" s="292">
        <f t="shared" si="1325"/>
        <v>42935</v>
      </c>
      <c r="D4527" s="59" t="s">
        <v>902</v>
      </c>
      <c r="E4527" s="59">
        <v>42935</v>
      </c>
      <c r="F4527" s="907" t="s">
        <v>1027</v>
      </c>
      <c r="G4527" s="62" t="s">
        <v>747</v>
      </c>
      <c r="H4527" s="67" t="s">
        <v>759</v>
      </c>
      <c r="I4527" s="373"/>
      <c r="J4527" s="379"/>
      <c r="K4527" s="379"/>
      <c r="L4527" s="379"/>
      <c r="M4527" s="379">
        <v>2504700</v>
      </c>
      <c r="N4527" s="61" t="s">
        <v>101</v>
      </c>
      <c r="O4527" s="61" t="s">
        <v>26</v>
      </c>
      <c r="P4527" s="75" t="str">
        <f>IF(AND('331-CT'!$E$7=TH!H5340,OR(N4527="331",O4527="331")),"x","")</f>
        <v/>
      </c>
      <c r="Q4527" s="75" t="str">
        <f>IF(AND(B4527='111'!$L$11,OR($N4527=$Q$7,$O4527=$Q$7)),"x","")</f>
        <v/>
      </c>
      <c r="R4527" s="75" t="str">
        <f>IF(AND($N4527=$Q$7,$B4527&lt;'111'!$L$11),"x","")</f>
        <v/>
      </c>
      <c r="S4527" s="75" t="str">
        <f>IF(AND($O4527=$Q$7,$B4527&lt;'111'!$L$11),"x","")</f>
        <v/>
      </c>
      <c r="T4527" s="75" t="str">
        <f>IF(ISERROR(FIND('112'!$M$9,G4527,1)),"",IF((AND(FIND('112'!$M$9,G4527,1)&gt;=1,B4527='112'!$K$9,OR($N4527='112'!$I$6,$O4527='112'!$I$6))),"x",""))</f>
        <v/>
      </c>
      <c r="U4527" s="75" t="str">
        <f>IF(ISERROR(FIND('112'!$M$9,G4527,1)),"",IF((AND(LEFT(G4527,2)=LEFT('112'!$M$9,2),B4527&lt;'112'!$K$9,$N4527='112'!$I$6)),"x",""))</f>
        <v/>
      </c>
      <c r="V4527" s="75" t="str">
        <f>IF(ISERROR(FIND('112'!$M$9,G4527,1)),"",IF((AND(RIGHT(G4527,2)=RIGHT('112'!$M$9,2),B4527&lt;'112'!$K$9,$O4527='112'!$I$6)),"x",""))</f>
        <v/>
      </c>
      <c r="W4527" s="75" t="str">
        <f>IF(AND('341-CT'!$H$9=H4527,OR(LEFT(N4527,3)=$W$7,LEFT(O4527,3)=$W$7)),"x","")</f>
        <v/>
      </c>
      <c r="X4527" s="75" t="str">
        <f>IF(OR(TH!N5340=TH!$X$7,O4527=TH!$X$7),"x","")</f>
        <v/>
      </c>
      <c r="Y4527" s="75" t="str">
        <f>IF(AND(OR(N4527="131",O4527="131"),H4527='131-CT'!$H$9),"x","")</f>
        <v/>
      </c>
      <c r="Z4527" s="75"/>
      <c r="AA4527" s="75" t="str">
        <f>IF(AND(MONTH(E4527)='IN-NX'!$J$5,'IN-NX'!$D$7=D4527),"x","")</f>
        <v/>
      </c>
      <c r="AB4527" s="75" t="str">
        <f>IF(AND(OR(LEFT(TH!N5340,2)="15",LEFT(TH!O5340,2)="15"),LEFT(TH!O5340,3)&lt;&gt;"111",'152-CT'!$J$8=TH!F5340),"x","")</f>
        <v/>
      </c>
      <c r="AC4527" s="75" t="str">
        <f>IF(AND(OR(LEFT(TH!N5340,2)="15",LEFT(TH!O5340,2)="15"),TK!$E$7=TH!F5340),"x","")</f>
        <v/>
      </c>
      <c r="AD4527" s="75" t="str">
        <f>IF(AND(N4527="1521",MONTH(C4527)='BK-NL'!$M$11),"x","")</f>
        <v/>
      </c>
    </row>
    <row r="4528" spans="1:33" ht="16.5" customHeight="1">
      <c r="A4528" s="309" t="str">
        <f>IF(B4528&lt;&gt;"",IF(AND(B4528='IN-TC'!$S$4,OR(TH!N4521="1111",TH!O4521="1111")),TH!D4521,""),"")</f>
        <v/>
      </c>
      <c r="B4528" s="1243">
        <f t="shared" si="1326"/>
        <v>7</v>
      </c>
      <c r="C4528" s="292">
        <f t="shared" si="1325"/>
        <v>42935</v>
      </c>
      <c r="D4528" s="59" t="s">
        <v>902</v>
      </c>
      <c r="E4528" s="59">
        <v>42935</v>
      </c>
      <c r="F4528" s="67" t="s">
        <v>897</v>
      </c>
      <c r="G4528" s="62" t="s">
        <v>747</v>
      </c>
      <c r="H4528" s="294" t="s">
        <v>789</v>
      </c>
      <c r="I4528" s="373"/>
      <c r="J4528" s="379"/>
      <c r="K4528" s="373"/>
      <c r="L4528" s="379"/>
      <c r="M4528" s="60">
        <v>1371604000</v>
      </c>
      <c r="N4528" s="61" t="s">
        <v>8</v>
      </c>
      <c r="O4528" s="61" t="s">
        <v>26</v>
      </c>
      <c r="P4528" s="75" t="str">
        <f>IF(AND('331-CT'!$E$7=TH!H5341,OR(N4528="331",O4528="331")),"x","")</f>
        <v/>
      </c>
      <c r="Q4528" s="75" t="str">
        <f>IF(AND(B4528='111'!$L$11,OR($N4528=$Q$7,$O4528=$Q$7)),"x","")</f>
        <v/>
      </c>
      <c r="R4528" s="75" t="str">
        <f>IF(AND($N4528=$Q$7,$B4528&lt;'111'!$L$11),"x","")</f>
        <v/>
      </c>
      <c r="S4528" s="75" t="str">
        <f>IF(AND($O4528=$Q$7,$B4528&lt;'111'!$L$11),"x","")</f>
        <v/>
      </c>
      <c r="T4528" s="75" t="str">
        <f>IF(ISERROR(FIND('112'!$M$9,G4528,1)),"",IF((AND(FIND('112'!$M$9,G4528,1)&gt;=1,B4528='112'!$K$9,OR($N4528='112'!$I$6,$O4528='112'!$I$6))),"x",""))</f>
        <v/>
      </c>
      <c r="U4528" s="75" t="str">
        <f>IF(ISERROR(FIND('112'!$M$9,G4528,1)),"",IF((AND(LEFT(G4528,2)=LEFT('112'!$M$9,2),B4528&lt;'112'!$K$9,$N4528='112'!$I$6)),"x",""))</f>
        <v/>
      </c>
      <c r="V4528" s="75" t="str">
        <f>IF(ISERROR(FIND('112'!$M$9,G4528,1)),"",IF((AND(RIGHT(G4528,2)=RIGHT('112'!$M$9,2),B4528&lt;'112'!$K$9,$O4528='112'!$I$6)),"x",""))</f>
        <v/>
      </c>
      <c r="W4528" s="75" t="str">
        <f>IF(AND('341-CT'!$H$9=H4528,OR(LEFT(N4528,3)=$W$7,LEFT(O4528,3)=$W$7)),"x","")</f>
        <v/>
      </c>
      <c r="X4528" s="75" t="str">
        <f>IF(OR(TH!N5341=TH!$X$7,O4528=TH!$X$7),"x","")</f>
        <v/>
      </c>
      <c r="Y4528" s="75" t="str">
        <f>IF(AND(OR(N4528="131",O4528="131"),H4528='131-CT'!$H$9),"x","")</f>
        <v/>
      </c>
      <c r="Z4528" s="75"/>
      <c r="AA4528" s="75" t="str">
        <f>IF(AND(MONTH(E4528)='IN-NX'!$J$5,'IN-NX'!$D$7=D4528),"x","")</f>
        <v/>
      </c>
      <c r="AB4528" s="75" t="str">
        <f>IF(AND(OR(LEFT(TH!N5341,2)="15",LEFT(TH!O5341,2)="15"),LEFT(TH!O5341,3)&lt;&gt;"111",'152-CT'!$J$8=TH!F5341),"x","")</f>
        <v/>
      </c>
      <c r="AC4528" s="75" t="str">
        <f>IF(AND(OR(LEFT(TH!N5341,2)="15",LEFT(TH!O5341,2)="15"),TK!$E$7=TH!F5341),"x","")</f>
        <v/>
      </c>
      <c r="AD4528" s="75" t="str">
        <f>IF(AND(N4528="1521",MONTH(C4528)='BK-NL'!$M$11),"x","")</f>
        <v/>
      </c>
    </row>
    <row r="4529" spans="1:33" s="1053" customFormat="1" ht="16.5" customHeight="1">
      <c r="A4529" s="309" t="str">
        <f>IF(B4529&lt;&gt;"",IF(AND(B4529='IN-TC'!$S$4,OR(TH!N4522="1111",TH!O4522="1111")),TH!D4522,""),"")</f>
        <v/>
      </c>
      <c r="B4529" s="1243">
        <f t="shared" si="1326"/>
        <v>7</v>
      </c>
      <c r="C4529" s="292">
        <f t="shared" si="1325"/>
        <v>42935</v>
      </c>
      <c r="D4529" s="59" t="s">
        <v>902</v>
      </c>
      <c r="E4529" s="59">
        <v>42935</v>
      </c>
      <c r="F4529" s="67" t="s">
        <v>870</v>
      </c>
      <c r="G4529" s="62" t="s">
        <v>747</v>
      </c>
      <c r="H4529" s="67" t="s">
        <v>835</v>
      </c>
      <c r="I4529" s="375"/>
      <c r="J4529" s="381"/>
      <c r="K4529" s="60"/>
      <c r="L4529" s="381"/>
      <c r="M4529" s="60">
        <v>469021</v>
      </c>
      <c r="N4529" s="61" t="s">
        <v>101</v>
      </c>
      <c r="O4529" s="61" t="s">
        <v>26</v>
      </c>
      <c r="P4529" s="75" t="str">
        <f>IF(AND('331-CT'!$E$7=TH!H5342,OR(N4529="331",O4529="331")),"x","")</f>
        <v/>
      </c>
      <c r="Q4529" s="75" t="str">
        <f>IF(AND(B4529='111'!$L$11,OR($N4529=$Q$7,$O4529=$Q$7)),"x","")</f>
        <v/>
      </c>
      <c r="R4529" s="75" t="str">
        <f>IF(AND($N4529=$Q$7,$B4529&lt;'111'!$L$11),"x","")</f>
        <v/>
      </c>
      <c r="S4529" s="75" t="str">
        <f>IF(AND($O4529=$Q$7,$B4529&lt;'111'!$L$11),"x","")</f>
        <v/>
      </c>
      <c r="T4529" s="75" t="str">
        <f>IF(ISERROR(FIND('112'!$M$9,G4529,1)),"",IF((AND(FIND('112'!$M$9,G4529,1)&gt;=1,B4529='112'!$K$9,OR($N4529='112'!$I$6,$O4529='112'!$I$6))),"x",""))</f>
        <v/>
      </c>
      <c r="U4529" s="75" t="str">
        <f>IF(ISERROR(FIND('112'!$M$9,G4529,1)),"",IF((AND(LEFT(G4529,2)=LEFT('112'!$M$9,2),B4529&lt;'112'!$K$9,$N4529='112'!$I$6)),"x",""))</f>
        <v/>
      </c>
      <c r="V4529" s="75" t="str">
        <f>IF(ISERROR(FIND('112'!$M$9,G4529,1)),"",IF((AND(RIGHT(G4529,2)=RIGHT('112'!$M$9,2),B4529&lt;'112'!$K$9,$O4529='112'!$I$6)),"x",""))</f>
        <v/>
      </c>
      <c r="W4529" s="75" t="str">
        <f>IF(AND('341-CT'!$H$9=H4529,OR(LEFT(N4529,3)=$W$7,LEFT(O4529,3)=$W$7)),"x","")</f>
        <v/>
      </c>
      <c r="X4529" s="75" t="str">
        <f>IF(OR(TH!N5342=TH!$X$7,O4529=TH!$X$7),"x","")</f>
        <v/>
      </c>
      <c r="Y4529" s="75" t="str">
        <f>IF(AND(OR(N4529="131",O4529="131"),H4529='131-CT'!$H$9),"x","")</f>
        <v/>
      </c>
      <c r="Z4529" s="75"/>
      <c r="AA4529" s="75" t="str">
        <f>IF(AND(MONTH(E4529)='IN-NX'!$J$5,'IN-NX'!$D$7=D4529),"x","")</f>
        <v/>
      </c>
      <c r="AB4529" s="75" t="str">
        <f>IF(AND(OR(LEFT(TH!N5342,2)="15",LEFT(TH!O5342,2)="15"),LEFT(TH!O5342,3)&lt;&gt;"111",'152-CT'!$J$8=TH!F5342),"x","")</f>
        <v/>
      </c>
      <c r="AC4529" s="75" t="str">
        <f>IF(AND(OR(LEFT(TH!N5342,2)="15",LEFT(TH!O5342,2)="15"),TK!$E$7=TH!F5342),"x","")</f>
        <v/>
      </c>
      <c r="AD4529" s="75" t="str">
        <f>IF(AND(N4529="1521",MONTH(C4529)='BK-NL'!$M$11),"x","")</f>
        <v/>
      </c>
      <c r="AE4529"/>
      <c r="AF4529"/>
      <c r="AG4529"/>
    </row>
    <row r="4530" spans="1:33" s="1053" customFormat="1" ht="16.5" customHeight="1">
      <c r="A4530" s="309" t="str">
        <f>IF(B4530&lt;&gt;"",IF(AND(B4530='IN-TC'!$S$4,OR(TH!N4523="1111",TH!O4523="1111")),TH!D4523,""),"")</f>
        <v/>
      </c>
      <c r="B4530" s="1243">
        <f t="shared" si="1326"/>
        <v>7</v>
      </c>
      <c r="C4530" s="292">
        <f t="shared" si="1325"/>
        <v>42935</v>
      </c>
      <c r="D4530" s="59" t="s">
        <v>902</v>
      </c>
      <c r="E4530" s="59">
        <v>42935</v>
      </c>
      <c r="F4530" s="67" t="s">
        <v>898</v>
      </c>
      <c r="G4530" s="62" t="s">
        <v>747</v>
      </c>
      <c r="H4530" s="67" t="s">
        <v>835</v>
      </c>
      <c r="I4530" s="375"/>
      <c r="J4530" s="381"/>
      <c r="K4530" s="375"/>
      <c r="L4530" s="381"/>
      <c r="M4530" s="60">
        <v>46902</v>
      </c>
      <c r="N4530" s="61" t="s">
        <v>9</v>
      </c>
      <c r="O4530" s="61" t="s">
        <v>26</v>
      </c>
      <c r="P4530" s="75" t="str">
        <f>IF(AND('331-CT'!$E$7=TH!H5343,OR(N4530="331",O4530="331")),"x","")</f>
        <v/>
      </c>
      <c r="Q4530" s="75" t="str">
        <f>IF(AND(B4530='111'!$L$11,OR($N4530=$Q$7,$O4530=$Q$7)),"x","")</f>
        <v/>
      </c>
      <c r="R4530" s="75" t="str">
        <f>IF(AND($N4530=$Q$7,$B4530&lt;'111'!$L$11),"x","")</f>
        <v/>
      </c>
      <c r="S4530" s="75" t="str">
        <f>IF(AND($O4530=$Q$7,$B4530&lt;'111'!$L$11),"x","")</f>
        <v/>
      </c>
      <c r="T4530" s="75" t="str">
        <f>IF(ISERROR(FIND('112'!$M$9,G4530,1)),"",IF((AND(FIND('112'!$M$9,G4530,1)&gt;=1,B4530='112'!$K$9,OR($N4530='112'!$I$6,$O4530='112'!$I$6))),"x",""))</f>
        <v/>
      </c>
      <c r="U4530" s="75" t="str">
        <f>IF(ISERROR(FIND('112'!$M$9,G4530,1)),"",IF((AND(LEFT(G4530,2)=LEFT('112'!$M$9,2),B4530&lt;'112'!$K$9,$N4530='112'!$I$6)),"x",""))</f>
        <v/>
      </c>
      <c r="V4530" s="75" t="str">
        <f>IF(ISERROR(FIND('112'!$M$9,G4530,1)),"",IF((AND(RIGHT(G4530,2)=RIGHT('112'!$M$9,2),B4530&lt;'112'!$K$9,$O4530='112'!$I$6)),"x",""))</f>
        <v/>
      </c>
      <c r="W4530" s="75" t="str">
        <f>IF(AND('341-CT'!$H$9=H4530,OR(LEFT(N4530,3)=$W$7,LEFT(O4530,3)=$W$7)),"x","")</f>
        <v/>
      </c>
      <c r="X4530" s="75" t="str">
        <f>IF(OR(TH!N5343=TH!$X$7,O4530=TH!$X$7),"x","")</f>
        <v/>
      </c>
      <c r="Y4530" s="75" t="str">
        <f>IF(AND(OR(N4530="131",O4530="131"),H4530='131-CT'!$H$9),"x","")</f>
        <v/>
      </c>
      <c r="Z4530" s="75"/>
      <c r="AA4530" s="75" t="str">
        <f>IF(AND(MONTH(E4530)='IN-NX'!$J$5,'IN-NX'!$D$7=D4530),"x","")</f>
        <v/>
      </c>
      <c r="AB4530" s="75" t="str">
        <f>IF(AND(OR(LEFT(TH!N5343,2)="15",LEFT(TH!O5343,2)="15"),LEFT(TH!O5343,3)&lt;&gt;"111",'152-CT'!$J$8=TH!F5343),"x","")</f>
        <v/>
      </c>
      <c r="AC4530" s="75" t="str">
        <f>IF(AND(OR(LEFT(TH!N5343,2)="15",LEFT(TH!O5343,2)="15"),TK!$E$7=TH!F5343),"x","")</f>
        <v/>
      </c>
      <c r="AD4530" s="75" t="str">
        <f>IF(AND(N4530="1521",MONTH(C4530)='BK-NL'!$M$11),"x","")</f>
        <v/>
      </c>
      <c r="AE4530">
        <v>7</v>
      </c>
      <c r="AF4530"/>
      <c r="AG4530"/>
    </row>
    <row r="4531" spans="1:33" s="1053" customFormat="1" ht="16.5" customHeight="1">
      <c r="A4531" s="309" t="str">
        <f>IF(B4531&lt;&gt;"",IF(AND(B4531='IN-TC'!$S$4,OR(TH!N4524="1111",TH!O4524="1111")),TH!D4524,""),"")</f>
        <v/>
      </c>
      <c r="B4531" s="1243">
        <f t="shared" si="1326"/>
        <v>7</v>
      </c>
      <c r="C4531" s="292">
        <f t="shared" ref="C4531:C4594" si="1327">E4531</f>
        <v>42935</v>
      </c>
      <c r="D4531" s="59" t="s">
        <v>902</v>
      </c>
      <c r="E4531" s="59">
        <v>42935</v>
      </c>
      <c r="F4531" s="67" t="s">
        <v>897</v>
      </c>
      <c r="G4531" s="62" t="s">
        <v>747</v>
      </c>
      <c r="H4531" s="294" t="s">
        <v>791</v>
      </c>
      <c r="I4531" s="373"/>
      <c r="J4531" s="379"/>
      <c r="K4531" s="373"/>
      <c r="L4531" s="379"/>
      <c r="M4531" s="60">
        <v>2762520000</v>
      </c>
      <c r="N4531" s="61" t="s">
        <v>8</v>
      </c>
      <c r="O4531" s="61" t="s">
        <v>26</v>
      </c>
      <c r="P4531" s="75" t="str">
        <f>IF(AND('331-CT'!$E$7=TH!H5344,OR(N4531="331",O4531="331")),"x","")</f>
        <v/>
      </c>
      <c r="Q4531" s="75" t="str">
        <f>IF(AND(B4531='111'!$L$11,OR($N4531=$Q$7,$O4531=$Q$7)),"x","")</f>
        <v/>
      </c>
      <c r="R4531" s="75" t="str">
        <f>IF(AND($N4531=$Q$7,$B4531&lt;'111'!$L$11),"x","")</f>
        <v/>
      </c>
      <c r="S4531" s="75" t="str">
        <f>IF(AND($O4531=$Q$7,$B4531&lt;'111'!$L$11),"x","")</f>
        <v/>
      </c>
      <c r="T4531" s="75" t="str">
        <f>IF(ISERROR(FIND('112'!$M$9,G4531,1)),"",IF((AND(FIND('112'!$M$9,G4531,1)&gt;=1,B4531='112'!$K$9,OR($N4531='112'!$I$6,$O4531='112'!$I$6))),"x",""))</f>
        <v/>
      </c>
      <c r="U4531" s="75" t="str">
        <f>IF(ISERROR(FIND('112'!$M$9,G4531,1)),"",IF((AND(LEFT(G4531,2)=LEFT('112'!$M$9,2),B4531&lt;'112'!$K$9,$N4531='112'!$I$6)),"x",""))</f>
        <v/>
      </c>
      <c r="V4531" s="75" t="str">
        <f>IF(ISERROR(FIND('112'!$M$9,G4531,1)),"",IF((AND(RIGHT(G4531,2)=RIGHT('112'!$M$9,2),B4531&lt;'112'!$K$9,$O4531='112'!$I$6)),"x",""))</f>
        <v/>
      </c>
      <c r="W4531" s="75" t="str">
        <f>IF(AND('341-CT'!$H$9=H4531,OR(LEFT(N4531,3)=$W$7,LEFT(O4531,3)=$W$7)),"x","")</f>
        <v/>
      </c>
      <c r="X4531" s="75" t="str">
        <f>IF(OR(TH!N5344=TH!$X$7,O4531=TH!$X$7),"x","")</f>
        <v/>
      </c>
      <c r="Y4531" s="75" t="str">
        <f>IF(AND(OR(N4531="131",O4531="131"),H4531='131-CT'!$H$9),"x","")</f>
        <v/>
      </c>
      <c r="Z4531" s="75"/>
      <c r="AA4531" s="75" t="str">
        <f>IF(AND(MONTH(E4531)='IN-NX'!$J$5,'IN-NX'!$D$7=D4531),"x","")</f>
        <v/>
      </c>
      <c r="AB4531" s="75" t="str">
        <f>IF(AND(OR(LEFT(TH!N5344,2)="15",LEFT(TH!O5344,2)="15"),LEFT(TH!O5344,3)&lt;&gt;"111",'152-CT'!$J$8=TH!F5344),"x","")</f>
        <v/>
      </c>
      <c r="AC4531" s="75" t="str">
        <f>IF(AND(OR(LEFT(TH!N5344,2)="15",LEFT(TH!O5344,2)="15"),TK!$E$7=TH!F5344),"x","")</f>
        <v/>
      </c>
      <c r="AD4531" s="75" t="str">
        <f>IF(AND(N4531="1521",MONTH(C4531)='BK-NL'!$M$11),"x","")</f>
        <v/>
      </c>
      <c r="AE4531"/>
      <c r="AF4531"/>
      <c r="AG4531"/>
    </row>
    <row r="4532" spans="1:33" ht="16.5" customHeight="1">
      <c r="A4532" s="309" t="str">
        <f>IF(B4532&lt;&gt;"",IF(AND(B4532='IN-TC'!$S$4,OR(TH!N4525="1111",TH!O4525="1111")),TH!D4525,""),"")</f>
        <v/>
      </c>
      <c r="B4532" s="1243">
        <f t="shared" si="1326"/>
        <v>7</v>
      </c>
      <c r="C4532" s="292">
        <f t="shared" si="1327"/>
        <v>42935</v>
      </c>
      <c r="D4532" s="59" t="s">
        <v>902</v>
      </c>
      <c r="E4532" s="59">
        <v>42935</v>
      </c>
      <c r="F4532" s="67" t="s">
        <v>870</v>
      </c>
      <c r="G4532" s="62" t="s">
        <v>747</v>
      </c>
      <c r="H4532" s="67" t="s">
        <v>835</v>
      </c>
      <c r="I4532" s="375"/>
      <c r="J4532" s="381"/>
      <c r="K4532" s="375"/>
      <c r="L4532" s="381"/>
      <c r="M4532" s="60">
        <v>1657512</v>
      </c>
      <c r="N4532" s="61" t="s">
        <v>101</v>
      </c>
      <c r="O4532" s="61" t="s">
        <v>26</v>
      </c>
      <c r="P4532" s="75" t="str">
        <f>IF(AND('331-CT'!$E$7=TH!H5345,OR(N4532="331",O4532="331")),"x","")</f>
        <v/>
      </c>
      <c r="Q4532" s="75" t="str">
        <f>IF(AND(B4532='111'!$L$11,OR($N4532=$Q$7,$O4532=$Q$7)),"x","")</f>
        <v/>
      </c>
      <c r="R4532" s="75" t="str">
        <f>IF(AND($N4532=$Q$7,$B4532&lt;'111'!$L$11),"x","")</f>
        <v/>
      </c>
      <c r="S4532" s="75" t="str">
        <f>IF(AND($O4532=$Q$7,$B4532&lt;'111'!$L$11),"x","")</f>
        <v/>
      </c>
      <c r="T4532" s="75" t="str">
        <f>IF(ISERROR(FIND('112'!$M$9,G4532,1)),"",IF((AND(FIND('112'!$M$9,G4532,1)&gt;=1,B4532='112'!$K$9,OR($N4532='112'!$I$6,$O4532='112'!$I$6))),"x",""))</f>
        <v/>
      </c>
      <c r="U4532" s="75" t="str">
        <f>IF(ISERROR(FIND('112'!$M$9,G4532,1)),"",IF((AND(LEFT(G4532,2)=LEFT('112'!$M$9,2),B4532&lt;'112'!$K$9,$N4532='112'!$I$6)),"x",""))</f>
        <v/>
      </c>
      <c r="V4532" s="75" t="str">
        <f>IF(ISERROR(FIND('112'!$M$9,G4532,1)),"",IF((AND(RIGHT(G4532,2)=RIGHT('112'!$M$9,2),B4532&lt;'112'!$K$9,$O4532='112'!$I$6)),"x",""))</f>
        <v/>
      </c>
      <c r="W4532" s="75" t="str">
        <f>IF(AND('341-CT'!$H$9=H4532,OR(LEFT(N4532,3)=$W$7,LEFT(O4532,3)=$W$7)),"x","")</f>
        <v/>
      </c>
      <c r="X4532" s="75" t="str">
        <f>IF(OR(TH!N5345=TH!$X$7,O4532=TH!$X$7),"x","")</f>
        <v/>
      </c>
      <c r="Y4532" s="75" t="str">
        <f>IF(AND(OR(N4532="131",O4532="131"),H4532='131-CT'!$H$9),"x","")</f>
        <v/>
      </c>
      <c r="Z4532" s="75"/>
      <c r="AA4532" s="75" t="str">
        <f>IF(AND(MONTH(E4532)='IN-NX'!$J$5,'IN-NX'!$D$7=D4532),"x","")</f>
        <v/>
      </c>
      <c r="AB4532" s="75" t="str">
        <f>IF(AND(OR(LEFT(TH!N5345,2)="15",LEFT(TH!O5345,2)="15"),LEFT(TH!O5345,3)&lt;&gt;"111",'152-CT'!$J$8=TH!F5345),"x","")</f>
        <v/>
      </c>
      <c r="AC4532" s="75" t="str">
        <f>IF(AND(OR(LEFT(TH!N5345,2)="15",LEFT(TH!O5345,2)="15"),TK!$E$7=TH!F5345),"x","")</f>
        <v/>
      </c>
      <c r="AD4532" s="75" t="str">
        <f>IF(AND(N4532="1521",MONTH(C4532)='BK-NL'!$M$11),"x","")</f>
        <v/>
      </c>
    </row>
    <row r="4533" spans="1:33" ht="16.5" customHeight="1">
      <c r="A4533" s="309" t="str">
        <f>IF(B4533&lt;&gt;"",IF(AND(B4533='IN-TC'!$S$4,OR(TH!N4526="1111",TH!O4526="1111")),TH!D4526,""),"")</f>
        <v/>
      </c>
      <c r="B4533" s="1243">
        <f t="shared" si="1326"/>
        <v>7</v>
      </c>
      <c r="C4533" s="292">
        <f t="shared" si="1327"/>
        <v>42935</v>
      </c>
      <c r="D4533" s="59" t="s">
        <v>902</v>
      </c>
      <c r="E4533" s="59">
        <v>42935</v>
      </c>
      <c r="F4533" s="67" t="s">
        <v>898</v>
      </c>
      <c r="G4533" s="62" t="s">
        <v>747</v>
      </c>
      <c r="H4533" s="67" t="s">
        <v>835</v>
      </c>
      <c r="I4533" s="375"/>
      <c r="J4533" s="381"/>
      <c r="K4533" s="375"/>
      <c r="L4533" s="381"/>
      <c r="M4533" s="60">
        <v>165751</v>
      </c>
      <c r="N4533" s="61" t="s">
        <v>9</v>
      </c>
      <c r="O4533" s="61" t="s">
        <v>26</v>
      </c>
      <c r="P4533" s="75" t="str">
        <f>IF(AND('331-CT'!$E$7=TH!H5346,OR(N4533="331",O4533="331")),"x","")</f>
        <v/>
      </c>
      <c r="Q4533" s="75" t="str">
        <f>IF(AND(B4533='111'!$L$11,OR($N4533=$Q$7,$O4533=$Q$7)),"x","")</f>
        <v/>
      </c>
      <c r="R4533" s="75" t="str">
        <f>IF(AND($N4533=$Q$7,$B4533&lt;'111'!$L$11),"x","")</f>
        <v/>
      </c>
      <c r="S4533" s="75" t="str">
        <f>IF(AND($O4533=$Q$7,$B4533&lt;'111'!$L$11),"x","")</f>
        <v/>
      </c>
      <c r="T4533" s="75" t="str">
        <f>IF(ISERROR(FIND('112'!$M$9,G4533,1)),"",IF((AND(FIND('112'!$M$9,G4533,1)&gt;=1,B4533='112'!$K$9,OR($N4533='112'!$I$6,$O4533='112'!$I$6))),"x",""))</f>
        <v/>
      </c>
      <c r="U4533" s="75" t="str">
        <f>IF(ISERROR(FIND('112'!$M$9,G4533,1)),"",IF((AND(LEFT(G4533,2)=LEFT('112'!$M$9,2),B4533&lt;'112'!$K$9,$N4533='112'!$I$6)),"x",""))</f>
        <v/>
      </c>
      <c r="V4533" s="75" t="str">
        <f>IF(ISERROR(FIND('112'!$M$9,G4533,1)),"",IF((AND(RIGHT(G4533,2)=RIGHT('112'!$M$9,2),B4533&lt;'112'!$K$9,$O4533='112'!$I$6)),"x",""))</f>
        <v/>
      </c>
      <c r="W4533" s="75" t="str">
        <f>IF(AND('341-CT'!$H$9=H4533,OR(LEFT(N4533,3)=$W$7,LEFT(O4533,3)=$W$7)),"x","")</f>
        <v/>
      </c>
      <c r="X4533" s="75" t="str">
        <f>IF(OR(TH!N5346=TH!$X$7,O4533=TH!$X$7),"x","")</f>
        <v/>
      </c>
      <c r="Y4533" s="75" t="str">
        <f>IF(AND(OR(N4533="131",O4533="131"),H4533='131-CT'!$H$9),"x","")</f>
        <v/>
      </c>
      <c r="Z4533" s="75"/>
      <c r="AA4533" s="75" t="str">
        <f>IF(AND(MONTH(E4533)='IN-NX'!$J$5,'IN-NX'!$D$7=D4533),"x","")</f>
        <v/>
      </c>
      <c r="AB4533" s="75" t="str">
        <f>IF(AND(OR(LEFT(TH!N5346,2)="15",LEFT(TH!O5346,2)="15"),LEFT(TH!O5346,3)&lt;&gt;"111",'152-CT'!$J$8=TH!F5346),"x","")</f>
        <v/>
      </c>
      <c r="AC4533" s="75" t="str">
        <f>IF(AND(OR(LEFT(TH!N5346,2)="15",LEFT(TH!O5346,2)="15"),TK!$E$7=TH!F5346),"x","")</f>
        <v/>
      </c>
      <c r="AD4533" s="75" t="str">
        <f>IF(AND(N4533="1521",MONTH(C4533)='BK-NL'!$M$11),"x","")</f>
        <v/>
      </c>
      <c r="AE4533">
        <v>7</v>
      </c>
    </row>
    <row r="4534" spans="1:33" ht="16.5" customHeight="1">
      <c r="A4534" s="309" t="str">
        <f>IF(B4534&lt;&gt;"",IF(AND(B4534='IN-TC'!$S$4,OR(TH!N4527="1111",TH!O4527="1111")),TH!D4527,""),"")</f>
        <v/>
      </c>
      <c r="B4534" s="1243">
        <f t="shared" si="1326"/>
        <v>7</v>
      </c>
      <c r="C4534" s="292">
        <f t="shared" si="1327"/>
        <v>42935</v>
      </c>
      <c r="D4534" s="292" t="s">
        <v>2493</v>
      </c>
      <c r="E4534" s="59">
        <v>42935</v>
      </c>
      <c r="F4534" s="67" t="s">
        <v>1758</v>
      </c>
      <c r="G4534" s="62" t="s">
        <v>747</v>
      </c>
      <c r="H4534" s="294" t="s">
        <v>1023</v>
      </c>
      <c r="I4534" s="373"/>
      <c r="J4534" s="379"/>
      <c r="K4534" s="373"/>
      <c r="L4534" s="379"/>
      <c r="M4534" s="60">
        <v>2960000000</v>
      </c>
      <c r="N4534" s="61" t="s">
        <v>26</v>
      </c>
      <c r="O4534" s="61" t="s">
        <v>63</v>
      </c>
      <c r="P4534" s="75" t="str">
        <f>IF(AND('331-CT'!$E$7=TH!H5347,OR(N4534="331",O4534="331")),"x","")</f>
        <v/>
      </c>
      <c r="Q4534" s="75" t="str">
        <f>IF(AND(B4534='111'!$L$11,OR($N4534=$Q$7,$O4534=$Q$7)),"x","")</f>
        <v/>
      </c>
      <c r="R4534" s="75" t="str">
        <f>IF(AND($N4534=$Q$7,$B4534&lt;'111'!$L$11),"x","")</f>
        <v/>
      </c>
      <c r="S4534" s="75" t="str">
        <f>IF(AND($O4534=$Q$7,$B4534&lt;'111'!$L$11),"x","")</f>
        <v>x</v>
      </c>
      <c r="T4534" s="75" t="str">
        <f>IF(ISERROR(FIND('112'!$M$9,G4534,1)),"",IF((AND(FIND('112'!$M$9,G4534,1)&gt;=1,B4534='112'!$K$9,OR($N4534='112'!$I$6,$O4534='112'!$I$6))),"x",""))</f>
        <v/>
      </c>
      <c r="U4534" s="75" t="str">
        <f>IF(ISERROR(FIND('112'!$M$9,G4534,1)),"",IF((AND(LEFT(G4534,2)=LEFT('112'!$M$9,2),B4534&lt;'112'!$K$9,$N4534='112'!$I$6)),"x",""))</f>
        <v/>
      </c>
      <c r="V4534" s="75" t="str">
        <f>IF(ISERROR(FIND('112'!$M$9,G4534,1)),"",IF((AND(RIGHT(G4534,2)=RIGHT('112'!$M$9,2),B4534&lt;'112'!$K$9,$O4534='112'!$I$6)),"x",""))</f>
        <v/>
      </c>
      <c r="W4534" s="75" t="str">
        <f>IF(AND('341-CT'!$H$9=H4534,OR(LEFT(N4534,3)=$W$7,LEFT(O4534,3)=$W$7)),"x","")</f>
        <v/>
      </c>
      <c r="X4534" s="75" t="str">
        <f>IF(OR(TH!N5347=TH!$X$7,O4534=TH!$X$7),"x","")</f>
        <v/>
      </c>
      <c r="Y4534" s="75" t="str">
        <f>IF(AND(OR(N4534="131",O4534="131"),H4534='131-CT'!$H$9),"x","")</f>
        <v/>
      </c>
      <c r="Z4534" s="75"/>
      <c r="AA4534" s="75" t="str">
        <f>IF(AND(MONTH(E4534)='IN-NX'!$J$5,'IN-NX'!$D$7=D4534),"x","")</f>
        <v/>
      </c>
      <c r="AB4534" s="75" t="str">
        <f>IF(AND(OR(LEFT(TH!N5347,2)="15",LEFT(TH!O5347,2)="15"),LEFT(TH!O5347,3)&lt;&gt;"111",'152-CT'!$J$8=TH!F5347),"x","")</f>
        <v/>
      </c>
      <c r="AC4534" s="75" t="str">
        <f>IF(AND(OR(LEFT(TH!N5347,2)="15",LEFT(TH!O5347,2)="15"),TK!$E$7=TH!F5347),"x","")</f>
        <v/>
      </c>
      <c r="AD4534" s="75" t="str">
        <f>IF(AND(N4534="1521",MONTH(C4534)='BK-NL'!$M$11),"x","")</f>
        <v/>
      </c>
    </row>
    <row r="4535" spans="1:33" s="304" customFormat="1" ht="16.5" customHeight="1">
      <c r="A4535" s="309" t="str">
        <f>IF(B4535&lt;&gt;"",IF(AND(B4535='IN-TC'!$S$4,OR(TH!N4528="1111",TH!O4528="1111")),TH!D4528,""),"")</f>
        <v/>
      </c>
      <c r="B4535" s="1243">
        <f t="shared" si="1326"/>
        <v>7</v>
      </c>
      <c r="C4535" s="292">
        <f t="shared" si="1327"/>
        <v>42938</v>
      </c>
      <c r="D4535" s="292"/>
      <c r="E4535" s="292">
        <v>42938</v>
      </c>
      <c r="F4535" s="67" t="s">
        <v>1328</v>
      </c>
      <c r="G4535" s="925" t="s">
        <v>2246</v>
      </c>
      <c r="H4535" s="294" t="s">
        <v>1330</v>
      </c>
      <c r="I4535" s="373"/>
      <c r="J4535" s="926"/>
      <c r="K4535" s="373"/>
      <c r="L4535" s="379"/>
      <c r="M4535" s="927">
        <v>6709091</v>
      </c>
      <c r="N4535" s="295" t="s">
        <v>539</v>
      </c>
      <c r="O4535" s="295" t="s">
        <v>63</v>
      </c>
      <c r="P4535" s="75" t="str">
        <f>IF(AND('331-CT'!$E$7=TH!H3774,OR(N4535="331",O4535="331")),"x","")</f>
        <v/>
      </c>
      <c r="Q4535" s="75" t="str">
        <f>IF(AND(B4535='111'!$L$11,OR($N4535=$Q$7,$O4535=$Q$7)),"x","")</f>
        <v/>
      </c>
      <c r="R4535" s="75" t="str">
        <f>IF(AND($N4535=$Q$7,$B4535&lt;'111'!$L$11),"x","")</f>
        <v/>
      </c>
      <c r="S4535" s="75" t="str">
        <f>IF(AND($O4535=$Q$7,$B4535&lt;'111'!$L$11),"x","")</f>
        <v>x</v>
      </c>
      <c r="T4535" s="75" t="str">
        <f>IF(ISERROR(FIND('112'!$M$9,G4535,1)),"",IF((AND(FIND('112'!$M$9,G4535,1)&gt;=1,B4535='112'!$K$9,OR($N4535='112'!$I$6,$O4535='112'!$I$6))),"x",""))</f>
        <v/>
      </c>
      <c r="U4535" s="75" t="str">
        <f>IF(ISERROR(FIND('112'!$M$9,G4535,1)),"",IF((AND(LEFT(G4535,2)=LEFT('112'!$M$9,2),B4535&lt;'112'!$K$9,$N4535='112'!$I$6)),"x",""))</f>
        <v/>
      </c>
      <c r="V4535" s="75" t="str">
        <f>IF(ISERROR(FIND('112'!$M$9,G4535,1)),"",IF((AND(RIGHT(G4535,2)=RIGHT('112'!$M$9,2),B4535&lt;'112'!$K$9,$O4535='112'!$I$6)),"x",""))</f>
        <v/>
      </c>
      <c r="W4535" s="75" t="str">
        <f>IF(AND('341-CT'!$H$9=H4535,OR(LEFT(N4535,3)=$W$7,LEFT(O4535,3)=$W$7)),"x","")</f>
        <v/>
      </c>
      <c r="X4535" s="75" t="str">
        <f>IF(OR(TH!N3774=TH!$X$7,O4535=TH!$X$7),"x","")</f>
        <v/>
      </c>
      <c r="Y4535" s="75" t="str">
        <f>IF(AND(OR(N4535="131",O4535="131"),H4535='131-CT'!$H$9),"x","")</f>
        <v/>
      </c>
      <c r="Z4535" s="75"/>
      <c r="AA4535" s="75" t="str">
        <f>IF(AND(MONTH(E4535)='IN-NX'!$J$5,'IN-NX'!$D$7=D4535),"x","")</f>
        <v/>
      </c>
      <c r="AB4535" s="75" t="str">
        <f>IF(AND(OR(LEFT(TH!N3774,2)="15",LEFT(TH!O3774,2)="15"),LEFT(TH!O3774,3)&lt;&gt;"111",'152-CT'!$J$8=TH!F3774),"x","")</f>
        <v/>
      </c>
      <c r="AC4535" s="75" t="str">
        <f>IF(AND(OR(LEFT(TH!N3774,2)="15",LEFT(TH!O3774,2)="15"),TK!$E$7=TH!F3774),"x","")</f>
        <v/>
      </c>
      <c r="AD4535" s="75" t="str">
        <f>IF(AND(N4535="1521",MONTH(C4535)='BK-NL'!$M$11),"x","")</f>
        <v/>
      </c>
      <c r="AE4535">
        <v>9</v>
      </c>
      <c r="AF4535"/>
      <c r="AG4535"/>
    </row>
    <row r="4536" spans="1:33" ht="16.5" customHeight="1">
      <c r="A4536" s="309" t="str">
        <f>IF(B4536&lt;&gt;"",IF(AND(B4536='IN-TC'!$S$4,OR(TH!N4529="1111",TH!O4529="1111")),TH!D4529,""),"")</f>
        <v/>
      </c>
      <c r="B4536" s="1243">
        <f t="shared" si="1326"/>
        <v>7</v>
      </c>
      <c r="C4536" s="292">
        <f t="shared" si="1327"/>
        <v>42938</v>
      </c>
      <c r="D4536" s="292"/>
      <c r="E4536" s="292">
        <v>42938</v>
      </c>
      <c r="F4536" s="67" t="s">
        <v>1329</v>
      </c>
      <c r="G4536" s="925" t="s">
        <v>2246</v>
      </c>
      <c r="H4536" s="294" t="s">
        <v>1330</v>
      </c>
      <c r="I4536" s="373"/>
      <c r="J4536" s="926"/>
      <c r="K4536" s="373"/>
      <c r="L4536" s="379"/>
      <c r="M4536" s="927">
        <v>670909</v>
      </c>
      <c r="N4536" s="295" t="s">
        <v>9</v>
      </c>
      <c r="O4536" s="295" t="s">
        <v>63</v>
      </c>
      <c r="P4536" s="75" t="str">
        <f>IF(AND('331-CT'!$E$7=TH!H3775,OR(N4536="331",O4536="331")),"x","")</f>
        <v/>
      </c>
      <c r="Q4536" s="75" t="str">
        <f>IF(AND(B4536='111'!$L$11,OR($N4536=$Q$7,$O4536=$Q$7)),"x","")</f>
        <v/>
      </c>
      <c r="R4536" s="75" t="str">
        <f>IF(AND($N4536=$Q$7,$B4536&lt;'111'!$L$11),"x","")</f>
        <v/>
      </c>
      <c r="S4536" s="75" t="str">
        <f>IF(AND($O4536=$Q$7,$B4536&lt;'111'!$L$11),"x","")</f>
        <v>x</v>
      </c>
      <c r="T4536" s="75" t="str">
        <f>IF(ISERROR(FIND('112'!$M$9,G4536,1)),"",IF((AND(FIND('112'!$M$9,G4536,1)&gt;=1,B4536='112'!$K$9,OR($N4536='112'!$I$6,$O4536='112'!$I$6))),"x",""))</f>
        <v/>
      </c>
      <c r="U4536" s="75" t="str">
        <f>IF(ISERROR(FIND('112'!$M$9,G4536,1)),"",IF((AND(LEFT(G4536,2)=LEFT('112'!$M$9,2),B4536&lt;'112'!$K$9,$N4536='112'!$I$6)),"x",""))</f>
        <v/>
      </c>
      <c r="V4536" s="75" t="str">
        <f>IF(ISERROR(FIND('112'!$M$9,G4536,1)),"",IF((AND(RIGHT(G4536,2)=RIGHT('112'!$M$9,2),B4536&lt;'112'!$K$9,$O4536='112'!$I$6)),"x",""))</f>
        <v/>
      </c>
      <c r="W4536" s="75" t="str">
        <f>IF(AND('341-CT'!$H$9=H4536,OR(LEFT(N4536,3)=$W$7,LEFT(O4536,3)=$W$7)),"x","")</f>
        <v/>
      </c>
      <c r="X4536" s="75" t="str">
        <f>IF(OR(TH!N3775=TH!$X$7,O4536=TH!$X$7),"x","")</f>
        <v/>
      </c>
      <c r="Y4536" s="75" t="str">
        <f>IF(AND(OR(N4536="131",O4536="131"),H4536='131-CT'!$H$9),"x","")</f>
        <v/>
      </c>
      <c r="Z4536" s="75"/>
      <c r="AA4536" s="75" t="str">
        <f>IF(AND(MONTH(E4536)='IN-NX'!$J$5,'IN-NX'!$D$7=D4536),"x","")</f>
        <v/>
      </c>
      <c r="AB4536" s="75" t="str">
        <f>IF(AND(OR(LEFT(TH!N3775,2)="15",LEFT(TH!O3775,2)="15"),LEFT(TH!O3775,3)&lt;&gt;"111",'152-CT'!$J$8=TH!F3775),"x","")</f>
        <v/>
      </c>
      <c r="AC4536" s="75" t="str">
        <f>IF(AND(OR(LEFT(TH!N3775,2)="15",LEFT(TH!O3775,2)="15"),TK!$E$7=TH!F3775),"x","")</f>
        <v/>
      </c>
      <c r="AD4536" s="75" t="str">
        <f>IF(AND(N4536="1521",MONTH(C4536)='BK-NL'!$M$11),"x","")</f>
        <v/>
      </c>
      <c r="AE4536">
        <v>9</v>
      </c>
    </row>
    <row r="4537" spans="1:33" ht="16.5" customHeight="1">
      <c r="A4537" s="309" t="str">
        <f>IF(B4537&lt;&gt;"",IF(AND(B4537='IN-TC'!$S$4,OR(TH!N4530="1111",TH!O4530="1111")),TH!D4530,""),"")</f>
        <v/>
      </c>
      <c r="B4537" s="1243">
        <f t="shared" si="1326"/>
        <v>7</v>
      </c>
      <c r="C4537" s="292">
        <f t="shared" si="1327"/>
        <v>42939</v>
      </c>
      <c r="D4537" s="292"/>
      <c r="E4537" s="292">
        <v>42939</v>
      </c>
      <c r="F4537" s="67" t="s">
        <v>1499</v>
      </c>
      <c r="G4537" s="925" t="s">
        <v>1832</v>
      </c>
      <c r="H4537" s="294" t="s">
        <v>893</v>
      </c>
      <c r="I4537" s="373"/>
      <c r="J4537" s="926"/>
      <c r="K4537" s="373"/>
      <c r="L4537" s="379"/>
      <c r="M4537" s="927">
        <v>750764</v>
      </c>
      <c r="N4537" s="295" t="s">
        <v>101</v>
      </c>
      <c r="O4537" s="295" t="s">
        <v>63</v>
      </c>
      <c r="P4537" s="75" t="str">
        <f>IF(AND('331-CT'!$E$7=TH!H3776,OR(N4537="331",O4537="331")),"x","")</f>
        <v/>
      </c>
      <c r="Q4537" s="75" t="str">
        <f>IF(AND(B4537='111'!$L$11,OR($N4537=$Q$7,$O4537=$Q$7)),"x","")</f>
        <v/>
      </c>
      <c r="R4537" s="75" t="str">
        <f>IF(AND($N4537=$Q$7,$B4537&lt;'111'!$L$11),"x","")</f>
        <v/>
      </c>
      <c r="S4537" s="75" t="str">
        <f>IF(AND($O4537=$Q$7,$B4537&lt;'111'!$L$11),"x","")</f>
        <v>x</v>
      </c>
      <c r="T4537" s="75" t="str">
        <f>IF(ISERROR(FIND('112'!$M$9,G4537,1)),"",IF((AND(FIND('112'!$M$9,G4537,1)&gt;=1,B4537='112'!$K$9,OR($N4537='112'!$I$6,$O4537='112'!$I$6))),"x",""))</f>
        <v/>
      </c>
      <c r="U4537" s="75" t="str">
        <f>IF(ISERROR(FIND('112'!$M$9,G4537,1)),"",IF((AND(LEFT(G4537,2)=LEFT('112'!$M$9,2),B4537&lt;'112'!$K$9,$N4537='112'!$I$6)),"x",""))</f>
        <v/>
      </c>
      <c r="V4537" s="75" t="str">
        <f>IF(ISERROR(FIND('112'!$M$9,G4537,1)),"",IF((AND(RIGHT(G4537,2)=RIGHT('112'!$M$9,2),B4537&lt;'112'!$K$9,$O4537='112'!$I$6)),"x",""))</f>
        <v/>
      </c>
      <c r="W4537" s="75" t="str">
        <f>IF(AND('341-CT'!$H$9=H4537,OR(LEFT(N4537,3)=$W$7,LEFT(O4537,3)=$W$7)),"x","")</f>
        <v/>
      </c>
      <c r="X4537" s="75" t="str">
        <f>IF(OR(TH!N3776=TH!$X$7,O4537=TH!$X$7),"x","")</f>
        <v/>
      </c>
      <c r="Y4537" s="75" t="str">
        <f>IF(AND(OR(N4537="131",O4537="131"),H4537='131-CT'!$H$9),"x","")</f>
        <v/>
      </c>
      <c r="Z4537" s="75"/>
      <c r="AA4537" s="75" t="str">
        <f>IF(AND(MONTH(E4537)='IN-NX'!$J$5,'IN-NX'!$D$7=D4537),"x","")</f>
        <v/>
      </c>
      <c r="AB4537" s="75" t="str">
        <f>IF(AND(OR(LEFT(TH!N3776,2)="15",LEFT(TH!O3776,2)="15"),LEFT(TH!O3776,3)&lt;&gt;"111",'152-CT'!$J$8=TH!F3776),"x","")</f>
        <v/>
      </c>
      <c r="AC4537" s="75" t="str">
        <f>IF(AND(OR(LEFT(TH!N3776,2)="15",LEFT(TH!O3776,2)="15"),TK!$E$7=TH!F3776),"x","")</f>
        <v/>
      </c>
      <c r="AD4537" s="75" t="str">
        <f>IF(AND(N4537="1521",MONTH(C4537)='BK-NL'!$M$11),"x","")</f>
        <v/>
      </c>
    </row>
    <row r="4538" spans="1:33" s="1053" customFormat="1" ht="16.5" customHeight="1">
      <c r="A4538" s="309" t="str">
        <f>IF(B4538&lt;&gt;"",IF(AND(B4538='IN-TC'!$S$4,OR(TH!N4531="1111",TH!O4531="1111")),TH!D4531,""),"")</f>
        <v/>
      </c>
      <c r="B4538" s="1243">
        <f t="shared" si="1326"/>
        <v>7</v>
      </c>
      <c r="C4538" s="292">
        <f t="shared" si="1327"/>
        <v>42939</v>
      </c>
      <c r="D4538" s="292"/>
      <c r="E4538" s="292">
        <v>42939</v>
      </c>
      <c r="F4538" s="67" t="s">
        <v>1500</v>
      </c>
      <c r="G4538" s="925" t="s">
        <v>1832</v>
      </c>
      <c r="H4538" s="294" t="s">
        <v>893</v>
      </c>
      <c r="I4538" s="373"/>
      <c r="J4538" s="926"/>
      <c r="K4538" s="373"/>
      <c r="L4538" s="379"/>
      <c r="M4538" s="927">
        <v>75076</v>
      </c>
      <c r="N4538" s="295" t="s">
        <v>9</v>
      </c>
      <c r="O4538" s="295" t="s">
        <v>63</v>
      </c>
      <c r="P4538" s="75" t="str">
        <f>IF(AND('331-CT'!$E$7=TH!H3777,OR(N4538="331",O4538="331")),"x","")</f>
        <v/>
      </c>
      <c r="Q4538" s="75" t="str">
        <f>IF(AND(B4538='111'!$L$11,OR($N4538=$Q$7,$O4538=$Q$7)),"x","")</f>
        <v/>
      </c>
      <c r="R4538" s="75" t="str">
        <f>IF(AND($N4538=$Q$7,$B4538&lt;'111'!$L$11),"x","")</f>
        <v/>
      </c>
      <c r="S4538" s="75" t="str">
        <f>IF(AND($O4538=$Q$7,$B4538&lt;'111'!$L$11),"x","")</f>
        <v>x</v>
      </c>
      <c r="T4538" s="75" t="str">
        <f>IF(ISERROR(FIND('112'!$M$9,G4538,1)),"",IF((AND(FIND('112'!$M$9,G4538,1)&gt;=1,B4538='112'!$K$9,OR($N4538='112'!$I$6,$O4538='112'!$I$6))),"x",""))</f>
        <v/>
      </c>
      <c r="U4538" s="75" t="str">
        <f>IF(ISERROR(FIND('112'!$M$9,G4538,1)),"",IF((AND(LEFT(G4538,2)=LEFT('112'!$M$9,2),B4538&lt;'112'!$K$9,$N4538='112'!$I$6)),"x",""))</f>
        <v/>
      </c>
      <c r="V4538" s="75" t="str">
        <f>IF(ISERROR(FIND('112'!$M$9,G4538,1)),"",IF((AND(RIGHT(G4538,2)=RIGHT('112'!$M$9,2),B4538&lt;'112'!$K$9,$O4538='112'!$I$6)),"x",""))</f>
        <v/>
      </c>
      <c r="W4538" s="75" t="str">
        <f>IF(AND('341-CT'!$H$9=H4538,OR(LEFT(N4538,3)=$W$7,LEFT(O4538,3)=$W$7)),"x","")</f>
        <v/>
      </c>
      <c r="X4538" s="75" t="str">
        <f>IF(OR(TH!N3777=TH!$X$7,O4538=TH!$X$7),"x","")</f>
        <v/>
      </c>
      <c r="Y4538" s="75" t="str">
        <f>IF(AND(OR(N4538="131",O4538="131"),H4538='131-CT'!$H$9),"x","")</f>
        <v/>
      </c>
      <c r="Z4538" s="75"/>
      <c r="AA4538" s="75" t="str">
        <f>IF(AND(MONTH(E4538)='IN-NX'!$J$5,'IN-NX'!$D$7=D4538),"x","")</f>
        <v/>
      </c>
      <c r="AB4538" s="75" t="str">
        <f>IF(AND(OR(LEFT(TH!N3777,2)="15",LEFT(TH!O3777,2)="15"),LEFT(TH!O3777,3)&lt;&gt;"111",'152-CT'!$J$8=TH!F3777),"x","")</f>
        <v/>
      </c>
      <c r="AC4538" s="75" t="str">
        <f>IF(AND(OR(LEFT(TH!N3777,2)="15",LEFT(TH!O3777,2)="15"),TK!$E$7=TH!F3777),"x","")</f>
        <v/>
      </c>
      <c r="AD4538" s="75" t="str">
        <f>IF(AND(N4538="1521",MONTH(C4538)='BK-NL'!$M$11),"x","")</f>
        <v/>
      </c>
      <c r="AE4538">
        <v>7</v>
      </c>
      <c r="AF4538"/>
      <c r="AG4538"/>
    </row>
    <row r="4539" spans="1:33" s="1053" customFormat="1" ht="16.5" customHeight="1">
      <c r="A4539" s="309" t="str">
        <f>IF(B4539&lt;&gt;"",IF(AND(B4539='IN-TC'!$S$4,OR(TH!N4532="1111",TH!O4532="1111")),TH!D4532,""),"")</f>
        <v/>
      </c>
      <c r="B4539" s="1243">
        <f t="shared" si="1326"/>
        <v>7</v>
      </c>
      <c r="C4539" s="292">
        <f t="shared" si="1327"/>
        <v>42940</v>
      </c>
      <c r="D4539" s="292"/>
      <c r="E4539" s="292">
        <v>42940</v>
      </c>
      <c r="F4539" s="67" t="s">
        <v>1499</v>
      </c>
      <c r="G4539" s="925" t="s">
        <v>1833</v>
      </c>
      <c r="H4539" s="294" t="s">
        <v>893</v>
      </c>
      <c r="I4539" s="373"/>
      <c r="J4539" s="926"/>
      <c r="K4539" s="373"/>
      <c r="L4539" s="379"/>
      <c r="M4539" s="927">
        <v>887127</v>
      </c>
      <c r="N4539" s="295" t="s">
        <v>101</v>
      </c>
      <c r="O4539" s="295" t="s">
        <v>63</v>
      </c>
      <c r="P4539" s="75" t="str">
        <f>IF(AND('331-CT'!$E$7=TH!H3778,OR(N4539="331",O4539="331")),"x","")</f>
        <v/>
      </c>
      <c r="Q4539" s="75" t="str">
        <f>IF(AND(B4539='111'!$L$11,OR($N4539=$Q$7,$O4539=$Q$7)),"x","")</f>
        <v/>
      </c>
      <c r="R4539" s="75" t="str">
        <f>IF(AND($N4539=$Q$7,$B4539&lt;'111'!$L$11),"x","")</f>
        <v/>
      </c>
      <c r="S4539" s="75" t="str">
        <f>IF(AND($O4539=$Q$7,$B4539&lt;'111'!$L$11),"x","")</f>
        <v>x</v>
      </c>
      <c r="T4539" s="75" t="str">
        <f>IF(ISERROR(FIND('112'!$M$9,G4539,1)),"",IF((AND(FIND('112'!$M$9,G4539,1)&gt;=1,B4539='112'!$K$9,OR($N4539='112'!$I$6,$O4539='112'!$I$6))),"x",""))</f>
        <v/>
      </c>
      <c r="U4539" s="75" t="str">
        <f>IF(ISERROR(FIND('112'!$M$9,G4539,1)),"",IF((AND(LEFT(G4539,2)=LEFT('112'!$M$9,2),B4539&lt;'112'!$K$9,$N4539='112'!$I$6)),"x",""))</f>
        <v/>
      </c>
      <c r="V4539" s="75" t="str">
        <f>IF(ISERROR(FIND('112'!$M$9,G4539,1)),"",IF((AND(RIGHT(G4539,2)=RIGHT('112'!$M$9,2),B4539&lt;'112'!$K$9,$O4539='112'!$I$6)),"x",""))</f>
        <v/>
      </c>
      <c r="W4539" s="75" t="str">
        <f>IF(AND('341-CT'!$H$9=H4539,OR(LEFT(N4539,3)=$W$7,LEFT(O4539,3)=$W$7)),"x","")</f>
        <v/>
      </c>
      <c r="X4539" s="75" t="str">
        <f>IF(OR(TH!N3778=TH!$X$7,O4539=TH!$X$7),"x","")</f>
        <v/>
      </c>
      <c r="Y4539" s="75" t="str">
        <f>IF(AND(OR(N4539="131",O4539="131"),H4539='131-CT'!$H$9),"x","")</f>
        <v/>
      </c>
      <c r="Z4539" s="75"/>
      <c r="AA4539" s="75" t="str">
        <f>IF(AND(MONTH(E4539)='IN-NX'!$J$5,'IN-NX'!$D$7=D4539),"x","")</f>
        <v/>
      </c>
      <c r="AB4539" s="75" t="str">
        <f>IF(AND(OR(LEFT(TH!N3778,2)="15",LEFT(TH!O3778,2)="15"),LEFT(TH!O3778,3)&lt;&gt;"111",'152-CT'!$J$8=TH!F3778),"x","")</f>
        <v/>
      </c>
      <c r="AC4539" s="75" t="str">
        <f>IF(AND(OR(LEFT(TH!N3778,2)="15",LEFT(TH!O3778,2)="15"),TK!$E$7=TH!F3778),"x","")</f>
        <v/>
      </c>
      <c r="AD4539" s="75" t="str">
        <f>IF(AND(N4539="1521",MONTH(C4539)='BK-NL'!$M$11),"x","")</f>
        <v/>
      </c>
      <c r="AE4539"/>
      <c r="AF4539"/>
      <c r="AG4539"/>
    </row>
    <row r="4540" spans="1:33" s="1053" customFormat="1" ht="16.5" customHeight="1">
      <c r="A4540" s="309" t="str">
        <f>IF(B4540&lt;&gt;"",IF(AND(B4540='IN-TC'!$S$4,OR(TH!N4533="1111",TH!O4533="1111")),TH!D4533,""),"")</f>
        <v/>
      </c>
      <c r="B4540" s="1243">
        <f t="shared" si="1326"/>
        <v>7</v>
      </c>
      <c r="C4540" s="292">
        <f t="shared" si="1327"/>
        <v>42940</v>
      </c>
      <c r="D4540" s="292"/>
      <c r="E4540" s="292">
        <v>42940</v>
      </c>
      <c r="F4540" s="67" t="s">
        <v>1500</v>
      </c>
      <c r="G4540" s="925" t="s">
        <v>1833</v>
      </c>
      <c r="H4540" s="294" t="s">
        <v>893</v>
      </c>
      <c r="I4540" s="373"/>
      <c r="J4540" s="926"/>
      <c r="K4540" s="373"/>
      <c r="L4540" s="379"/>
      <c r="M4540" s="927">
        <v>88712</v>
      </c>
      <c r="N4540" s="295" t="s">
        <v>9</v>
      </c>
      <c r="O4540" s="295" t="s">
        <v>63</v>
      </c>
      <c r="P4540" s="75" t="str">
        <f>IF(AND('331-CT'!$E$7=TH!H3779,OR(N4540="331",O4540="331")),"x","")</f>
        <v/>
      </c>
      <c r="Q4540" s="75" t="str">
        <f>IF(AND(B4540='111'!$L$11,OR($N4540=$Q$7,$O4540=$Q$7)),"x","")</f>
        <v/>
      </c>
      <c r="R4540" s="75" t="str">
        <f>IF(AND($N4540=$Q$7,$B4540&lt;'111'!$L$11),"x","")</f>
        <v/>
      </c>
      <c r="S4540" s="75" t="str">
        <f>IF(AND($O4540=$Q$7,$B4540&lt;'111'!$L$11),"x","")</f>
        <v>x</v>
      </c>
      <c r="T4540" s="75" t="str">
        <f>IF(ISERROR(FIND('112'!$M$9,G4540,1)),"",IF((AND(FIND('112'!$M$9,G4540,1)&gt;=1,B4540='112'!$K$9,OR($N4540='112'!$I$6,$O4540='112'!$I$6))),"x",""))</f>
        <v/>
      </c>
      <c r="U4540" s="75" t="str">
        <f>IF(ISERROR(FIND('112'!$M$9,G4540,1)),"",IF((AND(LEFT(G4540,2)=LEFT('112'!$M$9,2),B4540&lt;'112'!$K$9,$N4540='112'!$I$6)),"x",""))</f>
        <v/>
      </c>
      <c r="V4540" s="75" t="str">
        <f>IF(ISERROR(FIND('112'!$M$9,G4540,1)),"",IF((AND(RIGHT(G4540,2)=RIGHT('112'!$M$9,2),B4540&lt;'112'!$K$9,$O4540='112'!$I$6)),"x",""))</f>
        <v/>
      </c>
      <c r="W4540" s="75" t="str">
        <f>IF(AND('341-CT'!$H$9=H4540,OR(LEFT(N4540,3)=$W$7,LEFT(O4540,3)=$W$7)),"x","")</f>
        <v/>
      </c>
      <c r="X4540" s="75" t="str">
        <f>IF(OR(TH!N3779=TH!$X$7,O4540=TH!$X$7),"x","")</f>
        <v/>
      </c>
      <c r="Y4540" s="75" t="str">
        <f>IF(AND(OR(N4540="131",O4540="131"),H4540='131-CT'!$H$9),"x","")</f>
        <v/>
      </c>
      <c r="Z4540" s="75"/>
      <c r="AA4540" s="75" t="str">
        <f>IF(AND(MONTH(E4540)='IN-NX'!$J$5,'IN-NX'!$D$7=D4540),"x","")</f>
        <v/>
      </c>
      <c r="AB4540" s="75" t="str">
        <f>IF(AND(OR(LEFT(TH!N3779,2)="15",LEFT(TH!O3779,2)="15"),LEFT(TH!O3779,3)&lt;&gt;"111",'152-CT'!$J$8=TH!F3779),"x","")</f>
        <v/>
      </c>
      <c r="AC4540" s="75" t="str">
        <f>IF(AND(OR(LEFT(TH!N3779,2)="15",LEFT(TH!O3779,2)="15"),TK!$E$7=TH!F3779),"x","")</f>
        <v/>
      </c>
      <c r="AD4540" s="75" t="str">
        <f>IF(AND(N4540="1521",MONTH(C4540)='BK-NL'!$M$11),"x","")</f>
        <v/>
      </c>
      <c r="AE4540">
        <v>7</v>
      </c>
      <c r="AF4540"/>
      <c r="AG4540"/>
    </row>
    <row r="4541" spans="1:33" s="1053" customFormat="1" ht="16.5" customHeight="1">
      <c r="A4541" s="309" t="str">
        <f>IF(B4541&lt;&gt;"",IF(AND(B4541='IN-TC'!$S$4,OR(TH!N4534="1111",TH!O4534="1111")),TH!D4534,""),"")</f>
        <v/>
      </c>
      <c r="B4541" s="1243">
        <f t="shared" si="1326"/>
        <v>7</v>
      </c>
      <c r="C4541" s="292">
        <f t="shared" si="1327"/>
        <v>42940</v>
      </c>
      <c r="D4541" s="59" t="s">
        <v>903</v>
      </c>
      <c r="E4541" s="59">
        <v>42940</v>
      </c>
      <c r="F4541" s="67" t="s">
        <v>914</v>
      </c>
      <c r="G4541" s="62" t="s">
        <v>747</v>
      </c>
      <c r="H4541" s="294" t="s">
        <v>835</v>
      </c>
      <c r="I4541" s="373"/>
      <c r="J4541" s="379"/>
      <c r="K4541" s="373"/>
      <c r="L4541" s="379"/>
      <c r="M4541" s="60">
        <v>324631</v>
      </c>
      <c r="N4541" s="61" t="s">
        <v>26</v>
      </c>
      <c r="O4541" s="295" t="s">
        <v>43</v>
      </c>
      <c r="P4541" s="75" t="str">
        <f>IF(AND('331-CT'!$E$7=TH!H5348,OR(N4541="331",O4541="331")),"x","")</f>
        <v/>
      </c>
      <c r="Q4541" s="75" t="str">
        <f>IF(AND(B4541='111'!$L$11,OR($N4541=$Q$7,$O4541=$Q$7)),"x","")</f>
        <v/>
      </c>
      <c r="R4541" s="75" t="str">
        <f>IF(AND($N4541=$Q$7,$B4541&lt;'111'!$L$11),"x","")</f>
        <v/>
      </c>
      <c r="S4541" s="75" t="str">
        <f>IF(AND($O4541=$Q$7,$B4541&lt;'111'!$L$11),"x","")</f>
        <v/>
      </c>
      <c r="T4541" s="75" t="str">
        <f>IF(ISERROR(FIND('112'!$M$9,G4541,1)),"",IF((AND(FIND('112'!$M$9,G4541,1)&gt;=1,B4541='112'!$K$9,OR($N4541='112'!$I$6,$O4541='112'!$I$6))),"x",""))</f>
        <v/>
      </c>
      <c r="U4541" s="75" t="str">
        <f>IF(ISERROR(FIND('112'!$M$9,G4541,1)),"",IF((AND(LEFT(G4541,2)=LEFT('112'!$M$9,2),B4541&lt;'112'!$K$9,$N4541='112'!$I$6)),"x",""))</f>
        <v/>
      </c>
      <c r="V4541" s="75" t="str">
        <f>IF(ISERROR(FIND('112'!$M$9,G4541,1)),"",IF((AND(RIGHT(G4541,2)=RIGHT('112'!$M$9,2),B4541&lt;'112'!$K$9,$O4541='112'!$I$6)),"x",""))</f>
        <v/>
      </c>
      <c r="W4541" s="75" t="str">
        <f>IF(AND('341-CT'!$H$9=H4541,OR(LEFT(N4541,3)=$W$7,LEFT(O4541,3)=$W$7)),"x","")</f>
        <v/>
      </c>
      <c r="X4541" s="75" t="str">
        <f>IF(OR(TH!N5348=TH!$X$7,O4541=TH!$X$7),"x","")</f>
        <v/>
      </c>
      <c r="Y4541" s="75" t="str">
        <f>IF(AND(OR(N4541="131",O4541="131"),H4541='131-CT'!$H$9),"x","")</f>
        <v/>
      </c>
      <c r="Z4541" s="75"/>
      <c r="AA4541" s="75" t="str">
        <f>IF(AND(MONTH(E4541)='IN-NX'!$J$5,'IN-NX'!$D$7=D4541),"x","")</f>
        <v/>
      </c>
      <c r="AB4541" s="75" t="str">
        <f>IF(AND(OR(LEFT(TH!N5348,2)="15",LEFT(TH!O5348,2)="15"),LEFT(TH!O5348,3)&lt;&gt;"111",'152-CT'!$J$8=TH!F5348),"x","")</f>
        <v/>
      </c>
      <c r="AC4541" s="75" t="str">
        <f>IF(AND(OR(LEFT(TH!N5348,2)="15",LEFT(TH!O5348,2)="15"),TK!$E$7=TH!F5348),"x","")</f>
        <v/>
      </c>
      <c r="AD4541" s="75" t="str">
        <f>IF(AND(N4541="1521",MONTH(C4541)='BK-NL'!$M$11),"x","")</f>
        <v/>
      </c>
      <c r="AE4541"/>
      <c r="AF4541"/>
      <c r="AG4541"/>
    </row>
    <row r="4542" spans="1:33" s="1053" customFormat="1" ht="16.5" customHeight="1">
      <c r="A4542" s="309" t="str">
        <f>IF(B4542&lt;&gt;"",IF(AND(B4542='IN-TC'!$S$4,OR(TH!N4535="1111",TH!O4535="1111")),TH!D4535,""),"")</f>
        <v/>
      </c>
      <c r="B4542" s="1243">
        <f t="shared" si="1326"/>
        <v>7</v>
      </c>
      <c r="C4542" s="292">
        <f t="shared" si="1327"/>
        <v>42941</v>
      </c>
      <c r="D4542" s="292"/>
      <c r="E4542" s="292">
        <v>42941</v>
      </c>
      <c r="F4542" s="1010" t="s">
        <v>1881</v>
      </c>
      <c r="G4542" s="925"/>
      <c r="H4542" s="311" t="s">
        <v>1884</v>
      </c>
      <c r="I4542" s="373"/>
      <c r="J4542" s="926"/>
      <c r="K4542" s="373"/>
      <c r="L4542" s="379"/>
      <c r="M4542" s="927">
        <v>1036773000</v>
      </c>
      <c r="N4542" s="295" t="s">
        <v>8</v>
      </c>
      <c r="O4542" s="295" t="s">
        <v>63</v>
      </c>
      <c r="P4542" s="75" t="str">
        <f>IF(AND('331-CT'!$E$7=TH!H4291,OR(N4542="331",O4542="331")),"x","")</f>
        <v/>
      </c>
      <c r="Q4542" s="75" t="str">
        <f>IF(AND(B4542='111'!$L$11,OR($N4542=$Q$7,$O4542=$Q$7)),"x","")</f>
        <v/>
      </c>
      <c r="R4542" s="75" t="str">
        <f>IF(AND($N4542=$Q$7,$B4542&lt;'111'!$L$11),"x","")</f>
        <v/>
      </c>
      <c r="S4542" s="75" t="str">
        <f>IF(AND($O4542=$Q$7,$B4542&lt;'111'!$L$11),"x","")</f>
        <v>x</v>
      </c>
      <c r="T4542" s="75" t="str">
        <f>IF(ISERROR(FIND('112'!$M$9,G4542,1)),"",IF((AND(FIND('112'!$M$9,G4542,1)&gt;=1,B4542='112'!$K$9,OR($N4542='112'!$I$6,$O4542='112'!$I$6))),"x",""))</f>
        <v/>
      </c>
      <c r="U4542" s="75" t="str">
        <f>IF(ISERROR(FIND('112'!$M$9,G4542,1)),"",IF((AND(LEFT(G4542,2)=LEFT('112'!$M$9,2),B4542&lt;'112'!$K$9,$N4542='112'!$I$6)),"x",""))</f>
        <v/>
      </c>
      <c r="V4542" s="75" t="str">
        <f>IF(ISERROR(FIND('112'!$M$9,G4542,1)),"",IF((AND(RIGHT(G4542,2)=RIGHT('112'!$M$9,2),B4542&lt;'112'!$K$9,$O4542='112'!$I$6)),"x",""))</f>
        <v/>
      </c>
      <c r="W4542" s="75" t="str">
        <f>IF(AND('341-CT'!$H$9=H4542,OR(LEFT(N4542,3)=$W$7,LEFT(O4542,3)=$W$7)),"x","")</f>
        <v/>
      </c>
      <c r="X4542" s="75" t="str">
        <f>IF(OR(TH!N4291=TH!$X$7,O4542=TH!$X$7),"x","")</f>
        <v/>
      </c>
      <c r="Y4542" s="75" t="str">
        <f>IF(AND(OR(N4542="131",O4542="131"),H4542='131-CT'!$H$9),"x","")</f>
        <v/>
      </c>
      <c r="Z4542" s="75"/>
      <c r="AA4542" s="75" t="str">
        <f>IF(AND(MONTH(E4542)='IN-NX'!$J$5,'IN-NX'!$D$7=D4542),"x","")</f>
        <v/>
      </c>
      <c r="AB4542" s="75" t="str">
        <f>IF(AND(OR(LEFT(TH!N4291,2)="15",LEFT(TH!O4291,2)="15"),LEFT(TH!O4291,3)&lt;&gt;"111",'152-CT'!$J$8=TH!F4291),"x","")</f>
        <v/>
      </c>
      <c r="AC4542" s="75" t="str">
        <f>IF(AND(OR(LEFT(TH!N4291,2)="15",LEFT(TH!O4291,2)="15"),TK!$E$7=TH!F4291),"x","")</f>
        <v/>
      </c>
      <c r="AD4542" s="75" t="str">
        <f>IF(AND(N4542="1521",MONTH(C4542)='BK-NL'!$M$11),"x","")</f>
        <v/>
      </c>
      <c r="AE4542"/>
      <c r="AF4542"/>
      <c r="AG4542"/>
    </row>
    <row r="4543" spans="1:33" s="1053" customFormat="1" ht="16.5" customHeight="1">
      <c r="A4543" s="309" t="str">
        <f>IF(B4543&lt;&gt;"",IF(AND(B4543='IN-TC'!$S$4,OR(TH!N4536="1111",TH!O4536="1111")),TH!D4536,""),"")</f>
        <v/>
      </c>
      <c r="B4543" s="1243">
        <f t="shared" si="1326"/>
        <v>7</v>
      </c>
      <c r="C4543" s="292">
        <f t="shared" si="1327"/>
        <v>42941</v>
      </c>
      <c r="D4543" s="292"/>
      <c r="E4543" s="292">
        <v>42941</v>
      </c>
      <c r="F4543" s="1010" t="s">
        <v>1883</v>
      </c>
      <c r="G4543" s="925"/>
      <c r="H4543" s="311"/>
      <c r="I4543" s="373"/>
      <c r="J4543" s="926"/>
      <c r="K4543" s="373"/>
      <c r="L4543" s="379"/>
      <c r="M4543" s="927">
        <v>725741</v>
      </c>
      <c r="N4543" s="295" t="s">
        <v>101</v>
      </c>
      <c r="O4543" s="295" t="s">
        <v>63</v>
      </c>
      <c r="P4543" s="75" t="str">
        <f>IF(AND('331-CT'!$E$7=TH!H4292,OR(N4543="331",O4543="331")),"x","")</f>
        <v/>
      </c>
      <c r="Q4543" s="75" t="str">
        <f>IF(AND(B4543='111'!$L$11,OR($N4543=$Q$7,$O4543=$Q$7)),"x","")</f>
        <v/>
      </c>
      <c r="R4543" s="75" t="str">
        <f>IF(AND($N4543=$Q$7,$B4543&lt;'111'!$L$11),"x","")</f>
        <v/>
      </c>
      <c r="S4543" s="75" t="str">
        <f>IF(AND($O4543=$Q$7,$B4543&lt;'111'!$L$11),"x","")</f>
        <v>x</v>
      </c>
      <c r="T4543" s="75" t="str">
        <f>IF(ISERROR(FIND('112'!$M$9,G4543,1)),"",IF((AND(FIND('112'!$M$9,G4543,1)&gt;=1,B4543='112'!$K$9,OR($N4543='112'!$I$6,$O4543='112'!$I$6))),"x",""))</f>
        <v/>
      </c>
      <c r="U4543" s="75" t="str">
        <f>IF(ISERROR(FIND('112'!$M$9,G4543,1)),"",IF((AND(LEFT(G4543,2)=LEFT('112'!$M$9,2),B4543&lt;'112'!$K$9,$N4543='112'!$I$6)),"x",""))</f>
        <v/>
      </c>
      <c r="V4543" s="75" t="str">
        <f>IF(ISERROR(FIND('112'!$M$9,G4543,1)),"",IF((AND(RIGHT(G4543,2)=RIGHT('112'!$M$9,2),B4543&lt;'112'!$K$9,$O4543='112'!$I$6)),"x",""))</f>
        <v/>
      </c>
      <c r="W4543" s="75" t="str">
        <f>IF(AND('341-CT'!$H$9=H4543,OR(LEFT(N4543,3)=$W$7,LEFT(O4543,3)=$W$7)),"x","")</f>
        <v/>
      </c>
      <c r="X4543" s="75" t="str">
        <f>IF(OR(TH!N4292=TH!$X$7,O4543=TH!$X$7),"x","")</f>
        <v/>
      </c>
      <c r="Y4543" s="75" t="str">
        <f>IF(AND(OR(N4543="131",O4543="131"),H4543='131-CT'!$H$9),"x","")</f>
        <v/>
      </c>
      <c r="Z4543" s="75"/>
      <c r="AA4543" s="75" t="str">
        <f>IF(AND(MONTH(E4543)='IN-NX'!$J$5,'IN-NX'!$D$7=D4543),"x","")</f>
        <v/>
      </c>
      <c r="AB4543" s="75" t="str">
        <f>IF(AND(OR(LEFT(TH!N4292,2)="15",LEFT(TH!O4292,2)="15"),LEFT(TH!O4292,3)&lt;&gt;"111",'152-CT'!$J$8=TH!F4292),"x","")</f>
        <v/>
      </c>
      <c r="AC4543" s="75" t="str">
        <f>IF(AND(OR(LEFT(TH!N4292,2)="15",LEFT(TH!O4292,2)="15"),TK!$E$7=TH!F4292),"x","")</f>
        <v/>
      </c>
      <c r="AD4543" s="75" t="str">
        <f>IF(AND(N4543="1521",MONTH(C4543)='BK-NL'!$M$11),"x","")</f>
        <v/>
      </c>
      <c r="AE4543">
        <v>9</v>
      </c>
      <c r="AF4543"/>
      <c r="AG4543"/>
    </row>
    <row r="4544" spans="1:33" s="1053" customFormat="1" ht="16.5" customHeight="1">
      <c r="A4544" s="309" t="str">
        <f>IF(B4544&lt;&gt;"",IF(AND(B4544='IN-TC'!$S$4,OR(TH!N4537="1111",TH!O4537="1111")),TH!D4537,""),"")</f>
        <v/>
      </c>
      <c r="B4544" s="1243">
        <f t="shared" si="1326"/>
        <v>7</v>
      </c>
      <c r="C4544" s="292">
        <f t="shared" si="1327"/>
        <v>42941</v>
      </c>
      <c r="D4544" s="292"/>
      <c r="E4544" s="292">
        <v>42941</v>
      </c>
      <c r="F4544" s="1010" t="s">
        <v>1895</v>
      </c>
      <c r="G4544" s="925"/>
      <c r="H4544" s="311"/>
      <c r="I4544" s="373"/>
      <c r="J4544" s="926"/>
      <c r="K4544" s="373"/>
      <c r="L4544" s="379"/>
      <c r="M4544" s="927">
        <v>72574</v>
      </c>
      <c r="N4544" s="295" t="s">
        <v>9</v>
      </c>
      <c r="O4544" s="295" t="s">
        <v>63</v>
      </c>
      <c r="P4544" s="75" t="str">
        <f>IF(AND('331-CT'!$E$7=TH!H4293,OR(N4544="331",O4544="331")),"x","")</f>
        <v/>
      </c>
      <c r="Q4544" s="75" t="str">
        <f>IF(AND(B4544='111'!$L$11,OR($N4544=$Q$7,$O4544=$Q$7)),"x","")</f>
        <v/>
      </c>
      <c r="R4544" s="75" t="str">
        <f>IF(AND($N4544=$Q$7,$B4544&lt;'111'!$L$11),"x","")</f>
        <v/>
      </c>
      <c r="S4544" s="75" t="str">
        <f>IF(AND($O4544=$Q$7,$B4544&lt;'111'!$L$11),"x","")</f>
        <v>x</v>
      </c>
      <c r="T4544" s="75" t="str">
        <f>IF(ISERROR(FIND('112'!$M$9,G4544,1)),"",IF((AND(FIND('112'!$M$9,G4544,1)&gt;=1,B4544='112'!$K$9,OR($N4544='112'!$I$6,$O4544='112'!$I$6))),"x",""))</f>
        <v/>
      </c>
      <c r="U4544" s="75" t="str">
        <f>IF(ISERROR(FIND('112'!$M$9,G4544,1)),"",IF((AND(LEFT(G4544,2)=LEFT('112'!$M$9,2),B4544&lt;'112'!$K$9,$N4544='112'!$I$6)),"x",""))</f>
        <v/>
      </c>
      <c r="V4544" s="75" t="str">
        <f>IF(ISERROR(FIND('112'!$M$9,G4544,1)),"",IF((AND(RIGHT(G4544,2)=RIGHT('112'!$M$9,2),B4544&lt;'112'!$K$9,$O4544='112'!$I$6)),"x",""))</f>
        <v/>
      </c>
      <c r="W4544" s="75" t="str">
        <f>IF(AND('341-CT'!$H$9=H4544,OR(LEFT(N4544,3)=$W$7,LEFT(O4544,3)=$W$7)),"x","")</f>
        <v/>
      </c>
      <c r="X4544" s="75" t="str">
        <f>IF(OR(TH!N4293=TH!$X$7,O4544=TH!$X$7),"x","")</f>
        <v/>
      </c>
      <c r="Y4544" s="75" t="str">
        <f>IF(AND(OR(N4544="131",O4544="131"),H4544='131-CT'!$H$9),"x","")</f>
        <v/>
      </c>
      <c r="Z4544" s="75"/>
      <c r="AA4544" s="75" t="str">
        <f>IF(AND(MONTH(E4544)='IN-NX'!$J$5,'IN-NX'!$D$7=D4544),"x","")</f>
        <v/>
      </c>
      <c r="AB4544" s="75" t="str">
        <f>IF(AND(OR(LEFT(TH!N4293,2)="15",LEFT(TH!O4293,2)="15"),LEFT(TH!O4293,3)&lt;&gt;"111",'152-CT'!$J$8=TH!F4293),"x","")</f>
        <v/>
      </c>
      <c r="AC4544" s="75" t="str">
        <f>IF(AND(OR(LEFT(TH!N4293,2)="15",LEFT(TH!O4293,2)="15"),TK!$E$7=TH!F4293),"x","")</f>
        <v/>
      </c>
      <c r="AD4544" s="75" t="str">
        <f>IF(AND(N4544="1521",MONTH(C4544)='BK-NL'!$M$11),"x","")</f>
        <v/>
      </c>
      <c r="AE4544">
        <v>9</v>
      </c>
      <c r="AF4544"/>
      <c r="AG4544"/>
    </row>
    <row r="4545" spans="1:33" s="1053" customFormat="1" ht="16.5" customHeight="1">
      <c r="A4545" s="309" t="str">
        <f>IF(B4545&lt;&gt;"",IF(AND(B4545='IN-TC'!$S$4,OR(TH!N4538="1111",TH!O4538="1111")),TH!D4538,""),"")</f>
        <v/>
      </c>
      <c r="B4545" s="1243">
        <f t="shared" si="1326"/>
        <v>7</v>
      </c>
      <c r="C4545" s="292">
        <f t="shared" si="1327"/>
        <v>42941</v>
      </c>
      <c r="D4545" s="292"/>
      <c r="E4545" s="292">
        <v>42941</v>
      </c>
      <c r="F4545" s="1010" t="s">
        <v>1881</v>
      </c>
      <c r="G4545" s="925"/>
      <c r="H4545" s="311" t="s">
        <v>1882</v>
      </c>
      <c r="I4545" s="373"/>
      <c r="J4545" s="926"/>
      <c r="K4545" s="373"/>
      <c r="L4545" s="379"/>
      <c r="M4545" s="927">
        <v>2709455000</v>
      </c>
      <c r="N4545" s="295" t="s">
        <v>8</v>
      </c>
      <c r="O4545" s="295" t="s">
        <v>63</v>
      </c>
      <c r="P4545" s="75" t="str">
        <f>IF(AND('331-CT'!$E$7=TH!H4294,OR(N4545="331",O4545="331")),"x","")</f>
        <v/>
      </c>
      <c r="Q4545" s="75" t="str">
        <f>IF(AND(B4545='111'!$L$11,OR($N4545=$Q$7,$O4545=$Q$7)),"x","")</f>
        <v/>
      </c>
      <c r="R4545" s="75" t="str">
        <f>IF(AND($N4545=$Q$7,$B4545&lt;'111'!$L$11),"x","")</f>
        <v/>
      </c>
      <c r="S4545" s="75" t="str">
        <f>IF(AND($O4545=$Q$7,$B4545&lt;'111'!$L$11),"x","")</f>
        <v>x</v>
      </c>
      <c r="T4545" s="75" t="str">
        <f>IF(ISERROR(FIND('112'!$M$9,G4545,1)),"",IF((AND(FIND('112'!$M$9,G4545,1)&gt;=1,B4545='112'!$K$9,OR($N4545='112'!$I$6,$O4545='112'!$I$6))),"x",""))</f>
        <v/>
      </c>
      <c r="U4545" s="75" t="str">
        <f>IF(ISERROR(FIND('112'!$M$9,G4545,1)),"",IF((AND(LEFT(G4545,2)=LEFT('112'!$M$9,2),B4545&lt;'112'!$K$9,$N4545='112'!$I$6)),"x",""))</f>
        <v/>
      </c>
      <c r="V4545" s="75" t="str">
        <f>IF(ISERROR(FIND('112'!$M$9,G4545,1)),"",IF((AND(RIGHT(G4545,2)=RIGHT('112'!$M$9,2),B4545&lt;'112'!$K$9,$O4545='112'!$I$6)),"x",""))</f>
        <v/>
      </c>
      <c r="W4545" s="75" t="str">
        <f>IF(AND('341-CT'!$H$9=H4545,OR(LEFT(N4545,3)=$W$7,LEFT(O4545,3)=$W$7)),"x","")</f>
        <v/>
      </c>
      <c r="X4545" s="75" t="str">
        <f>IF(OR(TH!N4294=TH!$X$7,O4545=TH!$X$7),"x","")</f>
        <v/>
      </c>
      <c r="Y4545" s="75" t="str">
        <f>IF(AND(OR(N4545="131",O4545="131"),H4545='131-CT'!$H$9),"x","")</f>
        <v/>
      </c>
      <c r="Z4545" s="75"/>
      <c r="AA4545" s="75" t="str">
        <f>IF(AND(MONTH(E4545)='IN-NX'!$J$5,'IN-NX'!$D$7=D4545),"x","")</f>
        <v/>
      </c>
      <c r="AB4545" s="75" t="str">
        <f>IF(AND(OR(LEFT(TH!N4294,2)="15",LEFT(TH!O4294,2)="15"),LEFT(TH!O4294,3)&lt;&gt;"111",'152-CT'!$J$8=TH!F4294),"x","")</f>
        <v/>
      </c>
      <c r="AC4545" s="75" t="str">
        <f>IF(AND(OR(LEFT(TH!N4294,2)="15",LEFT(TH!O4294,2)="15"),TK!$E$7=TH!F4294),"x","")</f>
        <v/>
      </c>
      <c r="AD4545" s="75" t="str">
        <f>IF(AND(N4545="1521",MONTH(C4545)='BK-NL'!$M$11),"x","")</f>
        <v/>
      </c>
      <c r="AE4545"/>
      <c r="AF4545"/>
      <c r="AG4545"/>
    </row>
    <row r="4546" spans="1:33" s="1053" customFormat="1" ht="16.5" customHeight="1">
      <c r="A4546" s="309" t="str">
        <f>IF(B4546&lt;&gt;"",IF(AND(B4546='IN-TC'!$S$4,OR(TH!N4539="1111",TH!O4539="1111")),TH!D4539,""),"")</f>
        <v/>
      </c>
      <c r="B4546" s="1243">
        <f t="shared" si="1326"/>
        <v>7</v>
      </c>
      <c r="C4546" s="292">
        <f t="shared" si="1327"/>
        <v>42941</v>
      </c>
      <c r="D4546" s="292"/>
      <c r="E4546" s="292">
        <v>42941</v>
      </c>
      <c r="F4546" s="1010" t="s">
        <v>1883</v>
      </c>
      <c r="G4546" s="925"/>
      <c r="H4546" s="311"/>
      <c r="I4546" s="373"/>
      <c r="J4546" s="926"/>
      <c r="K4546" s="373"/>
      <c r="L4546" s="379"/>
      <c r="M4546" s="927">
        <v>1000000</v>
      </c>
      <c r="N4546" s="295" t="s">
        <v>101</v>
      </c>
      <c r="O4546" s="295" t="s">
        <v>63</v>
      </c>
      <c r="P4546" s="75" t="str">
        <f>IF(AND('331-CT'!$E$7=TH!H4295,OR(N4546="331",O4546="331")),"x","")</f>
        <v/>
      </c>
      <c r="Q4546" s="75" t="str">
        <f>IF(AND(B4546='111'!$L$11,OR($N4546=$Q$7,$O4546=$Q$7)),"x","")</f>
        <v/>
      </c>
      <c r="R4546" s="75" t="str">
        <f>IF(AND($N4546=$Q$7,$B4546&lt;'111'!$L$11),"x","")</f>
        <v/>
      </c>
      <c r="S4546" s="75" t="str">
        <f>IF(AND($O4546=$Q$7,$B4546&lt;'111'!$L$11),"x","")</f>
        <v>x</v>
      </c>
      <c r="T4546" s="75" t="str">
        <f>IF(ISERROR(FIND('112'!$M$9,G4546,1)),"",IF((AND(FIND('112'!$M$9,G4546,1)&gt;=1,B4546='112'!$K$9,OR($N4546='112'!$I$6,$O4546='112'!$I$6))),"x",""))</f>
        <v/>
      </c>
      <c r="U4546" s="75" t="str">
        <f>IF(ISERROR(FIND('112'!$M$9,G4546,1)),"",IF((AND(LEFT(G4546,2)=LEFT('112'!$M$9,2),B4546&lt;'112'!$K$9,$N4546='112'!$I$6)),"x",""))</f>
        <v/>
      </c>
      <c r="V4546" s="75" t="str">
        <f>IF(ISERROR(FIND('112'!$M$9,G4546,1)),"",IF((AND(RIGHT(G4546,2)=RIGHT('112'!$M$9,2),B4546&lt;'112'!$K$9,$O4546='112'!$I$6)),"x",""))</f>
        <v/>
      </c>
      <c r="W4546" s="75" t="str">
        <f>IF(AND('341-CT'!$H$9=H4546,OR(LEFT(N4546,3)=$W$7,LEFT(O4546,3)=$W$7)),"x","")</f>
        <v/>
      </c>
      <c r="X4546" s="75" t="str">
        <f>IF(OR(TH!N4295=TH!$X$7,O4546=TH!$X$7),"x","")</f>
        <v/>
      </c>
      <c r="Y4546" s="75" t="str">
        <f>IF(AND(OR(N4546="131",O4546="131"),H4546='131-CT'!$H$9),"x","")</f>
        <v/>
      </c>
      <c r="Z4546" s="75"/>
      <c r="AA4546" s="75" t="str">
        <f>IF(AND(MONTH(E4546)='IN-NX'!$J$5,'IN-NX'!$D$7=D4546),"x","")</f>
        <v/>
      </c>
      <c r="AB4546" s="75" t="str">
        <f>IF(AND(OR(LEFT(TH!N4295,2)="15",LEFT(TH!O4295,2)="15"),LEFT(TH!O4295,3)&lt;&gt;"111",'152-CT'!$J$8=TH!F4295),"x","")</f>
        <v/>
      </c>
      <c r="AC4546" s="75" t="str">
        <f>IF(AND(OR(LEFT(TH!N4295,2)="15",LEFT(TH!O4295,2)="15"),TK!$E$7=TH!F4295),"x","")</f>
        <v/>
      </c>
      <c r="AD4546" s="75" t="str">
        <f>IF(AND(N4546="1521",MONTH(C4546)='BK-NL'!$M$11),"x","")</f>
        <v/>
      </c>
      <c r="AE4546">
        <v>9</v>
      </c>
      <c r="AF4546"/>
      <c r="AG4546"/>
    </row>
    <row r="4547" spans="1:33" s="1053" customFormat="1" ht="16.5" customHeight="1">
      <c r="A4547" s="309" t="str">
        <f>IF(B4547&lt;&gt;"",IF(AND(B4547='IN-TC'!$S$4,OR(TH!N4540="1111",TH!O4540="1111")),TH!D4540,""),"")</f>
        <v/>
      </c>
      <c r="B4547" s="1243">
        <f t="shared" si="1326"/>
        <v>7</v>
      </c>
      <c r="C4547" s="292">
        <f t="shared" si="1327"/>
        <v>42941</v>
      </c>
      <c r="D4547" s="292"/>
      <c r="E4547" s="292">
        <v>42941</v>
      </c>
      <c r="F4547" s="1010" t="s">
        <v>1895</v>
      </c>
      <c r="G4547" s="925"/>
      <c r="H4547" s="311"/>
      <c r="I4547" s="373"/>
      <c r="J4547" s="926"/>
      <c r="K4547" s="373"/>
      <c r="L4547" s="379"/>
      <c r="M4547" s="927">
        <v>100000</v>
      </c>
      <c r="N4547" s="295" t="s">
        <v>9</v>
      </c>
      <c r="O4547" s="295" t="s">
        <v>63</v>
      </c>
      <c r="P4547" s="75" t="str">
        <f>IF(AND('331-CT'!$E$7=TH!H4296,OR(N4547="331",O4547="331")),"x","")</f>
        <v/>
      </c>
      <c r="Q4547" s="75" t="str">
        <f>IF(AND(B4547='111'!$L$11,OR($N4547=$Q$7,$O4547=$Q$7)),"x","")</f>
        <v/>
      </c>
      <c r="R4547" s="75" t="str">
        <f>IF(AND($N4547=$Q$7,$B4547&lt;'111'!$L$11),"x","")</f>
        <v/>
      </c>
      <c r="S4547" s="75" t="str">
        <f>IF(AND($O4547=$Q$7,$B4547&lt;'111'!$L$11),"x","")</f>
        <v>x</v>
      </c>
      <c r="T4547" s="75" t="str">
        <f>IF(ISERROR(FIND('112'!$M$9,G4547,1)),"",IF((AND(FIND('112'!$M$9,G4547,1)&gt;=1,B4547='112'!$K$9,OR($N4547='112'!$I$6,$O4547='112'!$I$6))),"x",""))</f>
        <v/>
      </c>
      <c r="U4547" s="75" t="str">
        <f>IF(ISERROR(FIND('112'!$M$9,G4547,1)),"",IF((AND(LEFT(G4547,2)=LEFT('112'!$M$9,2),B4547&lt;'112'!$K$9,$N4547='112'!$I$6)),"x",""))</f>
        <v/>
      </c>
      <c r="V4547" s="75" t="str">
        <f>IF(ISERROR(FIND('112'!$M$9,G4547,1)),"",IF((AND(RIGHT(G4547,2)=RIGHT('112'!$M$9,2),B4547&lt;'112'!$K$9,$O4547='112'!$I$6)),"x",""))</f>
        <v/>
      </c>
      <c r="W4547" s="75" t="str">
        <f>IF(AND('341-CT'!$H$9=H4547,OR(LEFT(N4547,3)=$W$7,LEFT(O4547,3)=$W$7)),"x","")</f>
        <v/>
      </c>
      <c r="X4547" s="75" t="str">
        <f>IF(OR(TH!N4296=TH!$X$7,O4547=TH!$X$7),"x","")</f>
        <v/>
      </c>
      <c r="Y4547" s="75" t="str">
        <f>IF(AND(OR(N4547="131",O4547="131"),H4547='131-CT'!$H$9),"x","")</f>
        <v/>
      </c>
      <c r="Z4547" s="75"/>
      <c r="AA4547" s="75" t="str">
        <f>IF(AND(MONTH(E4547)='IN-NX'!$J$5,'IN-NX'!$D$7=D4547),"x","")</f>
        <v/>
      </c>
      <c r="AB4547" s="75" t="str">
        <f>IF(AND(OR(LEFT(TH!N4296,2)="15",LEFT(TH!O4296,2)="15"),LEFT(TH!O4296,3)&lt;&gt;"111",'152-CT'!$J$8=TH!F4296),"x","")</f>
        <v/>
      </c>
      <c r="AC4547" s="75" t="str">
        <f>IF(AND(OR(LEFT(TH!N4296,2)="15",LEFT(TH!O4296,2)="15"),TK!$E$7=TH!F4296),"x","")</f>
        <v/>
      </c>
      <c r="AD4547" s="75" t="str">
        <f>IF(AND(N4547="1521",MONTH(C4547)='BK-NL'!$M$11),"x","")</f>
        <v/>
      </c>
      <c r="AE4547">
        <v>9</v>
      </c>
      <c r="AF4547"/>
      <c r="AG4547"/>
    </row>
    <row r="4548" spans="1:33" s="1053" customFormat="1" ht="16.5" customHeight="1">
      <c r="A4548" s="309" t="str">
        <f>IF(B4548&lt;&gt;"",IF(AND(B4548='IN-TC'!$S$4,OR(TH!N4541="1111",TH!O4541="1111")),TH!D4541,""),"")</f>
        <v/>
      </c>
      <c r="B4548" s="1277">
        <f t="shared" si="1326"/>
        <v>7</v>
      </c>
      <c r="C4548" s="292">
        <f t="shared" si="1327"/>
        <v>42941</v>
      </c>
      <c r="D4548" s="929"/>
      <c r="E4548" s="292">
        <v>42941</v>
      </c>
      <c r="F4548" s="1335" t="s">
        <v>1881</v>
      </c>
      <c r="G4548" s="931"/>
      <c r="H4548" s="73" t="s">
        <v>1884</v>
      </c>
      <c r="I4548" s="371"/>
      <c r="J4548" s="932"/>
      <c r="K4548" s="371"/>
      <c r="L4548" s="377"/>
      <c r="M4548" s="933">
        <v>13572000</v>
      </c>
      <c r="N4548" s="934" t="s">
        <v>8</v>
      </c>
      <c r="O4548" s="934" t="s">
        <v>63</v>
      </c>
      <c r="P4548" s="75" t="str">
        <f>IF(AND('331-CT'!$E$7=TH!H4378,OR(N4548="331",O4548="331")),"x","")</f>
        <v/>
      </c>
      <c r="Q4548" s="75" t="str">
        <f>IF(AND(B4548='111'!$L$11,OR($N4548=$Q$7,$O4548=$Q$7)),"x","")</f>
        <v/>
      </c>
      <c r="R4548" s="75" t="str">
        <f>IF(AND($N4548=$Q$7,$B4548&lt;'111'!$L$11),"x","")</f>
        <v/>
      </c>
      <c r="S4548" s="75" t="str">
        <f>IF(AND($O4548=$Q$7,$B4548&lt;'111'!$L$11),"x","")</f>
        <v>x</v>
      </c>
      <c r="T4548" s="75" t="str">
        <f>IF(ISERROR(FIND('112'!$M$9,G4548,1)),"",IF((AND(FIND('112'!$M$9,G4548,1)&gt;=1,B4548='112'!$K$9,OR($N4548='112'!$I$6,$O4548='112'!$I$6))),"x",""))</f>
        <v/>
      </c>
      <c r="U4548" s="75" t="str">
        <f>IF(ISERROR(FIND('112'!$M$9,G4548,1)),"",IF((AND(LEFT(G4548,2)=LEFT('112'!$M$9,2),B4548&lt;'112'!$K$9,$N4548='112'!$I$6)),"x",""))</f>
        <v/>
      </c>
      <c r="V4548" s="75" t="str">
        <f>IF(ISERROR(FIND('112'!$M$9,G4548,1)),"",IF((AND(RIGHT(G4548,2)=RIGHT('112'!$M$9,2),B4548&lt;'112'!$K$9,$O4548='112'!$I$6)),"x",""))</f>
        <v/>
      </c>
      <c r="W4548" s="75" t="str">
        <f>IF(AND('341-CT'!$H$9=H4548,OR(LEFT(N4548,3)=$W$7,LEFT(O4548,3)=$W$7)),"x","")</f>
        <v/>
      </c>
      <c r="X4548" s="75" t="str">
        <f>IF(OR(TH!N4378=TH!$X$7,O4548=TH!$X$7),"x","")</f>
        <v/>
      </c>
      <c r="Y4548" s="75" t="str">
        <f>IF(AND(OR(N4548="131",O4548="131"),H4548='131-CT'!$H$9),"x","")</f>
        <v/>
      </c>
      <c r="Z4548" s="75"/>
      <c r="AA4548" s="75" t="str">
        <f>IF(AND(MONTH(E4548)='IN-NX'!$J$5,'IN-NX'!$D$7=D4548),"x","")</f>
        <v/>
      </c>
      <c r="AB4548" s="75" t="str">
        <f>IF(AND(OR(LEFT(TH!N4378,2)="15",LEFT(TH!O4378,2)="15"),LEFT(TH!O4378,3)&lt;&gt;"111",'152-CT'!$J$8=TH!F4378),"x","")</f>
        <v/>
      </c>
      <c r="AC4548" s="75" t="str">
        <f>IF(AND(OR(LEFT(TH!N4378,2)="15",LEFT(TH!O4378,2)="15"),TK!$E$7=TH!F4378),"x","")</f>
        <v/>
      </c>
      <c r="AD4548" s="75" t="str">
        <f>IF(AND(N4548="1521",MONTH(C4548)='BK-NL'!$M$11),"x","")</f>
        <v/>
      </c>
      <c r="AE4548" s="1264"/>
      <c r="AF4548" s="1264"/>
      <c r="AG4548" s="1264"/>
    </row>
    <row r="4549" spans="1:33" s="1053" customFormat="1" ht="16.5" customHeight="1">
      <c r="A4549" s="309" t="str">
        <f>IF(B4549&lt;&gt;"",IF(AND(B4549='IN-TC'!$S$4,OR(TH!N4542="1111",TH!O4542="1111")),TH!D4542,""),"")</f>
        <v/>
      </c>
      <c r="B4549" s="1243">
        <f t="shared" si="1326"/>
        <v>7</v>
      </c>
      <c r="C4549" s="292">
        <f t="shared" si="1327"/>
        <v>42941</v>
      </c>
      <c r="D4549" s="59" t="s">
        <v>902</v>
      </c>
      <c r="E4549" s="59">
        <v>42941</v>
      </c>
      <c r="F4549" s="67" t="s">
        <v>1549</v>
      </c>
      <c r="G4549" s="62" t="s">
        <v>747</v>
      </c>
      <c r="H4549" s="67" t="s">
        <v>835</v>
      </c>
      <c r="I4549" s="373"/>
      <c r="J4549" s="379"/>
      <c r="K4549" s="379"/>
      <c r="L4549" s="379"/>
      <c r="M4549" s="379">
        <v>113800</v>
      </c>
      <c r="N4549" s="61" t="s">
        <v>101</v>
      </c>
      <c r="O4549" s="61" t="s">
        <v>26</v>
      </c>
      <c r="P4549" s="75" t="str">
        <f>IF(AND('331-CT'!$E$7=TH!H5349,OR(N4549="331",O4549="331")),"x","")</f>
        <v/>
      </c>
      <c r="Q4549" s="75" t="str">
        <f>IF(AND(B4549='111'!$L$11,OR($N4549=$Q$7,$O4549=$Q$7)),"x","")</f>
        <v/>
      </c>
      <c r="R4549" s="75" t="str">
        <f>IF(AND($N4549=$Q$7,$B4549&lt;'111'!$L$11),"x","")</f>
        <v/>
      </c>
      <c r="S4549" s="75" t="str">
        <f>IF(AND($O4549=$Q$7,$B4549&lt;'111'!$L$11),"x","")</f>
        <v/>
      </c>
      <c r="T4549" s="75" t="str">
        <f>IF(ISERROR(FIND('112'!$M$9,G4549,1)),"",IF((AND(FIND('112'!$M$9,G4549,1)&gt;=1,B4549='112'!$K$9,OR($N4549='112'!$I$6,$O4549='112'!$I$6))),"x",""))</f>
        <v/>
      </c>
      <c r="U4549" s="75" t="str">
        <f>IF(ISERROR(FIND('112'!$M$9,G4549,1)),"",IF((AND(LEFT(G4549,2)=LEFT('112'!$M$9,2),B4549&lt;'112'!$K$9,$N4549='112'!$I$6)),"x",""))</f>
        <v/>
      </c>
      <c r="V4549" s="75" t="str">
        <f>IF(ISERROR(FIND('112'!$M$9,G4549,1)),"",IF((AND(RIGHT(G4549,2)=RIGHT('112'!$M$9,2),B4549&lt;'112'!$K$9,$O4549='112'!$I$6)),"x",""))</f>
        <v/>
      </c>
      <c r="W4549" s="75" t="str">
        <f>IF(AND('341-CT'!$H$9=H4549,OR(LEFT(N4549,3)=$W$7,LEFT(O4549,3)=$W$7)),"x","")</f>
        <v/>
      </c>
      <c r="X4549" s="75" t="str">
        <f>IF(OR(TH!N5349=TH!$X$7,O4549=TH!$X$7),"x","")</f>
        <v/>
      </c>
      <c r="Y4549" s="75" t="str">
        <f>IF(AND(OR(N4549="131",O4549="131"),H4549='131-CT'!$H$9),"x","")</f>
        <v/>
      </c>
      <c r="Z4549" s="75"/>
      <c r="AA4549" s="75" t="str">
        <f>IF(AND(MONTH(E4549)='IN-NX'!$J$5,'IN-NX'!$D$7=D4549),"x","")</f>
        <v/>
      </c>
      <c r="AB4549" s="75" t="str">
        <f>IF(AND(OR(LEFT(TH!N5349,2)="15",LEFT(TH!O5349,2)="15"),LEFT(TH!O5349,3)&lt;&gt;"111",'152-CT'!$J$8=TH!F5349),"x","")</f>
        <v/>
      </c>
      <c r="AC4549" s="75" t="str">
        <f>IF(AND(OR(LEFT(TH!N5349,2)="15",LEFT(TH!O5349,2)="15"),TK!$E$7=TH!F5349),"x","")</f>
        <v/>
      </c>
      <c r="AD4549" s="75" t="str">
        <f>IF(AND(N4549="1521",MONTH(C4549)='BK-NL'!$M$11),"x","")</f>
        <v/>
      </c>
      <c r="AE4549"/>
      <c r="AF4549"/>
      <c r="AG4549"/>
    </row>
    <row r="4550" spans="1:33" s="1053" customFormat="1" ht="16.5" customHeight="1">
      <c r="A4550" s="309" t="str">
        <f>IF(B4550&lt;&gt;"",IF(AND(B4550='IN-TC'!$S$4,OR(TH!N4543="1111",TH!O4543="1111")),TH!D4543,""),"")</f>
        <v/>
      </c>
      <c r="B4550" s="1243">
        <f t="shared" si="1326"/>
        <v>7</v>
      </c>
      <c r="C4550" s="292">
        <f t="shared" si="1327"/>
        <v>42941</v>
      </c>
      <c r="D4550" s="59" t="s">
        <v>902</v>
      </c>
      <c r="E4550" s="59">
        <v>42941</v>
      </c>
      <c r="F4550" s="67" t="s">
        <v>1552</v>
      </c>
      <c r="G4550" s="62" t="s">
        <v>747</v>
      </c>
      <c r="H4550" s="67" t="s">
        <v>835</v>
      </c>
      <c r="I4550" s="373"/>
      <c r="J4550" s="379"/>
      <c r="K4550" s="379"/>
      <c r="L4550" s="379"/>
      <c r="M4550" s="379">
        <v>11380</v>
      </c>
      <c r="N4550" s="61" t="s">
        <v>9</v>
      </c>
      <c r="O4550" s="61" t="s">
        <v>26</v>
      </c>
      <c r="P4550" s="75" t="str">
        <f>IF(AND('331-CT'!$E$7=TH!H5350,OR(N4550="331",O4550="331")),"x","")</f>
        <v/>
      </c>
      <c r="Q4550" s="75" t="str">
        <f>IF(AND(B4550='111'!$L$11,OR($N4550=$Q$7,$O4550=$Q$7)),"x","")</f>
        <v/>
      </c>
      <c r="R4550" s="75" t="str">
        <f>IF(AND($N4550=$Q$7,$B4550&lt;'111'!$L$11),"x","")</f>
        <v/>
      </c>
      <c r="S4550" s="75" t="str">
        <f>IF(AND($O4550=$Q$7,$B4550&lt;'111'!$L$11),"x","")</f>
        <v/>
      </c>
      <c r="T4550" s="75" t="str">
        <f>IF(ISERROR(FIND('112'!$M$9,G4550,1)),"",IF((AND(FIND('112'!$M$9,G4550,1)&gt;=1,B4550='112'!$K$9,OR($N4550='112'!$I$6,$O4550='112'!$I$6))),"x",""))</f>
        <v/>
      </c>
      <c r="U4550" s="75" t="str">
        <f>IF(ISERROR(FIND('112'!$M$9,G4550,1)),"",IF((AND(LEFT(G4550,2)=LEFT('112'!$M$9,2),B4550&lt;'112'!$K$9,$N4550='112'!$I$6)),"x",""))</f>
        <v/>
      </c>
      <c r="V4550" s="75" t="str">
        <f>IF(ISERROR(FIND('112'!$M$9,G4550,1)),"",IF((AND(RIGHT(G4550,2)=RIGHT('112'!$M$9,2),B4550&lt;'112'!$K$9,$O4550='112'!$I$6)),"x",""))</f>
        <v/>
      </c>
      <c r="W4550" s="75" t="str">
        <f>IF(AND('341-CT'!$H$9=H4550,OR(LEFT(N4550,3)=$W$7,LEFT(O4550,3)=$W$7)),"x","")</f>
        <v/>
      </c>
      <c r="X4550" s="75" t="str">
        <f>IF(OR(TH!N5350=TH!$X$7,O4550=TH!$X$7),"x","")</f>
        <v/>
      </c>
      <c r="Y4550" s="75" t="str">
        <f>IF(AND(OR(N4550="131",O4550="131"),H4550='131-CT'!$H$9),"x","")</f>
        <v/>
      </c>
      <c r="Z4550" s="75"/>
      <c r="AA4550" s="75" t="str">
        <f>IF(AND(MONTH(E4550)='IN-NX'!$J$5,'IN-NX'!$D$7=D4550),"x","")</f>
        <v/>
      </c>
      <c r="AB4550" s="75" t="str">
        <f>IF(AND(OR(LEFT(TH!N5350,2)="15",LEFT(TH!O5350,2)="15"),LEFT(TH!O5350,3)&lt;&gt;"111",'152-CT'!$J$8=TH!F5350),"x","")</f>
        <v/>
      </c>
      <c r="AC4550" s="75" t="str">
        <f>IF(AND(OR(LEFT(TH!N5350,2)="15",LEFT(TH!O5350,2)="15"),TK!$E$7=TH!F5350),"x","")</f>
        <v/>
      </c>
      <c r="AD4550" s="75" t="str">
        <f>IF(AND(N4550="1521",MONTH(C4550)='BK-NL'!$M$11),"x","")</f>
        <v/>
      </c>
      <c r="AE4550">
        <v>7</v>
      </c>
      <c r="AF4550"/>
      <c r="AG4550"/>
    </row>
    <row r="4551" spans="1:33" s="1053" customFormat="1" ht="16.5" customHeight="1">
      <c r="A4551" s="309" t="str">
        <f>IF(B4551&lt;&gt;"",IF(AND(B4551='IN-TC'!$S$4,OR(TH!N4544="1111",TH!O4544="1111")),TH!D4544,""),"")</f>
        <v/>
      </c>
      <c r="B4551" s="1243">
        <f t="shared" si="1326"/>
        <v>7</v>
      </c>
      <c r="C4551" s="292">
        <f t="shared" si="1327"/>
        <v>42941</v>
      </c>
      <c r="D4551" s="59" t="s">
        <v>902</v>
      </c>
      <c r="E4551" s="59">
        <v>42941</v>
      </c>
      <c r="F4551" s="67" t="s">
        <v>1549</v>
      </c>
      <c r="G4551" s="62" t="s">
        <v>747</v>
      </c>
      <c r="H4551" s="67" t="s">
        <v>835</v>
      </c>
      <c r="I4551" s="373"/>
      <c r="J4551" s="379"/>
      <c r="K4551" s="379"/>
      <c r="L4551" s="379"/>
      <c r="M4551" s="379">
        <v>1747968</v>
      </c>
      <c r="N4551" s="61" t="s">
        <v>101</v>
      </c>
      <c r="O4551" s="61" t="s">
        <v>26</v>
      </c>
      <c r="P4551" s="75" t="str">
        <f>IF(AND('331-CT'!$E$7=TH!H5351,OR(N4551="331",O4551="331")),"x","")</f>
        <v/>
      </c>
      <c r="Q4551" s="75" t="str">
        <f>IF(AND(B4551='111'!$L$11,OR($N4551=$Q$7,$O4551=$Q$7)),"x","")</f>
        <v/>
      </c>
      <c r="R4551" s="75" t="str">
        <f>IF(AND($N4551=$Q$7,$B4551&lt;'111'!$L$11),"x","")</f>
        <v/>
      </c>
      <c r="S4551" s="75" t="str">
        <f>IF(AND($O4551=$Q$7,$B4551&lt;'111'!$L$11),"x","")</f>
        <v/>
      </c>
      <c r="T4551" s="75" t="str">
        <f>IF(ISERROR(FIND('112'!$M$9,G4551,1)),"",IF((AND(FIND('112'!$M$9,G4551,1)&gt;=1,B4551='112'!$K$9,OR($N4551='112'!$I$6,$O4551='112'!$I$6))),"x",""))</f>
        <v/>
      </c>
      <c r="U4551" s="75" t="str">
        <f>IF(ISERROR(FIND('112'!$M$9,G4551,1)),"",IF((AND(LEFT(G4551,2)=LEFT('112'!$M$9,2),B4551&lt;'112'!$K$9,$N4551='112'!$I$6)),"x",""))</f>
        <v/>
      </c>
      <c r="V4551" s="75" t="str">
        <f>IF(ISERROR(FIND('112'!$M$9,G4551,1)),"",IF((AND(RIGHT(G4551,2)=RIGHT('112'!$M$9,2),B4551&lt;'112'!$K$9,$O4551='112'!$I$6)),"x",""))</f>
        <v/>
      </c>
      <c r="W4551" s="75" t="str">
        <f>IF(AND('341-CT'!$H$9=H4551,OR(LEFT(N4551,3)=$W$7,LEFT(O4551,3)=$W$7)),"x","")</f>
        <v/>
      </c>
      <c r="X4551" s="75" t="str">
        <f>IF(OR(TH!N5351=TH!$X$7,O4551=TH!$X$7),"x","")</f>
        <v/>
      </c>
      <c r="Y4551" s="75" t="str">
        <f>IF(AND(OR(N4551="131",O4551="131"),H4551='131-CT'!$H$9),"x","")</f>
        <v/>
      </c>
      <c r="Z4551" s="75"/>
      <c r="AA4551" s="75" t="str">
        <f>IF(AND(MONTH(E4551)='IN-NX'!$J$5,'IN-NX'!$D$7=D4551),"x","")</f>
        <v/>
      </c>
      <c r="AB4551" s="75" t="str">
        <f>IF(AND(OR(LEFT(TH!N5351,2)="15",LEFT(TH!O5351,2)="15"),LEFT(TH!O5351,3)&lt;&gt;"111",'152-CT'!$J$8=TH!F5351),"x","")</f>
        <v/>
      </c>
      <c r="AC4551" s="75" t="str">
        <f>IF(AND(OR(LEFT(TH!N5351,2)="15",LEFT(TH!O5351,2)="15"),TK!$E$7=TH!F5351),"x","")</f>
        <v/>
      </c>
      <c r="AD4551" s="75" t="str">
        <f>IF(AND(N4551="1521",MONTH(C4551)='BK-NL'!$M$11),"x","")</f>
        <v/>
      </c>
      <c r="AE4551"/>
      <c r="AF4551"/>
      <c r="AG4551"/>
    </row>
    <row r="4552" spans="1:33" s="1053" customFormat="1" ht="16.5" customHeight="1">
      <c r="A4552" s="309" t="str">
        <f>IF(B4552&lt;&gt;"",IF(AND(B4552='IN-TC'!$S$4,OR(TH!N4545="1111",TH!O4545="1111")),TH!D4545,""),"")</f>
        <v/>
      </c>
      <c r="B4552" s="1243">
        <f t="shared" si="1326"/>
        <v>7</v>
      </c>
      <c r="C4552" s="292">
        <f t="shared" si="1327"/>
        <v>42941</v>
      </c>
      <c r="D4552" s="59" t="s">
        <v>902</v>
      </c>
      <c r="E4552" s="59">
        <v>42941</v>
      </c>
      <c r="F4552" s="67" t="s">
        <v>1552</v>
      </c>
      <c r="G4552" s="62" t="s">
        <v>747</v>
      </c>
      <c r="H4552" s="67" t="s">
        <v>835</v>
      </c>
      <c r="I4552" s="373"/>
      <c r="J4552" s="379"/>
      <c r="K4552" s="379"/>
      <c r="L4552" s="379"/>
      <c r="M4552" s="379">
        <v>174797</v>
      </c>
      <c r="N4552" s="61" t="s">
        <v>9</v>
      </c>
      <c r="O4552" s="61" t="s">
        <v>26</v>
      </c>
      <c r="P4552" s="75" t="str">
        <f>IF(AND('331-CT'!$E$7=TH!H5352,OR(N4552="331",O4552="331")),"x","")</f>
        <v/>
      </c>
      <c r="Q4552" s="75" t="str">
        <f>IF(AND(B4552='111'!$L$11,OR($N4552=$Q$7,$O4552=$Q$7)),"x","")</f>
        <v/>
      </c>
      <c r="R4552" s="75" t="str">
        <f>IF(AND($N4552=$Q$7,$B4552&lt;'111'!$L$11),"x","")</f>
        <v/>
      </c>
      <c r="S4552" s="75" t="str">
        <f>IF(AND($O4552=$Q$7,$B4552&lt;'111'!$L$11),"x","")</f>
        <v/>
      </c>
      <c r="T4552" s="75" t="str">
        <f>IF(ISERROR(FIND('112'!$M$9,G4552,1)),"",IF((AND(FIND('112'!$M$9,G4552,1)&gt;=1,B4552='112'!$K$9,OR($N4552='112'!$I$6,$O4552='112'!$I$6))),"x",""))</f>
        <v/>
      </c>
      <c r="U4552" s="75" t="str">
        <f>IF(ISERROR(FIND('112'!$M$9,G4552,1)),"",IF((AND(LEFT(G4552,2)=LEFT('112'!$M$9,2),B4552&lt;'112'!$K$9,$N4552='112'!$I$6)),"x",""))</f>
        <v/>
      </c>
      <c r="V4552" s="75" t="str">
        <f>IF(ISERROR(FIND('112'!$M$9,G4552,1)),"",IF((AND(RIGHT(G4552,2)=RIGHT('112'!$M$9,2),B4552&lt;'112'!$K$9,$O4552='112'!$I$6)),"x",""))</f>
        <v/>
      </c>
      <c r="W4552" s="75" t="str">
        <f>IF(AND('341-CT'!$H$9=H4552,OR(LEFT(N4552,3)=$W$7,LEFT(O4552,3)=$W$7)),"x","")</f>
        <v/>
      </c>
      <c r="X4552" s="75" t="str">
        <f>IF(OR(TH!N5352=TH!$X$7,O4552=TH!$X$7),"x","")</f>
        <v/>
      </c>
      <c r="Y4552" s="75" t="str">
        <f>IF(AND(OR(N4552="131",O4552="131"),H4552='131-CT'!$H$9),"x","")</f>
        <v/>
      </c>
      <c r="Z4552" s="75"/>
      <c r="AA4552" s="75" t="str">
        <f>IF(AND(MONTH(E4552)='IN-NX'!$J$5,'IN-NX'!$D$7=D4552),"x","")</f>
        <v/>
      </c>
      <c r="AB4552" s="75" t="str">
        <f>IF(AND(OR(LEFT(TH!N5352,2)="15",LEFT(TH!O5352,2)="15"),LEFT(TH!O5352,3)&lt;&gt;"111",'152-CT'!$J$8=TH!F5352),"x","")</f>
        <v/>
      </c>
      <c r="AC4552" s="75" t="str">
        <f>IF(AND(OR(LEFT(TH!N5352,2)="15",LEFT(TH!O5352,2)="15"),TK!$E$7=TH!F5352),"x","")</f>
        <v/>
      </c>
      <c r="AD4552" s="75" t="str">
        <f>IF(AND(N4552="1521",MONTH(C4552)='BK-NL'!$M$11),"x","")</f>
        <v/>
      </c>
      <c r="AE4552">
        <v>7</v>
      </c>
      <c r="AF4552"/>
      <c r="AG4552"/>
    </row>
    <row r="4553" spans="1:33" ht="16.5" customHeight="1">
      <c r="A4553" s="309" t="str">
        <f>IF(B4553&lt;&gt;"",IF(AND(B4553='IN-TC'!$S$4,OR(TH!N4546="1111",TH!O4546="1111")),TH!D4546,""),"")</f>
        <v/>
      </c>
      <c r="B4553" s="1243">
        <f t="shared" si="1326"/>
        <v>7</v>
      </c>
      <c r="C4553" s="292">
        <f t="shared" si="1327"/>
        <v>42942</v>
      </c>
      <c r="D4553" s="59" t="s">
        <v>902</v>
      </c>
      <c r="E4553" s="59">
        <v>42942</v>
      </c>
      <c r="F4553" s="67" t="s">
        <v>897</v>
      </c>
      <c r="G4553" s="62" t="s">
        <v>1713</v>
      </c>
      <c r="H4553" s="294" t="s">
        <v>789</v>
      </c>
      <c r="I4553" s="373"/>
      <c r="J4553" s="379"/>
      <c r="K4553" s="373"/>
      <c r="L4553" s="379"/>
      <c r="M4553" s="60">
        <v>1000000000</v>
      </c>
      <c r="N4553" s="61" t="s">
        <v>8</v>
      </c>
      <c r="O4553" s="61" t="s">
        <v>26</v>
      </c>
      <c r="P4553" s="75" t="str">
        <f>IF(AND('331-CT'!$E$7=TH!H4446,OR(N4553="331",O4553="331")),"x","")</f>
        <v/>
      </c>
      <c r="Q4553" s="75" t="str">
        <f>IF(AND(B4553='111'!$L$11,OR($N4553=$Q$7,$O4553=$Q$7)),"x","")</f>
        <v/>
      </c>
      <c r="R4553" s="75" t="str">
        <f>IF(AND($N4553=$Q$7,$B4553&lt;'111'!$L$11),"x","")</f>
        <v/>
      </c>
      <c r="S4553" s="75" t="str">
        <f>IF(AND($O4553=$Q$7,$B4553&lt;'111'!$L$11),"x","")</f>
        <v/>
      </c>
      <c r="T4553" s="75" t="str">
        <f>IF(ISERROR(FIND('112'!$M$9,G4553,1)),"",IF((AND(FIND('112'!$M$9,G4553,1)&gt;=1,B4553='112'!$K$9,OR($N4553='112'!$I$6,$O4553='112'!$I$6))),"x",""))</f>
        <v/>
      </c>
      <c r="U4553" s="75" t="str">
        <f>IF(ISERROR(FIND('112'!$M$9,G4553,1)),"",IF((AND(LEFT(G4553,2)=LEFT('112'!$M$9,2),B4553&lt;'112'!$K$9,$N4553='112'!$I$6)),"x",""))</f>
        <v/>
      </c>
      <c r="V4553" s="75" t="str">
        <f>IF(ISERROR(FIND('112'!$M$9,G4553,1)),"",IF((AND(RIGHT(G4553,2)=RIGHT('112'!$M$9,2),B4553&lt;'112'!$K$9,$O4553='112'!$I$6)),"x",""))</f>
        <v/>
      </c>
      <c r="W4553" s="75" t="str">
        <f>IF(AND('341-CT'!$H$9=H4553,OR(LEFT(N4553,3)=$W$7,LEFT(O4553,3)=$W$7)),"x","")</f>
        <v/>
      </c>
      <c r="X4553" s="75" t="str">
        <f>IF(OR(TH!N4446=TH!$X$7,O4553=TH!$X$7),"x","")</f>
        <v/>
      </c>
      <c r="Y4553" s="75" t="str">
        <f>IF(AND(OR(N4553="131",O4553="131"),H4553='131-CT'!$H$9),"x","")</f>
        <v/>
      </c>
      <c r="Z4553" s="75"/>
      <c r="AA4553" s="75" t="str">
        <f>IF(AND(MONTH(E4553)='IN-NX'!$J$5,'IN-NX'!$D$7=D4553),"x","")</f>
        <v/>
      </c>
      <c r="AB4553" s="75" t="str">
        <f>IF(AND(OR(LEFT(TH!N4446,2)="15",LEFT(TH!O4446,2)="15"),LEFT(TH!O4446,3)&lt;&gt;"111",'152-CT'!$J$8=TH!F4446),"x","")</f>
        <v/>
      </c>
      <c r="AC4553" s="75" t="str">
        <f>IF(AND(OR(LEFT(TH!N4446,2)="15",LEFT(TH!O4446,2)="15"),TK!$E$7=TH!F4446),"x","")</f>
        <v/>
      </c>
      <c r="AD4553" s="75" t="str">
        <f>IF(AND(N4553="1521",MONTH(C4553)='BK-NL'!$M$11),"x","")</f>
        <v/>
      </c>
      <c r="AE4553" s="1053"/>
      <c r="AF4553" s="1053"/>
      <c r="AG4553" s="1053"/>
    </row>
    <row r="4554" spans="1:33" ht="16.5" customHeight="1">
      <c r="A4554" s="309" t="str">
        <f>IF(B4554&lt;&gt;"",IF(AND(B4554='IN-TC'!$S$4,OR(TH!N4547="1111",TH!O4547="1111")),TH!D4547,""),"")</f>
        <v/>
      </c>
      <c r="B4554" s="1243">
        <f t="shared" si="1326"/>
        <v>7</v>
      </c>
      <c r="C4554" s="292">
        <f t="shared" si="1327"/>
        <v>42942</v>
      </c>
      <c r="D4554" s="59" t="s">
        <v>902</v>
      </c>
      <c r="E4554" s="59">
        <v>42942</v>
      </c>
      <c r="F4554" s="67" t="s">
        <v>870</v>
      </c>
      <c r="G4554" s="62" t="s">
        <v>1713</v>
      </c>
      <c r="H4554" s="67"/>
      <c r="I4554" s="375"/>
      <c r="J4554" s="381"/>
      <c r="K4554" s="60"/>
      <c r="L4554" s="381"/>
      <c r="M4554" s="60">
        <v>100000</v>
      </c>
      <c r="N4554" s="61" t="s">
        <v>101</v>
      </c>
      <c r="O4554" s="61" t="s">
        <v>26</v>
      </c>
      <c r="P4554" s="75" t="str">
        <f>IF(AND('331-CT'!$E$7=TH!H4447,OR(N4554="331",O4554="331")),"x","")</f>
        <v/>
      </c>
      <c r="Q4554" s="75" t="str">
        <f>IF(AND(B4554='111'!$L$11,OR($N4554=$Q$7,$O4554=$Q$7)),"x","")</f>
        <v/>
      </c>
      <c r="R4554" s="75" t="str">
        <f>IF(AND($N4554=$Q$7,$B4554&lt;'111'!$L$11),"x","")</f>
        <v/>
      </c>
      <c r="S4554" s="75" t="str">
        <f>IF(AND($O4554=$Q$7,$B4554&lt;'111'!$L$11),"x","")</f>
        <v/>
      </c>
      <c r="T4554" s="75" t="str">
        <f>IF(ISERROR(FIND('112'!$M$9,G4554,1)),"",IF((AND(FIND('112'!$M$9,G4554,1)&gt;=1,B4554='112'!$K$9,OR($N4554='112'!$I$6,$O4554='112'!$I$6))),"x",""))</f>
        <v/>
      </c>
      <c r="U4554" s="75" t="str">
        <f>IF(ISERROR(FIND('112'!$M$9,G4554,1)),"",IF((AND(LEFT(G4554,2)=LEFT('112'!$M$9,2),B4554&lt;'112'!$K$9,$N4554='112'!$I$6)),"x",""))</f>
        <v/>
      </c>
      <c r="V4554" s="75" t="str">
        <f>IF(ISERROR(FIND('112'!$M$9,G4554,1)),"",IF((AND(RIGHT(G4554,2)=RIGHT('112'!$M$9,2),B4554&lt;'112'!$K$9,$O4554='112'!$I$6)),"x",""))</f>
        <v/>
      </c>
      <c r="W4554" s="75" t="str">
        <f>IF(AND('341-CT'!$H$9=H4554,OR(LEFT(N4554,3)=$W$7,LEFT(O4554,3)=$W$7)),"x","")</f>
        <v/>
      </c>
      <c r="X4554" s="75" t="str">
        <f>IF(OR(TH!N4447=TH!$X$7,O4554=TH!$X$7),"x","")</f>
        <v/>
      </c>
      <c r="Y4554" s="75" t="str">
        <f>IF(AND(OR(N4554="131",O4554="131"),H4554='131-CT'!$H$9),"x","")</f>
        <v/>
      </c>
      <c r="Z4554" s="75"/>
      <c r="AA4554" s="75" t="str">
        <f>IF(AND(MONTH(E4554)='IN-NX'!$J$5,'IN-NX'!$D$7=D4554),"x","")</f>
        <v/>
      </c>
      <c r="AB4554" s="75" t="str">
        <f>IF(AND(OR(LEFT(TH!N4447,2)="15",LEFT(TH!O4447,2)="15"),LEFT(TH!O4447,3)&lt;&gt;"111",'152-CT'!$J$8=TH!F4447),"x","")</f>
        <v/>
      </c>
      <c r="AC4554" s="75" t="str">
        <f>IF(AND(OR(LEFT(TH!N4447,2)="15",LEFT(TH!O4447,2)="15"),TK!$E$7=TH!F4447),"x","")</f>
        <v/>
      </c>
      <c r="AD4554" s="75" t="str">
        <f>IF(AND(N4554="1521",MONTH(C4554)='BK-NL'!$M$11),"x","")</f>
        <v/>
      </c>
      <c r="AE4554" s="1053"/>
      <c r="AF4554" s="1053"/>
      <c r="AG4554" s="1053"/>
    </row>
    <row r="4555" spans="1:33" ht="16.5" customHeight="1">
      <c r="A4555" s="309" t="str">
        <f>IF(B4555&lt;&gt;"",IF(AND(B4555='IN-TC'!$S$4,OR(TH!N4548="1111",TH!O4548="1111")),TH!D4548,""),"")</f>
        <v/>
      </c>
      <c r="B4555" s="1243">
        <f t="shared" si="1326"/>
        <v>7</v>
      </c>
      <c r="C4555" s="292">
        <f t="shared" si="1327"/>
        <v>42942</v>
      </c>
      <c r="D4555" s="59" t="s">
        <v>902</v>
      </c>
      <c r="E4555" s="59">
        <v>42942</v>
      </c>
      <c r="F4555" s="67" t="s">
        <v>898</v>
      </c>
      <c r="G4555" s="62" t="s">
        <v>1713</v>
      </c>
      <c r="H4555" s="67"/>
      <c r="I4555" s="375"/>
      <c r="J4555" s="381"/>
      <c r="K4555" s="375"/>
      <c r="L4555" s="381"/>
      <c r="M4555" s="60">
        <v>10000</v>
      </c>
      <c r="N4555" s="61" t="s">
        <v>9</v>
      </c>
      <c r="O4555" s="61" t="s">
        <v>26</v>
      </c>
      <c r="P4555" s="75" t="str">
        <f>IF(AND('331-CT'!$E$7=TH!H4448,OR(N4555="331",O4555="331")),"x","")</f>
        <v/>
      </c>
      <c r="Q4555" s="75" t="str">
        <f>IF(AND(B4555='111'!$L$11,OR($N4555=$Q$7,$O4555=$Q$7)),"x","")</f>
        <v/>
      </c>
      <c r="R4555" s="75" t="str">
        <f>IF(AND($N4555=$Q$7,$B4555&lt;'111'!$L$11),"x","")</f>
        <v/>
      </c>
      <c r="S4555" s="75" t="str">
        <f>IF(AND($O4555=$Q$7,$B4555&lt;'111'!$L$11),"x","")</f>
        <v/>
      </c>
      <c r="T4555" s="75" t="str">
        <f>IF(ISERROR(FIND('112'!$M$9,G4555,1)),"",IF((AND(FIND('112'!$M$9,G4555,1)&gt;=1,B4555='112'!$K$9,OR($N4555='112'!$I$6,$O4555='112'!$I$6))),"x",""))</f>
        <v/>
      </c>
      <c r="U4555" s="75" t="str">
        <f>IF(ISERROR(FIND('112'!$M$9,G4555,1)),"",IF((AND(LEFT(G4555,2)=LEFT('112'!$M$9,2),B4555&lt;'112'!$K$9,$N4555='112'!$I$6)),"x",""))</f>
        <v/>
      </c>
      <c r="V4555" s="75" t="str">
        <f>IF(ISERROR(FIND('112'!$M$9,G4555,1)),"",IF((AND(RIGHT(G4555,2)=RIGHT('112'!$M$9,2),B4555&lt;'112'!$K$9,$O4555='112'!$I$6)),"x",""))</f>
        <v/>
      </c>
      <c r="W4555" s="75" t="str">
        <f>IF(AND('341-CT'!$H$9=H4555,OR(LEFT(N4555,3)=$W$7,LEFT(O4555,3)=$W$7)),"x","")</f>
        <v/>
      </c>
      <c r="X4555" s="75" t="str">
        <f>IF(OR(TH!N4448=TH!$X$7,O4555=TH!$X$7),"x","")</f>
        <v/>
      </c>
      <c r="Y4555" s="75" t="str">
        <f>IF(AND(OR(N4555="131",O4555="131"),H4555='131-CT'!$H$9),"x","")</f>
        <v/>
      </c>
      <c r="Z4555" s="75"/>
      <c r="AA4555" s="75" t="str">
        <f>IF(AND(MONTH(E4555)='IN-NX'!$J$5,'IN-NX'!$D$7=D4555),"x","")</f>
        <v/>
      </c>
      <c r="AB4555" s="75" t="str">
        <f>IF(AND(OR(LEFT(TH!N4448,2)="15",LEFT(TH!O4448,2)="15"),LEFT(TH!O4448,3)&lt;&gt;"111",'152-CT'!$J$8=TH!F4448),"x","")</f>
        <v/>
      </c>
      <c r="AC4555" s="75" t="str">
        <f>IF(AND(OR(LEFT(TH!N4448,2)="15",LEFT(TH!O4448,2)="15"),TK!$E$7=TH!F4448),"x","")</f>
        <v/>
      </c>
      <c r="AD4555" s="75" t="str">
        <f>IF(AND(N4555="1521",MONTH(C4555)='BK-NL'!$M$11),"x","")</f>
        <v/>
      </c>
      <c r="AE4555">
        <v>7</v>
      </c>
      <c r="AF4555" s="1053"/>
      <c r="AG4555" s="1053"/>
    </row>
    <row r="4556" spans="1:33" ht="16.5" customHeight="1">
      <c r="A4556" s="309" t="str">
        <f>IF(B4556&lt;&gt;"",IF(AND(B4556='IN-TC'!$S$4,OR(TH!N4549="1111",TH!O4549="1111")),TH!D4549,""),"")</f>
        <v/>
      </c>
      <c r="B4556" s="1243">
        <f t="shared" si="1326"/>
        <v>7</v>
      </c>
      <c r="C4556" s="292">
        <f t="shared" si="1327"/>
        <v>42942</v>
      </c>
      <c r="D4556" s="59" t="s">
        <v>902</v>
      </c>
      <c r="E4556" s="59">
        <v>42942</v>
      </c>
      <c r="F4556" s="67" t="s">
        <v>897</v>
      </c>
      <c r="G4556" s="62" t="s">
        <v>1713</v>
      </c>
      <c r="H4556" s="294" t="s">
        <v>789</v>
      </c>
      <c r="I4556" s="373"/>
      <c r="J4556" s="379"/>
      <c r="K4556" s="373"/>
      <c r="L4556" s="379"/>
      <c r="M4556" s="60">
        <v>345890000</v>
      </c>
      <c r="N4556" s="61" t="s">
        <v>8</v>
      </c>
      <c r="O4556" s="61" t="s">
        <v>26</v>
      </c>
      <c r="P4556" s="75" t="str">
        <f>IF(AND('331-CT'!$E$7=TH!H4449,OR(N4556="331",O4556="331")),"x","")</f>
        <v/>
      </c>
      <c r="Q4556" s="75" t="str">
        <f>IF(AND(B4556='111'!$L$11,OR($N4556=$Q$7,$O4556=$Q$7)),"x","")</f>
        <v/>
      </c>
      <c r="R4556" s="75" t="str">
        <f>IF(AND($N4556=$Q$7,$B4556&lt;'111'!$L$11),"x","")</f>
        <v/>
      </c>
      <c r="S4556" s="75" t="str">
        <f>IF(AND($O4556=$Q$7,$B4556&lt;'111'!$L$11),"x","")</f>
        <v/>
      </c>
      <c r="T4556" s="75" t="str">
        <f>IF(ISERROR(FIND('112'!$M$9,G4556,1)),"",IF((AND(FIND('112'!$M$9,G4556,1)&gt;=1,B4556='112'!$K$9,OR($N4556='112'!$I$6,$O4556='112'!$I$6))),"x",""))</f>
        <v/>
      </c>
      <c r="U4556" s="75" t="str">
        <f>IF(ISERROR(FIND('112'!$M$9,G4556,1)),"",IF((AND(LEFT(G4556,2)=LEFT('112'!$M$9,2),B4556&lt;'112'!$K$9,$N4556='112'!$I$6)),"x",""))</f>
        <v/>
      </c>
      <c r="V4556" s="75" t="str">
        <f>IF(ISERROR(FIND('112'!$M$9,G4556,1)),"",IF((AND(RIGHT(G4556,2)=RIGHT('112'!$M$9,2),B4556&lt;'112'!$K$9,$O4556='112'!$I$6)),"x",""))</f>
        <v/>
      </c>
      <c r="W4556" s="75" t="str">
        <f>IF(AND('341-CT'!$H$9=H4556,OR(LEFT(N4556,3)=$W$7,LEFT(O4556,3)=$W$7)),"x","")</f>
        <v/>
      </c>
      <c r="X4556" s="75" t="str">
        <f>IF(OR(TH!N4449=TH!$X$7,O4556=TH!$X$7),"x","")</f>
        <v/>
      </c>
      <c r="Y4556" s="75" t="str">
        <f>IF(AND(OR(N4556="131",O4556="131"),H4556='131-CT'!$H$9),"x","")</f>
        <v/>
      </c>
      <c r="Z4556" s="75"/>
      <c r="AA4556" s="75" t="str">
        <f>IF(AND(MONTH(E4556)='IN-NX'!$J$5,'IN-NX'!$D$7=D4556),"x","")</f>
        <v/>
      </c>
      <c r="AB4556" s="75" t="str">
        <f>IF(AND(OR(LEFT(TH!N4449,2)="15",LEFT(TH!O4449,2)="15"),LEFT(TH!O4449,3)&lt;&gt;"111",'152-CT'!$J$8=TH!F4449),"x","")</f>
        <v/>
      </c>
      <c r="AC4556" s="75" t="str">
        <f>IF(AND(OR(LEFT(TH!N4449,2)="15",LEFT(TH!O4449,2)="15"),TK!$E$7=TH!F4449),"x","")</f>
        <v/>
      </c>
      <c r="AD4556" s="75" t="str">
        <f>IF(AND(N4556="1521",MONTH(C4556)='BK-NL'!$M$11),"x","")</f>
        <v/>
      </c>
      <c r="AE4556" s="1053"/>
      <c r="AF4556" s="1053"/>
      <c r="AG4556" s="1053"/>
    </row>
    <row r="4557" spans="1:33" s="1053" customFormat="1" ht="16.5" customHeight="1">
      <c r="A4557" s="309" t="str">
        <f>IF(B4557&lt;&gt;"",IF(AND(B4557='IN-TC'!$S$4,OR(TH!N4550="1111",TH!O4550="1111")),TH!D4550,""),"")</f>
        <v/>
      </c>
      <c r="B4557" s="1243">
        <f t="shared" si="1326"/>
        <v>7</v>
      </c>
      <c r="C4557" s="292">
        <f t="shared" si="1327"/>
        <v>42942</v>
      </c>
      <c r="D4557" s="59" t="s">
        <v>902</v>
      </c>
      <c r="E4557" s="59">
        <v>42942</v>
      </c>
      <c r="F4557" s="67" t="s">
        <v>870</v>
      </c>
      <c r="G4557" s="62" t="s">
        <v>1713</v>
      </c>
      <c r="H4557" s="67"/>
      <c r="I4557" s="375"/>
      <c r="J4557" s="381"/>
      <c r="K4557" s="60"/>
      <c r="L4557" s="381"/>
      <c r="M4557" s="60">
        <v>34589</v>
      </c>
      <c r="N4557" s="61" t="s">
        <v>101</v>
      </c>
      <c r="O4557" s="61" t="s">
        <v>26</v>
      </c>
      <c r="P4557" s="75" t="str">
        <f>IF(AND('331-CT'!$E$7=TH!H4450,OR(N4557="331",O4557="331")),"x","")</f>
        <v/>
      </c>
      <c r="Q4557" s="75" t="str">
        <f>IF(AND(B4557='111'!$L$11,OR($N4557=$Q$7,$O4557=$Q$7)),"x","")</f>
        <v/>
      </c>
      <c r="R4557" s="75" t="str">
        <f>IF(AND($N4557=$Q$7,$B4557&lt;'111'!$L$11),"x","")</f>
        <v/>
      </c>
      <c r="S4557" s="75" t="str">
        <f>IF(AND($O4557=$Q$7,$B4557&lt;'111'!$L$11),"x","")</f>
        <v/>
      </c>
      <c r="T4557" s="75" t="str">
        <f>IF(ISERROR(FIND('112'!$M$9,G4557,1)),"",IF((AND(FIND('112'!$M$9,G4557,1)&gt;=1,B4557='112'!$K$9,OR($N4557='112'!$I$6,$O4557='112'!$I$6))),"x",""))</f>
        <v/>
      </c>
      <c r="U4557" s="75" t="str">
        <f>IF(ISERROR(FIND('112'!$M$9,G4557,1)),"",IF((AND(LEFT(G4557,2)=LEFT('112'!$M$9,2),B4557&lt;'112'!$K$9,$N4557='112'!$I$6)),"x",""))</f>
        <v/>
      </c>
      <c r="V4557" s="75" t="str">
        <f>IF(ISERROR(FIND('112'!$M$9,G4557,1)),"",IF((AND(RIGHT(G4557,2)=RIGHT('112'!$M$9,2),B4557&lt;'112'!$K$9,$O4557='112'!$I$6)),"x",""))</f>
        <v/>
      </c>
      <c r="W4557" s="75" t="str">
        <f>IF(AND('341-CT'!$H$9=H4557,OR(LEFT(N4557,3)=$W$7,LEFT(O4557,3)=$W$7)),"x","")</f>
        <v/>
      </c>
      <c r="X4557" s="75" t="str">
        <f>IF(OR(TH!N4450=TH!$X$7,O4557=TH!$X$7),"x","")</f>
        <v/>
      </c>
      <c r="Y4557" s="75" t="str">
        <f>IF(AND(OR(N4557="131",O4557="131"),H4557='131-CT'!$H$9),"x","")</f>
        <v/>
      </c>
      <c r="Z4557" s="75"/>
      <c r="AA4557" s="75" t="str">
        <f>IF(AND(MONTH(E4557)='IN-NX'!$J$5,'IN-NX'!$D$7=D4557),"x","")</f>
        <v/>
      </c>
      <c r="AB4557" s="75" t="str">
        <f>IF(AND(OR(LEFT(TH!N4450,2)="15",LEFT(TH!O4450,2)="15"),LEFT(TH!O4450,3)&lt;&gt;"111",'152-CT'!$J$8=TH!F4450),"x","")</f>
        <v/>
      </c>
      <c r="AC4557" s="75" t="str">
        <f>IF(AND(OR(LEFT(TH!N4450,2)="15",LEFT(TH!O4450,2)="15"),TK!$E$7=TH!F4450),"x","")</f>
        <v/>
      </c>
      <c r="AD4557" s="75" t="str">
        <f>IF(AND(N4557="1521",MONTH(C4557)='BK-NL'!$M$11),"x","")</f>
        <v/>
      </c>
    </row>
    <row r="4558" spans="1:33" s="1053" customFormat="1" ht="16.5" customHeight="1">
      <c r="A4558" s="309" t="str">
        <f>IF(B4558&lt;&gt;"",IF(AND(B4558='IN-TC'!$S$4,OR(TH!N4551="1111",TH!O4551="1111")),TH!D4551,""),"")</f>
        <v/>
      </c>
      <c r="B4558" s="1243">
        <f t="shared" si="1326"/>
        <v>7</v>
      </c>
      <c r="C4558" s="292">
        <f t="shared" si="1327"/>
        <v>42942</v>
      </c>
      <c r="D4558" s="59" t="s">
        <v>902</v>
      </c>
      <c r="E4558" s="59">
        <v>42942</v>
      </c>
      <c r="F4558" s="67" t="s">
        <v>898</v>
      </c>
      <c r="G4558" s="62" t="s">
        <v>1713</v>
      </c>
      <c r="H4558" s="67"/>
      <c r="I4558" s="375"/>
      <c r="J4558" s="381"/>
      <c r="K4558" s="375"/>
      <c r="L4558" s="381"/>
      <c r="M4558" s="60">
        <v>3459</v>
      </c>
      <c r="N4558" s="61" t="s">
        <v>9</v>
      </c>
      <c r="O4558" s="61" t="s">
        <v>26</v>
      </c>
      <c r="P4558" s="75" t="str">
        <f>IF(AND('331-CT'!$E$7=TH!H4451,OR(N4558="331",O4558="331")),"x","")</f>
        <v/>
      </c>
      <c r="Q4558" s="75" t="str">
        <f>IF(AND(B4558='111'!$L$11,OR($N4558=$Q$7,$O4558=$Q$7)),"x","")</f>
        <v/>
      </c>
      <c r="R4558" s="75" t="str">
        <f>IF(AND($N4558=$Q$7,$B4558&lt;'111'!$L$11),"x","")</f>
        <v/>
      </c>
      <c r="S4558" s="75" t="str">
        <f>IF(AND($O4558=$Q$7,$B4558&lt;'111'!$L$11),"x","")</f>
        <v/>
      </c>
      <c r="T4558" s="75" t="str">
        <f>IF(ISERROR(FIND('112'!$M$9,G4558,1)),"",IF((AND(FIND('112'!$M$9,G4558,1)&gt;=1,B4558='112'!$K$9,OR($N4558='112'!$I$6,$O4558='112'!$I$6))),"x",""))</f>
        <v/>
      </c>
      <c r="U4558" s="75" t="str">
        <f>IF(ISERROR(FIND('112'!$M$9,G4558,1)),"",IF((AND(LEFT(G4558,2)=LEFT('112'!$M$9,2),B4558&lt;'112'!$K$9,$N4558='112'!$I$6)),"x",""))</f>
        <v/>
      </c>
      <c r="V4558" s="75" t="str">
        <f>IF(ISERROR(FIND('112'!$M$9,G4558,1)),"",IF((AND(RIGHT(G4558,2)=RIGHT('112'!$M$9,2),B4558&lt;'112'!$K$9,$O4558='112'!$I$6)),"x",""))</f>
        <v/>
      </c>
      <c r="W4558" s="75" t="str">
        <f>IF(AND('341-CT'!$H$9=H4558,OR(LEFT(N4558,3)=$W$7,LEFT(O4558,3)=$W$7)),"x","")</f>
        <v/>
      </c>
      <c r="X4558" s="75" t="str">
        <f>IF(OR(TH!N4451=TH!$X$7,O4558=TH!$X$7),"x","")</f>
        <v/>
      </c>
      <c r="Y4558" s="75" t="str">
        <f>IF(AND(OR(N4558="131",O4558="131"),H4558='131-CT'!$H$9),"x","")</f>
        <v/>
      </c>
      <c r="Z4558" s="75"/>
      <c r="AA4558" s="75" t="str">
        <f>IF(AND(MONTH(E4558)='IN-NX'!$J$5,'IN-NX'!$D$7=D4558),"x","")</f>
        <v/>
      </c>
      <c r="AB4558" s="75" t="str">
        <f>IF(AND(OR(LEFT(TH!N4451,2)="15",LEFT(TH!O4451,2)="15"),LEFT(TH!O4451,3)&lt;&gt;"111",'152-CT'!$J$8=TH!F4451),"x","")</f>
        <v/>
      </c>
      <c r="AC4558" s="75" t="str">
        <f>IF(AND(OR(LEFT(TH!N4451,2)="15",LEFT(TH!O4451,2)="15"),TK!$E$7=TH!F4451),"x","")</f>
        <v/>
      </c>
      <c r="AD4558" s="75" t="str">
        <f>IF(AND(N4558="1521",MONTH(C4558)='BK-NL'!$M$11),"x","")</f>
        <v/>
      </c>
      <c r="AE4558">
        <v>7</v>
      </c>
    </row>
    <row r="4559" spans="1:33" s="1053" customFormat="1" ht="16.5" customHeight="1">
      <c r="A4559" s="309" t="str">
        <f>IF(B4559&lt;&gt;"",IF(AND(B4559='IN-TC'!$S$4,OR(TH!N4552="1111",TH!O4552="1111")),TH!D4552,""),"")</f>
        <v/>
      </c>
      <c r="B4559" s="1243">
        <f t="shared" si="1326"/>
        <v>7</v>
      </c>
      <c r="C4559" s="292">
        <f t="shared" si="1327"/>
        <v>42942</v>
      </c>
      <c r="D4559" s="59" t="s">
        <v>902</v>
      </c>
      <c r="E4559" s="59">
        <v>42942</v>
      </c>
      <c r="F4559" s="67" t="s">
        <v>897</v>
      </c>
      <c r="G4559" s="62" t="s">
        <v>747</v>
      </c>
      <c r="H4559" s="294" t="s">
        <v>789</v>
      </c>
      <c r="I4559" s="373"/>
      <c r="J4559" s="379"/>
      <c r="K4559" s="373"/>
      <c r="L4559" s="379"/>
      <c r="M4559" s="60">
        <v>2691117000</v>
      </c>
      <c r="N4559" s="61" t="s">
        <v>8</v>
      </c>
      <c r="O4559" s="61" t="s">
        <v>26</v>
      </c>
      <c r="P4559" s="75" t="str">
        <f>IF(AND('331-CT'!$E$7=TH!H5353,OR(N4559="331",O4559="331")),"x","")</f>
        <v/>
      </c>
      <c r="Q4559" s="75" t="str">
        <f>IF(AND(B4559='111'!$L$11,OR($N4559=$Q$7,$O4559=$Q$7)),"x","")</f>
        <v/>
      </c>
      <c r="R4559" s="75" t="str">
        <f>IF(AND($N4559=$Q$7,$B4559&lt;'111'!$L$11),"x","")</f>
        <v/>
      </c>
      <c r="S4559" s="75" t="str">
        <f>IF(AND($O4559=$Q$7,$B4559&lt;'111'!$L$11),"x","")</f>
        <v/>
      </c>
      <c r="T4559" s="75" t="str">
        <f>IF(ISERROR(FIND('112'!$M$9,G4559,1)),"",IF((AND(FIND('112'!$M$9,G4559,1)&gt;=1,B4559='112'!$K$9,OR($N4559='112'!$I$6,$O4559='112'!$I$6))),"x",""))</f>
        <v/>
      </c>
      <c r="U4559" s="75" t="str">
        <f>IF(ISERROR(FIND('112'!$M$9,G4559,1)),"",IF((AND(LEFT(G4559,2)=LEFT('112'!$M$9,2),B4559&lt;'112'!$K$9,$N4559='112'!$I$6)),"x",""))</f>
        <v/>
      </c>
      <c r="V4559" s="75" t="str">
        <f>IF(ISERROR(FIND('112'!$M$9,G4559,1)),"",IF((AND(RIGHT(G4559,2)=RIGHT('112'!$M$9,2),B4559&lt;'112'!$K$9,$O4559='112'!$I$6)),"x",""))</f>
        <v/>
      </c>
      <c r="W4559" s="75" t="str">
        <f>IF(AND('341-CT'!$H$9=H4559,OR(LEFT(N4559,3)=$W$7,LEFT(O4559,3)=$W$7)),"x","")</f>
        <v/>
      </c>
      <c r="X4559" s="75" t="str">
        <f>IF(OR(TH!N5353=TH!$X$7,O4559=TH!$X$7),"x","")</f>
        <v/>
      </c>
      <c r="Y4559" s="75" t="str">
        <f>IF(AND(OR(N4559="131",O4559="131"),H4559='131-CT'!$H$9),"x","")</f>
        <v/>
      </c>
      <c r="Z4559" s="75"/>
      <c r="AA4559" s="75" t="str">
        <f>IF(AND(MONTH(E4559)='IN-NX'!$J$5,'IN-NX'!$D$7=D4559),"x","")</f>
        <v/>
      </c>
      <c r="AB4559" s="75" t="str">
        <f>IF(AND(OR(LEFT(TH!N5353,2)="15",LEFT(TH!O5353,2)="15"),LEFT(TH!O5353,3)&lt;&gt;"111",'152-CT'!$J$8=TH!F5353),"x","")</f>
        <v/>
      </c>
      <c r="AC4559" s="75" t="str">
        <f>IF(AND(OR(LEFT(TH!N5353,2)="15",LEFT(TH!O5353,2)="15"),TK!$E$7=TH!F5353),"x","")</f>
        <v/>
      </c>
      <c r="AD4559" s="75" t="str">
        <f>IF(AND(N4559="1521",MONTH(C4559)='BK-NL'!$M$11),"x","")</f>
        <v/>
      </c>
      <c r="AE4559"/>
      <c r="AF4559"/>
      <c r="AG4559"/>
    </row>
    <row r="4560" spans="1:33" s="1053" customFormat="1" ht="16.5" customHeight="1">
      <c r="A4560" s="309" t="str">
        <f>IF(B4560&lt;&gt;"",IF(AND(B4560='IN-TC'!$S$4,OR(TH!N4553="1111",TH!O4553="1111")),TH!D4553,""),"")</f>
        <v/>
      </c>
      <c r="B4560" s="1243">
        <f t="shared" si="1326"/>
        <v>7</v>
      </c>
      <c r="C4560" s="292">
        <f t="shared" si="1327"/>
        <v>42942</v>
      </c>
      <c r="D4560" s="59" t="s">
        <v>902</v>
      </c>
      <c r="E4560" s="59">
        <v>42942</v>
      </c>
      <c r="F4560" s="67" t="s">
        <v>870</v>
      </c>
      <c r="G4560" s="62" t="s">
        <v>747</v>
      </c>
      <c r="H4560" s="67" t="s">
        <v>835</v>
      </c>
      <c r="I4560" s="375"/>
      <c r="J4560" s="381"/>
      <c r="K4560" s="60"/>
      <c r="L4560" s="381"/>
      <c r="M4560" s="60">
        <v>807335</v>
      </c>
      <c r="N4560" s="61" t="s">
        <v>101</v>
      </c>
      <c r="O4560" s="61" t="s">
        <v>26</v>
      </c>
      <c r="P4560" s="75" t="str">
        <f>IF(AND('331-CT'!$E$7=TH!H5354,OR(N4560="331",O4560="331")),"x","")</f>
        <v/>
      </c>
      <c r="Q4560" s="75" t="str">
        <f>IF(AND(B4560='111'!$L$11,OR($N4560=$Q$7,$O4560=$Q$7)),"x","")</f>
        <v/>
      </c>
      <c r="R4560" s="75" t="str">
        <f>IF(AND($N4560=$Q$7,$B4560&lt;'111'!$L$11),"x","")</f>
        <v/>
      </c>
      <c r="S4560" s="75" t="str">
        <f>IF(AND($O4560=$Q$7,$B4560&lt;'111'!$L$11),"x","")</f>
        <v/>
      </c>
      <c r="T4560" s="75" t="str">
        <f>IF(ISERROR(FIND('112'!$M$9,G4560,1)),"",IF((AND(FIND('112'!$M$9,G4560,1)&gt;=1,B4560='112'!$K$9,OR($N4560='112'!$I$6,$O4560='112'!$I$6))),"x",""))</f>
        <v/>
      </c>
      <c r="U4560" s="75" t="str">
        <f>IF(ISERROR(FIND('112'!$M$9,G4560,1)),"",IF((AND(LEFT(G4560,2)=LEFT('112'!$M$9,2),B4560&lt;'112'!$K$9,$N4560='112'!$I$6)),"x",""))</f>
        <v/>
      </c>
      <c r="V4560" s="75" t="str">
        <f>IF(ISERROR(FIND('112'!$M$9,G4560,1)),"",IF((AND(RIGHT(G4560,2)=RIGHT('112'!$M$9,2),B4560&lt;'112'!$K$9,$O4560='112'!$I$6)),"x",""))</f>
        <v/>
      </c>
      <c r="W4560" s="75" t="str">
        <f>IF(AND('341-CT'!$H$9=H4560,OR(LEFT(N4560,3)=$W$7,LEFT(O4560,3)=$W$7)),"x","")</f>
        <v/>
      </c>
      <c r="X4560" s="75" t="str">
        <f>IF(OR(TH!N5354=TH!$X$7,O4560=TH!$X$7),"x","")</f>
        <v/>
      </c>
      <c r="Y4560" s="75" t="str">
        <f>IF(AND(OR(N4560="131",O4560="131"),H4560='131-CT'!$H$9),"x","")</f>
        <v/>
      </c>
      <c r="Z4560" s="75"/>
      <c r="AA4560" s="75" t="str">
        <f>IF(AND(MONTH(E4560)='IN-NX'!$J$5,'IN-NX'!$D$7=D4560),"x","")</f>
        <v/>
      </c>
      <c r="AB4560" s="75" t="str">
        <f>IF(AND(OR(LEFT(TH!N5354,2)="15",LEFT(TH!O5354,2)="15"),LEFT(TH!O5354,3)&lt;&gt;"111",'152-CT'!$J$8=TH!F5354),"x","")</f>
        <v/>
      </c>
      <c r="AC4560" s="75" t="str">
        <f>IF(AND(OR(LEFT(TH!N5354,2)="15",LEFT(TH!O5354,2)="15"),TK!$E$7=TH!F5354),"x","")</f>
        <v/>
      </c>
      <c r="AD4560" s="75" t="str">
        <f>IF(AND(N4560="1521",MONTH(C4560)='BK-NL'!$M$11),"x","")</f>
        <v/>
      </c>
      <c r="AE4560"/>
      <c r="AF4560"/>
      <c r="AG4560"/>
    </row>
    <row r="4561" spans="1:33" s="1053" customFormat="1" ht="16.5" customHeight="1">
      <c r="A4561" s="309" t="str">
        <f>IF(B4561&lt;&gt;"",IF(AND(B4561='IN-TC'!$S$4,OR(TH!N4554="1111",TH!O4554="1111")),TH!D4554,""),"")</f>
        <v/>
      </c>
      <c r="B4561" s="1243">
        <f t="shared" si="1326"/>
        <v>7</v>
      </c>
      <c r="C4561" s="292">
        <f t="shared" si="1327"/>
        <v>42942</v>
      </c>
      <c r="D4561" s="59" t="s">
        <v>902</v>
      </c>
      <c r="E4561" s="59">
        <v>42942</v>
      </c>
      <c r="F4561" s="67" t="s">
        <v>898</v>
      </c>
      <c r="G4561" s="62" t="s">
        <v>747</v>
      </c>
      <c r="H4561" s="67" t="s">
        <v>835</v>
      </c>
      <c r="I4561" s="375"/>
      <c r="J4561" s="381"/>
      <c r="K4561" s="375"/>
      <c r="L4561" s="381"/>
      <c r="M4561" s="60">
        <v>80734</v>
      </c>
      <c r="N4561" s="61" t="s">
        <v>9</v>
      </c>
      <c r="O4561" s="61" t="s">
        <v>26</v>
      </c>
      <c r="P4561" s="75" t="str">
        <f>IF(AND('331-CT'!$E$7=TH!H5355,OR(N4561="331",O4561="331")),"x","")</f>
        <v/>
      </c>
      <c r="Q4561" s="75" t="str">
        <f>IF(AND(B4561='111'!$L$11,OR($N4561=$Q$7,$O4561=$Q$7)),"x","")</f>
        <v/>
      </c>
      <c r="R4561" s="75" t="str">
        <f>IF(AND($N4561=$Q$7,$B4561&lt;'111'!$L$11),"x","")</f>
        <v/>
      </c>
      <c r="S4561" s="75" t="str">
        <f>IF(AND($O4561=$Q$7,$B4561&lt;'111'!$L$11),"x","")</f>
        <v/>
      </c>
      <c r="T4561" s="75" t="str">
        <f>IF(ISERROR(FIND('112'!$M$9,G4561,1)),"",IF((AND(FIND('112'!$M$9,G4561,1)&gt;=1,B4561='112'!$K$9,OR($N4561='112'!$I$6,$O4561='112'!$I$6))),"x",""))</f>
        <v/>
      </c>
      <c r="U4561" s="75" t="str">
        <f>IF(ISERROR(FIND('112'!$M$9,G4561,1)),"",IF((AND(LEFT(G4561,2)=LEFT('112'!$M$9,2),B4561&lt;'112'!$K$9,$N4561='112'!$I$6)),"x",""))</f>
        <v/>
      </c>
      <c r="V4561" s="75" t="str">
        <f>IF(ISERROR(FIND('112'!$M$9,G4561,1)),"",IF((AND(RIGHT(G4561,2)=RIGHT('112'!$M$9,2),B4561&lt;'112'!$K$9,$O4561='112'!$I$6)),"x",""))</f>
        <v/>
      </c>
      <c r="W4561" s="75" t="str">
        <f>IF(AND('341-CT'!$H$9=H4561,OR(LEFT(N4561,3)=$W$7,LEFT(O4561,3)=$W$7)),"x","")</f>
        <v/>
      </c>
      <c r="X4561" s="75" t="str">
        <f>IF(OR(TH!N5355=TH!$X$7,O4561=TH!$X$7),"x","")</f>
        <v/>
      </c>
      <c r="Y4561" s="75" t="str">
        <f>IF(AND(OR(N4561="131",O4561="131"),H4561='131-CT'!$H$9),"x","")</f>
        <v/>
      </c>
      <c r="Z4561" s="75"/>
      <c r="AA4561" s="75" t="str">
        <f>IF(AND(MONTH(E4561)='IN-NX'!$J$5,'IN-NX'!$D$7=D4561),"x","")</f>
        <v/>
      </c>
      <c r="AB4561" s="75" t="str">
        <f>IF(AND(OR(LEFT(TH!N5355,2)="15",LEFT(TH!O5355,2)="15"),LEFT(TH!O5355,3)&lt;&gt;"111",'152-CT'!$J$8=TH!F5355),"x","")</f>
        <v/>
      </c>
      <c r="AC4561" s="75" t="str">
        <f>IF(AND(OR(LEFT(TH!N5355,2)="15",LEFT(TH!O5355,2)="15"),TK!$E$7=TH!F5355),"x","")</f>
        <v/>
      </c>
      <c r="AD4561" s="75" t="str">
        <f>IF(AND(N4561="1521",MONTH(C4561)='BK-NL'!$M$11),"x","")</f>
        <v/>
      </c>
      <c r="AE4561">
        <v>7</v>
      </c>
      <c r="AF4561"/>
      <c r="AG4561"/>
    </row>
    <row r="4562" spans="1:33" s="1053" customFormat="1" ht="16.5" customHeight="1">
      <c r="A4562" s="309" t="str">
        <f>IF(B4562&lt;&gt;"",IF(AND(B4562='IN-TC'!$S$4,OR(TH!N4555="1111",TH!O4555="1111")),TH!D4555,""),"")</f>
        <v/>
      </c>
      <c r="B4562" s="1243">
        <f t="shared" si="1326"/>
        <v>7</v>
      </c>
      <c r="C4562" s="292">
        <f t="shared" si="1327"/>
        <v>42942</v>
      </c>
      <c r="D4562" s="292" t="s">
        <v>1271</v>
      </c>
      <c r="E4562" s="292">
        <v>42942</v>
      </c>
      <c r="F4562" s="293" t="s">
        <v>834</v>
      </c>
      <c r="G4562" s="943" t="s">
        <v>747</v>
      </c>
      <c r="H4562" s="67" t="s">
        <v>1023</v>
      </c>
      <c r="I4562" s="373"/>
      <c r="J4562" s="926"/>
      <c r="K4562" s="373"/>
      <c r="L4562" s="379"/>
      <c r="M4562" s="927">
        <v>5400000000</v>
      </c>
      <c r="N4562" s="295" t="s">
        <v>63</v>
      </c>
      <c r="O4562" s="295" t="s">
        <v>26</v>
      </c>
      <c r="P4562" s="75" t="str">
        <f>IF(AND('331-CT'!$E$7=TH!H5356,OR(N4562="331",O4562="331")),"x","")</f>
        <v/>
      </c>
      <c r="Q4562" s="75" t="str">
        <f>IF(AND(B4562='111'!$L$11,OR($N4562=$Q$7,$O4562=$Q$7)),"x","")</f>
        <v/>
      </c>
      <c r="R4562" s="75" t="str">
        <f>IF(AND($N4562=$Q$7,$B4562&lt;'111'!$L$11),"x","")</f>
        <v>x</v>
      </c>
      <c r="S4562" s="75" t="str">
        <f>IF(AND($O4562=$Q$7,$B4562&lt;'111'!$L$11),"x","")</f>
        <v/>
      </c>
      <c r="T4562" s="75" t="str">
        <f>IF(ISERROR(FIND('112'!$M$9,G4562,1)),"",IF((AND(FIND('112'!$M$9,G4562,1)&gt;=1,B4562='112'!$K$9,OR($N4562='112'!$I$6,$O4562='112'!$I$6))),"x",""))</f>
        <v/>
      </c>
      <c r="U4562" s="75" t="str">
        <f>IF(ISERROR(FIND('112'!$M$9,G4562,1)),"",IF((AND(LEFT(G4562,2)=LEFT('112'!$M$9,2),B4562&lt;'112'!$K$9,$N4562='112'!$I$6)),"x",""))</f>
        <v/>
      </c>
      <c r="V4562" s="75" t="str">
        <f>IF(ISERROR(FIND('112'!$M$9,G4562,1)),"",IF((AND(RIGHT(G4562,2)=RIGHT('112'!$M$9,2),B4562&lt;'112'!$K$9,$O4562='112'!$I$6)),"x",""))</f>
        <v/>
      </c>
      <c r="W4562" s="75" t="str">
        <f>IF(AND('341-CT'!$H$9=H4562,OR(LEFT(N4562,3)=$W$7,LEFT(O4562,3)=$W$7)),"x","")</f>
        <v/>
      </c>
      <c r="X4562" s="75" t="str">
        <f>IF(OR(TH!N5356=TH!$X$7,O4562=TH!$X$7),"x","")</f>
        <v/>
      </c>
      <c r="Y4562" s="75" t="str">
        <f>IF(AND(OR(N4562="131",O4562="131"),H4562='131-CT'!$H$9),"x","")</f>
        <v/>
      </c>
      <c r="Z4562" s="75"/>
      <c r="AA4562" s="75" t="str">
        <f>IF(AND(MONTH(E4562)='IN-NX'!$J$5,'IN-NX'!$D$7=D4562),"x","")</f>
        <v/>
      </c>
      <c r="AB4562" s="75" t="str">
        <f>IF(AND(OR(LEFT(TH!N5356,2)="15",LEFT(TH!O5356,2)="15"),LEFT(TH!O5356,3)&lt;&gt;"111",'152-CT'!$J$8=TH!F5356),"x","")</f>
        <v/>
      </c>
      <c r="AC4562" s="75" t="str">
        <f>IF(AND(OR(LEFT(TH!N5356,2)="15",LEFT(TH!O5356,2)="15"),TK!$E$7=TH!F5356),"x","")</f>
        <v/>
      </c>
      <c r="AD4562" s="75" t="str">
        <f>IF(AND(N4562="1521",MONTH(C4562)='BK-NL'!$M$11),"x","")</f>
        <v/>
      </c>
      <c r="AE4562"/>
      <c r="AF4562"/>
      <c r="AG4562"/>
    </row>
    <row r="4563" spans="1:33" ht="16.5" customHeight="1">
      <c r="A4563" s="309" t="str">
        <f>IF(B4563&lt;&gt;"",IF(AND(B4563='IN-TC'!$S$4,OR(TH!N4556="1111",TH!O4556="1111")),TH!D4556,""),"")</f>
        <v/>
      </c>
      <c r="B4563" s="1243">
        <f t="shared" ref="B4563:B4626" si="1328">IF(C4563&lt;&gt;"",MONTH(C4563),"")</f>
        <v>7</v>
      </c>
      <c r="C4563" s="292">
        <f t="shared" si="1327"/>
        <v>42942</v>
      </c>
      <c r="D4563" s="292" t="s">
        <v>1272</v>
      </c>
      <c r="E4563" s="292">
        <v>42942</v>
      </c>
      <c r="F4563" s="293" t="s">
        <v>834</v>
      </c>
      <c r="G4563" s="943" t="s">
        <v>747</v>
      </c>
      <c r="H4563" s="67" t="s">
        <v>1023</v>
      </c>
      <c r="I4563" s="373"/>
      <c r="J4563" s="926"/>
      <c r="K4563" s="373"/>
      <c r="L4563" s="379"/>
      <c r="M4563" s="927">
        <v>200000000</v>
      </c>
      <c r="N4563" s="295" t="s">
        <v>63</v>
      </c>
      <c r="O4563" s="295" t="s">
        <v>26</v>
      </c>
      <c r="P4563" s="75" t="str">
        <f>IF(AND('331-CT'!$E$7=TH!H5357,OR(N4563="331",O4563="331")),"x","")</f>
        <v/>
      </c>
      <c r="Q4563" s="75" t="str">
        <f>IF(AND(B4563='111'!$L$11,OR($N4563=$Q$7,$O4563=$Q$7)),"x","")</f>
        <v/>
      </c>
      <c r="R4563" s="75" t="str">
        <f>IF(AND($N4563=$Q$7,$B4563&lt;'111'!$L$11),"x","")</f>
        <v>x</v>
      </c>
      <c r="S4563" s="75" t="str">
        <f>IF(AND($O4563=$Q$7,$B4563&lt;'111'!$L$11),"x","")</f>
        <v/>
      </c>
      <c r="T4563" s="75" t="str">
        <f>IF(ISERROR(FIND('112'!$M$9,G4563,1)),"",IF((AND(FIND('112'!$M$9,G4563,1)&gt;=1,B4563='112'!$K$9,OR($N4563='112'!$I$6,$O4563='112'!$I$6))),"x",""))</f>
        <v/>
      </c>
      <c r="U4563" s="75" t="str">
        <f>IF(ISERROR(FIND('112'!$M$9,G4563,1)),"",IF((AND(LEFT(G4563,2)=LEFT('112'!$M$9,2),B4563&lt;'112'!$K$9,$N4563='112'!$I$6)),"x",""))</f>
        <v/>
      </c>
      <c r="V4563" s="75" t="str">
        <f>IF(ISERROR(FIND('112'!$M$9,G4563,1)),"",IF((AND(RIGHT(G4563,2)=RIGHT('112'!$M$9,2),B4563&lt;'112'!$K$9,$O4563='112'!$I$6)),"x",""))</f>
        <v/>
      </c>
      <c r="W4563" s="75" t="str">
        <f>IF(AND('341-CT'!$H$9=H4563,OR(LEFT(N4563,3)=$W$7,LEFT(O4563,3)=$W$7)),"x","")</f>
        <v/>
      </c>
      <c r="X4563" s="75" t="str">
        <f>IF(OR(TH!N5357=TH!$X$7,O4563=TH!$X$7),"x","")</f>
        <v/>
      </c>
      <c r="Y4563" s="75" t="str">
        <f>IF(AND(OR(N4563="131",O4563="131"),H4563='131-CT'!$H$9),"x","")</f>
        <v/>
      </c>
      <c r="Z4563" s="75"/>
      <c r="AA4563" s="75" t="str">
        <f>IF(AND(MONTH(E4563)='IN-NX'!$J$5,'IN-NX'!$D$7=D4563),"x","")</f>
        <v/>
      </c>
      <c r="AB4563" s="75" t="str">
        <f>IF(AND(OR(LEFT(TH!N5357,2)="15",LEFT(TH!O5357,2)="15"),LEFT(TH!O5357,3)&lt;&gt;"111",'152-CT'!$J$8=TH!F5357),"x","")</f>
        <v/>
      </c>
      <c r="AC4563" s="75" t="str">
        <f>IF(AND(OR(LEFT(TH!N5357,2)="15",LEFT(TH!O5357,2)="15"),TK!$E$7=TH!F5357),"x","")</f>
        <v/>
      </c>
      <c r="AD4563" s="75" t="str">
        <f>IF(AND(N4563="1521",MONTH(C4563)='BK-NL'!$M$11),"x","")</f>
        <v/>
      </c>
    </row>
    <row r="4564" spans="1:33" s="304" customFormat="1" ht="16.5" customHeight="1">
      <c r="A4564" s="309" t="str">
        <f>IF(B4564&lt;&gt;"",IF(AND(B4564='IN-TC'!$S$4,OR(TH!N4557="1111",TH!O4557="1111")),TH!D4557,""),"")</f>
        <v/>
      </c>
      <c r="B4564" s="1339">
        <f t="shared" si="1328"/>
        <v>7</v>
      </c>
      <c r="C4564" s="292">
        <f t="shared" si="1327"/>
        <v>42942</v>
      </c>
      <c r="D4564" s="71"/>
      <c r="E4564" s="292">
        <v>42942</v>
      </c>
      <c r="F4564" s="72" t="s">
        <v>3032</v>
      </c>
      <c r="G4564" s="72" t="s">
        <v>332</v>
      </c>
      <c r="H4564" s="73" t="s">
        <v>1880</v>
      </c>
      <c r="I4564" s="371"/>
      <c r="J4564" s="378"/>
      <c r="K4564" s="371"/>
      <c r="L4564" s="377"/>
      <c r="M4564" s="74">
        <v>300000000</v>
      </c>
      <c r="N4564" s="75" t="s">
        <v>262</v>
      </c>
      <c r="O4564" s="75" t="s">
        <v>63</v>
      </c>
      <c r="P4564" s="75" t="str">
        <f>IF(AND('331-CT'!$E$7=TH!H6215,OR(N4564="331",O4564="331")),"x","")</f>
        <v/>
      </c>
      <c r="Q4564" s="75" t="str">
        <f>IF(AND(B4564='111'!$L$11,OR($N4564=$Q$7,$O4564=$Q$7)),"x","")</f>
        <v/>
      </c>
      <c r="R4564" s="75" t="str">
        <f>IF(AND($N4564=$Q$7,$B4564&lt;'111'!$L$11),"x","")</f>
        <v/>
      </c>
      <c r="S4564" s="75" t="str">
        <f>IF(AND($O4564=$Q$7,$B4564&lt;'111'!$L$11),"x","")</f>
        <v>x</v>
      </c>
      <c r="T4564" s="75" t="str">
        <f>IF(ISERROR(FIND('112'!$M$9,G4564,1)),"",IF((AND(FIND('112'!$M$9,G4564,1)&gt;=1,B4564='112'!$K$9,OR($N4564='112'!$I$6,$O4564='112'!$I$6))),"x",""))</f>
        <v/>
      </c>
      <c r="U4564" s="75" t="str">
        <f>IF(ISERROR(FIND('112'!$M$9,G4564,1)),"",IF((AND(LEFT(G4564,2)=LEFT('112'!$M$9,2),B4564&lt;'112'!$K$9,$N4564='112'!$I$6)),"x",""))</f>
        <v/>
      </c>
      <c r="V4564" s="75" t="str">
        <f>IF(ISERROR(FIND('112'!$M$9,G4564,1)),"",IF((AND(RIGHT(G4564,2)=RIGHT('112'!$M$9,2),B4564&lt;'112'!$K$9,$O4564='112'!$I$6)),"x",""))</f>
        <v/>
      </c>
      <c r="W4564" s="75" t="str">
        <f>IF(AND('341-CT'!$H$9=H4564,OR(LEFT(N4564,3)=$W$7,LEFT(O4564,3)=$W$7)),"x","")</f>
        <v/>
      </c>
      <c r="X4564" s="75" t="str">
        <f>IF(OR(TH!N6215=TH!$X$7,O4564=TH!$X$7),"x","")</f>
        <v/>
      </c>
      <c r="Y4564" s="75" t="str">
        <f>IF(AND(OR(N4564="131",O4564="131"),H4564='131-CT'!$H$9),"x","")</f>
        <v/>
      </c>
      <c r="Z4564" s="75"/>
      <c r="AA4564" s="75" t="str">
        <f>IF(AND(MONTH(E4564)='IN-NX'!$J$5,'IN-NX'!$D$7=D4564),"x","")</f>
        <v/>
      </c>
      <c r="AB4564" s="75" t="str">
        <f>IF(AND(OR(LEFT(TH!N6215,2)="15",LEFT(TH!O6215,2)="15"),LEFT(TH!O6215,3)&lt;&gt;"111",'152-CT'!$J$8=TH!F6215),"x","")</f>
        <v/>
      </c>
      <c r="AC4564" s="75" t="str">
        <f>IF(AND(OR(LEFT(TH!N6215,2)="15",LEFT(TH!O6215,2)="15"),TK!$E$7=TH!F6215),"x","")</f>
        <v/>
      </c>
      <c r="AD4564" s="75" t="str">
        <f>IF(AND(N4564="1521",MONTH(C4564)='BK-NL'!$M$11),"x","")</f>
        <v/>
      </c>
      <c r="AE4564" s="1264"/>
      <c r="AF4564" s="1264"/>
      <c r="AG4564" s="1264"/>
    </row>
    <row r="4565" spans="1:33" ht="16.5" customHeight="1">
      <c r="A4565" s="309" t="str">
        <f>IF(B4565&lt;&gt;"",IF(AND(B4565='IN-TC'!$S$4,OR(TH!N4558="1111",TH!O4558="1111")),TH!D4558,""),"")</f>
        <v/>
      </c>
      <c r="B4565" s="1339">
        <f t="shared" si="1328"/>
        <v>7</v>
      </c>
      <c r="C4565" s="292">
        <f t="shared" si="1327"/>
        <v>42943</v>
      </c>
      <c r="D4565" s="71"/>
      <c r="E4565" s="292">
        <v>42943</v>
      </c>
      <c r="F4565" s="72" t="s">
        <v>3032</v>
      </c>
      <c r="G4565" s="72" t="s">
        <v>332</v>
      </c>
      <c r="H4565" s="73" t="s">
        <v>1880</v>
      </c>
      <c r="I4565" s="371"/>
      <c r="J4565" s="378"/>
      <c r="K4565" s="371"/>
      <c r="L4565" s="377"/>
      <c r="M4565" s="74">
        <v>1200000000</v>
      </c>
      <c r="N4565" s="75" t="s">
        <v>262</v>
      </c>
      <c r="O4565" s="75" t="s">
        <v>63</v>
      </c>
      <c r="P4565" s="75" t="str">
        <f>IF(AND('331-CT'!$E$7=TH!H6526,OR(N4565="331",O4565="331")),"x","")</f>
        <v/>
      </c>
      <c r="Q4565" s="75" t="str">
        <f>IF(AND(B4565='111'!$L$11,OR($N4565=$Q$7,$O4565=$Q$7)),"x","")</f>
        <v/>
      </c>
      <c r="R4565" s="75" t="str">
        <f>IF(AND($N4565=$Q$7,$B4565&lt;'111'!$L$11),"x","")</f>
        <v/>
      </c>
      <c r="S4565" s="75" t="str">
        <f>IF(AND($O4565=$Q$7,$B4565&lt;'111'!$L$11),"x","")</f>
        <v>x</v>
      </c>
      <c r="T4565" s="75" t="str">
        <f>IF(ISERROR(FIND('112'!$M$9,G4565,1)),"",IF((AND(FIND('112'!$M$9,G4565,1)&gt;=1,B4565='112'!$K$9,OR($N4565='112'!$I$6,$O4565='112'!$I$6))),"x",""))</f>
        <v/>
      </c>
      <c r="U4565" s="75" t="str">
        <f>IF(ISERROR(FIND('112'!$M$9,G4565,1)),"",IF((AND(LEFT(G4565,2)=LEFT('112'!$M$9,2),B4565&lt;'112'!$K$9,$N4565='112'!$I$6)),"x",""))</f>
        <v/>
      </c>
      <c r="V4565" s="75" t="str">
        <f>IF(ISERROR(FIND('112'!$M$9,G4565,1)),"",IF((AND(RIGHT(G4565,2)=RIGHT('112'!$M$9,2),B4565&lt;'112'!$K$9,$O4565='112'!$I$6)),"x",""))</f>
        <v/>
      </c>
      <c r="W4565" s="75" t="str">
        <f>IF(AND('341-CT'!$H$9=H4565,OR(LEFT(N4565,3)=$W$7,LEFT(O4565,3)=$W$7)),"x","")</f>
        <v/>
      </c>
      <c r="X4565" s="75" t="str">
        <f>IF(OR(TH!N6526=TH!$X$7,O4565=TH!$X$7),"x","")</f>
        <v/>
      </c>
      <c r="Y4565" s="75" t="str">
        <f>IF(AND(OR(N4565="131",O4565="131"),H4565='131-CT'!$H$9),"x","")</f>
        <v/>
      </c>
      <c r="Z4565" s="75"/>
      <c r="AA4565" s="75" t="str">
        <f>IF(AND(MONTH(E4565)='IN-NX'!$J$5,'IN-NX'!$D$7=D4565),"x","")</f>
        <v/>
      </c>
      <c r="AB4565" s="75" t="str">
        <f>IF(AND(OR(LEFT(TH!N6526,2)="15",LEFT(TH!O6526,2)="15"),LEFT(TH!O6526,3)&lt;&gt;"111",'152-CT'!$J$8=TH!F6526),"x","")</f>
        <v/>
      </c>
      <c r="AC4565" s="75" t="str">
        <f>IF(AND(OR(LEFT(TH!N6526,2)="15",LEFT(TH!O6526,2)="15"),TK!$E$7=TH!F6526),"x","")</f>
        <v/>
      </c>
      <c r="AD4565" s="75" t="str">
        <f>IF(AND(N4565="1521",MONTH(C4565)='BK-NL'!$M$11),"x","")</f>
        <v/>
      </c>
      <c r="AE4565" s="1264"/>
      <c r="AF4565" s="1264"/>
      <c r="AG4565" s="1264"/>
    </row>
    <row r="4566" spans="1:33" s="1053" customFormat="1" ht="16.5" customHeight="1">
      <c r="A4566" s="309" t="str">
        <f>IF(B4566&lt;&gt;"",IF(AND(B4566='IN-TC'!$S$4,OR(TH!N4559="1111",TH!O4559="1111")),TH!D4559,""),"")</f>
        <v/>
      </c>
      <c r="B4566" s="1339">
        <f t="shared" si="1328"/>
        <v>7</v>
      </c>
      <c r="C4566" s="292">
        <f t="shared" si="1327"/>
        <v>42943</v>
      </c>
      <c r="D4566" s="71"/>
      <c r="E4566" s="292">
        <v>42943</v>
      </c>
      <c r="F4566" s="72" t="s">
        <v>3032</v>
      </c>
      <c r="G4566" s="72" t="s">
        <v>1899</v>
      </c>
      <c r="H4566" s="73" t="s">
        <v>1879</v>
      </c>
      <c r="I4566" s="371"/>
      <c r="J4566" s="377"/>
      <c r="K4566" s="371"/>
      <c r="L4566" s="377"/>
      <c r="M4566" s="74">
        <v>2300000000</v>
      </c>
      <c r="N4566" s="75" t="s">
        <v>262</v>
      </c>
      <c r="O4566" s="75" t="s">
        <v>63</v>
      </c>
      <c r="P4566" s="75" t="str">
        <f>IF(AND('331-CT'!$E$7=TH!H6535,OR(N4566="331",O4566="331")),"x","")</f>
        <v/>
      </c>
      <c r="Q4566" s="75" t="str">
        <f>IF(AND(B4566='111'!$L$11,OR($N4566=$Q$7,$O4566=$Q$7)),"x","")</f>
        <v/>
      </c>
      <c r="R4566" s="75" t="str">
        <f>IF(AND($N4566=$Q$7,$B4566&lt;'111'!$L$11),"x","")</f>
        <v/>
      </c>
      <c r="S4566" s="75" t="str">
        <f>IF(AND($O4566=$Q$7,$B4566&lt;'111'!$L$11),"x","")</f>
        <v>x</v>
      </c>
      <c r="T4566" s="75" t="str">
        <f>IF(ISERROR(FIND('112'!$M$9,G4566,1)),"",IF((AND(FIND('112'!$M$9,G4566,1)&gt;=1,B4566='112'!$K$9,OR($N4566='112'!$I$6,$O4566='112'!$I$6))),"x",""))</f>
        <v/>
      </c>
      <c r="U4566" s="75" t="str">
        <f>IF(ISERROR(FIND('112'!$M$9,G4566,1)),"",IF((AND(LEFT(G4566,2)=LEFT('112'!$M$9,2),B4566&lt;'112'!$K$9,$N4566='112'!$I$6)),"x",""))</f>
        <v/>
      </c>
      <c r="V4566" s="75" t="str">
        <f>IF(ISERROR(FIND('112'!$M$9,G4566,1)),"",IF((AND(RIGHT(G4566,2)=RIGHT('112'!$M$9,2),B4566&lt;'112'!$K$9,$O4566='112'!$I$6)),"x",""))</f>
        <v/>
      </c>
      <c r="W4566" s="75" t="str">
        <f>IF(AND('341-CT'!$H$9=H4566,OR(LEFT(N4566,3)=$W$7,LEFT(O4566,3)=$W$7)),"x","")</f>
        <v/>
      </c>
      <c r="X4566" s="75" t="str">
        <f>IF(OR(TH!N6535=TH!$X$7,O4566=TH!$X$7),"x","")</f>
        <v/>
      </c>
      <c r="Y4566" s="75" t="str">
        <f>IF(AND(OR(N4566="131",O4566="131"),H4566='131-CT'!$H$9),"x","")</f>
        <v/>
      </c>
      <c r="Z4566" s="75"/>
      <c r="AA4566" s="75" t="str">
        <f>IF(AND(MONTH(E4566)='IN-NX'!$J$5,'IN-NX'!$D$7=D4566),"x","")</f>
        <v/>
      </c>
      <c r="AB4566" s="75" t="str">
        <f>IF(AND(OR(LEFT(TH!N6535,2)="15",LEFT(TH!O6535,2)="15"),LEFT(TH!O6535,3)&lt;&gt;"111",'152-CT'!$J$8=TH!F6535),"x","")</f>
        <v/>
      </c>
      <c r="AC4566" s="75" t="str">
        <f>IF(AND(OR(LEFT(TH!N6535,2)="15",LEFT(TH!O6535,2)="15"),TK!$E$7=TH!F6535),"x","")</f>
        <v/>
      </c>
      <c r="AD4566" s="75" t="str">
        <f>IF(AND(N4566="1521",MONTH(C4566)='BK-NL'!$M$11),"x","")</f>
        <v/>
      </c>
      <c r="AE4566" s="1264"/>
      <c r="AF4566" s="1264"/>
      <c r="AG4566" s="1264"/>
    </row>
    <row r="4567" spans="1:33" s="1053" customFormat="1" ht="16.5" customHeight="1">
      <c r="A4567" s="309" t="str">
        <f>IF(B4567&lt;&gt;"",IF(AND(B4567='IN-TC'!$S$4,OR(TH!N4560="1111",TH!O4560="1111")),TH!D4560,""),"")</f>
        <v/>
      </c>
      <c r="B4567" s="1243">
        <f t="shared" si="1328"/>
        <v>7</v>
      </c>
      <c r="C4567" s="292">
        <f t="shared" si="1327"/>
        <v>42943</v>
      </c>
      <c r="D4567" s="292"/>
      <c r="E4567" s="292">
        <v>42943</v>
      </c>
      <c r="F4567" s="67" t="s">
        <v>1834</v>
      </c>
      <c r="G4567" s="925" t="s">
        <v>1836</v>
      </c>
      <c r="H4567" s="294" t="s">
        <v>974</v>
      </c>
      <c r="I4567" s="373"/>
      <c r="J4567" s="926"/>
      <c r="K4567" s="373"/>
      <c r="L4567" s="379"/>
      <c r="M4567" s="927">
        <v>11500000</v>
      </c>
      <c r="N4567" s="295" t="s">
        <v>101</v>
      </c>
      <c r="O4567" s="295" t="s">
        <v>63</v>
      </c>
      <c r="P4567" s="75" t="str">
        <f>IF(AND('331-CT'!$E$7=TH!H3780,OR(N4567="331",O4567="331")),"x","")</f>
        <v/>
      </c>
      <c r="Q4567" s="75" t="str">
        <f>IF(AND(B4567='111'!$L$11,OR($N4567=$Q$7,$O4567=$Q$7)),"x","")</f>
        <v/>
      </c>
      <c r="R4567" s="75" t="str">
        <f>IF(AND($N4567=$Q$7,$B4567&lt;'111'!$L$11),"x","")</f>
        <v/>
      </c>
      <c r="S4567" s="75" t="str">
        <f>IF(AND($O4567=$Q$7,$B4567&lt;'111'!$L$11),"x","")</f>
        <v>x</v>
      </c>
      <c r="T4567" s="75" t="str">
        <f>IF(ISERROR(FIND('112'!$M$9,G4567,1)),"",IF((AND(FIND('112'!$M$9,G4567,1)&gt;=1,B4567='112'!$K$9,OR($N4567='112'!$I$6,$O4567='112'!$I$6))),"x",""))</f>
        <v/>
      </c>
      <c r="U4567" s="75" t="str">
        <f>IF(ISERROR(FIND('112'!$M$9,G4567,1)),"",IF((AND(LEFT(G4567,2)=LEFT('112'!$M$9,2),B4567&lt;'112'!$K$9,$N4567='112'!$I$6)),"x",""))</f>
        <v/>
      </c>
      <c r="V4567" s="75" t="str">
        <f>IF(ISERROR(FIND('112'!$M$9,G4567,1)),"",IF((AND(RIGHT(G4567,2)=RIGHT('112'!$M$9,2),B4567&lt;'112'!$K$9,$O4567='112'!$I$6)),"x",""))</f>
        <v/>
      </c>
      <c r="W4567" s="75" t="str">
        <f>IF(AND('341-CT'!$H$9=H4567,OR(LEFT(N4567,3)=$W$7,LEFT(O4567,3)=$W$7)),"x","")</f>
        <v/>
      </c>
      <c r="X4567" s="75" t="str">
        <f>IF(OR(TH!N3780=TH!$X$7,O4567=TH!$X$7),"x","")</f>
        <v/>
      </c>
      <c r="Y4567" s="75" t="str">
        <f>IF(AND(OR(N4567="131",O4567="131"),H4567='131-CT'!$H$9),"x","")</f>
        <v/>
      </c>
      <c r="Z4567" s="75"/>
      <c r="AA4567" s="75" t="str">
        <f>IF(AND(MONTH(E4567)='IN-NX'!$J$5,'IN-NX'!$D$7=D4567),"x","")</f>
        <v/>
      </c>
      <c r="AB4567" s="75" t="str">
        <f>IF(AND(OR(LEFT(TH!N3780,2)="15",LEFT(TH!O3780,2)="15"),LEFT(TH!O3780,3)&lt;&gt;"111",'152-CT'!$J$8=TH!F3780),"x","")</f>
        <v/>
      </c>
      <c r="AC4567" s="75" t="str">
        <f>IF(AND(OR(LEFT(TH!N3780,2)="15",LEFT(TH!O3780,2)="15"),TK!$E$7=TH!F3780),"x","")</f>
        <v/>
      </c>
      <c r="AD4567" s="75" t="str">
        <f>IF(AND(N4567="1521",MONTH(C4567)='BK-NL'!$M$11),"x","")</f>
        <v/>
      </c>
      <c r="AE4567"/>
      <c r="AF4567"/>
      <c r="AG4567"/>
    </row>
    <row r="4568" spans="1:33" ht="16.5" customHeight="1">
      <c r="A4568" s="309" t="str">
        <f>IF(B4568&lt;&gt;"",IF(AND(B4568='IN-TC'!$S$4,OR(TH!N4561="1111",TH!O4561="1111")),TH!D4561,""),"")</f>
        <v/>
      </c>
      <c r="B4568" s="1243">
        <f t="shared" si="1328"/>
        <v>7</v>
      </c>
      <c r="C4568" s="292">
        <f t="shared" si="1327"/>
        <v>42943</v>
      </c>
      <c r="D4568" s="292"/>
      <c r="E4568" s="292">
        <v>42943</v>
      </c>
      <c r="F4568" s="67" t="s">
        <v>1835</v>
      </c>
      <c r="G4568" s="925" t="s">
        <v>1836</v>
      </c>
      <c r="H4568" s="294" t="s">
        <v>974</v>
      </c>
      <c r="I4568" s="373"/>
      <c r="J4568" s="926"/>
      <c r="K4568" s="373"/>
      <c r="L4568" s="379"/>
      <c r="M4568" s="927">
        <v>1150000</v>
      </c>
      <c r="N4568" s="295" t="s">
        <v>9</v>
      </c>
      <c r="O4568" s="295" t="s">
        <v>63</v>
      </c>
      <c r="P4568" s="75" t="str">
        <f>IF(AND('331-CT'!$E$7=TH!H3781,OR(N4568="331",O4568="331")),"x","")</f>
        <v/>
      </c>
      <c r="Q4568" s="75" t="str">
        <f>IF(AND(B4568='111'!$L$11,OR($N4568=$Q$7,$O4568=$Q$7)),"x","")</f>
        <v/>
      </c>
      <c r="R4568" s="75" t="str">
        <f>IF(AND($N4568=$Q$7,$B4568&lt;'111'!$L$11),"x","")</f>
        <v/>
      </c>
      <c r="S4568" s="75" t="str">
        <f>IF(AND($O4568=$Q$7,$B4568&lt;'111'!$L$11),"x","")</f>
        <v>x</v>
      </c>
      <c r="T4568" s="75" t="str">
        <f>IF(ISERROR(FIND('112'!$M$9,G4568,1)),"",IF((AND(FIND('112'!$M$9,G4568,1)&gt;=1,B4568='112'!$K$9,OR($N4568='112'!$I$6,$O4568='112'!$I$6))),"x",""))</f>
        <v/>
      </c>
      <c r="U4568" s="75" t="str">
        <f>IF(ISERROR(FIND('112'!$M$9,G4568,1)),"",IF((AND(LEFT(G4568,2)=LEFT('112'!$M$9,2),B4568&lt;'112'!$K$9,$N4568='112'!$I$6)),"x",""))</f>
        <v/>
      </c>
      <c r="V4568" s="75" t="str">
        <f>IF(ISERROR(FIND('112'!$M$9,G4568,1)),"",IF((AND(RIGHT(G4568,2)=RIGHT('112'!$M$9,2),B4568&lt;'112'!$K$9,$O4568='112'!$I$6)),"x",""))</f>
        <v/>
      </c>
      <c r="W4568" s="75" t="str">
        <f>IF(AND('341-CT'!$H$9=H4568,OR(LEFT(N4568,3)=$W$7,LEFT(O4568,3)=$W$7)),"x","")</f>
        <v/>
      </c>
      <c r="X4568" s="75" t="str">
        <f>IF(OR(TH!N3781=TH!$X$7,O4568=TH!$X$7),"x","")</f>
        <v/>
      </c>
      <c r="Y4568" s="75" t="str">
        <f>IF(AND(OR(N4568="131",O4568="131"),H4568='131-CT'!$H$9),"x","")</f>
        <v/>
      </c>
      <c r="Z4568" s="75"/>
      <c r="AA4568" s="75" t="str">
        <f>IF(AND(MONTH(E4568)='IN-NX'!$J$5,'IN-NX'!$D$7=D4568),"x","")</f>
        <v/>
      </c>
      <c r="AB4568" s="75" t="str">
        <f>IF(AND(OR(LEFT(TH!N3781,2)="15",LEFT(TH!O3781,2)="15"),LEFT(TH!O3781,3)&lt;&gt;"111",'152-CT'!$J$8=TH!F3781),"x","")</f>
        <v/>
      </c>
      <c r="AC4568" s="75" t="str">
        <f>IF(AND(OR(LEFT(TH!N3781,2)="15",LEFT(TH!O3781,2)="15"),TK!$E$7=TH!F3781),"x","")</f>
        <v/>
      </c>
      <c r="AD4568" s="75" t="str">
        <f>IF(AND(N4568="1521",MONTH(C4568)='BK-NL'!$M$11),"x","")</f>
        <v/>
      </c>
      <c r="AE4568">
        <v>7</v>
      </c>
    </row>
    <row r="4569" spans="1:33" ht="16.5" customHeight="1">
      <c r="A4569" s="309" t="str">
        <f>IF(B4569&lt;&gt;"",IF(AND(B4569='IN-TC'!$S$4,OR(TH!N4562="1111",TH!O4562="1111")),TH!D4562,""),"")</f>
        <v/>
      </c>
      <c r="B4569" s="1243">
        <f t="shared" si="1328"/>
        <v>7</v>
      </c>
      <c r="C4569" s="292">
        <f t="shared" si="1327"/>
        <v>42943</v>
      </c>
      <c r="D4569" s="59" t="s">
        <v>902</v>
      </c>
      <c r="E4569" s="59">
        <v>42943</v>
      </c>
      <c r="F4569" s="67" t="s">
        <v>1735</v>
      </c>
      <c r="G4569" s="62" t="s">
        <v>1713</v>
      </c>
      <c r="H4569" s="67" t="s">
        <v>1211</v>
      </c>
      <c r="I4569" s="375"/>
      <c r="J4569" s="381"/>
      <c r="K4569" s="375"/>
      <c r="L4569" s="381"/>
      <c r="M4569" s="60">
        <v>75399079</v>
      </c>
      <c r="N4569" s="61" t="s">
        <v>541</v>
      </c>
      <c r="O4569" s="61" t="s">
        <v>26</v>
      </c>
      <c r="P4569" s="75" t="str">
        <f>IF(AND('331-CT'!$E$7=TH!H4452,OR(N4569="331",O4569="331")),"x","")</f>
        <v/>
      </c>
      <c r="Q4569" s="75" t="str">
        <f>IF(AND(B4569='111'!$L$11,OR($N4569=$Q$7,$O4569=$Q$7)),"x","")</f>
        <v/>
      </c>
      <c r="R4569" s="75" t="str">
        <f>IF(AND($N4569=$Q$7,$B4569&lt;'111'!$L$11),"x","")</f>
        <v/>
      </c>
      <c r="S4569" s="75" t="str">
        <f>IF(AND($O4569=$Q$7,$B4569&lt;'111'!$L$11),"x","")</f>
        <v/>
      </c>
      <c r="T4569" s="75" t="str">
        <f>IF(ISERROR(FIND('112'!$M$9,G4569,1)),"",IF((AND(FIND('112'!$M$9,G4569,1)&gt;=1,B4569='112'!$K$9,OR($N4569='112'!$I$6,$O4569='112'!$I$6))),"x",""))</f>
        <v/>
      </c>
      <c r="U4569" s="75" t="str">
        <f>IF(ISERROR(FIND('112'!$M$9,G4569,1)),"",IF((AND(LEFT(G4569,2)=LEFT('112'!$M$9,2),B4569&lt;'112'!$K$9,$N4569='112'!$I$6)),"x",""))</f>
        <v/>
      </c>
      <c r="V4569" s="75" t="str">
        <f>IF(ISERROR(FIND('112'!$M$9,G4569,1)),"",IF((AND(RIGHT(G4569,2)=RIGHT('112'!$M$9,2),B4569&lt;'112'!$K$9,$O4569='112'!$I$6)),"x",""))</f>
        <v/>
      </c>
      <c r="W4569" s="75" t="str">
        <f>IF(AND('341-CT'!$H$9=H4569,OR(LEFT(N4569,3)=$W$7,LEFT(O4569,3)=$W$7)),"x","")</f>
        <v/>
      </c>
      <c r="X4569" s="75" t="str">
        <f>IF(OR(TH!N4452=TH!$X$7,O4569=TH!$X$7),"x","")</f>
        <v/>
      </c>
      <c r="Y4569" s="75" t="str">
        <f>IF(AND(OR(N4569="131",O4569="131"),H4569='131-CT'!$H$9),"x","")</f>
        <v/>
      </c>
      <c r="Z4569" s="75"/>
      <c r="AA4569" s="75" t="str">
        <f>IF(AND(MONTH(E4569)='IN-NX'!$J$5,'IN-NX'!$D$7=D4569),"x","")</f>
        <v/>
      </c>
      <c r="AB4569" s="75" t="str">
        <f>IF(AND(OR(LEFT(TH!N4452,2)="15",LEFT(TH!O4452,2)="15"),LEFT(TH!O4452,3)&lt;&gt;"111",'152-CT'!$J$8=TH!F4452),"x","")</f>
        <v/>
      </c>
      <c r="AC4569" s="75" t="str">
        <f>IF(AND(OR(LEFT(TH!N4452,2)="15",LEFT(TH!O4452,2)="15"),TK!$E$7=TH!F4452),"x","")</f>
        <v/>
      </c>
      <c r="AD4569" s="75" t="str">
        <f>IF(AND(N4569="1521",MONTH(C4569)='BK-NL'!$M$11),"x","")</f>
        <v/>
      </c>
      <c r="AE4569" s="1053"/>
      <c r="AF4569" s="1053"/>
      <c r="AG4569" s="1053"/>
    </row>
    <row r="4570" spans="1:33" ht="16.5" customHeight="1">
      <c r="A4570" s="309" t="str">
        <f>IF(B4570&lt;&gt;"",IF(AND(B4570='IN-TC'!$S$4,OR(TH!N4563="1111",TH!O4563="1111")),TH!D4563,""),"")</f>
        <v/>
      </c>
      <c r="B4570" s="1243">
        <f t="shared" si="1328"/>
        <v>7</v>
      </c>
      <c r="C4570" s="292">
        <f t="shared" si="1327"/>
        <v>42943</v>
      </c>
      <c r="D4570" s="59" t="s">
        <v>902</v>
      </c>
      <c r="E4570" s="59">
        <v>42943</v>
      </c>
      <c r="F4570" s="67" t="s">
        <v>2673</v>
      </c>
      <c r="G4570" s="62" t="s">
        <v>1713</v>
      </c>
      <c r="H4570" s="67" t="s">
        <v>1211</v>
      </c>
      <c r="I4570" s="375"/>
      <c r="J4570" s="381"/>
      <c r="K4570" s="375"/>
      <c r="L4570" s="381"/>
      <c r="M4570" s="60">
        <v>7380335</v>
      </c>
      <c r="N4570" s="61" t="s">
        <v>542</v>
      </c>
      <c r="O4570" s="61" t="s">
        <v>26</v>
      </c>
      <c r="P4570" s="75" t="str">
        <f>IF(AND('331-CT'!$E$7=TH!H4453,OR(N4570="331",O4570="331")),"x","")</f>
        <v/>
      </c>
      <c r="Q4570" s="75" t="str">
        <f>IF(AND(B4570='111'!$L$11,OR($N4570=$Q$7,$O4570=$Q$7)),"x","")</f>
        <v/>
      </c>
      <c r="R4570" s="75" t="str">
        <f>IF(AND($N4570=$Q$7,$B4570&lt;'111'!$L$11),"x","")</f>
        <v/>
      </c>
      <c r="S4570" s="75" t="str">
        <f>IF(AND($O4570=$Q$7,$B4570&lt;'111'!$L$11),"x","")</f>
        <v/>
      </c>
      <c r="T4570" s="75" t="str">
        <f>IF(ISERROR(FIND('112'!$M$9,G4570,1)),"",IF((AND(FIND('112'!$M$9,G4570,1)&gt;=1,B4570='112'!$K$9,OR($N4570='112'!$I$6,$O4570='112'!$I$6))),"x",""))</f>
        <v/>
      </c>
      <c r="U4570" s="75" t="str">
        <f>IF(ISERROR(FIND('112'!$M$9,G4570,1)),"",IF((AND(LEFT(G4570,2)=LEFT('112'!$M$9,2),B4570&lt;'112'!$K$9,$N4570='112'!$I$6)),"x",""))</f>
        <v/>
      </c>
      <c r="V4570" s="75" t="str">
        <f>IF(ISERROR(FIND('112'!$M$9,G4570,1)),"",IF((AND(RIGHT(G4570,2)=RIGHT('112'!$M$9,2),B4570&lt;'112'!$K$9,$O4570='112'!$I$6)),"x",""))</f>
        <v/>
      </c>
      <c r="W4570" s="75" t="str">
        <f>IF(AND('341-CT'!$H$9=H4570,OR(LEFT(N4570,3)=$W$7,LEFT(O4570,3)=$W$7)),"x","")</f>
        <v/>
      </c>
      <c r="X4570" s="75" t="str">
        <f>IF(OR(TH!N4453=TH!$X$7,O4570=TH!$X$7),"x","")</f>
        <v/>
      </c>
      <c r="Y4570" s="75" t="str">
        <f>IF(AND(OR(N4570="131",O4570="131"),H4570='131-CT'!$H$9),"x","")</f>
        <v/>
      </c>
      <c r="Z4570" s="75"/>
      <c r="AA4570" s="75" t="str">
        <f>IF(AND(MONTH(E4570)='IN-NX'!$J$5,'IN-NX'!$D$7=D4570),"x","")</f>
        <v/>
      </c>
      <c r="AB4570" s="75" t="str">
        <f>IF(AND(OR(LEFT(TH!N4453,2)="15",LEFT(TH!O4453,2)="15"),LEFT(TH!O4453,3)&lt;&gt;"111",'152-CT'!$J$8=TH!F4453),"x","")</f>
        <v/>
      </c>
      <c r="AC4570" s="75" t="str">
        <f>IF(AND(OR(LEFT(TH!N4453,2)="15",LEFT(TH!O4453,2)="15"),TK!$E$7=TH!F4453),"x","")</f>
        <v/>
      </c>
      <c r="AD4570" s="75" t="str">
        <f>IF(AND(N4570="1521",MONTH(C4570)='BK-NL'!$M$11),"x","")</f>
        <v/>
      </c>
      <c r="AE4570" s="1053"/>
      <c r="AF4570" s="1053"/>
      <c r="AG4570" s="1053"/>
    </row>
    <row r="4571" spans="1:33" ht="16.5" customHeight="1">
      <c r="A4571" s="309" t="str">
        <f>IF(B4571&lt;&gt;"",IF(AND(B4571='IN-TC'!$S$4,OR(TH!N4564="1111",TH!O4564="1111")),TH!D4564,""),"")</f>
        <v/>
      </c>
      <c r="B4571" s="1243">
        <f t="shared" si="1328"/>
        <v>7</v>
      </c>
      <c r="C4571" s="292">
        <f t="shared" si="1327"/>
        <v>42943</v>
      </c>
      <c r="D4571" s="59" t="s">
        <v>902</v>
      </c>
      <c r="E4571" s="59">
        <v>42943</v>
      </c>
      <c r="F4571" s="67" t="s">
        <v>2674</v>
      </c>
      <c r="G4571" s="62" t="s">
        <v>1713</v>
      </c>
      <c r="H4571" s="67" t="s">
        <v>1211</v>
      </c>
      <c r="I4571" s="375"/>
      <c r="J4571" s="381"/>
      <c r="K4571" s="375"/>
      <c r="L4571" s="381"/>
      <c r="M4571" s="60">
        <v>2220586</v>
      </c>
      <c r="N4571" s="61" t="s">
        <v>543</v>
      </c>
      <c r="O4571" s="61" t="s">
        <v>26</v>
      </c>
      <c r="P4571" s="75" t="str">
        <f>IF(AND('331-CT'!$E$7=TH!H4454,OR(N4571="331",O4571="331")),"x","")</f>
        <v/>
      </c>
      <c r="Q4571" s="75" t="str">
        <f>IF(AND(B4571='111'!$L$11,OR($N4571=$Q$7,$O4571=$Q$7)),"x","")</f>
        <v/>
      </c>
      <c r="R4571" s="75" t="str">
        <f>IF(AND($N4571=$Q$7,$B4571&lt;'111'!$L$11),"x","")</f>
        <v/>
      </c>
      <c r="S4571" s="75" t="str">
        <f>IF(AND($O4571=$Q$7,$B4571&lt;'111'!$L$11),"x","")</f>
        <v/>
      </c>
      <c r="T4571" s="75" t="str">
        <f>IF(ISERROR(FIND('112'!$M$9,G4571,1)),"",IF((AND(FIND('112'!$M$9,G4571,1)&gt;=1,B4571='112'!$K$9,OR($N4571='112'!$I$6,$O4571='112'!$I$6))),"x",""))</f>
        <v/>
      </c>
      <c r="U4571" s="75" t="str">
        <f>IF(ISERROR(FIND('112'!$M$9,G4571,1)),"",IF((AND(LEFT(G4571,2)=LEFT('112'!$M$9,2),B4571&lt;'112'!$K$9,$N4571='112'!$I$6)),"x",""))</f>
        <v/>
      </c>
      <c r="V4571" s="75" t="str">
        <f>IF(ISERROR(FIND('112'!$M$9,G4571,1)),"",IF((AND(RIGHT(G4571,2)=RIGHT('112'!$M$9,2),B4571&lt;'112'!$K$9,$O4571='112'!$I$6)),"x",""))</f>
        <v/>
      </c>
      <c r="W4571" s="75" t="str">
        <f>IF(AND('341-CT'!$H$9=H4571,OR(LEFT(N4571,3)=$W$7,LEFT(O4571,3)=$W$7)),"x","")</f>
        <v/>
      </c>
      <c r="X4571" s="75" t="str">
        <f>IF(OR(TH!N4454=TH!$X$7,O4571=TH!$X$7),"x","")</f>
        <v/>
      </c>
      <c r="Y4571" s="75" t="str">
        <f>IF(AND(OR(N4571="131",O4571="131"),H4571='131-CT'!$H$9),"x","")</f>
        <v/>
      </c>
      <c r="Z4571" s="75"/>
      <c r="AA4571" s="75" t="str">
        <f>IF(AND(MONTH(E4571)='IN-NX'!$J$5,'IN-NX'!$D$7=D4571),"x","")</f>
        <v/>
      </c>
      <c r="AB4571" s="75" t="str">
        <f>IF(AND(OR(LEFT(TH!N4454,2)="15",LEFT(TH!O4454,2)="15"),LEFT(TH!O4454,3)&lt;&gt;"111",'152-CT'!$J$8=TH!F4454),"x","")</f>
        <v/>
      </c>
      <c r="AC4571" s="75" t="str">
        <f>IF(AND(OR(LEFT(TH!N4454,2)="15",LEFT(TH!O4454,2)="15"),TK!$E$7=TH!F4454),"x","")</f>
        <v/>
      </c>
      <c r="AD4571" s="75" t="str">
        <f>IF(AND(N4571="1521",MONTH(C4571)='BK-NL'!$M$11),"x","")</f>
        <v/>
      </c>
      <c r="AE4571" s="1053"/>
      <c r="AF4571" s="1053"/>
      <c r="AG4571" s="1053"/>
    </row>
    <row r="4572" spans="1:33" s="304" customFormat="1" ht="16.5" customHeight="1">
      <c r="A4572" s="309" t="str">
        <f>IF(B4572&lt;&gt;"",IF(AND(B4572='IN-TC'!$S$4,OR(TH!N4565="1111",TH!O4565="1111")),TH!D4565,""),"")</f>
        <v/>
      </c>
      <c r="B4572" s="1243">
        <f t="shared" si="1328"/>
        <v>7</v>
      </c>
      <c r="C4572" s="292">
        <f t="shared" si="1327"/>
        <v>42943</v>
      </c>
      <c r="D4572" s="59" t="s">
        <v>902</v>
      </c>
      <c r="E4572" s="59">
        <v>42943</v>
      </c>
      <c r="F4572" s="67" t="s">
        <v>870</v>
      </c>
      <c r="G4572" s="62" t="s">
        <v>1713</v>
      </c>
      <c r="H4572" s="67"/>
      <c r="I4572" s="375"/>
      <c r="J4572" s="381"/>
      <c r="K4572" s="375"/>
      <c r="L4572" s="381"/>
      <c r="M4572" s="60">
        <v>15000</v>
      </c>
      <c r="N4572" s="61" t="s">
        <v>101</v>
      </c>
      <c r="O4572" s="61" t="s">
        <v>26</v>
      </c>
      <c r="P4572" s="75" t="str">
        <f>IF(AND('331-CT'!$E$7=TH!H4455,OR(N4572="331",O4572="331")),"x","")</f>
        <v/>
      </c>
      <c r="Q4572" s="75" t="str">
        <f>IF(AND(B4572='111'!$L$11,OR($N4572=$Q$7,$O4572=$Q$7)),"x","")</f>
        <v/>
      </c>
      <c r="R4572" s="75" t="str">
        <f>IF(AND($N4572=$Q$7,$B4572&lt;'111'!$L$11),"x","")</f>
        <v/>
      </c>
      <c r="S4572" s="75" t="str">
        <f>IF(AND($O4572=$Q$7,$B4572&lt;'111'!$L$11),"x","")</f>
        <v/>
      </c>
      <c r="T4572" s="75" t="str">
        <f>IF(ISERROR(FIND('112'!$M$9,G4572,1)),"",IF((AND(FIND('112'!$M$9,G4572,1)&gt;=1,B4572='112'!$K$9,OR($N4572='112'!$I$6,$O4572='112'!$I$6))),"x",""))</f>
        <v/>
      </c>
      <c r="U4572" s="75" t="str">
        <f>IF(ISERROR(FIND('112'!$M$9,G4572,1)),"",IF((AND(LEFT(G4572,2)=LEFT('112'!$M$9,2),B4572&lt;'112'!$K$9,$N4572='112'!$I$6)),"x",""))</f>
        <v/>
      </c>
      <c r="V4572" s="75" t="str">
        <f>IF(ISERROR(FIND('112'!$M$9,G4572,1)),"",IF((AND(RIGHT(G4572,2)=RIGHT('112'!$M$9,2),B4572&lt;'112'!$K$9,$O4572='112'!$I$6)),"x",""))</f>
        <v/>
      </c>
      <c r="W4572" s="75" t="str">
        <f>IF(AND('341-CT'!$H$9=H4572,OR(LEFT(N4572,3)=$W$7,LEFT(O4572,3)=$W$7)),"x","")</f>
        <v/>
      </c>
      <c r="X4572" s="75" t="str">
        <f>IF(OR(TH!N4455=TH!$X$7,O4572=TH!$X$7),"x","")</f>
        <v/>
      </c>
      <c r="Y4572" s="75" t="str">
        <f>IF(AND(OR(N4572="131",O4572="131"),H4572='131-CT'!$H$9),"x","")</f>
        <v/>
      </c>
      <c r="Z4572" s="75"/>
      <c r="AA4572" s="75" t="str">
        <f>IF(AND(MONTH(E4572)='IN-NX'!$J$5,'IN-NX'!$D$7=D4572),"x","")</f>
        <v/>
      </c>
      <c r="AB4572" s="75" t="str">
        <f>IF(AND(OR(LEFT(TH!N4455,2)="15",LEFT(TH!O4455,2)="15"),LEFT(TH!O4455,3)&lt;&gt;"111",'152-CT'!$J$8=TH!F4455),"x","")</f>
        <v/>
      </c>
      <c r="AC4572" s="75" t="str">
        <f>IF(AND(OR(LEFT(TH!N4455,2)="15",LEFT(TH!O4455,2)="15"),TK!$E$7=TH!F4455),"x","")</f>
        <v/>
      </c>
      <c r="AD4572" s="75" t="str">
        <f>IF(AND(N4572="1521",MONTH(C4572)='BK-NL'!$M$11),"x","")</f>
        <v/>
      </c>
      <c r="AE4572" s="1053"/>
      <c r="AF4572" s="1053"/>
      <c r="AG4572" s="1053"/>
    </row>
    <row r="4573" spans="1:33" s="304" customFormat="1" ht="16.5" customHeight="1">
      <c r="A4573" s="309" t="str">
        <f>IF(B4573&lt;&gt;"",IF(AND(B4573='IN-TC'!$S$4,OR(TH!N4566="1111",TH!O4566="1111")),TH!D4566,""),"")</f>
        <v/>
      </c>
      <c r="B4573" s="1243">
        <f t="shared" si="1328"/>
        <v>7</v>
      </c>
      <c r="C4573" s="292">
        <f t="shared" si="1327"/>
        <v>42943</v>
      </c>
      <c r="D4573" s="59" t="s">
        <v>902</v>
      </c>
      <c r="E4573" s="59">
        <v>42943</v>
      </c>
      <c r="F4573" s="67" t="s">
        <v>898</v>
      </c>
      <c r="G4573" s="62" t="s">
        <v>1713</v>
      </c>
      <c r="H4573" s="67"/>
      <c r="I4573" s="375"/>
      <c r="J4573" s="381"/>
      <c r="K4573" s="375"/>
      <c r="L4573" s="381"/>
      <c r="M4573" s="60">
        <v>1500</v>
      </c>
      <c r="N4573" s="61" t="s">
        <v>9</v>
      </c>
      <c r="O4573" s="61" t="s">
        <v>26</v>
      </c>
      <c r="P4573" s="75" t="str">
        <f>IF(AND('331-CT'!$E$7=TH!H4456,OR(N4573="331",O4573="331")),"x","")</f>
        <v/>
      </c>
      <c r="Q4573" s="75" t="str">
        <f>IF(AND(B4573='111'!$L$11,OR($N4573=$Q$7,$O4573=$Q$7)),"x","")</f>
        <v/>
      </c>
      <c r="R4573" s="75" t="str">
        <f>IF(AND($N4573=$Q$7,$B4573&lt;'111'!$L$11),"x","")</f>
        <v/>
      </c>
      <c r="S4573" s="75" t="str">
        <f>IF(AND($O4573=$Q$7,$B4573&lt;'111'!$L$11),"x","")</f>
        <v/>
      </c>
      <c r="T4573" s="75" t="str">
        <f>IF(ISERROR(FIND('112'!$M$9,G4573,1)),"",IF((AND(FIND('112'!$M$9,G4573,1)&gt;=1,B4573='112'!$K$9,OR($N4573='112'!$I$6,$O4573='112'!$I$6))),"x",""))</f>
        <v/>
      </c>
      <c r="U4573" s="75" t="str">
        <f>IF(ISERROR(FIND('112'!$M$9,G4573,1)),"",IF((AND(LEFT(G4573,2)=LEFT('112'!$M$9,2),B4573&lt;'112'!$K$9,$N4573='112'!$I$6)),"x",""))</f>
        <v/>
      </c>
      <c r="V4573" s="75" t="str">
        <f>IF(ISERROR(FIND('112'!$M$9,G4573,1)),"",IF((AND(RIGHT(G4573,2)=RIGHT('112'!$M$9,2),B4573&lt;'112'!$K$9,$O4573='112'!$I$6)),"x",""))</f>
        <v/>
      </c>
      <c r="W4573" s="75" t="str">
        <f>IF(AND('341-CT'!$H$9=H4573,OR(LEFT(N4573,3)=$W$7,LEFT(O4573,3)=$W$7)),"x","")</f>
        <v/>
      </c>
      <c r="X4573" s="75" t="str">
        <f>IF(OR(TH!N4456=TH!$X$7,O4573=TH!$X$7),"x","")</f>
        <v/>
      </c>
      <c r="Y4573" s="75" t="str">
        <f>IF(AND(OR(N4573="131",O4573="131"),H4573='131-CT'!$H$9),"x","")</f>
        <v/>
      </c>
      <c r="Z4573" s="75"/>
      <c r="AA4573" s="75" t="str">
        <f>IF(AND(MONTH(E4573)='IN-NX'!$J$5,'IN-NX'!$D$7=D4573),"x","")</f>
        <v/>
      </c>
      <c r="AB4573" s="75" t="str">
        <f>IF(AND(OR(LEFT(TH!N4456,2)="15",LEFT(TH!O4456,2)="15"),LEFT(TH!O4456,3)&lt;&gt;"111",'152-CT'!$J$8=TH!F4456),"x","")</f>
        <v/>
      </c>
      <c r="AC4573" s="75" t="str">
        <f>IF(AND(OR(LEFT(TH!N4456,2)="15",LEFT(TH!O4456,2)="15"),TK!$E$7=TH!F4456),"x","")</f>
        <v/>
      </c>
      <c r="AD4573" s="75" t="str">
        <f>IF(AND(N4573="1521",MONTH(C4573)='BK-NL'!$M$11),"x","")</f>
        <v/>
      </c>
      <c r="AE4573">
        <v>7</v>
      </c>
      <c r="AF4573" s="1053"/>
      <c r="AG4573" s="1053"/>
    </row>
    <row r="4574" spans="1:33" ht="16.5" customHeight="1">
      <c r="A4574" s="309" t="str">
        <f>IF(B4574&lt;&gt;"",IF(AND(B4574='IN-TC'!$S$4,OR(TH!N5699="1111",TH!O5699="1111")),TH!D5699,""),"")</f>
        <v/>
      </c>
      <c r="B4574" s="1339">
        <f t="shared" si="1328"/>
        <v>7</v>
      </c>
      <c r="C4574" s="292">
        <f t="shared" si="1327"/>
        <v>42943</v>
      </c>
      <c r="D4574" s="71"/>
      <c r="E4574" s="71">
        <v>42943</v>
      </c>
      <c r="F4574" s="72" t="s">
        <v>3010</v>
      </c>
      <c r="G4574" s="72" t="s">
        <v>332</v>
      </c>
      <c r="H4574" s="73" t="s">
        <v>1880</v>
      </c>
      <c r="I4574" s="371"/>
      <c r="J4574" s="378"/>
      <c r="K4574" s="371"/>
      <c r="L4574" s="377"/>
      <c r="M4574" s="74">
        <v>904600</v>
      </c>
      <c r="N4574" s="75" t="s">
        <v>262</v>
      </c>
      <c r="O4574" s="75" t="s">
        <v>63</v>
      </c>
      <c r="P4574" s="75" t="str">
        <f>IF(AND('331-CT'!$E$7=TH!H5699,OR(N4574="331",O4574="331")),"x","")</f>
        <v/>
      </c>
      <c r="Q4574" s="75" t="str">
        <f>IF(AND(B4574='111'!$L$11,OR($N4574=$Q$7,$O4574=$Q$7)),"x","")</f>
        <v/>
      </c>
      <c r="R4574" s="75" t="str">
        <f>IF(AND($N4574=$Q$7,$B4574&lt;'111'!$L$11),"x","")</f>
        <v/>
      </c>
      <c r="S4574" s="75" t="str">
        <f>IF(AND($O4574=$Q$7,$B4574&lt;'111'!$L$11),"x","")</f>
        <v>x</v>
      </c>
      <c r="T4574" s="75" t="str">
        <f>IF(ISERROR(FIND('112'!$M$9,G4574,1)),"",IF((AND(FIND('112'!$M$9,G4574,1)&gt;=1,B4574='112'!$K$9,OR($N4574='112'!$I$6,$O4574='112'!$I$6))),"x",""))</f>
        <v/>
      </c>
      <c r="U4574" s="75" t="str">
        <f>IF(ISERROR(FIND('112'!$M$9,G4574,1)),"",IF((AND(LEFT(G4574,2)=LEFT('112'!$M$9,2),B4574&lt;'112'!$K$9,$N4574='112'!$I$6)),"x",""))</f>
        <v/>
      </c>
      <c r="V4574" s="75" t="str">
        <f>IF(ISERROR(FIND('112'!$M$9,G4574,1)),"",IF((AND(RIGHT(G4574,2)=RIGHT('112'!$M$9,2),B4574&lt;'112'!$K$9,$O4574='112'!$I$6)),"x",""))</f>
        <v/>
      </c>
      <c r="W4574" s="75" t="str">
        <f>IF(AND('341-CT'!$H$9=H4574,OR(LEFT(N4574,3)=$W$7,LEFT(O4574,3)=$W$7)),"x","")</f>
        <v/>
      </c>
      <c r="X4574" s="75" t="str">
        <f>IF(OR(TH!N5699=TH!$X$7,O4574=TH!$X$7),"x","")</f>
        <v/>
      </c>
      <c r="Y4574" s="75" t="str">
        <f>IF(AND(OR(N4574="131",O4574="131"),H4574='131-CT'!$H$9),"x","")</f>
        <v/>
      </c>
      <c r="Z4574" s="75"/>
      <c r="AA4574" s="75" t="str">
        <f>IF(AND(MONTH(E4574)='IN-NX'!$J$5,'IN-NX'!$D$7=D4574),"x","")</f>
        <v/>
      </c>
      <c r="AB4574" s="75" t="str">
        <f>IF(AND(OR(LEFT(TH!N5699,2)="15",LEFT(TH!O5699,2)="15"),LEFT(TH!O5699,3)&lt;&gt;"111",'152-CT'!$J$8=TH!F5699),"x","")</f>
        <v/>
      </c>
      <c r="AC4574" s="75" t="str">
        <f>IF(AND(OR(LEFT(TH!N5699,2)="15",LEFT(TH!O5699,2)="15"),TK!$E$7=TH!F5699),"x","")</f>
        <v/>
      </c>
      <c r="AD4574" s="75" t="str">
        <f>IF(AND(N4574="1521",MONTH(C4574)='BK-NL'!$M$11),"x","")</f>
        <v/>
      </c>
      <c r="AE4574" s="1264"/>
      <c r="AF4574" s="1264"/>
      <c r="AG4574" s="1264"/>
    </row>
    <row r="4575" spans="1:33" ht="16.5" customHeight="1">
      <c r="A4575" s="309" t="str">
        <f>IF(B4575&lt;&gt;"",IF(AND(B4575='IN-TC'!$S$4,OR(TH!N4567="1111",TH!O4567="1111")),TH!D4567,""),"")</f>
        <v/>
      </c>
      <c r="B4575" s="1243">
        <f t="shared" si="1328"/>
        <v>7</v>
      </c>
      <c r="C4575" s="292">
        <f t="shared" si="1327"/>
        <v>42944</v>
      </c>
      <c r="D4575" s="59" t="s">
        <v>903</v>
      </c>
      <c r="E4575" s="59">
        <v>42944</v>
      </c>
      <c r="F4575" s="293" t="s">
        <v>2456</v>
      </c>
      <c r="G4575" s="62" t="s">
        <v>747</v>
      </c>
      <c r="H4575" s="67" t="s">
        <v>2457</v>
      </c>
      <c r="I4575" s="373"/>
      <c r="J4575" s="379"/>
      <c r="K4575" s="373">
        <v>30200</v>
      </c>
      <c r="L4575" s="379">
        <v>22720</v>
      </c>
      <c r="M4575" s="60">
        <v>686144000</v>
      </c>
      <c r="N4575" s="61" t="s">
        <v>26</v>
      </c>
      <c r="O4575" s="61" t="s">
        <v>250</v>
      </c>
      <c r="P4575" s="75" t="str">
        <f>IF(AND('331-CT'!$E$7=TH!H5358,OR(N4575="331",O4575="331")),"x","")</f>
        <v/>
      </c>
      <c r="Q4575" s="75" t="str">
        <f>IF(AND(B4575='111'!$L$11,OR($N4575=$Q$7,$O4575=$Q$7)),"x","")</f>
        <v/>
      </c>
      <c r="R4575" s="75" t="str">
        <f>IF(AND($N4575=$Q$7,$B4575&lt;'111'!$L$11),"x","")</f>
        <v/>
      </c>
      <c r="S4575" s="75" t="str">
        <f>IF(AND($O4575=$Q$7,$B4575&lt;'111'!$L$11),"x","")</f>
        <v/>
      </c>
      <c r="T4575" s="75" t="str">
        <f>IF(ISERROR(FIND('112'!$M$9,G4575,1)),"",IF((AND(FIND('112'!$M$9,G4575,1)&gt;=1,B4575='112'!$K$9,OR($N4575='112'!$I$6,$O4575='112'!$I$6))),"x",""))</f>
        <v/>
      </c>
      <c r="U4575" s="75" t="str">
        <f>IF(ISERROR(FIND('112'!$M$9,G4575,1)),"",IF((AND(LEFT(G4575,2)=LEFT('112'!$M$9,2),B4575&lt;'112'!$K$9,$N4575='112'!$I$6)),"x",""))</f>
        <v/>
      </c>
      <c r="V4575" s="75" t="str">
        <f>IF(ISERROR(FIND('112'!$M$9,G4575,1)),"",IF((AND(RIGHT(G4575,2)=RIGHT('112'!$M$9,2),B4575&lt;'112'!$K$9,$O4575='112'!$I$6)),"x",""))</f>
        <v/>
      </c>
      <c r="W4575" s="75" t="str">
        <f>IF(AND('341-CT'!$H$9=H4575,OR(LEFT(N4575,3)=$W$7,LEFT(O4575,3)=$W$7)),"x","")</f>
        <v/>
      </c>
      <c r="X4575" s="75" t="str">
        <f>IF(OR(TH!N5358=TH!$X$7,O4575=TH!$X$7),"x","")</f>
        <v/>
      </c>
      <c r="Y4575" s="75" t="str">
        <f>IF(AND(OR(N4575="131",O4575="131"),H4575='131-CT'!$H$9),"x","")</f>
        <v/>
      </c>
      <c r="Z4575" s="75"/>
      <c r="AA4575" s="75" t="str">
        <f>IF(AND(MONTH(E4575)='IN-NX'!$J$5,'IN-NX'!$D$7=D4575),"x","")</f>
        <v/>
      </c>
      <c r="AB4575" s="75" t="str">
        <f>IF(AND(OR(LEFT(TH!N5358,2)="15",LEFT(TH!O5358,2)="15"),LEFT(TH!O5358,3)&lt;&gt;"111",'152-CT'!$J$8=TH!F5358),"x","")</f>
        <v/>
      </c>
      <c r="AC4575" s="75" t="str">
        <f>IF(AND(OR(LEFT(TH!N5358,2)="15",LEFT(TH!O5358,2)="15"),TK!$E$7=TH!F5358),"x","")</f>
        <v/>
      </c>
      <c r="AD4575" s="75" t="str">
        <f>IF(AND(N4575="1521",MONTH(C4575)='BK-NL'!$M$11),"x","")</f>
        <v/>
      </c>
    </row>
    <row r="4576" spans="1:33" ht="16.5" customHeight="1">
      <c r="A4576" s="309" t="str">
        <f>IF(B4576&lt;&gt;"",IF(AND(B4576='IN-TC'!$S$4,OR(TH!N4568="1111",TH!O4568="1111")),TH!D4568,""),"")</f>
        <v/>
      </c>
      <c r="B4576" s="1243">
        <f t="shared" si="1328"/>
        <v>7</v>
      </c>
      <c r="C4576" s="292">
        <f t="shared" si="1327"/>
        <v>42944</v>
      </c>
      <c r="D4576" s="59" t="s">
        <v>903</v>
      </c>
      <c r="E4576" s="59">
        <v>42944</v>
      </c>
      <c r="F4576" s="293" t="s">
        <v>2459</v>
      </c>
      <c r="G4576" s="62" t="s">
        <v>747</v>
      </c>
      <c r="H4576" s="67" t="s">
        <v>2458</v>
      </c>
      <c r="I4576" s="373"/>
      <c r="J4576" s="379"/>
      <c r="K4576" s="373">
        <v>55200</v>
      </c>
      <c r="L4576" s="379">
        <v>22717</v>
      </c>
      <c r="M4576" s="60">
        <v>1253978400</v>
      </c>
      <c r="N4576" s="61" t="s">
        <v>26</v>
      </c>
      <c r="O4576" s="61" t="s">
        <v>250</v>
      </c>
      <c r="P4576" s="75" t="str">
        <f>IF(AND('331-CT'!$E$7=TH!H5359,OR(N4576="331",O4576="331")),"x","")</f>
        <v/>
      </c>
      <c r="Q4576" s="75" t="str">
        <f>IF(AND(B4576='111'!$L$11,OR($N4576=$Q$7,$O4576=$Q$7)),"x","")</f>
        <v/>
      </c>
      <c r="R4576" s="75" t="str">
        <f>IF(AND($N4576=$Q$7,$B4576&lt;'111'!$L$11),"x","")</f>
        <v/>
      </c>
      <c r="S4576" s="75" t="str">
        <f>IF(AND($O4576=$Q$7,$B4576&lt;'111'!$L$11),"x","")</f>
        <v/>
      </c>
      <c r="T4576" s="75" t="str">
        <f>IF(ISERROR(FIND('112'!$M$9,G4576,1)),"",IF((AND(FIND('112'!$M$9,G4576,1)&gt;=1,B4576='112'!$K$9,OR($N4576='112'!$I$6,$O4576='112'!$I$6))),"x",""))</f>
        <v/>
      </c>
      <c r="U4576" s="75" t="str">
        <f>IF(ISERROR(FIND('112'!$M$9,G4576,1)),"",IF((AND(LEFT(G4576,2)=LEFT('112'!$M$9,2),B4576&lt;'112'!$K$9,$N4576='112'!$I$6)),"x",""))</f>
        <v/>
      </c>
      <c r="V4576" s="75" t="str">
        <f>IF(ISERROR(FIND('112'!$M$9,G4576,1)),"",IF((AND(RIGHT(G4576,2)=RIGHT('112'!$M$9,2),B4576&lt;'112'!$K$9,$O4576='112'!$I$6)),"x",""))</f>
        <v/>
      </c>
      <c r="W4576" s="75" t="str">
        <f>IF(AND('341-CT'!$H$9=H4576,OR(LEFT(N4576,3)=$W$7,LEFT(O4576,3)=$W$7)),"x","")</f>
        <v/>
      </c>
      <c r="X4576" s="75" t="str">
        <f>IF(OR(TH!N5359=TH!$X$7,O4576=TH!$X$7),"x","")</f>
        <v/>
      </c>
      <c r="Y4576" s="75" t="str">
        <f>IF(AND(OR(N4576="131",O4576="131"),H4576='131-CT'!$H$9),"x","")</f>
        <v/>
      </c>
      <c r="Z4576" s="75"/>
      <c r="AA4576" s="75" t="str">
        <f>IF(AND(MONTH(E4576)='IN-NX'!$J$5,'IN-NX'!$D$7=D4576),"x","")</f>
        <v/>
      </c>
      <c r="AB4576" s="75" t="str">
        <f>IF(AND(OR(LEFT(TH!N5359,2)="15",LEFT(TH!O5359,2)="15"),LEFT(TH!O5359,3)&lt;&gt;"111",'152-CT'!$J$8=TH!F5359),"x","")</f>
        <v/>
      </c>
      <c r="AC4576" s="75" t="str">
        <f>IF(AND(OR(LEFT(TH!N5359,2)="15",LEFT(TH!O5359,2)="15"),TK!$E$7=TH!F5359),"x","")</f>
        <v/>
      </c>
      <c r="AD4576" s="75" t="str">
        <f>IF(AND(N4576="1521",MONTH(C4576)='BK-NL'!$M$11),"x","")</f>
        <v/>
      </c>
    </row>
    <row r="4577" spans="1:33" ht="16.5" customHeight="1">
      <c r="A4577" s="309" t="str">
        <f>IF(B4577&lt;&gt;"",IF(AND(B4577='IN-TC'!$S$4,OR(TH!N4569="1111",TH!O4569="1111")),TH!D4569,""),"")</f>
        <v/>
      </c>
      <c r="B4577" s="1243">
        <f t="shared" si="1328"/>
        <v>7</v>
      </c>
      <c r="C4577" s="292">
        <f t="shared" si="1327"/>
        <v>42944</v>
      </c>
      <c r="D4577" s="59" t="s">
        <v>902</v>
      </c>
      <c r="E4577" s="59">
        <v>42944</v>
      </c>
      <c r="F4577" s="67" t="s">
        <v>1774</v>
      </c>
      <c r="G4577" s="62" t="s">
        <v>747</v>
      </c>
      <c r="H4577" s="294" t="s">
        <v>563</v>
      </c>
      <c r="I4577" s="373"/>
      <c r="J4577" s="379"/>
      <c r="K4577" s="373"/>
      <c r="L4577" s="379"/>
      <c r="M4577" s="60">
        <v>57205720</v>
      </c>
      <c r="N4577" s="61" t="s">
        <v>8</v>
      </c>
      <c r="O4577" s="61" t="s">
        <v>26</v>
      </c>
      <c r="P4577" s="75" t="str">
        <f>IF(AND('331-CT'!$E$7=TH!H5360,OR(N4577="331",O4577="331")),"x","")</f>
        <v/>
      </c>
      <c r="Q4577" s="75" t="str">
        <f>IF(AND(B4577='111'!$L$11,OR($N4577=$Q$7,$O4577=$Q$7)),"x","")</f>
        <v/>
      </c>
      <c r="R4577" s="75" t="str">
        <f>IF(AND($N4577=$Q$7,$B4577&lt;'111'!$L$11),"x","")</f>
        <v/>
      </c>
      <c r="S4577" s="75" t="str">
        <f>IF(AND($O4577=$Q$7,$B4577&lt;'111'!$L$11),"x","")</f>
        <v/>
      </c>
      <c r="T4577" s="75" t="str">
        <f>IF(ISERROR(FIND('112'!$M$9,G4577,1)),"",IF((AND(FIND('112'!$M$9,G4577,1)&gt;=1,B4577='112'!$K$9,OR($N4577='112'!$I$6,$O4577='112'!$I$6))),"x",""))</f>
        <v/>
      </c>
      <c r="U4577" s="75" t="str">
        <f>IF(ISERROR(FIND('112'!$M$9,G4577,1)),"",IF((AND(LEFT(G4577,2)=LEFT('112'!$M$9,2),B4577&lt;'112'!$K$9,$N4577='112'!$I$6)),"x",""))</f>
        <v/>
      </c>
      <c r="V4577" s="75" t="str">
        <f>IF(ISERROR(FIND('112'!$M$9,G4577,1)),"",IF((AND(RIGHT(G4577,2)=RIGHT('112'!$M$9,2),B4577&lt;'112'!$K$9,$O4577='112'!$I$6)),"x",""))</f>
        <v/>
      </c>
      <c r="W4577" s="75" t="str">
        <f>IF(AND('341-CT'!$H$9=H4577,OR(LEFT(N4577,3)=$W$7,LEFT(O4577,3)=$W$7)),"x","")</f>
        <v/>
      </c>
      <c r="X4577" s="75" t="str">
        <f>IF(OR(TH!N5360=TH!$X$7,O4577=TH!$X$7),"x","")</f>
        <v/>
      </c>
      <c r="Y4577" s="75" t="str">
        <f>IF(AND(OR(N4577="131",O4577="131"),H4577='131-CT'!$H$9),"x","")</f>
        <v/>
      </c>
      <c r="Z4577" s="75"/>
      <c r="AA4577" s="75" t="str">
        <f>IF(AND(MONTH(E4577)='IN-NX'!$J$5,'IN-NX'!$D$7=D4577),"x","")</f>
        <v/>
      </c>
      <c r="AB4577" s="75" t="str">
        <f>IF(AND(OR(LEFT(TH!N5360,2)="15",LEFT(TH!O5360,2)="15"),LEFT(TH!O5360,3)&lt;&gt;"111",'152-CT'!$J$8=TH!F5360),"x","")</f>
        <v/>
      </c>
      <c r="AC4577" s="75" t="str">
        <f>IF(AND(OR(LEFT(TH!N5360,2)="15",LEFT(TH!O5360,2)="15"),TK!$E$7=TH!F5360),"x","")</f>
        <v/>
      </c>
      <c r="AD4577" s="75" t="str">
        <f>IF(AND(N4577="1521",MONTH(C4577)='BK-NL'!$M$11),"x","")</f>
        <v/>
      </c>
    </row>
    <row r="4578" spans="1:33" s="1053" customFormat="1" ht="16.5" customHeight="1">
      <c r="A4578" s="309" t="str">
        <f>IF(B4578&lt;&gt;"",IF(AND(B4578='IN-TC'!$S$4,OR(TH!N4570="1111",TH!O4570="1111")),TH!D4570,""),"")</f>
        <v/>
      </c>
      <c r="B4578" s="1243">
        <f t="shared" si="1328"/>
        <v>7</v>
      </c>
      <c r="C4578" s="292">
        <f t="shared" si="1327"/>
        <v>42944</v>
      </c>
      <c r="D4578" s="59" t="s">
        <v>902</v>
      </c>
      <c r="E4578" s="59">
        <v>42944</v>
      </c>
      <c r="F4578" s="67" t="s">
        <v>870</v>
      </c>
      <c r="G4578" s="62" t="s">
        <v>747</v>
      </c>
      <c r="H4578" s="67" t="s">
        <v>835</v>
      </c>
      <c r="I4578" s="375"/>
      <c r="J4578" s="381"/>
      <c r="K4578" s="60"/>
      <c r="L4578" s="381"/>
      <c r="M4578" s="60">
        <v>17161</v>
      </c>
      <c r="N4578" s="61" t="s">
        <v>101</v>
      </c>
      <c r="O4578" s="61" t="s">
        <v>26</v>
      </c>
      <c r="P4578" s="75" t="str">
        <f>IF(AND('331-CT'!$E$7=TH!H5361,OR(N4578="331",O4578="331")),"x","")</f>
        <v/>
      </c>
      <c r="Q4578" s="75" t="str">
        <f>IF(AND(B4578='111'!$L$11,OR($N4578=$Q$7,$O4578=$Q$7)),"x","")</f>
        <v/>
      </c>
      <c r="R4578" s="75" t="str">
        <f>IF(AND($N4578=$Q$7,$B4578&lt;'111'!$L$11),"x","")</f>
        <v/>
      </c>
      <c r="S4578" s="75" t="str">
        <f>IF(AND($O4578=$Q$7,$B4578&lt;'111'!$L$11),"x","")</f>
        <v/>
      </c>
      <c r="T4578" s="75" t="str">
        <f>IF(ISERROR(FIND('112'!$M$9,G4578,1)),"",IF((AND(FIND('112'!$M$9,G4578,1)&gt;=1,B4578='112'!$K$9,OR($N4578='112'!$I$6,$O4578='112'!$I$6))),"x",""))</f>
        <v/>
      </c>
      <c r="U4578" s="75" t="str">
        <f>IF(ISERROR(FIND('112'!$M$9,G4578,1)),"",IF((AND(LEFT(G4578,2)=LEFT('112'!$M$9,2),B4578&lt;'112'!$K$9,$N4578='112'!$I$6)),"x",""))</f>
        <v/>
      </c>
      <c r="V4578" s="75" t="str">
        <f>IF(ISERROR(FIND('112'!$M$9,G4578,1)),"",IF((AND(RIGHT(G4578,2)=RIGHT('112'!$M$9,2),B4578&lt;'112'!$K$9,$O4578='112'!$I$6)),"x",""))</f>
        <v/>
      </c>
      <c r="W4578" s="75" t="str">
        <f>IF(AND('341-CT'!$H$9=H4578,OR(LEFT(N4578,3)=$W$7,LEFT(O4578,3)=$W$7)),"x","")</f>
        <v/>
      </c>
      <c r="X4578" s="75" t="str">
        <f>IF(OR(TH!N5361=TH!$X$7,O4578=TH!$X$7),"x","")</f>
        <v/>
      </c>
      <c r="Y4578" s="75" t="str">
        <f>IF(AND(OR(N4578="131",O4578="131"),H4578='131-CT'!$H$9),"x","")</f>
        <v/>
      </c>
      <c r="Z4578" s="75"/>
      <c r="AA4578" s="75" t="str">
        <f>IF(AND(MONTH(E4578)='IN-NX'!$J$5,'IN-NX'!$D$7=D4578),"x","")</f>
        <v/>
      </c>
      <c r="AB4578" s="75" t="str">
        <f>IF(AND(OR(LEFT(TH!N5361,2)="15",LEFT(TH!O5361,2)="15"),LEFT(TH!O5361,3)&lt;&gt;"111",'152-CT'!$J$8=TH!F5361),"x","")</f>
        <v/>
      </c>
      <c r="AC4578" s="75" t="str">
        <f>IF(AND(OR(LEFT(TH!N5361,2)="15",LEFT(TH!O5361,2)="15"),TK!$E$7=TH!F5361),"x","")</f>
        <v/>
      </c>
      <c r="AD4578" s="75" t="str">
        <f>IF(AND(N4578="1521",MONTH(C4578)='BK-NL'!$M$11),"x","")</f>
        <v/>
      </c>
      <c r="AE4578"/>
      <c r="AF4578"/>
      <c r="AG4578"/>
    </row>
    <row r="4579" spans="1:33" s="1053" customFormat="1" ht="16.5" customHeight="1">
      <c r="A4579" s="309" t="str">
        <f>IF(B4579&lt;&gt;"",IF(AND(B4579='IN-TC'!$S$4,OR(TH!N4571="1111",TH!O4571="1111")),TH!D4571,""),"")</f>
        <v/>
      </c>
      <c r="B4579" s="1243">
        <f t="shared" si="1328"/>
        <v>7</v>
      </c>
      <c r="C4579" s="292">
        <f t="shared" si="1327"/>
        <v>42944</v>
      </c>
      <c r="D4579" s="59" t="s">
        <v>902</v>
      </c>
      <c r="E4579" s="59">
        <v>42944</v>
      </c>
      <c r="F4579" s="67" t="s">
        <v>898</v>
      </c>
      <c r="G4579" s="62" t="s">
        <v>747</v>
      </c>
      <c r="H4579" s="67" t="s">
        <v>835</v>
      </c>
      <c r="I4579" s="375"/>
      <c r="J4579" s="381"/>
      <c r="K4579" s="375"/>
      <c r="L4579" s="381"/>
      <c r="M4579" s="60">
        <v>1716</v>
      </c>
      <c r="N4579" s="61" t="s">
        <v>9</v>
      </c>
      <c r="O4579" s="61" t="s">
        <v>26</v>
      </c>
      <c r="P4579" s="75" t="str">
        <f>IF(AND('331-CT'!$E$7=TH!H5362,OR(N4579="331",O4579="331")),"x","")</f>
        <v/>
      </c>
      <c r="Q4579" s="75" t="str">
        <f>IF(AND(B4579='111'!$L$11,OR($N4579=$Q$7,$O4579=$Q$7)),"x","")</f>
        <v/>
      </c>
      <c r="R4579" s="75" t="str">
        <f>IF(AND($N4579=$Q$7,$B4579&lt;'111'!$L$11),"x","")</f>
        <v/>
      </c>
      <c r="S4579" s="75" t="str">
        <f>IF(AND($O4579=$Q$7,$B4579&lt;'111'!$L$11),"x","")</f>
        <v/>
      </c>
      <c r="T4579" s="75" t="str">
        <f>IF(ISERROR(FIND('112'!$M$9,G4579,1)),"",IF((AND(FIND('112'!$M$9,G4579,1)&gt;=1,B4579='112'!$K$9,OR($N4579='112'!$I$6,$O4579='112'!$I$6))),"x",""))</f>
        <v/>
      </c>
      <c r="U4579" s="75" t="str">
        <f>IF(ISERROR(FIND('112'!$M$9,G4579,1)),"",IF((AND(LEFT(G4579,2)=LEFT('112'!$M$9,2),B4579&lt;'112'!$K$9,$N4579='112'!$I$6)),"x",""))</f>
        <v/>
      </c>
      <c r="V4579" s="75" t="str">
        <f>IF(ISERROR(FIND('112'!$M$9,G4579,1)),"",IF((AND(RIGHT(G4579,2)=RIGHT('112'!$M$9,2),B4579&lt;'112'!$K$9,$O4579='112'!$I$6)),"x",""))</f>
        <v/>
      </c>
      <c r="W4579" s="75" t="str">
        <f>IF(AND('341-CT'!$H$9=H4579,OR(LEFT(N4579,3)=$W$7,LEFT(O4579,3)=$W$7)),"x","")</f>
        <v/>
      </c>
      <c r="X4579" s="75" t="str">
        <f>IF(OR(TH!N5362=TH!$X$7,O4579=TH!$X$7),"x","")</f>
        <v/>
      </c>
      <c r="Y4579" s="75" t="str">
        <f>IF(AND(OR(N4579="131",O4579="131"),H4579='131-CT'!$H$9),"x","")</f>
        <v/>
      </c>
      <c r="Z4579" s="75"/>
      <c r="AA4579" s="75" t="str">
        <f>IF(AND(MONTH(E4579)='IN-NX'!$J$5,'IN-NX'!$D$7=D4579),"x","")</f>
        <v/>
      </c>
      <c r="AB4579" s="75" t="str">
        <f>IF(AND(OR(LEFT(TH!N5362,2)="15",LEFT(TH!O5362,2)="15"),LEFT(TH!O5362,3)&lt;&gt;"111",'152-CT'!$J$8=TH!F5362),"x","")</f>
        <v/>
      </c>
      <c r="AC4579" s="75" t="str">
        <f>IF(AND(OR(LEFT(TH!N5362,2)="15",LEFT(TH!O5362,2)="15"),TK!$E$7=TH!F5362),"x","")</f>
        <v/>
      </c>
      <c r="AD4579" s="75" t="str">
        <f>IF(AND(N4579="1521",MONTH(C4579)='BK-NL'!$M$11),"x","")</f>
        <v/>
      </c>
      <c r="AE4579">
        <v>7</v>
      </c>
      <c r="AF4579"/>
      <c r="AG4579"/>
    </row>
    <row r="4580" spans="1:33" s="304" customFormat="1" ht="16.5" customHeight="1">
      <c r="A4580" s="309" t="str">
        <f>IF(B4580&lt;&gt;"",IF(AND(B4580='IN-TC'!$S$4,OR(TH!N4572="1111",TH!O4572="1111")),TH!D4572,""),"")</f>
        <v/>
      </c>
      <c r="B4580" s="1243">
        <f t="shared" si="1328"/>
        <v>7</v>
      </c>
      <c r="C4580" s="292">
        <f t="shared" si="1327"/>
        <v>42945</v>
      </c>
      <c r="D4580" s="292"/>
      <c r="E4580" s="292">
        <v>42945</v>
      </c>
      <c r="F4580" s="67" t="s">
        <v>1165</v>
      </c>
      <c r="G4580" s="925" t="s">
        <v>2141</v>
      </c>
      <c r="H4580" s="294" t="s">
        <v>1684</v>
      </c>
      <c r="I4580" s="373"/>
      <c r="J4580" s="926"/>
      <c r="K4580" s="373"/>
      <c r="L4580" s="379"/>
      <c r="M4580" s="927">
        <v>19762050</v>
      </c>
      <c r="N4580" s="295" t="s">
        <v>8</v>
      </c>
      <c r="O4580" s="295" t="s">
        <v>63</v>
      </c>
      <c r="P4580" s="75" t="str">
        <f>IF(AND('331-CT'!$E$7=TH!H3782,OR(N4580="331",O4580="331")),"x","")</f>
        <v/>
      </c>
      <c r="Q4580" s="75" t="str">
        <f>IF(AND(B4580='111'!$L$11,OR($N4580=$Q$7,$O4580=$Q$7)),"x","")</f>
        <v/>
      </c>
      <c r="R4580" s="75" t="str">
        <f>IF(AND($N4580=$Q$7,$B4580&lt;'111'!$L$11),"x","")</f>
        <v/>
      </c>
      <c r="S4580" s="75" t="str">
        <f>IF(AND($O4580=$Q$7,$B4580&lt;'111'!$L$11),"x","")</f>
        <v>x</v>
      </c>
      <c r="T4580" s="75" t="str">
        <f>IF(ISERROR(FIND('112'!$M$9,G4580,1)),"",IF((AND(FIND('112'!$M$9,G4580,1)&gt;=1,B4580='112'!$K$9,OR($N4580='112'!$I$6,$O4580='112'!$I$6))),"x",""))</f>
        <v/>
      </c>
      <c r="U4580" s="75" t="str">
        <f>IF(ISERROR(FIND('112'!$M$9,G4580,1)),"",IF((AND(LEFT(G4580,2)=LEFT('112'!$M$9,2),B4580&lt;'112'!$K$9,$N4580='112'!$I$6)),"x",""))</f>
        <v/>
      </c>
      <c r="V4580" s="75" t="str">
        <f>IF(ISERROR(FIND('112'!$M$9,G4580,1)),"",IF((AND(RIGHT(G4580,2)=RIGHT('112'!$M$9,2),B4580&lt;'112'!$K$9,$O4580='112'!$I$6)),"x",""))</f>
        <v/>
      </c>
      <c r="W4580" s="75" t="str">
        <f>IF(AND('341-CT'!$H$9=H4580,OR(LEFT(N4580,3)=$W$7,LEFT(O4580,3)=$W$7)),"x","")</f>
        <v/>
      </c>
      <c r="X4580" s="75" t="str">
        <f>IF(OR(TH!N3782=TH!$X$7,O4580=TH!$X$7),"x","")</f>
        <v/>
      </c>
      <c r="Y4580" s="75" t="str">
        <f>IF(AND(OR(N4580="131",O4580="131"),H4580='131-CT'!$H$9),"x","")</f>
        <v/>
      </c>
      <c r="Z4580" s="75"/>
      <c r="AA4580" s="75" t="str">
        <f>IF(AND(MONTH(E4580)='IN-NX'!$J$5,'IN-NX'!$D$7=D4580),"x","")</f>
        <v/>
      </c>
      <c r="AB4580" s="75" t="str">
        <f>IF(AND(OR(LEFT(TH!N3782,2)="15",LEFT(TH!O3782,2)="15"),LEFT(TH!O3782,3)&lt;&gt;"111",'152-CT'!$J$8=TH!F3782),"x","")</f>
        <v/>
      </c>
      <c r="AC4580" s="75" t="str">
        <f>IF(AND(OR(LEFT(TH!N3782,2)="15",LEFT(TH!O3782,2)="15"),TK!$E$7=TH!F3782),"x","")</f>
        <v/>
      </c>
      <c r="AD4580" s="75" t="str">
        <f>IF(AND(N4580="1521",MONTH(C4580)='BK-NL'!$M$11),"x","")</f>
        <v/>
      </c>
      <c r="AE4580"/>
      <c r="AF4580"/>
      <c r="AG4580"/>
    </row>
    <row r="4581" spans="1:33" ht="16.5" customHeight="1">
      <c r="A4581" s="309" t="str">
        <f>IF(B4581&lt;&gt;"",IF(AND(B4581='IN-TC'!$S$4,OR(TH!N4573="1111",TH!O4573="1111")),TH!D4573,""),"")</f>
        <v/>
      </c>
      <c r="B4581" s="1243">
        <f t="shared" si="1328"/>
        <v>7</v>
      </c>
      <c r="C4581" s="292">
        <f t="shared" si="1327"/>
        <v>42945</v>
      </c>
      <c r="D4581" s="292"/>
      <c r="E4581" s="292">
        <v>42945</v>
      </c>
      <c r="F4581" s="67" t="s">
        <v>1029</v>
      </c>
      <c r="G4581" s="925" t="s">
        <v>2241</v>
      </c>
      <c r="H4581" s="294" t="s">
        <v>948</v>
      </c>
      <c r="I4581" s="373"/>
      <c r="J4581" s="926"/>
      <c r="K4581" s="373"/>
      <c r="L4581" s="379"/>
      <c r="M4581" s="927">
        <v>17681818</v>
      </c>
      <c r="N4581" s="295" t="s">
        <v>539</v>
      </c>
      <c r="O4581" s="295" t="s">
        <v>63</v>
      </c>
      <c r="P4581" s="75" t="str">
        <f>IF(AND('331-CT'!$E$7=TH!H3783,OR(N4581="331",O4581="331")),"x","")</f>
        <v/>
      </c>
      <c r="Q4581" s="75" t="str">
        <f>IF(AND(B4581='111'!$L$11,OR($N4581=$Q$7,$O4581=$Q$7)),"x","")</f>
        <v/>
      </c>
      <c r="R4581" s="75" t="str">
        <f>IF(AND($N4581=$Q$7,$B4581&lt;'111'!$L$11),"x","")</f>
        <v/>
      </c>
      <c r="S4581" s="75" t="str">
        <f>IF(AND($O4581=$Q$7,$B4581&lt;'111'!$L$11),"x","")</f>
        <v>x</v>
      </c>
      <c r="T4581" s="75" t="str">
        <f>IF(ISERROR(FIND('112'!$M$9,G4581,1)),"",IF((AND(FIND('112'!$M$9,G4581,1)&gt;=1,B4581='112'!$K$9,OR($N4581='112'!$I$6,$O4581='112'!$I$6))),"x",""))</f>
        <v/>
      </c>
      <c r="U4581" s="75" t="str">
        <f>IF(ISERROR(FIND('112'!$M$9,G4581,1)),"",IF((AND(LEFT(G4581,2)=LEFT('112'!$M$9,2),B4581&lt;'112'!$K$9,$N4581='112'!$I$6)),"x",""))</f>
        <v/>
      </c>
      <c r="V4581" s="75" t="str">
        <f>IF(ISERROR(FIND('112'!$M$9,G4581,1)),"",IF((AND(RIGHT(G4581,2)=RIGHT('112'!$M$9,2),B4581&lt;'112'!$K$9,$O4581='112'!$I$6)),"x",""))</f>
        <v/>
      </c>
      <c r="W4581" s="75" t="str">
        <f>IF(AND('341-CT'!$H$9=H4581,OR(LEFT(N4581,3)=$W$7,LEFT(O4581,3)=$W$7)),"x","")</f>
        <v/>
      </c>
      <c r="X4581" s="75" t="str">
        <f>IF(OR(TH!N3783=TH!$X$7,O4581=TH!$X$7),"x","")</f>
        <v/>
      </c>
      <c r="Y4581" s="75" t="str">
        <f>IF(AND(OR(N4581="131",O4581="131"),H4581='131-CT'!$H$9),"x","")</f>
        <v/>
      </c>
      <c r="Z4581" s="75"/>
      <c r="AA4581" s="75" t="str">
        <f>IF(AND(MONTH(E4581)='IN-NX'!$J$5,'IN-NX'!$D$7=D4581),"x","")</f>
        <v/>
      </c>
      <c r="AB4581" s="75" t="str">
        <f>IF(AND(OR(LEFT(TH!N3783,2)="15",LEFT(TH!O3783,2)="15"),LEFT(TH!O3783,3)&lt;&gt;"111",'152-CT'!$J$8=TH!F3783),"x","")</f>
        <v/>
      </c>
      <c r="AC4581" s="75" t="str">
        <f>IF(AND(OR(LEFT(TH!N3783,2)="15",LEFT(TH!O3783,2)="15"),TK!$E$7=TH!F3783),"x","")</f>
        <v/>
      </c>
      <c r="AD4581" s="75" t="str">
        <f>IF(AND(N4581="1521",MONTH(C4581)='BK-NL'!$M$11),"x","")</f>
        <v/>
      </c>
      <c r="AE4581">
        <v>9</v>
      </c>
    </row>
    <row r="4582" spans="1:33" ht="16.5" customHeight="1">
      <c r="A4582" s="309" t="str">
        <f>IF(B4582&lt;&gt;"",IF(AND(B4582='IN-TC'!$S$4,OR(TH!N4574="1111",TH!O4574="1111")),TH!D4574,""),"")</f>
        <v/>
      </c>
      <c r="B4582" s="1243">
        <f t="shared" si="1328"/>
        <v>7</v>
      </c>
      <c r="C4582" s="292">
        <f t="shared" si="1327"/>
        <v>42945</v>
      </c>
      <c r="D4582" s="292"/>
      <c r="E4582" s="292">
        <v>42945</v>
      </c>
      <c r="F4582" s="67" t="s">
        <v>1030</v>
      </c>
      <c r="G4582" s="925" t="s">
        <v>2241</v>
      </c>
      <c r="H4582" s="294" t="s">
        <v>948</v>
      </c>
      <c r="I4582" s="373"/>
      <c r="J4582" s="926"/>
      <c r="K4582" s="373"/>
      <c r="L4582" s="379"/>
      <c r="M4582" s="927">
        <v>1768182</v>
      </c>
      <c r="N4582" s="295" t="s">
        <v>9</v>
      </c>
      <c r="O4582" s="295" t="s">
        <v>63</v>
      </c>
      <c r="P4582" s="75" t="str">
        <f>IF(AND('331-CT'!$E$7=TH!H3784,OR(N4582="331",O4582="331")),"x","")</f>
        <v/>
      </c>
      <c r="Q4582" s="75" t="str">
        <f>IF(AND(B4582='111'!$L$11,OR($N4582=$Q$7,$O4582=$Q$7)),"x","")</f>
        <v/>
      </c>
      <c r="R4582" s="75" t="str">
        <f>IF(AND($N4582=$Q$7,$B4582&lt;'111'!$L$11),"x","")</f>
        <v/>
      </c>
      <c r="S4582" s="75" t="str">
        <f>IF(AND($O4582=$Q$7,$B4582&lt;'111'!$L$11),"x","")</f>
        <v>x</v>
      </c>
      <c r="T4582" s="75" t="str">
        <f>IF(ISERROR(FIND('112'!$M$9,G4582,1)),"",IF((AND(FIND('112'!$M$9,G4582,1)&gt;=1,B4582='112'!$K$9,OR($N4582='112'!$I$6,$O4582='112'!$I$6))),"x",""))</f>
        <v/>
      </c>
      <c r="U4582" s="75" t="str">
        <f>IF(ISERROR(FIND('112'!$M$9,G4582,1)),"",IF((AND(LEFT(G4582,2)=LEFT('112'!$M$9,2),B4582&lt;'112'!$K$9,$N4582='112'!$I$6)),"x",""))</f>
        <v/>
      </c>
      <c r="V4582" s="75" t="str">
        <f>IF(ISERROR(FIND('112'!$M$9,G4582,1)),"",IF((AND(RIGHT(G4582,2)=RIGHT('112'!$M$9,2),B4582&lt;'112'!$K$9,$O4582='112'!$I$6)),"x",""))</f>
        <v/>
      </c>
      <c r="W4582" s="75" t="str">
        <f>IF(AND('341-CT'!$H$9=H4582,OR(LEFT(N4582,3)=$W$7,LEFT(O4582,3)=$W$7)),"x","")</f>
        <v/>
      </c>
      <c r="X4582" s="75" t="str">
        <f>IF(OR(TH!N3784=TH!$X$7,O4582=TH!$X$7),"x","")</f>
        <v/>
      </c>
      <c r="Y4582" s="75" t="str">
        <f>IF(AND(OR(N4582="131",O4582="131"),H4582='131-CT'!$H$9),"x","")</f>
        <v/>
      </c>
      <c r="Z4582" s="75"/>
      <c r="AA4582" s="75" t="str">
        <f>IF(AND(MONTH(E4582)='IN-NX'!$J$5,'IN-NX'!$D$7=D4582),"x","")</f>
        <v/>
      </c>
      <c r="AB4582" s="75" t="str">
        <f>IF(AND(OR(LEFT(TH!N3784,2)="15",LEFT(TH!O3784,2)="15"),LEFT(TH!O3784,3)&lt;&gt;"111",'152-CT'!$J$8=TH!F3784),"x","")</f>
        <v/>
      </c>
      <c r="AC4582" s="75" t="str">
        <f>IF(AND(OR(LEFT(TH!N3784,2)="15",LEFT(TH!O3784,2)="15"),TK!$E$7=TH!F3784),"x","")</f>
        <v/>
      </c>
      <c r="AD4582" s="75" t="str">
        <f>IF(AND(N4582="1521",MONTH(C4582)='BK-NL'!$M$11),"x","")</f>
        <v/>
      </c>
      <c r="AE4582">
        <v>9</v>
      </c>
    </row>
    <row r="4583" spans="1:33" ht="16.5" customHeight="1">
      <c r="A4583" s="309" t="str">
        <f>IF(B4583&lt;&gt;"",IF(AND(B4583='IN-TC'!$S$4,OR(TH!N4575="1111",TH!O4575="1111")),TH!D4575,""),"")</f>
        <v/>
      </c>
      <c r="B4583" s="1243">
        <f t="shared" si="1328"/>
        <v>7</v>
      </c>
      <c r="C4583" s="292">
        <f t="shared" si="1327"/>
        <v>42946</v>
      </c>
      <c r="D4583" s="292"/>
      <c r="E4583" s="292">
        <v>42946</v>
      </c>
      <c r="F4583" s="67" t="s">
        <v>1331</v>
      </c>
      <c r="G4583" s="925" t="s">
        <v>2245</v>
      </c>
      <c r="H4583" s="294" t="s">
        <v>1333</v>
      </c>
      <c r="I4583" s="373"/>
      <c r="J4583" s="926"/>
      <c r="K4583" s="373"/>
      <c r="L4583" s="379"/>
      <c r="M4583" s="927">
        <v>10545455</v>
      </c>
      <c r="N4583" s="295" t="s">
        <v>539</v>
      </c>
      <c r="O4583" s="295" t="s">
        <v>63</v>
      </c>
      <c r="P4583" s="75" t="str">
        <f>IF(AND('331-CT'!$E$7=TH!H3785,OR(N4583="331",O4583="331")),"x","")</f>
        <v/>
      </c>
      <c r="Q4583" s="75" t="str">
        <f>IF(AND(B4583='111'!$L$11,OR($N4583=$Q$7,$O4583=$Q$7)),"x","")</f>
        <v/>
      </c>
      <c r="R4583" s="75" t="str">
        <f>IF(AND($N4583=$Q$7,$B4583&lt;'111'!$L$11),"x","")</f>
        <v/>
      </c>
      <c r="S4583" s="75" t="str">
        <f>IF(AND($O4583=$Q$7,$B4583&lt;'111'!$L$11),"x","")</f>
        <v>x</v>
      </c>
      <c r="T4583" s="75" t="str">
        <f>IF(ISERROR(FIND('112'!$M$9,G4583,1)),"",IF((AND(FIND('112'!$M$9,G4583,1)&gt;=1,B4583='112'!$K$9,OR($N4583='112'!$I$6,$O4583='112'!$I$6))),"x",""))</f>
        <v/>
      </c>
      <c r="U4583" s="75" t="str">
        <f>IF(ISERROR(FIND('112'!$M$9,G4583,1)),"",IF((AND(LEFT(G4583,2)=LEFT('112'!$M$9,2),B4583&lt;'112'!$K$9,$N4583='112'!$I$6)),"x",""))</f>
        <v/>
      </c>
      <c r="V4583" s="75" t="str">
        <f>IF(ISERROR(FIND('112'!$M$9,G4583,1)),"",IF((AND(RIGHT(G4583,2)=RIGHT('112'!$M$9,2),B4583&lt;'112'!$K$9,$O4583='112'!$I$6)),"x",""))</f>
        <v/>
      </c>
      <c r="W4583" s="75" t="str">
        <f>IF(AND('341-CT'!$H$9=H4583,OR(LEFT(N4583,3)=$W$7,LEFT(O4583,3)=$W$7)),"x","")</f>
        <v/>
      </c>
      <c r="X4583" s="75" t="str">
        <f>IF(OR(TH!N3785=TH!$X$7,O4583=TH!$X$7),"x","")</f>
        <v/>
      </c>
      <c r="Y4583" s="75" t="str">
        <f>IF(AND(OR(N4583="131",O4583="131"),H4583='131-CT'!$H$9),"x","")</f>
        <v/>
      </c>
      <c r="Z4583" s="75"/>
      <c r="AA4583" s="75" t="str">
        <f>IF(AND(MONTH(E4583)='IN-NX'!$J$5,'IN-NX'!$D$7=D4583),"x","")</f>
        <v/>
      </c>
      <c r="AB4583" s="75" t="str">
        <f>IF(AND(OR(LEFT(TH!N3785,2)="15",LEFT(TH!O3785,2)="15"),LEFT(TH!O3785,3)&lt;&gt;"111",'152-CT'!$J$8=TH!F3785),"x","")</f>
        <v/>
      </c>
      <c r="AC4583" s="75" t="str">
        <f>IF(AND(OR(LEFT(TH!N3785,2)="15",LEFT(TH!O3785,2)="15"),TK!$E$7=TH!F3785),"x","")</f>
        <v/>
      </c>
      <c r="AD4583" s="75" t="str">
        <f>IF(AND(N4583="1521",MONTH(C4583)='BK-NL'!$M$11),"x","")</f>
        <v/>
      </c>
      <c r="AE4583">
        <v>9</v>
      </c>
    </row>
    <row r="4584" spans="1:33" s="1053" customFormat="1" ht="16.5" customHeight="1">
      <c r="A4584" s="309" t="str">
        <f>IF(B4584&lt;&gt;"",IF(AND(B4584='IN-TC'!$S$4,OR(TH!N4576="1111",TH!O4576="1111")),TH!D4576,""),"")</f>
        <v/>
      </c>
      <c r="B4584" s="1243">
        <f t="shared" si="1328"/>
        <v>7</v>
      </c>
      <c r="C4584" s="292">
        <f t="shared" si="1327"/>
        <v>42946</v>
      </c>
      <c r="D4584" s="292"/>
      <c r="E4584" s="292">
        <v>42946</v>
      </c>
      <c r="F4584" s="67" t="s">
        <v>1332</v>
      </c>
      <c r="G4584" s="925" t="s">
        <v>2245</v>
      </c>
      <c r="H4584" s="294" t="s">
        <v>1333</v>
      </c>
      <c r="I4584" s="373"/>
      <c r="J4584" s="926"/>
      <c r="K4584" s="373"/>
      <c r="L4584" s="379"/>
      <c r="M4584" s="927">
        <v>1054545</v>
      </c>
      <c r="N4584" s="295" t="s">
        <v>9</v>
      </c>
      <c r="O4584" s="295" t="s">
        <v>63</v>
      </c>
      <c r="P4584" s="75" t="str">
        <f>IF(AND('331-CT'!$E$7=TH!H3786,OR(N4584="331",O4584="331")),"x","")</f>
        <v/>
      </c>
      <c r="Q4584" s="75" t="str">
        <f>IF(AND(B4584='111'!$L$11,OR($N4584=$Q$7,$O4584=$Q$7)),"x","")</f>
        <v/>
      </c>
      <c r="R4584" s="75" t="str">
        <f>IF(AND($N4584=$Q$7,$B4584&lt;'111'!$L$11),"x","")</f>
        <v/>
      </c>
      <c r="S4584" s="75" t="str">
        <f>IF(AND($O4584=$Q$7,$B4584&lt;'111'!$L$11),"x","")</f>
        <v>x</v>
      </c>
      <c r="T4584" s="75" t="str">
        <f>IF(ISERROR(FIND('112'!$M$9,G4584,1)),"",IF((AND(FIND('112'!$M$9,G4584,1)&gt;=1,B4584='112'!$K$9,OR($N4584='112'!$I$6,$O4584='112'!$I$6))),"x",""))</f>
        <v/>
      </c>
      <c r="U4584" s="75" t="str">
        <f>IF(ISERROR(FIND('112'!$M$9,G4584,1)),"",IF((AND(LEFT(G4584,2)=LEFT('112'!$M$9,2),B4584&lt;'112'!$K$9,$N4584='112'!$I$6)),"x",""))</f>
        <v/>
      </c>
      <c r="V4584" s="75" t="str">
        <f>IF(ISERROR(FIND('112'!$M$9,G4584,1)),"",IF((AND(RIGHT(G4584,2)=RIGHT('112'!$M$9,2),B4584&lt;'112'!$K$9,$O4584='112'!$I$6)),"x",""))</f>
        <v/>
      </c>
      <c r="W4584" s="75" t="str">
        <f>IF(AND('341-CT'!$H$9=H4584,OR(LEFT(N4584,3)=$W$7,LEFT(O4584,3)=$W$7)),"x","")</f>
        <v/>
      </c>
      <c r="X4584" s="75" t="str">
        <f>IF(OR(TH!N3786=TH!$X$7,O4584=TH!$X$7),"x","")</f>
        <v/>
      </c>
      <c r="Y4584" s="75" t="str">
        <f>IF(AND(OR(N4584="131",O4584="131"),H4584='131-CT'!$H$9),"x","")</f>
        <v/>
      </c>
      <c r="Z4584" s="75"/>
      <c r="AA4584" s="75" t="str">
        <f>IF(AND(MONTH(E4584)='IN-NX'!$J$5,'IN-NX'!$D$7=D4584),"x","")</f>
        <v/>
      </c>
      <c r="AB4584" s="75" t="str">
        <f>IF(AND(OR(LEFT(TH!N3786,2)="15",LEFT(TH!O3786,2)="15"),LEFT(TH!O3786,3)&lt;&gt;"111",'152-CT'!$J$8=TH!F3786),"x","")</f>
        <v/>
      </c>
      <c r="AC4584" s="75" t="str">
        <f>IF(AND(OR(LEFT(TH!N3786,2)="15",LEFT(TH!O3786,2)="15"),TK!$E$7=TH!F3786),"x","")</f>
        <v/>
      </c>
      <c r="AD4584" s="75" t="str">
        <f>IF(AND(N4584="1521",MONTH(C4584)='BK-NL'!$M$11),"x","")</f>
        <v/>
      </c>
      <c r="AE4584">
        <v>9</v>
      </c>
      <c r="AF4584"/>
      <c r="AG4584"/>
    </row>
    <row r="4585" spans="1:33" s="1053" customFormat="1" ht="16.5" customHeight="1">
      <c r="A4585" s="309" t="str">
        <f>IF(B4585&lt;&gt;"",IF(AND(B4585='IN-TC'!$S$4,OR(TH!N4577="1111",TH!O4577="1111")),TH!D4577,""),"")</f>
        <v/>
      </c>
      <c r="B4585" s="1243">
        <f t="shared" si="1328"/>
        <v>7</v>
      </c>
      <c r="C4585" s="292">
        <f t="shared" si="1327"/>
        <v>42946</v>
      </c>
      <c r="D4585" s="292"/>
      <c r="E4585" s="292">
        <v>42946</v>
      </c>
      <c r="F4585" s="67" t="s">
        <v>2242</v>
      </c>
      <c r="G4585" s="925" t="s">
        <v>2244</v>
      </c>
      <c r="H4585" s="294" t="s">
        <v>948</v>
      </c>
      <c r="I4585" s="373"/>
      <c r="J4585" s="926"/>
      <c r="K4585" s="373"/>
      <c r="L4585" s="379"/>
      <c r="M4585" s="927">
        <v>4209091</v>
      </c>
      <c r="N4585" s="295" t="s">
        <v>539</v>
      </c>
      <c r="O4585" s="295" t="s">
        <v>63</v>
      </c>
      <c r="P4585" s="75" t="str">
        <f>IF(AND('331-CT'!$E$7=TH!H3787,OR(N4585="331",O4585="331")),"x","")</f>
        <v/>
      </c>
      <c r="Q4585" s="75" t="str">
        <f>IF(AND(B4585='111'!$L$11,OR($N4585=$Q$7,$O4585=$Q$7)),"x","")</f>
        <v/>
      </c>
      <c r="R4585" s="75" t="str">
        <f>IF(AND($N4585=$Q$7,$B4585&lt;'111'!$L$11),"x","")</f>
        <v/>
      </c>
      <c r="S4585" s="75" t="str">
        <f>IF(AND($O4585=$Q$7,$B4585&lt;'111'!$L$11),"x","")</f>
        <v>x</v>
      </c>
      <c r="T4585" s="75" t="str">
        <f>IF(ISERROR(FIND('112'!$M$9,G4585,1)),"",IF((AND(FIND('112'!$M$9,G4585,1)&gt;=1,B4585='112'!$K$9,OR($N4585='112'!$I$6,$O4585='112'!$I$6))),"x",""))</f>
        <v/>
      </c>
      <c r="U4585" s="75" t="str">
        <f>IF(ISERROR(FIND('112'!$M$9,G4585,1)),"",IF((AND(LEFT(G4585,2)=LEFT('112'!$M$9,2),B4585&lt;'112'!$K$9,$N4585='112'!$I$6)),"x",""))</f>
        <v/>
      </c>
      <c r="V4585" s="75" t="str">
        <f>IF(ISERROR(FIND('112'!$M$9,G4585,1)),"",IF((AND(RIGHT(G4585,2)=RIGHT('112'!$M$9,2),B4585&lt;'112'!$K$9,$O4585='112'!$I$6)),"x",""))</f>
        <v/>
      </c>
      <c r="W4585" s="75" t="str">
        <f>IF(AND('341-CT'!$H$9=H4585,OR(LEFT(N4585,3)=$W$7,LEFT(O4585,3)=$W$7)),"x","")</f>
        <v/>
      </c>
      <c r="X4585" s="75" t="str">
        <f>IF(OR(TH!N3787=TH!$X$7,O4585=TH!$X$7),"x","")</f>
        <v/>
      </c>
      <c r="Y4585" s="75" t="str">
        <f>IF(AND(OR(N4585="131",O4585="131"),H4585='131-CT'!$H$9),"x","")</f>
        <v/>
      </c>
      <c r="Z4585" s="75"/>
      <c r="AA4585" s="75" t="str">
        <f>IF(AND(MONTH(E4585)='IN-NX'!$J$5,'IN-NX'!$D$7=D4585),"x","")</f>
        <v/>
      </c>
      <c r="AB4585" s="75" t="str">
        <f>IF(AND(OR(LEFT(TH!N3787,2)="15",LEFT(TH!O3787,2)="15"),LEFT(TH!O3787,3)&lt;&gt;"111",'152-CT'!$J$8=TH!F3787),"x","")</f>
        <v/>
      </c>
      <c r="AC4585" s="75" t="str">
        <f>IF(AND(OR(LEFT(TH!N3787,2)="15",LEFT(TH!O3787,2)="15"),TK!$E$7=TH!F3787),"x","")</f>
        <v/>
      </c>
      <c r="AD4585" s="75" t="str">
        <f>IF(AND(N4585="1521",MONTH(C4585)='BK-NL'!$M$11),"x","")</f>
        <v/>
      </c>
      <c r="AE4585">
        <v>9</v>
      </c>
      <c r="AF4585"/>
      <c r="AG4585"/>
    </row>
    <row r="4586" spans="1:33" s="1053" customFormat="1" ht="16.5" customHeight="1">
      <c r="A4586" s="309" t="str">
        <f>IF(B4586&lt;&gt;"",IF(AND(B4586='IN-TC'!$S$4,OR(TH!N4578="1111",TH!O4578="1111")),TH!D4578,""),"")</f>
        <v/>
      </c>
      <c r="B4586" s="1243">
        <f t="shared" si="1328"/>
        <v>7</v>
      </c>
      <c r="C4586" s="292">
        <f t="shared" si="1327"/>
        <v>42946</v>
      </c>
      <c r="D4586" s="292"/>
      <c r="E4586" s="292">
        <v>42946</v>
      </c>
      <c r="F4586" s="67" t="s">
        <v>2243</v>
      </c>
      <c r="G4586" s="925" t="s">
        <v>2244</v>
      </c>
      <c r="H4586" s="294" t="s">
        <v>948</v>
      </c>
      <c r="I4586" s="373"/>
      <c r="J4586" s="926"/>
      <c r="K4586" s="373"/>
      <c r="L4586" s="379"/>
      <c r="M4586" s="927">
        <v>420909</v>
      </c>
      <c r="N4586" s="295" t="s">
        <v>9</v>
      </c>
      <c r="O4586" s="295" t="s">
        <v>63</v>
      </c>
      <c r="P4586" s="75" t="str">
        <f>IF(AND('331-CT'!$E$7=TH!H3788,OR(N4586="331",O4586="331")),"x","")</f>
        <v/>
      </c>
      <c r="Q4586" s="75" t="str">
        <f>IF(AND(B4586='111'!$L$11,OR($N4586=$Q$7,$O4586=$Q$7)),"x","")</f>
        <v/>
      </c>
      <c r="R4586" s="75" t="str">
        <f>IF(AND($N4586=$Q$7,$B4586&lt;'111'!$L$11),"x","")</f>
        <v/>
      </c>
      <c r="S4586" s="75" t="str">
        <f>IF(AND($O4586=$Q$7,$B4586&lt;'111'!$L$11),"x","")</f>
        <v>x</v>
      </c>
      <c r="T4586" s="75" t="str">
        <f>IF(ISERROR(FIND('112'!$M$9,G4586,1)),"",IF((AND(FIND('112'!$M$9,G4586,1)&gt;=1,B4586='112'!$K$9,OR($N4586='112'!$I$6,$O4586='112'!$I$6))),"x",""))</f>
        <v/>
      </c>
      <c r="U4586" s="75" t="str">
        <f>IF(ISERROR(FIND('112'!$M$9,G4586,1)),"",IF((AND(LEFT(G4586,2)=LEFT('112'!$M$9,2),B4586&lt;'112'!$K$9,$N4586='112'!$I$6)),"x",""))</f>
        <v/>
      </c>
      <c r="V4586" s="75" t="str">
        <f>IF(ISERROR(FIND('112'!$M$9,G4586,1)),"",IF((AND(RIGHT(G4586,2)=RIGHT('112'!$M$9,2),B4586&lt;'112'!$K$9,$O4586='112'!$I$6)),"x",""))</f>
        <v/>
      </c>
      <c r="W4586" s="75" t="str">
        <f>IF(AND('341-CT'!$H$9=H4586,OR(LEFT(N4586,3)=$W$7,LEFT(O4586,3)=$W$7)),"x","")</f>
        <v/>
      </c>
      <c r="X4586" s="75" t="str">
        <f>IF(OR(TH!N3788=TH!$X$7,O4586=TH!$X$7),"x","")</f>
        <v/>
      </c>
      <c r="Y4586" s="75" t="str">
        <f>IF(AND(OR(N4586="131",O4586="131"),H4586='131-CT'!$H$9),"x","")</f>
        <v/>
      </c>
      <c r="Z4586" s="75"/>
      <c r="AA4586" s="75" t="str">
        <f>IF(AND(MONTH(E4586)='IN-NX'!$J$5,'IN-NX'!$D$7=D4586),"x","")</f>
        <v/>
      </c>
      <c r="AB4586" s="75" t="str">
        <f>IF(AND(OR(LEFT(TH!N3788,2)="15",LEFT(TH!O3788,2)="15"),LEFT(TH!O3788,3)&lt;&gt;"111",'152-CT'!$J$8=TH!F3788),"x","")</f>
        <v/>
      </c>
      <c r="AC4586" s="75" t="str">
        <f>IF(AND(OR(LEFT(TH!N3788,2)="15",LEFT(TH!O3788,2)="15"),TK!$E$7=TH!F3788),"x","")</f>
        <v/>
      </c>
      <c r="AD4586" s="75" t="str">
        <f>IF(AND(N4586="1521",MONTH(C4586)='BK-NL'!$M$11),"x","")</f>
        <v/>
      </c>
      <c r="AE4586">
        <v>9</v>
      </c>
      <c r="AF4586"/>
      <c r="AG4586"/>
    </row>
    <row r="4587" spans="1:33" s="304" customFormat="1" ht="16.5" customHeight="1">
      <c r="A4587" s="309" t="str">
        <f>IF(B4587&lt;&gt;"",IF(AND(B4587='IN-TC'!$S$4,OR(TH!N4579="1111",TH!O4579="1111")),TH!D4579,""),"")</f>
        <v/>
      </c>
      <c r="B4587" s="1243">
        <f t="shared" si="1328"/>
        <v>7</v>
      </c>
      <c r="C4587" s="292">
        <f t="shared" si="1327"/>
        <v>42947</v>
      </c>
      <c r="D4587" s="292"/>
      <c r="E4587" s="292">
        <v>42947</v>
      </c>
      <c r="F4587" s="67" t="s">
        <v>1499</v>
      </c>
      <c r="G4587" s="925" t="s">
        <v>1837</v>
      </c>
      <c r="H4587" s="294" t="s">
        <v>893</v>
      </c>
      <c r="I4587" s="373"/>
      <c r="J4587" s="926"/>
      <c r="K4587" s="373"/>
      <c r="L4587" s="379"/>
      <c r="M4587" s="927">
        <v>1177818</v>
      </c>
      <c r="N4587" s="295" t="s">
        <v>101</v>
      </c>
      <c r="O4587" s="295" t="s">
        <v>63</v>
      </c>
      <c r="P4587" s="75" t="str">
        <f>IF(AND('331-CT'!$E$7=TH!H3789,OR(N4587="331",O4587="331")),"x","")</f>
        <v/>
      </c>
      <c r="Q4587" s="75" t="str">
        <f>IF(AND(B4587='111'!$L$11,OR($N4587=$Q$7,$O4587=$Q$7)),"x","")</f>
        <v/>
      </c>
      <c r="R4587" s="75" t="str">
        <f>IF(AND($N4587=$Q$7,$B4587&lt;'111'!$L$11),"x","")</f>
        <v/>
      </c>
      <c r="S4587" s="75" t="str">
        <f>IF(AND($O4587=$Q$7,$B4587&lt;'111'!$L$11),"x","")</f>
        <v>x</v>
      </c>
      <c r="T4587" s="75" t="str">
        <f>IF(ISERROR(FIND('112'!$M$9,G4587,1)),"",IF((AND(FIND('112'!$M$9,G4587,1)&gt;=1,B4587='112'!$K$9,OR($N4587='112'!$I$6,$O4587='112'!$I$6))),"x",""))</f>
        <v/>
      </c>
      <c r="U4587" s="75" t="str">
        <f>IF(ISERROR(FIND('112'!$M$9,G4587,1)),"",IF((AND(LEFT(G4587,2)=LEFT('112'!$M$9,2),B4587&lt;'112'!$K$9,$N4587='112'!$I$6)),"x",""))</f>
        <v/>
      </c>
      <c r="V4587" s="75" t="str">
        <f>IF(ISERROR(FIND('112'!$M$9,G4587,1)),"",IF((AND(RIGHT(G4587,2)=RIGHT('112'!$M$9,2),B4587&lt;'112'!$K$9,$O4587='112'!$I$6)),"x",""))</f>
        <v/>
      </c>
      <c r="W4587" s="75" t="str">
        <f>IF(AND('341-CT'!$H$9=H4587,OR(LEFT(N4587,3)=$W$7,LEFT(O4587,3)=$W$7)),"x","")</f>
        <v/>
      </c>
      <c r="X4587" s="75" t="str">
        <f>IF(OR(TH!N3789=TH!$X$7,O4587=TH!$X$7),"x","")</f>
        <v/>
      </c>
      <c r="Y4587" s="75" t="str">
        <f>IF(AND(OR(N4587="131",O4587="131"),H4587='131-CT'!$H$9),"x","")</f>
        <v/>
      </c>
      <c r="Z4587" s="75"/>
      <c r="AA4587" s="75" t="str">
        <f>IF(AND(MONTH(E4587)='IN-NX'!$J$5,'IN-NX'!$D$7=D4587),"x","")</f>
        <v/>
      </c>
      <c r="AB4587" s="75" t="str">
        <f>IF(AND(OR(LEFT(TH!N3789,2)="15",LEFT(TH!O3789,2)="15"),LEFT(TH!O3789,3)&lt;&gt;"111",'152-CT'!$J$8=TH!F3789),"x","")</f>
        <v/>
      </c>
      <c r="AC4587" s="75" t="str">
        <f>IF(AND(OR(LEFT(TH!N3789,2)="15",LEFT(TH!O3789,2)="15"),TK!$E$7=TH!F3789),"x","")</f>
        <v/>
      </c>
      <c r="AD4587" s="75" t="str">
        <f>IF(AND(N4587="1521",MONTH(C4587)='BK-NL'!$M$11),"x","")</f>
        <v/>
      </c>
      <c r="AE4587"/>
      <c r="AF4587"/>
      <c r="AG4587"/>
    </row>
    <row r="4588" spans="1:33" ht="16.5" customHeight="1">
      <c r="A4588" s="309" t="str">
        <f>IF(B4588&lt;&gt;"",IF(AND(B4588='IN-TC'!$S$4,OR(TH!N4580="1111",TH!O4580="1111")),TH!D4580,""),"")</f>
        <v/>
      </c>
      <c r="B4588" s="1243">
        <f t="shared" si="1328"/>
        <v>7</v>
      </c>
      <c r="C4588" s="292">
        <f t="shared" si="1327"/>
        <v>42947</v>
      </c>
      <c r="D4588" s="292"/>
      <c r="E4588" s="292">
        <v>42947</v>
      </c>
      <c r="F4588" s="67" t="s">
        <v>1500</v>
      </c>
      <c r="G4588" s="925" t="s">
        <v>1837</v>
      </c>
      <c r="H4588" s="294" t="s">
        <v>893</v>
      </c>
      <c r="I4588" s="373"/>
      <c r="J4588" s="926"/>
      <c r="K4588" s="373"/>
      <c r="L4588" s="379"/>
      <c r="M4588" s="927">
        <v>117782</v>
      </c>
      <c r="N4588" s="295" t="s">
        <v>9</v>
      </c>
      <c r="O4588" s="295" t="s">
        <v>63</v>
      </c>
      <c r="P4588" s="75" t="str">
        <f>IF(AND('331-CT'!$E$7=TH!H3790,OR(N4588="331",O4588="331")),"x","")</f>
        <v/>
      </c>
      <c r="Q4588" s="75" t="str">
        <f>IF(AND(B4588='111'!$L$11,OR($N4588=$Q$7,$O4588=$Q$7)),"x","")</f>
        <v/>
      </c>
      <c r="R4588" s="75" t="str">
        <f>IF(AND($N4588=$Q$7,$B4588&lt;'111'!$L$11),"x","")</f>
        <v/>
      </c>
      <c r="S4588" s="75" t="str">
        <f>IF(AND($O4588=$Q$7,$B4588&lt;'111'!$L$11),"x","")</f>
        <v>x</v>
      </c>
      <c r="T4588" s="75" t="str">
        <f>IF(ISERROR(FIND('112'!$M$9,G4588,1)),"",IF((AND(FIND('112'!$M$9,G4588,1)&gt;=1,B4588='112'!$K$9,OR($N4588='112'!$I$6,$O4588='112'!$I$6))),"x",""))</f>
        <v/>
      </c>
      <c r="U4588" s="75" t="str">
        <f>IF(ISERROR(FIND('112'!$M$9,G4588,1)),"",IF((AND(LEFT(G4588,2)=LEFT('112'!$M$9,2),B4588&lt;'112'!$K$9,$N4588='112'!$I$6)),"x",""))</f>
        <v/>
      </c>
      <c r="V4588" s="75" t="str">
        <f>IF(ISERROR(FIND('112'!$M$9,G4588,1)),"",IF((AND(RIGHT(G4588,2)=RIGHT('112'!$M$9,2),B4588&lt;'112'!$K$9,$O4588='112'!$I$6)),"x",""))</f>
        <v/>
      </c>
      <c r="W4588" s="75" t="str">
        <f>IF(AND('341-CT'!$H$9=H4588,OR(LEFT(N4588,3)=$W$7,LEFT(O4588,3)=$W$7)),"x","")</f>
        <v/>
      </c>
      <c r="X4588" s="75" t="str">
        <f>IF(OR(TH!N3790=TH!$X$7,O4588=TH!$X$7),"x","")</f>
        <v/>
      </c>
      <c r="Y4588" s="75" t="str">
        <f>IF(AND(OR(N4588="131",O4588="131"),H4588='131-CT'!$H$9),"x","")</f>
        <v/>
      </c>
      <c r="Z4588" s="75"/>
      <c r="AA4588" s="75" t="str">
        <f>IF(AND(MONTH(E4588)='IN-NX'!$J$5,'IN-NX'!$D$7=D4588),"x","")</f>
        <v/>
      </c>
      <c r="AB4588" s="75" t="str">
        <f>IF(AND(OR(LEFT(TH!N3790,2)="15",LEFT(TH!O3790,2)="15"),LEFT(TH!O3790,3)&lt;&gt;"111",'152-CT'!$J$8=TH!F3790),"x","")</f>
        <v/>
      </c>
      <c r="AC4588" s="75" t="str">
        <f>IF(AND(OR(LEFT(TH!N3790,2)="15",LEFT(TH!O3790,2)="15"),TK!$E$7=TH!F3790),"x","")</f>
        <v/>
      </c>
      <c r="AD4588" s="75" t="str">
        <f>IF(AND(N4588="1521",MONTH(C4588)='BK-NL'!$M$11),"x","")</f>
        <v/>
      </c>
      <c r="AE4588">
        <v>7</v>
      </c>
    </row>
    <row r="4589" spans="1:33" ht="16.5" customHeight="1">
      <c r="A4589" s="309" t="str">
        <f>IF(B4589&lt;&gt;"",IF(AND(B4589='IN-TC'!$S$4,OR(TH!N4581="1111",TH!O4581="1111")),TH!D4581,""),"")</f>
        <v/>
      </c>
      <c r="B4589" s="1243">
        <f t="shared" si="1328"/>
        <v>7</v>
      </c>
      <c r="C4589" s="292">
        <f t="shared" si="1327"/>
        <v>42947</v>
      </c>
      <c r="D4589" s="292"/>
      <c r="E4589" s="292">
        <v>42947</v>
      </c>
      <c r="F4589" s="67" t="s">
        <v>1838</v>
      </c>
      <c r="G4589" s="925" t="s">
        <v>1840</v>
      </c>
      <c r="H4589" s="294" t="s">
        <v>1032</v>
      </c>
      <c r="I4589" s="373"/>
      <c r="J4589" s="926"/>
      <c r="K4589" s="373"/>
      <c r="L4589" s="379"/>
      <c r="M4589" s="927">
        <v>99820</v>
      </c>
      <c r="N4589" s="295" t="s">
        <v>101</v>
      </c>
      <c r="O4589" s="295" t="s">
        <v>63</v>
      </c>
      <c r="P4589" s="75" t="str">
        <f>IF(AND('331-CT'!$E$7=TH!H3791,OR(N4589="331",O4589="331")),"x","")</f>
        <v/>
      </c>
      <c r="Q4589" s="75" t="str">
        <f>IF(AND(B4589='111'!$L$11,OR($N4589=$Q$7,$O4589=$Q$7)),"x","")</f>
        <v/>
      </c>
      <c r="R4589" s="75" t="str">
        <f>IF(AND($N4589=$Q$7,$B4589&lt;'111'!$L$11),"x","")</f>
        <v/>
      </c>
      <c r="S4589" s="75" t="str">
        <f>IF(AND($O4589=$Q$7,$B4589&lt;'111'!$L$11),"x","")</f>
        <v>x</v>
      </c>
      <c r="T4589" s="75" t="str">
        <f>IF(ISERROR(FIND('112'!$M$9,G4589,1)),"",IF((AND(FIND('112'!$M$9,G4589,1)&gt;=1,B4589='112'!$K$9,OR($N4589='112'!$I$6,$O4589='112'!$I$6))),"x",""))</f>
        <v/>
      </c>
      <c r="U4589" s="75" t="str">
        <f>IF(ISERROR(FIND('112'!$M$9,G4589,1)),"",IF((AND(LEFT(G4589,2)=LEFT('112'!$M$9,2),B4589&lt;'112'!$K$9,$N4589='112'!$I$6)),"x",""))</f>
        <v/>
      </c>
      <c r="V4589" s="75" t="str">
        <f>IF(ISERROR(FIND('112'!$M$9,G4589,1)),"",IF((AND(RIGHT(G4589,2)=RIGHT('112'!$M$9,2),B4589&lt;'112'!$K$9,$O4589='112'!$I$6)),"x",""))</f>
        <v/>
      </c>
      <c r="W4589" s="75" t="str">
        <f>IF(AND('341-CT'!$H$9=H4589,OR(LEFT(N4589,3)=$W$7,LEFT(O4589,3)=$W$7)),"x","")</f>
        <v/>
      </c>
      <c r="X4589" s="75" t="str">
        <f>IF(OR(TH!N3791=TH!$X$7,O4589=TH!$X$7),"x","")</f>
        <v/>
      </c>
      <c r="Y4589" s="75" t="str">
        <f>IF(AND(OR(N4589="131",O4589="131"),H4589='131-CT'!$H$9),"x","")</f>
        <v/>
      </c>
      <c r="Z4589" s="75"/>
      <c r="AA4589" s="75" t="str">
        <f>IF(AND(MONTH(E4589)='IN-NX'!$J$5,'IN-NX'!$D$7=D4589),"x","")</f>
        <v/>
      </c>
      <c r="AB4589" s="75" t="str">
        <f>IF(AND(OR(LEFT(TH!N3791,2)="15",LEFT(TH!O3791,2)="15"),LEFT(TH!O3791,3)&lt;&gt;"111",'152-CT'!$J$8=TH!F3791),"x","")</f>
        <v/>
      </c>
      <c r="AC4589" s="75" t="str">
        <f>IF(AND(OR(LEFT(TH!N3791,2)="15",LEFT(TH!O3791,2)="15"),TK!$E$7=TH!F3791),"x","")</f>
        <v/>
      </c>
      <c r="AD4589" s="75" t="str">
        <f>IF(AND(N4589="1521",MONTH(C4589)='BK-NL'!$M$11),"x","")</f>
        <v/>
      </c>
    </row>
    <row r="4590" spans="1:33" ht="16.5" customHeight="1">
      <c r="A4590" s="309" t="str">
        <f>IF(B4590&lt;&gt;"",IF(AND(B4590='IN-TC'!$S$4,OR(TH!N4582="1111",TH!O4582="1111")),TH!D4582,""),"")</f>
        <v/>
      </c>
      <c r="B4590" s="1243">
        <f t="shared" si="1328"/>
        <v>7</v>
      </c>
      <c r="C4590" s="292">
        <f t="shared" si="1327"/>
        <v>42947</v>
      </c>
      <c r="D4590" s="292"/>
      <c r="E4590" s="292">
        <v>42947</v>
      </c>
      <c r="F4590" s="67" t="s">
        <v>1839</v>
      </c>
      <c r="G4590" s="925" t="s">
        <v>1840</v>
      </c>
      <c r="H4590" s="294" t="s">
        <v>1032</v>
      </c>
      <c r="I4590" s="373"/>
      <c r="J4590" s="926"/>
      <c r="K4590" s="373"/>
      <c r="L4590" s="379"/>
      <c r="M4590" s="927">
        <v>9982</v>
      </c>
      <c r="N4590" s="295" t="s">
        <v>9</v>
      </c>
      <c r="O4590" s="295" t="s">
        <v>63</v>
      </c>
      <c r="P4590" s="75" t="str">
        <f>IF(AND('331-CT'!$E$7=TH!H3792,OR(N4590="331",O4590="331")),"x","")</f>
        <v/>
      </c>
      <c r="Q4590" s="75" t="str">
        <f>IF(AND(B4590='111'!$L$11,OR($N4590=$Q$7,$O4590=$Q$7)),"x","")</f>
        <v/>
      </c>
      <c r="R4590" s="75" t="str">
        <f>IF(AND($N4590=$Q$7,$B4590&lt;'111'!$L$11),"x","")</f>
        <v/>
      </c>
      <c r="S4590" s="75" t="str">
        <f>IF(AND($O4590=$Q$7,$B4590&lt;'111'!$L$11),"x","")</f>
        <v>x</v>
      </c>
      <c r="T4590" s="75" t="str">
        <f>IF(ISERROR(FIND('112'!$M$9,G4590,1)),"",IF((AND(FIND('112'!$M$9,G4590,1)&gt;=1,B4590='112'!$K$9,OR($N4590='112'!$I$6,$O4590='112'!$I$6))),"x",""))</f>
        <v/>
      </c>
      <c r="U4590" s="75" t="str">
        <f>IF(ISERROR(FIND('112'!$M$9,G4590,1)),"",IF((AND(LEFT(G4590,2)=LEFT('112'!$M$9,2),B4590&lt;'112'!$K$9,$N4590='112'!$I$6)),"x",""))</f>
        <v/>
      </c>
      <c r="V4590" s="75" t="str">
        <f>IF(ISERROR(FIND('112'!$M$9,G4590,1)),"",IF((AND(RIGHT(G4590,2)=RIGHT('112'!$M$9,2),B4590&lt;'112'!$K$9,$O4590='112'!$I$6)),"x",""))</f>
        <v/>
      </c>
      <c r="W4590" s="75" t="str">
        <f>IF(AND('341-CT'!$H$9=H4590,OR(LEFT(N4590,3)=$W$7,LEFT(O4590,3)=$W$7)),"x","")</f>
        <v/>
      </c>
      <c r="X4590" s="75" t="str">
        <f>IF(OR(TH!N3792=TH!$X$7,O4590=TH!$X$7),"x","")</f>
        <v/>
      </c>
      <c r="Y4590" s="75" t="str">
        <f>IF(AND(OR(N4590="131",O4590="131"),H4590='131-CT'!$H$9),"x","")</f>
        <v/>
      </c>
      <c r="Z4590" s="75"/>
      <c r="AA4590" s="75" t="str">
        <f>IF(AND(MONTH(E4590)='IN-NX'!$J$5,'IN-NX'!$D$7=D4590),"x","")</f>
        <v/>
      </c>
      <c r="AB4590" s="75" t="str">
        <f>IF(AND(OR(LEFT(TH!N3792,2)="15",LEFT(TH!O3792,2)="15"),LEFT(TH!O3792,3)&lt;&gt;"111",'152-CT'!$J$8=TH!F3792),"x","")</f>
        <v/>
      </c>
      <c r="AC4590" s="75" t="str">
        <f>IF(AND(OR(LEFT(TH!N3792,2)="15",LEFT(TH!O3792,2)="15"),TK!$E$7=TH!F3792),"x","")</f>
        <v/>
      </c>
      <c r="AD4590" s="75" t="str">
        <f>IF(AND(N4590="1521",MONTH(C4590)='BK-NL'!$M$11),"x","")</f>
        <v/>
      </c>
      <c r="AE4590">
        <v>7</v>
      </c>
    </row>
    <row r="4591" spans="1:33" s="1267" customFormat="1" ht="16.5" customHeight="1">
      <c r="A4591" s="309" t="str">
        <f>IF(B4591&lt;&gt;"",IF(AND(B4591='IN-TC'!$S$4,OR(TH!N4583="1111",TH!O4583="1111")),TH!D4583,""),"")</f>
        <v/>
      </c>
      <c r="B4591" s="1243">
        <f t="shared" si="1328"/>
        <v>7</v>
      </c>
      <c r="C4591" s="292">
        <f t="shared" si="1327"/>
        <v>42947</v>
      </c>
      <c r="D4591" s="292"/>
      <c r="E4591" s="929">
        <v>42947</v>
      </c>
      <c r="F4591" s="73" t="s">
        <v>1841</v>
      </c>
      <c r="G4591" s="931"/>
      <c r="H4591" s="296" t="s">
        <v>980</v>
      </c>
      <c r="I4591" s="371"/>
      <c r="J4591" s="932"/>
      <c r="K4591" s="371"/>
      <c r="L4591" s="377"/>
      <c r="M4591" s="933">
        <f>61268843+42852104</f>
        <v>104120947</v>
      </c>
      <c r="N4591" s="934" t="s">
        <v>540</v>
      </c>
      <c r="O4591" s="934" t="s">
        <v>63</v>
      </c>
      <c r="P4591" s="75" t="str">
        <f>IF(AND('331-CT'!$E$7=TH!H3793,OR(N4591="331",O4591="331")),"x","")</f>
        <v/>
      </c>
      <c r="Q4591" s="75" t="str">
        <f>IF(AND(B4591='111'!$L$11,OR($N4591=$Q$7,$O4591=$Q$7)),"x","")</f>
        <v/>
      </c>
      <c r="R4591" s="75" t="str">
        <f>IF(AND($N4591=$Q$7,$B4591&lt;'111'!$L$11),"x","")</f>
        <v/>
      </c>
      <c r="S4591" s="75" t="str">
        <f>IF(AND($O4591=$Q$7,$B4591&lt;'111'!$L$11),"x","")</f>
        <v>x</v>
      </c>
      <c r="T4591" s="75" t="str">
        <f>IF(ISERROR(FIND('112'!$M$9,G4591,1)),"",IF((AND(FIND('112'!$M$9,G4591,1)&gt;=1,B4591='112'!$K$9,OR($N4591='112'!$I$6,$O4591='112'!$I$6))),"x",""))</f>
        <v/>
      </c>
      <c r="U4591" s="75" t="str">
        <f>IF(ISERROR(FIND('112'!$M$9,G4591,1)),"",IF((AND(LEFT(G4591,2)=LEFT('112'!$M$9,2),B4591&lt;'112'!$K$9,$N4591='112'!$I$6)),"x",""))</f>
        <v/>
      </c>
      <c r="V4591" s="75" t="str">
        <f>IF(ISERROR(FIND('112'!$M$9,G4591,1)),"",IF((AND(RIGHT(G4591,2)=RIGHT('112'!$M$9,2),B4591&lt;'112'!$K$9,$O4591='112'!$I$6)),"x",""))</f>
        <v/>
      </c>
      <c r="W4591" s="75" t="str">
        <f>IF(AND('341-CT'!$H$9=H4591,OR(LEFT(N4591,3)=$W$7,LEFT(O4591,3)=$W$7)),"x","")</f>
        <v/>
      </c>
      <c r="X4591" s="75" t="str">
        <f>IF(OR(TH!N3793=TH!$X$7,O4591=TH!$X$7),"x","")</f>
        <v/>
      </c>
      <c r="Y4591" s="75" t="str">
        <f>IF(AND(OR(N4591="131",O4591="131"),H4591='131-CT'!$H$9),"x","")</f>
        <v/>
      </c>
      <c r="Z4591" s="75"/>
      <c r="AA4591" s="75" t="str">
        <f>IF(AND(MONTH(E4591)='IN-NX'!$J$5,'IN-NX'!$D$7=D4591),"x","")</f>
        <v/>
      </c>
      <c r="AB4591" s="75" t="str">
        <f>IF(AND(OR(LEFT(TH!N3793,2)="15",LEFT(TH!O3793,2)="15"),LEFT(TH!O3793,3)&lt;&gt;"111",'152-CT'!$J$8=TH!F3793),"x","")</f>
        <v/>
      </c>
      <c r="AC4591" s="75" t="str">
        <f>IF(AND(OR(LEFT(TH!N3793,2)="15",LEFT(TH!O3793,2)="15"),TK!$E$7=TH!F3793),"x","")</f>
        <v/>
      </c>
      <c r="AD4591" s="75" t="str">
        <f>IF(AND(N4591="1521",MONTH(C4591)='BK-NL'!$M$11),"x","")</f>
        <v/>
      </c>
      <c r="AE4591"/>
      <c r="AF4591"/>
      <c r="AG4591"/>
    </row>
    <row r="4592" spans="1:33" ht="16.5" customHeight="1">
      <c r="A4592" s="309" t="str">
        <f>IF(B4592&lt;&gt;"",IF(AND(B4592='IN-TC'!$S$4,OR(TH!N4584="1111",TH!O4584="1111")),TH!D4584,""),"")</f>
        <v/>
      </c>
      <c r="B4592" s="1243">
        <f t="shared" si="1328"/>
        <v>7</v>
      </c>
      <c r="C4592" s="292">
        <f t="shared" si="1327"/>
        <v>42947</v>
      </c>
      <c r="D4592" s="59" t="s">
        <v>903</v>
      </c>
      <c r="E4592" s="59">
        <v>42947</v>
      </c>
      <c r="F4592" s="67" t="s">
        <v>914</v>
      </c>
      <c r="G4592" s="62" t="s">
        <v>1713</v>
      </c>
      <c r="H4592" s="67"/>
      <c r="I4592" s="375"/>
      <c r="J4592" s="381"/>
      <c r="K4592" s="375"/>
      <c r="L4592" s="379"/>
      <c r="M4592" s="60">
        <v>659657</v>
      </c>
      <c r="N4592" s="61" t="s">
        <v>26</v>
      </c>
      <c r="O4592" s="295" t="s">
        <v>43</v>
      </c>
      <c r="P4592" s="75" t="str">
        <f>IF(AND('331-CT'!$E$7=TH!H4457,OR(N4592="331",O4592="331")),"x","")</f>
        <v/>
      </c>
      <c r="Q4592" s="75" t="str">
        <f>IF(AND(B4592='111'!$L$11,OR($N4592=$Q$7,$O4592=$Q$7)),"x","")</f>
        <v/>
      </c>
      <c r="R4592" s="75" t="str">
        <f>IF(AND($N4592=$Q$7,$B4592&lt;'111'!$L$11),"x","")</f>
        <v/>
      </c>
      <c r="S4592" s="75" t="str">
        <f>IF(AND($O4592=$Q$7,$B4592&lt;'111'!$L$11),"x","")</f>
        <v/>
      </c>
      <c r="T4592" s="75" t="str">
        <f>IF(ISERROR(FIND('112'!$M$9,G4592,1)),"",IF((AND(FIND('112'!$M$9,G4592,1)&gt;=1,B4592='112'!$K$9,OR($N4592='112'!$I$6,$O4592='112'!$I$6))),"x",""))</f>
        <v/>
      </c>
      <c r="U4592" s="75" t="str">
        <f>IF(ISERROR(FIND('112'!$M$9,G4592,1)),"",IF((AND(LEFT(G4592,2)=LEFT('112'!$M$9,2),B4592&lt;'112'!$K$9,$N4592='112'!$I$6)),"x",""))</f>
        <v/>
      </c>
      <c r="V4592" s="75" t="str">
        <f>IF(ISERROR(FIND('112'!$M$9,G4592,1)),"",IF((AND(RIGHT(G4592,2)=RIGHT('112'!$M$9,2),B4592&lt;'112'!$K$9,$O4592='112'!$I$6)),"x",""))</f>
        <v/>
      </c>
      <c r="W4592" s="75" t="str">
        <f>IF(AND('341-CT'!$H$9=H4592,OR(LEFT(N4592,3)=$W$7,LEFT(O4592,3)=$W$7)),"x","")</f>
        <v/>
      </c>
      <c r="X4592" s="75" t="str">
        <f>IF(OR(TH!N4457=TH!$X$7,O4592=TH!$X$7),"x","")</f>
        <v/>
      </c>
      <c r="Y4592" s="75" t="str">
        <f>IF(AND(OR(N4592="131",O4592="131"),H4592='131-CT'!$H$9),"x","")</f>
        <v/>
      </c>
      <c r="Z4592" s="75"/>
      <c r="AA4592" s="75" t="str">
        <f>IF(AND(MONTH(E4592)='IN-NX'!$J$5,'IN-NX'!$D$7=D4592),"x","")</f>
        <v/>
      </c>
      <c r="AB4592" s="75" t="str">
        <f>IF(AND(OR(LEFT(TH!N4457,2)="15",LEFT(TH!O4457,2)="15"),LEFT(TH!O4457,3)&lt;&gt;"111",'152-CT'!$J$8=TH!F4457),"x","")</f>
        <v/>
      </c>
      <c r="AC4592" s="75" t="str">
        <f>IF(AND(OR(LEFT(TH!N4457,2)="15",LEFT(TH!O4457,2)="15"),TK!$E$7=TH!F4457),"x","")</f>
        <v/>
      </c>
      <c r="AD4592" s="75" t="str">
        <f>IF(AND(N4592="1521",MONTH(C4592)='BK-NL'!$M$11),"x","")</f>
        <v/>
      </c>
      <c r="AE4592" s="1053"/>
      <c r="AF4592" s="1053"/>
      <c r="AG4592" s="1053"/>
    </row>
    <row r="4593" spans="1:33" s="1053" customFormat="1" ht="16.5" customHeight="1">
      <c r="A4593" s="309" t="str">
        <f>IF(B4593&lt;&gt;"",IF(AND(B4593='IN-TC'!$S$4,OR(TH!N5700="1111",TH!O5700="1111")),TH!D5700,""),"")</f>
        <v/>
      </c>
      <c r="B4593" s="1339">
        <f t="shared" si="1328"/>
        <v>7</v>
      </c>
      <c r="C4593" s="292">
        <f t="shared" si="1327"/>
        <v>42947</v>
      </c>
      <c r="D4593" s="71"/>
      <c r="E4593" s="71">
        <v>42947</v>
      </c>
      <c r="F4593" s="72" t="s">
        <v>3010</v>
      </c>
      <c r="G4593" s="72" t="s">
        <v>332</v>
      </c>
      <c r="H4593" s="73" t="s">
        <v>1880</v>
      </c>
      <c r="I4593" s="371"/>
      <c r="J4593" s="377"/>
      <c r="K4593" s="371"/>
      <c r="L4593" s="377"/>
      <c r="M4593" s="74">
        <v>73425000</v>
      </c>
      <c r="N4593" s="75" t="s">
        <v>63</v>
      </c>
      <c r="O4593" s="75" t="s">
        <v>262</v>
      </c>
      <c r="P4593" s="75" t="str">
        <f>IF(AND('331-CT'!$E$7=TH!H5700,OR(N4593="331",O4593="331")),"x","")</f>
        <v/>
      </c>
      <c r="Q4593" s="75" t="str">
        <f>IF(AND(B4593='111'!$L$11,OR($N4593=$Q$7,$O4593=$Q$7)),"x","")</f>
        <v/>
      </c>
      <c r="R4593" s="75" t="str">
        <f>IF(AND($N4593=$Q$7,$B4593&lt;'111'!$L$11),"x","")</f>
        <v>x</v>
      </c>
      <c r="S4593" s="75" t="str">
        <f>IF(AND($O4593=$Q$7,$B4593&lt;'111'!$L$11),"x","")</f>
        <v/>
      </c>
      <c r="T4593" s="75" t="str">
        <f>IF(ISERROR(FIND('112'!$M$9,G4593,1)),"",IF((AND(FIND('112'!$M$9,G4593,1)&gt;=1,B4593='112'!$K$9,OR($N4593='112'!$I$6,$O4593='112'!$I$6))),"x",""))</f>
        <v/>
      </c>
      <c r="U4593" s="75" t="str">
        <f>IF(ISERROR(FIND('112'!$M$9,G4593,1)),"",IF((AND(LEFT(G4593,2)=LEFT('112'!$M$9,2),B4593&lt;'112'!$K$9,$N4593='112'!$I$6)),"x",""))</f>
        <v/>
      </c>
      <c r="V4593" s="75" t="str">
        <f>IF(ISERROR(FIND('112'!$M$9,G4593,1)),"",IF((AND(RIGHT(G4593,2)=RIGHT('112'!$M$9,2),B4593&lt;'112'!$K$9,$O4593='112'!$I$6)),"x",""))</f>
        <v/>
      </c>
      <c r="W4593" s="75" t="str">
        <f>IF(AND('341-CT'!$H$9=H4593,OR(LEFT(N4593,3)=$W$7,LEFT(O4593,3)=$W$7)),"x","")</f>
        <v/>
      </c>
      <c r="X4593" s="75" t="str">
        <f>IF(OR(TH!N5700=TH!$X$7,O4593=TH!$X$7),"x","")</f>
        <v>x</v>
      </c>
      <c r="Y4593" s="75" t="str">
        <f>IF(AND(OR(N4593="131",O4593="131"),H4593='131-CT'!$H$9),"x","")</f>
        <v/>
      </c>
      <c r="Z4593" s="75"/>
      <c r="AA4593" s="75" t="str">
        <f>IF(AND(MONTH(E4593)='IN-NX'!$J$5,'IN-NX'!$D$7=D4593),"x","")</f>
        <v/>
      </c>
      <c r="AB4593" s="75" t="str">
        <f>IF(AND(OR(LEFT(TH!N5700,2)="15",LEFT(TH!O5700,2)="15"),LEFT(TH!O5700,3)&lt;&gt;"111",'152-CT'!$J$8=TH!F5700),"x","")</f>
        <v/>
      </c>
      <c r="AC4593" s="75" t="str">
        <f>IF(AND(OR(LEFT(TH!N5700,2)="15",LEFT(TH!O5700,2)="15"),TK!$E$7=TH!F5700),"x","")</f>
        <v/>
      </c>
      <c r="AD4593" s="75" t="str">
        <f>IF(AND(N4593="1521",MONTH(C4593)='BK-NL'!$M$11),"x","")</f>
        <v/>
      </c>
      <c r="AE4593" s="1264"/>
      <c r="AF4593" s="1264"/>
      <c r="AG4593" s="1264"/>
    </row>
    <row r="4594" spans="1:33" s="1053" customFormat="1" ht="16.5" customHeight="1">
      <c r="A4594" s="309" t="str">
        <f>IF(B4594&lt;&gt;"",IF(AND(B4594='IN-TC'!$S$4,OR(TH!N5709="1111",TH!O5709="1111")),TH!D5709,""),"")</f>
        <v/>
      </c>
      <c r="B4594" s="1339">
        <f t="shared" si="1328"/>
        <v>7</v>
      </c>
      <c r="C4594" s="292">
        <f t="shared" si="1327"/>
        <v>42947</v>
      </c>
      <c r="D4594" s="71"/>
      <c r="E4594" s="71">
        <v>42947</v>
      </c>
      <c r="F4594" s="72" t="s">
        <v>3010</v>
      </c>
      <c r="G4594" s="72" t="s">
        <v>1899</v>
      </c>
      <c r="H4594" s="73" t="s">
        <v>1879</v>
      </c>
      <c r="I4594" s="371"/>
      <c r="J4594" s="378"/>
      <c r="K4594" s="371"/>
      <c r="L4594" s="377"/>
      <c r="M4594" s="74">
        <v>24410000</v>
      </c>
      <c r="N4594" s="75" t="s">
        <v>63</v>
      </c>
      <c r="O4594" s="75" t="s">
        <v>262</v>
      </c>
      <c r="P4594" s="75" t="str">
        <f>IF(AND('331-CT'!$E$7=TH!H5709,OR(N4594="331",O4594="331")),"x","")</f>
        <v/>
      </c>
      <c r="Q4594" s="75" t="str">
        <f>IF(AND(B4594='111'!$L$11,OR($N4594=$Q$7,$O4594=$Q$7)),"x","")</f>
        <v/>
      </c>
      <c r="R4594" s="75" t="str">
        <f>IF(AND($N4594=$Q$7,$B4594&lt;'111'!$L$11),"x","")</f>
        <v>x</v>
      </c>
      <c r="S4594" s="75" t="str">
        <f>IF(AND($O4594=$Q$7,$B4594&lt;'111'!$L$11),"x","")</f>
        <v/>
      </c>
      <c r="T4594" s="75" t="str">
        <f>IF(ISERROR(FIND('112'!$M$9,G4594,1)),"",IF((AND(FIND('112'!$M$9,G4594,1)&gt;=1,B4594='112'!$K$9,OR($N4594='112'!$I$6,$O4594='112'!$I$6))),"x",""))</f>
        <v/>
      </c>
      <c r="U4594" s="75" t="str">
        <f>IF(ISERROR(FIND('112'!$M$9,G4594,1)),"",IF((AND(LEFT(G4594,2)=LEFT('112'!$M$9,2),B4594&lt;'112'!$K$9,$N4594='112'!$I$6)),"x",""))</f>
        <v/>
      </c>
      <c r="V4594" s="75" t="str">
        <f>IF(ISERROR(FIND('112'!$M$9,G4594,1)),"",IF((AND(RIGHT(G4594,2)=RIGHT('112'!$M$9,2),B4594&lt;'112'!$K$9,$O4594='112'!$I$6)),"x",""))</f>
        <v/>
      </c>
      <c r="W4594" s="75" t="str">
        <f>IF(AND('341-CT'!$H$9=H4594,OR(LEFT(N4594,3)=$W$7,LEFT(O4594,3)=$W$7)),"x","")</f>
        <v/>
      </c>
      <c r="X4594" s="75" t="str">
        <f>IF(OR(TH!N5709=TH!$X$7,O4594=TH!$X$7),"x","")</f>
        <v>x</v>
      </c>
      <c r="Y4594" s="75" t="str">
        <f>IF(AND(OR(N4594="131",O4594="131"),H4594='131-CT'!$H$9),"x","")</f>
        <v/>
      </c>
      <c r="Z4594" s="75"/>
      <c r="AA4594" s="75" t="str">
        <f>IF(AND(MONTH(E4594)='IN-NX'!$J$5,'IN-NX'!$D$7=D4594),"x","")</f>
        <v/>
      </c>
      <c r="AB4594" s="75" t="str">
        <f>IF(AND(OR(LEFT(TH!N5709,2)="15",LEFT(TH!O5709,2)="15"),LEFT(TH!O5709,3)&lt;&gt;"111",'152-CT'!$J$8=TH!F5709),"x","")</f>
        <v/>
      </c>
      <c r="AC4594" s="75" t="str">
        <f>IF(AND(OR(LEFT(TH!N5709,2)="15",LEFT(TH!O5709,2)="15"),TK!$E$7=TH!F5709),"x","")</f>
        <v/>
      </c>
      <c r="AD4594" s="75" t="str">
        <f>IF(AND(N4594="1521",MONTH(C4594)='BK-NL'!$M$11),"x","")</f>
        <v/>
      </c>
      <c r="AE4594" s="1264"/>
      <c r="AF4594" s="1264"/>
      <c r="AG4594" s="1264"/>
    </row>
    <row r="4595" spans="1:33" ht="16.5" customHeight="1">
      <c r="A4595" s="309" t="str">
        <f>IF(B4595&lt;&gt;"",IF(AND(B4595='IN-TC'!$S$4,OR(TH!N4585="1111",TH!O4585="1111")),TH!D4585,""),"")</f>
        <v/>
      </c>
      <c r="B4595" s="1129">
        <f t="shared" si="1328"/>
        <v>8</v>
      </c>
      <c r="C4595" s="292">
        <f t="shared" ref="C4595:C4658" si="1329">E4595</f>
        <v>42948</v>
      </c>
      <c r="D4595" s="292" t="s">
        <v>833</v>
      </c>
      <c r="E4595" s="292">
        <v>42948</v>
      </c>
      <c r="F4595" s="293" t="s">
        <v>834</v>
      </c>
      <c r="G4595" s="943" t="s">
        <v>747</v>
      </c>
      <c r="H4595" s="67" t="s">
        <v>1023</v>
      </c>
      <c r="I4595" s="373"/>
      <c r="J4595" s="926"/>
      <c r="K4595" s="373"/>
      <c r="L4595" s="379"/>
      <c r="M4595" s="927">
        <v>1400000000</v>
      </c>
      <c r="N4595" s="295" t="s">
        <v>63</v>
      </c>
      <c r="O4595" s="295" t="s">
        <v>26</v>
      </c>
      <c r="P4595" s="75" t="str">
        <f>IF(AND('331-CT'!$E$7=TH!H5372,OR(N4595="331",O4595="331")),"x","")</f>
        <v/>
      </c>
      <c r="Q4595" s="75" t="str">
        <f>IF(AND(B4595='111'!$L$11,OR($N4595=$Q$7,$O4595=$Q$7)),"x","")</f>
        <v/>
      </c>
      <c r="R4595" s="75" t="str">
        <f>IF(AND($N4595=$Q$7,$B4595&lt;'111'!$L$11),"x","")</f>
        <v>x</v>
      </c>
      <c r="S4595" s="75" t="str">
        <f>IF(AND($O4595=$Q$7,$B4595&lt;'111'!$L$11),"x","")</f>
        <v/>
      </c>
      <c r="T4595" s="75" t="str">
        <f>IF(ISERROR(FIND('112'!$M$9,G4595,1)),"",IF((AND(FIND('112'!$M$9,G4595,1)&gt;=1,B4595='112'!$K$9,OR($N4595='112'!$I$6,$O4595='112'!$I$6))),"x",""))</f>
        <v/>
      </c>
      <c r="U4595" s="75" t="str">
        <f>IF(ISERROR(FIND('112'!$M$9,G4595,1)),"",IF((AND(LEFT(G4595,2)=LEFT('112'!$M$9,2),B4595&lt;'112'!$K$9,$N4595='112'!$I$6)),"x",""))</f>
        <v/>
      </c>
      <c r="V4595" s="75" t="str">
        <f>IF(ISERROR(FIND('112'!$M$9,G4595,1)),"",IF((AND(RIGHT(G4595,2)=RIGHT('112'!$M$9,2),B4595&lt;'112'!$K$9,$O4595='112'!$I$6)),"x",""))</f>
        <v/>
      </c>
      <c r="W4595" s="75" t="str">
        <f>IF(AND('341-CT'!$H$9=H4595,OR(LEFT(N4595,3)=$W$7,LEFT(O4595,3)=$W$7)),"x","")</f>
        <v/>
      </c>
      <c r="X4595" s="75" t="str">
        <f>IF(OR(TH!N5372=TH!$X$7,O4595=TH!$X$7),"x","")</f>
        <v/>
      </c>
      <c r="Y4595" s="75" t="str">
        <f>IF(AND(OR(N4595="131",O4595="131"),H4595='131-CT'!$H$9),"x","")</f>
        <v/>
      </c>
      <c r="Z4595" s="75"/>
      <c r="AA4595" s="75" t="str">
        <f>IF(AND(MONTH(E4595)='IN-NX'!$J$5,'IN-NX'!$D$7=D4595),"x","")</f>
        <v/>
      </c>
      <c r="AB4595" s="75" t="str">
        <f>IF(AND(OR(LEFT(TH!N5372,2)="15",LEFT(TH!O5372,2)="15"),LEFT(TH!O5372,3)&lt;&gt;"111",'152-CT'!$J$8=TH!F5372),"x","")</f>
        <v/>
      </c>
      <c r="AC4595" s="75" t="str">
        <f>IF(AND(OR(LEFT(TH!N5372,2)="15",LEFT(TH!O5372,2)="15"),TK!$E$7=TH!F5372),"x","")</f>
        <v/>
      </c>
      <c r="AD4595" s="75" t="str">
        <f>IF(AND(N4595="1521",MONTH(C4595)='BK-NL'!$M$11),"x","")</f>
        <v/>
      </c>
    </row>
    <row r="4596" spans="1:33" ht="16.5" customHeight="1">
      <c r="A4596" s="309" t="str">
        <f>IF(B4596&lt;&gt;"",IF(AND(B4596='IN-TC'!$S$4,OR(TH!N4586="1111",TH!O4586="1111")),TH!D4586,""),"")</f>
        <v/>
      </c>
      <c r="B4596" s="1129">
        <f t="shared" si="1328"/>
        <v>8</v>
      </c>
      <c r="C4596" s="292">
        <f t="shared" si="1329"/>
        <v>42948</v>
      </c>
      <c r="D4596" s="292"/>
      <c r="E4596" s="292">
        <v>42948</v>
      </c>
      <c r="F4596" s="293" t="s">
        <v>877</v>
      </c>
      <c r="G4596" s="925" t="s">
        <v>2044</v>
      </c>
      <c r="H4596" s="294" t="s">
        <v>880</v>
      </c>
      <c r="I4596" s="373"/>
      <c r="J4596" s="926"/>
      <c r="K4596" s="373"/>
      <c r="L4596" s="379"/>
      <c r="M4596" s="927">
        <v>3079091</v>
      </c>
      <c r="N4596" s="295" t="s">
        <v>539</v>
      </c>
      <c r="O4596" s="295" t="s">
        <v>63</v>
      </c>
      <c r="P4596" s="75" t="str">
        <f>IF(AND('331-CT'!$E$7=TH!H3795,OR(N4596="331",O4596="331")),"x","")</f>
        <v/>
      </c>
      <c r="Q4596" s="75" t="str">
        <f>IF(AND(B4596='111'!$L$11,OR($N4596=$Q$7,$O4596=$Q$7)),"x","")</f>
        <v/>
      </c>
      <c r="R4596" s="75" t="str">
        <f>IF(AND($N4596=$Q$7,$B4596&lt;'111'!$L$11),"x","")</f>
        <v/>
      </c>
      <c r="S4596" s="75" t="str">
        <f>IF(AND($O4596=$Q$7,$B4596&lt;'111'!$L$11),"x","")</f>
        <v>x</v>
      </c>
      <c r="T4596" s="75" t="str">
        <f>IF(ISERROR(FIND('112'!$M$9,G4596,1)),"",IF((AND(FIND('112'!$M$9,G4596,1)&gt;=1,B4596='112'!$K$9,OR($N4596='112'!$I$6,$O4596='112'!$I$6))),"x",""))</f>
        <v/>
      </c>
      <c r="U4596" s="75" t="str">
        <f>IF(ISERROR(FIND('112'!$M$9,G4596,1)),"",IF((AND(LEFT(G4596,2)=LEFT('112'!$M$9,2),B4596&lt;'112'!$K$9,$N4596='112'!$I$6)),"x",""))</f>
        <v/>
      </c>
      <c r="V4596" s="75" t="str">
        <f>IF(ISERROR(FIND('112'!$M$9,G4596,1)),"",IF((AND(RIGHT(G4596,2)=RIGHT('112'!$M$9,2),B4596&lt;'112'!$K$9,$O4596='112'!$I$6)),"x",""))</f>
        <v/>
      </c>
      <c r="W4596" s="75" t="str">
        <f>IF(AND('341-CT'!$H$9=H4596,OR(LEFT(N4596,3)=$W$7,LEFT(O4596,3)=$W$7)),"x","")</f>
        <v/>
      </c>
      <c r="X4596" s="75" t="str">
        <f>IF(OR(TH!N3795=TH!$X$7,O4596=TH!$X$7),"x","")</f>
        <v/>
      </c>
      <c r="Y4596" s="75" t="str">
        <f>IF(AND(OR(N4596="131",O4596="131"),H4596='131-CT'!$H$9),"x","")</f>
        <v/>
      </c>
      <c r="Z4596" s="75"/>
      <c r="AA4596" s="75" t="str">
        <f>IF(AND(MONTH(E4596)='IN-NX'!$J$5,'IN-NX'!$D$7=D4596),"x","")</f>
        <v/>
      </c>
      <c r="AB4596" s="75" t="str">
        <f>IF(AND(OR(LEFT(TH!N3795,2)="15",LEFT(TH!O3795,2)="15"),LEFT(TH!O3795,3)&lt;&gt;"111",'152-CT'!$J$8=TH!F3795),"x","")</f>
        <v/>
      </c>
      <c r="AC4596" s="75" t="str">
        <f>IF(AND(OR(LEFT(TH!N3795,2)="15",LEFT(TH!O3795,2)="15"),TK!$E$7=TH!F3795),"x","")</f>
        <v/>
      </c>
      <c r="AD4596" s="75" t="str">
        <f>IF(AND(N4596="1521",MONTH(C4596)='BK-NL'!$M$11),"x","")</f>
        <v/>
      </c>
      <c r="AE4596">
        <v>8</v>
      </c>
    </row>
    <row r="4597" spans="1:33" ht="16.5" customHeight="1">
      <c r="A4597" s="309" t="str">
        <f>IF(B4597&lt;&gt;"",IF(AND(B4597='IN-TC'!$S$4,OR(TH!N4587="1111",TH!O4587="1111")),TH!D4587,""),"")</f>
        <v/>
      </c>
      <c r="B4597" s="1129">
        <f t="shared" si="1328"/>
        <v>8</v>
      </c>
      <c r="C4597" s="292">
        <f t="shared" si="1329"/>
        <v>42948</v>
      </c>
      <c r="D4597" s="292"/>
      <c r="E4597" s="292">
        <v>42948</v>
      </c>
      <c r="F4597" s="293" t="s">
        <v>1246</v>
      </c>
      <c r="G4597" s="925" t="s">
        <v>2044</v>
      </c>
      <c r="H4597" s="294" t="s">
        <v>880</v>
      </c>
      <c r="I4597" s="373"/>
      <c r="J4597" s="926"/>
      <c r="K4597" s="373"/>
      <c r="L4597" s="379"/>
      <c r="M4597" s="927">
        <v>307909</v>
      </c>
      <c r="N4597" s="295" t="s">
        <v>9</v>
      </c>
      <c r="O4597" s="295" t="s">
        <v>63</v>
      </c>
      <c r="P4597" s="75" t="str">
        <f>IF(AND('331-CT'!$E$7=TH!H3796,OR(N4597="331",O4597="331")),"x","")</f>
        <v/>
      </c>
      <c r="Q4597" s="75" t="str">
        <f>IF(AND(B4597='111'!$L$11,OR($N4597=$Q$7,$O4597=$Q$7)),"x","")</f>
        <v/>
      </c>
      <c r="R4597" s="75" t="str">
        <f>IF(AND($N4597=$Q$7,$B4597&lt;'111'!$L$11),"x","")</f>
        <v/>
      </c>
      <c r="S4597" s="75" t="str">
        <f>IF(AND($O4597=$Q$7,$B4597&lt;'111'!$L$11),"x","")</f>
        <v>x</v>
      </c>
      <c r="T4597" s="75" t="str">
        <f>IF(ISERROR(FIND('112'!$M$9,G4597,1)),"",IF((AND(FIND('112'!$M$9,G4597,1)&gt;=1,B4597='112'!$K$9,OR($N4597='112'!$I$6,$O4597='112'!$I$6))),"x",""))</f>
        <v/>
      </c>
      <c r="U4597" s="75" t="str">
        <f>IF(ISERROR(FIND('112'!$M$9,G4597,1)),"",IF((AND(LEFT(G4597,2)=LEFT('112'!$M$9,2),B4597&lt;'112'!$K$9,$N4597='112'!$I$6)),"x",""))</f>
        <v/>
      </c>
      <c r="V4597" s="75" t="str">
        <f>IF(ISERROR(FIND('112'!$M$9,G4597,1)),"",IF((AND(RIGHT(G4597,2)=RIGHT('112'!$M$9,2),B4597&lt;'112'!$K$9,$O4597='112'!$I$6)),"x",""))</f>
        <v/>
      </c>
      <c r="W4597" s="75" t="str">
        <f>IF(AND('341-CT'!$H$9=H4597,OR(LEFT(N4597,3)=$W$7,LEFT(O4597,3)=$W$7)),"x","")</f>
        <v/>
      </c>
      <c r="X4597" s="75" t="str">
        <f>IF(OR(TH!N3796=TH!$X$7,O4597=TH!$X$7),"x","")</f>
        <v/>
      </c>
      <c r="Y4597" s="75" t="str">
        <f>IF(AND(OR(N4597="131",O4597="131"),H4597='131-CT'!$H$9),"x","")</f>
        <v/>
      </c>
      <c r="Z4597" s="75"/>
      <c r="AA4597" s="75" t="str">
        <f>IF(AND(MONTH(E4597)='IN-NX'!$J$5,'IN-NX'!$D$7=D4597),"x","")</f>
        <v/>
      </c>
      <c r="AB4597" s="75" t="str">
        <f>IF(AND(OR(LEFT(TH!N3796,2)="15",LEFT(TH!O3796,2)="15"),LEFT(TH!O3796,3)&lt;&gt;"111",'152-CT'!$J$8=TH!F3796),"x","")</f>
        <v/>
      </c>
      <c r="AC4597" s="75" t="str">
        <f>IF(AND(OR(LEFT(TH!N3796,2)="15",LEFT(TH!O3796,2)="15"),TK!$E$7=TH!F3796),"x","")</f>
        <v/>
      </c>
      <c r="AD4597" s="75" t="str">
        <f>IF(AND(N4597="1521",MONTH(C4597)='BK-NL'!$M$11),"x","")</f>
        <v/>
      </c>
      <c r="AE4597">
        <v>8</v>
      </c>
    </row>
    <row r="4598" spans="1:33" ht="16.5" customHeight="1">
      <c r="A4598" s="309" t="str">
        <f>IF(B4598&lt;&gt;"",IF(AND(B4598='IN-TC'!$S$4,OR(TH!N4588="1111",TH!O4588="1111")),TH!D4588,""),"")</f>
        <v/>
      </c>
      <c r="B4598" s="1129">
        <f t="shared" si="1328"/>
        <v>8</v>
      </c>
      <c r="C4598" s="292">
        <f t="shared" si="1329"/>
        <v>42948</v>
      </c>
      <c r="D4598" s="292"/>
      <c r="E4598" s="292">
        <v>42948</v>
      </c>
      <c r="F4598" s="293" t="s">
        <v>1447</v>
      </c>
      <c r="G4598" s="925" t="s">
        <v>1802</v>
      </c>
      <c r="H4598" s="294" t="s">
        <v>1450</v>
      </c>
      <c r="I4598" s="373"/>
      <c r="J4598" s="926"/>
      <c r="K4598" s="373"/>
      <c r="L4598" s="379"/>
      <c r="M4598" s="927">
        <v>4779040</v>
      </c>
      <c r="N4598" s="295" t="s">
        <v>539</v>
      </c>
      <c r="O4598" s="295" t="s">
        <v>63</v>
      </c>
      <c r="P4598" s="75" t="str">
        <f>IF(AND('331-CT'!$E$7=TH!H3797,OR(N4598="331",O4598="331")),"x","")</f>
        <v/>
      </c>
      <c r="Q4598" s="75" t="str">
        <f>IF(AND(B4598='111'!$L$11,OR($N4598=$Q$7,$O4598=$Q$7)),"x","")</f>
        <v/>
      </c>
      <c r="R4598" s="75" t="str">
        <f>IF(AND($N4598=$Q$7,$B4598&lt;'111'!$L$11),"x","")</f>
        <v/>
      </c>
      <c r="S4598" s="75" t="str">
        <f>IF(AND($O4598=$Q$7,$B4598&lt;'111'!$L$11),"x","")</f>
        <v>x</v>
      </c>
      <c r="T4598" s="75" t="str">
        <f>IF(ISERROR(FIND('112'!$M$9,G4598,1)),"",IF((AND(FIND('112'!$M$9,G4598,1)&gt;=1,B4598='112'!$K$9,OR($N4598='112'!$I$6,$O4598='112'!$I$6))),"x",""))</f>
        <v/>
      </c>
      <c r="U4598" s="75" t="str">
        <f>IF(ISERROR(FIND('112'!$M$9,G4598,1)),"",IF((AND(LEFT(G4598,2)=LEFT('112'!$M$9,2),B4598&lt;'112'!$K$9,$N4598='112'!$I$6)),"x",""))</f>
        <v/>
      </c>
      <c r="V4598" s="75" t="str">
        <f>IF(ISERROR(FIND('112'!$M$9,G4598,1)),"",IF((AND(RIGHT(G4598,2)=RIGHT('112'!$M$9,2),B4598&lt;'112'!$K$9,$O4598='112'!$I$6)),"x",""))</f>
        <v/>
      </c>
      <c r="W4598" s="75" t="str">
        <f>IF(AND('341-CT'!$H$9=H4598,OR(LEFT(N4598,3)=$W$7,LEFT(O4598,3)=$W$7)),"x","")</f>
        <v/>
      </c>
      <c r="X4598" s="75" t="str">
        <f>IF(OR(TH!N3797=TH!$X$7,O4598=TH!$X$7),"x","")</f>
        <v/>
      </c>
      <c r="Y4598" s="75" t="str">
        <f>IF(AND(OR(N4598="131",O4598="131"),H4598='131-CT'!$H$9),"x","")</f>
        <v/>
      </c>
      <c r="Z4598" s="75"/>
      <c r="AA4598" s="75" t="str">
        <f>IF(AND(MONTH(E4598)='IN-NX'!$J$5,'IN-NX'!$D$7=D4598),"x","")</f>
        <v/>
      </c>
      <c r="AB4598" s="75" t="str">
        <f>IF(AND(OR(LEFT(TH!N3797,2)="15",LEFT(TH!O3797,2)="15"),LEFT(TH!O3797,3)&lt;&gt;"111",'152-CT'!$J$8=TH!F3797),"x","")</f>
        <v/>
      </c>
      <c r="AC4598" s="75" t="str">
        <f>IF(AND(OR(LEFT(TH!N3797,2)="15",LEFT(TH!O3797,2)="15"),TK!$E$7=TH!F3797),"x","")</f>
        <v/>
      </c>
      <c r="AD4598" s="75" t="str">
        <f>IF(AND(N4598="1521",MONTH(C4598)='BK-NL'!$M$11),"x","")</f>
        <v/>
      </c>
      <c r="AE4598">
        <v>8</v>
      </c>
    </row>
    <row r="4599" spans="1:33" ht="16.5" customHeight="1">
      <c r="A4599" s="309" t="str">
        <f>IF(B4599&lt;&gt;"",IF(AND(B4599='IN-TC'!$S$4,OR(TH!N4589="1111",TH!O4589="1111")),TH!D4589,""),"")</f>
        <v/>
      </c>
      <c r="B4599" s="1129">
        <f t="shared" si="1328"/>
        <v>8</v>
      </c>
      <c r="C4599" s="292">
        <f t="shared" si="1329"/>
        <v>42948</v>
      </c>
      <c r="D4599" s="292"/>
      <c r="E4599" s="292">
        <v>42948</v>
      </c>
      <c r="F4599" s="293" t="s">
        <v>1448</v>
      </c>
      <c r="G4599" s="925" t="s">
        <v>1802</v>
      </c>
      <c r="H4599" s="294" t="s">
        <v>1450</v>
      </c>
      <c r="I4599" s="373"/>
      <c r="J4599" s="926"/>
      <c r="K4599" s="373"/>
      <c r="L4599" s="379"/>
      <c r="M4599" s="927">
        <v>238952</v>
      </c>
      <c r="N4599" s="295" t="s">
        <v>9</v>
      </c>
      <c r="O4599" s="295" t="s">
        <v>63</v>
      </c>
      <c r="P4599" s="75" t="str">
        <f>IF(AND('331-CT'!$E$7=TH!H3798,OR(N4599="331",O4599="331")),"x","")</f>
        <v/>
      </c>
      <c r="Q4599" s="75" t="str">
        <f>IF(AND(B4599='111'!$L$11,OR($N4599=$Q$7,$O4599=$Q$7)),"x","")</f>
        <v/>
      </c>
      <c r="R4599" s="75" t="str">
        <f>IF(AND($N4599=$Q$7,$B4599&lt;'111'!$L$11),"x","")</f>
        <v/>
      </c>
      <c r="S4599" s="75" t="str">
        <f>IF(AND($O4599=$Q$7,$B4599&lt;'111'!$L$11),"x","")</f>
        <v>x</v>
      </c>
      <c r="T4599" s="75" t="str">
        <f>IF(ISERROR(FIND('112'!$M$9,G4599,1)),"",IF((AND(FIND('112'!$M$9,G4599,1)&gt;=1,B4599='112'!$K$9,OR($N4599='112'!$I$6,$O4599='112'!$I$6))),"x",""))</f>
        <v/>
      </c>
      <c r="U4599" s="75" t="str">
        <f>IF(ISERROR(FIND('112'!$M$9,G4599,1)),"",IF((AND(LEFT(G4599,2)=LEFT('112'!$M$9,2),B4599&lt;'112'!$K$9,$N4599='112'!$I$6)),"x",""))</f>
        <v/>
      </c>
      <c r="V4599" s="75" t="str">
        <f>IF(ISERROR(FIND('112'!$M$9,G4599,1)),"",IF((AND(RIGHT(G4599,2)=RIGHT('112'!$M$9,2),B4599&lt;'112'!$K$9,$O4599='112'!$I$6)),"x",""))</f>
        <v/>
      </c>
      <c r="W4599" s="75" t="str">
        <f>IF(AND('341-CT'!$H$9=H4599,OR(LEFT(N4599,3)=$W$7,LEFT(O4599,3)=$W$7)),"x","")</f>
        <v/>
      </c>
      <c r="X4599" s="75" t="str">
        <f>IF(OR(TH!N3798=TH!$X$7,O4599=TH!$X$7),"x","")</f>
        <v/>
      </c>
      <c r="Y4599" s="75" t="str">
        <f>IF(AND(OR(N4599="131",O4599="131"),H4599='131-CT'!$H$9),"x","")</f>
        <v/>
      </c>
      <c r="Z4599" s="75"/>
      <c r="AA4599" s="75" t="str">
        <f>IF(AND(MONTH(E4599)='IN-NX'!$J$5,'IN-NX'!$D$7=D4599),"x","")</f>
        <v/>
      </c>
      <c r="AB4599" s="75" t="str">
        <f>IF(AND(OR(LEFT(TH!N3798,2)="15",LEFT(TH!O3798,2)="15"),LEFT(TH!O3798,3)&lt;&gt;"111",'152-CT'!$J$8=TH!F3798),"x","")</f>
        <v/>
      </c>
      <c r="AC4599" s="75" t="str">
        <f>IF(AND(OR(LEFT(TH!N3798,2)="15",LEFT(TH!O3798,2)="15"),TK!$E$7=TH!F3798),"x","")</f>
        <v/>
      </c>
      <c r="AD4599" s="75" t="str">
        <f>IF(AND(N4599="1521",MONTH(C4599)='BK-NL'!$M$11),"x","")</f>
        <v/>
      </c>
      <c r="AE4599">
        <v>8</v>
      </c>
    </row>
    <row r="4600" spans="1:33" s="1053" customFormat="1" ht="16.5" customHeight="1">
      <c r="A4600" s="309" t="str">
        <f>IF(B4600&lt;&gt;"",IF(AND(B4600='IN-TC'!$S$4,OR(TH!N4590="1111",TH!O4590="1111")),TH!D4590,""),"")</f>
        <v/>
      </c>
      <c r="B4600" s="1129">
        <f t="shared" si="1328"/>
        <v>8</v>
      </c>
      <c r="C4600" s="292">
        <f t="shared" si="1329"/>
        <v>42948</v>
      </c>
      <c r="D4600" s="59" t="s">
        <v>902</v>
      </c>
      <c r="E4600" s="59">
        <v>42948</v>
      </c>
      <c r="F4600" s="62" t="s">
        <v>899</v>
      </c>
      <c r="G4600" s="62" t="s">
        <v>747</v>
      </c>
      <c r="H4600" s="311" t="s">
        <v>558</v>
      </c>
      <c r="I4600" s="373"/>
      <c r="J4600" s="382"/>
      <c r="K4600" s="373"/>
      <c r="L4600" s="379"/>
      <c r="M4600" s="60">
        <v>70000000</v>
      </c>
      <c r="N4600" s="61" t="s">
        <v>8</v>
      </c>
      <c r="O4600" s="61" t="s">
        <v>26</v>
      </c>
      <c r="P4600" s="75" t="str">
        <f>IF(AND('331-CT'!$E$7=TH!H5363,OR(N4600="331",O4600="331")),"x","")</f>
        <v/>
      </c>
      <c r="Q4600" s="75" t="str">
        <f>IF(AND(B4600='111'!$L$11,OR($N4600=$Q$7,$O4600=$Q$7)),"x","")</f>
        <v/>
      </c>
      <c r="R4600" s="75" t="str">
        <f>IF(AND($N4600=$Q$7,$B4600&lt;'111'!$L$11),"x","")</f>
        <v/>
      </c>
      <c r="S4600" s="75" t="str">
        <f>IF(AND($O4600=$Q$7,$B4600&lt;'111'!$L$11),"x","")</f>
        <v/>
      </c>
      <c r="T4600" s="75" t="str">
        <f>IF(ISERROR(FIND('112'!$M$9,G4600,1)),"",IF((AND(FIND('112'!$M$9,G4600,1)&gt;=1,B4600='112'!$K$9,OR($N4600='112'!$I$6,$O4600='112'!$I$6))),"x",""))</f>
        <v/>
      </c>
      <c r="U4600" s="75" t="str">
        <f>IF(ISERROR(FIND('112'!$M$9,G4600,1)),"",IF((AND(LEFT(G4600,2)=LEFT('112'!$M$9,2),B4600&lt;'112'!$K$9,$N4600='112'!$I$6)),"x",""))</f>
        <v/>
      </c>
      <c r="V4600" s="75" t="str">
        <f>IF(ISERROR(FIND('112'!$M$9,G4600,1)),"",IF((AND(RIGHT(G4600,2)=RIGHT('112'!$M$9,2),B4600&lt;'112'!$K$9,$O4600='112'!$I$6)),"x",""))</f>
        <v/>
      </c>
      <c r="W4600" s="75" t="str">
        <f>IF(AND('341-CT'!$H$9=H4600,OR(LEFT(N4600,3)=$W$7,LEFT(O4600,3)=$W$7)),"x","")</f>
        <v/>
      </c>
      <c r="X4600" s="75" t="str">
        <f>IF(OR(TH!N5363=TH!$X$7,O4600=TH!$X$7),"x","")</f>
        <v/>
      </c>
      <c r="Y4600" s="75" t="str">
        <f>IF(AND(OR(N4600="131",O4600="131"),H4600='131-CT'!$H$9),"x","")</f>
        <v/>
      </c>
      <c r="Z4600" s="75"/>
      <c r="AA4600" s="75" t="str">
        <f>IF(AND(MONTH(E4600)='IN-NX'!$J$5,'IN-NX'!$D$7=D4600),"x","")</f>
        <v/>
      </c>
      <c r="AB4600" s="75" t="str">
        <f>IF(AND(OR(LEFT(TH!N5363,2)="15",LEFT(TH!O5363,2)="15"),LEFT(TH!O5363,3)&lt;&gt;"111",'152-CT'!$J$8=TH!F5363),"x","")</f>
        <v/>
      </c>
      <c r="AC4600" s="75" t="str">
        <f>IF(AND(OR(LEFT(TH!N5363,2)="15",LEFT(TH!O5363,2)="15"),TK!$E$7=TH!F5363),"x","")</f>
        <v/>
      </c>
      <c r="AD4600" s="75" t="str">
        <f>IF(AND(N4600="1521",MONTH(C4600)='BK-NL'!$M$11),"x","")</f>
        <v/>
      </c>
      <c r="AE4600"/>
      <c r="AF4600"/>
      <c r="AG4600"/>
    </row>
    <row r="4601" spans="1:33" ht="16.5" customHeight="1">
      <c r="A4601" s="309" t="str">
        <f>IF(B4601&lt;&gt;"",IF(AND(B4601='IN-TC'!$S$4,OR(TH!N4591="1111",TH!O4591="1111")),TH!D4591,""),"")</f>
        <v/>
      </c>
      <c r="B4601" s="1129">
        <f t="shared" si="1328"/>
        <v>8</v>
      </c>
      <c r="C4601" s="292">
        <f t="shared" si="1329"/>
        <v>42948</v>
      </c>
      <c r="D4601" s="59" t="s">
        <v>902</v>
      </c>
      <c r="E4601" s="59">
        <v>42948</v>
      </c>
      <c r="F4601" s="62" t="s">
        <v>1307</v>
      </c>
      <c r="G4601" s="62" t="s">
        <v>747</v>
      </c>
      <c r="H4601" s="67" t="s">
        <v>835</v>
      </c>
      <c r="I4601" s="373"/>
      <c r="J4601" s="382"/>
      <c r="K4601" s="373"/>
      <c r="L4601" s="379"/>
      <c r="M4601" s="60">
        <v>21000</v>
      </c>
      <c r="N4601" s="61" t="s">
        <v>101</v>
      </c>
      <c r="O4601" s="61" t="s">
        <v>26</v>
      </c>
      <c r="P4601" s="75" t="str">
        <f>IF(AND('331-CT'!$E$7=TH!H5364,OR(N4601="331",O4601="331")),"x","")</f>
        <v/>
      </c>
      <c r="Q4601" s="75" t="str">
        <f>IF(AND(B4601='111'!$L$11,OR($N4601=$Q$7,$O4601=$Q$7)),"x","")</f>
        <v/>
      </c>
      <c r="R4601" s="75" t="str">
        <f>IF(AND($N4601=$Q$7,$B4601&lt;'111'!$L$11),"x","")</f>
        <v/>
      </c>
      <c r="S4601" s="75" t="str">
        <f>IF(AND($O4601=$Q$7,$B4601&lt;'111'!$L$11),"x","")</f>
        <v/>
      </c>
      <c r="T4601" s="75" t="str">
        <f>IF(ISERROR(FIND('112'!$M$9,G4601,1)),"",IF((AND(FIND('112'!$M$9,G4601,1)&gt;=1,B4601='112'!$K$9,OR($N4601='112'!$I$6,$O4601='112'!$I$6))),"x",""))</f>
        <v/>
      </c>
      <c r="U4601" s="75" t="str">
        <f>IF(ISERROR(FIND('112'!$M$9,G4601,1)),"",IF((AND(LEFT(G4601,2)=LEFT('112'!$M$9,2),B4601&lt;'112'!$K$9,$N4601='112'!$I$6)),"x",""))</f>
        <v/>
      </c>
      <c r="V4601" s="75" t="str">
        <f>IF(ISERROR(FIND('112'!$M$9,G4601,1)),"",IF((AND(RIGHT(G4601,2)=RIGHT('112'!$M$9,2),B4601&lt;'112'!$K$9,$O4601='112'!$I$6)),"x",""))</f>
        <v/>
      </c>
      <c r="W4601" s="75" t="str">
        <f>IF(AND('341-CT'!$H$9=H4601,OR(LEFT(N4601,3)=$W$7,LEFT(O4601,3)=$W$7)),"x","")</f>
        <v/>
      </c>
      <c r="X4601" s="75" t="str">
        <f>IF(OR(TH!N5364=TH!$X$7,O4601=TH!$X$7),"x","")</f>
        <v/>
      </c>
      <c r="Y4601" s="75" t="str">
        <f>IF(AND(OR(N4601="131",O4601="131"),H4601='131-CT'!$H$9),"x","")</f>
        <v/>
      </c>
      <c r="Z4601" s="75"/>
      <c r="AA4601" s="75" t="str">
        <f>IF(AND(MONTH(E4601)='IN-NX'!$J$5,'IN-NX'!$D$7=D4601),"x","")</f>
        <v/>
      </c>
      <c r="AB4601" s="75" t="str">
        <f>IF(AND(OR(LEFT(TH!N5364,2)="15",LEFT(TH!O5364,2)="15"),LEFT(TH!O5364,3)&lt;&gt;"111",'152-CT'!$J$8=TH!F5364),"x","")</f>
        <v/>
      </c>
      <c r="AC4601" s="75" t="str">
        <f>IF(AND(OR(LEFT(TH!N5364,2)="15",LEFT(TH!O5364,2)="15"),TK!$E$7=TH!F5364),"x","")</f>
        <v/>
      </c>
      <c r="AD4601" s="75" t="str">
        <f>IF(AND(N4601="1521",MONTH(C4601)='BK-NL'!$M$11),"x","")</f>
        <v/>
      </c>
      <c r="AE4601">
        <v>8</v>
      </c>
    </row>
    <row r="4602" spans="1:33" s="1053" customFormat="1" ht="16.5" customHeight="1">
      <c r="A4602" s="309" t="str">
        <f>IF(B4602&lt;&gt;"",IF(AND(B4602='IN-TC'!$S$4,OR(TH!N4592="1111",TH!O4592="1111")),TH!D4592,""),"")</f>
        <v/>
      </c>
      <c r="B4602" s="1129">
        <f t="shared" si="1328"/>
        <v>8</v>
      </c>
      <c r="C4602" s="292">
        <f t="shared" si="1329"/>
        <v>42948</v>
      </c>
      <c r="D4602" s="59" t="s">
        <v>902</v>
      </c>
      <c r="E4602" s="59">
        <v>42948</v>
      </c>
      <c r="F4602" s="62" t="s">
        <v>1314</v>
      </c>
      <c r="G4602" s="62" t="s">
        <v>747</v>
      </c>
      <c r="H4602" s="67" t="s">
        <v>835</v>
      </c>
      <c r="I4602" s="373"/>
      <c r="J4602" s="382"/>
      <c r="K4602" s="373"/>
      <c r="L4602" s="379"/>
      <c r="M4602" s="60">
        <v>2100</v>
      </c>
      <c r="N4602" s="61" t="s">
        <v>9</v>
      </c>
      <c r="O4602" s="61" t="s">
        <v>26</v>
      </c>
      <c r="P4602" s="75" t="str">
        <f>IF(AND('331-CT'!$E$7=TH!H5365,OR(N4602="331",O4602="331")),"x","")</f>
        <v/>
      </c>
      <c r="Q4602" s="75" t="str">
        <f>IF(AND(B4602='111'!$L$11,OR($N4602=$Q$7,$O4602=$Q$7)),"x","")</f>
        <v/>
      </c>
      <c r="R4602" s="75" t="str">
        <f>IF(AND($N4602=$Q$7,$B4602&lt;'111'!$L$11),"x","")</f>
        <v/>
      </c>
      <c r="S4602" s="75" t="str">
        <f>IF(AND($O4602=$Q$7,$B4602&lt;'111'!$L$11),"x","")</f>
        <v/>
      </c>
      <c r="T4602" s="75" t="str">
        <f>IF(ISERROR(FIND('112'!$M$9,G4602,1)),"",IF((AND(FIND('112'!$M$9,G4602,1)&gt;=1,B4602='112'!$K$9,OR($N4602='112'!$I$6,$O4602='112'!$I$6))),"x",""))</f>
        <v/>
      </c>
      <c r="U4602" s="75" t="str">
        <f>IF(ISERROR(FIND('112'!$M$9,G4602,1)),"",IF((AND(LEFT(G4602,2)=LEFT('112'!$M$9,2),B4602&lt;'112'!$K$9,$N4602='112'!$I$6)),"x",""))</f>
        <v/>
      </c>
      <c r="V4602" s="75" t="str">
        <f>IF(ISERROR(FIND('112'!$M$9,G4602,1)),"",IF((AND(RIGHT(G4602,2)=RIGHT('112'!$M$9,2),B4602&lt;'112'!$K$9,$O4602='112'!$I$6)),"x",""))</f>
        <v/>
      </c>
      <c r="W4602" s="75" t="str">
        <f>IF(AND('341-CT'!$H$9=H4602,OR(LEFT(N4602,3)=$W$7,LEFT(O4602,3)=$W$7)),"x","")</f>
        <v/>
      </c>
      <c r="X4602" s="75" t="str">
        <f>IF(OR(TH!N5365=TH!$X$7,O4602=TH!$X$7),"x","")</f>
        <v/>
      </c>
      <c r="Y4602" s="75" t="str">
        <f>IF(AND(OR(N4602="131",O4602="131"),H4602='131-CT'!$H$9),"x","")</f>
        <v/>
      </c>
      <c r="Z4602" s="75"/>
      <c r="AA4602" s="75" t="str">
        <f>IF(AND(MONTH(E4602)='IN-NX'!$J$5,'IN-NX'!$D$7=D4602),"x","")</f>
        <v/>
      </c>
      <c r="AB4602" s="75" t="str">
        <f>IF(AND(OR(LEFT(TH!N5365,2)="15",LEFT(TH!O5365,2)="15"),LEFT(TH!O5365,3)&lt;&gt;"111",'152-CT'!$J$8=TH!F5365),"x","")</f>
        <v/>
      </c>
      <c r="AC4602" s="75" t="str">
        <f>IF(AND(OR(LEFT(TH!N5365,2)="15",LEFT(TH!O5365,2)="15"),TK!$E$7=TH!F5365),"x","")</f>
        <v/>
      </c>
      <c r="AD4602" s="75" t="str">
        <f>IF(AND(N4602="1521",MONTH(C4602)='BK-NL'!$M$11),"x","")</f>
        <v/>
      </c>
      <c r="AE4602">
        <v>8</v>
      </c>
      <c r="AF4602"/>
      <c r="AG4602"/>
    </row>
    <row r="4603" spans="1:33" s="1053" customFormat="1" ht="16.5" customHeight="1">
      <c r="A4603" s="309" t="str">
        <f>IF(B4603&lt;&gt;"",IF(AND(B4603='IN-TC'!$S$4,OR(TH!N4593="1111",TH!O4593="1111")),TH!D4593,""),"")</f>
        <v/>
      </c>
      <c r="B4603" s="1129">
        <f t="shared" si="1328"/>
        <v>8</v>
      </c>
      <c r="C4603" s="292">
        <f t="shared" si="1329"/>
        <v>42948</v>
      </c>
      <c r="D4603" s="59" t="s">
        <v>902</v>
      </c>
      <c r="E4603" s="59">
        <v>42948</v>
      </c>
      <c r="F4603" s="62" t="s">
        <v>1087</v>
      </c>
      <c r="G4603" s="62" t="s">
        <v>747</v>
      </c>
      <c r="H4603" s="67" t="s">
        <v>755</v>
      </c>
      <c r="I4603" s="373"/>
      <c r="J4603" s="382"/>
      <c r="K4603" s="373"/>
      <c r="L4603" s="379"/>
      <c r="M4603" s="60">
        <v>70000000</v>
      </c>
      <c r="N4603" s="61" t="s">
        <v>8</v>
      </c>
      <c r="O4603" s="61" t="s">
        <v>26</v>
      </c>
      <c r="P4603" s="75" t="str">
        <f>IF(AND('331-CT'!$E$7=TH!H5366,OR(N4603="331",O4603="331")),"x","")</f>
        <v/>
      </c>
      <c r="Q4603" s="75" t="str">
        <f>IF(AND(B4603='111'!$L$11,OR($N4603=$Q$7,$O4603=$Q$7)),"x","")</f>
        <v/>
      </c>
      <c r="R4603" s="75" t="str">
        <f>IF(AND($N4603=$Q$7,$B4603&lt;'111'!$L$11),"x","")</f>
        <v/>
      </c>
      <c r="S4603" s="75" t="str">
        <f>IF(AND($O4603=$Q$7,$B4603&lt;'111'!$L$11),"x","")</f>
        <v/>
      </c>
      <c r="T4603" s="75" t="str">
        <f>IF(ISERROR(FIND('112'!$M$9,G4603,1)),"",IF((AND(FIND('112'!$M$9,G4603,1)&gt;=1,B4603='112'!$K$9,OR($N4603='112'!$I$6,$O4603='112'!$I$6))),"x",""))</f>
        <v/>
      </c>
      <c r="U4603" s="75" t="str">
        <f>IF(ISERROR(FIND('112'!$M$9,G4603,1)),"",IF((AND(LEFT(G4603,2)=LEFT('112'!$M$9,2),B4603&lt;'112'!$K$9,$N4603='112'!$I$6)),"x",""))</f>
        <v/>
      </c>
      <c r="V4603" s="75" t="str">
        <f>IF(ISERROR(FIND('112'!$M$9,G4603,1)),"",IF((AND(RIGHT(G4603,2)=RIGHT('112'!$M$9,2),B4603&lt;'112'!$K$9,$O4603='112'!$I$6)),"x",""))</f>
        <v/>
      </c>
      <c r="W4603" s="75" t="str">
        <f>IF(AND('341-CT'!$H$9=H4603,OR(LEFT(N4603,3)=$W$7,LEFT(O4603,3)=$W$7)),"x","")</f>
        <v/>
      </c>
      <c r="X4603" s="75" t="str">
        <f>IF(OR(TH!N5366=TH!$X$7,O4603=TH!$X$7),"x","")</f>
        <v/>
      </c>
      <c r="Y4603" s="75" t="str">
        <f>IF(AND(OR(N4603="131",O4603="131"),H4603='131-CT'!$H$9),"x","")</f>
        <v/>
      </c>
      <c r="Z4603" s="75"/>
      <c r="AA4603" s="75" t="str">
        <f>IF(AND(MONTH(E4603)='IN-NX'!$J$5,'IN-NX'!$D$7=D4603),"x","")</f>
        <v/>
      </c>
      <c r="AB4603" s="75" t="str">
        <f>IF(AND(OR(LEFT(TH!N5366,2)="15",LEFT(TH!O5366,2)="15"),LEFT(TH!O5366,3)&lt;&gt;"111",'152-CT'!$J$8=TH!F5366),"x","")</f>
        <v/>
      </c>
      <c r="AC4603" s="75" t="str">
        <f>IF(AND(OR(LEFT(TH!N5366,2)="15",LEFT(TH!O5366,2)="15"),TK!$E$7=TH!F5366),"x","")</f>
        <v/>
      </c>
      <c r="AD4603" s="75" t="str">
        <f>IF(AND(N4603="1521",MONTH(C4603)='BK-NL'!$M$11),"x","")</f>
        <v/>
      </c>
      <c r="AE4603"/>
      <c r="AF4603"/>
      <c r="AG4603"/>
    </row>
    <row r="4604" spans="1:33" ht="16.5" customHeight="1">
      <c r="A4604" s="309" t="str">
        <f>IF(B4604&lt;&gt;"",IF(AND(B4604='IN-TC'!$S$4,OR(TH!N4594="1111",TH!O4594="1111")),TH!D4594,""),"")</f>
        <v/>
      </c>
      <c r="B4604" s="1129">
        <f t="shared" si="1328"/>
        <v>8</v>
      </c>
      <c r="C4604" s="292">
        <f t="shared" si="1329"/>
        <v>42948</v>
      </c>
      <c r="D4604" s="59" t="s">
        <v>902</v>
      </c>
      <c r="E4604" s="59">
        <v>42948</v>
      </c>
      <c r="F4604" s="62" t="s">
        <v>1307</v>
      </c>
      <c r="G4604" s="62" t="s">
        <v>747</v>
      </c>
      <c r="H4604" s="67" t="s">
        <v>835</v>
      </c>
      <c r="I4604" s="373"/>
      <c r="J4604" s="382"/>
      <c r="K4604" s="373"/>
      <c r="L4604" s="379"/>
      <c r="M4604" s="60">
        <v>21000</v>
      </c>
      <c r="N4604" s="61" t="s">
        <v>101</v>
      </c>
      <c r="O4604" s="61" t="s">
        <v>26</v>
      </c>
      <c r="P4604" s="75" t="str">
        <f>IF(AND('331-CT'!$E$7=TH!H5367,OR(N4604="331",O4604="331")),"x","")</f>
        <v/>
      </c>
      <c r="Q4604" s="75" t="str">
        <f>IF(AND(B4604='111'!$L$11,OR($N4604=$Q$7,$O4604=$Q$7)),"x","")</f>
        <v/>
      </c>
      <c r="R4604" s="75" t="str">
        <f>IF(AND($N4604=$Q$7,$B4604&lt;'111'!$L$11),"x","")</f>
        <v/>
      </c>
      <c r="S4604" s="75" t="str">
        <f>IF(AND($O4604=$Q$7,$B4604&lt;'111'!$L$11),"x","")</f>
        <v/>
      </c>
      <c r="T4604" s="75" t="str">
        <f>IF(ISERROR(FIND('112'!$M$9,G4604,1)),"",IF((AND(FIND('112'!$M$9,G4604,1)&gt;=1,B4604='112'!$K$9,OR($N4604='112'!$I$6,$O4604='112'!$I$6))),"x",""))</f>
        <v/>
      </c>
      <c r="U4604" s="75" t="str">
        <f>IF(ISERROR(FIND('112'!$M$9,G4604,1)),"",IF((AND(LEFT(G4604,2)=LEFT('112'!$M$9,2),B4604&lt;'112'!$K$9,$N4604='112'!$I$6)),"x",""))</f>
        <v/>
      </c>
      <c r="V4604" s="75" t="str">
        <f>IF(ISERROR(FIND('112'!$M$9,G4604,1)),"",IF((AND(RIGHT(G4604,2)=RIGHT('112'!$M$9,2),B4604&lt;'112'!$K$9,$O4604='112'!$I$6)),"x",""))</f>
        <v/>
      </c>
      <c r="W4604" s="75" t="str">
        <f>IF(AND('341-CT'!$H$9=H4604,OR(LEFT(N4604,3)=$W$7,LEFT(O4604,3)=$W$7)),"x","")</f>
        <v/>
      </c>
      <c r="X4604" s="75" t="str">
        <f>IF(OR(TH!N5367=TH!$X$7,O4604=TH!$X$7),"x","")</f>
        <v/>
      </c>
      <c r="Y4604" s="75" t="str">
        <f>IF(AND(OR(N4604="131",O4604="131"),H4604='131-CT'!$H$9),"x","")</f>
        <v/>
      </c>
      <c r="Z4604" s="75"/>
      <c r="AA4604" s="75" t="str">
        <f>IF(AND(MONTH(E4604)='IN-NX'!$J$5,'IN-NX'!$D$7=D4604),"x","")</f>
        <v/>
      </c>
      <c r="AB4604" s="75" t="str">
        <f>IF(AND(OR(LEFT(TH!N5367,2)="15",LEFT(TH!O5367,2)="15"),LEFT(TH!O5367,3)&lt;&gt;"111",'152-CT'!$J$8=TH!F5367),"x","")</f>
        <v/>
      </c>
      <c r="AC4604" s="75" t="str">
        <f>IF(AND(OR(LEFT(TH!N5367,2)="15",LEFT(TH!O5367,2)="15"),TK!$E$7=TH!F5367),"x","")</f>
        <v/>
      </c>
      <c r="AD4604" s="75" t="str">
        <f>IF(AND(N4604="1521",MONTH(C4604)='BK-NL'!$M$11),"x","")</f>
        <v/>
      </c>
      <c r="AE4604">
        <v>8</v>
      </c>
    </row>
    <row r="4605" spans="1:33" s="1053" customFormat="1" ht="16.5" customHeight="1">
      <c r="A4605" s="309" t="str">
        <f>IF(B4605&lt;&gt;"",IF(AND(B4605='IN-TC'!$S$4,OR(TH!N4595="1111",TH!O4595="1111")),TH!D4595,""),"")</f>
        <v/>
      </c>
      <c r="B4605" s="1129">
        <f t="shared" si="1328"/>
        <v>8</v>
      </c>
      <c r="C4605" s="292">
        <f t="shared" si="1329"/>
        <v>42948</v>
      </c>
      <c r="D4605" s="59" t="s">
        <v>902</v>
      </c>
      <c r="E4605" s="59">
        <v>42948</v>
      </c>
      <c r="F4605" s="62" t="s">
        <v>1314</v>
      </c>
      <c r="G4605" s="62" t="s">
        <v>747</v>
      </c>
      <c r="H4605" s="67" t="s">
        <v>835</v>
      </c>
      <c r="I4605" s="373"/>
      <c r="J4605" s="382"/>
      <c r="K4605" s="373"/>
      <c r="L4605" s="379"/>
      <c r="M4605" s="60">
        <v>2100</v>
      </c>
      <c r="N4605" s="61" t="s">
        <v>9</v>
      </c>
      <c r="O4605" s="61" t="s">
        <v>26</v>
      </c>
      <c r="P4605" s="75" t="str">
        <f>IF(AND('331-CT'!$E$7=TH!H5378,OR(N4605="331",O4605="331")),"x","")</f>
        <v/>
      </c>
      <c r="Q4605" s="75" t="str">
        <f>IF(AND(B4605='111'!$L$11,OR($N4605=$Q$7,$O4605=$Q$7)),"x","")</f>
        <v/>
      </c>
      <c r="R4605" s="75" t="str">
        <f>IF(AND($N4605=$Q$7,$B4605&lt;'111'!$L$11),"x","")</f>
        <v/>
      </c>
      <c r="S4605" s="75" t="str">
        <f>IF(AND($O4605=$Q$7,$B4605&lt;'111'!$L$11),"x","")</f>
        <v/>
      </c>
      <c r="T4605" s="75" t="str">
        <f>IF(ISERROR(FIND('112'!$M$9,G4605,1)),"",IF((AND(FIND('112'!$M$9,G4605,1)&gt;=1,B4605='112'!$K$9,OR($N4605='112'!$I$6,$O4605='112'!$I$6))),"x",""))</f>
        <v/>
      </c>
      <c r="U4605" s="75" t="str">
        <f>IF(ISERROR(FIND('112'!$M$9,G4605,1)),"",IF((AND(LEFT(G4605,2)=LEFT('112'!$M$9,2),B4605&lt;'112'!$K$9,$N4605='112'!$I$6)),"x",""))</f>
        <v/>
      </c>
      <c r="V4605" s="75" t="str">
        <f>IF(ISERROR(FIND('112'!$M$9,G4605,1)),"",IF((AND(RIGHT(G4605,2)=RIGHT('112'!$M$9,2),B4605&lt;'112'!$K$9,$O4605='112'!$I$6)),"x",""))</f>
        <v/>
      </c>
      <c r="W4605" s="75" t="str">
        <f>IF(AND('341-CT'!$H$9=H4605,OR(LEFT(N4605,3)=$W$7,LEFT(O4605,3)=$W$7)),"x","")</f>
        <v/>
      </c>
      <c r="X4605" s="75" t="str">
        <f>IF(OR(TH!N5378=TH!$X$7,O4605=TH!$X$7),"x","")</f>
        <v/>
      </c>
      <c r="Y4605" s="75" t="str">
        <f>IF(AND(OR(N4605="131",O4605="131"),H4605='131-CT'!$H$9),"x","")</f>
        <v/>
      </c>
      <c r="Z4605" s="75"/>
      <c r="AA4605" s="75" t="str">
        <f>IF(AND(MONTH(E4605)='IN-NX'!$J$5,'IN-NX'!$D$7=D4605),"x","")</f>
        <v/>
      </c>
      <c r="AB4605" s="75" t="str">
        <f>IF(AND(OR(LEFT(TH!N5378,2)="15",LEFT(TH!O5378,2)="15"),LEFT(TH!O5378,3)&lt;&gt;"111",'152-CT'!$J$8=TH!F5378),"x","")</f>
        <v/>
      </c>
      <c r="AC4605" s="75" t="str">
        <f>IF(AND(OR(LEFT(TH!N5378,2)="15",LEFT(TH!O5378,2)="15"),TK!$E$7=TH!F5378),"x","")</f>
        <v/>
      </c>
      <c r="AD4605" s="75" t="str">
        <f>IF(AND(N4605="1521",MONTH(C4605)='BK-NL'!$M$11),"x","")</f>
        <v/>
      </c>
      <c r="AE4605">
        <v>8</v>
      </c>
      <c r="AF4605"/>
      <c r="AG4605"/>
    </row>
    <row r="4606" spans="1:33" s="1053" customFormat="1" ht="16.5" customHeight="1">
      <c r="A4606" s="309" t="str">
        <f>IF(B4606&lt;&gt;"",IF(AND(B4606='IN-TC'!$S$4,OR(TH!N4596="1111",TH!O4596="1111")),TH!D4596,""),"")</f>
        <v/>
      </c>
      <c r="B4606" s="1129">
        <f t="shared" si="1328"/>
        <v>8</v>
      </c>
      <c r="C4606" s="292">
        <f t="shared" si="1329"/>
        <v>42948</v>
      </c>
      <c r="D4606" s="59" t="s">
        <v>902</v>
      </c>
      <c r="E4606" s="59">
        <v>42948</v>
      </c>
      <c r="F4606" s="62" t="s">
        <v>1312</v>
      </c>
      <c r="G4606" s="62" t="s">
        <v>747</v>
      </c>
      <c r="H4606" s="68" t="s">
        <v>560</v>
      </c>
      <c r="I4606" s="373"/>
      <c r="J4606" s="382"/>
      <c r="K4606" s="373"/>
      <c r="L4606" s="379"/>
      <c r="M4606" s="60">
        <v>59355400</v>
      </c>
      <c r="N4606" s="61" t="s">
        <v>8</v>
      </c>
      <c r="O4606" s="61" t="s">
        <v>26</v>
      </c>
      <c r="P4606" s="75" t="str">
        <f>IF(AND('331-CT'!$E$7=TH!H5379,OR(N4606="331",O4606="331")),"x","")</f>
        <v/>
      </c>
      <c r="Q4606" s="75" t="str">
        <f>IF(AND(B4606='111'!$L$11,OR($N4606=$Q$7,$O4606=$Q$7)),"x","")</f>
        <v/>
      </c>
      <c r="R4606" s="75" t="str">
        <f>IF(AND($N4606=$Q$7,$B4606&lt;'111'!$L$11),"x","")</f>
        <v/>
      </c>
      <c r="S4606" s="75" t="str">
        <f>IF(AND($O4606=$Q$7,$B4606&lt;'111'!$L$11),"x","")</f>
        <v/>
      </c>
      <c r="T4606" s="75" t="str">
        <f>IF(ISERROR(FIND('112'!$M$9,G4606,1)),"",IF((AND(FIND('112'!$M$9,G4606,1)&gt;=1,B4606='112'!$K$9,OR($N4606='112'!$I$6,$O4606='112'!$I$6))),"x",""))</f>
        <v/>
      </c>
      <c r="U4606" s="75" t="str">
        <f>IF(ISERROR(FIND('112'!$M$9,G4606,1)),"",IF((AND(LEFT(G4606,2)=LEFT('112'!$M$9,2),B4606&lt;'112'!$K$9,$N4606='112'!$I$6)),"x",""))</f>
        <v/>
      </c>
      <c r="V4606" s="75" t="str">
        <f>IF(ISERROR(FIND('112'!$M$9,G4606,1)),"",IF((AND(RIGHT(G4606,2)=RIGHT('112'!$M$9,2),B4606&lt;'112'!$K$9,$O4606='112'!$I$6)),"x",""))</f>
        <v/>
      </c>
      <c r="W4606" s="75" t="str">
        <f>IF(AND('341-CT'!$H$9=H4606,OR(LEFT(N4606,3)=$W$7,LEFT(O4606,3)=$W$7)),"x","")</f>
        <v/>
      </c>
      <c r="X4606" s="75" t="str">
        <f>IF(OR(TH!N5379=TH!$X$7,O4606=TH!$X$7),"x","")</f>
        <v/>
      </c>
      <c r="Y4606" s="75" t="str">
        <f>IF(AND(OR(N4606="131",O4606="131"),H4606='131-CT'!$H$9),"x","")</f>
        <v/>
      </c>
      <c r="Z4606" s="75"/>
      <c r="AA4606" s="75" t="str">
        <f>IF(AND(MONTH(E4606)='IN-NX'!$J$5,'IN-NX'!$D$7=D4606),"x","")</f>
        <v/>
      </c>
      <c r="AB4606" s="75" t="str">
        <f>IF(AND(OR(LEFT(TH!N5379,2)="15",LEFT(TH!O5379,2)="15"),LEFT(TH!O5379,3)&lt;&gt;"111",'152-CT'!$J$8=TH!F5379),"x","")</f>
        <v/>
      </c>
      <c r="AC4606" s="75" t="str">
        <f>IF(AND(OR(LEFT(TH!N5379,2)="15",LEFT(TH!O5379,2)="15"),TK!$E$7=TH!F5379),"x","")</f>
        <v/>
      </c>
      <c r="AD4606" s="75" t="str">
        <f>IF(AND(N4606="1521",MONTH(C4606)='BK-NL'!$M$11),"x","")</f>
        <v/>
      </c>
      <c r="AE4606"/>
      <c r="AF4606"/>
      <c r="AG4606"/>
    </row>
    <row r="4607" spans="1:33" ht="16.5" customHeight="1">
      <c r="A4607" s="309" t="str">
        <f>IF(B4607&lt;&gt;"",IF(AND(B4607='IN-TC'!$S$4,OR(TH!N4597="1111",TH!O4597="1111")),TH!D4597,""),"")</f>
        <v/>
      </c>
      <c r="B4607" s="1129">
        <f t="shared" si="1328"/>
        <v>8</v>
      </c>
      <c r="C4607" s="292">
        <f t="shared" si="1329"/>
        <v>42948</v>
      </c>
      <c r="D4607" s="59" t="s">
        <v>902</v>
      </c>
      <c r="E4607" s="59">
        <v>42948</v>
      </c>
      <c r="F4607" s="62" t="s">
        <v>1307</v>
      </c>
      <c r="G4607" s="62" t="s">
        <v>747</v>
      </c>
      <c r="H4607" s="67" t="s">
        <v>835</v>
      </c>
      <c r="I4607" s="373"/>
      <c r="J4607" s="382"/>
      <c r="K4607" s="373"/>
      <c r="L4607" s="379"/>
      <c r="M4607" s="60">
        <v>17807</v>
      </c>
      <c r="N4607" s="61" t="s">
        <v>101</v>
      </c>
      <c r="O4607" s="61" t="s">
        <v>26</v>
      </c>
      <c r="P4607" s="75" t="str">
        <f>IF(AND('331-CT'!$E$7=TH!H5370,OR(N4607="331",O4607="331")),"x","")</f>
        <v/>
      </c>
      <c r="Q4607" s="75" t="str">
        <f>IF(AND(B4607='111'!$L$11,OR($N4607=$Q$7,$O4607=$Q$7)),"x","")</f>
        <v/>
      </c>
      <c r="R4607" s="75" t="str">
        <f>IF(AND($N4607=$Q$7,$B4607&lt;'111'!$L$11),"x","")</f>
        <v/>
      </c>
      <c r="S4607" s="75" t="str">
        <f>IF(AND($O4607=$Q$7,$B4607&lt;'111'!$L$11),"x","")</f>
        <v/>
      </c>
      <c r="T4607" s="75" t="str">
        <f>IF(ISERROR(FIND('112'!$M$9,G4607,1)),"",IF((AND(FIND('112'!$M$9,G4607,1)&gt;=1,B4607='112'!$K$9,OR($N4607='112'!$I$6,$O4607='112'!$I$6))),"x",""))</f>
        <v/>
      </c>
      <c r="U4607" s="75" t="str">
        <f>IF(ISERROR(FIND('112'!$M$9,G4607,1)),"",IF((AND(LEFT(G4607,2)=LEFT('112'!$M$9,2),B4607&lt;'112'!$K$9,$N4607='112'!$I$6)),"x",""))</f>
        <v/>
      </c>
      <c r="V4607" s="75" t="str">
        <f>IF(ISERROR(FIND('112'!$M$9,G4607,1)),"",IF((AND(RIGHT(G4607,2)=RIGHT('112'!$M$9,2),B4607&lt;'112'!$K$9,$O4607='112'!$I$6)),"x",""))</f>
        <v/>
      </c>
      <c r="W4607" s="75" t="str">
        <f>IF(AND('341-CT'!$H$9=H4607,OR(LEFT(N4607,3)=$W$7,LEFT(O4607,3)=$W$7)),"x","")</f>
        <v/>
      </c>
      <c r="X4607" s="75" t="str">
        <f>IF(OR(TH!N5370=TH!$X$7,O4607=TH!$X$7),"x","")</f>
        <v/>
      </c>
      <c r="Y4607" s="75" t="str">
        <f>IF(AND(OR(N4607="131",O4607="131"),H4607='131-CT'!$H$9),"x","")</f>
        <v/>
      </c>
      <c r="Z4607" s="75"/>
      <c r="AA4607" s="75" t="str">
        <f>IF(AND(MONTH(E4607)='IN-NX'!$J$5,'IN-NX'!$D$7=D4607),"x","")</f>
        <v/>
      </c>
      <c r="AB4607" s="75" t="str">
        <f>IF(AND(OR(LEFT(TH!N5370,2)="15",LEFT(TH!O5370,2)="15"),LEFT(TH!O5370,3)&lt;&gt;"111",'152-CT'!$J$8=TH!F5370),"x","")</f>
        <v/>
      </c>
      <c r="AC4607" s="75" t="str">
        <f>IF(AND(OR(LEFT(TH!N5370,2)="15",LEFT(TH!O5370,2)="15"),TK!$E$7=TH!F5370),"x","")</f>
        <v/>
      </c>
      <c r="AD4607" s="75" t="str">
        <f>IF(AND(N4607="1521",MONTH(C4607)='BK-NL'!$M$11),"x","")</f>
        <v/>
      </c>
      <c r="AE4607">
        <v>8</v>
      </c>
    </row>
    <row r="4608" spans="1:33" s="1053" customFormat="1" ht="16.5" customHeight="1">
      <c r="A4608" s="309" t="str">
        <f>IF(B4608&lt;&gt;"",IF(AND(B4608='IN-TC'!$S$4,OR(TH!N4598="1111",TH!O4598="1111")),TH!D4598,""),"")</f>
        <v/>
      </c>
      <c r="B4608" s="1129">
        <f t="shared" si="1328"/>
        <v>8</v>
      </c>
      <c r="C4608" s="292">
        <f t="shared" si="1329"/>
        <v>42948</v>
      </c>
      <c r="D4608" s="59" t="s">
        <v>902</v>
      </c>
      <c r="E4608" s="59">
        <v>42948</v>
      </c>
      <c r="F4608" s="62" t="s">
        <v>1314</v>
      </c>
      <c r="G4608" s="62" t="s">
        <v>747</v>
      </c>
      <c r="H4608" s="67" t="s">
        <v>835</v>
      </c>
      <c r="I4608" s="373"/>
      <c r="J4608" s="382"/>
      <c r="K4608" s="373"/>
      <c r="L4608" s="379"/>
      <c r="M4608" s="60">
        <v>1781</v>
      </c>
      <c r="N4608" s="61" t="s">
        <v>9</v>
      </c>
      <c r="O4608" s="61" t="s">
        <v>26</v>
      </c>
      <c r="P4608" s="75" t="str">
        <f>IF(AND('331-CT'!$E$7=TH!H5371,OR(N4608="331",O4608="331")),"x","")</f>
        <v/>
      </c>
      <c r="Q4608" s="75" t="str">
        <f>IF(AND(B4608='111'!$L$11,OR($N4608=$Q$7,$O4608=$Q$7)),"x","")</f>
        <v/>
      </c>
      <c r="R4608" s="75" t="str">
        <f>IF(AND($N4608=$Q$7,$B4608&lt;'111'!$L$11),"x","")</f>
        <v/>
      </c>
      <c r="S4608" s="75" t="str">
        <f>IF(AND($O4608=$Q$7,$B4608&lt;'111'!$L$11),"x","")</f>
        <v/>
      </c>
      <c r="T4608" s="75" t="str">
        <f>IF(ISERROR(FIND('112'!$M$9,G4608,1)),"",IF((AND(FIND('112'!$M$9,G4608,1)&gt;=1,B4608='112'!$K$9,OR($N4608='112'!$I$6,$O4608='112'!$I$6))),"x",""))</f>
        <v/>
      </c>
      <c r="U4608" s="75" t="str">
        <f>IF(ISERROR(FIND('112'!$M$9,G4608,1)),"",IF((AND(LEFT(G4608,2)=LEFT('112'!$M$9,2),B4608&lt;'112'!$K$9,$N4608='112'!$I$6)),"x",""))</f>
        <v/>
      </c>
      <c r="V4608" s="75" t="str">
        <f>IF(ISERROR(FIND('112'!$M$9,G4608,1)),"",IF((AND(RIGHT(G4608,2)=RIGHT('112'!$M$9,2),B4608&lt;'112'!$K$9,$O4608='112'!$I$6)),"x",""))</f>
        <v/>
      </c>
      <c r="W4608" s="75" t="str">
        <f>IF(AND('341-CT'!$H$9=H4608,OR(LEFT(N4608,3)=$W$7,LEFT(O4608,3)=$W$7)),"x","")</f>
        <v/>
      </c>
      <c r="X4608" s="75" t="str">
        <f>IF(OR(TH!N5371=TH!$X$7,O4608=TH!$X$7),"x","")</f>
        <v/>
      </c>
      <c r="Y4608" s="75" t="str">
        <f>IF(AND(OR(N4608="131",O4608="131"),H4608='131-CT'!$H$9),"x","")</f>
        <v/>
      </c>
      <c r="Z4608" s="75"/>
      <c r="AA4608" s="75" t="str">
        <f>IF(AND(MONTH(E4608)='IN-NX'!$J$5,'IN-NX'!$D$7=D4608),"x","")</f>
        <v/>
      </c>
      <c r="AB4608" s="75" t="str">
        <f>IF(AND(OR(LEFT(TH!N5371,2)="15",LEFT(TH!O5371,2)="15"),LEFT(TH!O5371,3)&lt;&gt;"111",'152-CT'!$J$8=TH!F5371),"x","")</f>
        <v/>
      </c>
      <c r="AC4608" s="75" t="str">
        <f>IF(AND(OR(LEFT(TH!N5371,2)="15",LEFT(TH!O5371,2)="15"),TK!$E$7=TH!F5371),"x","")</f>
        <v/>
      </c>
      <c r="AD4608" s="75" t="str">
        <f>IF(AND(N4608="1521",MONTH(C4608)='BK-NL'!$M$11),"x","")</f>
        <v/>
      </c>
      <c r="AE4608">
        <v>8</v>
      </c>
      <c r="AF4608"/>
      <c r="AG4608"/>
    </row>
    <row r="4609" spans="1:33" s="1053" customFormat="1" ht="16.5" customHeight="1">
      <c r="A4609" s="309" t="str">
        <f>IF(B4609&lt;&gt;"",IF(AND(B4609='IN-TC'!$S$4,OR(TH!N4599="1111",TH!O4599="1111")),TH!D4599,""),"")</f>
        <v/>
      </c>
      <c r="B4609" s="1129">
        <f t="shared" si="1328"/>
        <v>8</v>
      </c>
      <c r="C4609" s="292">
        <f t="shared" si="1329"/>
        <v>42949</v>
      </c>
      <c r="D4609" s="292" t="s">
        <v>843</v>
      </c>
      <c r="E4609" s="292">
        <v>42949</v>
      </c>
      <c r="F4609" s="293" t="s">
        <v>834</v>
      </c>
      <c r="G4609" s="943" t="s">
        <v>747</v>
      </c>
      <c r="H4609" s="67" t="s">
        <v>1023</v>
      </c>
      <c r="I4609" s="373"/>
      <c r="J4609" s="926"/>
      <c r="K4609" s="373"/>
      <c r="L4609" s="379"/>
      <c r="M4609" s="927">
        <v>530000000</v>
      </c>
      <c r="N4609" s="295" t="s">
        <v>63</v>
      </c>
      <c r="O4609" s="295" t="s">
        <v>26</v>
      </c>
      <c r="P4609" s="75" t="str">
        <f>IF(AND('331-CT'!$E$7=TH!H5375,OR(N4609="331",O4609="331")),"x","")</f>
        <v/>
      </c>
      <c r="Q4609" s="75" t="str">
        <f>IF(AND(B4609='111'!$L$11,OR($N4609=$Q$7,$O4609=$Q$7)),"x","")</f>
        <v/>
      </c>
      <c r="R4609" s="75" t="str">
        <f>IF(AND($N4609=$Q$7,$B4609&lt;'111'!$L$11),"x","")</f>
        <v>x</v>
      </c>
      <c r="S4609" s="75" t="str">
        <f>IF(AND($O4609=$Q$7,$B4609&lt;'111'!$L$11),"x","")</f>
        <v/>
      </c>
      <c r="T4609" s="75" t="str">
        <f>IF(ISERROR(FIND('112'!$M$9,G4609,1)),"",IF((AND(FIND('112'!$M$9,G4609,1)&gt;=1,B4609='112'!$K$9,OR($N4609='112'!$I$6,$O4609='112'!$I$6))),"x",""))</f>
        <v/>
      </c>
      <c r="U4609" s="75" t="str">
        <f>IF(ISERROR(FIND('112'!$M$9,G4609,1)),"",IF((AND(LEFT(G4609,2)=LEFT('112'!$M$9,2),B4609&lt;'112'!$K$9,$N4609='112'!$I$6)),"x",""))</f>
        <v/>
      </c>
      <c r="V4609" s="75" t="str">
        <f>IF(ISERROR(FIND('112'!$M$9,G4609,1)),"",IF((AND(RIGHT(G4609,2)=RIGHT('112'!$M$9,2),B4609&lt;'112'!$K$9,$O4609='112'!$I$6)),"x",""))</f>
        <v/>
      </c>
      <c r="W4609" s="75" t="str">
        <f>IF(AND('341-CT'!$H$9=H4609,OR(LEFT(N4609,3)=$W$7,LEFT(O4609,3)=$W$7)),"x","")</f>
        <v/>
      </c>
      <c r="X4609" s="75" t="str">
        <f>IF(OR(TH!N5375=TH!$X$7,O4609=TH!$X$7),"x","")</f>
        <v/>
      </c>
      <c r="Y4609" s="75" t="str">
        <f>IF(AND(OR(N4609="131",O4609="131"),H4609='131-CT'!$H$9),"x","")</f>
        <v/>
      </c>
      <c r="Z4609" s="75"/>
      <c r="AA4609" s="75" t="str">
        <f>IF(AND(MONTH(E4609)='IN-NX'!$J$5,'IN-NX'!$D$7=D4609),"x","")</f>
        <v/>
      </c>
      <c r="AB4609" s="75" t="str">
        <f>IF(AND(OR(LEFT(TH!N5375,2)="15",LEFT(TH!O5375,2)="15"),LEFT(TH!O5375,3)&lt;&gt;"111",'152-CT'!$J$8=TH!F5375),"x","")</f>
        <v/>
      </c>
      <c r="AC4609" s="75" t="str">
        <f>IF(AND(OR(LEFT(TH!N5375,2)="15",LEFT(TH!O5375,2)="15"),TK!$E$7=TH!F5375),"x","")</f>
        <v/>
      </c>
      <c r="AD4609" s="75" t="str">
        <f>IF(AND(N4609="1521",MONTH(C4609)='BK-NL'!$M$11),"x","")</f>
        <v/>
      </c>
      <c r="AE4609"/>
      <c r="AF4609"/>
      <c r="AG4609"/>
    </row>
    <row r="4610" spans="1:33" s="304" customFormat="1" ht="16.5" customHeight="1">
      <c r="A4610" s="309" t="str">
        <f>IF(B4610&lt;&gt;"",IF(AND(B4610='IN-TC'!$S$4,OR(TH!N4600="1111",TH!O4600="1111")),TH!D4600,""),"")</f>
        <v/>
      </c>
      <c r="B4610" s="1129">
        <f t="shared" si="1328"/>
        <v>8</v>
      </c>
      <c r="C4610" s="292">
        <f t="shared" si="1329"/>
        <v>42949</v>
      </c>
      <c r="D4610" s="292"/>
      <c r="E4610" s="292">
        <v>42949</v>
      </c>
      <c r="F4610" s="293" t="s">
        <v>1035</v>
      </c>
      <c r="G4610" s="925" t="s">
        <v>2045</v>
      </c>
      <c r="H4610" s="294" t="s">
        <v>1038</v>
      </c>
      <c r="I4610" s="373"/>
      <c r="J4610" s="926"/>
      <c r="K4610" s="373"/>
      <c r="L4610" s="379"/>
      <c r="M4610" s="927">
        <v>3325000</v>
      </c>
      <c r="N4610" s="295" t="s">
        <v>539</v>
      </c>
      <c r="O4610" s="295" t="s">
        <v>63</v>
      </c>
      <c r="P4610" s="75" t="str">
        <f>IF(AND('331-CT'!$E$7=TH!H3799,OR(N4610="331",O4610="331")),"x","")</f>
        <v/>
      </c>
      <c r="Q4610" s="75" t="str">
        <f>IF(AND(B4610='111'!$L$11,OR($N4610=$Q$7,$O4610=$Q$7)),"x","")</f>
        <v/>
      </c>
      <c r="R4610" s="75" t="str">
        <f>IF(AND($N4610=$Q$7,$B4610&lt;'111'!$L$11),"x","")</f>
        <v/>
      </c>
      <c r="S4610" s="75" t="str">
        <f>IF(AND($O4610=$Q$7,$B4610&lt;'111'!$L$11),"x","")</f>
        <v>x</v>
      </c>
      <c r="T4610" s="75" t="str">
        <f>IF(ISERROR(FIND('112'!$M$9,G4610,1)),"",IF((AND(FIND('112'!$M$9,G4610,1)&gt;=1,B4610='112'!$K$9,OR($N4610='112'!$I$6,$O4610='112'!$I$6))),"x",""))</f>
        <v/>
      </c>
      <c r="U4610" s="75" t="str">
        <f>IF(ISERROR(FIND('112'!$M$9,G4610,1)),"",IF((AND(LEFT(G4610,2)=LEFT('112'!$M$9,2),B4610&lt;'112'!$K$9,$N4610='112'!$I$6)),"x",""))</f>
        <v/>
      </c>
      <c r="V4610" s="75" t="str">
        <f>IF(ISERROR(FIND('112'!$M$9,G4610,1)),"",IF((AND(RIGHT(G4610,2)=RIGHT('112'!$M$9,2),B4610&lt;'112'!$K$9,$O4610='112'!$I$6)),"x",""))</f>
        <v/>
      </c>
      <c r="W4610" s="75" t="str">
        <f>IF(AND('341-CT'!$H$9=H4610,OR(LEFT(N4610,3)=$W$7,LEFT(O4610,3)=$W$7)),"x","")</f>
        <v/>
      </c>
      <c r="X4610" s="75" t="str">
        <f>IF(OR(TH!N3799=TH!$X$7,O4610=TH!$X$7),"x","")</f>
        <v/>
      </c>
      <c r="Y4610" s="75" t="str">
        <f>IF(AND(OR(N4610="131",O4610="131"),H4610='131-CT'!$H$9),"x","")</f>
        <v/>
      </c>
      <c r="Z4610" s="75"/>
      <c r="AA4610" s="75" t="str">
        <f>IF(AND(MONTH(E4610)='IN-NX'!$J$5,'IN-NX'!$D$7=D4610),"x","")</f>
        <v/>
      </c>
      <c r="AB4610" s="75" t="str">
        <f>IF(AND(OR(LEFT(TH!N3799,2)="15",LEFT(TH!O3799,2)="15"),LEFT(TH!O3799,3)&lt;&gt;"111",'152-CT'!$J$8=TH!F3799),"x","")</f>
        <v/>
      </c>
      <c r="AC4610" s="75" t="str">
        <f>IF(AND(OR(LEFT(TH!N3799,2)="15",LEFT(TH!O3799,2)="15"),TK!$E$7=TH!F3799),"x","")</f>
        <v/>
      </c>
      <c r="AD4610" s="75" t="str">
        <f>IF(AND(N4610="1521",MONTH(C4610)='BK-NL'!$M$11),"x","")</f>
        <v/>
      </c>
      <c r="AE4610">
        <v>8</v>
      </c>
      <c r="AF4610"/>
      <c r="AG4610"/>
    </row>
    <row r="4611" spans="1:33" ht="16.5" customHeight="1">
      <c r="A4611" s="309" t="str">
        <f>IF(B4611&lt;&gt;"",IF(AND(B4611='IN-TC'!$S$4,OR(TH!N4601="1111",TH!O4601="1111")),TH!D4601,""),"")</f>
        <v/>
      </c>
      <c r="B4611" s="1129">
        <f t="shared" si="1328"/>
        <v>8</v>
      </c>
      <c r="C4611" s="292">
        <f t="shared" si="1329"/>
        <v>42949</v>
      </c>
      <c r="D4611" s="292"/>
      <c r="E4611" s="292">
        <v>42949</v>
      </c>
      <c r="F4611" s="293" t="s">
        <v>1036</v>
      </c>
      <c r="G4611" s="925" t="s">
        <v>2045</v>
      </c>
      <c r="H4611" s="294" t="s">
        <v>1038</v>
      </c>
      <c r="I4611" s="373"/>
      <c r="J4611" s="926"/>
      <c r="K4611" s="373"/>
      <c r="L4611" s="379"/>
      <c r="M4611" s="927">
        <v>332500</v>
      </c>
      <c r="N4611" s="295" t="s">
        <v>9</v>
      </c>
      <c r="O4611" s="295" t="s">
        <v>63</v>
      </c>
      <c r="P4611" s="75" t="str">
        <f>IF(AND('331-CT'!$E$7=TH!H3800,OR(N4611="331",O4611="331")),"x","")</f>
        <v/>
      </c>
      <c r="Q4611" s="75" t="str">
        <f>IF(AND(B4611='111'!$L$11,OR($N4611=$Q$7,$O4611=$Q$7)),"x","")</f>
        <v/>
      </c>
      <c r="R4611" s="75" t="str">
        <f>IF(AND($N4611=$Q$7,$B4611&lt;'111'!$L$11),"x","")</f>
        <v/>
      </c>
      <c r="S4611" s="75" t="str">
        <f>IF(AND($O4611=$Q$7,$B4611&lt;'111'!$L$11),"x","")</f>
        <v>x</v>
      </c>
      <c r="T4611" s="75" t="str">
        <f>IF(ISERROR(FIND('112'!$M$9,G4611,1)),"",IF((AND(FIND('112'!$M$9,G4611,1)&gt;=1,B4611='112'!$K$9,OR($N4611='112'!$I$6,$O4611='112'!$I$6))),"x",""))</f>
        <v/>
      </c>
      <c r="U4611" s="75" t="str">
        <f>IF(ISERROR(FIND('112'!$M$9,G4611,1)),"",IF((AND(LEFT(G4611,2)=LEFT('112'!$M$9,2),B4611&lt;'112'!$K$9,$N4611='112'!$I$6)),"x",""))</f>
        <v/>
      </c>
      <c r="V4611" s="75" t="str">
        <f>IF(ISERROR(FIND('112'!$M$9,G4611,1)),"",IF((AND(RIGHT(G4611,2)=RIGHT('112'!$M$9,2),B4611&lt;'112'!$K$9,$O4611='112'!$I$6)),"x",""))</f>
        <v/>
      </c>
      <c r="W4611" s="75" t="str">
        <f>IF(AND('341-CT'!$H$9=H4611,OR(LEFT(N4611,3)=$W$7,LEFT(O4611,3)=$W$7)),"x","")</f>
        <v/>
      </c>
      <c r="X4611" s="75" t="str">
        <f>IF(OR(TH!N3800=TH!$X$7,O4611=TH!$X$7),"x","")</f>
        <v/>
      </c>
      <c r="Y4611" s="75" t="str">
        <f>IF(AND(OR(N4611="131",O4611="131"),H4611='131-CT'!$H$9),"x","")</f>
        <v/>
      </c>
      <c r="Z4611" s="75"/>
      <c r="AA4611" s="75" t="str">
        <f>IF(AND(MONTH(E4611)='IN-NX'!$J$5,'IN-NX'!$D$7=D4611),"x","")</f>
        <v/>
      </c>
      <c r="AB4611" s="75" t="str">
        <f>IF(AND(OR(LEFT(TH!N3800,2)="15",LEFT(TH!O3800,2)="15"),LEFT(TH!O3800,3)&lt;&gt;"111",'152-CT'!$J$8=TH!F3800),"x","")</f>
        <v/>
      </c>
      <c r="AC4611" s="75" t="str">
        <f>IF(AND(OR(LEFT(TH!N3800,2)="15",LEFT(TH!O3800,2)="15"),TK!$E$7=TH!F3800),"x","")</f>
        <v/>
      </c>
      <c r="AD4611" s="75" t="str">
        <f>IF(AND(N4611="1521",MONTH(C4611)='BK-NL'!$M$11),"x","")</f>
        <v/>
      </c>
      <c r="AE4611">
        <v>8</v>
      </c>
    </row>
    <row r="4612" spans="1:33" ht="16.5" customHeight="1">
      <c r="A4612" s="309" t="str">
        <f>IF(B4612&lt;&gt;"",IF(AND(B4612='IN-TC'!$S$4,OR(TH!N4602="1111",TH!O4602="1111")),TH!D4602,""),"")</f>
        <v/>
      </c>
      <c r="B4612" s="1129">
        <f t="shared" si="1328"/>
        <v>8</v>
      </c>
      <c r="C4612" s="292">
        <f t="shared" si="1329"/>
        <v>42949</v>
      </c>
      <c r="D4612" s="59" t="s">
        <v>902</v>
      </c>
      <c r="E4612" s="59">
        <v>42949</v>
      </c>
      <c r="F4612" s="67" t="s">
        <v>897</v>
      </c>
      <c r="G4612" s="62" t="s">
        <v>1713</v>
      </c>
      <c r="H4612" s="294" t="s">
        <v>789</v>
      </c>
      <c r="I4612" s="373"/>
      <c r="J4612" s="379"/>
      <c r="K4612" s="373"/>
      <c r="L4612" s="379"/>
      <c r="M4612" s="60">
        <v>1000000000</v>
      </c>
      <c r="N4612" s="61" t="s">
        <v>8</v>
      </c>
      <c r="O4612" s="61" t="s">
        <v>26</v>
      </c>
      <c r="P4612" s="75" t="str">
        <f>IF(AND('331-CT'!$E$7=TH!H4458,OR(N4612="331",O4612="331")),"x","")</f>
        <v/>
      </c>
      <c r="Q4612" s="75" t="str">
        <f>IF(AND(B4612='111'!$L$11,OR($N4612=$Q$7,$O4612=$Q$7)),"x","")</f>
        <v/>
      </c>
      <c r="R4612" s="75" t="str">
        <f>IF(AND($N4612=$Q$7,$B4612&lt;'111'!$L$11),"x","")</f>
        <v/>
      </c>
      <c r="S4612" s="75" t="str">
        <f>IF(AND($O4612=$Q$7,$B4612&lt;'111'!$L$11),"x","")</f>
        <v/>
      </c>
      <c r="T4612" s="75" t="str">
        <f>IF(ISERROR(FIND('112'!$M$9,G4612,1)),"",IF((AND(FIND('112'!$M$9,G4612,1)&gt;=1,B4612='112'!$K$9,OR($N4612='112'!$I$6,$O4612='112'!$I$6))),"x",""))</f>
        <v/>
      </c>
      <c r="U4612" s="75" t="str">
        <f>IF(ISERROR(FIND('112'!$M$9,G4612,1)),"",IF((AND(LEFT(G4612,2)=LEFT('112'!$M$9,2),B4612&lt;'112'!$K$9,$N4612='112'!$I$6)),"x",""))</f>
        <v/>
      </c>
      <c r="V4612" s="75" t="str">
        <f>IF(ISERROR(FIND('112'!$M$9,G4612,1)),"",IF((AND(RIGHT(G4612,2)=RIGHT('112'!$M$9,2),B4612&lt;'112'!$K$9,$O4612='112'!$I$6)),"x",""))</f>
        <v/>
      </c>
      <c r="W4612" s="75" t="str">
        <f>IF(AND('341-CT'!$H$9=H4612,OR(LEFT(N4612,3)=$W$7,LEFT(O4612,3)=$W$7)),"x","")</f>
        <v/>
      </c>
      <c r="X4612" s="75" t="str">
        <f>IF(OR(TH!N4458=TH!$X$7,O4612=TH!$X$7),"x","")</f>
        <v/>
      </c>
      <c r="Y4612" s="75" t="str">
        <f>IF(AND(OR(N4612="131",O4612="131"),H4612='131-CT'!$H$9),"x","")</f>
        <v/>
      </c>
      <c r="Z4612" s="75"/>
      <c r="AA4612" s="75" t="str">
        <f>IF(AND(MONTH(E4612)='IN-NX'!$J$5,'IN-NX'!$D$7=D4612),"x","")</f>
        <v/>
      </c>
      <c r="AB4612" s="75" t="str">
        <f>IF(AND(OR(LEFT(TH!N4458,2)="15",LEFT(TH!O4458,2)="15"),LEFT(TH!O4458,3)&lt;&gt;"111",'152-CT'!$J$8=TH!F4458),"x","")</f>
        <v/>
      </c>
      <c r="AC4612" s="75" t="str">
        <f>IF(AND(OR(LEFT(TH!N4458,2)="15",LEFT(TH!O4458,2)="15"),TK!$E$7=TH!F4458),"x","")</f>
        <v/>
      </c>
      <c r="AD4612" s="75" t="str">
        <f>IF(AND(N4612="1521",MONTH(C4612)='BK-NL'!$M$11),"x","")</f>
        <v/>
      </c>
      <c r="AE4612" s="1053"/>
      <c r="AF4612" s="1053"/>
      <c r="AG4612" s="1053"/>
    </row>
    <row r="4613" spans="1:33" s="1053" customFormat="1" ht="16.5" customHeight="1">
      <c r="A4613" s="309" t="str">
        <f>IF(B4613&lt;&gt;"",IF(AND(B4613='IN-TC'!$S$4,OR(TH!N4603="1111",TH!O4603="1111")),TH!D4603,""),"")</f>
        <v/>
      </c>
      <c r="B4613" s="1129">
        <f t="shared" si="1328"/>
        <v>8</v>
      </c>
      <c r="C4613" s="292">
        <f t="shared" si="1329"/>
        <v>42949</v>
      </c>
      <c r="D4613" s="59" t="s">
        <v>902</v>
      </c>
      <c r="E4613" s="59">
        <v>42949</v>
      </c>
      <c r="F4613" s="67" t="s">
        <v>870</v>
      </c>
      <c r="G4613" s="62" t="s">
        <v>1713</v>
      </c>
      <c r="H4613" s="67"/>
      <c r="I4613" s="375"/>
      <c r="J4613" s="381"/>
      <c r="K4613" s="60"/>
      <c r="L4613" s="381"/>
      <c r="M4613" s="60">
        <v>100000</v>
      </c>
      <c r="N4613" s="61" t="s">
        <v>101</v>
      </c>
      <c r="O4613" s="61" t="s">
        <v>26</v>
      </c>
      <c r="P4613" s="75" t="str">
        <f>IF(AND('331-CT'!$E$7=TH!H4459,OR(N4613="331",O4613="331")),"x","")</f>
        <v/>
      </c>
      <c r="Q4613" s="75" t="str">
        <f>IF(AND(B4613='111'!$L$11,OR($N4613=$Q$7,$O4613=$Q$7)),"x","")</f>
        <v/>
      </c>
      <c r="R4613" s="75" t="str">
        <f>IF(AND($N4613=$Q$7,$B4613&lt;'111'!$L$11),"x","")</f>
        <v/>
      </c>
      <c r="S4613" s="75" t="str">
        <f>IF(AND($O4613=$Q$7,$B4613&lt;'111'!$L$11),"x","")</f>
        <v/>
      </c>
      <c r="T4613" s="75" t="str">
        <f>IF(ISERROR(FIND('112'!$M$9,G4613,1)),"",IF((AND(FIND('112'!$M$9,G4613,1)&gt;=1,B4613='112'!$K$9,OR($N4613='112'!$I$6,$O4613='112'!$I$6))),"x",""))</f>
        <v/>
      </c>
      <c r="U4613" s="75" t="str">
        <f>IF(ISERROR(FIND('112'!$M$9,G4613,1)),"",IF((AND(LEFT(G4613,2)=LEFT('112'!$M$9,2),B4613&lt;'112'!$K$9,$N4613='112'!$I$6)),"x",""))</f>
        <v/>
      </c>
      <c r="V4613" s="75" t="str">
        <f>IF(ISERROR(FIND('112'!$M$9,G4613,1)),"",IF((AND(RIGHT(G4613,2)=RIGHT('112'!$M$9,2),B4613&lt;'112'!$K$9,$O4613='112'!$I$6)),"x",""))</f>
        <v/>
      </c>
      <c r="W4613" s="75" t="str">
        <f>IF(AND('341-CT'!$H$9=H4613,OR(LEFT(N4613,3)=$W$7,LEFT(O4613,3)=$W$7)),"x","")</f>
        <v/>
      </c>
      <c r="X4613" s="75" t="str">
        <f>IF(OR(TH!N4459=TH!$X$7,O4613=TH!$X$7),"x","")</f>
        <v/>
      </c>
      <c r="Y4613" s="75" t="str">
        <f>IF(AND(OR(N4613="131",O4613="131"),H4613='131-CT'!$H$9),"x","")</f>
        <v/>
      </c>
      <c r="Z4613" s="75"/>
      <c r="AA4613" s="75" t="str">
        <f>IF(AND(MONTH(E4613)='IN-NX'!$J$5,'IN-NX'!$D$7=D4613),"x","")</f>
        <v/>
      </c>
      <c r="AB4613" s="75" t="str">
        <f>IF(AND(OR(LEFT(TH!N4459,2)="15",LEFT(TH!O4459,2)="15"),LEFT(TH!O4459,3)&lt;&gt;"111",'152-CT'!$J$8=TH!F4459),"x","")</f>
        <v/>
      </c>
      <c r="AC4613" s="75" t="str">
        <f>IF(AND(OR(LEFT(TH!N4459,2)="15",LEFT(TH!O4459,2)="15"),TK!$E$7=TH!F4459),"x","")</f>
        <v/>
      </c>
      <c r="AD4613" s="75" t="str">
        <f>IF(AND(N4613="1521",MONTH(C4613)='BK-NL'!$M$11),"x","")</f>
        <v/>
      </c>
      <c r="AE4613" s="1053">
        <v>8</v>
      </c>
    </row>
    <row r="4614" spans="1:33" s="1053" customFormat="1" ht="16.5" customHeight="1">
      <c r="A4614" s="309" t="str">
        <f>IF(B4614&lt;&gt;"",IF(AND(B4614='IN-TC'!$S$4,OR(TH!N4604="1111",TH!O4604="1111")),TH!D4604,""),"")</f>
        <v/>
      </c>
      <c r="B4614" s="1129">
        <f t="shared" si="1328"/>
        <v>8</v>
      </c>
      <c r="C4614" s="292">
        <f t="shared" si="1329"/>
        <v>42949</v>
      </c>
      <c r="D4614" s="59" t="s">
        <v>902</v>
      </c>
      <c r="E4614" s="59">
        <v>42949</v>
      </c>
      <c r="F4614" s="67" t="s">
        <v>898</v>
      </c>
      <c r="G4614" s="62" t="s">
        <v>1713</v>
      </c>
      <c r="H4614" s="67"/>
      <c r="I4614" s="375"/>
      <c r="J4614" s="381"/>
      <c r="K4614" s="375"/>
      <c r="L4614" s="381"/>
      <c r="M4614" s="60">
        <v>10000</v>
      </c>
      <c r="N4614" s="61" t="s">
        <v>9</v>
      </c>
      <c r="O4614" s="61" t="s">
        <v>26</v>
      </c>
      <c r="P4614" s="75" t="str">
        <f>IF(AND('331-CT'!$E$7=TH!H4460,OR(N4614="331",O4614="331")),"x","")</f>
        <v/>
      </c>
      <c r="Q4614" s="75" t="str">
        <f>IF(AND(B4614='111'!$L$11,OR($N4614=$Q$7,$O4614=$Q$7)),"x","")</f>
        <v/>
      </c>
      <c r="R4614" s="75" t="str">
        <f>IF(AND($N4614=$Q$7,$B4614&lt;'111'!$L$11),"x","")</f>
        <v/>
      </c>
      <c r="S4614" s="75" t="str">
        <f>IF(AND($O4614=$Q$7,$B4614&lt;'111'!$L$11),"x","")</f>
        <v/>
      </c>
      <c r="T4614" s="75" t="str">
        <f>IF(ISERROR(FIND('112'!$M$9,G4614,1)),"",IF((AND(FIND('112'!$M$9,G4614,1)&gt;=1,B4614='112'!$K$9,OR($N4614='112'!$I$6,$O4614='112'!$I$6))),"x",""))</f>
        <v/>
      </c>
      <c r="U4614" s="75" t="str">
        <f>IF(ISERROR(FIND('112'!$M$9,G4614,1)),"",IF((AND(LEFT(G4614,2)=LEFT('112'!$M$9,2),B4614&lt;'112'!$K$9,$N4614='112'!$I$6)),"x",""))</f>
        <v/>
      </c>
      <c r="V4614" s="75" t="str">
        <f>IF(ISERROR(FIND('112'!$M$9,G4614,1)),"",IF((AND(RIGHT(G4614,2)=RIGHT('112'!$M$9,2),B4614&lt;'112'!$K$9,$O4614='112'!$I$6)),"x",""))</f>
        <v/>
      </c>
      <c r="W4614" s="75" t="str">
        <f>IF(AND('341-CT'!$H$9=H4614,OR(LEFT(N4614,3)=$W$7,LEFT(O4614,3)=$W$7)),"x","")</f>
        <v/>
      </c>
      <c r="X4614" s="75" t="str">
        <f>IF(OR(TH!N4460=TH!$X$7,O4614=TH!$X$7),"x","")</f>
        <v/>
      </c>
      <c r="Y4614" s="75" t="str">
        <f>IF(AND(OR(N4614="131",O4614="131"),H4614='131-CT'!$H$9),"x","")</f>
        <v/>
      </c>
      <c r="Z4614" s="75"/>
      <c r="AA4614" s="75" t="str">
        <f>IF(AND(MONTH(E4614)='IN-NX'!$J$5,'IN-NX'!$D$7=D4614),"x","")</f>
        <v/>
      </c>
      <c r="AB4614" s="75" t="str">
        <f>IF(AND(OR(LEFT(TH!N4460,2)="15",LEFT(TH!O4460,2)="15"),LEFT(TH!O4460,3)&lt;&gt;"111",'152-CT'!$J$8=TH!F4460),"x","")</f>
        <v/>
      </c>
      <c r="AC4614" s="75" t="str">
        <f>IF(AND(OR(LEFT(TH!N4460,2)="15",LEFT(TH!O4460,2)="15"),TK!$E$7=TH!F4460),"x","")</f>
        <v/>
      </c>
      <c r="AD4614" s="75" t="str">
        <f>IF(AND(N4614="1521",MONTH(C4614)='BK-NL'!$M$11),"x","")</f>
        <v/>
      </c>
      <c r="AE4614" s="1053">
        <v>8</v>
      </c>
    </row>
    <row r="4615" spans="1:33" ht="16.5" customHeight="1">
      <c r="A4615" s="309" t="str">
        <f>IF(B4615&lt;&gt;"",IF(AND(B4615='IN-TC'!$S$4,OR(TH!N4605="1111",TH!O4605="1111")),TH!D4605,""),"")</f>
        <v/>
      </c>
      <c r="B4615" s="1129">
        <f t="shared" si="1328"/>
        <v>8</v>
      </c>
      <c r="C4615" s="292">
        <f t="shared" si="1329"/>
        <v>42949</v>
      </c>
      <c r="D4615" s="59" t="s">
        <v>902</v>
      </c>
      <c r="E4615" s="59">
        <v>42949</v>
      </c>
      <c r="F4615" s="67" t="s">
        <v>897</v>
      </c>
      <c r="G4615" s="62" t="s">
        <v>1713</v>
      </c>
      <c r="H4615" s="67" t="s">
        <v>791</v>
      </c>
      <c r="I4615" s="373"/>
      <c r="J4615" s="379"/>
      <c r="K4615" s="373"/>
      <c r="L4615" s="379"/>
      <c r="M4615" s="60">
        <v>300000000</v>
      </c>
      <c r="N4615" s="61" t="s">
        <v>8</v>
      </c>
      <c r="O4615" s="61" t="s">
        <v>26</v>
      </c>
      <c r="P4615" s="75" t="str">
        <f>IF(AND('331-CT'!$E$7=TH!H4461,OR(N4615="331",O4615="331")),"x","")</f>
        <v/>
      </c>
      <c r="Q4615" s="75" t="str">
        <f>IF(AND(B4615='111'!$L$11,OR($N4615=$Q$7,$O4615=$Q$7)),"x","")</f>
        <v/>
      </c>
      <c r="R4615" s="75" t="str">
        <f>IF(AND($N4615=$Q$7,$B4615&lt;'111'!$L$11),"x","")</f>
        <v/>
      </c>
      <c r="S4615" s="75" t="str">
        <f>IF(AND($O4615=$Q$7,$B4615&lt;'111'!$L$11),"x","")</f>
        <v/>
      </c>
      <c r="T4615" s="75" t="str">
        <f>IF(ISERROR(FIND('112'!$M$9,G4615,1)),"",IF((AND(FIND('112'!$M$9,G4615,1)&gt;=1,B4615='112'!$K$9,OR($N4615='112'!$I$6,$O4615='112'!$I$6))),"x",""))</f>
        <v/>
      </c>
      <c r="U4615" s="75" t="str">
        <f>IF(ISERROR(FIND('112'!$M$9,G4615,1)),"",IF((AND(LEFT(G4615,2)=LEFT('112'!$M$9,2),B4615&lt;'112'!$K$9,$N4615='112'!$I$6)),"x",""))</f>
        <v/>
      </c>
      <c r="V4615" s="75" t="str">
        <f>IF(ISERROR(FIND('112'!$M$9,G4615,1)),"",IF((AND(RIGHT(G4615,2)=RIGHT('112'!$M$9,2),B4615&lt;'112'!$K$9,$O4615='112'!$I$6)),"x",""))</f>
        <v/>
      </c>
      <c r="W4615" s="75" t="str">
        <f>IF(AND('341-CT'!$H$9=H4615,OR(LEFT(N4615,3)=$W$7,LEFT(O4615,3)=$W$7)),"x","")</f>
        <v/>
      </c>
      <c r="X4615" s="75" t="str">
        <f>IF(OR(TH!N4461=TH!$X$7,O4615=TH!$X$7),"x","")</f>
        <v/>
      </c>
      <c r="Y4615" s="75" t="str">
        <f>IF(AND(OR(N4615="131",O4615="131"),H4615='131-CT'!$H$9),"x","")</f>
        <v/>
      </c>
      <c r="Z4615" s="75"/>
      <c r="AA4615" s="75" t="str">
        <f>IF(AND(MONTH(E4615)='IN-NX'!$J$5,'IN-NX'!$D$7=D4615),"x","")</f>
        <v/>
      </c>
      <c r="AB4615" s="75" t="str">
        <f>IF(AND(OR(LEFT(TH!N4461,2)="15",LEFT(TH!O4461,2)="15"),LEFT(TH!O4461,3)&lt;&gt;"111",'152-CT'!$J$8=TH!F4461),"x","")</f>
        <v/>
      </c>
      <c r="AC4615" s="75" t="str">
        <f>IF(AND(OR(LEFT(TH!N4461,2)="15",LEFT(TH!O4461,2)="15"),TK!$E$7=TH!F4461),"x","")</f>
        <v/>
      </c>
      <c r="AD4615" s="75" t="str">
        <f>IF(AND(N4615="1521",MONTH(C4615)='BK-NL'!$M$11),"x","")</f>
        <v/>
      </c>
      <c r="AE4615" s="1053"/>
      <c r="AF4615" s="1053"/>
      <c r="AG4615" s="1053"/>
    </row>
    <row r="4616" spans="1:33" ht="16.5" customHeight="1">
      <c r="A4616" s="309" t="str">
        <f>IF(B4616&lt;&gt;"",IF(AND(B4616='IN-TC'!$S$4,OR(TH!N4606="1111",TH!O4606="1111")),TH!D4606,""),"")</f>
        <v/>
      </c>
      <c r="B4616" s="1129">
        <f t="shared" si="1328"/>
        <v>8</v>
      </c>
      <c r="C4616" s="292">
        <f t="shared" si="1329"/>
        <v>42949</v>
      </c>
      <c r="D4616" s="59" t="s">
        <v>902</v>
      </c>
      <c r="E4616" s="59">
        <v>42949</v>
      </c>
      <c r="F4616" s="67" t="s">
        <v>870</v>
      </c>
      <c r="G4616" s="62" t="s">
        <v>1713</v>
      </c>
      <c r="H4616" s="67" t="s">
        <v>1771</v>
      </c>
      <c r="I4616" s="375"/>
      <c r="J4616" s="381"/>
      <c r="K4616" s="60"/>
      <c r="L4616" s="381"/>
      <c r="M4616" s="60">
        <v>30000</v>
      </c>
      <c r="N4616" s="61" t="s">
        <v>101</v>
      </c>
      <c r="O4616" s="61" t="s">
        <v>26</v>
      </c>
      <c r="P4616" s="75" t="str">
        <f>IF(AND('331-CT'!$E$7=TH!H4462,OR(N4616="331",O4616="331")),"x","")</f>
        <v/>
      </c>
      <c r="Q4616" s="75" t="str">
        <f>IF(AND(B4616='111'!$L$11,OR($N4616=$Q$7,$O4616=$Q$7)),"x","")</f>
        <v/>
      </c>
      <c r="R4616" s="75" t="str">
        <f>IF(AND($N4616=$Q$7,$B4616&lt;'111'!$L$11),"x","")</f>
        <v/>
      </c>
      <c r="S4616" s="75" t="str">
        <f>IF(AND($O4616=$Q$7,$B4616&lt;'111'!$L$11),"x","")</f>
        <v/>
      </c>
      <c r="T4616" s="75" t="str">
        <f>IF(ISERROR(FIND('112'!$M$9,G4616,1)),"",IF((AND(FIND('112'!$M$9,G4616,1)&gt;=1,B4616='112'!$K$9,OR($N4616='112'!$I$6,$O4616='112'!$I$6))),"x",""))</f>
        <v/>
      </c>
      <c r="U4616" s="75" t="str">
        <f>IF(ISERROR(FIND('112'!$M$9,G4616,1)),"",IF((AND(LEFT(G4616,2)=LEFT('112'!$M$9,2),B4616&lt;'112'!$K$9,$N4616='112'!$I$6)),"x",""))</f>
        <v/>
      </c>
      <c r="V4616" s="75" t="str">
        <f>IF(ISERROR(FIND('112'!$M$9,G4616,1)),"",IF((AND(RIGHT(G4616,2)=RIGHT('112'!$M$9,2),B4616&lt;'112'!$K$9,$O4616='112'!$I$6)),"x",""))</f>
        <v/>
      </c>
      <c r="W4616" s="75" t="str">
        <f>IF(AND('341-CT'!$H$9=H4616,OR(LEFT(N4616,3)=$W$7,LEFT(O4616,3)=$W$7)),"x","")</f>
        <v/>
      </c>
      <c r="X4616" s="75" t="str">
        <f>IF(OR(TH!N4462=TH!$X$7,O4616=TH!$X$7),"x","")</f>
        <v/>
      </c>
      <c r="Y4616" s="75" t="str">
        <f>IF(AND(OR(N4616="131",O4616="131"),H4616='131-CT'!$H$9),"x","")</f>
        <v/>
      </c>
      <c r="Z4616" s="75"/>
      <c r="AA4616" s="75" t="str">
        <f>IF(AND(MONTH(E4616)='IN-NX'!$J$5,'IN-NX'!$D$7=D4616),"x","")</f>
        <v/>
      </c>
      <c r="AB4616" s="75" t="str">
        <f>IF(AND(OR(LEFT(TH!N4462,2)="15",LEFT(TH!O4462,2)="15"),LEFT(TH!O4462,3)&lt;&gt;"111",'152-CT'!$J$8=TH!F4462),"x","")</f>
        <v/>
      </c>
      <c r="AC4616" s="75" t="str">
        <f>IF(AND(OR(LEFT(TH!N4462,2)="15",LEFT(TH!O4462,2)="15"),TK!$E$7=TH!F4462),"x","")</f>
        <v/>
      </c>
      <c r="AD4616" s="75" t="str">
        <f>IF(AND(N4616="1521",MONTH(C4616)='BK-NL'!$M$11),"x","")</f>
        <v/>
      </c>
      <c r="AE4616" s="1053">
        <v>8</v>
      </c>
      <c r="AF4616" s="1053"/>
      <c r="AG4616" s="1053"/>
    </row>
    <row r="4617" spans="1:33" ht="16.5" customHeight="1">
      <c r="A4617" s="309" t="str">
        <f>IF(B4617&lt;&gt;"",IF(AND(B4617='IN-TC'!$S$4,OR(TH!N4607="1111",TH!O4607="1111")),TH!D4607,""),"")</f>
        <v/>
      </c>
      <c r="B4617" s="1129">
        <f t="shared" si="1328"/>
        <v>8</v>
      </c>
      <c r="C4617" s="292">
        <f t="shared" si="1329"/>
        <v>42949</v>
      </c>
      <c r="D4617" s="59" t="s">
        <v>902</v>
      </c>
      <c r="E4617" s="59">
        <v>42949</v>
      </c>
      <c r="F4617" s="67" t="s">
        <v>898</v>
      </c>
      <c r="G4617" s="62" t="s">
        <v>1713</v>
      </c>
      <c r="H4617" s="67" t="s">
        <v>1771</v>
      </c>
      <c r="I4617" s="375"/>
      <c r="J4617" s="381"/>
      <c r="K4617" s="375"/>
      <c r="L4617" s="381"/>
      <c r="M4617" s="60">
        <v>3000</v>
      </c>
      <c r="N4617" s="61" t="s">
        <v>9</v>
      </c>
      <c r="O4617" s="61" t="s">
        <v>26</v>
      </c>
      <c r="P4617" s="75" t="str">
        <f>IF(AND('331-CT'!$E$7=TH!H4463,OR(N4617="331",O4617="331")),"x","")</f>
        <v/>
      </c>
      <c r="Q4617" s="75" t="str">
        <f>IF(AND(B4617='111'!$L$11,OR($N4617=$Q$7,$O4617=$Q$7)),"x","")</f>
        <v/>
      </c>
      <c r="R4617" s="75" t="str">
        <f>IF(AND($N4617=$Q$7,$B4617&lt;'111'!$L$11),"x","")</f>
        <v/>
      </c>
      <c r="S4617" s="75" t="str">
        <f>IF(AND($O4617=$Q$7,$B4617&lt;'111'!$L$11),"x","")</f>
        <v/>
      </c>
      <c r="T4617" s="75" t="str">
        <f>IF(ISERROR(FIND('112'!$M$9,G4617,1)),"",IF((AND(FIND('112'!$M$9,G4617,1)&gt;=1,B4617='112'!$K$9,OR($N4617='112'!$I$6,$O4617='112'!$I$6))),"x",""))</f>
        <v/>
      </c>
      <c r="U4617" s="75" t="str">
        <f>IF(ISERROR(FIND('112'!$M$9,G4617,1)),"",IF((AND(LEFT(G4617,2)=LEFT('112'!$M$9,2),B4617&lt;'112'!$K$9,$N4617='112'!$I$6)),"x",""))</f>
        <v/>
      </c>
      <c r="V4617" s="75" t="str">
        <f>IF(ISERROR(FIND('112'!$M$9,G4617,1)),"",IF((AND(RIGHT(G4617,2)=RIGHT('112'!$M$9,2),B4617&lt;'112'!$K$9,$O4617='112'!$I$6)),"x",""))</f>
        <v/>
      </c>
      <c r="W4617" s="75" t="str">
        <f>IF(AND('341-CT'!$H$9=H4617,OR(LEFT(N4617,3)=$W$7,LEFT(O4617,3)=$W$7)),"x","")</f>
        <v/>
      </c>
      <c r="X4617" s="75" t="str">
        <f>IF(OR(TH!N4463=TH!$X$7,O4617=TH!$X$7),"x","")</f>
        <v/>
      </c>
      <c r="Y4617" s="75" t="str">
        <f>IF(AND(OR(N4617="131",O4617="131"),H4617='131-CT'!$H$9),"x","")</f>
        <v/>
      </c>
      <c r="Z4617" s="75"/>
      <c r="AA4617" s="75" t="str">
        <f>IF(AND(MONTH(E4617)='IN-NX'!$J$5,'IN-NX'!$D$7=D4617),"x","")</f>
        <v/>
      </c>
      <c r="AB4617" s="75" t="str">
        <f>IF(AND(OR(LEFT(TH!N4463,2)="15",LEFT(TH!O4463,2)="15"),LEFT(TH!O4463,3)&lt;&gt;"111",'152-CT'!$J$8=TH!F4463),"x","")</f>
        <v/>
      </c>
      <c r="AC4617" s="75" t="str">
        <f>IF(AND(OR(LEFT(TH!N4463,2)="15",LEFT(TH!O4463,2)="15"),TK!$E$7=TH!F4463),"x","")</f>
        <v/>
      </c>
      <c r="AD4617" s="75" t="str">
        <f>IF(AND(N4617="1521",MONTH(C4617)='BK-NL'!$M$11),"x","")</f>
        <v/>
      </c>
      <c r="AE4617" s="1053">
        <v>8</v>
      </c>
      <c r="AF4617" s="1053"/>
      <c r="AG4617" s="1053"/>
    </row>
    <row r="4618" spans="1:33" s="1053" customFormat="1" ht="16.5" customHeight="1">
      <c r="A4618" s="309" t="str">
        <f>IF(B4618&lt;&gt;"",IF(AND(B4618='IN-TC'!$S$4,OR(TH!N4608="1111",TH!O4608="1111")),TH!D4608,""),"")</f>
        <v/>
      </c>
      <c r="B4618" s="1129">
        <f t="shared" si="1328"/>
        <v>8</v>
      </c>
      <c r="C4618" s="292">
        <f t="shared" si="1329"/>
        <v>42949</v>
      </c>
      <c r="D4618" s="59" t="s">
        <v>902</v>
      </c>
      <c r="E4618" s="59">
        <v>42949</v>
      </c>
      <c r="F4618" s="67" t="s">
        <v>897</v>
      </c>
      <c r="G4618" s="62" t="s">
        <v>1713</v>
      </c>
      <c r="H4618" s="67" t="s">
        <v>791</v>
      </c>
      <c r="I4618" s="373"/>
      <c r="J4618" s="379"/>
      <c r="K4618" s="373"/>
      <c r="L4618" s="379"/>
      <c r="M4618" s="60">
        <v>1000000000</v>
      </c>
      <c r="N4618" s="61" t="s">
        <v>8</v>
      </c>
      <c r="O4618" s="61" t="s">
        <v>26</v>
      </c>
      <c r="P4618" s="75" t="str">
        <f>IF(AND('331-CT'!$E$7=TH!H4464,OR(N4618="331",O4618="331")),"x","")</f>
        <v/>
      </c>
      <c r="Q4618" s="75" t="str">
        <f>IF(AND(B4618='111'!$L$11,OR($N4618=$Q$7,$O4618=$Q$7)),"x","")</f>
        <v/>
      </c>
      <c r="R4618" s="75" t="str">
        <f>IF(AND($N4618=$Q$7,$B4618&lt;'111'!$L$11),"x","")</f>
        <v/>
      </c>
      <c r="S4618" s="75" t="str">
        <f>IF(AND($O4618=$Q$7,$B4618&lt;'111'!$L$11),"x","")</f>
        <v/>
      </c>
      <c r="T4618" s="75" t="str">
        <f>IF(ISERROR(FIND('112'!$M$9,G4618,1)),"",IF((AND(FIND('112'!$M$9,G4618,1)&gt;=1,B4618='112'!$K$9,OR($N4618='112'!$I$6,$O4618='112'!$I$6))),"x",""))</f>
        <v/>
      </c>
      <c r="U4618" s="75" t="str">
        <f>IF(ISERROR(FIND('112'!$M$9,G4618,1)),"",IF((AND(LEFT(G4618,2)=LEFT('112'!$M$9,2),B4618&lt;'112'!$K$9,$N4618='112'!$I$6)),"x",""))</f>
        <v/>
      </c>
      <c r="V4618" s="75" t="str">
        <f>IF(ISERROR(FIND('112'!$M$9,G4618,1)),"",IF((AND(RIGHT(G4618,2)=RIGHT('112'!$M$9,2),B4618&lt;'112'!$K$9,$O4618='112'!$I$6)),"x",""))</f>
        <v/>
      </c>
      <c r="W4618" s="75" t="str">
        <f>IF(AND('341-CT'!$H$9=H4618,OR(LEFT(N4618,3)=$W$7,LEFT(O4618,3)=$W$7)),"x","")</f>
        <v/>
      </c>
      <c r="X4618" s="75" t="str">
        <f>IF(OR(TH!N4464=TH!$X$7,O4618=TH!$X$7),"x","")</f>
        <v/>
      </c>
      <c r="Y4618" s="75" t="str">
        <f>IF(AND(OR(N4618="131",O4618="131"),H4618='131-CT'!$H$9),"x","")</f>
        <v/>
      </c>
      <c r="Z4618" s="75"/>
      <c r="AA4618" s="75" t="str">
        <f>IF(AND(MONTH(E4618)='IN-NX'!$J$5,'IN-NX'!$D$7=D4618),"x","")</f>
        <v/>
      </c>
      <c r="AB4618" s="75" t="str">
        <f>IF(AND(OR(LEFT(TH!N4464,2)="15",LEFT(TH!O4464,2)="15"),LEFT(TH!O4464,3)&lt;&gt;"111",'152-CT'!$J$8=TH!F4464),"x","")</f>
        <v/>
      </c>
      <c r="AC4618" s="75" t="str">
        <f>IF(AND(OR(LEFT(TH!N4464,2)="15",LEFT(TH!O4464,2)="15"),TK!$E$7=TH!F4464),"x","")</f>
        <v/>
      </c>
      <c r="AD4618" s="75" t="str">
        <f>IF(AND(N4618="1521",MONTH(C4618)='BK-NL'!$M$11),"x","")</f>
        <v/>
      </c>
    </row>
    <row r="4619" spans="1:33" s="1053" customFormat="1" ht="16.5" customHeight="1">
      <c r="A4619" s="309" t="str">
        <f>IF(B4619&lt;&gt;"",IF(AND(B4619='IN-TC'!$S$4,OR(TH!N4609="1111",TH!O4609="1111")),TH!D4609,""),"")</f>
        <v/>
      </c>
      <c r="B4619" s="1129">
        <f t="shared" si="1328"/>
        <v>8</v>
      </c>
      <c r="C4619" s="292">
        <f t="shared" si="1329"/>
        <v>42949</v>
      </c>
      <c r="D4619" s="59" t="s">
        <v>902</v>
      </c>
      <c r="E4619" s="59">
        <v>42949</v>
      </c>
      <c r="F4619" s="67" t="s">
        <v>870</v>
      </c>
      <c r="G4619" s="62" t="s">
        <v>1713</v>
      </c>
      <c r="H4619" s="67"/>
      <c r="I4619" s="375"/>
      <c r="J4619" s="381"/>
      <c r="K4619" s="60"/>
      <c r="L4619" s="381"/>
      <c r="M4619" s="60">
        <v>100000</v>
      </c>
      <c r="N4619" s="61" t="s">
        <v>101</v>
      </c>
      <c r="O4619" s="61" t="s">
        <v>26</v>
      </c>
      <c r="P4619" s="75" t="str">
        <f>IF(AND('331-CT'!$E$7=TH!H4465,OR(N4619="331",O4619="331")),"x","")</f>
        <v/>
      </c>
      <c r="Q4619" s="75" t="str">
        <f>IF(AND(B4619='111'!$L$11,OR($N4619=$Q$7,$O4619=$Q$7)),"x","")</f>
        <v/>
      </c>
      <c r="R4619" s="75" t="str">
        <f>IF(AND($N4619=$Q$7,$B4619&lt;'111'!$L$11),"x","")</f>
        <v/>
      </c>
      <c r="S4619" s="75" t="str">
        <f>IF(AND($O4619=$Q$7,$B4619&lt;'111'!$L$11),"x","")</f>
        <v/>
      </c>
      <c r="T4619" s="75" t="str">
        <f>IF(ISERROR(FIND('112'!$M$9,G4619,1)),"",IF((AND(FIND('112'!$M$9,G4619,1)&gt;=1,B4619='112'!$K$9,OR($N4619='112'!$I$6,$O4619='112'!$I$6))),"x",""))</f>
        <v/>
      </c>
      <c r="U4619" s="75" t="str">
        <f>IF(ISERROR(FIND('112'!$M$9,G4619,1)),"",IF((AND(LEFT(G4619,2)=LEFT('112'!$M$9,2),B4619&lt;'112'!$K$9,$N4619='112'!$I$6)),"x",""))</f>
        <v/>
      </c>
      <c r="V4619" s="75" t="str">
        <f>IF(ISERROR(FIND('112'!$M$9,G4619,1)),"",IF((AND(RIGHT(G4619,2)=RIGHT('112'!$M$9,2),B4619&lt;'112'!$K$9,$O4619='112'!$I$6)),"x",""))</f>
        <v/>
      </c>
      <c r="W4619" s="75" t="str">
        <f>IF(AND('341-CT'!$H$9=H4619,OR(LEFT(N4619,3)=$W$7,LEFT(O4619,3)=$W$7)),"x","")</f>
        <v/>
      </c>
      <c r="X4619" s="75" t="str">
        <f>IF(OR(TH!N4465=TH!$X$7,O4619=TH!$X$7),"x","")</f>
        <v/>
      </c>
      <c r="Y4619" s="75" t="str">
        <f>IF(AND(OR(N4619="131",O4619="131"),H4619='131-CT'!$H$9),"x","")</f>
        <v/>
      </c>
      <c r="Z4619" s="75"/>
      <c r="AA4619" s="75" t="str">
        <f>IF(AND(MONTH(E4619)='IN-NX'!$J$5,'IN-NX'!$D$7=D4619),"x","")</f>
        <v/>
      </c>
      <c r="AB4619" s="75" t="str">
        <f>IF(AND(OR(LEFT(TH!N4465,2)="15",LEFT(TH!O4465,2)="15"),LEFT(TH!O4465,3)&lt;&gt;"111",'152-CT'!$J$8=TH!F4465),"x","")</f>
        <v/>
      </c>
      <c r="AC4619" s="75" t="str">
        <f>IF(AND(OR(LEFT(TH!N4465,2)="15",LEFT(TH!O4465,2)="15"),TK!$E$7=TH!F4465),"x","")</f>
        <v/>
      </c>
      <c r="AD4619" s="75" t="str">
        <f>IF(AND(N4619="1521",MONTH(C4619)='BK-NL'!$M$11),"x","")</f>
        <v/>
      </c>
      <c r="AE4619" s="1053">
        <v>8</v>
      </c>
    </row>
    <row r="4620" spans="1:33" ht="16.5" customHeight="1">
      <c r="A4620" s="309" t="str">
        <f>IF(B4620&lt;&gt;"",IF(AND(B4620='IN-TC'!$S$4,OR(TH!N4610="1111",TH!O4610="1111")),TH!D4610,""),"")</f>
        <v/>
      </c>
      <c r="B4620" s="1129">
        <f t="shared" si="1328"/>
        <v>8</v>
      </c>
      <c r="C4620" s="292">
        <f t="shared" si="1329"/>
        <v>42949</v>
      </c>
      <c r="D4620" s="59" t="s">
        <v>902</v>
      </c>
      <c r="E4620" s="59">
        <v>42949</v>
      </c>
      <c r="F4620" s="67" t="s">
        <v>898</v>
      </c>
      <c r="G4620" s="62" t="s">
        <v>1713</v>
      </c>
      <c r="H4620" s="67"/>
      <c r="I4620" s="375"/>
      <c r="J4620" s="381"/>
      <c r="K4620" s="375"/>
      <c r="L4620" s="381"/>
      <c r="M4620" s="60">
        <v>10000</v>
      </c>
      <c r="N4620" s="61" t="s">
        <v>9</v>
      </c>
      <c r="O4620" s="61" t="s">
        <v>26</v>
      </c>
      <c r="P4620" s="75" t="str">
        <f>IF(AND('331-CT'!$E$7=TH!H4466,OR(N4620="331",O4620="331")),"x","")</f>
        <v/>
      </c>
      <c r="Q4620" s="75" t="str">
        <f>IF(AND(B4620='111'!$L$11,OR($N4620=$Q$7,$O4620=$Q$7)),"x","")</f>
        <v/>
      </c>
      <c r="R4620" s="75" t="str">
        <f>IF(AND($N4620=$Q$7,$B4620&lt;'111'!$L$11),"x","")</f>
        <v/>
      </c>
      <c r="S4620" s="75" t="str">
        <f>IF(AND($O4620=$Q$7,$B4620&lt;'111'!$L$11),"x","")</f>
        <v/>
      </c>
      <c r="T4620" s="75" t="str">
        <f>IF(ISERROR(FIND('112'!$M$9,G4620,1)),"",IF((AND(FIND('112'!$M$9,G4620,1)&gt;=1,B4620='112'!$K$9,OR($N4620='112'!$I$6,$O4620='112'!$I$6))),"x",""))</f>
        <v/>
      </c>
      <c r="U4620" s="75" t="str">
        <f>IF(ISERROR(FIND('112'!$M$9,G4620,1)),"",IF((AND(LEFT(G4620,2)=LEFT('112'!$M$9,2),B4620&lt;'112'!$K$9,$N4620='112'!$I$6)),"x",""))</f>
        <v/>
      </c>
      <c r="V4620" s="75" t="str">
        <f>IF(ISERROR(FIND('112'!$M$9,G4620,1)),"",IF((AND(RIGHT(G4620,2)=RIGHT('112'!$M$9,2),B4620&lt;'112'!$K$9,$O4620='112'!$I$6)),"x",""))</f>
        <v/>
      </c>
      <c r="W4620" s="75" t="str">
        <f>IF(AND('341-CT'!$H$9=H4620,OR(LEFT(N4620,3)=$W$7,LEFT(O4620,3)=$W$7)),"x","")</f>
        <v/>
      </c>
      <c r="X4620" s="75" t="str">
        <f>IF(OR(TH!N4466=TH!$X$7,O4620=TH!$X$7),"x","")</f>
        <v/>
      </c>
      <c r="Y4620" s="75" t="str">
        <f>IF(AND(OR(N4620="131",O4620="131"),H4620='131-CT'!$H$9),"x","")</f>
        <v/>
      </c>
      <c r="Z4620" s="75"/>
      <c r="AA4620" s="75" t="str">
        <f>IF(AND(MONTH(E4620)='IN-NX'!$J$5,'IN-NX'!$D$7=D4620),"x","")</f>
        <v/>
      </c>
      <c r="AB4620" s="75" t="str">
        <f>IF(AND(OR(LEFT(TH!N4466,2)="15",LEFT(TH!O4466,2)="15"),LEFT(TH!O4466,3)&lt;&gt;"111",'152-CT'!$J$8=TH!F4466),"x","")</f>
        <v/>
      </c>
      <c r="AC4620" s="75" t="str">
        <f>IF(AND(OR(LEFT(TH!N4466,2)="15",LEFT(TH!O4466,2)="15"),TK!$E$7=TH!F4466),"x","")</f>
        <v/>
      </c>
      <c r="AD4620" s="75" t="str">
        <f>IF(AND(N4620="1521",MONTH(C4620)='BK-NL'!$M$11),"x","")</f>
        <v/>
      </c>
      <c r="AE4620" s="1053">
        <v>8</v>
      </c>
      <c r="AF4620" s="1053"/>
      <c r="AG4620" s="1053"/>
    </row>
    <row r="4621" spans="1:33" ht="16.5" customHeight="1">
      <c r="A4621" s="309" t="str">
        <f>IF(B4621&lt;&gt;"",IF(AND(B4621='IN-TC'!$S$4,OR(TH!N4611="1111",TH!O4611="1111")),TH!D4611,""),"")</f>
        <v/>
      </c>
      <c r="B4621" s="1129">
        <f t="shared" si="1328"/>
        <v>8</v>
      </c>
      <c r="C4621" s="292">
        <f t="shared" si="1329"/>
        <v>42949</v>
      </c>
      <c r="D4621" s="59" t="s">
        <v>902</v>
      </c>
      <c r="E4621" s="59">
        <v>42949</v>
      </c>
      <c r="F4621" s="67" t="s">
        <v>897</v>
      </c>
      <c r="G4621" s="62" t="s">
        <v>1713</v>
      </c>
      <c r="H4621" s="294" t="s">
        <v>789</v>
      </c>
      <c r="I4621" s="373"/>
      <c r="J4621" s="379"/>
      <c r="K4621" s="373"/>
      <c r="L4621" s="379"/>
      <c r="M4621" s="60">
        <v>332695000</v>
      </c>
      <c r="N4621" s="61" t="s">
        <v>8</v>
      </c>
      <c r="O4621" s="61" t="s">
        <v>26</v>
      </c>
      <c r="P4621" s="75" t="str">
        <f>IF(AND('331-CT'!$E$7=TH!H4467,OR(N4621="331",O4621="331")),"x","")</f>
        <v/>
      </c>
      <c r="Q4621" s="75" t="str">
        <f>IF(AND(B4621='111'!$L$11,OR($N4621=$Q$7,$O4621=$Q$7)),"x","")</f>
        <v/>
      </c>
      <c r="R4621" s="75" t="str">
        <f>IF(AND($N4621=$Q$7,$B4621&lt;'111'!$L$11),"x","")</f>
        <v/>
      </c>
      <c r="S4621" s="75" t="str">
        <f>IF(AND($O4621=$Q$7,$B4621&lt;'111'!$L$11),"x","")</f>
        <v/>
      </c>
      <c r="T4621" s="75" t="str">
        <f>IF(ISERROR(FIND('112'!$M$9,G4621,1)),"",IF((AND(FIND('112'!$M$9,G4621,1)&gt;=1,B4621='112'!$K$9,OR($N4621='112'!$I$6,$O4621='112'!$I$6))),"x",""))</f>
        <v/>
      </c>
      <c r="U4621" s="75" t="str">
        <f>IF(ISERROR(FIND('112'!$M$9,G4621,1)),"",IF((AND(LEFT(G4621,2)=LEFT('112'!$M$9,2),B4621&lt;'112'!$K$9,$N4621='112'!$I$6)),"x",""))</f>
        <v/>
      </c>
      <c r="V4621" s="75" t="str">
        <f>IF(ISERROR(FIND('112'!$M$9,G4621,1)),"",IF((AND(RIGHT(G4621,2)=RIGHT('112'!$M$9,2),B4621&lt;'112'!$K$9,$O4621='112'!$I$6)),"x",""))</f>
        <v/>
      </c>
      <c r="W4621" s="75" t="str">
        <f>IF(AND('341-CT'!$H$9=H4621,OR(LEFT(N4621,3)=$W$7,LEFT(O4621,3)=$W$7)),"x","")</f>
        <v/>
      </c>
      <c r="X4621" s="75" t="str">
        <f>IF(OR(TH!N4467=TH!$X$7,O4621=TH!$X$7),"x","")</f>
        <v/>
      </c>
      <c r="Y4621" s="75" t="str">
        <f>IF(AND(OR(N4621="131",O4621="131"),H4621='131-CT'!$H$9),"x","")</f>
        <v/>
      </c>
      <c r="Z4621" s="75"/>
      <c r="AA4621" s="75" t="str">
        <f>IF(AND(MONTH(E4621)='IN-NX'!$J$5,'IN-NX'!$D$7=D4621),"x","")</f>
        <v/>
      </c>
      <c r="AB4621" s="75" t="str">
        <f>IF(AND(OR(LEFT(TH!N4467,2)="15",LEFT(TH!O4467,2)="15"),LEFT(TH!O4467,3)&lt;&gt;"111",'152-CT'!$J$8=TH!F4467),"x","")</f>
        <v/>
      </c>
      <c r="AC4621" s="75" t="str">
        <f>IF(AND(OR(LEFT(TH!N4467,2)="15",LEFT(TH!O4467,2)="15"),TK!$E$7=TH!F4467),"x","")</f>
        <v/>
      </c>
      <c r="AD4621" s="75" t="str">
        <f>IF(AND(N4621="1521",MONTH(C4621)='BK-NL'!$M$11),"x","")</f>
        <v/>
      </c>
      <c r="AE4621" s="1053"/>
      <c r="AF4621" s="1053"/>
      <c r="AG4621" s="1053"/>
    </row>
    <row r="4622" spans="1:33" ht="16.5" customHeight="1">
      <c r="A4622" s="309" t="str">
        <f>IF(B4622&lt;&gt;"",IF(AND(B4622='IN-TC'!$S$4,OR(TH!N4612="1111",TH!O4612="1111")),TH!D4612,""),"")</f>
        <v/>
      </c>
      <c r="B4622" s="1129">
        <f t="shared" si="1328"/>
        <v>8</v>
      </c>
      <c r="C4622" s="292">
        <f t="shared" si="1329"/>
        <v>42949</v>
      </c>
      <c r="D4622" s="59" t="s">
        <v>902</v>
      </c>
      <c r="E4622" s="59">
        <v>42949</v>
      </c>
      <c r="F4622" s="67" t="s">
        <v>870</v>
      </c>
      <c r="G4622" s="62" t="s">
        <v>1713</v>
      </c>
      <c r="H4622" s="67" t="s">
        <v>1771</v>
      </c>
      <c r="I4622" s="375"/>
      <c r="J4622" s="381"/>
      <c r="K4622" s="60"/>
      <c r="L4622" s="381"/>
      <c r="M4622" s="60">
        <v>33570</v>
      </c>
      <c r="N4622" s="61" t="s">
        <v>101</v>
      </c>
      <c r="O4622" s="61" t="s">
        <v>26</v>
      </c>
      <c r="P4622" s="75" t="str">
        <f>IF(AND('331-CT'!$E$7=TH!H4468,OR(N4622="331",O4622="331")),"x","")</f>
        <v/>
      </c>
      <c r="Q4622" s="75" t="str">
        <f>IF(AND(B4622='111'!$L$11,OR($N4622=$Q$7,$O4622=$Q$7)),"x","")</f>
        <v/>
      </c>
      <c r="R4622" s="75" t="str">
        <f>IF(AND($N4622=$Q$7,$B4622&lt;'111'!$L$11),"x","")</f>
        <v/>
      </c>
      <c r="S4622" s="75" t="str">
        <f>IF(AND($O4622=$Q$7,$B4622&lt;'111'!$L$11),"x","")</f>
        <v/>
      </c>
      <c r="T4622" s="75" t="str">
        <f>IF(ISERROR(FIND('112'!$M$9,G4622,1)),"",IF((AND(FIND('112'!$M$9,G4622,1)&gt;=1,B4622='112'!$K$9,OR($N4622='112'!$I$6,$O4622='112'!$I$6))),"x",""))</f>
        <v/>
      </c>
      <c r="U4622" s="75" t="str">
        <f>IF(ISERROR(FIND('112'!$M$9,G4622,1)),"",IF((AND(LEFT(G4622,2)=LEFT('112'!$M$9,2),B4622&lt;'112'!$K$9,$N4622='112'!$I$6)),"x",""))</f>
        <v/>
      </c>
      <c r="V4622" s="75" t="str">
        <f>IF(ISERROR(FIND('112'!$M$9,G4622,1)),"",IF((AND(RIGHT(G4622,2)=RIGHT('112'!$M$9,2),B4622&lt;'112'!$K$9,$O4622='112'!$I$6)),"x",""))</f>
        <v/>
      </c>
      <c r="W4622" s="75" t="str">
        <f>IF(AND('341-CT'!$H$9=H4622,OR(LEFT(N4622,3)=$W$7,LEFT(O4622,3)=$W$7)),"x","")</f>
        <v/>
      </c>
      <c r="X4622" s="75" t="str">
        <f>IF(OR(TH!N4468=TH!$X$7,O4622=TH!$X$7),"x","")</f>
        <v/>
      </c>
      <c r="Y4622" s="75" t="str">
        <f>IF(AND(OR(N4622="131",O4622="131"),H4622='131-CT'!$H$9),"x","")</f>
        <v/>
      </c>
      <c r="Z4622" s="75"/>
      <c r="AA4622" s="75" t="str">
        <f>IF(AND(MONTH(E4622)='IN-NX'!$J$5,'IN-NX'!$D$7=D4622),"x","")</f>
        <v/>
      </c>
      <c r="AB4622" s="75" t="str">
        <f>IF(AND(OR(LEFT(TH!N4468,2)="15",LEFT(TH!O4468,2)="15"),LEFT(TH!O4468,3)&lt;&gt;"111",'152-CT'!$J$8=TH!F4468),"x","")</f>
        <v/>
      </c>
      <c r="AC4622" s="75" t="str">
        <f>IF(AND(OR(LEFT(TH!N4468,2)="15",LEFT(TH!O4468,2)="15"),TK!$E$7=TH!F4468),"x","")</f>
        <v/>
      </c>
      <c r="AD4622" s="75" t="str">
        <f>IF(AND(N4622="1521",MONTH(C4622)='BK-NL'!$M$11),"x","")</f>
        <v/>
      </c>
      <c r="AE4622" s="1053">
        <v>8</v>
      </c>
      <c r="AF4622" s="1053"/>
      <c r="AG4622" s="1053"/>
    </row>
    <row r="4623" spans="1:33" ht="16.5" customHeight="1">
      <c r="A4623" s="309" t="str">
        <f>IF(B4623&lt;&gt;"",IF(AND(B4623='IN-TC'!$S$4,OR(TH!N4613="1111",TH!O4613="1111")),TH!D4613,""),"")</f>
        <v/>
      </c>
      <c r="B4623" s="1129">
        <f t="shared" si="1328"/>
        <v>8</v>
      </c>
      <c r="C4623" s="292">
        <f t="shared" si="1329"/>
        <v>42949</v>
      </c>
      <c r="D4623" s="59" t="s">
        <v>902</v>
      </c>
      <c r="E4623" s="59">
        <v>42949</v>
      </c>
      <c r="F4623" s="67" t="s">
        <v>898</v>
      </c>
      <c r="G4623" s="62" t="s">
        <v>1713</v>
      </c>
      <c r="H4623" s="67" t="s">
        <v>1771</v>
      </c>
      <c r="I4623" s="1122"/>
      <c r="J4623" s="992"/>
      <c r="K4623" s="375"/>
      <c r="L4623" s="381"/>
      <c r="M4623" s="60">
        <v>3027</v>
      </c>
      <c r="N4623" s="61" t="s">
        <v>9</v>
      </c>
      <c r="O4623" s="61" t="s">
        <v>26</v>
      </c>
      <c r="P4623" s="75" t="str">
        <f>IF(AND('331-CT'!$E$7=TH!H4469,OR(N4623="331",O4623="331")),"x","")</f>
        <v/>
      </c>
      <c r="Q4623" s="75" t="str">
        <f>IF(AND(B4623='111'!$L$11,OR($N4623=$Q$7,$O4623=$Q$7)),"x","")</f>
        <v/>
      </c>
      <c r="R4623" s="75" t="str">
        <f>IF(AND($N4623=$Q$7,$B4623&lt;'111'!$L$11),"x","")</f>
        <v/>
      </c>
      <c r="S4623" s="75" t="str">
        <f>IF(AND($O4623=$Q$7,$B4623&lt;'111'!$L$11),"x","")</f>
        <v/>
      </c>
      <c r="T4623" s="75" t="str">
        <f>IF(ISERROR(FIND('112'!$M$9,G4623,1)),"",IF((AND(FIND('112'!$M$9,G4623,1)&gt;=1,B4623='112'!$K$9,OR($N4623='112'!$I$6,$O4623='112'!$I$6))),"x",""))</f>
        <v/>
      </c>
      <c r="U4623" s="75" t="str">
        <f>IF(ISERROR(FIND('112'!$M$9,G4623,1)),"",IF((AND(LEFT(G4623,2)=LEFT('112'!$M$9,2),B4623&lt;'112'!$K$9,$N4623='112'!$I$6)),"x",""))</f>
        <v/>
      </c>
      <c r="V4623" s="75" t="str">
        <f>IF(ISERROR(FIND('112'!$M$9,G4623,1)),"",IF((AND(RIGHT(G4623,2)=RIGHT('112'!$M$9,2),B4623&lt;'112'!$K$9,$O4623='112'!$I$6)),"x",""))</f>
        <v/>
      </c>
      <c r="W4623" s="75" t="str">
        <f>IF(AND('341-CT'!$H$9=H4623,OR(LEFT(N4623,3)=$W$7,LEFT(O4623,3)=$W$7)),"x","")</f>
        <v/>
      </c>
      <c r="X4623" s="75" t="str">
        <f>IF(OR(TH!N4469=TH!$X$7,O4623=TH!$X$7),"x","")</f>
        <v/>
      </c>
      <c r="Y4623" s="75" t="str">
        <f>IF(AND(OR(N4623="131",O4623="131"),H4623='131-CT'!$H$9),"x","")</f>
        <v/>
      </c>
      <c r="Z4623" s="75"/>
      <c r="AA4623" s="75" t="str">
        <f>IF(AND(MONTH(E4623)='IN-NX'!$J$5,'IN-NX'!$D$7=D4623),"x","")</f>
        <v/>
      </c>
      <c r="AB4623" s="75" t="str">
        <f>IF(AND(OR(LEFT(TH!N4469,2)="15",LEFT(TH!O4469,2)="15"),LEFT(TH!O4469,3)&lt;&gt;"111",'152-CT'!$J$8=TH!F4469),"x","")</f>
        <v/>
      </c>
      <c r="AC4623" s="75" t="str">
        <f>IF(AND(OR(LEFT(TH!N4469,2)="15",LEFT(TH!O4469,2)="15"),TK!$E$7=TH!F4469),"x","")</f>
        <v/>
      </c>
      <c r="AD4623" s="75" t="str">
        <f>IF(AND(N4623="1521",MONTH(C4623)='BK-NL'!$M$11),"x","")</f>
        <v/>
      </c>
      <c r="AE4623" s="1053">
        <v>8</v>
      </c>
      <c r="AF4623" s="1053"/>
      <c r="AG4623" s="1053"/>
    </row>
    <row r="4624" spans="1:33" ht="16.5" customHeight="1">
      <c r="A4624" s="309" t="str">
        <f>IF(B4624&lt;&gt;"",IF(AND(B4624='IN-TC'!$S$4,OR(TH!N4614="1111",TH!O4614="1111")),TH!D4614,""),"")</f>
        <v/>
      </c>
      <c r="B4624" s="1129">
        <f t="shared" si="1328"/>
        <v>8</v>
      </c>
      <c r="C4624" s="292">
        <f t="shared" si="1329"/>
        <v>42949</v>
      </c>
      <c r="D4624" s="59" t="s">
        <v>902</v>
      </c>
      <c r="E4624" s="59">
        <v>42949</v>
      </c>
      <c r="F4624" s="67" t="s">
        <v>1307</v>
      </c>
      <c r="G4624" s="62" t="s">
        <v>747</v>
      </c>
      <c r="H4624" s="67" t="s">
        <v>1677</v>
      </c>
      <c r="I4624" s="1219"/>
      <c r="J4624" s="1223"/>
      <c r="K4624" s="373"/>
      <c r="L4624" s="379"/>
      <c r="M4624" s="60">
        <v>1091145</v>
      </c>
      <c r="N4624" s="61" t="s">
        <v>101</v>
      </c>
      <c r="O4624" s="61" t="s">
        <v>26</v>
      </c>
      <c r="P4624" s="75" t="str">
        <f>IF(AND('331-CT'!$E$7=TH!H5373,OR(N4624="331",O4624="331")),"x","")</f>
        <v/>
      </c>
      <c r="Q4624" s="75" t="str">
        <f>IF(AND(B4624='111'!$L$11,OR($N4624=$Q$7,$O4624=$Q$7)),"x","")</f>
        <v/>
      </c>
      <c r="R4624" s="75" t="str">
        <f>IF(AND($N4624=$Q$7,$B4624&lt;'111'!$L$11),"x","")</f>
        <v/>
      </c>
      <c r="S4624" s="75" t="str">
        <f>IF(AND($O4624=$Q$7,$B4624&lt;'111'!$L$11),"x","")</f>
        <v/>
      </c>
      <c r="T4624" s="75" t="str">
        <f>IF(ISERROR(FIND('112'!$M$9,G4624,1)),"",IF((AND(FIND('112'!$M$9,G4624,1)&gt;=1,B4624='112'!$K$9,OR($N4624='112'!$I$6,$O4624='112'!$I$6))),"x",""))</f>
        <v/>
      </c>
      <c r="U4624" s="75" t="str">
        <f>IF(ISERROR(FIND('112'!$M$9,G4624,1)),"",IF((AND(LEFT(G4624,2)=LEFT('112'!$M$9,2),B4624&lt;'112'!$K$9,$N4624='112'!$I$6)),"x",""))</f>
        <v/>
      </c>
      <c r="V4624" s="75" t="str">
        <f>IF(ISERROR(FIND('112'!$M$9,G4624,1)),"",IF((AND(RIGHT(G4624,2)=RIGHT('112'!$M$9,2),B4624&lt;'112'!$K$9,$O4624='112'!$I$6)),"x",""))</f>
        <v/>
      </c>
      <c r="W4624" s="75" t="str">
        <f>IF(AND('341-CT'!$H$9=H4624,OR(LEFT(N4624,3)=$W$7,LEFT(O4624,3)=$W$7)),"x","")</f>
        <v/>
      </c>
      <c r="X4624" s="75" t="str">
        <f>IF(OR(TH!N5373=TH!$X$7,O4624=TH!$X$7),"x","")</f>
        <v/>
      </c>
      <c r="Y4624" s="75" t="str">
        <f>IF(AND(OR(N4624="131",O4624="131"),H4624='131-CT'!$H$9),"x","")</f>
        <v/>
      </c>
      <c r="Z4624" s="75"/>
      <c r="AA4624" s="75" t="str">
        <f>IF(AND(MONTH(E4624)='IN-NX'!$J$5,'IN-NX'!$D$7=D4624),"x","")</f>
        <v/>
      </c>
      <c r="AB4624" s="75" t="str">
        <f>IF(AND(OR(LEFT(TH!N5373,2)="15",LEFT(TH!O5373,2)="15"),LEFT(TH!O5373,3)&lt;&gt;"111",'152-CT'!$J$8=TH!F5373),"x","")</f>
        <v/>
      </c>
      <c r="AC4624" s="75" t="str">
        <f>IF(AND(OR(LEFT(TH!N5373,2)="15",LEFT(TH!O5373,2)="15"),TK!$E$7=TH!F5373),"x","")</f>
        <v/>
      </c>
      <c r="AD4624" s="75" t="str">
        <f>IF(AND(N4624="1521",MONTH(C4624)='BK-NL'!$M$11),"x","")</f>
        <v/>
      </c>
      <c r="AE4624">
        <v>8</v>
      </c>
    </row>
    <row r="4625" spans="1:33" ht="16.5" customHeight="1">
      <c r="A4625" s="309" t="str">
        <f>IF(B4625&lt;&gt;"",IF(AND(B4625='IN-TC'!$S$4,OR(TH!N4615="1111",TH!O4615="1111")),TH!D4615,""),"")</f>
        <v/>
      </c>
      <c r="B4625" s="1129">
        <f t="shared" si="1328"/>
        <v>8</v>
      </c>
      <c r="C4625" s="292">
        <f t="shared" si="1329"/>
        <v>42949</v>
      </c>
      <c r="D4625" s="59" t="s">
        <v>902</v>
      </c>
      <c r="E4625" s="59">
        <v>42949</v>
      </c>
      <c r="F4625" s="67" t="s">
        <v>1314</v>
      </c>
      <c r="G4625" s="62" t="s">
        <v>747</v>
      </c>
      <c r="H4625" s="67" t="s">
        <v>1677</v>
      </c>
      <c r="I4625" s="373"/>
      <c r="J4625" s="379"/>
      <c r="K4625" s="373"/>
      <c r="L4625" s="379"/>
      <c r="M4625" s="60">
        <v>109115</v>
      </c>
      <c r="N4625" s="61" t="s">
        <v>9</v>
      </c>
      <c r="O4625" s="61" t="s">
        <v>26</v>
      </c>
      <c r="P4625" s="75" t="str">
        <f>IF(AND('331-CT'!$E$7=TH!H5374,OR(N4625="331",O4625="331")),"x","")</f>
        <v/>
      </c>
      <c r="Q4625" s="75" t="str">
        <f>IF(AND(B4625='111'!$L$11,OR($N4625=$Q$7,$O4625=$Q$7)),"x","")</f>
        <v/>
      </c>
      <c r="R4625" s="75" t="str">
        <f>IF(AND($N4625=$Q$7,$B4625&lt;'111'!$L$11),"x","")</f>
        <v/>
      </c>
      <c r="S4625" s="75" t="str">
        <f>IF(AND($O4625=$Q$7,$B4625&lt;'111'!$L$11),"x","")</f>
        <v/>
      </c>
      <c r="T4625" s="75" t="str">
        <f>IF(ISERROR(FIND('112'!$M$9,G4625,1)),"",IF((AND(FIND('112'!$M$9,G4625,1)&gt;=1,B4625='112'!$K$9,OR($N4625='112'!$I$6,$O4625='112'!$I$6))),"x",""))</f>
        <v/>
      </c>
      <c r="U4625" s="75" t="str">
        <f>IF(ISERROR(FIND('112'!$M$9,G4625,1)),"",IF((AND(LEFT(G4625,2)=LEFT('112'!$M$9,2),B4625&lt;'112'!$K$9,$N4625='112'!$I$6)),"x",""))</f>
        <v/>
      </c>
      <c r="V4625" s="75" t="str">
        <f>IF(ISERROR(FIND('112'!$M$9,G4625,1)),"",IF((AND(RIGHT(G4625,2)=RIGHT('112'!$M$9,2),B4625&lt;'112'!$K$9,$O4625='112'!$I$6)),"x",""))</f>
        <v/>
      </c>
      <c r="W4625" s="75" t="str">
        <f>IF(AND('341-CT'!$H$9=H4625,OR(LEFT(N4625,3)=$W$7,LEFT(O4625,3)=$W$7)),"x","")</f>
        <v/>
      </c>
      <c r="X4625" s="75" t="str">
        <f>IF(OR(TH!N5374=TH!$X$7,O4625=TH!$X$7),"x","")</f>
        <v/>
      </c>
      <c r="Y4625" s="75" t="str">
        <f>IF(AND(OR(N4625="131",O4625="131"),H4625='131-CT'!$H$9),"x","")</f>
        <v/>
      </c>
      <c r="Z4625" s="75"/>
      <c r="AA4625" s="75" t="str">
        <f>IF(AND(MONTH(E4625)='IN-NX'!$J$5,'IN-NX'!$D$7=D4625),"x","")</f>
        <v/>
      </c>
      <c r="AB4625" s="75" t="str">
        <f>IF(AND(OR(LEFT(TH!N5374,2)="15",LEFT(TH!O5374,2)="15"),LEFT(TH!O5374,3)&lt;&gt;"111",'152-CT'!$J$8=TH!F5374),"x","")</f>
        <v/>
      </c>
      <c r="AC4625" s="75" t="str">
        <f>IF(AND(OR(LEFT(TH!N5374,2)="15",LEFT(TH!O5374,2)="15"),TK!$E$7=TH!F5374),"x","")</f>
        <v/>
      </c>
      <c r="AD4625" s="75" t="str">
        <f>IF(AND(N4625="1521",MONTH(C4625)='BK-NL'!$M$11),"x","")</f>
        <v/>
      </c>
      <c r="AE4625">
        <v>8</v>
      </c>
    </row>
    <row r="4626" spans="1:33" ht="16.5" customHeight="1">
      <c r="A4626" s="309" t="str">
        <f>IF(B4626&lt;&gt;"",IF(AND(B4626='IN-TC'!$S$4,OR(TH!N4616="1111",TH!O4616="1111")),TH!D4616,""),"")</f>
        <v/>
      </c>
      <c r="B4626" s="1129">
        <f t="shared" si="1328"/>
        <v>8</v>
      </c>
      <c r="C4626" s="292">
        <f t="shared" si="1329"/>
        <v>42950</v>
      </c>
      <c r="D4626" s="59" t="s">
        <v>844</v>
      </c>
      <c r="E4626" s="59">
        <v>42950</v>
      </c>
      <c r="F4626" s="67" t="s">
        <v>834</v>
      </c>
      <c r="G4626" s="62" t="s">
        <v>1713</v>
      </c>
      <c r="H4626" s="311" t="s">
        <v>1023</v>
      </c>
      <c r="I4626" s="373"/>
      <c r="J4626" s="382"/>
      <c r="K4626" s="373"/>
      <c r="L4626" s="379"/>
      <c r="M4626" s="60">
        <v>2260000000</v>
      </c>
      <c r="N4626" s="61" t="s">
        <v>63</v>
      </c>
      <c r="O4626" s="61" t="s">
        <v>26</v>
      </c>
      <c r="P4626" s="75" t="str">
        <f>IF(AND('331-CT'!$E$7=TH!H4470,OR(N4626="331",O4626="331")),"x","")</f>
        <v/>
      </c>
      <c r="Q4626" s="75" t="str">
        <f>IF(AND(B4626='111'!$L$11,OR($N4626=$Q$7,$O4626=$Q$7)),"x","")</f>
        <v/>
      </c>
      <c r="R4626" s="75" t="str">
        <f>IF(AND($N4626=$Q$7,$B4626&lt;'111'!$L$11),"x","")</f>
        <v>x</v>
      </c>
      <c r="S4626" s="75" t="str">
        <f>IF(AND($O4626=$Q$7,$B4626&lt;'111'!$L$11),"x","")</f>
        <v/>
      </c>
      <c r="T4626" s="75" t="str">
        <f>IF(ISERROR(FIND('112'!$M$9,G4626,1)),"",IF((AND(FIND('112'!$M$9,G4626,1)&gt;=1,B4626='112'!$K$9,OR($N4626='112'!$I$6,$O4626='112'!$I$6))),"x",""))</f>
        <v/>
      </c>
      <c r="U4626" s="75" t="str">
        <f>IF(ISERROR(FIND('112'!$M$9,G4626,1)),"",IF((AND(LEFT(G4626,2)=LEFT('112'!$M$9,2),B4626&lt;'112'!$K$9,$N4626='112'!$I$6)),"x",""))</f>
        <v/>
      </c>
      <c r="V4626" s="75" t="str">
        <f>IF(ISERROR(FIND('112'!$M$9,G4626,1)),"",IF((AND(RIGHT(G4626,2)=RIGHT('112'!$M$9,2),B4626&lt;'112'!$K$9,$O4626='112'!$I$6)),"x",""))</f>
        <v/>
      </c>
      <c r="W4626" s="75" t="str">
        <f>IF(AND('341-CT'!$H$9=H4626,OR(LEFT(N4626,3)=$W$7,LEFT(O4626,3)=$W$7)),"x","")</f>
        <v/>
      </c>
      <c r="X4626" s="75" t="str">
        <f>IF(OR(TH!N4470=TH!$X$7,O4626=TH!$X$7),"x","")</f>
        <v/>
      </c>
      <c r="Y4626" s="75" t="str">
        <f>IF(AND(OR(N4626="131",O4626="131"),H4626='131-CT'!$H$9),"x","")</f>
        <v/>
      </c>
      <c r="Z4626" s="75"/>
      <c r="AA4626" s="75" t="str">
        <f>IF(AND(MONTH(E4626)='IN-NX'!$J$5,'IN-NX'!$D$7=D4626),"x","")</f>
        <v/>
      </c>
      <c r="AB4626" s="75" t="str">
        <f>IF(AND(OR(LEFT(TH!N4470,2)="15",LEFT(TH!O4470,2)="15"),LEFT(TH!O4470,3)&lt;&gt;"111",'152-CT'!$J$8=TH!F4470),"x","")</f>
        <v/>
      </c>
      <c r="AC4626" s="75" t="str">
        <f>IF(AND(OR(LEFT(TH!N4470,2)="15",LEFT(TH!O4470,2)="15"),TK!$E$7=TH!F4470),"x","")</f>
        <v/>
      </c>
      <c r="AD4626" s="75" t="str">
        <f>IF(AND(N4626="1521",MONTH(C4626)='BK-NL'!$M$11),"x","")</f>
        <v/>
      </c>
      <c r="AE4626" s="1053"/>
      <c r="AF4626" s="1053"/>
      <c r="AG4626" s="1053"/>
    </row>
    <row r="4627" spans="1:33" ht="16.5" customHeight="1">
      <c r="A4627" s="309" t="str">
        <f>IF(B4627&lt;&gt;"",IF(AND(B4627='IN-TC'!$S$4,OR(TH!N4617="1111",TH!O4617="1111")),TH!D4617,""),"")</f>
        <v/>
      </c>
      <c r="B4627" s="1129">
        <f t="shared" ref="B4627:B4690" si="1330">IF(C4627&lt;&gt;"",MONTH(C4627),"")</f>
        <v>8</v>
      </c>
      <c r="C4627" s="292">
        <f t="shared" si="1329"/>
        <v>42950</v>
      </c>
      <c r="D4627" s="292"/>
      <c r="E4627" s="292">
        <v>42950</v>
      </c>
      <c r="F4627" s="293" t="s">
        <v>1035</v>
      </c>
      <c r="G4627" s="925" t="s">
        <v>2046</v>
      </c>
      <c r="H4627" s="294" t="s">
        <v>941</v>
      </c>
      <c r="I4627" s="373"/>
      <c r="J4627" s="926"/>
      <c r="K4627" s="373"/>
      <c r="L4627" s="379"/>
      <c r="M4627" s="927">
        <v>7243360</v>
      </c>
      <c r="N4627" s="295" t="s">
        <v>101</v>
      </c>
      <c r="O4627" s="295" t="s">
        <v>63</v>
      </c>
      <c r="P4627" s="75" t="str">
        <f>IF(AND('331-CT'!$E$7=TH!H3801,OR(N4627="331",O4627="331")),"x","")</f>
        <v/>
      </c>
      <c r="Q4627" s="75" t="str">
        <f>IF(AND(B4627='111'!$L$11,OR($N4627=$Q$7,$O4627=$Q$7)),"x","")</f>
        <v/>
      </c>
      <c r="R4627" s="75" t="str">
        <f>IF(AND($N4627=$Q$7,$B4627&lt;'111'!$L$11),"x","")</f>
        <v/>
      </c>
      <c r="S4627" s="75" t="str">
        <f>IF(AND($O4627=$Q$7,$B4627&lt;'111'!$L$11),"x","")</f>
        <v>x</v>
      </c>
      <c r="T4627" s="75" t="str">
        <f>IF(ISERROR(FIND('112'!$M$9,G4627,1)),"",IF((AND(FIND('112'!$M$9,G4627,1)&gt;=1,B4627='112'!$K$9,OR($N4627='112'!$I$6,$O4627='112'!$I$6))),"x",""))</f>
        <v/>
      </c>
      <c r="U4627" s="75" t="str">
        <f>IF(ISERROR(FIND('112'!$M$9,G4627,1)),"",IF((AND(LEFT(G4627,2)=LEFT('112'!$M$9,2),B4627&lt;'112'!$K$9,$N4627='112'!$I$6)),"x",""))</f>
        <v/>
      </c>
      <c r="V4627" s="75" t="str">
        <f>IF(ISERROR(FIND('112'!$M$9,G4627,1)),"",IF((AND(RIGHT(G4627,2)=RIGHT('112'!$M$9,2),B4627&lt;'112'!$K$9,$O4627='112'!$I$6)),"x",""))</f>
        <v/>
      </c>
      <c r="W4627" s="75" t="str">
        <f>IF(AND('341-CT'!$H$9=H4627,OR(LEFT(N4627,3)=$W$7,LEFT(O4627,3)=$W$7)),"x","")</f>
        <v/>
      </c>
      <c r="X4627" s="75" t="str">
        <f>IF(OR(TH!N3801=TH!$X$7,O4627=TH!$X$7),"x","")</f>
        <v/>
      </c>
      <c r="Y4627" s="75" t="str">
        <f>IF(AND(OR(N4627="131",O4627="131"),H4627='131-CT'!$H$9),"x","")</f>
        <v/>
      </c>
      <c r="Z4627" s="75"/>
      <c r="AA4627" s="75" t="str">
        <f>IF(AND(MONTH(E4627)='IN-NX'!$J$5,'IN-NX'!$D$7=D4627),"x","")</f>
        <v/>
      </c>
      <c r="AB4627" s="75" t="str">
        <f>IF(AND(OR(LEFT(TH!N3801,2)="15",LEFT(TH!O3801,2)="15"),LEFT(TH!O3801,3)&lt;&gt;"111",'152-CT'!$J$8=TH!F3801),"x","")</f>
        <v/>
      </c>
      <c r="AC4627" s="75" t="str">
        <f>IF(AND(OR(LEFT(TH!N3801,2)="15",LEFT(TH!O3801,2)="15"),TK!$E$7=TH!F3801),"x","")</f>
        <v/>
      </c>
      <c r="AD4627" s="75" t="str">
        <f>IF(AND(N4627="1521",MONTH(C4627)='BK-NL'!$M$11),"x","")</f>
        <v/>
      </c>
      <c r="AE4627">
        <v>8</v>
      </c>
    </row>
    <row r="4628" spans="1:33" ht="16.5" customHeight="1">
      <c r="A4628" s="309" t="str">
        <f>IF(B4628&lt;&gt;"",IF(AND(B4628='IN-TC'!$S$4,OR(TH!N4618="1111",TH!O4618="1111")),TH!D4618,""),"")</f>
        <v/>
      </c>
      <c r="B4628" s="1129">
        <f t="shared" si="1330"/>
        <v>8</v>
      </c>
      <c r="C4628" s="292">
        <f t="shared" si="1329"/>
        <v>42950</v>
      </c>
      <c r="D4628" s="292"/>
      <c r="E4628" s="292">
        <v>42950</v>
      </c>
      <c r="F4628" s="293" t="s">
        <v>1036</v>
      </c>
      <c r="G4628" s="925" t="s">
        <v>2046</v>
      </c>
      <c r="H4628" s="294" t="s">
        <v>941</v>
      </c>
      <c r="I4628" s="373"/>
      <c r="J4628" s="926"/>
      <c r="K4628" s="373"/>
      <c r="L4628" s="379"/>
      <c r="M4628" s="927">
        <v>724336</v>
      </c>
      <c r="N4628" s="295" t="s">
        <v>9</v>
      </c>
      <c r="O4628" s="295" t="s">
        <v>63</v>
      </c>
      <c r="P4628" s="75" t="str">
        <f>IF(AND('331-CT'!$E$7=TH!H3802,OR(N4628="331",O4628="331")),"x","")</f>
        <v/>
      </c>
      <c r="Q4628" s="75" t="str">
        <f>IF(AND(B4628='111'!$L$11,OR($N4628=$Q$7,$O4628=$Q$7)),"x","")</f>
        <v/>
      </c>
      <c r="R4628" s="75" t="str">
        <f>IF(AND($N4628=$Q$7,$B4628&lt;'111'!$L$11),"x","")</f>
        <v/>
      </c>
      <c r="S4628" s="75" t="str">
        <f>IF(AND($O4628=$Q$7,$B4628&lt;'111'!$L$11),"x","")</f>
        <v>x</v>
      </c>
      <c r="T4628" s="75" t="str">
        <f>IF(ISERROR(FIND('112'!$M$9,G4628,1)),"",IF((AND(FIND('112'!$M$9,G4628,1)&gt;=1,B4628='112'!$K$9,OR($N4628='112'!$I$6,$O4628='112'!$I$6))),"x",""))</f>
        <v/>
      </c>
      <c r="U4628" s="75" t="str">
        <f>IF(ISERROR(FIND('112'!$M$9,G4628,1)),"",IF((AND(LEFT(G4628,2)=LEFT('112'!$M$9,2),B4628&lt;'112'!$K$9,$N4628='112'!$I$6)),"x",""))</f>
        <v/>
      </c>
      <c r="V4628" s="75" t="str">
        <f>IF(ISERROR(FIND('112'!$M$9,G4628,1)),"",IF((AND(RIGHT(G4628,2)=RIGHT('112'!$M$9,2),B4628&lt;'112'!$K$9,$O4628='112'!$I$6)),"x",""))</f>
        <v/>
      </c>
      <c r="W4628" s="75" t="str">
        <f>IF(AND('341-CT'!$H$9=H4628,OR(LEFT(N4628,3)=$W$7,LEFT(O4628,3)=$W$7)),"x","")</f>
        <v/>
      </c>
      <c r="X4628" s="75" t="str">
        <f>IF(OR(TH!N3802=TH!$X$7,O4628=TH!$X$7),"x","")</f>
        <v/>
      </c>
      <c r="Y4628" s="75" t="str">
        <f>IF(AND(OR(N4628="131",O4628="131"),H4628='131-CT'!$H$9),"x","")</f>
        <v/>
      </c>
      <c r="Z4628" s="75"/>
      <c r="AA4628" s="75" t="str">
        <f>IF(AND(MONTH(E4628)='IN-NX'!$J$5,'IN-NX'!$D$7=D4628),"x","")</f>
        <v/>
      </c>
      <c r="AB4628" s="75" t="str">
        <f>IF(AND(OR(LEFT(TH!N3802,2)="15",LEFT(TH!O3802,2)="15"),LEFT(TH!O3802,3)&lt;&gt;"111",'152-CT'!$J$8=TH!F3802),"x","")</f>
        <v/>
      </c>
      <c r="AC4628" s="75" t="str">
        <f>IF(AND(OR(LEFT(TH!N3802,2)="15",LEFT(TH!O3802,2)="15"),TK!$E$7=TH!F3802),"x","")</f>
        <v/>
      </c>
      <c r="AD4628" s="75" t="str">
        <f>IF(AND(N4628="1521",MONTH(C4628)='BK-NL'!$M$11),"x","")</f>
        <v/>
      </c>
      <c r="AE4628">
        <v>8</v>
      </c>
    </row>
    <row r="4629" spans="1:33" ht="16.5" customHeight="1">
      <c r="A4629" s="309" t="str">
        <f>IF(B4629&lt;&gt;"",IF(AND(B4629='IN-TC'!$S$4,OR(TH!N4619="1111",TH!O4619="1111")),TH!D4619,""),"")</f>
        <v/>
      </c>
      <c r="B4629" s="1129">
        <f t="shared" si="1330"/>
        <v>8</v>
      </c>
      <c r="C4629" s="292">
        <f t="shared" si="1329"/>
        <v>42950</v>
      </c>
      <c r="D4629" s="292"/>
      <c r="E4629" s="292">
        <v>42950</v>
      </c>
      <c r="F4629" s="293" t="s">
        <v>1029</v>
      </c>
      <c r="G4629" s="925" t="s">
        <v>2240</v>
      </c>
      <c r="H4629" s="294" t="s">
        <v>948</v>
      </c>
      <c r="I4629" s="373"/>
      <c r="J4629" s="926"/>
      <c r="K4629" s="373"/>
      <c r="L4629" s="379"/>
      <c r="M4629" s="927">
        <v>1390909</v>
      </c>
      <c r="N4629" s="295" t="s">
        <v>101</v>
      </c>
      <c r="O4629" s="295" t="s">
        <v>63</v>
      </c>
      <c r="P4629" s="75" t="str">
        <f>IF(AND('331-CT'!$E$7=TH!H3803,OR(N4629="331",O4629="331")),"x","")</f>
        <v/>
      </c>
      <c r="Q4629" s="75" t="str">
        <f>IF(AND(B4629='111'!$L$11,OR($N4629=$Q$7,$O4629=$Q$7)),"x","")</f>
        <v/>
      </c>
      <c r="R4629" s="75" t="str">
        <f>IF(AND($N4629=$Q$7,$B4629&lt;'111'!$L$11),"x","")</f>
        <v/>
      </c>
      <c r="S4629" s="75" t="str">
        <f>IF(AND($O4629=$Q$7,$B4629&lt;'111'!$L$11),"x","")</f>
        <v>x</v>
      </c>
      <c r="T4629" s="75" t="str">
        <f>IF(ISERROR(FIND('112'!$M$9,G4629,1)),"",IF((AND(FIND('112'!$M$9,G4629,1)&gt;=1,B4629='112'!$K$9,OR($N4629='112'!$I$6,$O4629='112'!$I$6))),"x",""))</f>
        <v/>
      </c>
      <c r="U4629" s="75" t="str">
        <f>IF(ISERROR(FIND('112'!$M$9,G4629,1)),"",IF((AND(LEFT(G4629,2)=LEFT('112'!$M$9,2),B4629&lt;'112'!$K$9,$N4629='112'!$I$6)),"x",""))</f>
        <v/>
      </c>
      <c r="V4629" s="75" t="str">
        <f>IF(ISERROR(FIND('112'!$M$9,G4629,1)),"",IF((AND(RIGHT(G4629,2)=RIGHT('112'!$M$9,2),B4629&lt;'112'!$K$9,$O4629='112'!$I$6)),"x",""))</f>
        <v/>
      </c>
      <c r="W4629" s="75" t="str">
        <f>IF(AND('341-CT'!$H$9=H4629,OR(LEFT(N4629,3)=$W$7,LEFT(O4629,3)=$W$7)),"x","")</f>
        <v/>
      </c>
      <c r="X4629" s="75" t="str">
        <f>IF(OR(TH!N3803=TH!$X$7,O4629=TH!$X$7),"x","")</f>
        <v/>
      </c>
      <c r="Y4629" s="75" t="str">
        <f>IF(AND(OR(N4629="131",O4629="131"),H4629='131-CT'!$H$9),"x","")</f>
        <v/>
      </c>
      <c r="Z4629" s="75"/>
      <c r="AA4629" s="75" t="str">
        <f>IF(AND(MONTH(E4629)='IN-NX'!$J$5,'IN-NX'!$D$7=D4629),"x","")</f>
        <v/>
      </c>
      <c r="AB4629" s="75" t="str">
        <f>IF(AND(OR(LEFT(TH!N3803,2)="15",LEFT(TH!O3803,2)="15"),LEFT(TH!O3803,3)&lt;&gt;"111",'152-CT'!$J$8=TH!F3803),"x","")</f>
        <v/>
      </c>
      <c r="AC4629" s="75" t="str">
        <f>IF(AND(OR(LEFT(TH!N3803,2)="15",LEFT(TH!O3803,2)="15"),TK!$E$7=TH!F3803),"x","")</f>
        <v/>
      </c>
      <c r="AD4629" s="75" t="str">
        <f>IF(AND(N4629="1521",MONTH(C4629)='BK-NL'!$M$11),"x","")</f>
        <v/>
      </c>
      <c r="AE4629">
        <v>9</v>
      </c>
    </row>
    <row r="4630" spans="1:33" ht="16.5" customHeight="1">
      <c r="A4630" s="309" t="str">
        <f>IF(B4630&lt;&gt;"",IF(AND(B4630='IN-TC'!$S$4,OR(TH!N4620="1111",TH!O4620="1111")),TH!D4620,""),"")</f>
        <v/>
      </c>
      <c r="B4630" s="1129">
        <f t="shared" si="1330"/>
        <v>8</v>
      </c>
      <c r="C4630" s="292">
        <f t="shared" si="1329"/>
        <v>42950</v>
      </c>
      <c r="D4630" s="292"/>
      <c r="E4630" s="292">
        <v>42950</v>
      </c>
      <c r="F4630" s="293" t="s">
        <v>1030</v>
      </c>
      <c r="G4630" s="925" t="s">
        <v>2240</v>
      </c>
      <c r="H4630" s="294" t="s">
        <v>948</v>
      </c>
      <c r="I4630" s="373"/>
      <c r="J4630" s="926"/>
      <c r="K4630" s="373"/>
      <c r="L4630" s="379"/>
      <c r="M4630" s="927">
        <v>139091</v>
      </c>
      <c r="N4630" s="295" t="s">
        <v>9</v>
      </c>
      <c r="O4630" s="295" t="s">
        <v>63</v>
      </c>
      <c r="P4630" s="75" t="str">
        <f>IF(AND('331-CT'!$E$7=TH!H3804,OR(N4630="331",O4630="331")),"x","")</f>
        <v/>
      </c>
      <c r="Q4630" s="75" t="str">
        <f>IF(AND(B4630='111'!$L$11,OR($N4630=$Q$7,$O4630=$Q$7)),"x","")</f>
        <v/>
      </c>
      <c r="R4630" s="75" t="str">
        <f>IF(AND($N4630=$Q$7,$B4630&lt;'111'!$L$11),"x","")</f>
        <v/>
      </c>
      <c r="S4630" s="75" t="str">
        <f>IF(AND($O4630=$Q$7,$B4630&lt;'111'!$L$11),"x","")</f>
        <v>x</v>
      </c>
      <c r="T4630" s="75" t="str">
        <f>IF(ISERROR(FIND('112'!$M$9,G4630,1)),"",IF((AND(FIND('112'!$M$9,G4630,1)&gt;=1,B4630='112'!$K$9,OR($N4630='112'!$I$6,$O4630='112'!$I$6))),"x",""))</f>
        <v/>
      </c>
      <c r="U4630" s="75" t="str">
        <f>IF(ISERROR(FIND('112'!$M$9,G4630,1)),"",IF((AND(LEFT(G4630,2)=LEFT('112'!$M$9,2),B4630&lt;'112'!$K$9,$N4630='112'!$I$6)),"x",""))</f>
        <v/>
      </c>
      <c r="V4630" s="75" t="str">
        <f>IF(ISERROR(FIND('112'!$M$9,G4630,1)),"",IF((AND(RIGHT(G4630,2)=RIGHT('112'!$M$9,2),B4630&lt;'112'!$K$9,$O4630='112'!$I$6)),"x",""))</f>
        <v/>
      </c>
      <c r="W4630" s="75" t="str">
        <f>IF(AND('341-CT'!$H$9=H4630,OR(LEFT(N4630,3)=$W$7,LEFT(O4630,3)=$W$7)),"x","")</f>
        <v/>
      </c>
      <c r="X4630" s="75" t="str">
        <f>IF(OR(TH!N3804=TH!$X$7,O4630=TH!$X$7),"x","")</f>
        <v/>
      </c>
      <c r="Y4630" s="75" t="str">
        <f>IF(AND(OR(N4630="131",O4630="131"),H4630='131-CT'!$H$9),"x","")</f>
        <v/>
      </c>
      <c r="Z4630" s="75"/>
      <c r="AA4630" s="75" t="str">
        <f>IF(AND(MONTH(E4630)='IN-NX'!$J$5,'IN-NX'!$D$7=D4630),"x","")</f>
        <v/>
      </c>
      <c r="AB4630" s="75" t="str">
        <f>IF(AND(OR(LEFT(TH!N3804,2)="15",LEFT(TH!O3804,2)="15"),LEFT(TH!O3804,3)&lt;&gt;"111",'152-CT'!$J$8=TH!F3804),"x","")</f>
        <v/>
      </c>
      <c r="AC4630" s="75" t="str">
        <f>IF(AND(OR(LEFT(TH!N3804,2)="15",LEFT(TH!O3804,2)="15"),TK!$E$7=TH!F3804),"x","")</f>
        <v/>
      </c>
      <c r="AD4630" s="75" t="str">
        <f>IF(AND(N4630="1521",MONTH(C4630)='BK-NL'!$M$11),"x","")</f>
        <v/>
      </c>
      <c r="AE4630">
        <v>9</v>
      </c>
    </row>
    <row r="4631" spans="1:33" ht="16.5" customHeight="1">
      <c r="A4631" s="309" t="str">
        <f>IF(B4631&lt;&gt;"",IF(AND(B4631='IN-TC'!$S$4,OR(TH!N4621="1111",TH!O4621="1111")),TH!D4621,""),"")</f>
        <v/>
      </c>
      <c r="B4631" s="1129">
        <f t="shared" si="1330"/>
        <v>8</v>
      </c>
      <c r="C4631" s="292">
        <f t="shared" si="1329"/>
        <v>42950</v>
      </c>
      <c r="D4631" s="292"/>
      <c r="E4631" s="292">
        <v>42950</v>
      </c>
      <c r="F4631" s="293" t="s">
        <v>1499</v>
      </c>
      <c r="G4631" s="925" t="s">
        <v>2047</v>
      </c>
      <c r="H4631" s="294" t="s">
        <v>893</v>
      </c>
      <c r="I4631" s="373"/>
      <c r="J4631" s="926"/>
      <c r="K4631" s="373"/>
      <c r="L4631" s="379"/>
      <c r="M4631" s="927">
        <v>1418291</v>
      </c>
      <c r="N4631" s="295" t="s">
        <v>101</v>
      </c>
      <c r="O4631" s="295" t="s">
        <v>63</v>
      </c>
      <c r="P4631" s="75" t="str">
        <f>IF(AND('331-CT'!$E$7=TH!H3805,OR(N4631="331",O4631="331")),"x","")</f>
        <v/>
      </c>
      <c r="Q4631" s="75" t="str">
        <f>IF(AND(B4631='111'!$L$11,OR($N4631=$Q$7,$O4631=$Q$7)),"x","")</f>
        <v/>
      </c>
      <c r="R4631" s="75" t="str">
        <f>IF(AND($N4631=$Q$7,$B4631&lt;'111'!$L$11),"x","")</f>
        <v/>
      </c>
      <c r="S4631" s="75" t="str">
        <f>IF(AND($O4631=$Q$7,$B4631&lt;'111'!$L$11),"x","")</f>
        <v>x</v>
      </c>
      <c r="T4631" s="75" t="str">
        <f>IF(ISERROR(FIND('112'!$M$9,G4631,1)),"",IF((AND(FIND('112'!$M$9,G4631,1)&gt;=1,B4631='112'!$K$9,OR($N4631='112'!$I$6,$O4631='112'!$I$6))),"x",""))</f>
        <v/>
      </c>
      <c r="U4631" s="75" t="str">
        <f>IF(ISERROR(FIND('112'!$M$9,G4631,1)),"",IF((AND(LEFT(G4631,2)=LEFT('112'!$M$9,2),B4631&lt;'112'!$K$9,$N4631='112'!$I$6)),"x",""))</f>
        <v/>
      </c>
      <c r="V4631" s="75" t="str">
        <f>IF(ISERROR(FIND('112'!$M$9,G4631,1)),"",IF((AND(RIGHT(G4631,2)=RIGHT('112'!$M$9,2),B4631&lt;'112'!$K$9,$O4631='112'!$I$6)),"x",""))</f>
        <v/>
      </c>
      <c r="W4631" s="75" t="str">
        <f>IF(AND('341-CT'!$H$9=H4631,OR(LEFT(N4631,3)=$W$7,LEFT(O4631,3)=$W$7)),"x","")</f>
        <v/>
      </c>
      <c r="X4631" s="75" t="str">
        <f>IF(OR(TH!N3805=TH!$X$7,O4631=TH!$X$7),"x","")</f>
        <v/>
      </c>
      <c r="Y4631" s="75" t="str">
        <f>IF(AND(OR(N4631="131",O4631="131"),H4631='131-CT'!$H$9),"x","")</f>
        <v/>
      </c>
      <c r="Z4631" s="75"/>
      <c r="AA4631" s="75" t="str">
        <f>IF(AND(MONTH(E4631)='IN-NX'!$J$5,'IN-NX'!$D$7=D4631),"x","")</f>
        <v/>
      </c>
      <c r="AB4631" s="75" t="str">
        <f>IF(AND(OR(LEFT(TH!N3805,2)="15",LEFT(TH!O3805,2)="15"),LEFT(TH!O3805,3)&lt;&gt;"111",'152-CT'!$J$8=TH!F3805),"x","")</f>
        <v/>
      </c>
      <c r="AC4631" s="75" t="str">
        <f>IF(AND(OR(LEFT(TH!N3805,2)="15",LEFT(TH!O3805,2)="15"),TK!$E$7=TH!F3805),"x","")</f>
        <v/>
      </c>
      <c r="AD4631" s="75" t="str">
        <f>IF(AND(N4631="1521",MONTH(C4631)='BK-NL'!$M$11),"x","")</f>
        <v/>
      </c>
      <c r="AE4631">
        <v>8</v>
      </c>
    </row>
    <row r="4632" spans="1:33" ht="16.5" customHeight="1">
      <c r="A4632" s="309" t="str">
        <f>IF(B4632&lt;&gt;"",IF(AND(B4632='IN-TC'!$S$4,OR(TH!N4622="1111",TH!O4622="1111")),TH!D4622,""),"")</f>
        <v/>
      </c>
      <c r="B4632" s="1129">
        <f t="shared" si="1330"/>
        <v>8</v>
      </c>
      <c r="C4632" s="292">
        <f t="shared" si="1329"/>
        <v>42950</v>
      </c>
      <c r="D4632" s="292"/>
      <c r="E4632" s="292">
        <v>42950</v>
      </c>
      <c r="F4632" s="293" t="s">
        <v>1500</v>
      </c>
      <c r="G4632" s="925" t="s">
        <v>2047</v>
      </c>
      <c r="H4632" s="294" t="s">
        <v>893</v>
      </c>
      <c r="I4632" s="373"/>
      <c r="J4632" s="926"/>
      <c r="K4632" s="373"/>
      <c r="L4632" s="379"/>
      <c r="M4632" s="927">
        <v>141829</v>
      </c>
      <c r="N4632" s="295" t="s">
        <v>9</v>
      </c>
      <c r="O4632" s="295" t="s">
        <v>63</v>
      </c>
      <c r="P4632" s="75" t="str">
        <f>IF(AND('331-CT'!$E$7=TH!H3806,OR(N4632="331",O4632="331")),"x","")</f>
        <v/>
      </c>
      <c r="Q4632" s="75" t="str">
        <f>IF(AND(B4632='111'!$L$11,OR($N4632=$Q$7,$O4632=$Q$7)),"x","")</f>
        <v/>
      </c>
      <c r="R4632" s="75" t="str">
        <f>IF(AND($N4632=$Q$7,$B4632&lt;'111'!$L$11),"x","")</f>
        <v/>
      </c>
      <c r="S4632" s="75" t="str">
        <f>IF(AND($O4632=$Q$7,$B4632&lt;'111'!$L$11),"x","")</f>
        <v>x</v>
      </c>
      <c r="T4632" s="75" t="str">
        <f>IF(ISERROR(FIND('112'!$M$9,G4632,1)),"",IF((AND(FIND('112'!$M$9,G4632,1)&gt;=1,B4632='112'!$K$9,OR($N4632='112'!$I$6,$O4632='112'!$I$6))),"x",""))</f>
        <v/>
      </c>
      <c r="U4632" s="75" t="str">
        <f>IF(ISERROR(FIND('112'!$M$9,G4632,1)),"",IF((AND(LEFT(G4632,2)=LEFT('112'!$M$9,2),B4632&lt;'112'!$K$9,$N4632='112'!$I$6)),"x",""))</f>
        <v/>
      </c>
      <c r="V4632" s="75" t="str">
        <f>IF(ISERROR(FIND('112'!$M$9,G4632,1)),"",IF((AND(RIGHT(G4632,2)=RIGHT('112'!$M$9,2),B4632&lt;'112'!$K$9,$O4632='112'!$I$6)),"x",""))</f>
        <v/>
      </c>
      <c r="W4632" s="75" t="str">
        <f>IF(AND('341-CT'!$H$9=H4632,OR(LEFT(N4632,3)=$W$7,LEFT(O4632,3)=$W$7)),"x","")</f>
        <v/>
      </c>
      <c r="X4632" s="75" t="str">
        <f>IF(OR(TH!N3806=TH!$X$7,O4632=TH!$X$7),"x","")</f>
        <v/>
      </c>
      <c r="Y4632" s="75" t="str">
        <f>IF(AND(OR(N4632="131",O4632="131"),H4632='131-CT'!$H$9),"x","")</f>
        <v/>
      </c>
      <c r="Z4632" s="75"/>
      <c r="AA4632" s="75" t="str">
        <f>IF(AND(MONTH(E4632)='IN-NX'!$J$5,'IN-NX'!$D$7=D4632),"x","")</f>
        <v/>
      </c>
      <c r="AB4632" s="75" t="str">
        <f>IF(AND(OR(LEFT(TH!N3806,2)="15",LEFT(TH!O3806,2)="15"),LEFT(TH!O3806,3)&lt;&gt;"111",'152-CT'!$J$8=TH!F3806),"x","")</f>
        <v/>
      </c>
      <c r="AC4632" s="75" t="str">
        <f>IF(AND(OR(LEFT(TH!N3806,2)="15",LEFT(TH!O3806,2)="15"),TK!$E$7=TH!F3806),"x","")</f>
        <v/>
      </c>
      <c r="AD4632" s="75" t="str">
        <f>IF(AND(N4632="1521",MONTH(C4632)='BK-NL'!$M$11),"x","")</f>
        <v/>
      </c>
      <c r="AE4632">
        <v>8</v>
      </c>
    </row>
    <row r="4633" spans="1:33" ht="16.5" customHeight="1">
      <c r="A4633" s="309" t="str">
        <f>IF(B4633&lt;&gt;"",IF(AND(B4633='IN-TC'!$S$4,OR(TH!N4623="1111",TH!O4623="1111")),TH!D4623,""),"")</f>
        <v/>
      </c>
      <c r="B4633" s="1129">
        <f t="shared" si="1330"/>
        <v>8</v>
      </c>
      <c r="C4633" s="292">
        <f t="shared" si="1329"/>
        <v>42950</v>
      </c>
      <c r="D4633" s="292"/>
      <c r="E4633" s="292">
        <v>42950</v>
      </c>
      <c r="F4633" s="1010" t="s">
        <v>1881</v>
      </c>
      <c r="G4633" s="925"/>
      <c r="H4633" s="311" t="s">
        <v>1891</v>
      </c>
      <c r="I4633" s="373"/>
      <c r="J4633" s="926"/>
      <c r="K4633" s="373"/>
      <c r="L4633" s="379"/>
      <c r="M4633" s="927">
        <v>1313000000</v>
      </c>
      <c r="N4633" s="295" t="s">
        <v>8</v>
      </c>
      <c r="O4633" s="295" t="s">
        <v>63</v>
      </c>
      <c r="P4633" s="75" t="str">
        <f>IF(AND('331-CT'!$E$7=TH!H4297,OR(N4633="331",O4633="331")),"x","")</f>
        <v/>
      </c>
      <c r="Q4633" s="75" t="str">
        <f>IF(AND(B4633='111'!$L$11,OR($N4633=$Q$7,$O4633=$Q$7)),"x","")</f>
        <v/>
      </c>
      <c r="R4633" s="75" t="str">
        <f>IF(AND($N4633=$Q$7,$B4633&lt;'111'!$L$11),"x","")</f>
        <v/>
      </c>
      <c r="S4633" s="75" t="str">
        <f>IF(AND($O4633=$Q$7,$B4633&lt;'111'!$L$11),"x","")</f>
        <v>x</v>
      </c>
      <c r="T4633" s="75" t="str">
        <f>IF(ISERROR(FIND('112'!$M$9,G4633,1)),"",IF((AND(FIND('112'!$M$9,G4633,1)&gt;=1,B4633='112'!$K$9,OR($N4633='112'!$I$6,$O4633='112'!$I$6))),"x",""))</f>
        <v/>
      </c>
      <c r="U4633" s="75" t="str">
        <f>IF(ISERROR(FIND('112'!$M$9,G4633,1)),"",IF((AND(LEFT(G4633,2)=LEFT('112'!$M$9,2),B4633&lt;'112'!$K$9,$N4633='112'!$I$6)),"x",""))</f>
        <v/>
      </c>
      <c r="V4633" s="75" t="str">
        <f>IF(ISERROR(FIND('112'!$M$9,G4633,1)),"",IF((AND(RIGHT(G4633,2)=RIGHT('112'!$M$9,2),B4633&lt;'112'!$K$9,$O4633='112'!$I$6)),"x",""))</f>
        <v/>
      </c>
      <c r="W4633" s="75" t="str">
        <f>IF(AND('341-CT'!$H$9=H4633,OR(LEFT(N4633,3)=$W$7,LEFT(O4633,3)=$W$7)),"x","")</f>
        <v/>
      </c>
      <c r="X4633" s="75" t="str">
        <f>IF(OR(TH!N4297=TH!$X$7,O4633=TH!$X$7),"x","")</f>
        <v/>
      </c>
      <c r="Y4633" s="75" t="str">
        <f>IF(AND(OR(N4633="131",O4633="131"),H4633='131-CT'!$H$9),"x","")</f>
        <v/>
      </c>
      <c r="Z4633" s="75"/>
      <c r="AA4633" s="75" t="str">
        <f>IF(AND(MONTH(E4633)='IN-NX'!$J$5,'IN-NX'!$D$7=D4633),"x","")</f>
        <v/>
      </c>
      <c r="AB4633" s="75" t="str">
        <f>IF(AND(OR(LEFT(TH!N4297,2)="15",LEFT(TH!O4297,2)="15"),LEFT(TH!O4297,3)&lt;&gt;"111",'152-CT'!$J$8=TH!F4297),"x","")</f>
        <v/>
      </c>
      <c r="AC4633" s="75" t="str">
        <f>IF(AND(OR(LEFT(TH!N4297,2)="15",LEFT(TH!O4297,2)="15"),TK!$E$7=TH!F4297),"x","")</f>
        <v/>
      </c>
      <c r="AD4633" s="75" t="str">
        <f>IF(AND(N4633="1521",MONTH(C4633)='BK-NL'!$M$11),"x","")</f>
        <v/>
      </c>
    </row>
    <row r="4634" spans="1:33" ht="16.5" customHeight="1">
      <c r="A4634" s="309" t="str">
        <f>IF(B4634&lt;&gt;"",IF(AND(B4634='IN-TC'!$S$4,OR(TH!N4624="1111",TH!O4624="1111")),TH!D4624,""),"")</f>
        <v/>
      </c>
      <c r="B4634" s="1129">
        <f t="shared" si="1330"/>
        <v>8</v>
      </c>
      <c r="C4634" s="292">
        <f t="shared" si="1329"/>
        <v>42950</v>
      </c>
      <c r="D4634" s="292"/>
      <c r="E4634" s="292">
        <v>42950</v>
      </c>
      <c r="F4634" s="1010" t="s">
        <v>1883</v>
      </c>
      <c r="G4634" s="925"/>
      <c r="H4634" s="311"/>
      <c r="I4634" s="373"/>
      <c r="J4634" s="926"/>
      <c r="K4634" s="373"/>
      <c r="L4634" s="379"/>
      <c r="M4634" s="927">
        <v>1050400</v>
      </c>
      <c r="N4634" s="295" t="s">
        <v>101</v>
      </c>
      <c r="O4634" s="295" t="s">
        <v>63</v>
      </c>
      <c r="P4634" s="75" t="str">
        <f>IF(AND('331-CT'!$E$7=TH!H4298,OR(N4634="331",O4634="331")),"x","")</f>
        <v/>
      </c>
      <c r="Q4634" s="75" t="str">
        <f>IF(AND(B4634='111'!$L$11,OR($N4634=$Q$7,$O4634=$Q$7)),"x","")</f>
        <v/>
      </c>
      <c r="R4634" s="75" t="str">
        <f>IF(AND($N4634=$Q$7,$B4634&lt;'111'!$L$11),"x","")</f>
        <v/>
      </c>
      <c r="S4634" s="75" t="str">
        <f>IF(AND($O4634=$Q$7,$B4634&lt;'111'!$L$11),"x","")</f>
        <v>x</v>
      </c>
      <c r="T4634" s="75" t="str">
        <f>IF(ISERROR(FIND('112'!$M$9,G4634,1)),"",IF((AND(FIND('112'!$M$9,G4634,1)&gt;=1,B4634='112'!$K$9,OR($N4634='112'!$I$6,$O4634='112'!$I$6))),"x",""))</f>
        <v/>
      </c>
      <c r="U4634" s="75" t="str">
        <f>IF(ISERROR(FIND('112'!$M$9,G4634,1)),"",IF((AND(LEFT(G4634,2)=LEFT('112'!$M$9,2),B4634&lt;'112'!$K$9,$N4634='112'!$I$6)),"x",""))</f>
        <v/>
      </c>
      <c r="V4634" s="75" t="str">
        <f>IF(ISERROR(FIND('112'!$M$9,G4634,1)),"",IF((AND(RIGHT(G4634,2)=RIGHT('112'!$M$9,2),B4634&lt;'112'!$K$9,$O4634='112'!$I$6)),"x",""))</f>
        <v/>
      </c>
      <c r="W4634" s="75" t="str">
        <f>IF(AND('341-CT'!$H$9=H4634,OR(LEFT(N4634,3)=$W$7,LEFT(O4634,3)=$W$7)),"x","")</f>
        <v/>
      </c>
      <c r="X4634" s="75" t="str">
        <f>IF(OR(TH!N4298=TH!$X$7,O4634=TH!$X$7),"x","")</f>
        <v/>
      </c>
      <c r="Y4634" s="75" t="str">
        <f>IF(AND(OR(N4634="131",O4634="131"),H4634='131-CT'!$H$9),"x","")</f>
        <v/>
      </c>
      <c r="Z4634" s="75"/>
      <c r="AA4634" s="75" t="str">
        <f>IF(AND(MONTH(E4634)='IN-NX'!$J$5,'IN-NX'!$D$7=D4634),"x","")</f>
        <v/>
      </c>
      <c r="AB4634" s="75" t="str">
        <f>IF(AND(OR(LEFT(TH!N4298,2)="15",LEFT(TH!O4298,2)="15"),LEFT(TH!O4298,3)&lt;&gt;"111",'152-CT'!$J$8=TH!F4298),"x","")</f>
        <v/>
      </c>
      <c r="AC4634" s="75" t="str">
        <f>IF(AND(OR(LEFT(TH!N4298,2)="15",LEFT(TH!O4298,2)="15"),TK!$E$7=TH!F4298),"x","")</f>
        <v/>
      </c>
      <c r="AD4634" s="75" t="str">
        <f>IF(AND(N4634="1521",MONTH(C4634)='BK-NL'!$M$11),"x","")</f>
        <v/>
      </c>
      <c r="AE4634">
        <v>9</v>
      </c>
    </row>
    <row r="4635" spans="1:33" ht="16.5" customHeight="1">
      <c r="A4635" s="309" t="str">
        <f>IF(B4635&lt;&gt;"",IF(AND(B4635='IN-TC'!$S$4,OR(TH!N4625="1111",TH!O4625="1111")),TH!D4625,""),"")</f>
        <v/>
      </c>
      <c r="B4635" s="1129">
        <f t="shared" si="1330"/>
        <v>8</v>
      </c>
      <c r="C4635" s="292">
        <f t="shared" si="1329"/>
        <v>42950</v>
      </c>
      <c r="D4635" s="292"/>
      <c r="E4635" s="292">
        <v>42950</v>
      </c>
      <c r="F4635" s="1010" t="s">
        <v>1895</v>
      </c>
      <c r="G4635" s="925"/>
      <c r="H4635" s="311"/>
      <c r="I4635" s="373"/>
      <c r="J4635" s="926"/>
      <c r="K4635" s="373"/>
      <c r="L4635" s="379"/>
      <c r="M4635" s="927">
        <v>105040</v>
      </c>
      <c r="N4635" s="295" t="s">
        <v>9</v>
      </c>
      <c r="O4635" s="295" t="s">
        <v>63</v>
      </c>
      <c r="P4635" s="75" t="str">
        <f>IF(AND('331-CT'!$E$7=TH!H4299,OR(N4635="331",O4635="331")),"x","")</f>
        <v/>
      </c>
      <c r="Q4635" s="75" t="str">
        <f>IF(AND(B4635='111'!$L$11,OR($N4635=$Q$7,$O4635=$Q$7)),"x","")</f>
        <v/>
      </c>
      <c r="R4635" s="75" t="str">
        <f>IF(AND($N4635=$Q$7,$B4635&lt;'111'!$L$11),"x","")</f>
        <v/>
      </c>
      <c r="S4635" s="75" t="str">
        <f>IF(AND($O4635=$Q$7,$B4635&lt;'111'!$L$11),"x","")</f>
        <v>x</v>
      </c>
      <c r="T4635" s="75" t="str">
        <f>IF(ISERROR(FIND('112'!$M$9,G4635,1)),"",IF((AND(FIND('112'!$M$9,G4635,1)&gt;=1,B4635='112'!$K$9,OR($N4635='112'!$I$6,$O4635='112'!$I$6))),"x",""))</f>
        <v/>
      </c>
      <c r="U4635" s="75" t="str">
        <f>IF(ISERROR(FIND('112'!$M$9,G4635,1)),"",IF((AND(LEFT(G4635,2)=LEFT('112'!$M$9,2),B4635&lt;'112'!$K$9,$N4635='112'!$I$6)),"x",""))</f>
        <v/>
      </c>
      <c r="V4635" s="75" t="str">
        <f>IF(ISERROR(FIND('112'!$M$9,G4635,1)),"",IF((AND(RIGHT(G4635,2)=RIGHT('112'!$M$9,2),B4635&lt;'112'!$K$9,$O4635='112'!$I$6)),"x",""))</f>
        <v/>
      </c>
      <c r="W4635" s="75" t="str">
        <f>IF(AND('341-CT'!$H$9=H4635,OR(LEFT(N4635,3)=$W$7,LEFT(O4635,3)=$W$7)),"x","")</f>
        <v/>
      </c>
      <c r="X4635" s="75" t="str">
        <f>IF(OR(TH!N4299=TH!$X$7,O4635=TH!$X$7),"x","")</f>
        <v/>
      </c>
      <c r="Y4635" s="75" t="str">
        <f>IF(AND(OR(N4635="131",O4635="131"),H4635='131-CT'!$H$9),"x","")</f>
        <v/>
      </c>
      <c r="Z4635" s="75"/>
      <c r="AA4635" s="75" t="str">
        <f>IF(AND(MONTH(E4635)='IN-NX'!$J$5,'IN-NX'!$D$7=D4635),"x","")</f>
        <v/>
      </c>
      <c r="AB4635" s="75" t="str">
        <f>IF(AND(OR(LEFT(TH!N4299,2)="15",LEFT(TH!O4299,2)="15"),LEFT(TH!O4299,3)&lt;&gt;"111",'152-CT'!$J$8=TH!F4299),"x","")</f>
        <v/>
      </c>
      <c r="AC4635" s="75" t="str">
        <f>IF(AND(OR(LEFT(TH!N4299,2)="15",LEFT(TH!O4299,2)="15"),TK!$E$7=TH!F4299),"x","")</f>
        <v/>
      </c>
      <c r="AD4635" s="75" t="str">
        <f>IF(AND(N4635="1521",MONTH(C4635)='BK-NL'!$M$11),"x","")</f>
        <v/>
      </c>
      <c r="AE4635">
        <v>9</v>
      </c>
    </row>
    <row r="4636" spans="1:33" ht="16.5" customHeight="1">
      <c r="A4636" s="309" t="str">
        <f>IF(B4636&lt;&gt;"",IF(AND(B4636='IN-TC'!$S$4,OR(TH!N4626="1111",TH!O4626="1111")),TH!D4626,""),"")</f>
        <v/>
      </c>
      <c r="B4636" s="1129">
        <f t="shared" si="1330"/>
        <v>8</v>
      </c>
      <c r="C4636" s="292">
        <f t="shared" si="1329"/>
        <v>42950</v>
      </c>
      <c r="D4636" s="292"/>
      <c r="E4636" s="292">
        <v>42950</v>
      </c>
      <c r="F4636" s="1010" t="s">
        <v>1881</v>
      </c>
      <c r="G4636" s="925"/>
      <c r="H4636" s="311" t="s">
        <v>1882</v>
      </c>
      <c r="I4636" s="373"/>
      <c r="J4636" s="926"/>
      <c r="K4636" s="373"/>
      <c r="L4636" s="379"/>
      <c r="M4636" s="927">
        <v>1397242000</v>
      </c>
      <c r="N4636" s="295" t="s">
        <v>8</v>
      </c>
      <c r="O4636" s="295" t="s">
        <v>63</v>
      </c>
      <c r="P4636" s="75" t="str">
        <f>IF(AND('331-CT'!$E$7=TH!H4300,OR(N4636="331",O4636="331")),"x","")</f>
        <v/>
      </c>
      <c r="Q4636" s="75" t="str">
        <f>IF(AND(B4636='111'!$L$11,OR($N4636=$Q$7,$O4636=$Q$7)),"x","")</f>
        <v/>
      </c>
      <c r="R4636" s="75" t="str">
        <f>IF(AND($N4636=$Q$7,$B4636&lt;'111'!$L$11),"x","")</f>
        <v/>
      </c>
      <c r="S4636" s="75" t="str">
        <f>IF(AND($O4636=$Q$7,$B4636&lt;'111'!$L$11),"x","")</f>
        <v>x</v>
      </c>
      <c r="T4636" s="75" t="str">
        <f>IF(ISERROR(FIND('112'!$M$9,G4636,1)),"",IF((AND(FIND('112'!$M$9,G4636,1)&gt;=1,B4636='112'!$K$9,OR($N4636='112'!$I$6,$O4636='112'!$I$6))),"x",""))</f>
        <v/>
      </c>
      <c r="U4636" s="75" t="str">
        <f>IF(ISERROR(FIND('112'!$M$9,G4636,1)),"",IF((AND(LEFT(G4636,2)=LEFT('112'!$M$9,2),B4636&lt;'112'!$K$9,$N4636='112'!$I$6)),"x",""))</f>
        <v/>
      </c>
      <c r="V4636" s="75" t="str">
        <f>IF(ISERROR(FIND('112'!$M$9,G4636,1)),"",IF((AND(RIGHT(G4636,2)=RIGHT('112'!$M$9,2),B4636&lt;'112'!$K$9,$O4636='112'!$I$6)),"x",""))</f>
        <v/>
      </c>
      <c r="W4636" s="75" t="str">
        <f>IF(AND('341-CT'!$H$9=H4636,OR(LEFT(N4636,3)=$W$7,LEFT(O4636,3)=$W$7)),"x","")</f>
        <v/>
      </c>
      <c r="X4636" s="75" t="str">
        <f>IF(OR(TH!N4300=TH!$X$7,O4636=TH!$X$7),"x","")</f>
        <v/>
      </c>
      <c r="Y4636" s="75" t="str">
        <f>IF(AND(OR(N4636="131",O4636="131"),H4636='131-CT'!$H$9),"x","")</f>
        <v/>
      </c>
      <c r="Z4636" s="75"/>
      <c r="AA4636" s="75" t="str">
        <f>IF(AND(MONTH(E4636)='IN-NX'!$J$5,'IN-NX'!$D$7=D4636),"x","")</f>
        <v/>
      </c>
      <c r="AB4636" s="75" t="str">
        <f>IF(AND(OR(LEFT(TH!N4300,2)="15",LEFT(TH!O4300,2)="15"),LEFT(TH!O4300,3)&lt;&gt;"111",'152-CT'!$J$8=TH!F4300),"x","")</f>
        <v/>
      </c>
      <c r="AC4636" s="75" t="str">
        <f>IF(AND(OR(LEFT(TH!N4300,2)="15",LEFT(TH!O4300,2)="15"),TK!$E$7=TH!F4300),"x","")</f>
        <v/>
      </c>
      <c r="AD4636" s="75" t="str">
        <f>IF(AND(N4636="1521",MONTH(C4636)='BK-NL'!$M$11),"x","")</f>
        <v/>
      </c>
    </row>
    <row r="4637" spans="1:33" ht="16.5" customHeight="1">
      <c r="A4637" s="309" t="str">
        <f>IF(B4637&lt;&gt;"",IF(AND(B4637='IN-TC'!$S$4,OR(TH!N4627="1111",TH!O4627="1111")),TH!D4627,""),"")</f>
        <v/>
      </c>
      <c r="B4637" s="1129">
        <f t="shared" si="1330"/>
        <v>8</v>
      </c>
      <c r="C4637" s="292">
        <f t="shared" si="1329"/>
        <v>42950</v>
      </c>
      <c r="D4637" s="292"/>
      <c r="E4637" s="292">
        <v>42950</v>
      </c>
      <c r="F4637" s="1010" t="s">
        <v>1883</v>
      </c>
      <c r="G4637" s="925"/>
      <c r="H4637" s="311"/>
      <c r="I4637" s="373"/>
      <c r="J4637" s="926"/>
      <c r="K4637" s="373"/>
      <c r="L4637" s="379"/>
      <c r="M4637" s="927">
        <v>1117794</v>
      </c>
      <c r="N4637" s="295" t="s">
        <v>101</v>
      </c>
      <c r="O4637" s="295" t="s">
        <v>63</v>
      </c>
      <c r="P4637" s="75" t="str">
        <f>IF(AND('331-CT'!$E$7=TH!H4301,OR(N4637="331",O4637="331")),"x","")</f>
        <v/>
      </c>
      <c r="Q4637" s="75" t="str">
        <f>IF(AND(B4637='111'!$L$11,OR($N4637=$Q$7,$O4637=$Q$7)),"x","")</f>
        <v/>
      </c>
      <c r="R4637" s="75" t="str">
        <f>IF(AND($N4637=$Q$7,$B4637&lt;'111'!$L$11),"x","")</f>
        <v/>
      </c>
      <c r="S4637" s="75" t="str">
        <f>IF(AND($O4637=$Q$7,$B4637&lt;'111'!$L$11),"x","")</f>
        <v>x</v>
      </c>
      <c r="T4637" s="75" t="str">
        <f>IF(ISERROR(FIND('112'!$M$9,G4637,1)),"",IF((AND(FIND('112'!$M$9,G4637,1)&gt;=1,B4637='112'!$K$9,OR($N4637='112'!$I$6,$O4637='112'!$I$6))),"x",""))</f>
        <v/>
      </c>
      <c r="U4637" s="75" t="str">
        <f>IF(ISERROR(FIND('112'!$M$9,G4637,1)),"",IF((AND(LEFT(G4637,2)=LEFT('112'!$M$9,2),B4637&lt;'112'!$K$9,$N4637='112'!$I$6)),"x",""))</f>
        <v/>
      </c>
      <c r="V4637" s="75" t="str">
        <f>IF(ISERROR(FIND('112'!$M$9,G4637,1)),"",IF((AND(RIGHT(G4637,2)=RIGHT('112'!$M$9,2),B4637&lt;'112'!$K$9,$O4637='112'!$I$6)),"x",""))</f>
        <v/>
      </c>
      <c r="W4637" s="75" t="str">
        <f>IF(AND('341-CT'!$H$9=H4637,OR(LEFT(N4637,3)=$W$7,LEFT(O4637,3)=$W$7)),"x","")</f>
        <v/>
      </c>
      <c r="X4637" s="75" t="str">
        <f>IF(OR(TH!N4301=TH!$X$7,O4637=TH!$X$7),"x","")</f>
        <v/>
      </c>
      <c r="Y4637" s="75" t="str">
        <f>IF(AND(OR(N4637="131",O4637="131"),H4637='131-CT'!$H$9),"x","")</f>
        <v/>
      </c>
      <c r="Z4637" s="75"/>
      <c r="AA4637" s="75" t="str">
        <f>IF(AND(MONTH(E4637)='IN-NX'!$J$5,'IN-NX'!$D$7=D4637),"x","")</f>
        <v/>
      </c>
      <c r="AB4637" s="75" t="str">
        <f>IF(AND(OR(LEFT(TH!N4301,2)="15",LEFT(TH!O4301,2)="15"),LEFT(TH!O4301,3)&lt;&gt;"111",'152-CT'!$J$8=TH!F4301),"x","")</f>
        <v/>
      </c>
      <c r="AC4637" s="75" t="str">
        <f>IF(AND(OR(LEFT(TH!N4301,2)="15",LEFT(TH!O4301,2)="15"),TK!$E$7=TH!F4301),"x","")</f>
        <v/>
      </c>
      <c r="AD4637" s="75" t="str">
        <f>IF(AND(N4637="1521",MONTH(C4637)='BK-NL'!$M$11),"x","")</f>
        <v/>
      </c>
      <c r="AE4637">
        <v>9</v>
      </c>
    </row>
    <row r="4638" spans="1:33" ht="16.5" customHeight="1">
      <c r="A4638" s="309" t="str">
        <f>IF(B4638&lt;&gt;"",IF(AND(B4638='IN-TC'!$S$4,OR(TH!N4628="1111",TH!O4628="1111")),TH!D4628,""),"")</f>
        <v/>
      </c>
      <c r="B4638" s="1129">
        <f t="shared" si="1330"/>
        <v>8</v>
      </c>
      <c r="C4638" s="292">
        <f t="shared" si="1329"/>
        <v>42950</v>
      </c>
      <c r="D4638" s="292"/>
      <c r="E4638" s="292">
        <v>42950</v>
      </c>
      <c r="F4638" s="1010" t="s">
        <v>1895</v>
      </c>
      <c r="G4638" s="925"/>
      <c r="H4638" s="311"/>
      <c r="I4638" s="373"/>
      <c r="J4638" s="926"/>
      <c r="K4638" s="373"/>
      <c r="L4638" s="379"/>
      <c r="M4638" s="927">
        <v>111779</v>
      </c>
      <c r="N4638" s="295" t="s">
        <v>9</v>
      </c>
      <c r="O4638" s="295" t="s">
        <v>63</v>
      </c>
      <c r="P4638" s="75" t="str">
        <f>IF(AND('331-CT'!$E$7=TH!H4302,OR(N4638="331",O4638="331")),"x","")</f>
        <v/>
      </c>
      <c r="Q4638" s="75" t="str">
        <f>IF(AND(B4638='111'!$L$11,OR($N4638=$Q$7,$O4638=$Q$7)),"x","")</f>
        <v/>
      </c>
      <c r="R4638" s="75" t="str">
        <f>IF(AND($N4638=$Q$7,$B4638&lt;'111'!$L$11),"x","")</f>
        <v/>
      </c>
      <c r="S4638" s="75" t="str">
        <f>IF(AND($O4638=$Q$7,$B4638&lt;'111'!$L$11),"x","")</f>
        <v>x</v>
      </c>
      <c r="T4638" s="75" t="str">
        <f>IF(ISERROR(FIND('112'!$M$9,G4638,1)),"",IF((AND(FIND('112'!$M$9,G4638,1)&gt;=1,B4638='112'!$K$9,OR($N4638='112'!$I$6,$O4638='112'!$I$6))),"x",""))</f>
        <v/>
      </c>
      <c r="U4638" s="75" t="str">
        <f>IF(ISERROR(FIND('112'!$M$9,G4638,1)),"",IF((AND(LEFT(G4638,2)=LEFT('112'!$M$9,2),B4638&lt;'112'!$K$9,$N4638='112'!$I$6)),"x",""))</f>
        <v/>
      </c>
      <c r="V4638" s="75" t="str">
        <f>IF(ISERROR(FIND('112'!$M$9,G4638,1)),"",IF((AND(RIGHT(G4638,2)=RIGHT('112'!$M$9,2),B4638&lt;'112'!$K$9,$O4638='112'!$I$6)),"x",""))</f>
        <v/>
      </c>
      <c r="W4638" s="75" t="str">
        <f>IF(AND('341-CT'!$H$9=H4638,OR(LEFT(N4638,3)=$W$7,LEFT(O4638,3)=$W$7)),"x","")</f>
        <v/>
      </c>
      <c r="X4638" s="75" t="str">
        <f>IF(OR(TH!N4302=TH!$X$7,O4638=TH!$X$7),"x","")</f>
        <v/>
      </c>
      <c r="Y4638" s="75" t="str">
        <f>IF(AND(OR(N4638="131",O4638="131"),H4638='131-CT'!$H$9),"x","")</f>
        <v/>
      </c>
      <c r="Z4638" s="75"/>
      <c r="AA4638" s="75" t="str">
        <f>IF(AND(MONTH(E4638)='IN-NX'!$J$5,'IN-NX'!$D$7=D4638),"x","")</f>
        <v/>
      </c>
      <c r="AB4638" s="75" t="str">
        <f>IF(AND(OR(LEFT(TH!N4302,2)="15",LEFT(TH!O4302,2)="15"),LEFT(TH!O4302,3)&lt;&gt;"111",'152-CT'!$J$8=TH!F4302),"x","")</f>
        <v/>
      </c>
      <c r="AC4638" s="75" t="str">
        <f>IF(AND(OR(LEFT(TH!N4302,2)="15",LEFT(TH!O4302,2)="15"),TK!$E$7=TH!F4302),"x","")</f>
        <v/>
      </c>
      <c r="AD4638" s="75" t="str">
        <f>IF(AND(N4638="1521",MONTH(C4638)='BK-NL'!$M$11),"x","")</f>
        <v/>
      </c>
      <c r="AE4638">
        <v>9</v>
      </c>
    </row>
    <row r="4639" spans="1:33" ht="16.5" customHeight="1">
      <c r="A4639" s="309" t="str">
        <f>IF(B4639&lt;&gt;"",IF(AND(B4639='IN-TC'!$S$4,OR(TH!N4629="1111",TH!O4629="1111")),TH!D4629,""),"")</f>
        <v/>
      </c>
      <c r="B4639" s="1277">
        <f t="shared" si="1330"/>
        <v>8</v>
      </c>
      <c r="C4639" s="292">
        <f t="shared" si="1329"/>
        <v>42950</v>
      </c>
      <c r="D4639" s="929"/>
      <c r="E4639" s="292">
        <v>42950</v>
      </c>
      <c r="F4639" s="1335" t="s">
        <v>1881</v>
      </c>
      <c r="G4639" s="931"/>
      <c r="H4639" s="73" t="s">
        <v>1891</v>
      </c>
      <c r="I4639" s="371"/>
      <c r="J4639" s="932"/>
      <c r="K4639" s="371"/>
      <c r="L4639" s="377"/>
      <c r="M4639" s="933">
        <v>840093000</v>
      </c>
      <c r="N4639" s="934" t="s">
        <v>8</v>
      </c>
      <c r="O4639" s="934" t="s">
        <v>63</v>
      </c>
      <c r="P4639" s="75" t="str">
        <f>IF(AND('331-CT'!$E$7=TH!H4377,OR(N4639="331",O4639="331")),"x","")</f>
        <v/>
      </c>
      <c r="Q4639" s="75" t="str">
        <f>IF(AND(B4639='111'!$L$11,OR($N4639=$Q$7,$O4639=$Q$7)),"x","")</f>
        <v/>
      </c>
      <c r="R4639" s="75" t="str">
        <f>IF(AND($N4639=$Q$7,$B4639&lt;'111'!$L$11),"x","")</f>
        <v/>
      </c>
      <c r="S4639" s="75" t="str">
        <f>IF(AND($O4639=$Q$7,$B4639&lt;'111'!$L$11),"x","")</f>
        <v>x</v>
      </c>
      <c r="T4639" s="75" t="str">
        <f>IF(ISERROR(FIND('112'!$M$9,G4639,1)),"",IF((AND(FIND('112'!$M$9,G4639,1)&gt;=1,B4639='112'!$K$9,OR($N4639='112'!$I$6,$O4639='112'!$I$6))),"x",""))</f>
        <v/>
      </c>
      <c r="U4639" s="75" t="str">
        <f>IF(ISERROR(FIND('112'!$M$9,G4639,1)),"",IF((AND(LEFT(G4639,2)=LEFT('112'!$M$9,2),B4639&lt;'112'!$K$9,$N4639='112'!$I$6)),"x",""))</f>
        <v/>
      </c>
      <c r="V4639" s="75" t="str">
        <f>IF(ISERROR(FIND('112'!$M$9,G4639,1)),"",IF((AND(RIGHT(G4639,2)=RIGHT('112'!$M$9,2),B4639&lt;'112'!$K$9,$O4639='112'!$I$6)),"x",""))</f>
        <v/>
      </c>
      <c r="W4639" s="75" t="str">
        <f>IF(AND('341-CT'!$H$9=H4639,OR(LEFT(N4639,3)=$W$7,LEFT(O4639,3)=$W$7)),"x","")</f>
        <v/>
      </c>
      <c r="X4639" s="75" t="str">
        <f>IF(OR(TH!N4377=TH!$X$7,O4639=TH!$X$7),"x","")</f>
        <v/>
      </c>
      <c r="Y4639" s="75" t="str">
        <f>IF(AND(OR(N4639="131",O4639="131"),H4639='131-CT'!$H$9),"x","")</f>
        <v/>
      </c>
      <c r="Z4639" s="75"/>
      <c r="AA4639" s="75" t="str">
        <f>IF(AND(MONTH(E4639)='IN-NX'!$J$5,'IN-NX'!$D$7=D4639),"x","")</f>
        <v/>
      </c>
      <c r="AB4639" s="75" t="str">
        <f>IF(AND(OR(LEFT(TH!N4377,2)="15",LEFT(TH!O4377,2)="15"),LEFT(TH!O4377,3)&lt;&gt;"111",'152-CT'!$J$8=TH!F4377),"x","")</f>
        <v/>
      </c>
      <c r="AC4639" s="75" t="str">
        <f>IF(AND(OR(LEFT(TH!N4377,2)="15",LEFT(TH!O4377,2)="15"),TK!$E$7=TH!F4377),"x","")</f>
        <v/>
      </c>
      <c r="AD4639" s="75" t="str">
        <f>IF(AND(N4639="1521",MONTH(C4639)='BK-NL'!$M$11),"x","")</f>
        <v/>
      </c>
      <c r="AE4639" s="1264"/>
      <c r="AF4639" s="1264"/>
      <c r="AG4639" s="1264"/>
    </row>
    <row r="4640" spans="1:33" ht="16.5" customHeight="1">
      <c r="A4640" s="309" t="str">
        <f>IF(B4640&lt;&gt;"",IF(AND(B4640='IN-TC'!$S$4,OR(TH!N4630="1111",TH!O4630="1111")),TH!D4630,""),"")</f>
        <v/>
      </c>
      <c r="B4640" s="1129">
        <f t="shared" si="1330"/>
        <v>8</v>
      </c>
      <c r="C4640" s="292">
        <f t="shared" si="1329"/>
        <v>42950</v>
      </c>
      <c r="D4640" s="59" t="s">
        <v>902</v>
      </c>
      <c r="E4640" s="59">
        <v>42950</v>
      </c>
      <c r="F4640" s="67" t="s">
        <v>1549</v>
      </c>
      <c r="G4640" s="62" t="s">
        <v>747</v>
      </c>
      <c r="H4640" s="67" t="s">
        <v>835</v>
      </c>
      <c r="I4640" s="373"/>
      <c r="J4640" s="379"/>
      <c r="K4640" s="379"/>
      <c r="L4640" s="379"/>
      <c r="M4640" s="379">
        <v>227600</v>
      </c>
      <c r="N4640" s="61" t="s">
        <v>101</v>
      </c>
      <c r="O4640" s="61" t="s">
        <v>26</v>
      </c>
      <c r="P4640" s="75" t="str">
        <f>IF(AND('331-CT'!$E$7=TH!H5376,OR(N4640="331",O4640="331")),"x","")</f>
        <v/>
      </c>
      <c r="Q4640" s="75" t="str">
        <f>IF(AND(B4640='111'!$L$11,OR($N4640=$Q$7,$O4640=$Q$7)),"x","")</f>
        <v/>
      </c>
      <c r="R4640" s="75" t="str">
        <f>IF(AND($N4640=$Q$7,$B4640&lt;'111'!$L$11),"x","")</f>
        <v/>
      </c>
      <c r="S4640" s="75" t="str">
        <f>IF(AND($O4640=$Q$7,$B4640&lt;'111'!$L$11),"x","")</f>
        <v/>
      </c>
      <c r="T4640" s="75" t="str">
        <f>IF(ISERROR(FIND('112'!$M$9,G4640,1)),"",IF((AND(FIND('112'!$M$9,G4640,1)&gt;=1,B4640='112'!$K$9,OR($N4640='112'!$I$6,$O4640='112'!$I$6))),"x",""))</f>
        <v/>
      </c>
      <c r="U4640" s="75" t="str">
        <f>IF(ISERROR(FIND('112'!$M$9,G4640,1)),"",IF((AND(LEFT(G4640,2)=LEFT('112'!$M$9,2),B4640&lt;'112'!$K$9,$N4640='112'!$I$6)),"x",""))</f>
        <v/>
      </c>
      <c r="V4640" s="75" t="str">
        <f>IF(ISERROR(FIND('112'!$M$9,G4640,1)),"",IF((AND(RIGHT(G4640,2)=RIGHT('112'!$M$9,2),B4640&lt;'112'!$K$9,$O4640='112'!$I$6)),"x",""))</f>
        <v/>
      </c>
      <c r="W4640" s="75" t="str">
        <f>IF(AND('341-CT'!$H$9=H4640,OR(LEFT(N4640,3)=$W$7,LEFT(O4640,3)=$W$7)),"x","")</f>
        <v/>
      </c>
      <c r="X4640" s="75" t="str">
        <f>IF(OR(TH!N5376=TH!$X$7,O4640=TH!$X$7),"x","")</f>
        <v/>
      </c>
      <c r="Y4640" s="75" t="str">
        <f>IF(AND(OR(N4640="131",O4640="131"),H4640='131-CT'!$H$9),"x","")</f>
        <v/>
      </c>
      <c r="Z4640" s="75"/>
      <c r="AA4640" s="75" t="str">
        <f>IF(AND(MONTH(E4640)='IN-NX'!$J$5,'IN-NX'!$D$7=D4640),"x","")</f>
        <v/>
      </c>
      <c r="AB4640" s="75" t="str">
        <f>IF(AND(OR(LEFT(TH!N5376,2)="15",LEFT(TH!O5376,2)="15"),LEFT(TH!O5376,3)&lt;&gt;"111",'152-CT'!$J$8=TH!F5376),"x","")</f>
        <v/>
      </c>
      <c r="AC4640" s="75" t="str">
        <f>IF(AND(OR(LEFT(TH!N5376,2)="15",LEFT(TH!O5376,2)="15"),TK!$E$7=TH!F5376),"x","")</f>
        <v/>
      </c>
      <c r="AD4640" s="75" t="str">
        <f>IF(AND(N4640="1521",MONTH(C4640)='BK-NL'!$M$11),"x","")</f>
        <v/>
      </c>
    </row>
    <row r="4641" spans="1:31" ht="16.5" customHeight="1">
      <c r="A4641" s="309" t="str">
        <f>IF(B4641&lt;&gt;"",IF(AND(B4641='IN-TC'!$S$4,OR(TH!N4631="1111",TH!O4631="1111")),TH!D4631,""),"")</f>
        <v/>
      </c>
      <c r="B4641" s="1129">
        <f t="shared" si="1330"/>
        <v>8</v>
      </c>
      <c r="C4641" s="292">
        <f t="shared" si="1329"/>
        <v>42951</v>
      </c>
      <c r="D4641" s="59" t="s">
        <v>903</v>
      </c>
      <c r="E4641" s="59">
        <v>42951</v>
      </c>
      <c r="F4641" s="62" t="s">
        <v>914</v>
      </c>
      <c r="G4641" s="62" t="s">
        <v>585</v>
      </c>
      <c r="H4641" s="67" t="s">
        <v>845</v>
      </c>
      <c r="I4641" s="373"/>
      <c r="J4641" s="382"/>
      <c r="K4641" s="373"/>
      <c r="L4641" s="379"/>
      <c r="M4641" s="60">
        <v>1301</v>
      </c>
      <c r="N4641" s="61" t="s">
        <v>26</v>
      </c>
      <c r="O4641" s="295" t="s">
        <v>43</v>
      </c>
      <c r="P4641" s="75" t="str">
        <f>IF(AND('331-CT'!$E$7=TH!H4798,OR(N4641="331",O4641="331")),"x","")</f>
        <v/>
      </c>
      <c r="Q4641" s="75" t="str">
        <f>IF(AND(B4641='111'!$L$11,OR($N4641=$Q$7,$O4641=$Q$7)),"x","")</f>
        <v/>
      </c>
      <c r="R4641" s="75" t="str">
        <f>IF(AND($N4641=$Q$7,$B4641&lt;'111'!$L$11),"x","")</f>
        <v/>
      </c>
      <c r="S4641" s="75" t="str">
        <f>IF(AND($O4641=$Q$7,$B4641&lt;'111'!$L$11),"x","")</f>
        <v/>
      </c>
      <c r="T4641" s="75" t="str">
        <f>IF(ISERROR(FIND('112'!$M$9,G4641,1)),"",IF((AND(FIND('112'!$M$9,G4641,1)&gt;=1,B4641='112'!$K$9,OR($N4641='112'!$I$6,$O4641='112'!$I$6))),"x",""))</f>
        <v/>
      </c>
      <c r="U4641" s="75" t="str">
        <f>IF(ISERROR(FIND('112'!$M$9,G4641,1)),"",IF((AND(LEFT(G4641,2)=LEFT('112'!$M$9,2),B4641&lt;'112'!$K$9,$N4641='112'!$I$6)),"x",""))</f>
        <v/>
      </c>
      <c r="V4641" s="75" t="str">
        <f>IF(ISERROR(FIND('112'!$M$9,G4641,1)),"",IF((AND(RIGHT(G4641,2)=RIGHT('112'!$M$9,2),B4641&lt;'112'!$K$9,$O4641='112'!$I$6)),"x",""))</f>
        <v/>
      </c>
      <c r="W4641" s="75" t="str">
        <f>IF(AND('341-CT'!$H$9=H4641,OR(LEFT(N4641,3)=$W$7,LEFT(O4641,3)=$W$7)),"x","")</f>
        <v/>
      </c>
      <c r="X4641" s="75" t="str">
        <f>IF(OR(TH!N4798=TH!$X$7,O4641=TH!$X$7),"x","")</f>
        <v/>
      </c>
      <c r="Y4641" s="75" t="str">
        <f>IF(AND(OR(N4641="131",O4641="131"),H4641='131-CT'!$H$9),"x","")</f>
        <v/>
      </c>
      <c r="Z4641" s="75"/>
      <c r="AA4641" s="75" t="str">
        <f>IF(AND(MONTH(E4641)='IN-NX'!$J$5,'IN-NX'!$D$7=D4641),"x","")</f>
        <v/>
      </c>
      <c r="AB4641" s="75" t="str">
        <f>IF(AND(OR(LEFT(TH!N4798,2)="15",LEFT(TH!O4798,2)="15"),LEFT(TH!O4798,3)&lt;&gt;"111",'152-CT'!$J$8=TH!F4798),"x","")</f>
        <v/>
      </c>
      <c r="AC4641" s="75" t="str">
        <f>IF(AND(OR(LEFT(TH!N4798,2)="15",LEFT(TH!O4798,2)="15"),TK!$E$7=TH!F4798),"x","")</f>
        <v/>
      </c>
      <c r="AD4641" s="75" t="str">
        <f>IF(AND(N4641="1521",MONTH(C4641)='BK-NL'!$M$11),"x","")</f>
        <v/>
      </c>
    </row>
    <row r="4642" spans="1:31" ht="16.5" customHeight="1">
      <c r="A4642" s="309" t="str">
        <f>IF(B4642&lt;&gt;"",IF(AND(B4642='IN-TC'!$S$4,OR(TH!N4632="1111",TH!O4632="1111")),TH!D4632,""),"")</f>
        <v/>
      </c>
      <c r="B4642" s="1129">
        <f t="shared" si="1330"/>
        <v>8</v>
      </c>
      <c r="C4642" s="292">
        <f t="shared" si="1329"/>
        <v>42953</v>
      </c>
      <c r="D4642" s="292"/>
      <c r="E4642" s="292">
        <v>42953</v>
      </c>
      <c r="F4642" s="293" t="s">
        <v>2097</v>
      </c>
      <c r="G4642" s="943" t="s">
        <v>2095</v>
      </c>
      <c r="H4642" s="294" t="s">
        <v>935</v>
      </c>
      <c r="I4642" s="373"/>
      <c r="J4642" s="926"/>
      <c r="K4642" s="373"/>
      <c r="L4642" s="379"/>
      <c r="M4642" s="927">
        <f>1882408+885361</f>
        <v>2767769</v>
      </c>
      <c r="N4642" s="295" t="s">
        <v>539</v>
      </c>
      <c r="O4642" s="295" t="s">
        <v>63</v>
      </c>
      <c r="P4642" s="75" t="str">
        <f>IF(AND('331-CT'!$E$7=TH!H3807,OR(N4642="331",O4642="331")),"x","")</f>
        <v/>
      </c>
      <c r="Q4642" s="75" t="str">
        <f>IF(AND(B4642='111'!$L$11,OR($N4642=$Q$7,$O4642=$Q$7)),"x","")</f>
        <v/>
      </c>
      <c r="R4642" s="75" t="str">
        <f>IF(AND($N4642=$Q$7,$B4642&lt;'111'!$L$11),"x","")</f>
        <v/>
      </c>
      <c r="S4642" s="75" t="str">
        <f>IF(AND($O4642=$Q$7,$B4642&lt;'111'!$L$11),"x","")</f>
        <v>x</v>
      </c>
      <c r="T4642" s="75" t="str">
        <f>IF(ISERROR(FIND('112'!$M$9,G4642,1)),"",IF((AND(FIND('112'!$M$9,G4642,1)&gt;=1,B4642='112'!$K$9,OR($N4642='112'!$I$6,$O4642='112'!$I$6))),"x",""))</f>
        <v/>
      </c>
      <c r="U4642" s="75" t="str">
        <f>IF(ISERROR(FIND('112'!$M$9,G4642,1)),"",IF((AND(LEFT(G4642,2)=LEFT('112'!$M$9,2),B4642&lt;'112'!$K$9,$N4642='112'!$I$6)),"x",""))</f>
        <v/>
      </c>
      <c r="V4642" s="75" t="str">
        <f>IF(ISERROR(FIND('112'!$M$9,G4642,1)),"",IF((AND(RIGHT(G4642,2)=RIGHT('112'!$M$9,2),B4642&lt;'112'!$K$9,$O4642='112'!$I$6)),"x",""))</f>
        <v/>
      </c>
      <c r="W4642" s="75" t="str">
        <f>IF(AND('341-CT'!$H$9=H4642,OR(LEFT(N4642,3)=$W$7,LEFT(O4642,3)=$W$7)),"x","")</f>
        <v/>
      </c>
      <c r="X4642" s="75" t="str">
        <f>IF(OR(TH!N3807=TH!$X$7,O4642=TH!$X$7),"x","")</f>
        <v/>
      </c>
      <c r="Y4642" s="75" t="str">
        <f>IF(AND(OR(N4642="131",O4642="131"),H4642='131-CT'!$H$9),"x","")</f>
        <v/>
      </c>
      <c r="Z4642" s="75"/>
      <c r="AA4642" s="75" t="str">
        <f>IF(AND(MONTH(E4642)='IN-NX'!$J$5,'IN-NX'!$D$7=D4642),"x","")</f>
        <v/>
      </c>
      <c r="AB4642" s="75" t="str">
        <f>IF(AND(OR(LEFT(TH!N3807,2)="15",LEFT(TH!O3807,2)="15"),LEFT(TH!O3807,3)&lt;&gt;"111",'152-CT'!$J$8=TH!F3807),"x","")</f>
        <v/>
      </c>
      <c r="AC4642" s="75" t="str">
        <f>IF(AND(OR(LEFT(TH!N3807,2)="15",LEFT(TH!O3807,2)="15"),TK!$E$7=TH!F3807),"x","")</f>
        <v/>
      </c>
      <c r="AD4642" s="75" t="str">
        <f>IF(AND(N4642="1521",MONTH(C4642)='BK-NL'!$M$11),"x","")</f>
        <v/>
      </c>
      <c r="AE4642">
        <v>8</v>
      </c>
    </row>
    <row r="4643" spans="1:31" ht="16.5" customHeight="1">
      <c r="A4643" s="309" t="str">
        <f>IF(B4643&lt;&gt;"",IF(AND(B4643='IN-TC'!$S$4,OR(TH!N4633="1111",TH!O4633="1111")),TH!D4633,""),"")</f>
        <v/>
      </c>
      <c r="B4643" s="1129">
        <f t="shared" si="1330"/>
        <v>8</v>
      </c>
      <c r="C4643" s="292">
        <f t="shared" si="1329"/>
        <v>42953</v>
      </c>
      <c r="D4643" s="292"/>
      <c r="E4643" s="292">
        <v>42953</v>
      </c>
      <c r="F4643" s="293" t="s">
        <v>2098</v>
      </c>
      <c r="G4643" s="943" t="s">
        <v>2095</v>
      </c>
      <c r="H4643" s="294" t="s">
        <v>935</v>
      </c>
      <c r="I4643" s="373"/>
      <c r="J4643" s="926"/>
      <c r="K4643" s="373"/>
      <c r="L4643" s="379"/>
      <c r="M4643" s="927">
        <f>188241+88536</f>
        <v>276777</v>
      </c>
      <c r="N4643" s="295" t="s">
        <v>9</v>
      </c>
      <c r="O4643" s="295" t="s">
        <v>63</v>
      </c>
      <c r="P4643" s="75" t="str">
        <f>IF(AND('331-CT'!$E$7=TH!H3808,OR(N4643="331",O4643="331")),"x","")</f>
        <v/>
      </c>
      <c r="Q4643" s="75" t="str">
        <f>IF(AND(B4643='111'!$L$11,OR($N4643=$Q$7,$O4643=$Q$7)),"x","")</f>
        <v/>
      </c>
      <c r="R4643" s="75" t="str">
        <f>IF(AND($N4643=$Q$7,$B4643&lt;'111'!$L$11),"x","")</f>
        <v/>
      </c>
      <c r="S4643" s="75" t="str">
        <f>IF(AND($O4643=$Q$7,$B4643&lt;'111'!$L$11),"x","")</f>
        <v>x</v>
      </c>
      <c r="T4643" s="75" t="str">
        <f>IF(ISERROR(FIND('112'!$M$9,G4643,1)),"",IF((AND(FIND('112'!$M$9,G4643,1)&gt;=1,B4643='112'!$K$9,OR($N4643='112'!$I$6,$O4643='112'!$I$6))),"x",""))</f>
        <v/>
      </c>
      <c r="U4643" s="75" t="str">
        <f>IF(ISERROR(FIND('112'!$M$9,G4643,1)),"",IF((AND(LEFT(G4643,2)=LEFT('112'!$M$9,2),B4643&lt;'112'!$K$9,$N4643='112'!$I$6)),"x",""))</f>
        <v/>
      </c>
      <c r="V4643" s="75" t="str">
        <f>IF(ISERROR(FIND('112'!$M$9,G4643,1)),"",IF((AND(RIGHT(G4643,2)=RIGHT('112'!$M$9,2),B4643&lt;'112'!$K$9,$O4643='112'!$I$6)),"x",""))</f>
        <v/>
      </c>
      <c r="W4643" s="75" t="str">
        <f>IF(AND('341-CT'!$H$9=H4643,OR(LEFT(N4643,3)=$W$7,LEFT(O4643,3)=$W$7)),"x","")</f>
        <v/>
      </c>
      <c r="X4643" s="75" t="str">
        <f>IF(OR(TH!N3808=TH!$X$7,O4643=TH!$X$7),"x","")</f>
        <v/>
      </c>
      <c r="Y4643" s="75" t="str">
        <f>IF(AND(OR(N4643="131",O4643="131"),H4643='131-CT'!$H$9),"x","")</f>
        <v/>
      </c>
      <c r="Z4643" s="75"/>
      <c r="AA4643" s="75" t="str">
        <f>IF(AND(MONTH(E4643)='IN-NX'!$J$5,'IN-NX'!$D$7=D4643),"x","")</f>
        <v/>
      </c>
      <c r="AB4643" s="75" t="str">
        <f>IF(AND(OR(LEFT(TH!N3808,2)="15",LEFT(TH!O3808,2)="15"),LEFT(TH!O3808,3)&lt;&gt;"111",'152-CT'!$J$8=TH!F3808),"x","")</f>
        <v/>
      </c>
      <c r="AC4643" s="75" t="str">
        <f>IF(AND(OR(LEFT(TH!N3808,2)="15",LEFT(TH!O3808,2)="15"),TK!$E$7=TH!F3808),"x","")</f>
        <v/>
      </c>
      <c r="AD4643" s="75" t="str">
        <f>IF(AND(N4643="1521",MONTH(C4643)='BK-NL'!$M$11),"x","")</f>
        <v/>
      </c>
      <c r="AE4643">
        <v>8</v>
      </c>
    </row>
    <row r="4644" spans="1:31" ht="16.5" customHeight="1">
      <c r="A4644" s="309" t="str">
        <f>IF(B4644&lt;&gt;"",IF(AND(B4644='IN-TC'!$S$4,OR(TH!N4634="1111",TH!O4634="1111")),TH!D4634,""),"")</f>
        <v/>
      </c>
      <c r="B4644" s="1129">
        <f t="shared" si="1330"/>
        <v>8</v>
      </c>
      <c r="C4644" s="292">
        <f t="shared" si="1329"/>
        <v>42954</v>
      </c>
      <c r="D4644" s="59" t="s">
        <v>530</v>
      </c>
      <c r="E4644" s="59">
        <v>42954</v>
      </c>
      <c r="F4644" s="62" t="s">
        <v>1010</v>
      </c>
      <c r="G4644" s="62" t="s">
        <v>747</v>
      </c>
      <c r="H4644" s="67" t="s">
        <v>1081</v>
      </c>
      <c r="I4644" s="373"/>
      <c r="J4644" s="382"/>
      <c r="K4644" s="373"/>
      <c r="L4644" s="379"/>
      <c r="M4644" s="60">
        <v>2142000</v>
      </c>
      <c r="N4644" s="61" t="s">
        <v>99</v>
      </c>
      <c r="O4644" s="61" t="s">
        <v>250</v>
      </c>
      <c r="P4644" s="75" t="str">
        <f>IF(AND('331-CT'!$E$7=TH!H5377,OR(N4644="331",O4644="331")),"x","")</f>
        <v/>
      </c>
      <c r="Q4644" s="75" t="str">
        <f>IF(AND(B4644='111'!$L$11,OR($N4644=$Q$7,$O4644=$Q$7)),"x","")</f>
        <v/>
      </c>
      <c r="R4644" s="75" t="str">
        <f>IF(AND($N4644=$Q$7,$B4644&lt;'111'!$L$11),"x","")</f>
        <v/>
      </c>
      <c r="S4644" s="75" t="str">
        <f>IF(AND($O4644=$Q$7,$B4644&lt;'111'!$L$11),"x","")</f>
        <v/>
      </c>
      <c r="T4644" s="75" t="str">
        <f>IF(ISERROR(FIND('112'!$M$9,G4644,1)),"",IF((AND(FIND('112'!$M$9,G4644,1)&gt;=1,B4644='112'!$K$9,OR($N4644='112'!$I$6,$O4644='112'!$I$6))),"x",""))</f>
        <v/>
      </c>
      <c r="U4644" s="75" t="str">
        <f>IF(ISERROR(FIND('112'!$M$9,G4644,1)),"",IF((AND(LEFT(G4644,2)=LEFT('112'!$M$9,2),B4644&lt;'112'!$K$9,$N4644='112'!$I$6)),"x",""))</f>
        <v/>
      </c>
      <c r="V4644" s="75" t="str">
        <f>IF(ISERROR(FIND('112'!$M$9,G4644,1)),"",IF((AND(RIGHT(G4644,2)=RIGHT('112'!$M$9,2),B4644&lt;'112'!$K$9,$O4644='112'!$I$6)),"x",""))</f>
        <v/>
      </c>
      <c r="W4644" s="75" t="str">
        <f>IF(AND('341-CT'!$H$9=H4644,OR(LEFT(N4644,3)=$W$7,LEFT(O4644,3)=$W$7)),"x","")</f>
        <v/>
      </c>
      <c r="X4644" s="75" t="str">
        <f>IF(OR(TH!N5377=TH!$X$7,O4644=TH!$X$7),"x","")</f>
        <v/>
      </c>
      <c r="Y4644" s="75" t="str">
        <f>IF(AND(OR(N4644="131",O4644="131"),H4644='131-CT'!$H$9),"x","")</f>
        <v/>
      </c>
      <c r="Z4644" s="75"/>
      <c r="AA4644" s="75" t="str">
        <f>IF(AND(MONTH(E4644)='IN-NX'!$J$5,'IN-NX'!$D$7=D4644),"x","")</f>
        <v/>
      </c>
      <c r="AB4644" s="75" t="str">
        <f>IF(AND(OR(LEFT(TH!N5377,2)="15",LEFT(TH!O5377,2)="15"),LEFT(TH!O5377,3)&lt;&gt;"111",'152-CT'!$J$8=TH!F5377),"x","")</f>
        <v/>
      </c>
      <c r="AC4644" s="75" t="str">
        <f>IF(AND(OR(LEFT(TH!N5377,2)="15",LEFT(TH!O5377,2)="15"),TK!$E$7=TH!F5377),"x","")</f>
        <v/>
      </c>
      <c r="AD4644" s="75" t="str">
        <f>IF(AND(N4644="1521",MONTH(C4644)='BK-NL'!$M$11),"x","")</f>
        <v/>
      </c>
    </row>
    <row r="4645" spans="1:31" ht="16.5" customHeight="1">
      <c r="A4645" s="309" t="str">
        <f>IF(B4645&lt;&gt;"",IF(AND(B4645='IN-TC'!$S$4,OR(TH!N4635="1111",TH!O4635="1111")),TH!D4635,""),"")</f>
        <v/>
      </c>
      <c r="B4645" s="1129">
        <f t="shared" si="1330"/>
        <v>8</v>
      </c>
      <c r="C4645" s="292">
        <f t="shared" si="1329"/>
        <v>42954</v>
      </c>
      <c r="D4645" s="292" t="s">
        <v>844</v>
      </c>
      <c r="E4645" s="292">
        <v>42954</v>
      </c>
      <c r="F4645" s="293" t="s">
        <v>834</v>
      </c>
      <c r="G4645" s="943" t="s">
        <v>747</v>
      </c>
      <c r="H4645" s="67" t="s">
        <v>1023</v>
      </c>
      <c r="I4645" s="373"/>
      <c r="J4645" s="926"/>
      <c r="K4645" s="373"/>
      <c r="L4645" s="379"/>
      <c r="M4645" s="927">
        <v>1000000000</v>
      </c>
      <c r="N4645" s="295" t="s">
        <v>63</v>
      </c>
      <c r="O4645" s="295" t="s">
        <v>26</v>
      </c>
      <c r="P4645" s="75" t="str">
        <f>IF(AND('331-CT'!$E$7=TH!H5382,OR(N4645="331",O4645="331")),"x","")</f>
        <v/>
      </c>
      <c r="Q4645" s="75" t="str">
        <f>IF(AND(B4645='111'!$L$11,OR($N4645=$Q$7,$O4645=$Q$7)),"x","")</f>
        <v/>
      </c>
      <c r="R4645" s="75" t="str">
        <f>IF(AND($N4645=$Q$7,$B4645&lt;'111'!$L$11),"x","")</f>
        <v>x</v>
      </c>
      <c r="S4645" s="75" t="str">
        <f>IF(AND($O4645=$Q$7,$B4645&lt;'111'!$L$11),"x","")</f>
        <v/>
      </c>
      <c r="T4645" s="75" t="str">
        <f>IF(ISERROR(FIND('112'!$M$9,G4645,1)),"",IF((AND(FIND('112'!$M$9,G4645,1)&gt;=1,B4645='112'!$K$9,OR($N4645='112'!$I$6,$O4645='112'!$I$6))),"x",""))</f>
        <v/>
      </c>
      <c r="U4645" s="75" t="str">
        <f>IF(ISERROR(FIND('112'!$M$9,G4645,1)),"",IF((AND(LEFT(G4645,2)=LEFT('112'!$M$9,2),B4645&lt;'112'!$K$9,$N4645='112'!$I$6)),"x",""))</f>
        <v/>
      </c>
      <c r="V4645" s="75" t="str">
        <f>IF(ISERROR(FIND('112'!$M$9,G4645,1)),"",IF((AND(RIGHT(G4645,2)=RIGHT('112'!$M$9,2),B4645&lt;'112'!$K$9,$O4645='112'!$I$6)),"x",""))</f>
        <v/>
      </c>
      <c r="W4645" s="75" t="str">
        <f>IF(AND('341-CT'!$H$9=H4645,OR(LEFT(N4645,3)=$W$7,LEFT(O4645,3)=$W$7)),"x","")</f>
        <v/>
      </c>
      <c r="X4645" s="75" t="str">
        <f>IF(OR(TH!N5382=TH!$X$7,O4645=TH!$X$7),"x","")</f>
        <v>x</v>
      </c>
      <c r="Y4645" s="75" t="str">
        <f>IF(AND(OR(N4645="131",O4645="131"),H4645='131-CT'!$H$9),"x","")</f>
        <v/>
      </c>
      <c r="Z4645" s="75"/>
      <c r="AA4645" s="75" t="str">
        <f>IF(AND(MONTH(E4645)='IN-NX'!$J$5,'IN-NX'!$D$7=D4645),"x","")</f>
        <v/>
      </c>
      <c r="AB4645" s="75" t="str">
        <f>IF(AND(OR(LEFT(TH!N5382,2)="15",LEFT(TH!O5382,2)="15"),LEFT(TH!O5382,3)&lt;&gt;"111",'152-CT'!$J$8=TH!F5382),"x","")</f>
        <v/>
      </c>
      <c r="AC4645" s="75" t="str">
        <f>IF(AND(OR(LEFT(TH!N5382,2)="15",LEFT(TH!O5382,2)="15"),TK!$E$7=TH!F5382),"x","")</f>
        <v/>
      </c>
      <c r="AD4645" s="75" t="str">
        <f>IF(AND(N4645="1521",MONTH(C4645)='BK-NL'!$M$11),"x","")</f>
        <v/>
      </c>
    </row>
    <row r="4646" spans="1:31" ht="16.5" customHeight="1">
      <c r="A4646" s="309" t="str">
        <f>IF(B4646&lt;&gt;"",IF(AND(B4646='IN-TC'!$S$4,OR(TH!N4636="1111",TH!O4636="1111")),TH!D4636,""),"")</f>
        <v/>
      </c>
      <c r="B4646" s="1129">
        <f t="shared" si="1330"/>
        <v>8</v>
      </c>
      <c r="C4646" s="292">
        <f t="shared" si="1329"/>
        <v>42954</v>
      </c>
      <c r="D4646" s="59" t="s">
        <v>902</v>
      </c>
      <c r="E4646" s="59">
        <v>42954</v>
      </c>
      <c r="F4646" s="907" t="s">
        <v>1027</v>
      </c>
      <c r="G4646" s="62" t="s">
        <v>747</v>
      </c>
      <c r="H4646" s="67" t="s">
        <v>759</v>
      </c>
      <c r="I4646" s="373"/>
      <c r="J4646" s="379"/>
      <c r="K4646" s="373"/>
      <c r="L4646" s="379"/>
      <c r="M4646" s="60">
        <v>2503600</v>
      </c>
      <c r="N4646" s="61" t="s">
        <v>101</v>
      </c>
      <c r="O4646" s="61" t="s">
        <v>26</v>
      </c>
      <c r="P4646" s="75" t="str">
        <f>IF(AND('331-CT'!$E$7=TH!H5383,OR(N4646="331",O4646="331")),"x","")</f>
        <v/>
      </c>
      <c r="Q4646" s="75" t="str">
        <f>IF(AND(B4646='111'!$L$11,OR($N4646=$Q$7,$O4646=$Q$7)),"x","")</f>
        <v/>
      </c>
      <c r="R4646" s="75" t="str">
        <f>IF(AND($N4646=$Q$7,$B4646&lt;'111'!$L$11),"x","")</f>
        <v/>
      </c>
      <c r="S4646" s="75" t="str">
        <f>IF(AND($O4646=$Q$7,$B4646&lt;'111'!$L$11),"x","")</f>
        <v/>
      </c>
      <c r="T4646" s="75" t="str">
        <f>IF(ISERROR(FIND('112'!$M$9,G4646,1)),"",IF((AND(FIND('112'!$M$9,G4646,1)&gt;=1,B4646='112'!$K$9,OR($N4646='112'!$I$6,$O4646='112'!$I$6))),"x",""))</f>
        <v/>
      </c>
      <c r="U4646" s="75" t="str">
        <f>IF(ISERROR(FIND('112'!$M$9,G4646,1)),"",IF((AND(LEFT(G4646,2)=LEFT('112'!$M$9,2),B4646&lt;'112'!$K$9,$N4646='112'!$I$6)),"x",""))</f>
        <v/>
      </c>
      <c r="V4646" s="75" t="str">
        <f>IF(ISERROR(FIND('112'!$M$9,G4646,1)),"",IF((AND(RIGHT(G4646,2)=RIGHT('112'!$M$9,2),B4646&lt;'112'!$K$9,$O4646='112'!$I$6)),"x",""))</f>
        <v/>
      </c>
      <c r="W4646" s="75" t="str">
        <f>IF(AND('341-CT'!$H$9=H4646,OR(LEFT(N4646,3)=$W$7,LEFT(O4646,3)=$W$7)),"x","")</f>
        <v/>
      </c>
      <c r="X4646" s="75" t="str">
        <f>IF(OR(TH!N5383=TH!$X$7,O4646=TH!$X$7),"x","")</f>
        <v/>
      </c>
      <c r="Y4646" s="75" t="str">
        <f>IF(AND(OR(N4646="131",O4646="131"),H4646='131-CT'!$H$9),"x","")</f>
        <v/>
      </c>
      <c r="Z4646" s="75"/>
      <c r="AA4646" s="75" t="str">
        <f>IF(AND(MONTH(E4646)='IN-NX'!$J$5,'IN-NX'!$D$7=D4646),"x","")</f>
        <v/>
      </c>
      <c r="AB4646" s="75" t="str">
        <f>IF(AND(OR(LEFT(TH!N5383,2)="15",LEFT(TH!O5383,2)="15"),LEFT(TH!O5383,3)&lt;&gt;"111",'152-CT'!$J$8=TH!F5383),"x","")</f>
        <v/>
      </c>
      <c r="AC4646" s="75" t="str">
        <f>IF(AND(OR(LEFT(TH!N5383,2)="15",LEFT(TH!O5383,2)="15"),TK!$E$7=TH!F5383),"x","")</f>
        <v/>
      </c>
      <c r="AD4646" s="75" t="str">
        <f>IF(AND(N4646="1521",MONTH(C4646)='BK-NL'!$M$11),"x","")</f>
        <v/>
      </c>
    </row>
    <row r="4647" spans="1:31" ht="16.5" customHeight="1">
      <c r="A4647" s="309" t="str">
        <f>IF(B4647&lt;&gt;"",IF(AND(B4647='IN-TC'!$S$4,OR(TH!N4637="1111",TH!O4637="1111")),TH!D4637,""),"")</f>
        <v/>
      </c>
      <c r="B4647" s="1129">
        <f t="shared" si="1330"/>
        <v>8</v>
      </c>
      <c r="C4647" s="292">
        <f t="shared" si="1329"/>
        <v>42955</v>
      </c>
      <c r="D4647" s="292"/>
      <c r="E4647" s="292">
        <v>42955</v>
      </c>
      <c r="F4647" s="293" t="s">
        <v>881</v>
      </c>
      <c r="G4647" s="925" t="s">
        <v>2049</v>
      </c>
      <c r="H4647" s="294" t="s">
        <v>1817</v>
      </c>
      <c r="I4647" s="373"/>
      <c r="J4647" s="926"/>
      <c r="K4647" s="373"/>
      <c r="L4647" s="379"/>
      <c r="M4647" s="927">
        <v>1110000</v>
      </c>
      <c r="N4647" s="295" t="s">
        <v>539</v>
      </c>
      <c r="O4647" s="295" t="s">
        <v>63</v>
      </c>
      <c r="P4647" s="75" t="str">
        <f>IF(AND('331-CT'!$E$7=TH!H3809,OR(N4647="331",O4647="331")),"x","")</f>
        <v/>
      </c>
      <c r="Q4647" s="75" t="str">
        <f>IF(AND(B4647='111'!$L$11,OR($N4647=$Q$7,$O4647=$Q$7)),"x","")</f>
        <v/>
      </c>
      <c r="R4647" s="75" t="str">
        <f>IF(AND($N4647=$Q$7,$B4647&lt;'111'!$L$11),"x","")</f>
        <v/>
      </c>
      <c r="S4647" s="75" t="str">
        <f>IF(AND($O4647=$Q$7,$B4647&lt;'111'!$L$11),"x","")</f>
        <v>x</v>
      </c>
      <c r="T4647" s="75" t="str">
        <f>IF(ISERROR(FIND('112'!$M$9,G4647,1)),"",IF((AND(FIND('112'!$M$9,G4647,1)&gt;=1,B4647='112'!$K$9,OR($N4647='112'!$I$6,$O4647='112'!$I$6))),"x",""))</f>
        <v/>
      </c>
      <c r="U4647" s="75" t="str">
        <f>IF(ISERROR(FIND('112'!$M$9,G4647,1)),"",IF((AND(LEFT(G4647,2)=LEFT('112'!$M$9,2),B4647&lt;'112'!$K$9,$N4647='112'!$I$6)),"x",""))</f>
        <v/>
      </c>
      <c r="V4647" s="75" t="str">
        <f>IF(ISERROR(FIND('112'!$M$9,G4647,1)),"",IF((AND(RIGHT(G4647,2)=RIGHT('112'!$M$9,2),B4647&lt;'112'!$K$9,$O4647='112'!$I$6)),"x",""))</f>
        <v/>
      </c>
      <c r="W4647" s="75" t="str">
        <f>IF(AND('341-CT'!$H$9=H4647,OR(LEFT(N4647,3)=$W$7,LEFT(O4647,3)=$W$7)),"x","")</f>
        <v/>
      </c>
      <c r="X4647" s="75" t="str">
        <f>IF(OR(TH!N3809=TH!$X$7,O4647=TH!$X$7),"x","")</f>
        <v/>
      </c>
      <c r="Y4647" s="75" t="str">
        <f>IF(AND(OR(N4647="131",O4647="131"),H4647='131-CT'!$H$9),"x","")</f>
        <v/>
      </c>
      <c r="Z4647" s="75"/>
      <c r="AA4647" s="75" t="str">
        <f>IF(AND(MONTH(E4647)='IN-NX'!$J$5,'IN-NX'!$D$7=D4647),"x","")</f>
        <v/>
      </c>
      <c r="AB4647" s="75" t="str">
        <f>IF(AND(OR(LEFT(TH!N3809,2)="15",LEFT(TH!O3809,2)="15"),LEFT(TH!O3809,3)&lt;&gt;"111",'152-CT'!$J$8=TH!F3809),"x","")</f>
        <v/>
      </c>
      <c r="AC4647" s="75" t="str">
        <f>IF(AND(OR(LEFT(TH!N3809,2)="15",LEFT(TH!O3809,2)="15"),TK!$E$7=TH!F3809),"x","")</f>
        <v/>
      </c>
      <c r="AD4647" s="75" t="str">
        <f>IF(AND(N4647="1521",MONTH(C4647)='BK-NL'!$M$11),"x","")</f>
        <v/>
      </c>
      <c r="AE4647">
        <v>8</v>
      </c>
    </row>
    <row r="4648" spans="1:31" ht="16.5" customHeight="1">
      <c r="A4648" s="309" t="str">
        <f>IF(B4648&lt;&gt;"",IF(AND(B4648='IN-TC'!$S$4,OR(TH!N4638="1111",TH!O4638="1111")),TH!D4638,""),"")</f>
        <v/>
      </c>
      <c r="B4648" s="1129">
        <f t="shared" si="1330"/>
        <v>8</v>
      </c>
      <c r="C4648" s="292">
        <f t="shared" si="1329"/>
        <v>42955</v>
      </c>
      <c r="D4648" s="292"/>
      <c r="E4648" s="292">
        <v>42955</v>
      </c>
      <c r="F4648" s="293" t="s">
        <v>882</v>
      </c>
      <c r="G4648" s="925" t="s">
        <v>2049</v>
      </c>
      <c r="H4648" s="294" t="s">
        <v>1817</v>
      </c>
      <c r="I4648" s="373"/>
      <c r="J4648" s="926"/>
      <c r="K4648" s="373"/>
      <c r="L4648" s="379"/>
      <c r="M4648" s="927">
        <v>55500</v>
      </c>
      <c r="N4648" s="295" t="s">
        <v>9</v>
      </c>
      <c r="O4648" s="295" t="s">
        <v>63</v>
      </c>
      <c r="P4648" s="75" t="str">
        <f>IF(AND('331-CT'!$E$7=TH!H3810,OR(N4648="331",O4648="331")),"x","")</f>
        <v/>
      </c>
      <c r="Q4648" s="75" t="str">
        <f>IF(AND(B4648='111'!$L$11,OR($N4648=$Q$7,$O4648=$Q$7)),"x","")</f>
        <v/>
      </c>
      <c r="R4648" s="75" t="str">
        <f>IF(AND($N4648=$Q$7,$B4648&lt;'111'!$L$11),"x","")</f>
        <v/>
      </c>
      <c r="S4648" s="75" t="str">
        <f>IF(AND($O4648=$Q$7,$B4648&lt;'111'!$L$11),"x","")</f>
        <v>x</v>
      </c>
      <c r="T4648" s="75" t="str">
        <f>IF(ISERROR(FIND('112'!$M$9,G4648,1)),"",IF((AND(FIND('112'!$M$9,G4648,1)&gt;=1,B4648='112'!$K$9,OR($N4648='112'!$I$6,$O4648='112'!$I$6))),"x",""))</f>
        <v/>
      </c>
      <c r="U4648" s="75" t="str">
        <f>IF(ISERROR(FIND('112'!$M$9,G4648,1)),"",IF((AND(LEFT(G4648,2)=LEFT('112'!$M$9,2),B4648&lt;'112'!$K$9,$N4648='112'!$I$6)),"x",""))</f>
        <v/>
      </c>
      <c r="V4648" s="75" t="str">
        <f>IF(ISERROR(FIND('112'!$M$9,G4648,1)),"",IF((AND(RIGHT(G4648,2)=RIGHT('112'!$M$9,2),B4648&lt;'112'!$K$9,$O4648='112'!$I$6)),"x",""))</f>
        <v/>
      </c>
      <c r="W4648" s="75" t="str">
        <f>IF(AND('341-CT'!$H$9=H4648,OR(LEFT(N4648,3)=$W$7,LEFT(O4648,3)=$W$7)),"x","")</f>
        <v/>
      </c>
      <c r="X4648" s="75" t="str">
        <f>IF(OR(TH!N3810=TH!$X$7,O4648=TH!$X$7),"x","")</f>
        <v/>
      </c>
      <c r="Y4648" s="75" t="str">
        <f>IF(AND(OR(N4648="131",O4648="131"),H4648='131-CT'!$H$9),"x","")</f>
        <v/>
      </c>
      <c r="Z4648" s="75"/>
      <c r="AA4648" s="75" t="str">
        <f>IF(AND(MONTH(E4648)='IN-NX'!$J$5,'IN-NX'!$D$7=D4648),"x","")</f>
        <v/>
      </c>
      <c r="AB4648" s="75" t="str">
        <f>IF(AND(OR(LEFT(TH!N3810,2)="15",LEFT(TH!O3810,2)="15"),LEFT(TH!O3810,3)&lt;&gt;"111",'152-CT'!$J$8=TH!F3810),"x","")</f>
        <v/>
      </c>
      <c r="AC4648" s="75" t="str">
        <f>IF(AND(OR(LEFT(TH!N3810,2)="15",LEFT(TH!O3810,2)="15"),TK!$E$7=TH!F3810),"x","")</f>
        <v/>
      </c>
      <c r="AD4648" s="75" t="str">
        <f>IF(AND(N4648="1521",MONTH(C4648)='BK-NL'!$M$11),"x","")</f>
        <v/>
      </c>
      <c r="AE4648">
        <v>8</v>
      </c>
    </row>
    <row r="4649" spans="1:31" ht="16.5" customHeight="1">
      <c r="A4649" s="309" t="str">
        <f>IF(B4649&lt;&gt;"",IF(AND(B4649='IN-TC'!$S$4,OR(TH!N4639="1111",TH!O4639="1111")),TH!D4639,""),"")</f>
        <v/>
      </c>
      <c r="B4649" s="1129">
        <f t="shared" si="1330"/>
        <v>8</v>
      </c>
      <c r="C4649" s="292">
        <f t="shared" si="1329"/>
        <v>42955</v>
      </c>
      <c r="D4649" s="59" t="s">
        <v>903</v>
      </c>
      <c r="E4649" s="59">
        <v>42955</v>
      </c>
      <c r="F4649" s="62" t="s">
        <v>914</v>
      </c>
      <c r="G4649" s="62" t="s">
        <v>586</v>
      </c>
      <c r="H4649" s="67" t="s">
        <v>982</v>
      </c>
      <c r="I4649" s="373"/>
      <c r="J4649" s="382"/>
      <c r="K4649" s="373"/>
      <c r="L4649" s="379"/>
      <c r="M4649" s="60">
        <v>174</v>
      </c>
      <c r="N4649" s="61" t="s">
        <v>26</v>
      </c>
      <c r="O4649" s="295" t="s">
        <v>43</v>
      </c>
      <c r="P4649" s="75" t="str">
        <f>IF(AND('331-CT'!$E$7=TH!H4406,OR(N4649="331",O4649="331")),"x","")</f>
        <v/>
      </c>
      <c r="Q4649" s="75" t="str">
        <f>IF(AND(B4649='111'!$L$11,OR($N4649=$Q$7,$O4649=$Q$7)),"x","")</f>
        <v/>
      </c>
      <c r="R4649" s="75" t="str">
        <f>IF(AND($N4649=$Q$7,$B4649&lt;'111'!$L$11),"x","")</f>
        <v/>
      </c>
      <c r="S4649" s="75" t="str">
        <f>IF(AND($O4649=$Q$7,$B4649&lt;'111'!$L$11),"x","")</f>
        <v/>
      </c>
      <c r="T4649" s="75" t="str">
        <f>IF(ISERROR(FIND('112'!$M$9,G4649,1)),"",IF((AND(FIND('112'!$M$9,G4649,1)&gt;=1,B4649='112'!$K$9,OR($N4649='112'!$I$6,$O4649='112'!$I$6))),"x",""))</f>
        <v/>
      </c>
      <c r="U4649" s="75" t="str">
        <f>IF(ISERROR(FIND('112'!$M$9,G4649,1)),"",IF((AND(LEFT(G4649,2)=LEFT('112'!$M$9,2),B4649&lt;'112'!$K$9,$N4649='112'!$I$6)),"x",""))</f>
        <v>x</v>
      </c>
      <c r="V4649" s="75" t="str">
        <f>IF(ISERROR(FIND('112'!$M$9,G4649,1)),"",IF((AND(RIGHT(G4649,2)=RIGHT('112'!$M$9,2),B4649&lt;'112'!$K$9,$O4649='112'!$I$6)),"x",""))</f>
        <v/>
      </c>
      <c r="W4649" s="75" t="str">
        <f>IF(AND('341-CT'!$H$9=H4649,OR(LEFT(N4649,3)=$W$7,LEFT(O4649,3)=$W$7)),"x","")</f>
        <v/>
      </c>
      <c r="X4649" s="75" t="str">
        <f>IF(OR(TH!N4406=TH!$X$7,O4649=TH!$X$7),"x","")</f>
        <v/>
      </c>
      <c r="Y4649" s="75" t="str">
        <f>IF(AND(OR(N4649="131",O4649="131"),H4649='131-CT'!$H$9),"x","")</f>
        <v/>
      </c>
      <c r="Z4649" s="75"/>
      <c r="AA4649" s="75" t="str">
        <f>IF(AND(MONTH(E4649)='IN-NX'!$J$5,'IN-NX'!$D$7=D4649),"x","")</f>
        <v/>
      </c>
      <c r="AB4649" s="75" t="str">
        <f>IF(AND(OR(LEFT(TH!N4406,2)="15",LEFT(TH!O4406,2)="15"),LEFT(TH!O4406,3)&lt;&gt;"111",'152-CT'!$J$8=TH!F4406),"x","")</f>
        <v/>
      </c>
      <c r="AC4649" s="75" t="str">
        <f>IF(AND(OR(LEFT(TH!N4406,2)="15",LEFT(TH!O4406,2)="15"),TK!$E$7=TH!F4406),"x","")</f>
        <v/>
      </c>
      <c r="AD4649" s="75" t="str">
        <f>IF(AND(N4649="1521",MONTH(C4649)='BK-NL'!$M$11),"x","")</f>
        <v/>
      </c>
    </row>
    <row r="4650" spans="1:31" ht="16.5" customHeight="1">
      <c r="A4650" s="309" t="str">
        <f>IF(B4650&lt;&gt;"",IF(AND(B4650='IN-TC'!$S$4,OR(TH!N4640="1111",TH!O4640="1111")),TH!D4640,""),"")</f>
        <v/>
      </c>
      <c r="B4650" s="1129">
        <f t="shared" si="1330"/>
        <v>8</v>
      </c>
      <c r="C4650" s="292">
        <f t="shared" si="1329"/>
        <v>42955</v>
      </c>
      <c r="D4650" s="59" t="s">
        <v>903</v>
      </c>
      <c r="E4650" s="59">
        <v>42955</v>
      </c>
      <c r="F4650" s="62" t="s">
        <v>1086</v>
      </c>
      <c r="G4650" s="62" t="s">
        <v>585</v>
      </c>
      <c r="H4650" s="311" t="s">
        <v>802</v>
      </c>
      <c r="I4650" s="373"/>
      <c r="J4650" s="382"/>
      <c r="K4650" s="373"/>
      <c r="L4650" s="379"/>
      <c r="M4650" s="60">
        <v>71214000</v>
      </c>
      <c r="N4650" s="61" t="s">
        <v>26</v>
      </c>
      <c r="O4650" s="61" t="s">
        <v>536</v>
      </c>
      <c r="P4650" s="75" t="str">
        <f>IF(AND('331-CT'!$E$7=TH!H4799,OR(N4650="331",O4650="331")),"x","")</f>
        <v/>
      </c>
      <c r="Q4650" s="75" t="str">
        <f>IF(AND(B4650='111'!$L$11,OR($N4650=$Q$7,$O4650=$Q$7)),"x","")</f>
        <v/>
      </c>
      <c r="R4650" s="75" t="str">
        <f>IF(AND($N4650=$Q$7,$B4650&lt;'111'!$L$11),"x","")</f>
        <v/>
      </c>
      <c r="S4650" s="75" t="str">
        <f>IF(AND($O4650=$Q$7,$B4650&lt;'111'!$L$11),"x","")</f>
        <v/>
      </c>
      <c r="T4650" s="75" t="str">
        <f>IF(ISERROR(FIND('112'!$M$9,G4650,1)),"",IF((AND(FIND('112'!$M$9,G4650,1)&gt;=1,B4650='112'!$K$9,OR($N4650='112'!$I$6,$O4650='112'!$I$6))),"x",""))</f>
        <v/>
      </c>
      <c r="U4650" s="75" t="str">
        <f>IF(ISERROR(FIND('112'!$M$9,G4650,1)),"",IF((AND(LEFT(G4650,2)=LEFT('112'!$M$9,2),B4650&lt;'112'!$K$9,$N4650='112'!$I$6)),"x",""))</f>
        <v/>
      </c>
      <c r="V4650" s="75" t="str">
        <f>IF(ISERROR(FIND('112'!$M$9,G4650,1)),"",IF((AND(RIGHT(G4650,2)=RIGHT('112'!$M$9,2),B4650&lt;'112'!$K$9,$O4650='112'!$I$6)),"x",""))</f>
        <v/>
      </c>
      <c r="W4650" s="75" t="str">
        <f>IF(AND('341-CT'!$H$9=H4650,OR(LEFT(N4650,3)=$W$7,LEFT(O4650,3)=$W$7)),"x","")</f>
        <v/>
      </c>
      <c r="X4650" s="75" t="str">
        <f>IF(OR(TH!N4799=TH!$X$7,O4650=TH!$X$7),"x","")</f>
        <v/>
      </c>
      <c r="Y4650" s="75" t="str">
        <f>IF(AND(OR(N4650="131",O4650="131"),H4650='131-CT'!$H$9),"x","")</f>
        <v/>
      </c>
      <c r="Z4650" s="75"/>
      <c r="AA4650" s="75" t="str">
        <f>IF(AND(MONTH(E4650)='IN-NX'!$J$5,'IN-NX'!$D$7=D4650),"x","")</f>
        <v/>
      </c>
      <c r="AB4650" s="75" t="str">
        <f>IF(AND(OR(LEFT(TH!N4799,2)="15",LEFT(TH!O4799,2)="15"),LEFT(TH!O4799,3)&lt;&gt;"111",'152-CT'!$J$8=TH!F4799),"x","")</f>
        <v/>
      </c>
      <c r="AC4650" s="75" t="str">
        <f>IF(AND(OR(LEFT(TH!N4799,2)="15",LEFT(TH!O4799,2)="15"),TK!$E$7=TH!F4799),"x","")</f>
        <v/>
      </c>
      <c r="AD4650" s="75" t="str">
        <f>IF(AND(N4650="1521",MONTH(C4650)='BK-NL'!$M$11),"x","")</f>
        <v/>
      </c>
    </row>
    <row r="4651" spans="1:31" ht="16.5" customHeight="1">
      <c r="A4651" s="309" t="str">
        <f>IF(B4651&lt;&gt;"",IF(AND(B4651='IN-TC'!$S$4,OR(TH!N4641="1111",TH!O4641="1111")),TH!D4641,""),"")</f>
        <v/>
      </c>
      <c r="B4651" s="1129">
        <f t="shared" si="1330"/>
        <v>8</v>
      </c>
      <c r="C4651" s="292">
        <f t="shared" si="1329"/>
        <v>42955</v>
      </c>
      <c r="D4651" s="59" t="s">
        <v>902</v>
      </c>
      <c r="E4651" s="59">
        <v>42955</v>
      </c>
      <c r="F4651" s="67" t="s">
        <v>1549</v>
      </c>
      <c r="G4651" s="62" t="s">
        <v>747</v>
      </c>
      <c r="H4651" s="67" t="s">
        <v>835</v>
      </c>
      <c r="I4651" s="373"/>
      <c r="J4651" s="379"/>
      <c r="K4651" s="379"/>
      <c r="L4651" s="379"/>
      <c r="M4651" s="379">
        <v>113800</v>
      </c>
      <c r="N4651" s="61" t="s">
        <v>101</v>
      </c>
      <c r="O4651" s="61" t="s">
        <v>26</v>
      </c>
      <c r="P4651" s="75" t="str">
        <f>IF(AND('331-CT'!$E$7=TH!H5384,OR(N4651="331",O4651="331")),"x","")</f>
        <v/>
      </c>
      <c r="Q4651" s="75" t="str">
        <f>IF(AND(B4651='111'!$L$11,OR($N4651=$Q$7,$O4651=$Q$7)),"x","")</f>
        <v/>
      </c>
      <c r="R4651" s="75" t="str">
        <f>IF(AND($N4651=$Q$7,$B4651&lt;'111'!$L$11),"x","")</f>
        <v/>
      </c>
      <c r="S4651" s="75" t="str">
        <f>IF(AND($O4651=$Q$7,$B4651&lt;'111'!$L$11),"x","")</f>
        <v/>
      </c>
      <c r="T4651" s="75" t="str">
        <f>IF(ISERROR(FIND('112'!$M$9,G4651,1)),"",IF((AND(FIND('112'!$M$9,G4651,1)&gt;=1,B4651='112'!$K$9,OR($N4651='112'!$I$6,$O4651='112'!$I$6))),"x",""))</f>
        <v/>
      </c>
      <c r="U4651" s="75" t="str">
        <f>IF(ISERROR(FIND('112'!$M$9,G4651,1)),"",IF((AND(LEFT(G4651,2)=LEFT('112'!$M$9,2),B4651&lt;'112'!$K$9,$N4651='112'!$I$6)),"x",""))</f>
        <v/>
      </c>
      <c r="V4651" s="75" t="str">
        <f>IF(ISERROR(FIND('112'!$M$9,G4651,1)),"",IF((AND(RIGHT(G4651,2)=RIGHT('112'!$M$9,2),B4651&lt;'112'!$K$9,$O4651='112'!$I$6)),"x",""))</f>
        <v/>
      </c>
      <c r="W4651" s="75" t="str">
        <f>IF(AND('341-CT'!$H$9=H4651,OR(LEFT(N4651,3)=$W$7,LEFT(O4651,3)=$W$7)),"x","")</f>
        <v/>
      </c>
      <c r="X4651" s="75" t="str">
        <f>IF(OR(TH!N5384=TH!$X$7,O4651=TH!$X$7),"x","")</f>
        <v/>
      </c>
      <c r="Y4651" s="75" t="str">
        <f>IF(AND(OR(N4651="131",O4651="131"),H4651='131-CT'!$H$9),"x","")</f>
        <v/>
      </c>
      <c r="Z4651" s="75"/>
      <c r="AA4651" s="75" t="str">
        <f>IF(AND(MONTH(E4651)='IN-NX'!$J$5,'IN-NX'!$D$7=D4651),"x","")</f>
        <v/>
      </c>
      <c r="AB4651" s="75" t="str">
        <f>IF(AND(OR(LEFT(TH!N5384,2)="15",LEFT(TH!O5384,2)="15"),LEFT(TH!O5384,3)&lt;&gt;"111",'152-CT'!$J$8=TH!F5384),"x","")</f>
        <v/>
      </c>
      <c r="AC4651" s="75" t="str">
        <f>IF(AND(OR(LEFT(TH!N5384,2)="15",LEFT(TH!O5384,2)="15"),TK!$E$7=TH!F5384),"x","")</f>
        <v/>
      </c>
      <c r="AD4651" s="75" t="str">
        <f>IF(AND(N4651="1521",MONTH(C4651)='BK-NL'!$M$11),"x","")</f>
        <v/>
      </c>
      <c r="AE4651">
        <v>8</v>
      </c>
    </row>
    <row r="4652" spans="1:31" ht="16.5" customHeight="1">
      <c r="A4652" s="309" t="str">
        <f>IF(B4652&lt;&gt;"",IF(AND(B4652='IN-TC'!$S$4,OR(TH!N4642="1111",TH!O4642="1111")),TH!D4642,""),"")</f>
        <v/>
      </c>
      <c r="B4652" s="1129">
        <f t="shared" si="1330"/>
        <v>8</v>
      </c>
      <c r="C4652" s="292">
        <f t="shared" si="1329"/>
        <v>42955</v>
      </c>
      <c r="D4652" s="59" t="s">
        <v>902</v>
      </c>
      <c r="E4652" s="59">
        <v>42955</v>
      </c>
      <c r="F4652" s="67" t="s">
        <v>1552</v>
      </c>
      <c r="G4652" s="62" t="s">
        <v>747</v>
      </c>
      <c r="H4652" s="67" t="s">
        <v>835</v>
      </c>
      <c r="I4652" s="373"/>
      <c r="J4652" s="379"/>
      <c r="K4652" s="379"/>
      <c r="L4652" s="379"/>
      <c r="M4652" s="379">
        <v>11380</v>
      </c>
      <c r="N4652" s="61" t="s">
        <v>9</v>
      </c>
      <c r="O4652" s="61" t="s">
        <v>26</v>
      </c>
      <c r="P4652" s="75" t="str">
        <f>IF(AND('331-CT'!$E$7=TH!H5385,OR(N4652="331",O4652="331")),"x","")</f>
        <v/>
      </c>
      <c r="Q4652" s="75" t="str">
        <f>IF(AND(B4652='111'!$L$11,OR($N4652=$Q$7,$O4652=$Q$7)),"x","")</f>
        <v/>
      </c>
      <c r="R4652" s="75" t="str">
        <f>IF(AND($N4652=$Q$7,$B4652&lt;'111'!$L$11),"x","")</f>
        <v/>
      </c>
      <c r="S4652" s="75" t="str">
        <f>IF(AND($O4652=$Q$7,$B4652&lt;'111'!$L$11),"x","")</f>
        <v/>
      </c>
      <c r="T4652" s="75" t="str">
        <f>IF(ISERROR(FIND('112'!$M$9,G4652,1)),"",IF((AND(FIND('112'!$M$9,G4652,1)&gt;=1,B4652='112'!$K$9,OR($N4652='112'!$I$6,$O4652='112'!$I$6))),"x",""))</f>
        <v/>
      </c>
      <c r="U4652" s="75" t="str">
        <f>IF(ISERROR(FIND('112'!$M$9,G4652,1)),"",IF((AND(LEFT(G4652,2)=LEFT('112'!$M$9,2),B4652&lt;'112'!$K$9,$N4652='112'!$I$6)),"x",""))</f>
        <v/>
      </c>
      <c r="V4652" s="75" t="str">
        <f>IF(ISERROR(FIND('112'!$M$9,G4652,1)),"",IF((AND(RIGHT(G4652,2)=RIGHT('112'!$M$9,2),B4652&lt;'112'!$K$9,$O4652='112'!$I$6)),"x",""))</f>
        <v/>
      </c>
      <c r="W4652" s="75" t="str">
        <f>IF(AND('341-CT'!$H$9=H4652,OR(LEFT(N4652,3)=$W$7,LEFT(O4652,3)=$W$7)),"x","")</f>
        <v/>
      </c>
      <c r="X4652" s="75" t="str">
        <f>IF(OR(TH!N5385=TH!$X$7,O4652=TH!$X$7),"x","")</f>
        <v/>
      </c>
      <c r="Y4652" s="75" t="str">
        <f>IF(AND(OR(N4652="131",O4652="131"),H4652='131-CT'!$H$9),"x","")</f>
        <v/>
      </c>
      <c r="Z4652" s="75"/>
      <c r="AA4652" s="75" t="str">
        <f>IF(AND(MONTH(E4652)='IN-NX'!$J$5,'IN-NX'!$D$7=D4652),"x","")</f>
        <v/>
      </c>
      <c r="AB4652" s="75" t="str">
        <f>IF(AND(OR(LEFT(TH!N5385,2)="15",LEFT(TH!O5385,2)="15"),LEFT(TH!O5385,3)&lt;&gt;"111",'152-CT'!$J$8=TH!F5385),"x","")</f>
        <v/>
      </c>
      <c r="AC4652" s="75" t="str">
        <f>IF(AND(OR(LEFT(TH!N5385,2)="15",LEFT(TH!O5385,2)="15"),TK!$E$7=TH!F5385),"x","")</f>
        <v/>
      </c>
      <c r="AD4652" s="75" t="str">
        <f>IF(AND(N4652="1521",MONTH(C4652)='BK-NL'!$M$11),"x","")</f>
        <v/>
      </c>
      <c r="AE4652">
        <v>8</v>
      </c>
    </row>
    <row r="4653" spans="1:31" ht="16.5" customHeight="1">
      <c r="A4653" s="309" t="str">
        <f>IF(B4653&lt;&gt;"",IF(AND(B4653='IN-TC'!$S$4,OR(TH!N4643="1111",TH!O4643="1111")),TH!D4643,""),"")</f>
        <v/>
      </c>
      <c r="B4653" s="1129">
        <f t="shared" si="1330"/>
        <v>8</v>
      </c>
      <c r="C4653" s="292">
        <f t="shared" si="1329"/>
        <v>42955</v>
      </c>
      <c r="D4653" s="59" t="s">
        <v>902</v>
      </c>
      <c r="E4653" s="59">
        <v>42955</v>
      </c>
      <c r="F4653" s="67" t="s">
        <v>1549</v>
      </c>
      <c r="G4653" s="62" t="s">
        <v>747</v>
      </c>
      <c r="H4653" s="67" t="s">
        <v>835</v>
      </c>
      <c r="I4653" s="373"/>
      <c r="J4653" s="379"/>
      <c r="K4653" s="379"/>
      <c r="L4653" s="379"/>
      <c r="M4653" s="379">
        <v>868522</v>
      </c>
      <c r="N4653" s="61" t="s">
        <v>101</v>
      </c>
      <c r="O4653" s="61" t="s">
        <v>26</v>
      </c>
      <c r="P4653" s="75" t="str">
        <f>IF(AND('331-CT'!$E$7=TH!H5386,OR(N4653="331",O4653="331")),"x","")</f>
        <v/>
      </c>
      <c r="Q4653" s="75" t="str">
        <f>IF(AND(B4653='111'!$L$11,OR($N4653=$Q$7,$O4653=$Q$7)),"x","")</f>
        <v/>
      </c>
      <c r="R4653" s="75" t="str">
        <f>IF(AND($N4653=$Q$7,$B4653&lt;'111'!$L$11),"x","")</f>
        <v/>
      </c>
      <c r="S4653" s="75" t="str">
        <f>IF(AND($O4653=$Q$7,$B4653&lt;'111'!$L$11),"x","")</f>
        <v/>
      </c>
      <c r="T4653" s="75" t="str">
        <f>IF(ISERROR(FIND('112'!$M$9,G4653,1)),"",IF((AND(FIND('112'!$M$9,G4653,1)&gt;=1,B4653='112'!$K$9,OR($N4653='112'!$I$6,$O4653='112'!$I$6))),"x",""))</f>
        <v/>
      </c>
      <c r="U4653" s="75" t="str">
        <f>IF(ISERROR(FIND('112'!$M$9,G4653,1)),"",IF((AND(LEFT(G4653,2)=LEFT('112'!$M$9,2),B4653&lt;'112'!$K$9,$N4653='112'!$I$6)),"x",""))</f>
        <v/>
      </c>
      <c r="V4653" s="75" t="str">
        <f>IF(ISERROR(FIND('112'!$M$9,G4653,1)),"",IF((AND(RIGHT(G4653,2)=RIGHT('112'!$M$9,2),B4653&lt;'112'!$K$9,$O4653='112'!$I$6)),"x",""))</f>
        <v/>
      </c>
      <c r="W4653" s="75" t="str">
        <f>IF(AND('341-CT'!$H$9=H4653,OR(LEFT(N4653,3)=$W$7,LEFT(O4653,3)=$W$7)),"x","")</f>
        <v/>
      </c>
      <c r="X4653" s="75" t="str">
        <f>IF(OR(TH!N5386=TH!$X$7,O4653=TH!$X$7),"x","")</f>
        <v/>
      </c>
      <c r="Y4653" s="75" t="str">
        <f>IF(AND(OR(N4653="131",O4653="131"),H4653='131-CT'!$H$9),"x","")</f>
        <v/>
      </c>
      <c r="Z4653" s="75"/>
      <c r="AA4653" s="75" t="str">
        <f>IF(AND(MONTH(E4653)='IN-NX'!$J$5,'IN-NX'!$D$7=D4653),"x","")</f>
        <v/>
      </c>
      <c r="AB4653" s="75" t="str">
        <f>IF(AND(OR(LEFT(TH!N5386,2)="15",LEFT(TH!O5386,2)="15"),LEFT(TH!O5386,3)&lt;&gt;"111",'152-CT'!$J$8=TH!F5386),"x","")</f>
        <v/>
      </c>
      <c r="AC4653" s="75" t="str">
        <f>IF(AND(OR(LEFT(TH!N5386,2)="15",LEFT(TH!O5386,2)="15"),TK!$E$7=TH!F5386),"x","")</f>
        <v/>
      </c>
      <c r="AD4653" s="75" t="str">
        <f>IF(AND(N4653="1521",MONTH(C4653)='BK-NL'!$M$11),"x","")</f>
        <v/>
      </c>
      <c r="AE4653">
        <v>8</v>
      </c>
    </row>
    <row r="4654" spans="1:31" ht="16.5" customHeight="1">
      <c r="A4654" s="309" t="str">
        <f>IF(B4654&lt;&gt;"",IF(AND(B4654='IN-TC'!$S$4,OR(TH!N4644="1111",TH!O4644="1111")),TH!D4644,""),"")</f>
        <v/>
      </c>
      <c r="B4654" s="1129">
        <f t="shared" si="1330"/>
        <v>8</v>
      </c>
      <c r="C4654" s="292">
        <f t="shared" si="1329"/>
        <v>42955</v>
      </c>
      <c r="D4654" s="59" t="s">
        <v>902</v>
      </c>
      <c r="E4654" s="59">
        <v>42955</v>
      </c>
      <c r="F4654" s="67" t="s">
        <v>1552</v>
      </c>
      <c r="G4654" s="62" t="s">
        <v>747</v>
      </c>
      <c r="H4654" s="67" t="s">
        <v>835</v>
      </c>
      <c r="I4654" s="373"/>
      <c r="J4654" s="379"/>
      <c r="K4654" s="379"/>
      <c r="L4654" s="379"/>
      <c r="M4654" s="379">
        <v>86852</v>
      </c>
      <c r="N4654" s="61" t="s">
        <v>9</v>
      </c>
      <c r="O4654" s="61" t="s">
        <v>26</v>
      </c>
      <c r="P4654" s="75" t="str">
        <f>IF(AND('331-CT'!$E$7=TH!H5387,OR(N4654="331",O4654="331")),"x","")</f>
        <v/>
      </c>
      <c r="Q4654" s="75" t="str">
        <f>IF(AND(B4654='111'!$L$11,OR($N4654=$Q$7,$O4654=$Q$7)),"x","")</f>
        <v/>
      </c>
      <c r="R4654" s="75" t="str">
        <f>IF(AND($N4654=$Q$7,$B4654&lt;'111'!$L$11),"x","")</f>
        <v/>
      </c>
      <c r="S4654" s="75" t="str">
        <f>IF(AND($O4654=$Q$7,$B4654&lt;'111'!$L$11),"x","")</f>
        <v/>
      </c>
      <c r="T4654" s="75" t="str">
        <f>IF(ISERROR(FIND('112'!$M$9,G4654,1)),"",IF((AND(FIND('112'!$M$9,G4654,1)&gt;=1,B4654='112'!$K$9,OR($N4654='112'!$I$6,$O4654='112'!$I$6))),"x",""))</f>
        <v/>
      </c>
      <c r="U4654" s="75" t="str">
        <f>IF(ISERROR(FIND('112'!$M$9,G4654,1)),"",IF((AND(LEFT(G4654,2)=LEFT('112'!$M$9,2),B4654&lt;'112'!$K$9,$N4654='112'!$I$6)),"x",""))</f>
        <v/>
      </c>
      <c r="V4654" s="75" t="str">
        <f>IF(ISERROR(FIND('112'!$M$9,G4654,1)),"",IF((AND(RIGHT(G4654,2)=RIGHT('112'!$M$9,2),B4654&lt;'112'!$K$9,$O4654='112'!$I$6)),"x",""))</f>
        <v/>
      </c>
      <c r="W4654" s="75" t="str">
        <f>IF(AND('341-CT'!$H$9=H4654,OR(LEFT(N4654,3)=$W$7,LEFT(O4654,3)=$W$7)),"x","")</f>
        <v/>
      </c>
      <c r="X4654" s="75" t="str">
        <f>IF(OR(TH!N5387=TH!$X$7,O4654=TH!$X$7),"x","")</f>
        <v/>
      </c>
      <c r="Y4654" s="75" t="str">
        <f>IF(AND(OR(N4654="131",O4654="131"),H4654='131-CT'!$H$9),"x","")</f>
        <v/>
      </c>
      <c r="Z4654" s="75"/>
      <c r="AA4654" s="75" t="str">
        <f>IF(AND(MONTH(E4654)='IN-NX'!$J$5,'IN-NX'!$D$7=D4654),"x","")</f>
        <v/>
      </c>
      <c r="AB4654" s="75" t="str">
        <f>IF(AND(OR(LEFT(TH!N5387,2)="15",LEFT(TH!O5387,2)="15"),LEFT(TH!O5387,3)&lt;&gt;"111",'152-CT'!$J$8=TH!F5387),"x","")</f>
        <v/>
      </c>
      <c r="AC4654" s="75" t="str">
        <f>IF(AND(OR(LEFT(TH!N5387,2)="15",LEFT(TH!O5387,2)="15"),TK!$E$7=TH!F5387),"x","")</f>
        <v/>
      </c>
      <c r="AD4654" s="75" t="str">
        <f>IF(AND(N4654="1521",MONTH(C4654)='BK-NL'!$M$11),"x","")</f>
        <v/>
      </c>
      <c r="AE4654">
        <v>8</v>
      </c>
    </row>
    <row r="4655" spans="1:31" ht="16.5" customHeight="1">
      <c r="A4655" s="309" t="str">
        <f>IF(B4655&lt;&gt;"",IF(AND(B4655='IN-TC'!$S$4,OR(TH!N4645="1111",TH!O4645="1111")),TH!D4645,""),"")</f>
        <v/>
      </c>
      <c r="B4655" s="1129">
        <f t="shared" si="1330"/>
        <v>8</v>
      </c>
      <c r="C4655" s="292">
        <f t="shared" si="1329"/>
        <v>42955</v>
      </c>
      <c r="D4655" s="59" t="s">
        <v>902</v>
      </c>
      <c r="E4655" s="59">
        <v>42955</v>
      </c>
      <c r="F4655" s="67" t="s">
        <v>1549</v>
      </c>
      <c r="G4655" s="62" t="s">
        <v>747</v>
      </c>
      <c r="H4655" s="67" t="s">
        <v>835</v>
      </c>
      <c r="I4655" s="373"/>
      <c r="J4655" s="379"/>
      <c r="K4655" s="379"/>
      <c r="L4655" s="379"/>
      <c r="M4655" s="379">
        <v>227600</v>
      </c>
      <c r="N4655" s="61" t="s">
        <v>101</v>
      </c>
      <c r="O4655" s="61" t="s">
        <v>26</v>
      </c>
      <c r="P4655" s="75" t="str">
        <f>IF(AND('331-CT'!$E$7=TH!H5388,OR(N4655="331",O4655="331")),"x","")</f>
        <v/>
      </c>
      <c r="Q4655" s="75" t="str">
        <f>IF(AND(B4655='111'!$L$11,OR($N4655=$Q$7,$O4655=$Q$7)),"x","")</f>
        <v/>
      </c>
      <c r="R4655" s="75" t="str">
        <f>IF(AND($N4655=$Q$7,$B4655&lt;'111'!$L$11),"x","")</f>
        <v/>
      </c>
      <c r="S4655" s="75" t="str">
        <f>IF(AND($O4655=$Q$7,$B4655&lt;'111'!$L$11),"x","")</f>
        <v/>
      </c>
      <c r="T4655" s="75" t="str">
        <f>IF(ISERROR(FIND('112'!$M$9,G4655,1)),"",IF((AND(FIND('112'!$M$9,G4655,1)&gt;=1,B4655='112'!$K$9,OR($N4655='112'!$I$6,$O4655='112'!$I$6))),"x",""))</f>
        <v/>
      </c>
      <c r="U4655" s="75" t="str">
        <f>IF(ISERROR(FIND('112'!$M$9,G4655,1)),"",IF((AND(LEFT(G4655,2)=LEFT('112'!$M$9,2),B4655&lt;'112'!$K$9,$N4655='112'!$I$6)),"x",""))</f>
        <v/>
      </c>
      <c r="V4655" s="75" t="str">
        <f>IF(ISERROR(FIND('112'!$M$9,G4655,1)),"",IF((AND(RIGHT(G4655,2)=RIGHT('112'!$M$9,2),B4655&lt;'112'!$K$9,$O4655='112'!$I$6)),"x",""))</f>
        <v/>
      </c>
      <c r="W4655" s="75" t="str">
        <f>IF(AND('341-CT'!$H$9=H4655,OR(LEFT(N4655,3)=$W$7,LEFT(O4655,3)=$W$7)),"x","")</f>
        <v/>
      </c>
      <c r="X4655" s="75" t="str">
        <f>IF(OR(TH!N5388=TH!$X$7,O4655=TH!$X$7),"x","")</f>
        <v/>
      </c>
      <c r="Y4655" s="75" t="str">
        <f>IF(AND(OR(N4655="131",O4655="131"),H4655='131-CT'!$H$9),"x","")</f>
        <v/>
      </c>
      <c r="Z4655" s="75"/>
      <c r="AA4655" s="75" t="str">
        <f>IF(AND(MONTH(E4655)='IN-NX'!$J$5,'IN-NX'!$D$7=D4655),"x","")</f>
        <v/>
      </c>
      <c r="AB4655" s="75" t="str">
        <f>IF(AND(OR(LEFT(TH!N5388,2)="15",LEFT(TH!O5388,2)="15"),LEFT(TH!O5388,3)&lt;&gt;"111",'152-CT'!$J$8=TH!F5388),"x","")</f>
        <v/>
      </c>
      <c r="AC4655" s="75" t="str">
        <f>IF(AND(OR(LEFT(TH!N5388,2)="15",LEFT(TH!O5388,2)="15"),TK!$E$7=TH!F5388),"x","")</f>
        <v/>
      </c>
      <c r="AD4655" s="75" t="str">
        <f>IF(AND(N4655="1521",MONTH(C4655)='BK-NL'!$M$11),"x","")</f>
        <v/>
      </c>
    </row>
    <row r="4656" spans="1:31" ht="16.5" customHeight="1">
      <c r="A4656" s="309" t="str">
        <f>IF(B4656&lt;&gt;"",IF(AND(B4656='IN-TC'!$S$4,OR(TH!N4646="1111",TH!O4646="1111")),TH!D4646,""),"")</f>
        <v/>
      </c>
      <c r="B4656" s="1129">
        <f t="shared" si="1330"/>
        <v>8</v>
      </c>
      <c r="C4656" s="292">
        <f t="shared" si="1329"/>
        <v>42955</v>
      </c>
      <c r="D4656" s="59" t="s">
        <v>902</v>
      </c>
      <c r="E4656" s="59">
        <v>42955</v>
      </c>
      <c r="F4656" s="67" t="s">
        <v>1549</v>
      </c>
      <c r="G4656" s="62" t="s">
        <v>747</v>
      </c>
      <c r="H4656" s="67" t="s">
        <v>835</v>
      </c>
      <c r="I4656" s="373"/>
      <c r="J4656" s="379"/>
      <c r="K4656" s="379"/>
      <c r="L4656" s="379"/>
      <c r="M4656" s="379">
        <v>227600</v>
      </c>
      <c r="N4656" s="61" t="s">
        <v>101</v>
      </c>
      <c r="O4656" s="61" t="s">
        <v>26</v>
      </c>
      <c r="P4656" s="75" t="str">
        <f>IF(AND('331-CT'!$E$7=TH!H5389,OR(N4656="331",O4656="331")),"x","")</f>
        <v/>
      </c>
      <c r="Q4656" s="75" t="str">
        <f>IF(AND(B4656='111'!$L$11,OR($N4656=$Q$7,$O4656=$Q$7)),"x","")</f>
        <v/>
      </c>
      <c r="R4656" s="75" t="str">
        <f>IF(AND($N4656=$Q$7,$B4656&lt;'111'!$L$11),"x","")</f>
        <v/>
      </c>
      <c r="S4656" s="75" t="str">
        <f>IF(AND($O4656=$Q$7,$B4656&lt;'111'!$L$11),"x","")</f>
        <v/>
      </c>
      <c r="T4656" s="75" t="str">
        <f>IF(ISERROR(FIND('112'!$M$9,G4656,1)),"",IF((AND(FIND('112'!$M$9,G4656,1)&gt;=1,B4656='112'!$K$9,OR($N4656='112'!$I$6,$O4656='112'!$I$6))),"x",""))</f>
        <v/>
      </c>
      <c r="U4656" s="75" t="str">
        <f>IF(ISERROR(FIND('112'!$M$9,G4656,1)),"",IF((AND(LEFT(G4656,2)=LEFT('112'!$M$9,2),B4656&lt;'112'!$K$9,$N4656='112'!$I$6)),"x",""))</f>
        <v/>
      </c>
      <c r="V4656" s="75" t="str">
        <f>IF(ISERROR(FIND('112'!$M$9,G4656,1)),"",IF((AND(RIGHT(G4656,2)=RIGHT('112'!$M$9,2),B4656&lt;'112'!$K$9,$O4656='112'!$I$6)),"x",""))</f>
        <v/>
      </c>
      <c r="W4656" s="75" t="str">
        <f>IF(AND('341-CT'!$H$9=H4656,OR(LEFT(N4656,3)=$W$7,LEFT(O4656,3)=$W$7)),"x","")</f>
        <v/>
      </c>
      <c r="X4656" s="75" t="str">
        <f>IF(OR(TH!N5389=TH!$X$7,O4656=TH!$X$7),"x","")</f>
        <v/>
      </c>
      <c r="Y4656" s="75" t="str">
        <f>IF(AND(OR(N4656="131",O4656="131"),H4656='131-CT'!$H$9),"x","")</f>
        <v/>
      </c>
      <c r="Z4656" s="75"/>
      <c r="AA4656" s="75" t="str">
        <f>IF(AND(MONTH(E4656)='IN-NX'!$J$5,'IN-NX'!$D$7=D4656),"x","")</f>
        <v/>
      </c>
      <c r="AB4656" s="75" t="str">
        <f>IF(AND(OR(LEFT(TH!N5389,2)="15",LEFT(TH!O5389,2)="15"),LEFT(TH!O5389,3)&lt;&gt;"111",'152-CT'!$J$8=TH!F5389),"x","")</f>
        <v/>
      </c>
      <c r="AC4656" s="75" t="str">
        <f>IF(AND(OR(LEFT(TH!N5389,2)="15",LEFT(TH!O5389,2)="15"),TK!$E$7=TH!F5389),"x","")</f>
        <v/>
      </c>
      <c r="AD4656" s="75" t="str">
        <f>IF(AND(N4656="1521",MONTH(C4656)='BK-NL'!$M$11),"x","")</f>
        <v/>
      </c>
    </row>
    <row r="4657" spans="1:31" ht="16.5" customHeight="1">
      <c r="A4657" s="309" t="str">
        <f>IF(B4657&lt;&gt;"",IF(AND(B4657='IN-TC'!$S$4,OR(TH!N4647="1111",TH!O4647="1111")),TH!D4647,""),"")</f>
        <v/>
      </c>
      <c r="B4657" s="1129">
        <f t="shared" si="1330"/>
        <v>8</v>
      </c>
      <c r="C4657" s="292">
        <f t="shared" si="1329"/>
        <v>42955</v>
      </c>
      <c r="D4657" s="59" t="s">
        <v>903</v>
      </c>
      <c r="E4657" s="59">
        <v>42955</v>
      </c>
      <c r="F4657" s="293" t="s">
        <v>252</v>
      </c>
      <c r="G4657" s="62" t="s">
        <v>747</v>
      </c>
      <c r="H4657" s="67" t="s">
        <v>1858</v>
      </c>
      <c r="I4657" s="376"/>
      <c r="J4657" s="382"/>
      <c r="K4657" s="376">
        <v>63000</v>
      </c>
      <c r="L4657" s="382">
        <v>22721</v>
      </c>
      <c r="M4657" s="60">
        <f>K4657*L4657</f>
        <v>1431423000</v>
      </c>
      <c r="N4657" s="61" t="s">
        <v>26</v>
      </c>
      <c r="O4657" s="61" t="s">
        <v>250</v>
      </c>
      <c r="P4657" s="75" t="str">
        <f>IF(AND('331-CT'!$E$7=TH!H5390,OR(N4657="331",O4657="331")),"x","")</f>
        <v/>
      </c>
      <c r="Q4657" s="75" t="str">
        <f>IF(AND(B4657='111'!$L$11,OR($N4657=$Q$7,$O4657=$Q$7)),"x","")</f>
        <v/>
      </c>
      <c r="R4657" s="75" t="str">
        <f>IF(AND($N4657=$Q$7,$B4657&lt;'111'!$L$11),"x","")</f>
        <v/>
      </c>
      <c r="S4657" s="75" t="str">
        <f>IF(AND($O4657=$Q$7,$B4657&lt;'111'!$L$11),"x","")</f>
        <v/>
      </c>
      <c r="T4657" s="75" t="str">
        <f>IF(ISERROR(FIND('112'!$M$9,G4657,1)),"",IF((AND(FIND('112'!$M$9,G4657,1)&gt;=1,B4657='112'!$K$9,OR($N4657='112'!$I$6,$O4657='112'!$I$6))),"x",""))</f>
        <v/>
      </c>
      <c r="U4657" s="75" t="str">
        <f>IF(ISERROR(FIND('112'!$M$9,G4657,1)),"",IF((AND(LEFT(G4657,2)=LEFT('112'!$M$9,2),B4657&lt;'112'!$K$9,$N4657='112'!$I$6)),"x",""))</f>
        <v/>
      </c>
      <c r="V4657" s="75" t="str">
        <f>IF(ISERROR(FIND('112'!$M$9,G4657,1)),"",IF((AND(RIGHT(G4657,2)=RIGHT('112'!$M$9,2),B4657&lt;'112'!$K$9,$O4657='112'!$I$6)),"x",""))</f>
        <v/>
      </c>
      <c r="W4657" s="75" t="str">
        <f>IF(AND('341-CT'!$H$9=H4657,OR(LEFT(N4657,3)=$W$7,LEFT(O4657,3)=$W$7)),"x","")</f>
        <v/>
      </c>
      <c r="X4657" s="75" t="str">
        <f>IF(OR(TH!N5390=TH!$X$7,O4657=TH!$X$7),"x","")</f>
        <v/>
      </c>
      <c r="Y4657" s="75" t="str">
        <f>IF(AND(OR(N4657="131",O4657="131"),H4657='131-CT'!$H$9),"x","")</f>
        <v/>
      </c>
      <c r="Z4657" s="75"/>
      <c r="AA4657" s="75" t="str">
        <f>IF(AND(MONTH(E4657)='IN-NX'!$J$5,'IN-NX'!$D$7=D4657),"x","")</f>
        <v/>
      </c>
      <c r="AB4657" s="75" t="str">
        <f>IF(AND(OR(LEFT(TH!N5390,2)="15",LEFT(TH!O5390,2)="15"),LEFT(TH!O5390,3)&lt;&gt;"111",'152-CT'!$J$8=TH!F5390),"x","")</f>
        <v/>
      </c>
      <c r="AC4657" s="75" t="str">
        <f>IF(AND(OR(LEFT(TH!N5390,2)="15",LEFT(TH!O5390,2)="15"),TK!$E$7=TH!F5390),"x","")</f>
        <v/>
      </c>
      <c r="AD4657" s="75" t="str">
        <f>IF(AND(N4657="1521",MONTH(C4657)='BK-NL'!$M$11),"x","")</f>
        <v/>
      </c>
    </row>
    <row r="4658" spans="1:31" ht="16.5" customHeight="1">
      <c r="A4658" s="309" t="str">
        <f>IF(B4658&lt;&gt;"",IF(AND(B4658='IN-TC'!$S$4,OR(TH!N4648="1111",TH!O4648="1111")),TH!D4648,""),"")</f>
        <v/>
      </c>
      <c r="B4658" s="1129">
        <f t="shared" si="1330"/>
        <v>8</v>
      </c>
      <c r="C4658" s="292">
        <f t="shared" si="1329"/>
        <v>42956</v>
      </c>
      <c r="D4658" s="292"/>
      <c r="E4658" s="292">
        <v>42956</v>
      </c>
      <c r="F4658" s="293" t="s">
        <v>1499</v>
      </c>
      <c r="G4658" s="925" t="s">
        <v>2048</v>
      </c>
      <c r="H4658" s="294" t="s">
        <v>893</v>
      </c>
      <c r="I4658" s="373"/>
      <c r="J4658" s="926"/>
      <c r="K4658" s="373"/>
      <c r="L4658" s="379"/>
      <c r="M4658" s="927">
        <v>902109</v>
      </c>
      <c r="N4658" s="295" t="s">
        <v>101</v>
      </c>
      <c r="O4658" s="295" t="s">
        <v>63</v>
      </c>
      <c r="P4658" s="75" t="str">
        <f>IF(AND('331-CT'!$E$7=TH!H3811,OR(N4658="331",O4658="331")),"x","")</f>
        <v/>
      </c>
      <c r="Q4658" s="75" t="str">
        <f>IF(AND(B4658='111'!$L$11,OR($N4658=$Q$7,$O4658=$Q$7)),"x","")</f>
        <v/>
      </c>
      <c r="R4658" s="75" t="str">
        <f>IF(AND($N4658=$Q$7,$B4658&lt;'111'!$L$11),"x","")</f>
        <v/>
      </c>
      <c r="S4658" s="75" t="str">
        <f>IF(AND($O4658=$Q$7,$B4658&lt;'111'!$L$11),"x","")</f>
        <v>x</v>
      </c>
      <c r="T4658" s="75" t="str">
        <f>IF(ISERROR(FIND('112'!$M$9,G4658,1)),"",IF((AND(FIND('112'!$M$9,G4658,1)&gt;=1,B4658='112'!$K$9,OR($N4658='112'!$I$6,$O4658='112'!$I$6))),"x",""))</f>
        <v/>
      </c>
      <c r="U4658" s="75" t="str">
        <f>IF(ISERROR(FIND('112'!$M$9,G4658,1)),"",IF((AND(LEFT(G4658,2)=LEFT('112'!$M$9,2),B4658&lt;'112'!$K$9,$N4658='112'!$I$6)),"x",""))</f>
        <v/>
      </c>
      <c r="V4658" s="75" t="str">
        <f>IF(ISERROR(FIND('112'!$M$9,G4658,1)),"",IF((AND(RIGHT(G4658,2)=RIGHT('112'!$M$9,2),B4658&lt;'112'!$K$9,$O4658='112'!$I$6)),"x",""))</f>
        <v/>
      </c>
      <c r="W4658" s="75" t="str">
        <f>IF(AND('341-CT'!$H$9=H4658,OR(LEFT(N4658,3)=$W$7,LEFT(O4658,3)=$W$7)),"x","")</f>
        <v/>
      </c>
      <c r="X4658" s="75" t="str">
        <f>IF(OR(TH!N3811=TH!$X$7,O4658=TH!$X$7),"x","")</f>
        <v/>
      </c>
      <c r="Y4658" s="75" t="str">
        <f>IF(AND(OR(N4658="131",O4658="131"),H4658='131-CT'!$H$9),"x","")</f>
        <v/>
      </c>
      <c r="Z4658" s="75"/>
      <c r="AA4658" s="75" t="str">
        <f>IF(AND(MONTH(E4658)='IN-NX'!$J$5,'IN-NX'!$D$7=D4658),"x","")</f>
        <v/>
      </c>
      <c r="AB4658" s="75" t="str">
        <f>IF(AND(OR(LEFT(TH!N3811,2)="15",LEFT(TH!O3811,2)="15"),LEFT(TH!O3811,3)&lt;&gt;"111",'152-CT'!$J$8=TH!F3811),"x","")</f>
        <v/>
      </c>
      <c r="AC4658" s="75" t="str">
        <f>IF(AND(OR(LEFT(TH!N3811,2)="15",LEFT(TH!O3811,2)="15"),TK!$E$7=TH!F3811),"x","")</f>
        <v/>
      </c>
      <c r="AD4658" s="75" t="str">
        <f>IF(AND(N4658="1521",MONTH(C4658)='BK-NL'!$M$11),"x","")</f>
        <v/>
      </c>
      <c r="AE4658">
        <v>8</v>
      </c>
    </row>
    <row r="4659" spans="1:31" ht="16.5" customHeight="1">
      <c r="A4659" s="309" t="str">
        <f>IF(B4659&lt;&gt;"",IF(AND(B4659='IN-TC'!$S$4,OR(TH!N4649="1111",TH!O4649="1111")),TH!D4649,""),"")</f>
        <v/>
      </c>
      <c r="B4659" s="1129">
        <f t="shared" si="1330"/>
        <v>8</v>
      </c>
      <c r="C4659" s="292">
        <f t="shared" ref="C4659:C4722" si="1331">E4659</f>
        <v>42956</v>
      </c>
      <c r="D4659" s="292"/>
      <c r="E4659" s="292">
        <v>42956</v>
      </c>
      <c r="F4659" s="293" t="s">
        <v>1500</v>
      </c>
      <c r="G4659" s="925" t="s">
        <v>2048</v>
      </c>
      <c r="H4659" s="294" t="s">
        <v>893</v>
      </c>
      <c r="I4659" s="373"/>
      <c r="J4659" s="926"/>
      <c r="K4659" s="373"/>
      <c r="L4659" s="379"/>
      <c r="M4659" s="927">
        <v>90211</v>
      </c>
      <c r="N4659" s="295" t="s">
        <v>9</v>
      </c>
      <c r="O4659" s="295" t="s">
        <v>63</v>
      </c>
      <c r="P4659" s="75" t="str">
        <f>IF(AND('331-CT'!$E$7=TH!H3812,OR(N4659="331",O4659="331")),"x","")</f>
        <v/>
      </c>
      <c r="Q4659" s="75" t="str">
        <f>IF(AND(B4659='111'!$L$11,OR($N4659=$Q$7,$O4659=$Q$7)),"x","")</f>
        <v/>
      </c>
      <c r="R4659" s="75" t="str">
        <f>IF(AND($N4659=$Q$7,$B4659&lt;'111'!$L$11),"x","")</f>
        <v/>
      </c>
      <c r="S4659" s="75" t="str">
        <f>IF(AND($O4659=$Q$7,$B4659&lt;'111'!$L$11),"x","")</f>
        <v>x</v>
      </c>
      <c r="T4659" s="75" t="str">
        <f>IF(ISERROR(FIND('112'!$M$9,G4659,1)),"",IF((AND(FIND('112'!$M$9,G4659,1)&gt;=1,B4659='112'!$K$9,OR($N4659='112'!$I$6,$O4659='112'!$I$6))),"x",""))</f>
        <v/>
      </c>
      <c r="U4659" s="75" t="str">
        <f>IF(ISERROR(FIND('112'!$M$9,G4659,1)),"",IF((AND(LEFT(G4659,2)=LEFT('112'!$M$9,2),B4659&lt;'112'!$K$9,$N4659='112'!$I$6)),"x",""))</f>
        <v/>
      </c>
      <c r="V4659" s="75" t="str">
        <f>IF(ISERROR(FIND('112'!$M$9,G4659,1)),"",IF((AND(RIGHT(G4659,2)=RIGHT('112'!$M$9,2),B4659&lt;'112'!$K$9,$O4659='112'!$I$6)),"x",""))</f>
        <v/>
      </c>
      <c r="W4659" s="75" t="str">
        <f>IF(AND('341-CT'!$H$9=H4659,OR(LEFT(N4659,3)=$W$7,LEFT(O4659,3)=$W$7)),"x","")</f>
        <v/>
      </c>
      <c r="X4659" s="75" t="str">
        <f>IF(OR(TH!N3812=TH!$X$7,O4659=TH!$X$7),"x","")</f>
        <v/>
      </c>
      <c r="Y4659" s="75" t="str">
        <f>IF(AND(OR(N4659="131",O4659="131"),H4659='131-CT'!$H$9),"x","")</f>
        <v/>
      </c>
      <c r="Z4659" s="75"/>
      <c r="AA4659" s="75" t="str">
        <f>IF(AND(MONTH(E4659)='IN-NX'!$J$5,'IN-NX'!$D$7=D4659),"x","")</f>
        <v/>
      </c>
      <c r="AB4659" s="75" t="str">
        <f>IF(AND(OR(LEFT(TH!N3812,2)="15",LEFT(TH!O3812,2)="15"),LEFT(TH!O3812,3)&lt;&gt;"111",'152-CT'!$J$8=TH!F3812),"x","")</f>
        <v/>
      </c>
      <c r="AC4659" s="75" t="str">
        <f>IF(AND(OR(LEFT(TH!N3812,2)="15",LEFT(TH!O3812,2)="15"),TK!$E$7=TH!F3812),"x","")</f>
        <v/>
      </c>
      <c r="AD4659" s="75" t="str">
        <f>IF(AND(N4659="1521",MONTH(C4659)='BK-NL'!$M$11),"x","")</f>
        <v/>
      </c>
      <c r="AE4659">
        <v>8</v>
      </c>
    </row>
    <row r="4660" spans="1:31" ht="16.5" customHeight="1">
      <c r="A4660" s="309" t="str">
        <f>IF(B4660&lt;&gt;"",IF(AND(B4660='IN-TC'!$S$4,OR(TH!N4650="1111",TH!O4650="1111")),TH!D4650,""),"")</f>
        <v/>
      </c>
      <c r="B4660" s="1129">
        <f t="shared" si="1330"/>
        <v>8</v>
      </c>
      <c r="C4660" s="292">
        <f t="shared" si="1331"/>
        <v>42956</v>
      </c>
      <c r="D4660" s="292"/>
      <c r="E4660" s="292">
        <v>42956</v>
      </c>
      <c r="F4660" s="293" t="s">
        <v>2050</v>
      </c>
      <c r="G4660" s="925" t="s">
        <v>2052</v>
      </c>
      <c r="H4660" s="294" t="s">
        <v>2053</v>
      </c>
      <c r="I4660" s="373"/>
      <c r="J4660" s="926"/>
      <c r="K4660" s="373"/>
      <c r="L4660" s="379"/>
      <c r="M4660" s="927">
        <v>2000000</v>
      </c>
      <c r="N4660" s="295" t="s">
        <v>539</v>
      </c>
      <c r="O4660" s="295" t="s">
        <v>63</v>
      </c>
      <c r="P4660" s="75" t="str">
        <f>IF(AND('331-CT'!$E$7=TH!H3813,OR(N4660="331",O4660="331")),"x","")</f>
        <v/>
      </c>
      <c r="Q4660" s="75" t="str">
        <f>IF(AND(B4660='111'!$L$11,OR($N4660=$Q$7,$O4660=$Q$7)),"x","")</f>
        <v/>
      </c>
      <c r="R4660" s="75" t="str">
        <f>IF(AND($N4660=$Q$7,$B4660&lt;'111'!$L$11),"x","")</f>
        <v/>
      </c>
      <c r="S4660" s="75" t="str">
        <f>IF(AND($O4660=$Q$7,$B4660&lt;'111'!$L$11),"x","")</f>
        <v>x</v>
      </c>
      <c r="T4660" s="75" t="str">
        <f>IF(ISERROR(FIND('112'!$M$9,G4660,1)),"",IF((AND(FIND('112'!$M$9,G4660,1)&gt;=1,B4660='112'!$K$9,OR($N4660='112'!$I$6,$O4660='112'!$I$6))),"x",""))</f>
        <v/>
      </c>
      <c r="U4660" s="75" t="str">
        <f>IF(ISERROR(FIND('112'!$M$9,G4660,1)),"",IF((AND(LEFT(G4660,2)=LEFT('112'!$M$9,2),B4660&lt;'112'!$K$9,$N4660='112'!$I$6)),"x",""))</f>
        <v/>
      </c>
      <c r="V4660" s="75" t="str">
        <f>IF(ISERROR(FIND('112'!$M$9,G4660,1)),"",IF((AND(RIGHT(G4660,2)=RIGHT('112'!$M$9,2),B4660&lt;'112'!$K$9,$O4660='112'!$I$6)),"x",""))</f>
        <v/>
      </c>
      <c r="W4660" s="75" t="str">
        <f>IF(AND('341-CT'!$H$9=H4660,OR(LEFT(N4660,3)=$W$7,LEFT(O4660,3)=$W$7)),"x","")</f>
        <v/>
      </c>
      <c r="X4660" s="75" t="str">
        <f>IF(OR(TH!N3813=TH!$X$7,O4660=TH!$X$7),"x","")</f>
        <v/>
      </c>
      <c r="Y4660" s="75" t="str">
        <f>IF(AND(OR(N4660="131",O4660="131"),H4660='131-CT'!$H$9),"x","")</f>
        <v/>
      </c>
      <c r="Z4660" s="75"/>
      <c r="AA4660" s="75" t="str">
        <f>IF(AND(MONTH(E4660)='IN-NX'!$J$5,'IN-NX'!$D$7=D4660),"x","")</f>
        <v/>
      </c>
      <c r="AB4660" s="75" t="str">
        <f>IF(AND(OR(LEFT(TH!N3813,2)="15",LEFT(TH!O3813,2)="15"),LEFT(TH!O3813,3)&lt;&gt;"111",'152-CT'!$J$8=TH!F3813),"x","")</f>
        <v/>
      </c>
      <c r="AC4660" s="75" t="str">
        <f>IF(AND(OR(LEFT(TH!N3813,2)="15",LEFT(TH!O3813,2)="15"),TK!$E$7=TH!F3813),"x","")</f>
        <v/>
      </c>
      <c r="AD4660" s="75" t="str">
        <f>IF(AND(N4660="1521",MONTH(C4660)='BK-NL'!$M$11),"x","")</f>
        <v/>
      </c>
      <c r="AE4660">
        <v>8</v>
      </c>
    </row>
    <row r="4661" spans="1:31" ht="16.5" customHeight="1">
      <c r="A4661" s="309" t="str">
        <f>IF(B4661&lt;&gt;"",IF(AND(B4661='IN-TC'!$S$4,OR(TH!N4651="1111",TH!O4651="1111")),TH!D4651,""),"")</f>
        <v/>
      </c>
      <c r="B4661" s="1129">
        <f t="shared" si="1330"/>
        <v>8</v>
      </c>
      <c r="C4661" s="292">
        <f t="shared" si="1331"/>
        <v>42956</v>
      </c>
      <c r="D4661" s="292"/>
      <c r="E4661" s="292">
        <v>42956</v>
      </c>
      <c r="F4661" s="293" t="s">
        <v>2051</v>
      </c>
      <c r="G4661" s="925" t="s">
        <v>2052</v>
      </c>
      <c r="H4661" s="294" t="s">
        <v>2053</v>
      </c>
      <c r="I4661" s="373"/>
      <c r="J4661" s="926"/>
      <c r="K4661" s="373"/>
      <c r="L4661" s="379"/>
      <c r="M4661" s="927">
        <v>100000</v>
      </c>
      <c r="N4661" s="295" t="s">
        <v>9</v>
      </c>
      <c r="O4661" s="295" t="s">
        <v>63</v>
      </c>
      <c r="P4661" s="75" t="str">
        <f>IF(AND('331-CT'!$E$7=TH!H3814,OR(N4661="331",O4661="331")),"x","")</f>
        <v/>
      </c>
      <c r="Q4661" s="75" t="str">
        <f>IF(AND(B4661='111'!$L$11,OR($N4661=$Q$7,$O4661=$Q$7)),"x","")</f>
        <v/>
      </c>
      <c r="R4661" s="75" t="str">
        <f>IF(AND($N4661=$Q$7,$B4661&lt;'111'!$L$11),"x","")</f>
        <v/>
      </c>
      <c r="S4661" s="75" t="str">
        <f>IF(AND($O4661=$Q$7,$B4661&lt;'111'!$L$11),"x","")</f>
        <v>x</v>
      </c>
      <c r="T4661" s="75" t="str">
        <f>IF(ISERROR(FIND('112'!$M$9,G4661,1)),"",IF((AND(FIND('112'!$M$9,G4661,1)&gt;=1,B4661='112'!$K$9,OR($N4661='112'!$I$6,$O4661='112'!$I$6))),"x",""))</f>
        <v/>
      </c>
      <c r="U4661" s="75" t="str">
        <f>IF(ISERROR(FIND('112'!$M$9,G4661,1)),"",IF((AND(LEFT(G4661,2)=LEFT('112'!$M$9,2),B4661&lt;'112'!$K$9,$N4661='112'!$I$6)),"x",""))</f>
        <v/>
      </c>
      <c r="V4661" s="75" t="str">
        <f>IF(ISERROR(FIND('112'!$M$9,G4661,1)),"",IF((AND(RIGHT(G4661,2)=RIGHT('112'!$M$9,2),B4661&lt;'112'!$K$9,$O4661='112'!$I$6)),"x",""))</f>
        <v/>
      </c>
      <c r="W4661" s="75" t="str">
        <f>IF(AND('341-CT'!$H$9=H4661,OR(LEFT(N4661,3)=$W$7,LEFT(O4661,3)=$W$7)),"x","")</f>
        <v/>
      </c>
      <c r="X4661" s="75" t="str">
        <f>IF(OR(TH!N3814=TH!$X$7,O4661=TH!$X$7),"x","")</f>
        <v/>
      </c>
      <c r="Y4661" s="75" t="str">
        <f>IF(AND(OR(N4661="131",O4661="131"),H4661='131-CT'!$H$9),"x","")</f>
        <v/>
      </c>
      <c r="Z4661" s="75"/>
      <c r="AA4661" s="75" t="str">
        <f>IF(AND(MONTH(E4661)='IN-NX'!$J$5,'IN-NX'!$D$7=D4661),"x","")</f>
        <v/>
      </c>
      <c r="AB4661" s="75" t="str">
        <f>IF(AND(OR(LEFT(TH!N3814,2)="15",LEFT(TH!O3814,2)="15"),LEFT(TH!O3814,3)&lt;&gt;"111",'152-CT'!$J$8=TH!F3814),"x","")</f>
        <v/>
      </c>
      <c r="AC4661" s="75" t="str">
        <f>IF(AND(OR(LEFT(TH!N3814,2)="15",LEFT(TH!O3814,2)="15"),TK!$E$7=TH!F3814),"x","")</f>
        <v/>
      </c>
      <c r="AD4661" s="75" t="str">
        <f>IF(AND(N4661="1521",MONTH(C4661)='BK-NL'!$M$11),"x","")</f>
        <v/>
      </c>
      <c r="AE4661">
        <v>8</v>
      </c>
    </row>
    <row r="4662" spans="1:31" ht="16.5" customHeight="1">
      <c r="A4662" s="309" t="str">
        <f>IF(B4662&lt;&gt;"",IF(AND(B4662='IN-TC'!$S$4,OR(TH!N4652="1111",TH!O4652="1111")),TH!D4652,""),"")</f>
        <v/>
      </c>
      <c r="B4662" s="1129">
        <f t="shared" si="1330"/>
        <v>8</v>
      </c>
      <c r="C4662" s="292">
        <f t="shared" si="1331"/>
        <v>42956</v>
      </c>
      <c r="D4662" s="59" t="s">
        <v>902</v>
      </c>
      <c r="E4662" s="59">
        <v>42956</v>
      </c>
      <c r="F4662" s="67" t="s">
        <v>1549</v>
      </c>
      <c r="G4662" s="62" t="s">
        <v>747</v>
      </c>
      <c r="H4662" s="67" t="s">
        <v>835</v>
      </c>
      <c r="I4662" s="373"/>
      <c r="J4662" s="379"/>
      <c r="K4662" s="379"/>
      <c r="L4662" s="379"/>
      <c r="M4662" s="379">
        <v>113800</v>
      </c>
      <c r="N4662" s="61" t="s">
        <v>101</v>
      </c>
      <c r="O4662" s="61" t="s">
        <v>26</v>
      </c>
      <c r="P4662" s="75" t="str">
        <f>IF(AND('331-CT'!$E$7=TH!H5391,OR(N4662="331",O4662="331")),"x","")</f>
        <v/>
      </c>
      <c r="Q4662" s="75" t="str">
        <f>IF(AND(B4662='111'!$L$11,OR($N4662=$Q$7,$O4662=$Q$7)),"x","")</f>
        <v/>
      </c>
      <c r="R4662" s="75" t="str">
        <f>IF(AND($N4662=$Q$7,$B4662&lt;'111'!$L$11),"x","")</f>
        <v/>
      </c>
      <c r="S4662" s="75" t="str">
        <f>IF(AND($O4662=$Q$7,$B4662&lt;'111'!$L$11),"x","")</f>
        <v/>
      </c>
      <c r="T4662" s="75" t="str">
        <f>IF(ISERROR(FIND('112'!$M$9,G4662,1)),"",IF((AND(FIND('112'!$M$9,G4662,1)&gt;=1,B4662='112'!$K$9,OR($N4662='112'!$I$6,$O4662='112'!$I$6))),"x",""))</f>
        <v/>
      </c>
      <c r="U4662" s="75" t="str">
        <f>IF(ISERROR(FIND('112'!$M$9,G4662,1)),"",IF((AND(LEFT(G4662,2)=LEFT('112'!$M$9,2),B4662&lt;'112'!$K$9,$N4662='112'!$I$6)),"x",""))</f>
        <v/>
      </c>
      <c r="V4662" s="75" t="str">
        <f>IF(ISERROR(FIND('112'!$M$9,G4662,1)),"",IF((AND(RIGHT(G4662,2)=RIGHT('112'!$M$9,2),B4662&lt;'112'!$K$9,$O4662='112'!$I$6)),"x",""))</f>
        <v/>
      </c>
      <c r="W4662" s="75" t="str">
        <f>IF(AND('341-CT'!$H$9=H4662,OR(LEFT(N4662,3)=$W$7,LEFT(O4662,3)=$W$7)),"x","")</f>
        <v/>
      </c>
      <c r="X4662" s="75" t="str">
        <f>IF(OR(TH!N5391=TH!$X$7,O4662=TH!$X$7),"x","")</f>
        <v/>
      </c>
      <c r="Y4662" s="75" t="str">
        <f>IF(AND(OR(N4662="131",O4662="131"),H4662='131-CT'!$H$9),"x","")</f>
        <v/>
      </c>
      <c r="Z4662" s="75"/>
      <c r="AA4662" s="75" t="str">
        <f>IF(AND(MONTH(E4662)='IN-NX'!$J$5,'IN-NX'!$D$7=D4662),"x","")</f>
        <v/>
      </c>
      <c r="AB4662" s="75" t="str">
        <f>IF(AND(OR(LEFT(TH!N5391,2)="15",LEFT(TH!O5391,2)="15"),LEFT(TH!O5391,3)&lt;&gt;"111",'152-CT'!$J$8=TH!F5391),"x","")</f>
        <v/>
      </c>
      <c r="AC4662" s="75" t="str">
        <f>IF(AND(OR(LEFT(TH!N5391,2)="15",LEFT(TH!O5391,2)="15"),TK!$E$7=TH!F5391),"x","")</f>
        <v/>
      </c>
      <c r="AD4662" s="75" t="str">
        <f>IF(AND(N4662="1521",MONTH(C4662)='BK-NL'!$M$11),"x","")</f>
        <v/>
      </c>
      <c r="AE4662">
        <v>8</v>
      </c>
    </row>
    <row r="4663" spans="1:31" ht="16.5" customHeight="1">
      <c r="A4663" s="309" t="str">
        <f>IF(B4663&lt;&gt;"",IF(AND(B4663='IN-TC'!$S$4,OR(TH!N4653="1111",TH!O4653="1111")),TH!D4653,""),"")</f>
        <v/>
      </c>
      <c r="B4663" s="1129">
        <f t="shared" si="1330"/>
        <v>8</v>
      </c>
      <c r="C4663" s="292">
        <f t="shared" si="1331"/>
        <v>42956</v>
      </c>
      <c r="D4663" s="59" t="s">
        <v>902</v>
      </c>
      <c r="E4663" s="59">
        <v>42956</v>
      </c>
      <c r="F4663" s="67" t="s">
        <v>1552</v>
      </c>
      <c r="G4663" s="62" t="s">
        <v>747</v>
      </c>
      <c r="H4663" s="67" t="s">
        <v>835</v>
      </c>
      <c r="I4663" s="373"/>
      <c r="J4663" s="379"/>
      <c r="K4663" s="379"/>
      <c r="L4663" s="379"/>
      <c r="M4663" s="379">
        <v>11380</v>
      </c>
      <c r="N4663" s="61" t="s">
        <v>9</v>
      </c>
      <c r="O4663" s="61" t="s">
        <v>26</v>
      </c>
      <c r="P4663" s="75" t="str">
        <f>IF(AND('331-CT'!$E$7=TH!H5392,OR(N4663="331",O4663="331")),"x","")</f>
        <v/>
      </c>
      <c r="Q4663" s="75" t="str">
        <f>IF(AND(B4663='111'!$L$11,OR($N4663=$Q$7,$O4663=$Q$7)),"x","")</f>
        <v/>
      </c>
      <c r="R4663" s="75" t="str">
        <f>IF(AND($N4663=$Q$7,$B4663&lt;'111'!$L$11),"x","")</f>
        <v/>
      </c>
      <c r="S4663" s="75" t="str">
        <f>IF(AND($O4663=$Q$7,$B4663&lt;'111'!$L$11),"x","")</f>
        <v/>
      </c>
      <c r="T4663" s="75" t="str">
        <f>IF(ISERROR(FIND('112'!$M$9,G4663,1)),"",IF((AND(FIND('112'!$M$9,G4663,1)&gt;=1,B4663='112'!$K$9,OR($N4663='112'!$I$6,$O4663='112'!$I$6))),"x",""))</f>
        <v/>
      </c>
      <c r="U4663" s="75" t="str">
        <f>IF(ISERROR(FIND('112'!$M$9,G4663,1)),"",IF((AND(LEFT(G4663,2)=LEFT('112'!$M$9,2),B4663&lt;'112'!$K$9,$N4663='112'!$I$6)),"x",""))</f>
        <v/>
      </c>
      <c r="V4663" s="75" t="str">
        <f>IF(ISERROR(FIND('112'!$M$9,G4663,1)),"",IF((AND(RIGHT(G4663,2)=RIGHT('112'!$M$9,2),B4663&lt;'112'!$K$9,$O4663='112'!$I$6)),"x",""))</f>
        <v/>
      </c>
      <c r="W4663" s="75" t="str">
        <f>IF(AND('341-CT'!$H$9=H4663,OR(LEFT(N4663,3)=$W$7,LEFT(O4663,3)=$W$7)),"x","")</f>
        <v/>
      </c>
      <c r="X4663" s="75" t="str">
        <f>IF(OR(TH!N5392=TH!$X$7,O4663=TH!$X$7),"x","")</f>
        <v/>
      </c>
      <c r="Y4663" s="75" t="str">
        <f>IF(AND(OR(N4663="131",O4663="131"),H4663='131-CT'!$H$9),"x","")</f>
        <v/>
      </c>
      <c r="Z4663" s="75"/>
      <c r="AA4663" s="75" t="str">
        <f>IF(AND(MONTH(E4663)='IN-NX'!$J$5,'IN-NX'!$D$7=D4663),"x","")</f>
        <v/>
      </c>
      <c r="AB4663" s="75" t="str">
        <f>IF(AND(OR(LEFT(TH!N5392,2)="15",LEFT(TH!O5392,2)="15"),LEFT(TH!O5392,3)&lt;&gt;"111",'152-CT'!$J$8=TH!F5392),"x","")</f>
        <v/>
      </c>
      <c r="AC4663" s="75" t="str">
        <f>IF(AND(OR(LEFT(TH!N5392,2)="15",LEFT(TH!O5392,2)="15"),TK!$E$7=TH!F5392),"x","")</f>
        <v/>
      </c>
      <c r="AD4663" s="75" t="str">
        <f>IF(AND(N4663="1521",MONTH(C4663)='BK-NL'!$M$11),"x","")</f>
        <v/>
      </c>
      <c r="AE4663">
        <v>8</v>
      </c>
    </row>
    <row r="4664" spans="1:31" ht="16.5" customHeight="1">
      <c r="A4664" s="309" t="str">
        <f>IF(B4664&lt;&gt;"",IF(AND(B4664='IN-TC'!$S$4,OR(TH!N4654="1111",TH!O4654="1111")),TH!D4654,""),"")</f>
        <v/>
      </c>
      <c r="B4664" s="1129">
        <f t="shared" si="1330"/>
        <v>8</v>
      </c>
      <c r="C4664" s="292">
        <f t="shared" si="1331"/>
        <v>42956</v>
      </c>
      <c r="D4664" s="59" t="s">
        <v>902</v>
      </c>
      <c r="E4664" s="59">
        <v>42956</v>
      </c>
      <c r="F4664" s="67" t="s">
        <v>1549</v>
      </c>
      <c r="G4664" s="62" t="s">
        <v>747</v>
      </c>
      <c r="H4664" s="67" t="s">
        <v>835</v>
      </c>
      <c r="I4664" s="373"/>
      <c r="J4664" s="379"/>
      <c r="K4664" s="379"/>
      <c r="L4664" s="379"/>
      <c r="M4664" s="379">
        <v>1587237</v>
      </c>
      <c r="N4664" s="61" t="s">
        <v>101</v>
      </c>
      <c r="O4664" s="61" t="s">
        <v>26</v>
      </c>
      <c r="P4664" s="75" t="str">
        <f>IF(AND('331-CT'!$E$7=TH!H5393,OR(N4664="331",O4664="331")),"x","")</f>
        <v/>
      </c>
      <c r="Q4664" s="75" t="str">
        <f>IF(AND(B4664='111'!$L$11,OR($N4664=$Q$7,$O4664=$Q$7)),"x","")</f>
        <v/>
      </c>
      <c r="R4664" s="75" t="str">
        <f>IF(AND($N4664=$Q$7,$B4664&lt;'111'!$L$11),"x","")</f>
        <v/>
      </c>
      <c r="S4664" s="75" t="str">
        <f>IF(AND($O4664=$Q$7,$B4664&lt;'111'!$L$11),"x","")</f>
        <v/>
      </c>
      <c r="T4664" s="75" t="str">
        <f>IF(ISERROR(FIND('112'!$M$9,G4664,1)),"",IF((AND(FIND('112'!$M$9,G4664,1)&gt;=1,B4664='112'!$K$9,OR($N4664='112'!$I$6,$O4664='112'!$I$6))),"x",""))</f>
        <v/>
      </c>
      <c r="U4664" s="75" t="str">
        <f>IF(ISERROR(FIND('112'!$M$9,G4664,1)),"",IF((AND(LEFT(G4664,2)=LEFT('112'!$M$9,2),B4664&lt;'112'!$K$9,$N4664='112'!$I$6)),"x",""))</f>
        <v/>
      </c>
      <c r="V4664" s="75" t="str">
        <f>IF(ISERROR(FIND('112'!$M$9,G4664,1)),"",IF((AND(RIGHT(G4664,2)=RIGHT('112'!$M$9,2),B4664&lt;'112'!$K$9,$O4664='112'!$I$6)),"x",""))</f>
        <v/>
      </c>
      <c r="W4664" s="75" t="str">
        <f>IF(AND('341-CT'!$H$9=H4664,OR(LEFT(N4664,3)=$W$7,LEFT(O4664,3)=$W$7)),"x","")</f>
        <v/>
      </c>
      <c r="X4664" s="75" t="str">
        <f>IF(OR(TH!N5393=TH!$X$7,O4664=TH!$X$7),"x","")</f>
        <v>x</v>
      </c>
      <c r="Y4664" s="75" t="str">
        <f>IF(AND(OR(N4664="131",O4664="131"),H4664='131-CT'!$H$9),"x","")</f>
        <v/>
      </c>
      <c r="Z4664" s="75"/>
      <c r="AA4664" s="75" t="str">
        <f>IF(AND(MONTH(E4664)='IN-NX'!$J$5,'IN-NX'!$D$7=D4664),"x","")</f>
        <v/>
      </c>
      <c r="AB4664" s="75" t="str">
        <f>IF(AND(OR(LEFT(TH!N5393,2)="15",LEFT(TH!O5393,2)="15"),LEFT(TH!O5393,3)&lt;&gt;"111",'152-CT'!$J$8=TH!F5393),"x","")</f>
        <v/>
      </c>
      <c r="AC4664" s="75" t="str">
        <f>IF(AND(OR(LEFT(TH!N5393,2)="15",LEFT(TH!O5393,2)="15"),TK!$E$7=TH!F5393),"x","")</f>
        <v/>
      </c>
      <c r="AD4664" s="75" t="str">
        <f>IF(AND(N4664="1521",MONTH(C4664)='BK-NL'!$M$11),"x","")</f>
        <v/>
      </c>
      <c r="AE4664">
        <v>8</v>
      </c>
    </row>
    <row r="4665" spans="1:31" ht="16.5" customHeight="1">
      <c r="A4665" s="309" t="str">
        <f>IF(B4665&lt;&gt;"",IF(AND(B4665='IN-TC'!$S$4,OR(TH!N4655="1111",TH!O4655="1111")),TH!D4655,""),"")</f>
        <v/>
      </c>
      <c r="B4665" s="1129">
        <f t="shared" si="1330"/>
        <v>8</v>
      </c>
      <c r="C4665" s="292">
        <f t="shared" si="1331"/>
        <v>42956</v>
      </c>
      <c r="D4665" s="59" t="s">
        <v>902</v>
      </c>
      <c r="E4665" s="59">
        <v>42956</v>
      </c>
      <c r="F4665" s="67" t="s">
        <v>1552</v>
      </c>
      <c r="G4665" s="62" t="s">
        <v>747</v>
      </c>
      <c r="H4665" s="67" t="s">
        <v>835</v>
      </c>
      <c r="I4665" s="373"/>
      <c r="J4665" s="379"/>
      <c r="K4665" s="379"/>
      <c r="L4665" s="379"/>
      <c r="M4665" s="379">
        <v>158724</v>
      </c>
      <c r="N4665" s="61" t="s">
        <v>9</v>
      </c>
      <c r="O4665" s="61" t="s">
        <v>26</v>
      </c>
      <c r="P4665" s="75" t="str">
        <f>IF(AND('331-CT'!$E$7=TH!H5394,OR(N4665="331",O4665="331")),"x","")</f>
        <v/>
      </c>
      <c r="Q4665" s="75" t="str">
        <f>IF(AND(B4665='111'!$L$11,OR($N4665=$Q$7,$O4665=$Q$7)),"x","")</f>
        <v/>
      </c>
      <c r="R4665" s="75" t="str">
        <f>IF(AND($N4665=$Q$7,$B4665&lt;'111'!$L$11),"x","")</f>
        <v/>
      </c>
      <c r="S4665" s="75" t="str">
        <f>IF(AND($O4665=$Q$7,$B4665&lt;'111'!$L$11),"x","")</f>
        <v/>
      </c>
      <c r="T4665" s="75" t="str">
        <f>IF(ISERROR(FIND('112'!$M$9,G4665,1)),"",IF((AND(FIND('112'!$M$9,G4665,1)&gt;=1,B4665='112'!$K$9,OR($N4665='112'!$I$6,$O4665='112'!$I$6))),"x",""))</f>
        <v/>
      </c>
      <c r="U4665" s="75" t="str">
        <f>IF(ISERROR(FIND('112'!$M$9,G4665,1)),"",IF((AND(LEFT(G4665,2)=LEFT('112'!$M$9,2),B4665&lt;'112'!$K$9,$N4665='112'!$I$6)),"x",""))</f>
        <v/>
      </c>
      <c r="V4665" s="75" t="str">
        <f>IF(ISERROR(FIND('112'!$M$9,G4665,1)),"",IF((AND(RIGHT(G4665,2)=RIGHT('112'!$M$9,2),B4665&lt;'112'!$K$9,$O4665='112'!$I$6)),"x",""))</f>
        <v/>
      </c>
      <c r="W4665" s="75" t="str">
        <f>IF(AND('341-CT'!$H$9=H4665,OR(LEFT(N4665,3)=$W$7,LEFT(O4665,3)=$W$7)),"x","")</f>
        <v/>
      </c>
      <c r="X4665" s="75" t="str">
        <f>IF(OR(TH!N5394=TH!$X$7,O4665=TH!$X$7),"x","")</f>
        <v>x</v>
      </c>
      <c r="Y4665" s="75" t="str">
        <f>IF(AND(OR(N4665="131",O4665="131"),H4665='131-CT'!$H$9),"x","")</f>
        <v/>
      </c>
      <c r="Z4665" s="75"/>
      <c r="AA4665" s="75" t="str">
        <f>IF(AND(MONTH(E4665)='IN-NX'!$J$5,'IN-NX'!$D$7=D4665),"x","")</f>
        <v/>
      </c>
      <c r="AB4665" s="75" t="str">
        <f>IF(AND(OR(LEFT(TH!N5394,2)="15",LEFT(TH!O5394,2)="15"),LEFT(TH!O5394,3)&lt;&gt;"111",'152-CT'!$J$8=TH!F5394),"x","")</f>
        <v/>
      </c>
      <c r="AC4665" s="75" t="str">
        <f>IF(AND(OR(LEFT(TH!N5394,2)="15",LEFT(TH!O5394,2)="15"),TK!$E$7=TH!F5394),"x","")</f>
        <v/>
      </c>
      <c r="AD4665" s="75" t="str">
        <f>IF(AND(N4665="1521",MONTH(C4665)='BK-NL'!$M$11),"x","")</f>
        <v/>
      </c>
      <c r="AE4665">
        <v>8</v>
      </c>
    </row>
    <row r="4666" spans="1:31" ht="16.5" customHeight="1">
      <c r="A4666" s="309" t="str">
        <f>IF(B4666&lt;&gt;"",IF(AND(B4666='IN-TC'!$S$4,OR(TH!N4656="1111",TH!O4656="1111")),TH!D4656,""),"")</f>
        <v/>
      </c>
      <c r="B4666" s="1129">
        <f t="shared" si="1330"/>
        <v>8</v>
      </c>
      <c r="C4666" s="292">
        <f t="shared" si="1331"/>
        <v>42957</v>
      </c>
      <c r="D4666" s="292"/>
      <c r="E4666" s="292">
        <v>42957</v>
      </c>
      <c r="F4666" s="293" t="s">
        <v>2054</v>
      </c>
      <c r="G4666" s="925" t="s">
        <v>2055</v>
      </c>
      <c r="H4666" s="294" t="s">
        <v>1720</v>
      </c>
      <c r="I4666" s="373"/>
      <c r="J4666" s="926"/>
      <c r="K4666" s="373"/>
      <c r="L4666" s="379"/>
      <c r="M4666" s="927">
        <v>3710000</v>
      </c>
      <c r="N4666" s="295" t="s">
        <v>101</v>
      </c>
      <c r="O4666" s="295" t="s">
        <v>63</v>
      </c>
      <c r="P4666" s="75" t="str">
        <f>IF(AND('331-CT'!$E$7=TH!H3815,OR(N4666="331",O4666="331")),"x","")</f>
        <v/>
      </c>
      <c r="Q4666" s="75" t="str">
        <f>IF(AND(B4666='111'!$L$11,OR($N4666=$Q$7,$O4666=$Q$7)),"x","")</f>
        <v/>
      </c>
      <c r="R4666" s="75" t="str">
        <f>IF(AND($N4666=$Q$7,$B4666&lt;'111'!$L$11),"x","")</f>
        <v/>
      </c>
      <c r="S4666" s="75" t="str">
        <f>IF(AND($O4666=$Q$7,$B4666&lt;'111'!$L$11),"x","")</f>
        <v>x</v>
      </c>
      <c r="T4666" s="75" t="str">
        <f>IF(ISERROR(FIND('112'!$M$9,G4666,1)),"",IF((AND(FIND('112'!$M$9,G4666,1)&gt;=1,B4666='112'!$K$9,OR($N4666='112'!$I$6,$O4666='112'!$I$6))),"x",""))</f>
        <v/>
      </c>
      <c r="U4666" s="75" t="str">
        <f>IF(ISERROR(FIND('112'!$M$9,G4666,1)),"",IF((AND(LEFT(G4666,2)=LEFT('112'!$M$9,2),B4666&lt;'112'!$K$9,$N4666='112'!$I$6)),"x",""))</f>
        <v/>
      </c>
      <c r="V4666" s="75" t="str">
        <f>IF(ISERROR(FIND('112'!$M$9,G4666,1)),"",IF((AND(RIGHT(G4666,2)=RIGHT('112'!$M$9,2),B4666&lt;'112'!$K$9,$O4666='112'!$I$6)),"x",""))</f>
        <v/>
      </c>
      <c r="W4666" s="75" t="str">
        <f>IF(AND('341-CT'!$H$9=H4666,OR(LEFT(N4666,3)=$W$7,LEFT(O4666,3)=$W$7)),"x","")</f>
        <v/>
      </c>
      <c r="X4666" s="75" t="str">
        <f>IF(OR(TH!N3815=TH!$X$7,O4666=TH!$X$7),"x","")</f>
        <v/>
      </c>
      <c r="Y4666" s="75" t="str">
        <f>IF(AND(OR(N4666="131",O4666="131"),H4666='131-CT'!$H$9),"x","")</f>
        <v/>
      </c>
      <c r="Z4666" s="75"/>
      <c r="AA4666" s="75" t="str">
        <f>IF(AND(MONTH(E4666)='IN-NX'!$J$5,'IN-NX'!$D$7=D4666),"x","")</f>
        <v/>
      </c>
      <c r="AB4666" s="75" t="str">
        <f>IF(AND(OR(LEFT(TH!N3815,2)="15",LEFT(TH!O3815,2)="15"),LEFT(TH!O3815,3)&lt;&gt;"111",'152-CT'!$J$8=TH!F3815),"x","")</f>
        <v/>
      </c>
      <c r="AC4666" s="75" t="str">
        <f>IF(AND(OR(LEFT(TH!N3815,2)="15",LEFT(TH!O3815,2)="15"),TK!$E$7=TH!F3815),"x","")</f>
        <v/>
      </c>
      <c r="AD4666" s="75" t="str">
        <f>IF(AND(N4666="1521",MONTH(C4666)='BK-NL'!$M$11),"x","")</f>
        <v/>
      </c>
    </row>
    <row r="4667" spans="1:31" ht="16.5" customHeight="1">
      <c r="A4667" s="309" t="str">
        <f>IF(B4667&lt;&gt;"",IF(AND(B4667='IN-TC'!$S$4,OR(TH!N4657="1111",TH!O4657="1111")),TH!D4657,""),"")</f>
        <v/>
      </c>
      <c r="B4667" s="1129">
        <f t="shared" si="1330"/>
        <v>8</v>
      </c>
      <c r="C4667" s="292">
        <f t="shared" si="1331"/>
        <v>42957</v>
      </c>
      <c r="D4667" s="292"/>
      <c r="E4667" s="292">
        <v>42957</v>
      </c>
      <c r="F4667" s="293" t="s">
        <v>2056</v>
      </c>
      <c r="G4667" s="925" t="s">
        <v>2057</v>
      </c>
      <c r="H4667" s="294" t="s">
        <v>2058</v>
      </c>
      <c r="I4667" s="373"/>
      <c r="J4667" s="926"/>
      <c r="K4667" s="373"/>
      <c r="L4667" s="379"/>
      <c r="M4667" s="927">
        <v>6090000</v>
      </c>
      <c r="N4667" s="295" t="s">
        <v>101</v>
      </c>
      <c r="O4667" s="295" t="s">
        <v>63</v>
      </c>
      <c r="P4667" s="75" t="str">
        <f>IF(AND('331-CT'!$E$7=TH!H3816,OR(N4667="331",O4667="331")),"x","")</f>
        <v/>
      </c>
      <c r="Q4667" s="75" t="str">
        <f>IF(AND(B4667='111'!$L$11,OR($N4667=$Q$7,$O4667=$Q$7)),"x","")</f>
        <v/>
      </c>
      <c r="R4667" s="75" t="str">
        <f>IF(AND($N4667=$Q$7,$B4667&lt;'111'!$L$11),"x","")</f>
        <v/>
      </c>
      <c r="S4667" s="75" t="str">
        <f>IF(AND($O4667=$Q$7,$B4667&lt;'111'!$L$11),"x","")</f>
        <v>x</v>
      </c>
      <c r="T4667" s="75" t="str">
        <f>IF(ISERROR(FIND('112'!$M$9,G4667,1)),"",IF((AND(FIND('112'!$M$9,G4667,1)&gt;=1,B4667='112'!$K$9,OR($N4667='112'!$I$6,$O4667='112'!$I$6))),"x",""))</f>
        <v/>
      </c>
      <c r="U4667" s="75" t="str">
        <f>IF(ISERROR(FIND('112'!$M$9,G4667,1)),"",IF((AND(LEFT(G4667,2)=LEFT('112'!$M$9,2),B4667&lt;'112'!$K$9,$N4667='112'!$I$6)),"x",""))</f>
        <v/>
      </c>
      <c r="V4667" s="75" t="str">
        <f>IF(ISERROR(FIND('112'!$M$9,G4667,1)),"",IF((AND(RIGHT(G4667,2)=RIGHT('112'!$M$9,2),B4667&lt;'112'!$K$9,$O4667='112'!$I$6)),"x",""))</f>
        <v/>
      </c>
      <c r="W4667" s="75" t="str">
        <f>IF(AND('341-CT'!$H$9=H4667,OR(LEFT(N4667,3)=$W$7,LEFT(O4667,3)=$W$7)),"x","")</f>
        <v/>
      </c>
      <c r="X4667" s="75" t="str">
        <f>IF(OR(TH!N3816=TH!$X$7,O4667=TH!$X$7),"x","")</f>
        <v/>
      </c>
      <c r="Y4667" s="75" t="str">
        <f>IF(AND(OR(N4667="131",O4667="131"),H4667='131-CT'!$H$9),"x","")</f>
        <v/>
      </c>
      <c r="Z4667" s="75"/>
      <c r="AA4667" s="75" t="str">
        <f>IF(AND(MONTH(E4667)='IN-NX'!$J$5,'IN-NX'!$D$7=D4667),"x","")</f>
        <v/>
      </c>
      <c r="AB4667" s="75" t="str">
        <f>IF(AND(OR(LEFT(TH!N3816,2)="15",LEFT(TH!O3816,2)="15"),LEFT(TH!O3816,3)&lt;&gt;"111",'152-CT'!$J$8=TH!F3816),"x","")</f>
        <v/>
      </c>
      <c r="AC4667" s="75" t="str">
        <f>IF(AND(OR(LEFT(TH!N3816,2)="15",LEFT(TH!O3816,2)="15"),TK!$E$7=TH!F3816),"x","")</f>
        <v/>
      </c>
      <c r="AD4667" s="75" t="str">
        <f>IF(AND(N4667="1521",MONTH(C4667)='BK-NL'!$M$11),"x","")</f>
        <v/>
      </c>
    </row>
    <row r="4668" spans="1:31" ht="16.5" customHeight="1">
      <c r="A4668" s="309" t="str">
        <f>IF(B4668&lt;&gt;"",IF(AND(B4668='IN-TC'!$S$4,OR(TH!N4658="1111",TH!O4658="1111")),TH!D4658,""),"")</f>
        <v/>
      </c>
      <c r="B4668" s="1129">
        <f t="shared" si="1330"/>
        <v>8</v>
      </c>
      <c r="C4668" s="292">
        <f t="shared" si="1331"/>
        <v>42957</v>
      </c>
      <c r="D4668" s="292"/>
      <c r="E4668" s="292">
        <v>42957</v>
      </c>
      <c r="F4668" s="67" t="s">
        <v>1165</v>
      </c>
      <c r="G4668" s="925" t="s">
        <v>1232</v>
      </c>
      <c r="H4668" s="294" t="s">
        <v>1684</v>
      </c>
      <c r="I4668" s="373"/>
      <c r="J4668" s="926"/>
      <c r="K4668" s="373"/>
      <c r="L4668" s="379"/>
      <c r="M4668" s="927">
        <v>19762050</v>
      </c>
      <c r="N4668" s="295" t="s">
        <v>8</v>
      </c>
      <c r="O4668" s="295" t="s">
        <v>63</v>
      </c>
      <c r="P4668" s="75" t="str">
        <f>IF(AND('331-CT'!$E$7=TH!H3817,OR(N4668="331",O4668="331")),"x","")</f>
        <v/>
      </c>
      <c r="Q4668" s="75" t="str">
        <f>IF(AND(B4668='111'!$L$11,OR($N4668=$Q$7,$O4668=$Q$7)),"x","")</f>
        <v/>
      </c>
      <c r="R4668" s="75" t="str">
        <f>IF(AND($N4668=$Q$7,$B4668&lt;'111'!$L$11),"x","")</f>
        <v/>
      </c>
      <c r="S4668" s="75" t="str">
        <f>IF(AND($O4668=$Q$7,$B4668&lt;'111'!$L$11),"x","")</f>
        <v>x</v>
      </c>
      <c r="T4668" s="75" t="str">
        <f>IF(ISERROR(FIND('112'!$M$9,G4668,1)),"",IF((AND(FIND('112'!$M$9,G4668,1)&gt;=1,B4668='112'!$K$9,OR($N4668='112'!$I$6,$O4668='112'!$I$6))),"x",""))</f>
        <v/>
      </c>
      <c r="U4668" s="75" t="str">
        <f>IF(ISERROR(FIND('112'!$M$9,G4668,1)),"",IF((AND(LEFT(G4668,2)=LEFT('112'!$M$9,2),B4668&lt;'112'!$K$9,$N4668='112'!$I$6)),"x",""))</f>
        <v/>
      </c>
      <c r="V4668" s="75" t="str">
        <f>IF(ISERROR(FIND('112'!$M$9,G4668,1)),"",IF((AND(RIGHT(G4668,2)=RIGHT('112'!$M$9,2),B4668&lt;'112'!$K$9,$O4668='112'!$I$6)),"x",""))</f>
        <v/>
      </c>
      <c r="W4668" s="75" t="str">
        <f>IF(AND('341-CT'!$H$9=H4668,OR(LEFT(N4668,3)=$W$7,LEFT(O4668,3)=$W$7)),"x","")</f>
        <v/>
      </c>
      <c r="X4668" s="75" t="str">
        <f>IF(OR(TH!N3817=TH!$X$7,O4668=TH!$X$7),"x","")</f>
        <v/>
      </c>
      <c r="Y4668" s="75" t="str">
        <f>IF(AND(OR(N4668="131",O4668="131"),H4668='131-CT'!$H$9),"x","")</f>
        <v/>
      </c>
      <c r="Z4668" s="75"/>
      <c r="AA4668" s="75" t="str">
        <f>IF(AND(MONTH(E4668)='IN-NX'!$J$5,'IN-NX'!$D$7=D4668),"x","")</f>
        <v/>
      </c>
      <c r="AB4668" s="75" t="str">
        <f>IF(AND(OR(LEFT(TH!N3817,2)="15",LEFT(TH!O3817,2)="15"),LEFT(TH!O3817,3)&lt;&gt;"111",'152-CT'!$J$8=TH!F3817),"x","")</f>
        <v/>
      </c>
      <c r="AC4668" s="75" t="str">
        <f>IF(AND(OR(LEFT(TH!N3817,2)="15",LEFT(TH!O3817,2)="15"),TK!$E$7=TH!F3817),"x","")</f>
        <v/>
      </c>
      <c r="AD4668" s="75" t="str">
        <f>IF(AND(N4668="1521",MONTH(C4668)='BK-NL'!$M$11),"x","")</f>
        <v/>
      </c>
    </row>
    <row r="4669" spans="1:31" ht="16.5" customHeight="1">
      <c r="A4669" s="309" t="str">
        <f>IF(B4669&lt;&gt;"",IF(AND(B4669='IN-TC'!$S$4,OR(TH!N4659="1111",TH!O4659="1111")),TH!D4659,""),"")</f>
        <v/>
      </c>
      <c r="B4669" s="1129">
        <f t="shared" si="1330"/>
        <v>8</v>
      </c>
      <c r="C4669" s="292">
        <f t="shared" si="1331"/>
        <v>42957</v>
      </c>
      <c r="D4669" s="292" t="s">
        <v>846</v>
      </c>
      <c r="E4669" s="292">
        <v>42957</v>
      </c>
      <c r="F4669" s="293" t="s">
        <v>834</v>
      </c>
      <c r="G4669" s="943" t="s">
        <v>585</v>
      </c>
      <c r="H4669" s="67" t="s">
        <v>1023</v>
      </c>
      <c r="I4669" s="373"/>
      <c r="J4669" s="926"/>
      <c r="K4669" s="373"/>
      <c r="L4669" s="379"/>
      <c r="M4669" s="927">
        <v>70000000</v>
      </c>
      <c r="N4669" s="295" t="s">
        <v>63</v>
      </c>
      <c r="O4669" s="295" t="s">
        <v>26</v>
      </c>
      <c r="P4669" s="75" t="str">
        <f>IF(AND('331-CT'!$E$7=TH!H4800,OR(N4669="331",O4669="331")),"x","")</f>
        <v/>
      </c>
      <c r="Q4669" s="75" t="str">
        <f>IF(AND(B4669='111'!$L$11,OR($N4669=$Q$7,$O4669=$Q$7)),"x","")</f>
        <v/>
      </c>
      <c r="R4669" s="75" t="str">
        <f>IF(AND($N4669=$Q$7,$B4669&lt;'111'!$L$11),"x","")</f>
        <v>x</v>
      </c>
      <c r="S4669" s="75" t="str">
        <f>IF(AND($O4669=$Q$7,$B4669&lt;'111'!$L$11),"x","")</f>
        <v/>
      </c>
      <c r="T4669" s="75" t="str">
        <f>IF(ISERROR(FIND('112'!$M$9,G4669,1)),"",IF((AND(FIND('112'!$M$9,G4669,1)&gt;=1,B4669='112'!$K$9,OR($N4669='112'!$I$6,$O4669='112'!$I$6))),"x",""))</f>
        <v/>
      </c>
      <c r="U4669" s="75" t="str">
        <f>IF(ISERROR(FIND('112'!$M$9,G4669,1)),"",IF((AND(LEFT(G4669,2)=LEFT('112'!$M$9,2),B4669&lt;'112'!$K$9,$N4669='112'!$I$6)),"x",""))</f>
        <v/>
      </c>
      <c r="V4669" s="75" t="str">
        <f>IF(ISERROR(FIND('112'!$M$9,G4669,1)),"",IF((AND(RIGHT(G4669,2)=RIGHT('112'!$M$9,2),B4669&lt;'112'!$K$9,$O4669='112'!$I$6)),"x",""))</f>
        <v/>
      </c>
      <c r="W4669" s="75" t="str">
        <f>IF(AND('341-CT'!$H$9=H4669,OR(LEFT(N4669,3)=$W$7,LEFT(O4669,3)=$W$7)),"x","")</f>
        <v/>
      </c>
      <c r="X4669" s="75" t="str">
        <f>IF(OR(TH!N4800=TH!$X$7,O4669=TH!$X$7),"x","")</f>
        <v/>
      </c>
      <c r="Y4669" s="75" t="str">
        <f>IF(AND(OR(N4669="131",O4669="131"),H4669='131-CT'!$H$9),"x","")</f>
        <v/>
      </c>
      <c r="Z4669" s="75"/>
      <c r="AA4669" s="75" t="str">
        <f>IF(AND(MONTH(E4669)='IN-NX'!$J$5,'IN-NX'!$D$7=D4669),"x","")</f>
        <v/>
      </c>
      <c r="AB4669" s="75" t="str">
        <f>IF(AND(OR(LEFT(TH!N4800,2)="15",LEFT(TH!O4800,2)="15"),LEFT(TH!O4800,3)&lt;&gt;"111",'152-CT'!$J$8=TH!F4800),"x","")</f>
        <v/>
      </c>
      <c r="AC4669" s="75" t="str">
        <f>IF(AND(OR(LEFT(TH!N4800,2)="15",LEFT(TH!O4800,2)="15"),TK!$E$7=TH!F4800),"x","")</f>
        <v/>
      </c>
      <c r="AD4669" s="75" t="str">
        <f>IF(AND(N4669="1521",MONTH(C4669)='BK-NL'!$M$11),"x","")</f>
        <v/>
      </c>
    </row>
    <row r="4670" spans="1:31" ht="16.5" customHeight="1">
      <c r="A4670" s="309" t="str">
        <f>IF(B4670&lt;&gt;"",IF(AND(B4670='IN-TC'!$S$4,OR(TH!N4660="1111",TH!O4660="1111")),TH!D4660,""),"")</f>
        <v/>
      </c>
      <c r="B4670" s="1129">
        <f t="shared" si="1330"/>
        <v>8</v>
      </c>
      <c r="C4670" s="292">
        <f t="shared" si="1331"/>
        <v>42957</v>
      </c>
      <c r="D4670" s="59" t="s">
        <v>1915</v>
      </c>
      <c r="E4670" s="59">
        <v>42957</v>
      </c>
      <c r="F4670" s="67" t="s">
        <v>1974</v>
      </c>
      <c r="G4670" s="62" t="s">
        <v>747</v>
      </c>
      <c r="H4670" s="294" t="s">
        <v>1023</v>
      </c>
      <c r="I4670" s="373"/>
      <c r="J4670" s="379"/>
      <c r="K4670" s="373"/>
      <c r="L4670" s="379"/>
      <c r="M4670" s="60">
        <v>1010000000</v>
      </c>
      <c r="N4670" s="61" t="s">
        <v>26</v>
      </c>
      <c r="O4670" s="61" t="s">
        <v>63</v>
      </c>
      <c r="P4670" s="75" t="str">
        <f>IF(AND('331-CT'!$E$7=TH!H5395,OR(N4670="331",O4670="331")),"x","")</f>
        <v/>
      </c>
      <c r="Q4670" s="75" t="str">
        <f>IF(AND(B4670='111'!$L$11,OR($N4670=$Q$7,$O4670=$Q$7)),"x","")</f>
        <v/>
      </c>
      <c r="R4670" s="75" t="str">
        <f>IF(AND($N4670=$Q$7,$B4670&lt;'111'!$L$11),"x","")</f>
        <v/>
      </c>
      <c r="S4670" s="75" t="str">
        <f>IF(AND($O4670=$Q$7,$B4670&lt;'111'!$L$11),"x","")</f>
        <v>x</v>
      </c>
      <c r="T4670" s="75" t="str">
        <f>IF(ISERROR(FIND('112'!$M$9,G4670,1)),"",IF((AND(FIND('112'!$M$9,G4670,1)&gt;=1,B4670='112'!$K$9,OR($N4670='112'!$I$6,$O4670='112'!$I$6))),"x",""))</f>
        <v/>
      </c>
      <c r="U4670" s="75" t="str">
        <f>IF(ISERROR(FIND('112'!$M$9,G4670,1)),"",IF((AND(LEFT(G4670,2)=LEFT('112'!$M$9,2),B4670&lt;'112'!$K$9,$N4670='112'!$I$6)),"x",""))</f>
        <v/>
      </c>
      <c r="V4670" s="75" t="str">
        <f>IF(ISERROR(FIND('112'!$M$9,G4670,1)),"",IF((AND(RIGHT(G4670,2)=RIGHT('112'!$M$9,2),B4670&lt;'112'!$K$9,$O4670='112'!$I$6)),"x",""))</f>
        <v/>
      </c>
      <c r="W4670" s="75" t="str">
        <f>IF(AND('341-CT'!$H$9=H4670,OR(LEFT(N4670,3)=$W$7,LEFT(O4670,3)=$W$7)),"x","")</f>
        <v/>
      </c>
      <c r="X4670" s="75" t="str">
        <f>IF(OR(TH!N5395=TH!$X$7,O4670=TH!$X$7),"x","")</f>
        <v/>
      </c>
      <c r="Y4670" s="75" t="str">
        <f>IF(AND(OR(N4670="131",O4670="131"),H4670='131-CT'!$H$9),"x","")</f>
        <v/>
      </c>
      <c r="Z4670" s="75"/>
      <c r="AA4670" s="75" t="str">
        <f>IF(AND(MONTH(E4670)='IN-NX'!$J$5,'IN-NX'!$D$7=D4670),"x","")</f>
        <v/>
      </c>
      <c r="AB4670" s="75" t="str">
        <f>IF(AND(OR(LEFT(TH!N5395,2)="15",LEFT(TH!O5395,2)="15"),LEFT(TH!O5395,3)&lt;&gt;"111",'152-CT'!$J$8=TH!F5395),"x","")</f>
        <v/>
      </c>
      <c r="AC4670" s="75" t="str">
        <f>IF(AND(OR(LEFT(TH!N5395,2)="15",LEFT(TH!O5395,2)="15"),TK!$E$7=TH!F5395),"x","")</f>
        <v/>
      </c>
      <c r="AD4670" s="75" t="str">
        <f>IF(AND(N4670="1521",MONTH(C4670)='BK-NL'!$M$11),"x","")</f>
        <v/>
      </c>
    </row>
    <row r="4671" spans="1:31" ht="16.5" customHeight="1">
      <c r="A4671" s="309" t="str">
        <f>IF(B4671&lt;&gt;"",IF(AND(B4671='IN-TC'!$S$4,OR(TH!N4661="1111",TH!O4661="1111")),TH!D4661,""),"")</f>
        <v/>
      </c>
      <c r="B4671" s="1129">
        <f t="shared" si="1330"/>
        <v>8</v>
      </c>
      <c r="C4671" s="292">
        <f t="shared" si="1331"/>
        <v>42957</v>
      </c>
      <c r="D4671" s="59" t="s">
        <v>902</v>
      </c>
      <c r="E4671" s="59">
        <v>42957</v>
      </c>
      <c r="F4671" s="67" t="s">
        <v>897</v>
      </c>
      <c r="G4671" s="62" t="s">
        <v>747</v>
      </c>
      <c r="H4671" s="294" t="s">
        <v>791</v>
      </c>
      <c r="I4671" s="373"/>
      <c r="J4671" s="379"/>
      <c r="K4671" s="373"/>
      <c r="L4671" s="379"/>
      <c r="M4671" s="60">
        <v>2554525000</v>
      </c>
      <c r="N4671" s="61" t="s">
        <v>8</v>
      </c>
      <c r="O4671" s="61" t="s">
        <v>26</v>
      </c>
      <c r="P4671" s="75" t="str">
        <f>IF(AND('331-CT'!$E$7=TH!H5396,OR(N4671="331",O4671="331")),"x","")</f>
        <v/>
      </c>
      <c r="Q4671" s="75" t="str">
        <f>IF(AND(B4671='111'!$L$11,OR($N4671=$Q$7,$O4671=$Q$7)),"x","")</f>
        <v/>
      </c>
      <c r="R4671" s="75" t="str">
        <f>IF(AND($N4671=$Q$7,$B4671&lt;'111'!$L$11),"x","")</f>
        <v/>
      </c>
      <c r="S4671" s="75" t="str">
        <f>IF(AND($O4671=$Q$7,$B4671&lt;'111'!$L$11),"x","")</f>
        <v/>
      </c>
      <c r="T4671" s="75" t="str">
        <f>IF(ISERROR(FIND('112'!$M$9,G4671,1)),"",IF((AND(FIND('112'!$M$9,G4671,1)&gt;=1,B4671='112'!$K$9,OR($N4671='112'!$I$6,$O4671='112'!$I$6))),"x",""))</f>
        <v/>
      </c>
      <c r="U4671" s="75" t="str">
        <f>IF(ISERROR(FIND('112'!$M$9,G4671,1)),"",IF((AND(LEFT(G4671,2)=LEFT('112'!$M$9,2),B4671&lt;'112'!$K$9,$N4671='112'!$I$6)),"x",""))</f>
        <v/>
      </c>
      <c r="V4671" s="75" t="str">
        <f>IF(ISERROR(FIND('112'!$M$9,G4671,1)),"",IF((AND(RIGHT(G4671,2)=RIGHT('112'!$M$9,2),B4671&lt;'112'!$K$9,$O4671='112'!$I$6)),"x",""))</f>
        <v/>
      </c>
      <c r="W4671" s="75" t="str">
        <f>IF(AND('341-CT'!$H$9=H4671,OR(LEFT(N4671,3)=$W$7,LEFT(O4671,3)=$W$7)),"x","")</f>
        <v/>
      </c>
      <c r="X4671" s="75" t="str">
        <f>IF(OR(TH!N5396=TH!$X$7,O4671=TH!$X$7),"x","")</f>
        <v/>
      </c>
      <c r="Y4671" s="75" t="str">
        <f>IF(AND(OR(N4671="131",O4671="131"),H4671='131-CT'!$H$9),"x","")</f>
        <v/>
      </c>
      <c r="Z4671" s="75"/>
      <c r="AA4671" s="75" t="str">
        <f>IF(AND(MONTH(E4671)='IN-NX'!$J$5,'IN-NX'!$D$7=D4671),"x","")</f>
        <v/>
      </c>
      <c r="AB4671" s="75" t="str">
        <f>IF(AND(OR(LEFT(TH!N5396,2)="15",LEFT(TH!O5396,2)="15"),LEFT(TH!O5396,3)&lt;&gt;"111",'152-CT'!$J$8=TH!F5396),"x","")</f>
        <v/>
      </c>
      <c r="AC4671" s="75" t="str">
        <f>IF(AND(OR(LEFT(TH!N5396,2)="15",LEFT(TH!O5396,2)="15"),TK!$E$7=TH!F5396),"x","")</f>
        <v/>
      </c>
      <c r="AD4671" s="75" t="str">
        <f>IF(AND(N4671="1521",MONTH(C4671)='BK-NL'!$M$11),"x","")</f>
        <v/>
      </c>
    </row>
    <row r="4672" spans="1:31" ht="16.5" customHeight="1">
      <c r="A4672" s="309" t="str">
        <f>IF(B4672&lt;&gt;"",IF(AND(B4672='IN-TC'!$S$4,OR(TH!N4662="1111",TH!O4662="1111")),TH!D4662,""),"")</f>
        <v/>
      </c>
      <c r="B4672" s="1129">
        <f t="shared" si="1330"/>
        <v>8</v>
      </c>
      <c r="C4672" s="292">
        <f t="shared" si="1331"/>
        <v>42957</v>
      </c>
      <c r="D4672" s="59" t="s">
        <v>902</v>
      </c>
      <c r="E4672" s="59">
        <v>42957</v>
      </c>
      <c r="F4672" s="67" t="s">
        <v>870</v>
      </c>
      <c r="G4672" s="62" t="s">
        <v>747</v>
      </c>
      <c r="H4672" s="67" t="s">
        <v>835</v>
      </c>
      <c r="I4672" s="375"/>
      <c r="J4672" s="381"/>
      <c r="K4672" s="375"/>
      <c r="L4672" s="381"/>
      <c r="M4672" s="60">
        <v>766358</v>
      </c>
      <c r="N4672" s="61" t="s">
        <v>101</v>
      </c>
      <c r="O4672" s="61" t="s">
        <v>26</v>
      </c>
      <c r="P4672" s="75" t="str">
        <f>IF(AND('331-CT'!$E$7=TH!H5397,OR(N4672="331",O4672="331")),"x","")</f>
        <v/>
      </c>
      <c r="Q4672" s="75" t="str">
        <f>IF(AND(B4672='111'!$L$11,OR($N4672=$Q$7,$O4672=$Q$7)),"x","")</f>
        <v/>
      </c>
      <c r="R4672" s="75" t="str">
        <f>IF(AND($N4672=$Q$7,$B4672&lt;'111'!$L$11),"x","")</f>
        <v/>
      </c>
      <c r="S4672" s="75" t="str">
        <f>IF(AND($O4672=$Q$7,$B4672&lt;'111'!$L$11),"x","")</f>
        <v/>
      </c>
      <c r="T4672" s="75" t="str">
        <f>IF(ISERROR(FIND('112'!$M$9,G4672,1)),"",IF((AND(FIND('112'!$M$9,G4672,1)&gt;=1,B4672='112'!$K$9,OR($N4672='112'!$I$6,$O4672='112'!$I$6))),"x",""))</f>
        <v/>
      </c>
      <c r="U4672" s="75" t="str">
        <f>IF(ISERROR(FIND('112'!$M$9,G4672,1)),"",IF((AND(LEFT(G4672,2)=LEFT('112'!$M$9,2),B4672&lt;'112'!$K$9,$N4672='112'!$I$6)),"x",""))</f>
        <v/>
      </c>
      <c r="V4672" s="75" t="str">
        <f>IF(ISERROR(FIND('112'!$M$9,G4672,1)),"",IF((AND(RIGHT(G4672,2)=RIGHT('112'!$M$9,2),B4672&lt;'112'!$K$9,$O4672='112'!$I$6)),"x",""))</f>
        <v/>
      </c>
      <c r="W4672" s="75" t="str">
        <f>IF(AND('341-CT'!$H$9=H4672,OR(LEFT(N4672,3)=$W$7,LEFT(O4672,3)=$W$7)),"x","")</f>
        <v/>
      </c>
      <c r="X4672" s="75" t="str">
        <f>IF(OR(TH!N5397=TH!$X$7,O4672=TH!$X$7),"x","")</f>
        <v/>
      </c>
      <c r="Y4672" s="75" t="str">
        <f>IF(AND(OR(N4672="131",O4672="131"),H4672='131-CT'!$H$9),"x","")</f>
        <v/>
      </c>
      <c r="Z4672" s="75"/>
      <c r="AA4672" s="75" t="str">
        <f>IF(AND(MONTH(E4672)='IN-NX'!$J$5,'IN-NX'!$D$7=D4672),"x","")</f>
        <v/>
      </c>
      <c r="AB4672" s="75" t="str">
        <f>IF(AND(OR(LEFT(TH!N5397,2)="15",LEFT(TH!O5397,2)="15"),LEFT(TH!O5397,3)&lt;&gt;"111",'152-CT'!$J$8=TH!F5397),"x","")</f>
        <v/>
      </c>
      <c r="AC4672" s="75" t="str">
        <f>IF(AND(OR(LEFT(TH!N5397,2)="15",LEFT(TH!O5397,2)="15"),TK!$E$7=TH!F5397),"x","")</f>
        <v/>
      </c>
      <c r="AD4672" s="75" t="str">
        <f>IF(AND(N4672="1521",MONTH(C4672)='BK-NL'!$M$11),"x","")</f>
        <v/>
      </c>
      <c r="AE4672">
        <v>8</v>
      </c>
    </row>
    <row r="4673" spans="1:31" ht="16.5" customHeight="1">
      <c r="A4673" s="309" t="str">
        <f>IF(B4673&lt;&gt;"",IF(AND(B4673='IN-TC'!$S$4,OR(TH!N4663="1111",TH!O4663="1111")),TH!D4663,""),"")</f>
        <v/>
      </c>
      <c r="B4673" s="1129">
        <f t="shared" si="1330"/>
        <v>8</v>
      </c>
      <c r="C4673" s="292">
        <f t="shared" si="1331"/>
        <v>42957</v>
      </c>
      <c r="D4673" s="59" t="s">
        <v>902</v>
      </c>
      <c r="E4673" s="59">
        <v>42957</v>
      </c>
      <c r="F4673" s="67" t="s">
        <v>898</v>
      </c>
      <c r="G4673" s="62" t="s">
        <v>747</v>
      </c>
      <c r="H4673" s="67" t="s">
        <v>835</v>
      </c>
      <c r="I4673" s="375"/>
      <c r="J4673" s="381"/>
      <c r="K4673" s="375"/>
      <c r="L4673" s="381"/>
      <c r="M4673" s="60">
        <v>76636</v>
      </c>
      <c r="N4673" s="61" t="s">
        <v>9</v>
      </c>
      <c r="O4673" s="61" t="s">
        <v>26</v>
      </c>
      <c r="P4673" s="75" t="str">
        <f>IF(AND('331-CT'!$E$7=TH!H5398,OR(N4673="331",O4673="331")),"x","")</f>
        <v/>
      </c>
      <c r="Q4673" s="75" t="str">
        <f>IF(AND(B4673='111'!$L$11,OR($N4673=$Q$7,$O4673=$Q$7)),"x","")</f>
        <v/>
      </c>
      <c r="R4673" s="75" t="str">
        <f>IF(AND($N4673=$Q$7,$B4673&lt;'111'!$L$11),"x","")</f>
        <v/>
      </c>
      <c r="S4673" s="75" t="str">
        <f>IF(AND($O4673=$Q$7,$B4673&lt;'111'!$L$11),"x","")</f>
        <v/>
      </c>
      <c r="T4673" s="75" t="str">
        <f>IF(ISERROR(FIND('112'!$M$9,G4673,1)),"",IF((AND(FIND('112'!$M$9,G4673,1)&gt;=1,B4673='112'!$K$9,OR($N4673='112'!$I$6,$O4673='112'!$I$6))),"x",""))</f>
        <v/>
      </c>
      <c r="U4673" s="75" t="str">
        <f>IF(ISERROR(FIND('112'!$M$9,G4673,1)),"",IF((AND(LEFT(G4673,2)=LEFT('112'!$M$9,2),B4673&lt;'112'!$K$9,$N4673='112'!$I$6)),"x",""))</f>
        <v/>
      </c>
      <c r="V4673" s="75" t="str">
        <f>IF(ISERROR(FIND('112'!$M$9,G4673,1)),"",IF((AND(RIGHT(G4673,2)=RIGHT('112'!$M$9,2),B4673&lt;'112'!$K$9,$O4673='112'!$I$6)),"x",""))</f>
        <v/>
      </c>
      <c r="W4673" s="75" t="str">
        <f>IF(AND('341-CT'!$H$9=H4673,OR(LEFT(N4673,3)=$W$7,LEFT(O4673,3)=$W$7)),"x","")</f>
        <v/>
      </c>
      <c r="X4673" s="75" t="str">
        <f>IF(OR(TH!N5398=TH!$X$7,O4673=TH!$X$7),"x","")</f>
        <v/>
      </c>
      <c r="Y4673" s="75" t="str">
        <f>IF(AND(OR(N4673="131",O4673="131"),H4673='131-CT'!$H$9),"x","")</f>
        <v/>
      </c>
      <c r="Z4673" s="75"/>
      <c r="AA4673" s="75" t="str">
        <f>IF(AND(MONTH(E4673)='IN-NX'!$J$5,'IN-NX'!$D$7=D4673),"x","")</f>
        <v/>
      </c>
      <c r="AB4673" s="75" t="str">
        <f>IF(AND(OR(LEFT(TH!N5398,2)="15",LEFT(TH!O5398,2)="15"),LEFT(TH!O5398,3)&lt;&gt;"111",'152-CT'!$J$8=TH!F5398),"x","")</f>
        <v/>
      </c>
      <c r="AC4673" s="75" t="str">
        <f>IF(AND(OR(LEFT(TH!N5398,2)="15",LEFT(TH!O5398,2)="15"),TK!$E$7=TH!F5398),"x","")</f>
        <v/>
      </c>
      <c r="AD4673" s="75" t="str">
        <f>IF(AND(N4673="1521",MONTH(C4673)='BK-NL'!$M$11),"x","")</f>
        <v/>
      </c>
      <c r="AE4673">
        <v>8</v>
      </c>
    </row>
    <row r="4674" spans="1:31" ht="16.5" customHeight="1">
      <c r="A4674" s="309" t="str">
        <f>IF(B4674&lt;&gt;"",IF(AND(B4674='IN-TC'!$S$4,OR(TH!N4664="1111",TH!O4664="1111")),TH!D4664,""),"")</f>
        <v/>
      </c>
      <c r="B4674" s="1129">
        <f t="shared" si="1330"/>
        <v>8</v>
      </c>
      <c r="C4674" s="292">
        <f t="shared" si="1331"/>
        <v>42957</v>
      </c>
      <c r="D4674" s="59" t="s">
        <v>902</v>
      </c>
      <c r="E4674" s="59">
        <v>42957</v>
      </c>
      <c r="F4674" s="67" t="s">
        <v>870</v>
      </c>
      <c r="G4674" s="62" t="s">
        <v>747</v>
      </c>
      <c r="H4674" s="67" t="s">
        <v>835</v>
      </c>
      <c r="I4674" s="375"/>
      <c r="J4674" s="381"/>
      <c r="K4674" s="60"/>
      <c r="L4674" s="381"/>
      <c r="M4674" s="60">
        <v>1000000</v>
      </c>
      <c r="N4674" s="61" t="s">
        <v>101</v>
      </c>
      <c r="O4674" s="61" t="s">
        <v>26</v>
      </c>
      <c r="P4674" s="75" t="str">
        <f>IF(AND('331-CT'!$E$7=TH!H5399,OR(N4674="331",O4674="331")),"x","")</f>
        <v/>
      </c>
      <c r="Q4674" s="75" t="str">
        <f>IF(AND(B4674='111'!$L$11,OR($N4674=$Q$7,$O4674=$Q$7)),"x","")</f>
        <v/>
      </c>
      <c r="R4674" s="75" t="str">
        <f>IF(AND($N4674=$Q$7,$B4674&lt;'111'!$L$11),"x","")</f>
        <v/>
      </c>
      <c r="S4674" s="75" t="str">
        <f>IF(AND($O4674=$Q$7,$B4674&lt;'111'!$L$11),"x","")</f>
        <v/>
      </c>
      <c r="T4674" s="75" t="str">
        <f>IF(ISERROR(FIND('112'!$M$9,G4674,1)),"",IF((AND(FIND('112'!$M$9,G4674,1)&gt;=1,B4674='112'!$K$9,OR($N4674='112'!$I$6,$O4674='112'!$I$6))),"x",""))</f>
        <v/>
      </c>
      <c r="U4674" s="75" t="str">
        <f>IF(ISERROR(FIND('112'!$M$9,G4674,1)),"",IF((AND(LEFT(G4674,2)=LEFT('112'!$M$9,2),B4674&lt;'112'!$K$9,$N4674='112'!$I$6)),"x",""))</f>
        <v/>
      </c>
      <c r="V4674" s="75" t="str">
        <f>IF(ISERROR(FIND('112'!$M$9,G4674,1)),"",IF((AND(RIGHT(G4674,2)=RIGHT('112'!$M$9,2),B4674&lt;'112'!$K$9,$O4674='112'!$I$6)),"x",""))</f>
        <v/>
      </c>
      <c r="W4674" s="75" t="str">
        <f>IF(AND('341-CT'!$H$9=H4674,OR(LEFT(N4674,3)=$W$7,LEFT(O4674,3)=$W$7)),"x","")</f>
        <v/>
      </c>
      <c r="X4674" s="75" t="str">
        <f>IF(OR(TH!N5399=TH!$X$7,O4674=TH!$X$7),"x","")</f>
        <v/>
      </c>
      <c r="Y4674" s="75" t="str">
        <f>IF(AND(OR(N4674="131",O4674="131"),H4674='131-CT'!$H$9),"x","")</f>
        <v/>
      </c>
      <c r="Z4674" s="75"/>
      <c r="AA4674" s="75" t="str">
        <f>IF(AND(MONTH(E4674)='IN-NX'!$J$5,'IN-NX'!$D$7=D4674),"x","")</f>
        <v/>
      </c>
      <c r="AB4674" s="75" t="str">
        <f>IF(AND(OR(LEFT(TH!N5399,2)="15",LEFT(TH!O5399,2)="15"),LEFT(TH!O5399,3)&lt;&gt;"111",'152-CT'!$J$8=TH!F5399),"x","")</f>
        <v/>
      </c>
      <c r="AC4674" s="75" t="str">
        <f>IF(AND(OR(LEFT(TH!N5399,2)="15",LEFT(TH!O5399,2)="15"),TK!$E$7=TH!F5399),"x","")</f>
        <v/>
      </c>
      <c r="AD4674" s="75" t="str">
        <f>IF(AND(N4674="1521",MONTH(C4674)='BK-NL'!$M$11),"x","")</f>
        <v/>
      </c>
      <c r="AE4674">
        <v>8</v>
      </c>
    </row>
    <row r="4675" spans="1:31" ht="16.5" customHeight="1">
      <c r="A4675" s="309" t="str">
        <f>IF(B4675&lt;&gt;"",IF(AND(B4675='IN-TC'!$S$4,OR(TH!N4665="1111",TH!O4665="1111")),TH!D4665,""),"")</f>
        <v/>
      </c>
      <c r="B4675" s="1129">
        <f t="shared" si="1330"/>
        <v>8</v>
      </c>
      <c r="C4675" s="292">
        <f t="shared" si="1331"/>
        <v>42957</v>
      </c>
      <c r="D4675" s="59" t="s">
        <v>902</v>
      </c>
      <c r="E4675" s="59">
        <v>42957</v>
      </c>
      <c r="F4675" s="67" t="s">
        <v>898</v>
      </c>
      <c r="G4675" s="62" t="s">
        <v>747</v>
      </c>
      <c r="H4675" s="67" t="s">
        <v>835</v>
      </c>
      <c r="I4675" s="375"/>
      <c r="J4675" s="381"/>
      <c r="K4675" s="375"/>
      <c r="L4675" s="381"/>
      <c r="M4675" s="60">
        <v>100000</v>
      </c>
      <c r="N4675" s="61" t="s">
        <v>9</v>
      </c>
      <c r="O4675" s="61" t="s">
        <v>26</v>
      </c>
      <c r="P4675" s="75" t="str">
        <f>IF(AND('331-CT'!$E$7=TH!H5400,OR(N4675="331",O4675="331")),"x","")</f>
        <v/>
      </c>
      <c r="Q4675" s="75" t="str">
        <f>IF(AND(B4675='111'!$L$11,OR($N4675=$Q$7,$O4675=$Q$7)),"x","")</f>
        <v/>
      </c>
      <c r="R4675" s="75" t="str">
        <f>IF(AND($N4675=$Q$7,$B4675&lt;'111'!$L$11),"x","")</f>
        <v/>
      </c>
      <c r="S4675" s="75" t="str">
        <f>IF(AND($O4675=$Q$7,$B4675&lt;'111'!$L$11),"x","")</f>
        <v/>
      </c>
      <c r="T4675" s="75" t="str">
        <f>IF(ISERROR(FIND('112'!$M$9,G4675,1)),"",IF((AND(FIND('112'!$M$9,G4675,1)&gt;=1,B4675='112'!$K$9,OR($N4675='112'!$I$6,$O4675='112'!$I$6))),"x",""))</f>
        <v/>
      </c>
      <c r="U4675" s="75" t="str">
        <f>IF(ISERROR(FIND('112'!$M$9,G4675,1)),"",IF((AND(LEFT(G4675,2)=LEFT('112'!$M$9,2),B4675&lt;'112'!$K$9,$N4675='112'!$I$6)),"x",""))</f>
        <v/>
      </c>
      <c r="V4675" s="75" t="str">
        <f>IF(ISERROR(FIND('112'!$M$9,G4675,1)),"",IF((AND(RIGHT(G4675,2)=RIGHT('112'!$M$9,2),B4675&lt;'112'!$K$9,$O4675='112'!$I$6)),"x",""))</f>
        <v/>
      </c>
      <c r="W4675" s="75" t="str">
        <f>IF(AND('341-CT'!$H$9=H4675,OR(LEFT(N4675,3)=$W$7,LEFT(O4675,3)=$W$7)),"x","")</f>
        <v/>
      </c>
      <c r="X4675" s="75" t="str">
        <f>IF(OR(TH!N5400=TH!$X$7,O4675=TH!$X$7),"x","")</f>
        <v/>
      </c>
      <c r="Y4675" s="75" t="str">
        <f>IF(AND(OR(N4675="131",O4675="131"),H4675='131-CT'!$H$9),"x","")</f>
        <v/>
      </c>
      <c r="Z4675" s="75"/>
      <c r="AA4675" s="75" t="str">
        <f>IF(AND(MONTH(E4675)='IN-NX'!$J$5,'IN-NX'!$D$7=D4675),"x","")</f>
        <v/>
      </c>
      <c r="AB4675" s="75" t="str">
        <f>IF(AND(OR(LEFT(TH!N5400,2)="15",LEFT(TH!O5400,2)="15"),LEFT(TH!O5400,3)&lt;&gt;"111",'152-CT'!$J$8=TH!F5400),"x","")</f>
        <v/>
      </c>
      <c r="AC4675" s="75" t="str">
        <f>IF(AND(OR(LEFT(TH!N5400,2)="15",LEFT(TH!O5400,2)="15"),TK!$E$7=TH!F5400),"x","")</f>
        <v/>
      </c>
      <c r="AD4675" s="75" t="str">
        <f>IF(AND(N4675="1521",MONTH(C4675)='BK-NL'!$M$11),"x","")</f>
        <v/>
      </c>
      <c r="AE4675">
        <v>8</v>
      </c>
    </row>
    <row r="4676" spans="1:31" ht="16.5" customHeight="1">
      <c r="A4676" s="309" t="str">
        <f>IF(B4676&lt;&gt;"",IF(AND(B4676='IN-TC'!$S$4,OR(TH!N4666="1111",TH!O4666="1111")),TH!D4666,""),"")</f>
        <v/>
      </c>
      <c r="B4676" s="1129">
        <f t="shared" si="1330"/>
        <v>8</v>
      </c>
      <c r="C4676" s="292">
        <f t="shared" si="1331"/>
        <v>42958</v>
      </c>
      <c r="D4676" s="292"/>
      <c r="E4676" s="292">
        <v>42958</v>
      </c>
      <c r="F4676" s="293" t="s">
        <v>221</v>
      </c>
      <c r="G4676" s="925" t="s">
        <v>2059</v>
      </c>
      <c r="H4676" s="294" t="s">
        <v>556</v>
      </c>
      <c r="I4676" s="373"/>
      <c r="J4676" s="926"/>
      <c r="K4676" s="373"/>
      <c r="L4676" s="379"/>
      <c r="M4676" s="927">
        <v>9886364</v>
      </c>
      <c r="N4676" s="295" t="s">
        <v>272</v>
      </c>
      <c r="O4676" s="295" t="s">
        <v>63</v>
      </c>
      <c r="P4676" s="75" t="str">
        <f>IF(AND('331-CT'!$E$7=TH!H3818,OR(N4676="331",O4676="331")),"x","")</f>
        <v/>
      </c>
      <c r="Q4676" s="75" t="str">
        <f>IF(AND(B4676='111'!$L$11,OR($N4676=$Q$7,$O4676=$Q$7)),"x","")</f>
        <v/>
      </c>
      <c r="R4676" s="75" t="str">
        <f>IF(AND($N4676=$Q$7,$B4676&lt;'111'!$L$11),"x","")</f>
        <v/>
      </c>
      <c r="S4676" s="75" t="str">
        <f>IF(AND($O4676=$Q$7,$B4676&lt;'111'!$L$11),"x","")</f>
        <v>x</v>
      </c>
      <c r="T4676" s="75" t="str">
        <f>IF(ISERROR(FIND('112'!$M$9,G4676,1)),"",IF((AND(FIND('112'!$M$9,G4676,1)&gt;=1,B4676='112'!$K$9,OR($N4676='112'!$I$6,$O4676='112'!$I$6))),"x",""))</f>
        <v/>
      </c>
      <c r="U4676" s="75" t="str">
        <f>IF(ISERROR(FIND('112'!$M$9,G4676,1)),"",IF((AND(LEFT(G4676,2)=LEFT('112'!$M$9,2),B4676&lt;'112'!$K$9,$N4676='112'!$I$6)),"x",""))</f>
        <v/>
      </c>
      <c r="V4676" s="75" t="str">
        <f>IF(ISERROR(FIND('112'!$M$9,G4676,1)),"",IF((AND(RIGHT(G4676,2)=RIGHT('112'!$M$9,2),B4676&lt;'112'!$K$9,$O4676='112'!$I$6)),"x",""))</f>
        <v/>
      </c>
      <c r="W4676" s="75" t="str">
        <f>IF(AND('341-CT'!$H$9=H4676,OR(LEFT(N4676,3)=$W$7,LEFT(O4676,3)=$W$7)),"x","")</f>
        <v/>
      </c>
      <c r="X4676" s="75" t="str">
        <f>IF(OR(TH!N3818=TH!$X$7,O4676=TH!$X$7),"x","")</f>
        <v/>
      </c>
      <c r="Y4676" s="75" t="str">
        <f>IF(AND(OR(N4676="131",O4676="131"),H4676='131-CT'!$H$9),"x","")</f>
        <v/>
      </c>
      <c r="Z4676" s="75"/>
      <c r="AA4676" s="75" t="str">
        <f>IF(AND(MONTH(E4676)='IN-NX'!$J$5,'IN-NX'!$D$7=D4676),"x","")</f>
        <v/>
      </c>
      <c r="AB4676" s="75" t="str">
        <f>IF(AND(OR(LEFT(TH!N3818,2)="15",LEFT(TH!O3818,2)="15"),LEFT(TH!O3818,3)&lt;&gt;"111",'152-CT'!$J$8=TH!F3818),"x","")</f>
        <v/>
      </c>
      <c r="AC4676" s="75" t="str">
        <f>IF(AND(OR(LEFT(TH!N3818,2)="15",LEFT(TH!O3818,2)="15"),TK!$E$7=TH!F3818),"x","")</f>
        <v/>
      </c>
      <c r="AD4676" s="75" t="str">
        <f>IF(AND(N4676="1521",MONTH(C4676)='BK-NL'!$M$11),"x","")</f>
        <v/>
      </c>
      <c r="AE4676">
        <v>8</v>
      </c>
    </row>
    <row r="4677" spans="1:31" ht="16.5" customHeight="1">
      <c r="A4677" s="309" t="str">
        <f>IF(B4677&lt;&gt;"",IF(AND(B4677='IN-TC'!$S$4,OR(TH!N4667="1111",TH!O4667="1111")),TH!D4667,""),"")</f>
        <v/>
      </c>
      <c r="B4677" s="1129">
        <f t="shared" si="1330"/>
        <v>8</v>
      </c>
      <c r="C4677" s="292">
        <f t="shared" si="1331"/>
        <v>42958</v>
      </c>
      <c r="D4677" s="292"/>
      <c r="E4677" s="292">
        <v>42958</v>
      </c>
      <c r="F4677" s="293" t="s">
        <v>943</v>
      </c>
      <c r="G4677" s="925" t="s">
        <v>2059</v>
      </c>
      <c r="H4677" s="294" t="s">
        <v>556</v>
      </c>
      <c r="I4677" s="373"/>
      <c r="J4677" s="926"/>
      <c r="K4677" s="373"/>
      <c r="L4677" s="379"/>
      <c r="M4677" s="927">
        <v>988636</v>
      </c>
      <c r="N4677" s="295" t="s">
        <v>9</v>
      </c>
      <c r="O4677" s="295" t="s">
        <v>63</v>
      </c>
      <c r="P4677" s="75" t="str">
        <f>IF(AND('331-CT'!$E$7=TH!H3819,OR(N4677="331",O4677="331")),"x","")</f>
        <v/>
      </c>
      <c r="Q4677" s="75" t="str">
        <f>IF(AND(B4677='111'!$L$11,OR($N4677=$Q$7,$O4677=$Q$7)),"x","")</f>
        <v/>
      </c>
      <c r="R4677" s="75" t="str">
        <f>IF(AND($N4677=$Q$7,$B4677&lt;'111'!$L$11),"x","")</f>
        <v/>
      </c>
      <c r="S4677" s="75" t="str">
        <f>IF(AND($O4677=$Q$7,$B4677&lt;'111'!$L$11),"x","")</f>
        <v>x</v>
      </c>
      <c r="T4677" s="75" t="str">
        <f>IF(ISERROR(FIND('112'!$M$9,G4677,1)),"",IF((AND(FIND('112'!$M$9,G4677,1)&gt;=1,B4677='112'!$K$9,OR($N4677='112'!$I$6,$O4677='112'!$I$6))),"x",""))</f>
        <v/>
      </c>
      <c r="U4677" s="75" t="str">
        <f>IF(ISERROR(FIND('112'!$M$9,G4677,1)),"",IF((AND(LEFT(G4677,2)=LEFT('112'!$M$9,2),B4677&lt;'112'!$K$9,$N4677='112'!$I$6)),"x",""))</f>
        <v/>
      </c>
      <c r="V4677" s="75" t="str">
        <f>IF(ISERROR(FIND('112'!$M$9,G4677,1)),"",IF((AND(RIGHT(G4677,2)=RIGHT('112'!$M$9,2),B4677&lt;'112'!$K$9,$O4677='112'!$I$6)),"x",""))</f>
        <v/>
      </c>
      <c r="W4677" s="75" t="str">
        <f>IF(AND('341-CT'!$H$9=H4677,OR(LEFT(N4677,3)=$W$7,LEFT(O4677,3)=$W$7)),"x","")</f>
        <v/>
      </c>
      <c r="X4677" s="75" t="str">
        <f>IF(OR(TH!N3819=TH!$X$7,O4677=TH!$X$7),"x","")</f>
        <v/>
      </c>
      <c r="Y4677" s="75" t="str">
        <f>IF(AND(OR(N4677="131",O4677="131"),H4677='131-CT'!$H$9),"x","")</f>
        <v/>
      </c>
      <c r="Z4677" s="75"/>
      <c r="AA4677" s="75" t="str">
        <f>IF(AND(MONTH(E4677)='IN-NX'!$J$5,'IN-NX'!$D$7=D4677),"x","")</f>
        <v/>
      </c>
      <c r="AB4677" s="75" t="str">
        <f>IF(AND(OR(LEFT(TH!N3819,2)="15",LEFT(TH!O3819,2)="15"),LEFT(TH!O3819,3)&lt;&gt;"111",'152-CT'!$J$8=TH!F3819),"x","")</f>
        <v/>
      </c>
      <c r="AC4677" s="75" t="str">
        <f>IF(AND(OR(LEFT(TH!N3819,2)="15",LEFT(TH!O3819,2)="15"),TK!$E$7=TH!F3819),"x","")</f>
        <v/>
      </c>
      <c r="AD4677" s="75" t="str">
        <f>IF(AND(N4677="1521",MONTH(C4677)='BK-NL'!$M$11),"x","")</f>
        <v/>
      </c>
      <c r="AE4677">
        <v>8</v>
      </c>
    </row>
    <row r="4678" spans="1:31" ht="16.5" customHeight="1">
      <c r="A4678" s="309" t="str">
        <f>IF(B4678&lt;&gt;"",IF(AND(B4678='IN-TC'!$S$4,OR(TH!N4668="1111",TH!O4668="1111")),TH!D4668,""),"")</f>
        <v/>
      </c>
      <c r="B4678" s="1129">
        <f t="shared" si="1330"/>
        <v>8</v>
      </c>
      <c r="C4678" s="292">
        <f t="shared" si="1331"/>
        <v>42958</v>
      </c>
      <c r="D4678" s="292"/>
      <c r="E4678" s="292">
        <v>42958</v>
      </c>
      <c r="F4678" s="293" t="s">
        <v>2060</v>
      </c>
      <c r="G4678" s="925" t="s">
        <v>2062</v>
      </c>
      <c r="H4678" s="294" t="s">
        <v>741</v>
      </c>
      <c r="I4678" s="373"/>
      <c r="J4678" s="926"/>
      <c r="K4678" s="373"/>
      <c r="L4678" s="379"/>
      <c r="M4678" s="927">
        <v>1700000</v>
      </c>
      <c r="N4678" s="295" t="s">
        <v>539</v>
      </c>
      <c r="O4678" s="295" t="s">
        <v>63</v>
      </c>
      <c r="P4678" s="75" t="str">
        <f>IF(AND('331-CT'!$E$7=TH!H3820,OR(N4678="331",O4678="331")),"x","")</f>
        <v/>
      </c>
      <c r="Q4678" s="75" t="str">
        <f>IF(AND(B4678='111'!$L$11,OR($N4678=$Q$7,$O4678=$Q$7)),"x","")</f>
        <v/>
      </c>
      <c r="R4678" s="75" t="str">
        <f>IF(AND($N4678=$Q$7,$B4678&lt;'111'!$L$11),"x","")</f>
        <v/>
      </c>
      <c r="S4678" s="75" t="str">
        <f>IF(AND($O4678=$Q$7,$B4678&lt;'111'!$L$11),"x","")</f>
        <v>x</v>
      </c>
      <c r="T4678" s="75" t="str">
        <f>IF(ISERROR(FIND('112'!$M$9,G4678,1)),"",IF((AND(FIND('112'!$M$9,G4678,1)&gt;=1,B4678='112'!$K$9,OR($N4678='112'!$I$6,$O4678='112'!$I$6))),"x",""))</f>
        <v/>
      </c>
      <c r="U4678" s="75" t="str">
        <f>IF(ISERROR(FIND('112'!$M$9,G4678,1)),"",IF((AND(LEFT(G4678,2)=LEFT('112'!$M$9,2),B4678&lt;'112'!$K$9,$N4678='112'!$I$6)),"x",""))</f>
        <v/>
      </c>
      <c r="V4678" s="75" t="str">
        <f>IF(ISERROR(FIND('112'!$M$9,G4678,1)),"",IF((AND(RIGHT(G4678,2)=RIGHT('112'!$M$9,2),B4678&lt;'112'!$K$9,$O4678='112'!$I$6)),"x",""))</f>
        <v/>
      </c>
      <c r="W4678" s="75" t="str">
        <f>IF(AND('341-CT'!$H$9=H4678,OR(LEFT(N4678,3)=$W$7,LEFT(O4678,3)=$W$7)),"x","")</f>
        <v/>
      </c>
      <c r="X4678" s="75" t="str">
        <f>IF(OR(TH!N3820=TH!$X$7,O4678=TH!$X$7),"x","")</f>
        <v/>
      </c>
      <c r="Y4678" s="75" t="str">
        <f>IF(AND(OR(N4678="131",O4678="131"),H4678='131-CT'!$H$9),"x","")</f>
        <v/>
      </c>
      <c r="Z4678" s="75"/>
      <c r="AA4678" s="75" t="str">
        <f>IF(AND(MONTH(E4678)='IN-NX'!$J$5,'IN-NX'!$D$7=D4678),"x","")</f>
        <v/>
      </c>
      <c r="AB4678" s="75" t="str">
        <f>IF(AND(OR(LEFT(TH!N3820,2)="15",LEFT(TH!O3820,2)="15"),LEFT(TH!O3820,3)&lt;&gt;"111",'152-CT'!$J$8=TH!F3820),"x","")</f>
        <v/>
      </c>
      <c r="AC4678" s="75" t="str">
        <f>IF(AND(OR(LEFT(TH!N3820,2)="15",LEFT(TH!O3820,2)="15"),TK!$E$7=TH!F3820),"x","")</f>
        <v/>
      </c>
      <c r="AD4678" s="75" t="str">
        <f>IF(AND(N4678="1521",MONTH(C4678)='BK-NL'!$M$11),"x","")</f>
        <v/>
      </c>
      <c r="AE4678">
        <v>8</v>
      </c>
    </row>
    <row r="4679" spans="1:31" ht="16.5" customHeight="1">
      <c r="A4679" s="309" t="str">
        <f>IF(B4679&lt;&gt;"",IF(AND(B4679='IN-TC'!$S$4,OR(TH!N4669="1111",TH!O4669="1111")),TH!D4669,""),"")</f>
        <v/>
      </c>
      <c r="B4679" s="1129">
        <f t="shared" si="1330"/>
        <v>8</v>
      </c>
      <c r="C4679" s="292">
        <f t="shared" si="1331"/>
        <v>42958</v>
      </c>
      <c r="D4679" s="292"/>
      <c r="E4679" s="292">
        <v>42958</v>
      </c>
      <c r="F4679" s="293" t="s">
        <v>2061</v>
      </c>
      <c r="G4679" s="925" t="s">
        <v>2062</v>
      </c>
      <c r="H4679" s="294" t="s">
        <v>741</v>
      </c>
      <c r="I4679" s="373"/>
      <c r="J4679" s="926"/>
      <c r="K4679" s="373"/>
      <c r="L4679" s="379"/>
      <c r="M4679" s="927">
        <v>85000</v>
      </c>
      <c r="N4679" s="295" t="s">
        <v>9</v>
      </c>
      <c r="O4679" s="295" t="s">
        <v>63</v>
      </c>
      <c r="P4679" s="75" t="str">
        <f>IF(AND('331-CT'!$E$7=TH!H3821,OR(N4679="331",O4679="331")),"x","")</f>
        <v/>
      </c>
      <c r="Q4679" s="75" t="str">
        <f>IF(AND(B4679='111'!$L$11,OR($N4679=$Q$7,$O4679=$Q$7)),"x","")</f>
        <v/>
      </c>
      <c r="R4679" s="75" t="str">
        <f>IF(AND($N4679=$Q$7,$B4679&lt;'111'!$L$11),"x","")</f>
        <v/>
      </c>
      <c r="S4679" s="75" t="str">
        <f>IF(AND($O4679=$Q$7,$B4679&lt;'111'!$L$11),"x","")</f>
        <v>x</v>
      </c>
      <c r="T4679" s="75" t="str">
        <f>IF(ISERROR(FIND('112'!$M$9,G4679,1)),"",IF((AND(FIND('112'!$M$9,G4679,1)&gt;=1,B4679='112'!$K$9,OR($N4679='112'!$I$6,$O4679='112'!$I$6))),"x",""))</f>
        <v/>
      </c>
      <c r="U4679" s="75" t="str">
        <f>IF(ISERROR(FIND('112'!$M$9,G4679,1)),"",IF((AND(LEFT(G4679,2)=LEFT('112'!$M$9,2),B4679&lt;'112'!$K$9,$N4679='112'!$I$6)),"x",""))</f>
        <v/>
      </c>
      <c r="V4679" s="75" t="str">
        <f>IF(ISERROR(FIND('112'!$M$9,G4679,1)),"",IF((AND(RIGHT(G4679,2)=RIGHT('112'!$M$9,2),B4679&lt;'112'!$K$9,$O4679='112'!$I$6)),"x",""))</f>
        <v/>
      </c>
      <c r="W4679" s="75" t="str">
        <f>IF(AND('341-CT'!$H$9=H4679,OR(LEFT(N4679,3)=$W$7,LEFT(O4679,3)=$W$7)),"x","")</f>
        <v/>
      </c>
      <c r="X4679" s="75" t="str">
        <f>IF(OR(TH!N3821=TH!$X$7,O4679=TH!$X$7),"x","")</f>
        <v/>
      </c>
      <c r="Y4679" s="75" t="str">
        <f>IF(AND(OR(N4679="131",O4679="131"),H4679='131-CT'!$H$9),"x","")</f>
        <v/>
      </c>
      <c r="Z4679" s="75"/>
      <c r="AA4679" s="75" t="str">
        <f>IF(AND(MONTH(E4679)='IN-NX'!$J$5,'IN-NX'!$D$7=D4679),"x","")</f>
        <v/>
      </c>
      <c r="AB4679" s="75" t="str">
        <f>IF(AND(OR(LEFT(TH!N3821,2)="15",LEFT(TH!O3821,2)="15"),LEFT(TH!O3821,3)&lt;&gt;"111",'152-CT'!$J$8=TH!F3821),"x","")</f>
        <v/>
      </c>
      <c r="AC4679" s="75" t="str">
        <f>IF(AND(OR(LEFT(TH!N3821,2)="15",LEFT(TH!O3821,2)="15"),TK!$E$7=TH!F3821),"x","")</f>
        <v/>
      </c>
      <c r="AD4679" s="75" t="str">
        <f>IF(AND(N4679="1521",MONTH(C4679)='BK-NL'!$M$11),"x","")</f>
        <v/>
      </c>
      <c r="AE4679">
        <v>8</v>
      </c>
    </row>
    <row r="4680" spans="1:31" ht="16.5" customHeight="1">
      <c r="A4680" s="309" t="str">
        <f>IF(B4680&lt;&gt;"",IF(AND(B4680='IN-TC'!$S$4,OR(TH!N4670="1111",TH!O4670="1111")),TH!D4670,""),"")</f>
        <v/>
      </c>
      <c r="B4680" s="1129">
        <f t="shared" si="1330"/>
        <v>8</v>
      </c>
      <c r="C4680" s="292">
        <f t="shared" si="1331"/>
        <v>42958</v>
      </c>
      <c r="D4680" s="292"/>
      <c r="E4680" s="292">
        <v>42958</v>
      </c>
      <c r="F4680" s="67" t="s">
        <v>1165</v>
      </c>
      <c r="G4680" s="925" t="s">
        <v>2142</v>
      </c>
      <c r="H4680" s="294" t="s">
        <v>1684</v>
      </c>
      <c r="I4680" s="373"/>
      <c r="J4680" s="926"/>
      <c r="K4680" s="373"/>
      <c r="L4680" s="379"/>
      <c r="M4680" s="927">
        <v>19762050</v>
      </c>
      <c r="N4680" s="295" t="s">
        <v>8</v>
      </c>
      <c r="O4680" s="295" t="s">
        <v>63</v>
      </c>
      <c r="P4680" s="75" t="str">
        <f>IF(AND('331-CT'!$E$7=TH!H3822,OR(N4680="331",O4680="331")),"x","")</f>
        <v/>
      </c>
      <c r="Q4680" s="75" t="str">
        <f>IF(AND(B4680='111'!$L$11,OR($N4680=$Q$7,$O4680=$Q$7)),"x","")</f>
        <v/>
      </c>
      <c r="R4680" s="75" t="str">
        <f>IF(AND($N4680=$Q$7,$B4680&lt;'111'!$L$11),"x","")</f>
        <v/>
      </c>
      <c r="S4680" s="75" t="str">
        <f>IF(AND($O4680=$Q$7,$B4680&lt;'111'!$L$11),"x","")</f>
        <v>x</v>
      </c>
      <c r="T4680" s="75" t="str">
        <f>IF(ISERROR(FIND('112'!$M$9,G4680,1)),"",IF((AND(FIND('112'!$M$9,G4680,1)&gt;=1,B4680='112'!$K$9,OR($N4680='112'!$I$6,$O4680='112'!$I$6))),"x",""))</f>
        <v/>
      </c>
      <c r="U4680" s="75" t="str">
        <f>IF(ISERROR(FIND('112'!$M$9,G4680,1)),"",IF((AND(LEFT(G4680,2)=LEFT('112'!$M$9,2),B4680&lt;'112'!$K$9,$N4680='112'!$I$6)),"x",""))</f>
        <v/>
      </c>
      <c r="V4680" s="75" t="str">
        <f>IF(ISERROR(FIND('112'!$M$9,G4680,1)),"",IF((AND(RIGHT(G4680,2)=RIGHT('112'!$M$9,2),B4680&lt;'112'!$K$9,$O4680='112'!$I$6)),"x",""))</f>
        <v/>
      </c>
      <c r="W4680" s="75" t="str">
        <f>IF(AND('341-CT'!$H$9=H4680,OR(LEFT(N4680,3)=$W$7,LEFT(O4680,3)=$W$7)),"x","")</f>
        <v/>
      </c>
      <c r="X4680" s="75" t="str">
        <f>IF(OR(TH!N3822=TH!$X$7,O4680=TH!$X$7),"x","")</f>
        <v/>
      </c>
      <c r="Y4680" s="75" t="str">
        <f>IF(AND(OR(N4680="131",O4680="131"),H4680='131-CT'!$H$9),"x","")</f>
        <v/>
      </c>
      <c r="Z4680" s="75"/>
      <c r="AA4680" s="75" t="str">
        <f>IF(AND(MONTH(E4680)='IN-NX'!$J$5,'IN-NX'!$D$7=D4680),"x","")</f>
        <v/>
      </c>
      <c r="AB4680" s="75" t="str">
        <f>IF(AND(OR(LEFT(TH!N3822,2)="15",LEFT(TH!O3822,2)="15"),LEFT(TH!O3822,3)&lt;&gt;"111",'152-CT'!$J$8=TH!F3822),"x","")</f>
        <v/>
      </c>
      <c r="AC4680" s="75" t="str">
        <f>IF(AND(OR(LEFT(TH!N3822,2)="15",LEFT(TH!O3822,2)="15"),TK!$E$7=TH!F3822),"x","")</f>
        <v/>
      </c>
      <c r="AD4680" s="75" t="str">
        <f>IF(AND(N4680="1521",MONTH(C4680)='BK-NL'!$M$11),"x","")</f>
        <v/>
      </c>
    </row>
    <row r="4681" spans="1:31" ht="16.5" customHeight="1">
      <c r="A4681" s="309" t="str">
        <f>IF(B4681&lt;&gt;"",IF(AND(B4681='IN-TC'!$S$4,OR(TH!N4671="1111",TH!O4671="1111")),TH!D4671,""),"")</f>
        <v/>
      </c>
      <c r="B4681" s="1129">
        <f t="shared" si="1330"/>
        <v>8</v>
      </c>
      <c r="C4681" s="292">
        <f t="shared" si="1331"/>
        <v>42958</v>
      </c>
      <c r="D4681" s="59" t="s">
        <v>902</v>
      </c>
      <c r="E4681" s="59">
        <v>42958</v>
      </c>
      <c r="F4681" s="67" t="s">
        <v>897</v>
      </c>
      <c r="G4681" s="62" t="s">
        <v>747</v>
      </c>
      <c r="H4681" s="294" t="s">
        <v>789</v>
      </c>
      <c r="I4681" s="373"/>
      <c r="J4681" s="379"/>
      <c r="K4681" s="373"/>
      <c r="L4681" s="379"/>
      <c r="M4681" s="60">
        <v>3786965000</v>
      </c>
      <c r="N4681" s="61" t="s">
        <v>8</v>
      </c>
      <c r="O4681" s="61" t="s">
        <v>26</v>
      </c>
      <c r="P4681" s="75" t="str">
        <f>IF(AND('331-CT'!$E$7=TH!H5403,OR(N4681="331",O4681="331")),"x","")</f>
        <v/>
      </c>
      <c r="Q4681" s="75" t="str">
        <f>IF(AND(B4681='111'!$L$11,OR($N4681=$Q$7,$O4681=$Q$7)),"x","")</f>
        <v/>
      </c>
      <c r="R4681" s="75" t="str">
        <f>IF(AND($N4681=$Q$7,$B4681&lt;'111'!$L$11),"x","")</f>
        <v/>
      </c>
      <c r="S4681" s="75" t="str">
        <f>IF(AND($O4681=$Q$7,$B4681&lt;'111'!$L$11),"x","")</f>
        <v/>
      </c>
      <c r="T4681" s="75" t="str">
        <f>IF(ISERROR(FIND('112'!$M$9,G4681,1)),"",IF((AND(FIND('112'!$M$9,G4681,1)&gt;=1,B4681='112'!$K$9,OR($N4681='112'!$I$6,$O4681='112'!$I$6))),"x",""))</f>
        <v/>
      </c>
      <c r="U4681" s="75" t="str">
        <f>IF(ISERROR(FIND('112'!$M$9,G4681,1)),"",IF((AND(LEFT(G4681,2)=LEFT('112'!$M$9,2),B4681&lt;'112'!$K$9,$N4681='112'!$I$6)),"x",""))</f>
        <v/>
      </c>
      <c r="V4681" s="75" t="str">
        <f>IF(ISERROR(FIND('112'!$M$9,G4681,1)),"",IF((AND(RIGHT(G4681,2)=RIGHT('112'!$M$9,2),B4681&lt;'112'!$K$9,$O4681='112'!$I$6)),"x",""))</f>
        <v/>
      </c>
      <c r="W4681" s="75" t="str">
        <f>IF(AND('341-CT'!$H$9=H4681,OR(LEFT(N4681,3)=$W$7,LEFT(O4681,3)=$W$7)),"x","")</f>
        <v/>
      </c>
      <c r="X4681" s="75" t="str">
        <f>IF(OR(TH!N5403=TH!$X$7,O4681=TH!$X$7),"x","")</f>
        <v/>
      </c>
      <c r="Y4681" s="75" t="str">
        <f>IF(AND(OR(N4681="131",O4681="131"),H4681='131-CT'!$H$9),"x","")</f>
        <v/>
      </c>
      <c r="Z4681" s="75"/>
      <c r="AA4681" s="75" t="str">
        <f>IF(AND(MONTH(E4681)='IN-NX'!$J$5,'IN-NX'!$D$7=D4681),"x","")</f>
        <v/>
      </c>
      <c r="AB4681" s="75" t="str">
        <f>IF(AND(OR(LEFT(TH!N5403,2)="15",LEFT(TH!O5403,2)="15"),LEFT(TH!O5403,3)&lt;&gt;"111",'152-CT'!$J$8=TH!F5403),"x","")</f>
        <v/>
      </c>
      <c r="AC4681" s="75" t="str">
        <f>IF(AND(OR(LEFT(TH!N5403,2)="15",LEFT(TH!O5403,2)="15"),TK!$E$7=TH!F5403),"x","")</f>
        <v/>
      </c>
      <c r="AD4681" s="75" t="str">
        <f>IF(AND(N4681="1521",MONTH(C4681)='BK-NL'!$M$11),"x","")</f>
        <v/>
      </c>
    </row>
    <row r="4682" spans="1:31" ht="16.5" customHeight="1">
      <c r="A4682" s="309" t="str">
        <f>IF(B4682&lt;&gt;"",IF(AND(B4682='IN-TC'!$S$4,OR(TH!N4672="1111",TH!O4672="1111")),TH!D4672,""),"")</f>
        <v/>
      </c>
      <c r="B4682" s="1129">
        <f t="shared" si="1330"/>
        <v>8</v>
      </c>
      <c r="C4682" s="292">
        <f t="shared" si="1331"/>
        <v>42960</v>
      </c>
      <c r="D4682" s="292"/>
      <c r="E4682" s="292">
        <v>42960</v>
      </c>
      <c r="F4682" s="67" t="s">
        <v>1165</v>
      </c>
      <c r="G4682" s="925" t="s">
        <v>2143</v>
      </c>
      <c r="H4682" s="294" t="s">
        <v>1684</v>
      </c>
      <c r="I4682" s="373"/>
      <c r="J4682" s="926"/>
      <c r="K4682" s="373"/>
      <c r="L4682" s="379"/>
      <c r="M4682" s="927">
        <v>19762050</v>
      </c>
      <c r="N4682" s="295" t="s">
        <v>8</v>
      </c>
      <c r="O4682" s="295" t="s">
        <v>63</v>
      </c>
      <c r="P4682" s="75" t="str">
        <f>IF(AND('331-CT'!$E$7=TH!H3823,OR(N4682="331",O4682="331")),"x","")</f>
        <v/>
      </c>
      <c r="Q4682" s="75" t="str">
        <f>IF(AND(B4682='111'!$L$11,OR($N4682=$Q$7,$O4682=$Q$7)),"x","")</f>
        <v/>
      </c>
      <c r="R4682" s="75" t="str">
        <f>IF(AND($N4682=$Q$7,$B4682&lt;'111'!$L$11),"x","")</f>
        <v/>
      </c>
      <c r="S4682" s="75" t="str">
        <f>IF(AND($O4682=$Q$7,$B4682&lt;'111'!$L$11),"x","")</f>
        <v>x</v>
      </c>
      <c r="T4682" s="75" t="str">
        <f>IF(ISERROR(FIND('112'!$M$9,G4682,1)),"",IF((AND(FIND('112'!$M$9,G4682,1)&gt;=1,B4682='112'!$K$9,OR($N4682='112'!$I$6,$O4682='112'!$I$6))),"x",""))</f>
        <v/>
      </c>
      <c r="U4682" s="75" t="str">
        <f>IF(ISERROR(FIND('112'!$M$9,G4682,1)),"",IF((AND(LEFT(G4682,2)=LEFT('112'!$M$9,2),B4682&lt;'112'!$K$9,$N4682='112'!$I$6)),"x",""))</f>
        <v/>
      </c>
      <c r="V4682" s="75" t="str">
        <f>IF(ISERROR(FIND('112'!$M$9,G4682,1)),"",IF((AND(RIGHT(G4682,2)=RIGHT('112'!$M$9,2),B4682&lt;'112'!$K$9,$O4682='112'!$I$6)),"x",""))</f>
        <v/>
      </c>
      <c r="W4682" s="75" t="str">
        <f>IF(AND('341-CT'!$H$9=H4682,OR(LEFT(N4682,3)=$W$7,LEFT(O4682,3)=$W$7)),"x","")</f>
        <v/>
      </c>
      <c r="X4682" s="75" t="str">
        <f>IF(OR(TH!N3823=TH!$X$7,O4682=TH!$X$7),"x","")</f>
        <v/>
      </c>
      <c r="Y4682" s="75" t="str">
        <f>IF(AND(OR(N4682="131",O4682="131"),H4682='131-CT'!$H$9),"x","")</f>
        <v/>
      </c>
      <c r="Z4682" s="75"/>
      <c r="AA4682" s="75" t="str">
        <f>IF(AND(MONTH(E4682)='IN-NX'!$J$5,'IN-NX'!$D$7=D4682),"x","")</f>
        <v/>
      </c>
      <c r="AB4682" s="75" t="str">
        <f>IF(AND(OR(LEFT(TH!N3823,2)="15",LEFT(TH!O3823,2)="15"),LEFT(TH!O3823,3)&lt;&gt;"111",'152-CT'!$J$8=TH!F3823),"x","")</f>
        <v/>
      </c>
      <c r="AC4682" s="75" t="str">
        <f>IF(AND(OR(LEFT(TH!N3823,2)="15",LEFT(TH!O3823,2)="15"),TK!$E$7=TH!F3823),"x","")</f>
        <v/>
      </c>
      <c r="AD4682" s="75" t="str">
        <f>IF(AND(N4682="1521",MONTH(C4682)='BK-NL'!$M$11),"x","")</f>
        <v/>
      </c>
    </row>
    <row r="4683" spans="1:31" ht="16.5" customHeight="1">
      <c r="A4683" s="309" t="str">
        <f>IF(B4683&lt;&gt;"",IF(AND(B4683='IN-TC'!$S$4,OR(TH!N4673="1111",TH!O4673="1111")),TH!D4673,""),"")</f>
        <v/>
      </c>
      <c r="B4683" s="1129">
        <f t="shared" si="1330"/>
        <v>8</v>
      </c>
      <c r="C4683" s="292">
        <f t="shared" si="1331"/>
        <v>42961</v>
      </c>
      <c r="D4683" s="292"/>
      <c r="E4683" s="292">
        <v>42961</v>
      </c>
      <c r="F4683" s="293" t="s">
        <v>1499</v>
      </c>
      <c r="G4683" s="925" t="s">
        <v>2063</v>
      </c>
      <c r="H4683" s="294" t="s">
        <v>893</v>
      </c>
      <c r="I4683" s="373"/>
      <c r="J4683" s="926"/>
      <c r="K4683" s="373"/>
      <c r="L4683" s="379"/>
      <c r="M4683" s="927">
        <v>1829800</v>
      </c>
      <c r="N4683" s="295" t="s">
        <v>101</v>
      </c>
      <c r="O4683" s="295" t="s">
        <v>63</v>
      </c>
      <c r="P4683" s="75" t="str">
        <f>IF(AND('331-CT'!$E$7=TH!H3824,OR(N4683="331",O4683="331")),"x","")</f>
        <v/>
      </c>
      <c r="Q4683" s="75" t="str">
        <f>IF(AND(B4683='111'!$L$11,OR($N4683=$Q$7,$O4683=$Q$7)),"x","")</f>
        <v/>
      </c>
      <c r="R4683" s="75" t="str">
        <f>IF(AND($N4683=$Q$7,$B4683&lt;'111'!$L$11),"x","")</f>
        <v/>
      </c>
      <c r="S4683" s="75" t="str">
        <f>IF(AND($O4683=$Q$7,$B4683&lt;'111'!$L$11),"x","")</f>
        <v>x</v>
      </c>
      <c r="T4683" s="75" t="str">
        <f>IF(ISERROR(FIND('112'!$M$9,G4683,1)),"",IF((AND(FIND('112'!$M$9,G4683,1)&gt;=1,B4683='112'!$K$9,OR($N4683='112'!$I$6,$O4683='112'!$I$6))),"x",""))</f>
        <v/>
      </c>
      <c r="U4683" s="75" t="str">
        <f>IF(ISERROR(FIND('112'!$M$9,G4683,1)),"",IF((AND(LEFT(G4683,2)=LEFT('112'!$M$9,2),B4683&lt;'112'!$K$9,$N4683='112'!$I$6)),"x",""))</f>
        <v/>
      </c>
      <c r="V4683" s="75" t="str">
        <f>IF(ISERROR(FIND('112'!$M$9,G4683,1)),"",IF((AND(RIGHT(G4683,2)=RIGHT('112'!$M$9,2),B4683&lt;'112'!$K$9,$O4683='112'!$I$6)),"x",""))</f>
        <v/>
      </c>
      <c r="W4683" s="75" t="str">
        <f>IF(AND('341-CT'!$H$9=H4683,OR(LEFT(N4683,3)=$W$7,LEFT(O4683,3)=$W$7)),"x","")</f>
        <v/>
      </c>
      <c r="X4683" s="75" t="str">
        <f>IF(OR(TH!N3824=TH!$X$7,O4683=TH!$X$7),"x","")</f>
        <v/>
      </c>
      <c r="Y4683" s="75" t="str">
        <f>IF(AND(OR(N4683="131",O4683="131"),H4683='131-CT'!$H$9),"x","")</f>
        <v/>
      </c>
      <c r="Z4683" s="75"/>
      <c r="AA4683" s="75" t="str">
        <f>IF(AND(MONTH(E4683)='IN-NX'!$J$5,'IN-NX'!$D$7=D4683),"x","")</f>
        <v/>
      </c>
      <c r="AB4683" s="75" t="str">
        <f>IF(AND(OR(LEFT(TH!N3824,2)="15",LEFT(TH!O3824,2)="15"),LEFT(TH!O3824,3)&lt;&gt;"111",'152-CT'!$J$8=TH!F3824),"x","")</f>
        <v/>
      </c>
      <c r="AC4683" s="75" t="str">
        <f>IF(AND(OR(LEFT(TH!N3824,2)="15",LEFT(TH!O3824,2)="15"),TK!$E$7=TH!F3824),"x","")</f>
        <v/>
      </c>
      <c r="AD4683" s="75" t="str">
        <f>IF(AND(N4683="1521",MONTH(C4683)='BK-NL'!$M$11),"x","")</f>
        <v/>
      </c>
      <c r="AE4683">
        <v>8</v>
      </c>
    </row>
    <row r="4684" spans="1:31" ht="16.5" customHeight="1">
      <c r="A4684" s="309" t="str">
        <f>IF(B4684&lt;&gt;"",IF(AND(B4684='IN-TC'!$S$4,OR(TH!N4674="1111",TH!O4674="1111")),TH!D4674,""),"")</f>
        <v/>
      </c>
      <c r="B4684" s="1129">
        <f t="shared" si="1330"/>
        <v>8</v>
      </c>
      <c r="C4684" s="292">
        <f t="shared" si="1331"/>
        <v>42961</v>
      </c>
      <c r="D4684" s="292"/>
      <c r="E4684" s="292">
        <v>42961</v>
      </c>
      <c r="F4684" s="293" t="s">
        <v>1500</v>
      </c>
      <c r="G4684" s="925" t="s">
        <v>2063</v>
      </c>
      <c r="H4684" s="294" t="s">
        <v>893</v>
      </c>
      <c r="I4684" s="373"/>
      <c r="J4684" s="926"/>
      <c r="K4684" s="373"/>
      <c r="L4684" s="379"/>
      <c r="M4684" s="927">
        <v>182980</v>
      </c>
      <c r="N4684" s="295" t="s">
        <v>9</v>
      </c>
      <c r="O4684" s="295" t="s">
        <v>63</v>
      </c>
      <c r="P4684" s="75" t="str">
        <f>IF(AND('331-CT'!$E$7=TH!H3825,OR(N4684="331",O4684="331")),"x","")</f>
        <v/>
      </c>
      <c r="Q4684" s="75" t="str">
        <f>IF(AND(B4684='111'!$L$11,OR($N4684=$Q$7,$O4684=$Q$7)),"x","")</f>
        <v/>
      </c>
      <c r="R4684" s="75" t="str">
        <f>IF(AND($N4684=$Q$7,$B4684&lt;'111'!$L$11),"x","")</f>
        <v/>
      </c>
      <c r="S4684" s="75" t="str">
        <f>IF(AND($O4684=$Q$7,$B4684&lt;'111'!$L$11),"x","")</f>
        <v>x</v>
      </c>
      <c r="T4684" s="75" t="str">
        <f>IF(ISERROR(FIND('112'!$M$9,G4684,1)),"",IF((AND(FIND('112'!$M$9,G4684,1)&gt;=1,B4684='112'!$K$9,OR($N4684='112'!$I$6,$O4684='112'!$I$6))),"x",""))</f>
        <v/>
      </c>
      <c r="U4684" s="75" t="str">
        <f>IF(ISERROR(FIND('112'!$M$9,G4684,1)),"",IF((AND(LEFT(G4684,2)=LEFT('112'!$M$9,2),B4684&lt;'112'!$K$9,$N4684='112'!$I$6)),"x",""))</f>
        <v/>
      </c>
      <c r="V4684" s="75" t="str">
        <f>IF(ISERROR(FIND('112'!$M$9,G4684,1)),"",IF((AND(RIGHT(G4684,2)=RIGHT('112'!$M$9,2),B4684&lt;'112'!$K$9,$O4684='112'!$I$6)),"x",""))</f>
        <v/>
      </c>
      <c r="W4684" s="75" t="str">
        <f>IF(AND('341-CT'!$H$9=H4684,OR(LEFT(N4684,3)=$W$7,LEFT(O4684,3)=$W$7)),"x","")</f>
        <v/>
      </c>
      <c r="X4684" s="75" t="str">
        <f>IF(OR(TH!N3825=TH!$X$7,O4684=TH!$X$7),"x","")</f>
        <v/>
      </c>
      <c r="Y4684" s="75" t="str">
        <f>IF(AND(OR(N4684="131",O4684="131"),H4684='131-CT'!$H$9),"x","")</f>
        <v/>
      </c>
      <c r="Z4684" s="75"/>
      <c r="AA4684" s="75" t="str">
        <f>IF(AND(MONTH(E4684)='IN-NX'!$J$5,'IN-NX'!$D$7=D4684),"x","")</f>
        <v/>
      </c>
      <c r="AB4684" s="75" t="str">
        <f>IF(AND(OR(LEFT(TH!N3825,2)="15",LEFT(TH!O3825,2)="15"),LEFT(TH!O3825,3)&lt;&gt;"111",'152-CT'!$J$8=TH!F3825),"x","")</f>
        <v/>
      </c>
      <c r="AC4684" s="75" t="str">
        <f>IF(AND(OR(LEFT(TH!N3825,2)="15",LEFT(TH!O3825,2)="15"),TK!$E$7=TH!F3825),"x","")</f>
        <v/>
      </c>
      <c r="AD4684" s="75" t="str">
        <f>IF(AND(N4684="1521",MONTH(C4684)='BK-NL'!$M$11),"x","")</f>
        <v/>
      </c>
      <c r="AE4684">
        <v>8</v>
      </c>
    </row>
    <row r="4685" spans="1:31" ht="16.5" customHeight="1">
      <c r="A4685" s="309" t="str">
        <f>IF(B4685&lt;&gt;"",IF(AND(B4685='IN-TC'!$S$4,OR(TH!N4675="1111",TH!O4675="1111")),TH!D4675,""),"")</f>
        <v/>
      </c>
      <c r="B4685" s="1129">
        <f t="shared" si="1330"/>
        <v>8</v>
      </c>
      <c r="C4685" s="292">
        <f t="shared" si="1331"/>
        <v>42961</v>
      </c>
      <c r="D4685" s="59" t="s">
        <v>902</v>
      </c>
      <c r="E4685" s="59">
        <v>42961</v>
      </c>
      <c r="F4685" s="907" t="s">
        <v>1027</v>
      </c>
      <c r="G4685" s="62" t="s">
        <v>747</v>
      </c>
      <c r="H4685" s="67" t="s">
        <v>759</v>
      </c>
      <c r="I4685" s="373"/>
      <c r="J4685" s="379"/>
      <c r="K4685" s="373"/>
      <c r="L4685" s="379"/>
      <c r="M4685" s="60">
        <v>2504150</v>
      </c>
      <c r="N4685" s="61" t="s">
        <v>101</v>
      </c>
      <c r="O4685" s="61" t="s">
        <v>26</v>
      </c>
      <c r="P4685" s="75" t="str">
        <f>IF(AND('331-CT'!$E$7=TH!H5404,OR(N4685="331",O4685="331")),"x","")</f>
        <v/>
      </c>
      <c r="Q4685" s="75" t="str">
        <f>IF(AND(B4685='111'!$L$11,OR($N4685=$Q$7,$O4685=$Q$7)),"x","")</f>
        <v/>
      </c>
      <c r="R4685" s="75" t="str">
        <f>IF(AND($N4685=$Q$7,$B4685&lt;'111'!$L$11),"x","")</f>
        <v/>
      </c>
      <c r="S4685" s="75" t="str">
        <f>IF(AND($O4685=$Q$7,$B4685&lt;'111'!$L$11),"x","")</f>
        <v/>
      </c>
      <c r="T4685" s="75" t="str">
        <f>IF(ISERROR(FIND('112'!$M$9,G4685,1)),"",IF((AND(FIND('112'!$M$9,G4685,1)&gt;=1,B4685='112'!$K$9,OR($N4685='112'!$I$6,$O4685='112'!$I$6))),"x",""))</f>
        <v/>
      </c>
      <c r="U4685" s="75" t="str">
        <f>IF(ISERROR(FIND('112'!$M$9,G4685,1)),"",IF((AND(LEFT(G4685,2)=LEFT('112'!$M$9,2),B4685&lt;'112'!$K$9,$N4685='112'!$I$6)),"x",""))</f>
        <v/>
      </c>
      <c r="V4685" s="75" t="str">
        <f>IF(ISERROR(FIND('112'!$M$9,G4685,1)),"",IF((AND(RIGHT(G4685,2)=RIGHT('112'!$M$9,2),B4685&lt;'112'!$K$9,$O4685='112'!$I$6)),"x",""))</f>
        <v/>
      </c>
      <c r="W4685" s="75" t="str">
        <f>IF(AND('341-CT'!$H$9=H4685,OR(LEFT(N4685,3)=$W$7,LEFT(O4685,3)=$W$7)),"x","")</f>
        <v/>
      </c>
      <c r="X4685" s="75" t="str">
        <f>IF(OR(TH!N5404=TH!$X$7,O4685=TH!$X$7),"x","")</f>
        <v/>
      </c>
      <c r="Y4685" s="75" t="str">
        <f>IF(AND(OR(N4685="131",O4685="131"),H4685='131-CT'!$H$9),"x","")</f>
        <v/>
      </c>
      <c r="Z4685" s="75"/>
      <c r="AA4685" s="75" t="str">
        <f>IF(AND(MONTH(E4685)='IN-NX'!$J$5,'IN-NX'!$D$7=D4685),"x","")</f>
        <v/>
      </c>
      <c r="AB4685" s="75" t="str">
        <f>IF(AND(OR(LEFT(TH!N5404,2)="15",LEFT(TH!O5404,2)="15"),LEFT(TH!O5404,3)&lt;&gt;"111",'152-CT'!$J$8=TH!F5404),"x","")</f>
        <v/>
      </c>
      <c r="AC4685" s="75" t="str">
        <f>IF(AND(OR(LEFT(TH!N5404,2)="15",LEFT(TH!O5404,2)="15"),TK!$E$7=TH!F5404),"x","")</f>
        <v/>
      </c>
      <c r="AD4685" s="75" t="str">
        <f>IF(AND(N4685="1521",MONTH(C4685)='BK-NL'!$M$11),"x","")</f>
        <v/>
      </c>
    </row>
    <row r="4686" spans="1:31" ht="16.5" customHeight="1">
      <c r="A4686" s="309" t="str">
        <f>IF(B4686&lt;&gt;"",IF(AND(B4686='IN-TC'!$S$4,OR(TH!N4676="1111",TH!O4676="1111")),TH!D4676,""),"")</f>
        <v/>
      </c>
      <c r="B4686" s="1129">
        <f t="shared" si="1330"/>
        <v>8</v>
      </c>
      <c r="C4686" s="292">
        <f t="shared" si="1331"/>
        <v>42962</v>
      </c>
      <c r="D4686" s="292"/>
      <c r="E4686" s="292">
        <v>42962</v>
      </c>
      <c r="F4686" s="293" t="s">
        <v>2242</v>
      </c>
      <c r="G4686" s="925"/>
      <c r="H4686" s="294" t="s">
        <v>948</v>
      </c>
      <c r="I4686" s="373"/>
      <c r="J4686" s="926"/>
      <c r="K4686" s="373"/>
      <c r="L4686" s="379"/>
      <c r="M4686" s="927">
        <v>527273</v>
      </c>
      <c r="N4686" s="295" t="s">
        <v>539</v>
      </c>
      <c r="O4686" s="295" t="s">
        <v>63</v>
      </c>
      <c r="P4686" s="75" t="str">
        <f>IF(AND('331-CT'!$E$7=TH!H3826,OR(N4686="331",O4686="331")),"x","")</f>
        <v/>
      </c>
      <c r="Q4686" s="75" t="str">
        <f>IF(AND(B4686='111'!$L$11,OR($N4686=$Q$7,$O4686=$Q$7)),"x","")</f>
        <v/>
      </c>
      <c r="R4686" s="75" t="str">
        <f>IF(AND($N4686=$Q$7,$B4686&lt;'111'!$L$11),"x","")</f>
        <v/>
      </c>
      <c r="S4686" s="75" t="str">
        <f>IF(AND($O4686=$Q$7,$B4686&lt;'111'!$L$11),"x","")</f>
        <v>x</v>
      </c>
      <c r="T4686" s="75" t="str">
        <f>IF(ISERROR(FIND('112'!$M$9,G4686,1)),"",IF((AND(FIND('112'!$M$9,G4686,1)&gt;=1,B4686='112'!$K$9,OR($N4686='112'!$I$6,$O4686='112'!$I$6))),"x",""))</f>
        <v/>
      </c>
      <c r="U4686" s="75" t="str">
        <f>IF(ISERROR(FIND('112'!$M$9,G4686,1)),"",IF((AND(LEFT(G4686,2)=LEFT('112'!$M$9,2),B4686&lt;'112'!$K$9,$N4686='112'!$I$6)),"x",""))</f>
        <v/>
      </c>
      <c r="V4686" s="75" t="str">
        <f>IF(ISERROR(FIND('112'!$M$9,G4686,1)),"",IF((AND(RIGHT(G4686,2)=RIGHT('112'!$M$9,2),B4686&lt;'112'!$K$9,$O4686='112'!$I$6)),"x",""))</f>
        <v/>
      </c>
      <c r="W4686" s="75" t="str">
        <f>IF(AND('341-CT'!$H$9=H4686,OR(LEFT(N4686,3)=$W$7,LEFT(O4686,3)=$W$7)),"x","")</f>
        <v/>
      </c>
      <c r="X4686" s="75" t="str">
        <f>IF(OR(TH!N3826=TH!$X$7,O4686=TH!$X$7),"x","")</f>
        <v/>
      </c>
      <c r="Y4686" s="75" t="str">
        <f>IF(AND(OR(N4686="131",O4686="131"),H4686='131-CT'!$H$9),"x","")</f>
        <v/>
      </c>
      <c r="Z4686" s="75"/>
      <c r="AA4686" s="75" t="str">
        <f>IF(AND(MONTH(E4686)='IN-NX'!$J$5,'IN-NX'!$D$7=D4686),"x","")</f>
        <v/>
      </c>
      <c r="AB4686" s="75" t="str">
        <f>IF(AND(OR(LEFT(TH!N3826,2)="15",LEFT(TH!O3826,2)="15"),LEFT(TH!O3826,3)&lt;&gt;"111",'152-CT'!$J$8=TH!F3826),"x","")</f>
        <v/>
      </c>
      <c r="AC4686" s="75" t="str">
        <f>IF(AND(OR(LEFT(TH!N3826,2)="15",LEFT(TH!O3826,2)="15"),TK!$E$7=TH!F3826),"x","")</f>
        <v/>
      </c>
      <c r="AD4686" s="75" t="str">
        <f>IF(AND(N4686="1521",MONTH(C4686)='BK-NL'!$M$11),"x","")</f>
        <v/>
      </c>
      <c r="AE4686">
        <v>10</v>
      </c>
    </row>
    <row r="4687" spans="1:31" ht="16.5" customHeight="1">
      <c r="A4687" s="309" t="str">
        <f>IF(B4687&lt;&gt;"",IF(AND(B4687='IN-TC'!$S$4,OR(TH!N4677="1111",TH!O4677="1111")),TH!D4677,""),"")</f>
        <v/>
      </c>
      <c r="B4687" s="1129">
        <f t="shared" si="1330"/>
        <v>8</v>
      </c>
      <c r="C4687" s="292">
        <f t="shared" si="1331"/>
        <v>42962</v>
      </c>
      <c r="D4687" s="292"/>
      <c r="E4687" s="292">
        <v>42962</v>
      </c>
      <c r="F4687" s="293" t="s">
        <v>2243</v>
      </c>
      <c r="G4687" s="925"/>
      <c r="H4687" s="294" t="s">
        <v>948</v>
      </c>
      <c r="I4687" s="373"/>
      <c r="J4687" s="926"/>
      <c r="K4687" s="373"/>
      <c r="L4687" s="379"/>
      <c r="M4687" s="927">
        <v>52727</v>
      </c>
      <c r="N4687" s="295" t="s">
        <v>9</v>
      </c>
      <c r="O4687" s="295" t="s">
        <v>63</v>
      </c>
      <c r="P4687" s="75" t="str">
        <f>IF(AND('331-CT'!$E$7=TH!H3827,OR(N4687="331",O4687="331")),"x","")</f>
        <v/>
      </c>
      <c r="Q4687" s="75" t="str">
        <f>IF(AND(B4687='111'!$L$11,OR($N4687=$Q$7,$O4687=$Q$7)),"x","")</f>
        <v/>
      </c>
      <c r="R4687" s="75" t="str">
        <f>IF(AND($N4687=$Q$7,$B4687&lt;'111'!$L$11),"x","")</f>
        <v/>
      </c>
      <c r="S4687" s="75" t="str">
        <f>IF(AND($O4687=$Q$7,$B4687&lt;'111'!$L$11),"x","")</f>
        <v>x</v>
      </c>
      <c r="T4687" s="75" t="str">
        <f>IF(ISERROR(FIND('112'!$M$9,G4687,1)),"",IF((AND(FIND('112'!$M$9,G4687,1)&gt;=1,B4687='112'!$K$9,OR($N4687='112'!$I$6,$O4687='112'!$I$6))),"x",""))</f>
        <v/>
      </c>
      <c r="U4687" s="75" t="str">
        <f>IF(ISERROR(FIND('112'!$M$9,G4687,1)),"",IF((AND(LEFT(G4687,2)=LEFT('112'!$M$9,2),B4687&lt;'112'!$K$9,$N4687='112'!$I$6)),"x",""))</f>
        <v/>
      </c>
      <c r="V4687" s="75" t="str">
        <f>IF(ISERROR(FIND('112'!$M$9,G4687,1)),"",IF((AND(RIGHT(G4687,2)=RIGHT('112'!$M$9,2),B4687&lt;'112'!$K$9,$O4687='112'!$I$6)),"x",""))</f>
        <v/>
      </c>
      <c r="W4687" s="75" t="str">
        <f>IF(AND('341-CT'!$H$9=H4687,OR(LEFT(N4687,3)=$W$7,LEFT(O4687,3)=$W$7)),"x","")</f>
        <v/>
      </c>
      <c r="X4687" s="75" t="str">
        <f>IF(OR(TH!N3827=TH!$X$7,O4687=TH!$X$7),"x","")</f>
        <v/>
      </c>
      <c r="Y4687" s="75" t="str">
        <f>IF(AND(OR(N4687="131",O4687="131"),H4687='131-CT'!$H$9),"x","")</f>
        <v/>
      </c>
      <c r="Z4687" s="75"/>
      <c r="AA4687" s="75" t="str">
        <f>IF(AND(MONTH(E4687)='IN-NX'!$J$5,'IN-NX'!$D$7=D4687),"x","")</f>
        <v/>
      </c>
      <c r="AB4687" s="75" t="str">
        <f>IF(AND(OR(LEFT(TH!N3827,2)="15",LEFT(TH!O3827,2)="15"),LEFT(TH!O3827,3)&lt;&gt;"111",'152-CT'!$J$8=TH!F3827),"x","")</f>
        <v/>
      </c>
      <c r="AC4687" s="75" t="str">
        <f>IF(AND(OR(LEFT(TH!N3827,2)="15",LEFT(TH!O3827,2)="15"),TK!$E$7=TH!F3827),"x","")</f>
        <v/>
      </c>
      <c r="AD4687" s="75" t="str">
        <f>IF(AND(N4687="1521",MONTH(C4687)='BK-NL'!$M$11),"x","")</f>
        <v/>
      </c>
      <c r="AE4687">
        <v>10</v>
      </c>
    </row>
    <row r="4688" spans="1:31" ht="16.5" customHeight="1">
      <c r="A4688" s="309" t="str">
        <f>IF(B4688&lt;&gt;"",IF(AND(B4688='IN-TC'!$S$4,OR(TH!N4678="1111",TH!O4678="1111")),TH!D4678,""),"")</f>
        <v/>
      </c>
      <c r="B4688" s="1129">
        <f t="shared" si="1330"/>
        <v>8</v>
      </c>
      <c r="C4688" s="292">
        <f t="shared" si="1331"/>
        <v>42962</v>
      </c>
      <c r="D4688" s="292"/>
      <c r="E4688" s="292">
        <v>42962</v>
      </c>
      <c r="F4688" s="293" t="s">
        <v>1499</v>
      </c>
      <c r="G4688" s="925" t="s">
        <v>2064</v>
      </c>
      <c r="H4688" s="294" t="s">
        <v>893</v>
      </c>
      <c r="I4688" s="373"/>
      <c r="J4688" s="926"/>
      <c r="K4688" s="373"/>
      <c r="L4688" s="379"/>
      <c r="M4688" s="927">
        <v>1643764</v>
      </c>
      <c r="N4688" s="295" t="s">
        <v>101</v>
      </c>
      <c r="O4688" s="295" t="s">
        <v>63</v>
      </c>
      <c r="P4688" s="75" t="str">
        <f>IF(AND('331-CT'!$E$7=TH!H3828,OR(N4688="331",O4688="331")),"x","")</f>
        <v/>
      </c>
      <c r="Q4688" s="75" t="str">
        <f>IF(AND(B4688='111'!$L$11,OR($N4688=$Q$7,$O4688=$Q$7)),"x","")</f>
        <v/>
      </c>
      <c r="R4688" s="75" t="str">
        <f>IF(AND($N4688=$Q$7,$B4688&lt;'111'!$L$11),"x","")</f>
        <v/>
      </c>
      <c r="S4688" s="75" t="str">
        <f>IF(AND($O4688=$Q$7,$B4688&lt;'111'!$L$11),"x","")</f>
        <v>x</v>
      </c>
      <c r="T4688" s="75" t="str">
        <f>IF(ISERROR(FIND('112'!$M$9,G4688,1)),"",IF((AND(FIND('112'!$M$9,G4688,1)&gt;=1,B4688='112'!$K$9,OR($N4688='112'!$I$6,$O4688='112'!$I$6))),"x",""))</f>
        <v/>
      </c>
      <c r="U4688" s="75" t="str">
        <f>IF(ISERROR(FIND('112'!$M$9,G4688,1)),"",IF((AND(LEFT(G4688,2)=LEFT('112'!$M$9,2),B4688&lt;'112'!$K$9,$N4688='112'!$I$6)),"x",""))</f>
        <v/>
      </c>
      <c r="V4688" s="75" t="str">
        <f>IF(ISERROR(FIND('112'!$M$9,G4688,1)),"",IF((AND(RIGHT(G4688,2)=RIGHT('112'!$M$9,2),B4688&lt;'112'!$K$9,$O4688='112'!$I$6)),"x",""))</f>
        <v/>
      </c>
      <c r="W4688" s="75" t="str">
        <f>IF(AND('341-CT'!$H$9=H4688,OR(LEFT(N4688,3)=$W$7,LEFT(O4688,3)=$W$7)),"x","")</f>
        <v/>
      </c>
      <c r="X4688" s="75" t="str">
        <f>IF(OR(TH!N3828=TH!$X$7,O4688=TH!$X$7),"x","")</f>
        <v/>
      </c>
      <c r="Y4688" s="75" t="str">
        <f>IF(AND(OR(N4688="131",O4688="131"),H4688='131-CT'!$H$9),"x","")</f>
        <v/>
      </c>
      <c r="Z4688" s="75"/>
      <c r="AA4688" s="75" t="str">
        <f>IF(AND(MONTH(E4688)='IN-NX'!$J$5,'IN-NX'!$D$7=D4688),"x","")</f>
        <v/>
      </c>
      <c r="AB4688" s="75" t="str">
        <f>IF(AND(OR(LEFT(TH!N3828,2)="15",LEFT(TH!O3828,2)="15"),LEFT(TH!O3828,3)&lt;&gt;"111",'152-CT'!$J$8=TH!F3828),"x","")</f>
        <v/>
      </c>
      <c r="AC4688" s="75" t="str">
        <f>IF(AND(OR(LEFT(TH!N3828,2)="15",LEFT(TH!O3828,2)="15"),TK!$E$7=TH!F3828),"x","")</f>
        <v/>
      </c>
      <c r="AD4688" s="75" t="str">
        <f>IF(AND(N4688="1521",MONTH(C4688)='BK-NL'!$M$11),"x","")</f>
        <v/>
      </c>
      <c r="AE4688">
        <v>8</v>
      </c>
    </row>
    <row r="4689" spans="1:31" ht="16.5" customHeight="1">
      <c r="A4689" s="309" t="str">
        <f>IF(B4689&lt;&gt;"",IF(AND(B4689='IN-TC'!$S$4,OR(TH!N4679="1111",TH!O4679="1111")),TH!D4679,""),"")</f>
        <v/>
      </c>
      <c r="B4689" s="1129">
        <f t="shared" si="1330"/>
        <v>8</v>
      </c>
      <c r="C4689" s="292">
        <f t="shared" si="1331"/>
        <v>42962</v>
      </c>
      <c r="D4689" s="292"/>
      <c r="E4689" s="292">
        <v>42962</v>
      </c>
      <c r="F4689" s="293" t="s">
        <v>1500</v>
      </c>
      <c r="G4689" s="925" t="s">
        <v>2064</v>
      </c>
      <c r="H4689" s="294" t="s">
        <v>893</v>
      </c>
      <c r="I4689" s="373"/>
      <c r="J4689" s="926"/>
      <c r="K4689" s="373"/>
      <c r="L4689" s="379"/>
      <c r="M4689" s="927">
        <v>164376</v>
      </c>
      <c r="N4689" s="295" t="s">
        <v>9</v>
      </c>
      <c r="O4689" s="295" t="s">
        <v>63</v>
      </c>
      <c r="P4689" s="75" t="str">
        <f>IF(AND('331-CT'!$E$7=TH!H3829,OR(N4689="331",O4689="331")),"x","")</f>
        <v/>
      </c>
      <c r="Q4689" s="75" t="str">
        <f>IF(AND(B4689='111'!$L$11,OR($N4689=$Q$7,$O4689=$Q$7)),"x","")</f>
        <v/>
      </c>
      <c r="R4689" s="75" t="str">
        <f>IF(AND($N4689=$Q$7,$B4689&lt;'111'!$L$11),"x","")</f>
        <v/>
      </c>
      <c r="S4689" s="75" t="str">
        <f>IF(AND($O4689=$Q$7,$B4689&lt;'111'!$L$11),"x","")</f>
        <v>x</v>
      </c>
      <c r="T4689" s="75" t="str">
        <f>IF(ISERROR(FIND('112'!$M$9,G4689,1)),"",IF((AND(FIND('112'!$M$9,G4689,1)&gt;=1,B4689='112'!$K$9,OR($N4689='112'!$I$6,$O4689='112'!$I$6))),"x",""))</f>
        <v/>
      </c>
      <c r="U4689" s="75" t="str">
        <f>IF(ISERROR(FIND('112'!$M$9,G4689,1)),"",IF((AND(LEFT(G4689,2)=LEFT('112'!$M$9,2),B4689&lt;'112'!$K$9,$N4689='112'!$I$6)),"x",""))</f>
        <v/>
      </c>
      <c r="V4689" s="75" t="str">
        <f>IF(ISERROR(FIND('112'!$M$9,G4689,1)),"",IF((AND(RIGHT(G4689,2)=RIGHT('112'!$M$9,2),B4689&lt;'112'!$K$9,$O4689='112'!$I$6)),"x",""))</f>
        <v/>
      </c>
      <c r="W4689" s="75" t="str">
        <f>IF(AND('341-CT'!$H$9=H4689,OR(LEFT(N4689,3)=$W$7,LEFT(O4689,3)=$W$7)),"x","")</f>
        <v/>
      </c>
      <c r="X4689" s="75" t="str">
        <f>IF(OR(TH!N3829=TH!$X$7,O4689=TH!$X$7),"x","")</f>
        <v/>
      </c>
      <c r="Y4689" s="75" t="str">
        <f>IF(AND(OR(N4689="131",O4689="131"),H4689='131-CT'!$H$9),"x","")</f>
        <v/>
      </c>
      <c r="Z4689" s="75"/>
      <c r="AA4689" s="75" t="str">
        <f>IF(AND(MONTH(E4689)='IN-NX'!$J$5,'IN-NX'!$D$7=D4689),"x","")</f>
        <v/>
      </c>
      <c r="AB4689" s="75" t="str">
        <f>IF(AND(OR(LEFT(TH!N3829,2)="15",LEFT(TH!O3829,2)="15"),LEFT(TH!O3829,3)&lt;&gt;"111",'152-CT'!$J$8=TH!F3829),"x","")</f>
        <v/>
      </c>
      <c r="AC4689" s="75" t="str">
        <f>IF(AND(OR(LEFT(TH!N3829,2)="15",LEFT(TH!O3829,2)="15"),TK!$E$7=TH!F3829),"x","")</f>
        <v/>
      </c>
      <c r="AD4689" s="75" t="str">
        <f>IF(AND(N4689="1521",MONTH(C4689)='BK-NL'!$M$11),"x","")</f>
        <v/>
      </c>
      <c r="AE4689">
        <v>8</v>
      </c>
    </row>
    <row r="4690" spans="1:31" ht="16.5" customHeight="1">
      <c r="A4690" s="309" t="str">
        <f>IF(B4690&lt;&gt;"",IF(AND(B4690='IN-TC'!$S$4,OR(TH!N4680="1111",TH!O4680="1111")),TH!D4680,""),"")</f>
        <v/>
      </c>
      <c r="B4690" s="1129">
        <f t="shared" si="1330"/>
        <v>8</v>
      </c>
      <c r="C4690" s="292">
        <f t="shared" si="1331"/>
        <v>42962</v>
      </c>
      <c r="D4690" s="59" t="s">
        <v>903</v>
      </c>
      <c r="E4690" s="59">
        <v>42962</v>
      </c>
      <c r="F4690" s="62" t="s">
        <v>1413</v>
      </c>
      <c r="G4690" s="62" t="s">
        <v>586</v>
      </c>
      <c r="H4690" s="67" t="s">
        <v>982</v>
      </c>
      <c r="I4690" s="373"/>
      <c r="J4690" s="382"/>
      <c r="K4690" s="373"/>
      <c r="L4690" s="379"/>
      <c r="M4690" s="60">
        <v>24587300</v>
      </c>
      <c r="N4690" s="61" t="s">
        <v>26</v>
      </c>
      <c r="O4690" s="61" t="s">
        <v>541</v>
      </c>
      <c r="P4690" s="75" t="str">
        <f>IF(AND('331-CT'!$E$7=TH!H4407,OR(N4690="331",O4690="331")),"x","")</f>
        <v/>
      </c>
      <c r="Q4690" s="75" t="str">
        <f>IF(AND(B4690='111'!$L$11,OR($N4690=$Q$7,$O4690=$Q$7)),"x","")</f>
        <v/>
      </c>
      <c r="R4690" s="75" t="str">
        <f>IF(AND($N4690=$Q$7,$B4690&lt;'111'!$L$11),"x","")</f>
        <v/>
      </c>
      <c r="S4690" s="75" t="str">
        <f>IF(AND($O4690=$Q$7,$B4690&lt;'111'!$L$11),"x","")</f>
        <v/>
      </c>
      <c r="T4690" s="75" t="str">
        <f>IF(ISERROR(FIND('112'!$M$9,G4690,1)),"",IF((AND(FIND('112'!$M$9,G4690,1)&gt;=1,B4690='112'!$K$9,OR($N4690='112'!$I$6,$O4690='112'!$I$6))),"x",""))</f>
        <v/>
      </c>
      <c r="U4690" s="75" t="str">
        <f>IF(ISERROR(FIND('112'!$M$9,G4690,1)),"",IF((AND(LEFT(G4690,2)=LEFT('112'!$M$9,2),B4690&lt;'112'!$K$9,$N4690='112'!$I$6)),"x",""))</f>
        <v>x</v>
      </c>
      <c r="V4690" s="75" t="str">
        <f>IF(ISERROR(FIND('112'!$M$9,G4690,1)),"",IF((AND(RIGHT(G4690,2)=RIGHT('112'!$M$9,2),B4690&lt;'112'!$K$9,$O4690='112'!$I$6)),"x",""))</f>
        <v/>
      </c>
      <c r="W4690" s="75" t="str">
        <f>IF(AND('341-CT'!$H$9=H4690,OR(LEFT(N4690,3)=$W$7,LEFT(O4690,3)=$W$7)),"x","")</f>
        <v/>
      </c>
      <c r="X4690" s="75" t="str">
        <f>IF(OR(TH!N4407=TH!$X$7,O4690=TH!$X$7),"x","")</f>
        <v/>
      </c>
      <c r="Y4690" s="75" t="str">
        <f>IF(AND(OR(N4690="131",O4690="131"),H4690='131-CT'!$H$9),"x","")</f>
        <v/>
      </c>
      <c r="Z4690" s="75"/>
      <c r="AA4690" s="75" t="str">
        <f>IF(AND(MONTH(E4690)='IN-NX'!$J$5,'IN-NX'!$D$7=D4690),"x","")</f>
        <v/>
      </c>
      <c r="AB4690" s="75" t="str">
        <f>IF(AND(OR(LEFT(TH!N4407,2)="15",LEFT(TH!O4407,2)="15"),LEFT(TH!O4407,3)&lt;&gt;"111",'152-CT'!$J$8=TH!F4407),"x","")</f>
        <v/>
      </c>
      <c r="AC4690" s="75" t="str">
        <f>IF(AND(OR(LEFT(TH!N4407,2)="15",LEFT(TH!O4407,2)="15"),TK!$E$7=TH!F4407),"x","")</f>
        <v/>
      </c>
      <c r="AD4690" s="75" t="str">
        <f>IF(AND(N4690="1521",MONTH(C4690)='BK-NL'!$M$11),"x","")</f>
        <v/>
      </c>
    </row>
    <row r="4691" spans="1:31" ht="16.5" customHeight="1">
      <c r="A4691" s="309" t="str">
        <f>IF(B4691&lt;&gt;"",IF(AND(B4691='IN-TC'!$S$4,OR(TH!N4681="1111",TH!O4681="1111")),TH!D4681,""),"")</f>
        <v/>
      </c>
      <c r="B4691" s="1129">
        <f t="shared" ref="B4691:B4754" si="1332">IF(C4691&lt;&gt;"",MONTH(C4691),"")</f>
        <v>8</v>
      </c>
      <c r="C4691" s="292">
        <f t="shared" si="1331"/>
        <v>42962</v>
      </c>
      <c r="D4691" s="59" t="s">
        <v>903</v>
      </c>
      <c r="E4691" s="59">
        <v>42962</v>
      </c>
      <c r="F4691" s="293" t="s">
        <v>252</v>
      </c>
      <c r="G4691" s="62" t="s">
        <v>747</v>
      </c>
      <c r="H4691" s="67" t="s">
        <v>2028</v>
      </c>
      <c r="I4691" s="376"/>
      <c r="J4691" s="382"/>
      <c r="K4691" s="376">
        <v>83500</v>
      </c>
      <c r="L4691" s="382">
        <f>M4691/K4691</f>
        <v>22718</v>
      </c>
      <c r="M4691" s="60">
        <v>1896953000</v>
      </c>
      <c r="N4691" s="61" t="s">
        <v>26</v>
      </c>
      <c r="O4691" s="61" t="s">
        <v>250</v>
      </c>
      <c r="P4691" s="75" t="str">
        <f>IF(AND('331-CT'!$E$7=TH!H5405,OR(N4691="331",O4691="331")),"x","")</f>
        <v/>
      </c>
      <c r="Q4691" s="75" t="str">
        <f>IF(AND(B4691='111'!$L$11,OR($N4691=$Q$7,$O4691=$Q$7)),"x","")</f>
        <v/>
      </c>
      <c r="R4691" s="75" t="str">
        <f>IF(AND($N4691=$Q$7,$B4691&lt;'111'!$L$11),"x","")</f>
        <v/>
      </c>
      <c r="S4691" s="75" t="str">
        <f>IF(AND($O4691=$Q$7,$B4691&lt;'111'!$L$11),"x","")</f>
        <v/>
      </c>
      <c r="T4691" s="75" t="str">
        <f>IF(ISERROR(FIND('112'!$M$9,G4691,1)),"",IF((AND(FIND('112'!$M$9,G4691,1)&gt;=1,B4691='112'!$K$9,OR($N4691='112'!$I$6,$O4691='112'!$I$6))),"x",""))</f>
        <v/>
      </c>
      <c r="U4691" s="75" t="str">
        <f>IF(ISERROR(FIND('112'!$M$9,G4691,1)),"",IF((AND(LEFT(G4691,2)=LEFT('112'!$M$9,2),B4691&lt;'112'!$K$9,$N4691='112'!$I$6)),"x",""))</f>
        <v/>
      </c>
      <c r="V4691" s="75" t="str">
        <f>IF(ISERROR(FIND('112'!$M$9,G4691,1)),"",IF((AND(RIGHT(G4691,2)=RIGHT('112'!$M$9,2),B4691&lt;'112'!$K$9,$O4691='112'!$I$6)),"x",""))</f>
        <v/>
      </c>
      <c r="W4691" s="75" t="str">
        <f>IF(AND('341-CT'!$H$9=H4691,OR(LEFT(N4691,3)=$W$7,LEFT(O4691,3)=$W$7)),"x","")</f>
        <v/>
      </c>
      <c r="X4691" s="75" t="str">
        <f>IF(OR(TH!N5405=TH!$X$7,O4691=TH!$X$7),"x","")</f>
        <v/>
      </c>
      <c r="Y4691" s="75" t="str">
        <f>IF(AND(OR(N4691="131",O4691="131"),H4691='131-CT'!$H$9),"x","")</f>
        <v/>
      </c>
      <c r="Z4691" s="75"/>
      <c r="AA4691" s="75" t="str">
        <f>IF(AND(MONTH(E4691)='IN-NX'!$J$5,'IN-NX'!$D$7=D4691),"x","")</f>
        <v/>
      </c>
      <c r="AB4691" s="75" t="str">
        <f>IF(AND(OR(LEFT(TH!N5405,2)="15",LEFT(TH!O5405,2)="15"),LEFT(TH!O5405,3)&lt;&gt;"111",'152-CT'!$J$8=TH!F5405),"x","")</f>
        <v/>
      </c>
      <c r="AC4691" s="75" t="str">
        <f>IF(AND(OR(LEFT(TH!N5405,2)="15",LEFT(TH!O5405,2)="15"),TK!$E$7=TH!F5405),"x","")</f>
        <v/>
      </c>
      <c r="AD4691" s="75" t="str">
        <f>IF(AND(N4691="1521",MONTH(C4691)='BK-NL'!$M$11),"x","")</f>
        <v/>
      </c>
    </row>
    <row r="4692" spans="1:31" ht="16.5" customHeight="1">
      <c r="A4692" s="309" t="str">
        <f>IF(B4692&lt;&gt;"",IF(AND(B4692='IN-TC'!$S$4,OR(TH!N4682="1111",TH!O4682="1111")),TH!D4682,""),"")</f>
        <v/>
      </c>
      <c r="B4692" s="1129">
        <f t="shared" si="1332"/>
        <v>8</v>
      </c>
      <c r="C4692" s="292">
        <f t="shared" si="1331"/>
        <v>42963</v>
      </c>
      <c r="D4692" s="59" t="s">
        <v>902</v>
      </c>
      <c r="E4692" s="59">
        <v>42963</v>
      </c>
      <c r="F4692" s="62" t="s">
        <v>870</v>
      </c>
      <c r="G4692" s="62" t="s">
        <v>585</v>
      </c>
      <c r="H4692" s="67" t="s">
        <v>845</v>
      </c>
      <c r="I4692" s="373"/>
      <c r="J4692" s="382"/>
      <c r="K4692" s="373"/>
      <c r="L4692" s="379"/>
      <c r="M4692" s="60">
        <v>50000</v>
      </c>
      <c r="N4692" s="61" t="s">
        <v>101</v>
      </c>
      <c r="O4692" s="61" t="s">
        <v>26</v>
      </c>
      <c r="P4692" s="75" t="str">
        <f>IF(AND('331-CT'!$E$7=TH!H4801,OR(N4692="331",O4692="331")),"x","")</f>
        <v/>
      </c>
      <c r="Q4692" s="75" t="str">
        <f>IF(AND(B4692='111'!$L$11,OR($N4692=$Q$7,$O4692=$Q$7)),"x","")</f>
        <v/>
      </c>
      <c r="R4692" s="75" t="str">
        <f>IF(AND($N4692=$Q$7,$B4692&lt;'111'!$L$11),"x","")</f>
        <v/>
      </c>
      <c r="S4692" s="75" t="str">
        <f>IF(AND($O4692=$Q$7,$B4692&lt;'111'!$L$11),"x","")</f>
        <v/>
      </c>
      <c r="T4692" s="75" t="str">
        <f>IF(ISERROR(FIND('112'!$M$9,G4692,1)),"",IF((AND(FIND('112'!$M$9,G4692,1)&gt;=1,B4692='112'!$K$9,OR($N4692='112'!$I$6,$O4692='112'!$I$6))),"x",""))</f>
        <v/>
      </c>
      <c r="U4692" s="75" t="str">
        <f>IF(ISERROR(FIND('112'!$M$9,G4692,1)),"",IF((AND(LEFT(G4692,2)=LEFT('112'!$M$9,2),B4692&lt;'112'!$K$9,$N4692='112'!$I$6)),"x",""))</f>
        <v/>
      </c>
      <c r="V4692" s="75" t="str">
        <f>IF(ISERROR(FIND('112'!$M$9,G4692,1)),"",IF((AND(RIGHT(G4692,2)=RIGHT('112'!$M$9,2),B4692&lt;'112'!$K$9,$O4692='112'!$I$6)),"x",""))</f>
        <v/>
      </c>
      <c r="W4692" s="75" t="str">
        <f>IF(AND('341-CT'!$H$9=H4692,OR(LEFT(N4692,3)=$W$7,LEFT(O4692,3)=$W$7)),"x","")</f>
        <v/>
      </c>
      <c r="X4692" s="75" t="str">
        <f>IF(OR(TH!N4801=TH!$X$7,O4692=TH!$X$7),"x","")</f>
        <v/>
      </c>
      <c r="Y4692" s="75" t="str">
        <f>IF(AND(OR(N4692="131",O4692="131"),H4692='131-CT'!$H$9),"x","")</f>
        <v/>
      </c>
      <c r="Z4692" s="75"/>
      <c r="AA4692" s="75" t="str">
        <f>IF(AND(MONTH(E4692)='IN-NX'!$J$5,'IN-NX'!$D$7=D4692),"x","")</f>
        <v/>
      </c>
      <c r="AB4692" s="75" t="str">
        <f>IF(AND(OR(LEFT(TH!N4801,2)="15",LEFT(TH!O4801,2)="15"),LEFT(TH!O4801,3)&lt;&gt;"111",'152-CT'!$J$8=TH!F4801),"x","")</f>
        <v/>
      </c>
      <c r="AC4692" s="75" t="str">
        <f>IF(AND(OR(LEFT(TH!N4801,2)="15",LEFT(TH!O4801,2)="15"),TK!$E$7=TH!F4801),"x","")</f>
        <v/>
      </c>
      <c r="AD4692" s="75" t="str">
        <f>IF(AND(N4692="1521",MONTH(C4692)='BK-NL'!$M$11),"x","")</f>
        <v/>
      </c>
      <c r="AE4692" s="1053">
        <v>8</v>
      </c>
    </row>
    <row r="4693" spans="1:31" ht="16.5" customHeight="1">
      <c r="A4693" s="309" t="str">
        <f>IF(B4693&lt;&gt;"",IF(AND(B4693='IN-TC'!$S$4,OR(TH!N4683="1111",TH!O4683="1111")),TH!D4683,""),"")</f>
        <v/>
      </c>
      <c r="B4693" s="1129">
        <f t="shared" si="1332"/>
        <v>8</v>
      </c>
      <c r="C4693" s="292">
        <f t="shared" si="1331"/>
        <v>42963</v>
      </c>
      <c r="D4693" s="59" t="s">
        <v>902</v>
      </c>
      <c r="E4693" s="59">
        <v>42963</v>
      </c>
      <c r="F4693" s="62" t="s">
        <v>898</v>
      </c>
      <c r="G4693" s="62" t="s">
        <v>585</v>
      </c>
      <c r="H4693" s="67" t="s">
        <v>845</v>
      </c>
      <c r="I4693" s="373"/>
      <c r="J4693" s="382"/>
      <c r="K4693" s="373"/>
      <c r="L4693" s="379"/>
      <c r="M4693" s="60">
        <v>5000</v>
      </c>
      <c r="N4693" s="61" t="s">
        <v>9</v>
      </c>
      <c r="O4693" s="61" t="s">
        <v>26</v>
      </c>
      <c r="P4693" s="75" t="str">
        <f>IF(AND('331-CT'!$E$7=TH!H4813,OR(N4693="331",O4693="331")),"x","")</f>
        <v/>
      </c>
      <c r="Q4693" s="75" t="str">
        <f>IF(AND(B4693='111'!$L$11,OR($N4693=$Q$7,$O4693=$Q$7)),"x","")</f>
        <v/>
      </c>
      <c r="R4693" s="75" t="str">
        <f>IF(AND($N4693=$Q$7,$B4693&lt;'111'!$L$11),"x","")</f>
        <v/>
      </c>
      <c r="S4693" s="75" t="str">
        <f>IF(AND($O4693=$Q$7,$B4693&lt;'111'!$L$11),"x","")</f>
        <v/>
      </c>
      <c r="T4693" s="75" t="str">
        <f>IF(ISERROR(FIND('112'!$M$9,G4693,1)),"",IF((AND(FIND('112'!$M$9,G4693,1)&gt;=1,B4693='112'!$K$9,OR($N4693='112'!$I$6,$O4693='112'!$I$6))),"x",""))</f>
        <v/>
      </c>
      <c r="U4693" s="75" t="str">
        <f>IF(ISERROR(FIND('112'!$M$9,G4693,1)),"",IF((AND(LEFT(G4693,2)=LEFT('112'!$M$9,2),B4693&lt;'112'!$K$9,$N4693='112'!$I$6)),"x",""))</f>
        <v/>
      </c>
      <c r="V4693" s="75" t="str">
        <f>IF(ISERROR(FIND('112'!$M$9,G4693,1)),"",IF((AND(RIGHT(G4693,2)=RIGHT('112'!$M$9,2),B4693&lt;'112'!$K$9,$O4693='112'!$I$6)),"x",""))</f>
        <v/>
      </c>
      <c r="W4693" s="75" t="str">
        <f>IF(AND('341-CT'!$H$9=H4693,OR(LEFT(N4693,3)=$W$7,LEFT(O4693,3)=$W$7)),"x","")</f>
        <v/>
      </c>
      <c r="X4693" s="75" t="str">
        <f>IF(OR(TH!N4813=TH!$X$7,O4693=TH!$X$7),"x","")</f>
        <v/>
      </c>
      <c r="Y4693" s="75" t="str">
        <f>IF(AND(OR(N4693="131",O4693="131"),H4693='131-CT'!$H$9),"x","")</f>
        <v/>
      </c>
      <c r="Z4693" s="75"/>
      <c r="AA4693" s="75" t="str">
        <f>IF(AND(MONTH(E4693)='IN-NX'!$J$5,'IN-NX'!$D$7=D4693),"x","")</f>
        <v/>
      </c>
      <c r="AB4693" s="75" t="str">
        <f>IF(AND(OR(LEFT(TH!N4813,2)="15",LEFT(TH!O4813,2)="15"),LEFT(TH!O4813,3)&lt;&gt;"111",'152-CT'!$J$8=TH!F4813),"x","")</f>
        <v/>
      </c>
      <c r="AC4693" s="75" t="str">
        <f>IF(AND(OR(LEFT(TH!N4813,2)="15",LEFT(TH!O4813,2)="15"),TK!$E$7=TH!F4813),"x","")</f>
        <v/>
      </c>
      <c r="AD4693" s="75" t="str">
        <f>IF(AND(N4693="1521",MONTH(C4693)='BK-NL'!$M$11),"x","")</f>
        <v/>
      </c>
      <c r="AE4693" s="1053">
        <v>8</v>
      </c>
    </row>
    <row r="4694" spans="1:31" ht="16.5" customHeight="1">
      <c r="A4694" s="309" t="str">
        <f>IF(B4694&lt;&gt;"",IF(AND(B4694='IN-TC'!$S$4,OR(TH!N4684="1111",TH!O4684="1111")),TH!D4684,""),"")</f>
        <v/>
      </c>
      <c r="B4694" s="1129">
        <f t="shared" si="1332"/>
        <v>8</v>
      </c>
      <c r="C4694" s="292">
        <f t="shared" si="1331"/>
        <v>42963</v>
      </c>
      <c r="D4694" s="59" t="s">
        <v>902</v>
      </c>
      <c r="E4694" s="59">
        <v>42963</v>
      </c>
      <c r="F4694" s="62" t="s">
        <v>870</v>
      </c>
      <c r="G4694" s="62" t="s">
        <v>585</v>
      </c>
      <c r="H4694" s="67" t="s">
        <v>845</v>
      </c>
      <c r="I4694" s="373"/>
      <c r="J4694" s="382"/>
      <c r="K4694" s="373"/>
      <c r="L4694" s="379"/>
      <c r="M4694" s="60">
        <v>50000</v>
      </c>
      <c r="N4694" s="61" t="s">
        <v>101</v>
      </c>
      <c r="O4694" s="61" t="s">
        <v>26</v>
      </c>
      <c r="P4694" s="75" t="str">
        <f>IF(AND('331-CT'!$E$7=TH!H4814,OR(N4694="331",O4694="331")),"x","")</f>
        <v/>
      </c>
      <c r="Q4694" s="75" t="str">
        <f>IF(AND(B4694='111'!$L$11,OR($N4694=$Q$7,$O4694=$Q$7)),"x","")</f>
        <v/>
      </c>
      <c r="R4694" s="75" t="str">
        <f>IF(AND($N4694=$Q$7,$B4694&lt;'111'!$L$11),"x","")</f>
        <v/>
      </c>
      <c r="S4694" s="75" t="str">
        <f>IF(AND($O4694=$Q$7,$B4694&lt;'111'!$L$11),"x","")</f>
        <v/>
      </c>
      <c r="T4694" s="75" t="str">
        <f>IF(ISERROR(FIND('112'!$M$9,G4694,1)),"",IF((AND(FIND('112'!$M$9,G4694,1)&gt;=1,B4694='112'!$K$9,OR($N4694='112'!$I$6,$O4694='112'!$I$6))),"x",""))</f>
        <v/>
      </c>
      <c r="U4694" s="75" t="str">
        <f>IF(ISERROR(FIND('112'!$M$9,G4694,1)),"",IF((AND(LEFT(G4694,2)=LEFT('112'!$M$9,2),B4694&lt;'112'!$K$9,$N4694='112'!$I$6)),"x",""))</f>
        <v/>
      </c>
      <c r="V4694" s="75" t="str">
        <f>IF(ISERROR(FIND('112'!$M$9,G4694,1)),"",IF((AND(RIGHT(G4694,2)=RIGHT('112'!$M$9,2),B4694&lt;'112'!$K$9,$O4694='112'!$I$6)),"x",""))</f>
        <v/>
      </c>
      <c r="W4694" s="75" t="str">
        <f>IF(AND('341-CT'!$H$9=H4694,OR(LEFT(N4694,3)=$W$7,LEFT(O4694,3)=$W$7)),"x","")</f>
        <v/>
      </c>
      <c r="X4694" s="75" t="str">
        <f>IF(OR(TH!N4814=TH!$X$7,O4694=TH!$X$7),"x","")</f>
        <v/>
      </c>
      <c r="Y4694" s="75" t="str">
        <f>IF(AND(OR(N4694="131",O4694="131"),H4694='131-CT'!$H$9),"x","")</f>
        <v/>
      </c>
      <c r="Z4694" s="75"/>
      <c r="AA4694" s="75" t="str">
        <f>IF(AND(MONTH(E4694)='IN-NX'!$J$5,'IN-NX'!$D$7=D4694),"x","")</f>
        <v/>
      </c>
      <c r="AB4694" s="75" t="str">
        <f>IF(AND(OR(LEFT(TH!N4814,2)="15",LEFT(TH!O4814,2)="15"),LEFT(TH!O4814,3)&lt;&gt;"111",'152-CT'!$J$8=TH!F4814),"x","")</f>
        <v/>
      </c>
      <c r="AC4694" s="75" t="str">
        <f>IF(AND(OR(LEFT(TH!N4814,2)="15",LEFT(TH!O4814,2)="15"),TK!$E$7=TH!F4814),"x","")</f>
        <v/>
      </c>
      <c r="AD4694" s="75" t="str">
        <f>IF(AND(N4694="1521",MONTH(C4694)='BK-NL'!$M$11),"x","")</f>
        <v/>
      </c>
      <c r="AE4694" s="1053">
        <v>8</v>
      </c>
    </row>
    <row r="4695" spans="1:31" ht="16.5" customHeight="1">
      <c r="A4695" s="309" t="str">
        <f>IF(B4695&lt;&gt;"",IF(AND(B4695='IN-TC'!$S$4,OR(TH!N4685="1111",TH!O4685="1111")),TH!D4685,""),"")</f>
        <v/>
      </c>
      <c r="B4695" s="1129">
        <f t="shared" si="1332"/>
        <v>8</v>
      </c>
      <c r="C4695" s="292">
        <f t="shared" si="1331"/>
        <v>42963</v>
      </c>
      <c r="D4695" s="59" t="s">
        <v>902</v>
      </c>
      <c r="E4695" s="59">
        <v>42963</v>
      </c>
      <c r="F4695" s="62" t="s">
        <v>898</v>
      </c>
      <c r="G4695" s="62" t="s">
        <v>585</v>
      </c>
      <c r="H4695" s="67" t="s">
        <v>845</v>
      </c>
      <c r="I4695" s="373"/>
      <c r="J4695" s="382"/>
      <c r="K4695" s="373"/>
      <c r="L4695" s="379"/>
      <c r="M4695" s="60">
        <v>5000</v>
      </c>
      <c r="N4695" s="61" t="s">
        <v>9</v>
      </c>
      <c r="O4695" s="61" t="s">
        <v>26</v>
      </c>
      <c r="P4695" s="75" t="str">
        <f>IF(AND('331-CT'!$E$7=TH!H4815,OR(N4695="331",O4695="331")),"x","")</f>
        <v/>
      </c>
      <c r="Q4695" s="75" t="str">
        <f>IF(AND(B4695='111'!$L$11,OR($N4695=$Q$7,$O4695=$Q$7)),"x","")</f>
        <v/>
      </c>
      <c r="R4695" s="75" t="str">
        <f>IF(AND($N4695=$Q$7,$B4695&lt;'111'!$L$11),"x","")</f>
        <v/>
      </c>
      <c r="S4695" s="75" t="str">
        <f>IF(AND($O4695=$Q$7,$B4695&lt;'111'!$L$11),"x","")</f>
        <v/>
      </c>
      <c r="T4695" s="75" t="str">
        <f>IF(ISERROR(FIND('112'!$M$9,G4695,1)),"",IF((AND(FIND('112'!$M$9,G4695,1)&gt;=1,B4695='112'!$K$9,OR($N4695='112'!$I$6,$O4695='112'!$I$6))),"x",""))</f>
        <v/>
      </c>
      <c r="U4695" s="75" t="str">
        <f>IF(ISERROR(FIND('112'!$M$9,G4695,1)),"",IF((AND(LEFT(G4695,2)=LEFT('112'!$M$9,2),B4695&lt;'112'!$K$9,$N4695='112'!$I$6)),"x",""))</f>
        <v/>
      </c>
      <c r="V4695" s="75" t="str">
        <f>IF(ISERROR(FIND('112'!$M$9,G4695,1)),"",IF((AND(RIGHT(G4695,2)=RIGHT('112'!$M$9,2),B4695&lt;'112'!$K$9,$O4695='112'!$I$6)),"x",""))</f>
        <v/>
      </c>
      <c r="W4695" s="75" t="str">
        <f>IF(AND('341-CT'!$H$9=H4695,OR(LEFT(N4695,3)=$W$7,LEFT(O4695,3)=$W$7)),"x","")</f>
        <v/>
      </c>
      <c r="X4695" s="75" t="str">
        <f>IF(OR(TH!N4815=TH!$X$7,O4695=TH!$X$7),"x","")</f>
        <v/>
      </c>
      <c r="Y4695" s="75" t="str">
        <f>IF(AND(OR(N4695="131",O4695="131"),H4695='131-CT'!$H$9),"x","")</f>
        <v/>
      </c>
      <c r="Z4695" s="75"/>
      <c r="AA4695" s="75" t="str">
        <f>IF(AND(MONTH(E4695)='IN-NX'!$J$5,'IN-NX'!$D$7=D4695),"x","")</f>
        <v/>
      </c>
      <c r="AB4695" s="75" t="str">
        <f>IF(AND(OR(LEFT(TH!N4815,2)="15",LEFT(TH!O4815,2)="15"),LEFT(TH!O4815,3)&lt;&gt;"111",'152-CT'!$J$8=TH!F4815),"x","")</f>
        <v/>
      </c>
      <c r="AC4695" s="75" t="str">
        <f>IF(AND(OR(LEFT(TH!N4815,2)="15",LEFT(TH!O4815,2)="15"),TK!$E$7=TH!F4815),"x","")</f>
        <v/>
      </c>
      <c r="AD4695" s="75" t="str">
        <f>IF(AND(N4695="1521",MONTH(C4695)='BK-NL'!$M$11),"x","")</f>
        <v/>
      </c>
      <c r="AE4695" s="1053">
        <v>8</v>
      </c>
    </row>
    <row r="4696" spans="1:31" ht="16.5" customHeight="1">
      <c r="A4696" s="309" t="str">
        <f>IF(B4696&lt;&gt;"",IF(AND(B4696='IN-TC'!$S$4,OR(TH!N4686="1111",TH!O4686="1111")),TH!D4686,""),"")</f>
        <v/>
      </c>
      <c r="B4696" s="1129">
        <f t="shared" si="1332"/>
        <v>8</v>
      </c>
      <c r="C4696" s="292">
        <f t="shared" si="1331"/>
        <v>42964</v>
      </c>
      <c r="D4696" s="292" t="s">
        <v>850</v>
      </c>
      <c r="E4696" s="292">
        <v>42964</v>
      </c>
      <c r="F4696" s="293" t="s">
        <v>834</v>
      </c>
      <c r="G4696" s="943" t="s">
        <v>747</v>
      </c>
      <c r="H4696" s="67" t="s">
        <v>1023</v>
      </c>
      <c r="I4696" s="373"/>
      <c r="J4696" s="926"/>
      <c r="K4696" s="373"/>
      <c r="L4696" s="379"/>
      <c r="M4696" s="927">
        <v>1000000000</v>
      </c>
      <c r="N4696" s="295" t="s">
        <v>63</v>
      </c>
      <c r="O4696" s="295" t="s">
        <v>26</v>
      </c>
      <c r="P4696" s="75" t="str">
        <f>IF(AND('331-CT'!$E$7=TH!H5419,OR(N4696="331",O4696="331")),"x","")</f>
        <v/>
      </c>
      <c r="Q4696" s="75" t="str">
        <f>IF(AND(B4696='111'!$L$11,OR($N4696=$Q$7,$O4696=$Q$7)),"x","")</f>
        <v/>
      </c>
      <c r="R4696" s="75" t="str">
        <f>IF(AND($N4696=$Q$7,$B4696&lt;'111'!$L$11),"x","")</f>
        <v>x</v>
      </c>
      <c r="S4696" s="75" t="str">
        <f>IF(AND($O4696=$Q$7,$B4696&lt;'111'!$L$11),"x","")</f>
        <v/>
      </c>
      <c r="T4696" s="75" t="str">
        <f>IF(ISERROR(FIND('112'!$M$9,G4696,1)),"",IF((AND(FIND('112'!$M$9,G4696,1)&gt;=1,B4696='112'!$K$9,OR($N4696='112'!$I$6,$O4696='112'!$I$6))),"x",""))</f>
        <v/>
      </c>
      <c r="U4696" s="75" t="str">
        <f>IF(ISERROR(FIND('112'!$M$9,G4696,1)),"",IF((AND(LEFT(G4696,2)=LEFT('112'!$M$9,2),B4696&lt;'112'!$K$9,$N4696='112'!$I$6)),"x",""))</f>
        <v/>
      </c>
      <c r="V4696" s="75" t="str">
        <f>IF(ISERROR(FIND('112'!$M$9,G4696,1)),"",IF((AND(RIGHT(G4696,2)=RIGHT('112'!$M$9,2),B4696&lt;'112'!$K$9,$O4696='112'!$I$6)),"x",""))</f>
        <v/>
      </c>
      <c r="W4696" s="75" t="str">
        <f>IF(AND('341-CT'!$H$9=H4696,OR(LEFT(N4696,3)=$W$7,LEFT(O4696,3)=$W$7)),"x","")</f>
        <v/>
      </c>
      <c r="X4696" s="75" t="str">
        <f>IF(OR(TH!N5419=TH!$X$7,O4696=TH!$X$7),"x","")</f>
        <v/>
      </c>
      <c r="Y4696" s="75" t="str">
        <f>IF(AND(OR(N4696="131",O4696="131"),H4696='131-CT'!$H$9),"x","")</f>
        <v/>
      </c>
      <c r="Z4696" s="75"/>
      <c r="AA4696" s="75" t="str">
        <f>IF(AND(MONTH(E4696)='IN-NX'!$J$5,'IN-NX'!$D$7=D4696),"x","")</f>
        <v/>
      </c>
      <c r="AB4696" s="75" t="str">
        <f>IF(AND(OR(LEFT(TH!N5419,2)="15",LEFT(TH!O5419,2)="15"),LEFT(TH!O5419,3)&lt;&gt;"111",'152-CT'!$J$8=TH!F5419),"x","")</f>
        <v/>
      </c>
      <c r="AC4696" s="75" t="str">
        <f>IF(AND(OR(LEFT(TH!N5419,2)="15",LEFT(TH!O5419,2)="15"),TK!$E$7=TH!F5419),"x","")</f>
        <v/>
      </c>
      <c r="AD4696" s="75" t="str">
        <f>IF(AND(N4696="1521",MONTH(C4696)='BK-NL'!$M$11),"x","")</f>
        <v/>
      </c>
    </row>
    <row r="4697" spans="1:31" ht="16.5" customHeight="1">
      <c r="A4697" s="309" t="str">
        <f>IF(B4697&lt;&gt;"",IF(AND(B4697='IN-TC'!$S$4,OR(TH!N4687="1111",TH!O4687="1111")),TH!D4687,""),"")</f>
        <v/>
      </c>
      <c r="B4697" s="1129">
        <f t="shared" si="1332"/>
        <v>8</v>
      </c>
      <c r="C4697" s="292">
        <f t="shared" si="1331"/>
        <v>42964</v>
      </c>
      <c r="D4697" s="59" t="s">
        <v>902</v>
      </c>
      <c r="E4697" s="59">
        <v>42964</v>
      </c>
      <c r="F4697" s="62" t="s">
        <v>2029</v>
      </c>
      <c r="G4697" s="62" t="s">
        <v>747</v>
      </c>
      <c r="H4697" s="67" t="s">
        <v>567</v>
      </c>
      <c r="I4697" s="373"/>
      <c r="J4697" s="382"/>
      <c r="K4697" s="373"/>
      <c r="L4697" s="379"/>
      <c r="M4697" s="60">
        <v>200000000</v>
      </c>
      <c r="N4697" s="61" t="s">
        <v>8</v>
      </c>
      <c r="O4697" s="61" t="s">
        <v>26</v>
      </c>
      <c r="P4697" s="75" t="str">
        <f>IF(AND('331-CT'!$E$7=TH!H5406,OR(N4697="331",O4697="331")),"x","")</f>
        <v/>
      </c>
      <c r="Q4697" s="75" t="str">
        <f>IF(AND(B4697='111'!$L$11,OR($N4697=$Q$7,$O4697=$Q$7)),"x","")</f>
        <v/>
      </c>
      <c r="R4697" s="75" t="str">
        <f>IF(AND($N4697=$Q$7,$B4697&lt;'111'!$L$11),"x","")</f>
        <v/>
      </c>
      <c r="S4697" s="75" t="str">
        <f>IF(AND($O4697=$Q$7,$B4697&lt;'111'!$L$11),"x","")</f>
        <v/>
      </c>
      <c r="T4697" s="75" t="str">
        <f>IF(ISERROR(FIND('112'!$M$9,G4697,1)),"",IF((AND(FIND('112'!$M$9,G4697,1)&gt;=1,B4697='112'!$K$9,OR($N4697='112'!$I$6,$O4697='112'!$I$6))),"x",""))</f>
        <v/>
      </c>
      <c r="U4697" s="75" t="str">
        <f>IF(ISERROR(FIND('112'!$M$9,G4697,1)),"",IF((AND(LEFT(G4697,2)=LEFT('112'!$M$9,2),B4697&lt;'112'!$K$9,$N4697='112'!$I$6)),"x",""))</f>
        <v/>
      </c>
      <c r="V4697" s="75" t="str">
        <f>IF(ISERROR(FIND('112'!$M$9,G4697,1)),"",IF((AND(RIGHT(G4697,2)=RIGHT('112'!$M$9,2),B4697&lt;'112'!$K$9,$O4697='112'!$I$6)),"x",""))</f>
        <v/>
      </c>
      <c r="W4697" s="75" t="str">
        <f>IF(AND('341-CT'!$H$9=H4697,OR(LEFT(N4697,3)=$W$7,LEFT(O4697,3)=$W$7)),"x","")</f>
        <v/>
      </c>
      <c r="X4697" s="75" t="str">
        <f>IF(OR(TH!N5406=TH!$X$7,O4697=TH!$X$7),"x","")</f>
        <v/>
      </c>
      <c r="Y4697" s="75" t="str">
        <f>IF(AND(OR(N4697="131",O4697="131"),H4697='131-CT'!$H$9),"x","")</f>
        <v/>
      </c>
      <c r="Z4697" s="75"/>
      <c r="AA4697" s="75" t="str">
        <f>IF(AND(MONTH(E4697)='IN-NX'!$J$5,'IN-NX'!$D$7=D4697),"x","")</f>
        <v/>
      </c>
      <c r="AB4697" s="75" t="str">
        <f>IF(AND(OR(LEFT(TH!N5406,2)="15",LEFT(TH!O5406,2)="15"),LEFT(TH!O5406,3)&lt;&gt;"111",'152-CT'!$J$8=TH!F5406),"x","")</f>
        <v/>
      </c>
      <c r="AC4697" s="75" t="str">
        <f>IF(AND(OR(LEFT(TH!N5406,2)="15",LEFT(TH!O5406,2)="15"),TK!$E$7=TH!F5406),"x","")</f>
        <v/>
      </c>
      <c r="AD4697" s="75" t="str">
        <f>IF(AND(N4697="1521",MONTH(C4697)='BK-NL'!$M$11),"x","")</f>
        <v/>
      </c>
    </row>
    <row r="4698" spans="1:31" ht="16.5" customHeight="1">
      <c r="A4698" s="309" t="str">
        <f>IF(B4698&lt;&gt;"",IF(AND(B4698='IN-TC'!$S$4,OR(TH!N4688="1111",TH!O4688="1111")),TH!D4688,""),"")</f>
        <v/>
      </c>
      <c r="B4698" s="1129">
        <f t="shared" si="1332"/>
        <v>8</v>
      </c>
      <c r="C4698" s="292">
        <f t="shared" si="1331"/>
        <v>42964</v>
      </c>
      <c r="D4698" s="59" t="s">
        <v>902</v>
      </c>
      <c r="E4698" s="59">
        <v>42964</v>
      </c>
      <c r="F4698" s="62" t="s">
        <v>1307</v>
      </c>
      <c r="G4698" s="62" t="s">
        <v>747</v>
      </c>
      <c r="H4698" s="67" t="s">
        <v>835</v>
      </c>
      <c r="I4698" s="373"/>
      <c r="J4698" s="382"/>
      <c r="K4698" s="373"/>
      <c r="L4698" s="379"/>
      <c r="M4698" s="60">
        <v>60000</v>
      </c>
      <c r="N4698" s="61" t="s">
        <v>101</v>
      </c>
      <c r="O4698" s="61" t="s">
        <v>26</v>
      </c>
      <c r="P4698" s="75" t="str">
        <f>IF(AND('331-CT'!$E$7=TH!H5407,OR(N4698="331",O4698="331")),"x","")</f>
        <v/>
      </c>
      <c r="Q4698" s="75" t="str">
        <f>IF(AND(B4698='111'!$L$11,OR($N4698=$Q$7,$O4698=$Q$7)),"x","")</f>
        <v/>
      </c>
      <c r="R4698" s="75" t="str">
        <f>IF(AND($N4698=$Q$7,$B4698&lt;'111'!$L$11),"x","")</f>
        <v/>
      </c>
      <c r="S4698" s="75" t="str">
        <f>IF(AND($O4698=$Q$7,$B4698&lt;'111'!$L$11),"x","")</f>
        <v/>
      </c>
      <c r="T4698" s="75" t="str">
        <f>IF(ISERROR(FIND('112'!$M$9,G4698,1)),"",IF((AND(FIND('112'!$M$9,G4698,1)&gt;=1,B4698='112'!$K$9,OR($N4698='112'!$I$6,$O4698='112'!$I$6))),"x",""))</f>
        <v/>
      </c>
      <c r="U4698" s="75" t="str">
        <f>IF(ISERROR(FIND('112'!$M$9,G4698,1)),"",IF((AND(LEFT(G4698,2)=LEFT('112'!$M$9,2),B4698&lt;'112'!$K$9,$N4698='112'!$I$6)),"x",""))</f>
        <v/>
      </c>
      <c r="V4698" s="75" t="str">
        <f>IF(ISERROR(FIND('112'!$M$9,G4698,1)),"",IF((AND(RIGHT(G4698,2)=RIGHT('112'!$M$9,2),B4698&lt;'112'!$K$9,$O4698='112'!$I$6)),"x",""))</f>
        <v/>
      </c>
      <c r="W4698" s="75" t="str">
        <f>IF(AND('341-CT'!$H$9=H4698,OR(LEFT(N4698,3)=$W$7,LEFT(O4698,3)=$W$7)),"x","")</f>
        <v/>
      </c>
      <c r="X4698" s="75" t="str">
        <f>IF(OR(TH!N5407=TH!$X$7,O4698=TH!$X$7),"x","")</f>
        <v/>
      </c>
      <c r="Y4698" s="75" t="str">
        <f>IF(AND(OR(N4698="131",O4698="131"),H4698='131-CT'!$H$9),"x","")</f>
        <v/>
      </c>
      <c r="Z4698" s="75"/>
      <c r="AA4698" s="75" t="str">
        <f>IF(AND(MONTH(E4698)='IN-NX'!$J$5,'IN-NX'!$D$7=D4698),"x","")</f>
        <v/>
      </c>
      <c r="AB4698" s="75" t="str">
        <f>IF(AND(OR(LEFT(TH!N5407,2)="15",LEFT(TH!O5407,2)="15"),LEFT(TH!O5407,3)&lt;&gt;"111",'152-CT'!$J$8=TH!F5407),"x","")</f>
        <v/>
      </c>
      <c r="AC4698" s="75" t="str">
        <f>IF(AND(OR(LEFT(TH!N5407,2)="15",LEFT(TH!O5407,2)="15"),TK!$E$7=TH!F5407),"x","")</f>
        <v/>
      </c>
      <c r="AD4698" s="75" t="str">
        <f>IF(AND(N4698="1521",MONTH(C4698)='BK-NL'!$M$11),"x","")</f>
        <v/>
      </c>
      <c r="AE4698">
        <v>8</v>
      </c>
    </row>
    <row r="4699" spans="1:31" ht="16.5" customHeight="1">
      <c r="A4699" s="309" t="str">
        <f>IF(B4699&lt;&gt;"",IF(AND(B4699='IN-TC'!$S$4,OR(TH!N4689="1111",TH!O4689="1111")),TH!D4689,""),"")</f>
        <v/>
      </c>
      <c r="B4699" s="1129">
        <f t="shared" si="1332"/>
        <v>8</v>
      </c>
      <c r="C4699" s="292">
        <f t="shared" si="1331"/>
        <v>42964</v>
      </c>
      <c r="D4699" s="59" t="s">
        <v>902</v>
      </c>
      <c r="E4699" s="59">
        <v>42964</v>
      </c>
      <c r="F4699" s="62" t="s">
        <v>1314</v>
      </c>
      <c r="G4699" s="62" t="s">
        <v>747</v>
      </c>
      <c r="H4699" s="67" t="s">
        <v>835</v>
      </c>
      <c r="I4699" s="373"/>
      <c r="J4699" s="382"/>
      <c r="K4699" s="373"/>
      <c r="L4699" s="379"/>
      <c r="M4699" s="60">
        <v>6000</v>
      </c>
      <c r="N4699" s="61" t="s">
        <v>9</v>
      </c>
      <c r="O4699" s="61" t="s">
        <v>26</v>
      </c>
      <c r="P4699" s="75" t="str">
        <f>IF(AND('331-CT'!$E$7=TH!H5408,OR(N4699="331",O4699="331")),"x","")</f>
        <v/>
      </c>
      <c r="Q4699" s="75" t="str">
        <f>IF(AND(B4699='111'!$L$11,OR($N4699=$Q$7,$O4699=$Q$7)),"x","")</f>
        <v/>
      </c>
      <c r="R4699" s="75" t="str">
        <f>IF(AND($N4699=$Q$7,$B4699&lt;'111'!$L$11),"x","")</f>
        <v/>
      </c>
      <c r="S4699" s="75" t="str">
        <f>IF(AND($O4699=$Q$7,$B4699&lt;'111'!$L$11),"x","")</f>
        <v/>
      </c>
      <c r="T4699" s="75" t="str">
        <f>IF(ISERROR(FIND('112'!$M$9,G4699,1)),"",IF((AND(FIND('112'!$M$9,G4699,1)&gt;=1,B4699='112'!$K$9,OR($N4699='112'!$I$6,$O4699='112'!$I$6))),"x",""))</f>
        <v/>
      </c>
      <c r="U4699" s="75" t="str">
        <f>IF(ISERROR(FIND('112'!$M$9,G4699,1)),"",IF((AND(LEFT(G4699,2)=LEFT('112'!$M$9,2),B4699&lt;'112'!$K$9,$N4699='112'!$I$6)),"x",""))</f>
        <v/>
      </c>
      <c r="V4699" s="75" t="str">
        <f>IF(ISERROR(FIND('112'!$M$9,G4699,1)),"",IF((AND(RIGHT(G4699,2)=RIGHT('112'!$M$9,2),B4699&lt;'112'!$K$9,$O4699='112'!$I$6)),"x",""))</f>
        <v/>
      </c>
      <c r="W4699" s="75" t="str">
        <f>IF(AND('341-CT'!$H$9=H4699,OR(LEFT(N4699,3)=$W$7,LEFT(O4699,3)=$W$7)),"x","")</f>
        <v/>
      </c>
      <c r="X4699" s="75" t="str">
        <f>IF(OR(TH!N5408=TH!$X$7,O4699=TH!$X$7),"x","")</f>
        <v/>
      </c>
      <c r="Y4699" s="75" t="str">
        <f>IF(AND(OR(N4699="131",O4699="131"),H4699='131-CT'!$H$9),"x","")</f>
        <v/>
      </c>
      <c r="Z4699" s="75"/>
      <c r="AA4699" s="75" t="str">
        <f>IF(AND(MONTH(E4699)='IN-NX'!$J$5,'IN-NX'!$D$7=D4699),"x","")</f>
        <v/>
      </c>
      <c r="AB4699" s="75" t="str">
        <f>IF(AND(OR(LEFT(TH!N5408,2)="15",LEFT(TH!O5408,2)="15"),LEFT(TH!O5408,3)&lt;&gt;"111",'152-CT'!$J$8=TH!F5408),"x","")</f>
        <v/>
      </c>
      <c r="AC4699" s="75" t="str">
        <f>IF(AND(OR(LEFT(TH!N5408,2)="15",LEFT(TH!O5408,2)="15"),TK!$E$7=TH!F5408),"x","")</f>
        <v/>
      </c>
      <c r="AD4699" s="75" t="str">
        <f>IF(AND(N4699="1521",MONTH(C4699)='BK-NL'!$M$11),"x","")</f>
        <v/>
      </c>
      <c r="AE4699">
        <v>8</v>
      </c>
    </row>
    <row r="4700" spans="1:31" ht="16.5" customHeight="1">
      <c r="A4700" s="309" t="str">
        <f>IF(B4700&lt;&gt;"",IF(AND(B4700='IN-TC'!$S$4,OR(TH!N4690="1111",TH!O4690="1111")),TH!D4690,""),"")</f>
        <v/>
      </c>
      <c r="B4700" s="1129">
        <f t="shared" si="1332"/>
        <v>8</v>
      </c>
      <c r="C4700" s="292">
        <f t="shared" si="1331"/>
        <v>42964</v>
      </c>
      <c r="D4700" s="59" t="s">
        <v>902</v>
      </c>
      <c r="E4700" s="59">
        <v>42964</v>
      </c>
      <c r="F4700" s="62" t="s">
        <v>930</v>
      </c>
      <c r="G4700" s="62" t="s">
        <v>747</v>
      </c>
      <c r="H4700" s="294" t="s">
        <v>622</v>
      </c>
      <c r="I4700" s="373"/>
      <c r="J4700" s="382"/>
      <c r="K4700" s="373"/>
      <c r="L4700" s="379"/>
      <c r="M4700" s="60">
        <v>450000000</v>
      </c>
      <c r="N4700" s="61" t="s">
        <v>8</v>
      </c>
      <c r="O4700" s="61" t="s">
        <v>26</v>
      </c>
      <c r="P4700" s="75" t="str">
        <f>IF(AND('331-CT'!$E$7=TH!H5409,OR(N4700="331",O4700="331")),"x","")</f>
        <v/>
      </c>
      <c r="Q4700" s="75" t="str">
        <f>IF(AND(B4700='111'!$L$11,OR($N4700=$Q$7,$O4700=$Q$7)),"x","")</f>
        <v/>
      </c>
      <c r="R4700" s="75" t="str">
        <f>IF(AND($N4700=$Q$7,$B4700&lt;'111'!$L$11),"x","")</f>
        <v/>
      </c>
      <c r="S4700" s="75" t="str">
        <f>IF(AND($O4700=$Q$7,$B4700&lt;'111'!$L$11),"x","")</f>
        <v/>
      </c>
      <c r="T4700" s="75" t="str">
        <f>IF(ISERROR(FIND('112'!$M$9,G4700,1)),"",IF((AND(FIND('112'!$M$9,G4700,1)&gt;=1,B4700='112'!$K$9,OR($N4700='112'!$I$6,$O4700='112'!$I$6))),"x",""))</f>
        <v/>
      </c>
      <c r="U4700" s="75" t="str">
        <f>IF(ISERROR(FIND('112'!$M$9,G4700,1)),"",IF((AND(LEFT(G4700,2)=LEFT('112'!$M$9,2),B4700&lt;'112'!$K$9,$N4700='112'!$I$6)),"x",""))</f>
        <v/>
      </c>
      <c r="V4700" s="75" t="str">
        <f>IF(ISERROR(FIND('112'!$M$9,G4700,1)),"",IF((AND(RIGHT(G4700,2)=RIGHT('112'!$M$9,2),B4700&lt;'112'!$K$9,$O4700='112'!$I$6)),"x",""))</f>
        <v/>
      </c>
      <c r="W4700" s="75" t="str">
        <f>IF(AND('341-CT'!$H$9=H4700,OR(LEFT(N4700,3)=$W$7,LEFT(O4700,3)=$W$7)),"x","")</f>
        <v/>
      </c>
      <c r="X4700" s="75" t="str">
        <f>IF(OR(TH!N5409=TH!$X$7,O4700=TH!$X$7),"x","")</f>
        <v/>
      </c>
      <c r="Y4700" s="75" t="str">
        <f>IF(AND(OR(N4700="131",O4700="131"),H4700='131-CT'!$H$9),"x","")</f>
        <v/>
      </c>
      <c r="Z4700" s="75"/>
      <c r="AA4700" s="75" t="str">
        <f>IF(AND(MONTH(E4700)='IN-NX'!$J$5,'IN-NX'!$D$7=D4700),"x","")</f>
        <v/>
      </c>
      <c r="AB4700" s="75" t="str">
        <f>IF(AND(OR(LEFT(TH!N5409,2)="15",LEFT(TH!O5409,2)="15"),LEFT(TH!O5409,3)&lt;&gt;"111",'152-CT'!$J$8=TH!F5409),"x","")</f>
        <v/>
      </c>
      <c r="AC4700" s="75" t="str">
        <f>IF(AND(OR(LEFT(TH!N5409,2)="15",LEFT(TH!O5409,2)="15"),TK!$E$7=TH!F5409),"x","")</f>
        <v/>
      </c>
      <c r="AD4700" s="75" t="str">
        <f>IF(AND(N4700="1521",MONTH(C4700)='BK-NL'!$M$11),"x","")</f>
        <v/>
      </c>
    </row>
    <row r="4701" spans="1:31" ht="16.5" customHeight="1">
      <c r="A4701" s="309" t="str">
        <f>IF(B4701&lt;&gt;"",IF(AND(B4701='IN-TC'!$S$4,OR(TH!N4691="1111",TH!O4691="1111")),TH!D4691,""),"")</f>
        <v/>
      </c>
      <c r="B4701" s="1129">
        <f t="shared" si="1332"/>
        <v>8</v>
      </c>
      <c r="C4701" s="292">
        <f t="shared" si="1331"/>
        <v>42964</v>
      </c>
      <c r="D4701" s="59" t="s">
        <v>902</v>
      </c>
      <c r="E4701" s="59">
        <v>42964</v>
      </c>
      <c r="F4701" s="62" t="s">
        <v>1307</v>
      </c>
      <c r="G4701" s="62" t="s">
        <v>747</v>
      </c>
      <c r="H4701" s="67" t="s">
        <v>835</v>
      </c>
      <c r="I4701" s="373"/>
      <c r="J4701" s="382"/>
      <c r="K4701" s="373"/>
      <c r="L4701" s="379"/>
      <c r="M4701" s="60">
        <f>ROUND(148500/1.1,0)</f>
        <v>135000</v>
      </c>
      <c r="N4701" s="61" t="s">
        <v>101</v>
      </c>
      <c r="O4701" s="61" t="s">
        <v>26</v>
      </c>
      <c r="P4701" s="75" t="str">
        <f>IF(AND('331-CT'!$E$7=TH!H5410,OR(N4701="331",O4701="331")),"x","")</f>
        <v/>
      </c>
      <c r="Q4701" s="75" t="str">
        <f>IF(AND(B4701='111'!$L$11,OR($N4701=$Q$7,$O4701=$Q$7)),"x","")</f>
        <v/>
      </c>
      <c r="R4701" s="75" t="str">
        <f>IF(AND($N4701=$Q$7,$B4701&lt;'111'!$L$11),"x","")</f>
        <v/>
      </c>
      <c r="S4701" s="75" t="str">
        <f>IF(AND($O4701=$Q$7,$B4701&lt;'111'!$L$11),"x","")</f>
        <v/>
      </c>
      <c r="T4701" s="75" t="str">
        <f>IF(ISERROR(FIND('112'!$M$9,G4701,1)),"",IF((AND(FIND('112'!$M$9,G4701,1)&gt;=1,B4701='112'!$K$9,OR($N4701='112'!$I$6,$O4701='112'!$I$6))),"x",""))</f>
        <v/>
      </c>
      <c r="U4701" s="75" t="str">
        <f>IF(ISERROR(FIND('112'!$M$9,G4701,1)),"",IF((AND(LEFT(G4701,2)=LEFT('112'!$M$9,2),B4701&lt;'112'!$K$9,$N4701='112'!$I$6)),"x",""))</f>
        <v/>
      </c>
      <c r="V4701" s="75" t="str">
        <f>IF(ISERROR(FIND('112'!$M$9,G4701,1)),"",IF((AND(RIGHT(G4701,2)=RIGHT('112'!$M$9,2),B4701&lt;'112'!$K$9,$O4701='112'!$I$6)),"x",""))</f>
        <v/>
      </c>
      <c r="W4701" s="75" t="str">
        <f>IF(AND('341-CT'!$H$9=H4701,OR(LEFT(N4701,3)=$W$7,LEFT(O4701,3)=$W$7)),"x","")</f>
        <v/>
      </c>
      <c r="X4701" s="75" t="str">
        <f>IF(OR(TH!N5410=TH!$X$7,O4701=TH!$X$7),"x","")</f>
        <v/>
      </c>
      <c r="Y4701" s="75" t="str">
        <f>IF(AND(OR(N4701="131",O4701="131"),H4701='131-CT'!$H$9),"x","")</f>
        <v/>
      </c>
      <c r="Z4701" s="75"/>
      <c r="AA4701" s="75" t="str">
        <f>IF(AND(MONTH(E4701)='IN-NX'!$J$5,'IN-NX'!$D$7=D4701),"x","")</f>
        <v/>
      </c>
      <c r="AB4701" s="75" t="str">
        <f>IF(AND(OR(LEFT(TH!N5410,2)="15",LEFT(TH!O5410,2)="15"),LEFT(TH!O5410,3)&lt;&gt;"111",'152-CT'!$J$8=TH!F5410),"x","")</f>
        <v/>
      </c>
      <c r="AC4701" s="75" t="str">
        <f>IF(AND(OR(LEFT(TH!N5410,2)="15",LEFT(TH!O5410,2)="15"),TK!$E$7=TH!F5410),"x","")</f>
        <v/>
      </c>
      <c r="AD4701" s="75" t="str">
        <f>IF(AND(N4701="1521",MONTH(C4701)='BK-NL'!$M$11),"x","")</f>
        <v/>
      </c>
      <c r="AE4701">
        <v>8</v>
      </c>
    </row>
    <row r="4702" spans="1:31" ht="16.5" customHeight="1">
      <c r="A4702" s="309" t="str">
        <f>IF(B4702&lt;&gt;"",IF(AND(B4702='IN-TC'!$S$4,OR(TH!N4692="1111",TH!O4692="1111")),TH!D4692,""),"")</f>
        <v/>
      </c>
      <c r="B4702" s="1129">
        <f t="shared" si="1332"/>
        <v>8</v>
      </c>
      <c r="C4702" s="292">
        <f t="shared" si="1331"/>
        <v>42964</v>
      </c>
      <c r="D4702" s="59" t="s">
        <v>902</v>
      </c>
      <c r="E4702" s="59">
        <v>42964</v>
      </c>
      <c r="F4702" s="62" t="s">
        <v>1314</v>
      </c>
      <c r="G4702" s="62" t="s">
        <v>747</v>
      </c>
      <c r="H4702" s="67" t="s">
        <v>835</v>
      </c>
      <c r="I4702" s="373"/>
      <c r="J4702" s="382"/>
      <c r="K4702" s="373"/>
      <c r="L4702" s="379"/>
      <c r="M4702" s="60">
        <v>13500</v>
      </c>
      <c r="N4702" s="61" t="s">
        <v>9</v>
      </c>
      <c r="O4702" s="61" t="s">
        <v>26</v>
      </c>
      <c r="P4702" s="75" t="str">
        <f>IF(AND('331-CT'!$E$7=TH!H5411,OR(N4702="331",O4702="331")),"x","")</f>
        <v/>
      </c>
      <c r="Q4702" s="75" t="str">
        <f>IF(AND(B4702='111'!$L$11,OR($N4702=$Q$7,$O4702=$Q$7)),"x","")</f>
        <v/>
      </c>
      <c r="R4702" s="75" t="str">
        <f>IF(AND($N4702=$Q$7,$B4702&lt;'111'!$L$11),"x","")</f>
        <v/>
      </c>
      <c r="S4702" s="75" t="str">
        <f>IF(AND($O4702=$Q$7,$B4702&lt;'111'!$L$11),"x","")</f>
        <v/>
      </c>
      <c r="T4702" s="75" t="str">
        <f>IF(ISERROR(FIND('112'!$M$9,G4702,1)),"",IF((AND(FIND('112'!$M$9,G4702,1)&gt;=1,B4702='112'!$K$9,OR($N4702='112'!$I$6,$O4702='112'!$I$6))),"x",""))</f>
        <v/>
      </c>
      <c r="U4702" s="75" t="str">
        <f>IF(ISERROR(FIND('112'!$M$9,G4702,1)),"",IF((AND(LEFT(G4702,2)=LEFT('112'!$M$9,2),B4702&lt;'112'!$K$9,$N4702='112'!$I$6)),"x",""))</f>
        <v/>
      </c>
      <c r="V4702" s="75" t="str">
        <f>IF(ISERROR(FIND('112'!$M$9,G4702,1)),"",IF((AND(RIGHT(G4702,2)=RIGHT('112'!$M$9,2),B4702&lt;'112'!$K$9,$O4702='112'!$I$6)),"x",""))</f>
        <v/>
      </c>
      <c r="W4702" s="75" t="str">
        <f>IF(AND('341-CT'!$H$9=H4702,OR(LEFT(N4702,3)=$W$7,LEFT(O4702,3)=$W$7)),"x","")</f>
        <v/>
      </c>
      <c r="X4702" s="75" t="str">
        <f>IF(OR(TH!N5411=TH!$X$7,O4702=TH!$X$7),"x","")</f>
        <v/>
      </c>
      <c r="Y4702" s="75" t="str">
        <f>IF(AND(OR(N4702="131",O4702="131"),H4702='131-CT'!$H$9),"x","")</f>
        <v/>
      </c>
      <c r="Z4702" s="75"/>
      <c r="AA4702" s="75" t="str">
        <f>IF(AND(MONTH(E4702)='IN-NX'!$J$5,'IN-NX'!$D$7=D4702),"x","")</f>
        <v/>
      </c>
      <c r="AB4702" s="75" t="str">
        <f>IF(AND(OR(LEFT(TH!N5411,2)="15",LEFT(TH!O5411,2)="15"),LEFT(TH!O5411,3)&lt;&gt;"111",'152-CT'!$J$8=TH!F5411),"x","")</f>
        <v/>
      </c>
      <c r="AC4702" s="75" t="str">
        <f>IF(AND(OR(LEFT(TH!N5411,2)="15",LEFT(TH!O5411,2)="15"),TK!$E$7=TH!F5411),"x","")</f>
        <v/>
      </c>
      <c r="AD4702" s="75" t="str">
        <f>IF(AND(N4702="1521",MONTH(C4702)='BK-NL'!$M$11),"x","")</f>
        <v/>
      </c>
      <c r="AE4702">
        <v>8</v>
      </c>
    </row>
    <row r="4703" spans="1:31" ht="16.5" customHeight="1">
      <c r="A4703" s="309" t="str">
        <f>IF(B4703&lt;&gt;"",IF(AND(B4703='IN-TC'!$S$4,OR(TH!N4693="1111",TH!O4693="1111")),TH!D4693,""),"")</f>
        <v/>
      </c>
      <c r="B4703" s="1129">
        <f t="shared" si="1332"/>
        <v>8</v>
      </c>
      <c r="C4703" s="292">
        <f t="shared" si="1331"/>
        <v>42964</v>
      </c>
      <c r="D4703" s="59" t="s">
        <v>902</v>
      </c>
      <c r="E4703" s="59">
        <v>42964</v>
      </c>
      <c r="F4703" s="67" t="s">
        <v>2030</v>
      </c>
      <c r="G4703" s="62" t="s">
        <v>747</v>
      </c>
      <c r="H4703" s="294" t="s">
        <v>563</v>
      </c>
      <c r="I4703" s="373"/>
      <c r="J4703" s="379"/>
      <c r="K4703" s="373"/>
      <c r="L4703" s="379"/>
      <c r="M4703" s="60">
        <v>29094450</v>
      </c>
      <c r="N4703" s="61" t="s">
        <v>8</v>
      </c>
      <c r="O4703" s="61" t="s">
        <v>26</v>
      </c>
      <c r="P4703" s="75" t="str">
        <f>IF(AND('331-CT'!$E$7=TH!H5412,OR(N4703="331",O4703="331")),"x","")</f>
        <v/>
      </c>
      <c r="Q4703" s="75" t="str">
        <f>IF(AND(B4703='111'!$L$11,OR($N4703=$Q$7,$O4703=$Q$7)),"x","")</f>
        <v/>
      </c>
      <c r="R4703" s="75" t="str">
        <f>IF(AND($N4703=$Q$7,$B4703&lt;'111'!$L$11),"x","")</f>
        <v/>
      </c>
      <c r="S4703" s="75" t="str">
        <f>IF(AND($O4703=$Q$7,$B4703&lt;'111'!$L$11),"x","")</f>
        <v/>
      </c>
      <c r="T4703" s="75" t="str">
        <f>IF(ISERROR(FIND('112'!$M$9,G4703,1)),"",IF((AND(FIND('112'!$M$9,G4703,1)&gt;=1,B4703='112'!$K$9,OR($N4703='112'!$I$6,$O4703='112'!$I$6))),"x",""))</f>
        <v/>
      </c>
      <c r="U4703" s="75" t="str">
        <f>IF(ISERROR(FIND('112'!$M$9,G4703,1)),"",IF((AND(LEFT(G4703,2)=LEFT('112'!$M$9,2),B4703&lt;'112'!$K$9,$N4703='112'!$I$6)),"x",""))</f>
        <v/>
      </c>
      <c r="V4703" s="75" t="str">
        <f>IF(ISERROR(FIND('112'!$M$9,G4703,1)),"",IF((AND(RIGHT(G4703,2)=RIGHT('112'!$M$9,2),B4703&lt;'112'!$K$9,$O4703='112'!$I$6)),"x",""))</f>
        <v/>
      </c>
      <c r="W4703" s="75" t="str">
        <f>IF(AND('341-CT'!$H$9=H4703,OR(LEFT(N4703,3)=$W$7,LEFT(O4703,3)=$W$7)),"x","")</f>
        <v/>
      </c>
      <c r="X4703" s="75" t="str">
        <f>IF(OR(TH!N5412=TH!$X$7,O4703=TH!$X$7),"x","")</f>
        <v/>
      </c>
      <c r="Y4703" s="75" t="str">
        <f>IF(AND(OR(N4703="131",O4703="131"),H4703='131-CT'!$H$9),"x","")</f>
        <v/>
      </c>
      <c r="Z4703" s="75"/>
      <c r="AA4703" s="75" t="str">
        <f>IF(AND(MONTH(E4703)='IN-NX'!$J$5,'IN-NX'!$D$7=D4703),"x","")</f>
        <v/>
      </c>
      <c r="AB4703" s="75" t="str">
        <f>IF(AND(OR(LEFT(TH!N5412,2)="15",LEFT(TH!O5412,2)="15"),LEFT(TH!O5412,3)&lt;&gt;"111",'152-CT'!$J$8=TH!F5412),"x","")</f>
        <v/>
      </c>
      <c r="AC4703" s="75" t="str">
        <f>IF(AND(OR(LEFT(TH!N5412,2)="15",LEFT(TH!O5412,2)="15"),TK!$E$7=TH!F5412),"x","")</f>
        <v/>
      </c>
      <c r="AD4703" s="75" t="str">
        <f>IF(AND(N4703="1521",MONTH(C4703)='BK-NL'!$M$11),"x","")</f>
        <v/>
      </c>
    </row>
    <row r="4704" spans="1:31" ht="16.5" customHeight="1">
      <c r="A4704" s="309" t="str">
        <f>IF(B4704&lt;&gt;"",IF(AND(B4704='IN-TC'!$S$4,OR(TH!N4694="1111",TH!O4694="1111")),TH!D4694,""),"")</f>
        <v/>
      </c>
      <c r="B4704" s="1129">
        <f t="shared" si="1332"/>
        <v>8</v>
      </c>
      <c r="C4704" s="292">
        <f t="shared" si="1331"/>
        <v>42964</v>
      </c>
      <c r="D4704" s="59" t="s">
        <v>902</v>
      </c>
      <c r="E4704" s="59">
        <v>42964</v>
      </c>
      <c r="F4704" s="62" t="s">
        <v>1307</v>
      </c>
      <c r="G4704" s="62" t="s">
        <v>747</v>
      </c>
      <c r="H4704" s="67" t="s">
        <v>835</v>
      </c>
      <c r="I4704" s="375"/>
      <c r="J4704" s="381"/>
      <c r="K4704" s="60"/>
      <c r="L4704" s="381"/>
      <c r="M4704" s="60">
        <v>10000</v>
      </c>
      <c r="N4704" s="61" t="s">
        <v>101</v>
      </c>
      <c r="O4704" s="61" t="s">
        <v>26</v>
      </c>
      <c r="P4704" s="75" t="str">
        <f>IF(AND('331-CT'!$E$7=TH!H5413,OR(N4704="331",O4704="331")),"x","")</f>
        <v/>
      </c>
      <c r="Q4704" s="75" t="str">
        <f>IF(AND(B4704='111'!$L$11,OR($N4704=$Q$7,$O4704=$Q$7)),"x","")</f>
        <v/>
      </c>
      <c r="R4704" s="75" t="str">
        <f>IF(AND($N4704=$Q$7,$B4704&lt;'111'!$L$11),"x","")</f>
        <v/>
      </c>
      <c r="S4704" s="75" t="str">
        <f>IF(AND($O4704=$Q$7,$B4704&lt;'111'!$L$11),"x","")</f>
        <v/>
      </c>
      <c r="T4704" s="75" t="str">
        <f>IF(ISERROR(FIND('112'!$M$9,G4704,1)),"",IF((AND(FIND('112'!$M$9,G4704,1)&gt;=1,B4704='112'!$K$9,OR($N4704='112'!$I$6,$O4704='112'!$I$6))),"x",""))</f>
        <v/>
      </c>
      <c r="U4704" s="75" t="str">
        <f>IF(ISERROR(FIND('112'!$M$9,G4704,1)),"",IF((AND(LEFT(G4704,2)=LEFT('112'!$M$9,2),B4704&lt;'112'!$K$9,$N4704='112'!$I$6)),"x",""))</f>
        <v/>
      </c>
      <c r="V4704" s="75" t="str">
        <f>IF(ISERROR(FIND('112'!$M$9,G4704,1)),"",IF((AND(RIGHT(G4704,2)=RIGHT('112'!$M$9,2),B4704&lt;'112'!$K$9,$O4704='112'!$I$6)),"x",""))</f>
        <v/>
      </c>
      <c r="W4704" s="75" t="str">
        <f>IF(AND('341-CT'!$H$9=H4704,OR(LEFT(N4704,3)=$W$7,LEFT(O4704,3)=$W$7)),"x","")</f>
        <v/>
      </c>
      <c r="X4704" s="75" t="str">
        <f>IF(OR(TH!N5413=TH!$X$7,O4704=TH!$X$7),"x","")</f>
        <v/>
      </c>
      <c r="Y4704" s="75" t="str">
        <f>IF(AND(OR(N4704="131",O4704="131"),H4704='131-CT'!$H$9),"x","")</f>
        <v/>
      </c>
      <c r="Z4704" s="75"/>
      <c r="AA4704" s="75" t="str">
        <f>IF(AND(MONTH(E4704)='IN-NX'!$J$5,'IN-NX'!$D$7=D4704),"x","")</f>
        <v/>
      </c>
      <c r="AB4704" s="75" t="str">
        <f>IF(AND(OR(LEFT(TH!N5413,2)="15",LEFT(TH!O5413,2)="15"),LEFT(TH!O5413,3)&lt;&gt;"111",'152-CT'!$J$8=TH!F5413),"x","")</f>
        <v/>
      </c>
      <c r="AC4704" s="75" t="str">
        <f>IF(AND(OR(LEFT(TH!N5413,2)="15",LEFT(TH!O5413,2)="15"),TK!$E$7=TH!F5413),"x","")</f>
        <v/>
      </c>
      <c r="AD4704" s="75" t="str">
        <f>IF(AND(N4704="1521",MONTH(C4704)='BK-NL'!$M$11),"x","")</f>
        <v/>
      </c>
      <c r="AE4704">
        <v>8</v>
      </c>
    </row>
    <row r="4705" spans="1:31" ht="16.5" customHeight="1">
      <c r="A4705" s="309" t="str">
        <f>IF(B4705&lt;&gt;"",IF(AND(B4705='IN-TC'!$S$4,OR(TH!N4695="1111",TH!O4695="1111")),TH!D4695,""),"")</f>
        <v/>
      </c>
      <c r="B4705" s="1129">
        <f t="shared" si="1332"/>
        <v>8</v>
      </c>
      <c r="C4705" s="292">
        <f t="shared" si="1331"/>
        <v>42964</v>
      </c>
      <c r="D4705" s="59" t="s">
        <v>902</v>
      </c>
      <c r="E4705" s="59">
        <v>42964</v>
      </c>
      <c r="F4705" s="62" t="s">
        <v>1314</v>
      </c>
      <c r="G4705" s="62" t="s">
        <v>747</v>
      </c>
      <c r="H4705" s="67" t="s">
        <v>835</v>
      </c>
      <c r="I4705" s="375"/>
      <c r="J4705" s="381"/>
      <c r="K4705" s="375"/>
      <c r="L4705" s="381"/>
      <c r="M4705" s="60">
        <v>1000</v>
      </c>
      <c r="N4705" s="61" t="s">
        <v>9</v>
      </c>
      <c r="O4705" s="61" t="s">
        <v>26</v>
      </c>
      <c r="P4705" s="75" t="str">
        <f>IF(AND('331-CT'!$E$7=TH!H5414,OR(N4705="331",O4705="331")),"x","")</f>
        <v/>
      </c>
      <c r="Q4705" s="75" t="str">
        <f>IF(AND(B4705='111'!$L$11,OR($N4705=$Q$7,$O4705=$Q$7)),"x","")</f>
        <v/>
      </c>
      <c r="R4705" s="75" t="str">
        <f>IF(AND($N4705=$Q$7,$B4705&lt;'111'!$L$11),"x","")</f>
        <v/>
      </c>
      <c r="S4705" s="75" t="str">
        <f>IF(AND($O4705=$Q$7,$B4705&lt;'111'!$L$11),"x","")</f>
        <v/>
      </c>
      <c r="T4705" s="75" t="str">
        <f>IF(ISERROR(FIND('112'!$M$9,G4705,1)),"",IF((AND(FIND('112'!$M$9,G4705,1)&gt;=1,B4705='112'!$K$9,OR($N4705='112'!$I$6,$O4705='112'!$I$6))),"x",""))</f>
        <v/>
      </c>
      <c r="U4705" s="75" t="str">
        <f>IF(ISERROR(FIND('112'!$M$9,G4705,1)),"",IF((AND(LEFT(G4705,2)=LEFT('112'!$M$9,2),B4705&lt;'112'!$K$9,$N4705='112'!$I$6)),"x",""))</f>
        <v/>
      </c>
      <c r="V4705" s="75" t="str">
        <f>IF(ISERROR(FIND('112'!$M$9,G4705,1)),"",IF((AND(RIGHT(G4705,2)=RIGHT('112'!$M$9,2),B4705&lt;'112'!$K$9,$O4705='112'!$I$6)),"x",""))</f>
        <v/>
      </c>
      <c r="W4705" s="75" t="str">
        <f>IF(AND('341-CT'!$H$9=H4705,OR(LEFT(N4705,3)=$W$7,LEFT(O4705,3)=$W$7)),"x","")</f>
        <v/>
      </c>
      <c r="X4705" s="75" t="str">
        <f>IF(OR(TH!N5414=TH!$X$7,O4705=TH!$X$7),"x","")</f>
        <v/>
      </c>
      <c r="Y4705" s="75" t="str">
        <f>IF(AND(OR(N4705="131",O4705="131"),H4705='131-CT'!$H$9),"x","")</f>
        <v/>
      </c>
      <c r="Z4705" s="75"/>
      <c r="AA4705" s="75" t="str">
        <f>IF(AND(MONTH(E4705)='IN-NX'!$J$5,'IN-NX'!$D$7=D4705),"x","")</f>
        <v/>
      </c>
      <c r="AB4705" s="75" t="str">
        <f>IF(AND(OR(LEFT(TH!N5414,2)="15",LEFT(TH!O5414,2)="15"),LEFT(TH!O5414,3)&lt;&gt;"111",'152-CT'!$J$8=TH!F5414),"x","")</f>
        <v/>
      </c>
      <c r="AC4705" s="75" t="str">
        <f>IF(AND(OR(LEFT(TH!N5414,2)="15",LEFT(TH!O5414,2)="15"),TK!$E$7=TH!F5414),"x","")</f>
        <v/>
      </c>
      <c r="AD4705" s="75" t="str">
        <f>IF(AND(N4705="1521",MONTH(C4705)='BK-NL'!$M$11),"x","")</f>
        <v/>
      </c>
      <c r="AE4705">
        <v>8</v>
      </c>
    </row>
    <row r="4706" spans="1:31" ht="16.5" customHeight="1">
      <c r="A4706" s="309" t="str">
        <f>IF(B4706&lt;&gt;"",IF(AND(B4706='IN-TC'!$S$4,OR(TH!N4696="1111",TH!O4696="1111")),TH!D4696,""),"")</f>
        <v/>
      </c>
      <c r="B4706" s="1129">
        <f t="shared" si="1332"/>
        <v>8</v>
      </c>
      <c r="C4706" s="292">
        <f t="shared" si="1331"/>
        <v>42964</v>
      </c>
      <c r="D4706" s="59" t="s">
        <v>902</v>
      </c>
      <c r="E4706" s="59">
        <v>42964</v>
      </c>
      <c r="F4706" s="67" t="s">
        <v>1312</v>
      </c>
      <c r="G4706" s="62" t="s">
        <v>747</v>
      </c>
      <c r="H4706" s="68" t="s">
        <v>560</v>
      </c>
      <c r="I4706" s="373"/>
      <c r="J4706" s="379"/>
      <c r="K4706" s="373"/>
      <c r="L4706" s="379"/>
      <c r="M4706" s="60">
        <v>50000000</v>
      </c>
      <c r="N4706" s="61" t="s">
        <v>8</v>
      </c>
      <c r="O4706" s="61" t="s">
        <v>26</v>
      </c>
      <c r="P4706" s="75" t="str">
        <f>IF(AND('331-CT'!$E$7=TH!H5415,OR(N4706="331",O4706="331")),"x","")</f>
        <v/>
      </c>
      <c r="Q4706" s="75" t="str">
        <f>IF(AND(B4706='111'!$L$11,OR($N4706=$Q$7,$O4706=$Q$7)),"x","")</f>
        <v/>
      </c>
      <c r="R4706" s="75" t="str">
        <f>IF(AND($N4706=$Q$7,$B4706&lt;'111'!$L$11),"x","")</f>
        <v/>
      </c>
      <c r="S4706" s="75" t="str">
        <f>IF(AND($O4706=$Q$7,$B4706&lt;'111'!$L$11),"x","")</f>
        <v/>
      </c>
      <c r="T4706" s="75" t="str">
        <f>IF(ISERROR(FIND('112'!$M$9,G4706,1)),"",IF((AND(FIND('112'!$M$9,G4706,1)&gt;=1,B4706='112'!$K$9,OR($N4706='112'!$I$6,$O4706='112'!$I$6))),"x",""))</f>
        <v/>
      </c>
      <c r="U4706" s="75" t="str">
        <f>IF(ISERROR(FIND('112'!$M$9,G4706,1)),"",IF((AND(LEFT(G4706,2)=LEFT('112'!$M$9,2),B4706&lt;'112'!$K$9,$N4706='112'!$I$6)),"x",""))</f>
        <v/>
      </c>
      <c r="V4706" s="75" t="str">
        <f>IF(ISERROR(FIND('112'!$M$9,G4706,1)),"",IF((AND(RIGHT(G4706,2)=RIGHT('112'!$M$9,2),B4706&lt;'112'!$K$9,$O4706='112'!$I$6)),"x",""))</f>
        <v/>
      </c>
      <c r="W4706" s="75" t="str">
        <f>IF(AND('341-CT'!$H$9=H4706,OR(LEFT(N4706,3)=$W$7,LEFT(O4706,3)=$W$7)),"x","")</f>
        <v/>
      </c>
      <c r="X4706" s="75" t="str">
        <f>IF(OR(TH!N5415=TH!$X$7,O4706=TH!$X$7),"x","")</f>
        <v/>
      </c>
      <c r="Y4706" s="75" t="str">
        <f>IF(AND(OR(N4706="131",O4706="131"),H4706='131-CT'!$H$9),"x","")</f>
        <v/>
      </c>
      <c r="Z4706" s="75"/>
      <c r="AA4706" s="75" t="str">
        <f>IF(AND(MONTH(E4706)='IN-NX'!$J$5,'IN-NX'!$D$7=D4706),"x","")</f>
        <v/>
      </c>
      <c r="AB4706" s="75" t="str">
        <f>IF(AND(OR(LEFT(TH!N5415,2)="15",LEFT(TH!O5415,2)="15"),LEFT(TH!O5415,3)&lt;&gt;"111",'152-CT'!$J$8=TH!F5415),"x","")</f>
        <v/>
      </c>
      <c r="AC4706" s="75" t="str">
        <f>IF(AND(OR(LEFT(TH!N5415,2)="15",LEFT(TH!O5415,2)="15"),TK!$E$7=TH!F5415),"x","")</f>
        <v/>
      </c>
      <c r="AD4706" s="75" t="str">
        <f>IF(AND(N4706="1521",MONTH(C4706)='BK-NL'!$M$11),"x","")</f>
        <v/>
      </c>
    </row>
    <row r="4707" spans="1:31" ht="16.5" customHeight="1">
      <c r="A4707" s="309" t="str">
        <f>IF(B4707&lt;&gt;"",IF(AND(B4707='IN-TC'!$S$4,OR(TH!N4697="1111",TH!O4697="1111")),TH!D4697,""),"")</f>
        <v/>
      </c>
      <c r="B4707" s="1129">
        <f t="shared" si="1332"/>
        <v>8</v>
      </c>
      <c r="C4707" s="292">
        <f t="shared" si="1331"/>
        <v>42964</v>
      </c>
      <c r="D4707" s="59" t="s">
        <v>902</v>
      </c>
      <c r="E4707" s="59">
        <v>42964</v>
      </c>
      <c r="F4707" s="62" t="s">
        <v>1307</v>
      </c>
      <c r="G4707" s="62" t="s">
        <v>747</v>
      </c>
      <c r="H4707" s="67" t="s">
        <v>835</v>
      </c>
      <c r="I4707" s="375"/>
      <c r="J4707" s="381"/>
      <c r="K4707" s="60"/>
      <c r="L4707" s="381"/>
      <c r="M4707" s="60">
        <v>15000</v>
      </c>
      <c r="N4707" s="61" t="s">
        <v>101</v>
      </c>
      <c r="O4707" s="61" t="s">
        <v>26</v>
      </c>
      <c r="P4707" s="75" t="str">
        <f>IF(AND('331-CT'!$E$7=TH!H5416,OR(N4707="331",O4707="331")),"x","")</f>
        <v/>
      </c>
      <c r="Q4707" s="75" t="str">
        <f>IF(AND(B4707='111'!$L$11,OR($N4707=$Q$7,$O4707=$Q$7)),"x","")</f>
        <v/>
      </c>
      <c r="R4707" s="75" t="str">
        <f>IF(AND($N4707=$Q$7,$B4707&lt;'111'!$L$11),"x","")</f>
        <v/>
      </c>
      <c r="S4707" s="75" t="str">
        <f>IF(AND($O4707=$Q$7,$B4707&lt;'111'!$L$11),"x","")</f>
        <v/>
      </c>
      <c r="T4707" s="75" t="str">
        <f>IF(ISERROR(FIND('112'!$M$9,G4707,1)),"",IF((AND(FIND('112'!$M$9,G4707,1)&gt;=1,B4707='112'!$K$9,OR($N4707='112'!$I$6,$O4707='112'!$I$6))),"x",""))</f>
        <v/>
      </c>
      <c r="U4707" s="75" t="str">
        <f>IF(ISERROR(FIND('112'!$M$9,G4707,1)),"",IF((AND(LEFT(G4707,2)=LEFT('112'!$M$9,2),B4707&lt;'112'!$K$9,$N4707='112'!$I$6)),"x",""))</f>
        <v/>
      </c>
      <c r="V4707" s="75" t="str">
        <f>IF(ISERROR(FIND('112'!$M$9,G4707,1)),"",IF((AND(RIGHT(G4707,2)=RIGHT('112'!$M$9,2),B4707&lt;'112'!$K$9,$O4707='112'!$I$6)),"x",""))</f>
        <v/>
      </c>
      <c r="W4707" s="75" t="str">
        <f>IF(AND('341-CT'!$H$9=H4707,OR(LEFT(N4707,3)=$W$7,LEFT(O4707,3)=$W$7)),"x","")</f>
        <v/>
      </c>
      <c r="X4707" s="75" t="str">
        <f>IF(OR(TH!N5416=TH!$X$7,O4707=TH!$X$7),"x","")</f>
        <v/>
      </c>
      <c r="Y4707" s="75" t="str">
        <f>IF(AND(OR(N4707="131",O4707="131"),H4707='131-CT'!$H$9),"x","")</f>
        <v/>
      </c>
      <c r="Z4707" s="75"/>
      <c r="AA4707" s="75" t="str">
        <f>IF(AND(MONTH(E4707)='IN-NX'!$J$5,'IN-NX'!$D$7=D4707),"x","")</f>
        <v/>
      </c>
      <c r="AB4707" s="75" t="str">
        <f>IF(AND(OR(LEFT(TH!N5416,2)="15",LEFT(TH!O5416,2)="15"),LEFT(TH!O5416,3)&lt;&gt;"111",'152-CT'!$J$8=TH!F5416),"x","")</f>
        <v/>
      </c>
      <c r="AC4707" s="75" t="str">
        <f>IF(AND(OR(LEFT(TH!N5416,2)="15",LEFT(TH!O5416,2)="15"),TK!$E$7=TH!F5416),"x","")</f>
        <v/>
      </c>
      <c r="AD4707" s="75" t="str">
        <f>IF(AND(N4707="1521",MONTH(C4707)='BK-NL'!$M$11),"x","")</f>
        <v/>
      </c>
      <c r="AE4707">
        <v>8</v>
      </c>
    </row>
    <row r="4708" spans="1:31" ht="16.5" customHeight="1">
      <c r="A4708" s="309" t="str">
        <f>IF(B4708&lt;&gt;"",IF(AND(B4708='IN-TC'!$S$4,OR(TH!N4698="1111",TH!O4698="1111")),TH!D4698,""),"")</f>
        <v/>
      </c>
      <c r="B4708" s="1129">
        <f t="shared" si="1332"/>
        <v>8</v>
      </c>
      <c r="C4708" s="292">
        <f t="shared" si="1331"/>
        <v>42964</v>
      </c>
      <c r="D4708" s="59" t="s">
        <v>902</v>
      </c>
      <c r="E4708" s="59">
        <v>42964</v>
      </c>
      <c r="F4708" s="62" t="s">
        <v>1314</v>
      </c>
      <c r="G4708" s="62" t="s">
        <v>747</v>
      </c>
      <c r="H4708" s="67" t="s">
        <v>835</v>
      </c>
      <c r="I4708" s="375"/>
      <c r="J4708" s="381"/>
      <c r="K4708" s="375"/>
      <c r="L4708" s="381"/>
      <c r="M4708" s="60">
        <v>1500</v>
      </c>
      <c r="N4708" s="61" t="s">
        <v>9</v>
      </c>
      <c r="O4708" s="61" t="s">
        <v>26</v>
      </c>
      <c r="P4708" s="75" t="str">
        <f>IF(AND('331-CT'!$E$7=TH!H5417,OR(N4708="331",O4708="331")),"x","")</f>
        <v/>
      </c>
      <c r="Q4708" s="75" t="str">
        <f>IF(AND(B4708='111'!$L$11,OR($N4708=$Q$7,$O4708=$Q$7)),"x","")</f>
        <v/>
      </c>
      <c r="R4708" s="75" t="str">
        <f>IF(AND($N4708=$Q$7,$B4708&lt;'111'!$L$11),"x","")</f>
        <v/>
      </c>
      <c r="S4708" s="75" t="str">
        <f>IF(AND($O4708=$Q$7,$B4708&lt;'111'!$L$11),"x","")</f>
        <v/>
      </c>
      <c r="T4708" s="75" t="str">
        <f>IF(ISERROR(FIND('112'!$M$9,G4708,1)),"",IF((AND(FIND('112'!$M$9,G4708,1)&gt;=1,B4708='112'!$K$9,OR($N4708='112'!$I$6,$O4708='112'!$I$6))),"x",""))</f>
        <v/>
      </c>
      <c r="U4708" s="75" t="str">
        <f>IF(ISERROR(FIND('112'!$M$9,G4708,1)),"",IF((AND(LEFT(G4708,2)=LEFT('112'!$M$9,2),B4708&lt;'112'!$K$9,$N4708='112'!$I$6)),"x",""))</f>
        <v/>
      </c>
      <c r="V4708" s="75" t="str">
        <f>IF(ISERROR(FIND('112'!$M$9,G4708,1)),"",IF((AND(RIGHT(G4708,2)=RIGHT('112'!$M$9,2),B4708&lt;'112'!$K$9,$O4708='112'!$I$6)),"x",""))</f>
        <v/>
      </c>
      <c r="W4708" s="75" t="str">
        <f>IF(AND('341-CT'!$H$9=H4708,OR(LEFT(N4708,3)=$W$7,LEFT(O4708,3)=$W$7)),"x","")</f>
        <v/>
      </c>
      <c r="X4708" s="75" t="str">
        <f>IF(OR(TH!N5417=TH!$X$7,O4708=TH!$X$7),"x","")</f>
        <v/>
      </c>
      <c r="Y4708" s="75" t="str">
        <f>IF(AND(OR(N4708="131",O4708="131"),H4708='131-CT'!$H$9),"x","")</f>
        <v/>
      </c>
      <c r="Z4708" s="75"/>
      <c r="AA4708" s="75" t="str">
        <f>IF(AND(MONTH(E4708)='IN-NX'!$J$5,'IN-NX'!$D$7=D4708),"x","")</f>
        <v/>
      </c>
      <c r="AB4708" s="75" t="str">
        <f>IF(AND(OR(LEFT(TH!N5417,2)="15",LEFT(TH!O5417,2)="15"),LEFT(TH!O5417,3)&lt;&gt;"111",'152-CT'!$J$8=TH!F5417),"x","")</f>
        <v/>
      </c>
      <c r="AC4708" s="75" t="str">
        <f>IF(AND(OR(LEFT(TH!N5417,2)="15",LEFT(TH!O5417,2)="15"),TK!$E$7=TH!F5417),"x","")</f>
        <v/>
      </c>
      <c r="AD4708" s="75" t="str">
        <f>IF(AND(N4708="1521",MONTH(C4708)='BK-NL'!$M$11),"x","")</f>
        <v/>
      </c>
      <c r="AE4708">
        <v>8</v>
      </c>
    </row>
    <row r="4709" spans="1:31" ht="16.5" customHeight="1">
      <c r="A4709" s="309" t="str">
        <f>IF(B4709&lt;&gt;"",IF(AND(B4709='IN-TC'!$S$4,OR(TH!N4699="1111",TH!O4699="1111")),TH!D4699,""),"")</f>
        <v/>
      </c>
      <c r="B4709" s="1129">
        <f t="shared" si="1332"/>
        <v>8</v>
      </c>
      <c r="C4709" s="292">
        <f t="shared" si="1331"/>
        <v>42964</v>
      </c>
      <c r="D4709" s="59" t="s">
        <v>902</v>
      </c>
      <c r="E4709" s="59">
        <v>42964</v>
      </c>
      <c r="F4709" s="293" t="s">
        <v>252</v>
      </c>
      <c r="G4709" s="62" t="s">
        <v>747</v>
      </c>
      <c r="H4709" s="67" t="s">
        <v>2036</v>
      </c>
      <c r="I4709" s="373"/>
      <c r="J4709" s="382"/>
      <c r="K4709" s="373">
        <f>M4709/L4709</f>
        <v>111150</v>
      </c>
      <c r="L4709" s="379">
        <v>22720</v>
      </c>
      <c r="M4709" s="60">
        <v>2525328000</v>
      </c>
      <c r="N4709" s="61" t="s">
        <v>26</v>
      </c>
      <c r="O4709" s="61" t="s">
        <v>250</v>
      </c>
      <c r="P4709" s="75" t="str">
        <f>IF(AND('331-CT'!$E$7=TH!H5418,OR(N4709="331",O4709="331")),"x","")</f>
        <v/>
      </c>
      <c r="Q4709" s="75" t="str">
        <f>IF(AND(B4709='111'!$L$11,OR($N4709=$Q$7,$O4709=$Q$7)),"x","")</f>
        <v/>
      </c>
      <c r="R4709" s="75" t="str">
        <f>IF(AND($N4709=$Q$7,$B4709&lt;'111'!$L$11),"x","")</f>
        <v/>
      </c>
      <c r="S4709" s="75" t="str">
        <f>IF(AND($O4709=$Q$7,$B4709&lt;'111'!$L$11),"x","")</f>
        <v/>
      </c>
      <c r="T4709" s="75" t="str">
        <f>IF(ISERROR(FIND('112'!$M$9,G4709,1)),"",IF((AND(FIND('112'!$M$9,G4709,1)&gt;=1,B4709='112'!$K$9,OR($N4709='112'!$I$6,$O4709='112'!$I$6))),"x",""))</f>
        <v/>
      </c>
      <c r="U4709" s="75" t="str">
        <f>IF(ISERROR(FIND('112'!$M$9,G4709,1)),"",IF((AND(LEFT(G4709,2)=LEFT('112'!$M$9,2),B4709&lt;'112'!$K$9,$N4709='112'!$I$6)),"x",""))</f>
        <v/>
      </c>
      <c r="V4709" s="75" t="str">
        <f>IF(ISERROR(FIND('112'!$M$9,G4709,1)),"",IF((AND(RIGHT(G4709,2)=RIGHT('112'!$M$9,2),B4709&lt;'112'!$K$9,$O4709='112'!$I$6)),"x",""))</f>
        <v/>
      </c>
      <c r="W4709" s="75" t="str">
        <f>IF(AND('341-CT'!$H$9=H4709,OR(LEFT(N4709,3)=$W$7,LEFT(O4709,3)=$W$7)),"x","")</f>
        <v/>
      </c>
      <c r="X4709" s="75" t="str">
        <f>IF(OR(TH!N5418=TH!$X$7,O4709=TH!$X$7),"x","")</f>
        <v/>
      </c>
      <c r="Y4709" s="75" t="str">
        <f>IF(AND(OR(N4709="131",O4709="131"),H4709='131-CT'!$H$9),"x","")</f>
        <v/>
      </c>
      <c r="Z4709" s="75"/>
      <c r="AA4709" s="75" t="str">
        <f>IF(AND(MONTH(E4709)='IN-NX'!$J$5,'IN-NX'!$D$7=D4709),"x","")</f>
        <v/>
      </c>
      <c r="AB4709" s="75" t="str">
        <f>IF(AND(OR(LEFT(TH!N5418,2)="15",LEFT(TH!O5418,2)="15"),LEFT(TH!O5418,3)&lt;&gt;"111",'152-CT'!$J$8=TH!F5418),"x","")</f>
        <v/>
      </c>
      <c r="AC4709" s="75" t="str">
        <f>IF(AND(OR(LEFT(TH!N5418,2)="15",LEFT(TH!O5418,2)="15"),TK!$E$7=TH!F5418),"x","")</f>
        <v/>
      </c>
      <c r="AD4709" s="75" t="str">
        <f>IF(AND(N4709="1521",MONTH(C4709)='BK-NL'!$M$11),"x","")</f>
        <v/>
      </c>
    </row>
    <row r="4710" spans="1:31" ht="16.5" customHeight="1">
      <c r="A4710" s="309" t="str">
        <f>IF(B4710&lt;&gt;"",IF(AND(B4710='IN-TC'!$S$4,OR(TH!N4700="1111",TH!O4700="1111")),TH!D4700,""),"")</f>
        <v/>
      </c>
      <c r="B4710" s="1129">
        <f t="shared" si="1332"/>
        <v>8</v>
      </c>
      <c r="C4710" s="292">
        <f t="shared" si="1331"/>
        <v>42965</v>
      </c>
      <c r="D4710" s="292" t="s">
        <v>853</v>
      </c>
      <c r="E4710" s="292">
        <v>42965</v>
      </c>
      <c r="F4710" s="293" t="s">
        <v>834</v>
      </c>
      <c r="G4710" s="943" t="s">
        <v>747</v>
      </c>
      <c r="H4710" s="67" t="s">
        <v>1023</v>
      </c>
      <c r="I4710" s="373"/>
      <c r="J4710" s="926"/>
      <c r="K4710" s="373"/>
      <c r="L4710" s="379"/>
      <c r="M4710" s="927">
        <v>4750000000</v>
      </c>
      <c r="N4710" s="295" t="s">
        <v>63</v>
      </c>
      <c r="O4710" s="295" t="s">
        <v>26</v>
      </c>
      <c r="P4710" s="75" t="str">
        <f>IF(AND('331-CT'!$E$7=TH!H5423,OR(N4710="331",O4710="331")),"x","")</f>
        <v/>
      </c>
      <c r="Q4710" s="75" t="str">
        <f>IF(AND(B4710='111'!$L$11,OR($N4710=$Q$7,$O4710=$Q$7)),"x","")</f>
        <v/>
      </c>
      <c r="R4710" s="75" t="str">
        <f>IF(AND($N4710=$Q$7,$B4710&lt;'111'!$L$11),"x","")</f>
        <v>x</v>
      </c>
      <c r="S4710" s="75" t="str">
        <f>IF(AND($O4710=$Q$7,$B4710&lt;'111'!$L$11),"x","")</f>
        <v/>
      </c>
      <c r="T4710" s="75" t="str">
        <f>IF(ISERROR(FIND('112'!$M$9,G4710,1)),"",IF((AND(FIND('112'!$M$9,G4710,1)&gt;=1,B4710='112'!$K$9,OR($N4710='112'!$I$6,$O4710='112'!$I$6))),"x",""))</f>
        <v/>
      </c>
      <c r="U4710" s="75" t="str">
        <f>IF(ISERROR(FIND('112'!$M$9,G4710,1)),"",IF((AND(LEFT(G4710,2)=LEFT('112'!$M$9,2),B4710&lt;'112'!$K$9,$N4710='112'!$I$6)),"x",""))</f>
        <v/>
      </c>
      <c r="V4710" s="75" t="str">
        <f>IF(ISERROR(FIND('112'!$M$9,G4710,1)),"",IF((AND(RIGHT(G4710,2)=RIGHT('112'!$M$9,2),B4710&lt;'112'!$K$9,$O4710='112'!$I$6)),"x",""))</f>
        <v/>
      </c>
      <c r="W4710" s="75" t="str">
        <f>IF(AND('341-CT'!$H$9=H4710,OR(LEFT(N4710,3)=$W$7,LEFT(O4710,3)=$W$7)),"x","")</f>
        <v/>
      </c>
      <c r="X4710" s="75" t="str">
        <f>IF(OR(TH!N5423=TH!$X$7,O4710=TH!$X$7),"x","")</f>
        <v/>
      </c>
      <c r="Y4710" s="75" t="str">
        <f>IF(AND(OR(N4710="131",O4710="131"),H4710='131-CT'!$H$9),"x","")</f>
        <v/>
      </c>
      <c r="Z4710" s="75"/>
      <c r="AA4710" s="75" t="str">
        <f>IF(AND(MONTH(E4710)='IN-NX'!$J$5,'IN-NX'!$D$7=D4710),"x","")</f>
        <v/>
      </c>
      <c r="AB4710" s="75" t="str">
        <f>IF(AND(OR(LEFT(TH!N5423,2)="15",LEFT(TH!O5423,2)="15"),LEFT(TH!O5423,3)&lt;&gt;"111",'152-CT'!$J$8=TH!F5423),"x","")</f>
        <v/>
      </c>
      <c r="AC4710" s="75" t="str">
        <f>IF(AND(OR(LEFT(TH!N5423,2)="15",LEFT(TH!O5423,2)="15"),TK!$E$7=TH!F5423),"x","")</f>
        <v/>
      </c>
      <c r="AD4710" s="75" t="str">
        <f>IF(AND(N4710="1521",MONTH(C4710)='BK-NL'!$M$11),"x","")</f>
        <v/>
      </c>
    </row>
    <row r="4711" spans="1:31" ht="16.5" customHeight="1">
      <c r="A4711" s="309" t="str">
        <f>IF(B4711&lt;&gt;"",IF(AND(B4711='IN-TC'!$S$4,OR(TH!N4701="1111",TH!O4701="1111")),TH!D4701,""),"")</f>
        <v/>
      </c>
      <c r="B4711" s="1129">
        <f t="shared" si="1332"/>
        <v>8</v>
      </c>
      <c r="C4711" s="292">
        <f t="shared" si="1331"/>
        <v>42965</v>
      </c>
      <c r="D4711" s="292"/>
      <c r="E4711" s="292">
        <v>42965</v>
      </c>
      <c r="F4711" s="293" t="s">
        <v>2065</v>
      </c>
      <c r="G4711" s="925" t="s">
        <v>2067</v>
      </c>
      <c r="H4711" s="294" t="s">
        <v>755</v>
      </c>
      <c r="I4711" s="373"/>
      <c r="J4711" s="926"/>
      <c r="K4711" s="373"/>
      <c r="L4711" s="379"/>
      <c r="M4711" s="927">
        <v>6063800</v>
      </c>
      <c r="N4711" s="295" t="s">
        <v>539</v>
      </c>
      <c r="O4711" s="295" t="s">
        <v>63</v>
      </c>
      <c r="P4711" s="75" t="str">
        <f>IF(AND('331-CT'!$E$7=TH!H3830,OR(N4711="331",O4711="331")),"x","")</f>
        <v/>
      </c>
      <c r="Q4711" s="75" t="str">
        <f>IF(AND(B4711='111'!$L$11,OR($N4711=$Q$7,$O4711=$Q$7)),"x","")</f>
        <v/>
      </c>
      <c r="R4711" s="75" t="str">
        <f>IF(AND($N4711=$Q$7,$B4711&lt;'111'!$L$11),"x","")</f>
        <v/>
      </c>
      <c r="S4711" s="75" t="str">
        <f>IF(AND($O4711=$Q$7,$B4711&lt;'111'!$L$11),"x","")</f>
        <v>x</v>
      </c>
      <c r="T4711" s="75" t="str">
        <f>IF(ISERROR(FIND('112'!$M$9,G4711,1)),"",IF((AND(FIND('112'!$M$9,G4711,1)&gt;=1,B4711='112'!$K$9,OR($N4711='112'!$I$6,$O4711='112'!$I$6))),"x",""))</f>
        <v/>
      </c>
      <c r="U4711" s="75" t="str">
        <f>IF(ISERROR(FIND('112'!$M$9,G4711,1)),"",IF((AND(LEFT(G4711,2)=LEFT('112'!$M$9,2),B4711&lt;'112'!$K$9,$N4711='112'!$I$6)),"x",""))</f>
        <v/>
      </c>
      <c r="V4711" s="75" t="str">
        <f>IF(ISERROR(FIND('112'!$M$9,G4711,1)),"",IF((AND(RIGHT(G4711,2)=RIGHT('112'!$M$9,2),B4711&lt;'112'!$K$9,$O4711='112'!$I$6)),"x",""))</f>
        <v/>
      </c>
      <c r="W4711" s="75" t="str">
        <f>IF(AND('341-CT'!$H$9=H4711,OR(LEFT(N4711,3)=$W$7,LEFT(O4711,3)=$W$7)),"x","")</f>
        <v/>
      </c>
      <c r="X4711" s="75" t="str">
        <f>IF(OR(TH!N3830=TH!$X$7,O4711=TH!$X$7),"x","")</f>
        <v/>
      </c>
      <c r="Y4711" s="75" t="str">
        <f>IF(AND(OR(N4711="131",O4711="131"),H4711='131-CT'!$H$9),"x","")</f>
        <v/>
      </c>
      <c r="Z4711" s="75"/>
      <c r="AA4711" s="75" t="str">
        <f>IF(AND(MONTH(E4711)='IN-NX'!$J$5,'IN-NX'!$D$7=D4711),"x","")</f>
        <v/>
      </c>
      <c r="AB4711" s="75" t="str">
        <f>IF(AND(OR(LEFT(TH!N3830,2)="15",LEFT(TH!O3830,2)="15"),LEFT(TH!O3830,3)&lt;&gt;"111",'152-CT'!$J$8=TH!F3830),"x","")</f>
        <v/>
      </c>
      <c r="AC4711" s="75" t="str">
        <f>IF(AND(OR(LEFT(TH!N3830,2)="15",LEFT(TH!O3830,2)="15"),TK!$E$7=TH!F3830),"x","")</f>
        <v/>
      </c>
      <c r="AD4711" s="75" t="str">
        <f>IF(AND(N4711="1521",MONTH(C4711)='BK-NL'!$M$11),"x","")</f>
        <v/>
      </c>
      <c r="AE4711">
        <v>8</v>
      </c>
    </row>
    <row r="4712" spans="1:31" ht="16.5" customHeight="1">
      <c r="A4712" s="309" t="str">
        <f>IF(B4712&lt;&gt;"",IF(AND(B4712='IN-TC'!$S$4,OR(TH!N4702="1111",TH!O4702="1111")),TH!D4702,""),"")</f>
        <v/>
      </c>
      <c r="B4712" s="1129">
        <f t="shared" si="1332"/>
        <v>8</v>
      </c>
      <c r="C4712" s="292">
        <f t="shared" si="1331"/>
        <v>42965</v>
      </c>
      <c r="D4712" s="292"/>
      <c r="E4712" s="292">
        <v>42965</v>
      </c>
      <c r="F4712" s="293" t="s">
        <v>2066</v>
      </c>
      <c r="G4712" s="925" t="s">
        <v>2067</v>
      </c>
      <c r="H4712" s="294" t="s">
        <v>755</v>
      </c>
      <c r="I4712" s="373"/>
      <c r="J4712" s="926"/>
      <c r="K4712" s="373"/>
      <c r="L4712" s="379"/>
      <c r="M4712" s="927">
        <v>606380</v>
      </c>
      <c r="N4712" s="295" t="s">
        <v>9</v>
      </c>
      <c r="O4712" s="295" t="s">
        <v>63</v>
      </c>
      <c r="P4712" s="75" t="str">
        <f>IF(AND('331-CT'!$E$7=TH!H3831,OR(N4712="331",O4712="331")),"x","")</f>
        <v/>
      </c>
      <c r="Q4712" s="75" t="str">
        <f>IF(AND(B4712='111'!$L$11,OR($N4712=$Q$7,$O4712=$Q$7)),"x","")</f>
        <v/>
      </c>
      <c r="R4712" s="75" t="str">
        <f>IF(AND($N4712=$Q$7,$B4712&lt;'111'!$L$11),"x","")</f>
        <v/>
      </c>
      <c r="S4712" s="75" t="str">
        <f>IF(AND($O4712=$Q$7,$B4712&lt;'111'!$L$11),"x","")</f>
        <v>x</v>
      </c>
      <c r="T4712" s="75" t="str">
        <f>IF(ISERROR(FIND('112'!$M$9,G4712,1)),"",IF((AND(FIND('112'!$M$9,G4712,1)&gt;=1,B4712='112'!$K$9,OR($N4712='112'!$I$6,$O4712='112'!$I$6))),"x",""))</f>
        <v/>
      </c>
      <c r="U4712" s="75" t="str">
        <f>IF(ISERROR(FIND('112'!$M$9,G4712,1)),"",IF((AND(LEFT(G4712,2)=LEFT('112'!$M$9,2),B4712&lt;'112'!$K$9,$N4712='112'!$I$6)),"x",""))</f>
        <v/>
      </c>
      <c r="V4712" s="75" t="str">
        <f>IF(ISERROR(FIND('112'!$M$9,G4712,1)),"",IF((AND(RIGHT(G4712,2)=RIGHT('112'!$M$9,2),B4712&lt;'112'!$K$9,$O4712='112'!$I$6)),"x",""))</f>
        <v/>
      </c>
      <c r="W4712" s="75" t="str">
        <f>IF(AND('341-CT'!$H$9=H4712,OR(LEFT(N4712,3)=$W$7,LEFT(O4712,3)=$W$7)),"x","")</f>
        <v/>
      </c>
      <c r="X4712" s="75" t="str">
        <f>IF(OR(TH!N3831=TH!$X$7,O4712=TH!$X$7),"x","")</f>
        <v/>
      </c>
      <c r="Y4712" s="75" t="str">
        <f>IF(AND(OR(N4712="131",O4712="131"),H4712='131-CT'!$H$9),"x","")</f>
        <v/>
      </c>
      <c r="Z4712" s="75"/>
      <c r="AA4712" s="75" t="str">
        <f>IF(AND(MONTH(E4712)='IN-NX'!$J$5,'IN-NX'!$D$7=D4712),"x","")</f>
        <v/>
      </c>
      <c r="AB4712" s="75" t="str">
        <f>IF(AND(OR(LEFT(TH!N3831,2)="15",LEFT(TH!O3831,2)="15"),LEFT(TH!O3831,3)&lt;&gt;"111",'152-CT'!$J$8=TH!F3831),"x","")</f>
        <v/>
      </c>
      <c r="AC4712" s="75" t="str">
        <f>IF(AND(OR(LEFT(TH!N3831,2)="15",LEFT(TH!O3831,2)="15"),TK!$E$7=TH!F3831),"x","")</f>
        <v/>
      </c>
      <c r="AD4712" s="75" t="str">
        <f>IF(AND(N4712="1521",MONTH(C4712)='BK-NL'!$M$11),"x","")</f>
        <v/>
      </c>
      <c r="AE4712">
        <v>8</v>
      </c>
    </row>
    <row r="4713" spans="1:31" ht="16.5" customHeight="1">
      <c r="A4713" s="309" t="str">
        <f>IF(B4713&lt;&gt;"",IF(AND(B4713='IN-TC'!$S$4,OR(TH!N4703="1111",TH!O4703="1111")),TH!D4703,""),"")</f>
        <v/>
      </c>
      <c r="B4713" s="1129">
        <f t="shared" si="1332"/>
        <v>8</v>
      </c>
      <c r="C4713" s="292">
        <f t="shared" si="1331"/>
        <v>42965</v>
      </c>
      <c r="D4713" s="292"/>
      <c r="E4713" s="292">
        <v>42965</v>
      </c>
      <c r="F4713" s="67" t="s">
        <v>1165</v>
      </c>
      <c r="G4713" s="925" t="s">
        <v>2144</v>
      </c>
      <c r="H4713" s="294" t="s">
        <v>1684</v>
      </c>
      <c r="I4713" s="373"/>
      <c r="J4713" s="926"/>
      <c r="K4713" s="373"/>
      <c r="L4713" s="379"/>
      <c r="M4713" s="927">
        <v>19762050</v>
      </c>
      <c r="N4713" s="295" t="s">
        <v>8</v>
      </c>
      <c r="O4713" s="295" t="s">
        <v>63</v>
      </c>
      <c r="P4713" s="75" t="str">
        <f>IF(AND('331-CT'!$E$7=TH!H3832,OR(N4713="331",O4713="331")),"x","")</f>
        <v/>
      </c>
      <c r="Q4713" s="75" t="str">
        <f>IF(AND(B4713='111'!$L$11,OR($N4713=$Q$7,$O4713=$Q$7)),"x","")</f>
        <v/>
      </c>
      <c r="R4713" s="75" t="str">
        <f>IF(AND($N4713=$Q$7,$B4713&lt;'111'!$L$11),"x","")</f>
        <v/>
      </c>
      <c r="S4713" s="75" t="str">
        <f>IF(AND($O4713=$Q$7,$B4713&lt;'111'!$L$11),"x","")</f>
        <v>x</v>
      </c>
      <c r="T4713" s="75" t="str">
        <f>IF(ISERROR(FIND('112'!$M$9,G4713,1)),"",IF((AND(FIND('112'!$M$9,G4713,1)&gt;=1,B4713='112'!$K$9,OR($N4713='112'!$I$6,$O4713='112'!$I$6))),"x",""))</f>
        <v/>
      </c>
      <c r="U4713" s="75" t="str">
        <f>IF(ISERROR(FIND('112'!$M$9,G4713,1)),"",IF((AND(LEFT(G4713,2)=LEFT('112'!$M$9,2),B4713&lt;'112'!$K$9,$N4713='112'!$I$6)),"x",""))</f>
        <v/>
      </c>
      <c r="V4713" s="75" t="str">
        <f>IF(ISERROR(FIND('112'!$M$9,G4713,1)),"",IF((AND(RIGHT(G4713,2)=RIGHT('112'!$M$9,2),B4713&lt;'112'!$K$9,$O4713='112'!$I$6)),"x",""))</f>
        <v/>
      </c>
      <c r="W4713" s="75" t="str">
        <f>IF(AND('341-CT'!$H$9=H4713,OR(LEFT(N4713,3)=$W$7,LEFT(O4713,3)=$W$7)),"x","")</f>
        <v/>
      </c>
      <c r="X4713" s="75" t="str">
        <f>IF(OR(TH!N3832=TH!$X$7,O4713=TH!$X$7),"x","")</f>
        <v/>
      </c>
      <c r="Y4713" s="75" t="str">
        <f>IF(AND(OR(N4713="131",O4713="131"),H4713='131-CT'!$H$9),"x","")</f>
        <v/>
      </c>
      <c r="Z4713" s="75"/>
      <c r="AA4713" s="75" t="str">
        <f>IF(AND(MONTH(E4713)='IN-NX'!$J$5,'IN-NX'!$D$7=D4713),"x","")</f>
        <v/>
      </c>
      <c r="AB4713" s="75" t="str">
        <f>IF(AND(OR(LEFT(TH!N3832,2)="15",LEFT(TH!O3832,2)="15"),LEFT(TH!O3832,3)&lt;&gt;"111",'152-CT'!$J$8=TH!F3832),"x","")</f>
        <v/>
      </c>
      <c r="AC4713" s="75" t="str">
        <f>IF(AND(OR(LEFT(TH!N3832,2)="15",LEFT(TH!O3832,2)="15"),TK!$E$7=TH!F3832),"x","")</f>
        <v/>
      </c>
      <c r="AD4713" s="75" t="str">
        <f>IF(AND(N4713="1521",MONTH(C4713)='BK-NL'!$M$11),"x","")</f>
        <v/>
      </c>
    </row>
    <row r="4714" spans="1:31" ht="16.5" customHeight="1">
      <c r="A4714" s="309" t="str">
        <f>IF(B4714&lt;&gt;"",IF(AND(B4714='IN-TC'!$S$4,OR(TH!N4704="1111",TH!O4704="1111")),TH!D4704,""),"")</f>
        <v/>
      </c>
      <c r="B4714" s="1129">
        <f t="shared" si="1332"/>
        <v>8</v>
      </c>
      <c r="C4714" s="292">
        <f t="shared" si="1331"/>
        <v>42965</v>
      </c>
      <c r="D4714" s="292"/>
      <c r="E4714" s="292">
        <v>42965</v>
      </c>
      <c r="F4714" s="1010" t="s">
        <v>1881</v>
      </c>
      <c r="G4714" s="925"/>
      <c r="H4714" s="311" t="s">
        <v>1890</v>
      </c>
      <c r="I4714" s="373"/>
      <c r="J4714" s="926"/>
      <c r="K4714" s="373"/>
      <c r="L4714" s="379"/>
      <c r="M4714" s="927">
        <v>2645173000</v>
      </c>
      <c r="N4714" s="295" t="s">
        <v>8</v>
      </c>
      <c r="O4714" s="295" t="s">
        <v>63</v>
      </c>
      <c r="P4714" s="75" t="str">
        <f>IF(AND('331-CT'!$E$7=TH!H4303,OR(N4714="331",O4714="331")),"x","")</f>
        <v/>
      </c>
      <c r="Q4714" s="75" t="str">
        <f>IF(AND(B4714='111'!$L$11,OR($N4714=$Q$7,$O4714=$Q$7)),"x","")</f>
        <v/>
      </c>
      <c r="R4714" s="75" t="str">
        <f>IF(AND($N4714=$Q$7,$B4714&lt;'111'!$L$11),"x","")</f>
        <v/>
      </c>
      <c r="S4714" s="75" t="str">
        <f>IF(AND($O4714=$Q$7,$B4714&lt;'111'!$L$11),"x","")</f>
        <v>x</v>
      </c>
      <c r="T4714" s="75" t="str">
        <f>IF(ISERROR(FIND('112'!$M$9,G4714,1)),"",IF((AND(FIND('112'!$M$9,G4714,1)&gt;=1,B4714='112'!$K$9,OR($N4714='112'!$I$6,$O4714='112'!$I$6))),"x",""))</f>
        <v/>
      </c>
      <c r="U4714" s="75" t="str">
        <f>IF(ISERROR(FIND('112'!$M$9,G4714,1)),"",IF((AND(LEFT(G4714,2)=LEFT('112'!$M$9,2),B4714&lt;'112'!$K$9,$N4714='112'!$I$6)),"x",""))</f>
        <v/>
      </c>
      <c r="V4714" s="75" t="str">
        <f>IF(ISERROR(FIND('112'!$M$9,G4714,1)),"",IF((AND(RIGHT(G4714,2)=RIGHT('112'!$M$9,2),B4714&lt;'112'!$K$9,$O4714='112'!$I$6)),"x",""))</f>
        <v/>
      </c>
      <c r="W4714" s="75" t="str">
        <f>IF(AND('341-CT'!$H$9=H4714,OR(LEFT(N4714,3)=$W$7,LEFT(O4714,3)=$W$7)),"x","")</f>
        <v/>
      </c>
      <c r="X4714" s="75" t="str">
        <f>IF(OR(TH!N4303=TH!$X$7,O4714=TH!$X$7),"x","")</f>
        <v/>
      </c>
      <c r="Y4714" s="75" t="str">
        <f>IF(AND(OR(N4714="131",O4714="131"),H4714='131-CT'!$H$9),"x","")</f>
        <v/>
      </c>
      <c r="Z4714" s="75"/>
      <c r="AA4714" s="75" t="str">
        <f>IF(AND(MONTH(E4714)='IN-NX'!$J$5,'IN-NX'!$D$7=D4714),"x","")</f>
        <v/>
      </c>
      <c r="AB4714" s="75" t="str">
        <f>IF(AND(OR(LEFT(TH!N4303,2)="15",LEFT(TH!O4303,2)="15"),LEFT(TH!O4303,3)&lt;&gt;"111",'152-CT'!$J$8=TH!F4303),"x","")</f>
        <v/>
      </c>
      <c r="AC4714" s="75" t="str">
        <f>IF(AND(OR(LEFT(TH!N4303,2)="15",LEFT(TH!O4303,2)="15"),TK!$E$7=TH!F4303),"x","")</f>
        <v/>
      </c>
      <c r="AD4714" s="75" t="str">
        <f>IF(AND(N4714="1521",MONTH(C4714)='BK-NL'!$M$11),"x","")</f>
        <v/>
      </c>
    </row>
    <row r="4715" spans="1:31" ht="16.5" customHeight="1">
      <c r="A4715" s="309" t="str">
        <f>IF(B4715&lt;&gt;"",IF(AND(B4715='IN-TC'!$S$4,OR(TH!N4705="1111",TH!O4705="1111")),TH!D4705,""),"")</f>
        <v/>
      </c>
      <c r="B4715" s="1129">
        <f t="shared" si="1332"/>
        <v>8</v>
      </c>
      <c r="C4715" s="292">
        <f t="shared" si="1331"/>
        <v>42965</v>
      </c>
      <c r="D4715" s="292"/>
      <c r="E4715" s="292">
        <v>42965</v>
      </c>
      <c r="F4715" s="1010" t="s">
        <v>1883</v>
      </c>
      <c r="G4715" s="925"/>
      <c r="H4715" s="311"/>
      <c r="I4715" s="373"/>
      <c r="J4715" s="926"/>
      <c r="K4715" s="373"/>
      <c r="L4715" s="379"/>
      <c r="M4715" s="927">
        <v>500000</v>
      </c>
      <c r="N4715" s="295" t="s">
        <v>101</v>
      </c>
      <c r="O4715" s="295" t="s">
        <v>63</v>
      </c>
      <c r="P4715" s="75" t="str">
        <f>IF(AND('331-CT'!$E$7=TH!H4304,OR(N4715="331",O4715="331")),"x","")</f>
        <v/>
      </c>
      <c r="Q4715" s="75" t="str">
        <f>IF(AND(B4715='111'!$L$11,OR($N4715=$Q$7,$O4715=$Q$7)),"x","")</f>
        <v/>
      </c>
      <c r="R4715" s="75" t="str">
        <f>IF(AND($N4715=$Q$7,$B4715&lt;'111'!$L$11),"x","")</f>
        <v/>
      </c>
      <c r="S4715" s="75" t="str">
        <f>IF(AND($O4715=$Q$7,$B4715&lt;'111'!$L$11),"x","")</f>
        <v>x</v>
      </c>
      <c r="T4715" s="75" t="str">
        <f>IF(ISERROR(FIND('112'!$M$9,G4715,1)),"",IF((AND(FIND('112'!$M$9,G4715,1)&gt;=1,B4715='112'!$K$9,OR($N4715='112'!$I$6,$O4715='112'!$I$6))),"x",""))</f>
        <v/>
      </c>
      <c r="U4715" s="75" t="str">
        <f>IF(ISERROR(FIND('112'!$M$9,G4715,1)),"",IF((AND(LEFT(G4715,2)=LEFT('112'!$M$9,2),B4715&lt;'112'!$K$9,$N4715='112'!$I$6)),"x",""))</f>
        <v/>
      </c>
      <c r="V4715" s="75" t="str">
        <f>IF(ISERROR(FIND('112'!$M$9,G4715,1)),"",IF((AND(RIGHT(G4715,2)=RIGHT('112'!$M$9,2),B4715&lt;'112'!$K$9,$O4715='112'!$I$6)),"x",""))</f>
        <v/>
      </c>
      <c r="W4715" s="75" t="str">
        <f>IF(AND('341-CT'!$H$9=H4715,OR(LEFT(N4715,3)=$W$7,LEFT(O4715,3)=$W$7)),"x","")</f>
        <v/>
      </c>
      <c r="X4715" s="75" t="str">
        <f>IF(OR(TH!N4304=TH!$X$7,O4715=TH!$X$7),"x","")</f>
        <v/>
      </c>
      <c r="Y4715" s="75" t="str">
        <f>IF(AND(OR(N4715="131",O4715="131"),H4715='131-CT'!$H$9),"x","")</f>
        <v/>
      </c>
      <c r="Z4715" s="75"/>
      <c r="AA4715" s="75" t="str">
        <f>IF(AND(MONTH(E4715)='IN-NX'!$J$5,'IN-NX'!$D$7=D4715),"x","")</f>
        <v/>
      </c>
      <c r="AB4715" s="75" t="str">
        <f>IF(AND(OR(LEFT(TH!N4304,2)="15",LEFT(TH!O4304,2)="15"),LEFT(TH!O4304,3)&lt;&gt;"111",'152-CT'!$J$8=TH!F4304),"x","")</f>
        <v/>
      </c>
      <c r="AC4715" s="75" t="str">
        <f>IF(AND(OR(LEFT(TH!N4304,2)="15",LEFT(TH!O4304,2)="15"),TK!$E$7=TH!F4304),"x","")</f>
        <v/>
      </c>
      <c r="AD4715" s="75" t="str">
        <f>IF(AND(N4715="1521",MONTH(C4715)='BK-NL'!$M$11),"x","")</f>
        <v/>
      </c>
      <c r="AE4715">
        <v>9</v>
      </c>
    </row>
    <row r="4716" spans="1:31" ht="16.5" customHeight="1">
      <c r="A4716" s="309" t="str">
        <f>IF(B4716&lt;&gt;"",IF(AND(B4716='IN-TC'!$S$4,OR(TH!N4706="1111",TH!O4706="1111")),TH!D4706,""),"")</f>
        <v/>
      </c>
      <c r="B4716" s="1129">
        <f t="shared" si="1332"/>
        <v>8</v>
      </c>
      <c r="C4716" s="292">
        <f t="shared" si="1331"/>
        <v>42965</v>
      </c>
      <c r="D4716" s="292"/>
      <c r="E4716" s="292">
        <v>42965</v>
      </c>
      <c r="F4716" s="1010" t="s">
        <v>1895</v>
      </c>
      <c r="G4716" s="925"/>
      <c r="H4716" s="311"/>
      <c r="I4716" s="373"/>
      <c r="J4716" s="926"/>
      <c r="K4716" s="373"/>
      <c r="L4716" s="379"/>
      <c r="M4716" s="927">
        <v>50000</v>
      </c>
      <c r="N4716" s="295" t="s">
        <v>9</v>
      </c>
      <c r="O4716" s="295" t="s">
        <v>63</v>
      </c>
      <c r="P4716" s="75" t="str">
        <f>IF(AND('331-CT'!$E$7=TH!H4305,OR(N4716="331",O4716="331")),"x","")</f>
        <v/>
      </c>
      <c r="Q4716" s="75" t="str">
        <f>IF(AND(B4716='111'!$L$11,OR($N4716=$Q$7,$O4716=$Q$7)),"x","")</f>
        <v/>
      </c>
      <c r="R4716" s="75" t="str">
        <f>IF(AND($N4716=$Q$7,$B4716&lt;'111'!$L$11),"x","")</f>
        <v/>
      </c>
      <c r="S4716" s="75" t="str">
        <f>IF(AND($O4716=$Q$7,$B4716&lt;'111'!$L$11),"x","")</f>
        <v>x</v>
      </c>
      <c r="T4716" s="75" t="str">
        <f>IF(ISERROR(FIND('112'!$M$9,G4716,1)),"",IF((AND(FIND('112'!$M$9,G4716,1)&gt;=1,B4716='112'!$K$9,OR($N4716='112'!$I$6,$O4716='112'!$I$6))),"x",""))</f>
        <v/>
      </c>
      <c r="U4716" s="75" t="str">
        <f>IF(ISERROR(FIND('112'!$M$9,G4716,1)),"",IF((AND(LEFT(G4716,2)=LEFT('112'!$M$9,2),B4716&lt;'112'!$K$9,$N4716='112'!$I$6)),"x",""))</f>
        <v/>
      </c>
      <c r="V4716" s="75" t="str">
        <f>IF(ISERROR(FIND('112'!$M$9,G4716,1)),"",IF((AND(RIGHT(G4716,2)=RIGHT('112'!$M$9,2),B4716&lt;'112'!$K$9,$O4716='112'!$I$6)),"x",""))</f>
        <v/>
      </c>
      <c r="W4716" s="75" t="str">
        <f>IF(AND('341-CT'!$H$9=H4716,OR(LEFT(N4716,3)=$W$7,LEFT(O4716,3)=$W$7)),"x","")</f>
        <v/>
      </c>
      <c r="X4716" s="75" t="str">
        <f>IF(OR(TH!N4305=TH!$X$7,O4716=TH!$X$7),"x","")</f>
        <v/>
      </c>
      <c r="Y4716" s="75" t="str">
        <f>IF(AND(OR(N4716="131",O4716="131"),H4716='131-CT'!$H$9),"x","")</f>
        <v/>
      </c>
      <c r="Z4716" s="75"/>
      <c r="AA4716" s="75" t="str">
        <f>IF(AND(MONTH(E4716)='IN-NX'!$J$5,'IN-NX'!$D$7=D4716),"x","")</f>
        <v/>
      </c>
      <c r="AB4716" s="75" t="str">
        <f>IF(AND(OR(LEFT(TH!N4305,2)="15",LEFT(TH!O4305,2)="15"),LEFT(TH!O4305,3)&lt;&gt;"111",'152-CT'!$J$8=TH!F4305),"x","")</f>
        <v/>
      </c>
      <c r="AC4716" s="75" t="str">
        <f>IF(AND(OR(LEFT(TH!N4305,2)="15",LEFT(TH!O4305,2)="15"),TK!$E$7=TH!F4305),"x","")</f>
        <v/>
      </c>
      <c r="AD4716" s="75" t="str">
        <f>IF(AND(N4716="1521",MONTH(C4716)='BK-NL'!$M$11),"x","")</f>
        <v/>
      </c>
      <c r="AE4716">
        <v>9</v>
      </c>
    </row>
    <row r="4717" spans="1:31" ht="16.5" customHeight="1">
      <c r="A4717" s="309" t="str">
        <f>IF(B4717&lt;&gt;"",IF(AND(B4717='IN-TC'!$S$4,OR(TH!N4707="1111",TH!O4707="1111")),TH!D4707,""),"")</f>
        <v/>
      </c>
      <c r="B4717" s="1129">
        <f t="shared" si="1332"/>
        <v>8</v>
      </c>
      <c r="C4717" s="292">
        <f t="shared" si="1331"/>
        <v>42965</v>
      </c>
      <c r="D4717" s="59" t="s">
        <v>902</v>
      </c>
      <c r="E4717" s="59">
        <v>42965</v>
      </c>
      <c r="F4717" s="67" t="s">
        <v>897</v>
      </c>
      <c r="G4717" s="62" t="s">
        <v>747</v>
      </c>
      <c r="H4717" s="294" t="s">
        <v>789</v>
      </c>
      <c r="I4717" s="373"/>
      <c r="J4717" s="379"/>
      <c r="K4717" s="373"/>
      <c r="L4717" s="379"/>
      <c r="M4717" s="60">
        <v>2474069800</v>
      </c>
      <c r="N4717" s="61" t="s">
        <v>8</v>
      </c>
      <c r="O4717" s="61" t="s">
        <v>26</v>
      </c>
      <c r="P4717" s="75" t="str">
        <f>IF(AND('331-CT'!$E$7=TH!H5420,OR(N4717="331",O4717="331")),"x","")</f>
        <v/>
      </c>
      <c r="Q4717" s="75" t="str">
        <f>IF(AND(B4717='111'!$L$11,OR($N4717=$Q$7,$O4717=$Q$7)),"x","")</f>
        <v/>
      </c>
      <c r="R4717" s="75" t="str">
        <f>IF(AND($N4717=$Q$7,$B4717&lt;'111'!$L$11),"x","")</f>
        <v/>
      </c>
      <c r="S4717" s="75" t="str">
        <f>IF(AND($O4717=$Q$7,$B4717&lt;'111'!$L$11),"x","")</f>
        <v/>
      </c>
      <c r="T4717" s="75" t="str">
        <f>IF(ISERROR(FIND('112'!$M$9,G4717,1)),"",IF((AND(FIND('112'!$M$9,G4717,1)&gt;=1,B4717='112'!$K$9,OR($N4717='112'!$I$6,$O4717='112'!$I$6))),"x",""))</f>
        <v/>
      </c>
      <c r="U4717" s="75" t="str">
        <f>IF(ISERROR(FIND('112'!$M$9,G4717,1)),"",IF((AND(LEFT(G4717,2)=LEFT('112'!$M$9,2),B4717&lt;'112'!$K$9,$N4717='112'!$I$6)),"x",""))</f>
        <v/>
      </c>
      <c r="V4717" s="75" t="str">
        <f>IF(ISERROR(FIND('112'!$M$9,G4717,1)),"",IF((AND(RIGHT(G4717,2)=RIGHT('112'!$M$9,2),B4717&lt;'112'!$K$9,$O4717='112'!$I$6)),"x",""))</f>
        <v/>
      </c>
      <c r="W4717" s="75" t="str">
        <f>IF(AND('341-CT'!$H$9=H4717,OR(LEFT(N4717,3)=$W$7,LEFT(O4717,3)=$W$7)),"x","")</f>
        <v/>
      </c>
      <c r="X4717" s="75" t="str">
        <f>IF(OR(TH!N5420=TH!$X$7,O4717=TH!$X$7),"x","")</f>
        <v/>
      </c>
      <c r="Y4717" s="75" t="str">
        <f>IF(AND(OR(N4717="131",O4717="131"),H4717='131-CT'!$H$9),"x","")</f>
        <v/>
      </c>
      <c r="Z4717" s="75"/>
      <c r="AA4717" s="75" t="str">
        <f>IF(AND(MONTH(E4717)='IN-NX'!$J$5,'IN-NX'!$D$7=D4717),"x","")</f>
        <v/>
      </c>
      <c r="AB4717" s="75" t="str">
        <f>IF(AND(OR(LEFT(TH!N5420,2)="15",LEFT(TH!O5420,2)="15"),LEFT(TH!O5420,3)&lt;&gt;"111",'152-CT'!$J$8=TH!F5420),"x","")</f>
        <v/>
      </c>
      <c r="AC4717" s="75" t="str">
        <f>IF(AND(OR(LEFT(TH!N5420,2)="15",LEFT(TH!O5420,2)="15"),TK!$E$7=TH!F5420),"x","")</f>
        <v/>
      </c>
      <c r="AD4717" s="75" t="str">
        <f>IF(AND(N4717="1521",MONTH(C4717)='BK-NL'!$M$11),"x","")</f>
        <v/>
      </c>
    </row>
    <row r="4718" spans="1:31" ht="16.5" customHeight="1">
      <c r="A4718" s="309" t="str">
        <f>IF(B4718&lt;&gt;"",IF(AND(B4718='IN-TC'!$S$4,OR(TH!N4708="1111",TH!O4708="1111")),TH!D4708,""),"")</f>
        <v/>
      </c>
      <c r="B4718" s="1129">
        <f t="shared" si="1332"/>
        <v>8</v>
      </c>
      <c r="C4718" s="292">
        <f t="shared" si="1331"/>
        <v>42965</v>
      </c>
      <c r="D4718" s="59" t="s">
        <v>902</v>
      </c>
      <c r="E4718" s="59">
        <v>42965</v>
      </c>
      <c r="F4718" s="67" t="s">
        <v>870</v>
      </c>
      <c r="G4718" s="62" t="s">
        <v>747</v>
      </c>
      <c r="H4718" s="67" t="s">
        <v>835</v>
      </c>
      <c r="I4718" s="375"/>
      <c r="J4718" s="381"/>
      <c r="K4718" s="60"/>
      <c r="L4718" s="381"/>
      <c r="M4718" s="60">
        <v>742221</v>
      </c>
      <c r="N4718" s="61" t="s">
        <v>101</v>
      </c>
      <c r="O4718" s="61" t="s">
        <v>26</v>
      </c>
      <c r="P4718" s="75" t="str">
        <f>IF(AND('331-CT'!$E$7=TH!H5421,OR(N4718="331",O4718="331")),"x","")</f>
        <v/>
      </c>
      <c r="Q4718" s="75" t="str">
        <f>IF(AND(B4718='111'!$L$11,OR($N4718=$Q$7,$O4718=$Q$7)),"x","")</f>
        <v/>
      </c>
      <c r="R4718" s="75" t="str">
        <f>IF(AND($N4718=$Q$7,$B4718&lt;'111'!$L$11),"x","")</f>
        <v/>
      </c>
      <c r="S4718" s="75" t="str">
        <f>IF(AND($O4718=$Q$7,$B4718&lt;'111'!$L$11),"x","")</f>
        <v/>
      </c>
      <c r="T4718" s="75" t="str">
        <f>IF(ISERROR(FIND('112'!$M$9,G4718,1)),"",IF((AND(FIND('112'!$M$9,G4718,1)&gt;=1,B4718='112'!$K$9,OR($N4718='112'!$I$6,$O4718='112'!$I$6))),"x",""))</f>
        <v/>
      </c>
      <c r="U4718" s="75" t="str">
        <f>IF(ISERROR(FIND('112'!$M$9,G4718,1)),"",IF((AND(LEFT(G4718,2)=LEFT('112'!$M$9,2),B4718&lt;'112'!$K$9,$N4718='112'!$I$6)),"x",""))</f>
        <v/>
      </c>
      <c r="V4718" s="75" t="str">
        <f>IF(ISERROR(FIND('112'!$M$9,G4718,1)),"",IF((AND(RIGHT(G4718,2)=RIGHT('112'!$M$9,2),B4718&lt;'112'!$K$9,$O4718='112'!$I$6)),"x",""))</f>
        <v/>
      </c>
      <c r="W4718" s="75" t="str">
        <f>IF(AND('341-CT'!$H$9=H4718,OR(LEFT(N4718,3)=$W$7,LEFT(O4718,3)=$W$7)),"x","")</f>
        <v/>
      </c>
      <c r="X4718" s="75" t="str">
        <f>IF(OR(TH!N5421=TH!$X$7,O4718=TH!$X$7),"x","")</f>
        <v/>
      </c>
      <c r="Y4718" s="75" t="str">
        <f>IF(AND(OR(N4718="131",O4718="131"),H4718='131-CT'!$H$9),"x","")</f>
        <v/>
      </c>
      <c r="Z4718" s="75"/>
      <c r="AA4718" s="75" t="str">
        <f>IF(AND(MONTH(E4718)='IN-NX'!$J$5,'IN-NX'!$D$7=D4718),"x","")</f>
        <v/>
      </c>
      <c r="AB4718" s="75" t="str">
        <f>IF(AND(OR(LEFT(TH!N5421,2)="15",LEFT(TH!O5421,2)="15"),LEFT(TH!O5421,3)&lt;&gt;"111",'152-CT'!$J$8=TH!F5421),"x","")</f>
        <v/>
      </c>
      <c r="AC4718" s="75" t="str">
        <f>IF(AND(OR(LEFT(TH!N5421,2)="15",LEFT(TH!O5421,2)="15"),TK!$E$7=TH!F5421),"x","")</f>
        <v/>
      </c>
      <c r="AD4718" s="75" t="str">
        <f>IF(AND(N4718="1521",MONTH(C4718)='BK-NL'!$M$11),"x","")</f>
        <v/>
      </c>
      <c r="AE4718">
        <v>8</v>
      </c>
    </row>
    <row r="4719" spans="1:31" ht="16.5" customHeight="1">
      <c r="A4719" s="309" t="str">
        <f>IF(B4719&lt;&gt;"",IF(AND(B4719='IN-TC'!$S$4,OR(TH!N4709="1111",TH!O4709="1111")),TH!D4709,""),"")</f>
        <v/>
      </c>
      <c r="B4719" s="1129">
        <f t="shared" si="1332"/>
        <v>8</v>
      </c>
      <c r="C4719" s="292">
        <f t="shared" si="1331"/>
        <v>42965</v>
      </c>
      <c r="D4719" s="59" t="s">
        <v>902</v>
      </c>
      <c r="E4719" s="59">
        <v>42965</v>
      </c>
      <c r="F4719" s="67" t="s">
        <v>898</v>
      </c>
      <c r="G4719" s="62" t="s">
        <v>747</v>
      </c>
      <c r="H4719" s="67" t="s">
        <v>835</v>
      </c>
      <c r="I4719" s="375"/>
      <c r="J4719" s="381"/>
      <c r="K4719" s="375"/>
      <c r="L4719" s="381"/>
      <c r="M4719" s="60">
        <v>74222</v>
      </c>
      <c r="N4719" s="61" t="s">
        <v>9</v>
      </c>
      <c r="O4719" s="61" t="s">
        <v>26</v>
      </c>
      <c r="P4719" s="75" t="str">
        <f>IF(AND('331-CT'!$E$7=TH!H5422,OR(N4719="331",O4719="331")),"x","")</f>
        <v/>
      </c>
      <c r="Q4719" s="75" t="str">
        <f>IF(AND(B4719='111'!$L$11,OR($N4719=$Q$7,$O4719=$Q$7)),"x","")</f>
        <v/>
      </c>
      <c r="R4719" s="75" t="str">
        <f>IF(AND($N4719=$Q$7,$B4719&lt;'111'!$L$11),"x","")</f>
        <v/>
      </c>
      <c r="S4719" s="75" t="str">
        <f>IF(AND($O4719=$Q$7,$B4719&lt;'111'!$L$11),"x","")</f>
        <v/>
      </c>
      <c r="T4719" s="75" t="str">
        <f>IF(ISERROR(FIND('112'!$M$9,G4719,1)),"",IF((AND(FIND('112'!$M$9,G4719,1)&gt;=1,B4719='112'!$K$9,OR($N4719='112'!$I$6,$O4719='112'!$I$6))),"x",""))</f>
        <v/>
      </c>
      <c r="U4719" s="75" t="str">
        <f>IF(ISERROR(FIND('112'!$M$9,G4719,1)),"",IF((AND(LEFT(G4719,2)=LEFT('112'!$M$9,2),B4719&lt;'112'!$K$9,$N4719='112'!$I$6)),"x",""))</f>
        <v/>
      </c>
      <c r="V4719" s="75" t="str">
        <f>IF(ISERROR(FIND('112'!$M$9,G4719,1)),"",IF((AND(RIGHT(G4719,2)=RIGHT('112'!$M$9,2),B4719&lt;'112'!$K$9,$O4719='112'!$I$6)),"x",""))</f>
        <v/>
      </c>
      <c r="W4719" s="75" t="str">
        <f>IF(AND('341-CT'!$H$9=H4719,OR(LEFT(N4719,3)=$W$7,LEFT(O4719,3)=$W$7)),"x","")</f>
        <v/>
      </c>
      <c r="X4719" s="75" t="str">
        <f>IF(OR(TH!N5422=TH!$X$7,O4719=TH!$X$7),"x","")</f>
        <v/>
      </c>
      <c r="Y4719" s="75" t="str">
        <f>IF(AND(OR(N4719="131",O4719="131"),H4719='131-CT'!$H$9),"x","")</f>
        <v/>
      </c>
      <c r="Z4719" s="75"/>
      <c r="AA4719" s="75" t="str">
        <f>IF(AND(MONTH(E4719)='IN-NX'!$J$5,'IN-NX'!$D$7=D4719),"x","")</f>
        <v/>
      </c>
      <c r="AB4719" s="75" t="str">
        <f>IF(AND(OR(LEFT(TH!N5422,2)="15",LEFT(TH!O5422,2)="15"),LEFT(TH!O5422,3)&lt;&gt;"111",'152-CT'!$J$8=TH!F5422),"x","")</f>
        <v/>
      </c>
      <c r="AC4719" s="75" t="str">
        <f>IF(AND(OR(LEFT(TH!N5422,2)="15",LEFT(TH!O5422,2)="15"),TK!$E$7=TH!F5422),"x","")</f>
        <v/>
      </c>
      <c r="AD4719" s="75" t="str">
        <f>IF(AND(N4719="1521",MONTH(C4719)='BK-NL'!$M$11),"x","")</f>
        <v/>
      </c>
      <c r="AE4719">
        <v>8</v>
      </c>
    </row>
    <row r="4720" spans="1:31" ht="16.5" customHeight="1">
      <c r="A4720" s="309" t="str">
        <f>IF(B4720&lt;&gt;"",IF(AND(B4720='IN-TC'!$S$4,OR(TH!N4710="1111",TH!O4710="1111")),TH!D4710,""),"")</f>
        <v/>
      </c>
      <c r="B4720" s="1129">
        <f t="shared" si="1332"/>
        <v>8</v>
      </c>
      <c r="C4720" s="292">
        <f t="shared" si="1331"/>
        <v>42966</v>
      </c>
      <c r="D4720" s="292"/>
      <c r="E4720" s="292">
        <v>42966</v>
      </c>
      <c r="F4720" s="293" t="s">
        <v>1499</v>
      </c>
      <c r="G4720" s="925" t="s">
        <v>2068</v>
      </c>
      <c r="H4720" s="294" t="s">
        <v>893</v>
      </c>
      <c r="I4720" s="373"/>
      <c r="J4720" s="926"/>
      <c r="K4720" s="373"/>
      <c r="L4720" s="379"/>
      <c r="M4720" s="927">
        <v>1688391</v>
      </c>
      <c r="N4720" s="295" t="s">
        <v>101</v>
      </c>
      <c r="O4720" s="295" t="s">
        <v>63</v>
      </c>
      <c r="P4720" s="75" t="str">
        <f>IF(AND('331-CT'!$E$7=TH!H3833,OR(N4720="331",O4720="331")),"x","")</f>
        <v/>
      </c>
      <c r="Q4720" s="75" t="str">
        <f>IF(AND(B4720='111'!$L$11,OR($N4720=$Q$7,$O4720=$Q$7)),"x","")</f>
        <v/>
      </c>
      <c r="R4720" s="75" t="str">
        <f>IF(AND($N4720=$Q$7,$B4720&lt;'111'!$L$11),"x","")</f>
        <v/>
      </c>
      <c r="S4720" s="75" t="str">
        <f>IF(AND($O4720=$Q$7,$B4720&lt;'111'!$L$11),"x","")</f>
        <v>x</v>
      </c>
      <c r="T4720" s="75" t="str">
        <f>IF(ISERROR(FIND('112'!$M$9,G4720,1)),"",IF((AND(FIND('112'!$M$9,G4720,1)&gt;=1,B4720='112'!$K$9,OR($N4720='112'!$I$6,$O4720='112'!$I$6))),"x",""))</f>
        <v/>
      </c>
      <c r="U4720" s="75" t="str">
        <f>IF(ISERROR(FIND('112'!$M$9,G4720,1)),"",IF((AND(LEFT(G4720,2)=LEFT('112'!$M$9,2),B4720&lt;'112'!$K$9,$N4720='112'!$I$6)),"x",""))</f>
        <v/>
      </c>
      <c r="V4720" s="75" t="str">
        <f>IF(ISERROR(FIND('112'!$M$9,G4720,1)),"",IF((AND(RIGHT(G4720,2)=RIGHT('112'!$M$9,2),B4720&lt;'112'!$K$9,$O4720='112'!$I$6)),"x",""))</f>
        <v/>
      </c>
      <c r="W4720" s="75" t="str">
        <f>IF(AND('341-CT'!$H$9=H4720,OR(LEFT(N4720,3)=$W$7,LEFT(O4720,3)=$W$7)),"x","")</f>
        <v/>
      </c>
      <c r="X4720" s="75" t="str">
        <f>IF(OR(TH!N3833=TH!$X$7,O4720=TH!$X$7),"x","")</f>
        <v/>
      </c>
      <c r="Y4720" s="75" t="str">
        <f>IF(AND(OR(N4720="131",O4720="131"),H4720='131-CT'!$H$9),"x","")</f>
        <v/>
      </c>
      <c r="Z4720" s="75"/>
      <c r="AA4720" s="75" t="str">
        <f>IF(AND(MONTH(E4720)='IN-NX'!$J$5,'IN-NX'!$D$7=D4720),"x","")</f>
        <v/>
      </c>
      <c r="AB4720" s="75" t="str">
        <f>IF(AND(OR(LEFT(TH!N3833,2)="15",LEFT(TH!O3833,2)="15"),LEFT(TH!O3833,3)&lt;&gt;"111",'152-CT'!$J$8=TH!F3833),"x","")</f>
        <v/>
      </c>
      <c r="AC4720" s="75" t="str">
        <f>IF(AND(OR(LEFT(TH!N3833,2)="15",LEFT(TH!O3833,2)="15"),TK!$E$7=TH!F3833),"x","")</f>
        <v/>
      </c>
      <c r="AD4720" s="75" t="str">
        <f>IF(AND(N4720="1521",MONTH(C4720)='BK-NL'!$M$11),"x","")</f>
        <v/>
      </c>
      <c r="AE4720">
        <v>8</v>
      </c>
    </row>
    <row r="4721" spans="1:33" ht="16.5" customHeight="1">
      <c r="A4721" s="309" t="str">
        <f>IF(B4721&lt;&gt;"",IF(AND(B4721='IN-TC'!$S$4,OR(TH!N4711="1111",TH!O4711="1111")),TH!D4711,""),"")</f>
        <v/>
      </c>
      <c r="B4721" s="1129">
        <f t="shared" si="1332"/>
        <v>8</v>
      </c>
      <c r="C4721" s="292">
        <f t="shared" si="1331"/>
        <v>42966</v>
      </c>
      <c r="D4721" s="292"/>
      <c r="E4721" s="292">
        <v>42966</v>
      </c>
      <c r="F4721" s="293" t="s">
        <v>1500</v>
      </c>
      <c r="G4721" s="925" t="s">
        <v>2068</v>
      </c>
      <c r="H4721" s="294" t="s">
        <v>893</v>
      </c>
      <c r="I4721" s="373"/>
      <c r="J4721" s="926"/>
      <c r="K4721" s="373"/>
      <c r="L4721" s="379"/>
      <c r="M4721" s="927">
        <v>168839</v>
      </c>
      <c r="N4721" s="295" t="s">
        <v>9</v>
      </c>
      <c r="O4721" s="295" t="s">
        <v>63</v>
      </c>
      <c r="P4721" s="75" t="str">
        <f>IF(AND('331-CT'!$E$7=TH!H3834,OR(N4721="331",O4721="331")),"x","")</f>
        <v/>
      </c>
      <c r="Q4721" s="75" t="str">
        <f>IF(AND(B4721='111'!$L$11,OR($N4721=$Q$7,$O4721=$Q$7)),"x","")</f>
        <v/>
      </c>
      <c r="R4721" s="75" t="str">
        <f>IF(AND($N4721=$Q$7,$B4721&lt;'111'!$L$11),"x","")</f>
        <v/>
      </c>
      <c r="S4721" s="75" t="str">
        <f>IF(AND($O4721=$Q$7,$B4721&lt;'111'!$L$11),"x","")</f>
        <v>x</v>
      </c>
      <c r="T4721" s="75" t="str">
        <f>IF(ISERROR(FIND('112'!$M$9,G4721,1)),"",IF((AND(FIND('112'!$M$9,G4721,1)&gt;=1,B4721='112'!$K$9,OR($N4721='112'!$I$6,$O4721='112'!$I$6))),"x",""))</f>
        <v/>
      </c>
      <c r="U4721" s="75" t="str">
        <f>IF(ISERROR(FIND('112'!$M$9,G4721,1)),"",IF((AND(LEFT(G4721,2)=LEFT('112'!$M$9,2),B4721&lt;'112'!$K$9,$N4721='112'!$I$6)),"x",""))</f>
        <v/>
      </c>
      <c r="V4721" s="75" t="str">
        <f>IF(ISERROR(FIND('112'!$M$9,G4721,1)),"",IF((AND(RIGHT(G4721,2)=RIGHT('112'!$M$9,2),B4721&lt;'112'!$K$9,$O4721='112'!$I$6)),"x",""))</f>
        <v/>
      </c>
      <c r="W4721" s="75" t="str">
        <f>IF(AND('341-CT'!$H$9=H4721,OR(LEFT(N4721,3)=$W$7,LEFT(O4721,3)=$W$7)),"x","")</f>
        <v/>
      </c>
      <c r="X4721" s="75" t="str">
        <f>IF(OR(TH!N3834=TH!$X$7,O4721=TH!$X$7),"x","")</f>
        <v/>
      </c>
      <c r="Y4721" s="75" t="str">
        <f>IF(AND(OR(N4721="131",O4721="131"),H4721='131-CT'!$H$9),"x","")</f>
        <v/>
      </c>
      <c r="Z4721" s="75"/>
      <c r="AA4721" s="75" t="str">
        <f>IF(AND(MONTH(E4721)='IN-NX'!$J$5,'IN-NX'!$D$7=D4721),"x","")</f>
        <v/>
      </c>
      <c r="AB4721" s="75" t="str">
        <f>IF(AND(OR(LEFT(TH!N3834,2)="15",LEFT(TH!O3834,2)="15"),LEFT(TH!O3834,3)&lt;&gt;"111",'152-CT'!$J$8=TH!F3834),"x","")</f>
        <v/>
      </c>
      <c r="AC4721" s="75" t="str">
        <f>IF(AND(OR(LEFT(TH!N3834,2)="15",LEFT(TH!O3834,2)="15"),TK!$E$7=TH!F3834),"x","")</f>
        <v/>
      </c>
      <c r="AD4721" s="75" t="str">
        <f>IF(AND(N4721="1521",MONTH(C4721)='BK-NL'!$M$11),"x","")</f>
        <v/>
      </c>
      <c r="AE4721">
        <v>8</v>
      </c>
    </row>
    <row r="4722" spans="1:33" ht="16.5" customHeight="1">
      <c r="A4722" s="309" t="str">
        <f>IF(B4722&lt;&gt;"",IF(AND(B4722='IN-TC'!$S$4,OR(TH!N4712="1111",TH!O4712="1111")),TH!D4712,""),"")</f>
        <v/>
      </c>
      <c r="B4722" s="1129">
        <f t="shared" si="1332"/>
        <v>8</v>
      </c>
      <c r="C4722" s="292">
        <f t="shared" si="1331"/>
        <v>42966</v>
      </c>
      <c r="D4722" s="292"/>
      <c r="E4722" s="292">
        <v>42966</v>
      </c>
      <c r="F4722" s="293" t="s">
        <v>1238</v>
      </c>
      <c r="G4722" s="925" t="s">
        <v>2069</v>
      </c>
      <c r="H4722" s="294" t="s">
        <v>1241</v>
      </c>
      <c r="I4722" s="373"/>
      <c r="J4722" s="926"/>
      <c r="K4722" s="373"/>
      <c r="L4722" s="379"/>
      <c r="M4722" s="927">
        <v>1458000</v>
      </c>
      <c r="N4722" s="295" t="s">
        <v>101</v>
      </c>
      <c r="O4722" s="295" t="s">
        <v>63</v>
      </c>
      <c r="P4722" s="75" t="str">
        <f>IF(AND('331-CT'!$E$7=TH!H3835,OR(N4722="331",O4722="331")),"x","")</f>
        <v/>
      </c>
      <c r="Q4722" s="75" t="str">
        <f>IF(AND(B4722='111'!$L$11,OR($N4722=$Q$7,$O4722=$Q$7)),"x","")</f>
        <v/>
      </c>
      <c r="R4722" s="75" t="str">
        <f>IF(AND($N4722=$Q$7,$B4722&lt;'111'!$L$11),"x","")</f>
        <v/>
      </c>
      <c r="S4722" s="75" t="str">
        <f>IF(AND($O4722=$Q$7,$B4722&lt;'111'!$L$11),"x","")</f>
        <v>x</v>
      </c>
      <c r="T4722" s="75" t="str">
        <f>IF(ISERROR(FIND('112'!$M$9,G4722,1)),"",IF((AND(FIND('112'!$M$9,G4722,1)&gt;=1,B4722='112'!$K$9,OR($N4722='112'!$I$6,$O4722='112'!$I$6))),"x",""))</f>
        <v/>
      </c>
      <c r="U4722" s="75" t="str">
        <f>IF(ISERROR(FIND('112'!$M$9,G4722,1)),"",IF((AND(LEFT(G4722,2)=LEFT('112'!$M$9,2),B4722&lt;'112'!$K$9,$N4722='112'!$I$6)),"x",""))</f>
        <v/>
      </c>
      <c r="V4722" s="75" t="str">
        <f>IF(ISERROR(FIND('112'!$M$9,G4722,1)),"",IF((AND(RIGHT(G4722,2)=RIGHT('112'!$M$9,2),B4722&lt;'112'!$K$9,$O4722='112'!$I$6)),"x",""))</f>
        <v/>
      </c>
      <c r="W4722" s="75" t="str">
        <f>IF(AND('341-CT'!$H$9=H4722,OR(LEFT(N4722,3)=$W$7,LEFT(O4722,3)=$W$7)),"x","")</f>
        <v/>
      </c>
      <c r="X4722" s="75" t="str">
        <f>IF(OR(TH!N3835=TH!$X$7,O4722=TH!$X$7),"x","")</f>
        <v/>
      </c>
      <c r="Y4722" s="75" t="str">
        <f>IF(AND(OR(N4722="131",O4722="131"),H4722='131-CT'!$H$9),"x","")</f>
        <v/>
      </c>
      <c r="Z4722" s="75"/>
      <c r="AA4722" s="75" t="str">
        <f>IF(AND(MONTH(E4722)='IN-NX'!$J$5,'IN-NX'!$D$7=D4722),"x","")</f>
        <v/>
      </c>
      <c r="AB4722" s="75" t="str">
        <f>IF(AND(OR(LEFT(TH!N3835,2)="15",LEFT(TH!O3835,2)="15"),LEFT(TH!O3835,3)&lt;&gt;"111",'152-CT'!$J$8=TH!F3835),"x","")</f>
        <v/>
      </c>
      <c r="AC4722" s="75" t="str">
        <f>IF(AND(OR(LEFT(TH!N3835,2)="15",LEFT(TH!O3835,2)="15"),TK!$E$7=TH!F3835),"x","")</f>
        <v/>
      </c>
      <c r="AD4722" s="75" t="str">
        <f>IF(AND(N4722="1521",MONTH(C4722)='BK-NL'!$M$11),"x","")</f>
        <v/>
      </c>
      <c r="AE4722">
        <v>8</v>
      </c>
    </row>
    <row r="4723" spans="1:33" ht="16.5" customHeight="1">
      <c r="A4723" s="309" t="str">
        <f>IF(B4723&lt;&gt;"",IF(AND(B4723='IN-TC'!$S$4,OR(TH!N4713="1111",TH!O4713="1111")),TH!D4713,""),"")</f>
        <v/>
      </c>
      <c r="B4723" s="1129">
        <f t="shared" si="1332"/>
        <v>8</v>
      </c>
      <c r="C4723" s="292">
        <f t="shared" ref="C4723:C4786" si="1333">E4723</f>
        <v>42966</v>
      </c>
      <c r="D4723" s="292"/>
      <c r="E4723" s="292">
        <v>42966</v>
      </c>
      <c r="F4723" s="293" t="s">
        <v>1239</v>
      </c>
      <c r="G4723" s="925" t="s">
        <v>2069</v>
      </c>
      <c r="H4723" s="294" t="s">
        <v>1241</v>
      </c>
      <c r="I4723" s="373"/>
      <c r="J4723" s="926"/>
      <c r="K4723" s="373"/>
      <c r="L4723" s="379"/>
      <c r="M4723" s="927">
        <v>145800</v>
      </c>
      <c r="N4723" s="295" t="s">
        <v>9</v>
      </c>
      <c r="O4723" s="295" t="s">
        <v>63</v>
      </c>
      <c r="P4723" s="75" t="str">
        <f>IF(AND('331-CT'!$E$7=TH!H3837,OR(N4723="331",O4723="331")),"x","")</f>
        <v/>
      </c>
      <c r="Q4723" s="75" t="str">
        <f>IF(AND(B4723='111'!$L$11,OR($N4723=$Q$7,$O4723=$Q$7)),"x","")</f>
        <v/>
      </c>
      <c r="R4723" s="75" t="str">
        <f>IF(AND($N4723=$Q$7,$B4723&lt;'111'!$L$11),"x","")</f>
        <v/>
      </c>
      <c r="S4723" s="75" t="str">
        <f>IF(AND($O4723=$Q$7,$B4723&lt;'111'!$L$11),"x","")</f>
        <v>x</v>
      </c>
      <c r="T4723" s="75" t="str">
        <f>IF(ISERROR(FIND('112'!$M$9,G4723,1)),"",IF((AND(FIND('112'!$M$9,G4723,1)&gt;=1,B4723='112'!$K$9,OR($N4723='112'!$I$6,$O4723='112'!$I$6))),"x",""))</f>
        <v/>
      </c>
      <c r="U4723" s="75" t="str">
        <f>IF(ISERROR(FIND('112'!$M$9,G4723,1)),"",IF((AND(LEFT(G4723,2)=LEFT('112'!$M$9,2),B4723&lt;'112'!$K$9,$N4723='112'!$I$6)),"x",""))</f>
        <v/>
      </c>
      <c r="V4723" s="75" t="str">
        <f>IF(ISERROR(FIND('112'!$M$9,G4723,1)),"",IF((AND(RIGHT(G4723,2)=RIGHT('112'!$M$9,2),B4723&lt;'112'!$K$9,$O4723='112'!$I$6)),"x",""))</f>
        <v/>
      </c>
      <c r="W4723" s="75" t="str">
        <f>IF(AND('341-CT'!$H$9=H4723,OR(LEFT(N4723,3)=$W$7,LEFT(O4723,3)=$W$7)),"x","")</f>
        <v/>
      </c>
      <c r="X4723" s="75" t="str">
        <f>IF(OR(TH!N3837=TH!$X$7,O4723=TH!$X$7),"x","")</f>
        <v/>
      </c>
      <c r="Y4723" s="75" t="str">
        <f>IF(AND(OR(N4723="131",O4723="131"),H4723='131-CT'!$H$9),"x","")</f>
        <v/>
      </c>
      <c r="Z4723" s="75"/>
      <c r="AA4723" s="75" t="str">
        <f>IF(AND(MONTH(E4723)='IN-NX'!$J$5,'IN-NX'!$D$7=D4723),"x","")</f>
        <v/>
      </c>
      <c r="AB4723" s="75" t="str">
        <f>IF(AND(OR(LEFT(TH!N3837,2)="15",LEFT(TH!O3837,2)="15"),LEFT(TH!O3837,3)&lt;&gt;"111",'152-CT'!$J$8=TH!F3837),"x","")</f>
        <v/>
      </c>
      <c r="AC4723" s="75" t="str">
        <f>IF(AND(OR(LEFT(TH!N3837,2)="15",LEFT(TH!O3837,2)="15"),TK!$E$7=TH!F3837),"x","")</f>
        <v/>
      </c>
      <c r="AD4723" s="75" t="str">
        <f>IF(AND(N4723="1521",MONTH(C4723)='BK-NL'!$M$11),"x","")</f>
        <v/>
      </c>
      <c r="AE4723">
        <v>8</v>
      </c>
    </row>
    <row r="4724" spans="1:33" ht="16.5" customHeight="1">
      <c r="A4724" s="309" t="str">
        <f>IF(B4724&lt;&gt;"",IF(AND(B4724='IN-TC'!$S$4,OR(TH!N4714="1111",TH!O4714="1111")),TH!D4714,""),"")</f>
        <v/>
      </c>
      <c r="B4724" s="1129">
        <f t="shared" si="1332"/>
        <v>8</v>
      </c>
      <c r="C4724" s="292">
        <f t="shared" si="1333"/>
        <v>42968</v>
      </c>
      <c r="D4724" s="292"/>
      <c r="E4724" s="292">
        <v>42968</v>
      </c>
      <c r="F4724" s="293" t="s">
        <v>2070</v>
      </c>
      <c r="G4724" s="925" t="s">
        <v>2072</v>
      </c>
      <c r="H4724" s="294" t="s">
        <v>948</v>
      </c>
      <c r="I4724" s="373"/>
      <c r="J4724" s="926"/>
      <c r="K4724" s="373"/>
      <c r="L4724" s="379"/>
      <c r="M4724" s="927">
        <v>2795454</v>
      </c>
      <c r="N4724" s="295" t="s">
        <v>101</v>
      </c>
      <c r="O4724" s="295" t="s">
        <v>63</v>
      </c>
      <c r="P4724" s="75" t="str">
        <f>IF(AND('331-CT'!$E$7=TH!H3838,OR(N4724="331",O4724="331")),"x","")</f>
        <v/>
      </c>
      <c r="Q4724" s="75" t="str">
        <f>IF(AND(B4724='111'!$L$11,OR($N4724=$Q$7,$O4724=$Q$7)),"x","")</f>
        <v/>
      </c>
      <c r="R4724" s="75" t="str">
        <f>IF(AND($N4724=$Q$7,$B4724&lt;'111'!$L$11),"x","")</f>
        <v/>
      </c>
      <c r="S4724" s="75" t="str">
        <f>IF(AND($O4724=$Q$7,$B4724&lt;'111'!$L$11),"x","")</f>
        <v>x</v>
      </c>
      <c r="T4724" s="75" t="str">
        <f>IF(ISERROR(FIND('112'!$M$9,G4724,1)),"",IF((AND(FIND('112'!$M$9,G4724,1)&gt;=1,B4724='112'!$K$9,OR($N4724='112'!$I$6,$O4724='112'!$I$6))),"x",""))</f>
        <v/>
      </c>
      <c r="U4724" s="75" t="str">
        <f>IF(ISERROR(FIND('112'!$M$9,G4724,1)),"",IF((AND(LEFT(G4724,2)=LEFT('112'!$M$9,2),B4724&lt;'112'!$K$9,$N4724='112'!$I$6)),"x",""))</f>
        <v/>
      </c>
      <c r="V4724" s="75" t="str">
        <f>IF(ISERROR(FIND('112'!$M$9,G4724,1)),"",IF((AND(RIGHT(G4724,2)=RIGHT('112'!$M$9,2),B4724&lt;'112'!$K$9,$O4724='112'!$I$6)),"x",""))</f>
        <v/>
      </c>
      <c r="W4724" s="75" t="str">
        <f>IF(AND('341-CT'!$H$9=H4724,OR(LEFT(N4724,3)=$W$7,LEFT(O4724,3)=$W$7)),"x","")</f>
        <v/>
      </c>
      <c r="X4724" s="75" t="str">
        <f>IF(OR(TH!N3838=TH!$X$7,O4724=TH!$X$7),"x","")</f>
        <v/>
      </c>
      <c r="Y4724" s="75" t="str">
        <f>IF(AND(OR(N4724="131",O4724="131"),H4724='131-CT'!$H$9),"x","")</f>
        <v/>
      </c>
      <c r="Z4724" s="75"/>
      <c r="AA4724" s="75" t="str">
        <f>IF(AND(MONTH(E4724)='IN-NX'!$J$5,'IN-NX'!$D$7=D4724),"x","")</f>
        <v/>
      </c>
      <c r="AB4724" s="75" t="str">
        <f>IF(AND(OR(LEFT(TH!N3838,2)="15",LEFT(TH!O3838,2)="15"),LEFT(TH!O3838,3)&lt;&gt;"111",'152-CT'!$J$8=TH!F3838),"x","")</f>
        <v/>
      </c>
      <c r="AC4724" s="75" t="str">
        <f>IF(AND(OR(LEFT(TH!N3838,2)="15",LEFT(TH!O3838,2)="15"),TK!$E$7=TH!F3838),"x","")</f>
        <v/>
      </c>
      <c r="AD4724" s="75" t="str">
        <f>IF(AND(N4724="1521",MONTH(C4724)='BK-NL'!$M$11),"x","")</f>
        <v/>
      </c>
      <c r="AE4724">
        <v>8</v>
      </c>
    </row>
    <row r="4725" spans="1:33" ht="16.5" customHeight="1">
      <c r="A4725" s="309" t="str">
        <f>IF(B4725&lt;&gt;"",IF(AND(B4725='IN-TC'!$S$4,OR(TH!N4715="1111",TH!O4715="1111")),TH!D4715,""),"")</f>
        <v/>
      </c>
      <c r="B4725" s="1129">
        <f t="shared" si="1332"/>
        <v>8</v>
      </c>
      <c r="C4725" s="292">
        <f t="shared" si="1333"/>
        <v>42968</v>
      </c>
      <c r="D4725" s="292"/>
      <c r="E4725" s="292">
        <v>42968</v>
      </c>
      <c r="F4725" s="293" t="s">
        <v>2071</v>
      </c>
      <c r="G4725" s="925" t="s">
        <v>2072</v>
      </c>
      <c r="H4725" s="294" t="s">
        <v>948</v>
      </c>
      <c r="I4725" s="373"/>
      <c r="J4725" s="926"/>
      <c r="K4725" s="373"/>
      <c r="L4725" s="379"/>
      <c r="M4725" s="927">
        <v>279546</v>
      </c>
      <c r="N4725" s="295" t="s">
        <v>9</v>
      </c>
      <c r="O4725" s="295" t="s">
        <v>63</v>
      </c>
      <c r="P4725" s="75" t="str">
        <f>IF(AND('331-CT'!$E$7=TH!H3839,OR(N4725="331",O4725="331")),"x","")</f>
        <v/>
      </c>
      <c r="Q4725" s="75" t="str">
        <f>IF(AND(B4725='111'!$L$11,OR($N4725=$Q$7,$O4725=$Q$7)),"x","")</f>
        <v/>
      </c>
      <c r="R4725" s="75" t="str">
        <f>IF(AND($N4725=$Q$7,$B4725&lt;'111'!$L$11),"x","")</f>
        <v/>
      </c>
      <c r="S4725" s="75" t="str">
        <f>IF(AND($O4725=$Q$7,$B4725&lt;'111'!$L$11),"x","")</f>
        <v>x</v>
      </c>
      <c r="T4725" s="75" t="str">
        <f>IF(ISERROR(FIND('112'!$M$9,G4725,1)),"",IF((AND(FIND('112'!$M$9,G4725,1)&gt;=1,B4725='112'!$K$9,OR($N4725='112'!$I$6,$O4725='112'!$I$6))),"x",""))</f>
        <v/>
      </c>
      <c r="U4725" s="75" t="str">
        <f>IF(ISERROR(FIND('112'!$M$9,G4725,1)),"",IF((AND(LEFT(G4725,2)=LEFT('112'!$M$9,2),B4725&lt;'112'!$K$9,$N4725='112'!$I$6)),"x",""))</f>
        <v/>
      </c>
      <c r="V4725" s="75" t="str">
        <f>IF(ISERROR(FIND('112'!$M$9,G4725,1)),"",IF((AND(RIGHT(G4725,2)=RIGHT('112'!$M$9,2),B4725&lt;'112'!$K$9,$O4725='112'!$I$6)),"x",""))</f>
        <v/>
      </c>
      <c r="W4725" s="75" t="str">
        <f>IF(AND('341-CT'!$H$9=H4725,OR(LEFT(N4725,3)=$W$7,LEFT(O4725,3)=$W$7)),"x","")</f>
        <v/>
      </c>
      <c r="X4725" s="75" t="str">
        <f>IF(OR(TH!N3839=TH!$X$7,O4725=TH!$X$7),"x","")</f>
        <v/>
      </c>
      <c r="Y4725" s="75" t="str">
        <f>IF(AND(OR(N4725="131",O4725="131"),H4725='131-CT'!$H$9),"x","")</f>
        <v/>
      </c>
      <c r="Z4725" s="75"/>
      <c r="AA4725" s="75" t="str">
        <f>IF(AND(MONTH(E4725)='IN-NX'!$J$5,'IN-NX'!$D$7=D4725),"x","")</f>
        <v/>
      </c>
      <c r="AB4725" s="75" t="str">
        <f>IF(AND(OR(LEFT(TH!N3839,2)="15",LEFT(TH!O3839,2)="15"),LEFT(TH!O3839,3)&lt;&gt;"111",'152-CT'!$J$8=TH!F3839),"x","")</f>
        <v/>
      </c>
      <c r="AC4725" s="75" t="str">
        <f>IF(AND(OR(LEFT(TH!N3839,2)="15",LEFT(TH!O3839,2)="15"),TK!$E$7=TH!F3839),"x","")</f>
        <v/>
      </c>
      <c r="AD4725" s="75" t="str">
        <f>IF(AND(N4725="1521",MONTH(C4725)='BK-NL'!$M$11),"x","")</f>
        <v/>
      </c>
      <c r="AE4725">
        <v>8</v>
      </c>
    </row>
    <row r="4726" spans="1:33" ht="16.5" customHeight="1">
      <c r="A4726" s="309" t="str">
        <f>IF(B4726&lt;&gt;"",IF(AND(B4726='IN-TC'!$S$4,OR(TH!N4716="1111",TH!O4716="1111")),TH!D4716,""),"")</f>
        <v/>
      </c>
      <c r="B4726" s="1129">
        <f t="shared" si="1332"/>
        <v>8</v>
      </c>
      <c r="C4726" s="292">
        <f t="shared" si="1333"/>
        <v>42968</v>
      </c>
      <c r="D4726" s="292"/>
      <c r="E4726" s="292">
        <v>42968</v>
      </c>
      <c r="F4726" s="293" t="s">
        <v>2073</v>
      </c>
      <c r="G4726" s="925" t="s">
        <v>2075</v>
      </c>
      <c r="H4726" s="294" t="s">
        <v>2076</v>
      </c>
      <c r="I4726" s="373"/>
      <c r="J4726" s="926"/>
      <c r="K4726" s="373"/>
      <c r="L4726" s="379"/>
      <c r="M4726" s="927">
        <v>100144</v>
      </c>
      <c r="N4726" s="295" t="s">
        <v>539</v>
      </c>
      <c r="O4726" s="295" t="s">
        <v>63</v>
      </c>
      <c r="P4726" s="75" t="str">
        <f>IF(AND('331-CT'!$E$7=TH!H3840,OR(N4726="331",O4726="331")),"x","")</f>
        <v/>
      </c>
      <c r="Q4726" s="75" t="str">
        <f>IF(AND(B4726='111'!$L$11,OR($N4726=$Q$7,$O4726=$Q$7)),"x","")</f>
        <v/>
      </c>
      <c r="R4726" s="75" t="str">
        <f>IF(AND($N4726=$Q$7,$B4726&lt;'111'!$L$11),"x","")</f>
        <v/>
      </c>
      <c r="S4726" s="75" t="str">
        <f>IF(AND($O4726=$Q$7,$B4726&lt;'111'!$L$11),"x","")</f>
        <v>x</v>
      </c>
      <c r="T4726" s="75" t="str">
        <f>IF(ISERROR(FIND('112'!$M$9,G4726,1)),"",IF((AND(FIND('112'!$M$9,G4726,1)&gt;=1,B4726='112'!$K$9,OR($N4726='112'!$I$6,$O4726='112'!$I$6))),"x",""))</f>
        <v/>
      </c>
      <c r="U4726" s="75" t="str">
        <f>IF(ISERROR(FIND('112'!$M$9,G4726,1)),"",IF((AND(LEFT(G4726,2)=LEFT('112'!$M$9,2),B4726&lt;'112'!$K$9,$N4726='112'!$I$6)),"x",""))</f>
        <v/>
      </c>
      <c r="V4726" s="75" t="str">
        <f>IF(ISERROR(FIND('112'!$M$9,G4726,1)),"",IF((AND(RIGHT(G4726,2)=RIGHT('112'!$M$9,2),B4726&lt;'112'!$K$9,$O4726='112'!$I$6)),"x",""))</f>
        <v/>
      </c>
      <c r="W4726" s="75" t="str">
        <f>IF(AND('341-CT'!$H$9=H4726,OR(LEFT(N4726,3)=$W$7,LEFT(O4726,3)=$W$7)),"x","")</f>
        <v/>
      </c>
      <c r="X4726" s="75" t="str">
        <f>IF(OR(TH!N3840=TH!$X$7,O4726=TH!$X$7),"x","")</f>
        <v/>
      </c>
      <c r="Y4726" s="75" t="str">
        <f>IF(AND(OR(N4726="131",O4726="131"),H4726='131-CT'!$H$9),"x","")</f>
        <v/>
      </c>
      <c r="Z4726" s="75"/>
      <c r="AA4726" s="75" t="str">
        <f>IF(AND(MONTH(E4726)='IN-NX'!$J$5,'IN-NX'!$D$7=D4726),"x","")</f>
        <v/>
      </c>
      <c r="AB4726" s="75" t="str">
        <f>IF(AND(OR(LEFT(TH!N3840,2)="15",LEFT(TH!O3840,2)="15"),LEFT(TH!O3840,3)&lt;&gt;"111",'152-CT'!$J$8=TH!F3840),"x","")</f>
        <v/>
      </c>
      <c r="AC4726" s="75" t="str">
        <f>IF(AND(OR(LEFT(TH!N3840,2)="15",LEFT(TH!O3840,2)="15"),TK!$E$7=TH!F3840),"x","")</f>
        <v/>
      </c>
      <c r="AD4726" s="75" t="str">
        <f>IF(AND(N4726="1521",MONTH(C4726)='BK-NL'!$M$11),"x","")</f>
        <v/>
      </c>
      <c r="AE4726">
        <v>8</v>
      </c>
    </row>
    <row r="4727" spans="1:33" ht="16.5" customHeight="1">
      <c r="A4727" s="309" t="str">
        <f>IF(B4727&lt;&gt;"",IF(AND(B4727='IN-TC'!$S$4,OR(TH!N4717="1111",TH!O4717="1111")),TH!D4717,""),"")</f>
        <v/>
      </c>
      <c r="B4727" s="1129">
        <f t="shared" si="1332"/>
        <v>8</v>
      </c>
      <c r="C4727" s="292">
        <f t="shared" si="1333"/>
        <v>42968</v>
      </c>
      <c r="D4727" s="292"/>
      <c r="E4727" s="292">
        <v>42968</v>
      </c>
      <c r="F4727" s="293" t="s">
        <v>2074</v>
      </c>
      <c r="G4727" s="925" t="s">
        <v>2075</v>
      </c>
      <c r="H4727" s="294" t="s">
        <v>2076</v>
      </c>
      <c r="I4727" s="373"/>
      <c r="J4727" s="926"/>
      <c r="K4727" s="373"/>
      <c r="L4727" s="379"/>
      <c r="M4727" s="927">
        <v>5271</v>
      </c>
      <c r="N4727" s="295" t="s">
        <v>9</v>
      </c>
      <c r="O4727" s="295" t="s">
        <v>63</v>
      </c>
      <c r="P4727" s="75" t="str">
        <f>IF(AND('331-CT'!$E$7=TH!H3841,OR(N4727="331",O4727="331")),"x","")</f>
        <v/>
      </c>
      <c r="Q4727" s="75" t="str">
        <f>IF(AND(B4727='111'!$L$11,OR($N4727=$Q$7,$O4727=$Q$7)),"x","")</f>
        <v/>
      </c>
      <c r="R4727" s="75" t="str">
        <f>IF(AND($N4727=$Q$7,$B4727&lt;'111'!$L$11),"x","")</f>
        <v/>
      </c>
      <c r="S4727" s="75" t="str">
        <f>IF(AND($O4727=$Q$7,$B4727&lt;'111'!$L$11),"x","")</f>
        <v>x</v>
      </c>
      <c r="T4727" s="75" t="str">
        <f>IF(ISERROR(FIND('112'!$M$9,G4727,1)),"",IF((AND(FIND('112'!$M$9,G4727,1)&gt;=1,B4727='112'!$K$9,OR($N4727='112'!$I$6,$O4727='112'!$I$6))),"x",""))</f>
        <v/>
      </c>
      <c r="U4727" s="75" t="str">
        <f>IF(ISERROR(FIND('112'!$M$9,G4727,1)),"",IF((AND(LEFT(G4727,2)=LEFT('112'!$M$9,2),B4727&lt;'112'!$K$9,$N4727='112'!$I$6)),"x",""))</f>
        <v/>
      </c>
      <c r="V4727" s="75" t="str">
        <f>IF(ISERROR(FIND('112'!$M$9,G4727,1)),"",IF((AND(RIGHT(G4727,2)=RIGHT('112'!$M$9,2),B4727&lt;'112'!$K$9,$O4727='112'!$I$6)),"x",""))</f>
        <v/>
      </c>
      <c r="W4727" s="75" t="str">
        <f>IF(AND('341-CT'!$H$9=H4727,OR(LEFT(N4727,3)=$W$7,LEFT(O4727,3)=$W$7)),"x","")</f>
        <v/>
      </c>
      <c r="X4727" s="75" t="str">
        <f>IF(OR(TH!N3841=TH!$X$7,O4727=TH!$X$7),"x","")</f>
        <v/>
      </c>
      <c r="Y4727" s="75" t="str">
        <f>IF(AND(OR(N4727="131",O4727="131"),H4727='131-CT'!$H$9),"x","")</f>
        <v/>
      </c>
      <c r="Z4727" s="75"/>
      <c r="AA4727" s="75" t="str">
        <f>IF(AND(MONTH(E4727)='IN-NX'!$J$5,'IN-NX'!$D$7=D4727),"x","")</f>
        <v/>
      </c>
      <c r="AB4727" s="75" t="str">
        <f>IF(AND(OR(LEFT(TH!N3841,2)="15",LEFT(TH!O3841,2)="15"),LEFT(TH!O3841,3)&lt;&gt;"111",'152-CT'!$J$8=TH!F3841),"x","")</f>
        <v/>
      </c>
      <c r="AC4727" s="75" t="str">
        <f>IF(AND(OR(LEFT(TH!N3841,2)="15",LEFT(TH!O3841,2)="15"),TK!$E$7=TH!F3841),"x","")</f>
        <v/>
      </c>
      <c r="AD4727" s="75" t="str">
        <f>IF(AND(N4727="1521",MONTH(C4727)='BK-NL'!$M$11),"x","")</f>
        <v/>
      </c>
      <c r="AE4727">
        <v>8</v>
      </c>
    </row>
    <row r="4728" spans="1:33" ht="16.5" customHeight="1">
      <c r="A4728" s="309" t="str">
        <f>IF(B4728&lt;&gt;"",IF(AND(B4728='IN-TC'!$S$4,OR(TH!N4718="1111",TH!O4718="1111")),TH!D4718,""),"")</f>
        <v/>
      </c>
      <c r="B4728" s="1129">
        <f t="shared" si="1332"/>
        <v>8</v>
      </c>
      <c r="C4728" s="292">
        <f t="shared" si="1333"/>
        <v>42968</v>
      </c>
      <c r="D4728" s="59" t="s">
        <v>902</v>
      </c>
      <c r="E4728" s="59">
        <v>42968</v>
      </c>
      <c r="F4728" s="67" t="s">
        <v>2039</v>
      </c>
      <c r="G4728" s="62" t="s">
        <v>1713</v>
      </c>
      <c r="H4728" s="67" t="s">
        <v>1771</v>
      </c>
      <c r="I4728" s="373"/>
      <c r="J4728" s="382"/>
      <c r="K4728" s="373"/>
      <c r="L4728" s="379"/>
      <c r="M4728" s="60">
        <v>9830000000</v>
      </c>
      <c r="N4728" s="61" t="s">
        <v>2415</v>
      </c>
      <c r="O4728" s="61" t="s">
        <v>26</v>
      </c>
      <c r="P4728" s="75" t="str">
        <f>IF(AND('331-CT'!$E$7=TH!H4471,OR(N4728="331",O4728="331")),"x","")</f>
        <v/>
      </c>
      <c r="Q4728" s="75" t="str">
        <f>IF(AND(B4728='111'!$L$11,OR($N4728=$Q$7,$O4728=$Q$7)),"x","")</f>
        <v/>
      </c>
      <c r="R4728" s="75" t="str">
        <f>IF(AND($N4728=$Q$7,$B4728&lt;'111'!$L$11),"x","")</f>
        <v/>
      </c>
      <c r="S4728" s="75" t="str">
        <f>IF(AND($O4728=$Q$7,$B4728&lt;'111'!$L$11),"x","")</f>
        <v/>
      </c>
      <c r="T4728" s="75" t="str">
        <f>IF(ISERROR(FIND('112'!$M$9,G4728,1)),"",IF((AND(FIND('112'!$M$9,G4728,1)&gt;=1,B4728='112'!$K$9,OR($N4728='112'!$I$6,$O4728='112'!$I$6))),"x",""))</f>
        <v/>
      </c>
      <c r="U4728" s="75" t="str">
        <f>IF(ISERROR(FIND('112'!$M$9,G4728,1)),"",IF((AND(LEFT(G4728,2)=LEFT('112'!$M$9,2),B4728&lt;'112'!$K$9,$N4728='112'!$I$6)),"x",""))</f>
        <v/>
      </c>
      <c r="V4728" s="75" t="str">
        <f>IF(ISERROR(FIND('112'!$M$9,G4728,1)),"",IF((AND(RIGHT(G4728,2)=RIGHT('112'!$M$9,2),B4728&lt;'112'!$K$9,$O4728='112'!$I$6)),"x",""))</f>
        <v/>
      </c>
      <c r="W4728" s="75" t="str">
        <f>IF(AND('341-CT'!$H$9=H4728,OR(LEFT(N4728,3)=$W$7,LEFT(O4728,3)=$W$7)),"x","")</f>
        <v/>
      </c>
      <c r="X4728" s="75" t="str">
        <f>IF(OR(TH!N4471=TH!$X$7,O4728=TH!$X$7),"x","")</f>
        <v/>
      </c>
      <c r="Y4728" s="75" t="str">
        <f>IF(AND(OR(N4728="131",O4728="131"),H4728='131-CT'!$H$9),"x","")</f>
        <v/>
      </c>
      <c r="Z4728" s="75"/>
      <c r="AA4728" s="75" t="str">
        <f>IF(AND(MONTH(E4728)='IN-NX'!$J$5,'IN-NX'!$D$7=D4728),"x","")</f>
        <v/>
      </c>
      <c r="AB4728" s="75" t="str">
        <f>IF(AND(OR(LEFT(TH!N4471,2)="15",LEFT(TH!O4471,2)="15"),LEFT(TH!O4471,3)&lt;&gt;"111",'152-CT'!$J$8=TH!F4471),"x","")</f>
        <v/>
      </c>
      <c r="AC4728" s="75" t="str">
        <f>IF(AND(OR(LEFT(TH!N4471,2)="15",LEFT(TH!O4471,2)="15"),TK!$E$7=TH!F4471),"x","")</f>
        <v/>
      </c>
      <c r="AD4728" s="75" t="str">
        <f>IF(AND(N4728="1521",MONTH(C4728)='BK-NL'!$M$11),"x","")</f>
        <v/>
      </c>
      <c r="AE4728" s="1053"/>
      <c r="AF4728" s="1053"/>
      <c r="AG4728" s="1053"/>
    </row>
    <row r="4729" spans="1:33" ht="16.5" customHeight="1">
      <c r="A4729" s="309" t="str">
        <f>IF(B4729&lt;&gt;"",IF(AND(B4729='IN-TC'!$S$4,OR(TH!N4719="1111",TH!O4719="1111")),TH!D4719,""),"")</f>
        <v/>
      </c>
      <c r="B4729" s="1129">
        <f t="shared" si="1332"/>
        <v>8</v>
      </c>
      <c r="C4729" s="292">
        <f t="shared" si="1333"/>
        <v>42969</v>
      </c>
      <c r="D4729" s="292"/>
      <c r="E4729" s="292">
        <v>42969</v>
      </c>
      <c r="F4729" s="293" t="s">
        <v>2077</v>
      </c>
      <c r="G4729" s="925" t="s">
        <v>2079</v>
      </c>
      <c r="H4729" s="294" t="s">
        <v>2080</v>
      </c>
      <c r="I4729" s="373"/>
      <c r="J4729" s="926"/>
      <c r="K4729" s="373"/>
      <c r="L4729" s="379"/>
      <c r="M4729" s="927">
        <v>5280000</v>
      </c>
      <c r="N4729" s="295" t="s">
        <v>539</v>
      </c>
      <c r="O4729" s="295" t="s">
        <v>63</v>
      </c>
      <c r="P4729" s="75" t="str">
        <f>IF(AND('331-CT'!$E$7=TH!H3842,OR(N4729="331",O4729="331")),"x","")</f>
        <v/>
      </c>
      <c r="Q4729" s="75" t="str">
        <f>IF(AND(B4729='111'!$L$11,OR($N4729=$Q$7,$O4729=$Q$7)),"x","")</f>
        <v/>
      </c>
      <c r="R4729" s="75" t="str">
        <f>IF(AND($N4729=$Q$7,$B4729&lt;'111'!$L$11),"x","")</f>
        <v/>
      </c>
      <c r="S4729" s="75" t="str">
        <f>IF(AND($O4729=$Q$7,$B4729&lt;'111'!$L$11),"x","")</f>
        <v>x</v>
      </c>
      <c r="T4729" s="75" t="str">
        <f>IF(ISERROR(FIND('112'!$M$9,G4729,1)),"",IF((AND(FIND('112'!$M$9,G4729,1)&gt;=1,B4729='112'!$K$9,OR($N4729='112'!$I$6,$O4729='112'!$I$6))),"x",""))</f>
        <v/>
      </c>
      <c r="U4729" s="75" t="str">
        <f>IF(ISERROR(FIND('112'!$M$9,G4729,1)),"",IF((AND(LEFT(G4729,2)=LEFT('112'!$M$9,2),B4729&lt;'112'!$K$9,$N4729='112'!$I$6)),"x",""))</f>
        <v/>
      </c>
      <c r="V4729" s="75" t="str">
        <f>IF(ISERROR(FIND('112'!$M$9,G4729,1)),"",IF((AND(RIGHT(G4729,2)=RIGHT('112'!$M$9,2),B4729&lt;'112'!$K$9,$O4729='112'!$I$6)),"x",""))</f>
        <v/>
      </c>
      <c r="W4729" s="75" t="str">
        <f>IF(AND('341-CT'!$H$9=H4729,OR(LEFT(N4729,3)=$W$7,LEFT(O4729,3)=$W$7)),"x","")</f>
        <v/>
      </c>
      <c r="X4729" s="75" t="str">
        <f>IF(OR(TH!N3842=TH!$X$7,O4729=TH!$X$7),"x","")</f>
        <v/>
      </c>
      <c r="Y4729" s="75" t="str">
        <f>IF(AND(OR(N4729="131",O4729="131"),H4729='131-CT'!$H$9),"x","")</f>
        <v/>
      </c>
      <c r="Z4729" s="75"/>
      <c r="AA4729" s="75" t="str">
        <f>IF(AND(MONTH(E4729)='IN-NX'!$J$5,'IN-NX'!$D$7=D4729),"x","")</f>
        <v/>
      </c>
      <c r="AB4729" s="75" t="str">
        <f>IF(AND(OR(LEFT(TH!N3842,2)="15",LEFT(TH!O3842,2)="15"),LEFT(TH!O3842,3)&lt;&gt;"111",'152-CT'!$J$8=TH!F3842),"x","")</f>
        <v/>
      </c>
      <c r="AC4729" s="75" t="str">
        <f>IF(AND(OR(LEFT(TH!N3842,2)="15",LEFT(TH!O3842,2)="15"),TK!$E$7=TH!F3842),"x","")</f>
        <v/>
      </c>
      <c r="AD4729" s="75" t="str">
        <f>IF(AND(N4729="1521",MONTH(C4729)='BK-NL'!$M$11),"x","")</f>
        <v/>
      </c>
      <c r="AE4729">
        <v>8</v>
      </c>
    </row>
    <row r="4730" spans="1:33" ht="16.5" customHeight="1">
      <c r="A4730" s="309" t="str">
        <f>IF(B4730&lt;&gt;"",IF(AND(B4730='IN-TC'!$S$4,OR(TH!N4720="1111",TH!O4720="1111")),TH!D4720,""),"")</f>
        <v/>
      </c>
      <c r="B4730" s="1129">
        <f t="shared" si="1332"/>
        <v>8</v>
      </c>
      <c r="C4730" s="292">
        <f t="shared" si="1333"/>
        <v>42969</v>
      </c>
      <c r="D4730" s="292"/>
      <c r="E4730" s="292">
        <v>42969</v>
      </c>
      <c r="F4730" s="293" t="s">
        <v>2078</v>
      </c>
      <c r="G4730" s="925" t="s">
        <v>2079</v>
      </c>
      <c r="H4730" s="294" t="s">
        <v>2080</v>
      </c>
      <c r="I4730" s="373"/>
      <c r="J4730" s="926"/>
      <c r="K4730" s="373"/>
      <c r="L4730" s="379"/>
      <c r="M4730" s="927">
        <v>528000</v>
      </c>
      <c r="N4730" s="295" t="s">
        <v>9</v>
      </c>
      <c r="O4730" s="295" t="s">
        <v>63</v>
      </c>
      <c r="P4730" s="75" t="str">
        <f>IF(AND('331-CT'!$E$7=TH!H3843,OR(N4730="331",O4730="331")),"x","")</f>
        <v/>
      </c>
      <c r="Q4730" s="75" t="str">
        <f>IF(AND(B4730='111'!$L$11,OR($N4730=$Q$7,$O4730=$Q$7)),"x","")</f>
        <v/>
      </c>
      <c r="R4730" s="75" t="str">
        <f>IF(AND($N4730=$Q$7,$B4730&lt;'111'!$L$11),"x","")</f>
        <v/>
      </c>
      <c r="S4730" s="75" t="str">
        <f>IF(AND($O4730=$Q$7,$B4730&lt;'111'!$L$11),"x","")</f>
        <v>x</v>
      </c>
      <c r="T4730" s="75" t="str">
        <f>IF(ISERROR(FIND('112'!$M$9,G4730,1)),"",IF((AND(FIND('112'!$M$9,G4730,1)&gt;=1,B4730='112'!$K$9,OR($N4730='112'!$I$6,$O4730='112'!$I$6))),"x",""))</f>
        <v/>
      </c>
      <c r="U4730" s="75" t="str">
        <f>IF(ISERROR(FIND('112'!$M$9,G4730,1)),"",IF((AND(LEFT(G4730,2)=LEFT('112'!$M$9,2),B4730&lt;'112'!$K$9,$N4730='112'!$I$6)),"x",""))</f>
        <v/>
      </c>
      <c r="V4730" s="75" t="str">
        <f>IF(ISERROR(FIND('112'!$M$9,G4730,1)),"",IF((AND(RIGHT(G4730,2)=RIGHT('112'!$M$9,2),B4730&lt;'112'!$K$9,$O4730='112'!$I$6)),"x",""))</f>
        <v/>
      </c>
      <c r="W4730" s="75" t="str">
        <f>IF(AND('341-CT'!$H$9=H4730,OR(LEFT(N4730,3)=$W$7,LEFT(O4730,3)=$W$7)),"x","")</f>
        <v/>
      </c>
      <c r="X4730" s="75" t="str">
        <f>IF(OR(TH!N3843=TH!$X$7,O4730=TH!$X$7),"x","")</f>
        <v/>
      </c>
      <c r="Y4730" s="75" t="str">
        <f>IF(AND(OR(N4730="131",O4730="131"),H4730='131-CT'!$H$9),"x","")</f>
        <v/>
      </c>
      <c r="Z4730" s="75"/>
      <c r="AA4730" s="75" t="str">
        <f>IF(AND(MONTH(E4730)='IN-NX'!$J$5,'IN-NX'!$D$7=D4730),"x","")</f>
        <v/>
      </c>
      <c r="AB4730" s="75" t="str">
        <f>IF(AND(OR(LEFT(TH!N3843,2)="15",LEFT(TH!O3843,2)="15"),LEFT(TH!O3843,3)&lt;&gt;"111",'152-CT'!$J$8=TH!F3843),"x","")</f>
        <v/>
      </c>
      <c r="AC4730" s="75" t="str">
        <f>IF(AND(OR(LEFT(TH!N3843,2)="15",LEFT(TH!O3843,2)="15"),TK!$E$7=TH!F3843),"x","")</f>
        <v/>
      </c>
      <c r="AD4730" s="75" t="str">
        <f>IF(AND(N4730="1521",MONTH(C4730)='BK-NL'!$M$11),"x","")</f>
        <v/>
      </c>
      <c r="AE4730">
        <v>8</v>
      </c>
    </row>
    <row r="4731" spans="1:33" ht="16.5" customHeight="1">
      <c r="A4731" s="309" t="str">
        <f>IF(B4731&lt;&gt;"",IF(AND(B4731='IN-TC'!$S$4,OR(TH!N4721="1111",TH!O4721="1111")),TH!D4721,""),"")</f>
        <v/>
      </c>
      <c r="B4731" s="1129">
        <f t="shared" si="1332"/>
        <v>8</v>
      </c>
      <c r="C4731" s="292">
        <f t="shared" si="1333"/>
        <v>42969</v>
      </c>
      <c r="D4731" s="292"/>
      <c r="E4731" s="292">
        <v>42969</v>
      </c>
      <c r="F4731" s="293" t="s">
        <v>881</v>
      </c>
      <c r="G4731" s="925" t="s">
        <v>2081</v>
      </c>
      <c r="H4731" s="294" t="s">
        <v>1817</v>
      </c>
      <c r="I4731" s="373"/>
      <c r="J4731" s="926"/>
      <c r="K4731" s="373"/>
      <c r="L4731" s="379"/>
      <c r="M4731" s="927">
        <v>1000000</v>
      </c>
      <c r="N4731" s="295" t="s">
        <v>539</v>
      </c>
      <c r="O4731" s="295" t="s">
        <v>63</v>
      </c>
      <c r="P4731" s="75" t="str">
        <f>IF(AND('331-CT'!$E$7=TH!H3844,OR(N4731="331",O4731="331")),"x","")</f>
        <v/>
      </c>
      <c r="Q4731" s="75" t="str">
        <f>IF(AND(B4731='111'!$L$11,OR($N4731=$Q$7,$O4731=$Q$7)),"x","")</f>
        <v/>
      </c>
      <c r="R4731" s="75" t="str">
        <f>IF(AND($N4731=$Q$7,$B4731&lt;'111'!$L$11),"x","")</f>
        <v/>
      </c>
      <c r="S4731" s="75" t="str">
        <f>IF(AND($O4731=$Q$7,$B4731&lt;'111'!$L$11),"x","")</f>
        <v>x</v>
      </c>
      <c r="T4731" s="75" t="str">
        <f>IF(ISERROR(FIND('112'!$M$9,G4731,1)),"",IF((AND(FIND('112'!$M$9,G4731,1)&gt;=1,B4731='112'!$K$9,OR($N4731='112'!$I$6,$O4731='112'!$I$6))),"x",""))</f>
        <v/>
      </c>
      <c r="U4731" s="75" t="str">
        <f>IF(ISERROR(FIND('112'!$M$9,G4731,1)),"",IF((AND(LEFT(G4731,2)=LEFT('112'!$M$9,2),B4731&lt;'112'!$K$9,$N4731='112'!$I$6)),"x",""))</f>
        <v/>
      </c>
      <c r="V4731" s="75" t="str">
        <f>IF(ISERROR(FIND('112'!$M$9,G4731,1)),"",IF((AND(RIGHT(G4731,2)=RIGHT('112'!$M$9,2),B4731&lt;'112'!$K$9,$O4731='112'!$I$6)),"x",""))</f>
        <v/>
      </c>
      <c r="W4731" s="75" t="str">
        <f>IF(AND('341-CT'!$H$9=H4731,OR(LEFT(N4731,3)=$W$7,LEFT(O4731,3)=$W$7)),"x","")</f>
        <v/>
      </c>
      <c r="X4731" s="75" t="str">
        <f>IF(OR(TH!N3844=TH!$X$7,O4731=TH!$X$7),"x","")</f>
        <v/>
      </c>
      <c r="Y4731" s="75" t="str">
        <f>IF(AND(OR(N4731="131",O4731="131"),H4731='131-CT'!$H$9),"x","")</f>
        <v/>
      </c>
      <c r="Z4731" s="75"/>
      <c r="AA4731" s="75" t="str">
        <f>IF(AND(MONTH(E4731)='IN-NX'!$J$5,'IN-NX'!$D$7=D4731),"x","")</f>
        <v/>
      </c>
      <c r="AB4731" s="75" t="str">
        <f>IF(AND(OR(LEFT(TH!N3844,2)="15",LEFT(TH!O3844,2)="15"),LEFT(TH!O3844,3)&lt;&gt;"111",'152-CT'!$J$8=TH!F3844),"x","")</f>
        <v/>
      </c>
      <c r="AC4731" s="75" t="str">
        <f>IF(AND(OR(LEFT(TH!N3844,2)="15",LEFT(TH!O3844,2)="15"),TK!$E$7=TH!F3844),"x","")</f>
        <v/>
      </c>
      <c r="AD4731" s="75" t="str">
        <f>IF(AND(N4731="1521",MONTH(C4731)='BK-NL'!$M$11),"x","")</f>
        <v/>
      </c>
      <c r="AE4731">
        <v>8</v>
      </c>
    </row>
    <row r="4732" spans="1:33" ht="16.5" customHeight="1">
      <c r="A4732" s="309" t="str">
        <f>IF(B4732&lt;&gt;"",IF(AND(B4732='IN-TC'!$S$4,OR(TH!N4722="1111",TH!O4722="1111")),TH!D4722,""),"")</f>
        <v/>
      </c>
      <c r="B4732" s="1129">
        <f t="shared" si="1332"/>
        <v>8</v>
      </c>
      <c r="C4732" s="292">
        <f t="shared" si="1333"/>
        <v>42969</v>
      </c>
      <c r="D4732" s="292"/>
      <c r="E4732" s="292">
        <v>42969</v>
      </c>
      <c r="F4732" s="293" t="s">
        <v>882</v>
      </c>
      <c r="G4732" s="925" t="s">
        <v>2081</v>
      </c>
      <c r="H4732" s="294" t="s">
        <v>1817</v>
      </c>
      <c r="I4732" s="373"/>
      <c r="J4732" s="926"/>
      <c r="K4732" s="373"/>
      <c r="L4732" s="379"/>
      <c r="M4732" s="927">
        <v>50000</v>
      </c>
      <c r="N4732" s="295" t="s">
        <v>9</v>
      </c>
      <c r="O4732" s="295" t="s">
        <v>63</v>
      </c>
      <c r="P4732" s="75" t="str">
        <f>IF(AND('331-CT'!$E$7=TH!H3836,OR(N4732="331",O4732="331")),"x","")</f>
        <v/>
      </c>
      <c r="Q4732" s="75" t="str">
        <f>IF(AND(B4732='111'!$L$11,OR($N4732=$Q$7,$O4732=$Q$7)),"x","")</f>
        <v/>
      </c>
      <c r="R4732" s="75" t="str">
        <f>IF(AND($N4732=$Q$7,$B4732&lt;'111'!$L$11),"x","")</f>
        <v/>
      </c>
      <c r="S4732" s="75" t="str">
        <f>IF(AND($O4732=$Q$7,$B4732&lt;'111'!$L$11),"x","")</f>
        <v>x</v>
      </c>
      <c r="T4732" s="75" t="str">
        <f>IF(ISERROR(FIND('112'!$M$9,G4732,1)),"",IF((AND(FIND('112'!$M$9,G4732,1)&gt;=1,B4732='112'!$K$9,OR($N4732='112'!$I$6,$O4732='112'!$I$6))),"x",""))</f>
        <v/>
      </c>
      <c r="U4732" s="75" t="str">
        <f>IF(ISERROR(FIND('112'!$M$9,G4732,1)),"",IF((AND(LEFT(G4732,2)=LEFT('112'!$M$9,2),B4732&lt;'112'!$K$9,$N4732='112'!$I$6)),"x",""))</f>
        <v/>
      </c>
      <c r="V4732" s="75" t="str">
        <f>IF(ISERROR(FIND('112'!$M$9,G4732,1)),"",IF((AND(RIGHT(G4732,2)=RIGHT('112'!$M$9,2),B4732&lt;'112'!$K$9,$O4732='112'!$I$6)),"x",""))</f>
        <v/>
      </c>
      <c r="W4732" s="75" t="str">
        <f>IF(AND('341-CT'!$H$9=H4732,OR(LEFT(N4732,3)=$W$7,LEFT(O4732,3)=$W$7)),"x","")</f>
        <v/>
      </c>
      <c r="X4732" s="75" t="str">
        <f>IF(OR(TH!N3836=TH!$X$7,O4732=TH!$X$7),"x","")</f>
        <v/>
      </c>
      <c r="Y4732" s="75" t="str">
        <f>IF(AND(OR(N4732="131",O4732="131"),H4732='131-CT'!$H$9),"x","")</f>
        <v/>
      </c>
      <c r="Z4732" s="75"/>
      <c r="AA4732" s="75" t="str">
        <f>IF(AND(MONTH(E4732)='IN-NX'!$J$5,'IN-NX'!$D$7=D4732),"x","")</f>
        <v/>
      </c>
      <c r="AB4732" s="75" t="str">
        <f>IF(AND(OR(LEFT(TH!N3836,2)="15",LEFT(TH!O3836,2)="15"),LEFT(TH!O3836,3)&lt;&gt;"111",'152-CT'!$J$8=TH!F3836),"x","")</f>
        <v/>
      </c>
      <c r="AC4732" s="75" t="str">
        <f>IF(AND(OR(LEFT(TH!N3836,2)="15",LEFT(TH!O3836,2)="15"),TK!$E$7=TH!F3836),"x","")</f>
        <v/>
      </c>
      <c r="AD4732" s="75" t="str">
        <f>IF(AND(N4732="1521",MONTH(C4732)='BK-NL'!$M$11),"x","")</f>
        <v/>
      </c>
      <c r="AE4732">
        <v>8</v>
      </c>
    </row>
    <row r="4733" spans="1:33" ht="16.5" customHeight="1">
      <c r="A4733" s="309" t="str">
        <f>IF(B4733&lt;&gt;"",IF(AND(B4733='IN-TC'!$S$4,OR(TH!N4723="1111",TH!O4723="1111")),TH!D4723,""),"")</f>
        <v/>
      </c>
      <c r="B4733" s="1129">
        <f t="shared" si="1332"/>
        <v>8</v>
      </c>
      <c r="C4733" s="292">
        <f t="shared" si="1333"/>
        <v>42969</v>
      </c>
      <c r="D4733" s="59" t="s">
        <v>902</v>
      </c>
      <c r="E4733" s="59">
        <v>42969</v>
      </c>
      <c r="F4733" s="293" t="s">
        <v>2026</v>
      </c>
      <c r="G4733" s="62" t="s">
        <v>585</v>
      </c>
      <c r="H4733" s="311" t="s">
        <v>2027</v>
      </c>
      <c r="I4733" s="373"/>
      <c r="J4733" s="382"/>
      <c r="K4733" s="373"/>
      <c r="L4733" s="379"/>
      <c r="M4733" s="60">
        <v>2000000</v>
      </c>
      <c r="N4733" s="61" t="s">
        <v>8</v>
      </c>
      <c r="O4733" s="61" t="s">
        <v>26</v>
      </c>
      <c r="P4733" s="75" t="str">
        <f>IF(AND('331-CT'!$E$7=TH!H4816,OR(N4733="331",O4733="331")),"x","")</f>
        <v/>
      </c>
      <c r="Q4733" s="75" t="str">
        <f>IF(AND(B4733='111'!$L$11,OR($N4733=$Q$7,$O4733=$Q$7)),"x","")</f>
        <v/>
      </c>
      <c r="R4733" s="75" t="str">
        <f>IF(AND($N4733=$Q$7,$B4733&lt;'111'!$L$11),"x","")</f>
        <v/>
      </c>
      <c r="S4733" s="75" t="str">
        <f>IF(AND($O4733=$Q$7,$B4733&lt;'111'!$L$11),"x","")</f>
        <v/>
      </c>
      <c r="T4733" s="75" t="str">
        <f>IF(ISERROR(FIND('112'!$M$9,G4733,1)),"",IF((AND(FIND('112'!$M$9,G4733,1)&gt;=1,B4733='112'!$K$9,OR($N4733='112'!$I$6,$O4733='112'!$I$6))),"x",""))</f>
        <v/>
      </c>
      <c r="U4733" s="75" t="str">
        <f>IF(ISERROR(FIND('112'!$M$9,G4733,1)),"",IF((AND(LEFT(G4733,2)=LEFT('112'!$M$9,2),B4733&lt;'112'!$K$9,$N4733='112'!$I$6)),"x",""))</f>
        <v/>
      </c>
      <c r="V4733" s="75" t="str">
        <f>IF(ISERROR(FIND('112'!$M$9,G4733,1)),"",IF((AND(RIGHT(G4733,2)=RIGHT('112'!$M$9,2),B4733&lt;'112'!$K$9,$O4733='112'!$I$6)),"x",""))</f>
        <v/>
      </c>
      <c r="W4733" s="75" t="str">
        <f>IF(AND('341-CT'!$H$9=H4733,OR(LEFT(N4733,3)=$W$7,LEFT(O4733,3)=$W$7)),"x","")</f>
        <v/>
      </c>
      <c r="X4733" s="75" t="str">
        <f>IF(OR(TH!N4816=TH!$X$7,O4733=TH!$X$7),"x","")</f>
        <v/>
      </c>
      <c r="Y4733" s="75" t="str">
        <f>IF(AND(OR(N4733="131",O4733="131"),H4733='131-CT'!$H$9),"x","")</f>
        <v/>
      </c>
      <c r="Z4733" s="75"/>
      <c r="AA4733" s="75" t="str">
        <f>IF(AND(MONTH(E4733)='IN-NX'!$J$5,'IN-NX'!$D$7=D4733),"x","")</f>
        <v/>
      </c>
      <c r="AB4733" s="75" t="str">
        <f>IF(AND(OR(LEFT(TH!N4816,2)="15",LEFT(TH!O4816,2)="15"),LEFT(TH!O4816,3)&lt;&gt;"111",'152-CT'!$J$8=TH!F4816),"x","")</f>
        <v/>
      </c>
      <c r="AC4733" s="75" t="str">
        <f>IF(AND(OR(LEFT(TH!N4816,2)="15",LEFT(TH!O4816,2)="15"),TK!$E$7=TH!F4816),"x","")</f>
        <v/>
      </c>
      <c r="AD4733" s="75" t="str">
        <f>IF(AND(N4733="1521",MONTH(C4733)='BK-NL'!$M$11),"x","")</f>
        <v/>
      </c>
    </row>
    <row r="4734" spans="1:33" ht="16.5" customHeight="1">
      <c r="A4734" s="309" t="str">
        <f>IF(B4734&lt;&gt;"",IF(AND(B4734='IN-TC'!$S$4,OR(TH!N4724="1111",TH!O4724="1111")),TH!D4724,""),"")</f>
        <v/>
      </c>
      <c r="B4734" s="1129">
        <f t="shared" si="1332"/>
        <v>8</v>
      </c>
      <c r="C4734" s="292">
        <f t="shared" si="1333"/>
        <v>42969</v>
      </c>
      <c r="D4734" s="59" t="s">
        <v>902</v>
      </c>
      <c r="E4734" s="59">
        <v>42969</v>
      </c>
      <c r="F4734" s="62" t="s">
        <v>870</v>
      </c>
      <c r="G4734" s="62" t="s">
        <v>585</v>
      </c>
      <c r="H4734" s="67" t="s">
        <v>845</v>
      </c>
      <c r="I4734" s="1219"/>
      <c r="J4734" s="840"/>
      <c r="K4734" s="373"/>
      <c r="L4734" s="379"/>
      <c r="M4734" s="60">
        <v>15000</v>
      </c>
      <c r="N4734" s="61" t="s">
        <v>101</v>
      </c>
      <c r="O4734" s="61" t="s">
        <v>26</v>
      </c>
      <c r="P4734" s="75" t="str">
        <f>IF(AND('331-CT'!$E$7=TH!H4817,OR(N4734="331",O4734="331")),"x","")</f>
        <v/>
      </c>
      <c r="Q4734" s="75" t="str">
        <f>IF(AND(B4734='111'!$L$11,OR($N4734=$Q$7,$O4734=$Q$7)),"x","")</f>
        <v/>
      </c>
      <c r="R4734" s="75" t="str">
        <f>IF(AND($N4734=$Q$7,$B4734&lt;'111'!$L$11),"x","")</f>
        <v/>
      </c>
      <c r="S4734" s="75" t="str">
        <f>IF(AND($O4734=$Q$7,$B4734&lt;'111'!$L$11),"x","")</f>
        <v/>
      </c>
      <c r="T4734" s="75" t="str">
        <f>IF(ISERROR(FIND('112'!$M$9,G4734,1)),"",IF((AND(FIND('112'!$M$9,G4734,1)&gt;=1,B4734='112'!$K$9,OR($N4734='112'!$I$6,$O4734='112'!$I$6))),"x",""))</f>
        <v/>
      </c>
      <c r="U4734" s="75" t="str">
        <f>IF(ISERROR(FIND('112'!$M$9,G4734,1)),"",IF((AND(LEFT(G4734,2)=LEFT('112'!$M$9,2),B4734&lt;'112'!$K$9,$N4734='112'!$I$6)),"x",""))</f>
        <v/>
      </c>
      <c r="V4734" s="75" t="str">
        <f>IF(ISERROR(FIND('112'!$M$9,G4734,1)),"",IF((AND(RIGHT(G4734,2)=RIGHT('112'!$M$9,2),B4734&lt;'112'!$K$9,$O4734='112'!$I$6)),"x",""))</f>
        <v/>
      </c>
      <c r="W4734" s="75" t="str">
        <f>IF(AND('341-CT'!$H$9=H4734,OR(LEFT(N4734,3)=$W$7,LEFT(O4734,3)=$W$7)),"x","")</f>
        <v/>
      </c>
      <c r="X4734" s="75" t="str">
        <f>IF(OR(TH!N4817=TH!$X$7,O4734=TH!$X$7),"x","")</f>
        <v/>
      </c>
      <c r="Y4734" s="75" t="str">
        <f>IF(AND(OR(N4734="131",O4734="131"),H4734='131-CT'!$H$9),"x","")</f>
        <v/>
      </c>
      <c r="Z4734" s="75"/>
      <c r="AA4734" s="75" t="str">
        <f>IF(AND(MONTH(E4734)='IN-NX'!$J$5,'IN-NX'!$D$7=D4734),"x","")</f>
        <v/>
      </c>
      <c r="AB4734" s="75" t="str">
        <f>IF(AND(OR(LEFT(TH!N4817,2)="15",LEFT(TH!O4817,2)="15"),LEFT(TH!O4817,3)&lt;&gt;"111",'152-CT'!$J$8=TH!F4817),"x","")</f>
        <v/>
      </c>
      <c r="AC4734" s="75" t="str">
        <f>IF(AND(OR(LEFT(TH!N4817,2)="15",LEFT(TH!O4817,2)="15"),TK!$E$7=TH!F4817),"x","")</f>
        <v/>
      </c>
      <c r="AD4734" s="75" t="str">
        <f>IF(AND(N4734="1521",MONTH(C4734)='BK-NL'!$M$11),"x","")</f>
        <v/>
      </c>
      <c r="AE4734" s="1053">
        <v>8</v>
      </c>
    </row>
    <row r="4735" spans="1:33" ht="16.5" customHeight="1">
      <c r="A4735" s="309" t="str">
        <f>IF(B4735&lt;&gt;"",IF(AND(B4735='IN-TC'!$S$4,OR(TH!N4725="1111",TH!O4725="1111")),TH!D4725,""),"")</f>
        <v/>
      </c>
      <c r="B4735" s="1129">
        <f t="shared" si="1332"/>
        <v>8</v>
      </c>
      <c r="C4735" s="292">
        <f t="shared" si="1333"/>
        <v>42969</v>
      </c>
      <c r="D4735" s="59" t="s">
        <v>902</v>
      </c>
      <c r="E4735" s="59">
        <v>42969</v>
      </c>
      <c r="F4735" s="62" t="s">
        <v>898</v>
      </c>
      <c r="G4735" s="62" t="s">
        <v>585</v>
      </c>
      <c r="H4735" s="67" t="s">
        <v>845</v>
      </c>
      <c r="I4735" s="1219"/>
      <c r="J4735" s="840"/>
      <c r="K4735" s="373"/>
      <c r="L4735" s="379"/>
      <c r="M4735" s="60">
        <v>1500</v>
      </c>
      <c r="N4735" s="61" t="s">
        <v>9</v>
      </c>
      <c r="O4735" s="61" t="s">
        <v>26</v>
      </c>
      <c r="P4735" s="75" t="str">
        <f>IF(AND('331-CT'!$E$7=TH!H4802,OR(N4735="331",O4735="331")),"x","")</f>
        <v/>
      </c>
      <c r="Q4735" s="75" t="str">
        <f>IF(AND(B4735='111'!$L$11,OR($N4735=$Q$7,$O4735=$Q$7)),"x","")</f>
        <v/>
      </c>
      <c r="R4735" s="75" t="str">
        <f>IF(AND($N4735=$Q$7,$B4735&lt;'111'!$L$11),"x","")</f>
        <v/>
      </c>
      <c r="S4735" s="75" t="str">
        <f>IF(AND($O4735=$Q$7,$B4735&lt;'111'!$L$11),"x","")</f>
        <v/>
      </c>
      <c r="T4735" s="75" t="str">
        <f>IF(ISERROR(FIND('112'!$M$9,G4735,1)),"",IF((AND(FIND('112'!$M$9,G4735,1)&gt;=1,B4735='112'!$K$9,OR($N4735='112'!$I$6,$O4735='112'!$I$6))),"x",""))</f>
        <v/>
      </c>
      <c r="U4735" s="75" t="str">
        <f>IF(ISERROR(FIND('112'!$M$9,G4735,1)),"",IF((AND(LEFT(G4735,2)=LEFT('112'!$M$9,2),B4735&lt;'112'!$K$9,$N4735='112'!$I$6)),"x",""))</f>
        <v/>
      </c>
      <c r="V4735" s="75" t="str">
        <f>IF(ISERROR(FIND('112'!$M$9,G4735,1)),"",IF((AND(RIGHT(G4735,2)=RIGHT('112'!$M$9,2),B4735&lt;'112'!$K$9,$O4735='112'!$I$6)),"x",""))</f>
        <v/>
      </c>
      <c r="W4735" s="75" t="str">
        <f>IF(AND('341-CT'!$H$9=H4735,OR(LEFT(N4735,3)=$W$7,LEFT(O4735,3)=$W$7)),"x","")</f>
        <v/>
      </c>
      <c r="X4735" s="75" t="str">
        <f>IF(OR(TH!N4802=TH!$X$7,O4735=TH!$X$7),"x","")</f>
        <v/>
      </c>
      <c r="Y4735" s="75" t="str">
        <f>IF(AND(OR(N4735="131",O4735="131"),H4735='131-CT'!$H$9),"x","")</f>
        <v/>
      </c>
      <c r="Z4735" s="75"/>
      <c r="AA4735" s="75" t="str">
        <f>IF(AND(MONTH(E4735)='IN-NX'!$J$5,'IN-NX'!$D$7=D4735),"x","")</f>
        <v/>
      </c>
      <c r="AB4735" s="75" t="str">
        <f>IF(AND(OR(LEFT(TH!N4802,2)="15",LEFT(TH!O4802,2)="15"),LEFT(TH!O4802,3)&lt;&gt;"111",'152-CT'!$J$8=TH!F4802),"x","")</f>
        <v/>
      </c>
      <c r="AC4735" s="75" t="str">
        <f>IF(AND(OR(LEFT(TH!N4802,2)="15",LEFT(TH!O4802,2)="15"),TK!$E$7=TH!F4802),"x","")</f>
        <v/>
      </c>
      <c r="AD4735" s="75" t="str">
        <f>IF(AND(N4735="1521",MONTH(C4735)='BK-NL'!$M$11),"x","")</f>
        <v/>
      </c>
      <c r="AE4735" s="1053">
        <v>8</v>
      </c>
    </row>
    <row r="4736" spans="1:33" ht="16.5" customHeight="1">
      <c r="A4736" s="309" t="str">
        <f>IF(B4736&lt;&gt;"",IF(AND(B4736='IN-TC'!$S$4,OR(TH!N4726="1111",TH!O4726="1111")),TH!D4726,""),"")</f>
        <v/>
      </c>
      <c r="B4736" s="1129">
        <f t="shared" si="1332"/>
        <v>8</v>
      </c>
      <c r="C4736" s="292">
        <f t="shared" si="1333"/>
        <v>42970</v>
      </c>
      <c r="D4736" s="292"/>
      <c r="E4736" s="292">
        <v>42970</v>
      </c>
      <c r="F4736" s="293" t="s">
        <v>2702</v>
      </c>
      <c r="G4736" s="925" t="s">
        <v>2704</v>
      </c>
      <c r="H4736" s="294" t="s">
        <v>1336</v>
      </c>
      <c r="I4736" s="1219"/>
      <c r="J4736" s="1220"/>
      <c r="K4736" s="373"/>
      <c r="L4736" s="379"/>
      <c r="M4736" s="927">
        <v>409091</v>
      </c>
      <c r="N4736" s="295" t="s">
        <v>539</v>
      </c>
      <c r="O4736" s="295" t="s">
        <v>63</v>
      </c>
      <c r="P4736" s="75" t="str">
        <f>IF(AND('331-CT'!$E$7=TH!H3845,OR(N4736="331",O4736="331")),"x","")</f>
        <v/>
      </c>
      <c r="Q4736" s="75" t="str">
        <f>IF(AND(B4736='111'!$L$11,OR($N4736=$Q$7,$O4736=$Q$7)),"x","")</f>
        <v/>
      </c>
      <c r="R4736" s="75" t="str">
        <f>IF(AND($N4736=$Q$7,$B4736&lt;'111'!$L$11),"x","")</f>
        <v/>
      </c>
      <c r="S4736" s="75" t="str">
        <f>IF(AND($O4736=$Q$7,$B4736&lt;'111'!$L$11),"x","")</f>
        <v>x</v>
      </c>
      <c r="T4736" s="75" t="str">
        <f>IF(ISERROR(FIND('112'!$M$9,G4736,1)),"",IF((AND(FIND('112'!$M$9,G4736,1)&gt;=1,B4736='112'!$K$9,OR($N4736='112'!$I$6,$O4736='112'!$I$6))),"x",""))</f>
        <v/>
      </c>
      <c r="U4736" s="75" t="str">
        <f>IF(ISERROR(FIND('112'!$M$9,G4736,1)),"",IF((AND(LEFT(G4736,2)=LEFT('112'!$M$9,2),B4736&lt;'112'!$K$9,$N4736='112'!$I$6)),"x",""))</f>
        <v/>
      </c>
      <c r="V4736" s="75" t="str">
        <f>IF(ISERROR(FIND('112'!$M$9,G4736,1)),"",IF((AND(RIGHT(G4736,2)=RIGHT('112'!$M$9,2),B4736&lt;'112'!$K$9,$O4736='112'!$I$6)),"x",""))</f>
        <v/>
      </c>
      <c r="W4736" s="75" t="str">
        <f>IF(AND('341-CT'!$H$9=H4736,OR(LEFT(N4736,3)=$W$7,LEFT(O4736,3)=$W$7)),"x","")</f>
        <v/>
      </c>
      <c r="X4736" s="75" t="str">
        <f>IF(OR(TH!N3845=TH!$X$7,O4736=TH!$X$7),"x","")</f>
        <v/>
      </c>
      <c r="Y4736" s="75" t="str">
        <f>IF(AND(OR(N4736="131",O4736="131"),H4736='131-CT'!$H$9),"x","")</f>
        <v/>
      </c>
      <c r="Z4736" s="75"/>
      <c r="AA4736" s="75" t="str">
        <f>IF(AND(MONTH(E4736)='IN-NX'!$J$5,'IN-NX'!$D$7=D4736),"x","")</f>
        <v/>
      </c>
      <c r="AB4736" s="75" t="str">
        <f>IF(AND(OR(LEFT(TH!N3845,2)="15",LEFT(TH!O3845,2)="15"),LEFT(TH!O3845,3)&lt;&gt;"111",'152-CT'!$J$8=TH!F3845),"x","")</f>
        <v/>
      </c>
      <c r="AC4736" s="75" t="str">
        <f>IF(AND(OR(LEFT(TH!N3845,2)="15",LEFT(TH!O3845,2)="15"),TK!$E$7=TH!F3845),"x","")</f>
        <v/>
      </c>
      <c r="AD4736" s="75" t="str">
        <f>IF(AND(N4736="1521",MONTH(C4736)='BK-NL'!$M$11),"x","")</f>
        <v/>
      </c>
      <c r="AE4736">
        <v>11</v>
      </c>
    </row>
    <row r="4737" spans="1:33" ht="16.5" customHeight="1">
      <c r="A4737" s="309" t="str">
        <f>IF(B4737&lt;&gt;"",IF(AND(B4737='IN-TC'!$S$4,OR(TH!N4727="1111",TH!O4727="1111")),TH!D4727,""),"")</f>
        <v/>
      </c>
      <c r="B4737" s="1129">
        <f t="shared" si="1332"/>
        <v>8</v>
      </c>
      <c r="C4737" s="292">
        <f t="shared" si="1333"/>
        <v>42970</v>
      </c>
      <c r="D4737" s="292"/>
      <c r="E4737" s="292">
        <v>42970</v>
      </c>
      <c r="F4737" s="293" t="s">
        <v>2703</v>
      </c>
      <c r="G4737" s="925" t="s">
        <v>2704</v>
      </c>
      <c r="H4737" s="294" t="s">
        <v>1336</v>
      </c>
      <c r="I4737" s="1219"/>
      <c r="J4737" s="1220"/>
      <c r="K4737" s="373"/>
      <c r="L4737" s="379"/>
      <c r="M4737" s="927">
        <v>40909</v>
      </c>
      <c r="N4737" s="295" t="s">
        <v>9</v>
      </c>
      <c r="O4737" s="295" t="s">
        <v>63</v>
      </c>
      <c r="P4737" s="75" t="str">
        <f>IF(AND('331-CT'!$E$7=TH!H3846,OR(N4737="331",O4737="331")),"x","")</f>
        <v/>
      </c>
      <c r="Q4737" s="75" t="str">
        <f>IF(AND(B4737='111'!$L$11,OR($N4737=$Q$7,$O4737=$Q$7)),"x","")</f>
        <v/>
      </c>
      <c r="R4737" s="75" t="str">
        <f>IF(AND($N4737=$Q$7,$B4737&lt;'111'!$L$11),"x","")</f>
        <v/>
      </c>
      <c r="S4737" s="75" t="str">
        <f>IF(AND($O4737=$Q$7,$B4737&lt;'111'!$L$11),"x","")</f>
        <v>x</v>
      </c>
      <c r="T4737" s="75" t="str">
        <f>IF(ISERROR(FIND('112'!$M$9,G4737,1)),"",IF((AND(FIND('112'!$M$9,G4737,1)&gt;=1,B4737='112'!$K$9,OR($N4737='112'!$I$6,$O4737='112'!$I$6))),"x",""))</f>
        <v/>
      </c>
      <c r="U4737" s="75" t="str">
        <f>IF(ISERROR(FIND('112'!$M$9,G4737,1)),"",IF((AND(LEFT(G4737,2)=LEFT('112'!$M$9,2),B4737&lt;'112'!$K$9,$N4737='112'!$I$6)),"x",""))</f>
        <v/>
      </c>
      <c r="V4737" s="75" t="str">
        <f>IF(ISERROR(FIND('112'!$M$9,G4737,1)),"",IF((AND(RIGHT(G4737,2)=RIGHT('112'!$M$9,2),B4737&lt;'112'!$K$9,$O4737='112'!$I$6)),"x",""))</f>
        <v/>
      </c>
      <c r="W4737" s="75" t="str">
        <f>IF(AND('341-CT'!$H$9=H4737,OR(LEFT(N4737,3)=$W$7,LEFT(O4737,3)=$W$7)),"x","")</f>
        <v/>
      </c>
      <c r="X4737" s="75" t="str">
        <f>IF(OR(TH!N3846=TH!$X$7,O4737=TH!$X$7),"x","")</f>
        <v/>
      </c>
      <c r="Y4737" s="75" t="str">
        <f>IF(AND(OR(N4737="131",O4737="131"),H4737='131-CT'!$H$9),"x","")</f>
        <v/>
      </c>
      <c r="Z4737" s="75"/>
      <c r="AA4737" s="75" t="str">
        <f>IF(AND(MONTH(E4737)='IN-NX'!$J$5,'IN-NX'!$D$7=D4737),"x","")</f>
        <v/>
      </c>
      <c r="AB4737" s="75" t="str">
        <f>IF(AND(OR(LEFT(TH!N3846,2)="15",LEFT(TH!O3846,2)="15"),LEFT(TH!O3846,3)&lt;&gt;"111",'152-CT'!$J$8=TH!F3846),"x","")</f>
        <v/>
      </c>
      <c r="AC4737" s="75" t="str">
        <f>IF(AND(OR(LEFT(TH!N3846,2)="15",LEFT(TH!O3846,2)="15"),TK!$E$7=TH!F3846),"x","")</f>
        <v/>
      </c>
      <c r="AD4737" s="75" t="str">
        <f>IF(AND(N4737="1521",MONTH(C4737)='BK-NL'!$M$11),"x","")</f>
        <v/>
      </c>
      <c r="AE4737">
        <v>11</v>
      </c>
    </row>
    <row r="4738" spans="1:33" ht="16.5" customHeight="1">
      <c r="A4738" s="309" t="str">
        <f>IF(B4738&lt;&gt;"",IF(AND(B4738='IN-TC'!$S$4,OR(TH!N4728="1111",TH!O4728="1111")),TH!D4728,""),"")</f>
        <v/>
      </c>
      <c r="B4738" s="1129">
        <f t="shared" si="1332"/>
        <v>8</v>
      </c>
      <c r="C4738" s="292">
        <f t="shared" si="1333"/>
        <v>42970</v>
      </c>
      <c r="D4738" s="292"/>
      <c r="E4738" s="292">
        <v>42970</v>
      </c>
      <c r="F4738" s="293" t="s">
        <v>993</v>
      </c>
      <c r="G4738" s="925" t="s">
        <v>1904</v>
      </c>
      <c r="H4738" s="294" t="s">
        <v>555</v>
      </c>
      <c r="I4738" s="1219"/>
      <c r="J4738" s="1220"/>
      <c r="K4738" s="373"/>
      <c r="L4738" s="379"/>
      <c r="M4738" s="927">
        <v>5280000</v>
      </c>
      <c r="N4738" s="295" t="s">
        <v>8</v>
      </c>
      <c r="O4738" s="295" t="s">
        <v>63</v>
      </c>
      <c r="P4738" s="75" t="str">
        <f>IF(AND('331-CT'!$E$7=TH!H3847,OR(N4738="331",O4738="331")),"x","")</f>
        <v/>
      </c>
      <c r="Q4738" s="75" t="str">
        <f>IF(AND(B4738='111'!$L$11,OR($N4738=$Q$7,$O4738=$Q$7)),"x","")</f>
        <v/>
      </c>
      <c r="R4738" s="75" t="str">
        <f>IF(AND($N4738=$Q$7,$B4738&lt;'111'!$L$11),"x","")</f>
        <v/>
      </c>
      <c r="S4738" s="75" t="str">
        <f>IF(AND($O4738=$Q$7,$B4738&lt;'111'!$L$11),"x","")</f>
        <v>x</v>
      </c>
      <c r="T4738" s="75" t="str">
        <f>IF(ISERROR(FIND('112'!$M$9,G4738,1)),"",IF((AND(FIND('112'!$M$9,G4738,1)&gt;=1,B4738='112'!$K$9,OR($N4738='112'!$I$6,$O4738='112'!$I$6))),"x",""))</f>
        <v/>
      </c>
      <c r="U4738" s="75" t="str">
        <f>IF(ISERROR(FIND('112'!$M$9,G4738,1)),"",IF((AND(LEFT(G4738,2)=LEFT('112'!$M$9,2),B4738&lt;'112'!$K$9,$N4738='112'!$I$6)),"x",""))</f>
        <v/>
      </c>
      <c r="V4738" s="75" t="str">
        <f>IF(ISERROR(FIND('112'!$M$9,G4738,1)),"",IF((AND(RIGHT(G4738,2)=RIGHT('112'!$M$9,2),B4738&lt;'112'!$K$9,$O4738='112'!$I$6)),"x",""))</f>
        <v/>
      </c>
      <c r="W4738" s="75" t="str">
        <f>IF(AND('341-CT'!$H$9=H4738,OR(LEFT(N4738,3)=$W$7,LEFT(O4738,3)=$W$7)),"x","")</f>
        <v/>
      </c>
      <c r="X4738" s="75" t="str">
        <f>IF(OR(TH!N3847=TH!$X$7,O4738=TH!$X$7),"x","")</f>
        <v/>
      </c>
      <c r="Y4738" s="75" t="str">
        <f>IF(AND(OR(N4738="131",O4738="131"),H4738='131-CT'!$H$9),"x","")</f>
        <v/>
      </c>
      <c r="Z4738" s="75"/>
      <c r="AA4738" s="75" t="str">
        <f>IF(AND(MONTH(E4738)='IN-NX'!$J$5,'IN-NX'!$D$7=D4738),"x","")</f>
        <v/>
      </c>
      <c r="AB4738" s="75" t="str">
        <f>IF(AND(OR(LEFT(TH!N3847,2)="15",LEFT(TH!O3847,2)="15"),LEFT(TH!O3847,3)&lt;&gt;"111",'152-CT'!$J$8=TH!F3847),"x","")</f>
        <v/>
      </c>
      <c r="AC4738" s="75" t="str">
        <f>IF(AND(OR(LEFT(TH!N3847,2)="15",LEFT(TH!O3847,2)="15"),TK!$E$7=TH!F3847),"x","")</f>
        <v/>
      </c>
      <c r="AD4738" s="75" t="str">
        <f>IF(AND(N4738="1521",MONTH(C4738)='BK-NL'!$M$11),"x","")</f>
        <v/>
      </c>
    </row>
    <row r="4739" spans="1:33" ht="16.5" customHeight="1">
      <c r="A4739" s="309" t="str">
        <f>IF(B4739&lt;&gt;"",IF(AND(B4739='IN-TC'!$S$4,OR(TH!N4729="1111",TH!O4729="1111")),TH!D4729,""),"")</f>
        <v/>
      </c>
      <c r="B4739" s="1129">
        <f t="shared" si="1332"/>
        <v>8</v>
      </c>
      <c r="C4739" s="292">
        <f t="shared" si="1333"/>
        <v>42970</v>
      </c>
      <c r="D4739" s="59" t="s">
        <v>903</v>
      </c>
      <c r="E4739" s="59">
        <v>42970</v>
      </c>
      <c r="F4739" s="62" t="s">
        <v>1413</v>
      </c>
      <c r="G4739" s="62" t="s">
        <v>586</v>
      </c>
      <c r="H4739" s="67" t="s">
        <v>982</v>
      </c>
      <c r="I4739" s="373"/>
      <c r="J4739" s="382"/>
      <c r="K4739" s="373"/>
      <c r="L4739" s="379"/>
      <c r="M4739" s="60">
        <v>24417000</v>
      </c>
      <c r="N4739" s="61" t="s">
        <v>26</v>
      </c>
      <c r="O4739" s="61" t="s">
        <v>541</v>
      </c>
      <c r="P4739" s="75" t="str">
        <f>IF(AND('331-CT'!$E$7=TH!H4408,OR(N4739="331",O4739="331")),"x","")</f>
        <v/>
      </c>
      <c r="Q4739" s="75" t="str">
        <f>IF(AND(B4739='111'!$L$11,OR($N4739=$Q$7,$O4739=$Q$7)),"x","")</f>
        <v/>
      </c>
      <c r="R4739" s="75" t="str">
        <f>IF(AND($N4739=$Q$7,$B4739&lt;'111'!$L$11),"x","")</f>
        <v/>
      </c>
      <c r="S4739" s="75" t="str">
        <f>IF(AND($O4739=$Q$7,$B4739&lt;'111'!$L$11),"x","")</f>
        <v/>
      </c>
      <c r="T4739" s="75" t="str">
        <f>IF(ISERROR(FIND('112'!$M$9,G4739,1)),"",IF((AND(FIND('112'!$M$9,G4739,1)&gt;=1,B4739='112'!$K$9,OR($N4739='112'!$I$6,$O4739='112'!$I$6))),"x",""))</f>
        <v/>
      </c>
      <c r="U4739" s="75" t="str">
        <f>IF(ISERROR(FIND('112'!$M$9,G4739,1)),"",IF((AND(LEFT(G4739,2)=LEFT('112'!$M$9,2),B4739&lt;'112'!$K$9,$N4739='112'!$I$6)),"x",""))</f>
        <v>x</v>
      </c>
      <c r="V4739" s="75" t="str">
        <f>IF(ISERROR(FIND('112'!$M$9,G4739,1)),"",IF((AND(RIGHT(G4739,2)=RIGHT('112'!$M$9,2),B4739&lt;'112'!$K$9,$O4739='112'!$I$6)),"x",""))</f>
        <v/>
      </c>
      <c r="W4739" s="75" t="str">
        <f>IF(AND('341-CT'!$H$9=H4739,OR(LEFT(N4739,3)=$W$7,LEFT(O4739,3)=$W$7)),"x","")</f>
        <v/>
      </c>
      <c r="X4739" s="75" t="str">
        <f>IF(OR(TH!N4408=TH!$X$7,O4739=TH!$X$7),"x","")</f>
        <v/>
      </c>
      <c r="Y4739" s="75" t="str">
        <f>IF(AND(OR(N4739="131",O4739="131"),H4739='131-CT'!$H$9),"x","")</f>
        <v/>
      </c>
      <c r="Z4739" s="75"/>
      <c r="AA4739" s="75" t="str">
        <f>IF(AND(MONTH(E4739)='IN-NX'!$J$5,'IN-NX'!$D$7=D4739),"x","")</f>
        <v/>
      </c>
      <c r="AB4739" s="75" t="str">
        <f>IF(AND(OR(LEFT(TH!N4408,2)="15",LEFT(TH!O4408,2)="15"),LEFT(TH!O4408,3)&lt;&gt;"111",'152-CT'!$J$8=TH!F4408),"x","")</f>
        <v/>
      </c>
      <c r="AC4739" s="75" t="str">
        <f>IF(AND(OR(LEFT(TH!N4408,2)="15",LEFT(TH!O4408,2)="15"),TK!$E$7=TH!F4408),"x","")</f>
        <v/>
      </c>
      <c r="AD4739" s="75" t="str">
        <f>IF(AND(N4739="1521",MONTH(C4739)='BK-NL'!$M$11),"x","")</f>
        <v/>
      </c>
    </row>
    <row r="4740" spans="1:33" ht="16.5" customHeight="1">
      <c r="A4740" s="309" t="str">
        <f>IF(B4740&lt;&gt;"",IF(AND(B4740='IN-TC'!$S$4,OR(TH!N4730="1111",TH!O4730="1111")),TH!D4730,""),"")</f>
        <v/>
      </c>
      <c r="B4740" s="1129">
        <f t="shared" si="1332"/>
        <v>8</v>
      </c>
      <c r="C4740" s="292">
        <f t="shared" si="1333"/>
        <v>42970</v>
      </c>
      <c r="D4740" s="59" t="s">
        <v>903</v>
      </c>
      <c r="E4740" s="59">
        <v>42970</v>
      </c>
      <c r="F4740" s="67" t="s">
        <v>2411</v>
      </c>
      <c r="G4740" s="62" t="s">
        <v>1713</v>
      </c>
      <c r="H4740" s="73" t="s">
        <v>2913</v>
      </c>
      <c r="I4740" s="1219"/>
      <c r="J4740" s="1223"/>
      <c r="K4740" s="373">
        <v>423960</v>
      </c>
      <c r="L4740" s="379">
        <v>22722</v>
      </c>
      <c r="M4740" s="60">
        <f>ROUND(K4740*L4740,0)</f>
        <v>9633219120</v>
      </c>
      <c r="N4740" s="61" t="s">
        <v>26</v>
      </c>
      <c r="O4740" s="61" t="s">
        <v>250</v>
      </c>
      <c r="P4740" s="75" t="str">
        <f>IF(AND('331-CT'!$E$7=TH!H4472,OR(N4740="331",O4740="331")),"x","")</f>
        <v/>
      </c>
      <c r="Q4740" s="75" t="str">
        <f>IF(AND(B4740='111'!$L$11,OR($N4740=$Q$7,$O4740=$Q$7)),"x","")</f>
        <v/>
      </c>
      <c r="R4740" s="75" t="str">
        <f>IF(AND($N4740=$Q$7,$B4740&lt;'111'!$L$11),"x","")</f>
        <v/>
      </c>
      <c r="S4740" s="75" t="str">
        <f>IF(AND($O4740=$Q$7,$B4740&lt;'111'!$L$11),"x","")</f>
        <v/>
      </c>
      <c r="T4740" s="75" t="str">
        <f>IF(ISERROR(FIND('112'!$M$9,G4740,1)),"",IF((AND(FIND('112'!$M$9,G4740,1)&gt;=1,B4740='112'!$K$9,OR($N4740='112'!$I$6,$O4740='112'!$I$6))),"x",""))</f>
        <v/>
      </c>
      <c r="U4740" s="75" t="str">
        <f>IF(ISERROR(FIND('112'!$M$9,G4740,1)),"",IF((AND(LEFT(G4740,2)=LEFT('112'!$M$9,2),B4740&lt;'112'!$K$9,$N4740='112'!$I$6)),"x",""))</f>
        <v/>
      </c>
      <c r="V4740" s="75" t="str">
        <f>IF(ISERROR(FIND('112'!$M$9,G4740,1)),"",IF((AND(RIGHT(G4740,2)=RIGHT('112'!$M$9,2),B4740&lt;'112'!$K$9,$O4740='112'!$I$6)),"x",""))</f>
        <v/>
      </c>
      <c r="W4740" s="75" t="str">
        <f>IF(AND('341-CT'!$H$9=H4740,OR(LEFT(N4740,3)=$W$7,LEFT(O4740,3)=$W$7)),"x","")</f>
        <v/>
      </c>
      <c r="X4740" s="75" t="str">
        <f>IF(OR(TH!N4472=TH!$X$7,O4740=TH!$X$7),"x","")</f>
        <v/>
      </c>
      <c r="Y4740" s="75" t="str">
        <f>IF(AND(OR(N4740="131",O4740="131"),H4740='131-CT'!$H$9),"x","")</f>
        <v/>
      </c>
      <c r="Z4740" s="75"/>
      <c r="AA4740" s="75" t="str">
        <f>IF(AND(MONTH(E4740)='IN-NX'!$J$5,'IN-NX'!$D$7=D4740),"x","")</f>
        <v/>
      </c>
      <c r="AB4740" s="75" t="str">
        <f>IF(AND(OR(LEFT(TH!N4472,2)="15",LEFT(TH!O4472,2)="15"),LEFT(TH!O4472,3)&lt;&gt;"111",'152-CT'!$J$8=TH!F4472),"x","")</f>
        <v/>
      </c>
      <c r="AC4740" s="75" t="str">
        <f>IF(AND(OR(LEFT(TH!N4472,2)="15",LEFT(TH!O4472,2)="15"),TK!$E$7=TH!F4472),"x","")</f>
        <v/>
      </c>
      <c r="AD4740" s="75" t="str">
        <f>IF(AND(N4740="1521",MONTH(C4740)='BK-NL'!$M$11),"x","")</f>
        <v/>
      </c>
      <c r="AE4740" s="1053"/>
      <c r="AF4740" s="1053"/>
      <c r="AG4740" s="1053"/>
    </row>
    <row r="4741" spans="1:33" ht="16.5" customHeight="1">
      <c r="A4741" s="309" t="str">
        <f>IF(B4741&lt;&gt;"",IF(AND(B4741='IN-TC'!$S$4,OR(TH!N4731="1111",TH!O4731="1111")),TH!D4731,""),"")</f>
        <v/>
      </c>
      <c r="B4741" s="1129">
        <f t="shared" si="1332"/>
        <v>8</v>
      </c>
      <c r="C4741" s="292">
        <f t="shared" si="1333"/>
        <v>42970</v>
      </c>
      <c r="D4741" s="59" t="s">
        <v>902</v>
      </c>
      <c r="E4741" s="59">
        <v>42970</v>
      </c>
      <c r="F4741" s="67" t="s">
        <v>897</v>
      </c>
      <c r="G4741" s="62" t="s">
        <v>1713</v>
      </c>
      <c r="H4741" s="67" t="s">
        <v>623</v>
      </c>
      <c r="I4741" s="1219"/>
      <c r="J4741" s="1223"/>
      <c r="K4741" s="373"/>
      <c r="L4741" s="379"/>
      <c r="M4741" s="60">
        <v>9640000000</v>
      </c>
      <c r="N4741" s="61" t="s">
        <v>8</v>
      </c>
      <c r="O4741" s="61" t="s">
        <v>26</v>
      </c>
      <c r="P4741" s="75" t="str">
        <f>IF(AND('331-CT'!$E$7=TH!H4473,OR(N4741="331",O4741="331")),"x","")</f>
        <v/>
      </c>
      <c r="Q4741" s="75" t="str">
        <f>IF(AND(B4741='111'!$L$11,OR($N4741=$Q$7,$O4741=$Q$7)),"x","")</f>
        <v/>
      </c>
      <c r="R4741" s="75" t="str">
        <f>IF(AND($N4741=$Q$7,$B4741&lt;'111'!$L$11),"x","")</f>
        <v/>
      </c>
      <c r="S4741" s="75" t="str">
        <f>IF(AND($O4741=$Q$7,$B4741&lt;'111'!$L$11),"x","")</f>
        <v/>
      </c>
      <c r="T4741" s="75" t="str">
        <f>IF(ISERROR(FIND('112'!$M$9,G4741,1)),"",IF((AND(FIND('112'!$M$9,G4741,1)&gt;=1,B4741='112'!$K$9,OR($N4741='112'!$I$6,$O4741='112'!$I$6))),"x",""))</f>
        <v/>
      </c>
      <c r="U4741" s="75" t="str">
        <f>IF(ISERROR(FIND('112'!$M$9,G4741,1)),"",IF((AND(LEFT(G4741,2)=LEFT('112'!$M$9,2),B4741&lt;'112'!$K$9,$N4741='112'!$I$6)),"x",""))</f>
        <v/>
      </c>
      <c r="V4741" s="75" t="str">
        <f>IF(ISERROR(FIND('112'!$M$9,G4741,1)),"",IF((AND(RIGHT(G4741,2)=RIGHT('112'!$M$9,2),B4741&lt;'112'!$K$9,$O4741='112'!$I$6)),"x",""))</f>
        <v/>
      </c>
      <c r="W4741" s="75" t="str">
        <f>IF(AND('341-CT'!$H$9=H4741,OR(LEFT(N4741,3)=$W$7,LEFT(O4741,3)=$W$7)),"x","")</f>
        <v/>
      </c>
      <c r="X4741" s="75" t="str">
        <f>IF(OR(TH!N4473=TH!$X$7,O4741=TH!$X$7),"x","")</f>
        <v/>
      </c>
      <c r="Y4741" s="75" t="str">
        <f>IF(AND(OR(N4741="131",O4741="131"),H4741='131-CT'!$H$9),"x","")</f>
        <v/>
      </c>
      <c r="Z4741" s="75"/>
      <c r="AA4741" s="75" t="str">
        <f>IF(AND(MONTH(E4741)='IN-NX'!$J$5,'IN-NX'!$D$7=D4741),"x","")</f>
        <v/>
      </c>
      <c r="AB4741" s="75" t="str">
        <f>IF(AND(OR(LEFT(TH!N4473,2)="15",LEFT(TH!O4473,2)="15"),LEFT(TH!O4473,3)&lt;&gt;"111",'152-CT'!$J$8=TH!F4473),"x","")</f>
        <v/>
      </c>
      <c r="AC4741" s="75" t="str">
        <f>IF(AND(OR(LEFT(TH!N4473,2)="15",LEFT(TH!O4473,2)="15"),TK!$E$7=TH!F4473),"x","")</f>
        <v/>
      </c>
      <c r="AD4741" s="75" t="str">
        <f>IF(AND(N4741="1521",MONTH(C4741)='BK-NL'!$M$11),"x","")</f>
        <v/>
      </c>
      <c r="AE4741" s="1053"/>
      <c r="AF4741" s="1053"/>
      <c r="AG4741" s="1053"/>
    </row>
    <row r="4742" spans="1:33" ht="16.5" customHeight="1">
      <c r="A4742" s="309" t="str">
        <f>IF(B4742&lt;&gt;"",IF(AND(B4742='IN-TC'!$S$4,OR(TH!N4732="1111",TH!O4732="1111")),TH!D4732,""),"")</f>
        <v/>
      </c>
      <c r="B4742" s="1129">
        <f t="shared" si="1332"/>
        <v>8</v>
      </c>
      <c r="C4742" s="292">
        <f t="shared" si="1333"/>
        <v>42970</v>
      </c>
      <c r="D4742" s="59" t="s">
        <v>902</v>
      </c>
      <c r="E4742" s="59">
        <v>42970</v>
      </c>
      <c r="F4742" s="67" t="s">
        <v>870</v>
      </c>
      <c r="G4742" s="62" t="s">
        <v>1713</v>
      </c>
      <c r="H4742" s="67" t="s">
        <v>1771</v>
      </c>
      <c r="I4742" s="1122"/>
      <c r="J4742" s="992"/>
      <c r="K4742" s="60"/>
      <c r="L4742" s="381"/>
      <c r="M4742" s="60">
        <v>1000000</v>
      </c>
      <c r="N4742" s="61" t="s">
        <v>101</v>
      </c>
      <c r="O4742" s="61" t="s">
        <v>26</v>
      </c>
      <c r="P4742" s="75" t="str">
        <f>IF(AND('331-CT'!$E$7=TH!H4474,OR(N4742="331",O4742="331")),"x","")</f>
        <v/>
      </c>
      <c r="Q4742" s="75" t="str">
        <f>IF(AND(B4742='111'!$L$11,OR($N4742=$Q$7,$O4742=$Q$7)),"x","")</f>
        <v/>
      </c>
      <c r="R4742" s="75" t="str">
        <f>IF(AND($N4742=$Q$7,$B4742&lt;'111'!$L$11),"x","")</f>
        <v/>
      </c>
      <c r="S4742" s="75" t="str">
        <f>IF(AND($O4742=$Q$7,$B4742&lt;'111'!$L$11),"x","")</f>
        <v/>
      </c>
      <c r="T4742" s="75" t="str">
        <f>IF(ISERROR(FIND('112'!$M$9,G4742,1)),"",IF((AND(FIND('112'!$M$9,G4742,1)&gt;=1,B4742='112'!$K$9,OR($N4742='112'!$I$6,$O4742='112'!$I$6))),"x",""))</f>
        <v/>
      </c>
      <c r="U4742" s="75" t="str">
        <f>IF(ISERROR(FIND('112'!$M$9,G4742,1)),"",IF((AND(LEFT(G4742,2)=LEFT('112'!$M$9,2),B4742&lt;'112'!$K$9,$N4742='112'!$I$6)),"x",""))</f>
        <v/>
      </c>
      <c r="V4742" s="75" t="str">
        <f>IF(ISERROR(FIND('112'!$M$9,G4742,1)),"",IF((AND(RIGHT(G4742,2)=RIGHT('112'!$M$9,2),B4742&lt;'112'!$K$9,$O4742='112'!$I$6)),"x",""))</f>
        <v/>
      </c>
      <c r="W4742" s="75" t="str">
        <f>IF(AND('341-CT'!$H$9=H4742,OR(LEFT(N4742,3)=$W$7,LEFT(O4742,3)=$W$7)),"x","")</f>
        <v/>
      </c>
      <c r="X4742" s="75" t="str">
        <f>IF(OR(TH!N4474=TH!$X$7,O4742=TH!$X$7),"x","")</f>
        <v/>
      </c>
      <c r="Y4742" s="75" t="str">
        <f>IF(AND(OR(N4742="131",O4742="131"),H4742='131-CT'!$H$9),"x","")</f>
        <v/>
      </c>
      <c r="Z4742" s="75"/>
      <c r="AA4742" s="75" t="str">
        <f>IF(AND(MONTH(E4742)='IN-NX'!$J$5,'IN-NX'!$D$7=D4742),"x","")</f>
        <v/>
      </c>
      <c r="AB4742" s="75" t="str">
        <f>IF(AND(OR(LEFT(TH!N4474,2)="15",LEFT(TH!O4474,2)="15"),LEFT(TH!O4474,3)&lt;&gt;"111",'152-CT'!$J$8=TH!F4474),"x","")</f>
        <v/>
      </c>
      <c r="AC4742" s="75" t="str">
        <f>IF(AND(OR(LEFT(TH!N4474,2)="15",LEFT(TH!O4474,2)="15"),TK!$E$7=TH!F4474),"x","")</f>
        <v/>
      </c>
      <c r="AD4742" s="75" t="str">
        <f>IF(AND(N4742="1521",MONTH(C4742)='BK-NL'!$M$11),"x","")</f>
        <v/>
      </c>
      <c r="AE4742" s="1053">
        <v>8</v>
      </c>
      <c r="AF4742" s="1053"/>
      <c r="AG4742" s="1053"/>
    </row>
    <row r="4743" spans="1:33" ht="16.5" customHeight="1">
      <c r="A4743" s="309" t="str">
        <f>IF(B4743&lt;&gt;"",IF(AND(B4743='IN-TC'!$S$4,OR(TH!N4733="1111",TH!O4733="1111")),TH!D4733,""),"")</f>
        <v/>
      </c>
      <c r="B4743" s="1129">
        <f t="shared" si="1332"/>
        <v>8</v>
      </c>
      <c r="C4743" s="292">
        <f t="shared" si="1333"/>
        <v>42970</v>
      </c>
      <c r="D4743" s="59" t="s">
        <v>902</v>
      </c>
      <c r="E4743" s="59">
        <v>42970</v>
      </c>
      <c r="F4743" s="67" t="s">
        <v>898</v>
      </c>
      <c r="G4743" s="62" t="s">
        <v>1713</v>
      </c>
      <c r="H4743" s="67" t="s">
        <v>1771</v>
      </c>
      <c r="I4743" s="375"/>
      <c r="J4743" s="381"/>
      <c r="K4743" s="375"/>
      <c r="L4743" s="381"/>
      <c r="M4743" s="60">
        <v>100000</v>
      </c>
      <c r="N4743" s="61" t="s">
        <v>9</v>
      </c>
      <c r="O4743" s="61" t="s">
        <v>26</v>
      </c>
      <c r="P4743" s="75" t="str">
        <f>IF(AND('331-CT'!$E$7=TH!H4475,OR(N4743="331",O4743="331")),"x","")</f>
        <v/>
      </c>
      <c r="Q4743" s="75" t="str">
        <f>IF(AND(B4743='111'!$L$11,OR($N4743=$Q$7,$O4743=$Q$7)),"x","")</f>
        <v/>
      </c>
      <c r="R4743" s="75" t="str">
        <f>IF(AND($N4743=$Q$7,$B4743&lt;'111'!$L$11),"x","")</f>
        <v/>
      </c>
      <c r="S4743" s="75" t="str">
        <f>IF(AND($O4743=$Q$7,$B4743&lt;'111'!$L$11),"x","")</f>
        <v/>
      </c>
      <c r="T4743" s="75" t="str">
        <f>IF(ISERROR(FIND('112'!$M$9,G4743,1)),"",IF((AND(FIND('112'!$M$9,G4743,1)&gt;=1,B4743='112'!$K$9,OR($N4743='112'!$I$6,$O4743='112'!$I$6))),"x",""))</f>
        <v/>
      </c>
      <c r="U4743" s="75" t="str">
        <f>IF(ISERROR(FIND('112'!$M$9,G4743,1)),"",IF((AND(LEFT(G4743,2)=LEFT('112'!$M$9,2),B4743&lt;'112'!$K$9,$N4743='112'!$I$6)),"x",""))</f>
        <v/>
      </c>
      <c r="V4743" s="75" t="str">
        <f>IF(ISERROR(FIND('112'!$M$9,G4743,1)),"",IF((AND(RIGHT(G4743,2)=RIGHT('112'!$M$9,2),B4743&lt;'112'!$K$9,$O4743='112'!$I$6)),"x",""))</f>
        <v/>
      </c>
      <c r="W4743" s="75" t="str">
        <f>IF(AND('341-CT'!$H$9=H4743,OR(LEFT(N4743,3)=$W$7,LEFT(O4743,3)=$W$7)),"x","")</f>
        <v/>
      </c>
      <c r="X4743" s="75" t="str">
        <f>IF(OR(TH!N4475=TH!$X$7,O4743=TH!$X$7),"x","")</f>
        <v/>
      </c>
      <c r="Y4743" s="75" t="str">
        <f>IF(AND(OR(N4743="131",O4743="131"),H4743='131-CT'!$H$9),"x","")</f>
        <v/>
      </c>
      <c r="Z4743" s="75"/>
      <c r="AA4743" s="75" t="str">
        <f>IF(AND(MONTH(E4743)='IN-NX'!$J$5,'IN-NX'!$D$7=D4743),"x","")</f>
        <v/>
      </c>
      <c r="AB4743" s="75" t="str">
        <f>IF(AND(OR(LEFT(TH!N4475,2)="15",LEFT(TH!O4475,2)="15"),LEFT(TH!O4475,3)&lt;&gt;"111",'152-CT'!$J$8=TH!F4475),"x","")</f>
        <v/>
      </c>
      <c r="AC4743" s="75" t="str">
        <f>IF(AND(OR(LEFT(TH!N4475,2)="15",LEFT(TH!O4475,2)="15"),TK!$E$7=TH!F4475),"x","")</f>
        <v/>
      </c>
      <c r="AD4743" s="75" t="str">
        <f>IF(AND(N4743="1521",MONTH(C4743)='BK-NL'!$M$11),"x","")</f>
        <v/>
      </c>
      <c r="AE4743" s="1053">
        <v>8</v>
      </c>
      <c r="AF4743" s="1053"/>
      <c r="AG4743" s="1053"/>
    </row>
    <row r="4744" spans="1:33" ht="16.5" customHeight="1">
      <c r="A4744" s="309" t="str">
        <f>IF(B4744&lt;&gt;"",IF(AND(B4744='IN-TC'!$S$4,OR(TH!N4734="1111",TH!O4734="1111")),TH!D4734,""),"")</f>
        <v/>
      </c>
      <c r="B4744" s="1129">
        <f t="shared" si="1332"/>
        <v>8</v>
      </c>
      <c r="C4744" s="292">
        <f t="shared" si="1333"/>
        <v>42971</v>
      </c>
      <c r="D4744" s="292"/>
      <c r="E4744" s="292">
        <v>42971</v>
      </c>
      <c r="F4744" s="293" t="s">
        <v>1499</v>
      </c>
      <c r="G4744" s="925" t="s">
        <v>2082</v>
      </c>
      <c r="H4744" s="294" t="s">
        <v>893</v>
      </c>
      <c r="I4744" s="373"/>
      <c r="J4744" s="926"/>
      <c r="K4744" s="373"/>
      <c r="L4744" s="379"/>
      <c r="M4744" s="927">
        <v>2502381</v>
      </c>
      <c r="N4744" s="295" t="s">
        <v>101</v>
      </c>
      <c r="O4744" s="295" t="s">
        <v>63</v>
      </c>
      <c r="P4744" s="75" t="str">
        <f>IF(AND('331-CT'!$E$7=TH!H3848,OR(N4744="331",O4744="331")),"x","")</f>
        <v/>
      </c>
      <c r="Q4744" s="75" t="str">
        <f>IF(AND(B4744='111'!$L$11,OR($N4744=$Q$7,$O4744=$Q$7)),"x","")</f>
        <v/>
      </c>
      <c r="R4744" s="75" t="str">
        <f>IF(AND($N4744=$Q$7,$B4744&lt;'111'!$L$11),"x","")</f>
        <v/>
      </c>
      <c r="S4744" s="75" t="str">
        <f>IF(AND($O4744=$Q$7,$B4744&lt;'111'!$L$11),"x","")</f>
        <v>x</v>
      </c>
      <c r="T4744" s="75" t="str">
        <f>IF(ISERROR(FIND('112'!$M$9,G4744,1)),"",IF((AND(FIND('112'!$M$9,G4744,1)&gt;=1,B4744='112'!$K$9,OR($N4744='112'!$I$6,$O4744='112'!$I$6))),"x",""))</f>
        <v/>
      </c>
      <c r="U4744" s="75" t="str">
        <f>IF(ISERROR(FIND('112'!$M$9,G4744,1)),"",IF((AND(LEFT(G4744,2)=LEFT('112'!$M$9,2),B4744&lt;'112'!$K$9,$N4744='112'!$I$6)),"x",""))</f>
        <v/>
      </c>
      <c r="V4744" s="75" t="str">
        <f>IF(ISERROR(FIND('112'!$M$9,G4744,1)),"",IF((AND(RIGHT(G4744,2)=RIGHT('112'!$M$9,2),B4744&lt;'112'!$K$9,$O4744='112'!$I$6)),"x",""))</f>
        <v/>
      </c>
      <c r="W4744" s="75" t="str">
        <f>IF(AND('341-CT'!$H$9=H4744,OR(LEFT(N4744,3)=$W$7,LEFT(O4744,3)=$W$7)),"x","")</f>
        <v/>
      </c>
      <c r="X4744" s="75" t="str">
        <f>IF(OR(TH!N3848=TH!$X$7,O4744=TH!$X$7),"x","")</f>
        <v/>
      </c>
      <c r="Y4744" s="75" t="str">
        <f>IF(AND(OR(N4744="131",O4744="131"),H4744='131-CT'!$H$9),"x","")</f>
        <v/>
      </c>
      <c r="Z4744" s="75"/>
      <c r="AA4744" s="75" t="str">
        <f>IF(AND(MONTH(E4744)='IN-NX'!$J$5,'IN-NX'!$D$7=D4744),"x","")</f>
        <v/>
      </c>
      <c r="AB4744" s="75" t="str">
        <f>IF(AND(OR(LEFT(TH!N3848,2)="15",LEFT(TH!O3848,2)="15"),LEFT(TH!O3848,3)&lt;&gt;"111",'152-CT'!$J$8=TH!F3848),"x","")</f>
        <v/>
      </c>
      <c r="AC4744" s="75" t="str">
        <f>IF(AND(OR(LEFT(TH!N3848,2)="15",LEFT(TH!O3848,2)="15"),TK!$E$7=TH!F3848),"x","")</f>
        <v/>
      </c>
      <c r="AD4744" s="75" t="str">
        <f>IF(AND(N4744="1521",MONTH(C4744)='BK-NL'!$M$11),"x","")</f>
        <v/>
      </c>
      <c r="AE4744">
        <v>8</v>
      </c>
    </row>
    <row r="4745" spans="1:33" ht="16.5" customHeight="1">
      <c r="A4745" s="309" t="str">
        <f>IF(B4745&lt;&gt;"",IF(AND(B4745='IN-TC'!$S$4,OR(TH!N4735="1111",TH!O4735="1111")),TH!D4735,""),"")</f>
        <v/>
      </c>
      <c r="B4745" s="1129">
        <f t="shared" si="1332"/>
        <v>8</v>
      </c>
      <c r="C4745" s="292">
        <f t="shared" si="1333"/>
        <v>42971</v>
      </c>
      <c r="D4745" s="292"/>
      <c r="E4745" s="292">
        <v>42971</v>
      </c>
      <c r="F4745" s="293" t="s">
        <v>1500</v>
      </c>
      <c r="G4745" s="925" t="s">
        <v>2082</v>
      </c>
      <c r="H4745" s="294" t="s">
        <v>893</v>
      </c>
      <c r="I4745" s="373"/>
      <c r="J4745" s="926"/>
      <c r="K4745" s="373"/>
      <c r="L4745" s="379"/>
      <c r="M4745" s="927">
        <v>250239</v>
      </c>
      <c r="N4745" s="295" t="s">
        <v>9</v>
      </c>
      <c r="O4745" s="295" t="s">
        <v>63</v>
      </c>
      <c r="P4745" s="75" t="str">
        <f>IF(AND('331-CT'!$E$7=TH!H3849,OR(N4745="331",O4745="331")),"x","")</f>
        <v/>
      </c>
      <c r="Q4745" s="75" t="str">
        <f>IF(AND(B4745='111'!$L$11,OR($N4745=$Q$7,$O4745=$Q$7)),"x","")</f>
        <v/>
      </c>
      <c r="R4745" s="75" t="str">
        <f>IF(AND($N4745=$Q$7,$B4745&lt;'111'!$L$11),"x","")</f>
        <v/>
      </c>
      <c r="S4745" s="75" t="str">
        <f>IF(AND($O4745=$Q$7,$B4745&lt;'111'!$L$11),"x","")</f>
        <v>x</v>
      </c>
      <c r="T4745" s="75" t="str">
        <f>IF(ISERROR(FIND('112'!$M$9,G4745,1)),"",IF((AND(FIND('112'!$M$9,G4745,1)&gt;=1,B4745='112'!$K$9,OR($N4745='112'!$I$6,$O4745='112'!$I$6))),"x",""))</f>
        <v/>
      </c>
      <c r="U4745" s="75" t="str">
        <f>IF(ISERROR(FIND('112'!$M$9,G4745,1)),"",IF((AND(LEFT(G4745,2)=LEFT('112'!$M$9,2),B4745&lt;'112'!$K$9,$N4745='112'!$I$6)),"x",""))</f>
        <v/>
      </c>
      <c r="V4745" s="75" t="str">
        <f>IF(ISERROR(FIND('112'!$M$9,G4745,1)),"",IF((AND(RIGHT(G4745,2)=RIGHT('112'!$M$9,2),B4745&lt;'112'!$K$9,$O4745='112'!$I$6)),"x",""))</f>
        <v/>
      </c>
      <c r="W4745" s="75" t="str">
        <f>IF(AND('341-CT'!$H$9=H4745,OR(LEFT(N4745,3)=$W$7,LEFT(O4745,3)=$W$7)),"x","")</f>
        <v/>
      </c>
      <c r="X4745" s="75" t="str">
        <f>IF(OR(TH!N3849=TH!$X$7,O4745=TH!$X$7),"x","")</f>
        <v/>
      </c>
      <c r="Y4745" s="75" t="str">
        <f>IF(AND(OR(N4745="131",O4745="131"),H4745='131-CT'!$H$9),"x","")</f>
        <v/>
      </c>
      <c r="Z4745" s="75"/>
      <c r="AA4745" s="75" t="str">
        <f>IF(AND(MONTH(E4745)='IN-NX'!$J$5,'IN-NX'!$D$7=D4745),"x","")</f>
        <v/>
      </c>
      <c r="AB4745" s="75" t="str">
        <f>IF(AND(OR(LEFT(TH!N3849,2)="15",LEFT(TH!O3849,2)="15"),LEFT(TH!O3849,3)&lt;&gt;"111",'152-CT'!$J$8=TH!F3849),"x","")</f>
        <v/>
      </c>
      <c r="AC4745" s="75" t="str">
        <f>IF(AND(OR(LEFT(TH!N3849,2)="15",LEFT(TH!O3849,2)="15"),TK!$E$7=TH!F3849),"x","")</f>
        <v/>
      </c>
      <c r="AD4745" s="75" t="str">
        <f>IF(AND(N4745="1521",MONTH(C4745)='BK-NL'!$M$11),"x","")</f>
        <v/>
      </c>
      <c r="AE4745">
        <v>8</v>
      </c>
    </row>
    <row r="4746" spans="1:33" ht="16.5" customHeight="1">
      <c r="A4746" s="309" t="str">
        <f>IF(B4746&lt;&gt;"",IF(AND(B4746='IN-TC'!$S$4,OR(TH!N4736="1111",TH!O4736="1111")),TH!D4736,""),"")</f>
        <v/>
      </c>
      <c r="B4746" s="1129">
        <f t="shared" si="1332"/>
        <v>8</v>
      </c>
      <c r="C4746" s="292">
        <f t="shared" si="1333"/>
        <v>42971</v>
      </c>
      <c r="D4746" s="292"/>
      <c r="E4746" s="292">
        <v>42971</v>
      </c>
      <c r="F4746" s="67" t="s">
        <v>1165</v>
      </c>
      <c r="G4746" s="925" t="s">
        <v>2145</v>
      </c>
      <c r="H4746" s="294" t="s">
        <v>1684</v>
      </c>
      <c r="I4746" s="373"/>
      <c r="J4746" s="926"/>
      <c r="K4746" s="373"/>
      <c r="L4746" s="379"/>
      <c r="M4746" s="927">
        <v>19762050</v>
      </c>
      <c r="N4746" s="295" t="s">
        <v>8</v>
      </c>
      <c r="O4746" s="295" t="s">
        <v>63</v>
      </c>
      <c r="P4746" s="75" t="str">
        <f>IF(AND('331-CT'!$E$7=TH!H3850,OR(N4746="331",O4746="331")),"x","")</f>
        <v/>
      </c>
      <c r="Q4746" s="75" t="str">
        <f>IF(AND(B4746='111'!$L$11,OR($N4746=$Q$7,$O4746=$Q$7)),"x","")</f>
        <v/>
      </c>
      <c r="R4746" s="75" t="str">
        <f>IF(AND($N4746=$Q$7,$B4746&lt;'111'!$L$11),"x","")</f>
        <v/>
      </c>
      <c r="S4746" s="75" t="str">
        <f>IF(AND($O4746=$Q$7,$B4746&lt;'111'!$L$11),"x","")</f>
        <v>x</v>
      </c>
      <c r="T4746" s="75" t="str">
        <f>IF(ISERROR(FIND('112'!$M$9,G4746,1)),"",IF((AND(FIND('112'!$M$9,G4746,1)&gt;=1,B4746='112'!$K$9,OR($N4746='112'!$I$6,$O4746='112'!$I$6))),"x",""))</f>
        <v/>
      </c>
      <c r="U4746" s="75" t="str">
        <f>IF(ISERROR(FIND('112'!$M$9,G4746,1)),"",IF((AND(LEFT(G4746,2)=LEFT('112'!$M$9,2),B4746&lt;'112'!$K$9,$N4746='112'!$I$6)),"x",""))</f>
        <v/>
      </c>
      <c r="V4746" s="75" t="str">
        <f>IF(ISERROR(FIND('112'!$M$9,G4746,1)),"",IF((AND(RIGHT(G4746,2)=RIGHT('112'!$M$9,2),B4746&lt;'112'!$K$9,$O4746='112'!$I$6)),"x",""))</f>
        <v/>
      </c>
      <c r="W4746" s="75" t="str">
        <f>IF(AND('341-CT'!$H$9=H4746,OR(LEFT(N4746,3)=$W$7,LEFT(O4746,3)=$W$7)),"x","")</f>
        <v/>
      </c>
      <c r="X4746" s="75" t="str">
        <f>IF(OR(TH!N3850=TH!$X$7,O4746=TH!$X$7),"x","")</f>
        <v/>
      </c>
      <c r="Y4746" s="75" t="str">
        <f>IF(AND(OR(N4746="131",O4746="131"),H4746='131-CT'!$H$9),"x","")</f>
        <v/>
      </c>
      <c r="Z4746" s="75"/>
      <c r="AA4746" s="75" t="str">
        <f>IF(AND(MONTH(E4746)='IN-NX'!$J$5,'IN-NX'!$D$7=D4746),"x","")</f>
        <v/>
      </c>
      <c r="AB4746" s="75" t="str">
        <f>IF(AND(OR(LEFT(TH!N3850,2)="15",LEFT(TH!O3850,2)="15"),LEFT(TH!O3850,3)&lt;&gt;"111",'152-CT'!$J$8=TH!F3850),"x","")</f>
        <v/>
      </c>
      <c r="AC4746" s="75" t="str">
        <f>IF(AND(OR(LEFT(TH!N3850,2)="15",LEFT(TH!O3850,2)="15"),TK!$E$7=TH!F3850),"x","")</f>
        <v/>
      </c>
      <c r="AD4746" s="75" t="str">
        <f>IF(AND(N4746="1521",MONTH(C4746)='BK-NL'!$M$11),"x","")</f>
        <v/>
      </c>
    </row>
    <row r="4747" spans="1:33" ht="16.5" customHeight="1">
      <c r="A4747" s="309" t="str">
        <f>IF(B4747&lt;&gt;"",IF(AND(B4747='IN-TC'!$S$4,OR(TH!N4737="1111",TH!O4737="1111")),TH!D4737,""),"")</f>
        <v/>
      </c>
      <c r="B4747" s="1129">
        <f t="shared" si="1332"/>
        <v>8</v>
      </c>
      <c r="C4747" s="292">
        <f t="shared" si="1333"/>
        <v>42971</v>
      </c>
      <c r="D4747" s="59" t="s">
        <v>903</v>
      </c>
      <c r="E4747" s="59">
        <v>42971</v>
      </c>
      <c r="F4747" s="293" t="s">
        <v>2464</v>
      </c>
      <c r="G4747" s="62" t="s">
        <v>747</v>
      </c>
      <c r="H4747" s="67" t="s">
        <v>2465</v>
      </c>
      <c r="I4747" s="373"/>
      <c r="J4747" s="382"/>
      <c r="K4747" s="373">
        <f>76884.3-15000</f>
        <v>61884.3</v>
      </c>
      <c r="L4747" s="379">
        <v>22723</v>
      </c>
      <c r="M4747" s="60">
        <v>1406196949</v>
      </c>
      <c r="N4747" s="61" t="s">
        <v>26</v>
      </c>
      <c r="O4747" s="61" t="s">
        <v>250</v>
      </c>
      <c r="P4747" s="75" t="str">
        <f>IF(AND('331-CT'!$E$7=TH!H5424,OR(N4747="331",O4747="331")),"x","")</f>
        <v/>
      </c>
      <c r="Q4747" s="75" t="str">
        <f>IF(AND(B4747='111'!$L$11,OR($N4747=$Q$7,$O4747=$Q$7)),"x","")</f>
        <v/>
      </c>
      <c r="R4747" s="75" t="str">
        <f>IF(AND($N4747=$Q$7,$B4747&lt;'111'!$L$11),"x","")</f>
        <v/>
      </c>
      <c r="S4747" s="75" t="str">
        <f>IF(AND($O4747=$Q$7,$B4747&lt;'111'!$L$11),"x","")</f>
        <v/>
      </c>
      <c r="T4747" s="75" t="str">
        <f>IF(ISERROR(FIND('112'!$M$9,G4747,1)),"",IF((AND(FIND('112'!$M$9,G4747,1)&gt;=1,B4747='112'!$K$9,OR($N4747='112'!$I$6,$O4747='112'!$I$6))),"x",""))</f>
        <v/>
      </c>
      <c r="U4747" s="75" t="str">
        <f>IF(ISERROR(FIND('112'!$M$9,G4747,1)),"",IF((AND(LEFT(G4747,2)=LEFT('112'!$M$9,2),B4747&lt;'112'!$K$9,$N4747='112'!$I$6)),"x",""))</f>
        <v/>
      </c>
      <c r="V4747" s="75" t="str">
        <f>IF(ISERROR(FIND('112'!$M$9,G4747,1)),"",IF((AND(RIGHT(G4747,2)=RIGHT('112'!$M$9,2),B4747&lt;'112'!$K$9,$O4747='112'!$I$6)),"x",""))</f>
        <v/>
      </c>
      <c r="W4747" s="75" t="str">
        <f>IF(AND('341-CT'!$H$9=H4747,OR(LEFT(N4747,3)=$W$7,LEFT(O4747,3)=$W$7)),"x","")</f>
        <v/>
      </c>
      <c r="X4747" s="75" t="str">
        <f>IF(OR(TH!N5424=TH!$X$7,O4747=TH!$X$7),"x","")</f>
        <v/>
      </c>
      <c r="Y4747" s="75" t="str">
        <f>IF(AND(OR(N4747="131",O4747="131"),H4747='131-CT'!$H$9),"x","")</f>
        <v/>
      </c>
      <c r="Z4747" s="75"/>
      <c r="AA4747" s="75" t="str">
        <f>IF(AND(MONTH(E4747)='IN-NX'!$J$5,'IN-NX'!$D$7=D4747),"x","")</f>
        <v/>
      </c>
      <c r="AB4747" s="75" t="str">
        <f>IF(AND(OR(LEFT(TH!N5424,2)="15",LEFT(TH!O5424,2)="15"),LEFT(TH!O5424,3)&lt;&gt;"111",'152-CT'!$J$8=TH!F5424),"x","")</f>
        <v/>
      </c>
      <c r="AC4747" s="75" t="str">
        <f>IF(AND(OR(LEFT(TH!N5424,2)="15",LEFT(TH!O5424,2)="15"),TK!$E$7=TH!F5424),"x","")</f>
        <v/>
      </c>
      <c r="AD4747" s="75" t="str">
        <f>IF(AND(N4747="1521",MONTH(C4747)='BK-NL'!$M$11),"x","")</f>
        <v/>
      </c>
    </row>
    <row r="4748" spans="1:33" ht="16.5" customHeight="1">
      <c r="A4748" s="309" t="str">
        <f>IF(B4748&lt;&gt;"",IF(AND(B4748='IN-TC'!$S$4,OR(TH!N4738="1111",TH!O4738="1111")),TH!D4738,""),"")</f>
        <v/>
      </c>
      <c r="B4748" s="1129">
        <f t="shared" si="1332"/>
        <v>8</v>
      </c>
      <c r="C4748" s="292">
        <f t="shared" si="1333"/>
        <v>42971</v>
      </c>
      <c r="D4748" s="59" t="s">
        <v>903</v>
      </c>
      <c r="E4748" s="59">
        <v>42971</v>
      </c>
      <c r="F4748" s="62" t="s">
        <v>914</v>
      </c>
      <c r="G4748" s="62" t="s">
        <v>747</v>
      </c>
      <c r="H4748" s="67" t="s">
        <v>835</v>
      </c>
      <c r="I4748" s="373"/>
      <c r="J4748" s="382"/>
      <c r="K4748" s="373"/>
      <c r="L4748" s="379"/>
      <c r="M4748" s="60">
        <v>338374</v>
      </c>
      <c r="N4748" s="61" t="s">
        <v>26</v>
      </c>
      <c r="O4748" s="295" t="s">
        <v>43</v>
      </c>
      <c r="P4748" s="75" t="str">
        <f>IF(AND('331-CT'!$E$7=TH!H5425,OR(N4748="331",O4748="331")),"x","")</f>
        <v/>
      </c>
      <c r="Q4748" s="75" t="str">
        <f>IF(AND(B4748='111'!$L$11,OR($N4748=$Q$7,$O4748=$Q$7)),"x","")</f>
        <v/>
      </c>
      <c r="R4748" s="75" t="str">
        <f>IF(AND($N4748=$Q$7,$B4748&lt;'111'!$L$11),"x","")</f>
        <v/>
      </c>
      <c r="S4748" s="75" t="str">
        <f>IF(AND($O4748=$Q$7,$B4748&lt;'111'!$L$11),"x","")</f>
        <v/>
      </c>
      <c r="T4748" s="75" t="str">
        <f>IF(ISERROR(FIND('112'!$M$9,G4748,1)),"",IF((AND(FIND('112'!$M$9,G4748,1)&gt;=1,B4748='112'!$K$9,OR($N4748='112'!$I$6,$O4748='112'!$I$6))),"x",""))</f>
        <v/>
      </c>
      <c r="U4748" s="75" t="str">
        <f>IF(ISERROR(FIND('112'!$M$9,G4748,1)),"",IF((AND(LEFT(G4748,2)=LEFT('112'!$M$9,2),B4748&lt;'112'!$K$9,$N4748='112'!$I$6)),"x",""))</f>
        <v/>
      </c>
      <c r="V4748" s="75" t="str">
        <f>IF(ISERROR(FIND('112'!$M$9,G4748,1)),"",IF((AND(RIGHT(G4748,2)=RIGHT('112'!$M$9,2),B4748&lt;'112'!$K$9,$O4748='112'!$I$6)),"x",""))</f>
        <v/>
      </c>
      <c r="W4748" s="75" t="str">
        <f>IF(AND('341-CT'!$H$9=H4748,OR(LEFT(N4748,3)=$W$7,LEFT(O4748,3)=$W$7)),"x","")</f>
        <v/>
      </c>
      <c r="X4748" s="75" t="str">
        <f>IF(OR(TH!N5425=TH!$X$7,O4748=TH!$X$7),"x","")</f>
        <v/>
      </c>
      <c r="Y4748" s="75" t="str">
        <f>IF(AND(OR(N4748="131",O4748="131"),H4748='131-CT'!$H$9),"x","")</f>
        <v/>
      </c>
      <c r="Z4748" s="75"/>
      <c r="AA4748" s="75" t="str">
        <f>IF(AND(MONTH(E4748)='IN-NX'!$J$5,'IN-NX'!$D$7=D4748),"x","")</f>
        <v/>
      </c>
      <c r="AB4748" s="75" t="str">
        <f>IF(AND(OR(LEFT(TH!N5425,2)="15",LEFT(TH!O5425,2)="15"),LEFT(TH!O5425,3)&lt;&gt;"111",'152-CT'!$J$8=TH!F5425),"x","")</f>
        <v/>
      </c>
      <c r="AC4748" s="75" t="str">
        <f>IF(AND(OR(LEFT(TH!N5425,2)="15",LEFT(TH!O5425,2)="15"),TK!$E$7=TH!F5425),"x","")</f>
        <v/>
      </c>
      <c r="AD4748" s="75" t="str">
        <f>IF(AND(N4748="1521",MONTH(C4748)='BK-NL'!$M$11),"x","")</f>
        <v/>
      </c>
    </row>
    <row r="4749" spans="1:33" ht="16.5" customHeight="1">
      <c r="A4749" s="309" t="str">
        <f>IF(B4749&lt;&gt;"",IF(AND(B4749='IN-TC'!$S$4,OR(TH!N4739="1111",TH!O4739="1111")),TH!D4739,""),"")</f>
        <v/>
      </c>
      <c r="B4749" s="1129">
        <f t="shared" si="1332"/>
        <v>8</v>
      </c>
      <c r="C4749" s="292">
        <f t="shared" si="1333"/>
        <v>42972</v>
      </c>
      <c r="D4749" s="292" t="s">
        <v>854</v>
      </c>
      <c r="E4749" s="292">
        <v>42972</v>
      </c>
      <c r="F4749" s="293" t="s">
        <v>834</v>
      </c>
      <c r="G4749" s="943" t="s">
        <v>747</v>
      </c>
      <c r="H4749" s="67" t="s">
        <v>1023</v>
      </c>
      <c r="I4749" s="373"/>
      <c r="J4749" s="926"/>
      <c r="K4749" s="373"/>
      <c r="L4749" s="379"/>
      <c r="M4749" s="927">
        <v>1200000000</v>
      </c>
      <c r="N4749" s="295" t="s">
        <v>63</v>
      </c>
      <c r="O4749" s="295" t="s">
        <v>26</v>
      </c>
      <c r="P4749" s="75" t="str">
        <f>IF(AND('331-CT'!$E$7=TH!H5401,OR(N4749="331",O4749="331")),"x","")</f>
        <v/>
      </c>
      <c r="Q4749" s="75" t="str">
        <f>IF(AND(B4749='111'!$L$11,OR($N4749=$Q$7,$O4749=$Q$7)),"x","")</f>
        <v/>
      </c>
      <c r="R4749" s="75" t="str">
        <f>IF(AND($N4749=$Q$7,$B4749&lt;'111'!$L$11),"x","")</f>
        <v>x</v>
      </c>
      <c r="S4749" s="75" t="str">
        <f>IF(AND($O4749=$Q$7,$B4749&lt;'111'!$L$11),"x","")</f>
        <v/>
      </c>
      <c r="T4749" s="75" t="str">
        <f>IF(ISERROR(FIND('112'!$M$9,G4749,1)),"",IF((AND(FIND('112'!$M$9,G4749,1)&gt;=1,B4749='112'!$K$9,OR($N4749='112'!$I$6,$O4749='112'!$I$6))),"x",""))</f>
        <v/>
      </c>
      <c r="U4749" s="75" t="str">
        <f>IF(ISERROR(FIND('112'!$M$9,G4749,1)),"",IF((AND(LEFT(G4749,2)=LEFT('112'!$M$9,2),B4749&lt;'112'!$K$9,$N4749='112'!$I$6)),"x",""))</f>
        <v/>
      </c>
      <c r="V4749" s="75" t="str">
        <f>IF(ISERROR(FIND('112'!$M$9,G4749,1)),"",IF((AND(RIGHT(G4749,2)=RIGHT('112'!$M$9,2),B4749&lt;'112'!$K$9,$O4749='112'!$I$6)),"x",""))</f>
        <v/>
      </c>
      <c r="W4749" s="75" t="str">
        <f>IF(AND('341-CT'!$H$9=H4749,OR(LEFT(N4749,3)=$W$7,LEFT(O4749,3)=$W$7)),"x","")</f>
        <v/>
      </c>
      <c r="X4749" s="75" t="str">
        <f>IF(OR(TH!N5401=TH!$X$7,O4749=TH!$X$7),"x","")</f>
        <v/>
      </c>
      <c r="Y4749" s="75" t="str">
        <f>IF(AND(OR(N4749="131",O4749="131"),H4749='131-CT'!$H$9),"x","")</f>
        <v/>
      </c>
      <c r="Z4749" s="75"/>
      <c r="AA4749" s="75" t="str">
        <f>IF(AND(MONTH(E4749)='IN-NX'!$J$5,'IN-NX'!$D$7=D4749),"x","")</f>
        <v/>
      </c>
      <c r="AB4749" s="75" t="str">
        <f>IF(AND(OR(LEFT(TH!N5401,2)="15",LEFT(TH!O5401,2)="15"),LEFT(TH!O5401,3)&lt;&gt;"111",'152-CT'!$J$8=TH!F5401),"x","")</f>
        <v/>
      </c>
      <c r="AC4749" s="75" t="str">
        <f>IF(AND(OR(LEFT(TH!N5401,2)="15",LEFT(TH!O5401,2)="15"),TK!$E$7=TH!F5401),"x","")</f>
        <v/>
      </c>
      <c r="AD4749" s="75" t="str">
        <f>IF(AND(N4749="1521",MONTH(C4749)='BK-NL'!$M$11),"x","")</f>
        <v/>
      </c>
      <c r="AE4749" s="1053"/>
      <c r="AF4749" s="1053"/>
      <c r="AG4749" s="1053"/>
    </row>
    <row r="4750" spans="1:33" ht="16.5" customHeight="1">
      <c r="A4750" s="309" t="str">
        <f>IF(B4750&lt;&gt;"",IF(AND(B4750='IN-TC'!$S$4,OR(TH!N4740="1111",TH!O4740="1111")),TH!D4740,""),"")</f>
        <v/>
      </c>
      <c r="B4750" s="1243">
        <f t="shared" si="1332"/>
        <v>8</v>
      </c>
      <c r="C4750" s="292">
        <f t="shared" si="1333"/>
        <v>42972</v>
      </c>
      <c r="D4750" s="292"/>
      <c r="E4750" s="292">
        <v>42972</v>
      </c>
      <c r="F4750" s="1010" t="s">
        <v>1881</v>
      </c>
      <c r="G4750" s="925"/>
      <c r="H4750" s="311" t="s">
        <v>1890</v>
      </c>
      <c r="I4750" s="373"/>
      <c r="J4750" s="926"/>
      <c r="K4750" s="373"/>
      <c r="L4750" s="379"/>
      <c r="M4750" s="927">
        <v>3541720000</v>
      </c>
      <c r="N4750" s="295" t="s">
        <v>8</v>
      </c>
      <c r="O4750" s="295" t="s">
        <v>63</v>
      </c>
      <c r="P4750" s="75" t="str">
        <f>IF(AND('331-CT'!$E$7=TH!H4327,OR(N4750="331",O4750="331")),"x","")</f>
        <v/>
      </c>
      <c r="Q4750" s="75" t="str">
        <f>IF(AND(B4750='111'!$L$11,OR($N4750=$Q$7,$O4750=$Q$7)),"x","")</f>
        <v/>
      </c>
      <c r="R4750" s="75" t="str">
        <f>IF(AND($N4750=$Q$7,$B4750&lt;'111'!$L$11),"x","")</f>
        <v/>
      </c>
      <c r="S4750" s="75" t="str">
        <f>IF(AND($O4750=$Q$7,$B4750&lt;'111'!$L$11),"x","")</f>
        <v>x</v>
      </c>
      <c r="T4750" s="75" t="str">
        <f>IF(ISERROR(FIND('112'!$M$9,G4750,1)),"",IF((AND(FIND('112'!$M$9,G4750,1)&gt;=1,B4750='112'!$K$9,OR($N4750='112'!$I$6,$O4750='112'!$I$6))),"x",""))</f>
        <v/>
      </c>
      <c r="U4750" s="75" t="str">
        <f>IF(ISERROR(FIND('112'!$M$9,G4750,1)),"",IF((AND(LEFT(G4750,2)=LEFT('112'!$M$9,2),B4750&lt;'112'!$K$9,$N4750='112'!$I$6)),"x",""))</f>
        <v/>
      </c>
      <c r="V4750" s="75" t="str">
        <f>IF(ISERROR(FIND('112'!$M$9,G4750,1)),"",IF((AND(RIGHT(G4750,2)=RIGHT('112'!$M$9,2),B4750&lt;'112'!$K$9,$O4750='112'!$I$6)),"x",""))</f>
        <v/>
      </c>
      <c r="W4750" s="75" t="str">
        <f>IF(AND('341-CT'!$H$9=H4750,OR(LEFT(N4750,3)=$W$7,LEFT(O4750,3)=$W$7)),"x","")</f>
        <v/>
      </c>
      <c r="X4750" s="75" t="str">
        <f>IF(OR(TH!N4327=TH!$X$7,O4750=TH!$X$7),"x","")</f>
        <v/>
      </c>
      <c r="Y4750" s="75" t="str">
        <f>IF(AND(OR(N4750="131",O4750="131"),H4750='131-CT'!$H$9),"x","")</f>
        <v/>
      </c>
      <c r="Z4750" s="75"/>
      <c r="AA4750" s="75" t="str">
        <f>IF(AND(MONTH(E4750)='IN-NX'!$J$5,'IN-NX'!$D$7=D4750),"x","")</f>
        <v/>
      </c>
      <c r="AB4750" s="75" t="str">
        <f>IF(AND(OR(LEFT(TH!N4327,2)="15",LEFT(TH!O4327,2)="15"),LEFT(TH!O4327,3)&lt;&gt;"111",'152-CT'!$J$8=TH!F4327),"x","")</f>
        <v/>
      </c>
      <c r="AC4750" s="75" t="str">
        <f>IF(AND(OR(LEFT(TH!N4327,2)="15",LEFT(TH!O4327,2)="15"),TK!$E$7=TH!F4327),"x","")</f>
        <v/>
      </c>
      <c r="AD4750" s="75" t="str">
        <f>IF(AND(N4750="1521",MONTH(C4750)='BK-NL'!$M$11),"x","")</f>
        <v/>
      </c>
    </row>
    <row r="4751" spans="1:33" ht="16.5" customHeight="1">
      <c r="A4751" s="309" t="str">
        <f>IF(B4751&lt;&gt;"",IF(AND(B4751='IN-TC'!$S$4,OR(TH!N4741="1111",TH!O4741="1111")),TH!D4741,""),"")</f>
        <v/>
      </c>
      <c r="B4751" s="1243">
        <f t="shared" si="1332"/>
        <v>8</v>
      </c>
      <c r="C4751" s="292">
        <f t="shared" si="1333"/>
        <v>42972</v>
      </c>
      <c r="D4751" s="292"/>
      <c r="E4751" s="292">
        <v>42972</v>
      </c>
      <c r="F4751" s="1010" t="s">
        <v>1883</v>
      </c>
      <c r="G4751" s="925"/>
      <c r="H4751" s="311"/>
      <c r="I4751" s="373"/>
      <c r="J4751" s="926"/>
      <c r="K4751" s="373"/>
      <c r="L4751" s="379"/>
      <c r="M4751" s="927">
        <v>2200000</v>
      </c>
      <c r="N4751" s="295" t="s">
        <v>101</v>
      </c>
      <c r="O4751" s="295" t="s">
        <v>63</v>
      </c>
      <c r="P4751" s="75" t="str">
        <f>IF(AND('331-CT'!$E$7=TH!H4328,OR(N4751="331",O4751="331")),"x","")</f>
        <v/>
      </c>
      <c r="Q4751" s="75" t="str">
        <f>IF(AND(B4751='111'!$L$11,OR($N4751=$Q$7,$O4751=$Q$7)),"x","")</f>
        <v/>
      </c>
      <c r="R4751" s="75" t="str">
        <f>IF(AND($N4751=$Q$7,$B4751&lt;'111'!$L$11),"x","")</f>
        <v/>
      </c>
      <c r="S4751" s="75" t="str">
        <f>IF(AND($O4751=$Q$7,$B4751&lt;'111'!$L$11),"x","")</f>
        <v>x</v>
      </c>
      <c r="T4751" s="75" t="str">
        <f>IF(ISERROR(FIND('112'!$M$9,G4751,1)),"",IF((AND(FIND('112'!$M$9,G4751,1)&gt;=1,B4751='112'!$K$9,OR($N4751='112'!$I$6,$O4751='112'!$I$6))),"x",""))</f>
        <v/>
      </c>
      <c r="U4751" s="75" t="str">
        <f>IF(ISERROR(FIND('112'!$M$9,G4751,1)),"",IF((AND(LEFT(G4751,2)=LEFT('112'!$M$9,2),B4751&lt;'112'!$K$9,$N4751='112'!$I$6)),"x",""))</f>
        <v/>
      </c>
      <c r="V4751" s="75" t="str">
        <f>IF(ISERROR(FIND('112'!$M$9,G4751,1)),"",IF((AND(RIGHT(G4751,2)=RIGHT('112'!$M$9,2),B4751&lt;'112'!$K$9,$O4751='112'!$I$6)),"x",""))</f>
        <v/>
      </c>
      <c r="W4751" s="75" t="str">
        <f>IF(AND('341-CT'!$H$9=H4751,OR(LEFT(N4751,3)=$W$7,LEFT(O4751,3)=$W$7)),"x","")</f>
        <v/>
      </c>
      <c r="X4751" s="75" t="str">
        <f>IF(OR(TH!N4328=TH!$X$7,O4751=TH!$X$7),"x","")</f>
        <v/>
      </c>
      <c r="Y4751" s="75" t="str">
        <f>IF(AND(OR(N4751="131",O4751="131"),H4751='131-CT'!$H$9),"x","")</f>
        <v/>
      </c>
      <c r="Z4751" s="75"/>
      <c r="AA4751" s="75" t="str">
        <f>IF(AND(MONTH(E4751)='IN-NX'!$J$5,'IN-NX'!$D$7=D4751),"x","")</f>
        <v/>
      </c>
      <c r="AB4751" s="75" t="str">
        <f>IF(AND(OR(LEFT(TH!N4328,2)="15",LEFT(TH!O4328,2)="15"),LEFT(TH!O4328,3)&lt;&gt;"111",'152-CT'!$J$8=TH!F4328),"x","")</f>
        <v/>
      </c>
      <c r="AC4751" s="75" t="str">
        <f>IF(AND(OR(LEFT(TH!N4328,2)="15",LEFT(TH!O4328,2)="15"),TK!$E$7=TH!F4328),"x","")</f>
        <v/>
      </c>
      <c r="AD4751" s="75" t="str">
        <f>IF(AND(N4751="1521",MONTH(C4751)='BK-NL'!$M$11),"x","")</f>
        <v/>
      </c>
    </row>
    <row r="4752" spans="1:33" ht="16.5" customHeight="1">
      <c r="A4752" s="309" t="str">
        <f>IF(B4752&lt;&gt;"",IF(AND(B4752='IN-TC'!$S$4,OR(TH!N4742="1111",TH!O4742="1111")),TH!D4742,""),"")</f>
        <v/>
      </c>
      <c r="B4752" s="1243">
        <f t="shared" si="1332"/>
        <v>8</v>
      </c>
      <c r="C4752" s="292">
        <f t="shared" si="1333"/>
        <v>42972</v>
      </c>
      <c r="D4752" s="292"/>
      <c r="E4752" s="292">
        <v>42972</v>
      </c>
      <c r="F4752" s="1010" t="s">
        <v>1881</v>
      </c>
      <c r="G4752" s="925"/>
      <c r="H4752" s="311" t="s">
        <v>1886</v>
      </c>
      <c r="I4752" s="373"/>
      <c r="J4752" s="926"/>
      <c r="K4752" s="373"/>
      <c r="L4752" s="379"/>
      <c r="M4752" s="927">
        <v>2328910000</v>
      </c>
      <c r="N4752" s="295" t="s">
        <v>8</v>
      </c>
      <c r="O4752" s="295" t="s">
        <v>63</v>
      </c>
      <c r="P4752" s="75" t="str">
        <f>IF(AND('331-CT'!$E$7=TH!H4329,OR(N4752="331",O4752="331")),"x","")</f>
        <v/>
      </c>
      <c r="Q4752" s="75" t="str">
        <f>IF(AND(B4752='111'!$L$11,OR($N4752=$Q$7,$O4752=$Q$7)),"x","")</f>
        <v/>
      </c>
      <c r="R4752" s="75" t="str">
        <f>IF(AND($N4752=$Q$7,$B4752&lt;'111'!$L$11),"x","")</f>
        <v/>
      </c>
      <c r="S4752" s="75" t="str">
        <f>IF(AND($O4752=$Q$7,$B4752&lt;'111'!$L$11),"x","")</f>
        <v>x</v>
      </c>
      <c r="T4752" s="75" t="str">
        <f>IF(ISERROR(FIND('112'!$M$9,G4752,1)),"",IF((AND(FIND('112'!$M$9,G4752,1)&gt;=1,B4752='112'!$K$9,OR($N4752='112'!$I$6,$O4752='112'!$I$6))),"x",""))</f>
        <v/>
      </c>
      <c r="U4752" s="75" t="str">
        <f>IF(ISERROR(FIND('112'!$M$9,G4752,1)),"",IF((AND(LEFT(G4752,2)=LEFT('112'!$M$9,2),B4752&lt;'112'!$K$9,$N4752='112'!$I$6)),"x",""))</f>
        <v/>
      </c>
      <c r="V4752" s="75" t="str">
        <f>IF(ISERROR(FIND('112'!$M$9,G4752,1)),"",IF((AND(RIGHT(G4752,2)=RIGHT('112'!$M$9,2),B4752&lt;'112'!$K$9,$O4752='112'!$I$6)),"x",""))</f>
        <v/>
      </c>
      <c r="W4752" s="75" t="str">
        <f>IF(AND('341-CT'!$H$9=H4752,OR(LEFT(N4752,3)=$W$7,LEFT(O4752,3)=$W$7)),"x","")</f>
        <v/>
      </c>
      <c r="X4752" s="75" t="str">
        <f>IF(OR(TH!N4329=TH!$X$7,O4752=TH!$X$7),"x","")</f>
        <v/>
      </c>
      <c r="Y4752" s="75" t="str">
        <f>IF(AND(OR(N4752="131",O4752="131"),H4752='131-CT'!$H$9),"x","")</f>
        <v/>
      </c>
      <c r="Z4752" s="75"/>
      <c r="AA4752" s="75" t="str">
        <f>IF(AND(MONTH(E4752)='IN-NX'!$J$5,'IN-NX'!$D$7=D4752),"x","")</f>
        <v/>
      </c>
      <c r="AB4752" s="75" t="str">
        <f>IF(AND(OR(LEFT(TH!N4329,2)="15",LEFT(TH!O4329,2)="15"),LEFT(TH!O4329,3)&lt;&gt;"111",'152-CT'!$J$8=TH!F4329),"x","")</f>
        <v/>
      </c>
      <c r="AC4752" s="75" t="str">
        <f>IF(AND(OR(LEFT(TH!N4329,2)="15",LEFT(TH!O4329,2)="15"),TK!$E$7=TH!F4329),"x","")</f>
        <v/>
      </c>
      <c r="AD4752" s="75" t="str">
        <f>IF(AND(N4752="1521",MONTH(C4752)='BK-NL'!$M$11),"x","")</f>
        <v/>
      </c>
    </row>
    <row r="4753" spans="1:33" ht="16.5" customHeight="1">
      <c r="A4753" s="309" t="str">
        <f>IF(B4753&lt;&gt;"",IF(AND(B4753='IN-TC'!$S$4,OR(TH!N4743="1111",TH!O4743="1111")),TH!D4743,""),"")</f>
        <v/>
      </c>
      <c r="B4753" s="1243">
        <f t="shared" si="1332"/>
        <v>8</v>
      </c>
      <c r="C4753" s="292">
        <f t="shared" si="1333"/>
        <v>42972</v>
      </c>
      <c r="D4753" s="292"/>
      <c r="E4753" s="292">
        <v>42972</v>
      </c>
      <c r="F4753" s="1010" t="s">
        <v>1883</v>
      </c>
      <c r="G4753" s="925"/>
      <c r="H4753" s="311"/>
      <c r="I4753" s="373"/>
      <c r="J4753" s="926"/>
      <c r="K4753" s="373"/>
      <c r="L4753" s="379"/>
      <c r="M4753" s="927">
        <f>1863128+186313</f>
        <v>2049441</v>
      </c>
      <c r="N4753" s="295" t="s">
        <v>101</v>
      </c>
      <c r="O4753" s="295" t="s">
        <v>63</v>
      </c>
      <c r="P4753" s="75" t="str">
        <f>IF(AND('331-CT'!$E$7=TH!H4330,OR(N4753="331",O4753="331")),"x","")</f>
        <v/>
      </c>
      <c r="Q4753" s="75" t="str">
        <f>IF(AND(B4753='111'!$L$11,OR($N4753=$Q$7,$O4753=$Q$7)),"x","")</f>
        <v/>
      </c>
      <c r="R4753" s="75" t="str">
        <f>IF(AND($N4753=$Q$7,$B4753&lt;'111'!$L$11),"x","")</f>
        <v/>
      </c>
      <c r="S4753" s="75" t="str">
        <f>IF(AND($O4753=$Q$7,$B4753&lt;'111'!$L$11),"x","")</f>
        <v>x</v>
      </c>
      <c r="T4753" s="75" t="str">
        <f>IF(ISERROR(FIND('112'!$M$9,G4753,1)),"",IF((AND(FIND('112'!$M$9,G4753,1)&gt;=1,B4753='112'!$K$9,OR($N4753='112'!$I$6,$O4753='112'!$I$6))),"x",""))</f>
        <v/>
      </c>
      <c r="U4753" s="75" t="str">
        <f>IF(ISERROR(FIND('112'!$M$9,G4753,1)),"",IF((AND(LEFT(G4753,2)=LEFT('112'!$M$9,2),B4753&lt;'112'!$K$9,$N4753='112'!$I$6)),"x",""))</f>
        <v/>
      </c>
      <c r="V4753" s="75" t="str">
        <f>IF(ISERROR(FIND('112'!$M$9,G4753,1)),"",IF((AND(RIGHT(G4753,2)=RIGHT('112'!$M$9,2),B4753&lt;'112'!$K$9,$O4753='112'!$I$6)),"x",""))</f>
        <v/>
      </c>
      <c r="W4753" s="75" t="str">
        <f>IF(AND('341-CT'!$H$9=H4753,OR(LEFT(N4753,3)=$W$7,LEFT(O4753,3)=$W$7)),"x","")</f>
        <v/>
      </c>
      <c r="X4753" s="75" t="str">
        <f>IF(OR(TH!N4330=TH!$X$7,O4753=TH!$X$7),"x","")</f>
        <v/>
      </c>
      <c r="Y4753" s="75" t="str">
        <f>IF(AND(OR(N4753="131",O4753="131"),H4753='131-CT'!$H$9),"x","")</f>
        <v/>
      </c>
      <c r="Z4753" s="75"/>
      <c r="AA4753" s="75" t="str">
        <f>IF(AND(MONTH(E4753)='IN-NX'!$J$5,'IN-NX'!$D$7=D4753),"x","")</f>
        <v/>
      </c>
      <c r="AB4753" s="75" t="str">
        <f>IF(AND(OR(LEFT(TH!N4330,2)="15",LEFT(TH!O4330,2)="15"),LEFT(TH!O4330,3)&lt;&gt;"111",'152-CT'!$J$8=TH!F4330),"x","")</f>
        <v/>
      </c>
      <c r="AC4753" s="75" t="str">
        <f>IF(AND(OR(LEFT(TH!N4330,2)="15",LEFT(TH!O4330,2)="15"),TK!$E$7=TH!F4330),"x","")</f>
        <v/>
      </c>
      <c r="AD4753" s="75" t="str">
        <f>IF(AND(N4753="1521",MONTH(C4753)='BK-NL'!$M$11),"x","")</f>
        <v/>
      </c>
    </row>
    <row r="4754" spans="1:33" ht="16.5" customHeight="1">
      <c r="A4754" s="309" t="str">
        <f>IF(B4754&lt;&gt;"",IF(AND(B4754='IN-TC'!$S$4,OR(TH!N4744="1111",TH!O4744="1111")),TH!D4744,""),"")</f>
        <v/>
      </c>
      <c r="B4754" s="1129">
        <f t="shared" si="1332"/>
        <v>8</v>
      </c>
      <c r="C4754" s="292">
        <f t="shared" si="1333"/>
        <v>42972</v>
      </c>
      <c r="D4754" s="59" t="s">
        <v>902</v>
      </c>
      <c r="E4754" s="59">
        <v>42972</v>
      </c>
      <c r="F4754" s="67" t="s">
        <v>1549</v>
      </c>
      <c r="G4754" s="62" t="s">
        <v>747</v>
      </c>
      <c r="H4754" s="67" t="s">
        <v>835</v>
      </c>
      <c r="I4754" s="373"/>
      <c r="J4754" s="379"/>
      <c r="K4754" s="379"/>
      <c r="L4754" s="379"/>
      <c r="M4754" s="379">
        <v>113825</v>
      </c>
      <c r="N4754" s="61" t="s">
        <v>101</v>
      </c>
      <c r="O4754" s="61" t="s">
        <v>26</v>
      </c>
      <c r="P4754" s="75" t="str">
        <f>IF(AND('331-CT'!$E$7=TH!H5426,OR(N4754="331",O4754="331")),"x","")</f>
        <v/>
      </c>
      <c r="Q4754" s="75" t="str">
        <f>IF(AND(B4754='111'!$L$11,OR($N4754=$Q$7,$O4754=$Q$7)),"x","")</f>
        <v/>
      </c>
      <c r="R4754" s="75" t="str">
        <f>IF(AND($N4754=$Q$7,$B4754&lt;'111'!$L$11),"x","")</f>
        <v/>
      </c>
      <c r="S4754" s="75" t="str">
        <f>IF(AND($O4754=$Q$7,$B4754&lt;'111'!$L$11),"x","")</f>
        <v/>
      </c>
      <c r="T4754" s="75" t="str">
        <f>IF(ISERROR(FIND('112'!$M$9,G4754,1)),"",IF((AND(FIND('112'!$M$9,G4754,1)&gt;=1,B4754='112'!$K$9,OR($N4754='112'!$I$6,$O4754='112'!$I$6))),"x",""))</f>
        <v/>
      </c>
      <c r="U4754" s="75" t="str">
        <f>IF(ISERROR(FIND('112'!$M$9,G4754,1)),"",IF((AND(LEFT(G4754,2)=LEFT('112'!$M$9,2),B4754&lt;'112'!$K$9,$N4754='112'!$I$6)),"x",""))</f>
        <v/>
      </c>
      <c r="V4754" s="75" t="str">
        <f>IF(ISERROR(FIND('112'!$M$9,G4754,1)),"",IF((AND(RIGHT(G4754,2)=RIGHT('112'!$M$9,2),B4754&lt;'112'!$K$9,$O4754='112'!$I$6)),"x",""))</f>
        <v/>
      </c>
      <c r="W4754" s="75" t="str">
        <f>IF(AND('341-CT'!$H$9=H4754,OR(LEFT(N4754,3)=$W$7,LEFT(O4754,3)=$W$7)),"x","")</f>
        <v/>
      </c>
      <c r="X4754" s="75" t="str">
        <f>IF(OR(TH!N5426=TH!$X$7,O4754=TH!$X$7),"x","")</f>
        <v/>
      </c>
      <c r="Y4754" s="75" t="str">
        <f>IF(AND(OR(N4754="131",O4754="131"),H4754='131-CT'!$H$9),"x","")</f>
        <v/>
      </c>
      <c r="Z4754" s="75"/>
      <c r="AA4754" s="75" t="str">
        <f>IF(AND(MONTH(E4754)='IN-NX'!$J$5,'IN-NX'!$D$7=D4754),"x","")</f>
        <v/>
      </c>
      <c r="AB4754" s="75" t="str">
        <f>IF(AND(OR(LEFT(TH!N5426,2)="15",LEFT(TH!O5426,2)="15"),LEFT(TH!O5426,3)&lt;&gt;"111",'152-CT'!$J$8=TH!F5426),"x","")</f>
        <v/>
      </c>
      <c r="AC4754" s="75" t="str">
        <f>IF(AND(OR(LEFT(TH!N5426,2)="15",LEFT(TH!O5426,2)="15"),TK!$E$7=TH!F5426),"x","")</f>
        <v/>
      </c>
      <c r="AD4754" s="75" t="str">
        <f>IF(AND(N4754="1521",MONTH(C4754)='BK-NL'!$M$11),"x","")</f>
        <v/>
      </c>
      <c r="AE4754">
        <v>8</v>
      </c>
    </row>
    <row r="4755" spans="1:33" ht="16.5" customHeight="1">
      <c r="A4755" s="309" t="str">
        <f>IF(B4755&lt;&gt;"",IF(AND(B4755='IN-TC'!$S$4,OR(TH!N4745="1111",TH!O4745="1111")),TH!D4745,""),"")</f>
        <v/>
      </c>
      <c r="B4755" s="1129">
        <f t="shared" ref="B4755:B4818" si="1334">IF(C4755&lt;&gt;"",MONTH(C4755),"")</f>
        <v>8</v>
      </c>
      <c r="C4755" s="292">
        <f t="shared" si="1333"/>
        <v>42972</v>
      </c>
      <c r="D4755" s="59" t="s">
        <v>902</v>
      </c>
      <c r="E4755" s="59">
        <v>42972</v>
      </c>
      <c r="F4755" s="67" t="s">
        <v>1552</v>
      </c>
      <c r="G4755" s="62" t="s">
        <v>747</v>
      </c>
      <c r="H4755" s="67" t="s">
        <v>835</v>
      </c>
      <c r="I4755" s="373"/>
      <c r="J4755" s="379"/>
      <c r="K4755" s="379"/>
      <c r="L4755" s="379"/>
      <c r="M4755" s="379">
        <v>11383</v>
      </c>
      <c r="N4755" s="61" t="s">
        <v>9</v>
      </c>
      <c r="O4755" s="61" t="s">
        <v>26</v>
      </c>
      <c r="P4755" s="75" t="str">
        <f>IF(AND('331-CT'!$E$7=TH!H5427,OR(N4755="331",O4755="331")),"x","")</f>
        <v/>
      </c>
      <c r="Q4755" s="75" t="str">
        <f>IF(AND(B4755='111'!$L$11,OR($N4755=$Q$7,$O4755=$Q$7)),"x","")</f>
        <v/>
      </c>
      <c r="R4755" s="75" t="str">
        <f>IF(AND($N4755=$Q$7,$B4755&lt;'111'!$L$11),"x","")</f>
        <v/>
      </c>
      <c r="S4755" s="75" t="str">
        <f>IF(AND($O4755=$Q$7,$B4755&lt;'111'!$L$11),"x","")</f>
        <v/>
      </c>
      <c r="T4755" s="75" t="str">
        <f>IF(ISERROR(FIND('112'!$M$9,G4755,1)),"",IF((AND(FIND('112'!$M$9,G4755,1)&gt;=1,B4755='112'!$K$9,OR($N4755='112'!$I$6,$O4755='112'!$I$6))),"x",""))</f>
        <v/>
      </c>
      <c r="U4755" s="75" t="str">
        <f>IF(ISERROR(FIND('112'!$M$9,G4755,1)),"",IF((AND(LEFT(G4755,2)=LEFT('112'!$M$9,2),B4755&lt;'112'!$K$9,$N4755='112'!$I$6)),"x",""))</f>
        <v/>
      </c>
      <c r="V4755" s="75" t="str">
        <f>IF(ISERROR(FIND('112'!$M$9,G4755,1)),"",IF((AND(RIGHT(G4755,2)=RIGHT('112'!$M$9,2),B4755&lt;'112'!$K$9,$O4755='112'!$I$6)),"x",""))</f>
        <v/>
      </c>
      <c r="W4755" s="75" t="str">
        <f>IF(AND('341-CT'!$H$9=H4755,OR(LEFT(N4755,3)=$W$7,LEFT(O4755,3)=$W$7)),"x","")</f>
        <v/>
      </c>
      <c r="X4755" s="75" t="str">
        <f>IF(OR(TH!N5427=TH!$X$7,O4755=TH!$X$7),"x","")</f>
        <v/>
      </c>
      <c r="Y4755" s="75" t="str">
        <f>IF(AND(OR(N4755="131",O4755="131"),H4755='131-CT'!$H$9),"x","")</f>
        <v/>
      </c>
      <c r="Z4755" s="75"/>
      <c r="AA4755" s="75" t="str">
        <f>IF(AND(MONTH(E4755)='IN-NX'!$J$5,'IN-NX'!$D$7=D4755),"x","")</f>
        <v/>
      </c>
      <c r="AB4755" s="75" t="str">
        <f>IF(AND(OR(LEFT(TH!N5427,2)="15",LEFT(TH!O5427,2)="15"),LEFT(TH!O5427,3)&lt;&gt;"111",'152-CT'!$J$8=TH!F5427),"x","")</f>
        <v/>
      </c>
      <c r="AC4755" s="75" t="str">
        <f>IF(AND(OR(LEFT(TH!N5427,2)="15",LEFT(TH!O5427,2)="15"),TK!$E$7=TH!F5427),"x","")</f>
        <v/>
      </c>
      <c r="AD4755" s="75" t="str">
        <f>IF(AND(N4755="1521",MONTH(C4755)='BK-NL'!$M$11),"x","")</f>
        <v/>
      </c>
      <c r="AE4755">
        <v>8</v>
      </c>
    </row>
    <row r="4756" spans="1:33" ht="16.5" customHeight="1">
      <c r="A4756" s="309" t="str">
        <f>IF(B4756&lt;&gt;"",IF(AND(B4756='IN-TC'!$S$4,OR(TH!N4746="1111",TH!O4746="1111")),TH!D4746,""),"")</f>
        <v/>
      </c>
      <c r="B4756" s="1129">
        <f t="shared" si="1334"/>
        <v>8</v>
      </c>
      <c r="C4756" s="292">
        <f t="shared" si="1333"/>
        <v>42972</v>
      </c>
      <c r="D4756" s="59" t="s">
        <v>902</v>
      </c>
      <c r="E4756" s="59">
        <v>42972</v>
      </c>
      <c r="F4756" s="67" t="s">
        <v>1549</v>
      </c>
      <c r="G4756" s="62" t="s">
        <v>747</v>
      </c>
      <c r="H4756" s="67" t="s">
        <v>835</v>
      </c>
      <c r="I4756" s="373"/>
      <c r="J4756" s="379"/>
      <c r="K4756" s="379"/>
      <c r="L4756" s="379"/>
      <c r="M4756" s="379">
        <v>3196206</v>
      </c>
      <c r="N4756" s="61" t="s">
        <v>101</v>
      </c>
      <c r="O4756" s="61" t="s">
        <v>26</v>
      </c>
      <c r="P4756" s="75" t="str">
        <f>IF(AND('331-CT'!$E$7=TH!H5428,OR(N4756="331",O4756="331")),"x","")</f>
        <v/>
      </c>
      <c r="Q4756" s="75" t="str">
        <f>IF(AND(B4756='111'!$L$11,OR($N4756=$Q$7,$O4756=$Q$7)),"x","")</f>
        <v/>
      </c>
      <c r="R4756" s="75" t="str">
        <f>IF(AND($N4756=$Q$7,$B4756&lt;'111'!$L$11),"x","")</f>
        <v/>
      </c>
      <c r="S4756" s="75" t="str">
        <f>IF(AND($O4756=$Q$7,$B4756&lt;'111'!$L$11),"x","")</f>
        <v/>
      </c>
      <c r="T4756" s="75" t="str">
        <f>IF(ISERROR(FIND('112'!$M$9,G4756,1)),"",IF((AND(FIND('112'!$M$9,G4756,1)&gt;=1,B4756='112'!$K$9,OR($N4756='112'!$I$6,$O4756='112'!$I$6))),"x",""))</f>
        <v/>
      </c>
      <c r="U4756" s="75" t="str">
        <f>IF(ISERROR(FIND('112'!$M$9,G4756,1)),"",IF((AND(LEFT(G4756,2)=LEFT('112'!$M$9,2),B4756&lt;'112'!$K$9,$N4756='112'!$I$6)),"x",""))</f>
        <v/>
      </c>
      <c r="V4756" s="75" t="str">
        <f>IF(ISERROR(FIND('112'!$M$9,G4756,1)),"",IF((AND(RIGHT(G4756,2)=RIGHT('112'!$M$9,2),B4756&lt;'112'!$K$9,$O4756='112'!$I$6)),"x",""))</f>
        <v/>
      </c>
      <c r="W4756" s="75" t="str">
        <f>IF(AND('341-CT'!$H$9=H4756,OR(LEFT(N4756,3)=$W$7,LEFT(O4756,3)=$W$7)),"x","")</f>
        <v/>
      </c>
      <c r="X4756" s="75" t="str">
        <f>IF(OR(TH!N5428=TH!$X$7,O4756=TH!$X$7),"x","")</f>
        <v/>
      </c>
      <c r="Y4756" s="75" t="str">
        <f>IF(AND(OR(N4756="131",O4756="131"),H4756='131-CT'!$H$9),"x","")</f>
        <v/>
      </c>
      <c r="Z4756" s="75"/>
      <c r="AA4756" s="75" t="str">
        <f>IF(AND(MONTH(E4756)='IN-NX'!$J$5,'IN-NX'!$D$7=D4756),"x","")</f>
        <v/>
      </c>
      <c r="AB4756" s="75" t="str">
        <f>IF(AND(OR(LEFT(TH!N5428,2)="15",LEFT(TH!O5428,2)="15"),LEFT(TH!O5428,3)&lt;&gt;"111",'152-CT'!$J$8=TH!F5428),"x","")</f>
        <v/>
      </c>
      <c r="AC4756" s="75" t="str">
        <f>IF(AND(OR(LEFT(TH!N5428,2)="15",LEFT(TH!O5428,2)="15"),TK!$E$7=TH!F5428),"x","")</f>
        <v/>
      </c>
      <c r="AD4756" s="75" t="str">
        <f>IF(AND(N4756="1521",MONTH(C4756)='BK-NL'!$M$11),"x","")</f>
        <v/>
      </c>
      <c r="AE4756">
        <v>8</v>
      </c>
    </row>
    <row r="4757" spans="1:33" s="1053" customFormat="1" ht="16.5" customHeight="1">
      <c r="A4757" s="309" t="str">
        <f>IF(B4757&lt;&gt;"",IF(AND(B4757='IN-TC'!$S$4,OR(TH!N4747="1111",TH!O4747="1111")),TH!D4747,""),"")</f>
        <v/>
      </c>
      <c r="B4757" s="1129">
        <f t="shared" si="1334"/>
        <v>8</v>
      </c>
      <c r="C4757" s="292">
        <f t="shared" si="1333"/>
        <v>42972</v>
      </c>
      <c r="D4757" s="59" t="s">
        <v>902</v>
      </c>
      <c r="E4757" s="59">
        <v>42972</v>
      </c>
      <c r="F4757" s="67" t="s">
        <v>1552</v>
      </c>
      <c r="G4757" s="62" t="s">
        <v>747</v>
      </c>
      <c r="H4757" s="67" t="s">
        <v>835</v>
      </c>
      <c r="I4757" s="373"/>
      <c r="J4757" s="379"/>
      <c r="K4757" s="379"/>
      <c r="L4757" s="379"/>
      <c r="M4757" s="379">
        <v>319621</v>
      </c>
      <c r="N4757" s="61" t="s">
        <v>9</v>
      </c>
      <c r="O4757" s="61" t="s">
        <v>26</v>
      </c>
      <c r="P4757" s="75" t="str">
        <f>IF(AND('331-CT'!$E$7=TH!H5429,OR(N4757="331",O4757="331")),"x","")</f>
        <v/>
      </c>
      <c r="Q4757" s="75" t="str">
        <f>IF(AND(B4757='111'!$L$11,OR($N4757=$Q$7,$O4757=$Q$7)),"x","")</f>
        <v/>
      </c>
      <c r="R4757" s="75" t="str">
        <f>IF(AND($N4757=$Q$7,$B4757&lt;'111'!$L$11),"x","")</f>
        <v/>
      </c>
      <c r="S4757" s="75" t="str">
        <f>IF(AND($O4757=$Q$7,$B4757&lt;'111'!$L$11),"x","")</f>
        <v/>
      </c>
      <c r="T4757" s="75" t="str">
        <f>IF(ISERROR(FIND('112'!$M$9,G4757,1)),"",IF((AND(FIND('112'!$M$9,G4757,1)&gt;=1,B4757='112'!$K$9,OR($N4757='112'!$I$6,$O4757='112'!$I$6))),"x",""))</f>
        <v/>
      </c>
      <c r="U4757" s="75" t="str">
        <f>IF(ISERROR(FIND('112'!$M$9,G4757,1)),"",IF((AND(LEFT(G4757,2)=LEFT('112'!$M$9,2),B4757&lt;'112'!$K$9,$N4757='112'!$I$6)),"x",""))</f>
        <v/>
      </c>
      <c r="V4757" s="75" t="str">
        <f>IF(ISERROR(FIND('112'!$M$9,G4757,1)),"",IF((AND(RIGHT(G4757,2)=RIGHT('112'!$M$9,2),B4757&lt;'112'!$K$9,$O4757='112'!$I$6)),"x",""))</f>
        <v/>
      </c>
      <c r="W4757" s="75" t="str">
        <f>IF(AND('341-CT'!$H$9=H4757,OR(LEFT(N4757,3)=$W$7,LEFT(O4757,3)=$W$7)),"x","")</f>
        <v/>
      </c>
      <c r="X4757" s="75" t="str">
        <f>IF(OR(TH!N5429=TH!$X$7,O4757=TH!$X$7),"x","")</f>
        <v/>
      </c>
      <c r="Y4757" s="75" t="str">
        <f>IF(AND(OR(N4757="131",O4757="131"),H4757='131-CT'!$H$9),"x","")</f>
        <v/>
      </c>
      <c r="Z4757" s="75"/>
      <c r="AA4757" s="75" t="str">
        <f>IF(AND(MONTH(E4757)='IN-NX'!$J$5,'IN-NX'!$D$7=D4757),"x","")</f>
        <v/>
      </c>
      <c r="AB4757" s="75" t="str">
        <f>IF(AND(OR(LEFT(TH!N5429,2)="15",LEFT(TH!O5429,2)="15"),LEFT(TH!O5429,3)&lt;&gt;"111",'152-CT'!$J$8=TH!F5429),"x","")</f>
        <v/>
      </c>
      <c r="AC4757" s="75" t="str">
        <f>IF(AND(OR(LEFT(TH!N5429,2)="15",LEFT(TH!O5429,2)="15"),TK!$E$7=TH!F5429),"x","")</f>
        <v/>
      </c>
      <c r="AD4757" s="75" t="str">
        <f>IF(AND(N4757="1521",MONTH(C4757)='BK-NL'!$M$11),"x","")</f>
        <v/>
      </c>
      <c r="AE4757">
        <v>8</v>
      </c>
      <c r="AF4757"/>
      <c r="AG4757"/>
    </row>
    <row r="4758" spans="1:33" s="1053" customFormat="1" ht="16.5" customHeight="1">
      <c r="A4758" s="309" t="str">
        <f>IF(B4758&lt;&gt;"",IF(AND(B4758='IN-TC'!$S$4,OR(TH!N4748="1111",TH!O4748="1111")),TH!D4748,""),"")</f>
        <v/>
      </c>
      <c r="B4758" s="1129">
        <f t="shared" si="1334"/>
        <v>8</v>
      </c>
      <c r="C4758" s="292">
        <f t="shared" si="1333"/>
        <v>42972</v>
      </c>
      <c r="D4758" s="59" t="s">
        <v>902</v>
      </c>
      <c r="E4758" s="59">
        <v>42972</v>
      </c>
      <c r="F4758" s="67" t="s">
        <v>2031</v>
      </c>
      <c r="G4758" s="62" t="s">
        <v>747</v>
      </c>
      <c r="H4758" s="67" t="s">
        <v>739</v>
      </c>
      <c r="I4758" s="373"/>
      <c r="J4758" s="379"/>
      <c r="K4758" s="373"/>
      <c r="L4758" s="379"/>
      <c r="M4758" s="60">
        <v>30219420</v>
      </c>
      <c r="N4758" s="61" t="s">
        <v>8</v>
      </c>
      <c r="O4758" s="61" t="s">
        <v>26</v>
      </c>
      <c r="P4758" s="75" t="str">
        <f>IF(AND('331-CT'!$E$7=TH!H5430,OR(N4758="331",O4758="331")),"x","")</f>
        <v/>
      </c>
      <c r="Q4758" s="75" t="str">
        <f>IF(AND(B4758='111'!$L$11,OR($N4758=$Q$7,$O4758=$Q$7)),"x","")</f>
        <v/>
      </c>
      <c r="R4758" s="75" t="str">
        <f>IF(AND($N4758=$Q$7,$B4758&lt;'111'!$L$11),"x","")</f>
        <v/>
      </c>
      <c r="S4758" s="75" t="str">
        <f>IF(AND($O4758=$Q$7,$B4758&lt;'111'!$L$11),"x","")</f>
        <v/>
      </c>
      <c r="T4758" s="75" t="str">
        <f>IF(ISERROR(FIND('112'!$M$9,G4758,1)),"",IF((AND(FIND('112'!$M$9,G4758,1)&gt;=1,B4758='112'!$K$9,OR($N4758='112'!$I$6,$O4758='112'!$I$6))),"x",""))</f>
        <v/>
      </c>
      <c r="U4758" s="75" t="str">
        <f>IF(ISERROR(FIND('112'!$M$9,G4758,1)),"",IF((AND(LEFT(G4758,2)=LEFT('112'!$M$9,2),B4758&lt;'112'!$K$9,$N4758='112'!$I$6)),"x",""))</f>
        <v/>
      </c>
      <c r="V4758" s="75" t="str">
        <f>IF(ISERROR(FIND('112'!$M$9,G4758,1)),"",IF((AND(RIGHT(G4758,2)=RIGHT('112'!$M$9,2),B4758&lt;'112'!$K$9,$O4758='112'!$I$6)),"x",""))</f>
        <v/>
      </c>
      <c r="W4758" s="75" t="str">
        <f>IF(AND('341-CT'!$H$9=H4758,OR(LEFT(N4758,3)=$W$7,LEFT(O4758,3)=$W$7)),"x","")</f>
        <v/>
      </c>
      <c r="X4758" s="75" t="str">
        <f>IF(OR(TH!N5430=TH!$X$7,O4758=TH!$X$7),"x","")</f>
        <v/>
      </c>
      <c r="Y4758" s="75" t="str">
        <f>IF(AND(OR(N4758="131",O4758="131"),H4758='131-CT'!$H$9),"x","")</f>
        <v/>
      </c>
      <c r="Z4758" s="75"/>
      <c r="AA4758" s="75" t="str">
        <f>IF(AND(MONTH(E4758)='IN-NX'!$J$5,'IN-NX'!$D$7=D4758),"x","")</f>
        <v/>
      </c>
      <c r="AB4758" s="75" t="str">
        <f>IF(AND(OR(LEFT(TH!N5430,2)="15",LEFT(TH!O5430,2)="15"),LEFT(TH!O5430,3)&lt;&gt;"111",'152-CT'!$J$8=TH!F5430),"x","")</f>
        <v/>
      </c>
      <c r="AC4758" s="75" t="str">
        <f>IF(AND(OR(LEFT(TH!N5430,2)="15",LEFT(TH!O5430,2)="15"),TK!$E$7=TH!F5430),"x","")</f>
        <v/>
      </c>
      <c r="AD4758" s="75" t="str">
        <f>IF(AND(N4758="1521",MONTH(C4758)='BK-NL'!$M$11),"x","")</f>
        <v/>
      </c>
      <c r="AE4758"/>
      <c r="AF4758"/>
      <c r="AG4758"/>
    </row>
    <row r="4759" spans="1:33" ht="16.5" customHeight="1">
      <c r="A4759" s="309" t="str">
        <f>IF(B4759&lt;&gt;"",IF(AND(B4759='IN-TC'!$S$4,OR(TH!N4749="1111",TH!O4749="1111")),TH!D4749,""),"")</f>
        <v/>
      </c>
      <c r="B4759" s="1129">
        <f t="shared" si="1334"/>
        <v>8</v>
      </c>
      <c r="C4759" s="292">
        <f t="shared" si="1333"/>
        <v>42972</v>
      </c>
      <c r="D4759" s="59" t="s">
        <v>902</v>
      </c>
      <c r="E4759" s="59">
        <v>42972</v>
      </c>
      <c r="F4759" s="62" t="s">
        <v>1307</v>
      </c>
      <c r="G4759" s="62" t="s">
        <v>747</v>
      </c>
      <c r="H4759" s="67" t="s">
        <v>835</v>
      </c>
      <c r="I4759" s="375"/>
      <c r="J4759" s="381"/>
      <c r="K4759" s="60"/>
      <c r="L4759" s="381"/>
      <c r="M4759" s="60">
        <v>10000</v>
      </c>
      <c r="N4759" s="61" t="s">
        <v>101</v>
      </c>
      <c r="O4759" s="61" t="s">
        <v>26</v>
      </c>
      <c r="P4759" s="75" t="str">
        <f>IF(AND('331-CT'!$E$7=TH!H5431,OR(N4759="331",O4759="331")),"x","")</f>
        <v/>
      </c>
      <c r="Q4759" s="75" t="str">
        <f>IF(AND(B4759='111'!$L$11,OR($N4759=$Q$7,$O4759=$Q$7)),"x","")</f>
        <v/>
      </c>
      <c r="R4759" s="75" t="str">
        <f>IF(AND($N4759=$Q$7,$B4759&lt;'111'!$L$11),"x","")</f>
        <v/>
      </c>
      <c r="S4759" s="75" t="str">
        <f>IF(AND($O4759=$Q$7,$B4759&lt;'111'!$L$11),"x","")</f>
        <v/>
      </c>
      <c r="T4759" s="75" t="str">
        <f>IF(ISERROR(FIND('112'!$M$9,G4759,1)),"",IF((AND(FIND('112'!$M$9,G4759,1)&gt;=1,B4759='112'!$K$9,OR($N4759='112'!$I$6,$O4759='112'!$I$6))),"x",""))</f>
        <v/>
      </c>
      <c r="U4759" s="75" t="str">
        <f>IF(ISERROR(FIND('112'!$M$9,G4759,1)),"",IF((AND(LEFT(G4759,2)=LEFT('112'!$M$9,2),B4759&lt;'112'!$K$9,$N4759='112'!$I$6)),"x",""))</f>
        <v/>
      </c>
      <c r="V4759" s="75" t="str">
        <f>IF(ISERROR(FIND('112'!$M$9,G4759,1)),"",IF((AND(RIGHT(G4759,2)=RIGHT('112'!$M$9,2),B4759&lt;'112'!$K$9,$O4759='112'!$I$6)),"x",""))</f>
        <v/>
      </c>
      <c r="W4759" s="75" t="str">
        <f>IF(AND('341-CT'!$H$9=H4759,OR(LEFT(N4759,3)=$W$7,LEFT(O4759,3)=$W$7)),"x","")</f>
        <v/>
      </c>
      <c r="X4759" s="75" t="str">
        <f>IF(OR(TH!N5431=TH!$X$7,O4759=TH!$X$7),"x","")</f>
        <v/>
      </c>
      <c r="Y4759" s="75" t="str">
        <f>IF(AND(OR(N4759="131",O4759="131"),H4759='131-CT'!$H$9),"x","")</f>
        <v/>
      </c>
      <c r="Z4759" s="75"/>
      <c r="AA4759" s="75" t="str">
        <f>IF(AND(MONTH(E4759)='IN-NX'!$J$5,'IN-NX'!$D$7=D4759),"x","")</f>
        <v/>
      </c>
      <c r="AB4759" s="75" t="str">
        <f>IF(AND(OR(LEFT(TH!N5431,2)="15",LEFT(TH!O5431,2)="15"),LEFT(TH!O5431,3)&lt;&gt;"111",'152-CT'!$J$8=TH!F5431),"x","")</f>
        <v/>
      </c>
      <c r="AC4759" s="75" t="str">
        <f>IF(AND(OR(LEFT(TH!N5431,2)="15",LEFT(TH!O5431,2)="15"),TK!$E$7=TH!F5431),"x","")</f>
        <v/>
      </c>
      <c r="AD4759" s="75" t="str">
        <f>IF(AND(N4759="1521",MONTH(C4759)='BK-NL'!$M$11),"x","")</f>
        <v/>
      </c>
      <c r="AE4759">
        <v>8</v>
      </c>
    </row>
    <row r="4760" spans="1:33" ht="16.5" customHeight="1">
      <c r="A4760" s="309" t="str">
        <f>IF(B4760&lt;&gt;"",IF(AND(B4760='IN-TC'!$S$4,OR(TH!N4750="1111",TH!O4750="1111")),TH!D4750,""),"")</f>
        <v/>
      </c>
      <c r="B4760" s="1129">
        <f t="shared" si="1334"/>
        <v>8</v>
      </c>
      <c r="C4760" s="292">
        <f t="shared" si="1333"/>
        <v>42972</v>
      </c>
      <c r="D4760" s="59" t="s">
        <v>902</v>
      </c>
      <c r="E4760" s="59">
        <v>42972</v>
      </c>
      <c r="F4760" s="62" t="s">
        <v>1314</v>
      </c>
      <c r="G4760" s="62" t="s">
        <v>747</v>
      </c>
      <c r="H4760" s="67" t="s">
        <v>835</v>
      </c>
      <c r="I4760" s="375"/>
      <c r="J4760" s="381"/>
      <c r="K4760" s="375"/>
      <c r="L4760" s="381"/>
      <c r="M4760" s="60">
        <v>1000</v>
      </c>
      <c r="N4760" s="61" t="s">
        <v>9</v>
      </c>
      <c r="O4760" s="61" t="s">
        <v>26</v>
      </c>
      <c r="P4760" s="75" t="str">
        <f>IF(AND('331-CT'!$E$7=TH!H5432,OR(N4760="331",O4760="331")),"x","")</f>
        <v/>
      </c>
      <c r="Q4760" s="75" t="str">
        <f>IF(AND(B4760='111'!$L$11,OR($N4760=$Q$7,$O4760=$Q$7)),"x","")</f>
        <v/>
      </c>
      <c r="R4760" s="75" t="str">
        <f>IF(AND($N4760=$Q$7,$B4760&lt;'111'!$L$11),"x","")</f>
        <v/>
      </c>
      <c r="S4760" s="75" t="str">
        <f>IF(AND($O4760=$Q$7,$B4760&lt;'111'!$L$11),"x","")</f>
        <v/>
      </c>
      <c r="T4760" s="75" t="str">
        <f>IF(ISERROR(FIND('112'!$M$9,G4760,1)),"",IF((AND(FIND('112'!$M$9,G4760,1)&gt;=1,B4760='112'!$K$9,OR($N4760='112'!$I$6,$O4760='112'!$I$6))),"x",""))</f>
        <v/>
      </c>
      <c r="U4760" s="75" t="str">
        <f>IF(ISERROR(FIND('112'!$M$9,G4760,1)),"",IF((AND(LEFT(G4760,2)=LEFT('112'!$M$9,2),B4760&lt;'112'!$K$9,$N4760='112'!$I$6)),"x",""))</f>
        <v/>
      </c>
      <c r="V4760" s="75" t="str">
        <f>IF(ISERROR(FIND('112'!$M$9,G4760,1)),"",IF((AND(RIGHT(G4760,2)=RIGHT('112'!$M$9,2),B4760&lt;'112'!$K$9,$O4760='112'!$I$6)),"x",""))</f>
        <v/>
      </c>
      <c r="W4760" s="75" t="str">
        <f>IF(AND('341-CT'!$H$9=H4760,OR(LEFT(N4760,3)=$W$7,LEFT(O4760,3)=$W$7)),"x","")</f>
        <v/>
      </c>
      <c r="X4760" s="75" t="str">
        <f>IF(OR(TH!N5432=TH!$X$7,O4760=TH!$X$7),"x","")</f>
        <v/>
      </c>
      <c r="Y4760" s="75" t="str">
        <f>IF(AND(OR(N4760="131",O4760="131"),H4760='131-CT'!$H$9),"x","")</f>
        <v/>
      </c>
      <c r="Z4760" s="75"/>
      <c r="AA4760" s="75" t="str">
        <f>IF(AND(MONTH(E4760)='IN-NX'!$J$5,'IN-NX'!$D$7=D4760),"x","")</f>
        <v/>
      </c>
      <c r="AB4760" s="75" t="str">
        <f>IF(AND(OR(LEFT(TH!N5432,2)="15",LEFT(TH!O5432,2)="15"),LEFT(TH!O5432,3)&lt;&gt;"111",'152-CT'!$J$8=TH!F5432),"x","")</f>
        <v/>
      </c>
      <c r="AC4760" s="75" t="str">
        <f>IF(AND(OR(LEFT(TH!N5432,2)="15",LEFT(TH!O5432,2)="15"),TK!$E$7=TH!F5432),"x","")</f>
        <v/>
      </c>
      <c r="AD4760" s="75" t="str">
        <f>IF(AND(N4760="1521",MONTH(C4760)='BK-NL'!$M$11),"x","")</f>
        <v/>
      </c>
      <c r="AE4760">
        <v>8</v>
      </c>
    </row>
    <row r="4761" spans="1:33" ht="16.5" customHeight="1">
      <c r="A4761" s="309" t="str">
        <f>IF(B4761&lt;&gt;"",IF(AND(B4761='IN-TC'!$S$4,OR(TH!N4751="1111",TH!O4751="1111")),TH!D4751,""),"")</f>
        <v/>
      </c>
      <c r="B4761" s="1129">
        <f t="shared" si="1334"/>
        <v>8</v>
      </c>
      <c r="C4761" s="292">
        <f t="shared" si="1333"/>
        <v>42975</v>
      </c>
      <c r="D4761" s="292"/>
      <c r="E4761" s="292">
        <v>42975</v>
      </c>
      <c r="F4761" s="293" t="s">
        <v>1029</v>
      </c>
      <c r="G4761" s="925"/>
      <c r="H4761" s="294" t="s">
        <v>948</v>
      </c>
      <c r="I4761" s="373"/>
      <c r="J4761" s="926"/>
      <c r="K4761" s="373"/>
      <c r="L4761" s="379"/>
      <c r="M4761" s="927">
        <v>3309091</v>
      </c>
      <c r="N4761" s="295" t="s">
        <v>101</v>
      </c>
      <c r="O4761" s="295" t="s">
        <v>63</v>
      </c>
      <c r="P4761" s="75" t="str">
        <f>IF(AND('331-CT'!$E$7=TH!H3852,OR(N4761="331",O4761="331")),"x","")</f>
        <v/>
      </c>
      <c r="Q4761" s="75" t="str">
        <f>IF(AND(B4761='111'!$L$11,OR($N4761=$Q$7,$O4761=$Q$7)),"x","")</f>
        <v/>
      </c>
      <c r="R4761" s="75" t="str">
        <f>IF(AND($N4761=$Q$7,$B4761&lt;'111'!$L$11),"x","")</f>
        <v/>
      </c>
      <c r="S4761" s="75" t="str">
        <f>IF(AND($O4761=$Q$7,$B4761&lt;'111'!$L$11),"x","")</f>
        <v>x</v>
      </c>
      <c r="T4761" s="75" t="str">
        <f>IF(ISERROR(FIND('112'!$M$9,G4761,1)),"",IF((AND(FIND('112'!$M$9,G4761,1)&gt;=1,B4761='112'!$K$9,OR($N4761='112'!$I$6,$O4761='112'!$I$6))),"x",""))</f>
        <v/>
      </c>
      <c r="U4761" s="75" t="str">
        <f>IF(ISERROR(FIND('112'!$M$9,G4761,1)),"",IF((AND(LEFT(G4761,2)=LEFT('112'!$M$9,2),B4761&lt;'112'!$K$9,$N4761='112'!$I$6)),"x",""))</f>
        <v/>
      </c>
      <c r="V4761" s="75" t="str">
        <f>IF(ISERROR(FIND('112'!$M$9,G4761,1)),"",IF((AND(RIGHT(G4761,2)=RIGHT('112'!$M$9,2),B4761&lt;'112'!$K$9,$O4761='112'!$I$6)),"x",""))</f>
        <v/>
      </c>
      <c r="W4761" s="75" t="str">
        <f>IF(AND('341-CT'!$H$9=H4761,OR(LEFT(N4761,3)=$W$7,LEFT(O4761,3)=$W$7)),"x","")</f>
        <v/>
      </c>
      <c r="X4761" s="75" t="str">
        <f>IF(OR(TH!N3852=TH!$X$7,O4761=TH!$X$7),"x","")</f>
        <v/>
      </c>
      <c r="Y4761" s="75" t="str">
        <f>IF(AND(OR(N4761="131",O4761="131"),H4761='131-CT'!$H$9),"x","")</f>
        <v/>
      </c>
      <c r="Z4761" s="75"/>
      <c r="AA4761" s="75" t="str">
        <f>IF(AND(MONTH(E4761)='IN-NX'!$J$5,'IN-NX'!$D$7=D4761),"x","")</f>
        <v/>
      </c>
      <c r="AB4761" s="75" t="str">
        <f>IF(AND(OR(LEFT(TH!N3852,2)="15",LEFT(TH!O3852,2)="15"),LEFT(TH!O3852,3)&lt;&gt;"111",'152-CT'!$J$8=TH!F3852),"x","")</f>
        <v/>
      </c>
      <c r="AC4761" s="75" t="str">
        <f>IF(AND(OR(LEFT(TH!N3852,2)="15",LEFT(TH!O3852,2)="15"),TK!$E$7=TH!F3852),"x","")</f>
        <v/>
      </c>
      <c r="AD4761" s="75" t="str">
        <f>IF(AND(N4761="1521",MONTH(C4761)='BK-NL'!$M$11),"x","")</f>
        <v/>
      </c>
      <c r="AE4761">
        <v>10</v>
      </c>
    </row>
    <row r="4762" spans="1:33" ht="16.5" customHeight="1">
      <c r="A4762" s="309" t="str">
        <f>IF(B4762&lt;&gt;"",IF(AND(B4762='IN-TC'!$S$4,OR(TH!N4752="1111",TH!O4752="1111")),TH!D4752,""),"")</f>
        <v/>
      </c>
      <c r="B4762" s="1129">
        <f t="shared" si="1334"/>
        <v>8</v>
      </c>
      <c r="C4762" s="292">
        <f t="shared" si="1333"/>
        <v>42975</v>
      </c>
      <c r="D4762" s="292"/>
      <c r="E4762" s="292">
        <v>42975</v>
      </c>
      <c r="F4762" s="293" t="s">
        <v>1030</v>
      </c>
      <c r="G4762" s="925"/>
      <c r="H4762" s="294" t="s">
        <v>948</v>
      </c>
      <c r="I4762" s="373"/>
      <c r="J4762" s="926"/>
      <c r="K4762" s="373"/>
      <c r="L4762" s="379"/>
      <c r="M4762" s="927">
        <v>330909</v>
      </c>
      <c r="N4762" s="295" t="s">
        <v>9</v>
      </c>
      <c r="O4762" s="295" t="s">
        <v>63</v>
      </c>
      <c r="P4762" s="75" t="str">
        <f>IF(AND('331-CT'!$E$7=TH!H3853,OR(N4762="331",O4762="331")),"x","")</f>
        <v/>
      </c>
      <c r="Q4762" s="75" t="str">
        <f>IF(AND(B4762='111'!$L$11,OR($N4762=$Q$7,$O4762=$Q$7)),"x","")</f>
        <v/>
      </c>
      <c r="R4762" s="75" t="str">
        <f>IF(AND($N4762=$Q$7,$B4762&lt;'111'!$L$11),"x","")</f>
        <v/>
      </c>
      <c r="S4762" s="75" t="str">
        <f>IF(AND($O4762=$Q$7,$B4762&lt;'111'!$L$11),"x","")</f>
        <v>x</v>
      </c>
      <c r="T4762" s="75" t="str">
        <f>IF(ISERROR(FIND('112'!$M$9,G4762,1)),"",IF((AND(FIND('112'!$M$9,G4762,1)&gt;=1,B4762='112'!$K$9,OR($N4762='112'!$I$6,$O4762='112'!$I$6))),"x",""))</f>
        <v/>
      </c>
      <c r="U4762" s="75" t="str">
        <f>IF(ISERROR(FIND('112'!$M$9,G4762,1)),"",IF((AND(LEFT(G4762,2)=LEFT('112'!$M$9,2),B4762&lt;'112'!$K$9,$N4762='112'!$I$6)),"x",""))</f>
        <v/>
      </c>
      <c r="V4762" s="75" t="str">
        <f>IF(ISERROR(FIND('112'!$M$9,G4762,1)),"",IF((AND(RIGHT(G4762,2)=RIGHT('112'!$M$9,2),B4762&lt;'112'!$K$9,$O4762='112'!$I$6)),"x",""))</f>
        <v/>
      </c>
      <c r="W4762" s="75" t="str">
        <f>IF(AND('341-CT'!$H$9=H4762,OR(LEFT(N4762,3)=$W$7,LEFT(O4762,3)=$W$7)),"x","")</f>
        <v/>
      </c>
      <c r="X4762" s="75" t="str">
        <f>IF(OR(TH!N3853=TH!$X$7,O4762=TH!$X$7),"x","")</f>
        <v/>
      </c>
      <c r="Y4762" s="75" t="str">
        <f>IF(AND(OR(N4762="131",O4762="131"),H4762='131-CT'!$H$9),"x","")</f>
        <v/>
      </c>
      <c r="Z4762" s="75"/>
      <c r="AA4762" s="75" t="str">
        <f>IF(AND(MONTH(E4762)='IN-NX'!$J$5,'IN-NX'!$D$7=D4762),"x","")</f>
        <v/>
      </c>
      <c r="AB4762" s="75" t="str">
        <f>IF(AND(OR(LEFT(TH!N3853,2)="15",LEFT(TH!O3853,2)="15"),LEFT(TH!O3853,3)&lt;&gt;"111",'152-CT'!$J$8=TH!F3853),"x","")</f>
        <v/>
      </c>
      <c r="AC4762" s="75" t="str">
        <f>IF(AND(OR(LEFT(TH!N3853,2)="15",LEFT(TH!O3853,2)="15"),TK!$E$7=TH!F3853),"x","")</f>
        <v/>
      </c>
      <c r="AD4762" s="75" t="str">
        <f>IF(AND(N4762="1521",MONTH(C4762)='BK-NL'!$M$11),"x","")</f>
        <v/>
      </c>
      <c r="AE4762">
        <v>10</v>
      </c>
    </row>
    <row r="4763" spans="1:33" ht="16.5" customHeight="1">
      <c r="A4763" s="309" t="str">
        <f>IF(B4763&lt;&gt;"",IF(AND(B4763='IN-TC'!$S$4,OR(TH!N4753="1111",TH!O4753="1111")),TH!D4753,""),"")</f>
        <v/>
      </c>
      <c r="B4763" s="1129">
        <f t="shared" si="1334"/>
        <v>8</v>
      </c>
      <c r="C4763" s="292">
        <f t="shared" si="1333"/>
        <v>42975</v>
      </c>
      <c r="D4763" s="292"/>
      <c r="E4763" s="292">
        <v>42975</v>
      </c>
      <c r="F4763" s="293" t="s">
        <v>2083</v>
      </c>
      <c r="G4763" s="925" t="s">
        <v>2085</v>
      </c>
      <c r="H4763" s="294" t="s">
        <v>974</v>
      </c>
      <c r="I4763" s="373"/>
      <c r="J4763" s="926"/>
      <c r="K4763" s="373"/>
      <c r="L4763" s="379"/>
      <c r="M4763" s="927">
        <v>11500000</v>
      </c>
      <c r="N4763" s="295" t="s">
        <v>101</v>
      </c>
      <c r="O4763" s="295" t="s">
        <v>63</v>
      </c>
      <c r="P4763" s="75" t="str">
        <f>IF(AND('331-CT'!$E$7=TH!H3854,OR(N4763="331",O4763="331")),"x","")</f>
        <v/>
      </c>
      <c r="Q4763" s="75" t="str">
        <f>IF(AND(B4763='111'!$L$11,OR($N4763=$Q$7,$O4763=$Q$7)),"x","")</f>
        <v/>
      </c>
      <c r="R4763" s="75" t="str">
        <f>IF(AND($N4763=$Q$7,$B4763&lt;'111'!$L$11),"x","")</f>
        <v/>
      </c>
      <c r="S4763" s="75" t="str">
        <f>IF(AND($O4763=$Q$7,$B4763&lt;'111'!$L$11),"x","")</f>
        <v>x</v>
      </c>
      <c r="T4763" s="75" t="str">
        <f>IF(ISERROR(FIND('112'!$M$9,G4763,1)),"",IF((AND(FIND('112'!$M$9,G4763,1)&gt;=1,B4763='112'!$K$9,OR($N4763='112'!$I$6,$O4763='112'!$I$6))),"x",""))</f>
        <v/>
      </c>
      <c r="U4763" s="75" t="str">
        <f>IF(ISERROR(FIND('112'!$M$9,G4763,1)),"",IF((AND(LEFT(G4763,2)=LEFT('112'!$M$9,2),B4763&lt;'112'!$K$9,$N4763='112'!$I$6)),"x",""))</f>
        <v/>
      </c>
      <c r="V4763" s="75" t="str">
        <f>IF(ISERROR(FIND('112'!$M$9,G4763,1)),"",IF((AND(RIGHT(G4763,2)=RIGHT('112'!$M$9,2),B4763&lt;'112'!$K$9,$O4763='112'!$I$6)),"x",""))</f>
        <v/>
      </c>
      <c r="W4763" s="75" t="str">
        <f>IF(AND('341-CT'!$H$9=H4763,OR(LEFT(N4763,3)=$W$7,LEFT(O4763,3)=$W$7)),"x","")</f>
        <v/>
      </c>
      <c r="X4763" s="75" t="str">
        <f>IF(OR(TH!N3854=TH!$X$7,O4763=TH!$X$7),"x","")</f>
        <v/>
      </c>
      <c r="Y4763" s="75" t="str">
        <f>IF(AND(OR(N4763="131",O4763="131"),H4763='131-CT'!$H$9),"x","")</f>
        <v/>
      </c>
      <c r="Z4763" s="75"/>
      <c r="AA4763" s="75" t="str">
        <f>IF(AND(MONTH(E4763)='IN-NX'!$J$5,'IN-NX'!$D$7=D4763),"x","")</f>
        <v/>
      </c>
      <c r="AB4763" s="75" t="str">
        <f>IF(AND(OR(LEFT(TH!N3854,2)="15",LEFT(TH!O3854,2)="15"),LEFT(TH!O3854,3)&lt;&gt;"111",'152-CT'!$J$8=TH!F3854),"x","")</f>
        <v/>
      </c>
      <c r="AC4763" s="75" t="str">
        <f>IF(AND(OR(LEFT(TH!N3854,2)="15",LEFT(TH!O3854,2)="15"),TK!$E$7=TH!F3854),"x","")</f>
        <v/>
      </c>
      <c r="AD4763" s="75" t="str">
        <f>IF(AND(N4763="1521",MONTH(C4763)='BK-NL'!$M$11),"x","")</f>
        <v/>
      </c>
      <c r="AE4763">
        <v>8</v>
      </c>
    </row>
    <row r="4764" spans="1:33" ht="16.5" customHeight="1">
      <c r="A4764" s="309" t="str">
        <f>IF(B4764&lt;&gt;"",IF(AND(B4764='IN-TC'!$S$4,OR(TH!N4754="1111",TH!O4754="1111")),TH!D4754,""),"")</f>
        <v/>
      </c>
      <c r="B4764" s="1129">
        <f t="shared" si="1334"/>
        <v>8</v>
      </c>
      <c r="C4764" s="292">
        <f t="shared" si="1333"/>
        <v>42975</v>
      </c>
      <c r="D4764" s="292"/>
      <c r="E4764" s="292">
        <v>42975</v>
      </c>
      <c r="F4764" s="293" t="s">
        <v>2084</v>
      </c>
      <c r="G4764" s="925" t="s">
        <v>2085</v>
      </c>
      <c r="H4764" s="294" t="s">
        <v>974</v>
      </c>
      <c r="I4764" s="373"/>
      <c r="J4764" s="926"/>
      <c r="K4764" s="373"/>
      <c r="L4764" s="379"/>
      <c r="M4764" s="927">
        <v>1150000</v>
      </c>
      <c r="N4764" s="295" t="s">
        <v>9</v>
      </c>
      <c r="O4764" s="295" t="s">
        <v>63</v>
      </c>
      <c r="P4764" s="75" t="str">
        <f>IF(AND('331-CT'!$E$7=TH!H3851,OR(N4764="331",O4764="331")),"x","")</f>
        <v/>
      </c>
      <c r="Q4764" s="75" t="str">
        <f>IF(AND(B4764='111'!$L$11,OR($N4764=$Q$7,$O4764=$Q$7)),"x","")</f>
        <v/>
      </c>
      <c r="R4764" s="75" t="str">
        <f>IF(AND($N4764=$Q$7,$B4764&lt;'111'!$L$11),"x","")</f>
        <v/>
      </c>
      <c r="S4764" s="75" t="str">
        <f>IF(AND($O4764=$Q$7,$B4764&lt;'111'!$L$11),"x","")</f>
        <v>x</v>
      </c>
      <c r="T4764" s="75" t="str">
        <f>IF(ISERROR(FIND('112'!$M$9,G4764,1)),"",IF((AND(FIND('112'!$M$9,G4764,1)&gt;=1,B4764='112'!$K$9,OR($N4764='112'!$I$6,$O4764='112'!$I$6))),"x",""))</f>
        <v/>
      </c>
      <c r="U4764" s="75" t="str">
        <f>IF(ISERROR(FIND('112'!$M$9,G4764,1)),"",IF((AND(LEFT(G4764,2)=LEFT('112'!$M$9,2),B4764&lt;'112'!$K$9,$N4764='112'!$I$6)),"x",""))</f>
        <v/>
      </c>
      <c r="V4764" s="75" t="str">
        <f>IF(ISERROR(FIND('112'!$M$9,G4764,1)),"",IF((AND(RIGHT(G4764,2)=RIGHT('112'!$M$9,2),B4764&lt;'112'!$K$9,$O4764='112'!$I$6)),"x",""))</f>
        <v/>
      </c>
      <c r="W4764" s="75" t="str">
        <f>IF(AND('341-CT'!$H$9=H4764,OR(LEFT(N4764,3)=$W$7,LEFT(O4764,3)=$W$7)),"x","")</f>
        <v/>
      </c>
      <c r="X4764" s="75" t="str">
        <f>IF(OR(TH!N3851=TH!$X$7,O4764=TH!$X$7),"x","")</f>
        <v/>
      </c>
      <c r="Y4764" s="75" t="str">
        <f>IF(AND(OR(N4764="131",O4764="131"),H4764='131-CT'!$H$9),"x","")</f>
        <v/>
      </c>
      <c r="Z4764" s="75"/>
      <c r="AA4764" s="75" t="str">
        <f>IF(AND(MONTH(E4764)='IN-NX'!$J$5,'IN-NX'!$D$7=D4764),"x","")</f>
        <v/>
      </c>
      <c r="AB4764" s="75" t="str">
        <f>IF(AND(OR(LEFT(TH!N3851,2)="15",LEFT(TH!O3851,2)="15"),LEFT(TH!O3851,3)&lt;&gt;"111",'152-CT'!$J$8=TH!F3851),"x","")</f>
        <v/>
      </c>
      <c r="AC4764" s="75" t="str">
        <f>IF(AND(OR(LEFT(TH!N3851,2)="15",LEFT(TH!O3851,2)="15"),TK!$E$7=TH!F3851),"x","")</f>
        <v/>
      </c>
      <c r="AD4764" s="75" t="str">
        <f>IF(AND(N4764="1521",MONTH(C4764)='BK-NL'!$M$11),"x","")</f>
        <v/>
      </c>
      <c r="AE4764">
        <v>8</v>
      </c>
    </row>
    <row r="4765" spans="1:33" ht="16.5" customHeight="1">
      <c r="A4765" s="309" t="str">
        <f>IF(B4765&lt;&gt;"",IF(AND(B4765='IN-TC'!$S$4,OR(TH!N4755="1111",TH!O4755="1111")),TH!D4755,""),"")</f>
        <v/>
      </c>
      <c r="B4765" s="1129">
        <f t="shared" si="1334"/>
        <v>8</v>
      </c>
      <c r="C4765" s="292">
        <f t="shared" si="1333"/>
        <v>42976</v>
      </c>
      <c r="D4765" s="292" t="s">
        <v>1198</v>
      </c>
      <c r="E4765" s="292">
        <v>42976</v>
      </c>
      <c r="F4765" s="293" t="s">
        <v>834</v>
      </c>
      <c r="G4765" s="943" t="s">
        <v>586</v>
      </c>
      <c r="H4765" s="67" t="s">
        <v>1023</v>
      </c>
      <c r="I4765" s="373"/>
      <c r="J4765" s="926"/>
      <c r="K4765" s="373"/>
      <c r="L4765" s="379"/>
      <c r="M4765" s="927">
        <v>45000000</v>
      </c>
      <c r="N4765" s="295" t="s">
        <v>63</v>
      </c>
      <c r="O4765" s="295" t="s">
        <v>26</v>
      </c>
      <c r="P4765" s="75" t="str">
        <f>IF(AND('331-CT'!$E$7=TH!H4409,OR(N4765="331",O4765="331")),"x","")</f>
        <v/>
      </c>
      <c r="Q4765" s="75" t="str">
        <f>IF(AND(B4765='111'!$L$11,OR($N4765=$Q$7,$O4765=$Q$7)),"x","")</f>
        <v/>
      </c>
      <c r="R4765" s="75" t="str">
        <f>IF(AND($N4765=$Q$7,$B4765&lt;'111'!$L$11),"x","")</f>
        <v>x</v>
      </c>
      <c r="S4765" s="75" t="str">
        <f>IF(AND($O4765=$Q$7,$B4765&lt;'111'!$L$11),"x","")</f>
        <v/>
      </c>
      <c r="T4765" s="75" t="str">
        <f>IF(ISERROR(FIND('112'!$M$9,G4765,1)),"",IF((AND(FIND('112'!$M$9,G4765,1)&gt;=1,B4765='112'!$K$9,OR($N4765='112'!$I$6,$O4765='112'!$I$6))),"x",""))</f>
        <v/>
      </c>
      <c r="U4765" s="75" t="str">
        <f>IF(ISERROR(FIND('112'!$M$9,G4765,1)),"",IF((AND(LEFT(G4765,2)=LEFT('112'!$M$9,2),B4765&lt;'112'!$K$9,$N4765='112'!$I$6)),"x",""))</f>
        <v/>
      </c>
      <c r="V4765" s="75" t="str">
        <f>IF(ISERROR(FIND('112'!$M$9,G4765,1)),"",IF((AND(RIGHT(G4765,2)=RIGHT('112'!$M$9,2),B4765&lt;'112'!$K$9,$O4765='112'!$I$6)),"x",""))</f>
        <v>x</v>
      </c>
      <c r="W4765" s="75" t="str">
        <f>IF(AND('341-CT'!$H$9=H4765,OR(LEFT(N4765,3)=$W$7,LEFT(O4765,3)=$W$7)),"x","")</f>
        <v/>
      </c>
      <c r="X4765" s="75" t="str">
        <f>IF(OR(TH!N4409=TH!$X$7,O4765=TH!$X$7),"x","")</f>
        <v/>
      </c>
      <c r="Y4765" s="75" t="str">
        <f>IF(AND(OR(N4765="131",O4765="131"),H4765='131-CT'!$H$9),"x","")</f>
        <v/>
      </c>
      <c r="Z4765" s="75"/>
      <c r="AA4765" s="75" t="str">
        <f>IF(AND(MONTH(E4765)='IN-NX'!$J$5,'IN-NX'!$D$7=D4765),"x","")</f>
        <v/>
      </c>
      <c r="AB4765" s="75" t="str">
        <f>IF(AND(OR(LEFT(TH!N4409,2)="15",LEFT(TH!O4409,2)="15"),LEFT(TH!O4409,3)&lt;&gt;"111",'152-CT'!$J$8=TH!F4409),"x","")</f>
        <v/>
      </c>
      <c r="AC4765" s="75" t="str">
        <f>IF(AND(OR(LEFT(TH!N4409,2)="15",LEFT(TH!O4409,2)="15"),TK!$E$7=TH!F4409),"x","")</f>
        <v/>
      </c>
      <c r="AD4765" s="75" t="str">
        <f>IF(AND(N4765="1521",MONTH(C4765)='BK-NL'!$M$11),"x","")</f>
        <v/>
      </c>
    </row>
    <row r="4766" spans="1:33" ht="16.5" customHeight="1">
      <c r="A4766" s="309" t="str">
        <f>IF(B4766&lt;&gt;"",IF(AND(B4766='IN-TC'!$S$4,OR(TH!N4756="1111",TH!O4756="1111")),TH!D4756,""),"")</f>
        <v/>
      </c>
      <c r="B4766" s="1129">
        <f t="shared" si="1334"/>
        <v>8</v>
      </c>
      <c r="C4766" s="292">
        <f t="shared" si="1333"/>
        <v>42976</v>
      </c>
      <c r="D4766" s="292" t="s">
        <v>1271</v>
      </c>
      <c r="E4766" s="292">
        <v>42976</v>
      </c>
      <c r="F4766" s="293" t="s">
        <v>834</v>
      </c>
      <c r="G4766" s="943" t="s">
        <v>747</v>
      </c>
      <c r="H4766" s="67" t="s">
        <v>1023</v>
      </c>
      <c r="I4766" s="373"/>
      <c r="J4766" s="926"/>
      <c r="K4766" s="373"/>
      <c r="L4766" s="379"/>
      <c r="M4766" s="927">
        <v>300000000</v>
      </c>
      <c r="N4766" s="295" t="s">
        <v>63</v>
      </c>
      <c r="O4766" s="295" t="s">
        <v>26</v>
      </c>
      <c r="P4766" s="75" t="str">
        <f>IF(AND('331-CT'!$E$7=TH!H5402,OR(N4766="331",O4766="331")),"x","")</f>
        <v/>
      </c>
      <c r="Q4766" s="75" t="str">
        <f>IF(AND(B4766='111'!$L$11,OR($N4766=$Q$7,$O4766=$Q$7)),"x","")</f>
        <v/>
      </c>
      <c r="R4766" s="75" t="str">
        <f>IF(AND($N4766=$Q$7,$B4766&lt;'111'!$L$11),"x","")</f>
        <v>x</v>
      </c>
      <c r="S4766" s="75" t="str">
        <f>IF(AND($O4766=$Q$7,$B4766&lt;'111'!$L$11),"x","")</f>
        <v/>
      </c>
      <c r="T4766" s="75" t="str">
        <f>IF(ISERROR(FIND('112'!$M$9,G4766,1)),"",IF((AND(FIND('112'!$M$9,G4766,1)&gt;=1,B4766='112'!$K$9,OR($N4766='112'!$I$6,$O4766='112'!$I$6))),"x",""))</f>
        <v/>
      </c>
      <c r="U4766" s="75" t="str">
        <f>IF(ISERROR(FIND('112'!$M$9,G4766,1)),"",IF((AND(LEFT(G4766,2)=LEFT('112'!$M$9,2),B4766&lt;'112'!$K$9,$N4766='112'!$I$6)),"x",""))</f>
        <v/>
      </c>
      <c r="V4766" s="75" t="str">
        <f>IF(ISERROR(FIND('112'!$M$9,G4766,1)),"",IF((AND(RIGHT(G4766,2)=RIGHT('112'!$M$9,2),B4766&lt;'112'!$K$9,$O4766='112'!$I$6)),"x",""))</f>
        <v/>
      </c>
      <c r="W4766" s="75" t="str">
        <f>IF(AND('341-CT'!$H$9=H4766,OR(LEFT(N4766,3)=$W$7,LEFT(O4766,3)=$W$7)),"x","")</f>
        <v/>
      </c>
      <c r="X4766" s="75" t="str">
        <f>IF(OR(TH!N5402=TH!$X$7,O4766=TH!$X$7),"x","")</f>
        <v/>
      </c>
      <c r="Y4766" s="75" t="str">
        <f>IF(AND(OR(N4766="131",O4766="131"),H4766='131-CT'!$H$9),"x","")</f>
        <v/>
      </c>
      <c r="Z4766" s="75"/>
      <c r="AA4766" s="75" t="str">
        <f>IF(AND(MONTH(E4766)='IN-NX'!$J$5,'IN-NX'!$D$7=D4766),"x","")</f>
        <v/>
      </c>
      <c r="AB4766" s="75" t="str">
        <f>IF(AND(OR(LEFT(TH!N5402,2)="15",LEFT(TH!O5402,2)="15"),LEFT(TH!O5402,3)&lt;&gt;"111",'152-CT'!$J$8=TH!F5402),"x","")</f>
        <v/>
      </c>
      <c r="AC4766" s="75" t="str">
        <f>IF(AND(OR(LEFT(TH!N5402,2)="15",LEFT(TH!O5402,2)="15"),TK!$E$7=TH!F5402),"x","")</f>
        <v/>
      </c>
      <c r="AD4766" s="75" t="str">
        <f>IF(AND(N4766="1521",MONTH(C4766)='BK-NL'!$M$11),"x","")</f>
        <v/>
      </c>
      <c r="AE4766" s="1053"/>
      <c r="AF4766" s="1053"/>
      <c r="AG4766" s="1053"/>
    </row>
    <row r="4767" spans="1:33" ht="16.5" customHeight="1">
      <c r="A4767" s="309" t="str">
        <f>IF(B4767&lt;&gt;"",IF(AND(B4767='IN-TC'!$S$4,OR(TH!N4757="1111",TH!O4757="1111")),TH!D4757,""),"")</f>
        <v/>
      </c>
      <c r="B4767" s="1339">
        <f t="shared" si="1334"/>
        <v>8</v>
      </c>
      <c r="C4767" s="292">
        <f t="shared" si="1333"/>
        <v>42977</v>
      </c>
      <c r="D4767" s="71"/>
      <c r="E4767" s="292">
        <v>42977</v>
      </c>
      <c r="F4767" s="72" t="s">
        <v>3032</v>
      </c>
      <c r="G4767" s="72" t="s">
        <v>332</v>
      </c>
      <c r="H4767" s="73" t="s">
        <v>1880</v>
      </c>
      <c r="I4767" s="371"/>
      <c r="J4767" s="378"/>
      <c r="K4767" s="371"/>
      <c r="L4767" s="377"/>
      <c r="M4767" s="74">
        <v>500000000</v>
      </c>
      <c r="N4767" s="75" t="s">
        <v>262</v>
      </c>
      <c r="O4767" s="75" t="s">
        <v>63</v>
      </c>
      <c r="P4767" s="75" t="str">
        <f>IF(AND('331-CT'!$E$7=TH!H6725,OR(N4767="331",O4767="331")),"x","")</f>
        <v/>
      </c>
      <c r="Q4767" s="75" t="str">
        <f>IF(AND(B4767='111'!$L$11,OR($N4767=$Q$7,$O4767=$Q$7)),"x","")</f>
        <v/>
      </c>
      <c r="R4767" s="75" t="str">
        <f>IF(AND($N4767=$Q$7,$B4767&lt;'111'!$L$11),"x","")</f>
        <v/>
      </c>
      <c r="S4767" s="75" t="str">
        <f>IF(AND($O4767=$Q$7,$B4767&lt;'111'!$L$11),"x","")</f>
        <v>x</v>
      </c>
      <c r="T4767" s="75" t="str">
        <f>IF(ISERROR(FIND('112'!$M$9,G4767,1)),"",IF((AND(FIND('112'!$M$9,G4767,1)&gt;=1,B4767='112'!$K$9,OR($N4767='112'!$I$6,$O4767='112'!$I$6))),"x",""))</f>
        <v/>
      </c>
      <c r="U4767" s="75" t="str">
        <f>IF(ISERROR(FIND('112'!$M$9,G4767,1)),"",IF((AND(LEFT(G4767,2)=LEFT('112'!$M$9,2),B4767&lt;'112'!$K$9,$N4767='112'!$I$6)),"x",""))</f>
        <v/>
      </c>
      <c r="V4767" s="75" t="str">
        <f>IF(ISERROR(FIND('112'!$M$9,G4767,1)),"",IF((AND(RIGHT(G4767,2)=RIGHT('112'!$M$9,2),B4767&lt;'112'!$K$9,$O4767='112'!$I$6)),"x",""))</f>
        <v/>
      </c>
      <c r="W4767" s="75" t="str">
        <f>IF(AND('341-CT'!$H$9=H4767,OR(LEFT(N4767,3)=$W$7,LEFT(O4767,3)=$W$7)),"x","")</f>
        <v/>
      </c>
      <c r="X4767" s="75" t="str">
        <f>IF(OR(TH!N6725=TH!$X$7,O4767=TH!$X$7),"x","")</f>
        <v/>
      </c>
      <c r="Y4767" s="75" t="str">
        <f>IF(AND(OR(N4767="131",O4767="131"),H4767='131-CT'!$H$9),"x","")</f>
        <v/>
      </c>
      <c r="Z4767" s="75"/>
      <c r="AA4767" s="75" t="str">
        <f>IF(AND(MONTH(E4767)='IN-NX'!$J$5,'IN-NX'!$D$7=D4767),"x","")</f>
        <v/>
      </c>
      <c r="AB4767" s="75" t="str">
        <f>IF(AND(OR(LEFT(TH!N6725,2)="15",LEFT(TH!O6725,2)="15"),LEFT(TH!O6725,3)&lt;&gt;"111",'152-CT'!$J$8=TH!F6725),"x","")</f>
        <v/>
      </c>
      <c r="AC4767" s="75" t="str">
        <f>IF(AND(OR(LEFT(TH!N6725,2)="15",LEFT(TH!O6725,2)="15"),TK!$E$7=TH!F6725),"x","")</f>
        <v/>
      </c>
      <c r="AD4767" s="75" t="str">
        <f>IF(AND(N4767="1521",MONTH(C4767)='BK-NL'!$M$11),"x","")</f>
        <v/>
      </c>
      <c r="AE4767" s="1264"/>
      <c r="AF4767" s="1264"/>
      <c r="AG4767" s="1264"/>
    </row>
    <row r="4768" spans="1:33" ht="16.5" customHeight="1">
      <c r="A4768" s="309" t="str">
        <f>IF(B4768&lt;&gt;"",IF(AND(B4768='IN-TC'!$S$4,OR(TH!N4758="1111",TH!O4758="1111")),TH!D4758,""),"")</f>
        <v/>
      </c>
      <c r="B4768" s="1339">
        <f t="shared" si="1334"/>
        <v>8</v>
      </c>
      <c r="C4768" s="292">
        <f t="shared" si="1333"/>
        <v>42977</v>
      </c>
      <c r="D4768" s="71"/>
      <c r="E4768" s="292">
        <v>42977</v>
      </c>
      <c r="F4768" s="72" t="s">
        <v>3032</v>
      </c>
      <c r="G4768" s="72" t="s">
        <v>1899</v>
      </c>
      <c r="H4768" s="73" t="s">
        <v>1879</v>
      </c>
      <c r="I4768" s="371"/>
      <c r="J4768" s="377"/>
      <c r="K4768" s="371"/>
      <c r="L4768" s="377"/>
      <c r="M4768" s="74">
        <v>500000000</v>
      </c>
      <c r="N4768" s="75" t="s">
        <v>262</v>
      </c>
      <c r="O4768" s="75" t="s">
        <v>63</v>
      </c>
      <c r="P4768" s="75" t="str">
        <f>IF(AND('331-CT'!$E$7=TH!H6734,OR(N4768="331",O4768="331")),"x","")</f>
        <v/>
      </c>
      <c r="Q4768" s="75" t="str">
        <f>IF(AND(B4768='111'!$L$11,OR($N4768=$Q$7,$O4768=$Q$7)),"x","")</f>
        <v/>
      </c>
      <c r="R4768" s="75" t="str">
        <f>IF(AND($N4768=$Q$7,$B4768&lt;'111'!$L$11),"x","")</f>
        <v/>
      </c>
      <c r="S4768" s="75" t="str">
        <f>IF(AND($O4768=$Q$7,$B4768&lt;'111'!$L$11),"x","")</f>
        <v>x</v>
      </c>
      <c r="T4768" s="75" t="str">
        <f>IF(ISERROR(FIND('112'!$M$9,G4768,1)),"",IF((AND(FIND('112'!$M$9,G4768,1)&gt;=1,B4768='112'!$K$9,OR($N4768='112'!$I$6,$O4768='112'!$I$6))),"x",""))</f>
        <v/>
      </c>
      <c r="U4768" s="75" t="str">
        <f>IF(ISERROR(FIND('112'!$M$9,G4768,1)),"",IF((AND(LEFT(G4768,2)=LEFT('112'!$M$9,2),B4768&lt;'112'!$K$9,$N4768='112'!$I$6)),"x",""))</f>
        <v/>
      </c>
      <c r="V4768" s="75" t="str">
        <f>IF(ISERROR(FIND('112'!$M$9,G4768,1)),"",IF((AND(RIGHT(G4768,2)=RIGHT('112'!$M$9,2),B4768&lt;'112'!$K$9,$O4768='112'!$I$6)),"x",""))</f>
        <v/>
      </c>
      <c r="W4768" s="75" t="str">
        <f>IF(AND('341-CT'!$H$9=H4768,OR(LEFT(N4768,3)=$W$7,LEFT(O4768,3)=$W$7)),"x","")</f>
        <v/>
      </c>
      <c r="X4768" s="75" t="str">
        <f>IF(OR(TH!N6734=TH!$X$7,O4768=TH!$X$7),"x","")</f>
        <v/>
      </c>
      <c r="Y4768" s="75" t="str">
        <f>IF(AND(OR(N4768="131",O4768="131"),H4768='131-CT'!$H$9),"x","")</f>
        <v/>
      </c>
      <c r="Z4768" s="75"/>
      <c r="AA4768" s="75" t="str">
        <f>IF(AND(MONTH(E4768)='IN-NX'!$J$5,'IN-NX'!$D$7=D4768),"x","")</f>
        <v/>
      </c>
      <c r="AB4768" s="75" t="str">
        <f>IF(AND(OR(LEFT(TH!N6734,2)="15",LEFT(TH!O6734,2)="15"),LEFT(TH!O6734,3)&lt;&gt;"111",'152-CT'!$J$8=TH!F6734),"x","")</f>
        <v/>
      </c>
      <c r="AC4768" s="75" t="str">
        <f>IF(AND(OR(LEFT(TH!N6734,2)="15",LEFT(TH!O6734,2)="15"),TK!$E$7=TH!F6734),"x","")</f>
        <v/>
      </c>
      <c r="AD4768" s="75" t="str">
        <f>IF(AND(N4768="1521",MONTH(C4768)='BK-NL'!$M$11),"x","")</f>
        <v/>
      </c>
      <c r="AE4768" s="1264"/>
      <c r="AF4768" s="1264"/>
      <c r="AG4768" s="1264"/>
    </row>
    <row r="4769" spans="1:33" ht="16.5" customHeight="1">
      <c r="A4769" s="309" t="str">
        <f>IF(B4769&lt;&gt;"",IF(AND(B4769='IN-TC'!$S$4,OR(TH!N4759="1111",TH!O4759="1111")),TH!D4759,""),"")</f>
        <v/>
      </c>
      <c r="B4769" s="1129">
        <f t="shared" si="1334"/>
        <v>8</v>
      </c>
      <c r="C4769" s="292">
        <f t="shared" si="1333"/>
        <v>42977</v>
      </c>
      <c r="D4769" s="292"/>
      <c r="E4769" s="292">
        <v>42977</v>
      </c>
      <c r="F4769" s="293" t="s">
        <v>2717</v>
      </c>
      <c r="G4769" s="925"/>
      <c r="H4769" s="294" t="s">
        <v>791</v>
      </c>
      <c r="I4769" s="373"/>
      <c r="J4769" s="926"/>
      <c r="K4769" s="373"/>
      <c r="L4769" s="379"/>
      <c r="M4769" s="927">
        <v>103197200</v>
      </c>
      <c r="N4769" s="295" t="s">
        <v>63</v>
      </c>
      <c r="O4769" s="295" t="s">
        <v>8</v>
      </c>
      <c r="P4769" s="75" t="str">
        <f>IF(AND('331-CT'!$E$7=TH!H3794,OR(N4769="331",O4769="331")),"x","")</f>
        <v/>
      </c>
      <c r="Q4769" s="75" t="str">
        <f>IF(AND(B4769='111'!$L$11,OR($N4769=$Q$7,$O4769=$Q$7)),"x","")</f>
        <v/>
      </c>
      <c r="R4769" s="75" t="str">
        <f>IF(AND($N4769=$Q$7,$B4769&lt;'111'!$L$11),"x","")</f>
        <v>x</v>
      </c>
      <c r="S4769" s="75" t="str">
        <f>IF(AND($O4769=$Q$7,$B4769&lt;'111'!$L$11),"x","")</f>
        <v/>
      </c>
      <c r="T4769" s="75" t="str">
        <f>IF(ISERROR(FIND('112'!$M$9,G4769,1)),"",IF((AND(FIND('112'!$M$9,G4769,1)&gt;=1,B4769='112'!$K$9,OR($N4769='112'!$I$6,$O4769='112'!$I$6))),"x",""))</f>
        <v/>
      </c>
      <c r="U4769" s="75" t="str">
        <f>IF(ISERROR(FIND('112'!$M$9,G4769,1)),"",IF((AND(LEFT(G4769,2)=LEFT('112'!$M$9,2),B4769&lt;'112'!$K$9,$N4769='112'!$I$6)),"x",""))</f>
        <v/>
      </c>
      <c r="V4769" s="75" t="str">
        <f>IF(ISERROR(FIND('112'!$M$9,G4769,1)),"",IF((AND(RIGHT(G4769,2)=RIGHT('112'!$M$9,2),B4769&lt;'112'!$K$9,$O4769='112'!$I$6)),"x",""))</f>
        <v/>
      </c>
      <c r="W4769" s="75" t="str">
        <f>IF(AND('341-CT'!$H$9=H4769,OR(LEFT(N4769,3)=$W$7,LEFT(O4769,3)=$W$7)),"x","")</f>
        <v/>
      </c>
      <c r="X4769" s="75" t="str">
        <f>IF(OR(TH!N3794=TH!$X$7,O4769=TH!$X$7),"x","")</f>
        <v/>
      </c>
      <c r="Y4769" s="75" t="str">
        <f>IF(AND(OR(N4769="131",O4769="131"),H4769='131-CT'!$H$9),"x","")</f>
        <v/>
      </c>
      <c r="Z4769" s="75"/>
      <c r="AA4769" s="75" t="str">
        <f>IF(AND(MONTH(E4769)='IN-NX'!$J$5,'IN-NX'!$D$7=D4769),"x","")</f>
        <v/>
      </c>
      <c r="AB4769" s="75" t="str">
        <f>IF(AND(OR(LEFT(TH!N3794,2)="15",LEFT(TH!O3794,2)="15"),LEFT(TH!O3794,3)&lt;&gt;"111",'152-CT'!$J$8=TH!F3794),"x","")</f>
        <v/>
      </c>
      <c r="AC4769" s="75" t="str">
        <f>IF(AND(OR(LEFT(TH!N3794,2)="15",LEFT(TH!O3794,2)="15"),TK!$E$7=TH!F3794),"x","")</f>
        <v/>
      </c>
      <c r="AD4769" s="75" t="str">
        <f>IF(AND(N4769="1521",MONTH(C4769)='BK-NL'!$M$11),"x","")</f>
        <v/>
      </c>
      <c r="AE4769">
        <v>8</v>
      </c>
    </row>
    <row r="4770" spans="1:33" ht="16.5" customHeight="1">
      <c r="A4770" s="309" t="str">
        <f>IF(B4770&lt;&gt;"",IF(AND(B4770='IN-TC'!$S$4,OR(TH!N4760="1111",TH!O4760="1111")),TH!D4760,""),"")</f>
        <v/>
      </c>
      <c r="B4770" s="1129">
        <f t="shared" si="1334"/>
        <v>8</v>
      </c>
      <c r="C4770" s="292">
        <f t="shared" si="1333"/>
        <v>42977</v>
      </c>
      <c r="D4770" s="292"/>
      <c r="E4770" s="292">
        <v>42977</v>
      </c>
      <c r="F4770" s="293" t="s">
        <v>881</v>
      </c>
      <c r="G4770" s="925" t="s">
        <v>2086</v>
      </c>
      <c r="H4770" s="294" t="s">
        <v>1817</v>
      </c>
      <c r="I4770" s="373"/>
      <c r="J4770" s="926"/>
      <c r="K4770" s="373"/>
      <c r="L4770" s="379"/>
      <c r="M4770" s="927">
        <v>1180000</v>
      </c>
      <c r="N4770" s="295" t="s">
        <v>539</v>
      </c>
      <c r="O4770" s="295" t="s">
        <v>63</v>
      </c>
      <c r="P4770" s="75" t="str">
        <f>IF(AND('331-CT'!$E$7=TH!H3855,OR(N4770="331",O4770="331")),"x","")</f>
        <v/>
      </c>
      <c r="Q4770" s="75" t="str">
        <f>IF(AND(B4770='111'!$L$11,OR($N4770=$Q$7,$O4770=$Q$7)),"x","")</f>
        <v/>
      </c>
      <c r="R4770" s="75" t="str">
        <f>IF(AND($N4770=$Q$7,$B4770&lt;'111'!$L$11),"x","")</f>
        <v/>
      </c>
      <c r="S4770" s="75" t="str">
        <f>IF(AND($O4770=$Q$7,$B4770&lt;'111'!$L$11),"x","")</f>
        <v>x</v>
      </c>
      <c r="T4770" s="75" t="str">
        <f>IF(ISERROR(FIND('112'!$M$9,G4770,1)),"",IF((AND(FIND('112'!$M$9,G4770,1)&gt;=1,B4770='112'!$K$9,OR($N4770='112'!$I$6,$O4770='112'!$I$6))),"x",""))</f>
        <v/>
      </c>
      <c r="U4770" s="75" t="str">
        <f>IF(ISERROR(FIND('112'!$M$9,G4770,1)),"",IF((AND(LEFT(G4770,2)=LEFT('112'!$M$9,2),B4770&lt;'112'!$K$9,$N4770='112'!$I$6)),"x",""))</f>
        <v/>
      </c>
      <c r="V4770" s="75" t="str">
        <f>IF(ISERROR(FIND('112'!$M$9,G4770,1)),"",IF((AND(RIGHT(G4770,2)=RIGHT('112'!$M$9,2),B4770&lt;'112'!$K$9,$O4770='112'!$I$6)),"x",""))</f>
        <v/>
      </c>
      <c r="W4770" s="75" t="str">
        <f>IF(AND('341-CT'!$H$9=H4770,OR(LEFT(N4770,3)=$W$7,LEFT(O4770,3)=$W$7)),"x","")</f>
        <v/>
      </c>
      <c r="X4770" s="75" t="str">
        <f>IF(OR(TH!N3855=TH!$X$7,O4770=TH!$X$7),"x","")</f>
        <v/>
      </c>
      <c r="Y4770" s="75" t="str">
        <f>IF(AND(OR(N4770="131",O4770="131"),H4770='131-CT'!$H$9),"x","")</f>
        <v/>
      </c>
      <c r="Z4770" s="75"/>
      <c r="AA4770" s="75" t="str">
        <f>IF(AND(MONTH(E4770)='IN-NX'!$J$5,'IN-NX'!$D$7=D4770),"x","")</f>
        <v/>
      </c>
      <c r="AB4770" s="75" t="str">
        <f>IF(AND(OR(LEFT(TH!N3855,2)="15",LEFT(TH!O3855,2)="15"),LEFT(TH!O3855,3)&lt;&gt;"111",'152-CT'!$J$8=TH!F3855),"x","")</f>
        <v/>
      </c>
      <c r="AC4770" s="75" t="str">
        <f>IF(AND(OR(LEFT(TH!N3855,2)="15",LEFT(TH!O3855,2)="15"),TK!$E$7=TH!F3855),"x","")</f>
        <v/>
      </c>
      <c r="AD4770" s="75" t="str">
        <f>IF(AND(N4770="1521",MONTH(C4770)='BK-NL'!$M$11),"x","")</f>
        <v/>
      </c>
      <c r="AE4770">
        <v>8</v>
      </c>
    </row>
    <row r="4771" spans="1:33" ht="16.5" customHeight="1">
      <c r="A4771" s="309" t="str">
        <f>IF(B4771&lt;&gt;"",IF(AND(B4771='IN-TC'!$S$4,OR(TH!N4761="1111",TH!O4761="1111")),TH!D4761,""),"")</f>
        <v/>
      </c>
      <c r="B4771" s="1129">
        <f t="shared" si="1334"/>
        <v>8</v>
      </c>
      <c r="C4771" s="292">
        <f t="shared" si="1333"/>
        <v>42977</v>
      </c>
      <c r="D4771" s="292"/>
      <c r="E4771" s="292">
        <v>42977</v>
      </c>
      <c r="F4771" s="293" t="s">
        <v>882</v>
      </c>
      <c r="G4771" s="925" t="s">
        <v>2086</v>
      </c>
      <c r="H4771" s="294" t="s">
        <v>1817</v>
      </c>
      <c r="I4771" s="373"/>
      <c r="J4771" s="926"/>
      <c r="K4771" s="373"/>
      <c r="L4771" s="379"/>
      <c r="M4771" s="927">
        <v>59000</v>
      </c>
      <c r="N4771" s="295" t="s">
        <v>9</v>
      </c>
      <c r="O4771" s="295" t="s">
        <v>63</v>
      </c>
      <c r="P4771" s="75" t="str">
        <f>IF(AND('331-CT'!$E$7=TH!H3856,OR(N4771="331",O4771="331")),"x","")</f>
        <v/>
      </c>
      <c r="Q4771" s="75" t="str">
        <f>IF(AND(B4771='111'!$L$11,OR($N4771=$Q$7,$O4771=$Q$7)),"x","")</f>
        <v/>
      </c>
      <c r="R4771" s="75" t="str">
        <f>IF(AND($N4771=$Q$7,$B4771&lt;'111'!$L$11),"x","")</f>
        <v/>
      </c>
      <c r="S4771" s="75" t="str">
        <f>IF(AND($O4771=$Q$7,$B4771&lt;'111'!$L$11),"x","")</f>
        <v>x</v>
      </c>
      <c r="T4771" s="75" t="str">
        <f>IF(ISERROR(FIND('112'!$M$9,G4771,1)),"",IF((AND(FIND('112'!$M$9,G4771,1)&gt;=1,B4771='112'!$K$9,OR($N4771='112'!$I$6,$O4771='112'!$I$6))),"x",""))</f>
        <v/>
      </c>
      <c r="U4771" s="75" t="str">
        <f>IF(ISERROR(FIND('112'!$M$9,G4771,1)),"",IF((AND(LEFT(G4771,2)=LEFT('112'!$M$9,2),B4771&lt;'112'!$K$9,$N4771='112'!$I$6)),"x",""))</f>
        <v/>
      </c>
      <c r="V4771" s="75" t="str">
        <f>IF(ISERROR(FIND('112'!$M$9,G4771,1)),"",IF((AND(RIGHT(G4771,2)=RIGHT('112'!$M$9,2),B4771&lt;'112'!$K$9,$O4771='112'!$I$6)),"x",""))</f>
        <v/>
      </c>
      <c r="W4771" s="75" t="str">
        <f>IF(AND('341-CT'!$H$9=H4771,OR(LEFT(N4771,3)=$W$7,LEFT(O4771,3)=$W$7)),"x","")</f>
        <v/>
      </c>
      <c r="X4771" s="75" t="str">
        <f>IF(OR(TH!N3856=TH!$X$7,O4771=TH!$X$7),"x","")</f>
        <v/>
      </c>
      <c r="Y4771" s="75" t="str">
        <f>IF(AND(OR(N4771="131",O4771="131"),H4771='131-CT'!$H$9),"x","")</f>
        <v/>
      </c>
      <c r="Z4771" s="75"/>
      <c r="AA4771" s="75" t="str">
        <f>IF(AND(MONTH(E4771)='IN-NX'!$J$5,'IN-NX'!$D$7=D4771),"x","")</f>
        <v/>
      </c>
      <c r="AB4771" s="75" t="str">
        <f>IF(AND(OR(LEFT(TH!N3856,2)="15",LEFT(TH!O3856,2)="15"),LEFT(TH!O3856,3)&lt;&gt;"111",'152-CT'!$J$8=TH!F3856),"x","")</f>
        <v/>
      </c>
      <c r="AC4771" s="75" t="str">
        <f>IF(AND(OR(LEFT(TH!N3856,2)="15",LEFT(TH!O3856,2)="15"),TK!$E$7=TH!F3856),"x","")</f>
        <v/>
      </c>
      <c r="AD4771" s="75" t="str">
        <f>IF(AND(N4771="1521",MONTH(C4771)='BK-NL'!$M$11),"x","")</f>
        <v/>
      </c>
      <c r="AE4771">
        <v>8</v>
      </c>
    </row>
    <row r="4772" spans="1:33" ht="16.5" customHeight="1">
      <c r="A4772" s="309" t="str">
        <f>IF(B4772&lt;&gt;"",IF(AND(B4772='IN-TC'!$S$4,OR(TH!N4762="1111",TH!O4762="1111")),TH!D4762,""),"")</f>
        <v/>
      </c>
      <c r="B4772" s="1129">
        <f t="shared" si="1334"/>
        <v>8</v>
      </c>
      <c r="C4772" s="292">
        <f t="shared" si="1333"/>
        <v>42978</v>
      </c>
      <c r="D4772" s="292"/>
      <c r="E4772" s="292">
        <v>42978</v>
      </c>
      <c r="F4772" s="67" t="s">
        <v>1165</v>
      </c>
      <c r="G4772" s="925" t="s">
        <v>2146</v>
      </c>
      <c r="H4772" s="294" t="s">
        <v>1684</v>
      </c>
      <c r="I4772" s="373"/>
      <c r="J4772" s="926"/>
      <c r="K4772" s="373"/>
      <c r="L4772" s="379"/>
      <c r="M4772" s="927">
        <v>19762050</v>
      </c>
      <c r="N4772" s="295" t="s">
        <v>8</v>
      </c>
      <c r="O4772" s="295" t="s">
        <v>63</v>
      </c>
      <c r="P4772" s="75" t="str">
        <f>IF(AND('331-CT'!$E$7=TH!H3861,OR(N4772="331",O4772="331")),"x","")</f>
        <v/>
      </c>
      <c r="Q4772" s="75" t="str">
        <f>IF(AND(B4772='111'!$L$11,OR($N4772=$Q$7,$O4772=$Q$7)),"x","")</f>
        <v/>
      </c>
      <c r="R4772" s="75" t="str">
        <f>IF(AND($N4772=$Q$7,$B4772&lt;'111'!$L$11),"x","")</f>
        <v/>
      </c>
      <c r="S4772" s="75" t="str">
        <f>IF(AND($O4772=$Q$7,$B4772&lt;'111'!$L$11),"x","")</f>
        <v>x</v>
      </c>
      <c r="T4772" s="75" t="str">
        <f>IF(ISERROR(FIND('112'!$M$9,G4772,1)),"",IF((AND(FIND('112'!$M$9,G4772,1)&gt;=1,B4772='112'!$K$9,OR($N4772='112'!$I$6,$O4772='112'!$I$6))),"x",""))</f>
        <v/>
      </c>
      <c r="U4772" s="75" t="str">
        <f>IF(ISERROR(FIND('112'!$M$9,G4772,1)),"",IF((AND(LEFT(G4772,2)=LEFT('112'!$M$9,2),B4772&lt;'112'!$K$9,$N4772='112'!$I$6)),"x",""))</f>
        <v/>
      </c>
      <c r="V4772" s="75" t="str">
        <f>IF(ISERROR(FIND('112'!$M$9,G4772,1)),"",IF((AND(RIGHT(G4772,2)=RIGHT('112'!$M$9,2),B4772&lt;'112'!$K$9,$O4772='112'!$I$6)),"x",""))</f>
        <v/>
      </c>
      <c r="W4772" s="75" t="str">
        <f>IF(AND('341-CT'!$H$9=H4772,OR(LEFT(N4772,3)=$W$7,LEFT(O4772,3)=$W$7)),"x","")</f>
        <v/>
      </c>
      <c r="X4772" s="75" t="str">
        <f>IF(OR(TH!N3861=TH!$X$7,O4772=TH!$X$7),"x","")</f>
        <v/>
      </c>
      <c r="Y4772" s="75" t="str">
        <f>IF(AND(OR(N4772="131",O4772="131"),H4772='131-CT'!$H$9),"x","")</f>
        <v/>
      </c>
      <c r="Z4772" s="75"/>
      <c r="AA4772" s="75" t="str">
        <f>IF(AND(MONTH(E4772)='IN-NX'!$J$5,'IN-NX'!$D$7=D4772),"x","")</f>
        <v/>
      </c>
      <c r="AB4772" s="75" t="str">
        <f>IF(AND(OR(LEFT(TH!N3861,2)="15",LEFT(TH!O3861,2)="15"),LEFT(TH!O3861,3)&lt;&gt;"111",'152-CT'!$J$8=TH!F3861),"x","")</f>
        <v/>
      </c>
      <c r="AC4772" s="75" t="str">
        <f>IF(AND(OR(LEFT(TH!N3861,2)="15",LEFT(TH!O3861,2)="15"),TK!$E$7=TH!F3861),"x","")</f>
        <v/>
      </c>
      <c r="AD4772" s="75" t="str">
        <f>IF(AND(N4772="1521",MONTH(C4772)='BK-NL'!$M$11),"x","")</f>
        <v/>
      </c>
    </row>
    <row r="4773" spans="1:33" ht="16.5" customHeight="1">
      <c r="A4773" s="309" t="str">
        <f>IF(B4773&lt;&gt;"",IF(AND(B4773='IN-TC'!$S$4,OR(TH!N4763="1111",TH!O4763="1111")),TH!D4763,""),"")</f>
        <v/>
      </c>
      <c r="B4773" s="1129">
        <f t="shared" si="1334"/>
        <v>8</v>
      </c>
      <c r="C4773" s="292">
        <f t="shared" si="1333"/>
        <v>42978</v>
      </c>
      <c r="D4773" s="292"/>
      <c r="E4773" s="292">
        <v>42978</v>
      </c>
      <c r="F4773" s="293" t="s">
        <v>1499</v>
      </c>
      <c r="G4773" s="925" t="s">
        <v>2087</v>
      </c>
      <c r="H4773" s="294" t="s">
        <v>893</v>
      </c>
      <c r="I4773" s="373"/>
      <c r="J4773" s="926"/>
      <c r="K4773" s="373"/>
      <c r="L4773" s="379"/>
      <c r="M4773" s="927">
        <v>1450882</v>
      </c>
      <c r="N4773" s="295" t="s">
        <v>101</v>
      </c>
      <c r="O4773" s="295" t="s">
        <v>63</v>
      </c>
      <c r="P4773" s="75" t="str">
        <f>IF(AND('331-CT'!$E$7=TH!H3857,OR(N4773="331",O4773="331")),"x","")</f>
        <v/>
      </c>
      <c r="Q4773" s="75" t="str">
        <f>IF(AND(B4773='111'!$L$11,OR($N4773=$Q$7,$O4773=$Q$7)),"x","")</f>
        <v/>
      </c>
      <c r="R4773" s="75" t="str">
        <f>IF(AND($N4773=$Q$7,$B4773&lt;'111'!$L$11),"x","")</f>
        <v/>
      </c>
      <c r="S4773" s="75" t="str">
        <f>IF(AND($O4773=$Q$7,$B4773&lt;'111'!$L$11),"x","")</f>
        <v>x</v>
      </c>
      <c r="T4773" s="75" t="str">
        <f>IF(ISERROR(FIND('112'!$M$9,G4773,1)),"",IF((AND(FIND('112'!$M$9,G4773,1)&gt;=1,B4773='112'!$K$9,OR($N4773='112'!$I$6,$O4773='112'!$I$6))),"x",""))</f>
        <v/>
      </c>
      <c r="U4773" s="75" t="str">
        <f>IF(ISERROR(FIND('112'!$M$9,G4773,1)),"",IF((AND(LEFT(G4773,2)=LEFT('112'!$M$9,2),B4773&lt;'112'!$K$9,$N4773='112'!$I$6)),"x",""))</f>
        <v/>
      </c>
      <c r="V4773" s="75" t="str">
        <f>IF(ISERROR(FIND('112'!$M$9,G4773,1)),"",IF((AND(RIGHT(G4773,2)=RIGHT('112'!$M$9,2),B4773&lt;'112'!$K$9,$O4773='112'!$I$6)),"x",""))</f>
        <v/>
      </c>
      <c r="W4773" s="75" t="str">
        <f>IF(AND('341-CT'!$H$9=H4773,OR(LEFT(N4773,3)=$W$7,LEFT(O4773,3)=$W$7)),"x","")</f>
        <v/>
      </c>
      <c r="X4773" s="75" t="str">
        <f>IF(OR(TH!N3857=TH!$X$7,O4773=TH!$X$7),"x","")</f>
        <v/>
      </c>
      <c r="Y4773" s="75" t="str">
        <f>IF(AND(OR(N4773="131",O4773="131"),H4773='131-CT'!$H$9),"x","")</f>
        <v/>
      </c>
      <c r="Z4773" s="75"/>
      <c r="AA4773" s="75" t="str">
        <f>IF(AND(MONTH(E4773)='IN-NX'!$J$5,'IN-NX'!$D$7=D4773),"x","")</f>
        <v/>
      </c>
      <c r="AB4773" s="75" t="str">
        <f>IF(AND(OR(LEFT(TH!N3857,2)="15",LEFT(TH!O3857,2)="15"),LEFT(TH!O3857,3)&lt;&gt;"111",'152-CT'!$J$8=TH!F3857),"x","")</f>
        <v/>
      </c>
      <c r="AC4773" s="75" t="str">
        <f>IF(AND(OR(LEFT(TH!N3857,2)="15",LEFT(TH!O3857,2)="15"),TK!$E$7=TH!F3857),"x","")</f>
        <v/>
      </c>
      <c r="AD4773" s="75" t="str">
        <f>IF(AND(N4773="1521",MONTH(C4773)='BK-NL'!$M$11),"x","")</f>
        <v/>
      </c>
      <c r="AE4773">
        <v>8</v>
      </c>
    </row>
    <row r="4774" spans="1:33" ht="16.5" customHeight="1">
      <c r="A4774" s="309" t="str">
        <f>IF(B4774&lt;&gt;"",IF(AND(B4774='IN-TC'!$S$4,OR(TH!N4764="1111",TH!O4764="1111")),TH!D4764,""),"")</f>
        <v/>
      </c>
      <c r="B4774" s="1129">
        <f t="shared" si="1334"/>
        <v>8</v>
      </c>
      <c r="C4774" s="292">
        <f t="shared" si="1333"/>
        <v>42978</v>
      </c>
      <c r="D4774" s="292"/>
      <c r="E4774" s="292">
        <v>42978</v>
      </c>
      <c r="F4774" s="293" t="s">
        <v>1500</v>
      </c>
      <c r="G4774" s="925" t="s">
        <v>2087</v>
      </c>
      <c r="H4774" s="294" t="s">
        <v>893</v>
      </c>
      <c r="I4774" s="373"/>
      <c r="J4774" s="926"/>
      <c r="K4774" s="373"/>
      <c r="L4774" s="379"/>
      <c r="M4774" s="927">
        <v>145088</v>
      </c>
      <c r="N4774" s="295" t="s">
        <v>9</v>
      </c>
      <c r="O4774" s="295" t="s">
        <v>63</v>
      </c>
      <c r="P4774" s="75" t="str">
        <f>IF(AND('331-CT'!$E$7=TH!H3858,OR(N4774="331",O4774="331")),"x","")</f>
        <v/>
      </c>
      <c r="Q4774" s="75" t="str">
        <f>IF(AND(B4774='111'!$L$11,OR($N4774=$Q$7,$O4774=$Q$7)),"x","")</f>
        <v/>
      </c>
      <c r="R4774" s="75" t="str">
        <f>IF(AND($N4774=$Q$7,$B4774&lt;'111'!$L$11),"x","")</f>
        <v/>
      </c>
      <c r="S4774" s="75" t="str">
        <f>IF(AND($O4774=$Q$7,$B4774&lt;'111'!$L$11),"x","")</f>
        <v>x</v>
      </c>
      <c r="T4774" s="75" t="str">
        <f>IF(ISERROR(FIND('112'!$M$9,G4774,1)),"",IF((AND(FIND('112'!$M$9,G4774,1)&gt;=1,B4774='112'!$K$9,OR($N4774='112'!$I$6,$O4774='112'!$I$6))),"x",""))</f>
        <v/>
      </c>
      <c r="U4774" s="75" t="str">
        <f>IF(ISERROR(FIND('112'!$M$9,G4774,1)),"",IF((AND(LEFT(G4774,2)=LEFT('112'!$M$9,2),B4774&lt;'112'!$K$9,$N4774='112'!$I$6)),"x",""))</f>
        <v/>
      </c>
      <c r="V4774" s="75" t="str">
        <f>IF(ISERROR(FIND('112'!$M$9,G4774,1)),"",IF((AND(RIGHT(G4774,2)=RIGHT('112'!$M$9,2),B4774&lt;'112'!$K$9,$O4774='112'!$I$6)),"x",""))</f>
        <v/>
      </c>
      <c r="W4774" s="75" t="str">
        <f>IF(AND('341-CT'!$H$9=H4774,OR(LEFT(N4774,3)=$W$7,LEFT(O4774,3)=$W$7)),"x","")</f>
        <v/>
      </c>
      <c r="X4774" s="75" t="str">
        <f>IF(OR(TH!N3858=TH!$X$7,O4774=TH!$X$7),"x","")</f>
        <v/>
      </c>
      <c r="Y4774" s="75" t="str">
        <f>IF(AND(OR(N4774="131",O4774="131"),H4774='131-CT'!$H$9),"x","")</f>
        <v/>
      </c>
      <c r="Z4774" s="75"/>
      <c r="AA4774" s="75" t="str">
        <f>IF(AND(MONTH(E4774)='IN-NX'!$J$5,'IN-NX'!$D$7=D4774),"x","")</f>
        <v/>
      </c>
      <c r="AB4774" s="75" t="str">
        <f>IF(AND(OR(LEFT(TH!N3858,2)="15",LEFT(TH!O3858,2)="15"),LEFT(TH!O3858,3)&lt;&gt;"111",'152-CT'!$J$8=TH!F3858),"x","")</f>
        <v/>
      </c>
      <c r="AC4774" s="75" t="str">
        <f>IF(AND(OR(LEFT(TH!N3858,2)="15",LEFT(TH!O3858,2)="15"),TK!$E$7=TH!F3858),"x","")</f>
        <v/>
      </c>
      <c r="AD4774" s="75" t="str">
        <f>IF(AND(N4774="1521",MONTH(C4774)='BK-NL'!$M$11),"x","")</f>
        <v/>
      </c>
      <c r="AE4774">
        <v>8</v>
      </c>
    </row>
    <row r="4775" spans="1:33" ht="16.5" customHeight="1">
      <c r="A4775" s="309" t="str">
        <f>IF(B4775&lt;&gt;"",IF(AND(B4775='IN-TC'!$S$4,OR(TH!N4765="1111",TH!O4765="1111")),TH!D4765,""),"")</f>
        <v/>
      </c>
      <c r="B4775" s="1129">
        <f t="shared" si="1334"/>
        <v>8</v>
      </c>
      <c r="C4775" s="292">
        <f t="shared" si="1333"/>
        <v>42978</v>
      </c>
      <c r="D4775" s="292"/>
      <c r="E4775" s="292">
        <v>42978</v>
      </c>
      <c r="F4775" s="293" t="s">
        <v>2091</v>
      </c>
      <c r="G4775" s="925" t="s">
        <v>2093</v>
      </c>
      <c r="H4775" s="294" t="s">
        <v>1032</v>
      </c>
      <c r="I4775" s="373"/>
      <c r="J4775" s="926"/>
      <c r="K4775" s="373"/>
      <c r="L4775" s="379"/>
      <c r="M4775" s="927">
        <v>139265</v>
      </c>
      <c r="N4775" s="295" t="s">
        <v>101</v>
      </c>
      <c r="O4775" s="295" t="s">
        <v>63</v>
      </c>
      <c r="P4775" s="75" t="str">
        <f>IF(AND('331-CT'!$E$7=TH!H3859,OR(N4775="331",O4775="331")),"x","")</f>
        <v/>
      </c>
      <c r="Q4775" s="75" t="str">
        <f>IF(AND(B4775='111'!$L$11,OR($N4775=$Q$7,$O4775=$Q$7)),"x","")</f>
        <v/>
      </c>
      <c r="R4775" s="75" t="str">
        <f>IF(AND($N4775=$Q$7,$B4775&lt;'111'!$L$11),"x","")</f>
        <v/>
      </c>
      <c r="S4775" s="75" t="str">
        <f>IF(AND($O4775=$Q$7,$B4775&lt;'111'!$L$11),"x","")</f>
        <v>x</v>
      </c>
      <c r="T4775" s="75" t="str">
        <f>IF(ISERROR(FIND('112'!$M$9,G4775,1)),"",IF((AND(FIND('112'!$M$9,G4775,1)&gt;=1,B4775='112'!$K$9,OR($N4775='112'!$I$6,$O4775='112'!$I$6))),"x",""))</f>
        <v/>
      </c>
      <c r="U4775" s="75" t="str">
        <f>IF(ISERROR(FIND('112'!$M$9,G4775,1)),"",IF((AND(LEFT(G4775,2)=LEFT('112'!$M$9,2),B4775&lt;'112'!$K$9,$N4775='112'!$I$6)),"x",""))</f>
        <v/>
      </c>
      <c r="V4775" s="75" t="str">
        <f>IF(ISERROR(FIND('112'!$M$9,G4775,1)),"",IF((AND(RIGHT(G4775,2)=RIGHT('112'!$M$9,2),B4775&lt;'112'!$K$9,$O4775='112'!$I$6)),"x",""))</f>
        <v/>
      </c>
      <c r="W4775" s="75" t="str">
        <f>IF(AND('341-CT'!$H$9=H4775,OR(LEFT(N4775,3)=$W$7,LEFT(O4775,3)=$W$7)),"x","")</f>
        <v/>
      </c>
      <c r="X4775" s="75" t="str">
        <f>IF(OR(TH!N3859=TH!$X$7,O4775=TH!$X$7),"x","")</f>
        <v/>
      </c>
      <c r="Y4775" s="75" t="str">
        <f>IF(AND(OR(N4775="131",O4775="131"),H4775='131-CT'!$H$9),"x","")</f>
        <v/>
      </c>
      <c r="Z4775" s="75"/>
      <c r="AA4775" s="75" t="str">
        <f>IF(AND(MONTH(E4775)='IN-NX'!$J$5,'IN-NX'!$D$7=D4775),"x","")</f>
        <v/>
      </c>
      <c r="AB4775" s="75" t="str">
        <f>IF(AND(OR(LEFT(TH!N3859,2)="15",LEFT(TH!O3859,2)="15"),LEFT(TH!O3859,3)&lt;&gt;"111",'152-CT'!$J$8=TH!F3859),"x","")</f>
        <v/>
      </c>
      <c r="AC4775" s="75" t="str">
        <f>IF(AND(OR(LEFT(TH!N3859,2)="15",LEFT(TH!O3859,2)="15"),TK!$E$7=TH!F3859),"x","")</f>
        <v/>
      </c>
      <c r="AD4775" s="75" t="str">
        <f>IF(AND(N4775="1521",MONTH(C4775)='BK-NL'!$M$11),"x","")</f>
        <v/>
      </c>
      <c r="AE4775">
        <v>8</v>
      </c>
    </row>
    <row r="4776" spans="1:33" ht="16.5" customHeight="1">
      <c r="A4776" s="309" t="str">
        <f>IF(B4776&lt;&gt;"",IF(AND(B4776='IN-TC'!$S$4,OR(TH!N4766="1111",TH!O4766="1111")),TH!D4766,""),"")</f>
        <v/>
      </c>
      <c r="B4776" s="1129">
        <f t="shared" si="1334"/>
        <v>8</v>
      </c>
      <c r="C4776" s="292">
        <f t="shared" si="1333"/>
        <v>42978</v>
      </c>
      <c r="D4776" s="292"/>
      <c r="E4776" s="292">
        <v>42978</v>
      </c>
      <c r="F4776" s="293" t="s">
        <v>2092</v>
      </c>
      <c r="G4776" s="925" t="s">
        <v>2093</v>
      </c>
      <c r="H4776" s="294" t="s">
        <v>1032</v>
      </c>
      <c r="I4776" s="373"/>
      <c r="J4776" s="926"/>
      <c r="K4776" s="373"/>
      <c r="L4776" s="379"/>
      <c r="M4776" s="927">
        <v>13927</v>
      </c>
      <c r="N4776" s="295" t="s">
        <v>9</v>
      </c>
      <c r="O4776" s="295" t="s">
        <v>63</v>
      </c>
      <c r="P4776" s="75" t="str">
        <f>IF(AND('331-CT'!$E$7=TH!H3860,OR(N4776="331",O4776="331")),"x","")</f>
        <v/>
      </c>
      <c r="Q4776" s="75" t="str">
        <f>IF(AND(B4776='111'!$L$11,OR($N4776=$Q$7,$O4776=$Q$7)),"x","")</f>
        <v/>
      </c>
      <c r="R4776" s="75" t="str">
        <f>IF(AND($N4776=$Q$7,$B4776&lt;'111'!$L$11),"x","")</f>
        <v/>
      </c>
      <c r="S4776" s="75" t="str">
        <f>IF(AND($O4776=$Q$7,$B4776&lt;'111'!$L$11),"x","")</f>
        <v>x</v>
      </c>
      <c r="T4776" s="75" t="str">
        <f>IF(ISERROR(FIND('112'!$M$9,G4776,1)),"",IF((AND(FIND('112'!$M$9,G4776,1)&gt;=1,B4776='112'!$K$9,OR($N4776='112'!$I$6,$O4776='112'!$I$6))),"x",""))</f>
        <v/>
      </c>
      <c r="U4776" s="75" t="str">
        <f>IF(ISERROR(FIND('112'!$M$9,G4776,1)),"",IF((AND(LEFT(G4776,2)=LEFT('112'!$M$9,2),B4776&lt;'112'!$K$9,$N4776='112'!$I$6)),"x",""))</f>
        <v/>
      </c>
      <c r="V4776" s="75" t="str">
        <f>IF(ISERROR(FIND('112'!$M$9,G4776,1)),"",IF((AND(RIGHT(G4776,2)=RIGHT('112'!$M$9,2),B4776&lt;'112'!$K$9,$O4776='112'!$I$6)),"x",""))</f>
        <v/>
      </c>
      <c r="W4776" s="75" t="str">
        <f>IF(AND('341-CT'!$H$9=H4776,OR(LEFT(N4776,3)=$W$7,LEFT(O4776,3)=$W$7)),"x","")</f>
        <v/>
      </c>
      <c r="X4776" s="75" t="str">
        <f>IF(OR(TH!N3860=TH!$X$7,O4776=TH!$X$7),"x","")</f>
        <v/>
      </c>
      <c r="Y4776" s="75" t="str">
        <f>IF(AND(OR(N4776="131",O4776="131"),H4776='131-CT'!$H$9),"x","")</f>
        <v/>
      </c>
      <c r="Z4776" s="75"/>
      <c r="AA4776" s="75" t="str">
        <f>IF(AND(MONTH(E4776)='IN-NX'!$J$5,'IN-NX'!$D$7=D4776),"x","")</f>
        <v/>
      </c>
      <c r="AB4776" s="75" t="str">
        <f>IF(AND(OR(LEFT(TH!N3860,2)="15",LEFT(TH!O3860,2)="15"),LEFT(TH!O3860,3)&lt;&gt;"111",'152-CT'!$J$8=TH!F3860),"x","")</f>
        <v/>
      </c>
      <c r="AC4776" s="75" t="str">
        <f>IF(AND(OR(LEFT(TH!N3860,2)="15",LEFT(TH!O3860,2)="15"),TK!$E$7=TH!F3860),"x","")</f>
        <v/>
      </c>
      <c r="AD4776" s="75" t="str">
        <f>IF(AND(N4776="1521",MONTH(C4776)='BK-NL'!$M$11),"x","")</f>
        <v/>
      </c>
      <c r="AE4776">
        <v>8</v>
      </c>
    </row>
    <row r="4777" spans="1:33" ht="16.5" customHeight="1">
      <c r="A4777" s="309" t="str">
        <f>IF(B4777&lt;&gt;"",IF(AND(B4777='IN-TC'!$S$4,OR(TH!N4767="1111",TH!O4767="1111")),TH!D4767,""),"")</f>
        <v/>
      </c>
      <c r="B4777" s="1129">
        <f t="shared" si="1334"/>
        <v>8</v>
      </c>
      <c r="C4777" s="292">
        <f t="shared" si="1333"/>
        <v>42978</v>
      </c>
      <c r="D4777" s="292"/>
      <c r="E4777" s="292">
        <v>42978</v>
      </c>
      <c r="F4777" s="293" t="s">
        <v>2089</v>
      </c>
      <c r="G4777" s="925"/>
      <c r="H4777" s="294" t="s">
        <v>978</v>
      </c>
      <c r="I4777" s="373"/>
      <c r="J4777" s="926"/>
      <c r="K4777" s="373"/>
      <c r="L4777" s="379"/>
      <c r="M4777" s="927">
        <v>4047273</v>
      </c>
      <c r="N4777" s="295" t="s">
        <v>101</v>
      </c>
      <c r="O4777" s="295" t="s">
        <v>63</v>
      </c>
      <c r="P4777" s="75" t="str">
        <f>IF(AND('331-CT'!$E$7=TH!H3862,OR(N4777="331",O4777="331")),"x","")</f>
        <v/>
      </c>
      <c r="Q4777" s="75" t="str">
        <f>IF(AND(B4777='111'!$L$11,OR($N4777=$Q$7,$O4777=$Q$7)),"x","")</f>
        <v/>
      </c>
      <c r="R4777" s="75" t="str">
        <f>IF(AND($N4777=$Q$7,$B4777&lt;'111'!$L$11),"x","")</f>
        <v/>
      </c>
      <c r="S4777" s="75" t="str">
        <f>IF(AND($O4777=$Q$7,$B4777&lt;'111'!$L$11),"x","")</f>
        <v>x</v>
      </c>
      <c r="T4777" s="75" t="str">
        <f>IF(ISERROR(FIND('112'!$M$9,G4777,1)),"",IF((AND(FIND('112'!$M$9,G4777,1)&gt;=1,B4777='112'!$K$9,OR($N4777='112'!$I$6,$O4777='112'!$I$6))),"x",""))</f>
        <v/>
      </c>
      <c r="U4777" s="75" t="str">
        <f>IF(ISERROR(FIND('112'!$M$9,G4777,1)),"",IF((AND(LEFT(G4777,2)=LEFT('112'!$M$9,2),B4777&lt;'112'!$K$9,$N4777='112'!$I$6)),"x",""))</f>
        <v/>
      </c>
      <c r="V4777" s="75" t="str">
        <f>IF(ISERROR(FIND('112'!$M$9,G4777,1)),"",IF((AND(RIGHT(G4777,2)=RIGHT('112'!$M$9,2),B4777&lt;'112'!$K$9,$O4777='112'!$I$6)),"x",""))</f>
        <v/>
      </c>
      <c r="W4777" s="75" t="str">
        <f>IF(AND('341-CT'!$H$9=H4777,OR(LEFT(N4777,3)=$W$7,LEFT(O4777,3)=$W$7)),"x","")</f>
        <v/>
      </c>
      <c r="X4777" s="75" t="str">
        <f>IF(OR(TH!N3862=TH!$X$7,O4777=TH!$X$7),"x","")</f>
        <v/>
      </c>
      <c r="Y4777" s="75" t="str">
        <f>IF(AND(OR(N4777="131",O4777="131"),H4777='131-CT'!$H$9),"x","")</f>
        <v/>
      </c>
      <c r="Z4777" s="75"/>
      <c r="AA4777" s="75" t="str">
        <f>IF(AND(MONTH(E4777)='IN-NX'!$J$5,'IN-NX'!$D$7=D4777),"x","")</f>
        <v/>
      </c>
      <c r="AB4777" s="75" t="str">
        <f>IF(AND(OR(LEFT(TH!N3862,2)="15",LEFT(TH!O3862,2)="15"),LEFT(TH!O3862,3)&lt;&gt;"111",'152-CT'!$J$8=TH!F3862),"x","")</f>
        <v/>
      </c>
      <c r="AC4777" s="75" t="str">
        <f>IF(AND(OR(LEFT(TH!N3862,2)="15",LEFT(TH!O3862,2)="15"),TK!$E$7=TH!F3862),"x","")</f>
        <v/>
      </c>
      <c r="AD4777" s="75" t="str">
        <f>IF(AND(N4777="1521",MONTH(C4777)='BK-NL'!$M$11),"x","")</f>
        <v/>
      </c>
      <c r="AE4777">
        <v>8</v>
      </c>
    </row>
    <row r="4778" spans="1:33" ht="16.5" customHeight="1">
      <c r="A4778" s="309" t="str">
        <f>IF(B4778&lt;&gt;"",IF(AND(B4778='IN-TC'!$S$4,OR(TH!N4768="1111",TH!O4768="1111")),TH!D4768,""),"")</f>
        <v/>
      </c>
      <c r="B4778" s="1129">
        <f t="shared" si="1334"/>
        <v>8</v>
      </c>
      <c r="C4778" s="292">
        <f t="shared" si="1333"/>
        <v>42978</v>
      </c>
      <c r="D4778" s="292"/>
      <c r="E4778" s="292">
        <v>42978</v>
      </c>
      <c r="F4778" s="293" t="s">
        <v>2090</v>
      </c>
      <c r="G4778" s="925"/>
      <c r="H4778" s="294" t="s">
        <v>978</v>
      </c>
      <c r="I4778" s="373"/>
      <c r="J4778" s="926"/>
      <c r="K4778" s="373"/>
      <c r="L4778" s="379"/>
      <c r="M4778" s="927">
        <v>404727</v>
      </c>
      <c r="N4778" s="295" t="s">
        <v>9</v>
      </c>
      <c r="O4778" s="295" t="s">
        <v>63</v>
      </c>
      <c r="P4778" s="75" t="str">
        <f>IF(AND('331-CT'!$E$7=TH!H3863,OR(N4778="331",O4778="331")),"x","")</f>
        <v/>
      </c>
      <c r="Q4778" s="75" t="str">
        <f>IF(AND(B4778='111'!$L$11,OR($N4778=$Q$7,$O4778=$Q$7)),"x","")</f>
        <v/>
      </c>
      <c r="R4778" s="75" t="str">
        <f>IF(AND($N4778=$Q$7,$B4778&lt;'111'!$L$11),"x","")</f>
        <v/>
      </c>
      <c r="S4778" s="75" t="str">
        <f>IF(AND($O4778=$Q$7,$B4778&lt;'111'!$L$11),"x","")</f>
        <v>x</v>
      </c>
      <c r="T4778" s="75" t="str">
        <f>IF(ISERROR(FIND('112'!$M$9,G4778,1)),"",IF((AND(FIND('112'!$M$9,G4778,1)&gt;=1,B4778='112'!$K$9,OR($N4778='112'!$I$6,$O4778='112'!$I$6))),"x",""))</f>
        <v/>
      </c>
      <c r="U4778" s="75" t="str">
        <f>IF(ISERROR(FIND('112'!$M$9,G4778,1)),"",IF((AND(LEFT(G4778,2)=LEFT('112'!$M$9,2),B4778&lt;'112'!$K$9,$N4778='112'!$I$6)),"x",""))</f>
        <v/>
      </c>
      <c r="V4778" s="75" t="str">
        <f>IF(ISERROR(FIND('112'!$M$9,G4778,1)),"",IF((AND(RIGHT(G4778,2)=RIGHT('112'!$M$9,2),B4778&lt;'112'!$K$9,$O4778='112'!$I$6)),"x",""))</f>
        <v/>
      </c>
      <c r="W4778" s="75" t="str">
        <f>IF(AND('341-CT'!$H$9=H4778,OR(LEFT(N4778,3)=$W$7,LEFT(O4778,3)=$W$7)),"x","")</f>
        <v/>
      </c>
      <c r="X4778" s="75" t="str">
        <f>IF(OR(TH!N3863=TH!$X$7,O4778=TH!$X$7),"x","")</f>
        <v/>
      </c>
      <c r="Y4778" s="75" t="str">
        <f>IF(AND(OR(N4778="131",O4778="131"),H4778='131-CT'!$H$9),"x","")</f>
        <v/>
      </c>
      <c r="Z4778" s="75"/>
      <c r="AA4778" s="75" t="str">
        <f>IF(AND(MONTH(E4778)='IN-NX'!$J$5,'IN-NX'!$D$7=D4778),"x","")</f>
        <v/>
      </c>
      <c r="AB4778" s="75" t="str">
        <f>IF(AND(OR(LEFT(TH!N3863,2)="15",LEFT(TH!O3863,2)="15"),LEFT(TH!O3863,3)&lt;&gt;"111",'152-CT'!$J$8=TH!F3863),"x","")</f>
        <v/>
      </c>
      <c r="AC4778" s="75" t="str">
        <f>IF(AND(OR(LEFT(TH!N3863,2)="15",LEFT(TH!O3863,2)="15"),TK!$E$7=TH!F3863),"x","")</f>
        <v/>
      </c>
      <c r="AD4778" s="75" t="str">
        <f>IF(AND(N4778="1521",MONTH(C4778)='BK-NL'!$M$11),"x","")</f>
        <v/>
      </c>
      <c r="AE4778">
        <v>8</v>
      </c>
    </row>
    <row r="4779" spans="1:33" ht="16.5" customHeight="1">
      <c r="A4779" s="309" t="str">
        <f>IF(B4779&lt;&gt;"",IF(AND(B4779='IN-TC'!$S$4,OR(TH!N4769="1111",TH!O4769="1111")),TH!D4769,""),"")</f>
        <v/>
      </c>
      <c r="B4779" s="1129">
        <f t="shared" si="1334"/>
        <v>8</v>
      </c>
      <c r="C4779" s="292">
        <f t="shared" si="1333"/>
        <v>42978</v>
      </c>
      <c r="D4779" s="292"/>
      <c r="E4779" s="292">
        <v>42978</v>
      </c>
      <c r="F4779" s="293" t="s">
        <v>2681</v>
      </c>
      <c r="G4779" s="925"/>
      <c r="H4779" s="294" t="s">
        <v>2683</v>
      </c>
      <c r="I4779" s="373"/>
      <c r="J4779" s="926"/>
      <c r="K4779" s="373"/>
      <c r="L4779" s="379"/>
      <c r="M4779" s="927">
        <v>23497000</v>
      </c>
      <c r="N4779" s="295" t="s">
        <v>541</v>
      </c>
      <c r="O4779" s="295" t="s">
        <v>63</v>
      </c>
      <c r="P4779" s="75" t="str">
        <f>IF(AND('331-CT'!$E$7=TH!H3864,OR(N4779="331",O4779="331")),"x","")</f>
        <v/>
      </c>
      <c r="Q4779" s="75" t="str">
        <f>IF(AND(B4779='111'!$L$11,OR($N4779=$Q$7,$O4779=$Q$7)),"x","")</f>
        <v/>
      </c>
      <c r="R4779" s="75" t="str">
        <f>IF(AND($N4779=$Q$7,$B4779&lt;'111'!$L$11),"x","")</f>
        <v/>
      </c>
      <c r="S4779" s="75" t="str">
        <f>IF(AND($O4779=$Q$7,$B4779&lt;'111'!$L$11),"x","")</f>
        <v>x</v>
      </c>
      <c r="T4779" s="75" t="str">
        <f>IF(ISERROR(FIND('112'!$M$9,G4779,1)),"",IF((AND(FIND('112'!$M$9,G4779,1)&gt;=1,B4779='112'!$K$9,OR($N4779='112'!$I$6,$O4779='112'!$I$6))),"x",""))</f>
        <v/>
      </c>
      <c r="U4779" s="75" t="str">
        <f>IF(ISERROR(FIND('112'!$M$9,G4779,1)),"",IF((AND(LEFT(G4779,2)=LEFT('112'!$M$9,2),B4779&lt;'112'!$K$9,$N4779='112'!$I$6)),"x",""))</f>
        <v/>
      </c>
      <c r="V4779" s="75" t="str">
        <f>IF(ISERROR(FIND('112'!$M$9,G4779,1)),"",IF((AND(RIGHT(G4779,2)=RIGHT('112'!$M$9,2),B4779&lt;'112'!$K$9,$O4779='112'!$I$6)),"x",""))</f>
        <v/>
      </c>
      <c r="W4779" s="75" t="str">
        <f>IF(AND('341-CT'!$H$9=H4779,OR(LEFT(N4779,3)=$W$7,LEFT(O4779,3)=$W$7)),"x","")</f>
        <v/>
      </c>
      <c r="X4779" s="75" t="str">
        <f>IF(OR(TH!N3864=TH!$X$7,O4779=TH!$X$7),"x","")</f>
        <v/>
      </c>
      <c r="Y4779" s="75" t="str">
        <f>IF(AND(OR(N4779="131",O4779="131"),H4779='131-CT'!$H$9),"x","")</f>
        <v/>
      </c>
      <c r="Z4779" s="75"/>
      <c r="AA4779" s="75" t="str">
        <f>IF(AND(MONTH(E4779)='IN-NX'!$J$5,'IN-NX'!$D$7=D4779),"x","")</f>
        <v/>
      </c>
      <c r="AB4779" s="75" t="str">
        <f>IF(AND(OR(LEFT(TH!N3864,2)="15",LEFT(TH!O3864,2)="15"),LEFT(TH!O3864,3)&lt;&gt;"111",'152-CT'!$J$8=TH!F3864),"x","")</f>
        <v/>
      </c>
      <c r="AC4779" s="75" t="str">
        <f>IF(AND(OR(LEFT(TH!N3864,2)="15",LEFT(TH!O3864,2)="15"),TK!$E$7=TH!F3864),"x","")</f>
        <v/>
      </c>
      <c r="AD4779" s="75" t="str">
        <f>IF(AND(N4779="1521",MONTH(C4779)='BK-NL'!$M$11),"x","")</f>
        <v/>
      </c>
    </row>
    <row r="4780" spans="1:33" ht="16.5" customHeight="1">
      <c r="A4780" s="309" t="str">
        <f>IF(B4780&lt;&gt;"",IF(AND(B4780='IN-TC'!$S$4,OR(TH!N4770="1111",TH!O4770="1111")),TH!D4770,""),"")</f>
        <v/>
      </c>
      <c r="B4780" s="1129">
        <f t="shared" si="1334"/>
        <v>8</v>
      </c>
      <c r="C4780" s="292">
        <f t="shared" si="1333"/>
        <v>42978</v>
      </c>
      <c r="D4780" s="292"/>
      <c r="E4780" s="292">
        <v>42978</v>
      </c>
      <c r="F4780" s="293" t="s">
        <v>1410</v>
      </c>
      <c r="G4780" s="925"/>
      <c r="H4780" s="294" t="s">
        <v>1880</v>
      </c>
      <c r="I4780" s="373"/>
      <c r="J4780" s="926"/>
      <c r="K4780" s="373"/>
      <c r="L4780" s="379"/>
      <c r="M4780" s="927">
        <v>1090300</v>
      </c>
      <c r="N4780" s="295" t="s">
        <v>541</v>
      </c>
      <c r="O4780" s="295" t="s">
        <v>63</v>
      </c>
      <c r="P4780" s="75" t="str">
        <f>IF(AND('331-CT'!$E$7=TH!H3865,OR(N4780="331",O4780="331")),"x","")</f>
        <v/>
      </c>
      <c r="Q4780" s="75" t="str">
        <f>IF(AND(B4780='111'!$L$11,OR($N4780=$Q$7,$O4780=$Q$7)),"x","")</f>
        <v/>
      </c>
      <c r="R4780" s="75" t="str">
        <f>IF(AND($N4780=$Q$7,$B4780&lt;'111'!$L$11),"x","")</f>
        <v/>
      </c>
      <c r="S4780" s="75" t="str">
        <f>IF(AND($O4780=$Q$7,$B4780&lt;'111'!$L$11),"x","")</f>
        <v>x</v>
      </c>
      <c r="T4780" s="75" t="str">
        <f>IF(ISERROR(FIND('112'!$M$9,G4780,1)),"",IF((AND(FIND('112'!$M$9,G4780,1)&gt;=1,B4780='112'!$K$9,OR($N4780='112'!$I$6,$O4780='112'!$I$6))),"x",""))</f>
        <v/>
      </c>
      <c r="U4780" s="75" t="str">
        <f>IF(ISERROR(FIND('112'!$M$9,G4780,1)),"",IF((AND(LEFT(G4780,2)=LEFT('112'!$M$9,2),B4780&lt;'112'!$K$9,$N4780='112'!$I$6)),"x",""))</f>
        <v/>
      </c>
      <c r="V4780" s="75" t="str">
        <f>IF(ISERROR(FIND('112'!$M$9,G4780,1)),"",IF((AND(RIGHT(G4780,2)=RIGHT('112'!$M$9,2),B4780&lt;'112'!$K$9,$O4780='112'!$I$6)),"x",""))</f>
        <v/>
      </c>
      <c r="W4780" s="75" t="str">
        <f>IF(AND('341-CT'!$H$9=H4780,OR(LEFT(N4780,3)=$W$7,LEFT(O4780,3)=$W$7)),"x","")</f>
        <v/>
      </c>
      <c r="X4780" s="75" t="str">
        <f>IF(OR(TH!N3865=TH!$X$7,O4780=TH!$X$7),"x","")</f>
        <v/>
      </c>
      <c r="Y4780" s="75" t="str">
        <f>IF(AND(OR(N4780="131",O4780="131"),H4780='131-CT'!$H$9),"x","")</f>
        <v/>
      </c>
      <c r="Z4780" s="75"/>
      <c r="AA4780" s="75" t="str">
        <f>IF(AND(MONTH(E4780)='IN-NX'!$J$5,'IN-NX'!$D$7=D4780),"x","")</f>
        <v/>
      </c>
      <c r="AB4780" s="75" t="str">
        <f>IF(AND(OR(LEFT(TH!N3865,2)="15",LEFT(TH!O3865,2)="15"),LEFT(TH!O3865,3)&lt;&gt;"111",'152-CT'!$J$8=TH!F3865),"x","")</f>
        <v/>
      </c>
      <c r="AC4780" s="75" t="str">
        <f>IF(AND(OR(LEFT(TH!N3865,2)="15",LEFT(TH!O3865,2)="15"),TK!$E$7=TH!F3865),"x","")</f>
        <v/>
      </c>
      <c r="AD4780" s="75" t="str">
        <f>IF(AND(N4780="1521",MONTH(C4780)='BK-NL'!$M$11),"x","")</f>
        <v/>
      </c>
    </row>
    <row r="4781" spans="1:33" ht="16.5" customHeight="1">
      <c r="A4781" s="309" t="str">
        <f>IF(B4781&lt;&gt;"",IF(AND(B4781='IN-TC'!$S$4,OR(TH!N4771="1111",TH!O4771="1111")),TH!D4771,""),"")</f>
        <v/>
      </c>
      <c r="B4781" s="1129">
        <f t="shared" si="1334"/>
        <v>8</v>
      </c>
      <c r="C4781" s="292">
        <f t="shared" si="1333"/>
        <v>42978</v>
      </c>
      <c r="D4781" s="292"/>
      <c r="E4781" s="292">
        <v>42978</v>
      </c>
      <c r="F4781" s="293" t="s">
        <v>2681</v>
      </c>
      <c r="G4781" s="925"/>
      <c r="H4781" s="294" t="s">
        <v>2682</v>
      </c>
      <c r="I4781" s="373"/>
      <c r="J4781" s="926"/>
      <c r="K4781" s="373"/>
      <c r="L4781" s="379"/>
      <c r="M4781" s="927">
        <v>23677000</v>
      </c>
      <c r="N4781" s="295" t="s">
        <v>541</v>
      </c>
      <c r="O4781" s="295" t="s">
        <v>63</v>
      </c>
      <c r="P4781" s="75" t="str">
        <f>IF(AND('331-CT'!$E$7=TH!H3866,OR(N4781="331",O4781="331")),"x","")</f>
        <v/>
      </c>
      <c r="Q4781" s="75" t="str">
        <f>IF(AND(B4781='111'!$L$11,OR($N4781=$Q$7,$O4781=$Q$7)),"x","")</f>
        <v/>
      </c>
      <c r="R4781" s="75" t="str">
        <f>IF(AND($N4781=$Q$7,$B4781&lt;'111'!$L$11),"x","")</f>
        <v/>
      </c>
      <c r="S4781" s="75" t="str">
        <f>IF(AND($O4781=$Q$7,$B4781&lt;'111'!$L$11),"x","")</f>
        <v>x</v>
      </c>
      <c r="T4781" s="75" t="str">
        <f>IF(ISERROR(FIND('112'!$M$9,G4781,1)),"",IF((AND(FIND('112'!$M$9,G4781,1)&gt;=1,B4781='112'!$K$9,OR($N4781='112'!$I$6,$O4781='112'!$I$6))),"x",""))</f>
        <v/>
      </c>
      <c r="U4781" s="75" t="str">
        <f>IF(ISERROR(FIND('112'!$M$9,G4781,1)),"",IF((AND(LEFT(G4781,2)=LEFT('112'!$M$9,2),B4781&lt;'112'!$K$9,$N4781='112'!$I$6)),"x",""))</f>
        <v/>
      </c>
      <c r="V4781" s="75" t="str">
        <f>IF(ISERROR(FIND('112'!$M$9,G4781,1)),"",IF((AND(RIGHT(G4781,2)=RIGHT('112'!$M$9,2),B4781&lt;'112'!$K$9,$O4781='112'!$I$6)),"x",""))</f>
        <v/>
      </c>
      <c r="W4781" s="75" t="str">
        <f>IF(AND('341-CT'!$H$9=H4781,OR(LEFT(N4781,3)=$W$7,LEFT(O4781,3)=$W$7)),"x","")</f>
        <v/>
      </c>
      <c r="X4781" s="75" t="str">
        <f>IF(OR(TH!N3866=TH!$X$7,O4781=TH!$X$7),"x","")</f>
        <v/>
      </c>
      <c r="Y4781" s="75" t="str">
        <f>IF(AND(OR(N4781="131",O4781="131"),H4781='131-CT'!$H$9),"x","")</f>
        <v/>
      </c>
      <c r="Z4781" s="75"/>
      <c r="AA4781" s="75" t="str">
        <f>IF(AND(MONTH(E4781)='IN-NX'!$J$5,'IN-NX'!$D$7=D4781),"x","")</f>
        <v/>
      </c>
      <c r="AB4781" s="75" t="str">
        <f>IF(AND(OR(LEFT(TH!N3866,2)="15",LEFT(TH!O3866,2)="15"),LEFT(TH!O3866,3)&lt;&gt;"111",'152-CT'!$J$8=TH!F3866),"x","")</f>
        <v/>
      </c>
      <c r="AC4781" s="75" t="str">
        <f>IF(AND(OR(LEFT(TH!N3866,2)="15",LEFT(TH!O3866,2)="15"),TK!$E$7=TH!F3866),"x","")</f>
        <v/>
      </c>
      <c r="AD4781" s="75" t="str">
        <f>IF(AND(N4781="1521",MONTH(C4781)='BK-NL'!$M$11),"x","")</f>
        <v/>
      </c>
    </row>
    <row r="4782" spans="1:33" ht="16.5" customHeight="1">
      <c r="A4782" s="309" t="str">
        <f>IF(B4782&lt;&gt;"",IF(AND(B4782='IN-TC'!$S$4,OR(TH!N4772="1111",TH!O4772="1111")),TH!D4772,""),"")</f>
        <v/>
      </c>
      <c r="B4782" s="1129">
        <f t="shared" si="1334"/>
        <v>8</v>
      </c>
      <c r="C4782" s="292">
        <f t="shared" si="1333"/>
        <v>42978</v>
      </c>
      <c r="D4782" s="292"/>
      <c r="E4782" s="292">
        <v>42978</v>
      </c>
      <c r="F4782" s="293" t="s">
        <v>1410</v>
      </c>
      <c r="G4782" s="925"/>
      <c r="H4782" s="294" t="s">
        <v>1879</v>
      </c>
      <c r="I4782" s="373"/>
      <c r="J4782" s="926"/>
      <c r="K4782" s="373"/>
      <c r="L4782" s="379"/>
      <c r="M4782" s="927">
        <v>740000</v>
      </c>
      <c r="N4782" s="295" t="s">
        <v>541</v>
      </c>
      <c r="O4782" s="295" t="s">
        <v>63</v>
      </c>
      <c r="P4782" s="75" t="str">
        <f>IF(AND('331-CT'!$E$7=TH!H3867,OR(N4782="331",O4782="331")),"x","")</f>
        <v/>
      </c>
      <c r="Q4782" s="75" t="str">
        <f>IF(AND(B4782='111'!$L$11,OR($N4782=$Q$7,$O4782=$Q$7)),"x","")</f>
        <v/>
      </c>
      <c r="R4782" s="75" t="str">
        <f>IF(AND($N4782=$Q$7,$B4782&lt;'111'!$L$11),"x","")</f>
        <v/>
      </c>
      <c r="S4782" s="75" t="str">
        <f>IF(AND($O4782=$Q$7,$B4782&lt;'111'!$L$11),"x","")</f>
        <v>x</v>
      </c>
      <c r="T4782" s="75" t="str">
        <f>IF(ISERROR(FIND('112'!$M$9,G4782,1)),"",IF((AND(FIND('112'!$M$9,G4782,1)&gt;=1,B4782='112'!$K$9,OR($N4782='112'!$I$6,$O4782='112'!$I$6))),"x",""))</f>
        <v/>
      </c>
      <c r="U4782" s="75" t="str">
        <f>IF(ISERROR(FIND('112'!$M$9,G4782,1)),"",IF((AND(LEFT(G4782,2)=LEFT('112'!$M$9,2),B4782&lt;'112'!$K$9,$N4782='112'!$I$6)),"x",""))</f>
        <v/>
      </c>
      <c r="V4782" s="75" t="str">
        <f>IF(ISERROR(FIND('112'!$M$9,G4782,1)),"",IF((AND(RIGHT(G4782,2)=RIGHT('112'!$M$9,2),B4782&lt;'112'!$K$9,$O4782='112'!$I$6)),"x",""))</f>
        <v/>
      </c>
      <c r="W4782" s="75" t="str">
        <f>IF(AND('341-CT'!$H$9=H4782,OR(LEFT(N4782,3)=$W$7,LEFT(O4782,3)=$W$7)),"x","")</f>
        <v/>
      </c>
      <c r="X4782" s="75" t="str">
        <f>IF(OR(TH!N3867=TH!$X$7,O4782=TH!$X$7),"x","")</f>
        <v/>
      </c>
      <c r="Y4782" s="75" t="str">
        <f>IF(AND(OR(N4782="131",O4782="131"),H4782='131-CT'!$H$9),"x","")</f>
        <v/>
      </c>
      <c r="Z4782" s="75"/>
      <c r="AA4782" s="75" t="str">
        <f>IF(AND(MONTH(E4782)='IN-NX'!$J$5,'IN-NX'!$D$7=D4782),"x","")</f>
        <v/>
      </c>
      <c r="AB4782" s="75" t="str">
        <f>IF(AND(OR(LEFT(TH!N3867,2)="15",LEFT(TH!O3867,2)="15"),LEFT(TH!O3867,3)&lt;&gt;"111",'152-CT'!$J$8=TH!F3867),"x","")</f>
        <v/>
      </c>
      <c r="AC4782" s="75" t="str">
        <f>IF(AND(OR(LEFT(TH!N3867,2)="15",LEFT(TH!O3867,2)="15"),TK!$E$7=TH!F3867),"x","")</f>
        <v/>
      </c>
      <c r="AD4782" s="75" t="str">
        <f>IF(AND(N4782="1521",MONTH(C4782)='BK-NL'!$M$11),"x","")</f>
        <v/>
      </c>
    </row>
    <row r="4783" spans="1:33" ht="16.5" customHeight="1">
      <c r="A4783" s="309" t="str">
        <f>IF(B4783&lt;&gt;"",IF(AND(B4783='IN-TC'!$S$4,OR(TH!N4773="1111",TH!O4773="1111")),TH!D4773,""),"")</f>
        <v/>
      </c>
      <c r="B4783" s="1129">
        <f t="shared" si="1334"/>
        <v>8</v>
      </c>
      <c r="C4783" s="292">
        <f t="shared" si="1333"/>
        <v>42978</v>
      </c>
      <c r="D4783" s="292"/>
      <c r="E4783" s="292">
        <v>42978</v>
      </c>
      <c r="F4783" s="293" t="s">
        <v>2088</v>
      </c>
      <c r="G4783" s="925"/>
      <c r="H4783" s="294" t="s">
        <v>980</v>
      </c>
      <c r="I4783" s="373"/>
      <c r="J4783" s="926"/>
      <c r="K4783" s="373"/>
      <c r="L4783" s="379"/>
      <c r="M4783" s="927">
        <v>102179159</v>
      </c>
      <c r="N4783" s="295" t="s">
        <v>540</v>
      </c>
      <c r="O4783" s="295" t="s">
        <v>63</v>
      </c>
      <c r="P4783" s="75" t="str">
        <f>IF(AND('331-CT'!$E$7=TH!H3868,OR(N4783="331",O4783="331")),"x","")</f>
        <v/>
      </c>
      <c r="Q4783" s="75" t="str">
        <f>IF(AND(B4783='111'!$L$11,OR($N4783=$Q$7,$O4783=$Q$7)),"x","")</f>
        <v/>
      </c>
      <c r="R4783" s="75" t="str">
        <f>IF(AND($N4783=$Q$7,$B4783&lt;'111'!$L$11),"x","")</f>
        <v/>
      </c>
      <c r="S4783" s="75" t="str">
        <f>IF(AND($O4783=$Q$7,$B4783&lt;'111'!$L$11),"x","")</f>
        <v>x</v>
      </c>
      <c r="T4783" s="75" t="str">
        <f>IF(ISERROR(FIND('112'!$M$9,G4783,1)),"",IF((AND(FIND('112'!$M$9,G4783,1)&gt;=1,B4783='112'!$K$9,OR($N4783='112'!$I$6,$O4783='112'!$I$6))),"x",""))</f>
        <v/>
      </c>
      <c r="U4783" s="75" t="str">
        <f>IF(ISERROR(FIND('112'!$M$9,G4783,1)),"",IF((AND(LEFT(G4783,2)=LEFT('112'!$M$9,2),B4783&lt;'112'!$K$9,$N4783='112'!$I$6)),"x",""))</f>
        <v/>
      </c>
      <c r="V4783" s="75" t="str">
        <f>IF(ISERROR(FIND('112'!$M$9,G4783,1)),"",IF((AND(RIGHT(G4783,2)=RIGHT('112'!$M$9,2),B4783&lt;'112'!$K$9,$O4783='112'!$I$6)),"x",""))</f>
        <v/>
      </c>
      <c r="W4783" s="75" t="str">
        <f>IF(AND('341-CT'!$H$9=H4783,OR(LEFT(N4783,3)=$W$7,LEFT(O4783,3)=$W$7)),"x","")</f>
        <v/>
      </c>
      <c r="X4783" s="75" t="str">
        <f>IF(OR(TH!N3868=TH!$X$7,O4783=TH!$X$7),"x","")</f>
        <v/>
      </c>
      <c r="Y4783" s="75" t="str">
        <f>IF(AND(OR(N4783="131",O4783="131"),H4783='131-CT'!$H$9),"x","")</f>
        <v/>
      </c>
      <c r="Z4783" s="75"/>
      <c r="AA4783" s="75" t="str">
        <f>IF(AND(MONTH(E4783)='IN-NX'!$J$5,'IN-NX'!$D$7=D4783),"x","")</f>
        <v/>
      </c>
      <c r="AB4783" s="75" t="str">
        <f>IF(AND(OR(LEFT(TH!N3868,2)="15",LEFT(TH!O3868,2)="15"),LEFT(TH!O3868,3)&lt;&gt;"111",'152-CT'!$J$8=TH!F3868),"x","")</f>
        <v/>
      </c>
      <c r="AC4783" s="75" t="str">
        <f>IF(AND(OR(LEFT(TH!N3868,2)="15",LEFT(TH!O3868,2)="15"),TK!$E$7=TH!F3868),"x","")</f>
        <v/>
      </c>
      <c r="AD4783" s="75" t="str">
        <f>IF(AND(N4783="1521",MONTH(C4783)='BK-NL'!$M$11),"x","")</f>
        <v/>
      </c>
    </row>
    <row r="4784" spans="1:33" ht="16.5" customHeight="1">
      <c r="A4784" s="309" t="str">
        <f>IF(B4784&lt;&gt;"",IF(AND(B4784='IN-TC'!$S$4,OR(TH!N4774="1111",TH!O4774="1111")),TH!D4774,""),"")</f>
        <v/>
      </c>
      <c r="B4784" s="1129">
        <f t="shared" si="1334"/>
        <v>8</v>
      </c>
      <c r="C4784" s="292">
        <f t="shared" si="1333"/>
        <v>42978</v>
      </c>
      <c r="D4784" s="59" t="s">
        <v>902</v>
      </c>
      <c r="E4784" s="59">
        <v>42978</v>
      </c>
      <c r="F4784" s="67" t="s">
        <v>2039</v>
      </c>
      <c r="G4784" s="62" t="s">
        <v>1713</v>
      </c>
      <c r="H4784" s="67" t="s">
        <v>1771</v>
      </c>
      <c r="I4784" s="373"/>
      <c r="J4784" s="382"/>
      <c r="K4784" s="373"/>
      <c r="L4784" s="379"/>
      <c r="M4784" s="60">
        <v>9700000000</v>
      </c>
      <c r="N4784" s="61" t="s">
        <v>2415</v>
      </c>
      <c r="O4784" s="61" t="s">
        <v>26</v>
      </c>
      <c r="P4784" s="75" t="str">
        <f>IF(AND('331-CT'!$E$7=TH!H4476,OR(N4784="331",O4784="331")),"x","")</f>
        <v/>
      </c>
      <c r="Q4784" s="75" t="str">
        <f>IF(AND(B4784='111'!$L$11,OR($N4784=$Q$7,$O4784=$Q$7)),"x","")</f>
        <v/>
      </c>
      <c r="R4784" s="75" t="str">
        <f>IF(AND($N4784=$Q$7,$B4784&lt;'111'!$L$11),"x","")</f>
        <v/>
      </c>
      <c r="S4784" s="75" t="str">
        <f>IF(AND($O4784=$Q$7,$B4784&lt;'111'!$L$11),"x","")</f>
        <v/>
      </c>
      <c r="T4784" s="75" t="str">
        <f>IF(ISERROR(FIND('112'!$M$9,G4784,1)),"",IF((AND(FIND('112'!$M$9,G4784,1)&gt;=1,B4784='112'!$K$9,OR($N4784='112'!$I$6,$O4784='112'!$I$6))),"x",""))</f>
        <v/>
      </c>
      <c r="U4784" s="75" t="str">
        <f>IF(ISERROR(FIND('112'!$M$9,G4784,1)),"",IF((AND(LEFT(G4784,2)=LEFT('112'!$M$9,2),B4784&lt;'112'!$K$9,$N4784='112'!$I$6)),"x",""))</f>
        <v/>
      </c>
      <c r="V4784" s="75" t="str">
        <f>IF(ISERROR(FIND('112'!$M$9,G4784,1)),"",IF((AND(RIGHT(G4784,2)=RIGHT('112'!$M$9,2),B4784&lt;'112'!$K$9,$O4784='112'!$I$6)),"x",""))</f>
        <v/>
      </c>
      <c r="W4784" s="75" t="str">
        <f>IF(AND('341-CT'!$H$9=H4784,OR(LEFT(N4784,3)=$W$7,LEFT(O4784,3)=$W$7)),"x","")</f>
        <v/>
      </c>
      <c r="X4784" s="75" t="str">
        <f>IF(OR(TH!N4476=TH!$X$7,O4784=TH!$X$7),"x","")</f>
        <v/>
      </c>
      <c r="Y4784" s="75" t="str">
        <f>IF(AND(OR(N4784="131",O4784="131"),H4784='131-CT'!$H$9),"x","")</f>
        <v/>
      </c>
      <c r="Z4784" s="75"/>
      <c r="AA4784" s="75" t="str">
        <f>IF(AND(MONTH(E4784)='IN-NX'!$J$5,'IN-NX'!$D$7=D4784),"x","")</f>
        <v/>
      </c>
      <c r="AB4784" s="75" t="str">
        <f>IF(AND(OR(LEFT(TH!N4476,2)="15",LEFT(TH!O4476,2)="15"),LEFT(TH!O4476,3)&lt;&gt;"111",'152-CT'!$J$8=TH!F4476),"x","")</f>
        <v/>
      </c>
      <c r="AC4784" s="75" t="str">
        <f>IF(AND(OR(LEFT(TH!N4476,2)="15",LEFT(TH!O4476,2)="15"),TK!$E$7=TH!F4476),"x","")</f>
        <v/>
      </c>
      <c r="AD4784" s="75" t="str">
        <f>IF(AND(N4784="1521",MONTH(C4784)='BK-NL'!$M$11),"x","")</f>
        <v/>
      </c>
      <c r="AE4784" s="1053"/>
      <c r="AF4784" s="1053"/>
      <c r="AG4784" s="1053"/>
    </row>
    <row r="4785" spans="1:33" ht="16.5" customHeight="1">
      <c r="A4785" s="309" t="str">
        <f>IF(B4785&lt;&gt;"",IF(AND(B4785='IN-TC'!$S$4,OR(TH!N4775="1111",TH!O4775="1111")),TH!D4775,""),"")</f>
        <v/>
      </c>
      <c r="B4785" s="1129">
        <f t="shared" si="1334"/>
        <v>8</v>
      </c>
      <c r="C4785" s="292">
        <f t="shared" si="1333"/>
        <v>42978</v>
      </c>
      <c r="D4785" s="59" t="s">
        <v>903</v>
      </c>
      <c r="E4785" s="59">
        <v>42978</v>
      </c>
      <c r="F4785" s="67" t="s">
        <v>914</v>
      </c>
      <c r="G4785" s="62" t="s">
        <v>1713</v>
      </c>
      <c r="H4785" s="67" t="s">
        <v>1771</v>
      </c>
      <c r="I4785" s="373"/>
      <c r="J4785" s="382"/>
      <c r="K4785" s="373"/>
      <c r="L4785" s="379"/>
      <c r="M4785" s="60">
        <v>165933</v>
      </c>
      <c r="N4785" s="61" t="s">
        <v>26</v>
      </c>
      <c r="O4785" s="61" t="s">
        <v>43</v>
      </c>
      <c r="P4785" s="75" t="str">
        <f>IF(AND('331-CT'!$E$7=TH!H4477,OR(N4785="331",O4785="331")),"x","")</f>
        <v/>
      </c>
      <c r="Q4785" s="75" t="str">
        <f>IF(AND(B4785='111'!$L$11,OR($N4785=$Q$7,$O4785=$Q$7)),"x","")</f>
        <v/>
      </c>
      <c r="R4785" s="75" t="str">
        <f>IF(AND($N4785=$Q$7,$B4785&lt;'111'!$L$11),"x","")</f>
        <v/>
      </c>
      <c r="S4785" s="75" t="str">
        <f>IF(AND($O4785=$Q$7,$B4785&lt;'111'!$L$11),"x","")</f>
        <v/>
      </c>
      <c r="T4785" s="75" t="str">
        <f>IF(ISERROR(FIND('112'!$M$9,G4785,1)),"",IF((AND(FIND('112'!$M$9,G4785,1)&gt;=1,B4785='112'!$K$9,OR($N4785='112'!$I$6,$O4785='112'!$I$6))),"x",""))</f>
        <v/>
      </c>
      <c r="U4785" s="75" t="str">
        <f>IF(ISERROR(FIND('112'!$M$9,G4785,1)),"",IF((AND(LEFT(G4785,2)=LEFT('112'!$M$9,2),B4785&lt;'112'!$K$9,$N4785='112'!$I$6)),"x",""))</f>
        <v/>
      </c>
      <c r="V4785" s="75" t="str">
        <f>IF(ISERROR(FIND('112'!$M$9,G4785,1)),"",IF((AND(RIGHT(G4785,2)=RIGHT('112'!$M$9,2),B4785&lt;'112'!$K$9,$O4785='112'!$I$6)),"x",""))</f>
        <v/>
      </c>
      <c r="W4785" s="75" t="str">
        <f>IF(AND('341-CT'!$H$9=H4785,OR(LEFT(N4785,3)=$W$7,LEFT(O4785,3)=$W$7)),"x","")</f>
        <v/>
      </c>
      <c r="X4785" s="75" t="str">
        <f>IF(OR(TH!N4477=TH!$X$7,O4785=TH!$X$7),"x","")</f>
        <v/>
      </c>
      <c r="Y4785" s="75" t="str">
        <f>IF(AND(OR(N4785="131",O4785="131"),H4785='131-CT'!$H$9),"x","")</f>
        <v/>
      </c>
      <c r="Z4785" s="75"/>
      <c r="AA4785" s="75" t="str">
        <f>IF(AND(MONTH(E4785)='IN-NX'!$J$5,'IN-NX'!$D$7=D4785),"x","")</f>
        <v/>
      </c>
      <c r="AB4785" s="75" t="str">
        <f>IF(AND(OR(LEFT(TH!N4477,2)="15",LEFT(TH!O4477,2)="15"),LEFT(TH!O4477,3)&lt;&gt;"111",'152-CT'!$J$8=TH!F4477),"x","")</f>
        <v/>
      </c>
      <c r="AC4785" s="75" t="str">
        <f>IF(AND(OR(LEFT(TH!N4477,2)="15",LEFT(TH!O4477,2)="15"),TK!$E$7=TH!F4477),"x","")</f>
        <v/>
      </c>
      <c r="AD4785" s="75" t="str">
        <f>IF(AND(N4785="1521",MONTH(C4785)='BK-NL'!$M$11),"x","")</f>
        <v/>
      </c>
      <c r="AE4785" s="1053"/>
      <c r="AF4785" s="1053"/>
      <c r="AG4785" s="1053"/>
    </row>
    <row r="4786" spans="1:33" ht="16.5" customHeight="1">
      <c r="A4786" s="309" t="str">
        <f>IF(B4786&lt;&gt;"",IF(AND(B4786='IN-TC'!$S$4,OR(TH!N4776="1111",TH!O4776="1111")),TH!D4776,""),"")</f>
        <v/>
      </c>
      <c r="B4786" s="1242">
        <f t="shared" si="1334"/>
        <v>9</v>
      </c>
      <c r="C4786" s="292">
        <f t="shared" si="1333"/>
        <v>42979</v>
      </c>
      <c r="D4786" s="59" t="s">
        <v>903</v>
      </c>
      <c r="E4786" s="59">
        <v>42979</v>
      </c>
      <c r="F4786" s="62" t="s">
        <v>914</v>
      </c>
      <c r="G4786" s="62" t="s">
        <v>585</v>
      </c>
      <c r="H4786" s="67" t="s">
        <v>845</v>
      </c>
      <c r="I4786" s="375"/>
      <c r="J4786" s="382"/>
      <c r="K4786" s="375"/>
      <c r="L4786" s="381"/>
      <c r="M4786" s="60">
        <v>2394</v>
      </c>
      <c r="N4786" s="61" t="s">
        <v>26</v>
      </c>
      <c r="O4786" s="295" t="s">
        <v>43</v>
      </c>
      <c r="P4786" s="75" t="str">
        <f>IF(AND('331-CT'!$E$7=TH!H4803,OR(N4786="331",O4786="331")),"x","")</f>
        <v/>
      </c>
      <c r="Q4786" s="75" t="str">
        <f>IF(AND(B4786='111'!$L$11,OR($N4786=$Q$7,$O4786=$Q$7)),"x","")</f>
        <v/>
      </c>
      <c r="R4786" s="75" t="str">
        <f>IF(AND($N4786=$Q$7,$B4786&lt;'111'!$L$11),"x","")</f>
        <v/>
      </c>
      <c r="S4786" s="75" t="str">
        <f>IF(AND($O4786=$Q$7,$B4786&lt;'111'!$L$11),"x","")</f>
        <v/>
      </c>
      <c r="T4786" s="75" t="str">
        <f>IF(ISERROR(FIND('112'!$M$9,G4786,1)),"",IF((AND(FIND('112'!$M$9,G4786,1)&gt;=1,B4786='112'!$K$9,OR($N4786='112'!$I$6,$O4786='112'!$I$6))),"x",""))</f>
        <v/>
      </c>
      <c r="U4786" s="75" t="str">
        <f>IF(ISERROR(FIND('112'!$M$9,G4786,1)),"",IF((AND(LEFT(G4786,2)=LEFT('112'!$M$9,2),B4786&lt;'112'!$K$9,$N4786='112'!$I$6)),"x",""))</f>
        <v/>
      </c>
      <c r="V4786" s="75" t="str">
        <f>IF(ISERROR(FIND('112'!$M$9,G4786,1)),"",IF((AND(RIGHT(G4786,2)=RIGHT('112'!$M$9,2),B4786&lt;'112'!$K$9,$O4786='112'!$I$6)),"x",""))</f>
        <v/>
      </c>
      <c r="W4786" s="75" t="str">
        <f>IF(AND('341-CT'!$H$9=H4786,OR(LEFT(N4786,3)=$W$7,LEFT(O4786,3)=$W$7)),"x","")</f>
        <v/>
      </c>
      <c r="X4786" s="75" t="str">
        <f>IF(OR(TH!N4803=TH!$X$7,O4786=TH!$X$7),"x","")</f>
        <v/>
      </c>
      <c r="Y4786" s="75" t="str">
        <f>IF(AND(OR(N4786="131",O4786="131"),H4786='131-CT'!$H$9),"x","")</f>
        <v/>
      </c>
      <c r="Z4786" s="75"/>
      <c r="AA4786" s="75" t="str">
        <f>IF(AND(MONTH(E4786)='IN-NX'!$J$5,'IN-NX'!$D$7=D4786),"x","")</f>
        <v/>
      </c>
      <c r="AB4786" s="75" t="str">
        <f>IF(AND(OR(LEFT(TH!N4803,2)="15",LEFT(TH!O4803,2)="15"),LEFT(TH!O4803,3)&lt;&gt;"111",'152-CT'!$J$8=TH!F4803),"x","")</f>
        <v/>
      </c>
      <c r="AC4786" s="75" t="str">
        <f>IF(AND(OR(LEFT(TH!N4803,2)="15",LEFT(TH!O4803,2)="15"),TK!$E$7=TH!F4803),"x","")</f>
        <v/>
      </c>
      <c r="AD4786" s="75" t="str">
        <f>IF(AND(N4786="1521",MONTH(C4786)='BK-NL'!$M$11),"x","")</f>
        <v/>
      </c>
    </row>
    <row r="4787" spans="1:33" ht="16.5" customHeight="1">
      <c r="A4787" s="309" t="str">
        <f>IF(B4787&lt;&gt;"",IF(AND(B4787='IN-TC'!$S$4,OR(TH!N4777="1111",TH!O4777="1111")),TH!D4777,""),"")</f>
        <v/>
      </c>
      <c r="B4787" s="1242">
        <f t="shared" si="1334"/>
        <v>9</v>
      </c>
      <c r="C4787" s="292">
        <f t="shared" ref="C4787:C4850" si="1335">E4787</f>
        <v>42979</v>
      </c>
      <c r="D4787" s="59" t="s">
        <v>833</v>
      </c>
      <c r="E4787" s="59">
        <v>42979</v>
      </c>
      <c r="F4787" s="62" t="s">
        <v>834</v>
      </c>
      <c r="G4787" s="62" t="s">
        <v>747</v>
      </c>
      <c r="H4787" s="67" t="s">
        <v>1023</v>
      </c>
      <c r="I4787" s="373"/>
      <c r="J4787" s="382"/>
      <c r="K4787" s="373"/>
      <c r="L4787" s="379"/>
      <c r="M4787" s="60">
        <v>340000000</v>
      </c>
      <c r="N4787" s="61" t="s">
        <v>63</v>
      </c>
      <c r="O4787" s="61" t="s">
        <v>26</v>
      </c>
      <c r="P4787" s="75" t="str">
        <f>IF(AND('331-CT'!$E$7=TH!H5433,OR(N4787="331",O4787="331")),"x","")</f>
        <v/>
      </c>
      <c r="Q4787" s="75" t="str">
        <f>IF(AND(B4787='111'!$L$11,OR($N4787=$Q$7,$O4787=$Q$7)),"x","")</f>
        <v/>
      </c>
      <c r="R4787" s="75" t="str">
        <f>IF(AND($N4787=$Q$7,$B4787&lt;'111'!$L$11),"x","")</f>
        <v>x</v>
      </c>
      <c r="S4787" s="75" t="str">
        <f>IF(AND($O4787=$Q$7,$B4787&lt;'111'!$L$11),"x","")</f>
        <v/>
      </c>
      <c r="T4787" s="75" t="str">
        <f>IF(ISERROR(FIND('112'!$M$9,G4787,1)),"",IF((AND(FIND('112'!$M$9,G4787,1)&gt;=1,B4787='112'!$K$9,OR($N4787='112'!$I$6,$O4787='112'!$I$6))),"x",""))</f>
        <v/>
      </c>
      <c r="U4787" s="75" t="str">
        <f>IF(ISERROR(FIND('112'!$M$9,G4787,1)),"",IF((AND(LEFT(G4787,2)=LEFT('112'!$M$9,2),B4787&lt;'112'!$K$9,$N4787='112'!$I$6)),"x",""))</f>
        <v/>
      </c>
      <c r="V4787" s="75" t="str">
        <f>IF(ISERROR(FIND('112'!$M$9,G4787,1)),"",IF((AND(RIGHT(G4787,2)=RIGHT('112'!$M$9,2),B4787&lt;'112'!$K$9,$O4787='112'!$I$6)),"x",""))</f>
        <v/>
      </c>
      <c r="W4787" s="75" t="str">
        <f>IF(AND('341-CT'!$H$9=H4787,OR(LEFT(N4787,3)=$W$7,LEFT(O4787,3)=$W$7)),"x","")</f>
        <v/>
      </c>
      <c r="X4787" s="75" t="str">
        <f>IF(OR(TH!N5433=TH!$X$7,O4787=TH!$X$7),"x","")</f>
        <v/>
      </c>
      <c r="Y4787" s="75" t="str">
        <f>IF(AND(OR(N4787="131",O4787="131"),H4787='131-CT'!$H$9),"x","")</f>
        <v/>
      </c>
      <c r="Z4787" s="75"/>
      <c r="AA4787" s="75" t="str">
        <f>IF(AND(MONTH(E4787)='IN-NX'!$J$5,'IN-NX'!$D$7=D4787),"x","")</f>
        <v/>
      </c>
      <c r="AB4787" s="75" t="str">
        <f>IF(AND(OR(LEFT(TH!N5433,2)="15",LEFT(TH!O5433,2)="15"),LEFT(TH!O5433,3)&lt;&gt;"111",'152-CT'!$J$8=TH!F5433),"x","")</f>
        <v/>
      </c>
      <c r="AC4787" s="75" t="str">
        <f>IF(AND(OR(LEFT(TH!N5433,2)="15",LEFT(TH!O5433,2)="15"),TK!$E$7=TH!F5433),"x","")</f>
        <v/>
      </c>
      <c r="AD4787" s="75" t="str">
        <f>IF(AND(N4787="1521",MONTH(C4787)='BK-NL'!$M$11),"x","")</f>
        <v/>
      </c>
    </row>
    <row r="4788" spans="1:33" ht="16.5" customHeight="1">
      <c r="A4788" s="309" t="str">
        <f>IF(B4788&lt;&gt;"",IF(AND(B4788='IN-TC'!$S$4,OR(TH!N4778="1111",TH!O4778="1111")),TH!D4778,""),"")</f>
        <v/>
      </c>
      <c r="B4788" s="1242">
        <f t="shared" si="1334"/>
        <v>9</v>
      </c>
      <c r="C4788" s="292">
        <f t="shared" si="1335"/>
        <v>42979</v>
      </c>
      <c r="D4788" s="59" t="s">
        <v>902</v>
      </c>
      <c r="E4788" s="59">
        <v>42979</v>
      </c>
      <c r="F4788" s="62" t="s">
        <v>2100</v>
      </c>
      <c r="G4788" s="62" t="s">
        <v>747</v>
      </c>
      <c r="H4788" s="67" t="s">
        <v>563</v>
      </c>
      <c r="I4788" s="373"/>
      <c r="J4788" s="382"/>
      <c r="K4788" s="373"/>
      <c r="L4788" s="379"/>
      <c r="M4788" s="60">
        <v>63907910</v>
      </c>
      <c r="N4788" s="61" t="s">
        <v>8</v>
      </c>
      <c r="O4788" s="61" t="s">
        <v>26</v>
      </c>
      <c r="P4788" s="75" t="str">
        <f>IF(AND('331-CT'!$E$7=TH!H5434,OR(N4788="331",O4788="331")),"x","")</f>
        <v/>
      </c>
      <c r="Q4788" s="75" t="str">
        <f>IF(AND(B4788='111'!$L$11,OR($N4788=$Q$7,$O4788=$Q$7)),"x","")</f>
        <v/>
      </c>
      <c r="R4788" s="75" t="str">
        <f>IF(AND($N4788=$Q$7,$B4788&lt;'111'!$L$11),"x","")</f>
        <v/>
      </c>
      <c r="S4788" s="75" t="str">
        <f>IF(AND($O4788=$Q$7,$B4788&lt;'111'!$L$11),"x","")</f>
        <v/>
      </c>
      <c r="T4788" s="75" t="str">
        <f>IF(ISERROR(FIND('112'!$M$9,G4788,1)),"",IF((AND(FIND('112'!$M$9,G4788,1)&gt;=1,B4788='112'!$K$9,OR($N4788='112'!$I$6,$O4788='112'!$I$6))),"x",""))</f>
        <v/>
      </c>
      <c r="U4788" s="75" t="str">
        <f>IF(ISERROR(FIND('112'!$M$9,G4788,1)),"",IF((AND(LEFT(G4788,2)=LEFT('112'!$M$9,2),B4788&lt;'112'!$K$9,$N4788='112'!$I$6)),"x",""))</f>
        <v/>
      </c>
      <c r="V4788" s="75" t="str">
        <f>IF(ISERROR(FIND('112'!$M$9,G4788,1)),"",IF((AND(RIGHT(G4788,2)=RIGHT('112'!$M$9,2),B4788&lt;'112'!$K$9,$O4788='112'!$I$6)),"x",""))</f>
        <v/>
      </c>
      <c r="W4788" s="75" t="str">
        <f>IF(AND('341-CT'!$H$9=H4788,OR(LEFT(N4788,3)=$W$7,LEFT(O4788,3)=$W$7)),"x","")</f>
        <v/>
      </c>
      <c r="X4788" s="75" t="str">
        <f>IF(OR(TH!N5434=TH!$X$7,O4788=TH!$X$7),"x","")</f>
        <v/>
      </c>
      <c r="Y4788" s="75" t="str">
        <f>IF(AND(OR(N4788="131",O4788="131"),H4788='131-CT'!$H$9),"x","")</f>
        <v/>
      </c>
      <c r="Z4788" s="75"/>
      <c r="AA4788" s="75" t="str">
        <f>IF(AND(MONTH(E4788)='IN-NX'!$J$5,'IN-NX'!$D$7=D4788),"x","")</f>
        <v/>
      </c>
      <c r="AB4788" s="75" t="str">
        <f>IF(AND(OR(LEFT(TH!N5434,2)="15",LEFT(TH!O5434,2)="15"),LEFT(TH!O5434,3)&lt;&gt;"111",'152-CT'!$J$8=TH!F5434),"x","")</f>
        <v/>
      </c>
      <c r="AC4788" s="75" t="str">
        <f>IF(AND(OR(LEFT(TH!N5434,2)="15",LEFT(TH!O5434,2)="15"),TK!$E$7=TH!F5434),"x","")</f>
        <v/>
      </c>
      <c r="AD4788" s="75" t="str">
        <f>IF(AND(N4788="1521",MONTH(C4788)='BK-NL'!$M$11),"x","")</f>
        <v/>
      </c>
    </row>
    <row r="4789" spans="1:33" ht="16.5" customHeight="1">
      <c r="A4789" s="309" t="str">
        <f>IF(B4789&lt;&gt;"",IF(AND(B4789='IN-TC'!$S$4,OR(TH!N4779="1111",TH!O4779="1111")),TH!D4779,""),"")</f>
        <v/>
      </c>
      <c r="B4789" s="1242">
        <f t="shared" si="1334"/>
        <v>9</v>
      </c>
      <c r="C4789" s="292">
        <f t="shared" si="1335"/>
        <v>42979</v>
      </c>
      <c r="D4789" s="59" t="s">
        <v>902</v>
      </c>
      <c r="E4789" s="59">
        <v>42979</v>
      </c>
      <c r="F4789" s="62" t="s">
        <v>1307</v>
      </c>
      <c r="G4789" s="62" t="s">
        <v>747</v>
      </c>
      <c r="H4789" s="67" t="s">
        <v>835</v>
      </c>
      <c r="I4789" s="373"/>
      <c r="J4789" s="382"/>
      <c r="K4789" s="373"/>
      <c r="L4789" s="379"/>
      <c r="M4789" s="60">
        <v>19172</v>
      </c>
      <c r="N4789" s="61" t="s">
        <v>101</v>
      </c>
      <c r="O4789" s="61" t="s">
        <v>26</v>
      </c>
      <c r="P4789" s="75" t="str">
        <f>IF(AND('331-CT'!$E$7=TH!H5435,OR(N4789="331",O4789="331")),"x","")</f>
        <v/>
      </c>
      <c r="Q4789" s="75" t="str">
        <f>IF(AND(B4789='111'!$L$11,OR($N4789=$Q$7,$O4789=$Q$7)),"x","")</f>
        <v/>
      </c>
      <c r="R4789" s="75" t="str">
        <f>IF(AND($N4789=$Q$7,$B4789&lt;'111'!$L$11),"x","")</f>
        <v/>
      </c>
      <c r="S4789" s="75" t="str">
        <f>IF(AND($O4789=$Q$7,$B4789&lt;'111'!$L$11),"x","")</f>
        <v/>
      </c>
      <c r="T4789" s="75" t="str">
        <f>IF(ISERROR(FIND('112'!$M$9,G4789,1)),"",IF((AND(FIND('112'!$M$9,G4789,1)&gt;=1,B4789='112'!$K$9,OR($N4789='112'!$I$6,$O4789='112'!$I$6))),"x",""))</f>
        <v/>
      </c>
      <c r="U4789" s="75" t="str">
        <f>IF(ISERROR(FIND('112'!$M$9,G4789,1)),"",IF((AND(LEFT(G4789,2)=LEFT('112'!$M$9,2),B4789&lt;'112'!$K$9,$N4789='112'!$I$6)),"x",""))</f>
        <v/>
      </c>
      <c r="V4789" s="75" t="str">
        <f>IF(ISERROR(FIND('112'!$M$9,G4789,1)),"",IF((AND(RIGHT(G4789,2)=RIGHT('112'!$M$9,2),B4789&lt;'112'!$K$9,$O4789='112'!$I$6)),"x",""))</f>
        <v/>
      </c>
      <c r="W4789" s="75" t="str">
        <f>IF(AND('341-CT'!$H$9=H4789,OR(LEFT(N4789,3)=$W$7,LEFT(O4789,3)=$W$7)),"x","")</f>
        <v/>
      </c>
      <c r="X4789" s="75" t="str">
        <f>IF(OR(TH!N5435=TH!$X$7,O4789=TH!$X$7),"x","")</f>
        <v/>
      </c>
      <c r="Y4789" s="75" t="str">
        <f>IF(AND(OR(N4789="131",O4789="131"),H4789='131-CT'!$H$9),"x","")</f>
        <v/>
      </c>
      <c r="Z4789" s="75"/>
      <c r="AA4789" s="75" t="str">
        <f>IF(AND(MONTH(E4789)='IN-NX'!$J$5,'IN-NX'!$D$7=D4789),"x","")</f>
        <v/>
      </c>
      <c r="AB4789" s="75" t="str">
        <f>IF(AND(OR(LEFT(TH!N5435,2)="15",LEFT(TH!O5435,2)="15"),LEFT(TH!O5435,3)&lt;&gt;"111",'152-CT'!$J$8=TH!F5435),"x","")</f>
        <v/>
      </c>
      <c r="AC4789" s="75" t="str">
        <f>IF(AND(OR(LEFT(TH!N5435,2)="15",LEFT(TH!O5435,2)="15"),TK!$E$7=TH!F5435),"x","")</f>
        <v/>
      </c>
      <c r="AD4789" s="75" t="str">
        <f>IF(AND(N4789="1521",MONTH(C4789)='BK-NL'!$M$11),"x","")</f>
        <v/>
      </c>
      <c r="AE4789">
        <v>9</v>
      </c>
    </row>
    <row r="4790" spans="1:33" ht="16.5" customHeight="1">
      <c r="A4790" s="309" t="str">
        <f>IF(B4790&lt;&gt;"",IF(AND(B4790='IN-TC'!$S$4,OR(TH!N4780="1111",TH!O4780="1111")),TH!D4780,""),"")</f>
        <v/>
      </c>
      <c r="B4790" s="1242">
        <f t="shared" si="1334"/>
        <v>9</v>
      </c>
      <c r="C4790" s="292">
        <f t="shared" si="1335"/>
        <v>42979</v>
      </c>
      <c r="D4790" s="59" t="s">
        <v>902</v>
      </c>
      <c r="E4790" s="59">
        <v>42979</v>
      </c>
      <c r="F4790" s="62" t="s">
        <v>2101</v>
      </c>
      <c r="G4790" s="62" t="s">
        <v>747</v>
      </c>
      <c r="H4790" s="67" t="s">
        <v>835</v>
      </c>
      <c r="I4790" s="373"/>
      <c r="J4790" s="382"/>
      <c r="K4790" s="373"/>
      <c r="L4790" s="379"/>
      <c r="M4790" s="60">
        <v>1917</v>
      </c>
      <c r="N4790" s="61" t="s">
        <v>9</v>
      </c>
      <c r="O4790" s="61" t="s">
        <v>26</v>
      </c>
      <c r="P4790" s="75" t="str">
        <f>IF(AND('331-CT'!$E$7=TH!H5436,OR(N4790="331",O4790="331")),"x","")</f>
        <v/>
      </c>
      <c r="Q4790" s="75" t="str">
        <f>IF(AND(B4790='111'!$L$11,OR($N4790=$Q$7,$O4790=$Q$7)),"x","")</f>
        <v/>
      </c>
      <c r="R4790" s="75" t="str">
        <f>IF(AND($N4790=$Q$7,$B4790&lt;'111'!$L$11),"x","")</f>
        <v/>
      </c>
      <c r="S4790" s="75" t="str">
        <f>IF(AND($O4790=$Q$7,$B4790&lt;'111'!$L$11),"x","")</f>
        <v/>
      </c>
      <c r="T4790" s="75" t="str">
        <f>IF(ISERROR(FIND('112'!$M$9,G4790,1)),"",IF((AND(FIND('112'!$M$9,G4790,1)&gt;=1,B4790='112'!$K$9,OR($N4790='112'!$I$6,$O4790='112'!$I$6))),"x",""))</f>
        <v/>
      </c>
      <c r="U4790" s="75" t="str">
        <f>IF(ISERROR(FIND('112'!$M$9,G4790,1)),"",IF((AND(LEFT(G4790,2)=LEFT('112'!$M$9,2),B4790&lt;'112'!$K$9,$N4790='112'!$I$6)),"x",""))</f>
        <v/>
      </c>
      <c r="V4790" s="75" t="str">
        <f>IF(ISERROR(FIND('112'!$M$9,G4790,1)),"",IF((AND(RIGHT(G4790,2)=RIGHT('112'!$M$9,2),B4790&lt;'112'!$K$9,$O4790='112'!$I$6)),"x",""))</f>
        <v/>
      </c>
      <c r="W4790" s="75" t="str">
        <f>IF(AND('341-CT'!$H$9=H4790,OR(LEFT(N4790,3)=$W$7,LEFT(O4790,3)=$W$7)),"x","")</f>
        <v/>
      </c>
      <c r="X4790" s="75" t="str">
        <f>IF(OR(TH!N5436=TH!$X$7,O4790=TH!$X$7),"x","")</f>
        <v/>
      </c>
      <c r="Y4790" s="75" t="str">
        <f>IF(AND(OR(N4790="131",O4790="131"),H4790='131-CT'!$H$9),"x","")</f>
        <v/>
      </c>
      <c r="Z4790" s="75"/>
      <c r="AA4790" s="75" t="str">
        <f>IF(AND(MONTH(E4790)='IN-NX'!$J$5,'IN-NX'!$D$7=D4790),"x","")</f>
        <v/>
      </c>
      <c r="AB4790" s="75" t="str">
        <f>IF(AND(OR(LEFT(TH!N5436,2)="15",LEFT(TH!O5436,2)="15"),LEFT(TH!O5436,3)&lt;&gt;"111",'152-CT'!$J$8=TH!F5436),"x","")</f>
        <v/>
      </c>
      <c r="AC4790" s="75" t="str">
        <f>IF(AND(OR(LEFT(TH!N5436,2)="15",LEFT(TH!O5436,2)="15"),TK!$E$7=TH!F5436),"x","")</f>
        <v/>
      </c>
      <c r="AD4790" s="75" t="str">
        <f>IF(AND(N4790="1521",MONTH(C4790)='BK-NL'!$M$11),"x","")</f>
        <v/>
      </c>
      <c r="AE4790">
        <v>9</v>
      </c>
    </row>
    <row r="4791" spans="1:33" ht="16.5" customHeight="1">
      <c r="A4791" s="309" t="str">
        <f>IF(B4791&lt;&gt;"",IF(AND(B4791='IN-TC'!$S$4,OR(TH!N4781="1111",TH!O4781="1111")),TH!D4781,""),"")</f>
        <v/>
      </c>
      <c r="B4791" s="1242">
        <f t="shared" si="1334"/>
        <v>9</v>
      </c>
      <c r="C4791" s="292">
        <f t="shared" si="1335"/>
        <v>42979</v>
      </c>
      <c r="D4791" s="59" t="s">
        <v>902</v>
      </c>
      <c r="E4791" s="59">
        <v>42979</v>
      </c>
      <c r="F4791" s="62" t="s">
        <v>1674</v>
      </c>
      <c r="G4791" s="62" t="s">
        <v>747</v>
      </c>
      <c r="H4791" s="311" t="s">
        <v>749</v>
      </c>
      <c r="I4791" s="373"/>
      <c r="J4791" s="382"/>
      <c r="K4791" s="373"/>
      <c r="L4791" s="379"/>
      <c r="M4791" s="60">
        <v>11513272</v>
      </c>
      <c r="N4791" s="61" t="s">
        <v>8</v>
      </c>
      <c r="O4791" s="61" t="s">
        <v>26</v>
      </c>
      <c r="P4791" s="75" t="str">
        <f>IF(AND('331-CT'!$E$7=TH!H5437,OR(N4791="331",O4791="331")),"x","")</f>
        <v/>
      </c>
      <c r="Q4791" s="75" t="str">
        <f>IF(AND(B4791='111'!$L$11,OR($N4791=$Q$7,$O4791=$Q$7)),"x","")</f>
        <v/>
      </c>
      <c r="R4791" s="75" t="str">
        <f>IF(AND($N4791=$Q$7,$B4791&lt;'111'!$L$11),"x","")</f>
        <v/>
      </c>
      <c r="S4791" s="75" t="str">
        <f>IF(AND($O4791=$Q$7,$B4791&lt;'111'!$L$11),"x","")</f>
        <v/>
      </c>
      <c r="T4791" s="75" t="str">
        <f>IF(ISERROR(FIND('112'!$M$9,G4791,1)),"",IF((AND(FIND('112'!$M$9,G4791,1)&gt;=1,B4791='112'!$K$9,OR($N4791='112'!$I$6,$O4791='112'!$I$6))),"x",""))</f>
        <v/>
      </c>
      <c r="U4791" s="75" t="str">
        <f>IF(ISERROR(FIND('112'!$M$9,G4791,1)),"",IF((AND(LEFT(G4791,2)=LEFT('112'!$M$9,2),B4791&lt;'112'!$K$9,$N4791='112'!$I$6)),"x",""))</f>
        <v/>
      </c>
      <c r="V4791" s="75" t="str">
        <f>IF(ISERROR(FIND('112'!$M$9,G4791,1)),"",IF((AND(RIGHT(G4791,2)=RIGHT('112'!$M$9,2),B4791&lt;'112'!$K$9,$O4791='112'!$I$6)),"x",""))</f>
        <v/>
      </c>
      <c r="W4791" s="75" t="str">
        <f>IF(AND('341-CT'!$H$9=H4791,OR(LEFT(N4791,3)=$W$7,LEFT(O4791,3)=$W$7)),"x","")</f>
        <v/>
      </c>
      <c r="X4791" s="75" t="str">
        <f>IF(OR(TH!N5437=TH!$X$7,O4791=TH!$X$7),"x","")</f>
        <v/>
      </c>
      <c r="Y4791" s="75" t="str">
        <f>IF(AND(OR(N4791="131",O4791="131"),H4791='131-CT'!$H$9),"x","")</f>
        <v/>
      </c>
      <c r="Z4791" s="75"/>
      <c r="AA4791" s="75" t="str">
        <f>IF(AND(MONTH(E4791)='IN-NX'!$J$5,'IN-NX'!$D$7=D4791),"x","")</f>
        <v/>
      </c>
      <c r="AB4791" s="75" t="str">
        <f>IF(AND(OR(LEFT(TH!N5437,2)="15",LEFT(TH!O5437,2)="15"),LEFT(TH!O5437,3)&lt;&gt;"111",'152-CT'!$J$8=TH!F5437),"x","")</f>
        <v/>
      </c>
      <c r="AC4791" s="75" t="str">
        <f>IF(AND(OR(LEFT(TH!N5437,2)="15",LEFT(TH!O5437,2)="15"),TK!$E$7=TH!F5437),"x","")</f>
        <v/>
      </c>
      <c r="AD4791" s="75" t="str">
        <f>IF(AND(N4791="1521",MONTH(C4791)='BK-NL'!$M$11),"x","")</f>
        <v/>
      </c>
    </row>
    <row r="4792" spans="1:33" ht="16.5" customHeight="1">
      <c r="A4792" s="309" t="str">
        <f>IF(B4792&lt;&gt;"",IF(AND(B4792='IN-TC'!$S$4,OR(TH!N4782="1111",TH!O4782="1111")),TH!D4782,""),"")</f>
        <v/>
      </c>
      <c r="B4792" s="1242">
        <f t="shared" si="1334"/>
        <v>9</v>
      </c>
      <c r="C4792" s="292">
        <f t="shared" si="1335"/>
        <v>42979</v>
      </c>
      <c r="D4792" s="59" t="s">
        <v>902</v>
      </c>
      <c r="E4792" s="59">
        <v>42979</v>
      </c>
      <c r="F4792" s="62" t="s">
        <v>1307</v>
      </c>
      <c r="G4792" s="62" t="s">
        <v>747</v>
      </c>
      <c r="H4792" s="67" t="s">
        <v>835</v>
      </c>
      <c r="I4792" s="373"/>
      <c r="J4792" s="382"/>
      <c r="K4792" s="373"/>
      <c r="L4792" s="379"/>
      <c r="M4792" s="60">
        <v>10000</v>
      </c>
      <c r="N4792" s="61" t="s">
        <v>101</v>
      </c>
      <c r="O4792" s="61" t="s">
        <v>26</v>
      </c>
      <c r="P4792" s="75" t="str">
        <f>IF(AND('331-CT'!$E$7=TH!H5438,OR(N4792="331",O4792="331")),"x","")</f>
        <v/>
      </c>
      <c r="Q4792" s="75" t="str">
        <f>IF(AND(B4792='111'!$L$11,OR($N4792=$Q$7,$O4792=$Q$7)),"x","")</f>
        <v/>
      </c>
      <c r="R4792" s="75" t="str">
        <f>IF(AND($N4792=$Q$7,$B4792&lt;'111'!$L$11),"x","")</f>
        <v/>
      </c>
      <c r="S4792" s="75" t="str">
        <f>IF(AND($O4792=$Q$7,$B4792&lt;'111'!$L$11),"x","")</f>
        <v/>
      </c>
      <c r="T4792" s="75" t="str">
        <f>IF(ISERROR(FIND('112'!$M$9,G4792,1)),"",IF((AND(FIND('112'!$M$9,G4792,1)&gt;=1,B4792='112'!$K$9,OR($N4792='112'!$I$6,$O4792='112'!$I$6))),"x",""))</f>
        <v/>
      </c>
      <c r="U4792" s="75" t="str">
        <f>IF(ISERROR(FIND('112'!$M$9,G4792,1)),"",IF((AND(LEFT(G4792,2)=LEFT('112'!$M$9,2),B4792&lt;'112'!$K$9,$N4792='112'!$I$6)),"x",""))</f>
        <v/>
      </c>
      <c r="V4792" s="75" t="str">
        <f>IF(ISERROR(FIND('112'!$M$9,G4792,1)),"",IF((AND(RIGHT(G4792,2)=RIGHT('112'!$M$9,2),B4792&lt;'112'!$K$9,$O4792='112'!$I$6)),"x",""))</f>
        <v/>
      </c>
      <c r="W4792" s="75" t="str">
        <f>IF(AND('341-CT'!$H$9=H4792,OR(LEFT(N4792,3)=$W$7,LEFT(O4792,3)=$W$7)),"x","")</f>
        <v/>
      </c>
      <c r="X4792" s="75" t="str">
        <f>IF(OR(TH!N5438=TH!$X$7,O4792=TH!$X$7),"x","")</f>
        <v/>
      </c>
      <c r="Y4792" s="75" t="str">
        <f>IF(AND(OR(N4792="131",O4792="131"),H4792='131-CT'!$H$9),"x","")</f>
        <v/>
      </c>
      <c r="Z4792" s="75"/>
      <c r="AA4792" s="75" t="str">
        <f>IF(AND(MONTH(E4792)='IN-NX'!$J$5,'IN-NX'!$D$7=D4792),"x","")</f>
        <v/>
      </c>
      <c r="AB4792" s="75" t="str">
        <f>IF(AND(OR(LEFT(TH!N5438,2)="15",LEFT(TH!O5438,2)="15"),LEFT(TH!O5438,3)&lt;&gt;"111",'152-CT'!$J$8=TH!F5438),"x","")</f>
        <v/>
      </c>
      <c r="AC4792" s="75" t="str">
        <f>IF(AND(OR(LEFT(TH!N5438,2)="15",LEFT(TH!O5438,2)="15"),TK!$E$7=TH!F5438),"x","")</f>
        <v/>
      </c>
      <c r="AD4792" s="75" t="str">
        <f>IF(AND(N4792="1521",MONTH(C4792)='BK-NL'!$M$11),"x","")</f>
        <v/>
      </c>
      <c r="AE4792">
        <v>9</v>
      </c>
    </row>
    <row r="4793" spans="1:33" ht="16.5" customHeight="1">
      <c r="A4793" s="309" t="str">
        <f>IF(B4793&lt;&gt;"",IF(AND(B4793='IN-TC'!$S$4,OR(TH!N4783="1111",TH!O4783="1111")),TH!D4783,""),"")</f>
        <v/>
      </c>
      <c r="B4793" s="1242">
        <f t="shared" si="1334"/>
        <v>9</v>
      </c>
      <c r="C4793" s="292">
        <f t="shared" si="1335"/>
        <v>42979</v>
      </c>
      <c r="D4793" s="59" t="s">
        <v>902</v>
      </c>
      <c r="E4793" s="59">
        <v>42979</v>
      </c>
      <c r="F4793" s="62" t="s">
        <v>2101</v>
      </c>
      <c r="G4793" s="62" t="s">
        <v>747</v>
      </c>
      <c r="H4793" s="67" t="s">
        <v>835</v>
      </c>
      <c r="I4793" s="373"/>
      <c r="J4793" s="382"/>
      <c r="K4793" s="373"/>
      <c r="L4793" s="379"/>
      <c r="M4793" s="60">
        <v>1000</v>
      </c>
      <c r="N4793" s="61" t="s">
        <v>9</v>
      </c>
      <c r="O4793" s="61" t="s">
        <v>26</v>
      </c>
      <c r="P4793" s="75" t="str">
        <f>IF(AND('331-CT'!$E$7=TH!H5439,OR(N4793="331",O4793="331")),"x","")</f>
        <v/>
      </c>
      <c r="Q4793" s="75" t="str">
        <f>IF(AND(B4793='111'!$L$11,OR($N4793=$Q$7,$O4793=$Q$7)),"x","")</f>
        <v/>
      </c>
      <c r="R4793" s="75" t="str">
        <f>IF(AND($N4793=$Q$7,$B4793&lt;'111'!$L$11),"x","")</f>
        <v/>
      </c>
      <c r="S4793" s="75" t="str">
        <f>IF(AND($O4793=$Q$7,$B4793&lt;'111'!$L$11),"x","")</f>
        <v/>
      </c>
      <c r="T4793" s="75" t="str">
        <f>IF(ISERROR(FIND('112'!$M$9,G4793,1)),"",IF((AND(FIND('112'!$M$9,G4793,1)&gt;=1,B4793='112'!$K$9,OR($N4793='112'!$I$6,$O4793='112'!$I$6))),"x",""))</f>
        <v/>
      </c>
      <c r="U4793" s="75" t="str">
        <f>IF(ISERROR(FIND('112'!$M$9,G4793,1)),"",IF((AND(LEFT(G4793,2)=LEFT('112'!$M$9,2),B4793&lt;'112'!$K$9,$N4793='112'!$I$6)),"x",""))</f>
        <v/>
      </c>
      <c r="V4793" s="75" t="str">
        <f>IF(ISERROR(FIND('112'!$M$9,G4793,1)),"",IF((AND(RIGHT(G4793,2)=RIGHT('112'!$M$9,2),B4793&lt;'112'!$K$9,$O4793='112'!$I$6)),"x",""))</f>
        <v/>
      </c>
      <c r="W4793" s="75" t="str">
        <f>IF(AND('341-CT'!$H$9=H4793,OR(LEFT(N4793,3)=$W$7,LEFT(O4793,3)=$W$7)),"x","")</f>
        <v/>
      </c>
      <c r="X4793" s="75" t="str">
        <f>IF(OR(TH!N5439=TH!$X$7,O4793=TH!$X$7),"x","")</f>
        <v/>
      </c>
      <c r="Y4793" s="75" t="str">
        <f>IF(AND(OR(N4793="131",O4793="131"),H4793='131-CT'!$H$9),"x","")</f>
        <v/>
      </c>
      <c r="Z4793" s="75"/>
      <c r="AA4793" s="75" t="str">
        <f>IF(AND(MONTH(E4793)='IN-NX'!$J$5,'IN-NX'!$D$7=D4793),"x","")</f>
        <v/>
      </c>
      <c r="AB4793" s="75" t="str">
        <f>IF(AND(OR(LEFT(TH!N5439,2)="15",LEFT(TH!O5439,2)="15"),LEFT(TH!O5439,3)&lt;&gt;"111",'152-CT'!$J$8=TH!F5439),"x","")</f>
        <v/>
      </c>
      <c r="AC4793" s="75" t="str">
        <f>IF(AND(OR(LEFT(TH!N5439,2)="15",LEFT(TH!O5439,2)="15"),TK!$E$7=TH!F5439),"x","")</f>
        <v/>
      </c>
      <c r="AD4793" s="75" t="str">
        <f>IF(AND(N4793="1521",MONTH(C4793)='BK-NL'!$M$11),"x","")</f>
        <v/>
      </c>
      <c r="AE4793">
        <v>9</v>
      </c>
    </row>
    <row r="4794" spans="1:33" ht="16.5" customHeight="1">
      <c r="A4794" s="309" t="str">
        <f>IF(B4794&lt;&gt;"",IF(AND(B4794='IN-TC'!$S$4,OR(TH!N4784="1111",TH!O4784="1111")),TH!D4784,""),"")</f>
        <v/>
      </c>
      <c r="B4794" s="1242">
        <f t="shared" si="1334"/>
        <v>9</v>
      </c>
      <c r="C4794" s="292">
        <f t="shared" si="1335"/>
        <v>42981</v>
      </c>
      <c r="D4794" s="292"/>
      <c r="E4794" s="292">
        <v>42981</v>
      </c>
      <c r="F4794" s="67" t="s">
        <v>1165</v>
      </c>
      <c r="G4794" s="925" t="s">
        <v>2298</v>
      </c>
      <c r="H4794" s="294" t="s">
        <v>1684</v>
      </c>
      <c r="I4794" s="373"/>
      <c r="J4794" s="926"/>
      <c r="K4794" s="373"/>
      <c r="L4794" s="379"/>
      <c r="M4794" s="927">
        <v>19762050</v>
      </c>
      <c r="N4794" s="295" t="s">
        <v>8</v>
      </c>
      <c r="O4794" s="295" t="s">
        <v>63</v>
      </c>
      <c r="P4794" s="75" t="str">
        <f>IF(AND('331-CT'!$E$7=TH!H3870,OR(N4794="331",O4794="331")),"x","")</f>
        <v/>
      </c>
      <c r="Q4794" s="75" t="str">
        <f>IF(AND(B4794='111'!$L$11,OR($N4794=$Q$7,$O4794=$Q$7)),"x","")</f>
        <v/>
      </c>
      <c r="R4794" s="75" t="str">
        <f>IF(AND($N4794=$Q$7,$B4794&lt;'111'!$L$11),"x","")</f>
        <v/>
      </c>
      <c r="S4794" s="75" t="str">
        <f>IF(AND($O4794=$Q$7,$B4794&lt;'111'!$L$11),"x","")</f>
        <v>x</v>
      </c>
      <c r="T4794" s="75" t="str">
        <f>IF(ISERROR(FIND('112'!$M$9,G4794,1)),"",IF((AND(FIND('112'!$M$9,G4794,1)&gt;=1,B4794='112'!$K$9,OR($N4794='112'!$I$6,$O4794='112'!$I$6))),"x",""))</f>
        <v/>
      </c>
      <c r="U4794" s="75" t="str">
        <f>IF(ISERROR(FIND('112'!$M$9,G4794,1)),"",IF((AND(LEFT(G4794,2)=LEFT('112'!$M$9,2),B4794&lt;'112'!$K$9,$N4794='112'!$I$6)),"x",""))</f>
        <v/>
      </c>
      <c r="V4794" s="75" t="str">
        <f>IF(ISERROR(FIND('112'!$M$9,G4794,1)),"",IF((AND(RIGHT(G4794,2)=RIGHT('112'!$M$9,2),B4794&lt;'112'!$K$9,$O4794='112'!$I$6)),"x",""))</f>
        <v/>
      </c>
      <c r="W4794" s="75" t="str">
        <f>IF(AND('341-CT'!$H$9=H4794,OR(LEFT(N4794,3)=$W$7,LEFT(O4794,3)=$W$7)),"x","")</f>
        <v/>
      </c>
      <c r="X4794" s="75" t="str">
        <f>IF(OR(TH!N3870=TH!$X$7,O4794=TH!$X$7),"x","")</f>
        <v/>
      </c>
      <c r="Y4794" s="75" t="str">
        <f>IF(AND(OR(N4794="131",O4794="131"),H4794='131-CT'!$H$9),"x","")</f>
        <v/>
      </c>
      <c r="Z4794" s="75"/>
      <c r="AA4794" s="75" t="str">
        <f>IF(AND(MONTH(E4794)='IN-NX'!$J$5,'IN-NX'!$D$7=D4794),"x","")</f>
        <v/>
      </c>
      <c r="AB4794" s="75" t="str">
        <f>IF(AND(OR(LEFT(TH!N3870,2)="15",LEFT(TH!O3870,2)="15"),LEFT(TH!O3870,3)&lt;&gt;"111",'152-CT'!$J$8=TH!F3870),"x","")</f>
        <v/>
      </c>
      <c r="AC4794" s="75" t="str">
        <f>IF(AND(OR(LEFT(TH!N3870,2)="15",LEFT(TH!O3870,2)="15"),TK!$E$7=TH!F3870),"x","")</f>
        <v/>
      </c>
      <c r="AD4794" s="75" t="str">
        <f>IF(AND(N4794="1521",MONTH(C4794)='BK-NL'!$M$11),"x","")</f>
        <v/>
      </c>
    </row>
    <row r="4795" spans="1:33" ht="16.5" customHeight="1">
      <c r="A4795" s="309" t="str">
        <f>IF(B4795&lt;&gt;"",IF(AND(B4795='IN-TC'!$S$4,OR(TH!N4785="1111",TH!O4785="1111")),TH!D4785,""),"")</f>
        <v/>
      </c>
      <c r="B4795" s="1242">
        <f t="shared" si="1334"/>
        <v>9</v>
      </c>
      <c r="C4795" s="292">
        <f t="shared" si="1335"/>
        <v>42981</v>
      </c>
      <c r="D4795" s="292"/>
      <c r="E4795" s="292">
        <v>42981</v>
      </c>
      <c r="F4795" s="67" t="s">
        <v>1165</v>
      </c>
      <c r="G4795" s="925" t="s">
        <v>2299</v>
      </c>
      <c r="H4795" s="294" t="s">
        <v>1684</v>
      </c>
      <c r="I4795" s="373"/>
      <c r="J4795" s="926"/>
      <c r="K4795" s="373"/>
      <c r="L4795" s="379"/>
      <c r="M4795" s="927">
        <v>19762050</v>
      </c>
      <c r="N4795" s="295" t="s">
        <v>8</v>
      </c>
      <c r="O4795" s="295" t="s">
        <v>63</v>
      </c>
      <c r="P4795" s="75" t="str">
        <f>IF(AND('331-CT'!$E$7=TH!H3916,OR(N4795="331",O4795="331")),"x","")</f>
        <v/>
      </c>
      <c r="Q4795" s="75" t="str">
        <f>IF(AND(B4795='111'!$L$11,OR($N4795=$Q$7,$O4795=$Q$7)),"x","")</f>
        <v/>
      </c>
      <c r="R4795" s="75" t="str">
        <f>IF(AND($N4795=$Q$7,$B4795&lt;'111'!$L$11),"x","")</f>
        <v/>
      </c>
      <c r="S4795" s="75" t="str">
        <f>IF(AND($O4795=$Q$7,$B4795&lt;'111'!$L$11),"x","")</f>
        <v>x</v>
      </c>
      <c r="T4795" s="75" t="str">
        <f>IF(ISERROR(FIND('112'!$M$9,G4795,1)),"",IF((AND(FIND('112'!$M$9,G4795,1)&gt;=1,B4795='112'!$K$9,OR($N4795='112'!$I$6,$O4795='112'!$I$6))),"x",""))</f>
        <v/>
      </c>
      <c r="U4795" s="75" t="str">
        <f>IF(ISERROR(FIND('112'!$M$9,G4795,1)),"",IF((AND(LEFT(G4795,2)=LEFT('112'!$M$9,2),B4795&lt;'112'!$K$9,$N4795='112'!$I$6)),"x",""))</f>
        <v/>
      </c>
      <c r="V4795" s="75" t="str">
        <f>IF(ISERROR(FIND('112'!$M$9,G4795,1)),"",IF((AND(RIGHT(G4795,2)=RIGHT('112'!$M$9,2),B4795&lt;'112'!$K$9,$O4795='112'!$I$6)),"x",""))</f>
        <v/>
      </c>
      <c r="W4795" s="75" t="str">
        <f>IF(AND('341-CT'!$H$9=H4795,OR(LEFT(N4795,3)=$W$7,LEFT(O4795,3)=$W$7)),"x","")</f>
        <v/>
      </c>
      <c r="X4795" s="75" t="str">
        <f>IF(OR(TH!N3916=TH!$X$7,O4795=TH!$X$7),"x","")</f>
        <v/>
      </c>
      <c r="Y4795" s="75" t="str">
        <f>IF(AND(OR(N4795="131",O4795="131"),H4795='131-CT'!$H$9),"x","")</f>
        <v/>
      </c>
      <c r="Z4795" s="75"/>
      <c r="AA4795" s="75" t="str">
        <f>IF(AND(MONTH(E4795)='IN-NX'!$J$5,'IN-NX'!$D$7=D4795),"x","")</f>
        <v/>
      </c>
      <c r="AB4795" s="75" t="str">
        <f>IF(AND(OR(LEFT(TH!N3916,2)="15",LEFT(TH!O3916,2)="15"),LEFT(TH!O3916,3)&lt;&gt;"111",'152-CT'!$J$8=TH!F3916),"x","")</f>
        <v/>
      </c>
      <c r="AC4795" s="75" t="str">
        <f>IF(AND(OR(LEFT(TH!N3916,2)="15",LEFT(TH!O3916,2)="15"),TK!$E$7=TH!F3916),"x","")</f>
        <v/>
      </c>
      <c r="AD4795" s="75" t="str">
        <f>IF(AND(N4795="1521",MONTH(C4795)='BK-NL'!$M$11),"x","")</f>
        <v/>
      </c>
    </row>
    <row r="4796" spans="1:33" ht="16.5" customHeight="1">
      <c r="A4796" s="309" t="str">
        <f>IF(B4796&lt;&gt;"",IF(AND(B4796='IN-TC'!$S$4,OR(TH!N4786="1111",TH!O4786="1111")),TH!D4786,""),"")</f>
        <v/>
      </c>
      <c r="B4796" s="1242">
        <f t="shared" si="1334"/>
        <v>9</v>
      </c>
      <c r="C4796" s="292">
        <f t="shared" si="1335"/>
        <v>42981</v>
      </c>
      <c r="D4796" s="292"/>
      <c r="E4796" s="292">
        <v>42981</v>
      </c>
      <c r="F4796" s="67" t="s">
        <v>1165</v>
      </c>
      <c r="G4796" s="925" t="s">
        <v>2300</v>
      </c>
      <c r="H4796" s="294" t="s">
        <v>1684</v>
      </c>
      <c r="I4796" s="373"/>
      <c r="J4796" s="926"/>
      <c r="K4796" s="373"/>
      <c r="L4796" s="379"/>
      <c r="M4796" s="927">
        <v>19762050</v>
      </c>
      <c r="N4796" s="295" t="s">
        <v>8</v>
      </c>
      <c r="O4796" s="295" t="s">
        <v>63</v>
      </c>
      <c r="P4796" s="75" t="str">
        <f>IF(AND('331-CT'!$E$7=TH!H3921,OR(N4796="331",O4796="331")),"x","")</f>
        <v/>
      </c>
      <c r="Q4796" s="75" t="str">
        <f>IF(AND(B4796='111'!$L$11,OR($N4796=$Q$7,$O4796=$Q$7)),"x","")</f>
        <v/>
      </c>
      <c r="R4796" s="75" t="str">
        <f>IF(AND($N4796=$Q$7,$B4796&lt;'111'!$L$11),"x","")</f>
        <v/>
      </c>
      <c r="S4796" s="75" t="str">
        <f>IF(AND($O4796=$Q$7,$B4796&lt;'111'!$L$11),"x","")</f>
        <v>x</v>
      </c>
      <c r="T4796" s="75" t="str">
        <f>IF(ISERROR(FIND('112'!$M$9,G4796,1)),"",IF((AND(FIND('112'!$M$9,G4796,1)&gt;=1,B4796='112'!$K$9,OR($N4796='112'!$I$6,$O4796='112'!$I$6))),"x",""))</f>
        <v/>
      </c>
      <c r="U4796" s="75" t="str">
        <f>IF(ISERROR(FIND('112'!$M$9,G4796,1)),"",IF((AND(LEFT(G4796,2)=LEFT('112'!$M$9,2),B4796&lt;'112'!$K$9,$N4796='112'!$I$6)),"x",""))</f>
        <v/>
      </c>
      <c r="V4796" s="75" t="str">
        <f>IF(ISERROR(FIND('112'!$M$9,G4796,1)),"",IF((AND(RIGHT(G4796,2)=RIGHT('112'!$M$9,2),B4796&lt;'112'!$K$9,$O4796='112'!$I$6)),"x",""))</f>
        <v/>
      </c>
      <c r="W4796" s="75" t="str">
        <f>IF(AND('341-CT'!$H$9=H4796,OR(LEFT(N4796,3)=$W$7,LEFT(O4796,3)=$W$7)),"x","")</f>
        <v/>
      </c>
      <c r="X4796" s="75" t="str">
        <f>IF(OR(TH!N3921=TH!$X$7,O4796=TH!$X$7),"x","")</f>
        <v/>
      </c>
      <c r="Y4796" s="75" t="str">
        <f>IF(AND(OR(N4796="131",O4796="131"),H4796='131-CT'!$H$9),"x","")</f>
        <v/>
      </c>
      <c r="Z4796" s="75"/>
      <c r="AA4796" s="75" t="str">
        <f>IF(AND(MONTH(E4796)='IN-NX'!$J$5,'IN-NX'!$D$7=D4796),"x","")</f>
        <v/>
      </c>
      <c r="AB4796" s="75" t="str">
        <f>IF(AND(OR(LEFT(TH!N3921,2)="15",LEFT(TH!O3921,2)="15"),LEFT(TH!O3921,3)&lt;&gt;"111",'152-CT'!$J$8=TH!F3921),"x","")</f>
        <v/>
      </c>
      <c r="AC4796" s="75" t="str">
        <f>IF(AND(OR(LEFT(TH!N3921,2)="15",LEFT(TH!O3921,2)="15"),TK!$E$7=TH!F3921),"x","")</f>
        <v/>
      </c>
      <c r="AD4796" s="75" t="str">
        <f>IF(AND(N4796="1521",MONTH(C4796)='BK-NL'!$M$11),"x","")</f>
        <v/>
      </c>
    </row>
    <row r="4797" spans="1:33" ht="16.5" customHeight="1">
      <c r="A4797" s="309" t="str">
        <f>IF(B4797&lt;&gt;"",IF(AND(B4797='IN-TC'!$S$4,OR(TH!N4787="1111",TH!O4787="1111")),TH!D4787,""),"")</f>
        <v/>
      </c>
      <c r="B4797" s="1242">
        <f t="shared" si="1334"/>
        <v>9</v>
      </c>
      <c r="C4797" s="292">
        <f t="shared" si="1335"/>
        <v>42983</v>
      </c>
      <c r="D4797" s="59" t="s">
        <v>903</v>
      </c>
      <c r="E4797" s="59">
        <v>42983</v>
      </c>
      <c r="F4797" s="67" t="s">
        <v>2411</v>
      </c>
      <c r="G4797" s="62" t="s">
        <v>1713</v>
      </c>
      <c r="H4797" s="73" t="s">
        <v>2914</v>
      </c>
      <c r="I4797" s="375"/>
      <c r="J4797" s="382"/>
      <c r="K4797" s="375">
        <v>416550</v>
      </c>
      <c r="L4797" s="381">
        <v>22722</v>
      </c>
      <c r="M4797" s="60">
        <f>ROUND(K4797*L4797,0)</f>
        <v>9464849100</v>
      </c>
      <c r="N4797" s="61" t="s">
        <v>26</v>
      </c>
      <c r="O4797" s="61" t="s">
        <v>250</v>
      </c>
      <c r="P4797" s="75" t="str">
        <f>IF(AND('331-CT'!$E$7=TH!H4478,OR(N4797="331",O4797="331")),"x","")</f>
        <v/>
      </c>
      <c r="Q4797" s="75" t="str">
        <f>IF(AND(B4797='111'!$L$11,OR($N4797=$Q$7,$O4797=$Q$7)),"x","")</f>
        <v/>
      </c>
      <c r="R4797" s="75" t="str">
        <f>IF(AND($N4797=$Q$7,$B4797&lt;'111'!$L$11),"x","")</f>
        <v/>
      </c>
      <c r="S4797" s="75" t="str">
        <f>IF(AND($O4797=$Q$7,$B4797&lt;'111'!$L$11),"x","")</f>
        <v/>
      </c>
      <c r="T4797" s="75" t="str">
        <f>IF(ISERROR(FIND('112'!$M$9,G4797,1)),"",IF((AND(FIND('112'!$M$9,G4797,1)&gt;=1,B4797='112'!$K$9,OR($N4797='112'!$I$6,$O4797='112'!$I$6))),"x",""))</f>
        <v/>
      </c>
      <c r="U4797" s="75" t="str">
        <f>IF(ISERROR(FIND('112'!$M$9,G4797,1)),"",IF((AND(LEFT(G4797,2)=LEFT('112'!$M$9,2),B4797&lt;'112'!$K$9,$N4797='112'!$I$6)),"x",""))</f>
        <v/>
      </c>
      <c r="V4797" s="75" t="str">
        <f>IF(ISERROR(FIND('112'!$M$9,G4797,1)),"",IF((AND(RIGHT(G4797,2)=RIGHT('112'!$M$9,2),B4797&lt;'112'!$K$9,$O4797='112'!$I$6)),"x",""))</f>
        <v/>
      </c>
      <c r="W4797" s="75" t="str">
        <f>IF(AND('341-CT'!$H$9=H4797,OR(LEFT(N4797,3)=$W$7,LEFT(O4797,3)=$W$7)),"x","")</f>
        <v/>
      </c>
      <c r="X4797" s="75" t="str">
        <f>IF(OR(TH!N4478=TH!$X$7,O4797=TH!$X$7),"x","")</f>
        <v/>
      </c>
      <c r="Y4797" s="75" t="str">
        <f>IF(AND(OR(N4797="131",O4797="131"),H4797='131-CT'!$H$9),"x","")</f>
        <v/>
      </c>
      <c r="Z4797" s="75"/>
      <c r="AA4797" s="75" t="str">
        <f>IF(AND(MONTH(E4797)='IN-NX'!$J$5,'IN-NX'!$D$7=D4797),"x","")</f>
        <v/>
      </c>
      <c r="AB4797" s="75" t="str">
        <f>IF(AND(OR(LEFT(TH!N4478,2)="15",LEFT(TH!O4478,2)="15"),LEFT(TH!O4478,3)&lt;&gt;"111",'152-CT'!$J$8=TH!F4478),"x","")</f>
        <v/>
      </c>
      <c r="AC4797" s="75" t="str">
        <f>IF(AND(OR(LEFT(TH!N4478,2)="15",LEFT(TH!O4478,2)="15"),TK!$E$7=TH!F4478),"x","")</f>
        <v/>
      </c>
      <c r="AD4797" s="75" t="str">
        <f>IF(AND(N4797="1521",MONTH(C4797)='BK-NL'!$M$11),"x","")</f>
        <v/>
      </c>
      <c r="AE4797" s="1053"/>
      <c r="AF4797" s="1053"/>
      <c r="AG4797" s="1053"/>
    </row>
    <row r="4798" spans="1:33" ht="16.5" customHeight="1">
      <c r="A4798" s="309" t="str">
        <f>IF(B4798&lt;&gt;"",IF(AND(B4798='IN-TC'!$S$4,OR(TH!N4788="1111",TH!O4788="1111")),TH!D4788,""),"")</f>
        <v/>
      </c>
      <c r="B4798" s="1242">
        <f t="shared" si="1334"/>
        <v>9</v>
      </c>
      <c r="C4798" s="292">
        <f t="shared" si="1335"/>
        <v>42983</v>
      </c>
      <c r="D4798" s="292" t="s">
        <v>902</v>
      </c>
      <c r="E4798" s="292">
        <v>42983</v>
      </c>
      <c r="F4798" s="67" t="s">
        <v>2273</v>
      </c>
      <c r="G4798" s="943" t="s">
        <v>1713</v>
      </c>
      <c r="H4798" s="67" t="s">
        <v>1771</v>
      </c>
      <c r="I4798" s="373"/>
      <c r="J4798" s="926"/>
      <c r="K4798" s="373"/>
      <c r="L4798" s="379"/>
      <c r="M4798" s="927">
        <v>1500000</v>
      </c>
      <c r="N4798" s="295" t="s">
        <v>101</v>
      </c>
      <c r="O4798" s="295" t="s">
        <v>63</v>
      </c>
      <c r="P4798" s="75" t="str">
        <f>IF(AND('331-CT'!$E$7=TH!H4480,OR(N4798="331",O4798="331")),"x","")</f>
        <v/>
      </c>
      <c r="Q4798" s="75" t="str">
        <f>IF(AND(B4798='111'!$L$11,OR($N4798=$Q$7,$O4798=$Q$7)),"x","")</f>
        <v/>
      </c>
      <c r="R4798" s="75" t="str">
        <f>IF(AND($N4798=$Q$7,$B4798&lt;'111'!$L$11),"x","")</f>
        <v/>
      </c>
      <c r="S4798" s="75" t="str">
        <f>IF(AND($O4798=$Q$7,$B4798&lt;'111'!$L$11),"x","")</f>
        <v>x</v>
      </c>
      <c r="T4798" s="75" t="str">
        <f>IF(ISERROR(FIND('112'!$M$9,G4798,1)),"",IF((AND(FIND('112'!$M$9,G4798,1)&gt;=1,B4798='112'!$K$9,OR($N4798='112'!$I$6,$O4798='112'!$I$6))),"x",""))</f>
        <v/>
      </c>
      <c r="U4798" s="75" t="str">
        <f>IF(ISERROR(FIND('112'!$M$9,G4798,1)),"",IF((AND(LEFT(G4798,2)=LEFT('112'!$M$9,2),B4798&lt;'112'!$K$9,$N4798='112'!$I$6)),"x",""))</f>
        <v/>
      </c>
      <c r="V4798" s="75" t="str">
        <f>IF(ISERROR(FIND('112'!$M$9,G4798,1)),"",IF((AND(RIGHT(G4798,2)=RIGHT('112'!$M$9,2),B4798&lt;'112'!$K$9,$O4798='112'!$I$6)),"x",""))</f>
        <v/>
      </c>
      <c r="W4798" s="75" t="str">
        <f>IF(AND('341-CT'!$H$9=H4798,OR(LEFT(N4798,3)=$W$7,LEFT(O4798,3)=$W$7)),"x","")</f>
        <v/>
      </c>
      <c r="X4798" s="75" t="str">
        <f>IF(OR(TH!N4480=TH!$X$7,O4798=TH!$X$7),"x","")</f>
        <v/>
      </c>
      <c r="Y4798" s="75" t="str">
        <f>IF(AND(OR(N4798="131",O4798="131"),H4798='131-CT'!$H$9),"x","")</f>
        <v/>
      </c>
      <c r="Z4798" s="75"/>
      <c r="AA4798" s="75" t="str">
        <f>IF(AND(MONTH(E4798)='IN-NX'!$J$5,'IN-NX'!$D$7=D4798),"x","")</f>
        <v/>
      </c>
      <c r="AB4798" s="75" t="str">
        <f>IF(AND(OR(LEFT(TH!N4480,2)="15",LEFT(TH!O4480,2)="15"),LEFT(TH!O4480,3)&lt;&gt;"111",'152-CT'!$J$8=TH!F4480),"x","")</f>
        <v/>
      </c>
      <c r="AC4798" s="75" t="str">
        <f>IF(AND(OR(LEFT(TH!N4480,2)="15",LEFT(TH!O4480,2)="15"),TK!$E$7=TH!F4480),"x","")</f>
        <v/>
      </c>
      <c r="AD4798" s="75" t="str">
        <f>IF(AND(N4798="1521",MONTH(C4798)='BK-NL'!$M$11),"x","")</f>
        <v/>
      </c>
      <c r="AE4798">
        <v>9</v>
      </c>
      <c r="AF4798" s="1053"/>
      <c r="AG4798" s="1053"/>
    </row>
    <row r="4799" spans="1:33" ht="16.5" customHeight="1">
      <c r="A4799" s="309" t="str">
        <f>IF(B4799&lt;&gt;"",IF(AND(B4799='IN-TC'!$S$4,OR(TH!N4789="1111",TH!O4789="1111")),TH!D4789,""),"")</f>
        <v/>
      </c>
      <c r="B4799" s="1242">
        <f t="shared" si="1334"/>
        <v>9</v>
      </c>
      <c r="C4799" s="292">
        <f t="shared" si="1335"/>
        <v>42983</v>
      </c>
      <c r="D4799" s="292" t="s">
        <v>902</v>
      </c>
      <c r="E4799" s="292">
        <v>42983</v>
      </c>
      <c r="F4799" s="67" t="s">
        <v>2274</v>
      </c>
      <c r="G4799" s="943" t="s">
        <v>1713</v>
      </c>
      <c r="H4799" s="67" t="s">
        <v>1771</v>
      </c>
      <c r="I4799" s="373"/>
      <c r="J4799" s="926"/>
      <c r="K4799" s="373"/>
      <c r="L4799" s="379"/>
      <c r="M4799" s="927">
        <v>150000</v>
      </c>
      <c r="N4799" s="295" t="s">
        <v>9</v>
      </c>
      <c r="O4799" s="295" t="s">
        <v>63</v>
      </c>
      <c r="P4799" s="75" t="str">
        <f>IF(AND('331-CT'!$E$7=TH!H4481,OR(N4799="331",O4799="331")),"x","")</f>
        <v/>
      </c>
      <c r="Q4799" s="75" t="str">
        <f>IF(AND(B4799='111'!$L$11,OR($N4799=$Q$7,$O4799=$Q$7)),"x","")</f>
        <v/>
      </c>
      <c r="R4799" s="75" t="str">
        <f>IF(AND($N4799=$Q$7,$B4799&lt;'111'!$L$11),"x","")</f>
        <v/>
      </c>
      <c r="S4799" s="75" t="str">
        <f>IF(AND($O4799=$Q$7,$B4799&lt;'111'!$L$11),"x","")</f>
        <v>x</v>
      </c>
      <c r="T4799" s="75" t="str">
        <f>IF(ISERROR(FIND('112'!$M$9,G4799,1)),"",IF((AND(FIND('112'!$M$9,G4799,1)&gt;=1,B4799='112'!$K$9,OR($N4799='112'!$I$6,$O4799='112'!$I$6))),"x",""))</f>
        <v/>
      </c>
      <c r="U4799" s="75" t="str">
        <f>IF(ISERROR(FIND('112'!$M$9,G4799,1)),"",IF((AND(LEFT(G4799,2)=LEFT('112'!$M$9,2),B4799&lt;'112'!$K$9,$N4799='112'!$I$6)),"x",""))</f>
        <v/>
      </c>
      <c r="V4799" s="75" t="str">
        <f>IF(ISERROR(FIND('112'!$M$9,G4799,1)),"",IF((AND(RIGHT(G4799,2)=RIGHT('112'!$M$9,2),B4799&lt;'112'!$K$9,$O4799='112'!$I$6)),"x",""))</f>
        <v/>
      </c>
      <c r="W4799" s="75" t="str">
        <f>IF(AND('341-CT'!$H$9=H4799,OR(LEFT(N4799,3)=$W$7,LEFT(O4799,3)=$W$7)),"x","")</f>
        <v/>
      </c>
      <c r="X4799" s="75" t="str">
        <f>IF(OR(TH!N4481=TH!$X$7,O4799=TH!$X$7),"x","")</f>
        <v/>
      </c>
      <c r="Y4799" s="75" t="str">
        <f>IF(AND(OR(N4799="131",O4799="131"),H4799='131-CT'!$H$9),"x","")</f>
        <v/>
      </c>
      <c r="Z4799" s="75"/>
      <c r="AA4799" s="75" t="str">
        <f>IF(AND(MONTH(E4799)='IN-NX'!$J$5,'IN-NX'!$D$7=D4799),"x","")</f>
        <v/>
      </c>
      <c r="AB4799" s="75" t="str">
        <f>IF(AND(OR(LEFT(TH!N4481,2)="15",LEFT(TH!O4481,2)="15"),LEFT(TH!O4481,3)&lt;&gt;"111",'152-CT'!$J$8=TH!F4481),"x","")</f>
        <v/>
      </c>
      <c r="AC4799" s="75" t="str">
        <f>IF(AND(OR(LEFT(TH!N4481,2)="15",LEFT(TH!O4481,2)="15"),TK!$E$7=TH!F4481),"x","")</f>
        <v/>
      </c>
      <c r="AD4799" s="75" t="str">
        <f>IF(AND(N4799="1521",MONTH(C4799)='BK-NL'!$M$11),"x","")</f>
        <v/>
      </c>
      <c r="AE4799">
        <v>9</v>
      </c>
      <c r="AF4799" s="1053"/>
      <c r="AG4799" s="1053"/>
    </row>
    <row r="4800" spans="1:33" ht="16.5" customHeight="1">
      <c r="A4800" s="309" t="str">
        <f>IF(B4800&lt;&gt;"",IF(AND(B4800='IN-TC'!$S$4,OR(TH!N4790="1111",TH!O4790="1111")),TH!D4790,""),"")</f>
        <v/>
      </c>
      <c r="B4800" s="1242">
        <f t="shared" si="1334"/>
        <v>9</v>
      </c>
      <c r="C4800" s="292">
        <f t="shared" si="1335"/>
        <v>42983</v>
      </c>
      <c r="D4800" s="59" t="s">
        <v>844</v>
      </c>
      <c r="E4800" s="59">
        <v>42983</v>
      </c>
      <c r="F4800" s="67" t="s">
        <v>834</v>
      </c>
      <c r="G4800" s="62" t="s">
        <v>1713</v>
      </c>
      <c r="H4800" s="311" t="s">
        <v>1023</v>
      </c>
      <c r="I4800" s="373"/>
      <c r="J4800" s="382"/>
      <c r="K4800" s="373"/>
      <c r="L4800" s="379"/>
      <c r="M4800" s="60">
        <v>9460000000</v>
      </c>
      <c r="N4800" s="61" t="s">
        <v>63</v>
      </c>
      <c r="O4800" s="61" t="s">
        <v>26</v>
      </c>
      <c r="P4800" s="75" t="str">
        <f>IF(AND('331-CT'!$E$7=TH!H4479,OR(N4800="331",O4800="331")),"x","")</f>
        <v/>
      </c>
      <c r="Q4800" s="75" t="str">
        <f>IF(AND(B4800='111'!$L$11,OR($N4800=$Q$7,$O4800=$Q$7)),"x","")</f>
        <v/>
      </c>
      <c r="R4800" s="75" t="str">
        <f>IF(AND($N4800=$Q$7,$B4800&lt;'111'!$L$11),"x","")</f>
        <v>x</v>
      </c>
      <c r="S4800" s="75" t="str">
        <f>IF(AND($O4800=$Q$7,$B4800&lt;'111'!$L$11),"x","")</f>
        <v/>
      </c>
      <c r="T4800" s="75" t="str">
        <f>IF(ISERROR(FIND('112'!$M$9,G4800,1)),"",IF((AND(FIND('112'!$M$9,G4800,1)&gt;=1,B4800='112'!$K$9,OR($N4800='112'!$I$6,$O4800='112'!$I$6))),"x",""))</f>
        <v/>
      </c>
      <c r="U4800" s="75" t="str">
        <f>IF(ISERROR(FIND('112'!$M$9,G4800,1)),"",IF((AND(LEFT(G4800,2)=LEFT('112'!$M$9,2),B4800&lt;'112'!$K$9,$N4800='112'!$I$6)),"x",""))</f>
        <v/>
      </c>
      <c r="V4800" s="75" t="str">
        <f>IF(ISERROR(FIND('112'!$M$9,G4800,1)),"",IF((AND(RIGHT(G4800,2)=RIGHT('112'!$M$9,2),B4800&lt;'112'!$K$9,$O4800='112'!$I$6)),"x",""))</f>
        <v/>
      </c>
      <c r="W4800" s="75" t="str">
        <f>IF(AND('341-CT'!$H$9=H4800,OR(LEFT(N4800,3)=$W$7,LEFT(O4800,3)=$W$7)),"x","")</f>
        <v/>
      </c>
      <c r="X4800" s="75" t="str">
        <f>IF(OR(TH!N4479=TH!$X$7,O4800=TH!$X$7),"x","")</f>
        <v/>
      </c>
      <c r="Y4800" s="75" t="str">
        <f>IF(AND(OR(N4800="131",O4800="131"),H4800='131-CT'!$H$9),"x","")</f>
        <v/>
      </c>
      <c r="Z4800" s="75"/>
      <c r="AA4800" s="75" t="str">
        <f>IF(AND(MONTH(E4800)='IN-NX'!$J$5,'IN-NX'!$D$7=D4800),"x","")</f>
        <v/>
      </c>
      <c r="AB4800" s="75" t="str">
        <f>IF(AND(OR(LEFT(TH!N4479,2)="15",LEFT(TH!O4479,2)="15"),LEFT(TH!O4479,3)&lt;&gt;"111",'152-CT'!$J$8=TH!F4479),"x","")</f>
        <v/>
      </c>
      <c r="AC4800" s="75" t="str">
        <f>IF(AND(OR(LEFT(TH!N4479,2)="15",LEFT(TH!O4479,2)="15"),TK!$E$7=TH!F4479),"x","")</f>
        <v/>
      </c>
      <c r="AD4800" s="75" t="str">
        <f>IF(AND(N4800="1521",MONTH(C4800)='BK-NL'!$M$11),"x","")</f>
        <v/>
      </c>
      <c r="AE4800" s="1053"/>
      <c r="AF4800" s="1053"/>
      <c r="AG4800" s="1053"/>
    </row>
    <row r="4801" spans="1:31" ht="16.5" customHeight="1">
      <c r="A4801" s="309" t="str">
        <f>IF(B4801&lt;&gt;"",IF(AND(B4801='IN-TC'!$S$4,OR(TH!N4791="1111",TH!O4791="1111")),TH!D4791,""),"")</f>
        <v/>
      </c>
      <c r="B4801" s="1242">
        <f t="shared" si="1334"/>
        <v>9</v>
      </c>
      <c r="C4801" s="292">
        <f t="shared" si="1335"/>
        <v>42983</v>
      </c>
      <c r="D4801" s="59" t="s">
        <v>843</v>
      </c>
      <c r="E4801" s="59">
        <v>42983</v>
      </c>
      <c r="F4801" s="62" t="s">
        <v>1086</v>
      </c>
      <c r="G4801" s="742" t="s">
        <v>1033</v>
      </c>
      <c r="H4801" s="311" t="s">
        <v>802</v>
      </c>
      <c r="I4801" s="373"/>
      <c r="J4801" s="382"/>
      <c r="K4801" s="373"/>
      <c r="L4801" s="379"/>
      <c r="M4801" s="60">
        <v>220000</v>
      </c>
      <c r="N4801" s="61" t="s">
        <v>63</v>
      </c>
      <c r="O4801" s="61" t="s">
        <v>536</v>
      </c>
      <c r="P4801" s="75" t="str">
        <f>IF(AND('331-CT'!$E$7=TH!H3869,OR(N4801="331",O4801="331")),"x","")</f>
        <v/>
      </c>
      <c r="Q4801" s="75" t="str">
        <f>IF(AND(B4801='111'!$L$11,OR($N4801=$Q$7,$O4801=$Q$7)),"x","")</f>
        <v/>
      </c>
      <c r="R4801" s="75" t="str">
        <f>IF(AND($N4801=$Q$7,$B4801&lt;'111'!$L$11),"x","")</f>
        <v>x</v>
      </c>
      <c r="S4801" s="75" t="str">
        <f>IF(AND($O4801=$Q$7,$B4801&lt;'111'!$L$11),"x","")</f>
        <v/>
      </c>
      <c r="T4801" s="75" t="str">
        <f>IF(ISERROR(FIND('112'!$M$9,G4801,1)),"",IF((AND(FIND('112'!$M$9,G4801,1)&gt;=1,B4801='112'!$K$9,OR($N4801='112'!$I$6,$O4801='112'!$I$6))),"x",""))</f>
        <v/>
      </c>
      <c r="U4801" s="75" t="str">
        <f>IF(ISERROR(FIND('112'!$M$9,G4801,1)),"",IF((AND(LEFT(G4801,2)=LEFT('112'!$M$9,2),B4801&lt;'112'!$K$9,$N4801='112'!$I$6)),"x",""))</f>
        <v/>
      </c>
      <c r="V4801" s="75" t="str">
        <f>IF(ISERROR(FIND('112'!$M$9,G4801,1)),"",IF((AND(RIGHT(G4801,2)=RIGHT('112'!$M$9,2),B4801&lt;'112'!$K$9,$O4801='112'!$I$6)),"x",""))</f>
        <v/>
      </c>
      <c r="W4801" s="75" t="str">
        <f>IF(AND('341-CT'!$H$9=H4801,OR(LEFT(N4801,3)=$W$7,LEFT(O4801,3)=$W$7)),"x","")</f>
        <v/>
      </c>
      <c r="X4801" s="75" t="str">
        <f>IF(OR(TH!N3869=TH!$X$7,O4801=TH!$X$7),"x","")</f>
        <v/>
      </c>
      <c r="Y4801" s="75" t="str">
        <f>IF(AND(OR(N4801="131",O4801="131"),H4801='131-CT'!$H$9),"x","")</f>
        <v/>
      </c>
      <c r="Z4801" s="75"/>
      <c r="AA4801" s="75" t="str">
        <f>IF(AND(MONTH(E4801)='IN-NX'!$J$5,'IN-NX'!$D$7=D4801),"x","")</f>
        <v/>
      </c>
      <c r="AB4801" s="75" t="str">
        <f>IF(AND(OR(LEFT(TH!N3869,2)="15",LEFT(TH!O3869,2)="15"),LEFT(TH!O3869,3)&lt;&gt;"111",'152-CT'!$J$8=TH!F3869),"x","")</f>
        <v/>
      </c>
      <c r="AC4801" s="75" t="str">
        <f>IF(AND(OR(LEFT(TH!N3869,2)="15",LEFT(TH!O3869,2)="15"),TK!$E$7=TH!F3869),"x","")</f>
        <v/>
      </c>
      <c r="AD4801" s="75" t="str">
        <f>IF(AND(N4801="1521",MONTH(C4801)='BK-NL'!$M$11),"x","")</f>
        <v/>
      </c>
    </row>
    <row r="4802" spans="1:31" ht="16.5" customHeight="1">
      <c r="A4802" s="309" t="str">
        <f>IF(B4802&lt;&gt;"",IF(AND(B4802='IN-TC'!$S$4,OR(TH!N4792="1111",TH!O4792="1111")),TH!D4792,""),"")</f>
        <v/>
      </c>
      <c r="B4802" s="1242">
        <f t="shared" si="1334"/>
        <v>9</v>
      </c>
      <c r="C4802" s="292">
        <f t="shared" si="1335"/>
        <v>42983</v>
      </c>
      <c r="D4802" s="292"/>
      <c r="E4802" s="292">
        <v>42983</v>
      </c>
      <c r="F4802" s="67" t="s">
        <v>1499</v>
      </c>
      <c r="G4802" s="925" t="s">
        <v>2268</v>
      </c>
      <c r="H4802" s="294" t="s">
        <v>893</v>
      </c>
      <c r="I4802" s="373"/>
      <c r="J4802" s="926"/>
      <c r="K4802" s="373"/>
      <c r="L4802" s="379"/>
      <c r="M4802" s="927">
        <v>2203064</v>
      </c>
      <c r="N4802" s="295" t="s">
        <v>101</v>
      </c>
      <c r="O4802" s="295" t="s">
        <v>63</v>
      </c>
      <c r="P4802" s="75" t="str">
        <f>IF(AND('331-CT'!$E$7=TH!H3871,OR(N4802="331",O4802="331")),"x","")</f>
        <v/>
      </c>
      <c r="Q4802" s="75" t="str">
        <f>IF(AND(B4802='111'!$L$11,OR($N4802=$Q$7,$O4802=$Q$7)),"x","")</f>
        <v/>
      </c>
      <c r="R4802" s="75" t="str">
        <f>IF(AND($N4802=$Q$7,$B4802&lt;'111'!$L$11),"x","")</f>
        <v/>
      </c>
      <c r="S4802" s="75" t="str">
        <f>IF(AND($O4802=$Q$7,$B4802&lt;'111'!$L$11),"x","")</f>
        <v>x</v>
      </c>
      <c r="T4802" s="75" t="str">
        <f>IF(ISERROR(FIND('112'!$M$9,G4802,1)),"",IF((AND(FIND('112'!$M$9,G4802,1)&gt;=1,B4802='112'!$K$9,OR($N4802='112'!$I$6,$O4802='112'!$I$6))),"x",""))</f>
        <v/>
      </c>
      <c r="U4802" s="75" t="str">
        <f>IF(ISERROR(FIND('112'!$M$9,G4802,1)),"",IF((AND(LEFT(G4802,2)=LEFT('112'!$M$9,2),B4802&lt;'112'!$K$9,$N4802='112'!$I$6)),"x",""))</f>
        <v/>
      </c>
      <c r="V4802" s="75" t="str">
        <f>IF(ISERROR(FIND('112'!$M$9,G4802,1)),"",IF((AND(RIGHT(G4802,2)=RIGHT('112'!$M$9,2),B4802&lt;'112'!$K$9,$O4802='112'!$I$6)),"x",""))</f>
        <v/>
      </c>
      <c r="W4802" s="75" t="str">
        <f>IF(AND('341-CT'!$H$9=H4802,OR(LEFT(N4802,3)=$W$7,LEFT(O4802,3)=$W$7)),"x","")</f>
        <v/>
      </c>
      <c r="X4802" s="75" t="str">
        <f>IF(OR(TH!N3871=TH!$X$7,O4802=TH!$X$7),"x","")</f>
        <v/>
      </c>
      <c r="Y4802" s="75" t="str">
        <f>IF(AND(OR(N4802="131",O4802="131"),H4802='131-CT'!$H$9),"x","")</f>
        <v/>
      </c>
      <c r="Z4802" s="75"/>
      <c r="AA4802" s="75" t="str">
        <f>IF(AND(MONTH(E4802)='IN-NX'!$J$5,'IN-NX'!$D$7=D4802),"x","")</f>
        <v/>
      </c>
      <c r="AB4802" s="75" t="str">
        <f>IF(AND(OR(LEFT(TH!N3871,2)="15",LEFT(TH!O3871,2)="15"),LEFT(TH!O3871,3)&lt;&gt;"111",'152-CT'!$J$8=TH!F3871),"x","")</f>
        <v/>
      </c>
      <c r="AC4802" s="75" t="str">
        <f>IF(AND(OR(LEFT(TH!N3871,2)="15",LEFT(TH!O3871,2)="15"),TK!$E$7=TH!F3871),"x","")</f>
        <v/>
      </c>
      <c r="AD4802" s="75" t="str">
        <f>IF(AND(N4802="1521",MONTH(C4802)='BK-NL'!$M$11),"x","")</f>
        <v/>
      </c>
      <c r="AE4802">
        <v>9</v>
      </c>
    </row>
    <row r="4803" spans="1:31" ht="16.5" customHeight="1">
      <c r="A4803" s="309" t="str">
        <f>IF(B4803&lt;&gt;"",IF(AND(B4803='IN-TC'!$S$4,OR(TH!N4793="1111",TH!O4793="1111")),TH!D4793,""),"")</f>
        <v/>
      </c>
      <c r="B4803" s="1242">
        <f t="shared" si="1334"/>
        <v>9</v>
      </c>
      <c r="C4803" s="292">
        <f t="shared" si="1335"/>
        <v>42983</v>
      </c>
      <c r="D4803" s="292"/>
      <c r="E4803" s="292">
        <v>42983</v>
      </c>
      <c r="F4803" s="67" t="s">
        <v>1500</v>
      </c>
      <c r="G4803" s="925" t="s">
        <v>2268</v>
      </c>
      <c r="H4803" s="294" t="s">
        <v>893</v>
      </c>
      <c r="I4803" s="373"/>
      <c r="J4803" s="926"/>
      <c r="K4803" s="373"/>
      <c r="L4803" s="379"/>
      <c r="M4803" s="927">
        <v>220306</v>
      </c>
      <c r="N4803" s="295" t="s">
        <v>9</v>
      </c>
      <c r="O4803" s="295" t="s">
        <v>63</v>
      </c>
      <c r="P4803" s="75" t="str">
        <f>IF(AND('331-CT'!$E$7=TH!H3872,OR(N4803="331",O4803="331")),"x","")</f>
        <v/>
      </c>
      <c r="Q4803" s="75" t="str">
        <f>IF(AND(B4803='111'!$L$11,OR($N4803=$Q$7,$O4803=$Q$7)),"x","")</f>
        <v/>
      </c>
      <c r="R4803" s="75" t="str">
        <f>IF(AND($N4803=$Q$7,$B4803&lt;'111'!$L$11),"x","")</f>
        <v/>
      </c>
      <c r="S4803" s="75" t="str">
        <f>IF(AND($O4803=$Q$7,$B4803&lt;'111'!$L$11),"x","")</f>
        <v>x</v>
      </c>
      <c r="T4803" s="75" t="str">
        <f>IF(ISERROR(FIND('112'!$M$9,G4803,1)),"",IF((AND(FIND('112'!$M$9,G4803,1)&gt;=1,B4803='112'!$K$9,OR($N4803='112'!$I$6,$O4803='112'!$I$6))),"x",""))</f>
        <v/>
      </c>
      <c r="U4803" s="75" t="str">
        <f>IF(ISERROR(FIND('112'!$M$9,G4803,1)),"",IF((AND(LEFT(G4803,2)=LEFT('112'!$M$9,2),B4803&lt;'112'!$K$9,$N4803='112'!$I$6)),"x",""))</f>
        <v/>
      </c>
      <c r="V4803" s="75" t="str">
        <f>IF(ISERROR(FIND('112'!$M$9,G4803,1)),"",IF((AND(RIGHT(G4803,2)=RIGHT('112'!$M$9,2),B4803&lt;'112'!$K$9,$O4803='112'!$I$6)),"x",""))</f>
        <v/>
      </c>
      <c r="W4803" s="75" t="str">
        <f>IF(AND('341-CT'!$H$9=H4803,OR(LEFT(N4803,3)=$W$7,LEFT(O4803,3)=$W$7)),"x","")</f>
        <v/>
      </c>
      <c r="X4803" s="75" t="str">
        <f>IF(OR(TH!N3872=TH!$X$7,O4803=TH!$X$7),"x","")</f>
        <v/>
      </c>
      <c r="Y4803" s="75" t="str">
        <f>IF(AND(OR(N4803="131",O4803="131"),H4803='131-CT'!$H$9),"x","")</f>
        <v/>
      </c>
      <c r="Z4803" s="75"/>
      <c r="AA4803" s="75" t="str">
        <f>IF(AND(MONTH(E4803)='IN-NX'!$J$5,'IN-NX'!$D$7=D4803),"x","")</f>
        <v/>
      </c>
      <c r="AB4803" s="75" t="str">
        <f>IF(AND(OR(LEFT(TH!N3872,2)="15",LEFT(TH!O3872,2)="15"),LEFT(TH!O3872,3)&lt;&gt;"111",'152-CT'!$J$8=TH!F3872),"x","")</f>
        <v/>
      </c>
      <c r="AC4803" s="75" t="str">
        <f>IF(AND(OR(LEFT(TH!N3872,2)="15",LEFT(TH!O3872,2)="15"),TK!$E$7=TH!F3872),"x","")</f>
        <v/>
      </c>
      <c r="AD4803" s="75" t="str">
        <f>IF(AND(N4803="1521",MONTH(C4803)='BK-NL'!$M$11),"x","")</f>
        <v/>
      </c>
      <c r="AE4803">
        <v>9</v>
      </c>
    </row>
    <row r="4804" spans="1:31" ht="16.5" customHeight="1">
      <c r="A4804" s="309" t="str">
        <f>IF(B4804&lt;&gt;"",IF(AND(B4804='IN-TC'!$S$4,OR(TH!N4794="1111",TH!O4794="1111")),TH!D4794,""),"")</f>
        <v/>
      </c>
      <c r="B4804" s="1242">
        <f t="shared" si="1334"/>
        <v>9</v>
      </c>
      <c r="C4804" s="292">
        <f t="shared" si="1335"/>
        <v>42983</v>
      </c>
      <c r="D4804" s="292"/>
      <c r="E4804" s="292">
        <v>42983</v>
      </c>
      <c r="F4804" s="67" t="s">
        <v>2269</v>
      </c>
      <c r="G4804" s="925" t="s">
        <v>2271</v>
      </c>
      <c r="H4804" s="294" t="s">
        <v>2272</v>
      </c>
      <c r="I4804" s="373"/>
      <c r="J4804" s="926"/>
      <c r="K4804" s="373"/>
      <c r="L4804" s="379"/>
      <c r="M4804" s="927">
        <v>6181818</v>
      </c>
      <c r="N4804" s="295" t="s">
        <v>101</v>
      </c>
      <c r="O4804" s="295" t="s">
        <v>63</v>
      </c>
      <c r="P4804" s="75" t="str">
        <f>IF(AND('331-CT'!$E$7=TH!H3873,OR(N4804="331",O4804="331")),"x","")</f>
        <v/>
      </c>
      <c r="Q4804" s="75" t="str">
        <f>IF(AND(B4804='111'!$L$11,OR($N4804=$Q$7,$O4804=$Q$7)),"x","")</f>
        <v/>
      </c>
      <c r="R4804" s="75" t="str">
        <f>IF(AND($N4804=$Q$7,$B4804&lt;'111'!$L$11),"x","")</f>
        <v/>
      </c>
      <c r="S4804" s="75" t="str">
        <f>IF(AND($O4804=$Q$7,$B4804&lt;'111'!$L$11),"x","")</f>
        <v>x</v>
      </c>
      <c r="T4804" s="75" t="str">
        <f>IF(ISERROR(FIND('112'!$M$9,G4804,1)),"",IF((AND(FIND('112'!$M$9,G4804,1)&gt;=1,B4804='112'!$K$9,OR($N4804='112'!$I$6,$O4804='112'!$I$6))),"x",""))</f>
        <v/>
      </c>
      <c r="U4804" s="75" t="str">
        <f>IF(ISERROR(FIND('112'!$M$9,G4804,1)),"",IF((AND(LEFT(G4804,2)=LEFT('112'!$M$9,2),B4804&lt;'112'!$K$9,$N4804='112'!$I$6)),"x",""))</f>
        <v/>
      </c>
      <c r="V4804" s="75" t="str">
        <f>IF(ISERROR(FIND('112'!$M$9,G4804,1)),"",IF((AND(RIGHT(G4804,2)=RIGHT('112'!$M$9,2),B4804&lt;'112'!$K$9,$O4804='112'!$I$6)),"x",""))</f>
        <v/>
      </c>
      <c r="W4804" s="75" t="str">
        <f>IF(AND('341-CT'!$H$9=H4804,OR(LEFT(N4804,3)=$W$7,LEFT(O4804,3)=$W$7)),"x","")</f>
        <v/>
      </c>
      <c r="X4804" s="75" t="str">
        <f>IF(OR(TH!N3873=TH!$X$7,O4804=TH!$X$7),"x","")</f>
        <v/>
      </c>
      <c r="Y4804" s="75" t="str">
        <f>IF(AND(OR(N4804="131",O4804="131"),H4804='131-CT'!$H$9),"x","")</f>
        <v/>
      </c>
      <c r="Z4804" s="75"/>
      <c r="AA4804" s="75" t="str">
        <f>IF(AND(MONTH(E4804)='IN-NX'!$J$5,'IN-NX'!$D$7=D4804),"x","")</f>
        <v/>
      </c>
      <c r="AB4804" s="75" t="str">
        <f>IF(AND(OR(LEFT(TH!N3873,2)="15",LEFT(TH!O3873,2)="15"),LEFT(TH!O3873,3)&lt;&gt;"111",'152-CT'!$J$8=TH!F3873),"x","")</f>
        <v/>
      </c>
      <c r="AC4804" s="75" t="str">
        <f>IF(AND(OR(LEFT(TH!N3873,2)="15",LEFT(TH!O3873,2)="15"),TK!$E$7=TH!F3873),"x","")</f>
        <v/>
      </c>
      <c r="AD4804" s="75" t="str">
        <f>IF(AND(N4804="1521",MONTH(C4804)='BK-NL'!$M$11),"x","")</f>
        <v/>
      </c>
      <c r="AE4804">
        <v>9</v>
      </c>
    </row>
    <row r="4805" spans="1:31" ht="16.5" customHeight="1">
      <c r="A4805" s="309" t="str">
        <f>IF(B4805&lt;&gt;"",IF(AND(B4805='IN-TC'!$S$4,OR(TH!N4795="1111",TH!O4795="1111")),TH!D4795,""),"")</f>
        <v/>
      </c>
      <c r="B4805" s="1242">
        <f t="shared" si="1334"/>
        <v>9</v>
      </c>
      <c r="C4805" s="292">
        <f t="shared" si="1335"/>
        <v>42983</v>
      </c>
      <c r="D4805" s="292"/>
      <c r="E4805" s="292">
        <v>42983</v>
      </c>
      <c r="F4805" s="67" t="s">
        <v>2270</v>
      </c>
      <c r="G4805" s="925" t="s">
        <v>2271</v>
      </c>
      <c r="H4805" s="294" t="s">
        <v>2272</v>
      </c>
      <c r="I4805" s="373"/>
      <c r="J4805" s="926"/>
      <c r="K4805" s="373"/>
      <c r="L4805" s="379"/>
      <c r="M4805" s="927">
        <v>618182</v>
      </c>
      <c r="N4805" s="295" t="s">
        <v>9</v>
      </c>
      <c r="O4805" s="295" t="s">
        <v>63</v>
      </c>
      <c r="P4805" s="75" t="str">
        <f>IF(AND('331-CT'!$E$7=TH!H3874,OR(N4805="331",O4805="331")),"x","")</f>
        <v/>
      </c>
      <c r="Q4805" s="75" t="str">
        <f>IF(AND(B4805='111'!$L$11,OR($N4805=$Q$7,$O4805=$Q$7)),"x","")</f>
        <v/>
      </c>
      <c r="R4805" s="75" t="str">
        <f>IF(AND($N4805=$Q$7,$B4805&lt;'111'!$L$11),"x","")</f>
        <v/>
      </c>
      <c r="S4805" s="75" t="str">
        <f>IF(AND($O4805=$Q$7,$B4805&lt;'111'!$L$11),"x","")</f>
        <v>x</v>
      </c>
      <c r="T4805" s="75" t="str">
        <f>IF(ISERROR(FIND('112'!$M$9,G4805,1)),"",IF((AND(FIND('112'!$M$9,G4805,1)&gt;=1,B4805='112'!$K$9,OR($N4805='112'!$I$6,$O4805='112'!$I$6))),"x",""))</f>
        <v/>
      </c>
      <c r="U4805" s="75" t="str">
        <f>IF(ISERROR(FIND('112'!$M$9,G4805,1)),"",IF((AND(LEFT(G4805,2)=LEFT('112'!$M$9,2),B4805&lt;'112'!$K$9,$N4805='112'!$I$6)),"x",""))</f>
        <v/>
      </c>
      <c r="V4805" s="75" t="str">
        <f>IF(ISERROR(FIND('112'!$M$9,G4805,1)),"",IF((AND(RIGHT(G4805,2)=RIGHT('112'!$M$9,2),B4805&lt;'112'!$K$9,$O4805='112'!$I$6)),"x",""))</f>
        <v/>
      </c>
      <c r="W4805" s="75" t="str">
        <f>IF(AND('341-CT'!$H$9=H4805,OR(LEFT(N4805,3)=$W$7,LEFT(O4805,3)=$W$7)),"x","")</f>
        <v/>
      </c>
      <c r="X4805" s="75" t="str">
        <f>IF(OR(TH!N3874=TH!$X$7,O4805=TH!$X$7),"x","")</f>
        <v/>
      </c>
      <c r="Y4805" s="75" t="str">
        <f>IF(AND(OR(N4805="131",O4805="131"),H4805='131-CT'!$H$9),"x","")</f>
        <v/>
      </c>
      <c r="Z4805" s="75"/>
      <c r="AA4805" s="75" t="str">
        <f>IF(AND(MONTH(E4805)='IN-NX'!$J$5,'IN-NX'!$D$7=D4805),"x","")</f>
        <v/>
      </c>
      <c r="AB4805" s="75" t="str">
        <f>IF(AND(OR(LEFT(TH!N3874,2)="15",LEFT(TH!O3874,2)="15"),LEFT(TH!O3874,3)&lt;&gt;"111",'152-CT'!$J$8=TH!F3874),"x","")</f>
        <v/>
      </c>
      <c r="AC4805" s="75" t="str">
        <f>IF(AND(OR(LEFT(TH!N3874,2)="15",LEFT(TH!O3874,2)="15"),TK!$E$7=TH!F3874),"x","")</f>
        <v/>
      </c>
      <c r="AD4805" s="75" t="str">
        <f>IF(AND(N4805="1521",MONTH(C4805)='BK-NL'!$M$11),"x","")</f>
        <v/>
      </c>
      <c r="AE4805">
        <v>9</v>
      </c>
    </row>
    <row r="4806" spans="1:31" ht="16.5" customHeight="1">
      <c r="A4806" s="309" t="str">
        <f>IF(B4806&lt;&gt;"",IF(AND(B4806='IN-TC'!$S$4,OR(TH!N4796="1111",TH!O4796="1111")),TH!D4796,""),"")</f>
        <v/>
      </c>
      <c r="B4806" s="1242">
        <f t="shared" si="1334"/>
        <v>9</v>
      </c>
      <c r="C4806" s="292">
        <f t="shared" si="1335"/>
        <v>42984</v>
      </c>
      <c r="D4806" s="292"/>
      <c r="E4806" s="292">
        <v>42984</v>
      </c>
      <c r="F4806" s="67" t="s">
        <v>2275</v>
      </c>
      <c r="G4806" s="925" t="s">
        <v>2277</v>
      </c>
      <c r="H4806" s="294" t="s">
        <v>935</v>
      </c>
      <c r="I4806" s="373"/>
      <c r="J4806" s="926"/>
      <c r="K4806" s="373"/>
      <c r="L4806" s="379"/>
      <c r="M4806" s="927">
        <v>3021964</v>
      </c>
      <c r="N4806" s="295" t="s">
        <v>101</v>
      </c>
      <c r="O4806" s="295" t="s">
        <v>63</v>
      </c>
      <c r="P4806" s="75" t="str">
        <f>IF(AND('331-CT'!$E$7=TH!H3875,OR(N4806="331",O4806="331")),"x","")</f>
        <v/>
      </c>
      <c r="Q4806" s="75" t="str">
        <f>IF(AND(B4806='111'!$L$11,OR($N4806=$Q$7,$O4806=$Q$7)),"x","")</f>
        <v/>
      </c>
      <c r="R4806" s="75" t="str">
        <f>IF(AND($N4806=$Q$7,$B4806&lt;'111'!$L$11),"x","")</f>
        <v/>
      </c>
      <c r="S4806" s="75" t="str">
        <f>IF(AND($O4806=$Q$7,$B4806&lt;'111'!$L$11),"x","")</f>
        <v>x</v>
      </c>
      <c r="T4806" s="75" t="str">
        <f>IF(ISERROR(FIND('112'!$M$9,G4806,1)),"",IF((AND(FIND('112'!$M$9,G4806,1)&gt;=1,B4806='112'!$K$9,OR($N4806='112'!$I$6,$O4806='112'!$I$6))),"x",""))</f>
        <v/>
      </c>
      <c r="U4806" s="75" t="str">
        <f>IF(ISERROR(FIND('112'!$M$9,G4806,1)),"",IF((AND(LEFT(G4806,2)=LEFT('112'!$M$9,2),B4806&lt;'112'!$K$9,$N4806='112'!$I$6)),"x",""))</f>
        <v/>
      </c>
      <c r="V4806" s="75" t="str">
        <f>IF(ISERROR(FIND('112'!$M$9,G4806,1)),"",IF((AND(RIGHT(G4806,2)=RIGHT('112'!$M$9,2),B4806&lt;'112'!$K$9,$O4806='112'!$I$6)),"x",""))</f>
        <v/>
      </c>
      <c r="W4806" s="75" t="str">
        <f>IF(AND('341-CT'!$H$9=H4806,OR(LEFT(N4806,3)=$W$7,LEFT(O4806,3)=$W$7)),"x","")</f>
        <v/>
      </c>
      <c r="X4806" s="75" t="str">
        <f>IF(OR(TH!N3875=TH!$X$7,O4806=TH!$X$7),"x","")</f>
        <v/>
      </c>
      <c r="Y4806" s="75" t="str">
        <f>IF(AND(OR(N4806="131",O4806="131"),H4806='131-CT'!$H$9),"x","")</f>
        <v/>
      </c>
      <c r="Z4806" s="75"/>
      <c r="AA4806" s="75" t="str">
        <f>IF(AND(MONTH(E4806)='IN-NX'!$J$5,'IN-NX'!$D$7=D4806),"x","")</f>
        <v/>
      </c>
      <c r="AB4806" s="75" t="str">
        <f>IF(AND(OR(LEFT(TH!N3875,2)="15",LEFT(TH!O3875,2)="15"),LEFT(TH!O3875,3)&lt;&gt;"111",'152-CT'!$J$8=TH!F3875),"x","")</f>
        <v/>
      </c>
      <c r="AC4806" s="75" t="str">
        <f>IF(AND(OR(LEFT(TH!N3875,2)="15",LEFT(TH!O3875,2)="15"),TK!$E$7=TH!F3875),"x","")</f>
        <v/>
      </c>
      <c r="AD4806" s="75" t="str">
        <f>IF(AND(N4806="1521",MONTH(C4806)='BK-NL'!$M$11),"x","")</f>
        <v/>
      </c>
      <c r="AE4806">
        <v>9</v>
      </c>
    </row>
    <row r="4807" spans="1:31" ht="16.5" customHeight="1">
      <c r="A4807" s="309" t="str">
        <f>IF(B4807&lt;&gt;"",IF(AND(B4807='IN-TC'!$S$4,OR(TH!N4797="1111",TH!O4797="1111")),TH!D4797,""),"")</f>
        <v/>
      </c>
      <c r="B4807" s="1242">
        <f t="shared" si="1334"/>
        <v>9</v>
      </c>
      <c r="C4807" s="292">
        <f t="shared" si="1335"/>
        <v>42984</v>
      </c>
      <c r="D4807" s="292"/>
      <c r="E4807" s="292">
        <v>42984</v>
      </c>
      <c r="F4807" s="67" t="s">
        <v>2276</v>
      </c>
      <c r="G4807" s="925" t="s">
        <v>2277</v>
      </c>
      <c r="H4807" s="294" t="s">
        <v>935</v>
      </c>
      <c r="I4807" s="373"/>
      <c r="J4807" s="926"/>
      <c r="K4807" s="373"/>
      <c r="L4807" s="379"/>
      <c r="M4807" s="927">
        <v>302196</v>
      </c>
      <c r="N4807" s="295" t="s">
        <v>9</v>
      </c>
      <c r="O4807" s="295" t="s">
        <v>63</v>
      </c>
      <c r="P4807" s="75" t="str">
        <f>IF(AND('331-CT'!$E$7=TH!H3876,OR(N4807="331",O4807="331")),"x","")</f>
        <v/>
      </c>
      <c r="Q4807" s="75" t="str">
        <f>IF(AND(B4807='111'!$L$11,OR($N4807=$Q$7,$O4807=$Q$7)),"x","")</f>
        <v/>
      </c>
      <c r="R4807" s="75" t="str">
        <f>IF(AND($N4807=$Q$7,$B4807&lt;'111'!$L$11),"x","")</f>
        <v/>
      </c>
      <c r="S4807" s="75" t="str">
        <f>IF(AND($O4807=$Q$7,$B4807&lt;'111'!$L$11),"x","")</f>
        <v>x</v>
      </c>
      <c r="T4807" s="75" t="str">
        <f>IF(ISERROR(FIND('112'!$M$9,G4807,1)),"",IF((AND(FIND('112'!$M$9,G4807,1)&gt;=1,B4807='112'!$K$9,OR($N4807='112'!$I$6,$O4807='112'!$I$6))),"x",""))</f>
        <v/>
      </c>
      <c r="U4807" s="75" t="str">
        <f>IF(ISERROR(FIND('112'!$M$9,G4807,1)),"",IF((AND(LEFT(G4807,2)=LEFT('112'!$M$9,2),B4807&lt;'112'!$K$9,$N4807='112'!$I$6)),"x",""))</f>
        <v/>
      </c>
      <c r="V4807" s="75" t="str">
        <f>IF(ISERROR(FIND('112'!$M$9,G4807,1)),"",IF((AND(RIGHT(G4807,2)=RIGHT('112'!$M$9,2),B4807&lt;'112'!$K$9,$O4807='112'!$I$6)),"x",""))</f>
        <v/>
      </c>
      <c r="W4807" s="75" t="str">
        <f>IF(AND('341-CT'!$H$9=H4807,OR(LEFT(N4807,3)=$W$7,LEFT(O4807,3)=$W$7)),"x","")</f>
        <v/>
      </c>
      <c r="X4807" s="75" t="str">
        <f>IF(OR(TH!N3876=TH!$X$7,O4807=TH!$X$7),"x","")</f>
        <v/>
      </c>
      <c r="Y4807" s="75" t="str">
        <f>IF(AND(OR(N4807="131",O4807="131"),H4807='131-CT'!$H$9),"x","")</f>
        <v/>
      </c>
      <c r="Z4807" s="75"/>
      <c r="AA4807" s="75" t="str">
        <f>IF(AND(MONTH(E4807)='IN-NX'!$J$5,'IN-NX'!$D$7=D4807),"x","")</f>
        <v/>
      </c>
      <c r="AB4807" s="75" t="str">
        <f>IF(AND(OR(LEFT(TH!N3876,2)="15",LEFT(TH!O3876,2)="15"),LEFT(TH!O3876,3)&lt;&gt;"111",'152-CT'!$J$8=TH!F3876),"x","")</f>
        <v/>
      </c>
      <c r="AC4807" s="75" t="str">
        <f>IF(AND(OR(LEFT(TH!N3876,2)="15",LEFT(TH!O3876,2)="15"),TK!$E$7=TH!F3876),"x","")</f>
        <v/>
      </c>
      <c r="AD4807" s="75" t="str">
        <f>IF(AND(N4807="1521",MONTH(C4807)='BK-NL'!$M$11),"x","")</f>
        <v/>
      </c>
      <c r="AE4807">
        <v>9</v>
      </c>
    </row>
    <row r="4808" spans="1:31" ht="16.5" customHeight="1">
      <c r="A4808" s="309" t="str">
        <f>IF(B4808&lt;&gt;"",IF(AND(B4808='IN-TC'!$S$4,OR(TH!N4798="1111",TH!O4798="1111")),TH!D4798,""),"")</f>
        <v/>
      </c>
      <c r="B4808" s="1242">
        <f t="shared" si="1334"/>
        <v>9</v>
      </c>
      <c r="C4808" s="292">
        <f t="shared" si="1335"/>
        <v>42984</v>
      </c>
      <c r="D4808" s="292"/>
      <c r="E4808" s="292">
        <v>42984</v>
      </c>
      <c r="F4808" s="67" t="s">
        <v>2563</v>
      </c>
      <c r="G4808" s="925"/>
      <c r="H4808" s="294" t="s">
        <v>1330</v>
      </c>
      <c r="I4808" s="373"/>
      <c r="J4808" s="926"/>
      <c r="K4808" s="373"/>
      <c r="L4808" s="379"/>
      <c r="M4808" s="927">
        <v>2513636</v>
      </c>
      <c r="N4808" s="295" t="s">
        <v>539</v>
      </c>
      <c r="O4808" s="295" t="s">
        <v>63</v>
      </c>
      <c r="P4808" s="75" t="str">
        <f>IF(AND('331-CT'!$E$7=TH!H3877,OR(N4808="331",O4808="331")),"x","")</f>
        <v/>
      </c>
      <c r="Q4808" s="75" t="str">
        <f>IF(AND(B4808='111'!$L$11,OR($N4808=$Q$7,$O4808=$Q$7)),"x","")</f>
        <v/>
      </c>
      <c r="R4808" s="75" t="str">
        <f>IF(AND($N4808=$Q$7,$B4808&lt;'111'!$L$11),"x","")</f>
        <v/>
      </c>
      <c r="S4808" s="75" t="str">
        <f>IF(AND($O4808=$Q$7,$B4808&lt;'111'!$L$11),"x","")</f>
        <v>x</v>
      </c>
      <c r="T4808" s="75" t="str">
        <f>IF(ISERROR(FIND('112'!$M$9,G4808,1)),"",IF((AND(FIND('112'!$M$9,G4808,1)&gt;=1,B4808='112'!$K$9,OR($N4808='112'!$I$6,$O4808='112'!$I$6))),"x",""))</f>
        <v/>
      </c>
      <c r="U4808" s="75" t="str">
        <f>IF(ISERROR(FIND('112'!$M$9,G4808,1)),"",IF((AND(LEFT(G4808,2)=LEFT('112'!$M$9,2),B4808&lt;'112'!$K$9,$N4808='112'!$I$6)),"x",""))</f>
        <v/>
      </c>
      <c r="V4808" s="75" t="str">
        <f>IF(ISERROR(FIND('112'!$M$9,G4808,1)),"",IF((AND(RIGHT(G4808,2)=RIGHT('112'!$M$9,2),B4808&lt;'112'!$K$9,$O4808='112'!$I$6)),"x",""))</f>
        <v/>
      </c>
      <c r="W4808" s="75" t="str">
        <f>IF(AND('341-CT'!$H$9=H4808,OR(LEFT(N4808,3)=$W$7,LEFT(O4808,3)=$W$7)),"x","")</f>
        <v/>
      </c>
      <c r="X4808" s="75" t="str">
        <f>IF(OR(TH!N3877=TH!$X$7,O4808=TH!$X$7),"x","")</f>
        <v/>
      </c>
      <c r="Y4808" s="75" t="str">
        <f>IF(AND(OR(N4808="131",O4808="131"),H4808='131-CT'!$H$9),"x","")</f>
        <v/>
      </c>
      <c r="Z4808" s="75"/>
      <c r="AA4808" s="75" t="str">
        <f>IF(AND(MONTH(E4808)='IN-NX'!$J$5,'IN-NX'!$D$7=D4808),"x","")</f>
        <v/>
      </c>
      <c r="AB4808" s="75" t="str">
        <f>IF(AND(OR(LEFT(TH!N3877,2)="15",LEFT(TH!O3877,2)="15"),LEFT(TH!O3877,3)&lt;&gt;"111",'152-CT'!$J$8=TH!F3877),"x","")</f>
        <v/>
      </c>
      <c r="AC4808" s="75" t="str">
        <f>IF(AND(OR(LEFT(TH!N3877,2)="15",LEFT(TH!O3877,2)="15"),TK!$E$7=TH!F3877),"x","")</f>
        <v/>
      </c>
      <c r="AD4808" s="75" t="str">
        <f>IF(AND(N4808="1521",MONTH(C4808)='BK-NL'!$M$11),"x","")</f>
        <v/>
      </c>
      <c r="AE4808">
        <v>10</v>
      </c>
    </row>
    <row r="4809" spans="1:31" ht="16.5" customHeight="1">
      <c r="A4809" s="309" t="str">
        <f>IF(B4809&lt;&gt;"",IF(AND(B4809='IN-TC'!$S$4,OR(TH!N4799="1111",TH!O4799="1111")),TH!D4799,""),"")</f>
        <v/>
      </c>
      <c r="B4809" s="1242">
        <f t="shared" si="1334"/>
        <v>9</v>
      </c>
      <c r="C4809" s="292">
        <f t="shared" si="1335"/>
        <v>42984</v>
      </c>
      <c r="D4809" s="292"/>
      <c r="E4809" s="292">
        <v>42984</v>
      </c>
      <c r="F4809" s="67" t="s">
        <v>2564</v>
      </c>
      <c r="G4809" s="925"/>
      <c r="H4809" s="294" t="s">
        <v>1330</v>
      </c>
      <c r="I4809" s="373"/>
      <c r="J4809" s="926"/>
      <c r="K4809" s="373"/>
      <c r="L4809" s="379"/>
      <c r="M4809" s="927">
        <v>251364</v>
      </c>
      <c r="N4809" s="295" t="s">
        <v>9</v>
      </c>
      <c r="O4809" s="295" t="s">
        <v>63</v>
      </c>
      <c r="P4809" s="75" t="str">
        <f>IF(AND('331-CT'!$E$7=TH!H3878,OR(N4809="331",O4809="331")),"x","")</f>
        <v/>
      </c>
      <c r="Q4809" s="75" t="str">
        <f>IF(AND(B4809='111'!$L$11,OR($N4809=$Q$7,$O4809=$Q$7)),"x","")</f>
        <v/>
      </c>
      <c r="R4809" s="75" t="str">
        <f>IF(AND($N4809=$Q$7,$B4809&lt;'111'!$L$11),"x","")</f>
        <v/>
      </c>
      <c r="S4809" s="75" t="str">
        <f>IF(AND($O4809=$Q$7,$B4809&lt;'111'!$L$11),"x","")</f>
        <v>x</v>
      </c>
      <c r="T4809" s="75" t="str">
        <f>IF(ISERROR(FIND('112'!$M$9,G4809,1)),"",IF((AND(FIND('112'!$M$9,G4809,1)&gt;=1,B4809='112'!$K$9,OR($N4809='112'!$I$6,$O4809='112'!$I$6))),"x",""))</f>
        <v/>
      </c>
      <c r="U4809" s="75" t="str">
        <f>IF(ISERROR(FIND('112'!$M$9,G4809,1)),"",IF((AND(LEFT(G4809,2)=LEFT('112'!$M$9,2),B4809&lt;'112'!$K$9,$N4809='112'!$I$6)),"x",""))</f>
        <v/>
      </c>
      <c r="V4809" s="75" t="str">
        <f>IF(ISERROR(FIND('112'!$M$9,G4809,1)),"",IF((AND(RIGHT(G4809,2)=RIGHT('112'!$M$9,2),B4809&lt;'112'!$K$9,$O4809='112'!$I$6)),"x",""))</f>
        <v/>
      </c>
      <c r="W4809" s="75" t="str">
        <f>IF(AND('341-CT'!$H$9=H4809,OR(LEFT(N4809,3)=$W$7,LEFT(O4809,3)=$W$7)),"x","")</f>
        <v/>
      </c>
      <c r="X4809" s="75" t="str">
        <f>IF(OR(TH!N3878=TH!$X$7,O4809=TH!$X$7),"x","")</f>
        <v/>
      </c>
      <c r="Y4809" s="75" t="str">
        <f>IF(AND(OR(N4809="131",O4809="131"),H4809='131-CT'!$H$9),"x","")</f>
        <v/>
      </c>
      <c r="Z4809" s="75"/>
      <c r="AA4809" s="75" t="str">
        <f>IF(AND(MONTH(E4809)='IN-NX'!$J$5,'IN-NX'!$D$7=D4809),"x","")</f>
        <v/>
      </c>
      <c r="AB4809" s="75" t="str">
        <f>IF(AND(OR(LEFT(TH!N3878,2)="15",LEFT(TH!O3878,2)="15"),LEFT(TH!O3878,3)&lt;&gt;"111",'152-CT'!$J$8=TH!F3878),"x","")</f>
        <v/>
      </c>
      <c r="AC4809" s="75" t="str">
        <f>IF(AND(OR(LEFT(TH!N3878,2)="15",LEFT(TH!O3878,2)="15"),TK!$E$7=TH!F3878),"x","")</f>
        <v/>
      </c>
      <c r="AD4809" s="75" t="str">
        <f>IF(AND(N4809="1521",MONTH(C4809)='BK-NL'!$M$11),"x","")</f>
        <v/>
      </c>
      <c r="AE4809">
        <v>10</v>
      </c>
    </row>
    <row r="4810" spans="1:31" ht="16.5" customHeight="1">
      <c r="A4810" s="309" t="str">
        <f>IF(B4810&lt;&gt;"",IF(AND(B4810='IN-TC'!$S$4,OR(TH!N4800="1111",TH!O4800="1111")),TH!D4800,""),"")</f>
        <v/>
      </c>
      <c r="B4810" s="1242">
        <f t="shared" si="1334"/>
        <v>9</v>
      </c>
      <c r="C4810" s="292">
        <f t="shared" si="1335"/>
        <v>42984</v>
      </c>
      <c r="D4810" s="59" t="s">
        <v>2493</v>
      </c>
      <c r="E4810" s="59">
        <v>42984</v>
      </c>
      <c r="F4810" s="62" t="s">
        <v>2103</v>
      </c>
      <c r="G4810" s="62" t="s">
        <v>585</v>
      </c>
      <c r="H4810" s="294" t="s">
        <v>1023</v>
      </c>
      <c r="I4810" s="373"/>
      <c r="J4810" s="382"/>
      <c r="K4810" s="373"/>
      <c r="L4810" s="379"/>
      <c r="M4810" s="60">
        <v>7460000000</v>
      </c>
      <c r="N4810" s="61" t="s">
        <v>26</v>
      </c>
      <c r="O4810" s="61" t="s">
        <v>63</v>
      </c>
      <c r="P4810" s="75" t="str">
        <f>IF(AND('331-CT'!$E$7=TH!H4804,OR(N4810="331",O4810="331")),"x","")</f>
        <v/>
      </c>
      <c r="Q4810" s="75" t="str">
        <f>IF(AND(B4810='111'!$L$11,OR($N4810=$Q$7,$O4810=$Q$7)),"x","")</f>
        <v/>
      </c>
      <c r="R4810" s="75" t="str">
        <f>IF(AND($N4810=$Q$7,$B4810&lt;'111'!$L$11),"x","")</f>
        <v/>
      </c>
      <c r="S4810" s="75" t="str">
        <f>IF(AND($O4810=$Q$7,$B4810&lt;'111'!$L$11),"x","")</f>
        <v>x</v>
      </c>
      <c r="T4810" s="75" t="str">
        <f>IF(ISERROR(FIND('112'!$M$9,G4810,1)),"",IF((AND(FIND('112'!$M$9,G4810,1)&gt;=1,B4810='112'!$K$9,OR($N4810='112'!$I$6,$O4810='112'!$I$6))),"x",""))</f>
        <v/>
      </c>
      <c r="U4810" s="75" t="str">
        <f>IF(ISERROR(FIND('112'!$M$9,G4810,1)),"",IF((AND(LEFT(G4810,2)=LEFT('112'!$M$9,2),B4810&lt;'112'!$K$9,$N4810='112'!$I$6)),"x",""))</f>
        <v/>
      </c>
      <c r="V4810" s="75" t="str">
        <f>IF(ISERROR(FIND('112'!$M$9,G4810,1)),"",IF((AND(RIGHT(G4810,2)=RIGHT('112'!$M$9,2),B4810&lt;'112'!$K$9,$O4810='112'!$I$6)),"x",""))</f>
        <v/>
      </c>
      <c r="W4810" s="75" t="str">
        <f>IF(AND('341-CT'!$H$9=H4810,OR(LEFT(N4810,3)=$W$7,LEFT(O4810,3)=$W$7)),"x","")</f>
        <v/>
      </c>
      <c r="X4810" s="75" t="str">
        <f>IF(OR(TH!N4804=TH!$X$7,O4810=TH!$X$7),"x","")</f>
        <v/>
      </c>
      <c r="Y4810" s="75" t="str">
        <f>IF(AND(OR(N4810="131",O4810="131"),H4810='131-CT'!$H$9),"x","")</f>
        <v/>
      </c>
      <c r="Z4810" s="75"/>
      <c r="AA4810" s="75" t="str">
        <f>IF(AND(MONTH(E4810)='IN-NX'!$J$5,'IN-NX'!$D$7=D4810),"x","")</f>
        <v/>
      </c>
      <c r="AB4810" s="75" t="str">
        <f>IF(AND(OR(LEFT(TH!N4804,2)="15",LEFT(TH!O4804,2)="15"),LEFT(TH!O4804,3)&lt;&gt;"111",'152-CT'!$J$8=TH!F4804),"x","")</f>
        <v/>
      </c>
      <c r="AC4810" s="75" t="str">
        <f>IF(AND(OR(LEFT(TH!N4804,2)="15",LEFT(TH!O4804,2)="15"),TK!$E$7=TH!F4804),"x","")</f>
        <v/>
      </c>
      <c r="AD4810" s="75" t="str">
        <f>IF(AND(N4810="1521",MONTH(C4810)='BK-NL'!$M$11),"x","")</f>
        <v/>
      </c>
    </row>
    <row r="4811" spans="1:31" ht="16.5" customHeight="1">
      <c r="A4811" s="309" t="str">
        <f>IF(B4811&lt;&gt;"",IF(AND(B4811='IN-TC'!$S$4,OR(TH!N4801="1111",TH!O4801="1111")),TH!D4801,""),"")</f>
        <v/>
      </c>
      <c r="B4811" s="1242">
        <f t="shared" si="1334"/>
        <v>9</v>
      </c>
      <c r="C4811" s="292">
        <f t="shared" si="1335"/>
        <v>42984</v>
      </c>
      <c r="D4811" s="59" t="s">
        <v>902</v>
      </c>
      <c r="E4811" s="59">
        <v>42984</v>
      </c>
      <c r="F4811" s="62" t="s">
        <v>1549</v>
      </c>
      <c r="G4811" s="62" t="s">
        <v>747</v>
      </c>
      <c r="H4811" s="67" t="s">
        <v>835</v>
      </c>
      <c r="I4811" s="373"/>
      <c r="J4811" s="382"/>
      <c r="K4811" s="373"/>
      <c r="L4811" s="379"/>
      <c r="M4811" s="60">
        <v>227650</v>
      </c>
      <c r="N4811" s="61" t="s">
        <v>101</v>
      </c>
      <c r="O4811" s="61" t="s">
        <v>26</v>
      </c>
      <c r="P4811" s="75" t="str">
        <f>IF(AND('331-CT'!$E$7=TH!H5440,OR(N4811="331",O4811="331")),"x","")</f>
        <v/>
      </c>
      <c r="Q4811" s="75" t="str">
        <f>IF(AND(B4811='111'!$L$11,OR($N4811=$Q$7,$O4811=$Q$7)),"x","")</f>
        <v/>
      </c>
      <c r="R4811" s="75" t="str">
        <f>IF(AND($N4811=$Q$7,$B4811&lt;'111'!$L$11),"x","")</f>
        <v/>
      </c>
      <c r="S4811" s="75" t="str">
        <f>IF(AND($O4811=$Q$7,$B4811&lt;'111'!$L$11),"x","")</f>
        <v/>
      </c>
      <c r="T4811" s="75" t="str">
        <f>IF(ISERROR(FIND('112'!$M$9,G4811,1)),"",IF((AND(FIND('112'!$M$9,G4811,1)&gt;=1,B4811='112'!$K$9,OR($N4811='112'!$I$6,$O4811='112'!$I$6))),"x",""))</f>
        <v/>
      </c>
      <c r="U4811" s="75" t="str">
        <f>IF(ISERROR(FIND('112'!$M$9,G4811,1)),"",IF((AND(LEFT(G4811,2)=LEFT('112'!$M$9,2),B4811&lt;'112'!$K$9,$N4811='112'!$I$6)),"x",""))</f>
        <v/>
      </c>
      <c r="V4811" s="75" t="str">
        <f>IF(ISERROR(FIND('112'!$M$9,G4811,1)),"",IF((AND(RIGHT(G4811,2)=RIGHT('112'!$M$9,2),B4811&lt;'112'!$K$9,$O4811='112'!$I$6)),"x",""))</f>
        <v/>
      </c>
      <c r="W4811" s="75" t="str">
        <f>IF(AND('341-CT'!$H$9=H4811,OR(LEFT(N4811,3)=$W$7,LEFT(O4811,3)=$W$7)),"x","")</f>
        <v/>
      </c>
      <c r="X4811" s="75" t="str">
        <f>IF(OR(TH!N5440=TH!$X$7,O4811=TH!$X$7),"x","")</f>
        <v/>
      </c>
      <c r="Y4811" s="75" t="str">
        <f>IF(AND(OR(N4811="131",O4811="131"),H4811='131-CT'!$H$9),"x","")</f>
        <v/>
      </c>
      <c r="Z4811" s="75"/>
      <c r="AA4811" s="75" t="str">
        <f>IF(AND(MONTH(E4811)='IN-NX'!$J$5,'IN-NX'!$D$7=D4811),"x","")</f>
        <v/>
      </c>
      <c r="AB4811" s="75" t="str">
        <f>IF(AND(OR(LEFT(TH!N5440,2)="15",LEFT(TH!O5440,2)="15"),LEFT(TH!O5440,3)&lt;&gt;"111",'152-CT'!$J$8=TH!F5440),"x","")</f>
        <v/>
      </c>
      <c r="AC4811" s="75" t="str">
        <f>IF(AND(OR(LEFT(TH!N5440,2)="15",LEFT(TH!O5440,2)="15"),TK!$E$7=TH!F5440),"x","")</f>
        <v/>
      </c>
      <c r="AD4811" s="75" t="str">
        <f>IF(AND(N4811="1521",MONTH(C4811)='BK-NL'!$M$11),"x","")</f>
        <v/>
      </c>
    </row>
    <row r="4812" spans="1:31" ht="16.5" customHeight="1">
      <c r="A4812" s="309" t="str">
        <f>IF(B4812&lt;&gt;"",IF(AND(B4812='IN-TC'!$S$4,OR(TH!N4802="1111",TH!O4802="1111")),TH!D4802,""),"")</f>
        <v/>
      </c>
      <c r="B4812" s="1242">
        <f t="shared" si="1334"/>
        <v>9</v>
      </c>
      <c r="C4812" s="292">
        <f t="shared" si="1335"/>
        <v>42985</v>
      </c>
      <c r="D4812" s="59" t="s">
        <v>846</v>
      </c>
      <c r="E4812" s="59">
        <v>42985</v>
      </c>
      <c r="F4812" s="131" t="s">
        <v>834</v>
      </c>
      <c r="G4812" s="62" t="s">
        <v>585</v>
      </c>
      <c r="H4812" s="67" t="s">
        <v>1023</v>
      </c>
      <c r="I4812" s="373"/>
      <c r="J4812" s="382"/>
      <c r="K4812" s="373"/>
      <c r="L4812" s="379"/>
      <c r="M4812" s="60">
        <v>4900000000</v>
      </c>
      <c r="N4812" s="61" t="s">
        <v>63</v>
      </c>
      <c r="O4812" s="61" t="s">
        <v>26</v>
      </c>
      <c r="P4812" s="75" t="str">
        <f>IF(AND('331-CT'!$E$7=TH!H4805,OR(N4812="331",O4812="331")),"x","")</f>
        <v/>
      </c>
      <c r="Q4812" s="75" t="str">
        <f>IF(AND(B4812='111'!$L$11,OR($N4812=$Q$7,$O4812=$Q$7)),"x","")</f>
        <v/>
      </c>
      <c r="R4812" s="75" t="str">
        <f>IF(AND($N4812=$Q$7,$B4812&lt;'111'!$L$11),"x","")</f>
        <v>x</v>
      </c>
      <c r="S4812" s="75" t="str">
        <f>IF(AND($O4812=$Q$7,$B4812&lt;'111'!$L$11),"x","")</f>
        <v/>
      </c>
      <c r="T4812" s="75" t="str">
        <f>IF(ISERROR(FIND('112'!$M$9,G4812,1)),"",IF((AND(FIND('112'!$M$9,G4812,1)&gt;=1,B4812='112'!$K$9,OR($N4812='112'!$I$6,$O4812='112'!$I$6))),"x",""))</f>
        <v/>
      </c>
      <c r="U4812" s="75" t="str">
        <f>IF(ISERROR(FIND('112'!$M$9,G4812,1)),"",IF((AND(LEFT(G4812,2)=LEFT('112'!$M$9,2),B4812&lt;'112'!$K$9,$N4812='112'!$I$6)),"x",""))</f>
        <v/>
      </c>
      <c r="V4812" s="75" t="str">
        <f>IF(ISERROR(FIND('112'!$M$9,G4812,1)),"",IF((AND(RIGHT(G4812,2)=RIGHT('112'!$M$9,2),B4812&lt;'112'!$K$9,$O4812='112'!$I$6)),"x",""))</f>
        <v/>
      </c>
      <c r="W4812" s="75" t="str">
        <f>IF(AND('341-CT'!$H$9=H4812,OR(LEFT(N4812,3)=$W$7,LEFT(O4812,3)=$W$7)),"x","")</f>
        <v/>
      </c>
      <c r="X4812" s="75" t="str">
        <f>IF(OR(TH!N4805=TH!$X$7,O4812=TH!$X$7),"x","")</f>
        <v/>
      </c>
      <c r="Y4812" s="75" t="str">
        <f>IF(AND(OR(N4812="131",O4812="131"),H4812='131-CT'!$H$9),"x","")</f>
        <v/>
      </c>
      <c r="Z4812" s="75"/>
      <c r="AA4812" s="75" t="str">
        <f>IF(AND(MONTH(E4812)='IN-NX'!$J$5,'IN-NX'!$D$7=D4812),"x","")</f>
        <v/>
      </c>
      <c r="AB4812" s="75" t="str">
        <f>IF(AND(OR(LEFT(TH!N4805,2)="15",LEFT(TH!O4805,2)="15"),LEFT(TH!O4805,3)&lt;&gt;"111",'152-CT'!$J$8=TH!F4805),"x","")</f>
        <v/>
      </c>
      <c r="AC4812" s="75" t="str">
        <f>IF(AND(OR(LEFT(TH!N4805,2)="15",LEFT(TH!O4805,2)="15"),TK!$E$7=TH!F4805),"x","")</f>
        <v/>
      </c>
      <c r="AD4812" s="75" t="str">
        <f>IF(AND(N4812="1521",MONTH(C4812)='BK-NL'!$M$11),"x","")</f>
        <v/>
      </c>
    </row>
    <row r="4813" spans="1:31" ht="16.5" customHeight="1">
      <c r="A4813" s="309" t="str">
        <f>IF(B4813&lt;&gt;"",IF(AND(B4813='IN-TC'!$S$4,OR(TH!N4803="1111",TH!O4803="1111")),TH!D4803,""),"")</f>
        <v/>
      </c>
      <c r="B4813" s="1242">
        <f t="shared" si="1334"/>
        <v>9</v>
      </c>
      <c r="C4813" s="292">
        <f t="shared" si="1335"/>
        <v>42985</v>
      </c>
      <c r="D4813" s="59" t="s">
        <v>902</v>
      </c>
      <c r="E4813" s="59">
        <v>42985</v>
      </c>
      <c r="F4813" s="62" t="s">
        <v>897</v>
      </c>
      <c r="G4813" s="62" t="s">
        <v>585</v>
      </c>
      <c r="H4813" s="67" t="s">
        <v>789</v>
      </c>
      <c r="I4813" s="373"/>
      <c r="J4813" s="382"/>
      <c r="K4813" s="373"/>
      <c r="L4813" s="379"/>
      <c r="M4813" s="60">
        <v>2531965000</v>
      </c>
      <c r="N4813" s="61" t="s">
        <v>8</v>
      </c>
      <c r="O4813" s="61" t="s">
        <v>26</v>
      </c>
      <c r="P4813" s="75" t="str">
        <f>IF(AND('331-CT'!$E$7=TH!H4806,OR(N4813="331",O4813="331")),"x","")</f>
        <v/>
      </c>
      <c r="Q4813" s="75" t="str">
        <f>IF(AND(B4813='111'!$L$11,OR($N4813=$Q$7,$O4813=$Q$7)),"x","")</f>
        <v/>
      </c>
      <c r="R4813" s="75" t="str">
        <f>IF(AND($N4813=$Q$7,$B4813&lt;'111'!$L$11),"x","")</f>
        <v/>
      </c>
      <c r="S4813" s="75" t="str">
        <f>IF(AND($O4813=$Q$7,$B4813&lt;'111'!$L$11),"x","")</f>
        <v/>
      </c>
      <c r="T4813" s="75" t="str">
        <f>IF(ISERROR(FIND('112'!$M$9,G4813,1)),"",IF((AND(FIND('112'!$M$9,G4813,1)&gt;=1,B4813='112'!$K$9,OR($N4813='112'!$I$6,$O4813='112'!$I$6))),"x",""))</f>
        <v/>
      </c>
      <c r="U4813" s="75" t="str">
        <f>IF(ISERROR(FIND('112'!$M$9,G4813,1)),"",IF((AND(LEFT(G4813,2)=LEFT('112'!$M$9,2),B4813&lt;'112'!$K$9,$N4813='112'!$I$6)),"x",""))</f>
        <v/>
      </c>
      <c r="V4813" s="75" t="str">
        <f>IF(ISERROR(FIND('112'!$M$9,G4813,1)),"",IF((AND(RIGHT(G4813,2)=RIGHT('112'!$M$9,2),B4813&lt;'112'!$K$9,$O4813='112'!$I$6)),"x",""))</f>
        <v/>
      </c>
      <c r="W4813" s="75" t="str">
        <f>IF(AND('341-CT'!$H$9=H4813,OR(LEFT(N4813,3)=$W$7,LEFT(O4813,3)=$W$7)),"x","")</f>
        <v/>
      </c>
      <c r="X4813" s="75" t="str">
        <f>IF(OR(TH!N4806=TH!$X$7,O4813=TH!$X$7),"x","")</f>
        <v/>
      </c>
      <c r="Y4813" s="75" t="str">
        <f>IF(AND(OR(N4813="131",O4813="131"),H4813='131-CT'!$H$9),"x","")</f>
        <v/>
      </c>
      <c r="Z4813" s="75"/>
      <c r="AA4813" s="75" t="str">
        <f>IF(AND(MONTH(E4813)='IN-NX'!$J$5,'IN-NX'!$D$7=D4813),"x","")</f>
        <v/>
      </c>
      <c r="AB4813" s="75" t="str">
        <f>IF(AND(OR(LEFT(TH!N4806,2)="15",LEFT(TH!O4806,2)="15"),LEFT(TH!O4806,3)&lt;&gt;"111",'152-CT'!$J$8=TH!F4806),"x","")</f>
        <v/>
      </c>
      <c r="AC4813" s="75" t="str">
        <f>IF(AND(OR(LEFT(TH!N4806,2)="15",LEFT(TH!O4806,2)="15"),TK!$E$7=TH!F4806),"x","")</f>
        <v/>
      </c>
      <c r="AD4813" s="75" t="str">
        <f>IF(AND(N4813="1521",MONTH(C4813)='BK-NL'!$M$11),"x","")</f>
        <v/>
      </c>
    </row>
    <row r="4814" spans="1:31" ht="16.5" customHeight="1">
      <c r="A4814" s="309" t="str">
        <f>IF(B4814&lt;&gt;"",IF(AND(B4814='IN-TC'!$S$4,OR(TH!N4804="1111",TH!O4804="1111")),TH!D4804,""),"")</f>
        <v/>
      </c>
      <c r="B4814" s="1242">
        <f t="shared" si="1334"/>
        <v>9</v>
      </c>
      <c r="C4814" s="292">
        <f t="shared" si="1335"/>
        <v>42985</v>
      </c>
      <c r="D4814" s="59" t="s">
        <v>902</v>
      </c>
      <c r="E4814" s="59">
        <v>42985</v>
      </c>
      <c r="F4814" s="62" t="s">
        <v>1307</v>
      </c>
      <c r="G4814" s="62" t="s">
        <v>585</v>
      </c>
      <c r="H4814" s="67" t="s">
        <v>845</v>
      </c>
      <c r="I4814" s="373"/>
      <c r="J4814" s="382"/>
      <c r="K4814" s="373"/>
      <c r="L4814" s="379"/>
      <c r="M4814" s="60">
        <v>1265983</v>
      </c>
      <c r="N4814" s="61" t="s">
        <v>101</v>
      </c>
      <c r="O4814" s="61" t="s">
        <v>26</v>
      </c>
      <c r="P4814" s="75" t="str">
        <f>IF(AND('331-CT'!$E$7=TH!H4807,OR(N4814="331",O4814="331")),"x","")</f>
        <v/>
      </c>
      <c r="Q4814" s="75" t="str">
        <f>IF(AND(B4814='111'!$L$11,OR($N4814=$Q$7,$O4814=$Q$7)),"x","")</f>
        <v/>
      </c>
      <c r="R4814" s="75" t="str">
        <f>IF(AND($N4814=$Q$7,$B4814&lt;'111'!$L$11),"x","")</f>
        <v/>
      </c>
      <c r="S4814" s="75" t="str">
        <f>IF(AND($O4814=$Q$7,$B4814&lt;'111'!$L$11),"x","")</f>
        <v/>
      </c>
      <c r="T4814" s="75" t="str">
        <f>IF(ISERROR(FIND('112'!$M$9,G4814,1)),"",IF((AND(FIND('112'!$M$9,G4814,1)&gt;=1,B4814='112'!$K$9,OR($N4814='112'!$I$6,$O4814='112'!$I$6))),"x",""))</f>
        <v/>
      </c>
      <c r="U4814" s="75" t="str">
        <f>IF(ISERROR(FIND('112'!$M$9,G4814,1)),"",IF((AND(LEFT(G4814,2)=LEFT('112'!$M$9,2),B4814&lt;'112'!$K$9,$N4814='112'!$I$6)),"x",""))</f>
        <v/>
      </c>
      <c r="V4814" s="75" t="str">
        <f>IF(ISERROR(FIND('112'!$M$9,G4814,1)),"",IF((AND(RIGHT(G4814,2)=RIGHT('112'!$M$9,2),B4814&lt;'112'!$K$9,$O4814='112'!$I$6)),"x",""))</f>
        <v/>
      </c>
      <c r="W4814" s="75" t="str">
        <f>IF(AND('341-CT'!$H$9=H4814,OR(LEFT(N4814,3)=$W$7,LEFT(O4814,3)=$W$7)),"x","")</f>
        <v/>
      </c>
      <c r="X4814" s="75" t="str">
        <f>IF(OR(TH!N4807=TH!$X$7,O4814=TH!$X$7),"x","")</f>
        <v/>
      </c>
      <c r="Y4814" s="75" t="str">
        <f>IF(AND(OR(N4814="131",O4814="131"),H4814='131-CT'!$H$9),"x","")</f>
        <v/>
      </c>
      <c r="Z4814" s="75"/>
      <c r="AA4814" s="75" t="str">
        <f>IF(AND(MONTH(E4814)='IN-NX'!$J$5,'IN-NX'!$D$7=D4814),"x","")</f>
        <v/>
      </c>
      <c r="AB4814" s="75" t="str">
        <f>IF(AND(OR(LEFT(TH!N4807,2)="15",LEFT(TH!O4807,2)="15"),LEFT(TH!O4807,3)&lt;&gt;"111",'152-CT'!$J$8=TH!F4807),"x","")</f>
        <v/>
      </c>
      <c r="AC4814" s="75" t="str">
        <f>IF(AND(OR(LEFT(TH!N4807,2)="15",LEFT(TH!O4807,2)="15"),TK!$E$7=TH!F4807),"x","")</f>
        <v/>
      </c>
      <c r="AD4814" s="75" t="str">
        <f>IF(AND(N4814="1521",MONTH(C4814)='BK-NL'!$M$11),"x","")</f>
        <v/>
      </c>
      <c r="AE4814">
        <v>9</v>
      </c>
    </row>
    <row r="4815" spans="1:31" ht="16.5" customHeight="1">
      <c r="A4815" s="309" t="str">
        <f>IF(B4815&lt;&gt;"",IF(AND(B4815='IN-TC'!$S$4,OR(TH!N4805="1111",TH!O4805="1111")),TH!D4805,""),"")</f>
        <v/>
      </c>
      <c r="B4815" s="1242">
        <f t="shared" si="1334"/>
        <v>9</v>
      </c>
      <c r="C4815" s="292">
        <f t="shared" si="1335"/>
        <v>42985</v>
      </c>
      <c r="D4815" s="59" t="s">
        <v>902</v>
      </c>
      <c r="E4815" s="59">
        <v>42985</v>
      </c>
      <c r="F4815" s="62" t="s">
        <v>2101</v>
      </c>
      <c r="G4815" s="62" t="s">
        <v>585</v>
      </c>
      <c r="H4815" s="67" t="s">
        <v>845</v>
      </c>
      <c r="I4815" s="373"/>
      <c r="J4815" s="382"/>
      <c r="K4815" s="373"/>
      <c r="L4815" s="379"/>
      <c r="M4815" s="60">
        <v>126598</v>
      </c>
      <c r="N4815" s="61" t="s">
        <v>9</v>
      </c>
      <c r="O4815" s="61" t="s">
        <v>26</v>
      </c>
      <c r="P4815" s="75" t="str">
        <f>IF(AND('331-CT'!$E$7=TH!H4808,OR(N4815="331",O4815="331")),"x","")</f>
        <v/>
      </c>
      <c r="Q4815" s="75" t="str">
        <f>IF(AND(B4815='111'!$L$11,OR($N4815=$Q$7,$O4815=$Q$7)),"x","")</f>
        <v/>
      </c>
      <c r="R4815" s="75" t="str">
        <f>IF(AND($N4815=$Q$7,$B4815&lt;'111'!$L$11),"x","")</f>
        <v/>
      </c>
      <c r="S4815" s="75" t="str">
        <f>IF(AND($O4815=$Q$7,$B4815&lt;'111'!$L$11),"x","")</f>
        <v/>
      </c>
      <c r="T4815" s="75" t="str">
        <f>IF(ISERROR(FIND('112'!$M$9,G4815,1)),"",IF((AND(FIND('112'!$M$9,G4815,1)&gt;=1,B4815='112'!$K$9,OR($N4815='112'!$I$6,$O4815='112'!$I$6))),"x",""))</f>
        <v/>
      </c>
      <c r="U4815" s="75" t="str">
        <f>IF(ISERROR(FIND('112'!$M$9,G4815,1)),"",IF((AND(LEFT(G4815,2)=LEFT('112'!$M$9,2),B4815&lt;'112'!$K$9,$N4815='112'!$I$6)),"x",""))</f>
        <v/>
      </c>
      <c r="V4815" s="75" t="str">
        <f>IF(ISERROR(FIND('112'!$M$9,G4815,1)),"",IF((AND(RIGHT(G4815,2)=RIGHT('112'!$M$9,2),B4815&lt;'112'!$K$9,$O4815='112'!$I$6)),"x",""))</f>
        <v/>
      </c>
      <c r="W4815" s="75" t="str">
        <f>IF(AND('341-CT'!$H$9=H4815,OR(LEFT(N4815,3)=$W$7,LEFT(O4815,3)=$W$7)),"x","")</f>
        <v/>
      </c>
      <c r="X4815" s="75" t="str">
        <f>IF(OR(TH!N4808=TH!$X$7,O4815=TH!$X$7),"x","")</f>
        <v/>
      </c>
      <c r="Y4815" s="75" t="str">
        <f>IF(AND(OR(N4815="131",O4815="131"),H4815='131-CT'!$H$9),"x","")</f>
        <v/>
      </c>
      <c r="Z4815" s="75"/>
      <c r="AA4815" s="75" t="str">
        <f>IF(AND(MONTH(E4815)='IN-NX'!$J$5,'IN-NX'!$D$7=D4815),"x","")</f>
        <v/>
      </c>
      <c r="AB4815" s="75" t="str">
        <f>IF(AND(OR(LEFT(TH!N4808,2)="15",LEFT(TH!O4808,2)="15"),LEFT(TH!O4808,3)&lt;&gt;"111",'152-CT'!$J$8=TH!F4808),"x","")</f>
        <v/>
      </c>
      <c r="AC4815" s="75" t="str">
        <f>IF(AND(OR(LEFT(TH!N4808,2)="15",LEFT(TH!O4808,2)="15"),TK!$E$7=TH!F4808),"x","")</f>
        <v/>
      </c>
      <c r="AD4815" s="75" t="str">
        <f>IF(AND(N4815="1521",MONTH(C4815)='BK-NL'!$M$11),"x","")</f>
        <v/>
      </c>
      <c r="AE4815">
        <v>9</v>
      </c>
    </row>
    <row r="4816" spans="1:31" ht="16.5" customHeight="1">
      <c r="A4816" s="309" t="str">
        <f>IF(B4816&lt;&gt;"",IF(AND(B4816='IN-TC'!$S$4,OR(TH!N4806="1111",TH!O4806="1111")),TH!D4806,""),"")</f>
        <v/>
      </c>
      <c r="B4816" s="1242">
        <f t="shared" si="1334"/>
        <v>9</v>
      </c>
      <c r="C4816" s="292">
        <f t="shared" si="1335"/>
        <v>42985</v>
      </c>
      <c r="D4816" s="59" t="s">
        <v>902</v>
      </c>
      <c r="E4816" s="59">
        <v>42985</v>
      </c>
      <c r="F4816" s="62" t="s">
        <v>1550</v>
      </c>
      <c r="G4816" s="62" t="s">
        <v>585</v>
      </c>
      <c r="H4816" s="311" t="s">
        <v>561</v>
      </c>
      <c r="I4816" s="373"/>
      <c r="J4816" s="382"/>
      <c r="K4816" s="373"/>
      <c r="L4816" s="379"/>
      <c r="M4816" s="60">
        <v>4825000</v>
      </c>
      <c r="N4816" s="61" t="s">
        <v>8</v>
      </c>
      <c r="O4816" s="61" t="s">
        <v>26</v>
      </c>
      <c r="P4816" s="75" t="str">
        <f>IF(AND('331-CT'!$E$7=TH!H4809,OR(N4816="331",O4816="331")),"x","")</f>
        <v/>
      </c>
      <c r="Q4816" s="75" t="str">
        <f>IF(AND(B4816='111'!$L$11,OR($N4816=$Q$7,$O4816=$Q$7)),"x","")</f>
        <v/>
      </c>
      <c r="R4816" s="75" t="str">
        <f>IF(AND($N4816=$Q$7,$B4816&lt;'111'!$L$11),"x","")</f>
        <v/>
      </c>
      <c r="S4816" s="75" t="str">
        <f>IF(AND($O4816=$Q$7,$B4816&lt;'111'!$L$11),"x","")</f>
        <v/>
      </c>
      <c r="T4816" s="75" t="str">
        <f>IF(ISERROR(FIND('112'!$M$9,G4816,1)),"",IF((AND(FIND('112'!$M$9,G4816,1)&gt;=1,B4816='112'!$K$9,OR($N4816='112'!$I$6,$O4816='112'!$I$6))),"x",""))</f>
        <v/>
      </c>
      <c r="U4816" s="75" t="str">
        <f>IF(ISERROR(FIND('112'!$M$9,G4816,1)),"",IF((AND(LEFT(G4816,2)=LEFT('112'!$M$9,2),B4816&lt;'112'!$K$9,$N4816='112'!$I$6)),"x",""))</f>
        <v/>
      </c>
      <c r="V4816" s="75" t="str">
        <f>IF(ISERROR(FIND('112'!$M$9,G4816,1)),"",IF((AND(RIGHT(G4816,2)=RIGHT('112'!$M$9,2),B4816&lt;'112'!$K$9,$O4816='112'!$I$6)),"x",""))</f>
        <v/>
      </c>
      <c r="W4816" s="75" t="str">
        <f>IF(AND('341-CT'!$H$9=H4816,OR(LEFT(N4816,3)=$W$7,LEFT(O4816,3)=$W$7)),"x","")</f>
        <v/>
      </c>
      <c r="X4816" s="75" t="str">
        <f>IF(OR(TH!N4809=TH!$X$7,O4816=TH!$X$7),"x","")</f>
        <v/>
      </c>
      <c r="Y4816" s="75" t="str">
        <f>IF(AND(OR(N4816="131",O4816="131"),H4816='131-CT'!$H$9),"x","")</f>
        <v/>
      </c>
      <c r="Z4816" s="75"/>
      <c r="AA4816" s="75" t="str">
        <f>IF(AND(MONTH(E4816)='IN-NX'!$J$5,'IN-NX'!$D$7=D4816),"x","")</f>
        <v/>
      </c>
      <c r="AB4816" s="75" t="str">
        <f>IF(AND(OR(LEFT(TH!N4809,2)="15",LEFT(TH!O4809,2)="15"),LEFT(TH!O4809,3)&lt;&gt;"111",'152-CT'!$J$8=TH!F4809),"x","")</f>
        <v/>
      </c>
      <c r="AC4816" s="75" t="str">
        <f>IF(AND(OR(LEFT(TH!N4809,2)="15",LEFT(TH!O4809,2)="15"),TK!$E$7=TH!F4809),"x","")</f>
        <v/>
      </c>
      <c r="AD4816" s="75" t="str">
        <f>IF(AND(N4816="1521",MONTH(C4816)='BK-NL'!$M$11),"x","")</f>
        <v/>
      </c>
    </row>
    <row r="4817" spans="1:31" ht="16.5" customHeight="1">
      <c r="A4817" s="309" t="str">
        <f>IF(B4817&lt;&gt;"",IF(AND(B4817='IN-TC'!$S$4,OR(TH!N4807="1111",TH!O4807="1111")),TH!D4807,""),"")</f>
        <v/>
      </c>
      <c r="B4817" s="1242">
        <f t="shared" si="1334"/>
        <v>9</v>
      </c>
      <c r="C4817" s="292">
        <f t="shared" si="1335"/>
        <v>42985</v>
      </c>
      <c r="D4817" s="59" t="s">
        <v>902</v>
      </c>
      <c r="E4817" s="59">
        <v>42985</v>
      </c>
      <c r="F4817" s="62" t="s">
        <v>1307</v>
      </c>
      <c r="G4817" s="62" t="s">
        <v>585</v>
      </c>
      <c r="H4817" s="67" t="s">
        <v>845</v>
      </c>
      <c r="I4817" s="373"/>
      <c r="J4817" s="382"/>
      <c r="K4817" s="373"/>
      <c r="L4817" s="379"/>
      <c r="M4817" s="60">
        <v>15000</v>
      </c>
      <c r="N4817" s="61" t="s">
        <v>101</v>
      </c>
      <c r="O4817" s="61" t="s">
        <v>26</v>
      </c>
      <c r="P4817" s="75" t="str">
        <f>IF(AND('331-CT'!$E$7=TH!H4810,OR(N4817="331",O4817="331")),"x","")</f>
        <v/>
      </c>
      <c r="Q4817" s="75" t="str">
        <f>IF(AND(B4817='111'!$L$11,OR($N4817=$Q$7,$O4817=$Q$7)),"x","")</f>
        <v/>
      </c>
      <c r="R4817" s="75" t="str">
        <f>IF(AND($N4817=$Q$7,$B4817&lt;'111'!$L$11),"x","")</f>
        <v/>
      </c>
      <c r="S4817" s="75" t="str">
        <f>IF(AND($O4817=$Q$7,$B4817&lt;'111'!$L$11),"x","")</f>
        <v/>
      </c>
      <c r="T4817" s="75" t="str">
        <f>IF(ISERROR(FIND('112'!$M$9,G4817,1)),"",IF((AND(FIND('112'!$M$9,G4817,1)&gt;=1,B4817='112'!$K$9,OR($N4817='112'!$I$6,$O4817='112'!$I$6))),"x",""))</f>
        <v/>
      </c>
      <c r="U4817" s="75" t="str">
        <f>IF(ISERROR(FIND('112'!$M$9,G4817,1)),"",IF((AND(LEFT(G4817,2)=LEFT('112'!$M$9,2),B4817&lt;'112'!$K$9,$N4817='112'!$I$6)),"x",""))</f>
        <v/>
      </c>
      <c r="V4817" s="75" t="str">
        <f>IF(ISERROR(FIND('112'!$M$9,G4817,1)),"",IF((AND(RIGHT(G4817,2)=RIGHT('112'!$M$9,2),B4817&lt;'112'!$K$9,$O4817='112'!$I$6)),"x",""))</f>
        <v/>
      </c>
      <c r="W4817" s="75" t="str">
        <f>IF(AND('341-CT'!$H$9=H4817,OR(LEFT(N4817,3)=$W$7,LEFT(O4817,3)=$W$7)),"x","")</f>
        <v/>
      </c>
      <c r="X4817" s="75" t="str">
        <f>IF(OR(TH!N4810=TH!$X$7,O4817=TH!$X$7),"x","")</f>
        <v/>
      </c>
      <c r="Y4817" s="75" t="str">
        <f>IF(AND(OR(N4817="131",O4817="131"),H4817='131-CT'!$H$9),"x","")</f>
        <v/>
      </c>
      <c r="Z4817" s="75"/>
      <c r="AA4817" s="75" t="str">
        <f>IF(AND(MONTH(E4817)='IN-NX'!$J$5,'IN-NX'!$D$7=D4817),"x","")</f>
        <v/>
      </c>
      <c r="AB4817" s="75" t="str">
        <f>IF(AND(OR(LEFT(TH!N4810,2)="15",LEFT(TH!O4810,2)="15"),LEFT(TH!O4810,3)&lt;&gt;"111",'152-CT'!$J$8=TH!F4810),"x","")</f>
        <v/>
      </c>
      <c r="AC4817" s="75" t="str">
        <f>IF(AND(OR(LEFT(TH!N4810,2)="15",LEFT(TH!O4810,2)="15"),TK!$E$7=TH!F4810),"x","")</f>
        <v/>
      </c>
      <c r="AD4817" s="75" t="str">
        <f>IF(AND(N4817="1521",MONTH(C4817)='BK-NL'!$M$11),"x","")</f>
        <v/>
      </c>
      <c r="AE4817">
        <v>9</v>
      </c>
    </row>
    <row r="4818" spans="1:31" ht="16.5" customHeight="1">
      <c r="A4818" s="309" t="str">
        <f>IF(B4818&lt;&gt;"",IF(AND(B4818='IN-TC'!$S$4,OR(TH!N4808="1111",TH!O4808="1111")),TH!D4808,""),"")</f>
        <v/>
      </c>
      <c r="B4818" s="1242">
        <f t="shared" si="1334"/>
        <v>9</v>
      </c>
      <c r="C4818" s="292">
        <f t="shared" si="1335"/>
        <v>42985</v>
      </c>
      <c r="D4818" s="59" t="s">
        <v>902</v>
      </c>
      <c r="E4818" s="59">
        <v>42985</v>
      </c>
      <c r="F4818" s="62" t="s">
        <v>2101</v>
      </c>
      <c r="G4818" s="62" t="s">
        <v>585</v>
      </c>
      <c r="H4818" s="67" t="s">
        <v>845</v>
      </c>
      <c r="I4818" s="373"/>
      <c r="J4818" s="382"/>
      <c r="K4818" s="373"/>
      <c r="L4818" s="379"/>
      <c r="M4818" s="60">
        <v>1500</v>
      </c>
      <c r="N4818" s="61" t="s">
        <v>9</v>
      </c>
      <c r="O4818" s="61" t="s">
        <v>26</v>
      </c>
      <c r="P4818" s="75" t="str">
        <f>IF(AND('331-CT'!$E$7=TH!H4811,OR(N4818="331",O4818="331")),"x","")</f>
        <v/>
      </c>
      <c r="Q4818" s="75" t="str">
        <f>IF(AND(B4818='111'!$L$11,OR($N4818=$Q$7,$O4818=$Q$7)),"x","")</f>
        <v/>
      </c>
      <c r="R4818" s="75" t="str">
        <f>IF(AND($N4818=$Q$7,$B4818&lt;'111'!$L$11),"x","")</f>
        <v/>
      </c>
      <c r="S4818" s="75" t="str">
        <f>IF(AND($O4818=$Q$7,$B4818&lt;'111'!$L$11),"x","")</f>
        <v/>
      </c>
      <c r="T4818" s="75" t="str">
        <f>IF(ISERROR(FIND('112'!$M$9,G4818,1)),"",IF((AND(FIND('112'!$M$9,G4818,1)&gt;=1,B4818='112'!$K$9,OR($N4818='112'!$I$6,$O4818='112'!$I$6))),"x",""))</f>
        <v/>
      </c>
      <c r="U4818" s="75" t="str">
        <f>IF(ISERROR(FIND('112'!$M$9,G4818,1)),"",IF((AND(LEFT(G4818,2)=LEFT('112'!$M$9,2),B4818&lt;'112'!$K$9,$N4818='112'!$I$6)),"x",""))</f>
        <v/>
      </c>
      <c r="V4818" s="75" t="str">
        <f>IF(ISERROR(FIND('112'!$M$9,G4818,1)),"",IF((AND(RIGHT(G4818,2)=RIGHT('112'!$M$9,2),B4818&lt;'112'!$K$9,$O4818='112'!$I$6)),"x",""))</f>
        <v/>
      </c>
      <c r="W4818" s="75" t="str">
        <f>IF(AND('341-CT'!$H$9=H4818,OR(LEFT(N4818,3)=$W$7,LEFT(O4818,3)=$W$7)),"x","")</f>
        <v/>
      </c>
      <c r="X4818" s="75" t="str">
        <f>IF(OR(TH!N4811=TH!$X$7,O4818=TH!$X$7),"x","")</f>
        <v/>
      </c>
      <c r="Y4818" s="75" t="str">
        <f>IF(AND(OR(N4818="131",O4818="131"),H4818='131-CT'!$H$9),"x","")</f>
        <v/>
      </c>
      <c r="Z4818" s="75"/>
      <c r="AA4818" s="75" t="str">
        <f>IF(AND(MONTH(E4818)='IN-NX'!$J$5,'IN-NX'!$D$7=D4818),"x","")</f>
        <v/>
      </c>
      <c r="AB4818" s="75" t="str">
        <f>IF(AND(OR(LEFT(TH!N4811,2)="15",LEFT(TH!O4811,2)="15"),LEFT(TH!O4811,3)&lt;&gt;"111",'152-CT'!$J$8=TH!F4811),"x","")</f>
        <v/>
      </c>
      <c r="AC4818" s="75" t="str">
        <f>IF(AND(OR(LEFT(TH!N4811,2)="15",LEFT(TH!O4811,2)="15"),TK!$E$7=TH!F4811),"x","")</f>
        <v/>
      </c>
      <c r="AD4818" s="75" t="str">
        <f>IF(AND(N4818="1521",MONTH(C4818)='BK-NL'!$M$11),"x","")</f>
        <v/>
      </c>
      <c r="AE4818">
        <v>9</v>
      </c>
    </row>
    <row r="4819" spans="1:31" ht="16.5" customHeight="1">
      <c r="A4819" s="309" t="str">
        <f>IF(B4819&lt;&gt;"",IF(AND(B4819='IN-TC'!$S$4,OR(TH!N4809="1111",TH!O4809="1111")),TH!D4809,""),"")</f>
        <v/>
      </c>
      <c r="B4819" s="1242">
        <f t="shared" ref="B4819:B4882" si="1336">IF(C4819&lt;&gt;"",MONTH(C4819),"")</f>
        <v>9</v>
      </c>
      <c r="C4819" s="292">
        <f t="shared" si="1335"/>
        <v>42985</v>
      </c>
      <c r="D4819" s="59" t="s">
        <v>902</v>
      </c>
      <c r="E4819" s="59">
        <v>42985</v>
      </c>
      <c r="F4819" s="62" t="s">
        <v>1550</v>
      </c>
      <c r="G4819" s="62" t="s">
        <v>585</v>
      </c>
      <c r="H4819" s="311" t="s">
        <v>561</v>
      </c>
      <c r="I4819" s="373"/>
      <c r="J4819" s="382"/>
      <c r="K4819" s="373"/>
      <c r="L4819" s="379"/>
      <c r="M4819" s="60">
        <v>1000000</v>
      </c>
      <c r="N4819" s="61" t="s">
        <v>8</v>
      </c>
      <c r="O4819" s="61" t="s">
        <v>26</v>
      </c>
      <c r="P4819" s="75" t="str">
        <f>IF(AND('331-CT'!$E$7=TH!H4812,OR(N4819="331",O4819="331")),"x","")</f>
        <v/>
      </c>
      <c r="Q4819" s="75" t="str">
        <f>IF(AND(B4819='111'!$L$11,OR($N4819=$Q$7,$O4819=$Q$7)),"x","")</f>
        <v/>
      </c>
      <c r="R4819" s="75" t="str">
        <f>IF(AND($N4819=$Q$7,$B4819&lt;'111'!$L$11),"x","")</f>
        <v/>
      </c>
      <c r="S4819" s="75" t="str">
        <f>IF(AND($O4819=$Q$7,$B4819&lt;'111'!$L$11),"x","")</f>
        <v/>
      </c>
      <c r="T4819" s="75" t="str">
        <f>IF(ISERROR(FIND('112'!$M$9,G4819,1)),"",IF((AND(FIND('112'!$M$9,G4819,1)&gt;=1,B4819='112'!$K$9,OR($N4819='112'!$I$6,$O4819='112'!$I$6))),"x",""))</f>
        <v/>
      </c>
      <c r="U4819" s="75" t="str">
        <f>IF(ISERROR(FIND('112'!$M$9,G4819,1)),"",IF((AND(LEFT(G4819,2)=LEFT('112'!$M$9,2),B4819&lt;'112'!$K$9,$N4819='112'!$I$6)),"x",""))</f>
        <v/>
      </c>
      <c r="V4819" s="75" t="str">
        <f>IF(ISERROR(FIND('112'!$M$9,G4819,1)),"",IF((AND(RIGHT(G4819,2)=RIGHT('112'!$M$9,2),B4819&lt;'112'!$K$9,$O4819='112'!$I$6)),"x",""))</f>
        <v/>
      </c>
      <c r="W4819" s="75" t="str">
        <f>IF(AND('341-CT'!$H$9=H4819,OR(LEFT(N4819,3)=$W$7,LEFT(O4819,3)=$W$7)),"x","")</f>
        <v/>
      </c>
      <c r="X4819" s="75" t="str">
        <f>IF(OR(TH!N4812=TH!$X$7,O4819=TH!$X$7),"x","")</f>
        <v/>
      </c>
      <c r="Y4819" s="75" t="str">
        <f>IF(AND(OR(N4819="131",O4819="131"),H4819='131-CT'!$H$9),"x","")</f>
        <v/>
      </c>
      <c r="Z4819" s="75"/>
      <c r="AA4819" s="75" t="str">
        <f>IF(AND(MONTH(E4819)='IN-NX'!$J$5,'IN-NX'!$D$7=D4819),"x","")</f>
        <v/>
      </c>
      <c r="AB4819" s="75" t="str">
        <f>IF(AND(OR(LEFT(TH!N4812,2)="15",LEFT(TH!O4812,2)="15"),LEFT(TH!O4812,3)&lt;&gt;"111",'152-CT'!$J$8=TH!F4812),"x","")</f>
        <v/>
      </c>
      <c r="AC4819" s="75" t="str">
        <f>IF(AND(OR(LEFT(TH!N4812,2)="15",LEFT(TH!O4812,2)="15"),TK!$E$7=TH!F4812),"x","")</f>
        <v/>
      </c>
      <c r="AD4819" s="75" t="str">
        <f>IF(AND(N4819="1521",MONTH(C4819)='BK-NL'!$M$11),"x","")</f>
        <v/>
      </c>
    </row>
    <row r="4820" spans="1:31" ht="16.5" customHeight="1">
      <c r="A4820" s="309" t="str">
        <f>IF(B4820&lt;&gt;"",IF(AND(B4820='IN-TC'!$S$4,OR(TH!N4810="1111",TH!O4810="1111")),TH!D4810,""),"")</f>
        <v/>
      </c>
      <c r="B4820" s="1242">
        <f t="shared" si="1336"/>
        <v>9</v>
      </c>
      <c r="C4820" s="292">
        <f t="shared" si="1335"/>
        <v>42985</v>
      </c>
      <c r="D4820" s="59" t="s">
        <v>902</v>
      </c>
      <c r="E4820" s="59">
        <v>42985</v>
      </c>
      <c r="F4820" s="62" t="s">
        <v>1307</v>
      </c>
      <c r="G4820" s="62" t="s">
        <v>585</v>
      </c>
      <c r="H4820" s="67" t="s">
        <v>845</v>
      </c>
      <c r="I4820" s="373"/>
      <c r="J4820" s="382"/>
      <c r="K4820" s="373"/>
      <c r="L4820" s="379"/>
      <c r="M4820" s="60">
        <v>15000</v>
      </c>
      <c r="N4820" s="61" t="s">
        <v>101</v>
      </c>
      <c r="O4820" s="61" t="s">
        <v>26</v>
      </c>
      <c r="P4820" s="75" t="str">
        <f>IF(AND('331-CT'!$E$7=TH!H4822,OR(N4820="331",O4820="331")),"x","")</f>
        <v/>
      </c>
      <c r="Q4820" s="75" t="str">
        <f>IF(AND(B4820='111'!$L$11,OR($N4820=$Q$7,$O4820=$Q$7)),"x","")</f>
        <v/>
      </c>
      <c r="R4820" s="75" t="str">
        <f>IF(AND($N4820=$Q$7,$B4820&lt;'111'!$L$11),"x","")</f>
        <v/>
      </c>
      <c r="S4820" s="75" t="str">
        <f>IF(AND($O4820=$Q$7,$B4820&lt;'111'!$L$11),"x","")</f>
        <v/>
      </c>
      <c r="T4820" s="75" t="str">
        <f>IF(ISERROR(FIND('112'!$M$9,G4820,1)),"",IF((AND(FIND('112'!$M$9,G4820,1)&gt;=1,B4820='112'!$K$9,OR($N4820='112'!$I$6,$O4820='112'!$I$6))),"x",""))</f>
        <v/>
      </c>
      <c r="U4820" s="75" t="str">
        <f>IF(ISERROR(FIND('112'!$M$9,G4820,1)),"",IF((AND(LEFT(G4820,2)=LEFT('112'!$M$9,2),B4820&lt;'112'!$K$9,$N4820='112'!$I$6)),"x",""))</f>
        <v/>
      </c>
      <c r="V4820" s="75" t="str">
        <f>IF(ISERROR(FIND('112'!$M$9,G4820,1)),"",IF((AND(RIGHT(G4820,2)=RIGHT('112'!$M$9,2),B4820&lt;'112'!$K$9,$O4820='112'!$I$6)),"x",""))</f>
        <v/>
      </c>
      <c r="W4820" s="75" t="str">
        <f>IF(AND('341-CT'!$H$9=H4820,OR(LEFT(N4820,3)=$W$7,LEFT(O4820,3)=$W$7)),"x","")</f>
        <v/>
      </c>
      <c r="X4820" s="75" t="str">
        <f>IF(OR(TH!N4822=TH!$X$7,O4820=TH!$X$7),"x","")</f>
        <v/>
      </c>
      <c r="Y4820" s="75" t="str">
        <f>IF(AND(OR(N4820="131",O4820="131"),H4820='131-CT'!$H$9),"x","")</f>
        <v/>
      </c>
      <c r="Z4820" s="75"/>
      <c r="AA4820" s="75" t="str">
        <f>IF(AND(MONTH(E4820)='IN-NX'!$J$5,'IN-NX'!$D$7=D4820),"x","")</f>
        <v/>
      </c>
      <c r="AB4820" s="75" t="str">
        <f>IF(AND(OR(LEFT(TH!N4822,2)="15",LEFT(TH!O4822,2)="15"),LEFT(TH!O4822,3)&lt;&gt;"111",'152-CT'!$J$8=TH!F4822),"x","")</f>
        <v/>
      </c>
      <c r="AC4820" s="75" t="str">
        <f>IF(AND(OR(LEFT(TH!N4822,2)="15",LEFT(TH!O4822,2)="15"),TK!$E$7=TH!F4822),"x","")</f>
        <v/>
      </c>
      <c r="AD4820" s="75" t="str">
        <f>IF(AND(N4820="1521",MONTH(C4820)='BK-NL'!$M$11),"x","")</f>
        <v/>
      </c>
      <c r="AE4820">
        <v>9</v>
      </c>
    </row>
    <row r="4821" spans="1:31" ht="16.5" customHeight="1">
      <c r="A4821" s="309" t="str">
        <f>IF(B4821&lt;&gt;"",IF(AND(B4821='IN-TC'!$S$4,OR(TH!N4811="1111",TH!O4811="1111")),TH!D4811,""),"")</f>
        <v/>
      </c>
      <c r="B4821" s="1242">
        <f t="shared" si="1336"/>
        <v>9</v>
      </c>
      <c r="C4821" s="292">
        <f t="shared" si="1335"/>
        <v>42985</v>
      </c>
      <c r="D4821" s="59" t="s">
        <v>902</v>
      </c>
      <c r="E4821" s="59">
        <v>42985</v>
      </c>
      <c r="F4821" s="62" t="s">
        <v>2101</v>
      </c>
      <c r="G4821" s="62" t="s">
        <v>585</v>
      </c>
      <c r="H4821" s="67" t="s">
        <v>845</v>
      </c>
      <c r="I4821" s="373"/>
      <c r="J4821" s="382"/>
      <c r="K4821" s="373"/>
      <c r="L4821" s="379"/>
      <c r="M4821" s="60">
        <v>1500</v>
      </c>
      <c r="N4821" s="61" t="s">
        <v>9</v>
      </c>
      <c r="O4821" s="61" t="s">
        <v>26</v>
      </c>
      <c r="P4821" s="75" t="str">
        <f>IF(AND('331-CT'!$E$7=TH!H4823,OR(N4821="331",O4821="331")),"x","")</f>
        <v/>
      </c>
      <c r="Q4821" s="75" t="str">
        <f>IF(AND(B4821='111'!$L$11,OR($N4821=$Q$7,$O4821=$Q$7)),"x","")</f>
        <v/>
      </c>
      <c r="R4821" s="75" t="str">
        <f>IF(AND($N4821=$Q$7,$B4821&lt;'111'!$L$11),"x","")</f>
        <v/>
      </c>
      <c r="S4821" s="75" t="str">
        <f>IF(AND($O4821=$Q$7,$B4821&lt;'111'!$L$11),"x","")</f>
        <v/>
      </c>
      <c r="T4821" s="75" t="str">
        <f>IF(ISERROR(FIND('112'!$M$9,G4821,1)),"",IF((AND(FIND('112'!$M$9,G4821,1)&gt;=1,B4821='112'!$K$9,OR($N4821='112'!$I$6,$O4821='112'!$I$6))),"x",""))</f>
        <v/>
      </c>
      <c r="U4821" s="75" t="str">
        <f>IF(ISERROR(FIND('112'!$M$9,G4821,1)),"",IF((AND(LEFT(G4821,2)=LEFT('112'!$M$9,2),B4821&lt;'112'!$K$9,$N4821='112'!$I$6)),"x",""))</f>
        <v/>
      </c>
      <c r="V4821" s="75" t="str">
        <f>IF(ISERROR(FIND('112'!$M$9,G4821,1)),"",IF((AND(RIGHT(G4821,2)=RIGHT('112'!$M$9,2),B4821&lt;'112'!$K$9,$O4821='112'!$I$6)),"x",""))</f>
        <v/>
      </c>
      <c r="W4821" s="75" t="str">
        <f>IF(AND('341-CT'!$H$9=H4821,OR(LEFT(N4821,3)=$W$7,LEFT(O4821,3)=$W$7)),"x","")</f>
        <v/>
      </c>
      <c r="X4821" s="75" t="str">
        <f>IF(OR(TH!N4823=TH!$X$7,O4821=TH!$X$7),"x","")</f>
        <v/>
      </c>
      <c r="Y4821" s="75" t="str">
        <f>IF(AND(OR(N4821="131",O4821="131"),H4821='131-CT'!$H$9),"x","")</f>
        <v/>
      </c>
      <c r="Z4821" s="75"/>
      <c r="AA4821" s="75" t="str">
        <f>IF(AND(MONTH(E4821)='IN-NX'!$J$5,'IN-NX'!$D$7=D4821),"x","")</f>
        <v/>
      </c>
      <c r="AB4821" s="75" t="str">
        <f>IF(AND(OR(LEFT(TH!N4823,2)="15",LEFT(TH!O4823,2)="15"),LEFT(TH!O4823,3)&lt;&gt;"111",'152-CT'!$J$8=TH!F4823),"x","")</f>
        <v/>
      </c>
      <c r="AC4821" s="75" t="str">
        <f>IF(AND(OR(LEFT(TH!N4823,2)="15",LEFT(TH!O4823,2)="15"),TK!$E$7=TH!F4823),"x","")</f>
        <v/>
      </c>
      <c r="AD4821" s="75" t="str">
        <f>IF(AND(N4821="1521",MONTH(C4821)='BK-NL'!$M$11),"x","")</f>
        <v/>
      </c>
      <c r="AE4821">
        <v>9</v>
      </c>
    </row>
    <row r="4822" spans="1:31" ht="16.5" customHeight="1">
      <c r="A4822" s="309" t="str">
        <f>IF(B4822&lt;&gt;"",IF(AND(B4822='IN-TC'!$S$4,OR(TH!N4812="1111",TH!O4812="1111")),TH!D4812,""),"")</f>
        <v/>
      </c>
      <c r="B4822" s="1242">
        <f t="shared" si="1336"/>
        <v>9</v>
      </c>
      <c r="C4822" s="292">
        <f t="shared" si="1335"/>
        <v>42985</v>
      </c>
      <c r="D4822" s="59" t="s">
        <v>902</v>
      </c>
      <c r="E4822" s="59">
        <v>42985</v>
      </c>
      <c r="F4822" s="62" t="s">
        <v>1307</v>
      </c>
      <c r="G4822" s="62" t="s">
        <v>747</v>
      </c>
      <c r="H4822" s="67" t="s">
        <v>835</v>
      </c>
      <c r="I4822" s="375"/>
      <c r="J4822" s="382"/>
      <c r="K4822" s="375"/>
      <c r="L4822" s="381"/>
      <c r="M4822" s="60">
        <v>1001660</v>
      </c>
      <c r="N4822" s="61" t="s">
        <v>101</v>
      </c>
      <c r="O4822" s="61" t="s">
        <v>26</v>
      </c>
      <c r="P4822" s="75" t="str">
        <f>IF(AND('331-CT'!$E$7=TH!H5441,OR(N4822="331",O4822="331")),"x","")</f>
        <v/>
      </c>
      <c r="Q4822" s="75" t="str">
        <f>IF(AND(B4822='111'!$L$11,OR($N4822=$Q$7,$O4822=$Q$7)),"x","")</f>
        <v/>
      </c>
      <c r="R4822" s="75" t="str">
        <f>IF(AND($N4822=$Q$7,$B4822&lt;'111'!$L$11),"x","")</f>
        <v/>
      </c>
      <c r="S4822" s="75" t="str">
        <f>IF(AND($O4822=$Q$7,$B4822&lt;'111'!$L$11),"x","")</f>
        <v/>
      </c>
      <c r="T4822" s="75" t="str">
        <f>IF(ISERROR(FIND('112'!$M$9,G4822,1)),"",IF((AND(FIND('112'!$M$9,G4822,1)&gt;=1,B4822='112'!$K$9,OR($N4822='112'!$I$6,$O4822='112'!$I$6))),"x",""))</f>
        <v/>
      </c>
      <c r="U4822" s="75" t="str">
        <f>IF(ISERROR(FIND('112'!$M$9,G4822,1)),"",IF((AND(LEFT(G4822,2)=LEFT('112'!$M$9,2),B4822&lt;'112'!$K$9,$N4822='112'!$I$6)),"x",""))</f>
        <v/>
      </c>
      <c r="V4822" s="75" t="str">
        <f>IF(ISERROR(FIND('112'!$M$9,G4822,1)),"",IF((AND(RIGHT(G4822,2)=RIGHT('112'!$M$9,2),B4822&lt;'112'!$K$9,$O4822='112'!$I$6)),"x",""))</f>
        <v/>
      </c>
      <c r="W4822" s="75" t="str">
        <f>IF(AND('341-CT'!$H$9=H4822,OR(LEFT(N4822,3)=$W$7,LEFT(O4822,3)=$W$7)),"x","")</f>
        <v/>
      </c>
      <c r="X4822" s="75" t="str">
        <f>IF(OR(TH!N5441=TH!$X$7,O4822=TH!$X$7),"x","")</f>
        <v/>
      </c>
      <c r="Y4822" s="75" t="str">
        <f>IF(AND(OR(N4822="131",O4822="131"),H4822='131-CT'!$H$9),"x","")</f>
        <v/>
      </c>
      <c r="Z4822" s="75"/>
      <c r="AA4822" s="75" t="str">
        <f>IF(AND(MONTH(E4822)='IN-NX'!$J$5,'IN-NX'!$D$7=D4822),"x","")</f>
        <v/>
      </c>
      <c r="AB4822" s="75" t="str">
        <f>IF(AND(OR(LEFT(TH!N5441,2)="15",LEFT(TH!O5441,2)="15"),LEFT(TH!O5441,3)&lt;&gt;"111",'152-CT'!$J$8=TH!F5441),"x","")</f>
        <v/>
      </c>
      <c r="AC4822" s="75" t="str">
        <f>IF(AND(OR(LEFT(TH!N5441,2)="15",LEFT(TH!O5441,2)="15"),TK!$E$7=TH!F5441),"x","")</f>
        <v/>
      </c>
      <c r="AD4822" s="75" t="str">
        <f>IF(AND(N4822="1521",MONTH(C4822)='BK-NL'!$M$11),"x","")</f>
        <v/>
      </c>
    </row>
    <row r="4823" spans="1:31" ht="16.5" customHeight="1">
      <c r="A4823" s="309" t="str">
        <f>IF(B4823&lt;&gt;"",IF(AND(B4823='IN-TC'!$S$4,OR(TH!N4813="1111",TH!O4813="1111")),TH!D4813,""),"")</f>
        <v/>
      </c>
      <c r="B4823" s="1242">
        <f t="shared" si="1336"/>
        <v>9</v>
      </c>
      <c r="C4823" s="292">
        <f t="shared" si="1335"/>
        <v>42985</v>
      </c>
      <c r="D4823" s="292"/>
      <c r="E4823" s="292">
        <v>42985</v>
      </c>
      <c r="F4823" s="67" t="s">
        <v>2065</v>
      </c>
      <c r="G4823" s="925" t="s">
        <v>2278</v>
      </c>
      <c r="H4823" s="294" t="s">
        <v>755</v>
      </c>
      <c r="I4823" s="373"/>
      <c r="J4823" s="926"/>
      <c r="K4823" s="373"/>
      <c r="L4823" s="379"/>
      <c r="M4823" s="927">
        <v>6042780</v>
      </c>
      <c r="N4823" s="295" t="s">
        <v>101</v>
      </c>
      <c r="O4823" s="295" t="s">
        <v>63</v>
      </c>
      <c r="P4823" s="75" t="str">
        <f>IF(AND('331-CT'!$E$7=TH!H3879,OR(N4823="331",O4823="331")),"x","")</f>
        <v/>
      </c>
      <c r="Q4823" s="75" t="str">
        <f>IF(AND(B4823='111'!$L$11,OR($N4823=$Q$7,$O4823=$Q$7)),"x","")</f>
        <v/>
      </c>
      <c r="R4823" s="75" t="str">
        <f>IF(AND($N4823=$Q$7,$B4823&lt;'111'!$L$11),"x","")</f>
        <v/>
      </c>
      <c r="S4823" s="75" t="str">
        <f>IF(AND($O4823=$Q$7,$B4823&lt;'111'!$L$11),"x","")</f>
        <v>x</v>
      </c>
      <c r="T4823" s="75" t="str">
        <f>IF(ISERROR(FIND('112'!$M$9,G4823,1)),"",IF((AND(FIND('112'!$M$9,G4823,1)&gt;=1,B4823='112'!$K$9,OR($N4823='112'!$I$6,$O4823='112'!$I$6))),"x",""))</f>
        <v/>
      </c>
      <c r="U4823" s="75" t="str">
        <f>IF(ISERROR(FIND('112'!$M$9,G4823,1)),"",IF((AND(LEFT(G4823,2)=LEFT('112'!$M$9,2),B4823&lt;'112'!$K$9,$N4823='112'!$I$6)),"x",""))</f>
        <v/>
      </c>
      <c r="V4823" s="75" t="str">
        <f>IF(ISERROR(FIND('112'!$M$9,G4823,1)),"",IF((AND(RIGHT(G4823,2)=RIGHT('112'!$M$9,2),B4823&lt;'112'!$K$9,$O4823='112'!$I$6)),"x",""))</f>
        <v/>
      </c>
      <c r="W4823" s="75" t="str">
        <f>IF(AND('341-CT'!$H$9=H4823,OR(LEFT(N4823,3)=$W$7,LEFT(O4823,3)=$W$7)),"x","")</f>
        <v/>
      </c>
      <c r="X4823" s="75" t="str">
        <f>IF(OR(TH!N3879=TH!$X$7,O4823=TH!$X$7),"x","")</f>
        <v/>
      </c>
      <c r="Y4823" s="75" t="str">
        <f>IF(AND(OR(N4823="131",O4823="131"),H4823='131-CT'!$H$9),"x","")</f>
        <v/>
      </c>
      <c r="Z4823" s="75"/>
      <c r="AA4823" s="75" t="str">
        <f>IF(AND(MONTH(E4823)='IN-NX'!$J$5,'IN-NX'!$D$7=D4823),"x","")</f>
        <v/>
      </c>
      <c r="AB4823" s="75" t="str">
        <f>IF(AND(OR(LEFT(TH!N3879,2)="15",LEFT(TH!O3879,2)="15"),LEFT(TH!O3879,3)&lt;&gt;"111",'152-CT'!$J$8=TH!F3879),"x","")</f>
        <v/>
      </c>
      <c r="AC4823" s="75" t="str">
        <f>IF(AND(OR(LEFT(TH!N3879,2)="15",LEFT(TH!O3879,2)="15"),TK!$E$7=TH!F3879),"x","")</f>
        <v/>
      </c>
      <c r="AD4823" s="75" t="str">
        <f>IF(AND(N4823="1521",MONTH(C4823)='BK-NL'!$M$11),"x","")</f>
        <v/>
      </c>
      <c r="AE4823">
        <v>9</v>
      </c>
    </row>
    <row r="4824" spans="1:31" ht="16.5" customHeight="1">
      <c r="A4824" s="309" t="str">
        <f>IF(B4824&lt;&gt;"",IF(AND(B4824='IN-TC'!$S$4,OR(TH!N4814="1111",TH!O4814="1111")),TH!D4814,""),"")</f>
        <v/>
      </c>
      <c r="B4824" s="1242">
        <f t="shared" si="1336"/>
        <v>9</v>
      </c>
      <c r="C4824" s="292">
        <f t="shared" si="1335"/>
        <v>42985</v>
      </c>
      <c r="D4824" s="292"/>
      <c r="E4824" s="292">
        <v>42985</v>
      </c>
      <c r="F4824" s="67" t="s">
        <v>2066</v>
      </c>
      <c r="G4824" s="925" t="s">
        <v>2278</v>
      </c>
      <c r="H4824" s="294" t="s">
        <v>755</v>
      </c>
      <c r="I4824" s="373"/>
      <c r="J4824" s="926"/>
      <c r="K4824" s="373"/>
      <c r="L4824" s="379"/>
      <c r="M4824" s="927">
        <v>604278</v>
      </c>
      <c r="N4824" s="295" t="s">
        <v>9</v>
      </c>
      <c r="O4824" s="295" t="s">
        <v>63</v>
      </c>
      <c r="P4824" s="75" t="str">
        <f>IF(AND('331-CT'!$E$7=TH!H3880,OR(N4824="331",O4824="331")),"x","")</f>
        <v/>
      </c>
      <c r="Q4824" s="75" t="str">
        <f>IF(AND(B4824='111'!$L$11,OR($N4824=$Q$7,$O4824=$Q$7)),"x","")</f>
        <v/>
      </c>
      <c r="R4824" s="75" t="str">
        <f>IF(AND($N4824=$Q$7,$B4824&lt;'111'!$L$11),"x","")</f>
        <v/>
      </c>
      <c r="S4824" s="75" t="str">
        <f>IF(AND($O4824=$Q$7,$B4824&lt;'111'!$L$11),"x","")</f>
        <v>x</v>
      </c>
      <c r="T4824" s="75" t="str">
        <f>IF(ISERROR(FIND('112'!$M$9,G4824,1)),"",IF((AND(FIND('112'!$M$9,G4824,1)&gt;=1,B4824='112'!$K$9,OR($N4824='112'!$I$6,$O4824='112'!$I$6))),"x",""))</f>
        <v/>
      </c>
      <c r="U4824" s="75" t="str">
        <f>IF(ISERROR(FIND('112'!$M$9,G4824,1)),"",IF((AND(LEFT(G4824,2)=LEFT('112'!$M$9,2),B4824&lt;'112'!$K$9,$N4824='112'!$I$6)),"x",""))</f>
        <v/>
      </c>
      <c r="V4824" s="75" t="str">
        <f>IF(ISERROR(FIND('112'!$M$9,G4824,1)),"",IF((AND(RIGHT(G4824,2)=RIGHT('112'!$M$9,2),B4824&lt;'112'!$K$9,$O4824='112'!$I$6)),"x",""))</f>
        <v/>
      </c>
      <c r="W4824" s="75" t="str">
        <f>IF(AND('341-CT'!$H$9=H4824,OR(LEFT(N4824,3)=$W$7,LEFT(O4824,3)=$W$7)),"x","")</f>
        <v/>
      </c>
      <c r="X4824" s="75" t="str">
        <f>IF(OR(TH!N3880=TH!$X$7,O4824=TH!$X$7),"x","")</f>
        <v/>
      </c>
      <c r="Y4824" s="75" t="str">
        <f>IF(AND(OR(N4824="131",O4824="131"),H4824='131-CT'!$H$9),"x","")</f>
        <v/>
      </c>
      <c r="Z4824" s="75"/>
      <c r="AA4824" s="75" t="str">
        <f>IF(AND(MONTH(E4824)='IN-NX'!$J$5,'IN-NX'!$D$7=D4824),"x","")</f>
        <v/>
      </c>
      <c r="AB4824" s="75" t="str">
        <f>IF(AND(OR(LEFT(TH!N3880,2)="15",LEFT(TH!O3880,2)="15"),LEFT(TH!O3880,3)&lt;&gt;"111",'152-CT'!$J$8=TH!F3880),"x","")</f>
        <v/>
      </c>
      <c r="AC4824" s="75" t="str">
        <f>IF(AND(OR(LEFT(TH!N3880,2)="15",LEFT(TH!O3880,2)="15"),TK!$E$7=TH!F3880),"x","")</f>
        <v/>
      </c>
      <c r="AD4824" s="75" t="str">
        <f>IF(AND(N4824="1521",MONTH(C4824)='BK-NL'!$M$11),"x","")</f>
        <v/>
      </c>
      <c r="AE4824">
        <v>9</v>
      </c>
    </row>
    <row r="4825" spans="1:31" ht="16.5" customHeight="1">
      <c r="A4825" s="309" t="str">
        <f>IF(B4825&lt;&gt;"",IF(AND(B4825='IN-TC'!$S$4,OR(TH!N4815="1111",TH!O4815="1111")),TH!D4815,""),"")</f>
        <v/>
      </c>
      <c r="B4825" s="1242">
        <f t="shared" si="1336"/>
        <v>9</v>
      </c>
      <c r="C4825" s="292">
        <f t="shared" si="1335"/>
        <v>42985</v>
      </c>
      <c r="D4825" s="292"/>
      <c r="E4825" s="292">
        <v>42985</v>
      </c>
      <c r="F4825" s="67" t="s">
        <v>1165</v>
      </c>
      <c r="G4825" s="925" t="s">
        <v>2147</v>
      </c>
      <c r="H4825" s="294" t="s">
        <v>1684</v>
      </c>
      <c r="I4825" s="373"/>
      <c r="J4825" s="926"/>
      <c r="K4825" s="373"/>
      <c r="L4825" s="379"/>
      <c r="M4825" s="927">
        <v>19762050</v>
      </c>
      <c r="N4825" s="295" t="s">
        <v>8</v>
      </c>
      <c r="O4825" s="295" t="s">
        <v>63</v>
      </c>
      <c r="P4825" s="75" t="str">
        <f>IF(AND('331-CT'!$E$7=TH!H3881,OR(N4825="331",O4825="331")),"x","")</f>
        <v/>
      </c>
      <c r="Q4825" s="75" t="str">
        <f>IF(AND(B4825='111'!$L$11,OR($N4825=$Q$7,$O4825=$Q$7)),"x","")</f>
        <v/>
      </c>
      <c r="R4825" s="75" t="str">
        <f>IF(AND($N4825=$Q$7,$B4825&lt;'111'!$L$11),"x","")</f>
        <v/>
      </c>
      <c r="S4825" s="75" t="str">
        <f>IF(AND($O4825=$Q$7,$B4825&lt;'111'!$L$11),"x","")</f>
        <v>x</v>
      </c>
      <c r="T4825" s="75" t="str">
        <f>IF(ISERROR(FIND('112'!$M$9,G4825,1)),"",IF((AND(FIND('112'!$M$9,G4825,1)&gt;=1,B4825='112'!$K$9,OR($N4825='112'!$I$6,$O4825='112'!$I$6))),"x",""))</f>
        <v/>
      </c>
      <c r="U4825" s="75" t="str">
        <f>IF(ISERROR(FIND('112'!$M$9,G4825,1)),"",IF((AND(LEFT(G4825,2)=LEFT('112'!$M$9,2),B4825&lt;'112'!$K$9,$N4825='112'!$I$6)),"x",""))</f>
        <v/>
      </c>
      <c r="V4825" s="75" t="str">
        <f>IF(ISERROR(FIND('112'!$M$9,G4825,1)),"",IF((AND(RIGHT(G4825,2)=RIGHT('112'!$M$9,2),B4825&lt;'112'!$K$9,$O4825='112'!$I$6)),"x",""))</f>
        <v/>
      </c>
      <c r="W4825" s="75" t="str">
        <f>IF(AND('341-CT'!$H$9=H4825,OR(LEFT(N4825,3)=$W$7,LEFT(O4825,3)=$W$7)),"x","")</f>
        <v/>
      </c>
      <c r="X4825" s="75" t="str">
        <f>IF(OR(TH!N3881=TH!$X$7,O4825=TH!$X$7),"x","")</f>
        <v/>
      </c>
      <c r="Y4825" s="75" t="str">
        <f>IF(AND(OR(N4825="131",O4825="131"),H4825='131-CT'!$H$9),"x","")</f>
        <v/>
      </c>
      <c r="Z4825" s="75"/>
      <c r="AA4825" s="75" t="str">
        <f>IF(AND(MONTH(E4825)='IN-NX'!$J$5,'IN-NX'!$D$7=D4825),"x","")</f>
        <v/>
      </c>
      <c r="AB4825" s="75" t="str">
        <f>IF(AND(OR(LEFT(TH!N3881,2)="15",LEFT(TH!O3881,2)="15"),LEFT(TH!O3881,3)&lt;&gt;"111",'152-CT'!$J$8=TH!F3881),"x","")</f>
        <v/>
      </c>
      <c r="AC4825" s="75" t="str">
        <f>IF(AND(OR(LEFT(TH!N3881,2)="15",LEFT(TH!O3881,2)="15"),TK!$E$7=TH!F3881),"x","")</f>
        <v/>
      </c>
      <c r="AD4825" s="75" t="str">
        <f>IF(AND(N4825="1521",MONTH(C4825)='BK-NL'!$M$11),"x","")</f>
        <v/>
      </c>
    </row>
    <row r="4826" spans="1:31" ht="16.5" customHeight="1">
      <c r="A4826" s="309" t="str">
        <f>IF(B4826&lt;&gt;"",IF(AND(B4826='IN-TC'!$S$4,OR(TH!N4816="1111",TH!O4816="1111")),TH!D4816,""),"")</f>
        <v/>
      </c>
      <c r="B4826" s="1243">
        <f t="shared" si="1336"/>
        <v>9</v>
      </c>
      <c r="C4826" s="292">
        <f t="shared" si="1335"/>
        <v>42985</v>
      </c>
      <c r="D4826" s="292"/>
      <c r="E4826" s="292">
        <v>42985</v>
      </c>
      <c r="F4826" s="1010" t="s">
        <v>1881</v>
      </c>
      <c r="G4826" s="925"/>
      <c r="H4826" s="311" t="s">
        <v>1882</v>
      </c>
      <c r="I4826" s="373"/>
      <c r="J4826" s="926"/>
      <c r="K4826" s="373"/>
      <c r="L4826" s="379"/>
      <c r="M4826" s="927">
        <v>1290562000</v>
      </c>
      <c r="N4826" s="295" t="s">
        <v>8</v>
      </c>
      <c r="O4826" s="295" t="s">
        <v>63</v>
      </c>
      <c r="P4826" s="75" t="str">
        <f>IF(AND('331-CT'!$E$7=TH!H4331,OR(N4826="331",O4826="331")),"x","")</f>
        <v/>
      </c>
      <c r="Q4826" s="75" t="str">
        <f>IF(AND(B4826='111'!$L$11,OR($N4826=$Q$7,$O4826=$Q$7)),"x","")</f>
        <v/>
      </c>
      <c r="R4826" s="75" t="str">
        <f>IF(AND($N4826=$Q$7,$B4826&lt;'111'!$L$11),"x","")</f>
        <v/>
      </c>
      <c r="S4826" s="75" t="str">
        <f>IF(AND($O4826=$Q$7,$B4826&lt;'111'!$L$11),"x","")</f>
        <v>x</v>
      </c>
      <c r="T4826" s="75" t="str">
        <f>IF(ISERROR(FIND('112'!$M$9,G4826,1)),"",IF((AND(FIND('112'!$M$9,G4826,1)&gt;=1,B4826='112'!$K$9,OR($N4826='112'!$I$6,$O4826='112'!$I$6))),"x",""))</f>
        <v/>
      </c>
      <c r="U4826" s="75" t="str">
        <f>IF(ISERROR(FIND('112'!$M$9,G4826,1)),"",IF((AND(LEFT(G4826,2)=LEFT('112'!$M$9,2),B4826&lt;'112'!$K$9,$N4826='112'!$I$6)),"x",""))</f>
        <v/>
      </c>
      <c r="V4826" s="75" t="str">
        <f>IF(ISERROR(FIND('112'!$M$9,G4826,1)),"",IF((AND(RIGHT(G4826,2)=RIGHT('112'!$M$9,2),B4826&lt;'112'!$K$9,$O4826='112'!$I$6)),"x",""))</f>
        <v/>
      </c>
      <c r="W4826" s="75" t="str">
        <f>IF(AND('341-CT'!$H$9=H4826,OR(LEFT(N4826,3)=$W$7,LEFT(O4826,3)=$W$7)),"x","")</f>
        <v/>
      </c>
      <c r="X4826" s="75" t="str">
        <f>IF(OR(TH!N4331=TH!$X$7,O4826=TH!$X$7),"x","")</f>
        <v/>
      </c>
      <c r="Y4826" s="75" t="str">
        <f>IF(AND(OR(N4826="131",O4826="131"),H4826='131-CT'!$H$9),"x","")</f>
        <v/>
      </c>
      <c r="Z4826" s="75"/>
      <c r="AA4826" s="75" t="str">
        <f>IF(AND(MONTH(E4826)='IN-NX'!$J$5,'IN-NX'!$D$7=D4826),"x","")</f>
        <v/>
      </c>
      <c r="AB4826" s="75" t="str">
        <f>IF(AND(OR(LEFT(TH!N4331,2)="15",LEFT(TH!O4331,2)="15"),LEFT(TH!O4331,3)&lt;&gt;"111",'152-CT'!$J$8=TH!F4331),"x","")</f>
        <v/>
      </c>
      <c r="AC4826" s="75" t="str">
        <f>IF(AND(OR(LEFT(TH!N4331,2)="15",LEFT(TH!O4331,2)="15"),TK!$E$7=TH!F4331),"x","")</f>
        <v/>
      </c>
      <c r="AD4826" s="75" t="str">
        <f>IF(AND(N4826="1521",MONTH(C4826)='BK-NL'!$M$11),"x","")</f>
        <v/>
      </c>
    </row>
    <row r="4827" spans="1:31" ht="16.5" customHeight="1">
      <c r="A4827" s="309" t="str">
        <f>IF(B4827&lt;&gt;"",IF(AND(B4827='IN-TC'!$S$4,OR(TH!N4817="1111",TH!O4817="1111")),TH!D4817,""),"")</f>
        <v/>
      </c>
      <c r="B4827" s="1243">
        <f t="shared" si="1336"/>
        <v>9</v>
      </c>
      <c r="C4827" s="292">
        <f t="shared" si="1335"/>
        <v>42985</v>
      </c>
      <c r="D4827" s="292"/>
      <c r="E4827" s="292">
        <v>42985</v>
      </c>
      <c r="F4827" s="1010" t="s">
        <v>1883</v>
      </c>
      <c r="G4827" s="925"/>
      <c r="H4827" s="311"/>
      <c r="I4827" s="373"/>
      <c r="J4827" s="926"/>
      <c r="K4827" s="373"/>
      <c r="L4827" s="379"/>
      <c r="M4827" s="927">
        <v>1135695</v>
      </c>
      <c r="N4827" s="295" t="s">
        <v>101</v>
      </c>
      <c r="O4827" s="295" t="s">
        <v>63</v>
      </c>
      <c r="P4827" s="75" t="str">
        <f>IF(AND('331-CT'!$E$7=TH!H4332,OR(N4827="331",O4827="331")),"x","")</f>
        <v/>
      </c>
      <c r="Q4827" s="75" t="str">
        <f>IF(AND(B4827='111'!$L$11,OR($N4827=$Q$7,$O4827=$Q$7)),"x","")</f>
        <v/>
      </c>
      <c r="R4827" s="75" t="str">
        <f>IF(AND($N4827=$Q$7,$B4827&lt;'111'!$L$11),"x","")</f>
        <v/>
      </c>
      <c r="S4827" s="75" t="str">
        <f>IF(AND($O4827=$Q$7,$B4827&lt;'111'!$L$11),"x","")</f>
        <v>x</v>
      </c>
      <c r="T4827" s="75" t="str">
        <f>IF(ISERROR(FIND('112'!$M$9,G4827,1)),"",IF((AND(FIND('112'!$M$9,G4827,1)&gt;=1,B4827='112'!$K$9,OR($N4827='112'!$I$6,$O4827='112'!$I$6))),"x",""))</f>
        <v/>
      </c>
      <c r="U4827" s="75" t="str">
        <f>IF(ISERROR(FIND('112'!$M$9,G4827,1)),"",IF((AND(LEFT(G4827,2)=LEFT('112'!$M$9,2),B4827&lt;'112'!$K$9,$N4827='112'!$I$6)),"x",""))</f>
        <v/>
      </c>
      <c r="V4827" s="75" t="str">
        <f>IF(ISERROR(FIND('112'!$M$9,G4827,1)),"",IF((AND(RIGHT(G4827,2)=RIGHT('112'!$M$9,2),B4827&lt;'112'!$K$9,$O4827='112'!$I$6)),"x",""))</f>
        <v/>
      </c>
      <c r="W4827" s="75" t="str">
        <f>IF(AND('341-CT'!$H$9=H4827,OR(LEFT(N4827,3)=$W$7,LEFT(O4827,3)=$W$7)),"x","")</f>
        <v/>
      </c>
      <c r="X4827" s="75" t="str">
        <f>IF(OR(TH!N4332=TH!$X$7,O4827=TH!$X$7),"x","")</f>
        <v/>
      </c>
      <c r="Y4827" s="75" t="str">
        <f>IF(AND(OR(N4827="131",O4827="131"),H4827='131-CT'!$H$9),"x","")</f>
        <v/>
      </c>
      <c r="Z4827" s="75"/>
      <c r="AA4827" s="75" t="str">
        <f>IF(AND(MONTH(E4827)='IN-NX'!$J$5,'IN-NX'!$D$7=D4827),"x","")</f>
        <v/>
      </c>
      <c r="AB4827" s="75" t="str">
        <f>IF(AND(OR(LEFT(TH!N4332,2)="15",LEFT(TH!O4332,2)="15"),LEFT(TH!O4332,3)&lt;&gt;"111",'152-CT'!$J$8=TH!F4332),"x","")</f>
        <v/>
      </c>
      <c r="AC4827" s="75" t="str">
        <f>IF(AND(OR(LEFT(TH!N4332,2)="15",LEFT(TH!O4332,2)="15"),TK!$E$7=TH!F4332),"x","")</f>
        <v/>
      </c>
      <c r="AD4827" s="75" t="str">
        <f>IF(AND(N4827="1521",MONTH(C4827)='BK-NL'!$M$11),"x","")</f>
        <v/>
      </c>
    </row>
    <row r="4828" spans="1:31" ht="16.5" customHeight="1">
      <c r="A4828" s="309" t="str">
        <f>IF(B4828&lt;&gt;"",IF(AND(B4828='IN-TC'!$S$4,OR(TH!N4818="1111",TH!O4818="1111")),TH!D4818,""),"")</f>
        <v/>
      </c>
      <c r="B4828" s="1242">
        <f t="shared" si="1336"/>
        <v>9</v>
      </c>
      <c r="C4828" s="292">
        <f t="shared" si="1335"/>
        <v>42986</v>
      </c>
      <c r="D4828" s="59" t="s">
        <v>850</v>
      </c>
      <c r="E4828" s="59">
        <v>42986</v>
      </c>
      <c r="F4828" s="62" t="s">
        <v>834</v>
      </c>
      <c r="G4828" s="62" t="s">
        <v>747</v>
      </c>
      <c r="H4828" s="67" t="s">
        <v>1023</v>
      </c>
      <c r="I4828" s="373"/>
      <c r="J4828" s="382"/>
      <c r="K4828" s="373"/>
      <c r="L4828" s="379"/>
      <c r="M4828" s="60">
        <v>3350000000</v>
      </c>
      <c r="N4828" s="61" t="s">
        <v>63</v>
      </c>
      <c r="O4828" s="61" t="s">
        <v>26</v>
      </c>
      <c r="P4828" s="75" t="str">
        <f>IF(AND('331-CT'!$E$7=TH!H5443,OR(N4828="331",O4828="331")),"x","")</f>
        <v/>
      </c>
      <c r="Q4828" s="75" t="str">
        <f>IF(AND(B4828='111'!$L$11,OR($N4828=$Q$7,$O4828=$Q$7)),"x","")</f>
        <v/>
      </c>
      <c r="R4828" s="75" t="str">
        <f>IF(AND($N4828=$Q$7,$B4828&lt;'111'!$L$11),"x","")</f>
        <v>x</v>
      </c>
      <c r="S4828" s="75" t="str">
        <f>IF(AND($O4828=$Q$7,$B4828&lt;'111'!$L$11),"x","")</f>
        <v/>
      </c>
      <c r="T4828" s="75" t="str">
        <f>IF(ISERROR(FIND('112'!$M$9,G4828,1)),"",IF((AND(FIND('112'!$M$9,G4828,1)&gt;=1,B4828='112'!$K$9,OR($N4828='112'!$I$6,$O4828='112'!$I$6))),"x",""))</f>
        <v/>
      </c>
      <c r="U4828" s="75" t="str">
        <f>IF(ISERROR(FIND('112'!$M$9,G4828,1)),"",IF((AND(LEFT(G4828,2)=LEFT('112'!$M$9,2),B4828&lt;'112'!$K$9,$N4828='112'!$I$6)),"x",""))</f>
        <v/>
      </c>
      <c r="V4828" s="75" t="str">
        <f>IF(ISERROR(FIND('112'!$M$9,G4828,1)),"",IF((AND(RIGHT(G4828,2)=RIGHT('112'!$M$9,2),B4828&lt;'112'!$K$9,$O4828='112'!$I$6)),"x",""))</f>
        <v/>
      </c>
      <c r="W4828" s="75" t="str">
        <f>IF(AND('341-CT'!$H$9=H4828,OR(LEFT(N4828,3)=$W$7,LEFT(O4828,3)=$W$7)),"x","")</f>
        <v/>
      </c>
      <c r="X4828" s="75" t="str">
        <f>IF(OR(TH!N5443=TH!$X$7,O4828=TH!$X$7),"x","")</f>
        <v/>
      </c>
      <c r="Y4828" s="75" t="str">
        <f>IF(AND(OR(N4828="131",O4828="131"),H4828='131-CT'!$H$9),"x","")</f>
        <v/>
      </c>
      <c r="Z4828" s="75"/>
      <c r="AA4828" s="75" t="str">
        <f>IF(AND(MONTH(E4828)='IN-NX'!$J$5,'IN-NX'!$D$7=D4828),"x","")</f>
        <v/>
      </c>
      <c r="AB4828" s="75" t="str">
        <f>IF(AND(OR(LEFT(TH!N5443,2)="15",LEFT(TH!O5443,2)="15"),LEFT(TH!O5443,3)&lt;&gt;"111",'152-CT'!$J$8=TH!F5443),"x","")</f>
        <v/>
      </c>
      <c r="AC4828" s="75" t="str">
        <f>IF(AND(OR(LEFT(TH!N5443,2)="15",LEFT(TH!O5443,2)="15"),TK!$E$7=TH!F5443),"x","")</f>
        <v/>
      </c>
      <c r="AD4828" s="75" t="str">
        <f>IF(AND(N4828="1521",MONTH(C4828)='BK-NL'!$M$11),"x","")</f>
        <v/>
      </c>
    </row>
    <row r="4829" spans="1:31" ht="16.5" customHeight="1">
      <c r="A4829" s="309" t="str">
        <f>IF(B4829&lt;&gt;"",IF(AND(B4829='IN-TC'!$S$4,OR(TH!N4819="1111",TH!O4819="1111")),TH!D4819,""),"")</f>
        <v/>
      </c>
      <c r="B4829" s="1242">
        <f t="shared" si="1336"/>
        <v>9</v>
      </c>
      <c r="C4829" s="292">
        <f t="shared" si="1335"/>
        <v>42986</v>
      </c>
      <c r="D4829" s="59" t="s">
        <v>903</v>
      </c>
      <c r="E4829" s="59">
        <v>42986</v>
      </c>
      <c r="F4829" s="293" t="s">
        <v>2466</v>
      </c>
      <c r="G4829" s="62" t="s">
        <v>747</v>
      </c>
      <c r="H4829" s="67" t="s">
        <v>2467</v>
      </c>
      <c r="I4829" s="373"/>
      <c r="J4829" s="382"/>
      <c r="K4829" s="373">
        <v>16911.400000000001</v>
      </c>
      <c r="L4829" s="379">
        <v>22720</v>
      </c>
      <c r="M4829" s="60">
        <v>384227008</v>
      </c>
      <c r="N4829" s="61" t="s">
        <v>26</v>
      </c>
      <c r="O4829" s="61" t="s">
        <v>250</v>
      </c>
      <c r="P4829" s="75" t="str">
        <f>IF(AND('331-CT'!$E$7=TH!H5444,OR(N4829="331",O4829="331")),"x","")</f>
        <v/>
      </c>
      <c r="Q4829" s="75" t="str">
        <f>IF(AND(B4829='111'!$L$11,OR($N4829=$Q$7,$O4829=$Q$7)),"x","")</f>
        <v/>
      </c>
      <c r="R4829" s="75" t="str">
        <f>IF(AND($N4829=$Q$7,$B4829&lt;'111'!$L$11),"x","")</f>
        <v/>
      </c>
      <c r="S4829" s="75" t="str">
        <f>IF(AND($O4829=$Q$7,$B4829&lt;'111'!$L$11),"x","")</f>
        <v/>
      </c>
      <c r="T4829" s="75" t="str">
        <f>IF(ISERROR(FIND('112'!$M$9,G4829,1)),"",IF((AND(FIND('112'!$M$9,G4829,1)&gt;=1,B4829='112'!$K$9,OR($N4829='112'!$I$6,$O4829='112'!$I$6))),"x",""))</f>
        <v/>
      </c>
      <c r="U4829" s="75" t="str">
        <f>IF(ISERROR(FIND('112'!$M$9,G4829,1)),"",IF((AND(LEFT(G4829,2)=LEFT('112'!$M$9,2),B4829&lt;'112'!$K$9,$N4829='112'!$I$6)),"x",""))</f>
        <v/>
      </c>
      <c r="V4829" s="75" t="str">
        <f>IF(ISERROR(FIND('112'!$M$9,G4829,1)),"",IF((AND(RIGHT(G4829,2)=RIGHT('112'!$M$9,2),B4829&lt;'112'!$K$9,$O4829='112'!$I$6)),"x",""))</f>
        <v/>
      </c>
      <c r="W4829" s="75" t="str">
        <f>IF(AND('341-CT'!$H$9=H4829,OR(LEFT(N4829,3)=$W$7,LEFT(O4829,3)=$W$7)),"x","")</f>
        <v/>
      </c>
      <c r="X4829" s="75" t="str">
        <f>IF(OR(TH!N5444=TH!$X$7,O4829=TH!$X$7),"x","")</f>
        <v/>
      </c>
      <c r="Y4829" s="75" t="str">
        <f>IF(AND(OR(N4829="131",O4829="131"),H4829='131-CT'!$H$9),"x","")</f>
        <v/>
      </c>
      <c r="Z4829" s="75"/>
      <c r="AA4829" s="75" t="str">
        <f>IF(AND(MONTH(E4829)='IN-NX'!$J$5,'IN-NX'!$D$7=D4829),"x","")</f>
        <v/>
      </c>
      <c r="AB4829" s="75" t="str">
        <f>IF(AND(OR(LEFT(TH!N5444,2)="15",LEFT(TH!O5444,2)="15"),LEFT(TH!O5444,3)&lt;&gt;"111",'152-CT'!$J$8=TH!F5444),"x","")</f>
        <v/>
      </c>
      <c r="AC4829" s="75" t="str">
        <f>IF(AND(OR(LEFT(TH!N5444,2)="15",LEFT(TH!O5444,2)="15"),TK!$E$7=TH!F5444),"x","")</f>
        <v/>
      </c>
      <c r="AD4829" s="75" t="str">
        <f>IF(AND(N4829="1521",MONTH(C4829)='BK-NL'!$M$11),"x","")</f>
        <v/>
      </c>
    </row>
    <row r="4830" spans="1:31" ht="16.5" customHeight="1">
      <c r="A4830" s="309" t="str">
        <f>IF(B4830&lt;&gt;"",IF(AND(B4830='IN-TC'!$S$4,OR(TH!N4820="1111",TH!O4820="1111")),TH!D4820,""),"")</f>
        <v/>
      </c>
      <c r="B4830" s="1242">
        <f t="shared" si="1336"/>
        <v>9</v>
      </c>
      <c r="C4830" s="292">
        <f t="shared" si="1335"/>
        <v>42986</v>
      </c>
      <c r="D4830" s="59" t="s">
        <v>903</v>
      </c>
      <c r="E4830" s="59">
        <v>42986</v>
      </c>
      <c r="F4830" s="293" t="s">
        <v>252</v>
      </c>
      <c r="G4830" s="62" t="s">
        <v>747</v>
      </c>
      <c r="H4830" s="67" t="s">
        <v>2322</v>
      </c>
      <c r="I4830" s="375"/>
      <c r="J4830" s="382"/>
      <c r="K4830" s="375">
        <v>87500</v>
      </c>
      <c r="L4830" s="381">
        <f>M4830/K4830</f>
        <v>22720</v>
      </c>
      <c r="M4830" s="60">
        <v>1988000000</v>
      </c>
      <c r="N4830" s="61" t="s">
        <v>26</v>
      </c>
      <c r="O4830" s="61" t="s">
        <v>250</v>
      </c>
      <c r="P4830" s="75" t="str">
        <f>IF(AND('331-CT'!$E$7=TH!H5445,OR(N4830="331",O4830="331")),"x","")</f>
        <v/>
      </c>
      <c r="Q4830" s="75" t="str">
        <f>IF(AND(B4830='111'!$L$11,OR($N4830=$Q$7,$O4830=$Q$7)),"x","")</f>
        <v/>
      </c>
      <c r="R4830" s="75" t="str">
        <f>IF(AND($N4830=$Q$7,$B4830&lt;'111'!$L$11),"x","")</f>
        <v/>
      </c>
      <c r="S4830" s="75" t="str">
        <f>IF(AND($O4830=$Q$7,$B4830&lt;'111'!$L$11),"x","")</f>
        <v/>
      </c>
      <c r="T4830" s="75" t="str">
        <f>IF(ISERROR(FIND('112'!$M$9,G4830,1)),"",IF((AND(FIND('112'!$M$9,G4830,1)&gt;=1,B4830='112'!$K$9,OR($N4830='112'!$I$6,$O4830='112'!$I$6))),"x",""))</f>
        <v/>
      </c>
      <c r="U4830" s="75" t="str">
        <f>IF(ISERROR(FIND('112'!$M$9,G4830,1)),"",IF((AND(LEFT(G4830,2)=LEFT('112'!$M$9,2),B4830&lt;'112'!$K$9,$N4830='112'!$I$6)),"x",""))</f>
        <v/>
      </c>
      <c r="V4830" s="75" t="str">
        <f>IF(ISERROR(FIND('112'!$M$9,G4830,1)),"",IF((AND(RIGHT(G4830,2)=RIGHT('112'!$M$9,2),B4830&lt;'112'!$K$9,$O4830='112'!$I$6)),"x",""))</f>
        <v/>
      </c>
      <c r="W4830" s="75" t="str">
        <f>IF(AND('341-CT'!$H$9=H4830,OR(LEFT(N4830,3)=$W$7,LEFT(O4830,3)=$W$7)),"x","")</f>
        <v/>
      </c>
      <c r="X4830" s="75" t="str">
        <f>IF(OR(TH!N5445=TH!$X$7,O4830=TH!$X$7),"x","")</f>
        <v/>
      </c>
      <c r="Y4830" s="75" t="str">
        <f>IF(AND(OR(N4830="131",O4830="131"),H4830='131-CT'!$H$9),"x","")</f>
        <v/>
      </c>
      <c r="Z4830" s="75"/>
      <c r="AA4830" s="75" t="str">
        <f>IF(AND(MONTH(E4830)='IN-NX'!$J$5,'IN-NX'!$D$7=D4830),"x","")</f>
        <v/>
      </c>
      <c r="AB4830" s="75" t="str">
        <f>IF(AND(OR(LEFT(TH!N5445,2)="15",LEFT(TH!O5445,2)="15"),LEFT(TH!O5445,3)&lt;&gt;"111",'152-CT'!$J$8=TH!F5445),"x","")</f>
        <v/>
      </c>
      <c r="AC4830" s="75" t="str">
        <f>IF(AND(OR(LEFT(TH!N5445,2)="15",LEFT(TH!O5445,2)="15"),TK!$E$7=TH!F5445),"x","")</f>
        <v/>
      </c>
      <c r="AD4830" s="75" t="str">
        <f>IF(AND(N4830="1521",MONTH(C4830)='BK-NL'!$M$11),"x","")</f>
        <v/>
      </c>
    </row>
    <row r="4831" spans="1:31" ht="16.5" customHeight="1">
      <c r="A4831" s="309" t="str">
        <f>IF(B4831&lt;&gt;"",IF(AND(B4831='IN-TC'!$S$4,OR(TH!N4821="1111",TH!O4821="1111")),TH!D4821,""),"")</f>
        <v/>
      </c>
      <c r="B4831" s="1242">
        <f t="shared" si="1336"/>
        <v>9</v>
      </c>
      <c r="C4831" s="292">
        <f t="shared" si="1335"/>
        <v>42986</v>
      </c>
      <c r="D4831" s="59" t="s">
        <v>530</v>
      </c>
      <c r="E4831" s="59">
        <v>42986</v>
      </c>
      <c r="F4831" s="62" t="s">
        <v>1010</v>
      </c>
      <c r="G4831" s="62" t="s">
        <v>747</v>
      </c>
      <c r="H4831" s="67" t="s">
        <v>1556</v>
      </c>
      <c r="I4831" s="373"/>
      <c r="J4831" s="382"/>
      <c r="K4831" s="373"/>
      <c r="L4831" s="379"/>
      <c r="M4831" s="60">
        <v>11375000</v>
      </c>
      <c r="N4831" s="61" t="s">
        <v>250</v>
      </c>
      <c r="O4831" s="295" t="s">
        <v>43</v>
      </c>
      <c r="P4831" s="75" t="str">
        <f>IF(AND('331-CT'!$E$7=TH!H5446,OR(N4831="331",O4831="331")),"x","")</f>
        <v/>
      </c>
      <c r="Q4831" s="75" t="str">
        <f>IF(AND(B4831='111'!$L$11,OR($N4831=$Q$7,$O4831=$Q$7)),"x","")</f>
        <v/>
      </c>
      <c r="R4831" s="75" t="str">
        <f>IF(AND($N4831=$Q$7,$B4831&lt;'111'!$L$11),"x","")</f>
        <v/>
      </c>
      <c r="S4831" s="75" t="str">
        <f>IF(AND($O4831=$Q$7,$B4831&lt;'111'!$L$11),"x","")</f>
        <v/>
      </c>
      <c r="T4831" s="75" t="str">
        <f>IF(ISERROR(FIND('112'!$M$9,G4831,1)),"",IF((AND(FIND('112'!$M$9,G4831,1)&gt;=1,B4831='112'!$K$9,OR($N4831='112'!$I$6,$O4831='112'!$I$6))),"x",""))</f>
        <v/>
      </c>
      <c r="U4831" s="75" t="str">
        <f>IF(ISERROR(FIND('112'!$M$9,G4831,1)),"",IF((AND(LEFT(G4831,2)=LEFT('112'!$M$9,2),B4831&lt;'112'!$K$9,$N4831='112'!$I$6)),"x",""))</f>
        <v/>
      </c>
      <c r="V4831" s="75" t="str">
        <f>IF(ISERROR(FIND('112'!$M$9,G4831,1)),"",IF((AND(RIGHT(G4831,2)=RIGHT('112'!$M$9,2),B4831&lt;'112'!$K$9,$O4831='112'!$I$6)),"x",""))</f>
        <v/>
      </c>
      <c r="W4831" s="75" t="str">
        <f>IF(AND('341-CT'!$H$9=H4831,OR(LEFT(N4831,3)=$W$7,LEFT(O4831,3)=$W$7)),"x","")</f>
        <v/>
      </c>
      <c r="X4831" s="75" t="str">
        <f>IF(OR(TH!N5446=TH!$X$7,O4831=TH!$X$7),"x","")</f>
        <v/>
      </c>
      <c r="Y4831" s="75" t="str">
        <f>IF(AND(OR(N4831="131",O4831="131"),H4831='131-CT'!$H$9),"x","")</f>
        <v/>
      </c>
      <c r="Z4831" s="75"/>
      <c r="AA4831" s="75" t="str">
        <f>IF(AND(MONTH(E4831)='IN-NX'!$J$5,'IN-NX'!$D$7=D4831),"x","")</f>
        <v/>
      </c>
      <c r="AB4831" s="75" t="str">
        <f>IF(AND(OR(LEFT(TH!N5446,2)="15",LEFT(TH!O5446,2)="15"),LEFT(TH!O5446,3)&lt;&gt;"111",'152-CT'!$J$8=TH!F5446),"x","")</f>
        <v/>
      </c>
      <c r="AC4831" s="75" t="str">
        <f>IF(AND(OR(LEFT(TH!N5446,2)="15",LEFT(TH!O5446,2)="15"),TK!$E$7=TH!F5446),"x","")</f>
        <v/>
      </c>
      <c r="AD4831" s="75" t="str">
        <f>IF(AND(N4831="1521",MONTH(C4831)='BK-NL'!$M$11),"x","")</f>
        <v/>
      </c>
    </row>
    <row r="4832" spans="1:31" ht="16.5" customHeight="1">
      <c r="A4832" s="309" t="str">
        <f>IF(B4832&lt;&gt;"",IF(AND(B4832='IN-TC'!$S$4,OR(TH!N4822="1111",TH!O4822="1111")),TH!D4822,""),"")</f>
        <v/>
      </c>
      <c r="B4832" s="1242">
        <f t="shared" si="1336"/>
        <v>9</v>
      </c>
      <c r="C4832" s="292">
        <f t="shared" si="1335"/>
        <v>42986</v>
      </c>
      <c r="D4832" s="59"/>
      <c r="E4832" s="59">
        <v>42986</v>
      </c>
      <c r="F4832" s="62" t="s">
        <v>2279</v>
      </c>
      <c r="G4832" s="742" t="s">
        <v>2281</v>
      </c>
      <c r="H4832" s="67" t="s">
        <v>948</v>
      </c>
      <c r="I4832" s="373"/>
      <c r="J4832" s="382"/>
      <c r="K4832" s="373"/>
      <c r="L4832" s="379"/>
      <c r="M4832" s="60">
        <v>2509091</v>
      </c>
      <c r="N4832" s="61" t="s">
        <v>101</v>
      </c>
      <c r="O4832" s="61" t="s">
        <v>63</v>
      </c>
      <c r="P4832" s="75" t="str">
        <f>IF(AND('331-CT'!$E$7=TH!H3882,OR(N4832="331",O4832="331")),"x","")</f>
        <v/>
      </c>
      <c r="Q4832" s="75" t="str">
        <f>IF(AND(B4832='111'!$L$11,OR($N4832=$Q$7,$O4832=$Q$7)),"x","")</f>
        <v/>
      </c>
      <c r="R4832" s="75" t="str">
        <f>IF(AND($N4832=$Q$7,$B4832&lt;'111'!$L$11),"x","")</f>
        <v/>
      </c>
      <c r="S4832" s="75" t="str">
        <f>IF(AND($O4832=$Q$7,$B4832&lt;'111'!$L$11),"x","")</f>
        <v>x</v>
      </c>
      <c r="T4832" s="75" t="str">
        <f>IF(ISERROR(FIND('112'!$M$9,G4832,1)),"",IF((AND(FIND('112'!$M$9,G4832,1)&gt;=1,B4832='112'!$K$9,OR($N4832='112'!$I$6,$O4832='112'!$I$6))),"x",""))</f>
        <v/>
      </c>
      <c r="U4832" s="75" t="str">
        <f>IF(ISERROR(FIND('112'!$M$9,G4832,1)),"",IF((AND(LEFT(G4832,2)=LEFT('112'!$M$9,2),B4832&lt;'112'!$K$9,$N4832='112'!$I$6)),"x",""))</f>
        <v/>
      </c>
      <c r="V4832" s="75" t="str">
        <f>IF(ISERROR(FIND('112'!$M$9,G4832,1)),"",IF((AND(RIGHT(G4832,2)=RIGHT('112'!$M$9,2),B4832&lt;'112'!$K$9,$O4832='112'!$I$6)),"x",""))</f>
        <v/>
      </c>
      <c r="W4832" s="75" t="str">
        <f>IF(AND('341-CT'!$H$9=H4832,OR(LEFT(N4832,3)=$W$7,LEFT(O4832,3)=$W$7)),"x","")</f>
        <v/>
      </c>
      <c r="X4832" s="75" t="str">
        <f>IF(OR(TH!N3882=TH!$X$7,O4832=TH!$X$7),"x","")</f>
        <v/>
      </c>
      <c r="Y4832" s="75" t="str">
        <f>IF(AND(OR(N4832="131",O4832="131"),H4832='131-CT'!$H$9),"x","")</f>
        <v/>
      </c>
      <c r="Z4832" s="75"/>
      <c r="AA4832" s="75" t="str">
        <f>IF(AND(MONTH(E4832)='IN-NX'!$J$5,'IN-NX'!$D$7=D4832),"x","")</f>
        <v/>
      </c>
      <c r="AB4832" s="75" t="str">
        <f>IF(AND(OR(LEFT(TH!N3882,2)="15",LEFT(TH!O3882,2)="15"),LEFT(TH!O3882,3)&lt;&gt;"111",'152-CT'!$J$8=TH!F3882),"x","")</f>
        <v/>
      </c>
      <c r="AC4832" s="75" t="str">
        <f>IF(AND(OR(LEFT(TH!N3882,2)="15",LEFT(TH!O3882,2)="15"),TK!$E$7=TH!F3882),"x","")</f>
        <v/>
      </c>
      <c r="AD4832" s="75" t="str">
        <f>IF(AND(N4832="1521",MONTH(C4832)='BK-NL'!$M$11),"x","")</f>
        <v/>
      </c>
      <c r="AE4832">
        <v>9</v>
      </c>
    </row>
    <row r="4833" spans="1:33" ht="16.5" customHeight="1">
      <c r="A4833" s="309" t="str">
        <f>IF(B4833&lt;&gt;"",IF(AND(B4833='IN-TC'!$S$4,OR(TH!N4823="1111",TH!O4823="1111")),TH!D4823,""),"")</f>
        <v/>
      </c>
      <c r="B4833" s="1242">
        <f t="shared" si="1336"/>
        <v>9</v>
      </c>
      <c r="C4833" s="292">
        <f t="shared" si="1335"/>
        <v>42986</v>
      </c>
      <c r="D4833" s="59"/>
      <c r="E4833" s="59">
        <v>42986</v>
      </c>
      <c r="F4833" s="62" t="s">
        <v>2280</v>
      </c>
      <c r="G4833" s="742" t="s">
        <v>2281</v>
      </c>
      <c r="H4833" s="67" t="s">
        <v>948</v>
      </c>
      <c r="I4833" s="373"/>
      <c r="J4833" s="382"/>
      <c r="K4833" s="373"/>
      <c r="L4833" s="379"/>
      <c r="M4833" s="60">
        <v>250909</v>
      </c>
      <c r="N4833" s="61" t="s">
        <v>9</v>
      </c>
      <c r="O4833" s="61" t="s">
        <v>63</v>
      </c>
      <c r="P4833" s="75" t="str">
        <f>IF(AND('331-CT'!$E$7=TH!H3883,OR(N4833="331",O4833="331")),"x","")</f>
        <v/>
      </c>
      <c r="Q4833" s="75" t="str">
        <f>IF(AND(B4833='111'!$L$11,OR($N4833=$Q$7,$O4833=$Q$7)),"x","")</f>
        <v/>
      </c>
      <c r="R4833" s="75" t="str">
        <f>IF(AND($N4833=$Q$7,$B4833&lt;'111'!$L$11),"x","")</f>
        <v/>
      </c>
      <c r="S4833" s="75" t="str">
        <f>IF(AND($O4833=$Q$7,$B4833&lt;'111'!$L$11),"x","")</f>
        <v>x</v>
      </c>
      <c r="T4833" s="75" t="str">
        <f>IF(ISERROR(FIND('112'!$M$9,G4833,1)),"",IF((AND(FIND('112'!$M$9,G4833,1)&gt;=1,B4833='112'!$K$9,OR($N4833='112'!$I$6,$O4833='112'!$I$6))),"x",""))</f>
        <v/>
      </c>
      <c r="U4833" s="75" t="str">
        <f>IF(ISERROR(FIND('112'!$M$9,G4833,1)),"",IF((AND(LEFT(G4833,2)=LEFT('112'!$M$9,2),B4833&lt;'112'!$K$9,$N4833='112'!$I$6)),"x",""))</f>
        <v/>
      </c>
      <c r="V4833" s="75" t="str">
        <f>IF(ISERROR(FIND('112'!$M$9,G4833,1)),"",IF((AND(RIGHT(G4833,2)=RIGHT('112'!$M$9,2),B4833&lt;'112'!$K$9,$O4833='112'!$I$6)),"x",""))</f>
        <v/>
      </c>
      <c r="W4833" s="75" t="str">
        <f>IF(AND('341-CT'!$H$9=H4833,OR(LEFT(N4833,3)=$W$7,LEFT(O4833,3)=$W$7)),"x","")</f>
        <v/>
      </c>
      <c r="X4833" s="75" t="str">
        <f>IF(OR(TH!N3883=TH!$X$7,O4833=TH!$X$7),"x","")</f>
        <v/>
      </c>
      <c r="Y4833" s="75" t="str">
        <f>IF(AND(OR(N4833="131",O4833="131"),H4833='131-CT'!$H$9),"x","")</f>
        <v/>
      </c>
      <c r="Z4833" s="75"/>
      <c r="AA4833" s="75" t="str">
        <f>IF(AND(MONTH(E4833)='IN-NX'!$J$5,'IN-NX'!$D$7=D4833),"x","")</f>
        <v/>
      </c>
      <c r="AB4833" s="75" t="str">
        <f>IF(AND(OR(LEFT(TH!N3883,2)="15",LEFT(TH!O3883,2)="15"),LEFT(TH!O3883,3)&lt;&gt;"111",'152-CT'!$J$8=TH!F3883),"x","")</f>
        <v/>
      </c>
      <c r="AC4833" s="75" t="str">
        <f>IF(AND(OR(LEFT(TH!N3883,2)="15",LEFT(TH!O3883,2)="15"),TK!$E$7=TH!F3883),"x","")</f>
        <v/>
      </c>
      <c r="AD4833" s="75" t="str">
        <f>IF(AND(N4833="1521",MONTH(C4833)='BK-NL'!$M$11),"x","")</f>
        <v/>
      </c>
      <c r="AE4833">
        <v>9</v>
      </c>
    </row>
    <row r="4834" spans="1:33" ht="16.5" customHeight="1">
      <c r="A4834" s="309" t="str">
        <f>IF(B4834&lt;&gt;"",IF(AND(B4834='IN-TC'!$S$4,OR(TH!N4824="1111",TH!O4824="1111")),TH!D4824,""),"")</f>
        <v/>
      </c>
      <c r="B4834" s="1241">
        <f t="shared" si="1336"/>
        <v>9</v>
      </c>
      <c r="C4834" s="292">
        <f t="shared" si="1335"/>
        <v>42986</v>
      </c>
      <c r="D4834" s="292" t="s">
        <v>1918</v>
      </c>
      <c r="E4834" s="292">
        <v>42986</v>
      </c>
      <c r="F4834" s="1010" t="s">
        <v>1881</v>
      </c>
      <c r="G4834" s="925"/>
      <c r="H4834" s="311" t="s">
        <v>1890</v>
      </c>
      <c r="I4834" s="373"/>
      <c r="J4834" s="926"/>
      <c r="K4834" s="373"/>
      <c r="L4834" s="379"/>
      <c r="M4834" s="927">
        <v>1742279000</v>
      </c>
      <c r="N4834" s="295" t="s">
        <v>8</v>
      </c>
      <c r="O4834" s="295" t="s">
        <v>63</v>
      </c>
      <c r="P4834" s="75" t="str">
        <f>IF(AND('331-CT'!$E$7=TH!H4312,OR(N4834="331",O4834="331")),"x","")</f>
        <v/>
      </c>
      <c r="Q4834" s="75" t="str">
        <f>IF(AND(B4834='111'!$L$11,OR($N4834=$Q$7,$O4834=$Q$7)),"x","")</f>
        <v/>
      </c>
      <c r="R4834" s="75" t="str">
        <f>IF(AND($N4834=$Q$7,$B4834&lt;'111'!$L$11),"x","")</f>
        <v/>
      </c>
      <c r="S4834" s="75" t="str">
        <f>IF(AND($O4834=$Q$7,$B4834&lt;'111'!$L$11),"x","")</f>
        <v>x</v>
      </c>
      <c r="T4834" s="75" t="str">
        <f>IF(ISERROR(FIND('112'!$M$9,G4834,1)),"",IF((AND(FIND('112'!$M$9,G4834,1)&gt;=1,B4834='112'!$K$9,OR($N4834='112'!$I$6,$O4834='112'!$I$6))),"x",""))</f>
        <v/>
      </c>
      <c r="U4834" s="75" t="str">
        <f>IF(ISERROR(FIND('112'!$M$9,G4834,1)),"",IF((AND(LEFT(G4834,2)=LEFT('112'!$M$9,2),B4834&lt;'112'!$K$9,$N4834='112'!$I$6)),"x",""))</f>
        <v/>
      </c>
      <c r="V4834" s="75" t="str">
        <f>IF(ISERROR(FIND('112'!$M$9,G4834,1)),"",IF((AND(RIGHT(G4834,2)=RIGHT('112'!$M$9,2),B4834&lt;'112'!$K$9,$O4834='112'!$I$6)),"x",""))</f>
        <v/>
      </c>
      <c r="W4834" s="75" t="str">
        <f>IF(AND('341-CT'!$H$9=H4834,OR(LEFT(N4834,3)=$W$7,LEFT(O4834,3)=$W$7)),"x","")</f>
        <v/>
      </c>
      <c r="X4834" s="75" t="str">
        <f>IF(OR(TH!N4312=TH!$X$7,O4834=TH!$X$7),"x","")</f>
        <v/>
      </c>
      <c r="Y4834" s="75" t="str">
        <f>IF(AND(OR(N4834="131",O4834="131"),H4834='131-CT'!$H$9),"x","")</f>
        <v/>
      </c>
      <c r="Z4834" s="75"/>
      <c r="AA4834" s="75" t="str">
        <f>IF(AND(MONTH(E4834)='IN-NX'!$J$5,'IN-NX'!$D$7=D4834),"x","")</f>
        <v/>
      </c>
      <c r="AB4834" s="75" t="str">
        <f>IF(AND(OR(LEFT(TH!N4312,2)="15",LEFT(TH!O4312,2)="15"),LEFT(TH!O4312,3)&lt;&gt;"111",'152-CT'!$J$8=TH!F4312),"x","")</f>
        <v/>
      </c>
      <c r="AC4834" s="75" t="str">
        <f>IF(AND(OR(LEFT(TH!N4312,2)="15",LEFT(TH!O4312,2)="15"),TK!$E$7=TH!F4312),"x","")</f>
        <v/>
      </c>
      <c r="AD4834" s="75" t="str">
        <f>IF(AND(N4834="1521",MONTH(C4834)='BK-NL'!$M$11),"x","")</f>
        <v/>
      </c>
    </row>
    <row r="4835" spans="1:33" ht="16.5" customHeight="1">
      <c r="A4835" s="309" t="str">
        <f>IF(B4835&lt;&gt;"",IF(AND(B4835='IN-TC'!$S$4,OR(TH!N4825="1111",TH!O4825="1111")),TH!D4825,""),"")</f>
        <v/>
      </c>
      <c r="B4835" s="1241">
        <f t="shared" si="1336"/>
        <v>9</v>
      </c>
      <c r="C4835" s="292">
        <f t="shared" si="1335"/>
        <v>42986</v>
      </c>
      <c r="D4835" s="292" t="s">
        <v>1918</v>
      </c>
      <c r="E4835" s="292">
        <v>42986</v>
      </c>
      <c r="F4835" s="1010" t="s">
        <v>1883</v>
      </c>
      <c r="G4835" s="925"/>
      <c r="H4835" s="311"/>
      <c r="I4835" s="373"/>
      <c r="J4835" s="926"/>
      <c r="K4835" s="373"/>
      <c r="L4835" s="379"/>
      <c r="M4835" s="927">
        <v>1000000</v>
      </c>
      <c r="N4835" s="295" t="s">
        <v>101</v>
      </c>
      <c r="O4835" s="295" t="s">
        <v>63</v>
      </c>
      <c r="P4835" s="75" t="str">
        <f>IF(AND('331-CT'!$E$7=TH!H4313,OR(N4835="331",O4835="331")),"x","")</f>
        <v/>
      </c>
      <c r="Q4835" s="75" t="str">
        <f>IF(AND(B4835='111'!$L$11,OR($N4835=$Q$7,$O4835=$Q$7)),"x","")</f>
        <v/>
      </c>
      <c r="R4835" s="75" t="str">
        <f>IF(AND($N4835=$Q$7,$B4835&lt;'111'!$L$11),"x","")</f>
        <v/>
      </c>
      <c r="S4835" s="75" t="str">
        <f>IF(AND($O4835=$Q$7,$B4835&lt;'111'!$L$11),"x","")</f>
        <v>x</v>
      </c>
      <c r="T4835" s="75" t="str">
        <f>IF(ISERROR(FIND('112'!$M$9,G4835,1)),"",IF((AND(FIND('112'!$M$9,G4835,1)&gt;=1,B4835='112'!$K$9,OR($N4835='112'!$I$6,$O4835='112'!$I$6))),"x",""))</f>
        <v/>
      </c>
      <c r="U4835" s="75" t="str">
        <f>IF(ISERROR(FIND('112'!$M$9,G4835,1)),"",IF((AND(LEFT(G4835,2)=LEFT('112'!$M$9,2),B4835&lt;'112'!$K$9,$N4835='112'!$I$6)),"x",""))</f>
        <v/>
      </c>
      <c r="V4835" s="75" t="str">
        <f>IF(ISERROR(FIND('112'!$M$9,G4835,1)),"",IF((AND(RIGHT(G4835,2)=RIGHT('112'!$M$9,2),B4835&lt;'112'!$K$9,$O4835='112'!$I$6)),"x",""))</f>
        <v/>
      </c>
      <c r="W4835" s="75" t="str">
        <f>IF(AND('341-CT'!$H$9=H4835,OR(LEFT(N4835,3)=$W$7,LEFT(O4835,3)=$W$7)),"x","")</f>
        <v/>
      </c>
      <c r="X4835" s="75" t="str">
        <f>IF(OR(TH!N4313=TH!$X$7,O4835=TH!$X$7),"x","")</f>
        <v/>
      </c>
      <c r="Y4835" s="75" t="str">
        <f>IF(AND(OR(N4835="131",O4835="131"),H4835='131-CT'!$H$9),"x","")</f>
        <v/>
      </c>
      <c r="Z4835" s="75"/>
      <c r="AA4835" s="75" t="str">
        <f>IF(AND(MONTH(E4835)='IN-NX'!$J$5,'IN-NX'!$D$7=D4835),"x","")</f>
        <v/>
      </c>
      <c r="AB4835" s="75" t="str">
        <f>IF(AND(OR(LEFT(TH!N4313,2)="15",LEFT(TH!O4313,2)="15"),LEFT(TH!O4313,3)&lt;&gt;"111",'152-CT'!$J$8=TH!F4313),"x","")</f>
        <v/>
      </c>
      <c r="AC4835" s="75" t="str">
        <f>IF(AND(OR(LEFT(TH!N4313,2)="15",LEFT(TH!O4313,2)="15"),TK!$E$7=TH!F4313),"x","")</f>
        <v/>
      </c>
      <c r="AD4835" s="75" t="str">
        <f>IF(AND(N4835="1521",MONTH(C4835)='BK-NL'!$M$11),"x","")</f>
        <v/>
      </c>
      <c r="AE4835">
        <v>9</v>
      </c>
    </row>
    <row r="4836" spans="1:33" ht="16.5" customHeight="1">
      <c r="A4836" s="309" t="str">
        <f>IF(B4836&lt;&gt;"",IF(AND(B4836='IN-TC'!$S$4,OR(TH!N4826="1111",TH!O4826="1111")),TH!D4826,""),"")</f>
        <v/>
      </c>
      <c r="B4836" s="1241">
        <f t="shared" si="1336"/>
        <v>9</v>
      </c>
      <c r="C4836" s="292">
        <f t="shared" si="1335"/>
        <v>42986</v>
      </c>
      <c r="D4836" s="292" t="s">
        <v>1918</v>
      </c>
      <c r="E4836" s="292">
        <v>42986</v>
      </c>
      <c r="F4836" s="1010" t="s">
        <v>1895</v>
      </c>
      <c r="G4836" s="925"/>
      <c r="H4836" s="311"/>
      <c r="I4836" s="373"/>
      <c r="J4836" s="926"/>
      <c r="K4836" s="373"/>
      <c r="L4836" s="379"/>
      <c r="M4836" s="927">
        <v>100000</v>
      </c>
      <c r="N4836" s="295" t="s">
        <v>9</v>
      </c>
      <c r="O4836" s="295" t="s">
        <v>63</v>
      </c>
      <c r="P4836" s="75" t="str">
        <f>IF(AND('331-CT'!$E$7=TH!H4314,OR(N4836="331",O4836="331")),"x","")</f>
        <v/>
      </c>
      <c r="Q4836" s="75" t="str">
        <f>IF(AND(B4836='111'!$L$11,OR($N4836=$Q$7,$O4836=$Q$7)),"x","")</f>
        <v/>
      </c>
      <c r="R4836" s="75" t="str">
        <f>IF(AND($N4836=$Q$7,$B4836&lt;'111'!$L$11),"x","")</f>
        <v/>
      </c>
      <c r="S4836" s="75" t="str">
        <f>IF(AND($O4836=$Q$7,$B4836&lt;'111'!$L$11),"x","")</f>
        <v>x</v>
      </c>
      <c r="T4836" s="75" t="str">
        <f>IF(ISERROR(FIND('112'!$M$9,G4836,1)),"",IF((AND(FIND('112'!$M$9,G4836,1)&gt;=1,B4836='112'!$K$9,OR($N4836='112'!$I$6,$O4836='112'!$I$6))),"x",""))</f>
        <v/>
      </c>
      <c r="U4836" s="75" t="str">
        <f>IF(ISERROR(FIND('112'!$M$9,G4836,1)),"",IF((AND(LEFT(G4836,2)=LEFT('112'!$M$9,2),B4836&lt;'112'!$K$9,$N4836='112'!$I$6)),"x",""))</f>
        <v/>
      </c>
      <c r="V4836" s="75" t="str">
        <f>IF(ISERROR(FIND('112'!$M$9,G4836,1)),"",IF((AND(RIGHT(G4836,2)=RIGHT('112'!$M$9,2),B4836&lt;'112'!$K$9,$O4836='112'!$I$6)),"x",""))</f>
        <v/>
      </c>
      <c r="W4836" s="75" t="str">
        <f>IF(AND('341-CT'!$H$9=H4836,OR(LEFT(N4836,3)=$W$7,LEFT(O4836,3)=$W$7)),"x","")</f>
        <v/>
      </c>
      <c r="X4836" s="75" t="str">
        <f>IF(OR(TH!N4314=TH!$X$7,O4836=TH!$X$7),"x","")</f>
        <v/>
      </c>
      <c r="Y4836" s="75" t="str">
        <f>IF(AND(OR(N4836="131",O4836="131"),H4836='131-CT'!$H$9),"x","")</f>
        <v/>
      </c>
      <c r="Z4836" s="75"/>
      <c r="AA4836" s="75" t="str">
        <f>IF(AND(MONTH(E4836)='IN-NX'!$J$5,'IN-NX'!$D$7=D4836),"x","")</f>
        <v/>
      </c>
      <c r="AB4836" s="75" t="str">
        <f>IF(AND(OR(LEFT(TH!N4314,2)="15",LEFT(TH!O4314,2)="15"),LEFT(TH!O4314,3)&lt;&gt;"111",'152-CT'!$J$8=TH!F4314),"x","")</f>
        <v/>
      </c>
      <c r="AC4836" s="75" t="str">
        <f>IF(AND(OR(LEFT(TH!N4314,2)="15",LEFT(TH!O4314,2)="15"),TK!$E$7=TH!F4314),"x","")</f>
        <v/>
      </c>
      <c r="AD4836" s="75" t="str">
        <f>IF(AND(N4836="1521",MONTH(C4836)='BK-NL'!$M$11),"x","")</f>
        <v/>
      </c>
      <c r="AE4836">
        <v>9</v>
      </c>
    </row>
    <row r="4837" spans="1:33" ht="16.5" customHeight="1">
      <c r="A4837" s="309" t="str">
        <f>IF(B4837&lt;&gt;"",IF(AND(B4837='IN-TC'!$S$4,OR(TH!N4827="1111",TH!O4827="1111")),TH!D4827,""),"")</f>
        <v/>
      </c>
      <c r="B4837" s="1242">
        <f t="shared" si="1336"/>
        <v>9</v>
      </c>
      <c r="C4837" s="292">
        <f t="shared" si="1335"/>
        <v>42986</v>
      </c>
      <c r="D4837" s="59" t="s">
        <v>903</v>
      </c>
      <c r="E4837" s="59">
        <v>42986</v>
      </c>
      <c r="F4837" s="62" t="s">
        <v>914</v>
      </c>
      <c r="G4837" s="62" t="s">
        <v>586</v>
      </c>
      <c r="H4837" s="67" t="s">
        <v>982</v>
      </c>
      <c r="I4837" s="375"/>
      <c r="J4837" s="382"/>
      <c r="K4837" s="375"/>
      <c r="L4837" s="381"/>
      <c r="M4837" s="60">
        <v>4630</v>
      </c>
      <c r="N4837" s="61" t="s">
        <v>26</v>
      </c>
      <c r="O4837" s="295" t="s">
        <v>43</v>
      </c>
      <c r="P4837" s="75" t="str">
        <f>IF(AND('331-CT'!$E$7=TH!H4410,OR(N4837="331",O4837="331")),"x","")</f>
        <v/>
      </c>
      <c r="Q4837" s="75" t="str">
        <f>IF(AND(B4837='111'!$L$11,OR($N4837=$Q$7,$O4837=$Q$7)),"x","")</f>
        <v/>
      </c>
      <c r="R4837" s="75" t="str">
        <f>IF(AND($N4837=$Q$7,$B4837&lt;'111'!$L$11),"x","")</f>
        <v/>
      </c>
      <c r="S4837" s="75" t="str">
        <f>IF(AND($O4837=$Q$7,$B4837&lt;'111'!$L$11),"x","")</f>
        <v/>
      </c>
      <c r="T4837" s="75" t="str">
        <f>IF(ISERROR(FIND('112'!$M$9,G4837,1)),"",IF((AND(FIND('112'!$M$9,G4837,1)&gt;=1,B4837='112'!$K$9,OR($N4837='112'!$I$6,$O4837='112'!$I$6))),"x",""))</f>
        <v/>
      </c>
      <c r="U4837" s="75" t="str">
        <f>IF(ISERROR(FIND('112'!$M$9,G4837,1)),"",IF((AND(LEFT(G4837,2)=LEFT('112'!$M$9,2),B4837&lt;'112'!$K$9,$N4837='112'!$I$6)),"x",""))</f>
        <v>x</v>
      </c>
      <c r="V4837" s="75" t="str">
        <f>IF(ISERROR(FIND('112'!$M$9,G4837,1)),"",IF((AND(RIGHT(G4837,2)=RIGHT('112'!$M$9,2),B4837&lt;'112'!$K$9,$O4837='112'!$I$6)),"x",""))</f>
        <v/>
      </c>
      <c r="W4837" s="75" t="str">
        <f>IF(AND('341-CT'!$H$9=H4837,OR(LEFT(N4837,3)=$W$7,LEFT(O4837,3)=$W$7)),"x","")</f>
        <v/>
      </c>
      <c r="X4837" s="75" t="str">
        <f>IF(OR(TH!N4410=TH!$X$7,O4837=TH!$X$7),"x","")</f>
        <v/>
      </c>
      <c r="Y4837" s="75" t="str">
        <f>IF(AND(OR(N4837="131",O4837="131"),H4837='131-CT'!$H$9),"x","")</f>
        <v/>
      </c>
      <c r="Z4837" s="75"/>
      <c r="AA4837" s="75" t="str">
        <f>IF(AND(MONTH(E4837)='IN-NX'!$J$5,'IN-NX'!$D$7=D4837),"x","")</f>
        <v/>
      </c>
      <c r="AB4837" s="75" t="str">
        <f>IF(AND(OR(LEFT(TH!N4410,2)="15",LEFT(TH!O4410,2)="15"),LEFT(TH!O4410,3)&lt;&gt;"111",'152-CT'!$J$8=TH!F4410),"x","")</f>
        <v/>
      </c>
      <c r="AC4837" s="75" t="str">
        <f>IF(AND(OR(LEFT(TH!N4410,2)="15",LEFT(TH!O4410,2)="15"),TK!$E$7=TH!F4410),"x","")</f>
        <v/>
      </c>
      <c r="AD4837" s="75" t="str">
        <f>IF(AND(N4837="1521",MONTH(C4837)='BK-NL'!$M$11),"x","")</f>
        <v/>
      </c>
    </row>
    <row r="4838" spans="1:33" ht="16.5" customHeight="1">
      <c r="A4838" s="309" t="str">
        <f>IF(B4838&lt;&gt;"",IF(AND(B4838='IN-TC'!$S$4,OR(TH!N4828="1111",TH!O4828="1111")),TH!D4828,""),"")</f>
        <v/>
      </c>
      <c r="B4838" s="1242">
        <f t="shared" si="1336"/>
        <v>9</v>
      </c>
      <c r="C4838" s="292">
        <f t="shared" si="1335"/>
        <v>42986</v>
      </c>
      <c r="D4838" s="292" t="s">
        <v>2493</v>
      </c>
      <c r="E4838" s="59">
        <v>42986</v>
      </c>
      <c r="F4838" s="62" t="s">
        <v>2102</v>
      </c>
      <c r="G4838" s="62" t="s">
        <v>747</v>
      </c>
      <c r="H4838" s="67" t="s">
        <v>1023</v>
      </c>
      <c r="I4838" s="373"/>
      <c r="J4838" s="382"/>
      <c r="K4838" s="373"/>
      <c r="L4838" s="379"/>
      <c r="M4838" s="60">
        <v>1000000000</v>
      </c>
      <c r="N4838" s="61" t="s">
        <v>26</v>
      </c>
      <c r="O4838" s="61" t="s">
        <v>63</v>
      </c>
      <c r="P4838" s="75" t="str">
        <f>IF(AND('331-CT'!$E$7=TH!H5442,OR(N4838="331",O4838="331")),"x","")</f>
        <v/>
      </c>
      <c r="Q4838" s="75" t="str">
        <f>IF(AND(B4838='111'!$L$11,OR($N4838=$Q$7,$O4838=$Q$7)),"x","")</f>
        <v/>
      </c>
      <c r="R4838" s="75" t="str">
        <f>IF(AND($N4838=$Q$7,$B4838&lt;'111'!$L$11),"x","")</f>
        <v/>
      </c>
      <c r="S4838" s="75" t="str">
        <f>IF(AND($O4838=$Q$7,$B4838&lt;'111'!$L$11),"x","")</f>
        <v>x</v>
      </c>
      <c r="T4838" s="75" t="str">
        <f>IF(ISERROR(FIND('112'!$M$9,G4838,1)),"",IF((AND(FIND('112'!$M$9,G4838,1)&gt;=1,B4838='112'!$K$9,OR($N4838='112'!$I$6,$O4838='112'!$I$6))),"x",""))</f>
        <v/>
      </c>
      <c r="U4838" s="75" t="str">
        <f>IF(ISERROR(FIND('112'!$M$9,G4838,1)),"",IF((AND(LEFT(G4838,2)=LEFT('112'!$M$9,2),B4838&lt;'112'!$K$9,$N4838='112'!$I$6)),"x",""))</f>
        <v/>
      </c>
      <c r="V4838" s="75" t="str">
        <f>IF(ISERROR(FIND('112'!$M$9,G4838,1)),"",IF((AND(RIGHT(G4838,2)=RIGHT('112'!$M$9,2),B4838&lt;'112'!$K$9,$O4838='112'!$I$6)),"x",""))</f>
        <v/>
      </c>
      <c r="W4838" s="75" t="str">
        <f>IF(AND('341-CT'!$H$9=H4838,OR(LEFT(N4838,3)=$W$7,LEFT(O4838,3)=$W$7)),"x","")</f>
        <v/>
      </c>
      <c r="X4838" s="75" t="str">
        <f>IF(OR(TH!N5442=TH!$X$7,O4838=TH!$X$7),"x","")</f>
        <v/>
      </c>
      <c r="Y4838" s="75" t="str">
        <f>IF(AND(OR(N4838="131",O4838="131"),H4838='131-CT'!$H$9),"x","")</f>
        <v/>
      </c>
      <c r="Z4838" s="75"/>
      <c r="AA4838" s="75" t="str">
        <f>IF(AND(MONTH(E4838)='IN-NX'!$J$5,'IN-NX'!$D$7=D4838),"x","")</f>
        <v/>
      </c>
      <c r="AB4838" s="75" t="str">
        <f>IF(AND(OR(LEFT(TH!N5442,2)="15",LEFT(TH!O5442,2)="15"),LEFT(TH!O5442,3)&lt;&gt;"111",'152-CT'!$J$8=TH!F5442),"x","")</f>
        <v/>
      </c>
      <c r="AC4838" s="75" t="str">
        <f>IF(AND(OR(LEFT(TH!N5442,2)="15",LEFT(TH!O5442,2)="15"),TK!$E$7=TH!F5442),"x","")</f>
        <v/>
      </c>
      <c r="AD4838" s="75" t="str">
        <f>IF(AND(N4838="1521",MONTH(C4838)='BK-NL'!$M$11),"x","")</f>
        <v/>
      </c>
    </row>
    <row r="4839" spans="1:33" ht="16.5" customHeight="1">
      <c r="A4839" s="309" t="str">
        <f>IF(B4839&lt;&gt;"",IF(AND(B4839='IN-TC'!$S$4,OR(TH!N4829="1111",TH!O4829="1111")),TH!D4829,""),"")</f>
        <v/>
      </c>
      <c r="B4839" s="1242">
        <f t="shared" si="1336"/>
        <v>9</v>
      </c>
      <c r="C4839" s="292">
        <f t="shared" si="1335"/>
        <v>42989</v>
      </c>
      <c r="D4839" s="292"/>
      <c r="E4839" s="292">
        <v>42989</v>
      </c>
      <c r="F4839" s="67" t="s">
        <v>1165</v>
      </c>
      <c r="G4839" s="925" t="s">
        <v>2148</v>
      </c>
      <c r="H4839" s="294" t="s">
        <v>1684</v>
      </c>
      <c r="I4839" s="373"/>
      <c r="J4839" s="926"/>
      <c r="K4839" s="373"/>
      <c r="L4839" s="379"/>
      <c r="M4839" s="927">
        <v>19762050</v>
      </c>
      <c r="N4839" s="295" t="s">
        <v>8</v>
      </c>
      <c r="O4839" s="295" t="s">
        <v>63</v>
      </c>
      <c r="P4839" s="75" t="str">
        <f>IF(AND('331-CT'!$E$7=TH!H3884,OR(N4839="331",O4839="331")),"x","")</f>
        <v/>
      </c>
      <c r="Q4839" s="75" t="str">
        <f>IF(AND(B4839='111'!$L$11,OR($N4839=$Q$7,$O4839=$Q$7)),"x","")</f>
        <v/>
      </c>
      <c r="R4839" s="75" t="str">
        <f>IF(AND($N4839=$Q$7,$B4839&lt;'111'!$L$11),"x","")</f>
        <v/>
      </c>
      <c r="S4839" s="75" t="str">
        <f>IF(AND($O4839=$Q$7,$B4839&lt;'111'!$L$11),"x","")</f>
        <v>x</v>
      </c>
      <c r="T4839" s="75" t="str">
        <f>IF(ISERROR(FIND('112'!$M$9,G4839,1)),"",IF((AND(FIND('112'!$M$9,G4839,1)&gt;=1,B4839='112'!$K$9,OR($N4839='112'!$I$6,$O4839='112'!$I$6))),"x",""))</f>
        <v/>
      </c>
      <c r="U4839" s="75" t="str">
        <f>IF(ISERROR(FIND('112'!$M$9,G4839,1)),"",IF((AND(LEFT(G4839,2)=LEFT('112'!$M$9,2),B4839&lt;'112'!$K$9,$N4839='112'!$I$6)),"x",""))</f>
        <v/>
      </c>
      <c r="V4839" s="75" t="str">
        <f>IF(ISERROR(FIND('112'!$M$9,G4839,1)),"",IF((AND(RIGHT(G4839,2)=RIGHT('112'!$M$9,2),B4839&lt;'112'!$K$9,$O4839='112'!$I$6)),"x",""))</f>
        <v/>
      </c>
      <c r="W4839" s="75" t="str">
        <f>IF(AND('341-CT'!$H$9=H4839,OR(LEFT(N4839,3)=$W$7,LEFT(O4839,3)=$W$7)),"x","")</f>
        <v/>
      </c>
      <c r="X4839" s="75" t="str">
        <f>IF(OR(TH!N3884=TH!$X$7,O4839=TH!$X$7),"x","")</f>
        <v/>
      </c>
      <c r="Y4839" s="75" t="str">
        <f>IF(AND(OR(N4839="131",O4839="131"),H4839='131-CT'!$H$9),"x","")</f>
        <v/>
      </c>
      <c r="Z4839" s="75"/>
      <c r="AA4839" s="75" t="str">
        <f>IF(AND(MONTH(E4839)='IN-NX'!$J$5,'IN-NX'!$D$7=D4839),"x","")</f>
        <v/>
      </c>
      <c r="AB4839" s="75" t="str">
        <f>IF(AND(OR(LEFT(TH!N3884,2)="15",LEFT(TH!O3884,2)="15"),LEFT(TH!O3884,3)&lt;&gt;"111",'152-CT'!$J$8=TH!F3884),"x","")</f>
        <v/>
      </c>
      <c r="AC4839" s="75" t="str">
        <f>IF(AND(OR(LEFT(TH!N3884,2)="15",LEFT(TH!O3884,2)="15"),TK!$E$7=TH!F3884),"x","")</f>
        <v/>
      </c>
      <c r="AD4839" s="75" t="str">
        <f>IF(AND(N4839="1521",MONTH(C4839)='BK-NL'!$M$11),"x","")</f>
        <v/>
      </c>
    </row>
    <row r="4840" spans="1:33" ht="16.5" customHeight="1">
      <c r="A4840" s="309" t="str">
        <f>IF(B4840&lt;&gt;"",IF(AND(B4840='IN-TC'!$S$4,OR(TH!N4830="1111",TH!O4830="1111")),TH!D4830,""),"")</f>
        <v/>
      </c>
      <c r="B4840" s="1242">
        <f t="shared" si="1336"/>
        <v>9</v>
      </c>
      <c r="C4840" s="292">
        <f t="shared" si="1335"/>
        <v>42989</v>
      </c>
      <c r="D4840" s="59" t="s">
        <v>903</v>
      </c>
      <c r="E4840" s="59">
        <v>42989</v>
      </c>
      <c r="F4840" s="67" t="s">
        <v>2411</v>
      </c>
      <c r="G4840" s="62" t="s">
        <v>1713</v>
      </c>
      <c r="H4840" s="73" t="s">
        <v>2915</v>
      </c>
      <c r="I4840" s="375"/>
      <c r="J4840" s="382"/>
      <c r="K4840" s="375">
        <v>433400</v>
      </c>
      <c r="L4840" s="381">
        <v>22721</v>
      </c>
      <c r="M4840" s="60">
        <f>ROUND(K4840*L4840,0)</f>
        <v>9847281400</v>
      </c>
      <c r="N4840" s="61" t="s">
        <v>26</v>
      </c>
      <c r="O4840" s="61" t="s">
        <v>250</v>
      </c>
      <c r="P4840" s="75" t="str">
        <f>IF(AND('331-CT'!$E$7=TH!H4482,OR(N4840="331",O4840="331")),"x","")</f>
        <v/>
      </c>
      <c r="Q4840" s="75" t="str">
        <f>IF(AND(B4840='111'!$L$11,OR($N4840=$Q$7,$O4840=$Q$7)),"x","")</f>
        <v/>
      </c>
      <c r="R4840" s="75" t="str">
        <f>IF(AND($N4840=$Q$7,$B4840&lt;'111'!$L$11),"x","")</f>
        <v/>
      </c>
      <c r="S4840" s="75" t="str">
        <f>IF(AND($O4840=$Q$7,$B4840&lt;'111'!$L$11),"x","")</f>
        <v/>
      </c>
      <c r="T4840" s="75" t="str">
        <f>IF(ISERROR(FIND('112'!$M$9,G4840,1)),"",IF((AND(FIND('112'!$M$9,G4840,1)&gt;=1,B4840='112'!$K$9,OR($N4840='112'!$I$6,$O4840='112'!$I$6))),"x",""))</f>
        <v/>
      </c>
      <c r="U4840" s="75" t="str">
        <f>IF(ISERROR(FIND('112'!$M$9,G4840,1)),"",IF((AND(LEFT(G4840,2)=LEFT('112'!$M$9,2),B4840&lt;'112'!$K$9,$N4840='112'!$I$6)),"x",""))</f>
        <v/>
      </c>
      <c r="V4840" s="75" t="str">
        <f>IF(ISERROR(FIND('112'!$M$9,G4840,1)),"",IF((AND(RIGHT(G4840,2)=RIGHT('112'!$M$9,2),B4840&lt;'112'!$K$9,$O4840='112'!$I$6)),"x",""))</f>
        <v/>
      </c>
      <c r="W4840" s="75" t="str">
        <f>IF(AND('341-CT'!$H$9=H4840,OR(LEFT(N4840,3)=$W$7,LEFT(O4840,3)=$W$7)),"x","")</f>
        <v/>
      </c>
      <c r="X4840" s="75" t="str">
        <f>IF(OR(TH!N4482=TH!$X$7,O4840=TH!$X$7),"x","")</f>
        <v/>
      </c>
      <c r="Y4840" s="75" t="str">
        <f>IF(AND(OR(N4840="131",O4840="131"),H4840='131-CT'!$H$9),"x","")</f>
        <v/>
      </c>
      <c r="Z4840" s="75"/>
      <c r="AA4840" s="75" t="str">
        <f>IF(AND(MONTH(E4840)='IN-NX'!$J$5,'IN-NX'!$D$7=D4840),"x","")</f>
        <v/>
      </c>
      <c r="AB4840" s="75" t="str">
        <f>IF(AND(OR(LEFT(TH!N4482,2)="15",LEFT(TH!O4482,2)="15"),LEFT(TH!O4482,3)&lt;&gt;"111",'152-CT'!$J$8=TH!F4482),"x","")</f>
        <v/>
      </c>
      <c r="AC4840" s="75" t="str">
        <f>IF(AND(OR(LEFT(TH!N4482,2)="15",LEFT(TH!O4482,2)="15"),TK!$E$7=TH!F4482),"x","")</f>
        <v/>
      </c>
      <c r="AD4840" s="75" t="str">
        <f>IF(AND(N4840="1521",MONTH(C4840)='BK-NL'!$M$11),"x","")</f>
        <v/>
      </c>
      <c r="AE4840" s="1053"/>
      <c r="AF4840" s="1053"/>
      <c r="AG4840" s="1053"/>
    </row>
    <row r="4841" spans="1:33" ht="16.5" customHeight="1">
      <c r="A4841" s="309" t="str">
        <f>IF(B4841&lt;&gt;"",IF(AND(B4841='IN-TC'!$S$4,OR(TH!N4831="1111",TH!O4831="1111")),TH!D4831,""),"")</f>
        <v/>
      </c>
      <c r="B4841" s="1242">
        <f t="shared" si="1336"/>
        <v>9</v>
      </c>
      <c r="C4841" s="292">
        <f t="shared" si="1335"/>
        <v>42989</v>
      </c>
      <c r="D4841" s="59" t="s">
        <v>902</v>
      </c>
      <c r="E4841" s="59">
        <v>42989</v>
      </c>
      <c r="F4841" s="67" t="s">
        <v>2039</v>
      </c>
      <c r="G4841" s="62" t="s">
        <v>1713</v>
      </c>
      <c r="H4841" s="67" t="s">
        <v>1771</v>
      </c>
      <c r="I4841" s="373"/>
      <c r="J4841" s="382"/>
      <c r="K4841" s="373"/>
      <c r="L4841" s="379"/>
      <c r="M4841" s="60">
        <v>10070000000</v>
      </c>
      <c r="N4841" s="61" t="s">
        <v>2415</v>
      </c>
      <c r="O4841" s="61" t="s">
        <v>26</v>
      </c>
      <c r="P4841" s="75" t="str">
        <f>IF(AND('331-CT'!$E$7=TH!H4483,OR(N4841="331",O4841="331")),"x","")</f>
        <v/>
      </c>
      <c r="Q4841" s="75" t="str">
        <f>IF(AND(B4841='111'!$L$11,OR($N4841=$Q$7,$O4841=$Q$7)),"x","")</f>
        <v/>
      </c>
      <c r="R4841" s="75" t="str">
        <f>IF(AND($N4841=$Q$7,$B4841&lt;'111'!$L$11),"x","")</f>
        <v/>
      </c>
      <c r="S4841" s="75" t="str">
        <f>IF(AND($O4841=$Q$7,$B4841&lt;'111'!$L$11),"x","")</f>
        <v/>
      </c>
      <c r="T4841" s="75" t="str">
        <f>IF(ISERROR(FIND('112'!$M$9,G4841,1)),"",IF((AND(FIND('112'!$M$9,G4841,1)&gt;=1,B4841='112'!$K$9,OR($N4841='112'!$I$6,$O4841='112'!$I$6))),"x",""))</f>
        <v/>
      </c>
      <c r="U4841" s="75" t="str">
        <f>IF(ISERROR(FIND('112'!$M$9,G4841,1)),"",IF((AND(LEFT(G4841,2)=LEFT('112'!$M$9,2),B4841&lt;'112'!$K$9,$N4841='112'!$I$6)),"x",""))</f>
        <v/>
      </c>
      <c r="V4841" s="75" t="str">
        <f>IF(ISERROR(FIND('112'!$M$9,G4841,1)),"",IF((AND(RIGHT(G4841,2)=RIGHT('112'!$M$9,2),B4841&lt;'112'!$K$9,$O4841='112'!$I$6)),"x",""))</f>
        <v/>
      </c>
      <c r="W4841" s="75" t="str">
        <f>IF(AND('341-CT'!$H$9=H4841,OR(LEFT(N4841,3)=$W$7,LEFT(O4841,3)=$W$7)),"x","")</f>
        <v/>
      </c>
      <c r="X4841" s="75" t="str">
        <f>IF(OR(TH!N4483=TH!$X$7,O4841=TH!$X$7),"x","")</f>
        <v/>
      </c>
      <c r="Y4841" s="75" t="str">
        <f>IF(AND(OR(N4841="131",O4841="131"),H4841='131-CT'!$H$9),"x","")</f>
        <v/>
      </c>
      <c r="Z4841" s="75"/>
      <c r="AA4841" s="75" t="str">
        <f>IF(AND(MONTH(E4841)='IN-NX'!$J$5,'IN-NX'!$D$7=D4841),"x","")</f>
        <v/>
      </c>
      <c r="AB4841" s="75" t="str">
        <f>IF(AND(OR(LEFT(TH!N4483,2)="15",LEFT(TH!O4483,2)="15"),LEFT(TH!O4483,3)&lt;&gt;"111",'152-CT'!$J$8=TH!F4483),"x","")</f>
        <v/>
      </c>
      <c r="AC4841" s="75" t="str">
        <f>IF(AND(OR(LEFT(TH!N4483,2)="15",LEFT(TH!O4483,2)="15"),TK!$E$7=TH!F4483),"x","")</f>
        <v/>
      </c>
      <c r="AD4841" s="75" t="str">
        <f>IF(AND(N4841="1521",MONTH(C4841)='BK-NL'!$M$11),"x","")</f>
        <v/>
      </c>
      <c r="AE4841" s="1053"/>
      <c r="AF4841" s="1053"/>
      <c r="AG4841" s="1053"/>
    </row>
    <row r="4842" spans="1:33" ht="16.5" customHeight="1">
      <c r="A4842" s="309" t="str">
        <f>IF(B4842&lt;&gt;"",IF(AND(B4842='IN-TC'!$S$4,OR(TH!N4832="1111",TH!O4832="1111")),TH!D4832,""),"")</f>
        <v/>
      </c>
      <c r="B4842" s="1242">
        <f t="shared" si="1336"/>
        <v>9</v>
      </c>
      <c r="C4842" s="292">
        <f t="shared" si="1335"/>
        <v>42990</v>
      </c>
      <c r="D4842" s="59" t="s">
        <v>853</v>
      </c>
      <c r="E4842" s="59">
        <v>42990</v>
      </c>
      <c r="F4842" s="62" t="s">
        <v>834</v>
      </c>
      <c r="G4842" s="62" t="s">
        <v>747</v>
      </c>
      <c r="H4842" s="67" t="s">
        <v>1023</v>
      </c>
      <c r="I4842" s="373"/>
      <c r="J4842" s="382"/>
      <c r="K4842" s="373"/>
      <c r="L4842" s="379"/>
      <c r="M4842" s="60">
        <v>1000000000</v>
      </c>
      <c r="N4842" s="61" t="s">
        <v>63</v>
      </c>
      <c r="O4842" s="61" t="s">
        <v>26</v>
      </c>
      <c r="P4842" s="75" t="str">
        <f>IF(AND('331-CT'!$E$7=TH!H5447,OR(N4842="331",O4842="331")),"x","")</f>
        <v/>
      </c>
      <c r="Q4842" s="75" t="str">
        <f>IF(AND(B4842='111'!$L$11,OR($N4842=$Q$7,$O4842=$Q$7)),"x","")</f>
        <v/>
      </c>
      <c r="R4842" s="75" t="str">
        <f>IF(AND($N4842=$Q$7,$B4842&lt;'111'!$L$11),"x","")</f>
        <v>x</v>
      </c>
      <c r="S4842" s="75" t="str">
        <f>IF(AND($O4842=$Q$7,$B4842&lt;'111'!$L$11),"x","")</f>
        <v/>
      </c>
      <c r="T4842" s="75" t="str">
        <f>IF(ISERROR(FIND('112'!$M$9,G4842,1)),"",IF((AND(FIND('112'!$M$9,G4842,1)&gt;=1,B4842='112'!$K$9,OR($N4842='112'!$I$6,$O4842='112'!$I$6))),"x",""))</f>
        <v/>
      </c>
      <c r="U4842" s="75" t="str">
        <f>IF(ISERROR(FIND('112'!$M$9,G4842,1)),"",IF((AND(LEFT(G4842,2)=LEFT('112'!$M$9,2),B4842&lt;'112'!$K$9,$N4842='112'!$I$6)),"x",""))</f>
        <v/>
      </c>
      <c r="V4842" s="75" t="str">
        <f>IF(ISERROR(FIND('112'!$M$9,G4842,1)),"",IF((AND(RIGHT(G4842,2)=RIGHT('112'!$M$9,2),B4842&lt;'112'!$K$9,$O4842='112'!$I$6)),"x",""))</f>
        <v/>
      </c>
      <c r="W4842" s="75" t="str">
        <f>IF(AND('341-CT'!$H$9=H4842,OR(LEFT(N4842,3)=$W$7,LEFT(O4842,3)=$W$7)),"x","")</f>
        <v/>
      </c>
      <c r="X4842" s="75" t="str">
        <f>IF(OR(TH!N5447=TH!$X$7,O4842=TH!$X$7),"x","")</f>
        <v/>
      </c>
      <c r="Y4842" s="75" t="str">
        <f>IF(AND(OR(N4842="131",O4842="131"),H4842='131-CT'!$H$9),"x","")</f>
        <v/>
      </c>
      <c r="Z4842" s="75"/>
      <c r="AA4842" s="75" t="str">
        <f>IF(AND(MONTH(E4842)='IN-NX'!$J$5,'IN-NX'!$D$7=D4842),"x","")</f>
        <v/>
      </c>
      <c r="AB4842" s="75" t="str">
        <f>IF(AND(OR(LEFT(TH!N5447,2)="15",LEFT(TH!O5447,2)="15"),LEFT(TH!O5447,3)&lt;&gt;"111",'152-CT'!$J$8=TH!F5447),"x","")</f>
        <v/>
      </c>
      <c r="AC4842" s="75" t="str">
        <f>IF(AND(OR(LEFT(TH!N5447,2)="15",LEFT(TH!O5447,2)="15"),TK!$E$7=TH!F5447),"x","")</f>
        <v/>
      </c>
      <c r="AD4842" s="75" t="str">
        <f>IF(AND(N4842="1521",MONTH(C4842)='BK-NL'!$M$11),"x","")</f>
        <v/>
      </c>
    </row>
    <row r="4843" spans="1:33" ht="16.5" customHeight="1">
      <c r="A4843" s="309" t="str">
        <f>IF(B4843&lt;&gt;"",IF(AND(B4843='IN-TC'!$S$4,OR(TH!N4833="1111",TH!O4833="1111")),TH!D4833,""),"")</f>
        <v/>
      </c>
      <c r="B4843" s="1243">
        <f t="shared" si="1336"/>
        <v>9</v>
      </c>
      <c r="C4843" s="292">
        <f t="shared" si="1335"/>
        <v>42990</v>
      </c>
      <c r="D4843" s="292"/>
      <c r="E4843" s="292">
        <v>42990</v>
      </c>
      <c r="F4843" s="1010" t="s">
        <v>1881</v>
      </c>
      <c r="G4843" s="925"/>
      <c r="H4843" s="311" t="s">
        <v>1882</v>
      </c>
      <c r="I4843" s="373"/>
      <c r="J4843" s="926"/>
      <c r="K4843" s="373"/>
      <c r="L4843" s="379"/>
      <c r="M4843" s="927">
        <v>716757000</v>
      </c>
      <c r="N4843" s="295" t="s">
        <v>8</v>
      </c>
      <c r="O4843" s="295" t="s">
        <v>63</v>
      </c>
      <c r="P4843" s="75" t="str">
        <f>IF(AND('331-CT'!$E$7=TH!H4333,OR(N4843="331",O4843="331")),"x","")</f>
        <v/>
      </c>
      <c r="Q4843" s="75" t="str">
        <f>IF(AND(B4843='111'!$L$11,OR($N4843=$Q$7,$O4843=$Q$7)),"x","")</f>
        <v/>
      </c>
      <c r="R4843" s="75" t="str">
        <f>IF(AND($N4843=$Q$7,$B4843&lt;'111'!$L$11),"x","")</f>
        <v/>
      </c>
      <c r="S4843" s="75" t="str">
        <f>IF(AND($O4843=$Q$7,$B4843&lt;'111'!$L$11),"x","")</f>
        <v>x</v>
      </c>
      <c r="T4843" s="75" t="str">
        <f>IF(ISERROR(FIND('112'!$M$9,G4843,1)),"",IF((AND(FIND('112'!$M$9,G4843,1)&gt;=1,B4843='112'!$K$9,OR($N4843='112'!$I$6,$O4843='112'!$I$6))),"x",""))</f>
        <v/>
      </c>
      <c r="U4843" s="75" t="str">
        <f>IF(ISERROR(FIND('112'!$M$9,G4843,1)),"",IF((AND(LEFT(G4843,2)=LEFT('112'!$M$9,2),B4843&lt;'112'!$K$9,$N4843='112'!$I$6)),"x",""))</f>
        <v/>
      </c>
      <c r="V4843" s="75" t="str">
        <f>IF(ISERROR(FIND('112'!$M$9,G4843,1)),"",IF((AND(RIGHT(G4843,2)=RIGHT('112'!$M$9,2),B4843&lt;'112'!$K$9,$O4843='112'!$I$6)),"x",""))</f>
        <v/>
      </c>
      <c r="W4843" s="75" t="str">
        <f>IF(AND('341-CT'!$H$9=H4843,OR(LEFT(N4843,3)=$W$7,LEFT(O4843,3)=$W$7)),"x","")</f>
        <v/>
      </c>
      <c r="X4843" s="75" t="str">
        <f>IF(OR(TH!N4333=TH!$X$7,O4843=TH!$X$7),"x","")</f>
        <v/>
      </c>
      <c r="Y4843" s="75" t="str">
        <f>IF(AND(OR(N4843="131",O4843="131"),H4843='131-CT'!$H$9),"x","")</f>
        <v/>
      </c>
      <c r="Z4843" s="75"/>
      <c r="AA4843" s="75" t="str">
        <f>IF(AND(MONTH(E4843)='IN-NX'!$J$5,'IN-NX'!$D$7=D4843),"x","")</f>
        <v/>
      </c>
      <c r="AB4843" s="75" t="str">
        <f>IF(AND(OR(LEFT(TH!N4333,2)="15",LEFT(TH!O4333,2)="15"),LEFT(TH!O4333,3)&lt;&gt;"111",'152-CT'!$J$8=TH!F4333),"x","")</f>
        <v/>
      </c>
      <c r="AC4843" s="75" t="str">
        <f>IF(AND(OR(LEFT(TH!N4333,2)="15",LEFT(TH!O4333,2)="15"),TK!$E$7=TH!F4333),"x","")</f>
        <v/>
      </c>
      <c r="AD4843" s="75" t="str">
        <f>IF(AND(N4843="1521",MONTH(C4843)='BK-NL'!$M$11),"x","")</f>
        <v/>
      </c>
    </row>
    <row r="4844" spans="1:33" ht="16.5" customHeight="1">
      <c r="A4844" s="309" t="str">
        <f>IF(B4844&lt;&gt;"",IF(AND(B4844='IN-TC'!$S$4,OR(TH!N4834="1111",TH!O4834="1111")),TH!D4834,""),"")</f>
        <v/>
      </c>
      <c r="B4844" s="1243">
        <f t="shared" si="1336"/>
        <v>9</v>
      </c>
      <c r="C4844" s="292">
        <f t="shared" si="1335"/>
        <v>42990</v>
      </c>
      <c r="D4844" s="292"/>
      <c r="E4844" s="292">
        <v>42990</v>
      </c>
      <c r="F4844" s="1010" t="s">
        <v>1883</v>
      </c>
      <c r="G4844" s="925"/>
      <c r="H4844" s="311"/>
      <c r="I4844" s="373"/>
      <c r="J4844" s="926"/>
      <c r="K4844" s="373"/>
      <c r="L4844" s="379"/>
      <c r="M4844" s="927">
        <f>215027+21503</f>
        <v>236530</v>
      </c>
      <c r="N4844" s="295" t="s">
        <v>101</v>
      </c>
      <c r="O4844" s="295" t="s">
        <v>63</v>
      </c>
      <c r="P4844" s="75" t="str">
        <f>IF(AND('331-CT'!$E$7=TH!H4334,OR(N4844="331",O4844="331")),"x","")</f>
        <v/>
      </c>
      <c r="Q4844" s="75" t="str">
        <f>IF(AND(B4844='111'!$L$11,OR($N4844=$Q$7,$O4844=$Q$7)),"x","")</f>
        <v/>
      </c>
      <c r="R4844" s="75" t="str">
        <f>IF(AND($N4844=$Q$7,$B4844&lt;'111'!$L$11),"x","")</f>
        <v/>
      </c>
      <c r="S4844" s="75" t="str">
        <f>IF(AND($O4844=$Q$7,$B4844&lt;'111'!$L$11),"x","")</f>
        <v>x</v>
      </c>
      <c r="T4844" s="75" t="str">
        <f>IF(ISERROR(FIND('112'!$M$9,G4844,1)),"",IF((AND(FIND('112'!$M$9,G4844,1)&gt;=1,B4844='112'!$K$9,OR($N4844='112'!$I$6,$O4844='112'!$I$6))),"x",""))</f>
        <v/>
      </c>
      <c r="U4844" s="75" t="str">
        <f>IF(ISERROR(FIND('112'!$M$9,G4844,1)),"",IF((AND(LEFT(G4844,2)=LEFT('112'!$M$9,2),B4844&lt;'112'!$K$9,$N4844='112'!$I$6)),"x",""))</f>
        <v/>
      </c>
      <c r="V4844" s="75" t="str">
        <f>IF(ISERROR(FIND('112'!$M$9,G4844,1)),"",IF((AND(RIGHT(G4844,2)=RIGHT('112'!$M$9,2),B4844&lt;'112'!$K$9,$O4844='112'!$I$6)),"x",""))</f>
        <v/>
      </c>
      <c r="W4844" s="75" t="str">
        <f>IF(AND('341-CT'!$H$9=H4844,OR(LEFT(N4844,3)=$W$7,LEFT(O4844,3)=$W$7)),"x","")</f>
        <v/>
      </c>
      <c r="X4844" s="75" t="str">
        <f>IF(OR(TH!N4334=TH!$X$7,O4844=TH!$X$7),"x","")</f>
        <v/>
      </c>
      <c r="Y4844" s="75" t="str">
        <f>IF(AND(OR(N4844="131",O4844="131"),H4844='131-CT'!$H$9),"x","")</f>
        <v/>
      </c>
      <c r="Z4844" s="75"/>
      <c r="AA4844" s="75" t="str">
        <f>IF(AND(MONTH(E4844)='IN-NX'!$J$5,'IN-NX'!$D$7=D4844),"x","")</f>
        <v/>
      </c>
      <c r="AB4844" s="75" t="str">
        <f>IF(AND(OR(LEFT(TH!N4334,2)="15",LEFT(TH!O4334,2)="15"),LEFT(TH!O4334,3)&lt;&gt;"111",'152-CT'!$J$8=TH!F4334),"x","")</f>
        <v/>
      </c>
      <c r="AC4844" s="75" t="str">
        <f>IF(AND(OR(LEFT(TH!N4334,2)="15",LEFT(TH!O4334,2)="15"),TK!$E$7=TH!F4334),"x","")</f>
        <v/>
      </c>
      <c r="AD4844" s="75" t="str">
        <f>IF(AND(N4844="1521",MONTH(C4844)='BK-NL'!$M$11),"x","")</f>
        <v/>
      </c>
    </row>
    <row r="4845" spans="1:33" ht="16.5" customHeight="1">
      <c r="A4845" s="309" t="str">
        <f>IF(B4845&lt;&gt;"",IF(AND(B4845='IN-TC'!$S$4,OR(TH!N4835="1111",TH!O4835="1111")),TH!D4835,""),"")</f>
        <v/>
      </c>
      <c r="B4845" s="1242">
        <f t="shared" si="1336"/>
        <v>9</v>
      </c>
      <c r="C4845" s="292">
        <f t="shared" si="1335"/>
        <v>42990</v>
      </c>
      <c r="D4845" s="59" t="s">
        <v>902</v>
      </c>
      <c r="E4845" s="59">
        <v>42990</v>
      </c>
      <c r="F4845" s="67" t="s">
        <v>2261</v>
      </c>
      <c r="G4845" s="62" t="s">
        <v>1713</v>
      </c>
      <c r="H4845" s="67" t="s">
        <v>1771</v>
      </c>
      <c r="I4845" s="375"/>
      <c r="J4845" s="382"/>
      <c r="K4845" s="375"/>
      <c r="L4845" s="381"/>
      <c r="M4845" s="60">
        <v>20000</v>
      </c>
      <c r="N4845" s="61" t="s">
        <v>101</v>
      </c>
      <c r="O4845" s="61" t="s">
        <v>26</v>
      </c>
      <c r="P4845" s="75" t="str">
        <f>IF(AND('331-CT'!$E$7=TH!H4484,OR(N4845="331",O4845="331")),"x","")</f>
        <v/>
      </c>
      <c r="Q4845" s="75" t="str">
        <f>IF(AND(B4845='111'!$L$11,OR($N4845=$Q$7,$O4845=$Q$7)),"x","")</f>
        <v/>
      </c>
      <c r="R4845" s="75" t="str">
        <f>IF(AND($N4845=$Q$7,$B4845&lt;'111'!$L$11),"x","")</f>
        <v/>
      </c>
      <c r="S4845" s="75" t="str">
        <f>IF(AND($O4845=$Q$7,$B4845&lt;'111'!$L$11),"x","")</f>
        <v/>
      </c>
      <c r="T4845" s="75" t="str">
        <f>IF(ISERROR(FIND('112'!$M$9,G4845,1)),"",IF((AND(FIND('112'!$M$9,G4845,1)&gt;=1,B4845='112'!$K$9,OR($N4845='112'!$I$6,$O4845='112'!$I$6))),"x",""))</f>
        <v/>
      </c>
      <c r="U4845" s="75" t="str">
        <f>IF(ISERROR(FIND('112'!$M$9,G4845,1)),"",IF((AND(LEFT(G4845,2)=LEFT('112'!$M$9,2),B4845&lt;'112'!$K$9,$N4845='112'!$I$6)),"x",""))</f>
        <v/>
      </c>
      <c r="V4845" s="75" t="str">
        <f>IF(ISERROR(FIND('112'!$M$9,G4845,1)),"",IF((AND(RIGHT(G4845,2)=RIGHT('112'!$M$9,2),B4845&lt;'112'!$K$9,$O4845='112'!$I$6)),"x",""))</f>
        <v/>
      </c>
      <c r="W4845" s="75" t="str">
        <f>IF(AND('341-CT'!$H$9=H4845,OR(LEFT(N4845,3)=$W$7,LEFT(O4845,3)=$W$7)),"x","")</f>
        <v/>
      </c>
      <c r="X4845" s="75" t="str">
        <f>IF(OR(TH!N4484=TH!$X$7,O4845=TH!$X$7),"x","")</f>
        <v/>
      </c>
      <c r="Y4845" s="75" t="str">
        <f>IF(AND(OR(N4845="131",O4845="131"),H4845='131-CT'!$H$9),"x","")</f>
        <v/>
      </c>
      <c r="Z4845" s="75"/>
      <c r="AA4845" s="75" t="str">
        <f>IF(AND(MONTH(E4845)='IN-NX'!$J$5,'IN-NX'!$D$7=D4845),"x","")</f>
        <v/>
      </c>
      <c r="AB4845" s="75" t="str">
        <f>IF(AND(OR(LEFT(TH!N4484,2)="15",LEFT(TH!O4484,2)="15"),LEFT(TH!O4484,3)&lt;&gt;"111",'152-CT'!$J$8=TH!F4484),"x","")</f>
        <v/>
      </c>
      <c r="AC4845" s="75" t="str">
        <f>IF(AND(OR(LEFT(TH!N4484,2)="15",LEFT(TH!O4484,2)="15"),TK!$E$7=TH!F4484),"x","")</f>
        <v/>
      </c>
      <c r="AD4845" s="75" t="str">
        <f>IF(AND(N4845="1521",MONTH(C4845)='BK-NL'!$M$11),"x","")</f>
        <v/>
      </c>
      <c r="AE4845">
        <v>9</v>
      </c>
      <c r="AF4845" s="1053"/>
      <c r="AG4845" s="1053"/>
    </row>
    <row r="4846" spans="1:33" ht="16.5" customHeight="1">
      <c r="A4846" s="309" t="str">
        <f>IF(B4846&lt;&gt;"",IF(AND(B4846='IN-TC'!$S$4,OR(TH!N4836="1111",TH!O4836="1111")),TH!D4836,""),"")</f>
        <v/>
      </c>
      <c r="B4846" s="1242">
        <f t="shared" si="1336"/>
        <v>9</v>
      </c>
      <c r="C4846" s="292">
        <f t="shared" si="1335"/>
        <v>42990</v>
      </c>
      <c r="D4846" s="59" t="s">
        <v>902</v>
      </c>
      <c r="E4846" s="59">
        <v>42990</v>
      </c>
      <c r="F4846" s="67" t="s">
        <v>2262</v>
      </c>
      <c r="G4846" s="62" t="s">
        <v>1713</v>
      </c>
      <c r="H4846" s="67" t="s">
        <v>1771</v>
      </c>
      <c r="I4846" s="375"/>
      <c r="J4846" s="382"/>
      <c r="K4846" s="375"/>
      <c r="L4846" s="381"/>
      <c r="M4846" s="60">
        <v>2000</v>
      </c>
      <c r="N4846" s="61" t="s">
        <v>9</v>
      </c>
      <c r="O4846" s="61" t="s">
        <v>26</v>
      </c>
      <c r="P4846" s="75" t="str">
        <f>IF(AND('331-CT'!$E$7=TH!H4485,OR(N4846="331",O4846="331")),"x","")</f>
        <v/>
      </c>
      <c r="Q4846" s="75" t="str">
        <f>IF(AND(B4846='111'!$L$11,OR($N4846=$Q$7,$O4846=$Q$7)),"x","")</f>
        <v/>
      </c>
      <c r="R4846" s="75" t="str">
        <f>IF(AND($N4846=$Q$7,$B4846&lt;'111'!$L$11),"x","")</f>
        <v/>
      </c>
      <c r="S4846" s="75" t="str">
        <f>IF(AND($O4846=$Q$7,$B4846&lt;'111'!$L$11),"x","")</f>
        <v/>
      </c>
      <c r="T4846" s="75" t="str">
        <f>IF(ISERROR(FIND('112'!$M$9,G4846,1)),"",IF((AND(FIND('112'!$M$9,G4846,1)&gt;=1,B4846='112'!$K$9,OR($N4846='112'!$I$6,$O4846='112'!$I$6))),"x",""))</f>
        <v/>
      </c>
      <c r="U4846" s="75" t="str">
        <f>IF(ISERROR(FIND('112'!$M$9,G4846,1)),"",IF((AND(LEFT(G4846,2)=LEFT('112'!$M$9,2),B4846&lt;'112'!$K$9,$N4846='112'!$I$6)),"x",""))</f>
        <v/>
      </c>
      <c r="V4846" s="75" t="str">
        <f>IF(ISERROR(FIND('112'!$M$9,G4846,1)),"",IF((AND(RIGHT(G4846,2)=RIGHT('112'!$M$9,2),B4846&lt;'112'!$K$9,$O4846='112'!$I$6)),"x",""))</f>
        <v/>
      </c>
      <c r="W4846" s="75" t="str">
        <f>IF(AND('341-CT'!$H$9=H4846,OR(LEFT(N4846,3)=$W$7,LEFT(O4846,3)=$W$7)),"x","")</f>
        <v/>
      </c>
      <c r="X4846" s="75" t="str">
        <f>IF(OR(TH!N4485=TH!$X$7,O4846=TH!$X$7),"x","")</f>
        <v/>
      </c>
      <c r="Y4846" s="75" t="str">
        <f>IF(AND(OR(N4846="131",O4846="131"),H4846='131-CT'!$H$9),"x","")</f>
        <v/>
      </c>
      <c r="Z4846" s="75"/>
      <c r="AA4846" s="75" t="str">
        <f>IF(AND(MONTH(E4846)='IN-NX'!$J$5,'IN-NX'!$D$7=D4846),"x","")</f>
        <v/>
      </c>
      <c r="AB4846" s="75" t="str">
        <f>IF(AND(OR(LEFT(TH!N4485,2)="15",LEFT(TH!O4485,2)="15"),LEFT(TH!O4485,3)&lt;&gt;"111",'152-CT'!$J$8=TH!F4485),"x","")</f>
        <v/>
      </c>
      <c r="AC4846" s="75" t="str">
        <f>IF(AND(OR(LEFT(TH!N4485,2)="15",LEFT(TH!O4485,2)="15"),TK!$E$7=TH!F4485),"x","")</f>
        <v/>
      </c>
      <c r="AD4846" s="75" t="str">
        <f>IF(AND(N4846="1521",MONTH(C4846)='BK-NL'!$M$11),"x","")</f>
        <v/>
      </c>
      <c r="AE4846">
        <v>9</v>
      </c>
      <c r="AF4846" s="1053"/>
      <c r="AG4846" s="1053"/>
    </row>
    <row r="4847" spans="1:33" ht="16.5" customHeight="1">
      <c r="A4847" s="309" t="str">
        <f>IF(B4847&lt;&gt;"",IF(AND(B4847='IN-TC'!$S$4,OR(TH!N4837="1111",TH!O4837="1111")),TH!D4837,""),"")</f>
        <v/>
      </c>
      <c r="B4847" s="1242">
        <f t="shared" si="1336"/>
        <v>9</v>
      </c>
      <c r="C4847" s="292">
        <f t="shared" si="1335"/>
        <v>42991</v>
      </c>
      <c r="D4847" s="292" t="s">
        <v>2493</v>
      </c>
      <c r="E4847" s="292">
        <v>42991</v>
      </c>
      <c r="F4847" s="67" t="s">
        <v>885</v>
      </c>
      <c r="G4847" s="943" t="s">
        <v>1713</v>
      </c>
      <c r="H4847" s="294" t="s">
        <v>1023</v>
      </c>
      <c r="I4847" s="373"/>
      <c r="J4847" s="926"/>
      <c r="K4847" s="373"/>
      <c r="L4847" s="379"/>
      <c r="M4847" s="927">
        <v>30000</v>
      </c>
      <c r="N4847" s="295" t="s">
        <v>26</v>
      </c>
      <c r="O4847" s="295" t="s">
        <v>63</v>
      </c>
      <c r="P4847" s="75" t="str">
        <f>IF(AND('331-CT'!$E$7=TH!H4486,OR(N4847="331",O4847="331")),"x","")</f>
        <v/>
      </c>
      <c r="Q4847" s="75" t="str">
        <f>IF(AND(B4847='111'!$L$11,OR($N4847=$Q$7,$O4847=$Q$7)),"x","")</f>
        <v/>
      </c>
      <c r="R4847" s="75" t="str">
        <f>IF(AND($N4847=$Q$7,$B4847&lt;'111'!$L$11),"x","")</f>
        <v/>
      </c>
      <c r="S4847" s="75" t="str">
        <f>IF(AND($O4847=$Q$7,$B4847&lt;'111'!$L$11),"x","")</f>
        <v>x</v>
      </c>
      <c r="T4847" s="75" t="str">
        <f>IF(ISERROR(FIND('112'!$M$9,G4847,1)),"",IF((AND(FIND('112'!$M$9,G4847,1)&gt;=1,B4847='112'!$K$9,OR($N4847='112'!$I$6,$O4847='112'!$I$6))),"x",""))</f>
        <v/>
      </c>
      <c r="U4847" s="75" t="str">
        <f>IF(ISERROR(FIND('112'!$M$9,G4847,1)),"",IF((AND(LEFT(G4847,2)=LEFT('112'!$M$9,2),B4847&lt;'112'!$K$9,$N4847='112'!$I$6)),"x",""))</f>
        <v/>
      </c>
      <c r="V4847" s="75" t="str">
        <f>IF(ISERROR(FIND('112'!$M$9,G4847,1)),"",IF((AND(RIGHT(G4847,2)=RIGHT('112'!$M$9,2),B4847&lt;'112'!$K$9,$O4847='112'!$I$6)),"x",""))</f>
        <v/>
      </c>
      <c r="W4847" s="75" t="str">
        <f>IF(AND('341-CT'!$H$9=H4847,OR(LEFT(N4847,3)=$W$7,LEFT(O4847,3)=$W$7)),"x","")</f>
        <v/>
      </c>
      <c r="X4847" s="75" t="str">
        <f>IF(OR(TH!N4486=TH!$X$7,O4847=TH!$X$7),"x","")</f>
        <v/>
      </c>
      <c r="Y4847" s="75" t="str">
        <f>IF(AND(OR(N4847="131",O4847="131"),H4847='131-CT'!$H$9),"x","")</f>
        <v/>
      </c>
      <c r="Z4847" s="75"/>
      <c r="AA4847" s="75" t="str">
        <f>IF(AND(MONTH(E4847)='IN-NX'!$J$5,'IN-NX'!$D$7=D4847),"x","")</f>
        <v/>
      </c>
      <c r="AB4847" s="75" t="str">
        <f>IF(AND(OR(LEFT(TH!N4486,2)="15",LEFT(TH!O4486,2)="15"),LEFT(TH!O4486,3)&lt;&gt;"111",'152-CT'!$J$8=TH!F4486),"x","")</f>
        <v/>
      </c>
      <c r="AC4847" s="75" t="str">
        <f>IF(AND(OR(LEFT(TH!N4486,2)="15",LEFT(TH!O4486,2)="15"),TK!$E$7=TH!F4486),"x","")</f>
        <v/>
      </c>
      <c r="AD4847" s="75" t="str">
        <f>IF(AND(N4847="1521",MONTH(C4847)='BK-NL'!$M$11),"x","")</f>
        <v/>
      </c>
      <c r="AE4847" s="1053"/>
      <c r="AF4847" s="1053"/>
      <c r="AG4847" s="1053"/>
    </row>
    <row r="4848" spans="1:33" ht="16.5" customHeight="1">
      <c r="A4848" s="309" t="str">
        <f>IF(B4848&lt;&gt;"",IF(AND(B4848='IN-TC'!$S$4,OR(TH!N4838="1111",TH!O4838="1111")),TH!D4838,""),"")</f>
        <v/>
      </c>
      <c r="B4848" s="1242">
        <f t="shared" si="1336"/>
        <v>9</v>
      </c>
      <c r="C4848" s="292">
        <f t="shared" si="1335"/>
        <v>42991</v>
      </c>
      <c r="D4848" s="59" t="s">
        <v>902</v>
      </c>
      <c r="E4848" s="59">
        <v>42991</v>
      </c>
      <c r="F4848" s="67" t="s">
        <v>2261</v>
      </c>
      <c r="G4848" s="62" t="s">
        <v>1713</v>
      </c>
      <c r="H4848" s="67" t="s">
        <v>1771</v>
      </c>
      <c r="I4848" s="375"/>
      <c r="J4848" s="382"/>
      <c r="K4848" s="375"/>
      <c r="L4848" s="381"/>
      <c r="M4848" s="60">
        <v>20000</v>
      </c>
      <c r="N4848" s="61" t="s">
        <v>101</v>
      </c>
      <c r="O4848" s="61" t="s">
        <v>26</v>
      </c>
      <c r="P4848" s="75" t="str">
        <f>IF(AND('331-CT'!$E$7=TH!H4487,OR(N4848="331",O4848="331")),"x","")</f>
        <v/>
      </c>
      <c r="Q4848" s="75" t="str">
        <f>IF(AND(B4848='111'!$L$11,OR($N4848=$Q$7,$O4848=$Q$7)),"x","")</f>
        <v/>
      </c>
      <c r="R4848" s="75" t="str">
        <f>IF(AND($N4848=$Q$7,$B4848&lt;'111'!$L$11),"x","")</f>
        <v/>
      </c>
      <c r="S4848" s="75" t="str">
        <f>IF(AND($O4848=$Q$7,$B4848&lt;'111'!$L$11),"x","")</f>
        <v/>
      </c>
      <c r="T4848" s="75" t="str">
        <f>IF(ISERROR(FIND('112'!$M$9,G4848,1)),"",IF((AND(FIND('112'!$M$9,G4848,1)&gt;=1,B4848='112'!$K$9,OR($N4848='112'!$I$6,$O4848='112'!$I$6))),"x",""))</f>
        <v/>
      </c>
      <c r="U4848" s="75" t="str">
        <f>IF(ISERROR(FIND('112'!$M$9,G4848,1)),"",IF((AND(LEFT(G4848,2)=LEFT('112'!$M$9,2),B4848&lt;'112'!$K$9,$N4848='112'!$I$6)),"x",""))</f>
        <v/>
      </c>
      <c r="V4848" s="75" t="str">
        <f>IF(ISERROR(FIND('112'!$M$9,G4848,1)),"",IF((AND(RIGHT(G4848,2)=RIGHT('112'!$M$9,2),B4848&lt;'112'!$K$9,$O4848='112'!$I$6)),"x",""))</f>
        <v/>
      </c>
      <c r="W4848" s="75" t="str">
        <f>IF(AND('341-CT'!$H$9=H4848,OR(LEFT(N4848,3)=$W$7,LEFT(O4848,3)=$W$7)),"x","")</f>
        <v/>
      </c>
      <c r="X4848" s="75" t="str">
        <f>IF(OR(TH!N4487=TH!$X$7,O4848=TH!$X$7),"x","")</f>
        <v/>
      </c>
      <c r="Y4848" s="75" t="str">
        <f>IF(AND(OR(N4848="131",O4848="131"),H4848='131-CT'!$H$9),"x","")</f>
        <v/>
      </c>
      <c r="Z4848" s="75"/>
      <c r="AA4848" s="75" t="str">
        <f>IF(AND(MONTH(E4848)='IN-NX'!$J$5,'IN-NX'!$D$7=D4848),"x","")</f>
        <v/>
      </c>
      <c r="AB4848" s="75" t="str">
        <f>IF(AND(OR(LEFT(TH!N4487,2)="15",LEFT(TH!O4487,2)="15"),LEFT(TH!O4487,3)&lt;&gt;"111",'152-CT'!$J$8=TH!F4487),"x","")</f>
        <v/>
      </c>
      <c r="AC4848" s="75" t="str">
        <f>IF(AND(OR(LEFT(TH!N4487,2)="15",LEFT(TH!O4487,2)="15"),TK!$E$7=TH!F4487),"x","")</f>
        <v/>
      </c>
      <c r="AD4848" s="75" t="str">
        <f>IF(AND(N4848="1521",MONTH(C4848)='BK-NL'!$M$11),"x","")</f>
        <v/>
      </c>
      <c r="AE4848">
        <v>9</v>
      </c>
      <c r="AF4848" s="1053"/>
      <c r="AG4848" s="1053"/>
    </row>
    <row r="4849" spans="1:33" ht="16.5" customHeight="1">
      <c r="A4849" s="309" t="str">
        <f>IF(B4849&lt;&gt;"",IF(AND(B4849='IN-TC'!$S$4,OR(TH!N4839="1111",TH!O4839="1111")),TH!D4839,""),"")</f>
        <v/>
      </c>
      <c r="B4849" s="1242">
        <f t="shared" si="1336"/>
        <v>9</v>
      </c>
      <c r="C4849" s="292">
        <f t="shared" si="1335"/>
        <v>42991</v>
      </c>
      <c r="D4849" s="59" t="s">
        <v>902</v>
      </c>
      <c r="E4849" s="59">
        <v>42991</v>
      </c>
      <c r="F4849" s="67" t="s">
        <v>2262</v>
      </c>
      <c r="G4849" s="62" t="s">
        <v>1713</v>
      </c>
      <c r="H4849" s="67" t="s">
        <v>1771</v>
      </c>
      <c r="I4849" s="375"/>
      <c r="J4849" s="382"/>
      <c r="K4849" s="375"/>
      <c r="L4849" s="381"/>
      <c r="M4849" s="60">
        <v>2000</v>
      </c>
      <c r="N4849" s="61" t="s">
        <v>9</v>
      </c>
      <c r="O4849" s="61" t="s">
        <v>26</v>
      </c>
      <c r="P4849" s="75" t="str">
        <f>IF(AND('331-CT'!$E$7=TH!H4488,OR(N4849="331",O4849="331")),"x","")</f>
        <v/>
      </c>
      <c r="Q4849" s="75" t="str">
        <f>IF(AND(B4849='111'!$L$11,OR($N4849=$Q$7,$O4849=$Q$7)),"x","")</f>
        <v/>
      </c>
      <c r="R4849" s="75" t="str">
        <f>IF(AND($N4849=$Q$7,$B4849&lt;'111'!$L$11),"x","")</f>
        <v/>
      </c>
      <c r="S4849" s="75" t="str">
        <f>IF(AND($O4849=$Q$7,$B4849&lt;'111'!$L$11),"x","")</f>
        <v/>
      </c>
      <c r="T4849" s="75" t="str">
        <f>IF(ISERROR(FIND('112'!$M$9,G4849,1)),"",IF((AND(FIND('112'!$M$9,G4849,1)&gt;=1,B4849='112'!$K$9,OR($N4849='112'!$I$6,$O4849='112'!$I$6))),"x",""))</f>
        <v/>
      </c>
      <c r="U4849" s="75" t="str">
        <f>IF(ISERROR(FIND('112'!$M$9,G4849,1)),"",IF((AND(LEFT(G4849,2)=LEFT('112'!$M$9,2),B4849&lt;'112'!$K$9,$N4849='112'!$I$6)),"x",""))</f>
        <v/>
      </c>
      <c r="V4849" s="75" t="str">
        <f>IF(ISERROR(FIND('112'!$M$9,G4849,1)),"",IF((AND(RIGHT(G4849,2)=RIGHT('112'!$M$9,2),B4849&lt;'112'!$K$9,$O4849='112'!$I$6)),"x",""))</f>
        <v/>
      </c>
      <c r="W4849" s="75" t="str">
        <f>IF(AND('341-CT'!$H$9=H4849,OR(LEFT(N4849,3)=$W$7,LEFT(O4849,3)=$W$7)),"x","")</f>
        <v/>
      </c>
      <c r="X4849" s="75" t="str">
        <f>IF(OR(TH!N4488=TH!$X$7,O4849=TH!$X$7),"x","")</f>
        <v/>
      </c>
      <c r="Y4849" s="75" t="str">
        <f>IF(AND(OR(N4849="131",O4849="131"),H4849='131-CT'!$H$9),"x","")</f>
        <v/>
      </c>
      <c r="Z4849" s="75"/>
      <c r="AA4849" s="75" t="str">
        <f>IF(AND(MONTH(E4849)='IN-NX'!$J$5,'IN-NX'!$D$7=D4849),"x","")</f>
        <v/>
      </c>
      <c r="AB4849" s="75" t="str">
        <f>IF(AND(OR(LEFT(TH!N4488,2)="15",LEFT(TH!O4488,2)="15"),LEFT(TH!O4488,3)&lt;&gt;"111",'152-CT'!$J$8=TH!F4488),"x","")</f>
        <v/>
      </c>
      <c r="AC4849" s="75" t="str">
        <f>IF(AND(OR(LEFT(TH!N4488,2)="15",LEFT(TH!O4488,2)="15"),TK!$E$7=TH!F4488),"x","")</f>
        <v/>
      </c>
      <c r="AD4849" s="75" t="str">
        <f>IF(AND(N4849="1521",MONTH(C4849)='BK-NL'!$M$11),"x","")</f>
        <v/>
      </c>
      <c r="AE4849">
        <v>9</v>
      </c>
      <c r="AF4849" s="1053"/>
      <c r="AG4849" s="1053"/>
    </row>
    <row r="4850" spans="1:33" ht="16.5" customHeight="1">
      <c r="A4850" s="309" t="str">
        <f>IF(B4850&lt;&gt;"",IF(AND(B4850='IN-TC'!$S$4,OR(TH!N4840="1111",TH!O4840="1111")),TH!D4840,""),"")</f>
        <v/>
      </c>
      <c r="B4850" s="1242">
        <f t="shared" si="1336"/>
        <v>9</v>
      </c>
      <c r="C4850" s="292">
        <f t="shared" si="1335"/>
        <v>42992</v>
      </c>
      <c r="D4850" s="292"/>
      <c r="E4850" s="292">
        <v>42992</v>
      </c>
      <c r="F4850" s="67" t="s">
        <v>1499</v>
      </c>
      <c r="G4850" s="925" t="s">
        <v>2282</v>
      </c>
      <c r="H4850" s="294" t="s">
        <v>893</v>
      </c>
      <c r="I4850" s="373"/>
      <c r="J4850" s="926"/>
      <c r="K4850" s="373"/>
      <c r="L4850" s="379"/>
      <c r="M4850" s="927">
        <v>3123637</v>
      </c>
      <c r="N4850" s="295" t="s">
        <v>101</v>
      </c>
      <c r="O4850" s="295" t="s">
        <v>63</v>
      </c>
      <c r="P4850" s="75" t="str">
        <f>IF(AND('331-CT'!$E$7=TH!H3885,OR(N4850="331",O4850="331")),"x","")</f>
        <v/>
      </c>
      <c r="Q4850" s="75" t="str">
        <f>IF(AND(B4850='111'!$L$11,OR($N4850=$Q$7,$O4850=$Q$7)),"x","")</f>
        <v/>
      </c>
      <c r="R4850" s="75" t="str">
        <f>IF(AND($N4850=$Q$7,$B4850&lt;'111'!$L$11),"x","")</f>
        <v/>
      </c>
      <c r="S4850" s="75" t="str">
        <f>IF(AND($O4850=$Q$7,$B4850&lt;'111'!$L$11),"x","")</f>
        <v>x</v>
      </c>
      <c r="T4850" s="75" t="str">
        <f>IF(ISERROR(FIND('112'!$M$9,G4850,1)),"",IF((AND(FIND('112'!$M$9,G4850,1)&gt;=1,B4850='112'!$K$9,OR($N4850='112'!$I$6,$O4850='112'!$I$6))),"x",""))</f>
        <v/>
      </c>
      <c r="U4850" s="75" t="str">
        <f>IF(ISERROR(FIND('112'!$M$9,G4850,1)),"",IF((AND(LEFT(G4850,2)=LEFT('112'!$M$9,2),B4850&lt;'112'!$K$9,$N4850='112'!$I$6)),"x",""))</f>
        <v/>
      </c>
      <c r="V4850" s="75" t="str">
        <f>IF(ISERROR(FIND('112'!$M$9,G4850,1)),"",IF((AND(RIGHT(G4850,2)=RIGHT('112'!$M$9,2),B4850&lt;'112'!$K$9,$O4850='112'!$I$6)),"x",""))</f>
        <v/>
      </c>
      <c r="W4850" s="75" t="str">
        <f>IF(AND('341-CT'!$H$9=H4850,OR(LEFT(N4850,3)=$W$7,LEFT(O4850,3)=$W$7)),"x","")</f>
        <v/>
      </c>
      <c r="X4850" s="75" t="str">
        <f>IF(OR(TH!N3885=TH!$X$7,O4850=TH!$X$7),"x","")</f>
        <v/>
      </c>
      <c r="Y4850" s="75" t="str">
        <f>IF(AND(OR(N4850="131",O4850="131"),H4850='131-CT'!$H$9),"x","")</f>
        <v/>
      </c>
      <c r="Z4850" s="75"/>
      <c r="AA4850" s="75" t="str">
        <f>IF(AND(MONTH(E4850)='IN-NX'!$J$5,'IN-NX'!$D$7=D4850),"x","")</f>
        <v/>
      </c>
      <c r="AB4850" s="75" t="str">
        <f>IF(AND(OR(LEFT(TH!N3885,2)="15",LEFT(TH!O3885,2)="15"),LEFT(TH!O3885,3)&lt;&gt;"111",'152-CT'!$J$8=TH!F3885),"x","")</f>
        <v/>
      </c>
      <c r="AC4850" s="75" t="str">
        <f>IF(AND(OR(LEFT(TH!N3885,2)="15",LEFT(TH!O3885,2)="15"),TK!$E$7=TH!F3885),"x","")</f>
        <v/>
      </c>
      <c r="AD4850" s="75" t="str">
        <f>IF(AND(N4850="1521",MONTH(C4850)='BK-NL'!$M$11),"x","")</f>
        <v/>
      </c>
      <c r="AE4850">
        <v>9</v>
      </c>
    </row>
    <row r="4851" spans="1:33" ht="16.5" customHeight="1">
      <c r="A4851" s="309" t="str">
        <f>IF(B4851&lt;&gt;"",IF(AND(B4851='IN-TC'!$S$4,OR(TH!N4841="1111",TH!O4841="1111")),TH!D4841,""),"")</f>
        <v/>
      </c>
      <c r="B4851" s="1242">
        <f t="shared" si="1336"/>
        <v>9</v>
      </c>
      <c r="C4851" s="292">
        <f t="shared" ref="C4851:C4914" si="1337">E4851</f>
        <v>42992</v>
      </c>
      <c r="D4851" s="292"/>
      <c r="E4851" s="292">
        <v>42992</v>
      </c>
      <c r="F4851" s="67" t="s">
        <v>1500</v>
      </c>
      <c r="G4851" s="925" t="s">
        <v>2282</v>
      </c>
      <c r="H4851" s="294" t="s">
        <v>893</v>
      </c>
      <c r="I4851" s="373"/>
      <c r="J4851" s="926"/>
      <c r="K4851" s="373"/>
      <c r="L4851" s="379"/>
      <c r="M4851" s="927">
        <v>31236</v>
      </c>
      <c r="N4851" s="295" t="s">
        <v>9</v>
      </c>
      <c r="O4851" s="295" t="s">
        <v>63</v>
      </c>
      <c r="P4851" s="75" t="str">
        <f>IF(AND('331-CT'!$E$7=TH!H3886,OR(N4851="331",O4851="331")),"x","")</f>
        <v/>
      </c>
      <c r="Q4851" s="75" t="str">
        <f>IF(AND(B4851='111'!$L$11,OR($N4851=$Q$7,$O4851=$Q$7)),"x","")</f>
        <v/>
      </c>
      <c r="R4851" s="75" t="str">
        <f>IF(AND($N4851=$Q$7,$B4851&lt;'111'!$L$11),"x","")</f>
        <v/>
      </c>
      <c r="S4851" s="75" t="str">
        <f>IF(AND($O4851=$Q$7,$B4851&lt;'111'!$L$11),"x","")</f>
        <v>x</v>
      </c>
      <c r="T4851" s="75" t="str">
        <f>IF(ISERROR(FIND('112'!$M$9,G4851,1)),"",IF((AND(FIND('112'!$M$9,G4851,1)&gt;=1,B4851='112'!$K$9,OR($N4851='112'!$I$6,$O4851='112'!$I$6))),"x",""))</f>
        <v/>
      </c>
      <c r="U4851" s="75" t="str">
        <f>IF(ISERROR(FIND('112'!$M$9,G4851,1)),"",IF((AND(LEFT(G4851,2)=LEFT('112'!$M$9,2),B4851&lt;'112'!$K$9,$N4851='112'!$I$6)),"x",""))</f>
        <v/>
      </c>
      <c r="V4851" s="75" t="str">
        <f>IF(ISERROR(FIND('112'!$M$9,G4851,1)),"",IF((AND(RIGHT(G4851,2)=RIGHT('112'!$M$9,2),B4851&lt;'112'!$K$9,$O4851='112'!$I$6)),"x",""))</f>
        <v/>
      </c>
      <c r="W4851" s="75" t="str">
        <f>IF(AND('341-CT'!$H$9=H4851,OR(LEFT(N4851,3)=$W$7,LEFT(O4851,3)=$W$7)),"x","")</f>
        <v/>
      </c>
      <c r="X4851" s="75" t="str">
        <f>IF(OR(TH!N3886=TH!$X$7,O4851=TH!$X$7),"x","")</f>
        <v/>
      </c>
      <c r="Y4851" s="75" t="str">
        <f>IF(AND(OR(N4851="131",O4851="131"),H4851='131-CT'!$H$9),"x","")</f>
        <v/>
      </c>
      <c r="Z4851" s="75"/>
      <c r="AA4851" s="75" t="str">
        <f>IF(AND(MONTH(E4851)='IN-NX'!$J$5,'IN-NX'!$D$7=D4851),"x","")</f>
        <v/>
      </c>
      <c r="AB4851" s="75" t="str">
        <f>IF(AND(OR(LEFT(TH!N3886,2)="15",LEFT(TH!O3886,2)="15"),LEFT(TH!O3886,3)&lt;&gt;"111",'152-CT'!$J$8=TH!F3886),"x","")</f>
        <v/>
      </c>
      <c r="AC4851" s="75" t="str">
        <f>IF(AND(OR(LEFT(TH!N3886,2)="15",LEFT(TH!O3886,2)="15"),TK!$E$7=TH!F3886),"x","")</f>
        <v/>
      </c>
      <c r="AD4851" s="75" t="str">
        <f>IF(AND(N4851="1521",MONTH(C4851)='BK-NL'!$M$11),"x","")</f>
        <v/>
      </c>
      <c r="AE4851">
        <v>9</v>
      </c>
    </row>
    <row r="4852" spans="1:33" ht="16.5" customHeight="1">
      <c r="A4852" s="309" t="str">
        <f>IF(B4852&lt;&gt;"",IF(AND(B4852='IN-TC'!$S$4,OR(TH!N4842="1111",TH!O4842="1111")),TH!D4842,""),"")</f>
        <v/>
      </c>
      <c r="B4852" s="1242">
        <f t="shared" si="1336"/>
        <v>9</v>
      </c>
      <c r="C4852" s="292">
        <f t="shared" si="1337"/>
        <v>42992</v>
      </c>
      <c r="D4852" s="292"/>
      <c r="E4852" s="292">
        <v>42992</v>
      </c>
      <c r="F4852" s="67" t="s">
        <v>1165</v>
      </c>
      <c r="G4852" s="925" t="s">
        <v>2149</v>
      </c>
      <c r="H4852" s="294" t="s">
        <v>1684</v>
      </c>
      <c r="I4852" s="373"/>
      <c r="J4852" s="926"/>
      <c r="K4852" s="373"/>
      <c r="L4852" s="379"/>
      <c r="M4852" s="927">
        <v>19762050</v>
      </c>
      <c r="N4852" s="295" t="s">
        <v>8</v>
      </c>
      <c r="O4852" s="295" t="s">
        <v>63</v>
      </c>
      <c r="P4852" s="75" t="str">
        <f>IF(AND('331-CT'!$E$7=TH!H3887,OR(N4852="331",O4852="331")),"x","")</f>
        <v/>
      </c>
      <c r="Q4852" s="75" t="str">
        <f>IF(AND(B4852='111'!$L$11,OR($N4852=$Q$7,$O4852=$Q$7)),"x","")</f>
        <v/>
      </c>
      <c r="R4852" s="75" t="str">
        <f>IF(AND($N4852=$Q$7,$B4852&lt;'111'!$L$11),"x","")</f>
        <v/>
      </c>
      <c r="S4852" s="75" t="str">
        <f>IF(AND($O4852=$Q$7,$B4852&lt;'111'!$L$11),"x","")</f>
        <v>x</v>
      </c>
      <c r="T4852" s="75" t="str">
        <f>IF(ISERROR(FIND('112'!$M$9,G4852,1)),"",IF((AND(FIND('112'!$M$9,G4852,1)&gt;=1,B4852='112'!$K$9,OR($N4852='112'!$I$6,$O4852='112'!$I$6))),"x",""))</f>
        <v/>
      </c>
      <c r="U4852" s="75" t="str">
        <f>IF(ISERROR(FIND('112'!$M$9,G4852,1)),"",IF((AND(LEFT(G4852,2)=LEFT('112'!$M$9,2),B4852&lt;'112'!$K$9,$N4852='112'!$I$6)),"x",""))</f>
        <v/>
      </c>
      <c r="V4852" s="75" t="str">
        <f>IF(ISERROR(FIND('112'!$M$9,G4852,1)),"",IF((AND(RIGHT(G4852,2)=RIGHT('112'!$M$9,2),B4852&lt;'112'!$K$9,$O4852='112'!$I$6)),"x",""))</f>
        <v/>
      </c>
      <c r="W4852" s="75" t="str">
        <f>IF(AND('341-CT'!$H$9=H4852,OR(LEFT(N4852,3)=$W$7,LEFT(O4852,3)=$W$7)),"x","")</f>
        <v/>
      </c>
      <c r="X4852" s="75" t="str">
        <f>IF(OR(TH!N3887=TH!$X$7,O4852=TH!$X$7),"x","")</f>
        <v/>
      </c>
      <c r="Y4852" s="75" t="str">
        <f>IF(AND(OR(N4852="131",O4852="131"),H4852='131-CT'!$H$9),"x","")</f>
        <v/>
      </c>
      <c r="Z4852" s="75"/>
      <c r="AA4852" s="75" t="str">
        <f>IF(AND(MONTH(E4852)='IN-NX'!$J$5,'IN-NX'!$D$7=D4852),"x","")</f>
        <v/>
      </c>
      <c r="AB4852" s="75" t="str">
        <f>IF(AND(OR(LEFT(TH!N3887,2)="15",LEFT(TH!O3887,2)="15"),LEFT(TH!O3887,3)&lt;&gt;"111",'152-CT'!$J$8=TH!F3887),"x","")</f>
        <v/>
      </c>
      <c r="AC4852" s="75" t="str">
        <f>IF(AND(OR(LEFT(TH!N3887,2)="15",LEFT(TH!O3887,2)="15"),TK!$E$7=TH!F3887),"x","")</f>
        <v/>
      </c>
      <c r="AD4852" s="75" t="str">
        <f>IF(AND(N4852="1521",MONTH(C4852)='BK-NL'!$M$11),"x","")</f>
        <v/>
      </c>
    </row>
    <row r="4853" spans="1:33" ht="16.5" customHeight="1">
      <c r="A4853" s="309" t="str">
        <f>IF(B4853&lt;&gt;"",IF(AND(B4853='IN-TC'!$S$4,OR(TH!N4843="1111",TH!O4843="1111")),TH!D4843,""),"")</f>
        <v/>
      </c>
      <c r="B4853" s="1242">
        <f t="shared" si="1336"/>
        <v>9</v>
      </c>
      <c r="C4853" s="292">
        <f t="shared" si="1337"/>
        <v>42992</v>
      </c>
      <c r="D4853" s="292"/>
      <c r="E4853" s="292">
        <v>42992</v>
      </c>
      <c r="F4853" s="67" t="s">
        <v>1177</v>
      </c>
      <c r="G4853" s="925" t="s">
        <v>2307</v>
      </c>
      <c r="H4853" s="294" t="s">
        <v>2308</v>
      </c>
      <c r="I4853" s="373"/>
      <c r="J4853" s="926"/>
      <c r="K4853" s="373"/>
      <c r="L4853" s="379"/>
      <c r="M4853" s="927">
        <v>960000</v>
      </c>
      <c r="N4853" s="295" t="s">
        <v>101</v>
      </c>
      <c r="O4853" s="295" t="s">
        <v>63</v>
      </c>
      <c r="P4853" s="75" t="str">
        <f>IF(AND('331-CT'!$E$7=TH!H3888,OR(N4853="331",O4853="331")),"x","")</f>
        <v/>
      </c>
      <c r="Q4853" s="75" t="str">
        <f>IF(AND(B4853='111'!$L$11,OR($N4853=$Q$7,$O4853=$Q$7)),"x","")</f>
        <v/>
      </c>
      <c r="R4853" s="75" t="str">
        <f>IF(AND($N4853=$Q$7,$B4853&lt;'111'!$L$11),"x","")</f>
        <v/>
      </c>
      <c r="S4853" s="75" t="str">
        <f>IF(AND($O4853=$Q$7,$B4853&lt;'111'!$L$11),"x","")</f>
        <v>x</v>
      </c>
      <c r="T4853" s="75" t="str">
        <f>IF(ISERROR(FIND('112'!$M$9,G4853,1)),"",IF((AND(FIND('112'!$M$9,G4853,1)&gt;=1,B4853='112'!$K$9,OR($N4853='112'!$I$6,$O4853='112'!$I$6))),"x",""))</f>
        <v/>
      </c>
      <c r="U4853" s="75" t="str">
        <f>IF(ISERROR(FIND('112'!$M$9,G4853,1)),"",IF((AND(LEFT(G4853,2)=LEFT('112'!$M$9,2),B4853&lt;'112'!$K$9,$N4853='112'!$I$6)),"x",""))</f>
        <v/>
      </c>
      <c r="V4853" s="75" t="str">
        <f>IF(ISERROR(FIND('112'!$M$9,G4853,1)),"",IF((AND(RIGHT(G4853,2)=RIGHT('112'!$M$9,2),B4853&lt;'112'!$K$9,$O4853='112'!$I$6)),"x",""))</f>
        <v/>
      </c>
      <c r="W4853" s="75" t="str">
        <f>IF(AND('341-CT'!$H$9=H4853,OR(LEFT(N4853,3)=$W$7,LEFT(O4853,3)=$W$7)),"x","")</f>
        <v/>
      </c>
      <c r="X4853" s="75" t="str">
        <f>IF(OR(TH!N3888=TH!$X$7,O4853=TH!$X$7),"x","")</f>
        <v/>
      </c>
      <c r="Y4853" s="75" t="str">
        <f>IF(AND(OR(N4853="131",O4853="131"),H4853='131-CT'!$H$9),"x","")</f>
        <v/>
      </c>
      <c r="Z4853" s="75"/>
      <c r="AA4853" s="75" t="str">
        <f>IF(AND(MONTH(E4853)='IN-NX'!$J$5,'IN-NX'!$D$7=D4853),"x","")</f>
        <v/>
      </c>
      <c r="AB4853" s="75" t="str">
        <f>IF(AND(OR(LEFT(TH!N3888,2)="15",LEFT(TH!O3888,2)="15"),LEFT(TH!O3888,3)&lt;&gt;"111",'152-CT'!$J$8=TH!F3888),"x","")</f>
        <v/>
      </c>
      <c r="AC4853" s="75" t="str">
        <f>IF(AND(OR(LEFT(TH!N3888,2)="15",LEFT(TH!O3888,2)="15"),TK!$E$7=TH!F3888),"x","")</f>
        <v/>
      </c>
      <c r="AD4853" s="75" t="str">
        <f>IF(AND(N4853="1521",MONTH(C4853)='BK-NL'!$M$11),"x","")</f>
        <v/>
      </c>
      <c r="AE4853">
        <v>10</v>
      </c>
    </row>
    <row r="4854" spans="1:33" ht="16.5" customHeight="1">
      <c r="A4854" s="309" t="str">
        <f>IF(B4854&lt;&gt;"",IF(AND(B4854='IN-TC'!$S$4,OR(TH!N4844="1111",TH!O4844="1111")),TH!D4844,""),"")</f>
        <v/>
      </c>
      <c r="B4854" s="1242">
        <f t="shared" si="1336"/>
        <v>9</v>
      </c>
      <c r="C4854" s="292">
        <f t="shared" si="1337"/>
        <v>42992</v>
      </c>
      <c r="D4854" s="292"/>
      <c r="E4854" s="292">
        <v>42992</v>
      </c>
      <c r="F4854" s="67" t="s">
        <v>1178</v>
      </c>
      <c r="G4854" s="925" t="s">
        <v>2307</v>
      </c>
      <c r="H4854" s="294" t="s">
        <v>2308</v>
      </c>
      <c r="I4854" s="373"/>
      <c r="J4854" s="926"/>
      <c r="K4854" s="373"/>
      <c r="L4854" s="379"/>
      <c r="M4854" s="927">
        <v>96000</v>
      </c>
      <c r="N4854" s="295" t="s">
        <v>9</v>
      </c>
      <c r="O4854" s="295" t="s">
        <v>63</v>
      </c>
      <c r="P4854" s="75" t="str">
        <f>IF(AND('331-CT'!$E$7=TH!H3889,OR(N4854="331",O4854="331")),"x","")</f>
        <v/>
      </c>
      <c r="Q4854" s="75" t="str">
        <f>IF(AND(B4854='111'!$L$11,OR($N4854=$Q$7,$O4854=$Q$7)),"x","")</f>
        <v/>
      </c>
      <c r="R4854" s="75" t="str">
        <f>IF(AND($N4854=$Q$7,$B4854&lt;'111'!$L$11),"x","")</f>
        <v/>
      </c>
      <c r="S4854" s="75" t="str">
        <f>IF(AND($O4854=$Q$7,$B4854&lt;'111'!$L$11),"x","")</f>
        <v>x</v>
      </c>
      <c r="T4854" s="75" t="str">
        <f>IF(ISERROR(FIND('112'!$M$9,G4854,1)),"",IF((AND(FIND('112'!$M$9,G4854,1)&gt;=1,B4854='112'!$K$9,OR($N4854='112'!$I$6,$O4854='112'!$I$6))),"x",""))</f>
        <v/>
      </c>
      <c r="U4854" s="75" t="str">
        <f>IF(ISERROR(FIND('112'!$M$9,G4854,1)),"",IF((AND(LEFT(G4854,2)=LEFT('112'!$M$9,2),B4854&lt;'112'!$K$9,$N4854='112'!$I$6)),"x",""))</f>
        <v/>
      </c>
      <c r="V4854" s="75" t="str">
        <f>IF(ISERROR(FIND('112'!$M$9,G4854,1)),"",IF((AND(RIGHT(G4854,2)=RIGHT('112'!$M$9,2),B4854&lt;'112'!$K$9,$O4854='112'!$I$6)),"x",""))</f>
        <v/>
      </c>
      <c r="W4854" s="75" t="str">
        <f>IF(AND('341-CT'!$H$9=H4854,OR(LEFT(N4854,3)=$W$7,LEFT(O4854,3)=$W$7)),"x","")</f>
        <v/>
      </c>
      <c r="X4854" s="75" t="str">
        <f>IF(OR(TH!N3889=TH!$X$7,O4854=TH!$X$7),"x","")</f>
        <v/>
      </c>
      <c r="Y4854" s="75" t="str">
        <f>IF(AND(OR(N4854="131",O4854="131"),H4854='131-CT'!$H$9),"x","")</f>
        <v/>
      </c>
      <c r="Z4854" s="75"/>
      <c r="AA4854" s="75" t="str">
        <f>IF(AND(MONTH(E4854)='IN-NX'!$J$5,'IN-NX'!$D$7=D4854),"x","")</f>
        <v/>
      </c>
      <c r="AB4854" s="75" t="str">
        <f>IF(AND(OR(LEFT(TH!N3889,2)="15",LEFT(TH!O3889,2)="15"),LEFT(TH!O3889,3)&lt;&gt;"111",'152-CT'!$J$8=TH!F3889),"x","")</f>
        <v/>
      </c>
      <c r="AC4854" s="75" t="str">
        <f>IF(AND(OR(LEFT(TH!N3889,2)="15",LEFT(TH!O3889,2)="15"),TK!$E$7=TH!F3889),"x","")</f>
        <v/>
      </c>
      <c r="AD4854" s="75" t="str">
        <f>IF(AND(N4854="1521",MONTH(C4854)='BK-NL'!$M$11),"x","")</f>
        <v/>
      </c>
      <c r="AE4854">
        <v>10</v>
      </c>
    </row>
    <row r="4855" spans="1:33" ht="16.5" customHeight="1">
      <c r="A4855" s="309" t="str">
        <f>IF(B4855&lt;&gt;"",IF(AND(B4855='IN-TC'!$S$4,OR(TH!N4845="1111",TH!O4845="1111")),TH!D4845,""),"")</f>
        <v/>
      </c>
      <c r="B4855" s="1242">
        <f t="shared" si="1336"/>
        <v>9</v>
      </c>
      <c r="C4855" s="292">
        <f t="shared" si="1337"/>
        <v>42993</v>
      </c>
      <c r="D4855" s="59" t="s">
        <v>854</v>
      </c>
      <c r="E4855" s="59">
        <v>42993</v>
      </c>
      <c r="F4855" s="67" t="s">
        <v>834</v>
      </c>
      <c r="G4855" s="62" t="s">
        <v>1713</v>
      </c>
      <c r="H4855" s="67" t="s">
        <v>1023</v>
      </c>
      <c r="I4855" s="373"/>
      <c r="J4855" s="382"/>
      <c r="K4855" s="373"/>
      <c r="L4855" s="379"/>
      <c r="M4855" s="60">
        <v>9860000000</v>
      </c>
      <c r="N4855" s="61" t="s">
        <v>63</v>
      </c>
      <c r="O4855" s="61" t="s">
        <v>26</v>
      </c>
      <c r="P4855" s="75" t="str">
        <f>IF(AND('331-CT'!$E$7=TH!H4489,OR(N4855="331",O4855="331")),"x","")</f>
        <v/>
      </c>
      <c r="Q4855" s="75" t="str">
        <f>IF(AND(B4855='111'!$L$11,OR($N4855=$Q$7,$O4855=$Q$7)),"x","")</f>
        <v/>
      </c>
      <c r="R4855" s="75" t="str">
        <f>IF(AND($N4855=$Q$7,$B4855&lt;'111'!$L$11),"x","")</f>
        <v>x</v>
      </c>
      <c r="S4855" s="75" t="str">
        <f>IF(AND($O4855=$Q$7,$B4855&lt;'111'!$L$11),"x","")</f>
        <v/>
      </c>
      <c r="T4855" s="75" t="str">
        <f>IF(ISERROR(FIND('112'!$M$9,G4855,1)),"",IF((AND(FIND('112'!$M$9,G4855,1)&gt;=1,B4855='112'!$K$9,OR($N4855='112'!$I$6,$O4855='112'!$I$6))),"x",""))</f>
        <v/>
      </c>
      <c r="U4855" s="75" t="str">
        <f>IF(ISERROR(FIND('112'!$M$9,G4855,1)),"",IF((AND(LEFT(G4855,2)=LEFT('112'!$M$9,2),B4855&lt;'112'!$K$9,$N4855='112'!$I$6)),"x",""))</f>
        <v/>
      </c>
      <c r="V4855" s="75" t="str">
        <f>IF(ISERROR(FIND('112'!$M$9,G4855,1)),"",IF((AND(RIGHT(G4855,2)=RIGHT('112'!$M$9,2),B4855&lt;'112'!$K$9,$O4855='112'!$I$6)),"x",""))</f>
        <v/>
      </c>
      <c r="W4855" s="75" t="str">
        <f>IF(AND('341-CT'!$H$9=H4855,OR(LEFT(N4855,3)=$W$7,LEFT(O4855,3)=$W$7)),"x","")</f>
        <v/>
      </c>
      <c r="X4855" s="75" t="str">
        <f>IF(OR(TH!N4489=TH!$X$7,O4855=TH!$X$7),"x","")</f>
        <v/>
      </c>
      <c r="Y4855" s="75" t="str">
        <f>IF(AND(OR(N4855="131",O4855="131"),H4855='131-CT'!$H$9),"x","")</f>
        <v/>
      </c>
      <c r="Z4855" s="75"/>
      <c r="AA4855" s="75" t="str">
        <f>IF(AND(MONTH(E4855)='IN-NX'!$J$5,'IN-NX'!$D$7=D4855),"x","")</f>
        <v/>
      </c>
      <c r="AB4855" s="75" t="str">
        <f>IF(AND(OR(LEFT(TH!N4489,2)="15",LEFT(TH!O4489,2)="15"),LEFT(TH!O4489,3)&lt;&gt;"111",'152-CT'!$J$8=TH!F4489),"x","")</f>
        <v/>
      </c>
      <c r="AC4855" s="75" t="str">
        <f>IF(AND(OR(LEFT(TH!N4489,2)="15",LEFT(TH!O4489,2)="15"),TK!$E$7=TH!F4489),"x","")</f>
        <v/>
      </c>
      <c r="AD4855" s="75" t="str">
        <f>IF(AND(N4855="1521",MONTH(C4855)='BK-NL'!$M$11),"x","")</f>
        <v/>
      </c>
    </row>
    <row r="4856" spans="1:33" ht="16.5" customHeight="1">
      <c r="A4856" s="309" t="str">
        <f>IF(B4856&lt;&gt;"",IF(AND(B4856='IN-TC'!$S$4,OR(TH!N4846="1111",TH!O4846="1111")),TH!D4846,""),"")</f>
        <v/>
      </c>
      <c r="B4856" s="1130">
        <f t="shared" si="1336"/>
        <v>9</v>
      </c>
      <c r="C4856" s="292">
        <f t="shared" si="1337"/>
        <v>42993</v>
      </c>
      <c r="D4856" s="292"/>
      <c r="E4856" s="292">
        <v>42993</v>
      </c>
      <c r="F4856" s="1010" t="s">
        <v>1881</v>
      </c>
      <c r="G4856" s="925"/>
      <c r="H4856" s="73" t="s">
        <v>1882</v>
      </c>
      <c r="I4856" s="373"/>
      <c r="J4856" s="926"/>
      <c r="K4856" s="373"/>
      <c r="L4856" s="379"/>
      <c r="M4856" s="927">
        <v>3000000000</v>
      </c>
      <c r="N4856" s="295" t="s">
        <v>8</v>
      </c>
      <c r="O4856" s="295" t="s">
        <v>63</v>
      </c>
      <c r="P4856" s="75" t="str">
        <f>IF(AND('331-CT'!$E$7=TH!H4306,OR(N4856="331",O4856="331")),"x","")</f>
        <v/>
      </c>
      <c r="Q4856" s="75" t="str">
        <f>IF(AND(B4856='111'!$L$11,OR($N4856=$Q$7,$O4856=$Q$7)),"x","")</f>
        <v/>
      </c>
      <c r="R4856" s="75" t="str">
        <f>IF(AND($N4856=$Q$7,$B4856&lt;'111'!$L$11),"x","")</f>
        <v/>
      </c>
      <c r="S4856" s="75" t="str">
        <f>IF(AND($O4856=$Q$7,$B4856&lt;'111'!$L$11),"x","")</f>
        <v>x</v>
      </c>
      <c r="T4856" s="75" t="str">
        <f>IF(ISERROR(FIND('112'!$M$9,G4856,1)),"",IF((AND(FIND('112'!$M$9,G4856,1)&gt;=1,B4856='112'!$K$9,OR($N4856='112'!$I$6,$O4856='112'!$I$6))),"x",""))</f>
        <v/>
      </c>
      <c r="U4856" s="75" t="str">
        <f>IF(ISERROR(FIND('112'!$M$9,G4856,1)),"",IF((AND(LEFT(G4856,2)=LEFT('112'!$M$9,2),B4856&lt;'112'!$K$9,$N4856='112'!$I$6)),"x",""))</f>
        <v/>
      </c>
      <c r="V4856" s="75" t="str">
        <f>IF(ISERROR(FIND('112'!$M$9,G4856,1)),"",IF((AND(RIGHT(G4856,2)=RIGHT('112'!$M$9,2),B4856&lt;'112'!$K$9,$O4856='112'!$I$6)),"x",""))</f>
        <v/>
      </c>
      <c r="W4856" s="75" t="str">
        <f>IF(AND('341-CT'!$H$9=H4856,OR(LEFT(N4856,3)=$W$7,LEFT(O4856,3)=$W$7)),"x","")</f>
        <v/>
      </c>
      <c r="X4856" s="75" t="str">
        <f>IF(OR(TH!N4306=TH!$X$7,O4856=TH!$X$7),"x","")</f>
        <v/>
      </c>
      <c r="Y4856" s="75" t="str">
        <f>IF(AND(OR(N4856="131",O4856="131"),H4856='131-CT'!$H$9),"x","")</f>
        <v/>
      </c>
      <c r="Z4856" s="75"/>
      <c r="AA4856" s="75" t="str">
        <f>IF(AND(MONTH(E4856)='IN-NX'!$J$5,'IN-NX'!$D$7=D4856),"x","")</f>
        <v/>
      </c>
      <c r="AB4856" s="75" t="str">
        <f>IF(AND(OR(LEFT(TH!N4306,2)="15",LEFT(TH!O4306,2)="15"),LEFT(TH!O4306,3)&lt;&gt;"111",'152-CT'!$J$8=TH!F4306),"x","")</f>
        <v/>
      </c>
      <c r="AC4856" s="75" t="str">
        <f>IF(AND(OR(LEFT(TH!N4306,2)="15",LEFT(TH!O4306,2)="15"),TK!$E$7=TH!F4306),"x","")</f>
        <v/>
      </c>
      <c r="AD4856" s="75" t="str">
        <f>IF(AND(N4856="1521",MONTH(C4856)='BK-NL'!$M$11),"x","")</f>
        <v/>
      </c>
    </row>
    <row r="4857" spans="1:33" ht="16.5" customHeight="1">
      <c r="A4857" s="309" t="str">
        <f>IF(B4857&lt;&gt;"",IF(AND(B4857='IN-TC'!$S$4,OR(TH!N4847="1111",TH!O4847="1111")),TH!D4847,""),"")</f>
        <v/>
      </c>
      <c r="B4857" s="1130">
        <f t="shared" si="1336"/>
        <v>9</v>
      </c>
      <c r="C4857" s="292">
        <f t="shared" si="1337"/>
        <v>42993</v>
      </c>
      <c r="D4857" s="292"/>
      <c r="E4857" s="292">
        <v>42993</v>
      </c>
      <c r="F4857" s="1010" t="s">
        <v>1883</v>
      </c>
      <c r="G4857" s="925"/>
      <c r="H4857" s="311"/>
      <c r="I4857" s="373"/>
      <c r="J4857" s="926"/>
      <c r="K4857" s="373"/>
      <c r="L4857" s="379"/>
      <c r="M4857" s="927">
        <v>1500000</v>
      </c>
      <c r="N4857" s="295" t="s">
        <v>101</v>
      </c>
      <c r="O4857" s="295" t="s">
        <v>63</v>
      </c>
      <c r="P4857" s="75" t="str">
        <f>IF(AND('331-CT'!$E$7=TH!H4307,OR(N4857="331",O4857="331")),"x","")</f>
        <v/>
      </c>
      <c r="Q4857" s="75" t="str">
        <f>IF(AND(B4857='111'!$L$11,OR($N4857=$Q$7,$O4857=$Q$7)),"x","")</f>
        <v/>
      </c>
      <c r="R4857" s="75" t="str">
        <f>IF(AND($N4857=$Q$7,$B4857&lt;'111'!$L$11),"x","")</f>
        <v/>
      </c>
      <c r="S4857" s="75" t="str">
        <f>IF(AND($O4857=$Q$7,$B4857&lt;'111'!$L$11),"x","")</f>
        <v>x</v>
      </c>
      <c r="T4857" s="75" t="str">
        <f>IF(ISERROR(FIND('112'!$M$9,G4857,1)),"",IF((AND(FIND('112'!$M$9,G4857,1)&gt;=1,B4857='112'!$K$9,OR($N4857='112'!$I$6,$O4857='112'!$I$6))),"x",""))</f>
        <v/>
      </c>
      <c r="U4857" s="75" t="str">
        <f>IF(ISERROR(FIND('112'!$M$9,G4857,1)),"",IF((AND(LEFT(G4857,2)=LEFT('112'!$M$9,2),B4857&lt;'112'!$K$9,$N4857='112'!$I$6)),"x",""))</f>
        <v/>
      </c>
      <c r="V4857" s="75" t="str">
        <f>IF(ISERROR(FIND('112'!$M$9,G4857,1)),"",IF((AND(RIGHT(G4857,2)=RIGHT('112'!$M$9,2),B4857&lt;'112'!$K$9,$O4857='112'!$I$6)),"x",""))</f>
        <v/>
      </c>
      <c r="W4857" s="75" t="str">
        <f>IF(AND('341-CT'!$H$9=H4857,OR(LEFT(N4857,3)=$W$7,LEFT(O4857,3)=$W$7)),"x","")</f>
        <v/>
      </c>
      <c r="X4857" s="75" t="str">
        <f>IF(OR(TH!N4307=TH!$X$7,O4857=TH!$X$7),"x","")</f>
        <v/>
      </c>
      <c r="Y4857" s="75" t="str">
        <f>IF(AND(OR(N4857="131",O4857="131"),H4857='131-CT'!$H$9),"x","")</f>
        <v/>
      </c>
      <c r="Z4857" s="75"/>
      <c r="AA4857" s="75" t="str">
        <f>IF(AND(MONTH(E4857)='IN-NX'!$J$5,'IN-NX'!$D$7=D4857),"x","")</f>
        <v/>
      </c>
      <c r="AB4857" s="75" t="str">
        <f>IF(AND(OR(LEFT(TH!N4307,2)="15",LEFT(TH!O4307,2)="15"),LEFT(TH!O4307,3)&lt;&gt;"111",'152-CT'!$J$8=TH!F4307),"x","")</f>
        <v/>
      </c>
      <c r="AC4857" s="75" t="str">
        <f>IF(AND(OR(LEFT(TH!N4307,2)="15",LEFT(TH!O4307,2)="15"),TK!$E$7=TH!F4307),"x","")</f>
        <v/>
      </c>
      <c r="AD4857" s="75" t="str">
        <f>IF(AND(N4857="1521",MONTH(C4857)='BK-NL'!$M$11),"x","")</f>
        <v/>
      </c>
      <c r="AE4857">
        <v>9</v>
      </c>
    </row>
    <row r="4858" spans="1:33" ht="16.5" customHeight="1">
      <c r="A4858" s="309" t="str">
        <f>IF(B4858&lt;&gt;"",IF(AND(B4858='IN-TC'!$S$4,OR(TH!N4848="1111",TH!O4848="1111")),TH!D4848,""),"")</f>
        <v/>
      </c>
      <c r="B4858" s="1130">
        <f t="shared" si="1336"/>
        <v>9</v>
      </c>
      <c r="C4858" s="292">
        <f t="shared" si="1337"/>
        <v>42993</v>
      </c>
      <c r="D4858" s="292"/>
      <c r="E4858" s="292">
        <v>42993</v>
      </c>
      <c r="F4858" s="1010" t="s">
        <v>1895</v>
      </c>
      <c r="G4858" s="925"/>
      <c r="H4858" s="311"/>
      <c r="I4858" s="373"/>
      <c r="J4858" s="926"/>
      <c r="K4858" s="373"/>
      <c r="L4858" s="379"/>
      <c r="M4858" s="927">
        <v>150000</v>
      </c>
      <c r="N4858" s="295" t="s">
        <v>9</v>
      </c>
      <c r="O4858" s="295" t="s">
        <v>63</v>
      </c>
      <c r="P4858" s="75" t="str">
        <f>IF(AND('331-CT'!$E$7=TH!H4308,OR(N4858="331",O4858="331")),"x","")</f>
        <v/>
      </c>
      <c r="Q4858" s="75" t="str">
        <f>IF(AND(B4858='111'!$L$11,OR($N4858=$Q$7,$O4858=$Q$7)),"x","")</f>
        <v/>
      </c>
      <c r="R4858" s="75" t="str">
        <f>IF(AND($N4858=$Q$7,$B4858&lt;'111'!$L$11),"x","")</f>
        <v/>
      </c>
      <c r="S4858" s="75" t="str">
        <f>IF(AND($O4858=$Q$7,$B4858&lt;'111'!$L$11),"x","")</f>
        <v>x</v>
      </c>
      <c r="T4858" s="75" t="str">
        <f>IF(ISERROR(FIND('112'!$M$9,G4858,1)),"",IF((AND(FIND('112'!$M$9,G4858,1)&gt;=1,B4858='112'!$K$9,OR($N4858='112'!$I$6,$O4858='112'!$I$6))),"x",""))</f>
        <v/>
      </c>
      <c r="U4858" s="75" t="str">
        <f>IF(ISERROR(FIND('112'!$M$9,G4858,1)),"",IF((AND(LEFT(G4858,2)=LEFT('112'!$M$9,2),B4858&lt;'112'!$K$9,$N4858='112'!$I$6)),"x",""))</f>
        <v/>
      </c>
      <c r="V4858" s="75" t="str">
        <f>IF(ISERROR(FIND('112'!$M$9,G4858,1)),"",IF((AND(RIGHT(G4858,2)=RIGHT('112'!$M$9,2),B4858&lt;'112'!$K$9,$O4858='112'!$I$6)),"x",""))</f>
        <v/>
      </c>
      <c r="W4858" s="75" t="str">
        <f>IF(AND('341-CT'!$H$9=H4858,OR(LEFT(N4858,3)=$W$7,LEFT(O4858,3)=$W$7)),"x","")</f>
        <v/>
      </c>
      <c r="X4858" s="75" t="str">
        <f>IF(OR(TH!N4308=TH!$X$7,O4858=TH!$X$7),"x","")</f>
        <v/>
      </c>
      <c r="Y4858" s="75" t="str">
        <f>IF(AND(OR(N4858="131",O4858="131"),H4858='131-CT'!$H$9),"x","")</f>
        <v/>
      </c>
      <c r="Z4858" s="75"/>
      <c r="AA4858" s="75" t="str">
        <f>IF(AND(MONTH(E4858)='IN-NX'!$J$5,'IN-NX'!$D$7=D4858),"x","")</f>
        <v/>
      </c>
      <c r="AB4858" s="75" t="str">
        <f>IF(AND(OR(LEFT(TH!N4308,2)="15",LEFT(TH!O4308,2)="15"),LEFT(TH!O4308,3)&lt;&gt;"111",'152-CT'!$J$8=TH!F4308),"x","")</f>
        <v/>
      </c>
      <c r="AC4858" s="75" t="str">
        <f>IF(AND(OR(LEFT(TH!N4308,2)="15",LEFT(TH!O4308,2)="15"),TK!$E$7=TH!F4308),"x","")</f>
        <v/>
      </c>
      <c r="AD4858" s="75" t="str">
        <f>IF(AND(N4858="1521",MONTH(C4858)='BK-NL'!$M$11),"x","")</f>
        <v/>
      </c>
      <c r="AE4858">
        <v>9</v>
      </c>
    </row>
    <row r="4859" spans="1:33" ht="16.5" customHeight="1">
      <c r="A4859" s="309" t="str">
        <f>IF(B4859&lt;&gt;"",IF(AND(B4859='IN-TC'!$S$4,OR(TH!N4849="1111",TH!O4849="1111")),TH!D4849,""),"")</f>
        <v/>
      </c>
      <c r="B4859" s="1129">
        <f t="shared" si="1336"/>
        <v>9</v>
      </c>
      <c r="C4859" s="292">
        <f t="shared" si="1337"/>
        <v>42993</v>
      </c>
      <c r="D4859" s="292"/>
      <c r="E4859" s="292">
        <v>42993</v>
      </c>
      <c r="F4859" s="1010" t="s">
        <v>1881</v>
      </c>
      <c r="G4859" s="925"/>
      <c r="H4859" s="73" t="s">
        <v>1882</v>
      </c>
      <c r="I4859" s="373"/>
      <c r="J4859" s="926"/>
      <c r="K4859" s="373"/>
      <c r="L4859" s="379"/>
      <c r="M4859" s="927">
        <v>3000000000</v>
      </c>
      <c r="N4859" s="295" t="s">
        <v>8</v>
      </c>
      <c r="O4859" s="295" t="s">
        <v>63</v>
      </c>
      <c r="P4859" s="75" t="str">
        <f>IF(AND('331-CT'!$E$7=TH!H4315,OR(N4859="331",O4859="331")),"x","")</f>
        <v/>
      </c>
      <c r="Q4859" s="75" t="str">
        <f>IF(AND(B4859='111'!$L$11,OR($N4859=$Q$7,$O4859=$Q$7)),"x","")</f>
        <v/>
      </c>
      <c r="R4859" s="75" t="str">
        <f>IF(AND($N4859=$Q$7,$B4859&lt;'111'!$L$11),"x","")</f>
        <v/>
      </c>
      <c r="S4859" s="75" t="str">
        <f>IF(AND($O4859=$Q$7,$B4859&lt;'111'!$L$11),"x","")</f>
        <v>x</v>
      </c>
      <c r="T4859" s="75" t="str">
        <f>IF(ISERROR(FIND('112'!$M$9,G4859,1)),"",IF((AND(FIND('112'!$M$9,G4859,1)&gt;=1,B4859='112'!$K$9,OR($N4859='112'!$I$6,$O4859='112'!$I$6))),"x",""))</f>
        <v/>
      </c>
      <c r="U4859" s="75" t="str">
        <f>IF(ISERROR(FIND('112'!$M$9,G4859,1)),"",IF((AND(LEFT(G4859,2)=LEFT('112'!$M$9,2),B4859&lt;'112'!$K$9,$N4859='112'!$I$6)),"x",""))</f>
        <v/>
      </c>
      <c r="V4859" s="75" t="str">
        <f>IF(ISERROR(FIND('112'!$M$9,G4859,1)),"",IF((AND(RIGHT(G4859,2)=RIGHT('112'!$M$9,2),B4859&lt;'112'!$K$9,$O4859='112'!$I$6)),"x",""))</f>
        <v/>
      </c>
      <c r="W4859" s="75" t="str">
        <f>IF(AND('341-CT'!$H$9=H4859,OR(LEFT(N4859,3)=$W$7,LEFT(O4859,3)=$W$7)),"x","")</f>
        <v/>
      </c>
      <c r="X4859" s="75" t="str">
        <f>IF(OR(TH!N4315=TH!$X$7,O4859=TH!$X$7),"x","")</f>
        <v/>
      </c>
      <c r="Y4859" s="75" t="str">
        <f>IF(AND(OR(N4859="131",O4859="131"),H4859='131-CT'!$H$9),"x","")</f>
        <v/>
      </c>
      <c r="Z4859" s="75"/>
      <c r="AA4859" s="75" t="str">
        <f>IF(AND(MONTH(E4859)='IN-NX'!$J$5,'IN-NX'!$D$7=D4859),"x","")</f>
        <v/>
      </c>
      <c r="AB4859" s="75" t="str">
        <f>IF(AND(OR(LEFT(TH!N4315,2)="15",LEFT(TH!O4315,2)="15"),LEFT(TH!O4315,3)&lt;&gt;"111",'152-CT'!$J$8=TH!F4315),"x","")</f>
        <v/>
      </c>
      <c r="AC4859" s="75" t="str">
        <f>IF(AND(OR(LEFT(TH!N4315,2)="15",LEFT(TH!O4315,2)="15"),TK!$E$7=TH!F4315),"x","")</f>
        <v/>
      </c>
      <c r="AD4859" s="75" t="str">
        <f>IF(AND(N4859="1521",MONTH(C4859)='BK-NL'!$M$11),"x","")</f>
        <v/>
      </c>
    </row>
    <row r="4860" spans="1:33" ht="16.5" customHeight="1">
      <c r="A4860" s="309" t="str">
        <f>IF(B4860&lt;&gt;"",IF(AND(B4860='IN-TC'!$S$4,OR(TH!N4850="1111",TH!O4850="1111")),TH!D4850,""),"")</f>
        <v/>
      </c>
      <c r="B4860" s="1129">
        <f t="shared" si="1336"/>
        <v>9</v>
      </c>
      <c r="C4860" s="292">
        <f t="shared" si="1337"/>
        <v>42993</v>
      </c>
      <c r="D4860" s="292"/>
      <c r="E4860" s="292">
        <v>42993</v>
      </c>
      <c r="F4860" s="1010" t="s">
        <v>1883</v>
      </c>
      <c r="G4860" s="925"/>
      <c r="H4860" s="311"/>
      <c r="I4860" s="373"/>
      <c r="J4860" s="926"/>
      <c r="K4860" s="373"/>
      <c r="L4860" s="379"/>
      <c r="M4860" s="927">
        <v>1500000</v>
      </c>
      <c r="N4860" s="295" t="s">
        <v>101</v>
      </c>
      <c r="O4860" s="295" t="s">
        <v>63</v>
      </c>
      <c r="P4860" s="75" t="str">
        <f>IF(AND('331-CT'!$E$7=TH!H4316,OR(N4860="331",O4860="331")),"x","")</f>
        <v/>
      </c>
      <c r="Q4860" s="75" t="str">
        <f>IF(AND(B4860='111'!$L$11,OR($N4860=$Q$7,$O4860=$Q$7)),"x","")</f>
        <v/>
      </c>
      <c r="R4860" s="75" t="str">
        <f>IF(AND($N4860=$Q$7,$B4860&lt;'111'!$L$11),"x","")</f>
        <v/>
      </c>
      <c r="S4860" s="75" t="str">
        <f>IF(AND($O4860=$Q$7,$B4860&lt;'111'!$L$11),"x","")</f>
        <v>x</v>
      </c>
      <c r="T4860" s="75" t="str">
        <f>IF(ISERROR(FIND('112'!$M$9,G4860,1)),"",IF((AND(FIND('112'!$M$9,G4860,1)&gt;=1,B4860='112'!$K$9,OR($N4860='112'!$I$6,$O4860='112'!$I$6))),"x",""))</f>
        <v/>
      </c>
      <c r="U4860" s="75" t="str">
        <f>IF(ISERROR(FIND('112'!$M$9,G4860,1)),"",IF((AND(LEFT(G4860,2)=LEFT('112'!$M$9,2),B4860&lt;'112'!$K$9,$N4860='112'!$I$6)),"x",""))</f>
        <v/>
      </c>
      <c r="V4860" s="75" t="str">
        <f>IF(ISERROR(FIND('112'!$M$9,G4860,1)),"",IF((AND(RIGHT(G4860,2)=RIGHT('112'!$M$9,2),B4860&lt;'112'!$K$9,$O4860='112'!$I$6)),"x",""))</f>
        <v/>
      </c>
      <c r="W4860" s="75" t="str">
        <f>IF(AND('341-CT'!$H$9=H4860,OR(LEFT(N4860,3)=$W$7,LEFT(O4860,3)=$W$7)),"x","")</f>
        <v/>
      </c>
      <c r="X4860" s="75" t="str">
        <f>IF(OR(TH!N4316=TH!$X$7,O4860=TH!$X$7),"x","")</f>
        <v/>
      </c>
      <c r="Y4860" s="75" t="str">
        <f>IF(AND(OR(N4860="131",O4860="131"),H4860='131-CT'!$H$9),"x","")</f>
        <v/>
      </c>
      <c r="Z4860" s="75"/>
      <c r="AA4860" s="75" t="str">
        <f>IF(AND(MONTH(E4860)='IN-NX'!$J$5,'IN-NX'!$D$7=D4860),"x","")</f>
        <v/>
      </c>
      <c r="AB4860" s="75" t="str">
        <f>IF(AND(OR(LEFT(TH!N4316,2)="15",LEFT(TH!O4316,2)="15"),LEFT(TH!O4316,3)&lt;&gt;"111",'152-CT'!$J$8=TH!F4316),"x","")</f>
        <v/>
      </c>
      <c r="AC4860" s="75" t="str">
        <f>IF(AND(OR(LEFT(TH!N4316,2)="15",LEFT(TH!O4316,2)="15"),TK!$E$7=TH!F4316),"x","")</f>
        <v/>
      </c>
      <c r="AD4860" s="75" t="str">
        <f>IF(AND(N4860="1521",MONTH(C4860)='BK-NL'!$M$11),"x","")</f>
        <v/>
      </c>
      <c r="AE4860">
        <v>9</v>
      </c>
    </row>
    <row r="4861" spans="1:33" ht="16.5" customHeight="1">
      <c r="A4861" s="309" t="str">
        <f>IF(B4861&lt;&gt;"",IF(AND(B4861='IN-TC'!$S$4,OR(TH!N4851="1111",TH!O4851="1111")),TH!D4851,""),"")</f>
        <v/>
      </c>
      <c r="B4861" s="1129">
        <f t="shared" si="1336"/>
        <v>9</v>
      </c>
      <c r="C4861" s="292">
        <f t="shared" si="1337"/>
        <v>42993</v>
      </c>
      <c r="D4861" s="292"/>
      <c r="E4861" s="292">
        <v>42993</v>
      </c>
      <c r="F4861" s="1010" t="s">
        <v>1895</v>
      </c>
      <c r="G4861" s="925"/>
      <c r="H4861" s="311"/>
      <c r="I4861" s="373"/>
      <c r="J4861" s="926"/>
      <c r="K4861" s="373"/>
      <c r="L4861" s="379"/>
      <c r="M4861" s="927">
        <v>150000</v>
      </c>
      <c r="N4861" s="295" t="s">
        <v>9</v>
      </c>
      <c r="O4861" s="295" t="s">
        <v>63</v>
      </c>
      <c r="P4861" s="75" t="str">
        <f>IF(AND('331-CT'!$E$7=TH!H4317,OR(N4861="331",O4861="331")),"x","")</f>
        <v/>
      </c>
      <c r="Q4861" s="75" t="str">
        <f>IF(AND(B4861='111'!$L$11,OR($N4861=$Q$7,$O4861=$Q$7)),"x","")</f>
        <v/>
      </c>
      <c r="R4861" s="75" t="str">
        <f>IF(AND($N4861=$Q$7,$B4861&lt;'111'!$L$11),"x","")</f>
        <v/>
      </c>
      <c r="S4861" s="75" t="str">
        <f>IF(AND($O4861=$Q$7,$B4861&lt;'111'!$L$11),"x","")</f>
        <v>x</v>
      </c>
      <c r="T4861" s="75" t="str">
        <f>IF(ISERROR(FIND('112'!$M$9,G4861,1)),"",IF((AND(FIND('112'!$M$9,G4861,1)&gt;=1,B4861='112'!$K$9,OR($N4861='112'!$I$6,$O4861='112'!$I$6))),"x",""))</f>
        <v/>
      </c>
      <c r="U4861" s="75" t="str">
        <f>IF(ISERROR(FIND('112'!$M$9,G4861,1)),"",IF((AND(LEFT(G4861,2)=LEFT('112'!$M$9,2),B4861&lt;'112'!$K$9,$N4861='112'!$I$6)),"x",""))</f>
        <v/>
      </c>
      <c r="V4861" s="75" t="str">
        <f>IF(ISERROR(FIND('112'!$M$9,G4861,1)),"",IF((AND(RIGHT(G4861,2)=RIGHT('112'!$M$9,2),B4861&lt;'112'!$K$9,$O4861='112'!$I$6)),"x",""))</f>
        <v/>
      </c>
      <c r="W4861" s="75" t="str">
        <f>IF(AND('341-CT'!$H$9=H4861,OR(LEFT(N4861,3)=$W$7,LEFT(O4861,3)=$W$7)),"x","")</f>
        <v/>
      </c>
      <c r="X4861" s="75" t="str">
        <f>IF(OR(TH!N4317=TH!$X$7,O4861=TH!$X$7),"x","")</f>
        <v/>
      </c>
      <c r="Y4861" s="75" t="str">
        <f>IF(AND(OR(N4861="131",O4861="131"),H4861='131-CT'!$H$9),"x","")</f>
        <v/>
      </c>
      <c r="Z4861" s="75"/>
      <c r="AA4861" s="75" t="str">
        <f>IF(AND(MONTH(E4861)='IN-NX'!$J$5,'IN-NX'!$D$7=D4861),"x","")</f>
        <v/>
      </c>
      <c r="AB4861" s="75" t="str">
        <f>IF(AND(OR(LEFT(TH!N4317,2)="15",LEFT(TH!O4317,2)="15"),LEFT(TH!O4317,3)&lt;&gt;"111",'152-CT'!$J$8=TH!F4317),"x","")</f>
        <v/>
      </c>
      <c r="AC4861" s="75" t="str">
        <f>IF(AND(OR(LEFT(TH!N4317,2)="15",LEFT(TH!O4317,2)="15"),TK!$E$7=TH!F4317),"x","")</f>
        <v/>
      </c>
      <c r="AD4861" s="75" t="str">
        <f>IF(AND(N4861="1521",MONTH(C4861)='BK-NL'!$M$11),"x","")</f>
        <v/>
      </c>
      <c r="AE4861">
        <v>9</v>
      </c>
    </row>
    <row r="4862" spans="1:33" ht="16.5" customHeight="1">
      <c r="A4862" s="309" t="str">
        <f>IF(B4862&lt;&gt;"",IF(AND(B4862='IN-TC'!$S$4,OR(TH!N4852="1111",TH!O4852="1111")),TH!D4852,""),"")</f>
        <v/>
      </c>
      <c r="B4862" s="1242">
        <f t="shared" si="1336"/>
        <v>9</v>
      </c>
      <c r="C4862" s="292">
        <f t="shared" si="1337"/>
        <v>42993</v>
      </c>
      <c r="D4862" s="292" t="s">
        <v>2493</v>
      </c>
      <c r="E4862" s="292">
        <v>42993</v>
      </c>
      <c r="F4862" s="67" t="s">
        <v>885</v>
      </c>
      <c r="G4862" s="943" t="s">
        <v>1713</v>
      </c>
      <c r="H4862" s="294" t="s">
        <v>1023</v>
      </c>
      <c r="I4862" s="373"/>
      <c r="J4862" s="926"/>
      <c r="K4862" s="373"/>
      <c r="L4862" s="379"/>
      <c r="M4862" s="927">
        <v>2460000000</v>
      </c>
      <c r="N4862" s="295" t="s">
        <v>26</v>
      </c>
      <c r="O4862" s="295" t="s">
        <v>63</v>
      </c>
      <c r="P4862" s="75" t="str">
        <f>IF(AND('331-CT'!$E$7=TH!H4490,OR(N4862="331",O4862="331")),"x","")</f>
        <v/>
      </c>
      <c r="Q4862" s="75" t="str">
        <f>IF(AND(B4862='111'!$L$11,OR($N4862=$Q$7,$O4862=$Q$7)),"x","")</f>
        <v/>
      </c>
      <c r="R4862" s="75" t="str">
        <f>IF(AND($N4862=$Q$7,$B4862&lt;'111'!$L$11),"x","")</f>
        <v/>
      </c>
      <c r="S4862" s="75" t="str">
        <f>IF(AND($O4862=$Q$7,$B4862&lt;'111'!$L$11),"x","")</f>
        <v>x</v>
      </c>
      <c r="T4862" s="75" t="str">
        <f>IF(ISERROR(FIND('112'!$M$9,G4862,1)),"",IF((AND(FIND('112'!$M$9,G4862,1)&gt;=1,B4862='112'!$K$9,OR($N4862='112'!$I$6,$O4862='112'!$I$6))),"x",""))</f>
        <v/>
      </c>
      <c r="U4862" s="75" t="str">
        <f>IF(ISERROR(FIND('112'!$M$9,G4862,1)),"",IF((AND(LEFT(G4862,2)=LEFT('112'!$M$9,2),B4862&lt;'112'!$K$9,$N4862='112'!$I$6)),"x",""))</f>
        <v/>
      </c>
      <c r="V4862" s="75" t="str">
        <f>IF(ISERROR(FIND('112'!$M$9,G4862,1)),"",IF((AND(RIGHT(G4862,2)=RIGHT('112'!$M$9,2),B4862&lt;'112'!$K$9,$O4862='112'!$I$6)),"x",""))</f>
        <v/>
      </c>
      <c r="W4862" s="75" t="str">
        <f>IF(AND('341-CT'!$H$9=H4862,OR(LEFT(N4862,3)=$W$7,LEFT(O4862,3)=$W$7)),"x","")</f>
        <v/>
      </c>
      <c r="X4862" s="75" t="str">
        <f>IF(OR(TH!N4490=TH!$X$7,O4862=TH!$X$7),"x","")</f>
        <v/>
      </c>
      <c r="Y4862" s="75" t="str">
        <f>IF(AND(OR(N4862="131",O4862="131"),H4862='131-CT'!$H$9),"x","")</f>
        <v/>
      </c>
      <c r="Z4862" s="75"/>
      <c r="AA4862" s="75" t="str">
        <f>IF(AND(MONTH(E4862)='IN-NX'!$J$5,'IN-NX'!$D$7=D4862),"x","")</f>
        <v/>
      </c>
      <c r="AB4862" s="75" t="str">
        <f>IF(AND(OR(LEFT(TH!N4490,2)="15",LEFT(TH!O4490,2)="15"),LEFT(TH!O4490,3)&lt;&gt;"111",'152-CT'!$J$8=TH!F4490),"x","")</f>
        <v/>
      </c>
      <c r="AC4862" s="75" t="str">
        <f>IF(AND(OR(LEFT(TH!N4490,2)="15",LEFT(TH!O4490,2)="15"),TK!$E$7=TH!F4490),"x","")</f>
        <v/>
      </c>
      <c r="AD4862" s="75" t="str">
        <f>IF(AND(N4862="1521",MONTH(C4862)='BK-NL'!$M$11),"x","")</f>
        <v/>
      </c>
      <c r="AE4862" s="1053"/>
      <c r="AF4862" s="1053"/>
      <c r="AG4862" s="1053"/>
    </row>
    <row r="4863" spans="1:33" ht="16.5" customHeight="1">
      <c r="A4863" s="309" t="str">
        <f>IF(B4863&lt;&gt;"",IF(AND(B4863='IN-TC'!$S$4,OR(TH!N4853="1111",TH!O4853="1111")),TH!D4853,""),"")</f>
        <v/>
      </c>
      <c r="B4863" s="1242">
        <f t="shared" si="1336"/>
        <v>9</v>
      </c>
      <c r="C4863" s="292">
        <f t="shared" si="1337"/>
        <v>42993</v>
      </c>
      <c r="D4863" s="59" t="s">
        <v>902</v>
      </c>
      <c r="E4863" s="59">
        <v>42993</v>
      </c>
      <c r="F4863" s="67" t="s">
        <v>897</v>
      </c>
      <c r="G4863" s="62" t="s">
        <v>1713</v>
      </c>
      <c r="H4863" s="294" t="s">
        <v>789</v>
      </c>
      <c r="I4863" s="373"/>
      <c r="J4863" s="382"/>
      <c r="K4863" s="373"/>
      <c r="L4863" s="379"/>
      <c r="M4863" s="60">
        <v>463440000</v>
      </c>
      <c r="N4863" s="61" t="s">
        <v>8</v>
      </c>
      <c r="O4863" s="61" t="s">
        <v>26</v>
      </c>
      <c r="P4863" s="75" t="str">
        <f>IF(AND('331-CT'!$E$7=TH!H4491,OR(N4863="331",O4863="331")),"x","")</f>
        <v/>
      </c>
      <c r="Q4863" s="75" t="str">
        <f>IF(AND(B4863='111'!$L$11,OR($N4863=$Q$7,$O4863=$Q$7)),"x","")</f>
        <v/>
      </c>
      <c r="R4863" s="75" t="str">
        <f>IF(AND($N4863=$Q$7,$B4863&lt;'111'!$L$11),"x","")</f>
        <v/>
      </c>
      <c r="S4863" s="75" t="str">
        <f>IF(AND($O4863=$Q$7,$B4863&lt;'111'!$L$11),"x","")</f>
        <v/>
      </c>
      <c r="T4863" s="75" t="str">
        <f>IF(ISERROR(FIND('112'!$M$9,G4863,1)),"",IF((AND(FIND('112'!$M$9,G4863,1)&gt;=1,B4863='112'!$K$9,OR($N4863='112'!$I$6,$O4863='112'!$I$6))),"x",""))</f>
        <v/>
      </c>
      <c r="U4863" s="75" t="str">
        <f>IF(ISERROR(FIND('112'!$M$9,G4863,1)),"",IF((AND(LEFT(G4863,2)=LEFT('112'!$M$9,2),B4863&lt;'112'!$K$9,$N4863='112'!$I$6)),"x",""))</f>
        <v/>
      </c>
      <c r="V4863" s="75" t="str">
        <f>IF(ISERROR(FIND('112'!$M$9,G4863,1)),"",IF((AND(RIGHT(G4863,2)=RIGHT('112'!$M$9,2),B4863&lt;'112'!$K$9,$O4863='112'!$I$6)),"x",""))</f>
        <v/>
      </c>
      <c r="W4863" s="75" t="str">
        <f>IF(AND('341-CT'!$H$9=H4863,OR(LEFT(N4863,3)=$W$7,LEFT(O4863,3)=$W$7)),"x","")</f>
        <v/>
      </c>
      <c r="X4863" s="75" t="str">
        <f>IF(OR(TH!N4491=TH!$X$7,O4863=TH!$X$7),"x","")</f>
        <v/>
      </c>
      <c r="Y4863" s="75" t="str">
        <f>IF(AND(OR(N4863="131",O4863="131"),H4863='131-CT'!$H$9),"x","")</f>
        <v/>
      </c>
      <c r="Z4863" s="75"/>
      <c r="AA4863" s="75" t="str">
        <f>IF(AND(MONTH(E4863)='IN-NX'!$J$5,'IN-NX'!$D$7=D4863),"x","")</f>
        <v/>
      </c>
      <c r="AB4863" s="75" t="str">
        <f>IF(AND(OR(LEFT(TH!N4491,2)="15",LEFT(TH!O4491,2)="15"),LEFT(TH!O4491,3)&lt;&gt;"111",'152-CT'!$J$8=TH!F4491),"x","")</f>
        <v/>
      </c>
      <c r="AC4863" s="75" t="str">
        <f>IF(AND(OR(LEFT(TH!N4491,2)="15",LEFT(TH!O4491,2)="15"),TK!$E$7=TH!F4491),"x","")</f>
        <v/>
      </c>
      <c r="AD4863" s="75" t="str">
        <f>IF(AND(N4863="1521",MONTH(C4863)='BK-NL'!$M$11),"x","")</f>
        <v/>
      </c>
      <c r="AE4863" s="1053"/>
      <c r="AF4863" s="1053"/>
      <c r="AG4863" s="1053"/>
    </row>
    <row r="4864" spans="1:33" ht="16.5" customHeight="1">
      <c r="A4864" s="309" t="str">
        <f>IF(B4864&lt;&gt;"",IF(AND(B4864='IN-TC'!$S$4,OR(TH!N4854="1111",TH!O4854="1111")),TH!D4854,""),"")</f>
        <v/>
      </c>
      <c r="B4864" s="1242">
        <f t="shared" si="1336"/>
        <v>9</v>
      </c>
      <c r="C4864" s="292">
        <f t="shared" si="1337"/>
        <v>42993</v>
      </c>
      <c r="D4864" s="59" t="s">
        <v>902</v>
      </c>
      <c r="E4864" s="59">
        <v>42993</v>
      </c>
      <c r="F4864" s="67" t="s">
        <v>1307</v>
      </c>
      <c r="G4864" s="62" t="s">
        <v>1713</v>
      </c>
      <c r="H4864" s="67" t="s">
        <v>1771</v>
      </c>
      <c r="I4864" s="373"/>
      <c r="J4864" s="382"/>
      <c r="K4864" s="373"/>
      <c r="L4864" s="379"/>
      <c r="M4864" s="60">
        <v>46344</v>
      </c>
      <c r="N4864" s="61" t="s">
        <v>101</v>
      </c>
      <c r="O4864" s="61" t="s">
        <v>26</v>
      </c>
      <c r="P4864" s="75" t="str">
        <f>IF(AND('331-CT'!$E$7=TH!H4492,OR(N4864="331",O4864="331")),"x","")</f>
        <v/>
      </c>
      <c r="Q4864" s="75" t="str">
        <f>IF(AND(B4864='111'!$L$11,OR($N4864=$Q$7,$O4864=$Q$7)),"x","")</f>
        <v/>
      </c>
      <c r="R4864" s="75" t="str">
        <f>IF(AND($N4864=$Q$7,$B4864&lt;'111'!$L$11),"x","")</f>
        <v/>
      </c>
      <c r="S4864" s="75" t="str">
        <f>IF(AND($O4864=$Q$7,$B4864&lt;'111'!$L$11),"x","")</f>
        <v/>
      </c>
      <c r="T4864" s="75" t="str">
        <f>IF(ISERROR(FIND('112'!$M$9,G4864,1)),"",IF((AND(FIND('112'!$M$9,G4864,1)&gt;=1,B4864='112'!$K$9,OR($N4864='112'!$I$6,$O4864='112'!$I$6))),"x",""))</f>
        <v/>
      </c>
      <c r="U4864" s="75" t="str">
        <f>IF(ISERROR(FIND('112'!$M$9,G4864,1)),"",IF((AND(LEFT(G4864,2)=LEFT('112'!$M$9,2),B4864&lt;'112'!$K$9,$N4864='112'!$I$6)),"x",""))</f>
        <v/>
      </c>
      <c r="V4864" s="75" t="str">
        <f>IF(ISERROR(FIND('112'!$M$9,G4864,1)),"",IF((AND(RIGHT(G4864,2)=RIGHT('112'!$M$9,2),B4864&lt;'112'!$K$9,$O4864='112'!$I$6)),"x",""))</f>
        <v/>
      </c>
      <c r="W4864" s="75" t="str">
        <f>IF(AND('341-CT'!$H$9=H4864,OR(LEFT(N4864,3)=$W$7,LEFT(O4864,3)=$W$7)),"x","")</f>
        <v/>
      </c>
      <c r="X4864" s="75" t="str">
        <f>IF(OR(TH!N4492=TH!$X$7,O4864=TH!$X$7),"x","")</f>
        <v/>
      </c>
      <c r="Y4864" s="75" t="str">
        <f>IF(AND(OR(N4864="131",O4864="131"),H4864='131-CT'!$H$9),"x","")</f>
        <v/>
      </c>
      <c r="Z4864" s="75"/>
      <c r="AA4864" s="75" t="str">
        <f>IF(AND(MONTH(E4864)='IN-NX'!$J$5,'IN-NX'!$D$7=D4864),"x","")</f>
        <v/>
      </c>
      <c r="AB4864" s="75" t="str">
        <f>IF(AND(OR(LEFT(TH!N4492,2)="15",LEFT(TH!O4492,2)="15"),LEFT(TH!O4492,3)&lt;&gt;"111",'152-CT'!$J$8=TH!F4492),"x","")</f>
        <v/>
      </c>
      <c r="AC4864" s="75" t="str">
        <f>IF(AND(OR(LEFT(TH!N4492,2)="15",LEFT(TH!O4492,2)="15"),TK!$E$7=TH!F4492),"x","")</f>
        <v/>
      </c>
      <c r="AD4864" s="75" t="str">
        <f>IF(AND(N4864="1521",MONTH(C4864)='BK-NL'!$M$11),"x","")</f>
        <v/>
      </c>
      <c r="AE4864">
        <v>9</v>
      </c>
      <c r="AF4864" s="1053"/>
      <c r="AG4864" s="1053"/>
    </row>
    <row r="4865" spans="1:33" ht="16.5" customHeight="1">
      <c r="A4865" s="309" t="str">
        <f>IF(B4865&lt;&gt;"",IF(AND(B4865='IN-TC'!$S$4,OR(TH!N4855="1111",TH!O4855="1111")),TH!D4855,""),"")</f>
        <v/>
      </c>
      <c r="B4865" s="1242">
        <f t="shared" si="1336"/>
        <v>9</v>
      </c>
      <c r="C4865" s="292">
        <f t="shared" si="1337"/>
        <v>42993</v>
      </c>
      <c r="D4865" s="59" t="s">
        <v>902</v>
      </c>
      <c r="E4865" s="59">
        <v>42993</v>
      </c>
      <c r="F4865" s="67" t="s">
        <v>2101</v>
      </c>
      <c r="G4865" s="62" t="s">
        <v>1713</v>
      </c>
      <c r="H4865" s="67" t="s">
        <v>1771</v>
      </c>
      <c r="I4865" s="373"/>
      <c r="J4865" s="382"/>
      <c r="K4865" s="373"/>
      <c r="L4865" s="379"/>
      <c r="M4865" s="60">
        <v>4634</v>
      </c>
      <c r="N4865" s="61" t="s">
        <v>9</v>
      </c>
      <c r="O4865" s="61" t="s">
        <v>26</v>
      </c>
      <c r="P4865" s="75" t="str">
        <f>IF(AND('331-CT'!$E$7=TH!H4493,OR(N4865="331",O4865="331")),"x","")</f>
        <v/>
      </c>
      <c r="Q4865" s="75" t="str">
        <f>IF(AND(B4865='111'!$L$11,OR($N4865=$Q$7,$O4865=$Q$7)),"x","")</f>
        <v/>
      </c>
      <c r="R4865" s="75" t="str">
        <f>IF(AND($N4865=$Q$7,$B4865&lt;'111'!$L$11),"x","")</f>
        <v/>
      </c>
      <c r="S4865" s="75" t="str">
        <f>IF(AND($O4865=$Q$7,$B4865&lt;'111'!$L$11),"x","")</f>
        <v/>
      </c>
      <c r="T4865" s="75" t="str">
        <f>IF(ISERROR(FIND('112'!$M$9,G4865,1)),"",IF((AND(FIND('112'!$M$9,G4865,1)&gt;=1,B4865='112'!$K$9,OR($N4865='112'!$I$6,$O4865='112'!$I$6))),"x",""))</f>
        <v/>
      </c>
      <c r="U4865" s="75" t="str">
        <f>IF(ISERROR(FIND('112'!$M$9,G4865,1)),"",IF((AND(LEFT(G4865,2)=LEFT('112'!$M$9,2),B4865&lt;'112'!$K$9,$N4865='112'!$I$6)),"x",""))</f>
        <v/>
      </c>
      <c r="V4865" s="75" t="str">
        <f>IF(ISERROR(FIND('112'!$M$9,G4865,1)),"",IF((AND(RIGHT(G4865,2)=RIGHT('112'!$M$9,2),B4865&lt;'112'!$K$9,$O4865='112'!$I$6)),"x",""))</f>
        <v/>
      </c>
      <c r="W4865" s="75" t="str">
        <f>IF(AND('341-CT'!$H$9=H4865,OR(LEFT(N4865,3)=$W$7,LEFT(O4865,3)=$W$7)),"x","")</f>
        <v/>
      </c>
      <c r="X4865" s="75" t="str">
        <f>IF(OR(TH!N4493=TH!$X$7,O4865=TH!$X$7),"x","")</f>
        <v/>
      </c>
      <c r="Y4865" s="75" t="str">
        <f>IF(AND(OR(N4865="131",O4865="131"),H4865='131-CT'!$H$9),"x","")</f>
        <v/>
      </c>
      <c r="Z4865" s="75"/>
      <c r="AA4865" s="75" t="str">
        <f>IF(AND(MONTH(E4865)='IN-NX'!$J$5,'IN-NX'!$D$7=D4865),"x","")</f>
        <v/>
      </c>
      <c r="AB4865" s="75" t="str">
        <f>IF(AND(OR(LEFT(TH!N4493,2)="15",LEFT(TH!O4493,2)="15"),LEFT(TH!O4493,3)&lt;&gt;"111",'152-CT'!$J$8=TH!F4493),"x","")</f>
        <v/>
      </c>
      <c r="AC4865" s="75" t="str">
        <f>IF(AND(OR(LEFT(TH!N4493,2)="15",LEFT(TH!O4493,2)="15"),TK!$E$7=TH!F4493),"x","")</f>
        <v/>
      </c>
      <c r="AD4865" s="75" t="str">
        <f>IF(AND(N4865="1521",MONTH(C4865)='BK-NL'!$M$11),"x","")</f>
        <v/>
      </c>
      <c r="AE4865">
        <v>9</v>
      </c>
      <c r="AF4865" s="1053"/>
      <c r="AG4865" s="1053"/>
    </row>
    <row r="4866" spans="1:33" ht="16.5" customHeight="1">
      <c r="A4866" s="309" t="str">
        <f>IF(B4866&lt;&gt;"",IF(AND(B4866='IN-TC'!$S$4,OR(TH!N4856="1111",TH!O4856="1111")),TH!D4856,""),"")</f>
        <v/>
      </c>
      <c r="B4866" s="1242">
        <f t="shared" si="1336"/>
        <v>9</v>
      </c>
      <c r="C4866" s="292">
        <f t="shared" si="1337"/>
        <v>42993</v>
      </c>
      <c r="D4866" s="59" t="s">
        <v>902</v>
      </c>
      <c r="E4866" s="59">
        <v>42993</v>
      </c>
      <c r="F4866" s="67" t="s">
        <v>897</v>
      </c>
      <c r="G4866" s="62" t="s">
        <v>1713</v>
      </c>
      <c r="H4866" s="294" t="s">
        <v>789</v>
      </c>
      <c r="I4866" s="373"/>
      <c r="J4866" s="382"/>
      <c r="K4866" s="373"/>
      <c r="L4866" s="379"/>
      <c r="M4866" s="60">
        <v>1000000000</v>
      </c>
      <c r="N4866" s="61" t="s">
        <v>8</v>
      </c>
      <c r="O4866" s="61" t="s">
        <v>26</v>
      </c>
      <c r="P4866" s="75" t="str">
        <f>IF(AND('331-CT'!$E$7=TH!H4494,OR(N4866="331",O4866="331")),"x","")</f>
        <v/>
      </c>
      <c r="Q4866" s="75" t="str">
        <f>IF(AND(B4866='111'!$L$11,OR($N4866=$Q$7,$O4866=$Q$7)),"x","")</f>
        <v/>
      </c>
      <c r="R4866" s="75" t="str">
        <f>IF(AND($N4866=$Q$7,$B4866&lt;'111'!$L$11),"x","")</f>
        <v/>
      </c>
      <c r="S4866" s="75" t="str">
        <f>IF(AND($O4866=$Q$7,$B4866&lt;'111'!$L$11),"x","")</f>
        <v/>
      </c>
      <c r="T4866" s="75" t="str">
        <f>IF(ISERROR(FIND('112'!$M$9,G4866,1)),"",IF((AND(FIND('112'!$M$9,G4866,1)&gt;=1,B4866='112'!$K$9,OR($N4866='112'!$I$6,$O4866='112'!$I$6))),"x",""))</f>
        <v/>
      </c>
      <c r="U4866" s="75" t="str">
        <f>IF(ISERROR(FIND('112'!$M$9,G4866,1)),"",IF((AND(LEFT(G4866,2)=LEFT('112'!$M$9,2),B4866&lt;'112'!$K$9,$N4866='112'!$I$6)),"x",""))</f>
        <v/>
      </c>
      <c r="V4866" s="75" t="str">
        <f>IF(ISERROR(FIND('112'!$M$9,G4866,1)),"",IF((AND(RIGHT(G4866,2)=RIGHT('112'!$M$9,2),B4866&lt;'112'!$K$9,$O4866='112'!$I$6)),"x",""))</f>
        <v/>
      </c>
      <c r="W4866" s="75" t="str">
        <f>IF(AND('341-CT'!$H$9=H4866,OR(LEFT(N4866,3)=$W$7,LEFT(O4866,3)=$W$7)),"x","")</f>
        <v/>
      </c>
      <c r="X4866" s="75" t="str">
        <f>IF(OR(TH!N4494=TH!$X$7,O4866=TH!$X$7),"x","")</f>
        <v/>
      </c>
      <c r="Y4866" s="75" t="str">
        <f>IF(AND(OR(N4866="131",O4866="131"),H4866='131-CT'!$H$9),"x","")</f>
        <v/>
      </c>
      <c r="Z4866" s="75"/>
      <c r="AA4866" s="75" t="str">
        <f>IF(AND(MONTH(E4866)='IN-NX'!$J$5,'IN-NX'!$D$7=D4866),"x","")</f>
        <v/>
      </c>
      <c r="AB4866" s="75" t="str">
        <f>IF(AND(OR(LEFT(TH!N4494,2)="15",LEFT(TH!O4494,2)="15"),LEFT(TH!O4494,3)&lt;&gt;"111",'152-CT'!$J$8=TH!F4494),"x","")</f>
        <v/>
      </c>
      <c r="AC4866" s="75" t="str">
        <f>IF(AND(OR(LEFT(TH!N4494,2)="15",LEFT(TH!O4494,2)="15"),TK!$E$7=TH!F4494),"x","")</f>
        <v/>
      </c>
      <c r="AD4866" s="75" t="str">
        <f>IF(AND(N4866="1521",MONTH(C4866)='BK-NL'!$M$11),"x","")</f>
        <v/>
      </c>
      <c r="AE4866" s="1053"/>
      <c r="AF4866" s="1053"/>
      <c r="AG4866" s="1053"/>
    </row>
    <row r="4867" spans="1:33" ht="16.5" customHeight="1">
      <c r="A4867" s="309" t="str">
        <f>IF(B4867&lt;&gt;"",IF(AND(B4867='IN-TC'!$S$4,OR(TH!N4857="1111",TH!O4857="1111")),TH!D4857,""),"")</f>
        <v/>
      </c>
      <c r="B4867" s="1242">
        <f t="shared" si="1336"/>
        <v>9</v>
      </c>
      <c r="C4867" s="292">
        <f t="shared" si="1337"/>
        <v>42993</v>
      </c>
      <c r="D4867" s="59" t="s">
        <v>902</v>
      </c>
      <c r="E4867" s="59">
        <v>42993</v>
      </c>
      <c r="F4867" s="67" t="s">
        <v>1307</v>
      </c>
      <c r="G4867" s="62" t="s">
        <v>1713</v>
      </c>
      <c r="H4867" s="67" t="s">
        <v>1771</v>
      </c>
      <c r="I4867" s="373"/>
      <c r="J4867" s="382"/>
      <c r="K4867" s="373"/>
      <c r="L4867" s="379"/>
      <c r="M4867" s="60">
        <v>100000</v>
      </c>
      <c r="N4867" s="61" t="s">
        <v>101</v>
      </c>
      <c r="O4867" s="61" t="s">
        <v>26</v>
      </c>
      <c r="P4867" s="75" t="str">
        <f>IF(AND('331-CT'!$E$7=TH!H4495,OR(N4867="331",O4867="331")),"x","")</f>
        <v/>
      </c>
      <c r="Q4867" s="75" t="str">
        <f>IF(AND(B4867='111'!$L$11,OR($N4867=$Q$7,$O4867=$Q$7)),"x","")</f>
        <v/>
      </c>
      <c r="R4867" s="75" t="str">
        <f>IF(AND($N4867=$Q$7,$B4867&lt;'111'!$L$11),"x","")</f>
        <v/>
      </c>
      <c r="S4867" s="75" t="str">
        <f>IF(AND($O4867=$Q$7,$B4867&lt;'111'!$L$11),"x","")</f>
        <v/>
      </c>
      <c r="T4867" s="75" t="str">
        <f>IF(ISERROR(FIND('112'!$M$9,G4867,1)),"",IF((AND(FIND('112'!$M$9,G4867,1)&gt;=1,B4867='112'!$K$9,OR($N4867='112'!$I$6,$O4867='112'!$I$6))),"x",""))</f>
        <v/>
      </c>
      <c r="U4867" s="75" t="str">
        <f>IF(ISERROR(FIND('112'!$M$9,G4867,1)),"",IF((AND(LEFT(G4867,2)=LEFT('112'!$M$9,2),B4867&lt;'112'!$K$9,$N4867='112'!$I$6)),"x",""))</f>
        <v/>
      </c>
      <c r="V4867" s="75" t="str">
        <f>IF(ISERROR(FIND('112'!$M$9,G4867,1)),"",IF((AND(RIGHT(G4867,2)=RIGHT('112'!$M$9,2),B4867&lt;'112'!$K$9,$O4867='112'!$I$6)),"x",""))</f>
        <v/>
      </c>
      <c r="W4867" s="75" t="str">
        <f>IF(AND('341-CT'!$H$9=H4867,OR(LEFT(N4867,3)=$W$7,LEFT(O4867,3)=$W$7)),"x","")</f>
        <v/>
      </c>
      <c r="X4867" s="75" t="str">
        <f>IF(OR(TH!N4495=TH!$X$7,O4867=TH!$X$7),"x","")</f>
        <v/>
      </c>
      <c r="Y4867" s="75" t="str">
        <f>IF(AND(OR(N4867="131",O4867="131"),H4867='131-CT'!$H$9),"x","")</f>
        <v/>
      </c>
      <c r="Z4867" s="75"/>
      <c r="AA4867" s="75" t="str">
        <f>IF(AND(MONTH(E4867)='IN-NX'!$J$5,'IN-NX'!$D$7=D4867),"x","")</f>
        <v/>
      </c>
      <c r="AB4867" s="75" t="str">
        <f>IF(AND(OR(LEFT(TH!N4495,2)="15",LEFT(TH!O4495,2)="15"),LEFT(TH!O4495,3)&lt;&gt;"111",'152-CT'!$J$8=TH!F4495),"x","")</f>
        <v/>
      </c>
      <c r="AC4867" s="75" t="str">
        <f>IF(AND(OR(LEFT(TH!N4495,2)="15",LEFT(TH!O4495,2)="15"),TK!$E$7=TH!F4495),"x","")</f>
        <v/>
      </c>
      <c r="AD4867" s="75" t="str">
        <f>IF(AND(N4867="1521",MONTH(C4867)='BK-NL'!$M$11),"x","")</f>
        <v/>
      </c>
      <c r="AE4867">
        <v>9</v>
      </c>
      <c r="AF4867" s="1053"/>
      <c r="AG4867" s="1053"/>
    </row>
    <row r="4868" spans="1:33" ht="16.5" customHeight="1">
      <c r="A4868" s="309" t="str">
        <f>IF(B4868&lt;&gt;"",IF(AND(B4868='IN-TC'!$S$4,OR(TH!N4858="1111",TH!O4858="1111")),TH!D4858,""),"")</f>
        <v/>
      </c>
      <c r="B4868" s="1242">
        <f t="shared" si="1336"/>
        <v>9</v>
      </c>
      <c r="C4868" s="292">
        <f t="shared" si="1337"/>
        <v>42993</v>
      </c>
      <c r="D4868" s="59" t="s">
        <v>902</v>
      </c>
      <c r="E4868" s="59">
        <v>42993</v>
      </c>
      <c r="F4868" s="67" t="s">
        <v>2101</v>
      </c>
      <c r="G4868" s="62" t="s">
        <v>1713</v>
      </c>
      <c r="H4868" s="67" t="s">
        <v>1771</v>
      </c>
      <c r="I4868" s="373"/>
      <c r="J4868" s="382"/>
      <c r="K4868" s="373"/>
      <c r="L4868" s="379"/>
      <c r="M4868" s="60">
        <v>10000</v>
      </c>
      <c r="N4868" s="61" t="s">
        <v>9</v>
      </c>
      <c r="O4868" s="61" t="s">
        <v>26</v>
      </c>
      <c r="P4868" s="75" t="str">
        <f>IF(AND('331-CT'!$E$7=TH!H4496,OR(N4868="331",O4868="331")),"x","")</f>
        <v/>
      </c>
      <c r="Q4868" s="75" t="str">
        <f>IF(AND(B4868='111'!$L$11,OR($N4868=$Q$7,$O4868=$Q$7)),"x","")</f>
        <v/>
      </c>
      <c r="R4868" s="75" t="str">
        <f>IF(AND($N4868=$Q$7,$B4868&lt;'111'!$L$11),"x","")</f>
        <v/>
      </c>
      <c r="S4868" s="75" t="str">
        <f>IF(AND($O4868=$Q$7,$B4868&lt;'111'!$L$11),"x","")</f>
        <v/>
      </c>
      <c r="T4868" s="75" t="str">
        <f>IF(ISERROR(FIND('112'!$M$9,G4868,1)),"",IF((AND(FIND('112'!$M$9,G4868,1)&gt;=1,B4868='112'!$K$9,OR($N4868='112'!$I$6,$O4868='112'!$I$6))),"x",""))</f>
        <v/>
      </c>
      <c r="U4868" s="75" t="str">
        <f>IF(ISERROR(FIND('112'!$M$9,G4868,1)),"",IF((AND(LEFT(G4868,2)=LEFT('112'!$M$9,2),B4868&lt;'112'!$K$9,$N4868='112'!$I$6)),"x",""))</f>
        <v/>
      </c>
      <c r="V4868" s="75" t="str">
        <f>IF(ISERROR(FIND('112'!$M$9,G4868,1)),"",IF((AND(RIGHT(G4868,2)=RIGHT('112'!$M$9,2),B4868&lt;'112'!$K$9,$O4868='112'!$I$6)),"x",""))</f>
        <v/>
      </c>
      <c r="W4868" s="75" t="str">
        <f>IF(AND('341-CT'!$H$9=H4868,OR(LEFT(N4868,3)=$W$7,LEFT(O4868,3)=$W$7)),"x","")</f>
        <v/>
      </c>
      <c r="X4868" s="75" t="str">
        <f>IF(OR(TH!N4496=TH!$X$7,O4868=TH!$X$7),"x","")</f>
        <v/>
      </c>
      <c r="Y4868" s="75" t="str">
        <f>IF(AND(OR(N4868="131",O4868="131"),H4868='131-CT'!$H$9),"x","")</f>
        <v/>
      </c>
      <c r="Z4868" s="75"/>
      <c r="AA4868" s="75" t="str">
        <f>IF(AND(MONTH(E4868)='IN-NX'!$J$5,'IN-NX'!$D$7=D4868),"x","")</f>
        <v/>
      </c>
      <c r="AB4868" s="75" t="str">
        <f>IF(AND(OR(LEFT(TH!N4496,2)="15",LEFT(TH!O4496,2)="15"),LEFT(TH!O4496,3)&lt;&gt;"111",'152-CT'!$J$8=TH!F4496),"x","")</f>
        <v/>
      </c>
      <c r="AC4868" s="75" t="str">
        <f>IF(AND(OR(LEFT(TH!N4496,2)="15",LEFT(TH!O4496,2)="15"),TK!$E$7=TH!F4496),"x","")</f>
        <v/>
      </c>
      <c r="AD4868" s="75" t="str">
        <f>IF(AND(N4868="1521",MONTH(C4868)='BK-NL'!$M$11),"x","")</f>
        <v/>
      </c>
      <c r="AE4868">
        <v>9</v>
      </c>
      <c r="AF4868" s="1053"/>
      <c r="AG4868" s="1053"/>
    </row>
    <row r="4869" spans="1:33" ht="16.5" customHeight="1">
      <c r="A4869" s="309" t="str">
        <f>IF(B4869&lt;&gt;"",IF(AND(B4869='IN-TC'!$S$4,OR(TH!N4859="1111",TH!O4859="1111")),TH!D4859,""),"")</f>
        <v/>
      </c>
      <c r="B4869" s="1242">
        <f t="shared" si="1336"/>
        <v>9</v>
      </c>
      <c r="C4869" s="292">
        <f t="shared" si="1337"/>
        <v>42993</v>
      </c>
      <c r="D4869" s="59" t="s">
        <v>902</v>
      </c>
      <c r="E4869" s="59">
        <v>42993</v>
      </c>
      <c r="F4869" s="67" t="s">
        <v>897</v>
      </c>
      <c r="G4869" s="62" t="s">
        <v>1713</v>
      </c>
      <c r="H4869" s="294" t="s">
        <v>789</v>
      </c>
      <c r="I4869" s="373"/>
      <c r="J4869" s="382"/>
      <c r="K4869" s="373"/>
      <c r="L4869" s="379"/>
      <c r="M4869" s="60">
        <v>1000000000</v>
      </c>
      <c r="N4869" s="61" t="s">
        <v>8</v>
      </c>
      <c r="O4869" s="61" t="s">
        <v>26</v>
      </c>
      <c r="P4869" s="75" t="str">
        <f>IF(AND('331-CT'!$E$7=TH!H4497,OR(N4869="331",O4869="331")),"x","")</f>
        <v/>
      </c>
      <c r="Q4869" s="75" t="str">
        <f>IF(AND(B4869='111'!$L$11,OR($N4869=$Q$7,$O4869=$Q$7)),"x","")</f>
        <v/>
      </c>
      <c r="R4869" s="75" t="str">
        <f>IF(AND($N4869=$Q$7,$B4869&lt;'111'!$L$11),"x","")</f>
        <v/>
      </c>
      <c r="S4869" s="75" t="str">
        <f>IF(AND($O4869=$Q$7,$B4869&lt;'111'!$L$11),"x","")</f>
        <v/>
      </c>
      <c r="T4869" s="75" t="str">
        <f>IF(ISERROR(FIND('112'!$M$9,G4869,1)),"",IF((AND(FIND('112'!$M$9,G4869,1)&gt;=1,B4869='112'!$K$9,OR($N4869='112'!$I$6,$O4869='112'!$I$6))),"x",""))</f>
        <v/>
      </c>
      <c r="U4869" s="75" t="str">
        <f>IF(ISERROR(FIND('112'!$M$9,G4869,1)),"",IF((AND(LEFT(G4869,2)=LEFT('112'!$M$9,2),B4869&lt;'112'!$K$9,$N4869='112'!$I$6)),"x",""))</f>
        <v/>
      </c>
      <c r="V4869" s="75" t="str">
        <f>IF(ISERROR(FIND('112'!$M$9,G4869,1)),"",IF((AND(RIGHT(G4869,2)=RIGHT('112'!$M$9,2),B4869&lt;'112'!$K$9,$O4869='112'!$I$6)),"x",""))</f>
        <v/>
      </c>
      <c r="W4869" s="75" t="str">
        <f>IF(AND('341-CT'!$H$9=H4869,OR(LEFT(N4869,3)=$W$7,LEFT(O4869,3)=$W$7)),"x","")</f>
        <v/>
      </c>
      <c r="X4869" s="75" t="str">
        <f>IF(OR(TH!N4497=TH!$X$7,O4869=TH!$X$7),"x","")</f>
        <v/>
      </c>
      <c r="Y4869" s="75" t="str">
        <f>IF(AND(OR(N4869="131",O4869="131"),H4869='131-CT'!$H$9),"x","")</f>
        <v/>
      </c>
      <c r="Z4869" s="75"/>
      <c r="AA4869" s="75" t="str">
        <f>IF(AND(MONTH(E4869)='IN-NX'!$J$5,'IN-NX'!$D$7=D4869),"x","")</f>
        <v/>
      </c>
      <c r="AB4869" s="75" t="str">
        <f>IF(AND(OR(LEFT(TH!N4497,2)="15",LEFT(TH!O4497,2)="15"),LEFT(TH!O4497,3)&lt;&gt;"111",'152-CT'!$J$8=TH!F4497),"x","")</f>
        <v/>
      </c>
      <c r="AC4869" s="75" t="str">
        <f>IF(AND(OR(LEFT(TH!N4497,2)="15",LEFT(TH!O4497,2)="15"),TK!$E$7=TH!F4497),"x","")</f>
        <v/>
      </c>
      <c r="AD4869" s="75" t="str">
        <f>IF(AND(N4869="1521",MONTH(C4869)='BK-NL'!$M$11),"x","")</f>
        <v/>
      </c>
      <c r="AE4869" s="1053"/>
      <c r="AF4869" s="1053"/>
      <c r="AG4869" s="1053"/>
    </row>
    <row r="4870" spans="1:33" s="304" customFormat="1" ht="16.5" customHeight="1">
      <c r="A4870" s="309" t="str">
        <f>IF(B4870&lt;&gt;"",IF(AND(B4870='IN-TC'!$S$4,OR(TH!N4860="1111",TH!O4860="1111")),TH!D4860,""),"")</f>
        <v/>
      </c>
      <c r="B4870" s="1242">
        <f t="shared" si="1336"/>
        <v>9</v>
      </c>
      <c r="C4870" s="292">
        <f t="shared" si="1337"/>
        <v>42993</v>
      </c>
      <c r="D4870" s="59" t="s">
        <v>902</v>
      </c>
      <c r="E4870" s="59">
        <v>42993</v>
      </c>
      <c r="F4870" s="67" t="s">
        <v>1307</v>
      </c>
      <c r="G4870" s="62" t="s">
        <v>1713</v>
      </c>
      <c r="H4870" s="67" t="s">
        <v>1771</v>
      </c>
      <c r="I4870" s="373"/>
      <c r="J4870" s="382"/>
      <c r="K4870" s="373"/>
      <c r="L4870" s="379"/>
      <c r="M4870" s="60">
        <v>100000</v>
      </c>
      <c r="N4870" s="61" t="s">
        <v>101</v>
      </c>
      <c r="O4870" s="61" t="s">
        <v>26</v>
      </c>
      <c r="P4870" s="75" t="str">
        <f>IF(AND('331-CT'!$E$7=TH!H4498,OR(N4870="331",O4870="331")),"x","")</f>
        <v/>
      </c>
      <c r="Q4870" s="75" t="str">
        <f>IF(AND(B4870='111'!$L$11,OR($N4870=$Q$7,$O4870=$Q$7)),"x","")</f>
        <v/>
      </c>
      <c r="R4870" s="75" t="str">
        <f>IF(AND($N4870=$Q$7,$B4870&lt;'111'!$L$11),"x","")</f>
        <v/>
      </c>
      <c r="S4870" s="75" t="str">
        <f>IF(AND($O4870=$Q$7,$B4870&lt;'111'!$L$11),"x","")</f>
        <v/>
      </c>
      <c r="T4870" s="75" t="str">
        <f>IF(ISERROR(FIND('112'!$M$9,G4870,1)),"",IF((AND(FIND('112'!$M$9,G4870,1)&gt;=1,B4870='112'!$K$9,OR($N4870='112'!$I$6,$O4870='112'!$I$6))),"x",""))</f>
        <v/>
      </c>
      <c r="U4870" s="75" t="str">
        <f>IF(ISERROR(FIND('112'!$M$9,G4870,1)),"",IF((AND(LEFT(G4870,2)=LEFT('112'!$M$9,2),B4870&lt;'112'!$K$9,$N4870='112'!$I$6)),"x",""))</f>
        <v/>
      </c>
      <c r="V4870" s="75" t="str">
        <f>IF(ISERROR(FIND('112'!$M$9,G4870,1)),"",IF((AND(RIGHT(G4870,2)=RIGHT('112'!$M$9,2),B4870&lt;'112'!$K$9,$O4870='112'!$I$6)),"x",""))</f>
        <v/>
      </c>
      <c r="W4870" s="75" t="str">
        <f>IF(AND('341-CT'!$H$9=H4870,OR(LEFT(N4870,3)=$W$7,LEFT(O4870,3)=$W$7)),"x","")</f>
        <v/>
      </c>
      <c r="X4870" s="75" t="str">
        <f>IF(OR(TH!N4498=TH!$X$7,O4870=TH!$X$7),"x","")</f>
        <v/>
      </c>
      <c r="Y4870" s="75" t="str">
        <f>IF(AND(OR(N4870="131",O4870="131"),H4870='131-CT'!$H$9),"x","")</f>
        <v/>
      </c>
      <c r="Z4870" s="75"/>
      <c r="AA4870" s="75" t="str">
        <f>IF(AND(MONTH(E4870)='IN-NX'!$J$5,'IN-NX'!$D$7=D4870),"x","")</f>
        <v/>
      </c>
      <c r="AB4870" s="75" t="str">
        <f>IF(AND(OR(LEFT(TH!N4498,2)="15",LEFT(TH!O4498,2)="15"),LEFT(TH!O4498,3)&lt;&gt;"111",'152-CT'!$J$8=TH!F4498),"x","")</f>
        <v/>
      </c>
      <c r="AC4870" s="75" t="str">
        <f>IF(AND(OR(LEFT(TH!N4498,2)="15",LEFT(TH!O4498,2)="15"),TK!$E$7=TH!F4498),"x","")</f>
        <v/>
      </c>
      <c r="AD4870" s="75" t="str">
        <f>IF(AND(N4870="1521",MONTH(C4870)='BK-NL'!$M$11),"x","")</f>
        <v/>
      </c>
      <c r="AE4870">
        <v>9</v>
      </c>
      <c r="AF4870" s="1053"/>
      <c r="AG4870" s="1053"/>
    </row>
    <row r="4871" spans="1:33" s="304" customFormat="1" ht="16.5" customHeight="1">
      <c r="A4871" s="309" t="str">
        <f>IF(B4871&lt;&gt;"",IF(AND(B4871='IN-TC'!$S$4,OR(TH!N4861="1111",TH!O4861="1111")),TH!D4861,""),"")</f>
        <v/>
      </c>
      <c r="B4871" s="1242">
        <f t="shared" si="1336"/>
        <v>9</v>
      </c>
      <c r="C4871" s="292">
        <f t="shared" si="1337"/>
        <v>42993</v>
      </c>
      <c r="D4871" s="59" t="s">
        <v>902</v>
      </c>
      <c r="E4871" s="59">
        <v>42993</v>
      </c>
      <c r="F4871" s="67" t="s">
        <v>2101</v>
      </c>
      <c r="G4871" s="62" t="s">
        <v>1713</v>
      </c>
      <c r="H4871" s="67" t="s">
        <v>1771</v>
      </c>
      <c r="I4871" s="373"/>
      <c r="J4871" s="382"/>
      <c r="K4871" s="373"/>
      <c r="L4871" s="379"/>
      <c r="M4871" s="60">
        <v>10000</v>
      </c>
      <c r="N4871" s="61" t="s">
        <v>9</v>
      </c>
      <c r="O4871" s="61" t="s">
        <v>26</v>
      </c>
      <c r="P4871" s="75" t="str">
        <f>IF(AND('331-CT'!$E$7=TH!H4499,OR(N4871="331",O4871="331")),"x","")</f>
        <v/>
      </c>
      <c r="Q4871" s="75" t="str">
        <f>IF(AND(B4871='111'!$L$11,OR($N4871=$Q$7,$O4871=$Q$7)),"x","")</f>
        <v/>
      </c>
      <c r="R4871" s="75" t="str">
        <f>IF(AND($N4871=$Q$7,$B4871&lt;'111'!$L$11),"x","")</f>
        <v/>
      </c>
      <c r="S4871" s="75" t="str">
        <f>IF(AND($O4871=$Q$7,$B4871&lt;'111'!$L$11),"x","")</f>
        <v/>
      </c>
      <c r="T4871" s="75" t="str">
        <f>IF(ISERROR(FIND('112'!$M$9,G4871,1)),"",IF((AND(FIND('112'!$M$9,G4871,1)&gt;=1,B4871='112'!$K$9,OR($N4871='112'!$I$6,$O4871='112'!$I$6))),"x",""))</f>
        <v/>
      </c>
      <c r="U4871" s="75" t="str">
        <f>IF(ISERROR(FIND('112'!$M$9,G4871,1)),"",IF((AND(LEFT(G4871,2)=LEFT('112'!$M$9,2),B4871&lt;'112'!$K$9,$N4871='112'!$I$6)),"x",""))</f>
        <v/>
      </c>
      <c r="V4871" s="75" t="str">
        <f>IF(ISERROR(FIND('112'!$M$9,G4871,1)),"",IF((AND(RIGHT(G4871,2)=RIGHT('112'!$M$9,2),B4871&lt;'112'!$K$9,$O4871='112'!$I$6)),"x",""))</f>
        <v/>
      </c>
      <c r="W4871" s="75" t="str">
        <f>IF(AND('341-CT'!$H$9=H4871,OR(LEFT(N4871,3)=$W$7,LEFT(O4871,3)=$W$7)),"x","")</f>
        <v/>
      </c>
      <c r="X4871" s="75" t="str">
        <f>IF(OR(TH!N4499=TH!$X$7,O4871=TH!$X$7),"x","")</f>
        <v/>
      </c>
      <c r="Y4871" s="75" t="str">
        <f>IF(AND(OR(N4871="131",O4871="131"),H4871='131-CT'!$H$9),"x","")</f>
        <v/>
      </c>
      <c r="Z4871" s="75"/>
      <c r="AA4871" s="75" t="str">
        <f>IF(AND(MONTH(E4871)='IN-NX'!$J$5,'IN-NX'!$D$7=D4871),"x","")</f>
        <v/>
      </c>
      <c r="AB4871" s="75" t="str">
        <f>IF(AND(OR(LEFT(TH!N4499,2)="15",LEFT(TH!O4499,2)="15"),LEFT(TH!O4499,3)&lt;&gt;"111",'152-CT'!$J$8=TH!F4499),"x","")</f>
        <v/>
      </c>
      <c r="AC4871" s="75" t="str">
        <f>IF(AND(OR(LEFT(TH!N4499,2)="15",LEFT(TH!O4499,2)="15"),TK!$E$7=TH!F4499),"x","")</f>
        <v/>
      </c>
      <c r="AD4871" s="75" t="str">
        <f>IF(AND(N4871="1521",MONTH(C4871)='BK-NL'!$M$11),"x","")</f>
        <v/>
      </c>
      <c r="AE4871">
        <v>9</v>
      </c>
      <c r="AF4871" s="1053"/>
      <c r="AG4871" s="1053"/>
    </row>
    <row r="4872" spans="1:33" s="304" customFormat="1" ht="16.5" customHeight="1">
      <c r="A4872" s="309" t="str">
        <f>IF(B4872&lt;&gt;"",IF(AND(B4872='IN-TC'!$S$4,OR(TH!N4862="1111",TH!O4862="1111")),TH!D4862,""),"")</f>
        <v/>
      </c>
      <c r="B4872" s="1242">
        <f t="shared" si="1336"/>
        <v>9</v>
      </c>
      <c r="C4872" s="292">
        <f t="shared" si="1337"/>
        <v>42994</v>
      </c>
      <c r="D4872" s="292"/>
      <c r="E4872" s="292">
        <v>42994</v>
      </c>
      <c r="F4872" s="67" t="s">
        <v>1165</v>
      </c>
      <c r="G4872" s="925" t="s">
        <v>2150</v>
      </c>
      <c r="H4872" s="294" t="s">
        <v>1684</v>
      </c>
      <c r="I4872" s="373"/>
      <c r="J4872" s="926"/>
      <c r="K4872" s="373"/>
      <c r="L4872" s="379"/>
      <c r="M4872" s="927">
        <v>19762050</v>
      </c>
      <c r="N4872" s="295" t="s">
        <v>8</v>
      </c>
      <c r="O4872" s="295" t="s">
        <v>63</v>
      </c>
      <c r="P4872" s="75" t="str">
        <f>IF(AND('331-CT'!$E$7=TH!H3890,OR(N4872="331",O4872="331")),"x","")</f>
        <v/>
      </c>
      <c r="Q4872" s="75" t="str">
        <f>IF(AND(B4872='111'!$L$11,OR($N4872=$Q$7,$O4872=$Q$7)),"x","")</f>
        <v/>
      </c>
      <c r="R4872" s="75" t="str">
        <f>IF(AND($N4872=$Q$7,$B4872&lt;'111'!$L$11),"x","")</f>
        <v/>
      </c>
      <c r="S4872" s="75" t="str">
        <f>IF(AND($O4872=$Q$7,$B4872&lt;'111'!$L$11),"x","")</f>
        <v>x</v>
      </c>
      <c r="T4872" s="75" t="str">
        <f>IF(ISERROR(FIND('112'!$M$9,G4872,1)),"",IF((AND(FIND('112'!$M$9,G4872,1)&gt;=1,B4872='112'!$K$9,OR($N4872='112'!$I$6,$O4872='112'!$I$6))),"x",""))</f>
        <v/>
      </c>
      <c r="U4872" s="75" t="str">
        <f>IF(ISERROR(FIND('112'!$M$9,G4872,1)),"",IF((AND(LEFT(G4872,2)=LEFT('112'!$M$9,2),B4872&lt;'112'!$K$9,$N4872='112'!$I$6)),"x",""))</f>
        <v/>
      </c>
      <c r="V4872" s="75" t="str">
        <f>IF(ISERROR(FIND('112'!$M$9,G4872,1)),"",IF((AND(RIGHT(G4872,2)=RIGHT('112'!$M$9,2),B4872&lt;'112'!$K$9,$O4872='112'!$I$6)),"x",""))</f>
        <v/>
      </c>
      <c r="W4872" s="75" t="str">
        <f>IF(AND('341-CT'!$H$9=H4872,OR(LEFT(N4872,3)=$W$7,LEFT(O4872,3)=$W$7)),"x","")</f>
        <v/>
      </c>
      <c r="X4872" s="75" t="str">
        <f>IF(OR(TH!N3890=TH!$X$7,O4872=TH!$X$7),"x","")</f>
        <v/>
      </c>
      <c r="Y4872" s="75" t="str">
        <f>IF(AND(OR(N4872="131",O4872="131"),H4872='131-CT'!$H$9),"x","")</f>
        <v/>
      </c>
      <c r="Z4872" s="75"/>
      <c r="AA4872" s="75" t="str">
        <f>IF(AND(MONTH(E4872)='IN-NX'!$J$5,'IN-NX'!$D$7=D4872),"x","")</f>
        <v/>
      </c>
      <c r="AB4872" s="75" t="str">
        <f>IF(AND(OR(LEFT(TH!N3890,2)="15",LEFT(TH!O3890,2)="15"),LEFT(TH!O3890,3)&lt;&gt;"111",'152-CT'!$J$8=TH!F3890),"x","")</f>
        <v/>
      </c>
      <c r="AC4872" s="75" t="str">
        <f>IF(AND(OR(LEFT(TH!N3890,2)="15",LEFT(TH!O3890,2)="15"),TK!$E$7=TH!F3890),"x","")</f>
        <v/>
      </c>
      <c r="AD4872" s="75" t="str">
        <f>IF(AND(N4872="1521",MONTH(C4872)='BK-NL'!$M$11),"x","")</f>
        <v/>
      </c>
      <c r="AE4872"/>
      <c r="AF4872"/>
      <c r="AG4872"/>
    </row>
    <row r="4873" spans="1:33" s="304" customFormat="1" ht="16.5" customHeight="1">
      <c r="A4873" s="309" t="str">
        <f>IF(B4873&lt;&gt;"",IF(AND(B4873='IN-TC'!$S$4,OR(TH!N4863="1111",TH!O4863="1111")),TH!D4863,""),"")</f>
        <v/>
      </c>
      <c r="B4873" s="1242">
        <f t="shared" si="1336"/>
        <v>9</v>
      </c>
      <c r="C4873" s="292">
        <f t="shared" si="1337"/>
        <v>42994</v>
      </c>
      <c r="D4873" s="59" t="s">
        <v>2493</v>
      </c>
      <c r="E4873" s="59">
        <v>42994</v>
      </c>
      <c r="F4873" s="62" t="s">
        <v>2103</v>
      </c>
      <c r="G4873" s="62" t="s">
        <v>585</v>
      </c>
      <c r="H4873" s="67" t="s">
        <v>1023</v>
      </c>
      <c r="I4873" s="373"/>
      <c r="J4873" s="382"/>
      <c r="K4873" s="373"/>
      <c r="L4873" s="379"/>
      <c r="M4873" s="60">
        <v>75000000</v>
      </c>
      <c r="N4873" s="61" t="s">
        <v>26</v>
      </c>
      <c r="O4873" s="61" t="s">
        <v>63</v>
      </c>
      <c r="P4873" s="75" t="str">
        <f>IF(AND('331-CT'!$E$7=TH!H4824,OR(N4873="331",O4873="331")),"x","")</f>
        <v/>
      </c>
      <c r="Q4873" s="75" t="str">
        <f>IF(AND(B4873='111'!$L$11,OR($N4873=$Q$7,$O4873=$Q$7)),"x","")</f>
        <v/>
      </c>
      <c r="R4873" s="75" t="str">
        <f>IF(AND($N4873=$Q$7,$B4873&lt;'111'!$L$11),"x","")</f>
        <v/>
      </c>
      <c r="S4873" s="75" t="str">
        <f>IF(AND($O4873=$Q$7,$B4873&lt;'111'!$L$11),"x","")</f>
        <v>x</v>
      </c>
      <c r="T4873" s="75" t="str">
        <f>IF(ISERROR(FIND('112'!$M$9,G4873,1)),"",IF((AND(FIND('112'!$M$9,G4873,1)&gt;=1,B4873='112'!$K$9,OR($N4873='112'!$I$6,$O4873='112'!$I$6))),"x",""))</f>
        <v/>
      </c>
      <c r="U4873" s="75" t="str">
        <f>IF(ISERROR(FIND('112'!$M$9,G4873,1)),"",IF((AND(LEFT(G4873,2)=LEFT('112'!$M$9,2),B4873&lt;'112'!$K$9,$N4873='112'!$I$6)),"x",""))</f>
        <v/>
      </c>
      <c r="V4873" s="75" t="str">
        <f>IF(ISERROR(FIND('112'!$M$9,G4873,1)),"",IF((AND(RIGHT(G4873,2)=RIGHT('112'!$M$9,2),B4873&lt;'112'!$K$9,$O4873='112'!$I$6)),"x",""))</f>
        <v/>
      </c>
      <c r="W4873" s="75" t="str">
        <f>IF(AND('341-CT'!$H$9=H4873,OR(LEFT(N4873,3)=$W$7,LEFT(O4873,3)=$W$7)),"x","")</f>
        <v/>
      </c>
      <c r="X4873" s="75" t="str">
        <f>IF(OR(TH!N4824=TH!$X$7,O4873=TH!$X$7),"x","")</f>
        <v/>
      </c>
      <c r="Y4873" s="75" t="str">
        <f>IF(AND(OR(N4873="131",O4873="131"),H4873='131-CT'!$H$9),"x","")</f>
        <v/>
      </c>
      <c r="Z4873" s="75"/>
      <c r="AA4873" s="75" t="str">
        <f>IF(AND(MONTH(E4873)='IN-NX'!$J$5,'IN-NX'!$D$7=D4873),"x","")</f>
        <v/>
      </c>
      <c r="AB4873" s="75" t="str">
        <f>IF(AND(OR(LEFT(TH!N4824,2)="15",LEFT(TH!O4824,2)="15"),LEFT(TH!O4824,3)&lt;&gt;"111",'152-CT'!$J$8=TH!F4824),"x","")</f>
        <v/>
      </c>
      <c r="AC4873" s="75" t="str">
        <f>IF(AND(OR(LEFT(TH!N4824,2)="15",LEFT(TH!O4824,2)="15"),TK!$E$7=TH!F4824),"x","")</f>
        <v/>
      </c>
      <c r="AD4873" s="75" t="str">
        <f>IF(AND(N4873="1521",MONTH(C4873)='BK-NL'!$M$11),"x","")</f>
        <v/>
      </c>
      <c r="AE4873"/>
      <c r="AF4873"/>
      <c r="AG4873"/>
    </row>
    <row r="4874" spans="1:33" s="304" customFormat="1" ht="16.5" customHeight="1">
      <c r="A4874" s="309" t="str">
        <f>IF(B4874&lt;&gt;"",IF(AND(B4874='IN-TC'!$S$4,OR(TH!N4864="1111",TH!O4864="1111")),TH!D4864,""),"")</f>
        <v/>
      </c>
      <c r="B4874" s="1242">
        <f t="shared" si="1336"/>
        <v>9</v>
      </c>
      <c r="C4874" s="292">
        <f t="shared" si="1337"/>
        <v>42995</v>
      </c>
      <c r="D4874" s="292"/>
      <c r="E4874" s="292">
        <v>42995</v>
      </c>
      <c r="F4874" s="67" t="s">
        <v>1334</v>
      </c>
      <c r="G4874" s="925"/>
      <c r="H4874" s="294" t="s">
        <v>1336</v>
      </c>
      <c r="I4874" s="373"/>
      <c r="J4874" s="926"/>
      <c r="K4874" s="373"/>
      <c r="L4874" s="379"/>
      <c r="M4874" s="927">
        <v>1090909</v>
      </c>
      <c r="N4874" s="295" t="s">
        <v>539</v>
      </c>
      <c r="O4874" s="295" t="s">
        <v>63</v>
      </c>
      <c r="P4874" s="75" t="str">
        <f>IF(AND('331-CT'!$E$7=TH!H3891,OR(N4874="331",O4874="331")),"x","")</f>
        <v/>
      </c>
      <c r="Q4874" s="75" t="str">
        <f>IF(AND(B4874='111'!$L$11,OR($N4874=$Q$7,$O4874=$Q$7)),"x","")</f>
        <v/>
      </c>
      <c r="R4874" s="75" t="str">
        <f>IF(AND($N4874=$Q$7,$B4874&lt;'111'!$L$11),"x","")</f>
        <v/>
      </c>
      <c r="S4874" s="75" t="str">
        <f>IF(AND($O4874=$Q$7,$B4874&lt;'111'!$L$11),"x","")</f>
        <v>x</v>
      </c>
      <c r="T4874" s="75" t="str">
        <f>IF(ISERROR(FIND('112'!$M$9,G4874,1)),"",IF((AND(FIND('112'!$M$9,G4874,1)&gt;=1,B4874='112'!$K$9,OR($N4874='112'!$I$6,$O4874='112'!$I$6))),"x",""))</f>
        <v/>
      </c>
      <c r="U4874" s="75" t="str">
        <f>IF(ISERROR(FIND('112'!$M$9,G4874,1)),"",IF((AND(LEFT(G4874,2)=LEFT('112'!$M$9,2),B4874&lt;'112'!$K$9,$N4874='112'!$I$6)),"x",""))</f>
        <v/>
      </c>
      <c r="V4874" s="75" t="str">
        <f>IF(ISERROR(FIND('112'!$M$9,G4874,1)),"",IF((AND(RIGHT(G4874,2)=RIGHT('112'!$M$9,2),B4874&lt;'112'!$K$9,$O4874='112'!$I$6)),"x",""))</f>
        <v/>
      </c>
      <c r="W4874" s="75" t="str">
        <f>IF(AND('341-CT'!$H$9=H4874,OR(LEFT(N4874,3)=$W$7,LEFT(O4874,3)=$W$7)),"x","")</f>
        <v/>
      </c>
      <c r="X4874" s="75" t="str">
        <f>IF(OR(TH!N3891=TH!$X$7,O4874=TH!$X$7),"x","")</f>
        <v/>
      </c>
      <c r="Y4874" s="75" t="str">
        <f>IF(AND(OR(N4874="131",O4874="131"),H4874='131-CT'!$H$9),"x","")</f>
        <v/>
      </c>
      <c r="Z4874" s="75"/>
      <c r="AA4874" s="75" t="str">
        <f>IF(AND(MONTH(E4874)='IN-NX'!$J$5,'IN-NX'!$D$7=D4874),"x","")</f>
        <v/>
      </c>
      <c r="AB4874" s="75" t="str">
        <f>IF(AND(OR(LEFT(TH!N3891,2)="15",LEFT(TH!O3891,2)="15"),LEFT(TH!O3891,3)&lt;&gt;"111",'152-CT'!$J$8=TH!F3891),"x","")</f>
        <v/>
      </c>
      <c r="AC4874" s="75" t="str">
        <f>IF(AND(OR(LEFT(TH!N3891,2)="15",LEFT(TH!O3891,2)="15"),TK!$E$7=TH!F3891),"x","")</f>
        <v/>
      </c>
      <c r="AD4874" s="75" t="str">
        <f>IF(AND(N4874="1521",MONTH(C4874)='BK-NL'!$M$11),"x","")</f>
        <v/>
      </c>
      <c r="AE4874">
        <v>10</v>
      </c>
      <c r="AF4874"/>
      <c r="AG4874"/>
    </row>
    <row r="4875" spans="1:33" s="304" customFormat="1" ht="16.5" customHeight="1">
      <c r="A4875" s="309" t="str">
        <f>IF(B4875&lt;&gt;"",IF(AND(B4875='IN-TC'!$S$4,OR(TH!N4865="1111",TH!O4865="1111")),TH!D4865,""),"")</f>
        <v/>
      </c>
      <c r="B4875" s="1242">
        <f t="shared" si="1336"/>
        <v>9</v>
      </c>
      <c r="C4875" s="292">
        <f t="shared" si="1337"/>
        <v>42995</v>
      </c>
      <c r="D4875" s="292"/>
      <c r="E4875" s="292">
        <v>42995</v>
      </c>
      <c r="F4875" s="67" t="s">
        <v>1335</v>
      </c>
      <c r="G4875" s="925"/>
      <c r="H4875" s="294" t="s">
        <v>1336</v>
      </c>
      <c r="I4875" s="373"/>
      <c r="J4875" s="926"/>
      <c r="K4875" s="373"/>
      <c r="L4875" s="379"/>
      <c r="M4875" s="927">
        <v>109091</v>
      </c>
      <c r="N4875" s="295" t="s">
        <v>9</v>
      </c>
      <c r="O4875" s="295" t="s">
        <v>63</v>
      </c>
      <c r="P4875" s="75" t="str">
        <f>IF(AND('331-CT'!$E$7=TH!H3892,OR(N4875="331",O4875="331")),"x","")</f>
        <v/>
      </c>
      <c r="Q4875" s="75" t="str">
        <f>IF(AND(B4875='111'!$L$11,OR($N4875=$Q$7,$O4875=$Q$7)),"x","")</f>
        <v/>
      </c>
      <c r="R4875" s="75" t="str">
        <f>IF(AND($N4875=$Q$7,$B4875&lt;'111'!$L$11),"x","")</f>
        <v/>
      </c>
      <c r="S4875" s="75" t="str">
        <f>IF(AND($O4875=$Q$7,$B4875&lt;'111'!$L$11),"x","")</f>
        <v>x</v>
      </c>
      <c r="T4875" s="75" t="str">
        <f>IF(ISERROR(FIND('112'!$M$9,G4875,1)),"",IF((AND(FIND('112'!$M$9,G4875,1)&gt;=1,B4875='112'!$K$9,OR($N4875='112'!$I$6,$O4875='112'!$I$6))),"x",""))</f>
        <v/>
      </c>
      <c r="U4875" s="75" t="str">
        <f>IF(ISERROR(FIND('112'!$M$9,G4875,1)),"",IF((AND(LEFT(G4875,2)=LEFT('112'!$M$9,2),B4875&lt;'112'!$K$9,$N4875='112'!$I$6)),"x",""))</f>
        <v/>
      </c>
      <c r="V4875" s="75" t="str">
        <f>IF(ISERROR(FIND('112'!$M$9,G4875,1)),"",IF((AND(RIGHT(G4875,2)=RIGHT('112'!$M$9,2),B4875&lt;'112'!$K$9,$O4875='112'!$I$6)),"x",""))</f>
        <v/>
      </c>
      <c r="W4875" s="75" t="str">
        <f>IF(AND('341-CT'!$H$9=H4875,OR(LEFT(N4875,3)=$W$7,LEFT(O4875,3)=$W$7)),"x","")</f>
        <v/>
      </c>
      <c r="X4875" s="75" t="str">
        <f>IF(OR(TH!N3892=TH!$X$7,O4875=TH!$X$7),"x","")</f>
        <v/>
      </c>
      <c r="Y4875" s="75" t="str">
        <f>IF(AND(OR(N4875="131",O4875="131"),H4875='131-CT'!$H$9),"x","")</f>
        <v/>
      </c>
      <c r="Z4875" s="75"/>
      <c r="AA4875" s="75" t="str">
        <f>IF(AND(MONTH(E4875)='IN-NX'!$J$5,'IN-NX'!$D$7=D4875),"x","")</f>
        <v/>
      </c>
      <c r="AB4875" s="75" t="str">
        <f>IF(AND(OR(LEFT(TH!N3892,2)="15",LEFT(TH!O3892,2)="15"),LEFT(TH!O3892,3)&lt;&gt;"111",'152-CT'!$J$8=TH!F3892),"x","")</f>
        <v/>
      </c>
      <c r="AC4875" s="75" t="str">
        <f>IF(AND(OR(LEFT(TH!N3892,2)="15",LEFT(TH!O3892,2)="15"),TK!$E$7=TH!F3892),"x","")</f>
        <v/>
      </c>
      <c r="AD4875" s="75" t="str">
        <f>IF(AND(N4875="1521",MONTH(C4875)='BK-NL'!$M$11),"x","")</f>
        <v/>
      </c>
      <c r="AE4875">
        <v>10</v>
      </c>
      <c r="AF4875"/>
      <c r="AG4875"/>
    </row>
    <row r="4876" spans="1:33" ht="16.5" customHeight="1">
      <c r="A4876" s="309" t="str">
        <f>IF(B4876&lt;&gt;"",IF(AND(B4876='IN-TC'!$S$4,OR(TH!N4866="1111",TH!O4866="1111")),TH!D4866,""),"")</f>
        <v/>
      </c>
      <c r="B4876" s="1242">
        <f t="shared" si="1336"/>
        <v>9</v>
      </c>
      <c r="C4876" s="292">
        <f t="shared" si="1337"/>
        <v>42995</v>
      </c>
      <c r="D4876" s="292"/>
      <c r="E4876" s="292">
        <v>42995</v>
      </c>
      <c r="F4876" s="67" t="s">
        <v>1029</v>
      </c>
      <c r="G4876" s="925"/>
      <c r="H4876" s="294" t="s">
        <v>948</v>
      </c>
      <c r="I4876" s="373"/>
      <c r="J4876" s="926"/>
      <c r="K4876" s="373"/>
      <c r="L4876" s="379"/>
      <c r="M4876" s="927">
        <v>8145455</v>
      </c>
      <c r="N4876" s="295" t="s">
        <v>539</v>
      </c>
      <c r="O4876" s="295" t="s">
        <v>63</v>
      </c>
      <c r="P4876" s="75" t="str">
        <f>IF(AND('331-CT'!$E$7=TH!H3893,OR(N4876="331",O4876="331")),"x","")</f>
        <v/>
      </c>
      <c r="Q4876" s="75" t="str">
        <f>IF(AND(B4876='111'!$L$11,OR($N4876=$Q$7,$O4876=$Q$7)),"x","")</f>
        <v/>
      </c>
      <c r="R4876" s="75" t="str">
        <f>IF(AND($N4876=$Q$7,$B4876&lt;'111'!$L$11),"x","")</f>
        <v/>
      </c>
      <c r="S4876" s="75" t="str">
        <f>IF(AND($O4876=$Q$7,$B4876&lt;'111'!$L$11),"x","")</f>
        <v>x</v>
      </c>
      <c r="T4876" s="75" t="str">
        <f>IF(ISERROR(FIND('112'!$M$9,G4876,1)),"",IF((AND(FIND('112'!$M$9,G4876,1)&gt;=1,B4876='112'!$K$9,OR($N4876='112'!$I$6,$O4876='112'!$I$6))),"x",""))</f>
        <v/>
      </c>
      <c r="U4876" s="75" t="str">
        <f>IF(ISERROR(FIND('112'!$M$9,G4876,1)),"",IF((AND(LEFT(G4876,2)=LEFT('112'!$M$9,2),B4876&lt;'112'!$K$9,$N4876='112'!$I$6)),"x",""))</f>
        <v/>
      </c>
      <c r="V4876" s="75" t="str">
        <f>IF(ISERROR(FIND('112'!$M$9,G4876,1)),"",IF((AND(RIGHT(G4876,2)=RIGHT('112'!$M$9,2),B4876&lt;'112'!$K$9,$O4876='112'!$I$6)),"x",""))</f>
        <v/>
      </c>
      <c r="W4876" s="75" t="str">
        <f>IF(AND('341-CT'!$H$9=H4876,OR(LEFT(N4876,3)=$W$7,LEFT(O4876,3)=$W$7)),"x","")</f>
        <v/>
      </c>
      <c r="X4876" s="75" t="str">
        <f>IF(OR(TH!N3893=TH!$X$7,O4876=TH!$X$7),"x","")</f>
        <v/>
      </c>
      <c r="Y4876" s="75" t="str">
        <f>IF(AND(OR(N4876="131",O4876="131"),H4876='131-CT'!$H$9),"x","")</f>
        <v/>
      </c>
      <c r="Z4876" s="75"/>
      <c r="AA4876" s="75" t="str">
        <f>IF(AND(MONTH(E4876)='IN-NX'!$J$5,'IN-NX'!$D$7=D4876),"x","")</f>
        <v/>
      </c>
      <c r="AB4876" s="75" t="str">
        <f>IF(AND(OR(LEFT(TH!N3893,2)="15",LEFT(TH!O3893,2)="15"),LEFT(TH!O3893,3)&lt;&gt;"111",'152-CT'!$J$8=TH!F3893),"x","")</f>
        <v/>
      </c>
      <c r="AC4876" s="75" t="str">
        <f>IF(AND(OR(LEFT(TH!N3893,2)="15",LEFT(TH!O3893,2)="15"),TK!$E$7=TH!F3893),"x","")</f>
        <v/>
      </c>
      <c r="AD4876" s="75" t="str">
        <f>IF(AND(N4876="1521",MONTH(C4876)='BK-NL'!$M$11),"x","")</f>
        <v/>
      </c>
      <c r="AE4876">
        <v>10</v>
      </c>
    </row>
    <row r="4877" spans="1:33" ht="16.5" customHeight="1">
      <c r="A4877" s="309" t="str">
        <f>IF(B4877&lt;&gt;"",IF(AND(B4877='IN-TC'!$S$4,OR(TH!N4867="1111",TH!O4867="1111")),TH!D4867,""),"")</f>
        <v/>
      </c>
      <c r="B4877" s="1242">
        <f t="shared" si="1336"/>
        <v>9</v>
      </c>
      <c r="C4877" s="292">
        <f t="shared" si="1337"/>
        <v>42995</v>
      </c>
      <c r="D4877" s="292"/>
      <c r="E4877" s="292">
        <v>42995</v>
      </c>
      <c r="F4877" s="67" t="s">
        <v>1030</v>
      </c>
      <c r="G4877" s="925"/>
      <c r="H4877" s="294" t="s">
        <v>948</v>
      </c>
      <c r="I4877" s="373"/>
      <c r="J4877" s="926"/>
      <c r="K4877" s="373"/>
      <c r="L4877" s="379"/>
      <c r="M4877" s="927">
        <v>814545</v>
      </c>
      <c r="N4877" s="295" t="s">
        <v>9</v>
      </c>
      <c r="O4877" s="295" t="s">
        <v>63</v>
      </c>
      <c r="P4877" s="75" t="str">
        <f>IF(AND('331-CT'!$E$7=TH!H3894,OR(N4877="331",O4877="331")),"x","")</f>
        <v/>
      </c>
      <c r="Q4877" s="75" t="str">
        <f>IF(AND(B4877='111'!$L$11,OR($N4877=$Q$7,$O4877=$Q$7)),"x","")</f>
        <v/>
      </c>
      <c r="R4877" s="75" t="str">
        <f>IF(AND($N4877=$Q$7,$B4877&lt;'111'!$L$11),"x","")</f>
        <v/>
      </c>
      <c r="S4877" s="75" t="str">
        <f>IF(AND($O4877=$Q$7,$B4877&lt;'111'!$L$11),"x","")</f>
        <v>x</v>
      </c>
      <c r="T4877" s="75" t="str">
        <f>IF(ISERROR(FIND('112'!$M$9,G4877,1)),"",IF((AND(FIND('112'!$M$9,G4877,1)&gt;=1,B4877='112'!$K$9,OR($N4877='112'!$I$6,$O4877='112'!$I$6))),"x",""))</f>
        <v/>
      </c>
      <c r="U4877" s="75" t="str">
        <f>IF(ISERROR(FIND('112'!$M$9,G4877,1)),"",IF((AND(LEFT(G4877,2)=LEFT('112'!$M$9,2),B4877&lt;'112'!$K$9,$N4877='112'!$I$6)),"x",""))</f>
        <v/>
      </c>
      <c r="V4877" s="75" t="str">
        <f>IF(ISERROR(FIND('112'!$M$9,G4877,1)),"",IF((AND(RIGHT(G4877,2)=RIGHT('112'!$M$9,2),B4877&lt;'112'!$K$9,$O4877='112'!$I$6)),"x",""))</f>
        <v/>
      </c>
      <c r="W4877" s="75" t="str">
        <f>IF(AND('341-CT'!$H$9=H4877,OR(LEFT(N4877,3)=$W$7,LEFT(O4877,3)=$W$7)),"x","")</f>
        <v/>
      </c>
      <c r="X4877" s="75" t="str">
        <f>IF(OR(TH!N3894=TH!$X$7,O4877=TH!$X$7),"x","")</f>
        <v/>
      </c>
      <c r="Y4877" s="75" t="str">
        <f>IF(AND(OR(N4877="131",O4877="131"),H4877='131-CT'!$H$9),"x","")</f>
        <v/>
      </c>
      <c r="Z4877" s="75"/>
      <c r="AA4877" s="75" t="str">
        <f>IF(AND(MONTH(E4877)='IN-NX'!$J$5,'IN-NX'!$D$7=D4877),"x","")</f>
        <v/>
      </c>
      <c r="AB4877" s="75" t="str">
        <f>IF(AND(OR(LEFT(TH!N3894,2)="15",LEFT(TH!O3894,2)="15"),LEFT(TH!O3894,3)&lt;&gt;"111",'152-CT'!$J$8=TH!F3894),"x","")</f>
        <v/>
      </c>
      <c r="AC4877" s="75" t="str">
        <f>IF(AND(OR(LEFT(TH!N3894,2)="15",LEFT(TH!O3894,2)="15"),TK!$E$7=TH!F3894),"x","")</f>
        <v/>
      </c>
      <c r="AD4877" s="75" t="str">
        <f>IF(AND(N4877="1521",MONTH(C4877)='BK-NL'!$M$11),"x","")</f>
        <v/>
      </c>
      <c r="AE4877">
        <v>10</v>
      </c>
    </row>
    <row r="4878" spans="1:33" s="304" customFormat="1" ht="16.5" customHeight="1">
      <c r="A4878" s="309" t="str">
        <f>IF(B4878&lt;&gt;"",IF(AND(B4878='IN-TC'!$S$4,OR(TH!N4868="1111",TH!O4868="1111")),TH!D4868,""),"")</f>
        <v/>
      </c>
      <c r="B4878" s="1242">
        <f t="shared" si="1336"/>
        <v>9</v>
      </c>
      <c r="C4878" s="292">
        <f t="shared" si="1337"/>
        <v>42996</v>
      </c>
      <c r="D4878" s="59" t="s">
        <v>902</v>
      </c>
      <c r="E4878" s="59">
        <v>42996</v>
      </c>
      <c r="F4878" s="62" t="s">
        <v>1745</v>
      </c>
      <c r="G4878" s="62" t="s">
        <v>585</v>
      </c>
      <c r="H4878" s="294" t="s">
        <v>1450</v>
      </c>
      <c r="I4878" s="373"/>
      <c r="J4878" s="382"/>
      <c r="K4878" s="373"/>
      <c r="L4878" s="379"/>
      <c r="M4878" s="60">
        <v>93184730</v>
      </c>
      <c r="N4878" s="61" t="s">
        <v>8</v>
      </c>
      <c r="O4878" s="61" t="s">
        <v>26</v>
      </c>
      <c r="P4878" s="75" t="str">
        <f>IF(AND('331-CT'!$E$7=TH!H4825,OR(N4878="331",O4878="331")),"x","")</f>
        <v/>
      </c>
      <c r="Q4878" s="75" t="str">
        <f>IF(AND(B4878='111'!$L$11,OR($N4878=$Q$7,$O4878=$Q$7)),"x","")</f>
        <v/>
      </c>
      <c r="R4878" s="75" t="str">
        <f>IF(AND($N4878=$Q$7,$B4878&lt;'111'!$L$11),"x","")</f>
        <v/>
      </c>
      <c r="S4878" s="75" t="str">
        <f>IF(AND($O4878=$Q$7,$B4878&lt;'111'!$L$11),"x","")</f>
        <v/>
      </c>
      <c r="T4878" s="75" t="str">
        <f>IF(ISERROR(FIND('112'!$M$9,G4878,1)),"",IF((AND(FIND('112'!$M$9,G4878,1)&gt;=1,B4878='112'!$K$9,OR($N4878='112'!$I$6,$O4878='112'!$I$6))),"x",""))</f>
        <v/>
      </c>
      <c r="U4878" s="75" t="str">
        <f>IF(ISERROR(FIND('112'!$M$9,G4878,1)),"",IF((AND(LEFT(G4878,2)=LEFT('112'!$M$9,2),B4878&lt;'112'!$K$9,$N4878='112'!$I$6)),"x",""))</f>
        <v/>
      </c>
      <c r="V4878" s="75" t="str">
        <f>IF(ISERROR(FIND('112'!$M$9,G4878,1)),"",IF((AND(RIGHT(G4878,2)=RIGHT('112'!$M$9,2),B4878&lt;'112'!$K$9,$O4878='112'!$I$6)),"x",""))</f>
        <v/>
      </c>
      <c r="W4878" s="75" t="str">
        <f>IF(AND('341-CT'!$H$9=H4878,OR(LEFT(N4878,3)=$W$7,LEFT(O4878,3)=$W$7)),"x","")</f>
        <v/>
      </c>
      <c r="X4878" s="75" t="str">
        <f>IF(OR(TH!N4825=TH!$X$7,O4878=TH!$X$7),"x","")</f>
        <v/>
      </c>
      <c r="Y4878" s="75" t="str">
        <f>IF(AND(OR(N4878="131",O4878="131"),H4878='131-CT'!$H$9),"x","")</f>
        <v/>
      </c>
      <c r="Z4878" s="75"/>
      <c r="AA4878" s="75" t="str">
        <f>IF(AND(MONTH(E4878)='IN-NX'!$J$5,'IN-NX'!$D$7=D4878),"x","")</f>
        <v/>
      </c>
      <c r="AB4878" s="75" t="str">
        <f>IF(AND(OR(LEFT(TH!N4825,2)="15",LEFT(TH!O4825,2)="15"),LEFT(TH!O4825,3)&lt;&gt;"111",'152-CT'!$J$8=TH!F4825),"x","")</f>
        <v/>
      </c>
      <c r="AC4878" s="75" t="str">
        <f>IF(AND(OR(LEFT(TH!N4825,2)="15",LEFT(TH!O4825,2)="15"),TK!$E$7=TH!F4825),"x","")</f>
        <v/>
      </c>
      <c r="AD4878" s="75" t="str">
        <f>IF(AND(N4878="1521",MONTH(C4878)='BK-NL'!$M$11),"x","")</f>
        <v/>
      </c>
      <c r="AE4878"/>
      <c r="AF4878"/>
      <c r="AG4878"/>
    </row>
    <row r="4879" spans="1:33" ht="16.5" customHeight="1">
      <c r="A4879" s="309" t="str">
        <f>IF(B4879&lt;&gt;"",IF(AND(B4879='IN-TC'!$S$4,OR(TH!N4869="1111",TH!O4869="1111")),TH!D4869,""),"")</f>
        <v/>
      </c>
      <c r="B4879" s="1242">
        <f t="shared" si="1336"/>
        <v>9</v>
      </c>
      <c r="C4879" s="292">
        <f t="shared" si="1337"/>
        <v>42996</v>
      </c>
      <c r="D4879" s="59" t="s">
        <v>902</v>
      </c>
      <c r="E4879" s="59">
        <v>42996</v>
      </c>
      <c r="F4879" s="62" t="s">
        <v>1307</v>
      </c>
      <c r="G4879" s="62" t="s">
        <v>585</v>
      </c>
      <c r="H4879" s="67" t="s">
        <v>845</v>
      </c>
      <c r="I4879" s="373"/>
      <c r="J4879" s="382"/>
      <c r="K4879" s="373"/>
      <c r="L4879" s="379"/>
      <c r="M4879" s="60">
        <v>46592</v>
      </c>
      <c r="N4879" s="61" t="s">
        <v>101</v>
      </c>
      <c r="O4879" s="61" t="s">
        <v>26</v>
      </c>
      <c r="P4879" s="75" t="str">
        <f>IF(AND('331-CT'!$E$7=TH!H4826,OR(N4879="331",O4879="331")),"x","")</f>
        <v/>
      </c>
      <c r="Q4879" s="75" t="str">
        <f>IF(AND(B4879='111'!$L$11,OR($N4879=$Q$7,$O4879=$Q$7)),"x","")</f>
        <v/>
      </c>
      <c r="R4879" s="75" t="str">
        <f>IF(AND($N4879=$Q$7,$B4879&lt;'111'!$L$11),"x","")</f>
        <v/>
      </c>
      <c r="S4879" s="75" t="str">
        <f>IF(AND($O4879=$Q$7,$B4879&lt;'111'!$L$11),"x","")</f>
        <v/>
      </c>
      <c r="T4879" s="75" t="str">
        <f>IF(ISERROR(FIND('112'!$M$9,G4879,1)),"",IF((AND(FIND('112'!$M$9,G4879,1)&gt;=1,B4879='112'!$K$9,OR($N4879='112'!$I$6,$O4879='112'!$I$6))),"x",""))</f>
        <v/>
      </c>
      <c r="U4879" s="75" t="str">
        <f>IF(ISERROR(FIND('112'!$M$9,G4879,1)),"",IF((AND(LEFT(G4879,2)=LEFT('112'!$M$9,2),B4879&lt;'112'!$K$9,$N4879='112'!$I$6)),"x",""))</f>
        <v/>
      </c>
      <c r="V4879" s="75" t="str">
        <f>IF(ISERROR(FIND('112'!$M$9,G4879,1)),"",IF((AND(RIGHT(G4879,2)=RIGHT('112'!$M$9,2),B4879&lt;'112'!$K$9,$O4879='112'!$I$6)),"x",""))</f>
        <v/>
      </c>
      <c r="W4879" s="75" t="str">
        <f>IF(AND('341-CT'!$H$9=H4879,OR(LEFT(N4879,3)=$W$7,LEFT(O4879,3)=$W$7)),"x","")</f>
        <v/>
      </c>
      <c r="X4879" s="75" t="str">
        <f>IF(OR(TH!N4826=TH!$X$7,O4879=TH!$X$7),"x","")</f>
        <v/>
      </c>
      <c r="Y4879" s="75" t="str">
        <f>IF(AND(OR(N4879="131",O4879="131"),H4879='131-CT'!$H$9),"x","")</f>
        <v/>
      </c>
      <c r="Z4879" s="75"/>
      <c r="AA4879" s="75" t="str">
        <f>IF(AND(MONTH(E4879)='IN-NX'!$J$5,'IN-NX'!$D$7=D4879),"x","")</f>
        <v/>
      </c>
      <c r="AB4879" s="75" t="str">
        <f>IF(AND(OR(LEFT(TH!N4826,2)="15",LEFT(TH!O4826,2)="15"),LEFT(TH!O4826,3)&lt;&gt;"111",'152-CT'!$J$8=TH!F4826),"x","")</f>
        <v/>
      </c>
      <c r="AC4879" s="75" t="str">
        <f>IF(AND(OR(LEFT(TH!N4826,2)="15",LEFT(TH!O4826,2)="15"),TK!$E$7=TH!F4826),"x","")</f>
        <v/>
      </c>
      <c r="AD4879" s="75" t="str">
        <f>IF(AND(N4879="1521",MONTH(C4879)='BK-NL'!$M$11),"x","")</f>
        <v/>
      </c>
      <c r="AE4879">
        <v>9</v>
      </c>
    </row>
    <row r="4880" spans="1:33" ht="16.5" customHeight="1">
      <c r="A4880" s="309" t="str">
        <f>IF(B4880&lt;&gt;"",IF(AND(B4880='IN-TC'!$S$4,OR(TH!N4870="1111",TH!O4870="1111")),TH!D4870,""),"")</f>
        <v/>
      </c>
      <c r="B4880" s="1242">
        <f t="shared" si="1336"/>
        <v>9</v>
      </c>
      <c r="C4880" s="292">
        <f t="shared" si="1337"/>
        <v>42996</v>
      </c>
      <c r="D4880" s="59" t="s">
        <v>902</v>
      </c>
      <c r="E4880" s="59">
        <v>42996</v>
      </c>
      <c r="F4880" s="62" t="s">
        <v>2101</v>
      </c>
      <c r="G4880" s="62" t="s">
        <v>585</v>
      </c>
      <c r="H4880" s="67" t="s">
        <v>845</v>
      </c>
      <c r="I4880" s="373"/>
      <c r="J4880" s="382"/>
      <c r="K4880" s="373"/>
      <c r="L4880" s="379"/>
      <c r="M4880" s="60">
        <v>4659</v>
      </c>
      <c r="N4880" s="61" t="s">
        <v>9</v>
      </c>
      <c r="O4880" s="61" t="s">
        <v>26</v>
      </c>
      <c r="P4880" s="75" t="str">
        <f>IF(AND('331-CT'!$E$7=TH!H4827,OR(N4880="331",O4880="331")),"x","")</f>
        <v/>
      </c>
      <c r="Q4880" s="75" t="str">
        <f>IF(AND(B4880='111'!$L$11,OR($N4880=$Q$7,$O4880=$Q$7)),"x","")</f>
        <v/>
      </c>
      <c r="R4880" s="75" t="str">
        <f>IF(AND($N4880=$Q$7,$B4880&lt;'111'!$L$11),"x","")</f>
        <v/>
      </c>
      <c r="S4880" s="75" t="str">
        <f>IF(AND($O4880=$Q$7,$B4880&lt;'111'!$L$11),"x","")</f>
        <v/>
      </c>
      <c r="T4880" s="75" t="str">
        <f>IF(ISERROR(FIND('112'!$M$9,G4880,1)),"",IF((AND(FIND('112'!$M$9,G4880,1)&gt;=1,B4880='112'!$K$9,OR($N4880='112'!$I$6,$O4880='112'!$I$6))),"x",""))</f>
        <v/>
      </c>
      <c r="U4880" s="75" t="str">
        <f>IF(ISERROR(FIND('112'!$M$9,G4880,1)),"",IF((AND(LEFT(G4880,2)=LEFT('112'!$M$9,2),B4880&lt;'112'!$K$9,$N4880='112'!$I$6)),"x",""))</f>
        <v/>
      </c>
      <c r="V4880" s="75" t="str">
        <f>IF(ISERROR(FIND('112'!$M$9,G4880,1)),"",IF((AND(RIGHT(G4880,2)=RIGHT('112'!$M$9,2),B4880&lt;'112'!$K$9,$O4880='112'!$I$6)),"x",""))</f>
        <v/>
      </c>
      <c r="W4880" s="75" t="str">
        <f>IF(AND('341-CT'!$H$9=H4880,OR(LEFT(N4880,3)=$W$7,LEFT(O4880,3)=$W$7)),"x","")</f>
        <v/>
      </c>
      <c r="X4880" s="75" t="str">
        <f>IF(OR(TH!N4827=TH!$X$7,O4880=TH!$X$7),"x","")</f>
        <v/>
      </c>
      <c r="Y4880" s="75" t="str">
        <f>IF(AND(OR(N4880="131",O4880="131"),H4880='131-CT'!$H$9),"x","")</f>
        <v/>
      </c>
      <c r="Z4880" s="75"/>
      <c r="AA4880" s="75" t="str">
        <f>IF(AND(MONTH(E4880)='IN-NX'!$J$5,'IN-NX'!$D$7=D4880),"x","")</f>
        <v/>
      </c>
      <c r="AB4880" s="75" t="str">
        <f>IF(AND(OR(LEFT(TH!N4827,2)="15",LEFT(TH!O4827,2)="15"),LEFT(TH!O4827,3)&lt;&gt;"111",'152-CT'!$J$8=TH!F4827),"x","")</f>
        <v/>
      </c>
      <c r="AC4880" s="75" t="str">
        <f>IF(AND(OR(LEFT(TH!N4827,2)="15",LEFT(TH!O4827,2)="15"),TK!$E$7=TH!F4827),"x","")</f>
        <v/>
      </c>
      <c r="AD4880" s="75" t="str">
        <f>IF(AND(N4880="1521",MONTH(C4880)='BK-NL'!$M$11),"x","")</f>
        <v/>
      </c>
      <c r="AE4880">
        <v>9</v>
      </c>
    </row>
    <row r="4881" spans="1:33" s="304" customFormat="1" ht="16.5" customHeight="1">
      <c r="A4881" s="309" t="str">
        <f>IF(B4881&lt;&gt;"",IF(AND(B4881='IN-TC'!$S$4,OR(TH!N4871="1111",TH!O4871="1111")),TH!D4871,""),"")</f>
        <v/>
      </c>
      <c r="B4881" s="1242">
        <f t="shared" si="1336"/>
        <v>9</v>
      </c>
      <c r="C4881" s="292">
        <f t="shared" si="1337"/>
        <v>42996</v>
      </c>
      <c r="D4881" s="59" t="s">
        <v>902</v>
      </c>
      <c r="E4881" s="59">
        <v>42996</v>
      </c>
      <c r="F4881" s="62" t="s">
        <v>870</v>
      </c>
      <c r="G4881" s="62" t="s">
        <v>585</v>
      </c>
      <c r="H4881" s="67" t="s">
        <v>845</v>
      </c>
      <c r="I4881" s="373"/>
      <c r="J4881" s="382"/>
      <c r="K4881" s="373"/>
      <c r="L4881" s="379"/>
      <c r="M4881" s="60">
        <v>50000</v>
      </c>
      <c r="N4881" s="61" t="s">
        <v>101</v>
      </c>
      <c r="O4881" s="61" t="s">
        <v>26</v>
      </c>
      <c r="P4881" s="75" t="str">
        <f>IF(AND('331-CT'!$E$7=TH!H4828,OR(N4881="331",O4881="331")),"x","")</f>
        <v/>
      </c>
      <c r="Q4881" s="75" t="str">
        <f>IF(AND(B4881='111'!$L$11,OR($N4881=$Q$7,$O4881=$Q$7)),"x","")</f>
        <v/>
      </c>
      <c r="R4881" s="75" t="str">
        <f>IF(AND($N4881=$Q$7,$B4881&lt;'111'!$L$11),"x","")</f>
        <v/>
      </c>
      <c r="S4881" s="75" t="str">
        <f>IF(AND($O4881=$Q$7,$B4881&lt;'111'!$L$11),"x","")</f>
        <v/>
      </c>
      <c r="T4881" s="75" t="str">
        <f>IF(ISERROR(FIND('112'!$M$9,G4881,1)),"",IF((AND(FIND('112'!$M$9,G4881,1)&gt;=1,B4881='112'!$K$9,OR($N4881='112'!$I$6,$O4881='112'!$I$6))),"x",""))</f>
        <v/>
      </c>
      <c r="U4881" s="75" t="str">
        <f>IF(ISERROR(FIND('112'!$M$9,G4881,1)),"",IF((AND(LEFT(G4881,2)=LEFT('112'!$M$9,2),B4881&lt;'112'!$K$9,$N4881='112'!$I$6)),"x",""))</f>
        <v/>
      </c>
      <c r="V4881" s="75" t="str">
        <f>IF(ISERROR(FIND('112'!$M$9,G4881,1)),"",IF((AND(RIGHT(G4881,2)=RIGHT('112'!$M$9,2),B4881&lt;'112'!$K$9,$O4881='112'!$I$6)),"x",""))</f>
        <v/>
      </c>
      <c r="W4881" s="75" t="str">
        <f>IF(AND('341-CT'!$H$9=H4881,OR(LEFT(N4881,3)=$W$7,LEFT(O4881,3)=$W$7)),"x","")</f>
        <v/>
      </c>
      <c r="X4881" s="75" t="str">
        <f>IF(OR(TH!N4828=TH!$X$7,O4881=TH!$X$7),"x","")</f>
        <v/>
      </c>
      <c r="Y4881" s="75" t="str">
        <f>IF(AND(OR(N4881="131",O4881="131"),H4881='131-CT'!$H$9),"x","")</f>
        <v/>
      </c>
      <c r="Z4881" s="75"/>
      <c r="AA4881" s="75" t="str">
        <f>IF(AND(MONTH(E4881)='IN-NX'!$J$5,'IN-NX'!$D$7=D4881),"x","")</f>
        <v/>
      </c>
      <c r="AB4881" s="75" t="str">
        <f>IF(AND(OR(LEFT(TH!N4828,2)="15",LEFT(TH!O4828,2)="15"),LEFT(TH!O4828,3)&lt;&gt;"111",'152-CT'!$J$8=TH!F4828),"x","")</f>
        <v/>
      </c>
      <c r="AC4881" s="75" t="str">
        <f>IF(AND(OR(LEFT(TH!N4828,2)="15",LEFT(TH!O4828,2)="15"),TK!$E$7=TH!F4828),"x","")</f>
        <v/>
      </c>
      <c r="AD4881" s="75" t="str">
        <f>IF(AND(N4881="1521",MONTH(C4881)='BK-NL'!$M$11),"x","")</f>
        <v/>
      </c>
      <c r="AE4881">
        <v>9</v>
      </c>
      <c r="AF4881"/>
      <c r="AG4881"/>
    </row>
    <row r="4882" spans="1:33" ht="16.5" customHeight="1">
      <c r="A4882" s="309" t="str">
        <f>IF(B4882&lt;&gt;"",IF(AND(B4882='IN-TC'!$S$4,OR(TH!N4872="1111",TH!O4872="1111")),TH!D4872,""),"")</f>
        <v/>
      </c>
      <c r="B4882" s="1242">
        <f t="shared" si="1336"/>
        <v>9</v>
      </c>
      <c r="C4882" s="292">
        <f t="shared" si="1337"/>
        <v>42996</v>
      </c>
      <c r="D4882" s="59" t="s">
        <v>902</v>
      </c>
      <c r="E4882" s="59">
        <v>42996</v>
      </c>
      <c r="F4882" s="62" t="s">
        <v>898</v>
      </c>
      <c r="G4882" s="62" t="s">
        <v>585</v>
      </c>
      <c r="H4882" s="67" t="s">
        <v>845</v>
      </c>
      <c r="I4882" s="373"/>
      <c r="J4882" s="382"/>
      <c r="K4882" s="373"/>
      <c r="L4882" s="379"/>
      <c r="M4882" s="60">
        <v>5000</v>
      </c>
      <c r="N4882" s="61" t="s">
        <v>9</v>
      </c>
      <c r="O4882" s="61" t="s">
        <v>26</v>
      </c>
      <c r="P4882" s="75" t="str">
        <f>IF(AND('331-CT'!$E$7=TH!H4818,OR(N4882="331",O4882="331")),"x","")</f>
        <v/>
      </c>
      <c r="Q4882" s="75" t="str">
        <f>IF(AND(B4882='111'!$L$11,OR($N4882=$Q$7,$O4882=$Q$7)),"x","")</f>
        <v/>
      </c>
      <c r="R4882" s="75" t="str">
        <f>IF(AND($N4882=$Q$7,$B4882&lt;'111'!$L$11),"x","")</f>
        <v/>
      </c>
      <c r="S4882" s="75" t="str">
        <f>IF(AND($O4882=$Q$7,$B4882&lt;'111'!$L$11),"x","")</f>
        <v/>
      </c>
      <c r="T4882" s="75" t="str">
        <f>IF(ISERROR(FIND('112'!$M$9,G4882,1)),"",IF((AND(FIND('112'!$M$9,G4882,1)&gt;=1,B4882='112'!$K$9,OR($N4882='112'!$I$6,$O4882='112'!$I$6))),"x",""))</f>
        <v/>
      </c>
      <c r="U4882" s="75" t="str">
        <f>IF(ISERROR(FIND('112'!$M$9,G4882,1)),"",IF((AND(LEFT(G4882,2)=LEFT('112'!$M$9,2),B4882&lt;'112'!$K$9,$N4882='112'!$I$6)),"x",""))</f>
        <v/>
      </c>
      <c r="V4882" s="75" t="str">
        <f>IF(ISERROR(FIND('112'!$M$9,G4882,1)),"",IF((AND(RIGHT(G4882,2)=RIGHT('112'!$M$9,2),B4882&lt;'112'!$K$9,$O4882='112'!$I$6)),"x",""))</f>
        <v/>
      </c>
      <c r="W4882" s="75" t="str">
        <f>IF(AND('341-CT'!$H$9=H4882,OR(LEFT(N4882,3)=$W$7,LEFT(O4882,3)=$W$7)),"x","")</f>
        <v/>
      </c>
      <c r="X4882" s="75" t="str">
        <f>IF(OR(TH!N4818=TH!$X$7,O4882=TH!$X$7),"x","")</f>
        <v/>
      </c>
      <c r="Y4882" s="75" t="str">
        <f>IF(AND(OR(N4882="131",O4882="131"),H4882='131-CT'!$H$9),"x","")</f>
        <v/>
      </c>
      <c r="Z4882" s="75"/>
      <c r="AA4882" s="75" t="str">
        <f>IF(AND(MONTH(E4882)='IN-NX'!$J$5,'IN-NX'!$D$7=D4882),"x","")</f>
        <v/>
      </c>
      <c r="AB4882" s="75" t="str">
        <f>IF(AND(OR(LEFT(TH!N4818,2)="15",LEFT(TH!O4818,2)="15"),LEFT(TH!O4818,3)&lt;&gt;"111",'152-CT'!$J$8=TH!F4818),"x","")</f>
        <v/>
      </c>
      <c r="AC4882" s="75" t="str">
        <f>IF(AND(OR(LEFT(TH!N4818,2)="15",LEFT(TH!O4818,2)="15"),TK!$E$7=TH!F4818),"x","")</f>
        <v/>
      </c>
      <c r="AD4882" s="75" t="str">
        <f>IF(AND(N4882="1521",MONTH(C4882)='BK-NL'!$M$11),"x","")</f>
        <v/>
      </c>
      <c r="AE4882">
        <v>9</v>
      </c>
    </row>
    <row r="4883" spans="1:33" ht="16.5" customHeight="1">
      <c r="A4883" s="309" t="str">
        <f>IF(B4883&lt;&gt;"",IF(AND(B4883='IN-TC'!$S$4,OR(TH!N4873="1111",TH!O4873="1111")),TH!D4873,""),"")</f>
        <v/>
      </c>
      <c r="B4883" s="1242">
        <f t="shared" ref="B4883:B4946" si="1338">IF(C4883&lt;&gt;"",MONTH(C4883),"")</f>
        <v>9</v>
      </c>
      <c r="C4883" s="292">
        <f t="shared" si="1337"/>
        <v>42996</v>
      </c>
      <c r="D4883" s="59" t="s">
        <v>902</v>
      </c>
      <c r="E4883" s="59">
        <v>42996</v>
      </c>
      <c r="F4883" s="62" t="s">
        <v>870</v>
      </c>
      <c r="G4883" s="62" t="s">
        <v>585</v>
      </c>
      <c r="H4883" s="67" t="s">
        <v>845</v>
      </c>
      <c r="I4883" s="373"/>
      <c r="J4883" s="382"/>
      <c r="K4883" s="373"/>
      <c r="L4883" s="379"/>
      <c r="M4883" s="60">
        <v>50000</v>
      </c>
      <c r="N4883" s="61" t="s">
        <v>101</v>
      </c>
      <c r="O4883" s="61" t="s">
        <v>26</v>
      </c>
      <c r="P4883" s="75" t="str">
        <f>IF(AND('331-CT'!$E$7=TH!H4819,OR(N4883="331",O4883="331")),"x","")</f>
        <v/>
      </c>
      <c r="Q4883" s="75" t="str">
        <f>IF(AND(B4883='111'!$L$11,OR($N4883=$Q$7,$O4883=$Q$7)),"x","")</f>
        <v/>
      </c>
      <c r="R4883" s="75" t="str">
        <f>IF(AND($N4883=$Q$7,$B4883&lt;'111'!$L$11),"x","")</f>
        <v/>
      </c>
      <c r="S4883" s="75" t="str">
        <f>IF(AND($O4883=$Q$7,$B4883&lt;'111'!$L$11),"x","")</f>
        <v/>
      </c>
      <c r="T4883" s="75" t="str">
        <f>IF(ISERROR(FIND('112'!$M$9,G4883,1)),"",IF((AND(FIND('112'!$M$9,G4883,1)&gt;=1,B4883='112'!$K$9,OR($N4883='112'!$I$6,$O4883='112'!$I$6))),"x",""))</f>
        <v/>
      </c>
      <c r="U4883" s="75" t="str">
        <f>IF(ISERROR(FIND('112'!$M$9,G4883,1)),"",IF((AND(LEFT(G4883,2)=LEFT('112'!$M$9,2),B4883&lt;'112'!$K$9,$N4883='112'!$I$6)),"x",""))</f>
        <v/>
      </c>
      <c r="V4883" s="75" t="str">
        <f>IF(ISERROR(FIND('112'!$M$9,G4883,1)),"",IF((AND(RIGHT(G4883,2)=RIGHT('112'!$M$9,2),B4883&lt;'112'!$K$9,$O4883='112'!$I$6)),"x",""))</f>
        <v/>
      </c>
      <c r="W4883" s="75" t="str">
        <f>IF(AND('341-CT'!$H$9=H4883,OR(LEFT(N4883,3)=$W$7,LEFT(O4883,3)=$W$7)),"x","")</f>
        <v/>
      </c>
      <c r="X4883" s="75" t="str">
        <f>IF(OR(TH!N4819=TH!$X$7,O4883=TH!$X$7),"x","")</f>
        <v/>
      </c>
      <c r="Y4883" s="75" t="str">
        <f>IF(AND(OR(N4883="131",O4883="131"),H4883='131-CT'!$H$9),"x","")</f>
        <v/>
      </c>
      <c r="Z4883" s="75"/>
      <c r="AA4883" s="75" t="str">
        <f>IF(AND(MONTH(E4883)='IN-NX'!$J$5,'IN-NX'!$D$7=D4883),"x","")</f>
        <v/>
      </c>
      <c r="AB4883" s="75" t="str">
        <f>IF(AND(OR(LEFT(TH!N4819,2)="15",LEFT(TH!O4819,2)="15"),LEFT(TH!O4819,3)&lt;&gt;"111",'152-CT'!$J$8=TH!F4819),"x","")</f>
        <v/>
      </c>
      <c r="AC4883" s="75" t="str">
        <f>IF(AND(OR(LEFT(TH!N4819,2)="15",LEFT(TH!O4819,2)="15"),TK!$E$7=TH!F4819),"x","")</f>
        <v/>
      </c>
      <c r="AD4883" s="75" t="str">
        <f>IF(AND(N4883="1521",MONTH(C4883)='BK-NL'!$M$11),"x","")</f>
        <v/>
      </c>
      <c r="AE4883">
        <v>9</v>
      </c>
    </row>
    <row r="4884" spans="1:33" s="304" customFormat="1" ht="16.5" customHeight="1">
      <c r="A4884" s="309" t="str">
        <f>IF(B4884&lt;&gt;"",IF(AND(B4884='IN-TC'!$S$4,OR(TH!N4874="1111",TH!O4874="1111")),TH!D4874,""),"")</f>
        <v/>
      </c>
      <c r="B4884" s="1242">
        <f t="shared" si="1338"/>
        <v>9</v>
      </c>
      <c r="C4884" s="292">
        <f t="shared" si="1337"/>
        <v>42996</v>
      </c>
      <c r="D4884" s="59" t="s">
        <v>902</v>
      </c>
      <c r="E4884" s="59">
        <v>42996</v>
      </c>
      <c r="F4884" s="62" t="s">
        <v>898</v>
      </c>
      <c r="G4884" s="62" t="s">
        <v>585</v>
      </c>
      <c r="H4884" s="67" t="s">
        <v>845</v>
      </c>
      <c r="I4884" s="373"/>
      <c r="J4884" s="382"/>
      <c r="K4884" s="373"/>
      <c r="L4884" s="379"/>
      <c r="M4884" s="60">
        <v>5000</v>
      </c>
      <c r="N4884" s="61" t="s">
        <v>9</v>
      </c>
      <c r="O4884" s="61" t="s">
        <v>26</v>
      </c>
      <c r="P4884" s="75" t="str">
        <f>IF(AND('331-CT'!$E$7=TH!H4820,OR(N4884="331",O4884="331")),"x","")</f>
        <v/>
      </c>
      <c r="Q4884" s="75" t="str">
        <f>IF(AND(B4884='111'!$L$11,OR($N4884=$Q$7,$O4884=$Q$7)),"x","")</f>
        <v/>
      </c>
      <c r="R4884" s="75" t="str">
        <f>IF(AND($N4884=$Q$7,$B4884&lt;'111'!$L$11),"x","")</f>
        <v/>
      </c>
      <c r="S4884" s="75" t="str">
        <f>IF(AND($O4884=$Q$7,$B4884&lt;'111'!$L$11),"x","")</f>
        <v/>
      </c>
      <c r="T4884" s="75" t="str">
        <f>IF(ISERROR(FIND('112'!$M$9,G4884,1)),"",IF((AND(FIND('112'!$M$9,G4884,1)&gt;=1,B4884='112'!$K$9,OR($N4884='112'!$I$6,$O4884='112'!$I$6))),"x",""))</f>
        <v/>
      </c>
      <c r="U4884" s="75" t="str">
        <f>IF(ISERROR(FIND('112'!$M$9,G4884,1)),"",IF((AND(LEFT(G4884,2)=LEFT('112'!$M$9,2),B4884&lt;'112'!$K$9,$N4884='112'!$I$6)),"x",""))</f>
        <v/>
      </c>
      <c r="V4884" s="75" t="str">
        <f>IF(ISERROR(FIND('112'!$M$9,G4884,1)),"",IF((AND(RIGHT(G4884,2)=RIGHT('112'!$M$9,2),B4884&lt;'112'!$K$9,$O4884='112'!$I$6)),"x",""))</f>
        <v/>
      </c>
      <c r="W4884" s="75" t="str">
        <f>IF(AND('341-CT'!$H$9=H4884,OR(LEFT(N4884,3)=$W$7,LEFT(O4884,3)=$W$7)),"x","")</f>
        <v/>
      </c>
      <c r="X4884" s="75" t="str">
        <f>IF(OR(TH!N4820=TH!$X$7,O4884=TH!$X$7),"x","")</f>
        <v/>
      </c>
      <c r="Y4884" s="75" t="str">
        <f>IF(AND(OR(N4884="131",O4884="131"),H4884='131-CT'!$H$9),"x","")</f>
        <v/>
      </c>
      <c r="Z4884" s="75"/>
      <c r="AA4884" s="75" t="str">
        <f>IF(AND(MONTH(E4884)='IN-NX'!$J$5,'IN-NX'!$D$7=D4884),"x","")</f>
        <v/>
      </c>
      <c r="AB4884" s="75" t="str">
        <f>IF(AND(OR(LEFT(TH!N4820,2)="15",LEFT(TH!O4820,2)="15"),LEFT(TH!O4820,3)&lt;&gt;"111",'152-CT'!$J$8=TH!F4820),"x","")</f>
        <v/>
      </c>
      <c r="AC4884" s="75" t="str">
        <f>IF(AND(OR(LEFT(TH!N4820,2)="15",LEFT(TH!O4820,2)="15"),TK!$E$7=TH!F4820),"x","")</f>
        <v/>
      </c>
      <c r="AD4884" s="75" t="str">
        <f>IF(AND(N4884="1521",MONTH(C4884)='BK-NL'!$M$11),"x","")</f>
        <v/>
      </c>
      <c r="AE4884">
        <v>9</v>
      </c>
      <c r="AF4884"/>
      <c r="AG4884"/>
    </row>
    <row r="4885" spans="1:33" ht="16.5" customHeight="1">
      <c r="A4885" s="309" t="str">
        <f>IF(B4885&lt;&gt;"",IF(AND(B4885='IN-TC'!$S$4,OR(TH!N4875="1111",TH!O4875="1111")),TH!D4875,""),"")</f>
        <v/>
      </c>
      <c r="B4885" s="1242">
        <f t="shared" si="1338"/>
        <v>9</v>
      </c>
      <c r="C4885" s="292">
        <f t="shared" si="1337"/>
        <v>42997</v>
      </c>
      <c r="D4885" s="59" t="s">
        <v>902</v>
      </c>
      <c r="E4885" s="59">
        <v>42997</v>
      </c>
      <c r="F4885" s="67" t="s">
        <v>897</v>
      </c>
      <c r="G4885" s="62" t="s">
        <v>1713</v>
      </c>
      <c r="H4885" s="294" t="s">
        <v>623</v>
      </c>
      <c r="I4885" s="373"/>
      <c r="J4885" s="382"/>
      <c r="K4885" s="373"/>
      <c r="L4885" s="379"/>
      <c r="M4885" s="60">
        <v>7760000000</v>
      </c>
      <c r="N4885" s="61" t="s">
        <v>8</v>
      </c>
      <c r="O4885" s="61" t="s">
        <v>26</v>
      </c>
      <c r="P4885" s="75" t="str">
        <f>IF(AND('331-CT'!$E$7=TH!H4500,OR(N4885="331",O4885="331")),"x","")</f>
        <v/>
      </c>
      <c r="Q4885" s="75" t="str">
        <f>IF(AND(B4885='111'!$L$11,OR($N4885=$Q$7,$O4885=$Q$7)),"x","")</f>
        <v/>
      </c>
      <c r="R4885" s="75" t="str">
        <f>IF(AND($N4885=$Q$7,$B4885&lt;'111'!$L$11),"x","")</f>
        <v/>
      </c>
      <c r="S4885" s="75" t="str">
        <f>IF(AND($O4885=$Q$7,$B4885&lt;'111'!$L$11),"x","")</f>
        <v/>
      </c>
      <c r="T4885" s="75" t="str">
        <f>IF(ISERROR(FIND('112'!$M$9,G4885,1)),"",IF((AND(FIND('112'!$M$9,G4885,1)&gt;=1,B4885='112'!$K$9,OR($N4885='112'!$I$6,$O4885='112'!$I$6))),"x",""))</f>
        <v/>
      </c>
      <c r="U4885" s="75" t="str">
        <f>IF(ISERROR(FIND('112'!$M$9,G4885,1)),"",IF((AND(LEFT(G4885,2)=LEFT('112'!$M$9,2),B4885&lt;'112'!$K$9,$N4885='112'!$I$6)),"x",""))</f>
        <v/>
      </c>
      <c r="V4885" s="75" t="str">
        <f>IF(ISERROR(FIND('112'!$M$9,G4885,1)),"",IF((AND(RIGHT(G4885,2)=RIGHT('112'!$M$9,2),B4885&lt;'112'!$K$9,$O4885='112'!$I$6)),"x",""))</f>
        <v/>
      </c>
      <c r="W4885" s="75" t="str">
        <f>IF(AND('341-CT'!$H$9=H4885,OR(LEFT(N4885,3)=$W$7,LEFT(O4885,3)=$W$7)),"x","")</f>
        <v/>
      </c>
      <c r="X4885" s="75" t="str">
        <f>IF(OR(TH!N4500=TH!$X$7,O4885=TH!$X$7),"x","")</f>
        <v/>
      </c>
      <c r="Y4885" s="75" t="str">
        <f>IF(AND(OR(N4885="131",O4885="131"),H4885='131-CT'!$H$9),"x","")</f>
        <v/>
      </c>
      <c r="Z4885" s="75"/>
      <c r="AA4885" s="75" t="str">
        <f>IF(AND(MONTH(E4885)='IN-NX'!$J$5,'IN-NX'!$D$7=D4885),"x","")</f>
        <v/>
      </c>
      <c r="AB4885" s="75" t="str">
        <f>IF(AND(OR(LEFT(TH!N4500,2)="15",LEFT(TH!O4500,2)="15"),LEFT(TH!O4500,3)&lt;&gt;"111",'152-CT'!$J$8=TH!F4500),"x","")</f>
        <v/>
      </c>
      <c r="AC4885" s="75" t="str">
        <f>IF(AND(OR(LEFT(TH!N4500,2)="15",LEFT(TH!O4500,2)="15"),TK!$E$7=TH!F4500),"x","")</f>
        <v/>
      </c>
      <c r="AD4885" s="75" t="str">
        <f>IF(AND(N4885="1521",MONTH(C4885)='BK-NL'!$M$11),"x","")</f>
        <v/>
      </c>
      <c r="AE4885" s="1053"/>
      <c r="AF4885" s="1053"/>
      <c r="AG4885" s="1053"/>
    </row>
    <row r="4886" spans="1:33" ht="16.5" customHeight="1">
      <c r="A4886" s="309" t="str">
        <f>IF(B4886&lt;&gt;"",IF(AND(B4886='IN-TC'!$S$4,OR(TH!N4876="1111",TH!O4876="1111")),TH!D4876,""),"")</f>
        <v/>
      </c>
      <c r="B4886" s="1242">
        <f t="shared" si="1338"/>
        <v>9</v>
      </c>
      <c r="C4886" s="292">
        <f t="shared" si="1337"/>
        <v>42997</v>
      </c>
      <c r="D4886" s="59" t="s">
        <v>902</v>
      </c>
      <c r="E4886" s="59">
        <v>42997</v>
      </c>
      <c r="F4886" s="67" t="s">
        <v>1307</v>
      </c>
      <c r="G4886" s="62" t="s">
        <v>1713</v>
      </c>
      <c r="H4886" s="67" t="s">
        <v>1771</v>
      </c>
      <c r="I4886" s="373"/>
      <c r="J4886" s="382"/>
      <c r="K4886" s="373"/>
      <c r="L4886" s="379"/>
      <c r="M4886" s="60">
        <v>1000000</v>
      </c>
      <c r="N4886" s="61" t="s">
        <v>101</v>
      </c>
      <c r="O4886" s="61" t="s">
        <v>26</v>
      </c>
      <c r="P4886" s="75" t="str">
        <f>IF(AND('331-CT'!$E$7=TH!H4501,OR(N4886="331",O4886="331")),"x","")</f>
        <v/>
      </c>
      <c r="Q4886" s="75" t="str">
        <f>IF(AND(B4886='111'!$L$11,OR($N4886=$Q$7,$O4886=$Q$7)),"x","")</f>
        <v/>
      </c>
      <c r="R4886" s="75" t="str">
        <f>IF(AND($N4886=$Q$7,$B4886&lt;'111'!$L$11),"x","")</f>
        <v/>
      </c>
      <c r="S4886" s="75" t="str">
        <f>IF(AND($O4886=$Q$7,$B4886&lt;'111'!$L$11),"x","")</f>
        <v/>
      </c>
      <c r="T4886" s="75" t="str">
        <f>IF(ISERROR(FIND('112'!$M$9,G4886,1)),"",IF((AND(FIND('112'!$M$9,G4886,1)&gt;=1,B4886='112'!$K$9,OR($N4886='112'!$I$6,$O4886='112'!$I$6))),"x",""))</f>
        <v/>
      </c>
      <c r="U4886" s="75" t="str">
        <f>IF(ISERROR(FIND('112'!$M$9,G4886,1)),"",IF((AND(LEFT(G4886,2)=LEFT('112'!$M$9,2),B4886&lt;'112'!$K$9,$N4886='112'!$I$6)),"x",""))</f>
        <v/>
      </c>
      <c r="V4886" s="75" t="str">
        <f>IF(ISERROR(FIND('112'!$M$9,G4886,1)),"",IF((AND(RIGHT(G4886,2)=RIGHT('112'!$M$9,2),B4886&lt;'112'!$K$9,$O4886='112'!$I$6)),"x",""))</f>
        <v/>
      </c>
      <c r="W4886" s="75" t="str">
        <f>IF(AND('341-CT'!$H$9=H4886,OR(LEFT(N4886,3)=$W$7,LEFT(O4886,3)=$W$7)),"x","")</f>
        <v/>
      </c>
      <c r="X4886" s="75" t="str">
        <f>IF(OR(TH!N4501=TH!$X$7,O4886=TH!$X$7),"x","")</f>
        <v/>
      </c>
      <c r="Y4886" s="75" t="str">
        <f>IF(AND(OR(N4886="131",O4886="131"),H4886='131-CT'!$H$9),"x","")</f>
        <v/>
      </c>
      <c r="Z4886" s="75"/>
      <c r="AA4886" s="75" t="str">
        <f>IF(AND(MONTH(E4886)='IN-NX'!$J$5,'IN-NX'!$D$7=D4886),"x","")</f>
        <v/>
      </c>
      <c r="AB4886" s="75" t="str">
        <f>IF(AND(OR(LEFT(TH!N4501,2)="15",LEFT(TH!O4501,2)="15"),LEFT(TH!O4501,3)&lt;&gt;"111",'152-CT'!$J$8=TH!F4501),"x","")</f>
        <v/>
      </c>
      <c r="AC4886" s="75" t="str">
        <f>IF(AND(OR(LEFT(TH!N4501,2)="15",LEFT(TH!O4501,2)="15"),TK!$E$7=TH!F4501),"x","")</f>
        <v/>
      </c>
      <c r="AD4886" s="75" t="str">
        <f>IF(AND(N4886="1521",MONTH(C4886)='BK-NL'!$M$11),"x","")</f>
        <v/>
      </c>
      <c r="AE4886">
        <v>9</v>
      </c>
      <c r="AF4886" s="1053"/>
      <c r="AG4886" s="1053"/>
    </row>
    <row r="4887" spans="1:33" s="304" customFormat="1" ht="16.5" customHeight="1">
      <c r="A4887" s="309" t="str">
        <f>IF(B4887&lt;&gt;"",IF(AND(B4887='IN-TC'!$S$4,OR(TH!N4877="1111",TH!O4877="1111")),TH!D4877,""),"")</f>
        <v/>
      </c>
      <c r="B4887" s="1242">
        <f t="shared" si="1338"/>
        <v>9</v>
      </c>
      <c r="C4887" s="292">
        <f t="shared" si="1337"/>
        <v>42997</v>
      </c>
      <c r="D4887" s="59" t="s">
        <v>902</v>
      </c>
      <c r="E4887" s="59">
        <v>42997</v>
      </c>
      <c r="F4887" s="67" t="s">
        <v>2101</v>
      </c>
      <c r="G4887" s="62" t="s">
        <v>1713</v>
      </c>
      <c r="H4887" s="67" t="s">
        <v>1771</v>
      </c>
      <c r="I4887" s="373"/>
      <c r="J4887" s="382"/>
      <c r="K4887" s="373"/>
      <c r="L4887" s="379"/>
      <c r="M4887" s="60">
        <v>100000</v>
      </c>
      <c r="N4887" s="61" t="s">
        <v>9</v>
      </c>
      <c r="O4887" s="61" t="s">
        <v>26</v>
      </c>
      <c r="P4887" s="75" t="str">
        <f>IF(AND('331-CT'!$E$7=TH!H4502,OR(N4887="331",O4887="331")),"x","")</f>
        <v/>
      </c>
      <c r="Q4887" s="75" t="str">
        <f>IF(AND(B4887='111'!$L$11,OR($N4887=$Q$7,$O4887=$Q$7)),"x","")</f>
        <v/>
      </c>
      <c r="R4887" s="75" t="str">
        <f>IF(AND($N4887=$Q$7,$B4887&lt;'111'!$L$11),"x","")</f>
        <v/>
      </c>
      <c r="S4887" s="75" t="str">
        <f>IF(AND($O4887=$Q$7,$B4887&lt;'111'!$L$11),"x","")</f>
        <v/>
      </c>
      <c r="T4887" s="75" t="str">
        <f>IF(ISERROR(FIND('112'!$M$9,G4887,1)),"",IF((AND(FIND('112'!$M$9,G4887,1)&gt;=1,B4887='112'!$K$9,OR($N4887='112'!$I$6,$O4887='112'!$I$6))),"x",""))</f>
        <v/>
      </c>
      <c r="U4887" s="75" t="str">
        <f>IF(ISERROR(FIND('112'!$M$9,G4887,1)),"",IF((AND(LEFT(G4887,2)=LEFT('112'!$M$9,2),B4887&lt;'112'!$K$9,$N4887='112'!$I$6)),"x",""))</f>
        <v/>
      </c>
      <c r="V4887" s="75" t="str">
        <f>IF(ISERROR(FIND('112'!$M$9,G4887,1)),"",IF((AND(RIGHT(G4887,2)=RIGHT('112'!$M$9,2),B4887&lt;'112'!$K$9,$O4887='112'!$I$6)),"x",""))</f>
        <v/>
      </c>
      <c r="W4887" s="75" t="str">
        <f>IF(AND('341-CT'!$H$9=H4887,OR(LEFT(N4887,3)=$W$7,LEFT(O4887,3)=$W$7)),"x","")</f>
        <v/>
      </c>
      <c r="X4887" s="75" t="str">
        <f>IF(OR(TH!N4502=TH!$X$7,O4887=TH!$X$7),"x","")</f>
        <v/>
      </c>
      <c r="Y4887" s="75" t="str">
        <f>IF(AND(OR(N4887="131",O4887="131"),H4887='131-CT'!$H$9),"x","")</f>
        <v/>
      </c>
      <c r="Z4887" s="75"/>
      <c r="AA4887" s="75" t="str">
        <f>IF(AND(MONTH(E4887)='IN-NX'!$J$5,'IN-NX'!$D$7=D4887),"x","")</f>
        <v/>
      </c>
      <c r="AB4887" s="75" t="str">
        <f>IF(AND(OR(LEFT(TH!N4502,2)="15",LEFT(TH!O4502,2)="15"),LEFT(TH!O4502,3)&lt;&gt;"111",'152-CT'!$J$8=TH!F4502),"x","")</f>
        <v/>
      </c>
      <c r="AC4887" s="75" t="str">
        <f>IF(AND(OR(LEFT(TH!N4502,2)="15",LEFT(TH!O4502,2)="15"),TK!$E$7=TH!F4502),"x","")</f>
        <v/>
      </c>
      <c r="AD4887" s="75" t="str">
        <f>IF(AND(N4887="1521",MONTH(C4887)='BK-NL'!$M$11),"x","")</f>
        <v/>
      </c>
      <c r="AE4887">
        <v>9</v>
      </c>
      <c r="AF4887" s="1053"/>
      <c r="AG4887" s="1053"/>
    </row>
    <row r="4888" spans="1:33" s="304" customFormat="1" ht="16.5" customHeight="1">
      <c r="A4888" s="309" t="str">
        <f>IF(B4888&lt;&gt;"",IF(AND(B4888='IN-TC'!$S$4,OR(TH!N4878="1111",TH!O4878="1111")),TH!D4878,""),"")</f>
        <v/>
      </c>
      <c r="B4888" s="1242">
        <f t="shared" si="1338"/>
        <v>9</v>
      </c>
      <c r="C4888" s="292">
        <f t="shared" si="1337"/>
        <v>42998</v>
      </c>
      <c r="D4888" s="292"/>
      <c r="E4888" s="292">
        <v>42998</v>
      </c>
      <c r="F4888" s="432" t="s">
        <v>2140</v>
      </c>
      <c r="G4888" s="925" t="s">
        <v>2138</v>
      </c>
      <c r="H4888" s="943" t="s">
        <v>803</v>
      </c>
      <c r="I4888" s="373"/>
      <c r="J4888" s="379"/>
      <c r="K4888" s="373"/>
      <c r="L4888" s="379"/>
      <c r="M4888" s="927">
        <v>17710000</v>
      </c>
      <c r="N4888" s="295" t="s">
        <v>8</v>
      </c>
      <c r="O4888" s="295" t="s">
        <v>63</v>
      </c>
      <c r="P4888" s="75" t="str">
        <f>IF(AND('331-CT'!$E$7=TH!H3895,OR(N4888="331",O4888="331")),"x","")</f>
        <v/>
      </c>
      <c r="Q4888" s="75" t="str">
        <f>IF(AND(B4888='111'!$L$11,OR($N4888=$Q$7,$O4888=$Q$7)),"x","")</f>
        <v/>
      </c>
      <c r="R4888" s="75" t="str">
        <f>IF(AND($N4888=$Q$7,$B4888&lt;'111'!$L$11),"x","")</f>
        <v/>
      </c>
      <c r="S4888" s="75" t="str">
        <f>IF(AND($O4888=$Q$7,$B4888&lt;'111'!$L$11),"x","")</f>
        <v>x</v>
      </c>
      <c r="T4888" s="75" t="str">
        <f>IF(ISERROR(FIND('112'!$M$9,G4888,1)),"",IF((AND(FIND('112'!$M$9,G4888,1)&gt;=1,B4888='112'!$K$9,OR($N4888='112'!$I$6,$O4888='112'!$I$6))),"x",""))</f>
        <v/>
      </c>
      <c r="U4888" s="75" t="str">
        <f>IF(ISERROR(FIND('112'!$M$9,G4888,1)),"",IF((AND(LEFT(G4888,2)=LEFT('112'!$M$9,2),B4888&lt;'112'!$K$9,$N4888='112'!$I$6)),"x",""))</f>
        <v/>
      </c>
      <c r="V4888" s="75" t="str">
        <f>IF(ISERROR(FIND('112'!$M$9,G4888,1)),"",IF((AND(RIGHT(G4888,2)=RIGHT('112'!$M$9,2),B4888&lt;'112'!$K$9,$O4888='112'!$I$6)),"x",""))</f>
        <v/>
      </c>
      <c r="W4888" s="75" t="str">
        <f>IF(AND('341-CT'!$H$9=H4888,OR(LEFT(N4888,3)=$W$7,LEFT(O4888,3)=$W$7)),"x","")</f>
        <v/>
      </c>
      <c r="X4888" s="75" t="str">
        <f>IF(OR(TH!N3895=TH!$X$7,O4888=TH!$X$7),"x","")</f>
        <v/>
      </c>
      <c r="Y4888" s="75" t="str">
        <f>IF(AND(OR(N4888="131",O4888="131"),H4888='131-CT'!$H$9),"x","")</f>
        <v/>
      </c>
      <c r="Z4888" s="75"/>
      <c r="AA4888" s="75" t="str">
        <f>IF(AND(MONTH(E4888)='IN-NX'!$J$5,'IN-NX'!$D$7=D4888),"x","")</f>
        <v/>
      </c>
      <c r="AB4888" s="75" t="str">
        <f>IF(AND(OR(LEFT(TH!N3895,2)="15",LEFT(TH!O3895,2)="15"),LEFT(TH!O3895,3)&lt;&gt;"111",'152-CT'!$J$8=TH!F3895),"x","")</f>
        <v/>
      </c>
      <c r="AC4888" s="75" t="str">
        <f>IF(AND(OR(LEFT(TH!N3895,2)="15",LEFT(TH!O3895,2)="15"),TK!$E$7=TH!F3895),"x","")</f>
        <v/>
      </c>
      <c r="AD4888" s="75" t="str">
        <f>IF(AND(N4888="1521",MONTH(C4888)='BK-NL'!$M$11),"x","")</f>
        <v/>
      </c>
      <c r="AE4888"/>
      <c r="AF4888"/>
      <c r="AG4888"/>
    </row>
    <row r="4889" spans="1:33" s="304" customFormat="1" ht="16.5" customHeight="1">
      <c r="A4889" s="309" t="str">
        <f>IF(B4889&lt;&gt;"",IF(AND(B4889='IN-TC'!$S$4,OR(TH!N4879="1111",TH!O4879="1111")),TH!D4879,""),"")</f>
        <v/>
      </c>
      <c r="B4889" s="1242">
        <f t="shared" si="1338"/>
        <v>9</v>
      </c>
      <c r="C4889" s="292">
        <f t="shared" si="1337"/>
        <v>42998</v>
      </c>
      <c r="D4889" s="292"/>
      <c r="E4889" s="292">
        <v>42998</v>
      </c>
      <c r="F4889" s="67" t="s">
        <v>1499</v>
      </c>
      <c r="G4889" s="925" t="s">
        <v>2283</v>
      </c>
      <c r="H4889" s="294" t="s">
        <v>893</v>
      </c>
      <c r="I4889" s="373"/>
      <c r="J4889" s="926"/>
      <c r="K4889" s="373"/>
      <c r="L4889" s="379"/>
      <c r="M4889" s="927">
        <v>1787164</v>
      </c>
      <c r="N4889" s="295" t="s">
        <v>101</v>
      </c>
      <c r="O4889" s="295" t="s">
        <v>63</v>
      </c>
      <c r="P4889" s="75" t="str">
        <f>IF(AND('331-CT'!$E$7=TH!H3896,OR(N4889="331",O4889="331")),"x","")</f>
        <v/>
      </c>
      <c r="Q4889" s="75" t="str">
        <f>IF(AND(B4889='111'!$L$11,OR($N4889=$Q$7,$O4889=$Q$7)),"x","")</f>
        <v/>
      </c>
      <c r="R4889" s="75" t="str">
        <f>IF(AND($N4889=$Q$7,$B4889&lt;'111'!$L$11),"x","")</f>
        <v/>
      </c>
      <c r="S4889" s="75" t="str">
        <f>IF(AND($O4889=$Q$7,$B4889&lt;'111'!$L$11),"x","")</f>
        <v>x</v>
      </c>
      <c r="T4889" s="75" t="str">
        <f>IF(ISERROR(FIND('112'!$M$9,G4889,1)),"",IF((AND(FIND('112'!$M$9,G4889,1)&gt;=1,B4889='112'!$K$9,OR($N4889='112'!$I$6,$O4889='112'!$I$6))),"x",""))</f>
        <v/>
      </c>
      <c r="U4889" s="75" t="str">
        <f>IF(ISERROR(FIND('112'!$M$9,G4889,1)),"",IF((AND(LEFT(G4889,2)=LEFT('112'!$M$9,2),B4889&lt;'112'!$K$9,$N4889='112'!$I$6)),"x",""))</f>
        <v/>
      </c>
      <c r="V4889" s="75" t="str">
        <f>IF(ISERROR(FIND('112'!$M$9,G4889,1)),"",IF((AND(RIGHT(G4889,2)=RIGHT('112'!$M$9,2),B4889&lt;'112'!$K$9,$O4889='112'!$I$6)),"x",""))</f>
        <v/>
      </c>
      <c r="W4889" s="75" t="str">
        <f>IF(AND('341-CT'!$H$9=H4889,OR(LEFT(N4889,3)=$W$7,LEFT(O4889,3)=$W$7)),"x","")</f>
        <v/>
      </c>
      <c r="X4889" s="75" t="str">
        <f>IF(OR(TH!N3896=TH!$X$7,O4889=TH!$X$7),"x","")</f>
        <v/>
      </c>
      <c r="Y4889" s="75" t="str">
        <f>IF(AND(OR(N4889="131",O4889="131"),H4889='131-CT'!$H$9),"x","")</f>
        <v/>
      </c>
      <c r="Z4889" s="75"/>
      <c r="AA4889" s="75" t="str">
        <f>IF(AND(MONTH(E4889)='IN-NX'!$J$5,'IN-NX'!$D$7=D4889),"x","")</f>
        <v/>
      </c>
      <c r="AB4889" s="75" t="str">
        <f>IF(AND(OR(LEFT(TH!N3896,2)="15",LEFT(TH!O3896,2)="15"),LEFT(TH!O3896,3)&lt;&gt;"111",'152-CT'!$J$8=TH!F3896),"x","")</f>
        <v/>
      </c>
      <c r="AC4889" s="75" t="str">
        <f>IF(AND(OR(LEFT(TH!N3896,2)="15",LEFT(TH!O3896,2)="15"),TK!$E$7=TH!F3896),"x","")</f>
        <v/>
      </c>
      <c r="AD4889" s="75" t="str">
        <f>IF(AND(N4889="1521",MONTH(C4889)='BK-NL'!$M$11),"x","")</f>
        <v/>
      </c>
      <c r="AE4889">
        <v>9</v>
      </c>
      <c r="AF4889"/>
      <c r="AG4889"/>
    </row>
    <row r="4890" spans="1:33" s="304" customFormat="1" ht="16.5" customHeight="1">
      <c r="A4890" s="309" t="str">
        <f>IF(B4890&lt;&gt;"",IF(AND(B4890='IN-TC'!$S$4,OR(TH!N4880="1111",TH!O4880="1111")),TH!D4880,""),"")</f>
        <v/>
      </c>
      <c r="B4890" s="1242">
        <f t="shared" si="1338"/>
        <v>9</v>
      </c>
      <c r="C4890" s="292">
        <f t="shared" si="1337"/>
        <v>42998</v>
      </c>
      <c r="D4890" s="292"/>
      <c r="E4890" s="292">
        <v>42998</v>
      </c>
      <c r="F4890" s="67" t="s">
        <v>1500</v>
      </c>
      <c r="G4890" s="925" t="s">
        <v>2283</v>
      </c>
      <c r="H4890" s="294" t="s">
        <v>893</v>
      </c>
      <c r="I4890" s="373"/>
      <c r="J4890" s="926"/>
      <c r="K4890" s="373"/>
      <c r="L4890" s="379"/>
      <c r="M4890" s="927">
        <v>178716</v>
      </c>
      <c r="N4890" s="295" t="s">
        <v>9</v>
      </c>
      <c r="O4890" s="295" t="s">
        <v>63</v>
      </c>
      <c r="P4890" s="75" t="str">
        <f>IF(AND('331-CT'!$E$7=TH!H3897,OR(N4890="331",O4890="331")),"x","")</f>
        <v/>
      </c>
      <c r="Q4890" s="75" t="str">
        <f>IF(AND(B4890='111'!$L$11,OR($N4890=$Q$7,$O4890=$Q$7)),"x","")</f>
        <v/>
      </c>
      <c r="R4890" s="75" t="str">
        <f>IF(AND($N4890=$Q$7,$B4890&lt;'111'!$L$11),"x","")</f>
        <v/>
      </c>
      <c r="S4890" s="75" t="str">
        <f>IF(AND($O4890=$Q$7,$B4890&lt;'111'!$L$11),"x","")</f>
        <v>x</v>
      </c>
      <c r="T4890" s="75" t="str">
        <f>IF(ISERROR(FIND('112'!$M$9,G4890,1)),"",IF((AND(FIND('112'!$M$9,G4890,1)&gt;=1,B4890='112'!$K$9,OR($N4890='112'!$I$6,$O4890='112'!$I$6))),"x",""))</f>
        <v/>
      </c>
      <c r="U4890" s="75" t="str">
        <f>IF(ISERROR(FIND('112'!$M$9,G4890,1)),"",IF((AND(LEFT(G4890,2)=LEFT('112'!$M$9,2),B4890&lt;'112'!$K$9,$N4890='112'!$I$6)),"x",""))</f>
        <v/>
      </c>
      <c r="V4890" s="75" t="str">
        <f>IF(ISERROR(FIND('112'!$M$9,G4890,1)),"",IF((AND(RIGHT(G4890,2)=RIGHT('112'!$M$9,2),B4890&lt;'112'!$K$9,$O4890='112'!$I$6)),"x",""))</f>
        <v/>
      </c>
      <c r="W4890" s="75" t="str">
        <f>IF(AND('341-CT'!$H$9=H4890,OR(LEFT(N4890,3)=$W$7,LEFT(O4890,3)=$W$7)),"x","")</f>
        <v/>
      </c>
      <c r="X4890" s="75" t="str">
        <f>IF(OR(TH!N3897=TH!$X$7,O4890=TH!$X$7),"x","")</f>
        <v/>
      </c>
      <c r="Y4890" s="75" t="str">
        <f>IF(AND(OR(N4890="131",O4890="131"),H4890='131-CT'!$H$9),"x","")</f>
        <v/>
      </c>
      <c r="Z4890" s="75"/>
      <c r="AA4890" s="75" t="str">
        <f>IF(AND(MONTH(E4890)='IN-NX'!$J$5,'IN-NX'!$D$7=D4890),"x","")</f>
        <v/>
      </c>
      <c r="AB4890" s="75" t="str">
        <f>IF(AND(OR(LEFT(TH!N3897,2)="15",LEFT(TH!O3897,2)="15"),LEFT(TH!O3897,3)&lt;&gt;"111",'152-CT'!$J$8=TH!F3897),"x","")</f>
        <v/>
      </c>
      <c r="AC4890" s="75" t="str">
        <f>IF(AND(OR(LEFT(TH!N3897,2)="15",LEFT(TH!O3897,2)="15"),TK!$E$7=TH!F3897),"x","")</f>
        <v/>
      </c>
      <c r="AD4890" s="75" t="str">
        <f>IF(AND(N4890="1521",MONTH(C4890)='BK-NL'!$M$11),"x","")</f>
        <v/>
      </c>
      <c r="AE4890">
        <v>9</v>
      </c>
      <c r="AF4890"/>
      <c r="AG4890"/>
    </row>
    <row r="4891" spans="1:33" ht="16.5" customHeight="1">
      <c r="A4891" s="309" t="str">
        <f>IF(B4891&lt;&gt;"",IF(AND(B4891='IN-TC'!$S$4,OR(TH!N4881="1111",TH!O4881="1111")),TH!D4881,""),"")</f>
        <v/>
      </c>
      <c r="B4891" s="1242">
        <f t="shared" si="1338"/>
        <v>9</v>
      </c>
      <c r="C4891" s="292">
        <f t="shared" si="1337"/>
        <v>42998</v>
      </c>
      <c r="D4891" s="292"/>
      <c r="E4891" s="292">
        <v>42998</v>
      </c>
      <c r="F4891" s="67" t="s">
        <v>1499</v>
      </c>
      <c r="G4891" s="925" t="s">
        <v>2284</v>
      </c>
      <c r="H4891" s="294" t="s">
        <v>893</v>
      </c>
      <c r="I4891" s="373"/>
      <c r="J4891" s="926"/>
      <c r="K4891" s="373"/>
      <c r="L4891" s="379"/>
      <c r="M4891" s="927">
        <v>722791</v>
      </c>
      <c r="N4891" s="295" t="s">
        <v>101</v>
      </c>
      <c r="O4891" s="295" t="s">
        <v>63</v>
      </c>
      <c r="P4891" s="75" t="str">
        <f>IF(AND('331-CT'!$E$7=TH!H3898,OR(N4891="331",O4891="331")),"x","")</f>
        <v/>
      </c>
      <c r="Q4891" s="75" t="str">
        <f>IF(AND(B4891='111'!$L$11,OR($N4891=$Q$7,$O4891=$Q$7)),"x","")</f>
        <v/>
      </c>
      <c r="R4891" s="75" t="str">
        <f>IF(AND($N4891=$Q$7,$B4891&lt;'111'!$L$11),"x","")</f>
        <v/>
      </c>
      <c r="S4891" s="75" t="str">
        <f>IF(AND($O4891=$Q$7,$B4891&lt;'111'!$L$11),"x","")</f>
        <v>x</v>
      </c>
      <c r="T4891" s="75" t="str">
        <f>IF(ISERROR(FIND('112'!$M$9,G4891,1)),"",IF((AND(FIND('112'!$M$9,G4891,1)&gt;=1,B4891='112'!$K$9,OR($N4891='112'!$I$6,$O4891='112'!$I$6))),"x",""))</f>
        <v/>
      </c>
      <c r="U4891" s="75" t="str">
        <f>IF(ISERROR(FIND('112'!$M$9,G4891,1)),"",IF((AND(LEFT(G4891,2)=LEFT('112'!$M$9,2),B4891&lt;'112'!$K$9,$N4891='112'!$I$6)),"x",""))</f>
        <v/>
      </c>
      <c r="V4891" s="75" t="str">
        <f>IF(ISERROR(FIND('112'!$M$9,G4891,1)),"",IF((AND(RIGHT(G4891,2)=RIGHT('112'!$M$9,2),B4891&lt;'112'!$K$9,$O4891='112'!$I$6)),"x",""))</f>
        <v/>
      </c>
      <c r="W4891" s="75" t="str">
        <f>IF(AND('341-CT'!$H$9=H4891,OR(LEFT(N4891,3)=$W$7,LEFT(O4891,3)=$W$7)),"x","")</f>
        <v/>
      </c>
      <c r="X4891" s="75" t="str">
        <f>IF(OR(TH!N3898=TH!$X$7,O4891=TH!$X$7),"x","")</f>
        <v/>
      </c>
      <c r="Y4891" s="75" t="str">
        <f>IF(AND(OR(N4891="131",O4891="131"),H4891='131-CT'!$H$9),"x","")</f>
        <v/>
      </c>
      <c r="Z4891" s="75"/>
      <c r="AA4891" s="75" t="str">
        <f>IF(AND(MONTH(E4891)='IN-NX'!$J$5,'IN-NX'!$D$7=D4891),"x","")</f>
        <v/>
      </c>
      <c r="AB4891" s="75" t="str">
        <f>IF(AND(OR(LEFT(TH!N3898,2)="15",LEFT(TH!O3898,2)="15"),LEFT(TH!O3898,3)&lt;&gt;"111",'152-CT'!$J$8=TH!F3898),"x","")</f>
        <v/>
      </c>
      <c r="AC4891" s="75" t="str">
        <f>IF(AND(OR(LEFT(TH!N3898,2)="15",LEFT(TH!O3898,2)="15"),TK!$E$7=TH!F3898),"x","")</f>
        <v/>
      </c>
      <c r="AD4891" s="75" t="str">
        <f>IF(AND(N4891="1521",MONTH(C4891)='BK-NL'!$M$11),"x","")</f>
        <v/>
      </c>
      <c r="AE4891">
        <v>9</v>
      </c>
    </row>
    <row r="4892" spans="1:33" ht="16.5" customHeight="1">
      <c r="A4892" s="309" t="str">
        <f>IF(B4892&lt;&gt;"",IF(AND(B4892='IN-TC'!$S$4,OR(TH!N4882="1111",TH!O4882="1111")),TH!D4882,""),"")</f>
        <v/>
      </c>
      <c r="B4892" s="1242">
        <f t="shared" si="1338"/>
        <v>9</v>
      </c>
      <c r="C4892" s="292">
        <f t="shared" si="1337"/>
        <v>42998</v>
      </c>
      <c r="D4892" s="292"/>
      <c r="E4892" s="292">
        <v>42998</v>
      </c>
      <c r="F4892" s="67" t="s">
        <v>1500</v>
      </c>
      <c r="G4892" s="925" t="s">
        <v>2284</v>
      </c>
      <c r="H4892" s="294" t="s">
        <v>893</v>
      </c>
      <c r="I4892" s="373"/>
      <c r="J4892" s="926"/>
      <c r="K4892" s="373"/>
      <c r="L4892" s="379"/>
      <c r="M4892" s="927">
        <v>72279</v>
      </c>
      <c r="N4892" s="295" t="s">
        <v>9</v>
      </c>
      <c r="O4892" s="295" t="s">
        <v>63</v>
      </c>
      <c r="P4892" s="75" t="str">
        <f>IF(AND('331-CT'!$E$7=TH!H3899,OR(N4892="331",O4892="331")),"x","")</f>
        <v/>
      </c>
      <c r="Q4892" s="75" t="str">
        <f>IF(AND(B4892='111'!$L$11,OR($N4892=$Q$7,$O4892=$Q$7)),"x","")</f>
        <v/>
      </c>
      <c r="R4892" s="75" t="str">
        <f>IF(AND($N4892=$Q$7,$B4892&lt;'111'!$L$11),"x","")</f>
        <v/>
      </c>
      <c r="S4892" s="75" t="str">
        <f>IF(AND($O4892=$Q$7,$B4892&lt;'111'!$L$11),"x","")</f>
        <v>x</v>
      </c>
      <c r="T4892" s="75" t="str">
        <f>IF(ISERROR(FIND('112'!$M$9,G4892,1)),"",IF((AND(FIND('112'!$M$9,G4892,1)&gt;=1,B4892='112'!$K$9,OR($N4892='112'!$I$6,$O4892='112'!$I$6))),"x",""))</f>
        <v/>
      </c>
      <c r="U4892" s="75" t="str">
        <f>IF(ISERROR(FIND('112'!$M$9,G4892,1)),"",IF((AND(LEFT(G4892,2)=LEFT('112'!$M$9,2),B4892&lt;'112'!$K$9,$N4892='112'!$I$6)),"x",""))</f>
        <v/>
      </c>
      <c r="V4892" s="75" t="str">
        <f>IF(ISERROR(FIND('112'!$M$9,G4892,1)),"",IF((AND(RIGHT(G4892,2)=RIGHT('112'!$M$9,2),B4892&lt;'112'!$K$9,$O4892='112'!$I$6)),"x",""))</f>
        <v/>
      </c>
      <c r="W4892" s="75" t="str">
        <f>IF(AND('341-CT'!$H$9=H4892,OR(LEFT(N4892,3)=$W$7,LEFT(O4892,3)=$W$7)),"x","")</f>
        <v/>
      </c>
      <c r="X4892" s="75" t="str">
        <f>IF(OR(TH!N3899=TH!$X$7,O4892=TH!$X$7),"x","")</f>
        <v/>
      </c>
      <c r="Y4892" s="75" t="str">
        <f>IF(AND(OR(N4892="131",O4892="131"),H4892='131-CT'!$H$9),"x","")</f>
        <v/>
      </c>
      <c r="Z4892" s="75"/>
      <c r="AA4892" s="75" t="str">
        <f>IF(AND(MONTH(E4892)='IN-NX'!$J$5,'IN-NX'!$D$7=D4892),"x","")</f>
        <v/>
      </c>
      <c r="AB4892" s="75" t="str">
        <f>IF(AND(OR(LEFT(TH!N3899,2)="15",LEFT(TH!O3899,2)="15"),LEFT(TH!O3899,3)&lt;&gt;"111",'152-CT'!$J$8=TH!F3899),"x","")</f>
        <v/>
      </c>
      <c r="AC4892" s="75" t="str">
        <f>IF(AND(OR(LEFT(TH!N3899,2)="15",LEFT(TH!O3899,2)="15"),TK!$E$7=TH!F3899),"x","")</f>
        <v/>
      </c>
      <c r="AD4892" s="75" t="str">
        <f>IF(AND(N4892="1521",MONTH(C4892)='BK-NL'!$M$11),"x","")</f>
        <v/>
      </c>
      <c r="AE4892">
        <v>9</v>
      </c>
    </row>
    <row r="4893" spans="1:33" ht="16.5" customHeight="1">
      <c r="A4893" s="309" t="str">
        <f>IF(B4893&lt;&gt;"",IF(AND(B4893='IN-TC'!$S$4,OR(TH!N4883="1111",TH!O4883="1111")),TH!D4883,""),"")</f>
        <v/>
      </c>
      <c r="B4893" s="1242">
        <f t="shared" si="1338"/>
        <v>9</v>
      </c>
      <c r="C4893" s="292">
        <f t="shared" si="1337"/>
        <v>42998</v>
      </c>
      <c r="D4893" s="59" t="s">
        <v>2493</v>
      </c>
      <c r="E4893" s="59">
        <v>42998</v>
      </c>
      <c r="F4893" s="62" t="s">
        <v>2103</v>
      </c>
      <c r="G4893" s="62" t="s">
        <v>585</v>
      </c>
      <c r="H4893" s="67" t="s">
        <v>1023</v>
      </c>
      <c r="I4893" s="373"/>
      <c r="J4893" s="382"/>
      <c r="K4893" s="373"/>
      <c r="L4893" s="379"/>
      <c r="M4893" s="60">
        <v>6120000000</v>
      </c>
      <c r="N4893" s="61" t="s">
        <v>26</v>
      </c>
      <c r="O4893" s="61" t="s">
        <v>63</v>
      </c>
      <c r="P4893" s="75" t="str">
        <f>IF(AND('331-CT'!$E$7=TH!H4821,OR(N4893="331",O4893="331")),"x","")</f>
        <v/>
      </c>
      <c r="Q4893" s="75" t="str">
        <f>IF(AND(B4893='111'!$L$11,OR($N4893=$Q$7,$O4893=$Q$7)),"x","")</f>
        <v/>
      </c>
      <c r="R4893" s="75" t="str">
        <f>IF(AND($N4893=$Q$7,$B4893&lt;'111'!$L$11),"x","")</f>
        <v/>
      </c>
      <c r="S4893" s="75" t="str">
        <f>IF(AND($O4893=$Q$7,$B4893&lt;'111'!$L$11),"x","")</f>
        <v>x</v>
      </c>
      <c r="T4893" s="75" t="str">
        <f>IF(ISERROR(FIND('112'!$M$9,G4893,1)),"",IF((AND(FIND('112'!$M$9,G4893,1)&gt;=1,B4893='112'!$K$9,OR($N4893='112'!$I$6,$O4893='112'!$I$6))),"x",""))</f>
        <v/>
      </c>
      <c r="U4893" s="75" t="str">
        <f>IF(ISERROR(FIND('112'!$M$9,G4893,1)),"",IF((AND(LEFT(G4893,2)=LEFT('112'!$M$9,2),B4893&lt;'112'!$K$9,$N4893='112'!$I$6)),"x",""))</f>
        <v/>
      </c>
      <c r="V4893" s="75" t="str">
        <f>IF(ISERROR(FIND('112'!$M$9,G4893,1)),"",IF((AND(RIGHT(G4893,2)=RIGHT('112'!$M$9,2),B4893&lt;'112'!$K$9,$O4893='112'!$I$6)),"x",""))</f>
        <v/>
      </c>
      <c r="W4893" s="75" t="str">
        <f>IF(AND('341-CT'!$H$9=H4893,OR(LEFT(N4893,3)=$W$7,LEFT(O4893,3)=$W$7)),"x","")</f>
        <v/>
      </c>
      <c r="X4893" s="75" t="str">
        <f>IF(OR(TH!N4821=TH!$X$7,O4893=TH!$X$7),"x","")</f>
        <v/>
      </c>
      <c r="Y4893" s="75" t="str">
        <f>IF(AND(OR(N4893="131",O4893="131"),H4893='131-CT'!$H$9),"x","")</f>
        <v/>
      </c>
      <c r="Z4893" s="75"/>
      <c r="AA4893" s="75" t="str">
        <f>IF(AND(MONTH(E4893)='IN-NX'!$J$5,'IN-NX'!$D$7=D4893),"x","")</f>
        <v/>
      </c>
      <c r="AB4893" s="75" t="str">
        <f>IF(AND(OR(LEFT(TH!N4821,2)="15",LEFT(TH!O4821,2)="15"),LEFT(TH!O4821,3)&lt;&gt;"111",'152-CT'!$J$8=TH!F4821),"x","")</f>
        <v/>
      </c>
      <c r="AC4893" s="75" t="str">
        <f>IF(AND(OR(LEFT(TH!N4821,2)="15",LEFT(TH!O4821,2)="15"),TK!$E$7=TH!F4821),"x","")</f>
        <v/>
      </c>
      <c r="AD4893" s="75" t="str">
        <f>IF(AND(N4893="1521",MONTH(C4893)='BK-NL'!$M$11),"x","")</f>
        <v/>
      </c>
    </row>
    <row r="4894" spans="1:33" ht="16.5" customHeight="1">
      <c r="A4894" s="309" t="str">
        <f>IF(B4894&lt;&gt;"",IF(AND(B4894='IN-TC'!$S$4,OR(TH!N4884="1111",TH!O4884="1111")),TH!D4884,""),"")</f>
        <v/>
      </c>
      <c r="B4894" s="1242">
        <f t="shared" si="1338"/>
        <v>9</v>
      </c>
      <c r="C4894" s="292">
        <f t="shared" si="1337"/>
        <v>42998</v>
      </c>
      <c r="D4894" s="59" t="s">
        <v>902</v>
      </c>
      <c r="E4894" s="59">
        <v>42998</v>
      </c>
      <c r="F4894" s="62" t="s">
        <v>897</v>
      </c>
      <c r="G4894" s="62" t="s">
        <v>585</v>
      </c>
      <c r="H4894" s="67" t="s">
        <v>789</v>
      </c>
      <c r="I4894" s="373"/>
      <c r="J4894" s="382"/>
      <c r="K4894" s="373"/>
      <c r="L4894" s="379"/>
      <c r="M4894" s="60">
        <v>6114030000</v>
      </c>
      <c r="N4894" s="61" t="s">
        <v>8</v>
      </c>
      <c r="O4894" s="61" t="s">
        <v>26</v>
      </c>
      <c r="P4894" s="75" t="str">
        <f>IF(AND('331-CT'!$E$7=TH!H4829,OR(N4894="331",O4894="331")),"x","")</f>
        <v/>
      </c>
      <c r="Q4894" s="75" t="str">
        <f>IF(AND(B4894='111'!$L$11,OR($N4894=$Q$7,$O4894=$Q$7)),"x","")</f>
        <v/>
      </c>
      <c r="R4894" s="75" t="str">
        <f>IF(AND($N4894=$Q$7,$B4894&lt;'111'!$L$11),"x","")</f>
        <v/>
      </c>
      <c r="S4894" s="75" t="str">
        <f>IF(AND($O4894=$Q$7,$B4894&lt;'111'!$L$11),"x","")</f>
        <v/>
      </c>
      <c r="T4894" s="75" t="str">
        <f>IF(ISERROR(FIND('112'!$M$9,G4894,1)),"",IF((AND(FIND('112'!$M$9,G4894,1)&gt;=1,B4894='112'!$K$9,OR($N4894='112'!$I$6,$O4894='112'!$I$6))),"x",""))</f>
        <v/>
      </c>
      <c r="U4894" s="75" t="str">
        <f>IF(ISERROR(FIND('112'!$M$9,G4894,1)),"",IF((AND(LEFT(G4894,2)=LEFT('112'!$M$9,2),B4894&lt;'112'!$K$9,$N4894='112'!$I$6)),"x",""))</f>
        <v/>
      </c>
      <c r="V4894" s="75" t="str">
        <f>IF(ISERROR(FIND('112'!$M$9,G4894,1)),"",IF((AND(RIGHT(G4894,2)=RIGHT('112'!$M$9,2),B4894&lt;'112'!$K$9,$O4894='112'!$I$6)),"x",""))</f>
        <v/>
      </c>
      <c r="W4894" s="75" t="str">
        <f>IF(AND('341-CT'!$H$9=H4894,OR(LEFT(N4894,3)=$W$7,LEFT(O4894,3)=$W$7)),"x","")</f>
        <v/>
      </c>
      <c r="X4894" s="75" t="str">
        <f>IF(OR(TH!N4829=TH!$X$7,O4894=TH!$X$7),"x","")</f>
        <v/>
      </c>
      <c r="Y4894" s="75" t="str">
        <f>IF(AND(OR(N4894="131",O4894="131"),H4894='131-CT'!$H$9),"x","")</f>
        <v/>
      </c>
      <c r="Z4894" s="75"/>
      <c r="AA4894" s="75" t="str">
        <f>IF(AND(MONTH(E4894)='IN-NX'!$J$5,'IN-NX'!$D$7=D4894),"x","")</f>
        <v/>
      </c>
      <c r="AB4894" s="75" t="str">
        <f>IF(AND(OR(LEFT(TH!N4829,2)="15",LEFT(TH!O4829,2)="15"),LEFT(TH!O4829,3)&lt;&gt;"111",'152-CT'!$J$8=TH!F4829),"x","")</f>
        <v/>
      </c>
      <c r="AC4894" s="75" t="str">
        <f>IF(AND(OR(LEFT(TH!N4829,2)="15",LEFT(TH!O4829,2)="15"),TK!$E$7=TH!F4829),"x","")</f>
        <v/>
      </c>
      <c r="AD4894" s="75" t="str">
        <f>IF(AND(N4894="1521",MONTH(C4894)='BK-NL'!$M$11),"x","")</f>
        <v/>
      </c>
    </row>
    <row r="4895" spans="1:33" s="304" customFormat="1" ht="16.5" customHeight="1">
      <c r="A4895" s="309" t="str">
        <f>IF(B4895&lt;&gt;"",IF(AND(B4895='IN-TC'!$S$4,OR(TH!N4885="1111",TH!O4885="1111")),TH!D4885,""),"")</f>
        <v/>
      </c>
      <c r="B4895" s="1242">
        <f t="shared" si="1338"/>
        <v>9</v>
      </c>
      <c r="C4895" s="292">
        <f t="shared" si="1337"/>
        <v>42998</v>
      </c>
      <c r="D4895" s="59" t="s">
        <v>902</v>
      </c>
      <c r="E4895" s="59">
        <v>42998</v>
      </c>
      <c r="F4895" s="62" t="s">
        <v>1307</v>
      </c>
      <c r="G4895" s="62" t="s">
        <v>585</v>
      </c>
      <c r="H4895" s="67" t="s">
        <v>845</v>
      </c>
      <c r="I4895" s="373"/>
      <c r="J4895" s="382"/>
      <c r="K4895" s="373"/>
      <c r="L4895" s="379"/>
      <c r="M4895" s="60">
        <v>1500000</v>
      </c>
      <c r="N4895" s="61" t="s">
        <v>101</v>
      </c>
      <c r="O4895" s="61" t="s">
        <v>26</v>
      </c>
      <c r="P4895" s="75" t="str">
        <f>IF(AND('331-CT'!$E$7=TH!H4830,OR(N4895="331",O4895="331")),"x","")</f>
        <v/>
      </c>
      <c r="Q4895" s="75" t="str">
        <f>IF(AND(B4895='111'!$L$11,OR($N4895=$Q$7,$O4895=$Q$7)),"x","")</f>
        <v/>
      </c>
      <c r="R4895" s="75" t="str">
        <f>IF(AND($N4895=$Q$7,$B4895&lt;'111'!$L$11),"x","")</f>
        <v/>
      </c>
      <c r="S4895" s="75" t="str">
        <f>IF(AND($O4895=$Q$7,$B4895&lt;'111'!$L$11),"x","")</f>
        <v/>
      </c>
      <c r="T4895" s="75" t="str">
        <f>IF(ISERROR(FIND('112'!$M$9,G4895,1)),"",IF((AND(FIND('112'!$M$9,G4895,1)&gt;=1,B4895='112'!$K$9,OR($N4895='112'!$I$6,$O4895='112'!$I$6))),"x",""))</f>
        <v/>
      </c>
      <c r="U4895" s="75" t="str">
        <f>IF(ISERROR(FIND('112'!$M$9,G4895,1)),"",IF((AND(LEFT(G4895,2)=LEFT('112'!$M$9,2),B4895&lt;'112'!$K$9,$N4895='112'!$I$6)),"x",""))</f>
        <v/>
      </c>
      <c r="V4895" s="75" t="str">
        <f>IF(ISERROR(FIND('112'!$M$9,G4895,1)),"",IF((AND(RIGHT(G4895,2)=RIGHT('112'!$M$9,2),B4895&lt;'112'!$K$9,$O4895='112'!$I$6)),"x",""))</f>
        <v/>
      </c>
      <c r="W4895" s="75" t="str">
        <f>IF(AND('341-CT'!$H$9=H4895,OR(LEFT(N4895,3)=$W$7,LEFT(O4895,3)=$W$7)),"x","")</f>
        <v/>
      </c>
      <c r="X4895" s="75" t="str">
        <f>IF(OR(TH!N4830=TH!$X$7,O4895=TH!$X$7),"x","")</f>
        <v/>
      </c>
      <c r="Y4895" s="75" t="str">
        <f>IF(AND(OR(N4895="131",O4895="131"),H4895='131-CT'!$H$9),"x","")</f>
        <v/>
      </c>
      <c r="Z4895" s="75"/>
      <c r="AA4895" s="75" t="str">
        <f>IF(AND(MONTH(E4895)='IN-NX'!$J$5,'IN-NX'!$D$7=D4895),"x","")</f>
        <v/>
      </c>
      <c r="AB4895" s="75" t="str">
        <f>IF(AND(OR(LEFT(TH!N4830,2)="15",LEFT(TH!O4830,2)="15"),LEFT(TH!O4830,3)&lt;&gt;"111",'152-CT'!$J$8=TH!F4830),"x","")</f>
        <v/>
      </c>
      <c r="AC4895" s="75" t="str">
        <f>IF(AND(OR(LEFT(TH!N4830,2)="15",LEFT(TH!O4830,2)="15"),TK!$E$7=TH!F4830),"x","")</f>
        <v/>
      </c>
      <c r="AD4895" s="75" t="str">
        <f>IF(AND(N4895="1521",MONTH(C4895)='BK-NL'!$M$11),"x","")</f>
        <v/>
      </c>
      <c r="AE4895">
        <v>9</v>
      </c>
      <c r="AF4895"/>
      <c r="AG4895"/>
    </row>
    <row r="4896" spans="1:33" s="304" customFormat="1" ht="16.5" customHeight="1">
      <c r="A4896" s="309" t="str">
        <f>IF(B4896&lt;&gt;"",IF(AND(B4896='IN-TC'!$S$4,OR(TH!N4886="1111",TH!O4886="1111")),TH!D4886,""),"")</f>
        <v/>
      </c>
      <c r="B4896" s="1242">
        <f t="shared" si="1338"/>
        <v>9</v>
      </c>
      <c r="C4896" s="292">
        <f t="shared" si="1337"/>
        <v>42998</v>
      </c>
      <c r="D4896" s="59" t="s">
        <v>902</v>
      </c>
      <c r="E4896" s="59">
        <v>42998</v>
      </c>
      <c r="F4896" s="62" t="s">
        <v>2101</v>
      </c>
      <c r="G4896" s="62" t="s">
        <v>585</v>
      </c>
      <c r="H4896" s="67" t="s">
        <v>845</v>
      </c>
      <c r="I4896" s="373"/>
      <c r="J4896" s="382"/>
      <c r="K4896" s="373"/>
      <c r="L4896" s="379"/>
      <c r="M4896" s="60">
        <v>150000</v>
      </c>
      <c r="N4896" s="61" t="s">
        <v>9</v>
      </c>
      <c r="O4896" s="61" t="s">
        <v>26</v>
      </c>
      <c r="P4896" s="75" t="str">
        <f>IF(AND('331-CT'!$E$7=TH!H4831,OR(N4896="331",O4896="331")),"x","")</f>
        <v/>
      </c>
      <c r="Q4896" s="75" t="str">
        <f>IF(AND(B4896='111'!$L$11,OR($N4896=$Q$7,$O4896=$Q$7)),"x","")</f>
        <v/>
      </c>
      <c r="R4896" s="75" t="str">
        <f>IF(AND($N4896=$Q$7,$B4896&lt;'111'!$L$11),"x","")</f>
        <v/>
      </c>
      <c r="S4896" s="75" t="str">
        <f>IF(AND($O4896=$Q$7,$B4896&lt;'111'!$L$11),"x","")</f>
        <v/>
      </c>
      <c r="T4896" s="75" t="str">
        <f>IF(ISERROR(FIND('112'!$M$9,G4896,1)),"",IF((AND(FIND('112'!$M$9,G4896,1)&gt;=1,B4896='112'!$K$9,OR($N4896='112'!$I$6,$O4896='112'!$I$6))),"x",""))</f>
        <v/>
      </c>
      <c r="U4896" s="75" t="str">
        <f>IF(ISERROR(FIND('112'!$M$9,G4896,1)),"",IF((AND(LEFT(G4896,2)=LEFT('112'!$M$9,2),B4896&lt;'112'!$K$9,$N4896='112'!$I$6)),"x",""))</f>
        <v/>
      </c>
      <c r="V4896" s="75" t="str">
        <f>IF(ISERROR(FIND('112'!$M$9,G4896,1)),"",IF((AND(RIGHT(G4896,2)=RIGHT('112'!$M$9,2),B4896&lt;'112'!$K$9,$O4896='112'!$I$6)),"x",""))</f>
        <v/>
      </c>
      <c r="W4896" s="75" t="str">
        <f>IF(AND('341-CT'!$H$9=H4896,OR(LEFT(N4896,3)=$W$7,LEFT(O4896,3)=$W$7)),"x","")</f>
        <v/>
      </c>
      <c r="X4896" s="75" t="str">
        <f>IF(OR(TH!N4831=TH!$X$7,O4896=TH!$X$7),"x","")</f>
        <v/>
      </c>
      <c r="Y4896" s="75" t="str">
        <f>IF(AND(OR(N4896="131",O4896="131"),H4896='131-CT'!$H$9),"x","")</f>
        <v/>
      </c>
      <c r="Z4896" s="75"/>
      <c r="AA4896" s="75" t="str">
        <f>IF(AND(MONTH(E4896)='IN-NX'!$J$5,'IN-NX'!$D$7=D4896),"x","")</f>
        <v/>
      </c>
      <c r="AB4896" s="75" t="str">
        <f>IF(AND(OR(LEFT(TH!N4831,2)="15",LEFT(TH!O4831,2)="15"),LEFT(TH!O4831,3)&lt;&gt;"111",'152-CT'!$J$8=TH!F4831),"x","")</f>
        <v/>
      </c>
      <c r="AC4896" s="75" t="str">
        <f>IF(AND(OR(LEFT(TH!N4831,2)="15",LEFT(TH!O4831,2)="15"),TK!$E$7=TH!F4831),"x","")</f>
        <v/>
      </c>
      <c r="AD4896" s="75" t="str">
        <f>IF(AND(N4896="1521",MONTH(C4896)='BK-NL'!$M$11),"x","")</f>
        <v/>
      </c>
      <c r="AE4896">
        <v>9</v>
      </c>
      <c r="AF4896"/>
      <c r="AG4896"/>
    </row>
    <row r="4897" spans="1:33" s="304" customFormat="1" ht="16.5" customHeight="1">
      <c r="A4897" s="309" t="str">
        <f>IF(B4897&lt;&gt;"",IF(AND(B4897='IN-TC'!$S$4,OR(TH!N4887="1111",TH!O4887="1111")),TH!D4887,""),"")</f>
        <v/>
      </c>
      <c r="B4897" s="1242">
        <f t="shared" si="1338"/>
        <v>9</v>
      </c>
      <c r="C4897" s="292">
        <f t="shared" si="1337"/>
        <v>42999</v>
      </c>
      <c r="D4897" s="59" t="s">
        <v>1198</v>
      </c>
      <c r="E4897" s="59">
        <v>42999</v>
      </c>
      <c r="F4897" s="62" t="s">
        <v>834</v>
      </c>
      <c r="G4897" s="62" t="s">
        <v>747</v>
      </c>
      <c r="H4897" s="67" t="s">
        <v>1023</v>
      </c>
      <c r="I4897" s="373"/>
      <c r="J4897" s="382"/>
      <c r="K4897" s="373"/>
      <c r="L4897" s="379"/>
      <c r="M4897" s="60">
        <v>2179000000</v>
      </c>
      <c r="N4897" s="61" t="s">
        <v>63</v>
      </c>
      <c r="O4897" s="61" t="s">
        <v>26</v>
      </c>
      <c r="P4897" s="75" t="str">
        <f>IF(AND('331-CT'!$E$7=TH!H5448,OR(N4897="331",O4897="331")),"x","")</f>
        <v/>
      </c>
      <c r="Q4897" s="75" t="str">
        <f>IF(AND(B4897='111'!$L$11,OR($N4897=$Q$7,$O4897=$Q$7)),"x","")</f>
        <v/>
      </c>
      <c r="R4897" s="75" t="str">
        <f>IF(AND($N4897=$Q$7,$B4897&lt;'111'!$L$11),"x","")</f>
        <v>x</v>
      </c>
      <c r="S4897" s="75" t="str">
        <f>IF(AND($O4897=$Q$7,$B4897&lt;'111'!$L$11),"x","")</f>
        <v/>
      </c>
      <c r="T4897" s="75" t="str">
        <f>IF(ISERROR(FIND('112'!$M$9,G4897,1)),"",IF((AND(FIND('112'!$M$9,G4897,1)&gt;=1,B4897='112'!$K$9,OR($N4897='112'!$I$6,$O4897='112'!$I$6))),"x",""))</f>
        <v/>
      </c>
      <c r="U4897" s="75" t="str">
        <f>IF(ISERROR(FIND('112'!$M$9,G4897,1)),"",IF((AND(LEFT(G4897,2)=LEFT('112'!$M$9,2),B4897&lt;'112'!$K$9,$N4897='112'!$I$6)),"x",""))</f>
        <v/>
      </c>
      <c r="V4897" s="75" t="str">
        <f>IF(ISERROR(FIND('112'!$M$9,G4897,1)),"",IF((AND(RIGHT(G4897,2)=RIGHT('112'!$M$9,2),B4897&lt;'112'!$K$9,$O4897='112'!$I$6)),"x",""))</f>
        <v/>
      </c>
      <c r="W4897" s="75" t="str">
        <f>IF(AND('341-CT'!$H$9=H4897,OR(LEFT(N4897,3)=$W$7,LEFT(O4897,3)=$W$7)),"x","")</f>
        <v/>
      </c>
      <c r="X4897" s="75" t="str">
        <f>IF(OR(TH!N5448=TH!$X$7,O4897=TH!$X$7),"x","")</f>
        <v/>
      </c>
      <c r="Y4897" s="75" t="str">
        <f>IF(AND(OR(N4897="131",O4897="131"),H4897='131-CT'!$H$9),"x","")</f>
        <v/>
      </c>
      <c r="Z4897" s="75"/>
      <c r="AA4897" s="75" t="str">
        <f>IF(AND(MONTH(E4897)='IN-NX'!$J$5,'IN-NX'!$D$7=D4897),"x","")</f>
        <v/>
      </c>
      <c r="AB4897" s="75" t="str">
        <f>IF(AND(OR(LEFT(TH!N5448,2)="15",LEFT(TH!O5448,2)="15"),LEFT(TH!O5448,3)&lt;&gt;"111",'152-CT'!$J$8=TH!F5448),"x","")</f>
        <v/>
      </c>
      <c r="AC4897" s="75" t="str">
        <f>IF(AND(OR(LEFT(TH!N5448,2)="15",LEFT(TH!O5448,2)="15"),TK!$E$7=TH!F5448),"x","")</f>
        <v/>
      </c>
      <c r="AD4897" s="75" t="str">
        <f>IF(AND(N4897="1521",MONTH(C4897)='BK-NL'!$M$11),"x","")</f>
        <v/>
      </c>
      <c r="AE4897"/>
      <c r="AF4897"/>
      <c r="AG4897"/>
    </row>
    <row r="4898" spans="1:33" s="304" customFormat="1" ht="16.5" customHeight="1">
      <c r="A4898" s="309" t="str">
        <f>IF(B4898&lt;&gt;"",IF(AND(B4898='IN-TC'!$S$4,OR(TH!N4888="1111",TH!O4888="1111")),TH!D4888,""),"")</f>
        <v/>
      </c>
      <c r="B4898" s="1242">
        <f t="shared" si="1338"/>
        <v>9</v>
      </c>
      <c r="C4898" s="292">
        <f t="shared" si="1337"/>
        <v>42999</v>
      </c>
      <c r="D4898" s="59" t="s">
        <v>903</v>
      </c>
      <c r="E4898" s="59">
        <v>42999</v>
      </c>
      <c r="F4898" s="293" t="s">
        <v>252</v>
      </c>
      <c r="G4898" s="62" t="s">
        <v>747</v>
      </c>
      <c r="H4898" s="67" t="s">
        <v>2323</v>
      </c>
      <c r="I4898" s="373"/>
      <c r="J4898" s="382"/>
      <c r="K4898" s="373">
        <v>95900</v>
      </c>
      <c r="L4898" s="379">
        <f>M4898/K4898</f>
        <v>22720</v>
      </c>
      <c r="M4898" s="60">
        <v>2178848000</v>
      </c>
      <c r="N4898" s="61" t="s">
        <v>26</v>
      </c>
      <c r="O4898" s="61" t="s">
        <v>250</v>
      </c>
      <c r="P4898" s="75" t="str">
        <f>IF(AND('331-CT'!$E$7=TH!H5449,OR(N4898="331",O4898="331")),"x","")</f>
        <v/>
      </c>
      <c r="Q4898" s="75" t="str">
        <f>IF(AND(B4898='111'!$L$11,OR($N4898=$Q$7,$O4898=$Q$7)),"x","")</f>
        <v/>
      </c>
      <c r="R4898" s="75" t="str">
        <f>IF(AND($N4898=$Q$7,$B4898&lt;'111'!$L$11),"x","")</f>
        <v/>
      </c>
      <c r="S4898" s="75" t="str">
        <f>IF(AND($O4898=$Q$7,$B4898&lt;'111'!$L$11),"x","")</f>
        <v/>
      </c>
      <c r="T4898" s="75" t="str">
        <f>IF(ISERROR(FIND('112'!$M$9,G4898,1)),"",IF((AND(FIND('112'!$M$9,G4898,1)&gt;=1,B4898='112'!$K$9,OR($N4898='112'!$I$6,$O4898='112'!$I$6))),"x",""))</f>
        <v/>
      </c>
      <c r="U4898" s="75" t="str">
        <f>IF(ISERROR(FIND('112'!$M$9,G4898,1)),"",IF((AND(LEFT(G4898,2)=LEFT('112'!$M$9,2),B4898&lt;'112'!$K$9,$N4898='112'!$I$6)),"x",""))</f>
        <v/>
      </c>
      <c r="V4898" s="75" t="str">
        <f>IF(ISERROR(FIND('112'!$M$9,G4898,1)),"",IF((AND(RIGHT(G4898,2)=RIGHT('112'!$M$9,2),B4898&lt;'112'!$K$9,$O4898='112'!$I$6)),"x",""))</f>
        <v/>
      </c>
      <c r="W4898" s="75" t="str">
        <f>IF(AND('341-CT'!$H$9=H4898,OR(LEFT(N4898,3)=$W$7,LEFT(O4898,3)=$W$7)),"x","")</f>
        <v/>
      </c>
      <c r="X4898" s="75" t="str">
        <f>IF(OR(TH!N5449=TH!$X$7,O4898=TH!$X$7),"x","")</f>
        <v/>
      </c>
      <c r="Y4898" s="75" t="str">
        <f>IF(AND(OR(N4898="131",O4898="131"),H4898='131-CT'!$H$9),"x","")</f>
        <v/>
      </c>
      <c r="Z4898" s="75"/>
      <c r="AA4898" s="75" t="str">
        <f>IF(AND(MONTH(E4898)='IN-NX'!$J$5,'IN-NX'!$D$7=D4898),"x","")</f>
        <v/>
      </c>
      <c r="AB4898" s="75" t="str">
        <f>IF(AND(OR(LEFT(TH!N5449,2)="15",LEFT(TH!O5449,2)="15"),LEFT(TH!O5449,3)&lt;&gt;"111",'152-CT'!$J$8=TH!F5449),"x","")</f>
        <v/>
      </c>
      <c r="AC4898" s="75" t="str">
        <f>IF(AND(OR(LEFT(TH!N5449,2)="15",LEFT(TH!O5449,2)="15"),TK!$E$7=TH!F5449),"x","")</f>
        <v/>
      </c>
      <c r="AD4898" s="75" t="str">
        <f>IF(AND(N4898="1521",MONTH(C4898)='BK-NL'!$M$11),"x","")</f>
        <v/>
      </c>
      <c r="AE4898"/>
      <c r="AF4898"/>
      <c r="AG4898"/>
    </row>
    <row r="4899" spans="1:33" s="304" customFormat="1" ht="16.5" customHeight="1">
      <c r="A4899" s="309" t="str">
        <f>IF(B4899&lt;&gt;"",IF(AND(B4899='IN-TC'!$S$4,OR(TH!N4889="1111",TH!O4889="1111")),TH!D4889,""),"")</f>
        <v/>
      </c>
      <c r="B4899" s="1242">
        <f t="shared" si="1338"/>
        <v>9</v>
      </c>
      <c r="C4899" s="292">
        <f t="shared" si="1337"/>
        <v>42999</v>
      </c>
      <c r="D4899" s="59" t="s">
        <v>902</v>
      </c>
      <c r="E4899" s="59">
        <v>42999</v>
      </c>
      <c r="F4899" s="62" t="s">
        <v>1549</v>
      </c>
      <c r="G4899" s="62" t="s">
        <v>747</v>
      </c>
      <c r="H4899" s="67" t="s">
        <v>835</v>
      </c>
      <c r="I4899" s="375"/>
      <c r="J4899" s="382"/>
      <c r="K4899" s="375"/>
      <c r="L4899" s="381"/>
      <c r="M4899" s="60">
        <v>227600</v>
      </c>
      <c r="N4899" s="61" t="s">
        <v>101</v>
      </c>
      <c r="O4899" s="61" t="s">
        <v>26</v>
      </c>
      <c r="P4899" s="75" t="str">
        <f>IF(AND('331-CT'!$E$7=TH!H5450,OR(N4899="331",O4899="331")),"x","")</f>
        <v/>
      </c>
      <c r="Q4899" s="75" t="str">
        <f>IF(AND(B4899='111'!$L$11,OR($N4899=$Q$7,$O4899=$Q$7)),"x","")</f>
        <v/>
      </c>
      <c r="R4899" s="75" t="str">
        <f>IF(AND($N4899=$Q$7,$B4899&lt;'111'!$L$11),"x","")</f>
        <v/>
      </c>
      <c r="S4899" s="75" t="str">
        <f>IF(AND($O4899=$Q$7,$B4899&lt;'111'!$L$11),"x","")</f>
        <v/>
      </c>
      <c r="T4899" s="75" t="str">
        <f>IF(ISERROR(FIND('112'!$M$9,G4899,1)),"",IF((AND(FIND('112'!$M$9,G4899,1)&gt;=1,B4899='112'!$K$9,OR($N4899='112'!$I$6,$O4899='112'!$I$6))),"x",""))</f>
        <v/>
      </c>
      <c r="U4899" s="75" t="str">
        <f>IF(ISERROR(FIND('112'!$M$9,G4899,1)),"",IF((AND(LEFT(G4899,2)=LEFT('112'!$M$9,2),B4899&lt;'112'!$K$9,$N4899='112'!$I$6)),"x",""))</f>
        <v/>
      </c>
      <c r="V4899" s="75" t="str">
        <f>IF(ISERROR(FIND('112'!$M$9,G4899,1)),"",IF((AND(RIGHT(G4899,2)=RIGHT('112'!$M$9,2),B4899&lt;'112'!$K$9,$O4899='112'!$I$6)),"x",""))</f>
        <v/>
      </c>
      <c r="W4899" s="75" t="str">
        <f>IF(AND('341-CT'!$H$9=H4899,OR(LEFT(N4899,3)=$W$7,LEFT(O4899,3)=$W$7)),"x","")</f>
        <v/>
      </c>
      <c r="X4899" s="75" t="str">
        <f>IF(OR(TH!N5450=TH!$X$7,O4899=TH!$X$7),"x","")</f>
        <v/>
      </c>
      <c r="Y4899" s="75" t="str">
        <f>IF(AND(OR(N4899="131",O4899="131"),H4899='131-CT'!$H$9),"x","")</f>
        <v/>
      </c>
      <c r="Z4899" s="75"/>
      <c r="AA4899" s="75" t="str">
        <f>IF(AND(MONTH(E4899)='IN-NX'!$J$5,'IN-NX'!$D$7=D4899),"x","")</f>
        <v/>
      </c>
      <c r="AB4899" s="75" t="str">
        <f>IF(AND(OR(LEFT(TH!N5450,2)="15",LEFT(TH!O5450,2)="15"),LEFT(TH!O5450,3)&lt;&gt;"111",'152-CT'!$J$8=TH!F5450),"x","")</f>
        <v/>
      </c>
      <c r="AC4899" s="75" t="str">
        <f>IF(AND(OR(LEFT(TH!N5450,2)="15",LEFT(TH!O5450,2)="15"),TK!$E$7=TH!F5450),"x","")</f>
        <v/>
      </c>
      <c r="AD4899" s="75" t="str">
        <f>IF(AND(N4899="1521",MONTH(C4899)='BK-NL'!$M$11),"x","")</f>
        <v/>
      </c>
      <c r="AE4899"/>
      <c r="AF4899"/>
      <c r="AG4899"/>
    </row>
    <row r="4900" spans="1:33" s="304" customFormat="1" ht="16.5" customHeight="1">
      <c r="A4900" s="309" t="str">
        <f>IF(B4900&lt;&gt;"",IF(AND(B4900='IN-TC'!$S$4,OR(TH!N4890="1111",TH!O4890="1111")),TH!D4890,""),"")</f>
        <v/>
      </c>
      <c r="B4900" s="1242">
        <f t="shared" si="1338"/>
        <v>9</v>
      </c>
      <c r="C4900" s="292">
        <f t="shared" si="1337"/>
        <v>42999</v>
      </c>
      <c r="D4900" s="292"/>
      <c r="E4900" s="292">
        <v>42999</v>
      </c>
      <c r="F4900" s="67" t="s">
        <v>1165</v>
      </c>
      <c r="G4900" s="925" t="s">
        <v>2176</v>
      </c>
      <c r="H4900" s="294" t="s">
        <v>1684</v>
      </c>
      <c r="I4900" s="373"/>
      <c r="J4900" s="926"/>
      <c r="K4900" s="373"/>
      <c r="L4900" s="379"/>
      <c r="M4900" s="927">
        <v>19762050</v>
      </c>
      <c r="N4900" s="295" t="s">
        <v>8</v>
      </c>
      <c r="O4900" s="295" t="s">
        <v>63</v>
      </c>
      <c r="P4900" s="75" t="str">
        <f>IF(AND('331-CT'!$E$7=TH!H3900,OR(N4900="331",O4900="331")),"x","")</f>
        <v/>
      </c>
      <c r="Q4900" s="75" t="str">
        <f>IF(AND(B4900='111'!$L$11,OR($N4900=$Q$7,$O4900=$Q$7)),"x","")</f>
        <v/>
      </c>
      <c r="R4900" s="75" t="str">
        <f>IF(AND($N4900=$Q$7,$B4900&lt;'111'!$L$11),"x","")</f>
        <v/>
      </c>
      <c r="S4900" s="75" t="str">
        <f>IF(AND($O4900=$Q$7,$B4900&lt;'111'!$L$11),"x","")</f>
        <v>x</v>
      </c>
      <c r="T4900" s="75" t="str">
        <f>IF(ISERROR(FIND('112'!$M$9,G4900,1)),"",IF((AND(FIND('112'!$M$9,G4900,1)&gt;=1,B4900='112'!$K$9,OR($N4900='112'!$I$6,$O4900='112'!$I$6))),"x",""))</f>
        <v/>
      </c>
      <c r="U4900" s="75" t="str">
        <f>IF(ISERROR(FIND('112'!$M$9,G4900,1)),"",IF((AND(LEFT(G4900,2)=LEFT('112'!$M$9,2),B4900&lt;'112'!$K$9,$N4900='112'!$I$6)),"x",""))</f>
        <v/>
      </c>
      <c r="V4900" s="75" t="str">
        <f>IF(ISERROR(FIND('112'!$M$9,G4900,1)),"",IF((AND(RIGHT(G4900,2)=RIGHT('112'!$M$9,2),B4900&lt;'112'!$K$9,$O4900='112'!$I$6)),"x",""))</f>
        <v/>
      </c>
      <c r="W4900" s="75" t="str">
        <f>IF(AND('341-CT'!$H$9=H4900,OR(LEFT(N4900,3)=$W$7,LEFT(O4900,3)=$W$7)),"x","")</f>
        <v/>
      </c>
      <c r="X4900" s="75" t="str">
        <f>IF(OR(TH!N3900=TH!$X$7,O4900=TH!$X$7),"x","")</f>
        <v/>
      </c>
      <c r="Y4900" s="75" t="str">
        <f>IF(AND(OR(N4900="131",O4900="131"),H4900='131-CT'!$H$9),"x","")</f>
        <v/>
      </c>
      <c r="Z4900" s="75"/>
      <c r="AA4900" s="75" t="str">
        <f>IF(AND(MONTH(E4900)='IN-NX'!$J$5,'IN-NX'!$D$7=D4900),"x","")</f>
        <v/>
      </c>
      <c r="AB4900" s="75" t="str">
        <f>IF(AND(OR(LEFT(TH!N3900,2)="15",LEFT(TH!O3900,2)="15"),LEFT(TH!O3900,3)&lt;&gt;"111",'152-CT'!$J$8=TH!F3900),"x","")</f>
        <v/>
      </c>
      <c r="AC4900" s="75" t="str">
        <f>IF(AND(OR(LEFT(TH!N3900,2)="15",LEFT(TH!O3900,2)="15"),TK!$E$7=TH!F3900),"x","")</f>
        <v/>
      </c>
      <c r="AD4900" s="75" t="str">
        <f>IF(AND(N4900="1521",MONTH(C4900)='BK-NL'!$M$11),"x","")</f>
        <v/>
      </c>
      <c r="AE4900"/>
      <c r="AF4900"/>
      <c r="AG4900"/>
    </row>
    <row r="4901" spans="1:33" s="304" customFormat="1" ht="16.5" customHeight="1">
      <c r="A4901" s="309" t="str">
        <f>IF(B4901&lt;&gt;"",IF(AND(B4901='IN-TC'!$S$4,OR(TH!N4891="1111",TH!O4891="1111")),TH!D4891,""),"")</f>
        <v/>
      </c>
      <c r="B4901" s="1242">
        <f t="shared" si="1338"/>
        <v>9</v>
      </c>
      <c r="C4901" s="292">
        <f t="shared" si="1337"/>
        <v>42999</v>
      </c>
      <c r="D4901" s="292"/>
      <c r="E4901" s="292">
        <v>42999</v>
      </c>
      <c r="F4901" s="67" t="s">
        <v>2309</v>
      </c>
      <c r="G4901" s="925" t="s">
        <v>2311</v>
      </c>
      <c r="H4901" s="294" t="s">
        <v>1511</v>
      </c>
      <c r="I4901" s="373"/>
      <c r="J4901" s="926"/>
      <c r="K4901" s="373"/>
      <c r="L4901" s="379"/>
      <c r="M4901" s="927">
        <v>4553000</v>
      </c>
      <c r="N4901" s="295" t="s">
        <v>539</v>
      </c>
      <c r="O4901" s="295" t="s">
        <v>63</v>
      </c>
      <c r="P4901" s="75" t="str">
        <f>IF(AND('331-CT'!$E$7=TH!H3901,OR(N4901="331",O4901="331")),"x","")</f>
        <v/>
      </c>
      <c r="Q4901" s="75" t="str">
        <f>IF(AND(B4901='111'!$L$11,OR($N4901=$Q$7,$O4901=$Q$7)),"x","")</f>
        <v/>
      </c>
      <c r="R4901" s="75" t="str">
        <f>IF(AND($N4901=$Q$7,$B4901&lt;'111'!$L$11),"x","")</f>
        <v/>
      </c>
      <c r="S4901" s="75" t="str">
        <f>IF(AND($O4901=$Q$7,$B4901&lt;'111'!$L$11),"x","")</f>
        <v>x</v>
      </c>
      <c r="T4901" s="75" t="str">
        <f>IF(ISERROR(FIND('112'!$M$9,G4901,1)),"",IF((AND(FIND('112'!$M$9,G4901,1)&gt;=1,B4901='112'!$K$9,OR($N4901='112'!$I$6,$O4901='112'!$I$6))),"x",""))</f>
        <v/>
      </c>
      <c r="U4901" s="75" t="str">
        <f>IF(ISERROR(FIND('112'!$M$9,G4901,1)),"",IF((AND(LEFT(G4901,2)=LEFT('112'!$M$9,2),B4901&lt;'112'!$K$9,$N4901='112'!$I$6)),"x",""))</f>
        <v/>
      </c>
      <c r="V4901" s="75" t="str">
        <f>IF(ISERROR(FIND('112'!$M$9,G4901,1)),"",IF((AND(RIGHT(G4901,2)=RIGHT('112'!$M$9,2),B4901&lt;'112'!$K$9,$O4901='112'!$I$6)),"x",""))</f>
        <v/>
      </c>
      <c r="W4901" s="75" t="str">
        <f>IF(AND('341-CT'!$H$9=H4901,OR(LEFT(N4901,3)=$W$7,LEFT(O4901,3)=$W$7)),"x","")</f>
        <v/>
      </c>
      <c r="X4901" s="75" t="str">
        <f>IF(OR(TH!N3901=TH!$X$7,O4901=TH!$X$7),"x","")</f>
        <v/>
      </c>
      <c r="Y4901" s="75" t="str">
        <f>IF(AND(OR(N4901="131",O4901="131"),H4901='131-CT'!$H$9),"x","")</f>
        <v/>
      </c>
      <c r="Z4901" s="75"/>
      <c r="AA4901" s="75" t="str">
        <f>IF(AND(MONTH(E4901)='IN-NX'!$J$5,'IN-NX'!$D$7=D4901),"x","")</f>
        <v/>
      </c>
      <c r="AB4901" s="75" t="str">
        <f>IF(AND(OR(LEFT(TH!N3901,2)="15",LEFT(TH!O3901,2)="15"),LEFT(TH!O3901,3)&lt;&gt;"111",'152-CT'!$J$8=TH!F3901),"x","")</f>
        <v/>
      </c>
      <c r="AC4901" s="75" t="str">
        <f>IF(AND(OR(LEFT(TH!N3901,2)="15",LEFT(TH!O3901,2)="15"),TK!$E$7=TH!F3901),"x","")</f>
        <v/>
      </c>
      <c r="AD4901" s="75" t="str">
        <f>IF(AND(N4901="1521",MONTH(C4901)='BK-NL'!$M$11),"x","")</f>
        <v/>
      </c>
      <c r="AE4901">
        <v>10</v>
      </c>
      <c r="AF4901"/>
      <c r="AG4901"/>
    </row>
    <row r="4902" spans="1:33" s="304" customFormat="1" ht="16.5" customHeight="1">
      <c r="A4902" s="309" t="str">
        <f>IF(B4902&lt;&gt;"",IF(AND(B4902='IN-TC'!$S$4,OR(TH!N4892="1111",TH!O4892="1111")),TH!D4892,""),"")</f>
        <v/>
      </c>
      <c r="B4902" s="1242">
        <f t="shared" si="1338"/>
        <v>9</v>
      </c>
      <c r="C4902" s="292">
        <f t="shared" si="1337"/>
        <v>42999</v>
      </c>
      <c r="D4902" s="292"/>
      <c r="E4902" s="292">
        <v>42999</v>
      </c>
      <c r="F4902" s="67" t="s">
        <v>2310</v>
      </c>
      <c r="G4902" s="925" t="s">
        <v>2311</v>
      </c>
      <c r="H4902" s="294" t="s">
        <v>1511</v>
      </c>
      <c r="I4902" s="373"/>
      <c r="J4902" s="926"/>
      <c r="K4902" s="373"/>
      <c r="L4902" s="379"/>
      <c r="M4902" s="927">
        <v>455300</v>
      </c>
      <c r="N4902" s="295" t="s">
        <v>9</v>
      </c>
      <c r="O4902" s="295" t="s">
        <v>63</v>
      </c>
      <c r="P4902" s="75" t="str">
        <f>IF(AND('331-CT'!$E$7=TH!H3902,OR(N4902="331",O4902="331")),"x","")</f>
        <v/>
      </c>
      <c r="Q4902" s="75" t="str">
        <f>IF(AND(B4902='111'!$L$11,OR($N4902=$Q$7,$O4902=$Q$7)),"x","")</f>
        <v/>
      </c>
      <c r="R4902" s="75" t="str">
        <f>IF(AND($N4902=$Q$7,$B4902&lt;'111'!$L$11),"x","")</f>
        <v/>
      </c>
      <c r="S4902" s="75" t="str">
        <f>IF(AND($O4902=$Q$7,$B4902&lt;'111'!$L$11),"x","")</f>
        <v>x</v>
      </c>
      <c r="T4902" s="75" t="str">
        <f>IF(ISERROR(FIND('112'!$M$9,G4902,1)),"",IF((AND(FIND('112'!$M$9,G4902,1)&gt;=1,B4902='112'!$K$9,OR($N4902='112'!$I$6,$O4902='112'!$I$6))),"x",""))</f>
        <v/>
      </c>
      <c r="U4902" s="75" t="str">
        <f>IF(ISERROR(FIND('112'!$M$9,G4902,1)),"",IF((AND(LEFT(G4902,2)=LEFT('112'!$M$9,2),B4902&lt;'112'!$K$9,$N4902='112'!$I$6)),"x",""))</f>
        <v/>
      </c>
      <c r="V4902" s="75" t="str">
        <f>IF(ISERROR(FIND('112'!$M$9,G4902,1)),"",IF((AND(RIGHT(G4902,2)=RIGHT('112'!$M$9,2),B4902&lt;'112'!$K$9,$O4902='112'!$I$6)),"x",""))</f>
        <v/>
      </c>
      <c r="W4902" s="75" t="str">
        <f>IF(AND('341-CT'!$H$9=H4902,OR(LEFT(N4902,3)=$W$7,LEFT(O4902,3)=$W$7)),"x","")</f>
        <v/>
      </c>
      <c r="X4902" s="75" t="str">
        <f>IF(OR(TH!N3902=TH!$X$7,O4902=TH!$X$7),"x","")</f>
        <v/>
      </c>
      <c r="Y4902" s="75" t="str">
        <f>IF(AND(OR(N4902="131",O4902="131"),H4902='131-CT'!$H$9),"x","")</f>
        <v/>
      </c>
      <c r="Z4902" s="75"/>
      <c r="AA4902" s="75" t="str">
        <f>IF(AND(MONTH(E4902)='IN-NX'!$J$5,'IN-NX'!$D$7=D4902),"x","")</f>
        <v/>
      </c>
      <c r="AB4902" s="75" t="str">
        <f>IF(AND(OR(LEFT(TH!N3902,2)="15",LEFT(TH!O3902,2)="15"),LEFT(TH!O3902,3)&lt;&gt;"111",'152-CT'!$J$8=TH!F3902),"x","")</f>
        <v/>
      </c>
      <c r="AC4902" s="75" t="str">
        <f>IF(AND(OR(LEFT(TH!N3902,2)="15",LEFT(TH!O3902,2)="15"),TK!$E$7=TH!F3902),"x","")</f>
        <v/>
      </c>
      <c r="AD4902" s="75" t="str">
        <f>IF(AND(N4902="1521",MONTH(C4902)='BK-NL'!$M$11),"x","")</f>
        <v/>
      </c>
      <c r="AE4902">
        <v>10</v>
      </c>
      <c r="AF4902"/>
      <c r="AG4902"/>
    </row>
    <row r="4903" spans="1:33" s="304" customFormat="1" ht="16.5" customHeight="1">
      <c r="A4903" s="309" t="str">
        <f>IF(B4903&lt;&gt;"",IF(AND(B4903='IN-TC'!$S$4,OR(TH!N4893="1111",TH!O4893="1111")),TH!D4893,""),"")</f>
        <v/>
      </c>
      <c r="B4903" s="1242">
        <f t="shared" si="1338"/>
        <v>9</v>
      </c>
      <c r="C4903" s="292">
        <f t="shared" si="1337"/>
        <v>42999</v>
      </c>
      <c r="D4903" s="292"/>
      <c r="E4903" s="292">
        <v>42999</v>
      </c>
      <c r="F4903" s="67" t="s">
        <v>2570</v>
      </c>
      <c r="G4903" s="925"/>
      <c r="H4903" s="294" t="s">
        <v>948</v>
      </c>
      <c r="I4903" s="373"/>
      <c r="J4903" s="926"/>
      <c r="K4903" s="373"/>
      <c r="L4903" s="379"/>
      <c r="M4903" s="927">
        <v>6290909</v>
      </c>
      <c r="N4903" s="295" t="s">
        <v>539</v>
      </c>
      <c r="O4903" s="295" t="s">
        <v>63</v>
      </c>
      <c r="P4903" s="75" t="str">
        <f>IF(AND('331-CT'!$E$7=TH!H3903,OR(N4903="331",O4903="331")),"x","")</f>
        <v/>
      </c>
      <c r="Q4903" s="75" t="str">
        <f>IF(AND(B4903='111'!$L$11,OR($N4903=$Q$7,$O4903=$Q$7)),"x","")</f>
        <v/>
      </c>
      <c r="R4903" s="75" t="str">
        <f>IF(AND($N4903=$Q$7,$B4903&lt;'111'!$L$11),"x","")</f>
        <v/>
      </c>
      <c r="S4903" s="75" t="str">
        <f>IF(AND($O4903=$Q$7,$B4903&lt;'111'!$L$11),"x","")</f>
        <v>x</v>
      </c>
      <c r="T4903" s="75" t="str">
        <f>IF(ISERROR(FIND('112'!$M$9,G4903,1)),"",IF((AND(FIND('112'!$M$9,G4903,1)&gt;=1,B4903='112'!$K$9,OR($N4903='112'!$I$6,$O4903='112'!$I$6))),"x",""))</f>
        <v/>
      </c>
      <c r="U4903" s="75" t="str">
        <f>IF(ISERROR(FIND('112'!$M$9,G4903,1)),"",IF((AND(LEFT(G4903,2)=LEFT('112'!$M$9,2),B4903&lt;'112'!$K$9,$N4903='112'!$I$6)),"x",""))</f>
        <v/>
      </c>
      <c r="V4903" s="75" t="str">
        <f>IF(ISERROR(FIND('112'!$M$9,G4903,1)),"",IF((AND(RIGHT(G4903,2)=RIGHT('112'!$M$9,2),B4903&lt;'112'!$K$9,$O4903='112'!$I$6)),"x",""))</f>
        <v/>
      </c>
      <c r="W4903" s="75" t="str">
        <f>IF(AND('341-CT'!$H$9=H4903,OR(LEFT(N4903,3)=$W$7,LEFT(O4903,3)=$W$7)),"x","")</f>
        <v/>
      </c>
      <c r="X4903" s="75" t="str">
        <f>IF(OR(TH!N3903=TH!$X$7,O4903=TH!$X$7),"x","")</f>
        <v/>
      </c>
      <c r="Y4903" s="75" t="str">
        <f>IF(AND(OR(N4903="131",O4903="131"),H4903='131-CT'!$H$9),"x","")</f>
        <v/>
      </c>
      <c r="Z4903" s="75"/>
      <c r="AA4903" s="75" t="str">
        <f>IF(AND(MONTH(E4903)='IN-NX'!$J$5,'IN-NX'!$D$7=D4903),"x","")</f>
        <v/>
      </c>
      <c r="AB4903" s="75" t="str">
        <f>IF(AND(OR(LEFT(TH!N3903,2)="15",LEFT(TH!O3903,2)="15"),LEFT(TH!O3903,3)&lt;&gt;"111",'152-CT'!$J$8=TH!F3903),"x","")</f>
        <v/>
      </c>
      <c r="AC4903" s="75" t="str">
        <f>IF(AND(OR(LEFT(TH!N3903,2)="15",LEFT(TH!O3903,2)="15"),TK!$E$7=TH!F3903),"x","")</f>
        <v/>
      </c>
      <c r="AD4903" s="75" t="str">
        <f>IF(AND(N4903="1521",MONTH(C4903)='BK-NL'!$M$11),"x","")</f>
        <v/>
      </c>
      <c r="AE4903">
        <v>10</v>
      </c>
      <c r="AF4903"/>
      <c r="AG4903"/>
    </row>
    <row r="4904" spans="1:33" s="304" customFormat="1" ht="16.5" customHeight="1">
      <c r="A4904" s="309" t="str">
        <f>IF(B4904&lt;&gt;"",IF(AND(B4904='IN-TC'!$S$4,OR(TH!N4894="1111",TH!O4894="1111")),TH!D4894,""),"")</f>
        <v/>
      </c>
      <c r="B4904" s="1242">
        <f t="shared" si="1338"/>
        <v>9</v>
      </c>
      <c r="C4904" s="292">
        <f t="shared" si="1337"/>
        <v>42999</v>
      </c>
      <c r="D4904" s="292"/>
      <c r="E4904" s="292">
        <v>42999</v>
      </c>
      <c r="F4904" s="67" t="s">
        <v>2571</v>
      </c>
      <c r="G4904" s="925"/>
      <c r="H4904" s="294" t="s">
        <v>948</v>
      </c>
      <c r="I4904" s="373"/>
      <c r="J4904" s="926"/>
      <c r="K4904" s="373"/>
      <c r="L4904" s="379"/>
      <c r="M4904" s="927">
        <v>629091</v>
      </c>
      <c r="N4904" s="295" t="s">
        <v>9</v>
      </c>
      <c r="O4904" s="295" t="s">
        <v>63</v>
      </c>
      <c r="P4904" s="75" t="str">
        <f>IF(AND('331-CT'!$E$7=TH!H3904,OR(N4904="331",O4904="331")),"x","")</f>
        <v/>
      </c>
      <c r="Q4904" s="75" t="str">
        <f>IF(AND(B4904='111'!$L$11,OR($N4904=$Q$7,$O4904=$Q$7)),"x","")</f>
        <v/>
      </c>
      <c r="R4904" s="75" t="str">
        <f>IF(AND($N4904=$Q$7,$B4904&lt;'111'!$L$11),"x","")</f>
        <v/>
      </c>
      <c r="S4904" s="75" t="str">
        <f>IF(AND($O4904=$Q$7,$B4904&lt;'111'!$L$11),"x","")</f>
        <v>x</v>
      </c>
      <c r="T4904" s="75" t="str">
        <f>IF(ISERROR(FIND('112'!$M$9,G4904,1)),"",IF((AND(FIND('112'!$M$9,G4904,1)&gt;=1,B4904='112'!$K$9,OR($N4904='112'!$I$6,$O4904='112'!$I$6))),"x",""))</f>
        <v/>
      </c>
      <c r="U4904" s="75" t="str">
        <f>IF(ISERROR(FIND('112'!$M$9,G4904,1)),"",IF((AND(LEFT(G4904,2)=LEFT('112'!$M$9,2),B4904&lt;'112'!$K$9,$N4904='112'!$I$6)),"x",""))</f>
        <v/>
      </c>
      <c r="V4904" s="75" t="str">
        <f>IF(ISERROR(FIND('112'!$M$9,G4904,1)),"",IF((AND(RIGHT(G4904,2)=RIGHT('112'!$M$9,2),B4904&lt;'112'!$K$9,$O4904='112'!$I$6)),"x",""))</f>
        <v/>
      </c>
      <c r="W4904" s="75" t="str">
        <f>IF(AND('341-CT'!$H$9=H4904,OR(LEFT(N4904,3)=$W$7,LEFT(O4904,3)=$W$7)),"x","")</f>
        <v/>
      </c>
      <c r="X4904" s="75" t="str">
        <f>IF(OR(TH!N3904=TH!$X$7,O4904=TH!$X$7),"x","")</f>
        <v/>
      </c>
      <c r="Y4904" s="75" t="str">
        <f>IF(AND(OR(N4904="131",O4904="131"),H4904='131-CT'!$H$9),"x","")</f>
        <v/>
      </c>
      <c r="Z4904" s="75"/>
      <c r="AA4904" s="75" t="str">
        <f>IF(AND(MONTH(E4904)='IN-NX'!$J$5,'IN-NX'!$D$7=D4904),"x","")</f>
        <v/>
      </c>
      <c r="AB4904" s="75" t="str">
        <f>IF(AND(OR(LEFT(TH!N3904,2)="15",LEFT(TH!O3904,2)="15"),LEFT(TH!O3904,3)&lt;&gt;"111",'152-CT'!$J$8=TH!F3904),"x","")</f>
        <v/>
      </c>
      <c r="AC4904" s="75" t="str">
        <f>IF(AND(OR(LEFT(TH!N3904,2)="15",LEFT(TH!O3904,2)="15"),TK!$E$7=TH!F3904),"x","")</f>
        <v/>
      </c>
      <c r="AD4904" s="75" t="str">
        <f>IF(AND(N4904="1521",MONTH(C4904)='BK-NL'!$M$11),"x","")</f>
        <v/>
      </c>
      <c r="AE4904">
        <v>10</v>
      </c>
      <c r="AF4904"/>
      <c r="AG4904"/>
    </row>
    <row r="4905" spans="1:33" s="304" customFormat="1" ht="16.5" customHeight="1">
      <c r="A4905" s="309" t="str">
        <f>IF(B4905&lt;&gt;"",IF(AND(B4905='IN-TC'!$S$4,OR(TH!N4895="1111",TH!O4895="1111")),TH!D4895,""),"")</f>
        <v/>
      </c>
      <c r="B4905" s="1130">
        <f t="shared" si="1338"/>
        <v>9</v>
      </c>
      <c r="C4905" s="292">
        <f t="shared" si="1337"/>
        <v>42999</v>
      </c>
      <c r="D4905" s="292"/>
      <c r="E4905" s="292">
        <v>42999</v>
      </c>
      <c r="F4905" s="1010" t="s">
        <v>1881</v>
      </c>
      <c r="G4905" s="925"/>
      <c r="H4905" s="311" t="s">
        <v>1882</v>
      </c>
      <c r="I4905" s="373"/>
      <c r="J4905" s="926"/>
      <c r="K4905" s="373"/>
      <c r="L4905" s="379"/>
      <c r="M4905" s="927">
        <v>3299500000</v>
      </c>
      <c r="N4905" s="295" t="s">
        <v>8</v>
      </c>
      <c r="O4905" s="295" t="s">
        <v>63</v>
      </c>
      <c r="P4905" s="75" t="str">
        <f>IF(AND('331-CT'!$E$7=TH!H4264,OR(N4905="331",O4905="331")),"x","")</f>
        <v/>
      </c>
      <c r="Q4905" s="75" t="str">
        <f>IF(AND(B4905='111'!$L$11,OR($N4905=$Q$7,$O4905=$Q$7)),"x","")</f>
        <v/>
      </c>
      <c r="R4905" s="75" t="str">
        <f>IF(AND($N4905=$Q$7,$B4905&lt;'111'!$L$11),"x","")</f>
        <v/>
      </c>
      <c r="S4905" s="75" t="str">
        <f>IF(AND($O4905=$Q$7,$B4905&lt;'111'!$L$11),"x","")</f>
        <v>x</v>
      </c>
      <c r="T4905" s="75" t="str">
        <f>IF(ISERROR(FIND('112'!$M$9,G4905,1)),"",IF((AND(FIND('112'!$M$9,G4905,1)&gt;=1,B4905='112'!$K$9,OR($N4905='112'!$I$6,$O4905='112'!$I$6))),"x",""))</f>
        <v/>
      </c>
      <c r="U4905" s="75" t="str">
        <f>IF(ISERROR(FIND('112'!$M$9,G4905,1)),"",IF((AND(LEFT(G4905,2)=LEFT('112'!$M$9,2),B4905&lt;'112'!$K$9,$N4905='112'!$I$6)),"x",""))</f>
        <v/>
      </c>
      <c r="V4905" s="75" t="str">
        <f>IF(ISERROR(FIND('112'!$M$9,G4905,1)),"",IF((AND(RIGHT(G4905,2)=RIGHT('112'!$M$9,2),B4905&lt;'112'!$K$9,$O4905='112'!$I$6)),"x",""))</f>
        <v/>
      </c>
      <c r="W4905" s="75" t="str">
        <f>IF(AND('341-CT'!$H$9=H4905,OR(LEFT(N4905,3)=$W$7,LEFT(O4905,3)=$W$7)),"x","")</f>
        <v/>
      </c>
      <c r="X4905" s="75" t="str">
        <f>IF(OR(TH!N4264=TH!$X$7,O4905=TH!$X$7),"x","")</f>
        <v/>
      </c>
      <c r="Y4905" s="75" t="str">
        <f>IF(AND(OR(N4905="131",O4905="131"),H4905='131-CT'!$H$9),"x","")</f>
        <v/>
      </c>
      <c r="Z4905" s="75"/>
      <c r="AA4905" s="75" t="str">
        <f>IF(AND(MONTH(E4905)='IN-NX'!$J$5,'IN-NX'!$D$7=D4905),"x","")</f>
        <v/>
      </c>
      <c r="AB4905" s="75" t="str">
        <f>IF(AND(OR(LEFT(TH!N4264,2)="15",LEFT(TH!O4264,2)="15"),LEFT(TH!O4264,3)&lt;&gt;"111",'152-CT'!$J$8=TH!F4264),"x","")</f>
        <v/>
      </c>
      <c r="AC4905" s="75" t="str">
        <f>IF(AND(OR(LEFT(TH!N4264,2)="15",LEFT(TH!O4264,2)="15"),TK!$E$7=TH!F4264),"x","")</f>
        <v/>
      </c>
      <c r="AD4905" s="75" t="str">
        <f>IF(AND(N4905="1521",MONTH(C4905)='BK-NL'!$M$11),"x","")</f>
        <v/>
      </c>
      <c r="AE4905"/>
      <c r="AF4905"/>
      <c r="AG4905"/>
    </row>
    <row r="4906" spans="1:33" s="304" customFormat="1" ht="16.5" customHeight="1">
      <c r="A4906" s="309" t="str">
        <f>IF(B4906&lt;&gt;"",IF(AND(B4906='IN-TC'!$S$4,OR(TH!N4896="1111",TH!O4896="1111")),TH!D4896,""),"")</f>
        <v/>
      </c>
      <c r="B4906" s="1130">
        <f t="shared" si="1338"/>
        <v>9</v>
      </c>
      <c r="C4906" s="292">
        <f t="shared" si="1337"/>
        <v>42999</v>
      </c>
      <c r="D4906" s="292"/>
      <c r="E4906" s="292">
        <v>42999</v>
      </c>
      <c r="F4906" s="1010" t="s">
        <v>1883</v>
      </c>
      <c r="G4906" s="925"/>
      <c r="H4906" s="311"/>
      <c r="I4906" s="373"/>
      <c r="J4906" s="926"/>
      <c r="K4906" s="373"/>
      <c r="L4906" s="379"/>
      <c r="M4906" s="927">
        <v>1000000</v>
      </c>
      <c r="N4906" s="295" t="s">
        <v>101</v>
      </c>
      <c r="O4906" s="295" t="s">
        <v>63</v>
      </c>
      <c r="P4906" s="75" t="str">
        <f>IF(AND('331-CT'!$E$7=TH!H4265,OR(N4906="331",O4906="331")),"x","")</f>
        <v/>
      </c>
      <c r="Q4906" s="75" t="str">
        <f>IF(AND(B4906='111'!$L$11,OR($N4906=$Q$7,$O4906=$Q$7)),"x","")</f>
        <v/>
      </c>
      <c r="R4906" s="75" t="str">
        <f>IF(AND($N4906=$Q$7,$B4906&lt;'111'!$L$11),"x","")</f>
        <v/>
      </c>
      <c r="S4906" s="75" t="str">
        <f>IF(AND($O4906=$Q$7,$B4906&lt;'111'!$L$11),"x","")</f>
        <v>x</v>
      </c>
      <c r="T4906" s="75" t="str">
        <f>IF(ISERROR(FIND('112'!$M$9,G4906,1)),"",IF((AND(FIND('112'!$M$9,G4906,1)&gt;=1,B4906='112'!$K$9,OR($N4906='112'!$I$6,$O4906='112'!$I$6))),"x",""))</f>
        <v/>
      </c>
      <c r="U4906" s="75" t="str">
        <f>IF(ISERROR(FIND('112'!$M$9,G4906,1)),"",IF((AND(LEFT(G4906,2)=LEFT('112'!$M$9,2),B4906&lt;'112'!$K$9,$N4906='112'!$I$6)),"x",""))</f>
        <v/>
      </c>
      <c r="V4906" s="75" t="str">
        <f>IF(ISERROR(FIND('112'!$M$9,G4906,1)),"",IF((AND(RIGHT(G4906,2)=RIGHT('112'!$M$9,2),B4906&lt;'112'!$K$9,$O4906='112'!$I$6)),"x",""))</f>
        <v/>
      </c>
      <c r="W4906" s="75" t="str">
        <f>IF(AND('341-CT'!$H$9=H4906,OR(LEFT(N4906,3)=$W$7,LEFT(O4906,3)=$W$7)),"x","")</f>
        <v/>
      </c>
      <c r="X4906" s="75" t="str">
        <f>IF(OR(TH!N4265=TH!$X$7,O4906=TH!$X$7),"x","")</f>
        <v/>
      </c>
      <c r="Y4906" s="75" t="str">
        <f>IF(AND(OR(N4906="131",O4906="131"),H4906='131-CT'!$H$9),"x","")</f>
        <v/>
      </c>
      <c r="Z4906" s="75"/>
      <c r="AA4906" s="75" t="str">
        <f>IF(AND(MONTH(E4906)='IN-NX'!$J$5,'IN-NX'!$D$7=D4906),"x","")</f>
        <v/>
      </c>
      <c r="AB4906" s="75" t="str">
        <f>IF(AND(OR(LEFT(TH!N4265,2)="15",LEFT(TH!O4265,2)="15"),LEFT(TH!O4265,3)&lt;&gt;"111",'152-CT'!$J$8=TH!F4265),"x","")</f>
        <v/>
      </c>
      <c r="AC4906" s="75" t="str">
        <f>IF(AND(OR(LEFT(TH!N4265,2)="15",LEFT(TH!O4265,2)="15"),TK!$E$7=TH!F4265),"x","")</f>
        <v/>
      </c>
      <c r="AD4906" s="75" t="str">
        <f>IF(AND(N4906="1521",MONTH(C4906)='BK-NL'!$M$11),"x","")</f>
        <v/>
      </c>
      <c r="AE4906">
        <v>9</v>
      </c>
      <c r="AF4906"/>
      <c r="AG4906"/>
    </row>
    <row r="4907" spans="1:33" s="304" customFormat="1" ht="16.5" customHeight="1">
      <c r="A4907" s="309" t="str">
        <f>IF(B4907&lt;&gt;"",IF(AND(B4907='IN-TC'!$S$4,OR(TH!N4897="1111",TH!O4897="1111")),TH!D4897,""),"")</f>
        <v/>
      </c>
      <c r="B4907" s="1130">
        <f t="shared" si="1338"/>
        <v>9</v>
      </c>
      <c r="C4907" s="292">
        <f t="shared" si="1337"/>
        <v>42999</v>
      </c>
      <c r="D4907" s="292"/>
      <c r="E4907" s="292">
        <v>42999</v>
      </c>
      <c r="F4907" s="1010" t="s">
        <v>1895</v>
      </c>
      <c r="G4907" s="925"/>
      <c r="H4907" s="311"/>
      <c r="I4907" s="373"/>
      <c r="J4907" s="926"/>
      <c r="K4907" s="373"/>
      <c r="L4907" s="379"/>
      <c r="M4907" s="927">
        <v>100000</v>
      </c>
      <c r="N4907" s="295" t="s">
        <v>9</v>
      </c>
      <c r="O4907" s="295" t="s">
        <v>63</v>
      </c>
      <c r="P4907" s="75" t="str">
        <f>IF(AND('331-CT'!$E$7=TH!H4266,OR(N4907="331",O4907="331")),"x","")</f>
        <v/>
      </c>
      <c r="Q4907" s="75" t="str">
        <f>IF(AND(B4907='111'!$L$11,OR($N4907=$Q$7,$O4907=$Q$7)),"x","")</f>
        <v/>
      </c>
      <c r="R4907" s="75" t="str">
        <f>IF(AND($N4907=$Q$7,$B4907&lt;'111'!$L$11),"x","")</f>
        <v/>
      </c>
      <c r="S4907" s="75" t="str">
        <f>IF(AND($O4907=$Q$7,$B4907&lt;'111'!$L$11),"x","")</f>
        <v>x</v>
      </c>
      <c r="T4907" s="75" t="str">
        <f>IF(ISERROR(FIND('112'!$M$9,G4907,1)),"",IF((AND(FIND('112'!$M$9,G4907,1)&gt;=1,B4907='112'!$K$9,OR($N4907='112'!$I$6,$O4907='112'!$I$6))),"x",""))</f>
        <v/>
      </c>
      <c r="U4907" s="75" t="str">
        <f>IF(ISERROR(FIND('112'!$M$9,G4907,1)),"",IF((AND(LEFT(G4907,2)=LEFT('112'!$M$9,2),B4907&lt;'112'!$K$9,$N4907='112'!$I$6)),"x",""))</f>
        <v/>
      </c>
      <c r="V4907" s="75" t="str">
        <f>IF(ISERROR(FIND('112'!$M$9,G4907,1)),"",IF((AND(RIGHT(G4907,2)=RIGHT('112'!$M$9,2),B4907&lt;'112'!$K$9,$O4907='112'!$I$6)),"x",""))</f>
        <v/>
      </c>
      <c r="W4907" s="75" t="str">
        <f>IF(AND('341-CT'!$H$9=H4907,OR(LEFT(N4907,3)=$W$7,LEFT(O4907,3)=$W$7)),"x","")</f>
        <v/>
      </c>
      <c r="X4907" s="75" t="str">
        <f>IF(OR(TH!N4266=TH!$X$7,O4907=TH!$X$7),"x","")</f>
        <v/>
      </c>
      <c r="Y4907" s="75" t="str">
        <f>IF(AND(OR(N4907="131",O4907="131"),H4907='131-CT'!$H$9),"x","")</f>
        <v/>
      </c>
      <c r="Z4907" s="75"/>
      <c r="AA4907" s="75" t="str">
        <f>IF(AND(MONTH(E4907)='IN-NX'!$J$5,'IN-NX'!$D$7=D4907),"x","")</f>
        <v/>
      </c>
      <c r="AB4907" s="75" t="str">
        <f>IF(AND(OR(LEFT(TH!N4266,2)="15",LEFT(TH!O4266,2)="15"),LEFT(TH!O4266,3)&lt;&gt;"111",'152-CT'!$J$8=TH!F4266),"x","")</f>
        <v/>
      </c>
      <c r="AC4907" s="75" t="str">
        <f>IF(AND(OR(LEFT(TH!N4266,2)="15",LEFT(TH!O4266,2)="15"),TK!$E$7=TH!F4266),"x","")</f>
        <v/>
      </c>
      <c r="AD4907" s="75" t="str">
        <f>IF(AND(N4907="1521",MONTH(C4907)='BK-NL'!$M$11),"x","")</f>
        <v/>
      </c>
      <c r="AE4907">
        <v>9</v>
      </c>
      <c r="AF4907"/>
      <c r="AG4907"/>
    </row>
    <row r="4908" spans="1:33" s="304" customFormat="1" ht="16.5" customHeight="1">
      <c r="A4908" s="309" t="str">
        <f>IF(B4908&lt;&gt;"",IF(AND(B4908='IN-TC'!$S$4,OR(TH!N4898="1111",TH!O4898="1111")),TH!D4898,""),"")</f>
        <v/>
      </c>
      <c r="B4908" s="1242">
        <f t="shared" si="1338"/>
        <v>9</v>
      </c>
      <c r="C4908" s="292">
        <f t="shared" si="1337"/>
        <v>42999</v>
      </c>
      <c r="D4908" s="292" t="s">
        <v>2493</v>
      </c>
      <c r="E4908" s="292">
        <v>42999</v>
      </c>
      <c r="F4908" s="67" t="s">
        <v>885</v>
      </c>
      <c r="G4908" s="943" t="s">
        <v>585</v>
      </c>
      <c r="H4908" s="294" t="s">
        <v>1023</v>
      </c>
      <c r="I4908" s="373"/>
      <c r="J4908" s="926"/>
      <c r="K4908" s="373"/>
      <c r="L4908" s="379"/>
      <c r="M4908" s="927">
        <v>230000000</v>
      </c>
      <c r="N4908" s="295" t="s">
        <v>26</v>
      </c>
      <c r="O4908" s="295" t="s">
        <v>63</v>
      </c>
      <c r="P4908" s="75" t="str">
        <f>IF(AND('331-CT'!$E$7=TH!H4833,OR(N4908="331",O4908="331")),"x","")</f>
        <v/>
      </c>
      <c r="Q4908" s="75" t="str">
        <f>IF(AND(B4908='111'!$L$11,OR($N4908=$Q$7,$O4908=$Q$7)),"x","")</f>
        <v/>
      </c>
      <c r="R4908" s="75" t="str">
        <f>IF(AND($N4908=$Q$7,$B4908&lt;'111'!$L$11),"x","")</f>
        <v/>
      </c>
      <c r="S4908" s="75" t="str">
        <f>IF(AND($O4908=$Q$7,$B4908&lt;'111'!$L$11),"x","")</f>
        <v>x</v>
      </c>
      <c r="T4908" s="75" t="str">
        <f>IF(ISERROR(FIND('112'!$M$9,G4908,1)),"",IF((AND(FIND('112'!$M$9,G4908,1)&gt;=1,B4908='112'!$K$9,OR($N4908='112'!$I$6,$O4908='112'!$I$6))),"x",""))</f>
        <v/>
      </c>
      <c r="U4908" s="75" t="str">
        <f>IF(ISERROR(FIND('112'!$M$9,G4908,1)),"",IF((AND(LEFT(G4908,2)=LEFT('112'!$M$9,2),B4908&lt;'112'!$K$9,$N4908='112'!$I$6)),"x",""))</f>
        <v/>
      </c>
      <c r="V4908" s="75" t="str">
        <f>IF(ISERROR(FIND('112'!$M$9,G4908,1)),"",IF((AND(RIGHT(G4908,2)=RIGHT('112'!$M$9,2),B4908&lt;'112'!$K$9,$O4908='112'!$I$6)),"x",""))</f>
        <v/>
      </c>
      <c r="W4908" s="75" t="str">
        <f>IF(AND('341-CT'!$H$9=H4908,OR(LEFT(N4908,3)=$W$7,LEFT(O4908,3)=$W$7)),"x","")</f>
        <v/>
      </c>
      <c r="X4908" s="75" t="str">
        <f>IF(OR(TH!N4833=TH!$X$7,O4908=TH!$X$7),"x","")</f>
        <v/>
      </c>
      <c r="Y4908" s="75" t="str">
        <f>IF(AND(OR(N4908="131",O4908="131"),H4908='131-CT'!$H$9),"x","")</f>
        <v/>
      </c>
      <c r="Z4908" s="75"/>
      <c r="AA4908" s="75" t="str">
        <f>IF(AND(MONTH(E4908)='IN-NX'!$J$5,'IN-NX'!$D$7=D4908),"x","")</f>
        <v/>
      </c>
      <c r="AB4908" s="75" t="str">
        <f>IF(AND(OR(LEFT(TH!N4833,2)="15",LEFT(TH!O4833,2)="15"),LEFT(TH!O4833,3)&lt;&gt;"111",'152-CT'!$J$8=TH!F4833),"x","")</f>
        <v/>
      </c>
      <c r="AC4908" s="75" t="str">
        <f>IF(AND(OR(LEFT(TH!N4833,2)="15",LEFT(TH!O4833,2)="15"),TK!$E$7=TH!F4833),"x","")</f>
        <v/>
      </c>
      <c r="AD4908" s="75" t="str">
        <f>IF(AND(N4908="1521",MONTH(C4908)='BK-NL'!$M$11),"x","")</f>
        <v/>
      </c>
      <c r="AE4908"/>
      <c r="AF4908"/>
      <c r="AG4908"/>
    </row>
    <row r="4909" spans="1:33" s="304" customFormat="1" ht="16.5" customHeight="1">
      <c r="A4909" s="309" t="str">
        <f>IF(B4909&lt;&gt;"",IF(AND(B4909='IN-TC'!$S$4,OR(TH!N4899="1111",TH!O4899="1111")),TH!D4899,""),"")</f>
        <v/>
      </c>
      <c r="B4909" s="1242">
        <f t="shared" si="1338"/>
        <v>9</v>
      </c>
      <c r="C4909" s="292">
        <f t="shared" si="1337"/>
        <v>42999</v>
      </c>
      <c r="D4909" s="59" t="s">
        <v>902</v>
      </c>
      <c r="E4909" s="59">
        <v>42999</v>
      </c>
      <c r="F4909" s="62" t="s">
        <v>2029</v>
      </c>
      <c r="G4909" s="62" t="s">
        <v>585</v>
      </c>
      <c r="H4909" s="294" t="s">
        <v>622</v>
      </c>
      <c r="I4909" s="373"/>
      <c r="J4909" s="382"/>
      <c r="K4909" s="373"/>
      <c r="L4909" s="379"/>
      <c r="M4909" s="60">
        <v>200000000</v>
      </c>
      <c r="N4909" s="61" t="s">
        <v>8</v>
      </c>
      <c r="O4909" s="61" t="s">
        <v>26</v>
      </c>
      <c r="P4909" s="75" t="str">
        <f>IF(AND('331-CT'!$E$7=TH!H4834,OR(N4909="331",O4909="331")),"x","")</f>
        <v/>
      </c>
      <c r="Q4909" s="75" t="str">
        <f>IF(AND(B4909='111'!$L$11,OR($N4909=$Q$7,$O4909=$Q$7)),"x","")</f>
        <v/>
      </c>
      <c r="R4909" s="75" t="str">
        <f>IF(AND($N4909=$Q$7,$B4909&lt;'111'!$L$11),"x","")</f>
        <v/>
      </c>
      <c r="S4909" s="75" t="str">
        <f>IF(AND($O4909=$Q$7,$B4909&lt;'111'!$L$11),"x","")</f>
        <v/>
      </c>
      <c r="T4909" s="75" t="str">
        <f>IF(ISERROR(FIND('112'!$M$9,G4909,1)),"",IF((AND(FIND('112'!$M$9,G4909,1)&gt;=1,B4909='112'!$K$9,OR($N4909='112'!$I$6,$O4909='112'!$I$6))),"x",""))</f>
        <v/>
      </c>
      <c r="U4909" s="75" t="str">
        <f>IF(ISERROR(FIND('112'!$M$9,G4909,1)),"",IF((AND(LEFT(G4909,2)=LEFT('112'!$M$9,2),B4909&lt;'112'!$K$9,$N4909='112'!$I$6)),"x",""))</f>
        <v/>
      </c>
      <c r="V4909" s="75" t="str">
        <f>IF(ISERROR(FIND('112'!$M$9,G4909,1)),"",IF((AND(RIGHT(G4909,2)=RIGHT('112'!$M$9,2),B4909&lt;'112'!$K$9,$O4909='112'!$I$6)),"x",""))</f>
        <v/>
      </c>
      <c r="W4909" s="75" t="str">
        <f>IF(AND('341-CT'!$H$9=H4909,OR(LEFT(N4909,3)=$W$7,LEFT(O4909,3)=$W$7)),"x","")</f>
        <v/>
      </c>
      <c r="X4909" s="75" t="str">
        <f>IF(OR(TH!N4834=TH!$X$7,O4909=TH!$X$7),"x","")</f>
        <v/>
      </c>
      <c r="Y4909" s="75" t="str">
        <f>IF(AND(OR(N4909="131",O4909="131"),H4909='131-CT'!$H$9),"x","")</f>
        <v/>
      </c>
      <c r="Z4909" s="75"/>
      <c r="AA4909" s="75" t="str">
        <f>IF(AND(MONTH(E4909)='IN-NX'!$J$5,'IN-NX'!$D$7=D4909),"x","")</f>
        <v/>
      </c>
      <c r="AB4909" s="75" t="str">
        <f>IF(AND(OR(LEFT(TH!N4834,2)="15",LEFT(TH!O4834,2)="15"),LEFT(TH!O4834,3)&lt;&gt;"111",'152-CT'!$J$8=TH!F4834),"x","")</f>
        <v/>
      </c>
      <c r="AC4909" s="75" t="str">
        <f>IF(AND(OR(LEFT(TH!N4834,2)="15",LEFT(TH!O4834,2)="15"),TK!$E$7=TH!F4834),"x","")</f>
        <v/>
      </c>
      <c r="AD4909" s="75" t="str">
        <f>IF(AND(N4909="1521",MONTH(C4909)='BK-NL'!$M$11),"x","")</f>
        <v/>
      </c>
      <c r="AE4909"/>
      <c r="AF4909"/>
      <c r="AG4909"/>
    </row>
    <row r="4910" spans="1:33" s="304" customFormat="1" ht="16.5" customHeight="1">
      <c r="A4910" s="309" t="str">
        <f>IF(B4910&lt;&gt;"",IF(AND(B4910='IN-TC'!$S$4,OR(TH!N4900="1111",TH!O4900="1111")),TH!D4900,""),"")</f>
        <v/>
      </c>
      <c r="B4910" s="1242">
        <f t="shared" si="1338"/>
        <v>9</v>
      </c>
      <c r="C4910" s="292">
        <f t="shared" si="1337"/>
        <v>42999</v>
      </c>
      <c r="D4910" s="59" t="s">
        <v>902</v>
      </c>
      <c r="E4910" s="59">
        <v>42999</v>
      </c>
      <c r="F4910" s="62" t="s">
        <v>1307</v>
      </c>
      <c r="G4910" s="62" t="s">
        <v>585</v>
      </c>
      <c r="H4910" s="67" t="s">
        <v>845</v>
      </c>
      <c r="I4910" s="373"/>
      <c r="J4910" s="382"/>
      <c r="K4910" s="373"/>
      <c r="L4910" s="379"/>
      <c r="M4910" s="60">
        <v>60000</v>
      </c>
      <c r="N4910" s="61" t="s">
        <v>101</v>
      </c>
      <c r="O4910" s="61" t="s">
        <v>26</v>
      </c>
      <c r="P4910" s="75" t="str">
        <f>IF(AND('331-CT'!$E$7=TH!H4835,OR(N4910="331",O4910="331")),"x","")</f>
        <v/>
      </c>
      <c r="Q4910" s="75" t="str">
        <f>IF(AND(B4910='111'!$L$11,OR($N4910=$Q$7,$O4910=$Q$7)),"x","")</f>
        <v/>
      </c>
      <c r="R4910" s="75" t="str">
        <f>IF(AND($N4910=$Q$7,$B4910&lt;'111'!$L$11),"x","")</f>
        <v/>
      </c>
      <c r="S4910" s="75" t="str">
        <f>IF(AND($O4910=$Q$7,$B4910&lt;'111'!$L$11),"x","")</f>
        <v/>
      </c>
      <c r="T4910" s="75" t="str">
        <f>IF(ISERROR(FIND('112'!$M$9,G4910,1)),"",IF((AND(FIND('112'!$M$9,G4910,1)&gt;=1,B4910='112'!$K$9,OR($N4910='112'!$I$6,$O4910='112'!$I$6))),"x",""))</f>
        <v/>
      </c>
      <c r="U4910" s="75" t="str">
        <f>IF(ISERROR(FIND('112'!$M$9,G4910,1)),"",IF((AND(LEFT(G4910,2)=LEFT('112'!$M$9,2),B4910&lt;'112'!$K$9,$N4910='112'!$I$6)),"x",""))</f>
        <v/>
      </c>
      <c r="V4910" s="75" t="str">
        <f>IF(ISERROR(FIND('112'!$M$9,G4910,1)),"",IF((AND(RIGHT(G4910,2)=RIGHT('112'!$M$9,2),B4910&lt;'112'!$K$9,$O4910='112'!$I$6)),"x",""))</f>
        <v/>
      </c>
      <c r="W4910" s="75" t="str">
        <f>IF(AND('341-CT'!$H$9=H4910,OR(LEFT(N4910,3)=$W$7,LEFT(O4910,3)=$W$7)),"x","")</f>
        <v/>
      </c>
      <c r="X4910" s="75" t="str">
        <f>IF(OR(TH!N4835=TH!$X$7,O4910=TH!$X$7),"x","")</f>
        <v/>
      </c>
      <c r="Y4910" s="75" t="str">
        <f>IF(AND(OR(N4910="131",O4910="131"),H4910='131-CT'!$H$9),"x","")</f>
        <v/>
      </c>
      <c r="Z4910" s="75"/>
      <c r="AA4910" s="75" t="str">
        <f>IF(AND(MONTH(E4910)='IN-NX'!$J$5,'IN-NX'!$D$7=D4910),"x","")</f>
        <v/>
      </c>
      <c r="AB4910" s="75" t="str">
        <f>IF(AND(OR(LEFT(TH!N4835,2)="15",LEFT(TH!O4835,2)="15"),LEFT(TH!O4835,3)&lt;&gt;"111",'152-CT'!$J$8=TH!F4835),"x","")</f>
        <v/>
      </c>
      <c r="AC4910" s="75" t="str">
        <f>IF(AND(OR(LEFT(TH!N4835,2)="15",LEFT(TH!O4835,2)="15"),TK!$E$7=TH!F4835),"x","")</f>
        <v/>
      </c>
      <c r="AD4910" s="75" t="str">
        <f>IF(AND(N4910="1521",MONTH(C4910)='BK-NL'!$M$11),"x","")</f>
        <v/>
      </c>
      <c r="AE4910">
        <v>9</v>
      </c>
      <c r="AF4910"/>
      <c r="AG4910"/>
    </row>
    <row r="4911" spans="1:33" s="304" customFormat="1" ht="16.5" customHeight="1">
      <c r="A4911" s="309" t="str">
        <f>IF(B4911&lt;&gt;"",IF(AND(B4911='IN-TC'!$S$4,OR(TH!N4901="1111",TH!O4901="1111")),TH!D4901,""),"")</f>
        <v/>
      </c>
      <c r="B4911" s="1242">
        <f t="shared" si="1338"/>
        <v>9</v>
      </c>
      <c r="C4911" s="292">
        <f t="shared" si="1337"/>
        <v>42999</v>
      </c>
      <c r="D4911" s="59" t="s">
        <v>902</v>
      </c>
      <c r="E4911" s="59">
        <v>42999</v>
      </c>
      <c r="F4911" s="62" t="s">
        <v>2101</v>
      </c>
      <c r="G4911" s="62" t="s">
        <v>585</v>
      </c>
      <c r="H4911" s="67" t="s">
        <v>845</v>
      </c>
      <c r="I4911" s="373"/>
      <c r="J4911" s="382"/>
      <c r="K4911" s="373"/>
      <c r="L4911" s="379"/>
      <c r="M4911" s="60">
        <v>6000</v>
      </c>
      <c r="N4911" s="61" t="s">
        <v>9</v>
      </c>
      <c r="O4911" s="61" t="s">
        <v>26</v>
      </c>
      <c r="P4911" s="75" t="str">
        <f>IF(AND('331-CT'!$E$7=TH!H4836,OR(N4911="331",O4911="331")),"x","")</f>
        <v/>
      </c>
      <c r="Q4911" s="75" t="str">
        <f>IF(AND(B4911='111'!$L$11,OR($N4911=$Q$7,$O4911=$Q$7)),"x","")</f>
        <v/>
      </c>
      <c r="R4911" s="75" t="str">
        <f>IF(AND($N4911=$Q$7,$B4911&lt;'111'!$L$11),"x","")</f>
        <v/>
      </c>
      <c r="S4911" s="75" t="str">
        <f>IF(AND($O4911=$Q$7,$B4911&lt;'111'!$L$11),"x","")</f>
        <v/>
      </c>
      <c r="T4911" s="75" t="str">
        <f>IF(ISERROR(FIND('112'!$M$9,G4911,1)),"",IF((AND(FIND('112'!$M$9,G4911,1)&gt;=1,B4911='112'!$K$9,OR($N4911='112'!$I$6,$O4911='112'!$I$6))),"x",""))</f>
        <v/>
      </c>
      <c r="U4911" s="75" t="str">
        <f>IF(ISERROR(FIND('112'!$M$9,G4911,1)),"",IF((AND(LEFT(G4911,2)=LEFT('112'!$M$9,2),B4911&lt;'112'!$K$9,$N4911='112'!$I$6)),"x",""))</f>
        <v/>
      </c>
      <c r="V4911" s="75" t="str">
        <f>IF(ISERROR(FIND('112'!$M$9,G4911,1)),"",IF((AND(RIGHT(G4911,2)=RIGHT('112'!$M$9,2),B4911&lt;'112'!$K$9,$O4911='112'!$I$6)),"x",""))</f>
        <v/>
      </c>
      <c r="W4911" s="75" t="str">
        <f>IF(AND('341-CT'!$H$9=H4911,OR(LEFT(N4911,3)=$W$7,LEFT(O4911,3)=$W$7)),"x","")</f>
        <v/>
      </c>
      <c r="X4911" s="75" t="str">
        <f>IF(OR(TH!N4836=TH!$X$7,O4911=TH!$X$7),"x","")</f>
        <v/>
      </c>
      <c r="Y4911" s="75" t="str">
        <f>IF(AND(OR(N4911="131",O4911="131"),H4911='131-CT'!$H$9),"x","")</f>
        <v/>
      </c>
      <c r="Z4911" s="75"/>
      <c r="AA4911" s="75" t="str">
        <f>IF(AND(MONTH(E4911)='IN-NX'!$J$5,'IN-NX'!$D$7=D4911),"x","")</f>
        <v/>
      </c>
      <c r="AB4911" s="75" t="str">
        <f>IF(AND(OR(LEFT(TH!N4836,2)="15",LEFT(TH!O4836,2)="15"),LEFT(TH!O4836,3)&lt;&gt;"111",'152-CT'!$J$8=TH!F4836),"x","")</f>
        <v/>
      </c>
      <c r="AC4911" s="75" t="str">
        <f>IF(AND(OR(LEFT(TH!N4836,2)="15",LEFT(TH!O4836,2)="15"),TK!$E$7=TH!F4836),"x","")</f>
        <v/>
      </c>
      <c r="AD4911" s="75" t="str">
        <f>IF(AND(N4911="1521",MONTH(C4911)='BK-NL'!$M$11),"x","")</f>
        <v/>
      </c>
      <c r="AE4911">
        <v>9</v>
      </c>
      <c r="AF4911"/>
      <c r="AG4911"/>
    </row>
    <row r="4912" spans="1:33" s="304" customFormat="1" ht="16.5" customHeight="1">
      <c r="A4912" s="309" t="str">
        <f>IF(B4912&lt;&gt;"",IF(AND(B4912='IN-TC'!$S$4,OR(TH!N4902="1111",TH!O4902="1111")),TH!D4902,""),"")</f>
        <v/>
      </c>
      <c r="B4912" s="1242">
        <f t="shared" si="1338"/>
        <v>9</v>
      </c>
      <c r="C4912" s="292">
        <f t="shared" si="1337"/>
        <v>42999</v>
      </c>
      <c r="D4912" s="59" t="s">
        <v>902</v>
      </c>
      <c r="E4912" s="59">
        <v>42999</v>
      </c>
      <c r="F4912" s="62" t="s">
        <v>2252</v>
      </c>
      <c r="G4912" s="62" t="s">
        <v>585</v>
      </c>
      <c r="H4912" s="67" t="s">
        <v>563</v>
      </c>
      <c r="I4912" s="373"/>
      <c r="J4912" s="382"/>
      <c r="K4912" s="373"/>
      <c r="L4912" s="379"/>
      <c r="M4912" s="60">
        <v>26743200</v>
      </c>
      <c r="N4912" s="61" t="s">
        <v>8</v>
      </c>
      <c r="O4912" s="61" t="s">
        <v>26</v>
      </c>
      <c r="P4912" s="75" t="str">
        <f>IF(AND('331-CT'!$E$7=TH!H4832,OR(N4912="331",O4912="331")),"x","")</f>
        <v/>
      </c>
      <c r="Q4912" s="75" t="str">
        <f>IF(AND(B4912='111'!$L$11,OR($N4912=$Q$7,$O4912=$Q$7)),"x","")</f>
        <v/>
      </c>
      <c r="R4912" s="75" t="str">
        <f>IF(AND($N4912=$Q$7,$B4912&lt;'111'!$L$11),"x","")</f>
        <v/>
      </c>
      <c r="S4912" s="75" t="str">
        <f>IF(AND($O4912=$Q$7,$B4912&lt;'111'!$L$11),"x","")</f>
        <v/>
      </c>
      <c r="T4912" s="75" t="str">
        <f>IF(ISERROR(FIND('112'!$M$9,G4912,1)),"",IF((AND(FIND('112'!$M$9,G4912,1)&gt;=1,B4912='112'!$K$9,OR($N4912='112'!$I$6,$O4912='112'!$I$6))),"x",""))</f>
        <v/>
      </c>
      <c r="U4912" s="75" t="str">
        <f>IF(ISERROR(FIND('112'!$M$9,G4912,1)),"",IF((AND(LEFT(G4912,2)=LEFT('112'!$M$9,2),B4912&lt;'112'!$K$9,$N4912='112'!$I$6)),"x",""))</f>
        <v/>
      </c>
      <c r="V4912" s="75" t="str">
        <f>IF(ISERROR(FIND('112'!$M$9,G4912,1)),"",IF((AND(RIGHT(G4912,2)=RIGHT('112'!$M$9,2),B4912&lt;'112'!$K$9,$O4912='112'!$I$6)),"x",""))</f>
        <v/>
      </c>
      <c r="W4912" s="75" t="str">
        <f>IF(AND('341-CT'!$H$9=H4912,OR(LEFT(N4912,3)=$W$7,LEFT(O4912,3)=$W$7)),"x","")</f>
        <v/>
      </c>
      <c r="X4912" s="75" t="str">
        <f>IF(OR(TH!N4832=TH!$X$7,O4912=TH!$X$7),"x","")</f>
        <v/>
      </c>
      <c r="Y4912" s="75" t="str">
        <f>IF(AND(OR(N4912="131",O4912="131"),H4912='131-CT'!$H$9),"x","")</f>
        <v/>
      </c>
      <c r="Z4912" s="75"/>
      <c r="AA4912" s="75" t="str">
        <f>IF(AND(MONTH(E4912)='IN-NX'!$J$5,'IN-NX'!$D$7=D4912),"x","")</f>
        <v/>
      </c>
      <c r="AB4912" s="75" t="str">
        <f>IF(AND(OR(LEFT(TH!N4832,2)="15",LEFT(TH!O4832,2)="15"),LEFT(TH!O4832,3)&lt;&gt;"111",'152-CT'!$J$8=TH!F4832),"x","")</f>
        <v/>
      </c>
      <c r="AC4912" s="75" t="str">
        <f>IF(AND(OR(LEFT(TH!N4832,2)="15",LEFT(TH!O4832,2)="15"),TK!$E$7=TH!F4832),"x","")</f>
        <v/>
      </c>
      <c r="AD4912" s="75" t="str">
        <f>IF(AND(N4912="1521",MONTH(C4912)='BK-NL'!$M$11),"x","")</f>
        <v/>
      </c>
      <c r="AE4912"/>
      <c r="AF4912"/>
      <c r="AG4912"/>
    </row>
    <row r="4913" spans="1:33" s="304" customFormat="1" ht="16.5" customHeight="1">
      <c r="A4913" s="309" t="str">
        <f>IF(B4913&lt;&gt;"",IF(AND(B4913='IN-TC'!$S$4,OR(TH!N4903="1111",TH!O4903="1111")),TH!D4903,""),"")</f>
        <v/>
      </c>
      <c r="B4913" s="1242">
        <f t="shared" si="1338"/>
        <v>9</v>
      </c>
      <c r="C4913" s="292">
        <f t="shared" si="1337"/>
        <v>42999</v>
      </c>
      <c r="D4913" s="59" t="s">
        <v>902</v>
      </c>
      <c r="E4913" s="59">
        <v>42999</v>
      </c>
      <c r="F4913" s="62" t="s">
        <v>1307</v>
      </c>
      <c r="G4913" s="62" t="s">
        <v>585</v>
      </c>
      <c r="H4913" s="67" t="s">
        <v>845</v>
      </c>
      <c r="I4913" s="373"/>
      <c r="J4913" s="382"/>
      <c r="K4913" s="373"/>
      <c r="L4913" s="379"/>
      <c r="M4913" s="60">
        <v>20000</v>
      </c>
      <c r="N4913" s="61" t="s">
        <v>101</v>
      </c>
      <c r="O4913" s="61" t="s">
        <v>26</v>
      </c>
      <c r="P4913" s="75" t="str">
        <f>IF(AND('331-CT'!$E$7=TH!H4837,OR(N4913="331",O4913="331")),"x","")</f>
        <v/>
      </c>
      <c r="Q4913" s="75" t="str">
        <f>IF(AND(B4913='111'!$L$11,OR($N4913=$Q$7,$O4913=$Q$7)),"x","")</f>
        <v/>
      </c>
      <c r="R4913" s="75" t="str">
        <f>IF(AND($N4913=$Q$7,$B4913&lt;'111'!$L$11),"x","")</f>
        <v/>
      </c>
      <c r="S4913" s="75" t="str">
        <f>IF(AND($O4913=$Q$7,$B4913&lt;'111'!$L$11),"x","")</f>
        <v/>
      </c>
      <c r="T4913" s="75" t="str">
        <f>IF(ISERROR(FIND('112'!$M$9,G4913,1)),"",IF((AND(FIND('112'!$M$9,G4913,1)&gt;=1,B4913='112'!$K$9,OR($N4913='112'!$I$6,$O4913='112'!$I$6))),"x",""))</f>
        <v/>
      </c>
      <c r="U4913" s="75" t="str">
        <f>IF(ISERROR(FIND('112'!$M$9,G4913,1)),"",IF((AND(LEFT(G4913,2)=LEFT('112'!$M$9,2),B4913&lt;'112'!$K$9,$N4913='112'!$I$6)),"x",""))</f>
        <v/>
      </c>
      <c r="V4913" s="75" t="str">
        <f>IF(ISERROR(FIND('112'!$M$9,G4913,1)),"",IF((AND(RIGHT(G4913,2)=RIGHT('112'!$M$9,2),B4913&lt;'112'!$K$9,$O4913='112'!$I$6)),"x",""))</f>
        <v/>
      </c>
      <c r="W4913" s="75" t="str">
        <f>IF(AND('341-CT'!$H$9=H4913,OR(LEFT(N4913,3)=$W$7,LEFT(O4913,3)=$W$7)),"x","")</f>
        <v/>
      </c>
      <c r="X4913" s="75" t="str">
        <f>IF(OR(TH!N4837=TH!$X$7,O4913=TH!$X$7),"x","")</f>
        <v/>
      </c>
      <c r="Y4913" s="75" t="str">
        <f>IF(AND(OR(N4913="131",O4913="131"),H4913='131-CT'!$H$9),"x","")</f>
        <v/>
      </c>
      <c r="Z4913" s="75"/>
      <c r="AA4913" s="75" t="str">
        <f>IF(AND(MONTH(E4913)='IN-NX'!$J$5,'IN-NX'!$D$7=D4913),"x","")</f>
        <v/>
      </c>
      <c r="AB4913" s="75" t="str">
        <f>IF(AND(OR(LEFT(TH!N4837,2)="15",LEFT(TH!O4837,2)="15"),LEFT(TH!O4837,3)&lt;&gt;"111",'152-CT'!$J$8=TH!F4837),"x","")</f>
        <v/>
      </c>
      <c r="AC4913" s="75" t="str">
        <f>IF(AND(OR(LEFT(TH!N4837,2)="15",LEFT(TH!O4837,2)="15"),TK!$E$7=TH!F4837),"x","")</f>
        <v/>
      </c>
      <c r="AD4913" s="75" t="str">
        <f>IF(AND(N4913="1521",MONTH(C4913)='BK-NL'!$M$11),"x","")</f>
        <v/>
      </c>
      <c r="AE4913">
        <v>9</v>
      </c>
      <c r="AF4913"/>
      <c r="AG4913"/>
    </row>
    <row r="4914" spans="1:33" s="304" customFormat="1" ht="16.5" customHeight="1">
      <c r="A4914" s="309" t="str">
        <f>IF(B4914&lt;&gt;"",IF(AND(B4914='IN-TC'!$S$4,OR(TH!N4904="1111",TH!O4904="1111")),TH!D4904,""),"")</f>
        <v/>
      </c>
      <c r="B4914" s="1242">
        <f t="shared" si="1338"/>
        <v>9</v>
      </c>
      <c r="C4914" s="292">
        <f t="shared" si="1337"/>
        <v>42999</v>
      </c>
      <c r="D4914" s="59" t="s">
        <v>902</v>
      </c>
      <c r="E4914" s="59">
        <v>42999</v>
      </c>
      <c r="F4914" s="62" t="s">
        <v>2101</v>
      </c>
      <c r="G4914" s="62" t="s">
        <v>585</v>
      </c>
      <c r="H4914" s="67" t="s">
        <v>845</v>
      </c>
      <c r="I4914" s="373"/>
      <c r="J4914" s="382"/>
      <c r="K4914" s="373"/>
      <c r="L4914" s="379"/>
      <c r="M4914" s="60">
        <v>2000</v>
      </c>
      <c r="N4914" s="61" t="s">
        <v>9</v>
      </c>
      <c r="O4914" s="61" t="s">
        <v>26</v>
      </c>
      <c r="P4914" s="75" t="str">
        <f>IF(AND('331-CT'!$E$7=TH!H4838,OR(N4914="331",O4914="331")),"x","")</f>
        <v/>
      </c>
      <c r="Q4914" s="75" t="str">
        <f>IF(AND(B4914='111'!$L$11,OR($N4914=$Q$7,$O4914=$Q$7)),"x","")</f>
        <v/>
      </c>
      <c r="R4914" s="75" t="str">
        <f>IF(AND($N4914=$Q$7,$B4914&lt;'111'!$L$11),"x","")</f>
        <v/>
      </c>
      <c r="S4914" s="75" t="str">
        <f>IF(AND($O4914=$Q$7,$B4914&lt;'111'!$L$11),"x","")</f>
        <v/>
      </c>
      <c r="T4914" s="75" t="str">
        <f>IF(ISERROR(FIND('112'!$M$9,G4914,1)),"",IF((AND(FIND('112'!$M$9,G4914,1)&gt;=1,B4914='112'!$K$9,OR($N4914='112'!$I$6,$O4914='112'!$I$6))),"x",""))</f>
        <v/>
      </c>
      <c r="U4914" s="75" t="str">
        <f>IF(ISERROR(FIND('112'!$M$9,G4914,1)),"",IF((AND(LEFT(G4914,2)=LEFT('112'!$M$9,2),B4914&lt;'112'!$K$9,$N4914='112'!$I$6)),"x",""))</f>
        <v/>
      </c>
      <c r="V4914" s="75" t="str">
        <f>IF(ISERROR(FIND('112'!$M$9,G4914,1)),"",IF((AND(RIGHT(G4914,2)=RIGHT('112'!$M$9,2),B4914&lt;'112'!$K$9,$O4914='112'!$I$6)),"x",""))</f>
        <v/>
      </c>
      <c r="W4914" s="75" t="str">
        <f>IF(AND('341-CT'!$H$9=H4914,OR(LEFT(N4914,3)=$W$7,LEFT(O4914,3)=$W$7)),"x","")</f>
        <v/>
      </c>
      <c r="X4914" s="75" t="str">
        <f>IF(OR(TH!N4838=TH!$X$7,O4914=TH!$X$7),"x","")</f>
        <v/>
      </c>
      <c r="Y4914" s="75" t="str">
        <f>IF(AND(OR(N4914="131",O4914="131"),H4914='131-CT'!$H$9),"x","")</f>
        <v/>
      </c>
      <c r="Z4914" s="75"/>
      <c r="AA4914" s="75" t="str">
        <f>IF(AND(MONTH(E4914)='IN-NX'!$J$5,'IN-NX'!$D$7=D4914),"x","")</f>
        <v/>
      </c>
      <c r="AB4914" s="75" t="str">
        <f>IF(AND(OR(LEFT(TH!N4838,2)="15",LEFT(TH!O4838,2)="15"),LEFT(TH!O4838,3)&lt;&gt;"111",'152-CT'!$J$8=TH!F4838),"x","")</f>
        <v/>
      </c>
      <c r="AC4914" s="75" t="str">
        <f>IF(AND(OR(LEFT(TH!N4838,2)="15",LEFT(TH!O4838,2)="15"),TK!$E$7=TH!F4838),"x","")</f>
        <v/>
      </c>
      <c r="AD4914" s="75" t="str">
        <f>IF(AND(N4914="1521",MONTH(C4914)='BK-NL'!$M$11),"x","")</f>
        <v/>
      </c>
      <c r="AE4914">
        <v>9</v>
      </c>
      <c r="AF4914"/>
      <c r="AG4914"/>
    </row>
    <row r="4915" spans="1:33" s="304" customFormat="1" ht="16.5" customHeight="1">
      <c r="A4915" s="309" t="str">
        <f>IF(B4915&lt;&gt;"",IF(AND(B4915='IN-TC'!$S$4,OR(TH!N4905="1111",TH!O4905="1111")),TH!D4905,""),"")</f>
        <v/>
      </c>
      <c r="B4915" s="1242">
        <f t="shared" si="1338"/>
        <v>9</v>
      </c>
      <c r="C4915" s="292">
        <f t="shared" ref="C4915:C4978" si="1339">E4915</f>
        <v>42999</v>
      </c>
      <c r="D4915" s="59" t="s">
        <v>902</v>
      </c>
      <c r="E4915" s="59">
        <v>42999</v>
      </c>
      <c r="F4915" s="62" t="s">
        <v>1550</v>
      </c>
      <c r="G4915" s="62" t="s">
        <v>585</v>
      </c>
      <c r="H4915" s="311" t="s">
        <v>561</v>
      </c>
      <c r="I4915" s="373"/>
      <c r="J4915" s="382"/>
      <c r="K4915" s="373"/>
      <c r="L4915" s="379"/>
      <c r="M4915" s="60">
        <v>1200000</v>
      </c>
      <c r="N4915" s="61" t="s">
        <v>8</v>
      </c>
      <c r="O4915" s="61" t="s">
        <v>26</v>
      </c>
      <c r="P4915" s="75" t="str">
        <f>IF(AND('331-CT'!$E$7=TH!H4839,OR(N4915="331",O4915="331")),"x","")</f>
        <v/>
      </c>
      <c r="Q4915" s="75" t="str">
        <f>IF(AND(B4915='111'!$L$11,OR($N4915=$Q$7,$O4915=$Q$7)),"x","")</f>
        <v/>
      </c>
      <c r="R4915" s="75" t="str">
        <f>IF(AND($N4915=$Q$7,$B4915&lt;'111'!$L$11),"x","")</f>
        <v/>
      </c>
      <c r="S4915" s="75" t="str">
        <f>IF(AND($O4915=$Q$7,$B4915&lt;'111'!$L$11),"x","")</f>
        <v/>
      </c>
      <c r="T4915" s="75" t="str">
        <f>IF(ISERROR(FIND('112'!$M$9,G4915,1)),"",IF((AND(FIND('112'!$M$9,G4915,1)&gt;=1,B4915='112'!$K$9,OR($N4915='112'!$I$6,$O4915='112'!$I$6))),"x",""))</f>
        <v/>
      </c>
      <c r="U4915" s="75" t="str">
        <f>IF(ISERROR(FIND('112'!$M$9,G4915,1)),"",IF((AND(LEFT(G4915,2)=LEFT('112'!$M$9,2),B4915&lt;'112'!$K$9,$N4915='112'!$I$6)),"x",""))</f>
        <v/>
      </c>
      <c r="V4915" s="75" t="str">
        <f>IF(ISERROR(FIND('112'!$M$9,G4915,1)),"",IF((AND(RIGHT(G4915,2)=RIGHT('112'!$M$9,2),B4915&lt;'112'!$K$9,$O4915='112'!$I$6)),"x",""))</f>
        <v/>
      </c>
      <c r="W4915" s="75" t="str">
        <f>IF(AND('341-CT'!$H$9=H4915,OR(LEFT(N4915,3)=$W$7,LEFT(O4915,3)=$W$7)),"x","")</f>
        <v/>
      </c>
      <c r="X4915" s="75" t="str">
        <f>IF(OR(TH!N4839=TH!$X$7,O4915=TH!$X$7),"x","")</f>
        <v/>
      </c>
      <c r="Y4915" s="75" t="str">
        <f>IF(AND(OR(N4915="131",O4915="131"),H4915='131-CT'!$H$9),"x","")</f>
        <v/>
      </c>
      <c r="Z4915" s="75"/>
      <c r="AA4915" s="75" t="str">
        <f>IF(AND(MONTH(E4915)='IN-NX'!$J$5,'IN-NX'!$D$7=D4915),"x","")</f>
        <v/>
      </c>
      <c r="AB4915" s="75" t="str">
        <f>IF(AND(OR(LEFT(TH!N4839,2)="15",LEFT(TH!O4839,2)="15"),LEFT(TH!O4839,3)&lt;&gt;"111",'152-CT'!$J$8=TH!F4839),"x","")</f>
        <v/>
      </c>
      <c r="AC4915" s="75" t="str">
        <f>IF(AND(OR(LEFT(TH!N4839,2)="15",LEFT(TH!O4839,2)="15"),TK!$E$7=TH!F4839),"x","")</f>
        <v/>
      </c>
      <c r="AD4915" s="75" t="str">
        <f>IF(AND(N4915="1521",MONTH(C4915)='BK-NL'!$M$11),"x","")</f>
        <v/>
      </c>
      <c r="AE4915"/>
      <c r="AF4915"/>
      <c r="AG4915"/>
    </row>
    <row r="4916" spans="1:33" s="304" customFormat="1" ht="16.5" customHeight="1">
      <c r="A4916" s="309" t="str">
        <f>IF(B4916&lt;&gt;"",IF(AND(B4916='IN-TC'!$S$4,OR(TH!N4906="1111",TH!O4906="1111")),TH!D4906,""),"")</f>
        <v/>
      </c>
      <c r="B4916" s="1242">
        <f t="shared" si="1338"/>
        <v>9</v>
      </c>
      <c r="C4916" s="292">
        <f t="shared" si="1339"/>
        <v>42999</v>
      </c>
      <c r="D4916" s="59" t="s">
        <v>902</v>
      </c>
      <c r="E4916" s="59">
        <v>42999</v>
      </c>
      <c r="F4916" s="62" t="s">
        <v>1307</v>
      </c>
      <c r="G4916" s="62" t="s">
        <v>585</v>
      </c>
      <c r="H4916" s="67" t="s">
        <v>845</v>
      </c>
      <c r="I4916" s="373"/>
      <c r="J4916" s="382"/>
      <c r="K4916" s="373"/>
      <c r="L4916" s="379"/>
      <c r="M4916" s="60">
        <v>15000</v>
      </c>
      <c r="N4916" s="61" t="s">
        <v>101</v>
      </c>
      <c r="O4916" s="61" t="s">
        <v>26</v>
      </c>
      <c r="P4916" s="75" t="str">
        <f>IF(AND('331-CT'!$E$7=TH!H4840,OR(N4916="331",O4916="331")),"x","")</f>
        <v/>
      </c>
      <c r="Q4916" s="75" t="str">
        <f>IF(AND(B4916='111'!$L$11,OR($N4916=$Q$7,$O4916=$Q$7)),"x","")</f>
        <v/>
      </c>
      <c r="R4916" s="75" t="str">
        <f>IF(AND($N4916=$Q$7,$B4916&lt;'111'!$L$11),"x","")</f>
        <v/>
      </c>
      <c r="S4916" s="75" t="str">
        <f>IF(AND($O4916=$Q$7,$B4916&lt;'111'!$L$11),"x","")</f>
        <v/>
      </c>
      <c r="T4916" s="75" t="str">
        <f>IF(ISERROR(FIND('112'!$M$9,G4916,1)),"",IF((AND(FIND('112'!$M$9,G4916,1)&gt;=1,B4916='112'!$K$9,OR($N4916='112'!$I$6,$O4916='112'!$I$6))),"x",""))</f>
        <v/>
      </c>
      <c r="U4916" s="75" t="str">
        <f>IF(ISERROR(FIND('112'!$M$9,G4916,1)),"",IF((AND(LEFT(G4916,2)=LEFT('112'!$M$9,2),B4916&lt;'112'!$K$9,$N4916='112'!$I$6)),"x",""))</f>
        <v/>
      </c>
      <c r="V4916" s="75" t="str">
        <f>IF(ISERROR(FIND('112'!$M$9,G4916,1)),"",IF((AND(RIGHT(G4916,2)=RIGHT('112'!$M$9,2),B4916&lt;'112'!$K$9,$O4916='112'!$I$6)),"x",""))</f>
        <v/>
      </c>
      <c r="W4916" s="75" t="str">
        <f>IF(AND('341-CT'!$H$9=H4916,OR(LEFT(N4916,3)=$W$7,LEFT(O4916,3)=$W$7)),"x","")</f>
        <v/>
      </c>
      <c r="X4916" s="75" t="str">
        <f>IF(OR(TH!N4840=TH!$X$7,O4916=TH!$X$7),"x","")</f>
        <v/>
      </c>
      <c r="Y4916" s="75" t="str">
        <f>IF(AND(OR(N4916="131",O4916="131"),H4916='131-CT'!$H$9),"x","")</f>
        <v/>
      </c>
      <c r="Z4916" s="75"/>
      <c r="AA4916" s="75" t="str">
        <f>IF(AND(MONTH(E4916)='IN-NX'!$J$5,'IN-NX'!$D$7=D4916),"x","")</f>
        <v/>
      </c>
      <c r="AB4916" s="75" t="str">
        <f>IF(AND(OR(LEFT(TH!N4840,2)="15",LEFT(TH!O4840,2)="15"),LEFT(TH!O4840,3)&lt;&gt;"111",'152-CT'!$J$8=TH!F4840),"x","")</f>
        <v/>
      </c>
      <c r="AC4916" s="75" t="str">
        <f>IF(AND(OR(LEFT(TH!N4840,2)="15",LEFT(TH!O4840,2)="15"),TK!$E$7=TH!F4840),"x","")</f>
        <v/>
      </c>
      <c r="AD4916" s="75" t="str">
        <f>IF(AND(N4916="1521",MONTH(C4916)='BK-NL'!$M$11),"x","")</f>
        <v/>
      </c>
      <c r="AE4916">
        <v>9</v>
      </c>
      <c r="AF4916"/>
      <c r="AG4916"/>
    </row>
    <row r="4917" spans="1:33" s="304" customFormat="1" ht="16.5" customHeight="1">
      <c r="A4917" s="309" t="str">
        <f>IF(B4917&lt;&gt;"",IF(AND(B4917='IN-TC'!$S$4,OR(TH!N4907="1111",TH!O4907="1111")),TH!D4907,""),"")</f>
        <v/>
      </c>
      <c r="B4917" s="1242">
        <f t="shared" si="1338"/>
        <v>9</v>
      </c>
      <c r="C4917" s="292">
        <f t="shared" si="1339"/>
        <v>42999</v>
      </c>
      <c r="D4917" s="59" t="s">
        <v>902</v>
      </c>
      <c r="E4917" s="59">
        <v>42999</v>
      </c>
      <c r="F4917" s="62" t="s">
        <v>2101</v>
      </c>
      <c r="G4917" s="62" t="s">
        <v>585</v>
      </c>
      <c r="H4917" s="67" t="s">
        <v>845</v>
      </c>
      <c r="I4917" s="373"/>
      <c r="J4917" s="382"/>
      <c r="K4917" s="373"/>
      <c r="L4917" s="379"/>
      <c r="M4917" s="60">
        <v>1500</v>
      </c>
      <c r="N4917" s="61" t="s">
        <v>9</v>
      </c>
      <c r="O4917" s="61" t="s">
        <v>26</v>
      </c>
      <c r="P4917" s="75" t="str">
        <f>IF(AND('331-CT'!$E$7=TH!H4841,OR(N4917="331",O4917="331")),"x","")</f>
        <v/>
      </c>
      <c r="Q4917" s="75" t="str">
        <f>IF(AND(B4917='111'!$L$11,OR($N4917=$Q$7,$O4917=$Q$7)),"x","")</f>
        <v/>
      </c>
      <c r="R4917" s="75" t="str">
        <f>IF(AND($N4917=$Q$7,$B4917&lt;'111'!$L$11),"x","")</f>
        <v/>
      </c>
      <c r="S4917" s="75" t="str">
        <f>IF(AND($O4917=$Q$7,$B4917&lt;'111'!$L$11),"x","")</f>
        <v/>
      </c>
      <c r="T4917" s="75" t="str">
        <f>IF(ISERROR(FIND('112'!$M$9,G4917,1)),"",IF((AND(FIND('112'!$M$9,G4917,1)&gt;=1,B4917='112'!$K$9,OR($N4917='112'!$I$6,$O4917='112'!$I$6))),"x",""))</f>
        <v/>
      </c>
      <c r="U4917" s="75" t="str">
        <f>IF(ISERROR(FIND('112'!$M$9,G4917,1)),"",IF((AND(LEFT(G4917,2)=LEFT('112'!$M$9,2),B4917&lt;'112'!$K$9,$N4917='112'!$I$6)),"x",""))</f>
        <v/>
      </c>
      <c r="V4917" s="75" t="str">
        <f>IF(ISERROR(FIND('112'!$M$9,G4917,1)),"",IF((AND(RIGHT(G4917,2)=RIGHT('112'!$M$9,2),B4917&lt;'112'!$K$9,$O4917='112'!$I$6)),"x",""))</f>
        <v/>
      </c>
      <c r="W4917" s="75" t="str">
        <f>IF(AND('341-CT'!$H$9=H4917,OR(LEFT(N4917,3)=$W$7,LEFT(O4917,3)=$W$7)),"x","")</f>
        <v/>
      </c>
      <c r="X4917" s="75" t="str">
        <f>IF(OR(TH!N4841=TH!$X$7,O4917=TH!$X$7),"x","")</f>
        <v/>
      </c>
      <c r="Y4917" s="75" t="str">
        <f>IF(AND(OR(N4917="131",O4917="131"),H4917='131-CT'!$H$9),"x","")</f>
        <v/>
      </c>
      <c r="Z4917" s="75"/>
      <c r="AA4917" s="75" t="str">
        <f>IF(AND(MONTH(E4917)='IN-NX'!$J$5,'IN-NX'!$D$7=D4917),"x","")</f>
        <v/>
      </c>
      <c r="AB4917" s="75" t="str">
        <f>IF(AND(OR(LEFT(TH!N4841,2)="15",LEFT(TH!O4841,2)="15"),LEFT(TH!O4841,3)&lt;&gt;"111",'152-CT'!$J$8=TH!F4841),"x","")</f>
        <v/>
      </c>
      <c r="AC4917" s="75" t="str">
        <f>IF(AND(OR(LEFT(TH!N4841,2)="15",LEFT(TH!O4841,2)="15"),TK!$E$7=TH!F4841),"x","")</f>
        <v/>
      </c>
      <c r="AD4917" s="75" t="str">
        <f>IF(AND(N4917="1521",MONTH(C4917)='BK-NL'!$M$11),"x","")</f>
        <v/>
      </c>
      <c r="AE4917">
        <v>9</v>
      </c>
      <c r="AF4917"/>
      <c r="AG4917"/>
    </row>
    <row r="4918" spans="1:33" ht="16.5" customHeight="1">
      <c r="A4918" s="309" t="str">
        <f>IF(B4918&lt;&gt;"",IF(AND(B4918='IN-TC'!$S$4,OR(TH!N4908="1111",TH!O4908="1111")),TH!D4908,""),"")</f>
        <v/>
      </c>
      <c r="B4918" s="1242">
        <f t="shared" si="1338"/>
        <v>9</v>
      </c>
      <c r="C4918" s="292">
        <f t="shared" si="1339"/>
        <v>42999</v>
      </c>
      <c r="D4918" s="59" t="s">
        <v>902</v>
      </c>
      <c r="E4918" s="59">
        <v>42999</v>
      </c>
      <c r="F4918" s="131" t="s">
        <v>1550</v>
      </c>
      <c r="G4918" s="62" t="s">
        <v>585</v>
      </c>
      <c r="H4918" s="311" t="s">
        <v>561</v>
      </c>
      <c r="I4918" s="373"/>
      <c r="J4918" s="382"/>
      <c r="K4918" s="373"/>
      <c r="L4918" s="379"/>
      <c r="M4918" s="60">
        <v>800000</v>
      </c>
      <c r="N4918" s="61" t="s">
        <v>8</v>
      </c>
      <c r="O4918" s="61" t="s">
        <v>26</v>
      </c>
      <c r="P4918" s="75" t="str">
        <f>IF(AND('331-CT'!$E$7=TH!H4842,OR(N4918="331",O4918="331")),"x","")</f>
        <v/>
      </c>
      <c r="Q4918" s="75" t="str">
        <f>IF(AND(B4918='111'!$L$11,OR($N4918=$Q$7,$O4918=$Q$7)),"x","")</f>
        <v/>
      </c>
      <c r="R4918" s="75" t="str">
        <f>IF(AND($N4918=$Q$7,$B4918&lt;'111'!$L$11),"x","")</f>
        <v/>
      </c>
      <c r="S4918" s="75" t="str">
        <f>IF(AND($O4918=$Q$7,$B4918&lt;'111'!$L$11),"x","")</f>
        <v/>
      </c>
      <c r="T4918" s="75" t="str">
        <f>IF(ISERROR(FIND('112'!$M$9,G4918,1)),"",IF((AND(FIND('112'!$M$9,G4918,1)&gt;=1,B4918='112'!$K$9,OR($N4918='112'!$I$6,$O4918='112'!$I$6))),"x",""))</f>
        <v/>
      </c>
      <c r="U4918" s="75" t="str">
        <f>IF(ISERROR(FIND('112'!$M$9,G4918,1)),"",IF((AND(LEFT(G4918,2)=LEFT('112'!$M$9,2),B4918&lt;'112'!$K$9,$N4918='112'!$I$6)),"x",""))</f>
        <v/>
      </c>
      <c r="V4918" s="75" t="str">
        <f>IF(ISERROR(FIND('112'!$M$9,G4918,1)),"",IF((AND(RIGHT(G4918,2)=RIGHT('112'!$M$9,2),B4918&lt;'112'!$K$9,$O4918='112'!$I$6)),"x",""))</f>
        <v/>
      </c>
      <c r="W4918" s="75" t="str">
        <f>IF(AND('341-CT'!$H$9=H4918,OR(LEFT(N4918,3)=$W$7,LEFT(O4918,3)=$W$7)),"x","")</f>
        <v/>
      </c>
      <c r="X4918" s="75" t="str">
        <f>IF(OR(TH!N4842=TH!$X$7,O4918=TH!$X$7),"x","")</f>
        <v/>
      </c>
      <c r="Y4918" s="75" t="str">
        <f>IF(AND(OR(N4918="131",O4918="131"),H4918='131-CT'!$H$9),"x","")</f>
        <v/>
      </c>
      <c r="Z4918" s="75"/>
      <c r="AA4918" s="75" t="str">
        <f>IF(AND(MONTH(E4918)='IN-NX'!$J$5,'IN-NX'!$D$7=D4918),"x","")</f>
        <v/>
      </c>
      <c r="AB4918" s="75" t="str">
        <f>IF(AND(OR(LEFT(TH!N4842,2)="15",LEFT(TH!O4842,2)="15"),LEFT(TH!O4842,3)&lt;&gt;"111",'152-CT'!$J$8=TH!F4842),"x","")</f>
        <v/>
      </c>
      <c r="AC4918" s="75" t="str">
        <f>IF(AND(OR(LEFT(TH!N4842,2)="15",LEFT(TH!O4842,2)="15"),TK!$E$7=TH!F4842),"x","")</f>
        <v/>
      </c>
      <c r="AD4918" s="75" t="str">
        <f>IF(AND(N4918="1521",MONTH(C4918)='BK-NL'!$M$11),"x","")</f>
        <v/>
      </c>
    </row>
    <row r="4919" spans="1:33" s="304" customFormat="1" ht="16.5" customHeight="1">
      <c r="A4919" s="309" t="str">
        <f>IF(B4919&lt;&gt;"",IF(AND(B4919='IN-TC'!$S$4,OR(TH!N4909="1111",TH!O4909="1111")),TH!D4909,""),"")</f>
        <v/>
      </c>
      <c r="B4919" s="1242">
        <f t="shared" si="1338"/>
        <v>9</v>
      </c>
      <c r="C4919" s="292">
        <f t="shared" si="1339"/>
        <v>42999</v>
      </c>
      <c r="D4919" s="59" t="s">
        <v>902</v>
      </c>
      <c r="E4919" s="59">
        <v>42999</v>
      </c>
      <c r="F4919" s="62" t="s">
        <v>1307</v>
      </c>
      <c r="G4919" s="62" t="s">
        <v>585</v>
      </c>
      <c r="H4919" s="67" t="s">
        <v>845</v>
      </c>
      <c r="I4919" s="373"/>
      <c r="J4919" s="382"/>
      <c r="K4919" s="373"/>
      <c r="L4919" s="379"/>
      <c r="M4919" s="60">
        <v>15000</v>
      </c>
      <c r="N4919" s="61" t="s">
        <v>101</v>
      </c>
      <c r="O4919" s="61" t="s">
        <v>26</v>
      </c>
      <c r="P4919" s="75" t="str">
        <f>IF(AND('331-CT'!$E$7=TH!H4843,OR(N4919="331",O4919="331")),"x","")</f>
        <v/>
      </c>
      <c r="Q4919" s="75" t="str">
        <f>IF(AND(B4919='111'!$L$11,OR($N4919=$Q$7,$O4919=$Q$7)),"x","")</f>
        <v/>
      </c>
      <c r="R4919" s="75" t="str">
        <f>IF(AND($N4919=$Q$7,$B4919&lt;'111'!$L$11),"x","")</f>
        <v/>
      </c>
      <c r="S4919" s="75" t="str">
        <f>IF(AND($O4919=$Q$7,$B4919&lt;'111'!$L$11),"x","")</f>
        <v/>
      </c>
      <c r="T4919" s="75" t="str">
        <f>IF(ISERROR(FIND('112'!$M$9,G4919,1)),"",IF((AND(FIND('112'!$M$9,G4919,1)&gt;=1,B4919='112'!$K$9,OR($N4919='112'!$I$6,$O4919='112'!$I$6))),"x",""))</f>
        <v/>
      </c>
      <c r="U4919" s="75" t="str">
        <f>IF(ISERROR(FIND('112'!$M$9,G4919,1)),"",IF((AND(LEFT(G4919,2)=LEFT('112'!$M$9,2),B4919&lt;'112'!$K$9,$N4919='112'!$I$6)),"x",""))</f>
        <v/>
      </c>
      <c r="V4919" s="75" t="str">
        <f>IF(ISERROR(FIND('112'!$M$9,G4919,1)),"",IF((AND(RIGHT(G4919,2)=RIGHT('112'!$M$9,2),B4919&lt;'112'!$K$9,$O4919='112'!$I$6)),"x",""))</f>
        <v/>
      </c>
      <c r="W4919" s="75" t="str">
        <f>IF(AND('341-CT'!$H$9=H4919,OR(LEFT(N4919,3)=$W$7,LEFT(O4919,3)=$W$7)),"x","")</f>
        <v/>
      </c>
      <c r="X4919" s="75" t="str">
        <f>IF(OR(TH!N4843=TH!$X$7,O4919=TH!$X$7),"x","")</f>
        <v/>
      </c>
      <c r="Y4919" s="75" t="str">
        <f>IF(AND(OR(N4919="131",O4919="131"),H4919='131-CT'!$H$9),"x","")</f>
        <v/>
      </c>
      <c r="Z4919" s="75"/>
      <c r="AA4919" s="75" t="str">
        <f>IF(AND(MONTH(E4919)='IN-NX'!$J$5,'IN-NX'!$D$7=D4919),"x","")</f>
        <v/>
      </c>
      <c r="AB4919" s="75" t="str">
        <f>IF(AND(OR(LEFT(TH!N4843,2)="15",LEFT(TH!O4843,2)="15"),LEFT(TH!O4843,3)&lt;&gt;"111",'152-CT'!$J$8=TH!F4843),"x","")</f>
        <v/>
      </c>
      <c r="AC4919" s="75" t="str">
        <f>IF(AND(OR(LEFT(TH!N4843,2)="15",LEFT(TH!O4843,2)="15"),TK!$E$7=TH!F4843),"x","")</f>
        <v/>
      </c>
      <c r="AD4919" s="75" t="str">
        <f>IF(AND(N4919="1521",MONTH(C4919)='BK-NL'!$M$11),"x","")</f>
        <v/>
      </c>
      <c r="AE4919">
        <v>9</v>
      </c>
      <c r="AF4919"/>
      <c r="AG4919"/>
    </row>
    <row r="4920" spans="1:33" s="304" customFormat="1" ht="16.5" customHeight="1">
      <c r="A4920" s="309" t="str">
        <f>IF(B4920&lt;&gt;"",IF(AND(B4920='IN-TC'!$S$4,OR(TH!N4910="1111",TH!O4910="1111")),TH!D4910,""),"")</f>
        <v/>
      </c>
      <c r="B4920" s="1242">
        <f t="shared" si="1338"/>
        <v>9</v>
      </c>
      <c r="C4920" s="292">
        <f t="shared" si="1339"/>
        <v>42999</v>
      </c>
      <c r="D4920" s="59" t="s">
        <v>902</v>
      </c>
      <c r="E4920" s="59">
        <v>42999</v>
      </c>
      <c r="F4920" s="62" t="s">
        <v>2101</v>
      </c>
      <c r="G4920" s="62" t="s">
        <v>585</v>
      </c>
      <c r="H4920" s="67" t="s">
        <v>845</v>
      </c>
      <c r="I4920" s="373"/>
      <c r="J4920" s="382"/>
      <c r="K4920" s="373"/>
      <c r="L4920" s="379"/>
      <c r="M4920" s="60">
        <v>1500</v>
      </c>
      <c r="N4920" s="61" t="s">
        <v>9</v>
      </c>
      <c r="O4920" s="61" t="s">
        <v>26</v>
      </c>
      <c r="P4920" s="75" t="str">
        <f>IF(AND('331-CT'!$E$7=TH!H4844,OR(N4920="331",O4920="331")),"x","")</f>
        <v/>
      </c>
      <c r="Q4920" s="75" t="str">
        <f>IF(AND(B4920='111'!$L$11,OR($N4920=$Q$7,$O4920=$Q$7)),"x","")</f>
        <v/>
      </c>
      <c r="R4920" s="75" t="str">
        <f>IF(AND($N4920=$Q$7,$B4920&lt;'111'!$L$11),"x","")</f>
        <v/>
      </c>
      <c r="S4920" s="75" t="str">
        <f>IF(AND($O4920=$Q$7,$B4920&lt;'111'!$L$11),"x","")</f>
        <v/>
      </c>
      <c r="T4920" s="75" t="str">
        <f>IF(ISERROR(FIND('112'!$M$9,G4920,1)),"",IF((AND(FIND('112'!$M$9,G4920,1)&gt;=1,B4920='112'!$K$9,OR($N4920='112'!$I$6,$O4920='112'!$I$6))),"x",""))</f>
        <v/>
      </c>
      <c r="U4920" s="75" t="str">
        <f>IF(ISERROR(FIND('112'!$M$9,G4920,1)),"",IF((AND(LEFT(G4920,2)=LEFT('112'!$M$9,2),B4920&lt;'112'!$K$9,$N4920='112'!$I$6)),"x",""))</f>
        <v/>
      </c>
      <c r="V4920" s="75" t="str">
        <f>IF(ISERROR(FIND('112'!$M$9,G4920,1)),"",IF((AND(RIGHT(G4920,2)=RIGHT('112'!$M$9,2),B4920&lt;'112'!$K$9,$O4920='112'!$I$6)),"x",""))</f>
        <v/>
      </c>
      <c r="W4920" s="75" t="str">
        <f>IF(AND('341-CT'!$H$9=H4920,OR(LEFT(N4920,3)=$W$7,LEFT(O4920,3)=$W$7)),"x","")</f>
        <v/>
      </c>
      <c r="X4920" s="75" t="str">
        <f>IF(OR(TH!N4844=TH!$X$7,O4920=TH!$X$7),"x","")</f>
        <v/>
      </c>
      <c r="Y4920" s="75" t="str">
        <f>IF(AND(OR(N4920="131",O4920="131"),H4920='131-CT'!$H$9),"x","")</f>
        <v/>
      </c>
      <c r="Z4920" s="75"/>
      <c r="AA4920" s="75" t="str">
        <f>IF(AND(MONTH(E4920)='IN-NX'!$J$5,'IN-NX'!$D$7=D4920),"x","")</f>
        <v/>
      </c>
      <c r="AB4920" s="75" t="str">
        <f>IF(AND(OR(LEFT(TH!N4844,2)="15",LEFT(TH!O4844,2)="15"),LEFT(TH!O4844,3)&lt;&gt;"111",'152-CT'!$J$8=TH!F4844),"x","")</f>
        <v/>
      </c>
      <c r="AC4920" s="75" t="str">
        <f>IF(AND(OR(LEFT(TH!N4844,2)="15",LEFT(TH!O4844,2)="15"),TK!$E$7=TH!F4844),"x","")</f>
        <v/>
      </c>
      <c r="AD4920" s="75" t="str">
        <f>IF(AND(N4920="1521",MONTH(C4920)='BK-NL'!$M$11),"x","")</f>
        <v/>
      </c>
      <c r="AE4920">
        <v>9</v>
      </c>
      <c r="AF4920"/>
      <c r="AG4920"/>
    </row>
    <row r="4921" spans="1:33" s="304" customFormat="1" ht="16.5" customHeight="1">
      <c r="A4921" s="309" t="str">
        <f>IF(B4921&lt;&gt;"",IF(AND(B4921='IN-TC'!$S$4,OR(TH!N4911="1111",TH!O4911="1111")),TH!D4911,""),"")</f>
        <v/>
      </c>
      <c r="B4921" s="1242">
        <f t="shared" si="1338"/>
        <v>9</v>
      </c>
      <c r="C4921" s="292">
        <f t="shared" si="1339"/>
        <v>43000</v>
      </c>
      <c r="D4921" s="59" t="s">
        <v>1271</v>
      </c>
      <c r="E4921" s="59">
        <v>43000</v>
      </c>
      <c r="F4921" s="62" t="s">
        <v>834</v>
      </c>
      <c r="G4921" s="62" t="s">
        <v>747</v>
      </c>
      <c r="H4921" s="67" t="s">
        <v>1023</v>
      </c>
      <c r="I4921" s="373"/>
      <c r="J4921" s="382"/>
      <c r="K4921" s="373"/>
      <c r="L4921" s="379"/>
      <c r="M4921" s="60">
        <v>300000000</v>
      </c>
      <c r="N4921" s="61" t="s">
        <v>63</v>
      </c>
      <c r="O4921" s="61" t="s">
        <v>26</v>
      </c>
      <c r="P4921" s="75" t="str">
        <f>IF(AND('331-CT'!$E$7=TH!H5451,OR(N4921="331",O4921="331")),"x","")</f>
        <v/>
      </c>
      <c r="Q4921" s="75" t="str">
        <f>IF(AND(B4921='111'!$L$11,OR($N4921=$Q$7,$O4921=$Q$7)),"x","")</f>
        <v/>
      </c>
      <c r="R4921" s="75" t="str">
        <f>IF(AND($N4921=$Q$7,$B4921&lt;'111'!$L$11),"x","")</f>
        <v>x</v>
      </c>
      <c r="S4921" s="75" t="str">
        <f>IF(AND($O4921=$Q$7,$B4921&lt;'111'!$L$11),"x","")</f>
        <v/>
      </c>
      <c r="T4921" s="75" t="str">
        <f>IF(ISERROR(FIND('112'!$M$9,G4921,1)),"",IF((AND(FIND('112'!$M$9,G4921,1)&gt;=1,B4921='112'!$K$9,OR($N4921='112'!$I$6,$O4921='112'!$I$6))),"x",""))</f>
        <v/>
      </c>
      <c r="U4921" s="75" t="str">
        <f>IF(ISERROR(FIND('112'!$M$9,G4921,1)),"",IF((AND(LEFT(G4921,2)=LEFT('112'!$M$9,2),B4921&lt;'112'!$K$9,$N4921='112'!$I$6)),"x",""))</f>
        <v/>
      </c>
      <c r="V4921" s="75" t="str">
        <f>IF(ISERROR(FIND('112'!$M$9,G4921,1)),"",IF((AND(RIGHT(G4921,2)=RIGHT('112'!$M$9,2),B4921&lt;'112'!$K$9,$O4921='112'!$I$6)),"x",""))</f>
        <v/>
      </c>
      <c r="W4921" s="75" t="str">
        <f>IF(AND('341-CT'!$H$9=H4921,OR(LEFT(N4921,3)=$W$7,LEFT(O4921,3)=$W$7)),"x","")</f>
        <v/>
      </c>
      <c r="X4921" s="75" t="str">
        <f>IF(OR(TH!N5451=TH!$X$7,O4921=TH!$X$7),"x","")</f>
        <v/>
      </c>
      <c r="Y4921" s="75" t="str">
        <f>IF(AND(OR(N4921="131",O4921="131"),H4921='131-CT'!$H$9),"x","")</f>
        <v/>
      </c>
      <c r="Z4921" s="75"/>
      <c r="AA4921" s="75" t="str">
        <f>IF(AND(MONTH(E4921)='IN-NX'!$J$5,'IN-NX'!$D$7=D4921),"x","")</f>
        <v/>
      </c>
      <c r="AB4921" s="75" t="str">
        <f>IF(AND(OR(LEFT(TH!N5451,2)="15",LEFT(TH!O5451,2)="15"),LEFT(TH!O5451,3)&lt;&gt;"111",'152-CT'!$J$8=TH!F5451),"x","")</f>
        <v/>
      </c>
      <c r="AC4921" s="75" t="str">
        <f>IF(AND(OR(LEFT(TH!N5451,2)="15",LEFT(TH!O5451,2)="15"),TK!$E$7=TH!F5451),"x","")</f>
        <v/>
      </c>
      <c r="AD4921" s="75" t="str">
        <f>IF(AND(N4921="1521",MONTH(C4921)='BK-NL'!$M$11),"x","")</f>
        <v/>
      </c>
      <c r="AE4921"/>
      <c r="AF4921"/>
      <c r="AG4921"/>
    </row>
    <row r="4922" spans="1:33" s="304" customFormat="1" ht="16.5" customHeight="1">
      <c r="A4922" s="309" t="str">
        <f>IF(B4922&lt;&gt;"",IF(AND(B4922='IN-TC'!$S$4,OR(TH!N4912="1111",TH!O4912="1111")),TH!D4912,""),"")</f>
        <v/>
      </c>
      <c r="B4922" s="1242">
        <f t="shared" si="1338"/>
        <v>9</v>
      </c>
      <c r="C4922" s="292">
        <f t="shared" si="1339"/>
        <v>43000</v>
      </c>
      <c r="D4922" s="59" t="s">
        <v>902</v>
      </c>
      <c r="E4922" s="59">
        <v>43000</v>
      </c>
      <c r="F4922" s="62" t="s">
        <v>1177</v>
      </c>
      <c r="G4922" s="62" t="s">
        <v>747</v>
      </c>
      <c r="H4922" s="67" t="s">
        <v>835</v>
      </c>
      <c r="I4922" s="375"/>
      <c r="J4922" s="382"/>
      <c r="K4922" s="375"/>
      <c r="L4922" s="381"/>
      <c r="M4922" s="60">
        <v>3700038</v>
      </c>
      <c r="N4922" s="61" t="s">
        <v>101</v>
      </c>
      <c r="O4922" s="61" t="s">
        <v>26</v>
      </c>
      <c r="P4922" s="75" t="str">
        <f>IF(AND('331-CT'!$E$7=TH!H5452,OR(N4922="331",O4922="331")),"x","")</f>
        <v/>
      </c>
      <c r="Q4922" s="75" t="str">
        <f>IF(AND(B4922='111'!$L$11,OR($N4922=$Q$7,$O4922=$Q$7)),"x","")</f>
        <v/>
      </c>
      <c r="R4922" s="75" t="str">
        <f>IF(AND($N4922=$Q$7,$B4922&lt;'111'!$L$11),"x","")</f>
        <v/>
      </c>
      <c r="S4922" s="75" t="str">
        <f>IF(AND($O4922=$Q$7,$B4922&lt;'111'!$L$11),"x","")</f>
        <v/>
      </c>
      <c r="T4922" s="75" t="str">
        <f>IF(ISERROR(FIND('112'!$M$9,G4922,1)),"",IF((AND(FIND('112'!$M$9,G4922,1)&gt;=1,B4922='112'!$K$9,OR($N4922='112'!$I$6,$O4922='112'!$I$6))),"x",""))</f>
        <v/>
      </c>
      <c r="U4922" s="75" t="str">
        <f>IF(ISERROR(FIND('112'!$M$9,G4922,1)),"",IF((AND(LEFT(G4922,2)=LEFT('112'!$M$9,2),B4922&lt;'112'!$K$9,$N4922='112'!$I$6)),"x",""))</f>
        <v/>
      </c>
      <c r="V4922" s="75" t="str">
        <f>IF(ISERROR(FIND('112'!$M$9,G4922,1)),"",IF((AND(RIGHT(G4922,2)=RIGHT('112'!$M$9,2),B4922&lt;'112'!$K$9,$O4922='112'!$I$6)),"x",""))</f>
        <v/>
      </c>
      <c r="W4922" s="75" t="str">
        <f>IF(AND('341-CT'!$H$9=H4922,OR(LEFT(N4922,3)=$W$7,LEFT(O4922,3)=$W$7)),"x","")</f>
        <v/>
      </c>
      <c r="X4922" s="75" t="str">
        <f>IF(OR(TH!N5452=TH!$X$7,O4922=TH!$X$7),"x","")</f>
        <v/>
      </c>
      <c r="Y4922" s="75" t="str">
        <f>IF(AND(OR(N4922="131",O4922="131"),H4922='131-CT'!$H$9),"x","")</f>
        <v/>
      </c>
      <c r="Z4922" s="75"/>
      <c r="AA4922" s="75" t="str">
        <f>IF(AND(MONTH(E4922)='IN-NX'!$J$5,'IN-NX'!$D$7=D4922),"x","")</f>
        <v/>
      </c>
      <c r="AB4922" s="75" t="str">
        <f>IF(AND(OR(LEFT(TH!N5452,2)="15",LEFT(TH!O5452,2)="15"),LEFT(TH!O5452,3)&lt;&gt;"111",'152-CT'!$J$8=TH!F5452),"x","")</f>
        <v/>
      </c>
      <c r="AC4922" s="75" t="str">
        <f>IF(AND(OR(LEFT(TH!N5452,2)="15",LEFT(TH!O5452,2)="15"),TK!$E$7=TH!F5452),"x","")</f>
        <v/>
      </c>
      <c r="AD4922" s="75" t="str">
        <f>IF(AND(N4922="1521",MONTH(C4922)='BK-NL'!$M$11),"x","")</f>
        <v/>
      </c>
      <c r="AE4922"/>
      <c r="AF4922"/>
      <c r="AG4922"/>
    </row>
    <row r="4923" spans="1:33" s="304" customFormat="1" ht="16.5" customHeight="1">
      <c r="A4923" s="309" t="str">
        <f>IF(B4923&lt;&gt;"",IF(AND(B4923='IN-TC'!$S$4,OR(TH!N4913="1111",TH!O4913="1111")),TH!D4913,""),"")</f>
        <v/>
      </c>
      <c r="B4923" s="1242">
        <f t="shared" si="1338"/>
        <v>9</v>
      </c>
      <c r="C4923" s="292">
        <f t="shared" si="1339"/>
        <v>43000</v>
      </c>
      <c r="D4923" s="59" t="s">
        <v>902</v>
      </c>
      <c r="E4923" s="59">
        <v>43000</v>
      </c>
      <c r="F4923" s="62" t="s">
        <v>2029</v>
      </c>
      <c r="G4923" s="62" t="s">
        <v>747</v>
      </c>
      <c r="H4923" s="294" t="s">
        <v>622</v>
      </c>
      <c r="I4923" s="373"/>
      <c r="J4923" s="382"/>
      <c r="K4923" s="373"/>
      <c r="L4923" s="379"/>
      <c r="M4923" s="60">
        <v>300000000</v>
      </c>
      <c r="N4923" s="61" t="s">
        <v>8</v>
      </c>
      <c r="O4923" s="61" t="s">
        <v>26</v>
      </c>
      <c r="P4923" s="75" t="str">
        <f>IF(AND('331-CT'!$E$7=TH!H5453,OR(N4923="331",O4923="331")),"x","")</f>
        <v/>
      </c>
      <c r="Q4923" s="75" t="str">
        <f>IF(AND(B4923='111'!$L$11,OR($N4923=$Q$7,$O4923=$Q$7)),"x","")</f>
        <v/>
      </c>
      <c r="R4923" s="75" t="str">
        <f>IF(AND($N4923=$Q$7,$B4923&lt;'111'!$L$11),"x","")</f>
        <v/>
      </c>
      <c r="S4923" s="75" t="str">
        <f>IF(AND($O4923=$Q$7,$B4923&lt;'111'!$L$11),"x","")</f>
        <v/>
      </c>
      <c r="T4923" s="75" t="str">
        <f>IF(ISERROR(FIND('112'!$M$9,G4923,1)),"",IF((AND(FIND('112'!$M$9,G4923,1)&gt;=1,B4923='112'!$K$9,OR($N4923='112'!$I$6,$O4923='112'!$I$6))),"x",""))</f>
        <v/>
      </c>
      <c r="U4923" s="75" t="str">
        <f>IF(ISERROR(FIND('112'!$M$9,G4923,1)),"",IF((AND(LEFT(G4923,2)=LEFT('112'!$M$9,2),B4923&lt;'112'!$K$9,$N4923='112'!$I$6)),"x",""))</f>
        <v/>
      </c>
      <c r="V4923" s="75" t="str">
        <f>IF(ISERROR(FIND('112'!$M$9,G4923,1)),"",IF((AND(RIGHT(G4923,2)=RIGHT('112'!$M$9,2),B4923&lt;'112'!$K$9,$O4923='112'!$I$6)),"x",""))</f>
        <v/>
      </c>
      <c r="W4923" s="75" t="str">
        <f>IF(AND('341-CT'!$H$9=H4923,OR(LEFT(N4923,3)=$W$7,LEFT(O4923,3)=$W$7)),"x","")</f>
        <v/>
      </c>
      <c r="X4923" s="75" t="str">
        <f>IF(OR(TH!N5453=TH!$X$7,O4923=TH!$X$7),"x","")</f>
        <v/>
      </c>
      <c r="Y4923" s="75" t="str">
        <f>IF(AND(OR(N4923="131",O4923="131"),H4923='131-CT'!$H$9),"x","")</f>
        <v/>
      </c>
      <c r="Z4923" s="75"/>
      <c r="AA4923" s="75" t="str">
        <f>IF(AND(MONTH(E4923)='IN-NX'!$J$5,'IN-NX'!$D$7=D4923),"x","")</f>
        <v/>
      </c>
      <c r="AB4923" s="75" t="str">
        <f>IF(AND(OR(LEFT(TH!N5453,2)="15",LEFT(TH!O5453,2)="15"),LEFT(TH!O5453,3)&lt;&gt;"111",'152-CT'!$J$8=TH!F5453),"x","")</f>
        <v/>
      </c>
      <c r="AC4923" s="75" t="str">
        <f>IF(AND(OR(LEFT(TH!N5453,2)="15",LEFT(TH!O5453,2)="15"),TK!$E$7=TH!F5453),"x","")</f>
        <v/>
      </c>
      <c r="AD4923" s="75" t="str">
        <f>IF(AND(N4923="1521",MONTH(C4923)='BK-NL'!$M$11),"x","")</f>
        <v/>
      </c>
      <c r="AE4923"/>
      <c r="AF4923"/>
      <c r="AG4923"/>
    </row>
    <row r="4924" spans="1:33" s="304" customFormat="1" ht="16.5" customHeight="1">
      <c r="A4924" s="309" t="str">
        <f>IF(B4924&lt;&gt;"",IF(AND(B4924='IN-TC'!$S$4,OR(TH!N4914="1111",TH!O4914="1111")),TH!D4914,""),"")</f>
        <v/>
      </c>
      <c r="B4924" s="1242">
        <f t="shared" si="1338"/>
        <v>9</v>
      </c>
      <c r="C4924" s="292">
        <f t="shared" si="1339"/>
        <v>43000</v>
      </c>
      <c r="D4924" s="59" t="s">
        <v>902</v>
      </c>
      <c r="E4924" s="59">
        <v>43000</v>
      </c>
      <c r="F4924" s="62" t="s">
        <v>1307</v>
      </c>
      <c r="G4924" s="62" t="s">
        <v>747</v>
      </c>
      <c r="H4924" s="67" t="s">
        <v>835</v>
      </c>
      <c r="I4924" s="373"/>
      <c r="J4924" s="382"/>
      <c r="K4924" s="373"/>
      <c r="L4924" s="379"/>
      <c r="M4924" s="60">
        <v>90000</v>
      </c>
      <c r="N4924" s="61" t="s">
        <v>101</v>
      </c>
      <c r="O4924" s="61" t="s">
        <v>26</v>
      </c>
      <c r="P4924" s="75" t="str">
        <f>IF(AND('331-CT'!$E$7=TH!H5454,OR(N4924="331",O4924="331")),"x","")</f>
        <v/>
      </c>
      <c r="Q4924" s="75" t="str">
        <f>IF(AND(B4924='111'!$L$11,OR($N4924=$Q$7,$O4924=$Q$7)),"x","")</f>
        <v/>
      </c>
      <c r="R4924" s="75" t="str">
        <f>IF(AND($N4924=$Q$7,$B4924&lt;'111'!$L$11),"x","")</f>
        <v/>
      </c>
      <c r="S4924" s="75" t="str">
        <f>IF(AND($O4924=$Q$7,$B4924&lt;'111'!$L$11),"x","")</f>
        <v/>
      </c>
      <c r="T4924" s="75" t="str">
        <f>IF(ISERROR(FIND('112'!$M$9,G4924,1)),"",IF((AND(FIND('112'!$M$9,G4924,1)&gt;=1,B4924='112'!$K$9,OR($N4924='112'!$I$6,$O4924='112'!$I$6))),"x",""))</f>
        <v/>
      </c>
      <c r="U4924" s="75" t="str">
        <f>IF(ISERROR(FIND('112'!$M$9,G4924,1)),"",IF((AND(LEFT(G4924,2)=LEFT('112'!$M$9,2),B4924&lt;'112'!$K$9,$N4924='112'!$I$6)),"x",""))</f>
        <v/>
      </c>
      <c r="V4924" s="75" t="str">
        <f>IF(ISERROR(FIND('112'!$M$9,G4924,1)),"",IF((AND(RIGHT(G4924,2)=RIGHT('112'!$M$9,2),B4924&lt;'112'!$K$9,$O4924='112'!$I$6)),"x",""))</f>
        <v/>
      </c>
      <c r="W4924" s="75" t="str">
        <f>IF(AND('341-CT'!$H$9=H4924,OR(LEFT(N4924,3)=$W$7,LEFT(O4924,3)=$W$7)),"x","")</f>
        <v/>
      </c>
      <c r="X4924" s="75" t="str">
        <f>IF(OR(TH!N5454=TH!$X$7,O4924=TH!$X$7),"x","")</f>
        <v/>
      </c>
      <c r="Y4924" s="75" t="str">
        <f>IF(AND(OR(N4924="131",O4924="131"),H4924='131-CT'!$H$9),"x","")</f>
        <v/>
      </c>
      <c r="Z4924" s="75"/>
      <c r="AA4924" s="75" t="str">
        <f>IF(AND(MONTH(E4924)='IN-NX'!$J$5,'IN-NX'!$D$7=D4924),"x","")</f>
        <v/>
      </c>
      <c r="AB4924" s="75" t="str">
        <f>IF(AND(OR(LEFT(TH!N5454,2)="15",LEFT(TH!O5454,2)="15"),LEFT(TH!O5454,3)&lt;&gt;"111",'152-CT'!$J$8=TH!F5454),"x","")</f>
        <v/>
      </c>
      <c r="AC4924" s="75" t="str">
        <f>IF(AND(OR(LEFT(TH!N5454,2)="15",LEFT(TH!O5454,2)="15"),TK!$E$7=TH!F5454),"x","")</f>
        <v/>
      </c>
      <c r="AD4924" s="75" t="str">
        <f>IF(AND(N4924="1521",MONTH(C4924)='BK-NL'!$M$11),"x","")</f>
        <v/>
      </c>
      <c r="AE4924">
        <v>9</v>
      </c>
      <c r="AF4924"/>
      <c r="AG4924"/>
    </row>
    <row r="4925" spans="1:33" s="304" customFormat="1" ht="16.5" customHeight="1">
      <c r="A4925" s="309" t="str">
        <f>IF(B4925&lt;&gt;"",IF(AND(B4925='IN-TC'!$S$4,OR(TH!N4915="1111",TH!O4915="1111")),TH!D4915,""),"")</f>
        <v/>
      </c>
      <c r="B4925" s="1242">
        <f t="shared" si="1338"/>
        <v>9</v>
      </c>
      <c r="C4925" s="292">
        <f t="shared" si="1339"/>
        <v>43000</v>
      </c>
      <c r="D4925" s="59" t="s">
        <v>902</v>
      </c>
      <c r="E4925" s="59">
        <v>43000</v>
      </c>
      <c r="F4925" s="62" t="s">
        <v>2101</v>
      </c>
      <c r="G4925" s="62" t="s">
        <v>747</v>
      </c>
      <c r="H4925" s="67" t="s">
        <v>835</v>
      </c>
      <c r="I4925" s="373"/>
      <c r="J4925" s="382"/>
      <c r="K4925" s="373"/>
      <c r="L4925" s="379"/>
      <c r="M4925" s="60">
        <v>9000</v>
      </c>
      <c r="N4925" s="61" t="s">
        <v>9</v>
      </c>
      <c r="O4925" s="61" t="s">
        <v>26</v>
      </c>
      <c r="P4925" s="75" t="str">
        <f>IF(AND('331-CT'!$E$7=TH!H5455,OR(N4925="331",O4925="331")),"x","")</f>
        <v/>
      </c>
      <c r="Q4925" s="75" t="str">
        <f>IF(AND(B4925='111'!$L$11,OR($N4925=$Q$7,$O4925=$Q$7)),"x","")</f>
        <v/>
      </c>
      <c r="R4925" s="75" t="str">
        <f>IF(AND($N4925=$Q$7,$B4925&lt;'111'!$L$11),"x","")</f>
        <v/>
      </c>
      <c r="S4925" s="75" t="str">
        <f>IF(AND($O4925=$Q$7,$B4925&lt;'111'!$L$11),"x","")</f>
        <v/>
      </c>
      <c r="T4925" s="75" t="str">
        <f>IF(ISERROR(FIND('112'!$M$9,G4925,1)),"",IF((AND(FIND('112'!$M$9,G4925,1)&gt;=1,B4925='112'!$K$9,OR($N4925='112'!$I$6,$O4925='112'!$I$6))),"x",""))</f>
        <v/>
      </c>
      <c r="U4925" s="75" t="str">
        <f>IF(ISERROR(FIND('112'!$M$9,G4925,1)),"",IF((AND(LEFT(G4925,2)=LEFT('112'!$M$9,2),B4925&lt;'112'!$K$9,$N4925='112'!$I$6)),"x",""))</f>
        <v/>
      </c>
      <c r="V4925" s="75" t="str">
        <f>IF(ISERROR(FIND('112'!$M$9,G4925,1)),"",IF((AND(RIGHT(G4925,2)=RIGHT('112'!$M$9,2),B4925&lt;'112'!$K$9,$O4925='112'!$I$6)),"x",""))</f>
        <v/>
      </c>
      <c r="W4925" s="75" t="str">
        <f>IF(AND('341-CT'!$H$9=H4925,OR(LEFT(N4925,3)=$W$7,LEFT(O4925,3)=$W$7)),"x","")</f>
        <v/>
      </c>
      <c r="X4925" s="75" t="str">
        <f>IF(OR(TH!N5455=TH!$X$7,O4925=TH!$X$7),"x","")</f>
        <v/>
      </c>
      <c r="Y4925" s="75" t="str">
        <f>IF(AND(OR(N4925="131",O4925="131"),H4925='131-CT'!$H$9),"x","")</f>
        <v/>
      </c>
      <c r="Z4925" s="75"/>
      <c r="AA4925" s="75" t="str">
        <f>IF(AND(MONTH(E4925)='IN-NX'!$J$5,'IN-NX'!$D$7=D4925),"x","")</f>
        <v/>
      </c>
      <c r="AB4925" s="75" t="str">
        <f>IF(AND(OR(LEFT(TH!N5455,2)="15",LEFT(TH!O5455,2)="15"),LEFT(TH!O5455,3)&lt;&gt;"111",'152-CT'!$J$8=TH!F5455),"x","")</f>
        <v/>
      </c>
      <c r="AC4925" s="75" t="str">
        <f>IF(AND(OR(LEFT(TH!N5455,2)="15",LEFT(TH!O5455,2)="15"),TK!$E$7=TH!F5455),"x","")</f>
        <v/>
      </c>
      <c r="AD4925" s="75" t="str">
        <f>IF(AND(N4925="1521",MONTH(C4925)='BK-NL'!$M$11),"x","")</f>
        <v/>
      </c>
      <c r="AE4925">
        <v>9</v>
      </c>
      <c r="AF4925"/>
      <c r="AG4925"/>
    </row>
    <row r="4926" spans="1:33" s="304" customFormat="1" ht="16.5" customHeight="1">
      <c r="A4926" s="309" t="str">
        <f>IF(B4926&lt;&gt;"",IF(AND(B4926='IN-TC'!$S$4,OR(TH!N4916="1111",TH!O4916="1111")),TH!D4916,""),"")</f>
        <v/>
      </c>
      <c r="B4926" s="1242">
        <f t="shared" si="1338"/>
        <v>9</v>
      </c>
      <c r="C4926" s="292">
        <f t="shared" si="1339"/>
        <v>43000</v>
      </c>
      <c r="D4926" s="59" t="s">
        <v>902</v>
      </c>
      <c r="E4926" s="59">
        <v>43000</v>
      </c>
      <c r="F4926" s="62" t="s">
        <v>897</v>
      </c>
      <c r="G4926" s="62" t="s">
        <v>747</v>
      </c>
      <c r="H4926" s="311" t="s">
        <v>557</v>
      </c>
      <c r="I4926" s="373"/>
      <c r="J4926" s="382"/>
      <c r="K4926" s="373"/>
      <c r="L4926" s="379"/>
      <c r="M4926" s="60">
        <v>9600000</v>
      </c>
      <c r="N4926" s="61" t="s">
        <v>8</v>
      </c>
      <c r="O4926" s="61" t="s">
        <v>26</v>
      </c>
      <c r="P4926" s="75" t="str">
        <f>IF(AND('331-CT'!$E$7=TH!H5456,OR(N4926="331",O4926="331")),"x","")</f>
        <v/>
      </c>
      <c r="Q4926" s="75" t="str">
        <f>IF(AND(B4926='111'!$L$11,OR($N4926=$Q$7,$O4926=$Q$7)),"x","")</f>
        <v/>
      </c>
      <c r="R4926" s="75" t="str">
        <f>IF(AND($N4926=$Q$7,$B4926&lt;'111'!$L$11),"x","")</f>
        <v/>
      </c>
      <c r="S4926" s="75" t="str">
        <f>IF(AND($O4926=$Q$7,$B4926&lt;'111'!$L$11),"x","")</f>
        <v/>
      </c>
      <c r="T4926" s="75" t="str">
        <f>IF(ISERROR(FIND('112'!$M$9,G4926,1)),"",IF((AND(FIND('112'!$M$9,G4926,1)&gt;=1,B4926='112'!$K$9,OR($N4926='112'!$I$6,$O4926='112'!$I$6))),"x",""))</f>
        <v/>
      </c>
      <c r="U4926" s="75" t="str">
        <f>IF(ISERROR(FIND('112'!$M$9,G4926,1)),"",IF((AND(LEFT(G4926,2)=LEFT('112'!$M$9,2),B4926&lt;'112'!$K$9,$N4926='112'!$I$6)),"x",""))</f>
        <v/>
      </c>
      <c r="V4926" s="75" t="str">
        <f>IF(ISERROR(FIND('112'!$M$9,G4926,1)),"",IF((AND(RIGHT(G4926,2)=RIGHT('112'!$M$9,2),B4926&lt;'112'!$K$9,$O4926='112'!$I$6)),"x",""))</f>
        <v/>
      </c>
      <c r="W4926" s="75" t="str">
        <f>IF(AND('341-CT'!$H$9=H4926,OR(LEFT(N4926,3)=$W$7,LEFT(O4926,3)=$W$7)),"x","")</f>
        <v/>
      </c>
      <c r="X4926" s="75" t="str">
        <f>IF(OR(TH!N5456=TH!$X$7,O4926=TH!$X$7),"x","")</f>
        <v/>
      </c>
      <c r="Y4926" s="75" t="str">
        <f>IF(AND(OR(N4926="131",O4926="131"),H4926='131-CT'!$H$9),"x","")</f>
        <v/>
      </c>
      <c r="Z4926" s="75"/>
      <c r="AA4926" s="75" t="str">
        <f>IF(AND(MONTH(E4926)='IN-NX'!$J$5,'IN-NX'!$D$7=D4926),"x","")</f>
        <v/>
      </c>
      <c r="AB4926" s="75" t="str">
        <f>IF(AND(OR(LEFT(TH!N5456,2)="15",LEFT(TH!O5456,2)="15"),LEFT(TH!O5456,3)&lt;&gt;"111",'152-CT'!$J$8=TH!F5456),"x","")</f>
        <v/>
      </c>
      <c r="AC4926" s="75" t="str">
        <f>IF(AND(OR(LEFT(TH!N5456,2)="15",LEFT(TH!O5456,2)="15"),TK!$E$7=TH!F5456),"x","")</f>
        <v/>
      </c>
      <c r="AD4926" s="75" t="str">
        <f>IF(AND(N4926="1521",MONTH(C4926)='BK-NL'!$M$11),"x","")</f>
        <v/>
      </c>
      <c r="AE4926"/>
      <c r="AF4926"/>
      <c r="AG4926"/>
    </row>
    <row r="4927" spans="1:33" ht="16.5" customHeight="1">
      <c r="A4927" s="309" t="str">
        <f>IF(B4927&lt;&gt;"",IF(AND(B4927='IN-TC'!$S$4,OR(TH!N4917="1111",TH!O4917="1111")),TH!D4917,""),"")</f>
        <v/>
      </c>
      <c r="B4927" s="1242">
        <f t="shared" si="1338"/>
        <v>9</v>
      </c>
      <c r="C4927" s="292">
        <f t="shared" si="1339"/>
        <v>43000</v>
      </c>
      <c r="D4927" s="59" t="s">
        <v>902</v>
      </c>
      <c r="E4927" s="59">
        <v>43000</v>
      </c>
      <c r="F4927" s="62" t="s">
        <v>1307</v>
      </c>
      <c r="G4927" s="62" t="s">
        <v>747</v>
      </c>
      <c r="H4927" s="67" t="s">
        <v>835</v>
      </c>
      <c r="I4927" s="373"/>
      <c r="J4927" s="382"/>
      <c r="K4927" s="373"/>
      <c r="L4927" s="379"/>
      <c r="M4927" s="60">
        <v>10000</v>
      </c>
      <c r="N4927" s="61" t="s">
        <v>101</v>
      </c>
      <c r="O4927" s="61" t="s">
        <v>26</v>
      </c>
      <c r="P4927" s="75" t="str">
        <f>IF(AND('331-CT'!$E$7=TH!H5457,OR(N4927="331",O4927="331")),"x","")</f>
        <v/>
      </c>
      <c r="Q4927" s="75" t="str">
        <f>IF(AND(B4927='111'!$L$11,OR($N4927=$Q$7,$O4927=$Q$7)),"x","")</f>
        <v/>
      </c>
      <c r="R4927" s="75" t="str">
        <f>IF(AND($N4927=$Q$7,$B4927&lt;'111'!$L$11),"x","")</f>
        <v/>
      </c>
      <c r="S4927" s="75" t="str">
        <f>IF(AND($O4927=$Q$7,$B4927&lt;'111'!$L$11),"x","")</f>
        <v/>
      </c>
      <c r="T4927" s="75" t="str">
        <f>IF(ISERROR(FIND('112'!$M$9,G4927,1)),"",IF((AND(FIND('112'!$M$9,G4927,1)&gt;=1,B4927='112'!$K$9,OR($N4927='112'!$I$6,$O4927='112'!$I$6))),"x",""))</f>
        <v/>
      </c>
      <c r="U4927" s="75" t="str">
        <f>IF(ISERROR(FIND('112'!$M$9,G4927,1)),"",IF((AND(LEFT(G4927,2)=LEFT('112'!$M$9,2),B4927&lt;'112'!$K$9,$N4927='112'!$I$6)),"x",""))</f>
        <v/>
      </c>
      <c r="V4927" s="75" t="str">
        <f>IF(ISERROR(FIND('112'!$M$9,G4927,1)),"",IF((AND(RIGHT(G4927,2)=RIGHT('112'!$M$9,2),B4927&lt;'112'!$K$9,$O4927='112'!$I$6)),"x",""))</f>
        <v/>
      </c>
      <c r="W4927" s="75" t="str">
        <f>IF(AND('341-CT'!$H$9=H4927,OR(LEFT(N4927,3)=$W$7,LEFT(O4927,3)=$W$7)),"x","")</f>
        <v/>
      </c>
      <c r="X4927" s="75" t="str">
        <f>IF(OR(TH!N5457=TH!$X$7,O4927=TH!$X$7),"x","")</f>
        <v/>
      </c>
      <c r="Y4927" s="75" t="str">
        <f>IF(AND(OR(N4927="131",O4927="131"),H4927='131-CT'!$H$9),"x","")</f>
        <v/>
      </c>
      <c r="Z4927" s="75"/>
      <c r="AA4927" s="75" t="str">
        <f>IF(AND(MONTH(E4927)='IN-NX'!$J$5,'IN-NX'!$D$7=D4927),"x","")</f>
        <v/>
      </c>
      <c r="AB4927" s="75" t="str">
        <f>IF(AND(OR(LEFT(TH!N5457,2)="15",LEFT(TH!O5457,2)="15"),LEFT(TH!O5457,3)&lt;&gt;"111",'152-CT'!$J$8=TH!F5457),"x","")</f>
        <v/>
      </c>
      <c r="AC4927" s="75" t="str">
        <f>IF(AND(OR(LEFT(TH!N5457,2)="15",LEFT(TH!O5457,2)="15"),TK!$E$7=TH!F5457),"x","")</f>
        <v/>
      </c>
      <c r="AD4927" s="75" t="str">
        <f>IF(AND(N4927="1521",MONTH(C4927)='BK-NL'!$M$11),"x","")</f>
        <v/>
      </c>
      <c r="AE4927">
        <v>9</v>
      </c>
    </row>
    <row r="4928" spans="1:33" ht="16.5" customHeight="1">
      <c r="A4928" s="309" t="str">
        <f>IF(B4928&lt;&gt;"",IF(AND(B4928='IN-TC'!$S$4,OR(TH!N4918="1111",TH!O4918="1111")),TH!D4918,""),"")</f>
        <v/>
      </c>
      <c r="B4928" s="1242">
        <f t="shared" si="1338"/>
        <v>9</v>
      </c>
      <c r="C4928" s="292">
        <f t="shared" si="1339"/>
        <v>43000</v>
      </c>
      <c r="D4928" s="59" t="s">
        <v>902</v>
      </c>
      <c r="E4928" s="59">
        <v>43000</v>
      </c>
      <c r="F4928" s="62" t="s">
        <v>2101</v>
      </c>
      <c r="G4928" s="62" t="s">
        <v>747</v>
      </c>
      <c r="H4928" s="67" t="s">
        <v>835</v>
      </c>
      <c r="I4928" s="373"/>
      <c r="J4928" s="382"/>
      <c r="K4928" s="373"/>
      <c r="L4928" s="379"/>
      <c r="M4928" s="60">
        <v>1000</v>
      </c>
      <c r="N4928" s="61" t="s">
        <v>9</v>
      </c>
      <c r="O4928" s="61" t="s">
        <v>26</v>
      </c>
      <c r="P4928" s="75" t="str">
        <f>IF(AND('331-CT'!$E$7=TH!H5458,OR(N4928="331",O4928="331")),"x","")</f>
        <v/>
      </c>
      <c r="Q4928" s="75" t="str">
        <f>IF(AND(B4928='111'!$L$11,OR($N4928=$Q$7,$O4928=$Q$7)),"x","")</f>
        <v/>
      </c>
      <c r="R4928" s="75" t="str">
        <f>IF(AND($N4928=$Q$7,$B4928&lt;'111'!$L$11),"x","")</f>
        <v/>
      </c>
      <c r="S4928" s="75" t="str">
        <f>IF(AND($O4928=$Q$7,$B4928&lt;'111'!$L$11),"x","")</f>
        <v/>
      </c>
      <c r="T4928" s="75" t="str">
        <f>IF(ISERROR(FIND('112'!$M$9,G4928,1)),"",IF((AND(FIND('112'!$M$9,G4928,1)&gt;=1,B4928='112'!$K$9,OR($N4928='112'!$I$6,$O4928='112'!$I$6))),"x",""))</f>
        <v/>
      </c>
      <c r="U4928" s="75" t="str">
        <f>IF(ISERROR(FIND('112'!$M$9,G4928,1)),"",IF((AND(LEFT(G4928,2)=LEFT('112'!$M$9,2),B4928&lt;'112'!$K$9,$N4928='112'!$I$6)),"x",""))</f>
        <v/>
      </c>
      <c r="V4928" s="75" t="str">
        <f>IF(ISERROR(FIND('112'!$M$9,G4928,1)),"",IF((AND(RIGHT(G4928,2)=RIGHT('112'!$M$9,2),B4928&lt;'112'!$K$9,$O4928='112'!$I$6)),"x",""))</f>
        <v/>
      </c>
      <c r="W4928" s="75" t="str">
        <f>IF(AND('341-CT'!$H$9=H4928,OR(LEFT(N4928,3)=$W$7,LEFT(O4928,3)=$W$7)),"x","")</f>
        <v/>
      </c>
      <c r="X4928" s="75" t="str">
        <f>IF(OR(TH!N5458=TH!$X$7,O4928=TH!$X$7),"x","")</f>
        <v/>
      </c>
      <c r="Y4928" s="75" t="str">
        <f>IF(AND(OR(N4928="131",O4928="131"),H4928='131-CT'!$H$9),"x","")</f>
        <v/>
      </c>
      <c r="Z4928" s="75"/>
      <c r="AA4928" s="75" t="str">
        <f>IF(AND(MONTH(E4928)='IN-NX'!$J$5,'IN-NX'!$D$7=D4928),"x","")</f>
        <v/>
      </c>
      <c r="AB4928" s="75" t="str">
        <f>IF(AND(OR(LEFT(TH!N5458,2)="15",LEFT(TH!O5458,2)="15"),LEFT(TH!O5458,3)&lt;&gt;"111",'152-CT'!$J$8=TH!F5458),"x","")</f>
        <v/>
      </c>
      <c r="AC4928" s="75" t="str">
        <f>IF(AND(OR(LEFT(TH!N5458,2)="15",LEFT(TH!O5458,2)="15"),TK!$E$7=TH!F5458),"x","")</f>
        <v/>
      </c>
      <c r="AD4928" s="75" t="str">
        <f>IF(AND(N4928="1521",MONTH(C4928)='BK-NL'!$M$11),"x","")</f>
        <v/>
      </c>
      <c r="AE4928">
        <v>9</v>
      </c>
    </row>
    <row r="4929" spans="1:33" ht="16.5" customHeight="1">
      <c r="A4929" s="309" t="str">
        <f>IF(B4929&lt;&gt;"",IF(AND(B4929='IN-TC'!$S$4,OR(TH!N4919="1111",TH!O4919="1111")),TH!D4919,""),"")</f>
        <v/>
      </c>
      <c r="B4929" s="1242">
        <f t="shared" si="1338"/>
        <v>9</v>
      </c>
      <c r="C4929" s="292">
        <f t="shared" si="1339"/>
        <v>43000</v>
      </c>
      <c r="D4929" s="292"/>
      <c r="E4929" s="292">
        <v>43000</v>
      </c>
      <c r="F4929" s="67" t="s">
        <v>221</v>
      </c>
      <c r="G4929" s="925" t="s">
        <v>2285</v>
      </c>
      <c r="H4929" s="294" t="s">
        <v>556</v>
      </c>
      <c r="I4929" s="373"/>
      <c r="J4929" s="926"/>
      <c r="K4929" s="373"/>
      <c r="L4929" s="379"/>
      <c r="M4929" s="927">
        <v>10431818</v>
      </c>
      <c r="N4929" s="295" t="s">
        <v>272</v>
      </c>
      <c r="O4929" s="295" t="s">
        <v>63</v>
      </c>
      <c r="P4929" s="75" t="str">
        <f>IF(AND('331-CT'!$E$7=TH!H3905,OR(N4929="331",O4929="331")),"x","")</f>
        <v/>
      </c>
      <c r="Q4929" s="75" t="str">
        <f>IF(AND(B4929='111'!$L$11,OR($N4929=$Q$7,$O4929=$Q$7)),"x","")</f>
        <v/>
      </c>
      <c r="R4929" s="75" t="str">
        <f>IF(AND($N4929=$Q$7,$B4929&lt;'111'!$L$11),"x","")</f>
        <v/>
      </c>
      <c r="S4929" s="75" t="str">
        <f>IF(AND($O4929=$Q$7,$B4929&lt;'111'!$L$11),"x","")</f>
        <v>x</v>
      </c>
      <c r="T4929" s="75" t="str">
        <f>IF(ISERROR(FIND('112'!$M$9,G4929,1)),"",IF((AND(FIND('112'!$M$9,G4929,1)&gt;=1,B4929='112'!$K$9,OR($N4929='112'!$I$6,$O4929='112'!$I$6))),"x",""))</f>
        <v/>
      </c>
      <c r="U4929" s="75" t="str">
        <f>IF(ISERROR(FIND('112'!$M$9,G4929,1)),"",IF((AND(LEFT(G4929,2)=LEFT('112'!$M$9,2),B4929&lt;'112'!$K$9,$N4929='112'!$I$6)),"x",""))</f>
        <v/>
      </c>
      <c r="V4929" s="75" t="str">
        <f>IF(ISERROR(FIND('112'!$M$9,G4929,1)),"",IF((AND(RIGHT(G4929,2)=RIGHT('112'!$M$9,2),B4929&lt;'112'!$K$9,$O4929='112'!$I$6)),"x",""))</f>
        <v/>
      </c>
      <c r="W4929" s="75" t="str">
        <f>IF(AND('341-CT'!$H$9=H4929,OR(LEFT(N4929,3)=$W$7,LEFT(O4929,3)=$W$7)),"x","")</f>
        <v/>
      </c>
      <c r="X4929" s="75" t="str">
        <f>IF(OR(TH!N3905=TH!$X$7,O4929=TH!$X$7),"x","")</f>
        <v/>
      </c>
      <c r="Y4929" s="75" t="str">
        <f>IF(AND(OR(N4929="131",O4929="131"),H4929='131-CT'!$H$9),"x","")</f>
        <v/>
      </c>
      <c r="Z4929" s="75"/>
      <c r="AA4929" s="75" t="str">
        <f>IF(AND(MONTH(E4929)='IN-NX'!$J$5,'IN-NX'!$D$7=D4929),"x","")</f>
        <v/>
      </c>
      <c r="AB4929" s="75" t="str">
        <f>IF(AND(OR(LEFT(TH!N3905,2)="15",LEFT(TH!O3905,2)="15"),LEFT(TH!O3905,3)&lt;&gt;"111",'152-CT'!$J$8=TH!F3905),"x","")</f>
        <v/>
      </c>
      <c r="AC4929" s="75" t="str">
        <f>IF(AND(OR(LEFT(TH!N3905,2)="15",LEFT(TH!O3905,2)="15"),TK!$E$7=TH!F3905),"x","")</f>
        <v/>
      </c>
      <c r="AD4929" s="75" t="str">
        <f>IF(AND(N4929="1521",MONTH(C4929)='BK-NL'!$M$11),"x","")</f>
        <v/>
      </c>
      <c r="AE4929">
        <v>9</v>
      </c>
    </row>
    <row r="4930" spans="1:33" ht="16.5" customHeight="1">
      <c r="A4930" s="309" t="str">
        <f>IF(B4930&lt;&gt;"",IF(AND(B4930='IN-TC'!$S$4,OR(TH!N4920="1111",TH!O4920="1111")),TH!D4920,""),"")</f>
        <v/>
      </c>
      <c r="B4930" s="1242">
        <f t="shared" si="1338"/>
        <v>9</v>
      </c>
      <c r="C4930" s="292">
        <f t="shared" si="1339"/>
        <v>43000</v>
      </c>
      <c r="D4930" s="292"/>
      <c r="E4930" s="292">
        <v>43000</v>
      </c>
      <c r="F4930" s="67" t="s">
        <v>943</v>
      </c>
      <c r="G4930" s="925" t="s">
        <v>2285</v>
      </c>
      <c r="H4930" s="294" t="s">
        <v>556</v>
      </c>
      <c r="I4930" s="373"/>
      <c r="J4930" s="926"/>
      <c r="K4930" s="373"/>
      <c r="L4930" s="379"/>
      <c r="M4930" s="927">
        <v>1043182</v>
      </c>
      <c r="N4930" s="295" t="s">
        <v>9</v>
      </c>
      <c r="O4930" s="295" t="s">
        <v>63</v>
      </c>
      <c r="P4930" s="75" t="str">
        <f>IF(AND('331-CT'!$E$7=TH!H3906,OR(N4930="331",O4930="331")),"x","")</f>
        <v/>
      </c>
      <c r="Q4930" s="75" t="str">
        <f>IF(AND(B4930='111'!$L$11,OR($N4930=$Q$7,$O4930=$Q$7)),"x","")</f>
        <v/>
      </c>
      <c r="R4930" s="75" t="str">
        <f>IF(AND($N4930=$Q$7,$B4930&lt;'111'!$L$11),"x","")</f>
        <v/>
      </c>
      <c r="S4930" s="75" t="str">
        <f>IF(AND($O4930=$Q$7,$B4930&lt;'111'!$L$11),"x","")</f>
        <v>x</v>
      </c>
      <c r="T4930" s="75" t="str">
        <f>IF(ISERROR(FIND('112'!$M$9,G4930,1)),"",IF((AND(FIND('112'!$M$9,G4930,1)&gt;=1,B4930='112'!$K$9,OR($N4930='112'!$I$6,$O4930='112'!$I$6))),"x",""))</f>
        <v/>
      </c>
      <c r="U4930" s="75" t="str">
        <f>IF(ISERROR(FIND('112'!$M$9,G4930,1)),"",IF((AND(LEFT(G4930,2)=LEFT('112'!$M$9,2),B4930&lt;'112'!$K$9,$N4930='112'!$I$6)),"x",""))</f>
        <v/>
      </c>
      <c r="V4930" s="75" t="str">
        <f>IF(ISERROR(FIND('112'!$M$9,G4930,1)),"",IF((AND(RIGHT(G4930,2)=RIGHT('112'!$M$9,2),B4930&lt;'112'!$K$9,$O4930='112'!$I$6)),"x",""))</f>
        <v/>
      </c>
      <c r="W4930" s="75" t="str">
        <f>IF(AND('341-CT'!$H$9=H4930,OR(LEFT(N4930,3)=$W$7,LEFT(O4930,3)=$W$7)),"x","")</f>
        <v/>
      </c>
      <c r="X4930" s="75" t="str">
        <f>IF(OR(TH!N3906=TH!$X$7,O4930=TH!$X$7),"x","")</f>
        <v/>
      </c>
      <c r="Y4930" s="75" t="str">
        <f>IF(AND(OR(N4930="131",O4930="131"),H4930='131-CT'!$H$9),"x","")</f>
        <v/>
      </c>
      <c r="Z4930" s="75"/>
      <c r="AA4930" s="75" t="str">
        <f>IF(AND(MONTH(E4930)='IN-NX'!$J$5,'IN-NX'!$D$7=D4930),"x","")</f>
        <v/>
      </c>
      <c r="AB4930" s="75" t="str">
        <f>IF(AND(OR(LEFT(TH!N3906,2)="15",LEFT(TH!O3906,2)="15"),LEFT(TH!O3906,3)&lt;&gt;"111",'152-CT'!$J$8=TH!F3906),"x","")</f>
        <v/>
      </c>
      <c r="AC4930" s="75" t="str">
        <f>IF(AND(OR(LEFT(TH!N3906,2)="15",LEFT(TH!O3906,2)="15"),TK!$E$7=TH!F3906),"x","")</f>
        <v/>
      </c>
      <c r="AD4930" s="75" t="str">
        <f>IF(AND(N4930="1521",MONTH(C4930)='BK-NL'!$M$11),"x","")</f>
        <v/>
      </c>
      <c r="AE4930">
        <v>9</v>
      </c>
    </row>
    <row r="4931" spans="1:33" ht="16.5" customHeight="1">
      <c r="A4931" s="309" t="str">
        <f>IF(B4931&lt;&gt;"",IF(AND(B4931='IN-TC'!$S$4,OR(TH!N4921="1111",TH!O4921="1111")),TH!D4921,""),"")</f>
        <v/>
      </c>
      <c r="B4931" s="1242">
        <f t="shared" si="1338"/>
        <v>9</v>
      </c>
      <c r="C4931" s="292">
        <f t="shared" si="1339"/>
        <v>43000</v>
      </c>
      <c r="D4931" s="292"/>
      <c r="E4931" s="292">
        <v>43000</v>
      </c>
      <c r="F4931" s="67" t="s">
        <v>2269</v>
      </c>
      <c r="G4931" s="925" t="s">
        <v>2286</v>
      </c>
      <c r="H4931" s="294" t="s">
        <v>2272</v>
      </c>
      <c r="I4931" s="373"/>
      <c r="J4931" s="926"/>
      <c r="K4931" s="373"/>
      <c r="L4931" s="379"/>
      <c r="M4931" s="927">
        <v>6800000</v>
      </c>
      <c r="N4931" s="295" t="s">
        <v>101</v>
      </c>
      <c r="O4931" s="295" t="s">
        <v>63</v>
      </c>
      <c r="P4931" s="75" t="str">
        <f>IF(AND('331-CT'!$E$7=TH!H3907,OR(N4931="331",O4931="331")),"x","")</f>
        <v/>
      </c>
      <c r="Q4931" s="75" t="str">
        <f>IF(AND(B4931='111'!$L$11,OR($N4931=$Q$7,$O4931=$Q$7)),"x","")</f>
        <v/>
      </c>
      <c r="R4931" s="75" t="str">
        <f>IF(AND($N4931=$Q$7,$B4931&lt;'111'!$L$11),"x","")</f>
        <v/>
      </c>
      <c r="S4931" s="75" t="str">
        <f>IF(AND($O4931=$Q$7,$B4931&lt;'111'!$L$11),"x","")</f>
        <v>x</v>
      </c>
      <c r="T4931" s="75" t="str">
        <f>IF(ISERROR(FIND('112'!$M$9,G4931,1)),"",IF((AND(FIND('112'!$M$9,G4931,1)&gt;=1,B4931='112'!$K$9,OR($N4931='112'!$I$6,$O4931='112'!$I$6))),"x",""))</f>
        <v/>
      </c>
      <c r="U4931" s="75" t="str">
        <f>IF(ISERROR(FIND('112'!$M$9,G4931,1)),"",IF((AND(LEFT(G4931,2)=LEFT('112'!$M$9,2),B4931&lt;'112'!$K$9,$N4931='112'!$I$6)),"x",""))</f>
        <v/>
      </c>
      <c r="V4931" s="75" t="str">
        <f>IF(ISERROR(FIND('112'!$M$9,G4931,1)),"",IF((AND(RIGHT(G4931,2)=RIGHT('112'!$M$9,2),B4931&lt;'112'!$K$9,$O4931='112'!$I$6)),"x",""))</f>
        <v/>
      </c>
      <c r="W4931" s="75" t="str">
        <f>IF(AND('341-CT'!$H$9=H4931,OR(LEFT(N4931,3)=$W$7,LEFT(O4931,3)=$W$7)),"x","")</f>
        <v/>
      </c>
      <c r="X4931" s="75" t="str">
        <f>IF(OR(TH!N3907=TH!$X$7,O4931=TH!$X$7),"x","")</f>
        <v/>
      </c>
      <c r="Y4931" s="75" t="str">
        <f>IF(AND(OR(N4931="131",O4931="131"),H4931='131-CT'!$H$9),"x","")</f>
        <v/>
      </c>
      <c r="Z4931" s="75"/>
      <c r="AA4931" s="75" t="str">
        <f>IF(AND(MONTH(E4931)='IN-NX'!$J$5,'IN-NX'!$D$7=D4931),"x","")</f>
        <v/>
      </c>
      <c r="AB4931" s="75" t="str">
        <f>IF(AND(OR(LEFT(TH!N3907,2)="15",LEFT(TH!O3907,2)="15"),LEFT(TH!O3907,3)&lt;&gt;"111",'152-CT'!$J$8=TH!F3907),"x","")</f>
        <v/>
      </c>
      <c r="AC4931" s="75" t="str">
        <f>IF(AND(OR(LEFT(TH!N3907,2)="15",LEFT(TH!O3907,2)="15"),TK!$E$7=TH!F3907),"x","")</f>
        <v/>
      </c>
      <c r="AD4931" s="75" t="str">
        <f>IF(AND(N4931="1521",MONTH(C4931)='BK-NL'!$M$11),"x","")</f>
        <v/>
      </c>
      <c r="AE4931">
        <v>9</v>
      </c>
    </row>
    <row r="4932" spans="1:33" ht="16.5" customHeight="1">
      <c r="A4932" s="309" t="str">
        <f>IF(B4932&lt;&gt;"",IF(AND(B4932='IN-TC'!$S$4,OR(TH!N4922="1111",TH!O4922="1111")),TH!D4922,""),"")</f>
        <v/>
      </c>
      <c r="B4932" s="1242">
        <f t="shared" si="1338"/>
        <v>9</v>
      </c>
      <c r="C4932" s="292">
        <f t="shared" si="1339"/>
        <v>43000</v>
      </c>
      <c r="D4932" s="292"/>
      <c r="E4932" s="292">
        <v>43000</v>
      </c>
      <c r="F4932" s="67" t="s">
        <v>2270</v>
      </c>
      <c r="G4932" s="925" t="s">
        <v>2286</v>
      </c>
      <c r="H4932" s="294" t="s">
        <v>2272</v>
      </c>
      <c r="I4932" s="373"/>
      <c r="J4932" s="926"/>
      <c r="K4932" s="373"/>
      <c r="L4932" s="379"/>
      <c r="M4932" s="927">
        <v>680000</v>
      </c>
      <c r="N4932" s="295" t="s">
        <v>9</v>
      </c>
      <c r="O4932" s="295" t="s">
        <v>63</v>
      </c>
      <c r="P4932" s="75" t="str">
        <f>IF(AND('331-CT'!$E$7=TH!H3908,OR(N4932="331",O4932="331")),"x","")</f>
        <v/>
      </c>
      <c r="Q4932" s="75" t="str">
        <f>IF(AND(B4932='111'!$L$11,OR($N4932=$Q$7,$O4932=$Q$7)),"x","")</f>
        <v/>
      </c>
      <c r="R4932" s="75" t="str">
        <f>IF(AND($N4932=$Q$7,$B4932&lt;'111'!$L$11),"x","")</f>
        <v/>
      </c>
      <c r="S4932" s="75" t="str">
        <f>IF(AND($O4932=$Q$7,$B4932&lt;'111'!$L$11),"x","")</f>
        <v>x</v>
      </c>
      <c r="T4932" s="75" t="str">
        <f>IF(ISERROR(FIND('112'!$M$9,G4932,1)),"",IF((AND(FIND('112'!$M$9,G4932,1)&gt;=1,B4932='112'!$K$9,OR($N4932='112'!$I$6,$O4932='112'!$I$6))),"x",""))</f>
        <v/>
      </c>
      <c r="U4932" s="75" t="str">
        <f>IF(ISERROR(FIND('112'!$M$9,G4932,1)),"",IF((AND(LEFT(G4932,2)=LEFT('112'!$M$9,2),B4932&lt;'112'!$K$9,$N4932='112'!$I$6)),"x",""))</f>
        <v/>
      </c>
      <c r="V4932" s="75" t="str">
        <f>IF(ISERROR(FIND('112'!$M$9,G4932,1)),"",IF((AND(RIGHT(G4932,2)=RIGHT('112'!$M$9,2),B4932&lt;'112'!$K$9,$O4932='112'!$I$6)),"x",""))</f>
        <v/>
      </c>
      <c r="W4932" s="75" t="str">
        <f>IF(AND('341-CT'!$H$9=H4932,OR(LEFT(N4932,3)=$W$7,LEFT(O4932,3)=$W$7)),"x","")</f>
        <v/>
      </c>
      <c r="X4932" s="75" t="str">
        <f>IF(OR(TH!N3908=TH!$X$7,O4932=TH!$X$7),"x","")</f>
        <v/>
      </c>
      <c r="Y4932" s="75" t="str">
        <f>IF(AND(OR(N4932="131",O4932="131"),H4932='131-CT'!$H$9),"x","")</f>
        <v/>
      </c>
      <c r="Z4932" s="75"/>
      <c r="AA4932" s="75" t="str">
        <f>IF(AND(MONTH(E4932)='IN-NX'!$J$5,'IN-NX'!$D$7=D4932),"x","")</f>
        <v/>
      </c>
      <c r="AB4932" s="75" t="str">
        <f>IF(AND(OR(LEFT(TH!N3908,2)="15",LEFT(TH!O3908,2)="15"),LEFT(TH!O3908,3)&lt;&gt;"111",'152-CT'!$J$8=TH!F3908),"x","")</f>
        <v/>
      </c>
      <c r="AC4932" s="75" t="str">
        <f>IF(AND(OR(LEFT(TH!N3908,2)="15",LEFT(TH!O3908,2)="15"),TK!$E$7=TH!F3908),"x","")</f>
        <v/>
      </c>
      <c r="AD4932" s="75" t="str">
        <f>IF(AND(N4932="1521",MONTH(C4932)='BK-NL'!$M$11),"x","")</f>
        <v/>
      </c>
      <c r="AE4932">
        <v>9</v>
      </c>
    </row>
    <row r="4933" spans="1:33" ht="16.5" customHeight="1">
      <c r="A4933" s="309" t="str">
        <f>IF(B4933&lt;&gt;"",IF(AND(B4933='IN-TC'!$S$4,OR(TH!N4923="1111",TH!O4923="1111")),TH!D4923,""),"")</f>
        <v/>
      </c>
      <c r="B4933" s="1242">
        <f t="shared" si="1338"/>
        <v>9</v>
      </c>
      <c r="C4933" s="292">
        <f t="shared" si="1339"/>
        <v>43000</v>
      </c>
      <c r="D4933" s="292"/>
      <c r="E4933" s="292">
        <v>43000</v>
      </c>
      <c r="F4933" s="67" t="s">
        <v>1165</v>
      </c>
      <c r="G4933" s="925" t="s">
        <v>2175</v>
      </c>
      <c r="H4933" s="294" t="s">
        <v>1684</v>
      </c>
      <c r="I4933" s="373"/>
      <c r="J4933" s="926"/>
      <c r="K4933" s="373"/>
      <c r="L4933" s="379"/>
      <c r="M4933" s="927">
        <v>19762050</v>
      </c>
      <c r="N4933" s="295" t="s">
        <v>8</v>
      </c>
      <c r="O4933" s="295" t="s">
        <v>63</v>
      </c>
      <c r="P4933" s="75" t="str">
        <f>IF(AND('331-CT'!$E$7=TH!H3909,OR(N4933="331",O4933="331")),"x","")</f>
        <v/>
      </c>
      <c r="Q4933" s="75" t="str">
        <f>IF(AND(B4933='111'!$L$11,OR($N4933=$Q$7,$O4933=$Q$7)),"x","")</f>
        <v/>
      </c>
      <c r="R4933" s="75" t="str">
        <f>IF(AND($N4933=$Q$7,$B4933&lt;'111'!$L$11),"x","")</f>
        <v/>
      </c>
      <c r="S4933" s="75" t="str">
        <f>IF(AND($O4933=$Q$7,$B4933&lt;'111'!$L$11),"x","")</f>
        <v>x</v>
      </c>
      <c r="T4933" s="75" t="str">
        <f>IF(ISERROR(FIND('112'!$M$9,G4933,1)),"",IF((AND(FIND('112'!$M$9,G4933,1)&gt;=1,B4933='112'!$K$9,OR($N4933='112'!$I$6,$O4933='112'!$I$6))),"x",""))</f>
        <v/>
      </c>
      <c r="U4933" s="75" t="str">
        <f>IF(ISERROR(FIND('112'!$M$9,G4933,1)),"",IF((AND(LEFT(G4933,2)=LEFT('112'!$M$9,2),B4933&lt;'112'!$K$9,$N4933='112'!$I$6)),"x",""))</f>
        <v/>
      </c>
      <c r="V4933" s="75" t="str">
        <f>IF(ISERROR(FIND('112'!$M$9,G4933,1)),"",IF((AND(RIGHT(G4933,2)=RIGHT('112'!$M$9,2),B4933&lt;'112'!$K$9,$O4933='112'!$I$6)),"x",""))</f>
        <v/>
      </c>
      <c r="W4933" s="75" t="str">
        <f>IF(AND('341-CT'!$H$9=H4933,OR(LEFT(N4933,3)=$W$7,LEFT(O4933,3)=$W$7)),"x","")</f>
        <v/>
      </c>
      <c r="X4933" s="75" t="str">
        <f>IF(OR(TH!N3909=TH!$X$7,O4933=TH!$X$7),"x","")</f>
        <v/>
      </c>
      <c r="Y4933" s="75" t="str">
        <f>IF(AND(OR(N4933="131",O4933="131"),H4933='131-CT'!$H$9),"x","")</f>
        <v/>
      </c>
      <c r="Z4933" s="75"/>
      <c r="AA4933" s="75" t="str">
        <f>IF(AND(MONTH(E4933)='IN-NX'!$J$5,'IN-NX'!$D$7=D4933),"x","")</f>
        <v/>
      </c>
      <c r="AB4933" s="75" t="str">
        <f>IF(AND(OR(LEFT(TH!N3909,2)="15",LEFT(TH!O3909,2)="15"),LEFT(TH!O3909,3)&lt;&gt;"111",'152-CT'!$J$8=TH!F3909),"x","")</f>
        <v/>
      </c>
      <c r="AC4933" s="75" t="str">
        <f>IF(AND(OR(LEFT(TH!N3909,2)="15",LEFT(TH!O3909,2)="15"),TK!$E$7=TH!F3909),"x","")</f>
        <v/>
      </c>
      <c r="AD4933" s="75" t="str">
        <f>IF(AND(N4933="1521",MONTH(C4933)='BK-NL'!$M$11),"x","")</f>
        <v/>
      </c>
    </row>
    <row r="4934" spans="1:33" ht="16.5" customHeight="1">
      <c r="A4934" s="309" t="str">
        <f>IF(B4934&lt;&gt;"",IF(AND(B4934='IN-TC'!$S$4,OR(TH!N4924="1111",TH!O4924="1111")),TH!D4924,""),"")</f>
        <v/>
      </c>
      <c r="B4934" s="1242">
        <f t="shared" si="1338"/>
        <v>9</v>
      </c>
      <c r="C4934" s="292">
        <f t="shared" si="1339"/>
        <v>43000</v>
      </c>
      <c r="D4934" s="292"/>
      <c r="E4934" s="292">
        <v>43000</v>
      </c>
      <c r="F4934" s="432" t="s">
        <v>1420</v>
      </c>
      <c r="G4934" s="925" t="s">
        <v>2128</v>
      </c>
      <c r="H4934" s="925" t="s">
        <v>1422</v>
      </c>
      <c r="I4934" s="373"/>
      <c r="J4934" s="379"/>
      <c r="K4934" s="373"/>
      <c r="L4934" s="379"/>
      <c r="M4934" s="927">
        <v>34035000</v>
      </c>
      <c r="N4934" s="295" t="s">
        <v>748</v>
      </c>
      <c r="O4934" s="295" t="s">
        <v>63</v>
      </c>
      <c r="P4934" s="75" t="str">
        <f>IF(AND('331-CT'!$E$7=TH!H3910,OR(N4934="331",O4934="331")),"x","")</f>
        <v/>
      </c>
      <c r="Q4934" s="75" t="str">
        <f>IF(AND(B4934='111'!$L$11,OR($N4934=$Q$7,$O4934=$Q$7)),"x","")</f>
        <v/>
      </c>
      <c r="R4934" s="75" t="str">
        <f>IF(AND($N4934=$Q$7,$B4934&lt;'111'!$L$11),"x","")</f>
        <v/>
      </c>
      <c r="S4934" s="75" t="str">
        <f>IF(AND($O4934=$Q$7,$B4934&lt;'111'!$L$11),"x","")</f>
        <v>x</v>
      </c>
      <c r="T4934" s="75" t="str">
        <f>IF(ISERROR(FIND('112'!$M$9,G4934,1)),"",IF((AND(FIND('112'!$M$9,G4934,1)&gt;=1,B4934='112'!$K$9,OR($N4934='112'!$I$6,$O4934='112'!$I$6))),"x",""))</f>
        <v/>
      </c>
      <c r="U4934" s="75" t="str">
        <f>IF(ISERROR(FIND('112'!$M$9,G4934,1)),"",IF((AND(LEFT(G4934,2)=LEFT('112'!$M$9,2),B4934&lt;'112'!$K$9,$N4934='112'!$I$6)),"x",""))</f>
        <v/>
      </c>
      <c r="V4934" s="75" t="str">
        <f>IF(ISERROR(FIND('112'!$M$9,G4934,1)),"",IF((AND(RIGHT(G4934,2)=RIGHT('112'!$M$9,2),B4934&lt;'112'!$K$9,$O4934='112'!$I$6)),"x",""))</f>
        <v/>
      </c>
      <c r="W4934" s="75" t="str">
        <f>IF(AND('341-CT'!$H$9=H4934,OR(LEFT(N4934,3)=$W$7,LEFT(O4934,3)=$W$7)),"x","")</f>
        <v/>
      </c>
      <c r="X4934" s="75" t="str">
        <f>IF(OR(TH!N3910=TH!$X$7,O4934=TH!$X$7),"x","")</f>
        <v/>
      </c>
      <c r="Y4934" s="75" t="str">
        <f>IF(AND(OR(N4934="131",O4934="131"),H4934='131-CT'!$H$9),"x","")</f>
        <v/>
      </c>
      <c r="Z4934" s="75"/>
      <c r="AA4934" s="75" t="str">
        <f>IF(AND(MONTH(E4934)='IN-NX'!$J$5,'IN-NX'!$D$7=D4934),"x","")</f>
        <v/>
      </c>
      <c r="AB4934" s="75" t="str">
        <f>IF(AND(OR(LEFT(TH!N3910,2)="15",LEFT(TH!O3910,2)="15"),LEFT(TH!O3910,3)&lt;&gt;"111",'152-CT'!$J$8=TH!F3910),"x","")</f>
        <v/>
      </c>
      <c r="AC4934" s="75" t="str">
        <f>IF(AND(OR(LEFT(TH!N3910,2)="15",LEFT(TH!O3910,2)="15"),TK!$E$7=TH!F3910),"x","")</f>
        <v/>
      </c>
      <c r="AD4934" s="75" t="str">
        <f>IF(AND(N4934="1521",MONTH(C4934)='BK-NL'!$M$11),"x","")</f>
        <v/>
      </c>
    </row>
    <row r="4935" spans="1:33" ht="16.5" customHeight="1">
      <c r="A4935" s="309" t="str">
        <f>IF(B4935&lt;&gt;"",IF(AND(B4935='IN-TC'!$S$4,OR(TH!N4925="1111",TH!O4925="1111")),TH!D4925,""),"")</f>
        <v/>
      </c>
      <c r="B4935" s="1242">
        <f t="shared" si="1338"/>
        <v>9</v>
      </c>
      <c r="C4935" s="292">
        <f t="shared" si="1339"/>
        <v>43000</v>
      </c>
      <c r="D4935" s="292"/>
      <c r="E4935" s="292">
        <v>43000</v>
      </c>
      <c r="F4935" s="67" t="s">
        <v>2567</v>
      </c>
      <c r="G4935" s="925"/>
      <c r="H4935" s="294" t="s">
        <v>1333</v>
      </c>
      <c r="I4935" s="373"/>
      <c r="J4935" s="926"/>
      <c r="K4935" s="373"/>
      <c r="L4935" s="379"/>
      <c r="M4935" s="927">
        <v>6181818</v>
      </c>
      <c r="N4935" s="295" t="s">
        <v>539</v>
      </c>
      <c r="O4935" s="295" t="s">
        <v>63</v>
      </c>
      <c r="P4935" s="75" t="str">
        <f>IF(AND('331-CT'!$E$7=TH!H3911,OR(N4935="331",O4935="331")),"x","")</f>
        <v/>
      </c>
      <c r="Q4935" s="75" t="str">
        <f>IF(AND(B4935='111'!$L$11,OR($N4935=$Q$7,$O4935=$Q$7)),"x","")</f>
        <v/>
      </c>
      <c r="R4935" s="75" t="str">
        <f>IF(AND($N4935=$Q$7,$B4935&lt;'111'!$L$11),"x","")</f>
        <v/>
      </c>
      <c r="S4935" s="75" t="str">
        <f>IF(AND($O4935=$Q$7,$B4935&lt;'111'!$L$11),"x","")</f>
        <v>x</v>
      </c>
      <c r="T4935" s="75" t="str">
        <f>IF(ISERROR(FIND('112'!$M$9,G4935,1)),"",IF((AND(FIND('112'!$M$9,G4935,1)&gt;=1,B4935='112'!$K$9,OR($N4935='112'!$I$6,$O4935='112'!$I$6))),"x",""))</f>
        <v/>
      </c>
      <c r="U4935" s="75" t="str">
        <f>IF(ISERROR(FIND('112'!$M$9,G4935,1)),"",IF((AND(LEFT(G4935,2)=LEFT('112'!$M$9,2),B4935&lt;'112'!$K$9,$N4935='112'!$I$6)),"x",""))</f>
        <v/>
      </c>
      <c r="V4935" s="75" t="str">
        <f>IF(ISERROR(FIND('112'!$M$9,G4935,1)),"",IF((AND(RIGHT(G4935,2)=RIGHT('112'!$M$9,2),B4935&lt;'112'!$K$9,$O4935='112'!$I$6)),"x",""))</f>
        <v/>
      </c>
      <c r="W4935" s="75" t="str">
        <f>IF(AND('341-CT'!$H$9=H4935,OR(LEFT(N4935,3)=$W$7,LEFT(O4935,3)=$W$7)),"x","")</f>
        <v/>
      </c>
      <c r="X4935" s="75" t="str">
        <f>IF(OR(TH!N3911=TH!$X$7,O4935=TH!$X$7),"x","")</f>
        <v/>
      </c>
      <c r="Y4935" s="75" t="str">
        <f>IF(AND(OR(N4935="131",O4935="131"),H4935='131-CT'!$H$9),"x","")</f>
        <v/>
      </c>
      <c r="Z4935" s="75"/>
      <c r="AA4935" s="75" t="str">
        <f>IF(AND(MONTH(E4935)='IN-NX'!$J$5,'IN-NX'!$D$7=D4935),"x","")</f>
        <v/>
      </c>
      <c r="AB4935" s="75" t="str">
        <f>IF(AND(OR(LEFT(TH!N3911,2)="15",LEFT(TH!O3911,2)="15"),LEFT(TH!O3911,3)&lt;&gt;"111",'152-CT'!$J$8=TH!F3911),"x","")</f>
        <v/>
      </c>
      <c r="AC4935" s="75" t="str">
        <f>IF(AND(OR(LEFT(TH!N3911,2)="15",LEFT(TH!O3911,2)="15"),TK!$E$7=TH!F3911),"x","")</f>
        <v/>
      </c>
      <c r="AD4935" s="75" t="str">
        <f>IF(AND(N4935="1521",MONTH(C4935)='BK-NL'!$M$11),"x","")</f>
        <v/>
      </c>
      <c r="AE4935">
        <v>10</v>
      </c>
    </row>
    <row r="4936" spans="1:33" ht="16.5" customHeight="1">
      <c r="A4936" s="309" t="str">
        <f>IF(B4936&lt;&gt;"",IF(AND(B4936='IN-TC'!$S$4,OR(TH!N4926="1111",TH!O4926="1111")),TH!D4926,""),"")</f>
        <v/>
      </c>
      <c r="B4936" s="1242">
        <f t="shared" si="1338"/>
        <v>9</v>
      </c>
      <c r="C4936" s="292">
        <f t="shared" si="1339"/>
        <v>43000</v>
      </c>
      <c r="D4936" s="292"/>
      <c r="E4936" s="292">
        <v>43000</v>
      </c>
      <c r="F4936" s="67" t="s">
        <v>2568</v>
      </c>
      <c r="G4936" s="925"/>
      <c r="H4936" s="294" t="s">
        <v>1333</v>
      </c>
      <c r="I4936" s="373"/>
      <c r="J4936" s="926"/>
      <c r="K4936" s="373"/>
      <c r="L4936" s="379"/>
      <c r="M4936" s="927">
        <v>618182</v>
      </c>
      <c r="N4936" s="295" t="s">
        <v>9</v>
      </c>
      <c r="O4936" s="295" t="s">
        <v>63</v>
      </c>
      <c r="P4936" s="75" t="str">
        <f>IF(AND('331-CT'!$E$7=TH!H3912,OR(N4936="331",O4936="331")),"x","")</f>
        <v/>
      </c>
      <c r="Q4936" s="75" t="str">
        <f>IF(AND(B4936='111'!$L$11,OR($N4936=$Q$7,$O4936=$Q$7)),"x","")</f>
        <v/>
      </c>
      <c r="R4936" s="75" t="str">
        <f>IF(AND($N4936=$Q$7,$B4936&lt;'111'!$L$11),"x","")</f>
        <v/>
      </c>
      <c r="S4936" s="75" t="str">
        <f>IF(AND($O4936=$Q$7,$B4936&lt;'111'!$L$11),"x","")</f>
        <v>x</v>
      </c>
      <c r="T4936" s="75" t="str">
        <f>IF(ISERROR(FIND('112'!$M$9,G4936,1)),"",IF((AND(FIND('112'!$M$9,G4936,1)&gt;=1,B4936='112'!$K$9,OR($N4936='112'!$I$6,$O4936='112'!$I$6))),"x",""))</f>
        <v/>
      </c>
      <c r="U4936" s="75" t="str">
        <f>IF(ISERROR(FIND('112'!$M$9,G4936,1)),"",IF((AND(LEFT(G4936,2)=LEFT('112'!$M$9,2),B4936&lt;'112'!$K$9,$N4936='112'!$I$6)),"x",""))</f>
        <v/>
      </c>
      <c r="V4936" s="75" t="str">
        <f>IF(ISERROR(FIND('112'!$M$9,G4936,1)),"",IF((AND(RIGHT(G4936,2)=RIGHT('112'!$M$9,2),B4936&lt;'112'!$K$9,$O4936='112'!$I$6)),"x",""))</f>
        <v/>
      </c>
      <c r="W4936" s="75" t="str">
        <f>IF(AND('341-CT'!$H$9=H4936,OR(LEFT(N4936,3)=$W$7,LEFT(O4936,3)=$W$7)),"x","")</f>
        <v/>
      </c>
      <c r="X4936" s="75" t="str">
        <f>IF(OR(TH!N3912=TH!$X$7,O4936=TH!$X$7),"x","")</f>
        <v/>
      </c>
      <c r="Y4936" s="75" t="str">
        <f>IF(AND(OR(N4936="131",O4936="131"),H4936='131-CT'!$H$9),"x","")</f>
        <v/>
      </c>
      <c r="Z4936" s="75"/>
      <c r="AA4936" s="75" t="str">
        <f>IF(AND(MONTH(E4936)='IN-NX'!$J$5,'IN-NX'!$D$7=D4936),"x","")</f>
        <v/>
      </c>
      <c r="AB4936" s="75" t="str">
        <f>IF(AND(OR(LEFT(TH!N3912,2)="15",LEFT(TH!O3912,2)="15"),LEFT(TH!O3912,3)&lt;&gt;"111",'152-CT'!$J$8=TH!F3912),"x","")</f>
        <v/>
      </c>
      <c r="AC4936" s="75" t="str">
        <f>IF(AND(OR(LEFT(TH!N3912,2)="15",LEFT(TH!O3912,2)="15"),TK!$E$7=TH!F3912),"x","")</f>
        <v/>
      </c>
      <c r="AD4936" s="75" t="str">
        <f>IF(AND(N4936="1521",MONTH(C4936)='BK-NL'!$M$11),"x","")</f>
        <v/>
      </c>
      <c r="AE4936">
        <v>10</v>
      </c>
    </row>
    <row r="4937" spans="1:33" ht="16.5" customHeight="1">
      <c r="A4937" s="309" t="str">
        <f>IF(B4937&lt;&gt;"",IF(AND(B4937='IN-TC'!$S$4,OR(TH!N4927="1111",TH!O4927="1111")),TH!D4927,""),"")</f>
        <v/>
      </c>
      <c r="B4937" s="1242">
        <f t="shared" si="1338"/>
        <v>9</v>
      </c>
      <c r="C4937" s="292">
        <f t="shared" si="1339"/>
        <v>43001</v>
      </c>
      <c r="D4937" s="292"/>
      <c r="E4937" s="292">
        <v>43001</v>
      </c>
      <c r="F4937" s="67" t="s">
        <v>2574</v>
      </c>
      <c r="G4937" s="925" t="s">
        <v>2576</v>
      </c>
      <c r="H4937" s="294" t="s">
        <v>1497</v>
      </c>
      <c r="I4937" s="373"/>
      <c r="J4937" s="926"/>
      <c r="K4937" s="373"/>
      <c r="L4937" s="379"/>
      <c r="M4937" s="927">
        <v>81818</v>
      </c>
      <c r="N4937" s="295" t="s">
        <v>539</v>
      </c>
      <c r="O4937" s="295" t="s">
        <v>63</v>
      </c>
      <c r="P4937" s="75" t="str">
        <f>IF(AND('331-CT'!$E$7=TH!H3913,OR(N4937="331",O4937="331")),"x","")</f>
        <v/>
      </c>
      <c r="Q4937" s="75" t="str">
        <f>IF(AND(B4937='111'!$L$11,OR($N4937=$Q$7,$O4937=$Q$7)),"x","")</f>
        <v/>
      </c>
      <c r="R4937" s="75" t="str">
        <f>IF(AND($N4937=$Q$7,$B4937&lt;'111'!$L$11),"x","")</f>
        <v/>
      </c>
      <c r="S4937" s="75" t="str">
        <f>IF(AND($O4937=$Q$7,$B4937&lt;'111'!$L$11),"x","")</f>
        <v>x</v>
      </c>
      <c r="T4937" s="75" t="str">
        <f>IF(ISERROR(FIND('112'!$M$9,G4937,1)),"",IF((AND(FIND('112'!$M$9,G4937,1)&gt;=1,B4937='112'!$K$9,OR($N4937='112'!$I$6,$O4937='112'!$I$6))),"x",""))</f>
        <v/>
      </c>
      <c r="U4937" s="75" t="str">
        <f>IF(ISERROR(FIND('112'!$M$9,G4937,1)),"",IF((AND(LEFT(G4937,2)=LEFT('112'!$M$9,2),B4937&lt;'112'!$K$9,$N4937='112'!$I$6)),"x",""))</f>
        <v/>
      </c>
      <c r="V4937" s="75" t="str">
        <f>IF(ISERROR(FIND('112'!$M$9,G4937,1)),"",IF((AND(RIGHT(G4937,2)=RIGHT('112'!$M$9,2),B4937&lt;'112'!$K$9,$O4937='112'!$I$6)),"x",""))</f>
        <v/>
      </c>
      <c r="W4937" s="75" t="str">
        <f>IF(AND('341-CT'!$H$9=H4937,OR(LEFT(N4937,3)=$W$7,LEFT(O4937,3)=$W$7)),"x","")</f>
        <v/>
      </c>
      <c r="X4937" s="75" t="str">
        <f>IF(OR(TH!N3913=TH!$X$7,O4937=TH!$X$7),"x","")</f>
        <v/>
      </c>
      <c r="Y4937" s="75" t="str">
        <f>IF(AND(OR(N4937="131",O4937="131"),H4937='131-CT'!$H$9),"x","")</f>
        <v/>
      </c>
      <c r="Z4937" s="75"/>
      <c r="AA4937" s="75" t="str">
        <f>IF(AND(MONTH(E4937)='IN-NX'!$J$5,'IN-NX'!$D$7=D4937),"x","")</f>
        <v/>
      </c>
      <c r="AB4937" s="75" t="str">
        <f>IF(AND(OR(LEFT(TH!N3913,2)="15",LEFT(TH!O3913,2)="15"),LEFT(TH!O3913,3)&lt;&gt;"111",'152-CT'!$J$8=TH!F3913),"x","")</f>
        <v/>
      </c>
      <c r="AC4937" s="75" t="str">
        <f>IF(AND(OR(LEFT(TH!N3913,2)="15",LEFT(TH!O3913,2)="15"),TK!$E$7=TH!F3913),"x","")</f>
        <v/>
      </c>
      <c r="AD4937" s="75" t="str">
        <f>IF(AND(N4937="1521",MONTH(C4937)='BK-NL'!$M$11),"x","")</f>
        <v/>
      </c>
      <c r="AE4937">
        <v>10</v>
      </c>
    </row>
    <row r="4938" spans="1:33" s="1053" customFormat="1" ht="16.5" customHeight="1">
      <c r="A4938" s="309" t="str">
        <f>IF(B4938&lt;&gt;"",IF(AND(B4938='IN-TC'!$S$4,OR(TH!N4928="1111",TH!O4928="1111")),TH!D4928,""),"")</f>
        <v/>
      </c>
      <c r="B4938" s="1242">
        <f t="shared" si="1338"/>
        <v>9</v>
      </c>
      <c r="C4938" s="292">
        <f t="shared" si="1339"/>
        <v>43001</v>
      </c>
      <c r="D4938" s="292"/>
      <c r="E4938" s="292">
        <v>43001</v>
      </c>
      <c r="F4938" s="67" t="s">
        <v>2575</v>
      </c>
      <c r="G4938" s="925" t="s">
        <v>2576</v>
      </c>
      <c r="H4938" s="294" t="s">
        <v>1497</v>
      </c>
      <c r="I4938" s="373"/>
      <c r="J4938" s="926"/>
      <c r="K4938" s="373"/>
      <c r="L4938" s="379"/>
      <c r="M4938" s="927">
        <v>8182</v>
      </c>
      <c r="N4938" s="295" t="s">
        <v>9</v>
      </c>
      <c r="O4938" s="295" t="s">
        <v>63</v>
      </c>
      <c r="P4938" s="75" t="str">
        <f>IF(AND('331-CT'!$E$7=TH!H3914,OR(N4938="331",O4938="331")),"x","")</f>
        <v/>
      </c>
      <c r="Q4938" s="75" t="str">
        <f>IF(AND(B4938='111'!$L$11,OR($N4938=$Q$7,$O4938=$Q$7)),"x","")</f>
        <v/>
      </c>
      <c r="R4938" s="75" t="str">
        <f>IF(AND($N4938=$Q$7,$B4938&lt;'111'!$L$11),"x","")</f>
        <v/>
      </c>
      <c r="S4938" s="75" t="str">
        <f>IF(AND($O4938=$Q$7,$B4938&lt;'111'!$L$11),"x","")</f>
        <v>x</v>
      </c>
      <c r="T4938" s="75" t="str">
        <f>IF(ISERROR(FIND('112'!$M$9,G4938,1)),"",IF((AND(FIND('112'!$M$9,G4938,1)&gt;=1,B4938='112'!$K$9,OR($N4938='112'!$I$6,$O4938='112'!$I$6))),"x",""))</f>
        <v/>
      </c>
      <c r="U4938" s="75" t="str">
        <f>IF(ISERROR(FIND('112'!$M$9,G4938,1)),"",IF((AND(LEFT(G4938,2)=LEFT('112'!$M$9,2),B4938&lt;'112'!$K$9,$N4938='112'!$I$6)),"x",""))</f>
        <v/>
      </c>
      <c r="V4938" s="75" t="str">
        <f>IF(ISERROR(FIND('112'!$M$9,G4938,1)),"",IF((AND(RIGHT(G4938,2)=RIGHT('112'!$M$9,2),B4938&lt;'112'!$K$9,$O4938='112'!$I$6)),"x",""))</f>
        <v/>
      </c>
      <c r="W4938" s="75" t="str">
        <f>IF(AND('341-CT'!$H$9=H4938,OR(LEFT(N4938,3)=$W$7,LEFT(O4938,3)=$W$7)),"x","")</f>
        <v/>
      </c>
      <c r="X4938" s="75" t="str">
        <f>IF(OR(TH!N3914=TH!$X$7,O4938=TH!$X$7),"x","")</f>
        <v/>
      </c>
      <c r="Y4938" s="75" t="str">
        <f>IF(AND(OR(N4938="131",O4938="131"),H4938='131-CT'!$H$9),"x","")</f>
        <v/>
      </c>
      <c r="Z4938" s="75"/>
      <c r="AA4938" s="75" t="str">
        <f>IF(AND(MONTH(E4938)='IN-NX'!$J$5,'IN-NX'!$D$7=D4938),"x","")</f>
        <v/>
      </c>
      <c r="AB4938" s="75" t="str">
        <f>IF(AND(OR(LEFT(TH!N3914,2)="15",LEFT(TH!O3914,2)="15"),LEFT(TH!O3914,3)&lt;&gt;"111",'152-CT'!$J$8=TH!F3914),"x","")</f>
        <v/>
      </c>
      <c r="AC4938" s="75" t="str">
        <f>IF(AND(OR(LEFT(TH!N3914,2)="15",LEFT(TH!O3914,2)="15"),TK!$E$7=TH!F3914),"x","")</f>
        <v/>
      </c>
      <c r="AD4938" s="75" t="str">
        <f>IF(AND(N4938="1521",MONTH(C4938)='BK-NL'!$M$11),"x","")</f>
        <v/>
      </c>
      <c r="AE4938">
        <v>10</v>
      </c>
      <c r="AF4938"/>
      <c r="AG4938"/>
    </row>
    <row r="4939" spans="1:33" s="1053" customFormat="1" ht="16.5" customHeight="1">
      <c r="A4939" s="309" t="str">
        <f>IF(B4939&lt;&gt;"",IF(AND(B4939='IN-TC'!$S$4,OR(TH!N4929="1111",TH!O4929="1111")),TH!D4929,""),"")</f>
        <v/>
      </c>
      <c r="B4939" s="1242">
        <f t="shared" si="1338"/>
        <v>9</v>
      </c>
      <c r="C4939" s="292">
        <f t="shared" si="1339"/>
        <v>43001</v>
      </c>
      <c r="D4939" s="292"/>
      <c r="E4939" s="292">
        <v>43001</v>
      </c>
      <c r="F4939" s="432" t="s">
        <v>2139</v>
      </c>
      <c r="G4939" s="925" t="s">
        <v>1799</v>
      </c>
      <c r="H4939" s="943" t="s">
        <v>2133</v>
      </c>
      <c r="I4939" s="373"/>
      <c r="J4939" s="379"/>
      <c r="K4939" s="373"/>
      <c r="L4939" s="379"/>
      <c r="M4939" s="927">
        <v>14300000</v>
      </c>
      <c r="N4939" s="295" t="s">
        <v>8</v>
      </c>
      <c r="O4939" s="295" t="s">
        <v>63</v>
      </c>
      <c r="P4939" s="75" t="str">
        <f>IF(AND('331-CT'!$E$7=TH!H3915,OR(N4939="331",O4939="331")),"x","")</f>
        <v/>
      </c>
      <c r="Q4939" s="75" t="str">
        <f>IF(AND(B4939='111'!$L$11,OR($N4939=$Q$7,$O4939=$Q$7)),"x","")</f>
        <v/>
      </c>
      <c r="R4939" s="75" t="str">
        <f>IF(AND($N4939=$Q$7,$B4939&lt;'111'!$L$11),"x","")</f>
        <v/>
      </c>
      <c r="S4939" s="75" t="str">
        <f>IF(AND($O4939=$Q$7,$B4939&lt;'111'!$L$11),"x","")</f>
        <v>x</v>
      </c>
      <c r="T4939" s="75" t="str">
        <f>IF(ISERROR(FIND('112'!$M$9,G4939,1)),"",IF((AND(FIND('112'!$M$9,G4939,1)&gt;=1,B4939='112'!$K$9,OR($N4939='112'!$I$6,$O4939='112'!$I$6))),"x",""))</f>
        <v/>
      </c>
      <c r="U4939" s="75" t="str">
        <f>IF(ISERROR(FIND('112'!$M$9,G4939,1)),"",IF((AND(LEFT(G4939,2)=LEFT('112'!$M$9,2),B4939&lt;'112'!$K$9,$N4939='112'!$I$6)),"x",""))</f>
        <v/>
      </c>
      <c r="V4939" s="75" t="str">
        <f>IF(ISERROR(FIND('112'!$M$9,G4939,1)),"",IF((AND(RIGHT(G4939,2)=RIGHT('112'!$M$9,2),B4939&lt;'112'!$K$9,$O4939='112'!$I$6)),"x",""))</f>
        <v/>
      </c>
      <c r="W4939" s="75" t="str">
        <f>IF(AND('341-CT'!$H$9=H4939,OR(LEFT(N4939,3)=$W$7,LEFT(O4939,3)=$W$7)),"x","")</f>
        <v/>
      </c>
      <c r="X4939" s="75" t="str">
        <f>IF(OR(TH!N3915=TH!$X$7,O4939=TH!$X$7),"x","")</f>
        <v/>
      </c>
      <c r="Y4939" s="75" t="str">
        <f>IF(AND(OR(N4939="131",O4939="131"),H4939='131-CT'!$H$9),"x","")</f>
        <v/>
      </c>
      <c r="Z4939" s="75"/>
      <c r="AA4939" s="75" t="str">
        <f>IF(AND(MONTH(E4939)='IN-NX'!$J$5,'IN-NX'!$D$7=D4939),"x","")</f>
        <v/>
      </c>
      <c r="AB4939" s="75" t="str">
        <f>IF(AND(OR(LEFT(TH!N3915,2)="15",LEFT(TH!O3915,2)="15"),LEFT(TH!O3915,3)&lt;&gt;"111",'152-CT'!$J$8=TH!F3915),"x","")</f>
        <v/>
      </c>
      <c r="AC4939" s="75" t="str">
        <f>IF(AND(OR(LEFT(TH!N3915,2)="15",LEFT(TH!O3915,2)="15"),TK!$E$7=TH!F3915),"x","")</f>
        <v/>
      </c>
      <c r="AD4939" s="75" t="str">
        <f>IF(AND(N4939="1521",MONTH(C4939)='BK-NL'!$M$11),"x","")</f>
        <v/>
      </c>
      <c r="AE4939"/>
      <c r="AF4939"/>
      <c r="AG4939"/>
    </row>
    <row r="4940" spans="1:33" ht="16.5" customHeight="1">
      <c r="A4940" s="309" t="str">
        <f>IF(B4940&lt;&gt;"",IF(AND(B4940='IN-TC'!$S$4,OR(TH!N4930="1111",TH!O4930="1111")),TH!D4930,""),"")</f>
        <v/>
      </c>
      <c r="B4940" s="1242">
        <f t="shared" si="1338"/>
        <v>9</v>
      </c>
      <c r="C4940" s="292">
        <f t="shared" si="1339"/>
        <v>43002</v>
      </c>
      <c r="D4940" s="59" t="s">
        <v>903</v>
      </c>
      <c r="E4940" s="59">
        <v>43002</v>
      </c>
      <c r="F4940" s="62" t="s">
        <v>914</v>
      </c>
      <c r="G4940" s="62" t="s">
        <v>747</v>
      </c>
      <c r="H4940" s="67" t="s">
        <v>835</v>
      </c>
      <c r="I4940" s="373"/>
      <c r="J4940" s="382"/>
      <c r="K4940" s="373"/>
      <c r="L4940" s="379"/>
      <c r="M4940" s="60">
        <v>134974</v>
      </c>
      <c r="N4940" s="61" t="s">
        <v>26</v>
      </c>
      <c r="O4940" s="295" t="s">
        <v>43</v>
      </c>
      <c r="P4940" s="75" t="str">
        <f>IF(AND('331-CT'!$E$7=TH!H5459,OR(N4940="331",O4940="331")),"x","")</f>
        <v/>
      </c>
      <c r="Q4940" s="75" t="str">
        <f>IF(AND(B4940='111'!$L$11,OR($N4940=$Q$7,$O4940=$Q$7)),"x","")</f>
        <v/>
      </c>
      <c r="R4940" s="75" t="str">
        <f>IF(AND($N4940=$Q$7,$B4940&lt;'111'!$L$11),"x","")</f>
        <v/>
      </c>
      <c r="S4940" s="75" t="str">
        <f>IF(AND($O4940=$Q$7,$B4940&lt;'111'!$L$11),"x","")</f>
        <v/>
      </c>
      <c r="T4940" s="75" t="str">
        <f>IF(ISERROR(FIND('112'!$M$9,G4940,1)),"",IF((AND(FIND('112'!$M$9,G4940,1)&gt;=1,B4940='112'!$K$9,OR($N4940='112'!$I$6,$O4940='112'!$I$6))),"x",""))</f>
        <v/>
      </c>
      <c r="U4940" s="75" t="str">
        <f>IF(ISERROR(FIND('112'!$M$9,G4940,1)),"",IF((AND(LEFT(G4940,2)=LEFT('112'!$M$9,2),B4940&lt;'112'!$K$9,$N4940='112'!$I$6)),"x",""))</f>
        <v/>
      </c>
      <c r="V4940" s="75" t="str">
        <f>IF(ISERROR(FIND('112'!$M$9,G4940,1)),"",IF((AND(RIGHT(G4940,2)=RIGHT('112'!$M$9,2),B4940&lt;'112'!$K$9,$O4940='112'!$I$6)),"x",""))</f>
        <v/>
      </c>
      <c r="W4940" s="75" t="str">
        <f>IF(AND('341-CT'!$H$9=H4940,OR(LEFT(N4940,3)=$W$7,LEFT(O4940,3)=$W$7)),"x","")</f>
        <v/>
      </c>
      <c r="X4940" s="75" t="str">
        <f>IF(OR(TH!N5459=TH!$X$7,O4940=TH!$X$7),"x","")</f>
        <v/>
      </c>
      <c r="Y4940" s="75" t="str">
        <f>IF(AND(OR(N4940="131",O4940="131"),H4940='131-CT'!$H$9),"x","")</f>
        <v/>
      </c>
      <c r="Z4940" s="75"/>
      <c r="AA4940" s="75" t="str">
        <f>IF(AND(MONTH(E4940)='IN-NX'!$J$5,'IN-NX'!$D$7=D4940),"x","")</f>
        <v/>
      </c>
      <c r="AB4940" s="75" t="str">
        <f>IF(AND(OR(LEFT(TH!N5459,2)="15",LEFT(TH!O5459,2)="15"),LEFT(TH!O5459,3)&lt;&gt;"111",'152-CT'!$J$8=TH!F5459),"x","")</f>
        <v/>
      </c>
      <c r="AC4940" s="75" t="str">
        <f>IF(AND(OR(LEFT(TH!N5459,2)="15",LEFT(TH!O5459,2)="15"),TK!$E$7=TH!F5459),"x","")</f>
        <v/>
      </c>
      <c r="AD4940" s="75" t="str">
        <f>IF(AND(N4940="1521",MONTH(C4940)='BK-NL'!$M$11),"x","")</f>
        <v/>
      </c>
    </row>
    <row r="4941" spans="1:33" ht="16.5" customHeight="1">
      <c r="A4941" s="309" t="str">
        <f>IF(B4941&lt;&gt;"",IF(AND(B4941='IN-TC'!$S$4,OR(TH!N4931="1111",TH!O4931="1111")),TH!D4931,""),"")</f>
        <v/>
      </c>
      <c r="B4941" s="1242">
        <f t="shared" si="1338"/>
        <v>9</v>
      </c>
      <c r="C4941" s="292">
        <f t="shared" si="1339"/>
        <v>43003</v>
      </c>
      <c r="D4941" s="59" t="s">
        <v>1272</v>
      </c>
      <c r="E4941" s="59">
        <v>43003</v>
      </c>
      <c r="F4941" s="62" t="s">
        <v>834</v>
      </c>
      <c r="G4941" s="62" t="s">
        <v>747</v>
      </c>
      <c r="H4941" s="67" t="s">
        <v>1023</v>
      </c>
      <c r="I4941" s="373"/>
      <c r="J4941" s="382"/>
      <c r="K4941" s="373"/>
      <c r="L4941" s="379"/>
      <c r="M4941" s="60">
        <v>2337000000</v>
      </c>
      <c r="N4941" s="61" t="s">
        <v>63</v>
      </c>
      <c r="O4941" s="61" t="s">
        <v>26</v>
      </c>
      <c r="P4941" s="75" t="str">
        <f>IF(AND('331-CT'!$E$7=TH!H5460,OR(N4941="331",O4941="331")),"x","")</f>
        <v/>
      </c>
      <c r="Q4941" s="75" t="str">
        <f>IF(AND(B4941='111'!$L$11,OR($N4941=$Q$7,$O4941=$Q$7)),"x","")</f>
        <v/>
      </c>
      <c r="R4941" s="75" t="str">
        <f>IF(AND($N4941=$Q$7,$B4941&lt;'111'!$L$11),"x","")</f>
        <v>x</v>
      </c>
      <c r="S4941" s="75" t="str">
        <f>IF(AND($O4941=$Q$7,$B4941&lt;'111'!$L$11),"x","")</f>
        <v/>
      </c>
      <c r="T4941" s="75" t="str">
        <f>IF(ISERROR(FIND('112'!$M$9,G4941,1)),"",IF((AND(FIND('112'!$M$9,G4941,1)&gt;=1,B4941='112'!$K$9,OR($N4941='112'!$I$6,$O4941='112'!$I$6))),"x",""))</f>
        <v/>
      </c>
      <c r="U4941" s="75" t="str">
        <f>IF(ISERROR(FIND('112'!$M$9,G4941,1)),"",IF((AND(LEFT(G4941,2)=LEFT('112'!$M$9,2),B4941&lt;'112'!$K$9,$N4941='112'!$I$6)),"x",""))</f>
        <v/>
      </c>
      <c r="V4941" s="75" t="str">
        <f>IF(ISERROR(FIND('112'!$M$9,G4941,1)),"",IF((AND(RIGHT(G4941,2)=RIGHT('112'!$M$9,2),B4941&lt;'112'!$K$9,$O4941='112'!$I$6)),"x",""))</f>
        <v/>
      </c>
      <c r="W4941" s="75" t="str">
        <f>IF(AND('341-CT'!$H$9=H4941,OR(LEFT(N4941,3)=$W$7,LEFT(O4941,3)=$W$7)),"x","")</f>
        <v/>
      </c>
      <c r="X4941" s="75" t="str">
        <f>IF(OR(TH!N5460=TH!$X$7,O4941=TH!$X$7),"x","")</f>
        <v/>
      </c>
      <c r="Y4941" s="75" t="str">
        <f>IF(AND(OR(N4941="131",O4941="131"),H4941='131-CT'!$H$9),"x","")</f>
        <v/>
      </c>
      <c r="Z4941" s="75"/>
      <c r="AA4941" s="75" t="str">
        <f>IF(AND(MONTH(E4941)='IN-NX'!$J$5,'IN-NX'!$D$7=D4941),"x","")</f>
        <v/>
      </c>
      <c r="AB4941" s="75" t="str">
        <f>IF(AND(OR(LEFT(TH!N5460,2)="15",LEFT(TH!O5460,2)="15"),LEFT(TH!O5460,3)&lt;&gt;"111",'152-CT'!$J$8=TH!F5460),"x","")</f>
        <v/>
      </c>
      <c r="AC4941" s="75" t="str">
        <f>IF(AND(OR(LEFT(TH!N5460,2)="15",LEFT(TH!O5460,2)="15"),TK!$E$7=TH!F5460),"x","")</f>
        <v/>
      </c>
      <c r="AD4941" s="75" t="str">
        <f>IF(AND(N4941="1521",MONTH(C4941)='BK-NL'!$M$11),"x","")</f>
        <v/>
      </c>
    </row>
    <row r="4942" spans="1:33" ht="16.5" customHeight="1">
      <c r="A4942" s="309" t="str">
        <f>IF(B4942&lt;&gt;"",IF(AND(B4942='IN-TC'!$S$4,OR(TH!N4932="1111",TH!O4932="1111")),TH!D4932,""),"")</f>
        <v/>
      </c>
      <c r="B4942" s="1242">
        <f t="shared" si="1338"/>
        <v>9</v>
      </c>
      <c r="C4942" s="292">
        <f t="shared" si="1339"/>
        <v>43003</v>
      </c>
      <c r="D4942" s="292"/>
      <c r="E4942" s="292">
        <v>43003</v>
      </c>
      <c r="F4942" s="67" t="s">
        <v>1165</v>
      </c>
      <c r="G4942" s="925" t="s">
        <v>2187</v>
      </c>
      <c r="H4942" s="294" t="s">
        <v>2186</v>
      </c>
      <c r="I4942" s="373"/>
      <c r="J4942" s="926"/>
      <c r="K4942" s="373"/>
      <c r="L4942" s="379"/>
      <c r="M4942" s="927">
        <v>19762050</v>
      </c>
      <c r="N4942" s="295" t="s">
        <v>8</v>
      </c>
      <c r="O4942" s="295" t="s">
        <v>63</v>
      </c>
      <c r="P4942" s="75" t="str">
        <f>IF(AND('331-CT'!$E$7=TH!H3918,OR(N4942="331",O4942="331")),"x","")</f>
        <v/>
      </c>
      <c r="Q4942" s="75" t="str">
        <f>IF(AND(B4942='111'!$L$11,OR($N4942=$Q$7,$O4942=$Q$7)),"x","")</f>
        <v/>
      </c>
      <c r="R4942" s="75" t="str">
        <f>IF(AND($N4942=$Q$7,$B4942&lt;'111'!$L$11),"x","")</f>
        <v/>
      </c>
      <c r="S4942" s="75" t="str">
        <f>IF(AND($O4942=$Q$7,$B4942&lt;'111'!$L$11),"x","")</f>
        <v>x</v>
      </c>
      <c r="T4942" s="75" t="str">
        <f>IF(ISERROR(FIND('112'!$M$9,G4942,1)),"",IF((AND(FIND('112'!$M$9,G4942,1)&gt;=1,B4942='112'!$K$9,OR($N4942='112'!$I$6,$O4942='112'!$I$6))),"x",""))</f>
        <v/>
      </c>
      <c r="U4942" s="75" t="str">
        <f>IF(ISERROR(FIND('112'!$M$9,G4942,1)),"",IF((AND(LEFT(G4942,2)=LEFT('112'!$M$9,2),B4942&lt;'112'!$K$9,$N4942='112'!$I$6)),"x",""))</f>
        <v/>
      </c>
      <c r="V4942" s="75" t="str">
        <f>IF(ISERROR(FIND('112'!$M$9,G4942,1)),"",IF((AND(RIGHT(G4942,2)=RIGHT('112'!$M$9,2),B4942&lt;'112'!$K$9,$O4942='112'!$I$6)),"x",""))</f>
        <v/>
      </c>
      <c r="W4942" s="75" t="str">
        <f>IF(AND('341-CT'!$H$9=H4942,OR(LEFT(N4942,3)=$W$7,LEFT(O4942,3)=$W$7)),"x","")</f>
        <v/>
      </c>
      <c r="X4942" s="75" t="str">
        <f>IF(OR(TH!N3918=TH!$X$7,O4942=TH!$X$7),"x","")</f>
        <v/>
      </c>
      <c r="Y4942" s="75" t="str">
        <f>IF(AND(OR(N4942="131",O4942="131"),H4942='131-CT'!$H$9),"x","")</f>
        <v/>
      </c>
      <c r="Z4942" s="75"/>
      <c r="AA4942" s="75" t="str">
        <f>IF(AND(MONTH(E4942)='IN-NX'!$J$5,'IN-NX'!$D$7=D4942),"x","")</f>
        <v/>
      </c>
      <c r="AB4942" s="75" t="str">
        <f>IF(AND(OR(LEFT(TH!N3918,2)="15",LEFT(TH!O3918,2)="15"),LEFT(TH!O3918,3)&lt;&gt;"111",'152-CT'!$J$8=TH!F3918),"x","")</f>
        <v/>
      </c>
      <c r="AC4942" s="75" t="str">
        <f>IF(AND(OR(LEFT(TH!N3918,2)="15",LEFT(TH!O3918,2)="15"),TK!$E$7=TH!F3918),"x","")</f>
        <v/>
      </c>
      <c r="AD4942" s="75" t="str">
        <f>IF(AND(N4942="1521",MONTH(C4942)='BK-NL'!$M$11),"x","")</f>
        <v/>
      </c>
    </row>
    <row r="4943" spans="1:33" ht="16.5" customHeight="1">
      <c r="A4943" s="309" t="str">
        <f>IF(B4943&lt;&gt;"",IF(AND(B4943='IN-TC'!$S$4,OR(TH!N4933="1111",TH!O4933="1111")),TH!D4933,""),"")</f>
        <v/>
      </c>
      <c r="B4943" s="1242">
        <f t="shared" si="1338"/>
        <v>9</v>
      </c>
      <c r="C4943" s="292">
        <f t="shared" si="1339"/>
        <v>43003</v>
      </c>
      <c r="D4943" s="292"/>
      <c r="E4943" s="292">
        <v>43003</v>
      </c>
      <c r="F4943" s="67" t="s">
        <v>1165</v>
      </c>
      <c r="G4943" s="925" t="s">
        <v>2174</v>
      </c>
      <c r="H4943" s="294" t="s">
        <v>1684</v>
      </c>
      <c r="I4943" s="373"/>
      <c r="J4943" s="926"/>
      <c r="K4943" s="373"/>
      <c r="L4943" s="379"/>
      <c r="M4943" s="927">
        <v>19762050</v>
      </c>
      <c r="N4943" s="295" t="s">
        <v>8</v>
      </c>
      <c r="O4943" s="295" t="s">
        <v>63</v>
      </c>
      <c r="P4943" s="75" t="str">
        <f>IF(AND('331-CT'!$E$7=TH!H3919,OR(N4943="331",O4943="331")),"x","")</f>
        <v/>
      </c>
      <c r="Q4943" s="75" t="str">
        <f>IF(AND(B4943='111'!$L$11,OR($N4943=$Q$7,$O4943=$Q$7)),"x","")</f>
        <v/>
      </c>
      <c r="R4943" s="75" t="str">
        <f>IF(AND($N4943=$Q$7,$B4943&lt;'111'!$L$11),"x","")</f>
        <v/>
      </c>
      <c r="S4943" s="75" t="str">
        <f>IF(AND($O4943=$Q$7,$B4943&lt;'111'!$L$11),"x","")</f>
        <v>x</v>
      </c>
      <c r="T4943" s="75" t="str">
        <f>IF(ISERROR(FIND('112'!$M$9,G4943,1)),"",IF((AND(FIND('112'!$M$9,G4943,1)&gt;=1,B4943='112'!$K$9,OR($N4943='112'!$I$6,$O4943='112'!$I$6))),"x",""))</f>
        <v/>
      </c>
      <c r="U4943" s="75" t="str">
        <f>IF(ISERROR(FIND('112'!$M$9,G4943,1)),"",IF((AND(LEFT(G4943,2)=LEFT('112'!$M$9,2),B4943&lt;'112'!$K$9,$N4943='112'!$I$6)),"x",""))</f>
        <v/>
      </c>
      <c r="V4943" s="75" t="str">
        <f>IF(ISERROR(FIND('112'!$M$9,G4943,1)),"",IF((AND(RIGHT(G4943,2)=RIGHT('112'!$M$9,2),B4943&lt;'112'!$K$9,$O4943='112'!$I$6)),"x",""))</f>
        <v/>
      </c>
      <c r="W4943" s="75" t="str">
        <f>IF(AND('341-CT'!$H$9=H4943,OR(LEFT(N4943,3)=$W$7,LEFT(O4943,3)=$W$7)),"x","")</f>
        <v/>
      </c>
      <c r="X4943" s="75" t="str">
        <f>IF(OR(TH!N3919=TH!$X$7,O4943=TH!$X$7),"x","")</f>
        <v/>
      </c>
      <c r="Y4943" s="75" t="str">
        <f>IF(AND(OR(N4943="131",O4943="131"),H4943='131-CT'!$H$9),"x","")</f>
        <v/>
      </c>
      <c r="Z4943" s="75"/>
      <c r="AA4943" s="75" t="str">
        <f>IF(AND(MONTH(E4943)='IN-NX'!$J$5,'IN-NX'!$D$7=D4943),"x","")</f>
        <v/>
      </c>
      <c r="AB4943" s="75" t="str">
        <f>IF(AND(OR(LEFT(TH!N3919,2)="15",LEFT(TH!O3919,2)="15"),LEFT(TH!O3919,3)&lt;&gt;"111",'152-CT'!$J$8=TH!F3919),"x","")</f>
        <v/>
      </c>
      <c r="AC4943" s="75" t="str">
        <f>IF(AND(OR(LEFT(TH!N3919,2)="15",LEFT(TH!O3919,2)="15"),TK!$E$7=TH!F3919),"x","")</f>
        <v/>
      </c>
      <c r="AD4943" s="75" t="str">
        <f>IF(AND(N4943="1521",MONTH(C4943)='BK-NL'!$M$11),"x","")</f>
        <v/>
      </c>
    </row>
    <row r="4944" spans="1:33" ht="16.5" customHeight="1">
      <c r="A4944" s="309" t="str">
        <f>IF(B4944&lt;&gt;"",IF(AND(B4944='IN-TC'!$S$4,OR(TH!N4934="1111",TH!O4934="1111")),TH!D4934,""),"")</f>
        <v/>
      </c>
      <c r="B4944" s="1242">
        <f t="shared" si="1338"/>
        <v>9</v>
      </c>
      <c r="C4944" s="292">
        <f t="shared" si="1339"/>
        <v>43003</v>
      </c>
      <c r="D4944" s="59" t="s">
        <v>903</v>
      </c>
      <c r="E4944" s="59">
        <v>43003</v>
      </c>
      <c r="F4944" s="62" t="s">
        <v>1086</v>
      </c>
      <c r="G4944" s="62" t="s">
        <v>585</v>
      </c>
      <c r="H4944" s="311" t="s">
        <v>802</v>
      </c>
      <c r="I4944" s="375"/>
      <c r="J4944" s="382"/>
      <c r="K4944" s="375"/>
      <c r="L4944" s="381"/>
      <c r="M4944" s="60">
        <v>56441000</v>
      </c>
      <c r="N4944" s="61" t="s">
        <v>26</v>
      </c>
      <c r="O4944" s="61" t="s">
        <v>536</v>
      </c>
      <c r="P4944" s="75" t="str">
        <f>IF(AND('331-CT'!$E$7=TH!H4846,OR(N4944="331",O4944="331")),"x","")</f>
        <v/>
      </c>
      <c r="Q4944" s="75" t="str">
        <f>IF(AND(B4944='111'!$L$11,OR($N4944=$Q$7,$O4944=$Q$7)),"x","")</f>
        <v/>
      </c>
      <c r="R4944" s="75" t="str">
        <f>IF(AND($N4944=$Q$7,$B4944&lt;'111'!$L$11),"x","")</f>
        <v/>
      </c>
      <c r="S4944" s="75" t="str">
        <f>IF(AND($O4944=$Q$7,$B4944&lt;'111'!$L$11),"x","")</f>
        <v/>
      </c>
      <c r="T4944" s="75" t="str">
        <f>IF(ISERROR(FIND('112'!$M$9,G4944,1)),"",IF((AND(FIND('112'!$M$9,G4944,1)&gt;=1,B4944='112'!$K$9,OR($N4944='112'!$I$6,$O4944='112'!$I$6))),"x",""))</f>
        <v/>
      </c>
      <c r="U4944" s="75" t="str">
        <f>IF(ISERROR(FIND('112'!$M$9,G4944,1)),"",IF((AND(LEFT(G4944,2)=LEFT('112'!$M$9,2),B4944&lt;'112'!$K$9,$N4944='112'!$I$6)),"x",""))</f>
        <v/>
      </c>
      <c r="V4944" s="75" t="str">
        <f>IF(ISERROR(FIND('112'!$M$9,G4944,1)),"",IF((AND(RIGHT(G4944,2)=RIGHT('112'!$M$9,2),B4944&lt;'112'!$K$9,$O4944='112'!$I$6)),"x",""))</f>
        <v/>
      </c>
      <c r="W4944" s="75" t="str">
        <f>IF(AND('341-CT'!$H$9=H4944,OR(LEFT(N4944,3)=$W$7,LEFT(O4944,3)=$W$7)),"x","")</f>
        <v/>
      </c>
      <c r="X4944" s="75" t="str">
        <f>IF(OR(TH!N4846=TH!$X$7,O4944=TH!$X$7),"x","")</f>
        <v/>
      </c>
      <c r="Y4944" s="75" t="str">
        <f>IF(AND(OR(N4944="131",O4944="131"),H4944='131-CT'!$H$9),"x","")</f>
        <v/>
      </c>
      <c r="Z4944" s="75"/>
      <c r="AA4944" s="75" t="str">
        <f>IF(AND(MONTH(E4944)='IN-NX'!$J$5,'IN-NX'!$D$7=D4944),"x","")</f>
        <v/>
      </c>
      <c r="AB4944" s="75" t="str">
        <f>IF(AND(OR(LEFT(TH!N4846,2)="15",LEFT(TH!O4846,2)="15"),LEFT(TH!O4846,3)&lt;&gt;"111",'152-CT'!$J$8=TH!F4846),"x","")</f>
        <v/>
      </c>
      <c r="AC4944" s="75" t="str">
        <f>IF(AND(OR(LEFT(TH!N4846,2)="15",LEFT(TH!O4846,2)="15"),TK!$E$7=TH!F4846),"x","")</f>
        <v/>
      </c>
      <c r="AD4944" s="75" t="str">
        <f>IF(AND(N4944="1521",MONTH(C4944)='BK-NL'!$M$11),"x","")</f>
        <v/>
      </c>
    </row>
    <row r="4945" spans="1:33" ht="16.5" customHeight="1">
      <c r="A4945" s="309" t="str">
        <f>IF(B4945&lt;&gt;"",IF(AND(B4945='IN-TC'!$S$4,OR(TH!N4935="1111",TH!O4935="1111")),TH!D4935,""),"")</f>
        <v/>
      </c>
      <c r="B4945" s="1242">
        <f t="shared" si="1338"/>
        <v>9</v>
      </c>
      <c r="C4945" s="292">
        <f t="shared" si="1339"/>
        <v>43003</v>
      </c>
      <c r="D4945" s="59" t="s">
        <v>902</v>
      </c>
      <c r="E4945" s="59">
        <v>43003</v>
      </c>
      <c r="F4945" s="62" t="s">
        <v>897</v>
      </c>
      <c r="G4945" s="62" t="s">
        <v>747</v>
      </c>
      <c r="H4945" s="294" t="s">
        <v>2042</v>
      </c>
      <c r="I4945" s="373"/>
      <c r="J4945" s="382"/>
      <c r="K4945" s="373"/>
      <c r="L4945" s="379"/>
      <c r="M4945" s="60">
        <v>1000000000</v>
      </c>
      <c r="N4945" s="61" t="s">
        <v>8</v>
      </c>
      <c r="O4945" s="61" t="s">
        <v>26</v>
      </c>
      <c r="P4945" s="75" t="str">
        <f>IF(AND('331-CT'!$E$7=TH!H5461,OR(N4945="331",O4945="331")),"x","")</f>
        <v/>
      </c>
      <c r="Q4945" s="75" t="str">
        <f>IF(AND(B4945='111'!$L$11,OR($N4945=$Q$7,$O4945=$Q$7)),"x","")</f>
        <v/>
      </c>
      <c r="R4945" s="75" t="str">
        <f>IF(AND($N4945=$Q$7,$B4945&lt;'111'!$L$11),"x","")</f>
        <v/>
      </c>
      <c r="S4945" s="75" t="str">
        <f>IF(AND($O4945=$Q$7,$B4945&lt;'111'!$L$11),"x","")</f>
        <v/>
      </c>
      <c r="T4945" s="75" t="str">
        <f>IF(ISERROR(FIND('112'!$M$9,G4945,1)),"",IF((AND(FIND('112'!$M$9,G4945,1)&gt;=1,B4945='112'!$K$9,OR($N4945='112'!$I$6,$O4945='112'!$I$6))),"x",""))</f>
        <v/>
      </c>
      <c r="U4945" s="75" t="str">
        <f>IF(ISERROR(FIND('112'!$M$9,G4945,1)),"",IF((AND(LEFT(G4945,2)=LEFT('112'!$M$9,2),B4945&lt;'112'!$K$9,$N4945='112'!$I$6)),"x",""))</f>
        <v/>
      </c>
      <c r="V4945" s="75" t="str">
        <f>IF(ISERROR(FIND('112'!$M$9,G4945,1)),"",IF((AND(RIGHT(G4945,2)=RIGHT('112'!$M$9,2),B4945&lt;'112'!$K$9,$O4945='112'!$I$6)),"x",""))</f>
        <v/>
      </c>
      <c r="W4945" s="75" t="str">
        <f>IF(AND('341-CT'!$H$9=H4945,OR(LEFT(N4945,3)=$W$7,LEFT(O4945,3)=$W$7)),"x","")</f>
        <v/>
      </c>
      <c r="X4945" s="75" t="str">
        <f>IF(OR(TH!N5461=TH!$X$7,O4945=TH!$X$7),"x","")</f>
        <v/>
      </c>
      <c r="Y4945" s="75" t="str">
        <f>IF(AND(OR(N4945="131",O4945="131"),H4945='131-CT'!$H$9),"x","")</f>
        <v/>
      </c>
      <c r="Z4945" s="75"/>
      <c r="AA4945" s="75" t="str">
        <f>IF(AND(MONTH(E4945)='IN-NX'!$J$5,'IN-NX'!$D$7=D4945),"x","")</f>
        <v/>
      </c>
      <c r="AB4945" s="75" t="str">
        <f>IF(AND(OR(LEFT(TH!N5461,2)="15",LEFT(TH!O5461,2)="15"),LEFT(TH!O5461,3)&lt;&gt;"111",'152-CT'!$J$8=TH!F5461),"x","")</f>
        <v/>
      </c>
      <c r="AC4945" s="75" t="str">
        <f>IF(AND(OR(LEFT(TH!N5461,2)="15",LEFT(TH!O5461,2)="15"),TK!$E$7=TH!F5461),"x","")</f>
        <v/>
      </c>
      <c r="AD4945" s="75" t="str">
        <f>IF(AND(N4945="1521",MONTH(C4945)='BK-NL'!$M$11),"x","")</f>
        <v/>
      </c>
    </row>
    <row r="4946" spans="1:33" ht="16.5" customHeight="1">
      <c r="A4946" s="309" t="str">
        <f>IF(B4946&lt;&gt;"",IF(AND(B4946='IN-TC'!$S$4,OR(TH!N4936="1111",TH!O4936="1111")),TH!D4936,""),"")</f>
        <v/>
      </c>
      <c r="B4946" s="1242">
        <f t="shared" si="1338"/>
        <v>9</v>
      </c>
      <c r="C4946" s="292">
        <f t="shared" si="1339"/>
        <v>43003</v>
      </c>
      <c r="D4946" s="59" t="s">
        <v>902</v>
      </c>
      <c r="E4946" s="59">
        <v>43003</v>
      </c>
      <c r="F4946" s="62" t="s">
        <v>1307</v>
      </c>
      <c r="G4946" s="62" t="s">
        <v>747</v>
      </c>
      <c r="H4946" s="67" t="s">
        <v>835</v>
      </c>
      <c r="I4946" s="373"/>
      <c r="J4946" s="382"/>
      <c r="K4946" s="373"/>
      <c r="L4946" s="379"/>
      <c r="M4946" s="60">
        <v>300000</v>
      </c>
      <c r="N4946" s="61" t="s">
        <v>101</v>
      </c>
      <c r="O4946" s="61" t="s">
        <v>26</v>
      </c>
      <c r="P4946" s="75" t="str">
        <f>IF(AND('331-CT'!$E$7=TH!H5462,OR(N4946="331",O4946="331")),"x","")</f>
        <v/>
      </c>
      <c r="Q4946" s="75" t="str">
        <f>IF(AND(B4946='111'!$L$11,OR($N4946=$Q$7,$O4946=$Q$7)),"x","")</f>
        <v/>
      </c>
      <c r="R4946" s="75" t="str">
        <f>IF(AND($N4946=$Q$7,$B4946&lt;'111'!$L$11),"x","")</f>
        <v/>
      </c>
      <c r="S4946" s="75" t="str">
        <f>IF(AND($O4946=$Q$7,$B4946&lt;'111'!$L$11),"x","")</f>
        <v/>
      </c>
      <c r="T4946" s="75" t="str">
        <f>IF(ISERROR(FIND('112'!$M$9,G4946,1)),"",IF((AND(FIND('112'!$M$9,G4946,1)&gt;=1,B4946='112'!$K$9,OR($N4946='112'!$I$6,$O4946='112'!$I$6))),"x",""))</f>
        <v/>
      </c>
      <c r="U4946" s="75" t="str">
        <f>IF(ISERROR(FIND('112'!$M$9,G4946,1)),"",IF((AND(LEFT(G4946,2)=LEFT('112'!$M$9,2),B4946&lt;'112'!$K$9,$N4946='112'!$I$6)),"x",""))</f>
        <v/>
      </c>
      <c r="V4946" s="75" t="str">
        <f>IF(ISERROR(FIND('112'!$M$9,G4946,1)),"",IF((AND(RIGHT(G4946,2)=RIGHT('112'!$M$9,2),B4946&lt;'112'!$K$9,$O4946='112'!$I$6)),"x",""))</f>
        <v/>
      </c>
      <c r="W4946" s="75" t="str">
        <f>IF(AND('341-CT'!$H$9=H4946,OR(LEFT(N4946,3)=$W$7,LEFT(O4946,3)=$W$7)),"x","")</f>
        <v/>
      </c>
      <c r="X4946" s="75" t="str">
        <f>IF(OR(TH!N5462=TH!$X$7,O4946=TH!$X$7),"x","")</f>
        <v/>
      </c>
      <c r="Y4946" s="75" t="str">
        <f>IF(AND(OR(N4946="131",O4946="131"),H4946='131-CT'!$H$9),"x","")</f>
        <v/>
      </c>
      <c r="Z4946" s="75"/>
      <c r="AA4946" s="75" t="str">
        <f>IF(AND(MONTH(E4946)='IN-NX'!$J$5,'IN-NX'!$D$7=D4946),"x","")</f>
        <v/>
      </c>
      <c r="AB4946" s="75" t="str">
        <f>IF(AND(OR(LEFT(TH!N5462,2)="15",LEFT(TH!O5462,2)="15"),LEFT(TH!O5462,3)&lt;&gt;"111",'152-CT'!$J$8=TH!F5462),"x","")</f>
        <v/>
      </c>
      <c r="AC4946" s="75" t="str">
        <f>IF(AND(OR(LEFT(TH!N5462,2)="15",LEFT(TH!O5462,2)="15"),TK!$E$7=TH!F5462),"x","")</f>
        <v/>
      </c>
      <c r="AD4946" s="75" t="str">
        <f>IF(AND(N4946="1521",MONTH(C4946)='BK-NL'!$M$11),"x","")</f>
        <v/>
      </c>
      <c r="AE4946">
        <v>9</v>
      </c>
    </row>
    <row r="4947" spans="1:33" ht="16.5" customHeight="1">
      <c r="A4947" s="309" t="str">
        <f>IF(B4947&lt;&gt;"",IF(AND(B4947='IN-TC'!$S$4,OR(TH!N4937="1111",TH!O4937="1111")),TH!D4937,""),"")</f>
        <v/>
      </c>
      <c r="B4947" s="1242">
        <f t="shared" ref="B4947:B5010" si="1340">IF(C4947&lt;&gt;"",MONTH(C4947),"")</f>
        <v>9</v>
      </c>
      <c r="C4947" s="292">
        <f t="shared" si="1339"/>
        <v>43003</v>
      </c>
      <c r="D4947" s="59" t="s">
        <v>902</v>
      </c>
      <c r="E4947" s="59">
        <v>43003</v>
      </c>
      <c r="F4947" s="62" t="s">
        <v>2101</v>
      </c>
      <c r="G4947" s="62" t="s">
        <v>747</v>
      </c>
      <c r="H4947" s="67" t="s">
        <v>835</v>
      </c>
      <c r="I4947" s="373"/>
      <c r="J4947" s="382"/>
      <c r="K4947" s="373"/>
      <c r="L4947" s="379"/>
      <c r="M4947" s="60">
        <v>30000</v>
      </c>
      <c r="N4947" s="61" t="s">
        <v>9</v>
      </c>
      <c r="O4947" s="61" t="s">
        <v>26</v>
      </c>
      <c r="P4947" s="75" t="str">
        <f>IF(AND('331-CT'!$E$7=TH!H5463,OR(N4947="331",O4947="331")),"x","")</f>
        <v/>
      </c>
      <c r="Q4947" s="75" t="str">
        <f>IF(AND(B4947='111'!$L$11,OR($N4947=$Q$7,$O4947=$Q$7)),"x","")</f>
        <v/>
      </c>
      <c r="R4947" s="75" t="str">
        <f>IF(AND($N4947=$Q$7,$B4947&lt;'111'!$L$11),"x","")</f>
        <v/>
      </c>
      <c r="S4947" s="75" t="str">
        <f>IF(AND($O4947=$Q$7,$B4947&lt;'111'!$L$11),"x","")</f>
        <v/>
      </c>
      <c r="T4947" s="75" t="str">
        <f>IF(ISERROR(FIND('112'!$M$9,G4947,1)),"",IF((AND(FIND('112'!$M$9,G4947,1)&gt;=1,B4947='112'!$K$9,OR($N4947='112'!$I$6,$O4947='112'!$I$6))),"x",""))</f>
        <v/>
      </c>
      <c r="U4947" s="75" t="str">
        <f>IF(ISERROR(FIND('112'!$M$9,G4947,1)),"",IF((AND(LEFT(G4947,2)=LEFT('112'!$M$9,2),B4947&lt;'112'!$K$9,$N4947='112'!$I$6)),"x",""))</f>
        <v/>
      </c>
      <c r="V4947" s="75" t="str">
        <f>IF(ISERROR(FIND('112'!$M$9,G4947,1)),"",IF((AND(RIGHT(G4947,2)=RIGHT('112'!$M$9,2),B4947&lt;'112'!$K$9,$O4947='112'!$I$6)),"x",""))</f>
        <v/>
      </c>
      <c r="W4947" s="75" t="str">
        <f>IF(AND('341-CT'!$H$9=H4947,OR(LEFT(N4947,3)=$W$7,LEFT(O4947,3)=$W$7)),"x","")</f>
        <v/>
      </c>
      <c r="X4947" s="75" t="str">
        <f>IF(OR(TH!N5463=TH!$X$7,O4947=TH!$X$7),"x","")</f>
        <v/>
      </c>
      <c r="Y4947" s="75" t="str">
        <f>IF(AND(OR(N4947="131",O4947="131"),H4947='131-CT'!$H$9),"x","")</f>
        <v/>
      </c>
      <c r="Z4947" s="75"/>
      <c r="AA4947" s="75" t="str">
        <f>IF(AND(MONTH(E4947)='IN-NX'!$J$5,'IN-NX'!$D$7=D4947),"x","")</f>
        <v/>
      </c>
      <c r="AB4947" s="75" t="str">
        <f>IF(AND(OR(LEFT(TH!N5463,2)="15",LEFT(TH!O5463,2)="15"),LEFT(TH!O5463,3)&lt;&gt;"111",'152-CT'!$J$8=TH!F5463),"x","")</f>
        <v/>
      </c>
      <c r="AC4947" s="75" t="str">
        <f>IF(AND(OR(LEFT(TH!N5463,2)="15",LEFT(TH!O5463,2)="15"),TK!$E$7=TH!F5463),"x","")</f>
        <v/>
      </c>
      <c r="AD4947" s="75" t="str">
        <f>IF(AND(N4947="1521",MONTH(C4947)='BK-NL'!$M$11),"x","")</f>
        <v/>
      </c>
      <c r="AE4947">
        <v>9</v>
      </c>
    </row>
    <row r="4948" spans="1:33" ht="16.5" customHeight="1">
      <c r="A4948" s="309" t="str">
        <f>IF(B4948&lt;&gt;"",IF(AND(B4948='IN-TC'!$S$4,OR(TH!N4938="1111",TH!O4938="1111")),TH!D4938,""),"")</f>
        <v/>
      </c>
      <c r="B4948" s="1339">
        <f t="shared" si="1340"/>
        <v>9</v>
      </c>
      <c r="C4948" s="292">
        <f t="shared" si="1339"/>
        <v>43003</v>
      </c>
      <c r="D4948" s="71"/>
      <c r="E4948" s="59">
        <v>43003</v>
      </c>
      <c r="F4948" s="72" t="s">
        <v>3032</v>
      </c>
      <c r="G4948" s="72" t="s">
        <v>332</v>
      </c>
      <c r="H4948" s="73" t="s">
        <v>1880</v>
      </c>
      <c r="I4948" s="371"/>
      <c r="J4948" s="378"/>
      <c r="K4948" s="371"/>
      <c r="L4948" s="377"/>
      <c r="M4948" s="74">
        <v>1000000000</v>
      </c>
      <c r="N4948" s="75" t="s">
        <v>262</v>
      </c>
      <c r="O4948" s="75" t="s">
        <v>63</v>
      </c>
      <c r="P4948" s="75" t="str">
        <f>IF(AND('331-CT'!$E$7=TH!H6906,OR(N4948="331",O4948="331")),"x","")</f>
        <v/>
      </c>
      <c r="Q4948" s="75" t="str">
        <f>IF(AND(B4948='111'!$L$11,OR($N4948=$Q$7,$O4948=$Q$7)),"x","")</f>
        <v/>
      </c>
      <c r="R4948" s="75" t="str">
        <f>IF(AND($N4948=$Q$7,$B4948&lt;'111'!$L$11),"x","")</f>
        <v/>
      </c>
      <c r="S4948" s="75" t="str">
        <f>IF(AND($O4948=$Q$7,$B4948&lt;'111'!$L$11),"x","")</f>
        <v>x</v>
      </c>
      <c r="T4948" s="75" t="str">
        <f>IF(ISERROR(FIND('112'!$M$9,G4948,1)),"",IF((AND(FIND('112'!$M$9,G4948,1)&gt;=1,B4948='112'!$K$9,OR($N4948='112'!$I$6,$O4948='112'!$I$6))),"x",""))</f>
        <v/>
      </c>
      <c r="U4948" s="75" t="str">
        <f>IF(ISERROR(FIND('112'!$M$9,G4948,1)),"",IF((AND(LEFT(G4948,2)=LEFT('112'!$M$9,2),B4948&lt;'112'!$K$9,$N4948='112'!$I$6)),"x",""))</f>
        <v/>
      </c>
      <c r="V4948" s="75" t="str">
        <f>IF(ISERROR(FIND('112'!$M$9,G4948,1)),"",IF((AND(RIGHT(G4948,2)=RIGHT('112'!$M$9,2),B4948&lt;'112'!$K$9,$O4948='112'!$I$6)),"x",""))</f>
        <v/>
      </c>
      <c r="W4948" s="75" t="str">
        <f>IF(AND('341-CT'!$H$9=H4948,OR(LEFT(N4948,3)=$W$7,LEFT(O4948,3)=$W$7)),"x","")</f>
        <v/>
      </c>
      <c r="X4948" s="75" t="str">
        <f>IF(OR(TH!N6906=TH!$X$7,O4948=TH!$X$7),"x","")</f>
        <v/>
      </c>
      <c r="Y4948" s="75" t="str">
        <f>IF(AND(OR(N4948="131",O4948="131"),H4948='131-CT'!$H$9),"x","")</f>
        <v/>
      </c>
      <c r="Z4948" s="75"/>
      <c r="AA4948" s="75" t="str">
        <f>IF(AND(MONTH(E4948)='IN-NX'!$J$5,'IN-NX'!$D$7=D4948),"x","")</f>
        <v/>
      </c>
      <c r="AB4948" s="75" t="str">
        <f>IF(AND(OR(LEFT(TH!N6906,2)="15",LEFT(TH!O6906,2)="15"),LEFT(TH!O6906,3)&lt;&gt;"111",'152-CT'!$J$8=TH!F6906),"x","")</f>
        <v/>
      </c>
      <c r="AC4948" s="75" t="str">
        <f>IF(AND(OR(LEFT(TH!N6906,2)="15",LEFT(TH!O6906,2)="15"),TK!$E$7=TH!F6906),"x","")</f>
        <v/>
      </c>
      <c r="AD4948" s="75" t="str">
        <f>IF(AND(N4948="1521",MONTH(C4948)='BK-NL'!$M$11),"x","")</f>
        <v/>
      </c>
      <c r="AE4948" s="1264"/>
      <c r="AF4948" s="1264"/>
      <c r="AG4948" s="1264"/>
    </row>
    <row r="4949" spans="1:33" ht="16.5" customHeight="1">
      <c r="A4949" s="309" t="str">
        <f>IF(B4949&lt;&gt;"",IF(AND(B4949='IN-TC'!$S$4,OR(TH!N4939="1111",TH!O4939="1111")),TH!D4939,""),"")</f>
        <v/>
      </c>
      <c r="B4949" s="1339">
        <f t="shared" si="1340"/>
        <v>9</v>
      </c>
      <c r="C4949" s="292">
        <f t="shared" si="1339"/>
        <v>43003</v>
      </c>
      <c r="D4949" s="71"/>
      <c r="E4949" s="59">
        <v>43003</v>
      </c>
      <c r="F4949" s="72" t="s">
        <v>3032</v>
      </c>
      <c r="G4949" s="72" t="s">
        <v>1899</v>
      </c>
      <c r="H4949" s="73" t="s">
        <v>1879</v>
      </c>
      <c r="I4949" s="371"/>
      <c r="J4949" s="377"/>
      <c r="K4949" s="371"/>
      <c r="L4949" s="377"/>
      <c r="M4949" s="74">
        <v>1000000000</v>
      </c>
      <c r="N4949" s="75" t="s">
        <v>262</v>
      </c>
      <c r="O4949" s="75" t="s">
        <v>63</v>
      </c>
      <c r="P4949" s="75" t="str">
        <f>IF(AND('331-CT'!$E$7=TH!H6915,OR(N4949="331",O4949="331")),"x","")</f>
        <v/>
      </c>
      <c r="Q4949" s="75" t="str">
        <f>IF(AND(B4949='111'!$L$11,OR($N4949=$Q$7,$O4949=$Q$7)),"x","")</f>
        <v/>
      </c>
      <c r="R4949" s="75" t="str">
        <f>IF(AND($N4949=$Q$7,$B4949&lt;'111'!$L$11),"x","")</f>
        <v/>
      </c>
      <c r="S4949" s="75" t="str">
        <f>IF(AND($O4949=$Q$7,$B4949&lt;'111'!$L$11),"x","")</f>
        <v>x</v>
      </c>
      <c r="T4949" s="75" t="str">
        <f>IF(ISERROR(FIND('112'!$M$9,G4949,1)),"",IF((AND(FIND('112'!$M$9,G4949,1)&gt;=1,B4949='112'!$K$9,OR($N4949='112'!$I$6,$O4949='112'!$I$6))),"x",""))</f>
        <v/>
      </c>
      <c r="U4949" s="75" t="str">
        <f>IF(ISERROR(FIND('112'!$M$9,G4949,1)),"",IF((AND(LEFT(G4949,2)=LEFT('112'!$M$9,2),B4949&lt;'112'!$K$9,$N4949='112'!$I$6)),"x",""))</f>
        <v/>
      </c>
      <c r="V4949" s="75" t="str">
        <f>IF(ISERROR(FIND('112'!$M$9,G4949,1)),"",IF((AND(RIGHT(G4949,2)=RIGHT('112'!$M$9,2),B4949&lt;'112'!$K$9,$O4949='112'!$I$6)),"x",""))</f>
        <v/>
      </c>
      <c r="W4949" s="75" t="str">
        <f>IF(AND('341-CT'!$H$9=H4949,OR(LEFT(N4949,3)=$W$7,LEFT(O4949,3)=$W$7)),"x","")</f>
        <v/>
      </c>
      <c r="X4949" s="75" t="str">
        <f>IF(OR(TH!N6915=TH!$X$7,O4949=TH!$X$7),"x","")</f>
        <v/>
      </c>
      <c r="Y4949" s="75" t="str">
        <f>IF(AND(OR(N4949="131",O4949="131"),H4949='131-CT'!$H$9),"x","")</f>
        <v/>
      </c>
      <c r="Z4949" s="75"/>
      <c r="AA4949" s="75" t="str">
        <f>IF(AND(MONTH(E4949)='IN-NX'!$J$5,'IN-NX'!$D$7=D4949),"x","")</f>
        <v/>
      </c>
      <c r="AB4949" s="75" t="str">
        <f>IF(AND(OR(LEFT(TH!N6915,2)="15",LEFT(TH!O6915,2)="15"),LEFT(TH!O6915,3)&lt;&gt;"111",'152-CT'!$J$8=TH!F6915),"x","")</f>
        <v/>
      </c>
      <c r="AC4949" s="75" t="str">
        <f>IF(AND(OR(LEFT(TH!N6915,2)="15",LEFT(TH!O6915,2)="15"),TK!$E$7=TH!F6915),"x","")</f>
        <v/>
      </c>
      <c r="AD4949" s="75" t="str">
        <f>IF(AND(N4949="1521",MONTH(C4949)='BK-NL'!$M$11),"x","")</f>
        <v/>
      </c>
      <c r="AE4949" s="1264"/>
      <c r="AF4949" s="1264"/>
      <c r="AG4949" s="1264"/>
    </row>
    <row r="4950" spans="1:33" ht="16.5" customHeight="1">
      <c r="A4950" s="309" t="str">
        <f>IF(B4950&lt;&gt;"",IF(AND(B4950='IN-TC'!$S$4,OR(TH!N4940="1111",TH!O4940="1111")),TH!D4940,""),"")</f>
        <v/>
      </c>
      <c r="B4950" s="1242">
        <f t="shared" si="1340"/>
        <v>9</v>
      </c>
      <c r="C4950" s="292">
        <f t="shared" si="1339"/>
        <v>43004</v>
      </c>
      <c r="D4950" s="292"/>
      <c r="E4950" s="292">
        <v>43004</v>
      </c>
      <c r="F4950" s="67" t="s">
        <v>1165</v>
      </c>
      <c r="G4950" s="925" t="s">
        <v>1172</v>
      </c>
      <c r="H4950" s="294" t="s">
        <v>2186</v>
      </c>
      <c r="I4950" s="373"/>
      <c r="J4950" s="926"/>
      <c r="K4950" s="373"/>
      <c r="L4950" s="379"/>
      <c r="M4950" s="927">
        <v>19762050</v>
      </c>
      <c r="N4950" s="295" t="s">
        <v>8</v>
      </c>
      <c r="O4950" s="295" t="s">
        <v>63</v>
      </c>
      <c r="P4950" s="75" t="str">
        <f>IF(AND('331-CT'!$E$7=TH!H3920,OR(N4950="331",O4950="331")),"x","")</f>
        <v/>
      </c>
      <c r="Q4950" s="75" t="str">
        <f>IF(AND(B4950='111'!$L$11,OR($N4950=$Q$7,$O4950=$Q$7)),"x","")</f>
        <v/>
      </c>
      <c r="R4950" s="75" t="str">
        <f>IF(AND($N4950=$Q$7,$B4950&lt;'111'!$L$11),"x","")</f>
        <v/>
      </c>
      <c r="S4950" s="75" t="str">
        <f>IF(AND($O4950=$Q$7,$B4950&lt;'111'!$L$11),"x","")</f>
        <v>x</v>
      </c>
      <c r="T4950" s="75" t="str">
        <f>IF(ISERROR(FIND('112'!$M$9,G4950,1)),"",IF((AND(FIND('112'!$M$9,G4950,1)&gt;=1,B4950='112'!$K$9,OR($N4950='112'!$I$6,$O4950='112'!$I$6))),"x",""))</f>
        <v/>
      </c>
      <c r="U4950" s="75" t="str">
        <f>IF(ISERROR(FIND('112'!$M$9,G4950,1)),"",IF((AND(LEFT(G4950,2)=LEFT('112'!$M$9,2),B4950&lt;'112'!$K$9,$N4950='112'!$I$6)),"x",""))</f>
        <v/>
      </c>
      <c r="V4950" s="75" t="str">
        <f>IF(ISERROR(FIND('112'!$M$9,G4950,1)),"",IF((AND(RIGHT(G4950,2)=RIGHT('112'!$M$9,2),B4950&lt;'112'!$K$9,$O4950='112'!$I$6)),"x",""))</f>
        <v/>
      </c>
      <c r="W4950" s="75" t="str">
        <f>IF(AND('341-CT'!$H$9=H4950,OR(LEFT(N4950,3)=$W$7,LEFT(O4950,3)=$W$7)),"x","")</f>
        <v/>
      </c>
      <c r="X4950" s="75" t="str">
        <f>IF(OR(TH!N3920=TH!$X$7,O4950=TH!$X$7),"x","")</f>
        <v/>
      </c>
      <c r="Y4950" s="75" t="str">
        <f>IF(AND(OR(N4950="131",O4950="131"),H4950='131-CT'!$H$9),"x","")</f>
        <v/>
      </c>
      <c r="Z4950" s="75"/>
      <c r="AA4950" s="75" t="str">
        <f>IF(AND(MONTH(E4950)='IN-NX'!$J$5,'IN-NX'!$D$7=D4950),"x","")</f>
        <v/>
      </c>
      <c r="AB4950" s="75" t="str">
        <f>IF(AND(OR(LEFT(TH!N3920,2)="15",LEFT(TH!O3920,2)="15"),LEFT(TH!O3920,3)&lt;&gt;"111",'152-CT'!$J$8=TH!F3920),"x","")</f>
        <v/>
      </c>
      <c r="AC4950" s="75" t="str">
        <f>IF(AND(OR(LEFT(TH!N3920,2)="15",LEFT(TH!O3920,2)="15"),TK!$E$7=TH!F3920),"x","")</f>
        <v/>
      </c>
      <c r="AD4950" s="75" t="str">
        <f>IF(AND(N4950="1521",MONTH(C4950)='BK-NL'!$M$11),"x","")</f>
        <v/>
      </c>
    </row>
    <row r="4951" spans="1:33" ht="16.5" customHeight="1">
      <c r="A4951" s="309" t="str">
        <f>IF(B4951&lt;&gt;"",IF(AND(B4951='IN-TC'!$S$4,OR(TH!N4941="1111",TH!O4941="1111")),TH!D4941,""),"")</f>
        <v/>
      </c>
      <c r="B4951" s="1242">
        <f t="shared" si="1340"/>
        <v>9</v>
      </c>
      <c r="C4951" s="292">
        <f t="shared" si="1339"/>
        <v>43004</v>
      </c>
      <c r="D4951" s="59" t="s">
        <v>903</v>
      </c>
      <c r="E4951" s="59">
        <v>43004</v>
      </c>
      <c r="F4951" s="62" t="s">
        <v>1090</v>
      </c>
      <c r="G4951" s="62" t="s">
        <v>2296</v>
      </c>
      <c r="H4951" s="67" t="s">
        <v>845</v>
      </c>
      <c r="I4951" s="375"/>
      <c r="J4951" s="382"/>
      <c r="K4951" s="375"/>
      <c r="L4951" s="381"/>
      <c r="M4951" s="60">
        <v>20000000</v>
      </c>
      <c r="N4951" s="61" t="s">
        <v>26</v>
      </c>
      <c r="O4951" s="61" t="s">
        <v>26</v>
      </c>
      <c r="P4951" s="75" t="str">
        <f>IF(AND('331-CT'!$E$7=TH!H4411,OR(N4951="331",O4951="331")),"x","")</f>
        <v/>
      </c>
      <c r="Q4951" s="75" t="str">
        <f>IF(AND(B4951='111'!$L$11,OR($N4951=$Q$7,$O4951=$Q$7)),"x","")</f>
        <v/>
      </c>
      <c r="R4951" s="75" t="str">
        <f>IF(AND($N4951=$Q$7,$B4951&lt;'111'!$L$11),"x","")</f>
        <v/>
      </c>
      <c r="S4951" s="75" t="str">
        <f>IF(AND($O4951=$Q$7,$B4951&lt;'111'!$L$11),"x","")</f>
        <v/>
      </c>
      <c r="T4951" s="75" t="str">
        <f>IF(ISERROR(FIND('112'!$M$9,G4951,1)),"",IF((AND(FIND('112'!$M$9,G4951,1)&gt;=1,B4951='112'!$K$9,OR($N4951='112'!$I$6,$O4951='112'!$I$6))),"x",""))</f>
        <v/>
      </c>
      <c r="U4951" s="75" t="str">
        <f>IF(ISERROR(FIND('112'!$M$9,G4951,1)),"",IF((AND(LEFT(G4951,2)=LEFT('112'!$M$9,2),B4951&lt;'112'!$K$9,$N4951='112'!$I$6)),"x",""))</f>
        <v>x</v>
      </c>
      <c r="V4951" s="75" t="str">
        <f>IF(ISERROR(FIND('112'!$M$9,G4951,1)),"",IF((AND(RIGHT(G4951,2)=RIGHT('112'!$M$9,2),B4951&lt;'112'!$K$9,$O4951='112'!$I$6)),"x",""))</f>
        <v/>
      </c>
      <c r="W4951" s="75" t="str">
        <f>IF(AND('341-CT'!$H$9=H4951,OR(LEFT(N4951,3)=$W$7,LEFT(O4951,3)=$W$7)),"x","")</f>
        <v/>
      </c>
      <c r="X4951" s="75" t="str">
        <f>IF(OR(TH!N4411=TH!$X$7,O4951=TH!$X$7),"x","")</f>
        <v/>
      </c>
      <c r="Y4951" s="75" t="str">
        <f>IF(AND(OR(N4951="131",O4951="131"),H4951='131-CT'!$H$9),"x","")</f>
        <v/>
      </c>
      <c r="Z4951" s="75"/>
      <c r="AA4951" s="75" t="str">
        <f>IF(AND(MONTH(E4951)='IN-NX'!$J$5,'IN-NX'!$D$7=D4951),"x","")</f>
        <v/>
      </c>
      <c r="AB4951" s="75" t="str">
        <f>IF(AND(OR(LEFT(TH!N4411,2)="15",LEFT(TH!O4411,2)="15"),LEFT(TH!O4411,3)&lt;&gt;"111",'152-CT'!$J$8=TH!F4411),"x","")</f>
        <v/>
      </c>
      <c r="AC4951" s="75" t="str">
        <f>IF(AND(OR(LEFT(TH!N4411,2)="15",LEFT(TH!O4411,2)="15"),TK!$E$7=TH!F4411),"x","")</f>
        <v/>
      </c>
      <c r="AD4951" s="75" t="str">
        <f>IF(AND(N4951="1521",MONTH(C4951)='BK-NL'!$M$11),"x","")</f>
        <v/>
      </c>
    </row>
    <row r="4952" spans="1:33" ht="16.5" customHeight="1">
      <c r="A4952" s="309" t="str">
        <f>IF(B4952&lt;&gt;"",IF(AND(B4952='IN-TC'!$S$4,OR(TH!N4942="1111",TH!O4942="1111")),TH!D4942,""),"")</f>
        <v/>
      </c>
      <c r="B4952" s="1242">
        <f t="shared" si="1340"/>
        <v>9</v>
      </c>
      <c r="C4952" s="292">
        <f t="shared" si="1339"/>
        <v>43004</v>
      </c>
      <c r="D4952" s="59" t="s">
        <v>902</v>
      </c>
      <c r="E4952" s="59">
        <v>43004</v>
      </c>
      <c r="F4952" s="67" t="s">
        <v>2295</v>
      </c>
      <c r="G4952" s="62" t="s">
        <v>586</v>
      </c>
      <c r="H4952" s="67" t="s">
        <v>982</v>
      </c>
      <c r="I4952" s="373"/>
      <c r="J4952" s="382"/>
      <c r="K4952" s="373"/>
      <c r="L4952" s="379"/>
      <c r="M4952" s="60">
        <v>16318422</v>
      </c>
      <c r="N4952" s="61" t="s">
        <v>19</v>
      </c>
      <c r="O4952" s="61" t="s">
        <v>26</v>
      </c>
      <c r="P4952" s="75" t="str">
        <f>IF(AND('331-CT'!$E$7=TH!H4412,OR(N4952="331",O4952="331")),"x","")</f>
        <v/>
      </c>
      <c r="Q4952" s="75" t="str">
        <f>IF(AND(B4952='111'!$L$11,OR($N4952=$Q$7,$O4952=$Q$7)),"x","")</f>
        <v/>
      </c>
      <c r="R4952" s="75" t="str">
        <f>IF(AND($N4952=$Q$7,$B4952&lt;'111'!$L$11),"x","")</f>
        <v/>
      </c>
      <c r="S4952" s="75" t="str">
        <f>IF(AND($O4952=$Q$7,$B4952&lt;'111'!$L$11),"x","")</f>
        <v/>
      </c>
      <c r="T4952" s="75" t="str">
        <f>IF(ISERROR(FIND('112'!$M$9,G4952,1)),"",IF((AND(FIND('112'!$M$9,G4952,1)&gt;=1,B4952='112'!$K$9,OR($N4952='112'!$I$6,$O4952='112'!$I$6))),"x",""))</f>
        <v/>
      </c>
      <c r="U4952" s="75" t="str">
        <f>IF(ISERROR(FIND('112'!$M$9,G4952,1)),"",IF((AND(LEFT(G4952,2)=LEFT('112'!$M$9,2),B4952&lt;'112'!$K$9,$N4952='112'!$I$6)),"x",""))</f>
        <v/>
      </c>
      <c r="V4952" s="75" t="str">
        <f>IF(ISERROR(FIND('112'!$M$9,G4952,1)),"",IF((AND(RIGHT(G4952,2)=RIGHT('112'!$M$9,2),B4952&lt;'112'!$K$9,$O4952='112'!$I$6)),"x",""))</f>
        <v>x</v>
      </c>
      <c r="W4952" s="75" t="str">
        <f>IF(AND('341-CT'!$H$9=H4952,OR(LEFT(N4952,3)=$W$7,LEFT(O4952,3)=$W$7)),"x","")</f>
        <v/>
      </c>
      <c r="X4952" s="75" t="str">
        <f>IF(OR(TH!N4412=TH!$X$7,O4952=TH!$X$7),"x","")</f>
        <v/>
      </c>
      <c r="Y4952" s="75" t="str">
        <f>IF(AND(OR(N4952="131",O4952="131"),H4952='131-CT'!$H$9),"x","")</f>
        <v/>
      </c>
      <c r="Z4952" s="75"/>
      <c r="AA4952" s="75" t="str">
        <f>IF(AND(MONTH(E4952)='IN-NX'!$J$5,'IN-NX'!$D$7=D4952),"x","")</f>
        <v/>
      </c>
      <c r="AB4952" s="75" t="str">
        <f>IF(AND(OR(LEFT(TH!N4412,2)="15",LEFT(TH!O4412,2)="15"),LEFT(TH!O4412,3)&lt;&gt;"111",'152-CT'!$J$8=TH!F4412),"x","")</f>
        <v/>
      </c>
      <c r="AC4952" s="75" t="str">
        <f>IF(AND(OR(LEFT(TH!N4412,2)="15",LEFT(TH!O4412,2)="15"),TK!$E$7=TH!F4412),"x","")</f>
        <v/>
      </c>
      <c r="AD4952" s="75" t="str">
        <f>IF(AND(N4952="1521",MONTH(C4952)='BK-NL'!$M$11),"x","")</f>
        <v/>
      </c>
    </row>
    <row r="4953" spans="1:33" ht="16.5" customHeight="1">
      <c r="A4953" s="309" t="str">
        <f>IF(B4953&lt;&gt;"",IF(AND(B4953='IN-TC'!$S$4,OR(TH!N4943="1111",TH!O4943="1111")),TH!D4943,""),"")</f>
        <v/>
      </c>
      <c r="B4953" s="1242">
        <f t="shared" si="1340"/>
        <v>9</v>
      </c>
      <c r="C4953" s="292">
        <f t="shared" si="1339"/>
        <v>43004</v>
      </c>
      <c r="D4953" s="59" t="s">
        <v>902</v>
      </c>
      <c r="E4953" s="59">
        <v>43004</v>
      </c>
      <c r="F4953" s="62" t="s">
        <v>1307</v>
      </c>
      <c r="G4953" s="62" t="s">
        <v>586</v>
      </c>
      <c r="H4953" s="67" t="s">
        <v>982</v>
      </c>
      <c r="I4953" s="375"/>
      <c r="J4953" s="382"/>
      <c r="K4953" s="375"/>
      <c r="L4953" s="381"/>
      <c r="M4953" s="60">
        <v>20000</v>
      </c>
      <c r="N4953" s="61" t="s">
        <v>101</v>
      </c>
      <c r="O4953" s="61" t="s">
        <v>26</v>
      </c>
      <c r="P4953" s="75" t="str">
        <f>IF(AND('331-CT'!$E$7=TH!H4413,OR(N4953="331",O4953="331")),"x","")</f>
        <v/>
      </c>
      <c r="Q4953" s="75" t="str">
        <f>IF(AND(B4953='111'!$L$11,OR($N4953=$Q$7,$O4953=$Q$7)),"x","")</f>
        <v/>
      </c>
      <c r="R4953" s="75" t="str">
        <f>IF(AND($N4953=$Q$7,$B4953&lt;'111'!$L$11),"x","")</f>
        <v/>
      </c>
      <c r="S4953" s="75" t="str">
        <f>IF(AND($O4953=$Q$7,$B4953&lt;'111'!$L$11),"x","")</f>
        <v/>
      </c>
      <c r="T4953" s="75" t="str">
        <f>IF(ISERROR(FIND('112'!$M$9,G4953,1)),"",IF((AND(FIND('112'!$M$9,G4953,1)&gt;=1,B4953='112'!$K$9,OR($N4953='112'!$I$6,$O4953='112'!$I$6))),"x",""))</f>
        <v/>
      </c>
      <c r="U4953" s="75" t="str">
        <f>IF(ISERROR(FIND('112'!$M$9,G4953,1)),"",IF((AND(LEFT(G4953,2)=LEFT('112'!$M$9,2),B4953&lt;'112'!$K$9,$N4953='112'!$I$6)),"x",""))</f>
        <v/>
      </c>
      <c r="V4953" s="75" t="str">
        <f>IF(ISERROR(FIND('112'!$M$9,G4953,1)),"",IF((AND(RIGHT(G4953,2)=RIGHT('112'!$M$9,2),B4953&lt;'112'!$K$9,$O4953='112'!$I$6)),"x",""))</f>
        <v>x</v>
      </c>
      <c r="W4953" s="75" t="str">
        <f>IF(AND('341-CT'!$H$9=H4953,OR(LEFT(N4953,3)=$W$7,LEFT(O4953,3)=$W$7)),"x","")</f>
        <v/>
      </c>
      <c r="X4953" s="75" t="str">
        <f>IF(OR(TH!N4413=TH!$X$7,O4953=TH!$X$7),"x","")</f>
        <v/>
      </c>
      <c r="Y4953" s="75" t="str">
        <f>IF(AND(OR(N4953="131",O4953="131"),H4953='131-CT'!$H$9),"x","")</f>
        <v/>
      </c>
      <c r="Z4953" s="75"/>
      <c r="AA4953" s="75" t="str">
        <f>IF(AND(MONTH(E4953)='IN-NX'!$J$5,'IN-NX'!$D$7=D4953),"x","")</f>
        <v/>
      </c>
      <c r="AB4953" s="75" t="str">
        <f>IF(AND(OR(LEFT(TH!N4413,2)="15",LEFT(TH!O4413,2)="15"),LEFT(TH!O4413,3)&lt;&gt;"111",'152-CT'!$J$8=TH!F4413),"x","")</f>
        <v/>
      </c>
      <c r="AC4953" s="75" t="str">
        <f>IF(AND(OR(LEFT(TH!N4413,2)="15",LEFT(TH!O4413,2)="15"),TK!$E$7=TH!F4413),"x","")</f>
        <v/>
      </c>
      <c r="AD4953" s="75" t="str">
        <f>IF(AND(N4953="1521",MONTH(C4953)='BK-NL'!$M$11),"x","")</f>
        <v/>
      </c>
      <c r="AE4953">
        <v>9</v>
      </c>
    </row>
    <row r="4954" spans="1:33" ht="16.5" customHeight="1">
      <c r="A4954" s="309" t="str">
        <f>IF(B4954&lt;&gt;"",IF(AND(B4954='IN-TC'!$S$4,OR(TH!N4944="1111",TH!O4944="1111")),TH!D4944,""),"")</f>
        <v/>
      </c>
      <c r="B4954" s="1242">
        <f t="shared" si="1340"/>
        <v>9</v>
      </c>
      <c r="C4954" s="292">
        <f t="shared" si="1339"/>
        <v>43004</v>
      </c>
      <c r="D4954" s="59" t="s">
        <v>902</v>
      </c>
      <c r="E4954" s="59">
        <v>43004</v>
      </c>
      <c r="F4954" s="62" t="s">
        <v>1314</v>
      </c>
      <c r="G4954" s="62" t="s">
        <v>586</v>
      </c>
      <c r="H4954" s="67" t="s">
        <v>982</v>
      </c>
      <c r="I4954" s="375"/>
      <c r="J4954" s="382"/>
      <c r="K4954" s="375"/>
      <c r="L4954" s="381"/>
      <c r="M4954" s="60">
        <v>2000</v>
      </c>
      <c r="N4954" s="61" t="s">
        <v>9</v>
      </c>
      <c r="O4954" s="61" t="s">
        <v>26</v>
      </c>
      <c r="P4954" s="75" t="str">
        <f>IF(AND('331-CT'!$E$7=TH!H4414,OR(N4954="331",O4954="331")),"x","")</f>
        <v/>
      </c>
      <c r="Q4954" s="75" t="str">
        <f>IF(AND(B4954='111'!$L$11,OR($N4954=$Q$7,$O4954=$Q$7)),"x","")</f>
        <v/>
      </c>
      <c r="R4954" s="75" t="str">
        <f>IF(AND($N4954=$Q$7,$B4954&lt;'111'!$L$11),"x","")</f>
        <v/>
      </c>
      <c r="S4954" s="75" t="str">
        <f>IF(AND($O4954=$Q$7,$B4954&lt;'111'!$L$11),"x","")</f>
        <v/>
      </c>
      <c r="T4954" s="75" t="str">
        <f>IF(ISERROR(FIND('112'!$M$9,G4954,1)),"",IF((AND(FIND('112'!$M$9,G4954,1)&gt;=1,B4954='112'!$K$9,OR($N4954='112'!$I$6,$O4954='112'!$I$6))),"x",""))</f>
        <v/>
      </c>
      <c r="U4954" s="75" t="str">
        <f>IF(ISERROR(FIND('112'!$M$9,G4954,1)),"",IF((AND(LEFT(G4954,2)=LEFT('112'!$M$9,2),B4954&lt;'112'!$K$9,$N4954='112'!$I$6)),"x",""))</f>
        <v/>
      </c>
      <c r="V4954" s="75" t="str">
        <f>IF(ISERROR(FIND('112'!$M$9,G4954,1)),"",IF((AND(RIGHT(G4954,2)=RIGHT('112'!$M$9,2),B4954&lt;'112'!$K$9,$O4954='112'!$I$6)),"x",""))</f>
        <v>x</v>
      </c>
      <c r="W4954" s="75" t="str">
        <f>IF(AND('341-CT'!$H$9=H4954,OR(LEFT(N4954,3)=$W$7,LEFT(O4954,3)=$W$7)),"x","")</f>
        <v/>
      </c>
      <c r="X4954" s="75" t="str">
        <f>IF(OR(TH!N4414=TH!$X$7,O4954=TH!$X$7),"x","")</f>
        <v/>
      </c>
      <c r="Y4954" s="75" t="str">
        <f>IF(AND(OR(N4954="131",O4954="131"),H4954='131-CT'!$H$9),"x","")</f>
        <v/>
      </c>
      <c r="Z4954" s="75"/>
      <c r="AA4954" s="75" t="str">
        <f>IF(AND(MONTH(E4954)='IN-NX'!$J$5,'IN-NX'!$D$7=D4954),"x","")</f>
        <v/>
      </c>
      <c r="AB4954" s="75" t="str">
        <f>IF(AND(OR(LEFT(TH!N4414,2)="15",LEFT(TH!O4414,2)="15"),LEFT(TH!O4414,3)&lt;&gt;"111",'152-CT'!$J$8=TH!F4414),"x","")</f>
        <v/>
      </c>
      <c r="AC4954" s="75" t="str">
        <f>IF(AND(OR(LEFT(TH!N4414,2)="15",LEFT(TH!O4414,2)="15"),TK!$E$7=TH!F4414),"x","")</f>
        <v/>
      </c>
      <c r="AD4954" s="75" t="str">
        <f>IF(AND(N4954="1521",MONTH(C4954)='BK-NL'!$M$11),"x","")</f>
        <v/>
      </c>
      <c r="AE4954">
        <v>9</v>
      </c>
    </row>
    <row r="4955" spans="1:33" ht="16.5" customHeight="1">
      <c r="A4955" s="309" t="str">
        <f>IF(B4955&lt;&gt;"",IF(AND(B4955='IN-TC'!$S$4,OR(TH!N4945="1111",TH!O4945="1111")),TH!D4945,""),"")</f>
        <v/>
      </c>
      <c r="B4955" s="1242">
        <f t="shared" si="1340"/>
        <v>9</v>
      </c>
      <c r="C4955" s="292">
        <f t="shared" si="1339"/>
        <v>43004</v>
      </c>
      <c r="D4955" s="59" t="s">
        <v>902</v>
      </c>
      <c r="E4955" s="59">
        <v>43004</v>
      </c>
      <c r="F4955" s="62" t="s">
        <v>2259</v>
      </c>
      <c r="G4955" s="62" t="s">
        <v>585</v>
      </c>
      <c r="H4955" s="311" t="s">
        <v>562</v>
      </c>
      <c r="I4955" s="373"/>
      <c r="J4955" s="382"/>
      <c r="K4955" s="373"/>
      <c r="L4955" s="379"/>
      <c r="M4955" s="60">
        <v>46506548</v>
      </c>
      <c r="N4955" s="61" t="s">
        <v>8</v>
      </c>
      <c r="O4955" s="61" t="s">
        <v>26</v>
      </c>
      <c r="P4955" s="75" t="str">
        <f>IF(AND('331-CT'!$E$7=TH!H4847,OR(N4955="331",O4955="331")),"x","")</f>
        <v/>
      </c>
      <c r="Q4955" s="75" t="str">
        <f>IF(AND(B4955='111'!$L$11,OR($N4955=$Q$7,$O4955=$Q$7)),"x","")</f>
        <v/>
      </c>
      <c r="R4955" s="75" t="str">
        <f>IF(AND($N4955=$Q$7,$B4955&lt;'111'!$L$11),"x","")</f>
        <v/>
      </c>
      <c r="S4955" s="75" t="str">
        <f>IF(AND($O4955=$Q$7,$B4955&lt;'111'!$L$11),"x","")</f>
        <v/>
      </c>
      <c r="T4955" s="75" t="str">
        <f>IF(ISERROR(FIND('112'!$M$9,G4955,1)),"",IF((AND(FIND('112'!$M$9,G4955,1)&gt;=1,B4955='112'!$K$9,OR($N4955='112'!$I$6,$O4955='112'!$I$6))),"x",""))</f>
        <v/>
      </c>
      <c r="U4955" s="75" t="str">
        <f>IF(ISERROR(FIND('112'!$M$9,G4955,1)),"",IF((AND(LEFT(G4955,2)=LEFT('112'!$M$9,2),B4955&lt;'112'!$K$9,$N4955='112'!$I$6)),"x",""))</f>
        <v/>
      </c>
      <c r="V4955" s="75" t="str">
        <f>IF(ISERROR(FIND('112'!$M$9,G4955,1)),"",IF((AND(RIGHT(G4955,2)=RIGHT('112'!$M$9,2),B4955&lt;'112'!$K$9,$O4955='112'!$I$6)),"x",""))</f>
        <v/>
      </c>
      <c r="W4955" s="75" t="str">
        <f>IF(AND('341-CT'!$H$9=H4955,OR(LEFT(N4955,3)=$W$7,LEFT(O4955,3)=$W$7)),"x","")</f>
        <v/>
      </c>
      <c r="X4955" s="75" t="str">
        <f>IF(OR(TH!N4847=TH!$X$7,O4955=TH!$X$7),"x","")</f>
        <v/>
      </c>
      <c r="Y4955" s="75" t="str">
        <f>IF(AND(OR(N4955="131",O4955="131"),H4955='131-CT'!$H$9),"x","")</f>
        <v/>
      </c>
      <c r="Z4955" s="75"/>
      <c r="AA4955" s="75" t="str">
        <f>IF(AND(MONTH(E4955)='IN-NX'!$J$5,'IN-NX'!$D$7=D4955),"x","")</f>
        <v/>
      </c>
      <c r="AB4955" s="75" t="str">
        <f>IF(AND(OR(LEFT(TH!N4847,2)="15",LEFT(TH!O4847,2)="15"),LEFT(TH!O4847,3)&lt;&gt;"111",'152-CT'!$J$8=TH!F4847),"x","")</f>
        <v/>
      </c>
      <c r="AC4955" s="75" t="str">
        <f>IF(AND(OR(LEFT(TH!N4847,2)="15",LEFT(TH!O4847,2)="15"),TK!$E$7=TH!F4847),"x","")</f>
        <v/>
      </c>
      <c r="AD4955" s="75" t="str">
        <f>IF(AND(N4955="1521",MONTH(C4955)='BK-NL'!$M$11),"x","")</f>
        <v/>
      </c>
    </row>
    <row r="4956" spans="1:33" ht="16.5" customHeight="1">
      <c r="A4956" s="309" t="str">
        <f>IF(B4956&lt;&gt;"",IF(AND(B4956='IN-TC'!$S$4,OR(TH!N4946="1111",TH!O4946="1111")),TH!D4946,""),"")</f>
        <v/>
      </c>
      <c r="B4956" s="1242">
        <f t="shared" si="1340"/>
        <v>9</v>
      </c>
      <c r="C4956" s="292">
        <f t="shared" si="1339"/>
        <v>43004</v>
      </c>
      <c r="D4956" s="59" t="s">
        <v>902</v>
      </c>
      <c r="E4956" s="59">
        <v>43004</v>
      </c>
      <c r="F4956" s="62" t="s">
        <v>1307</v>
      </c>
      <c r="G4956" s="62" t="s">
        <v>585</v>
      </c>
      <c r="H4956" s="67" t="s">
        <v>845</v>
      </c>
      <c r="I4956" s="373"/>
      <c r="J4956" s="382"/>
      <c r="K4956" s="373"/>
      <c r="L4956" s="379"/>
      <c r="M4956" s="60">
        <v>23253</v>
      </c>
      <c r="N4956" s="61" t="s">
        <v>101</v>
      </c>
      <c r="O4956" s="61" t="s">
        <v>26</v>
      </c>
      <c r="P4956" s="75" t="str">
        <f>IF(AND('331-CT'!$E$7=TH!H4848,OR(N4956="331",O4956="331")),"x","")</f>
        <v/>
      </c>
      <c r="Q4956" s="75" t="str">
        <f>IF(AND(B4956='111'!$L$11,OR($N4956=$Q$7,$O4956=$Q$7)),"x","")</f>
        <v/>
      </c>
      <c r="R4956" s="75" t="str">
        <f>IF(AND($N4956=$Q$7,$B4956&lt;'111'!$L$11),"x","")</f>
        <v/>
      </c>
      <c r="S4956" s="75" t="str">
        <f>IF(AND($O4956=$Q$7,$B4956&lt;'111'!$L$11),"x","")</f>
        <v/>
      </c>
      <c r="T4956" s="75" t="str">
        <f>IF(ISERROR(FIND('112'!$M$9,G4956,1)),"",IF((AND(FIND('112'!$M$9,G4956,1)&gt;=1,B4956='112'!$K$9,OR($N4956='112'!$I$6,$O4956='112'!$I$6))),"x",""))</f>
        <v/>
      </c>
      <c r="U4956" s="75" t="str">
        <f>IF(ISERROR(FIND('112'!$M$9,G4956,1)),"",IF((AND(LEFT(G4956,2)=LEFT('112'!$M$9,2),B4956&lt;'112'!$K$9,$N4956='112'!$I$6)),"x",""))</f>
        <v/>
      </c>
      <c r="V4956" s="75" t="str">
        <f>IF(ISERROR(FIND('112'!$M$9,G4956,1)),"",IF((AND(RIGHT(G4956,2)=RIGHT('112'!$M$9,2),B4956&lt;'112'!$K$9,$O4956='112'!$I$6)),"x",""))</f>
        <v/>
      </c>
      <c r="W4956" s="75" t="str">
        <f>IF(AND('341-CT'!$H$9=H4956,OR(LEFT(N4956,3)=$W$7,LEFT(O4956,3)=$W$7)),"x","")</f>
        <v/>
      </c>
      <c r="X4956" s="75" t="str">
        <f>IF(OR(TH!N4848=TH!$X$7,O4956=TH!$X$7),"x","")</f>
        <v/>
      </c>
      <c r="Y4956" s="75" t="str">
        <f>IF(AND(OR(N4956="131",O4956="131"),H4956='131-CT'!$H$9),"x","")</f>
        <v/>
      </c>
      <c r="Z4956" s="75"/>
      <c r="AA4956" s="75" t="str">
        <f>IF(AND(MONTH(E4956)='IN-NX'!$J$5,'IN-NX'!$D$7=D4956),"x","")</f>
        <v/>
      </c>
      <c r="AB4956" s="75" t="str">
        <f>IF(AND(OR(LEFT(TH!N4848,2)="15",LEFT(TH!O4848,2)="15"),LEFT(TH!O4848,3)&lt;&gt;"111",'152-CT'!$J$8=TH!F4848),"x","")</f>
        <v/>
      </c>
      <c r="AC4956" s="75" t="str">
        <f>IF(AND(OR(LEFT(TH!N4848,2)="15",LEFT(TH!O4848,2)="15"),TK!$E$7=TH!F4848),"x","")</f>
        <v/>
      </c>
      <c r="AD4956" s="75" t="str">
        <f>IF(AND(N4956="1521",MONTH(C4956)='BK-NL'!$M$11),"x","")</f>
        <v/>
      </c>
      <c r="AE4956">
        <v>9</v>
      </c>
    </row>
    <row r="4957" spans="1:33" ht="16.5" customHeight="1">
      <c r="A4957" s="309" t="str">
        <f>IF(B4957&lt;&gt;"",IF(AND(B4957='IN-TC'!$S$4,OR(TH!N4947="1111",TH!O4947="1111")),TH!D4947,""),"")</f>
        <v/>
      </c>
      <c r="B4957" s="1242">
        <f t="shared" si="1340"/>
        <v>9</v>
      </c>
      <c r="C4957" s="292">
        <f t="shared" si="1339"/>
        <v>43004</v>
      </c>
      <c r="D4957" s="59" t="s">
        <v>902</v>
      </c>
      <c r="E4957" s="59">
        <v>43004</v>
      </c>
      <c r="F4957" s="62" t="s">
        <v>2101</v>
      </c>
      <c r="G4957" s="62" t="s">
        <v>585</v>
      </c>
      <c r="H4957" s="67" t="s">
        <v>845</v>
      </c>
      <c r="I4957" s="373"/>
      <c r="J4957" s="382"/>
      <c r="K4957" s="373"/>
      <c r="L4957" s="379"/>
      <c r="M4957" s="60">
        <v>2325</v>
      </c>
      <c r="N4957" s="61" t="s">
        <v>9</v>
      </c>
      <c r="O4957" s="61" t="s">
        <v>26</v>
      </c>
      <c r="P4957" s="75" t="str">
        <f>IF(AND('331-CT'!$E$7=TH!H4849,OR(N4957="331",O4957="331")),"x","")</f>
        <v/>
      </c>
      <c r="Q4957" s="75" t="str">
        <f>IF(AND(B4957='111'!$L$11,OR($N4957=$Q$7,$O4957=$Q$7)),"x","")</f>
        <v/>
      </c>
      <c r="R4957" s="75" t="str">
        <f>IF(AND($N4957=$Q$7,$B4957&lt;'111'!$L$11),"x","")</f>
        <v/>
      </c>
      <c r="S4957" s="75" t="str">
        <f>IF(AND($O4957=$Q$7,$B4957&lt;'111'!$L$11),"x","")</f>
        <v/>
      </c>
      <c r="T4957" s="75" t="str">
        <f>IF(ISERROR(FIND('112'!$M$9,G4957,1)),"",IF((AND(FIND('112'!$M$9,G4957,1)&gt;=1,B4957='112'!$K$9,OR($N4957='112'!$I$6,$O4957='112'!$I$6))),"x",""))</f>
        <v/>
      </c>
      <c r="U4957" s="75" t="str">
        <f>IF(ISERROR(FIND('112'!$M$9,G4957,1)),"",IF((AND(LEFT(G4957,2)=LEFT('112'!$M$9,2),B4957&lt;'112'!$K$9,$N4957='112'!$I$6)),"x",""))</f>
        <v/>
      </c>
      <c r="V4957" s="75" t="str">
        <f>IF(ISERROR(FIND('112'!$M$9,G4957,1)),"",IF((AND(RIGHT(G4957,2)=RIGHT('112'!$M$9,2),B4957&lt;'112'!$K$9,$O4957='112'!$I$6)),"x",""))</f>
        <v/>
      </c>
      <c r="W4957" s="75" t="str">
        <f>IF(AND('341-CT'!$H$9=H4957,OR(LEFT(N4957,3)=$W$7,LEFT(O4957,3)=$W$7)),"x","")</f>
        <v/>
      </c>
      <c r="X4957" s="75" t="str">
        <f>IF(OR(TH!N4849=TH!$X$7,O4957=TH!$X$7),"x","")</f>
        <v/>
      </c>
      <c r="Y4957" s="75" t="str">
        <f>IF(AND(OR(N4957="131",O4957="131"),H4957='131-CT'!$H$9),"x","")</f>
        <v/>
      </c>
      <c r="Z4957" s="75"/>
      <c r="AA4957" s="75" t="str">
        <f>IF(AND(MONTH(E4957)='IN-NX'!$J$5,'IN-NX'!$D$7=D4957),"x","")</f>
        <v/>
      </c>
      <c r="AB4957" s="75" t="str">
        <f>IF(AND(OR(LEFT(TH!N4849,2)="15",LEFT(TH!O4849,2)="15"),LEFT(TH!O4849,3)&lt;&gt;"111",'152-CT'!$J$8=TH!F4849),"x","")</f>
        <v/>
      </c>
      <c r="AC4957" s="75" t="str">
        <f>IF(AND(OR(LEFT(TH!N4849,2)="15",LEFT(TH!O4849,2)="15"),TK!$E$7=TH!F4849),"x","")</f>
        <v/>
      </c>
      <c r="AD4957" s="75" t="str">
        <f>IF(AND(N4957="1521",MONTH(C4957)='BK-NL'!$M$11),"x","")</f>
        <v/>
      </c>
      <c r="AE4957">
        <v>9</v>
      </c>
    </row>
    <row r="4958" spans="1:33" ht="16.5" customHeight="1">
      <c r="A4958" s="309" t="str">
        <f>IF(B4958&lt;&gt;"",IF(AND(B4958='IN-TC'!$S$4,OR(TH!N4948="1111",TH!O4948="1111")),TH!D4948,""),"")</f>
        <v/>
      </c>
      <c r="B4958" s="1242">
        <f t="shared" si="1340"/>
        <v>9</v>
      </c>
      <c r="C4958" s="292">
        <f t="shared" si="1339"/>
        <v>43004</v>
      </c>
      <c r="D4958" s="59" t="s">
        <v>2258</v>
      </c>
      <c r="E4958" s="59">
        <v>43004</v>
      </c>
      <c r="F4958" s="62" t="s">
        <v>834</v>
      </c>
      <c r="G4958" s="62" t="s">
        <v>747</v>
      </c>
      <c r="H4958" s="67" t="s">
        <v>1023</v>
      </c>
      <c r="I4958" s="373"/>
      <c r="J4958" s="382"/>
      <c r="K4958" s="373"/>
      <c r="L4958" s="379"/>
      <c r="M4958" s="60">
        <v>200000000</v>
      </c>
      <c r="N4958" s="61" t="s">
        <v>63</v>
      </c>
      <c r="O4958" s="61" t="s">
        <v>26</v>
      </c>
      <c r="P4958" s="75" t="str">
        <f>IF(AND('331-CT'!$E$7=TH!H5464,OR(N4958="331",O4958="331")),"x","")</f>
        <v/>
      </c>
      <c r="Q4958" s="75" t="str">
        <f>IF(AND(B4958='111'!$L$11,OR($N4958=$Q$7,$O4958=$Q$7)),"x","")</f>
        <v/>
      </c>
      <c r="R4958" s="75" t="str">
        <f>IF(AND($N4958=$Q$7,$B4958&lt;'111'!$L$11),"x","")</f>
        <v>x</v>
      </c>
      <c r="S4958" s="75" t="str">
        <f>IF(AND($O4958=$Q$7,$B4958&lt;'111'!$L$11),"x","")</f>
        <v/>
      </c>
      <c r="T4958" s="75" t="str">
        <f>IF(ISERROR(FIND('112'!$M$9,G4958,1)),"",IF((AND(FIND('112'!$M$9,G4958,1)&gt;=1,B4958='112'!$K$9,OR($N4958='112'!$I$6,$O4958='112'!$I$6))),"x",""))</f>
        <v/>
      </c>
      <c r="U4958" s="75" t="str">
        <f>IF(ISERROR(FIND('112'!$M$9,G4958,1)),"",IF((AND(LEFT(G4958,2)=LEFT('112'!$M$9,2),B4958&lt;'112'!$K$9,$N4958='112'!$I$6)),"x",""))</f>
        <v/>
      </c>
      <c r="V4958" s="75" t="str">
        <f>IF(ISERROR(FIND('112'!$M$9,G4958,1)),"",IF((AND(RIGHT(G4958,2)=RIGHT('112'!$M$9,2),B4958&lt;'112'!$K$9,$O4958='112'!$I$6)),"x",""))</f>
        <v/>
      </c>
      <c r="W4958" s="75" t="str">
        <f>IF(AND('341-CT'!$H$9=H4958,OR(LEFT(N4958,3)=$W$7,LEFT(O4958,3)=$W$7)),"x","")</f>
        <v/>
      </c>
      <c r="X4958" s="75" t="str">
        <f>IF(OR(TH!N5464=TH!$X$7,O4958=TH!$X$7),"x","")</f>
        <v/>
      </c>
      <c r="Y4958" s="75" t="str">
        <f>IF(AND(OR(N4958="131",O4958="131"),H4958='131-CT'!$H$9),"x","")</f>
        <v/>
      </c>
      <c r="Z4958" s="75"/>
      <c r="AA4958" s="75" t="str">
        <f>IF(AND(MONTH(E4958)='IN-NX'!$J$5,'IN-NX'!$D$7=D4958),"x","")</f>
        <v/>
      </c>
      <c r="AB4958" s="75" t="str">
        <f>IF(AND(OR(LEFT(TH!N5464,2)="15",LEFT(TH!O5464,2)="15"),LEFT(TH!O5464,3)&lt;&gt;"111",'152-CT'!$J$8=TH!F5464),"x","")</f>
        <v/>
      </c>
      <c r="AC4958" s="75" t="str">
        <f>IF(AND(OR(LEFT(TH!N5464,2)="15",LEFT(TH!O5464,2)="15"),TK!$E$7=TH!F5464),"x","")</f>
        <v/>
      </c>
      <c r="AD4958" s="75" t="str">
        <f>IF(AND(N4958="1521",MONTH(C4958)='BK-NL'!$M$11),"x","")</f>
        <v/>
      </c>
    </row>
    <row r="4959" spans="1:33" ht="16.5" customHeight="1">
      <c r="A4959" s="309" t="str">
        <f>IF(B4959&lt;&gt;"",IF(AND(B4959='IN-TC'!$S$4,OR(TH!N4949="1111",TH!O4949="1111")),TH!D4949,""),"")</f>
        <v/>
      </c>
      <c r="B4959" s="1242">
        <f t="shared" si="1340"/>
        <v>9</v>
      </c>
      <c r="C4959" s="292">
        <f t="shared" si="1339"/>
        <v>43004</v>
      </c>
      <c r="D4959" s="59" t="s">
        <v>903</v>
      </c>
      <c r="E4959" s="59">
        <v>43004</v>
      </c>
      <c r="F4959" s="293" t="s">
        <v>252</v>
      </c>
      <c r="G4959" s="62" t="s">
        <v>747</v>
      </c>
      <c r="H4959" s="67" t="s">
        <v>2324</v>
      </c>
      <c r="I4959" s="373"/>
      <c r="J4959" s="382"/>
      <c r="K4959" s="373">
        <v>89000</v>
      </c>
      <c r="L4959" s="379">
        <f>M4959/K4959</f>
        <v>22725</v>
      </c>
      <c r="M4959" s="60">
        <v>2022525000</v>
      </c>
      <c r="N4959" s="61" t="s">
        <v>26</v>
      </c>
      <c r="O4959" s="61" t="s">
        <v>250</v>
      </c>
      <c r="P4959" s="75" t="str">
        <f>IF(AND('331-CT'!$E$7=TH!H5465,OR(N4959="331",O4959="331")),"x","")</f>
        <v/>
      </c>
      <c r="Q4959" s="75" t="str">
        <f>IF(AND(B4959='111'!$L$11,OR($N4959=$Q$7,$O4959=$Q$7)),"x","")</f>
        <v/>
      </c>
      <c r="R4959" s="75" t="str">
        <f>IF(AND($N4959=$Q$7,$B4959&lt;'111'!$L$11),"x","")</f>
        <v/>
      </c>
      <c r="S4959" s="75" t="str">
        <f>IF(AND($O4959=$Q$7,$B4959&lt;'111'!$L$11),"x","")</f>
        <v/>
      </c>
      <c r="T4959" s="75" t="str">
        <f>IF(ISERROR(FIND('112'!$M$9,G4959,1)),"",IF((AND(FIND('112'!$M$9,G4959,1)&gt;=1,B4959='112'!$K$9,OR($N4959='112'!$I$6,$O4959='112'!$I$6))),"x",""))</f>
        <v/>
      </c>
      <c r="U4959" s="75" t="str">
        <f>IF(ISERROR(FIND('112'!$M$9,G4959,1)),"",IF((AND(LEFT(G4959,2)=LEFT('112'!$M$9,2),B4959&lt;'112'!$K$9,$N4959='112'!$I$6)),"x",""))</f>
        <v/>
      </c>
      <c r="V4959" s="75" t="str">
        <f>IF(ISERROR(FIND('112'!$M$9,G4959,1)),"",IF((AND(RIGHT(G4959,2)=RIGHT('112'!$M$9,2),B4959&lt;'112'!$K$9,$O4959='112'!$I$6)),"x",""))</f>
        <v/>
      </c>
      <c r="W4959" s="75" t="str">
        <f>IF(AND('341-CT'!$H$9=H4959,OR(LEFT(N4959,3)=$W$7,LEFT(O4959,3)=$W$7)),"x","")</f>
        <v/>
      </c>
      <c r="X4959" s="75" t="str">
        <f>IF(OR(TH!N5465=TH!$X$7,O4959=TH!$X$7),"x","")</f>
        <v/>
      </c>
      <c r="Y4959" s="75" t="str">
        <f>IF(AND(OR(N4959="131",O4959="131"),H4959='131-CT'!$H$9),"x","")</f>
        <v/>
      </c>
      <c r="Z4959" s="75"/>
      <c r="AA4959" s="75" t="str">
        <f>IF(AND(MONTH(E4959)='IN-NX'!$J$5,'IN-NX'!$D$7=D4959),"x","")</f>
        <v/>
      </c>
      <c r="AB4959" s="75" t="str">
        <f>IF(AND(OR(LEFT(TH!N5465,2)="15",LEFT(TH!O5465,2)="15"),LEFT(TH!O5465,3)&lt;&gt;"111",'152-CT'!$J$8=TH!F5465),"x","")</f>
        <v/>
      </c>
      <c r="AC4959" s="75" t="str">
        <f>IF(AND(OR(LEFT(TH!N5465,2)="15",LEFT(TH!O5465,2)="15"),TK!$E$7=TH!F5465),"x","")</f>
        <v/>
      </c>
      <c r="AD4959" s="75" t="str">
        <f>IF(AND(N4959="1521",MONTH(C4959)='BK-NL'!$M$11),"x","")</f>
        <v/>
      </c>
    </row>
    <row r="4960" spans="1:33" ht="16.5" customHeight="1">
      <c r="A4960" s="309" t="str">
        <f>IF(B4960&lt;&gt;"",IF(AND(B4960='IN-TC'!$S$4,OR(TH!N4950="1111",TH!O4950="1111")),TH!D4950,""),"")</f>
        <v/>
      </c>
      <c r="B4960" s="1242">
        <f t="shared" si="1340"/>
        <v>9</v>
      </c>
      <c r="C4960" s="292">
        <f t="shared" si="1339"/>
        <v>43005</v>
      </c>
      <c r="D4960" s="292"/>
      <c r="E4960" s="292">
        <v>43005</v>
      </c>
      <c r="F4960" s="67" t="s">
        <v>1165</v>
      </c>
      <c r="G4960" s="925" t="s">
        <v>1173</v>
      </c>
      <c r="H4960" s="294" t="s">
        <v>2186</v>
      </c>
      <c r="I4960" s="373"/>
      <c r="J4960" s="926"/>
      <c r="K4960" s="373"/>
      <c r="L4960" s="379"/>
      <c r="M4960" s="927">
        <v>19762050</v>
      </c>
      <c r="N4960" s="295" t="s">
        <v>8</v>
      </c>
      <c r="O4960" s="295" t="s">
        <v>63</v>
      </c>
      <c r="P4960" s="75" t="str">
        <f>IF(AND('331-CT'!$E$7=TH!H3917,OR(N4960="331",O4960="331")),"x","")</f>
        <v/>
      </c>
      <c r="Q4960" s="75" t="str">
        <f>IF(AND(B4960='111'!$L$11,OR($N4960=$Q$7,$O4960=$Q$7)),"x","")</f>
        <v/>
      </c>
      <c r="R4960" s="75" t="str">
        <f>IF(AND($N4960=$Q$7,$B4960&lt;'111'!$L$11),"x","")</f>
        <v/>
      </c>
      <c r="S4960" s="75" t="str">
        <f>IF(AND($O4960=$Q$7,$B4960&lt;'111'!$L$11),"x","")</f>
        <v>x</v>
      </c>
      <c r="T4960" s="75" t="str">
        <f>IF(ISERROR(FIND('112'!$M$9,G4960,1)),"",IF((AND(FIND('112'!$M$9,G4960,1)&gt;=1,B4960='112'!$K$9,OR($N4960='112'!$I$6,$O4960='112'!$I$6))),"x",""))</f>
        <v/>
      </c>
      <c r="U4960" s="75" t="str">
        <f>IF(ISERROR(FIND('112'!$M$9,G4960,1)),"",IF((AND(LEFT(G4960,2)=LEFT('112'!$M$9,2),B4960&lt;'112'!$K$9,$N4960='112'!$I$6)),"x",""))</f>
        <v/>
      </c>
      <c r="V4960" s="75" t="str">
        <f>IF(ISERROR(FIND('112'!$M$9,G4960,1)),"",IF((AND(RIGHT(G4960,2)=RIGHT('112'!$M$9,2),B4960&lt;'112'!$K$9,$O4960='112'!$I$6)),"x",""))</f>
        <v/>
      </c>
      <c r="W4960" s="75" t="str">
        <f>IF(AND('341-CT'!$H$9=H4960,OR(LEFT(N4960,3)=$W$7,LEFT(O4960,3)=$W$7)),"x","")</f>
        <v/>
      </c>
      <c r="X4960" s="75" t="str">
        <f>IF(OR(TH!N3917=TH!$X$7,O4960=TH!$X$7),"x","")</f>
        <v/>
      </c>
      <c r="Y4960" s="75" t="str">
        <f>IF(AND(OR(N4960="131",O4960="131"),H4960='131-CT'!$H$9),"x","")</f>
        <v/>
      </c>
      <c r="Z4960" s="75"/>
      <c r="AA4960" s="75" t="str">
        <f>IF(AND(MONTH(E4960)='IN-NX'!$J$5,'IN-NX'!$D$7=D4960),"x","")</f>
        <v/>
      </c>
      <c r="AB4960" s="75" t="str">
        <f>IF(AND(OR(LEFT(TH!N3917,2)="15",LEFT(TH!O3917,2)="15"),LEFT(TH!O3917,3)&lt;&gt;"111",'152-CT'!$J$8=TH!F3917),"x","")</f>
        <v/>
      </c>
      <c r="AC4960" s="75" t="str">
        <f>IF(AND(OR(LEFT(TH!N3917,2)="15",LEFT(TH!O3917,2)="15"),TK!$E$7=TH!F3917),"x","")</f>
        <v/>
      </c>
      <c r="AD4960" s="75" t="str">
        <f>IF(AND(N4960="1521",MONTH(C4960)='BK-NL'!$M$11),"x","")</f>
        <v/>
      </c>
    </row>
    <row r="4961" spans="1:31" ht="16.5" customHeight="1">
      <c r="A4961" s="309" t="str">
        <f>IF(B4961&lt;&gt;"",IF(AND(B4961='IN-TC'!$S$4,OR(TH!N4951="1111",TH!O4951="1111")),TH!D4951,""),"")</f>
        <v/>
      </c>
      <c r="B4961" s="1242">
        <f t="shared" si="1340"/>
        <v>9</v>
      </c>
      <c r="C4961" s="292">
        <f t="shared" si="1339"/>
        <v>43005</v>
      </c>
      <c r="D4961" s="292"/>
      <c r="E4961" s="292">
        <v>43005</v>
      </c>
      <c r="F4961" s="67" t="s">
        <v>1242</v>
      </c>
      <c r="G4961" s="925" t="s">
        <v>2287</v>
      </c>
      <c r="H4961" s="294" t="s">
        <v>974</v>
      </c>
      <c r="I4961" s="373"/>
      <c r="J4961" s="926"/>
      <c r="K4961" s="373"/>
      <c r="L4961" s="379"/>
      <c r="M4961" s="927">
        <v>11500000</v>
      </c>
      <c r="N4961" s="295" t="s">
        <v>101</v>
      </c>
      <c r="O4961" s="295" t="s">
        <v>63</v>
      </c>
      <c r="P4961" s="75" t="str">
        <f>IF(AND('331-CT'!$E$7=TH!H3922,OR(N4961="331",O4961="331")),"x","")</f>
        <v/>
      </c>
      <c r="Q4961" s="75" t="str">
        <f>IF(AND(B4961='111'!$L$11,OR($N4961=$Q$7,$O4961=$Q$7)),"x","")</f>
        <v/>
      </c>
      <c r="R4961" s="75" t="str">
        <f>IF(AND($N4961=$Q$7,$B4961&lt;'111'!$L$11),"x","")</f>
        <v/>
      </c>
      <c r="S4961" s="75" t="str">
        <f>IF(AND($O4961=$Q$7,$B4961&lt;'111'!$L$11),"x","")</f>
        <v>x</v>
      </c>
      <c r="T4961" s="75" t="str">
        <f>IF(ISERROR(FIND('112'!$M$9,G4961,1)),"",IF((AND(FIND('112'!$M$9,G4961,1)&gt;=1,B4961='112'!$K$9,OR($N4961='112'!$I$6,$O4961='112'!$I$6))),"x",""))</f>
        <v/>
      </c>
      <c r="U4961" s="75" t="str">
        <f>IF(ISERROR(FIND('112'!$M$9,G4961,1)),"",IF((AND(LEFT(G4961,2)=LEFT('112'!$M$9,2),B4961&lt;'112'!$K$9,$N4961='112'!$I$6)),"x",""))</f>
        <v/>
      </c>
      <c r="V4961" s="75" t="str">
        <f>IF(ISERROR(FIND('112'!$M$9,G4961,1)),"",IF((AND(RIGHT(G4961,2)=RIGHT('112'!$M$9,2),B4961&lt;'112'!$K$9,$O4961='112'!$I$6)),"x",""))</f>
        <v/>
      </c>
      <c r="W4961" s="75" t="str">
        <f>IF(AND('341-CT'!$H$9=H4961,OR(LEFT(N4961,3)=$W$7,LEFT(O4961,3)=$W$7)),"x","")</f>
        <v/>
      </c>
      <c r="X4961" s="75" t="str">
        <f>IF(OR(TH!N3922=TH!$X$7,O4961=TH!$X$7),"x","")</f>
        <v/>
      </c>
      <c r="Y4961" s="75" t="str">
        <f>IF(AND(OR(N4961="131",O4961="131"),H4961='131-CT'!$H$9),"x","")</f>
        <v/>
      </c>
      <c r="Z4961" s="75"/>
      <c r="AA4961" s="75" t="str">
        <f>IF(AND(MONTH(E4961)='IN-NX'!$J$5,'IN-NX'!$D$7=D4961),"x","")</f>
        <v/>
      </c>
      <c r="AB4961" s="75" t="str">
        <f>IF(AND(OR(LEFT(TH!N3922,2)="15",LEFT(TH!O3922,2)="15"),LEFT(TH!O3922,3)&lt;&gt;"111",'152-CT'!$J$8=TH!F3922),"x","")</f>
        <v/>
      </c>
      <c r="AC4961" s="75" t="str">
        <f>IF(AND(OR(LEFT(TH!N3922,2)="15",LEFT(TH!O3922,2)="15"),TK!$E$7=TH!F3922),"x","")</f>
        <v/>
      </c>
      <c r="AD4961" s="75" t="str">
        <f>IF(AND(N4961="1521",MONTH(C4961)='BK-NL'!$M$11),"x","")</f>
        <v/>
      </c>
      <c r="AE4961">
        <v>9</v>
      </c>
    </row>
    <row r="4962" spans="1:31" ht="16.5" customHeight="1">
      <c r="A4962" s="309" t="str">
        <f>IF(B4962&lt;&gt;"",IF(AND(B4962='IN-TC'!$S$4,OR(TH!N4952="1111",TH!O4952="1111")),TH!D4952,""),"")</f>
        <v/>
      </c>
      <c r="B4962" s="1242">
        <f t="shared" si="1340"/>
        <v>9</v>
      </c>
      <c r="C4962" s="292">
        <f t="shared" si="1339"/>
        <v>43005</v>
      </c>
      <c r="D4962" s="292"/>
      <c r="E4962" s="292">
        <v>43005</v>
      </c>
      <c r="F4962" s="67" t="s">
        <v>1243</v>
      </c>
      <c r="G4962" s="925" t="s">
        <v>2287</v>
      </c>
      <c r="H4962" s="294" t="s">
        <v>974</v>
      </c>
      <c r="I4962" s="373"/>
      <c r="J4962" s="926"/>
      <c r="K4962" s="373"/>
      <c r="L4962" s="379"/>
      <c r="M4962" s="927">
        <v>1150000</v>
      </c>
      <c r="N4962" s="295" t="s">
        <v>9</v>
      </c>
      <c r="O4962" s="295" t="s">
        <v>63</v>
      </c>
      <c r="P4962" s="75" t="str">
        <f>IF(AND('331-CT'!$E$7=TH!H3923,OR(N4962="331",O4962="331")),"x","")</f>
        <v/>
      </c>
      <c r="Q4962" s="75" t="str">
        <f>IF(AND(B4962='111'!$L$11,OR($N4962=$Q$7,$O4962=$Q$7)),"x","")</f>
        <v/>
      </c>
      <c r="R4962" s="75" t="str">
        <f>IF(AND($N4962=$Q$7,$B4962&lt;'111'!$L$11),"x","")</f>
        <v/>
      </c>
      <c r="S4962" s="75" t="str">
        <f>IF(AND($O4962=$Q$7,$B4962&lt;'111'!$L$11),"x","")</f>
        <v>x</v>
      </c>
      <c r="T4962" s="75" t="str">
        <f>IF(ISERROR(FIND('112'!$M$9,G4962,1)),"",IF((AND(FIND('112'!$M$9,G4962,1)&gt;=1,B4962='112'!$K$9,OR($N4962='112'!$I$6,$O4962='112'!$I$6))),"x",""))</f>
        <v/>
      </c>
      <c r="U4962" s="75" t="str">
        <f>IF(ISERROR(FIND('112'!$M$9,G4962,1)),"",IF((AND(LEFT(G4962,2)=LEFT('112'!$M$9,2),B4962&lt;'112'!$K$9,$N4962='112'!$I$6)),"x",""))</f>
        <v/>
      </c>
      <c r="V4962" s="75" t="str">
        <f>IF(ISERROR(FIND('112'!$M$9,G4962,1)),"",IF((AND(RIGHT(G4962,2)=RIGHT('112'!$M$9,2),B4962&lt;'112'!$K$9,$O4962='112'!$I$6)),"x",""))</f>
        <v/>
      </c>
      <c r="W4962" s="75" t="str">
        <f>IF(AND('341-CT'!$H$9=H4962,OR(LEFT(N4962,3)=$W$7,LEFT(O4962,3)=$W$7)),"x","")</f>
        <v/>
      </c>
      <c r="X4962" s="75" t="str">
        <f>IF(OR(TH!N3923=TH!$X$7,O4962=TH!$X$7),"x","")</f>
        <v/>
      </c>
      <c r="Y4962" s="75" t="str">
        <f>IF(AND(OR(N4962="131",O4962="131"),H4962='131-CT'!$H$9),"x","")</f>
        <v/>
      </c>
      <c r="Z4962" s="75"/>
      <c r="AA4962" s="75" t="str">
        <f>IF(AND(MONTH(E4962)='IN-NX'!$J$5,'IN-NX'!$D$7=D4962),"x","")</f>
        <v/>
      </c>
      <c r="AB4962" s="75" t="str">
        <f>IF(AND(OR(LEFT(TH!N3923,2)="15",LEFT(TH!O3923,2)="15"),LEFT(TH!O3923,3)&lt;&gt;"111",'152-CT'!$J$8=TH!F3923),"x","")</f>
        <v/>
      </c>
      <c r="AC4962" s="75" t="str">
        <f>IF(AND(OR(LEFT(TH!N3923,2)="15",LEFT(TH!O3923,2)="15"),TK!$E$7=TH!F3923),"x","")</f>
        <v/>
      </c>
      <c r="AD4962" s="75" t="str">
        <f>IF(AND(N4962="1521",MONTH(C4962)='BK-NL'!$M$11),"x","")</f>
        <v/>
      </c>
      <c r="AE4962">
        <v>9</v>
      </c>
    </row>
    <row r="4963" spans="1:31" ht="16.5" customHeight="1">
      <c r="A4963" s="309" t="str">
        <f>IF(B4963&lt;&gt;"",IF(AND(B4963='IN-TC'!$S$4,OR(TH!N4953="1111",TH!O4953="1111")),TH!D4953,""),"")</f>
        <v/>
      </c>
      <c r="B4963" s="1242">
        <f t="shared" si="1340"/>
        <v>9</v>
      </c>
      <c r="C4963" s="292">
        <f t="shared" si="1339"/>
        <v>43005</v>
      </c>
      <c r="D4963" s="292"/>
      <c r="E4963" s="292">
        <v>43005</v>
      </c>
      <c r="F4963" s="67" t="s">
        <v>2140</v>
      </c>
      <c r="G4963" s="925" t="s">
        <v>2559</v>
      </c>
      <c r="H4963" s="294" t="s">
        <v>803</v>
      </c>
      <c r="I4963" s="373"/>
      <c r="J4963" s="926"/>
      <c r="K4963" s="373"/>
      <c r="L4963" s="379"/>
      <c r="M4963" s="927">
        <v>17710000</v>
      </c>
      <c r="N4963" s="295" t="s">
        <v>8</v>
      </c>
      <c r="O4963" s="295" t="s">
        <v>63</v>
      </c>
      <c r="P4963" s="75" t="str">
        <f>IF(AND('331-CT'!$E$7=TH!H3924,OR(N4963="331",O4963="331")),"x","")</f>
        <v/>
      </c>
      <c r="Q4963" s="75" t="str">
        <f>IF(AND(B4963='111'!$L$11,OR($N4963=$Q$7,$O4963=$Q$7)),"x","")</f>
        <v/>
      </c>
      <c r="R4963" s="75" t="str">
        <f>IF(AND($N4963=$Q$7,$B4963&lt;'111'!$L$11),"x","")</f>
        <v/>
      </c>
      <c r="S4963" s="75" t="str">
        <f>IF(AND($O4963=$Q$7,$B4963&lt;'111'!$L$11),"x","")</f>
        <v>x</v>
      </c>
      <c r="T4963" s="75" t="str">
        <f>IF(ISERROR(FIND('112'!$M$9,G4963,1)),"",IF((AND(FIND('112'!$M$9,G4963,1)&gt;=1,B4963='112'!$K$9,OR($N4963='112'!$I$6,$O4963='112'!$I$6))),"x",""))</f>
        <v/>
      </c>
      <c r="U4963" s="75" t="str">
        <f>IF(ISERROR(FIND('112'!$M$9,G4963,1)),"",IF((AND(LEFT(G4963,2)=LEFT('112'!$M$9,2),B4963&lt;'112'!$K$9,$N4963='112'!$I$6)),"x",""))</f>
        <v/>
      </c>
      <c r="V4963" s="75" t="str">
        <f>IF(ISERROR(FIND('112'!$M$9,G4963,1)),"",IF((AND(RIGHT(G4963,2)=RIGHT('112'!$M$9,2),B4963&lt;'112'!$K$9,$O4963='112'!$I$6)),"x",""))</f>
        <v/>
      </c>
      <c r="W4963" s="75" t="str">
        <f>IF(AND('341-CT'!$H$9=H4963,OR(LEFT(N4963,3)=$W$7,LEFT(O4963,3)=$W$7)),"x","")</f>
        <v/>
      </c>
      <c r="X4963" s="75" t="str">
        <f>IF(OR(TH!N3924=TH!$X$7,O4963=TH!$X$7),"x","")</f>
        <v/>
      </c>
      <c r="Y4963" s="75" t="str">
        <f>IF(AND(OR(N4963="131",O4963="131"),H4963='131-CT'!$H$9),"x","")</f>
        <v/>
      </c>
      <c r="Z4963" s="75"/>
      <c r="AA4963" s="75" t="str">
        <f>IF(AND(MONTH(E4963)='IN-NX'!$J$5,'IN-NX'!$D$7=D4963),"x","")</f>
        <v/>
      </c>
      <c r="AB4963" s="75" t="str">
        <f>IF(AND(OR(LEFT(TH!N3924,2)="15",LEFT(TH!O3924,2)="15"),LEFT(TH!O3924,3)&lt;&gt;"111",'152-CT'!$J$8=TH!F3924),"x","")</f>
        <v/>
      </c>
      <c r="AC4963" s="75" t="str">
        <f>IF(AND(OR(LEFT(TH!N3924,2)="15",LEFT(TH!O3924,2)="15"),TK!$E$7=TH!F3924),"x","")</f>
        <v/>
      </c>
      <c r="AD4963" s="75" t="str">
        <f>IF(AND(N4963="1521",MONTH(C4963)='BK-NL'!$M$11),"x","")</f>
        <v/>
      </c>
    </row>
    <row r="4964" spans="1:31" ht="16.5" customHeight="1">
      <c r="A4964" s="309" t="str">
        <f>IF(B4964&lt;&gt;"",IF(AND(B4964='IN-TC'!$S$4,OR(TH!N4954="1111",TH!O4954="1111")),TH!D4954,""),"")</f>
        <v/>
      </c>
      <c r="B4964" s="1242">
        <f t="shared" si="1340"/>
        <v>9</v>
      </c>
      <c r="C4964" s="292">
        <f t="shared" si="1339"/>
        <v>43005</v>
      </c>
      <c r="D4964" s="59" t="s">
        <v>902</v>
      </c>
      <c r="E4964" s="59">
        <v>43005</v>
      </c>
      <c r="F4964" s="62" t="s">
        <v>1307</v>
      </c>
      <c r="G4964" s="62" t="s">
        <v>586</v>
      </c>
      <c r="H4964" s="67" t="s">
        <v>982</v>
      </c>
      <c r="I4964" s="375"/>
      <c r="J4964" s="382"/>
      <c r="K4964" s="375"/>
      <c r="L4964" s="381"/>
      <c r="M4964" s="60">
        <v>50000</v>
      </c>
      <c r="N4964" s="61" t="s">
        <v>101</v>
      </c>
      <c r="O4964" s="61" t="s">
        <v>26</v>
      </c>
      <c r="P4964" s="75" t="str">
        <f>IF(AND('331-CT'!$E$7=TH!H4415,OR(N4964="331",O4964="331")),"x","")</f>
        <v/>
      </c>
      <c r="Q4964" s="75" t="str">
        <f>IF(AND(B4964='111'!$L$11,OR($N4964=$Q$7,$O4964=$Q$7)),"x","")</f>
        <v/>
      </c>
      <c r="R4964" s="75" t="str">
        <f>IF(AND($N4964=$Q$7,$B4964&lt;'111'!$L$11),"x","")</f>
        <v/>
      </c>
      <c r="S4964" s="75" t="str">
        <f>IF(AND($O4964=$Q$7,$B4964&lt;'111'!$L$11),"x","")</f>
        <v/>
      </c>
      <c r="T4964" s="75" t="str">
        <f>IF(ISERROR(FIND('112'!$M$9,G4964,1)),"",IF((AND(FIND('112'!$M$9,G4964,1)&gt;=1,B4964='112'!$K$9,OR($N4964='112'!$I$6,$O4964='112'!$I$6))),"x",""))</f>
        <v/>
      </c>
      <c r="U4964" s="75" t="str">
        <f>IF(ISERROR(FIND('112'!$M$9,G4964,1)),"",IF((AND(LEFT(G4964,2)=LEFT('112'!$M$9,2),B4964&lt;'112'!$K$9,$N4964='112'!$I$6)),"x",""))</f>
        <v/>
      </c>
      <c r="V4964" s="75" t="str">
        <f>IF(ISERROR(FIND('112'!$M$9,G4964,1)),"",IF((AND(RIGHT(G4964,2)=RIGHT('112'!$M$9,2),B4964&lt;'112'!$K$9,$O4964='112'!$I$6)),"x",""))</f>
        <v>x</v>
      </c>
      <c r="W4964" s="75" t="str">
        <f>IF(AND('341-CT'!$H$9=H4964,OR(LEFT(N4964,3)=$W$7,LEFT(O4964,3)=$W$7)),"x","")</f>
        <v/>
      </c>
      <c r="X4964" s="75" t="str">
        <f>IF(OR(TH!N4415=TH!$X$7,O4964=TH!$X$7),"x","")</f>
        <v/>
      </c>
      <c r="Y4964" s="75" t="str">
        <f>IF(AND(OR(N4964="131",O4964="131"),H4964='131-CT'!$H$9),"x","")</f>
        <v/>
      </c>
      <c r="Z4964" s="75"/>
      <c r="AA4964" s="75" t="str">
        <f>IF(AND(MONTH(E4964)='IN-NX'!$J$5,'IN-NX'!$D$7=D4964),"x","")</f>
        <v/>
      </c>
      <c r="AB4964" s="75" t="str">
        <f>IF(AND(OR(LEFT(TH!N4415,2)="15",LEFT(TH!O4415,2)="15"),LEFT(TH!O4415,3)&lt;&gt;"111",'152-CT'!$J$8=TH!F4415),"x","")</f>
        <v/>
      </c>
      <c r="AC4964" s="75" t="str">
        <f>IF(AND(OR(LEFT(TH!N4415,2)="15",LEFT(TH!O4415,2)="15"),TK!$E$7=TH!F4415),"x","")</f>
        <v/>
      </c>
      <c r="AD4964" s="75" t="str">
        <f>IF(AND(N4964="1521",MONTH(C4964)='BK-NL'!$M$11),"x","")</f>
        <v/>
      </c>
      <c r="AE4964">
        <v>9</v>
      </c>
    </row>
    <row r="4965" spans="1:31" ht="16.5" customHeight="1">
      <c r="A4965" s="309" t="str">
        <f>IF(B4965&lt;&gt;"",IF(AND(B4965='IN-TC'!$S$4,OR(TH!N4955="1111",TH!O4955="1111")),TH!D4955,""),"")</f>
        <v/>
      </c>
      <c r="B4965" s="1242">
        <f t="shared" si="1340"/>
        <v>9</v>
      </c>
      <c r="C4965" s="292">
        <f t="shared" si="1339"/>
        <v>43005</v>
      </c>
      <c r="D4965" s="59" t="s">
        <v>902</v>
      </c>
      <c r="E4965" s="59">
        <v>43005</v>
      </c>
      <c r="F4965" s="62" t="s">
        <v>1314</v>
      </c>
      <c r="G4965" s="62" t="s">
        <v>586</v>
      </c>
      <c r="H4965" s="67" t="s">
        <v>982</v>
      </c>
      <c r="I4965" s="375"/>
      <c r="J4965" s="382"/>
      <c r="K4965" s="375"/>
      <c r="L4965" s="381"/>
      <c r="M4965" s="60">
        <v>5000</v>
      </c>
      <c r="N4965" s="61" t="s">
        <v>9</v>
      </c>
      <c r="O4965" s="61" t="s">
        <v>26</v>
      </c>
      <c r="P4965" s="75" t="str">
        <f>IF(AND('331-CT'!$E$7=TH!H4416,OR(N4965="331",O4965="331")),"x","")</f>
        <v/>
      </c>
      <c r="Q4965" s="75" t="str">
        <f>IF(AND(B4965='111'!$L$11,OR($N4965=$Q$7,$O4965=$Q$7)),"x","")</f>
        <v/>
      </c>
      <c r="R4965" s="75" t="str">
        <f>IF(AND($N4965=$Q$7,$B4965&lt;'111'!$L$11),"x","")</f>
        <v/>
      </c>
      <c r="S4965" s="75" t="str">
        <f>IF(AND($O4965=$Q$7,$B4965&lt;'111'!$L$11),"x","")</f>
        <v/>
      </c>
      <c r="T4965" s="75" t="str">
        <f>IF(ISERROR(FIND('112'!$M$9,G4965,1)),"",IF((AND(FIND('112'!$M$9,G4965,1)&gt;=1,B4965='112'!$K$9,OR($N4965='112'!$I$6,$O4965='112'!$I$6))),"x",""))</f>
        <v/>
      </c>
      <c r="U4965" s="75" t="str">
        <f>IF(ISERROR(FIND('112'!$M$9,G4965,1)),"",IF((AND(LEFT(G4965,2)=LEFT('112'!$M$9,2),B4965&lt;'112'!$K$9,$N4965='112'!$I$6)),"x",""))</f>
        <v/>
      </c>
      <c r="V4965" s="75" t="str">
        <f>IF(ISERROR(FIND('112'!$M$9,G4965,1)),"",IF((AND(RIGHT(G4965,2)=RIGHT('112'!$M$9,2),B4965&lt;'112'!$K$9,$O4965='112'!$I$6)),"x",""))</f>
        <v>x</v>
      </c>
      <c r="W4965" s="75" t="str">
        <f>IF(AND('341-CT'!$H$9=H4965,OR(LEFT(N4965,3)=$W$7,LEFT(O4965,3)=$W$7)),"x","")</f>
        <v/>
      </c>
      <c r="X4965" s="75" t="str">
        <f>IF(OR(TH!N4416=TH!$X$7,O4965=TH!$X$7),"x","")</f>
        <v/>
      </c>
      <c r="Y4965" s="75" t="str">
        <f>IF(AND(OR(N4965="131",O4965="131"),H4965='131-CT'!$H$9),"x","")</f>
        <v/>
      </c>
      <c r="Z4965" s="75"/>
      <c r="AA4965" s="75" t="str">
        <f>IF(AND(MONTH(E4965)='IN-NX'!$J$5,'IN-NX'!$D$7=D4965),"x","")</f>
        <v/>
      </c>
      <c r="AB4965" s="75" t="str">
        <f>IF(AND(OR(LEFT(TH!N4416,2)="15",LEFT(TH!O4416,2)="15"),LEFT(TH!O4416,3)&lt;&gt;"111",'152-CT'!$J$8=TH!F4416),"x","")</f>
        <v/>
      </c>
      <c r="AC4965" s="75" t="str">
        <f>IF(AND(OR(LEFT(TH!N4416,2)="15",LEFT(TH!O4416,2)="15"),TK!$E$7=TH!F4416),"x","")</f>
        <v/>
      </c>
      <c r="AD4965" s="75" t="str">
        <f>IF(AND(N4965="1521",MONTH(C4965)='BK-NL'!$M$11),"x","")</f>
        <v/>
      </c>
      <c r="AE4965">
        <v>9</v>
      </c>
    </row>
    <row r="4966" spans="1:31" ht="16.5" customHeight="1">
      <c r="A4966" s="309" t="str">
        <f>IF(B4966&lt;&gt;"",IF(AND(B4966='IN-TC'!$S$4,OR(TH!N4956="1111",TH!O4956="1111")),TH!D4956,""),"")</f>
        <v/>
      </c>
      <c r="B4966" s="1242">
        <f t="shared" si="1340"/>
        <v>9</v>
      </c>
      <c r="C4966" s="292">
        <f t="shared" si="1339"/>
        <v>43005</v>
      </c>
      <c r="D4966" s="59" t="s">
        <v>902</v>
      </c>
      <c r="E4966" s="59">
        <v>43005</v>
      </c>
      <c r="F4966" s="62" t="s">
        <v>1307</v>
      </c>
      <c r="G4966" s="62" t="s">
        <v>586</v>
      </c>
      <c r="H4966" s="67" t="s">
        <v>982</v>
      </c>
      <c r="I4966" s="375"/>
      <c r="J4966" s="382"/>
      <c r="K4966" s="375"/>
      <c r="L4966" s="381"/>
      <c r="M4966" s="60">
        <v>50000</v>
      </c>
      <c r="N4966" s="61" t="s">
        <v>101</v>
      </c>
      <c r="O4966" s="61" t="s">
        <v>26</v>
      </c>
      <c r="P4966" s="75" t="str">
        <f>IF(AND('331-CT'!$E$7=TH!H4417,OR(N4966="331",O4966="331")),"x","")</f>
        <v/>
      </c>
      <c r="Q4966" s="75" t="str">
        <f>IF(AND(B4966='111'!$L$11,OR($N4966=$Q$7,$O4966=$Q$7)),"x","")</f>
        <v/>
      </c>
      <c r="R4966" s="75" t="str">
        <f>IF(AND($N4966=$Q$7,$B4966&lt;'111'!$L$11),"x","")</f>
        <v/>
      </c>
      <c r="S4966" s="75" t="str">
        <f>IF(AND($O4966=$Q$7,$B4966&lt;'111'!$L$11),"x","")</f>
        <v/>
      </c>
      <c r="T4966" s="75" t="str">
        <f>IF(ISERROR(FIND('112'!$M$9,G4966,1)),"",IF((AND(FIND('112'!$M$9,G4966,1)&gt;=1,B4966='112'!$K$9,OR($N4966='112'!$I$6,$O4966='112'!$I$6))),"x",""))</f>
        <v/>
      </c>
      <c r="U4966" s="75" t="str">
        <f>IF(ISERROR(FIND('112'!$M$9,G4966,1)),"",IF((AND(LEFT(G4966,2)=LEFT('112'!$M$9,2),B4966&lt;'112'!$K$9,$N4966='112'!$I$6)),"x",""))</f>
        <v/>
      </c>
      <c r="V4966" s="75" t="str">
        <f>IF(ISERROR(FIND('112'!$M$9,G4966,1)),"",IF((AND(RIGHT(G4966,2)=RIGHT('112'!$M$9,2),B4966&lt;'112'!$K$9,$O4966='112'!$I$6)),"x",""))</f>
        <v>x</v>
      </c>
      <c r="W4966" s="75" t="str">
        <f>IF(AND('341-CT'!$H$9=H4966,OR(LEFT(N4966,3)=$W$7,LEFT(O4966,3)=$W$7)),"x","")</f>
        <v/>
      </c>
      <c r="X4966" s="75" t="str">
        <f>IF(OR(TH!N4417=TH!$X$7,O4966=TH!$X$7),"x","")</f>
        <v/>
      </c>
      <c r="Y4966" s="75" t="str">
        <f>IF(AND(OR(N4966="131",O4966="131"),H4966='131-CT'!$H$9),"x","")</f>
        <v/>
      </c>
      <c r="Z4966" s="75"/>
      <c r="AA4966" s="75" t="str">
        <f>IF(AND(MONTH(E4966)='IN-NX'!$J$5,'IN-NX'!$D$7=D4966),"x","")</f>
        <v/>
      </c>
      <c r="AB4966" s="75" t="str">
        <f>IF(AND(OR(LEFT(TH!N4417,2)="15",LEFT(TH!O4417,2)="15"),LEFT(TH!O4417,3)&lt;&gt;"111",'152-CT'!$J$8=TH!F4417),"x","")</f>
        <v/>
      </c>
      <c r="AC4966" s="75" t="str">
        <f>IF(AND(OR(LEFT(TH!N4417,2)="15",LEFT(TH!O4417,2)="15"),TK!$E$7=TH!F4417),"x","")</f>
        <v/>
      </c>
      <c r="AD4966" s="75" t="str">
        <f>IF(AND(N4966="1521",MONTH(C4966)='BK-NL'!$M$11),"x","")</f>
        <v/>
      </c>
      <c r="AE4966">
        <v>9</v>
      </c>
    </row>
    <row r="4967" spans="1:31" ht="16.5" customHeight="1">
      <c r="A4967" s="309" t="str">
        <f>IF(B4967&lt;&gt;"",IF(AND(B4967='IN-TC'!$S$4,OR(TH!N4957="1111",TH!O4957="1111")),TH!D4957,""),"")</f>
        <v/>
      </c>
      <c r="B4967" s="1242">
        <f t="shared" si="1340"/>
        <v>9</v>
      </c>
      <c r="C4967" s="292">
        <f t="shared" si="1339"/>
        <v>43005</v>
      </c>
      <c r="D4967" s="59" t="s">
        <v>902</v>
      </c>
      <c r="E4967" s="59">
        <v>43005</v>
      </c>
      <c r="F4967" s="62" t="s">
        <v>1314</v>
      </c>
      <c r="G4967" s="62" t="s">
        <v>586</v>
      </c>
      <c r="H4967" s="67" t="s">
        <v>982</v>
      </c>
      <c r="I4967" s="375"/>
      <c r="J4967" s="382"/>
      <c r="K4967" s="375"/>
      <c r="L4967" s="381"/>
      <c r="M4967" s="60">
        <v>5000</v>
      </c>
      <c r="N4967" s="61" t="s">
        <v>9</v>
      </c>
      <c r="O4967" s="61" t="s">
        <v>26</v>
      </c>
      <c r="P4967" s="75" t="str">
        <f>IF(AND('331-CT'!$E$7=TH!H4418,OR(N4967="331",O4967="331")),"x","")</f>
        <v/>
      </c>
      <c r="Q4967" s="75" t="str">
        <f>IF(AND(B4967='111'!$L$11,OR($N4967=$Q$7,$O4967=$Q$7)),"x","")</f>
        <v/>
      </c>
      <c r="R4967" s="75" t="str">
        <f>IF(AND($N4967=$Q$7,$B4967&lt;'111'!$L$11),"x","")</f>
        <v/>
      </c>
      <c r="S4967" s="75" t="str">
        <f>IF(AND($O4967=$Q$7,$B4967&lt;'111'!$L$11),"x","")</f>
        <v/>
      </c>
      <c r="T4967" s="75" t="str">
        <f>IF(ISERROR(FIND('112'!$M$9,G4967,1)),"",IF((AND(FIND('112'!$M$9,G4967,1)&gt;=1,B4967='112'!$K$9,OR($N4967='112'!$I$6,$O4967='112'!$I$6))),"x",""))</f>
        <v/>
      </c>
      <c r="U4967" s="75" t="str">
        <f>IF(ISERROR(FIND('112'!$M$9,G4967,1)),"",IF((AND(LEFT(G4967,2)=LEFT('112'!$M$9,2),B4967&lt;'112'!$K$9,$N4967='112'!$I$6)),"x",""))</f>
        <v/>
      </c>
      <c r="V4967" s="75" t="str">
        <f>IF(ISERROR(FIND('112'!$M$9,G4967,1)),"",IF((AND(RIGHT(G4967,2)=RIGHT('112'!$M$9,2),B4967&lt;'112'!$K$9,$O4967='112'!$I$6)),"x",""))</f>
        <v>x</v>
      </c>
      <c r="W4967" s="75" t="str">
        <f>IF(AND('341-CT'!$H$9=H4967,OR(LEFT(N4967,3)=$W$7,LEFT(O4967,3)=$W$7)),"x","")</f>
        <v/>
      </c>
      <c r="X4967" s="75" t="str">
        <f>IF(OR(TH!N4418=TH!$X$7,O4967=TH!$X$7),"x","")</f>
        <v/>
      </c>
      <c r="Y4967" s="75" t="str">
        <f>IF(AND(OR(N4967="131",O4967="131"),H4967='131-CT'!$H$9),"x","")</f>
        <v/>
      </c>
      <c r="Z4967" s="75"/>
      <c r="AA4967" s="75" t="str">
        <f>IF(AND(MONTH(E4967)='IN-NX'!$J$5,'IN-NX'!$D$7=D4967),"x","")</f>
        <v/>
      </c>
      <c r="AB4967" s="75" t="str">
        <f>IF(AND(OR(LEFT(TH!N4418,2)="15",LEFT(TH!O4418,2)="15"),LEFT(TH!O4418,3)&lt;&gt;"111",'152-CT'!$J$8=TH!F4418),"x","")</f>
        <v/>
      </c>
      <c r="AC4967" s="75" t="str">
        <f>IF(AND(OR(LEFT(TH!N4418,2)="15",LEFT(TH!O4418,2)="15"),TK!$E$7=TH!F4418),"x","")</f>
        <v/>
      </c>
      <c r="AD4967" s="75" t="str">
        <f>IF(AND(N4967="1521",MONTH(C4967)='BK-NL'!$M$11),"x","")</f>
        <v/>
      </c>
      <c r="AE4967">
        <v>9</v>
      </c>
    </row>
    <row r="4968" spans="1:31" ht="16.5" customHeight="1">
      <c r="A4968" s="309" t="str">
        <f>IF(B4968&lt;&gt;"",IF(AND(B4968='IN-TC'!$S$4,OR(TH!N4958="1111",TH!O4958="1111")),TH!D4958,""),"")</f>
        <v/>
      </c>
      <c r="B4968" s="1242">
        <f t="shared" si="1340"/>
        <v>9</v>
      </c>
      <c r="C4968" s="292">
        <f t="shared" si="1339"/>
        <v>43005</v>
      </c>
      <c r="D4968" s="59" t="s">
        <v>902</v>
      </c>
      <c r="E4968" s="59">
        <v>43005</v>
      </c>
      <c r="F4968" s="62" t="s">
        <v>1307</v>
      </c>
      <c r="G4968" s="62" t="s">
        <v>586</v>
      </c>
      <c r="H4968" s="67" t="s">
        <v>982</v>
      </c>
      <c r="I4968" s="375"/>
      <c r="J4968" s="382"/>
      <c r="K4968" s="375"/>
      <c r="L4968" s="381"/>
      <c r="M4968" s="60">
        <v>50000</v>
      </c>
      <c r="N4968" s="61" t="s">
        <v>101</v>
      </c>
      <c r="O4968" s="61" t="s">
        <v>26</v>
      </c>
      <c r="P4968" s="75" t="str">
        <f>IF(AND('331-CT'!$E$7=TH!H4419,OR(N4968="331",O4968="331")),"x","")</f>
        <v/>
      </c>
      <c r="Q4968" s="75" t="str">
        <f>IF(AND(B4968='111'!$L$11,OR($N4968=$Q$7,$O4968=$Q$7)),"x","")</f>
        <v/>
      </c>
      <c r="R4968" s="75" t="str">
        <f>IF(AND($N4968=$Q$7,$B4968&lt;'111'!$L$11),"x","")</f>
        <v/>
      </c>
      <c r="S4968" s="75" t="str">
        <f>IF(AND($O4968=$Q$7,$B4968&lt;'111'!$L$11),"x","")</f>
        <v/>
      </c>
      <c r="T4968" s="75" t="str">
        <f>IF(ISERROR(FIND('112'!$M$9,G4968,1)),"",IF((AND(FIND('112'!$M$9,G4968,1)&gt;=1,B4968='112'!$K$9,OR($N4968='112'!$I$6,$O4968='112'!$I$6))),"x",""))</f>
        <v/>
      </c>
      <c r="U4968" s="75" t="str">
        <f>IF(ISERROR(FIND('112'!$M$9,G4968,1)),"",IF((AND(LEFT(G4968,2)=LEFT('112'!$M$9,2),B4968&lt;'112'!$K$9,$N4968='112'!$I$6)),"x",""))</f>
        <v/>
      </c>
      <c r="V4968" s="75" t="str">
        <f>IF(ISERROR(FIND('112'!$M$9,G4968,1)),"",IF((AND(RIGHT(G4968,2)=RIGHT('112'!$M$9,2),B4968&lt;'112'!$K$9,$O4968='112'!$I$6)),"x",""))</f>
        <v>x</v>
      </c>
      <c r="W4968" s="75" t="str">
        <f>IF(AND('341-CT'!$H$9=H4968,OR(LEFT(N4968,3)=$W$7,LEFT(O4968,3)=$W$7)),"x","")</f>
        <v/>
      </c>
      <c r="X4968" s="75" t="str">
        <f>IF(OR(TH!N4419=TH!$X$7,O4968=TH!$X$7),"x","")</f>
        <v/>
      </c>
      <c r="Y4968" s="75" t="str">
        <f>IF(AND(OR(N4968="131",O4968="131"),H4968='131-CT'!$H$9),"x","")</f>
        <v/>
      </c>
      <c r="Z4968" s="75"/>
      <c r="AA4968" s="75" t="str">
        <f>IF(AND(MONTH(E4968)='IN-NX'!$J$5,'IN-NX'!$D$7=D4968),"x","")</f>
        <v/>
      </c>
      <c r="AB4968" s="75" t="str">
        <f>IF(AND(OR(LEFT(TH!N4419,2)="15",LEFT(TH!O4419,2)="15"),LEFT(TH!O4419,3)&lt;&gt;"111",'152-CT'!$J$8=TH!F4419),"x","")</f>
        <v/>
      </c>
      <c r="AC4968" s="75" t="str">
        <f>IF(AND(OR(LEFT(TH!N4419,2)="15",LEFT(TH!O4419,2)="15"),TK!$E$7=TH!F4419),"x","")</f>
        <v/>
      </c>
      <c r="AD4968" s="75" t="str">
        <f>IF(AND(N4968="1521",MONTH(C4968)='BK-NL'!$M$11),"x","")</f>
        <v/>
      </c>
      <c r="AE4968">
        <v>9</v>
      </c>
    </row>
    <row r="4969" spans="1:31" ht="16.5" customHeight="1">
      <c r="A4969" s="309" t="str">
        <f>IF(B4969&lt;&gt;"",IF(AND(B4969='IN-TC'!$S$4,OR(TH!N4959="1111",TH!O4959="1111")),TH!D4959,""),"")</f>
        <v/>
      </c>
      <c r="B4969" s="1242">
        <f t="shared" si="1340"/>
        <v>9</v>
      </c>
      <c r="C4969" s="292">
        <f t="shared" si="1339"/>
        <v>43005</v>
      </c>
      <c r="D4969" s="59" t="s">
        <v>902</v>
      </c>
      <c r="E4969" s="59">
        <v>43005</v>
      </c>
      <c r="F4969" s="62" t="s">
        <v>1314</v>
      </c>
      <c r="G4969" s="62" t="s">
        <v>586</v>
      </c>
      <c r="H4969" s="67" t="s">
        <v>982</v>
      </c>
      <c r="I4969" s="375"/>
      <c r="J4969" s="382"/>
      <c r="K4969" s="375"/>
      <c r="L4969" s="381"/>
      <c r="M4969" s="60">
        <v>5000</v>
      </c>
      <c r="N4969" s="61" t="s">
        <v>9</v>
      </c>
      <c r="O4969" s="61" t="s">
        <v>26</v>
      </c>
      <c r="P4969" s="75" t="str">
        <f>IF(AND('331-CT'!$E$7=TH!H4420,OR(N4969="331",O4969="331")),"x","")</f>
        <v/>
      </c>
      <c r="Q4969" s="75" t="str">
        <f>IF(AND(B4969='111'!$L$11,OR($N4969=$Q$7,$O4969=$Q$7)),"x","")</f>
        <v/>
      </c>
      <c r="R4969" s="75" t="str">
        <f>IF(AND($N4969=$Q$7,$B4969&lt;'111'!$L$11),"x","")</f>
        <v/>
      </c>
      <c r="S4969" s="75" t="str">
        <f>IF(AND($O4969=$Q$7,$B4969&lt;'111'!$L$11),"x","")</f>
        <v/>
      </c>
      <c r="T4969" s="75" t="str">
        <f>IF(ISERROR(FIND('112'!$M$9,G4969,1)),"",IF((AND(FIND('112'!$M$9,G4969,1)&gt;=1,B4969='112'!$K$9,OR($N4969='112'!$I$6,$O4969='112'!$I$6))),"x",""))</f>
        <v/>
      </c>
      <c r="U4969" s="75" t="str">
        <f>IF(ISERROR(FIND('112'!$M$9,G4969,1)),"",IF((AND(LEFT(G4969,2)=LEFT('112'!$M$9,2),B4969&lt;'112'!$K$9,$N4969='112'!$I$6)),"x",""))</f>
        <v/>
      </c>
      <c r="V4969" s="75" t="str">
        <f>IF(ISERROR(FIND('112'!$M$9,G4969,1)),"",IF((AND(RIGHT(G4969,2)=RIGHT('112'!$M$9,2),B4969&lt;'112'!$K$9,$O4969='112'!$I$6)),"x",""))</f>
        <v>x</v>
      </c>
      <c r="W4969" s="75" t="str">
        <f>IF(AND('341-CT'!$H$9=H4969,OR(LEFT(N4969,3)=$W$7,LEFT(O4969,3)=$W$7)),"x","")</f>
        <v/>
      </c>
      <c r="X4969" s="75" t="str">
        <f>IF(OR(TH!N4420=TH!$X$7,O4969=TH!$X$7),"x","")</f>
        <v/>
      </c>
      <c r="Y4969" s="75" t="str">
        <f>IF(AND(OR(N4969="131",O4969="131"),H4969='131-CT'!$H$9),"x","")</f>
        <v/>
      </c>
      <c r="Z4969" s="75"/>
      <c r="AA4969" s="75" t="str">
        <f>IF(AND(MONTH(E4969)='IN-NX'!$J$5,'IN-NX'!$D$7=D4969),"x","")</f>
        <v/>
      </c>
      <c r="AB4969" s="75" t="str">
        <f>IF(AND(OR(LEFT(TH!N4420,2)="15",LEFT(TH!O4420,2)="15"),LEFT(TH!O4420,3)&lt;&gt;"111",'152-CT'!$J$8=TH!F4420),"x","")</f>
        <v/>
      </c>
      <c r="AC4969" s="75" t="str">
        <f>IF(AND(OR(LEFT(TH!N4420,2)="15",LEFT(TH!O4420,2)="15"),TK!$E$7=TH!F4420),"x","")</f>
        <v/>
      </c>
      <c r="AD4969" s="75" t="str">
        <f>IF(AND(N4969="1521",MONTH(C4969)='BK-NL'!$M$11),"x","")</f>
        <v/>
      </c>
      <c r="AE4969">
        <v>9</v>
      </c>
    </row>
    <row r="4970" spans="1:31" ht="16.5" customHeight="1">
      <c r="A4970" s="309" t="str">
        <f>IF(B4970&lt;&gt;"",IF(AND(B4970='IN-TC'!$S$4,OR(TH!N4960="1111",TH!O4960="1111")),TH!D4960,""),"")</f>
        <v/>
      </c>
      <c r="B4970" s="1242">
        <f t="shared" si="1340"/>
        <v>9</v>
      </c>
      <c r="C4970" s="292">
        <f t="shared" si="1339"/>
        <v>43005</v>
      </c>
      <c r="D4970" s="59" t="s">
        <v>902</v>
      </c>
      <c r="E4970" s="59">
        <v>43005</v>
      </c>
      <c r="F4970" s="62" t="s">
        <v>1307</v>
      </c>
      <c r="G4970" s="62" t="s">
        <v>586</v>
      </c>
      <c r="H4970" s="67" t="s">
        <v>982</v>
      </c>
      <c r="I4970" s="375"/>
      <c r="J4970" s="382"/>
      <c r="K4970" s="375"/>
      <c r="L4970" s="381"/>
      <c r="M4970" s="60">
        <v>50000</v>
      </c>
      <c r="N4970" s="61" t="s">
        <v>101</v>
      </c>
      <c r="O4970" s="61" t="s">
        <v>26</v>
      </c>
      <c r="P4970" s="75" t="str">
        <f>IF(AND('331-CT'!$E$7=TH!H4421,OR(N4970="331",O4970="331")),"x","")</f>
        <v/>
      </c>
      <c r="Q4970" s="75" t="str">
        <f>IF(AND(B4970='111'!$L$11,OR($N4970=$Q$7,$O4970=$Q$7)),"x","")</f>
        <v/>
      </c>
      <c r="R4970" s="75" t="str">
        <f>IF(AND($N4970=$Q$7,$B4970&lt;'111'!$L$11),"x","")</f>
        <v/>
      </c>
      <c r="S4970" s="75" t="str">
        <f>IF(AND($O4970=$Q$7,$B4970&lt;'111'!$L$11),"x","")</f>
        <v/>
      </c>
      <c r="T4970" s="75" t="str">
        <f>IF(ISERROR(FIND('112'!$M$9,G4970,1)),"",IF((AND(FIND('112'!$M$9,G4970,1)&gt;=1,B4970='112'!$K$9,OR($N4970='112'!$I$6,$O4970='112'!$I$6))),"x",""))</f>
        <v/>
      </c>
      <c r="U4970" s="75" t="str">
        <f>IF(ISERROR(FIND('112'!$M$9,G4970,1)),"",IF((AND(LEFT(G4970,2)=LEFT('112'!$M$9,2),B4970&lt;'112'!$K$9,$N4970='112'!$I$6)),"x",""))</f>
        <v/>
      </c>
      <c r="V4970" s="75" t="str">
        <f>IF(ISERROR(FIND('112'!$M$9,G4970,1)),"",IF((AND(RIGHT(G4970,2)=RIGHT('112'!$M$9,2),B4970&lt;'112'!$K$9,$O4970='112'!$I$6)),"x",""))</f>
        <v>x</v>
      </c>
      <c r="W4970" s="75" t="str">
        <f>IF(AND('341-CT'!$H$9=H4970,OR(LEFT(N4970,3)=$W$7,LEFT(O4970,3)=$W$7)),"x","")</f>
        <v/>
      </c>
      <c r="X4970" s="75" t="str">
        <f>IF(OR(TH!N4421=TH!$X$7,O4970=TH!$X$7),"x","")</f>
        <v/>
      </c>
      <c r="Y4970" s="75" t="str">
        <f>IF(AND(OR(N4970="131",O4970="131"),H4970='131-CT'!$H$9),"x","")</f>
        <v/>
      </c>
      <c r="Z4970" s="75"/>
      <c r="AA4970" s="75" t="str">
        <f>IF(AND(MONTH(E4970)='IN-NX'!$J$5,'IN-NX'!$D$7=D4970),"x","")</f>
        <v/>
      </c>
      <c r="AB4970" s="75" t="str">
        <f>IF(AND(OR(LEFT(TH!N4421,2)="15",LEFT(TH!O4421,2)="15"),LEFT(TH!O4421,3)&lt;&gt;"111",'152-CT'!$J$8=TH!F4421),"x","")</f>
        <v/>
      </c>
      <c r="AC4970" s="75" t="str">
        <f>IF(AND(OR(LEFT(TH!N4421,2)="15",LEFT(TH!O4421,2)="15"),TK!$E$7=TH!F4421),"x","")</f>
        <v/>
      </c>
      <c r="AD4970" s="75" t="str">
        <f>IF(AND(N4970="1521",MONTH(C4970)='BK-NL'!$M$11),"x","")</f>
        <v/>
      </c>
      <c r="AE4970">
        <v>9</v>
      </c>
    </row>
    <row r="4971" spans="1:31" ht="16.5" customHeight="1">
      <c r="A4971" s="309" t="str">
        <f>IF(B4971&lt;&gt;"",IF(AND(B4971='IN-TC'!$S$4,OR(TH!N4961="1111",TH!O4961="1111")),TH!D4961,""),"")</f>
        <v/>
      </c>
      <c r="B4971" s="1242">
        <f t="shared" si="1340"/>
        <v>9</v>
      </c>
      <c r="C4971" s="292">
        <f t="shared" si="1339"/>
        <v>43005</v>
      </c>
      <c r="D4971" s="59" t="s">
        <v>902</v>
      </c>
      <c r="E4971" s="59">
        <v>43005</v>
      </c>
      <c r="F4971" s="62" t="s">
        <v>1314</v>
      </c>
      <c r="G4971" s="62" t="s">
        <v>586</v>
      </c>
      <c r="H4971" s="67" t="s">
        <v>982</v>
      </c>
      <c r="I4971" s="375"/>
      <c r="J4971" s="382"/>
      <c r="K4971" s="375"/>
      <c r="L4971" s="381"/>
      <c r="M4971" s="60">
        <v>5000</v>
      </c>
      <c r="N4971" s="61" t="s">
        <v>9</v>
      </c>
      <c r="O4971" s="61" t="s">
        <v>26</v>
      </c>
      <c r="P4971" s="75" t="str">
        <f>IF(AND('331-CT'!$E$7=TH!H4422,OR(N4971="331",O4971="331")),"x","")</f>
        <v/>
      </c>
      <c r="Q4971" s="75" t="str">
        <f>IF(AND(B4971='111'!$L$11,OR($N4971=$Q$7,$O4971=$Q$7)),"x","")</f>
        <v/>
      </c>
      <c r="R4971" s="75" t="str">
        <f>IF(AND($N4971=$Q$7,$B4971&lt;'111'!$L$11),"x","")</f>
        <v/>
      </c>
      <c r="S4971" s="75" t="str">
        <f>IF(AND($O4971=$Q$7,$B4971&lt;'111'!$L$11),"x","")</f>
        <v/>
      </c>
      <c r="T4971" s="75" t="str">
        <f>IF(ISERROR(FIND('112'!$M$9,G4971,1)),"",IF((AND(FIND('112'!$M$9,G4971,1)&gt;=1,B4971='112'!$K$9,OR($N4971='112'!$I$6,$O4971='112'!$I$6))),"x",""))</f>
        <v/>
      </c>
      <c r="U4971" s="75" t="str">
        <f>IF(ISERROR(FIND('112'!$M$9,G4971,1)),"",IF((AND(LEFT(G4971,2)=LEFT('112'!$M$9,2),B4971&lt;'112'!$K$9,$N4971='112'!$I$6)),"x",""))</f>
        <v/>
      </c>
      <c r="V4971" s="75" t="str">
        <f>IF(ISERROR(FIND('112'!$M$9,G4971,1)),"",IF((AND(RIGHT(G4971,2)=RIGHT('112'!$M$9,2),B4971&lt;'112'!$K$9,$O4971='112'!$I$6)),"x",""))</f>
        <v>x</v>
      </c>
      <c r="W4971" s="75" t="str">
        <f>IF(AND('341-CT'!$H$9=H4971,OR(LEFT(N4971,3)=$W$7,LEFT(O4971,3)=$W$7)),"x","")</f>
        <v/>
      </c>
      <c r="X4971" s="75" t="str">
        <f>IF(OR(TH!N4422=TH!$X$7,O4971=TH!$X$7),"x","")</f>
        <v/>
      </c>
      <c r="Y4971" s="75" t="str">
        <f>IF(AND(OR(N4971="131",O4971="131"),H4971='131-CT'!$H$9),"x","")</f>
        <v/>
      </c>
      <c r="Z4971" s="75"/>
      <c r="AA4971" s="75" t="str">
        <f>IF(AND(MONTH(E4971)='IN-NX'!$J$5,'IN-NX'!$D$7=D4971),"x","")</f>
        <v/>
      </c>
      <c r="AB4971" s="75" t="str">
        <f>IF(AND(OR(LEFT(TH!N4422,2)="15",LEFT(TH!O4422,2)="15"),LEFT(TH!O4422,3)&lt;&gt;"111",'152-CT'!$J$8=TH!F4422),"x","")</f>
        <v/>
      </c>
      <c r="AC4971" s="75" t="str">
        <f>IF(AND(OR(LEFT(TH!N4422,2)="15",LEFT(TH!O4422,2)="15"),TK!$E$7=TH!F4422),"x","")</f>
        <v/>
      </c>
      <c r="AD4971" s="75" t="str">
        <f>IF(AND(N4971="1521",MONTH(C4971)='BK-NL'!$M$11),"x","")</f>
        <v/>
      </c>
      <c r="AE4971">
        <v>9</v>
      </c>
    </row>
    <row r="4972" spans="1:31" ht="16.5" customHeight="1">
      <c r="A4972" s="309" t="str">
        <f>IF(B4972&lt;&gt;"",IF(AND(B4972='IN-TC'!$S$4,OR(TH!N4962="1111",TH!O4962="1111")),TH!D4962,""),"")</f>
        <v/>
      </c>
      <c r="B4972" s="1242">
        <f t="shared" si="1340"/>
        <v>9</v>
      </c>
      <c r="C4972" s="292">
        <f t="shared" si="1339"/>
        <v>43005</v>
      </c>
      <c r="D4972" s="59" t="s">
        <v>902</v>
      </c>
      <c r="E4972" s="59">
        <v>43005</v>
      </c>
      <c r="F4972" s="62" t="s">
        <v>897</v>
      </c>
      <c r="G4972" s="62" t="s">
        <v>747</v>
      </c>
      <c r="H4972" s="294" t="s">
        <v>2042</v>
      </c>
      <c r="I4972" s="373"/>
      <c r="J4972" s="382"/>
      <c r="K4972" s="373"/>
      <c r="L4972" s="379"/>
      <c r="M4972" s="60">
        <v>1480660000</v>
      </c>
      <c r="N4972" s="61" t="s">
        <v>8</v>
      </c>
      <c r="O4972" s="61" t="s">
        <v>26</v>
      </c>
      <c r="P4972" s="75" t="str">
        <f>IF(AND('331-CT'!$E$7=TH!H5466,OR(N4972="331",O4972="331")),"x","")</f>
        <v/>
      </c>
      <c r="Q4972" s="75" t="str">
        <f>IF(AND(B4972='111'!$L$11,OR($N4972=$Q$7,$O4972=$Q$7)),"x","")</f>
        <v/>
      </c>
      <c r="R4972" s="75" t="str">
        <f>IF(AND($N4972=$Q$7,$B4972&lt;'111'!$L$11),"x","")</f>
        <v/>
      </c>
      <c r="S4972" s="75" t="str">
        <f>IF(AND($O4972=$Q$7,$B4972&lt;'111'!$L$11),"x","")</f>
        <v/>
      </c>
      <c r="T4972" s="75" t="str">
        <f>IF(ISERROR(FIND('112'!$M$9,G4972,1)),"",IF((AND(FIND('112'!$M$9,G4972,1)&gt;=1,B4972='112'!$K$9,OR($N4972='112'!$I$6,$O4972='112'!$I$6))),"x",""))</f>
        <v/>
      </c>
      <c r="U4972" s="75" t="str">
        <f>IF(ISERROR(FIND('112'!$M$9,G4972,1)),"",IF((AND(LEFT(G4972,2)=LEFT('112'!$M$9,2),B4972&lt;'112'!$K$9,$N4972='112'!$I$6)),"x",""))</f>
        <v/>
      </c>
      <c r="V4972" s="75" t="str">
        <f>IF(ISERROR(FIND('112'!$M$9,G4972,1)),"",IF((AND(RIGHT(G4972,2)=RIGHT('112'!$M$9,2),B4972&lt;'112'!$K$9,$O4972='112'!$I$6)),"x",""))</f>
        <v/>
      </c>
      <c r="W4972" s="75" t="str">
        <f>IF(AND('341-CT'!$H$9=H4972,OR(LEFT(N4972,3)=$W$7,LEFT(O4972,3)=$W$7)),"x","")</f>
        <v/>
      </c>
      <c r="X4972" s="75" t="str">
        <f>IF(OR(TH!N5466=TH!$X$7,O4972=TH!$X$7),"x","")</f>
        <v/>
      </c>
      <c r="Y4972" s="75" t="str">
        <f>IF(AND(OR(N4972="131",O4972="131"),H4972='131-CT'!$H$9),"x","")</f>
        <v/>
      </c>
      <c r="Z4972" s="75"/>
      <c r="AA4972" s="75" t="str">
        <f>IF(AND(MONTH(E4972)='IN-NX'!$J$5,'IN-NX'!$D$7=D4972),"x","")</f>
        <v/>
      </c>
      <c r="AB4972" s="75" t="str">
        <f>IF(AND(OR(LEFT(TH!N5466,2)="15",LEFT(TH!O5466,2)="15"),LEFT(TH!O5466,3)&lt;&gt;"111",'152-CT'!$J$8=TH!F5466),"x","")</f>
        <v/>
      </c>
      <c r="AC4972" s="75" t="str">
        <f>IF(AND(OR(LEFT(TH!N5466,2)="15",LEFT(TH!O5466,2)="15"),TK!$E$7=TH!F5466),"x","")</f>
        <v/>
      </c>
      <c r="AD4972" s="75" t="str">
        <f>IF(AND(N4972="1521",MONTH(C4972)='BK-NL'!$M$11),"x","")</f>
        <v/>
      </c>
    </row>
    <row r="4973" spans="1:31" ht="16.5" customHeight="1">
      <c r="A4973" s="309" t="str">
        <f>IF(B4973&lt;&gt;"",IF(AND(B4973='IN-TC'!$S$4,OR(TH!N4963="1111",TH!O4963="1111")),TH!D4963,""),"")</f>
        <v/>
      </c>
      <c r="B4973" s="1242">
        <f t="shared" si="1340"/>
        <v>9</v>
      </c>
      <c r="C4973" s="292">
        <f t="shared" si="1339"/>
        <v>43005</v>
      </c>
      <c r="D4973" s="59" t="s">
        <v>902</v>
      </c>
      <c r="E4973" s="59">
        <v>43005</v>
      </c>
      <c r="F4973" s="62" t="s">
        <v>1307</v>
      </c>
      <c r="G4973" s="62" t="s">
        <v>747</v>
      </c>
      <c r="H4973" s="67" t="s">
        <v>835</v>
      </c>
      <c r="I4973" s="373"/>
      <c r="J4973" s="382"/>
      <c r="K4973" s="373"/>
      <c r="L4973" s="379"/>
      <c r="M4973" s="60">
        <v>444198</v>
      </c>
      <c r="N4973" s="61" t="s">
        <v>101</v>
      </c>
      <c r="O4973" s="61" t="s">
        <v>26</v>
      </c>
      <c r="P4973" s="75" t="str">
        <f>IF(AND('331-CT'!$E$7=TH!H5467,OR(N4973="331",O4973="331")),"x","")</f>
        <v/>
      </c>
      <c r="Q4973" s="75" t="str">
        <f>IF(AND(B4973='111'!$L$11,OR($N4973=$Q$7,$O4973=$Q$7)),"x","")</f>
        <v/>
      </c>
      <c r="R4973" s="75" t="str">
        <f>IF(AND($N4973=$Q$7,$B4973&lt;'111'!$L$11),"x","")</f>
        <v/>
      </c>
      <c r="S4973" s="75" t="str">
        <f>IF(AND($O4973=$Q$7,$B4973&lt;'111'!$L$11),"x","")</f>
        <v/>
      </c>
      <c r="T4973" s="75" t="str">
        <f>IF(ISERROR(FIND('112'!$M$9,G4973,1)),"",IF((AND(FIND('112'!$M$9,G4973,1)&gt;=1,B4973='112'!$K$9,OR($N4973='112'!$I$6,$O4973='112'!$I$6))),"x",""))</f>
        <v/>
      </c>
      <c r="U4973" s="75" t="str">
        <f>IF(ISERROR(FIND('112'!$M$9,G4973,1)),"",IF((AND(LEFT(G4973,2)=LEFT('112'!$M$9,2),B4973&lt;'112'!$K$9,$N4973='112'!$I$6)),"x",""))</f>
        <v/>
      </c>
      <c r="V4973" s="75" t="str">
        <f>IF(ISERROR(FIND('112'!$M$9,G4973,1)),"",IF((AND(RIGHT(G4973,2)=RIGHT('112'!$M$9,2),B4973&lt;'112'!$K$9,$O4973='112'!$I$6)),"x",""))</f>
        <v/>
      </c>
      <c r="W4973" s="75" t="str">
        <f>IF(AND('341-CT'!$H$9=H4973,OR(LEFT(N4973,3)=$W$7,LEFT(O4973,3)=$W$7)),"x","")</f>
        <v/>
      </c>
      <c r="X4973" s="75" t="str">
        <f>IF(OR(TH!N5467=TH!$X$7,O4973=TH!$X$7),"x","")</f>
        <v/>
      </c>
      <c r="Y4973" s="75" t="str">
        <f>IF(AND(OR(N4973="131",O4973="131"),H4973='131-CT'!$H$9),"x","")</f>
        <v/>
      </c>
      <c r="Z4973" s="75"/>
      <c r="AA4973" s="75" t="str">
        <f>IF(AND(MONTH(E4973)='IN-NX'!$J$5,'IN-NX'!$D$7=D4973),"x","")</f>
        <v/>
      </c>
      <c r="AB4973" s="75" t="str">
        <f>IF(AND(OR(LEFT(TH!N5467,2)="15",LEFT(TH!O5467,2)="15"),LEFT(TH!O5467,3)&lt;&gt;"111",'152-CT'!$J$8=TH!F5467),"x","")</f>
        <v/>
      </c>
      <c r="AC4973" s="75" t="str">
        <f>IF(AND(OR(LEFT(TH!N5467,2)="15",LEFT(TH!O5467,2)="15"),TK!$E$7=TH!F5467),"x","")</f>
        <v/>
      </c>
      <c r="AD4973" s="75" t="str">
        <f>IF(AND(N4973="1521",MONTH(C4973)='BK-NL'!$M$11),"x","")</f>
        <v/>
      </c>
      <c r="AE4973">
        <v>9</v>
      </c>
    </row>
    <row r="4974" spans="1:31" ht="16.5" customHeight="1">
      <c r="A4974" s="309" t="str">
        <f>IF(B4974&lt;&gt;"",IF(AND(B4974='IN-TC'!$S$4,OR(TH!N4964="1111",TH!O4964="1111")),TH!D4964,""),"")</f>
        <v/>
      </c>
      <c r="B4974" s="1242">
        <f t="shared" si="1340"/>
        <v>9</v>
      </c>
      <c r="C4974" s="292">
        <f t="shared" si="1339"/>
        <v>43005</v>
      </c>
      <c r="D4974" s="59" t="s">
        <v>902</v>
      </c>
      <c r="E4974" s="59">
        <v>43005</v>
      </c>
      <c r="F4974" s="62" t="s">
        <v>2101</v>
      </c>
      <c r="G4974" s="62" t="s">
        <v>747</v>
      </c>
      <c r="H4974" s="67" t="s">
        <v>835</v>
      </c>
      <c r="I4974" s="373"/>
      <c r="J4974" s="382"/>
      <c r="K4974" s="373"/>
      <c r="L4974" s="379"/>
      <c r="M4974" s="60">
        <v>44420</v>
      </c>
      <c r="N4974" s="61" t="s">
        <v>9</v>
      </c>
      <c r="O4974" s="61" t="s">
        <v>26</v>
      </c>
      <c r="P4974" s="75" t="str">
        <f>IF(AND('331-CT'!$E$7=TH!H5468,OR(N4974="331",O4974="331")),"x","")</f>
        <v/>
      </c>
      <c r="Q4974" s="75" t="str">
        <f>IF(AND(B4974='111'!$L$11,OR($N4974=$Q$7,$O4974=$Q$7)),"x","")</f>
        <v/>
      </c>
      <c r="R4974" s="75" t="str">
        <f>IF(AND($N4974=$Q$7,$B4974&lt;'111'!$L$11),"x","")</f>
        <v/>
      </c>
      <c r="S4974" s="75" t="str">
        <f>IF(AND($O4974=$Q$7,$B4974&lt;'111'!$L$11),"x","")</f>
        <v/>
      </c>
      <c r="T4974" s="75" t="str">
        <f>IF(ISERROR(FIND('112'!$M$9,G4974,1)),"",IF((AND(FIND('112'!$M$9,G4974,1)&gt;=1,B4974='112'!$K$9,OR($N4974='112'!$I$6,$O4974='112'!$I$6))),"x",""))</f>
        <v/>
      </c>
      <c r="U4974" s="75" t="str">
        <f>IF(ISERROR(FIND('112'!$M$9,G4974,1)),"",IF((AND(LEFT(G4974,2)=LEFT('112'!$M$9,2),B4974&lt;'112'!$K$9,$N4974='112'!$I$6)),"x",""))</f>
        <v/>
      </c>
      <c r="V4974" s="75" t="str">
        <f>IF(ISERROR(FIND('112'!$M$9,G4974,1)),"",IF((AND(RIGHT(G4974,2)=RIGHT('112'!$M$9,2),B4974&lt;'112'!$K$9,$O4974='112'!$I$6)),"x",""))</f>
        <v/>
      </c>
      <c r="W4974" s="75" t="str">
        <f>IF(AND('341-CT'!$H$9=H4974,OR(LEFT(N4974,3)=$W$7,LEFT(O4974,3)=$W$7)),"x","")</f>
        <v/>
      </c>
      <c r="X4974" s="75" t="str">
        <f>IF(OR(TH!N5468=TH!$X$7,O4974=TH!$X$7),"x","")</f>
        <v/>
      </c>
      <c r="Y4974" s="75" t="str">
        <f>IF(AND(OR(N4974="131",O4974="131"),H4974='131-CT'!$H$9),"x","")</f>
        <v/>
      </c>
      <c r="Z4974" s="75"/>
      <c r="AA4974" s="75" t="str">
        <f>IF(AND(MONTH(E4974)='IN-NX'!$J$5,'IN-NX'!$D$7=D4974),"x","")</f>
        <v/>
      </c>
      <c r="AB4974" s="75" t="str">
        <f>IF(AND(OR(LEFT(TH!N5468,2)="15",LEFT(TH!O5468,2)="15"),LEFT(TH!O5468,3)&lt;&gt;"111",'152-CT'!$J$8=TH!F5468),"x","")</f>
        <v/>
      </c>
      <c r="AC4974" s="75" t="str">
        <f>IF(AND(OR(LEFT(TH!N5468,2)="15",LEFT(TH!O5468,2)="15"),TK!$E$7=TH!F5468),"x","")</f>
        <v/>
      </c>
      <c r="AD4974" s="75" t="str">
        <f>IF(AND(N4974="1521",MONTH(C4974)='BK-NL'!$M$11),"x","")</f>
        <v/>
      </c>
      <c r="AE4974">
        <v>9</v>
      </c>
    </row>
    <row r="4975" spans="1:31" ht="16.5" customHeight="1">
      <c r="A4975" s="309" t="str">
        <f>IF(B4975&lt;&gt;"",IF(AND(B4975='IN-TC'!$S$4,OR(TH!N4965="1111",TH!O4965="1111")),TH!D4965,""),"")</f>
        <v/>
      </c>
      <c r="B4975" s="1242">
        <f t="shared" si="1340"/>
        <v>9</v>
      </c>
      <c r="C4975" s="292">
        <f t="shared" si="1339"/>
        <v>43005</v>
      </c>
      <c r="D4975" s="59" t="s">
        <v>902</v>
      </c>
      <c r="E4975" s="59">
        <v>43005</v>
      </c>
      <c r="F4975" s="62" t="s">
        <v>2252</v>
      </c>
      <c r="G4975" s="62" t="s">
        <v>747</v>
      </c>
      <c r="H4975" s="67" t="s">
        <v>563</v>
      </c>
      <c r="I4975" s="373"/>
      <c r="J4975" s="382"/>
      <c r="K4975" s="373"/>
      <c r="L4975" s="379"/>
      <c r="M4975" s="60">
        <v>32216250</v>
      </c>
      <c r="N4975" s="61" t="s">
        <v>8</v>
      </c>
      <c r="O4975" s="61" t="s">
        <v>26</v>
      </c>
      <c r="P4975" s="75" t="str">
        <f>IF(AND('331-CT'!$E$7=TH!H5469,OR(N4975="331",O4975="331")),"x","")</f>
        <v/>
      </c>
      <c r="Q4975" s="75" t="str">
        <f>IF(AND(B4975='111'!$L$11,OR($N4975=$Q$7,$O4975=$Q$7)),"x","")</f>
        <v/>
      </c>
      <c r="R4975" s="75" t="str">
        <f>IF(AND($N4975=$Q$7,$B4975&lt;'111'!$L$11),"x","")</f>
        <v/>
      </c>
      <c r="S4975" s="75" t="str">
        <f>IF(AND($O4975=$Q$7,$B4975&lt;'111'!$L$11),"x","")</f>
        <v/>
      </c>
      <c r="T4975" s="75" t="str">
        <f>IF(ISERROR(FIND('112'!$M$9,G4975,1)),"",IF((AND(FIND('112'!$M$9,G4975,1)&gt;=1,B4975='112'!$K$9,OR($N4975='112'!$I$6,$O4975='112'!$I$6))),"x",""))</f>
        <v/>
      </c>
      <c r="U4975" s="75" t="str">
        <f>IF(ISERROR(FIND('112'!$M$9,G4975,1)),"",IF((AND(LEFT(G4975,2)=LEFT('112'!$M$9,2),B4975&lt;'112'!$K$9,$N4975='112'!$I$6)),"x",""))</f>
        <v/>
      </c>
      <c r="V4975" s="75" t="str">
        <f>IF(ISERROR(FIND('112'!$M$9,G4975,1)),"",IF((AND(RIGHT(G4975,2)=RIGHT('112'!$M$9,2),B4975&lt;'112'!$K$9,$O4975='112'!$I$6)),"x",""))</f>
        <v/>
      </c>
      <c r="W4975" s="75" t="str">
        <f>IF(AND('341-CT'!$H$9=H4975,OR(LEFT(N4975,3)=$W$7,LEFT(O4975,3)=$W$7)),"x","")</f>
        <v/>
      </c>
      <c r="X4975" s="75" t="str">
        <f>IF(OR(TH!N5469=TH!$X$7,O4975=TH!$X$7),"x","")</f>
        <v/>
      </c>
      <c r="Y4975" s="75" t="str">
        <f>IF(AND(OR(N4975="131",O4975="131"),H4975='131-CT'!$H$9),"x","")</f>
        <v/>
      </c>
      <c r="Z4975" s="75"/>
      <c r="AA4975" s="75" t="str">
        <f>IF(AND(MONTH(E4975)='IN-NX'!$J$5,'IN-NX'!$D$7=D4975),"x","")</f>
        <v/>
      </c>
      <c r="AB4975" s="75" t="str">
        <f>IF(AND(OR(LEFT(TH!N5469,2)="15",LEFT(TH!O5469,2)="15"),LEFT(TH!O5469,3)&lt;&gt;"111",'152-CT'!$J$8=TH!F5469),"x","")</f>
        <v/>
      </c>
      <c r="AC4975" s="75" t="str">
        <f>IF(AND(OR(LEFT(TH!N5469,2)="15",LEFT(TH!O5469,2)="15"),TK!$E$7=TH!F5469),"x","")</f>
        <v/>
      </c>
      <c r="AD4975" s="75" t="str">
        <f>IF(AND(N4975="1521",MONTH(C4975)='BK-NL'!$M$11),"x","")</f>
        <v/>
      </c>
    </row>
    <row r="4976" spans="1:31" ht="16.5" customHeight="1">
      <c r="A4976" s="309" t="str">
        <f>IF(B4976&lt;&gt;"",IF(AND(B4976='IN-TC'!$S$4,OR(TH!N4966="1111",TH!O4966="1111")),TH!D4966,""),"")</f>
        <v/>
      </c>
      <c r="B4976" s="1242">
        <f t="shared" si="1340"/>
        <v>9</v>
      </c>
      <c r="C4976" s="292">
        <f t="shared" si="1339"/>
        <v>43005</v>
      </c>
      <c r="D4976" s="59" t="s">
        <v>902</v>
      </c>
      <c r="E4976" s="59">
        <v>43005</v>
      </c>
      <c r="F4976" s="62" t="s">
        <v>1307</v>
      </c>
      <c r="G4976" s="62" t="s">
        <v>747</v>
      </c>
      <c r="H4976" s="67" t="s">
        <v>835</v>
      </c>
      <c r="I4976" s="373"/>
      <c r="J4976" s="382"/>
      <c r="K4976" s="373"/>
      <c r="L4976" s="379"/>
      <c r="M4976" s="60">
        <v>10000</v>
      </c>
      <c r="N4976" s="61" t="s">
        <v>101</v>
      </c>
      <c r="O4976" s="61" t="s">
        <v>26</v>
      </c>
      <c r="P4976" s="75" t="str">
        <f>IF(AND('331-CT'!$E$7=TH!H5470,OR(N4976="331",O4976="331")),"x","")</f>
        <v/>
      </c>
      <c r="Q4976" s="75" t="str">
        <f>IF(AND(B4976='111'!$L$11,OR($N4976=$Q$7,$O4976=$Q$7)),"x","")</f>
        <v/>
      </c>
      <c r="R4976" s="75" t="str">
        <f>IF(AND($N4976=$Q$7,$B4976&lt;'111'!$L$11),"x","")</f>
        <v/>
      </c>
      <c r="S4976" s="75" t="str">
        <f>IF(AND($O4976=$Q$7,$B4976&lt;'111'!$L$11),"x","")</f>
        <v/>
      </c>
      <c r="T4976" s="75" t="str">
        <f>IF(ISERROR(FIND('112'!$M$9,G4976,1)),"",IF((AND(FIND('112'!$M$9,G4976,1)&gt;=1,B4976='112'!$K$9,OR($N4976='112'!$I$6,$O4976='112'!$I$6))),"x",""))</f>
        <v/>
      </c>
      <c r="U4976" s="75" t="str">
        <f>IF(ISERROR(FIND('112'!$M$9,G4976,1)),"",IF((AND(LEFT(G4976,2)=LEFT('112'!$M$9,2),B4976&lt;'112'!$K$9,$N4976='112'!$I$6)),"x",""))</f>
        <v/>
      </c>
      <c r="V4976" s="75" t="str">
        <f>IF(ISERROR(FIND('112'!$M$9,G4976,1)),"",IF((AND(RIGHT(G4976,2)=RIGHT('112'!$M$9,2),B4976&lt;'112'!$K$9,$O4976='112'!$I$6)),"x",""))</f>
        <v/>
      </c>
      <c r="W4976" s="75" t="str">
        <f>IF(AND('341-CT'!$H$9=H4976,OR(LEFT(N4976,3)=$W$7,LEFT(O4976,3)=$W$7)),"x","")</f>
        <v/>
      </c>
      <c r="X4976" s="75" t="str">
        <f>IF(OR(TH!N5470=TH!$X$7,O4976=TH!$X$7),"x","")</f>
        <v/>
      </c>
      <c r="Y4976" s="75" t="str">
        <f>IF(AND(OR(N4976="131",O4976="131"),H4976='131-CT'!$H$9),"x","")</f>
        <v/>
      </c>
      <c r="Z4976" s="75"/>
      <c r="AA4976" s="75" t="str">
        <f>IF(AND(MONTH(E4976)='IN-NX'!$J$5,'IN-NX'!$D$7=D4976),"x","")</f>
        <v/>
      </c>
      <c r="AB4976" s="75" t="str">
        <f>IF(AND(OR(LEFT(TH!N5470,2)="15",LEFT(TH!O5470,2)="15"),LEFT(TH!O5470,3)&lt;&gt;"111",'152-CT'!$J$8=TH!F5470),"x","")</f>
        <v/>
      </c>
      <c r="AC4976" s="75" t="str">
        <f>IF(AND(OR(LEFT(TH!N5470,2)="15",LEFT(TH!O5470,2)="15"),TK!$E$7=TH!F5470),"x","")</f>
        <v/>
      </c>
      <c r="AD4976" s="75" t="str">
        <f>IF(AND(N4976="1521",MONTH(C4976)='BK-NL'!$M$11),"x","")</f>
        <v/>
      </c>
      <c r="AE4976">
        <v>9</v>
      </c>
    </row>
    <row r="4977" spans="1:33" ht="16.5" customHeight="1">
      <c r="A4977" s="309" t="str">
        <f>IF(B4977&lt;&gt;"",IF(AND(B4977='IN-TC'!$S$4,OR(TH!N4967="1111",TH!O4967="1111")),TH!D4967,""),"")</f>
        <v/>
      </c>
      <c r="B4977" s="1242">
        <f t="shared" si="1340"/>
        <v>9</v>
      </c>
      <c r="C4977" s="292">
        <f t="shared" si="1339"/>
        <v>43005</v>
      </c>
      <c r="D4977" s="59" t="s">
        <v>902</v>
      </c>
      <c r="E4977" s="59">
        <v>43005</v>
      </c>
      <c r="F4977" s="62" t="s">
        <v>2101</v>
      </c>
      <c r="G4977" s="62" t="s">
        <v>747</v>
      </c>
      <c r="H4977" s="67" t="s">
        <v>835</v>
      </c>
      <c r="I4977" s="373"/>
      <c r="J4977" s="382"/>
      <c r="K4977" s="373"/>
      <c r="L4977" s="379"/>
      <c r="M4977" s="60">
        <v>1000</v>
      </c>
      <c r="N4977" s="61" t="s">
        <v>9</v>
      </c>
      <c r="O4977" s="61" t="s">
        <v>26</v>
      </c>
      <c r="P4977" s="75" t="str">
        <f>IF(AND('331-CT'!$E$7=TH!H5471,OR(N4977="331",O4977="331")),"x","")</f>
        <v/>
      </c>
      <c r="Q4977" s="75" t="str">
        <f>IF(AND(B4977='111'!$L$11,OR($N4977=$Q$7,$O4977=$Q$7)),"x","")</f>
        <v/>
      </c>
      <c r="R4977" s="75" t="str">
        <f>IF(AND($N4977=$Q$7,$B4977&lt;'111'!$L$11),"x","")</f>
        <v/>
      </c>
      <c r="S4977" s="75" t="str">
        <f>IF(AND($O4977=$Q$7,$B4977&lt;'111'!$L$11),"x","")</f>
        <v/>
      </c>
      <c r="T4977" s="75" t="str">
        <f>IF(ISERROR(FIND('112'!$M$9,G4977,1)),"",IF((AND(FIND('112'!$M$9,G4977,1)&gt;=1,B4977='112'!$K$9,OR($N4977='112'!$I$6,$O4977='112'!$I$6))),"x",""))</f>
        <v/>
      </c>
      <c r="U4977" s="75" t="str">
        <f>IF(ISERROR(FIND('112'!$M$9,G4977,1)),"",IF((AND(LEFT(G4977,2)=LEFT('112'!$M$9,2),B4977&lt;'112'!$K$9,$N4977='112'!$I$6)),"x",""))</f>
        <v/>
      </c>
      <c r="V4977" s="75" t="str">
        <f>IF(ISERROR(FIND('112'!$M$9,G4977,1)),"",IF((AND(RIGHT(G4977,2)=RIGHT('112'!$M$9,2),B4977&lt;'112'!$K$9,$O4977='112'!$I$6)),"x",""))</f>
        <v/>
      </c>
      <c r="W4977" s="75" t="str">
        <f>IF(AND('341-CT'!$H$9=H4977,OR(LEFT(N4977,3)=$W$7,LEFT(O4977,3)=$W$7)),"x","")</f>
        <v/>
      </c>
      <c r="X4977" s="75" t="str">
        <f>IF(OR(TH!N5471=TH!$X$7,O4977=TH!$X$7),"x","")</f>
        <v/>
      </c>
      <c r="Y4977" s="75" t="str">
        <f>IF(AND(OR(N4977="131",O4977="131"),H4977='131-CT'!$H$9),"x","")</f>
        <v/>
      </c>
      <c r="Z4977" s="75"/>
      <c r="AA4977" s="75" t="str">
        <f>IF(AND(MONTH(E4977)='IN-NX'!$J$5,'IN-NX'!$D$7=D4977),"x","")</f>
        <v/>
      </c>
      <c r="AB4977" s="75" t="str">
        <f>IF(AND(OR(LEFT(TH!N5471,2)="15",LEFT(TH!O5471,2)="15"),LEFT(TH!O5471,3)&lt;&gt;"111",'152-CT'!$J$8=TH!F5471),"x","")</f>
        <v/>
      </c>
      <c r="AC4977" s="75" t="str">
        <f>IF(AND(OR(LEFT(TH!N5471,2)="15",LEFT(TH!O5471,2)="15"),TK!$E$7=TH!F5471),"x","")</f>
        <v/>
      </c>
      <c r="AD4977" s="75" t="str">
        <f>IF(AND(N4977="1521",MONTH(C4977)='BK-NL'!$M$11),"x","")</f>
        <v/>
      </c>
      <c r="AE4977">
        <v>9</v>
      </c>
    </row>
    <row r="4978" spans="1:33" ht="16.5" customHeight="1">
      <c r="A4978" s="309" t="str">
        <f>IF(B4978&lt;&gt;"",IF(AND(B4978='IN-TC'!$S$4,OR(TH!N4968="1111",TH!O4968="1111")),TH!D4968,""),"")</f>
        <v/>
      </c>
      <c r="B4978" s="1242">
        <f t="shared" si="1340"/>
        <v>9</v>
      </c>
      <c r="C4978" s="292">
        <f t="shared" si="1339"/>
        <v>43006</v>
      </c>
      <c r="D4978" s="292"/>
      <c r="E4978" s="292">
        <v>43006</v>
      </c>
      <c r="F4978" s="67" t="s">
        <v>1165</v>
      </c>
      <c r="G4978" s="925" t="s">
        <v>1168</v>
      </c>
      <c r="H4978" s="294" t="s">
        <v>2186</v>
      </c>
      <c r="I4978" s="373"/>
      <c r="J4978" s="926"/>
      <c r="K4978" s="373"/>
      <c r="L4978" s="379"/>
      <c r="M4978" s="927">
        <v>19762050</v>
      </c>
      <c r="N4978" s="295" t="s">
        <v>8</v>
      </c>
      <c r="O4978" s="295" t="s">
        <v>63</v>
      </c>
      <c r="P4978" s="75" t="str">
        <f>IF(AND('331-CT'!$E$7=TH!H3925,OR(N4978="331",O4978="331")),"x","")</f>
        <v/>
      </c>
      <c r="Q4978" s="75" t="str">
        <f>IF(AND(B4978='111'!$L$11,OR($N4978=$Q$7,$O4978=$Q$7)),"x","")</f>
        <v/>
      </c>
      <c r="R4978" s="75" t="str">
        <f>IF(AND($N4978=$Q$7,$B4978&lt;'111'!$L$11),"x","")</f>
        <v/>
      </c>
      <c r="S4978" s="75" t="str">
        <f>IF(AND($O4978=$Q$7,$B4978&lt;'111'!$L$11),"x","")</f>
        <v>x</v>
      </c>
      <c r="T4978" s="75" t="str">
        <f>IF(ISERROR(FIND('112'!$M$9,G4978,1)),"",IF((AND(FIND('112'!$M$9,G4978,1)&gt;=1,B4978='112'!$K$9,OR($N4978='112'!$I$6,$O4978='112'!$I$6))),"x",""))</f>
        <v/>
      </c>
      <c r="U4978" s="75" t="str">
        <f>IF(ISERROR(FIND('112'!$M$9,G4978,1)),"",IF((AND(LEFT(G4978,2)=LEFT('112'!$M$9,2),B4978&lt;'112'!$K$9,$N4978='112'!$I$6)),"x",""))</f>
        <v/>
      </c>
      <c r="V4978" s="75" t="str">
        <f>IF(ISERROR(FIND('112'!$M$9,G4978,1)),"",IF((AND(RIGHT(G4978,2)=RIGHT('112'!$M$9,2),B4978&lt;'112'!$K$9,$O4978='112'!$I$6)),"x",""))</f>
        <v/>
      </c>
      <c r="W4978" s="75" t="str">
        <f>IF(AND('341-CT'!$H$9=H4978,OR(LEFT(N4978,3)=$W$7,LEFT(O4978,3)=$W$7)),"x","")</f>
        <v/>
      </c>
      <c r="X4978" s="75" t="str">
        <f>IF(OR(TH!N3925=TH!$X$7,O4978=TH!$X$7),"x","")</f>
        <v/>
      </c>
      <c r="Y4978" s="75" t="str">
        <f>IF(AND(OR(N4978="131",O4978="131"),H4978='131-CT'!$H$9),"x","")</f>
        <v/>
      </c>
      <c r="Z4978" s="75"/>
      <c r="AA4978" s="75" t="str">
        <f>IF(AND(MONTH(E4978)='IN-NX'!$J$5,'IN-NX'!$D$7=D4978),"x","")</f>
        <v/>
      </c>
      <c r="AB4978" s="75" t="str">
        <f>IF(AND(OR(LEFT(TH!N3925,2)="15",LEFT(TH!O3925,2)="15"),LEFT(TH!O3925,3)&lt;&gt;"111",'152-CT'!$J$8=TH!F3925),"x","")</f>
        <v/>
      </c>
      <c r="AC4978" s="75" t="str">
        <f>IF(AND(OR(LEFT(TH!N3925,2)="15",LEFT(TH!O3925,2)="15"),TK!$E$7=TH!F3925),"x","")</f>
        <v/>
      </c>
      <c r="AD4978" s="75" t="str">
        <f>IF(AND(N4978="1521",MONTH(C4978)='BK-NL'!$M$11),"x","")</f>
        <v/>
      </c>
    </row>
    <row r="4979" spans="1:33" s="1053" customFormat="1" ht="16.5" customHeight="1">
      <c r="A4979" s="309" t="str">
        <f>IF(B4979&lt;&gt;"",IF(AND(B4979='IN-TC'!$S$4,OR(TH!N4969="1111",TH!O4969="1111")),TH!D4969,""),"")</f>
        <v/>
      </c>
      <c r="B4979" s="1242">
        <f t="shared" si="1340"/>
        <v>9</v>
      </c>
      <c r="C4979" s="292">
        <f t="shared" ref="C4979:C5042" si="1341">E4979</f>
        <v>43006</v>
      </c>
      <c r="D4979" s="292"/>
      <c r="E4979" s="292">
        <v>43006</v>
      </c>
      <c r="F4979" s="67" t="s">
        <v>1165</v>
      </c>
      <c r="G4979" s="925" t="s">
        <v>2301</v>
      </c>
      <c r="H4979" s="294" t="s">
        <v>1684</v>
      </c>
      <c r="I4979" s="373"/>
      <c r="J4979" s="926"/>
      <c r="K4979" s="373"/>
      <c r="L4979" s="379"/>
      <c r="M4979" s="927">
        <v>19762050</v>
      </c>
      <c r="N4979" s="295" t="s">
        <v>8</v>
      </c>
      <c r="O4979" s="295" t="s">
        <v>63</v>
      </c>
      <c r="P4979" s="75" t="str">
        <f>IF(AND('331-CT'!$E$7=TH!H3926,OR(N4979="331",O4979="331")),"x","")</f>
        <v/>
      </c>
      <c r="Q4979" s="75" t="str">
        <f>IF(AND(B4979='111'!$L$11,OR($N4979=$Q$7,$O4979=$Q$7)),"x","")</f>
        <v/>
      </c>
      <c r="R4979" s="75" t="str">
        <f>IF(AND($N4979=$Q$7,$B4979&lt;'111'!$L$11),"x","")</f>
        <v/>
      </c>
      <c r="S4979" s="75" t="str">
        <f>IF(AND($O4979=$Q$7,$B4979&lt;'111'!$L$11),"x","")</f>
        <v>x</v>
      </c>
      <c r="T4979" s="75" t="str">
        <f>IF(ISERROR(FIND('112'!$M$9,G4979,1)),"",IF((AND(FIND('112'!$M$9,G4979,1)&gt;=1,B4979='112'!$K$9,OR($N4979='112'!$I$6,$O4979='112'!$I$6))),"x",""))</f>
        <v/>
      </c>
      <c r="U4979" s="75" t="str">
        <f>IF(ISERROR(FIND('112'!$M$9,G4979,1)),"",IF((AND(LEFT(G4979,2)=LEFT('112'!$M$9,2),B4979&lt;'112'!$K$9,$N4979='112'!$I$6)),"x",""))</f>
        <v/>
      </c>
      <c r="V4979" s="75" t="str">
        <f>IF(ISERROR(FIND('112'!$M$9,G4979,1)),"",IF((AND(RIGHT(G4979,2)=RIGHT('112'!$M$9,2),B4979&lt;'112'!$K$9,$O4979='112'!$I$6)),"x",""))</f>
        <v/>
      </c>
      <c r="W4979" s="75" t="str">
        <f>IF(AND('341-CT'!$H$9=H4979,OR(LEFT(N4979,3)=$W$7,LEFT(O4979,3)=$W$7)),"x","")</f>
        <v/>
      </c>
      <c r="X4979" s="75" t="str">
        <f>IF(OR(TH!N3926=TH!$X$7,O4979=TH!$X$7),"x","")</f>
        <v/>
      </c>
      <c r="Y4979" s="75" t="str">
        <f>IF(AND(OR(N4979="131",O4979="131"),H4979='131-CT'!$H$9),"x","")</f>
        <v/>
      </c>
      <c r="Z4979" s="75"/>
      <c r="AA4979" s="75" t="str">
        <f>IF(AND(MONTH(E4979)='IN-NX'!$J$5,'IN-NX'!$D$7=D4979),"x","")</f>
        <v/>
      </c>
      <c r="AB4979" s="75" t="str">
        <f>IF(AND(OR(LEFT(TH!N3926,2)="15",LEFT(TH!O3926,2)="15"),LEFT(TH!O3926,3)&lt;&gt;"111",'152-CT'!$J$8=TH!F3926),"x","")</f>
        <v/>
      </c>
      <c r="AC4979" s="75" t="str">
        <f>IF(AND(OR(LEFT(TH!N3926,2)="15",LEFT(TH!O3926,2)="15"),TK!$E$7=TH!F3926),"x","")</f>
        <v/>
      </c>
      <c r="AD4979" s="75" t="str">
        <f>IF(AND(N4979="1521",MONTH(C4979)='BK-NL'!$M$11),"x","")</f>
        <v/>
      </c>
      <c r="AE4979"/>
      <c r="AF4979"/>
      <c r="AG4979"/>
    </row>
    <row r="4980" spans="1:33" s="1053" customFormat="1" ht="16.5" customHeight="1">
      <c r="A4980" s="309" t="str">
        <f>IF(B4980&lt;&gt;"",IF(AND(B4980='IN-TC'!$S$4,OR(TH!N4970="1111",TH!O4970="1111")),TH!D4970,""),"")</f>
        <v/>
      </c>
      <c r="B4980" s="1242">
        <f t="shared" si="1340"/>
        <v>9</v>
      </c>
      <c r="C4980" s="292">
        <f t="shared" si="1341"/>
        <v>43006</v>
      </c>
      <c r="D4980" s="292"/>
      <c r="E4980" s="292">
        <v>43006</v>
      </c>
      <c r="F4980" s="67" t="s">
        <v>1228</v>
      </c>
      <c r="G4980" s="925" t="s">
        <v>2288</v>
      </c>
      <c r="H4980" s="294" t="s">
        <v>2289</v>
      </c>
      <c r="I4980" s="373"/>
      <c r="J4980" s="926"/>
      <c r="K4980" s="373"/>
      <c r="L4980" s="379"/>
      <c r="M4980" s="927">
        <v>354533</v>
      </c>
      <c r="N4980" s="295" t="s">
        <v>101</v>
      </c>
      <c r="O4980" s="295" t="s">
        <v>63</v>
      </c>
      <c r="P4980" s="75" t="str">
        <f>IF(AND('331-CT'!$E$7=TH!H3927,OR(N4980="331",O4980="331")),"x","")</f>
        <v/>
      </c>
      <c r="Q4980" s="75" t="str">
        <f>IF(AND(B4980='111'!$L$11,OR($N4980=$Q$7,$O4980=$Q$7)),"x","")</f>
        <v/>
      </c>
      <c r="R4980" s="75" t="str">
        <f>IF(AND($N4980=$Q$7,$B4980&lt;'111'!$L$11),"x","")</f>
        <v/>
      </c>
      <c r="S4980" s="75" t="str">
        <f>IF(AND($O4980=$Q$7,$B4980&lt;'111'!$L$11),"x","")</f>
        <v>x</v>
      </c>
      <c r="T4980" s="75" t="str">
        <f>IF(ISERROR(FIND('112'!$M$9,G4980,1)),"",IF((AND(FIND('112'!$M$9,G4980,1)&gt;=1,B4980='112'!$K$9,OR($N4980='112'!$I$6,$O4980='112'!$I$6))),"x",""))</f>
        <v/>
      </c>
      <c r="U4980" s="75" t="str">
        <f>IF(ISERROR(FIND('112'!$M$9,G4980,1)),"",IF((AND(LEFT(G4980,2)=LEFT('112'!$M$9,2),B4980&lt;'112'!$K$9,$N4980='112'!$I$6)),"x",""))</f>
        <v/>
      </c>
      <c r="V4980" s="75" t="str">
        <f>IF(ISERROR(FIND('112'!$M$9,G4980,1)),"",IF((AND(RIGHT(G4980,2)=RIGHT('112'!$M$9,2),B4980&lt;'112'!$K$9,$O4980='112'!$I$6)),"x",""))</f>
        <v/>
      </c>
      <c r="W4980" s="75" t="str">
        <f>IF(AND('341-CT'!$H$9=H4980,OR(LEFT(N4980,3)=$W$7,LEFT(O4980,3)=$W$7)),"x","")</f>
        <v/>
      </c>
      <c r="X4980" s="75" t="str">
        <f>IF(OR(TH!N3927=TH!$X$7,O4980=TH!$X$7),"x","")</f>
        <v/>
      </c>
      <c r="Y4980" s="75" t="str">
        <f>IF(AND(OR(N4980="131",O4980="131"),H4980='131-CT'!$H$9),"x","")</f>
        <v/>
      </c>
      <c r="Z4980" s="75"/>
      <c r="AA4980" s="75" t="str">
        <f>IF(AND(MONTH(E4980)='IN-NX'!$J$5,'IN-NX'!$D$7=D4980),"x","")</f>
        <v/>
      </c>
      <c r="AB4980" s="75" t="str">
        <f>IF(AND(OR(LEFT(TH!N3927,2)="15",LEFT(TH!O3927,2)="15"),LEFT(TH!O3927,3)&lt;&gt;"111",'152-CT'!$J$8=TH!F3927),"x","")</f>
        <v/>
      </c>
      <c r="AC4980" s="75" t="str">
        <f>IF(AND(OR(LEFT(TH!N3927,2)="15",LEFT(TH!O3927,2)="15"),TK!$E$7=TH!F3927),"x","")</f>
        <v/>
      </c>
      <c r="AD4980" s="75" t="str">
        <f>IF(AND(N4980="1521",MONTH(C4980)='BK-NL'!$M$11),"x","")</f>
        <v/>
      </c>
      <c r="AE4980">
        <v>9</v>
      </c>
      <c r="AF4980"/>
      <c r="AG4980"/>
    </row>
    <row r="4981" spans="1:33" ht="16.5" customHeight="1">
      <c r="A4981" s="309" t="str">
        <f>IF(B4981&lt;&gt;"",IF(AND(B4981='IN-TC'!$S$4,OR(TH!N4971="1111",TH!O4971="1111")),TH!D4971,""),"")</f>
        <v/>
      </c>
      <c r="B4981" s="1242">
        <f t="shared" si="1340"/>
        <v>9</v>
      </c>
      <c r="C4981" s="292">
        <f t="shared" si="1341"/>
        <v>43006</v>
      </c>
      <c r="D4981" s="292"/>
      <c r="E4981" s="292">
        <v>43006</v>
      </c>
      <c r="F4981" s="67" t="s">
        <v>1229</v>
      </c>
      <c r="G4981" s="925" t="s">
        <v>2288</v>
      </c>
      <c r="H4981" s="294" t="s">
        <v>2289</v>
      </c>
      <c r="I4981" s="373"/>
      <c r="J4981" s="926"/>
      <c r="K4981" s="373"/>
      <c r="L4981" s="379"/>
      <c r="M4981" s="927">
        <v>35453</v>
      </c>
      <c r="N4981" s="295" t="s">
        <v>9</v>
      </c>
      <c r="O4981" s="295" t="s">
        <v>63</v>
      </c>
      <c r="P4981" s="75" t="str">
        <f>IF(AND('331-CT'!$E$7=TH!H3928,OR(N4981="331",O4981="331")),"x","")</f>
        <v/>
      </c>
      <c r="Q4981" s="75" t="str">
        <f>IF(AND(B4981='111'!$L$11,OR($N4981=$Q$7,$O4981=$Q$7)),"x","")</f>
        <v/>
      </c>
      <c r="R4981" s="75" t="str">
        <f>IF(AND($N4981=$Q$7,$B4981&lt;'111'!$L$11),"x","")</f>
        <v/>
      </c>
      <c r="S4981" s="75" t="str">
        <f>IF(AND($O4981=$Q$7,$B4981&lt;'111'!$L$11),"x","")</f>
        <v>x</v>
      </c>
      <c r="T4981" s="75" t="str">
        <f>IF(ISERROR(FIND('112'!$M$9,G4981,1)),"",IF((AND(FIND('112'!$M$9,G4981,1)&gt;=1,B4981='112'!$K$9,OR($N4981='112'!$I$6,$O4981='112'!$I$6))),"x",""))</f>
        <v/>
      </c>
      <c r="U4981" s="75" t="str">
        <f>IF(ISERROR(FIND('112'!$M$9,G4981,1)),"",IF((AND(LEFT(G4981,2)=LEFT('112'!$M$9,2),B4981&lt;'112'!$K$9,$N4981='112'!$I$6)),"x",""))</f>
        <v/>
      </c>
      <c r="V4981" s="75" t="str">
        <f>IF(ISERROR(FIND('112'!$M$9,G4981,1)),"",IF((AND(RIGHT(G4981,2)=RIGHT('112'!$M$9,2),B4981&lt;'112'!$K$9,$O4981='112'!$I$6)),"x",""))</f>
        <v/>
      </c>
      <c r="W4981" s="75" t="str">
        <f>IF(AND('341-CT'!$H$9=H4981,OR(LEFT(N4981,3)=$W$7,LEFT(O4981,3)=$W$7)),"x","")</f>
        <v/>
      </c>
      <c r="X4981" s="75" t="str">
        <f>IF(OR(TH!N3928=TH!$X$7,O4981=TH!$X$7),"x","")</f>
        <v/>
      </c>
      <c r="Y4981" s="75" t="str">
        <f>IF(AND(OR(N4981="131",O4981="131"),H4981='131-CT'!$H$9),"x","")</f>
        <v/>
      </c>
      <c r="Z4981" s="75"/>
      <c r="AA4981" s="75" t="str">
        <f>IF(AND(MONTH(E4981)='IN-NX'!$J$5,'IN-NX'!$D$7=D4981),"x","")</f>
        <v/>
      </c>
      <c r="AB4981" s="75" t="str">
        <f>IF(AND(OR(LEFT(TH!N3928,2)="15",LEFT(TH!O3928,2)="15"),LEFT(TH!O3928,3)&lt;&gt;"111",'152-CT'!$J$8=TH!F3928),"x","")</f>
        <v/>
      </c>
      <c r="AC4981" s="75" t="str">
        <f>IF(AND(OR(LEFT(TH!N3928,2)="15",LEFT(TH!O3928,2)="15"),TK!$E$7=TH!F3928),"x","")</f>
        <v/>
      </c>
      <c r="AD4981" s="75" t="str">
        <f>IF(AND(N4981="1521",MONTH(C4981)='BK-NL'!$M$11),"x","")</f>
        <v/>
      </c>
      <c r="AE4981">
        <v>9</v>
      </c>
    </row>
    <row r="4982" spans="1:33" ht="16.5" customHeight="1">
      <c r="A4982" s="309" t="str">
        <f>IF(B4982&lt;&gt;"",IF(AND(B4982='IN-TC'!$S$4,OR(TH!N4972="1111",TH!O4972="1111")),TH!D4972,""),"")</f>
        <v/>
      </c>
      <c r="B4982" s="1242">
        <f t="shared" si="1340"/>
        <v>9</v>
      </c>
      <c r="C4982" s="292">
        <f t="shared" si="1341"/>
        <v>43006</v>
      </c>
      <c r="D4982" s="292"/>
      <c r="E4982" s="292">
        <v>43006</v>
      </c>
      <c r="F4982" s="67" t="s">
        <v>949</v>
      </c>
      <c r="G4982" s="925" t="s">
        <v>2336</v>
      </c>
      <c r="H4982" s="294" t="s">
        <v>2337</v>
      </c>
      <c r="I4982" s="373"/>
      <c r="J4982" s="926"/>
      <c r="K4982" s="373"/>
      <c r="L4982" s="379"/>
      <c r="M4982" s="927">
        <v>5300000</v>
      </c>
      <c r="N4982" s="295" t="s">
        <v>539</v>
      </c>
      <c r="O4982" s="295" t="s">
        <v>63</v>
      </c>
      <c r="P4982" s="75" t="str">
        <f>IF(AND('331-CT'!$E$7=TH!H3929,OR(N4982="331",O4982="331")),"x","")</f>
        <v/>
      </c>
      <c r="Q4982" s="75" t="str">
        <f>IF(AND(B4982='111'!$L$11,OR($N4982=$Q$7,$O4982=$Q$7)),"x","")</f>
        <v/>
      </c>
      <c r="R4982" s="75" t="str">
        <f>IF(AND($N4982=$Q$7,$B4982&lt;'111'!$L$11),"x","")</f>
        <v/>
      </c>
      <c r="S4982" s="75" t="str">
        <f>IF(AND($O4982=$Q$7,$B4982&lt;'111'!$L$11),"x","")</f>
        <v>x</v>
      </c>
      <c r="T4982" s="75" t="str">
        <f>IF(ISERROR(FIND('112'!$M$9,G4982,1)),"",IF((AND(FIND('112'!$M$9,G4982,1)&gt;=1,B4982='112'!$K$9,OR($N4982='112'!$I$6,$O4982='112'!$I$6))),"x",""))</f>
        <v/>
      </c>
      <c r="U4982" s="75" t="str">
        <f>IF(ISERROR(FIND('112'!$M$9,G4982,1)),"",IF((AND(LEFT(G4982,2)=LEFT('112'!$M$9,2),B4982&lt;'112'!$K$9,$N4982='112'!$I$6)),"x",""))</f>
        <v/>
      </c>
      <c r="V4982" s="75" t="str">
        <f>IF(ISERROR(FIND('112'!$M$9,G4982,1)),"",IF((AND(RIGHT(G4982,2)=RIGHT('112'!$M$9,2),B4982&lt;'112'!$K$9,$O4982='112'!$I$6)),"x",""))</f>
        <v/>
      </c>
      <c r="W4982" s="75" t="str">
        <f>IF(AND('341-CT'!$H$9=H4982,OR(LEFT(N4982,3)=$W$7,LEFT(O4982,3)=$W$7)),"x","")</f>
        <v/>
      </c>
      <c r="X4982" s="75" t="str">
        <f>IF(OR(TH!N3929=TH!$X$7,O4982=TH!$X$7),"x","")</f>
        <v/>
      </c>
      <c r="Y4982" s="75" t="str">
        <f>IF(AND(OR(N4982="131",O4982="131"),H4982='131-CT'!$H$9),"x","")</f>
        <v/>
      </c>
      <c r="Z4982" s="75"/>
      <c r="AA4982" s="75" t="str">
        <f>IF(AND(MONTH(E4982)='IN-NX'!$J$5,'IN-NX'!$D$7=D4982),"x","")</f>
        <v/>
      </c>
      <c r="AB4982" s="75" t="str">
        <f>IF(AND(OR(LEFT(TH!N3929,2)="15",LEFT(TH!O3929,2)="15"),LEFT(TH!O3929,3)&lt;&gt;"111",'152-CT'!$J$8=TH!F3929),"x","")</f>
        <v/>
      </c>
      <c r="AC4982" s="75" t="str">
        <f>IF(AND(OR(LEFT(TH!N3929,2)="15",LEFT(TH!O3929,2)="15"),TK!$E$7=TH!F3929),"x","")</f>
        <v/>
      </c>
      <c r="AD4982" s="75" t="str">
        <f>IF(AND(N4982="1521",MONTH(C4982)='BK-NL'!$M$11),"x","")</f>
        <v/>
      </c>
      <c r="AE4982">
        <v>10</v>
      </c>
    </row>
    <row r="4983" spans="1:33" ht="16.5" customHeight="1">
      <c r="A4983" s="309" t="str">
        <f>IF(B4983&lt;&gt;"",IF(AND(B4983='IN-TC'!$S$4,OR(TH!N4973="1111",TH!O4973="1111")),TH!D4973,""),"")</f>
        <v/>
      </c>
      <c r="B4983" s="1242">
        <f t="shared" si="1340"/>
        <v>9</v>
      </c>
      <c r="C4983" s="292">
        <f t="shared" si="1341"/>
        <v>43006</v>
      </c>
      <c r="D4983" s="292"/>
      <c r="E4983" s="292">
        <v>43006</v>
      </c>
      <c r="F4983" s="67" t="s">
        <v>950</v>
      </c>
      <c r="G4983" s="925" t="s">
        <v>2336</v>
      </c>
      <c r="H4983" s="294" t="s">
        <v>2337</v>
      </c>
      <c r="I4983" s="373"/>
      <c r="J4983" s="926"/>
      <c r="K4983" s="373"/>
      <c r="L4983" s="379"/>
      <c r="M4983" s="927">
        <v>530000</v>
      </c>
      <c r="N4983" s="295" t="s">
        <v>9</v>
      </c>
      <c r="O4983" s="295" t="s">
        <v>63</v>
      </c>
      <c r="P4983" s="75" t="str">
        <f>IF(AND('331-CT'!$E$7=TH!H3930,OR(N4983="331",O4983="331")),"x","")</f>
        <v/>
      </c>
      <c r="Q4983" s="75" t="str">
        <f>IF(AND(B4983='111'!$L$11,OR($N4983=$Q$7,$O4983=$Q$7)),"x","")</f>
        <v/>
      </c>
      <c r="R4983" s="75" t="str">
        <f>IF(AND($N4983=$Q$7,$B4983&lt;'111'!$L$11),"x","")</f>
        <v/>
      </c>
      <c r="S4983" s="75" t="str">
        <f>IF(AND($O4983=$Q$7,$B4983&lt;'111'!$L$11),"x","")</f>
        <v>x</v>
      </c>
      <c r="T4983" s="75" t="str">
        <f>IF(ISERROR(FIND('112'!$M$9,G4983,1)),"",IF((AND(FIND('112'!$M$9,G4983,1)&gt;=1,B4983='112'!$K$9,OR($N4983='112'!$I$6,$O4983='112'!$I$6))),"x",""))</f>
        <v/>
      </c>
      <c r="U4983" s="75" t="str">
        <f>IF(ISERROR(FIND('112'!$M$9,G4983,1)),"",IF((AND(LEFT(G4983,2)=LEFT('112'!$M$9,2),B4983&lt;'112'!$K$9,$N4983='112'!$I$6)),"x",""))</f>
        <v/>
      </c>
      <c r="V4983" s="75" t="str">
        <f>IF(ISERROR(FIND('112'!$M$9,G4983,1)),"",IF((AND(RIGHT(G4983,2)=RIGHT('112'!$M$9,2),B4983&lt;'112'!$K$9,$O4983='112'!$I$6)),"x",""))</f>
        <v/>
      </c>
      <c r="W4983" s="75" t="str">
        <f>IF(AND('341-CT'!$H$9=H4983,OR(LEFT(N4983,3)=$W$7,LEFT(O4983,3)=$W$7)),"x","")</f>
        <v/>
      </c>
      <c r="X4983" s="75" t="str">
        <f>IF(OR(TH!N3930=TH!$X$7,O4983=TH!$X$7),"x","")</f>
        <v/>
      </c>
      <c r="Y4983" s="75" t="str">
        <f>IF(AND(OR(N4983="131",O4983="131"),H4983='131-CT'!$H$9),"x","")</f>
        <v/>
      </c>
      <c r="Z4983" s="75"/>
      <c r="AA4983" s="75" t="str">
        <f>IF(AND(MONTH(E4983)='IN-NX'!$J$5,'IN-NX'!$D$7=D4983),"x","")</f>
        <v/>
      </c>
      <c r="AB4983" s="75" t="str">
        <f>IF(AND(OR(LEFT(TH!N3930,2)="15",LEFT(TH!O3930,2)="15"),LEFT(TH!O3930,3)&lt;&gt;"111",'152-CT'!$J$8=TH!F3930),"x","")</f>
        <v/>
      </c>
      <c r="AC4983" s="75" t="str">
        <f>IF(AND(OR(LEFT(TH!N3930,2)="15",LEFT(TH!O3930,2)="15"),TK!$E$7=TH!F3930),"x","")</f>
        <v/>
      </c>
      <c r="AD4983" s="75" t="str">
        <f>IF(AND(N4983="1521",MONTH(C4983)='BK-NL'!$M$11),"x","")</f>
        <v/>
      </c>
      <c r="AE4983">
        <v>10</v>
      </c>
    </row>
    <row r="4984" spans="1:33" ht="16.5" customHeight="1">
      <c r="A4984" s="309" t="str">
        <f>IF(B4984&lt;&gt;"",IF(AND(B4984='IN-TC'!$S$4,OR(TH!N4974="1111",TH!O4974="1111")),TH!D4974,""),"")</f>
        <v/>
      </c>
      <c r="B4984" s="1243">
        <f t="shared" si="1340"/>
        <v>9</v>
      </c>
      <c r="C4984" s="292">
        <f t="shared" si="1341"/>
        <v>43006</v>
      </c>
      <c r="D4984" s="292"/>
      <c r="E4984" s="292">
        <v>43006</v>
      </c>
      <c r="F4984" s="1010" t="s">
        <v>1881</v>
      </c>
      <c r="G4984" s="925"/>
      <c r="H4984" s="311" t="s">
        <v>1882</v>
      </c>
      <c r="I4984" s="373"/>
      <c r="J4984" s="926"/>
      <c r="K4984" s="373"/>
      <c r="L4984" s="379"/>
      <c r="M4984" s="927">
        <v>930600000</v>
      </c>
      <c r="N4984" s="295" t="s">
        <v>8</v>
      </c>
      <c r="O4984" s="295" t="s">
        <v>63</v>
      </c>
      <c r="P4984" s="75" t="str">
        <f>IF(AND('331-CT'!$E$7=TH!H4335,OR(N4984="331",O4984="331")),"x","")</f>
        <v/>
      </c>
      <c r="Q4984" s="75" t="str">
        <f>IF(AND(B4984='111'!$L$11,OR($N4984=$Q$7,$O4984=$Q$7)),"x","")</f>
        <v/>
      </c>
      <c r="R4984" s="75" t="str">
        <f>IF(AND($N4984=$Q$7,$B4984&lt;'111'!$L$11),"x","")</f>
        <v/>
      </c>
      <c r="S4984" s="75" t="str">
        <f>IF(AND($O4984=$Q$7,$B4984&lt;'111'!$L$11),"x","")</f>
        <v>x</v>
      </c>
      <c r="T4984" s="75" t="str">
        <f>IF(ISERROR(FIND('112'!$M$9,G4984,1)),"",IF((AND(FIND('112'!$M$9,G4984,1)&gt;=1,B4984='112'!$K$9,OR($N4984='112'!$I$6,$O4984='112'!$I$6))),"x",""))</f>
        <v/>
      </c>
      <c r="U4984" s="75" t="str">
        <f>IF(ISERROR(FIND('112'!$M$9,G4984,1)),"",IF((AND(LEFT(G4984,2)=LEFT('112'!$M$9,2),B4984&lt;'112'!$K$9,$N4984='112'!$I$6)),"x",""))</f>
        <v/>
      </c>
      <c r="V4984" s="75" t="str">
        <f>IF(ISERROR(FIND('112'!$M$9,G4984,1)),"",IF((AND(RIGHT(G4984,2)=RIGHT('112'!$M$9,2),B4984&lt;'112'!$K$9,$O4984='112'!$I$6)),"x",""))</f>
        <v/>
      </c>
      <c r="W4984" s="75" t="str">
        <f>IF(AND('341-CT'!$H$9=H4984,OR(LEFT(N4984,3)=$W$7,LEFT(O4984,3)=$W$7)),"x","")</f>
        <v/>
      </c>
      <c r="X4984" s="75" t="str">
        <f>IF(OR(TH!N4335=TH!$X$7,O4984=TH!$X$7),"x","")</f>
        <v/>
      </c>
      <c r="Y4984" s="75" t="str">
        <f>IF(AND(OR(N4984="131",O4984="131"),H4984='131-CT'!$H$9),"x","")</f>
        <v/>
      </c>
      <c r="Z4984" s="75"/>
      <c r="AA4984" s="75" t="str">
        <f>IF(AND(MONTH(E4984)='IN-NX'!$J$5,'IN-NX'!$D$7=D4984),"x","")</f>
        <v/>
      </c>
      <c r="AB4984" s="75" t="str">
        <f>IF(AND(OR(LEFT(TH!N4335,2)="15",LEFT(TH!O4335,2)="15"),LEFT(TH!O4335,3)&lt;&gt;"111",'152-CT'!$J$8=TH!F4335),"x","")</f>
        <v/>
      </c>
      <c r="AC4984" s="75" t="str">
        <f>IF(AND(OR(LEFT(TH!N4335,2)="15",LEFT(TH!O4335,2)="15"),TK!$E$7=TH!F4335),"x","")</f>
        <v/>
      </c>
      <c r="AD4984" s="75" t="str">
        <f>IF(AND(N4984="1521",MONTH(C4984)='BK-NL'!$M$11),"x","")</f>
        <v/>
      </c>
    </row>
    <row r="4985" spans="1:33" ht="16.5" customHeight="1">
      <c r="A4985" s="309" t="str">
        <f>IF(B4985&lt;&gt;"",IF(AND(B4985='IN-TC'!$S$4,OR(TH!N4975="1111",TH!O4975="1111")),TH!D4975,""),"")</f>
        <v/>
      </c>
      <c r="B4985" s="1243">
        <f t="shared" si="1340"/>
        <v>9</v>
      </c>
      <c r="C4985" s="292">
        <f t="shared" si="1341"/>
        <v>43006</v>
      </c>
      <c r="D4985" s="292"/>
      <c r="E4985" s="292">
        <v>43006</v>
      </c>
      <c r="F4985" s="1010" t="s">
        <v>1883</v>
      </c>
      <c r="G4985" s="925"/>
      <c r="H4985" s="311"/>
      <c r="I4985" s="373"/>
      <c r="J4985" s="926"/>
      <c r="K4985" s="373"/>
      <c r="L4985" s="379"/>
      <c r="M4985" s="927">
        <v>511830</v>
      </c>
      <c r="N4985" s="295" t="s">
        <v>101</v>
      </c>
      <c r="O4985" s="295" t="s">
        <v>63</v>
      </c>
      <c r="P4985" s="75" t="str">
        <f>IF(AND('331-CT'!$E$7=TH!H4336,OR(N4985="331",O4985="331")),"x","")</f>
        <v/>
      </c>
      <c r="Q4985" s="75" t="str">
        <f>IF(AND(B4985='111'!$L$11,OR($N4985=$Q$7,$O4985=$Q$7)),"x","")</f>
        <v/>
      </c>
      <c r="R4985" s="75" t="str">
        <f>IF(AND($N4985=$Q$7,$B4985&lt;'111'!$L$11),"x","")</f>
        <v/>
      </c>
      <c r="S4985" s="75" t="str">
        <f>IF(AND($O4985=$Q$7,$B4985&lt;'111'!$L$11),"x","")</f>
        <v>x</v>
      </c>
      <c r="T4985" s="75" t="str">
        <f>IF(ISERROR(FIND('112'!$M$9,G4985,1)),"",IF((AND(FIND('112'!$M$9,G4985,1)&gt;=1,B4985='112'!$K$9,OR($N4985='112'!$I$6,$O4985='112'!$I$6))),"x",""))</f>
        <v/>
      </c>
      <c r="U4985" s="75" t="str">
        <f>IF(ISERROR(FIND('112'!$M$9,G4985,1)),"",IF((AND(LEFT(G4985,2)=LEFT('112'!$M$9,2),B4985&lt;'112'!$K$9,$N4985='112'!$I$6)),"x",""))</f>
        <v/>
      </c>
      <c r="V4985" s="75" t="str">
        <f>IF(ISERROR(FIND('112'!$M$9,G4985,1)),"",IF((AND(RIGHT(G4985,2)=RIGHT('112'!$M$9,2),B4985&lt;'112'!$K$9,$O4985='112'!$I$6)),"x",""))</f>
        <v/>
      </c>
      <c r="W4985" s="75" t="str">
        <f>IF(AND('341-CT'!$H$9=H4985,OR(LEFT(N4985,3)=$W$7,LEFT(O4985,3)=$W$7)),"x","")</f>
        <v/>
      </c>
      <c r="X4985" s="75" t="str">
        <f>IF(OR(TH!N4336=TH!$X$7,O4985=TH!$X$7),"x","")</f>
        <v/>
      </c>
      <c r="Y4985" s="75" t="str">
        <f>IF(AND(OR(N4985="131",O4985="131"),H4985='131-CT'!$H$9),"x","")</f>
        <v/>
      </c>
      <c r="Z4985" s="75"/>
      <c r="AA4985" s="75" t="str">
        <f>IF(AND(MONTH(E4985)='IN-NX'!$J$5,'IN-NX'!$D$7=D4985),"x","")</f>
        <v/>
      </c>
      <c r="AB4985" s="75" t="str">
        <f>IF(AND(OR(LEFT(TH!N4336,2)="15",LEFT(TH!O4336,2)="15"),LEFT(TH!O4336,3)&lt;&gt;"111",'152-CT'!$J$8=TH!F4336),"x","")</f>
        <v/>
      </c>
      <c r="AC4985" s="75" t="str">
        <f>IF(AND(OR(LEFT(TH!N4336,2)="15",LEFT(TH!O4336,2)="15"),TK!$E$7=TH!F4336),"x","")</f>
        <v/>
      </c>
      <c r="AD4985" s="75" t="str">
        <f>IF(AND(N4985="1521",MONTH(C4985)='BK-NL'!$M$11),"x","")</f>
        <v/>
      </c>
    </row>
    <row r="4986" spans="1:33" s="1053" customFormat="1" ht="16.5" customHeight="1">
      <c r="A4986" s="309" t="str">
        <f>IF(B4986&lt;&gt;"",IF(AND(B4986='IN-TC'!$S$4,OR(TH!N4976="1111",TH!O4976="1111")),TH!D4976,""),"")</f>
        <v/>
      </c>
      <c r="B4986" s="1242">
        <f t="shared" si="1340"/>
        <v>9</v>
      </c>
      <c r="C4986" s="292">
        <f t="shared" si="1341"/>
        <v>43006</v>
      </c>
      <c r="D4986" s="59" t="s">
        <v>2260</v>
      </c>
      <c r="E4986" s="59">
        <v>43006</v>
      </c>
      <c r="F4986" s="62" t="s">
        <v>834</v>
      </c>
      <c r="G4986" s="62" t="s">
        <v>747</v>
      </c>
      <c r="H4986" s="67" t="s">
        <v>1023</v>
      </c>
      <c r="I4986" s="373"/>
      <c r="J4986" s="382"/>
      <c r="K4986" s="373"/>
      <c r="L4986" s="379"/>
      <c r="M4986" s="60">
        <v>170000000</v>
      </c>
      <c r="N4986" s="61" t="s">
        <v>63</v>
      </c>
      <c r="O4986" s="61" t="s">
        <v>26</v>
      </c>
      <c r="P4986" s="75" t="str">
        <f>IF(AND('331-CT'!$E$7=TH!H5472,OR(N4986="331",O4986="331")),"x","")</f>
        <v/>
      </c>
      <c r="Q4986" s="75" t="str">
        <f>IF(AND(B4986='111'!$L$11,OR($N4986=$Q$7,$O4986=$Q$7)),"x","")</f>
        <v/>
      </c>
      <c r="R4986" s="75" t="str">
        <f>IF(AND($N4986=$Q$7,$B4986&lt;'111'!$L$11),"x","")</f>
        <v>x</v>
      </c>
      <c r="S4986" s="75" t="str">
        <f>IF(AND($O4986=$Q$7,$B4986&lt;'111'!$L$11),"x","")</f>
        <v/>
      </c>
      <c r="T4986" s="75" t="str">
        <f>IF(ISERROR(FIND('112'!$M$9,G4986,1)),"",IF((AND(FIND('112'!$M$9,G4986,1)&gt;=1,B4986='112'!$K$9,OR($N4986='112'!$I$6,$O4986='112'!$I$6))),"x",""))</f>
        <v/>
      </c>
      <c r="U4986" s="75" t="str">
        <f>IF(ISERROR(FIND('112'!$M$9,G4986,1)),"",IF((AND(LEFT(G4986,2)=LEFT('112'!$M$9,2),B4986&lt;'112'!$K$9,$N4986='112'!$I$6)),"x",""))</f>
        <v/>
      </c>
      <c r="V4986" s="75" t="str">
        <f>IF(ISERROR(FIND('112'!$M$9,G4986,1)),"",IF((AND(RIGHT(G4986,2)=RIGHT('112'!$M$9,2),B4986&lt;'112'!$K$9,$O4986='112'!$I$6)),"x",""))</f>
        <v/>
      </c>
      <c r="W4986" s="75" t="str">
        <f>IF(AND('341-CT'!$H$9=H4986,OR(LEFT(N4986,3)=$W$7,LEFT(O4986,3)=$W$7)),"x","")</f>
        <v/>
      </c>
      <c r="X4986" s="75" t="str">
        <f>IF(OR(TH!N5472=TH!$X$7,O4986=TH!$X$7),"x","")</f>
        <v/>
      </c>
      <c r="Y4986" s="75" t="str">
        <f>IF(AND(OR(N4986="131",O4986="131"),H4986='131-CT'!$H$9),"x","")</f>
        <v/>
      </c>
      <c r="Z4986" s="75"/>
      <c r="AA4986" s="75" t="str">
        <f>IF(AND(MONTH(E4986)='IN-NX'!$J$5,'IN-NX'!$D$7=D4986),"x","")</f>
        <v/>
      </c>
      <c r="AB4986" s="75" t="str">
        <f>IF(AND(OR(LEFT(TH!N5472,2)="15",LEFT(TH!O5472,2)="15"),LEFT(TH!O5472,3)&lt;&gt;"111",'152-CT'!$J$8=TH!F5472),"x","")</f>
        <v/>
      </c>
      <c r="AC4986" s="75" t="str">
        <f>IF(AND(OR(LEFT(TH!N5472,2)="15",LEFT(TH!O5472,2)="15"),TK!$E$7=TH!F5472),"x","")</f>
        <v/>
      </c>
      <c r="AD4986" s="75" t="str">
        <f>IF(AND(N4986="1521",MONTH(C4986)='BK-NL'!$M$11),"x","")</f>
        <v/>
      </c>
      <c r="AE4986"/>
      <c r="AF4986"/>
      <c r="AG4986"/>
    </row>
    <row r="4987" spans="1:33" s="1053" customFormat="1" ht="16.5" customHeight="1">
      <c r="A4987" s="309" t="str">
        <f>IF(B4987&lt;&gt;"",IF(AND(B4987='IN-TC'!$S$4,OR(TH!N4977="1111",TH!O4977="1111")),TH!D4977,""),"")</f>
        <v/>
      </c>
      <c r="B4987" s="1242">
        <f t="shared" si="1340"/>
        <v>9</v>
      </c>
      <c r="C4987" s="292">
        <f t="shared" si="1341"/>
        <v>43006</v>
      </c>
      <c r="D4987" s="59" t="s">
        <v>2263</v>
      </c>
      <c r="E4987" s="59">
        <v>43006</v>
      </c>
      <c r="F4987" s="62" t="s">
        <v>834</v>
      </c>
      <c r="G4987" s="62" t="s">
        <v>747</v>
      </c>
      <c r="H4987" s="67" t="s">
        <v>1023</v>
      </c>
      <c r="I4987" s="373"/>
      <c r="J4987" s="382"/>
      <c r="K4987" s="373"/>
      <c r="L4987" s="379"/>
      <c r="M4987" s="60">
        <v>2200000000</v>
      </c>
      <c r="N4987" s="61" t="s">
        <v>63</v>
      </c>
      <c r="O4987" s="61" t="s">
        <v>26</v>
      </c>
      <c r="P4987" s="75" t="str">
        <f>IF(AND('331-CT'!$E$7=TH!H5473,OR(N4987="331",O4987="331")),"x","")</f>
        <v/>
      </c>
      <c r="Q4987" s="75" t="str">
        <f>IF(AND(B4987='111'!$L$11,OR($N4987=$Q$7,$O4987=$Q$7)),"x","")</f>
        <v/>
      </c>
      <c r="R4987" s="75" t="str">
        <f>IF(AND($N4987=$Q$7,$B4987&lt;'111'!$L$11),"x","")</f>
        <v>x</v>
      </c>
      <c r="S4987" s="75" t="str">
        <f>IF(AND($O4987=$Q$7,$B4987&lt;'111'!$L$11),"x","")</f>
        <v/>
      </c>
      <c r="T4987" s="75" t="str">
        <f>IF(ISERROR(FIND('112'!$M$9,G4987,1)),"",IF((AND(FIND('112'!$M$9,G4987,1)&gt;=1,B4987='112'!$K$9,OR($N4987='112'!$I$6,$O4987='112'!$I$6))),"x",""))</f>
        <v/>
      </c>
      <c r="U4987" s="75" t="str">
        <f>IF(ISERROR(FIND('112'!$M$9,G4987,1)),"",IF((AND(LEFT(G4987,2)=LEFT('112'!$M$9,2),B4987&lt;'112'!$K$9,$N4987='112'!$I$6)),"x",""))</f>
        <v/>
      </c>
      <c r="V4987" s="75" t="str">
        <f>IF(ISERROR(FIND('112'!$M$9,G4987,1)),"",IF((AND(RIGHT(G4987,2)=RIGHT('112'!$M$9,2),B4987&lt;'112'!$K$9,$O4987='112'!$I$6)),"x",""))</f>
        <v/>
      </c>
      <c r="W4987" s="75" t="str">
        <f>IF(AND('341-CT'!$H$9=H4987,OR(LEFT(N4987,3)=$W$7,LEFT(O4987,3)=$W$7)),"x","")</f>
        <v/>
      </c>
      <c r="X4987" s="75" t="str">
        <f>IF(OR(TH!N5473=TH!$X$7,O4987=TH!$X$7),"x","")</f>
        <v/>
      </c>
      <c r="Y4987" s="75" t="str">
        <f>IF(AND(OR(N4987="131",O4987="131"),H4987='131-CT'!$H$9),"x","")</f>
        <v/>
      </c>
      <c r="Z4987" s="75"/>
      <c r="AA4987" s="75" t="str">
        <f>IF(AND(MONTH(E4987)='IN-NX'!$J$5,'IN-NX'!$D$7=D4987),"x","")</f>
        <v/>
      </c>
      <c r="AB4987" s="75" t="str">
        <f>IF(AND(OR(LEFT(TH!N5473,2)="15",LEFT(TH!O5473,2)="15"),LEFT(TH!O5473,3)&lt;&gt;"111",'152-CT'!$J$8=TH!F5473),"x","")</f>
        <v/>
      </c>
      <c r="AC4987" s="75" t="str">
        <f>IF(AND(OR(LEFT(TH!N5473,2)="15",LEFT(TH!O5473,2)="15"),TK!$E$7=TH!F5473),"x","")</f>
        <v/>
      </c>
      <c r="AD4987" s="75" t="str">
        <f>IF(AND(N4987="1521",MONTH(C4987)='BK-NL'!$M$11),"x","")</f>
        <v/>
      </c>
      <c r="AE4987"/>
      <c r="AF4987"/>
      <c r="AG4987"/>
    </row>
    <row r="4988" spans="1:33" ht="16.5" customHeight="1">
      <c r="A4988" s="309" t="str">
        <f>IF(B4988&lt;&gt;"",IF(AND(B4988='IN-TC'!$S$4,OR(TH!N4978="1111",TH!O4978="1111")),TH!D4978,""),"")</f>
        <v/>
      </c>
      <c r="B4988" s="1242">
        <f t="shared" si="1340"/>
        <v>9</v>
      </c>
      <c r="C4988" s="292">
        <f t="shared" si="1341"/>
        <v>43006</v>
      </c>
      <c r="D4988" s="59" t="s">
        <v>903</v>
      </c>
      <c r="E4988" s="59">
        <v>43006</v>
      </c>
      <c r="F4988" s="293" t="s">
        <v>2469</v>
      </c>
      <c r="G4988" s="62" t="s">
        <v>747</v>
      </c>
      <c r="H4988" s="67" t="s">
        <v>2468</v>
      </c>
      <c r="I4988" s="373"/>
      <c r="J4988" s="382"/>
      <c r="K4988" s="373">
        <v>7320</v>
      </c>
      <c r="L4988" s="379">
        <v>22723</v>
      </c>
      <c r="M4988" s="60">
        <v>166332360</v>
      </c>
      <c r="N4988" s="61" t="s">
        <v>26</v>
      </c>
      <c r="O4988" s="61" t="s">
        <v>250</v>
      </c>
      <c r="P4988" s="75" t="str">
        <f>IF(AND('331-CT'!$E$7=TH!H5474,OR(N4988="331",O4988="331")),"x","")</f>
        <v/>
      </c>
      <c r="Q4988" s="75" t="str">
        <f>IF(AND(B4988='111'!$L$11,OR($N4988=$Q$7,$O4988=$Q$7)),"x","")</f>
        <v/>
      </c>
      <c r="R4988" s="75" t="str">
        <f>IF(AND($N4988=$Q$7,$B4988&lt;'111'!$L$11),"x","")</f>
        <v/>
      </c>
      <c r="S4988" s="75" t="str">
        <f>IF(AND($O4988=$Q$7,$B4988&lt;'111'!$L$11),"x","")</f>
        <v/>
      </c>
      <c r="T4988" s="75" t="str">
        <f>IF(ISERROR(FIND('112'!$M$9,G4988,1)),"",IF((AND(FIND('112'!$M$9,G4988,1)&gt;=1,B4988='112'!$K$9,OR($N4988='112'!$I$6,$O4988='112'!$I$6))),"x",""))</f>
        <v/>
      </c>
      <c r="U4988" s="75" t="str">
        <f>IF(ISERROR(FIND('112'!$M$9,G4988,1)),"",IF((AND(LEFT(G4988,2)=LEFT('112'!$M$9,2),B4988&lt;'112'!$K$9,$N4988='112'!$I$6)),"x",""))</f>
        <v/>
      </c>
      <c r="V4988" s="75" t="str">
        <f>IF(ISERROR(FIND('112'!$M$9,G4988,1)),"",IF((AND(RIGHT(G4988,2)=RIGHT('112'!$M$9,2),B4988&lt;'112'!$K$9,$O4988='112'!$I$6)),"x",""))</f>
        <v/>
      </c>
      <c r="W4988" s="75" t="str">
        <f>IF(AND('341-CT'!$H$9=H4988,OR(LEFT(N4988,3)=$W$7,LEFT(O4988,3)=$W$7)),"x","")</f>
        <v/>
      </c>
      <c r="X4988" s="75" t="str">
        <f>IF(OR(TH!N5474=TH!$X$7,O4988=TH!$X$7),"x","")</f>
        <v/>
      </c>
      <c r="Y4988" s="75" t="str">
        <f>IF(AND(OR(N4988="131",O4988="131"),H4988='131-CT'!$H$9),"x","")</f>
        <v/>
      </c>
      <c r="Z4988" s="75"/>
      <c r="AA4988" s="75" t="str">
        <f>IF(AND(MONTH(E4988)='IN-NX'!$J$5,'IN-NX'!$D$7=D4988),"x","")</f>
        <v/>
      </c>
      <c r="AB4988" s="75" t="str">
        <f>IF(AND(OR(LEFT(TH!N5474,2)="15",LEFT(TH!O5474,2)="15"),LEFT(TH!O5474,3)&lt;&gt;"111",'152-CT'!$J$8=TH!F5474),"x","")</f>
        <v/>
      </c>
      <c r="AC4988" s="75" t="str">
        <f>IF(AND(OR(LEFT(TH!N5474,2)="15",LEFT(TH!O5474,2)="15"),TK!$E$7=TH!F5474),"x","")</f>
        <v/>
      </c>
      <c r="AD4988" s="75" t="str">
        <f>IF(AND(N4988="1521",MONTH(C4988)='BK-NL'!$M$11),"x","")</f>
        <v/>
      </c>
    </row>
    <row r="4989" spans="1:33" ht="16.5" customHeight="1">
      <c r="A4989" s="309" t="str">
        <f>IF(B4989&lt;&gt;"",IF(AND(B4989='IN-TC'!$S$4,OR(TH!N4979="1111",TH!O4979="1111")),TH!D4979,""),"")</f>
        <v/>
      </c>
      <c r="B4989" s="1339">
        <f t="shared" si="1340"/>
        <v>9</v>
      </c>
      <c r="C4989" s="292">
        <f t="shared" si="1341"/>
        <v>43006</v>
      </c>
      <c r="D4989" s="71"/>
      <c r="E4989" s="59">
        <v>43006</v>
      </c>
      <c r="F4989" s="72" t="s">
        <v>3032</v>
      </c>
      <c r="G4989" s="72" t="s">
        <v>332</v>
      </c>
      <c r="H4989" s="73" t="s">
        <v>1880</v>
      </c>
      <c r="I4989" s="371"/>
      <c r="J4989" s="378"/>
      <c r="K4989" s="371"/>
      <c r="L4989" s="377"/>
      <c r="M4989" s="74">
        <v>200000000</v>
      </c>
      <c r="N4989" s="75" t="s">
        <v>262</v>
      </c>
      <c r="O4989" s="75" t="s">
        <v>63</v>
      </c>
      <c r="P4989" s="75" t="str">
        <f>IF(AND('331-CT'!$E$7=TH!H6947,OR(N4989="331",O4989="331")),"x","")</f>
        <v/>
      </c>
      <c r="Q4989" s="75" t="str">
        <f>IF(AND(B4989='111'!$L$11,OR($N4989=$Q$7,$O4989=$Q$7)),"x","")</f>
        <v/>
      </c>
      <c r="R4989" s="75" t="str">
        <f>IF(AND($N4989=$Q$7,$B4989&lt;'111'!$L$11),"x","")</f>
        <v/>
      </c>
      <c r="S4989" s="75" t="str">
        <f>IF(AND($O4989=$Q$7,$B4989&lt;'111'!$L$11),"x","")</f>
        <v>x</v>
      </c>
      <c r="T4989" s="75" t="str">
        <f>IF(ISERROR(FIND('112'!$M$9,G4989,1)),"",IF((AND(FIND('112'!$M$9,G4989,1)&gt;=1,B4989='112'!$K$9,OR($N4989='112'!$I$6,$O4989='112'!$I$6))),"x",""))</f>
        <v/>
      </c>
      <c r="U4989" s="75" t="str">
        <f>IF(ISERROR(FIND('112'!$M$9,G4989,1)),"",IF((AND(LEFT(G4989,2)=LEFT('112'!$M$9,2),B4989&lt;'112'!$K$9,$N4989='112'!$I$6)),"x",""))</f>
        <v/>
      </c>
      <c r="V4989" s="75" t="str">
        <f>IF(ISERROR(FIND('112'!$M$9,G4989,1)),"",IF((AND(RIGHT(G4989,2)=RIGHT('112'!$M$9,2),B4989&lt;'112'!$K$9,$O4989='112'!$I$6)),"x",""))</f>
        <v/>
      </c>
      <c r="W4989" s="75" t="str">
        <f>IF(AND('341-CT'!$H$9=H4989,OR(LEFT(N4989,3)=$W$7,LEFT(O4989,3)=$W$7)),"x","")</f>
        <v/>
      </c>
      <c r="X4989" s="75" t="str">
        <f>IF(OR(TH!N6947=TH!$X$7,O4989=TH!$X$7),"x","")</f>
        <v/>
      </c>
      <c r="Y4989" s="75" t="str">
        <f>IF(AND(OR(N4989="131",O4989="131"),H4989='131-CT'!$H$9),"x","")</f>
        <v/>
      </c>
      <c r="Z4989" s="75"/>
      <c r="AA4989" s="75" t="str">
        <f>IF(AND(MONTH(E4989)='IN-NX'!$J$5,'IN-NX'!$D$7=D4989),"x","")</f>
        <v/>
      </c>
      <c r="AB4989" s="75" t="str">
        <f>IF(AND(OR(LEFT(TH!N6947,2)="15",LEFT(TH!O6947,2)="15"),LEFT(TH!O6947,3)&lt;&gt;"111",'152-CT'!$J$8=TH!F6947),"x","")</f>
        <v/>
      </c>
      <c r="AC4989" s="75" t="str">
        <f>IF(AND(OR(LEFT(TH!N6947,2)="15",LEFT(TH!O6947,2)="15"),TK!$E$7=TH!F6947),"x","")</f>
        <v/>
      </c>
      <c r="AD4989" s="75" t="str">
        <f>IF(AND(N4989="1521",MONTH(C4989)='BK-NL'!$M$11),"x","")</f>
        <v/>
      </c>
      <c r="AE4989" s="1264"/>
      <c r="AF4989" s="1264"/>
      <c r="AG4989" s="1264"/>
    </row>
    <row r="4990" spans="1:33" ht="16.5" customHeight="1">
      <c r="A4990" s="309" t="str">
        <f>IF(B4990&lt;&gt;"",IF(AND(B4990='IN-TC'!$S$4,OR(TH!N4980="1111",TH!O4980="1111")),TH!D4980,""),"")</f>
        <v/>
      </c>
      <c r="B4990" s="1339">
        <f t="shared" si="1340"/>
        <v>9</v>
      </c>
      <c r="C4990" s="292">
        <f t="shared" si="1341"/>
        <v>43006</v>
      </c>
      <c r="D4990" s="71"/>
      <c r="E4990" s="59">
        <v>43006</v>
      </c>
      <c r="F4990" s="72" t="s">
        <v>3032</v>
      </c>
      <c r="G4990" s="72" t="s">
        <v>1899</v>
      </c>
      <c r="H4990" s="73" t="s">
        <v>1879</v>
      </c>
      <c r="I4990" s="371"/>
      <c r="J4990" s="377"/>
      <c r="K4990" s="371"/>
      <c r="L4990" s="377"/>
      <c r="M4990" s="74">
        <v>1200000000</v>
      </c>
      <c r="N4990" s="75" t="s">
        <v>262</v>
      </c>
      <c r="O4990" s="75" t="s">
        <v>63</v>
      </c>
      <c r="P4990" s="75" t="str">
        <f>IF(AND('331-CT'!$E$7=TH!H6956,OR(N4990="331",O4990="331")),"x","")</f>
        <v/>
      </c>
      <c r="Q4990" s="75" t="str">
        <f>IF(AND(B4990='111'!$L$11,OR($N4990=$Q$7,$O4990=$Q$7)),"x","")</f>
        <v/>
      </c>
      <c r="R4990" s="75" t="str">
        <f>IF(AND($N4990=$Q$7,$B4990&lt;'111'!$L$11),"x","")</f>
        <v/>
      </c>
      <c r="S4990" s="75" t="str">
        <f>IF(AND($O4990=$Q$7,$B4990&lt;'111'!$L$11),"x","")</f>
        <v>x</v>
      </c>
      <c r="T4990" s="75" t="str">
        <f>IF(ISERROR(FIND('112'!$M$9,G4990,1)),"",IF((AND(FIND('112'!$M$9,G4990,1)&gt;=1,B4990='112'!$K$9,OR($N4990='112'!$I$6,$O4990='112'!$I$6))),"x",""))</f>
        <v/>
      </c>
      <c r="U4990" s="75" t="str">
        <f>IF(ISERROR(FIND('112'!$M$9,G4990,1)),"",IF((AND(LEFT(G4990,2)=LEFT('112'!$M$9,2),B4990&lt;'112'!$K$9,$N4990='112'!$I$6)),"x",""))</f>
        <v/>
      </c>
      <c r="V4990" s="75" t="str">
        <f>IF(ISERROR(FIND('112'!$M$9,G4990,1)),"",IF((AND(RIGHT(G4990,2)=RIGHT('112'!$M$9,2),B4990&lt;'112'!$K$9,$O4990='112'!$I$6)),"x",""))</f>
        <v/>
      </c>
      <c r="W4990" s="75" t="str">
        <f>IF(AND('341-CT'!$H$9=H4990,OR(LEFT(N4990,3)=$W$7,LEFT(O4990,3)=$W$7)),"x","")</f>
        <v/>
      </c>
      <c r="X4990" s="75" t="str">
        <f>IF(OR(TH!N6956=TH!$X$7,O4990=TH!$X$7),"x","")</f>
        <v/>
      </c>
      <c r="Y4990" s="75" t="str">
        <f>IF(AND(OR(N4990="131",O4990="131"),H4990='131-CT'!$H$9),"x","")</f>
        <v/>
      </c>
      <c r="Z4990" s="75"/>
      <c r="AA4990" s="75" t="str">
        <f>IF(AND(MONTH(E4990)='IN-NX'!$J$5,'IN-NX'!$D$7=D4990),"x","")</f>
        <v/>
      </c>
      <c r="AB4990" s="75" t="str">
        <f>IF(AND(OR(LEFT(TH!N6956,2)="15",LEFT(TH!O6956,2)="15"),LEFT(TH!O6956,3)&lt;&gt;"111",'152-CT'!$J$8=TH!F6956),"x","")</f>
        <v/>
      </c>
      <c r="AC4990" s="75" t="str">
        <f>IF(AND(OR(LEFT(TH!N6956,2)="15",LEFT(TH!O6956,2)="15"),TK!$E$7=TH!F6956),"x","")</f>
        <v/>
      </c>
      <c r="AD4990" s="75" t="str">
        <f>IF(AND(N4990="1521",MONTH(C4990)='BK-NL'!$M$11),"x","")</f>
        <v/>
      </c>
      <c r="AE4990" s="1264"/>
      <c r="AF4990" s="1264"/>
      <c r="AG4990" s="1264"/>
    </row>
    <row r="4991" spans="1:33" ht="16.5" customHeight="1">
      <c r="A4991" s="309" t="str">
        <f>IF(B4991&lt;&gt;"",IF(AND(B4991='IN-TC'!$S$4,OR(TH!N4981="1111",TH!O4981="1111")),TH!D4981,""),"")</f>
        <v/>
      </c>
      <c r="B4991" s="1242">
        <f t="shared" si="1340"/>
        <v>9</v>
      </c>
      <c r="C4991" s="292">
        <f t="shared" si="1341"/>
        <v>43007</v>
      </c>
      <c r="D4991" s="292"/>
      <c r="E4991" s="292">
        <v>43007</v>
      </c>
      <c r="F4991" s="67" t="s">
        <v>1165</v>
      </c>
      <c r="G4991" s="925" t="s">
        <v>1171</v>
      </c>
      <c r="H4991" s="294" t="s">
        <v>2186</v>
      </c>
      <c r="I4991" s="373"/>
      <c r="J4991" s="926"/>
      <c r="K4991" s="373"/>
      <c r="L4991" s="379"/>
      <c r="M4991" s="927">
        <v>19762050</v>
      </c>
      <c r="N4991" s="295" t="s">
        <v>8</v>
      </c>
      <c r="O4991" s="295" t="s">
        <v>63</v>
      </c>
      <c r="P4991" s="75" t="str">
        <f>IF(AND('331-CT'!$E$7=TH!H3931,OR(N4991="331",O4991="331")),"x","")</f>
        <v/>
      </c>
      <c r="Q4991" s="75" t="str">
        <f>IF(AND(B4991='111'!$L$11,OR($N4991=$Q$7,$O4991=$Q$7)),"x","")</f>
        <v/>
      </c>
      <c r="R4991" s="75" t="str">
        <f>IF(AND($N4991=$Q$7,$B4991&lt;'111'!$L$11),"x","")</f>
        <v/>
      </c>
      <c r="S4991" s="75" t="str">
        <f>IF(AND($O4991=$Q$7,$B4991&lt;'111'!$L$11),"x","")</f>
        <v>x</v>
      </c>
      <c r="T4991" s="75" t="str">
        <f>IF(ISERROR(FIND('112'!$M$9,G4991,1)),"",IF((AND(FIND('112'!$M$9,G4991,1)&gt;=1,B4991='112'!$K$9,OR($N4991='112'!$I$6,$O4991='112'!$I$6))),"x",""))</f>
        <v/>
      </c>
      <c r="U4991" s="75" t="str">
        <f>IF(ISERROR(FIND('112'!$M$9,G4991,1)),"",IF((AND(LEFT(G4991,2)=LEFT('112'!$M$9,2),B4991&lt;'112'!$K$9,$N4991='112'!$I$6)),"x",""))</f>
        <v/>
      </c>
      <c r="V4991" s="75" t="str">
        <f>IF(ISERROR(FIND('112'!$M$9,G4991,1)),"",IF((AND(RIGHT(G4991,2)=RIGHT('112'!$M$9,2),B4991&lt;'112'!$K$9,$O4991='112'!$I$6)),"x",""))</f>
        <v/>
      </c>
      <c r="W4991" s="75" t="str">
        <f>IF(AND('341-CT'!$H$9=H4991,OR(LEFT(N4991,3)=$W$7,LEFT(O4991,3)=$W$7)),"x","")</f>
        <v/>
      </c>
      <c r="X4991" s="75" t="str">
        <f>IF(OR(TH!N3931=TH!$X$7,O4991=TH!$X$7),"x","")</f>
        <v/>
      </c>
      <c r="Y4991" s="75" t="str">
        <f>IF(AND(OR(N4991="131",O4991="131"),H4991='131-CT'!$H$9),"x","")</f>
        <v/>
      </c>
      <c r="Z4991" s="75"/>
      <c r="AA4991" s="75" t="str">
        <f>IF(AND(MONTH(E4991)='IN-NX'!$J$5,'IN-NX'!$D$7=D4991),"x","")</f>
        <v/>
      </c>
      <c r="AB4991" s="75" t="str">
        <f>IF(AND(OR(LEFT(TH!N3931,2)="15",LEFT(TH!O3931,2)="15"),LEFT(TH!O3931,3)&lt;&gt;"111",'152-CT'!$J$8=TH!F3931),"x","")</f>
        <v/>
      </c>
      <c r="AC4991" s="75" t="str">
        <f>IF(AND(OR(LEFT(TH!N3931,2)="15",LEFT(TH!O3931,2)="15"),TK!$E$7=TH!F3931),"x","")</f>
        <v/>
      </c>
      <c r="AD4991" s="75" t="str">
        <f>IF(AND(N4991="1521",MONTH(C4991)='BK-NL'!$M$11),"x","")</f>
        <v/>
      </c>
    </row>
    <row r="4992" spans="1:33" ht="16.5" customHeight="1">
      <c r="A4992" s="309" t="str">
        <f>IF(B4992&lt;&gt;"",IF(AND(B4992='IN-TC'!$S$4,OR(TH!N4982="1111",TH!O4982="1111")),TH!D4982,""),"")</f>
        <v/>
      </c>
      <c r="B4992" s="1242">
        <f t="shared" si="1340"/>
        <v>9</v>
      </c>
      <c r="C4992" s="292">
        <f t="shared" si="1341"/>
        <v>43007</v>
      </c>
      <c r="D4992" s="292"/>
      <c r="E4992" s="292">
        <v>43007</v>
      </c>
      <c r="F4992" s="67" t="s">
        <v>1165</v>
      </c>
      <c r="G4992" s="925" t="s">
        <v>2302</v>
      </c>
      <c r="H4992" s="294" t="s">
        <v>1684</v>
      </c>
      <c r="I4992" s="373"/>
      <c r="J4992" s="926"/>
      <c r="K4992" s="373"/>
      <c r="L4992" s="379"/>
      <c r="M4992" s="927">
        <v>19762050</v>
      </c>
      <c r="N4992" s="295" t="s">
        <v>8</v>
      </c>
      <c r="O4992" s="295" t="s">
        <v>63</v>
      </c>
      <c r="P4992" s="75" t="str">
        <f>IF(AND('331-CT'!$E$7=TH!H3932,OR(N4992="331",O4992="331")),"x","")</f>
        <v/>
      </c>
      <c r="Q4992" s="75" t="str">
        <f>IF(AND(B4992='111'!$L$11,OR($N4992=$Q$7,$O4992=$Q$7)),"x","")</f>
        <v/>
      </c>
      <c r="R4992" s="75" t="str">
        <f>IF(AND($N4992=$Q$7,$B4992&lt;'111'!$L$11),"x","")</f>
        <v/>
      </c>
      <c r="S4992" s="75" t="str">
        <f>IF(AND($O4992=$Q$7,$B4992&lt;'111'!$L$11),"x","")</f>
        <v>x</v>
      </c>
      <c r="T4992" s="75" t="str">
        <f>IF(ISERROR(FIND('112'!$M$9,G4992,1)),"",IF((AND(FIND('112'!$M$9,G4992,1)&gt;=1,B4992='112'!$K$9,OR($N4992='112'!$I$6,$O4992='112'!$I$6))),"x",""))</f>
        <v/>
      </c>
      <c r="U4992" s="75" t="str">
        <f>IF(ISERROR(FIND('112'!$M$9,G4992,1)),"",IF((AND(LEFT(G4992,2)=LEFT('112'!$M$9,2),B4992&lt;'112'!$K$9,$N4992='112'!$I$6)),"x",""))</f>
        <v/>
      </c>
      <c r="V4992" s="75" t="str">
        <f>IF(ISERROR(FIND('112'!$M$9,G4992,1)),"",IF((AND(RIGHT(G4992,2)=RIGHT('112'!$M$9,2),B4992&lt;'112'!$K$9,$O4992='112'!$I$6)),"x",""))</f>
        <v/>
      </c>
      <c r="W4992" s="75" t="str">
        <f>IF(AND('341-CT'!$H$9=H4992,OR(LEFT(N4992,3)=$W$7,LEFT(O4992,3)=$W$7)),"x","")</f>
        <v/>
      </c>
      <c r="X4992" s="75" t="str">
        <f>IF(OR(TH!N3932=TH!$X$7,O4992=TH!$X$7),"x","")</f>
        <v/>
      </c>
      <c r="Y4992" s="75" t="str">
        <f>IF(AND(OR(N4992="131",O4992="131"),H4992='131-CT'!$H$9),"x","")</f>
        <v/>
      </c>
      <c r="Z4992" s="75"/>
      <c r="AA4992" s="75" t="str">
        <f>IF(AND(MONTH(E4992)='IN-NX'!$J$5,'IN-NX'!$D$7=D4992),"x","")</f>
        <v/>
      </c>
      <c r="AB4992" s="75" t="str">
        <f>IF(AND(OR(LEFT(TH!N3932,2)="15",LEFT(TH!O3932,2)="15"),LEFT(TH!O3932,3)&lt;&gt;"111",'152-CT'!$J$8=TH!F3932),"x","")</f>
        <v/>
      </c>
      <c r="AC4992" s="75" t="str">
        <f>IF(AND(OR(LEFT(TH!N3932,2)="15",LEFT(TH!O3932,2)="15"),TK!$E$7=TH!F3932),"x","")</f>
        <v/>
      </c>
      <c r="AD4992" s="75" t="str">
        <f>IF(AND(N4992="1521",MONTH(C4992)='BK-NL'!$M$11),"x","")</f>
        <v/>
      </c>
    </row>
    <row r="4993" spans="1:33" ht="16.5" customHeight="1">
      <c r="A4993" s="309" t="str">
        <f>IF(B4993&lt;&gt;"",IF(AND(B4993='IN-TC'!$S$4,OR(TH!N4983="1111",TH!O4983="1111")),TH!D4983,""),"")</f>
        <v/>
      </c>
      <c r="B4993" s="1242">
        <f t="shared" si="1340"/>
        <v>9</v>
      </c>
      <c r="C4993" s="292">
        <f t="shared" si="1341"/>
        <v>43007</v>
      </c>
      <c r="D4993" s="59" t="s">
        <v>903</v>
      </c>
      <c r="E4993" s="59">
        <v>43007</v>
      </c>
      <c r="F4993" s="67" t="s">
        <v>2412</v>
      </c>
      <c r="G4993" s="62" t="s">
        <v>1713</v>
      </c>
      <c r="H4993" s="67" t="s">
        <v>2413</v>
      </c>
      <c r="I4993" s="375"/>
      <c r="J4993" s="382"/>
      <c r="K4993" s="375">
        <v>98840</v>
      </c>
      <c r="L4993" s="381">
        <v>22717</v>
      </c>
      <c r="M4993" s="60">
        <f>ROUND(K4993*L4993,0)</f>
        <v>2245348280</v>
      </c>
      <c r="N4993" s="61" t="s">
        <v>26</v>
      </c>
      <c r="O4993" s="61" t="s">
        <v>250</v>
      </c>
      <c r="P4993" s="75" t="str">
        <f>IF(AND('331-CT'!$E$7=TH!H4503,OR(N4993="331",O4993="331")),"x","")</f>
        <v/>
      </c>
      <c r="Q4993" s="75" t="str">
        <f>IF(AND(B4993='111'!$L$11,OR($N4993=$Q$7,$O4993=$Q$7)),"x","")</f>
        <v/>
      </c>
      <c r="R4993" s="75" t="str">
        <f>IF(AND($N4993=$Q$7,$B4993&lt;'111'!$L$11),"x","")</f>
        <v/>
      </c>
      <c r="S4993" s="75" t="str">
        <f>IF(AND($O4993=$Q$7,$B4993&lt;'111'!$L$11),"x","")</f>
        <v/>
      </c>
      <c r="T4993" s="75" t="str">
        <f>IF(ISERROR(FIND('112'!$M$9,G4993,1)),"",IF((AND(FIND('112'!$M$9,G4993,1)&gt;=1,B4993='112'!$K$9,OR($N4993='112'!$I$6,$O4993='112'!$I$6))),"x",""))</f>
        <v/>
      </c>
      <c r="U4993" s="75" t="str">
        <f>IF(ISERROR(FIND('112'!$M$9,G4993,1)),"",IF((AND(LEFT(G4993,2)=LEFT('112'!$M$9,2),B4993&lt;'112'!$K$9,$N4993='112'!$I$6)),"x",""))</f>
        <v/>
      </c>
      <c r="V4993" s="75" t="str">
        <f>IF(ISERROR(FIND('112'!$M$9,G4993,1)),"",IF((AND(RIGHT(G4993,2)=RIGHT('112'!$M$9,2),B4993&lt;'112'!$K$9,$O4993='112'!$I$6)),"x",""))</f>
        <v/>
      </c>
      <c r="W4993" s="75" t="str">
        <f>IF(AND('341-CT'!$H$9=H4993,OR(LEFT(N4993,3)=$W$7,LEFT(O4993,3)=$W$7)),"x","")</f>
        <v/>
      </c>
      <c r="X4993" s="75" t="str">
        <f>IF(OR(TH!N4503=TH!$X$7,O4993=TH!$X$7),"x","")</f>
        <v/>
      </c>
      <c r="Y4993" s="75" t="str">
        <f>IF(AND(OR(N4993="131",O4993="131"),H4993='131-CT'!$H$9),"x","")</f>
        <v/>
      </c>
      <c r="Z4993" s="75"/>
      <c r="AA4993" s="75" t="str">
        <f>IF(AND(MONTH(E4993)='IN-NX'!$J$5,'IN-NX'!$D$7=D4993),"x","")</f>
        <v/>
      </c>
      <c r="AB4993" s="75" t="str">
        <f>IF(AND(OR(LEFT(TH!N4503,2)="15",LEFT(TH!O4503,2)="15"),LEFT(TH!O4503,3)&lt;&gt;"111",'152-CT'!$J$8=TH!F4503),"x","")</f>
        <v/>
      </c>
      <c r="AC4993" s="75" t="str">
        <f>IF(AND(OR(LEFT(TH!N4503,2)="15",LEFT(TH!O4503,2)="15"),TK!$E$7=TH!F4503),"x","")</f>
        <v/>
      </c>
      <c r="AD4993" s="75" t="str">
        <f>IF(AND(N4993="1521",MONTH(C4993)='BK-NL'!$M$11),"x","")</f>
        <v/>
      </c>
      <c r="AE4993" s="1053"/>
      <c r="AF4993" s="1053"/>
      <c r="AG4993" s="1053"/>
    </row>
    <row r="4994" spans="1:33" ht="16.5" customHeight="1">
      <c r="A4994" s="309" t="str">
        <f>IF(B4994&lt;&gt;"",IF(AND(B4994='IN-TC'!$S$4,OR(TH!N4984="1111",TH!O4984="1111")),TH!D4984,""),"")</f>
        <v/>
      </c>
      <c r="B4994" s="1242">
        <f t="shared" si="1340"/>
        <v>9</v>
      </c>
      <c r="C4994" s="292">
        <f t="shared" si="1341"/>
        <v>43007</v>
      </c>
      <c r="D4994" s="59" t="s">
        <v>2264</v>
      </c>
      <c r="E4994" s="59">
        <v>43007</v>
      </c>
      <c r="F4994" s="67" t="s">
        <v>834</v>
      </c>
      <c r="G4994" s="62" t="s">
        <v>1713</v>
      </c>
      <c r="H4994" s="67" t="s">
        <v>1023</v>
      </c>
      <c r="I4994" s="373"/>
      <c r="J4994" s="382"/>
      <c r="K4994" s="373"/>
      <c r="L4994" s="379"/>
      <c r="M4994" s="60">
        <v>2260000000</v>
      </c>
      <c r="N4994" s="61" t="s">
        <v>63</v>
      </c>
      <c r="O4994" s="61" t="s">
        <v>26</v>
      </c>
      <c r="P4994" s="75" t="str">
        <f>IF(AND('331-CT'!$E$7=TH!H4504,OR(N4994="331",O4994="331")),"x","")</f>
        <v/>
      </c>
      <c r="Q4994" s="75" t="str">
        <f>IF(AND(B4994='111'!$L$11,OR($N4994=$Q$7,$O4994=$Q$7)),"x","")</f>
        <v/>
      </c>
      <c r="R4994" s="75" t="str">
        <f>IF(AND($N4994=$Q$7,$B4994&lt;'111'!$L$11),"x","")</f>
        <v>x</v>
      </c>
      <c r="S4994" s="75" t="str">
        <f>IF(AND($O4994=$Q$7,$B4994&lt;'111'!$L$11),"x","")</f>
        <v/>
      </c>
      <c r="T4994" s="75" t="str">
        <f>IF(ISERROR(FIND('112'!$M$9,G4994,1)),"",IF((AND(FIND('112'!$M$9,G4994,1)&gt;=1,B4994='112'!$K$9,OR($N4994='112'!$I$6,$O4994='112'!$I$6))),"x",""))</f>
        <v/>
      </c>
      <c r="U4994" s="75" t="str">
        <f>IF(ISERROR(FIND('112'!$M$9,G4994,1)),"",IF((AND(LEFT(G4994,2)=LEFT('112'!$M$9,2),B4994&lt;'112'!$K$9,$N4994='112'!$I$6)),"x",""))</f>
        <v/>
      </c>
      <c r="V4994" s="75" t="str">
        <f>IF(ISERROR(FIND('112'!$M$9,G4994,1)),"",IF((AND(RIGHT(G4994,2)=RIGHT('112'!$M$9,2),B4994&lt;'112'!$K$9,$O4994='112'!$I$6)),"x",""))</f>
        <v/>
      </c>
      <c r="W4994" s="75" t="str">
        <f>IF(AND('341-CT'!$H$9=H4994,OR(LEFT(N4994,3)=$W$7,LEFT(O4994,3)=$W$7)),"x","")</f>
        <v/>
      </c>
      <c r="X4994" s="75" t="str">
        <f>IF(OR(TH!N4504=TH!$X$7,O4994=TH!$X$7),"x","")</f>
        <v/>
      </c>
      <c r="Y4994" s="75" t="str">
        <f>IF(AND(OR(N4994="131",O4994="131"),H4994='131-CT'!$H$9),"x","")</f>
        <v/>
      </c>
      <c r="Z4994" s="75"/>
      <c r="AA4994" s="75" t="str">
        <f>IF(AND(MONTH(E4994)='IN-NX'!$J$5,'IN-NX'!$D$7=D4994),"x","")</f>
        <v/>
      </c>
      <c r="AB4994" s="75" t="str">
        <f>IF(AND(OR(LEFT(TH!N4504,2)="15",LEFT(TH!O4504,2)="15"),LEFT(TH!O4504,3)&lt;&gt;"111",'152-CT'!$J$8=TH!F4504),"x","")</f>
        <v/>
      </c>
      <c r="AC4994" s="75" t="str">
        <f>IF(AND(OR(LEFT(TH!N4504,2)="15",LEFT(TH!O4504,2)="15"),TK!$E$7=TH!F4504),"x","")</f>
        <v/>
      </c>
      <c r="AD4994" s="75" t="str">
        <f>IF(AND(N4994="1521",MONTH(C4994)='BK-NL'!$M$11),"x","")</f>
        <v/>
      </c>
      <c r="AE4994" s="1053"/>
      <c r="AF4994" s="1053"/>
      <c r="AG4994" s="1053"/>
    </row>
    <row r="4995" spans="1:33" ht="16.5" customHeight="1">
      <c r="A4995" s="309" t="str">
        <f>IF(B4995&lt;&gt;"",IF(AND(B4995='IN-TC'!$S$4,OR(TH!N4985="1111",TH!O4985="1111")),TH!D4985,""),"")</f>
        <v/>
      </c>
      <c r="B4995" s="1242">
        <f t="shared" si="1340"/>
        <v>9</v>
      </c>
      <c r="C4995" s="292">
        <f t="shared" si="1341"/>
        <v>43007</v>
      </c>
      <c r="D4995" s="292" t="s">
        <v>2493</v>
      </c>
      <c r="E4995" s="292">
        <v>43007</v>
      </c>
      <c r="F4995" s="67" t="s">
        <v>885</v>
      </c>
      <c r="G4995" s="943" t="s">
        <v>1713</v>
      </c>
      <c r="H4995" s="294" t="s">
        <v>1023</v>
      </c>
      <c r="I4995" s="373"/>
      <c r="J4995" s="926"/>
      <c r="K4995" s="373"/>
      <c r="L4995" s="379"/>
      <c r="M4995" s="927">
        <v>155000000</v>
      </c>
      <c r="N4995" s="295" t="s">
        <v>26</v>
      </c>
      <c r="O4995" s="295" t="s">
        <v>63</v>
      </c>
      <c r="P4995" s="75" t="str">
        <f>IF(AND('331-CT'!$E$7=TH!H4505,OR(N4995="331",O4995="331")),"x","")</f>
        <v/>
      </c>
      <c r="Q4995" s="75" t="str">
        <f>IF(AND(B4995='111'!$L$11,OR($N4995=$Q$7,$O4995=$Q$7)),"x","")</f>
        <v/>
      </c>
      <c r="R4995" s="75" t="str">
        <f>IF(AND($N4995=$Q$7,$B4995&lt;'111'!$L$11),"x","")</f>
        <v/>
      </c>
      <c r="S4995" s="75" t="str">
        <f>IF(AND($O4995=$Q$7,$B4995&lt;'111'!$L$11),"x","")</f>
        <v>x</v>
      </c>
      <c r="T4995" s="75" t="str">
        <f>IF(ISERROR(FIND('112'!$M$9,G4995,1)),"",IF((AND(FIND('112'!$M$9,G4995,1)&gt;=1,B4995='112'!$K$9,OR($N4995='112'!$I$6,$O4995='112'!$I$6))),"x",""))</f>
        <v/>
      </c>
      <c r="U4995" s="75" t="str">
        <f>IF(ISERROR(FIND('112'!$M$9,G4995,1)),"",IF((AND(LEFT(G4995,2)=LEFT('112'!$M$9,2),B4995&lt;'112'!$K$9,$N4995='112'!$I$6)),"x",""))</f>
        <v/>
      </c>
      <c r="V4995" s="75" t="str">
        <f>IF(ISERROR(FIND('112'!$M$9,G4995,1)),"",IF((AND(RIGHT(G4995,2)=RIGHT('112'!$M$9,2),B4995&lt;'112'!$K$9,$O4995='112'!$I$6)),"x",""))</f>
        <v/>
      </c>
      <c r="W4995" s="75" t="str">
        <f>IF(AND('341-CT'!$H$9=H4995,OR(LEFT(N4995,3)=$W$7,LEFT(O4995,3)=$W$7)),"x","")</f>
        <v/>
      </c>
      <c r="X4995" s="75" t="str">
        <f>IF(OR(TH!N4505=TH!$X$7,O4995=TH!$X$7),"x","")</f>
        <v/>
      </c>
      <c r="Y4995" s="75" t="str">
        <f>IF(AND(OR(N4995="131",O4995="131"),H4995='131-CT'!$H$9),"x","")</f>
        <v/>
      </c>
      <c r="Z4995" s="75"/>
      <c r="AA4995" s="75" t="str">
        <f>IF(AND(MONTH(E4995)='IN-NX'!$J$5,'IN-NX'!$D$7=D4995),"x","")</f>
        <v/>
      </c>
      <c r="AB4995" s="75" t="str">
        <f>IF(AND(OR(LEFT(TH!N4505,2)="15",LEFT(TH!O4505,2)="15"),LEFT(TH!O4505,3)&lt;&gt;"111",'152-CT'!$J$8=TH!F4505),"x","")</f>
        <v/>
      </c>
      <c r="AC4995" s="75" t="str">
        <f>IF(AND(OR(LEFT(TH!N4505,2)="15",LEFT(TH!O4505,2)="15"),TK!$E$7=TH!F4505),"x","")</f>
        <v/>
      </c>
      <c r="AD4995" s="75" t="str">
        <f>IF(AND(N4995="1521",MONTH(C4995)='BK-NL'!$M$11),"x","")</f>
        <v/>
      </c>
      <c r="AE4995" s="1053"/>
      <c r="AF4995" s="1053"/>
      <c r="AG4995" s="1053"/>
    </row>
    <row r="4996" spans="1:33" ht="16.5" customHeight="1">
      <c r="A4996" s="309" t="str">
        <f>IF(B4996&lt;&gt;"",IF(AND(B4996='IN-TC'!$S$4,OR(TH!N4986="1111",TH!O4986="1111")),TH!D4986,""),"")</f>
        <v/>
      </c>
      <c r="B4996" s="1339">
        <f t="shared" si="1340"/>
        <v>9</v>
      </c>
      <c r="C4996" s="292">
        <f t="shared" si="1341"/>
        <v>43007</v>
      </c>
      <c r="D4996" s="71"/>
      <c r="E4996" s="292">
        <v>43007</v>
      </c>
      <c r="F4996" s="72" t="s">
        <v>3032</v>
      </c>
      <c r="G4996" s="72" t="s">
        <v>332</v>
      </c>
      <c r="H4996" s="73" t="s">
        <v>1880</v>
      </c>
      <c r="I4996" s="371"/>
      <c r="J4996" s="378"/>
      <c r="K4996" s="371"/>
      <c r="L4996" s="377"/>
      <c r="M4996" s="74">
        <v>1500000000</v>
      </c>
      <c r="N4996" s="75" t="s">
        <v>262</v>
      </c>
      <c r="O4996" s="75" t="s">
        <v>63</v>
      </c>
      <c r="P4996" s="75" t="str">
        <f>IF(AND('331-CT'!$E$7=TH!H6954,OR(N4996="331",O4996="331")),"x","")</f>
        <v/>
      </c>
      <c r="Q4996" s="75" t="str">
        <f>IF(AND(B4996='111'!$L$11,OR($N4996=$Q$7,$O4996=$Q$7)),"x","")</f>
        <v/>
      </c>
      <c r="R4996" s="75" t="str">
        <f>IF(AND($N4996=$Q$7,$B4996&lt;'111'!$L$11),"x","")</f>
        <v/>
      </c>
      <c r="S4996" s="75" t="str">
        <f>IF(AND($O4996=$Q$7,$B4996&lt;'111'!$L$11),"x","")</f>
        <v>x</v>
      </c>
      <c r="T4996" s="75" t="str">
        <f>IF(ISERROR(FIND('112'!$M$9,G4996,1)),"",IF((AND(FIND('112'!$M$9,G4996,1)&gt;=1,B4996='112'!$K$9,OR($N4996='112'!$I$6,$O4996='112'!$I$6))),"x",""))</f>
        <v/>
      </c>
      <c r="U4996" s="75" t="str">
        <f>IF(ISERROR(FIND('112'!$M$9,G4996,1)),"",IF((AND(LEFT(G4996,2)=LEFT('112'!$M$9,2),B4996&lt;'112'!$K$9,$N4996='112'!$I$6)),"x",""))</f>
        <v/>
      </c>
      <c r="V4996" s="75" t="str">
        <f>IF(ISERROR(FIND('112'!$M$9,G4996,1)),"",IF((AND(RIGHT(G4996,2)=RIGHT('112'!$M$9,2),B4996&lt;'112'!$K$9,$O4996='112'!$I$6)),"x",""))</f>
        <v/>
      </c>
      <c r="W4996" s="75" t="str">
        <f>IF(AND('341-CT'!$H$9=H4996,OR(LEFT(N4996,3)=$W$7,LEFT(O4996,3)=$W$7)),"x","")</f>
        <v/>
      </c>
      <c r="X4996" s="75" t="str">
        <f>IF(OR(TH!N6954=TH!$X$7,O4996=TH!$X$7),"x","")</f>
        <v/>
      </c>
      <c r="Y4996" s="75" t="str">
        <f>IF(AND(OR(N4996="131",O4996="131"),H4996='131-CT'!$H$9),"x","")</f>
        <v/>
      </c>
      <c r="Z4996" s="75"/>
      <c r="AA4996" s="75" t="str">
        <f>IF(AND(MONTH(E4996)='IN-NX'!$J$5,'IN-NX'!$D$7=D4996),"x","")</f>
        <v/>
      </c>
      <c r="AB4996" s="75" t="str">
        <f>IF(AND(OR(LEFT(TH!N6954,2)="15",LEFT(TH!O6954,2)="15"),LEFT(TH!O6954,3)&lt;&gt;"111",'152-CT'!$J$8=TH!F6954),"x","")</f>
        <v/>
      </c>
      <c r="AC4996" s="75" t="str">
        <f>IF(AND(OR(LEFT(TH!N6954,2)="15",LEFT(TH!O6954,2)="15"),TK!$E$7=TH!F6954),"x","")</f>
        <v/>
      </c>
      <c r="AD4996" s="75" t="str">
        <f>IF(AND(N4996="1521",MONTH(C4996)='BK-NL'!$M$11),"x","")</f>
        <v/>
      </c>
      <c r="AE4996" s="1264"/>
      <c r="AF4996" s="1264"/>
      <c r="AG4996" s="1264"/>
    </row>
    <row r="4997" spans="1:33" ht="16.5" customHeight="1">
      <c r="A4997" s="309" t="str">
        <f>IF(B4997&lt;&gt;"",IF(AND(B4997='IN-TC'!$S$4,OR(TH!N4987="1111",TH!O4987="1111")),TH!D4987,""),"")</f>
        <v/>
      </c>
      <c r="B4997" s="1339">
        <f t="shared" si="1340"/>
        <v>9</v>
      </c>
      <c r="C4997" s="292">
        <f t="shared" si="1341"/>
        <v>43007</v>
      </c>
      <c r="D4997" s="71"/>
      <c r="E4997" s="292">
        <v>43007</v>
      </c>
      <c r="F4997" s="72" t="s">
        <v>3032</v>
      </c>
      <c r="G4997" s="72" t="s">
        <v>1899</v>
      </c>
      <c r="H4997" s="73" t="s">
        <v>1879</v>
      </c>
      <c r="I4997" s="371"/>
      <c r="J4997" s="377"/>
      <c r="K4997" s="371"/>
      <c r="L4997" s="377"/>
      <c r="M4997" s="74">
        <v>1400000000</v>
      </c>
      <c r="N4997" s="75" t="s">
        <v>262</v>
      </c>
      <c r="O4997" s="75" t="s">
        <v>63</v>
      </c>
      <c r="P4997" s="75" t="str">
        <f>IF(AND('331-CT'!$E$7=TH!H6963,OR(N4997="331",O4997="331")),"x","")</f>
        <v/>
      </c>
      <c r="Q4997" s="75" t="str">
        <f>IF(AND(B4997='111'!$L$11,OR($N4997=$Q$7,$O4997=$Q$7)),"x","")</f>
        <v/>
      </c>
      <c r="R4997" s="75" t="str">
        <f>IF(AND($N4997=$Q$7,$B4997&lt;'111'!$L$11),"x","")</f>
        <v/>
      </c>
      <c r="S4997" s="75" t="str">
        <f>IF(AND($O4997=$Q$7,$B4997&lt;'111'!$L$11),"x","")</f>
        <v>x</v>
      </c>
      <c r="T4997" s="75" t="str">
        <f>IF(ISERROR(FIND('112'!$M$9,G4997,1)),"",IF((AND(FIND('112'!$M$9,G4997,1)&gt;=1,B4997='112'!$K$9,OR($N4997='112'!$I$6,$O4997='112'!$I$6))),"x",""))</f>
        <v/>
      </c>
      <c r="U4997" s="75" t="str">
        <f>IF(ISERROR(FIND('112'!$M$9,G4997,1)),"",IF((AND(LEFT(G4997,2)=LEFT('112'!$M$9,2),B4997&lt;'112'!$K$9,$N4997='112'!$I$6)),"x",""))</f>
        <v/>
      </c>
      <c r="V4997" s="75" t="str">
        <f>IF(ISERROR(FIND('112'!$M$9,G4997,1)),"",IF((AND(RIGHT(G4997,2)=RIGHT('112'!$M$9,2),B4997&lt;'112'!$K$9,$O4997='112'!$I$6)),"x",""))</f>
        <v/>
      </c>
      <c r="W4997" s="75" t="str">
        <f>IF(AND('341-CT'!$H$9=H4997,OR(LEFT(N4997,3)=$W$7,LEFT(O4997,3)=$W$7)),"x","")</f>
        <v/>
      </c>
      <c r="X4997" s="75" t="str">
        <f>IF(OR(TH!N6963=TH!$X$7,O4997=TH!$X$7),"x","")</f>
        <v/>
      </c>
      <c r="Y4997" s="75" t="str">
        <f>IF(AND(OR(N4997="131",O4997="131"),H4997='131-CT'!$H$9),"x","")</f>
        <v/>
      </c>
      <c r="Z4997" s="75"/>
      <c r="AA4997" s="75" t="str">
        <f>IF(AND(MONTH(E4997)='IN-NX'!$J$5,'IN-NX'!$D$7=D4997),"x","")</f>
        <v/>
      </c>
      <c r="AB4997" s="75" t="str">
        <f>IF(AND(OR(LEFT(TH!N6963,2)="15",LEFT(TH!O6963,2)="15"),LEFT(TH!O6963,3)&lt;&gt;"111",'152-CT'!$J$8=TH!F6963),"x","")</f>
        <v/>
      </c>
      <c r="AC4997" s="75" t="str">
        <f>IF(AND(OR(LEFT(TH!N6963,2)="15",LEFT(TH!O6963,2)="15"),TK!$E$7=TH!F6963),"x","")</f>
        <v/>
      </c>
      <c r="AD4997" s="75" t="str">
        <f>IF(AND(N4997="1521",MONTH(C4997)='BK-NL'!$M$11),"x","")</f>
        <v/>
      </c>
      <c r="AE4997" s="1264"/>
      <c r="AF4997" s="1264"/>
      <c r="AG4997" s="1264"/>
    </row>
    <row r="4998" spans="1:33" ht="16.5" customHeight="1">
      <c r="A4998" s="309" t="str">
        <f>IF(B4998&lt;&gt;"",IF(AND(B4998='IN-TC'!$S$4,OR(TH!N5701="1111",TH!O5701="1111")),TH!D5701,""),"")</f>
        <v/>
      </c>
      <c r="B4998" s="1339">
        <f t="shared" si="1340"/>
        <v>9</v>
      </c>
      <c r="C4998" s="292">
        <f t="shared" si="1341"/>
        <v>43007</v>
      </c>
      <c r="D4998" s="71"/>
      <c r="E4998" s="71">
        <v>43007</v>
      </c>
      <c r="F4998" s="72" t="s">
        <v>3010</v>
      </c>
      <c r="G4998" s="72" t="s">
        <v>332</v>
      </c>
      <c r="H4998" s="73" t="s">
        <v>1880</v>
      </c>
      <c r="I4998" s="371"/>
      <c r="J4998" s="377"/>
      <c r="K4998" s="371"/>
      <c r="L4998" s="377"/>
      <c r="M4998" s="74">
        <v>54119400</v>
      </c>
      <c r="N4998" s="75" t="s">
        <v>63</v>
      </c>
      <c r="O4998" s="75" t="s">
        <v>262</v>
      </c>
      <c r="P4998" s="75" t="str">
        <f>IF(AND('331-CT'!$E$7=TH!H5701,OR(N4998="331",O4998="331")),"x","")</f>
        <v/>
      </c>
      <c r="Q4998" s="75" t="str">
        <f>IF(AND(B4998='111'!$L$11,OR($N4998=$Q$7,$O4998=$Q$7)),"x","")</f>
        <v/>
      </c>
      <c r="R4998" s="75" t="str">
        <f>IF(AND($N4998=$Q$7,$B4998&lt;'111'!$L$11),"x","")</f>
        <v>x</v>
      </c>
      <c r="S4998" s="75" t="str">
        <f>IF(AND($O4998=$Q$7,$B4998&lt;'111'!$L$11),"x","")</f>
        <v/>
      </c>
      <c r="T4998" s="75" t="str">
        <f>IF(ISERROR(FIND('112'!$M$9,G4998,1)),"",IF((AND(FIND('112'!$M$9,G4998,1)&gt;=1,B4998='112'!$K$9,OR($N4998='112'!$I$6,$O4998='112'!$I$6))),"x",""))</f>
        <v/>
      </c>
      <c r="U4998" s="75" t="str">
        <f>IF(ISERROR(FIND('112'!$M$9,G4998,1)),"",IF((AND(LEFT(G4998,2)=LEFT('112'!$M$9,2),B4998&lt;'112'!$K$9,$N4998='112'!$I$6)),"x",""))</f>
        <v/>
      </c>
      <c r="V4998" s="75" t="str">
        <f>IF(ISERROR(FIND('112'!$M$9,G4998,1)),"",IF((AND(RIGHT(G4998,2)=RIGHT('112'!$M$9,2),B4998&lt;'112'!$K$9,$O4998='112'!$I$6)),"x",""))</f>
        <v/>
      </c>
      <c r="W4998" s="75" t="str">
        <f>IF(AND('341-CT'!$H$9=H4998,OR(LEFT(N4998,3)=$W$7,LEFT(O4998,3)=$W$7)),"x","")</f>
        <v/>
      </c>
      <c r="X4998" s="75" t="str">
        <f>IF(OR(TH!N5701=TH!$X$7,O4998=TH!$X$7),"x","")</f>
        <v>x</v>
      </c>
      <c r="Y4998" s="75" t="str">
        <f>IF(AND(OR(N4998="131",O4998="131"),H4998='131-CT'!$H$9),"x","")</f>
        <v/>
      </c>
      <c r="Z4998" s="75"/>
      <c r="AA4998" s="75" t="str">
        <f>IF(AND(MONTH(E4998)='IN-NX'!$J$5,'IN-NX'!$D$7=D4998),"x","")</f>
        <v/>
      </c>
      <c r="AB4998" s="75" t="str">
        <f>IF(AND(OR(LEFT(TH!N5701,2)="15",LEFT(TH!O5701,2)="15"),LEFT(TH!O5701,3)&lt;&gt;"111",'152-CT'!$J$8=TH!F5701),"x","")</f>
        <v/>
      </c>
      <c r="AC4998" s="75" t="str">
        <f>IF(AND(OR(LEFT(TH!N5701,2)="15",LEFT(TH!O5701,2)="15"),TK!$E$7=TH!F5701),"x","")</f>
        <v/>
      </c>
      <c r="AD4998" s="75" t="str">
        <f>IF(AND(N4998="1521",MONTH(C4998)='BK-NL'!$M$11),"x","")</f>
        <v/>
      </c>
      <c r="AE4998" s="1264"/>
      <c r="AF4998" s="1264"/>
      <c r="AG4998" s="1264"/>
    </row>
    <row r="4999" spans="1:33" ht="16.5" customHeight="1">
      <c r="A4999" s="309" t="str">
        <f>IF(B4999&lt;&gt;"",IF(AND(B4999='IN-TC'!$S$4,OR(TH!N5710="1111",TH!O5710="1111")),TH!D5710,""),"")</f>
        <v/>
      </c>
      <c r="B4999" s="1339">
        <f t="shared" si="1340"/>
        <v>9</v>
      </c>
      <c r="C4999" s="292">
        <f t="shared" si="1341"/>
        <v>43007</v>
      </c>
      <c r="D4999" s="71"/>
      <c r="E4999" s="71">
        <v>43007</v>
      </c>
      <c r="F4999" s="72" t="s">
        <v>3010</v>
      </c>
      <c r="G4999" s="72" t="s">
        <v>1899</v>
      </c>
      <c r="H4999" s="73" t="s">
        <v>1879</v>
      </c>
      <c r="I4999" s="371"/>
      <c r="J4999" s="378"/>
      <c r="K4999" s="371"/>
      <c r="L4999" s="377"/>
      <c r="M4999" s="74">
        <v>31380600</v>
      </c>
      <c r="N4999" s="75" t="s">
        <v>63</v>
      </c>
      <c r="O4999" s="75" t="s">
        <v>262</v>
      </c>
      <c r="P4999" s="75" t="str">
        <f>IF(AND('331-CT'!$E$7=TH!H5710,OR(N4999="331",O4999="331")),"x","")</f>
        <v/>
      </c>
      <c r="Q4999" s="75" t="str">
        <f>IF(AND(B4999='111'!$L$11,OR($N4999=$Q$7,$O4999=$Q$7)),"x","")</f>
        <v/>
      </c>
      <c r="R4999" s="75" t="str">
        <f>IF(AND($N4999=$Q$7,$B4999&lt;'111'!$L$11),"x","")</f>
        <v>x</v>
      </c>
      <c r="S4999" s="75" t="str">
        <f>IF(AND($O4999=$Q$7,$B4999&lt;'111'!$L$11),"x","")</f>
        <v/>
      </c>
      <c r="T4999" s="75" t="str">
        <f>IF(ISERROR(FIND('112'!$M$9,G4999,1)),"",IF((AND(FIND('112'!$M$9,G4999,1)&gt;=1,B4999='112'!$K$9,OR($N4999='112'!$I$6,$O4999='112'!$I$6))),"x",""))</f>
        <v/>
      </c>
      <c r="U4999" s="75" t="str">
        <f>IF(ISERROR(FIND('112'!$M$9,G4999,1)),"",IF((AND(LEFT(G4999,2)=LEFT('112'!$M$9,2),B4999&lt;'112'!$K$9,$N4999='112'!$I$6)),"x",""))</f>
        <v/>
      </c>
      <c r="V4999" s="75" t="str">
        <f>IF(ISERROR(FIND('112'!$M$9,G4999,1)),"",IF((AND(RIGHT(G4999,2)=RIGHT('112'!$M$9,2),B4999&lt;'112'!$K$9,$O4999='112'!$I$6)),"x",""))</f>
        <v/>
      </c>
      <c r="W4999" s="75" t="str">
        <f>IF(AND('341-CT'!$H$9=H4999,OR(LEFT(N4999,3)=$W$7,LEFT(O4999,3)=$W$7)),"x","")</f>
        <v/>
      </c>
      <c r="X4999" s="75" t="str">
        <f>IF(OR(TH!N5710=TH!$X$7,O4999=TH!$X$7),"x","")</f>
        <v>x</v>
      </c>
      <c r="Y4999" s="75" t="str">
        <f>IF(AND(OR(N4999="131",O4999="131"),H4999='131-CT'!$H$9),"x","")</f>
        <v/>
      </c>
      <c r="Z4999" s="75"/>
      <c r="AA4999" s="75" t="str">
        <f>IF(AND(MONTH(E4999)='IN-NX'!$J$5,'IN-NX'!$D$7=D4999),"x","")</f>
        <v/>
      </c>
      <c r="AB4999" s="75" t="str">
        <f>IF(AND(OR(LEFT(TH!N5710,2)="15",LEFT(TH!O5710,2)="15"),LEFT(TH!O5710,3)&lt;&gt;"111",'152-CT'!$J$8=TH!F5710),"x","")</f>
        <v/>
      </c>
      <c r="AC4999" s="75" t="str">
        <f>IF(AND(OR(LEFT(TH!N5710,2)="15",LEFT(TH!O5710,2)="15"),TK!$E$7=TH!F5710),"x","")</f>
        <v/>
      </c>
      <c r="AD4999" s="75" t="str">
        <f>IF(AND(N4999="1521",MONTH(C4999)='BK-NL'!$M$11),"x","")</f>
        <v/>
      </c>
      <c r="AE4999" s="1264"/>
      <c r="AF4999" s="1264"/>
      <c r="AG4999" s="1264"/>
    </row>
    <row r="5000" spans="1:33" ht="16.5" customHeight="1">
      <c r="A5000" s="309" t="str">
        <f>IF(B5000&lt;&gt;"",IF(AND(B5000='IN-TC'!$S$4,OR(TH!N4988="1111",TH!O4988="1111")),TH!D4988,""),"")</f>
        <v/>
      </c>
      <c r="B5000" s="1242">
        <f t="shared" si="1340"/>
        <v>9</v>
      </c>
      <c r="C5000" s="292">
        <f t="shared" si="1341"/>
        <v>43008</v>
      </c>
      <c r="D5000" s="292"/>
      <c r="E5000" s="292">
        <v>43008</v>
      </c>
      <c r="F5000" s="67" t="s">
        <v>1499</v>
      </c>
      <c r="G5000" s="925" t="s">
        <v>2290</v>
      </c>
      <c r="H5000" s="294" t="s">
        <v>893</v>
      </c>
      <c r="I5000" s="373"/>
      <c r="J5000" s="926"/>
      <c r="K5000" s="373"/>
      <c r="L5000" s="379"/>
      <c r="M5000" s="927">
        <v>2730991</v>
      </c>
      <c r="N5000" s="295" t="s">
        <v>101</v>
      </c>
      <c r="O5000" s="295" t="s">
        <v>63</v>
      </c>
      <c r="P5000" s="75" t="str">
        <f>IF(AND('331-CT'!$E$7=TH!H3933,OR(N5000="331",O5000="331")),"x","")</f>
        <v/>
      </c>
      <c r="Q5000" s="75" t="str">
        <f>IF(AND(B5000='111'!$L$11,OR($N5000=$Q$7,$O5000=$Q$7)),"x","")</f>
        <v/>
      </c>
      <c r="R5000" s="75" t="str">
        <f>IF(AND($N5000=$Q$7,$B5000&lt;'111'!$L$11),"x","")</f>
        <v/>
      </c>
      <c r="S5000" s="75" t="str">
        <f>IF(AND($O5000=$Q$7,$B5000&lt;'111'!$L$11),"x","")</f>
        <v>x</v>
      </c>
      <c r="T5000" s="75" t="str">
        <f>IF(ISERROR(FIND('112'!$M$9,G5000,1)),"",IF((AND(FIND('112'!$M$9,G5000,1)&gt;=1,B5000='112'!$K$9,OR($N5000='112'!$I$6,$O5000='112'!$I$6))),"x",""))</f>
        <v/>
      </c>
      <c r="U5000" s="75" t="str">
        <f>IF(ISERROR(FIND('112'!$M$9,G5000,1)),"",IF((AND(LEFT(G5000,2)=LEFT('112'!$M$9,2),B5000&lt;'112'!$K$9,$N5000='112'!$I$6)),"x",""))</f>
        <v/>
      </c>
      <c r="V5000" s="75" t="str">
        <f>IF(ISERROR(FIND('112'!$M$9,G5000,1)),"",IF((AND(RIGHT(G5000,2)=RIGHT('112'!$M$9,2),B5000&lt;'112'!$K$9,$O5000='112'!$I$6)),"x",""))</f>
        <v/>
      </c>
      <c r="W5000" s="75" t="str">
        <f>IF(AND('341-CT'!$H$9=H5000,OR(LEFT(N5000,3)=$W$7,LEFT(O5000,3)=$W$7)),"x","")</f>
        <v/>
      </c>
      <c r="X5000" s="75" t="str">
        <f>IF(OR(TH!N3933=TH!$X$7,O5000=TH!$X$7),"x","")</f>
        <v/>
      </c>
      <c r="Y5000" s="75" t="str">
        <f>IF(AND(OR(N5000="131",O5000="131"),H5000='131-CT'!$H$9),"x","")</f>
        <v/>
      </c>
      <c r="Z5000" s="75"/>
      <c r="AA5000" s="75" t="str">
        <f>IF(AND(MONTH(E5000)='IN-NX'!$J$5,'IN-NX'!$D$7=D5000),"x","")</f>
        <v/>
      </c>
      <c r="AB5000" s="75" t="str">
        <f>IF(AND(OR(LEFT(TH!N3933,2)="15",LEFT(TH!O3933,2)="15"),LEFT(TH!O3933,3)&lt;&gt;"111",'152-CT'!$J$8=TH!F3933),"x","")</f>
        <v/>
      </c>
      <c r="AC5000" s="75" t="str">
        <f>IF(AND(OR(LEFT(TH!N3933,2)="15",LEFT(TH!O3933,2)="15"),TK!$E$7=TH!F3933),"x","")</f>
        <v/>
      </c>
      <c r="AD5000" s="75" t="str">
        <f>IF(AND(N5000="1521",MONTH(C5000)='BK-NL'!$M$11),"x","")</f>
        <v/>
      </c>
      <c r="AE5000">
        <v>9</v>
      </c>
    </row>
    <row r="5001" spans="1:33" ht="16.5" customHeight="1">
      <c r="A5001" s="309" t="str">
        <f>IF(B5001&lt;&gt;"",IF(AND(B5001='IN-TC'!$S$4,OR(TH!N4989="1111",TH!O4989="1111")),TH!D4989,""),"")</f>
        <v/>
      </c>
      <c r="B5001" s="1242">
        <f t="shared" si="1340"/>
        <v>9</v>
      </c>
      <c r="C5001" s="292">
        <f t="shared" si="1341"/>
        <v>43008</v>
      </c>
      <c r="D5001" s="292"/>
      <c r="E5001" s="292">
        <v>43008</v>
      </c>
      <c r="F5001" s="67" t="s">
        <v>1500</v>
      </c>
      <c r="G5001" s="925" t="s">
        <v>2290</v>
      </c>
      <c r="H5001" s="294" t="s">
        <v>893</v>
      </c>
      <c r="I5001" s="373"/>
      <c r="J5001" s="926"/>
      <c r="K5001" s="373"/>
      <c r="L5001" s="379"/>
      <c r="M5001" s="927">
        <v>273099</v>
      </c>
      <c r="N5001" s="295" t="s">
        <v>9</v>
      </c>
      <c r="O5001" s="295" t="s">
        <v>63</v>
      </c>
      <c r="P5001" s="75" t="str">
        <f>IF(AND('331-CT'!$E$7=TH!H3934,OR(N5001="331",O5001="331")),"x","")</f>
        <v/>
      </c>
      <c r="Q5001" s="75" t="str">
        <f>IF(AND(B5001='111'!$L$11,OR($N5001=$Q$7,$O5001=$Q$7)),"x","")</f>
        <v/>
      </c>
      <c r="R5001" s="75" t="str">
        <f>IF(AND($N5001=$Q$7,$B5001&lt;'111'!$L$11),"x","")</f>
        <v/>
      </c>
      <c r="S5001" s="75" t="str">
        <f>IF(AND($O5001=$Q$7,$B5001&lt;'111'!$L$11),"x","")</f>
        <v>x</v>
      </c>
      <c r="T5001" s="75" t="str">
        <f>IF(ISERROR(FIND('112'!$M$9,G5001,1)),"",IF((AND(FIND('112'!$M$9,G5001,1)&gt;=1,B5001='112'!$K$9,OR($N5001='112'!$I$6,$O5001='112'!$I$6))),"x",""))</f>
        <v/>
      </c>
      <c r="U5001" s="75" t="str">
        <f>IF(ISERROR(FIND('112'!$M$9,G5001,1)),"",IF((AND(LEFT(G5001,2)=LEFT('112'!$M$9,2),B5001&lt;'112'!$K$9,$N5001='112'!$I$6)),"x",""))</f>
        <v/>
      </c>
      <c r="V5001" s="75" t="str">
        <f>IF(ISERROR(FIND('112'!$M$9,G5001,1)),"",IF((AND(RIGHT(G5001,2)=RIGHT('112'!$M$9,2),B5001&lt;'112'!$K$9,$O5001='112'!$I$6)),"x",""))</f>
        <v/>
      </c>
      <c r="W5001" s="75" t="str">
        <f>IF(AND('341-CT'!$H$9=H5001,OR(LEFT(N5001,3)=$W$7,LEFT(O5001,3)=$W$7)),"x","")</f>
        <v/>
      </c>
      <c r="X5001" s="75" t="str">
        <f>IF(OR(TH!N3934=TH!$X$7,O5001=TH!$X$7),"x","")</f>
        <v/>
      </c>
      <c r="Y5001" s="75" t="str">
        <f>IF(AND(OR(N5001="131",O5001="131"),H5001='131-CT'!$H$9),"x","")</f>
        <v/>
      </c>
      <c r="Z5001" s="75"/>
      <c r="AA5001" s="75" t="str">
        <f>IF(AND(MONTH(E5001)='IN-NX'!$J$5,'IN-NX'!$D$7=D5001),"x","")</f>
        <v/>
      </c>
      <c r="AB5001" s="75" t="str">
        <f>IF(AND(OR(LEFT(TH!N3934,2)="15",LEFT(TH!O3934,2)="15"),LEFT(TH!O3934,3)&lt;&gt;"111",'152-CT'!$J$8=TH!F3934),"x","")</f>
        <v/>
      </c>
      <c r="AC5001" s="75" t="str">
        <f>IF(AND(OR(LEFT(TH!N3934,2)="15",LEFT(TH!O3934,2)="15"),TK!$E$7=TH!F3934),"x","")</f>
        <v/>
      </c>
      <c r="AD5001" s="75" t="str">
        <f>IF(AND(N5001="1521",MONTH(C5001)='BK-NL'!$M$11),"x","")</f>
        <v/>
      </c>
      <c r="AE5001">
        <v>9</v>
      </c>
    </row>
    <row r="5002" spans="1:33" ht="16.5" customHeight="1">
      <c r="A5002" s="309" t="str">
        <f>IF(B5002&lt;&gt;"",IF(AND(B5002='IN-TC'!$S$4,OR(TH!N4990="1111",TH!O4990="1111")),TH!D4990,""),"")</f>
        <v/>
      </c>
      <c r="B5002" s="1242">
        <f t="shared" si="1340"/>
        <v>9</v>
      </c>
      <c r="C5002" s="292">
        <f t="shared" si="1341"/>
        <v>43008</v>
      </c>
      <c r="D5002" s="292"/>
      <c r="E5002" s="292">
        <v>43008</v>
      </c>
      <c r="F5002" s="67" t="s">
        <v>1165</v>
      </c>
      <c r="G5002" s="925" t="s">
        <v>2188</v>
      </c>
      <c r="H5002" s="294" t="s">
        <v>2186</v>
      </c>
      <c r="I5002" s="373"/>
      <c r="J5002" s="926"/>
      <c r="K5002" s="373"/>
      <c r="L5002" s="379"/>
      <c r="M5002" s="927">
        <v>19762050</v>
      </c>
      <c r="N5002" s="295" t="s">
        <v>8</v>
      </c>
      <c r="O5002" s="295" t="s">
        <v>63</v>
      </c>
      <c r="P5002" s="75" t="str">
        <f>IF(AND('331-CT'!$E$7=TH!H3935,OR(N5002="331",O5002="331")),"x","")</f>
        <v/>
      </c>
      <c r="Q5002" s="75" t="str">
        <f>IF(AND(B5002='111'!$L$11,OR($N5002=$Q$7,$O5002=$Q$7)),"x","")</f>
        <v/>
      </c>
      <c r="R5002" s="75" t="str">
        <f>IF(AND($N5002=$Q$7,$B5002&lt;'111'!$L$11),"x","")</f>
        <v/>
      </c>
      <c r="S5002" s="75" t="str">
        <f>IF(AND($O5002=$Q$7,$B5002&lt;'111'!$L$11),"x","")</f>
        <v>x</v>
      </c>
      <c r="T5002" s="75" t="str">
        <f>IF(ISERROR(FIND('112'!$M$9,G5002,1)),"",IF((AND(FIND('112'!$M$9,G5002,1)&gt;=1,B5002='112'!$K$9,OR($N5002='112'!$I$6,$O5002='112'!$I$6))),"x",""))</f>
        <v/>
      </c>
      <c r="U5002" s="75" t="str">
        <f>IF(ISERROR(FIND('112'!$M$9,G5002,1)),"",IF((AND(LEFT(G5002,2)=LEFT('112'!$M$9,2),B5002&lt;'112'!$K$9,$N5002='112'!$I$6)),"x",""))</f>
        <v/>
      </c>
      <c r="V5002" s="75" t="str">
        <f>IF(ISERROR(FIND('112'!$M$9,G5002,1)),"",IF((AND(RIGHT(G5002,2)=RIGHT('112'!$M$9,2),B5002&lt;'112'!$K$9,$O5002='112'!$I$6)),"x",""))</f>
        <v/>
      </c>
      <c r="W5002" s="75" t="str">
        <f>IF(AND('341-CT'!$H$9=H5002,OR(LEFT(N5002,3)=$W$7,LEFT(O5002,3)=$W$7)),"x","")</f>
        <v/>
      </c>
      <c r="X5002" s="75" t="str">
        <f>IF(OR(TH!N3935=TH!$X$7,O5002=TH!$X$7),"x","")</f>
        <v/>
      </c>
      <c r="Y5002" s="75" t="str">
        <f>IF(AND(OR(N5002="131",O5002="131"),H5002='131-CT'!$H$9),"x","")</f>
        <v/>
      </c>
      <c r="Z5002" s="75"/>
      <c r="AA5002" s="75" t="str">
        <f>IF(AND(MONTH(E5002)='IN-NX'!$J$5,'IN-NX'!$D$7=D5002),"x","")</f>
        <v/>
      </c>
      <c r="AB5002" s="75" t="str">
        <f>IF(AND(OR(LEFT(TH!N3935,2)="15",LEFT(TH!O3935,2)="15"),LEFT(TH!O3935,3)&lt;&gt;"111",'152-CT'!$J$8=TH!F3935),"x","")</f>
        <v/>
      </c>
      <c r="AC5002" s="75" t="str">
        <f>IF(AND(OR(LEFT(TH!N3935,2)="15",LEFT(TH!O3935,2)="15"),TK!$E$7=TH!F3935),"x","")</f>
        <v/>
      </c>
      <c r="AD5002" s="75" t="str">
        <f>IF(AND(N5002="1521",MONTH(C5002)='BK-NL'!$M$11),"x","")</f>
        <v/>
      </c>
    </row>
    <row r="5003" spans="1:33" ht="16.5" customHeight="1">
      <c r="A5003" s="309" t="str">
        <f>IF(B5003&lt;&gt;"",IF(AND(B5003='IN-TC'!$S$4,OR(TH!N4991="1111",TH!O4991="1111")),TH!D4991,""),"")</f>
        <v/>
      </c>
      <c r="B5003" s="1242">
        <f t="shared" si="1340"/>
        <v>9</v>
      </c>
      <c r="C5003" s="292">
        <f t="shared" si="1341"/>
        <v>43008</v>
      </c>
      <c r="D5003" s="292"/>
      <c r="E5003" s="292">
        <v>43008</v>
      </c>
      <c r="F5003" s="67" t="s">
        <v>2383</v>
      </c>
      <c r="G5003" s="925" t="s">
        <v>2385</v>
      </c>
      <c r="H5003" s="294" t="s">
        <v>1032</v>
      </c>
      <c r="I5003" s="373"/>
      <c r="J5003" s="926"/>
      <c r="K5003" s="373"/>
      <c r="L5003" s="379"/>
      <c r="M5003" s="927">
        <v>137195</v>
      </c>
      <c r="N5003" s="295" t="s">
        <v>101</v>
      </c>
      <c r="O5003" s="295" t="s">
        <v>63</v>
      </c>
      <c r="P5003" s="75" t="str">
        <f>IF(AND('331-CT'!$E$7=TH!H3936,OR(N5003="331",O5003="331")),"x","")</f>
        <v/>
      </c>
      <c r="Q5003" s="75" t="str">
        <f>IF(AND(B5003='111'!$L$11,OR($N5003=$Q$7,$O5003=$Q$7)),"x","")</f>
        <v/>
      </c>
      <c r="R5003" s="75" t="str">
        <f>IF(AND($N5003=$Q$7,$B5003&lt;'111'!$L$11),"x","")</f>
        <v/>
      </c>
      <c r="S5003" s="75" t="str">
        <f>IF(AND($O5003=$Q$7,$B5003&lt;'111'!$L$11),"x","")</f>
        <v>x</v>
      </c>
      <c r="T5003" s="75" t="str">
        <f>IF(ISERROR(FIND('112'!$M$9,G5003,1)),"",IF((AND(FIND('112'!$M$9,G5003,1)&gt;=1,B5003='112'!$K$9,OR($N5003='112'!$I$6,$O5003='112'!$I$6))),"x",""))</f>
        <v/>
      </c>
      <c r="U5003" s="75" t="str">
        <f>IF(ISERROR(FIND('112'!$M$9,G5003,1)),"",IF((AND(LEFT(G5003,2)=LEFT('112'!$M$9,2),B5003&lt;'112'!$K$9,$N5003='112'!$I$6)),"x",""))</f>
        <v/>
      </c>
      <c r="V5003" s="75" t="str">
        <f>IF(ISERROR(FIND('112'!$M$9,G5003,1)),"",IF((AND(RIGHT(G5003,2)=RIGHT('112'!$M$9,2),B5003&lt;'112'!$K$9,$O5003='112'!$I$6)),"x",""))</f>
        <v/>
      </c>
      <c r="W5003" s="75" t="str">
        <f>IF(AND('341-CT'!$H$9=H5003,OR(LEFT(N5003,3)=$W$7,LEFT(O5003,3)=$W$7)),"x","")</f>
        <v/>
      </c>
      <c r="X5003" s="75" t="str">
        <f>IF(OR(TH!N3936=TH!$X$7,O5003=TH!$X$7),"x","")</f>
        <v/>
      </c>
      <c r="Y5003" s="75" t="str">
        <f>IF(AND(OR(N5003="131",O5003="131"),H5003='131-CT'!$H$9),"x","")</f>
        <v/>
      </c>
      <c r="Z5003" s="75"/>
      <c r="AA5003" s="75" t="str">
        <f>IF(AND(MONTH(E5003)='IN-NX'!$J$5,'IN-NX'!$D$7=D5003),"x","")</f>
        <v/>
      </c>
      <c r="AB5003" s="75" t="str">
        <f>IF(AND(OR(LEFT(TH!N3936,2)="15",LEFT(TH!O3936,2)="15"),LEFT(TH!O3936,3)&lt;&gt;"111",'152-CT'!$J$8=TH!F3936),"x","")</f>
        <v/>
      </c>
      <c r="AC5003" s="75" t="str">
        <f>IF(AND(OR(LEFT(TH!N3936,2)="15",LEFT(TH!O3936,2)="15"),TK!$E$7=TH!F3936),"x","")</f>
        <v/>
      </c>
      <c r="AD5003" s="75" t="str">
        <f>IF(AND(N5003="1521",MONTH(C5003)='BK-NL'!$M$11),"x","")</f>
        <v/>
      </c>
      <c r="AE5003">
        <v>10</v>
      </c>
    </row>
    <row r="5004" spans="1:33" ht="16.5" customHeight="1">
      <c r="A5004" s="309" t="str">
        <f>IF(B5004&lt;&gt;"",IF(AND(B5004='IN-TC'!$S$4,OR(TH!N4992="1111",TH!O4992="1111")),TH!D4992,""),"")</f>
        <v/>
      </c>
      <c r="B5004" s="1242">
        <f t="shared" si="1340"/>
        <v>9</v>
      </c>
      <c r="C5004" s="292">
        <f t="shared" si="1341"/>
        <v>43008</v>
      </c>
      <c r="D5004" s="292"/>
      <c r="E5004" s="292">
        <v>43008</v>
      </c>
      <c r="F5004" s="67" t="s">
        <v>2384</v>
      </c>
      <c r="G5004" s="925" t="s">
        <v>2385</v>
      </c>
      <c r="H5004" s="294" t="s">
        <v>1032</v>
      </c>
      <c r="I5004" s="373"/>
      <c r="J5004" s="926"/>
      <c r="K5004" s="373"/>
      <c r="L5004" s="379"/>
      <c r="M5004" s="927">
        <v>13720</v>
      </c>
      <c r="N5004" s="295" t="s">
        <v>9</v>
      </c>
      <c r="O5004" s="295" t="s">
        <v>63</v>
      </c>
      <c r="P5004" s="75" t="str">
        <f>IF(AND('331-CT'!$E$7=TH!H3937,OR(N5004="331",O5004="331")),"x","")</f>
        <v/>
      </c>
      <c r="Q5004" s="75" t="str">
        <f>IF(AND(B5004='111'!$L$11,OR($N5004=$Q$7,$O5004=$Q$7)),"x","")</f>
        <v/>
      </c>
      <c r="R5004" s="75" t="str">
        <f>IF(AND($N5004=$Q$7,$B5004&lt;'111'!$L$11),"x","")</f>
        <v/>
      </c>
      <c r="S5004" s="75" t="str">
        <f>IF(AND($O5004=$Q$7,$B5004&lt;'111'!$L$11),"x","")</f>
        <v>x</v>
      </c>
      <c r="T5004" s="75" t="str">
        <f>IF(ISERROR(FIND('112'!$M$9,G5004,1)),"",IF((AND(FIND('112'!$M$9,G5004,1)&gt;=1,B5004='112'!$K$9,OR($N5004='112'!$I$6,$O5004='112'!$I$6))),"x",""))</f>
        <v/>
      </c>
      <c r="U5004" s="75" t="str">
        <f>IF(ISERROR(FIND('112'!$M$9,G5004,1)),"",IF((AND(LEFT(G5004,2)=LEFT('112'!$M$9,2),B5004&lt;'112'!$K$9,$N5004='112'!$I$6)),"x",""))</f>
        <v/>
      </c>
      <c r="V5004" s="75" t="str">
        <f>IF(ISERROR(FIND('112'!$M$9,G5004,1)),"",IF((AND(RIGHT(G5004,2)=RIGHT('112'!$M$9,2),B5004&lt;'112'!$K$9,$O5004='112'!$I$6)),"x",""))</f>
        <v/>
      </c>
      <c r="W5004" s="75" t="str">
        <f>IF(AND('341-CT'!$H$9=H5004,OR(LEFT(N5004,3)=$W$7,LEFT(O5004,3)=$W$7)),"x","")</f>
        <v/>
      </c>
      <c r="X5004" s="75" t="str">
        <f>IF(OR(TH!N3937=TH!$X$7,O5004=TH!$X$7),"x","")</f>
        <v/>
      </c>
      <c r="Y5004" s="75" t="str">
        <f>IF(AND(OR(N5004="131",O5004="131"),H5004='131-CT'!$H$9),"x","")</f>
        <v/>
      </c>
      <c r="Z5004" s="75"/>
      <c r="AA5004" s="75" t="str">
        <f>IF(AND(MONTH(E5004)='IN-NX'!$J$5,'IN-NX'!$D$7=D5004),"x","")</f>
        <v/>
      </c>
      <c r="AB5004" s="75" t="str">
        <f>IF(AND(OR(LEFT(TH!N3937,2)="15",LEFT(TH!O3937,2)="15"),LEFT(TH!O3937,3)&lt;&gt;"111",'152-CT'!$J$8=TH!F3937),"x","")</f>
        <v/>
      </c>
      <c r="AC5004" s="75" t="str">
        <f>IF(AND(OR(LEFT(TH!N3937,2)="15",LEFT(TH!O3937,2)="15"),TK!$E$7=TH!F3937),"x","")</f>
        <v/>
      </c>
      <c r="AD5004" s="75" t="str">
        <f>IF(AND(N5004="1521",MONTH(C5004)='BK-NL'!$M$11),"x","")</f>
        <v/>
      </c>
      <c r="AE5004">
        <v>10</v>
      </c>
    </row>
    <row r="5005" spans="1:33" ht="16.5" customHeight="1">
      <c r="A5005" s="309" t="str">
        <f>IF(B5005&lt;&gt;"",IF(AND(B5005='IN-TC'!$S$4,OR(TH!N4993="1111",TH!O4993="1111")),TH!D4993,""),"")</f>
        <v/>
      </c>
      <c r="B5005" s="1242">
        <f t="shared" si="1340"/>
        <v>9</v>
      </c>
      <c r="C5005" s="292">
        <f t="shared" si="1341"/>
        <v>43008</v>
      </c>
      <c r="D5005" s="292"/>
      <c r="E5005" s="292">
        <v>43008</v>
      </c>
      <c r="F5005" s="67" t="s">
        <v>2565</v>
      </c>
      <c r="G5005" s="925"/>
      <c r="H5005" s="294" t="s">
        <v>948</v>
      </c>
      <c r="I5005" s="373"/>
      <c r="J5005" s="926"/>
      <c r="K5005" s="373"/>
      <c r="L5005" s="379"/>
      <c r="M5005" s="927">
        <v>13090909</v>
      </c>
      <c r="N5005" s="295" t="s">
        <v>539</v>
      </c>
      <c r="O5005" s="295" t="s">
        <v>63</v>
      </c>
      <c r="P5005" s="75" t="str">
        <f>IF(AND('331-CT'!$E$7=TH!H3938,OR(N5005="331",O5005="331")),"x","")</f>
        <v/>
      </c>
      <c r="Q5005" s="75" t="str">
        <f>IF(AND(B5005='111'!$L$11,OR($N5005=$Q$7,$O5005=$Q$7)),"x","")</f>
        <v/>
      </c>
      <c r="R5005" s="75" t="str">
        <f>IF(AND($N5005=$Q$7,$B5005&lt;'111'!$L$11),"x","")</f>
        <v/>
      </c>
      <c r="S5005" s="75" t="str">
        <f>IF(AND($O5005=$Q$7,$B5005&lt;'111'!$L$11),"x","")</f>
        <v>x</v>
      </c>
      <c r="T5005" s="75" t="str">
        <f>IF(ISERROR(FIND('112'!$M$9,G5005,1)),"",IF((AND(FIND('112'!$M$9,G5005,1)&gt;=1,B5005='112'!$K$9,OR($N5005='112'!$I$6,$O5005='112'!$I$6))),"x",""))</f>
        <v/>
      </c>
      <c r="U5005" s="75" t="str">
        <f>IF(ISERROR(FIND('112'!$M$9,G5005,1)),"",IF((AND(LEFT(G5005,2)=LEFT('112'!$M$9,2),B5005&lt;'112'!$K$9,$N5005='112'!$I$6)),"x",""))</f>
        <v/>
      </c>
      <c r="V5005" s="75" t="str">
        <f>IF(ISERROR(FIND('112'!$M$9,G5005,1)),"",IF((AND(RIGHT(G5005,2)=RIGHT('112'!$M$9,2),B5005&lt;'112'!$K$9,$O5005='112'!$I$6)),"x",""))</f>
        <v/>
      </c>
      <c r="W5005" s="75" t="str">
        <f>IF(AND('341-CT'!$H$9=H5005,OR(LEFT(N5005,3)=$W$7,LEFT(O5005,3)=$W$7)),"x","")</f>
        <v/>
      </c>
      <c r="X5005" s="75" t="str">
        <f>IF(OR(TH!N3938=TH!$X$7,O5005=TH!$X$7),"x","")</f>
        <v/>
      </c>
      <c r="Y5005" s="75" t="str">
        <f>IF(AND(OR(N5005="131",O5005="131"),H5005='131-CT'!$H$9),"x","")</f>
        <v/>
      </c>
      <c r="Z5005" s="75"/>
      <c r="AA5005" s="75" t="str">
        <f>IF(AND(MONTH(E5005)='IN-NX'!$J$5,'IN-NX'!$D$7=D5005),"x","")</f>
        <v/>
      </c>
      <c r="AB5005" s="75" t="str">
        <f>IF(AND(OR(LEFT(TH!N3938,2)="15",LEFT(TH!O3938,2)="15"),LEFT(TH!O3938,3)&lt;&gt;"111",'152-CT'!$J$8=TH!F3938),"x","")</f>
        <v/>
      </c>
      <c r="AC5005" s="75" t="str">
        <f>IF(AND(OR(LEFT(TH!N3938,2)="15",LEFT(TH!O3938,2)="15"),TK!$E$7=TH!F3938),"x","")</f>
        <v/>
      </c>
      <c r="AD5005" s="75" t="str">
        <f>IF(AND(N5005="1521",MONTH(C5005)='BK-NL'!$M$11),"x","")</f>
        <v/>
      </c>
      <c r="AE5005">
        <v>10</v>
      </c>
    </row>
    <row r="5006" spans="1:33" ht="16.5" customHeight="1">
      <c r="A5006" s="309" t="str">
        <f>IF(B5006&lt;&gt;"",IF(AND(B5006='IN-TC'!$S$4,OR(TH!N4994="1111",TH!O4994="1111")),TH!D4994,""),"")</f>
        <v/>
      </c>
      <c r="B5006" s="1242">
        <f t="shared" si="1340"/>
        <v>9</v>
      </c>
      <c r="C5006" s="292">
        <f t="shared" si="1341"/>
        <v>43008</v>
      </c>
      <c r="D5006" s="292"/>
      <c r="E5006" s="292">
        <v>43008</v>
      </c>
      <c r="F5006" s="67" t="s">
        <v>2566</v>
      </c>
      <c r="G5006" s="925"/>
      <c r="H5006" s="294" t="s">
        <v>948</v>
      </c>
      <c r="I5006" s="373"/>
      <c r="J5006" s="926"/>
      <c r="K5006" s="373"/>
      <c r="L5006" s="379"/>
      <c r="M5006" s="927">
        <v>1309091</v>
      </c>
      <c r="N5006" s="295" t="s">
        <v>9</v>
      </c>
      <c r="O5006" s="295" t="s">
        <v>63</v>
      </c>
      <c r="P5006" s="75" t="str">
        <f>IF(AND('331-CT'!$E$7=TH!H3939,OR(N5006="331",O5006="331")),"x","")</f>
        <v/>
      </c>
      <c r="Q5006" s="75" t="str">
        <f>IF(AND(B5006='111'!$L$11,OR($N5006=$Q$7,$O5006=$Q$7)),"x","")</f>
        <v/>
      </c>
      <c r="R5006" s="75" t="str">
        <f>IF(AND($N5006=$Q$7,$B5006&lt;'111'!$L$11),"x","")</f>
        <v/>
      </c>
      <c r="S5006" s="75" t="str">
        <f>IF(AND($O5006=$Q$7,$B5006&lt;'111'!$L$11),"x","")</f>
        <v>x</v>
      </c>
      <c r="T5006" s="75" t="str">
        <f>IF(ISERROR(FIND('112'!$M$9,G5006,1)),"",IF((AND(FIND('112'!$M$9,G5006,1)&gt;=1,B5006='112'!$K$9,OR($N5006='112'!$I$6,$O5006='112'!$I$6))),"x",""))</f>
        <v/>
      </c>
      <c r="U5006" s="75" t="str">
        <f>IF(ISERROR(FIND('112'!$M$9,G5006,1)),"",IF((AND(LEFT(G5006,2)=LEFT('112'!$M$9,2),B5006&lt;'112'!$K$9,$N5006='112'!$I$6)),"x",""))</f>
        <v/>
      </c>
      <c r="V5006" s="75" t="str">
        <f>IF(ISERROR(FIND('112'!$M$9,G5006,1)),"",IF((AND(RIGHT(G5006,2)=RIGHT('112'!$M$9,2),B5006&lt;'112'!$K$9,$O5006='112'!$I$6)),"x",""))</f>
        <v/>
      </c>
      <c r="W5006" s="75" t="str">
        <f>IF(AND('341-CT'!$H$9=H5006,OR(LEFT(N5006,3)=$W$7,LEFT(O5006,3)=$W$7)),"x","")</f>
        <v/>
      </c>
      <c r="X5006" s="75" t="str">
        <f>IF(OR(TH!N3939=TH!$X$7,O5006=TH!$X$7),"x","")</f>
        <v/>
      </c>
      <c r="Y5006" s="75" t="str">
        <f>IF(AND(OR(N5006="131",O5006="131"),H5006='131-CT'!$H$9),"x","")</f>
        <v/>
      </c>
      <c r="Z5006" s="75"/>
      <c r="AA5006" s="75" t="str">
        <f>IF(AND(MONTH(E5006)='IN-NX'!$J$5,'IN-NX'!$D$7=D5006),"x","")</f>
        <v/>
      </c>
      <c r="AB5006" s="75" t="str">
        <f>IF(AND(OR(LEFT(TH!N3939,2)="15",LEFT(TH!O3939,2)="15"),LEFT(TH!O3939,3)&lt;&gt;"111",'152-CT'!$J$8=TH!F3939),"x","")</f>
        <v/>
      </c>
      <c r="AC5006" s="75" t="str">
        <f>IF(AND(OR(LEFT(TH!N3939,2)="15",LEFT(TH!O3939,2)="15"),TK!$E$7=TH!F3939),"x","")</f>
        <v/>
      </c>
      <c r="AD5006" s="75" t="str">
        <f>IF(AND(N5006="1521",MONTH(C5006)='BK-NL'!$M$11),"x","")</f>
        <v/>
      </c>
      <c r="AE5006">
        <v>10</v>
      </c>
    </row>
    <row r="5007" spans="1:33" ht="16.5" customHeight="1">
      <c r="A5007" s="309" t="str">
        <f>IF(B5007&lt;&gt;"",IF(AND(B5007='IN-TC'!$S$4,OR(TH!N4995="1111",TH!O4995="1111")),TH!D4995,""),"")</f>
        <v/>
      </c>
      <c r="B5007" s="1242">
        <f t="shared" si="1340"/>
        <v>9</v>
      </c>
      <c r="C5007" s="292">
        <f t="shared" si="1341"/>
        <v>43008</v>
      </c>
      <c r="D5007" s="292"/>
      <c r="E5007" s="292">
        <v>43008</v>
      </c>
      <c r="F5007" s="67" t="s">
        <v>1029</v>
      </c>
      <c r="G5007" s="925"/>
      <c r="H5007" s="294" t="s">
        <v>948</v>
      </c>
      <c r="I5007" s="373"/>
      <c r="J5007" s="926"/>
      <c r="K5007" s="373"/>
      <c r="L5007" s="379"/>
      <c r="M5007" s="927">
        <v>3709091</v>
      </c>
      <c r="N5007" s="295" t="s">
        <v>539</v>
      </c>
      <c r="O5007" s="295" t="s">
        <v>63</v>
      </c>
      <c r="P5007" s="75" t="str">
        <f>IF(AND('331-CT'!$E$7=TH!H3940,OR(N5007="331",O5007="331")),"x","")</f>
        <v/>
      </c>
      <c r="Q5007" s="75" t="str">
        <f>IF(AND(B5007='111'!$L$11,OR($N5007=$Q$7,$O5007=$Q$7)),"x","")</f>
        <v/>
      </c>
      <c r="R5007" s="75" t="str">
        <f>IF(AND($N5007=$Q$7,$B5007&lt;'111'!$L$11),"x","")</f>
        <v/>
      </c>
      <c r="S5007" s="75" t="str">
        <f>IF(AND($O5007=$Q$7,$B5007&lt;'111'!$L$11),"x","")</f>
        <v>x</v>
      </c>
      <c r="T5007" s="75" t="str">
        <f>IF(ISERROR(FIND('112'!$M$9,G5007,1)),"",IF((AND(FIND('112'!$M$9,G5007,1)&gt;=1,B5007='112'!$K$9,OR($N5007='112'!$I$6,$O5007='112'!$I$6))),"x",""))</f>
        <v/>
      </c>
      <c r="U5007" s="75" t="str">
        <f>IF(ISERROR(FIND('112'!$M$9,G5007,1)),"",IF((AND(LEFT(G5007,2)=LEFT('112'!$M$9,2),B5007&lt;'112'!$K$9,$N5007='112'!$I$6)),"x",""))</f>
        <v/>
      </c>
      <c r="V5007" s="75" t="str">
        <f>IF(ISERROR(FIND('112'!$M$9,G5007,1)),"",IF((AND(RIGHT(G5007,2)=RIGHT('112'!$M$9,2),B5007&lt;'112'!$K$9,$O5007='112'!$I$6)),"x",""))</f>
        <v/>
      </c>
      <c r="W5007" s="75" t="str">
        <f>IF(AND('341-CT'!$H$9=H5007,OR(LEFT(N5007,3)=$W$7,LEFT(O5007,3)=$W$7)),"x","")</f>
        <v/>
      </c>
      <c r="X5007" s="75" t="str">
        <f>IF(OR(TH!N3940=TH!$X$7,O5007=TH!$X$7),"x","")</f>
        <v/>
      </c>
      <c r="Y5007" s="75" t="str">
        <f>IF(AND(OR(N5007="131",O5007="131"),H5007='131-CT'!$H$9),"x","")</f>
        <v/>
      </c>
      <c r="Z5007" s="75"/>
      <c r="AA5007" s="75" t="str">
        <f>IF(AND(MONTH(E5007)='IN-NX'!$J$5,'IN-NX'!$D$7=D5007),"x","")</f>
        <v/>
      </c>
      <c r="AB5007" s="75" t="str">
        <f>IF(AND(OR(LEFT(TH!N3940,2)="15",LEFT(TH!O3940,2)="15"),LEFT(TH!O3940,3)&lt;&gt;"111",'152-CT'!$J$8=TH!F3940),"x","")</f>
        <v/>
      </c>
      <c r="AC5007" s="75" t="str">
        <f>IF(AND(OR(LEFT(TH!N3940,2)="15",LEFT(TH!O3940,2)="15"),TK!$E$7=TH!F3940),"x","")</f>
        <v/>
      </c>
      <c r="AD5007" s="75" t="str">
        <f>IF(AND(N5007="1521",MONTH(C5007)='BK-NL'!$M$11),"x","")</f>
        <v/>
      </c>
      <c r="AE5007">
        <v>10</v>
      </c>
    </row>
    <row r="5008" spans="1:33" ht="16.5" customHeight="1">
      <c r="A5008" s="309" t="str">
        <f>IF(B5008&lt;&gt;"",IF(AND(B5008='IN-TC'!$S$4,OR(TH!N4996="1111",TH!O4996="1111")),TH!D4996,""),"")</f>
        <v/>
      </c>
      <c r="B5008" s="1242">
        <f t="shared" si="1340"/>
        <v>9</v>
      </c>
      <c r="C5008" s="292">
        <f t="shared" si="1341"/>
        <v>43008</v>
      </c>
      <c r="D5008" s="292"/>
      <c r="E5008" s="292">
        <v>43008</v>
      </c>
      <c r="F5008" s="67" t="s">
        <v>1030</v>
      </c>
      <c r="G5008" s="925"/>
      <c r="H5008" s="294" t="s">
        <v>948</v>
      </c>
      <c r="I5008" s="373"/>
      <c r="J5008" s="926"/>
      <c r="K5008" s="373"/>
      <c r="L5008" s="379"/>
      <c r="M5008" s="927">
        <v>370909</v>
      </c>
      <c r="N5008" s="295" t="s">
        <v>9</v>
      </c>
      <c r="O5008" s="295" t="s">
        <v>63</v>
      </c>
      <c r="P5008" s="75" t="str">
        <f>IF(AND('331-CT'!$E$7=TH!H3941,OR(N5008="331",O5008="331")),"x","")</f>
        <v/>
      </c>
      <c r="Q5008" s="75" t="str">
        <f>IF(AND(B5008='111'!$L$11,OR($N5008=$Q$7,$O5008=$Q$7)),"x","")</f>
        <v/>
      </c>
      <c r="R5008" s="75" t="str">
        <f>IF(AND($N5008=$Q$7,$B5008&lt;'111'!$L$11),"x","")</f>
        <v/>
      </c>
      <c r="S5008" s="75" t="str">
        <f>IF(AND($O5008=$Q$7,$B5008&lt;'111'!$L$11),"x","")</f>
        <v>x</v>
      </c>
      <c r="T5008" s="75" t="str">
        <f>IF(ISERROR(FIND('112'!$M$9,G5008,1)),"",IF((AND(FIND('112'!$M$9,G5008,1)&gt;=1,B5008='112'!$K$9,OR($N5008='112'!$I$6,$O5008='112'!$I$6))),"x",""))</f>
        <v/>
      </c>
      <c r="U5008" s="75" t="str">
        <f>IF(ISERROR(FIND('112'!$M$9,G5008,1)),"",IF((AND(LEFT(G5008,2)=LEFT('112'!$M$9,2),B5008&lt;'112'!$K$9,$N5008='112'!$I$6)),"x",""))</f>
        <v/>
      </c>
      <c r="V5008" s="75" t="str">
        <f>IF(ISERROR(FIND('112'!$M$9,G5008,1)),"",IF((AND(RIGHT(G5008,2)=RIGHT('112'!$M$9,2),B5008&lt;'112'!$K$9,$O5008='112'!$I$6)),"x",""))</f>
        <v/>
      </c>
      <c r="W5008" s="75" t="str">
        <f>IF(AND('341-CT'!$H$9=H5008,OR(LEFT(N5008,3)=$W$7,LEFT(O5008,3)=$W$7)),"x","")</f>
        <v/>
      </c>
      <c r="X5008" s="75" t="str">
        <f>IF(OR(TH!N3941=TH!$X$7,O5008=TH!$X$7),"x","")</f>
        <v/>
      </c>
      <c r="Y5008" s="75" t="str">
        <f>IF(AND(OR(N5008="131",O5008="131"),H5008='131-CT'!$H$9),"x","")</f>
        <v/>
      </c>
      <c r="Z5008" s="75"/>
      <c r="AA5008" s="75" t="str">
        <f>IF(AND(MONTH(E5008)='IN-NX'!$J$5,'IN-NX'!$D$7=D5008),"x","")</f>
        <v/>
      </c>
      <c r="AB5008" s="75" t="str">
        <f>IF(AND(OR(LEFT(TH!N3941,2)="15",LEFT(TH!O3941,2)="15"),LEFT(TH!O3941,3)&lt;&gt;"111",'152-CT'!$J$8=TH!F3941),"x","")</f>
        <v/>
      </c>
      <c r="AC5008" s="75" t="str">
        <f>IF(AND(OR(LEFT(TH!N3941,2)="15",LEFT(TH!O3941,2)="15"),TK!$E$7=TH!F3941),"x","")</f>
        <v/>
      </c>
      <c r="AD5008" s="75" t="str">
        <f>IF(AND(N5008="1521",MONTH(C5008)='BK-NL'!$M$11),"x","")</f>
        <v/>
      </c>
      <c r="AE5008">
        <v>10</v>
      </c>
    </row>
    <row r="5009" spans="1:33" ht="16.5" customHeight="1">
      <c r="A5009" s="309" t="str">
        <f>IF(B5009&lt;&gt;"",IF(AND(B5009='IN-TC'!$S$4,OR(TH!N4997="1111",TH!O4997="1111")),TH!D4997,""),"")</f>
        <v/>
      </c>
      <c r="B5009" s="1242">
        <f t="shared" si="1340"/>
        <v>9</v>
      </c>
      <c r="C5009" s="292">
        <f t="shared" si="1341"/>
        <v>43008</v>
      </c>
      <c r="D5009" s="292"/>
      <c r="E5009" s="292">
        <v>43008</v>
      </c>
      <c r="F5009" s="67" t="s">
        <v>2237</v>
      </c>
      <c r="G5009" s="925"/>
      <c r="H5009" s="294" t="s">
        <v>978</v>
      </c>
      <c r="I5009" s="373"/>
      <c r="J5009" s="926"/>
      <c r="K5009" s="373"/>
      <c r="L5009" s="379"/>
      <c r="M5009" s="927">
        <v>2337273</v>
      </c>
      <c r="N5009" s="295" t="s">
        <v>101</v>
      </c>
      <c r="O5009" s="295" t="s">
        <v>63</v>
      </c>
      <c r="P5009" s="75" t="str">
        <f>IF(AND('331-CT'!$E$7=TH!H3942,OR(N5009="331",O5009="331")),"x","")</f>
        <v/>
      </c>
      <c r="Q5009" s="75" t="str">
        <f>IF(AND(B5009='111'!$L$11,OR($N5009=$Q$7,$O5009=$Q$7)),"x","")</f>
        <v/>
      </c>
      <c r="R5009" s="75" t="str">
        <f>IF(AND($N5009=$Q$7,$B5009&lt;'111'!$L$11),"x","")</f>
        <v/>
      </c>
      <c r="S5009" s="75" t="str">
        <f>IF(AND($O5009=$Q$7,$B5009&lt;'111'!$L$11),"x","")</f>
        <v>x</v>
      </c>
      <c r="T5009" s="75" t="str">
        <f>IF(ISERROR(FIND('112'!$M$9,G5009,1)),"",IF((AND(FIND('112'!$M$9,G5009,1)&gt;=1,B5009='112'!$K$9,OR($N5009='112'!$I$6,$O5009='112'!$I$6))),"x",""))</f>
        <v/>
      </c>
      <c r="U5009" s="75" t="str">
        <f>IF(ISERROR(FIND('112'!$M$9,G5009,1)),"",IF((AND(LEFT(G5009,2)=LEFT('112'!$M$9,2),B5009&lt;'112'!$K$9,$N5009='112'!$I$6)),"x",""))</f>
        <v/>
      </c>
      <c r="V5009" s="75" t="str">
        <f>IF(ISERROR(FIND('112'!$M$9,G5009,1)),"",IF((AND(RIGHT(G5009,2)=RIGHT('112'!$M$9,2),B5009&lt;'112'!$K$9,$O5009='112'!$I$6)),"x",""))</f>
        <v/>
      </c>
      <c r="W5009" s="75" t="str">
        <f>IF(AND('341-CT'!$H$9=H5009,OR(LEFT(N5009,3)=$W$7,LEFT(O5009,3)=$W$7)),"x","")</f>
        <v/>
      </c>
      <c r="X5009" s="75" t="str">
        <f>IF(OR(TH!N3942=TH!$X$7,O5009=TH!$X$7),"x","")</f>
        <v/>
      </c>
      <c r="Y5009" s="75" t="str">
        <f>IF(AND(OR(N5009="131",O5009="131"),H5009='131-CT'!$H$9),"x","")</f>
        <v/>
      </c>
      <c r="Z5009" s="75"/>
      <c r="AA5009" s="75" t="str">
        <f>IF(AND(MONTH(E5009)='IN-NX'!$J$5,'IN-NX'!$D$7=D5009),"x","")</f>
        <v/>
      </c>
      <c r="AB5009" s="75" t="str">
        <f>IF(AND(OR(LEFT(TH!N3942,2)="15",LEFT(TH!O3942,2)="15"),LEFT(TH!O3942,3)&lt;&gt;"111",'152-CT'!$J$8=TH!F3942),"x","")</f>
        <v/>
      </c>
      <c r="AC5009" s="75" t="str">
        <f>IF(AND(OR(LEFT(TH!N3942,2)="15",LEFT(TH!O3942,2)="15"),TK!$E$7=TH!F3942),"x","")</f>
        <v/>
      </c>
      <c r="AD5009" s="75" t="str">
        <f>IF(AND(N5009="1521",MONTH(C5009)='BK-NL'!$M$11),"x","")</f>
        <v/>
      </c>
      <c r="AE5009">
        <v>9</v>
      </c>
    </row>
    <row r="5010" spans="1:33" ht="16.5" customHeight="1">
      <c r="A5010" s="309" t="str">
        <f>IF(B5010&lt;&gt;"",IF(AND(B5010='IN-TC'!$S$4,OR(TH!N4998="1111",TH!O4998="1111")),TH!D4998,""),"")</f>
        <v/>
      </c>
      <c r="B5010" s="1242">
        <f t="shared" si="1340"/>
        <v>9</v>
      </c>
      <c r="C5010" s="292">
        <f t="shared" si="1341"/>
        <v>43008</v>
      </c>
      <c r="D5010" s="292"/>
      <c r="E5010" s="292">
        <v>43008</v>
      </c>
      <c r="F5010" s="67" t="s">
        <v>2238</v>
      </c>
      <c r="G5010" s="925"/>
      <c r="H5010" s="294" t="s">
        <v>978</v>
      </c>
      <c r="I5010" s="373"/>
      <c r="J5010" s="926"/>
      <c r="K5010" s="373"/>
      <c r="L5010" s="379"/>
      <c r="M5010" s="927">
        <v>233727</v>
      </c>
      <c r="N5010" s="295" t="s">
        <v>9</v>
      </c>
      <c r="O5010" s="295" t="s">
        <v>63</v>
      </c>
      <c r="P5010" s="75" t="str">
        <f>IF(AND('331-CT'!$E$7=TH!H3943,OR(N5010="331",O5010="331")),"x","")</f>
        <v/>
      </c>
      <c r="Q5010" s="75" t="str">
        <f>IF(AND(B5010='111'!$L$11,OR($N5010=$Q$7,$O5010=$Q$7)),"x","")</f>
        <v/>
      </c>
      <c r="R5010" s="75" t="str">
        <f>IF(AND($N5010=$Q$7,$B5010&lt;'111'!$L$11),"x","")</f>
        <v/>
      </c>
      <c r="S5010" s="75" t="str">
        <f>IF(AND($O5010=$Q$7,$B5010&lt;'111'!$L$11),"x","")</f>
        <v>x</v>
      </c>
      <c r="T5010" s="75" t="str">
        <f>IF(ISERROR(FIND('112'!$M$9,G5010,1)),"",IF((AND(FIND('112'!$M$9,G5010,1)&gt;=1,B5010='112'!$K$9,OR($N5010='112'!$I$6,$O5010='112'!$I$6))),"x",""))</f>
        <v/>
      </c>
      <c r="U5010" s="75" t="str">
        <f>IF(ISERROR(FIND('112'!$M$9,G5010,1)),"",IF((AND(LEFT(G5010,2)=LEFT('112'!$M$9,2),B5010&lt;'112'!$K$9,$N5010='112'!$I$6)),"x",""))</f>
        <v/>
      </c>
      <c r="V5010" s="75" t="str">
        <f>IF(ISERROR(FIND('112'!$M$9,G5010,1)),"",IF((AND(RIGHT(G5010,2)=RIGHT('112'!$M$9,2),B5010&lt;'112'!$K$9,$O5010='112'!$I$6)),"x",""))</f>
        <v/>
      </c>
      <c r="W5010" s="75" t="str">
        <f>IF(AND('341-CT'!$H$9=H5010,OR(LEFT(N5010,3)=$W$7,LEFT(O5010,3)=$W$7)),"x","")</f>
        <v/>
      </c>
      <c r="X5010" s="75" t="str">
        <f>IF(OR(TH!N3943=TH!$X$7,O5010=TH!$X$7),"x","")</f>
        <v/>
      </c>
      <c r="Y5010" s="75" t="str">
        <f>IF(AND(OR(N5010="131",O5010="131"),H5010='131-CT'!$H$9),"x","")</f>
        <v/>
      </c>
      <c r="Z5010" s="75"/>
      <c r="AA5010" s="75" t="str">
        <f>IF(AND(MONTH(E5010)='IN-NX'!$J$5,'IN-NX'!$D$7=D5010),"x","")</f>
        <v/>
      </c>
      <c r="AB5010" s="75" t="str">
        <f>IF(AND(OR(LEFT(TH!N3943,2)="15",LEFT(TH!O3943,2)="15"),LEFT(TH!O3943,3)&lt;&gt;"111",'152-CT'!$J$8=TH!F3943),"x","")</f>
        <v/>
      </c>
      <c r="AC5010" s="75" t="str">
        <f>IF(AND(OR(LEFT(TH!N3943,2)="15",LEFT(TH!O3943,2)="15"),TK!$E$7=TH!F3943),"x","")</f>
        <v/>
      </c>
      <c r="AD5010" s="75" t="str">
        <f>IF(AND(N5010="1521",MONTH(C5010)='BK-NL'!$M$11),"x","")</f>
        <v/>
      </c>
      <c r="AE5010">
        <v>9</v>
      </c>
    </row>
    <row r="5011" spans="1:33" ht="16.5" customHeight="1">
      <c r="A5011" s="309" t="str">
        <f>IF(B5011&lt;&gt;"",IF(AND(B5011='IN-TC'!$S$4,OR(TH!N4999="1111",TH!O4999="1111")),TH!D4999,""),"")</f>
        <v/>
      </c>
      <c r="B5011" s="1242">
        <f t="shared" ref="B5011:B5074" si="1342">IF(C5011&lt;&gt;"",MONTH(C5011),"")</f>
        <v>9</v>
      </c>
      <c r="C5011" s="292">
        <f t="shared" si="1341"/>
        <v>43008</v>
      </c>
      <c r="D5011" s="947"/>
      <c r="E5011" s="947">
        <v>43008</v>
      </c>
      <c r="F5011" s="80" t="s">
        <v>2239</v>
      </c>
      <c r="G5011" s="952"/>
      <c r="H5011" s="937" t="s">
        <v>980</v>
      </c>
      <c r="I5011" s="939"/>
      <c r="J5011" s="949"/>
      <c r="K5011" s="939"/>
      <c r="L5011" s="938"/>
      <c r="M5011" s="940">
        <v>101901765</v>
      </c>
      <c r="N5011" s="950" t="s">
        <v>540</v>
      </c>
      <c r="O5011" s="950" t="s">
        <v>63</v>
      </c>
      <c r="P5011" s="75" t="str">
        <f>IF(AND('331-CT'!$E$7=TH!H3944,OR(N5011="331",O5011="331")),"x","")</f>
        <v/>
      </c>
      <c r="Q5011" s="75" t="str">
        <f>IF(AND(B5011='111'!$L$11,OR($N5011=$Q$7,$O5011=$Q$7)),"x","")</f>
        <v/>
      </c>
      <c r="R5011" s="75" t="str">
        <f>IF(AND($N5011=$Q$7,$B5011&lt;'111'!$L$11),"x","")</f>
        <v/>
      </c>
      <c r="S5011" s="75" t="str">
        <f>IF(AND($O5011=$Q$7,$B5011&lt;'111'!$L$11),"x","")</f>
        <v>x</v>
      </c>
      <c r="T5011" s="75" t="str">
        <f>IF(ISERROR(FIND('112'!$M$9,G5011,1)),"",IF((AND(FIND('112'!$M$9,G5011,1)&gt;=1,B5011='112'!$K$9,OR($N5011='112'!$I$6,$O5011='112'!$I$6))),"x",""))</f>
        <v/>
      </c>
      <c r="U5011" s="75" t="str">
        <f>IF(ISERROR(FIND('112'!$M$9,G5011,1)),"",IF((AND(LEFT(G5011,2)=LEFT('112'!$M$9,2),B5011&lt;'112'!$K$9,$N5011='112'!$I$6)),"x",""))</f>
        <v/>
      </c>
      <c r="V5011" s="75" t="str">
        <f>IF(ISERROR(FIND('112'!$M$9,G5011,1)),"",IF((AND(RIGHT(G5011,2)=RIGHT('112'!$M$9,2),B5011&lt;'112'!$K$9,$O5011='112'!$I$6)),"x",""))</f>
        <v/>
      </c>
      <c r="W5011" s="75" t="str">
        <f>IF(AND('341-CT'!$H$9=H5011,OR(LEFT(N5011,3)=$W$7,LEFT(O5011,3)=$W$7)),"x","")</f>
        <v/>
      </c>
      <c r="X5011" s="75" t="str">
        <f>IF(OR(TH!N3944=TH!$X$7,O5011=TH!$X$7),"x","")</f>
        <v/>
      </c>
      <c r="Y5011" s="75" t="str">
        <f>IF(AND(OR(N5011="131",O5011="131"),H5011='131-CT'!$H$9),"x","")</f>
        <v/>
      </c>
      <c r="Z5011" s="75"/>
      <c r="AA5011" s="75" t="str">
        <f>IF(AND(MONTH(E5011)='IN-NX'!$J$5,'IN-NX'!$D$7=D5011),"x","")</f>
        <v/>
      </c>
      <c r="AB5011" s="75" t="str">
        <f>IF(AND(OR(LEFT(TH!N3944,2)="15",LEFT(TH!O3944,2)="15"),LEFT(TH!O3944,3)&lt;&gt;"111",'152-CT'!$J$8=TH!F3944),"x","")</f>
        <v/>
      </c>
      <c r="AC5011" s="75" t="str">
        <f>IF(AND(OR(LEFT(TH!N3944,2)="15",LEFT(TH!O3944,2)="15"),TK!$E$7=TH!F3944),"x","")</f>
        <v/>
      </c>
      <c r="AD5011" s="75" t="str">
        <f>IF(AND(N5011="1521",MONTH(C5011)='BK-NL'!$M$11),"x","")</f>
        <v/>
      </c>
    </row>
    <row r="5012" spans="1:33" s="1053" customFormat="1" ht="16.5" customHeight="1">
      <c r="A5012" s="309" t="str">
        <f>IF(B5012&lt;&gt;"",IF(AND(B5012='IN-TC'!$S$4,OR(TH!N5000="1111",TH!O5000="1111")),TH!D5000,""),"")</f>
        <v/>
      </c>
      <c r="B5012" s="1242">
        <f t="shared" si="1342"/>
        <v>9</v>
      </c>
      <c r="C5012" s="292">
        <f t="shared" si="1341"/>
        <v>43008</v>
      </c>
      <c r="D5012" s="59" t="s">
        <v>903</v>
      </c>
      <c r="E5012" s="59">
        <v>43008</v>
      </c>
      <c r="F5012" s="67" t="s">
        <v>914</v>
      </c>
      <c r="G5012" s="62" t="s">
        <v>1713</v>
      </c>
      <c r="H5012" s="67" t="s">
        <v>1771</v>
      </c>
      <c r="I5012" s="375"/>
      <c r="J5012" s="382"/>
      <c r="K5012" s="375"/>
      <c r="L5012" s="381"/>
      <c r="M5012" s="60">
        <v>236743</v>
      </c>
      <c r="N5012" s="61" t="s">
        <v>26</v>
      </c>
      <c r="O5012" s="295" t="s">
        <v>43</v>
      </c>
      <c r="P5012" s="75" t="str">
        <f>IF(AND('331-CT'!$E$7=TH!H4506,OR(N5012="331",O5012="331")),"x","")</f>
        <v/>
      </c>
      <c r="Q5012" s="75" t="str">
        <f>IF(AND(B5012='111'!$L$11,OR($N5012=$Q$7,$O5012=$Q$7)),"x","")</f>
        <v/>
      </c>
      <c r="R5012" s="75" t="str">
        <f>IF(AND($N5012=$Q$7,$B5012&lt;'111'!$L$11),"x","")</f>
        <v/>
      </c>
      <c r="S5012" s="75" t="str">
        <f>IF(AND($O5012=$Q$7,$B5012&lt;'111'!$L$11),"x","")</f>
        <v/>
      </c>
      <c r="T5012" s="75" t="str">
        <f>IF(ISERROR(FIND('112'!$M$9,G5012,1)),"",IF((AND(FIND('112'!$M$9,G5012,1)&gt;=1,B5012='112'!$K$9,OR($N5012='112'!$I$6,$O5012='112'!$I$6))),"x",""))</f>
        <v/>
      </c>
      <c r="U5012" s="75" t="str">
        <f>IF(ISERROR(FIND('112'!$M$9,G5012,1)),"",IF((AND(LEFT(G5012,2)=LEFT('112'!$M$9,2),B5012&lt;'112'!$K$9,$N5012='112'!$I$6)),"x",""))</f>
        <v/>
      </c>
      <c r="V5012" s="75" t="str">
        <f>IF(ISERROR(FIND('112'!$M$9,G5012,1)),"",IF((AND(RIGHT(G5012,2)=RIGHT('112'!$M$9,2),B5012&lt;'112'!$K$9,$O5012='112'!$I$6)),"x",""))</f>
        <v/>
      </c>
      <c r="W5012" s="75" t="str">
        <f>IF(AND('341-CT'!$H$9=H5012,OR(LEFT(N5012,3)=$W$7,LEFT(O5012,3)=$W$7)),"x","")</f>
        <v/>
      </c>
      <c r="X5012" s="75" t="str">
        <f>IF(OR(TH!N4506=TH!$X$7,O5012=TH!$X$7),"x","")</f>
        <v/>
      </c>
      <c r="Y5012" s="75" t="str">
        <f>IF(AND(OR(N5012="131",O5012="131"),H5012='131-CT'!$H$9),"x","")</f>
        <v/>
      </c>
      <c r="Z5012" s="75"/>
      <c r="AA5012" s="75" t="str">
        <f>IF(AND(MONTH(E5012)='IN-NX'!$J$5,'IN-NX'!$D$7=D5012),"x","")</f>
        <v/>
      </c>
      <c r="AB5012" s="75" t="str">
        <f>IF(AND(OR(LEFT(TH!N4506,2)="15",LEFT(TH!O4506,2)="15"),LEFT(TH!O4506,3)&lt;&gt;"111",'152-CT'!$J$8=TH!F4506),"x","")</f>
        <v/>
      </c>
      <c r="AC5012" s="75" t="str">
        <f>IF(AND(OR(LEFT(TH!N4506,2)="15",LEFT(TH!O4506,2)="15"),TK!$E$7=TH!F4506),"x","")</f>
        <v/>
      </c>
      <c r="AD5012" s="75" t="str">
        <f>IF(AND(N5012="1521",MONTH(C5012)='BK-NL'!$M$11),"x","")</f>
        <v/>
      </c>
    </row>
    <row r="5013" spans="1:33" ht="16.5" customHeight="1">
      <c r="A5013" s="309" t="str">
        <f>IF(B5013&lt;&gt;"",IF(AND(B5013='IN-TC'!$S$4,OR(TH!N5001="1111",TH!O5001="1111")),TH!D5001,""),"")</f>
        <v/>
      </c>
      <c r="B5013" s="1244">
        <f t="shared" si="1342"/>
        <v>10</v>
      </c>
      <c r="C5013" s="292">
        <f t="shared" si="1341"/>
        <v>43009</v>
      </c>
      <c r="D5013" s="292"/>
      <c r="E5013" s="292">
        <v>43009</v>
      </c>
      <c r="F5013" s="67" t="s">
        <v>1165</v>
      </c>
      <c r="G5013" s="925" t="s">
        <v>2303</v>
      </c>
      <c r="H5013" s="294" t="s">
        <v>1684</v>
      </c>
      <c r="I5013" s="373"/>
      <c r="J5013" s="926"/>
      <c r="K5013" s="373"/>
      <c r="L5013" s="379"/>
      <c r="M5013" s="927">
        <v>19762050</v>
      </c>
      <c r="N5013" s="295" t="s">
        <v>8</v>
      </c>
      <c r="O5013" s="295" t="s">
        <v>63</v>
      </c>
      <c r="P5013" s="75" t="str">
        <f>IF(AND('331-CT'!$E$7=TH!H3945,OR(N5013="331",O5013="331")),"x","")</f>
        <v/>
      </c>
      <c r="Q5013" s="75" t="str">
        <f>IF(AND(B5013='111'!$L$11,OR($N5013=$Q$7,$O5013=$Q$7)),"x","")</f>
        <v/>
      </c>
      <c r="R5013" s="75" t="str">
        <f>IF(AND($N5013=$Q$7,$B5013&lt;'111'!$L$11),"x","")</f>
        <v/>
      </c>
      <c r="S5013" s="75" t="str">
        <f>IF(AND($O5013=$Q$7,$B5013&lt;'111'!$L$11),"x","")</f>
        <v>x</v>
      </c>
      <c r="T5013" s="75" t="str">
        <f>IF(ISERROR(FIND('112'!$M$9,G5013,1)),"",IF((AND(FIND('112'!$M$9,G5013,1)&gt;=1,B5013='112'!$K$9,OR($N5013='112'!$I$6,$O5013='112'!$I$6))),"x",""))</f>
        <v/>
      </c>
      <c r="U5013" s="75" t="str">
        <f>IF(ISERROR(FIND('112'!$M$9,G5013,1)),"",IF((AND(LEFT(G5013,2)=LEFT('112'!$M$9,2),B5013&lt;'112'!$K$9,$N5013='112'!$I$6)),"x",""))</f>
        <v/>
      </c>
      <c r="V5013" s="75" t="str">
        <f>IF(ISERROR(FIND('112'!$M$9,G5013,1)),"",IF((AND(RIGHT(G5013,2)=RIGHT('112'!$M$9,2),B5013&lt;'112'!$K$9,$O5013='112'!$I$6)),"x",""))</f>
        <v/>
      </c>
      <c r="W5013" s="75" t="str">
        <f>IF(AND('341-CT'!$H$9=H5013,OR(LEFT(N5013,3)=$W$7,LEFT(O5013,3)=$W$7)),"x","")</f>
        <v/>
      </c>
      <c r="X5013" s="75" t="str">
        <f>IF(OR(TH!N3945=TH!$X$7,O5013=TH!$X$7),"x","")</f>
        <v/>
      </c>
      <c r="Y5013" s="75" t="str">
        <f>IF(AND(OR(N5013="131",O5013="131"),H5013='131-CT'!$H$9),"x","")</f>
        <v/>
      </c>
      <c r="Z5013" s="75"/>
      <c r="AA5013" s="75" t="str">
        <f>IF(AND(MONTH(E5013)='IN-NX'!$J$5,'IN-NX'!$D$7=D5013),"x","")</f>
        <v/>
      </c>
      <c r="AB5013" s="75" t="str">
        <f>IF(AND(OR(LEFT(TH!N3945,2)="15",LEFT(TH!O3945,2)="15"),LEFT(TH!O3945,3)&lt;&gt;"111",'152-CT'!$J$8=TH!F3945),"x","")</f>
        <v/>
      </c>
      <c r="AC5013" s="75" t="str">
        <f>IF(AND(OR(LEFT(TH!N3945,2)="15",LEFT(TH!O3945,2)="15"),TK!$E$7=TH!F3945),"x","")</f>
        <v/>
      </c>
      <c r="AD5013" s="75" t="str">
        <f>IF(AND(N5013="1521",MONTH(C5013)='BK-NL'!$M$11),"x","")</f>
        <v/>
      </c>
    </row>
    <row r="5014" spans="1:33" ht="16.5" customHeight="1">
      <c r="A5014" s="309" t="str">
        <f>IF(B5014&lt;&gt;"",IF(AND(B5014='IN-TC'!$S$4,OR(TH!N5002="1111",TH!O5002="1111")),TH!D5002,""),"")</f>
        <v/>
      </c>
      <c r="B5014" s="1244">
        <f t="shared" si="1342"/>
        <v>10</v>
      </c>
      <c r="C5014" s="292">
        <f t="shared" si="1341"/>
        <v>43009</v>
      </c>
      <c r="D5014" s="292"/>
      <c r="E5014" s="292">
        <v>43009</v>
      </c>
      <c r="F5014" s="67" t="s">
        <v>1328</v>
      </c>
      <c r="G5014" s="925" t="s">
        <v>2569</v>
      </c>
      <c r="H5014" s="294" t="s">
        <v>948</v>
      </c>
      <c r="I5014" s="373"/>
      <c r="J5014" s="926"/>
      <c r="K5014" s="373"/>
      <c r="L5014" s="379"/>
      <c r="M5014" s="927">
        <v>409091</v>
      </c>
      <c r="N5014" s="295" t="s">
        <v>539</v>
      </c>
      <c r="O5014" s="295" t="s">
        <v>63</v>
      </c>
      <c r="P5014" s="75" t="str">
        <f>IF(AND('331-CT'!$E$7=TH!H3946,OR(N5014="331",O5014="331")),"x","")</f>
        <v/>
      </c>
      <c r="Q5014" s="75" t="str">
        <f>IF(AND(B5014='111'!$L$11,OR($N5014=$Q$7,$O5014=$Q$7)),"x","")</f>
        <v/>
      </c>
      <c r="R5014" s="75" t="str">
        <f>IF(AND($N5014=$Q$7,$B5014&lt;'111'!$L$11),"x","")</f>
        <v/>
      </c>
      <c r="S5014" s="75" t="str">
        <f>IF(AND($O5014=$Q$7,$B5014&lt;'111'!$L$11),"x","")</f>
        <v>x</v>
      </c>
      <c r="T5014" s="75" t="str">
        <f>IF(ISERROR(FIND('112'!$M$9,G5014,1)),"",IF((AND(FIND('112'!$M$9,G5014,1)&gt;=1,B5014='112'!$K$9,OR($N5014='112'!$I$6,$O5014='112'!$I$6))),"x",""))</f>
        <v/>
      </c>
      <c r="U5014" s="75" t="str">
        <f>IF(ISERROR(FIND('112'!$M$9,G5014,1)),"",IF((AND(LEFT(G5014,2)=LEFT('112'!$M$9,2),B5014&lt;'112'!$K$9,$N5014='112'!$I$6)),"x",""))</f>
        <v/>
      </c>
      <c r="V5014" s="75" t="str">
        <f>IF(ISERROR(FIND('112'!$M$9,G5014,1)),"",IF((AND(RIGHT(G5014,2)=RIGHT('112'!$M$9,2),B5014&lt;'112'!$K$9,$O5014='112'!$I$6)),"x",""))</f>
        <v/>
      </c>
      <c r="W5014" s="75" t="str">
        <f>IF(AND('341-CT'!$H$9=H5014,OR(LEFT(N5014,3)=$W$7,LEFT(O5014,3)=$W$7)),"x","")</f>
        <v/>
      </c>
      <c r="X5014" s="75" t="str">
        <f>IF(OR(TH!N3946=TH!$X$7,O5014=TH!$X$7),"x","")</f>
        <v/>
      </c>
      <c r="Y5014" s="75" t="str">
        <f>IF(AND(OR(N5014="131",O5014="131"),H5014='131-CT'!$H$9),"x","")</f>
        <v/>
      </c>
      <c r="Z5014" s="75"/>
      <c r="AA5014" s="75" t="str">
        <f>IF(AND(MONTH(E5014)='IN-NX'!$J$5,'IN-NX'!$D$7=D5014),"x","")</f>
        <v/>
      </c>
      <c r="AB5014" s="75" t="str">
        <f>IF(AND(OR(LEFT(TH!N3946,2)="15",LEFT(TH!O3946,2)="15"),LEFT(TH!O3946,3)&lt;&gt;"111",'152-CT'!$J$8=TH!F3946),"x","")</f>
        <v/>
      </c>
      <c r="AC5014" s="75" t="str">
        <f>IF(AND(OR(LEFT(TH!N3946,2)="15",LEFT(TH!O3946,2)="15"),TK!$E$7=TH!F3946),"x","")</f>
        <v/>
      </c>
      <c r="AD5014" s="75" t="str">
        <f>IF(AND(N5014="1521",MONTH(C5014)='BK-NL'!$M$11),"x","")</f>
        <v/>
      </c>
      <c r="AE5014">
        <v>10</v>
      </c>
    </row>
    <row r="5015" spans="1:33" ht="16.5" customHeight="1">
      <c r="A5015" s="309" t="str">
        <f>IF(B5015&lt;&gt;"",IF(AND(B5015='IN-TC'!$S$4,OR(TH!N5003="1111",TH!O5003="1111")),TH!D5003,""),"")</f>
        <v/>
      </c>
      <c r="B5015" s="1244">
        <f t="shared" si="1342"/>
        <v>10</v>
      </c>
      <c r="C5015" s="292">
        <f t="shared" si="1341"/>
        <v>43009</v>
      </c>
      <c r="D5015" s="292"/>
      <c r="E5015" s="292">
        <v>43009</v>
      </c>
      <c r="F5015" s="67" t="s">
        <v>1329</v>
      </c>
      <c r="G5015" s="925" t="s">
        <v>2569</v>
      </c>
      <c r="H5015" s="294" t="s">
        <v>948</v>
      </c>
      <c r="I5015" s="373"/>
      <c r="J5015" s="926"/>
      <c r="K5015" s="373"/>
      <c r="L5015" s="379"/>
      <c r="M5015" s="927">
        <v>40909</v>
      </c>
      <c r="N5015" s="295" t="s">
        <v>9</v>
      </c>
      <c r="O5015" s="295" t="s">
        <v>63</v>
      </c>
      <c r="P5015" s="75" t="str">
        <f>IF(AND('331-CT'!$E$7=TH!H3948,OR(N5015="331",O5015="331")),"x","")</f>
        <v/>
      </c>
      <c r="Q5015" s="75" t="str">
        <f>IF(AND(B5015='111'!$L$11,OR($N5015=$Q$7,$O5015=$Q$7)),"x","")</f>
        <v/>
      </c>
      <c r="R5015" s="75" t="str">
        <f>IF(AND($N5015=$Q$7,$B5015&lt;'111'!$L$11),"x","")</f>
        <v/>
      </c>
      <c r="S5015" s="75" t="str">
        <f>IF(AND($O5015=$Q$7,$B5015&lt;'111'!$L$11),"x","")</f>
        <v>x</v>
      </c>
      <c r="T5015" s="75" t="str">
        <f>IF(ISERROR(FIND('112'!$M$9,G5015,1)),"",IF((AND(FIND('112'!$M$9,G5015,1)&gt;=1,B5015='112'!$K$9,OR($N5015='112'!$I$6,$O5015='112'!$I$6))),"x",""))</f>
        <v/>
      </c>
      <c r="U5015" s="75" t="str">
        <f>IF(ISERROR(FIND('112'!$M$9,G5015,1)),"",IF((AND(LEFT(G5015,2)=LEFT('112'!$M$9,2),B5015&lt;'112'!$K$9,$N5015='112'!$I$6)),"x",""))</f>
        <v/>
      </c>
      <c r="V5015" s="75" t="str">
        <f>IF(ISERROR(FIND('112'!$M$9,G5015,1)),"",IF((AND(RIGHT(G5015,2)=RIGHT('112'!$M$9,2),B5015&lt;'112'!$K$9,$O5015='112'!$I$6)),"x",""))</f>
        <v/>
      </c>
      <c r="W5015" s="75" t="str">
        <f>IF(AND('341-CT'!$H$9=H5015,OR(LEFT(N5015,3)=$W$7,LEFT(O5015,3)=$W$7)),"x","")</f>
        <v/>
      </c>
      <c r="X5015" s="75" t="str">
        <f>IF(OR(TH!N3948=TH!$X$7,O5015=TH!$X$7),"x","")</f>
        <v/>
      </c>
      <c r="Y5015" s="75" t="str">
        <f>IF(AND(OR(N5015="131",O5015="131"),H5015='131-CT'!$H$9),"x","")</f>
        <v/>
      </c>
      <c r="Z5015" s="75"/>
      <c r="AA5015" s="75" t="str">
        <f>IF(AND(MONTH(E5015)='IN-NX'!$J$5,'IN-NX'!$D$7=D5015),"x","")</f>
        <v/>
      </c>
      <c r="AB5015" s="75" t="str">
        <f>IF(AND(OR(LEFT(TH!N3948,2)="15",LEFT(TH!O3948,2)="15"),LEFT(TH!O3948,3)&lt;&gt;"111",'152-CT'!$J$8=TH!F3948),"x","")</f>
        <v/>
      </c>
      <c r="AC5015" s="75" t="str">
        <f>IF(AND(OR(LEFT(TH!N3948,2)="15",LEFT(TH!O3948,2)="15"),TK!$E$7=TH!F3948),"x","")</f>
        <v/>
      </c>
      <c r="AD5015" s="75" t="str">
        <f>IF(AND(N5015="1521",MONTH(C5015)='BK-NL'!$M$11),"x","")</f>
        <v/>
      </c>
      <c r="AE5015">
        <v>10</v>
      </c>
    </row>
    <row r="5016" spans="1:33" ht="16.5" customHeight="1">
      <c r="A5016" s="309" t="str">
        <f>IF(B5016&lt;&gt;"",IF(AND(B5016='IN-TC'!$S$4,OR(TH!N5004="1111",TH!O5004="1111")),TH!D5004,""),"")</f>
        <v/>
      </c>
      <c r="B5016" s="1244">
        <f t="shared" si="1342"/>
        <v>10</v>
      </c>
      <c r="C5016" s="292">
        <f t="shared" si="1341"/>
        <v>43009</v>
      </c>
      <c r="D5016" s="292"/>
      <c r="E5016" s="292">
        <v>43009</v>
      </c>
      <c r="F5016" s="67" t="s">
        <v>1029</v>
      </c>
      <c r="G5016" s="925"/>
      <c r="H5016" s="294" t="s">
        <v>948</v>
      </c>
      <c r="I5016" s="373"/>
      <c r="J5016" s="926"/>
      <c r="K5016" s="373"/>
      <c r="L5016" s="379"/>
      <c r="M5016" s="927">
        <v>2781818</v>
      </c>
      <c r="N5016" s="295" t="s">
        <v>539</v>
      </c>
      <c r="O5016" s="295" t="s">
        <v>63</v>
      </c>
      <c r="P5016" s="75" t="str">
        <f>IF(AND('331-CT'!$E$7=TH!H3949,OR(N5016="331",O5016="331")),"x","")</f>
        <v/>
      </c>
      <c r="Q5016" s="75" t="str">
        <f>IF(AND(B5016='111'!$L$11,OR($N5016=$Q$7,$O5016=$Q$7)),"x","")</f>
        <v/>
      </c>
      <c r="R5016" s="75" t="str">
        <f>IF(AND($N5016=$Q$7,$B5016&lt;'111'!$L$11),"x","")</f>
        <v/>
      </c>
      <c r="S5016" s="75" t="str">
        <f>IF(AND($O5016=$Q$7,$B5016&lt;'111'!$L$11),"x","")</f>
        <v>x</v>
      </c>
      <c r="T5016" s="75" t="str">
        <f>IF(ISERROR(FIND('112'!$M$9,G5016,1)),"",IF((AND(FIND('112'!$M$9,G5016,1)&gt;=1,B5016='112'!$K$9,OR($N5016='112'!$I$6,$O5016='112'!$I$6))),"x",""))</f>
        <v/>
      </c>
      <c r="U5016" s="75" t="str">
        <f>IF(ISERROR(FIND('112'!$M$9,G5016,1)),"",IF((AND(LEFT(G5016,2)=LEFT('112'!$M$9,2),B5016&lt;'112'!$K$9,$N5016='112'!$I$6)),"x",""))</f>
        <v/>
      </c>
      <c r="V5016" s="75" t="str">
        <f>IF(ISERROR(FIND('112'!$M$9,G5016,1)),"",IF((AND(RIGHT(G5016,2)=RIGHT('112'!$M$9,2),B5016&lt;'112'!$K$9,$O5016='112'!$I$6)),"x",""))</f>
        <v/>
      </c>
      <c r="W5016" s="75" t="str">
        <f>IF(AND('341-CT'!$H$9=H5016,OR(LEFT(N5016,3)=$W$7,LEFT(O5016,3)=$W$7)),"x","")</f>
        <v/>
      </c>
      <c r="X5016" s="75" t="str">
        <f>IF(OR(TH!N3949=TH!$X$7,O5016=TH!$X$7),"x","")</f>
        <v/>
      </c>
      <c r="Y5016" s="75" t="str">
        <f>IF(AND(OR(N5016="131",O5016="131"),H5016='131-CT'!$H$9),"x","")</f>
        <v/>
      </c>
      <c r="Z5016" s="75"/>
      <c r="AA5016" s="75" t="str">
        <f>IF(AND(MONTH(E5016)='IN-NX'!$J$5,'IN-NX'!$D$7=D5016),"x","")</f>
        <v/>
      </c>
      <c r="AB5016" s="75" t="str">
        <f>IF(AND(OR(LEFT(TH!N3949,2)="15",LEFT(TH!O3949,2)="15"),LEFT(TH!O3949,3)&lt;&gt;"111",'152-CT'!$J$8=TH!F3949),"x","")</f>
        <v/>
      </c>
      <c r="AC5016" s="75" t="str">
        <f>IF(AND(OR(LEFT(TH!N3949,2)="15",LEFT(TH!O3949,2)="15"),TK!$E$7=TH!F3949),"x","")</f>
        <v/>
      </c>
      <c r="AD5016" s="75" t="str">
        <f>IF(AND(N5016="1521",MONTH(C5016)='BK-NL'!$M$11),"x","")</f>
        <v/>
      </c>
      <c r="AE5016">
        <v>10</v>
      </c>
    </row>
    <row r="5017" spans="1:33" ht="16.5" customHeight="1">
      <c r="A5017" s="309" t="str">
        <f>IF(B5017&lt;&gt;"",IF(AND(B5017='IN-TC'!$S$4,OR(TH!N5005="1111",TH!O5005="1111")),TH!D5005,""),"")</f>
        <v/>
      </c>
      <c r="B5017" s="1244">
        <f t="shared" si="1342"/>
        <v>10</v>
      </c>
      <c r="C5017" s="292">
        <f t="shared" si="1341"/>
        <v>43009</v>
      </c>
      <c r="D5017" s="292"/>
      <c r="E5017" s="292">
        <v>43009</v>
      </c>
      <c r="F5017" s="67" t="s">
        <v>1030</v>
      </c>
      <c r="G5017" s="925"/>
      <c r="H5017" s="294" t="s">
        <v>948</v>
      </c>
      <c r="I5017" s="373"/>
      <c r="J5017" s="926"/>
      <c r="K5017" s="373"/>
      <c r="L5017" s="379"/>
      <c r="M5017" s="927">
        <v>278182</v>
      </c>
      <c r="N5017" s="295" t="s">
        <v>9</v>
      </c>
      <c r="O5017" s="295" t="s">
        <v>63</v>
      </c>
      <c r="P5017" s="75" t="str">
        <f>IF(AND('331-CT'!$E$7=TH!H3950,OR(N5017="331",O5017="331")),"x","")</f>
        <v/>
      </c>
      <c r="Q5017" s="75" t="str">
        <f>IF(AND(B5017='111'!$L$11,OR($N5017=$Q$7,$O5017=$Q$7)),"x","")</f>
        <v/>
      </c>
      <c r="R5017" s="75" t="str">
        <f>IF(AND($N5017=$Q$7,$B5017&lt;'111'!$L$11),"x","")</f>
        <v/>
      </c>
      <c r="S5017" s="75" t="str">
        <f>IF(AND($O5017=$Q$7,$B5017&lt;'111'!$L$11),"x","")</f>
        <v>x</v>
      </c>
      <c r="T5017" s="75" t="str">
        <f>IF(ISERROR(FIND('112'!$M$9,G5017,1)),"",IF((AND(FIND('112'!$M$9,G5017,1)&gt;=1,B5017='112'!$K$9,OR($N5017='112'!$I$6,$O5017='112'!$I$6))),"x",""))</f>
        <v/>
      </c>
      <c r="U5017" s="75" t="str">
        <f>IF(ISERROR(FIND('112'!$M$9,G5017,1)),"",IF((AND(LEFT(G5017,2)=LEFT('112'!$M$9,2),B5017&lt;'112'!$K$9,$N5017='112'!$I$6)),"x",""))</f>
        <v/>
      </c>
      <c r="V5017" s="75" t="str">
        <f>IF(ISERROR(FIND('112'!$M$9,G5017,1)),"",IF((AND(RIGHT(G5017,2)=RIGHT('112'!$M$9,2),B5017&lt;'112'!$K$9,$O5017='112'!$I$6)),"x",""))</f>
        <v/>
      </c>
      <c r="W5017" s="75" t="str">
        <f>IF(AND('341-CT'!$H$9=H5017,OR(LEFT(N5017,3)=$W$7,LEFT(O5017,3)=$W$7)),"x","")</f>
        <v/>
      </c>
      <c r="X5017" s="75" t="str">
        <f>IF(OR(TH!N3950=TH!$X$7,O5017=TH!$X$7),"x","")</f>
        <v/>
      </c>
      <c r="Y5017" s="75" t="str">
        <f>IF(AND(OR(N5017="131",O5017="131"),H5017='131-CT'!$H$9),"x","")</f>
        <v/>
      </c>
      <c r="Z5017" s="75"/>
      <c r="AA5017" s="75" t="str">
        <f>IF(AND(MONTH(E5017)='IN-NX'!$J$5,'IN-NX'!$D$7=D5017),"x","")</f>
        <v/>
      </c>
      <c r="AB5017" s="75" t="str">
        <f>IF(AND(OR(LEFT(TH!N3950,2)="15",LEFT(TH!O3950,2)="15"),LEFT(TH!O3950,3)&lt;&gt;"111",'152-CT'!$J$8=TH!F3950),"x","")</f>
        <v/>
      </c>
      <c r="AC5017" s="75" t="str">
        <f>IF(AND(OR(LEFT(TH!N3950,2)="15",LEFT(TH!O3950,2)="15"),TK!$E$7=TH!F3950),"x","")</f>
        <v/>
      </c>
      <c r="AD5017" s="75" t="str">
        <f>IF(AND(N5017="1521",MONTH(C5017)='BK-NL'!$M$11),"x","")</f>
        <v/>
      </c>
      <c r="AE5017">
        <v>10</v>
      </c>
    </row>
    <row r="5018" spans="1:33" ht="16.5" customHeight="1">
      <c r="A5018" s="309" t="str">
        <f>IF(B5018&lt;&gt;"",IF(AND(B5018='IN-TC'!$S$4,OR(TH!N5006="1111",TH!O5006="1111")),TH!D5006,""),"")</f>
        <v/>
      </c>
      <c r="B5018" s="1244">
        <f t="shared" si="1342"/>
        <v>10</v>
      </c>
      <c r="C5018" s="292">
        <f t="shared" si="1341"/>
        <v>43009</v>
      </c>
      <c r="D5018" s="292"/>
      <c r="E5018" s="292">
        <v>43009</v>
      </c>
      <c r="F5018" s="67" t="s">
        <v>1328</v>
      </c>
      <c r="G5018" s="925" t="s">
        <v>2718</v>
      </c>
      <c r="H5018" s="294" t="s">
        <v>948</v>
      </c>
      <c r="I5018" s="373"/>
      <c r="J5018" s="926"/>
      <c r="K5018" s="373"/>
      <c r="L5018" s="379"/>
      <c r="M5018" s="927">
        <v>1636364</v>
      </c>
      <c r="N5018" s="295" t="s">
        <v>539</v>
      </c>
      <c r="O5018" s="295" t="s">
        <v>63</v>
      </c>
      <c r="P5018" s="75" t="str">
        <f>IF(AND('331-CT'!$E$7=TH!H3951,OR(N5018="331",O5018="331")),"x","")</f>
        <v/>
      </c>
      <c r="Q5018" s="75" t="str">
        <f>IF(AND(B5018='111'!$L$11,OR($N5018=$Q$7,$O5018=$Q$7)),"x","")</f>
        <v/>
      </c>
      <c r="R5018" s="75" t="str">
        <f>IF(AND($N5018=$Q$7,$B5018&lt;'111'!$L$11),"x","")</f>
        <v/>
      </c>
      <c r="S5018" s="75" t="str">
        <f>IF(AND($O5018=$Q$7,$B5018&lt;'111'!$L$11),"x","")</f>
        <v>x</v>
      </c>
      <c r="T5018" s="75" t="str">
        <f>IF(ISERROR(FIND('112'!$M$9,G5018,1)),"",IF((AND(FIND('112'!$M$9,G5018,1)&gt;=1,B5018='112'!$K$9,OR($N5018='112'!$I$6,$O5018='112'!$I$6))),"x",""))</f>
        <v/>
      </c>
      <c r="U5018" s="75" t="str">
        <f>IF(ISERROR(FIND('112'!$M$9,G5018,1)),"",IF((AND(LEFT(G5018,2)=LEFT('112'!$M$9,2),B5018&lt;'112'!$K$9,$N5018='112'!$I$6)),"x",""))</f>
        <v/>
      </c>
      <c r="V5018" s="75" t="str">
        <f>IF(ISERROR(FIND('112'!$M$9,G5018,1)),"",IF((AND(RIGHT(G5018,2)=RIGHT('112'!$M$9,2),B5018&lt;'112'!$K$9,$O5018='112'!$I$6)),"x",""))</f>
        <v/>
      </c>
      <c r="W5018" s="75" t="str">
        <f>IF(AND('341-CT'!$H$9=H5018,OR(LEFT(N5018,3)=$W$7,LEFT(O5018,3)=$W$7)),"x","")</f>
        <v/>
      </c>
      <c r="X5018" s="75" t="str">
        <f>IF(OR(TH!N3951=TH!$X$7,O5018=TH!$X$7),"x","")</f>
        <v/>
      </c>
      <c r="Y5018" s="75" t="str">
        <f>IF(AND(OR(N5018="131",O5018="131"),H5018='131-CT'!$H$9),"x","")</f>
        <v/>
      </c>
      <c r="Z5018" s="75"/>
      <c r="AA5018" s="75" t="str">
        <f>IF(AND(MONTH(E5018)='IN-NX'!$J$5,'IN-NX'!$D$7=D5018),"x","")</f>
        <v/>
      </c>
      <c r="AB5018" s="75" t="str">
        <f>IF(AND(OR(LEFT(TH!N3951,2)="15",LEFT(TH!O3951,2)="15"),LEFT(TH!O3951,3)&lt;&gt;"111",'152-CT'!$J$8=TH!F3951),"x","")</f>
        <v/>
      </c>
      <c r="AC5018" s="75" t="str">
        <f>IF(AND(OR(LEFT(TH!N3951,2)="15",LEFT(TH!O3951,2)="15"),TK!$E$7=TH!F3951),"x","")</f>
        <v/>
      </c>
      <c r="AD5018" s="75" t="str">
        <f>IF(AND(N5018="1521",MONTH(C5018)='BK-NL'!$M$11),"x","")</f>
        <v/>
      </c>
      <c r="AE5018">
        <v>11</v>
      </c>
    </row>
    <row r="5019" spans="1:33" ht="16.5" customHeight="1">
      <c r="A5019" s="309" t="str">
        <f>IF(B5019&lt;&gt;"",IF(AND(B5019='IN-TC'!$S$4,OR(TH!N5007="1111",TH!O5007="1111")),TH!D5007,""),"")</f>
        <v/>
      </c>
      <c r="B5019" s="1244">
        <f t="shared" si="1342"/>
        <v>10</v>
      </c>
      <c r="C5019" s="292">
        <f t="shared" si="1341"/>
        <v>43009</v>
      </c>
      <c r="D5019" s="292"/>
      <c r="E5019" s="292">
        <v>43009</v>
      </c>
      <c r="F5019" s="67" t="s">
        <v>1329</v>
      </c>
      <c r="G5019" s="925" t="s">
        <v>2718</v>
      </c>
      <c r="H5019" s="294" t="s">
        <v>948</v>
      </c>
      <c r="I5019" s="373"/>
      <c r="J5019" s="926"/>
      <c r="K5019" s="373"/>
      <c r="L5019" s="379"/>
      <c r="M5019" s="927">
        <v>163636</v>
      </c>
      <c r="N5019" s="295" t="s">
        <v>9</v>
      </c>
      <c r="O5019" s="295" t="s">
        <v>63</v>
      </c>
      <c r="P5019" s="75" t="str">
        <f>IF(AND('331-CT'!$E$7=TH!H3952,OR(N5019="331",O5019="331")),"x","")</f>
        <v/>
      </c>
      <c r="Q5019" s="75" t="str">
        <f>IF(AND(B5019='111'!$L$11,OR($N5019=$Q$7,$O5019=$Q$7)),"x","")</f>
        <v/>
      </c>
      <c r="R5019" s="75" t="str">
        <f>IF(AND($N5019=$Q$7,$B5019&lt;'111'!$L$11),"x","")</f>
        <v/>
      </c>
      <c r="S5019" s="75" t="str">
        <f>IF(AND($O5019=$Q$7,$B5019&lt;'111'!$L$11),"x","")</f>
        <v>x</v>
      </c>
      <c r="T5019" s="75" t="str">
        <f>IF(ISERROR(FIND('112'!$M$9,G5019,1)),"",IF((AND(FIND('112'!$M$9,G5019,1)&gt;=1,B5019='112'!$K$9,OR($N5019='112'!$I$6,$O5019='112'!$I$6))),"x",""))</f>
        <v/>
      </c>
      <c r="U5019" s="75" t="str">
        <f>IF(ISERROR(FIND('112'!$M$9,G5019,1)),"",IF((AND(LEFT(G5019,2)=LEFT('112'!$M$9,2),B5019&lt;'112'!$K$9,$N5019='112'!$I$6)),"x",""))</f>
        <v/>
      </c>
      <c r="V5019" s="75" t="str">
        <f>IF(ISERROR(FIND('112'!$M$9,G5019,1)),"",IF((AND(RIGHT(G5019,2)=RIGHT('112'!$M$9,2),B5019&lt;'112'!$K$9,$O5019='112'!$I$6)),"x",""))</f>
        <v/>
      </c>
      <c r="W5019" s="75" t="str">
        <f>IF(AND('341-CT'!$H$9=H5019,OR(LEFT(N5019,3)=$W$7,LEFT(O5019,3)=$W$7)),"x","")</f>
        <v/>
      </c>
      <c r="X5019" s="75" t="str">
        <f>IF(OR(TH!N3952=TH!$X$7,O5019=TH!$X$7),"x","")</f>
        <v/>
      </c>
      <c r="Y5019" s="75" t="str">
        <f>IF(AND(OR(N5019="131",O5019="131"),H5019='131-CT'!$H$9),"x","")</f>
        <v/>
      </c>
      <c r="Z5019" s="75"/>
      <c r="AA5019" s="75" t="str">
        <f>IF(AND(MONTH(E5019)='IN-NX'!$J$5,'IN-NX'!$D$7=D5019),"x","")</f>
        <v/>
      </c>
      <c r="AB5019" s="75" t="str">
        <f>IF(AND(OR(LEFT(TH!N3952,2)="15",LEFT(TH!O3952,2)="15"),LEFT(TH!O3952,3)&lt;&gt;"111",'152-CT'!$J$8=TH!F3952),"x","")</f>
        <v/>
      </c>
      <c r="AC5019" s="75" t="str">
        <f>IF(AND(OR(LEFT(TH!N3952,2)="15",LEFT(TH!O3952,2)="15"),TK!$E$7=TH!F3952),"x","")</f>
        <v/>
      </c>
      <c r="AD5019" s="75" t="str">
        <f>IF(AND(N5019="1521",MONTH(C5019)='BK-NL'!$M$11),"x","")</f>
        <v/>
      </c>
      <c r="AE5019">
        <v>11</v>
      </c>
    </row>
    <row r="5020" spans="1:33" ht="16.5" customHeight="1">
      <c r="A5020" s="309" t="str">
        <f>IF(B5020&lt;&gt;"",IF(AND(B5020='IN-TC'!$S$4,OR(TH!N5008="1111",TH!O5008="1111")),TH!D5008,""),"")</f>
        <v/>
      </c>
      <c r="B5020" s="1244">
        <f t="shared" si="1342"/>
        <v>10</v>
      </c>
      <c r="C5020" s="292">
        <f t="shared" si="1341"/>
        <v>43009</v>
      </c>
      <c r="D5020" s="59" t="s">
        <v>902</v>
      </c>
      <c r="E5020" s="59">
        <v>43009</v>
      </c>
      <c r="F5020" s="67" t="s">
        <v>2315</v>
      </c>
      <c r="G5020" s="62" t="s">
        <v>1713</v>
      </c>
      <c r="H5020" s="67" t="s">
        <v>1771</v>
      </c>
      <c r="I5020" s="373"/>
      <c r="J5020" s="382"/>
      <c r="K5020" s="373"/>
      <c r="L5020" s="379"/>
      <c r="M5020" s="60">
        <v>26000</v>
      </c>
      <c r="N5020" s="61" t="s">
        <v>101</v>
      </c>
      <c r="O5020" s="61" t="s">
        <v>26</v>
      </c>
      <c r="P5020" s="75" t="str">
        <f>IF(AND('331-CT'!$E$7=TH!H4507,OR(N5020="331",O5020="331")),"x","")</f>
        <v/>
      </c>
      <c r="Q5020" s="75" t="str">
        <f>IF(AND(B5020='111'!$L$11,OR($N5020=$Q$7,$O5020=$Q$7)),"x","")</f>
        <v/>
      </c>
      <c r="R5020" s="75" t="str">
        <f>IF(AND($N5020=$Q$7,$B5020&lt;'111'!$L$11),"x","")</f>
        <v/>
      </c>
      <c r="S5020" s="75" t="str">
        <f>IF(AND($O5020=$Q$7,$B5020&lt;'111'!$L$11),"x","")</f>
        <v/>
      </c>
      <c r="T5020" s="75" t="str">
        <f>IF(ISERROR(FIND('112'!$M$9,G5020,1)),"",IF((AND(FIND('112'!$M$9,G5020,1)&gt;=1,B5020='112'!$K$9,OR($N5020='112'!$I$6,$O5020='112'!$I$6))),"x",""))</f>
        <v/>
      </c>
      <c r="U5020" s="75" t="str">
        <f>IF(ISERROR(FIND('112'!$M$9,G5020,1)),"",IF((AND(LEFT(G5020,2)=LEFT('112'!$M$9,2),B5020&lt;'112'!$K$9,$N5020='112'!$I$6)),"x",""))</f>
        <v/>
      </c>
      <c r="V5020" s="75" t="str">
        <f>IF(ISERROR(FIND('112'!$M$9,G5020,1)),"",IF((AND(RIGHT(G5020,2)=RIGHT('112'!$M$9,2),B5020&lt;'112'!$K$9,$O5020='112'!$I$6)),"x",""))</f>
        <v/>
      </c>
      <c r="W5020" s="75" t="str">
        <f>IF(AND('341-CT'!$H$9=H5020,OR(LEFT(N5020,3)=$W$7,LEFT(O5020,3)=$W$7)),"x","")</f>
        <v/>
      </c>
      <c r="X5020" s="75" t="str">
        <f>IF(OR(TH!N4507=TH!$X$7,O5020=TH!$X$7),"x","")</f>
        <v/>
      </c>
      <c r="Y5020" s="75" t="str">
        <f>IF(AND(OR(N5020="131",O5020="131"),H5020='131-CT'!$H$9),"x","")</f>
        <v/>
      </c>
      <c r="Z5020" s="75"/>
      <c r="AA5020" s="75" t="str">
        <f>IF(AND(MONTH(E5020)='IN-NX'!$J$5,'IN-NX'!$D$7=D5020),"x","")</f>
        <v/>
      </c>
      <c r="AB5020" s="75" t="str">
        <f>IF(AND(OR(LEFT(TH!N4507,2)="15",LEFT(TH!O4507,2)="15"),LEFT(TH!O4507,3)&lt;&gt;"111",'152-CT'!$J$8=TH!F4507),"x","")</f>
        <v/>
      </c>
      <c r="AC5020" s="75" t="str">
        <f>IF(AND(OR(LEFT(TH!N4507,2)="15",LEFT(TH!O4507,2)="15"),TK!$E$7=TH!F4507),"x","")</f>
        <v/>
      </c>
      <c r="AD5020" s="75" t="str">
        <f>IF(AND(N5020="1521",MONTH(C5020)='BK-NL'!$M$11),"x","")</f>
        <v/>
      </c>
      <c r="AE5020">
        <v>10</v>
      </c>
      <c r="AF5020" s="1053"/>
      <c r="AG5020" s="1053"/>
    </row>
    <row r="5021" spans="1:33" ht="16.5" customHeight="1">
      <c r="A5021" s="309" t="str">
        <f>IF(B5021&lt;&gt;"",IF(AND(B5021='IN-TC'!$S$4,OR(TH!N5009="1111",TH!O5009="1111")),TH!D5009,""),"")</f>
        <v/>
      </c>
      <c r="B5021" s="1244">
        <f t="shared" si="1342"/>
        <v>10</v>
      </c>
      <c r="C5021" s="292">
        <f t="shared" si="1341"/>
        <v>43009</v>
      </c>
      <c r="D5021" s="59" t="s">
        <v>902</v>
      </c>
      <c r="E5021" s="59">
        <v>43009</v>
      </c>
      <c r="F5021" s="67" t="s">
        <v>2316</v>
      </c>
      <c r="G5021" s="62" t="s">
        <v>1713</v>
      </c>
      <c r="H5021" s="67" t="s">
        <v>1771</v>
      </c>
      <c r="I5021" s="373"/>
      <c r="J5021" s="382"/>
      <c r="K5021" s="373"/>
      <c r="L5021" s="379"/>
      <c r="M5021" s="60">
        <v>2600</v>
      </c>
      <c r="N5021" s="61" t="s">
        <v>9</v>
      </c>
      <c r="O5021" s="61" t="s">
        <v>26</v>
      </c>
      <c r="P5021" s="75" t="str">
        <f>IF(AND('331-CT'!$E$7=TH!H4508,OR(N5021="331",O5021="331")),"x","")</f>
        <v/>
      </c>
      <c r="Q5021" s="75" t="str">
        <f>IF(AND(B5021='111'!$L$11,OR($N5021=$Q$7,$O5021=$Q$7)),"x","")</f>
        <v/>
      </c>
      <c r="R5021" s="75" t="str">
        <f>IF(AND($N5021=$Q$7,$B5021&lt;'111'!$L$11),"x","")</f>
        <v/>
      </c>
      <c r="S5021" s="75" t="str">
        <f>IF(AND($O5021=$Q$7,$B5021&lt;'111'!$L$11),"x","")</f>
        <v/>
      </c>
      <c r="T5021" s="75" t="str">
        <f>IF(ISERROR(FIND('112'!$M$9,G5021,1)),"",IF((AND(FIND('112'!$M$9,G5021,1)&gt;=1,B5021='112'!$K$9,OR($N5021='112'!$I$6,$O5021='112'!$I$6))),"x",""))</f>
        <v/>
      </c>
      <c r="U5021" s="75" t="str">
        <f>IF(ISERROR(FIND('112'!$M$9,G5021,1)),"",IF((AND(LEFT(G5021,2)=LEFT('112'!$M$9,2),B5021&lt;'112'!$K$9,$N5021='112'!$I$6)),"x",""))</f>
        <v/>
      </c>
      <c r="V5021" s="75" t="str">
        <f>IF(ISERROR(FIND('112'!$M$9,G5021,1)),"",IF((AND(RIGHT(G5021,2)=RIGHT('112'!$M$9,2),B5021&lt;'112'!$K$9,$O5021='112'!$I$6)),"x",""))</f>
        <v/>
      </c>
      <c r="W5021" s="75" t="str">
        <f>IF(AND('341-CT'!$H$9=H5021,OR(LEFT(N5021,3)=$W$7,LEFT(O5021,3)=$W$7)),"x","")</f>
        <v/>
      </c>
      <c r="X5021" s="75" t="str">
        <f>IF(OR(TH!N4508=TH!$X$7,O5021=TH!$X$7),"x","")</f>
        <v/>
      </c>
      <c r="Y5021" s="75" t="str">
        <f>IF(AND(OR(N5021="131",O5021="131"),H5021='131-CT'!$H$9),"x","")</f>
        <v/>
      </c>
      <c r="Z5021" s="75"/>
      <c r="AA5021" s="75" t="str">
        <f>IF(AND(MONTH(E5021)='IN-NX'!$J$5,'IN-NX'!$D$7=D5021),"x","")</f>
        <v/>
      </c>
      <c r="AB5021" s="75" t="str">
        <f>IF(AND(OR(LEFT(TH!N4508,2)="15",LEFT(TH!O4508,2)="15"),LEFT(TH!O4508,3)&lt;&gt;"111",'152-CT'!$J$8=TH!F4508),"x","")</f>
        <v/>
      </c>
      <c r="AC5021" s="75" t="str">
        <f>IF(AND(OR(LEFT(TH!N4508,2)="15",LEFT(TH!O4508,2)="15"),TK!$E$7=TH!F4508),"x","")</f>
        <v/>
      </c>
      <c r="AD5021" s="75" t="str">
        <f>IF(AND(N5021="1521",MONTH(C5021)='BK-NL'!$M$11),"x","")</f>
        <v/>
      </c>
      <c r="AE5021">
        <v>10</v>
      </c>
      <c r="AF5021" s="1053"/>
      <c r="AG5021" s="1053"/>
    </row>
    <row r="5022" spans="1:33" ht="16.5" customHeight="1">
      <c r="A5022" s="309" t="str">
        <f>IF(B5022&lt;&gt;"",IF(AND(B5022='IN-TC'!$S$4,OR(TH!N5010="1111",TH!O5010="1111")),TH!D5010,""),"")</f>
        <v/>
      </c>
      <c r="B5022" s="1244">
        <f t="shared" si="1342"/>
        <v>10</v>
      </c>
      <c r="C5022" s="292">
        <f t="shared" si="1341"/>
        <v>43010</v>
      </c>
      <c r="D5022" s="292"/>
      <c r="E5022" s="292">
        <v>43010</v>
      </c>
      <c r="F5022" s="67" t="s">
        <v>1165</v>
      </c>
      <c r="G5022" s="925" t="s">
        <v>2304</v>
      </c>
      <c r="H5022" s="294" t="s">
        <v>1684</v>
      </c>
      <c r="I5022" s="373"/>
      <c r="J5022" s="926"/>
      <c r="K5022" s="373"/>
      <c r="L5022" s="379"/>
      <c r="M5022" s="927">
        <v>19762050</v>
      </c>
      <c r="N5022" s="295" t="s">
        <v>8</v>
      </c>
      <c r="O5022" s="295" t="s">
        <v>63</v>
      </c>
      <c r="P5022" s="75" t="str">
        <f>IF(AND('331-CT'!$E$7=TH!H3953,OR(N5022="331",O5022="331")),"x","")</f>
        <v/>
      </c>
      <c r="Q5022" s="75" t="str">
        <f>IF(AND(B5022='111'!$L$11,OR($N5022=$Q$7,$O5022=$Q$7)),"x","")</f>
        <v/>
      </c>
      <c r="R5022" s="75" t="str">
        <f>IF(AND($N5022=$Q$7,$B5022&lt;'111'!$L$11),"x","")</f>
        <v/>
      </c>
      <c r="S5022" s="75" t="str">
        <f>IF(AND($O5022=$Q$7,$B5022&lt;'111'!$L$11),"x","")</f>
        <v>x</v>
      </c>
      <c r="T5022" s="75" t="str">
        <f>IF(ISERROR(FIND('112'!$M$9,G5022,1)),"",IF((AND(FIND('112'!$M$9,G5022,1)&gt;=1,B5022='112'!$K$9,OR($N5022='112'!$I$6,$O5022='112'!$I$6))),"x",""))</f>
        <v/>
      </c>
      <c r="U5022" s="75" t="str">
        <f>IF(ISERROR(FIND('112'!$M$9,G5022,1)),"",IF((AND(LEFT(G5022,2)=LEFT('112'!$M$9,2),B5022&lt;'112'!$K$9,$N5022='112'!$I$6)),"x",""))</f>
        <v/>
      </c>
      <c r="V5022" s="75" t="str">
        <f>IF(ISERROR(FIND('112'!$M$9,G5022,1)),"",IF((AND(RIGHT(G5022,2)=RIGHT('112'!$M$9,2),B5022&lt;'112'!$K$9,$O5022='112'!$I$6)),"x",""))</f>
        <v/>
      </c>
      <c r="W5022" s="75" t="str">
        <f>IF(AND('341-CT'!$H$9=H5022,OR(LEFT(N5022,3)=$W$7,LEFT(O5022,3)=$W$7)),"x","")</f>
        <v/>
      </c>
      <c r="X5022" s="75" t="str">
        <f>IF(OR(TH!N3953=TH!$X$7,O5022=TH!$X$7),"x","")</f>
        <v/>
      </c>
      <c r="Y5022" s="75" t="str">
        <f>IF(AND(OR(N5022="131",O5022="131"),H5022='131-CT'!$H$9),"x","")</f>
        <v/>
      </c>
      <c r="Z5022" s="75"/>
      <c r="AA5022" s="75" t="str">
        <f>IF(AND(MONTH(E5022)='IN-NX'!$J$5,'IN-NX'!$D$7=D5022),"x","")</f>
        <v/>
      </c>
      <c r="AB5022" s="75" t="str">
        <f>IF(AND(OR(LEFT(TH!N3953,2)="15",LEFT(TH!O3953,2)="15"),LEFT(TH!O3953,3)&lt;&gt;"111",'152-CT'!$J$8=TH!F3953),"x","")</f>
        <v/>
      </c>
      <c r="AC5022" s="75" t="str">
        <f>IF(AND(OR(LEFT(TH!N3953,2)="15",LEFT(TH!O3953,2)="15"),TK!$E$7=TH!F3953),"x","")</f>
        <v/>
      </c>
      <c r="AD5022" s="75" t="str">
        <f>IF(AND(N5022="1521",MONTH(C5022)='BK-NL'!$M$11),"x","")</f>
        <v/>
      </c>
    </row>
    <row r="5023" spans="1:33" ht="16.5" customHeight="1">
      <c r="A5023" s="309" t="str">
        <f>IF(B5023&lt;&gt;"",IF(AND(B5023='IN-TC'!$S$4,OR(TH!N5011="1111",TH!O5011="1111")),TH!D5011,""),"")</f>
        <v/>
      </c>
      <c r="B5023" s="1244">
        <f t="shared" si="1342"/>
        <v>10</v>
      </c>
      <c r="C5023" s="292">
        <f t="shared" si="1341"/>
        <v>43010</v>
      </c>
      <c r="D5023" s="292"/>
      <c r="E5023" s="292">
        <v>43010</v>
      </c>
      <c r="F5023" s="67" t="s">
        <v>1029</v>
      </c>
      <c r="G5023" s="925" t="s">
        <v>2729</v>
      </c>
      <c r="H5023" s="294" t="s">
        <v>948</v>
      </c>
      <c r="I5023" s="373"/>
      <c r="J5023" s="926"/>
      <c r="K5023" s="373"/>
      <c r="L5023" s="379"/>
      <c r="M5023" s="927">
        <v>2781818</v>
      </c>
      <c r="N5023" s="295" t="s">
        <v>539</v>
      </c>
      <c r="O5023" s="295" t="s">
        <v>63</v>
      </c>
      <c r="P5023" s="75" t="str">
        <f>IF(AND('331-CT'!$E$7=TH!H3954,OR(N5023="331",O5023="331")),"x","")</f>
        <v/>
      </c>
      <c r="Q5023" s="75" t="str">
        <f>IF(AND(B5023='111'!$L$11,OR($N5023=$Q$7,$O5023=$Q$7)),"x","")</f>
        <v/>
      </c>
      <c r="R5023" s="75" t="str">
        <f>IF(AND($N5023=$Q$7,$B5023&lt;'111'!$L$11),"x","")</f>
        <v/>
      </c>
      <c r="S5023" s="75" t="str">
        <f>IF(AND($O5023=$Q$7,$B5023&lt;'111'!$L$11),"x","")</f>
        <v>x</v>
      </c>
      <c r="T5023" s="75" t="str">
        <f>IF(ISERROR(FIND('112'!$M$9,G5023,1)),"",IF((AND(FIND('112'!$M$9,G5023,1)&gt;=1,B5023='112'!$K$9,OR($N5023='112'!$I$6,$O5023='112'!$I$6))),"x",""))</f>
        <v/>
      </c>
      <c r="U5023" s="75" t="str">
        <f>IF(ISERROR(FIND('112'!$M$9,G5023,1)),"",IF((AND(LEFT(G5023,2)=LEFT('112'!$M$9,2),B5023&lt;'112'!$K$9,$N5023='112'!$I$6)),"x",""))</f>
        <v/>
      </c>
      <c r="V5023" s="75" t="str">
        <f>IF(ISERROR(FIND('112'!$M$9,G5023,1)),"",IF((AND(RIGHT(G5023,2)=RIGHT('112'!$M$9,2),B5023&lt;'112'!$K$9,$O5023='112'!$I$6)),"x",""))</f>
        <v/>
      </c>
      <c r="W5023" s="75" t="str">
        <f>IF(AND('341-CT'!$H$9=H5023,OR(LEFT(N5023,3)=$W$7,LEFT(O5023,3)=$W$7)),"x","")</f>
        <v/>
      </c>
      <c r="X5023" s="75" t="str">
        <f>IF(OR(TH!N3954=TH!$X$7,O5023=TH!$X$7),"x","")</f>
        <v/>
      </c>
      <c r="Y5023" s="75" t="str">
        <f>IF(AND(OR(N5023="131",O5023="131"),H5023='131-CT'!$H$9),"x","")</f>
        <v/>
      </c>
      <c r="Z5023" s="75"/>
      <c r="AA5023" s="75" t="str">
        <f>IF(AND(MONTH(E5023)='IN-NX'!$J$5,'IN-NX'!$D$7=D5023),"x","")</f>
        <v/>
      </c>
      <c r="AB5023" s="75" t="str">
        <f>IF(AND(OR(LEFT(TH!N3954,2)="15",LEFT(TH!O3954,2)="15"),LEFT(TH!O3954,3)&lt;&gt;"111",'152-CT'!$J$8=TH!F3954),"x","")</f>
        <v/>
      </c>
      <c r="AC5023" s="75" t="str">
        <f>IF(AND(OR(LEFT(TH!N3954,2)="15",LEFT(TH!O3954,2)="15"),TK!$E$7=TH!F3954),"x","")</f>
        <v/>
      </c>
      <c r="AD5023" s="75" t="str">
        <f>IF(AND(N5023="1521",MONTH(C5023)='BK-NL'!$M$11),"x","")</f>
        <v/>
      </c>
      <c r="AE5023">
        <v>11</v>
      </c>
    </row>
    <row r="5024" spans="1:33" ht="16.5" customHeight="1">
      <c r="A5024" s="309" t="str">
        <f>IF(B5024&lt;&gt;"",IF(AND(B5024='IN-TC'!$S$4,OR(TH!N5012="1111",TH!O5012="1111")),TH!D5012,""),"")</f>
        <v/>
      </c>
      <c r="B5024" s="1244">
        <f t="shared" si="1342"/>
        <v>10</v>
      </c>
      <c r="C5024" s="292">
        <f t="shared" si="1341"/>
        <v>43010</v>
      </c>
      <c r="D5024" s="292"/>
      <c r="E5024" s="292">
        <v>43010</v>
      </c>
      <c r="F5024" s="67" t="s">
        <v>1030</v>
      </c>
      <c r="G5024" s="925" t="s">
        <v>2729</v>
      </c>
      <c r="H5024" s="294" t="s">
        <v>948</v>
      </c>
      <c r="I5024" s="373"/>
      <c r="J5024" s="926"/>
      <c r="K5024" s="373"/>
      <c r="L5024" s="379"/>
      <c r="M5024" s="927">
        <v>278182</v>
      </c>
      <c r="N5024" s="295" t="s">
        <v>9</v>
      </c>
      <c r="O5024" s="295" t="s">
        <v>63</v>
      </c>
      <c r="P5024" s="75" t="str">
        <f>IF(AND('331-CT'!$E$7=TH!H3955,OR(N5024="331",O5024="331")),"x","")</f>
        <v/>
      </c>
      <c r="Q5024" s="75" t="str">
        <f>IF(AND(B5024='111'!$L$11,OR($N5024=$Q$7,$O5024=$Q$7)),"x","")</f>
        <v/>
      </c>
      <c r="R5024" s="75" t="str">
        <f>IF(AND($N5024=$Q$7,$B5024&lt;'111'!$L$11),"x","")</f>
        <v/>
      </c>
      <c r="S5024" s="75" t="str">
        <f>IF(AND($O5024=$Q$7,$B5024&lt;'111'!$L$11),"x","")</f>
        <v>x</v>
      </c>
      <c r="T5024" s="75" t="str">
        <f>IF(ISERROR(FIND('112'!$M$9,G5024,1)),"",IF((AND(FIND('112'!$M$9,G5024,1)&gt;=1,B5024='112'!$K$9,OR($N5024='112'!$I$6,$O5024='112'!$I$6))),"x",""))</f>
        <v/>
      </c>
      <c r="U5024" s="75" t="str">
        <f>IF(ISERROR(FIND('112'!$M$9,G5024,1)),"",IF((AND(LEFT(G5024,2)=LEFT('112'!$M$9,2),B5024&lt;'112'!$K$9,$N5024='112'!$I$6)),"x",""))</f>
        <v/>
      </c>
      <c r="V5024" s="75" t="str">
        <f>IF(ISERROR(FIND('112'!$M$9,G5024,1)),"",IF((AND(RIGHT(G5024,2)=RIGHT('112'!$M$9,2),B5024&lt;'112'!$K$9,$O5024='112'!$I$6)),"x",""))</f>
        <v/>
      </c>
      <c r="W5024" s="75" t="str">
        <f>IF(AND('341-CT'!$H$9=H5024,OR(LEFT(N5024,3)=$W$7,LEFT(O5024,3)=$W$7)),"x","")</f>
        <v/>
      </c>
      <c r="X5024" s="75" t="str">
        <f>IF(OR(TH!N3955=TH!$X$7,O5024=TH!$X$7),"x","")</f>
        <v/>
      </c>
      <c r="Y5024" s="75" t="str">
        <f>IF(AND(OR(N5024="131",O5024="131"),H5024='131-CT'!$H$9),"x","")</f>
        <v/>
      </c>
      <c r="Z5024" s="75"/>
      <c r="AA5024" s="75" t="str">
        <f>IF(AND(MONTH(E5024)='IN-NX'!$J$5,'IN-NX'!$D$7=D5024),"x","")</f>
        <v/>
      </c>
      <c r="AB5024" s="75" t="str">
        <f>IF(AND(OR(LEFT(TH!N3955,2)="15",LEFT(TH!O3955,2)="15"),LEFT(TH!O3955,3)&lt;&gt;"111",'152-CT'!$J$8=TH!F3955),"x","")</f>
        <v/>
      </c>
      <c r="AC5024" s="75" t="str">
        <f>IF(AND(OR(LEFT(TH!N3955,2)="15",LEFT(TH!O3955,2)="15"),TK!$E$7=TH!F3955),"x","")</f>
        <v/>
      </c>
      <c r="AD5024" s="75" t="str">
        <f>IF(AND(N5024="1521",MONTH(C5024)='BK-NL'!$M$11),"x","")</f>
        <v/>
      </c>
      <c r="AE5024">
        <v>11</v>
      </c>
    </row>
    <row r="5025" spans="1:33" ht="16.5" customHeight="1">
      <c r="A5025" s="309" t="str">
        <f>IF(B5025&lt;&gt;"",IF(AND(B5025='IN-TC'!$S$4,OR(TH!N5013="1111",TH!O5013="1111")),TH!D5013,""),"")</f>
        <v/>
      </c>
      <c r="B5025" s="1244">
        <f t="shared" si="1342"/>
        <v>10</v>
      </c>
      <c r="C5025" s="292">
        <f t="shared" si="1341"/>
        <v>43010</v>
      </c>
      <c r="D5025" s="292"/>
      <c r="E5025" s="292">
        <v>43010</v>
      </c>
      <c r="F5025" s="67" t="s">
        <v>1165</v>
      </c>
      <c r="G5025" s="925" t="s">
        <v>1366</v>
      </c>
      <c r="H5025" s="294" t="s">
        <v>2186</v>
      </c>
      <c r="I5025" s="373"/>
      <c r="J5025" s="926"/>
      <c r="K5025" s="373"/>
      <c r="L5025" s="379"/>
      <c r="M5025" s="927">
        <v>19762050</v>
      </c>
      <c r="N5025" s="295" t="s">
        <v>8</v>
      </c>
      <c r="O5025" s="295" t="s">
        <v>63</v>
      </c>
      <c r="P5025" s="75" t="str">
        <f>IF(AND('331-CT'!$E$7=TH!H3956,OR(N5025="331",O5025="331")),"x","")</f>
        <v/>
      </c>
      <c r="Q5025" s="75" t="str">
        <f>IF(AND(B5025='111'!$L$11,OR($N5025=$Q$7,$O5025=$Q$7)),"x","")</f>
        <v/>
      </c>
      <c r="R5025" s="75" t="str">
        <f>IF(AND($N5025=$Q$7,$B5025&lt;'111'!$L$11),"x","")</f>
        <v/>
      </c>
      <c r="S5025" s="75" t="str">
        <f>IF(AND($O5025=$Q$7,$B5025&lt;'111'!$L$11),"x","")</f>
        <v>x</v>
      </c>
      <c r="T5025" s="75" t="str">
        <f>IF(ISERROR(FIND('112'!$M$9,G5025,1)),"",IF((AND(FIND('112'!$M$9,G5025,1)&gt;=1,B5025='112'!$K$9,OR($N5025='112'!$I$6,$O5025='112'!$I$6))),"x",""))</f>
        <v/>
      </c>
      <c r="U5025" s="75" t="str">
        <f>IF(ISERROR(FIND('112'!$M$9,G5025,1)),"",IF((AND(LEFT(G5025,2)=LEFT('112'!$M$9,2),B5025&lt;'112'!$K$9,$N5025='112'!$I$6)),"x",""))</f>
        <v/>
      </c>
      <c r="V5025" s="75" t="str">
        <f>IF(ISERROR(FIND('112'!$M$9,G5025,1)),"",IF((AND(RIGHT(G5025,2)=RIGHT('112'!$M$9,2),B5025&lt;'112'!$K$9,$O5025='112'!$I$6)),"x",""))</f>
        <v/>
      </c>
      <c r="W5025" s="75" t="str">
        <f>IF(AND('341-CT'!$H$9=H5025,OR(LEFT(N5025,3)=$W$7,LEFT(O5025,3)=$W$7)),"x","")</f>
        <v/>
      </c>
      <c r="X5025" s="75" t="str">
        <f>IF(OR(TH!N3956=TH!$X$7,O5025=TH!$X$7),"x","")</f>
        <v/>
      </c>
      <c r="Y5025" s="75" t="str">
        <f>IF(AND(OR(N5025="131",O5025="131"),H5025='131-CT'!$H$9),"x","")</f>
        <v/>
      </c>
      <c r="Z5025" s="75"/>
      <c r="AA5025" s="75" t="str">
        <f>IF(AND(MONTH(E5025)='IN-NX'!$J$5,'IN-NX'!$D$7=D5025),"x","")</f>
        <v/>
      </c>
      <c r="AB5025" s="75" t="str">
        <f>IF(AND(OR(LEFT(TH!N3956,2)="15",LEFT(TH!O3956,2)="15"),LEFT(TH!O3956,3)&lt;&gt;"111",'152-CT'!$J$8=TH!F3956),"x","")</f>
        <v/>
      </c>
      <c r="AC5025" s="75" t="str">
        <f>IF(AND(OR(LEFT(TH!N3956,2)="15",LEFT(TH!O3956,2)="15"),TK!$E$7=TH!F3956),"x","")</f>
        <v/>
      </c>
      <c r="AD5025" s="75" t="str">
        <f>IF(AND(N5025="1521",MONTH(C5025)='BK-NL'!$M$11),"x","")</f>
        <v/>
      </c>
    </row>
    <row r="5026" spans="1:33" ht="16.5" customHeight="1">
      <c r="A5026" s="309" t="str">
        <f>IF(B5026&lt;&gt;"",IF(AND(B5026='IN-TC'!$S$4,OR(TH!N5014="1111",TH!O5014="1111")),TH!D5014,""),"")</f>
        <v/>
      </c>
      <c r="B5026" s="1244">
        <f t="shared" si="1342"/>
        <v>10</v>
      </c>
      <c r="C5026" s="292">
        <f t="shared" si="1341"/>
        <v>43010</v>
      </c>
      <c r="D5026" s="292"/>
      <c r="E5026" s="292">
        <v>43010</v>
      </c>
      <c r="F5026" s="67" t="s">
        <v>954</v>
      </c>
      <c r="G5026" s="925" t="s">
        <v>2573</v>
      </c>
      <c r="H5026" s="294" t="s">
        <v>1241</v>
      </c>
      <c r="I5026" s="373"/>
      <c r="J5026" s="926"/>
      <c r="K5026" s="373"/>
      <c r="L5026" s="379"/>
      <c r="M5026" s="927">
        <v>2665000</v>
      </c>
      <c r="N5026" s="295" t="s">
        <v>101</v>
      </c>
      <c r="O5026" s="295" t="s">
        <v>63</v>
      </c>
      <c r="P5026" s="75" t="str">
        <f>IF(AND('331-CT'!$E$7=TH!H3947,OR(N5026="331",O5026="331")),"x","")</f>
        <v/>
      </c>
      <c r="Q5026" s="75" t="str">
        <f>IF(AND(B5026='111'!$L$11,OR($N5026=$Q$7,$O5026=$Q$7)),"x","")</f>
        <v/>
      </c>
      <c r="R5026" s="75" t="str">
        <f>IF(AND($N5026=$Q$7,$B5026&lt;'111'!$L$11),"x","")</f>
        <v/>
      </c>
      <c r="S5026" s="75" t="str">
        <f>IF(AND($O5026=$Q$7,$B5026&lt;'111'!$L$11),"x","")</f>
        <v>x</v>
      </c>
      <c r="T5026" s="75" t="str">
        <f>IF(ISERROR(FIND('112'!$M$9,G5026,1)),"",IF((AND(FIND('112'!$M$9,G5026,1)&gt;=1,B5026='112'!$K$9,OR($N5026='112'!$I$6,$O5026='112'!$I$6))),"x",""))</f>
        <v/>
      </c>
      <c r="U5026" s="75" t="str">
        <f>IF(ISERROR(FIND('112'!$M$9,G5026,1)),"",IF((AND(LEFT(G5026,2)=LEFT('112'!$M$9,2),B5026&lt;'112'!$K$9,$N5026='112'!$I$6)),"x",""))</f>
        <v/>
      </c>
      <c r="V5026" s="75" t="str">
        <f>IF(ISERROR(FIND('112'!$M$9,G5026,1)),"",IF((AND(RIGHT(G5026,2)=RIGHT('112'!$M$9,2),B5026&lt;'112'!$K$9,$O5026='112'!$I$6)),"x",""))</f>
        <v/>
      </c>
      <c r="W5026" s="75" t="str">
        <f>IF(AND('341-CT'!$H$9=H5026,OR(LEFT(N5026,3)=$W$7,LEFT(O5026,3)=$W$7)),"x","")</f>
        <v/>
      </c>
      <c r="X5026" s="75" t="str">
        <f>IF(OR(TH!N3947=TH!$X$7,O5026=TH!$X$7),"x","")</f>
        <v/>
      </c>
      <c r="Y5026" s="75" t="str">
        <f>IF(AND(OR(N5026="131",O5026="131"),H5026='131-CT'!$H$9),"x","")</f>
        <v/>
      </c>
      <c r="Z5026" s="75"/>
      <c r="AA5026" s="75" t="str">
        <f>IF(AND(MONTH(E5026)='IN-NX'!$J$5,'IN-NX'!$D$7=D5026),"x","")</f>
        <v/>
      </c>
      <c r="AB5026" s="75" t="str">
        <f>IF(AND(OR(LEFT(TH!N3947,2)="15",LEFT(TH!O3947,2)="15"),LEFT(TH!O3947,3)&lt;&gt;"111",'152-CT'!$J$8=TH!F3947),"x","")</f>
        <v/>
      </c>
      <c r="AC5026" s="75" t="str">
        <f>IF(AND(OR(LEFT(TH!N3947,2)="15",LEFT(TH!O3947,2)="15"),TK!$E$7=TH!F3947),"x","")</f>
        <v/>
      </c>
      <c r="AD5026" s="75" t="str">
        <f>IF(AND(N5026="1521",MONTH(C5026)='BK-NL'!$M$11),"x","")</f>
        <v/>
      </c>
      <c r="AE5026">
        <v>10</v>
      </c>
    </row>
    <row r="5027" spans="1:33" ht="16.5" customHeight="1">
      <c r="A5027" s="309" t="str">
        <f>IF(B5027&lt;&gt;"",IF(AND(B5027='IN-TC'!$S$4,OR(TH!N5015="1111",TH!O5015="1111")),TH!D5015,""),"")</f>
        <v/>
      </c>
      <c r="B5027" s="1244">
        <f t="shared" si="1342"/>
        <v>10</v>
      </c>
      <c r="C5027" s="292">
        <f t="shared" si="1341"/>
        <v>43010</v>
      </c>
      <c r="D5027" s="292"/>
      <c r="E5027" s="292">
        <v>43010</v>
      </c>
      <c r="F5027" s="67" t="s">
        <v>955</v>
      </c>
      <c r="G5027" s="925" t="s">
        <v>2573</v>
      </c>
      <c r="H5027" s="294" t="s">
        <v>1241</v>
      </c>
      <c r="I5027" s="373"/>
      <c r="J5027" s="926"/>
      <c r="K5027" s="373"/>
      <c r="L5027" s="379"/>
      <c r="M5027" s="927">
        <v>266500</v>
      </c>
      <c r="N5027" s="295" t="s">
        <v>9</v>
      </c>
      <c r="O5027" s="295" t="s">
        <v>63</v>
      </c>
      <c r="P5027" s="75" t="str">
        <f>IF(AND('331-CT'!$E$7=TH!H3958,OR(N5027="331",O5027="331")),"x","")</f>
        <v/>
      </c>
      <c r="Q5027" s="75" t="str">
        <f>IF(AND(B5027='111'!$L$11,OR($N5027=$Q$7,$O5027=$Q$7)),"x","")</f>
        <v/>
      </c>
      <c r="R5027" s="75" t="str">
        <f>IF(AND($N5027=$Q$7,$B5027&lt;'111'!$L$11),"x","")</f>
        <v/>
      </c>
      <c r="S5027" s="75" t="str">
        <f>IF(AND($O5027=$Q$7,$B5027&lt;'111'!$L$11),"x","")</f>
        <v>x</v>
      </c>
      <c r="T5027" s="75" t="str">
        <f>IF(ISERROR(FIND('112'!$M$9,G5027,1)),"",IF((AND(FIND('112'!$M$9,G5027,1)&gt;=1,B5027='112'!$K$9,OR($N5027='112'!$I$6,$O5027='112'!$I$6))),"x",""))</f>
        <v/>
      </c>
      <c r="U5027" s="75" t="str">
        <f>IF(ISERROR(FIND('112'!$M$9,G5027,1)),"",IF((AND(LEFT(G5027,2)=LEFT('112'!$M$9,2),B5027&lt;'112'!$K$9,$N5027='112'!$I$6)),"x",""))</f>
        <v/>
      </c>
      <c r="V5027" s="75" t="str">
        <f>IF(ISERROR(FIND('112'!$M$9,G5027,1)),"",IF((AND(RIGHT(G5027,2)=RIGHT('112'!$M$9,2),B5027&lt;'112'!$K$9,$O5027='112'!$I$6)),"x",""))</f>
        <v/>
      </c>
      <c r="W5027" s="75" t="str">
        <f>IF(AND('341-CT'!$H$9=H5027,OR(LEFT(N5027,3)=$W$7,LEFT(O5027,3)=$W$7)),"x","")</f>
        <v/>
      </c>
      <c r="X5027" s="75" t="str">
        <f>IF(OR(TH!N3958=TH!$X$7,O5027=TH!$X$7),"x","")</f>
        <v/>
      </c>
      <c r="Y5027" s="75" t="str">
        <f>IF(AND(OR(N5027="131",O5027="131"),H5027='131-CT'!$H$9),"x","")</f>
        <v/>
      </c>
      <c r="Z5027" s="75"/>
      <c r="AA5027" s="75" t="str">
        <f>IF(AND(MONTH(E5027)='IN-NX'!$J$5,'IN-NX'!$D$7=D5027),"x","")</f>
        <v/>
      </c>
      <c r="AB5027" s="75" t="str">
        <f>IF(AND(OR(LEFT(TH!N3958,2)="15",LEFT(TH!O3958,2)="15"),LEFT(TH!O3958,3)&lt;&gt;"111",'152-CT'!$J$8=TH!F3958),"x","")</f>
        <v/>
      </c>
      <c r="AC5027" s="75" t="str">
        <f>IF(AND(OR(LEFT(TH!N3958,2)="15",LEFT(TH!O3958,2)="15"),TK!$E$7=TH!F3958),"x","")</f>
        <v/>
      </c>
      <c r="AD5027" s="75" t="str">
        <f>IF(AND(N5027="1521",MONTH(C5027)='BK-NL'!$M$11),"x","")</f>
        <v/>
      </c>
      <c r="AE5027">
        <v>10</v>
      </c>
    </row>
    <row r="5028" spans="1:33" ht="16.5" customHeight="1">
      <c r="A5028" s="309" t="str">
        <f>IF(B5028&lt;&gt;"",IF(AND(B5028='IN-TC'!$S$4,OR(TH!N5016="1111",TH!O5016="1111")),TH!D5016,""),"")</f>
        <v/>
      </c>
      <c r="B5028" s="1244">
        <f t="shared" si="1342"/>
        <v>10</v>
      </c>
      <c r="C5028" s="292">
        <f t="shared" si="1341"/>
        <v>43010</v>
      </c>
      <c r="D5028" s="292"/>
      <c r="E5028" s="292">
        <v>43010</v>
      </c>
      <c r="F5028" s="67" t="s">
        <v>1328</v>
      </c>
      <c r="G5028" s="925" t="s">
        <v>2719</v>
      </c>
      <c r="H5028" s="294" t="s">
        <v>948</v>
      </c>
      <c r="I5028" s="373"/>
      <c r="J5028" s="926"/>
      <c r="K5028" s="373"/>
      <c r="L5028" s="379"/>
      <c r="M5028" s="927">
        <v>818182</v>
      </c>
      <c r="N5028" s="295" t="s">
        <v>539</v>
      </c>
      <c r="O5028" s="295" t="s">
        <v>63</v>
      </c>
      <c r="P5028" s="75" t="str">
        <f>IF(AND('331-CT'!$E$7=TH!H3957,OR(N5028="331",O5028="331")),"x","")</f>
        <v/>
      </c>
      <c r="Q5028" s="75" t="str">
        <f>IF(AND(B5028='111'!$L$11,OR($N5028=$Q$7,$O5028=$Q$7)),"x","")</f>
        <v/>
      </c>
      <c r="R5028" s="75" t="str">
        <f>IF(AND($N5028=$Q$7,$B5028&lt;'111'!$L$11),"x","")</f>
        <v/>
      </c>
      <c r="S5028" s="75" t="str">
        <f>IF(AND($O5028=$Q$7,$B5028&lt;'111'!$L$11),"x","")</f>
        <v>x</v>
      </c>
      <c r="T5028" s="75" t="str">
        <f>IF(ISERROR(FIND('112'!$M$9,G5028,1)),"",IF((AND(FIND('112'!$M$9,G5028,1)&gt;=1,B5028='112'!$K$9,OR($N5028='112'!$I$6,$O5028='112'!$I$6))),"x",""))</f>
        <v/>
      </c>
      <c r="U5028" s="75" t="str">
        <f>IF(ISERROR(FIND('112'!$M$9,G5028,1)),"",IF((AND(LEFT(G5028,2)=LEFT('112'!$M$9,2),B5028&lt;'112'!$K$9,$N5028='112'!$I$6)),"x",""))</f>
        <v/>
      </c>
      <c r="V5028" s="75" t="str">
        <f>IF(ISERROR(FIND('112'!$M$9,G5028,1)),"",IF((AND(RIGHT(G5028,2)=RIGHT('112'!$M$9,2),B5028&lt;'112'!$K$9,$O5028='112'!$I$6)),"x",""))</f>
        <v/>
      </c>
      <c r="W5028" s="75" t="str">
        <f>IF(AND('341-CT'!$H$9=H5028,OR(LEFT(N5028,3)=$W$7,LEFT(O5028,3)=$W$7)),"x","")</f>
        <v/>
      </c>
      <c r="X5028" s="75" t="str">
        <f>IF(OR(TH!N3957=TH!$X$7,O5028=TH!$X$7),"x","")</f>
        <v/>
      </c>
      <c r="Y5028" s="75" t="str">
        <f>IF(AND(OR(N5028="131",O5028="131"),H5028='131-CT'!$H$9),"x","")</f>
        <v/>
      </c>
      <c r="Z5028" s="75"/>
      <c r="AA5028" s="75" t="str">
        <f>IF(AND(MONTH(E5028)='IN-NX'!$J$5,'IN-NX'!$D$7=D5028),"x","")</f>
        <v/>
      </c>
      <c r="AB5028" s="75" t="str">
        <f>IF(AND(OR(LEFT(TH!N3957,2)="15",LEFT(TH!O3957,2)="15"),LEFT(TH!O3957,3)&lt;&gt;"111",'152-CT'!$J$8=TH!F3957),"x","")</f>
        <v/>
      </c>
      <c r="AC5028" s="75" t="str">
        <f>IF(AND(OR(LEFT(TH!N3957,2)="15",LEFT(TH!O3957,2)="15"),TK!$E$7=TH!F3957),"x","")</f>
        <v/>
      </c>
      <c r="AD5028" s="75" t="str">
        <f>IF(AND(N5028="1521",MONTH(C5028)='BK-NL'!$M$11),"x","")</f>
        <v/>
      </c>
      <c r="AE5028">
        <v>11</v>
      </c>
    </row>
    <row r="5029" spans="1:33" ht="16.5" customHeight="1">
      <c r="A5029" s="309" t="str">
        <f>IF(B5029&lt;&gt;"",IF(AND(B5029='IN-TC'!$S$4,OR(TH!N5017="1111",TH!O5017="1111")),TH!D5017,""),"")</f>
        <v/>
      </c>
      <c r="B5029" s="1244">
        <f t="shared" si="1342"/>
        <v>10</v>
      </c>
      <c r="C5029" s="292">
        <f t="shared" si="1341"/>
        <v>43010</v>
      </c>
      <c r="D5029" s="292"/>
      <c r="E5029" s="292">
        <v>43010</v>
      </c>
      <c r="F5029" s="67" t="s">
        <v>1329</v>
      </c>
      <c r="G5029" s="925" t="s">
        <v>2719</v>
      </c>
      <c r="H5029" s="294" t="s">
        <v>948</v>
      </c>
      <c r="I5029" s="373"/>
      <c r="J5029" s="926"/>
      <c r="K5029" s="373"/>
      <c r="L5029" s="379"/>
      <c r="M5029" s="927">
        <v>81818</v>
      </c>
      <c r="N5029" s="295" t="s">
        <v>9</v>
      </c>
      <c r="O5029" s="295" t="s">
        <v>63</v>
      </c>
      <c r="P5029" s="75" t="str">
        <f>IF(AND('331-CT'!$E$7=TH!H3959,OR(N5029="331",O5029="331")),"x","")</f>
        <v/>
      </c>
      <c r="Q5029" s="75" t="str">
        <f>IF(AND(B5029='111'!$L$11,OR($N5029=$Q$7,$O5029=$Q$7)),"x","")</f>
        <v/>
      </c>
      <c r="R5029" s="75" t="str">
        <f>IF(AND($N5029=$Q$7,$B5029&lt;'111'!$L$11),"x","")</f>
        <v/>
      </c>
      <c r="S5029" s="75" t="str">
        <f>IF(AND($O5029=$Q$7,$B5029&lt;'111'!$L$11),"x","")</f>
        <v>x</v>
      </c>
      <c r="T5029" s="75" t="str">
        <f>IF(ISERROR(FIND('112'!$M$9,G5029,1)),"",IF((AND(FIND('112'!$M$9,G5029,1)&gt;=1,B5029='112'!$K$9,OR($N5029='112'!$I$6,$O5029='112'!$I$6))),"x",""))</f>
        <v/>
      </c>
      <c r="U5029" s="75" t="str">
        <f>IF(ISERROR(FIND('112'!$M$9,G5029,1)),"",IF((AND(LEFT(G5029,2)=LEFT('112'!$M$9,2),B5029&lt;'112'!$K$9,$N5029='112'!$I$6)),"x",""))</f>
        <v/>
      </c>
      <c r="V5029" s="75" t="str">
        <f>IF(ISERROR(FIND('112'!$M$9,G5029,1)),"",IF((AND(RIGHT(G5029,2)=RIGHT('112'!$M$9,2),B5029&lt;'112'!$K$9,$O5029='112'!$I$6)),"x",""))</f>
        <v/>
      </c>
      <c r="W5029" s="75" t="str">
        <f>IF(AND('341-CT'!$H$9=H5029,OR(LEFT(N5029,3)=$W$7,LEFT(O5029,3)=$W$7)),"x","")</f>
        <v/>
      </c>
      <c r="X5029" s="75" t="str">
        <f>IF(OR(TH!N3959=TH!$X$7,O5029=TH!$X$7),"x","")</f>
        <v/>
      </c>
      <c r="Y5029" s="75" t="str">
        <f>IF(AND(OR(N5029="131",O5029="131"),H5029='131-CT'!$H$9),"x","")</f>
        <v/>
      </c>
      <c r="Z5029" s="75"/>
      <c r="AA5029" s="75" t="str">
        <f>IF(AND(MONTH(E5029)='IN-NX'!$J$5,'IN-NX'!$D$7=D5029),"x","")</f>
        <v/>
      </c>
      <c r="AB5029" s="75" t="str">
        <f>IF(AND(OR(LEFT(TH!N3959,2)="15",LEFT(TH!O3959,2)="15"),LEFT(TH!O3959,3)&lt;&gt;"111",'152-CT'!$J$8=TH!F3959),"x","")</f>
        <v/>
      </c>
      <c r="AC5029" s="75" t="str">
        <f>IF(AND(OR(LEFT(TH!N3959,2)="15",LEFT(TH!O3959,2)="15"),TK!$E$7=TH!F3959),"x","")</f>
        <v/>
      </c>
      <c r="AD5029" s="75" t="str">
        <f>IF(AND(N5029="1521",MONTH(C5029)='BK-NL'!$M$11),"x","")</f>
        <v/>
      </c>
      <c r="AE5029">
        <v>11</v>
      </c>
    </row>
    <row r="5030" spans="1:33" ht="16.5" customHeight="1">
      <c r="A5030" s="309" t="str">
        <f>IF(B5030&lt;&gt;"",IF(AND(B5030='IN-TC'!$S$4,OR(TH!N5018="1111",TH!O5018="1111")),TH!D5018,""),"")</f>
        <v/>
      </c>
      <c r="B5030" s="1244">
        <f t="shared" si="1342"/>
        <v>10</v>
      </c>
      <c r="C5030" s="292">
        <f t="shared" si="1341"/>
        <v>43010</v>
      </c>
      <c r="D5030" s="59" t="s">
        <v>902</v>
      </c>
      <c r="E5030" s="59">
        <v>43010</v>
      </c>
      <c r="F5030" s="67" t="s">
        <v>2317</v>
      </c>
      <c r="G5030" s="62" t="s">
        <v>1713</v>
      </c>
      <c r="H5030" s="67" t="s">
        <v>563</v>
      </c>
      <c r="I5030" s="373"/>
      <c r="J5030" s="382"/>
      <c r="K5030" s="373"/>
      <c r="L5030" s="379"/>
      <c r="M5030" s="60">
        <v>59484040</v>
      </c>
      <c r="N5030" s="61" t="s">
        <v>8</v>
      </c>
      <c r="O5030" s="61" t="s">
        <v>26</v>
      </c>
      <c r="P5030" s="75" t="str">
        <f>IF(AND('331-CT'!$E$7=TH!H4509,OR(N5030="331",O5030="331")),"x","")</f>
        <v/>
      </c>
      <c r="Q5030" s="75" t="str">
        <f>IF(AND(B5030='111'!$L$11,OR($N5030=$Q$7,$O5030=$Q$7)),"x","")</f>
        <v/>
      </c>
      <c r="R5030" s="75" t="str">
        <f>IF(AND($N5030=$Q$7,$B5030&lt;'111'!$L$11),"x","")</f>
        <v/>
      </c>
      <c r="S5030" s="75" t="str">
        <f>IF(AND($O5030=$Q$7,$B5030&lt;'111'!$L$11),"x","")</f>
        <v/>
      </c>
      <c r="T5030" s="75" t="str">
        <f>IF(ISERROR(FIND('112'!$M$9,G5030,1)),"",IF((AND(FIND('112'!$M$9,G5030,1)&gt;=1,B5030='112'!$K$9,OR($N5030='112'!$I$6,$O5030='112'!$I$6))),"x",""))</f>
        <v/>
      </c>
      <c r="U5030" s="75" t="str">
        <f>IF(ISERROR(FIND('112'!$M$9,G5030,1)),"",IF((AND(LEFT(G5030,2)=LEFT('112'!$M$9,2),B5030&lt;'112'!$K$9,$N5030='112'!$I$6)),"x",""))</f>
        <v/>
      </c>
      <c r="V5030" s="75" t="str">
        <f>IF(ISERROR(FIND('112'!$M$9,G5030,1)),"",IF((AND(RIGHT(G5030,2)=RIGHT('112'!$M$9,2),B5030&lt;'112'!$K$9,$O5030='112'!$I$6)),"x",""))</f>
        <v/>
      </c>
      <c r="W5030" s="75" t="str">
        <f>IF(AND('341-CT'!$H$9=H5030,OR(LEFT(N5030,3)=$W$7,LEFT(O5030,3)=$W$7)),"x","")</f>
        <v/>
      </c>
      <c r="X5030" s="75" t="str">
        <f>IF(OR(TH!N4509=TH!$X$7,O5030=TH!$X$7),"x","")</f>
        <v/>
      </c>
      <c r="Y5030" s="75" t="str">
        <f>IF(AND(OR(N5030="131",O5030="131"),H5030='131-CT'!$H$9),"x","")</f>
        <v/>
      </c>
      <c r="Z5030" s="75"/>
      <c r="AA5030" s="75" t="str">
        <f>IF(AND(MONTH(E5030)='IN-NX'!$J$5,'IN-NX'!$D$7=D5030),"x","")</f>
        <v/>
      </c>
      <c r="AB5030" s="75" t="str">
        <f>IF(AND(OR(LEFT(TH!N4509,2)="15",LEFT(TH!O4509,2)="15"),LEFT(TH!O4509,3)&lt;&gt;"111",'152-CT'!$J$8=TH!F4509),"x","")</f>
        <v/>
      </c>
      <c r="AC5030" s="75" t="str">
        <f>IF(AND(OR(LEFT(TH!N4509,2)="15",LEFT(TH!O4509,2)="15"),TK!$E$7=TH!F4509),"x","")</f>
        <v/>
      </c>
      <c r="AD5030" s="75" t="str">
        <f>IF(AND(N5030="1521",MONTH(C5030)='BK-NL'!$M$11),"x","")</f>
        <v/>
      </c>
      <c r="AE5030" s="1053"/>
      <c r="AF5030" s="1053"/>
      <c r="AG5030" s="1053"/>
    </row>
    <row r="5031" spans="1:33" ht="16.5" customHeight="1">
      <c r="A5031" s="309" t="str">
        <f>IF(B5031&lt;&gt;"",IF(AND(B5031='IN-TC'!$S$4,OR(TH!N5019="1111",TH!O5019="1111")),TH!D5019,""),"")</f>
        <v/>
      </c>
      <c r="B5031" s="1244">
        <f t="shared" si="1342"/>
        <v>10</v>
      </c>
      <c r="C5031" s="292">
        <f t="shared" si="1341"/>
        <v>43010</v>
      </c>
      <c r="D5031" s="59" t="s">
        <v>902</v>
      </c>
      <c r="E5031" s="59">
        <v>43010</v>
      </c>
      <c r="F5031" s="67" t="s">
        <v>1307</v>
      </c>
      <c r="G5031" s="62" t="s">
        <v>1713</v>
      </c>
      <c r="H5031" s="67" t="s">
        <v>1771</v>
      </c>
      <c r="I5031" s="373"/>
      <c r="J5031" s="382"/>
      <c r="K5031" s="373"/>
      <c r="L5031" s="379"/>
      <c r="M5031" s="60">
        <v>15000</v>
      </c>
      <c r="N5031" s="61" t="s">
        <v>101</v>
      </c>
      <c r="O5031" s="61" t="s">
        <v>26</v>
      </c>
      <c r="P5031" s="75" t="str">
        <f>IF(AND('331-CT'!$E$7=TH!H4510,OR(N5031="331",O5031="331")),"x","")</f>
        <v/>
      </c>
      <c r="Q5031" s="75" t="str">
        <f>IF(AND(B5031='111'!$L$11,OR($N5031=$Q$7,$O5031=$Q$7)),"x","")</f>
        <v/>
      </c>
      <c r="R5031" s="75" t="str">
        <f>IF(AND($N5031=$Q$7,$B5031&lt;'111'!$L$11),"x","")</f>
        <v/>
      </c>
      <c r="S5031" s="75" t="str">
        <f>IF(AND($O5031=$Q$7,$B5031&lt;'111'!$L$11),"x","")</f>
        <v/>
      </c>
      <c r="T5031" s="75" t="str">
        <f>IF(ISERROR(FIND('112'!$M$9,G5031,1)),"",IF((AND(FIND('112'!$M$9,G5031,1)&gt;=1,B5031='112'!$K$9,OR($N5031='112'!$I$6,$O5031='112'!$I$6))),"x",""))</f>
        <v/>
      </c>
      <c r="U5031" s="75" t="str">
        <f>IF(ISERROR(FIND('112'!$M$9,G5031,1)),"",IF((AND(LEFT(G5031,2)=LEFT('112'!$M$9,2),B5031&lt;'112'!$K$9,$N5031='112'!$I$6)),"x",""))</f>
        <v/>
      </c>
      <c r="V5031" s="75" t="str">
        <f>IF(ISERROR(FIND('112'!$M$9,G5031,1)),"",IF((AND(RIGHT(G5031,2)=RIGHT('112'!$M$9,2),B5031&lt;'112'!$K$9,$O5031='112'!$I$6)),"x",""))</f>
        <v/>
      </c>
      <c r="W5031" s="75" t="str">
        <f>IF(AND('341-CT'!$H$9=H5031,OR(LEFT(N5031,3)=$W$7,LEFT(O5031,3)=$W$7)),"x","")</f>
        <v/>
      </c>
      <c r="X5031" s="75" t="str">
        <f>IF(OR(TH!N4510=TH!$X$7,O5031=TH!$X$7),"x","")</f>
        <v/>
      </c>
      <c r="Y5031" s="75" t="str">
        <f>IF(AND(OR(N5031="131",O5031="131"),H5031='131-CT'!$H$9),"x","")</f>
        <v/>
      </c>
      <c r="Z5031" s="75"/>
      <c r="AA5031" s="75" t="str">
        <f>IF(AND(MONTH(E5031)='IN-NX'!$J$5,'IN-NX'!$D$7=D5031),"x","")</f>
        <v/>
      </c>
      <c r="AB5031" s="75" t="str">
        <f>IF(AND(OR(LEFT(TH!N4510,2)="15",LEFT(TH!O4510,2)="15"),LEFT(TH!O4510,3)&lt;&gt;"111",'152-CT'!$J$8=TH!F4510),"x","")</f>
        <v/>
      </c>
      <c r="AC5031" s="75" t="str">
        <f>IF(AND(OR(LEFT(TH!N4510,2)="15",LEFT(TH!O4510,2)="15"),TK!$E$7=TH!F4510),"x","")</f>
        <v/>
      </c>
      <c r="AD5031" s="75" t="str">
        <f>IF(AND(N5031="1521",MONTH(C5031)='BK-NL'!$M$11),"x","")</f>
        <v/>
      </c>
      <c r="AE5031">
        <v>10</v>
      </c>
      <c r="AF5031" s="1053"/>
      <c r="AG5031" s="1053"/>
    </row>
    <row r="5032" spans="1:33" ht="16.5" customHeight="1">
      <c r="A5032" s="309" t="str">
        <f>IF(B5032&lt;&gt;"",IF(AND(B5032='IN-TC'!$S$4,OR(TH!N5020="1111",TH!O5020="1111")),TH!D5020,""),"")</f>
        <v/>
      </c>
      <c r="B5032" s="1244">
        <f t="shared" si="1342"/>
        <v>10</v>
      </c>
      <c r="C5032" s="292">
        <f t="shared" si="1341"/>
        <v>43010</v>
      </c>
      <c r="D5032" s="59" t="s">
        <v>902</v>
      </c>
      <c r="E5032" s="59">
        <v>43010</v>
      </c>
      <c r="F5032" s="67" t="s">
        <v>1314</v>
      </c>
      <c r="G5032" s="62" t="s">
        <v>1713</v>
      </c>
      <c r="H5032" s="67" t="s">
        <v>1771</v>
      </c>
      <c r="I5032" s="373"/>
      <c r="J5032" s="382"/>
      <c r="K5032" s="373"/>
      <c r="L5032" s="379"/>
      <c r="M5032" s="60">
        <v>1500</v>
      </c>
      <c r="N5032" s="61" t="s">
        <v>9</v>
      </c>
      <c r="O5032" s="61" t="s">
        <v>26</v>
      </c>
      <c r="P5032" s="75" t="str">
        <f>IF(AND('331-CT'!$E$7=TH!H4511,OR(N5032="331",O5032="331")),"x","")</f>
        <v/>
      </c>
      <c r="Q5032" s="75" t="str">
        <f>IF(AND(B5032='111'!$L$11,OR($N5032=$Q$7,$O5032=$Q$7)),"x","")</f>
        <v/>
      </c>
      <c r="R5032" s="75" t="str">
        <f>IF(AND($N5032=$Q$7,$B5032&lt;'111'!$L$11),"x","")</f>
        <v/>
      </c>
      <c r="S5032" s="75" t="str">
        <f>IF(AND($O5032=$Q$7,$B5032&lt;'111'!$L$11),"x","")</f>
        <v/>
      </c>
      <c r="T5032" s="75" t="str">
        <f>IF(ISERROR(FIND('112'!$M$9,G5032,1)),"",IF((AND(FIND('112'!$M$9,G5032,1)&gt;=1,B5032='112'!$K$9,OR($N5032='112'!$I$6,$O5032='112'!$I$6))),"x",""))</f>
        <v/>
      </c>
      <c r="U5032" s="75" t="str">
        <f>IF(ISERROR(FIND('112'!$M$9,G5032,1)),"",IF((AND(LEFT(G5032,2)=LEFT('112'!$M$9,2),B5032&lt;'112'!$K$9,$N5032='112'!$I$6)),"x",""))</f>
        <v/>
      </c>
      <c r="V5032" s="75" t="str">
        <f>IF(ISERROR(FIND('112'!$M$9,G5032,1)),"",IF((AND(RIGHT(G5032,2)=RIGHT('112'!$M$9,2),B5032&lt;'112'!$K$9,$O5032='112'!$I$6)),"x",""))</f>
        <v/>
      </c>
      <c r="W5032" s="75" t="str">
        <f>IF(AND('341-CT'!$H$9=H5032,OR(LEFT(N5032,3)=$W$7,LEFT(O5032,3)=$W$7)),"x","")</f>
        <v/>
      </c>
      <c r="X5032" s="75" t="str">
        <f>IF(OR(TH!N4511=TH!$X$7,O5032=TH!$X$7),"x","")</f>
        <v/>
      </c>
      <c r="Y5032" s="75" t="str">
        <f>IF(AND(OR(N5032="131",O5032="131"),H5032='131-CT'!$H$9),"x","")</f>
        <v/>
      </c>
      <c r="Z5032" s="75"/>
      <c r="AA5032" s="75" t="str">
        <f>IF(AND(MONTH(E5032)='IN-NX'!$J$5,'IN-NX'!$D$7=D5032),"x","")</f>
        <v/>
      </c>
      <c r="AB5032" s="75" t="str">
        <f>IF(AND(OR(LEFT(TH!N4511,2)="15",LEFT(TH!O4511,2)="15"),LEFT(TH!O4511,3)&lt;&gt;"111",'152-CT'!$J$8=TH!F4511),"x","")</f>
        <v/>
      </c>
      <c r="AC5032" s="75" t="str">
        <f>IF(AND(OR(LEFT(TH!N4511,2)="15",LEFT(TH!O4511,2)="15"),TK!$E$7=TH!F4511),"x","")</f>
        <v/>
      </c>
      <c r="AD5032" s="75" t="str">
        <f>IF(AND(N5032="1521",MONTH(C5032)='BK-NL'!$M$11),"x","")</f>
        <v/>
      </c>
      <c r="AE5032">
        <v>10</v>
      </c>
      <c r="AF5032" s="1053"/>
      <c r="AG5032" s="1053"/>
    </row>
    <row r="5033" spans="1:33" ht="16.5" customHeight="1">
      <c r="A5033" s="309" t="str">
        <f>IF(B5033&lt;&gt;"",IF(AND(B5033='IN-TC'!$S$4,OR(TH!N5021="1111",TH!O5021="1111")),TH!D5021,""),"")</f>
        <v/>
      </c>
      <c r="B5033" s="1244">
        <f t="shared" si="1342"/>
        <v>10</v>
      </c>
      <c r="C5033" s="292">
        <f t="shared" si="1341"/>
        <v>43010</v>
      </c>
      <c r="D5033" s="59" t="s">
        <v>902</v>
      </c>
      <c r="E5033" s="59">
        <v>43010</v>
      </c>
      <c r="F5033" s="67" t="s">
        <v>899</v>
      </c>
      <c r="G5033" s="62" t="s">
        <v>1713</v>
      </c>
      <c r="H5033" s="67" t="s">
        <v>740</v>
      </c>
      <c r="I5033" s="373"/>
      <c r="J5033" s="382"/>
      <c r="K5033" s="373"/>
      <c r="L5033" s="379"/>
      <c r="M5033" s="60">
        <v>18810000</v>
      </c>
      <c r="N5033" s="61" t="s">
        <v>8</v>
      </c>
      <c r="O5033" s="61" t="s">
        <v>26</v>
      </c>
      <c r="P5033" s="75" t="str">
        <f>IF(AND('331-CT'!$E$7=TH!H4512,OR(N5033="331",O5033="331")),"x","")</f>
        <v/>
      </c>
      <c r="Q5033" s="75" t="str">
        <f>IF(AND(B5033='111'!$L$11,OR($N5033=$Q$7,$O5033=$Q$7)),"x","")</f>
        <v/>
      </c>
      <c r="R5033" s="75" t="str">
        <f>IF(AND($N5033=$Q$7,$B5033&lt;'111'!$L$11),"x","")</f>
        <v/>
      </c>
      <c r="S5033" s="75" t="str">
        <f>IF(AND($O5033=$Q$7,$B5033&lt;'111'!$L$11),"x","")</f>
        <v/>
      </c>
      <c r="T5033" s="75" t="str">
        <f>IF(ISERROR(FIND('112'!$M$9,G5033,1)),"",IF((AND(FIND('112'!$M$9,G5033,1)&gt;=1,B5033='112'!$K$9,OR($N5033='112'!$I$6,$O5033='112'!$I$6))),"x",""))</f>
        <v/>
      </c>
      <c r="U5033" s="75" t="str">
        <f>IF(ISERROR(FIND('112'!$M$9,G5033,1)),"",IF((AND(LEFT(G5033,2)=LEFT('112'!$M$9,2),B5033&lt;'112'!$K$9,$N5033='112'!$I$6)),"x",""))</f>
        <v/>
      </c>
      <c r="V5033" s="75" t="str">
        <f>IF(ISERROR(FIND('112'!$M$9,G5033,1)),"",IF((AND(RIGHT(G5033,2)=RIGHT('112'!$M$9,2),B5033&lt;'112'!$K$9,$O5033='112'!$I$6)),"x",""))</f>
        <v/>
      </c>
      <c r="W5033" s="75" t="str">
        <f>IF(AND('341-CT'!$H$9=H5033,OR(LEFT(N5033,3)=$W$7,LEFT(O5033,3)=$W$7)),"x","")</f>
        <v/>
      </c>
      <c r="X5033" s="75" t="str">
        <f>IF(OR(TH!N4512=TH!$X$7,O5033=TH!$X$7),"x","")</f>
        <v/>
      </c>
      <c r="Y5033" s="75" t="str">
        <f>IF(AND(OR(N5033="131",O5033="131"),H5033='131-CT'!$H$9),"x","")</f>
        <v/>
      </c>
      <c r="Z5033" s="75"/>
      <c r="AA5033" s="75" t="str">
        <f>IF(AND(MONTH(E5033)='IN-NX'!$J$5,'IN-NX'!$D$7=D5033),"x","")</f>
        <v/>
      </c>
      <c r="AB5033" s="75" t="str">
        <f>IF(AND(OR(LEFT(TH!N4512,2)="15",LEFT(TH!O4512,2)="15"),LEFT(TH!O4512,3)&lt;&gt;"111",'152-CT'!$J$8=TH!F4512),"x","")</f>
        <v/>
      </c>
      <c r="AC5033" s="75" t="str">
        <f>IF(AND(OR(LEFT(TH!N4512,2)="15",LEFT(TH!O4512,2)="15"),TK!$E$7=TH!F4512),"x","")</f>
        <v/>
      </c>
      <c r="AD5033" s="75" t="str">
        <f>IF(AND(N5033="1521",MONTH(C5033)='BK-NL'!$M$11),"x","")</f>
        <v/>
      </c>
      <c r="AE5033" s="1053"/>
      <c r="AF5033" s="1053"/>
      <c r="AG5033" s="1053"/>
    </row>
    <row r="5034" spans="1:33" ht="16.5" customHeight="1">
      <c r="A5034" s="309" t="str">
        <f>IF(B5034&lt;&gt;"",IF(AND(B5034='IN-TC'!$S$4,OR(TH!N5022="1111",TH!O5022="1111")),TH!D5022,""),"")</f>
        <v/>
      </c>
      <c r="B5034" s="1244">
        <f t="shared" si="1342"/>
        <v>10</v>
      </c>
      <c r="C5034" s="292">
        <f t="shared" si="1341"/>
        <v>43010</v>
      </c>
      <c r="D5034" s="59" t="s">
        <v>902</v>
      </c>
      <c r="E5034" s="59">
        <v>43010</v>
      </c>
      <c r="F5034" s="67" t="s">
        <v>1307</v>
      </c>
      <c r="G5034" s="62" t="s">
        <v>1713</v>
      </c>
      <c r="H5034" s="67" t="s">
        <v>1771</v>
      </c>
      <c r="I5034" s="373"/>
      <c r="J5034" s="382"/>
      <c r="K5034" s="373"/>
      <c r="L5034" s="379"/>
      <c r="M5034" s="60">
        <v>15000</v>
      </c>
      <c r="N5034" s="61" t="s">
        <v>101</v>
      </c>
      <c r="O5034" s="61" t="s">
        <v>26</v>
      </c>
      <c r="P5034" s="75" t="str">
        <f>IF(AND('331-CT'!$E$7=TH!H4513,OR(N5034="331",O5034="331")),"x","")</f>
        <v/>
      </c>
      <c r="Q5034" s="75" t="str">
        <f>IF(AND(B5034='111'!$L$11,OR($N5034=$Q$7,$O5034=$Q$7)),"x","")</f>
        <v/>
      </c>
      <c r="R5034" s="75" t="str">
        <f>IF(AND($N5034=$Q$7,$B5034&lt;'111'!$L$11),"x","")</f>
        <v/>
      </c>
      <c r="S5034" s="75" t="str">
        <f>IF(AND($O5034=$Q$7,$B5034&lt;'111'!$L$11),"x","")</f>
        <v/>
      </c>
      <c r="T5034" s="75" t="str">
        <f>IF(ISERROR(FIND('112'!$M$9,G5034,1)),"",IF((AND(FIND('112'!$M$9,G5034,1)&gt;=1,B5034='112'!$K$9,OR($N5034='112'!$I$6,$O5034='112'!$I$6))),"x",""))</f>
        <v/>
      </c>
      <c r="U5034" s="75" t="str">
        <f>IF(ISERROR(FIND('112'!$M$9,G5034,1)),"",IF((AND(LEFT(G5034,2)=LEFT('112'!$M$9,2),B5034&lt;'112'!$K$9,$N5034='112'!$I$6)),"x",""))</f>
        <v/>
      </c>
      <c r="V5034" s="75" t="str">
        <f>IF(ISERROR(FIND('112'!$M$9,G5034,1)),"",IF((AND(RIGHT(G5034,2)=RIGHT('112'!$M$9,2),B5034&lt;'112'!$K$9,$O5034='112'!$I$6)),"x",""))</f>
        <v/>
      </c>
      <c r="W5034" s="75" t="str">
        <f>IF(AND('341-CT'!$H$9=H5034,OR(LEFT(N5034,3)=$W$7,LEFT(O5034,3)=$W$7)),"x","")</f>
        <v/>
      </c>
      <c r="X5034" s="75" t="str">
        <f>IF(OR(TH!N4513=TH!$X$7,O5034=TH!$X$7),"x","")</f>
        <v/>
      </c>
      <c r="Y5034" s="75" t="str">
        <f>IF(AND(OR(N5034="131",O5034="131"),H5034='131-CT'!$H$9),"x","")</f>
        <v/>
      </c>
      <c r="Z5034" s="75"/>
      <c r="AA5034" s="75" t="str">
        <f>IF(AND(MONTH(E5034)='IN-NX'!$J$5,'IN-NX'!$D$7=D5034),"x","")</f>
        <v/>
      </c>
      <c r="AB5034" s="75" t="str">
        <f>IF(AND(OR(LEFT(TH!N4513,2)="15",LEFT(TH!O4513,2)="15"),LEFT(TH!O4513,3)&lt;&gt;"111",'152-CT'!$J$8=TH!F4513),"x","")</f>
        <v/>
      </c>
      <c r="AC5034" s="75" t="str">
        <f>IF(AND(OR(LEFT(TH!N4513,2)="15",LEFT(TH!O4513,2)="15"),TK!$E$7=TH!F4513),"x","")</f>
        <v/>
      </c>
      <c r="AD5034" s="75" t="str">
        <f>IF(AND(N5034="1521",MONTH(C5034)='BK-NL'!$M$11),"x","")</f>
        <v/>
      </c>
      <c r="AE5034">
        <v>10</v>
      </c>
      <c r="AF5034" s="1053"/>
      <c r="AG5034" s="1053"/>
    </row>
    <row r="5035" spans="1:33" ht="16.5" customHeight="1">
      <c r="A5035" s="309" t="str">
        <f>IF(B5035&lt;&gt;"",IF(AND(B5035='IN-TC'!$S$4,OR(TH!N5023="1111",TH!O5023="1111")),TH!D5023,""),"")</f>
        <v/>
      </c>
      <c r="B5035" s="1244">
        <f t="shared" si="1342"/>
        <v>10</v>
      </c>
      <c r="C5035" s="292">
        <f t="shared" si="1341"/>
        <v>43010</v>
      </c>
      <c r="D5035" s="59" t="s">
        <v>902</v>
      </c>
      <c r="E5035" s="59">
        <v>43010</v>
      </c>
      <c r="F5035" s="67" t="s">
        <v>1314</v>
      </c>
      <c r="G5035" s="62" t="s">
        <v>1713</v>
      </c>
      <c r="H5035" s="67" t="s">
        <v>1771</v>
      </c>
      <c r="I5035" s="373"/>
      <c r="J5035" s="382"/>
      <c r="K5035" s="373"/>
      <c r="L5035" s="379"/>
      <c r="M5035" s="60">
        <v>1500</v>
      </c>
      <c r="N5035" s="61" t="s">
        <v>9</v>
      </c>
      <c r="O5035" s="61" t="s">
        <v>26</v>
      </c>
      <c r="P5035" s="75" t="str">
        <f>IF(AND('331-CT'!$E$7=TH!H4514,OR(N5035="331",O5035="331")),"x","")</f>
        <v/>
      </c>
      <c r="Q5035" s="75" t="str">
        <f>IF(AND(B5035='111'!$L$11,OR($N5035=$Q$7,$O5035=$Q$7)),"x","")</f>
        <v/>
      </c>
      <c r="R5035" s="75" t="str">
        <f>IF(AND($N5035=$Q$7,$B5035&lt;'111'!$L$11),"x","")</f>
        <v/>
      </c>
      <c r="S5035" s="75" t="str">
        <f>IF(AND($O5035=$Q$7,$B5035&lt;'111'!$L$11),"x","")</f>
        <v/>
      </c>
      <c r="T5035" s="75" t="str">
        <f>IF(ISERROR(FIND('112'!$M$9,G5035,1)),"",IF((AND(FIND('112'!$M$9,G5035,1)&gt;=1,B5035='112'!$K$9,OR($N5035='112'!$I$6,$O5035='112'!$I$6))),"x",""))</f>
        <v/>
      </c>
      <c r="U5035" s="75" t="str">
        <f>IF(ISERROR(FIND('112'!$M$9,G5035,1)),"",IF((AND(LEFT(G5035,2)=LEFT('112'!$M$9,2),B5035&lt;'112'!$K$9,$N5035='112'!$I$6)),"x",""))</f>
        <v/>
      </c>
      <c r="V5035" s="75" t="str">
        <f>IF(ISERROR(FIND('112'!$M$9,G5035,1)),"",IF((AND(RIGHT(G5035,2)=RIGHT('112'!$M$9,2),B5035&lt;'112'!$K$9,$O5035='112'!$I$6)),"x",""))</f>
        <v/>
      </c>
      <c r="W5035" s="75" t="str">
        <f>IF(AND('341-CT'!$H$9=H5035,OR(LEFT(N5035,3)=$W$7,LEFT(O5035,3)=$W$7)),"x","")</f>
        <v/>
      </c>
      <c r="X5035" s="75" t="str">
        <f>IF(OR(TH!N4514=TH!$X$7,O5035=TH!$X$7),"x","")</f>
        <v/>
      </c>
      <c r="Y5035" s="75" t="str">
        <f>IF(AND(OR(N5035="131",O5035="131"),H5035='131-CT'!$H$9),"x","")</f>
        <v/>
      </c>
      <c r="Z5035" s="75"/>
      <c r="AA5035" s="75" t="str">
        <f>IF(AND(MONTH(E5035)='IN-NX'!$J$5,'IN-NX'!$D$7=D5035),"x","")</f>
        <v/>
      </c>
      <c r="AB5035" s="75" t="str">
        <f>IF(AND(OR(LEFT(TH!N4514,2)="15",LEFT(TH!O4514,2)="15"),LEFT(TH!O4514,3)&lt;&gt;"111",'152-CT'!$J$8=TH!F4514),"x","")</f>
        <v/>
      </c>
      <c r="AC5035" s="75" t="str">
        <f>IF(AND(OR(LEFT(TH!N4514,2)="15",LEFT(TH!O4514,2)="15"),TK!$E$7=TH!F4514),"x","")</f>
        <v/>
      </c>
      <c r="AD5035" s="75" t="str">
        <f>IF(AND(N5035="1521",MONTH(C5035)='BK-NL'!$M$11),"x","")</f>
        <v/>
      </c>
      <c r="AE5035">
        <v>10</v>
      </c>
      <c r="AF5035" s="1053"/>
      <c r="AG5035" s="1053"/>
    </row>
    <row r="5036" spans="1:33" s="1053" customFormat="1" ht="16.5" customHeight="1">
      <c r="A5036" s="309" t="str">
        <f>IF(B5036&lt;&gt;"",IF(AND(B5036='IN-TC'!$S$4,OR(TH!N5024="1111",TH!O5024="1111")),TH!D5024,""),"")</f>
        <v/>
      </c>
      <c r="B5036" s="1244">
        <f t="shared" si="1342"/>
        <v>10</v>
      </c>
      <c r="C5036" s="292">
        <f t="shared" si="1341"/>
        <v>43010</v>
      </c>
      <c r="D5036" s="59" t="s">
        <v>902</v>
      </c>
      <c r="E5036" s="59">
        <v>43010</v>
      </c>
      <c r="F5036" s="67" t="s">
        <v>1735</v>
      </c>
      <c r="G5036" s="62" t="s">
        <v>1713</v>
      </c>
      <c r="H5036" s="67" t="s">
        <v>1211</v>
      </c>
      <c r="I5036" s="373"/>
      <c r="J5036" s="382"/>
      <c r="K5036" s="373"/>
      <c r="L5036" s="379"/>
      <c r="M5036" s="60">
        <v>50173492</v>
      </c>
      <c r="N5036" s="61" t="s">
        <v>541</v>
      </c>
      <c r="O5036" s="61" t="s">
        <v>26</v>
      </c>
      <c r="P5036" s="75" t="str">
        <f>IF(AND('331-CT'!$E$7=TH!H4515,OR(N5036="331",O5036="331")),"x","")</f>
        <v/>
      </c>
      <c r="Q5036" s="75" t="str">
        <f>IF(AND(B5036='111'!$L$11,OR($N5036=$Q$7,$O5036=$Q$7)),"x","")</f>
        <v/>
      </c>
      <c r="R5036" s="75" t="str">
        <f>IF(AND($N5036=$Q$7,$B5036&lt;'111'!$L$11),"x","")</f>
        <v/>
      </c>
      <c r="S5036" s="75" t="str">
        <f>IF(AND($O5036=$Q$7,$B5036&lt;'111'!$L$11),"x","")</f>
        <v/>
      </c>
      <c r="T5036" s="75" t="str">
        <f>IF(ISERROR(FIND('112'!$M$9,G5036,1)),"",IF((AND(FIND('112'!$M$9,G5036,1)&gt;=1,B5036='112'!$K$9,OR($N5036='112'!$I$6,$O5036='112'!$I$6))),"x",""))</f>
        <v/>
      </c>
      <c r="U5036" s="75" t="str">
        <f>IF(ISERROR(FIND('112'!$M$9,G5036,1)),"",IF((AND(LEFT(G5036,2)=LEFT('112'!$M$9,2),B5036&lt;'112'!$K$9,$N5036='112'!$I$6)),"x",""))</f>
        <v/>
      </c>
      <c r="V5036" s="75" t="str">
        <f>IF(ISERROR(FIND('112'!$M$9,G5036,1)),"",IF((AND(RIGHT(G5036,2)=RIGHT('112'!$M$9,2),B5036&lt;'112'!$K$9,$O5036='112'!$I$6)),"x",""))</f>
        <v/>
      </c>
      <c r="W5036" s="75" t="str">
        <f>IF(AND('341-CT'!$H$9=H5036,OR(LEFT(N5036,3)=$W$7,LEFT(O5036,3)=$W$7)),"x","")</f>
        <v/>
      </c>
      <c r="X5036" s="75" t="str">
        <f>IF(OR(TH!N4515=TH!$X$7,O5036=TH!$X$7),"x","")</f>
        <v/>
      </c>
      <c r="Y5036" s="75" t="str">
        <f>IF(AND(OR(N5036="131",O5036="131"),H5036='131-CT'!$H$9),"x","")</f>
        <v/>
      </c>
      <c r="Z5036" s="75"/>
      <c r="AA5036" s="75" t="str">
        <f>IF(AND(MONTH(E5036)='IN-NX'!$J$5,'IN-NX'!$D$7=D5036),"x","")</f>
        <v/>
      </c>
      <c r="AB5036" s="75" t="str">
        <f>IF(AND(OR(LEFT(TH!N4515,2)="15",LEFT(TH!O4515,2)="15"),LEFT(TH!O4515,3)&lt;&gt;"111",'152-CT'!$J$8=TH!F4515),"x","")</f>
        <v/>
      </c>
      <c r="AC5036" s="75" t="str">
        <f>IF(AND(OR(LEFT(TH!N4515,2)="15",LEFT(TH!O4515,2)="15"),TK!$E$7=TH!F4515),"x","")</f>
        <v/>
      </c>
      <c r="AD5036" s="75" t="str">
        <f>IF(AND(N5036="1521",MONTH(C5036)='BK-NL'!$M$11),"x","")</f>
        <v/>
      </c>
    </row>
    <row r="5037" spans="1:33" s="1053" customFormat="1" ht="16.5" customHeight="1">
      <c r="A5037" s="309" t="str">
        <f>IF(B5037&lt;&gt;"",IF(AND(B5037='IN-TC'!$S$4,OR(TH!N5025="1111",TH!O5025="1111")),TH!D5025,""),"")</f>
        <v/>
      </c>
      <c r="B5037" s="1244">
        <f t="shared" si="1342"/>
        <v>10</v>
      </c>
      <c r="C5037" s="292">
        <f t="shared" si="1341"/>
        <v>43010</v>
      </c>
      <c r="D5037" s="59" t="s">
        <v>902</v>
      </c>
      <c r="E5037" s="59">
        <v>43010</v>
      </c>
      <c r="F5037" s="67" t="s">
        <v>2673</v>
      </c>
      <c r="G5037" s="62" t="s">
        <v>1713</v>
      </c>
      <c r="H5037" s="67" t="s">
        <v>1211</v>
      </c>
      <c r="I5037" s="373"/>
      <c r="J5037" s="382"/>
      <c r="K5037" s="373"/>
      <c r="L5037" s="379"/>
      <c r="M5037" s="60">
        <v>12396769</v>
      </c>
      <c r="N5037" s="61" t="s">
        <v>542</v>
      </c>
      <c r="O5037" s="61" t="s">
        <v>26</v>
      </c>
      <c r="P5037" s="75" t="str">
        <f>IF(AND('331-CT'!$E$7=TH!H4516,OR(N5037="331",O5037="331")),"x","")</f>
        <v/>
      </c>
      <c r="Q5037" s="75" t="str">
        <f>IF(AND(B5037='111'!$L$11,OR($N5037=$Q$7,$O5037=$Q$7)),"x","")</f>
        <v/>
      </c>
      <c r="R5037" s="75" t="str">
        <f>IF(AND($N5037=$Q$7,$B5037&lt;'111'!$L$11),"x","")</f>
        <v/>
      </c>
      <c r="S5037" s="75" t="str">
        <f>IF(AND($O5037=$Q$7,$B5037&lt;'111'!$L$11),"x","")</f>
        <v/>
      </c>
      <c r="T5037" s="75" t="str">
        <f>IF(ISERROR(FIND('112'!$M$9,G5037,1)),"",IF((AND(FIND('112'!$M$9,G5037,1)&gt;=1,B5037='112'!$K$9,OR($N5037='112'!$I$6,$O5037='112'!$I$6))),"x",""))</f>
        <v/>
      </c>
      <c r="U5037" s="75" t="str">
        <f>IF(ISERROR(FIND('112'!$M$9,G5037,1)),"",IF((AND(LEFT(G5037,2)=LEFT('112'!$M$9,2),B5037&lt;'112'!$K$9,$N5037='112'!$I$6)),"x",""))</f>
        <v/>
      </c>
      <c r="V5037" s="75" t="str">
        <f>IF(ISERROR(FIND('112'!$M$9,G5037,1)),"",IF((AND(RIGHT(G5037,2)=RIGHT('112'!$M$9,2),B5037&lt;'112'!$K$9,$O5037='112'!$I$6)),"x",""))</f>
        <v/>
      </c>
      <c r="W5037" s="75" t="str">
        <f>IF(AND('341-CT'!$H$9=H5037,OR(LEFT(N5037,3)=$W$7,LEFT(O5037,3)=$W$7)),"x","")</f>
        <v/>
      </c>
      <c r="X5037" s="75" t="str">
        <f>IF(OR(TH!N4516=TH!$X$7,O5037=TH!$X$7),"x","")</f>
        <v/>
      </c>
      <c r="Y5037" s="75" t="str">
        <f>IF(AND(OR(N5037="131",O5037="131"),H5037='131-CT'!$H$9),"x","")</f>
        <v/>
      </c>
      <c r="Z5037" s="75"/>
      <c r="AA5037" s="75" t="str">
        <f>IF(AND(MONTH(E5037)='IN-NX'!$J$5,'IN-NX'!$D$7=D5037),"x","")</f>
        <v/>
      </c>
      <c r="AB5037" s="75" t="str">
        <f>IF(AND(OR(LEFT(TH!N4516,2)="15",LEFT(TH!O4516,2)="15"),LEFT(TH!O4516,3)&lt;&gt;"111",'152-CT'!$J$8=TH!F4516),"x","")</f>
        <v/>
      </c>
      <c r="AC5037" s="75" t="str">
        <f>IF(AND(OR(LEFT(TH!N4516,2)="15",LEFT(TH!O4516,2)="15"),TK!$E$7=TH!F4516),"x","")</f>
        <v/>
      </c>
      <c r="AD5037" s="75" t="str">
        <f>IF(AND(N5037="1521",MONTH(C5037)='BK-NL'!$M$11),"x","")</f>
        <v/>
      </c>
    </row>
    <row r="5038" spans="1:33" ht="16.5" customHeight="1">
      <c r="A5038" s="309" t="str">
        <f>IF(B5038&lt;&gt;"",IF(AND(B5038='IN-TC'!$S$4,OR(TH!N5026="1111",TH!O5026="1111")),TH!D5026,""),"")</f>
        <v/>
      </c>
      <c r="B5038" s="1244">
        <f t="shared" si="1342"/>
        <v>10</v>
      </c>
      <c r="C5038" s="292">
        <f t="shared" si="1341"/>
        <v>43010</v>
      </c>
      <c r="D5038" s="59" t="s">
        <v>902</v>
      </c>
      <c r="E5038" s="59">
        <v>43010</v>
      </c>
      <c r="F5038" s="67" t="s">
        <v>2674</v>
      </c>
      <c r="G5038" s="62" t="s">
        <v>1713</v>
      </c>
      <c r="H5038" s="67" t="s">
        <v>1211</v>
      </c>
      <c r="I5038" s="373"/>
      <c r="J5038" s="382"/>
      <c r="K5038" s="373"/>
      <c r="L5038" s="379"/>
      <c r="M5038" s="60">
        <v>6382569</v>
      </c>
      <c r="N5038" s="61" t="s">
        <v>543</v>
      </c>
      <c r="O5038" s="61" t="s">
        <v>26</v>
      </c>
      <c r="P5038" s="75" t="str">
        <f>IF(AND('331-CT'!$E$7=TH!H4517,OR(N5038="331",O5038="331")),"x","")</f>
        <v/>
      </c>
      <c r="Q5038" s="75" t="str">
        <f>IF(AND(B5038='111'!$L$11,OR($N5038=$Q$7,$O5038=$Q$7)),"x","")</f>
        <v/>
      </c>
      <c r="R5038" s="75" t="str">
        <f>IF(AND($N5038=$Q$7,$B5038&lt;'111'!$L$11),"x","")</f>
        <v/>
      </c>
      <c r="S5038" s="75" t="str">
        <f>IF(AND($O5038=$Q$7,$B5038&lt;'111'!$L$11),"x","")</f>
        <v/>
      </c>
      <c r="T5038" s="75" t="str">
        <f>IF(ISERROR(FIND('112'!$M$9,G5038,1)),"",IF((AND(FIND('112'!$M$9,G5038,1)&gt;=1,B5038='112'!$K$9,OR($N5038='112'!$I$6,$O5038='112'!$I$6))),"x",""))</f>
        <v/>
      </c>
      <c r="U5038" s="75" t="str">
        <f>IF(ISERROR(FIND('112'!$M$9,G5038,1)),"",IF((AND(LEFT(G5038,2)=LEFT('112'!$M$9,2),B5038&lt;'112'!$K$9,$N5038='112'!$I$6)),"x",""))</f>
        <v/>
      </c>
      <c r="V5038" s="75" t="str">
        <f>IF(ISERROR(FIND('112'!$M$9,G5038,1)),"",IF((AND(RIGHT(G5038,2)=RIGHT('112'!$M$9,2),B5038&lt;'112'!$K$9,$O5038='112'!$I$6)),"x",""))</f>
        <v/>
      </c>
      <c r="W5038" s="75" t="str">
        <f>IF(AND('341-CT'!$H$9=H5038,OR(LEFT(N5038,3)=$W$7,LEFT(O5038,3)=$W$7)),"x","")</f>
        <v/>
      </c>
      <c r="X5038" s="75" t="str">
        <f>IF(OR(TH!N4517=TH!$X$7,O5038=TH!$X$7),"x","")</f>
        <v/>
      </c>
      <c r="Y5038" s="75" t="str">
        <f>IF(AND(OR(N5038="131",O5038="131"),H5038='131-CT'!$H$9),"x","")</f>
        <v/>
      </c>
      <c r="Z5038" s="75"/>
      <c r="AA5038" s="75" t="str">
        <f>IF(AND(MONTH(E5038)='IN-NX'!$J$5,'IN-NX'!$D$7=D5038),"x","")</f>
        <v/>
      </c>
      <c r="AB5038" s="75" t="str">
        <f>IF(AND(OR(LEFT(TH!N4517,2)="15",LEFT(TH!O4517,2)="15"),LEFT(TH!O4517,3)&lt;&gt;"111",'152-CT'!$J$8=TH!F4517),"x","")</f>
        <v/>
      </c>
      <c r="AC5038" s="75" t="str">
        <f>IF(AND(OR(LEFT(TH!N4517,2)="15",LEFT(TH!O4517,2)="15"),TK!$E$7=TH!F4517),"x","")</f>
        <v/>
      </c>
      <c r="AD5038" s="75" t="str">
        <f>IF(AND(N5038="1521",MONTH(C5038)='BK-NL'!$M$11),"x","")</f>
        <v/>
      </c>
      <c r="AE5038" s="1053"/>
      <c r="AF5038" s="1053"/>
      <c r="AG5038" s="1053"/>
    </row>
    <row r="5039" spans="1:33" ht="16.5" customHeight="1">
      <c r="A5039" s="309" t="str">
        <f>IF(B5039&lt;&gt;"",IF(AND(B5039='IN-TC'!$S$4,OR(TH!N5027="1111",TH!O5027="1111")),TH!D5027,""),"")</f>
        <v/>
      </c>
      <c r="B5039" s="1244">
        <f t="shared" si="1342"/>
        <v>10</v>
      </c>
      <c r="C5039" s="292">
        <f t="shared" si="1341"/>
        <v>43010</v>
      </c>
      <c r="D5039" s="59" t="s">
        <v>902</v>
      </c>
      <c r="E5039" s="59">
        <v>43010</v>
      </c>
      <c r="F5039" s="67" t="s">
        <v>2690</v>
      </c>
      <c r="G5039" s="62" t="s">
        <v>1713</v>
      </c>
      <c r="H5039" s="67" t="s">
        <v>1211</v>
      </c>
      <c r="I5039" s="373"/>
      <c r="J5039" s="382"/>
      <c r="K5039" s="373"/>
      <c r="L5039" s="379"/>
      <c r="M5039" s="60">
        <v>1047170</v>
      </c>
      <c r="N5039" s="61" t="s">
        <v>19</v>
      </c>
      <c r="O5039" s="61" t="s">
        <v>26</v>
      </c>
      <c r="P5039" s="75" t="str">
        <f>IF(AND('331-CT'!$E$7=TH!H4518,OR(N5039="331",O5039="331")),"x","")</f>
        <v/>
      </c>
      <c r="Q5039" s="75" t="str">
        <f>IF(AND(B5039='111'!$L$11,OR($N5039=$Q$7,$O5039=$Q$7)),"x","")</f>
        <v/>
      </c>
      <c r="R5039" s="75" t="str">
        <f>IF(AND($N5039=$Q$7,$B5039&lt;'111'!$L$11),"x","")</f>
        <v/>
      </c>
      <c r="S5039" s="75" t="str">
        <f>IF(AND($O5039=$Q$7,$B5039&lt;'111'!$L$11),"x","")</f>
        <v/>
      </c>
      <c r="T5039" s="75" t="str">
        <f>IF(ISERROR(FIND('112'!$M$9,G5039,1)),"",IF((AND(FIND('112'!$M$9,G5039,1)&gt;=1,B5039='112'!$K$9,OR($N5039='112'!$I$6,$O5039='112'!$I$6))),"x",""))</f>
        <v/>
      </c>
      <c r="U5039" s="75" t="str">
        <f>IF(ISERROR(FIND('112'!$M$9,G5039,1)),"",IF((AND(LEFT(G5039,2)=LEFT('112'!$M$9,2),B5039&lt;'112'!$K$9,$N5039='112'!$I$6)),"x",""))</f>
        <v/>
      </c>
      <c r="V5039" s="75" t="str">
        <f>IF(ISERROR(FIND('112'!$M$9,G5039,1)),"",IF((AND(RIGHT(G5039,2)=RIGHT('112'!$M$9,2),B5039&lt;'112'!$K$9,$O5039='112'!$I$6)),"x",""))</f>
        <v/>
      </c>
      <c r="W5039" s="75" t="str">
        <f>IF(AND('341-CT'!$H$9=H5039,OR(LEFT(N5039,3)=$W$7,LEFT(O5039,3)=$W$7)),"x","")</f>
        <v/>
      </c>
      <c r="X5039" s="75" t="str">
        <f>IF(OR(TH!N4518=TH!$X$7,O5039=TH!$X$7),"x","")</f>
        <v/>
      </c>
      <c r="Y5039" s="75" t="str">
        <f>IF(AND(OR(N5039="131",O5039="131"),H5039='131-CT'!$H$9),"x","")</f>
        <v/>
      </c>
      <c r="Z5039" s="75"/>
      <c r="AA5039" s="75" t="str">
        <f>IF(AND(MONTH(E5039)='IN-NX'!$J$5,'IN-NX'!$D$7=D5039),"x","")</f>
        <v/>
      </c>
      <c r="AB5039" s="75" t="str">
        <f>IF(AND(OR(LEFT(TH!N4518,2)="15",LEFT(TH!O4518,2)="15"),LEFT(TH!O4518,3)&lt;&gt;"111",'152-CT'!$J$8=TH!F4518),"x","")</f>
        <v/>
      </c>
      <c r="AC5039" s="75" t="str">
        <f>IF(AND(OR(LEFT(TH!N4518,2)="15",LEFT(TH!O4518,2)="15"),TK!$E$7=TH!F4518),"x","")</f>
        <v/>
      </c>
      <c r="AD5039" s="75" t="str">
        <f>IF(AND(N5039="1521",MONTH(C5039)='BK-NL'!$M$11),"x","")</f>
        <v/>
      </c>
      <c r="AE5039" s="1053"/>
      <c r="AF5039" s="1053"/>
      <c r="AG5039" s="1053"/>
    </row>
    <row r="5040" spans="1:33" ht="16.5" customHeight="1">
      <c r="A5040" s="309" t="str">
        <f>IF(B5040&lt;&gt;"",IF(AND(B5040='IN-TC'!$S$4,OR(TH!N5028="1111",TH!O5028="1111")),TH!D5028,""),"")</f>
        <v/>
      </c>
      <c r="B5040" s="1244">
        <f t="shared" si="1342"/>
        <v>10</v>
      </c>
      <c r="C5040" s="292">
        <f t="shared" si="1341"/>
        <v>43010</v>
      </c>
      <c r="D5040" s="59" t="s">
        <v>902</v>
      </c>
      <c r="E5040" s="59">
        <v>43010</v>
      </c>
      <c r="F5040" s="67" t="s">
        <v>1307</v>
      </c>
      <c r="G5040" s="62" t="s">
        <v>1713</v>
      </c>
      <c r="H5040" s="67" t="s">
        <v>1771</v>
      </c>
      <c r="I5040" s="373"/>
      <c r="J5040" s="382"/>
      <c r="K5040" s="373"/>
      <c r="L5040" s="379"/>
      <c r="M5040" s="60">
        <v>15000</v>
      </c>
      <c r="N5040" s="61" t="s">
        <v>101</v>
      </c>
      <c r="O5040" s="61" t="s">
        <v>26</v>
      </c>
      <c r="P5040" s="75" t="str">
        <f>IF(AND('331-CT'!$E$7=TH!H4519,OR(N5040="331",O5040="331")),"x","")</f>
        <v/>
      </c>
      <c r="Q5040" s="75" t="str">
        <f>IF(AND(B5040='111'!$L$11,OR($N5040=$Q$7,$O5040=$Q$7)),"x","")</f>
        <v/>
      </c>
      <c r="R5040" s="75" t="str">
        <f>IF(AND($N5040=$Q$7,$B5040&lt;'111'!$L$11),"x","")</f>
        <v/>
      </c>
      <c r="S5040" s="75" t="str">
        <f>IF(AND($O5040=$Q$7,$B5040&lt;'111'!$L$11),"x","")</f>
        <v/>
      </c>
      <c r="T5040" s="75" t="str">
        <f>IF(ISERROR(FIND('112'!$M$9,G5040,1)),"",IF((AND(FIND('112'!$M$9,G5040,1)&gt;=1,B5040='112'!$K$9,OR($N5040='112'!$I$6,$O5040='112'!$I$6))),"x",""))</f>
        <v/>
      </c>
      <c r="U5040" s="75" t="str">
        <f>IF(ISERROR(FIND('112'!$M$9,G5040,1)),"",IF((AND(LEFT(G5040,2)=LEFT('112'!$M$9,2),B5040&lt;'112'!$K$9,$N5040='112'!$I$6)),"x",""))</f>
        <v/>
      </c>
      <c r="V5040" s="75" t="str">
        <f>IF(ISERROR(FIND('112'!$M$9,G5040,1)),"",IF((AND(RIGHT(G5040,2)=RIGHT('112'!$M$9,2),B5040&lt;'112'!$K$9,$O5040='112'!$I$6)),"x",""))</f>
        <v/>
      </c>
      <c r="W5040" s="75" t="str">
        <f>IF(AND('341-CT'!$H$9=H5040,OR(LEFT(N5040,3)=$W$7,LEFT(O5040,3)=$W$7)),"x","")</f>
        <v/>
      </c>
      <c r="X5040" s="75" t="str">
        <f>IF(OR(TH!N4519=TH!$X$7,O5040=TH!$X$7),"x","")</f>
        <v/>
      </c>
      <c r="Y5040" s="75" t="str">
        <f>IF(AND(OR(N5040="131",O5040="131"),H5040='131-CT'!$H$9),"x","")</f>
        <v/>
      </c>
      <c r="Z5040" s="75"/>
      <c r="AA5040" s="75" t="str">
        <f>IF(AND(MONTH(E5040)='IN-NX'!$J$5,'IN-NX'!$D$7=D5040),"x","")</f>
        <v/>
      </c>
      <c r="AB5040" s="75" t="str">
        <f>IF(AND(OR(LEFT(TH!N4519,2)="15",LEFT(TH!O4519,2)="15"),LEFT(TH!O4519,3)&lt;&gt;"111",'152-CT'!$J$8=TH!F4519),"x","")</f>
        <v/>
      </c>
      <c r="AC5040" s="75" t="str">
        <f>IF(AND(OR(LEFT(TH!N4519,2)="15",LEFT(TH!O4519,2)="15"),TK!$E$7=TH!F4519),"x","")</f>
        <v/>
      </c>
      <c r="AD5040" s="75" t="str">
        <f>IF(AND(N5040="1521",MONTH(C5040)='BK-NL'!$M$11),"x","")</f>
        <v/>
      </c>
      <c r="AE5040">
        <v>10</v>
      </c>
      <c r="AF5040" s="1053"/>
      <c r="AG5040" s="1053"/>
    </row>
    <row r="5041" spans="1:33" ht="16.5" customHeight="1">
      <c r="A5041" s="309" t="str">
        <f>IF(B5041&lt;&gt;"",IF(AND(B5041='IN-TC'!$S$4,OR(TH!N5029="1111",TH!O5029="1111")),TH!D5029,""),"")</f>
        <v/>
      </c>
      <c r="B5041" s="1244">
        <f t="shared" si="1342"/>
        <v>10</v>
      </c>
      <c r="C5041" s="292">
        <f t="shared" si="1341"/>
        <v>43010</v>
      </c>
      <c r="D5041" s="59" t="s">
        <v>902</v>
      </c>
      <c r="E5041" s="59">
        <v>43010</v>
      </c>
      <c r="F5041" s="67" t="s">
        <v>1314</v>
      </c>
      <c r="G5041" s="62" t="s">
        <v>1713</v>
      </c>
      <c r="H5041" s="67" t="s">
        <v>1771</v>
      </c>
      <c r="I5041" s="373"/>
      <c r="J5041" s="382"/>
      <c r="K5041" s="373"/>
      <c r="L5041" s="379"/>
      <c r="M5041" s="60">
        <v>1500</v>
      </c>
      <c r="N5041" s="61" t="s">
        <v>9</v>
      </c>
      <c r="O5041" s="61" t="s">
        <v>26</v>
      </c>
      <c r="P5041" s="75" t="str">
        <f>IF(AND('331-CT'!$E$7=TH!H4520,OR(N5041="331",O5041="331")),"x","")</f>
        <v/>
      </c>
      <c r="Q5041" s="75" t="str">
        <f>IF(AND(B5041='111'!$L$11,OR($N5041=$Q$7,$O5041=$Q$7)),"x","")</f>
        <v/>
      </c>
      <c r="R5041" s="75" t="str">
        <f>IF(AND($N5041=$Q$7,$B5041&lt;'111'!$L$11),"x","")</f>
        <v/>
      </c>
      <c r="S5041" s="75" t="str">
        <f>IF(AND($O5041=$Q$7,$B5041&lt;'111'!$L$11),"x","")</f>
        <v/>
      </c>
      <c r="T5041" s="75" t="str">
        <f>IF(ISERROR(FIND('112'!$M$9,G5041,1)),"",IF((AND(FIND('112'!$M$9,G5041,1)&gt;=1,B5041='112'!$K$9,OR($N5041='112'!$I$6,$O5041='112'!$I$6))),"x",""))</f>
        <v/>
      </c>
      <c r="U5041" s="75" t="str">
        <f>IF(ISERROR(FIND('112'!$M$9,G5041,1)),"",IF((AND(LEFT(G5041,2)=LEFT('112'!$M$9,2),B5041&lt;'112'!$K$9,$N5041='112'!$I$6)),"x",""))</f>
        <v/>
      </c>
      <c r="V5041" s="75" t="str">
        <f>IF(ISERROR(FIND('112'!$M$9,G5041,1)),"",IF((AND(RIGHT(G5041,2)=RIGHT('112'!$M$9,2),B5041&lt;'112'!$K$9,$O5041='112'!$I$6)),"x",""))</f>
        <v/>
      </c>
      <c r="W5041" s="75" t="str">
        <f>IF(AND('341-CT'!$H$9=H5041,OR(LEFT(N5041,3)=$W$7,LEFT(O5041,3)=$W$7)),"x","")</f>
        <v/>
      </c>
      <c r="X5041" s="75" t="str">
        <f>IF(OR(TH!N4520=TH!$X$7,O5041=TH!$X$7),"x","")</f>
        <v/>
      </c>
      <c r="Y5041" s="75" t="str">
        <f>IF(AND(OR(N5041="131",O5041="131"),H5041='131-CT'!$H$9),"x","")</f>
        <v/>
      </c>
      <c r="Z5041" s="75"/>
      <c r="AA5041" s="75" t="str">
        <f>IF(AND(MONTH(E5041)='IN-NX'!$J$5,'IN-NX'!$D$7=D5041),"x","")</f>
        <v/>
      </c>
      <c r="AB5041" s="75" t="str">
        <f>IF(AND(OR(LEFT(TH!N4520,2)="15",LEFT(TH!O4520,2)="15"),LEFT(TH!O4520,3)&lt;&gt;"111",'152-CT'!$J$8=TH!F4520),"x","")</f>
        <v/>
      </c>
      <c r="AC5041" s="75" t="str">
        <f>IF(AND(OR(LEFT(TH!N4520,2)="15",LEFT(TH!O4520,2)="15"),TK!$E$7=TH!F4520),"x","")</f>
        <v/>
      </c>
      <c r="AD5041" s="75" t="str">
        <f>IF(AND(N5041="1521",MONTH(C5041)='BK-NL'!$M$11),"x","")</f>
        <v/>
      </c>
      <c r="AE5041">
        <v>10</v>
      </c>
      <c r="AF5041" s="1053"/>
      <c r="AG5041" s="1053"/>
    </row>
    <row r="5042" spans="1:33" ht="16.5" customHeight="1">
      <c r="A5042" s="309" t="str">
        <f>IF(B5042&lt;&gt;"",IF(AND(B5042='IN-TC'!$S$4,OR(TH!N5030="1111",TH!O5030="1111")),TH!D5030,""),"")</f>
        <v/>
      </c>
      <c r="B5042" s="1244">
        <f t="shared" si="1342"/>
        <v>10</v>
      </c>
      <c r="C5042" s="292">
        <f t="shared" si="1341"/>
        <v>43010</v>
      </c>
      <c r="D5042" s="59" t="s">
        <v>902</v>
      </c>
      <c r="E5042" s="59">
        <v>43010</v>
      </c>
      <c r="F5042" s="67" t="s">
        <v>2318</v>
      </c>
      <c r="G5042" s="62" t="s">
        <v>1713</v>
      </c>
      <c r="H5042" s="67" t="s">
        <v>2256</v>
      </c>
      <c r="I5042" s="375"/>
      <c r="J5042" s="382"/>
      <c r="K5042" s="375"/>
      <c r="L5042" s="381"/>
      <c r="M5042" s="60">
        <v>873400</v>
      </c>
      <c r="N5042" s="61" t="s">
        <v>8</v>
      </c>
      <c r="O5042" s="61" t="s">
        <v>26</v>
      </c>
      <c r="P5042" s="75" t="str">
        <f>IF(AND('331-CT'!$E$7=TH!H4521,OR(N5042="331",O5042="331")),"x","")</f>
        <v/>
      </c>
      <c r="Q5042" s="75" t="str">
        <f>IF(AND(B5042='111'!$L$11,OR($N5042=$Q$7,$O5042=$Q$7)),"x","")</f>
        <v/>
      </c>
      <c r="R5042" s="75" t="str">
        <f>IF(AND($N5042=$Q$7,$B5042&lt;'111'!$L$11),"x","")</f>
        <v/>
      </c>
      <c r="S5042" s="75" t="str">
        <f>IF(AND($O5042=$Q$7,$B5042&lt;'111'!$L$11),"x","")</f>
        <v/>
      </c>
      <c r="T5042" s="75" t="str">
        <f>IF(ISERROR(FIND('112'!$M$9,G5042,1)),"",IF((AND(FIND('112'!$M$9,G5042,1)&gt;=1,B5042='112'!$K$9,OR($N5042='112'!$I$6,$O5042='112'!$I$6))),"x",""))</f>
        <v/>
      </c>
      <c r="U5042" s="75" t="str">
        <f>IF(ISERROR(FIND('112'!$M$9,G5042,1)),"",IF((AND(LEFT(G5042,2)=LEFT('112'!$M$9,2),B5042&lt;'112'!$K$9,$N5042='112'!$I$6)),"x",""))</f>
        <v/>
      </c>
      <c r="V5042" s="75" t="str">
        <f>IF(ISERROR(FIND('112'!$M$9,G5042,1)),"",IF((AND(RIGHT(G5042,2)=RIGHT('112'!$M$9,2),B5042&lt;'112'!$K$9,$O5042='112'!$I$6)),"x",""))</f>
        <v/>
      </c>
      <c r="W5042" s="75" t="str">
        <f>IF(AND('341-CT'!$H$9=H5042,OR(LEFT(N5042,3)=$W$7,LEFT(O5042,3)=$W$7)),"x","")</f>
        <v/>
      </c>
      <c r="X5042" s="75" t="str">
        <f>IF(OR(TH!N4521=TH!$X$7,O5042=TH!$X$7),"x","")</f>
        <v/>
      </c>
      <c r="Y5042" s="75" t="str">
        <f>IF(AND(OR(N5042="131",O5042="131"),H5042='131-CT'!$H$9),"x","")</f>
        <v/>
      </c>
      <c r="Z5042" s="75"/>
      <c r="AA5042" s="75" t="str">
        <f>IF(AND(MONTH(E5042)='IN-NX'!$J$5,'IN-NX'!$D$7=D5042),"x","")</f>
        <v/>
      </c>
      <c r="AB5042" s="75" t="str">
        <f>IF(AND(OR(LEFT(TH!N4521,2)="15",LEFT(TH!O4521,2)="15"),LEFT(TH!O4521,3)&lt;&gt;"111",'152-CT'!$J$8=TH!F4521),"x","")</f>
        <v/>
      </c>
      <c r="AC5042" s="75" t="str">
        <f>IF(AND(OR(LEFT(TH!N4521,2)="15",LEFT(TH!O4521,2)="15"),TK!$E$7=TH!F4521),"x","")</f>
        <v/>
      </c>
      <c r="AD5042" s="75" t="str">
        <f>IF(AND(N5042="1521",MONTH(C5042)='BK-NL'!$M$11),"x","")</f>
        <v/>
      </c>
    </row>
    <row r="5043" spans="1:33" ht="16.5" customHeight="1">
      <c r="A5043" s="309" t="str">
        <f>IF(B5043&lt;&gt;"",IF(AND(B5043='IN-TC'!$S$4,OR(TH!N5031="1111",TH!O5031="1111")),TH!D5031,""),"")</f>
        <v/>
      </c>
      <c r="B5043" s="1244">
        <f t="shared" si="1342"/>
        <v>10</v>
      </c>
      <c r="C5043" s="292">
        <f t="shared" ref="C5043:C5106" si="1343">E5043</f>
        <v>43010</v>
      </c>
      <c r="D5043" s="59" t="s">
        <v>902</v>
      </c>
      <c r="E5043" s="59">
        <v>43010</v>
      </c>
      <c r="F5043" s="67" t="s">
        <v>1307</v>
      </c>
      <c r="G5043" s="62" t="s">
        <v>1713</v>
      </c>
      <c r="H5043" s="294" t="s">
        <v>1771</v>
      </c>
      <c r="I5043" s="373"/>
      <c r="J5043" s="382"/>
      <c r="K5043" s="373"/>
      <c r="L5043" s="379"/>
      <c r="M5043" s="60">
        <v>15000</v>
      </c>
      <c r="N5043" s="61" t="s">
        <v>101</v>
      </c>
      <c r="O5043" s="61" t="s">
        <v>26</v>
      </c>
      <c r="P5043" s="75" t="str">
        <f>IF(AND('331-CT'!$E$7=TH!H4522,OR(N5043="331",O5043="331")),"x","")</f>
        <v/>
      </c>
      <c r="Q5043" s="75" t="str">
        <f>IF(AND(B5043='111'!$L$11,OR($N5043=$Q$7,$O5043=$Q$7)),"x","")</f>
        <v/>
      </c>
      <c r="R5043" s="75" t="str">
        <f>IF(AND($N5043=$Q$7,$B5043&lt;'111'!$L$11),"x","")</f>
        <v/>
      </c>
      <c r="S5043" s="75" t="str">
        <f>IF(AND($O5043=$Q$7,$B5043&lt;'111'!$L$11),"x","")</f>
        <v/>
      </c>
      <c r="T5043" s="75" t="str">
        <f>IF(ISERROR(FIND('112'!$M$9,G5043,1)),"",IF((AND(FIND('112'!$M$9,G5043,1)&gt;=1,B5043='112'!$K$9,OR($N5043='112'!$I$6,$O5043='112'!$I$6))),"x",""))</f>
        <v/>
      </c>
      <c r="U5043" s="75" t="str">
        <f>IF(ISERROR(FIND('112'!$M$9,G5043,1)),"",IF((AND(LEFT(G5043,2)=LEFT('112'!$M$9,2),B5043&lt;'112'!$K$9,$N5043='112'!$I$6)),"x",""))</f>
        <v/>
      </c>
      <c r="V5043" s="75" t="str">
        <f>IF(ISERROR(FIND('112'!$M$9,G5043,1)),"",IF((AND(RIGHT(G5043,2)=RIGHT('112'!$M$9,2),B5043&lt;'112'!$K$9,$O5043='112'!$I$6)),"x",""))</f>
        <v/>
      </c>
      <c r="W5043" s="75" t="str">
        <f>IF(AND('341-CT'!$H$9=H5043,OR(LEFT(N5043,3)=$W$7,LEFT(O5043,3)=$W$7)),"x","")</f>
        <v/>
      </c>
      <c r="X5043" s="75" t="str">
        <f>IF(OR(TH!N4522=TH!$X$7,O5043=TH!$X$7),"x","")</f>
        <v/>
      </c>
      <c r="Y5043" s="75" t="str">
        <f>IF(AND(OR(N5043="131",O5043="131"),H5043='131-CT'!$H$9),"x","")</f>
        <v/>
      </c>
      <c r="Z5043" s="75"/>
      <c r="AA5043" s="75" t="str">
        <f>IF(AND(MONTH(E5043)='IN-NX'!$J$5,'IN-NX'!$D$7=D5043),"x","")</f>
        <v/>
      </c>
      <c r="AB5043" s="75" t="str">
        <f>IF(AND(OR(LEFT(TH!N4522,2)="15",LEFT(TH!O4522,2)="15"),LEFT(TH!O4522,3)&lt;&gt;"111",'152-CT'!$J$8=TH!F4522),"x","")</f>
        <v/>
      </c>
      <c r="AC5043" s="75" t="str">
        <f>IF(AND(OR(LEFT(TH!N4522,2)="15",LEFT(TH!O4522,2)="15"),TK!$E$7=TH!F4522),"x","")</f>
        <v/>
      </c>
      <c r="AD5043" s="75" t="str">
        <f>IF(AND(N5043="1521",MONTH(C5043)='BK-NL'!$M$11),"x","")</f>
        <v/>
      </c>
      <c r="AE5043">
        <v>10</v>
      </c>
    </row>
    <row r="5044" spans="1:33" ht="16.5" customHeight="1">
      <c r="A5044" s="309" t="str">
        <f>IF(B5044&lt;&gt;"",IF(AND(B5044='IN-TC'!$S$4,OR(TH!N5032="1111",TH!O5032="1111")),TH!D5032,""),"")</f>
        <v/>
      </c>
      <c r="B5044" s="1244">
        <f t="shared" si="1342"/>
        <v>10</v>
      </c>
      <c r="C5044" s="292">
        <f t="shared" si="1343"/>
        <v>43010</v>
      </c>
      <c r="D5044" s="59" t="s">
        <v>902</v>
      </c>
      <c r="E5044" s="59">
        <v>43010</v>
      </c>
      <c r="F5044" s="67" t="s">
        <v>1314</v>
      </c>
      <c r="G5044" s="62" t="s">
        <v>1713</v>
      </c>
      <c r="H5044" s="294" t="s">
        <v>1771</v>
      </c>
      <c r="I5044" s="373"/>
      <c r="J5044" s="382"/>
      <c r="K5044" s="373"/>
      <c r="L5044" s="379"/>
      <c r="M5044" s="60">
        <v>1500</v>
      </c>
      <c r="N5044" s="61" t="s">
        <v>9</v>
      </c>
      <c r="O5044" s="61" t="s">
        <v>26</v>
      </c>
      <c r="P5044" s="75" t="str">
        <f>IF(AND('331-CT'!$E$7=TH!H4523,OR(N5044="331",O5044="331")),"x","")</f>
        <v/>
      </c>
      <c r="Q5044" s="75" t="str">
        <f>IF(AND(B5044='111'!$L$11,OR($N5044=$Q$7,$O5044=$Q$7)),"x","")</f>
        <v/>
      </c>
      <c r="R5044" s="75" t="str">
        <f>IF(AND($N5044=$Q$7,$B5044&lt;'111'!$L$11),"x","")</f>
        <v/>
      </c>
      <c r="S5044" s="75" t="str">
        <f>IF(AND($O5044=$Q$7,$B5044&lt;'111'!$L$11),"x","")</f>
        <v/>
      </c>
      <c r="T5044" s="75" t="str">
        <f>IF(ISERROR(FIND('112'!$M$9,G5044,1)),"",IF((AND(FIND('112'!$M$9,G5044,1)&gt;=1,B5044='112'!$K$9,OR($N5044='112'!$I$6,$O5044='112'!$I$6))),"x",""))</f>
        <v/>
      </c>
      <c r="U5044" s="75" t="str">
        <f>IF(ISERROR(FIND('112'!$M$9,G5044,1)),"",IF((AND(LEFT(G5044,2)=LEFT('112'!$M$9,2),B5044&lt;'112'!$K$9,$N5044='112'!$I$6)),"x",""))</f>
        <v/>
      </c>
      <c r="V5044" s="75" t="str">
        <f>IF(ISERROR(FIND('112'!$M$9,G5044,1)),"",IF((AND(RIGHT(G5044,2)=RIGHT('112'!$M$9,2),B5044&lt;'112'!$K$9,$O5044='112'!$I$6)),"x",""))</f>
        <v/>
      </c>
      <c r="W5044" s="75" t="str">
        <f>IF(AND('341-CT'!$H$9=H5044,OR(LEFT(N5044,3)=$W$7,LEFT(O5044,3)=$W$7)),"x","")</f>
        <v/>
      </c>
      <c r="X5044" s="75" t="str">
        <f>IF(OR(TH!N4523=TH!$X$7,O5044=TH!$X$7),"x","")</f>
        <v/>
      </c>
      <c r="Y5044" s="75" t="str">
        <f>IF(AND(OR(N5044="131",O5044="131"),H5044='131-CT'!$H$9),"x","")</f>
        <v/>
      </c>
      <c r="Z5044" s="75"/>
      <c r="AA5044" s="75" t="str">
        <f>IF(AND(MONTH(E5044)='IN-NX'!$J$5,'IN-NX'!$D$7=D5044),"x","")</f>
        <v/>
      </c>
      <c r="AB5044" s="75" t="str">
        <f>IF(AND(OR(LEFT(TH!N4523,2)="15",LEFT(TH!O4523,2)="15"),LEFT(TH!O4523,3)&lt;&gt;"111",'152-CT'!$J$8=TH!F4523),"x","")</f>
        <v/>
      </c>
      <c r="AC5044" s="75" t="str">
        <f>IF(AND(OR(LEFT(TH!N4523,2)="15",LEFT(TH!O4523,2)="15"),TK!$E$7=TH!F4523),"x","")</f>
        <v/>
      </c>
      <c r="AD5044" s="75" t="str">
        <f>IF(AND(N5044="1521",MONTH(C5044)='BK-NL'!$M$11),"x","")</f>
        <v/>
      </c>
      <c r="AE5044">
        <v>10</v>
      </c>
    </row>
    <row r="5045" spans="1:33" ht="16.5" customHeight="1">
      <c r="A5045" s="309" t="str">
        <f>IF(B5045&lt;&gt;"",IF(AND(B5045='IN-TC'!$S$4,OR(TH!N5033="1111",TH!O5033="1111")),TH!D5033,""),"")</f>
        <v/>
      </c>
      <c r="B5045" s="1244">
        <f t="shared" si="1342"/>
        <v>10</v>
      </c>
      <c r="C5045" s="292">
        <f t="shared" si="1343"/>
        <v>43010</v>
      </c>
      <c r="D5045" s="59" t="s">
        <v>902</v>
      </c>
      <c r="E5045" s="59">
        <v>43010</v>
      </c>
      <c r="F5045" s="62" t="s">
        <v>1307</v>
      </c>
      <c r="G5045" s="62" t="s">
        <v>747</v>
      </c>
      <c r="H5045" s="67" t="s">
        <v>835</v>
      </c>
      <c r="I5045" s="373"/>
      <c r="J5045" s="382"/>
      <c r="K5045" s="373"/>
      <c r="L5045" s="379"/>
      <c r="M5045" s="60">
        <v>2503600</v>
      </c>
      <c r="N5045" s="61" t="s">
        <v>101</v>
      </c>
      <c r="O5045" s="61" t="s">
        <v>26</v>
      </c>
      <c r="P5045" s="75" t="str">
        <f>IF(AND('331-CT'!$E$7=TH!H5475,OR(N5045="331",O5045="331")),"x","")</f>
        <v/>
      </c>
      <c r="Q5045" s="75" t="str">
        <f>IF(AND(B5045='111'!$L$11,OR($N5045=$Q$7,$O5045=$Q$7)),"x","")</f>
        <v/>
      </c>
      <c r="R5045" s="75" t="str">
        <f>IF(AND($N5045=$Q$7,$B5045&lt;'111'!$L$11),"x","")</f>
        <v/>
      </c>
      <c r="S5045" s="75" t="str">
        <f>IF(AND($O5045=$Q$7,$B5045&lt;'111'!$L$11),"x","")</f>
        <v/>
      </c>
      <c r="T5045" s="75" t="str">
        <f>IF(ISERROR(FIND('112'!$M$9,G5045,1)),"",IF((AND(FIND('112'!$M$9,G5045,1)&gt;=1,B5045='112'!$K$9,OR($N5045='112'!$I$6,$O5045='112'!$I$6))),"x",""))</f>
        <v/>
      </c>
      <c r="U5045" s="75" t="str">
        <f>IF(ISERROR(FIND('112'!$M$9,G5045,1)),"",IF((AND(LEFT(G5045,2)=LEFT('112'!$M$9,2),B5045&lt;'112'!$K$9,$N5045='112'!$I$6)),"x",""))</f>
        <v/>
      </c>
      <c r="V5045" s="75" t="str">
        <f>IF(ISERROR(FIND('112'!$M$9,G5045,1)),"",IF((AND(RIGHT(G5045,2)=RIGHT('112'!$M$9,2),B5045&lt;'112'!$K$9,$O5045='112'!$I$6)),"x",""))</f>
        <v/>
      </c>
      <c r="W5045" s="75" t="str">
        <f>IF(AND('341-CT'!$H$9=H5045,OR(LEFT(N5045,3)=$W$7,LEFT(O5045,3)=$W$7)),"x","")</f>
        <v/>
      </c>
      <c r="X5045" s="75" t="str">
        <f>IF(OR(TH!N5475=TH!$X$7,O5045=TH!$X$7),"x","")</f>
        <v/>
      </c>
      <c r="Y5045" s="75" t="str">
        <f>IF(AND(OR(N5045="131",O5045="131"),H5045='131-CT'!$H$9),"x","")</f>
        <v/>
      </c>
      <c r="Z5045" s="75"/>
      <c r="AA5045" s="75" t="str">
        <f>IF(AND(MONTH(E5045)='IN-NX'!$J$5,'IN-NX'!$D$7=D5045),"x","")</f>
        <v/>
      </c>
      <c r="AB5045" s="75" t="str">
        <f>IF(AND(OR(LEFT(TH!N5475,2)="15",LEFT(TH!O5475,2)="15"),LEFT(TH!O5475,3)&lt;&gt;"111",'152-CT'!$J$8=TH!F5475),"x","")</f>
        <v/>
      </c>
      <c r="AC5045" s="75" t="str">
        <f>IF(AND(OR(LEFT(TH!N5475,2)="15",LEFT(TH!O5475,2)="15"),TK!$E$7=TH!F5475),"x","")</f>
        <v/>
      </c>
      <c r="AD5045" s="75" t="str">
        <f>IF(AND(N5045="1521",MONTH(C5045)='BK-NL'!$M$11),"x","")</f>
        <v/>
      </c>
    </row>
    <row r="5046" spans="1:33" ht="16.5" customHeight="1">
      <c r="A5046" s="309" t="str">
        <f>IF(B5046&lt;&gt;"",IF(AND(B5046='IN-TC'!$S$4,OR(TH!N5034="1111",TH!O5034="1111")),TH!D5034,""),"")</f>
        <v/>
      </c>
      <c r="B5046" s="1244">
        <f t="shared" si="1342"/>
        <v>10</v>
      </c>
      <c r="C5046" s="292">
        <f t="shared" si="1343"/>
        <v>43011</v>
      </c>
      <c r="D5046" s="59" t="s">
        <v>833</v>
      </c>
      <c r="E5046" s="59">
        <v>43011</v>
      </c>
      <c r="F5046" s="62" t="s">
        <v>834</v>
      </c>
      <c r="G5046" s="62" t="s">
        <v>747</v>
      </c>
      <c r="H5046" s="67" t="s">
        <v>1023</v>
      </c>
      <c r="I5046" s="373"/>
      <c r="J5046" s="382"/>
      <c r="K5046" s="373"/>
      <c r="L5046" s="379"/>
      <c r="M5046" s="60">
        <v>2600000000</v>
      </c>
      <c r="N5046" s="61" t="s">
        <v>63</v>
      </c>
      <c r="O5046" s="61" t="s">
        <v>26</v>
      </c>
      <c r="P5046" s="75" t="str">
        <f>IF(AND('331-CT'!$E$7=TH!H5476,OR(N5046="331",O5046="331")),"x","")</f>
        <v/>
      </c>
      <c r="Q5046" s="75" t="str">
        <f>IF(AND(B5046='111'!$L$11,OR($N5046=$Q$7,$O5046=$Q$7)),"x","")</f>
        <v/>
      </c>
      <c r="R5046" s="75" t="str">
        <f>IF(AND($N5046=$Q$7,$B5046&lt;'111'!$L$11),"x","")</f>
        <v>x</v>
      </c>
      <c r="S5046" s="75" t="str">
        <f>IF(AND($O5046=$Q$7,$B5046&lt;'111'!$L$11),"x","")</f>
        <v/>
      </c>
      <c r="T5046" s="75" t="str">
        <f>IF(ISERROR(FIND('112'!$M$9,G5046,1)),"",IF((AND(FIND('112'!$M$9,G5046,1)&gt;=1,B5046='112'!$K$9,OR($N5046='112'!$I$6,$O5046='112'!$I$6))),"x",""))</f>
        <v/>
      </c>
      <c r="U5046" s="75" t="str">
        <f>IF(ISERROR(FIND('112'!$M$9,G5046,1)),"",IF((AND(LEFT(G5046,2)=LEFT('112'!$M$9,2),B5046&lt;'112'!$K$9,$N5046='112'!$I$6)),"x",""))</f>
        <v/>
      </c>
      <c r="V5046" s="75" t="str">
        <f>IF(ISERROR(FIND('112'!$M$9,G5046,1)),"",IF((AND(RIGHT(G5046,2)=RIGHT('112'!$M$9,2),B5046&lt;'112'!$K$9,$O5046='112'!$I$6)),"x",""))</f>
        <v/>
      </c>
      <c r="W5046" s="75" t="str">
        <f>IF(AND('341-CT'!$H$9=H5046,OR(LEFT(N5046,3)=$W$7,LEFT(O5046,3)=$W$7)),"x","")</f>
        <v/>
      </c>
      <c r="X5046" s="75" t="str">
        <f>IF(OR(TH!N5476=TH!$X$7,O5046=TH!$X$7),"x","")</f>
        <v/>
      </c>
      <c r="Y5046" s="75" t="str">
        <f>IF(AND(OR(N5046="131",O5046="131"),H5046='131-CT'!$H$9),"x","")</f>
        <v/>
      </c>
      <c r="Z5046" s="75"/>
      <c r="AA5046" s="75" t="str">
        <f>IF(AND(MONTH(E5046)='IN-NX'!$J$5,'IN-NX'!$D$7=D5046),"x","")</f>
        <v/>
      </c>
      <c r="AB5046" s="75" t="str">
        <f>IF(AND(OR(LEFT(TH!N5476,2)="15",LEFT(TH!O5476,2)="15"),LEFT(TH!O5476,3)&lt;&gt;"111",'152-CT'!$J$8=TH!F5476),"x","")</f>
        <v/>
      </c>
      <c r="AC5046" s="75" t="str">
        <f>IF(AND(OR(LEFT(TH!N5476,2)="15",LEFT(TH!O5476,2)="15"),TK!$E$7=TH!F5476),"x","")</f>
        <v/>
      </c>
      <c r="AD5046" s="75" t="str">
        <f>IF(AND(N5046="1521",MONTH(C5046)='BK-NL'!$M$11),"x","")</f>
        <v/>
      </c>
    </row>
    <row r="5047" spans="1:33" ht="16.5" customHeight="1">
      <c r="A5047" s="309" t="str">
        <f>IF(B5047&lt;&gt;"",IF(AND(B5047='IN-TC'!$S$4,OR(TH!N5035="1111",TH!O5035="1111")),TH!D5035,""),"")</f>
        <v/>
      </c>
      <c r="B5047" s="1244">
        <f t="shared" si="1342"/>
        <v>10</v>
      </c>
      <c r="C5047" s="292">
        <f t="shared" si="1343"/>
        <v>43011</v>
      </c>
      <c r="D5047" s="59" t="s">
        <v>843</v>
      </c>
      <c r="E5047" s="59">
        <v>43011</v>
      </c>
      <c r="F5047" s="62" t="s">
        <v>834</v>
      </c>
      <c r="G5047" s="62" t="s">
        <v>747</v>
      </c>
      <c r="H5047" s="67" t="s">
        <v>1023</v>
      </c>
      <c r="I5047" s="373"/>
      <c r="J5047" s="382"/>
      <c r="K5047" s="373"/>
      <c r="L5047" s="379"/>
      <c r="M5047" s="60">
        <v>5800000000</v>
      </c>
      <c r="N5047" s="61" t="s">
        <v>63</v>
      </c>
      <c r="O5047" s="61" t="s">
        <v>26</v>
      </c>
      <c r="P5047" s="75" t="str">
        <f>IF(AND('331-CT'!$E$7=TH!H5477,OR(N5047="331",O5047="331")),"x","")</f>
        <v/>
      </c>
      <c r="Q5047" s="75" t="str">
        <f>IF(AND(B5047='111'!$L$11,OR($N5047=$Q$7,$O5047=$Q$7)),"x","")</f>
        <v/>
      </c>
      <c r="R5047" s="75" t="str">
        <f>IF(AND($N5047=$Q$7,$B5047&lt;'111'!$L$11),"x","")</f>
        <v>x</v>
      </c>
      <c r="S5047" s="75" t="str">
        <f>IF(AND($O5047=$Q$7,$B5047&lt;'111'!$L$11),"x","")</f>
        <v/>
      </c>
      <c r="T5047" s="75" t="str">
        <f>IF(ISERROR(FIND('112'!$M$9,G5047,1)),"",IF((AND(FIND('112'!$M$9,G5047,1)&gt;=1,B5047='112'!$K$9,OR($N5047='112'!$I$6,$O5047='112'!$I$6))),"x",""))</f>
        <v/>
      </c>
      <c r="U5047" s="75" t="str">
        <f>IF(ISERROR(FIND('112'!$M$9,G5047,1)),"",IF((AND(LEFT(G5047,2)=LEFT('112'!$M$9,2),B5047&lt;'112'!$K$9,$N5047='112'!$I$6)),"x",""))</f>
        <v/>
      </c>
      <c r="V5047" s="75" t="str">
        <f>IF(ISERROR(FIND('112'!$M$9,G5047,1)),"",IF((AND(RIGHT(G5047,2)=RIGHT('112'!$M$9,2),B5047&lt;'112'!$K$9,$O5047='112'!$I$6)),"x",""))</f>
        <v/>
      </c>
      <c r="W5047" s="75" t="str">
        <f>IF(AND('341-CT'!$H$9=H5047,OR(LEFT(N5047,3)=$W$7,LEFT(O5047,3)=$W$7)),"x","")</f>
        <v/>
      </c>
      <c r="X5047" s="75" t="str">
        <f>IF(OR(TH!N5477=TH!$X$7,O5047=TH!$X$7),"x","")</f>
        <v/>
      </c>
      <c r="Y5047" s="75" t="str">
        <f>IF(AND(OR(N5047="131",O5047="131"),H5047='131-CT'!$H$9),"x","")</f>
        <v/>
      </c>
      <c r="Z5047" s="75"/>
      <c r="AA5047" s="75" t="str">
        <f>IF(AND(MONTH(E5047)='IN-NX'!$J$5,'IN-NX'!$D$7=D5047),"x","")</f>
        <v/>
      </c>
      <c r="AB5047" s="75" t="str">
        <f>IF(AND(OR(LEFT(TH!N5477,2)="15",LEFT(TH!O5477,2)="15"),LEFT(TH!O5477,3)&lt;&gt;"111",'152-CT'!$J$8=TH!F5477),"x","")</f>
        <v/>
      </c>
      <c r="AC5047" s="75" t="str">
        <f>IF(AND(OR(LEFT(TH!N5477,2)="15",LEFT(TH!O5477,2)="15"),TK!$E$7=TH!F5477),"x","")</f>
        <v/>
      </c>
      <c r="AD5047" s="75" t="str">
        <f>IF(AND(N5047="1521",MONTH(C5047)='BK-NL'!$M$11),"x","")</f>
        <v/>
      </c>
    </row>
    <row r="5048" spans="1:33" ht="16.5" customHeight="1">
      <c r="A5048" s="309" t="str">
        <f>IF(B5048&lt;&gt;"",IF(AND(B5048='IN-TC'!$S$4,OR(TH!N5036="1111",TH!O5036="1111")),TH!D5036,""),"")</f>
        <v/>
      </c>
      <c r="B5048" s="1339">
        <f t="shared" si="1342"/>
        <v>10</v>
      </c>
      <c r="C5048" s="292">
        <f t="shared" si="1343"/>
        <v>43011</v>
      </c>
      <c r="D5048" s="71"/>
      <c r="E5048" s="59">
        <v>43011</v>
      </c>
      <c r="F5048" s="72" t="s">
        <v>3032</v>
      </c>
      <c r="G5048" s="72" t="s">
        <v>332</v>
      </c>
      <c r="H5048" s="73" t="s">
        <v>1880</v>
      </c>
      <c r="I5048" s="371"/>
      <c r="J5048" s="378"/>
      <c r="K5048" s="371"/>
      <c r="L5048" s="377"/>
      <c r="M5048" s="74">
        <v>1500000000</v>
      </c>
      <c r="N5048" s="75" t="s">
        <v>262</v>
      </c>
      <c r="O5048" s="75" t="s">
        <v>63</v>
      </c>
      <c r="P5048" s="75" t="str">
        <f>IF(AND('331-CT'!$E$7=TH!H7004,OR(N5048="331",O5048="331")),"x","")</f>
        <v/>
      </c>
      <c r="Q5048" s="75" t="str">
        <f>IF(AND(B5048='111'!$L$11,OR($N5048=$Q$7,$O5048=$Q$7)),"x","")</f>
        <v/>
      </c>
      <c r="R5048" s="75" t="str">
        <f>IF(AND($N5048=$Q$7,$B5048&lt;'111'!$L$11),"x","")</f>
        <v/>
      </c>
      <c r="S5048" s="75" t="str">
        <f>IF(AND($O5048=$Q$7,$B5048&lt;'111'!$L$11),"x","")</f>
        <v>x</v>
      </c>
      <c r="T5048" s="75" t="str">
        <f>IF(ISERROR(FIND('112'!$M$9,G5048,1)),"",IF((AND(FIND('112'!$M$9,G5048,1)&gt;=1,B5048='112'!$K$9,OR($N5048='112'!$I$6,$O5048='112'!$I$6))),"x",""))</f>
        <v/>
      </c>
      <c r="U5048" s="75" t="str">
        <f>IF(ISERROR(FIND('112'!$M$9,G5048,1)),"",IF((AND(LEFT(G5048,2)=LEFT('112'!$M$9,2),B5048&lt;'112'!$K$9,$N5048='112'!$I$6)),"x",""))</f>
        <v/>
      </c>
      <c r="V5048" s="75" t="str">
        <f>IF(ISERROR(FIND('112'!$M$9,G5048,1)),"",IF((AND(RIGHT(G5048,2)=RIGHT('112'!$M$9,2),B5048&lt;'112'!$K$9,$O5048='112'!$I$6)),"x",""))</f>
        <v/>
      </c>
      <c r="W5048" s="75" t="str">
        <f>IF(AND('341-CT'!$H$9=H5048,OR(LEFT(N5048,3)=$W$7,LEFT(O5048,3)=$W$7)),"x","")</f>
        <v/>
      </c>
      <c r="X5048" s="75" t="str">
        <f>IF(OR(TH!N7004=TH!$X$7,O5048=TH!$X$7),"x","")</f>
        <v/>
      </c>
      <c r="Y5048" s="75" t="str">
        <f>IF(AND(OR(N5048="131",O5048="131"),H5048='131-CT'!$H$9),"x","")</f>
        <v/>
      </c>
      <c r="Z5048" s="75"/>
      <c r="AA5048" s="75" t="str">
        <f>IF(AND(MONTH(E5048)='IN-NX'!$J$5,'IN-NX'!$D$7=D5048),"x","")</f>
        <v/>
      </c>
      <c r="AB5048" s="75" t="str">
        <f>IF(AND(OR(LEFT(TH!N7004,2)="15",LEFT(TH!O7004,2)="15"),LEFT(TH!O7004,3)&lt;&gt;"111",'152-CT'!$J$8=TH!F7004),"x","")</f>
        <v/>
      </c>
      <c r="AC5048" s="75" t="str">
        <f>IF(AND(OR(LEFT(TH!N7004,2)="15",LEFT(TH!O7004,2)="15"),TK!$E$7=TH!F7004),"x","")</f>
        <v/>
      </c>
      <c r="AD5048" s="75" t="str">
        <f>IF(AND(N5048="1521",MONTH(C5048)='BK-NL'!$M$11),"x","")</f>
        <v/>
      </c>
      <c r="AE5048" s="1264"/>
      <c r="AF5048" s="1264"/>
      <c r="AG5048" s="1264"/>
    </row>
    <row r="5049" spans="1:33" ht="16.5" customHeight="1">
      <c r="A5049" s="309" t="str">
        <f>IF(B5049&lt;&gt;"",IF(AND(B5049='IN-TC'!$S$4,OR(TH!N5037="1111",TH!O5037="1111")),TH!D5037,""),"")</f>
        <v/>
      </c>
      <c r="B5049" s="1339">
        <f t="shared" si="1342"/>
        <v>10</v>
      </c>
      <c r="C5049" s="292">
        <f t="shared" si="1343"/>
        <v>43011</v>
      </c>
      <c r="D5049" s="71"/>
      <c r="E5049" s="59">
        <v>43011</v>
      </c>
      <c r="F5049" s="72" t="s">
        <v>3032</v>
      </c>
      <c r="G5049" s="72" t="s">
        <v>1899</v>
      </c>
      <c r="H5049" s="73" t="s">
        <v>1879</v>
      </c>
      <c r="I5049" s="371"/>
      <c r="J5049" s="377"/>
      <c r="K5049" s="371"/>
      <c r="L5049" s="377"/>
      <c r="M5049" s="74">
        <v>1500000000</v>
      </c>
      <c r="N5049" s="75" t="s">
        <v>262</v>
      </c>
      <c r="O5049" s="75" t="s">
        <v>63</v>
      </c>
      <c r="P5049" s="75" t="str">
        <f>IF(AND('331-CT'!$E$7=TH!H7013,OR(N5049="331",O5049="331")),"x","")</f>
        <v/>
      </c>
      <c r="Q5049" s="75" t="str">
        <f>IF(AND(B5049='111'!$L$11,OR($N5049=$Q$7,$O5049=$Q$7)),"x","")</f>
        <v/>
      </c>
      <c r="R5049" s="75" t="str">
        <f>IF(AND($N5049=$Q$7,$B5049&lt;'111'!$L$11),"x","")</f>
        <v/>
      </c>
      <c r="S5049" s="75" t="str">
        <f>IF(AND($O5049=$Q$7,$B5049&lt;'111'!$L$11),"x","")</f>
        <v>x</v>
      </c>
      <c r="T5049" s="75" t="str">
        <f>IF(ISERROR(FIND('112'!$M$9,G5049,1)),"",IF((AND(FIND('112'!$M$9,G5049,1)&gt;=1,B5049='112'!$K$9,OR($N5049='112'!$I$6,$O5049='112'!$I$6))),"x",""))</f>
        <v/>
      </c>
      <c r="U5049" s="75" t="str">
        <f>IF(ISERROR(FIND('112'!$M$9,G5049,1)),"",IF((AND(LEFT(G5049,2)=LEFT('112'!$M$9,2),B5049&lt;'112'!$K$9,$N5049='112'!$I$6)),"x",""))</f>
        <v/>
      </c>
      <c r="V5049" s="75" t="str">
        <f>IF(ISERROR(FIND('112'!$M$9,G5049,1)),"",IF((AND(RIGHT(G5049,2)=RIGHT('112'!$M$9,2),B5049&lt;'112'!$K$9,$O5049='112'!$I$6)),"x",""))</f>
        <v/>
      </c>
      <c r="W5049" s="75" t="str">
        <f>IF(AND('341-CT'!$H$9=H5049,OR(LEFT(N5049,3)=$W$7,LEFT(O5049,3)=$W$7)),"x","")</f>
        <v/>
      </c>
      <c r="X5049" s="75" t="str">
        <f>IF(OR(TH!N7013=TH!$X$7,O5049=TH!$X$7),"x","")</f>
        <v/>
      </c>
      <c r="Y5049" s="75" t="str">
        <f>IF(AND(OR(N5049="131",O5049="131"),H5049='131-CT'!$H$9),"x","")</f>
        <v/>
      </c>
      <c r="Z5049" s="75"/>
      <c r="AA5049" s="75" t="str">
        <f>IF(AND(MONTH(E5049)='IN-NX'!$J$5,'IN-NX'!$D$7=D5049),"x","")</f>
        <v/>
      </c>
      <c r="AB5049" s="75" t="str">
        <f>IF(AND(OR(LEFT(TH!N7013,2)="15",LEFT(TH!O7013,2)="15"),LEFT(TH!O7013,3)&lt;&gt;"111",'152-CT'!$J$8=TH!F7013),"x","")</f>
        <v/>
      </c>
      <c r="AC5049" s="75" t="str">
        <f>IF(AND(OR(LEFT(TH!N7013,2)="15",LEFT(TH!O7013,2)="15"),TK!$E$7=TH!F7013),"x","")</f>
        <v/>
      </c>
      <c r="AD5049" s="75" t="str">
        <f>IF(AND(N5049="1521",MONTH(C5049)='BK-NL'!$M$11),"x","")</f>
        <v/>
      </c>
      <c r="AE5049" s="1264"/>
      <c r="AF5049" s="1264"/>
      <c r="AG5049" s="1264"/>
    </row>
    <row r="5050" spans="1:33" ht="16.5" customHeight="1">
      <c r="A5050" s="309" t="str">
        <f>IF(B5050&lt;&gt;"",IF(AND(B5050='IN-TC'!$S$4,OR(TH!N5038="1111",TH!O5038="1111")),TH!D5038,""),"")</f>
        <v/>
      </c>
      <c r="B5050" s="1244">
        <f t="shared" si="1342"/>
        <v>10</v>
      </c>
      <c r="C5050" s="292">
        <f t="shared" si="1343"/>
        <v>43011</v>
      </c>
      <c r="D5050" s="292"/>
      <c r="E5050" s="292">
        <v>43011</v>
      </c>
      <c r="F5050" s="67" t="s">
        <v>1165</v>
      </c>
      <c r="G5050" s="925" t="s">
        <v>1367</v>
      </c>
      <c r="H5050" s="294" t="s">
        <v>2186</v>
      </c>
      <c r="I5050" s="373"/>
      <c r="J5050" s="926"/>
      <c r="K5050" s="373"/>
      <c r="L5050" s="379"/>
      <c r="M5050" s="927">
        <v>19762050</v>
      </c>
      <c r="N5050" s="295" t="s">
        <v>8</v>
      </c>
      <c r="O5050" s="295" t="s">
        <v>63</v>
      </c>
      <c r="P5050" s="75" t="str">
        <f>IF(AND('331-CT'!$E$7=TH!H3960,OR(N5050="331",O5050="331")),"x","")</f>
        <v/>
      </c>
      <c r="Q5050" s="75" t="str">
        <f>IF(AND(B5050='111'!$L$11,OR($N5050=$Q$7,$O5050=$Q$7)),"x","")</f>
        <v/>
      </c>
      <c r="R5050" s="75" t="str">
        <f>IF(AND($N5050=$Q$7,$B5050&lt;'111'!$L$11),"x","")</f>
        <v/>
      </c>
      <c r="S5050" s="75" t="str">
        <f>IF(AND($O5050=$Q$7,$B5050&lt;'111'!$L$11),"x","")</f>
        <v>x</v>
      </c>
      <c r="T5050" s="75" t="str">
        <f>IF(ISERROR(FIND('112'!$M$9,G5050,1)),"",IF((AND(FIND('112'!$M$9,G5050,1)&gt;=1,B5050='112'!$K$9,OR($N5050='112'!$I$6,$O5050='112'!$I$6))),"x",""))</f>
        <v/>
      </c>
      <c r="U5050" s="75" t="str">
        <f>IF(ISERROR(FIND('112'!$M$9,G5050,1)),"",IF((AND(LEFT(G5050,2)=LEFT('112'!$M$9,2),B5050&lt;'112'!$K$9,$N5050='112'!$I$6)),"x",""))</f>
        <v/>
      </c>
      <c r="V5050" s="75" t="str">
        <f>IF(ISERROR(FIND('112'!$M$9,G5050,1)),"",IF((AND(RIGHT(G5050,2)=RIGHT('112'!$M$9,2),B5050&lt;'112'!$K$9,$O5050='112'!$I$6)),"x",""))</f>
        <v/>
      </c>
      <c r="W5050" s="75" t="str">
        <f>IF(AND('341-CT'!$H$9=H5050,OR(LEFT(N5050,3)=$W$7,LEFT(O5050,3)=$W$7)),"x","")</f>
        <v/>
      </c>
      <c r="X5050" s="75" t="str">
        <f>IF(OR(TH!N3960=TH!$X$7,O5050=TH!$X$7),"x","")</f>
        <v/>
      </c>
      <c r="Y5050" s="75" t="str">
        <f>IF(AND(OR(N5050="131",O5050="131"),H5050='131-CT'!$H$9),"x","")</f>
        <v/>
      </c>
      <c r="Z5050" s="75"/>
      <c r="AA5050" s="75" t="str">
        <f>IF(AND(MONTH(E5050)='IN-NX'!$J$5,'IN-NX'!$D$7=D5050),"x","")</f>
        <v/>
      </c>
      <c r="AB5050" s="75" t="str">
        <f>IF(AND(OR(LEFT(TH!N3960,2)="15",LEFT(TH!O3960,2)="15"),LEFT(TH!O3960,3)&lt;&gt;"111",'152-CT'!$J$8=TH!F3960),"x","")</f>
        <v/>
      </c>
      <c r="AC5050" s="75" t="str">
        <f>IF(AND(OR(LEFT(TH!N3960,2)="15",LEFT(TH!O3960,2)="15"),TK!$E$7=TH!F3960),"x","")</f>
        <v/>
      </c>
      <c r="AD5050" s="75" t="str">
        <f>IF(AND(N5050="1521",MONTH(C5050)='BK-NL'!$M$11),"x","")</f>
        <v/>
      </c>
    </row>
    <row r="5051" spans="1:33" ht="16.5" customHeight="1">
      <c r="A5051" s="309" t="str">
        <f>IF(B5051&lt;&gt;"",IF(AND(B5051='IN-TC'!$S$4,OR(TH!N5039="1111",TH!O5039="1111")),TH!D5039,""),"")</f>
        <v/>
      </c>
      <c r="B5051" s="1244">
        <f t="shared" si="1342"/>
        <v>10</v>
      </c>
      <c r="C5051" s="292">
        <f t="shared" si="1343"/>
        <v>43011</v>
      </c>
      <c r="D5051" s="292"/>
      <c r="E5051" s="292">
        <v>43011</v>
      </c>
      <c r="F5051" s="67" t="s">
        <v>1165</v>
      </c>
      <c r="G5051" s="925" t="s">
        <v>2305</v>
      </c>
      <c r="H5051" s="294" t="s">
        <v>1684</v>
      </c>
      <c r="I5051" s="373"/>
      <c r="J5051" s="926"/>
      <c r="K5051" s="373"/>
      <c r="L5051" s="379"/>
      <c r="M5051" s="927">
        <v>19762050</v>
      </c>
      <c r="N5051" s="295" t="s">
        <v>8</v>
      </c>
      <c r="O5051" s="295" t="s">
        <v>63</v>
      </c>
      <c r="P5051" s="75" t="str">
        <f>IF(AND('331-CT'!$E$7=TH!H3961,OR(N5051="331",O5051="331")),"x","")</f>
        <v/>
      </c>
      <c r="Q5051" s="75" t="str">
        <f>IF(AND(B5051='111'!$L$11,OR($N5051=$Q$7,$O5051=$Q$7)),"x","")</f>
        <v/>
      </c>
      <c r="R5051" s="75" t="str">
        <f>IF(AND($N5051=$Q$7,$B5051&lt;'111'!$L$11),"x","")</f>
        <v/>
      </c>
      <c r="S5051" s="75" t="str">
        <f>IF(AND($O5051=$Q$7,$B5051&lt;'111'!$L$11),"x","")</f>
        <v>x</v>
      </c>
      <c r="T5051" s="75" t="str">
        <f>IF(ISERROR(FIND('112'!$M$9,G5051,1)),"",IF((AND(FIND('112'!$M$9,G5051,1)&gt;=1,B5051='112'!$K$9,OR($N5051='112'!$I$6,$O5051='112'!$I$6))),"x",""))</f>
        <v/>
      </c>
      <c r="U5051" s="75" t="str">
        <f>IF(ISERROR(FIND('112'!$M$9,G5051,1)),"",IF((AND(LEFT(G5051,2)=LEFT('112'!$M$9,2),B5051&lt;'112'!$K$9,$N5051='112'!$I$6)),"x",""))</f>
        <v/>
      </c>
      <c r="V5051" s="75" t="str">
        <f>IF(ISERROR(FIND('112'!$M$9,G5051,1)),"",IF((AND(RIGHT(G5051,2)=RIGHT('112'!$M$9,2),B5051&lt;'112'!$K$9,$O5051='112'!$I$6)),"x",""))</f>
        <v/>
      </c>
      <c r="W5051" s="75" t="str">
        <f>IF(AND('341-CT'!$H$9=H5051,OR(LEFT(N5051,3)=$W$7,LEFT(O5051,3)=$W$7)),"x","")</f>
        <v/>
      </c>
      <c r="X5051" s="75" t="str">
        <f>IF(OR(TH!N3961=TH!$X$7,O5051=TH!$X$7),"x","")</f>
        <v/>
      </c>
      <c r="Y5051" s="75" t="str">
        <f>IF(AND(OR(N5051="131",O5051="131"),H5051='131-CT'!$H$9),"x","")</f>
        <v/>
      </c>
      <c r="Z5051" s="75"/>
      <c r="AA5051" s="75" t="str">
        <f>IF(AND(MONTH(E5051)='IN-NX'!$J$5,'IN-NX'!$D$7=D5051),"x","")</f>
        <v/>
      </c>
      <c r="AB5051" s="75" t="str">
        <f>IF(AND(OR(LEFT(TH!N3961,2)="15",LEFT(TH!O3961,2)="15"),LEFT(TH!O3961,3)&lt;&gt;"111",'152-CT'!$J$8=TH!F3961),"x","")</f>
        <v/>
      </c>
      <c r="AC5051" s="75" t="str">
        <f>IF(AND(OR(LEFT(TH!N3961,2)="15",LEFT(TH!O3961,2)="15"),TK!$E$7=TH!F3961),"x","")</f>
        <v/>
      </c>
      <c r="AD5051" s="75" t="str">
        <f>IF(AND(N5051="1521",MONTH(C5051)='BK-NL'!$M$11),"x","")</f>
        <v/>
      </c>
    </row>
    <row r="5052" spans="1:33" ht="16.5" customHeight="1">
      <c r="A5052" s="309" t="str">
        <f>IF(B5052&lt;&gt;"",IF(AND(B5052='IN-TC'!$S$4,OR(TH!N5040="1111",TH!O5040="1111")),TH!D5040,""),"")</f>
        <v/>
      </c>
      <c r="B5052" s="1244">
        <f t="shared" si="1342"/>
        <v>10</v>
      </c>
      <c r="C5052" s="292">
        <f t="shared" si="1343"/>
        <v>43011</v>
      </c>
      <c r="D5052" s="292"/>
      <c r="E5052" s="292">
        <v>43011</v>
      </c>
      <c r="F5052" s="67" t="s">
        <v>221</v>
      </c>
      <c r="G5052" s="925" t="s">
        <v>2494</v>
      </c>
      <c r="H5052" s="294" t="s">
        <v>556</v>
      </c>
      <c r="I5052" s="373"/>
      <c r="J5052" s="926"/>
      <c r="K5052" s="373"/>
      <c r="L5052" s="379"/>
      <c r="M5052" s="927">
        <v>11386364</v>
      </c>
      <c r="N5052" s="295" t="s">
        <v>272</v>
      </c>
      <c r="O5052" s="295" t="s">
        <v>63</v>
      </c>
      <c r="P5052" s="75" t="str">
        <f>IF(AND('331-CT'!$E$7=TH!H3962,OR(N5052="331",O5052="331")),"x","")</f>
        <v/>
      </c>
      <c r="Q5052" s="75" t="str">
        <f>IF(AND(B5052='111'!$L$11,OR($N5052=$Q$7,$O5052=$Q$7)),"x","")</f>
        <v/>
      </c>
      <c r="R5052" s="75" t="str">
        <f>IF(AND($N5052=$Q$7,$B5052&lt;'111'!$L$11),"x","")</f>
        <v/>
      </c>
      <c r="S5052" s="75" t="str">
        <f>IF(AND($O5052=$Q$7,$B5052&lt;'111'!$L$11),"x","")</f>
        <v>x</v>
      </c>
      <c r="T5052" s="75" t="str">
        <f>IF(ISERROR(FIND('112'!$M$9,G5052,1)),"",IF((AND(FIND('112'!$M$9,G5052,1)&gt;=1,B5052='112'!$K$9,OR($N5052='112'!$I$6,$O5052='112'!$I$6))),"x",""))</f>
        <v/>
      </c>
      <c r="U5052" s="75" t="str">
        <f>IF(ISERROR(FIND('112'!$M$9,G5052,1)),"",IF((AND(LEFT(G5052,2)=LEFT('112'!$M$9,2),B5052&lt;'112'!$K$9,$N5052='112'!$I$6)),"x",""))</f>
        <v/>
      </c>
      <c r="V5052" s="75" t="str">
        <f>IF(ISERROR(FIND('112'!$M$9,G5052,1)),"",IF((AND(RIGHT(G5052,2)=RIGHT('112'!$M$9,2),B5052&lt;'112'!$K$9,$O5052='112'!$I$6)),"x",""))</f>
        <v/>
      </c>
      <c r="W5052" s="75" t="str">
        <f>IF(AND('341-CT'!$H$9=H5052,OR(LEFT(N5052,3)=$W$7,LEFT(O5052,3)=$W$7)),"x","")</f>
        <v/>
      </c>
      <c r="X5052" s="75" t="str">
        <f>IF(OR(TH!N3962=TH!$X$7,O5052=TH!$X$7),"x","")</f>
        <v/>
      </c>
      <c r="Y5052" s="75" t="str">
        <f>IF(AND(OR(N5052="131",O5052="131"),H5052='131-CT'!$H$9),"x","")</f>
        <v/>
      </c>
      <c r="Z5052" s="75"/>
      <c r="AA5052" s="75" t="str">
        <f>IF(AND(MONTH(E5052)='IN-NX'!$J$5,'IN-NX'!$D$7=D5052),"x","")</f>
        <v/>
      </c>
      <c r="AB5052" s="75" t="str">
        <f>IF(AND(OR(LEFT(TH!N3962,2)="15",LEFT(TH!O3962,2)="15"),LEFT(TH!O3962,3)&lt;&gt;"111",'152-CT'!$J$8=TH!F3962),"x","")</f>
        <v/>
      </c>
      <c r="AC5052" s="75" t="str">
        <f>IF(AND(OR(LEFT(TH!N3962,2)="15",LEFT(TH!O3962,2)="15"),TK!$E$7=TH!F3962),"x","")</f>
        <v/>
      </c>
      <c r="AD5052" s="75" t="str">
        <f>IF(AND(N5052="1521",MONTH(C5052)='BK-NL'!$M$11),"x","")</f>
        <v/>
      </c>
      <c r="AE5052">
        <v>10</v>
      </c>
    </row>
    <row r="5053" spans="1:33" ht="16.5" customHeight="1">
      <c r="A5053" s="309" t="str">
        <f>IF(B5053&lt;&gt;"",IF(AND(B5053='IN-TC'!$S$4,OR(TH!N5041="1111",TH!O5041="1111")),TH!D5041,""),"")</f>
        <v/>
      </c>
      <c r="B5053" s="1244">
        <f t="shared" si="1342"/>
        <v>10</v>
      </c>
      <c r="C5053" s="292">
        <f t="shared" si="1343"/>
        <v>43011</v>
      </c>
      <c r="D5053" s="292"/>
      <c r="E5053" s="292">
        <v>43011</v>
      </c>
      <c r="F5053" s="67" t="s">
        <v>943</v>
      </c>
      <c r="G5053" s="925" t="s">
        <v>2494</v>
      </c>
      <c r="H5053" s="294" t="s">
        <v>556</v>
      </c>
      <c r="I5053" s="373"/>
      <c r="J5053" s="926"/>
      <c r="K5053" s="373"/>
      <c r="L5053" s="379"/>
      <c r="M5053" s="927">
        <v>1138636</v>
      </c>
      <c r="N5053" s="295" t="s">
        <v>9</v>
      </c>
      <c r="O5053" s="295" t="s">
        <v>63</v>
      </c>
      <c r="P5053" s="75" t="str">
        <f>IF(AND('331-CT'!$E$7=TH!H3963,OR(N5053="331",O5053="331")),"x","")</f>
        <v/>
      </c>
      <c r="Q5053" s="75" t="str">
        <f>IF(AND(B5053='111'!$L$11,OR($N5053=$Q$7,$O5053=$Q$7)),"x","")</f>
        <v/>
      </c>
      <c r="R5053" s="75" t="str">
        <f>IF(AND($N5053=$Q$7,$B5053&lt;'111'!$L$11),"x","")</f>
        <v/>
      </c>
      <c r="S5053" s="75" t="str">
        <f>IF(AND($O5053=$Q$7,$B5053&lt;'111'!$L$11),"x","")</f>
        <v>x</v>
      </c>
      <c r="T5053" s="75" t="str">
        <f>IF(ISERROR(FIND('112'!$M$9,G5053,1)),"",IF((AND(FIND('112'!$M$9,G5053,1)&gt;=1,B5053='112'!$K$9,OR($N5053='112'!$I$6,$O5053='112'!$I$6))),"x",""))</f>
        <v/>
      </c>
      <c r="U5053" s="75" t="str">
        <f>IF(ISERROR(FIND('112'!$M$9,G5053,1)),"",IF((AND(LEFT(G5053,2)=LEFT('112'!$M$9,2),B5053&lt;'112'!$K$9,$N5053='112'!$I$6)),"x",""))</f>
        <v/>
      </c>
      <c r="V5053" s="75" t="str">
        <f>IF(ISERROR(FIND('112'!$M$9,G5053,1)),"",IF((AND(RIGHT(G5053,2)=RIGHT('112'!$M$9,2),B5053&lt;'112'!$K$9,$O5053='112'!$I$6)),"x",""))</f>
        <v/>
      </c>
      <c r="W5053" s="75" t="str">
        <f>IF(AND('341-CT'!$H$9=H5053,OR(LEFT(N5053,3)=$W$7,LEFT(O5053,3)=$W$7)),"x","")</f>
        <v/>
      </c>
      <c r="X5053" s="75" t="str">
        <f>IF(OR(TH!N3963=TH!$X$7,O5053=TH!$X$7),"x","")</f>
        <v/>
      </c>
      <c r="Y5053" s="75" t="str">
        <f>IF(AND(OR(N5053="131",O5053="131"),H5053='131-CT'!$H$9),"x","")</f>
        <v/>
      </c>
      <c r="Z5053" s="75"/>
      <c r="AA5053" s="75" t="str">
        <f>IF(AND(MONTH(E5053)='IN-NX'!$J$5,'IN-NX'!$D$7=D5053),"x","")</f>
        <v/>
      </c>
      <c r="AB5053" s="75" t="str">
        <f>IF(AND(OR(LEFT(TH!N3963,2)="15",LEFT(TH!O3963,2)="15"),LEFT(TH!O3963,3)&lt;&gt;"111",'152-CT'!$J$8=TH!F3963),"x","")</f>
        <v/>
      </c>
      <c r="AC5053" s="75" t="str">
        <f>IF(AND(OR(LEFT(TH!N3963,2)="15",LEFT(TH!O3963,2)="15"),TK!$E$7=TH!F3963),"x","")</f>
        <v/>
      </c>
      <c r="AD5053" s="75" t="str">
        <f>IF(AND(N5053="1521",MONTH(C5053)='BK-NL'!$M$11),"x","")</f>
        <v/>
      </c>
      <c r="AE5053">
        <v>10</v>
      </c>
    </row>
    <row r="5054" spans="1:33" ht="16.5" customHeight="1">
      <c r="A5054" s="309" t="str">
        <f>IF(B5054&lt;&gt;"",IF(AND(B5054='IN-TC'!$S$4,OR(TH!N5042="1111",TH!O5042="1111")),TH!D5042,""),"")</f>
        <v/>
      </c>
      <c r="B5054" s="1243">
        <f t="shared" si="1342"/>
        <v>10</v>
      </c>
      <c r="C5054" s="292">
        <f t="shared" si="1343"/>
        <v>43011</v>
      </c>
      <c r="D5054" s="292"/>
      <c r="E5054" s="292">
        <v>43011</v>
      </c>
      <c r="F5054" s="1010" t="s">
        <v>1881</v>
      </c>
      <c r="G5054" s="925"/>
      <c r="H5054" s="311" t="s">
        <v>1882</v>
      </c>
      <c r="I5054" s="373"/>
      <c r="J5054" s="926"/>
      <c r="K5054" s="373"/>
      <c r="L5054" s="379"/>
      <c r="M5054" s="927">
        <v>917432000</v>
      </c>
      <c r="N5054" s="295" t="s">
        <v>8</v>
      </c>
      <c r="O5054" s="295" t="s">
        <v>63</v>
      </c>
      <c r="P5054" s="75" t="str">
        <f>IF(AND('331-CT'!$E$7=TH!H4339,OR(N5054="331",O5054="331")),"x","")</f>
        <v/>
      </c>
      <c r="Q5054" s="75" t="str">
        <f>IF(AND(B5054='111'!$L$11,OR($N5054=$Q$7,$O5054=$Q$7)),"x","")</f>
        <v/>
      </c>
      <c r="R5054" s="75" t="str">
        <f>IF(AND($N5054=$Q$7,$B5054&lt;'111'!$L$11),"x","")</f>
        <v/>
      </c>
      <c r="S5054" s="75" t="str">
        <f>IF(AND($O5054=$Q$7,$B5054&lt;'111'!$L$11),"x","")</f>
        <v>x</v>
      </c>
      <c r="T5054" s="75" t="str">
        <f>IF(ISERROR(FIND('112'!$M$9,G5054,1)),"",IF((AND(FIND('112'!$M$9,G5054,1)&gt;=1,B5054='112'!$K$9,OR($N5054='112'!$I$6,$O5054='112'!$I$6))),"x",""))</f>
        <v/>
      </c>
      <c r="U5054" s="75" t="str">
        <f>IF(ISERROR(FIND('112'!$M$9,G5054,1)),"",IF((AND(LEFT(G5054,2)=LEFT('112'!$M$9,2),B5054&lt;'112'!$K$9,$N5054='112'!$I$6)),"x",""))</f>
        <v/>
      </c>
      <c r="V5054" s="75" t="str">
        <f>IF(ISERROR(FIND('112'!$M$9,G5054,1)),"",IF((AND(RIGHT(G5054,2)=RIGHT('112'!$M$9,2),B5054&lt;'112'!$K$9,$O5054='112'!$I$6)),"x",""))</f>
        <v/>
      </c>
      <c r="W5054" s="75" t="str">
        <f>IF(AND('341-CT'!$H$9=H5054,OR(LEFT(N5054,3)=$W$7,LEFT(O5054,3)=$W$7)),"x","")</f>
        <v/>
      </c>
      <c r="X5054" s="75" t="str">
        <f>IF(OR(TH!N4339=TH!$X$7,O5054=TH!$X$7),"x","")</f>
        <v/>
      </c>
      <c r="Y5054" s="75" t="str">
        <f>IF(AND(OR(N5054="131",O5054="131"),H5054='131-CT'!$H$9),"x","")</f>
        <v/>
      </c>
      <c r="Z5054" s="75"/>
      <c r="AA5054" s="75" t="str">
        <f>IF(AND(MONTH(E5054)='IN-NX'!$J$5,'IN-NX'!$D$7=D5054),"x","")</f>
        <v/>
      </c>
      <c r="AB5054" s="75" t="str">
        <f>IF(AND(OR(LEFT(TH!N4339,2)="15",LEFT(TH!O4339,2)="15"),LEFT(TH!O4339,3)&lt;&gt;"111",'152-CT'!$J$8=TH!F4339),"x","")</f>
        <v/>
      </c>
      <c r="AC5054" s="75" t="str">
        <f>IF(AND(OR(LEFT(TH!N4339,2)="15",LEFT(TH!O4339,2)="15"),TK!$E$7=TH!F4339),"x","")</f>
        <v/>
      </c>
      <c r="AD5054" s="75" t="str">
        <f>IF(AND(N5054="1521",MONTH(C5054)='BK-NL'!$M$11),"x","")</f>
        <v/>
      </c>
    </row>
    <row r="5055" spans="1:33" ht="16.5" customHeight="1">
      <c r="A5055" s="309" t="str">
        <f>IF(B5055&lt;&gt;"",IF(AND(B5055='IN-TC'!$S$4,OR(TH!N5043="1111",TH!O5043="1111")),TH!D5043,""),"")</f>
        <v/>
      </c>
      <c r="B5055" s="1243">
        <f t="shared" si="1342"/>
        <v>10</v>
      </c>
      <c r="C5055" s="292">
        <f t="shared" si="1343"/>
        <v>43011</v>
      </c>
      <c r="D5055" s="292"/>
      <c r="E5055" s="292">
        <v>43011</v>
      </c>
      <c r="F5055" s="1010" t="s">
        <v>1883</v>
      </c>
      <c r="G5055" s="925"/>
      <c r="H5055" s="311"/>
      <c r="I5055" s="373"/>
      <c r="J5055" s="926"/>
      <c r="K5055" s="373"/>
      <c r="L5055" s="379"/>
      <c r="M5055" s="927">
        <v>504900</v>
      </c>
      <c r="N5055" s="295" t="s">
        <v>101</v>
      </c>
      <c r="O5055" s="295" t="s">
        <v>63</v>
      </c>
      <c r="P5055" s="75" t="str">
        <f>IF(AND('331-CT'!$E$7=TH!H4340,OR(N5055="331",O5055="331")),"x","")</f>
        <v/>
      </c>
      <c r="Q5055" s="75" t="str">
        <f>IF(AND(B5055='111'!$L$11,OR($N5055=$Q$7,$O5055=$Q$7)),"x","")</f>
        <v/>
      </c>
      <c r="R5055" s="75" t="str">
        <f>IF(AND($N5055=$Q$7,$B5055&lt;'111'!$L$11),"x","")</f>
        <v/>
      </c>
      <c r="S5055" s="75" t="str">
        <f>IF(AND($O5055=$Q$7,$B5055&lt;'111'!$L$11),"x","")</f>
        <v>x</v>
      </c>
      <c r="T5055" s="75" t="str">
        <f>IF(ISERROR(FIND('112'!$M$9,G5055,1)),"",IF((AND(FIND('112'!$M$9,G5055,1)&gt;=1,B5055='112'!$K$9,OR($N5055='112'!$I$6,$O5055='112'!$I$6))),"x",""))</f>
        <v/>
      </c>
      <c r="U5055" s="75" t="str">
        <f>IF(ISERROR(FIND('112'!$M$9,G5055,1)),"",IF((AND(LEFT(G5055,2)=LEFT('112'!$M$9,2),B5055&lt;'112'!$K$9,$N5055='112'!$I$6)),"x",""))</f>
        <v/>
      </c>
      <c r="V5055" s="75" t="str">
        <f>IF(ISERROR(FIND('112'!$M$9,G5055,1)),"",IF((AND(RIGHT(G5055,2)=RIGHT('112'!$M$9,2),B5055&lt;'112'!$K$9,$O5055='112'!$I$6)),"x",""))</f>
        <v/>
      </c>
      <c r="W5055" s="75" t="str">
        <f>IF(AND('341-CT'!$H$9=H5055,OR(LEFT(N5055,3)=$W$7,LEFT(O5055,3)=$W$7)),"x","")</f>
        <v/>
      </c>
      <c r="X5055" s="75" t="str">
        <f>IF(OR(TH!N4340=TH!$X$7,O5055=TH!$X$7),"x","")</f>
        <v/>
      </c>
      <c r="Y5055" s="75" t="str">
        <f>IF(AND(OR(N5055="131",O5055="131"),H5055='131-CT'!$H$9),"x","")</f>
        <v/>
      </c>
      <c r="Z5055" s="75"/>
      <c r="AA5055" s="75" t="str">
        <f>IF(AND(MONTH(E5055)='IN-NX'!$J$5,'IN-NX'!$D$7=D5055),"x","")</f>
        <v/>
      </c>
      <c r="AB5055" s="75" t="str">
        <f>IF(AND(OR(LEFT(TH!N4340,2)="15",LEFT(TH!O4340,2)="15"),LEFT(TH!O4340,3)&lt;&gt;"111",'152-CT'!$J$8=TH!F4340),"x","")</f>
        <v/>
      </c>
      <c r="AC5055" s="75" t="str">
        <f>IF(AND(OR(LEFT(TH!N4340,2)="15",LEFT(TH!O4340,2)="15"),TK!$E$7=TH!F4340),"x","")</f>
        <v/>
      </c>
      <c r="AD5055" s="75" t="str">
        <f>IF(AND(N5055="1521",MONTH(C5055)='BK-NL'!$M$11),"x","")</f>
        <v/>
      </c>
    </row>
    <row r="5056" spans="1:33" ht="16.5" customHeight="1">
      <c r="A5056" s="309" t="str">
        <f>IF(B5056&lt;&gt;"",IF(AND(B5056='IN-TC'!$S$4,OR(TH!N5044="1111",TH!O5044="1111")),TH!D5044,""),"")</f>
        <v/>
      </c>
      <c r="B5056" s="1244">
        <f t="shared" si="1342"/>
        <v>10</v>
      </c>
      <c r="C5056" s="292">
        <f t="shared" si="1343"/>
        <v>43011</v>
      </c>
      <c r="D5056" s="59" t="s">
        <v>902</v>
      </c>
      <c r="E5056" s="59">
        <v>43011</v>
      </c>
      <c r="F5056" s="62" t="s">
        <v>897</v>
      </c>
      <c r="G5056" s="62" t="s">
        <v>747</v>
      </c>
      <c r="H5056" s="311" t="s">
        <v>558</v>
      </c>
      <c r="I5056" s="373"/>
      <c r="J5056" s="382"/>
      <c r="K5056" s="373"/>
      <c r="L5056" s="379"/>
      <c r="M5056" s="60">
        <v>100000000</v>
      </c>
      <c r="N5056" s="61" t="s">
        <v>8</v>
      </c>
      <c r="O5056" s="61" t="s">
        <v>26</v>
      </c>
      <c r="P5056" s="75" t="str">
        <f>IF(AND('331-CT'!$E$7=TH!H5478,OR(N5056="331",O5056="331")),"x","")</f>
        <v/>
      </c>
      <c r="Q5056" s="75" t="str">
        <f>IF(AND(B5056='111'!$L$11,OR($N5056=$Q$7,$O5056=$Q$7)),"x","")</f>
        <v/>
      </c>
      <c r="R5056" s="75" t="str">
        <f>IF(AND($N5056=$Q$7,$B5056&lt;'111'!$L$11),"x","")</f>
        <v/>
      </c>
      <c r="S5056" s="75" t="str">
        <f>IF(AND($O5056=$Q$7,$B5056&lt;'111'!$L$11),"x","")</f>
        <v/>
      </c>
      <c r="T5056" s="75" t="str">
        <f>IF(ISERROR(FIND('112'!$M$9,G5056,1)),"",IF((AND(FIND('112'!$M$9,G5056,1)&gt;=1,B5056='112'!$K$9,OR($N5056='112'!$I$6,$O5056='112'!$I$6))),"x",""))</f>
        <v/>
      </c>
      <c r="U5056" s="75" t="str">
        <f>IF(ISERROR(FIND('112'!$M$9,G5056,1)),"",IF((AND(LEFT(G5056,2)=LEFT('112'!$M$9,2),B5056&lt;'112'!$K$9,$N5056='112'!$I$6)),"x",""))</f>
        <v/>
      </c>
      <c r="V5056" s="75" t="str">
        <f>IF(ISERROR(FIND('112'!$M$9,G5056,1)),"",IF((AND(RIGHT(G5056,2)=RIGHT('112'!$M$9,2),B5056&lt;'112'!$K$9,$O5056='112'!$I$6)),"x",""))</f>
        <v/>
      </c>
      <c r="W5056" s="75" t="str">
        <f>IF(AND('341-CT'!$H$9=H5056,OR(LEFT(N5056,3)=$W$7,LEFT(O5056,3)=$W$7)),"x","")</f>
        <v/>
      </c>
      <c r="X5056" s="75" t="str">
        <f>IF(OR(TH!N5478=TH!$X$7,O5056=TH!$X$7),"x","")</f>
        <v/>
      </c>
      <c r="Y5056" s="75" t="str">
        <f>IF(AND(OR(N5056="131",O5056="131"),H5056='131-CT'!$H$9),"x","")</f>
        <v/>
      </c>
      <c r="Z5056" s="75"/>
      <c r="AA5056" s="75" t="str">
        <f>IF(AND(MONTH(E5056)='IN-NX'!$J$5,'IN-NX'!$D$7=D5056),"x","")</f>
        <v/>
      </c>
      <c r="AB5056" s="75" t="str">
        <f>IF(AND(OR(LEFT(TH!N5478,2)="15",LEFT(TH!O5478,2)="15"),LEFT(TH!O5478,3)&lt;&gt;"111",'152-CT'!$J$8=TH!F5478),"x","")</f>
        <v/>
      </c>
      <c r="AC5056" s="75" t="str">
        <f>IF(AND(OR(LEFT(TH!N5478,2)="15",LEFT(TH!O5478,2)="15"),TK!$E$7=TH!F5478),"x","")</f>
        <v/>
      </c>
      <c r="AD5056" s="75" t="str">
        <f>IF(AND(N5056="1521",MONTH(C5056)='BK-NL'!$M$11),"x","")</f>
        <v/>
      </c>
    </row>
    <row r="5057" spans="1:31" ht="16.5" customHeight="1">
      <c r="A5057" s="309" t="str">
        <f>IF(B5057&lt;&gt;"",IF(AND(B5057='IN-TC'!$S$4,OR(TH!N5045="1111",TH!O5045="1111")),TH!D5045,""),"")</f>
        <v/>
      </c>
      <c r="B5057" s="1244">
        <f t="shared" si="1342"/>
        <v>10</v>
      </c>
      <c r="C5057" s="292">
        <f t="shared" si="1343"/>
        <v>43011</v>
      </c>
      <c r="D5057" s="59" t="s">
        <v>902</v>
      </c>
      <c r="E5057" s="59">
        <v>43011</v>
      </c>
      <c r="F5057" s="62" t="s">
        <v>1307</v>
      </c>
      <c r="G5057" s="62" t="s">
        <v>747</v>
      </c>
      <c r="H5057" s="67" t="s">
        <v>835</v>
      </c>
      <c r="I5057" s="373"/>
      <c r="J5057" s="382"/>
      <c r="K5057" s="373"/>
      <c r="L5057" s="379"/>
      <c r="M5057" s="60">
        <v>10000</v>
      </c>
      <c r="N5057" s="61" t="s">
        <v>101</v>
      </c>
      <c r="O5057" s="61" t="s">
        <v>26</v>
      </c>
      <c r="P5057" s="75" t="str">
        <f>IF(AND('331-CT'!$E$7=TH!H5479,OR(N5057="331",O5057="331")),"x","")</f>
        <v/>
      </c>
      <c r="Q5057" s="75" t="str">
        <f>IF(AND(B5057='111'!$L$11,OR($N5057=$Q$7,$O5057=$Q$7)),"x","")</f>
        <v/>
      </c>
      <c r="R5057" s="75" t="str">
        <f>IF(AND($N5057=$Q$7,$B5057&lt;'111'!$L$11),"x","")</f>
        <v/>
      </c>
      <c r="S5057" s="75" t="str">
        <f>IF(AND($O5057=$Q$7,$B5057&lt;'111'!$L$11),"x","")</f>
        <v/>
      </c>
      <c r="T5057" s="75" t="str">
        <f>IF(ISERROR(FIND('112'!$M$9,G5057,1)),"",IF((AND(FIND('112'!$M$9,G5057,1)&gt;=1,B5057='112'!$K$9,OR($N5057='112'!$I$6,$O5057='112'!$I$6))),"x",""))</f>
        <v/>
      </c>
      <c r="U5057" s="75" t="str">
        <f>IF(ISERROR(FIND('112'!$M$9,G5057,1)),"",IF((AND(LEFT(G5057,2)=LEFT('112'!$M$9,2),B5057&lt;'112'!$K$9,$N5057='112'!$I$6)),"x",""))</f>
        <v/>
      </c>
      <c r="V5057" s="75" t="str">
        <f>IF(ISERROR(FIND('112'!$M$9,G5057,1)),"",IF((AND(RIGHT(G5057,2)=RIGHT('112'!$M$9,2),B5057&lt;'112'!$K$9,$O5057='112'!$I$6)),"x",""))</f>
        <v/>
      </c>
      <c r="W5057" s="75" t="str">
        <f>IF(AND('341-CT'!$H$9=H5057,OR(LEFT(N5057,3)=$W$7,LEFT(O5057,3)=$W$7)),"x","")</f>
        <v/>
      </c>
      <c r="X5057" s="75" t="str">
        <f>IF(OR(TH!N5479=TH!$X$7,O5057=TH!$X$7),"x","")</f>
        <v/>
      </c>
      <c r="Y5057" s="75" t="str">
        <f>IF(AND(OR(N5057="131",O5057="131"),H5057='131-CT'!$H$9),"x","")</f>
        <v/>
      </c>
      <c r="Z5057" s="75"/>
      <c r="AA5057" s="75" t="str">
        <f>IF(AND(MONTH(E5057)='IN-NX'!$J$5,'IN-NX'!$D$7=D5057),"x","")</f>
        <v/>
      </c>
      <c r="AB5057" s="75" t="str">
        <f>IF(AND(OR(LEFT(TH!N5479,2)="15",LEFT(TH!O5479,2)="15"),LEFT(TH!O5479,3)&lt;&gt;"111",'152-CT'!$J$8=TH!F5479),"x","")</f>
        <v/>
      </c>
      <c r="AC5057" s="75" t="str">
        <f>IF(AND(OR(LEFT(TH!N5479,2)="15",LEFT(TH!O5479,2)="15"),TK!$E$7=TH!F5479),"x","")</f>
        <v/>
      </c>
      <c r="AD5057" s="75" t="str">
        <f>IF(AND(N5057="1521",MONTH(C5057)='BK-NL'!$M$11),"x","")</f>
        <v/>
      </c>
      <c r="AE5057">
        <v>10</v>
      </c>
    </row>
    <row r="5058" spans="1:31" ht="16.5" customHeight="1">
      <c r="A5058" s="309" t="str">
        <f>IF(B5058&lt;&gt;"",IF(AND(B5058='IN-TC'!$S$4,OR(TH!N5046="1111",TH!O5046="1111")),TH!D5046,""),"")</f>
        <v/>
      </c>
      <c r="B5058" s="1244">
        <f t="shared" si="1342"/>
        <v>10</v>
      </c>
      <c r="C5058" s="292">
        <f t="shared" si="1343"/>
        <v>43011</v>
      </c>
      <c r="D5058" s="59" t="s">
        <v>902</v>
      </c>
      <c r="E5058" s="59">
        <v>43011</v>
      </c>
      <c r="F5058" s="62" t="s">
        <v>1314</v>
      </c>
      <c r="G5058" s="62" t="s">
        <v>747</v>
      </c>
      <c r="H5058" s="67" t="s">
        <v>835</v>
      </c>
      <c r="I5058" s="373"/>
      <c r="J5058" s="382"/>
      <c r="K5058" s="373"/>
      <c r="L5058" s="379"/>
      <c r="M5058" s="60">
        <v>1000</v>
      </c>
      <c r="N5058" s="61" t="s">
        <v>9</v>
      </c>
      <c r="O5058" s="61" t="s">
        <v>26</v>
      </c>
      <c r="P5058" s="75" t="str">
        <f>IF(AND('331-CT'!$E$7=TH!H5480,OR(N5058="331",O5058="331")),"x","")</f>
        <v/>
      </c>
      <c r="Q5058" s="75" t="str">
        <f>IF(AND(B5058='111'!$L$11,OR($N5058=$Q$7,$O5058=$Q$7)),"x","")</f>
        <v/>
      </c>
      <c r="R5058" s="75" t="str">
        <f>IF(AND($N5058=$Q$7,$B5058&lt;'111'!$L$11),"x","")</f>
        <v/>
      </c>
      <c r="S5058" s="75" t="str">
        <f>IF(AND($O5058=$Q$7,$B5058&lt;'111'!$L$11),"x","")</f>
        <v/>
      </c>
      <c r="T5058" s="75" t="str">
        <f>IF(ISERROR(FIND('112'!$M$9,G5058,1)),"",IF((AND(FIND('112'!$M$9,G5058,1)&gt;=1,B5058='112'!$K$9,OR($N5058='112'!$I$6,$O5058='112'!$I$6))),"x",""))</f>
        <v/>
      </c>
      <c r="U5058" s="75" t="str">
        <f>IF(ISERROR(FIND('112'!$M$9,G5058,1)),"",IF((AND(LEFT(G5058,2)=LEFT('112'!$M$9,2),B5058&lt;'112'!$K$9,$N5058='112'!$I$6)),"x",""))</f>
        <v/>
      </c>
      <c r="V5058" s="75" t="str">
        <f>IF(ISERROR(FIND('112'!$M$9,G5058,1)),"",IF((AND(RIGHT(G5058,2)=RIGHT('112'!$M$9,2),B5058&lt;'112'!$K$9,$O5058='112'!$I$6)),"x",""))</f>
        <v/>
      </c>
      <c r="W5058" s="75" t="str">
        <f>IF(AND('341-CT'!$H$9=H5058,OR(LEFT(N5058,3)=$W$7,LEFT(O5058,3)=$W$7)),"x","")</f>
        <v/>
      </c>
      <c r="X5058" s="75" t="str">
        <f>IF(OR(TH!N5480=TH!$X$7,O5058=TH!$X$7),"x","")</f>
        <v/>
      </c>
      <c r="Y5058" s="75" t="str">
        <f>IF(AND(OR(N5058="131",O5058="131"),H5058='131-CT'!$H$9),"x","")</f>
        <v/>
      </c>
      <c r="Z5058" s="75"/>
      <c r="AA5058" s="75" t="str">
        <f>IF(AND(MONTH(E5058)='IN-NX'!$J$5,'IN-NX'!$D$7=D5058),"x","")</f>
        <v/>
      </c>
      <c r="AB5058" s="75" t="str">
        <f>IF(AND(OR(LEFT(TH!N5480,2)="15",LEFT(TH!O5480,2)="15"),LEFT(TH!O5480,3)&lt;&gt;"111",'152-CT'!$J$8=TH!F5480),"x","")</f>
        <v/>
      </c>
      <c r="AC5058" s="75" t="str">
        <f>IF(AND(OR(LEFT(TH!N5480,2)="15",LEFT(TH!O5480,2)="15"),TK!$E$7=TH!F5480),"x","")</f>
        <v/>
      </c>
      <c r="AD5058" s="75" t="str">
        <f>IF(AND(N5058="1521",MONTH(C5058)='BK-NL'!$M$11),"x","")</f>
        <v/>
      </c>
      <c r="AE5058">
        <v>10</v>
      </c>
    </row>
    <row r="5059" spans="1:31" ht="16.5" customHeight="1">
      <c r="A5059" s="309" t="str">
        <f>IF(B5059&lt;&gt;"",IF(AND(B5059='IN-TC'!$S$4,OR(TH!N5047="1111",TH!O5047="1111")),TH!D5047,""),"")</f>
        <v/>
      </c>
      <c r="B5059" s="1244">
        <f t="shared" si="1342"/>
        <v>10</v>
      </c>
      <c r="C5059" s="292">
        <f t="shared" si="1343"/>
        <v>43011</v>
      </c>
      <c r="D5059" s="59" t="s">
        <v>902</v>
      </c>
      <c r="E5059" s="59">
        <v>43011</v>
      </c>
      <c r="F5059" s="62" t="s">
        <v>1674</v>
      </c>
      <c r="G5059" s="62" t="s">
        <v>747</v>
      </c>
      <c r="H5059" s="311" t="s">
        <v>749</v>
      </c>
      <c r="I5059" s="373"/>
      <c r="J5059" s="382"/>
      <c r="K5059" s="373"/>
      <c r="L5059" s="379"/>
      <c r="M5059" s="60">
        <v>28780652</v>
      </c>
      <c r="N5059" s="61" t="s">
        <v>8</v>
      </c>
      <c r="O5059" s="61" t="s">
        <v>26</v>
      </c>
      <c r="P5059" s="75" t="str">
        <f>IF(AND('331-CT'!$E$7=TH!H5481,OR(N5059="331",O5059="331")),"x","")</f>
        <v/>
      </c>
      <c r="Q5059" s="75" t="str">
        <f>IF(AND(B5059='111'!$L$11,OR($N5059=$Q$7,$O5059=$Q$7)),"x","")</f>
        <v/>
      </c>
      <c r="R5059" s="75" t="str">
        <f>IF(AND($N5059=$Q$7,$B5059&lt;'111'!$L$11),"x","")</f>
        <v/>
      </c>
      <c r="S5059" s="75" t="str">
        <f>IF(AND($O5059=$Q$7,$B5059&lt;'111'!$L$11),"x","")</f>
        <v/>
      </c>
      <c r="T5059" s="75" t="str">
        <f>IF(ISERROR(FIND('112'!$M$9,G5059,1)),"",IF((AND(FIND('112'!$M$9,G5059,1)&gt;=1,B5059='112'!$K$9,OR($N5059='112'!$I$6,$O5059='112'!$I$6))),"x",""))</f>
        <v/>
      </c>
      <c r="U5059" s="75" t="str">
        <f>IF(ISERROR(FIND('112'!$M$9,G5059,1)),"",IF((AND(LEFT(G5059,2)=LEFT('112'!$M$9,2),B5059&lt;'112'!$K$9,$N5059='112'!$I$6)),"x",""))</f>
        <v/>
      </c>
      <c r="V5059" s="75" t="str">
        <f>IF(ISERROR(FIND('112'!$M$9,G5059,1)),"",IF((AND(RIGHT(G5059,2)=RIGHT('112'!$M$9,2),B5059&lt;'112'!$K$9,$O5059='112'!$I$6)),"x",""))</f>
        <v/>
      </c>
      <c r="W5059" s="75" t="str">
        <f>IF(AND('341-CT'!$H$9=H5059,OR(LEFT(N5059,3)=$W$7,LEFT(O5059,3)=$W$7)),"x","")</f>
        <v/>
      </c>
      <c r="X5059" s="75" t="str">
        <f>IF(OR(TH!N5481=TH!$X$7,O5059=TH!$X$7),"x","")</f>
        <v/>
      </c>
      <c r="Y5059" s="75" t="str">
        <f>IF(AND(OR(N5059="131",O5059="131"),H5059='131-CT'!$H$9),"x","")</f>
        <v/>
      </c>
      <c r="Z5059" s="75"/>
      <c r="AA5059" s="75" t="str">
        <f>IF(AND(MONTH(E5059)='IN-NX'!$J$5,'IN-NX'!$D$7=D5059),"x","")</f>
        <v/>
      </c>
      <c r="AB5059" s="75" t="str">
        <f>IF(AND(OR(LEFT(TH!N5481,2)="15",LEFT(TH!O5481,2)="15"),LEFT(TH!O5481,3)&lt;&gt;"111",'152-CT'!$J$8=TH!F5481),"x","")</f>
        <v/>
      </c>
      <c r="AC5059" s="75" t="str">
        <f>IF(AND(OR(LEFT(TH!N5481,2)="15",LEFT(TH!O5481,2)="15"),TK!$E$7=TH!F5481),"x","")</f>
        <v/>
      </c>
      <c r="AD5059" s="75" t="str">
        <f>IF(AND(N5059="1521",MONTH(C5059)='BK-NL'!$M$11),"x","")</f>
        <v/>
      </c>
    </row>
    <row r="5060" spans="1:31" ht="16.5" customHeight="1">
      <c r="A5060" s="309" t="str">
        <f>IF(B5060&lt;&gt;"",IF(AND(B5060='IN-TC'!$S$4,OR(TH!N5048="1111",TH!O5048="1111")),TH!D5048,""),"")</f>
        <v/>
      </c>
      <c r="B5060" s="1244">
        <f t="shared" si="1342"/>
        <v>10</v>
      </c>
      <c r="C5060" s="292">
        <f t="shared" si="1343"/>
        <v>43011</v>
      </c>
      <c r="D5060" s="59" t="s">
        <v>902</v>
      </c>
      <c r="E5060" s="59">
        <v>43011</v>
      </c>
      <c r="F5060" s="62" t="s">
        <v>1307</v>
      </c>
      <c r="G5060" s="62" t="s">
        <v>747</v>
      </c>
      <c r="H5060" s="67" t="s">
        <v>835</v>
      </c>
      <c r="I5060" s="373"/>
      <c r="J5060" s="382"/>
      <c r="K5060" s="373"/>
      <c r="L5060" s="379"/>
      <c r="M5060" s="60">
        <v>10000</v>
      </c>
      <c r="N5060" s="61" t="s">
        <v>101</v>
      </c>
      <c r="O5060" s="61" t="s">
        <v>26</v>
      </c>
      <c r="P5060" s="75" t="str">
        <f>IF(AND('331-CT'!$E$7=TH!H5482,OR(N5060="331",O5060="331")),"x","")</f>
        <v/>
      </c>
      <c r="Q5060" s="75" t="str">
        <f>IF(AND(B5060='111'!$L$11,OR($N5060=$Q$7,$O5060=$Q$7)),"x","")</f>
        <v/>
      </c>
      <c r="R5060" s="75" t="str">
        <f>IF(AND($N5060=$Q$7,$B5060&lt;'111'!$L$11),"x","")</f>
        <v/>
      </c>
      <c r="S5060" s="75" t="str">
        <f>IF(AND($O5060=$Q$7,$B5060&lt;'111'!$L$11),"x","")</f>
        <v/>
      </c>
      <c r="T5060" s="75" t="str">
        <f>IF(ISERROR(FIND('112'!$M$9,G5060,1)),"",IF((AND(FIND('112'!$M$9,G5060,1)&gt;=1,B5060='112'!$K$9,OR($N5060='112'!$I$6,$O5060='112'!$I$6))),"x",""))</f>
        <v/>
      </c>
      <c r="U5060" s="75" t="str">
        <f>IF(ISERROR(FIND('112'!$M$9,G5060,1)),"",IF((AND(LEFT(G5060,2)=LEFT('112'!$M$9,2),B5060&lt;'112'!$K$9,$N5060='112'!$I$6)),"x",""))</f>
        <v/>
      </c>
      <c r="V5060" s="75" t="str">
        <f>IF(ISERROR(FIND('112'!$M$9,G5060,1)),"",IF((AND(RIGHT(G5060,2)=RIGHT('112'!$M$9,2),B5060&lt;'112'!$K$9,$O5060='112'!$I$6)),"x",""))</f>
        <v/>
      </c>
      <c r="W5060" s="75" t="str">
        <f>IF(AND('341-CT'!$H$9=H5060,OR(LEFT(N5060,3)=$W$7,LEFT(O5060,3)=$W$7)),"x","")</f>
        <v/>
      </c>
      <c r="X5060" s="75" t="str">
        <f>IF(OR(TH!N5482=TH!$X$7,O5060=TH!$X$7),"x","")</f>
        <v/>
      </c>
      <c r="Y5060" s="75" t="str">
        <f>IF(AND(OR(N5060="131",O5060="131"),H5060='131-CT'!$H$9),"x","")</f>
        <v/>
      </c>
      <c r="Z5060" s="75"/>
      <c r="AA5060" s="75" t="str">
        <f>IF(AND(MONTH(E5060)='IN-NX'!$J$5,'IN-NX'!$D$7=D5060),"x","")</f>
        <v/>
      </c>
      <c r="AB5060" s="75" t="str">
        <f>IF(AND(OR(LEFT(TH!N5482,2)="15",LEFT(TH!O5482,2)="15"),LEFT(TH!O5482,3)&lt;&gt;"111",'152-CT'!$J$8=TH!F5482),"x","")</f>
        <v/>
      </c>
      <c r="AC5060" s="75" t="str">
        <f>IF(AND(OR(LEFT(TH!N5482,2)="15",LEFT(TH!O5482,2)="15"),TK!$E$7=TH!F5482),"x","")</f>
        <v/>
      </c>
      <c r="AD5060" s="75" t="str">
        <f>IF(AND(N5060="1521",MONTH(C5060)='BK-NL'!$M$11),"x","")</f>
        <v/>
      </c>
      <c r="AE5060">
        <v>10</v>
      </c>
    </row>
    <row r="5061" spans="1:31" ht="16.5" customHeight="1">
      <c r="A5061" s="309" t="str">
        <f>IF(B5061&lt;&gt;"",IF(AND(B5061='IN-TC'!$S$4,OR(TH!N5049="1111",TH!O5049="1111")),TH!D5049,""),"")</f>
        <v/>
      </c>
      <c r="B5061" s="1244">
        <f t="shared" si="1342"/>
        <v>10</v>
      </c>
      <c r="C5061" s="292">
        <f t="shared" si="1343"/>
        <v>43011</v>
      </c>
      <c r="D5061" s="59" t="s">
        <v>902</v>
      </c>
      <c r="E5061" s="59">
        <v>43011</v>
      </c>
      <c r="F5061" s="62" t="s">
        <v>1314</v>
      </c>
      <c r="G5061" s="62" t="s">
        <v>747</v>
      </c>
      <c r="H5061" s="67" t="s">
        <v>835</v>
      </c>
      <c r="I5061" s="373"/>
      <c r="J5061" s="382"/>
      <c r="K5061" s="373"/>
      <c r="L5061" s="379"/>
      <c r="M5061" s="60">
        <v>1000</v>
      </c>
      <c r="N5061" s="61" t="s">
        <v>9</v>
      </c>
      <c r="O5061" s="61" t="s">
        <v>26</v>
      </c>
      <c r="P5061" s="75" t="str">
        <f>IF(AND('331-CT'!$E$7=TH!H5483,OR(N5061="331",O5061="331")),"x","")</f>
        <v/>
      </c>
      <c r="Q5061" s="75" t="str">
        <f>IF(AND(B5061='111'!$L$11,OR($N5061=$Q$7,$O5061=$Q$7)),"x","")</f>
        <v/>
      </c>
      <c r="R5061" s="75" t="str">
        <f>IF(AND($N5061=$Q$7,$B5061&lt;'111'!$L$11),"x","")</f>
        <v/>
      </c>
      <c r="S5061" s="75" t="str">
        <f>IF(AND($O5061=$Q$7,$B5061&lt;'111'!$L$11),"x","")</f>
        <v/>
      </c>
      <c r="T5061" s="75" t="str">
        <f>IF(ISERROR(FIND('112'!$M$9,G5061,1)),"",IF((AND(FIND('112'!$M$9,G5061,1)&gt;=1,B5061='112'!$K$9,OR($N5061='112'!$I$6,$O5061='112'!$I$6))),"x",""))</f>
        <v/>
      </c>
      <c r="U5061" s="75" t="str">
        <f>IF(ISERROR(FIND('112'!$M$9,G5061,1)),"",IF((AND(LEFT(G5061,2)=LEFT('112'!$M$9,2),B5061&lt;'112'!$K$9,$N5061='112'!$I$6)),"x",""))</f>
        <v/>
      </c>
      <c r="V5061" s="75" t="str">
        <f>IF(ISERROR(FIND('112'!$M$9,G5061,1)),"",IF((AND(RIGHT(G5061,2)=RIGHT('112'!$M$9,2),B5061&lt;'112'!$K$9,$O5061='112'!$I$6)),"x",""))</f>
        <v/>
      </c>
      <c r="W5061" s="75" t="str">
        <f>IF(AND('341-CT'!$H$9=H5061,OR(LEFT(N5061,3)=$W$7,LEFT(O5061,3)=$W$7)),"x","")</f>
        <v/>
      </c>
      <c r="X5061" s="75" t="str">
        <f>IF(OR(TH!N5483=TH!$X$7,O5061=TH!$X$7),"x","")</f>
        <v/>
      </c>
      <c r="Y5061" s="75" t="str">
        <f>IF(AND(OR(N5061="131",O5061="131"),H5061='131-CT'!$H$9),"x","")</f>
        <v/>
      </c>
      <c r="Z5061" s="75"/>
      <c r="AA5061" s="75" t="str">
        <f>IF(AND(MONTH(E5061)='IN-NX'!$J$5,'IN-NX'!$D$7=D5061),"x","")</f>
        <v/>
      </c>
      <c r="AB5061" s="75" t="str">
        <f>IF(AND(OR(LEFT(TH!N5483,2)="15",LEFT(TH!O5483,2)="15"),LEFT(TH!O5483,3)&lt;&gt;"111",'152-CT'!$J$8=TH!F5483),"x","")</f>
        <v/>
      </c>
      <c r="AC5061" s="75" t="str">
        <f>IF(AND(OR(LEFT(TH!N5483,2)="15",LEFT(TH!O5483,2)="15"),TK!$E$7=TH!F5483),"x","")</f>
        <v/>
      </c>
      <c r="AD5061" s="75" t="str">
        <f>IF(AND(N5061="1521",MONTH(C5061)='BK-NL'!$M$11),"x","")</f>
        <v/>
      </c>
      <c r="AE5061">
        <v>10</v>
      </c>
    </row>
    <row r="5062" spans="1:31" ht="16.5" customHeight="1">
      <c r="A5062" s="309" t="str">
        <f>IF(B5062&lt;&gt;"",IF(AND(B5062='IN-TC'!$S$4,OR(TH!N5050="1111",TH!O5050="1111")),TH!D5050,""),"")</f>
        <v/>
      </c>
      <c r="B5062" s="1244">
        <f t="shared" si="1342"/>
        <v>10</v>
      </c>
      <c r="C5062" s="292">
        <f t="shared" si="1343"/>
        <v>43011</v>
      </c>
      <c r="D5062" s="59" t="s">
        <v>902</v>
      </c>
      <c r="E5062" s="59">
        <v>43011</v>
      </c>
      <c r="F5062" s="62" t="s">
        <v>2029</v>
      </c>
      <c r="G5062" s="62" t="s">
        <v>747</v>
      </c>
      <c r="H5062" s="67" t="s">
        <v>567</v>
      </c>
      <c r="I5062" s="373"/>
      <c r="J5062" s="382"/>
      <c r="K5062" s="373"/>
      <c r="L5062" s="379"/>
      <c r="M5062" s="60">
        <v>200000000</v>
      </c>
      <c r="N5062" s="61" t="s">
        <v>8</v>
      </c>
      <c r="O5062" s="61" t="s">
        <v>26</v>
      </c>
      <c r="P5062" s="75" t="str">
        <f>IF(AND('331-CT'!$E$7=TH!H5484,OR(N5062="331",O5062="331")),"x","")</f>
        <v/>
      </c>
      <c r="Q5062" s="75" t="str">
        <f>IF(AND(B5062='111'!$L$11,OR($N5062=$Q$7,$O5062=$Q$7)),"x","")</f>
        <v/>
      </c>
      <c r="R5062" s="75" t="str">
        <f>IF(AND($N5062=$Q$7,$B5062&lt;'111'!$L$11),"x","")</f>
        <v/>
      </c>
      <c r="S5062" s="75" t="str">
        <f>IF(AND($O5062=$Q$7,$B5062&lt;'111'!$L$11),"x","")</f>
        <v/>
      </c>
      <c r="T5062" s="75" t="str">
        <f>IF(ISERROR(FIND('112'!$M$9,G5062,1)),"",IF((AND(FIND('112'!$M$9,G5062,1)&gt;=1,B5062='112'!$K$9,OR($N5062='112'!$I$6,$O5062='112'!$I$6))),"x",""))</f>
        <v/>
      </c>
      <c r="U5062" s="75" t="str">
        <f>IF(ISERROR(FIND('112'!$M$9,G5062,1)),"",IF((AND(LEFT(G5062,2)=LEFT('112'!$M$9,2),B5062&lt;'112'!$K$9,$N5062='112'!$I$6)),"x",""))</f>
        <v/>
      </c>
      <c r="V5062" s="75" t="str">
        <f>IF(ISERROR(FIND('112'!$M$9,G5062,1)),"",IF((AND(RIGHT(G5062,2)=RIGHT('112'!$M$9,2),B5062&lt;'112'!$K$9,$O5062='112'!$I$6)),"x",""))</f>
        <v/>
      </c>
      <c r="W5062" s="75" t="str">
        <f>IF(AND('341-CT'!$H$9=H5062,OR(LEFT(N5062,3)=$W$7,LEFT(O5062,3)=$W$7)),"x","")</f>
        <v/>
      </c>
      <c r="X5062" s="75" t="str">
        <f>IF(OR(TH!N5484=TH!$X$7,O5062=TH!$X$7),"x","")</f>
        <v/>
      </c>
      <c r="Y5062" s="75" t="str">
        <f>IF(AND(OR(N5062="131",O5062="131"),H5062='131-CT'!$H$9),"x","")</f>
        <v/>
      </c>
      <c r="Z5062" s="75"/>
      <c r="AA5062" s="75" t="str">
        <f>IF(AND(MONTH(E5062)='IN-NX'!$J$5,'IN-NX'!$D$7=D5062),"x","")</f>
        <v/>
      </c>
      <c r="AB5062" s="75" t="str">
        <f>IF(AND(OR(LEFT(TH!N5484,2)="15",LEFT(TH!O5484,2)="15"),LEFT(TH!O5484,3)&lt;&gt;"111",'152-CT'!$J$8=TH!F5484),"x","")</f>
        <v/>
      </c>
      <c r="AC5062" s="75" t="str">
        <f>IF(AND(OR(LEFT(TH!N5484,2)="15",LEFT(TH!O5484,2)="15"),TK!$E$7=TH!F5484),"x","")</f>
        <v/>
      </c>
      <c r="AD5062" s="75" t="str">
        <f>IF(AND(N5062="1521",MONTH(C5062)='BK-NL'!$M$11),"x","")</f>
        <v/>
      </c>
    </row>
    <row r="5063" spans="1:31" ht="16.5" customHeight="1">
      <c r="A5063" s="309" t="str">
        <f>IF(B5063&lt;&gt;"",IF(AND(B5063='IN-TC'!$S$4,OR(TH!N5051="1111",TH!O5051="1111")),TH!D5051,""),"")</f>
        <v/>
      </c>
      <c r="B5063" s="1244">
        <f t="shared" si="1342"/>
        <v>10</v>
      </c>
      <c r="C5063" s="292">
        <f t="shared" si="1343"/>
        <v>43011</v>
      </c>
      <c r="D5063" s="59" t="s">
        <v>902</v>
      </c>
      <c r="E5063" s="59">
        <v>43011</v>
      </c>
      <c r="F5063" s="62" t="s">
        <v>1307</v>
      </c>
      <c r="G5063" s="62" t="s">
        <v>747</v>
      </c>
      <c r="H5063" s="67" t="s">
        <v>835</v>
      </c>
      <c r="I5063" s="373"/>
      <c r="J5063" s="382"/>
      <c r="K5063" s="373"/>
      <c r="L5063" s="379"/>
      <c r="M5063" s="60">
        <v>60000</v>
      </c>
      <c r="N5063" s="61" t="s">
        <v>101</v>
      </c>
      <c r="O5063" s="61" t="s">
        <v>26</v>
      </c>
      <c r="P5063" s="75" t="str">
        <f>IF(AND('331-CT'!$E$7=TH!H5485,OR(N5063="331",O5063="331")),"x","")</f>
        <v/>
      </c>
      <c r="Q5063" s="75" t="str">
        <f>IF(AND(B5063='111'!$L$11,OR($N5063=$Q$7,$O5063=$Q$7)),"x","")</f>
        <v/>
      </c>
      <c r="R5063" s="75" t="str">
        <f>IF(AND($N5063=$Q$7,$B5063&lt;'111'!$L$11),"x","")</f>
        <v/>
      </c>
      <c r="S5063" s="75" t="str">
        <f>IF(AND($O5063=$Q$7,$B5063&lt;'111'!$L$11),"x","")</f>
        <v/>
      </c>
      <c r="T5063" s="75" t="str">
        <f>IF(ISERROR(FIND('112'!$M$9,G5063,1)),"",IF((AND(FIND('112'!$M$9,G5063,1)&gt;=1,B5063='112'!$K$9,OR($N5063='112'!$I$6,$O5063='112'!$I$6))),"x",""))</f>
        <v/>
      </c>
      <c r="U5063" s="75" t="str">
        <f>IF(ISERROR(FIND('112'!$M$9,G5063,1)),"",IF((AND(LEFT(G5063,2)=LEFT('112'!$M$9,2),B5063&lt;'112'!$K$9,$N5063='112'!$I$6)),"x",""))</f>
        <v/>
      </c>
      <c r="V5063" s="75" t="str">
        <f>IF(ISERROR(FIND('112'!$M$9,G5063,1)),"",IF((AND(RIGHT(G5063,2)=RIGHT('112'!$M$9,2),B5063&lt;'112'!$K$9,$O5063='112'!$I$6)),"x",""))</f>
        <v/>
      </c>
      <c r="W5063" s="75" t="str">
        <f>IF(AND('341-CT'!$H$9=H5063,OR(LEFT(N5063,3)=$W$7,LEFT(O5063,3)=$W$7)),"x","")</f>
        <v/>
      </c>
      <c r="X5063" s="75" t="str">
        <f>IF(OR(TH!N5485=TH!$X$7,O5063=TH!$X$7),"x","")</f>
        <v/>
      </c>
      <c r="Y5063" s="75" t="str">
        <f>IF(AND(OR(N5063="131",O5063="131"),H5063='131-CT'!$H$9),"x","")</f>
        <v/>
      </c>
      <c r="Z5063" s="75"/>
      <c r="AA5063" s="75" t="str">
        <f>IF(AND(MONTH(E5063)='IN-NX'!$J$5,'IN-NX'!$D$7=D5063),"x","")</f>
        <v/>
      </c>
      <c r="AB5063" s="75" t="str">
        <f>IF(AND(OR(LEFT(TH!N5485,2)="15",LEFT(TH!O5485,2)="15"),LEFT(TH!O5485,3)&lt;&gt;"111",'152-CT'!$J$8=TH!F5485),"x","")</f>
        <v/>
      </c>
      <c r="AC5063" s="75" t="str">
        <f>IF(AND(OR(LEFT(TH!N5485,2)="15",LEFT(TH!O5485,2)="15"),TK!$E$7=TH!F5485),"x","")</f>
        <v/>
      </c>
      <c r="AD5063" s="75" t="str">
        <f>IF(AND(N5063="1521",MONTH(C5063)='BK-NL'!$M$11),"x","")</f>
        <v/>
      </c>
      <c r="AE5063">
        <v>10</v>
      </c>
    </row>
    <row r="5064" spans="1:31" ht="16.5" customHeight="1">
      <c r="A5064" s="309" t="str">
        <f>IF(B5064&lt;&gt;"",IF(AND(B5064='IN-TC'!$S$4,OR(TH!N5052="1111",TH!O5052="1111")),TH!D5052,""),"")</f>
        <v/>
      </c>
      <c r="B5064" s="1244">
        <f t="shared" si="1342"/>
        <v>10</v>
      </c>
      <c r="C5064" s="292">
        <f t="shared" si="1343"/>
        <v>43011</v>
      </c>
      <c r="D5064" s="59" t="s">
        <v>902</v>
      </c>
      <c r="E5064" s="59">
        <v>43011</v>
      </c>
      <c r="F5064" s="62" t="s">
        <v>1314</v>
      </c>
      <c r="G5064" s="62" t="s">
        <v>747</v>
      </c>
      <c r="H5064" s="67" t="s">
        <v>835</v>
      </c>
      <c r="I5064" s="373"/>
      <c r="J5064" s="382"/>
      <c r="K5064" s="373"/>
      <c r="L5064" s="379"/>
      <c r="M5064" s="60">
        <v>6000</v>
      </c>
      <c r="N5064" s="61" t="s">
        <v>9</v>
      </c>
      <c r="O5064" s="61" t="s">
        <v>26</v>
      </c>
      <c r="P5064" s="75" t="str">
        <f>IF(AND('331-CT'!$E$7=TH!H5486,OR(N5064="331",O5064="331")),"x","")</f>
        <v/>
      </c>
      <c r="Q5064" s="75" t="str">
        <f>IF(AND(B5064='111'!$L$11,OR($N5064=$Q$7,$O5064=$Q$7)),"x","")</f>
        <v/>
      </c>
      <c r="R5064" s="75" t="str">
        <f>IF(AND($N5064=$Q$7,$B5064&lt;'111'!$L$11),"x","")</f>
        <v/>
      </c>
      <c r="S5064" s="75" t="str">
        <f>IF(AND($O5064=$Q$7,$B5064&lt;'111'!$L$11),"x","")</f>
        <v/>
      </c>
      <c r="T5064" s="75" t="str">
        <f>IF(ISERROR(FIND('112'!$M$9,G5064,1)),"",IF((AND(FIND('112'!$M$9,G5064,1)&gt;=1,B5064='112'!$K$9,OR($N5064='112'!$I$6,$O5064='112'!$I$6))),"x",""))</f>
        <v/>
      </c>
      <c r="U5064" s="75" t="str">
        <f>IF(ISERROR(FIND('112'!$M$9,G5064,1)),"",IF((AND(LEFT(G5064,2)=LEFT('112'!$M$9,2),B5064&lt;'112'!$K$9,$N5064='112'!$I$6)),"x",""))</f>
        <v/>
      </c>
      <c r="V5064" s="75" t="str">
        <f>IF(ISERROR(FIND('112'!$M$9,G5064,1)),"",IF((AND(RIGHT(G5064,2)=RIGHT('112'!$M$9,2),B5064&lt;'112'!$K$9,$O5064='112'!$I$6)),"x",""))</f>
        <v/>
      </c>
      <c r="W5064" s="75" t="str">
        <f>IF(AND('341-CT'!$H$9=H5064,OR(LEFT(N5064,3)=$W$7,LEFT(O5064,3)=$W$7)),"x","")</f>
        <v/>
      </c>
      <c r="X5064" s="75" t="str">
        <f>IF(OR(TH!N5486=TH!$X$7,O5064=TH!$X$7),"x","")</f>
        <v/>
      </c>
      <c r="Y5064" s="75" t="str">
        <f>IF(AND(OR(N5064="131",O5064="131"),H5064='131-CT'!$H$9),"x","")</f>
        <v/>
      </c>
      <c r="Z5064" s="75"/>
      <c r="AA5064" s="75" t="str">
        <f>IF(AND(MONTH(E5064)='IN-NX'!$J$5,'IN-NX'!$D$7=D5064),"x","")</f>
        <v/>
      </c>
      <c r="AB5064" s="75" t="str">
        <f>IF(AND(OR(LEFT(TH!N5486,2)="15",LEFT(TH!O5486,2)="15"),LEFT(TH!O5486,3)&lt;&gt;"111",'152-CT'!$J$8=TH!F5486),"x","")</f>
        <v/>
      </c>
      <c r="AC5064" s="75" t="str">
        <f>IF(AND(OR(LEFT(TH!N5486,2)="15",LEFT(TH!O5486,2)="15"),TK!$E$7=TH!F5486),"x","")</f>
        <v/>
      </c>
      <c r="AD5064" s="75" t="str">
        <f>IF(AND(N5064="1521",MONTH(C5064)='BK-NL'!$M$11),"x","")</f>
        <v/>
      </c>
      <c r="AE5064">
        <v>10</v>
      </c>
    </row>
    <row r="5065" spans="1:31" ht="16.5" customHeight="1">
      <c r="A5065" s="309" t="str">
        <f>IF(B5065&lt;&gt;"",IF(AND(B5065='IN-TC'!$S$4,OR(TH!N5053="1111",TH!O5053="1111")),TH!D5053,""),"")</f>
        <v/>
      </c>
      <c r="B5065" s="1244">
        <f t="shared" si="1342"/>
        <v>10</v>
      </c>
      <c r="C5065" s="292">
        <f t="shared" si="1343"/>
        <v>43011</v>
      </c>
      <c r="D5065" s="59" t="s">
        <v>902</v>
      </c>
      <c r="E5065" s="59">
        <v>43011</v>
      </c>
      <c r="F5065" s="62" t="s">
        <v>2029</v>
      </c>
      <c r="G5065" s="62" t="s">
        <v>747</v>
      </c>
      <c r="H5065" s="294" t="s">
        <v>622</v>
      </c>
      <c r="I5065" s="373"/>
      <c r="J5065" s="382"/>
      <c r="K5065" s="373"/>
      <c r="L5065" s="379"/>
      <c r="M5065" s="60">
        <v>200000000</v>
      </c>
      <c r="N5065" s="61" t="s">
        <v>8</v>
      </c>
      <c r="O5065" s="61" t="s">
        <v>26</v>
      </c>
      <c r="P5065" s="75" t="str">
        <f>IF(AND('331-CT'!$E$7=TH!H5487,OR(N5065="331",O5065="331")),"x","")</f>
        <v/>
      </c>
      <c r="Q5065" s="75" t="str">
        <f>IF(AND(B5065='111'!$L$11,OR($N5065=$Q$7,$O5065=$Q$7)),"x","")</f>
        <v/>
      </c>
      <c r="R5065" s="75" t="str">
        <f>IF(AND($N5065=$Q$7,$B5065&lt;'111'!$L$11),"x","")</f>
        <v/>
      </c>
      <c r="S5065" s="75" t="str">
        <f>IF(AND($O5065=$Q$7,$B5065&lt;'111'!$L$11),"x","")</f>
        <v/>
      </c>
      <c r="T5065" s="75" t="str">
        <f>IF(ISERROR(FIND('112'!$M$9,G5065,1)),"",IF((AND(FIND('112'!$M$9,G5065,1)&gt;=1,B5065='112'!$K$9,OR($N5065='112'!$I$6,$O5065='112'!$I$6))),"x",""))</f>
        <v/>
      </c>
      <c r="U5065" s="75" t="str">
        <f>IF(ISERROR(FIND('112'!$M$9,G5065,1)),"",IF((AND(LEFT(G5065,2)=LEFT('112'!$M$9,2),B5065&lt;'112'!$K$9,$N5065='112'!$I$6)),"x",""))</f>
        <v/>
      </c>
      <c r="V5065" s="75" t="str">
        <f>IF(ISERROR(FIND('112'!$M$9,G5065,1)),"",IF((AND(RIGHT(G5065,2)=RIGHT('112'!$M$9,2),B5065&lt;'112'!$K$9,$O5065='112'!$I$6)),"x",""))</f>
        <v/>
      </c>
      <c r="W5065" s="75" t="str">
        <f>IF(AND('341-CT'!$H$9=H5065,OR(LEFT(N5065,3)=$W$7,LEFT(O5065,3)=$W$7)),"x","")</f>
        <v/>
      </c>
      <c r="X5065" s="75" t="str">
        <f>IF(OR(TH!N5487=TH!$X$7,O5065=TH!$X$7),"x","")</f>
        <v/>
      </c>
      <c r="Y5065" s="75" t="str">
        <f>IF(AND(OR(N5065="131",O5065="131"),H5065='131-CT'!$H$9),"x","")</f>
        <v/>
      </c>
      <c r="Z5065" s="75"/>
      <c r="AA5065" s="75" t="str">
        <f>IF(AND(MONTH(E5065)='IN-NX'!$J$5,'IN-NX'!$D$7=D5065),"x","")</f>
        <v/>
      </c>
      <c r="AB5065" s="75" t="str">
        <f>IF(AND(OR(LEFT(TH!N5487,2)="15",LEFT(TH!O5487,2)="15"),LEFT(TH!O5487,3)&lt;&gt;"111",'152-CT'!$J$8=TH!F5487),"x","")</f>
        <v/>
      </c>
      <c r="AC5065" s="75" t="str">
        <f>IF(AND(OR(LEFT(TH!N5487,2)="15",LEFT(TH!O5487,2)="15"),TK!$E$7=TH!F5487),"x","")</f>
        <v/>
      </c>
      <c r="AD5065" s="75" t="str">
        <f>IF(AND(N5065="1521",MONTH(C5065)='BK-NL'!$M$11),"x","")</f>
        <v/>
      </c>
    </row>
    <row r="5066" spans="1:31" ht="16.5" customHeight="1">
      <c r="A5066" s="309" t="str">
        <f>IF(B5066&lt;&gt;"",IF(AND(B5066='IN-TC'!$S$4,OR(TH!N5054="1111",TH!O5054="1111")),TH!D5054,""),"")</f>
        <v/>
      </c>
      <c r="B5066" s="1244">
        <f t="shared" si="1342"/>
        <v>10</v>
      </c>
      <c r="C5066" s="292">
        <f t="shared" si="1343"/>
        <v>43011</v>
      </c>
      <c r="D5066" s="59" t="s">
        <v>902</v>
      </c>
      <c r="E5066" s="59">
        <v>43011</v>
      </c>
      <c r="F5066" s="62" t="s">
        <v>1307</v>
      </c>
      <c r="G5066" s="62" t="s">
        <v>747</v>
      </c>
      <c r="H5066" s="67" t="s">
        <v>835</v>
      </c>
      <c r="I5066" s="373"/>
      <c r="J5066" s="382"/>
      <c r="K5066" s="373"/>
      <c r="L5066" s="379"/>
      <c r="M5066" s="60">
        <v>60000</v>
      </c>
      <c r="N5066" s="61" t="s">
        <v>101</v>
      </c>
      <c r="O5066" s="61" t="s">
        <v>26</v>
      </c>
      <c r="P5066" s="75" t="str">
        <f>IF(AND('331-CT'!$E$7=TH!H5488,OR(N5066="331",O5066="331")),"x","")</f>
        <v/>
      </c>
      <c r="Q5066" s="75" t="str">
        <f>IF(AND(B5066='111'!$L$11,OR($N5066=$Q$7,$O5066=$Q$7)),"x","")</f>
        <v/>
      </c>
      <c r="R5066" s="75" t="str">
        <f>IF(AND($N5066=$Q$7,$B5066&lt;'111'!$L$11),"x","")</f>
        <v/>
      </c>
      <c r="S5066" s="75" t="str">
        <f>IF(AND($O5066=$Q$7,$B5066&lt;'111'!$L$11),"x","")</f>
        <v/>
      </c>
      <c r="T5066" s="75" t="str">
        <f>IF(ISERROR(FIND('112'!$M$9,G5066,1)),"",IF((AND(FIND('112'!$M$9,G5066,1)&gt;=1,B5066='112'!$K$9,OR($N5066='112'!$I$6,$O5066='112'!$I$6))),"x",""))</f>
        <v/>
      </c>
      <c r="U5066" s="75" t="str">
        <f>IF(ISERROR(FIND('112'!$M$9,G5066,1)),"",IF((AND(LEFT(G5066,2)=LEFT('112'!$M$9,2),B5066&lt;'112'!$K$9,$N5066='112'!$I$6)),"x",""))</f>
        <v/>
      </c>
      <c r="V5066" s="75" t="str">
        <f>IF(ISERROR(FIND('112'!$M$9,G5066,1)),"",IF((AND(RIGHT(G5066,2)=RIGHT('112'!$M$9,2),B5066&lt;'112'!$K$9,$O5066='112'!$I$6)),"x",""))</f>
        <v/>
      </c>
      <c r="W5066" s="75" t="str">
        <f>IF(AND('341-CT'!$H$9=H5066,OR(LEFT(N5066,3)=$W$7,LEFT(O5066,3)=$W$7)),"x","")</f>
        <v/>
      </c>
      <c r="X5066" s="75" t="str">
        <f>IF(OR(TH!N5488=TH!$X$7,O5066=TH!$X$7),"x","")</f>
        <v/>
      </c>
      <c r="Y5066" s="75" t="str">
        <f>IF(AND(OR(N5066="131",O5066="131"),H5066='131-CT'!$H$9),"x","")</f>
        <v/>
      </c>
      <c r="Z5066" s="75"/>
      <c r="AA5066" s="75" t="str">
        <f>IF(AND(MONTH(E5066)='IN-NX'!$J$5,'IN-NX'!$D$7=D5066),"x","")</f>
        <v/>
      </c>
      <c r="AB5066" s="75" t="str">
        <f>IF(AND(OR(LEFT(TH!N5488,2)="15",LEFT(TH!O5488,2)="15"),LEFT(TH!O5488,3)&lt;&gt;"111",'152-CT'!$J$8=TH!F5488),"x","")</f>
        <v/>
      </c>
      <c r="AC5066" s="75" t="str">
        <f>IF(AND(OR(LEFT(TH!N5488,2)="15",LEFT(TH!O5488,2)="15"),TK!$E$7=TH!F5488),"x","")</f>
        <v/>
      </c>
      <c r="AD5066" s="75" t="str">
        <f>IF(AND(N5066="1521",MONTH(C5066)='BK-NL'!$M$11),"x","")</f>
        <v/>
      </c>
      <c r="AE5066">
        <v>10</v>
      </c>
    </row>
    <row r="5067" spans="1:31" ht="16.5" customHeight="1">
      <c r="A5067" s="309" t="str">
        <f>IF(B5067&lt;&gt;"",IF(AND(B5067='IN-TC'!$S$4,OR(TH!N5055="1111",TH!O5055="1111")),TH!D5055,""),"")</f>
        <v/>
      </c>
      <c r="B5067" s="1244">
        <f t="shared" si="1342"/>
        <v>10</v>
      </c>
      <c r="C5067" s="292">
        <f t="shared" si="1343"/>
        <v>43011</v>
      </c>
      <c r="D5067" s="59" t="s">
        <v>902</v>
      </c>
      <c r="E5067" s="59">
        <v>43011</v>
      </c>
      <c r="F5067" s="62" t="s">
        <v>1314</v>
      </c>
      <c r="G5067" s="62" t="s">
        <v>747</v>
      </c>
      <c r="H5067" s="67" t="s">
        <v>835</v>
      </c>
      <c r="I5067" s="373"/>
      <c r="J5067" s="382"/>
      <c r="K5067" s="373"/>
      <c r="L5067" s="379"/>
      <c r="M5067" s="60">
        <v>6000</v>
      </c>
      <c r="N5067" s="61" t="s">
        <v>9</v>
      </c>
      <c r="O5067" s="61" t="s">
        <v>26</v>
      </c>
      <c r="P5067" s="75" t="str">
        <f>IF(AND('331-CT'!$E$7=TH!H5489,OR(N5067="331",O5067="331")),"x","")</f>
        <v/>
      </c>
      <c r="Q5067" s="75" t="str">
        <f>IF(AND(B5067='111'!$L$11,OR($N5067=$Q$7,$O5067=$Q$7)),"x","")</f>
        <v/>
      </c>
      <c r="R5067" s="75" t="str">
        <f>IF(AND($N5067=$Q$7,$B5067&lt;'111'!$L$11),"x","")</f>
        <v/>
      </c>
      <c r="S5067" s="75" t="str">
        <f>IF(AND($O5067=$Q$7,$B5067&lt;'111'!$L$11),"x","")</f>
        <v/>
      </c>
      <c r="T5067" s="75" t="str">
        <f>IF(ISERROR(FIND('112'!$M$9,G5067,1)),"",IF((AND(FIND('112'!$M$9,G5067,1)&gt;=1,B5067='112'!$K$9,OR($N5067='112'!$I$6,$O5067='112'!$I$6))),"x",""))</f>
        <v/>
      </c>
      <c r="U5067" s="75" t="str">
        <f>IF(ISERROR(FIND('112'!$M$9,G5067,1)),"",IF((AND(LEFT(G5067,2)=LEFT('112'!$M$9,2),B5067&lt;'112'!$K$9,$N5067='112'!$I$6)),"x",""))</f>
        <v/>
      </c>
      <c r="V5067" s="75" t="str">
        <f>IF(ISERROR(FIND('112'!$M$9,G5067,1)),"",IF((AND(RIGHT(G5067,2)=RIGHT('112'!$M$9,2),B5067&lt;'112'!$K$9,$O5067='112'!$I$6)),"x",""))</f>
        <v/>
      </c>
      <c r="W5067" s="75" t="str">
        <f>IF(AND('341-CT'!$H$9=H5067,OR(LEFT(N5067,3)=$W$7,LEFT(O5067,3)=$W$7)),"x","")</f>
        <v/>
      </c>
      <c r="X5067" s="75" t="str">
        <f>IF(OR(TH!N5489=TH!$X$7,O5067=TH!$X$7),"x","")</f>
        <v/>
      </c>
      <c r="Y5067" s="75" t="str">
        <f>IF(AND(OR(N5067="131",O5067="131"),H5067='131-CT'!$H$9),"x","")</f>
        <v/>
      </c>
      <c r="Z5067" s="75"/>
      <c r="AA5067" s="75" t="str">
        <f>IF(AND(MONTH(E5067)='IN-NX'!$J$5,'IN-NX'!$D$7=D5067),"x","")</f>
        <v/>
      </c>
      <c r="AB5067" s="75" t="str">
        <f>IF(AND(OR(LEFT(TH!N5489,2)="15",LEFT(TH!O5489,2)="15"),LEFT(TH!O5489,3)&lt;&gt;"111",'152-CT'!$J$8=TH!F5489),"x","")</f>
        <v/>
      </c>
      <c r="AC5067" s="75" t="str">
        <f>IF(AND(OR(LEFT(TH!N5489,2)="15",LEFT(TH!O5489,2)="15"),TK!$E$7=TH!F5489),"x","")</f>
        <v/>
      </c>
      <c r="AD5067" s="75" t="str">
        <f>IF(AND(N5067="1521",MONTH(C5067)='BK-NL'!$M$11),"x","")</f>
        <v/>
      </c>
      <c r="AE5067">
        <v>10</v>
      </c>
    </row>
    <row r="5068" spans="1:31" ht="16.5" customHeight="1">
      <c r="A5068" s="309" t="str">
        <f>IF(B5068&lt;&gt;"",IF(AND(B5068='IN-TC'!$S$4,OR(TH!N5056="1111",TH!O5056="1111")),TH!D5056,""),"")</f>
        <v/>
      </c>
      <c r="B5068" s="1244">
        <f t="shared" si="1342"/>
        <v>10</v>
      </c>
      <c r="C5068" s="292">
        <f t="shared" si="1343"/>
        <v>43012</v>
      </c>
      <c r="D5068" s="292"/>
      <c r="E5068" s="292">
        <v>43012</v>
      </c>
      <c r="F5068" s="67" t="s">
        <v>1165</v>
      </c>
      <c r="G5068" s="925" t="s">
        <v>2306</v>
      </c>
      <c r="H5068" s="294" t="s">
        <v>1684</v>
      </c>
      <c r="I5068" s="373"/>
      <c r="J5068" s="926"/>
      <c r="K5068" s="373"/>
      <c r="L5068" s="379"/>
      <c r="M5068" s="927">
        <v>19762050</v>
      </c>
      <c r="N5068" s="295" t="s">
        <v>8</v>
      </c>
      <c r="O5068" s="295" t="s">
        <v>63</v>
      </c>
      <c r="P5068" s="75" t="str">
        <f>IF(AND('331-CT'!$E$7=TH!H3964,OR(N5068="331",O5068="331")),"x","")</f>
        <v/>
      </c>
      <c r="Q5068" s="75" t="str">
        <f>IF(AND(B5068='111'!$L$11,OR($N5068=$Q$7,$O5068=$Q$7)),"x","")</f>
        <v/>
      </c>
      <c r="R5068" s="75" t="str">
        <f>IF(AND($N5068=$Q$7,$B5068&lt;'111'!$L$11),"x","")</f>
        <v/>
      </c>
      <c r="S5068" s="75" t="str">
        <f>IF(AND($O5068=$Q$7,$B5068&lt;'111'!$L$11),"x","")</f>
        <v>x</v>
      </c>
      <c r="T5068" s="75" t="str">
        <f>IF(ISERROR(FIND('112'!$M$9,G5068,1)),"",IF((AND(FIND('112'!$M$9,G5068,1)&gt;=1,B5068='112'!$K$9,OR($N5068='112'!$I$6,$O5068='112'!$I$6))),"x",""))</f>
        <v/>
      </c>
      <c r="U5068" s="75" t="str">
        <f>IF(ISERROR(FIND('112'!$M$9,G5068,1)),"",IF((AND(LEFT(G5068,2)=LEFT('112'!$M$9,2),B5068&lt;'112'!$K$9,$N5068='112'!$I$6)),"x",""))</f>
        <v/>
      </c>
      <c r="V5068" s="75" t="str">
        <f>IF(ISERROR(FIND('112'!$M$9,G5068,1)),"",IF((AND(RIGHT(G5068,2)=RIGHT('112'!$M$9,2),B5068&lt;'112'!$K$9,$O5068='112'!$I$6)),"x",""))</f>
        <v/>
      </c>
      <c r="W5068" s="75" t="str">
        <f>IF(AND('341-CT'!$H$9=H5068,OR(LEFT(N5068,3)=$W$7,LEFT(O5068,3)=$W$7)),"x","")</f>
        <v/>
      </c>
      <c r="X5068" s="75" t="str">
        <f>IF(OR(TH!N3964=TH!$X$7,O5068=TH!$X$7),"x","")</f>
        <v/>
      </c>
      <c r="Y5068" s="75" t="str">
        <f>IF(AND(OR(N5068="131",O5068="131"),H5068='131-CT'!$H$9),"x","")</f>
        <v/>
      </c>
      <c r="Z5068" s="75"/>
      <c r="AA5068" s="75" t="str">
        <f>IF(AND(MONTH(E5068)='IN-NX'!$J$5,'IN-NX'!$D$7=D5068),"x","")</f>
        <v/>
      </c>
      <c r="AB5068" s="75" t="str">
        <f>IF(AND(OR(LEFT(TH!N3964,2)="15",LEFT(TH!O3964,2)="15"),LEFT(TH!O3964,3)&lt;&gt;"111",'152-CT'!$J$8=TH!F3964),"x","")</f>
        <v/>
      </c>
      <c r="AC5068" s="75" t="str">
        <f>IF(AND(OR(LEFT(TH!N3964,2)="15",LEFT(TH!O3964,2)="15"),TK!$E$7=TH!F3964),"x","")</f>
        <v/>
      </c>
      <c r="AD5068" s="75" t="str">
        <f>IF(AND(N5068="1521",MONTH(C5068)='BK-NL'!$M$11),"x","")</f>
        <v/>
      </c>
    </row>
    <row r="5069" spans="1:31" ht="16.5" customHeight="1">
      <c r="A5069" s="309" t="str">
        <f>IF(B5069&lt;&gt;"",IF(AND(B5069='IN-TC'!$S$4,OR(TH!N5057="1111",TH!O5057="1111")),TH!D5057,""),"")</f>
        <v/>
      </c>
      <c r="B5069" s="1244">
        <f t="shared" si="1342"/>
        <v>10</v>
      </c>
      <c r="C5069" s="292">
        <f t="shared" si="1343"/>
        <v>43012</v>
      </c>
      <c r="D5069" s="292"/>
      <c r="E5069" s="292">
        <v>43012</v>
      </c>
      <c r="F5069" s="67" t="s">
        <v>1165</v>
      </c>
      <c r="G5069" s="925" t="s">
        <v>1368</v>
      </c>
      <c r="H5069" s="294" t="s">
        <v>2186</v>
      </c>
      <c r="I5069" s="373"/>
      <c r="J5069" s="926"/>
      <c r="K5069" s="373"/>
      <c r="L5069" s="379"/>
      <c r="M5069" s="927">
        <v>19762050</v>
      </c>
      <c r="N5069" s="295" t="s">
        <v>8</v>
      </c>
      <c r="O5069" s="295" t="s">
        <v>63</v>
      </c>
      <c r="P5069" s="75" t="str">
        <f>IF(AND('331-CT'!$E$7=TH!H3965,OR(N5069="331",O5069="331")),"x","")</f>
        <v/>
      </c>
      <c r="Q5069" s="75" t="str">
        <f>IF(AND(B5069='111'!$L$11,OR($N5069=$Q$7,$O5069=$Q$7)),"x","")</f>
        <v/>
      </c>
      <c r="R5069" s="75" t="str">
        <f>IF(AND($N5069=$Q$7,$B5069&lt;'111'!$L$11),"x","")</f>
        <v/>
      </c>
      <c r="S5069" s="75" t="str">
        <f>IF(AND($O5069=$Q$7,$B5069&lt;'111'!$L$11),"x","")</f>
        <v>x</v>
      </c>
      <c r="T5069" s="75" t="str">
        <f>IF(ISERROR(FIND('112'!$M$9,G5069,1)),"",IF((AND(FIND('112'!$M$9,G5069,1)&gt;=1,B5069='112'!$K$9,OR($N5069='112'!$I$6,$O5069='112'!$I$6))),"x",""))</f>
        <v/>
      </c>
      <c r="U5069" s="75" t="str">
        <f>IF(ISERROR(FIND('112'!$M$9,G5069,1)),"",IF((AND(LEFT(G5069,2)=LEFT('112'!$M$9,2),B5069&lt;'112'!$K$9,$N5069='112'!$I$6)),"x",""))</f>
        <v/>
      </c>
      <c r="V5069" s="75" t="str">
        <f>IF(ISERROR(FIND('112'!$M$9,G5069,1)),"",IF((AND(RIGHT(G5069,2)=RIGHT('112'!$M$9,2),B5069&lt;'112'!$K$9,$O5069='112'!$I$6)),"x",""))</f>
        <v/>
      </c>
      <c r="W5069" s="75" t="str">
        <f>IF(AND('341-CT'!$H$9=H5069,OR(LEFT(N5069,3)=$W$7,LEFT(O5069,3)=$W$7)),"x","")</f>
        <v/>
      </c>
      <c r="X5069" s="75" t="str">
        <f>IF(OR(TH!N3965=TH!$X$7,O5069=TH!$X$7),"x","")</f>
        <v/>
      </c>
      <c r="Y5069" s="75" t="str">
        <f>IF(AND(OR(N5069="131",O5069="131"),H5069='131-CT'!$H$9),"x","")</f>
        <v/>
      </c>
      <c r="Z5069" s="75"/>
      <c r="AA5069" s="75" t="str">
        <f>IF(AND(MONTH(E5069)='IN-NX'!$J$5,'IN-NX'!$D$7=D5069),"x","")</f>
        <v/>
      </c>
      <c r="AB5069" s="75" t="str">
        <f>IF(AND(OR(LEFT(TH!N3965,2)="15",LEFT(TH!O3965,2)="15"),LEFT(TH!O3965,3)&lt;&gt;"111",'152-CT'!$J$8=TH!F3965),"x","")</f>
        <v/>
      </c>
      <c r="AC5069" s="75" t="str">
        <f>IF(AND(OR(LEFT(TH!N3965,2)="15",LEFT(TH!O3965,2)="15"),TK!$E$7=TH!F3965),"x","")</f>
        <v/>
      </c>
      <c r="AD5069" s="75" t="str">
        <f>IF(AND(N5069="1521",MONTH(C5069)='BK-NL'!$M$11),"x","")</f>
        <v/>
      </c>
    </row>
    <row r="5070" spans="1:31" ht="16.5" customHeight="1">
      <c r="A5070" s="309" t="str">
        <f>IF(B5070&lt;&gt;"",IF(AND(B5070='IN-TC'!$S$4,OR(TH!N5058="1111",TH!O5058="1111")),TH!D5058,""),"")</f>
        <v/>
      </c>
      <c r="B5070" s="1244">
        <f t="shared" si="1342"/>
        <v>10</v>
      </c>
      <c r="C5070" s="292">
        <f t="shared" si="1343"/>
        <v>43012</v>
      </c>
      <c r="D5070" s="59" t="s">
        <v>903</v>
      </c>
      <c r="E5070" s="59">
        <v>43012</v>
      </c>
      <c r="F5070" s="62" t="s">
        <v>914</v>
      </c>
      <c r="G5070" s="62" t="s">
        <v>585</v>
      </c>
      <c r="H5070" s="67" t="s">
        <v>845</v>
      </c>
      <c r="I5070" s="373"/>
      <c r="J5070" s="382"/>
      <c r="K5070" s="373"/>
      <c r="L5070" s="379"/>
      <c r="M5070" s="60">
        <v>118152</v>
      </c>
      <c r="N5070" s="61" t="s">
        <v>26</v>
      </c>
      <c r="O5070" s="295" t="s">
        <v>43</v>
      </c>
      <c r="P5070" s="75" t="str">
        <f>IF(AND('331-CT'!$E$7=TH!H4850,OR(N5070="331",O5070="331")),"x","")</f>
        <v/>
      </c>
      <c r="Q5070" s="75" t="str">
        <f>IF(AND(B5070='111'!$L$11,OR($N5070=$Q$7,$O5070=$Q$7)),"x","")</f>
        <v/>
      </c>
      <c r="R5070" s="75" t="str">
        <f>IF(AND($N5070=$Q$7,$B5070&lt;'111'!$L$11),"x","")</f>
        <v/>
      </c>
      <c r="S5070" s="75" t="str">
        <f>IF(AND($O5070=$Q$7,$B5070&lt;'111'!$L$11),"x","")</f>
        <v/>
      </c>
      <c r="T5070" s="75" t="str">
        <f>IF(ISERROR(FIND('112'!$M$9,G5070,1)),"",IF((AND(FIND('112'!$M$9,G5070,1)&gt;=1,B5070='112'!$K$9,OR($N5070='112'!$I$6,$O5070='112'!$I$6))),"x",""))</f>
        <v/>
      </c>
      <c r="U5070" s="75" t="str">
        <f>IF(ISERROR(FIND('112'!$M$9,G5070,1)),"",IF((AND(LEFT(G5070,2)=LEFT('112'!$M$9,2),B5070&lt;'112'!$K$9,$N5070='112'!$I$6)),"x",""))</f>
        <v/>
      </c>
      <c r="V5070" s="75" t="str">
        <f>IF(ISERROR(FIND('112'!$M$9,G5070,1)),"",IF((AND(RIGHT(G5070,2)=RIGHT('112'!$M$9,2),B5070&lt;'112'!$K$9,$O5070='112'!$I$6)),"x",""))</f>
        <v/>
      </c>
      <c r="W5070" s="75" t="str">
        <f>IF(AND('341-CT'!$H$9=H5070,OR(LEFT(N5070,3)=$W$7,LEFT(O5070,3)=$W$7)),"x","")</f>
        <v/>
      </c>
      <c r="X5070" s="75" t="str">
        <f>IF(OR(TH!N4850=TH!$X$7,O5070=TH!$X$7),"x","")</f>
        <v/>
      </c>
      <c r="Y5070" s="75" t="str">
        <f>IF(AND(OR(N5070="131",O5070="131"),H5070='131-CT'!$H$9),"x","")</f>
        <v/>
      </c>
      <c r="Z5070" s="75"/>
      <c r="AA5070" s="75" t="str">
        <f>IF(AND(MONTH(E5070)='IN-NX'!$J$5,'IN-NX'!$D$7=D5070),"x","")</f>
        <v/>
      </c>
      <c r="AB5070" s="75" t="str">
        <f>IF(AND(OR(LEFT(TH!N4850,2)="15",LEFT(TH!O4850,2)="15"),LEFT(TH!O4850,3)&lt;&gt;"111",'152-CT'!$J$8=TH!F4850),"x","")</f>
        <v/>
      </c>
      <c r="AC5070" s="75" t="str">
        <f>IF(AND(OR(LEFT(TH!N4850,2)="15",LEFT(TH!O4850,2)="15"),TK!$E$7=TH!F4850),"x","")</f>
        <v/>
      </c>
      <c r="AD5070" s="75" t="str">
        <f>IF(AND(N5070="1521",MONTH(C5070)='BK-NL'!$M$11),"x","")</f>
        <v/>
      </c>
    </row>
    <row r="5071" spans="1:31" ht="16.5" customHeight="1">
      <c r="A5071" s="309" t="str">
        <f>IF(B5071&lt;&gt;"",IF(AND(B5071='IN-TC'!$S$4,OR(TH!N5059="1111",TH!O5059="1111")),TH!D5059,""),"")</f>
        <v/>
      </c>
      <c r="B5071" s="1244">
        <f t="shared" si="1342"/>
        <v>10</v>
      </c>
      <c r="C5071" s="292">
        <f t="shared" si="1343"/>
        <v>43012</v>
      </c>
      <c r="D5071" s="59" t="s">
        <v>902</v>
      </c>
      <c r="E5071" s="59">
        <v>43012</v>
      </c>
      <c r="F5071" s="62" t="s">
        <v>1549</v>
      </c>
      <c r="G5071" s="62" t="s">
        <v>747</v>
      </c>
      <c r="H5071" s="67" t="s">
        <v>835</v>
      </c>
      <c r="I5071" s="373"/>
      <c r="J5071" s="382"/>
      <c r="K5071" s="373"/>
      <c r="L5071" s="379"/>
      <c r="M5071" s="60">
        <v>113800</v>
      </c>
      <c r="N5071" s="61" t="s">
        <v>101</v>
      </c>
      <c r="O5071" s="61" t="s">
        <v>26</v>
      </c>
      <c r="P5071" s="75" t="str">
        <f>IF(AND('331-CT'!$E$7=TH!H5492,OR(N5071="331",O5071="331")),"x","")</f>
        <v/>
      </c>
      <c r="Q5071" s="75" t="str">
        <f>IF(AND(B5071='111'!$L$11,OR($N5071=$Q$7,$O5071=$Q$7)),"x","")</f>
        <v/>
      </c>
      <c r="R5071" s="75" t="str">
        <f>IF(AND($N5071=$Q$7,$B5071&lt;'111'!$L$11),"x","")</f>
        <v/>
      </c>
      <c r="S5071" s="75" t="str">
        <f>IF(AND($O5071=$Q$7,$B5071&lt;'111'!$L$11),"x","")</f>
        <v/>
      </c>
      <c r="T5071" s="75" t="str">
        <f>IF(ISERROR(FIND('112'!$M$9,G5071,1)),"",IF((AND(FIND('112'!$M$9,G5071,1)&gt;=1,B5071='112'!$K$9,OR($N5071='112'!$I$6,$O5071='112'!$I$6))),"x",""))</f>
        <v/>
      </c>
      <c r="U5071" s="75" t="str">
        <f>IF(ISERROR(FIND('112'!$M$9,G5071,1)),"",IF((AND(LEFT(G5071,2)=LEFT('112'!$M$9,2),B5071&lt;'112'!$K$9,$N5071='112'!$I$6)),"x",""))</f>
        <v/>
      </c>
      <c r="V5071" s="75" t="str">
        <f>IF(ISERROR(FIND('112'!$M$9,G5071,1)),"",IF((AND(RIGHT(G5071,2)=RIGHT('112'!$M$9,2),B5071&lt;'112'!$K$9,$O5071='112'!$I$6)),"x",""))</f>
        <v/>
      </c>
      <c r="W5071" s="75" t="str">
        <f>IF(AND('341-CT'!$H$9=H5071,OR(LEFT(N5071,3)=$W$7,LEFT(O5071,3)=$W$7)),"x","")</f>
        <v/>
      </c>
      <c r="X5071" s="75" t="str">
        <f>IF(OR(TH!N5492=TH!$X$7,O5071=TH!$X$7),"x","")</f>
        <v/>
      </c>
      <c r="Y5071" s="75" t="str">
        <f>IF(AND(OR(N5071="131",O5071="131"),H5071='131-CT'!$H$9),"x","")</f>
        <v/>
      </c>
      <c r="Z5071" s="75"/>
      <c r="AA5071" s="75" t="str">
        <f>IF(AND(MONTH(E5071)='IN-NX'!$J$5,'IN-NX'!$D$7=D5071),"x","")</f>
        <v/>
      </c>
      <c r="AB5071" s="75" t="str">
        <f>IF(AND(OR(LEFT(TH!N5492,2)="15",LEFT(TH!O5492,2)="15"),LEFT(TH!O5492,3)&lt;&gt;"111",'152-CT'!$J$8=TH!F5492),"x","")</f>
        <v/>
      </c>
      <c r="AC5071" s="75" t="str">
        <f>IF(AND(OR(LEFT(TH!N5492,2)="15",LEFT(TH!O5492,2)="15"),TK!$E$7=TH!F5492),"x","")</f>
        <v/>
      </c>
      <c r="AD5071" s="75" t="str">
        <f>IF(AND(N5071="1521",MONTH(C5071)='BK-NL'!$M$11),"x","")</f>
        <v/>
      </c>
      <c r="AE5071">
        <v>10</v>
      </c>
    </row>
    <row r="5072" spans="1:31" ht="16.5" customHeight="1">
      <c r="A5072" s="309" t="str">
        <f>IF(B5072&lt;&gt;"",IF(AND(B5072='IN-TC'!$S$4,OR(TH!N5060="1111",TH!O5060="1111")),TH!D5060,""),"")</f>
        <v/>
      </c>
      <c r="B5072" s="1244">
        <f t="shared" si="1342"/>
        <v>10</v>
      </c>
      <c r="C5072" s="292">
        <f t="shared" si="1343"/>
        <v>43012</v>
      </c>
      <c r="D5072" s="59" t="s">
        <v>902</v>
      </c>
      <c r="E5072" s="59">
        <v>43012</v>
      </c>
      <c r="F5072" s="62" t="s">
        <v>1552</v>
      </c>
      <c r="G5072" s="62" t="s">
        <v>747</v>
      </c>
      <c r="H5072" s="67" t="s">
        <v>835</v>
      </c>
      <c r="I5072" s="373"/>
      <c r="J5072" s="382"/>
      <c r="K5072" s="373"/>
      <c r="L5072" s="379"/>
      <c r="M5072" s="60">
        <v>11380</v>
      </c>
      <c r="N5072" s="61" t="s">
        <v>9</v>
      </c>
      <c r="O5072" s="61" t="s">
        <v>26</v>
      </c>
      <c r="P5072" s="75" t="str">
        <f>IF(AND('331-CT'!$E$7=TH!H5493,OR(N5072="331",O5072="331")),"x","")</f>
        <v/>
      </c>
      <c r="Q5072" s="75" t="str">
        <f>IF(AND(B5072='111'!$L$11,OR($N5072=$Q$7,$O5072=$Q$7)),"x","")</f>
        <v/>
      </c>
      <c r="R5072" s="75" t="str">
        <f>IF(AND($N5072=$Q$7,$B5072&lt;'111'!$L$11),"x","")</f>
        <v/>
      </c>
      <c r="S5072" s="75" t="str">
        <f>IF(AND($O5072=$Q$7,$B5072&lt;'111'!$L$11),"x","")</f>
        <v/>
      </c>
      <c r="T5072" s="75" t="str">
        <f>IF(ISERROR(FIND('112'!$M$9,G5072,1)),"",IF((AND(FIND('112'!$M$9,G5072,1)&gt;=1,B5072='112'!$K$9,OR($N5072='112'!$I$6,$O5072='112'!$I$6))),"x",""))</f>
        <v/>
      </c>
      <c r="U5072" s="75" t="str">
        <f>IF(ISERROR(FIND('112'!$M$9,G5072,1)),"",IF((AND(LEFT(G5072,2)=LEFT('112'!$M$9,2),B5072&lt;'112'!$K$9,$N5072='112'!$I$6)),"x",""))</f>
        <v/>
      </c>
      <c r="V5072" s="75" t="str">
        <f>IF(ISERROR(FIND('112'!$M$9,G5072,1)),"",IF((AND(RIGHT(G5072,2)=RIGHT('112'!$M$9,2),B5072&lt;'112'!$K$9,$O5072='112'!$I$6)),"x",""))</f>
        <v/>
      </c>
      <c r="W5072" s="75" t="str">
        <f>IF(AND('341-CT'!$H$9=H5072,OR(LEFT(N5072,3)=$W$7,LEFT(O5072,3)=$W$7)),"x","")</f>
        <v/>
      </c>
      <c r="X5072" s="75" t="str">
        <f>IF(OR(TH!N5493=TH!$X$7,O5072=TH!$X$7),"x","")</f>
        <v/>
      </c>
      <c r="Y5072" s="75" t="str">
        <f>IF(AND(OR(N5072="131",O5072="131"),H5072='131-CT'!$H$9),"x","")</f>
        <v/>
      </c>
      <c r="Z5072" s="75"/>
      <c r="AA5072" s="75" t="str">
        <f>IF(AND(MONTH(E5072)='IN-NX'!$J$5,'IN-NX'!$D$7=D5072),"x","")</f>
        <v/>
      </c>
      <c r="AB5072" s="75" t="str">
        <f>IF(AND(OR(LEFT(TH!N5493,2)="15",LEFT(TH!O5493,2)="15"),LEFT(TH!O5493,3)&lt;&gt;"111",'152-CT'!$J$8=TH!F5493),"x","")</f>
        <v/>
      </c>
      <c r="AC5072" s="75" t="str">
        <f>IF(AND(OR(LEFT(TH!N5493,2)="15",LEFT(TH!O5493,2)="15"),TK!$E$7=TH!F5493),"x","")</f>
        <v/>
      </c>
      <c r="AD5072" s="75" t="str">
        <f>IF(AND(N5072="1521",MONTH(C5072)='BK-NL'!$M$11),"x","")</f>
        <v/>
      </c>
      <c r="AE5072">
        <v>10</v>
      </c>
    </row>
    <row r="5073" spans="1:33" ht="16.5" customHeight="1">
      <c r="A5073" s="309" t="str">
        <f>IF(B5073&lt;&gt;"",IF(AND(B5073='IN-TC'!$S$4,OR(TH!N5061="1111",TH!O5061="1111")),TH!D5061,""),"")</f>
        <v/>
      </c>
      <c r="B5073" s="1244">
        <f t="shared" si="1342"/>
        <v>10</v>
      </c>
      <c r="C5073" s="292">
        <f t="shared" si="1343"/>
        <v>43012</v>
      </c>
      <c r="D5073" s="59" t="s">
        <v>902</v>
      </c>
      <c r="E5073" s="59">
        <v>43012</v>
      </c>
      <c r="F5073" s="62" t="s">
        <v>1549</v>
      </c>
      <c r="G5073" s="62" t="s">
        <v>747</v>
      </c>
      <c r="H5073" s="67" t="s">
        <v>835</v>
      </c>
      <c r="I5073" s="373"/>
      <c r="J5073" s="382"/>
      <c r="K5073" s="373"/>
      <c r="L5073" s="379"/>
      <c r="M5073" s="60">
        <v>1053315</v>
      </c>
      <c r="N5073" s="61" t="s">
        <v>101</v>
      </c>
      <c r="O5073" s="61" t="s">
        <v>26</v>
      </c>
      <c r="P5073" s="75" t="str">
        <f>IF(AND('331-CT'!$E$7=TH!H5494,OR(N5073="331",O5073="331")),"x","")</f>
        <v/>
      </c>
      <c r="Q5073" s="75" t="str">
        <f>IF(AND(B5073='111'!$L$11,OR($N5073=$Q$7,$O5073=$Q$7)),"x","")</f>
        <v/>
      </c>
      <c r="R5073" s="75" t="str">
        <f>IF(AND($N5073=$Q$7,$B5073&lt;'111'!$L$11),"x","")</f>
        <v/>
      </c>
      <c r="S5073" s="75" t="str">
        <f>IF(AND($O5073=$Q$7,$B5073&lt;'111'!$L$11),"x","")</f>
        <v/>
      </c>
      <c r="T5073" s="75" t="str">
        <f>IF(ISERROR(FIND('112'!$M$9,G5073,1)),"",IF((AND(FIND('112'!$M$9,G5073,1)&gt;=1,B5073='112'!$K$9,OR($N5073='112'!$I$6,$O5073='112'!$I$6))),"x",""))</f>
        <v/>
      </c>
      <c r="U5073" s="75" t="str">
        <f>IF(ISERROR(FIND('112'!$M$9,G5073,1)),"",IF((AND(LEFT(G5073,2)=LEFT('112'!$M$9,2),B5073&lt;'112'!$K$9,$N5073='112'!$I$6)),"x",""))</f>
        <v/>
      </c>
      <c r="V5073" s="75" t="str">
        <f>IF(ISERROR(FIND('112'!$M$9,G5073,1)),"",IF((AND(RIGHT(G5073,2)=RIGHT('112'!$M$9,2),B5073&lt;'112'!$K$9,$O5073='112'!$I$6)),"x",""))</f>
        <v/>
      </c>
      <c r="W5073" s="75" t="str">
        <f>IF(AND('341-CT'!$H$9=H5073,OR(LEFT(N5073,3)=$W$7,LEFT(O5073,3)=$W$7)),"x","")</f>
        <v/>
      </c>
      <c r="X5073" s="75" t="str">
        <f>IF(OR(TH!N5494=TH!$X$7,O5073=TH!$X$7),"x","")</f>
        <v/>
      </c>
      <c r="Y5073" s="75" t="str">
        <f>IF(AND(OR(N5073="131",O5073="131"),H5073='131-CT'!$H$9),"x","")</f>
        <v/>
      </c>
      <c r="Z5073" s="75"/>
      <c r="AA5073" s="75" t="str">
        <f>IF(AND(MONTH(E5073)='IN-NX'!$J$5,'IN-NX'!$D$7=D5073),"x","")</f>
        <v/>
      </c>
      <c r="AB5073" s="75" t="str">
        <f>IF(AND(OR(LEFT(TH!N5494,2)="15",LEFT(TH!O5494,2)="15"),LEFT(TH!O5494,3)&lt;&gt;"111",'152-CT'!$J$8=TH!F5494),"x","")</f>
        <v/>
      </c>
      <c r="AC5073" s="75" t="str">
        <f>IF(AND(OR(LEFT(TH!N5494,2)="15",LEFT(TH!O5494,2)="15"),TK!$E$7=TH!F5494),"x","")</f>
        <v/>
      </c>
      <c r="AD5073" s="75" t="str">
        <f>IF(AND(N5073="1521",MONTH(C5073)='BK-NL'!$M$11),"x","")</f>
        <v/>
      </c>
      <c r="AE5073">
        <v>10</v>
      </c>
    </row>
    <row r="5074" spans="1:33" ht="16.5" customHeight="1">
      <c r="A5074" s="309" t="str">
        <f>IF(B5074&lt;&gt;"",IF(AND(B5074='IN-TC'!$S$4,OR(TH!N5062="1111",TH!O5062="1111")),TH!D5062,""),"")</f>
        <v/>
      </c>
      <c r="B5074" s="1244">
        <f t="shared" si="1342"/>
        <v>10</v>
      </c>
      <c r="C5074" s="292">
        <f t="shared" si="1343"/>
        <v>43012</v>
      </c>
      <c r="D5074" s="59" t="s">
        <v>902</v>
      </c>
      <c r="E5074" s="59">
        <v>43012</v>
      </c>
      <c r="F5074" s="62" t="s">
        <v>1552</v>
      </c>
      <c r="G5074" s="62" t="s">
        <v>747</v>
      </c>
      <c r="H5074" s="67" t="s">
        <v>835</v>
      </c>
      <c r="I5074" s="373"/>
      <c r="J5074" s="382"/>
      <c r="K5074" s="373"/>
      <c r="L5074" s="379"/>
      <c r="M5074" s="60">
        <v>105332</v>
      </c>
      <c r="N5074" s="61" t="s">
        <v>9</v>
      </c>
      <c r="O5074" s="61" t="s">
        <v>26</v>
      </c>
      <c r="P5074" s="75" t="str">
        <f>IF(AND('331-CT'!$E$7=TH!H5495,OR(N5074="331",O5074="331")),"x","")</f>
        <v/>
      </c>
      <c r="Q5074" s="75" t="str">
        <f>IF(AND(B5074='111'!$L$11,OR($N5074=$Q$7,$O5074=$Q$7)),"x","")</f>
        <v/>
      </c>
      <c r="R5074" s="75" t="str">
        <f>IF(AND($N5074=$Q$7,$B5074&lt;'111'!$L$11),"x","")</f>
        <v/>
      </c>
      <c r="S5074" s="75" t="str">
        <f>IF(AND($O5074=$Q$7,$B5074&lt;'111'!$L$11),"x","")</f>
        <v/>
      </c>
      <c r="T5074" s="75" t="str">
        <f>IF(ISERROR(FIND('112'!$M$9,G5074,1)),"",IF((AND(FIND('112'!$M$9,G5074,1)&gt;=1,B5074='112'!$K$9,OR($N5074='112'!$I$6,$O5074='112'!$I$6))),"x",""))</f>
        <v/>
      </c>
      <c r="U5074" s="75" t="str">
        <f>IF(ISERROR(FIND('112'!$M$9,G5074,1)),"",IF((AND(LEFT(G5074,2)=LEFT('112'!$M$9,2),B5074&lt;'112'!$K$9,$N5074='112'!$I$6)),"x",""))</f>
        <v/>
      </c>
      <c r="V5074" s="75" t="str">
        <f>IF(ISERROR(FIND('112'!$M$9,G5074,1)),"",IF((AND(RIGHT(G5074,2)=RIGHT('112'!$M$9,2),B5074&lt;'112'!$K$9,$O5074='112'!$I$6)),"x",""))</f>
        <v/>
      </c>
      <c r="W5074" s="75" t="str">
        <f>IF(AND('341-CT'!$H$9=H5074,OR(LEFT(N5074,3)=$W$7,LEFT(O5074,3)=$W$7)),"x","")</f>
        <v/>
      </c>
      <c r="X5074" s="75" t="str">
        <f>IF(OR(TH!N5495=TH!$X$7,O5074=TH!$X$7),"x","")</f>
        <v/>
      </c>
      <c r="Y5074" s="75" t="str">
        <f>IF(AND(OR(N5074="131",O5074="131"),H5074='131-CT'!$H$9),"x","")</f>
        <v/>
      </c>
      <c r="Z5074" s="75"/>
      <c r="AA5074" s="75" t="str">
        <f>IF(AND(MONTH(E5074)='IN-NX'!$J$5,'IN-NX'!$D$7=D5074),"x","")</f>
        <v/>
      </c>
      <c r="AB5074" s="75" t="str">
        <f>IF(AND(OR(LEFT(TH!N5495,2)="15",LEFT(TH!O5495,2)="15"),LEFT(TH!O5495,3)&lt;&gt;"111",'152-CT'!$J$8=TH!F5495),"x","")</f>
        <v/>
      </c>
      <c r="AC5074" s="75" t="str">
        <f>IF(AND(OR(LEFT(TH!N5495,2)="15",LEFT(TH!O5495,2)="15"),TK!$E$7=TH!F5495),"x","")</f>
        <v/>
      </c>
      <c r="AD5074" s="75" t="str">
        <f>IF(AND(N5074="1521",MONTH(C5074)='BK-NL'!$M$11),"x","")</f>
        <v/>
      </c>
      <c r="AE5074">
        <v>10</v>
      </c>
    </row>
    <row r="5075" spans="1:33" s="1267" customFormat="1" ht="16.5" customHeight="1">
      <c r="A5075" s="1356" t="str">
        <f>IF(B5075&lt;&gt;"",IF(AND(B5075='IN-TC'!$S$4,OR(TH!N5063="1111",TH!O5063="1111")),TH!D5063,""),"")</f>
        <v/>
      </c>
      <c r="B5075" s="1357">
        <f t="shared" ref="B5075:B5138" si="1344">IF(C5075&lt;&gt;"",MONTH(C5075),"")</f>
        <v>10</v>
      </c>
      <c r="C5075" s="970">
        <f t="shared" si="1343"/>
        <v>43012</v>
      </c>
      <c r="D5075" s="1358" t="s">
        <v>902</v>
      </c>
      <c r="E5075" s="1358">
        <v>43012</v>
      </c>
      <c r="F5075" s="1360" t="s">
        <v>2312</v>
      </c>
      <c r="G5075" s="1360" t="s">
        <v>747</v>
      </c>
      <c r="H5075" s="1359" t="s">
        <v>835</v>
      </c>
      <c r="I5075" s="968"/>
      <c r="J5075" s="1366"/>
      <c r="K5075" s="968"/>
      <c r="L5075" s="967"/>
      <c r="M5075" s="1363">
        <v>2033030</v>
      </c>
      <c r="N5075" s="1364" t="s">
        <v>26</v>
      </c>
      <c r="O5075" s="1364" t="s">
        <v>72</v>
      </c>
      <c r="P5075" s="1133" t="str">
        <f>IF(AND('331-CT'!$E$7=TH!H5496,OR(N5075="331",O5075="331")),"x","")</f>
        <v/>
      </c>
      <c r="Q5075" s="1133" t="str">
        <f>IF(AND(B5075='111'!$L$11,OR($N5075=$Q$7,$O5075=$Q$7)),"x","")</f>
        <v/>
      </c>
      <c r="R5075" s="1133" t="str">
        <f>IF(AND($N5075=$Q$7,$B5075&lt;'111'!$L$11),"x","")</f>
        <v/>
      </c>
      <c r="S5075" s="1133" t="str">
        <f>IF(AND($O5075=$Q$7,$B5075&lt;'111'!$L$11),"x","")</f>
        <v/>
      </c>
      <c r="T5075" s="1133" t="str">
        <f>IF(ISERROR(FIND('112'!$M$9,G5075,1)),"",IF((AND(FIND('112'!$M$9,G5075,1)&gt;=1,B5075='112'!$K$9,OR($N5075='112'!$I$6,$O5075='112'!$I$6))),"x",""))</f>
        <v/>
      </c>
      <c r="U5075" s="1133" t="str">
        <f>IF(ISERROR(FIND('112'!$M$9,G5075,1)),"",IF((AND(LEFT(G5075,2)=LEFT('112'!$M$9,2),B5075&lt;'112'!$K$9,$N5075='112'!$I$6)),"x",""))</f>
        <v/>
      </c>
      <c r="V5075" s="1133" t="str">
        <f>IF(ISERROR(FIND('112'!$M$9,G5075,1)),"",IF((AND(RIGHT(G5075,2)=RIGHT('112'!$M$9,2),B5075&lt;'112'!$K$9,$O5075='112'!$I$6)),"x",""))</f>
        <v/>
      </c>
      <c r="W5075" s="1133" t="str">
        <f>IF(AND('341-CT'!$H$9=H5075,OR(LEFT(N5075,3)=$W$7,LEFT(O5075,3)=$W$7)),"x","")</f>
        <v/>
      </c>
      <c r="X5075" s="1133" t="str">
        <f>IF(OR(TH!N5496=TH!$X$7,O5075=TH!$X$7),"x","")</f>
        <v/>
      </c>
      <c r="Y5075" s="1133" t="str">
        <f>IF(AND(OR(N5075="131",O5075="131"),H5075='131-CT'!$H$9),"x","")</f>
        <v/>
      </c>
      <c r="Z5075" s="1133"/>
      <c r="AA5075" s="1133" t="str">
        <f>IF(AND(MONTH(E5075)='IN-NX'!$J$5,'IN-NX'!$D$7=D5075),"x","")</f>
        <v/>
      </c>
      <c r="AB5075" s="1133" t="str">
        <f>IF(AND(OR(LEFT(TH!N5496,2)="15",LEFT(TH!O5496,2)="15"),LEFT(TH!O5496,3)&lt;&gt;"111",'152-CT'!$J$8=TH!F5496),"x","")</f>
        <v/>
      </c>
      <c r="AC5075" s="1133" t="str">
        <f>IF(AND(OR(LEFT(TH!N5496,2)="15",LEFT(TH!O5496,2)="15"),TK!$E$7=TH!F5496),"x","")</f>
        <v/>
      </c>
      <c r="AD5075" s="1133" t="str">
        <f>IF(AND(N5075="1521",MONTH(C5075)='BK-NL'!$M$11),"x","")</f>
        <v/>
      </c>
    </row>
    <row r="5076" spans="1:33" ht="16.5" customHeight="1">
      <c r="A5076" s="309" t="str">
        <f>IF(B5076&lt;&gt;"",IF(AND(B5076='IN-TC'!$S$4,OR(TH!N5064="1111",TH!O5064="1111")),TH!D5064,""),"")</f>
        <v/>
      </c>
      <c r="B5076" s="1244">
        <f t="shared" si="1344"/>
        <v>10</v>
      </c>
      <c r="C5076" s="292">
        <f t="shared" si="1343"/>
        <v>43012</v>
      </c>
      <c r="D5076" s="59" t="s">
        <v>902</v>
      </c>
      <c r="E5076" s="59">
        <v>43012</v>
      </c>
      <c r="F5076" s="62" t="s">
        <v>1549</v>
      </c>
      <c r="G5076" s="62" t="s">
        <v>747</v>
      </c>
      <c r="H5076" s="67" t="s">
        <v>835</v>
      </c>
      <c r="I5076" s="373"/>
      <c r="J5076" s="382"/>
      <c r="K5076" s="373"/>
      <c r="L5076" s="379"/>
      <c r="M5076" s="60">
        <v>836777</v>
      </c>
      <c r="N5076" s="61" t="s">
        <v>101</v>
      </c>
      <c r="O5076" s="61" t="s">
        <v>26</v>
      </c>
      <c r="P5076" s="75" t="str">
        <f>IF(AND('331-CT'!$E$7=TH!H5497,OR(N5076="331",O5076="331")),"x","")</f>
        <v/>
      </c>
      <c r="Q5076" s="75" t="str">
        <f>IF(AND(B5076='111'!$L$11,OR($N5076=$Q$7,$O5076=$Q$7)),"x","")</f>
        <v/>
      </c>
      <c r="R5076" s="75" t="str">
        <f>IF(AND($N5076=$Q$7,$B5076&lt;'111'!$L$11),"x","")</f>
        <v/>
      </c>
      <c r="S5076" s="75" t="str">
        <f>IF(AND($O5076=$Q$7,$B5076&lt;'111'!$L$11),"x","")</f>
        <v/>
      </c>
      <c r="T5076" s="75" t="str">
        <f>IF(ISERROR(FIND('112'!$M$9,G5076,1)),"",IF((AND(FIND('112'!$M$9,G5076,1)&gt;=1,B5076='112'!$K$9,OR($N5076='112'!$I$6,$O5076='112'!$I$6))),"x",""))</f>
        <v/>
      </c>
      <c r="U5076" s="75" t="str">
        <f>IF(ISERROR(FIND('112'!$M$9,G5076,1)),"",IF((AND(LEFT(G5076,2)=LEFT('112'!$M$9,2),B5076&lt;'112'!$K$9,$N5076='112'!$I$6)),"x",""))</f>
        <v/>
      </c>
      <c r="V5076" s="75" t="str">
        <f>IF(ISERROR(FIND('112'!$M$9,G5076,1)),"",IF((AND(RIGHT(G5076,2)=RIGHT('112'!$M$9,2),B5076&lt;'112'!$K$9,$O5076='112'!$I$6)),"x",""))</f>
        <v/>
      </c>
      <c r="W5076" s="75" t="str">
        <f>IF(AND('341-CT'!$H$9=H5076,OR(LEFT(N5076,3)=$W$7,LEFT(O5076,3)=$W$7)),"x","")</f>
        <v/>
      </c>
      <c r="X5076" s="75" t="str">
        <f>IF(OR(TH!N5497=TH!$X$7,O5076=TH!$X$7),"x","")</f>
        <v/>
      </c>
      <c r="Y5076" s="75" t="str">
        <f>IF(AND(OR(N5076="131",O5076="131"),H5076='131-CT'!$H$9),"x","")</f>
        <v/>
      </c>
      <c r="Z5076" s="75"/>
      <c r="AA5076" s="75" t="str">
        <f>IF(AND(MONTH(E5076)='IN-NX'!$J$5,'IN-NX'!$D$7=D5076),"x","")</f>
        <v/>
      </c>
      <c r="AB5076" s="75" t="str">
        <f>IF(AND(OR(LEFT(TH!N5497,2)="15",LEFT(TH!O5497,2)="15"),LEFT(TH!O5497,3)&lt;&gt;"111",'152-CT'!$J$8=TH!F5497),"x","")</f>
        <v/>
      </c>
      <c r="AC5076" s="75" t="str">
        <f>IF(AND(OR(LEFT(TH!N5497,2)="15",LEFT(TH!O5497,2)="15"),TK!$E$7=TH!F5497),"x","")</f>
        <v/>
      </c>
      <c r="AD5076" s="75" t="str">
        <f>IF(AND(N5076="1521",MONTH(C5076)='BK-NL'!$M$11),"x","")</f>
        <v/>
      </c>
      <c r="AE5076">
        <v>10</v>
      </c>
    </row>
    <row r="5077" spans="1:33" ht="16.5" customHeight="1">
      <c r="A5077" s="309" t="str">
        <f>IF(B5077&lt;&gt;"",IF(AND(B5077='IN-TC'!$S$4,OR(TH!N5065="1111",TH!O5065="1111")),TH!D5065,""),"")</f>
        <v/>
      </c>
      <c r="B5077" s="1244">
        <f t="shared" si="1344"/>
        <v>10</v>
      </c>
      <c r="C5077" s="292">
        <f t="shared" si="1343"/>
        <v>43012</v>
      </c>
      <c r="D5077" s="59" t="s">
        <v>902</v>
      </c>
      <c r="E5077" s="59">
        <v>43012</v>
      </c>
      <c r="F5077" s="62" t="s">
        <v>1552</v>
      </c>
      <c r="G5077" s="62" t="s">
        <v>747</v>
      </c>
      <c r="H5077" s="67" t="s">
        <v>835</v>
      </c>
      <c r="I5077" s="373"/>
      <c r="J5077" s="382"/>
      <c r="K5077" s="373"/>
      <c r="L5077" s="379"/>
      <c r="M5077" s="60">
        <v>83678</v>
      </c>
      <c r="N5077" s="61" t="s">
        <v>9</v>
      </c>
      <c r="O5077" s="61" t="s">
        <v>26</v>
      </c>
      <c r="P5077" s="75" t="str">
        <f>IF(AND('331-CT'!$E$7=TH!H5498,OR(N5077="331",O5077="331")),"x","")</f>
        <v/>
      </c>
      <c r="Q5077" s="75" t="str">
        <f>IF(AND(B5077='111'!$L$11,OR($N5077=$Q$7,$O5077=$Q$7)),"x","")</f>
        <v/>
      </c>
      <c r="R5077" s="75" t="str">
        <f>IF(AND($N5077=$Q$7,$B5077&lt;'111'!$L$11),"x","")</f>
        <v/>
      </c>
      <c r="S5077" s="75" t="str">
        <f>IF(AND($O5077=$Q$7,$B5077&lt;'111'!$L$11),"x","")</f>
        <v/>
      </c>
      <c r="T5077" s="75" t="str">
        <f>IF(ISERROR(FIND('112'!$M$9,G5077,1)),"",IF((AND(FIND('112'!$M$9,G5077,1)&gt;=1,B5077='112'!$K$9,OR($N5077='112'!$I$6,$O5077='112'!$I$6))),"x",""))</f>
        <v/>
      </c>
      <c r="U5077" s="75" t="str">
        <f>IF(ISERROR(FIND('112'!$M$9,G5077,1)),"",IF((AND(LEFT(G5077,2)=LEFT('112'!$M$9,2),B5077&lt;'112'!$K$9,$N5077='112'!$I$6)),"x",""))</f>
        <v/>
      </c>
      <c r="V5077" s="75" t="str">
        <f>IF(ISERROR(FIND('112'!$M$9,G5077,1)),"",IF((AND(RIGHT(G5077,2)=RIGHT('112'!$M$9,2),B5077&lt;'112'!$K$9,$O5077='112'!$I$6)),"x",""))</f>
        <v/>
      </c>
      <c r="W5077" s="75" t="str">
        <f>IF(AND('341-CT'!$H$9=H5077,OR(LEFT(N5077,3)=$W$7,LEFT(O5077,3)=$W$7)),"x","")</f>
        <v/>
      </c>
      <c r="X5077" s="75" t="str">
        <f>IF(OR(TH!N5498=TH!$X$7,O5077=TH!$X$7),"x","")</f>
        <v/>
      </c>
      <c r="Y5077" s="75" t="str">
        <f>IF(AND(OR(N5077="131",O5077="131"),H5077='131-CT'!$H$9),"x","")</f>
        <v/>
      </c>
      <c r="Z5077" s="75"/>
      <c r="AA5077" s="75" t="str">
        <f>IF(AND(MONTH(E5077)='IN-NX'!$J$5,'IN-NX'!$D$7=D5077),"x","")</f>
        <v/>
      </c>
      <c r="AB5077" s="75" t="str">
        <f>IF(AND(OR(LEFT(TH!N5498,2)="15",LEFT(TH!O5498,2)="15"),LEFT(TH!O5498,3)&lt;&gt;"111",'152-CT'!$J$8=TH!F5498),"x","")</f>
        <v/>
      </c>
      <c r="AC5077" s="75" t="str">
        <f>IF(AND(OR(LEFT(TH!N5498,2)="15",LEFT(TH!O5498,2)="15"),TK!$E$7=TH!F5498),"x","")</f>
        <v/>
      </c>
      <c r="AD5077" s="75" t="str">
        <f>IF(AND(N5077="1521",MONTH(C5077)='BK-NL'!$M$11),"x","")</f>
        <v/>
      </c>
      <c r="AE5077">
        <v>10</v>
      </c>
    </row>
    <row r="5078" spans="1:33" ht="16.5" customHeight="1">
      <c r="A5078" s="309" t="str">
        <f>IF(B5078&lt;&gt;"",IF(AND(B5078='IN-TC'!$S$4,OR(TH!N5066="1111",TH!O5066="1111")),TH!D5066,""),"")</f>
        <v/>
      </c>
      <c r="B5078" s="1244">
        <f t="shared" si="1344"/>
        <v>10</v>
      </c>
      <c r="C5078" s="292">
        <f t="shared" si="1343"/>
        <v>43012</v>
      </c>
      <c r="D5078" s="59" t="s">
        <v>902</v>
      </c>
      <c r="E5078" s="59">
        <v>43012</v>
      </c>
      <c r="F5078" s="62" t="s">
        <v>1549</v>
      </c>
      <c r="G5078" s="62" t="s">
        <v>747</v>
      </c>
      <c r="H5078" s="67" t="s">
        <v>835</v>
      </c>
      <c r="I5078" s="373"/>
      <c r="J5078" s="382"/>
      <c r="K5078" s="373"/>
      <c r="L5078" s="379"/>
      <c r="M5078" s="60">
        <v>683128</v>
      </c>
      <c r="N5078" s="61" t="s">
        <v>101</v>
      </c>
      <c r="O5078" s="61" t="s">
        <v>26</v>
      </c>
      <c r="P5078" s="75" t="str">
        <f>IF(AND('331-CT'!$E$7=TH!H5499,OR(N5078="331",O5078="331")),"x","")</f>
        <v/>
      </c>
      <c r="Q5078" s="75" t="str">
        <f>IF(AND(B5078='111'!$L$11,OR($N5078=$Q$7,$O5078=$Q$7)),"x","")</f>
        <v/>
      </c>
      <c r="R5078" s="75" t="str">
        <f>IF(AND($N5078=$Q$7,$B5078&lt;'111'!$L$11),"x","")</f>
        <v/>
      </c>
      <c r="S5078" s="75" t="str">
        <f>IF(AND($O5078=$Q$7,$B5078&lt;'111'!$L$11),"x","")</f>
        <v/>
      </c>
      <c r="T5078" s="75" t="str">
        <f>IF(ISERROR(FIND('112'!$M$9,G5078,1)),"",IF((AND(FIND('112'!$M$9,G5078,1)&gt;=1,B5078='112'!$K$9,OR($N5078='112'!$I$6,$O5078='112'!$I$6))),"x",""))</f>
        <v/>
      </c>
      <c r="U5078" s="75" t="str">
        <f>IF(ISERROR(FIND('112'!$M$9,G5078,1)),"",IF((AND(LEFT(G5078,2)=LEFT('112'!$M$9,2),B5078&lt;'112'!$K$9,$N5078='112'!$I$6)),"x",""))</f>
        <v/>
      </c>
      <c r="V5078" s="75" t="str">
        <f>IF(ISERROR(FIND('112'!$M$9,G5078,1)),"",IF((AND(RIGHT(G5078,2)=RIGHT('112'!$M$9,2),B5078&lt;'112'!$K$9,$O5078='112'!$I$6)),"x",""))</f>
        <v/>
      </c>
      <c r="W5078" s="75" t="str">
        <f>IF(AND('341-CT'!$H$9=H5078,OR(LEFT(N5078,3)=$W$7,LEFT(O5078,3)=$W$7)),"x","")</f>
        <v/>
      </c>
      <c r="X5078" s="75" t="str">
        <f>IF(OR(TH!N5499=TH!$X$7,O5078=TH!$X$7),"x","")</f>
        <v/>
      </c>
      <c r="Y5078" s="75" t="str">
        <f>IF(AND(OR(N5078="131",O5078="131"),H5078='131-CT'!$H$9),"x","")</f>
        <v/>
      </c>
      <c r="Z5078" s="75"/>
      <c r="AA5078" s="75" t="str">
        <f>IF(AND(MONTH(E5078)='IN-NX'!$J$5,'IN-NX'!$D$7=D5078),"x","")</f>
        <v/>
      </c>
      <c r="AB5078" s="75" t="str">
        <f>IF(AND(OR(LEFT(TH!N5499,2)="15",LEFT(TH!O5499,2)="15"),LEFT(TH!O5499,3)&lt;&gt;"111",'152-CT'!$J$8=TH!F5499),"x","")</f>
        <v/>
      </c>
      <c r="AC5078" s="75" t="str">
        <f>IF(AND(OR(LEFT(TH!N5499,2)="15",LEFT(TH!O5499,2)="15"),TK!$E$7=TH!F5499),"x","")</f>
        <v/>
      </c>
      <c r="AD5078" s="75" t="str">
        <f>IF(AND(N5078="1521",MONTH(C5078)='BK-NL'!$M$11),"x","")</f>
        <v/>
      </c>
      <c r="AE5078">
        <v>10</v>
      </c>
    </row>
    <row r="5079" spans="1:33" ht="16.5" customHeight="1">
      <c r="A5079" s="309" t="str">
        <f>IF(B5079&lt;&gt;"",IF(AND(B5079='IN-TC'!$S$4,OR(TH!N5067="1111",TH!O5067="1111")),TH!D5067,""),"")</f>
        <v/>
      </c>
      <c r="B5079" s="1244">
        <f t="shared" si="1344"/>
        <v>10</v>
      </c>
      <c r="C5079" s="292">
        <f t="shared" si="1343"/>
        <v>43012</v>
      </c>
      <c r="D5079" s="59" t="s">
        <v>902</v>
      </c>
      <c r="E5079" s="59">
        <v>43012</v>
      </c>
      <c r="F5079" s="62" t="s">
        <v>1552</v>
      </c>
      <c r="G5079" s="62" t="s">
        <v>747</v>
      </c>
      <c r="H5079" s="67" t="s">
        <v>835</v>
      </c>
      <c r="I5079" s="373"/>
      <c r="J5079" s="382"/>
      <c r="K5079" s="373"/>
      <c r="L5079" s="379"/>
      <c r="M5079" s="60">
        <v>68313</v>
      </c>
      <c r="N5079" s="61" t="s">
        <v>9</v>
      </c>
      <c r="O5079" s="61" t="s">
        <v>26</v>
      </c>
      <c r="P5079" s="75" t="str">
        <f>IF(AND('331-CT'!$E$7=TH!H5500,OR(N5079="331",O5079="331")),"x","")</f>
        <v/>
      </c>
      <c r="Q5079" s="75" t="str">
        <f>IF(AND(B5079='111'!$L$11,OR($N5079=$Q$7,$O5079=$Q$7)),"x","")</f>
        <v/>
      </c>
      <c r="R5079" s="75" t="str">
        <f>IF(AND($N5079=$Q$7,$B5079&lt;'111'!$L$11),"x","")</f>
        <v/>
      </c>
      <c r="S5079" s="75" t="str">
        <f>IF(AND($O5079=$Q$7,$B5079&lt;'111'!$L$11),"x","")</f>
        <v/>
      </c>
      <c r="T5079" s="75" t="str">
        <f>IF(ISERROR(FIND('112'!$M$9,G5079,1)),"",IF((AND(FIND('112'!$M$9,G5079,1)&gt;=1,B5079='112'!$K$9,OR($N5079='112'!$I$6,$O5079='112'!$I$6))),"x",""))</f>
        <v/>
      </c>
      <c r="U5079" s="75" t="str">
        <f>IF(ISERROR(FIND('112'!$M$9,G5079,1)),"",IF((AND(LEFT(G5079,2)=LEFT('112'!$M$9,2),B5079&lt;'112'!$K$9,$N5079='112'!$I$6)),"x",""))</f>
        <v/>
      </c>
      <c r="V5079" s="75" t="str">
        <f>IF(ISERROR(FIND('112'!$M$9,G5079,1)),"",IF((AND(RIGHT(G5079,2)=RIGHT('112'!$M$9,2),B5079&lt;'112'!$K$9,$O5079='112'!$I$6)),"x",""))</f>
        <v/>
      </c>
      <c r="W5079" s="75" t="str">
        <f>IF(AND('341-CT'!$H$9=H5079,OR(LEFT(N5079,3)=$W$7,LEFT(O5079,3)=$W$7)),"x","")</f>
        <v/>
      </c>
      <c r="X5079" s="75" t="str">
        <f>IF(OR(TH!N5500=TH!$X$7,O5079=TH!$X$7),"x","")</f>
        <v/>
      </c>
      <c r="Y5079" s="75" t="str">
        <f>IF(AND(OR(N5079="131",O5079="131"),H5079='131-CT'!$H$9),"x","")</f>
        <v/>
      </c>
      <c r="Z5079" s="75"/>
      <c r="AA5079" s="75" t="str">
        <f>IF(AND(MONTH(E5079)='IN-NX'!$J$5,'IN-NX'!$D$7=D5079),"x","")</f>
        <v/>
      </c>
      <c r="AB5079" s="75" t="str">
        <f>IF(AND(OR(LEFT(TH!N5500,2)="15",LEFT(TH!O5500,2)="15"),LEFT(TH!O5500,3)&lt;&gt;"111",'152-CT'!$J$8=TH!F5500),"x","")</f>
        <v/>
      </c>
      <c r="AC5079" s="75" t="str">
        <f>IF(AND(OR(LEFT(TH!N5500,2)="15",LEFT(TH!O5500,2)="15"),TK!$E$7=TH!F5500),"x","")</f>
        <v/>
      </c>
      <c r="AD5079" s="75" t="str">
        <f>IF(AND(N5079="1521",MONTH(C5079)='BK-NL'!$M$11),"x","")</f>
        <v/>
      </c>
      <c r="AE5079">
        <v>10</v>
      </c>
    </row>
    <row r="5080" spans="1:33" ht="16.5" customHeight="1">
      <c r="A5080" s="309" t="str">
        <f>IF(B5080&lt;&gt;"",IF(AND(B5080='IN-TC'!$S$4,OR(TH!N5068="1111",TH!O5068="1111")),TH!D5068,""),"")</f>
        <v/>
      </c>
      <c r="B5080" s="1244">
        <f t="shared" si="1344"/>
        <v>10</v>
      </c>
      <c r="C5080" s="292">
        <f t="shared" si="1343"/>
        <v>43013</v>
      </c>
      <c r="D5080" s="292"/>
      <c r="E5080" s="292">
        <v>43013</v>
      </c>
      <c r="F5080" s="67" t="s">
        <v>1499</v>
      </c>
      <c r="G5080" s="925" t="s">
        <v>2495</v>
      </c>
      <c r="H5080" s="294" t="s">
        <v>893</v>
      </c>
      <c r="I5080" s="373"/>
      <c r="J5080" s="926"/>
      <c r="K5080" s="373"/>
      <c r="L5080" s="379"/>
      <c r="M5080" s="927">
        <v>1274382</v>
      </c>
      <c r="N5080" s="295" t="s">
        <v>101</v>
      </c>
      <c r="O5080" s="295" t="s">
        <v>63</v>
      </c>
      <c r="P5080" s="75" t="str">
        <f>IF(AND('331-CT'!$E$7=TH!H3966,OR(N5080="331",O5080="331")),"x","")</f>
        <v/>
      </c>
      <c r="Q5080" s="75" t="str">
        <f>IF(AND(B5080='111'!$L$11,OR($N5080=$Q$7,$O5080=$Q$7)),"x","")</f>
        <v/>
      </c>
      <c r="R5080" s="75" t="str">
        <f>IF(AND($N5080=$Q$7,$B5080&lt;'111'!$L$11),"x","")</f>
        <v/>
      </c>
      <c r="S5080" s="75" t="str">
        <f>IF(AND($O5080=$Q$7,$B5080&lt;'111'!$L$11),"x","")</f>
        <v>x</v>
      </c>
      <c r="T5080" s="75" t="str">
        <f>IF(ISERROR(FIND('112'!$M$9,G5080,1)),"",IF((AND(FIND('112'!$M$9,G5080,1)&gt;=1,B5080='112'!$K$9,OR($N5080='112'!$I$6,$O5080='112'!$I$6))),"x",""))</f>
        <v/>
      </c>
      <c r="U5080" s="75" t="str">
        <f>IF(ISERROR(FIND('112'!$M$9,G5080,1)),"",IF((AND(LEFT(G5080,2)=LEFT('112'!$M$9,2),B5080&lt;'112'!$K$9,$N5080='112'!$I$6)),"x",""))</f>
        <v/>
      </c>
      <c r="V5080" s="75" t="str">
        <f>IF(ISERROR(FIND('112'!$M$9,G5080,1)),"",IF((AND(RIGHT(G5080,2)=RIGHT('112'!$M$9,2),B5080&lt;'112'!$K$9,$O5080='112'!$I$6)),"x",""))</f>
        <v/>
      </c>
      <c r="W5080" s="75" t="str">
        <f>IF(AND('341-CT'!$H$9=H5080,OR(LEFT(N5080,3)=$W$7,LEFT(O5080,3)=$W$7)),"x","")</f>
        <v/>
      </c>
      <c r="X5080" s="75" t="str">
        <f>IF(OR(TH!N3966=TH!$X$7,O5080=TH!$X$7),"x","")</f>
        <v/>
      </c>
      <c r="Y5080" s="75" t="str">
        <f>IF(AND(OR(N5080="131",O5080="131"),H5080='131-CT'!$H$9),"x","")</f>
        <v/>
      </c>
      <c r="Z5080" s="75"/>
      <c r="AA5080" s="75" t="str">
        <f>IF(AND(MONTH(E5080)='IN-NX'!$J$5,'IN-NX'!$D$7=D5080),"x","")</f>
        <v/>
      </c>
      <c r="AB5080" s="75" t="str">
        <f>IF(AND(OR(LEFT(TH!N3966,2)="15",LEFT(TH!O3966,2)="15"),LEFT(TH!O3966,3)&lt;&gt;"111",'152-CT'!$J$8=TH!F3966),"x","")</f>
        <v/>
      </c>
      <c r="AC5080" s="75" t="str">
        <f>IF(AND(OR(LEFT(TH!N3966,2)="15",LEFT(TH!O3966,2)="15"),TK!$E$7=TH!F3966),"x","")</f>
        <v/>
      </c>
      <c r="AD5080" s="75" t="str">
        <f>IF(AND(N5080="1521",MONTH(C5080)='BK-NL'!$M$11),"x","")</f>
        <v/>
      </c>
      <c r="AE5080">
        <v>10</v>
      </c>
    </row>
    <row r="5081" spans="1:33" ht="16.5" customHeight="1">
      <c r="A5081" s="309" t="str">
        <f>IF(B5081&lt;&gt;"",IF(AND(B5081='IN-TC'!$S$4,OR(TH!N5069="1111",TH!O5069="1111")),TH!D5069,""),"")</f>
        <v/>
      </c>
      <c r="B5081" s="1244">
        <f t="shared" si="1344"/>
        <v>10</v>
      </c>
      <c r="C5081" s="292">
        <f t="shared" si="1343"/>
        <v>43013</v>
      </c>
      <c r="D5081" s="292"/>
      <c r="E5081" s="292">
        <v>43013</v>
      </c>
      <c r="F5081" s="67" t="s">
        <v>1500</v>
      </c>
      <c r="G5081" s="925" t="s">
        <v>2495</v>
      </c>
      <c r="H5081" s="294" t="s">
        <v>893</v>
      </c>
      <c r="I5081" s="373"/>
      <c r="J5081" s="926"/>
      <c r="K5081" s="373"/>
      <c r="L5081" s="379"/>
      <c r="M5081" s="927">
        <v>127438</v>
      </c>
      <c r="N5081" s="295" t="s">
        <v>9</v>
      </c>
      <c r="O5081" s="295" t="s">
        <v>63</v>
      </c>
      <c r="P5081" s="75" t="str">
        <f>IF(AND('331-CT'!$E$7=TH!H3967,OR(N5081="331",O5081="331")),"x","")</f>
        <v/>
      </c>
      <c r="Q5081" s="75" t="str">
        <f>IF(AND(B5081='111'!$L$11,OR($N5081=$Q$7,$O5081=$Q$7)),"x","")</f>
        <v/>
      </c>
      <c r="R5081" s="75" t="str">
        <f>IF(AND($N5081=$Q$7,$B5081&lt;'111'!$L$11),"x","")</f>
        <v/>
      </c>
      <c r="S5081" s="75" t="str">
        <f>IF(AND($O5081=$Q$7,$B5081&lt;'111'!$L$11),"x","")</f>
        <v>x</v>
      </c>
      <c r="T5081" s="75" t="str">
        <f>IF(ISERROR(FIND('112'!$M$9,G5081,1)),"",IF((AND(FIND('112'!$M$9,G5081,1)&gt;=1,B5081='112'!$K$9,OR($N5081='112'!$I$6,$O5081='112'!$I$6))),"x",""))</f>
        <v/>
      </c>
      <c r="U5081" s="75" t="str">
        <f>IF(ISERROR(FIND('112'!$M$9,G5081,1)),"",IF((AND(LEFT(G5081,2)=LEFT('112'!$M$9,2),B5081&lt;'112'!$K$9,$N5081='112'!$I$6)),"x",""))</f>
        <v/>
      </c>
      <c r="V5081" s="75" t="str">
        <f>IF(ISERROR(FIND('112'!$M$9,G5081,1)),"",IF((AND(RIGHT(G5081,2)=RIGHT('112'!$M$9,2),B5081&lt;'112'!$K$9,$O5081='112'!$I$6)),"x",""))</f>
        <v/>
      </c>
      <c r="W5081" s="75" t="str">
        <f>IF(AND('341-CT'!$H$9=H5081,OR(LEFT(N5081,3)=$W$7,LEFT(O5081,3)=$W$7)),"x","")</f>
        <v/>
      </c>
      <c r="X5081" s="75" t="str">
        <f>IF(OR(TH!N3967=TH!$X$7,O5081=TH!$X$7),"x","")</f>
        <v/>
      </c>
      <c r="Y5081" s="75" t="str">
        <f>IF(AND(OR(N5081="131",O5081="131"),H5081='131-CT'!$H$9),"x","")</f>
        <v/>
      </c>
      <c r="Z5081" s="75"/>
      <c r="AA5081" s="75" t="str">
        <f>IF(AND(MONTH(E5081)='IN-NX'!$J$5,'IN-NX'!$D$7=D5081),"x","")</f>
        <v/>
      </c>
      <c r="AB5081" s="75" t="str">
        <f>IF(AND(OR(LEFT(TH!N3967,2)="15",LEFT(TH!O3967,2)="15"),LEFT(TH!O3967,3)&lt;&gt;"111",'152-CT'!$J$8=TH!F3967),"x","")</f>
        <v/>
      </c>
      <c r="AC5081" s="75" t="str">
        <f>IF(AND(OR(LEFT(TH!N3967,2)="15",LEFT(TH!O3967,2)="15"),TK!$E$7=TH!F3967),"x","")</f>
        <v/>
      </c>
      <c r="AD5081" s="75" t="str">
        <f>IF(AND(N5081="1521",MONTH(C5081)='BK-NL'!$M$11),"x","")</f>
        <v/>
      </c>
      <c r="AE5081">
        <v>10</v>
      </c>
    </row>
    <row r="5082" spans="1:33" ht="16.5" customHeight="1">
      <c r="A5082" s="309" t="str">
        <f>IF(B5082&lt;&gt;"",IF(AND(B5082='IN-TC'!$S$4,OR(TH!N5070="1111",TH!O5070="1111")),TH!D5070,""),"")</f>
        <v/>
      </c>
      <c r="B5082" s="1244">
        <f t="shared" si="1344"/>
        <v>10</v>
      </c>
      <c r="C5082" s="292">
        <f t="shared" si="1343"/>
        <v>43013</v>
      </c>
      <c r="D5082" s="59" t="s">
        <v>844</v>
      </c>
      <c r="E5082" s="59">
        <v>43013</v>
      </c>
      <c r="F5082" s="62" t="s">
        <v>834</v>
      </c>
      <c r="G5082" s="62" t="s">
        <v>747</v>
      </c>
      <c r="H5082" s="67" t="s">
        <v>1023</v>
      </c>
      <c r="I5082" s="373"/>
      <c r="J5082" s="382"/>
      <c r="K5082" s="373"/>
      <c r="L5082" s="379"/>
      <c r="M5082" s="60">
        <v>1910000000</v>
      </c>
      <c r="N5082" s="61" t="s">
        <v>63</v>
      </c>
      <c r="O5082" s="61" t="s">
        <v>26</v>
      </c>
      <c r="P5082" s="75" t="str">
        <f>IF(AND('331-CT'!$E$7=TH!H5501,OR(N5082="331",O5082="331")),"x","")</f>
        <v/>
      </c>
      <c r="Q5082" s="75" t="str">
        <f>IF(AND(B5082='111'!$L$11,OR($N5082=$Q$7,$O5082=$Q$7)),"x","")</f>
        <v/>
      </c>
      <c r="R5082" s="75" t="str">
        <f>IF(AND($N5082=$Q$7,$B5082&lt;'111'!$L$11),"x","")</f>
        <v>x</v>
      </c>
      <c r="S5082" s="75" t="str">
        <f>IF(AND($O5082=$Q$7,$B5082&lt;'111'!$L$11),"x","")</f>
        <v/>
      </c>
      <c r="T5082" s="75" t="str">
        <f>IF(ISERROR(FIND('112'!$M$9,G5082,1)),"",IF((AND(FIND('112'!$M$9,G5082,1)&gt;=1,B5082='112'!$K$9,OR($N5082='112'!$I$6,$O5082='112'!$I$6))),"x",""))</f>
        <v/>
      </c>
      <c r="U5082" s="75" t="str">
        <f>IF(ISERROR(FIND('112'!$M$9,G5082,1)),"",IF((AND(LEFT(G5082,2)=LEFT('112'!$M$9,2),B5082&lt;'112'!$K$9,$N5082='112'!$I$6)),"x",""))</f>
        <v/>
      </c>
      <c r="V5082" s="75" t="str">
        <f>IF(ISERROR(FIND('112'!$M$9,G5082,1)),"",IF((AND(RIGHT(G5082,2)=RIGHT('112'!$M$9,2),B5082&lt;'112'!$K$9,$O5082='112'!$I$6)),"x",""))</f>
        <v/>
      </c>
      <c r="W5082" s="75" t="str">
        <f>IF(AND('341-CT'!$H$9=H5082,OR(LEFT(N5082,3)=$W$7,LEFT(O5082,3)=$W$7)),"x","")</f>
        <v/>
      </c>
      <c r="X5082" s="75" t="str">
        <f>IF(OR(TH!N5501=TH!$X$7,O5082=TH!$X$7),"x","")</f>
        <v/>
      </c>
      <c r="Y5082" s="75" t="str">
        <f>IF(AND(OR(N5082="131",O5082="131"),H5082='131-CT'!$H$9),"x","")</f>
        <v/>
      </c>
      <c r="Z5082" s="75"/>
      <c r="AA5082" s="75" t="str">
        <f>IF(AND(MONTH(E5082)='IN-NX'!$J$5,'IN-NX'!$D$7=D5082),"x","")</f>
        <v/>
      </c>
      <c r="AB5082" s="75" t="str">
        <f>IF(AND(OR(LEFT(TH!N5501,2)="15",LEFT(TH!O5501,2)="15"),LEFT(TH!O5501,3)&lt;&gt;"111",'152-CT'!$J$8=TH!F5501),"x","")</f>
        <v/>
      </c>
      <c r="AC5082" s="75" t="str">
        <f>IF(AND(OR(LEFT(TH!N5501,2)="15",LEFT(TH!O5501,2)="15"),TK!$E$7=TH!F5501),"x","")</f>
        <v/>
      </c>
      <c r="AD5082" s="75" t="str">
        <f>IF(AND(N5082="1521",MONTH(C5082)='BK-NL'!$M$11),"x","")</f>
        <v/>
      </c>
    </row>
    <row r="5083" spans="1:33" ht="16.5" customHeight="1">
      <c r="A5083" s="309" t="str">
        <f>IF(B5083&lt;&gt;"",IF(AND(B5083='IN-TC'!$S$4,OR(TH!N5071="1111",TH!O5071="1111")),TH!D5071,""),"")</f>
        <v/>
      </c>
      <c r="B5083" s="1244">
        <f t="shared" si="1344"/>
        <v>10</v>
      </c>
      <c r="C5083" s="292">
        <f t="shared" si="1343"/>
        <v>43014</v>
      </c>
      <c r="D5083" s="292"/>
      <c r="E5083" s="292">
        <v>43014</v>
      </c>
      <c r="F5083" s="67" t="s">
        <v>1165</v>
      </c>
      <c r="G5083" s="925" t="s">
        <v>2596</v>
      </c>
      <c r="H5083" s="294" t="s">
        <v>1684</v>
      </c>
      <c r="I5083" s="373"/>
      <c r="J5083" s="926"/>
      <c r="K5083" s="373"/>
      <c r="L5083" s="379"/>
      <c r="M5083" s="927">
        <v>19762050</v>
      </c>
      <c r="N5083" s="295" t="s">
        <v>8</v>
      </c>
      <c r="O5083" s="295" t="s">
        <v>63</v>
      </c>
      <c r="P5083" s="75" t="str">
        <f>IF(AND('331-CT'!$E$7=TH!H3968,OR(N5083="331",O5083="331")),"x","")</f>
        <v/>
      </c>
      <c r="Q5083" s="75" t="str">
        <f>IF(AND(B5083='111'!$L$11,OR($N5083=$Q$7,$O5083=$Q$7)),"x","")</f>
        <v/>
      </c>
      <c r="R5083" s="75" t="str">
        <f>IF(AND($N5083=$Q$7,$B5083&lt;'111'!$L$11),"x","")</f>
        <v/>
      </c>
      <c r="S5083" s="75" t="str">
        <f>IF(AND($O5083=$Q$7,$B5083&lt;'111'!$L$11),"x","")</f>
        <v>x</v>
      </c>
      <c r="T5083" s="75" t="str">
        <f>IF(ISERROR(FIND('112'!$M$9,G5083,1)),"",IF((AND(FIND('112'!$M$9,G5083,1)&gt;=1,B5083='112'!$K$9,OR($N5083='112'!$I$6,$O5083='112'!$I$6))),"x",""))</f>
        <v/>
      </c>
      <c r="U5083" s="75" t="str">
        <f>IF(ISERROR(FIND('112'!$M$9,G5083,1)),"",IF((AND(LEFT(G5083,2)=LEFT('112'!$M$9,2),B5083&lt;'112'!$K$9,$N5083='112'!$I$6)),"x",""))</f>
        <v/>
      </c>
      <c r="V5083" s="75" t="str">
        <f>IF(ISERROR(FIND('112'!$M$9,G5083,1)),"",IF((AND(RIGHT(G5083,2)=RIGHT('112'!$M$9,2),B5083&lt;'112'!$K$9,$O5083='112'!$I$6)),"x",""))</f>
        <v/>
      </c>
      <c r="W5083" s="75" t="str">
        <f>IF(AND('341-CT'!$H$9=H5083,OR(LEFT(N5083,3)=$W$7,LEFT(O5083,3)=$W$7)),"x","")</f>
        <v/>
      </c>
      <c r="X5083" s="75" t="str">
        <f>IF(OR(TH!N3968=TH!$X$7,O5083=TH!$X$7),"x","")</f>
        <v/>
      </c>
      <c r="Y5083" s="75" t="str">
        <f>IF(AND(OR(N5083="131",O5083="131"),H5083='131-CT'!$H$9),"x","")</f>
        <v/>
      </c>
      <c r="Z5083" s="75"/>
      <c r="AA5083" s="75" t="str">
        <f>IF(AND(MONTH(E5083)='IN-NX'!$J$5,'IN-NX'!$D$7=D5083),"x","")</f>
        <v/>
      </c>
      <c r="AB5083" s="75" t="str">
        <f>IF(AND(OR(LEFT(TH!N3968,2)="15",LEFT(TH!O3968,2)="15"),LEFT(TH!O3968,3)&lt;&gt;"111",'152-CT'!$J$8=TH!F3968),"x","")</f>
        <v/>
      </c>
      <c r="AC5083" s="75" t="str">
        <f>IF(AND(OR(LEFT(TH!N3968,2)="15",LEFT(TH!O3968,2)="15"),TK!$E$7=TH!F3968),"x","")</f>
        <v/>
      </c>
      <c r="AD5083" s="75" t="str">
        <f>IF(AND(N5083="1521",MONTH(C5083)='BK-NL'!$M$11),"x","")</f>
        <v/>
      </c>
    </row>
    <row r="5084" spans="1:33" ht="16.5" customHeight="1">
      <c r="A5084" s="309" t="str">
        <f>IF(B5084&lt;&gt;"",IF(AND(B5084='IN-TC'!$S$4,OR(TH!N5072="1111",TH!O5072="1111")),TH!D5072,""),"")</f>
        <v/>
      </c>
      <c r="B5084" s="1244">
        <f t="shared" si="1344"/>
        <v>10</v>
      </c>
      <c r="C5084" s="292">
        <f t="shared" si="1343"/>
        <v>43014</v>
      </c>
      <c r="D5084" s="292"/>
      <c r="E5084" s="292">
        <v>43014</v>
      </c>
      <c r="F5084" s="67" t="s">
        <v>2603</v>
      </c>
      <c r="G5084" s="943" t="s">
        <v>2605</v>
      </c>
      <c r="H5084" s="294" t="s">
        <v>935</v>
      </c>
      <c r="I5084" s="373"/>
      <c r="J5084" s="926"/>
      <c r="K5084" s="373"/>
      <c r="L5084" s="379"/>
      <c r="M5084" s="927">
        <f>1870370+1205661</f>
        <v>3076031</v>
      </c>
      <c r="N5084" s="295" t="s">
        <v>101</v>
      </c>
      <c r="O5084" s="295" t="s">
        <v>63</v>
      </c>
      <c r="P5084" s="75" t="str">
        <f>IF(AND('331-CT'!$E$7=TH!H3971,OR(N5084="331",O5084="331")),"x","")</f>
        <v/>
      </c>
      <c r="Q5084" s="75" t="str">
        <f>IF(AND(B5084='111'!$L$11,OR($N5084=$Q$7,$O5084=$Q$7)),"x","")</f>
        <v/>
      </c>
      <c r="R5084" s="75" t="str">
        <f>IF(AND($N5084=$Q$7,$B5084&lt;'111'!$L$11),"x","")</f>
        <v/>
      </c>
      <c r="S5084" s="75" t="str">
        <f>IF(AND($O5084=$Q$7,$B5084&lt;'111'!$L$11),"x","")</f>
        <v>x</v>
      </c>
      <c r="T5084" s="75" t="str">
        <f>IF(ISERROR(FIND('112'!$M$9,G5084,1)),"",IF((AND(FIND('112'!$M$9,G5084,1)&gt;=1,B5084='112'!$K$9,OR($N5084='112'!$I$6,$O5084='112'!$I$6))),"x",""))</f>
        <v/>
      </c>
      <c r="U5084" s="75" t="str">
        <f>IF(ISERROR(FIND('112'!$M$9,G5084,1)),"",IF((AND(LEFT(G5084,2)=LEFT('112'!$M$9,2),B5084&lt;'112'!$K$9,$N5084='112'!$I$6)),"x",""))</f>
        <v/>
      </c>
      <c r="V5084" s="75" t="str">
        <f>IF(ISERROR(FIND('112'!$M$9,G5084,1)),"",IF((AND(RIGHT(G5084,2)=RIGHT('112'!$M$9,2),B5084&lt;'112'!$K$9,$O5084='112'!$I$6)),"x",""))</f>
        <v/>
      </c>
      <c r="W5084" s="75" t="str">
        <f>IF(AND('341-CT'!$H$9=H5084,OR(LEFT(N5084,3)=$W$7,LEFT(O5084,3)=$W$7)),"x","")</f>
        <v/>
      </c>
      <c r="X5084" s="75" t="str">
        <f>IF(OR(TH!N3971=TH!$X$7,O5084=TH!$X$7),"x","")</f>
        <v/>
      </c>
      <c r="Y5084" s="75" t="str">
        <f>IF(AND(OR(N5084="131",O5084="131"),H5084='131-CT'!$H$9),"x","")</f>
        <v/>
      </c>
      <c r="Z5084" s="75"/>
      <c r="AA5084" s="75" t="str">
        <f>IF(AND(MONTH(E5084)='IN-NX'!$J$5,'IN-NX'!$D$7=D5084),"x","")</f>
        <v/>
      </c>
      <c r="AB5084" s="75" t="str">
        <f>IF(AND(OR(LEFT(TH!N3971,2)="15",LEFT(TH!O3971,2)="15"),LEFT(TH!O3971,3)&lt;&gt;"111",'152-CT'!$J$8=TH!F3971),"x","")</f>
        <v/>
      </c>
      <c r="AC5084" s="75" t="str">
        <f>IF(AND(OR(LEFT(TH!N3971,2)="15",LEFT(TH!O3971,2)="15"),TK!$E$7=TH!F3971),"x","")</f>
        <v/>
      </c>
      <c r="AD5084" s="75" t="str">
        <f>IF(AND(N5084="1521",MONTH(C5084)='BK-NL'!$M$11),"x","")</f>
        <v/>
      </c>
      <c r="AE5084">
        <v>11</v>
      </c>
    </row>
    <row r="5085" spans="1:33" ht="16.5" customHeight="1">
      <c r="A5085" s="309" t="str">
        <f>IF(B5085&lt;&gt;"",IF(AND(B5085='IN-TC'!$S$4,OR(TH!N5073="1111",TH!O5073="1111")),TH!D5073,""),"")</f>
        <v/>
      </c>
      <c r="B5085" s="1244">
        <f t="shared" si="1344"/>
        <v>10</v>
      </c>
      <c r="C5085" s="292">
        <f t="shared" si="1343"/>
        <v>43014</v>
      </c>
      <c r="D5085" s="292"/>
      <c r="E5085" s="292">
        <v>43014</v>
      </c>
      <c r="F5085" s="67" t="s">
        <v>2604</v>
      </c>
      <c r="G5085" s="943" t="s">
        <v>2605</v>
      </c>
      <c r="H5085" s="294" t="s">
        <v>935</v>
      </c>
      <c r="I5085" s="373"/>
      <c r="J5085" s="926"/>
      <c r="K5085" s="373"/>
      <c r="L5085" s="379"/>
      <c r="M5085" s="927">
        <f>187037+120566</f>
        <v>307603</v>
      </c>
      <c r="N5085" s="295" t="s">
        <v>9</v>
      </c>
      <c r="O5085" s="295" t="s">
        <v>63</v>
      </c>
      <c r="P5085" s="75" t="str">
        <f>IF(AND('331-CT'!$E$7=TH!H3972,OR(N5085="331",O5085="331")),"x","")</f>
        <v/>
      </c>
      <c r="Q5085" s="75" t="str">
        <f>IF(AND(B5085='111'!$L$11,OR($N5085=$Q$7,$O5085=$Q$7)),"x","")</f>
        <v/>
      </c>
      <c r="R5085" s="75" t="str">
        <f>IF(AND($N5085=$Q$7,$B5085&lt;'111'!$L$11),"x","")</f>
        <v/>
      </c>
      <c r="S5085" s="75" t="str">
        <f>IF(AND($O5085=$Q$7,$B5085&lt;'111'!$L$11),"x","")</f>
        <v>x</v>
      </c>
      <c r="T5085" s="75" t="str">
        <f>IF(ISERROR(FIND('112'!$M$9,G5085,1)),"",IF((AND(FIND('112'!$M$9,G5085,1)&gt;=1,B5085='112'!$K$9,OR($N5085='112'!$I$6,$O5085='112'!$I$6))),"x",""))</f>
        <v/>
      </c>
      <c r="U5085" s="75" t="str">
        <f>IF(ISERROR(FIND('112'!$M$9,G5085,1)),"",IF((AND(LEFT(G5085,2)=LEFT('112'!$M$9,2),B5085&lt;'112'!$K$9,$N5085='112'!$I$6)),"x",""))</f>
        <v/>
      </c>
      <c r="V5085" s="75" t="str">
        <f>IF(ISERROR(FIND('112'!$M$9,G5085,1)),"",IF((AND(RIGHT(G5085,2)=RIGHT('112'!$M$9,2),B5085&lt;'112'!$K$9,$O5085='112'!$I$6)),"x",""))</f>
        <v/>
      </c>
      <c r="W5085" s="75" t="str">
        <f>IF(AND('341-CT'!$H$9=H5085,OR(LEFT(N5085,3)=$W$7,LEFT(O5085,3)=$W$7)),"x","")</f>
        <v/>
      </c>
      <c r="X5085" s="75" t="str">
        <f>IF(OR(TH!N3972=TH!$X$7,O5085=TH!$X$7),"x","")</f>
        <v/>
      </c>
      <c r="Y5085" s="75" t="str">
        <f>IF(AND(OR(N5085="131",O5085="131"),H5085='131-CT'!$H$9),"x","")</f>
        <v/>
      </c>
      <c r="Z5085" s="75"/>
      <c r="AA5085" s="75" t="str">
        <f>IF(AND(MONTH(E5085)='IN-NX'!$J$5,'IN-NX'!$D$7=D5085),"x","")</f>
        <v/>
      </c>
      <c r="AB5085" s="75" t="str">
        <f>IF(AND(OR(LEFT(TH!N3972,2)="15",LEFT(TH!O3972,2)="15"),LEFT(TH!O3972,3)&lt;&gt;"111",'152-CT'!$J$8=TH!F3972),"x","")</f>
        <v/>
      </c>
      <c r="AC5085" s="75" t="str">
        <f>IF(AND(OR(LEFT(TH!N3972,2)="15",LEFT(TH!O3972,2)="15"),TK!$E$7=TH!F3972),"x","")</f>
        <v/>
      </c>
      <c r="AD5085" s="75" t="str">
        <f>IF(AND(N5085="1521",MONTH(C5085)='BK-NL'!$M$11),"x","")</f>
        <v/>
      </c>
      <c r="AE5085">
        <v>11</v>
      </c>
    </row>
    <row r="5086" spans="1:33" ht="16.5" customHeight="1">
      <c r="A5086" s="309" t="str">
        <f>IF(B5086&lt;&gt;"",IF(AND(B5086='IN-TC'!$S$4,OR(TH!N5074="1111",TH!O5074="1111")),TH!D5074,""),"")</f>
        <v/>
      </c>
      <c r="B5086" s="1244">
        <f t="shared" si="1344"/>
        <v>10</v>
      </c>
      <c r="C5086" s="292">
        <f t="shared" si="1343"/>
        <v>43014</v>
      </c>
      <c r="D5086" s="292"/>
      <c r="E5086" s="292">
        <v>43014</v>
      </c>
      <c r="F5086" s="67" t="s">
        <v>1328</v>
      </c>
      <c r="G5086" s="925" t="s">
        <v>2720</v>
      </c>
      <c r="H5086" s="294" t="s">
        <v>948</v>
      </c>
      <c r="I5086" s="373"/>
      <c r="J5086" s="926"/>
      <c r="K5086" s="373"/>
      <c r="L5086" s="379"/>
      <c r="M5086" s="927">
        <v>263636</v>
      </c>
      <c r="N5086" s="295" t="s">
        <v>539</v>
      </c>
      <c r="O5086" s="295" t="s">
        <v>63</v>
      </c>
      <c r="P5086" s="75" t="str">
        <f>IF(AND('331-CT'!$E$7=TH!H3969,OR(N5086="331",O5086="331")),"x","")</f>
        <v/>
      </c>
      <c r="Q5086" s="75" t="str">
        <f>IF(AND(B5086='111'!$L$11,OR($N5086=$Q$7,$O5086=$Q$7)),"x","")</f>
        <v/>
      </c>
      <c r="R5086" s="75" t="str">
        <f>IF(AND($N5086=$Q$7,$B5086&lt;'111'!$L$11),"x","")</f>
        <v/>
      </c>
      <c r="S5086" s="75" t="str">
        <f>IF(AND($O5086=$Q$7,$B5086&lt;'111'!$L$11),"x","")</f>
        <v>x</v>
      </c>
      <c r="T5086" s="75" t="str">
        <f>IF(ISERROR(FIND('112'!$M$9,G5086,1)),"",IF((AND(FIND('112'!$M$9,G5086,1)&gt;=1,B5086='112'!$K$9,OR($N5086='112'!$I$6,$O5086='112'!$I$6))),"x",""))</f>
        <v/>
      </c>
      <c r="U5086" s="75" t="str">
        <f>IF(ISERROR(FIND('112'!$M$9,G5086,1)),"",IF((AND(LEFT(G5086,2)=LEFT('112'!$M$9,2),B5086&lt;'112'!$K$9,$N5086='112'!$I$6)),"x",""))</f>
        <v/>
      </c>
      <c r="V5086" s="75" t="str">
        <f>IF(ISERROR(FIND('112'!$M$9,G5086,1)),"",IF((AND(RIGHT(G5086,2)=RIGHT('112'!$M$9,2),B5086&lt;'112'!$K$9,$O5086='112'!$I$6)),"x",""))</f>
        <v/>
      </c>
      <c r="W5086" s="75" t="str">
        <f>IF(AND('341-CT'!$H$9=H5086,OR(LEFT(N5086,3)=$W$7,LEFT(O5086,3)=$W$7)),"x","")</f>
        <v/>
      </c>
      <c r="X5086" s="75" t="str">
        <f>IF(OR(TH!N3969=TH!$X$7,O5086=TH!$X$7),"x","")</f>
        <v/>
      </c>
      <c r="Y5086" s="75" t="str">
        <f>IF(AND(OR(N5086="131",O5086="131"),H5086='131-CT'!$H$9),"x","")</f>
        <v/>
      </c>
      <c r="Z5086" s="75"/>
      <c r="AA5086" s="75" t="str">
        <f>IF(AND(MONTH(E5086)='IN-NX'!$J$5,'IN-NX'!$D$7=D5086),"x","")</f>
        <v/>
      </c>
      <c r="AB5086" s="75" t="str">
        <f>IF(AND(OR(LEFT(TH!N3969,2)="15",LEFT(TH!O3969,2)="15"),LEFT(TH!O3969,3)&lt;&gt;"111",'152-CT'!$J$8=TH!F3969),"x","")</f>
        <v/>
      </c>
      <c r="AC5086" s="75" t="str">
        <f>IF(AND(OR(LEFT(TH!N3969,2)="15",LEFT(TH!O3969,2)="15"),TK!$E$7=TH!F3969),"x","")</f>
        <v/>
      </c>
      <c r="AD5086" s="75" t="str">
        <f>IF(AND(N5086="1521",MONTH(C5086)='BK-NL'!$M$11),"x","")</f>
        <v/>
      </c>
      <c r="AE5086">
        <v>11</v>
      </c>
    </row>
    <row r="5087" spans="1:33" s="1053" customFormat="1" ht="16.5" customHeight="1">
      <c r="A5087" s="309" t="str">
        <f>IF(B5087&lt;&gt;"",IF(AND(B5087='IN-TC'!$S$4,OR(TH!N5075="1111",TH!O5075="1111")),TH!D5075,""),"")</f>
        <v/>
      </c>
      <c r="B5087" s="1244">
        <f t="shared" si="1344"/>
        <v>10</v>
      </c>
      <c r="C5087" s="292">
        <f t="shared" si="1343"/>
        <v>43014</v>
      </c>
      <c r="D5087" s="292"/>
      <c r="E5087" s="292">
        <v>43014</v>
      </c>
      <c r="F5087" s="67" t="s">
        <v>1329</v>
      </c>
      <c r="G5087" s="925" t="s">
        <v>2720</v>
      </c>
      <c r="H5087" s="294" t="s">
        <v>948</v>
      </c>
      <c r="I5087" s="373"/>
      <c r="J5087" s="926"/>
      <c r="K5087" s="373"/>
      <c r="L5087" s="379"/>
      <c r="M5087" s="927">
        <v>26364</v>
      </c>
      <c r="N5087" s="295" t="s">
        <v>9</v>
      </c>
      <c r="O5087" s="295" t="s">
        <v>63</v>
      </c>
      <c r="P5087" s="75" t="str">
        <f>IF(AND('331-CT'!$E$7=TH!H3970,OR(N5087="331",O5087="331")),"x","")</f>
        <v/>
      </c>
      <c r="Q5087" s="75" t="str">
        <f>IF(AND(B5087='111'!$L$11,OR($N5087=$Q$7,$O5087=$Q$7)),"x","")</f>
        <v/>
      </c>
      <c r="R5087" s="75" t="str">
        <f>IF(AND($N5087=$Q$7,$B5087&lt;'111'!$L$11),"x","")</f>
        <v/>
      </c>
      <c r="S5087" s="75" t="str">
        <f>IF(AND($O5087=$Q$7,$B5087&lt;'111'!$L$11),"x","")</f>
        <v>x</v>
      </c>
      <c r="T5087" s="75" t="str">
        <f>IF(ISERROR(FIND('112'!$M$9,G5087,1)),"",IF((AND(FIND('112'!$M$9,G5087,1)&gt;=1,B5087='112'!$K$9,OR($N5087='112'!$I$6,$O5087='112'!$I$6))),"x",""))</f>
        <v/>
      </c>
      <c r="U5087" s="75" t="str">
        <f>IF(ISERROR(FIND('112'!$M$9,G5087,1)),"",IF((AND(LEFT(G5087,2)=LEFT('112'!$M$9,2),B5087&lt;'112'!$K$9,$N5087='112'!$I$6)),"x",""))</f>
        <v/>
      </c>
      <c r="V5087" s="75" t="str">
        <f>IF(ISERROR(FIND('112'!$M$9,G5087,1)),"",IF((AND(RIGHT(G5087,2)=RIGHT('112'!$M$9,2),B5087&lt;'112'!$K$9,$O5087='112'!$I$6)),"x",""))</f>
        <v/>
      </c>
      <c r="W5087" s="75" t="str">
        <f>IF(AND('341-CT'!$H$9=H5087,OR(LEFT(N5087,3)=$W$7,LEFT(O5087,3)=$W$7)),"x","")</f>
        <v/>
      </c>
      <c r="X5087" s="75" t="str">
        <f>IF(OR(TH!N3970=TH!$X$7,O5087=TH!$X$7),"x","")</f>
        <v/>
      </c>
      <c r="Y5087" s="75" t="str">
        <f>IF(AND(OR(N5087="131",O5087="131"),H5087='131-CT'!$H$9),"x","")</f>
        <v/>
      </c>
      <c r="Z5087" s="75"/>
      <c r="AA5087" s="75" t="str">
        <f>IF(AND(MONTH(E5087)='IN-NX'!$J$5,'IN-NX'!$D$7=D5087),"x","")</f>
        <v/>
      </c>
      <c r="AB5087" s="75" t="str">
        <f>IF(AND(OR(LEFT(TH!N3970,2)="15",LEFT(TH!O3970,2)="15"),LEFT(TH!O3970,3)&lt;&gt;"111",'152-CT'!$J$8=TH!F3970),"x","")</f>
        <v/>
      </c>
      <c r="AC5087" s="75" t="str">
        <f>IF(AND(OR(LEFT(TH!N3970,2)="15",LEFT(TH!O3970,2)="15"),TK!$E$7=TH!F3970),"x","")</f>
        <v/>
      </c>
      <c r="AD5087" s="75" t="str">
        <f>IF(AND(N5087="1521",MONTH(C5087)='BK-NL'!$M$11),"x","")</f>
        <v/>
      </c>
      <c r="AE5087">
        <v>11</v>
      </c>
      <c r="AF5087"/>
      <c r="AG5087"/>
    </row>
    <row r="5088" spans="1:33" ht="16.5" customHeight="1">
      <c r="A5088" s="309" t="str">
        <f>IF(B5088&lt;&gt;"",IF(AND(B5088='IN-TC'!$S$4,OR(TH!N5076="1111",TH!O5076="1111")),TH!D5076,""),"")</f>
        <v/>
      </c>
      <c r="B5088" s="1244">
        <f t="shared" si="1344"/>
        <v>10</v>
      </c>
      <c r="C5088" s="292">
        <f t="shared" si="1343"/>
        <v>43014</v>
      </c>
      <c r="D5088" s="292"/>
      <c r="E5088" s="292">
        <v>43014</v>
      </c>
      <c r="F5088" s="67" t="s">
        <v>1029</v>
      </c>
      <c r="G5088" s="925" t="s">
        <v>2730</v>
      </c>
      <c r="H5088" s="294" t="s">
        <v>948</v>
      </c>
      <c r="I5088" s="373"/>
      <c r="J5088" s="926"/>
      <c r="K5088" s="373"/>
      <c r="L5088" s="379"/>
      <c r="M5088" s="927">
        <v>263636</v>
      </c>
      <c r="N5088" s="295" t="s">
        <v>539</v>
      </c>
      <c r="O5088" s="295" t="s">
        <v>63</v>
      </c>
      <c r="P5088" s="75" t="str">
        <f>IF(AND('331-CT'!$E$7=TH!H3973,OR(N5088="331",O5088="331")),"x","")</f>
        <v/>
      </c>
      <c r="Q5088" s="75" t="str">
        <f>IF(AND(B5088='111'!$L$11,OR($N5088=$Q$7,$O5088=$Q$7)),"x","")</f>
        <v/>
      </c>
      <c r="R5088" s="75" t="str">
        <f>IF(AND($N5088=$Q$7,$B5088&lt;'111'!$L$11),"x","")</f>
        <v/>
      </c>
      <c r="S5088" s="75" t="str">
        <f>IF(AND($O5088=$Q$7,$B5088&lt;'111'!$L$11),"x","")</f>
        <v>x</v>
      </c>
      <c r="T5088" s="75" t="str">
        <f>IF(ISERROR(FIND('112'!$M$9,G5088,1)),"",IF((AND(FIND('112'!$M$9,G5088,1)&gt;=1,B5088='112'!$K$9,OR($N5088='112'!$I$6,$O5088='112'!$I$6))),"x",""))</f>
        <v/>
      </c>
      <c r="U5088" s="75" t="str">
        <f>IF(ISERROR(FIND('112'!$M$9,G5088,1)),"",IF((AND(LEFT(G5088,2)=LEFT('112'!$M$9,2),B5088&lt;'112'!$K$9,$N5088='112'!$I$6)),"x",""))</f>
        <v/>
      </c>
      <c r="V5088" s="75" t="str">
        <f>IF(ISERROR(FIND('112'!$M$9,G5088,1)),"",IF((AND(RIGHT(G5088,2)=RIGHT('112'!$M$9,2),B5088&lt;'112'!$K$9,$O5088='112'!$I$6)),"x",""))</f>
        <v/>
      </c>
      <c r="W5088" s="75" t="str">
        <f>IF(AND('341-CT'!$H$9=H5088,OR(LEFT(N5088,3)=$W$7,LEFT(O5088,3)=$W$7)),"x","")</f>
        <v/>
      </c>
      <c r="X5088" s="75" t="str">
        <f>IF(OR(TH!N3973=TH!$X$7,O5088=TH!$X$7),"x","")</f>
        <v/>
      </c>
      <c r="Y5088" s="75" t="str">
        <f>IF(AND(OR(N5088="131",O5088="131"),H5088='131-CT'!$H$9),"x","")</f>
        <v/>
      </c>
      <c r="Z5088" s="75"/>
      <c r="AA5088" s="75" t="str">
        <f>IF(AND(MONTH(E5088)='IN-NX'!$J$5,'IN-NX'!$D$7=D5088),"x","")</f>
        <v/>
      </c>
      <c r="AB5088" s="75" t="str">
        <f>IF(AND(OR(LEFT(TH!N3973,2)="15",LEFT(TH!O3973,2)="15"),LEFT(TH!O3973,3)&lt;&gt;"111",'152-CT'!$J$8=TH!F3973),"x","")</f>
        <v/>
      </c>
      <c r="AC5088" s="75" t="str">
        <f>IF(AND(OR(LEFT(TH!N3973,2)="15",LEFT(TH!O3973,2)="15"),TK!$E$7=TH!F3973),"x","")</f>
        <v/>
      </c>
      <c r="AD5088" s="75" t="str">
        <f>IF(AND(N5088="1521",MONTH(C5088)='BK-NL'!$M$11),"x","")</f>
        <v/>
      </c>
      <c r="AE5088">
        <v>11</v>
      </c>
    </row>
    <row r="5089" spans="1:31" ht="16.5" customHeight="1">
      <c r="A5089" s="309" t="str">
        <f>IF(B5089&lt;&gt;"",IF(AND(B5089='IN-TC'!$S$4,OR(TH!N5077="1111",TH!O5077="1111")),TH!D5077,""),"")</f>
        <v/>
      </c>
      <c r="B5089" s="1244">
        <f t="shared" si="1344"/>
        <v>10</v>
      </c>
      <c r="C5089" s="292">
        <f t="shared" si="1343"/>
        <v>43014</v>
      </c>
      <c r="D5089" s="292"/>
      <c r="E5089" s="292">
        <v>43014</v>
      </c>
      <c r="F5089" s="67" t="s">
        <v>1030</v>
      </c>
      <c r="G5089" s="925" t="s">
        <v>2730</v>
      </c>
      <c r="H5089" s="294" t="s">
        <v>948</v>
      </c>
      <c r="I5089" s="373"/>
      <c r="J5089" s="926"/>
      <c r="K5089" s="373"/>
      <c r="L5089" s="379"/>
      <c r="M5089" s="927">
        <v>26364</v>
      </c>
      <c r="N5089" s="295" t="s">
        <v>9</v>
      </c>
      <c r="O5089" s="295" t="s">
        <v>63</v>
      </c>
      <c r="P5089" s="75" t="str">
        <f>IF(AND('331-CT'!$E$7=TH!H3974,OR(N5089="331",O5089="331")),"x","")</f>
        <v/>
      </c>
      <c r="Q5089" s="75" t="str">
        <f>IF(AND(B5089='111'!$L$11,OR($N5089=$Q$7,$O5089=$Q$7)),"x","")</f>
        <v/>
      </c>
      <c r="R5089" s="75" t="str">
        <f>IF(AND($N5089=$Q$7,$B5089&lt;'111'!$L$11),"x","")</f>
        <v/>
      </c>
      <c r="S5089" s="75" t="str">
        <f>IF(AND($O5089=$Q$7,$B5089&lt;'111'!$L$11),"x","")</f>
        <v>x</v>
      </c>
      <c r="T5089" s="75" t="str">
        <f>IF(ISERROR(FIND('112'!$M$9,G5089,1)),"",IF((AND(FIND('112'!$M$9,G5089,1)&gt;=1,B5089='112'!$K$9,OR($N5089='112'!$I$6,$O5089='112'!$I$6))),"x",""))</f>
        <v/>
      </c>
      <c r="U5089" s="75" t="str">
        <f>IF(ISERROR(FIND('112'!$M$9,G5089,1)),"",IF((AND(LEFT(G5089,2)=LEFT('112'!$M$9,2),B5089&lt;'112'!$K$9,$N5089='112'!$I$6)),"x",""))</f>
        <v/>
      </c>
      <c r="V5089" s="75" t="str">
        <f>IF(ISERROR(FIND('112'!$M$9,G5089,1)),"",IF((AND(RIGHT(G5089,2)=RIGHT('112'!$M$9,2),B5089&lt;'112'!$K$9,$O5089='112'!$I$6)),"x",""))</f>
        <v/>
      </c>
      <c r="W5089" s="75" t="str">
        <f>IF(AND('341-CT'!$H$9=H5089,OR(LEFT(N5089,3)=$W$7,LEFT(O5089,3)=$W$7)),"x","")</f>
        <v/>
      </c>
      <c r="X5089" s="75" t="str">
        <f>IF(OR(TH!N3974=TH!$X$7,O5089=TH!$X$7),"x","")</f>
        <v/>
      </c>
      <c r="Y5089" s="75" t="str">
        <f>IF(AND(OR(N5089="131",O5089="131"),H5089='131-CT'!$H$9),"x","")</f>
        <v/>
      </c>
      <c r="Z5089" s="75"/>
      <c r="AA5089" s="75" t="str">
        <f>IF(AND(MONTH(E5089)='IN-NX'!$J$5,'IN-NX'!$D$7=D5089),"x","")</f>
        <v/>
      </c>
      <c r="AB5089" s="75" t="str">
        <f>IF(AND(OR(LEFT(TH!N3974,2)="15",LEFT(TH!O3974,2)="15"),LEFT(TH!O3974,3)&lt;&gt;"111",'152-CT'!$J$8=TH!F3974),"x","")</f>
        <v/>
      </c>
      <c r="AC5089" s="75" t="str">
        <f>IF(AND(OR(LEFT(TH!N3974,2)="15",LEFT(TH!O3974,2)="15"),TK!$E$7=TH!F3974),"x","")</f>
        <v/>
      </c>
      <c r="AD5089" s="75" t="str">
        <f>IF(AND(N5089="1521",MONTH(C5089)='BK-NL'!$M$11),"x","")</f>
        <v/>
      </c>
      <c r="AE5089">
        <v>11</v>
      </c>
    </row>
    <row r="5090" spans="1:31" ht="16.5" customHeight="1">
      <c r="A5090" s="309" t="str">
        <f>IF(B5090&lt;&gt;"",IF(AND(B5090='IN-TC'!$S$4,OR(TH!N5078="1111",TH!O5078="1111")),TH!D5078,""),"")</f>
        <v/>
      </c>
      <c r="B5090" s="1244">
        <f t="shared" si="1344"/>
        <v>10</v>
      </c>
      <c r="C5090" s="292">
        <f t="shared" si="1343"/>
        <v>43015</v>
      </c>
      <c r="D5090" s="292"/>
      <c r="E5090" s="292">
        <v>43015</v>
      </c>
      <c r="F5090" s="67" t="s">
        <v>1328</v>
      </c>
      <c r="G5090" s="925" t="s">
        <v>2721</v>
      </c>
      <c r="H5090" s="294" t="s">
        <v>948</v>
      </c>
      <c r="I5090" s="373"/>
      <c r="J5090" s="926"/>
      <c r="K5090" s="373"/>
      <c r="L5090" s="379"/>
      <c r="M5090" s="927">
        <v>1636364</v>
      </c>
      <c r="N5090" s="295" t="s">
        <v>539</v>
      </c>
      <c r="O5090" s="295" t="s">
        <v>63</v>
      </c>
      <c r="P5090" s="75" t="str">
        <f>IF(AND('331-CT'!$E$7=TH!H3975,OR(N5090="331",O5090="331")),"x","")</f>
        <v/>
      </c>
      <c r="Q5090" s="75" t="str">
        <f>IF(AND(B5090='111'!$L$11,OR($N5090=$Q$7,$O5090=$Q$7)),"x","")</f>
        <v/>
      </c>
      <c r="R5090" s="75" t="str">
        <f>IF(AND($N5090=$Q$7,$B5090&lt;'111'!$L$11),"x","")</f>
        <v/>
      </c>
      <c r="S5090" s="75" t="str">
        <f>IF(AND($O5090=$Q$7,$B5090&lt;'111'!$L$11),"x","")</f>
        <v>x</v>
      </c>
      <c r="T5090" s="75" t="str">
        <f>IF(ISERROR(FIND('112'!$M$9,G5090,1)),"",IF((AND(FIND('112'!$M$9,G5090,1)&gt;=1,B5090='112'!$K$9,OR($N5090='112'!$I$6,$O5090='112'!$I$6))),"x",""))</f>
        <v/>
      </c>
      <c r="U5090" s="75" t="str">
        <f>IF(ISERROR(FIND('112'!$M$9,G5090,1)),"",IF((AND(LEFT(G5090,2)=LEFT('112'!$M$9,2),B5090&lt;'112'!$K$9,$N5090='112'!$I$6)),"x",""))</f>
        <v/>
      </c>
      <c r="V5090" s="75" t="str">
        <f>IF(ISERROR(FIND('112'!$M$9,G5090,1)),"",IF((AND(RIGHT(G5090,2)=RIGHT('112'!$M$9,2),B5090&lt;'112'!$K$9,$O5090='112'!$I$6)),"x",""))</f>
        <v/>
      </c>
      <c r="W5090" s="75" t="str">
        <f>IF(AND('341-CT'!$H$9=H5090,OR(LEFT(N5090,3)=$W$7,LEFT(O5090,3)=$W$7)),"x","")</f>
        <v/>
      </c>
      <c r="X5090" s="75" t="str">
        <f>IF(OR(TH!N3975=TH!$X$7,O5090=TH!$X$7),"x","")</f>
        <v/>
      </c>
      <c r="Y5090" s="75" t="str">
        <f>IF(AND(OR(N5090="131",O5090="131"),H5090='131-CT'!$H$9),"x","")</f>
        <v/>
      </c>
      <c r="Z5090" s="75"/>
      <c r="AA5090" s="75" t="str">
        <f>IF(AND(MONTH(E5090)='IN-NX'!$J$5,'IN-NX'!$D$7=D5090),"x","")</f>
        <v/>
      </c>
      <c r="AB5090" s="75" t="str">
        <f>IF(AND(OR(LEFT(TH!N3975,2)="15",LEFT(TH!O3975,2)="15"),LEFT(TH!O3975,3)&lt;&gt;"111",'152-CT'!$J$8=TH!F3975),"x","")</f>
        <v/>
      </c>
      <c r="AC5090" s="75" t="str">
        <f>IF(AND(OR(LEFT(TH!N3975,2)="15",LEFT(TH!O3975,2)="15"),TK!$E$7=TH!F3975),"x","")</f>
        <v/>
      </c>
      <c r="AD5090" s="75" t="str">
        <f>IF(AND(N5090="1521",MONTH(C5090)='BK-NL'!$M$11),"x","")</f>
        <v/>
      </c>
      <c r="AE5090">
        <v>11</v>
      </c>
    </row>
    <row r="5091" spans="1:31" ht="16.5" customHeight="1">
      <c r="A5091" s="309" t="str">
        <f>IF(B5091&lt;&gt;"",IF(AND(B5091='IN-TC'!$S$4,OR(TH!N5079="1111",TH!O5079="1111")),TH!D5079,""),"")</f>
        <v/>
      </c>
      <c r="B5091" s="1244">
        <f t="shared" si="1344"/>
        <v>10</v>
      </c>
      <c r="C5091" s="292">
        <f t="shared" si="1343"/>
        <v>43015</v>
      </c>
      <c r="D5091" s="292"/>
      <c r="E5091" s="292">
        <v>43015</v>
      </c>
      <c r="F5091" s="67" t="s">
        <v>1329</v>
      </c>
      <c r="G5091" s="925" t="s">
        <v>2721</v>
      </c>
      <c r="H5091" s="294" t="s">
        <v>948</v>
      </c>
      <c r="I5091" s="373"/>
      <c r="J5091" s="926"/>
      <c r="K5091" s="373"/>
      <c r="L5091" s="379"/>
      <c r="M5091" s="927">
        <v>163636</v>
      </c>
      <c r="N5091" s="295" t="s">
        <v>9</v>
      </c>
      <c r="O5091" s="295" t="s">
        <v>63</v>
      </c>
      <c r="P5091" s="75" t="str">
        <f>IF(AND('331-CT'!$E$7=TH!H3976,OR(N5091="331",O5091="331")),"x","")</f>
        <v/>
      </c>
      <c r="Q5091" s="75" t="str">
        <f>IF(AND(B5091='111'!$L$11,OR($N5091=$Q$7,$O5091=$Q$7)),"x","")</f>
        <v/>
      </c>
      <c r="R5091" s="75" t="str">
        <f>IF(AND($N5091=$Q$7,$B5091&lt;'111'!$L$11),"x","")</f>
        <v/>
      </c>
      <c r="S5091" s="75" t="str">
        <f>IF(AND($O5091=$Q$7,$B5091&lt;'111'!$L$11),"x","")</f>
        <v>x</v>
      </c>
      <c r="T5091" s="75" t="str">
        <f>IF(ISERROR(FIND('112'!$M$9,G5091,1)),"",IF((AND(FIND('112'!$M$9,G5091,1)&gt;=1,B5091='112'!$K$9,OR($N5091='112'!$I$6,$O5091='112'!$I$6))),"x",""))</f>
        <v/>
      </c>
      <c r="U5091" s="75" t="str">
        <f>IF(ISERROR(FIND('112'!$M$9,G5091,1)),"",IF((AND(LEFT(G5091,2)=LEFT('112'!$M$9,2),B5091&lt;'112'!$K$9,$N5091='112'!$I$6)),"x",""))</f>
        <v/>
      </c>
      <c r="V5091" s="75" t="str">
        <f>IF(ISERROR(FIND('112'!$M$9,G5091,1)),"",IF((AND(RIGHT(G5091,2)=RIGHT('112'!$M$9,2),B5091&lt;'112'!$K$9,$O5091='112'!$I$6)),"x",""))</f>
        <v/>
      </c>
      <c r="W5091" s="75" t="str">
        <f>IF(AND('341-CT'!$H$9=H5091,OR(LEFT(N5091,3)=$W$7,LEFT(O5091,3)=$W$7)),"x","")</f>
        <v/>
      </c>
      <c r="X5091" s="75" t="str">
        <f>IF(OR(TH!N3976=TH!$X$7,O5091=TH!$X$7),"x","")</f>
        <v/>
      </c>
      <c r="Y5091" s="75" t="str">
        <f>IF(AND(OR(N5091="131",O5091="131"),H5091='131-CT'!$H$9),"x","")</f>
        <v/>
      </c>
      <c r="Z5091" s="75"/>
      <c r="AA5091" s="75" t="str">
        <f>IF(AND(MONTH(E5091)='IN-NX'!$J$5,'IN-NX'!$D$7=D5091),"x","")</f>
        <v/>
      </c>
      <c r="AB5091" s="75" t="str">
        <f>IF(AND(OR(LEFT(TH!N3976,2)="15",LEFT(TH!O3976,2)="15"),LEFT(TH!O3976,3)&lt;&gt;"111",'152-CT'!$J$8=TH!F3976),"x","")</f>
        <v/>
      </c>
      <c r="AC5091" s="75" t="str">
        <f>IF(AND(OR(LEFT(TH!N3976,2)="15",LEFT(TH!O3976,2)="15"),TK!$E$7=TH!F3976),"x","")</f>
        <v/>
      </c>
      <c r="AD5091" s="75" t="str">
        <f>IF(AND(N5091="1521",MONTH(C5091)='BK-NL'!$M$11),"x","")</f>
        <v/>
      </c>
      <c r="AE5091">
        <v>11</v>
      </c>
    </row>
    <row r="5092" spans="1:31" ht="16.5" customHeight="1">
      <c r="A5092" s="309" t="str">
        <f>IF(B5092&lt;&gt;"",IF(AND(B5092='IN-TC'!$S$4,OR(TH!N5080="1111",TH!O5080="1111")),TH!D5080,""),"")</f>
        <v/>
      </c>
      <c r="B5092" s="1244">
        <f t="shared" si="1344"/>
        <v>10</v>
      </c>
      <c r="C5092" s="292">
        <f t="shared" si="1343"/>
        <v>43015</v>
      </c>
      <c r="D5092" s="292"/>
      <c r="E5092" s="292">
        <v>43015</v>
      </c>
      <c r="F5092" s="67" t="s">
        <v>1029</v>
      </c>
      <c r="G5092" s="925" t="s">
        <v>2731</v>
      </c>
      <c r="H5092" s="294" t="s">
        <v>948</v>
      </c>
      <c r="I5092" s="373"/>
      <c r="J5092" s="926"/>
      <c r="K5092" s="373"/>
      <c r="L5092" s="379"/>
      <c r="M5092" s="927">
        <v>1854545</v>
      </c>
      <c r="N5092" s="295" t="s">
        <v>539</v>
      </c>
      <c r="O5092" s="295" t="s">
        <v>63</v>
      </c>
      <c r="P5092" s="75" t="str">
        <f>IF(AND('331-CT'!$E$7=TH!H3977,OR(N5092="331",O5092="331")),"x","")</f>
        <v/>
      </c>
      <c r="Q5092" s="75" t="str">
        <f>IF(AND(B5092='111'!$L$11,OR($N5092=$Q$7,$O5092=$Q$7)),"x","")</f>
        <v/>
      </c>
      <c r="R5092" s="75" t="str">
        <f>IF(AND($N5092=$Q$7,$B5092&lt;'111'!$L$11),"x","")</f>
        <v/>
      </c>
      <c r="S5092" s="75" t="str">
        <f>IF(AND($O5092=$Q$7,$B5092&lt;'111'!$L$11),"x","")</f>
        <v>x</v>
      </c>
      <c r="T5092" s="75" t="str">
        <f>IF(ISERROR(FIND('112'!$M$9,G5092,1)),"",IF((AND(FIND('112'!$M$9,G5092,1)&gt;=1,B5092='112'!$K$9,OR($N5092='112'!$I$6,$O5092='112'!$I$6))),"x",""))</f>
        <v/>
      </c>
      <c r="U5092" s="75" t="str">
        <f>IF(ISERROR(FIND('112'!$M$9,G5092,1)),"",IF((AND(LEFT(G5092,2)=LEFT('112'!$M$9,2),B5092&lt;'112'!$K$9,$N5092='112'!$I$6)),"x",""))</f>
        <v/>
      </c>
      <c r="V5092" s="75" t="str">
        <f>IF(ISERROR(FIND('112'!$M$9,G5092,1)),"",IF((AND(RIGHT(G5092,2)=RIGHT('112'!$M$9,2),B5092&lt;'112'!$K$9,$O5092='112'!$I$6)),"x",""))</f>
        <v/>
      </c>
      <c r="W5092" s="75" t="str">
        <f>IF(AND('341-CT'!$H$9=H5092,OR(LEFT(N5092,3)=$W$7,LEFT(O5092,3)=$W$7)),"x","")</f>
        <v/>
      </c>
      <c r="X5092" s="75" t="str">
        <f>IF(OR(TH!N3977=TH!$X$7,O5092=TH!$X$7),"x","")</f>
        <v/>
      </c>
      <c r="Y5092" s="75" t="str">
        <f>IF(AND(OR(N5092="131",O5092="131"),H5092='131-CT'!$H$9),"x","")</f>
        <v/>
      </c>
      <c r="Z5092" s="75"/>
      <c r="AA5092" s="75" t="str">
        <f>IF(AND(MONTH(E5092)='IN-NX'!$J$5,'IN-NX'!$D$7=D5092),"x","")</f>
        <v/>
      </c>
      <c r="AB5092" s="75" t="str">
        <f>IF(AND(OR(LEFT(TH!N3977,2)="15",LEFT(TH!O3977,2)="15"),LEFT(TH!O3977,3)&lt;&gt;"111",'152-CT'!$J$8=TH!F3977),"x","")</f>
        <v/>
      </c>
      <c r="AC5092" s="75" t="str">
        <f>IF(AND(OR(LEFT(TH!N3977,2)="15",LEFT(TH!O3977,2)="15"),TK!$E$7=TH!F3977),"x","")</f>
        <v/>
      </c>
      <c r="AD5092" s="75" t="str">
        <f>IF(AND(N5092="1521",MONTH(C5092)='BK-NL'!$M$11),"x","")</f>
        <v/>
      </c>
      <c r="AE5092">
        <v>11</v>
      </c>
    </row>
    <row r="5093" spans="1:31" ht="16.5" customHeight="1">
      <c r="A5093" s="309" t="str">
        <f>IF(B5093&lt;&gt;"",IF(AND(B5093='IN-TC'!$S$4,OR(TH!N5081="1111",TH!O5081="1111")),TH!D5081,""),"")</f>
        <v/>
      </c>
      <c r="B5093" s="1244">
        <f t="shared" si="1344"/>
        <v>10</v>
      </c>
      <c r="C5093" s="292">
        <f t="shared" si="1343"/>
        <v>43015</v>
      </c>
      <c r="D5093" s="292"/>
      <c r="E5093" s="292">
        <v>43015</v>
      </c>
      <c r="F5093" s="67" t="s">
        <v>1030</v>
      </c>
      <c r="G5093" s="925" t="s">
        <v>2731</v>
      </c>
      <c r="H5093" s="294" t="s">
        <v>948</v>
      </c>
      <c r="I5093" s="373"/>
      <c r="J5093" s="926"/>
      <c r="K5093" s="373"/>
      <c r="L5093" s="379"/>
      <c r="M5093" s="927">
        <v>185455</v>
      </c>
      <c r="N5093" s="295" t="s">
        <v>9</v>
      </c>
      <c r="O5093" s="295" t="s">
        <v>63</v>
      </c>
      <c r="P5093" s="75" t="str">
        <f>IF(AND('331-CT'!$E$7=TH!H3978,OR(N5093="331",O5093="331")),"x","")</f>
        <v/>
      </c>
      <c r="Q5093" s="75" t="str">
        <f>IF(AND(B5093='111'!$L$11,OR($N5093=$Q$7,$O5093=$Q$7)),"x","")</f>
        <v/>
      </c>
      <c r="R5093" s="75" t="str">
        <f>IF(AND($N5093=$Q$7,$B5093&lt;'111'!$L$11),"x","")</f>
        <v/>
      </c>
      <c r="S5093" s="75" t="str">
        <f>IF(AND($O5093=$Q$7,$B5093&lt;'111'!$L$11),"x","")</f>
        <v>x</v>
      </c>
      <c r="T5093" s="75" t="str">
        <f>IF(ISERROR(FIND('112'!$M$9,G5093,1)),"",IF((AND(FIND('112'!$M$9,G5093,1)&gt;=1,B5093='112'!$K$9,OR($N5093='112'!$I$6,$O5093='112'!$I$6))),"x",""))</f>
        <v/>
      </c>
      <c r="U5093" s="75" t="str">
        <f>IF(ISERROR(FIND('112'!$M$9,G5093,1)),"",IF((AND(LEFT(G5093,2)=LEFT('112'!$M$9,2),B5093&lt;'112'!$K$9,$N5093='112'!$I$6)),"x",""))</f>
        <v/>
      </c>
      <c r="V5093" s="75" t="str">
        <f>IF(ISERROR(FIND('112'!$M$9,G5093,1)),"",IF((AND(RIGHT(G5093,2)=RIGHT('112'!$M$9,2),B5093&lt;'112'!$K$9,$O5093='112'!$I$6)),"x",""))</f>
        <v/>
      </c>
      <c r="W5093" s="75" t="str">
        <f>IF(AND('341-CT'!$H$9=H5093,OR(LEFT(N5093,3)=$W$7,LEFT(O5093,3)=$W$7)),"x","")</f>
        <v/>
      </c>
      <c r="X5093" s="75" t="str">
        <f>IF(OR(TH!N3978=TH!$X$7,O5093=TH!$X$7),"x","")</f>
        <v/>
      </c>
      <c r="Y5093" s="75" t="str">
        <f>IF(AND(OR(N5093="131",O5093="131"),H5093='131-CT'!$H$9),"x","")</f>
        <v/>
      </c>
      <c r="Z5093" s="75"/>
      <c r="AA5093" s="75" t="str">
        <f>IF(AND(MONTH(E5093)='IN-NX'!$J$5,'IN-NX'!$D$7=D5093),"x","")</f>
        <v/>
      </c>
      <c r="AB5093" s="75" t="str">
        <f>IF(AND(OR(LEFT(TH!N3978,2)="15",LEFT(TH!O3978,2)="15"),LEFT(TH!O3978,3)&lt;&gt;"111",'152-CT'!$J$8=TH!F3978),"x","")</f>
        <v/>
      </c>
      <c r="AC5093" s="75" t="str">
        <f>IF(AND(OR(LEFT(TH!N3978,2)="15",LEFT(TH!O3978,2)="15"),TK!$E$7=TH!F3978),"x","")</f>
        <v/>
      </c>
      <c r="AD5093" s="75" t="str">
        <f>IF(AND(N5093="1521",MONTH(C5093)='BK-NL'!$M$11),"x","")</f>
        <v/>
      </c>
      <c r="AE5093">
        <v>11</v>
      </c>
    </row>
    <row r="5094" spans="1:31" ht="16.5" customHeight="1">
      <c r="A5094" s="309" t="str">
        <f>IF(B5094&lt;&gt;"",IF(AND(B5094='IN-TC'!$S$4,OR(TH!N5082="1111",TH!O5082="1111")),TH!D5082,""),"")</f>
        <v/>
      </c>
      <c r="B5094" s="1244">
        <f t="shared" si="1344"/>
        <v>10</v>
      </c>
      <c r="C5094" s="292">
        <f t="shared" si="1343"/>
        <v>43015</v>
      </c>
      <c r="D5094" s="59" t="s">
        <v>903</v>
      </c>
      <c r="E5094" s="59">
        <v>43015</v>
      </c>
      <c r="F5094" s="62" t="s">
        <v>914</v>
      </c>
      <c r="G5094" s="62" t="s">
        <v>586</v>
      </c>
      <c r="H5094" s="67" t="s">
        <v>982</v>
      </c>
      <c r="I5094" s="375"/>
      <c r="J5094" s="382"/>
      <c r="K5094" s="375"/>
      <c r="L5094" s="381"/>
      <c r="M5094" s="60">
        <v>1477</v>
      </c>
      <c r="N5094" s="61" t="s">
        <v>26</v>
      </c>
      <c r="O5094" s="295" t="s">
        <v>43</v>
      </c>
      <c r="P5094" s="75" t="str">
        <f>IF(AND('331-CT'!$E$7=TH!H4423,OR(N5094="331",O5094="331")),"x","")</f>
        <v/>
      </c>
      <c r="Q5094" s="75" t="str">
        <f>IF(AND(B5094='111'!$L$11,OR($N5094=$Q$7,$O5094=$Q$7)),"x","")</f>
        <v/>
      </c>
      <c r="R5094" s="75" t="str">
        <f>IF(AND($N5094=$Q$7,$B5094&lt;'111'!$L$11),"x","")</f>
        <v/>
      </c>
      <c r="S5094" s="75" t="str">
        <f>IF(AND($O5094=$Q$7,$B5094&lt;'111'!$L$11),"x","")</f>
        <v/>
      </c>
      <c r="T5094" s="75" t="str">
        <f>IF(ISERROR(FIND('112'!$M$9,G5094,1)),"",IF((AND(FIND('112'!$M$9,G5094,1)&gt;=1,B5094='112'!$K$9,OR($N5094='112'!$I$6,$O5094='112'!$I$6))),"x",""))</f>
        <v/>
      </c>
      <c r="U5094" s="75" t="str">
        <f>IF(ISERROR(FIND('112'!$M$9,G5094,1)),"",IF((AND(LEFT(G5094,2)=LEFT('112'!$M$9,2),B5094&lt;'112'!$K$9,$N5094='112'!$I$6)),"x",""))</f>
        <v>x</v>
      </c>
      <c r="V5094" s="75" t="str">
        <f>IF(ISERROR(FIND('112'!$M$9,G5094,1)),"",IF((AND(RIGHT(G5094,2)=RIGHT('112'!$M$9,2),B5094&lt;'112'!$K$9,$O5094='112'!$I$6)),"x",""))</f>
        <v/>
      </c>
      <c r="W5094" s="75" t="str">
        <f>IF(AND('341-CT'!$H$9=H5094,OR(LEFT(N5094,3)=$W$7,LEFT(O5094,3)=$W$7)),"x","")</f>
        <v/>
      </c>
      <c r="X5094" s="75" t="str">
        <f>IF(OR(TH!N4423=TH!$X$7,O5094=TH!$X$7),"x","")</f>
        <v/>
      </c>
      <c r="Y5094" s="75" t="str">
        <f>IF(AND(OR(N5094="131",O5094="131"),H5094='131-CT'!$H$9),"x","")</f>
        <v/>
      </c>
      <c r="Z5094" s="75"/>
      <c r="AA5094" s="75" t="str">
        <f>IF(AND(MONTH(E5094)='IN-NX'!$J$5,'IN-NX'!$D$7=D5094),"x","")</f>
        <v/>
      </c>
      <c r="AB5094" s="75" t="str">
        <f>IF(AND(OR(LEFT(TH!N4423,2)="15",LEFT(TH!O4423,2)="15"),LEFT(TH!O4423,3)&lt;&gt;"111",'152-CT'!$J$8=TH!F4423),"x","")</f>
        <v/>
      </c>
      <c r="AC5094" s="75" t="str">
        <f>IF(AND(OR(LEFT(TH!N4423,2)="15",LEFT(TH!O4423,2)="15"),TK!$E$7=TH!F4423),"x","")</f>
        <v/>
      </c>
      <c r="AD5094" s="75" t="str">
        <f>IF(AND(N5094="1521",MONTH(C5094)='BK-NL'!$M$11),"x","")</f>
        <v/>
      </c>
    </row>
    <row r="5095" spans="1:31" ht="16.5" customHeight="1">
      <c r="A5095" s="309" t="str">
        <f>IF(B5095&lt;&gt;"",IF(AND(B5095='IN-TC'!$S$4,OR(TH!N5083="1111",TH!O5083="1111")),TH!D5083,""),"")</f>
        <v/>
      </c>
      <c r="B5095" s="1244">
        <f t="shared" si="1344"/>
        <v>10</v>
      </c>
      <c r="C5095" s="292">
        <f t="shared" si="1343"/>
        <v>43015</v>
      </c>
      <c r="D5095" s="59" t="s">
        <v>903</v>
      </c>
      <c r="E5095" s="59">
        <v>43015</v>
      </c>
      <c r="F5095" s="62" t="s">
        <v>1086</v>
      </c>
      <c r="G5095" s="62" t="s">
        <v>585</v>
      </c>
      <c r="H5095" s="311" t="s">
        <v>802</v>
      </c>
      <c r="I5095" s="373"/>
      <c r="J5095" s="382"/>
      <c r="K5095" s="373"/>
      <c r="L5095" s="379"/>
      <c r="M5095" s="60">
        <v>1436875000</v>
      </c>
      <c r="N5095" s="61" t="s">
        <v>26</v>
      </c>
      <c r="O5095" s="61" t="s">
        <v>536</v>
      </c>
      <c r="P5095" s="75" t="str">
        <f>IF(AND('331-CT'!$E$7=TH!H4851,OR(N5095="331",O5095="331")),"x","")</f>
        <v/>
      </c>
      <c r="Q5095" s="75" t="str">
        <f>IF(AND(B5095='111'!$L$11,OR($N5095=$Q$7,$O5095=$Q$7)),"x","")</f>
        <v/>
      </c>
      <c r="R5095" s="75" t="str">
        <f>IF(AND($N5095=$Q$7,$B5095&lt;'111'!$L$11),"x","")</f>
        <v/>
      </c>
      <c r="S5095" s="75" t="str">
        <f>IF(AND($O5095=$Q$7,$B5095&lt;'111'!$L$11),"x","")</f>
        <v/>
      </c>
      <c r="T5095" s="75" t="str">
        <f>IF(ISERROR(FIND('112'!$M$9,G5095,1)),"",IF((AND(FIND('112'!$M$9,G5095,1)&gt;=1,B5095='112'!$K$9,OR($N5095='112'!$I$6,$O5095='112'!$I$6))),"x",""))</f>
        <v/>
      </c>
      <c r="U5095" s="75" t="str">
        <f>IF(ISERROR(FIND('112'!$M$9,G5095,1)),"",IF((AND(LEFT(G5095,2)=LEFT('112'!$M$9,2),B5095&lt;'112'!$K$9,$N5095='112'!$I$6)),"x",""))</f>
        <v/>
      </c>
      <c r="V5095" s="75" t="str">
        <f>IF(ISERROR(FIND('112'!$M$9,G5095,1)),"",IF((AND(RIGHT(G5095,2)=RIGHT('112'!$M$9,2),B5095&lt;'112'!$K$9,$O5095='112'!$I$6)),"x",""))</f>
        <v/>
      </c>
      <c r="W5095" s="75" t="str">
        <f>IF(AND('341-CT'!$H$9=H5095,OR(LEFT(N5095,3)=$W$7,LEFT(O5095,3)=$W$7)),"x","")</f>
        <v/>
      </c>
      <c r="X5095" s="75" t="str">
        <f>IF(OR(TH!N4851=TH!$X$7,O5095=TH!$X$7),"x","")</f>
        <v/>
      </c>
      <c r="Y5095" s="75" t="str">
        <f>IF(AND(OR(N5095="131",O5095="131"),H5095='131-CT'!$H$9),"x","")</f>
        <v/>
      </c>
      <c r="Z5095" s="75"/>
      <c r="AA5095" s="75" t="str">
        <f>IF(AND(MONTH(E5095)='IN-NX'!$J$5,'IN-NX'!$D$7=D5095),"x","")</f>
        <v/>
      </c>
      <c r="AB5095" s="75" t="str">
        <f>IF(AND(OR(LEFT(TH!N4851,2)="15",LEFT(TH!O4851,2)="15"),LEFT(TH!O4851,3)&lt;&gt;"111",'152-CT'!$J$8=TH!F4851),"x","")</f>
        <v/>
      </c>
      <c r="AC5095" s="75" t="str">
        <f>IF(AND(OR(LEFT(TH!N4851,2)="15",LEFT(TH!O4851,2)="15"),TK!$E$7=TH!F4851),"x","")</f>
        <v/>
      </c>
      <c r="AD5095" s="75" t="str">
        <f>IF(AND(N5095="1521",MONTH(C5095)='BK-NL'!$M$11),"x","")</f>
        <v/>
      </c>
    </row>
    <row r="5096" spans="1:31" ht="16.5" customHeight="1">
      <c r="A5096" s="309" t="str">
        <f>IF(B5096&lt;&gt;"",IF(AND(B5096='IN-TC'!$S$4,OR(TH!N5084="1111",TH!O5084="1111")),TH!D5084,""),"")</f>
        <v/>
      </c>
      <c r="B5096" s="1244">
        <f t="shared" si="1344"/>
        <v>10</v>
      </c>
      <c r="C5096" s="292">
        <f t="shared" si="1343"/>
        <v>43016</v>
      </c>
      <c r="D5096" s="292"/>
      <c r="E5096" s="292">
        <v>43016</v>
      </c>
      <c r="F5096" s="67" t="s">
        <v>1328</v>
      </c>
      <c r="G5096" s="925" t="s">
        <v>2722</v>
      </c>
      <c r="H5096" s="294" t="s">
        <v>948</v>
      </c>
      <c r="I5096" s="373"/>
      <c r="J5096" s="926"/>
      <c r="K5096" s="373"/>
      <c r="L5096" s="379"/>
      <c r="M5096" s="927">
        <v>3272728</v>
      </c>
      <c r="N5096" s="295" t="s">
        <v>539</v>
      </c>
      <c r="O5096" s="295" t="s">
        <v>63</v>
      </c>
      <c r="P5096" s="75" t="str">
        <f>IF(AND('331-CT'!$E$7=TH!H3979,OR(N5096="331",O5096="331")),"x","")</f>
        <v/>
      </c>
      <c r="Q5096" s="75" t="str">
        <f>IF(AND(B5096='111'!$L$11,OR($N5096=$Q$7,$O5096=$Q$7)),"x","")</f>
        <v/>
      </c>
      <c r="R5096" s="75" t="str">
        <f>IF(AND($N5096=$Q$7,$B5096&lt;'111'!$L$11),"x","")</f>
        <v/>
      </c>
      <c r="S5096" s="75" t="str">
        <f>IF(AND($O5096=$Q$7,$B5096&lt;'111'!$L$11),"x","")</f>
        <v>x</v>
      </c>
      <c r="T5096" s="75" t="str">
        <f>IF(ISERROR(FIND('112'!$M$9,G5096,1)),"",IF((AND(FIND('112'!$M$9,G5096,1)&gt;=1,B5096='112'!$K$9,OR($N5096='112'!$I$6,$O5096='112'!$I$6))),"x",""))</f>
        <v/>
      </c>
      <c r="U5096" s="75" t="str">
        <f>IF(ISERROR(FIND('112'!$M$9,G5096,1)),"",IF((AND(LEFT(G5096,2)=LEFT('112'!$M$9,2),B5096&lt;'112'!$K$9,$N5096='112'!$I$6)),"x",""))</f>
        <v/>
      </c>
      <c r="V5096" s="75" t="str">
        <f>IF(ISERROR(FIND('112'!$M$9,G5096,1)),"",IF((AND(RIGHT(G5096,2)=RIGHT('112'!$M$9,2),B5096&lt;'112'!$K$9,$O5096='112'!$I$6)),"x",""))</f>
        <v/>
      </c>
      <c r="W5096" s="75" t="str">
        <f>IF(AND('341-CT'!$H$9=H5096,OR(LEFT(N5096,3)=$W$7,LEFT(O5096,3)=$W$7)),"x","")</f>
        <v/>
      </c>
      <c r="X5096" s="75" t="str">
        <f>IF(OR(TH!N3979=TH!$X$7,O5096=TH!$X$7),"x","")</f>
        <v/>
      </c>
      <c r="Y5096" s="75" t="str">
        <f>IF(AND(OR(N5096="131",O5096="131"),H5096='131-CT'!$H$9),"x","")</f>
        <v/>
      </c>
      <c r="Z5096" s="75"/>
      <c r="AA5096" s="75" t="str">
        <f>IF(AND(MONTH(E5096)='IN-NX'!$J$5,'IN-NX'!$D$7=D5096),"x","")</f>
        <v/>
      </c>
      <c r="AB5096" s="75" t="str">
        <f>IF(AND(OR(LEFT(TH!N3979,2)="15",LEFT(TH!O3979,2)="15"),LEFT(TH!O3979,3)&lt;&gt;"111",'152-CT'!$J$8=TH!F3979),"x","")</f>
        <v/>
      </c>
      <c r="AC5096" s="75" t="str">
        <f>IF(AND(OR(LEFT(TH!N3979,2)="15",LEFT(TH!O3979,2)="15"),TK!$E$7=TH!F3979),"x","")</f>
        <v/>
      </c>
      <c r="AD5096" s="75" t="str">
        <f>IF(AND(N5096="1521",MONTH(C5096)='BK-NL'!$M$11),"x","")</f>
        <v/>
      </c>
      <c r="AE5096">
        <v>11</v>
      </c>
    </row>
    <row r="5097" spans="1:31" ht="16.5" customHeight="1">
      <c r="A5097" s="309" t="str">
        <f>IF(B5097&lt;&gt;"",IF(AND(B5097='IN-TC'!$S$4,OR(TH!N5085="1111",TH!O5085="1111")),TH!D5085,""),"")</f>
        <v/>
      </c>
      <c r="B5097" s="1244">
        <f t="shared" si="1344"/>
        <v>10</v>
      </c>
      <c r="C5097" s="292">
        <f t="shared" si="1343"/>
        <v>43016</v>
      </c>
      <c r="D5097" s="292"/>
      <c r="E5097" s="292">
        <v>43016</v>
      </c>
      <c r="F5097" s="67" t="s">
        <v>1329</v>
      </c>
      <c r="G5097" s="925" t="s">
        <v>2722</v>
      </c>
      <c r="H5097" s="294" t="s">
        <v>948</v>
      </c>
      <c r="I5097" s="373"/>
      <c r="J5097" s="926"/>
      <c r="K5097" s="373"/>
      <c r="L5097" s="379"/>
      <c r="M5097" s="927">
        <v>327272</v>
      </c>
      <c r="N5097" s="295" t="s">
        <v>9</v>
      </c>
      <c r="O5097" s="295" t="s">
        <v>63</v>
      </c>
      <c r="P5097" s="75" t="str">
        <f>IF(AND('331-CT'!$E$7=TH!H3980,OR(N5097="331",O5097="331")),"x","")</f>
        <v/>
      </c>
      <c r="Q5097" s="75" t="str">
        <f>IF(AND(B5097='111'!$L$11,OR($N5097=$Q$7,$O5097=$Q$7)),"x","")</f>
        <v/>
      </c>
      <c r="R5097" s="75" t="str">
        <f>IF(AND($N5097=$Q$7,$B5097&lt;'111'!$L$11),"x","")</f>
        <v/>
      </c>
      <c r="S5097" s="75" t="str">
        <f>IF(AND($O5097=$Q$7,$B5097&lt;'111'!$L$11),"x","")</f>
        <v>x</v>
      </c>
      <c r="T5097" s="75" t="str">
        <f>IF(ISERROR(FIND('112'!$M$9,G5097,1)),"",IF((AND(FIND('112'!$M$9,G5097,1)&gt;=1,B5097='112'!$K$9,OR($N5097='112'!$I$6,$O5097='112'!$I$6))),"x",""))</f>
        <v/>
      </c>
      <c r="U5097" s="75" t="str">
        <f>IF(ISERROR(FIND('112'!$M$9,G5097,1)),"",IF((AND(LEFT(G5097,2)=LEFT('112'!$M$9,2),B5097&lt;'112'!$K$9,$N5097='112'!$I$6)),"x",""))</f>
        <v/>
      </c>
      <c r="V5097" s="75" t="str">
        <f>IF(ISERROR(FIND('112'!$M$9,G5097,1)),"",IF((AND(RIGHT(G5097,2)=RIGHT('112'!$M$9,2),B5097&lt;'112'!$K$9,$O5097='112'!$I$6)),"x",""))</f>
        <v/>
      </c>
      <c r="W5097" s="75" t="str">
        <f>IF(AND('341-CT'!$H$9=H5097,OR(LEFT(N5097,3)=$W$7,LEFT(O5097,3)=$W$7)),"x","")</f>
        <v/>
      </c>
      <c r="X5097" s="75" t="str">
        <f>IF(OR(TH!N3980=TH!$X$7,O5097=TH!$X$7),"x","")</f>
        <v/>
      </c>
      <c r="Y5097" s="75" t="str">
        <f>IF(AND(OR(N5097="131",O5097="131"),H5097='131-CT'!$H$9),"x","")</f>
        <v/>
      </c>
      <c r="Z5097" s="75"/>
      <c r="AA5097" s="75" t="str">
        <f>IF(AND(MONTH(E5097)='IN-NX'!$J$5,'IN-NX'!$D$7=D5097),"x","")</f>
        <v/>
      </c>
      <c r="AB5097" s="75" t="str">
        <f>IF(AND(OR(LEFT(TH!N3980,2)="15",LEFT(TH!O3980,2)="15"),LEFT(TH!O3980,3)&lt;&gt;"111",'152-CT'!$J$8=TH!F3980),"x","")</f>
        <v/>
      </c>
      <c r="AC5097" s="75" t="str">
        <f>IF(AND(OR(LEFT(TH!N3980,2)="15",LEFT(TH!O3980,2)="15"),TK!$E$7=TH!F3980),"x","")</f>
        <v/>
      </c>
      <c r="AD5097" s="75" t="str">
        <f>IF(AND(N5097="1521",MONTH(C5097)='BK-NL'!$M$11),"x","")</f>
        <v/>
      </c>
      <c r="AE5097">
        <v>11</v>
      </c>
    </row>
    <row r="5098" spans="1:31" ht="16.5" customHeight="1">
      <c r="A5098" s="309" t="str">
        <f>IF(B5098&lt;&gt;"",IF(AND(B5098='IN-TC'!$S$4,OR(TH!N5086="1111",TH!O5086="1111")),TH!D5086,""),"")</f>
        <v/>
      </c>
      <c r="B5098" s="1244">
        <f t="shared" si="1344"/>
        <v>10</v>
      </c>
      <c r="C5098" s="292">
        <f t="shared" si="1343"/>
        <v>43016</v>
      </c>
      <c r="D5098" s="292"/>
      <c r="E5098" s="292">
        <v>43016</v>
      </c>
      <c r="F5098" s="67" t="s">
        <v>1029</v>
      </c>
      <c r="G5098" s="925" t="s">
        <v>2732</v>
      </c>
      <c r="H5098" s="294" t="s">
        <v>948</v>
      </c>
      <c r="I5098" s="373"/>
      <c r="J5098" s="926"/>
      <c r="K5098" s="373"/>
      <c r="L5098" s="379"/>
      <c r="M5098" s="927">
        <v>1854545</v>
      </c>
      <c r="N5098" s="295" t="s">
        <v>539</v>
      </c>
      <c r="O5098" s="295" t="s">
        <v>63</v>
      </c>
      <c r="P5098" s="75" t="str">
        <f>IF(AND('331-CT'!$E$7=TH!H3981,OR(N5098="331",O5098="331")),"x","")</f>
        <v/>
      </c>
      <c r="Q5098" s="75" t="str">
        <f>IF(AND(B5098='111'!$L$11,OR($N5098=$Q$7,$O5098=$Q$7)),"x","")</f>
        <v/>
      </c>
      <c r="R5098" s="75" t="str">
        <f>IF(AND($N5098=$Q$7,$B5098&lt;'111'!$L$11),"x","")</f>
        <v/>
      </c>
      <c r="S5098" s="75" t="str">
        <f>IF(AND($O5098=$Q$7,$B5098&lt;'111'!$L$11),"x","")</f>
        <v>x</v>
      </c>
      <c r="T5098" s="75" t="str">
        <f>IF(ISERROR(FIND('112'!$M$9,G5098,1)),"",IF((AND(FIND('112'!$M$9,G5098,1)&gt;=1,B5098='112'!$K$9,OR($N5098='112'!$I$6,$O5098='112'!$I$6))),"x",""))</f>
        <v/>
      </c>
      <c r="U5098" s="75" t="str">
        <f>IF(ISERROR(FIND('112'!$M$9,G5098,1)),"",IF((AND(LEFT(G5098,2)=LEFT('112'!$M$9,2),B5098&lt;'112'!$K$9,$N5098='112'!$I$6)),"x",""))</f>
        <v/>
      </c>
      <c r="V5098" s="75" t="str">
        <f>IF(ISERROR(FIND('112'!$M$9,G5098,1)),"",IF((AND(RIGHT(G5098,2)=RIGHT('112'!$M$9,2),B5098&lt;'112'!$K$9,$O5098='112'!$I$6)),"x",""))</f>
        <v/>
      </c>
      <c r="W5098" s="75" t="str">
        <f>IF(AND('341-CT'!$H$9=H5098,OR(LEFT(N5098,3)=$W$7,LEFT(O5098,3)=$W$7)),"x","")</f>
        <v/>
      </c>
      <c r="X5098" s="75" t="str">
        <f>IF(OR(TH!N3981=TH!$X$7,O5098=TH!$X$7),"x","")</f>
        <v/>
      </c>
      <c r="Y5098" s="75" t="str">
        <f>IF(AND(OR(N5098="131",O5098="131"),H5098='131-CT'!$H$9),"x","")</f>
        <v/>
      </c>
      <c r="Z5098" s="75"/>
      <c r="AA5098" s="75" t="str">
        <f>IF(AND(MONTH(E5098)='IN-NX'!$J$5,'IN-NX'!$D$7=D5098),"x","")</f>
        <v/>
      </c>
      <c r="AB5098" s="75" t="str">
        <f>IF(AND(OR(LEFT(TH!N3981,2)="15",LEFT(TH!O3981,2)="15"),LEFT(TH!O3981,3)&lt;&gt;"111",'152-CT'!$J$8=TH!F3981),"x","")</f>
        <v/>
      </c>
      <c r="AC5098" s="75" t="str">
        <f>IF(AND(OR(LEFT(TH!N3981,2)="15",LEFT(TH!O3981,2)="15"),TK!$E$7=TH!F3981),"x","")</f>
        <v/>
      </c>
      <c r="AD5098" s="75" t="str">
        <f>IF(AND(N5098="1521",MONTH(C5098)='BK-NL'!$M$11),"x","")</f>
        <v/>
      </c>
      <c r="AE5098">
        <v>11</v>
      </c>
    </row>
    <row r="5099" spans="1:31" ht="16.5" customHeight="1">
      <c r="A5099" s="309" t="str">
        <f>IF(B5099&lt;&gt;"",IF(AND(B5099='IN-TC'!$S$4,OR(TH!N5087="1111",TH!O5087="1111")),TH!D5087,""),"")</f>
        <v/>
      </c>
      <c r="B5099" s="1244">
        <f t="shared" si="1344"/>
        <v>10</v>
      </c>
      <c r="C5099" s="292">
        <f t="shared" si="1343"/>
        <v>43016</v>
      </c>
      <c r="D5099" s="292"/>
      <c r="E5099" s="292">
        <v>43016</v>
      </c>
      <c r="F5099" s="67" t="s">
        <v>1030</v>
      </c>
      <c r="G5099" s="925" t="s">
        <v>2732</v>
      </c>
      <c r="H5099" s="294" t="s">
        <v>948</v>
      </c>
      <c r="I5099" s="373"/>
      <c r="J5099" s="926"/>
      <c r="K5099" s="373"/>
      <c r="L5099" s="379"/>
      <c r="M5099" s="927">
        <v>185455</v>
      </c>
      <c r="N5099" s="295" t="s">
        <v>9</v>
      </c>
      <c r="O5099" s="295" t="s">
        <v>63</v>
      </c>
      <c r="P5099" s="75" t="str">
        <f>IF(AND('331-CT'!$E$7=TH!H3982,OR(N5099="331",O5099="331")),"x","")</f>
        <v/>
      </c>
      <c r="Q5099" s="75" t="str">
        <f>IF(AND(B5099='111'!$L$11,OR($N5099=$Q$7,$O5099=$Q$7)),"x","")</f>
        <v/>
      </c>
      <c r="R5099" s="75" t="str">
        <f>IF(AND($N5099=$Q$7,$B5099&lt;'111'!$L$11),"x","")</f>
        <v/>
      </c>
      <c r="S5099" s="75" t="str">
        <f>IF(AND($O5099=$Q$7,$B5099&lt;'111'!$L$11),"x","")</f>
        <v>x</v>
      </c>
      <c r="T5099" s="75" t="str">
        <f>IF(ISERROR(FIND('112'!$M$9,G5099,1)),"",IF((AND(FIND('112'!$M$9,G5099,1)&gt;=1,B5099='112'!$K$9,OR($N5099='112'!$I$6,$O5099='112'!$I$6))),"x",""))</f>
        <v/>
      </c>
      <c r="U5099" s="75" t="str">
        <f>IF(ISERROR(FIND('112'!$M$9,G5099,1)),"",IF((AND(LEFT(G5099,2)=LEFT('112'!$M$9,2),B5099&lt;'112'!$K$9,$N5099='112'!$I$6)),"x",""))</f>
        <v/>
      </c>
      <c r="V5099" s="75" t="str">
        <f>IF(ISERROR(FIND('112'!$M$9,G5099,1)),"",IF((AND(RIGHT(G5099,2)=RIGHT('112'!$M$9,2),B5099&lt;'112'!$K$9,$O5099='112'!$I$6)),"x",""))</f>
        <v/>
      </c>
      <c r="W5099" s="75" t="str">
        <f>IF(AND('341-CT'!$H$9=H5099,OR(LEFT(N5099,3)=$W$7,LEFT(O5099,3)=$W$7)),"x","")</f>
        <v/>
      </c>
      <c r="X5099" s="75" t="str">
        <f>IF(OR(TH!N3982=TH!$X$7,O5099=TH!$X$7),"x","")</f>
        <v/>
      </c>
      <c r="Y5099" s="75" t="str">
        <f>IF(AND(OR(N5099="131",O5099="131"),H5099='131-CT'!$H$9),"x","")</f>
        <v/>
      </c>
      <c r="Z5099" s="75"/>
      <c r="AA5099" s="75" t="str">
        <f>IF(AND(MONTH(E5099)='IN-NX'!$J$5,'IN-NX'!$D$7=D5099),"x","")</f>
        <v/>
      </c>
      <c r="AB5099" s="75" t="str">
        <f>IF(AND(OR(LEFT(TH!N3982,2)="15",LEFT(TH!O3982,2)="15"),LEFT(TH!O3982,3)&lt;&gt;"111",'152-CT'!$J$8=TH!F3982),"x","")</f>
        <v/>
      </c>
      <c r="AC5099" s="75" t="str">
        <f>IF(AND(OR(LEFT(TH!N3982,2)="15",LEFT(TH!O3982,2)="15"),TK!$E$7=TH!F3982),"x","")</f>
        <v/>
      </c>
      <c r="AD5099" s="75" t="str">
        <f>IF(AND(N5099="1521",MONTH(C5099)='BK-NL'!$M$11),"x","")</f>
        <v/>
      </c>
      <c r="AE5099">
        <v>11</v>
      </c>
    </row>
    <row r="5100" spans="1:31" ht="16.5" customHeight="1">
      <c r="A5100" s="309" t="str">
        <f>IF(B5100&lt;&gt;"",IF(AND(B5100='IN-TC'!$S$4,OR(TH!N5088="1111",TH!O5088="1111")),TH!D5088,""),"")</f>
        <v/>
      </c>
      <c r="B5100" s="1244">
        <f t="shared" si="1344"/>
        <v>10</v>
      </c>
      <c r="C5100" s="292">
        <f t="shared" si="1343"/>
        <v>43017</v>
      </c>
      <c r="D5100" s="59" t="s">
        <v>846</v>
      </c>
      <c r="E5100" s="59">
        <v>43017</v>
      </c>
      <c r="F5100" s="62" t="s">
        <v>834</v>
      </c>
      <c r="G5100" s="62" t="s">
        <v>585</v>
      </c>
      <c r="H5100" s="67" t="s">
        <v>1023</v>
      </c>
      <c r="I5100" s="373"/>
      <c r="J5100" s="382"/>
      <c r="K5100" s="373"/>
      <c r="L5100" s="379"/>
      <c r="M5100" s="60">
        <v>1436000000</v>
      </c>
      <c r="N5100" s="61" t="s">
        <v>63</v>
      </c>
      <c r="O5100" s="61" t="s">
        <v>26</v>
      </c>
      <c r="P5100" s="75" t="str">
        <f>IF(AND('331-CT'!$E$7=TH!H4845,OR(N5100="331",O5100="331")),"x","")</f>
        <v/>
      </c>
      <c r="Q5100" s="75" t="str">
        <f>IF(AND(B5100='111'!$L$11,OR($N5100=$Q$7,$O5100=$Q$7)),"x","")</f>
        <v/>
      </c>
      <c r="R5100" s="75" t="str">
        <f>IF(AND($N5100=$Q$7,$B5100&lt;'111'!$L$11),"x","")</f>
        <v>x</v>
      </c>
      <c r="S5100" s="75" t="str">
        <f>IF(AND($O5100=$Q$7,$B5100&lt;'111'!$L$11),"x","")</f>
        <v/>
      </c>
      <c r="T5100" s="75" t="str">
        <f>IF(ISERROR(FIND('112'!$M$9,G5100,1)),"",IF((AND(FIND('112'!$M$9,G5100,1)&gt;=1,B5100='112'!$K$9,OR($N5100='112'!$I$6,$O5100='112'!$I$6))),"x",""))</f>
        <v/>
      </c>
      <c r="U5100" s="75" t="str">
        <f>IF(ISERROR(FIND('112'!$M$9,G5100,1)),"",IF((AND(LEFT(G5100,2)=LEFT('112'!$M$9,2),B5100&lt;'112'!$K$9,$N5100='112'!$I$6)),"x",""))</f>
        <v/>
      </c>
      <c r="V5100" s="75" t="str">
        <f>IF(ISERROR(FIND('112'!$M$9,G5100,1)),"",IF((AND(RIGHT(G5100,2)=RIGHT('112'!$M$9,2),B5100&lt;'112'!$K$9,$O5100='112'!$I$6)),"x",""))</f>
        <v/>
      </c>
      <c r="W5100" s="75" t="str">
        <f>IF(AND('341-CT'!$H$9=H5100,OR(LEFT(N5100,3)=$W$7,LEFT(O5100,3)=$W$7)),"x","")</f>
        <v/>
      </c>
      <c r="X5100" s="75" t="str">
        <f>IF(OR(TH!N4845=TH!$X$7,O5100=TH!$X$7),"x","")</f>
        <v/>
      </c>
      <c r="Y5100" s="75" t="str">
        <f>IF(AND(OR(N5100="131",O5100="131"),H5100='131-CT'!$H$9),"x","")</f>
        <v/>
      </c>
      <c r="Z5100" s="75"/>
      <c r="AA5100" s="75" t="str">
        <f>IF(AND(MONTH(E5100)='IN-NX'!$J$5,'IN-NX'!$D$7=D5100),"x","")</f>
        <v/>
      </c>
      <c r="AB5100" s="75" t="str">
        <f>IF(AND(OR(LEFT(TH!N4845,2)="15",LEFT(TH!O4845,2)="15"),LEFT(TH!O4845,3)&lt;&gt;"111",'152-CT'!$J$8=TH!F4845),"x","")</f>
        <v/>
      </c>
      <c r="AC5100" s="75" t="str">
        <f>IF(AND(OR(LEFT(TH!N4845,2)="15",LEFT(TH!O4845,2)="15"),TK!$E$7=TH!F4845),"x","")</f>
        <v/>
      </c>
      <c r="AD5100" s="75" t="str">
        <f>IF(AND(N5100="1521",MONTH(C5100)='BK-NL'!$M$11),"x","")</f>
        <v/>
      </c>
    </row>
    <row r="5101" spans="1:31" ht="16.5" customHeight="1">
      <c r="A5101" s="309" t="str">
        <f>IF(B5101&lt;&gt;"",IF(AND(B5101='IN-TC'!$S$4,OR(TH!N5089="1111",TH!O5089="1111")),TH!D5089,""),"")</f>
        <v/>
      </c>
      <c r="B5101" s="1244">
        <f t="shared" si="1344"/>
        <v>10</v>
      </c>
      <c r="C5101" s="292">
        <f t="shared" si="1343"/>
        <v>43017</v>
      </c>
      <c r="D5101" s="292"/>
      <c r="E5101" s="292">
        <v>43017</v>
      </c>
      <c r="F5101" s="67" t="s">
        <v>221</v>
      </c>
      <c r="G5101" s="925" t="s">
        <v>2496</v>
      </c>
      <c r="H5101" s="294" t="s">
        <v>556</v>
      </c>
      <c r="I5101" s="373"/>
      <c r="J5101" s="926"/>
      <c r="K5101" s="373"/>
      <c r="L5101" s="379"/>
      <c r="M5101" s="927">
        <v>11386364</v>
      </c>
      <c r="N5101" s="295" t="s">
        <v>272</v>
      </c>
      <c r="O5101" s="295" t="s">
        <v>63</v>
      </c>
      <c r="P5101" s="75" t="str">
        <f>IF(AND('331-CT'!$E$7=TH!H3983,OR(N5101="331",O5101="331")),"x","")</f>
        <v/>
      </c>
      <c r="Q5101" s="75" t="str">
        <f>IF(AND(B5101='111'!$L$11,OR($N5101=$Q$7,$O5101=$Q$7)),"x","")</f>
        <v/>
      </c>
      <c r="R5101" s="75" t="str">
        <f>IF(AND($N5101=$Q$7,$B5101&lt;'111'!$L$11),"x","")</f>
        <v/>
      </c>
      <c r="S5101" s="75" t="str">
        <f>IF(AND($O5101=$Q$7,$B5101&lt;'111'!$L$11),"x","")</f>
        <v>x</v>
      </c>
      <c r="T5101" s="75" t="str">
        <f>IF(ISERROR(FIND('112'!$M$9,G5101,1)),"",IF((AND(FIND('112'!$M$9,G5101,1)&gt;=1,B5101='112'!$K$9,OR($N5101='112'!$I$6,$O5101='112'!$I$6))),"x",""))</f>
        <v/>
      </c>
      <c r="U5101" s="75" t="str">
        <f>IF(ISERROR(FIND('112'!$M$9,G5101,1)),"",IF((AND(LEFT(G5101,2)=LEFT('112'!$M$9,2),B5101&lt;'112'!$K$9,$N5101='112'!$I$6)),"x",""))</f>
        <v/>
      </c>
      <c r="V5101" s="75" t="str">
        <f>IF(ISERROR(FIND('112'!$M$9,G5101,1)),"",IF((AND(RIGHT(G5101,2)=RIGHT('112'!$M$9,2),B5101&lt;'112'!$K$9,$O5101='112'!$I$6)),"x",""))</f>
        <v/>
      </c>
      <c r="W5101" s="75" t="str">
        <f>IF(AND('341-CT'!$H$9=H5101,OR(LEFT(N5101,3)=$W$7,LEFT(O5101,3)=$W$7)),"x","")</f>
        <v/>
      </c>
      <c r="X5101" s="75" t="str">
        <f>IF(OR(TH!N3983=TH!$X$7,O5101=TH!$X$7),"x","")</f>
        <v/>
      </c>
      <c r="Y5101" s="75" t="str">
        <f>IF(AND(OR(N5101="131",O5101="131"),H5101='131-CT'!$H$9),"x","")</f>
        <v/>
      </c>
      <c r="Z5101" s="75"/>
      <c r="AA5101" s="75" t="str">
        <f>IF(AND(MONTH(E5101)='IN-NX'!$J$5,'IN-NX'!$D$7=D5101),"x","")</f>
        <v/>
      </c>
      <c r="AB5101" s="75" t="str">
        <f>IF(AND(OR(LEFT(TH!N3983,2)="15",LEFT(TH!O3983,2)="15"),LEFT(TH!O3983,3)&lt;&gt;"111",'152-CT'!$J$8=TH!F3983),"x","")</f>
        <v/>
      </c>
      <c r="AC5101" s="75" t="str">
        <f>IF(AND(OR(LEFT(TH!N3983,2)="15",LEFT(TH!O3983,2)="15"),TK!$E$7=TH!F3983),"x","")</f>
        <v/>
      </c>
      <c r="AD5101" s="75" t="str">
        <f>IF(AND(N5101="1521",MONTH(C5101)='BK-NL'!$M$11),"x","")</f>
        <v/>
      </c>
      <c r="AE5101">
        <v>10</v>
      </c>
    </row>
    <row r="5102" spans="1:31" ht="16.5" customHeight="1">
      <c r="A5102" s="309" t="str">
        <f>IF(B5102&lt;&gt;"",IF(AND(B5102='IN-TC'!$S$4,OR(TH!N5090="1111",TH!O5090="1111")),TH!D5090,""),"")</f>
        <v/>
      </c>
      <c r="B5102" s="1244">
        <f t="shared" si="1344"/>
        <v>10</v>
      </c>
      <c r="C5102" s="292">
        <f t="shared" si="1343"/>
        <v>43017</v>
      </c>
      <c r="D5102" s="292"/>
      <c r="E5102" s="292">
        <v>43017</v>
      </c>
      <c r="F5102" s="67" t="s">
        <v>943</v>
      </c>
      <c r="G5102" s="925" t="s">
        <v>2496</v>
      </c>
      <c r="H5102" s="294" t="s">
        <v>556</v>
      </c>
      <c r="I5102" s="373"/>
      <c r="J5102" s="926"/>
      <c r="K5102" s="373"/>
      <c r="L5102" s="379"/>
      <c r="M5102" s="927">
        <v>1138636</v>
      </c>
      <c r="N5102" s="295" t="s">
        <v>9</v>
      </c>
      <c r="O5102" s="295" t="s">
        <v>63</v>
      </c>
      <c r="P5102" s="75" t="str">
        <f>IF(AND('331-CT'!$E$7=TH!H3984,OR(N5102="331",O5102="331")),"x","")</f>
        <v/>
      </c>
      <c r="Q5102" s="75" t="str">
        <f>IF(AND(B5102='111'!$L$11,OR($N5102=$Q$7,$O5102=$Q$7)),"x","")</f>
        <v/>
      </c>
      <c r="R5102" s="75" t="str">
        <f>IF(AND($N5102=$Q$7,$B5102&lt;'111'!$L$11),"x","")</f>
        <v/>
      </c>
      <c r="S5102" s="75" t="str">
        <f>IF(AND($O5102=$Q$7,$B5102&lt;'111'!$L$11),"x","")</f>
        <v>x</v>
      </c>
      <c r="T5102" s="75" t="str">
        <f>IF(ISERROR(FIND('112'!$M$9,G5102,1)),"",IF((AND(FIND('112'!$M$9,G5102,1)&gt;=1,B5102='112'!$K$9,OR($N5102='112'!$I$6,$O5102='112'!$I$6))),"x",""))</f>
        <v/>
      </c>
      <c r="U5102" s="75" t="str">
        <f>IF(ISERROR(FIND('112'!$M$9,G5102,1)),"",IF((AND(LEFT(G5102,2)=LEFT('112'!$M$9,2),B5102&lt;'112'!$K$9,$N5102='112'!$I$6)),"x",""))</f>
        <v/>
      </c>
      <c r="V5102" s="75" t="str">
        <f>IF(ISERROR(FIND('112'!$M$9,G5102,1)),"",IF((AND(RIGHT(G5102,2)=RIGHT('112'!$M$9,2),B5102&lt;'112'!$K$9,$O5102='112'!$I$6)),"x",""))</f>
        <v/>
      </c>
      <c r="W5102" s="75" t="str">
        <f>IF(AND('341-CT'!$H$9=H5102,OR(LEFT(N5102,3)=$W$7,LEFT(O5102,3)=$W$7)),"x","")</f>
        <v/>
      </c>
      <c r="X5102" s="75" t="str">
        <f>IF(OR(TH!N3984=TH!$X$7,O5102=TH!$X$7),"x","")</f>
        <v/>
      </c>
      <c r="Y5102" s="75" t="str">
        <f>IF(AND(OR(N5102="131",O5102="131"),H5102='131-CT'!$H$9),"x","")</f>
        <v/>
      </c>
      <c r="Z5102" s="75"/>
      <c r="AA5102" s="75" t="str">
        <f>IF(AND(MONTH(E5102)='IN-NX'!$J$5,'IN-NX'!$D$7=D5102),"x","")</f>
        <v/>
      </c>
      <c r="AB5102" s="75" t="str">
        <f>IF(AND(OR(LEFT(TH!N3984,2)="15",LEFT(TH!O3984,2)="15"),LEFT(TH!O3984,3)&lt;&gt;"111",'152-CT'!$J$8=TH!F3984),"x","")</f>
        <v/>
      </c>
      <c r="AC5102" s="75" t="str">
        <f>IF(AND(OR(LEFT(TH!N3984,2)="15",LEFT(TH!O3984,2)="15"),TK!$E$7=TH!F3984),"x","")</f>
        <v/>
      </c>
      <c r="AD5102" s="75" t="str">
        <f>IF(AND(N5102="1521",MONTH(C5102)='BK-NL'!$M$11),"x","")</f>
        <v/>
      </c>
      <c r="AE5102">
        <v>10</v>
      </c>
    </row>
    <row r="5103" spans="1:31" ht="16.5" customHeight="1">
      <c r="A5103" s="309" t="str">
        <f>IF(B5103&lt;&gt;"",IF(AND(B5103='IN-TC'!$S$4,OR(TH!N5091="1111",TH!O5091="1111")),TH!D5091,""),"")</f>
        <v/>
      </c>
      <c r="B5103" s="1244">
        <f t="shared" si="1344"/>
        <v>10</v>
      </c>
      <c r="C5103" s="292">
        <f t="shared" si="1343"/>
        <v>43017</v>
      </c>
      <c r="D5103" s="292"/>
      <c r="E5103" s="292">
        <v>43017</v>
      </c>
      <c r="F5103" s="67" t="s">
        <v>1029</v>
      </c>
      <c r="G5103" s="925" t="s">
        <v>2733</v>
      </c>
      <c r="H5103" s="294" t="s">
        <v>948</v>
      </c>
      <c r="I5103" s="373"/>
      <c r="J5103" s="926"/>
      <c r="K5103" s="373"/>
      <c r="L5103" s="379"/>
      <c r="M5103" s="927">
        <v>1854545</v>
      </c>
      <c r="N5103" s="295" t="s">
        <v>539</v>
      </c>
      <c r="O5103" s="295" t="s">
        <v>63</v>
      </c>
      <c r="P5103" s="75" t="str">
        <f>IF(AND('331-CT'!$E$7=TH!H3985,OR(N5103="331",O5103="331")),"x","")</f>
        <v/>
      </c>
      <c r="Q5103" s="75" t="str">
        <f>IF(AND(B5103='111'!$L$11,OR($N5103=$Q$7,$O5103=$Q$7)),"x","")</f>
        <v/>
      </c>
      <c r="R5103" s="75" t="str">
        <f>IF(AND($N5103=$Q$7,$B5103&lt;'111'!$L$11),"x","")</f>
        <v/>
      </c>
      <c r="S5103" s="75" t="str">
        <f>IF(AND($O5103=$Q$7,$B5103&lt;'111'!$L$11),"x","")</f>
        <v>x</v>
      </c>
      <c r="T5103" s="75" t="str">
        <f>IF(ISERROR(FIND('112'!$M$9,G5103,1)),"",IF((AND(FIND('112'!$M$9,G5103,1)&gt;=1,B5103='112'!$K$9,OR($N5103='112'!$I$6,$O5103='112'!$I$6))),"x",""))</f>
        <v/>
      </c>
      <c r="U5103" s="75" t="str">
        <f>IF(ISERROR(FIND('112'!$M$9,G5103,1)),"",IF((AND(LEFT(G5103,2)=LEFT('112'!$M$9,2),B5103&lt;'112'!$K$9,$N5103='112'!$I$6)),"x",""))</f>
        <v/>
      </c>
      <c r="V5103" s="75" t="str">
        <f>IF(ISERROR(FIND('112'!$M$9,G5103,1)),"",IF((AND(RIGHT(G5103,2)=RIGHT('112'!$M$9,2),B5103&lt;'112'!$K$9,$O5103='112'!$I$6)),"x",""))</f>
        <v/>
      </c>
      <c r="W5103" s="75" t="str">
        <f>IF(AND('341-CT'!$H$9=H5103,OR(LEFT(N5103,3)=$W$7,LEFT(O5103,3)=$W$7)),"x","")</f>
        <v/>
      </c>
      <c r="X5103" s="75" t="str">
        <f>IF(OR(TH!N3985=TH!$X$7,O5103=TH!$X$7),"x","")</f>
        <v/>
      </c>
      <c r="Y5103" s="75" t="str">
        <f>IF(AND(OR(N5103="131",O5103="131"),H5103='131-CT'!$H$9),"x","")</f>
        <v/>
      </c>
      <c r="Z5103" s="75"/>
      <c r="AA5103" s="75" t="str">
        <f>IF(AND(MONTH(E5103)='IN-NX'!$J$5,'IN-NX'!$D$7=D5103),"x","")</f>
        <v/>
      </c>
      <c r="AB5103" s="75" t="str">
        <f>IF(AND(OR(LEFT(TH!N3985,2)="15",LEFT(TH!O3985,2)="15"),LEFT(TH!O3985,3)&lt;&gt;"111",'152-CT'!$J$8=TH!F3985),"x","")</f>
        <v/>
      </c>
      <c r="AC5103" s="75" t="str">
        <f>IF(AND(OR(LEFT(TH!N3985,2)="15",LEFT(TH!O3985,2)="15"),TK!$E$7=TH!F3985),"x","")</f>
        <v/>
      </c>
      <c r="AD5103" s="75" t="str">
        <f>IF(AND(N5103="1521",MONTH(C5103)='BK-NL'!$M$11),"x","")</f>
        <v/>
      </c>
      <c r="AE5103">
        <v>11</v>
      </c>
    </row>
    <row r="5104" spans="1:31" ht="16.5" customHeight="1">
      <c r="A5104" s="309" t="str">
        <f>IF(B5104&lt;&gt;"",IF(AND(B5104='IN-TC'!$S$4,OR(TH!N5092="1111",TH!O5092="1111")),TH!D5092,""),"")</f>
        <v/>
      </c>
      <c r="B5104" s="1244">
        <f t="shared" si="1344"/>
        <v>10</v>
      </c>
      <c r="C5104" s="292">
        <f t="shared" si="1343"/>
        <v>43017</v>
      </c>
      <c r="D5104" s="292"/>
      <c r="E5104" s="292">
        <v>43017</v>
      </c>
      <c r="F5104" s="67" t="s">
        <v>1030</v>
      </c>
      <c r="G5104" s="925" t="s">
        <v>2733</v>
      </c>
      <c r="H5104" s="294" t="s">
        <v>948</v>
      </c>
      <c r="I5104" s="373"/>
      <c r="J5104" s="926"/>
      <c r="K5104" s="373"/>
      <c r="L5104" s="379"/>
      <c r="M5104" s="927">
        <v>185455</v>
      </c>
      <c r="N5104" s="295" t="s">
        <v>9</v>
      </c>
      <c r="O5104" s="295" t="s">
        <v>63</v>
      </c>
      <c r="P5104" s="75" t="str">
        <f>IF(AND('331-CT'!$E$7=TH!H3986,OR(N5104="331",O5104="331")),"x","")</f>
        <v/>
      </c>
      <c r="Q5104" s="75" t="str">
        <f>IF(AND(B5104='111'!$L$11,OR($N5104=$Q$7,$O5104=$Q$7)),"x","")</f>
        <v/>
      </c>
      <c r="R5104" s="75" t="str">
        <f>IF(AND($N5104=$Q$7,$B5104&lt;'111'!$L$11),"x","")</f>
        <v/>
      </c>
      <c r="S5104" s="75" t="str">
        <f>IF(AND($O5104=$Q$7,$B5104&lt;'111'!$L$11),"x","")</f>
        <v>x</v>
      </c>
      <c r="T5104" s="75" t="str">
        <f>IF(ISERROR(FIND('112'!$M$9,G5104,1)),"",IF((AND(FIND('112'!$M$9,G5104,1)&gt;=1,B5104='112'!$K$9,OR($N5104='112'!$I$6,$O5104='112'!$I$6))),"x",""))</f>
        <v/>
      </c>
      <c r="U5104" s="75" t="str">
        <f>IF(ISERROR(FIND('112'!$M$9,G5104,1)),"",IF((AND(LEFT(G5104,2)=LEFT('112'!$M$9,2),B5104&lt;'112'!$K$9,$N5104='112'!$I$6)),"x",""))</f>
        <v/>
      </c>
      <c r="V5104" s="75" t="str">
        <f>IF(ISERROR(FIND('112'!$M$9,G5104,1)),"",IF((AND(RIGHT(G5104,2)=RIGHT('112'!$M$9,2),B5104&lt;'112'!$K$9,$O5104='112'!$I$6)),"x",""))</f>
        <v/>
      </c>
      <c r="W5104" s="75" t="str">
        <f>IF(AND('341-CT'!$H$9=H5104,OR(LEFT(N5104,3)=$W$7,LEFT(O5104,3)=$W$7)),"x","")</f>
        <v/>
      </c>
      <c r="X5104" s="75" t="str">
        <f>IF(OR(TH!N3986=TH!$X$7,O5104=TH!$X$7),"x","")</f>
        <v/>
      </c>
      <c r="Y5104" s="75" t="str">
        <f>IF(AND(OR(N5104="131",O5104="131"),H5104='131-CT'!$H$9),"x","")</f>
        <v/>
      </c>
      <c r="Z5104" s="75"/>
      <c r="AA5104" s="75" t="str">
        <f>IF(AND(MONTH(E5104)='IN-NX'!$J$5,'IN-NX'!$D$7=D5104),"x","")</f>
        <v/>
      </c>
      <c r="AB5104" s="75" t="str">
        <f>IF(AND(OR(LEFT(TH!N3986,2)="15",LEFT(TH!O3986,2)="15"),LEFT(TH!O3986,3)&lt;&gt;"111",'152-CT'!$J$8=TH!F3986),"x","")</f>
        <v/>
      </c>
      <c r="AC5104" s="75" t="str">
        <f>IF(AND(OR(LEFT(TH!N3986,2)="15",LEFT(TH!O3986,2)="15"),TK!$E$7=TH!F3986),"x","")</f>
        <v/>
      </c>
      <c r="AD5104" s="75" t="str">
        <f>IF(AND(N5104="1521",MONTH(C5104)='BK-NL'!$M$11),"x","")</f>
        <v/>
      </c>
      <c r="AE5104">
        <v>11</v>
      </c>
    </row>
    <row r="5105" spans="1:31" ht="16.5" customHeight="1">
      <c r="A5105" s="309" t="str">
        <f>IF(B5105&lt;&gt;"",IF(AND(B5105='IN-TC'!$S$4,OR(TH!N5093="1111",TH!O5093="1111")),TH!D5093,""),"")</f>
        <v/>
      </c>
      <c r="B5105" s="1244">
        <f t="shared" si="1344"/>
        <v>10</v>
      </c>
      <c r="C5105" s="292">
        <f t="shared" si="1343"/>
        <v>43018</v>
      </c>
      <c r="D5105" s="59" t="s">
        <v>850</v>
      </c>
      <c r="E5105" s="59">
        <v>43018</v>
      </c>
      <c r="F5105" s="62" t="s">
        <v>834</v>
      </c>
      <c r="G5105" s="62" t="s">
        <v>585</v>
      </c>
      <c r="H5105" s="67" t="s">
        <v>1023</v>
      </c>
      <c r="I5105" s="373"/>
      <c r="J5105" s="382"/>
      <c r="K5105" s="373"/>
      <c r="L5105" s="379"/>
      <c r="M5105" s="60">
        <v>1436000000</v>
      </c>
      <c r="N5105" s="61" t="s">
        <v>63</v>
      </c>
      <c r="O5105" s="61" t="s">
        <v>26</v>
      </c>
      <c r="P5105" s="75" t="str">
        <f>IF(AND('331-CT'!$E$7=TH!H4852,OR(N5105="331",O5105="331")),"x","")</f>
        <v/>
      </c>
      <c r="Q5105" s="75" t="str">
        <f>IF(AND(B5105='111'!$L$11,OR($N5105=$Q$7,$O5105=$Q$7)),"x","")</f>
        <v/>
      </c>
      <c r="R5105" s="75" t="str">
        <f>IF(AND($N5105=$Q$7,$B5105&lt;'111'!$L$11),"x","")</f>
        <v>x</v>
      </c>
      <c r="S5105" s="75" t="str">
        <f>IF(AND($O5105=$Q$7,$B5105&lt;'111'!$L$11),"x","")</f>
        <v/>
      </c>
      <c r="T5105" s="75" t="str">
        <f>IF(ISERROR(FIND('112'!$M$9,G5105,1)),"",IF((AND(FIND('112'!$M$9,G5105,1)&gt;=1,B5105='112'!$K$9,OR($N5105='112'!$I$6,$O5105='112'!$I$6))),"x",""))</f>
        <v/>
      </c>
      <c r="U5105" s="75" t="str">
        <f>IF(ISERROR(FIND('112'!$M$9,G5105,1)),"",IF((AND(LEFT(G5105,2)=LEFT('112'!$M$9,2),B5105&lt;'112'!$K$9,$N5105='112'!$I$6)),"x",""))</f>
        <v/>
      </c>
      <c r="V5105" s="75" t="str">
        <f>IF(ISERROR(FIND('112'!$M$9,G5105,1)),"",IF((AND(RIGHT(G5105,2)=RIGHT('112'!$M$9,2),B5105&lt;'112'!$K$9,$O5105='112'!$I$6)),"x",""))</f>
        <v/>
      </c>
      <c r="W5105" s="75" t="str">
        <f>IF(AND('341-CT'!$H$9=H5105,OR(LEFT(N5105,3)=$W$7,LEFT(O5105,3)=$W$7)),"x","")</f>
        <v/>
      </c>
      <c r="X5105" s="75" t="str">
        <f>IF(OR(TH!N4852=TH!$X$7,O5105=TH!$X$7),"x","")</f>
        <v/>
      </c>
      <c r="Y5105" s="75" t="str">
        <f>IF(AND(OR(N5105="131",O5105="131"),H5105='131-CT'!$H$9),"x","")</f>
        <v/>
      </c>
      <c r="Z5105" s="75"/>
      <c r="AA5105" s="75" t="str">
        <f>IF(AND(MONTH(E5105)='IN-NX'!$J$5,'IN-NX'!$D$7=D5105),"x","")</f>
        <v/>
      </c>
      <c r="AB5105" s="75" t="str">
        <f>IF(AND(OR(LEFT(TH!N4852,2)="15",LEFT(TH!O4852,2)="15"),LEFT(TH!O4852,3)&lt;&gt;"111",'152-CT'!$J$8=TH!F4852),"x","")</f>
        <v/>
      </c>
      <c r="AC5105" s="75" t="str">
        <f>IF(AND(OR(LEFT(TH!N4852,2)="15",LEFT(TH!O4852,2)="15"),TK!$E$7=TH!F4852),"x","")</f>
        <v/>
      </c>
      <c r="AD5105" s="75" t="str">
        <f>IF(AND(N5105="1521",MONTH(C5105)='BK-NL'!$M$11),"x","")</f>
        <v/>
      </c>
    </row>
    <row r="5106" spans="1:31" ht="16.5" customHeight="1">
      <c r="A5106" s="309" t="str">
        <f>IF(B5106&lt;&gt;"",IF(AND(B5106='IN-TC'!$S$4,OR(TH!N5094="1111",TH!O5094="1111")),TH!D5094,""),"")</f>
        <v/>
      </c>
      <c r="B5106" s="1244">
        <f t="shared" si="1344"/>
        <v>10</v>
      </c>
      <c r="C5106" s="292">
        <f t="shared" si="1343"/>
        <v>43018</v>
      </c>
      <c r="D5106" s="59" t="s">
        <v>903</v>
      </c>
      <c r="E5106" s="59">
        <v>43018</v>
      </c>
      <c r="F5106" s="62" t="s">
        <v>1086</v>
      </c>
      <c r="G5106" s="62" t="s">
        <v>585</v>
      </c>
      <c r="H5106" s="311" t="s">
        <v>802</v>
      </c>
      <c r="I5106" s="373"/>
      <c r="J5106" s="382"/>
      <c r="K5106" s="373"/>
      <c r="L5106" s="379"/>
      <c r="M5106" s="60">
        <v>1436875000</v>
      </c>
      <c r="N5106" s="61" t="s">
        <v>26</v>
      </c>
      <c r="O5106" s="61" t="s">
        <v>536</v>
      </c>
      <c r="P5106" s="75" t="str">
        <f>IF(AND('331-CT'!$E$7=TH!H4853,OR(N5106="331",O5106="331")),"x","")</f>
        <v/>
      </c>
      <c r="Q5106" s="75" t="str">
        <f>IF(AND(B5106='111'!$L$11,OR($N5106=$Q$7,$O5106=$Q$7)),"x","")</f>
        <v/>
      </c>
      <c r="R5106" s="75" t="str">
        <f>IF(AND($N5106=$Q$7,$B5106&lt;'111'!$L$11),"x","")</f>
        <v/>
      </c>
      <c r="S5106" s="75" t="str">
        <f>IF(AND($O5106=$Q$7,$B5106&lt;'111'!$L$11),"x","")</f>
        <v/>
      </c>
      <c r="T5106" s="75" t="str">
        <f>IF(ISERROR(FIND('112'!$M$9,G5106,1)),"",IF((AND(FIND('112'!$M$9,G5106,1)&gt;=1,B5106='112'!$K$9,OR($N5106='112'!$I$6,$O5106='112'!$I$6))),"x",""))</f>
        <v/>
      </c>
      <c r="U5106" s="75" t="str">
        <f>IF(ISERROR(FIND('112'!$M$9,G5106,1)),"",IF((AND(LEFT(G5106,2)=LEFT('112'!$M$9,2),B5106&lt;'112'!$K$9,$N5106='112'!$I$6)),"x",""))</f>
        <v/>
      </c>
      <c r="V5106" s="75" t="str">
        <f>IF(ISERROR(FIND('112'!$M$9,G5106,1)),"",IF((AND(RIGHT(G5106,2)=RIGHT('112'!$M$9,2),B5106&lt;'112'!$K$9,$O5106='112'!$I$6)),"x",""))</f>
        <v/>
      </c>
      <c r="W5106" s="75" t="str">
        <f>IF(AND('341-CT'!$H$9=H5106,OR(LEFT(N5106,3)=$W$7,LEFT(O5106,3)=$W$7)),"x","")</f>
        <v/>
      </c>
      <c r="X5106" s="75" t="str">
        <f>IF(OR(TH!N4853=TH!$X$7,O5106=TH!$X$7),"x","")</f>
        <v/>
      </c>
      <c r="Y5106" s="75" t="str">
        <f>IF(AND(OR(N5106="131",O5106="131"),H5106='131-CT'!$H$9),"x","")</f>
        <v/>
      </c>
      <c r="Z5106" s="75"/>
      <c r="AA5106" s="75" t="str">
        <f>IF(AND(MONTH(E5106)='IN-NX'!$J$5,'IN-NX'!$D$7=D5106),"x","")</f>
        <v/>
      </c>
      <c r="AB5106" s="75" t="str">
        <f>IF(AND(OR(LEFT(TH!N4853,2)="15",LEFT(TH!O4853,2)="15"),LEFT(TH!O4853,3)&lt;&gt;"111",'152-CT'!$J$8=TH!F4853),"x","")</f>
        <v/>
      </c>
      <c r="AC5106" s="75" t="str">
        <f>IF(AND(OR(LEFT(TH!N4853,2)="15",LEFT(TH!O4853,2)="15"),TK!$E$7=TH!F4853),"x","")</f>
        <v/>
      </c>
      <c r="AD5106" s="75" t="str">
        <f>IF(AND(N5106="1521",MONTH(C5106)='BK-NL'!$M$11),"x","")</f>
        <v/>
      </c>
    </row>
    <row r="5107" spans="1:31" ht="16.5" customHeight="1">
      <c r="A5107" s="309" t="str">
        <f>IF(B5107&lt;&gt;"",IF(AND(B5107='IN-TC'!$S$4,OR(TH!N5095="1111",TH!O5095="1111")),TH!D5095,""),"")</f>
        <v/>
      </c>
      <c r="B5107" s="1244">
        <f t="shared" si="1344"/>
        <v>10</v>
      </c>
      <c r="C5107" s="292">
        <f t="shared" ref="C5107:C5170" si="1345">E5107</f>
        <v>43018</v>
      </c>
      <c r="D5107" s="59" t="s">
        <v>902</v>
      </c>
      <c r="E5107" s="59">
        <v>43018</v>
      </c>
      <c r="F5107" s="62" t="s">
        <v>1207</v>
      </c>
      <c r="G5107" s="62" t="s">
        <v>585</v>
      </c>
      <c r="H5107" s="67" t="s">
        <v>845</v>
      </c>
      <c r="I5107" s="373"/>
      <c r="J5107" s="382"/>
      <c r="K5107" s="373"/>
      <c r="L5107" s="379"/>
      <c r="M5107" s="60">
        <v>429923</v>
      </c>
      <c r="N5107" s="61" t="s">
        <v>101</v>
      </c>
      <c r="O5107" s="61" t="s">
        <v>26</v>
      </c>
      <c r="P5107" s="75" t="str">
        <f>IF(AND('331-CT'!$E$7=TH!H4854,OR(N5107="331",O5107="331")),"x","")</f>
        <v/>
      </c>
      <c r="Q5107" s="75" t="str">
        <f>IF(AND(B5107='111'!$L$11,OR($N5107=$Q$7,$O5107=$Q$7)),"x","")</f>
        <v/>
      </c>
      <c r="R5107" s="75" t="str">
        <f>IF(AND($N5107=$Q$7,$B5107&lt;'111'!$L$11),"x","")</f>
        <v/>
      </c>
      <c r="S5107" s="75" t="str">
        <f>IF(AND($O5107=$Q$7,$B5107&lt;'111'!$L$11),"x","")</f>
        <v/>
      </c>
      <c r="T5107" s="75" t="str">
        <f>IF(ISERROR(FIND('112'!$M$9,G5107,1)),"",IF((AND(FIND('112'!$M$9,G5107,1)&gt;=1,B5107='112'!$K$9,OR($N5107='112'!$I$6,$O5107='112'!$I$6))),"x",""))</f>
        <v/>
      </c>
      <c r="U5107" s="75" t="str">
        <f>IF(ISERROR(FIND('112'!$M$9,G5107,1)),"",IF((AND(LEFT(G5107,2)=LEFT('112'!$M$9,2),B5107&lt;'112'!$K$9,$N5107='112'!$I$6)),"x",""))</f>
        <v/>
      </c>
      <c r="V5107" s="75" t="str">
        <f>IF(ISERROR(FIND('112'!$M$9,G5107,1)),"",IF((AND(RIGHT(G5107,2)=RIGHT('112'!$M$9,2),B5107&lt;'112'!$K$9,$O5107='112'!$I$6)),"x",""))</f>
        <v/>
      </c>
      <c r="W5107" s="75" t="str">
        <f>IF(AND('341-CT'!$H$9=H5107,OR(LEFT(N5107,3)=$W$7,LEFT(O5107,3)=$W$7)),"x","")</f>
        <v/>
      </c>
      <c r="X5107" s="75" t="str">
        <f>IF(OR(TH!N4854=TH!$X$7,O5107=TH!$X$7),"x","")</f>
        <v/>
      </c>
      <c r="Y5107" s="75" t="str">
        <f>IF(AND(OR(N5107="131",O5107="131"),H5107='131-CT'!$H$9),"x","")</f>
        <v/>
      </c>
      <c r="Z5107" s="75"/>
      <c r="AA5107" s="75" t="str">
        <f>IF(AND(MONTH(E5107)='IN-NX'!$J$5,'IN-NX'!$D$7=D5107),"x","")</f>
        <v/>
      </c>
      <c r="AB5107" s="75" t="str">
        <f>IF(AND(OR(LEFT(TH!N4854,2)="15",LEFT(TH!O4854,2)="15"),LEFT(TH!O4854,3)&lt;&gt;"111",'152-CT'!$J$8=TH!F4854),"x","")</f>
        <v/>
      </c>
      <c r="AC5107" s="75" t="str">
        <f>IF(AND(OR(LEFT(TH!N4854,2)="15",LEFT(TH!O4854,2)="15"),TK!$E$7=TH!F4854),"x","")</f>
        <v/>
      </c>
      <c r="AD5107" s="75" t="str">
        <f>IF(AND(N5107="1521",MONTH(C5107)='BK-NL'!$M$11),"x","")</f>
        <v/>
      </c>
      <c r="AE5107">
        <v>10</v>
      </c>
    </row>
    <row r="5108" spans="1:31" ht="16.5" customHeight="1">
      <c r="A5108" s="309" t="str">
        <f>IF(B5108&lt;&gt;"",IF(AND(B5108='IN-TC'!$S$4,OR(TH!N5096="1111",TH!O5096="1111")),TH!D5096,""),"")</f>
        <v/>
      </c>
      <c r="B5108" s="1244">
        <f t="shared" si="1344"/>
        <v>10</v>
      </c>
      <c r="C5108" s="292">
        <f t="shared" si="1345"/>
        <v>43018</v>
      </c>
      <c r="D5108" s="59" t="s">
        <v>902</v>
      </c>
      <c r="E5108" s="59">
        <v>43018</v>
      </c>
      <c r="F5108" s="62" t="s">
        <v>1315</v>
      </c>
      <c r="G5108" s="62" t="s">
        <v>585</v>
      </c>
      <c r="H5108" s="67" t="s">
        <v>845</v>
      </c>
      <c r="I5108" s="373"/>
      <c r="J5108" s="382"/>
      <c r="K5108" s="373"/>
      <c r="L5108" s="379"/>
      <c r="M5108" s="60">
        <v>42992</v>
      </c>
      <c r="N5108" s="61" t="s">
        <v>9</v>
      </c>
      <c r="O5108" s="61" t="s">
        <v>26</v>
      </c>
      <c r="P5108" s="75" t="str">
        <f>IF(AND('331-CT'!$E$7=TH!H4855,OR(N5108="331",O5108="331")),"x","")</f>
        <v/>
      </c>
      <c r="Q5108" s="75" t="str">
        <f>IF(AND(B5108='111'!$L$11,OR($N5108=$Q$7,$O5108=$Q$7)),"x","")</f>
        <v/>
      </c>
      <c r="R5108" s="75" t="str">
        <f>IF(AND($N5108=$Q$7,$B5108&lt;'111'!$L$11),"x","")</f>
        <v/>
      </c>
      <c r="S5108" s="75" t="str">
        <f>IF(AND($O5108=$Q$7,$B5108&lt;'111'!$L$11),"x","")</f>
        <v/>
      </c>
      <c r="T5108" s="75" t="str">
        <f>IF(ISERROR(FIND('112'!$M$9,G5108,1)),"",IF((AND(FIND('112'!$M$9,G5108,1)&gt;=1,B5108='112'!$K$9,OR($N5108='112'!$I$6,$O5108='112'!$I$6))),"x",""))</f>
        <v/>
      </c>
      <c r="U5108" s="75" t="str">
        <f>IF(ISERROR(FIND('112'!$M$9,G5108,1)),"",IF((AND(LEFT(G5108,2)=LEFT('112'!$M$9,2),B5108&lt;'112'!$K$9,$N5108='112'!$I$6)),"x",""))</f>
        <v/>
      </c>
      <c r="V5108" s="75" t="str">
        <f>IF(ISERROR(FIND('112'!$M$9,G5108,1)),"",IF((AND(RIGHT(G5108,2)=RIGHT('112'!$M$9,2),B5108&lt;'112'!$K$9,$O5108='112'!$I$6)),"x",""))</f>
        <v/>
      </c>
      <c r="W5108" s="75" t="str">
        <f>IF(AND('341-CT'!$H$9=H5108,OR(LEFT(N5108,3)=$W$7,LEFT(O5108,3)=$W$7)),"x","")</f>
        <v/>
      </c>
      <c r="X5108" s="75" t="str">
        <f>IF(OR(TH!N4855=TH!$X$7,O5108=TH!$X$7),"x","")</f>
        <v/>
      </c>
      <c r="Y5108" s="75" t="str">
        <f>IF(AND(OR(N5108="131",O5108="131"),H5108='131-CT'!$H$9),"x","")</f>
        <v/>
      </c>
      <c r="Z5108" s="75"/>
      <c r="AA5108" s="75" t="str">
        <f>IF(AND(MONTH(E5108)='IN-NX'!$J$5,'IN-NX'!$D$7=D5108),"x","")</f>
        <v/>
      </c>
      <c r="AB5108" s="75" t="str">
        <f>IF(AND(OR(LEFT(TH!N4855,2)="15",LEFT(TH!O4855,2)="15"),LEFT(TH!O4855,3)&lt;&gt;"111",'152-CT'!$J$8=TH!F4855),"x","")</f>
        <v/>
      </c>
      <c r="AC5108" s="75" t="str">
        <f>IF(AND(OR(LEFT(TH!N4855,2)="15",LEFT(TH!O4855,2)="15"),TK!$E$7=TH!F4855),"x","")</f>
        <v/>
      </c>
      <c r="AD5108" s="75" t="str">
        <f>IF(AND(N5108="1521",MONTH(C5108)='BK-NL'!$M$11),"x","")</f>
        <v/>
      </c>
      <c r="AE5108">
        <v>10</v>
      </c>
    </row>
    <row r="5109" spans="1:31" ht="16.5" customHeight="1">
      <c r="A5109" s="309" t="str">
        <f>IF(B5109&lt;&gt;"",IF(AND(B5109='IN-TC'!$S$4,OR(TH!N5097="1111",TH!O5097="1111")),TH!D5097,""),"")</f>
        <v/>
      </c>
      <c r="B5109" s="1244">
        <f t="shared" si="1344"/>
        <v>10</v>
      </c>
      <c r="C5109" s="292">
        <f t="shared" si="1345"/>
        <v>43019</v>
      </c>
      <c r="D5109" s="292"/>
      <c r="E5109" s="292">
        <v>43019</v>
      </c>
      <c r="F5109" s="67" t="s">
        <v>1499</v>
      </c>
      <c r="G5109" s="925" t="s">
        <v>2497</v>
      </c>
      <c r="H5109" s="294" t="s">
        <v>893</v>
      </c>
      <c r="I5109" s="373"/>
      <c r="J5109" s="926"/>
      <c r="K5109" s="373"/>
      <c r="L5109" s="379"/>
      <c r="M5109" s="927">
        <v>2660536</v>
      </c>
      <c r="N5109" s="295" t="s">
        <v>101</v>
      </c>
      <c r="O5109" s="295" t="s">
        <v>63</v>
      </c>
      <c r="P5109" s="75" t="str">
        <f>IF(AND('331-CT'!$E$7=TH!H3987,OR(N5109="331",O5109="331")),"x","")</f>
        <v/>
      </c>
      <c r="Q5109" s="75" t="str">
        <f>IF(AND(B5109='111'!$L$11,OR($N5109=$Q$7,$O5109=$Q$7)),"x","")</f>
        <v/>
      </c>
      <c r="R5109" s="75" t="str">
        <f>IF(AND($N5109=$Q$7,$B5109&lt;'111'!$L$11),"x","")</f>
        <v/>
      </c>
      <c r="S5109" s="75" t="str">
        <f>IF(AND($O5109=$Q$7,$B5109&lt;'111'!$L$11),"x","")</f>
        <v>x</v>
      </c>
      <c r="T5109" s="75" t="str">
        <f>IF(ISERROR(FIND('112'!$M$9,G5109,1)),"",IF((AND(FIND('112'!$M$9,G5109,1)&gt;=1,B5109='112'!$K$9,OR($N5109='112'!$I$6,$O5109='112'!$I$6))),"x",""))</f>
        <v/>
      </c>
      <c r="U5109" s="75" t="str">
        <f>IF(ISERROR(FIND('112'!$M$9,G5109,1)),"",IF((AND(LEFT(G5109,2)=LEFT('112'!$M$9,2),B5109&lt;'112'!$K$9,$N5109='112'!$I$6)),"x",""))</f>
        <v/>
      </c>
      <c r="V5109" s="75" t="str">
        <f>IF(ISERROR(FIND('112'!$M$9,G5109,1)),"",IF((AND(RIGHT(G5109,2)=RIGHT('112'!$M$9,2),B5109&lt;'112'!$K$9,$O5109='112'!$I$6)),"x",""))</f>
        <v/>
      </c>
      <c r="W5109" s="75" t="str">
        <f>IF(AND('341-CT'!$H$9=H5109,OR(LEFT(N5109,3)=$W$7,LEFT(O5109,3)=$W$7)),"x","")</f>
        <v/>
      </c>
      <c r="X5109" s="75" t="str">
        <f>IF(OR(TH!N3987=TH!$X$7,O5109=TH!$X$7),"x","")</f>
        <v/>
      </c>
      <c r="Y5109" s="75" t="str">
        <f>IF(AND(OR(N5109="131",O5109="131"),H5109='131-CT'!$H$9),"x","")</f>
        <v/>
      </c>
      <c r="Z5109" s="75"/>
      <c r="AA5109" s="75" t="str">
        <f>IF(AND(MONTH(E5109)='IN-NX'!$J$5,'IN-NX'!$D$7=D5109),"x","")</f>
        <v/>
      </c>
      <c r="AB5109" s="75" t="str">
        <f>IF(AND(OR(LEFT(TH!N3987,2)="15",LEFT(TH!O3987,2)="15"),LEFT(TH!O3987,3)&lt;&gt;"111",'152-CT'!$J$8=TH!F3987),"x","")</f>
        <v/>
      </c>
      <c r="AC5109" s="75" t="str">
        <f>IF(AND(OR(LEFT(TH!N3987,2)="15",LEFT(TH!O3987,2)="15"),TK!$E$7=TH!F3987),"x","")</f>
        <v/>
      </c>
      <c r="AD5109" s="75" t="str">
        <f>IF(AND(N5109="1521",MONTH(C5109)='BK-NL'!$M$11),"x","")</f>
        <v/>
      </c>
      <c r="AE5109">
        <v>10</v>
      </c>
    </row>
    <row r="5110" spans="1:31" ht="16.5" customHeight="1">
      <c r="A5110" s="309" t="str">
        <f>IF(B5110&lt;&gt;"",IF(AND(B5110='IN-TC'!$S$4,OR(TH!N5098="1111",TH!O5098="1111")),TH!D5098,""),"")</f>
        <v/>
      </c>
      <c r="B5110" s="1244">
        <f t="shared" si="1344"/>
        <v>10</v>
      </c>
      <c r="C5110" s="292">
        <f t="shared" si="1345"/>
        <v>43019</v>
      </c>
      <c r="D5110" s="292"/>
      <c r="E5110" s="292">
        <v>43019</v>
      </c>
      <c r="F5110" s="67" t="s">
        <v>1500</v>
      </c>
      <c r="G5110" s="925" t="s">
        <v>2497</v>
      </c>
      <c r="H5110" s="294" t="s">
        <v>893</v>
      </c>
      <c r="I5110" s="373"/>
      <c r="J5110" s="926"/>
      <c r="K5110" s="373"/>
      <c r="L5110" s="379"/>
      <c r="M5110" s="927">
        <v>266054</v>
      </c>
      <c r="N5110" s="295" t="s">
        <v>9</v>
      </c>
      <c r="O5110" s="295" t="s">
        <v>63</v>
      </c>
      <c r="P5110" s="75" t="str">
        <f>IF(AND('331-CT'!$E$7=TH!H3988,OR(N5110="331",O5110="331")),"x","")</f>
        <v/>
      </c>
      <c r="Q5110" s="75" t="str">
        <f>IF(AND(B5110='111'!$L$11,OR($N5110=$Q$7,$O5110=$Q$7)),"x","")</f>
        <v/>
      </c>
      <c r="R5110" s="75" t="str">
        <f>IF(AND($N5110=$Q$7,$B5110&lt;'111'!$L$11),"x","")</f>
        <v/>
      </c>
      <c r="S5110" s="75" t="str">
        <f>IF(AND($O5110=$Q$7,$B5110&lt;'111'!$L$11),"x","")</f>
        <v>x</v>
      </c>
      <c r="T5110" s="75" t="str">
        <f>IF(ISERROR(FIND('112'!$M$9,G5110,1)),"",IF((AND(FIND('112'!$M$9,G5110,1)&gt;=1,B5110='112'!$K$9,OR($N5110='112'!$I$6,$O5110='112'!$I$6))),"x",""))</f>
        <v/>
      </c>
      <c r="U5110" s="75" t="str">
        <f>IF(ISERROR(FIND('112'!$M$9,G5110,1)),"",IF((AND(LEFT(G5110,2)=LEFT('112'!$M$9,2),B5110&lt;'112'!$K$9,$N5110='112'!$I$6)),"x",""))</f>
        <v/>
      </c>
      <c r="V5110" s="75" t="str">
        <f>IF(ISERROR(FIND('112'!$M$9,G5110,1)),"",IF((AND(RIGHT(G5110,2)=RIGHT('112'!$M$9,2),B5110&lt;'112'!$K$9,$O5110='112'!$I$6)),"x",""))</f>
        <v/>
      </c>
      <c r="W5110" s="75" t="str">
        <f>IF(AND('341-CT'!$H$9=H5110,OR(LEFT(N5110,3)=$W$7,LEFT(O5110,3)=$W$7)),"x","")</f>
        <v/>
      </c>
      <c r="X5110" s="75" t="str">
        <f>IF(OR(TH!N3988=TH!$X$7,O5110=TH!$X$7),"x","")</f>
        <v/>
      </c>
      <c r="Y5110" s="75" t="str">
        <f>IF(AND(OR(N5110="131",O5110="131"),H5110='131-CT'!$H$9),"x","")</f>
        <v/>
      </c>
      <c r="Z5110" s="75"/>
      <c r="AA5110" s="75" t="str">
        <f>IF(AND(MONTH(E5110)='IN-NX'!$J$5,'IN-NX'!$D$7=D5110),"x","")</f>
        <v/>
      </c>
      <c r="AB5110" s="75" t="str">
        <f>IF(AND(OR(LEFT(TH!N3988,2)="15",LEFT(TH!O3988,2)="15"),LEFT(TH!O3988,3)&lt;&gt;"111",'152-CT'!$J$8=TH!F3988),"x","")</f>
        <v/>
      </c>
      <c r="AC5110" s="75" t="str">
        <f>IF(AND(OR(LEFT(TH!N3988,2)="15",LEFT(TH!O3988,2)="15"),TK!$E$7=TH!F3988),"x","")</f>
        <v/>
      </c>
      <c r="AD5110" s="75" t="str">
        <f>IF(AND(N5110="1521",MONTH(C5110)='BK-NL'!$M$11),"x","")</f>
        <v/>
      </c>
      <c r="AE5110">
        <v>10</v>
      </c>
    </row>
    <row r="5111" spans="1:31" ht="16.5" customHeight="1">
      <c r="A5111" s="309" t="str">
        <f>IF(B5111&lt;&gt;"",IF(AND(B5111='IN-TC'!$S$4,OR(TH!N5099="1111",TH!O5099="1111")),TH!D5099,""),"")</f>
        <v/>
      </c>
      <c r="B5111" s="1244">
        <f t="shared" si="1344"/>
        <v>10</v>
      </c>
      <c r="C5111" s="292">
        <f t="shared" si="1345"/>
        <v>43019</v>
      </c>
      <c r="D5111" s="59" t="s">
        <v>903</v>
      </c>
      <c r="E5111" s="59">
        <v>43019</v>
      </c>
      <c r="F5111" s="62" t="s">
        <v>1090</v>
      </c>
      <c r="G5111" s="62" t="s">
        <v>1091</v>
      </c>
      <c r="H5111" s="67" t="s">
        <v>845</v>
      </c>
      <c r="I5111" s="373"/>
      <c r="J5111" s="382"/>
      <c r="K5111" s="373"/>
      <c r="L5111" s="379"/>
      <c r="M5111" s="60">
        <v>8000000</v>
      </c>
      <c r="N5111" s="61" t="s">
        <v>26</v>
      </c>
      <c r="O5111" s="61" t="s">
        <v>26</v>
      </c>
      <c r="P5111" s="75" t="str">
        <f>IF(AND('331-CT'!$E$7=TH!H4856,OR(N5111="331",O5111="331")),"x","")</f>
        <v/>
      </c>
      <c r="Q5111" s="75" t="str">
        <f>IF(AND(B5111='111'!$L$11,OR($N5111=$Q$7,$O5111=$Q$7)),"x","")</f>
        <v/>
      </c>
      <c r="R5111" s="75" t="str">
        <f>IF(AND($N5111=$Q$7,$B5111&lt;'111'!$L$11),"x","")</f>
        <v/>
      </c>
      <c r="S5111" s="75" t="str">
        <f>IF(AND($O5111=$Q$7,$B5111&lt;'111'!$L$11),"x","")</f>
        <v/>
      </c>
      <c r="T5111" s="75" t="str">
        <f>IF(ISERROR(FIND('112'!$M$9,G5111,1)),"",IF((AND(FIND('112'!$M$9,G5111,1)&gt;=1,B5111='112'!$K$9,OR($N5111='112'!$I$6,$O5111='112'!$I$6))),"x",""))</f>
        <v/>
      </c>
      <c r="U5111" s="75" t="str">
        <f>IF(ISERROR(FIND('112'!$M$9,G5111,1)),"",IF((AND(LEFT(G5111,2)=LEFT('112'!$M$9,2),B5111&lt;'112'!$K$9,$N5111='112'!$I$6)),"x",""))</f>
        <v/>
      </c>
      <c r="V5111" s="75" t="str">
        <f>IF(ISERROR(FIND('112'!$M$9,G5111,1)),"",IF((AND(RIGHT(G5111,2)=RIGHT('112'!$M$9,2),B5111&lt;'112'!$K$9,$O5111='112'!$I$6)),"x",""))</f>
        <v>x</v>
      </c>
      <c r="W5111" s="75" t="str">
        <f>IF(AND('341-CT'!$H$9=H5111,OR(LEFT(N5111,3)=$W$7,LEFT(O5111,3)=$W$7)),"x","")</f>
        <v/>
      </c>
      <c r="X5111" s="75" t="str">
        <f>IF(OR(TH!N4856=TH!$X$7,O5111=TH!$X$7),"x","")</f>
        <v/>
      </c>
      <c r="Y5111" s="75" t="str">
        <f>IF(AND(OR(N5111="131",O5111="131"),H5111='131-CT'!$H$9),"x","")</f>
        <v/>
      </c>
      <c r="Z5111" s="75"/>
      <c r="AA5111" s="75" t="str">
        <f>IF(AND(MONTH(E5111)='IN-NX'!$J$5,'IN-NX'!$D$7=D5111),"x","")</f>
        <v/>
      </c>
      <c r="AB5111" s="75" t="str">
        <f>IF(AND(OR(LEFT(TH!N4856,2)="15",LEFT(TH!O4856,2)="15"),LEFT(TH!O4856,3)&lt;&gt;"111",'152-CT'!$J$8=TH!F4856),"x","")</f>
        <v/>
      </c>
      <c r="AC5111" s="75" t="str">
        <f>IF(AND(OR(LEFT(TH!N4856,2)="15",LEFT(TH!O4856,2)="15"),TK!$E$7=TH!F4856),"x","")</f>
        <v/>
      </c>
      <c r="AD5111" s="75" t="str">
        <f>IF(AND(N5111="1521",MONTH(C5111)='BK-NL'!$M$11),"x","")</f>
        <v/>
      </c>
    </row>
    <row r="5112" spans="1:31" ht="16.5" customHeight="1">
      <c r="A5112" s="309" t="str">
        <f>IF(B5112&lt;&gt;"",IF(AND(B5112='IN-TC'!$S$4,OR(TH!N5100="1111",TH!O5100="1111")),TH!D5100,""),"")</f>
        <v/>
      </c>
      <c r="B5112" s="1244">
        <f t="shared" si="1344"/>
        <v>10</v>
      </c>
      <c r="C5112" s="292">
        <f t="shared" si="1345"/>
        <v>43019</v>
      </c>
      <c r="D5112" s="59" t="s">
        <v>902</v>
      </c>
      <c r="E5112" s="59">
        <v>43019</v>
      </c>
      <c r="F5112" s="62" t="s">
        <v>2314</v>
      </c>
      <c r="G5112" s="62" t="s">
        <v>585</v>
      </c>
      <c r="H5112" s="67" t="s">
        <v>2256</v>
      </c>
      <c r="I5112" s="375"/>
      <c r="J5112" s="382"/>
      <c r="K5112" s="375"/>
      <c r="L5112" s="381"/>
      <c r="M5112" s="60">
        <v>10382500</v>
      </c>
      <c r="N5112" s="61" t="s">
        <v>8</v>
      </c>
      <c r="O5112" s="61" t="s">
        <v>26</v>
      </c>
      <c r="P5112" s="75" t="str">
        <f>IF(AND('331-CT'!$E$7=TH!H4857,OR(N5112="331",O5112="331")),"x","")</f>
        <v/>
      </c>
      <c r="Q5112" s="75" t="str">
        <f>IF(AND(B5112='111'!$L$11,OR($N5112=$Q$7,$O5112=$Q$7)),"x","")</f>
        <v/>
      </c>
      <c r="R5112" s="75" t="str">
        <f>IF(AND($N5112=$Q$7,$B5112&lt;'111'!$L$11),"x","")</f>
        <v/>
      </c>
      <c r="S5112" s="75" t="str">
        <f>IF(AND($O5112=$Q$7,$B5112&lt;'111'!$L$11),"x","")</f>
        <v/>
      </c>
      <c r="T5112" s="75" t="str">
        <f>IF(ISERROR(FIND('112'!$M$9,G5112,1)),"",IF((AND(FIND('112'!$M$9,G5112,1)&gt;=1,B5112='112'!$K$9,OR($N5112='112'!$I$6,$O5112='112'!$I$6))),"x",""))</f>
        <v/>
      </c>
      <c r="U5112" s="75" t="str">
        <f>IF(ISERROR(FIND('112'!$M$9,G5112,1)),"",IF((AND(LEFT(G5112,2)=LEFT('112'!$M$9,2),B5112&lt;'112'!$K$9,$N5112='112'!$I$6)),"x",""))</f>
        <v/>
      </c>
      <c r="V5112" s="75" t="str">
        <f>IF(ISERROR(FIND('112'!$M$9,G5112,1)),"",IF((AND(RIGHT(G5112,2)=RIGHT('112'!$M$9,2),B5112&lt;'112'!$K$9,$O5112='112'!$I$6)),"x",""))</f>
        <v/>
      </c>
      <c r="W5112" s="75" t="str">
        <f>IF(AND('341-CT'!$H$9=H5112,OR(LEFT(N5112,3)=$W$7,LEFT(O5112,3)=$W$7)),"x","")</f>
        <v/>
      </c>
      <c r="X5112" s="75" t="str">
        <f>IF(OR(TH!N4857=TH!$X$7,O5112=TH!$X$7),"x","")</f>
        <v/>
      </c>
      <c r="Y5112" s="75" t="str">
        <f>IF(AND(OR(N5112="131",O5112="131"),H5112='131-CT'!$H$9),"x","")</f>
        <v/>
      </c>
      <c r="Z5112" s="75"/>
      <c r="AA5112" s="75" t="str">
        <f>IF(AND(MONTH(E5112)='IN-NX'!$J$5,'IN-NX'!$D$7=D5112),"x","")</f>
        <v/>
      </c>
      <c r="AB5112" s="75" t="str">
        <f>IF(AND(OR(LEFT(TH!N4857,2)="15",LEFT(TH!O4857,2)="15"),LEFT(TH!O4857,3)&lt;&gt;"111",'152-CT'!$J$8=TH!F4857),"x","")</f>
        <v/>
      </c>
      <c r="AC5112" s="75" t="str">
        <f>IF(AND(OR(LEFT(TH!N4857,2)="15",LEFT(TH!O4857,2)="15"),TK!$E$7=TH!F4857),"x","")</f>
        <v/>
      </c>
      <c r="AD5112" s="75" t="str">
        <f>IF(AND(N5112="1521",MONTH(C5112)='BK-NL'!$M$11),"x","")</f>
        <v/>
      </c>
    </row>
    <row r="5113" spans="1:31" ht="16.5" customHeight="1">
      <c r="A5113" s="309" t="str">
        <f>IF(B5113&lt;&gt;"",IF(AND(B5113='IN-TC'!$S$4,OR(TH!N5101="1111",TH!O5101="1111")),TH!D5101,""),"")</f>
        <v/>
      </c>
      <c r="B5113" s="1244">
        <f t="shared" si="1344"/>
        <v>10</v>
      </c>
      <c r="C5113" s="292">
        <f t="shared" si="1345"/>
        <v>43019</v>
      </c>
      <c r="D5113" s="59" t="s">
        <v>902</v>
      </c>
      <c r="E5113" s="59">
        <v>43019</v>
      </c>
      <c r="F5113" s="62" t="s">
        <v>1307</v>
      </c>
      <c r="G5113" s="62" t="s">
        <v>585</v>
      </c>
      <c r="H5113" s="67" t="s">
        <v>845</v>
      </c>
      <c r="I5113" s="373"/>
      <c r="J5113" s="382"/>
      <c r="K5113" s="373"/>
      <c r="L5113" s="379"/>
      <c r="M5113" s="60">
        <v>15000</v>
      </c>
      <c r="N5113" s="61" t="s">
        <v>101</v>
      </c>
      <c r="O5113" s="61" t="s">
        <v>26</v>
      </c>
      <c r="P5113" s="75" t="str">
        <f>IF(AND('331-CT'!$E$7=TH!H4858,OR(N5113="331",O5113="331")),"x","")</f>
        <v/>
      </c>
      <c r="Q5113" s="75" t="str">
        <f>IF(AND(B5113='111'!$L$11,OR($N5113=$Q$7,$O5113=$Q$7)),"x","")</f>
        <v/>
      </c>
      <c r="R5113" s="75" t="str">
        <f>IF(AND($N5113=$Q$7,$B5113&lt;'111'!$L$11),"x","")</f>
        <v/>
      </c>
      <c r="S5113" s="75" t="str">
        <f>IF(AND($O5113=$Q$7,$B5113&lt;'111'!$L$11),"x","")</f>
        <v/>
      </c>
      <c r="T5113" s="75" t="str">
        <f>IF(ISERROR(FIND('112'!$M$9,G5113,1)),"",IF((AND(FIND('112'!$M$9,G5113,1)&gt;=1,B5113='112'!$K$9,OR($N5113='112'!$I$6,$O5113='112'!$I$6))),"x",""))</f>
        <v/>
      </c>
      <c r="U5113" s="75" t="str">
        <f>IF(ISERROR(FIND('112'!$M$9,G5113,1)),"",IF((AND(LEFT(G5113,2)=LEFT('112'!$M$9,2),B5113&lt;'112'!$K$9,$N5113='112'!$I$6)),"x",""))</f>
        <v/>
      </c>
      <c r="V5113" s="75" t="str">
        <f>IF(ISERROR(FIND('112'!$M$9,G5113,1)),"",IF((AND(RIGHT(G5113,2)=RIGHT('112'!$M$9,2),B5113&lt;'112'!$K$9,$O5113='112'!$I$6)),"x",""))</f>
        <v/>
      </c>
      <c r="W5113" s="75" t="str">
        <f>IF(AND('341-CT'!$H$9=H5113,OR(LEFT(N5113,3)=$W$7,LEFT(O5113,3)=$W$7)),"x","")</f>
        <v/>
      </c>
      <c r="X5113" s="75" t="str">
        <f>IF(OR(TH!N4858=TH!$X$7,O5113=TH!$X$7),"x","")</f>
        <v/>
      </c>
      <c r="Y5113" s="75" t="str">
        <f>IF(AND(OR(N5113="131",O5113="131"),H5113='131-CT'!$H$9),"x","")</f>
        <v/>
      </c>
      <c r="Z5113" s="75"/>
      <c r="AA5113" s="75" t="str">
        <f>IF(AND(MONTH(E5113)='IN-NX'!$J$5,'IN-NX'!$D$7=D5113),"x","")</f>
        <v/>
      </c>
      <c r="AB5113" s="75" t="str">
        <f>IF(AND(OR(LEFT(TH!N4858,2)="15",LEFT(TH!O4858,2)="15"),LEFT(TH!O4858,3)&lt;&gt;"111",'152-CT'!$J$8=TH!F4858),"x","")</f>
        <v/>
      </c>
      <c r="AC5113" s="75" t="str">
        <f>IF(AND(OR(LEFT(TH!N4858,2)="15",LEFT(TH!O4858,2)="15"),TK!$E$7=TH!F4858),"x","")</f>
        <v/>
      </c>
      <c r="AD5113" s="75" t="str">
        <f>IF(AND(N5113="1521",MONTH(C5113)='BK-NL'!$M$11),"x","")</f>
        <v/>
      </c>
      <c r="AE5113">
        <v>10</v>
      </c>
    </row>
    <row r="5114" spans="1:31" ht="16.5" customHeight="1">
      <c r="A5114" s="309" t="str">
        <f>IF(B5114&lt;&gt;"",IF(AND(B5114='IN-TC'!$S$4,OR(TH!N5102="1111",TH!O5102="1111")),TH!D5102,""),"")</f>
        <v/>
      </c>
      <c r="B5114" s="1244">
        <f t="shared" si="1344"/>
        <v>10</v>
      </c>
      <c r="C5114" s="292">
        <f t="shared" si="1345"/>
        <v>43019</v>
      </c>
      <c r="D5114" s="59" t="s">
        <v>902</v>
      </c>
      <c r="E5114" s="59">
        <v>43019</v>
      </c>
      <c r="F5114" s="62" t="s">
        <v>1314</v>
      </c>
      <c r="G5114" s="62" t="s">
        <v>585</v>
      </c>
      <c r="H5114" s="67" t="s">
        <v>845</v>
      </c>
      <c r="I5114" s="373"/>
      <c r="J5114" s="382"/>
      <c r="K5114" s="373"/>
      <c r="L5114" s="379"/>
      <c r="M5114" s="60">
        <v>1500</v>
      </c>
      <c r="N5114" s="61" t="s">
        <v>9</v>
      </c>
      <c r="O5114" s="61" t="s">
        <v>26</v>
      </c>
      <c r="P5114" s="75" t="str">
        <f>IF(AND('331-CT'!$E$7=TH!H4859,OR(N5114="331",O5114="331")),"x","")</f>
        <v/>
      </c>
      <c r="Q5114" s="75" t="str">
        <f>IF(AND(B5114='111'!$L$11,OR($N5114=$Q$7,$O5114=$Q$7)),"x","")</f>
        <v/>
      </c>
      <c r="R5114" s="75" t="str">
        <f>IF(AND($N5114=$Q$7,$B5114&lt;'111'!$L$11),"x","")</f>
        <v/>
      </c>
      <c r="S5114" s="75" t="str">
        <f>IF(AND($O5114=$Q$7,$B5114&lt;'111'!$L$11),"x","")</f>
        <v/>
      </c>
      <c r="T5114" s="75" t="str">
        <f>IF(ISERROR(FIND('112'!$M$9,G5114,1)),"",IF((AND(FIND('112'!$M$9,G5114,1)&gt;=1,B5114='112'!$K$9,OR($N5114='112'!$I$6,$O5114='112'!$I$6))),"x",""))</f>
        <v/>
      </c>
      <c r="U5114" s="75" t="str">
        <f>IF(ISERROR(FIND('112'!$M$9,G5114,1)),"",IF((AND(LEFT(G5114,2)=LEFT('112'!$M$9,2),B5114&lt;'112'!$K$9,$N5114='112'!$I$6)),"x",""))</f>
        <v/>
      </c>
      <c r="V5114" s="75" t="str">
        <f>IF(ISERROR(FIND('112'!$M$9,G5114,1)),"",IF((AND(RIGHT(G5114,2)=RIGHT('112'!$M$9,2),B5114&lt;'112'!$K$9,$O5114='112'!$I$6)),"x",""))</f>
        <v/>
      </c>
      <c r="W5114" s="75" t="str">
        <f>IF(AND('341-CT'!$H$9=H5114,OR(LEFT(N5114,3)=$W$7,LEFT(O5114,3)=$W$7)),"x","")</f>
        <v/>
      </c>
      <c r="X5114" s="75" t="str">
        <f>IF(OR(TH!N4859=TH!$X$7,O5114=TH!$X$7),"x","")</f>
        <v/>
      </c>
      <c r="Y5114" s="75" t="str">
        <f>IF(AND(OR(N5114="131",O5114="131"),H5114='131-CT'!$H$9),"x","")</f>
        <v/>
      </c>
      <c r="Z5114" s="75"/>
      <c r="AA5114" s="75" t="str">
        <f>IF(AND(MONTH(E5114)='IN-NX'!$J$5,'IN-NX'!$D$7=D5114),"x","")</f>
        <v/>
      </c>
      <c r="AB5114" s="75" t="str">
        <f>IF(AND(OR(LEFT(TH!N4859,2)="15",LEFT(TH!O4859,2)="15"),LEFT(TH!O4859,3)&lt;&gt;"111",'152-CT'!$J$8=TH!F4859),"x","")</f>
        <v/>
      </c>
      <c r="AC5114" s="75" t="str">
        <f>IF(AND(OR(LEFT(TH!N4859,2)="15",LEFT(TH!O4859,2)="15"),TK!$E$7=TH!F4859),"x","")</f>
        <v/>
      </c>
      <c r="AD5114" s="75" t="str">
        <f>IF(AND(N5114="1521",MONTH(C5114)='BK-NL'!$M$11),"x","")</f>
        <v/>
      </c>
      <c r="AE5114">
        <v>10</v>
      </c>
    </row>
    <row r="5115" spans="1:31" ht="16.5" customHeight="1">
      <c r="A5115" s="309" t="str">
        <f>IF(B5115&lt;&gt;"",IF(AND(B5115='IN-TC'!$S$4,OR(TH!N5103="1111",TH!O5103="1111")),TH!D5103,""),"")</f>
        <v/>
      </c>
      <c r="B5115" s="1244">
        <f t="shared" si="1344"/>
        <v>10</v>
      </c>
      <c r="C5115" s="292">
        <f t="shared" si="1345"/>
        <v>43019</v>
      </c>
      <c r="D5115" s="59" t="s">
        <v>902</v>
      </c>
      <c r="E5115" s="59">
        <v>43019</v>
      </c>
      <c r="F5115" s="62" t="s">
        <v>1549</v>
      </c>
      <c r="G5115" s="62" t="s">
        <v>747</v>
      </c>
      <c r="H5115" s="67" t="s">
        <v>835</v>
      </c>
      <c r="I5115" s="373"/>
      <c r="J5115" s="382"/>
      <c r="K5115" s="373"/>
      <c r="L5115" s="379"/>
      <c r="M5115" s="60">
        <v>227600</v>
      </c>
      <c r="N5115" s="61" t="s">
        <v>101</v>
      </c>
      <c r="O5115" s="61" t="s">
        <v>26</v>
      </c>
      <c r="P5115" s="75" t="str">
        <f>IF(AND('331-CT'!$E$7=TH!H5502,OR(N5115="331",O5115="331")),"x","")</f>
        <v/>
      </c>
      <c r="Q5115" s="75" t="str">
        <f>IF(AND(B5115='111'!$L$11,OR($N5115=$Q$7,$O5115=$Q$7)),"x","")</f>
        <v/>
      </c>
      <c r="R5115" s="75" t="str">
        <f>IF(AND($N5115=$Q$7,$B5115&lt;'111'!$L$11),"x","")</f>
        <v/>
      </c>
      <c r="S5115" s="75" t="str">
        <f>IF(AND($O5115=$Q$7,$B5115&lt;'111'!$L$11),"x","")</f>
        <v/>
      </c>
      <c r="T5115" s="75" t="str">
        <f>IF(ISERROR(FIND('112'!$M$9,G5115,1)),"",IF((AND(FIND('112'!$M$9,G5115,1)&gt;=1,B5115='112'!$K$9,OR($N5115='112'!$I$6,$O5115='112'!$I$6))),"x",""))</f>
        <v/>
      </c>
      <c r="U5115" s="75" t="str">
        <f>IF(ISERROR(FIND('112'!$M$9,G5115,1)),"",IF((AND(LEFT(G5115,2)=LEFT('112'!$M$9,2),B5115&lt;'112'!$K$9,$N5115='112'!$I$6)),"x",""))</f>
        <v/>
      </c>
      <c r="V5115" s="75" t="str">
        <f>IF(ISERROR(FIND('112'!$M$9,G5115,1)),"",IF((AND(RIGHT(G5115,2)=RIGHT('112'!$M$9,2),B5115&lt;'112'!$K$9,$O5115='112'!$I$6)),"x",""))</f>
        <v/>
      </c>
      <c r="W5115" s="75" t="str">
        <f>IF(AND('341-CT'!$H$9=H5115,OR(LEFT(N5115,3)=$W$7,LEFT(O5115,3)=$W$7)),"x","")</f>
        <v/>
      </c>
      <c r="X5115" s="75" t="str">
        <f>IF(OR(TH!N5502=TH!$X$7,O5115=TH!$X$7),"x","")</f>
        <v/>
      </c>
      <c r="Y5115" s="75" t="str">
        <f>IF(AND(OR(N5115="131",O5115="131"),H5115='131-CT'!$H$9),"x","")</f>
        <v/>
      </c>
      <c r="Z5115" s="75"/>
      <c r="AA5115" s="75" t="str">
        <f>IF(AND(MONTH(E5115)='IN-NX'!$J$5,'IN-NX'!$D$7=D5115),"x","")</f>
        <v/>
      </c>
      <c r="AB5115" s="75" t="str">
        <f>IF(AND(OR(LEFT(TH!N5502,2)="15",LEFT(TH!O5502,2)="15"),LEFT(TH!O5502,3)&lt;&gt;"111",'152-CT'!$J$8=TH!F5502),"x","")</f>
        <v/>
      </c>
      <c r="AC5115" s="75" t="str">
        <f>IF(AND(OR(LEFT(TH!N5502,2)="15",LEFT(TH!O5502,2)="15"),TK!$E$7=TH!F5502),"x","")</f>
        <v/>
      </c>
      <c r="AD5115" s="75" t="str">
        <f>IF(AND(N5115="1521",MONTH(C5115)='BK-NL'!$M$11),"x","")</f>
        <v/>
      </c>
    </row>
    <row r="5116" spans="1:31" ht="16.5" customHeight="1">
      <c r="A5116" s="309" t="str">
        <f>IF(B5116&lt;&gt;"",IF(AND(B5116='IN-TC'!$S$4,OR(TH!N5104="1111",TH!O5104="1111")),TH!D5104,""),"")</f>
        <v/>
      </c>
      <c r="B5116" s="1244">
        <f t="shared" si="1344"/>
        <v>10</v>
      </c>
      <c r="C5116" s="292">
        <f t="shared" si="1345"/>
        <v>43020</v>
      </c>
      <c r="D5116" s="292"/>
      <c r="E5116" s="292">
        <v>43020</v>
      </c>
      <c r="F5116" s="67" t="s">
        <v>954</v>
      </c>
      <c r="G5116" s="925" t="s">
        <v>2510</v>
      </c>
      <c r="H5116" s="294" t="s">
        <v>1241</v>
      </c>
      <c r="I5116" s="373"/>
      <c r="J5116" s="926"/>
      <c r="K5116" s="373"/>
      <c r="L5116" s="379"/>
      <c r="M5116" s="927">
        <v>5195000</v>
      </c>
      <c r="N5116" s="295" t="s">
        <v>101</v>
      </c>
      <c r="O5116" s="295" t="s">
        <v>63</v>
      </c>
      <c r="P5116" s="75" t="str">
        <f>IF(AND('331-CT'!$E$7=TH!H3989,OR(N5116="331",O5116="331")),"x","")</f>
        <v/>
      </c>
      <c r="Q5116" s="75" t="str">
        <f>IF(AND(B5116='111'!$L$11,OR($N5116=$Q$7,$O5116=$Q$7)),"x","")</f>
        <v/>
      </c>
      <c r="R5116" s="75" t="str">
        <f>IF(AND($N5116=$Q$7,$B5116&lt;'111'!$L$11),"x","")</f>
        <v/>
      </c>
      <c r="S5116" s="75" t="str">
        <f>IF(AND($O5116=$Q$7,$B5116&lt;'111'!$L$11),"x","")</f>
        <v>x</v>
      </c>
      <c r="T5116" s="75" t="str">
        <f>IF(ISERROR(FIND('112'!$M$9,G5116,1)),"",IF((AND(FIND('112'!$M$9,G5116,1)&gt;=1,B5116='112'!$K$9,OR($N5116='112'!$I$6,$O5116='112'!$I$6))),"x",""))</f>
        <v/>
      </c>
      <c r="U5116" s="75" t="str">
        <f>IF(ISERROR(FIND('112'!$M$9,G5116,1)),"",IF((AND(LEFT(G5116,2)=LEFT('112'!$M$9,2),B5116&lt;'112'!$K$9,$N5116='112'!$I$6)),"x",""))</f>
        <v/>
      </c>
      <c r="V5116" s="75" t="str">
        <f>IF(ISERROR(FIND('112'!$M$9,G5116,1)),"",IF((AND(RIGHT(G5116,2)=RIGHT('112'!$M$9,2),B5116&lt;'112'!$K$9,$O5116='112'!$I$6)),"x",""))</f>
        <v/>
      </c>
      <c r="W5116" s="75" t="str">
        <f>IF(AND('341-CT'!$H$9=H5116,OR(LEFT(N5116,3)=$W$7,LEFT(O5116,3)=$W$7)),"x","")</f>
        <v/>
      </c>
      <c r="X5116" s="75" t="str">
        <f>IF(OR(TH!N3989=TH!$X$7,O5116=TH!$X$7),"x","")</f>
        <v/>
      </c>
      <c r="Y5116" s="75" t="str">
        <f>IF(AND(OR(N5116="131",O5116="131"),H5116='131-CT'!$H$9),"x","")</f>
        <v/>
      </c>
      <c r="Z5116" s="75"/>
      <c r="AA5116" s="75" t="str">
        <f>IF(AND(MONTH(E5116)='IN-NX'!$J$5,'IN-NX'!$D$7=D5116),"x","")</f>
        <v/>
      </c>
      <c r="AB5116" s="75" t="str">
        <f>IF(AND(OR(LEFT(TH!N3989,2)="15",LEFT(TH!O3989,2)="15"),LEFT(TH!O3989,3)&lt;&gt;"111",'152-CT'!$J$8=TH!F3989),"x","")</f>
        <v/>
      </c>
      <c r="AC5116" s="75" t="str">
        <f>IF(AND(OR(LEFT(TH!N3989,2)="15",LEFT(TH!O3989,2)="15"),TK!$E$7=TH!F3989),"x","")</f>
        <v/>
      </c>
      <c r="AD5116" s="75" t="str">
        <f>IF(AND(N5116="1521",MONTH(C5116)='BK-NL'!$M$11),"x","")</f>
        <v/>
      </c>
      <c r="AE5116">
        <v>10</v>
      </c>
    </row>
    <row r="5117" spans="1:31" ht="16.5" customHeight="1">
      <c r="A5117" s="309" t="str">
        <f>IF(B5117&lt;&gt;"",IF(AND(B5117='IN-TC'!$S$4,OR(TH!N5105="1111",TH!O5105="1111")),TH!D5105,""),"")</f>
        <v/>
      </c>
      <c r="B5117" s="1244">
        <f t="shared" si="1344"/>
        <v>10</v>
      </c>
      <c r="C5117" s="292">
        <f t="shared" si="1345"/>
        <v>43020</v>
      </c>
      <c r="D5117" s="292"/>
      <c r="E5117" s="292">
        <v>43020</v>
      </c>
      <c r="F5117" s="67" t="s">
        <v>955</v>
      </c>
      <c r="G5117" s="925" t="s">
        <v>2510</v>
      </c>
      <c r="H5117" s="294" t="s">
        <v>1241</v>
      </c>
      <c r="I5117" s="373"/>
      <c r="J5117" s="926"/>
      <c r="K5117" s="373"/>
      <c r="L5117" s="379"/>
      <c r="M5117" s="927">
        <v>519500</v>
      </c>
      <c r="N5117" s="295" t="s">
        <v>9</v>
      </c>
      <c r="O5117" s="295" t="s">
        <v>63</v>
      </c>
      <c r="P5117" s="75" t="str">
        <f>IF(AND('331-CT'!$E$7=TH!H3990,OR(N5117="331",O5117="331")),"x","")</f>
        <v/>
      </c>
      <c r="Q5117" s="75" t="str">
        <f>IF(AND(B5117='111'!$L$11,OR($N5117=$Q$7,$O5117=$Q$7)),"x","")</f>
        <v/>
      </c>
      <c r="R5117" s="75" t="str">
        <f>IF(AND($N5117=$Q$7,$B5117&lt;'111'!$L$11),"x","")</f>
        <v/>
      </c>
      <c r="S5117" s="75" t="str">
        <f>IF(AND($O5117=$Q$7,$B5117&lt;'111'!$L$11),"x","")</f>
        <v>x</v>
      </c>
      <c r="T5117" s="75" t="str">
        <f>IF(ISERROR(FIND('112'!$M$9,G5117,1)),"",IF((AND(FIND('112'!$M$9,G5117,1)&gt;=1,B5117='112'!$K$9,OR($N5117='112'!$I$6,$O5117='112'!$I$6))),"x",""))</f>
        <v/>
      </c>
      <c r="U5117" s="75" t="str">
        <f>IF(ISERROR(FIND('112'!$M$9,G5117,1)),"",IF((AND(LEFT(G5117,2)=LEFT('112'!$M$9,2),B5117&lt;'112'!$K$9,$N5117='112'!$I$6)),"x",""))</f>
        <v/>
      </c>
      <c r="V5117" s="75" t="str">
        <f>IF(ISERROR(FIND('112'!$M$9,G5117,1)),"",IF((AND(RIGHT(G5117,2)=RIGHT('112'!$M$9,2),B5117&lt;'112'!$K$9,$O5117='112'!$I$6)),"x",""))</f>
        <v/>
      </c>
      <c r="W5117" s="75" t="str">
        <f>IF(AND('341-CT'!$H$9=H5117,OR(LEFT(N5117,3)=$W$7,LEFT(O5117,3)=$W$7)),"x","")</f>
        <v/>
      </c>
      <c r="X5117" s="75" t="str">
        <f>IF(OR(TH!N3990=TH!$X$7,O5117=TH!$X$7),"x","")</f>
        <v/>
      </c>
      <c r="Y5117" s="75" t="str">
        <f>IF(AND(OR(N5117="131",O5117="131"),H5117='131-CT'!$H$9),"x","")</f>
        <v/>
      </c>
      <c r="Z5117" s="75"/>
      <c r="AA5117" s="75" t="str">
        <f>IF(AND(MONTH(E5117)='IN-NX'!$J$5,'IN-NX'!$D$7=D5117),"x","")</f>
        <v/>
      </c>
      <c r="AB5117" s="75" t="str">
        <f>IF(AND(OR(LEFT(TH!N3990,2)="15",LEFT(TH!O3990,2)="15"),LEFT(TH!O3990,3)&lt;&gt;"111",'152-CT'!$J$8=TH!F3990),"x","")</f>
        <v/>
      </c>
      <c r="AC5117" s="75" t="str">
        <f>IF(AND(OR(LEFT(TH!N3990,2)="15",LEFT(TH!O3990,2)="15"),TK!$E$7=TH!F3990),"x","")</f>
        <v/>
      </c>
      <c r="AD5117" s="75" t="str">
        <f>IF(AND(N5117="1521",MONTH(C5117)='BK-NL'!$M$11),"x","")</f>
        <v/>
      </c>
      <c r="AE5117">
        <v>10</v>
      </c>
    </row>
    <row r="5118" spans="1:31" ht="16.5" customHeight="1">
      <c r="A5118" s="309" t="str">
        <f>IF(B5118&lt;&gt;"",IF(AND(B5118='IN-TC'!$S$4,OR(TH!N5106="1111",TH!O5106="1111")),TH!D5106,""),"")</f>
        <v/>
      </c>
      <c r="B5118" s="1244">
        <f t="shared" si="1344"/>
        <v>10</v>
      </c>
      <c r="C5118" s="292">
        <f t="shared" si="1345"/>
        <v>43020</v>
      </c>
      <c r="D5118" s="292"/>
      <c r="E5118" s="292">
        <v>43020</v>
      </c>
      <c r="F5118" s="67" t="s">
        <v>1228</v>
      </c>
      <c r="G5118" s="925" t="s">
        <v>2498</v>
      </c>
      <c r="H5118" s="294" t="s">
        <v>2289</v>
      </c>
      <c r="I5118" s="373"/>
      <c r="J5118" s="926"/>
      <c r="K5118" s="373"/>
      <c r="L5118" s="379"/>
      <c r="M5118" s="927">
        <v>354533</v>
      </c>
      <c r="N5118" s="295" t="s">
        <v>101</v>
      </c>
      <c r="O5118" s="295" t="s">
        <v>63</v>
      </c>
      <c r="P5118" s="75" t="str">
        <f>IF(AND('331-CT'!$E$7=TH!H3991,OR(N5118="331",O5118="331")),"x","")</f>
        <v/>
      </c>
      <c r="Q5118" s="75" t="str">
        <f>IF(AND(B5118='111'!$L$11,OR($N5118=$Q$7,$O5118=$Q$7)),"x","")</f>
        <v/>
      </c>
      <c r="R5118" s="75" t="str">
        <f>IF(AND($N5118=$Q$7,$B5118&lt;'111'!$L$11),"x","")</f>
        <v/>
      </c>
      <c r="S5118" s="75" t="str">
        <f>IF(AND($O5118=$Q$7,$B5118&lt;'111'!$L$11),"x","")</f>
        <v>x</v>
      </c>
      <c r="T5118" s="75" t="str">
        <f>IF(ISERROR(FIND('112'!$M$9,G5118,1)),"",IF((AND(FIND('112'!$M$9,G5118,1)&gt;=1,B5118='112'!$K$9,OR($N5118='112'!$I$6,$O5118='112'!$I$6))),"x",""))</f>
        <v/>
      </c>
      <c r="U5118" s="75" t="str">
        <f>IF(ISERROR(FIND('112'!$M$9,G5118,1)),"",IF((AND(LEFT(G5118,2)=LEFT('112'!$M$9,2),B5118&lt;'112'!$K$9,$N5118='112'!$I$6)),"x",""))</f>
        <v/>
      </c>
      <c r="V5118" s="75" t="str">
        <f>IF(ISERROR(FIND('112'!$M$9,G5118,1)),"",IF((AND(RIGHT(G5118,2)=RIGHT('112'!$M$9,2),B5118&lt;'112'!$K$9,$O5118='112'!$I$6)),"x",""))</f>
        <v/>
      </c>
      <c r="W5118" s="75" t="str">
        <f>IF(AND('341-CT'!$H$9=H5118,OR(LEFT(N5118,3)=$W$7,LEFT(O5118,3)=$W$7)),"x","")</f>
        <v/>
      </c>
      <c r="X5118" s="75" t="str">
        <f>IF(OR(TH!N3991=TH!$X$7,O5118=TH!$X$7),"x","")</f>
        <v/>
      </c>
      <c r="Y5118" s="75" t="str">
        <f>IF(AND(OR(N5118="131",O5118="131"),H5118='131-CT'!$H$9),"x","")</f>
        <v/>
      </c>
      <c r="Z5118" s="75"/>
      <c r="AA5118" s="75" t="str">
        <f>IF(AND(MONTH(E5118)='IN-NX'!$J$5,'IN-NX'!$D$7=D5118),"x","")</f>
        <v/>
      </c>
      <c r="AB5118" s="75" t="str">
        <f>IF(AND(OR(LEFT(TH!N3991,2)="15",LEFT(TH!O3991,2)="15"),LEFT(TH!O3991,3)&lt;&gt;"111",'152-CT'!$J$8=TH!F3991),"x","")</f>
        <v/>
      </c>
      <c r="AC5118" s="75" t="str">
        <f>IF(AND(OR(LEFT(TH!N3991,2)="15",LEFT(TH!O3991,2)="15"),TK!$E$7=TH!F3991),"x","")</f>
        <v/>
      </c>
      <c r="AD5118" s="75" t="str">
        <f>IF(AND(N5118="1521",MONTH(C5118)='BK-NL'!$M$11),"x","")</f>
        <v/>
      </c>
      <c r="AE5118">
        <v>10</v>
      </c>
    </row>
    <row r="5119" spans="1:31" ht="16.5" customHeight="1">
      <c r="A5119" s="309" t="str">
        <f>IF(B5119&lt;&gt;"",IF(AND(B5119='IN-TC'!$S$4,OR(TH!N5107="1111",TH!O5107="1111")),TH!D5107,""),"")</f>
        <v/>
      </c>
      <c r="B5119" s="1244">
        <f t="shared" si="1344"/>
        <v>10</v>
      </c>
      <c r="C5119" s="292">
        <f t="shared" si="1345"/>
        <v>43020</v>
      </c>
      <c r="D5119" s="292"/>
      <c r="E5119" s="292">
        <v>43020</v>
      </c>
      <c r="F5119" s="67" t="s">
        <v>1229</v>
      </c>
      <c r="G5119" s="925" t="s">
        <v>2498</v>
      </c>
      <c r="H5119" s="294" t="s">
        <v>2289</v>
      </c>
      <c r="I5119" s="373"/>
      <c r="J5119" s="926"/>
      <c r="K5119" s="373"/>
      <c r="L5119" s="379"/>
      <c r="M5119" s="927">
        <v>35453</v>
      </c>
      <c r="N5119" s="295" t="s">
        <v>9</v>
      </c>
      <c r="O5119" s="295" t="s">
        <v>63</v>
      </c>
      <c r="P5119" s="75" t="str">
        <f>IF(AND('331-CT'!$E$7=TH!H3992,OR(N5119="331",O5119="331")),"x","")</f>
        <v/>
      </c>
      <c r="Q5119" s="75" t="str">
        <f>IF(AND(B5119='111'!$L$11,OR($N5119=$Q$7,$O5119=$Q$7)),"x","")</f>
        <v/>
      </c>
      <c r="R5119" s="75" t="str">
        <f>IF(AND($N5119=$Q$7,$B5119&lt;'111'!$L$11),"x","")</f>
        <v/>
      </c>
      <c r="S5119" s="75" t="str">
        <f>IF(AND($O5119=$Q$7,$B5119&lt;'111'!$L$11),"x","")</f>
        <v>x</v>
      </c>
      <c r="T5119" s="75" t="str">
        <f>IF(ISERROR(FIND('112'!$M$9,G5119,1)),"",IF((AND(FIND('112'!$M$9,G5119,1)&gt;=1,B5119='112'!$K$9,OR($N5119='112'!$I$6,$O5119='112'!$I$6))),"x",""))</f>
        <v/>
      </c>
      <c r="U5119" s="75" t="str">
        <f>IF(ISERROR(FIND('112'!$M$9,G5119,1)),"",IF((AND(LEFT(G5119,2)=LEFT('112'!$M$9,2),B5119&lt;'112'!$K$9,$N5119='112'!$I$6)),"x",""))</f>
        <v/>
      </c>
      <c r="V5119" s="75" t="str">
        <f>IF(ISERROR(FIND('112'!$M$9,G5119,1)),"",IF((AND(RIGHT(G5119,2)=RIGHT('112'!$M$9,2),B5119&lt;'112'!$K$9,$O5119='112'!$I$6)),"x",""))</f>
        <v/>
      </c>
      <c r="W5119" s="75" t="str">
        <f>IF(AND('341-CT'!$H$9=H5119,OR(LEFT(N5119,3)=$W$7,LEFT(O5119,3)=$W$7)),"x","")</f>
        <v/>
      </c>
      <c r="X5119" s="75" t="str">
        <f>IF(OR(TH!N3992=TH!$X$7,O5119=TH!$X$7),"x","")</f>
        <v/>
      </c>
      <c r="Y5119" s="75" t="str">
        <f>IF(AND(OR(N5119="131",O5119="131"),H5119='131-CT'!$H$9),"x","")</f>
        <v/>
      </c>
      <c r="Z5119" s="75"/>
      <c r="AA5119" s="75" t="str">
        <f>IF(AND(MONTH(E5119)='IN-NX'!$J$5,'IN-NX'!$D$7=D5119),"x","")</f>
        <v/>
      </c>
      <c r="AB5119" s="75" t="str">
        <f>IF(AND(OR(LEFT(TH!N3992,2)="15",LEFT(TH!O3992,2)="15"),LEFT(TH!O3992,3)&lt;&gt;"111",'152-CT'!$J$8=TH!F3992),"x","")</f>
        <v/>
      </c>
      <c r="AC5119" s="75" t="str">
        <f>IF(AND(OR(LEFT(TH!N3992,2)="15",LEFT(TH!O3992,2)="15"),TK!$E$7=TH!F3992),"x","")</f>
        <v/>
      </c>
      <c r="AD5119" s="75" t="str">
        <f>IF(AND(N5119="1521",MONTH(C5119)='BK-NL'!$M$11),"x","")</f>
        <v/>
      </c>
      <c r="AE5119">
        <v>10</v>
      </c>
    </row>
    <row r="5120" spans="1:31" ht="16.5" customHeight="1">
      <c r="A5120" s="309" t="str">
        <f>IF(B5120&lt;&gt;"",IF(AND(B5120='IN-TC'!$S$4,OR(TH!N5108="1111",TH!O5108="1111")),TH!D5108,""),"")</f>
        <v/>
      </c>
      <c r="B5120" s="1244">
        <f t="shared" si="1344"/>
        <v>10</v>
      </c>
      <c r="C5120" s="292">
        <f t="shared" si="1345"/>
        <v>43020</v>
      </c>
      <c r="D5120" s="292"/>
      <c r="E5120" s="292">
        <v>43020</v>
      </c>
      <c r="F5120" s="67" t="s">
        <v>2139</v>
      </c>
      <c r="G5120" s="925" t="s">
        <v>2561</v>
      </c>
      <c r="H5120" s="294" t="s">
        <v>2562</v>
      </c>
      <c r="I5120" s="373"/>
      <c r="J5120" s="926"/>
      <c r="K5120" s="373"/>
      <c r="L5120" s="379"/>
      <c r="M5120" s="927">
        <v>14400000</v>
      </c>
      <c r="N5120" s="295" t="s">
        <v>8</v>
      </c>
      <c r="O5120" s="295" t="s">
        <v>63</v>
      </c>
      <c r="P5120" s="75" t="str">
        <f>IF(AND('331-CT'!$E$7=TH!H3993,OR(N5120="331",O5120="331")),"x","")</f>
        <v/>
      </c>
      <c r="Q5120" s="75" t="str">
        <f>IF(AND(B5120='111'!$L$11,OR($N5120=$Q$7,$O5120=$Q$7)),"x","")</f>
        <v/>
      </c>
      <c r="R5120" s="75" t="str">
        <f>IF(AND($N5120=$Q$7,$B5120&lt;'111'!$L$11),"x","")</f>
        <v/>
      </c>
      <c r="S5120" s="75" t="str">
        <f>IF(AND($O5120=$Q$7,$B5120&lt;'111'!$L$11),"x","")</f>
        <v>x</v>
      </c>
      <c r="T5120" s="75" t="str">
        <f>IF(ISERROR(FIND('112'!$M$9,G5120,1)),"",IF((AND(FIND('112'!$M$9,G5120,1)&gt;=1,B5120='112'!$K$9,OR($N5120='112'!$I$6,$O5120='112'!$I$6))),"x",""))</f>
        <v/>
      </c>
      <c r="U5120" s="75" t="str">
        <f>IF(ISERROR(FIND('112'!$M$9,G5120,1)),"",IF((AND(LEFT(G5120,2)=LEFT('112'!$M$9,2),B5120&lt;'112'!$K$9,$N5120='112'!$I$6)),"x",""))</f>
        <v/>
      </c>
      <c r="V5120" s="75" t="str">
        <f>IF(ISERROR(FIND('112'!$M$9,G5120,1)),"",IF((AND(RIGHT(G5120,2)=RIGHT('112'!$M$9,2),B5120&lt;'112'!$K$9,$O5120='112'!$I$6)),"x",""))</f>
        <v/>
      </c>
      <c r="W5120" s="75" t="str">
        <f>IF(AND('341-CT'!$H$9=H5120,OR(LEFT(N5120,3)=$W$7,LEFT(O5120,3)=$W$7)),"x","")</f>
        <v/>
      </c>
      <c r="X5120" s="75" t="str">
        <f>IF(OR(TH!N3993=TH!$X$7,O5120=TH!$X$7),"x","")</f>
        <v/>
      </c>
      <c r="Y5120" s="75" t="str">
        <f>IF(AND(OR(N5120="131",O5120="131"),H5120='131-CT'!$H$9),"x","")</f>
        <v/>
      </c>
      <c r="Z5120" s="75"/>
      <c r="AA5120" s="75" t="str">
        <f>IF(AND(MONTH(E5120)='IN-NX'!$J$5,'IN-NX'!$D$7=D5120),"x","")</f>
        <v/>
      </c>
      <c r="AB5120" s="75" t="str">
        <f>IF(AND(OR(LEFT(TH!N3993,2)="15",LEFT(TH!O3993,2)="15"),LEFT(TH!O3993,3)&lt;&gt;"111",'152-CT'!$J$8=TH!F3993),"x","")</f>
        <v/>
      </c>
      <c r="AC5120" s="75" t="str">
        <f>IF(AND(OR(LEFT(TH!N3993,2)="15",LEFT(TH!O3993,2)="15"),TK!$E$7=TH!F3993),"x","")</f>
        <v/>
      </c>
      <c r="AD5120" s="75" t="str">
        <f>IF(AND(N5120="1521",MONTH(C5120)='BK-NL'!$M$11),"x","")</f>
        <v/>
      </c>
    </row>
    <row r="5121" spans="1:33" ht="16.5" customHeight="1">
      <c r="A5121" s="309" t="str">
        <f>IF(B5121&lt;&gt;"",IF(AND(B5121='IN-TC'!$S$4,OR(TH!N5109="1111",TH!O5109="1111")),TH!D5109,""),"")</f>
        <v/>
      </c>
      <c r="B5121" s="1244">
        <f t="shared" si="1344"/>
        <v>10</v>
      </c>
      <c r="C5121" s="292">
        <f t="shared" si="1345"/>
        <v>43020</v>
      </c>
      <c r="D5121" s="59" t="s">
        <v>902</v>
      </c>
      <c r="E5121" s="59">
        <v>43020</v>
      </c>
      <c r="F5121" s="293" t="s">
        <v>2470</v>
      </c>
      <c r="G5121" s="62" t="s">
        <v>747</v>
      </c>
      <c r="H5121" s="67" t="s">
        <v>2471</v>
      </c>
      <c r="I5121" s="373"/>
      <c r="J5121" s="382"/>
      <c r="K5121" s="373">
        <v>3973</v>
      </c>
      <c r="L5121" s="379">
        <v>22690</v>
      </c>
      <c r="M5121" s="60">
        <v>90147370</v>
      </c>
      <c r="N5121" s="61" t="s">
        <v>26</v>
      </c>
      <c r="O5121" s="61" t="s">
        <v>250</v>
      </c>
      <c r="P5121" s="75" t="str">
        <f>IF(AND('331-CT'!$E$7=TH!H5503,OR(N5121="331",O5121="331")),"x","")</f>
        <v/>
      </c>
      <c r="Q5121" s="75" t="str">
        <f>IF(AND(B5121='111'!$L$11,OR($N5121=$Q$7,$O5121=$Q$7)),"x","")</f>
        <v/>
      </c>
      <c r="R5121" s="75" t="str">
        <f>IF(AND($N5121=$Q$7,$B5121&lt;'111'!$L$11),"x","")</f>
        <v/>
      </c>
      <c r="S5121" s="75" t="str">
        <f>IF(AND($O5121=$Q$7,$B5121&lt;'111'!$L$11),"x","")</f>
        <v/>
      </c>
      <c r="T5121" s="75" t="str">
        <f>IF(ISERROR(FIND('112'!$M$9,G5121,1)),"",IF((AND(FIND('112'!$M$9,G5121,1)&gt;=1,B5121='112'!$K$9,OR($N5121='112'!$I$6,$O5121='112'!$I$6))),"x",""))</f>
        <v/>
      </c>
      <c r="U5121" s="75" t="str">
        <f>IF(ISERROR(FIND('112'!$M$9,G5121,1)),"",IF((AND(LEFT(G5121,2)=LEFT('112'!$M$9,2),B5121&lt;'112'!$K$9,$N5121='112'!$I$6)),"x",""))</f>
        <v/>
      </c>
      <c r="V5121" s="75" t="str">
        <f>IF(ISERROR(FIND('112'!$M$9,G5121,1)),"",IF((AND(RIGHT(G5121,2)=RIGHT('112'!$M$9,2),B5121&lt;'112'!$K$9,$O5121='112'!$I$6)),"x",""))</f>
        <v/>
      </c>
      <c r="W5121" s="75" t="str">
        <f>IF(AND('341-CT'!$H$9=H5121,OR(LEFT(N5121,3)=$W$7,LEFT(O5121,3)=$W$7)),"x","")</f>
        <v>x</v>
      </c>
      <c r="X5121" s="75" t="str">
        <f>IF(OR(TH!N5503=TH!$X$7,O5121=TH!$X$7),"x","")</f>
        <v/>
      </c>
      <c r="Y5121" s="75" t="str">
        <f>IF(AND(OR(N5121="131",O5121="131"),H5121='131-CT'!$H$9),"x","")</f>
        <v/>
      </c>
      <c r="Z5121" s="75"/>
      <c r="AA5121" s="75" t="str">
        <f>IF(AND(MONTH(E5121)='IN-NX'!$J$5,'IN-NX'!$D$7=D5121),"x","")</f>
        <v/>
      </c>
      <c r="AB5121" s="75" t="str">
        <f>IF(AND(OR(LEFT(TH!N5503,2)="15",LEFT(TH!O5503,2)="15"),LEFT(TH!O5503,3)&lt;&gt;"111",'152-CT'!$J$8=TH!F5503),"x","")</f>
        <v/>
      </c>
      <c r="AC5121" s="75" t="str">
        <f>IF(AND(OR(LEFT(TH!N5503,2)="15",LEFT(TH!O5503,2)="15"),TK!$E$7=TH!F5503),"x","")</f>
        <v/>
      </c>
      <c r="AD5121" s="75" t="str">
        <f>IF(AND(N5121="1521",MONTH(C5121)='BK-NL'!$M$11),"x","")</f>
        <v/>
      </c>
      <c r="AE5121" s="304"/>
      <c r="AF5121" s="304"/>
      <c r="AG5121" s="304"/>
    </row>
    <row r="5122" spans="1:33" ht="16.5" customHeight="1">
      <c r="A5122" s="309" t="str">
        <f>IF(B5122&lt;&gt;"",IF(AND(B5122='IN-TC'!$S$4,OR(TH!N5110="1111",TH!O5110="1111")),TH!D5110,""),"")</f>
        <v/>
      </c>
      <c r="B5122" s="1244">
        <f t="shared" si="1344"/>
        <v>10</v>
      </c>
      <c r="C5122" s="292">
        <f t="shared" si="1345"/>
        <v>43020</v>
      </c>
      <c r="D5122" s="59" t="s">
        <v>902</v>
      </c>
      <c r="E5122" s="59">
        <v>43020</v>
      </c>
      <c r="F5122" s="62" t="s">
        <v>1312</v>
      </c>
      <c r="G5122" s="62" t="s">
        <v>747</v>
      </c>
      <c r="H5122" s="68" t="s">
        <v>560</v>
      </c>
      <c r="I5122" s="373"/>
      <c r="J5122" s="382"/>
      <c r="K5122" s="373"/>
      <c r="L5122" s="379"/>
      <c r="M5122" s="60">
        <v>69355400</v>
      </c>
      <c r="N5122" s="61" t="s">
        <v>8</v>
      </c>
      <c r="O5122" s="61" t="s">
        <v>26</v>
      </c>
      <c r="P5122" s="75" t="str">
        <f>IF(AND('331-CT'!$E$7=TH!H5504,OR(N5122="331",O5122="331")),"x","")</f>
        <v/>
      </c>
      <c r="Q5122" s="75" t="str">
        <f>IF(AND(B5122='111'!$L$11,OR($N5122=$Q$7,$O5122=$Q$7)),"x","")</f>
        <v/>
      </c>
      <c r="R5122" s="75" t="str">
        <f>IF(AND($N5122=$Q$7,$B5122&lt;'111'!$L$11),"x","")</f>
        <v/>
      </c>
      <c r="S5122" s="75" t="str">
        <f>IF(AND($O5122=$Q$7,$B5122&lt;'111'!$L$11),"x","")</f>
        <v/>
      </c>
      <c r="T5122" s="75" t="str">
        <f>IF(ISERROR(FIND('112'!$M$9,G5122,1)),"",IF((AND(FIND('112'!$M$9,G5122,1)&gt;=1,B5122='112'!$K$9,OR($N5122='112'!$I$6,$O5122='112'!$I$6))),"x",""))</f>
        <v/>
      </c>
      <c r="U5122" s="75" t="str">
        <f>IF(ISERROR(FIND('112'!$M$9,G5122,1)),"",IF((AND(LEFT(G5122,2)=LEFT('112'!$M$9,2),B5122&lt;'112'!$K$9,$N5122='112'!$I$6)),"x",""))</f>
        <v/>
      </c>
      <c r="V5122" s="75" t="str">
        <f>IF(ISERROR(FIND('112'!$M$9,G5122,1)),"",IF((AND(RIGHT(G5122,2)=RIGHT('112'!$M$9,2),B5122&lt;'112'!$K$9,$O5122='112'!$I$6)),"x",""))</f>
        <v/>
      </c>
      <c r="W5122" s="75" t="str">
        <f>IF(AND('341-CT'!$H$9=H5122,OR(LEFT(N5122,3)=$W$7,LEFT(O5122,3)=$W$7)),"x","")</f>
        <v/>
      </c>
      <c r="X5122" s="75" t="str">
        <f>IF(OR(TH!N5504=TH!$X$7,O5122=TH!$X$7),"x","")</f>
        <v/>
      </c>
      <c r="Y5122" s="75" t="str">
        <f>IF(AND(OR(N5122="131",O5122="131"),H5122='131-CT'!$H$9),"x","")</f>
        <v/>
      </c>
      <c r="Z5122" s="75"/>
      <c r="AA5122" s="75" t="str">
        <f>IF(AND(MONTH(E5122)='IN-NX'!$J$5,'IN-NX'!$D$7=D5122),"x","")</f>
        <v/>
      </c>
      <c r="AB5122" s="75" t="str">
        <f>IF(AND(OR(LEFT(TH!N5504,2)="15",LEFT(TH!O5504,2)="15"),LEFT(TH!O5504,3)&lt;&gt;"111",'152-CT'!$J$8=TH!F5504),"x","")</f>
        <v/>
      </c>
      <c r="AC5122" s="75" t="str">
        <f>IF(AND(OR(LEFT(TH!N5504,2)="15",LEFT(TH!O5504,2)="15"),TK!$E$7=TH!F5504),"x","")</f>
        <v/>
      </c>
      <c r="AD5122" s="75" t="str">
        <f>IF(AND(N5122="1521",MONTH(C5122)='BK-NL'!$M$11),"x","")</f>
        <v/>
      </c>
    </row>
    <row r="5123" spans="1:33" ht="16.5" customHeight="1">
      <c r="A5123" s="309" t="str">
        <f>IF(B5123&lt;&gt;"",IF(AND(B5123='IN-TC'!$S$4,OR(TH!N5111="1111",TH!O5111="1111")),TH!D5111,""),"")</f>
        <v/>
      </c>
      <c r="B5123" s="1244">
        <f t="shared" si="1344"/>
        <v>10</v>
      </c>
      <c r="C5123" s="292">
        <f t="shared" si="1345"/>
        <v>43020</v>
      </c>
      <c r="D5123" s="59" t="s">
        <v>902</v>
      </c>
      <c r="E5123" s="59">
        <v>43020</v>
      </c>
      <c r="F5123" s="62" t="s">
        <v>1307</v>
      </c>
      <c r="G5123" s="62" t="s">
        <v>747</v>
      </c>
      <c r="H5123" s="67" t="s">
        <v>835</v>
      </c>
      <c r="I5123" s="373"/>
      <c r="J5123" s="382"/>
      <c r="K5123" s="373"/>
      <c r="L5123" s="379"/>
      <c r="M5123" s="60">
        <v>20807</v>
      </c>
      <c r="N5123" s="61" t="s">
        <v>101</v>
      </c>
      <c r="O5123" s="61" t="s">
        <v>26</v>
      </c>
      <c r="P5123" s="75" t="str">
        <f>IF(AND('331-CT'!$E$7=TH!H5505,OR(N5123="331",O5123="331")),"x","")</f>
        <v/>
      </c>
      <c r="Q5123" s="75" t="str">
        <f>IF(AND(B5123='111'!$L$11,OR($N5123=$Q$7,$O5123=$Q$7)),"x","")</f>
        <v/>
      </c>
      <c r="R5123" s="75" t="str">
        <f>IF(AND($N5123=$Q$7,$B5123&lt;'111'!$L$11),"x","")</f>
        <v/>
      </c>
      <c r="S5123" s="75" t="str">
        <f>IF(AND($O5123=$Q$7,$B5123&lt;'111'!$L$11),"x","")</f>
        <v/>
      </c>
      <c r="T5123" s="75" t="str">
        <f>IF(ISERROR(FIND('112'!$M$9,G5123,1)),"",IF((AND(FIND('112'!$M$9,G5123,1)&gt;=1,B5123='112'!$K$9,OR($N5123='112'!$I$6,$O5123='112'!$I$6))),"x",""))</f>
        <v/>
      </c>
      <c r="U5123" s="75" t="str">
        <f>IF(ISERROR(FIND('112'!$M$9,G5123,1)),"",IF((AND(LEFT(G5123,2)=LEFT('112'!$M$9,2),B5123&lt;'112'!$K$9,$N5123='112'!$I$6)),"x",""))</f>
        <v/>
      </c>
      <c r="V5123" s="75" t="str">
        <f>IF(ISERROR(FIND('112'!$M$9,G5123,1)),"",IF((AND(RIGHT(G5123,2)=RIGHT('112'!$M$9,2),B5123&lt;'112'!$K$9,$O5123='112'!$I$6)),"x",""))</f>
        <v/>
      </c>
      <c r="W5123" s="75" t="str">
        <f>IF(AND('341-CT'!$H$9=H5123,OR(LEFT(N5123,3)=$W$7,LEFT(O5123,3)=$W$7)),"x","")</f>
        <v/>
      </c>
      <c r="X5123" s="75" t="str">
        <f>IF(OR(TH!N5505=TH!$X$7,O5123=TH!$X$7),"x","")</f>
        <v/>
      </c>
      <c r="Y5123" s="75" t="str">
        <f>IF(AND(OR(N5123="131",O5123="131"),H5123='131-CT'!$H$9),"x","")</f>
        <v/>
      </c>
      <c r="Z5123" s="75"/>
      <c r="AA5123" s="75" t="str">
        <f>IF(AND(MONTH(E5123)='IN-NX'!$J$5,'IN-NX'!$D$7=D5123),"x","")</f>
        <v/>
      </c>
      <c r="AB5123" s="75" t="str">
        <f>IF(AND(OR(LEFT(TH!N5505,2)="15",LEFT(TH!O5505,2)="15"),LEFT(TH!O5505,3)&lt;&gt;"111",'152-CT'!$J$8=TH!F5505),"x","")</f>
        <v/>
      </c>
      <c r="AC5123" s="75" t="str">
        <f>IF(AND(OR(LEFT(TH!N5505,2)="15",LEFT(TH!O5505,2)="15"),TK!$E$7=TH!F5505),"x","")</f>
        <v/>
      </c>
      <c r="AD5123" s="75" t="str">
        <f>IF(AND(N5123="1521",MONTH(C5123)='BK-NL'!$M$11),"x","")</f>
        <v/>
      </c>
      <c r="AE5123">
        <v>10</v>
      </c>
    </row>
    <row r="5124" spans="1:33" ht="16.5" customHeight="1">
      <c r="A5124" s="309" t="str">
        <f>IF(B5124&lt;&gt;"",IF(AND(B5124='IN-TC'!$S$4,OR(TH!N5112="1111",TH!O5112="1111")),TH!D5112,""),"")</f>
        <v/>
      </c>
      <c r="B5124" s="1244">
        <f t="shared" si="1344"/>
        <v>10</v>
      </c>
      <c r="C5124" s="292">
        <f t="shared" si="1345"/>
        <v>43020</v>
      </c>
      <c r="D5124" s="59" t="s">
        <v>902</v>
      </c>
      <c r="E5124" s="59">
        <v>43020</v>
      </c>
      <c r="F5124" s="62" t="s">
        <v>1314</v>
      </c>
      <c r="G5124" s="62" t="s">
        <v>747</v>
      </c>
      <c r="H5124" s="67" t="s">
        <v>835</v>
      </c>
      <c r="I5124" s="373"/>
      <c r="J5124" s="382"/>
      <c r="K5124" s="373"/>
      <c r="L5124" s="379"/>
      <c r="M5124" s="60">
        <v>2081</v>
      </c>
      <c r="N5124" s="61" t="s">
        <v>9</v>
      </c>
      <c r="O5124" s="61" t="s">
        <v>26</v>
      </c>
      <c r="P5124" s="75" t="str">
        <f>IF(AND('331-CT'!$E$7=TH!H5506,OR(N5124="331",O5124="331")),"x","")</f>
        <v/>
      </c>
      <c r="Q5124" s="75" t="str">
        <f>IF(AND(B5124='111'!$L$11,OR($N5124=$Q$7,$O5124=$Q$7)),"x","")</f>
        <v/>
      </c>
      <c r="R5124" s="75" t="str">
        <f>IF(AND($N5124=$Q$7,$B5124&lt;'111'!$L$11),"x","")</f>
        <v/>
      </c>
      <c r="S5124" s="75" t="str">
        <f>IF(AND($O5124=$Q$7,$B5124&lt;'111'!$L$11),"x","")</f>
        <v/>
      </c>
      <c r="T5124" s="75" t="str">
        <f>IF(ISERROR(FIND('112'!$M$9,G5124,1)),"",IF((AND(FIND('112'!$M$9,G5124,1)&gt;=1,B5124='112'!$K$9,OR($N5124='112'!$I$6,$O5124='112'!$I$6))),"x",""))</f>
        <v/>
      </c>
      <c r="U5124" s="75" t="str">
        <f>IF(ISERROR(FIND('112'!$M$9,G5124,1)),"",IF((AND(LEFT(G5124,2)=LEFT('112'!$M$9,2),B5124&lt;'112'!$K$9,$N5124='112'!$I$6)),"x",""))</f>
        <v/>
      </c>
      <c r="V5124" s="75" t="str">
        <f>IF(ISERROR(FIND('112'!$M$9,G5124,1)),"",IF((AND(RIGHT(G5124,2)=RIGHT('112'!$M$9,2),B5124&lt;'112'!$K$9,$O5124='112'!$I$6)),"x",""))</f>
        <v/>
      </c>
      <c r="W5124" s="75" t="str">
        <f>IF(AND('341-CT'!$H$9=H5124,OR(LEFT(N5124,3)=$W$7,LEFT(O5124,3)=$W$7)),"x","")</f>
        <v/>
      </c>
      <c r="X5124" s="75" t="str">
        <f>IF(OR(TH!N5506=TH!$X$7,O5124=TH!$X$7),"x","")</f>
        <v/>
      </c>
      <c r="Y5124" s="75" t="str">
        <f>IF(AND(OR(N5124="131",O5124="131"),H5124='131-CT'!$H$9),"x","")</f>
        <v/>
      </c>
      <c r="Z5124" s="75"/>
      <c r="AA5124" s="75" t="str">
        <f>IF(AND(MONTH(E5124)='IN-NX'!$J$5,'IN-NX'!$D$7=D5124),"x","")</f>
        <v/>
      </c>
      <c r="AB5124" s="75" t="str">
        <f>IF(AND(OR(LEFT(TH!N5506,2)="15",LEFT(TH!O5506,2)="15"),LEFT(TH!O5506,3)&lt;&gt;"111",'152-CT'!$J$8=TH!F5506),"x","")</f>
        <v/>
      </c>
      <c r="AC5124" s="75" t="str">
        <f>IF(AND(OR(LEFT(TH!N5506,2)="15",LEFT(TH!O5506,2)="15"),TK!$E$7=TH!F5506),"x","")</f>
        <v/>
      </c>
      <c r="AD5124" s="75" t="str">
        <f>IF(AND(N5124="1521",MONTH(C5124)='BK-NL'!$M$11),"x","")</f>
        <v/>
      </c>
      <c r="AE5124">
        <v>10</v>
      </c>
    </row>
    <row r="5125" spans="1:33" ht="16.5" customHeight="1">
      <c r="A5125" s="309" t="str">
        <f>IF(B5125&lt;&gt;"",IF(AND(B5125='IN-TC'!$S$4,OR(TH!N5113="1111",TH!O5113="1111")),TH!D5113,""),"")</f>
        <v/>
      </c>
      <c r="B5125" s="1244">
        <f t="shared" si="1344"/>
        <v>10</v>
      </c>
      <c r="C5125" s="292">
        <f t="shared" si="1345"/>
        <v>43021</v>
      </c>
      <c r="D5125" s="59" t="s">
        <v>902</v>
      </c>
      <c r="E5125" s="59">
        <v>43021</v>
      </c>
      <c r="F5125" s="62" t="s">
        <v>1177</v>
      </c>
      <c r="G5125" s="62" t="s">
        <v>747</v>
      </c>
      <c r="H5125" s="67" t="s">
        <v>835</v>
      </c>
      <c r="I5125" s="373"/>
      <c r="J5125" s="382"/>
      <c r="K5125" s="373"/>
      <c r="L5125" s="379"/>
      <c r="M5125" s="60">
        <v>2660789</v>
      </c>
      <c r="N5125" s="61" t="s">
        <v>101</v>
      </c>
      <c r="O5125" s="61" t="s">
        <v>26</v>
      </c>
      <c r="P5125" s="75" t="str">
        <f>IF(AND('331-CT'!$E$7=TH!H5507,OR(N5125="331",O5125="331")),"x","")</f>
        <v/>
      </c>
      <c r="Q5125" s="75" t="str">
        <f>IF(AND(B5125='111'!$L$11,OR($N5125=$Q$7,$O5125=$Q$7)),"x","")</f>
        <v/>
      </c>
      <c r="R5125" s="75" t="str">
        <f>IF(AND($N5125=$Q$7,$B5125&lt;'111'!$L$11),"x","")</f>
        <v/>
      </c>
      <c r="S5125" s="75" t="str">
        <f>IF(AND($O5125=$Q$7,$B5125&lt;'111'!$L$11),"x","")</f>
        <v/>
      </c>
      <c r="T5125" s="75" t="str">
        <f>IF(ISERROR(FIND('112'!$M$9,G5125,1)),"",IF((AND(FIND('112'!$M$9,G5125,1)&gt;=1,B5125='112'!$K$9,OR($N5125='112'!$I$6,$O5125='112'!$I$6))),"x",""))</f>
        <v/>
      </c>
      <c r="U5125" s="75" t="str">
        <f>IF(ISERROR(FIND('112'!$M$9,G5125,1)),"",IF((AND(LEFT(G5125,2)=LEFT('112'!$M$9,2),B5125&lt;'112'!$K$9,$N5125='112'!$I$6)),"x",""))</f>
        <v/>
      </c>
      <c r="V5125" s="75" t="str">
        <f>IF(ISERROR(FIND('112'!$M$9,G5125,1)),"",IF((AND(RIGHT(G5125,2)=RIGHT('112'!$M$9,2),B5125&lt;'112'!$K$9,$O5125='112'!$I$6)),"x",""))</f>
        <v/>
      </c>
      <c r="W5125" s="75" t="str">
        <f>IF(AND('341-CT'!$H$9=H5125,OR(LEFT(N5125,3)=$W$7,LEFT(O5125,3)=$W$7)),"x","")</f>
        <v/>
      </c>
      <c r="X5125" s="75" t="str">
        <f>IF(OR(TH!N5507=TH!$X$7,O5125=TH!$X$7),"x","")</f>
        <v>x</v>
      </c>
      <c r="Y5125" s="75" t="str">
        <f>IF(AND(OR(N5125="131",O5125="131"),H5125='131-CT'!$H$9),"x","")</f>
        <v/>
      </c>
      <c r="Z5125" s="75"/>
      <c r="AA5125" s="75" t="str">
        <f>IF(AND(MONTH(E5125)='IN-NX'!$J$5,'IN-NX'!$D$7=D5125),"x","")</f>
        <v/>
      </c>
      <c r="AB5125" s="75" t="str">
        <f>IF(AND(OR(LEFT(TH!N5507,2)="15",LEFT(TH!O5507,2)="15"),LEFT(TH!O5507,3)&lt;&gt;"111",'152-CT'!$J$8=TH!F5507),"x","")</f>
        <v/>
      </c>
      <c r="AC5125" s="75" t="str">
        <f>IF(AND(OR(LEFT(TH!N5507,2)="15",LEFT(TH!O5507,2)="15"),TK!$E$7=TH!F5507),"x","")</f>
        <v/>
      </c>
      <c r="AD5125" s="75" t="str">
        <f>IF(AND(N5125="1521",MONTH(C5125)='BK-NL'!$M$11),"x","")</f>
        <v/>
      </c>
    </row>
    <row r="5126" spans="1:33" ht="16.5" customHeight="1">
      <c r="A5126" s="309" t="str">
        <f>IF(B5126&lt;&gt;"",IF(AND(B5126='IN-TC'!$S$4,OR(TH!N5114="1111",TH!O5114="1111")),TH!D5114,""),"")</f>
        <v/>
      </c>
      <c r="B5126" s="1244">
        <f t="shared" si="1344"/>
        <v>10</v>
      </c>
      <c r="C5126" s="292">
        <f t="shared" si="1345"/>
        <v>43022</v>
      </c>
      <c r="D5126" s="292"/>
      <c r="E5126" s="292">
        <v>43022</v>
      </c>
      <c r="F5126" s="67" t="s">
        <v>881</v>
      </c>
      <c r="G5126" s="925" t="s">
        <v>2499</v>
      </c>
      <c r="H5126" s="294" t="s">
        <v>2500</v>
      </c>
      <c r="I5126" s="373"/>
      <c r="J5126" s="926"/>
      <c r="K5126" s="373"/>
      <c r="L5126" s="379"/>
      <c r="M5126" s="927">
        <v>1200000</v>
      </c>
      <c r="N5126" s="295" t="s">
        <v>101</v>
      </c>
      <c r="O5126" s="295" t="s">
        <v>63</v>
      </c>
      <c r="P5126" s="75" t="str">
        <f>IF(AND('331-CT'!$E$7=TH!H3994,OR(N5126="331",O5126="331")),"x","")</f>
        <v/>
      </c>
      <c r="Q5126" s="75" t="str">
        <f>IF(AND(B5126='111'!$L$11,OR($N5126=$Q$7,$O5126=$Q$7)),"x","")</f>
        <v/>
      </c>
      <c r="R5126" s="75" t="str">
        <f>IF(AND($N5126=$Q$7,$B5126&lt;'111'!$L$11),"x","")</f>
        <v/>
      </c>
      <c r="S5126" s="75" t="str">
        <f>IF(AND($O5126=$Q$7,$B5126&lt;'111'!$L$11),"x","")</f>
        <v>x</v>
      </c>
      <c r="T5126" s="75" t="str">
        <f>IF(ISERROR(FIND('112'!$M$9,G5126,1)),"",IF((AND(FIND('112'!$M$9,G5126,1)&gt;=1,B5126='112'!$K$9,OR($N5126='112'!$I$6,$O5126='112'!$I$6))),"x",""))</f>
        <v/>
      </c>
      <c r="U5126" s="75" t="str">
        <f>IF(ISERROR(FIND('112'!$M$9,G5126,1)),"",IF((AND(LEFT(G5126,2)=LEFT('112'!$M$9,2),B5126&lt;'112'!$K$9,$N5126='112'!$I$6)),"x",""))</f>
        <v/>
      </c>
      <c r="V5126" s="75" t="str">
        <f>IF(ISERROR(FIND('112'!$M$9,G5126,1)),"",IF((AND(RIGHT(G5126,2)=RIGHT('112'!$M$9,2),B5126&lt;'112'!$K$9,$O5126='112'!$I$6)),"x",""))</f>
        <v/>
      </c>
      <c r="W5126" s="75" t="str">
        <f>IF(AND('341-CT'!$H$9=H5126,OR(LEFT(N5126,3)=$W$7,LEFT(O5126,3)=$W$7)),"x","")</f>
        <v/>
      </c>
      <c r="X5126" s="75" t="str">
        <f>IF(OR(TH!N3994=TH!$X$7,O5126=TH!$X$7),"x","")</f>
        <v/>
      </c>
      <c r="Y5126" s="75" t="str">
        <f>IF(AND(OR(N5126="131",O5126="131"),H5126='131-CT'!$H$9),"x","")</f>
        <v/>
      </c>
      <c r="Z5126" s="75"/>
      <c r="AA5126" s="75" t="str">
        <f>IF(AND(MONTH(E5126)='IN-NX'!$J$5,'IN-NX'!$D$7=D5126),"x","")</f>
        <v/>
      </c>
      <c r="AB5126" s="75" t="str">
        <f>IF(AND(OR(LEFT(TH!N3994,2)="15",LEFT(TH!O3994,2)="15"),LEFT(TH!O3994,3)&lt;&gt;"111",'152-CT'!$J$8=TH!F3994),"x","")</f>
        <v/>
      </c>
      <c r="AC5126" s="75" t="str">
        <f>IF(AND(OR(LEFT(TH!N3994,2)="15",LEFT(TH!O3994,2)="15"),TK!$E$7=TH!F3994),"x","")</f>
        <v/>
      </c>
      <c r="AD5126" s="75" t="str">
        <f>IF(AND(N5126="1521",MONTH(C5126)='BK-NL'!$M$11),"x","")</f>
        <v/>
      </c>
      <c r="AE5126">
        <v>10</v>
      </c>
    </row>
    <row r="5127" spans="1:33" ht="16.5" customHeight="1">
      <c r="A5127" s="309" t="str">
        <f>IF(B5127&lt;&gt;"",IF(AND(B5127='IN-TC'!$S$4,OR(TH!N5115="1111",TH!O5115="1111")),TH!D5115,""),"")</f>
        <v/>
      </c>
      <c r="B5127" s="1244">
        <f t="shared" si="1344"/>
        <v>10</v>
      </c>
      <c r="C5127" s="292">
        <f t="shared" si="1345"/>
        <v>43022</v>
      </c>
      <c r="D5127" s="292"/>
      <c r="E5127" s="292">
        <v>43022</v>
      </c>
      <c r="F5127" s="67" t="s">
        <v>882</v>
      </c>
      <c r="G5127" s="925" t="s">
        <v>2499</v>
      </c>
      <c r="H5127" s="294" t="s">
        <v>2500</v>
      </c>
      <c r="I5127" s="373"/>
      <c r="J5127" s="926"/>
      <c r="K5127" s="373"/>
      <c r="L5127" s="379"/>
      <c r="M5127" s="927">
        <v>60000</v>
      </c>
      <c r="N5127" s="295" t="s">
        <v>9</v>
      </c>
      <c r="O5127" s="295" t="s">
        <v>63</v>
      </c>
      <c r="P5127" s="75" t="str">
        <f>IF(AND('331-CT'!$E$7=TH!H3995,OR(N5127="331",O5127="331")),"x","")</f>
        <v/>
      </c>
      <c r="Q5127" s="75" t="str">
        <f>IF(AND(B5127='111'!$L$11,OR($N5127=$Q$7,$O5127=$Q$7)),"x","")</f>
        <v/>
      </c>
      <c r="R5127" s="75" t="str">
        <f>IF(AND($N5127=$Q$7,$B5127&lt;'111'!$L$11),"x","")</f>
        <v/>
      </c>
      <c r="S5127" s="75" t="str">
        <f>IF(AND($O5127=$Q$7,$B5127&lt;'111'!$L$11),"x","")</f>
        <v>x</v>
      </c>
      <c r="T5127" s="75" t="str">
        <f>IF(ISERROR(FIND('112'!$M$9,G5127,1)),"",IF((AND(FIND('112'!$M$9,G5127,1)&gt;=1,B5127='112'!$K$9,OR($N5127='112'!$I$6,$O5127='112'!$I$6))),"x",""))</f>
        <v/>
      </c>
      <c r="U5127" s="75" t="str">
        <f>IF(ISERROR(FIND('112'!$M$9,G5127,1)),"",IF((AND(LEFT(G5127,2)=LEFT('112'!$M$9,2),B5127&lt;'112'!$K$9,$N5127='112'!$I$6)),"x",""))</f>
        <v/>
      </c>
      <c r="V5127" s="75" t="str">
        <f>IF(ISERROR(FIND('112'!$M$9,G5127,1)),"",IF((AND(RIGHT(G5127,2)=RIGHT('112'!$M$9,2),B5127&lt;'112'!$K$9,$O5127='112'!$I$6)),"x",""))</f>
        <v/>
      </c>
      <c r="W5127" s="75" t="str">
        <f>IF(AND('341-CT'!$H$9=H5127,OR(LEFT(N5127,3)=$W$7,LEFT(O5127,3)=$W$7)),"x","")</f>
        <v/>
      </c>
      <c r="X5127" s="75" t="str">
        <f>IF(OR(TH!N3995=TH!$X$7,O5127=TH!$X$7),"x","")</f>
        <v/>
      </c>
      <c r="Y5127" s="75" t="str">
        <f>IF(AND(OR(N5127="131",O5127="131"),H5127='131-CT'!$H$9),"x","")</f>
        <v/>
      </c>
      <c r="Z5127" s="75"/>
      <c r="AA5127" s="75" t="str">
        <f>IF(AND(MONTH(E5127)='IN-NX'!$J$5,'IN-NX'!$D$7=D5127),"x","")</f>
        <v/>
      </c>
      <c r="AB5127" s="75" t="str">
        <f>IF(AND(OR(LEFT(TH!N3995,2)="15",LEFT(TH!O3995,2)="15"),LEFT(TH!O3995,3)&lt;&gt;"111",'152-CT'!$J$8=TH!F3995),"x","")</f>
        <v/>
      </c>
      <c r="AC5127" s="75" t="str">
        <f>IF(AND(OR(LEFT(TH!N3995,2)="15",LEFT(TH!O3995,2)="15"),TK!$E$7=TH!F3995),"x","")</f>
        <v/>
      </c>
      <c r="AD5127" s="75" t="str">
        <f>IF(AND(N5127="1521",MONTH(C5127)='BK-NL'!$M$11),"x","")</f>
        <v/>
      </c>
      <c r="AE5127">
        <v>10</v>
      </c>
    </row>
    <row r="5128" spans="1:33" ht="16.5" customHeight="1">
      <c r="A5128" s="309" t="str">
        <f>IF(B5128&lt;&gt;"",IF(AND(B5128='IN-TC'!$S$4,OR(TH!N5116="1111",TH!O5116="1111")),TH!D5116,""),"")</f>
        <v/>
      </c>
      <c r="B5128" s="1244">
        <f t="shared" si="1344"/>
        <v>10</v>
      </c>
      <c r="C5128" s="292">
        <f t="shared" si="1345"/>
        <v>43022</v>
      </c>
      <c r="D5128" s="292"/>
      <c r="E5128" s="292">
        <v>43022</v>
      </c>
      <c r="F5128" s="67" t="s">
        <v>1283</v>
      </c>
      <c r="G5128" s="925" t="s">
        <v>2501</v>
      </c>
      <c r="H5128" s="294" t="s">
        <v>893</v>
      </c>
      <c r="I5128" s="373"/>
      <c r="J5128" s="926"/>
      <c r="K5128" s="373"/>
      <c r="L5128" s="379"/>
      <c r="M5128" s="927">
        <v>917509</v>
      </c>
      <c r="N5128" s="295" t="s">
        <v>101</v>
      </c>
      <c r="O5128" s="295" t="s">
        <v>63</v>
      </c>
      <c r="P5128" s="75" t="str">
        <f>IF(AND('331-CT'!$E$7=TH!H3996,OR(N5128="331",O5128="331")),"x","")</f>
        <v/>
      </c>
      <c r="Q5128" s="75" t="str">
        <f>IF(AND(B5128='111'!$L$11,OR($N5128=$Q$7,$O5128=$Q$7)),"x","")</f>
        <v/>
      </c>
      <c r="R5128" s="75" t="str">
        <f>IF(AND($N5128=$Q$7,$B5128&lt;'111'!$L$11),"x","")</f>
        <v/>
      </c>
      <c r="S5128" s="75" t="str">
        <f>IF(AND($O5128=$Q$7,$B5128&lt;'111'!$L$11),"x","")</f>
        <v>x</v>
      </c>
      <c r="T5128" s="75" t="str">
        <f>IF(ISERROR(FIND('112'!$M$9,G5128,1)),"",IF((AND(FIND('112'!$M$9,G5128,1)&gt;=1,B5128='112'!$K$9,OR($N5128='112'!$I$6,$O5128='112'!$I$6))),"x",""))</f>
        <v/>
      </c>
      <c r="U5128" s="75" t="str">
        <f>IF(ISERROR(FIND('112'!$M$9,G5128,1)),"",IF((AND(LEFT(G5128,2)=LEFT('112'!$M$9,2),B5128&lt;'112'!$K$9,$N5128='112'!$I$6)),"x",""))</f>
        <v/>
      </c>
      <c r="V5128" s="75" t="str">
        <f>IF(ISERROR(FIND('112'!$M$9,G5128,1)),"",IF((AND(RIGHT(G5128,2)=RIGHT('112'!$M$9,2),B5128&lt;'112'!$K$9,$O5128='112'!$I$6)),"x",""))</f>
        <v/>
      </c>
      <c r="W5128" s="75" t="str">
        <f>IF(AND('341-CT'!$H$9=H5128,OR(LEFT(N5128,3)=$W$7,LEFT(O5128,3)=$W$7)),"x","")</f>
        <v/>
      </c>
      <c r="X5128" s="75" t="str">
        <f>IF(OR(TH!N3996=TH!$X$7,O5128=TH!$X$7),"x","")</f>
        <v/>
      </c>
      <c r="Y5128" s="75" t="str">
        <f>IF(AND(OR(N5128="131",O5128="131"),H5128='131-CT'!$H$9),"x","")</f>
        <v/>
      </c>
      <c r="Z5128" s="75"/>
      <c r="AA5128" s="75" t="str">
        <f>IF(AND(MONTH(E5128)='IN-NX'!$J$5,'IN-NX'!$D$7=D5128),"x","")</f>
        <v/>
      </c>
      <c r="AB5128" s="75" t="str">
        <f>IF(AND(OR(LEFT(TH!N3996,2)="15",LEFT(TH!O3996,2)="15"),LEFT(TH!O3996,3)&lt;&gt;"111",'152-CT'!$J$8=TH!F3996),"x","")</f>
        <v/>
      </c>
      <c r="AC5128" s="75" t="str">
        <f>IF(AND(OR(LEFT(TH!N3996,2)="15",LEFT(TH!O3996,2)="15"),TK!$E$7=TH!F3996),"x","")</f>
        <v/>
      </c>
      <c r="AD5128" s="75" t="str">
        <f>IF(AND(N5128="1521",MONTH(C5128)='BK-NL'!$M$11),"x","")</f>
        <v/>
      </c>
      <c r="AE5128">
        <v>10</v>
      </c>
    </row>
    <row r="5129" spans="1:33" ht="16.5" customHeight="1">
      <c r="A5129" s="309" t="str">
        <f>IF(B5129&lt;&gt;"",IF(AND(B5129='IN-TC'!$S$4,OR(TH!N5117="1111",TH!O5117="1111")),TH!D5117,""),"")</f>
        <v/>
      </c>
      <c r="B5129" s="1244">
        <f t="shared" si="1344"/>
        <v>10</v>
      </c>
      <c r="C5129" s="292">
        <f t="shared" si="1345"/>
        <v>43022</v>
      </c>
      <c r="D5129" s="292"/>
      <c r="E5129" s="292">
        <v>43022</v>
      </c>
      <c r="F5129" s="67" t="s">
        <v>1284</v>
      </c>
      <c r="G5129" s="925" t="s">
        <v>2501</v>
      </c>
      <c r="H5129" s="294" t="s">
        <v>893</v>
      </c>
      <c r="I5129" s="373"/>
      <c r="J5129" s="926"/>
      <c r="K5129" s="373"/>
      <c r="L5129" s="379"/>
      <c r="M5129" s="927">
        <v>91751</v>
      </c>
      <c r="N5129" s="295" t="s">
        <v>9</v>
      </c>
      <c r="O5129" s="295" t="s">
        <v>63</v>
      </c>
      <c r="P5129" s="75" t="str">
        <f>IF(AND('331-CT'!$E$7=TH!H3997,OR(N5129="331",O5129="331")),"x","")</f>
        <v/>
      </c>
      <c r="Q5129" s="75" t="str">
        <f>IF(AND(B5129='111'!$L$11,OR($N5129=$Q$7,$O5129=$Q$7)),"x","")</f>
        <v/>
      </c>
      <c r="R5129" s="75" t="str">
        <f>IF(AND($N5129=$Q$7,$B5129&lt;'111'!$L$11),"x","")</f>
        <v/>
      </c>
      <c r="S5129" s="75" t="str">
        <f>IF(AND($O5129=$Q$7,$B5129&lt;'111'!$L$11),"x","")</f>
        <v>x</v>
      </c>
      <c r="T5129" s="75" t="str">
        <f>IF(ISERROR(FIND('112'!$M$9,G5129,1)),"",IF((AND(FIND('112'!$M$9,G5129,1)&gt;=1,B5129='112'!$K$9,OR($N5129='112'!$I$6,$O5129='112'!$I$6))),"x",""))</f>
        <v/>
      </c>
      <c r="U5129" s="75" t="str">
        <f>IF(ISERROR(FIND('112'!$M$9,G5129,1)),"",IF((AND(LEFT(G5129,2)=LEFT('112'!$M$9,2),B5129&lt;'112'!$K$9,$N5129='112'!$I$6)),"x",""))</f>
        <v/>
      </c>
      <c r="V5129" s="75" t="str">
        <f>IF(ISERROR(FIND('112'!$M$9,G5129,1)),"",IF((AND(RIGHT(G5129,2)=RIGHT('112'!$M$9,2),B5129&lt;'112'!$K$9,$O5129='112'!$I$6)),"x",""))</f>
        <v/>
      </c>
      <c r="W5129" s="75" t="str">
        <f>IF(AND('341-CT'!$H$9=H5129,OR(LEFT(N5129,3)=$W$7,LEFT(O5129,3)=$W$7)),"x","")</f>
        <v/>
      </c>
      <c r="X5129" s="75" t="str">
        <f>IF(OR(TH!N3997=TH!$X$7,O5129=TH!$X$7),"x","")</f>
        <v/>
      </c>
      <c r="Y5129" s="75" t="str">
        <f>IF(AND(OR(N5129="131",O5129="131"),H5129='131-CT'!$H$9),"x","")</f>
        <v/>
      </c>
      <c r="Z5129" s="75"/>
      <c r="AA5129" s="75" t="str">
        <f>IF(AND(MONTH(E5129)='IN-NX'!$J$5,'IN-NX'!$D$7=D5129),"x","")</f>
        <v/>
      </c>
      <c r="AB5129" s="75" t="str">
        <f>IF(AND(OR(LEFT(TH!N3997,2)="15",LEFT(TH!O3997,2)="15"),LEFT(TH!O3997,3)&lt;&gt;"111",'152-CT'!$J$8=TH!F3997),"x","")</f>
        <v/>
      </c>
      <c r="AC5129" s="75" t="str">
        <f>IF(AND(OR(LEFT(TH!N3997,2)="15",LEFT(TH!O3997,2)="15"),TK!$E$7=TH!F3997),"x","")</f>
        <v/>
      </c>
      <c r="AD5129" s="75" t="str">
        <f>IF(AND(N5129="1521",MONTH(C5129)='BK-NL'!$M$11),"x","")</f>
        <v/>
      </c>
      <c r="AE5129">
        <v>10</v>
      </c>
    </row>
    <row r="5130" spans="1:33" ht="16.5" customHeight="1">
      <c r="A5130" s="309" t="str">
        <f>IF(B5130&lt;&gt;"",IF(AND(B5130='IN-TC'!$S$4,OR(TH!N5118="1111",TH!O5118="1111")),TH!D5118,""),"")</f>
        <v/>
      </c>
      <c r="B5130" s="1244">
        <f t="shared" si="1344"/>
        <v>10</v>
      </c>
      <c r="C5130" s="292">
        <f t="shared" si="1345"/>
        <v>43023</v>
      </c>
      <c r="D5130" s="292"/>
      <c r="E5130" s="292">
        <v>43023</v>
      </c>
      <c r="F5130" s="67" t="s">
        <v>1165</v>
      </c>
      <c r="G5130" s="925" t="s">
        <v>2597</v>
      </c>
      <c r="H5130" s="294" t="s">
        <v>1684</v>
      </c>
      <c r="I5130" s="373"/>
      <c r="J5130" s="926"/>
      <c r="K5130" s="373"/>
      <c r="L5130" s="379"/>
      <c r="M5130" s="927">
        <v>19762050</v>
      </c>
      <c r="N5130" s="295" t="s">
        <v>8</v>
      </c>
      <c r="O5130" s="295" t="s">
        <v>63</v>
      </c>
      <c r="P5130" s="75" t="str">
        <f>IF(AND('331-CT'!$E$7=TH!H3998,OR(N5130="331",O5130="331")),"x","")</f>
        <v/>
      </c>
      <c r="Q5130" s="75" t="str">
        <f>IF(AND(B5130='111'!$L$11,OR($N5130=$Q$7,$O5130=$Q$7)),"x","")</f>
        <v/>
      </c>
      <c r="R5130" s="75" t="str">
        <f>IF(AND($N5130=$Q$7,$B5130&lt;'111'!$L$11),"x","")</f>
        <v/>
      </c>
      <c r="S5130" s="75" t="str">
        <f>IF(AND($O5130=$Q$7,$B5130&lt;'111'!$L$11),"x","")</f>
        <v>x</v>
      </c>
      <c r="T5130" s="75" t="str">
        <f>IF(ISERROR(FIND('112'!$M$9,G5130,1)),"",IF((AND(FIND('112'!$M$9,G5130,1)&gt;=1,B5130='112'!$K$9,OR($N5130='112'!$I$6,$O5130='112'!$I$6))),"x",""))</f>
        <v/>
      </c>
      <c r="U5130" s="75" t="str">
        <f>IF(ISERROR(FIND('112'!$M$9,G5130,1)),"",IF((AND(LEFT(G5130,2)=LEFT('112'!$M$9,2),B5130&lt;'112'!$K$9,$N5130='112'!$I$6)),"x",""))</f>
        <v/>
      </c>
      <c r="V5130" s="75" t="str">
        <f>IF(ISERROR(FIND('112'!$M$9,G5130,1)),"",IF((AND(RIGHT(G5130,2)=RIGHT('112'!$M$9,2),B5130&lt;'112'!$K$9,$O5130='112'!$I$6)),"x",""))</f>
        <v/>
      </c>
      <c r="W5130" s="75" t="str">
        <f>IF(AND('341-CT'!$H$9=H5130,OR(LEFT(N5130,3)=$W$7,LEFT(O5130,3)=$W$7)),"x","")</f>
        <v/>
      </c>
      <c r="X5130" s="75" t="str">
        <f>IF(OR(TH!N3998=TH!$X$7,O5130=TH!$X$7),"x","")</f>
        <v/>
      </c>
      <c r="Y5130" s="75" t="str">
        <f>IF(AND(OR(N5130="131",O5130="131"),H5130='131-CT'!$H$9),"x","")</f>
        <v/>
      </c>
      <c r="Z5130" s="75"/>
      <c r="AA5130" s="75" t="str">
        <f>IF(AND(MONTH(E5130)='IN-NX'!$J$5,'IN-NX'!$D$7=D5130),"x","")</f>
        <v/>
      </c>
      <c r="AB5130" s="75" t="str">
        <f>IF(AND(OR(LEFT(TH!N3998,2)="15",LEFT(TH!O3998,2)="15"),LEFT(TH!O3998,3)&lt;&gt;"111",'152-CT'!$J$8=TH!F3998),"x","")</f>
        <v/>
      </c>
      <c r="AC5130" s="75" t="str">
        <f>IF(AND(OR(LEFT(TH!N3998,2)="15",LEFT(TH!O3998,2)="15"),TK!$E$7=TH!F3998),"x","")</f>
        <v/>
      </c>
      <c r="AD5130" s="75" t="str">
        <f>IF(AND(N5130="1521",MONTH(C5130)='BK-NL'!$M$11),"x","")</f>
        <v/>
      </c>
    </row>
    <row r="5131" spans="1:33" ht="16.5" customHeight="1">
      <c r="A5131" s="309" t="str">
        <f>IF(B5131&lt;&gt;"",IF(AND(B5131='IN-TC'!$S$4,OR(TH!N5119="1111",TH!O5119="1111")),TH!D5119,""),"")</f>
        <v/>
      </c>
      <c r="B5131" s="1244">
        <f t="shared" si="1344"/>
        <v>10</v>
      </c>
      <c r="C5131" s="292">
        <f t="shared" si="1345"/>
        <v>43024</v>
      </c>
      <c r="D5131" s="292"/>
      <c r="E5131" s="292">
        <v>43024</v>
      </c>
      <c r="F5131" s="67" t="s">
        <v>221</v>
      </c>
      <c r="G5131" s="925" t="s">
        <v>2502</v>
      </c>
      <c r="H5131" s="294" t="s">
        <v>556</v>
      </c>
      <c r="I5131" s="373"/>
      <c r="J5131" s="926"/>
      <c r="K5131" s="373"/>
      <c r="L5131" s="379"/>
      <c r="M5131" s="927">
        <v>11386364</v>
      </c>
      <c r="N5131" s="295" t="s">
        <v>272</v>
      </c>
      <c r="O5131" s="295" t="s">
        <v>63</v>
      </c>
      <c r="P5131" s="75" t="str">
        <f>IF(AND('331-CT'!$E$7=TH!H3999,OR(N5131="331",O5131="331")),"x","")</f>
        <v/>
      </c>
      <c r="Q5131" s="75" t="str">
        <f>IF(AND(B5131='111'!$L$11,OR($N5131=$Q$7,$O5131=$Q$7)),"x","")</f>
        <v/>
      </c>
      <c r="R5131" s="75" t="str">
        <f>IF(AND($N5131=$Q$7,$B5131&lt;'111'!$L$11),"x","")</f>
        <v/>
      </c>
      <c r="S5131" s="75" t="str">
        <f>IF(AND($O5131=$Q$7,$B5131&lt;'111'!$L$11),"x","")</f>
        <v>x</v>
      </c>
      <c r="T5131" s="75" t="str">
        <f>IF(ISERROR(FIND('112'!$M$9,G5131,1)),"",IF((AND(FIND('112'!$M$9,G5131,1)&gt;=1,B5131='112'!$K$9,OR($N5131='112'!$I$6,$O5131='112'!$I$6))),"x",""))</f>
        <v/>
      </c>
      <c r="U5131" s="75" t="str">
        <f>IF(ISERROR(FIND('112'!$M$9,G5131,1)),"",IF((AND(LEFT(G5131,2)=LEFT('112'!$M$9,2),B5131&lt;'112'!$K$9,$N5131='112'!$I$6)),"x",""))</f>
        <v/>
      </c>
      <c r="V5131" s="75" t="str">
        <f>IF(ISERROR(FIND('112'!$M$9,G5131,1)),"",IF((AND(RIGHT(G5131,2)=RIGHT('112'!$M$9,2),B5131&lt;'112'!$K$9,$O5131='112'!$I$6)),"x",""))</f>
        <v/>
      </c>
      <c r="W5131" s="75" t="str">
        <f>IF(AND('341-CT'!$H$9=H5131,OR(LEFT(N5131,3)=$W$7,LEFT(O5131,3)=$W$7)),"x","")</f>
        <v/>
      </c>
      <c r="X5131" s="75" t="str">
        <f>IF(OR(TH!N3999=TH!$X$7,O5131=TH!$X$7),"x","")</f>
        <v/>
      </c>
      <c r="Y5131" s="75" t="str">
        <f>IF(AND(OR(N5131="131",O5131="131"),H5131='131-CT'!$H$9),"x","")</f>
        <v/>
      </c>
      <c r="Z5131" s="75"/>
      <c r="AA5131" s="75" t="str">
        <f>IF(AND(MONTH(E5131)='IN-NX'!$J$5,'IN-NX'!$D$7=D5131),"x","")</f>
        <v/>
      </c>
      <c r="AB5131" s="75" t="str">
        <f>IF(AND(OR(LEFT(TH!N3999,2)="15",LEFT(TH!O3999,2)="15"),LEFT(TH!O3999,3)&lt;&gt;"111",'152-CT'!$J$8=TH!F3999),"x","")</f>
        <v/>
      </c>
      <c r="AC5131" s="75" t="str">
        <f>IF(AND(OR(LEFT(TH!N3999,2)="15",LEFT(TH!O3999,2)="15"),TK!$E$7=TH!F3999),"x","")</f>
        <v/>
      </c>
      <c r="AD5131" s="75" t="str">
        <f>IF(AND(N5131="1521",MONTH(C5131)='BK-NL'!$M$11),"x","")</f>
        <v/>
      </c>
      <c r="AE5131">
        <v>10</v>
      </c>
    </row>
    <row r="5132" spans="1:33" ht="16.5" customHeight="1">
      <c r="A5132" s="309" t="str">
        <f>IF(B5132&lt;&gt;"",IF(AND(B5132='IN-TC'!$S$4,OR(TH!N5120="1111",TH!O5120="1111")),TH!D5120,""),"")</f>
        <v/>
      </c>
      <c r="B5132" s="1244">
        <f t="shared" si="1344"/>
        <v>10</v>
      </c>
      <c r="C5132" s="292">
        <f t="shared" si="1345"/>
        <v>43024</v>
      </c>
      <c r="D5132" s="292"/>
      <c r="E5132" s="292">
        <v>43024</v>
      </c>
      <c r="F5132" s="67" t="s">
        <v>943</v>
      </c>
      <c r="G5132" s="925" t="s">
        <v>2502</v>
      </c>
      <c r="H5132" s="294" t="s">
        <v>556</v>
      </c>
      <c r="I5132" s="373"/>
      <c r="J5132" s="926"/>
      <c r="K5132" s="373"/>
      <c r="L5132" s="379"/>
      <c r="M5132" s="927">
        <v>1138636</v>
      </c>
      <c r="N5132" s="295" t="s">
        <v>9</v>
      </c>
      <c r="O5132" s="295" t="s">
        <v>63</v>
      </c>
      <c r="P5132" s="75" t="str">
        <f>IF(AND('331-CT'!$E$7=TH!H4000,OR(N5132="331",O5132="331")),"x","")</f>
        <v/>
      </c>
      <c r="Q5132" s="75" t="str">
        <f>IF(AND(B5132='111'!$L$11,OR($N5132=$Q$7,$O5132=$Q$7)),"x","")</f>
        <v/>
      </c>
      <c r="R5132" s="75" t="str">
        <f>IF(AND($N5132=$Q$7,$B5132&lt;'111'!$L$11),"x","")</f>
        <v/>
      </c>
      <c r="S5132" s="75" t="str">
        <f>IF(AND($O5132=$Q$7,$B5132&lt;'111'!$L$11),"x","")</f>
        <v>x</v>
      </c>
      <c r="T5132" s="75" t="str">
        <f>IF(ISERROR(FIND('112'!$M$9,G5132,1)),"",IF((AND(FIND('112'!$M$9,G5132,1)&gt;=1,B5132='112'!$K$9,OR($N5132='112'!$I$6,$O5132='112'!$I$6))),"x",""))</f>
        <v/>
      </c>
      <c r="U5132" s="75" t="str">
        <f>IF(ISERROR(FIND('112'!$M$9,G5132,1)),"",IF((AND(LEFT(G5132,2)=LEFT('112'!$M$9,2),B5132&lt;'112'!$K$9,$N5132='112'!$I$6)),"x",""))</f>
        <v/>
      </c>
      <c r="V5132" s="75" t="str">
        <f>IF(ISERROR(FIND('112'!$M$9,G5132,1)),"",IF((AND(RIGHT(G5132,2)=RIGHT('112'!$M$9,2),B5132&lt;'112'!$K$9,$O5132='112'!$I$6)),"x",""))</f>
        <v/>
      </c>
      <c r="W5132" s="75" t="str">
        <f>IF(AND('341-CT'!$H$9=H5132,OR(LEFT(N5132,3)=$W$7,LEFT(O5132,3)=$W$7)),"x","")</f>
        <v/>
      </c>
      <c r="X5132" s="75" t="str">
        <f>IF(OR(TH!N4000=TH!$X$7,O5132=TH!$X$7),"x","")</f>
        <v/>
      </c>
      <c r="Y5132" s="75" t="str">
        <f>IF(AND(OR(N5132="131",O5132="131"),H5132='131-CT'!$H$9),"x","")</f>
        <v/>
      </c>
      <c r="Z5132" s="75"/>
      <c r="AA5132" s="75" t="str">
        <f>IF(AND(MONTH(E5132)='IN-NX'!$J$5,'IN-NX'!$D$7=D5132),"x","")</f>
        <v/>
      </c>
      <c r="AB5132" s="75" t="str">
        <f>IF(AND(OR(LEFT(TH!N4000,2)="15",LEFT(TH!O4000,2)="15"),LEFT(TH!O4000,3)&lt;&gt;"111",'152-CT'!$J$8=TH!F4000),"x","")</f>
        <v/>
      </c>
      <c r="AC5132" s="75" t="str">
        <f>IF(AND(OR(LEFT(TH!N4000,2)="15",LEFT(TH!O4000,2)="15"),TK!$E$7=TH!F4000),"x","")</f>
        <v/>
      </c>
      <c r="AD5132" s="75" t="str">
        <f>IF(AND(N5132="1521",MONTH(C5132)='BK-NL'!$M$11),"x","")</f>
        <v/>
      </c>
      <c r="AE5132">
        <v>10</v>
      </c>
    </row>
    <row r="5133" spans="1:33" ht="16.5" customHeight="1">
      <c r="A5133" s="309" t="str">
        <f>IF(B5133&lt;&gt;"",IF(AND(B5133='IN-TC'!$S$4,OR(TH!N5121="1111",TH!O5121="1111")),TH!D5121,""),"")</f>
        <v/>
      </c>
      <c r="B5133" s="1244">
        <f t="shared" si="1344"/>
        <v>10</v>
      </c>
      <c r="C5133" s="292">
        <f t="shared" si="1345"/>
        <v>43024</v>
      </c>
      <c r="D5133" s="292"/>
      <c r="E5133" s="292">
        <v>43024</v>
      </c>
      <c r="F5133" s="67" t="s">
        <v>2698</v>
      </c>
      <c r="G5133" s="925" t="s">
        <v>2700</v>
      </c>
      <c r="H5133" s="294" t="s">
        <v>1330</v>
      </c>
      <c r="I5133" s="373"/>
      <c r="J5133" s="926"/>
      <c r="K5133" s="373"/>
      <c r="L5133" s="379"/>
      <c r="M5133" s="927">
        <v>427273</v>
      </c>
      <c r="N5133" s="295" t="s">
        <v>539</v>
      </c>
      <c r="O5133" s="295" t="s">
        <v>63</v>
      </c>
      <c r="P5133" s="75" t="str">
        <f>IF(AND('331-CT'!$E$7=TH!H4001,OR(N5133="331",O5133="331")),"x","")</f>
        <v/>
      </c>
      <c r="Q5133" s="75" t="str">
        <f>IF(AND(B5133='111'!$L$11,OR($N5133=$Q$7,$O5133=$Q$7)),"x","")</f>
        <v/>
      </c>
      <c r="R5133" s="75" t="str">
        <f>IF(AND($N5133=$Q$7,$B5133&lt;'111'!$L$11),"x","")</f>
        <v/>
      </c>
      <c r="S5133" s="75" t="str">
        <f>IF(AND($O5133=$Q$7,$B5133&lt;'111'!$L$11),"x","")</f>
        <v>x</v>
      </c>
      <c r="T5133" s="75" t="str">
        <f>IF(ISERROR(FIND('112'!$M$9,G5133,1)),"",IF((AND(FIND('112'!$M$9,G5133,1)&gt;=1,B5133='112'!$K$9,OR($N5133='112'!$I$6,$O5133='112'!$I$6))),"x",""))</f>
        <v/>
      </c>
      <c r="U5133" s="75" t="str">
        <f>IF(ISERROR(FIND('112'!$M$9,G5133,1)),"",IF((AND(LEFT(G5133,2)=LEFT('112'!$M$9,2),B5133&lt;'112'!$K$9,$N5133='112'!$I$6)),"x",""))</f>
        <v/>
      </c>
      <c r="V5133" s="75" t="str">
        <f>IF(ISERROR(FIND('112'!$M$9,G5133,1)),"",IF((AND(RIGHT(G5133,2)=RIGHT('112'!$M$9,2),B5133&lt;'112'!$K$9,$O5133='112'!$I$6)),"x",""))</f>
        <v/>
      </c>
      <c r="W5133" s="75" t="str">
        <f>IF(AND('341-CT'!$H$9=H5133,OR(LEFT(N5133,3)=$W$7,LEFT(O5133,3)=$W$7)),"x","")</f>
        <v/>
      </c>
      <c r="X5133" s="75" t="str">
        <f>IF(OR(TH!N4001=TH!$X$7,O5133=TH!$X$7),"x","")</f>
        <v/>
      </c>
      <c r="Y5133" s="75" t="str">
        <f>IF(AND(OR(N5133="131",O5133="131"),H5133='131-CT'!$H$9),"x","")</f>
        <v/>
      </c>
      <c r="Z5133" s="75"/>
      <c r="AA5133" s="75" t="str">
        <f>IF(AND(MONTH(E5133)='IN-NX'!$J$5,'IN-NX'!$D$7=D5133),"x","")</f>
        <v/>
      </c>
      <c r="AB5133" s="75" t="str">
        <f>IF(AND(OR(LEFT(TH!N4001,2)="15",LEFT(TH!O4001,2)="15"),LEFT(TH!O4001,3)&lt;&gt;"111",'152-CT'!$J$8=TH!F4001),"x","")</f>
        <v/>
      </c>
      <c r="AC5133" s="75" t="str">
        <f>IF(AND(OR(LEFT(TH!N4001,2)="15",LEFT(TH!O4001,2)="15"),TK!$E$7=TH!F4001),"x","")</f>
        <v/>
      </c>
      <c r="AD5133" s="75" t="str">
        <f>IF(AND(N5133="1521",MONTH(C5133)='BK-NL'!$M$11),"x","")</f>
        <v/>
      </c>
      <c r="AE5133">
        <v>11</v>
      </c>
    </row>
    <row r="5134" spans="1:33" ht="16.5" customHeight="1">
      <c r="A5134" s="309" t="str">
        <f>IF(B5134&lt;&gt;"",IF(AND(B5134='IN-TC'!$S$4,OR(TH!N5122="1111",TH!O5122="1111")),TH!D5122,""),"")</f>
        <v/>
      </c>
      <c r="B5134" s="1244">
        <f t="shared" si="1344"/>
        <v>10</v>
      </c>
      <c r="C5134" s="292">
        <f t="shared" si="1345"/>
        <v>43024</v>
      </c>
      <c r="D5134" s="292"/>
      <c r="E5134" s="292">
        <v>43024</v>
      </c>
      <c r="F5134" s="67" t="s">
        <v>2699</v>
      </c>
      <c r="G5134" s="925" t="s">
        <v>2700</v>
      </c>
      <c r="H5134" s="294" t="s">
        <v>1330</v>
      </c>
      <c r="I5134" s="373"/>
      <c r="J5134" s="926"/>
      <c r="K5134" s="373"/>
      <c r="L5134" s="379"/>
      <c r="M5134" s="927">
        <v>42727</v>
      </c>
      <c r="N5134" s="295" t="s">
        <v>9</v>
      </c>
      <c r="O5134" s="295" t="s">
        <v>63</v>
      </c>
      <c r="P5134" s="75" t="str">
        <f>IF(AND('331-CT'!$E$7=TH!H4002,OR(N5134="331",O5134="331")),"x","")</f>
        <v/>
      </c>
      <c r="Q5134" s="75" t="str">
        <f>IF(AND(B5134='111'!$L$11,OR($N5134=$Q$7,$O5134=$Q$7)),"x","")</f>
        <v/>
      </c>
      <c r="R5134" s="75" t="str">
        <f>IF(AND($N5134=$Q$7,$B5134&lt;'111'!$L$11),"x","")</f>
        <v/>
      </c>
      <c r="S5134" s="75" t="str">
        <f>IF(AND($O5134=$Q$7,$B5134&lt;'111'!$L$11),"x","")</f>
        <v>x</v>
      </c>
      <c r="T5134" s="75" t="str">
        <f>IF(ISERROR(FIND('112'!$M$9,G5134,1)),"",IF((AND(FIND('112'!$M$9,G5134,1)&gt;=1,B5134='112'!$K$9,OR($N5134='112'!$I$6,$O5134='112'!$I$6))),"x",""))</f>
        <v/>
      </c>
      <c r="U5134" s="75" t="str">
        <f>IF(ISERROR(FIND('112'!$M$9,G5134,1)),"",IF((AND(LEFT(G5134,2)=LEFT('112'!$M$9,2),B5134&lt;'112'!$K$9,$N5134='112'!$I$6)),"x",""))</f>
        <v/>
      </c>
      <c r="V5134" s="75" t="str">
        <f>IF(ISERROR(FIND('112'!$M$9,G5134,1)),"",IF((AND(RIGHT(G5134,2)=RIGHT('112'!$M$9,2),B5134&lt;'112'!$K$9,$O5134='112'!$I$6)),"x",""))</f>
        <v/>
      </c>
      <c r="W5134" s="75" t="str">
        <f>IF(AND('341-CT'!$H$9=H5134,OR(LEFT(N5134,3)=$W$7,LEFT(O5134,3)=$W$7)),"x","")</f>
        <v/>
      </c>
      <c r="X5134" s="75" t="str">
        <f>IF(OR(TH!N4002=TH!$X$7,O5134=TH!$X$7),"x","")</f>
        <v/>
      </c>
      <c r="Y5134" s="75" t="str">
        <f>IF(AND(OR(N5134="131",O5134="131"),H5134='131-CT'!$H$9),"x","")</f>
        <v/>
      </c>
      <c r="Z5134" s="75"/>
      <c r="AA5134" s="75" t="str">
        <f>IF(AND(MONTH(E5134)='IN-NX'!$J$5,'IN-NX'!$D$7=D5134),"x","")</f>
        <v/>
      </c>
      <c r="AB5134" s="75" t="str">
        <f>IF(AND(OR(LEFT(TH!N4002,2)="15",LEFT(TH!O4002,2)="15"),LEFT(TH!O4002,3)&lt;&gt;"111",'152-CT'!$J$8=TH!F4002),"x","")</f>
        <v/>
      </c>
      <c r="AC5134" s="75" t="str">
        <f>IF(AND(OR(LEFT(TH!N4002,2)="15",LEFT(TH!O4002,2)="15"),TK!$E$7=TH!F4002),"x","")</f>
        <v/>
      </c>
      <c r="AD5134" s="75" t="str">
        <f>IF(AND(N5134="1521",MONTH(C5134)='BK-NL'!$M$11),"x","")</f>
        <v/>
      </c>
      <c r="AE5134">
        <v>11</v>
      </c>
    </row>
    <row r="5135" spans="1:33" ht="16.5" customHeight="1">
      <c r="A5135" s="309" t="str">
        <f>IF(B5135&lt;&gt;"",IF(AND(B5135='IN-TC'!$S$4,OR(TH!N5123="1111",TH!O5123="1111")),TH!D5123,""),"")</f>
        <v/>
      </c>
      <c r="B5135" s="1244">
        <f t="shared" si="1344"/>
        <v>10</v>
      </c>
      <c r="C5135" s="292">
        <f t="shared" si="1345"/>
        <v>43024</v>
      </c>
      <c r="D5135" s="292"/>
      <c r="E5135" s="292">
        <v>43024</v>
      </c>
      <c r="F5135" s="67" t="s">
        <v>1328</v>
      </c>
      <c r="G5135" s="925" t="s">
        <v>2723</v>
      </c>
      <c r="H5135" s="294" t="s">
        <v>948</v>
      </c>
      <c r="I5135" s="373"/>
      <c r="J5135" s="926"/>
      <c r="K5135" s="373"/>
      <c r="L5135" s="379"/>
      <c r="M5135" s="927">
        <v>409091</v>
      </c>
      <c r="N5135" s="295" t="s">
        <v>539</v>
      </c>
      <c r="O5135" s="295" t="s">
        <v>63</v>
      </c>
      <c r="P5135" s="75" t="str">
        <f>IF(AND('331-CT'!$E$7=TH!H4003,OR(N5135="331",O5135="331")),"x","")</f>
        <v/>
      </c>
      <c r="Q5135" s="75" t="str">
        <f>IF(AND(B5135='111'!$L$11,OR($N5135=$Q$7,$O5135=$Q$7)),"x","")</f>
        <v/>
      </c>
      <c r="R5135" s="75" t="str">
        <f>IF(AND($N5135=$Q$7,$B5135&lt;'111'!$L$11),"x","")</f>
        <v/>
      </c>
      <c r="S5135" s="75" t="str">
        <f>IF(AND($O5135=$Q$7,$B5135&lt;'111'!$L$11),"x","")</f>
        <v>x</v>
      </c>
      <c r="T5135" s="75" t="str">
        <f>IF(ISERROR(FIND('112'!$M$9,G5135,1)),"",IF((AND(FIND('112'!$M$9,G5135,1)&gt;=1,B5135='112'!$K$9,OR($N5135='112'!$I$6,$O5135='112'!$I$6))),"x",""))</f>
        <v/>
      </c>
      <c r="U5135" s="75" t="str">
        <f>IF(ISERROR(FIND('112'!$M$9,G5135,1)),"",IF((AND(LEFT(G5135,2)=LEFT('112'!$M$9,2),B5135&lt;'112'!$K$9,$N5135='112'!$I$6)),"x",""))</f>
        <v/>
      </c>
      <c r="V5135" s="75" t="str">
        <f>IF(ISERROR(FIND('112'!$M$9,G5135,1)),"",IF((AND(RIGHT(G5135,2)=RIGHT('112'!$M$9,2),B5135&lt;'112'!$K$9,$O5135='112'!$I$6)),"x",""))</f>
        <v/>
      </c>
      <c r="W5135" s="75" t="str">
        <f>IF(AND('341-CT'!$H$9=H5135,OR(LEFT(N5135,3)=$W$7,LEFT(O5135,3)=$W$7)),"x","")</f>
        <v/>
      </c>
      <c r="X5135" s="75" t="str">
        <f>IF(OR(TH!N4003=TH!$X$7,O5135=TH!$X$7),"x","")</f>
        <v/>
      </c>
      <c r="Y5135" s="75" t="str">
        <f>IF(AND(OR(N5135="131",O5135="131"),H5135='131-CT'!$H$9),"x","")</f>
        <v/>
      </c>
      <c r="Z5135" s="75"/>
      <c r="AA5135" s="75" t="str">
        <f>IF(AND(MONTH(E5135)='IN-NX'!$J$5,'IN-NX'!$D$7=D5135),"x","")</f>
        <v/>
      </c>
      <c r="AB5135" s="75" t="str">
        <f>IF(AND(OR(LEFT(TH!N4003,2)="15",LEFT(TH!O4003,2)="15"),LEFT(TH!O4003,3)&lt;&gt;"111",'152-CT'!$J$8=TH!F4003),"x","")</f>
        <v/>
      </c>
      <c r="AC5135" s="75" t="str">
        <f>IF(AND(OR(LEFT(TH!N4003,2)="15",LEFT(TH!O4003,2)="15"),TK!$E$7=TH!F4003),"x","")</f>
        <v/>
      </c>
      <c r="AD5135" s="75" t="str">
        <f>IF(AND(N5135="1521",MONTH(C5135)='BK-NL'!$M$11),"x","")</f>
        <v/>
      </c>
      <c r="AE5135">
        <v>11</v>
      </c>
    </row>
    <row r="5136" spans="1:33" ht="16.5" customHeight="1">
      <c r="A5136" s="309" t="str">
        <f>IF(B5136&lt;&gt;"",IF(AND(B5136='IN-TC'!$S$4,OR(TH!N5124="1111",TH!O5124="1111")),TH!D5124,""),"")</f>
        <v/>
      </c>
      <c r="B5136" s="1244">
        <f t="shared" si="1344"/>
        <v>10</v>
      </c>
      <c r="C5136" s="292">
        <f t="shared" si="1345"/>
        <v>43024</v>
      </c>
      <c r="D5136" s="292"/>
      <c r="E5136" s="292">
        <v>43024</v>
      </c>
      <c r="F5136" s="67" t="s">
        <v>1329</v>
      </c>
      <c r="G5136" s="925" t="s">
        <v>2723</v>
      </c>
      <c r="H5136" s="294" t="s">
        <v>948</v>
      </c>
      <c r="I5136" s="373"/>
      <c r="J5136" s="926"/>
      <c r="K5136" s="373"/>
      <c r="L5136" s="379"/>
      <c r="M5136" s="927">
        <v>40909</v>
      </c>
      <c r="N5136" s="295" t="s">
        <v>9</v>
      </c>
      <c r="O5136" s="295" t="s">
        <v>63</v>
      </c>
      <c r="P5136" s="75" t="str">
        <f>IF(AND('331-CT'!$E$7=TH!H4004,OR(N5136="331",O5136="331")),"x","")</f>
        <v/>
      </c>
      <c r="Q5136" s="75" t="str">
        <f>IF(AND(B5136='111'!$L$11,OR($N5136=$Q$7,$O5136=$Q$7)),"x","")</f>
        <v/>
      </c>
      <c r="R5136" s="75" t="str">
        <f>IF(AND($N5136=$Q$7,$B5136&lt;'111'!$L$11),"x","")</f>
        <v/>
      </c>
      <c r="S5136" s="75" t="str">
        <f>IF(AND($O5136=$Q$7,$B5136&lt;'111'!$L$11),"x","")</f>
        <v>x</v>
      </c>
      <c r="T5136" s="75" t="str">
        <f>IF(ISERROR(FIND('112'!$M$9,G5136,1)),"",IF((AND(FIND('112'!$M$9,G5136,1)&gt;=1,B5136='112'!$K$9,OR($N5136='112'!$I$6,$O5136='112'!$I$6))),"x",""))</f>
        <v/>
      </c>
      <c r="U5136" s="75" t="str">
        <f>IF(ISERROR(FIND('112'!$M$9,G5136,1)),"",IF((AND(LEFT(G5136,2)=LEFT('112'!$M$9,2),B5136&lt;'112'!$K$9,$N5136='112'!$I$6)),"x",""))</f>
        <v/>
      </c>
      <c r="V5136" s="75" t="str">
        <f>IF(ISERROR(FIND('112'!$M$9,G5136,1)),"",IF((AND(RIGHT(G5136,2)=RIGHT('112'!$M$9,2),B5136&lt;'112'!$K$9,$O5136='112'!$I$6)),"x",""))</f>
        <v/>
      </c>
      <c r="W5136" s="75" t="str">
        <f>IF(AND('341-CT'!$H$9=H5136,OR(LEFT(N5136,3)=$W$7,LEFT(O5136,3)=$W$7)),"x","")</f>
        <v/>
      </c>
      <c r="X5136" s="75" t="str">
        <f>IF(OR(TH!N4004=TH!$X$7,O5136=TH!$X$7),"x","")</f>
        <v/>
      </c>
      <c r="Y5136" s="75" t="str">
        <f>IF(AND(OR(N5136="131",O5136="131"),H5136='131-CT'!$H$9),"x","")</f>
        <v/>
      </c>
      <c r="Z5136" s="75"/>
      <c r="AA5136" s="75" t="str">
        <f>IF(AND(MONTH(E5136)='IN-NX'!$J$5,'IN-NX'!$D$7=D5136),"x","")</f>
        <v/>
      </c>
      <c r="AB5136" s="75" t="str">
        <f>IF(AND(OR(LEFT(TH!N4004,2)="15",LEFT(TH!O4004,2)="15"),LEFT(TH!O4004,3)&lt;&gt;"111",'152-CT'!$J$8=TH!F4004),"x","")</f>
        <v/>
      </c>
      <c r="AC5136" s="75" t="str">
        <f>IF(AND(OR(LEFT(TH!N4004,2)="15",LEFT(TH!O4004,2)="15"),TK!$E$7=TH!F4004),"x","")</f>
        <v/>
      </c>
      <c r="AD5136" s="75" t="str">
        <f>IF(AND(N5136="1521",MONTH(C5136)='BK-NL'!$M$11),"x","")</f>
        <v/>
      </c>
      <c r="AE5136">
        <v>11</v>
      </c>
    </row>
    <row r="5137" spans="1:31" ht="16.5" customHeight="1">
      <c r="A5137" s="309" t="str">
        <f>IF(B5137&lt;&gt;"",IF(AND(B5137='IN-TC'!$S$4,OR(TH!N5125="1111",TH!O5125="1111")),TH!D5125,""),"")</f>
        <v/>
      </c>
      <c r="B5137" s="1244">
        <f t="shared" si="1344"/>
        <v>10</v>
      </c>
      <c r="C5137" s="292">
        <f t="shared" si="1345"/>
        <v>43024</v>
      </c>
      <c r="D5137" s="292"/>
      <c r="E5137" s="292">
        <v>43024</v>
      </c>
      <c r="F5137" s="67" t="s">
        <v>1165</v>
      </c>
      <c r="G5137" s="925" t="s">
        <v>2598</v>
      </c>
      <c r="H5137" s="294" t="s">
        <v>1684</v>
      </c>
      <c r="I5137" s="373"/>
      <c r="J5137" s="926"/>
      <c r="K5137" s="373"/>
      <c r="L5137" s="379"/>
      <c r="M5137" s="927">
        <v>19762050</v>
      </c>
      <c r="N5137" s="295" t="s">
        <v>8</v>
      </c>
      <c r="O5137" s="295" t="s">
        <v>63</v>
      </c>
      <c r="P5137" s="75" t="str">
        <f>IF(AND('331-CT'!$E$7=TH!H4005,OR(N5137="331",O5137="331")),"x","")</f>
        <v/>
      </c>
      <c r="Q5137" s="75" t="str">
        <f>IF(AND(B5137='111'!$L$11,OR($N5137=$Q$7,$O5137=$Q$7)),"x","")</f>
        <v/>
      </c>
      <c r="R5137" s="75" t="str">
        <f>IF(AND($N5137=$Q$7,$B5137&lt;'111'!$L$11),"x","")</f>
        <v/>
      </c>
      <c r="S5137" s="75" t="str">
        <f>IF(AND($O5137=$Q$7,$B5137&lt;'111'!$L$11),"x","")</f>
        <v>x</v>
      </c>
      <c r="T5137" s="75" t="str">
        <f>IF(ISERROR(FIND('112'!$M$9,G5137,1)),"",IF((AND(FIND('112'!$M$9,G5137,1)&gt;=1,B5137='112'!$K$9,OR($N5137='112'!$I$6,$O5137='112'!$I$6))),"x",""))</f>
        <v/>
      </c>
      <c r="U5137" s="75" t="str">
        <f>IF(ISERROR(FIND('112'!$M$9,G5137,1)),"",IF((AND(LEFT(G5137,2)=LEFT('112'!$M$9,2),B5137&lt;'112'!$K$9,$N5137='112'!$I$6)),"x",""))</f>
        <v/>
      </c>
      <c r="V5137" s="75" t="str">
        <f>IF(ISERROR(FIND('112'!$M$9,G5137,1)),"",IF((AND(RIGHT(G5137,2)=RIGHT('112'!$M$9,2),B5137&lt;'112'!$K$9,$O5137='112'!$I$6)),"x",""))</f>
        <v/>
      </c>
      <c r="W5137" s="75" t="str">
        <f>IF(AND('341-CT'!$H$9=H5137,OR(LEFT(N5137,3)=$W$7,LEFT(O5137,3)=$W$7)),"x","")</f>
        <v/>
      </c>
      <c r="X5137" s="75" t="str">
        <f>IF(OR(TH!N4005=TH!$X$7,O5137=TH!$X$7),"x","")</f>
        <v/>
      </c>
      <c r="Y5137" s="75" t="str">
        <f>IF(AND(OR(N5137="131",O5137="131"),H5137='131-CT'!$H$9),"x","")</f>
        <v/>
      </c>
      <c r="Z5137" s="75"/>
      <c r="AA5137" s="75" t="str">
        <f>IF(AND(MONTH(E5137)='IN-NX'!$J$5,'IN-NX'!$D$7=D5137),"x","")</f>
        <v/>
      </c>
      <c r="AB5137" s="75" t="str">
        <f>IF(AND(OR(LEFT(TH!N4005,2)="15",LEFT(TH!O4005,2)="15"),LEFT(TH!O4005,3)&lt;&gt;"111",'152-CT'!$J$8=TH!F4005),"x","")</f>
        <v/>
      </c>
      <c r="AC5137" s="75" t="str">
        <f>IF(AND(OR(LEFT(TH!N4005,2)="15",LEFT(TH!O4005,2)="15"),TK!$E$7=TH!F4005),"x","")</f>
        <v/>
      </c>
      <c r="AD5137" s="75" t="str">
        <f>IF(AND(N5137="1521",MONTH(C5137)='BK-NL'!$M$11),"x","")</f>
        <v/>
      </c>
    </row>
    <row r="5138" spans="1:31" ht="16.5" customHeight="1">
      <c r="A5138" s="309" t="str">
        <f>IF(B5138&lt;&gt;"",IF(AND(B5138='IN-TC'!$S$4,OR(TH!N5126="1111",TH!O5126="1111")),TH!D5126,""),"")</f>
        <v/>
      </c>
      <c r="B5138" s="1244">
        <f t="shared" si="1344"/>
        <v>10</v>
      </c>
      <c r="C5138" s="292">
        <f t="shared" si="1345"/>
        <v>43024</v>
      </c>
      <c r="D5138" s="59" t="s">
        <v>902</v>
      </c>
      <c r="E5138" s="59">
        <v>43024</v>
      </c>
      <c r="F5138" s="62" t="s">
        <v>1549</v>
      </c>
      <c r="G5138" s="62" t="s">
        <v>747</v>
      </c>
      <c r="H5138" s="67" t="s">
        <v>835</v>
      </c>
      <c r="I5138" s="373"/>
      <c r="J5138" s="382"/>
      <c r="K5138" s="373"/>
      <c r="L5138" s="379"/>
      <c r="M5138" s="60">
        <v>227500</v>
      </c>
      <c r="N5138" s="61" t="s">
        <v>101</v>
      </c>
      <c r="O5138" s="61" t="s">
        <v>26</v>
      </c>
      <c r="P5138" s="75" t="str">
        <f>IF(AND('331-CT'!$E$7=TH!H5508,OR(N5138="331",O5138="331")),"x","")</f>
        <v/>
      </c>
      <c r="Q5138" s="75" t="str">
        <f>IF(AND(B5138='111'!$L$11,OR($N5138=$Q$7,$O5138=$Q$7)),"x","")</f>
        <v/>
      </c>
      <c r="R5138" s="75" t="str">
        <f>IF(AND($N5138=$Q$7,$B5138&lt;'111'!$L$11),"x","")</f>
        <v/>
      </c>
      <c r="S5138" s="75" t="str">
        <f>IF(AND($O5138=$Q$7,$B5138&lt;'111'!$L$11),"x","")</f>
        <v/>
      </c>
      <c r="T5138" s="75" t="str">
        <f>IF(ISERROR(FIND('112'!$M$9,G5138,1)),"",IF((AND(FIND('112'!$M$9,G5138,1)&gt;=1,B5138='112'!$K$9,OR($N5138='112'!$I$6,$O5138='112'!$I$6))),"x",""))</f>
        <v/>
      </c>
      <c r="U5138" s="75" t="str">
        <f>IF(ISERROR(FIND('112'!$M$9,G5138,1)),"",IF((AND(LEFT(G5138,2)=LEFT('112'!$M$9,2),B5138&lt;'112'!$K$9,$N5138='112'!$I$6)),"x",""))</f>
        <v/>
      </c>
      <c r="V5138" s="75" t="str">
        <f>IF(ISERROR(FIND('112'!$M$9,G5138,1)),"",IF((AND(RIGHT(G5138,2)=RIGHT('112'!$M$9,2),B5138&lt;'112'!$K$9,$O5138='112'!$I$6)),"x",""))</f>
        <v/>
      </c>
      <c r="W5138" s="75" t="str">
        <f>IF(AND('341-CT'!$H$9=H5138,OR(LEFT(N5138,3)=$W$7,LEFT(O5138,3)=$W$7)),"x","")</f>
        <v/>
      </c>
      <c r="X5138" s="75" t="str">
        <f>IF(OR(TH!N5508=TH!$X$7,O5138=TH!$X$7),"x","")</f>
        <v>x</v>
      </c>
      <c r="Y5138" s="75" t="str">
        <f>IF(AND(OR(N5138="131",O5138="131"),H5138='131-CT'!$H$9),"x","")</f>
        <v/>
      </c>
      <c r="Z5138" s="75"/>
      <c r="AA5138" s="75" t="str">
        <f>IF(AND(MONTH(E5138)='IN-NX'!$J$5,'IN-NX'!$D$7=D5138),"x","")</f>
        <v/>
      </c>
      <c r="AB5138" s="75" t="str">
        <f>IF(AND(OR(LEFT(TH!N5508,2)="15",LEFT(TH!O5508,2)="15"),LEFT(TH!O5508,3)&lt;&gt;"111",'152-CT'!$J$8=TH!F5508),"x","")</f>
        <v/>
      </c>
      <c r="AC5138" s="75" t="str">
        <f>IF(AND(OR(LEFT(TH!N5508,2)="15",LEFT(TH!O5508,2)="15"),TK!$E$7=TH!F5508),"x","")</f>
        <v/>
      </c>
      <c r="AD5138" s="75" t="str">
        <f>IF(AND(N5138="1521",MONTH(C5138)='BK-NL'!$M$11),"x","")</f>
        <v/>
      </c>
    </row>
    <row r="5139" spans="1:31" ht="16.5" customHeight="1">
      <c r="A5139" s="309" t="str">
        <f>IF(B5139&lt;&gt;"",IF(AND(B5139='IN-TC'!$S$4,OR(TH!N5127="1111",TH!O5127="1111")),TH!D5127,""),"")</f>
        <v/>
      </c>
      <c r="B5139" s="1244">
        <f t="shared" ref="B5139:B5202" si="1346">IF(C5139&lt;&gt;"",MONTH(C5139),"")</f>
        <v>10</v>
      </c>
      <c r="C5139" s="292">
        <f t="shared" si="1345"/>
        <v>43024</v>
      </c>
      <c r="D5139" s="59" t="s">
        <v>902</v>
      </c>
      <c r="E5139" s="59">
        <v>43024</v>
      </c>
      <c r="F5139" s="62" t="s">
        <v>1549</v>
      </c>
      <c r="G5139" s="62" t="s">
        <v>747</v>
      </c>
      <c r="H5139" s="67" t="s">
        <v>835</v>
      </c>
      <c r="I5139" s="373"/>
      <c r="J5139" s="382"/>
      <c r="K5139" s="373"/>
      <c r="L5139" s="379"/>
      <c r="M5139" s="60">
        <v>227500</v>
      </c>
      <c r="N5139" s="61" t="s">
        <v>101</v>
      </c>
      <c r="O5139" s="61" t="s">
        <v>26</v>
      </c>
      <c r="P5139" s="75" t="str">
        <f>IF(AND('331-CT'!$E$7=TH!H5509,OR(N5139="331",O5139="331")),"x","")</f>
        <v/>
      </c>
      <c r="Q5139" s="75" t="str">
        <f>IF(AND(B5139='111'!$L$11,OR($N5139=$Q$7,$O5139=$Q$7)),"x","")</f>
        <v/>
      </c>
      <c r="R5139" s="75" t="str">
        <f>IF(AND($N5139=$Q$7,$B5139&lt;'111'!$L$11),"x","")</f>
        <v/>
      </c>
      <c r="S5139" s="75" t="str">
        <f>IF(AND($O5139=$Q$7,$B5139&lt;'111'!$L$11),"x","")</f>
        <v/>
      </c>
      <c r="T5139" s="75" t="str">
        <f>IF(ISERROR(FIND('112'!$M$9,G5139,1)),"",IF((AND(FIND('112'!$M$9,G5139,1)&gt;=1,B5139='112'!$K$9,OR($N5139='112'!$I$6,$O5139='112'!$I$6))),"x",""))</f>
        <v/>
      </c>
      <c r="U5139" s="75" t="str">
        <f>IF(ISERROR(FIND('112'!$M$9,G5139,1)),"",IF((AND(LEFT(G5139,2)=LEFT('112'!$M$9,2),B5139&lt;'112'!$K$9,$N5139='112'!$I$6)),"x",""))</f>
        <v/>
      </c>
      <c r="V5139" s="75" t="str">
        <f>IF(ISERROR(FIND('112'!$M$9,G5139,1)),"",IF((AND(RIGHT(G5139,2)=RIGHT('112'!$M$9,2),B5139&lt;'112'!$K$9,$O5139='112'!$I$6)),"x",""))</f>
        <v/>
      </c>
      <c r="W5139" s="75" t="str">
        <f>IF(AND('341-CT'!$H$9=H5139,OR(LEFT(N5139,3)=$W$7,LEFT(O5139,3)=$W$7)),"x","")</f>
        <v/>
      </c>
      <c r="X5139" s="75" t="str">
        <f>IF(OR(TH!N5509=TH!$X$7,O5139=TH!$X$7),"x","")</f>
        <v/>
      </c>
      <c r="Y5139" s="75" t="str">
        <f>IF(AND(OR(N5139="131",O5139="131"),H5139='131-CT'!$H$9),"x","")</f>
        <v/>
      </c>
      <c r="Z5139" s="75"/>
      <c r="AA5139" s="75" t="str">
        <f>IF(AND(MONTH(E5139)='IN-NX'!$J$5,'IN-NX'!$D$7=D5139),"x","")</f>
        <v/>
      </c>
      <c r="AB5139" s="75" t="str">
        <f>IF(AND(OR(LEFT(TH!N5509,2)="15",LEFT(TH!O5509,2)="15"),LEFT(TH!O5509,3)&lt;&gt;"111",'152-CT'!$J$8=TH!F5509),"x","")</f>
        <v/>
      </c>
      <c r="AC5139" s="75" t="str">
        <f>IF(AND(OR(LEFT(TH!N5509,2)="15",LEFT(TH!O5509,2)="15"),TK!$E$7=TH!F5509),"x","")</f>
        <v/>
      </c>
      <c r="AD5139" s="75" t="str">
        <f>IF(AND(N5139="1521",MONTH(C5139)='BK-NL'!$M$11),"x","")</f>
        <v/>
      </c>
    </row>
    <row r="5140" spans="1:31" ht="16.5" customHeight="1">
      <c r="A5140" s="309" t="str">
        <f>IF(B5140&lt;&gt;"",IF(AND(B5140='IN-TC'!$S$4,OR(TH!N5128="1111",TH!O5128="1111")),TH!D5128,""),"")</f>
        <v/>
      </c>
      <c r="B5140" s="1244">
        <f t="shared" si="1346"/>
        <v>10</v>
      </c>
      <c r="C5140" s="292">
        <f t="shared" si="1345"/>
        <v>43025</v>
      </c>
      <c r="D5140" s="292"/>
      <c r="E5140" s="292">
        <v>43025</v>
      </c>
      <c r="F5140" s="67" t="s">
        <v>881</v>
      </c>
      <c r="G5140" s="925" t="s">
        <v>2503</v>
      </c>
      <c r="H5140" s="294" t="s">
        <v>2500</v>
      </c>
      <c r="I5140" s="373"/>
      <c r="J5140" s="926"/>
      <c r="K5140" s="373"/>
      <c r="L5140" s="379"/>
      <c r="M5140" s="927">
        <v>500000</v>
      </c>
      <c r="N5140" s="295" t="s">
        <v>101</v>
      </c>
      <c r="O5140" s="295" t="s">
        <v>63</v>
      </c>
      <c r="P5140" s="75" t="str">
        <f>IF(AND('331-CT'!$E$7=TH!H4006,OR(N5140="331",O5140="331")),"x","")</f>
        <v/>
      </c>
      <c r="Q5140" s="75" t="str">
        <f>IF(AND(B5140='111'!$L$11,OR($N5140=$Q$7,$O5140=$Q$7)),"x","")</f>
        <v/>
      </c>
      <c r="R5140" s="75" t="str">
        <f>IF(AND($N5140=$Q$7,$B5140&lt;'111'!$L$11),"x","")</f>
        <v/>
      </c>
      <c r="S5140" s="75" t="str">
        <f>IF(AND($O5140=$Q$7,$B5140&lt;'111'!$L$11),"x","")</f>
        <v>x</v>
      </c>
      <c r="T5140" s="75" t="str">
        <f>IF(ISERROR(FIND('112'!$M$9,G5140,1)),"",IF((AND(FIND('112'!$M$9,G5140,1)&gt;=1,B5140='112'!$K$9,OR($N5140='112'!$I$6,$O5140='112'!$I$6))),"x",""))</f>
        <v/>
      </c>
      <c r="U5140" s="75" t="str">
        <f>IF(ISERROR(FIND('112'!$M$9,G5140,1)),"",IF((AND(LEFT(G5140,2)=LEFT('112'!$M$9,2),B5140&lt;'112'!$K$9,$N5140='112'!$I$6)),"x",""))</f>
        <v/>
      </c>
      <c r="V5140" s="75" t="str">
        <f>IF(ISERROR(FIND('112'!$M$9,G5140,1)),"",IF((AND(RIGHT(G5140,2)=RIGHT('112'!$M$9,2),B5140&lt;'112'!$K$9,$O5140='112'!$I$6)),"x",""))</f>
        <v/>
      </c>
      <c r="W5140" s="75" t="str">
        <f>IF(AND('341-CT'!$H$9=H5140,OR(LEFT(N5140,3)=$W$7,LEFT(O5140,3)=$W$7)),"x","")</f>
        <v/>
      </c>
      <c r="X5140" s="75" t="str">
        <f>IF(OR(TH!N4006=TH!$X$7,O5140=TH!$X$7),"x","")</f>
        <v/>
      </c>
      <c r="Y5140" s="75" t="str">
        <f>IF(AND(OR(N5140="131",O5140="131"),H5140='131-CT'!$H$9),"x","")</f>
        <v/>
      </c>
      <c r="Z5140" s="75"/>
      <c r="AA5140" s="75" t="str">
        <f>IF(AND(MONTH(E5140)='IN-NX'!$J$5,'IN-NX'!$D$7=D5140),"x","")</f>
        <v/>
      </c>
      <c r="AB5140" s="75" t="str">
        <f>IF(AND(OR(LEFT(TH!N4006,2)="15",LEFT(TH!O4006,2)="15"),LEFT(TH!O4006,3)&lt;&gt;"111",'152-CT'!$J$8=TH!F4006),"x","")</f>
        <v/>
      </c>
      <c r="AC5140" s="75" t="str">
        <f>IF(AND(OR(LEFT(TH!N4006,2)="15",LEFT(TH!O4006,2)="15"),TK!$E$7=TH!F4006),"x","")</f>
        <v/>
      </c>
      <c r="AD5140" s="75" t="str">
        <f>IF(AND(N5140="1521",MONTH(C5140)='BK-NL'!$M$11),"x","")</f>
        <v/>
      </c>
      <c r="AE5140">
        <v>10</v>
      </c>
    </row>
    <row r="5141" spans="1:31" ht="16.5" customHeight="1">
      <c r="A5141" s="309" t="str">
        <f>IF(B5141&lt;&gt;"",IF(AND(B5141='IN-TC'!$S$4,OR(TH!N5129="1111",TH!O5129="1111")),TH!D5129,""),"")</f>
        <v/>
      </c>
      <c r="B5141" s="1244">
        <f t="shared" si="1346"/>
        <v>10</v>
      </c>
      <c r="C5141" s="292">
        <f t="shared" si="1345"/>
        <v>43025</v>
      </c>
      <c r="D5141" s="292"/>
      <c r="E5141" s="292">
        <v>43025</v>
      </c>
      <c r="F5141" s="67" t="s">
        <v>882</v>
      </c>
      <c r="G5141" s="925" t="s">
        <v>2503</v>
      </c>
      <c r="H5141" s="294" t="s">
        <v>2500</v>
      </c>
      <c r="I5141" s="373"/>
      <c r="J5141" s="926"/>
      <c r="K5141" s="373"/>
      <c r="L5141" s="379"/>
      <c r="M5141" s="927">
        <v>25000</v>
      </c>
      <c r="N5141" s="295" t="s">
        <v>9</v>
      </c>
      <c r="O5141" s="295" t="s">
        <v>63</v>
      </c>
      <c r="P5141" s="75" t="str">
        <f>IF(AND('331-CT'!$E$7=TH!H4007,OR(N5141="331",O5141="331")),"x","")</f>
        <v/>
      </c>
      <c r="Q5141" s="75" t="str">
        <f>IF(AND(B5141='111'!$L$11,OR($N5141=$Q$7,$O5141=$Q$7)),"x","")</f>
        <v/>
      </c>
      <c r="R5141" s="75" t="str">
        <f>IF(AND($N5141=$Q$7,$B5141&lt;'111'!$L$11),"x","")</f>
        <v/>
      </c>
      <c r="S5141" s="75" t="str">
        <f>IF(AND($O5141=$Q$7,$B5141&lt;'111'!$L$11),"x","")</f>
        <v>x</v>
      </c>
      <c r="T5141" s="75" t="str">
        <f>IF(ISERROR(FIND('112'!$M$9,G5141,1)),"",IF((AND(FIND('112'!$M$9,G5141,1)&gt;=1,B5141='112'!$K$9,OR($N5141='112'!$I$6,$O5141='112'!$I$6))),"x",""))</f>
        <v/>
      </c>
      <c r="U5141" s="75" t="str">
        <f>IF(ISERROR(FIND('112'!$M$9,G5141,1)),"",IF((AND(LEFT(G5141,2)=LEFT('112'!$M$9,2),B5141&lt;'112'!$K$9,$N5141='112'!$I$6)),"x",""))</f>
        <v/>
      </c>
      <c r="V5141" s="75" t="str">
        <f>IF(ISERROR(FIND('112'!$M$9,G5141,1)),"",IF((AND(RIGHT(G5141,2)=RIGHT('112'!$M$9,2),B5141&lt;'112'!$K$9,$O5141='112'!$I$6)),"x",""))</f>
        <v/>
      </c>
      <c r="W5141" s="75" t="str">
        <f>IF(AND('341-CT'!$H$9=H5141,OR(LEFT(N5141,3)=$W$7,LEFT(O5141,3)=$W$7)),"x","")</f>
        <v/>
      </c>
      <c r="X5141" s="75" t="str">
        <f>IF(OR(TH!N4007=TH!$X$7,O5141=TH!$X$7),"x","")</f>
        <v/>
      </c>
      <c r="Y5141" s="75" t="str">
        <f>IF(AND(OR(N5141="131",O5141="131"),H5141='131-CT'!$H$9),"x","")</f>
        <v/>
      </c>
      <c r="Z5141" s="75"/>
      <c r="AA5141" s="75" t="str">
        <f>IF(AND(MONTH(E5141)='IN-NX'!$J$5,'IN-NX'!$D$7=D5141),"x","")</f>
        <v/>
      </c>
      <c r="AB5141" s="75" t="str">
        <f>IF(AND(OR(LEFT(TH!N4007,2)="15",LEFT(TH!O4007,2)="15"),LEFT(TH!O4007,3)&lt;&gt;"111",'152-CT'!$J$8=TH!F4007),"x","")</f>
        <v/>
      </c>
      <c r="AC5141" s="75" t="str">
        <f>IF(AND(OR(LEFT(TH!N4007,2)="15",LEFT(TH!O4007,2)="15"),TK!$E$7=TH!F4007),"x","")</f>
        <v/>
      </c>
      <c r="AD5141" s="75" t="str">
        <f>IF(AND(N5141="1521",MONTH(C5141)='BK-NL'!$M$11),"x","")</f>
        <v/>
      </c>
      <c r="AE5141">
        <v>10</v>
      </c>
    </row>
    <row r="5142" spans="1:31" ht="16.5" customHeight="1">
      <c r="A5142" s="309" t="str">
        <f>IF(B5142&lt;&gt;"",IF(AND(B5142='IN-TC'!$S$4,OR(TH!N5130="1111",TH!O5130="1111")),TH!D5130,""),"")</f>
        <v/>
      </c>
      <c r="B5142" s="1244">
        <f t="shared" si="1346"/>
        <v>10</v>
      </c>
      <c r="C5142" s="292">
        <f t="shared" si="1345"/>
        <v>43025</v>
      </c>
      <c r="D5142" s="292"/>
      <c r="E5142" s="292">
        <v>43025</v>
      </c>
      <c r="F5142" s="67" t="s">
        <v>881</v>
      </c>
      <c r="G5142" s="925" t="s">
        <v>2504</v>
      </c>
      <c r="H5142" s="294" t="s">
        <v>2500</v>
      </c>
      <c r="I5142" s="373"/>
      <c r="J5142" s="926"/>
      <c r="K5142" s="373"/>
      <c r="L5142" s="379"/>
      <c r="M5142" s="927">
        <v>500000</v>
      </c>
      <c r="N5142" s="295" t="s">
        <v>101</v>
      </c>
      <c r="O5142" s="295" t="s">
        <v>63</v>
      </c>
      <c r="P5142" s="75" t="str">
        <f>IF(AND('331-CT'!$E$7=TH!H4008,OR(N5142="331",O5142="331")),"x","")</f>
        <v/>
      </c>
      <c r="Q5142" s="75" t="str">
        <f>IF(AND(B5142='111'!$L$11,OR($N5142=$Q$7,$O5142=$Q$7)),"x","")</f>
        <v/>
      </c>
      <c r="R5142" s="75" t="str">
        <f>IF(AND($N5142=$Q$7,$B5142&lt;'111'!$L$11),"x","")</f>
        <v/>
      </c>
      <c r="S5142" s="75" t="str">
        <f>IF(AND($O5142=$Q$7,$B5142&lt;'111'!$L$11),"x","")</f>
        <v>x</v>
      </c>
      <c r="T5142" s="75" t="str">
        <f>IF(ISERROR(FIND('112'!$M$9,G5142,1)),"",IF((AND(FIND('112'!$M$9,G5142,1)&gt;=1,B5142='112'!$K$9,OR($N5142='112'!$I$6,$O5142='112'!$I$6))),"x",""))</f>
        <v/>
      </c>
      <c r="U5142" s="75" t="str">
        <f>IF(ISERROR(FIND('112'!$M$9,G5142,1)),"",IF((AND(LEFT(G5142,2)=LEFT('112'!$M$9,2),B5142&lt;'112'!$K$9,$N5142='112'!$I$6)),"x",""))</f>
        <v/>
      </c>
      <c r="V5142" s="75" t="str">
        <f>IF(ISERROR(FIND('112'!$M$9,G5142,1)),"",IF((AND(RIGHT(G5142,2)=RIGHT('112'!$M$9,2),B5142&lt;'112'!$K$9,$O5142='112'!$I$6)),"x",""))</f>
        <v/>
      </c>
      <c r="W5142" s="75" t="str">
        <f>IF(AND('341-CT'!$H$9=H5142,OR(LEFT(N5142,3)=$W$7,LEFT(O5142,3)=$W$7)),"x","")</f>
        <v/>
      </c>
      <c r="X5142" s="75" t="str">
        <f>IF(OR(TH!N4008=TH!$X$7,O5142=TH!$X$7),"x","")</f>
        <v/>
      </c>
      <c r="Y5142" s="75" t="str">
        <f>IF(AND(OR(N5142="131",O5142="131"),H5142='131-CT'!$H$9),"x","")</f>
        <v/>
      </c>
      <c r="Z5142" s="75"/>
      <c r="AA5142" s="75" t="str">
        <f>IF(AND(MONTH(E5142)='IN-NX'!$J$5,'IN-NX'!$D$7=D5142),"x","")</f>
        <v/>
      </c>
      <c r="AB5142" s="75" t="str">
        <f>IF(AND(OR(LEFT(TH!N4008,2)="15",LEFT(TH!O4008,2)="15"),LEFT(TH!O4008,3)&lt;&gt;"111",'152-CT'!$J$8=TH!F4008),"x","")</f>
        <v/>
      </c>
      <c r="AC5142" s="75" t="str">
        <f>IF(AND(OR(LEFT(TH!N4008,2)="15",LEFT(TH!O4008,2)="15"),TK!$E$7=TH!F4008),"x","")</f>
        <v/>
      </c>
      <c r="AD5142" s="75" t="str">
        <f>IF(AND(N5142="1521",MONTH(C5142)='BK-NL'!$M$11),"x","")</f>
        <v/>
      </c>
      <c r="AE5142">
        <v>10</v>
      </c>
    </row>
    <row r="5143" spans="1:31" ht="16.5" customHeight="1">
      <c r="A5143" s="309" t="str">
        <f>IF(B5143&lt;&gt;"",IF(AND(B5143='IN-TC'!$S$4,OR(TH!N5131="1111",TH!O5131="1111")),TH!D5131,""),"")</f>
        <v/>
      </c>
      <c r="B5143" s="1244">
        <f t="shared" si="1346"/>
        <v>10</v>
      </c>
      <c r="C5143" s="292">
        <f t="shared" si="1345"/>
        <v>43025</v>
      </c>
      <c r="D5143" s="292"/>
      <c r="E5143" s="292">
        <v>43025</v>
      </c>
      <c r="F5143" s="67" t="s">
        <v>882</v>
      </c>
      <c r="G5143" s="925" t="s">
        <v>2504</v>
      </c>
      <c r="H5143" s="294" t="s">
        <v>2500</v>
      </c>
      <c r="I5143" s="373"/>
      <c r="J5143" s="926"/>
      <c r="K5143" s="373"/>
      <c r="L5143" s="379"/>
      <c r="M5143" s="927">
        <v>25000</v>
      </c>
      <c r="N5143" s="295" t="s">
        <v>9</v>
      </c>
      <c r="O5143" s="295" t="s">
        <v>63</v>
      </c>
      <c r="P5143" s="75" t="str">
        <f>IF(AND('331-CT'!$E$7=TH!H4009,OR(N5143="331",O5143="331")),"x","")</f>
        <v/>
      </c>
      <c r="Q5143" s="75" t="str">
        <f>IF(AND(B5143='111'!$L$11,OR($N5143=$Q$7,$O5143=$Q$7)),"x","")</f>
        <v/>
      </c>
      <c r="R5143" s="75" t="str">
        <f>IF(AND($N5143=$Q$7,$B5143&lt;'111'!$L$11),"x","")</f>
        <v/>
      </c>
      <c r="S5143" s="75" t="str">
        <f>IF(AND($O5143=$Q$7,$B5143&lt;'111'!$L$11),"x","")</f>
        <v>x</v>
      </c>
      <c r="T5143" s="75" t="str">
        <f>IF(ISERROR(FIND('112'!$M$9,G5143,1)),"",IF((AND(FIND('112'!$M$9,G5143,1)&gt;=1,B5143='112'!$K$9,OR($N5143='112'!$I$6,$O5143='112'!$I$6))),"x",""))</f>
        <v/>
      </c>
      <c r="U5143" s="75" t="str">
        <f>IF(ISERROR(FIND('112'!$M$9,G5143,1)),"",IF((AND(LEFT(G5143,2)=LEFT('112'!$M$9,2),B5143&lt;'112'!$K$9,$N5143='112'!$I$6)),"x",""))</f>
        <v/>
      </c>
      <c r="V5143" s="75" t="str">
        <f>IF(ISERROR(FIND('112'!$M$9,G5143,1)),"",IF((AND(RIGHT(G5143,2)=RIGHT('112'!$M$9,2),B5143&lt;'112'!$K$9,$O5143='112'!$I$6)),"x",""))</f>
        <v/>
      </c>
      <c r="W5143" s="75" t="str">
        <f>IF(AND('341-CT'!$H$9=H5143,OR(LEFT(N5143,3)=$W$7,LEFT(O5143,3)=$W$7)),"x","")</f>
        <v/>
      </c>
      <c r="X5143" s="75" t="str">
        <f>IF(OR(TH!N4009=TH!$X$7,O5143=TH!$X$7),"x","")</f>
        <v/>
      </c>
      <c r="Y5143" s="75" t="str">
        <f>IF(AND(OR(N5143="131",O5143="131"),H5143='131-CT'!$H$9),"x","")</f>
        <v/>
      </c>
      <c r="Z5143" s="75"/>
      <c r="AA5143" s="75" t="str">
        <f>IF(AND(MONTH(E5143)='IN-NX'!$J$5,'IN-NX'!$D$7=D5143),"x","")</f>
        <v/>
      </c>
      <c r="AB5143" s="75" t="str">
        <f>IF(AND(OR(LEFT(TH!N4009,2)="15",LEFT(TH!O4009,2)="15"),LEFT(TH!O4009,3)&lt;&gt;"111",'152-CT'!$J$8=TH!F4009),"x","")</f>
        <v/>
      </c>
      <c r="AC5143" s="75" t="str">
        <f>IF(AND(OR(LEFT(TH!N4009,2)="15",LEFT(TH!O4009,2)="15"),TK!$E$7=TH!F4009),"x","")</f>
        <v/>
      </c>
      <c r="AD5143" s="75" t="str">
        <f>IF(AND(N5143="1521",MONTH(C5143)='BK-NL'!$M$11),"x","")</f>
        <v/>
      </c>
      <c r="AE5143">
        <v>10</v>
      </c>
    </row>
    <row r="5144" spans="1:31" ht="16.5" customHeight="1">
      <c r="A5144" s="309" t="str">
        <f>IF(B5144&lt;&gt;"",IF(AND(B5144='IN-TC'!$S$4,OR(TH!N5132="1111",TH!O5132="1111")),TH!D5132,""),"")</f>
        <v/>
      </c>
      <c r="B5144" s="1244">
        <f t="shared" si="1346"/>
        <v>10</v>
      </c>
      <c r="C5144" s="292">
        <f t="shared" si="1345"/>
        <v>43025</v>
      </c>
      <c r="D5144" s="292"/>
      <c r="E5144" s="292">
        <v>43025</v>
      </c>
      <c r="F5144" s="67" t="s">
        <v>881</v>
      </c>
      <c r="G5144" s="925" t="s">
        <v>2505</v>
      </c>
      <c r="H5144" s="294" t="s">
        <v>2500</v>
      </c>
      <c r="I5144" s="373"/>
      <c r="J5144" s="926"/>
      <c r="K5144" s="373"/>
      <c r="L5144" s="379"/>
      <c r="M5144" s="927">
        <v>500000</v>
      </c>
      <c r="N5144" s="295" t="s">
        <v>101</v>
      </c>
      <c r="O5144" s="295" t="s">
        <v>63</v>
      </c>
      <c r="P5144" s="75" t="str">
        <f>IF(AND('331-CT'!$E$7=TH!H4010,OR(N5144="331",O5144="331")),"x","")</f>
        <v/>
      </c>
      <c r="Q5144" s="75" t="str">
        <f>IF(AND(B5144='111'!$L$11,OR($N5144=$Q$7,$O5144=$Q$7)),"x","")</f>
        <v/>
      </c>
      <c r="R5144" s="75" t="str">
        <f>IF(AND($N5144=$Q$7,$B5144&lt;'111'!$L$11),"x","")</f>
        <v/>
      </c>
      <c r="S5144" s="75" t="str">
        <f>IF(AND($O5144=$Q$7,$B5144&lt;'111'!$L$11),"x","")</f>
        <v>x</v>
      </c>
      <c r="T5144" s="75" t="str">
        <f>IF(ISERROR(FIND('112'!$M$9,G5144,1)),"",IF((AND(FIND('112'!$M$9,G5144,1)&gt;=1,B5144='112'!$K$9,OR($N5144='112'!$I$6,$O5144='112'!$I$6))),"x",""))</f>
        <v/>
      </c>
      <c r="U5144" s="75" t="str">
        <f>IF(ISERROR(FIND('112'!$M$9,G5144,1)),"",IF((AND(LEFT(G5144,2)=LEFT('112'!$M$9,2),B5144&lt;'112'!$K$9,$N5144='112'!$I$6)),"x",""))</f>
        <v/>
      </c>
      <c r="V5144" s="75" t="str">
        <f>IF(ISERROR(FIND('112'!$M$9,G5144,1)),"",IF((AND(RIGHT(G5144,2)=RIGHT('112'!$M$9,2),B5144&lt;'112'!$K$9,$O5144='112'!$I$6)),"x",""))</f>
        <v/>
      </c>
      <c r="W5144" s="75" t="str">
        <f>IF(AND('341-CT'!$H$9=H5144,OR(LEFT(N5144,3)=$W$7,LEFT(O5144,3)=$W$7)),"x","")</f>
        <v/>
      </c>
      <c r="X5144" s="75" t="str">
        <f>IF(OR(TH!N4010=TH!$X$7,O5144=TH!$X$7),"x","")</f>
        <v/>
      </c>
      <c r="Y5144" s="75" t="str">
        <f>IF(AND(OR(N5144="131",O5144="131"),H5144='131-CT'!$H$9),"x","")</f>
        <v/>
      </c>
      <c r="Z5144" s="75"/>
      <c r="AA5144" s="75" t="str">
        <f>IF(AND(MONTH(E5144)='IN-NX'!$J$5,'IN-NX'!$D$7=D5144),"x","")</f>
        <v/>
      </c>
      <c r="AB5144" s="75" t="str">
        <f>IF(AND(OR(LEFT(TH!N4010,2)="15",LEFT(TH!O4010,2)="15"),LEFT(TH!O4010,3)&lt;&gt;"111",'152-CT'!$J$8=TH!F4010),"x","")</f>
        <v/>
      </c>
      <c r="AC5144" s="75" t="str">
        <f>IF(AND(OR(LEFT(TH!N4010,2)="15",LEFT(TH!O4010,2)="15"),TK!$E$7=TH!F4010),"x","")</f>
        <v/>
      </c>
      <c r="AD5144" s="75" t="str">
        <f>IF(AND(N5144="1521",MONTH(C5144)='BK-NL'!$M$11),"x","")</f>
        <v/>
      </c>
      <c r="AE5144">
        <v>10</v>
      </c>
    </row>
    <row r="5145" spans="1:31" ht="16.5" customHeight="1">
      <c r="A5145" s="309" t="str">
        <f>IF(B5145&lt;&gt;"",IF(AND(B5145='IN-TC'!$S$4,OR(TH!N5133="1111",TH!O5133="1111")),TH!D5133,""),"")</f>
        <v/>
      </c>
      <c r="B5145" s="1244">
        <f t="shared" si="1346"/>
        <v>10</v>
      </c>
      <c r="C5145" s="292">
        <f t="shared" si="1345"/>
        <v>43025</v>
      </c>
      <c r="D5145" s="292"/>
      <c r="E5145" s="292">
        <v>43025</v>
      </c>
      <c r="F5145" s="67" t="s">
        <v>882</v>
      </c>
      <c r="G5145" s="925" t="s">
        <v>2505</v>
      </c>
      <c r="H5145" s="294" t="s">
        <v>2500</v>
      </c>
      <c r="I5145" s="373"/>
      <c r="J5145" s="926"/>
      <c r="K5145" s="373"/>
      <c r="L5145" s="379"/>
      <c r="M5145" s="927">
        <v>25000</v>
      </c>
      <c r="N5145" s="295" t="s">
        <v>9</v>
      </c>
      <c r="O5145" s="295" t="s">
        <v>63</v>
      </c>
      <c r="P5145" s="75" t="str">
        <f>IF(AND('331-CT'!$E$7=TH!H4011,OR(N5145="331",O5145="331")),"x","")</f>
        <v/>
      </c>
      <c r="Q5145" s="75" t="str">
        <f>IF(AND(B5145='111'!$L$11,OR($N5145=$Q$7,$O5145=$Q$7)),"x","")</f>
        <v/>
      </c>
      <c r="R5145" s="75" t="str">
        <f>IF(AND($N5145=$Q$7,$B5145&lt;'111'!$L$11),"x","")</f>
        <v/>
      </c>
      <c r="S5145" s="75" t="str">
        <f>IF(AND($O5145=$Q$7,$B5145&lt;'111'!$L$11),"x","")</f>
        <v>x</v>
      </c>
      <c r="T5145" s="75" t="str">
        <f>IF(ISERROR(FIND('112'!$M$9,G5145,1)),"",IF((AND(FIND('112'!$M$9,G5145,1)&gt;=1,B5145='112'!$K$9,OR($N5145='112'!$I$6,$O5145='112'!$I$6))),"x",""))</f>
        <v/>
      </c>
      <c r="U5145" s="75" t="str">
        <f>IF(ISERROR(FIND('112'!$M$9,G5145,1)),"",IF((AND(LEFT(G5145,2)=LEFT('112'!$M$9,2),B5145&lt;'112'!$K$9,$N5145='112'!$I$6)),"x",""))</f>
        <v/>
      </c>
      <c r="V5145" s="75" t="str">
        <f>IF(ISERROR(FIND('112'!$M$9,G5145,1)),"",IF((AND(RIGHT(G5145,2)=RIGHT('112'!$M$9,2),B5145&lt;'112'!$K$9,$O5145='112'!$I$6)),"x",""))</f>
        <v/>
      </c>
      <c r="W5145" s="75" t="str">
        <f>IF(AND('341-CT'!$H$9=H5145,OR(LEFT(N5145,3)=$W$7,LEFT(O5145,3)=$W$7)),"x","")</f>
        <v/>
      </c>
      <c r="X5145" s="75" t="str">
        <f>IF(OR(TH!N4011=TH!$X$7,O5145=TH!$X$7),"x","")</f>
        <v/>
      </c>
      <c r="Y5145" s="75" t="str">
        <f>IF(AND(OR(N5145="131",O5145="131"),H5145='131-CT'!$H$9),"x","")</f>
        <v/>
      </c>
      <c r="Z5145" s="75"/>
      <c r="AA5145" s="75" t="str">
        <f>IF(AND(MONTH(E5145)='IN-NX'!$J$5,'IN-NX'!$D$7=D5145),"x","")</f>
        <v/>
      </c>
      <c r="AB5145" s="75" t="str">
        <f>IF(AND(OR(LEFT(TH!N4011,2)="15",LEFT(TH!O4011,2)="15"),LEFT(TH!O4011,3)&lt;&gt;"111",'152-CT'!$J$8=TH!F4011),"x","")</f>
        <v/>
      </c>
      <c r="AC5145" s="75" t="str">
        <f>IF(AND(OR(LEFT(TH!N4011,2)="15",LEFT(TH!O4011,2)="15"),TK!$E$7=TH!F4011),"x","")</f>
        <v/>
      </c>
      <c r="AD5145" s="75" t="str">
        <f>IF(AND(N5145="1521",MONTH(C5145)='BK-NL'!$M$11),"x","")</f>
        <v/>
      </c>
      <c r="AE5145">
        <v>10</v>
      </c>
    </row>
    <row r="5146" spans="1:31" ht="16.5" customHeight="1">
      <c r="A5146" s="309" t="str">
        <f>IF(B5146&lt;&gt;"",IF(AND(B5146='IN-TC'!$S$4,OR(TH!N5134="1111",TH!O5134="1111")),TH!D5134,""),"")</f>
        <v/>
      </c>
      <c r="B5146" s="1244">
        <f t="shared" si="1346"/>
        <v>10</v>
      </c>
      <c r="C5146" s="292">
        <f t="shared" si="1345"/>
        <v>43025</v>
      </c>
      <c r="D5146" s="292"/>
      <c r="E5146" s="292">
        <v>43025</v>
      </c>
      <c r="F5146" s="67" t="s">
        <v>1328</v>
      </c>
      <c r="G5146" s="925" t="s">
        <v>2724</v>
      </c>
      <c r="H5146" s="294" t="s">
        <v>948</v>
      </c>
      <c r="I5146" s="373"/>
      <c r="J5146" s="926"/>
      <c r="K5146" s="373"/>
      <c r="L5146" s="379"/>
      <c r="M5146" s="927">
        <v>818182</v>
      </c>
      <c r="N5146" s="295" t="s">
        <v>539</v>
      </c>
      <c r="O5146" s="295" t="s">
        <v>63</v>
      </c>
      <c r="P5146" s="75" t="str">
        <f>IF(AND('331-CT'!$E$7=TH!H4012,OR(N5146="331",O5146="331")),"x","")</f>
        <v/>
      </c>
      <c r="Q5146" s="75" t="str">
        <f>IF(AND(B5146='111'!$L$11,OR($N5146=$Q$7,$O5146=$Q$7)),"x","")</f>
        <v/>
      </c>
      <c r="R5146" s="75" t="str">
        <f>IF(AND($N5146=$Q$7,$B5146&lt;'111'!$L$11),"x","")</f>
        <v/>
      </c>
      <c r="S5146" s="75" t="str">
        <f>IF(AND($O5146=$Q$7,$B5146&lt;'111'!$L$11),"x","")</f>
        <v>x</v>
      </c>
      <c r="T5146" s="75" t="str">
        <f>IF(ISERROR(FIND('112'!$M$9,G5146,1)),"",IF((AND(FIND('112'!$M$9,G5146,1)&gt;=1,B5146='112'!$K$9,OR($N5146='112'!$I$6,$O5146='112'!$I$6))),"x",""))</f>
        <v/>
      </c>
      <c r="U5146" s="75" t="str">
        <f>IF(ISERROR(FIND('112'!$M$9,G5146,1)),"",IF((AND(LEFT(G5146,2)=LEFT('112'!$M$9,2),B5146&lt;'112'!$K$9,$N5146='112'!$I$6)),"x",""))</f>
        <v/>
      </c>
      <c r="V5146" s="75" t="str">
        <f>IF(ISERROR(FIND('112'!$M$9,G5146,1)),"",IF((AND(RIGHT(G5146,2)=RIGHT('112'!$M$9,2),B5146&lt;'112'!$K$9,$O5146='112'!$I$6)),"x",""))</f>
        <v/>
      </c>
      <c r="W5146" s="75" t="str">
        <f>IF(AND('341-CT'!$H$9=H5146,OR(LEFT(N5146,3)=$W$7,LEFT(O5146,3)=$W$7)),"x","")</f>
        <v/>
      </c>
      <c r="X5146" s="75" t="str">
        <f>IF(OR(TH!N4012=TH!$X$7,O5146=TH!$X$7),"x","")</f>
        <v/>
      </c>
      <c r="Y5146" s="75" t="str">
        <f>IF(AND(OR(N5146="131",O5146="131"),H5146='131-CT'!$H$9),"x","")</f>
        <v/>
      </c>
      <c r="Z5146" s="75"/>
      <c r="AA5146" s="75" t="str">
        <f>IF(AND(MONTH(E5146)='IN-NX'!$J$5,'IN-NX'!$D$7=D5146),"x","")</f>
        <v/>
      </c>
      <c r="AB5146" s="75" t="str">
        <f>IF(AND(OR(LEFT(TH!N4012,2)="15",LEFT(TH!O4012,2)="15"),LEFT(TH!O4012,3)&lt;&gt;"111",'152-CT'!$J$8=TH!F4012),"x","")</f>
        <v/>
      </c>
      <c r="AC5146" s="75" t="str">
        <f>IF(AND(OR(LEFT(TH!N4012,2)="15",LEFT(TH!O4012,2)="15"),TK!$E$7=TH!F4012),"x","")</f>
        <v/>
      </c>
      <c r="AD5146" s="75" t="str">
        <f>IF(AND(N5146="1521",MONTH(C5146)='BK-NL'!$M$11),"x","")</f>
        <v/>
      </c>
      <c r="AE5146">
        <v>11</v>
      </c>
    </row>
    <row r="5147" spans="1:31" ht="16.5" customHeight="1">
      <c r="A5147" s="309" t="str">
        <f>IF(B5147&lt;&gt;"",IF(AND(B5147='IN-TC'!$S$4,OR(TH!N5135="1111",TH!O5135="1111")),TH!D5135,""),"")</f>
        <v/>
      </c>
      <c r="B5147" s="1244">
        <f t="shared" si="1346"/>
        <v>10</v>
      </c>
      <c r="C5147" s="292">
        <f t="shared" si="1345"/>
        <v>43025</v>
      </c>
      <c r="D5147" s="292"/>
      <c r="E5147" s="292">
        <v>43025</v>
      </c>
      <c r="F5147" s="67" t="s">
        <v>1329</v>
      </c>
      <c r="G5147" s="925" t="s">
        <v>2724</v>
      </c>
      <c r="H5147" s="294" t="s">
        <v>948</v>
      </c>
      <c r="I5147" s="373"/>
      <c r="J5147" s="926"/>
      <c r="K5147" s="373"/>
      <c r="L5147" s="379"/>
      <c r="M5147" s="927">
        <v>81818</v>
      </c>
      <c r="N5147" s="295" t="s">
        <v>9</v>
      </c>
      <c r="O5147" s="295" t="s">
        <v>63</v>
      </c>
      <c r="P5147" s="75" t="str">
        <f>IF(AND('331-CT'!$E$7=TH!H4013,OR(N5147="331",O5147="331")),"x","")</f>
        <v/>
      </c>
      <c r="Q5147" s="75" t="str">
        <f>IF(AND(B5147='111'!$L$11,OR($N5147=$Q$7,$O5147=$Q$7)),"x","")</f>
        <v/>
      </c>
      <c r="R5147" s="75" t="str">
        <f>IF(AND($N5147=$Q$7,$B5147&lt;'111'!$L$11),"x","")</f>
        <v/>
      </c>
      <c r="S5147" s="75" t="str">
        <f>IF(AND($O5147=$Q$7,$B5147&lt;'111'!$L$11),"x","")</f>
        <v>x</v>
      </c>
      <c r="T5147" s="75" t="str">
        <f>IF(ISERROR(FIND('112'!$M$9,G5147,1)),"",IF((AND(FIND('112'!$M$9,G5147,1)&gt;=1,B5147='112'!$K$9,OR($N5147='112'!$I$6,$O5147='112'!$I$6))),"x",""))</f>
        <v/>
      </c>
      <c r="U5147" s="75" t="str">
        <f>IF(ISERROR(FIND('112'!$M$9,G5147,1)),"",IF((AND(LEFT(G5147,2)=LEFT('112'!$M$9,2),B5147&lt;'112'!$K$9,$N5147='112'!$I$6)),"x",""))</f>
        <v/>
      </c>
      <c r="V5147" s="75" t="str">
        <f>IF(ISERROR(FIND('112'!$M$9,G5147,1)),"",IF((AND(RIGHT(G5147,2)=RIGHT('112'!$M$9,2),B5147&lt;'112'!$K$9,$O5147='112'!$I$6)),"x",""))</f>
        <v/>
      </c>
      <c r="W5147" s="75" t="str">
        <f>IF(AND('341-CT'!$H$9=H5147,OR(LEFT(N5147,3)=$W$7,LEFT(O5147,3)=$W$7)),"x","")</f>
        <v/>
      </c>
      <c r="X5147" s="75" t="str">
        <f>IF(OR(TH!N4013=TH!$X$7,O5147=TH!$X$7),"x","")</f>
        <v/>
      </c>
      <c r="Y5147" s="75" t="str">
        <f>IF(AND(OR(N5147="131",O5147="131"),H5147='131-CT'!$H$9),"x","")</f>
        <v/>
      </c>
      <c r="Z5147" s="75"/>
      <c r="AA5147" s="75" t="str">
        <f>IF(AND(MONTH(E5147)='IN-NX'!$J$5,'IN-NX'!$D$7=D5147),"x","")</f>
        <v/>
      </c>
      <c r="AB5147" s="75" t="str">
        <f>IF(AND(OR(LEFT(TH!N4013,2)="15",LEFT(TH!O4013,2)="15"),LEFT(TH!O4013,3)&lt;&gt;"111",'152-CT'!$J$8=TH!F4013),"x","")</f>
        <v/>
      </c>
      <c r="AC5147" s="75" t="str">
        <f>IF(AND(OR(LEFT(TH!N4013,2)="15",LEFT(TH!O4013,2)="15"),TK!$E$7=TH!F4013),"x","")</f>
        <v/>
      </c>
      <c r="AD5147" s="75" t="str">
        <f>IF(AND(N5147="1521",MONTH(C5147)='BK-NL'!$M$11),"x","")</f>
        <v/>
      </c>
      <c r="AE5147">
        <v>11</v>
      </c>
    </row>
    <row r="5148" spans="1:31" ht="16.5" customHeight="1">
      <c r="A5148" s="309" t="str">
        <f>IF(B5148&lt;&gt;"",IF(AND(B5148='IN-TC'!$S$4,OR(TH!N5136="1111",TH!O5136="1111")),TH!D5136,""),"")</f>
        <v/>
      </c>
      <c r="B5148" s="1244">
        <f t="shared" si="1346"/>
        <v>10</v>
      </c>
      <c r="C5148" s="292">
        <f t="shared" si="1345"/>
        <v>43025</v>
      </c>
      <c r="D5148" s="292"/>
      <c r="E5148" s="292">
        <v>43025</v>
      </c>
      <c r="F5148" s="67" t="s">
        <v>1328</v>
      </c>
      <c r="G5148" s="925" t="s">
        <v>2891</v>
      </c>
      <c r="H5148" s="294" t="s">
        <v>948</v>
      </c>
      <c r="I5148" s="373"/>
      <c r="J5148" s="926"/>
      <c r="K5148" s="373"/>
      <c r="L5148" s="379"/>
      <c r="M5148" s="927">
        <v>818182</v>
      </c>
      <c r="N5148" s="295" t="s">
        <v>539</v>
      </c>
      <c r="O5148" s="295" t="s">
        <v>63</v>
      </c>
      <c r="P5148" s="75" t="str">
        <f>IF(AND('331-CT'!$E$7=TH!H4014,OR(N5148="331",O5148="331")),"x","")</f>
        <v/>
      </c>
      <c r="Q5148" s="75" t="str">
        <f>IF(AND(B5148='111'!$L$11,OR($N5148=$Q$7,$O5148=$Q$7)),"x","")</f>
        <v/>
      </c>
      <c r="R5148" s="75" t="str">
        <f>IF(AND($N5148=$Q$7,$B5148&lt;'111'!$L$11),"x","")</f>
        <v/>
      </c>
      <c r="S5148" s="75" t="str">
        <f>IF(AND($O5148=$Q$7,$B5148&lt;'111'!$L$11),"x","")</f>
        <v>x</v>
      </c>
      <c r="T5148" s="75" t="str">
        <f>IF(ISERROR(FIND('112'!$M$9,G5148,1)),"",IF((AND(FIND('112'!$M$9,G5148,1)&gt;=1,B5148='112'!$K$9,OR($N5148='112'!$I$6,$O5148='112'!$I$6))),"x",""))</f>
        <v/>
      </c>
      <c r="U5148" s="75" t="str">
        <f>IF(ISERROR(FIND('112'!$M$9,G5148,1)),"",IF((AND(LEFT(G5148,2)=LEFT('112'!$M$9,2),B5148&lt;'112'!$K$9,$N5148='112'!$I$6)),"x",""))</f>
        <v/>
      </c>
      <c r="V5148" s="75" t="str">
        <f>IF(ISERROR(FIND('112'!$M$9,G5148,1)),"",IF((AND(RIGHT(G5148,2)=RIGHT('112'!$M$9,2),B5148&lt;'112'!$K$9,$O5148='112'!$I$6)),"x",""))</f>
        <v/>
      </c>
      <c r="W5148" s="75" t="str">
        <f>IF(AND('341-CT'!$H$9=H5148,OR(LEFT(N5148,3)=$W$7,LEFT(O5148,3)=$W$7)),"x","")</f>
        <v/>
      </c>
      <c r="X5148" s="75" t="str">
        <f>IF(OR(TH!N4014=TH!$X$7,O5148=TH!$X$7),"x","")</f>
        <v/>
      </c>
      <c r="Y5148" s="75" t="str">
        <f>IF(AND(OR(N5148="131",O5148="131"),H5148='131-CT'!$H$9),"x","")</f>
        <v/>
      </c>
      <c r="Z5148" s="75"/>
      <c r="AA5148" s="75" t="str">
        <f>IF(AND(MONTH(E5148)='IN-NX'!$J$5,'IN-NX'!$D$7=D5148),"x","")</f>
        <v/>
      </c>
      <c r="AB5148" s="75" t="str">
        <f>IF(AND(OR(LEFT(TH!N4014,2)="15",LEFT(TH!O4014,2)="15"),LEFT(TH!O4014,3)&lt;&gt;"111",'152-CT'!$J$8=TH!F4014),"x","")</f>
        <v/>
      </c>
      <c r="AC5148" s="75" t="str">
        <f>IF(AND(OR(LEFT(TH!N4014,2)="15",LEFT(TH!O4014,2)="15"),TK!$E$7=TH!F4014),"x","")</f>
        <v/>
      </c>
      <c r="AD5148" s="75" t="str">
        <f>IF(AND(N5148="1521",MONTH(C5148)='BK-NL'!$M$11),"x","")</f>
        <v/>
      </c>
      <c r="AE5148" t="s">
        <v>2969</v>
      </c>
    </row>
    <row r="5149" spans="1:31" ht="16.5" customHeight="1">
      <c r="A5149" s="309" t="str">
        <f>IF(B5149&lt;&gt;"",IF(AND(B5149='IN-TC'!$S$4,OR(TH!N5137="1111",TH!O5137="1111")),TH!D5137,""),"")</f>
        <v/>
      </c>
      <c r="B5149" s="1244">
        <f t="shared" si="1346"/>
        <v>10</v>
      </c>
      <c r="C5149" s="292">
        <f t="shared" si="1345"/>
        <v>43025</v>
      </c>
      <c r="D5149" s="292"/>
      <c r="E5149" s="292">
        <v>43025</v>
      </c>
      <c r="F5149" s="67" t="s">
        <v>1329</v>
      </c>
      <c r="G5149" s="925" t="s">
        <v>2891</v>
      </c>
      <c r="H5149" s="294" t="s">
        <v>948</v>
      </c>
      <c r="I5149" s="373"/>
      <c r="J5149" s="926"/>
      <c r="K5149" s="373"/>
      <c r="L5149" s="379"/>
      <c r="M5149" s="927">
        <v>81818</v>
      </c>
      <c r="N5149" s="295" t="s">
        <v>9</v>
      </c>
      <c r="O5149" s="295" t="s">
        <v>63</v>
      </c>
      <c r="P5149" s="75" t="str">
        <f>IF(AND('331-CT'!$E$7=TH!H4015,OR(N5149="331",O5149="331")),"x","")</f>
        <v/>
      </c>
      <c r="Q5149" s="75" t="str">
        <f>IF(AND(B5149='111'!$L$11,OR($N5149=$Q$7,$O5149=$Q$7)),"x","")</f>
        <v/>
      </c>
      <c r="R5149" s="75" t="str">
        <f>IF(AND($N5149=$Q$7,$B5149&lt;'111'!$L$11),"x","")</f>
        <v/>
      </c>
      <c r="S5149" s="75" t="str">
        <f>IF(AND($O5149=$Q$7,$B5149&lt;'111'!$L$11),"x","")</f>
        <v>x</v>
      </c>
      <c r="T5149" s="75" t="str">
        <f>IF(ISERROR(FIND('112'!$M$9,G5149,1)),"",IF((AND(FIND('112'!$M$9,G5149,1)&gt;=1,B5149='112'!$K$9,OR($N5149='112'!$I$6,$O5149='112'!$I$6))),"x",""))</f>
        <v/>
      </c>
      <c r="U5149" s="75" t="str">
        <f>IF(ISERROR(FIND('112'!$M$9,G5149,1)),"",IF((AND(LEFT(G5149,2)=LEFT('112'!$M$9,2),B5149&lt;'112'!$K$9,$N5149='112'!$I$6)),"x",""))</f>
        <v/>
      </c>
      <c r="V5149" s="75" t="str">
        <f>IF(ISERROR(FIND('112'!$M$9,G5149,1)),"",IF((AND(RIGHT(G5149,2)=RIGHT('112'!$M$9,2),B5149&lt;'112'!$K$9,$O5149='112'!$I$6)),"x",""))</f>
        <v/>
      </c>
      <c r="W5149" s="75" t="str">
        <f>IF(AND('341-CT'!$H$9=H5149,OR(LEFT(N5149,3)=$W$7,LEFT(O5149,3)=$W$7)),"x","")</f>
        <v/>
      </c>
      <c r="X5149" s="75" t="str">
        <f>IF(OR(TH!N4015=TH!$X$7,O5149=TH!$X$7),"x","")</f>
        <v/>
      </c>
      <c r="Y5149" s="75" t="str">
        <f>IF(AND(OR(N5149="131",O5149="131"),H5149='131-CT'!$H$9),"x","")</f>
        <v/>
      </c>
      <c r="Z5149" s="75"/>
      <c r="AA5149" s="75" t="str">
        <f>IF(AND(MONTH(E5149)='IN-NX'!$J$5,'IN-NX'!$D$7=D5149),"x","")</f>
        <v/>
      </c>
      <c r="AB5149" s="75" t="str">
        <f>IF(AND(OR(LEFT(TH!N4015,2)="15",LEFT(TH!O4015,2)="15"),LEFT(TH!O4015,3)&lt;&gt;"111",'152-CT'!$J$8=TH!F4015),"x","")</f>
        <v/>
      </c>
      <c r="AC5149" s="75" t="str">
        <f>IF(AND(OR(LEFT(TH!N4015,2)="15",LEFT(TH!O4015,2)="15"),TK!$E$7=TH!F4015),"x","")</f>
        <v/>
      </c>
      <c r="AD5149" s="75" t="str">
        <f>IF(AND(N5149="1521",MONTH(C5149)='BK-NL'!$M$11),"x","")</f>
        <v/>
      </c>
      <c r="AE5149" t="s">
        <v>2969</v>
      </c>
    </row>
    <row r="5150" spans="1:31" ht="16.5" customHeight="1">
      <c r="A5150" s="309" t="str">
        <f>IF(B5150&lt;&gt;"",IF(AND(B5150='IN-TC'!$S$4,OR(TH!N5138="1111",TH!O5138="1111")),TH!D5138,""),"")</f>
        <v/>
      </c>
      <c r="B5150" s="1244">
        <f t="shared" si="1346"/>
        <v>10</v>
      </c>
      <c r="C5150" s="292">
        <f t="shared" si="1345"/>
        <v>43026</v>
      </c>
      <c r="D5150" s="59" t="s">
        <v>853</v>
      </c>
      <c r="E5150" s="59">
        <v>43026</v>
      </c>
      <c r="F5150" s="62" t="s">
        <v>834</v>
      </c>
      <c r="G5150" s="62" t="s">
        <v>747</v>
      </c>
      <c r="H5150" s="67" t="s">
        <v>1023</v>
      </c>
      <c r="I5150" s="373"/>
      <c r="J5150" s="382"/>
      <c r="K5150" s="373"/>
      <c r="L5150" s="379"/>
      <c r="M5150" s="60">
        <v>1000000000</v>
      </c>
      <c r="N5150" s="61" t="s">
        <v>63</v>
      </c>
      <c r="O5150" s="61" t="s">
        <v>26</v>
      </c>
      <c r="P5150" s="75" t="str">
        <f>IF(AND('331-CT'!$E$7=TH!H5510,OR(N5150="331",O5150="331")),"x","")</f>
        <v/>
      </c>
      <c r="Q5150" s="75" t="str">
        <f>IF(AND(B5150='111'!$L$11,OR($N5150=$Q$7,$O5150=$Q$7)),"x","")</f>
        <v/>
      </c>
      <c r="R5150" s="75" t="str">
        <f>IF(AND($N5150=$Q$7,$B5150&lt;'111'!$L$11),"x","")</f>
        <v>x</v>
      </c>
      <c r="S5150" s="75" t="str">
        <f>IF(AND($O5150=$Q$7,$B5150&lt;'111'!$L$11),"x","")</f>
        <v/>
      </c>
      <c r="T5150" s="75" t="str">
        <f>IF(ISERROR(FIND('112'!$M$9,G5150,1)),"",IF((AND(FIND('112'!$M$9,G5150,1)&gt;=1,B5150='112'!$K$9,OR($N5150='112'!$I$6,$O5150='112'!$I$6))),"x",""))</f>
        <v/>
      </c>
      <c r="U5150" s="75" t="str">
        <f>IF(ISERROR(FIND('112'!$M$9,G5150,1)),"",IF((AND(LEFT(G5150,2)=LEFT('112'!$M$9,2),B5150&lt;'112'!$K$9,$N5150='112'!$I$6)),"x",""))</f>
        <v/>
      </c>
      <c r="V5150" s="75" t="str">
        <f>IF(ISERROR(FIND('112'!$M$9,G5150,1)),"",IF((AND(RIGHT(G5150,2)=RIGHT('112'!$M$9,2),B5150&lt;'112'!$K$9,$O5150='112'!$I$6)),"x",""))</f>
        <v/>
      </c>
      <c r="W5150" s="75" t="str">
        <f>IF(AND('341-CT'!$H$9=H5150,OR(LEFT(N5150,3)=$W$7,LEFT(O5150,3)=$W$7)),"x","")</f>
        <v/>
      </c>
      <c r="X5150" s="75" t="str">
        <f>IF(OR(TH!N5510=TH!$X$7,O5150=TH!$X$7),"x","")</f>
        <v/>
      </c>
      <c r="Y5150" s="75" t="str">
        <f>IF(AND(OR(N5150="131",O5150="131"),H5150='131-CT'!$H$9),"x","")</f>
        <v/>
      </c>
      <c r="Z5150" s="75"/>
      <c r="AA5150" s="75" t="str">
        <f>IF(AND(MONTH(E5150)='IN-NX'!$J$5,'IN-NX'!$D$7=D5150),"x","")</f>
        <v/>
      </c>
      <c r="AB5150" s="75" t="str">
        <f>IF(AND(OR(LEFT(TH!N5510,2)="15",LEFT(TH!O5510,2)="15"),LEFT(TH!O5510,3)&lt;&gt;"111",'152-CT'!$J$8=TH!F5510),"x","")</f>
        <v/>
      </c>
      <c r="AC5150" s="75" t="str">
        <f>IF(AND(OR(LEFT(TH!N5510,2)="15",LEFT(TH!O5510,2)="15"),TK!$E$7=TH!F5510),"x","")</f>
        <v/>
      </c>
      <c r="AD5150" s="75" t="str">
        <f>IF(AND(N5150="1521",MONTH(C5150)='BK-NL'!$M$11),"x","")</f>
        <v/>
      </c>
    </row>
    <row r="5151" spans="1:31" ht="16.5" customHeight="1">
      <c r="A5151" s="309" t="str">
        <f>IF(B5151&lt;&gt;"",IF(AND(B5151='IN-TC'!$S$4,OR(TH!N5139="1111",TH!O5139="1111")),TH!D5139,""),"")</f>
        <v/>
      </c>
      <c r="B5151" s="1244">
        <f t="shared" si="1346"/>
        <v>10</v>
      </c>
      <c r="C5151" s="292">
        <f t="shared" si="1345"/>
        <v>43026</v>
      </c>
      <c r="D5151" s="292"/>
      <c r="E5151" s="292">
        <v>43026</v>
      </c>
      <c r="F5151" s="67" t="s">
        <v>2506</v>
      </c>
      <c r="G5151" s="925" t="s">
        <v>2333</v>
      </c>
      <c r="H5151" s="294" t="s">
        <v>2334</v>
      </c>
      <c r="I5151" s="373"/>
      <c r="J5151" s="926"/>
      <c r="K5151" s="373"/>
      <c r="L5151" s="379"/>
      <c r="M5151" s="927">
        <v>12760000</v>
      </c>
      <c r="N5151" s="295" t="s">
        <v>101</v>
      </c>
      <c r="O5151" s="295" t="s">
        <v>63</v>
      </c>
      <c r="P5151" s="75" t="str">
        <f>IF(AND('331-CT'!$E$7=TH!H4016,OR(N5151="331",O5151="331")),"x","")</f>
        <v/>
      </c>
      <c r="Q5151" s="75" t="str">
        <f>IF(AND(B5151='111'!$L$11,OR($N5151=$Q$7,$O5151=$Q$7)),"x","")</f>
        <v/>
      </c>
      <c r="R5151" s="75" t="str">
        <f>IF(AND($N5151=$Q$7,$B5151&lt;'111'!$L$11),"x","")</f>
        <v/>
      </c>
      <c r="S5151" s="75" t="str">
        <f>IF(AND($O5151=$Q$7,$B5151&lt;'111'!$L$11),"x","")</f>
        <v>x</v>
      </c>
      <c r="T5151" s="75" t="str">
        <f>IF(ISERROR(FIND('112'!$M$9,G5151,1)),"",IF((AND(FIND('112'!$M$9,G5151,1)&gt;=1,B5151='112'!$K$9,OR($N5151='112'!$I$6,$O5151='112'!$I$6))),"x",""))</f>
        <v/>
      </c>
      <c r="U5151" s="75" t="str">
        <f>IF(ISERROR(FIND('112'!$M$9,G5151,1)),"",IF((AND(LEFT(G5151,2)=LEFT('112'!$M$9,2),B5151&lt;'112'!$K$9,$N5151='112'!$I$6)),"x",""))</f>
        <v/>
      </c>
      <c r="V5151" s="75" t="str">
        <f>IF(ISERROR(FIND('112'!$M$9,G5151,1)),"",IF((AND(RIGHT(G5151,2)=RIGHT('112'!$M$9,2),B5151&lt;'112'!$K$9,$O5151='112'!$I$6)),"x",""))</f>
        <v/>
      </c>
      <c r="W5151" s="75" t="str">
        <f>IF(AND('341-CT'!$H$9=H5151,OR(LEFT(N5151,3)=$W$7,LEFT(O5151,3)=$W$7)),"x","")</f>
        <v/>
      </c>
      <c r="X5151" s="75" t="str">
        <f>IF(OR(TH!N4016=TH!$X$7,O5151=TH!$X$7),"x","")</f>
        <v/>
      </c>
      <c r="Y5151" s="75" t="str">
        <f>IF(AND(OR(N5151="131",O5151="131"),H5151='131-CT'!$H$9),"x","")</f>
        <v/>
      </c>
      <c r="Z5151" s="75"/>
      <c r="AA5151" s="75" t="str">
        <f>IF(AND(MONTH(E5151)='IN-NX'!$J$5,'IN-NX'!$D$7=D5151),"x","")</f>
        <v/>
      </c>
      <c r="AB5151" s="75" t="str">
        <f>IF(AND(OR(LEFT(TH!N4016,2)="15",LEFT(TH!O4016,2)="15"),LEFT(TH!O4016,3)&lt;&gt;"111",'152-CT'!$J$8=TH!F4016),"x","")</f>
        <v/>
      </c>
      <c r="AC5151" s="75" t="str">
        <f>IF(AND(OR(LEFT(TH!N4016,2)="15",LEFT(TH!O4016,2)="15"),TK!$E$7=TH!F4016),"x","")</f>
        <v/>
      </c>
      <c r="AD5151" s="75" t="str">
        <f>IF(AND(N5151="1521",MONTH(C5151)='BK-NL'!$M$11),"x","")</f>
        <v/>
      </c>
      <c r="AE5151">
        <v>10</v>
      </c>
    </row>
    <row r="5152" spans="1:31" ht="16.5" customHeight="1">
      <c r="A5152" s="309" t="str">
        <f>IF(B5152&lt;&gt;"",IF(AND(B5152='IN-TC'!$S$4,OR(TH!N5140="1111",TH!O5140="1111")),TH!D5140,""),"")</f>
        <v/>
      </c>
      <c r="B5152" s="1244">
        <f t="shared" si="1346"/>
        <v>10</v>
      </c>
      <c r="C5152" s="292">
        <f t="shared" si="1345"/>
        <v>43026</v>
      </c>
      <c r="D5152" s="292"/>
      <c r="E5152" s="292">
        <v>43026</v>
      </c>
      <c r="F5152" s="67" t="s">
        <v>2507</v>
      </c>
      <c r="G5152" s="925" t="s">
        <v>2333</v>
      </c>
      <c r="H5152" s="294" t="s">
        <v>2334</v>
      </c>
      <c r="I5152" s="373"/>
      <c r="J5152" s="926"/>
      <c r="K5152" s="373"/>
      <c r="L5152" s="379"/>
      <c r="M5152" s="927">
        <v>1276000</v>
      </c>
      <c r="N5152" s="295" t="s">
        <v>9</v>
      </c>
      <c r="O5152" s="295" t="s">
        <v>63</v>
      </c>
      <c r="P5152" s="75" t="str">
        <f>IF(AND('331-CT'!$E$7=TH!H4017,OR(N5152="331",O5152="331")),"x","")</f>
        <v/>
      </c>
      <c r="Q5152" s="75" t="str">
        <f>IF(AND(B5152='111'!$L$11,OR($N5152=$Q$7,$O5152=$Q$7)),"x","")</f>
        <v/>
      </c>
      <c r="R5152" s="75" t="str">
        <f>IF(AND($N5152=$Q$7,$B5152&lt;'111'!$L$11),"x","")</f>
        <v/>
      </c>
      <c r="S5152" s="75" t="str">
        <f>IF(AND($O5152=$Q$7,$B5152&lt;'111'!$L$11),"x","")</f>
        <v>x</v>
      </c>
      <c r="T5152" s="75" t="str">
        <f>IF(ISERROR(FIND('112'!$M$9,G5152,1)),"",IF((AND(FIND('112'!$M$9,G5152,1)&gt;=1,B5152='112'!$K$9,OR($N5152='112'!$I$6,$O5152='112'!$I$6))),"x",""))</f>
        <v/>
      </c>
      <c r="U5152" s="75" t="str">
        <f>IF(ISERROR(FIND('112'!$M$9,G5152,1)),"",IF((AND(LEFT(G5152,2)=LEFT('112'!$M$9,2),B5152&lt;'112'!$K$9,$N5152='112'!$I$6)),"x",""))</f>
        <v/>
      </c>
      <c r="V5152" s="75" t="str">
        <f>IF(ISERROR(FIND('112'!$M$9,G5152,1)),"",IF((AND(RIGHT(G5152,2)=RIGHT('112'!$M$9,2),B5152&lt;'112'!$K$9,$O5152='112'!$I$6)),"x",""))</f>
        <v/>
      </c>
      <c r="W5152" s="75" t="str">
        <f>IF(AND('341-CT'!$H$9=H5152,OR(LEFT(N5152,3)=$W$7,LEFT(O5152,3)=$W$7)),"x","")</f>
        <v/>
      </c>
      <c r="X5152" s="75" t="str">
        <f>IF(OR(TH!N4017=TH!$X$7,O5152=TH!$X$7),"x","")</f>
        <v/>
      </c>
      <c r="Y5152" s="75" t="str">
        <f>IF(AND(OR(N5152="131",O5152="131"),H5152='131-CT'!$H$9),"x","")</f>
        <v/>
      </c>
      <c r="Z5152" s="75"/>
      <c r="AA5152" s="75" t="str">
        <f>IF(AND(MONTH(E5152)='IN-NX'!$J$5,'IN-NX'!$D$7=D5152),"x","")</f>
        <v/>
      </c>
      <c r="AB5152" s="75" t="str">
        <f>IF(AND(OR(LEFT(TH!N4017,2)="15",LEFT(TH!O4017,2)="15"),LEFT(TH!O4017,3)&lt;&gt;"111",'152-CT'!$J$8=TH!F4017),"x","")</f>
        <v/>
      </c>
      <c r="AC5152" s="75" t="str">
        <f>IF(AND(OR(LEFT(TH!N4017,2)="15",LEFT(TH!O4017,2)="15"),TK!$E$7=TH!F4017),"x","")</f>
        <v/>
      </c>
      <c r="AD5152" s="75" t="str">
        <f>IF(AND(N5152="1521",MONTH(C5152)='BK-NL'!$M$11),"x","")</f>
        <v/>
      </c>
      <c r="AE5152">
        <v>10</v>
      </c>
    </row>
    <row r="5153" spans="1:33" ht="16.5" customHeight="1">
      <c r="A5153" s="309" t="str">
        <f>IF(B5153&lt;&gt;"",IF(AND(B5153='IN-TC'!$S$4,OR(TH!N5141="1111",TH!O5141="1111")),TH!D5141,""),"")</f>
        <v/>
      </c>
      <c r="B5153" s="1244">
        <f t="shared" si="1346"/>
        <v>10</v>
      </c>
      <c r="C5153" s="292">
        <f t="shared" si="1345"/>
        <v>43026</v>
      </c>
      <c r="D5153" s="292"/>
      <c r="E5153" s="292">
        <v>43026</v>
      </c>
      <c r="F5153" s="67" t="s">
        <v>1499</v>
      </c>
      <c r="G5153" s="925" t="s">
        <v>2508</v>
      </c>
      <c r="H5153" s="294" t="s">
        <v>893</v>
      </c>
      <c r="I5153" s="373"/>
      <c r="J5153" s="926"/>
      <c r="K5153" s="373"/>
      <c r="L5153" s="379"/>
      <c r="M5153" s="927">
        <v>1871836</v>
      </c>
      <c r="N5153" s="295" t="s">
        <v>101</v>
      </c>
      <c r="O5153" s="295" t="s">
        <v>63</v>
      </c>
      <c r="P5153" s="75" t="str">
        <f>IF(AND('331-CT'!$E$7=TH!H4018,OR(N5153="331",O5153="331")),"x","")</f>
        <v/>
      </c>
      <c r="Q5153" s="75" t="str">
        <f>IF(AND(B5153='111'!$L$11,OR($N5153=$Q$7,$O5153=$Q$7)),"x","")</f>
        <v/>
      </c>
      <c r="R5153" s="75" t="str">
        <f>IF(AND($N5153=$Q$7,$B5153&lt;'111'!$L$11),"x","")</f>
        <v/>
      </c>
      <c r="S5153" s="75" t="str">
        <f>IF(AND($O5153=$Q$7,$B5153&lt;'111'!$L$11),"x","")</f>
        <v>x</v>
      </c>
      <c r="T5153" s="75" t="str">
        <f>IF(ISERROR(FIND('112'!$M$9,G5153,1)),"",IF((AND(FIND('112'!$M$9,G5153,1)&gt;=1,B5153='112'!$K$9,OR($N5153='112'!$I$6,$O5153='112'!$I$6))),"x",""))</f>
        <v/>
      </c>
      <c r="U5153" s="75" t="str">
        <f>IF(ISERROR(FIND('112'!$M$9,G5153,1)),"",IF((AND(LEFT(G5153,2)=LEFT('112'!$M$9,2),B5153&lt;'112'!$K$9,$N5153='112'!$I$6)),"x",""))</f>
        <v/>
      </c>
      <c r="V5153" s="75" t="str">
        <f>IF(ISERROR(FIND('112'!$M$9,G5153,1)),"",IF((AND(RIGHT(G5153,2)=RIGHT('112'!$M$9,2),B5153&lt;'112'!$K$9,$O5153='112'!$I$6)),"x",""))</f>
        <v/>
      </c>
      <c r="W5153" s="75" t="str">
        <f>IF(AND('341-CT'!$H$9=H5153,OR(LEFT(N5153,3)=$W$7,LEFT(O5153,3)=$W$7)),"x","")</f>
        <v/>
      </c>
      <c r="X5153" s="75" t="str">
        <f>IF(OR(TH!N4018=TH!$X$7,O5153=TH!$X$7),"x","")</f>
        <v/>
      </c>
      <c r="Y5153" s="75" t="str">
        <f>IF(AND(OR(N5153="131",O5153="131"),H5153='131-CT'!$H$9),"x","")</f>
        <v/>
      </c>
      <c r="Z5153" s="75"/>
      <c r="AA5153" s="75" t="str">
        <f>IF(AND(MONTH(E5153)='IN-NX'!$J$5,'IN-NX'!$D$7=D5153),"x","")</f>
        <v/>
      </c>
      <c r="AB5153" s="75" t="str">
        <f>IF(AND(OR(LEFT(TH!N4018,2)="15",LEFT(TH!O4018,2)="15"),LEFT(TH!O4018,3)&lt;&gt;"111",'152-CT'!$J$8=TH!F4018),"x","")</f>
        <v/>
      </c>
      <c r="AC5153" s="75" t="str">
        <f>IF(AND(OR(LEFT(TH!N4018,2)="15",LEFT(TH!O4018,2)="15"),TK!$E$7=TH!F4018),"x","")</f>
        <v/>
      </c>
      <c r="AD5153" s="75" t="str">
        <f>IF(AND(N5153="1521",MONTH(C5153)='BK-NL'!$M$11),"x","")</f>
        <v/>
      </c>
      <c r="AE5153">
        <v>10</v>
      </c>
    </row>
    <row r="5154" spans="1:33" ht="16.5" customHeight="1">
      <c r="A5154" s="309" t="str">
        <f>IF(B5154&lt;&gt;"",IF(AND(B5154='IN-TC'!$S$4,OR(TH!N5142="1111",TH!O5142="1111")),TH!D5142,""),"")</f>
        <v/>
      </c>
      <c r="B5154" s="1244">
        <f t="shared" si="1346"/>
        <v>10</v>
      </c>
      <c r="C5154" s="292">
        <f t="shared" si="1345"/>
        <v>43026</v>
      </c>
      <c r="D5154" s="292"/>
      <c r="E5154" s="292">
        <v>43026</v>
      </c>
      <c r="F5154" s="67" t="s">
        <v>1500</v>
      </c>
      <c r="G5154" s="925" t="s">
        <v>2508</v>
      </c>
      <c r="H5154" s="294" t="s">
        <v>893</v>
      </c>
      <c r="I5154" s="373"/>
      <c r="J5154" s="926"/>
      <c r="K5154" s="373"/>
      <c r="L5154" s="379"/>
      <c r="M5154" s="927">
        <v>187184</v>
      </c>
      <c r="N5154" s="295" t="s">
        <v>9</v>
      </c>
      <c r="O5154" s="295" t="s">
        <v>63</v>
      </c>
      <c r="P5154" s="75" t="str">
        <f>IF(AND('331-CT'!$E$7=TH!H4019,OR(N5154="331",O5154="331")),"x","")</f>
        <v/>
      </c>
      <c r="Q5154" s="75" t="str">
        <f>IF(AND(B5154='111'!$L$11,OR($N5154=$Q$7,$O5154=$Q$7)),"x","")</f>
        <v/>
      </c>
      <c r="R5154" s="75" t="str">
        <f>IF(AND($N5154=$Q$7,$B5154&lt;'111'!$L$11),"x","")</f>
        <v/>
      </c>
      <c r="S5154" s="75" t="str">
        <f>IF(AND($O5154=$Q$7,$B5154&lt;'111'!$L$11),"x","")</f>
        <v>x</v>
      </c>
      <c r="T5154" s="75" t="str">
        <f>IF(ISERROR(FIND('112'!$M$9,G5154,1)),"",IF((AND(FIND('112'!$M$9,G5154,1)&gt;=1,B5154='112'!$K$9,OR($N5154='112'!$I$6,$O5154='112'!$I$6))),"x",""))</f>
        <v/>
      </c>
      <c r="U5154" s="75" t="str">
        <f>IF(ISERROR(FIND('112'!$M$9,G5154,1)),"",IF((AND(LEFT(G5154,2)=LEFT('112'!$M$9,2),B5154&lt;'112'!$K$9,$N5154='112'!$I$6)),"x",""))</f>
        <v/>
      </c>
      <c r="V5154" s="75" t="str">
        <f>IF(ISERROR(FIND('112'!$M$9,G5154,1)),"",IF((AND(RIGHT(G5154,2)=RIGHT('112'!$M$9,2),B5154&lt;'112'!$K$9,$O5154='112'!$I$6)),"x",""))</f>
        <v/>
      </c>
      <c r="W5154" s="75" t="str">
        <f>IF(AND('341-CT'!$H$9=H5154,OR(LEFT(N5154,3)=$W$7,LEFT(O5154,3)=$W$7)),"x","")</f>
        <v/>
      </c>
      <c r="X5154" s="75" t="str">
        <f>IF(OR(TH!N4019=TH!$X$7,O5154=TH!$X$7),"x","")</f>
        <v/>
      </c>
      <c r="Y5154" s="75" t="str">
        <f>IF(AND(OR(N5154="131",O5154="131"),H5154='131-CT'!$H$9),"x","")</f>
        <v/>
      </c>
      <c r="Z5154" s="75"/>
      <c r="AA5154" s="75" t="str">
        <f>IF(AND(MONTH(E5154)='IN-NX'!$J$5,'IN-NX'!$D$7=D5154),"x","")</f>
        <v/>
      </c>
      <c r="AB5154" s="75" t="str">
        <f>IF(AND(OR(LEFT(TH!N4019,2)="15",LEFT(TH!O4019,2)="15"),LEFT(TH!O4019,3)&lt;&gt;"111",'152-CT'!$J$8=TH!F4019),"x","")</f>
        <v/>
      </c>
      <c r="AC5154" s="75" t="str">
        <f>IF(AND(OR(LEFT(TH!N4019,2)="15",LEFT(TH!O4019,2)="15"),TK!$E$7=TH!F4019),"x","")</f>
        <v/>
      </c>
      <c r="AD5154" s="75" t="str">
        <f>IF(AND(N5154="1521",MONTH(C5154)='BK-NL'!$M$11),"x","")</f>
        <v/>
      </c>
      <c r="AE5154">
        <v>10</v>
      </c>
    </row>
    <row r="5155" spans="1:33" ht="16.5" customHeight="1">
      <c r="A5155" s="309" t="str">
        <f>IF(B5155&lt;&gt;"",IF(AND(B5155='IN-TC'!$S$4,OR(TH!N5143="1111",TH!O5143="1111")),TH!D5143,""),"")</f>
        <v/>
      </c>
      <c r="B5155" s="1244">
        <f t="shared" si="1346"/>
        <v>10</v>
      </c>
      <c r="C5155" s="292">
        <f t="shared" si="1345"/>
        <v>43026</v>
      </c>
      <c r="D5155" s="292"/>
      <c r="E5155" s="292">
        <v>43026</v>
      </c>
      <c r="F5155" s="67" t="s">
        <v>2140</v>
      </c>
      <c r="G5155" s="925" t="s">
        <v>2560</v>
      </c>
      <c r="H5155" s="294" t="s">
        <v>803</v>
      </c>
      <c r="I5155" s="373"/>
      <c r="J5155" s="926"/>
      <c r="K5155" s="373"/>
      <c r="L5155" s="379"/>
      <c r="M5155" s="927">
        <v>17710000</v>
      </c>
      <c r="N5155" s="295" t="s">
        <v>8</v>
      </c>
      <c r="O5155" s="295" t="s">
        <v>63</v>
      </c>
      <c r="P5155" s="75" t="str">
        <f>IF(AND('331-CT'!$E$7=TH!H4020,OR(N5155="331",O5155="331")),"x","")</f>
        <v/>
      </c>
      <c r="Q5155" s="75" t="str">
        <f>IF(AND(B5155='111'!$L$11,OR($N5155=$Q$7,$O5155=$Q$7)),"x","")</f>
        <v/>
      </c>
      <c r="R5155" s="75" t="str">
        <f>IF(AND($N5155=$Q$7,$B5155&lt;'111'!$L$11),"x","")</f>
        <v/>
      </c>
      <c r="S5155" s="75" t="str">
        <f>IF(AND($O5155=$Q$7,$B5155&lt;'111'!$L$11),"x","")</f>
        <v>x</v>
      </c>
      <c r="T5155" s="75" t="str">
        <f>IF(ISERROR(FIND('112'!$M$9,G5155,1)),"",IF((AND(FIND('112'!$M$9,G5155,1)&gt;=1,B5155='112'!$K$9,OR($N5155='112'!$I$6,$O5155='112'!$I$6))),"x",""))</f>
        <v/>
      </c>
      <c r="U5155" s="75" t="str">
        <f>IF(ISERROR(FIND('112'!$M$9,G5155,1)),"",IF((AND(LEFT(G5155,2)=LEFT('112'!$M$9,2),B5155&lt;'112'!$K$9,$N5155='112'!$I$6)),"x",""))</f>
        <v/>
      </c>
      <c r="V5155" s="75" t="str">
        <f>IF(ISERROR(FIND('112'!$M$9,G5155,1)),"",IF((AND(RIGHT(G5155,2)=RIGHT('112'!$M$9,2),B5155&lt;'112'!$K$9,$O5155='112'!$I$6)),"x",""))</f>
        <v/>
      </c>
      <c r="W5155" s="75" t="str">
        <f>IF(AND('341-CT'!$H$9=H5155,OR(LEFT(N5155,3)=$W$7,LEFT(O5155,3)=$W$7)),"x","")</f>
        <v/>
      </c>
      <c r="X5155" s="75" t="str">
        <f>IF(OR(TH!N4020=TH!$X$7,O5155=TH!$X$7),"x","")</f>
        <v/>
      </c>
      <c r="Y5155" s="75" t="str">
        <f>IF(AND(OR(N5155="131",O5155="131"),H5155='131-CT'!$H$9),"x","")</f>
        <v/>
      </c>
      <c r="Z5155" s="75"/>
      <c r="AA5155" s="75" t="str">
        <f>IF(AND(MONTH(E5155)='IN-NX'!$J$5,'IN-NX'!$D$7=D5155),"x","")</f>
        <v/>
      </c>
      <c r="AB5155" s="75" t="str">
        <f>IF(AND(OR(LEFT(TH!N4020,2)="15",LEFT(TH!O4020,2)="15"),LEFT(TH!O4020,3)&lt;&gt;"111",'152-CT'!$J$8=TH!F4020),"x","")</f>
        <v/>
      </c>
      <c r="AC5155" s="75" t="str">
        <f>IF(AND(OR(LEFT(TH!N4020,2)="15",LEFT(TH!O4020,2)="15"),TK!$E$7=TH!F4020),"x","")</f>
        <v/>
      </c>
      <c r="AD5155" s="75" t="str">
        <f>IF(AND(N5155="1521",MONTH(C5155)='BK-NL'!$M$11),"x","")</f>
        <v/>
      </c>
    </row>
    <row r="5156" spans="1:33" ht="16.5" customHeight="1">
      <c r="A5156" s="309" t="str">
        <f>IF(B5156&lt;&gt;"",IF(AND(B5156='IN-TC'!$S$4,OR(TH!N5144="1111",TH!O5144="1111")),TH!D5144,""),"")</f>
        <v/>
      </c>
      <c r="B5156" s="1244">
        <f t="shared" si="1346"/>
        <v>10</v>
      </c>
      <c r="C5156" s="292">
        <f t="shared" si="1345"/>
        <v>43026</v>
      </c>
      <c r="D5156" s="292"/>
      <c r="E5156" s="292">
        <v>43026</v>
      </c>
      <c r="F5156" s="67" t="s">
        <v>1328</v>
      </c>
      <c r="G5156" s="925" t="s">
        <v>2725</v>
      </c>
      <c r="H5156" s="294" t="s">
        <v>948</v>
      </c>
      <c r="I5156" s="373"/>
      <c r="J5156" s="926"/>
      <c r="K5156" s="373"/>
      <c r="L5156" s="379"/>
      <c r="M5156" s="927">
        <v>1059091</v>
      </c>
      <c r="N5156" s="295" t="s">
        <v>539</v>
      </c>
      <c r="O5156" s="295" t="s">
        <v>63</v>
      </c>
      <c r="P5156" s="75" t="str">
        <f>IF(AND('331-CT'!$E$7=TH!H4021,OR(N5156="331",O5156="331")),"x","")</f>
        <v/>
      </c>
      <c r="Q5156" s="75" t="str">
        <f>IF(AND(B5156='111'!$L$11,OR($N5156=$Q$7,$O5156=$Q$7)),"x","")</f>
        <v/>
      </c>
      <c r="R5156" s="75" t="str">
        <f>IF(AND($N5156=$Q$7,$B5156&lt;'111'!$L$11),"x","")</f>
        <v/>
      </c>
      <c r="S5156" s="75" t="str">
        <f>IF(AND($O5156=$Q$7,$B5156&lt;'111'!$L$11),"x","")</f>
        <v>x</v>
      </c>
      <c r="T5156" s="75" t="str">
        <f>IF(ISERROR(FIND('112'!$M$9,G5156,1)),"",IF((AND(FIND('112'!$M$9,G5156,1)&gt;=1,B5156='112'!$K$9,OR($N5156='112'!$I$6,$O5156='112'!$I$6))),"x",""))</f>
        <v/>
      </c>
      <c r="U5156" s="75" t="str">
        <f>IF(ISERROR(FIND('112'!$M$9,G5156,1)),"",IF((AND(LEFT(G5156,2)=LEFT('112'!$M$9,2),B5156&lt;'112'!$K$9,$N5156='112'!$I$6)),"x",""))</f>
        <v/>
      </c>
      <c r="V5156" s="75" t="str">
        <f>IF(ISERROR(FIND('112'!$M$9,G5156,1)),"",IF((AND(RIGHT(G5156,2)=RIGHT('112'!$M$9,2),B5156&lt;'112'!$K$9,$O5156='112'!$I$6)),"x",""))</f>
        <v/>
      </c>
      <c r="W5156" s="75" t="str">
        <f>IF(AND('341-CT'!$H$9=H5156,OR(LEFT(N5156,3)=$W$7,LEFT(O5156,3)=$W$7)),"x","")</f>
        <v/>
      </c>
      <c r="X5156" s="75" t="str">
        <f>IF(OR(TH!N4021=TH!$X$7,O5156=TH!$X$7),"x","")</f>
        <v/>
      </c>
      <c r="Y5156" s="75" t="str">
        <f>IF(AND(OR(N5156="131",O5156="131"),H5156='131-CT'!$H$9),"x","")</f>
        <v/>
      </c>
      <c r="Z5156" s="75"/>
      <c r="AA5156" s="75" t="str">
        <f>IF(AND(MONTH(E5156)='IN-NX'!$J$5,'IN-NX'!$D$7=D5156),"x","")</f>
        <v/>
      </c>
      <c r="AB5156" s="75" t="str">
        <f>IF(AND(OR(LEFT(TH!N4021,2)="15",LEFT(TH!O4021,2)="15"),LEFT(TH!O4021,3)&lt;&gt;"111",'152-CT'!$J$8=TH!F4021),"x","")</f>
        <v/>
      </c>
      <c r="AC5156" s="75" t="str">
        <f>IF(AND(OR(LEFT(TH!N4021,2)="15",LEFT(TH!O4021,2)="15"),TK!$E$7=TH!F4021),"x","")</f>
        <v/>
      </c>
      <c r="AD5156" s="75" t="str">
        <f>IF(AND(N5156="1521",MONTH(C5156)='BK-NL'!$M$11),"x","")</f>
        <v/>
      </c>
      <c r="AE5156">
        <v>11</v>
      </c>
    </row>
    <row r="5157" spans="1:33" ht="16.5" customHeight="1">
      <c r="A5157" s="309" t="str">
        <f>IF(B5157&lt;&gt;"",IF(AND(B5157='IN-TC'!$S$4,OR(TH!N5145="1111",TH!O5145="1111")),TH!D5145,""),"")</f>
        <v/>
      </c>
      <c r="B5157" s="1244">
        <f t="shared" si="1346"/>
        <v>10</v>
      </c>
      <c r="C5157" s="292">
        <f t="shared" si="1345"/>
        <v>43026</v>
      </c>
      <c r="D5157" s="292"/>
      <c r="E5157" s="292">
        <v>43026</v>
      </c>
      <c r="F5157" s="67" t="s">
        <v>1329</v>
      </c>
      <c r="G5157" s="925" t="s">
        <v>2725</v>
      </c>
      <c r="H5157" s="294" t="s">
        <v>948</v>
      </c>
      <c r="I5157" s="373"/>
      <c r="J5157" s="926"/>
      <c r="K5157" s="373"/>
      <c r="L5157" s="379"/>
      <c r="M5157" s="927">
        <v>105909</v>
      </c>
      <c r="N5157" s="295" t="s">
        <v>9</v>
      </c>
      <c r="O5157" s="295" t="s">
        <v>63</v>
      </c>
      <c r="P5157" s="75" t="str">
        <f>IF(AND('331-CT'!$E$7=TH!H4022,OR(N5157="331",O5157="331")),"x","")</f>
        <v/>
      </c>
      <c r="Q5157" s="75" t="str">
        <f>IF(AND(B5157='111'!$L$11,OR($N5157=$Q$7,$O5157=$Q$7)),"x","")</f>
        <v/>
      </c>
      <c r="R5157" s="75" t="str">
        <f>IF(AND($N5157=$Q$7,$B5157&lt;'111'!$L$11),"x","")</f>
        <v/>
      </c>
      <c r="S5157" s="75" t="str">
        <f>IF(AND($O5157=$Q$7,$B5157&lt;'111'!$L$11),"x","")</f>
        <v>x</v>
      </c>
      <c r="T5157" s="75" t="str">
        <f>IF(ISERROR(FIND('112'!$M$9,G5157,1)),"",IF((AND(FIND('112'!$M$9,G5157,1)&gt;=1,B5157='112'!$K$9,OR($N5157='112'!$I$6,$O5157='112'!$I$6))),"x",""))</f>
        <v/>
      </c>
      <c r="U5157" s="75" t="str">
        <f>IF(ISERROR(FIND('112'!$M$9,G5157,1)),"",IF((AND(LEFT(G5157,2)=LEFT('112'!$M$9,2),B5157&lt;'112'!$K$9,$N5157='112'!$I$6)),"x",""))</f>
        <v/>
      </c>
      <c r="V5157" s="75" t="str">
        <f>IF(ISERROR(FIND('112'!$M$9,G5157,1)),"",IF((AND(RIGHT(G5157,2)=RIGHT('112'!$M$9,2),B5157&lt;'112'!$K$9,$O5157='112'!$I$6)),"x",""))</f>
        <v/>
      </c>
      <c r="W5157" s="75" t="str">
        <f>IF(AND('341-CT'!$H$9=H5157,OR(LEFT(N5157,3)=$W$7,LEFT(O5157,3)=$W$7)),"x","")</f>
        <v/>
      </c>
      <c r="X5157" s="75" t="str">
        <f>IF(OR(TH!N4022=TH!$X$7,O5157=TH!$X$7),"x","")</f>
        <v/>
      </c>
      <c r="Y5157" s="75" t="str">
        <f>IF(AND(OR(N5157="131",O5157="131"),H5157='131-CT'!$H$9),"x","")</f>
        <v/>
      </c>
      <c r="Z5157" s="75"/>
      <c r="AA5157" s="75" t="str">
        <f>IF(AND(MONTH(E5157)='IN-NX'!$J$5,'IN-NX'!$D$7=D5157),"x","")</f>
        <v/>
      </c>
      <c r="AB5157" s="75" t="str">
        <f>IF(AND(OR(LEFT(TH!N4022,2)="15",LEFT(TH!O4022,2)="15"),LEFT(TH!O4022,3)&lt;&gt;"111",'152-CT'!$J$8=TH!F4022),"x","")</f>
        <v/>
      </c>
      <c r="AC5157" s="75" t="str">
        <f>IF(AND(OR(LEFT(TH!N4022,2)="15",LEFT(TH!O4022,2)="15"),TK!$E$7=TH!F4022),"x","")</f>
        <v/>
      </c>
      <c r="AD5157" s="75" t="str">
        <f>IF(AND(N5157="1521",MONTH(C5157)='BK-NL'!$M$11),"x","")</f>
        <v/>
      </c>
      <c r="AE5157">
        <v>11</v>
      </c>
    </row>
    <row r="5158" spans="1:33" ht="16.5" customHeight="1">
      <c r="A5158" s="309" t="str">
        <f>IF(B5158&lt;&gt;"",IF(AND(B5158='IN-TC'!$S$4,OR(TH!N5146="1111",TH!O5146="1111")),TH!D5146,""),"")</f>
        <v/>
      </c>
      <c r="B5158" s="1244">
        <f t="shared" si="1346"/>
        <v>10</v>
      </c>
      <c r="C5158" s="292">
        <f t="shared" si="1345"/>
        <v>43026</v>
      </c>
      <c r="D5158" s="292"/>
      <c r="E5158" s="292">
        <v>43026</v>
      </c>
      <c r="F5158" s="67" t="s">
        <v>1029</v>
      </c>
      <c r="G5158" s="925" t="s">
        <v>2734</v>
      </c>
      <c r="H5158" s="294" t="s">
        <v>948</v>
      </c>
      <c r="I5158" s="373"/>
      <c r="J5158" s="926"/>
      <c r="K5158" s="373"/>
      <c r="L5158" s="379"/>
      <c r="M5158" s="927">
        <v>3045455</v>
      </c>
      <c r="N5158" s="295" t="s">
        <v>539</v>
      </c>
      <c r="O5158" s="295" t="s">
        <v>63</v>
      </c>
      <c r="P5158" s="75" t="str">
        <f>IF(AND('331-CT'!$E$7=TH!H4023,OR(N5158="331",O5158="331")),"x","")</f>
        <v/>
      </c>
      <c r="Q5158" s="75" t="str">
        <f>IF(AND(B5158='111'!$L$11,OR($N5158=$Q$7,$O5158=$Q$7)),"x","")</f>
        <v/>
      </c>
      <c r="R5158" s="75" t="str">
        <f>IF(AND($N5158=$Q$7,$B5158&lt;'111'!$L$11),"x","")</f>
        <v/>
      </c>
      <c r="S5158" s="75" t="str">
        <f>IF(AND($O5158=$Q$7,$B5158&lt;'111'!$L$11),"x","")</f>
        <v>x</v>
      </c>
      <c r="T5158" s="75" t="str">
        <f>IF(ISERROR(FIND('112'!$M$9,G5158,1)),"",IF((AND(FIND('112'!$M$9,G5158,1)&gt;=1,B5158='112'!$K$9,OR($N5158='112'!$I$6,$O5158='112'!$I$6))),"x",""))</f>
        <v/>
      </c>
      <c r="U5158" s="75" t="str">
        <f>IF(ISERROR(FIND('112'!$M$9,G5158,1)),"",IF((AND(LEFT(G5158,2)=LEFT('112'!$M$9,2),B5158&lt;'112'!$K$9,$N5158='112'!$I$6)),"x",""))</f>
        <v/>
      </c>
      <c r="V5158" s="75" t="str">
        <f>IF(ISERROR(FIND('112'!$M$9,G5158,1)),"",IF((AND(RIGHT(G5158,2)=RIGHT('112'!$M$9,2),B5158&lt;'112'!$K$9,$O5158='112'!$I$6)),"x",""))</f>
        <v/>
      </c>
      <c r="W5158" s="75" t="str">
        <f>IF(AND('341-CT'!$H$9=H5158,OR(LEFT(N5158,3)=$W$7,LEFT(O5158,3)=$W$7)),"x","")</f>
        <v/>
      </c>
      <c r="X5158" s="75" t="str">
        <f>IF(OR(TH!N4023=TH!$X$7,O5158=TH!$X$7),"x","")</f>
        <v/>
      </c>
      <c r="Y5158" s="75" t="str">
        <f>IF(AND(OR(N5158="131",O5158="131"),H5158='131-CT'!$H$9),"x","")</f>
        <v/>
      </c>
      <c r="Z5158" s="75"/>
      <c r="AA5158" s="75" t="str">
        <f>IF(AND(MONTH(E5158)='IN-NX'!$J$5,'IN-NX'!$D$7=D5158),"x","")</f>
        <v/>
      </c>
      <c r="AB5158" s="75" t="str">
        <f>IF(AND(OR(LEFT(TH!N4023,2)="15",LEFT(TH!O4023,2)="15"),LEFT(TH!O4023,3)&lt;&gt;"111",'152-CT'!$J$8=TH!F4023),"x","")</f>
        <v/>
      </c>
      <c r="AC5158" s="75" t="str">
        <f>IF(AND(OR(LEFT(TH!N4023,2)="15",LEFT(TH!O4023,2)="15"),TK!$E$7=TH!F4023),"x","")</f>
        <v/>
      </c>
      <c r="AD5158" s="75" t="str">
        <f>IF(AND(N5158="1521",MONTH(C5158)='BK-NL'!$M$11),"x","")</f>
        <v/>
      </c>
      <c r="AE5158">
        <v>11</v>
      </c>
    </row>
    <row r="5159" spans="1:33" ht="16.5" customHeight="1">
      <c r="A5159" s="309" t="str">
        <f>IF(B5159&lt;&gt;"",IF(AND(B5159='IN-TC'!$S$4,OR(TH!N5147="1111",TH!O5147="1111")),TH!D5147,""),"")</f>
        <v/>
      </c>
      <c r="B5159" s="1244">
        <f t="shared" si="1346"/>
        <v>10</v>
      </c>
      <c r="C5159" s="292">
        <f t="shared" si="1345"/>
        <v>43026</v>
      </c>
      <c r="D5159" s="292"/>
      <c r="E5159" s="292">
        <v>43026</v>
      </c>
      <c r="F5159" s="67" t="s">
        <v>1030</v>
      </c>
      <c r="G5159" s="925" t="s">
        <v>2734</v>
      </c>
      <c r="H5159" s="294" t="s">
        <v>948</v>
      </c>
      <c r="I5159" s="373"/>
      <c r="J5159" s="926"/>
      <c r="K5159" s="373"/>
      <c r="L5159" s="379"/>
      <c r="M5159" s="927">
        <v>304545</v>
      </c>
      <c r="N5159" s="295" t="s">
        <v>9</v>
      </c>
      <c r="O5159" s="295" t="s">
        <v>63</v>
      </c>
      <c r="P5159" s="75" t="str">
        <f>IF(AND('331-CT'!$E$7=TH!H4024,OR(N5159="331",O5159="331")),"x","")</f>
        <v/>
      </c>
      <c r="Q5159" s="75" t="str">
        <f>IF(AND(B5159='111'!$L$11,OR($N5159=$Q$7,$O5159=$Q$7)),"x","")</f>
        <v/>
      </c>
      <c r="R5159" s="75" t="str">
        <f>IF(AND($N5159=$Q$7,$B5159&lt;'111'!$L$11),"x","")</f>
        <v/>
      </c>
      <c r="S5159" s="75" t="str">
        <f>IF(AND($O5159=$Q$7,$B5159&lt;'111'!$L$11),"x","")</f>
        <v>x</v>
      </c>
      <c r="T5159" s="75" t="str">
        <f>IF(ISERROR(FIND('112'!$M$9,G5159,1)),"",IF((AND(FIND('112'!$M$9,G5159,1)&gt;=1,B5159='112'!$K$9,OR($N5159='112'!$I$6,$O5159='112'!$I$6))),"x",""))</f>
        <v/>
      </c>
      <c r="U5159" s="75" t="str">
        <f>IF(ISERROR(FIND('112'!$M$9,G5159,1)),"",IF((AND(LEFT(G5159,2)=LEFT('112'!$M$9,2),B5159&lt;'112'!$K$9,$N5159='112'!$I$6)),"x",""))</f>
        <v/>
      </c>
      <c r="V5159" s="75" t="str">
        <f>IF(ISERROR(FIND('112'!$M$9,G5159,1)),"",IF((AND(RIGHT(G5159,2)=RIGHT('112'!$M$9,2),B5159&lt;'112'!$K$9,$O5159='112'!$I$6)),"x",""))</f>
        <v/>
      </c>
      <c r="W5159" s="75" t="str">
        <f>IF(AND('341-CT'!$H$9=H5159,OR(LEFT(N5159,3)=$W$7,LEFT(O5159,3)=$W$7)),"x","")</f>
        <v/>
      </c>
      <c r="X5159" s="75" t="str">
        <f>IF(OR(TH!N4024=TH!$X$7,O5159=TH!$X$7),"x","")</f>
        <v/>
      </c>
      <c r="Y5159" s="75" t="str">
        <f>IF(AND(OR(N5159="131",O5159="131"),H5159='131-CT'!$H$9),"x","")</f>
        <v/>
      </c>
      <c r="Z5159" s="75"/>
      <c r="AA5159" s="75" t="str">
        <f>IF(AND(MONTH(E5159)='IN-NX'!$J$5,'IN-NX'!$D$7=D5159),"x","")</f>
        <v/>
      </c>
      <c r="AB5159" s="75" t="str">
        <f>IF(AND(OR(LEFT(TH!N4024,2)="15",LEFT(TH!O4024,2)="15"),LEFT(TH!O4024,3)&lt;&gt;"111",'152-CT'!$J$8=TH!F4024),"x","")</f>
        <v/>
      </c>
      <c r="AC5159" s="75" t="str">
        <f>IF(AND(OR(LEFT(TH!N4024,2)="15",LEFT(TH!O4024,2)="15"),TK!$E$7=TH!F4024),"x","")</f>
        <v/>
      </c>
      <c r="AD5159" s="75" t="str">
        <f>IF(AND(N5159="1521",MONTH(C5159)='BK-NL'!$M$11),"x","")</f>
        <v/>
      </c>
      <c r="AE5159">
        <v>11</v>
      </c>
    </row>
    <row r="5160" spans="1:33" ht="16.5" customHeight="1">
      <c r="A5160" s="309" t="str">
        <f>IF(B5160&lt;&gt;"",IF(AND(B5160='IN-TC'!$S$4,OR(TH!N5148="1111",TH!O5148="1111")),TH!D5148,""),"")</f>
        <v/>
      </c>
      <c r="B5160" s="1244">
        <f t="shared" si="1346"/>
        <v>10</v>
      </c>
      <c r="C5160" s="292">
        <f t="shared" si="1345"/>
        <v>43026</v>
      </c>
      <c r="D5160" s="59" t="s">
        <v>902</v>
      </c>
      <c r="E5160" s="59">
        <v>43026</v>
      </c>
      <c r="F5160" s="62" t="s">
        <v>1549</v>
      </c>
      <c r="G5160" s="62" t="s">
        <v>747</v>
      </c>
      <c r="H5160" s="67" t="s">
        <v>835</v>
      </c>
      <c r="I5160" s="373"/>
      <c r="J5160" s="382"/>
      <c r="K5160" s="373"/>
      <c r="L5160" s="379"/>
      <c r="M5160" s="60">
        <v>113750</v>
      </c>
      <c r="N5160" s="61" t="s">
        <v>101</v>
      </c>
      <c r="O5160" s="61" t="s">
        <v>26</v>
      </c>
      <c r="P5160" s="75" t="str">
        <f>IF(AND('331-CT'!$E$7=TH!H5516,OR(N5160="331",O5160="331")),"x","")</f>
        <v/>
      </c>
      <c r="Q5160" s="75" t="str">
        <f>IF(AND(B5160='111'!$L$11,OR($N5160=$Q$7,$O5160=$Q$7)),"x","")</f>
        <v/>
      </c>
      <c r="R5160" s="75" t="str">
        <f>IF(AND($N5160=$Q$7,$B5160&lt;'111'!$L$11),"x","")</f>
        <v/>
      </c>
      <c r="S5160" s="75" t="str">
        <f>IF(AND($O5160=$Q$7,$B5160&lt;'111'!$L$11),"x","")</f>
        <v/>
      </c>
      <c r="T5160" s="75" t="str">
        <f>IF(ISERROR(FIND('112'!$M$9,G5160,1)),"",IF((AND(FIND('112'!$M$9,G5160,1)&gt;=1,B5160='112'!$K$9,OR($N5160='112'!$I$6,$O5160='112'!$I$6))),"x",""))</f>
        <v/>
      </c>
      <c r="U5160" s="75" t="str">
        <f>IF(ISERROR(FIND('112'!$M$9,G5160,1)),"",IF((AND(LEFT(G5160,2)=LEFT('112'!$M$9,2),B5160&lt;'112'!$K$9,$N5160='112'!$I$6)),"x",""))</f>
        <v/>
      </c>
      <c r="V5160" s="75" t="str">
        <f>IF(ISERROR(FIND('112'!$M$9,G5160,1)),"",IF((AND(RIGHT(G5160,2)=RIGHT('112'!$M$9,2),B5160&lt;'112'!$K$9,$O5160='112'!$I$6)),"x",""))</f>
        <v/>
      </c>
      <c r="W5160" s="75" t="str">
        <f>IF(AND('341-CT'!$H$9=H5160,OR(LEFT(N5160,3)=$W$7,LEFT(O5160,3)=$W$7)),"x","")</f>
        <v/>
      </c>
      <c r="X5160" s="75" t="str">
        <f>IF(OR(TH!N5516=TH!$X$7,O5160=TH!$X$7),"x","")</f>
        <v/>
      </c>
      <c r="Y5160" s="75" t="str">
        <f>IF(AND(OR(N5160="131",O5160="131"),H5160='131-CT'!$H$9),"x","")</f>
        <v/>
      </c>
      <c r="Z5160" s="75"/>
      <c r="AA5160" s="75" t="str">
        <f>IF(AND(MONTH(E5160)='IN-NX'!$J$5,'IN-NX'!$D$7=D5160),"x","")</f>
        <v/>
      </c>
      <c r="AB5160" s="75" t="str">
        <f>IF(AND(OR(LEFT(TH!N5516,2)="15",LEFT(TH!O5516,2)="15"),LEFT(TH!O5516,3)&lt;&gt;"111",'152-CT'!$J$8=TH!F5516),"x","")</f>
        <v/>
      </c>
      <c r="AC5160" s="75" t="str">
        <f>IF(AND(OR(LEFT(TH!N5516,2)="15",LEFT(TH!O5516,2)="15"),TK!$E$7=TH!F5516),"x","")</f>
        <v/>
      </c>
      <c r="AD5160" s="75" t="str">
        <f>IF(AND(N5160="1521",MONTH(C5160)='BK-NL'!$M$11),"x","")</f>
        <v/>
      </c>
      <c r="AE5160">
        <v>10</v>
      </c>
    </row>
    <row r="5161" spans="1:33" ht="16.5" customHeight="1">
      <c r="A5161" s="309" t="str">
        <f>IF(B5161&lt;&gt;"",IF(AND(B5161='IN-TC'!$S$4,OR(TH!N5149="1111",TH!O5149="1111")),TH!D5149,""),"")</f>
        <v/>
      </c>
      <c r="B5161" s="1244">
        <f t="shared" si="1346"/>
        <v>10</v>
      </c>
      <c r="C5161" s="292">
        <f t="shared" si="1345"/>
        <v>43026</v>
      </c>
      <c r="D5161" s="59" t="s">
        <v>902</v>
      </c>
      <c r="E5161" s="59">
        <v>43026</v>
      </c>
      <c r="F5161" s="62" t="s">
        <v>1552</v>
      </c>
      <c r="G5161" s="62" t="s">
        <v>747</v>
      </c>
      <c r="H5161" s="67" t="s">
        <v>835</v>
      </c>
      <c r="I5161" s="373"/>
      <c r="J5161" s="382"/>
      <c r="K5161" s="373"/>
      <c r="L5161" s="379"/>
      <c r="M5161" s="60">
        <v>11375</v>
      </c>
      <c r="N5161" s="61" t="s">
        <v>9</v>
      </c>
      <c r="O5161" s="61" t="s">
        <v>26</v>
      </c>
      <c r="P5161" s="75" t="str">
        <f>IF(AND('331-CT'!$E$7=TH!H5517,OR(N5161="331",O5161="331")),"x","")</f>
        <v/>
      </c>
      <c r="Q5161" s="75" t="str">
        <f>IF(AND(B5161='111'!$L$11,OR($N5161=$Q$7,$O5161=$Q$7)),"x","")</f>
        <v/>
      </c>
      <c r="R5161" s="75" t="str">
        <f>IF(AND($N5161=$Q$7,$B5161&lt;'111'!$L$11),"x","")</f>
        <v/>
      </c>
      <c r="S5161" s="75" t="str">
        <f>IF(AND($O5161=$Q$7,$B5161&lt;'111'!$L$11),"x","")</f>
        <v/>
      </c>
      <c r="T5161" s="75" t="str">
        <f>IF(ISERROR(FIND('112'!$M$9,G5161,1)),"",IF((AND(FIND('112'!$M$9,G5161,1)&gt;=1,B5161='112'!$K$9,OR($N5161='112'!$I$6,$O5161='112'!$I$6))),"x",""))</f>
        <v/>
      </c>
      <c r="U5161" s="75" t="str">
        <f>IF(ISERROR(FIND('112'!$M$9,G5161,1)),"",IF((AND(LEFT(G5161,2)=LEFT('112'!$M$9,2),B5161&lt;'112'!$K$9,$N5161='112'!$I$6)),"x",""))</f>
        <v/>
      </c>
      <c r="V5161" s="75" t="str">
        <f>IF(ISERROR(FIND('112'!$M$9,G5161,1)),"",IF((AND(RIGHT(G5161,2)=RIGHT('112'!$M$9,2),B5161&lt;'112'!$K$9,$O5161='112'!$I$6)),"x",""))</f>
        <v/>
      </c>
      <c r="W5161" s="75" t="str">
        <f>IF(AND('341-CT'!$H$9=H5161,OR(LEFT(N5161,3)=$W$7,LEFT(O5161,3)=$W$7)),"x","")</f>
        <v/>
      </c>
      <c r="X5161" s="75" t="str">
        <f>IF(OR(TH!N5517=TH!$X$7,O5161=TH!$X$7),"x","")</f>
        <v/>
      </c>
      <c r="Y5161" s="75" t="str">
        <f>IF(AND(OR(N5161="131",O5161="131"),H5161='131-CT'!$H$9),"x","")</f>
        <v/>
      </c>
      <c r="Z5161" s="75"/>
      <c r="AA5161" s="75" t="str">
        <f>IF(AND(MONTH(E5161)='IN-NX'!$J$5,'IN-NX'!$D$7=D5161),"x","")</f>
        <v/>
      </c>
      <c r="AB5161" s="75" t="str">
        <f>IF(AND(OR(LEFT(TH!N5517,2)="15",LEFT(TH!O5517,2)="15"),LEFT(TH!O5517,3)&lt;&gt;"111",'152-CT'!$J$8=TH!F5517),"x","")</f>
        <v/>
      </c>
      <c r="AC5161" s="75" t="str">
        <f>IF(AND(OR(LEFT(TH!N5517,2)="15",LEFT(TH!O5517,2)="15"),TK!$E$7=TH!F5517),"x","")</f>
        <v/>
      </c>
      <c r="AD5161" s="75" t="str">
        <f>IF(AND(N5161="1521",MONTH(C5161)='BK-NL'!$M$11),"x","")</f>
        <v/>
      </c>
      <c r="AE5161">
        <v>10</v>
      </c>
    </row>
    <row r="5162" spans="1:33" ht="16.5" customHeight="1">
      <c r="A5162" s="309" t="str">
        <f>IF(B5162&lt;&gt;"",IF(AND(B5162='IN-TC'!$S$4,OR(TH!N5150="1111",TH!O5150="1111")),TH!D5150,""),"")</f>
        <v/>
      </c>
      <c r="B5162" s="1244">
        <f t="shared" si="1346"/>
        <v>10</v>
      </c>
      <c r="C5162" s="292">
        <f t="shared" si="1345"/>
        <v>43026</v>
      </c>
      <c r="D5162" s="59" t="s">
        <v>902</v>
      </c>
      <c r="E5162" s="59">
        <v>43026</v>
      </c>
      <c r="F5162" s="62" t="s">
        <v>1549</v>
      </c>
      <c r="G5162" s="62" t="s">
        <v>747</v>
      </c>
      <c r="H5162" s="67" t="s">
        <v>835</v>
      </c>
      <c r="I5162" s="373"/>
      <c r="J5162" s="382"/>
      <c r="K5162" s="373"/>
      <c r="L5162" s="379"/>
      <c r="M5162" s="60">
        <v>723341</v>
      </c>
      <c r="N5162" s="61" t="s">
        <v>101</v>
      </c>
      <c r="O5162" s="61" t="s">
        <v>26</v>
      </c>
      <c r="P5162" s="75" t="str">
        <f>IF(AND('331-CT'!$E$7=TH!H5518,OR(N5162="331",O5162="331")),"x","")</f>
        <v/>
      </c>
      <c r="Q5162" s="75" t="str">
        <f>IF(AND(B5162='111'!$L$11,OR($N5162=$Q$7,$O5162=$Q$7)),"x","")</f>
        <v/>
      </c>
      <c r="R5162" s="75" t="str">
        <f>IF(AND($N5162=$Q$7,$B5162&lt;'111'!$L$11),"x","")</f>
        <v/>
      </c>
      <c r="S5162" s="75" t="str">
        <f>IF(AND($O5162=$Q$7,$B5162&lt;'111'!$L$11),"x","")</f>
        <v/>
      </c>
      <c r="T5162" s="75" t="str">
        <f>IF(ISERROR(FIND('112'!$M$9,G5162,1)),"",IF((AND(FIND('112'!$M$9,G5162,1)&gt;=1,B5162='112'!$K$9,OR($N5162='112'!$I$6,$O5162='112'!$I$6))),"x",""))</f>
        <v/>
      </c>
      <c r="U5162" s="75" t="str">
        <f>IF(ISERROR(FIND('112'!$M$9,G5162,1)),"",IF((AND(LEFT(G5162,2)=LEFT('112'!$M$9,2),B5162&lt;'112'!$K$9,$N5162='112'!$I$6)),"x",""))</f>
        <v/>
      </c>
      <c r="V5162" s="75" t="str">
        <f>IF(ISERROR(FIND('112'!$M$9,G5162,1)),"",IF((AND(RIGHT(G5162,2)=RIGHT('112'!$M$9,2),B5162&lt;'112'!$K$9,$O5162='112'!$I$6)),"x",""))</f>
        <v/>
      </c>
      <c r="W5162" s="75" t="str">
        <f>IF(AND('341-CT'!$H$9=H5162,OR(LEFT(N5162,3)=$W$7,LEFT(O5162,3)=$W$7)),"x","")</f>
        <v/>
      </c>
      <c r="X5162" s="75" t="str">
        <f>IF(OR(TH!N5518=TH!$X$7,O5162=TH!$X$7),"x","")</f>
        <v/>
      </c>
      <c r="Y5162" s="75" t="str">
        <f>IF(AND(OR(N5162="131",O5162="131"),H5162='131-CT'!$H$9),"x","")</f>
        <v/>
      </c>
      <c r="Z5162" s="75"/>
      <c r="AA5162" s="75" t="str">
        <f>IF(AND(MONTH(E5162)='IN-NX'!$J$5,'IN-NX'!$D$7=D5162),"x","")</f>
        <v/>
      </c>
      <c r="AB5162" s="75" t="str">
        <f>IF(AND(OR(LEFT(TH!N5518,2)="15",LEFT(TH!O5518,2)="15"),LEFT(TH!O5518,3)&lt;&gt;"111",'152-CT'!$J$8=TH!F5518),"x","")</f>
        <v/>
      </c>
      <c r="AC5162" s="75" t="str">
        <f>IF(AND(OR(LEFT(TH!N5518,2)="15",LEFT(TH!O5518,2)="15"),TK!$E$7=TH!F5518),"x","")</f>
        <v/>
      </c>
      <c r="AD5162" s="75" t="str">
        <f>IF(AND(N5162="1521",MONTH(C5162)='BK-NL'!$M$11),"x","")</f>
        <v/>
      </c>
      <c r="AE5162">
        <v>10</v>
      </c>
    </row>
    <row r="5163" spans="1:33" ht="16.5" customHeight="1">
      <c r="A5163" s="309" t="str">
        <f>IF(B5163&lt;&gt;"",IF(AND(B5163='IN-TC'!$S$4,OR(TH!N5151="1111",TH!O5151="1111")),TH!D5151,""),"")</f>
        <v/>
      </c>
      <c r="B5163" s="1244">
        <f t="shared" si="1346"/>
        <v>10</v>
      </c>
      <c r="C5163" s="292">
        <f t="shared" si="1345"/>
        <v>43026</v>
      </c>
      <c r="D5163" s="59" t="s">
        <v>902</v>
      </c>
      <c r="E5163" s="59">
        <v>43026</v>
      </c>
      <c r="F5163" s="62" t="s">
        <v>1552</v>
      </c>
      <c r="G5163" s="62" t="s">
        <v>747</v>
      </c>
      <c r="H5163" s="67" t="s">
        <v>835</v>
      </c>
      <c r="I5163" s="373"/>
      <c r="J5163" s="382"/>
      <c r="K5163" s="373"/>
      <c r="L5163" s="379"/>
      <c r="M5163" s="60">
        <v>72334</v>
      </c>
      <c r="N5163" s="61" t="s">
        <v>9</v>
      </c>
      <c r="O5163" s="61" t="s">
        <v>26</v>
      </c>
      <c r="P5163" s="75" t="str">
        <f>IF(AND('331-CT'!$E$7=TH!H5519,OR(N5163="331",O5163="331")),"x","")</f>
        <v/>
      </c>
      <c r="Q5163" s="75" t="str">
        <f>IF(AND(B5163='111'!$L$11,OR($N5163=$Q$7,$O5163=$Q$7)),"x","")</f>
        <v/>
      </c>
      <c r="R5163" s="75" t="str">
        <f>IF(AND($N5163=$Q$7,$B5163&lt;'111'!$L$11),"x","")</f>
        <v/>
      </c>
      <c r="S5163" s="75" t="str">
        <f>IF(AND($O5163=$Q$7,$B5163&lt;'111'!$L$11),"x","")</f>
        <v/>
      </c>
      <c r="T5163" s="75" t="str">
        <f>IF(ISERROR(FIND('112'!$M$9,G5163,1)),"",IF((AND(FIND('112'!$M$9,G5163,1)&gt;=1,B5163='112'!$K$9,OR($N5163='112'!$I$6,$O5163='112'!$I$6))),"x",""))</f>
        <v/>
      </c>
      <c r="U5163" s="75" t="str">
        <f>IF(ISERROR(FIND('112'!$M$9,G5163,1)),"",IF((AND(LEFT(G5163,2)=LEFT('112'!$M$9,2),B5163&lt;'112'!$K$9,$N5163='112'!$I$6)),"x",""))</f>
        <v/>
      </c>
      <c r="V5163" s="75" t="str">
        <f>IF(ISERROR(FIND('112'!$M$9,G5163,1)),"",IF((AND(RIGHT(G5163,2)=RIGHT('112'!$M$9,2),B5163&lt;'112'!$K$9,$O5163='112'!$I$6)),"x",""))</f>
        <v/>
      </c>
      <c r="W5163" s="75" t="str">
        <f>IF(AND('341-CT'!$H$9=H5163,OR(LEFT(N5163,3)=$W$7,LEFT(O5163,3)=$W$7)),"x","")</f>
        <v/>
      </c>
      <c r="X5163" s="75" t="str">
        <f>IF(OR(TH!N5519=TH!$X$7,O5163=TH!$X$7),"x","")</f>
        <v/>
      </c>
      <c r="Y5163" s="75" t="str">
        <f>IF(AND(OR(N5163="131",O5163="131"),H5163='131-CT'!$H$9),"x","")</f>
        <v/>
      </c>
      <c r="Z5163" s="75"/>
      <c r="AA5163" s="75" t="str">
        <f>IF(AND(MONTH(E5163)='IN-NX'!$J$5,'IN-NX'!$D$7=D5163),"x","")</f>
        <v/>
      </c>
      <c r="AB5163" s="75" t="str">
        <f>IF(AND(OR(LEFT(TH!N5519,2)="15",LEFT(TH!O5519,2)="15"),LEFT(TH!O5519,3)&lt;&gt;"111",'152-CT'!$J$8=TH!F5519),"x","")</f>
        <v/>
      </c>
      <c r="AC5163" s="75" t="str">
        <f>IF(AND(OR(LEFT(TH!N5519,2)="15",LEFT(TH!O5519,2)="15"),TK!$E$7=TH!F5519),"x","")</f>
        <v/>
      </c>
      <c r="AD5163" s="75" t="str">
        <f>IF(AND(N5163="1521",MONTH(C5163)='BK-NL'!$M$11),"x","")</f>
        <v/>
      </c>
      <c r="AE5163">
        <v>10</v>
      </c>
    </row>
    <row r="5164" spans="1:33" ht="16.5" customHeight="1">
      <c r="A5164" s="309" t="str">
        <f>IF(B5164&lt;&gt;"",IF(AND(B5164='IN-TC'!$S$4,OR(TH!N5152="1111",TH!O5152="1111")),TH!D5152,""),"")</f>
        <v/>
      </c>
      <c r="B5164" s="1244">
        <f t="shared" si="1346"/>
        <v>10</v>
      </c>
      <c r="C5164" s="292">
        <f t="shared" si="1345"/>
        <v>43026</v>
      </c>
      <c r="D5164" s="59" t="s">
        <v>902</v>
      </c>
      <c r="E5164" s="59">
        <v>43026</v>
      </c>
      <c r="F5164" s="62" t="s">
        <v>1549</v>
      </c>
      <c r="G5164" s="62" t="s">
        <v>747</v>
      </c>
      <c r="H5164" s="67" t="s">
        <v>835</v>
      </c>
      <c r="I5164" s="373"/>
      <c r="J5164" s="382"/>
      <c r="K5164" s="373"/>
      <c r="L5164" s="379"/>
      <c r="M5164" s="60">
        <v>227500</v>
      </c>
      <c r="N5164" s="61" t="s">
        <v>101</v>
      </c>
      <c r="O5164" s="61" t="s">
        <v>26</v>
      </c>
      <c r="P5164" s="75" t="str">
        <f>IF(AND('331-CT'!$E$7=TH!H5520,OR(N5164="331",O5164="331")),"x","")</f>
        <v/>
      </c>
      <c r="Q5164" s="75" t="str">
        <f>IF(AND(B5164='111'!$L$11,OR($N5164=$Q$7,$O5164=$Q$7)),"x","")</f>
        <v/>
      </c>
      <c r="R5164" s="75" t="str">
        <f>IF(AND($N5164=$Q$7,$B5164&lt;'111'!$L$11),"x","")</f>
        <v/>
      </c>
      <c r="S5164" s="75" t="str">
        <f>IF(AND($O5164=$Q$7,$B5164&lt;'111'!$L$11),"x","")</f>
        <v/>
      </c>
      <c r="T5164" s="75" t="str">
        <f>IF(ISERROR(FIND('112'!$M$9,G5164,1)),"",IF((AND(FIND('112'!$M$9,G5164,1)&gt;=1,B5164='112'!$K$9,OR($N5164='112'!$I$6,$O5164='112'!$I$6))),"x",""))</f>
        <v/>
      </c>
      <c r="U5164" s="75" t="str">
        <f>IF(ISERROR(FIND('112'!$M$9,G5164,1)),"",IF((AND(LEFT(G5164,2)=LEFT('112'!$M$9,2),B5164&lt;'112'!$K$9,$N5164='112'!$I$6)),"x",""))</f>
        <v/>
      </c>
      <c r="V5164" s="75" t="str">
        <f>IF(ISERROR(FIND('112'!$M$9,G5164,1)),"",IF((AND(RIGHT(G5164,2)=RIGHT('112'!$M$9,2),B5164&lt;'112'!$K$9,$O5164='112'!$I$6)),"x",""))</f>
        <v/>
      </c>
      <c r="W5164" s="75" t="str">
        <f>IF(AND('341-CT'!$H$9=H5164,OR(LEFT(N5164,3)=$W$7,LEFT(O5164,3)=$W$7)),"x","")</f>
        <v/>
      </c>
      <c r="X5164" s="75" t="str">
        <f>IF(OR(TH!N5520=TH!$X$7,O5164=TH!$X$7),"x","")</f>
        <v/>
      </c>
      <c r="Y5164" s="75" t="str">
        <f>IF(AND(OR(N5164="131",O5164="131"),H5164='131-CT'!$H$9),"x","")</f>
        <v/>
      </c>
      <c r="Z5164" s="75"/>
      <c r="AA5164" s="75" t="str">
        <f>IF(AND(MONTH(E5164)='IN-NX'!$J$5,'IN-NX'!$D$7=D5164),"x","")</f>
        <v/>
      </c>
      <c r="AB5164" s="75" t="str">
        <f>IF(AND(OR(LEFT(TH!N5520,2)="15",LEFT(TH!O5520,2)="15"),LEFT(TH!O5520,3)&lt;&gt;"111",'152-CT'!$J$8=TH!F5520),"x","")</f>
        <v/>
      </c>
      <c r="AC5164" s="75" t="str">
        <f>IF(AND(OR(LEFT(TH!N5520,2)="15",LEFT(TH!O5520,2)="15"),TK!$E$7=TH!F5520),"x","")</f>
        <v/>
      </c>
      <c r="AD5164" s="75" t="str">
        <f>IF(AND(N5164="1521",MONTH(C5164)='BK-NL'!$M$11),"x","")</f>
        <v/>
      </c>
    </row>
    <row r="5165" spans="1:33" s="1053" customFormat="1" ht="16.5" customHeight="1">
      <c r="A5165" s="309" t="str">
        <f>IF(B5165&lt;&gt;"",IF(AND(B5165='IN-TC'!$S$4,OR(TH!N5153="1111",TH!O5153="1111")),TH!D5153,""),"")</f>
        <v/>
      </c>
      <c r="B5165" s="1244">
        <f t="shared" si="1346"/>
        <v>10</v>
      </c>
      <c r="C5165" s="292">
        <f t="shared" si="1345"/>
        <v>43027</v>
      </c>
      <c r="D5165" s="292"/>
      <c r="E5165" s="292">
        <v>43027</v>
      </c>
      <c r="F5165" s="67" t="s">
        <v>1029</v>
      </c>
      <c r="G5165" s="925" t="s">
        <v>2735</v>
      </c>
      <c r="H5165" s="294" t="s">
        <v>948</v>
      </c>
      <c r="I5165" s="373"/>
      <c r="J5165" s="926"/>
      <c r="K5165" s="373"/>
      <c r="L5165" s="379"/>
      <c r="M5165" s="927">
        <v>927273</v>
      </c>
      <c r="N5165" s="295" t="s">
        <v>539</v>
      </c>
      <c r="O5165" s="295" t="s">
        <v>63</v>
      </c>
      <c r="P5165" s="75" t="str">
        <f>IF(AND('331-CT'!$E$7=TH!H4025,OR(N5165="331",O5165="331")),"x","")</f>
        <v/>
      </c>
      <c r="Q5165" s="75" t="str">
        <f>IF(AND(B5165='111'!$L$11,OR($N5165=$Q$7,$O5165=$Q$7)),"x","")</f>
        <v/>
      </c>
      <c r="R5165" s="75" t="str">
        <f>IF(AND($N5165=$Q$7,$B5165&lt;'111'!$L$11),"x","")</f>
        <v/>
      </c>
      <c r="S5165" s="75" t="str">
        <f>IF(AND($O5165=$Q$7,$B5165&lt;'111'!$L$11),"x","")</f>
        <v>x</v>
      </c>
      <c r="T5165" s="75" t="str">
        <f>IF(ISERROR(FIND('112'!$M$9,G5165,1)),"",IF((AND(FIND('112'!$M$9,G5165,1)&gt;=1,B5165='112'!$K$9,OR($N5165='112'!$I$6,$O5165='112'!$I$6))),"x",""))</f>
        <v/>
      </c>
      <c r="U5165" s="75" t="str">
        <f>IF(ISERROR(FIND('112'!$M$9,G5165,1)),"",IF((AND(LEFT(G5165,2)=LEFT('112'!$M$9,2),B5165&lt;'112'!$K$9,$N5165='112'!$I$6)),"x",""))</f>
        <v/>
      </c>
      <c r="V5165" s="75" t="str">
        <f>IF(ISERROR(FIND('112'!$M$9,G5165,1)),"",IF((AND(RIGHT(G5165,2)=RIGHT('112'!$M$9,2),B5165&lt;'112'!$K$9,$O5165='112'!$I$6)),"x",""))</f>
        <v/>
      </c>
      <c r="W5165" s="75" t="str">
        <f>IF(AND('341-CT'!$H$9=H5165,OR(LEFT(N5165,3)=$W$7,LEFT(O5165,3)=$W$7)),"x","")</f>
        <v/>
      </c>
      <c r="X5165" s="75" t="str">
        <f>IF(OR(TH!N4025=TH!$X$7,O5165=TH!$X$7),"x","")</f>
        <v/>
      </c>
      <c r="Y5165" s="75" t="str">
        <f>IF(AND(OR(N5165="131",O5165="131"),H5165='131-CT'!$H$9),"x","")</f>
        <v/>
      </c>
      <c r="Z5165" s="75"/>
      <c r="AA5165" s="75" t="str">
        <f>IF(AND(MONTH(E5165)='IN-NX'!$J$5,'IN-NX'!$D$7=D5165),"x","")</f>
        <v/>
      </c>
      <c r="AB5165" s="75" t="str">
        <f>IF(AND(OR(LEFT(TH!N4025,2)="15",LEFT(TH!O4025,2)="15"),LEFT(TH!O4025,3)&lt;&gt;"111",'152-CT'!$J$8=TH!F4025),"x","")</f>
        <v/>
      </c>
      <c r="AC5165" s="75" t="str">
        <f>IF(AND(OR(LEFT(TH!N4025,2)="15",LEFT(TH!O4025,2)="15"),TK!$E$7=TH!F4025),"x","")</f>
        <v/>
      </c>
      <c r="AD5165" s="75" t="str">
        <f>IF(AND(N5165="1521",MONTH(C5165)='BK-NL'!$M$11),"x","")</f>
        <v/>
      </c>
      <c r="AE5165">
        <v>11</v>
      </c>
      <c r="AF5165"/>
      <c r="AG5165"/>
    </row>
    <row r="5166" spans="1:33" ht="16.5" customHeight="1">
      <c r="A5166" s="309" t="str">
        <f>IF(B5166&lt;&gt;"",IF(AND(B5166='IN-TC'!$S$4,OR(TH!N5154="1111",TH!O5154="1111")),TH!D5154,""),"")</f>
        <v/>
      </c>
      <c r="B5166" s="1244">
        <f t="shared" si="1346"/>
        <v>10</v>
      </c>
      <c r="C5166" s="292">
        <f t="shared" si="1345"/>
        <v>43027</v>
      </c>
      <c r="D5166" s="292"/>
      <c r="E5166" s="292">
        <v>43027</v>
      </c>
      <c r="F5166" s="67" t="s">
        <v>1030</v>
      </c>
      <c r="G5166" s="925" t="s">
        <v>2735</v>
      </c>
      <c r="H5166" s="294" t="s">
        <v>948</v>
      </c>
      <c r="I5166" s="373"/>
      <c r="J5166" s="926"/>
      <c r="K5166" s="373"/>
      <c r="L5166" s="379"/>
      <c r="M5166" s="927">
        <v>92727</v>
      </c>
      <c r="N5166" s="295" t="s">
        <v>9</v>
      </c>
      <c r="O5166" s="295" t="s">
        <v>63</v>
      </c>
      <c r="P5166" s="75" t="str">
        <f>IF(AND('331-CT'!$E$7=TH!H4026,OR(N5166="331",O5166="331")),"x","")</f>
        <v/>
      </c>
      <c r="Q5166" s="75" t="str">
        <f>IF(AND(B5166='111'!$L$11,OR($N5166=$Q$7,$O5166=$Q$7)),"x","")</f>
        <v/>
      </c>
      <c r="R5166" s="75" t="str">
        <f>IF(AND($N5166=$Q$7,$B5166&lt;'111'!$L$11),"x","")</f>
        <v/>
      </c>
      <c r="S5166" s="75" t="str">
        <f>IF(AND($O5166=$Q$7,$B5166&lt;'111'!$L$11),"x","")</f>
        <v>x</v>
      </c>
      <c r="T5166" s="75" t="str">
        <f>IF(ISERROR(FIND('112'!$M$9,G5166,1)),"",IF((AND(FIND('112'!$M$9,G5166,1)&gt;=1,B5166='112'!$K$9,OR($N5166='112'!$I$6,$O5166='112'!$I$6))),"x",""))</f>
        <v/>
      </c>
      <c r="U5166" s="75" t="str">
        <f>IF(ISERROR(FIND('112'!$M$9,G5166,1)),"",IF((AND(LEFT(G5166,2)=LEFT('112'!$M$9,2),B5166&lt;'112'!$K$9,$N5166='112'!$I$6)),"x",""))</f>
        <v/>
      </c>
      <c r="V5166" s="75" t="str">
        <f>IF(ISERROR(FIND('112'!$M$9,G5166,1)),"",IF((AND(RIGHT(G5166,2)=RIGHT('112'!$M$9,2),B5166&lt;'112'!$K$9,$O5166='112'!$I$6)),"x",""))</f>
        <v/>
      </c>
      <c r="W5166" s="75" t="str">
        <f>IF(AND('341-CT'!$H$9=H5166,OR(LEFT(N5166,3)=$W$7,LEFT(O5166,3)=$W$7)),"x","")</f>
        <v/>
      </c>
      <c r="X5166" s="75" t="str">
        <f>IF(OR(TH!N4026=TH!$X$7,O5166=TH!$X$7),"x","")</f>
        <v/>
      </c>
      <c r="Y5166" s="75" t="str">
        <f>IF(AND(OR(N5166="131",O5166="131"),H5166='131-CT'!$H$9),"x","")</f>
        <v/>
      </c>
      <c r="Z5166" s="75"/>
      <c r="AA5166" s="75" t="str">
        <f>IF(AND(MONTH(E5166)='IN-NX'!$J$5,'IN-NX'!$D$7=D5166),"x","")</f>
        <v/>
      </c>
      <c r="AB5166" s="75" t="str">
        <f>IF(AND(OR(LEFT(TH!N4026,2)="15",LEFT(TH!O4026,2)="15"),LEFT(TH!O4026,3)&lt;&gt;"111",'152-CT'!$J$8=TH!F4026),"x","")</f>
        <v/>
      </c>
      <c r="AC5166" s="75" t="str">
        <f>IF(AND(OR(LEFT(TH!N4026,2)="15",LEFT(TH!O4026,2)="15"),TK!$E$7=TH!F4026),"x","")</f>
        <v/>
      </c>
      <c r="AD5166" s="75" t="str">
        <f>IF(AND(N5166="1521",MONTH(C5166)='BK-NL'!$M$11),"x","")</f>
        <v/>
      </c>
      <c r="AE5166">
        <v>11</v>
      </c>
    </row>
    <row r="5167" spans="1:33" s="1053" customFormat="1" ht="16.5" customHeight="1">
      <c r="A5167" s="309" t="str">
        <f>IF(B5167&lt;&gt;"",IF(AND(B5167='IN-TC'!$S$4,OR(TH!N5155="1111",TH!O5155="1111")),TH!D5155,""),"")</f>
        <v/>
      </c>
      <c r="B5167" s="1244">
        <f t="shared" si="1346"/>
        <v>10</v>
      </c>
      <c r="C5167" s="292">
        <f t="shared" si="1345"/>
        <v>43027</v>
      </c>
      <c r="D5167" s="59" t="s">
        <v>902</v>
      </c>
      <c r="E5167" s="59">
        <v>43027</v>
      </c>
      <c r="F5167" s="293" t="s">
        <v>2548</v>
      </c>
      <c r="G5167" s="62" t="s">
        <v>747</v>
      </c>
      <c r="H5167" s="67" t="s">
        <v>2549</v>
      </c>
      <c r="I5167" s="373"/>
      <c r="J5167" s="382"/>
      <c r="K5167" s="373">
        <v>47300</v>
      </c>
      <c r="L5167" s="379">
        <f>M5167/K5167</f>
        <v>22711</v>
      </c>
      <c r="M5167" s="60">
        <v>1074230300</v>
      </c>
      <c r="N5167" s="61" t="s">
        <v>26</v>
      </c>
      <c r="O5167" s="61" t="s">
        <v>250</v>
      </c>
      <c r="P5167" s="75" t="str">
        <f>IF(AND('331-CT'!$E$7=TH!H5521,OR(N5167="331",O5167="331")),"x","")</f>
        <v/>
      </c>
      <c r="Q5167" s="75" t="str">
        <f>IF(AND(B5167='111'!$L$11,OR($N5167=$Q$7,$O5167=$Q$7)),"x","")</f>
        <v/>
      </c>
      <c r="R5167" s="75" t="str">
        <f>IF(AND($N5167=$Q$7,$B5167&lt;'111'!$L$11),"x","")</f>
        <v/>
      </c>
      <c r="S5167" s="75" t="str">
        <f>IF(AND($O5167=$Q$7,$B5167&lt;'111'!$L$11),"x","")</f>
        <v/>
      </c>
      <c r="T5167" s="75" t="str">
        <f>IF(ISERROR(FIND('112'!$M$9,G5167,1)),"",IF((AND(FIND('112'!$M$9,G5167,1)&gt;=1,B5167='112'!$K$9,OR($N5167='112'!$I$6,$O5167='112'!$I$6))),"x",""))</f>
        <v/>
      </c>
      <c r="U5167" s="75" t="str">
        <f>IF(ISERROR(FIND('112'!$M$9,G5167,1)),"",IF((AND(LEFT(G5167,2)=LEFT('112'!$M$9,2),B5167&lt;'112'!$K$9,$N5167='112'!$I$6)),"x",""))</f>
        <v/>
      </c>
      <c r="V5167" s="75" t="str">
        <f>IF(ISERROR(FIND('112'!$M$9,G5167,1)),"",IF((AND(RIGHT(G5167,2)=RIGHT('112'!$M$9,2),B5167&lt;'112'!$K$9,$O5167='112'!$I$6)),"x",""))</f>
        <v/>
      </c>
      <c r="W5167" s="75" t="str">
        <f>IF(AND('341-CT'!$H$9=H5167,OR(LEFT(N5167,3)=$W$7,LEFT(O5167,3)=$W$7)),"x","")</f>
        <v/>
      </c>
      <c r="X5167" s="75" t="str">
        <f>IF(OR(TH!N5521=TH!$X$7,O5167=TH!$X$7),"x","")</f>
        <v/>
      </c>
      <c r="Y5167" s="75" t="str">
        <f>IF(AND(OR(N5167="131",O5167="131"),H5167='131-CT'!$H$9),"x","")</f>
        <v/>
      </c>
      <c r="Z5167" s="75"/>
      <c r="AA5167" s="75" t="str">
        <f>IF(AND(MONTH(E5167)='IN-NX'!$J$5,'IN-NX'!$D$7=D5167),"x","")</f>
        <v/>
      </c>
      <c r="AB5167" s="75" t="str">
        <f>IF(AND(OR(LEFT(TH!N5521,2)="15",LEFT(TH!O5521,2)="15"),LEFT(TH!O5521,3)&lt;&gt;"111",'152-CT'!$J$8=TH!F5521),"x","")</f>
        <v/>
      </c>
      <c r="AC5167" s="75" t="str">
        <f>IF(AND(OR(LEFT(TH!N5521,2)="15",LEFT(TH!O5521,2)="15"),TK!$E$7=TH!F5521),"x","")</f>
        <v/>
      </c>
      <c r="AD5167" s="75" t="str">
        <f>IF(AND(N5167="1521",MONTH(C5167)='BK-NL'!$M$11),"x","")</f>
        <v/>
      </c>
      <c r="AE5167" s="304"/>
      <c r="AF5167" s="304"/>
      <c r="AG5167" s="304"/>
    </row>
    <row r="5168" spans="1:33" s="1053" customFormat="1" ht="16.5" customHeight="1">
      <c r="A5168" s="309" t="str">
        <f>IF(B5168&lt;&gt;"",IF(AND(B5168='IN-TC'!$S$4,OR(TH!N5156="1111",TH!O5156="1111")),TH!D5156,""),"")</f>
        <v/>
      </c>
      <c r="B5168" s="1244">
        <f t="shared" si="1346"/>
        <v>10</v>
      </c>
      <c r="C5168" s="292">
        <f t="shared" si="1345"/>
        <v>43028</v>
      </c>
      <c r="D5168" s="59" t="s">
        <v>854</v>
      </c>
      <c r="E5168" s="59">
        <v>43028</v>
      </c>
      <c r="F5168" s="62" t="s">
        <v>834</v>
      </c>
      <c r="G5168" s="62" t="s">
        <v>747</v>
      </c>
      <c r="H5168" s="67" t="s">
        <v>1023</v>
      </c>
      <c r="I5168" s="373"/>
      <c r="J5168" s="382"/>
      <c r="K5168" s="373"/>
      <c r="L5168" s="379"/>
      <c r="M5168" s="60">
        <v>3651800000</v>
      </c>
      <c r="N5168" s="61" t="s">
        <v>63</v>
      </c>
      <c r="O5168" s="61" t="s">
        <v>26</v>
      </c>
      <c r="P5168" s="75" t="str">
        <f>IF(AND('331-CT'!$E$7=TH!H5557,OR(N5168="331",O5168="331")),"x","")</f>
        <v/>
      </c>
      <c r="Q5168" s="75" t="str">
        <f>IF(AND(B5168='111'!$L$11,OR($N5168=$Q$7,$O5168=$Q$7)),"x","")</f>
        <v/>
      </c>
      <c r="R5168" s="75" t="str">
        <f>IF(AND($N5168=$Q$7,$B5168&lt;'111'!$L$11),"x","")</f>
        <v>x</v>
      </c>
      <c r="S5168" s="75" t="str">
        <f>IF(AND($O5168=$Q$7,$B5168&lt;'111'!$L$11),"x","")</f>
        <v/>
      </c>
      <c r="T5168" s="75" t="str">
        <f>IF(ISERROR(FIND('112'!$M$9,G5168,1)),"",IF((AND(FIND('112'!$M$9,G5168,1)&gt;=1,B5168='112'!$K$9,OR($N5168='112'!$I$6,$O5168='112'!$I$6))),"x",""))</f>
        <v/>
      </c>
      <c r="U5168" s="75" t="str">
        <f>IF(ISERROR(FIND('112'!$M$9,G5168,1)),"",IF((AND(LEFT(G5168,2)=LEFT('112'!$M$9,2),B5168&lt;'112'!$K$9,$N5168='112'!$I$6)),"x",""))</f>
        <v/>
      </c>
      <c r="V5168" s="75" t="str">
        <f>IF(ISERROR(FIND('112'!$M$9,G5168,1)),"",IF((AND(RIGHT(G5168,2)=RIGHT('112'!$M$9,2),B5168&lt;'112'!$K$9,$O5168='112'!$I$6)),"x",""))</f>
        <v/>
      </c>
      <c r="W5168" s="75" t="str">
        <f>IF(AND('341-CT'!$H$9=H5168,OR(LEFT(N5168,3)=$W$7,LEFT(O5168,3)=$W$7)),"x","")</f>
        <v/>
      </c>
      <c r="X5168" s="75" t="str">
        <f>IF(OR(TH!N5557=TH!$X$7,O5168=TH!$X$7),"x","")</f>
        <v/>
      </c>
      <c r="Y5168" s="75" t="str">
        <f>IF(AND(OR(N5168="131",O5168="131"),H5168='131-CT'!$H$9),"x","")</f>
        <v/>
      </c>
      <c r="Z5168" s="75"/>
      <c r="AA5168" s="75" t="str">
        <f>IF(AND(MONTH(E5168)='IN-NX'!$J$5,'IN-NX'!$D$7=D5168),"x","")</f>
        <v/>
      </c>
      <c r="AB5168" s="75" t="str">
        <f>IF(AND(OR(LEFT(TH!N5557,2)="15",LEFT(TH!O5557,2)="15"),LEFT(TH!O5557,3)&lt;&gt;"111",'152-CT'!$J$8=TH!F5557),"x","")</f>
        <v/>
      </c>
      <c r="AC5168" s="75" t="str">
        <f>IF(AND(OR(LEFT(TH!N5557,2)="15",LEFT(TH!O5557,2)="15"),TK!$E$7=TH!F5557),"x","")</f>
        <v/>
      </c>
      <c r="AD5168" s="75" t="str">
        <f>IF(AND(N5168="1521",MONTH(C5168)='BK-NL'!$M$11),"x","")</f>
        <v/>
      </c>
      <c r="AE5168"/>
      <c r="AF5168"/>
      <c r="AG5168"/>
    </row>
    <row r="5169" spans="1:33" ht="16.5" customHeight="1">
      <c r="A5169" s="309" t="str">
        <f>IF(B5169&lt;&gt;"",IF(AND(B5169='IN-TC'!$S$4,OR(TH!N5157="1111",TH!O5157="1111")),TH!D5157,""),"")</f>
        <v/>
      </c>
      <c r="B5169" s="1244">
        <f t="shared" si="1346"/>
        <v>10</v>
      </c>
      <c r="C5169" s="292">
        <f t="shared" si="1345"/>
        <v>43028</v>
      </c>
      <c r="D5169" s="292"/>
      <c r="E5169" s="292">
        <v>43028</v>
      </c>
      <c r="F5169" s="67" t="s">
        <v>1165</v>
      </c>
      <c r="G5169" s="925" t="s">
        <v>2599</v>
      </c>
      <c r="H5169" s="294" t="s">
        <v>1684</v>
      </c>
      <c r="I5169" s="373"/>
      <c r="J5169" s="926"/>
      <c r="K5169" s="373"/>
      <c r="L5169" s="379"/>
      <c r="M5169" s="927">
        <v>19762050</v>
      </c>
      <c r="N5169" s="295" t="s">
        <v>8</v>
      </c>
      <c r="O5169" s="295" t="s">
        <v>63</v>
      </c>
      <c r="P5169" s="75" t="str">
        <f>IF(AND('331-CT'!$E$7=TH!H4027,OR(N5169="331",O5169="331")),"x","")</f>
        <v/>
      </c>
      <c r="Q5169" s="75" t="str">
        <f>IF(AND(B5169='111'!$L$11,OR($N5169=$Q$7,$O5169=$Q$7)),"x","")</f>
        <v/>
      </c>
      <c r="R5169" s="75" t="str">
        <f>IF(AND($N5169=$Q$7,$B5169&lt;'111'!$L$11),"x","")</f>
        <v/>
      </c>
      <c r="S5169" s="75" t="str">
        <f>IF(AND($O5169=$Q$7,$B5169&lt;'111'!$L$11),"x","")</f>
        <v>x</v>
      </c>
      <c r="T5169" s="75" t="str">
        <f>IF(ISERROR(FIND('112'!$M$9,G5169,1)),"",IF((AND(FIND('112'!$M$9,G5169,1)&gt;=1,B5169='112'!$K$9,OR($N5169='112'!$I$6,$O5169='112'!$I$6))),"x",""))</f>
        <v/>
      </c>
      <c r="U5169" s="75" t="str">
        <f>IF(ISERROR(FIND('112'!$M$9,G5169,1)),"",IF((AND(LEFT(G5169,2)=LEFT('112'!$M$9,2),B5169&lt;'112'!$K$9,$N5169='112'!$I$6)),"x",""))</f>
        <v/>
      </c>
      <c r="V5169" s="75" t="str">
        <f>IF(ISERROR(FIND('112'!$M$9,G5169,1)),"",IF((AND(RIGHT(G5169,2)=RIGHT('112'!$M$9,2),B5169&lt;'112'!$K$9,$O5169='112'!$I$6)),"x",""))</f>
        <v/>
      </c>
      <c r="W5169" s="75" t="str">
        <f>IF(AND('341-CT'!$H$9=H5169,OR(LEFT(N5169,3)=$W$7,LEFT(O5169,3)=$W$7)),"x","")</f>
        <v/>
      </c>
      <c r="X5169" s="75" t="str">
        <f>IF(OR(TH!N4027=TH!$X$7,O5169=TH!$X$7),"x","")</f>
        <v/>
      </c>
      <c r="Y5169" s="75" t="str">
        <f>IF(AND(OR(N5169="131",O5169="131"),H5169='131-CT'!$H$9),"x","")</f>
        <v/>
      </c>
      <c r="Z5169" s="75"/>
      <c r="AA5169" s="75" t="str">
        <f>IF(AND(MONTH(E5169)='IN-NX'!$J$5,'IN-NX'!$D$7=D5169),"x","")</f>
        <v/>
      </c>
      <c r="AB5169" s="75" t="str">
        <f>IF(AND(OR(LEFT(TH!N4027,2)="15",LEFT(TH!O4027,2)="15"),LEFT(TH!O4027,3)&lt;&gt;"111",'152-CT'!$J$8=TH!F4027),"x","")</f>
        <v/>
      </c>
      <c r="AC5169" s="75" t="str">
        <f>IF(AND(OR(LEFT(TH!N4027,2)="15",LEFT(TH!O4027,2)="15"),TK!$E$7=TH!F4027),"x","")</f>
        <v/>
      </c>
      <c r="AD5169" s="75" t="str">
        <f>IF(AND(N5169="1521",MONTH(C5169)='BK-NL'!$M$11),"x","")</f>
        <v/>
      </c>
    </row>
    <row r="5170" spans="1:33" ht="16.5" customHeight="1">
      <c r="A5170" s="309" t="str">
        <f>IF(B5170&lt;&gt;"",IF(AND(B5170='IN-TC'!$S$4,OR(TH!N5158="1111",TH!O5158="1111")),TH!D5158,""),"")</f>
        <v/>
      </c>
      <c r="B5170" s="1244">
        <f t="shared" si="1346"/>
        <v>10</v>
      </c>
      <c r="C5170" s="292">
        <f t="shared" si="1345"/>
        <v>43028</v>
      </c>
      <c r="D5170" s="292"/>
      <c r="E5170" s="292">
        <v>43028</v>
      </c>
      <c r="F5170" s="67" t="s">
        <v>954</v>
      </c>
      <c r="G5170" s="925" t="s">
        <v>2509</v>
      </c>
      <c r="H5170" s="294" t="s">
        <v>1241</v>
      </c>
      <c r="I5170" s="373"/>
      <c r="J5170" s="926"/>
      <c r="K5170" s="373"/>
      <c r="L5170" s="379"/>
      <c r="M5170" s="927">
        <v>12720000</v>
      </c>
      <c r="N5170" s="295" t="s">
        <v>101</v>
      </c>
      <c r="O5170" s="295" t="s">
        <v>63</v>
      </c>
      <c r="P5170" s="75" t="str">
        <f>IF(AND('331-CT'!$E$7=TH!H4028,OR(N5170="331",O5170="331")),"x","")</f>
        <v/>
      </c>
      <c r="Q5170" s="75" t="str">
        <f>IF(AND(B5170='111'!$L$11,OR($N5170=$Q$7,$O5170=$Q$7)),"x","")</f>
        <v/>
      </c>
      <c r="R5170" s="75" t="str">
        <f>IF(AND($N5170=$Q$7,$B5170&lt;'111'!$L$11),"x","")</f>
        <v/>
      </c>
      <c r="S5170" s="75" t="str">
        <f>IF(AND($O5170=$Q$7,$B5170&lt;'111'!$L$11),"x","")</f>
        <v>x</v>
      </c>
      <c r="T5170" s="75" t="str">
        <f>IF(ISERROR(FIND('112'!$M$9,G5170,1)),"",IF((AND(FIND('112'!$M$9,G5170,1)&gt;=1,B5170='112'!$K$9,OR($N5170='112'!$I$6,$O5170='112'!$I$6))),"x",""))</f>
        <v/>
      </c>
      <c r="U5170" s="75" t="str">
        <f>IF(ISERROR(FIND('112'!$M$9,G5170,1)),"",IF((AND(LEFT(G5170,2)=LEFT('112'!$M$9,2),B5170&lt;'112'!$K$9,$N5170='112'!$I$6)),"x",""))</f>
        <v/>
      </c>
      <c r="V5170" s="75" t="str">
        <f>IF(ISERROR(FIND('112'!$M$9,G5170,1)),"",IF((AND(RIGHT(G5170,2)=RIGHT('112'!$M$9,2),B5170&lt;'112'!$K$9,$O5170='112'!$I$6)),"x",""))</f>
        <v/>
      </c>
      <c r="W5170" s="75" t="str">
        <f>IF(AND('341-CT'!$H$9=H5170,OR(LEFT(N5170,3)=$W$7,LEFT(O5170,3)=$W$7)),"x","")</f>
        <v/>
      </c>
      <c r="X5170" s="75" t="str">
        <f>IF(OR(TH!N4028=TH!$X$7,O5170=TH!$X$7),"x","")</f>
        <v/>
      </c>
      <c r="Y5170" s="75" t="str">
        <f>IF(AND(OR(N5170="131",O5170="131"),H5170='131-CT'!$H$9),"x","")</f>
        <v/>
      </c>
      <c r="Z5170" s="75"/>
      <c r="AA5170" s="75" t="str">
        <f>IF(AND(MONTH(E5170)='IN-NX'!$J$5,'IN-NX'!$D$7=D5170),"x","")</f>
        <v/>
      </c>
      <c r="AB5170" s="75" t="str">
        <f>IF(AND(OR(LEFT(TH!N4028,2)="15",LEFT(TH!O4028,2)="15"),LEFT(TH!O4028,3)&lt;&gt;"111",'152-CT'!$J$8=TH!F4028),"x","")</f>
        <v/>
      </c>
      <c r="AC5170" s="75" t="str">
        <f>IF(AND(OR(LEFT(TH!N4028,2)="15",LEFT(TH!O4028,2)="15"),TK!$E$7=TH!F4028),"x","")</f>
        <v/>
      </c>
      <c r="AD5170" s="75" t="str">
        <f>IF(AND(N5170="1521",MONTH(C5170)='BK-NL'!$M$11),"x","")</f>
        <v/>
      </c>
      <c r="AE5170">
        <v>10</v>
      </c>
    </row>
    <row r="5171" spans="1:33" ht="16.5" customHeight="1">
      <c r="A5171" s="309" t="str">
        <f>IF(B5171&lt;&gt;"",IF(AND(B5171='IN-TC'!$S$4,OR(TH!N5159="1111",TH!O5159="1111")),TH!D5159,""),"")</f>
        <v/>
      </c>
      <c r="B5171" s="1244">
        <f t="shared" si="1346"/>
        <v>10</v>
      </c>
      <c r="C5171" s="292">
        <f t="shared" ref="C5171:C5234" si="1347">E5171</f>
        <v>43028</v>
      </c>
      <c r="D5171" s="292"/>
      <c r="E5171" s="292">
        <v>43028</v>
      </c>
      <c r="F5171" s="67" t="s">
        <v>955</v>
      </c>
      <c r="G5171" s="925" t="s">
        <v>2509</v>
      </c>
      <c r="H5171" s="294" t="s">
        <v>1241</v>
      </c>
      <c r="I5171" s="373"/>
      <c r="J5171" s="926"/>
      <c r="K5171" s="373"/>
      <c r="L5171" s="379"/>
      <c r="M5171" s="927">
        <v>1272000</v>
      </c>
      <c r="N5171" s="295" t="s">
        <v>9</v>
      </c>
      <c r="O5171" s="295" t="s">
        <v>63</v>
      </c>
      <c r="P5171" s="75" t="str">
        <f>IF(AND('331-CT'!$E$7=TH!H4029,OR(N5171="331",O5171="331")),"x","")</f>
        <v/>
      </c>
      <c r="Q5171" s="75" t="str">
        <f>IF(AND(B5171='111'!$L$11,OR($N5171=$Q$7,$O5171=$Q$7)),"x","")</f>
        <v/>
      </c>
      <c r="R5171" s="75" t="str">
        <f>IF(AND($N5171=$Q$7,$B5171&lt;'111'!$L$11),"x","")</f>
        <v/>
      </c>
      <c r="S5171" s="75" t="str">
        <f>IF(AND($O5171=$Q$7,$B5171&lt;'111'!$L$11),"x","")</f>
        <v>x</v>
      </c>
      <c r="T5171" s="75" t="str">
        <f>IF(ISERROR(FIND('112'!$M$9,G5171,1)),"",IF((AND(FIND('112'!$M$9,G5171,1)&gt;=1,B5171='112'!$K$9,OR($N5171='112'!$I$6,$O5171='112'!$I$6))),"x",""))</f>
        <v/>
      </c>
      <c r="U5171" s="75" t="str">
        <f>IF(ISERROR(FIND('112'!$M$9,G5171,1)),"",IF((AND(LEFT(G5171,2)=LEFT('112'!$M$9,2),B5171&lt;'112'!$K$9,$N5171='112'!$I$6)),"x",""))</f>
        <v/>
      </c>
      <c r="V5171" s="75" t="str">
        <f>IF(ISERROR(FIND('112'!$M$9,G5171,1)),"",IF((AND(RIGHT(G5171,2)=RIGHT('112'!$M$9,2),B5171&lt;'112'!$K$9,$O5171='112'!$I$6)),"x",""))</f>
        <v/>
      </c>
      <c r="W5171" s="75" t="str">
        <f>IF(AND('341-CT'!$H$9=H5171,OR(LEFT(N5171,3)=$W$7,LEFT(O5171,3)=$W$7)),"x","")</f>
        <v/>
      </c>
      <c r="X5171" s="75" t="str">
        <f>IF(OR(TH!N4029=TH!$X$7,O5171=TH!$X$7),"x","")</f>
        <v/>
      </c>
      <c r="Y5171" s="75" t="str">
        <f>IF(AND(OR(N5171="131",O5171="131"),H5171='131-CT'!$H$9),"x","")</f>
        <v/>
      </c>
      <c r="Z5171" s="75"/>
      <c r="AA5171" s="75" t="str">
        <f>IF(AND(MONTH(E5171)='IN-NX'!$J$5,'IN-NX'!$D$7=D5171),"x","")</f>
        <v/>
      </c>
      <c r="AB5171" s="75" t="str">
        <f>IF(AND(OR(LEFT(TH!N4029,2)="15",LEFT(TH!O4029,2)="15"),LEFT(TH!O4029,3)&lt;&gt;"111",'152-CT'!$J$8=TH!F4029),"x","")</f>
        <v/>
      </c>
      <c r="AC5171" s="75" t="str">
        <f>IF(AND(OR(LEFT(TH!N4029,2)="15",LEFT(TH!O4029,2)="15"),TK!$E$7=TH!F4029),"x","")</f>
        <v/>
      </c>
      <c r="AD5171" s="75" t="str">
        <f>IF(AND(N5171="1521",MONTH(C5171)='BK-NL'!$M$11),"x","")</f>
        <v/>
      </c>
      <c r="AE5171">
        <v>10</v>
      </c>
    </row>
    <row r="5172" spans="1:33" ht="16.5" customHeight="1">
      <c r="A5172" s="309" t="str">
        <f>IF(B5172&lt;&gt;"",IF(AND(B5172='IN-TC'!$S$4,OR(TH!N5160="1111",TH!O5160="1111")),TH!D5160,""),"")</f>
        <v/>
      </c>
      <c r="B5172" s="1244">
        <f t="shared" si="1346"/>
        <v>10</v>
      </c>
      <c r="C5172" s="292">
        <f t="shared" si="1347"/>
        <v>43028</v>
      </c>
      <c r="D5172" s="292"/>
      <c r="E5172" s="292">
        <v>43028</v>
      </c>
      <c r="F5172" s="67" t="s">
        <v>1499</v>
      </c>
      <c r="G5172" s="925" t="s">
        <v>2511</v>
      </c>
      <c r="H5172" s="294" t="s">
        <v>893</v>
      </c>
      <c r="I5172" s="373"/>
      <c r="J5172" s="926"/>
      <c r="K5172" s="373"/>
      <c r="L5172" s="379"/>
      <c r="M5172" s="927">
        <v>888055</v>
      </c>
      <c r="N5172" s="295" t="s">
        <v>101</v>
      </c>
      <c r="O5172" s="295" t="s">
        <v>63</v>
      </c>
      <c r="P5172" s="75" t="str">
        <f>IF(AND('331-CT'!$E$7=TH!H4032,OR(N5172="331",O5172="331")),"x","")</f>
        <v/>
      </c>
      <c r="Q5172" s="75" t="str">
        <f>IF(AND(B5172='111'!$L$11,OR($N5172=$Q$7,$O5172=$Q$7)),"x","")</f>
        <v/>
      </c>
      <c r="R5172" s="75" t="str">
        <f>IF(AND($N5172=$Q$7,$B5172&lt;'111'!$L$11),"x","")</f>
        <v/>
      </c>
      <c r="S5172" s="75" t="str">
        <f>IF(AND($O5172=$Q$7,$B5172&lt;'111'!$L$11),"x","")</f>
        <v>x</v>
      </c>
      <c r="T5172" s="75" t="str">
        <f>IF(ISERROR(FIND('112'!$M$9,G5172,1)),"",IF((AND(FIND('112'!$M$9,G5172,1)&gt;=1,B5172='112'!$K$9,OR($N5172='112'!$I$6,$O5172='112'!$I$6))),"x",""))</f>
        <v/>
      </c>
      <c r="U5172" s="75" t="str">
        <f>IF(ISERROR(FIND('112'!$M$9,G5172,1)),"",IF((AND(LEFT(G5172,2)=LEFT('112'!$M$9,2),B5172&lt;'112'!$K$9,$N5172='112'!$I$6)),"x",""))</f>
        <v/>
      </c>
      <c r="V5172" s="75" t="str">
        <f>IF(ISERROR(FIND('112'!$M$9,G5172,1)),"",IF((AND(RIGHT(G5172,2)=RIGHT('112'!$M$9,2),B5172&lt;'112'!$K$9,$O5172='112'!$I$6)),"x",""))</f>
        <v/>
      </c>
      <c r="W5172" s="75" t="str">
        <f>IF(AND('341-CT'!$H$9=H5172,OR(LEFT(N5172,3)=$W$7,LEFT(O5172,3)=$W$7)),"x","")</f>
        <v/>
      </c>
      <c r="X5172" s="75" t="str">
        <f>IF(OR(TH!N4032=TH!$X$7,O5172=TH!$X$7),"x","")</f>
        <v/>
      </c>
      <c r="Y5172" s="75" t="str">
        <f>IF(AND(OR(N5172="131",O5172="131"),H5172='131-CT'!$H$9),"x","")</f>
        <v/>
      </c>
      <c r="Z5172" s="75"/>
      <c r="AA5172" s="75" t="str">
        <f>IF(AND(MONTH(E5172)='IN-NX'!$J$5,'IN-NX'!$D$7=D5172),"x","")</f>
        <v/>
      </c>
      <c r="AB5172" s="75" t="str">
        <f>IF(AND(OR(LEFT(TH!N4032,2)="15",LEFT(TH!O4032,2)="15"),LEFT(TH!O4032,3)&lt;&gt;"111",'152-CT'!$J$8=TH!F4032),"x","")</f>
        <v/>
      </c>
      <c r="AC5172" s="75" t="str">
        <f>IF(AND(OR(LEFT(TH!N4032,2)="15",LEFT(TH!O4032,2)="15"),TK!$E$7=TH!F4032),"x","")</f>
        <v/>
      </c>
      <c r="AD5172" s="75" t="str">
        <f>IF(AND(N5172="1521",MONTH(C5172)='BK-NL'!$M$11),"x","")</f>
        <v/>
      </c>
      <c r="AE5172">
        <v>10</v>
      </c>
    </row>
    <row r="5173" spans="1:33" ht="16.5" customHeight="1">
      <c r="A5173" s="309" t="str">
        <f>IF(B5173&lt;&gt;"",IF(AND(B5173='IN-TC'!$S$4,OR(TH!N5161="1111",TH!O5161="1111")),TH!D5161,""),"")</f>
        <v/>
      </c>
      <c r="B5173" s="1244">
        <f t="shared" si="1346"/>
        <v>10</v>
      </c>
      <c r="C5173" s="292">
        <f t="shared" si="1347"/>
        <v>43028</v>
      </c>
      <c r="D5173" s="292"/>
      <c r="E5173" s="292">
        <v>43028</v>
      </c>
      <c r="F5173" s="67" t="s">
        <v>1500</v>
      </c>
      <c r="G5173" s="925" t="s">
        <v>2511</v>
      </c>
      <c r="H5173" s="294" t="s">
        <v>893</v>
      </c>
      <c r="I5173" s="373"/>
      <c r="J5173" s="926"/>
      <c r="K5173" s="373"/>
      <c r="L5173" s="379"/>
      <c r="M5173" s="927">
        <v>88805</v>
      </c>
      <c r="N5173" s="295" t="s">
        <v>9</v>
      </c>
      <c r="O5173" s="295" t="s">
        <v>63</v>
      </c>
      <c r="P5173" s="75" t="str">
        <f>IF(AND('331-CT'!$E$7=TH!H4033,OR(N5173="331",O5173="331")),"x","")</f>
        <v/>
      </c>
      <c r="Q5173" s="75" t="str">
        <f>IF(AND(B5173='111'!$L$11,OR($N5173=$Q$7,$O5173=$Q$7)),"x","")</f>
        <v/>
      </c>
      <c r="R5173" s="75" t="str">
        <f>IF(AND($N5173=$Q$7,$B5173&lt;'111'!$L$11),"x","")</f>
        <v/>
      </c>
      <c r="S5173" s="75" t="str">
        <f>IF(AND($O5173=$Q$7,$B5173&lt;'111'!$L$11),"x","")</f>
        <v>x</v>
      </c>
      <c r="T5173" s="75" t="str">
        <f>IF(ISERROR(FIND('112'!$M$9,G5173,1)),"",IF((AND(FIND('112'!$M$9,G5173,1)&gt;=1,B5173='112'!$K$9,OR($N5173='112'!$I$6,$O5173='112'!$I$6))),"x",""))</f>
        <v/>
      </c>
      <c r="U5173" s="75" t="str">
        <f>IF(ISERROR(FIND('112'!$M$9,G5173,1)),"",IF((AND(LEFT(G5173,2)=LEFT('112'!$M$9,2),B5173&lt;'112'!$K$9,$N5173='112'!$I$6)),"x",""))</f>
        <v/>
      </c>
      <c r="V5173" s="75" t="str">
        <f>IF(ISERROR(FIND('112'!$M$9,G5173,1)),"",IF((AND(RIGHT(G5173,2)=RIGHT('112'!$M$9,2),B5173&lt;'112'!$K$9,$O5173='112'!$I$6)),"x",""))</f>
        <v/>
      </c>
      <c r="W5173" s="75" t="str">
        <f>IF(AND('341-CT'!$H$9=H5173,OR(LEFT(N5173,3)=$W$7,LEFT(O5173,3)=$W$7)),"x","")</f>
        <v/>
      </c>
      <c r="X5173" s="75" t="str">
        <f>IF(OR(TH!N4033=TH!$X$7,O5173=TH!$X$7),"x","")</f>
        <v>x</v>
      </c>
      <c r="Y5173" s="75" t="str">
        <f>IF(AND(OR(N5173="131",O5173="131"),H5173='131-CT'!$H$9),"x","")</f>
        <v/>
      </c>
      <c r="Z5173" s="75"/>
      <c r="AA5173" s="75" t="str">
        <f>IF(AND(MONTH(E5173)='IN-NX'!$J$5,'IN-NX'!$D$7=D5173),"x","")</f>
        <v/>
      </c>
      <c r="AB5173" s="75" t="str">
        <f>IF(AND(OR(LEFT(TH!N4033,2)="15",LEFT(TH!O4033,2)="15"),LEFT(TH!O4033,3)&lt;&gt;"111",'152-CT'!$J$8=TH!F4033),"x","")</f>
        <v/>
      </c>
      <c r="AC5173" s="75" t="str">
        <f>IF(AND(OR(LEFT(TH!N4033,2)="15",LEFT(TH!O4033,2)="15"),TK!$E$7=TH!F4033),"x","")</f>
        <v/>
      </c>
      <c r="AD5173" s="75" t="str">
        <f>IF(AND(N5173="1521",MONTH(C5173)='BK-NL'!$M$11),"x","")</f>
        <v/>
      </c>
      <c r="AE5173">
        <v>10</v>
      </c>
    </row>
    <row r="5174" spans="1:33" ht="16.5" customHeight="1">
      <c r="A5174" s="309" t="str">
        <f>IF(B5174&lt;&gt;"",IF(AND(B5174='IN-TC'!$S$4,OR(TH!N5162="1111",TH!O5162="1111")),TH!D5162,""),"")</f>
        <v/>
      </c>
      <c r="B5174" s="1244">
        <f t="shared" si="1346"/>
        <v>10</v>
      </c>
      <c r="C5174" s="292">
        <f t="shared" si="1347"/>
        <v>43028</v>
      </c>
      <c r="D5174" s="292"/>
      <c r="E5174" s="292">
        <v>43028</v>
      </c>
      <c r="F5174" s="67" t="s">
        <v>881</v>
      </c>
      <c r="G5174" s="925" t="s">
        <v>2512</v>
      </c>
      <c r="H5174" s="294" t="s">
        <v>2500</v>
      </c>
      <c r="I5174" s="373"/>
      <c r="J5174" s="926"/>
      <c r="K5174" s="373"/>
      <c r="L5174" s="379"/>
      <c r="M5174" s="927">
        <v>240000</v>
      </c>
      <c r="N5174" s="295" t="s">
        <v>101</v>
      </c>
      <c r="O5174" s="295" t="s">
        <v>63</v>
      </c>
      <c r="P5174" s="75" t="str">
        <f>IF(AND('331-CT'!$E$7=TH!H4034,OR(N5174="331",O5174="331")),"x","")</f>
        <v/>
      </c>
      <c r="Q5174" s="75" t="str">
        <f>IF(AND(B5174='111'!$L$11,OR($N5174=$Q$7,$O5174=$Q$7)),"x","")</f>
        <v/>
      </c>
      <c r="R5174" s="75" t="str">
        <f>IF(AND($N5174=$Q$7,$B5174&lt;'111'!$L$11),"x","")</f>
        <v/>
      </c>
      <c r="S5174" s="75" t="str">
        <f>IF(AND($O5174=$Q$7,$B5174&lt;'111'!$L$11),"x","")</f>
        <v>x</v>
      </c>
      <c r="T5174" s="75" t="str">
        <f>IF(ISERROR(FIND('112'!$M$9,G5174,1)),"",IF((AND(FIND('112'!$M$9,G5174,1)&gt;=1,B5174='112'!$K$9,OR($N5174='112'!$I$6,$O5174='112'!$I$6))),"x",""))</f>
        <v/>
      </c>
      <c r="U5174" s="75" t="str">
        <f>IF(ISERROR(FIND('112'!$M$9,G5174,1)),"",IF((AND(LEFT(G5174,2)=LEFT('112'!$M$9,2),B5174&lt;'112'!$K$9,$N5174='112'!$I$6)),"x",""))</f>
        <v/>
      </c>
      <c r="V5174" s="75" t="str">
        <f>IF(ISERROR(FIND('112'!$M$9,G5174,1)),"",IF((AND(RIGHT(G5174,2)=RIGHT('112'!$M$9,2),B5174&lt;'112'!$K$9,$O5174='112'!$I$6)),"x",""))</f>
        <v/>
      </c>
      <c r="W5174" s="75" t="str">
        <f>IF(AND('341-CT'!$H$9=H5174,OR(LEFT(N5174,3)=$W$7,LEFT(O5174,3)=$W$7)),"x","")</f>
        <v/>
      </c>
      <c r="X5174" s="75" t="str">
        <f>IF(OR(TH!N4034=TH!$X$7,O5174=TH!$X$7),"x","")</f>
        <v>x</v>
      </c>
      <c r="Y5174" s="75" t="str">
        <f>IF(AND(OR(N5174="131",O5174="131"),H5174='131-CT'!$H$9),"x","")</f>
        <v/>
      </c>
      <c r="Z5174" s="75"/>
      <c r="AA5174" s="75" t="str">
        <f>IF(AND(MONTH(E5174)='IN-NX'!$J$5,'IN-NX'!$D$7=D5174),"x","")</f>
        <v/>
      </c>
      <c r="AB5174" s="75" t="str">
        <f>IF(AND(OR(LEFT(TH!N4034,2)="15",LEFT(TH!O4034,2)="15"),LEFT(TH!O4034,3)&lt;&gt;"111",'152-CT'!$J$8=TH!F4034),"x","")</f>
        <v/>
      </c>
      <c r="AC5174" s="75" t="str">
        <f>IF(AND(OR(LEFT(TH!N4034,2)="15",LEFT(TH!O4034,2)="15"),TK!$E$7=TH!F4034),"x","")</f>
        <v/>
      </c>
      <c r="AD5174" s="75" t="str">
        <f>IF(AND(N5174="1521",MONTH(C5174)='BK-NL'!$M$11),"x","")</f>
        <v/>
      </c>
      <c r="AE5174">
        <v>10</v>
      </c>
    </row>
    <row r="5175" spans="1:33" s="1053" customFormat="1" ht="16.5" customHeight="1">
      <c r="A5175" s="309" t="str">
        <f>IF(B5175&lt;&gt;"",IF(AND(B5175='IN-TC'!$S$4,OR(TH!N5163="1111",TH!O5163="1111")),TH!D5163,""),"")</f>
        <v/>
      </c>
      <c r="B5175" s="1244">
        <f t="shared" si="1346"/>
        <v>10</v>
      </c>
      <c r="C5175" s="292">
        <f t="shared" si="1347"/>
        <v>43028</v>
      </c>
      <c r="D5175" s="292"/>
      <c r="E5175" s="292">
        <v>43028</v>
      </c>
      <c r="F5175" s="67" t="s">
        <v>882</v>
      </c>
      <c r="G5175" s="925" t="s">
        <v>2512</v>
      </c>
      <c r="H5175" s="294" t="s">
        <v>2500</v>
      </c>
      <c r="I5175" s="373"/>
      <c r="J5175" s="926"/>
      <c r="K5175" s="373"/>
      <c r="L5175" s="379"/>
      <c r="M5175" s="927">
        <v>12000</v>
      </c>
      <c r="N5175" s="295" t="s">
        <v>9</v>
      </c>
      <c r="O5175" s="295" t="s">
        <v>63</v>
      </c>
      <c r="P5175" s="75" t="str">
        <f>IF(AND('331-CT'!$E$7=TH!H4035,OR(N5175="331",O5175="331")),"x","")</f>
        <v/>
      </c>
      <c r="Q5175" s="75" t="str">
        <f>IF(AND(B5175='111'!$L$11,OR($N5175=$Q$7,$O5175=$Q$7)),"x","")</f>
        <v/>
      </c>
      <c r="R5175" s="75" t="str">
        <f>IF(AND($N5175=$Q$7,$B5175&lt;'111'!$L$11),"x","")</f>
        <v/>
      </c>
      <c r="S5175" s="75" t="str">
        <f>IF(AND($O5175=$Q$7,$B5175&lt;'111'!$L$11),"x","")</f>
        <v>x</v>
      </c>
      <c r="T5175" s="75" t="str">
        <f>IF(ISERROR(FIND('112'!$M$9,G5175,1)),"",IF((AND(FIND('112'!$M$9,G5175,1)&gt;=1,B5175='112'!$K$9,OR($N5175='112'!$I$6,$O5175='112'!$I$6))),"x",""))</f>
        <v/>
      </c>
      <c r="U5175" s="75" t="str">
        <f>IF(ISERROR(FIND('112'!$M$9,G5175,1)),"",IF((AND(LEFT(G5175,2)=LEFT('112'!$M$9,2),B5175&lt;'112'!$K$9,$N5175='112'!$I$6)),"x",""))</f>
        <v/>
      </c>
      <c r="V5175" s="75" t="str">
        <f>IF(ISERROR(FIND('112'!$M$9,G5175,1)),"",IF((AND(RIGHT(G5175,2)=RIGHT('112'!$M$9,2),B5175&lt;'112'!$K$9,$O5175='112'!$I$6)),"x",""))</f>
        <v/>
      </c>
      <c r="W5175" s="75" t="str">
        <f>IF(AND('341-CT'!$H$9=H5175,OR(LEFT(N5175,3)=$W$7,LEFT(O5175,3)=$W$7)),"x","")</f>
        <v/>
      </c>
      <c r="X5175" s="75" t="str">
        <f>IF(OR(TH!N4035=TH!$X$7,O5175=TH!$X$7),"x","")</f>
        <v/>
      </c>
      <c r="Y5175" s="75" t="str">
        <f>IF(AND(OR(N5175="131",O5175="131"),H5175='131-CT'!$H$9),"x","")</f>
        <v/>
      </c>
      <c r="Z5175" s="75"/>
      <c r="AA5175" s="75" t="str">
        <f>IF(AND(MONTH(E5175)='IN-NX'!$J$5,'IN-NX'!$D$7=D5175),"x","")</f>
        <v/>
      </c>
      <c r="AB5175" s="75" t="str">
        <f>IF(AND(OR(LEFT(TH!N4035,2)="15",LEFT(TH!O4035,2)="15"),LEFT(TH!O4035,3)&lt;&gt;"111",'152-CT'!$J$8=TH!F4035),"x","")</f>
        <v/>
      </c>
      <c r="AC5175" s="75" t="str">
        <f>IF(AND(OR(LEFT(TH!N4035,2)="15",LEFT(TH!O4035,2)="15"),TK!$E$7=TH!F4035),"x","")</f>
        <v/>
      </c>
      <c r="AD5175" s="75" t="str">
        <f>IF(AND(N5175="1521",MONTH(C5175)='BK-NL'!$M$11),"x","")</f>
        <v/>
      </c>
      <c r="AE5175">
        <v>10</v>
      </c>
      <c r="AF5175"/>
      <c r="AG5175"/>
    </row>
    <row r="5176" spans="1:33" ht="16.5" customHeight="1">
      <c r="A5176" s="309" t="str">
        <f>IF(B5176&lt;&gt;"",IF(AND(B5176='IN-TC'!$S$4,OR(TH!N5164="1111",TH!O5164="1111")),TH!D5164,""),"")</f>
        <v/>
      </c>
      <c r="B5176" s="1244">
        <f t="shared" si="1346"/>
        <v>10</v>
      </c>
      <c r="C5176" s="292">
        <f t="shared" si="1347"/>
        <v>43028</v>
      </c>
      <c r="D5176" s="292"/>
      <c r="E5176" s="292">
        <v>43028</v>
      </c>
      <c r="F5176" s="293" t="s">
        <v>1334</v>
      </c>
      <c r="G5176" s="925" t="s">
        <v>2705</v>
      </c>
      <c r="H5176" s="294" t="s">
        <v>1336</v>
      </c>
      <c r="I5176" s="373"/>
      <c r="J5176" s="926"/>
      <c r="K5176" s="373"/>
      <c r="L5176" s="379"/>
      <c r="M5176" s="927">
        <v>409091</v>
      </c>
      <c r="N5176" s="295" t="s">
        <v>539</v>
      </c>
      <c r="O5176" s="295" t="s">
        <v>63</v>
      </c>
      <c r="P5176" s="75" t="str">
        <f>IF(AND('331-CT'!$E$7=TH!H4036,OR(N5176="331",O5176="331")),"x","")</f>
        <v/>
      </c>
      <c r="Q5176" s="75" t="str">
        <f>IF(AND(B5176='111'!$L$11,OR($N5176=$Q$7,$O5176=$Q$7)),"x","")</f>
        <v/>
      </c>
      <c r="R5176" s="75" t="str">
        <f>IF(AND($N5176=$Q$7,$B5176&lt;'111'!$L$11),"x","")</f>
        <v/>
      </c>
      <c r="S5176" s="75" t="str">
        <f>IF(AND($O5176=$Q$7,$B5176&lt;'111'!$L$11),"x","")</f>
        <v>x</v>
      </c>
      <c r="T5176" s="75" t="str">
        <f>IF(ISERROR(FIND('112'!$M$9,G5176,1)),"",IF((AND(FIND('112'!$M$9,G5176,1)&gt;=1,B5176='112'!$K$9,OR($N5176='112'!$I$6,$O5176='112'!$I$6))),"x",""))</f>
        <v/>
      </c>
      <c r="U5176" s="75" t="str">
        <f>IF(ISERROR(FIND('112'!$M$9,G5176,1)),"",IF((AND(LEFT(G5176,2)=LEFT('112'!$M$9,2),B5176&lt;'112'!$K$9,$N5176='112'!$I$6)),"x",""))</f>
        <v/>
      </c>
      <c r="V5176" s="75" t="str">
        <f>IF(ISERROR(FIND('112'!$M$9,G5176,1)),"",IF((AND(RIGHT(G5176,2)=RIGHT('112'!$M$9,2),B5176&lt;'112'!$K$9,$O5176='112'!$I$6)),"x",""))</f>
        <v/>
      </c>
      <c r="W5176" s="75" t="str">
        <f>IF(AND('341-CT'!$H$9=H5176,OR(LEFT(N5176,3)=$W$7,LEFT(O5176,3)=$W$7)),"x","")</f>
        <v/>
      </c>
      <c r="X5176" s="75" t="str">
        <f>IF(OR(TH!N4036=TH!$X$7,O5176=TH!$X$7),"x","")</f>
        <v/>
      </c>
      <c r="Y5176" s="75" t="str">
        <f>IF(AND(OR(N5176="131",O5176="131"),H5176='131-CT'!$H$9),"x","")</f>
        <v/>
      </c>
      <c r="Z5176" s="75"/>
      <c r="AA5176" s="75" t="str">
        <f>IF(AND(MONTH(E5176)='IN-NX'!$J$5,'IN-NX'!$D$7=D5176),"x","")</f>
        <v/>
      </c>
      <c r="AB5176" s="75" t="str">
        <f>IF(AND(OR(LEFT(TH!N4036,2)="15",LEFT(TH!O4036,2)="15"),LEFT(TH!O4036,3)&lt;&gt;"111",'152-CT'!$J$8=TH!F4036),"x","")</f>
        <v/>
      </c>
      <c r="AC5176" s="75" t="str">
        <f>IF(AND(OR(LEFT(TH!N4036,2)="15",LEFT(TH!O4036,2)="15"),TK!$E$7=TH!F4036),"x","")</f>
        <v/>
      </c>
      <c r="AD5176" s="75" t="str">
        <f>IF(AND(N5176="1521",MONTH(C5176)='BK-NL'!$M$11),"x","")</f>
        <v/>
      </c>
      <c r="AE5176">
        <v>11</v>
      </c>
    </row>
    <row r="5177" spans="1:33" ht="16.5" customHeight="1">
      <c r="A5177" s="309" t="str">
        <f>IF(B5177&lt;&gt;"",IF(AND(B5177='IN-TC'!$S$4,OR(TH!N5165="1111",TH!O5165="1111")),TH!D5165,""),"")</f>
        <v/>
      </c>
      <c r="B5177" s="1244">
        <f t="shared" si="1346"/>
        <v>10</v>
      </c>
      <c r="C5177" s="292">
        <f t="shared" si="1347"/>
        <v>43028</v>
      </c>
      <c r="D5177" s="292"/>
      <c r="E5177" s="292">
        <v>43028</v>
      </c>
      <c r="F5177" s="293" t="s">
        <v>1335</v>
      </c>
      <c r="G5177" s="925" t="s">
        <v>2705</v>
      </c>
      <c r="H5177" s="294" t="s">
        <v>1336</v>
      </c>
      <c r="I5177" s="373"/>
      <c r="J5177" s="926"/>
      <c r="K5177" s="373"/>
      <c r="L5177" s="379"/>
      <c r="M5177" s="927">
        <v>40909</v>
      </c>
      <c r="N5177" s="295" t="s">
        <v>9</v>
      </c>
      <c r="O5177" s="295" t="s">
        <v>63</v>
      </c>
      <c r="P5177" s="75" t="str">
        <f>IF(AND('331-CT'!$E$7=TH!H4037,OR(N5177="331",O5177="331")),"x","")</f>
        <v/>
      </c>
      <c r="Q5177" s="75" t="str">
        <f>IF(AND(B5177='111'!$L$11,OR($N5177=$Q$7,$O5177=$Q$7)),"x","")</f>
        <v/>
      </c>
      <c r="R5177" s="75" t="str">
        <f>IF(AND($N5177=$Q$7,$B5177&lt;'111'!$L$11),"x","")</f>
        <v/>
      </c>
      <c r="S5177" s="75" t="str">
        <f>IF(AND($O5177=$Q$7,$B5177&lt;'111'!$L$11),"x","")</f>
        <v>x</v>
      </c>
      <c r="T5177" s="75" t="str">
        <f>IF(ISERROR(FIND('112'!$M$9,G5177,1)),"",IF((AND(FIND('112'!$M$9,G5177,1)&gt;=1,B5177='112'!$K$9,OR($N5177='112'!$I$6,$O5177='112'!$I$6))),"x",""))</f>
        <v/>
      </c>
      <c r="U5177" s="75" t="str">
        <f>IF(ISERROR(FIND('112'!$M$9,G5177,1)),"",IF((AND(LEFT(G5177,2)=LEFT('112'!$M$9,2),B5177&lt;'112'!$K$9,$N5177='112'!$I$6)),"x",""))</f>
        <v/>
      </c>
      <c r="V5177" s="75" t="str">
        <f>IF(ISERROR(FIND('112'!$M$9,G5177,1)),"",IF((AND(RIGHT(G5177,2)=RIGHT('112'!$M$9,2),B5177&lt;'112'!$K$9,$O5177='112'!$I$6)),"x",""))</f>
        <v/>
      </c>
      <c r="W5177" s="75" t="str">
        <f>IF(AND('341-CT'!$H$9=H5177,OR(LEFT(N5177,3)=$W$7,LEFT(O5177,3)=$W$7)),"x","")</f>
        <v/>
      </c>
      <c r="X5177" s="75" t="str">
        <f>IF(OR(TH!N4037=TH!$X$7,O5177=TH!$X$7),"x","")</f>
        <v/>
      </c>
      <c r="Y5177" s="75" t="str">
        <f>IF(AND(OR(N5177="131",O5177="131"),H5177='131-CT'!$H$9),"x","")</f>
        <v/>
      </c>
      <c r="Z5177" s="75"/>
      <c r="AA5177" s="75" t="str">
        <f>IF(AND(MONTH(E5177)='IN-NX'!$J$5,'IN-NX'!$D$7=D5177),"x","")</f>
        <v/>
      </c>
      <c r="AB5177" s="75" t="str">
        <f>IF(AND(OR(LEFT(TH!N4037,2)="15",LEFT(TH!O4037,2)="15"),LEFT(TH!O4037,3)&lt;&gt;"111",'152-CT'!$J$8=TH!F4037),"x","")</f>
        <v/>
      </c>
      <c r="AC5177" s="75" t="str">
        <f>IF(AND(OR(LEFT(TH!N4037,2)="15",LEFT(TH!O4037,2)="15"),TK!$E$7=TH!F4037),"x","")</f>
        <v/>
      </c>
      <c r="AD5177" s="75" t="str">
        <f>IF(AND(N5177="1521",MONTH(C5177)='BK-NL'!$M$11),"x","")</f>
        <v/>
      </c>
      <c r="AE5177">
        <v>11</v>
      </c>
    </row>
    <row r="5178" spans="1:33" ht="16.5" customHeight="1">
      <c r="A5178" s="309" t="str">
        <f>IF(B5178&lt;&gt;"",IF(AND(B5178='IN-TC'!$S$4,OR(TH!N5166="1111",TH!O5166="1111")),TH!D5166,""),"")</f>
        <v/>
      </c>
      <c r="B5178" s="1244">
        <f t="shared" si="1346"/>
        <v>10</v>
      </c>
      <c r="C5178" s="292">
        <f t="shared" si="1347"/>
        <v>43028</v>
      </c>
      <c r="D5178" s="292"/>
      <c r="E5178" s="292">
        <v>43028</v>
      </c>
      <c r="F5178" s="67" t="s">
        <v>1029</v>
      </c>
      <c r="G5178" s="925" t="s">
        <v>2736</v>
      </c>
      <c r="H5178" s="294" t="s">
        <v>948</v>
      </c>
      <c r="I5178" s="373"/>
      <c r="J5178" s="926"/>
      <c r="K5178" s="373"/>
      <c r="L5178" s="379"/>
      <c r="M5178" s="927">
        <v>263636</v>
      </c>
      <c r="N5178" s="295" t="s">
        <v>539</v>
      </c>
      <c r="O5178" s="295" t="s">
        <v>63</v>
      </c>
      <c r="P5178" s="75" t="str">
        <f>IF(AND('331-CT'!$E$7=TH!H4038,OR(N5178="331",O5178="331")),"x","")</f>
        <v/>
      </c>
      <c r="Q5178" s="75" t="str">
        <f>IF(AND(B5178='111'!$L$11,OR($N5178=$Q$7,$O5178=$Q$7)),"x","")</f>
        <v/>
      </c>
      <c r="R5178" s="75" t="str">
        <f>IF(AND($N5178=$Q$7,$B5178&lt;'111'!$L$11),"x","")</f>
        <v/>
      </c>
      <c r="S5178" s="75" t="str">
        <f>IF(AND($O5178=$Q$7,$B5178&lt;'111'!$L$11),"x","")</f>
        <v>x</v>
      </c>
      <c r="T5178" s="75" t="str">
        <f>IF(ISERROR(FIND('112'!$M$9,G5178,1)),"",IF((AND(FIND('112'!$M$9,G5178,1)&gt;=1,B5178='112'!$K$9,OR($N5178='112'!$I$6,$O5178='112'!$I$6))),"x",""))</f>
        <v/>
      </c>
      <c r="U5178" s="75" t="str">
        <f>IF(ISERROR(FIND('112'!$M$9,G5178,1)),"",IF((AND(LEFT(G5178,2)=LEFT('112'!$M$9,2),B5178&lt;'112'!$K$9,$N5178='112'!$I$6)),"x",""))</f>
        <v/>
      </c>
      <c r="V5178" s="75" t="str">
        <f>IF(ISERROR(FIND('112'!$M$9,G5178,1)),"",IF((AND(RIGHT(G5178,2)=RIGHT('112'!$M$9,2),B5178&lt;'112'!$K$9,$O5178='112'!$I$6)),"x",""))</f>
        <v/>
      </c>
      <c r="W5178" s="75" t="str">
        <f>IF(AND('341-CT'!$H$9=H5178,OR(LEFT(N5178,3)=$W$7,LEFT(O5178,3)=$W$7)),"x","")</f>
        <v/>
      </c>
      <c r="X5178" s="75" t="str">
        <f>IF(OR(TH!N4038=TH!$X$7,O5178=TH!$X$7),"x","")</f>
        <v/>
      </c>
      <c r="Y5178" s="75" t="str">
        <f>IF(AND(OR(N5178="131",O5178="131"),H5178='131-CT'!$H$9),"x","")</f>
        <v/>
      </c>
      <c r="Z5178" s="75"/>
      <c r="AA5178" s="75" t="str">
        <f>IF(AND(MONTH(E5178)='IN-NX'!$J$5,'IN-NX'!$D$7=D5178),"x","")</f>
        <v/>
      </c>
      <c r="AB5178" s="75" t="str">
        <f>IF(AND(OR(LEFT(TH!N4038,2)="15",LEFT(TH!O4038,2)="15"),LEFT(TH!O4038,3)&lt;&gt;"111",'152-CT'!$J$8=TH!F4038),"x","")</f>
        <v/>
      </c>
      <c r="AC5178" s="75" t="str">
        <f>IF(AND(OR(LEFT(TH!N4038,2)="15",LEFT(TH!O4038,2)="15"),TK!$E$7=TH!F4038),"x","")</f>
        <v/>
      </c>
      <c r="AD5178" s="75" t="str">
        <f>IF(AND(N5178="1521",MONTH(C5178)='BK-NL'!$M$11),"x","")</f>
        <v/>
      </c>
      <c r="AE5178">
        <v>11</v>
      </c>
    </row>
    <row r="5179" spans="1:33" ht="16.5" customHeight="1">
      <c r="A5179" s="309" t="str">
        <f>IF(B5179&lt;&gt;"",IF(AND(B5179='IN-TC'!$S$4,OR(TH!N5167="1111",TH!O5167="1111")),TH!D5167,""),"")</f>
        <v/>
      </c>
      <c r="B5179" s="1244">
        <f t="shared" si="1346"/>
        <v>10</v>
      </c>
      <c r="C5179" s="292">
        <f t="shared" si="1347"/>
        <v>43028</v>
      </c>
      <c r="D5179" s="292"/>
      <c r="E5179" s="292">
        <v>43028</v>
      </c>
      <c r="F5179" s="67" t="s">
        <v>1030</v>
      </c>
      <c r="G5179" s="925" t="s">
        <v>2736</v>
      </c>
      <c r="H5179" s="294" t="s">
        <v>948</v>
      </c>
      <c r="I5179" s="373"/>
      <c r="J5179" s="926"/>
      <c r="K5179" s="373"/>
      <c r="L5179" s="379"/>
      <c r="M5179" s="927">
        <v>26364</v>
      </c>
      <c r="N5179" s="295" t="s">
        <v>9</v>
      </c>
      <c r="O5179" s="295" t="s">
        <v>63</v>
      </c>
      <c r="P5179" s="75" t="str">
        <f>IF(AND('331-CT'!$E$7=TH!H4039,OR(N5179="331",O5179="331")),"x","")</f>
        <v/>
      </c>
      <c r="Q5179" s="75" t="str">
        <f>IF(AND(B5179='111'!$L$11,OR($N5179=$Q$7,$O5179=$Q$7)),"x","")</f>
        <v/>
      </c>
      <c r="R5179" s="75" t="str">
        <f>IF(AND($N5179=$Q$7,$B5179&lt;'111'!$L$11),"x","")</f>
        <v/>
      </c>
      <c r="S5179" s="75" t="str">
        <f>IF(AND($O5179=$Q$7,$B5179&lt;'111'!$L$11),"x","")</f>
        <v>x</v>
      </c>
      <c r="T5179" s="75" t="str">
        <f>IF(ISERROR(FIND('112'!$M$9,G5179,1)),"",IF((AND(FIND('112'!$M$9,G5179,1)&gt;=1,B5179='112'!$K$9,OR($N5179='112'!$I$6,$O5179='112'!$I$6))),"x",""))</f>
        <v/>
      </c>
      <c r="U5179" s="75" t="str">
        <f>IF(ISERROR(FIND('112'!$M$9,G5179,1)),"",IF((AND(LEFT(G5179,2)=LEFT('112'!$M$9,2),B5179&lt;'112'!$K$9,$N5179='112'!$I$6)),"x",""))</f>
        <v/>
      </c>
      <c r="V5179" s="75" t="str">
        <f>IF(ISERROR(FIND('112'!$M$9,G5179,1)),"",IF((AND(RIGHT(G5179,2)=RIGHT('112'!$M$9,2),B5179&lt;'112'!$K$9,$O5179='112'!$I$6)),"x",""))</f>
        <v/>
      </c>
      <c r="W5179" s="75" t="str">
        <f>IF(AND('341-CT'!$H$9=H5179,OR(LEFT(N5179,3)=$W$7,LEFT(O5179,3)=$W$7)),"x","")</f>
        <v/>
      </c>
      <c r="X5179" s="75" t="str">
        <f>IF(OR(TH!N4039=TH!$X$7,O5179=TH!$X$7),"x","")</f>
        <v/>
      </c>
      <c r="Y5179" s="75" t="str">
        <f>IF(AND(OR(N5179="131",O5179="131"),H5179='131-CT'!$H$9),"x","")</f>
        <v/>
      </c>
      <c r="Z5179" s="75"/>
      <c r="AA5179" s="75" t="str">
        <f>IF(AND(MONTH(E5179)='IN-NX'!$J$5,'IN-NX'!$D$7=D5179),"x","")</f>
        <v/>
      </c>
      <c r="AB5179" s="75" t="str">
        <f>IF(AND(OR(LEFT(TH!N4039,2)="15",LEFT(TH!O4039,2)="15"),LEFT(TH!O4039,3)&lt;&gt;"111",'152-CT'!$J$8=TH!F4039),"x","")</f>
        <v/>
      </c>
      <c r="AC5179" s="75" t="str">
        <f>IF(AND(OR(LEFT(TH!N4039,2)="15",LEFT(TH!O4039,2)="15"),TK!$E$7=TH!F4039),"x","")</f>
        <v/>
      </c>
      <c r="AD5179" s="75" t="str">
        <f>IF(AND(N5179="1521",MONTH(C5179)='BK-NL'!$M$11),"x","")</f>
        <v/>
      </c>
      <c r="AE5179">
        <v>11</v>
      </c>
    </row>
    <row r="5180" spans="1:33" ht="16.5" customHeight="1">
      <c r="A5180" s="309" t="str">
        <f>IF(B5180&lt;&gt;"",IF(AND(B5180='IN-TC'!$S$4,OR(TH!N5168="1111",TH!O5168="1111")),TH!D5168,""),"")</f>
        <v/>
      </c>
      <c r="B5180" s="1244">
        <f t="shared" si="1346"/>
        <v>10</v>
      </c>
      <c r="C5180" s="292">
        <f t="shared" si="1347"/>
        <v>43028</v>
      </c>
      <c r="D5180" s="292" t="s">
        <v>902</v>
      </c>
      <c r="E5180" s="292">
        <v>43028</v>
      </c>
      <c r="F5180" s="67" t="s">
        <v>2582</v>
      </c>
      <c r="G5180" s="293" t="s">
        <v>1713</v>
      </c>
      <c r="H5180" s="294" t="s">
        <v>1771</v>
      </c>
      <c r="I5180" s="373"/>
      <c r="J5180" s="382"/>
      <c r="K5180" s="373"/>
      <c r="L5180" s="379"/>
      <c r="M5180" s="60">
        <v>132000</v>
      </c>
      <c r="N5180" s="295" t="s">
        <v>101</v>
      </c>
      <c r="O5180" s="295" t="s">
        <v>26</v>
      </c>
      <c r="P5180" s="75" t="str">
        <f>IF(AND('331-CT'!$E$7=TH!H4524,OR(N5180="331",O5180="331")),"x","")</f>
        <v/>
      </c>
      <c r="Q5180" s="75" t="str">
        <f>IF(AND(B5180='111'!$L$11,OR($N5180=$Q$7,$O5180=$Q$7)),"x","")</f>
        <v/>
      </c>
      <c r="R5180" s="75" t="str">
        <f>IF(AND($N5180=$Q$7,$B5180&lt;'111'!$L$11),"x","")</f>
        <v/>
      </c>
      <c r="S5180" s="75" t="str">
        <f>IF(AND($O5180=$Q$7,$B5180&lt;'111'!$L$11),"x","")</f>
        <v/>
      </c>
      <c r="T5180" s="75" t="str">
        <f>IF(ISERROR(FIND('112'!$M$9,G5180,1)),"",IF((AND(FIND('112'!$M$9,G5180,1)&gt;=1,B5180='112'!$K$9,OR($N5180='112'!$I$6,$O5180='112'!$I$6))),"x",""))</f>
        <v/>
      </c>
      <c r="U5180" s="75" t="str">
        <f>IF(ISERROR(FIND('112'!$M$9,G5180,1)),"",IF((AND(LEFT(G5180,2)=LEFT('112'!$M$9,2),B5180&lt;'112'!$K$9,$N5180='112'!$I$6)),"x",""))</f>
        <v/>
      </c>
      <c r="V5180" s="75" t="str">
        <f>IF(ISERROR(FIND('112'!$M$9,G5180,1)),"",IF((AND(RIGHT(G5180,2)=RIGHT('112'!$M$9,2),B5180&lt;'112'!$K$9,$O5180='112'!$I$6)),"x",""))</f>
        <v/>
      </c>
      <c r="W5180" s="75" t="str">
        <f>IF(AND('341-CT'!$H$9=H5180,OR(LEFT(N5180,3)=$W$7,LEFT(O5180,3)=$W$7)),"x","")</f>
        <v/>
      </c>
      <c r="X5180" s="75" t="str">
        <f>IF(OR(TH!N4524=TH!$X$7,O5180=TH!$X$7),"x","")</f>
        <v/>
      </c>
      <c r="Y5180" s="75" t="str">
        <f>IF(AND(OR(N5180="131",O5180="131"),H5180='131-CT'!$H$9),"x","")</f>
        <v/>
      </c>
      <c r="Z5180" s="75"/>
      <c r="AA5180" s="75" t="str">
        <f>IF(AND(MONTH(E5180)='IN-NX'!$J$5,'IN-NX'!$D$7=D5180),"x","")</f>
        <v/>
      </c>
      <c r="AB5180" s="75" t="str">
        <f>IF(AND(OR(LEFT(TH!N4524,2)="15",LEFT(TH!O4524,2)="15"),LEFT(TH!O4524,3)&lt;&gt;"111",'152-CT'!$J$8=TH!F4524),"x","")</f>
        <v/>
      </c>
      <c r="AC5180" s="75" t="str">
        <f>IF(AND(OR(LEFT(TH!N4524,2)="15",LEFT(TH!O4524,2)="15"),TK!$E$7=TH!F4524),"x","")</f>
        <v/>
      </c>
      <c r="AD5180" s="75" t="str">
        <f>IF(AND(N5180="1521",MONTH(C5180)='BK-NL'!$M$11),"x","")</f>
        <v/>
      </c>
    </row>
    <row r="5181" spans="1:33" ht="16.5" customHeight="1">
      <c r="A5181" s="309" t="str">
        <f>IF(B5181&lt;&gt;"",IF(AND(B5181='IN-TC'!$S$4,OR(TH!N5169="1111",TH!O5169="1111")),TH!D5169,""),"")</f>
        <v/>
      </c>
      <c r="B5181" s="1244">
        <f t="shared" si="1346"/>
        <v>10</v>
      </c>
      <c r="C5181" s="292">
        <f t="shared" si="1347"/>
        <v>43028</v>
      </c>
      <c r="D5181" s="292" t="s">
        <v>902</v>
      </c>
      <c r="E5181" s="292">
        <v>43028</v>
      </c>
      <c r="F5181" s="293" t="s">
        <v>2029</v>
      </c>
      <c r="G5181" s="293" t="s">
        <v>747</v>
      </c>
      <c r="H5181" s="294" t="s">
        <v>755</v>
      </c>
      <c r="I5181" s="373"/>
      <c r="J5181" s="382"/>
      <c r="K5181" s="373"/>
      <c r="L5181" s="379"/>
      <c r="M5181" s="60">
        <v>90000000</v>
      </c>
      <c r="N5181" s="295" t="s">
        <v>8</v>
      </c>
      <c r="O5181" s="295" t="s">
        <v>26</v>
      </c>
      <c r="P5181" s="75" t="str">
        <f>IF(AND('331-CT'!$E$7=TH!H5511,OR(N5181="331",O5181="331")),"x","")</f>
        <v/>
      </c>
      <c r="Q5181" s="75" t="str">
        <f>IF(AND(B5181='111'!$L$11,OR($N5181=$Q$7,$O5181=$Q$7)),"x","")</f>
        <v/>
      </c>
      <c r="R5181" s="75" t="str">
        <f>IF(AND($N5181=$Q$7,$B5181&lt;'111'!$L$11),"x","")</f>
        <v/>
      </c>
      <c r="S5181" s="75" t="str">
        <f>IF(AND($O5181=$Q$7,$B5181&lt;'111'!$L$11),"x","")</f>
        <v/>
      </c>
      <c r="T5181" s="75" t="str">
        <f>IF(ISERROR(FIND('112'!$M$9,G5181,1)),"",IF((AND(FIND('112'!$M$9,G5181,1)&gt;=1,B5181='112'!$K$9,OR($N5181='112'!$I$6,$O5181='112'!$I$6))),"x",""))</f>
        <v/>
      </c>
      <c r="U5181" s="75" t="str">
        <f>IF(ISERROR(FIND('112'!$M$9,G5181,1)),"",IF((AND(LEFT(G5181,2)=LEFT('112'!$M$9,2),B5181&lt;'112'!$K$9,$N5181='112'!$I$6)),"x",""))</f>
        <v/>
      </c>
      <c r="V5181" s="75" t="str">
        <f>IF(ISERROR(FIND('112'!$M$9,G5181,1)),"",IF((AND(RIGHT(G5181,2)=RIGHT('112'!$M$9,2),B5181&lt;'112'!$K$9,$O5181='112'!$I$6)),"x",""))</f>
        <v/>
      </c>
      <c r="W5181" s="75" t="str">
        <f>IF(AND('341-CT'!$H$9=H5181,OR(LEFT(N5181,3)=$W$7,LEFT(O5181,3)=$W$7)),"x","")</f>
        <v/>
      </c>
      <c r="X5181" s="75" t="str">
        <f>IF(OR(TH!N5511=TH!$X$7,O5181=TH!$X$7),"x","")</f>
        <v/>
      </c>
      <c r="Y5181" s="75" t="str">
        <f>IF(AND(OR(N5181="131",O5181="131"),H5181='131-CT'!$H$9),"x","")</f>
        <v/>
      </c>
      <c r="Z5181" s="75"/>
      <c r="AA5181" s="75" t="str">
        <f>IF(AND(MONTH(E5181)='IN-NX'!$J$5,'IN-NX'!$D$7=D5181),"x","")</f>
        <v/>
      </c>
      <c r="AB5181" s="75" t="str">
        <f>IF(AND(OR(LEFT(TH!N5511,2)="15",LEFT(TH!O5511,2)="15"),LEFT(TH!O5511,3)&lt;&gt;"111",'152-CT'!$J$8=TH!F5511),"x","")</f>
        <v/>
      </c>
      <c r="AC5181" s="75" t="str">
        <f>IF(AND(OR(LEFT(TH!N5511,2)="15",LEFT(TH!O5511,2)="15"),TK!$E$7=TH!F5511),"x","")</f>
        <v/>
      </c>
      <c r="AD5181" s="75" t="str">
        <f>IF(AND(N5181="1521",MONTH(C5181)='BK-NL'!$M$11),"x","")</f>
        <v/>
      </c>
    </row>
    <row r="5182" spans="1:33" ht="16.5" customHeight="1">
      <c r="A5182" s="309" t="str">
        <f>IF(B5182&lt;&gt;"",IF(AND(B5182='IN-TC'!$S$4,OR(TH!N5170="1111",TH!O5170="1111")),TH!D5170,""),"")</f>
        <v/>
      </c>
      <c r="B5182" s="1244">
        <f t="shared" si="1346"/>
        <v>10</v>
      </c>
      <c r="C5182" s="292">
        <f t="shared" si="1347"/>
        <v>43028</v>
      </c>
      <c r="D5182" s="292" t="s">
        <v>902</v>
      </c>
      <c r="E5182" s="292">
        <v>43028</v>
      </c>
      <c r="F5182" s="293" t="s">
        <v>1307</v>
      </c>
      <c r="G5182" s="293" t="s">
        <v>747</v>
      </c>
      <c r="H5182" s="294" t="s">
        <v>835</v>
      </c>
      <c r="I5182" s="373"/>
      <c r="J5182" s="382"/>
      <c r="K5182" s="373"/>
      <c r="L5182" s="379"/>
      <c r="M5182" s="60">
        <v>10000</v>
      </c>
      <c r="N5182" s="295" t="s">
        <v>101</v>
      </c>
      <c r="O5182" s="295" t="s">
        <v>26</v>
      </c>
      <c r="P5182" s="75" t="str">
        <f>IF(AND('331-CT'!$E$7=TH!H5512,OR(N5182="331",O5182="331")),"x","")</f>
        <v/>
      </c>
      <c r="Q5182" s="75" t="str">
        <f>IF(AND(B5182='111'!$L$11,OR($N5182=$Q$7,$O5182=$Q$7)),"x","")</f>
        <v/>
      </c>
      <c r="R5182" s="75" t="str">
        <f>IF(AND($N5182=$Q$7,$B5182&lt;'111'!$L$11),"x","")</f>
        <v/>
      </c>
      <c r="S5182" s="75" t="str">
        <f>IF(AND($O5182=$Q$7,$B5182&lt;'111'!$L$11),"x","")</f>
        <v/>
      </c>
      <c r="T5182" s="75" t="str">
        <f>IF(ISERROR(FIND('112'!$M$9,G5182,1)),"",IF((AND(FIND('112'!$M$9,G5182,1)&gt;=1,B5182='112'!$K$9,OR($N5182='112'!$I$6,$O5182='112'!$I$6))),"x",""))</f>
        <v/>
      </c>
      <c r="U5182" s="75" t="str">
        <f>IF(ISERROR(FIND('112'!$M$9,G5182,1)),"",IF((AND(LEFT(G5182,2)=LEFT('112'!$M$9,2),B5182&lt;'112'!$K$9,$N5182='112'!$I$6)),"x",""))</f>
        <v/>
      </c>
      <c r="V5182" s="75" t="str">
        <f>IF(ISERROR(FIND('112'!$M$9,G5182,1)),"",IF((AND(RIGHT(G5182,2)=RIGHT('112'!$M$9,2),B5182&lt;'112'!$K$9,$O5182='112'!$I$6)),"x",""))</f>
        <v/>
      </c>
      <c r="W5182" s="75" t="str">
        <f>IF(AND('341-CT'!$H$9=H5182,OR(LEFT(N5182,3)=$W$7,LEFT(O5182,3)=$W$7)),"x","")</f>
        <v/>
      </c>
      <c r="X5182" s="75" t="str">
        <f>IF(OR(TH!N5512=TH!$X$7,O5182=TH!$X$7),"x","")</f>
        <v/>
      </c>
      <c r="Y5182" s="75" t="str">
        <f>IF(AND(OR(N5182="131",O5182="131"),H5182='131-CT'!$H$9),"x","")</f>
        <v/>
      </c>
      <c r="Z5182" s="75"/>
      <c r="AA5182" s="75" t="str">
        <f>IF(AND(MONTH(E5182)='IN-NX'!$J$5,'IN-NX'!$D$7=D5182),"x","")</f>
        <v/>
      </c>
      <c r="AB5182" s="75" t="str">
        <f>IF(AND(OR(LEFT(TH!N5512,2)="15",LEFT(TH!O5512,2)="15"),LEFT(TH!O5512,3)&lt;&gt;"111",'152-CT'!$J$8=TH!F5512),"x","")</f>
        <v/>
      </c>
      <c r="AC5182" s="75" t="str">
        <f>IF(AND(OR(LEFT(TH!N5512,2)="15",LEFT(TH!O5512,2)="15"),TK!$E$7=TH!F5512),"x","")</f>
        <v/>
      </c>
      <c r="AD5182" s="75" t="str">
        <f>IF(AND(N5182="1521",MONTH(C5182)='BK-NL'!$M$11),"x","")</f>
        <v/>
      </c>
      <c r="AE5182">
        <v>10</v>
      </c>
    </row>
    <row r="5183" spans="1:33" ht="16.5" customHeight="1">
      <c r="A5183" s="309" t="str">
        <f>IF(B5183&lt;&gt;"",IF(AND(B5183='IN-TC'!$S$4,OR(TH!N5171="1111",TH!O5171="1111")),TH!D5171,""),"")</f>
        <v/>
      </c>
      <c r="B5183" s="1244">
        <f t="shared" si="1346"/>
        <v>10</v>
      </c>
      <c r="C5183" s="292">
        <f t="shared" si="1347"/>
        <v>43028</v>
      </c>
      <c r="D5183" s="292" t="s">
        <v>902</v>
      </c>
      <c r="E5183" s="292">
        <v>43028</v>
      </c>
      <c r="F5183" s="293" t="s">
        <v>1314</v>
      </c>
      <c r="G5183" s="293" t="s">
        <v>747</v>
      </c>
      <c r="H5183" s="294" t="s">
        <v>835</v>
      </c>
      <c r="I5183" s="373"/>
      <c r="J5183" s="382"/>
      <c r="K5183" s="373"/>
      <c r="L5183" s="379"/>
      <c r="M5183" s="60">
        <v>1000</v>
      </c>
      <c r="N5183" s="295" t="s">
        <v>9</v>
      </c>
      <c r="O5183" s="295" t="s">
        <v>26</v>
      </c>
      <c r="P5183" s="75" t="str">
        <f>IF(AND('331-CT'!$E$7=TH!H5513,OR(N5183="331",O5183="331")),"x","")</f>
        <v/>
      </c>
      <c r="Q5183" s="75" t="str">
        <f>IF(AND(B5183='111'!$L$11,OR($N5183=$Q$7,$O5183=$Q$7)),"x","")</f>
        <v/>
      </c>
      <c r="R5183" s="75" t="str">
        <f>IF(AND($N5183=$Q$7,$B5183&lt;'111'!$L$11),"x","")</f>
        <v/>
      </c>
      <c r="S5183" s="75" t="str">
        <f>IF(AND($O5183=$Q$7,$B5183&lt;'111'!$L$11),"x","")</f>
        <v/>
      </c>
      <c r="T5183" s="75" t="str">
        <f>IF(ISERROR(FIND('112'!$M$9,G5183,1)),"",IF((AND(FIND('112'!$M$9,G5183,1)&gt;=1,B5183='112'!$K$9,OR($N5183='112'!$I$6,$O5183='112'!$I$6))),"x",""))</f>
        <v/>
      </c>
      <c r="U5183" s="75" t="str">
        <f>IF(ISERROR(FIND('112'!$M$9,G5183,1)),"",IF((AND(LEFT(G5183,2)=LEFT('112'!$M$9,2),B5183&lt;'112'!$K$9,$N5183='112'!$I$6)),"x",""))</f>
        <v/>
      </c>
      <c r="V5183" s="75" t="str">
        <f>IF(ISERROR(FIND('112'!$M$9,G5183,1)),"",IF((AND(RIGHT(G5183,2)=RIGHT('112'!$M$9,2),B5183&lt;'112'!$K$9,$O5183='112'!$I$6)),"x",""))</f>
        <v/>
      </c>
      <c r="W5183" s="75" t="str">
        <f>IF(AND('341-CT'!$H$9=H5183,OR(LEFT(N5183,3)=$W$7,LEFT(O5183,3)=$W$7)),"x","")</f>
        <v/>
      </c>
      <c r="X5183" s="75" t="str">
        <f>IF(OR(TH!N5513=TH!$X$7,O5183=TH!$X$7),"x","")</f>
        <v/>
      </c>
      <c r="Y5183" s="75" t="str">
        <f>IF(AND(OR(N5183="131",O5183="131"),H5183='131-CT'!$H$9),"x","")</f>
        <v/>
      </c>
      <c r="Z5183" s="75"/>
      <c r="AA5183" s="75" t="str">
        <f>IF(AND(MONTH(E5183)='IN-NX'!$J$5,'IN-NX'!$D$7=D5183),"x","")</f>
        <v/>
      </c>
      <c r="AB5183" s="75" t="str">
        <f>IF(AND(OR(LEFT(TH!N5513,2)="15",LEFT(TH!O5513,2)="15"),LEFT(TH!O5513,3)&lt;&gt;"111",'152-CT'!$J$8=TH!F5513),"x","")</f>
        <v/>
      </c>
      <c r="AC5183" s="75" t="str">
        <f>IF(AND(OR(LEFT(TH!N5513,2)="15",LEFT(TH!O5513,2)="15"),TK!$E$7=TH!F5513),"x","")</f>
        <v/>
      </c>
      <c r="AD5183" s="75" t="str">
        <f>IF(AND(N5183="1521",MONTH(C5183)='BK-NL'!$M$11),"x","")</f>
        <v/>
      </c>
      <c r="AE5183">
        <v>10</v>
      </c>
    </row>
    <row r="5184" spans="1:33" ht="16.5" customHeight="1">
      <c r="A5184" s="309" t="str">
        <f>IF(B5184&lt;&gt;"",IF(AND(B5184='IN-TC'!$S$4,OR(TH!N5172="1111",TH!O5172="1111")),TH!D5172,""),"")</f>
        <v/>
      </c>
      <c r="B5184" s="1244">
        <f t="shared" si="1346"/>
        <v>10</v>
      </c>
      <c r="C5184" s="292">
        <f t="shared" si="1347"/>
        <v>43028</v>
      </c>
      <c r="D5184" s="292" t="s">
        <v>902</v>
      </c>
      <c r="E5184" s="292">
        <v>43028</v>
      </c>
      <c r="F5184" s="293" t="s">
        <v>897</v>
      </c>
      <c r="G5184" s="293" t="s">
        <v>747</v>
      </c>
      <c r="H5184" s="294" t="s">
        <v>754</v>
      </c>
      <c r="I5184" s="373"/>
      <c r="J5184" s="382"/>
      <c r="K5184" s="373"/>
      <c r="L5184" s="379"/>
      <c r="M5184" s="60">
        <v>42439320</v>
      </c>
      <c r="N5184" s="295" t="s">
        <v>8</v>
      </c>
      <c r="O5184" s="295" t="s">
        <v>26</v>
      </c>
      <c r="P5184" s="75" t="str">
        <f>IF(AND('331-CT'!$E$7=TH!H5514,OR(N5184="331",O5184="331")),"x","")</f>
        <v/>
      </c>
      <c r="Q5184" s="75" t="str">
        <f>IF(AND(B5184='111'!$L$11,OR($N5184=$Q$7,$O5184=$Q$7)),"x","")</f>
        <v/>
      </c>
      <c r="R5184" s="75" t="str">
        <f>IF(AND($N5184=$Q$7,$B5184&lt;'111'!$L$11),"x","")</f>
        <v/>
      </c>
      <c r="S5184" s="75" t="str">
        <f>IF(AND($O5184=$Q$7,$B5184&lt;'111'!$L$11),"x","")</f>
        <v/>
      </c>
      <c r="T5184" s="75" t="str">
        <f>IF(ISERROR(FIND('112'!$M$9,G5184,1)),"",IF((AND(FIND('112'!$M$9,G5184,1)&gt;=1,B5184='112'!$K$9,OR($N5184='112'!$I$6,$O5184='112'!$I$6))),"x",""))</f>
        <v/>
      </c>
      <c r="U5184" s="75" t="str">
        <f>IF(ISERROR(FIND('112'!$M$9,G5184,1)),"",IF((AND(LEFT(G5184,2)=LEFT('112'!$M$9,2),B5184&lt;'112'!$K$9,$N5184='112'!$I$6)),"x",""))</f>
        <v/>
      </c>
      <c r="V5184" s="75" t="str">
        <f>IF(ISERROR(FIND('112'!$M$9,G5184,1)),"",IF((AND(RIGHT(G5184,2)=RIGHT('112'!$M$9,2),B5184&lt;'112'!$K$9,$O5184='112'!$I$6)),"x",""))</f>
        <v/>
      </c>
      <c r="W5184" s="75" t="str">
        <f>IF(AND('341-CT'!$H$9=H5184,OR(LEFT(N5184,3)=$W$7,LEFT(O5184,3)=$W$7)),"x","")</f>
        <v/>
      </c>
      <c r="X5184" s="75" t="str">
        <f>IF(OR(TH!N5514=TH!$X$7,O5184=TH!$X$7),"x","")</f>
        <v/>
      </c>
      <c r="Y5184" s="75" t="str">
        <f>IF(AND(OR(N5184="131",O5184="131"),H5184='131-CT'!$H$9),"x","")</f>
        <v/>
      </c>
      <c r="Z5184" s="75"/>
      <c r="AA5184" s="75" t="str">
        <f>IF(AND(MONTH(E5184)='IN-NX'!$J$5,'IN-NX'!$D$7=D5184),"x","")</f>
        <v/>
      </c>
      <c r="AB5184" s="75" t="str">
        <f>IF(AND(OR(LEFT(TH!N5514,2)="15",LEFT(TH!O5514,2)="15"),LEFT(TH!O5514,3)&lt;&gt;"111",'152-CT'!$J$8=TH!F5514),"x","")</f>
        <v/>
      </c>
      <c r="AC5184" s="75" t="str">
        <f>IF(AND(OR(LEFT(TH!N5514,2)="15",LEFT(TH!O5514,2)="15"),TK!$E$7=TH!F5514),"x","")</f>
        <v/>
      </c>
      <c r="AD5184" s="75" t="str">
        <f>IF(AND(N5184="1521",MONTH(C5184)='BK-NL'!$M$11),"x","")</f>
        <v/>
      </c>
    </row>
    <row r="5185" spans="1:31" ht="16.5" customHeight="1">
      <c r="A5185" s="309" t="str">
        <f>IF(B5185&lt;&gt;"",IF(AND(B5185='IN-TC'!$S$4,OR(TH!N5173="1111",TH!O5173="1111")),TH!D5173,""),"")</f>
        <v/>
      </c>
      <c r="B5185" s="1244">
        <f t="shared" si="1346"/>
        <v>10</v>
      </c>
      <c r="C5185" s="292">
        <f t="shared" si="1347"/>
        <v>43028</v>
      </c>
      <c r="D5185" s="292" t="s">
        <v>902</v>
      </c>
      <c r="E5185" s="292">
        <v>43028</v>
      </c>
      <c r="F5185" s="293" t="s">
        <v>1307</v>
      </c>
      <c r="G5185" s="293" t="s">
        <v>747</v>
      </c>
      <c r="H5185" s="294" t="s">
        <v>835</v>
      </c>
      <c r="I5185" s="373"/>
      <c r="J5185" s="382"/>
      <c r="K5185" s="373"/>
      <c r="L5185" s="379"/>
      <c r="M5185" s="60">
        <v>10000</v>
      </c>
      <c r="N5185" s="295" t="s">
        <v>101</v>
      </c>
      <c r="O5185" s="295" t="s">
        <v>26</v>
      </c>
      <c r="P5185" s="75" t="str">
        <f>IF(AND('331-CT'!$E$7=TH!H5515,OR(N5185="331",O5185="331")),"x","")</f>
        <v/>
      </c>
      <c r="Q5185" s="75" t="str">
        <f>IF(AND(B5185='111'!$L$11,OR($N5185=$Q$7,$O5185=$Q$7)),"x","")</f>
        <v/>
      </c>
      <c r="R5185" s="75" t="str">
        <f>IF(AND($N5185=$Q$7,$B5185&lt;'111'!$L$11),"x","")</f>
        <v/>
      </c>
      <c r="S5185" s="75" t="str">
        <f>IF(AND($O5185=$Q$7,$B5185&lt;'111'!$L$11),"x","")</f>
        <v/>
      </c>
      <c r="T5185" s="75" t="str">
        <f>IF(ISERROR(FIND('112'!$M$9,G5185,1)),"",IF((AND(FIND('112'!$M$9,G5185,1)&gt;=1,B5185='112'!$K$9,OR($N5185='112'!$I$6,$O5185='112'!$I$6))),"x",""))</f>
        <v/>
      </c>
      <c r="U5185" s="75" t="str">
        <f>IF(ISERROR(FIND('112'!$M$9,G5185,1)),"",IF((AND(LEFT(G5185,2)=LEFT('112'!$M$9,2),B5185&lt;'112'!$K$9,$N5185='112'!$I$6)),"x",""))</f>
        <v/>
      </c>
      <c r="V5185" s="75" t="str">
        <f>IF(ISERROR(FIND('112'!$M$9,G5185,1)),"",IF((AND(RIGHT(G5185,2)=RIGHT('112'!$M$9,2),B5185&lt;'112'!$K$9,$O5185='112'!$I$6)),"x",""))</f>
        <v/>
      </c>
      <c r="W5185" s="75" t="str">
        <f>IF(AND('341-CT'!$H$9=H5185,OR(LEFT(N5185,3)=$W$7,LEFT(O5185,3)=$W$7)),"x","")</f>
        <v/>
      </c>
      <c r="X5185" s="75" t="str">
        <f>IF(OR(TH!N5515=TH!$X$7,O5185=TH!$X$7),"x","")</f>
        <v/>
      </c>
      <c r="Y5185" s="75" t="str">
        <f>IF(AND(OR(N5185="131",O5185="131"),H5185='131-CT'!$H$9),"x","")</f>
        <v/>
      </c>
      <c r="Z5185" s="75"/>
      <c r="AA5185" s="75" t="str">
        <f>IF(AND(MONTH(E5185)='IN-NX'!$J$5,'IN-NX'!$D$7=D5185),"x","")</f>
        <v/>
      </c>
      <c r="AB5185" s="75" t="str">
        <f>IF(AND(OR(LEFT(TH!N5515,2)="15",LEFT(TH!O5515,2)="15"),LEFT(TH!O5515,3)&lt;&gt;"111",'152-CT'!$J$8=TH!F5515),"x","")</f>
        <v/>
      </c>
      <c r="AC5185" s="75" t="str">
        <f>IF(AND(OR(LEFT(TH!N5515,2)="15",LEFT(TH!O5515,2)="15"),TK!$E$7=TH!F5515),"x","")</f>
        <v/>
      </c>
      <c r="AD5185" s="75" t="str">
        <f>IF(AND(N5185="1521",MONTH(C5185)='BK-NL'!$M$11),"x","")</f>
        <v/>
      </c>
      <c r="AE5185">
        <v>10</v>
      </c>
    </row>
    <row r="5186" spans="1:31" ht="16.5" customHeight="1">
      <c r="A5186" s="309" t="str">
        <f>IF(B5186&lt;&gt;"",IF(AND(B5186='IN-TC'!$S$4,OR(TH!N5174="1111",TH!O5174="1111")),TH!D5174,""),"")</f>
        <v/>
      </c>
      <c r="B5186" s="1244">
        <f t="shared" si="1346"/>
        <v>10</v>
      </c>
      <c r="C5186" s="292">
        <f t="shared" si="1347"/>
        <v>43028</v>
      </c>
      <c r="D5186" s="292" t="s">
        <v>902</v>
      </c>
      <c r="E5186" s="292">
        <v>43028</v>
      </c>
      <c r="F5186" s="293" t="s">
        <v>1314</v>
      </c>
      <c r="G5186" s="293" t="s">
        <v>747</v>
      </c>
      <c r="H5186" s="294" t="s">
        <v>835</v>
      </c>
      <c r="I5186" s="373"/>
      <c r="J5186" s="382"/>
      <c r="K5186" s="373"/>
      <c r="L5186" s="379"/>
      <c r="M5186" s="60">
        <v>1000</v>
      </c>
      <c r="N5186" s="295" t="s">
        <v>9</v>
      </c>
      <c r="O5186" s="295" t="s">
        <v>26</v>
      </c>
      <c r="P5186" s="75" t="str">
        <f>IF(AND('331-CT'!$E$7=TH!H5522,OR(N5186="331",O5186="331")),"x","")</f>
        <v/>
      </c>
      <c r="Q5186" s="75" t="str">
        <f>IF(AND(B5186='111'!$L$11,OR($N5186=$Q$7,$O5186=$Q$7)),"x","")</f>
        <v/>
      </c>
      <c r="R5186" s="75" t="str">
        <f>IF(AND($N5186=$Q$7,$B5186&lt;'111'!$L$11),"x","")</f>
        <v/>
      </c>
      <c r="S5186" s="75" t="str">
        <f>IF(AND($O5186=$Q$7,$B5186&lt;'111'!$L$11),"x","")</f>
        <v/>
      </c>
      <c r="T5186" s="75" t="str">
        <f>IF(ISERROR(FIND('112'!$M$9,G5186,1)),"",IF((AND(FIND('112'!$M$9,G5186,1)&gt;=1,B5186='112'!$K$9,OR($N5186='112'!$I$6,$O5186='112'!$I$6))),"x",""))</f>
        <v/>
      </c>
      <c r="U5186" s="75" t="str">
        <f>IF(ISERROR(FIND('112'!$M$9,G5186,1)),"",IF((AND(LEFT(G5186,2)=LEFT('112'!$M$9,2),B5186&lt;'112'!$K$9,$N5186='112'!$I$6)),"x",""))</f>
        <v/>
      </c>
      <c r="V5186" s="75" t="str">
        <f>IF(ISERROR(FIND('112'!$M$9,G5186,1)),"",IF((AND(RIGHT(G5186,2)=RIGHT('112'!$M$9,2),B5186&lt;'112'!$K$9,$O5186='112'!$I$6)),"x",""))</f>
        <v/>
      </c>
      <c r="W5186" s="75" t="str">
        <f>IF(AND('341-CT'!$H$9=H5186,OR(LEFT(N5186,3)=$W$7,LEFT(O5186,3)=$W$7)),"x","")</f>
        <v/>
      </c>
      <c r="X5186" s="75" t="str">
        <f>IF(OR(TH!N5522=TH!$X$7,O5186=TH!$X$7),"x","")</f>
        <v/>
      </c>
      <c r="Y5186" s="75" t="str">
        <f>IF(AND(OR(N5186="131",O5186="131"),H5186='131-CT'!$H$9),"x","")</f>
        <v/>
      </c>
      <c r="Z5186" s="75"/>
      <c r="AA5186" s="75" t="str">
        <f>IF(AND(MONTH(E5186)='IN-NX'!$J$5,'IN-NX'!$D$7=D5186),"x","")</f>
        <v/>
      </c>
      <c r="AB5186" s="75" t="str">
        <f>IF(AND(OR(LEFT(TH!N5522,2)="15",LEFT(TH!O5522,2)="15"),LEFT(TH!O5522,3)&lt;&gt;"111",'152-CT'!$J$8=TH!F5522),"x","")</f>
        <v/>
      </c>
      <c r="AC5186" s="75" t="str">
        <f>IF(AND(OR(LEFT(TH!N5522,2)="15",LEFT(TH!O5522,2)="15"),TK!$E$7=TH!F5522),"x","")</f>
        <v/>
      </c>
      <c r="AD5186" s="75" t="str">
        <f>IF(AND(N5186="1521",MONTH(C5186)='BK-NL'!$M$11),"x","")</f>
        <v/>
      </c>
      <c r="AE5186">
        <v>10</v>
      </c>
    </row>
    <row r="5187" spans="1:31" ht="16.5" customHeight="1">
      <c r="A5187" s="309" t="str">
        <f>IF(B5187&lt;&gt;"",IF(AND(B5187='IN-TC'!$S$4,OR(TH!N5175="1111",TH!O5175="1111")),TH!D5175,""),"")</f>
        <v/>
      </c>
      <c r="B5187" s="1244">
        <f t="shared" si="1346"/>
        <v>10</v>
      </c>
      <c r="C5187" s="292">
        <f t="shared" si="1347"/>
        <v>43028</v>
      </c>
      <c r="D5187" s="292" t="s">
        <v>902</v>
      </c>
      <c r="E5187" s="292">
        <v>43028</v>
      </c>
      <c r="F5187" s="293" t="s">
        <v>2484</v>
      </c>
      <c r="G5187" s="293" t="s">
        <v>747</v>
      </c>
      <c r="H5187" s="294" t="s">
        <v>1450</v>
      </c>
      <c r="I5187" s="373"/>
      <c r="J5187" s="382"/>
      <c r="K5187" s="373"/>
      <c r="L5187" s="379"/>
      <c r="M5187" s="60">
        <v>102204753</v>
      </c>
      <c r="N5187" s="295" t="s">
        <v>8</v>
      </c>
      <c r="O5187" s="295" t="s">
        <v>26</v>
      </c>
      <c r="P5187" s="75" t="str">
        <f>IF(AND('331-CT'!$E$7=TH!H5523,OR(N5187="331",O5187="331")),"x","")</f>
        <v/>
      </c>
      <c r="Q5187" s="75" t="str">
        <f>IF(AND(B5187='111'!$L$11,OR($N5187=$Q$7,$O5187=$Q$7)),"x","")</f>
        <v/>
      </c>
      <c r="R5187" s="75" t="str">
        <f>IF(AND($N5187=$Q$7,$B5187&lt;'111'!$L$11),"x","")</f>
        <v/>
      </c>
      <c r="S5187" s="75" t="str">
        <f>IF(AND($O5187=$Q$7,$B5187&lt;'111'!$L$11),"x","")</f>
        <v/>
      </c>
      <c r="T5187" s="75" t="str">
        <f>IF(ISERROR(FIND('112'!$M$9,G5187,1)),"",IF((AND(FIND('112'!$M$9,G5187,1)&gt;=1,B5187='112'!$K$9,OR($N5187='112'!$I$6,$O5187='112'!$I$6))),"x",""))</f>
        <v/>
      </c>
      <c r="U5187" s="75" t="str">
        <f>IF(ISERROR(FIND('112'!$M$9,G5187,1)),"",IF((AND(LEFT(G5187,2)=LEFT('112'!$M$9,2),B5187&lt;'112'!$K$9,$N5187='112'!$I$6)),"x",""))</f>
        <v/>
      </c>
      <c r="V5187" s="75" t="str">
        <f>IF(ISERROR(FIND('112'!$M$9,G5187,1)),"",IF((AND(RIGHT(G5187,2)=RIGHT('112'!$M$9,2),B5187&lt;'112'!$K$9,$O5187='112'!$I$6)),"x",""))</f>
        <v/>
      </c>
      <c r="W5187" s="75" t="str">
        <f>IF(AND('341-CT'!$H$9=H5187,OR(LEFT(N5187,3)=$W$7,LEFT(O5187,3)=$W$7)),"x","")</f>
        <v/>
      </c>
      <c r="X5187" s="75" t="str">
        <f>IF(OR(TH!N5523=TH!$X$7,O5187=TH!$X$7),"x","")</f>
        <v/>
      </c>
      <c r="Y5187" s="75" t="str">
        <f>IF(AND(OR(N5187="131",O5187="131"),H5187='131-CT'!$H$9),"x","")</f>
        <v/>
      </c>
      <c r="Z5187" s="75"/>
      <c r="AA5187" s="75" t="str">
        <f>IF(AND(MONTH(E5187)='IN-NX'!$J$5,'IN-NX'!$D$7=D5187),"x","")</f>
        <v/>
      </c>
      <c r="AB5187" s="75" t="str">
        <f>IF(AND(OR(LEFT(TH!N5523,2)="15",LEFT(TH!O5523,2)="15"),LEFT(TH!O5523,3)&lt;&gt;"111",'152-CT'!$J$8=TH!F5523),"x","")</f>
        <v/>
      </c>
      <c r="AC5187" s="75" t="str">
        <f>IF(AND(OR(LEFT(TH!N5523,2)="15",LEFT(TH!O5523,2)="15"),TK!$E$7=TH!F5523),"x","")</f>
        <v/>
      </c>
      <c r="AD5187" s="75" t="str">
        <f>IF(AND(N5187="1521",MONTH(C5187)='BK-NL'!$M$11),"x","")</f>
        <v/>
      </c>
    </row>
    <row r="5188" spans="1:31" ht="16.5" customHeight="1">
      <c r="A5188" s="309" t="str">
        <f>IF(B5188&lt;&gt;"",IF(AND(B5188='IN-TC'!$S$4,OR(TH!N5176="1111",TH!O5176="1111")),TH!D5176,""),"")</f>
        <v/>
      </c>
      <c r="B5188" s="1244">
        <f t="shared" si="1346"/>
        <v>10</v>
      </c>
      <c r="C5188" s="292">
        <f t="shared" si="1347"/>
        <v>43028</v>
      </c>
      <c r="D5188" s="292" t="s">
        <v>902</v>
      </c>
      <c r="E5188" s="292">
        <v>43028</v>
      </c>
      <c r="F5188" s="293" t="s">
        <v>1307</v>
      </c>
      <c r="G5188" s="293" t="s">
        <v>747</v>
      </c>
      <c r="H5188" s="294" t="s">
        <v>835</v>
      </c>
      <c r="I5188" s="373"/>
      <c r="J5188" s="382"/>
      <c r="K5188" s="373"/>
      <c r="L5188" s="379"/>
      <c r="M5188" s="60">
        <v>10000</v>
      </c>
      <c r="N5188" s="295" t="s">
        <v>101</v>
      </c>
      <c r="O5188" s="295" t="s">
        <v>26</v>
      </c>
      <c r="P5188" s="75" t="str">
        <f>IF(AND('331-CT'!$E$7=TH!H5524,OR(N5188="331",O5188="331")),"x","")</f>
        <v/>
      </c>
      <c r="Q5188" s="75" t="str">
        <f>IF(AND(B5188='111'!$L$11,OR($N5188=$Q$7,$O5188=$Q$7)),"x","")</f>
        <v/>
      </c>
      <c r="R5188" s="75" t="str">
        <f>IF(AND($N5188=$Q$7,$B5188&lt;'111'!$L$11),"x","")</f>
        <v/>
      </c>
      <c r="S5188" s="75" t="str">
        <f>IF(AND($O5188=$Q$7,$B5188&lt;'111'!$L$11),"x","")</f>
        <v/>
      </c>
      <c r="T5188" s="75" t="str">
        <f>IF(ISERROR(FIND('112'!$M$9,G5188,1)),"",IF((AND(FIND('112'!$M$9,G5188,1)&gt;=1,B5188='112'!$K$9,OR($N5188='112'!$I$6,$O5188='112'!$I$6))),"x",""))</f>
        <v/>
      </c>
      <c r="U5188" s="75" t="str">
        <f>IF(ISERROR(FIND('112'!$M$9,G5188,1)),"",IF((AND(LEFT(G5188,2)=LEFT('112'!$M$9,2),B5188&lt;'112'!$K$9,$N5188='112'!$I$6)),"x",""))</f>
        <v/>
      </c>
      <c r="V5188" s="75" t="str">
        <f>IF(ISERROR(FIND('112'!$M$9,G5188,1)),"",IF((AND(RIGHT(G5188,2)=RIGHT('112'!$M$9,2),B5188&lt;'112'!$K$9,$O5188='112'!$I$6)),"x",""))</f>
        <v/>
      </c>
      <c r="W5188" s="75" t="str">
        <f>IF(AND('341-CT'!$H$9=H5188,OR(LEFT(N5188,3)=$W$7,LEFT(O5188,3)=$W$7)),"x","")</f>
        <v/>
      </c>
      <c r="X5188" s="75" t="str">
        <f>IF(OR(TH!N5524=TH!$X$7,O5188=TH!$X$7),"x","")</f>
        <v/>
      </c>
      <c r="Y5188" s="75" t="str">
        <f>IF(AND(OR(N5188="131",O5188="131"),H5188='131-CT'!$H$9),"x","")</f>
        <v/>
      </c>
      <c r="Z5188" s="75"/>
      <c r="AA5188" s="75" t="str">
        <f>IF(AND(MONTH(E5188)='IN-NX'!$J$5,'IN-NX'!$D$7=D5188),"x","")</f>
        <v/>
      </c>
      <c r="AB5188" s="75" t="str">
        <f>IF(AND(OR(LEFT(TH!N5524,2)="15",LEFT(TH!O5524,2)="15"),LEFT(TH!O5524,3)&lt;&gt;"111",'152-CT'!$J$8=TH!F5524),"x","")</f>
        <v/>
      </c>
      <c r="AC5188" s="75" t="str">
        <f>IF(AND(OR(LEFT(TH!N5524,2)="15",LEFT(TH!O5524,2)="15"),TK!$E$7=TH!F5524),"x","")</f>
        <v/>
      </c>
      <c r="AD5188" s="75" t="str">
        <f>IF(AND(N5188="1521",MONTH(C5188)='BK-NL'!$M$11),"x","")</f>
        <v/>
      </c>
      <c r="AE5188">
        <v>10</v>
      </c>
    </row>
    <row r="5189" spans="1:31" ht="16.5" customHeight="1">
      <c r="A5189" s="309" t="str">
        <f>IF(B5189&lt;&gt;"",IF(AND(B5189='IN-TC'!$S$4,OR(TH!N5177="1111",TH!O5177="1111")),TH!D5177,""),"")</f>
        <v/>
      </c>
      <c r="B5189" s="1244">
        <f t="shared" si="1346"/>
        <v>10</v>
      </c>
      <c r="C5189" s="292">
        <f t="shared" si="1347"/>
        <v>43028</v>
      </c>
      <c r="D5189" s="292" t="s">
        <v>902</v>
      </c>
      <c r="E5189" s="292">
        <v>43028</v>
      </c>
      <c r="F5189" s="293" t="s">
        <v>1314</v>
      </c>
      <c r="G5189" s="293" t="s">
        <v>747</v>
      </c>
      <c r="H5189" s="294" t="s">
        <v>835</v>
      </c>
      <c r="I5189" s="373"/>
      <c r="J5189" s="382"/>
      <c r="K5189" s="373"/>
      <c r="L5189" s="379"/>
      <c r="M5189" s="60">
        <v>1000</v>
      </c>
      <c r="N5189" s="295" t="s">
        <v>9</v>
      </c>
      <c r="O5189" s="295" t="s">
        <v>26</v>
      </c>
      <c r="P5189" s="75" t="str">
        <f>IF(AND('331-CT'!$E$7=TH!H5525,OR(N5189="331",O5189="331")),"x","")</f>
        <v/>
      </c>
      <c r="Q5189" s="75" t="str">
        <f>IF(AND(B5189='111'!$L$11,OR($N5189=$Q$7,$O5189=$Q$7)),"x","")</f>
        <v/>
      </c>
      <c r="R5189" s="75" t="str">
        <f>IF(AND($N5189=$Q$7,$B5189&lt;'111'!$L$11),"x","")</f>
        <v/>
      </c>
      <c r="S5189" s="75" t="str">
        <f>IF(AND($O5189=$Q$7,$B5189&lt;'111'!$L$11),"x","")</f>
        <v/>
      </c>
      <c r="T5189" s="75" t="str">
        <f>IF(ISERROR(FIND('112'!$M$9,G5189,1)),"",IF((AND(FIND('112'!$M$9,G5189,1)&gt;=1,B5189='112'!$K$9,OR($N5189='112'!$I$6,$O5189='112'!$I$6))),"x",""))</f>
        <v/>
      </c>
      <c r="U5189" s="75" t="str">
        <f>IF(ISERROR(FIND('112'!$M$9,G5189,1)),"",IF((AND(LEFT(G5189,2)=LEFT('112'!$M$9,2),B5189&lt;'112'!$K$9,$N5189='112'!$I$6)),"x",""))</f>
        <v/>
      </c>
      <c r="V5189" s="75" t="str">
        <f>IF(ISERROR(FIND('112'!$M$9,G5189,1)),"",IF((AND(RIGHT(G5189,2)=RIGHT('112'!$M$9,2),B5189&lt;'112'!$K$9,$O5189='112'!$I$6)),"x",""))</f>
        <v/>
      </c>
      <c r="W5189" s="75" t="str">
        <f>IF(AND('341-CT'!$H$9=H5189,OR(LEFT(N5189,3)=$W$7,LEFT(O5189,3)=$W$7)),"x","")</f>
        <v/>
      </c>
      <c r="X5189" s="75" t="str">
        <f>IF(OR(TH!N5525=TH!$X$7,O5189=TH!$X$7),"x","")</f>
        <v/>
      </c>
      <c r="Y5189" s="75" t="str">
        <f>IF(AND(OR(N5189="131",O5189="131"),H5189='131-CT'!$H$9),"x","")</f>
        <v/>
      </c>
      <c r="Z5189" s="75"/>
      <c r="AA5189" s="75" t="str">
        <f>IF(AND(MONTH(E5189)='IN-NX'!$J$5,'IN-NX'!$D$7=D5189),"x","")</f>
        <v/>
      </c>
      <c r="AB5189" s="75" t="str">
        <f>IF(AND(OR(LEFT(TH!N5525,2)="15",LEFT(TH!O5525,2)="15"),LEFT(TH!O5525,3)&lt;&gt;"111",'152-CT'!$J$8=TH!F5525),"x","")</f>
        <v/>
      </c>
      <c r="AC5189" s="75" t="str">
        <f>IF(AND(OR(LEFT(TH!N5525,2)="15",LEFT(TH!O5525,2)="15"),TK!$E$7=TH!F5525),"x","")</f>
        <v/>
      </c>
      <c r="AD5189" s="75" t="str">
        <f>IF(AND(N5189="1521",MONTH(C5189)='BK-NL'!$M$11),"x","")</f>
        <v/>
      </c>
      <c r="AE5189">
        <v>10</v>
      </c>
    </row>
    <row r="5190" spans="1:31" ht="16.5" customHeight="1">
      <c r="A5190" s="309" t="str">
        <f>IF(B5190&lt;&gt;"",IF(AND(B5190='IN-TC'!$S$4,OR(TH!N5178="1111",TH!O5178="1111")),TH!D5178,""),"")</f>
        <v/>
      </c>
      <c r="B5190" s="1244">
        <f t="shared" si="1346"/>
        <v>10</v>
      </c>
      <c r="C5190" s="292">
        <f t="shared" si="1347"/>
        <v>43028</v>
      </c>
      <c r="D5190" s="292" t="s">
        <v>902</v>
      </c>
      <c r="E5190" s="292">
        <v>43028</v>
      </c>
      <c r="F5190" s="293" t="s">
        <v>897</v>
      </c>
      <c r="G5190" s="293" t="s">
        <v>747</v>
      </c>
      <c r="H5190" s="294" t="s">
        <v>623</v>
      </c>
      <c r="I5190" s="373"/>
      <c r="J5190" s="382"/>
      <c r="K5190" s="373"/>
      <c r="L5190" s="379"/>
      <c r="M5190" s="60">
        <v>55000000</v>
      </c>
      <c r="N5190" s="295" t="s">
        <v>8</v>
      </c>
      <c r="O5190" s="295" t="s">
        <v>26</v>
      </c>
      <c r="P5190" s="75" t="str">
        <f>IF(AND('331-CT'!$E$7=TH!H5526,OR(N5190="331",O5190="331")),"x","")</f>
        <v/>
      </c>
      <c r="Q5190" s="75" t="str">
        <f>IF(AND(B5190='111'!$L$11,OR($N5190=$Q$7,$O5190=$Q$7)),"x","")</f>
        <v/>
      </c>
      <c r="R5190" s="75" t="str">
        <f>IF(AND($N5190=$Q$7,$B5190&lt;'111'!$L$11),"x","")</f>
        <v/>
      </c>
      <c r="S5190" s="75" t="str">
        <f>IF(AND($O5190=$Q$7,$B5190&lt;'111'!$L$11),"x","")</f>
        <v/>
      </c>
      <c r="T5190" s="75" t="str">
        <f>IF(ISERROR(FIND('112'!$M$9,G5190,1)),"",IF((AND(FIND('112'!$M$9,G5190,1)&gt;=1,B5190='112'!$K$9,OR($N5190='112'!$I$6,$O5190='112'!$I$6))),"x",""))</f>
        <v/>
      </c>
      <c r="U5190" s="75" t="str">
        <f>IF(ISERROR(FIND('112'!$M$9,G5190,1)),"",IF((AND(LEFT(G5190,2)=LEFT('112'!$M$9,2),B5190&lt;'112'!$K$9,$N5190='112'!$I$6)),"x",""))</f>
        <v/>
      </c>
      <c r="V5190" s="75" t="str">
        <f>IF(ISERROR(FIND('112'!$M$9,G5190,1)),"",IF((AND(RIGHT(G5190,2)=RIGHT('112'!$M$9,2),B5190&lt;'112'!$K$9,$O5190='112'!$I$6)),"x",""))</f>
        <v/>
      </c>
      <c r="W5190" s="75" t="str">
        <f>IF(AND('341-CT'!$H$9=H5190,OR(LEFT(N5190,3)=$W$7,LEFT(O5190,3)=$W$7)),"x","")</f>
        <v/>
      </c>
      <c r="X5190" s="75" t="str">
        <f>IF(OR(TH!N5526=TH!$X$7,O5190=TH!$X$7),"x","")</f>
        <v/>
      </c>
      <c r="Y5190" s="75" t="str">
        <f>IF(AND(OR(N5190="131",O5190="131"),H5190='131-CT'!$H$9),"x","")</f>
        <v/>
      </c>
      <c r="Z5190" s="75"/>
      <c r="AA5190" s="75" t="str">
        <f>IF(AND(MONTH(E5190)='IN-NX'!$J$5,'IN-NX'!$D$7=D5190),"x","")</f>
        <v/>
      </c>
      <c r="AB5190" s="75" t="str">
        <f>IF(AND(OR(LEFT(TH!N5526,2)="15",LEFT(TH!O5526,2)="15"),LEFT(TH!O5526,3)&lt;&gt;"111",'152-CT'!$J$8=TH!F5526),"x","")</f>
        <v/>
      </c>
      <c r="AC5190" s="75" t="str">
        <f>IF(AND(OR(LEFT(TH!N5526,2)="15",LEFT(TH!O5526,2)="15"),TK!$E$7=TH!F5526),"x","")</f>
        <v/>
      </c>
      <c r="AD5190" s="75" t="str">
        <f>IF(AND(N5190="1521",MONTH(C5190)='BK-NL'!$M$11),"x","")</f>
        <v/>
      </c>
    </row>
    <row r="5191" spans="1:31" ht="16.5" customHeight="1">
      <c r="A5191" s="309" t="str">
        <f>IF(B5191&lt;&gt;"",IF(AND(B5191='IN-TC'!$S$4,OR(TH!N5179="1111",TH!O5179="1111")),TH!D5179,""),"")</f>
        <v/>
      </c>
      <c r="B5191" s="1244">
        <f t="shared" si="1346"/>
        <v>10</v>
      </c>
      <c r="C5191" s="292">
        <f t="shared" si="1347"/>
        <v>43028</v>
      </c>
      <c r="D5191" s="292" t="s">
        <v>902</v>
      </c>
      <c r="E5191" s="292">
        <v>43028</v>
      </c>
      <c r="F5191" s="293" t="s">
        <v>1307</v>
      </c>
      <c r="G5191" s="293" t="s">
        <v>747</v>
      </c>
      <c r="H5191" s="294" t="s">
        <v>835</v>
      </c>
      <c r="I5191" s="373"/>
      <c r="J5191" s="382"/>
      <c r="K5191" s="373"/>
      <c r="L5191" s="379"/>
      <c r="M5191" s="60">
        <v>10000</v>
      </c>
      <c r="N5191" s="295" t="s">
        <v>101</v>
      </c>
      <c r="O5191" s="295" t="s">
        <v>26</v>
      </c>
      <c r="P5191" s="75" t="str">
        <f>IF(AND('331-CT'!$E$7=TH!H5527,OR(N5191="331",O5191="331")),"x","")</f>
        <v/>
      </c>
      <c r="Q5191" s="75" t="str">
        <f>IF(AND(B5191='111'!$L$11,OR($N5191=$Q$7,$O5191=$Q$7)),"x","")</f>
        <v/>
      </c>
      <c r="R5191" s="75" t="str">
        <f>IF(AND($N5191=$Q$7,$B5191&lt;'111'!$L$11),"x","")</f>
        <v/>
      </c>
      <c r="S5191" s="75" t="str">
        <f>IF(AND($O5191=$Q$7,$B5191&lt;'111'!$L$11),"x","")</f>
        <v/>
      </c>
      <c r="T5191" s="75" t="str">
        <f>IF(ISERROR(FIND('112'!$M$9,G5191,1)),"",IF((AND(FIND('112'!$M$9,G5191,1)&gt;=1,B5191='112'!$K$9,OR($N5191='112'!$I$6,$O5191='112'!$I$6))),"x",""))</f>
        <v/>
      </c>
      <c r="U5191" s="75" t="str">
        <f>IF(ISERROR(FIND('112'!$M$9,G5191,1)),"",IF((AND(LEFT(G5191,2)=LEFT('112'!$M$9,2),B5191&lt;'112'!$K$9,$N5191='112'!$I$6)),"x",""))</f>
        <v/>
      </c>
      <c r="V5191" s="75" t="str">
        <f>IF(ISERROR(FIND('112'!$M$9,G5191,1)),"",IF((AND(RIGHT(G5191,2)=RIGHT('112'!$M$9,2),B5191&lt;'112'!$K$9,$O5191='112'!$I$6)),"x",""))</f>
        <v/>
      </c>
      <c r="W5191" s="75" t="str">
        <f>IF(AND('341-CT'!$H$9=H5191,OR(LEFT(N5191,3)=$W$7,LEFT(O5191,3)=$W$7)),"x","")</f>
        <v/>
      </c>
      <c r="X5191" s="75" t="str">
        <f>IF(OR(TH!N5527=TH!$X$7,O5191=TH!$X$7),"x","")</f>
        <v/>
      </c>
      <c r="Y5191" s="75" t="str">
        <f>IF(AND(OR(N5191="131",O5191="131"),H5191='131-CT'!$H$9),"x","")</f>
        <v/>
      </c>
      <c r="Z5191" s="75"/>
      <c r="AA5191" s="75" t="str">
        <f>IF(AND(MONTH(E5191)='IN-NX'!$J$5,'IN-NX'!$D$7=D5191),"x","")</f>
        <v/>
      </c>
      <c r="AB5191" s="75" t="str">
        <f>IF(AND(OR(LEFT(TH!N5527,2)="15",LEFT(TH!O5527,2)="15"),LEFT(TH!O5527,3)&lt;&gt;"111",'152-CT'!$J$8=TH!F5527),"x","")</f>
        <v/>
      </c>
      <c r="AC5191" s="75" t="str">
        <f>IF(AND(OR(LEFT(TH!N5527,2)="15",LEFT(TH!O5527,2)="15"),TK!$E$7=TH!F5527),"x","")</f>
        <v/>
      </c>
      <c r="AD5191" s="75" t="str">
        <f>IF(AND(N5191="1521",MONTH(C5191)='BK-NL'!$M$11),"x","")</f>
        <v/>
      </c>
      <c r="AE5191">
        <v>10</v>
      </c>
    </row>
    <row r="5192" spans="1:31" ht="16.5" customHeight="1">
      <c r="A5192" s="309" t="str">
        <f>IF(B5192&lt;&gt;"",IF(AND(B5192='IN-TC'!$S$4,OR(TH!N5180="1111",TH!O5180="1111")),TH!D5180,""),"")</f>
        <v/>
      </c>
      <c r="B5192" s="1244">
        <f t="shared" si="1346"/>
        <v>10</v>
      </c>
      <c r="C5192" s="292">
        <f t="shared" si="1347"/>
        <v>43028</v>
      </c>
      <c r="D5192" s="292" t="s">
        <v>902</v>
      </c>
      <c r="E5192" s="292">
        <v>43028</v>
      </c>
      <c r="F5192" s="293" t="s">
        <v>1314</v>
      </c>
      <c r="G5192" s="293" t="s">
        <v>747</v>
      </c>
      <c r="H5192" s="294" t="s">
        <v>835</v>
      </c>
      <c r="I5192" s="373"/>
      <c r="J5192" s="382"/>
      <c r="K5192" s="373"/>
      <c r="L5192" s="379"/>
      <c r="M5192" s="60">
        <v>1000</v>
      </c>
      <c r="N5192" s="295" t="s">
        <v>9</v>
      </c>
      <c r="O5192" s="295" t="s">
        <v>26</v>
      </c>
      <c r="P5192" s="75" t="str">
        <f>IF(AND('331-CT'!$E$7=TH!H5528,OR(N5192="331",O5192="331")),"x","")</f>
        <v/>
      </c>
      <c r="Q5192" s="75" t="str">
        <f>IF(AND(B5192='111'!$L$11,OR($N5192=$Q$7,$O5192=$Q$7)),"x","")</f>
        <v/>
      </c>
      <c r="R5192" s="75" t="str">
        <f>IF(AND($N5192=$Q$7,$B5192&lt;'111'!$L$11),"x","")</f>
        <v/>
      </c>
      <c r="S5192" s="75" t="str">
        <f>IF(AND($O5192=$Q$7,$B5192&lt;'111'!$L$11),"x","")</f>
        <v/>
      </c>
      <c r="T5192" s="75" t="str">
        <f>IF(ISERROR(FIND('112'!$M$9,G5192,1)),"",IF((AND(FIND('112'!$M$9,G5192,1)&gt;=1,B5192='112'!$K$9,OR($N5192='112'!$I$6,$O5192='112'!$I$6))),"x",""))</f>
        <v/>
      </c>
      <c r="U5192" s="75" t="str">
        <f>IF(ISERROR(FIND('112'!$M$9,G5192,1)),"",IF((AND(LEFT(G5192,2)=LEFT('112'!$M$9,2),B5192&lt;'112'!$K$9,$N5192='112'!$I$6)),"x",""))</f>
        <v/>
      </c>
      <c r="V5192" s="75" t="str">
        <f>IF(ISERROR(FIND('112'!$M$9,G5192,1)),"",IF((AND(RIGHT(G5192,2)=RIGHT('112'!$M$9,2),B5192&lt;'112'!$K$9,$O5192='112'!$I$6)),"x",""))</f>
        <v/>
      </c>
      <c r="W5192" s="75" t="str">
        <f>IF(AND('341-CT'!$H$9=H5192,OR(LEFT(N5192,3)=$W$7,LEFT(O5192,3)=$W$7)),"x","")</f>
        <v/>
      </c>
      <c r="X5192" s="75" t="str">
        <f>IF(OR(TH!N5528=TH!$X$7,O5192=TH!$X$7),"x","")</f>
        <v/>
      </c>
      <c r="Y5192" s="75" t="str">
        <f>IF(AND(OR(N5192="131",O5192="131"),H5192='131-CT'!$H$9),"x","")</f>
        <v/>
      </c>
      <c r="Z5192" s="75"/>
      <c r="AA5192" s="75" t="str">
        <f>IF(AND(MONTH(E5192)='IN-NX'!$J$5,'IN-NX'!$D$7=D5192),"x","")</f>
        <v/>
      </c>
      <c r="AB5192" s="75" t="str">
        <f>IF(AND(OR(LEFT(TH!N5528,2)="15",LEFT(TH!O5528,2)="15"),LEFT(TH!O5528,3)&lt;&gt;"111",'152-CT'!$J$8=TH!F5528),"x","")</f>
        <v/>
      </c>
      <c r="AC5192" s="75" t="str">
        <f>IF(AND(OR(LEFT(TH!N5528,2)="15",LEFT(TH!O5528,2)="15"),TK!$E$7=TH!F5528),"x","")</f>
        <v/>
      </c>
      <c r="AD5192" s="75" t="str">
        <f>IF(AND(N5192="1521",MONTH(C5192)='BK-NL'!$M$11),"x","")</f>
        <v/>
      </c>
      <c r="AE5192">
        <v>10</v>
      </c>
    </row>
    <row r="5193" spans="1:31" ht="16.5" customHeight="1">
      <c r="A5193" s="309" t="str">
        <f>IF(B5193&lt;&gt;"",IF(AND(B5193='IN-TC'!$S$4,OR(TH!N5181="1111",TH!O5181="1111")),TH!D5181,""),"")</f>
        <v/>
      </c>
      <c r="B5193" s="1244">
        <f t="shared" si="1346"/>
        <v>10</v>
      </c>
      <c r="C5193" s="292">
        <f t="shared" si="1347"/>
        <v>43029</v>
      </c>
      <c r="D5193" s="292"/>
      <c r="E5193" s="292">
        <v>43029</v>
      </c>
      <c r="F5193" s="67" t="s">
        <v>954</v>
      </c>
      <c r="G5193" s="925" t="s">
        <v>2513</v>
      </c>
      <c r="H5193" s="294" t="s">
        <v>1241</v>
      </c>
      <c r="I5193" s="373"/>
      <c r="J5193" s="926"/>
      <c r="K5193" s="373"/>
      <c r="L5193" s="379"/>
      <c r="M5193" s="927">
        <v>11965000</v>
      </c>
      <c r="N5193" s="295" t="s">
        <v>101</v>
      </c>
      <c r="O5193" s="295" t="s">
        <v>63</v>
      </c>
      <c r="P5193" s="75" t="str">
        <f>IF(AND('331-CT'!$E$7=TH!H4040,OR(N5193="331",O5193="331")),"x","")</f>
        <v/>
      </c>
      <c r="Q5193" s="75" t="str">
        <f>IF(AND(B5193='111'!$L$11,OR($N5193=$Q$7,$O5193=$Q$7)),"x","")</f>
        <v/>
      </c>
      <c r="R5193" s="75" t="str">
        <f>IF(AND($N5193=$Q$7,$B5193&lt;'111'!$L$11),"x","")</f>
        <v/>
      </c>
      <c r="S5193" s="75" t="str">
        <f>IF(AND($O5193=$Q$7,$B5193&lt;'111'!$L$11),"x","")</f>
        <v>x</v>
      </c>
      <c r="T5193" s="75" t="str">
        <f>IF(ISERROR(FIND('112'!$M$9,G5193,1)),"",IF((AND(FIND('112'!$M$9,G5193,1)&gt;=1,B5193='112'!$K$9,OR($N5193='112'!$I$6,$O5193='112'!$I$6))),"x",""))</f>
        <v/>
      </c>
      <c r="U5193" s="75" t="str">
        <f>IF(ISERROR(FIND('112'!$M$9,G5193,1)),"",IF((AND(LEFT(G5193,2)=LEFT('112'!$M$9,2),B5193&lt;'112'!$K$9,$N5193='112'!$I$6)),"x",""))</f>
        <v/>
      </c>
      <c r="V5193" s="75" t="str">
        <f>IF(ISERROR(FIND('112'!$M$9,G5193,1)),"",IF((AND(RIGHT(G5193,2)=RIGHT('112'!$M$9,2),B5193&lt;'112'!$K$9,$O5193='112'!$I$6)),"x",""))</f>
        <v/>
      </c>
      <c r="W5193" s="75" t="str">
        <f>IF(AND('341-CT'!$H$9=H5193,OR(LEFT(N5193,3)=$W$7,LEFT(O5193,3)=$W$7)),"x","")</f>
        <v/>
      </c>
      <c r="X5193" s="75" t="str">
        <f>IF(OR(TH!N4040=TH!$X$7,O5193=TH!$X$7),"x","")</f>
        <v/>
      </c>
      <c r="Y5193" s="75" t="str">
        <f>IF(AND(OR(N5193="131",O5193="131"),H5193='131-CT'!$H$9),"x","")</f>
        <v/>
      </c>
      <c r="Z5193" s="75"/>
      <c r="AA5193" s="75" t="str">
        <f>IF(AND(MONTH(E5193)='IN-NX'!$J$5,'IN-NX'!$D$7=D5193),"x","")</f>
        <v/>
      </c>
      <c r="AB5193" s="75" t="str">
        <f>IF(AND(OR(LEFT(TH!N4040,2)="15",LEFT(TH!O4040,2)="15"),LEFT(TH!O4040,3)&lt;&gt;"111",'152-CT'!$J$8=TH!F4040),"x","")</f>
        <v/>
      </c>
      <c r="AC5193" s="75" t="str">
        <f>IF(AND(OR(LEFT(TH!N4040,2)="15",LEFT(TH!O4040,2)="15"),TK!$E$7=TH!F4040),"x","")</f>
        <v/>
      </c>
      <c r="AD5193" s="75" t="str">
        <f>IF(AND(N5193="1521",MONTH(C5193)='BK-NL'!$M$11),"x","")</f>
        <v/>
      </c>
      <c r="AE5193">
        <v>10</v>
      </c>
    </row>
    <row r="5194" spans="1:31" ht="16.5" customHeight="1">
      <c r="A5194" s="309" t="str">
        <f>IF(B5194&lt;&gt;"",IF(AND(B5194='IN-TC'!$S$4,OR(TH!N5182="1111",TH!O5182="1111")),TH!D5182,""),"")</f>
        <v/>
      </c>
      <c r="B5194" s="1244">
        <f t="shared" si="1346"/>
        <v>10</v>
      </c>
      <c r="C5194" s="292">
        <f t="shared" si="1347"/>
        <v>43029</v>
      </c>
      <c r="D5194" s="292"/>
      <c r="E5194" s="292">
        <v>43029</v>
      </c>
      <c r="F5194" s="67" t="s">
        <v>955</v>
      </c>
      <c r="G5194" s="925" t="s">
        <v>2513</v>
      </c>
      <c r="H5194" s="294" t="s">
        <v>1241</v>
      </c>
      <c r="I5194" s="373"/>
      <c r="J5194" s="926"/>
      <c r="K5194" s="373"/>
      <c r="L5194" s="379"/>
      <c r="M5194" s="927">
        <v>1196500</v>
      </c>
      <c r="N5194" s="295" t="s">
        <v>9</v>
      </c>
      <c r="O5194" s="295" t="s">
        <v>63</v>
      </c>
      <c r="P5194" s="75" t="str">
        <f>IF(AND('331-CT'!$E$7=TH!H4041,OR(N5194="331",O5194="331")),"x","")</f>
        <v/>
      </c>
      <c r="Q5194" s="75" t="str">
        <f>IF(AND(B5194='111'!$L$11,OR($N5194=$Q$7,$O5194=$Q$7)),"x","")</f>
        <v/>
      </c>
      <c r="R5194" s="75" t="str">
        <f>IF(AND($N5194=$Q$7,$B5194&lt;'111'!$L$11),"x","")</f>
        <v/>
      </c>
      <c r="S5194" s="75" t="str">
        <f>IF(AND($O5194=$Q$7,$B5194&lt;'111'!$L$11),"x","")</f>
        <v>x</v>
      </c>
      <c r="T5194" s="75" t="str">
        <f>IF(ISERROR(FIND('112'!$M$9,G5194,1)),"",IF((AND(FIND('112'!$M$9,G5194,1)&gt;=1,B5194='112'!$K$9,OR($N5194='112'!$I$6,$O5194='112'!$I$6))),"x",""))</f>
        <v/>
      </c>
      <c r="U5194" s="75" t="str">
        <f>IF(ISERROR(FIND('112'!$M$9,G5194,1)),"",IF((AND(LEFT(G5194,2)=LEFT('112'!$M$9,2),B5194&lt;'112'!$K$9,$N5194='112'!$I$6)),"x",""))</f>
        <v/>
      </c>
      <c r="V5194" s="75" t="str">
        <f>IF(ISERROR(FIND('112'!$M$9,G5194,1)),"",IF((AND(RIGHT(G5194,2)=RIGHT('112'!$M$9,2),B5194&lt;'112'!$K$9,$O5194='112'!$I$6)),"x",""))</f>
        <v/>
      </c>
      <c r="W5194" s="75" t="str">
        <f>IF(AND('341-CT'!$H$9=H5194,OR(LEFT(N5194,3)=$W$7,LEFT(O5194,3)=$W$7)),"x","")</f>
        <v/>
      </c>
      <c r="X5194" s="75" t="str">
        <f>IF(OR(TH!N4041=TH!$X$7,O5194=TH!$X$7),"x","")</f>
        <v/>
      </c>
      <c r="Y5194" s="75" t="str">
        <f>IF(AND(OR(N5194="131",O5194="131"),H5194='131-CT'!$H$9),"x","")</f>
        <v/>
      </c>
      <c r="Z5194" s="75"/>
      <c r="AA5194" s="75" t="str">
        <f>IF(AND(MONTH(E5194)='IN-NX'!$J$5,'IN-NX'!$D$7=D5194),"x","")</f>
        <v/>
      </c>
      <c r="AB5194" s="75" t="str">
        <f>IF(AND(OR(LEFT(TH!N4041,2)="15",LEFT(TH!O4041,2)="15"),LEFT(TH!O4041,3)&lt;&gt;"111",'152-CT'!$J$8=TH!F4041),"x","")</f>
        <v/>
      </c>
      <c r="AC5194" s="75" t="str">
        <f>IF(AND(OR(LEFT(TH!N4041,2)="15",LEFT(TH!O4041,2)="15"),TK!$E$7=TH!F4041),"x","")</f>
        <v/>
      </c>
      <c r="AD5194" s="75" t="str">
        <f>IF(AND(N5194="1521",MONTH(C5194)='BK-NL'!$M$11),"x","")</f>
        <v/>
      </c>
      <c r="AE5194">
        <v>10</v>
      </c>
    </row>
    <row r="5195" spans="1:31" ht="16.5" customHeight="1">
      <c r="A5195" s="309" t="str">
        <f>IF(B5195&lt;&gt;"",IF(AND(B5195='IN-TC'!$S$4,OR(TH!N5183="1111",TH!O5183="1111")),TH!D5183,""),"")</f>
        <v/>
      </c>
      <c r="B5195" s="1244">
        <f t="shared" si="1346"/>
        <v>10</v>
      </c>
      <c r="C5195" s="292">
        <f t="shared" si="1347"/>
        <v>43031</v>
      </c>
      <c r="D5195" s="292"/>
      <c r="E5195" s="292">
        <v>43031</v>
      </c>
      <c r="F5195" s="67" t="s">
        <v>221</v>
      </c>
      <c r="G5195" s="925" t="s">
        <v>2514</v>
      </c>
      <c r="H5195" s="294" t="s">
        <v>556</v>
      </c>
      <c r="I5195" s="373"/>
      <c r="J5195" s="926"/>
      <c r="K5195" s="373"/>
      <c r="L5195" s="379"/>
      <c r="M5195" s="927">
        <v>11386364</v>
      </c>
      <c r="N5195" s="295" t="s">
        <v>272</v>
      </c>
      <c r="O5195" s="295" t="s">
        <v>63</v>
      </c>
      <c r="P5195" s="75" t="str">
        <f>IF(AND('331-CT'!$E$7=TH!H4042,OR(N5195="331",O5195="331")),"x","")</f>
        <v/>
      </c>
      <c r="Q5195" s="75" t="str">
        <f>IF(AND(B5195='111'!$L$11,OR($N5195=$Q$7,$O5195=$Q$7)),"x","")</f>
        <v/>
      </c>
      <c r="R5195" s="75" t="str">
        <f>IF(AND($N5195=$Q$7,$B5195&lt;'111'!$L$11),"x","")</f>
        <v/>
      </c>
      <c r="S5195" s="75" t="str">
        <f>IF(AND($O5195=$Q$7,$B5195&lt;'111'!$L$11),"x","")</f>
        <v>x</v>
      </c>
      <c r="T5195" s="75" t="str">
        <f>IF(ISERROR(FIND('112'!$M$9,G5195,1)),"",IF((AND(FIND('112'!$M$9,G5195,1)&gt;=1,B5195='112'!$K$9,OR($N5195='112'!$I$6,$O5195='112'!$I$6))),"x",""))</f>
        <v/>
      </c>
      <c r="U5195" s="75" t="str">
        <f>IF(ISERROR(FIND('112'!$M$9,G5195,1)),"",IF((AND(LEFT(G5195,2)=LEFT('112'!$M$9,2),B5195&lt;'112'!$K$9,$N5195='112'!$I$6)),"x",""))</f>
        <v/>
      </c>
      <c r="V5195" s="75" t="str">
        <f>IF(ISERROR(FIND('112'!$M$9,G5195,1)),"",IF((AND(RIGHT(G5195,2)=RIGHT('112'!$M$9,2),B5195&lt;'112'!$K$9,$O5195='112'!$I$6)),"x",""))</f>
        <v/>
      </c>
      <c r="W5195" s="75" t="str">
        <f>IF(AND('341-CT'!$H$9=H5195,OR(LEFT(N5195,3)=$W$7,LEFT(O5195,3)=$W$7)),"x","")</f>
        <v/>
      </c>
      <c r="X5195" s="75" t="str">
        <f>IF(OR(TH!N4042=TH!$X$7,O5195=TH!$X$7),"x","")</f>
        <v/>
      </c>
      <c r="Y5195" s="75" t="str">
        <f>IF(AND(OR(N5195="131",O5195="131"),H5195='131-CT'!$H$9),"x","")</f>
        <v/>
      </c>
      <c r="Z5195" s="75"/>
      <c r="AA5195" s="75" t="str">
        <f>IF(AND(MONTH(E5195)='IN-NX'!$J$5,'IN-NX'!$D$7=D5195),"x","")</f>
        <v/>
      </c>
      <c r="AB5195" s="75" t="str">
        <f>IF(AND(OR(LEFT(TH!N4042,2)="15",LEFT(TH!O4042,2)="15"),LEFT(TH!O4042,3)&lt;&gt;"111",'152-CT'!$J$8=TH!F4042),"x","")</f>
        <v/>
      </c>
      <c r="AC5195" s="75" t="str">
        <f>IF(AND(OR(LEFT(TH!N4042,2)="15",LEFT(TH!O4042,2)="15"),TK!$E$7=TH!F4042),"x","")</f>
        <v/>
      </c>
      <c r="AD5195" s="75" t="str">
        <f>IF(AND(N5195="1521",MONTH(C5195)='BK-NL'!$M$11),"x","")</f>
        <v/>
      </c>
      <c r="AE5195">
        <v>10</v>
      </c>
    </row>
    <row r="5196" spans="1:31" ht="16.5" customHeight="1">
      <c r="A5196" s="309" t="str">
        <f>IF(B5196&lt;&gt;"",IF(AND(B5196='IN-TC'!$S$4,OR(TH!N5184="1111",TH!O5184="1111")),TH!D5184,""),"")</f>
        <v/>
      </c>
      <c r="B5196" s="1244">
        <f t="shared" si="1346"/>
        <v>10</v>
      </c>
      <c r="C5196" s="292">
        <f t="shared" si="1347"/>
        <v>43031</v>
      </c>
      <c r="D5196" s="292"/>
      <c r="E5196" s="292">
        <v>43031</v>
      </c>
      <c r="F5196" s="67" t="s">
        <v>943</v>
      </c>
      <c r="G5196" s="925" t="s">
        <v>2514</v>
      </c>
      <c r="H5196" s="294" t="s">
        <v>556</v>
      </c>
      <c r="I5196" s="373"/>
      <c r="J5196" s="926"/>
      <c r="K5196" s="373"/>
      <c r="L5196" s="379"/>
      <c r="M5196" s="927">
        <v>1138636</v>
      </c>
      <c r="N5196" s="295" t="s">
        <v>9</v>
      </c>
      <c r="O5196" s="295" t="s">
        <v>63</v>
      </c>
      <c r="P5196" s="75" t="str">
        <f>IF(AND('331-CT'!$E$7=TH!H4043,OR(N5196="331",O5196="331")),"x","")</f>
        <v/>
      </c>
      <c r="Q5196" s="75" t="str">
        <f>IF(AND(B5196='111'!$L$11,OR($N5196=$Q$7,$O5196=$Q$7)),"x","")</f>
        <v/>
      </c>
      <c r="R5196" s="75" t="str">
        <f>IF(AND($N5196=$Q$7,$B5196&lt;'111'!$L$11),"x","")</f>
        <v/>
      </c>
      <c r="S5196" s="75" t="str">
        <f>IF(AND($O5196=$Q$7,$B5196&lt;'111'!$L$11),"x","")</f>
        <v>x</v>
      </c>
      <c r="T5196" s="75" t="str">
        <f>IF(ISERROR(FIND('112'!$M$9,G5196,1)),"",IF((AND(FIND('112'!$M$9,G5196,1)&gt;=1,B5196='112'!$K$9,OR($N5196='112'!$I$6,$O5196='112'!$I$6))),"x",""))</f>
        <v/>
      </c>
      <c r="U5196" s="75" t="str">
        <f>IF(ISERROR(FIND('112'!$M$9,G5196,1)),"",IF((AND(LEFT(G5196,2)=LEFT('112'!$M$9,2),B5196&lt;'112'!$K$9,$N5196='112'!$I$6)),"x",""))</f>
        <v/>
      </c>
      <c r="V5196" s="75" t="str">
        <f>IF(ISERROR(FIND('112'!$M$9,G5196,1)),"",IF((AND(RIGHT(G5196,2)=RIGHT('112'!$M$9,2),B5196&lt;'112'!$K$9,$O5196='112'!$I$6)),"x",""))</f>
        <v/>
      </c>
      <c r="W5196" s="75" t="str">
        <f>IF(AND('341-CT'!$H$9=H5196,OR(LEFT(N5196,3)=$W$7,LEFT(O5196,3)=$W$7)),"x","")</f>
        <v/>
      </c>
      <c r="X5196" s="75" t="str">
        <f>IF(OR(TH!N4043=TH!$X$7,O5196=TH!$X$7),"x","")</f>
        <v/>
      </c>
      <c r="Y5196" s="75" t="str">
        <f>IF(AND(OR(N5196="131",O5196="131"),H5196='131-CT'!$H$9),"x","")</f>
        <v/>
      </c>
      <c r="Z5196" s="75"/>
      <c r="AA5196" s="75" t="str">
        <f>IF(AND(MONTH(E5196)='IN-NX'!$J$5,'IN-NX'!$D$7=D5196),"x","")</f>
        <v/>
      </c>
      <c r="AB5196" s="75" t="str">
        <f>IF(AND(OR(LEFT(TH!N4043,2)="15",LEFT(TH!O4043,2)="15"),LEFT(TH!O4043,3)&lt;&gt;"111",'152-CT'!$J$8=TH!F4043),"x","")</f>
        <v/>
      </c>
      <c r="AC5196" s="75" t="str">
        <f>IF(AND(OR(LEFT(TH!N4043,2)="15",LEFT(TH!O4043,2)="15"),TK!$E$7=TH!F4043),"x","")</f>
        <v/>
      </c>
      <c r="AD5196" s="75" t="str">
        <f>IF(AND(N5196="1521",MONTH(C5196)='BK-NL'!$M$11),"x","")</f>
        <v/>
      </c>
      <c r="AE5196">
        <v>10</v>
      </c>
    </row>
    <row r="5197" spans="1:31" ht="16.5" customHeight="1">
      <c r="A5197" s="309" t="str">
        <f>IF(B5197&lt;&gt;"",IF(AND(B5197='IN-TC'!$S$4,OR(TH!N5185="1111",TH!O5185="1111")),TH!D5185,""),"")</f>
        <v/>
      </c>
      <c r="B5197" s="1244">
        <f t="shared" si="1346"/>
        <v>10</v>
      </c>
      <c r="C5197" s="292">
        <f t="shared" si="1347"/>
        <v>43031</v>
      </c>
      <c r="D5197" s="292"/>
      <c r="E5197" s="292">
        <v>43031</v>
      </c>
      <c r="F5197" s="67" t="s">
        <v>2515</v>
      </c>
      <c r="G5197" s="925" t="s">
        <v>2517</v>
      </c>
      <c r="H5197" s="294" t="s">
        <v>941</v>
      </c>
      <c r="I5197" s="373"/>
      <c r="J5197" s="926"/>
      <c r="K5197" s="373"/>
      <c r="L5197" s="379"/>
      <c r="M5197" s="927">
        <v>9355220</v>
      </c>
      <c r="N5197" s="295" t="s">
        <v>101</v>
      </c>
      <c r="O5197" s="295" t="s">
        <v>63</v>
      </c>
      <c r="P5197" s="75" t="str">
        <f>IF(AND('331-CT'!$E$7=TH!H4044,OR(N5197="331",O5197="331")),"x","")</f>
        <v/>
      </c>
      <c r="Q5197" s="75" t="str">
        <f>IF(AND(B5197='111'!$L$11,OR($N5197=$Q$7,$O5197=$Q$7)),"x","")</f>
        <v/>
      </c>
      <c r="R5197" s="75" t="str">
        <f>IF(AND($N5197=$Q$7,$B5197&lt;'111'!$L$11),"x","")</f>
        <v/>
      </c>
      <c r="S5197" s="75" t="str">
        <f>IF(AND($O5197=$Q$7,$B5197&lt;'111'!$L$11),"x","")</f>
        <v>x</v>
      </c>
      <c r="T5197" s="75" t="str">
        <f>IF(ISERROR(FIND('112'!$M$9,G5197,1)),"",IF((AND(FIND('112'!$M$9,G5197,1)&gt;=1,B5197='112'!$K$9,OR($N5197='112'!$I$6,$O5197='112'!$I$6))),"x",""))</f>
        <v/>
      </c>
      <c r="U5197" s="75" t="str">
        <f>IF(ISERROR(FIND('112'!$M$9,G5197,1)),"",IF((AND(LEFT(G5197,2)=LEFT('112'!$M$9,2),B5197&lt;'112'!$K$9,$N5197='112'!$I$6)),"x",""))</f>
        <v/>
      </c>
      <c r="V5197" s="75" t="str">
        <f>IF(ISERROR(FIND('112'!$M$9,G5197,1)),"",IF((AND(RIGHT(G5197,2)=RIGHT('112'!$M$9,2),B5197&lt;'112'!$K$9,$O5197='112'!$I$6)),"x",""))</f>
        <v/>
      </c>
      <c r="W5197" s="75" t="str">
        <f>IF(AND('341-CT'!$H$9=H5197,OR(LEFT(N5197,3)=$W$7,LEFT(O5197,3)=$W$7)),"x","")</f>
        <v/>
      </c>
      <c r="X5197" s="75" t="str">
        <f>IF(OR(TH!N4044=TH!$X$7,O5197=TH!$X$7),"x","")</f>
        <v/>
      </c>
      <c r="Y5197" s="75" t="str">
        <f>IF(AND(OR(N5197="131",O5197="131"),H5197='131-CT'!$H$9),"x","")</f>
        <v/>
      </c>
      <c r="Z5197" s="75"/>
      <c r="AA5197" s="75" t="str">
        <f>IF(AND(MONTH(E5197)='IN-NX'!$J$5,'IN-NX'!$D$7=D5197),"x","")</f>
        <v/>
      </c>
      <c r="AB5197" s="75" t="str">
        <f>IF(AND(OR(LEFT(TH!N4044,2)="15",LEFT(TH!O4044,2)="15"),LEFT(TH!O4044,3)&lt;&gt;"111",'152-CT'!$J$8=TH!F4044),"x","")</f>
        <v/>
      </c>
      <c r="AC5197" s="75" t="str">
        <f>IF(AND(OR(LEFT(TH!N4044,2)="15",LEFT(TH!O4044,2)="15"),TK!$E$7=TH!F4044),"x","")</f>
        <v/>
      </c>
      <c r="AD5197" s="75" t="str">
        <f>IF(AND(N5197="1521",MONTH(C5197)='BK-NL'!$M$11),"x","")</f>
        <v/>
      </c>
      <c r="AE5197">
        <v>10</v>
      </c>
    </row>
    <row r="5198" spans="1:31" ht="16.5" customHeight="1">
      <c r="A5198" s="309" t="str">
        <f>IF(B5198&lt;&gt;"",IF(AND(B5198='IN-TC'!$S$4,OR(TH!N5186="1111",TH!O5186="1111")),TH!D5186,""),"")</f>
        <v/>
      </c>
      <c r="B5198" s="1244">
        <f t="shared" si="1346"/>
        <v>10</v>
      </c>
      <c r="C5198" s="292">
        <f t="shared" si="1347"/>
        <v>43031</v>
      </c>
      <c r="D5198" s="292"/>
      <c r="E5198" s="292">
        <v>43031</v>
      </c>
      <c r="F5198" s="67" t="s">
        <v>2516</v>
      </c>
      <c r="G5198" s="925" t="s">
        <v>2517</v>
      </c>
      <c r="H5198" s="294" t="s">
        <v>941</v>
      </c>
      <c r="I5198" s="373"/>
      <c r="J5198" s="926"/>
      <c r="K5198" s="373"/>
      <c r="L5198" s="379"/>
      <c r="M5198" s="927">
        <v>935522</v>
      </c>
      <c r="N5198" s="295" t="s">
        <v>9</v>
      </c>
      <c r="O5198" s="295" t="s">
        <v>63</v>
      </c>
      <c r="P5198" s="75" t="str">
        <f>IF(AND('331-CT'!$E$7=TH!H4045,OR(N5198="331",O5198="331")),"x","")</f>
        <v/>
      </c>
      <c r="Q5198" s="75" t="str">
        <f>IF(AND(B5198='111'!$L$11,OR($N5198=$Q$7,$O5198=$Q$7)),"x","")</f>
        <v/>
      </c>
      <c r="R5198" s="75" t="str">
        <f>IF(AND($N5198=$Q$7,$B5198&lt;'111'!$L$11),"x","")</f>
        <v/>
      </c>
      <c r="S5198" s="75" t="str">
        <f>IF(AND($O5198=$Q$7,$B5198&lt;'111'!$L$11),"x","")</f>
        <v>x</v>
      </c>
      <c r="T5198" s="75" t="str">
        <f>IF(ISERROR(FIND('112'!$M$9,G5198,1)),"",IF((AND(FIND('112'!$M$9,G5198,1)&gt;=1,B5198='112'!$K$9,OR($N5198='112'!$I$6,$O5198='112'!$I$6))),"x",""))</f>
        <v/>
      </c>
      <c r="U5198" s="75" t="str">
        <f>IF(ISERROR(FIND('112'!$M$9,G5198,1)),"",IF((AND(LEFT(G5198,2)=LEFT('112'!$M$9,2),B5198&lt;'112'!$K$9,$N5198='112'!$I$6)),"x",""))</f>
        <v/>
      </c>
      <c r="V5198" s="75" t="str">
        <f>IF(ISERROR(FIND('112'!$M$9,G5198,1)),"",IF((AND(RIGHT(G5198,2)=RIGHT('112'!$M$9,2),B5198&lt;'112'!$K$9,$O5198='112'!$I$6)),"x",""))</f>
        <v/>
      </c>
      <c r="W5198" s="75" t="str">
        <f>IF(AND('341-CT'!$H$9=H5198,OR(LEFT(N5198,3)=$W$7,LEFT(O5198,3)=$W$7)),"x","")</f>
        <v/>
      </c>
      <c r="X5198" s="75" t="str">
        <f>IF(OR(TH!N4045=TH!$X$7,O5198=TH!$X$7),"x","")</f>
        <v/>
      </c>
      <c r="Y5198" s="75" t="str">
        <f>IF(AND(OR(N5198="131",O5198="131"),H5198='131-CT'!$H$9),"x","")</f>
        <v/>
      </c>
      <c r="Z5198" s="75"/>
      <c r="AA5198" s="75" t="str">
        <f>IF(AND(MONTH(E5198)='IN-NX'!$J$5,'IN-NX'!$D$7=D5198),"x","")</f>
        <v/>
      </c>
      <c r="AB5198" s="75" t="str">
        <f>IF(AND(OR(LEFT(TH!N4045,2)="15",LEFT(TH!O4045,2)="15"),LEFT(TH!O4045,3)&lt;&gt;"111",'152-CT'!$J$8=TH!F4045),"x","")</f>
        <v/>
      </c>
      <c r="AC5198" s="75" t="str">
        <f>IF(AND(OR(LEFT(TH!N4045,2)="15",LEFT(TH!O4045,2)="15"),TK!$E$7=TH!F4045),"x","")</f>
        <v/>
      </c>
      <c r="AD5198" s="75" t="str">
        <f>IF(AND(N5198="1521",MONTH(C5198)='BK-NL'!$M$11),"x","")</f>
        <v/>
      </c>
      <c r="AE5198">
        <v>10</v>
      </c>
    </row>
    <row r="5199" spans="1:31" ht="16.5" customHeight="1">
      <c r="A5199" s="309" t="str">
        <f>IF(B5199&lt;&gt;"",IF(AND(B5199='IN-TC'!$S$4,OR(TH!N5187="1111",TH!O5187="1111")),TH!D5187,""),"")</f>
        <v/>
      </c>
      <c r="B5199" s="1244">
        <f t="shared" si="1346"/>
        <v>10</v>
      </c>
      <c r="C5199" s="292">
        <f t="shared" si="1347"/>
        <v>43031</v>
      </c>
      <c r="D5199" s="292"/>
      <c r="E5199" s="292">
        <v>43031</v>
      </c>
      <c r="F5199" s="67" t="s">
        <v>1328</v>
      </c>
      <c r="G5199" s="925" t="s">
        <v>2726</v>
      </c>
      <c r="H5199" s="294" t="s">
        <v>948</v>
      </c>
      <c r="I5199" s="373"/>
      <c r="J5199" s="926"/>
      <c r="K5199" s="373"/>
      <c r="L5199" s="379"/>
      <c r="M5199" s="927">
        <v>263636</v>
      </c>
      <c r="N5199" s="295" t="s">
        <v>539</v>
      </c>
      <c r="O5199" s="295" t="s">
        <v>63</v>
      </c>
      <c r="P5199" s="75" t="str">
        <f>IF(AND('331-CT'!$E$7=TH!H4046,OR(N5199="331",O5199="331")),"x","")</f>
        <v/>
      </c>
      <c r="Q5199" s="75" t="str">
        <f>IF(AND(B5199='111'!$L$11,OR($N5199=$Q$7,$O5199=$Q$7)),"x","")</f>
        <v/>
      </c>
      <c r="R5199" s="75" t="str">
        <f>IF(AND($N5199=$Q$7,$B5199&lt;'111'!$L$11),"x","")</f>
        <v/>
      </c>
      <c r="S5199" s="75" t="str">
        <f>IF(AND($O5199=$Q$7,$B5199&lt;'111'!$L$11),"x","")</f>
        <v>x</v>
      </c>
      <c r="T5199" s="75" t="str">
        <f>IF(ISERROR(FIND('112'!$M$9,G5199,1)),"",IF((AND(FIND('112'!$M$9,G5199,1)&gt;=1,B5199='112'!$K$9,OR($N5199='112'!$I$6,$O5199='112'!$I$6))),"x",""))</f>
        <v/>
      </c>
      <c r="U5199" s="75" t="str">
        <f>IF(ISERROR(FIND('112'!$M$9,G5199,1)),"",IF((AND(LEFT(G5199,2)=LEFT('112'!$M$9,2),B5199&lt;'112'!$K$9,$N5199='112'!$I$6)),"x",""))</f>
        <v/>
      </c>
      <c r="V5199" s="75" t="str">
        <f>IF(ISERROR(FIND('112'!$M$9,G5199,1)),"",IF((AND(RIGHT(G5199,2)=RIGHT('112'!$M$9,2),B5199&lt;'112'!$K$9,$O5199='112'!$I$6)),"x",""))</f>
        <v/>
      </c>
      <c r="W5199" s="75" t="str">
        <f>IF(AND('341-CT'!$H$9=H5199,OR(LEFT(N5199,3)=$W$7,LEFT(O5199,3)=$W$7)),"x","")</f>
        <v/>
      </c>
      <c r="X5199" s="75" t="str">
        <f>IF(OR(TH!N4046=TH!$X$7,O5199=TH!$X$7),"x","")</f>
        <v/>
      </c>
      <c r="Y5199" s="75" t="str">
        <f>IF(AND(OR(N5199="131",O5199="131"),H5199='131-CT'!$H$9),"x","")</f>
        <v/>
      </c>
      <c r="Z5199" s="75"/>
      <c r="AA5199" s="75" t="str">
        <f>IF(AND(MONTH(E5199)='IN-NX'!$J$5,'IN-NX'!$D$7=D5199),"x","")</f>
        <v/>
      </c>
      <c r="AB5199" s="75" t="str">
        <f>IF(AND(OR(LEFT(TH!N4046,2)="15",LEFT(TH!O4046,2)="15"),LEFT(TH!O4046,3)&lt;&gt;"111",'152-CT'!$J$8=TH!F4046),"x","")</f>
        <v/>
      </c>
      <c r="AC5199" s="75" t="str">
        <f>IF(AND(OR(LEFT(TH!N4046,2)="15",LEFT(TH!O4046,2)="15"),TK!$E$7=TH!F4046),"x","")</f>
        <v/>
      </c>
      <c r="AD5199" s="75" t="str">
        <f>IF(AND(N5199="1521",MONTH(C5199)='BK-NL'!$M$11),"x","")</f>
        <v/>
      </c>
      <c r="AE5199">
        <v>11</v>
      </c>
    </row>
    <row r="5200" spans="1:31" ht="16.5" customHeight="1">
      <c r="A5200" s="309" t="str">
        <f>IF(B5200&lt;&gt;"",IF(AND(B5200='IN-TC'!$S$4,OR(TH!N5188="1111",TH!O5188="1111")),TH!D5188,""),"")</f>
        <v/>
      </c>
      <c r="B5200" s="1244">
        <f t="shared" si="1346"/>
        <v>10</v>
      </c>
      <c r="C5200" s="292">
        <f t="shared" si="1347"/>
        <v>43031</v>
      </c>
      <c r="D5200" s="292"/>
      <c r="E5200" s="292">
        <v>43031</v>
      </c>
      <c r="F5200" s="67" t="s">
        <v>1329</v>
      </c>
      <c r="G5200" s="925" t="s">
        <v>2726</v>
      </c>
      <c r="H5200" s="294" t="s">
        <v>948</v>
      </c>
      <c r="I5200" s="373"/>
      <c r="J5200" s="926"/>
      <c r="K5200" s="373"/>
      <c r="L5200" s="379"/>
      <c r="M5200" s="927">
        <v>26364</v>
      </c>
      <c r="N5200" s="295" t="s">
        <v>9</v>
      </c>
      <c r="O5200" s="295" t="s">
        <v>63</v>
      </c>
      <c r="P5200" s="75" t="str">
        <f>IF(AND('331-CT'!$E$7=TH!H4047,OR(N5200="331",O5200="331")),"x","")</f>
        <v/>
      </c>
      <c r="Q5200" s="75" t="str">
        <f>IF(AND(B5200='111'!$L$11,OR($N5200=$Q$7,$O5200=$Q$7)),"x","")</f>
        <v/>
      </c>
      <c r="R5200" s="75" t="str">
        <f>IF(AND($N5200=$Q$7,$B5200&lt;'111'!$L$11),"x","")</f>
        <v/>
      </c>
      <c r="S5200" s="75" t="str">
        <f>IF(AND($O5200=$Q$7,$B5200&lt;'111'!$L$11),"x","")</f>
        <v>x</v>
      </c>
      <c r="T5200" s="75" t="str">
        <f>IF(ISERROR(FIND('112'!$M$9,G5200,1)),"",IF((AND(FIND('112'!$M$9,G5200,1)&gt;=1,B5200='112'!$K$9,OR($N5200='112'!$I$6,$O5200='112'!$I$6))),"x",""))</f>
        <v/>
      </c>
      <c r="U5200" s="75" t="str">
        <f>IF(ISERROR(FIND('112'!$M$9,G5200,1)),"",IF((AND(LEFT(G5200,2)=LEFT('112'!$M$9,2),B5200&lt;'112'!$K$9,$N5200='112'!$I$6)),"x",""))</f>
        <v/>
      </c>
      <c r="V5200" s="75" t="str">
        <f>IF(ISERROR(FIND('112'!$M$9,G5200,1)),"",IF((AND(RIGHT(G5200,2)=RIGHT('112'!$M$9,2),B5200&lt;'112'!$K$9,$O5200='112'!$I$6)),"x",""))</f>
        <v/>
      </c>
      <c r="W5200" s="75" t="str">
        <f>IF(AND('341-CT'!$H$9=H5200,OR(LEFT(N5200,3)=$W$7,LEFT(O5200,3)=$W$7)),"x","")</f>
        <v/>
      </c>
      <c r="X5200" s="75" t="str">
        <f>IF(OR(TH!N4047=TH!$X$7,O5200=TH!$X$7),"x","")</f>
        <v/>
      </c>
      <c r="Y5200" s="75" t="str">
        <f>IF(AND(OR(N5200="131",O5200="131"),H5200='131-CT'!$H$9),"x","")</f>
        <v/>
      </c>
      <c r="Z5200" s="75"/>
      <c r="AA5200" s="75" t="str">
        <f>IF(AND(MONTH(E5200)='IN-NX'!$J$5,'IN-NX'!$D$7=D5200),"x","")</f>
        <v/>
      </c>
      <c r="AB5200" s="75" t="str">
        <f>IF(AND(OR(LEFT(TH!N4047,2)="15",LEFT(TH!O4047,2)="15"),LEFT(TH!O4047,3)&lt;&gt;"111",'152-CT'!$J$8=TH!F4047),"x","")</f>
        <v/>
      </c>
      <c r="AC5200" s="75" t="str">
        <f>IF(AND(OR(LEFT(TH!N4047,2)="15",LEFT(TH!O4047,2)="15"),TK!$E$7=TH!F4047),"x","")</f>
        <v/>
      </c>
      <c r="AD5200" s="75" t="str">
        <f>IF(AND(N5200="1521",MONTH(C5200)='BK-NL'!$M$11),"x","")</f>
        <v/>
      </c>
      <c r="AE5200">
        <v>11</v>
      </c>
    </row>
    <row r="5201" spans="1:33" ht="16.5" customHeight="1">
      <c r="A5201" s="309" t="str">
        <f>IF(B5201&lt;&gt;"",IF(AND(B5201='IN-TC'!$S$4,OR(TH!N5189="1111",TH!O5189="1111")),TH!D5189,""),"")</f>
        <v/>
      </c>
      <c r="B5201" s="1244">
        <f t="shared" si="1346"/>
        <v>10</v>
      </c>
      <c r="C5201" s="292">
        <f t="shared" si="1347"/>
        <v>43031</v>
      </c>
      <c r="D5201" s="292"/>
      <c r="E5201" s="292">
        <v>43031</v>
      </c>
      <c r="F5201" s="67" t="s">
        <v>1029</v>
      </c>
      <c r="G5201" s="925" t="s">
        <v>2737</v>
      </c>
      <c r="H5201" s="294" t="s">
        <v>948</v>
      </c>
      <c r="I5201" s="373"/>
      <c r="J5201" s="926"/>
      <c r="K5201" s="373"/>
      <c r="L5201" s="379"/>
      <c r="M5201" s="927">
        <v>2118182</v>
      </c>
      <c r="N5201" s="295" t="s">
        <v>539</v>
      </c>
      <c r="O5201" s="295" t="s">
        <v>63</v>
      </c>
      <c r="P5201" s="75" t="str">
        <f>IF(AND('331-CT'!$E$7=TH!H4048,OR(N5201="331",O5201="331")),"x","")</f>
        <v/>
      </c>
      <c r="Q5201" s="75" t="str">
        <f>IF(AND(B5201='111'!$L$11,OR($N5201=$Q$7,$O5201=$Q$7)),"x","")</f>
        <v/>
      </c>
      <c r="R5201" s="75" t="str">
        <f>IF(AND($N5201=$Q$7,$B5201&lt;'111'!$L$11),"x","")</f>
        <v/>
      </c>
      <c r="S5201" s="75" t="str">
        <f>IF(AND($O5201=$Q$7,$B5201&lt;'111'!$L$11),"x","")</f>
        <v>x</v>
      </c>
      <c r="T5201" s="75" t="str">
        <f>IF(ISERROR(FIND('112'!$M$9,G5201,1)),"",IF((AND(FIND('112'!$M$9,G5201,1)&gt;=1,B5201='112'!$K$9,OR($N5201='112'!$I$6,$O5201='112'!$I$6))),"x",""))</f>
        <v/>
      </c>
      <c r="U5201" s="75" t="str">
        <f>IF(ISERROR(FIND('112'!$M$9,G5201,1)),"",IF((AND(LEFT(G5201,2)=LEFT('112'!$M$9,2),B5201&lt;'112'!$K$9,$N5201='112'!$I$6)),"x",""))</f>
        <v/>
      </c>
      <c r="V5201" s="75" t="str">
        <f>IF(ISERROR(FIND('112'!$M$9,G5201,1)),"",IF((AND(RIGHT(G5201,2)=RIGHT('112'!$M$9,2),B5201&lt;'112'!$K$9,$O5201='112'!$I$6)),"x",""))</f>
        <v/>
      </c>
      <c r="W5201" s="75" t="str">
        <f>IF(AND('341-CT'!$H$9=H5201,OR(LEFT(N5201,3)=$W$7,LEFT(O5201,3)=$W$7)),"x","")</f>
        <v/>
      </c>
      <c r="X5201" s="75" t="str">
        <f>IF(OR(TH!N4048=TH!$X$7,O5201=TH!$X$7),"x","")</f>
        <v/>
      </c>
      <c r="Y5201" s="75" t="str">
        <f>IF(AND(OR(N5201="131",O5201="131"),H5201='131-CT'!$H$9),"x","")</f>
        <v/>
      </c>
      <c r="Z5201" s="75"/>
      <c r="AA5201" s="75" t="str">
        <f>IF(AND(MONTH(E5201)='IN-NX'!$J$5,'IN-NX'!$D$7=D5201),"x","")</f>
        <v/>
      </c>
      <c r="AB5201" s="75" t="str">
        <f>IF(AND(OR(LEFT(TH!N4048,2)="15",LEFT(TH!O4048,2)="15"),LEFT(TH!O4048,3)&lt;&gt;"111",'152-CT'!$J$8=TH!F4048),"x","")</f>
        <v/>
      </c>
      <c r="AC5201" s="75" t="str">
        <f>IF(AND(OR(LEFT(TH!N4048,2)="15",LEFT(TH!O4048,2)="15"),TK!$E$7=TH!F4048),"x","")</f>
        <v/>
      </c>
      <c r="AD5201" s="75" t="str">
        <f>IF(AND(N5201="1521",MONTH(C5201)='BK-NL'!$M$11),"x","")</f>
        <v/>
      </c>
      <c r="AE5201">
        <v>11</v>
      </c>
    </row>
    <row r="5202" spans="1:33" ht="16.5" customHeight="1">
      <c r="A5202" s="309" t="str">
        <f>IF(B5202&lt;&gt;"",IF(AND(B5202='IN-TC'!$S$4,OR(TH!N5190="1111",TH!O5190="1111")),TH!D5190,""),"")</f>
        <v/>
      </c>
      <c r="B5202" s="1244">
        <f t="shared" si="1346"/>
        <v>10</v>
      </c>
      <c r="C5202" s="292">
        <f t="shared" si="1347"/>
        <v>43031</v>
      </c>
      <c r="D5202" s="292"/>
      <c r="E5202" s="292">
        <v>43031</v>
      </c>
      <c r="F5202" s="67" t="s">
        <v>1030</v>
      </c>
      <c r="G5202" s="925" t="s">
        <v>2737</v>
      </c>
      <c r="H5202" s="294" t="s">
        <v>948</v>
      </c>
      <c r="I5202" s="373"/>
      <c r="J5202" s="926"/>
      <c r="K5202" s="373"/>
      <c r="L5202" s="379"/>
      <c r="M5202" s="927">
        <v>211818</v>
      </c>
      <c r="N5202" s="295" t="s">
        <v>9</v>
      </c>
      <c r="O5202" s="295" t="s">
        <v>63</v>
      </c>
      <c r="P5202" s="75" t="str">
        <f>IF(AND('331-CT'!$E$7=TH!H4049,OR(N5202="331",O5202="331")),"x","")</f>
        <v/>
      </c>
      <c r="Q5202" s="75" t="str">
        <f>IF(AND(B5202='111'!$L$11,OR($N5202=$Q$7,$O5202=$Q$7)),"x","")</f>
        <v/>
      </c>
      <c r="R5202" s="75" t="str">
        <f>IF(AND($N5202=$Q$7,$B5202&lt;'111'!$L$11),"x","")</f>
        <v/>
      </c>
      <c r="S5202" s="75" t="str">
        <f>IF(AND($O5202=$Q$7,$B5202&lt;'111'!$L$11),"x","")</f>
        <v>x</v>
      </c>
      <c r="T5202" s="75" t="str">
        <f>IF(ISERROR(FIND('112'!$M$9,G5202,1)),"",IF((AND(FIND('112'!$M$9,G5202,1)&gt;=1,B5202='112'!$K$9,OR($N5202='112'!$I$6,$O5202='112'!$I$6))),"x",""))</f>
        <v/>
      </c>
      <c r="U5202" s="75" t="str">
        <f>IF(ISERROR(FIND('112'!$M$9,G5202,1)),"",IF((AND(LEFT(G5202,2)=LEFT('112'!$M$9,2),B5202&lt;'112'!$K$9,$N5202='112'!$I$6)),"x",""))</f>
        <v/>
      </c>
      <c r="V5202" s="75" t="str">
        <f>IF(ISERROR(FIND('112'!$M$9,G5202,1)),"",IF((AND(RIGHT(G5202,2)=RIGHT('112'!$M$9,2),B5202&lt;'112'!$K$9,$O5202='112'!$I$6)),"x",""))</f>
        <v/>
      </c>
      <c r="W5202" s="75" t="str">
        <f>IF(AND('341-CT'!$H$9=H5202,OR(LEFT(N5202,3)=$W$7,LEFT(O5202,3)=$W$7)),"x","")</f>
        <v/>
      </c>
      <c r="X5202" s="75" t="str">
        <f>IF(OR(TH!N4049=TH!$X$7,O5202=TH!$X$7),"x","")</f>
        <v/>
      </c>
      <c r="Y5202" s="75" t="str">
        <f>IF(AND(OR(N5202="131",O5202="131"),H5202='131-CT'!$H$9),"x","")</f>
        <v/>
      </c>
      <c r="Z5202" s="75"/>
      <c r="AA5202" s="75" t="str">
        <f>IF(AND(MONTH(E5202)='IN-NX'!$J$5,'IN-NX'!$D$7=D5202),"x","")</f>
        <v/>
      </c>
      <c r="AB5202" s="75" t="str">
        <f>IF(AND(OR(LEFT(TH!N4049,2)="15",LEFT(TH!O4049,2)="15"),LEFT(TH!O4049,3)&lt;&gt;"111",'152-CT'!$J$8=TH!F4049),"x","")</f>
        <v/>
      </c>
      <c r="AC5202" s="75" t="str">
        <f>IF(AND(OR(LEFT(TH!N4049,2)="15",LEFT(TH!O4049,2)="15"),TK!$E$7=TH!F4049),"x","")</f>
        <v/>
      </c>
      <c r="AD5202" s="75" t="str">
        <f>IF(AND(N5202="1521",MONTH(C5202)='BK-NL'!$M$11),"x","")</f>
        <v/>
      </c>
      <c r="AE5202">
        <v>11</v>
      </c>
    </row>
    <row r="5203" spans="1:33" ht="16.5" customHeight="1">
      <c r="A5203" s="309" t="str">
        <f>IF(B5203&lt;&gt;"",IF(AND(B5203='IN-TC'!$S$4,OR(TH!N5191="1111",TH!O5191="1111")),TH!D5191,""),"")</f>
        <v/>
      </c>
      <c r="B5203" s="1244">
        <f t="shared" ref="B5203:B5266" si="1348">IF(C5203&lt;&gt;"",MONTH(C5203),"")</f>
        <v>10</v>
      </c>
      <c r="C5203" s="292">
        <f t="shared" si="1347"/>
        <v>43031</v>
      </c>
      <c r="D5203" s="59" t="s">
        <v>903</v>
      </c>
      <c r="E5203" s="59">
        <v>43031</v>
      </c>
      <c r="F5203" s="62" t="s">
        <v>907</v>
      </c>
      <c r="G5203" s="62" t="s">
        <v>585</v>
      </c>
      <c r="H5203" s="67" t="s">
        <v>845</v>
      </c>
      <c r="I5203" s="373"/>
      <c r="J5203" s="382"/>
      <c r="K5203" s="373">
        <v>256500</v>
      </c>
      <c r="L5203" s="379">
        <v>22720</v>
      </c>
      <c r="M5203" s="74">
        <f>ROUND(K5203*L5203,0)</f>
        <v>5827680000</v>
      </c>
      <c r="N5203" s="61" t="s">
        <v>26</v>
      </c>
      <c r="O5203" s="61" t="s">
        <v>256</v>
      </c>
      <c r="P5203" s="75" t="str">
        <f>IF(AND('331-CT'!$E$7=TH!H4860,OR(N5203="331",O5203="331")),"x","")</f>
        <v/>
      </c>
      <c r="Q5203" s="75" t="str">
        <f>IF(AND(B5203='111'!$L$11,OR($N5203=$Q$7,$O5203=$Q$7)),"x","")</f>
        <v/>
      </c>
      <c r="R5203" s="75" t="str">
        <f>IF(AND($N5203=$Q$7,$B5203&lt;'111'!$L$11),"x","")</f>
        <v/>
      </c>
      <c r="S5203" s="75" t="str">
        <f>IF(AND($O5203=$Q$7,$B5203&lt;'111'!$L$11),"x","")</f>
        <v/>
      </c>
      <c r="T5203" s="75" t="str">
        <f>IF(ISERROR(FIND('112'!$M$9,G5203,1)),"",IF((AND(FIND('112'!$M$9,G5203,1)&gt;=1,B5203='112'!$K$9,OR($N5203='112'!$I$6,$O5203='112'!$I$6))),"x",""))</f>
        <v/>
      </c>
      <c r="U5203" s="75" t="str">
        <f>IF(ISERROR(FIND('112'!$M$9,G5203,1)),"",IF((AND(LEFT(G5203,2)=LEFT('112'!$M$9,2),B5203&lt;'112'!$K$9,$N5203='112'!$I$6)),"x",""))</f>
        <v/>
      </c>
      <c r="V5203" s="75" t="str">
        <f>IF(ISERROR(FIND('112'!$M$9,G5203,1)),"",IF((AND(RIGHT(G5203,2)=RIGHT('112'!$M$9,2),B5203&lt;'112'!$K$9,$O5203='112'!$I$6)),"x",""))</f>
        <v/>
      </c>
      <c r="W5203" s="75" t="str">
        <f>IF(AND('341-CT'!$H$9=H5203,OR(LEFT(N5203,3)=$W$7,LEFT(O5203,3)=$W$7)),"x","")</f>
        <v/>
      </c>
      <c r="X5203" s="75" t="str">
        <f>IF(OR(TH!N4860=TH!$X$7,O5203=TH!$X$7),"x","")</f>
        <v/>
      </c>
      <c r="Y5203" s="75" t="str">
        <f>IF(AND(OR(N5203="131",O5203="131"),H5203='131-CT'!$H$9),"x","")</f>
        <v/>
      </c>
      <c r="Z5203" s="75"/>
      <c r="AA5203" s="75" t="str">
        <f>IF(AND(MONTH(E5203)='IN-NX'!$J$5,'IN-NX'!$D$7=D5203),"x","")</f>
        <v/>
      </c>
      <c r="AB5203" s="75" t="str">
        <f>IF(AND(OR(LEFT(TH!N4860,2)="15",LEFT(TH!O4860,2)="15"),LEFT(TH!O4860,3)&lt;&gt;"111",'152-CT'!$J$8=TH!F4860),"x","")</f>
        <v/>
      </c>
      <c r="AC5203" s="75" t="str">
        <f>IF(AND(OR(LEFT(TH!N4860,2)="15",LEFT(TH!O4860,2)="15"),TK!$E$7=TH!F4860),"x","")</f>
        <v/>
      </c>
      <c r="AD5203" s="75" t="str">
        <f>IF(AND(N5203="1521",MONTH(C5203)='BK-NL'!$M$11),"x","")</f>
        <v/>
      </c>
    </row>
    <row r="5204" spans="1:33" ht="16.5" customHeight="1">
      <c r="A5204" s="309" t="str">
        <f>IF(B5204&lt;&gt;"",IF(AND(B5204='IN-TC'!$S$4,OR(TH!N5192="1111",TH!O5192="1111")),TH!D5192,""),"")</f>
        <v/>
      </c>
      <c r="B5204" s="1244">
        <f t="shared" si="1348"/>
        <v>10</v>
      </c>
      <c r="C5204" s="292">
        <f t="shared" si="1347"/>
        <v>43031</v>
      </c>
      <c r="D5204" s="59" t="s">
        <v>902</v>
      </c>
      <c r="E5204" s="59">
        <v>43031</v>
      </c>
      <c r="F5204" s="62" t="s">
        <v>897</v>
      </c>
      <c r="G5204" s="62" t="s">
        <v>585</v>
      </c>
      <c r="H5204" s="67" t="s">
        <v>623</v>
      </c>
      <c r="I5204" s="375"/>
      <c r="J5204" s="382"/>
      <c r="K5204" s="375"/>
      <c r="L5204" s="381"/>
      <c r="M5204" s="60">
        <v>5820000000</v>
      </c>
      <c r="N5204" s="61" t="s">
        <v>8</v>
      </c>
      <c r="O5204" s="61" t="s">
        <v>26</v>
      </c>
      <c r="P5204" s="75" t="str">
        <f>IF(AND('331-CT'!$E$7=TH!H4861,OR(N5204="331",O5204="331")),"x","")</f>
        <v/>
      </c>
      <c r="Q5204" s="75" t="str">
        <f>IF(AND(B5204='111'!$L$11,OR($N5204=$Q$7,$O5204=$Q$7)),"x","")</f>
        <v/>
      </c>
      <c r="R5204" s="75" t="str">
        <f>IF(AND($N5204=$Q$7,$B5204&lt;'111'!$L$11),"x","")</f>
        <v/>
      </c>
      <c r="S5204" s="75" t="str">
        <f>IF(AND($O5204=$Q$7,$B5204&lt;'111'!$L$11),"x","")</f>
        <v/>
      </c>
      <c r="T5204" s="75" t="str">
        <f>IF(ISERROR(FIND('112'!$M$9,G5204,1)),"",IF((AND(FIND('112'!$M$9,G5204,1)&gt;=1,B5204='112'!$K$9,OR($N5204='112'!$I$6,$O5204='112'!$I$6))),"x",""))</f>
        <v/>
      </c>
      <c r="U5204" s="75" t="str">
        <f>IF(ISERROR(FIND('112'!$M$9,G5204,1)),"",IF((AND(LEFT(G5204,2)=LEFT('112'!$M$9,2),B5204&lt;'112'!$K$9,$N5204='112'!$I$6)),"x",""))</f>
        <v/>
      </c>
      <c r="V5204" s="75" t="str">
        <f>IF(ISERROR(FIND('112'!$M$9,G5204,1)),"",IF((AND(RIGHT(G5204,2)=RIGHT('112'!$M$9,2),B5204&lt;'112'!$K$9,$O5204='112'!$I$6)),"x",""))</f>
        <v/>
      </c>
      <c r="W5204" s="75" t="str">
        <f>IF(AND('341-CT'!$H$9=H5204,OR(LEFT(N5204,3)=$W$7,LEFT(O5204,3)=$W$7)),"x","")</f>
        <v/>
      </c>
      <c r="X5204" s="75" t="str">
        <f>IF(OR(TH!N4861=TH!$X$7,O5204=TH!$X$7),"x","")</f>
        <v/>
      </c>
      <c r="Y5204" s="75" t="str">
        <f>IF(AND(OR(N5204="131",O5204="131"),H5204='131-CT'!$H$9),"x","")</f>
        <v/>
      </c>
      <c r="Z5204" s="75"/>
      <c r="AA5204" s="75" t="str">
        <f>IF(AND(MONTH(E5204)='IN-NX'!$J$5,'IN-NX'!$D$7=D5204),"x","")</f>
        <v/>
      </c>
      <c r="AB5204" s="75" t="str">
        <f>IF(AND(OR(LEFT(TH!N4861,2)="15",LEFT(TH!O4861,2)="15"),LEFT(TH!O4861,3)&lt;&gt;"111",'152-CT'!$J$8=TH!F4861),"x","")</f>
        <v/>
      </c>
      <c r="AC5204" s="75" t="str">
        <f>IF(AND(OR(LEFT(TH!N4861,2)="15",LEFT(TH!O4861,2)="15"),TK!$E$7=TH!F4861),"x","")</f>
        <v/>
      </c>
      <c r="AD5204" s="75" t="str">
        <f>IF(AND(N5204="1521",MONTH(C5204)='BK-NL'!$M$11),"x","")</f>
        <v/>
      </c>
    </row>
    <row r="5205" spans="1:33" ht="16.5" customHeight="1">
      <c r="A5205" s="309" t="str">
        <f>IF(B5205&lt;&gt;"",IF(AND(B5205='IN-TC'!$S$4,OR(TH!N5193="1111",TH!O5193="1111")),TH!D5193,""),"")</f>
        <v/>
      </c>
      <c r="B5205" s="1244">
        <f t="shared" si="1348"/>
        <v>10</v>
      </c>
      <c r="C5205" s="292">
        <f t="shared" si="1347"/>
        <v>43031</v>
      </c>
      <c r="D5205" s="292" t="s">
        <v>902</v>
      </c>
      <c r="E5205" s="292">
        <v>43031</v>
      </c>
      <c r="F5205" s="293" t="s">
        <v>1307</v>
      </c>
      <c r="G5205" s="293" t="s">
        <v>747</v>
      </c>
      <c r="H5205" s="294" t="s">
        <v>759</v>
      </c>
      <c r="I5205" s="373"/>
      <c r="J5205" s="382"/>
      <c r="K5205" s="373"/>
      <c r="L5205" s="379"/>
      <c r="M5205" s="60">
        <v>2502500</v>
      </c>
      <c r="N5205" s="295" t="s">
        <v>101</v>
      </c>
      <c r="O5205" s="295" t="s">
        <v>26</v>
      </c>
      <c r="P5205" s="75" t="str">
        <f>IF(AND('331-CT'!$E$7=TH!H5529,OR(N5205="331",O5205="331")),"x","")</f>
        <v/>
      </c>
      <c r="Q5205" s="75" t="str">
        <f>IF(AND(B5205='111'!$L$11,OR($N5205=$Q$7,$O5205=$Q$7)),"x","")</f>
        <v/>
      </c>
      <c r="R5205" s="75" t="str">
        <f>IF(AND($N5205=$Q$7,$B5205&lt;'111'!$L$11),"x","")</f>
        <v/>
      </c>
      <c r="S5205" s="75" t="str">
        <f>IF(AND($O5205=$Q$7,$B5205&lt;'111'!$L$11),"x","")</f>
        <v/>
      </c>
      <c r="T5205" s="75" t="str">
        <f>IF(ISERROR(FIND('112'!$M$9,G5205,1)),"",IF((AND(FIND('112'!$M$9,G5205,1)&gt;=1,B5205='112'!$K$9,OR($N5205='112'!$I$6,$O5205='112'!$I$6))),"x",""))</f>
        <v/>
      </c>
      <c r="U5205" s="75" t="str">
        <f>IF(ISERROR(FIND('112'!$M$9,G5205,1)),"",IF((AND(LEFT(G5205,2)=LEFT('112'!$M$9,2),B5205&lt;'112'!$K$9,$N5205='112'!$I$6)),"x",""))</f>
        <v/>
      </c>
      <c r="V5205" s="75" t="str">
        <f>IF(ISERROR(FIND('112'!$M$9,G5205,1)),"",IF((AND(RIGHT(G5205,2)=RIGHT('112'!$M$9,2),B5205&lt;'112'!$K$9,$O5205='112'!$I$6)),"x",""))</f>
        <v/>
      </c>
      <c r="W5205" s="75" t="str">
        <f>IF(AND('341-CT'!$H$9=H5205,OR(LEFT(N5205,3)=$W$7,LEFT(O5205,3)=$W$7)),"x","")</f>
        <v/>
      </c>
      <c r="X5205" s="75" t="str">
        <f>IF(OR(TH!N5529=TH!$X$7,O5205=TH!$X$7),"x","")</f>
        <v/>
      </c>
      <c r="Y5205" s="75" t="str">
        <f>IF(AND(OR(N5205="131",O5205="131"),H5205='131-CT'!$H$9),"x","")</f>
        <v/>
      </c>
      <c r="Z5205" s="75"/>
      <c r="AA5205" s="75" t="str">
        <f>IF(AND(MONTH(E5205)='IN-NX'!$J$5,'IN-NX'!$D$7=D5205),"x","")</f>
        <v/>
      </c>
      <c r="AB5205" s="75" t="str">
        <f>IF(AND(OR(LEFT(TH!N5529,2)="15",LEFT(TH!O5529,2)="15"),LEFT(TH!O5529,3)&lt;&gt;"111",'152-CT'!$J$8=TH!F5529),"x","")</f>
        <v/>
      </c>
      <c r="AC5205" s="75" t="str">
        <f>IF(AND(OR(LEFT(TH!N5529,2)="15",LEFT(TH!O5529,2)="15"),TK!$E$7=TH!F5529),"x","")</f>
        <v/>
      </c>
      <c r="AD5205" s="75" t="str">
        <f>IF(AND(N5205="1521",MONTH(C5205)='BK-NL'!$M$11),"x","")</f>
        <v/>
      </c>
    </row>
    <row r="5206" spans="1:33" ht="16.5" customHeight="1">
      <c r="A5206" s="309" t="str">
        <f>IF(B5206&lt;&gt;"",IF(AND(B5206='IN-TC'!$S$4,OR(TH!N5194="1111",TH!O5194="1111")),TH!D5194,""),"")</f>
        <v/>
      </c>
      <c r="B5206" s="1244">
        <f t="shared" si="1348"/>
        <v>10</v>
      </c>
      <c r="C5206" s="292">
        <f t="shared" si="1347"/>
        <v>43031</v>
      </c>
      <c r="D5206" s="292" t="s">
        <v>902</v>
      </c>
      <c r="E5206" s="292">
        <v>43031</v>
      </c>
      <c r="F5206" s="293" t="s">
        <v>1177</v>
      </c>
      <c r="G5206" s="293" t="s">
        <v>747</v>
      </c>
      <c r="H5206" s="294" t="s">
        <v>835</v>
      </c>
      <c r="I5206" s="373"/>
      <c r="J5206" s="382"/>
      <c r="K5206" s="373"/>
      <c r="L5206" s="379"/>
      <c r="M5206" s="60">
        <v>3609797</v>
      </c>
      <c r="N5206" s="295" t="s">
        <v>101</v>
      </c>
      <c r="O5206" s="295" t="s">
        <v>26</v>
      </c>
      <c r="P5206" s="75" t="str">
        <f>IF(AND('331-CT'!$E$7=TH!H5530,OR(N5206="331",O5206="331")),"x","")</f>
        <v/>
      </c>
      <c r="Q5206" s="75" t="str">
        <f>IF(AND(B5206='111'!$L$11,OR($N5206=$Q$7,$O5206=$Q$7)),"x","")</f>
        <v/>
      </c>
      <c r="R5206" s="75" t="str">
        <f>IF(AND($N5206=$Q$7,$B5206&lt;'111'!$L$11),"x","")</f>
        <v/>
      </c>
      <c r="S5206" s="75" t="str">
        <f>IF(AND($O5206=$Q$7,$B5206&lt;'111'!$L$11),"x","")</f>
        <v/>
      </c>
      <c r="T5206" s="75" t="str">
        <f>IF(ISERROR(FIND('112'!$M$9,G5206,1)),"",IF((AND(FIND('112'!$M$9,G5206,1)&gt;=1,B5206='112'!$K$9,OR($N5206='112'!$I$6,$O5206='112'!$I$6))),"x",""))</f>
        <v/>
      </c>
      <c r="U5206" s="75" t="str">
        <f>IF(ISERROR(FIND('112'!$M$9,G5206,1)),"",IF((AND(LEFT(G5206,2)=LEFT('112'!$M$9,2),B5206&lt;'112'!$K$9,$N5206='112'!$I$6)),"x",""))</f>
        <v/>
      </c>
      <c r="V5206" s="75" t="str">
        <f>IF(ISERROR(FIND('112'!$M$9,G5206,1)),"",IF((AND(RIGHT(G5206,2)=RIGHT('112'!$M$9,2),B5206&lt;'112'!$K$9,$O5206='112'!$I$6)),"x",""))</f>
        <v/>
      </c>
      <c r="W5206" s="75" t="str">
        <f>IF(AND('341-CT'!$H$9=H5206,OR(LEFT(N5206,3)=$W$7,LEFT(O5206,3)=$W$7)),"x","")</f>
        <v/>
      </c>
      <c r="X5206" s="75" t="str">
        <f>IF(OR(TH!N5530=TH!$X$7,O5206=TH!$X$7),"x","")</f>
        <v/>
      </c>
      <c r="Y5206" s="75" t="str">
        <f>IF(AND(OR(N5206="131",O5206="131"),H5206='131-CT'!$H$9),"x","")</f>
        <v/>
      </c>
      <c r="Z5206" s="75"/>
      <c r="AA5206" s="75" t="str">
        <f>IF(AND(MONTH(E5206)='IN-NX'!$J$5,'IN-NX'!$D$7=D5206),"x","")</f>
        <v/>
      </c>
      <c r="AB5206" s="75" t="str">
        <f>IF(AND(OR(LEFT(TH!N5530,2)="15",LEFT(TH!O5530,2)="15"),LEFT(TH!O5530,3)&lt;&gt;"111",'152-CT'!$J$8=TH!F5530),"x","")</f>
        <v/>
      </c>
      <c r="AC5206" s="75" t="str">
        <f>IF(AND(OR(LEFT(TH!N5530,2)="15",LEFT(TH!O5530,2)="15"),TK!$E$7=TH!F5530),"x","")</f>
        <v/>
      </c>
      <c r="AD5206" s="75" t="str">
        <f>IF(AND(N5206="1521",MONTH(C5206)='BK-NL'!$M$11),"x","")</f>
        <v/>
      </c>
    </row>
    <row r="5207" spans="1:33" ht="16.5" customHeight="1">
      <c r="A5207" s="309" t="str">
        <f>IF(B5207&lt;&gt;"",IF(AND(B5207='IN-TC'!$S$4,OR(TH!N5195="1111",TH!O5195="1111")),TH!D5195,""),"")</f>
        <v/>
      </c>
      <c r="B5207" s="1244">
        <f t="shared" si="1348"/>
        <v>10</v>
      </c>
      <c r="C5207" s="292">
        <f t="shared" si="1347"/>
        <v>43031</v>
      </c>
      <c r="D5207" s="292" t="s">
        <v>903</v>
      </c>
      <c r="E5207" s="292">
        <v>43031</v>
      </c>
      <c r="F5207" s="293" t="s">
        <v>252</v>
      </c>
      <c r="G5207" s="293" t="s">
        <v>747</v>
      </c>
      <c r="H5207" s="294" t="s">
        <v>2485</v>
      </c>
      <c r="I5207" s="373"/>
      <c r="J5207" s="382"/>
      <c r="K5207" s="373">
        <v>182900</v>
      </c>
      <c r="L5207" s="379">
        <v>22713</v>
      </c>
      <c r="M5207" s="60">
        <f>K5207*L5207</f>
        <v>4154207700</v>
      </c>
      <c r="N5207" s="295" t="s">
        <v>26</v>
      </c>
      <c r="O5207" s="295" t="s">
        <v>250</v>
      </c>
      <c r="P5207" s="75" t="str">
        <f>IF(AND('331-CT'!$E$7=TH!H5531,OR(N5207="331",O5207="331")),"x","")</f>
        <v/>
      </c>
      <c r="Q5207" s="75" t="str">
        <f>IF(AND(B5207='111'!$L$11,OR($N5207=$Q$7,$O5207=$Q$7)),"x","")</f>
        <v/>
      </c>
      <c r="R5207" s="75" t="str">
        <f>IF(AND($N5207=$Q$7,$B5207&lt;'111'!$L$11),"x","")</f>
        <v/>
      </c>
      <c r="S5207" s="75" t="str">
        <f>IF(AND($O5207=$Q$7,$B5207&lt;'111'!$L$11),"x","")</f>
        <v/>
      </c>
      <c r="T5207" s="75" t="str">
        <f>IF(ISERROR(FIND('112'!$M$9,G5207,1)),"",IF((AND(FIND('112'!$M$9,G5207,1)&gt;=1,B5207='112'!$K$9,OR($N5207='112'!$I$6,$O5207='112'!$I$6))),"x",""))</f>
        <v/>
      </c>
      <c r="U5207" s="75" t="str">
        <f>IF(ISERROR(FIND('112'!$M$9,G5207,1)),"",IF((AND(LEFT(G5207,2)=LEFT('112'!$M$9,2),B5207&lt;'112'!$K$9,$N5207='112'!$I$6)),"x",""))</f>
        <v/>
      </c>
      <c r="V5207" s="75" t="str">
        <f>IF(ISERROR(FIND('112'!$M$9,G5207,1)),"",IF((AND(RIGHT(G5207,2)=RIGHT('112'!$M$9,2),B5207&lt;'112'!$K$9,$O5207='112'!$I$6)),"x",""))</f>
        <v/>
      </c>
      <c r="W5207" s="75" t="str">
        <f>IF(AND('341-CT'!$H$9=H5207,OR(LEFT(N5207,3)=$W$7,LEFT(O5207,3)=$W$7)),"x","")</f>
        <v/>
      </c>
      <c r="X5207" s="75" t="str">
        <f>IF(OR(TH!N5531=TH!$X$7,O5207=TH!$X$7),"x","")</f>
        <v/>
      </c>
      <c r="Y5207" s="75" t="str">
        <f>IF(AND(OR(N5207="131",O5207="131"),H5207='131-CT'!$H$9),"x","")</f>
        <v/>
      </c>
      <c r="Z5207" s="75"/>
      <c r="AA5207" s="75" t="str">
        <f>IF(AND(MONTH(E5207)='IN-NX'!$J$5,'IN-NX'!$D$7=D5207),"x","")</f>
        <v/>
      </c>
      <c r="AB5207" s="75" t="str">
        <f>IF(AND(OR(LEFT(TH!N5531,2)="15",LEFT(TH!O5531,2)="15"),LEFT(TH!O5531,3)&lt;&gt;"111",'152-CT'!$J$8=TH!F5531),"x","")</f>
        <v/>
      </c>
      <c r="AC5207" s="75" t="str">
        <f>IF(AND(OR(LEFT(TH!N5531,2)="15",LEFT(TH!O5531,2)="15"),TK!$E$7=TH!F5531),"x","")</f>
        <v/>
      </c>
      <c r="AD5207" s="75" t="str">
        <f>IF(AND(N5207="1521",MONTH(C5207)='BK-NL'!$M$11),"x","")</f>
        <v/>
      </c>
      <c r="AE5207" s="304"/>
      <c r="AF5207" s="304"/>
      <c r="AG5207" s="304"/>
    </row>
    <row r="5208" spans="1:33" ht="16.5" customHeight="1">
      <c r="A5208" s="309" t="str">
        <f>IF(B5208&lt;&gt;"",IF(AND(B5208='IN-TC'!$S$4,OR(TH!N5196="1111",TH!O5196="1111")),TH!D5196,""),"")</f>
        <v/>
      </c>
      <c r="B5208" s="1244">
        <f t="shared" si="1348"/>
        <v>10</v>
      </c>
      <c r="C5208" s="292">
        <f t="shared" si="1347"/>
        <v>43032</v>
      </c>
      <c r="D5208" s="59" t="s">
        <v>1198</v>
      </c>
      <c r="E5208" s="59">
        <v>43032</v>
      </c>
      <c r="F5208" s="62" t="s">
        <v>834</v>
      </c>
      <c r="G5208" s="62" t="s">
        <v>747</v>
      </c>
      <c r="H5208" s="67" t="s">
        <v>1023</v>
      </c>
      <c r="I5208" s="373"/>
      <c r="J5208" s="382"/>
      <c r="K5208" s="373"/>
      <c r="L5208" s="379"/>
      <c r="M5208" s="60">
        <v>4160000000</v>
      </c>
      <c r="N5208" s="61" t="s">
        <v>63</v>
      </c>
      <c r="O5208" s="61" t="s">
        <v>26</v>
      </c>
      <c r="P5208" s="75" t="str">
        <f>IF(AND('331-CT'!$E$7=TH!H5558,OR(N5208="331",O5208="331")),"x","")</f>
        <v/>
      </c>
      <c r="Q5208" s="75" t="str">
        <f>IF(AND(B5208='111'!$L$11,OR($N5208=$Q$7,$O5208=$Q$7)),"x","")</f>
        <v/>
      </c>
      <c r="R5208" s="75" t="str">
        <f>IF(AND($N5208=$Q$7,$B5208&lt;'111'!$L$11),"x","")</f>
        <v>x</v>
      </c>
      <c r="S5208" s="75" t="str">
        <f>IF(AND($O5208=$Q$7,$B5208&lt;'111'!$L$11),"x","")</f>
        <v/>
      </c>
      <c r="T5208" s="75" t="str">
        <f>IF(ISERROR(FIND('112'!$M$9,G5208,1)),"",IF((AND(FIND('112'!$M$9,G5208,1)&gt;=1,B5208='112'!$K$9,OR($N5208='112'!$I$6,$O5208='112'!$I$6))),"x",""))</f>
        <v/>
      </c>
      <c r="U5208" s="75" t="str">
        <f>IF(ISERROR(FIND('112'!$M$9,G5208,1)),"",IF((AND(LEFT(G5208,2)=LEFT('112'!$M$9,2),B5208&lt;'112'!$K$9,$N5208='112'!$I$6)),"x",""))</f>
        <v/>
      </c>
      <c r="V5208" s="75" t="str">
        <f>IF(ISERROR(FIND('112'!$M$9,G5208,1)),"",IF((AND(RIGHT(G5208,2)=RIGHT('112'!$M$9,2),B5208&lt;'112'!$K$9,$O5208='112'!$I$6)),"x",""))</f>
        <v/>
      </c>
      <c r="W5208" s="75" t="str">
        <f>IF(AND('341-CT'!$H$9=H5208,OR(LEFT(N5208,3)=$W$7,LEFT(O5208,3)=$W$7)),"x","")</f>
        <v/>
      </c>
      <c r="X5208" s="75" t="str">
        <f>IF(OR(TH!N5558=TH!$X$7,O5208=TH!$X$7),"x","")</f>
        <v/>
      </c>
      <c r="Y5208" s="75" t="str">
        <f>IF(AND(OR(N5208="131",O5208="131"),H5208='131-CT'!$H$9),"x","")</f>
        <v/>
      </c>
      <c r="Z5208" s="75"/>
      <c r="AA5208" s="75" t="str">
        <f>IF(AND(MONTH(E5208)='IN-NX'!$J$5,'IN-NX'!$D$7=D5208),"x","")</f>
        <v/>
      </c>
      <c r="AB5208" s="75" t="str">
        <f>IF(AND(OR(LEFT(TH!N5558,2)="15",LEFT(TH!O5558,2)="15"),LEFT(TH!O5558,3)&lt;&gt;"111",'152-CT'!$J$8=TH!F5558),"x","")</f>
        <v/>
      </c>
      <c r="AC5208" s="75" t="str">
        <f>IF(AND(OR(LEFT(TH!N5558,2)="15",LEFT(TH!O5558,2)="15"),TK!$E$7=TH!F5558),"x","")</f>
        <v/>
      </c>
      <c r="AD5208" s="75" t="str">
        <f>IF(AND(N5208="1521",MONTH(C5208)='BK-NL'!$M$11),"x","")</f>
        <v/>
      </c>
    </row>
    <row r="5209" spans="1:33" ht="16.5" customHeight="1">
      <c r="A5209" s="309" t="str">
        <f>IF(B5209&lt;&gt;"",IF(AND(B5209='IN-TC'!$S$4,OR(TH!N5197="1111",TH!O5197="1111")),TH!D5197,""),"")</f>
        <v/>
      </c>
      <c r="B5209" s="1244">
        <f t="shared" si="1348"/>
        <v>10</v>
      </c>
      <c r="C5209" s="292">
        <f t="shared" si="1347"/>
        <v>43032</v>
      </c>
      <c r="D5209" s="292" t="s">
        <v>2493</v>
      </c>
      <c r="E5209" s="292">
        <v>43032</v>
      </c>
      <c r="F5209" s="67" t="s">
        <v>885</v>
      </c>
      <c r="G5209" s="943" t="s">
        <v>747</v>
      </c>
      <c r="H5209" s="294" t="s">
        <v>1023</v>
      </c>
      <c r="I5209" s="373"/>
      <c r="J5209" s="926"/>
      <c r="K5209" s="373"/>
      <c r="L5209" s="379"/>
      <c r="M5209" s="927">
        <v>4700000000</v>
      </c>
      <c r="N5209" s="295" t="s">
        <v>26</v>
      </c>
      <c r="O5209" s="295" t="s">
        <v>63</v>
      </c>
      <c r="P5209" s="75" t="str">
        <f>IF(AND('331-CT'!$E$7=TH!H4050,OR(N5209="331",O5209="331")),"x","")</f>
        <v/>
      </c>
      <c r="Q5209" s="75" t="str">
        <f>IF(AND(B5209='111'!$L$11,OR($N5209=$Q$7,$O5209=$Q$7)),"x","")</f>
        <v/>
      </c>
      <c r="R5209" s="75" t="str">
        <f>IF(AND($N5209=$Q$7,$B5209&lt;'111'!$L$11),"x","")</f>
        <v/>
      </c>
      <c r="S5209" s="75" t="str">
        <f>IF(AND($O5209=$Q$7,$B5209&lt;'111'!$L$11),"x","")</f>
        <v>x</v>
      </c>
      <c r="T5209" s="75" t="str">
        <f>IF(ISERROR(FIND('112'!$M$9,G5209,1)),"",IF((AND(FIND('112'!$M$9,G5209,1)&gt;=1,B5209='112'!$K$9,OR($N5209='112'!$I$6,$O5209='112'!$I$6))),"x",""))</f>
        <v/>
      </c>
      <c r="U5209" s="75" t="str">
        <f>IF(ISERROR(FIND('112'!$M$9,G5209,1)),"",IF((AND(LEFT(G5209,2)=LEFT('112'!$M$9,2),B5209&lt;'112'!$K$9,$N5209='112'!$I$6)),"x",""))</f>
        <v/>
      </c>
      <c r="V5209" s="75" t="str">
        <f>IF(ISERROR(FIND('112'!$M$9,G5209,1)),"",IF((AND(RIGHT(G5209,2)=RIGHT('112'!$M$9,2),B5209&lt;'112'!$K$9,$O5209='112'!$I$6)),"x",""))</f>
        <v/>
      </c>
      <c r="W5209" s="75" t="str">
        <f>IF(AND('341-CT'!$H$9=H5209,OR(LEFT(N5209,3)=$W$7,LEFT(O5209,3)=$W$7)),"x","")</f>
        <v/>
      </c>
      <c r="X5209" s="75" t="str">
        <f>IF(OR(TH!N4050=TH!$X$7,O5209=TH!$X$7),"x","")</f>
        <v/>
      </c>
      <c r="Y5209" s="75" t="str">
        <f>IF(AND(OR(N5209="131",O5209="131"),H5209='131-CT'!$H$9),"x","")</f>
        <v/>
      </c>
      <c r="Z5209" s="75"/>
      <c r="AA5209" s="75" t="str">
        <f>IF(AND(MONTH(E5209)='IN-NX'!$J$5,'IN-NX'!$D$7=D5209),"x","")</f>
        <v/>
      </c>
      <c r="AB5209" s="75" t="str">
        <f>IF(AND(OR(LEFT(TH!N4050,2)="15",LEFT(TH!O4050,2)="15"),LEFT(TH!O4050,3)&lt;&gt;"111",'152-CT'!$J$8=TH!F4050),"x","")</f>
        <v/>
      </c>
      <c r="AC5209" s="75" t="str">
        <f>IF(AND(OR(LEFT(TH!N4050,2)="15",LEFT(TH!O4050,2)="15"),TK!$E$7=TH!F4050),"x","")</f>
        <v/>
      </c>
      <c r="AD5209" s="75" t="str">
        <f>IF(AND(N5209="1521",MONTH(C5209)='BK-NL'!$M$11),"x","")</f>
        <v/>
      </c>
    </row>
    <row r="5210" spans="1:33" ht="16.5" customHeight="1">
      <c r="A5210" s="309" t="str">
        <f>IF(B5210&lt;&gt;"",IF(AND(B5210='IN-TC'!$S$4,OR(TH!N5198="1111",TH!O5198="1111")),TH!D5198,""),"")</f>
        <v/>
      </c>
      <c r="B5210" s="1244">
        <f t="shared" si="1348"/>
        <v>10</v>
      </c>
      <c r="C5210" s="292">
        <f t="shared" si="1347"/>
        <v>43032</v>
      </c>
      <c r="D5210" s="292"/>
      <c r="E5210" s="292">
        <v>43032</v>
      </c>
      <c r="F5210" s="67" t="s">
        <v>993</v>
      </c>
      <c r="G5210" s="925" t="s">
        <v>2335</v>
      </c>
      <c r="H5210" s="294" t="s">
        <v>555</v>
      </c>
      <c r="I5210" s="373"/>
      <c r="J5210" s="926"/>
      <c r="K5210" s="373"/>
      <c r="L5210" s="379"/>
      <c r="M5210" s="927">
        <v>5280000</v>
      </c>
      <c r="N5210" s="295" t="s">
        <v>8</v>
      </c>
      <c r="O5210" s="295" t="s">
        <v>63</v>
      </c>
      <c r="P5210" s="75" t="str">
        <f>IF(AND('331-CT'!$E$7=TH!H4051,OR(N5210="331",O5210="331")),"x","")</f>
        <v/>
      </c>
      <c r="Q5210" s="75" t="str">
        <f>IF(AND(B5210='111'!$L$11,OR($N5210=$Q$7,$O5210=$Q$7)),"x","")</f>
        <v/>
      </c>
      <c r="R5210" s="75" t="str">
        <f>IF(AND($N5210=$Q$7,$B5210&lt;'111'!$L$11),"x","")</f>
        <v/>
      </c>
      <c r="S5210" s="75" t="str">
        <f>IF(AND($O5210=$Q$7,$B5210&lt;'111'!$L$11),"x","")</f>
        <v>x</v>
      </c>
      <c r="T5210" s="75" t="str">
        <f>IF(ISERROR(FIND('112'!$M$9,G5210,1)),"",IF((AND(FIND('112'!$M$9,G5210,1)&gt;=1,B5210='112'!$K$9,OR($N5210='112'!$I$6,$O5210='112'!$I$6))),"x",""))</f>
        <v/>
      </c>
      <c r="U5210" s="75" t="str">
        <f>IF(ISERROR(FIND('112'!$M$9,G5210,1)),"",IF((AND(LEFT(G5210,2)=LEFT('112'!$M$9,2),B5210&lt;'112'!$K$9,$N5210='112'!$I$6)),"x",""))</f>
        <v/>
      </c>
      <c r="V5210" s="75" t="str">
        <f>IF(ISERROR(FIND('112'!$M$9,G5210,1)),"",IF((AND(RIGHT(G5210,2)=RIGHT('112'!$M$9,2),B5210&lt;'112'!$K$9,$O5210='112'!$I$6)),"x",""))</f>
        <v/>
      </c>
      <c r="W5210" s="75" t="str">
        <f>IF(AND('341-CT'!$H$9=H5210,OR(LEFT(N5210,3)=$W$7,LEFT(O5210,3)=$W$7)),"x","")</f>
        <v/>
      </c>
      <c r="X5210" s="75" t="str">
        <f>IF(OR(TH!N4051=TH!$X$7,O5210=TH!$X$7),"x","")</f>
        <v/>
      </c>
      <c r="Y5210" s="75" t="str">
        <f>IF(AND(OR(N5210="131",O5210="131"),H5210='131-CT'!$H$9),"x","")</f>
        <v/>
      </c>
      <c r="Z5210" s="75"/>
      <c r="AA5210" s="75" t="str">
        <f>IF(AND(MONTH(E5210)='IN-NX'!$J$5,'IN-NX'!$D$7=D5210),"x","")</f>
        <v/>
      </c>
      <c r="AB5210" s="75" t="str">
        <f>IF(AND(OR(LEFT(TH!N4051,2)="15",LEFT(TH!O4051,2)="15"),LEFT(TH!O4051,3)&lt;&gt;"111",'152-CT'!$J$8=TH!F4051),"x","")</f>
        <v/>
      </c>
      <c r="AC5210" s="75" t="str">
        <f>IF(AND(OR(LEFT(TH!N4051,2)="15",LEFT(TH!O4051,2)="15"),TK!$E$7=TH!F4051),"x","")</f>
        <v/>
      </c>
      <c r="AD5210" s="75" t="str">
        <f>IF(AND(N5210="1521",MONTH(C5210)='BK-NL'!$M$11),"x","")</f>
        <v/>
      </c>
    </row>
    <row r="5211" spans="1:33" ht="16.5" customHeight="1">
      <c r="A5211" s="309" t="str">
        <f>IF(B5211&lt;&gt;"",IF(AND(B5211='IN-TC'!$S$4,OR(TH!N5199="1111",TH!O5199="1111")),TH!D5199,""),"")</f>
        <v/>
      </c>
      <c r="B5211" s="1244">
        <f t="shared" si="1348"/>
        <v>10</v>
      </c>
      <c r="C5211" s="292">
        <f t="shared" si="1347"/>
        <v>43032</v>
      </c>
      <c r="D5211" s="292"/>
      <c r="E5211" s="292">
        <v>43032</v>
      </c>
      <c r="F5211" s="67" t="s">
        <v>1165</v>
      </c>
      <c r="G5211" s="925" t="s">
        <v>2600</v>
      </c>
      <c r="H5211" s="294" t="s">
        <v>1684</v>
      </c>
      <c r="I5211" s="373"/>
      <c r="J5211" s="926"/>
      <c r="K5211" s="373"/>
      <c r="L5211" s="379"/>
      <c r="M5211" s="927">
        <v>19762050</v>
      </c>
      <c r="N5211" s="295" t="s">
        <v>8</v>
      </c>
      <c r="O5211" s="295" t="s">
        <v>63</v>
      </c>
      <c r="P5211" s="75" t="str">
        <f>IF(AND('331-CT'!$E$7=TH!H4052,OR(N5211="331",O5211="331")),"x","")</f>
        <v/>
      </c>
      <c r="Q5211" s="75" t="str">
        <f>IF(AND(B5211='111'!$L$11,OR($N5211=$Q$7,$O5211=$Q$7)),"x","")</f>
        <v/>
      </c>
      <c r="R5211" s="75" t="str">
        <f>IF(AND($N5211=$Q$7,$B5211&lt;'111'!$L$11),"x","")</f>
        <v/>
      </c>
      <c r="S5211" s="75" t="str">
        <f>IF(AND($O5211=$Q$7,$B5211&lt;'111'!$L$11),"x","")</f>
        <v>x</v>
      </c>
      <c r="T5211" s="75" t="str">
        <f>IF(ISERROR(FIND('112'!$M$9,G5211,1)),"",IF((AND(FIND('112'!$M$9,G5211,1)&gt;=1,B5211='112'!$K$9,OR($N5211='112'!$I$6,$O5211='112'!$I$6))),"x",""))</f>
        <v/>
      </c>
      <c r="U5211" s="75" t="str">
        <f>IF(ISERROR(FIND('112'!$M$9,G5211,1)),"",IF((AND(LEFT(G5211,2)=LEFT('112'!$M$9,2),B5211&lt;'112'!$K$9,$N5211='112'!$I$6)),"x",""))</f>
        <v/>
      </c>
      <c r="V5211" s="75" t="str">
        <f>IF(ISERROR(FIND('112'!$M$9,G5211,1)),"",IF((AND(RIGHT(G5211,2)=RIGHT('112'!$M$9,2),B5211&lt;'112'!$K$9,$O5211='112'!$I$6)),"x",""))</f>
        <v/>
      </c>
      <c r="W5211" s="75" t="str">
        <f>IF(AND('341-CT'!$H$9=H5211,OR(LEFT(N5211,3)=$W$7,LEFT(O5211,3)=$W$7)),"x","")</f>
        <v/>
      </c>
      <c r="X5211" s="75" t="str">
        <f>IF(OR(TH!N4052=TH!$X$7,O5211=TH!$X$7),"x","")</f>
        <v/>
      </c>
      <c r="Y5211" s="75" t="str">
        <f>IF(AND(OR(N5211="131",O5211="131"),H5211='131-CT'!$H$9),"x","")</f>
        <v/>
      </c>
      <c r="Z5211" s="75"/>
      <c r="AA5211" s="75" t="str">
        <f>IF(AND(MONTH(E5211)='IN-NX'!$J$5,'IN-NX'!$D$7=D5211),"x","")</f>
        <v/>
      </c>
      <c r="AB5211" s="75" t="str">
        <f>IF(AND(OR(LEFT(TH!N4052,2)="15",LEFT(TH!O4052,2)="15"),LEFT(TH!O4052,3)&lt;&gt;"111",'152-CT'!$J$8=TH!F4052),"x","")</f>
        <v/>
      </c>
      <c r="AC5211" s="75" t="str">
        <f>IF(AND(OR(LEFT(TH!N4052,2)="15",LEFT(TH!O4052,2)="15"),TK!$E$7=TH!F4052),"x","")</f>
        <v/>
      </c>
      <c r="AD5211" s="75" t="str">
        <f>IF(AND(N5211="1521",MONTH(C5211)='BK-NL'!$M$11),"x","")</f>
        <v/>
      </c>
    </row>
    <row r="5212" spans="1:33" ht="16.5" customHeight="1">
      <c r="A5212" s="309" t="str">
        <f>IF(B5212&lt;&gt;"",IF(AND(B5212='IN-TC'!$S$4,OR(TH!N5200="1111",TH!O5200="1111")),TH!D5200,""),"")</f>
        <v/>
      </c>
      <c r="B5212" s="1244">
        <f t="shared" si="1348"/>
        <v>10</v>
      </c>
      <c r="C5212" s="292">
        <f t="shared" si="1347"/>
        <v>43032</v>
      </c>
      <c r="D5212" s="292"/>
      <c r="E5212" s="292">
        <v>43032</v>
      </c>
      <c r="F5212" s="293" t="s">
        <v>1334</v>
      </c>
      <c r="G5212" s="925" t="s">
        <v>2706</v>
      </c>
      <c r="H5212" s="294" t="s">
        <v>1333</v>
      </c>
      <c r="I5212" s="373"/>
      <c r="J5212" s="926"/>
      <c r="K5212" s="373"/>
      <c r="L5212" s="379"/>
      <c r="M5212" s="927">
        <v>3818182</v>
      </c>
      <c r="N5212" s="295" t="s">
        <v>539</v>
      </c>
      <c r="O5212" s="295" t="s">
        <v>63</v>
      </c>
      <c r="P5212" s="75" t="str">
        <f>IF(AND('331-CT'!$E$7=TH!H4053,OR(N5212="331",O5212="331")),"x","")</f>
        <v/>
      </c>
      <c r="Q5212" s="75" t="str">
        <f>IF(AND(B5212='111'!$L$11,OR($N5212=$Q$7,$O5212=$Q$7)),"x","")</f>
        <v/>
      </c>
      <c r="R5212" s="75" t="str">
        <f>IF(AND($N5212=$Q$7,$B5212&lt;'111'!$L$11),"x","")</f>
        <v/>
      </c>
      <c r="S5212" s="75" t="str">
        <f>IF(AND($O5212=$Q$7,$B5212&lt;'111'!$L$11),"x","")</f>
        <v>x</v>
      </c>
      <c r="T5212" s="75" t="str">
        <f>IF(ISERROR(FIND('112'!$M$9,G5212,1)),"",IF((AND(FIND('112'!$M$9,G5212,1)&gt;=1,B5212='112'!$K$9,OR($N5212='112'!$I$6,$O5212='112'!$I$6))),"x",""))</f>
        <v/>
      </c>
      <c r="U5212" s="75" t="str">
        <f>IF(ISERROR(FIND('112'!$M$9,G5212,1)),"",IF((AND(LEFT(G5212,2)=LEFT('112'!$M$9,2),B5212&lt;'112'!$K$9,$N5212='112'!$I$6)),"x",""))</f>
        <v/>
      </c>
      <c r="V5212" s="75" t="str">
        <f>IF(ISERROR(FIND('112'!$M$9,G5212,1)),"",IF((AND(RIGHT(G5212,2)=RIGHT('112'!$M$9,2),B5212&lt;'112'!$K$9,$O5212='112'!$I$6)),"x",""))</f>
        <v/>
      </c>
      <c r="W5212" s="75" t="str">
        <f>IF(AND('341-CT'!$H$9=H5212,OR(LEFT(N5212,3)=$W$7,LEFT(O5212,3)=$W$7)),"x","")</f>
        <v/>
      </c>
      <c r="X5212" s="75" t="str">
        <f>IF(OR(TH!N4053=TH!$X$7,O5212=TH!$X$7),"x","")</f>
        <v/>
      </c>
      <c r="Y5212" s="75" t="str">
        <f>IF(AND(OR(N5212="131",O5212="131"),H5212='131-CT'!$H$9),"x","")</f>
        <v/>
      </c>
      <c r="Z5212" s="75"/>
      <c r="AA5212" s="75" t="str">
        <f>IF(AND(MONTH(E5212)='IN-NX'!$J$5,'IN-NX'!$D$7=D5212),"x","")</f>
        <v/>
      </c>
      <c r="AB5212" s="75" t="str">
        <f>IF(AND(OR(LEFT(TH!N4053,2)="15",LEFT(TH!O4053,2)="15"),LEFT(TH!O4053,3)&lt;&gt;"111",'152-CT'!$J$8=TH!F4053),"x","")</f>
        <v/>
      </c>
      <c r="AC5212" s="75" t="str">
        <f>IF(AND(OR(LEFT(TH!N4053,2)="15",LEFT(TH!O4053,2)="15"),TK!$E$7=TH!F4053),"x","")</f>
        <v/>
      </c>
      <c r="AD5212" s="75" t="str">
        <f>IF(AND(N5212="1521",MONTH(C5212)='BK-NL'!$M$11),"x","")</f>
        <v/>
      </c>
      <c r="AE5212">
        <v>11</v>
      </c>
    </row>
    <row r="5213" spans="1:33" ht="16.5" customHeight="1">
      <c r="A5213" s="309" t="str">
        <f>IF(B5213&lt;&gt;"",IF(AND(B5213='IN-TC'!$S$4,OR(TH!N5201="1111",TH!O5201="1111")),TH!D5201,""),"")</f>
        <v/>
      </c>
      <c r="B5213" s="1244">
        <f t="shared" si="1348"/>
        <v>10</v>
      </c>
      <c r="C5213" s="292">
        <f t="shared" si="1347"/>
        <v>43032</v>
      </c>
      <c r="D5213" s="292"/>
      <c r="E5213" s="292">
        <v>43032</v>
      </c>
      <c r="F5213" s="293" t="s">
        <v>1335</v>
      </c>
      <c r="G5213" s="925" t="s">
        <v>2706</v>
      </c>
      <c r="H5213" s="294" t="s">
        <v>1333</v>
      </c>
      <c r="I5213" s="373"/>
      <c r="J5213" s="926"/>
      <c r="K5213" s="373"/>
      <c r="L5213" s="379"/>
      <c r="M5213" s="927">
        <v>381818</v>
      </c>
      <c r="N5213" s="295" t="s">
        <v>9</v>
      </c>
      <c r="O5213" s="295" t="s">
        <v>63</v>
      </c>
      <c r="P5213" s="75" t="str">
        <f>IF(AND('331-CT'!$E$7=TH!H4054,OR(N5213="331",O5213="331")),"x","")</f>
        <v/>
      </c>
      <c r="Q5213" s="75" t="str">
        <f>IF(AND(B5213='111'!$L$11,OR($N5213=$Q$7,$O5213=$Q$7)),"x","")</f>
        <v/>
      </c>
      <c r="R5213" s="75" t="str">
        <f>IF(AND($N5213=$Q$7,$B5213&lt;'111'!$L$11),"x","")</f>
        <v/>
      </c>
      <c r="S5213" s="75" t="str">
        <f>IF(AND($O5213=$Q$7,$B5213&lt;'111'!$L$11),"x","")</f>
        <v>x</v>
      </c>
      <c r="T5213" s="75" t="str">
        <f>IF(ISERROR(FIND('112'!$M$9,G5213,1)),"",IF((AND(FIND('112'!$M$9,G5213,1)&gt;=1,B5213='112'!$K$9,OR($N5213='112'!$I$6,$O5213='112'!$I$6))),"x",""))</f>
        <v/>
      </c>
      <c r="U5213" s="75" t="str">
        <f>IF(ISERROR(FIND('112'!$M$9,G5213,1)),"",IF((AND(LEFT(G5213,2)=LEFT('112'!$M$9,2),B5213&lt;'112'!$K$9,$N5213='112'!$I$6)),"x",""))</f>
        <v/>
      </c>
      <c r="V5213" s="75" t="str">
        <f>IF(ISERROR(FIND('112'!$M$9,G5213,1)),"",IF((AND(RIGHT(G5213,2)=RIGHT('112'!$M$9,2),B5213&lt;'112'!$K$9,$O5213='112'!$I$6)),"x",""))</f>
        <v/>
      </c>
      <c r="W5213" s="75" t="str">
        <f>IF(AND('341-CT'!$H$9=H5213,OR(LEFT(N5213,3)=$W$7,LEFT(O5213,3)=$W$7)),"x","")</f>
        <v/>
      </c>
      <c r="X5213" s="75" t="str">
        <f>IF(OR(TH!N4054=TH!$X$7,O5213=TH!$X$7),"x","")</f>
        <v/>
      </c>
      <c r="Y5213" s="75" t="str">
        <f>IF(AND(OR(N5213="131",O5213="131"),H5213='131-CT'!$H$9),"x","")</f>
        <v/>
      </c>
      <c r="Z5213" s="75"/>
      <c r="AA5213" s="75" t="str">
        <f>IF(AND(MONTH(E5213)='IN-NX'!$J$5,'IN-NX'!$D$7=D5213),"x","")</f>
        <v/>
      </c>
      <c r="AB5213" s="75" t="str">
        <f>IF(AND(OR(LEFT(TH!N4054,2)="15",LEFT(TH!O4054,2)="15"),LEFT(TH!O4054,3)&lt;&gt;"111",'152-CT'!$J$8=TH!F4054),"x","")</f>
        <v/>
      </c>
      <c r="AC5213" s="75" t="str">
        <f>IF(AND(OR(LEFT(TH!N4054,2)="15",LEFT(TH!O4054,2)="15"),TK!$E$7=TH!F4054),"x","")</f>
        <v/>
      </c>
      <c r="AD5213" s="75" t="str">
        <f>IF(AND(N5213="1521",MONTH(C5213)='BK-NL'!$M$11),"x","")</f>
        <v/>
      </c>
      <c r="AE5213">
        <v>11</v>
      </c>
    </row>
    <row r="5214" spans="1:33" ht="16.5" customHeight="1">
      <c r="A5214" s="309" t="str">
        <f>IF(B5214&lt;&gt;"",IF(AND(B5214='IN-TC'!$S$4,OR(TH!N5202="1111",TH!O5202="1111")),TH!D5202,""),"")</f>
        <v/>
      </c>
      <c r="B5214" s="1244">
        <f t="shared" si="1348"/>
        <v>10</v>
      </c>
      <c r="C5214" s="292">
        <f t="shared" si="1347"/>
        <v>43032</v>
      </c>
      <c r="D5214" s="292"/>
      <c r="E5214" s="292">
        <v>43032</v>
      </c>
      <c r="F5214" s="67" t="s">
        <v>1029</v>
      </c>
      <c r="G5214" s="925" t="s">
        <v>2738</v>
      </c>
      <c r="H5214" s="294" t="s">
        <v>948</v>
      </c>
      <c r="I5214" s="373"/>
      <c r="J5214" s="926"/>
      <c r="K5214" s="373"/>
      <c r="L5214" s="379"/>
      <c r="M5214" s="927">
        <v>927273</v>
      </c>
      <c r="N5214" s="295" t="s">
        <v>539</v>
      </c>
      <c r="O5214" s="295" t="s">
        <v>63</v>
      </c>
      <c r="P5214" s="75" t="str">
        <f>IF(AND('331-CT'!$E$7=TH!H4055,OR(N5214="331",O5214="331")),"x","")</f>
        <v/>
      </c>
      <c r="Q5214" s="75" t="str">
        <f>IF(AND(B5214='111'!$L$11,OR($N5214=$Q$7,$O5214=$Q$7)),"x","")</f>
        <v/>
      </c>
      <c r="R5214" s="75" t="str">
        <f>IF(AND($N5214=$Q$7,$B5214&lt;'111'!$L$11),"x","")</f>
        <v/>
      </c>
      <c r="S5214" s="75" t="str">
        <f>IF(AND($O5214=$Q$7,$B5214&lt;'111'!$L$11),"x","")</f>
        <v>x</v>
      </c>
      <c r="T5214" s="75" t="str">
        <f>IF(ISERROR(FIND('112'!$M$9,G5214,1)),"",IF((AND(FIND('112'!$M$9,G5214,1)&gt;=1,B5214='112'!$K$9,OR($N5214='112'!$I$6,$O5214='112'!$I$6))),"x",""))</f>
        <v/>
      </c>
      <c r="U5214" s="75" t="str">
        <f>IF(ISERROR(FIND('112'!$M$9,G5214,1)),"",IF((AND(LEFT(G5214,2)=LEFT('112'!$M$9,2),B5214&lt;'112'!$K$9,$N5214='112'!$I$6)),"x",""))</f>
        <v/>
      </c>
      <c r="V5214" s="75" t="str">
        <f>IF(ISERROR(FIND('112'!$M$9,G5214,1)),"",IF((AND(RIGHT(G5214,2)=RIGHT('112'!$M$9,2),B5214&lt;'112'!$K$9,$O5214='112'!$I$6)),"x",""))</f>
        <v/>
      </c>
      <c r="W5214" s="75" t="str">
        <f>IF(AND('341-CT'!$H$9=H5214,OR(LEFT(N5214,3)=$W$7,LEFT(O5214,3)=$W$7)),"x","")</f>
        <v/>
      </c>
      <c r="X5214" s="75" t="str">
        <f>IF(OR(TH!N4055=TH!$X$7,O5214=TH!$X$7),"x","")</f>
        <v/>
      </c>
      <c r="Y5214" s="75" t="str">
        <f>IF(AND(OR(N5214="131",O5214="131"),H5214='131-CT'!$H$9),"x","")</f>
        <v/>
      </c>
      <c r="Z5214" s="75"/>
      <c r="AA5214" s="75" t="str">
        <f>IF(AND(MONTH(E5214)='IN-NX'!$J$5,'IN-NX'!$D$7=D5214),"x","")</f>
        <v/>
      </c>
      <c r="AB5214" s="75" t="str">
        <f>IF(AND(OR(LEFT(TH!N4055,2)="15",LEFT(TH!O4055,2)="15"),LEFT(TH!O4055,3)&lt;&gt;"111",'152-CT'!$J$8=TH!F4055),"x","")</f>
        <v/>
      </c>
      <c r="AC5214" s="75" t="str">
        <f>IF(AND(OR(LEFT(TH!N4055,2)="15",LEFT(TH!O4055,2)="15"),TK!$E$7=TH!F4055),"x","")</f>
        <v/>
      </c>
      <c r="AD5214" s="75" t="str">
        <f>IF(AND(N5214="1521",MONTH(C5214)='BK-NL'!$M$11),"x","")</f>
        <v/>
      </c>
      <c r="AE5214">
        <v>11</v>
      </c>
    </row>
    <row r="5215" spans="1:33" ht="16.5" customHeight="1">
      <c r="A5215" s="309" t="str">
        <f>IF(B5215&lt;&gt;"",IF(AND(B5215='IN-TC'!$S$4,OR(TH!N5203="1111",TH!O5203="1111")),TH!D5203,""),"")</f>
        <v/>
      </c>
      <c r="B5215" s="1244">
        <f t="shared" si="1348"/>
        <v>10</v>
      </c>
      <c r="C5215" s="292">
        <f t="shared" si="1347"/>
        <v>43032</v>
      </c>
      <c r="D5215" s="292"/>
      <c r="E5215" s="292">
        <v>43032</v>
      </c>
      <c r="F5215" s="67" t="s">
        <v>1030</v>
      </c>
      <c r="G5215" s="925" t="s">
        <v>2738</v>
      </c>
      <c r="H5215" s="294" t="s">
        <v>948</v>
      </c>
      <c r="I5215" s="373"/>
      <c r="J5215" s="926"/>
      <c r="K5215" s="373"/>
      <c r="L5215" s="379"/>
      <c r="M5215" s="927">
        <v>92727</v>
      </c>
      <c r="N5215" s="295" t="s">
        <v>9</v>
      </c>
      <c r="O5215" s="295" t="s">
        <v>63</v>
      </c>
      <c r="P5215" s="75" t="str">
        <f>IF(AND('331-CT'!$E$7=TH!H4056,OR(N5215="331",O5215="331")),"x","")</f>
        <v/>
      </c>
      <c r="Q5215" s="75" t="str">
        <f>IF(AND(B5215='111'!$L$11,OR($N5215=$Q$7,$O5215=$Q$7)),"x","")</f>
        <v/>
      </c>
      <c r="R5215" s="75" t="str">
        <f>IF(AND($N5215=$Q$7,$B5215&lt;'111'!$L$11),"x","")</f>
        <v/>
      </c>
      <c r="S5215" s="75" t="str">
        <f>IF(AND($O5215=$Q$7,$B5215&lt;'111'!$L$11),"x","")</f>
        <v>x</v>
      </c>
      <c r="T5215" s="75" t="str">
        <f>IF(ISERROR(FIND('112'!$M$9,G5215,1)),"",IF((AND(FIND('112'!$M$9,G5215,1)&gt;=1,B5215='112'!$K$9,OR($N5215='112'!$I$6,$O5215='112'!$I$6))),"x",""))</f>
        <v/>
      </c>
      <c r="U5215" s="75" t="str">
        <f>IF(ISERROR(FIND('112'!$M$9,G5215,1)),"",IF((AND(LEFT(G5215,2)=LEFT('112'!$M$9,2),B5215&lt;'112'!$K$9,$N5215='112'!$I$6)),"x",""))</f>
        <v/>
      </c>
      <c r="V5215" s="75" t="str">
        <f>IF(ISERROR(FIND('112'!$M$9,G5215,1)),"",IF((AND(RIGHT(G5215,2)=RIGHT('112'!$M$9,2),B5215&lt;'112'!$K$9,$O5215='112'!$I$6)),"x",""))</f>
        <v/>
      </c>
      <c r="W5215" s="75" t="str">
        <f>IF(AND('341-CT'!$H$9=H5215,OR(LEFT(N5215,3)=$W$7,LEFT(O5215,3)=$W$7)),"x","")</f>
        <v/>
      </c>
      <c r="X5215" s="75" t="str">
        <f>IF(OR(TH!N4056=TH!$X$7,O5215=TH!$X$7),"x","")</f>
        <v/>
      </c>
      <c r="Y5215" s="75" t="str">
        <f>IF(AND(OR(N5215="131",O5215="131"),H5215='131-CT'!$H$9),"x","")</f>
        <v/>
      </c>
      <c r="Z5215" s="75"/>
      <c r="AA5215" s="75" t="str">
        <f>IF(AND(MONTH(E5215)='IN-NX'!$J$5,'IN-NX'!$D$7=D5215),"x","")</f>
        <v/>
      </c>
      <c r="AB5215" s="75" t="str">
        <f>IF(AND(OR(LEFT(TH!N4056,2)="15",LEFT(TH!O4056,2)="15"),LEFT(TH!O4056,3)&lt;&gt;"111",'152-CT'!$J$8=TH!F4056),"x","")</f>
        <v/>
      </c>
      <c r="AC5215" s="75" t="str">
        <f>IF(AND(OR(LEFT(TH!N4056,2)="15",LEFT(TH!O4056,2)="15"),TK!$E$7=TH!F4056),"x","")</f>
        <v/>
      </c>
      <c r="AD5215" s="75" t="str">
        <f>IF(AND(N5215="1521",MONTH(C5215)='BK-NL'!$M$11),"x","")</f>
        <v/>
      </c>
      <c r="AE5215">
        <v>11</v>
      </c>
    </row>
    <row r="5216" spans="1:33" ht="16.5" customHeight="1">
      <c r="A5216" s="309" t="str">
        <f>IF(B5216&lt;&gt;"",IF(AND(B5216='IN-TC'!$S$4,OR(TH!N5204="1111",TH!O5204="1111")),TH!D5204,""),"")</f>
        <v/>
      </c>
      <c r="B5216" s="1243">
        <f t="shared" si="1348"/>
        <v>10</v>
      </c>
      <c r="C5216" s="292">
        <f t="shared" si="1347"/>
        <v>43032</v>
      </c>
      <c r="D5216" s="292"/>
      <c r="E5216" s="292">
        <v>43032</v>
      </c>
      <c r="F5216" s="1010" t="s">
        <v>1881</v>
      </c>
      <c r="G5216" s="925"/>
      <c r="H5216" s="311" t="s">
        <v>1890</v>
      </c>
      <c r="I5216" s="373"/>
      <c r="J5216" s="926"/>
      <c r="K5216" s="373"/>
      <c r="L5216" s="379"/>
      <c r="M5216" s="927">
        <v>391600000</v>
      </c>
      <c r="N5216" s="295" t="s">
        <v>8</v>
      </c>
      <c r="O5216" s="295" t="s">
        <v>63</v>
      </c>
      <c r="P5216" s="75" t="str">
        <f>IF(AND('331-CT'!$E$7=TH!H4341,OR(N5216="331",O5216="331")),"x","")</f>
        <v/>
      </c>
      <c r="Q5216" s="75" t="str">
        <f>IF(AND(B5216='111'!$L$11,OR($N5216=$Q$7,$O5216=$Q$7)),"x","")</f>
        <v/>
      </c>
      <c r="R5216" s="75" t="str">
        <f>IF(AND($N5216=$Q$7,$B5216&lt;'111'!$L$11),"x","")</f>
        <v/>
      </c>
      <c r="S5216" s="75" t="str">
        <f>IF(AND($O5216=$Q$7,$B5216&lt;'111'!$L$11),"x","")</f>
        <v>x</v>
      </c>
      <c r="T5216" s="75" t="str">
        <f>IF(ISERROR(FIND('112'!$M$9,G5216,1)),"",IF((AND(FIND('112'!$M$9,G5216,1)&gt;=1,B5216='112'!$K$9,OR($N5216='112'!$I$6,$O5216='112'!$I$6))),"x",""))</f>
        <v/>
      </c>
      <c r="U5216" s="75" t="str">
        <f>IF(ISERROR(FIND('112'!$M$9,G5216,1)),"",IF((AND(LEFT(G5216,2)=LEFT('112'!$M$9,2),B5216&lt;'112'!$K$9,$N5216='112'!$I$6)),"x",""))</f>
        <v/>
      </c>
      <c r="V5216" s="75" t="str">
        <f>IF(ISERROR(FIND('112'!$M$9,G5216,1)),"",IF((AND(RIGHT(G5216,2)=RIGHT('112'!$M$9,2),B5216&lt;'112'!$K$9,$O5216='112'!$I$6)),"x",""))</f>
        <v/>
      </c>
      <c r="W5216" s="75" t="str">
        <f>IF(AND('341-CT'!$H$9=H5216,OR(LEFT(N5216,3)=$W$7,LEFT(O5216,3)=$W$7)),"x","")</f>
        <v/>
      </c>
      <c r="X5216" s="75" t="str">
        <f>IF(OR(TH!N4341=TH!$X$7,O5216=TH!$X$7),"x","")</f>
        <v/>
      </c>
      <c r="Y5216" s="75" t="str">
        <f>IF(AND(OR(N5216="131",O5216="131"),H5216='131-CT'!$H$9),"x","")</f>
        <v/>
      </c>
      <c r="Z5216" s="75"/>
      <c r="AA5216" s="75" t="str">
        <f>IF(AND(MONTH(E5216)='IN-NX'!$J$5,'IN-NX'!$D$7=D5216),"x","")</f>
        <v/>
      </c>
      <c r="AB5216" s="75" t="str">
        <f>IF(AND(OR(LEFT(TH!N4341,2)="15",LEFT(TH!O4341,2)="15"),LEFT(TH!O4341,3)&lt;&gt;"111",'152-CT'!$J$8=TH!F4341),"x","")</f>
        <v/>
      </c>
      <c r="AC5216" s="75" t="str">
        <f>IF(AND(OR(LEFT(TH!N4341,2)="15",LEFT(TH!O4341,2)="15"),TK!$E$7=TH!F4341),"x","")</f>
        <v/>
      </c>
      <c r="AD5216" s="75" t="str">
        <f>IF(AND(N5216="1521",MONTH(C5216)='BK-NL'!$M$11),"x","")</f>
        <v/>
      </c>
    </row>
    <row r="5217" spans="1:31" ht="16.5" customHeight="1">
      <c r="A5217" s="309" t="str">
        <f>IF(B5217&lt;&gt;"",IF(AND(B5217='IN-TC'!$S$4,OR(TH!N5205="1111",TH!O5205="1111")),TH!D5205,""),"")</f>
        <v/>
      </c>
      <c r="B5217" s="1243">
        <f t="shared" si="1348"/>
        <v>10</v>
      </c>
      <c r="C5217" s="292">
        <f t="shared" si="1347"/>
        <v>43032</v>
      </c>
      <c r="D5217" s="292"/>
      <c r="E5217" s="292">
        <v>43032</v>
      </c>
      <c r="F5217" s="1010" t="s">
        <v>1883</v>
      </c>
      <c r="G5217" s="925"/>
      <c r="H5217" s="311"/>
      <c r="I5217" s="373"/>
      <c r="J5217" s="926"/>
      <c r="K5217" s="373"/>
      <c r="L5217" s="379"/>
      <c r="M5217" s="927">
        <v>215380</v>
      </c>
      <c r="N5217" s="295" t="s">
        <v>101</v>
      </c>
      <c r="O5217" s="295" t="s">
        <v>63</v>
      </c>
      <c r="P5217" s="75" t="str">
        <f>IF(AND('331-CT'!$E$7=TH!H4342,OR(N5217="331",O5217="331")),"x","")</f>
        <v/>
      </c>
      <c r="Q5217" s="75" t="str">
        <f>IF(AND(B5217='111'!$L$11,OR($N5217=$Q$7,$O5217=$Q$7)),"x","")</f>
        <v/>
      </c>
      <c r="R5217" s="75" t="str">
        <f>IF(AND($N5217=$Q$7,$B5217&lt;'111'!$L$11),"x","")</f>
        <v/>
      </c>
      <c r="S5217" s="75" t="str">
        <f>IF(AND($O5217=$Q$7,$B5217&lt;'111'!$L$11),"x","")</f>
        <v>x</v>
      </c>
      <c r="T5217" s="75" t="str">
        <f>IF(ISERROR(FIND('112'!$M$9,G5217,1)),"",IF((AND(FIND('112'!$M$9,G5217,1)&gt;=1,B5217='112'!$K$9,OR($N5217='112'!$I$6,$O5217='112'!$I$6))),"x",""))</f>
        <v/>
      </c>
      <c r="U5217" s="75" t="str">
        <f>IF(ISERROR(FIND('112'!$M$9,G5217,1)),"",IF((AND(LEFT(G5217,2)=LEFT('112'!$M$9,2),B5217&lt;'112'!$K$9,$N5217='112'!$I$6)),"x",""))</f>
        <v/>
      </c>
      <c r="V5217" s="75" t="str">
        <f>IF(ISERROR(FIND('112'!$M$9,G5217,1)),"",IF((AND(RIGHT(G5217,2)=RIGHT('112'!$M$9,2),B5217&lt;'112'!$K$9,$O5217='112'!$I$6)),"x",""))</f>
        <v/>
      </c>
      <c r="W5217" s="75" t="str">
        <f>IF(AND('341-CT'!$H$9=H5217,OR(LEFT(N5217,3)=$W$7,LEFT(O5217,3)=$W$7)),"x","")</f>
        <v/>
      </c>
      <c r="X5217" s="75" t="str">
        <f>IF(OR(TH!N4342=TH!$X$7,O5217=TH!$X$7),"x","")</f>
        <v/>
      </c>
      <c r="Y5217" s="75" t="str">
        <f>IF(AND(OR(N5217="131",O5217="131"),H5217='131-CT'!$H$9),"x","")</f>
        <v/>
      </c>
      <c r="Z5217" s="75"/>
      <c r="AA5217" s="75" t="str">
        <f>IF(AND(MONTH(E5217)='IN-NX'!$J$5,'IN-NX'!$D$7=D5217),"x","")</f>
        <v/>
      </c>
      <c r="AB5217" s="75" t="str">
        <f>IF(AND(OR(LEFT(TH!N4342,2)="15",LEFT(TH!O4342,2)="15"),LEFT(TH!O4342,3)&lt;&gt;"111",'152-CT'!$J$8=TH!F4342),"x","")</f>
        <v/>
      </c>
      <c r="AC5217" s="75" t="str">
        <f>IF(AND(OR(LEFT(TH!N4342,2)="15",LEFT(TH!O4342,2)="15"),TK!$E$7=TH!F4342),"x","")</f>
        <v/>
      </c>
      <c r="AD5217" s="75" t="str">
        <f>IF(AND(N5217="1521",MONTH(C5217)='BK-NL'!$M$11),"x","")</f>
        <v/>
      </c>
    </row>
    <row r="5218" spans="1:31" ht="16.5" customHeight="1">
      <c r="A5218" s="309" t="str">
        <f>IF(B5218&lt;&gt;"",IF(AND(B5218='IN-TC'!$S$4,OR(TH!N5206="1111",TH!O5206="1111")),TH!D5206,""),"")</f>
        <v/>
      </c>
      <c r="B5218" s="1243">
        <f t="shared" si="1348"/>
        <v>10</v>
      </c>
      <c r="C5218" s="292">
        <f t="shared" si="1347"/>
        <v>43032</v>
      </c>
      <c r="D5218" s="292"/>
      <c r="E5218" s="292">
        <v>43032</v>
      </c>
      <c r="F5218" s="1010" t="s">
        <v>1881</v>
      </c>
      <c r="G5218" s="925"/>
      <c r="H5218" s="311" t="s">
        <v>1882</v>
      </c>
      <c r="I5218" s="373"/>
      <c r="J5218" s="926"/>
      <c r="K5218" s="373"/>
      <c r="L5218" s="379"/>
      <c r="M5218" s="927">
        <v>4053558000</v>
      </c>
      <c r="N5218" s="295" t="s">
        <v>8</v>
      </c>
      <c r="O5218" s="295" t="s">
        <v>63</v>
      </c>
      <c r="P5218" s="75" t="str">
        <f>IF(AND('331-CT'!$E$7=TH!H4343,OR(N5218="331",O5218="331")),"x","")</f>
        <v/>
      </c>
      <c r="Q5218" s="75" t="str">
        <f>IF(AND(B5218='111'!$L$11,OR($N5218=$Q$7,$O5218=$Q$7)),"x","")</f>
        <v/>
      </c>
      <c r="R5218" s="75" t="str">
        <f>IF(AND($N5218=$Q$7,$B5218&lt;'111'!$L$11),"x","")</f>
        <v/>
      </c>
      <c r="S5218" s="75" t="str">
        <f>IF(AND($O5218=$Q$7,$B5218&lt;'111'!$L$11),"x","")</f>
        <v>x</v>
      </c>
      <c r="T5218" s="75" t="str">
        <f>IF(ISERROR(FIND('112'!$M$9,G5218,1)),"",IF((AND(FIND('112'!$M$9,G5218,1)&gt;=1,B5218='112'!$K$9,OR($N5218='112'!$I$6,$O5218='112'!$I$6))),"x",""))</f>
        <v/>
      </c>
      <c r="U5218" s="75" t="str">
        <f>IF(ISERROR(FIND('112'!$M$9,G5218,1)),"",IF((AND(LEFT(G5218,2)=LEFT('112'!$M$9,2),B5218&lt;'112'!$K$9,$N5218='112'!$I$6)),"x",""))</f>
        <v/>
      </c>
      <c r="V5218" s="75" t="str">
        <f>IF(ISERROR(FIND('112'!$M$9,G5218,1)),"",IF((AND(RIGHT(G5218,2)=RIGHT('112'!$M$9,2),B5218&lt;'112'!$K$9,$O5218='112'!$I$6)),"x",""))</f>
        <v/>
      </c>
      <c r="W5218" s="75" t="str">
        <f>IF(AND('341-CT'!$H$9=H5218,OR(LEFT(N5218,3)=$W$7,LEFT(O5218,3)=$W$7)),"x","")</f>
        <v/>
      </c>
      <c r="X5218" s="75" t="str">
        <f>IF(OR(TH!N4343=TH!$X$7,O5218=TH!$X$7),"x","")</f>
        <v/>
      </c>
      <c r="Y5218" s="75" t="str">
        <f>IF(AND(OR(N5218="131",O5218="131"),H5218='131-CT'!$H$9),"x","")</f>
        <v/>
      </c>
      <c r="Z5218" s="75"/>
      <c r="AA5218" s="75" t="str">
        <f>IF(AND(MONTH(E5218)='IN-NX'!$J$5,'IN-NX'!$D$7=D5218),"x","")</f>
        <v/>
      </c>
      <c r="AB5218" s="75" t="str">
        <f>IF(AND(OR(LEFT(TH!N4343,2)="15",LEFT(TH!O4343,2)="15"),LEFT(TH!O4343,3)&lt;&gt;"111",'152-CT'!$J$8=TH!F4343),"x","")</f>
        <v/>
      </c>
      <c r="AC5218" s="75" t="str">
        <f>IF(AND(OR(LEFT(TH!N4343,2)="15",LEFT(TH!O4343,2)="15"),TK!$E$7=TH!F4343),"x","")</f>
        <v/>
      </c>
      <c r="AD5218" s="75" t="str">
        <f>IF(AND(N5218="1521",MONTH(C5218)='BK-NL'!$M$11),"x","")</f>
        <v/>
      </c>
    </row>
    <row r="5219" spans="1:31" ht="16.5" customHeight="1">
      <c r="A5219" s="309" t="str">
        <f>IF(B5219&lt;&gt;"",IF(AND(B5219='IN-TC'!$S$4,OR(TH!N5207="1111",TH!O5207="1111")),TH!D5207,""),"")</f>
        <v/>
      </c>
      <c r="B5219" s="1243">
        <f t="shared" si="1348"/>
        <v>10</v>
      </c>
      <c r="C5219" s="292">
        <f t="shared" si="1347"/>
        <v>43032</v>
      </c>
      <c r="D5219" s="292"/>
      <c r="E5219" s="292">
        <v>43032</v>
      </c>
      <c r="F5219" s="1010" t="s">
        <v>1883</v>
      </c>
      <c r="G5219" s="925"/>
      <c r="H5219" s="311"/>
      <c r="I5219" s="373"/>
      <c r="J5219" s="926"/>
      <c r="K5219" s="373"/>
      <c r="L5219" s="379"/>
      <c r="M5219" s="927">
        <v>1100000</v>
      </c>
      <c r="N5219" s="295" t="s">
        <v>101</v>
      </c>
      <c r="O5219" s="295" t="s">
        <v>63</v>
      </c>
      <c r="P5219" s="75" t="str">
        <f>IF(AND('331-CT'!$E$7=TH!H4344,OR(N5219="331",O5219="331")),"x","")</f>
        <v/>
      </c>
      <c r="Q5219" s="75" t="str">
        <f>IF(AND(B5219='111'!$L$11,OR($N5219=$Q$7,$O5219=$Q$7)),"x","")</f>
        <v/>
      </c>
      <c r="R5219" s="75" t="str">
        <f>IF(AND($N5219=$Q$7,$B5219&lt;'111'!$L$11),"x","")</f>
        <v/>
      </c>
      <c r="S5219" s="75" t="str">
        <f>IF(AND($O5219=$Q$7,$B5219&lt;'111'!$L$11),"x","")</f>
        <v>x</v>
      </c>
      <c r="T5219" s="75" t="str">
        <f>IF(ISERROR(FIND('112'!$M$9,G5219,1)),"",IF((AND(FIND('112'!$M$9,G5219,1)&gt;=1,B5219='112'!$K$9,OR($N5219='112'!$I$6,$O5219='112'!$I$6))),"x",""))</f>
        <v/>
      </c>
      <c r="U5219" s="75" t="str">
        <f>IF(ISERROR(FIND('112'!$M$9,G5219,1)),"",IF((AND(LEFT(G5219,2)=LEFT('112'!$M$9,2),B5219&lt;'112'!$K$9,$N5219='112'!$I$6)),"x",""))</f>
        <v/>
      </c>
      <c r="V5219" s="75" t="str">
        <f>IF(ISERROR(FIND('112'!$M$9,G5219,1)),"",IF((AND(RIGHT(G5219,2)=RIGHT('112'!$M$9,2),B5219&lt;'112'!$K$9,$O5219='112'!$I$6)),"x",""))</f>
        <v/>
      </c>
      <c r="W5219" s="75" t="str">
        <f>IF(AND('341-CT'!$H$9=H5219,OR(LEFT(N5219,3)=$W$7,LEFT(O5219,3)=$W$7)),"x","")</f>
        <v/>
      </c>
      <c r="X5219" s="75" t="str">
        <f>IF(OR(TH!N4344=TH!$X$7,O5219=TH!$X$7),"x","")</f>
        <v/>
      </c>
      <c r="Y5219" s="75" t="str">
        <f>IF(AND(OR(N5219="131",O5219="131"),H5219='131-CT'!$H$9),"x","")</f>
        <v/>
      </c>
      <c r="Z5219" s="75"/>
      <c r="AA5219" s="75" t="str">
        <f>IF(AND(MONTH(E5219)='IN-NX'!$J$5,'IN-NX'!$D$7=D5219),"x","")</f>
        <v/>
      </c>
      <c r="AB5219" s="75" t="str">
        <f>IF(AND(OR(LEFT(TH!N4344,2)="15",LEFT(TH!O4344,2)="15"),LEFT(TH!O4344,3)&lt;&gt;"111",'152-CT'!$J$8=TH!F4344),"x","")</f>
        <v/>
      </c>
      <c r="AC5219" s="75" t="str">
        <f>IF(AND(OR(LEFT(TH!N4344,2)="15",LEFT(TH!O4344,2)="15"),TK!$E$7=TH!F4344),"x","")</f>
        <v/>
      </c>
      <c r="AD5219" s="75" t="str">
        <f>IF(AND(N5219="1521",MONTH(C5219)='BK-NL'!$M$11),"x","")</f>
        <v/>
      </c>
    </row>
    <row r="5220" spans="1:31" ht="16.5" customHeight="1">
      <c r="A5220" s="309" t="str">
        <f>IF(B5220&lt;&gt;"",IF(AND(B5220='IN-TC'!$S$4,OR(TH!N5208="1111",TH!O5208="1111")),TH!D5208,""),"")</f>
        <v/>
      </c>
      <c r="B5220" s="1244">
        <f t="shared" si="1348"/>
        <v>10</v>
      </c>
      <c r="C5220" s="292">
        <f t="shared" si="1347"/>
        <v>43032</v>
      </c>
      <c r="D5220" s="292" t="s">
        <v>902</v>
      </c>
      <c r="E5220" s="292">
        <v>43032</v>
      </c>
      <c r="F5220" s="293" t="s">
        <v>897</v>
      </c>
      <c r="G5220" s="293" t="s">
        <v>747</v>
      </c>
      <c r="H5220" s="294" t="s">
        <v>789</v>
      </c>
      <c r="I5220" s="373"/>
      <c r="J5220" s="382"/>
      <c r="K5220" s="373"/>
      <c r="L5220" s="379"/>
      <c r="M5220" s="60">
        <v>4400162000</v>
      </c>
      <c r="N5220" s="295" t="s">
        <v>8</v>
      </c>
      <c r="O5220" s="295" t="s">
        <v>26</v>
      </c>
      <c r="P5220" s="75" t="str">
        <f>IF(AND('331-CT'!$E$7=TH!H5532,OR(N5220="331",O5220="331")),"x","")</f>
        <v/>
      </c>
      <c r="Q5220" s="75" t="str">
        <f>IF(AND(B5220='111'!$L$11,OR($N5220=$Q$7,$O5220=$Q$7)),"x","")</f>
        <v/>
      </c>
      <c r="R5220" s="75" t="str">
        <f>IF(AND($N5220=$Q$7,$B5220&lt;'111'!$L$11),"x","")</f>
        <v/>
      </c>
      <c r="S5220" s="75" t="str">
        <f>IF(AND($O5220=$Q$7,$B5220&lt;'111'!$L$11),"x","")</f>
        <v/>
      </c>
      <c r="T5220" s="75" t="str">
        <f>IF(ISERROR(FIND('112'!$M$9,G5220,1)),"",IF((AND(FIND('112'!$M$9,G5220,1)&gt;=1,B5220='112'!$K$9,OR($N5220='112'!$I$6,$O5220='112'!$I$6))),"x",""))</f>
        <v/>
      </c>
      <c r="U5220" s="75" t="str">
        <f>IF(ISERROR(FIND('112'!$M$9,G5220,1)),"",IF((AND(LEFT(G5220,2)=LEFT('112'!$M$9,2),B5220&lt;'112'!$K$9,$N5220='112'!$I$6)),"x",""))</f>
        <v/>
      </c>
      <c r="V5220" s="75" t="str">
        <f>IF(ISERROR(FIND('112'!$M$9,G5220,1)),"",IF((AND(RIGHT(G5220,2)=RIGHT('112'!$M$9,2),B5220&lt;'112'!$K$9,$O5220='112'!$I$6)),"x",""))</f>
        <v/>
      </c>
      <c r="W5220" s="75" t="str">
        <f>IF(AND('341-CT'!$H$9=H5220,OR(LEFT(N5220,3)=$W$7,LEFT(O5220,3)=$W$7)),"x","")</f>
        <v/>
      </c>
      <c r="X5220" s="75" t="str">
        <f>IF(OR(TH!N5532=TH!$X$7,O5220=TH!$X$7),"x","")</f>
        <v/>
      </c>
      <c r="Y5220" s="75" t="str">
        <f>IF(AND(OR(N5220="131",O5220="131"),H5220='131-CT'!$H$9),"x","")</f>
        <v/>
      </c>
      <c r="Z5220" s="75"/>
      <c r="AA5220" s="75" t="str">
        <f>IF(AND(MONTH(E5220)='IN-NX'!$J$5,'IN-NX'!$D$7=D5220),"x","")</f>
        <v/>
      </c>
      <c r="AB5220" s="75" t="str">
        <f>IF(AND(OR(LEFT(TH!N5532,2)="15",LEFT(TH!O5532,2)="15"),LEFT(TH!O5532,3)&lt;&gt;"111",'152-CT'!$J$8=TH!F5532),"x","")</f>
        <v/>
      </c>
      <c r="AC5220" s="75" t="str">
        <f>IF(AND(OR(LEFT(TH!N5532,2)="15",LEFT(TH!O5532,2)="15"),TK!$E$7=TH!F5532),"x","")</f>
        <v/>
      </c>
      <c r="AD5220" s="75" t="str">
        <f>IF(AND(N5220="1521",MONTH(C5220)='BK-NL'!$M$11),"x","")</f>
        <v/>
      </c>
    </row>
    <row r="5221" spans="1:31" ht="16.5" customHeight="1">
      <c r="A5221" s="309" t="str">
        <f>IF(B5221&lt;&gt;"",IF(AND(B5221='IN-TC'!$S$4,OR(TH!N5209="1111",TH!O5209="1111")),TH!D5209,""),"")</f>
        <v/>
      </c>
      <c r="B5221" s="1244">
        <f t="shared" si="1348"/>
        <v>10</v>
      </c>
      <c r="C5221" s="292">
        <f t="shared" si="1347"/>
        <v>43032</v>
      </c>
      <c r="D5221" s="292" t="s">
        <v>902</v>
      </c>
      <c r="E5221" s="292">
        <v>43032</v>
      </c>
      <c r="F5221" s="293" t="s">
        <v>1307</v>
      </c>
      <c r="G5221" s="293" t="s">
        <v>747</v>
      </c>
      <c r="H5221" s="294" t="s">
        <v>835</v>
      </c>
      <c r="I5221" s="373"/>
      <c r="J5221" s="382"/>
      <c r="K5221" s="373"/>
      <c r="L5221" s="379"/>
      <c r="M5221" s="60">
        <v>1055312</v>
      </c>
      <c r="N5221" s="295" t="s">
        <v>101</v>
      </c>
      <c r="O5221" s="295" t="s">
        <v>26</v>
      </c>
      <c r="P5221" s="75" t="str">
        <f>IF(AND('331-CT'!$E$7=TH!H5533,OR(N5221="331",O5221="331")),"x","")</f>
        <v/>
      </c>
      <c r="Q5221" s="75" t="str">
        <f>IF(AND(B5221='111'!$L$11,OR($N5221=$Q$7,$O5221=$Q$7)),"x","")</f>
        <v/>
      </c>
      <c r="R5221" s="75" t="str">
        <f>IF(AND($N5221=$Q$7,$B5221&lt;'111'!$L$11),"x","")</f>
        <v/>
      </c>
      <c r="S5221" s="75" t="str">
        <f>IF(AND($O5221=$Q$7,$B5221&lt;'111'!$L$11),"x","")</f>
        <v/>
      </c>
      <c r="T5221" s="75" t="str">
        <f>IF(ISERROR(FIND('112'!$M$9,G5221,1)),"",IF((AND(FIND('112'!$M$9,G5221,1)&gt;=1,B5221='112'!$K$9,OR($N5221='112'!$I$6,$O5221='112'!$I$6))),"x",""))</f>
        <v/>
      </c>
      <c r="U5221" s="75" t="str">
        <f>IF(ISERROR(FIND('112'!$M$9,G5221,1)),"",IF((AND(LEFT(G5221,2)=LEFT('112'!$M$9,2),B5221&lt;'112'!$K$9,$N5221='112'!$I$6)),"x",""))</f>
        <v/>
      </c>
      <c r="V5221" s="75" t="str">
        <f>IF(ISERROR(FIND('112'!$M$9,G5221,1)),"",IF((AND(RIGHT(G5221,2)=RIGHT('112'!$M$9,2),B5221&lt;'112'!$K$9,$O5221='112'!$I$6)),"x",""))</f>
        <v/>
      </c>
      <c r="W5221" s="75" t="str">
        <f>IF(AND('341-CT'!$H$9=H5221,OR(LEFT(N5221,3)=$W$7,LEFT(O5221,3)=$W$7)),"x","")</f>
        <v/>
      </c>
      <c r="X5221" s="75" t="str">
        <f>IF(OR(TH!N5533=TH!$X$7,O5221=TH!$X$7),"x","")</f>
        <v/>
      </c>
      <c r="Y5221" s="75" t="str">
        <f>IF(AND(OR(N5221="131",O5221="131"),H5221='131-CT'!$H$9),"x","")</f>
        <v/>
      </c>
      <c r="Z5221" s="75"/>
      <c r="AA5221" s="75" t="str">
        <f>IF(AND(MONTH(E5221)='IN-NX'!$J$5,'IN-NX'!$D$7=D5221),"x","")</f>
        <v/>
      </c>
      <c r="AB5221" s="75" t="str">
        <f>IF(AND(OR(LEFT(TH!N5533,2)="15",LEFT(TH!O5533,2)="15"),LEFT(TH!O5533,3)&lt;&gt;"111",'152-CT'!$J$8=TH!F5533),"x","")</f>
        <v/>
      </c>
      <c r="AC5221" s="75" t="str">
        <f>IF(AND(OR(LEFT(TH!N5533,2)="15",LEFT(TH!O5533,2)="15"),TK!$E$7=TH!F5533),"x","")</f>
        <v/>
      </c>
      <c r="AD5221" s="75" t="str">
        <f>IF(AND(N5221="1521",MONTH(C5221)='BK-NL'!$M$11),"x","")</f>
        <v/>
      </c>
      <c r="AE5221">
        <v>10</v>
      </c>
    </row>
    <row r="5222" spans="1:31" ht="16.5" customHeight="1">
      <c r="A5222" s="309" t="str">
        <f>IF(B5222&lt;&gt;"",IF(AND(B5222='IN-TC'!$S$4,OR(TH!N5210="1111",TH!O5210="1111")),TH!D5210,""),"")</f>
        <v/>
      </c>
      <c r="B5222" s="1244">
        <f t="shared" si="1348"/>
        <v>10</v>
      </c>
      <c r="C5222" s="292">
        <f t="shared" si="1347"/>
        <v>43032</v>
      </c>
      <c r="D5222" s="292" t="s">
        <v>902</v>
      </c>
      <c r="E5222" s="292">
        <v>43032</v>
      </c>
      <c r="F5222" s="293" t="s">
        <v>1314</v>
      </c>
      <c r="G5222" s="293" t="s">
        <v>747</v>
      </c>
      <c r="H5222" s="294" t="s">
        <v>835</v>
      </c>
      <c r="I5222" s="373"/>
      <c r="J5222" s="382"/>
      <c r="K5222" s="373"/>
      <c r="L5222" s="379"/>
      <c r="M5222" s="60">
        <v>105531</v>
      </c>
      <c r="N5222" s="295" t="s">
        <v>9</v>
      </c>
      <c r="O5222" s="295" t="s">
        <v>26</v>
      </c>
      <c r="P5222" s="75" t="str">
        <f>IF(AND('331-CT'!$E$7=TH!H5534,OR(N5222="331",O5222="331")),"x","")</f>
        <v/>
      </c>
      <c r="Q5222" s="75" t="str">
        <f>IF(AND(B5222='111'!$L$11,OR($N5222=$Q$7,$O5222=$Q$7)),"x","")</f>
        <v/>
      </c>
      <c r="R5222" s="75" t="str">
        <f>IF(AND($N5222=$Q$7,$B5222&lt;'111'!$L$11),"x","")</f>
        <v/>
      </c>
      <c r="S5222" s="75" t="str">
        <f>IF(AND($O5222=$Q$7,$B5222&lt;'111'!$L$11),"x","")</f>
        <v/>
      </c>
      <c r="T5222" s="75" t="str">
        <f>IF(ISERROR(FIND('112'!$M$9,G5222,1)),"",IF((AND(FIND('112'!$M$9,G5222,1)&gt;=1,B5222='112'!$K$9,OR($N5222='112'!$I$6,$O5222='112'!$I$6))),"x",""))</f>
        <v/>
      </c>
      <c r="U5222" s="75" t="str">
        <f>IF(ISERROR(FIND('112'!$M$9,G5222,1)),"",IF((AND(LEFT(G5222,2)=LEFT('112'!$M$9,2),B5222&lt;'112'!$K$9,$N5222='112'!$I$6)),"x",""))</f>
        <v/>
      </c>
      <c r="V5222" s="75" t="str">
        <f>IF(ISERROR(FIND('112'!$M$9,G5222,1)),"",IF((AND(RIGHT(G5222,2)=RIGHT('112'!$M$9,2),B5222&lt;'112'!$K$9,$O5222='112'!$I$6)),"x",""))</f>
        <v/>
      </c>
      <c r="W5222" s="75" t="str">
        <f>IF(AND('341-CT'!$H$9=H5222,OR(LEFT(N5222,3)=$W$7,LEFT(O5222,3)=$W$7)),"x","")</f>
        <v/>
      </c>
      <c r="X5222" s="75" t="str">
        <f>IF(OR(TH!N5534=TH!$X$7,O5222=TH!$X$7),"x","")</f>
        <v/>
      </c>
      <c r="Y5222" s="75" t="str">
        <f>IF(AND(OR(N5222="131",O5222="131"),H5222='131-CT'!$H$9),"x","")</f>
        <v/>
      </c>
      <c r="Z5222" s="75"/>
      <c r="AA5222" s="75" t="str">
        <f>IF(AND(MONTH(E5222)='IN-NX'!$J$5,'IN-NX'!$D$7=D5222),"x","")</f>
        <v/>
      </c>
      <c r="AB5222" s="75" t="str">
        <f>IF(AND(OR(LEFT(TH!N5534,2)="15",LEFT(TH!O5534,2)="15"),LEFT(TH!O5534,3)&lt;&gt;"111",'152-CT'!$J$8=TH!F5534),"x","")</f>
        <v/>
      </c>
      <c r="AC5222" s="75" t="str">
        <f>IF(AND(OR(LEFT(TH!N5534,2)="15",LEFT(TH!O5534,2)="15"),TK!$E$7=TH!F5534),"x","")</f>
        <v/>
      </c>
      <c r="AD5222" s="75" t="str">
        <f>IF(AND(N5222="1521",MONTH(C5222)='BK-NL'!$M$11),"x","")</f>
        <v/>
      </c>
      <c r="AE5222">
        <v>10</v>
      </c>
    </row>
    <row r="5223" spans="1:31" ht="16.5" customHeight="1">
      <c r="A5223" s="309" t="str">
        <f>IF(B5223&lt;&gt;"",IF(AND(B5223='IN-TC'!$S$4,OR(TH!N5211="1111",TH!O5211="1111")),TH!D5211,""),"")</f>
        <v/>
      </c>
      <c r="B5223" s="1244">
        <f t="shared" si="1348"/>
        <v>10</v>
      </c>
      <c r="C5223" s="292">
        <f t="shared" si="1347"/>
        <v>43032</v>
      </c>
      <c r="D5223" s="292" t="s">
        <v>902</v>
      </c>
      <c r="E5223" s="292">
        <v>43032</v>
      </c>
      <c r="F5223" s="293" t="s">
        <v>2029</v>
      </c>
      <c r="G5223" s="293" t="s">
        <v>747</v>
      </c>
      <c r="H5223" s="294" t="s">
        <v>622</v>
      </c>
      <c r="I5223" s="373"/>
      <c r="J5223" s="382"/>
      <c r="K5223" s="373"/>
      <c r="L5223" s="379"/>
      <c r="M5223" s="60">
        <v>400000000</v>
      </c>
      <c r="N5223" s="295" t="s">
        <v>8</v>
      </c>
      <c r="O5223" s="295" t="s">
        <v>26</v>
      </c>
      <c r="P5223" s="75" t="str">
        <f>IF(AND('331-CT'!$E$7=TH!H5535,OR(N5223="331",O5223="331")),"x","")</f>
        <v/>
      </c>
      <c r="Q5223" s="75" t="str">
        <f>IF(AND(B5223='111'!$L$11,OR($N5223=$Q$7,$O5223=$Q$7)),"x","")</f>
        <v/>
      </c>
      <c r="R5223" s="75" t="str">
        <f>IF(AND($N5223=$Q$7,$B5223&lt;'111'!$L$11),"x","")</f>
        <v/>
      </c>
      <c r="S5223" s="75" t="str">
        <f>IF(AND($O5223=$Q$7,$B5223&lt;'111'!$L$11),"x","")</f>
        <v/>
      </c>
      <c r="T5223" s="75" t="str">
        <f>IF(ISERROR(FIND('112'!$M$9,G5223,1)),"",IF((AND(FIND('112'!$M$9,G5223,1)&gt;=1,B5223='112'!$K$9,OR($N5223='112'!$I$6,$O5223='112'!$I$6))),"x",""))</f>
        <v/>
      </c>
      <c r="U5223" s="75" t="str">
        <f>IF(ISERROR(FIND('112'!$M$9,G5223,1)),"",IF((AND(LEFT(G5223,2)=LEFT('112'!$M$9,2),B5223&lt;'112'!$K$9,$N5223='112'!$I$6)),"x",""))</f>
        <v/>
      </c>
      <c r="V5223" s="75" t="str">
        <f>IF(ISERROR(FIND('112'!$M$9,G5223,1)),"",IF((AND(RIGHT(G5223,2)=RIGHT('112'!$M$9,2),B5223&lt;'112'!$K$9,$O5223='112'!$I$6)),"x",""))</f>
        <v/>
      </c>
      <c r="W5223" s="75" t="str">
        <f>IF(AND('341-CT'!$H$9=H5223,OR(LEFT(N5223,3)=$W$7,LEFT(O5223,3)=$W$7)),"x","")</f>
        <v/>
      </c>
      <c r="X5223" s="75" t="str">
        <f>IF(OR(TH!N5535=TH!$X$7,O5223=TH!$X$7),"x","")</f>
        <v/>
      </c>
      <c r="Y5223" s="75" t="str">
        <f>IF(AND(OR(N5223="131",O5223="131"),H5223='131-CT'!$H$9),"x","")</f>
        <v/>
      </c>
      <c r="Z5223" s="75"/>
      <c r="AA5223" s="75" t="str">
        <f>IF(AND(MONTH(E5223)='IN-NX'!$J$5,'IN-NX'!$D$7=D5223),"x","")</f>
        <v/>
      </c>
      <c r="AB5223" s="75" t="str">
        <f>IF(AND(OR(LEFT(TH!N5535,2)="15",LEFT(TH!O5535,2)="15"),LEFT(TH!O5535,3)&lt;&gt;"111",'152-CT'!$J$8=TH!F5535),"x","")</f>
        <v/>
      </c>
      <c r="AC5223" s="75" t="str">
        <f>IF(AND(OR(LEFT(TH!N5535,2)="15",LEFT(TH!O5535,2)="15"),TK!$E$7=TH!F5535),"x","")</f>
        <v/>
      </c>
      <c r="AD5223" s="75" t="str">
        <f>IF(AND(N5223="1521",MONTH(C5223)='BK-NL'!$M$11),"x","")</f>
        <v/>
      </c>
    </row>
    <row r="5224" spans="1:31" ht="16.5" customHeight="1">
      <c r="A5224" s="309" t="str">
        <f>IF(B5224&lt;&gt;"",IF(AND(B5224='IN-TC'!$S$4,OR(TH!N5212="1111",TH!O5212="1111")),TH!D5212,""),"")</f>
        <v/>
      </c>
      <c r="B5224" s="1244">
        <f t="shared" si="1348"/>
        <v>10</v>
      </c>
      <c r="C5224" s="292">
        <f t="shared" si="1347"/>
        <v>43032</v>
      </c>
      <c r="D5224" s="292" t="s">
        <v>902</v>
      </c>
      <c r="E5224" s="292">
        <v>43032</v>
      </c>
      <c r="F5224" s="293" t="s">
        <v>1307</v>
      </c>
      <c r="G5224" s="293" t="s">
        <v>747</v>
      </c>
      <c r="H5224" s="294" t="s">
        <v>835</v>
      </c>
      <c r="I5224" s="373"/>
      <c r="J5224" s="382"/>
      <c r="K5224" s="373"/>
      <c r="L5224" s="379"/>
      <c r="M5224" s="60">
        <v>130000</v>
      </c>
      <c r="N5224" s="295" t="s">
        <v>101</v>
      </c>
      <c r="O5224" s="295" t="s">
        <v>26</v>
      </c>
      <c r="P5224" s="75" t="str">
        <f>IF(AND('331-CT'!$E$7=TH!H5536,OR(N5224="331",O5224="331")),"x","")</f>
        <v/>
      </c>
      <c r="Q5224" s="75" t="str">
        <f>IF(AND(B5224='111'!$L$11,OR($N5224=$Q$7,$O5224=$Q$7)),"x","")</f>
        <v/>
      </c>
      <c r="R5224" s="75" t="str">
        <f>IF(AND($N5224=$Q$7,$B5224&lt;'111'!$L$11),"x","")</f>
        <v/>
      </c>
      <c r="S5224" s="75" t="str">
        <f>IF(AND($O5224=$Q$7,$B5224&lt;'111'!$L$11),"x","")</f>
        <v/>
      </c>
      <c r="T5224" s="75" t="str">
        <f>IF(ISERROR(FIND('112'!$M$9,G5224,1)),"",IF((AND(FIND('112'!$M$9,G5224,1)&gt;=1,B5224='112'!$K$9,OR($N5224='112'!$I$6,$O5224='112'!$I$6))),"x",""))</f>
        <v/>
      </c>
      <c r="U5224" s="75" t="str">
        <f>IF(ISERROR(FIND('112'!$M$9,G5224,1)),"",IF((AND(LEFT(G5224,2)=LEFT('112'!$M$9,2),B5224&lt;'112'!$K$9,$N5224='112'!$I$6)),"x",""))</f>
        <v/>
      </c>
      <c r="V5224" s="75" t="str">
        <f>IF(ISERROR(FIND('112'!$M$9,G5224,1)),"",IF((AND(RIGHT(G5224,2)=RIGHT('112'!$M$9,2),B5224&lt;'112'!$K$9,$O5224='112'!$I$6)),"x",""))</f>
        <v/>
      </c>
      <c r="W5224" s="75" t="str">
        <f>IF(AND('341-CT'!$H$9=H5224,OR(LEFT(N5224,3)=$W$7,LEFT(O5224,3)=$W$7)),"x","")</f>
        <v/>
      </c>
      <c r="X5224" s="75" t="str">
        <f>IF(OR(TH!N5536=TH!$X$7,O5224=TH!$X$7),"x","")</f>
        <v/>
      </c>
      <c r="Y5224" s="75" t="str">
        <f>IF(AND(OR(N5224="131",O5224="131"),H5224='131-CT'!$H$9),"x","")</f>
        <v/>
      </c>
      <c r="Z5224" s="75"/>
      <c r="AA5224" s="75" t="str">
        <f>IF(AND(MONTH(E5224)='IN-NX'!$J$5,'IN-NX'!$D$7=D5224),"x","")</f>
        <v/>
      </c>
      <c r="AB5224" s="75" t="str">
        <f>IF(AND(OR(LEFT(TH!N5536,2)="15",LEFT(TH!O5536,2)="15"),LEFT(TH!O5536,3)&lt;&gt;"111",'152-CT'!$J$8=TH!F5536),"x","")</f>
        <v/>
      </c>
      <c r="AC5224" s="75" t="str">
        <f>IF(AND(OR(LEFT(TH!N5536,2)="15",LEFT(TH!O5536,2)="15"),TK!$E$7=TH!F5536),"x","")</f>
        <v/>
      </c>
      <c r="AD5224" s="75" t="str">
        <f>IF(AND(N5224="1521",MONTH(C5224)='BK-NL'!$M$11),"x","")</f>
        <v/>
      </c>
      <c r="AE5224">
        <v>10</v>
      </c>
    </row>
    <row r="5225" spans="1:31" ht="16.5" customHeight="1">
      <c r="A5225" s="309" t="str">
        <f>IF(B5225&lt;&gt;"",IF(AND(B5225='IN-TC'!$S$4,OR(TH!N5213="1111",TH!O5213="1111")),TH!D5213,""),"")</f>
        <v/>
      </c>
      <c r="B5225" s="1244">
        <f t="shared" si="1348"/>
        <v>10</v>
      </c>
      <c r="C5225" s="292">
        <f t="shared" si="1347"/>
        <v>43032</v>
      </c>
      <c r="D5225" s="292" t="s">
        <v>902</v>
      </c>
      <c r="E5225" s="292">
        <v>43032</v>
      </c>
      <c r="F5225" s="293" t="s">
        <v>1314</v>
      </c>
      <c r="G5225" s="293" t="s">
        <v>747</v>
      </c>
      <c r="H5225" s="294" t="s">
        <v>835</v>
      </c>
      <c r="I5225" s="373"/>
      <c r="J5225" s="382"/>
      <c r="K5225" s="373"/>
      <c r="L5225" s="379"/>
      <c r="M5225" s="60">
        <v>13000</v>
      </c>
      <c r="N5225" s="295" t="s">
        <v>9</v>
      </c>
      <c r="O5225" s="295" t="s">
        <v>26</v>
      </c>
      <c r="P5225" s="75" t="str">
        <f>IF(AND('331-CT'!$E$7=TH!H5537,OR(N5225="331",O5225="331")),"x","")</f>
        <v/>
      </c>
      <c r="Q5225" s="75" t="str">
        <f>IF(AND(B5225='111'!$L$11,OR($N5225=$Q$7,$O5225=$Q$7)),"x","")</f>
        <v/>
      </c>
      <c r="R5225" s="75" t="str">
        <f>IF(AND($N5225=$Q$7,$B5225&lt;'111'!$L$11),"x","")</f>
        <v/>
      </c>
      <c r="S5225" s="75" t="str">
        <f>IF(AND($O5225=$Q$7,$B5225&lt;'111'!$L$11),"x","")</f>
        <v/>
      </c>
      <c r="T5225" s="75" t="str">
        <f>IF(ISERROR(FIND('112'!$M$9,G5225,1)),"",IF((AND(FIND('112'!$M$9,G5225,1)&gt;=1,B5225='112'!$K$9,OR($N5225='112'!$I$6,$O5225='112'!$I$6))),"x",""))</f>
        <v/>
      </c>
      <c r="U5225" s="75" t="str">
        <f>IF(ISERROR(FIND('112'!$M$9,G5225,1)),"",IF((AND(LEFT(G5225,2)=LEFT('112'!$M$9,2),B5225&lt;'112'!$K$9,$N5225='112'!$I$6)),"x",""))</f>
        <v/>
      </c>
      <c r="V5225" s="75" t="str">
        <f>IF(ISERROR(FIND('112'!$M$9,G5225,1)),"",IF((AND(RIGHT(G5225,2)=RIGHT('112'!$M$9,2),B5225&lt;'112'!$K$9,$O5225='112'!$I$6)),"x",""))</f>
        <v/>
      </c>
      <c r="W5225" s="75" t="str">
        <f>IF(AND('341-CT'!$H$9=H5225,OR(LEFT(N5225,3)=$W$7,LEFT(O5225,3)=$W$7)),"x","")</f>
        <v/>
      </c>
      <c r="X5225" s="75" t="str">
        <f>IF(OR(TH!N5537=TH!$X$7,O5225=TH!$X$7),"x","")</f>
        <v/>
      </c>
      <c r="Y5225" s="75" t="str">
        <f>IF(AND(OR(N5225="131",O5225="131"),H5225='131-CT'!$H$9),"x","")</f>
        <v/>
      </c>
      <c r="Z5225" s="75"/>
      <c r="AA5225" s="75" t="str">
        <f>IF(AND(MONTH(E5225)='IN-NX'!$J$5,'IN-NX'!$D$7=D5225),"x","")</f>
        <v/>
      </c>
      <c r="AB5225" s="75" t="str">
        <f>IF(AND(OR(LEFT(TH!N5537,2)="15",LEFT(TH!O5537,2)="15"),LEFT(TH!O5537,3)&lt;&gt;"111",'152-CT'!$J$8=TH!F5537),"x","")</f>
        <v/>
      </c>
      <c r="AC5225" s="75" t="str">
        <f>IF(AND(OR(LEFT(TH!N5537,2)="15",LEFT(TH!O5537,2)="15"),TK!$E$7=TH!F5537),"x","")</f>
        <v/>
      </c>
      <c r="AD5225" s="75" t="str">
        <f>IF(AND(N5225="1521",MONTH(C5225)='BK-NL'!$M$11),"x","")</f>
        <v/>
      </c>
      <c r="AE5225">
        <v>10</v>
      </c>
    </row>
    <row r="5226" spans="1:31" ht="16.5" customHeight="1">
      <c r="A5226" s="309" t="str">
        <f>IF(B5226&lt;&gt;"",IF(AND(B5226='IN-TC'!$S$4,OR(TH!N5214="1111",TH!O5214="1111")),TH!D5214,""),"")</f>
        <v/>
      </c>
      <c r="B5226" s="1244">
        <f t="shared" si="1348"/>
        <v>10</v>
      </c>
      <c r="C5226" s="292">
        <f t="shared" si="1347"/>
        <v>43032</v>
      </c>
      <c r="D5226" s="292" t="s">
        <v>902</v>
      </c>
      <c r="E5226" s="292">
        <v>43032</v>
      </c>
      <c r="F5226" s="293" t="s">
        <v>1549</v>
      </c>
      <c r="G5226" s="293" t="s">
        <v>747</v>
      </c>
      <c r="H5226" s="294" t="s">
        <v>835</v>
      </c>
      <c r="I5226" s="1122"/>
      <c r="J5226" s="840"/>
      <c r="K5226" s="375"/>
      <c r="L5226" s="381"/>
      <c r="M5226" s="60">
        <v>227500</v>
      </c>
      <c r="N5226" s="295" t="s">
        <v>101</v>
      </c>
      <c r="O5226" s="295" t="s">
        <v>26</v>
      </c>
      <c r="P5226" s="75" t="str">
        <f>IF(AND('331-CT'!$E$7=TH!H5538,OR(N5226="331",O5226="331")),"x","")</f>
        <v/>
      </c>
      <c r="Q5226" s="75" t="str">
        <f>IF(AND(B5226='111'!$L$11,OR($N5226=$Q$7,$O5226=$Q$7)),"x","")</f>
        <v/>
      </c>
      <c r="R5226" s="75" t="str">
        <f>IF(AND($N5226=$Q$7,$B5226&lt;'111'!$L$11),"x","")</f>
        <v/>
      </c>
      <c r="S5226" s="75" t="str">
        <f>IF(AND($O5226=$Q$7,$B5226&lt;'111'!$L$11),"x","")</f>
        <v/>
      </c>
      <c r="T5226" s="75" t="str">
        <f>IF(ISERROR(FIND('112'!$M$9,G5226,1)),"",IF((AND(FIND('112'!$M$9,G5226,1)&gt;=1,B5226='112'!$K$9,OR($N5226='112'!$I$6,$O5226='112'!$I$6))),"x",""))</f>
        <v/>
      </c>
      <c r="U5226" s="75" t="str">
        <f>IF(ISERROR(FIND('112'!$M$9,G5226,1)),"",IF((AND(LEFT(G5226,2)=LEFT('112'!$M$9,2),B5226&lt;'112'!$K$9,$N5226='112'!$I$6)),"x",""))</f>
        <v/>
      </c>
      <c r="V5226" s="75" t="str">
        <f>IF(ISERROR(FIND('112'!$M$9,G5226,1)),"",IF((AND(RIGHT(G5226,2)=RIGHT('112'!$M$9,2),B5226&lt;'112'!$K$9,$O5226='112'!$I$6)),"x",""))</f>
        <v/>
      </c>
      <c r="W5226" s="75" t="str">
        <f>IF(AND('341-CT'!$H$9=H5226,OR(LEFT(N5226,3)=$W$7,LEFT(O5226,3)=$W$7)),"x","")</f>
        <v/>
      </c>
      <c r="X5226" s="75" t="str">
        <f>IF(OR(TH!N5538=TH!$X$7,O5226=TH!$X$7),"x","")</f>
        <v/>
      </c>
      <c r="Y5226" s="75" t="str">
        <f>IF(AND(OR(N5226="131",O5226="131"),H5226='131-CT'!$H$9),"x","")</f>
        <v/>
      </c>
      <c r="Z5226" s="75"/>
      <c r="AA5226" s="75" t="str">
        <f>IF(AND(MONTH(E5226)='IN-NX'!$J$5,'IN-NX'!$D$7=D5226),"x","")</f>
        <v/>
      </c>
      <c r="AB5226" s="75" t="str">
        <f>IF(AND(OR(LEFT(TH!N5538,2)="15",LEFT(TH!O5538,2)="15"),LEFT(TH!O5538,3)&lt;&gt;"111",'152-CT'!$J$8=TH!F5538),"x","")</f>
        <v/>
      </c>
      <c r="AC5226" s="75" t="str">
        <f>IF(AND(OR(LEFT(TH!N5538,2)="15",LEFT(TH!O5538,2)="15"),TK!$E$7=TH!F5538),"x","")</f>
        <v/>
      </c>
      <c r="AD5226" s="75" t="str">
        <f>IF(AND(N5226="1521",MONTH(C5226)='BK-NL'!$M$11),"x","")</f>
        <v/>
      </c>
    </row>
    <row r="5227" spans="1:31" ht="16.5" customHeight="1">
      <c r="A5227" s="309" t="str">
        <f>IF(B5227&lt;&gt;"",IF(AND(B5227='IN-TC'!$S$4,OR(TH!N5215="1111",TH!O5215="1111")),TH!D5215,""),"")</f>
        <v/>
      </c>
      <c r="B5227" s="1244">
        <f t="shared" si="1348"/>
        <v>10</v>
      </c>
      <c r="C5227" s="292">
        <f t="shared" si="1347"/>
        <v>43032</v>
      </c>
      <c r="D5227" s="292" t="s">
        <v>903</v>
      </c>
      <c r="E5227" s="292">
        <v>43032</v>
      </c>
      <c r="F5227" s="293" t="s">
        <v>914</v>
      </c>
      <c r="G5227" s="293" t="s">
        <v>747</v>
      </c>
      <c r="H5227" s="294" t="s">
        <v>835</v>
      </c>
      <c r="I5227" s="375"/>
      <c r="J5227" s="382"/>
      <c r="K5227" s="375"/>
      <c r="L5227" s="381"/>
      <c r="M5227" s="60">
        <v>267302</v>
      </c>
      <c r="N5227" s="295" t="s">
        <v>26</v>
      </c>
      <c r="O5227" s="295" t="s">
        <v>43</v>
      </c>
      <c r="P5227" s="75" t="str">
        <f>IF(AND('331-CT'!$E$7=TH!H5539,OR(N5227="331",O5227="331")),"x","")</f>
        <v/>
      </c>
      <c r="Q5227" s="75" t="str">
        <f>IF(AND(B5227='111'!$L$11,OR($N5227=$Q$7,$O5227=$Q$7)),"x","")</f>
        <v/>
      </c>
      <c r="R5227" s="75" t="str">
        <f>IF(AND($N5227=$Q$7,$B5227&lt;'111'!$L$11),"x","")</f>
        <v/>
      </c>
      <c r="S5227" s="75" t="str">
        <f>IF(AND($O5227=$Q$7,$B5227&lt;'111'!$L$11),"x","")</f>
        <v/>
      </c>
      <c r="T5227" s="75" t="str">
        <f>IF(ISERROR(FIND('112'!$M$9,G5227,1)),"",IF((AND(FIND('112'!$M$9,G5227,1)&gt;=1,B5227='112'!$K$9,OR($N5227='112'!$I$6,$O5227='112'!$I$6))),"x",""))</f>
        <v/>
      </c>
      <c r="U5227" s="75" t="str">
        <f>IF(ISERROR(FIND('112'!$M$9,G5227,1)),"",IF((AND(LEFT(G5227,2)=LEFT('112'!$M$9,2),B5227&lt;'112'!$K$9,$N5227='112'!$I$6)),"x",""))</f>
        <v/>
      </c>
      <c r="V5227" s="75" t="str">
        <f>IF(ISERROR(FIND('112'!$M$9,G5227,1)),"",IF((AND(RIGHT(G5227,2)=RIGHT('112'!$M$9,2),B5227&lt;'112'!$K$9,$O5227='112'!$I$6)),"x",""))</f>
        <v/>
      </c>
      <c r="W5227" s="75" t="str">
        <f>IF(AND('341-CT'!$H$9=H5227,OR(LEFT(N5227,3)=$W$7,LEFT(O5227,3)=$W$7)),"x","")</f>
        <v/>
      </c>
      <c r="X5227" s="75" t="str">
        <f>IF(OR(TH!N5539=TH!$X$7,O5227=TH!$X$7),"x","")</f>
        <v/>
      </c>
      <c r="Y5227" s="75" t="str">
        <f>IF(AND(OR(N5227="131",O5227="131"),H5227='131-CT'!$H$9),"x","")</f>
        <v/>
      </c>
      <c r="Z5227" s="75"/>
      <c r="AA5227" s="75" t="str">
        <f>IF(AND(MONTH(E5227)='IN-NX'!$J$5,'IN-NX'!$D$7=D5227),"x","")</f>
        <v/>
      </c>
      <c r="AB5227" s="75" t="str">
        <f>IF(AND(OR(LEFT(TH!N5539,2)="15",LEFT(TH!O5539,2)="15"),LEFT(TH!O5539,3)&lt;&gt;"111",'152-CT'!$J$8=TH!F5539),"x","")</f>
        <v/>
      </c>
      <c r="AC5227" s="75" t="str">
        <f>IF(AND(OR(LEFT(TH!N5539,2)="15",LEFT(TH!O5539,2)="15"),TK!$E$7=TH!F5539),"x","")</f>
        <v/>
      </c>
      <c r="AD5227" s="75" t="str">
        <f>IF(AND(N5227="1521",MONTH(C5227)='BK-NL'!$M$11),"x","")</f>
        <v/>
      </c>
    </row>
    <row r="5228" spans="1:31" ht="16.5" customHeight="1">
      <c r="A5228" s="309" t="str">
        <f>IF(B5228&lt;&gt;"",IF(AND(B5228='IN-TC'!$S$4,OR(TH!N5216="1111",TH!O5216="1111")),TH!D5216,""),"")</f>
        <v/>
      </c>
      <c r="B5228" s="1244">
        <f t="shared" si="1348"/>
        <v>10</v>
      </c>
      <c r="C5228" s="292">
        <f t="shared" si="1347"/>
        <v>43033</v>
      </c>
      <c r="D5228" s="292"/>
      <c r="E5228" s="292">
        <v>43033</v>
      </c>
      <c r="F5228" s="67" t="s">
        <v>1499</v>
      </c>
      <c r="G5228" s="925" t="s">
        <v>2518</v>
      </c>
      <c r="H5228" s="294" t="s">
        <v>893</v>
      </c>
      <c r="I5228" s="1219"/>
      <c r="J5228" s="1220"/>
      <c r="K5228" s="373"/>
      <c r="L5228" s="379"/>
      <c r="M5228" s="927">
        <v>2151945</v>
      </c>
      <c r="N5228" s="295" t="s">
        <v>101</v>
      </c>
      <c r="O5228" s="295" t="s">
        <v>63</v>
      </c>
      <c r="P5228" s="75" t="str">
        <f>IF(AND('331-CT'!$E$7=TH!H4057,OR(N5228="331",O5228="331")),"x","")</f>
        <v/>
      </c>
      <c r="Q5228" s="75" t="str">
        <f>IF(AND(B5228='111'!$L$11,OR($N5228=$Q$7,$O5228=$Q$7)),"x","")</f>
        <v/>
      </c>
      <c r="R5228" s="75" t="str">
        <f>IF(AND($N5228=$Q$7,$B5228&lt;'111'!$L$11),"x","")</f>
        <v/>
      </c>
      <c r="S5228" s="75" t="str">
        <f>IF(AND($O5228=$Q$7,$B5228&lt;'111'!$L$11),"x","")</f>
        <v>x</v>
      </c>
      <c r="T5228" s="75" t="str">
        <f>IF(ISERROR(FIND('112'!$M$9,G5228,1)),"",IF((AND(FIND('112'!$M$9,G5228,1)&gt;=1,B5228='112'!$K$9,OR($N5228='112'!$I$6,$O5228='112'!$I$6))),"x",""))</f>
        <v/>
      </c>
      <c r="U5228" s="75" t="str">
        <f>IF(ISERROR(FIND('112'!$M$9,G5228,1)),"",IF((AND(LEFT(G5228,2)=LEFT('112'!$M$9,2),B5228&lt;'112'!$K$9,$N5228='112'!$I$6)),"x",""))</f>
        <v/>
      </c>
      <c r="V5228" s="75" t="str">
        <f>IF(ISERROR(FIND('112'!$M$9,G5228,1)),"",IF((AND(RIGHT(G5228,2)=RIGHT('112'!$M$9,2),B5228&lt;'112'!$K$9,$O5228='112'!$I$6)),"x",""))</f>
        <v/>
      </c>
      <c r="W5228" s="75" t="str">
        <f>IF(AND('341-CT'!$H$9=H5228,OR(LEFT(N5228,3)=$W$7,LEFT(O5228,3)=$W$7)),"x","")</f>
        <v/>
      </c>
      <c r="X5228" s="75" t="str">
        <f>IF(OR(TH!N4057=TH!$X$7,O5228=TH!$X$7),"x","")</f>
        <v/>
      </c>
      <c r="Y5228" s="75" t="str">
        <f>IF(AND(OR(N5228="131",O5228="131"),H5228='131-CT'!$H$9),"x","")</f>
        <v/>
      </c>
      <c r="Z5228" s="75"/>
      <c r="AA5228" s="75" t="str">
        <f>IF(AND(MONTH(E5228)='IN-NX'!$J$5,'IN-NX'!$D$7=D5228),"x","")</f>
        <v/>
      </c>
      <c r="AB5228" s="75" t="str">
        <f>IF(AND(OR(LEFT(TH!N4057,2)="15",LEFT(TH!O4057,2)="15"),LEFT(TH!O4057,3)&lt;&gt;"111",'152-CT'!$J$8=TH!F4057),"x","")</f>
        <v/>
      </c>
      <c r="AC5228" s="75" t="str">
        <f>IF(AND(OR(LEFT(TH!N4057,2)="15",LEFT(TH!O4057,2)="15"),TK!$E$7=TH!F4057),"x","")</f>
        <v/>
      </c>
      <c r="AD5228" s="75" t="str">
        <f>IF(AND(N5228="1521",MONTH(C5228)='BK-NL'!$M$11),"x","")</f>
        <v/>
      </c>
      <c r="AE5228">
        <v>10</v>
      </c>
    </row>
    <row r="5229" spans="1:31" ht="16.5" customHeight="1">
      <c r="A5229" s="309" t="str">
        <f>IF(B5229&lt;&gt;"",IF(AND(B5229='IN-TC'!$S$4,OR(TH!N5217="1111",TH!O5217="1111")),TH!D5217,""),"")</f>
        <v/>
      </c>
      <c r="B5229" s="1244">
        <f t="shared" si="1348"/>
        <v>10</v>
      </c>
      <c r="C5229" s="292">
        <f t="shared" si="1347"/>
        <v>43033</v>
      </c>
      <c r="D5229" s="292"/>
      <c r="E5229" s="292">
        <v>43033</v>
      </c>
      <c r="F5229" s="67" t="s">
        <v>1500</v>
      </c>
      <c r="G5229" s="925" t="s">
        <v>2518</v>
      </c>
      <c r="H5229" s="294" t="s">
        <v>893</v>
      </c>
      <c r="I5229" s="373"/>
      <c r="J5229" s="926"/>
      <c r="K5229" s="373"/>
      <c r="L5229" s="379"/>
      <c r="M5229" s="927">
        <v>215195</v>
      </c>
      <c r="N5229" s="295" t="s">
        <v>9</v>
      </c>
      <c r="O5229" s="295" t="s">
        <v>63</v>
      </c>
      <c r="P5229" s="75" t="str">
        <f>IF(AND('331-CT'!$E$7=TH!H4058,OR(N5229="331",O5229="331")),"x","")</f>
        <v/>
      </c>
      <c r="Q5229" s="75" t="str">
        <f>IF(AND(B5229='111'!$L$11,OR($N5229=$Q$7,$O5229=$Q$7)),"x","")</f>
        <v/>
      </c>
      <c r="R5229" s="75" t="str">
        <f>IF(AND($N5229=$Q$7,$B5229&lt;'111'!$L$11),"x","")</f>
        <v/>
      </c>
      <c r="S5229" s="75" t="str">
        <f>IF(AND($O5229=$Q$7,$B5229&lt;'111'!$L$11),"x","")</f>
        <v>x</v>
      </c>
      <c r="T5229" s="75" t="str">
        <f>IF(ISERROR(FIND('112'!$M$9,G5229,1)),"",IF((AND(FIND('112'!$M$9,G5229,1)&gt;=1,B5229='112'!$K$9,OR($N5229='112'!$I$6,$O5229='112'!$I$6))),"x",""))</f>
        <v/>
      </c>
      <c r="U5229" s="75" t="str">
        <f>IF(ISERROR(FIND('112'!$M$9,G5229,1)),"",IF((AND(LEFT(G5229,2)=LEFT('112'!$M$9,2),B5229&lt;'112'!$K$9,$N5229='112'!$I$6)),"x",""))</f>
        <v/>
      </c>
      <c r="V5229" s="75" t="str">
        <f>IF(ISERROR(FIND('112'!$M$9,G5229,1)),"",IF((AND(RIGHT(G5229,2)=RIGHT('112'!$M$9,2),B5229&lt;'112'!$K$9,$O5229='112'!$I$6)),"x",""))</f>
        <v/>
      </c>
      <c r="W5229" s="75" t="str">
        <f>IF(AND('341-CT'!$H$9=H5229,OR(LEFT(N5229,3)=$W$7,LEFT(O5229,3)=$W$7)),"x","")</f>
        <v/>
      </c>
      <c r="X5229" s="75" t="str">
        <f>IF(OR(TH!N4058=TH!$X$7,O5229=TH!$X$7),"x","")</f>
        <v/>
      </c>
      <c r="Y5229" s="75" t="str">
        <f>IF(AND(OR(N5229="131",O5229="131"),H5229='131-CT'!$H$9),"x","")</f>
        <v/>
      </c>
      <c r="Z5229" s="75"/>
      <c r="AA5229" s="75" t="str">
        <f>IF(AND(MONTH(E5229)='IN-NX'!$J$5,'IN-NX'!$D$7=D5229),"x","")</f>
        <v/>
      </c>
      <c r="AB5229" s="75" t="str">
        <f>IF(AND(OR(LEFT(TH!N4058,2)="15",LEFT(TH!O4058,2)="15"),LEFT(TH!O4058,3)&lt;&gt;"111",'152-CT'!$J$8=TH!F4058),"x","")</f>
        <v/>
      </c>
      <c r="AC5229" s="75" t="str">
        <f>IF(AND(OR(LEFT(TH!N4058,2)="15",LEFT(TH!O4058,2)="15"),TK!$E$7=TH!F4058),"x","")</f>
        <v/>
      </c>
      <c r="AD5229" s="75" t="str">
        <f>IF(AND(N5229="1521",MONTH(C5229)='BK-NL'!$M$11),"x","")</f>
        <v/>
      </c>
      <c r="AE5229">
        <v>10</v>
      </c>
    </row>
    <row r="5230" spans="1:31" ht="16.5" customHeight="1">
      <c r="A5230" s="309" t="str">
        <f>IF(B5230&lt;&gt;"",IF(AND(B5230='IN-TC'!$S$4,OR(TH!N5218="1111",TH!O5218="1111")),TH!D5218,""),"")</f>
        <v/>
      </c>
      <c r="B5230" s="1244">
        <f t="shared" si="1348"/>
        <v>10</v>
      </c>
      <c r="C5230" s="292">
        <f t="shared" si="1347"/>
        <v>43033</v>
      </c>
      <c r="D5230" s="292"/>
      <c r="E5230" s="292">
        <v>43033</v>
      </c>
      <c r="F5230" s="67" t="s">
        <v>1328</v>
      </c>
      <c r="G5230" s="925" t="s">
        <v>2727</v>
      </c>
      <c r="H5230" s="294" t="s">
        <v>948</v>
      </c>
      <c r="I5230" s="373"/>
      <c r="J5230" s="926"/>
      <c r="K5230" s="373"/>
      <c r="L5230" s="379"/>
      <c r="M5230" s="927">
        <v>2727273</v>
      </c>
      <c r="N5230" s="295" t="s">
        <v>539</v>
      </c>
      <c r="O5230" s="295" t="s">
        <v>63</v>
      </c>
      <c r="P5230" s="75" t="str">
        <f>IF(AND('331-CT'!$E$7=TH!H4059,OR(N5230="331",O5230="331")),"x","")</f>
        <v/>
      </c>
      <c r="Q5230" s="75" t="str">
        <f>IF(AND(B5230='111'!$L$11,OR($N5230=$Q$7,$O5230=$Q$7)),"x","")</f>
        <v/>
      </c>
      <c r="R5230" s="75" t="str">
        <f>IF(AND($N5230=$Q$7,$B5230&lt;'111'!$L$11),"x","")</f>
        <v/>
      </c>
      <c r="S5230" s="75" t="str">
        <f>IF(AND($O5230=$Q$7,$B5230&lt;'111'!$L$11),"x","")</f>
        <v>x</v>
      </c>
      <c r="T5230" s="75" t="str">
        <f>IF(ISERROR(FIND('112'!$M$9,G5230,1)),"",IF((AND(FIND('112'!$M$9,G5230,1)&gt;=1,B5230='112'!$K$9,OR($N5230='112'!$I$6,$O5230='112'!$I$6))),"x",""))</f>
        <v/>
      </c>
      <c r="U5230" s="75" t="str">
        <f>IF(ISERROR(FIND('112'!$M$9,G5230,1)),"",IF((AND(LEFT(G5230,2)=LEFT('112'!$M$9,2),B5230&lt;'112'!$K$9,$N5230='112'!$I$6)),"x",""))</f>
        <v/>
      </c>
      <c r="V5230" s="75" t="str">
        <f>IF(ISERROR(FIND('112'!$M$9,G5230,1)),"",IF((AND(RIGHT(G5230,2)=RIGHT('112'!$M$9,2),B5230&lt;'112'!$K$9,$O5230='112'!$I$6)),"x",""))</f>
        <v/>
      </c>
      <c r="W5230" s="75" t="str">
        <f>IF(AND('341-CT'!$H$9=H5230,OR(LEFT(N5230,3)=$W$7,LEFT(O5230,3)=$W$7)),"x","")</f>
        <v/>
      </c>
      <c r="X5230" s="75" t="str">
        <f>IF(OR(TH!N4059=TH!$X$7,O5230=TH!$X$7),"x","")</f>
        <v/>
      </c>
      <c r="Y5230" s="75" t="str">
        <f>IF(AND(OR(N5230="131",O5230="131"),H5230='131-CT'!$H$9),"x","")</f>
        <v/>
      </c>
      <c r="Z5230" s="75"/>
      <c r="AA5230" s="75" t="str">
        <f>IF(AND(MONTH(E5230)='IN-NX'!$J$5,'IN-NX'!$D$7=D5230),"x","")</f>
        <v/>
      </c>
      <c r="AB5230" s="75" t="str">
        <f>IF(AND(OR(LEFT(TH!N4059,2)="15",LEFT(TH!O4059,2)="15"),LEFT(TH!O4059,3)&lt;&gt;"111",'152-CT'!$J$8=TH!F4059),"x","")</f>
        <v/>
      </c>
      <c r="AC5230" s="75" t="str">
        <f>IF(AND(OR(LEFT(TH!N4059,2)="15",LEFT(TH!O4059,2)="15"),TK!$E$7=TH!F4059),"x","")</f>
        <v/>
      </c>
      <c r="AD5230" s="75" t="str">
        <f>IF(AND(N5230="1521",MONTH(C5230)='BK-NL'!$M$11),"x","")</f>
        <v/>
      </c>
      <c r="AE5230">
        <v>11</v>
      </c>
    </row>
    <row r="5231" spans="1:31" ht="16.5" customHeight="1">
      <c r="A5231" s="309" t="str">
        <f>IF(B5231&lt;&gt;"",IF(AND(B5231='IN-TC'!$S$4,OR(TH!N5219="1111",TH!O5219="1111")),TH!D5219,""),"")</f>
        <v/>
      </c>
      <c r="B5231" s="1244">
        <f t="shared" si="1348"/>
        <v>10</v>
      </c>
      <c r="C5231" s="292">
        <f t="shared" si="1347"/>
        <v>43033</v>
      </c>
      <c r="D5231" s="292"/>
      <c r="E5231" s="292">
        <v>43033</v>
      </c>
      <c r="F5231" s="67" t="s">
        <v>1329</v>
      </c>
      <c r="G5231" s="925" t="s">
        <v>2727</v>
      </c>
      <c r="H5231" s="294" t="s">
        <v>948</v>
      </c>
      <c r="I5231" s="373"/>
      <c r="J5231" s="926"/>
      <c r="K5231" s="373"/>
      <c r="L5231" s="379"/>
      <c r="M5231" s="927">
        <v>272727</v>
      </c>
      <c r="N5231" s="295" t="s">
        <v>9</v>
      </c>
      <c r="O5231" s="295" t="s">
        <v>63</v>
      </c>
      <c r="P5231" s="75" t="str">
        <f>IF(AND('331-CT'!$E$7=TH!H4060,OR(N5231="331",O5231="331")),"x","")</f>
        <v/>
      </c>
      <c r="Q5231" s="75" t="str">
        <f>IF(AND(B5231='111'!$L$11,OR($N5231=$Q$7,$O5231=$Q$7)),"x","")</f>
        <v/>
      </c>
      <c r="R5231" s="75" t="str">
        <f>IF(AND($N5231=$Q$7,$B5231&lt;'111'!$L$11),"x","")</f>
        <v/>
      </c>
      <c r="S5231" s="75" t="str">
        <f>IF(AND($O5231=$Q$7,$B5231&lt;'111'!$L$11),"x","")</f>
        <v>x</v>
      </c>
      <c r="T5231" s="75" t="str">
        <f>IF(ISERROR(FIND('112'!$M$9,G5231,1)),"",IF((AND(FIND('112'!$M$9,G5231,1)&gt;=1,B5231='112'!$K$9,OR($N5231='112'!$I$6,$O5231='112'!$I$6))),"x",""))</f>
        <v/>
      </c>
      <c r="U5231" s="75" t="str">
        <f>IF(ISERROR(FIND('112'!$M$9,G5231,1)),"",IF((AND(LEFT(G5231,2)=LEFT('112'!$M$9,2),B5231&lt;'112'!$K$9,$N5231='112'!$I$6)),"x",""))</f>
        <v/>
      </c>
      <c r="V5231" s="75" t="str">
        <f>IF(ISERROR(FIND('112'!$M$9,G5231,1)),"",IF((AND(RIGHT(G5231,2)=RIGHT('112'!$M$9,2),B5231&lt;'112'!$K$9,$O5231='112'!$I$6)),"x",""))</f>
        <v/>
      </c>
      <c r="W5231" s="75" t="str">
        <f>IF(AND('341-CT'!$H$9=H5231,OR(LEFT(N5231,3)=$W$7,LEFT(O5231,3)=$W$7)),"x","")</f>
        <v/>
      </c>
      <c r="X5231" s="75" t="str">
        <f>IF(OR(TH!N4060=TH!$X$7,O5231=TH!$X$7),"x","")</f>
        <v/>
      </c>
      <c r="Y5231" s="75" t="str">
        <f>IF(AND(OR(N5231="131",O5231="131"),H5231='131-CT'!$H$9),"x","")</f>
        <v/>
      </c>
      <c r="Z5231" s="75"/>
      <c r="AA5231" s="75" t="str">
        <f>IF(AND(MONTH(E5231)='IN-NX'!$J$5,'IN-NX'!$D$7=D5231),"x","")</f>
        <v/>
      </c>
      <c r="AB5231" s="75" t="str">
        <f>IF(AND(OR(LEFT(TH!N4060,2)="15",LEFT(TH!O4060,2)="15"),LEFT(TH!O4060,3)&lt;&gt;"111",'152-CT'!$J$8=TH!F4060),"x","")</f>
        <v/>
      </c>
      <c r="AC5231" s="75" t="str">
        <f>IF(AND(OR(LEFT(TH!N4060,2)="15",LEFT(TH!O4060,2)="15"),TK!$E$7=TH!F4060),"x","")</f>
        <v/>
      </c>
      <c r="AD5231" s="75" t="str">
        <f>IF(AND(N5231="1521",MONTH(C5231)='BK-NL'!$M$11),"x","")</f>
        <v/>
      </c>
      <c r="AE5231">
        <v>11</v>
      </c>
    </row>
    <row r="5232" spans="1:31" ht="16.5" customHeight="1">
      <c r="A5232" s="309" t="str">
        <f>IF(B5232&lt;&gt;"",IF(AND(B5232='IN-TC'!$S$4,OR(TH!N5220="1111",TH!O5220="1111")),TH!D5220,""),"")</f>
        <v/>
      </c>
      <c r="B5232" s="1244">
        <f t="shared" si="1348"/>
        <v>10</v>
      </c>
      <c r="C5232" s="292">
        <f t="shared" si="1347"/>
        <v>43033</v>
      </c>
      <c r="D5232" s="59" t="s">
        <v>902</v>
      </c>
      <c r="E5232" s="59">
        <v>43033</v>
      </c>
      <c r="F5232" s="62" t="s">
        <v>1307</v>
      </c>
      <c r="G5232" s="62" t="s">
        <v>585</v>
      </c>
      <c r="H5232" s="67" t="s">
        <v>845</v>
      </c>
      <c r="I5232" s="373"/>
      <c r="J5232" s="382"/>
      <c r="K5232" s="373"/>
      <c r="L5232" s="379"/>
      <c r="M5232" s="60">
        <v>15000</v>
      </c>
      <c r="N5232" s="61" t="s">
        <v>101</v>
      </c>
      <c r="O5232" s="61" t="s">
        <v>26</v>
      </c>
      <c r="P5232" s="75" t="str">
        <f>IF(AND('331-CT'!$E$7=TH!H4863,OR(N5232="331",O5232="331")),"x","")</f>
        <v/>
      </c>
      <c r="Q5232" s="75" t="str">
        <f>IF(AND(B5232='111'!$L$11,OR($N5232=$Q$7,$O5232=$Q$7)),"x","")</f>
        <v/>
      </c>
      <c r="R5232" s="75" t="str">
        <f>IF(AND($N5232=$Q$7,$B5232&lt;'111'!$L$11),"x","")</f>
        <v/>
      </c>
      <c r="S5232" s="75" t="str">
        <f>IF(AND($O5232=$Q$7,$B5232&lt;'111'!$L$11),"x","")</f>
        <v/>
      </c>
      <c r="T5232" s="75" t="str">
        <f>IF(ISERROR(FIND('112'!$M$9,G5232,1)),"",IF((AND(FIND('112'!$M$9,G5232,1)&gt;=1,B5232='112'!$K$9,OR($N5232='112'!$I$6,$O5232='112'!$I$6))),"x",""))</f>
        <v/>
      </c>
      <c r="U5232" s="75" t="str">
        <f>IF(ISERROR(FIND('112'!$M$9,G5232,1)),"",IF((AND(LEFT(G5232,2)=LEFT('112'!$M$9,2),B5232&lt;'112'!$K$9,$N5232='112'!$I$6)),"x",""))</f>
        <v/>
      </c>
      <c r="V5232" s="75" t="str">
        <f>IF(ISERROR(FIND('112'!$M$9,G5232,1)),"",IF((AND(RIGHT(G5232,2)=RIGHT('112'!$M$9,2),B5232&lt;'112'!$K$9,$O5232='112'!$I$6)),"x",""))</f>
        <v/>
      </c>
      <c r="W5232" s="75" t="str">
        <f>IF(AND('341-CT'!$H$9=H5232,OR(LEFT(N5232,3)=$W$7,LEFT(O5232,3)=$W$7)),"x","")</f>
        <v/>
      </c>
      <c r="X5232" s="75" t="str">
        <f>IF(OR(TH!N4863=TH!$X$7,O5232=TH!$X$7),"x","")</f>
        <v/>
      </c>
      <c r="Y5232" s="75" t="str">
        <f>IF(AND(OR(N5232="131",O5232="131"),H5232='131-CT'!$H$9),"x","")</f>
        <v/>
      </c>
      <c r="Z5232" s="75"/>
      <c r="AA5232" s="75" t="str">
        <f>IF(AND(MONTH(E5232)='IN-NX'!$J$5,'IN-NX'!$D$7=D5232),"x","")</f>
        <v/>
      </c>
      <c r="AB5232" s="75" t="str">
        <f>IF(AND(OR(LEFT(TH!N4863,2)="15",LEFT(TH!O4863,2)="15"),LEFT(TH!O4863,3)&lt;&gt;"111",'152-CT'!$J$8=TH!F4863),"x","")</f>
        <v/>
      </c>
      <c r="AC5232" s="75" t="str">
        <f>IF(AND(OR(LEFT(TH!N4863,2)="15",LEFT(TH!O4863,2)="15"),TK!$E$7=TH!F4863),"x","")</f>
        <v/>
      </c>
      <c r="AD5232" s="75" t="str">
        <f>IF(AND(N5232="1521",MONTH(C5232)='BK-NL'!$M$11),"x","")</f>
        <v/>
      </c>
      <c r="AE5232">
        <v>10</v>
      </c>
    </row>
    <row r="5233" spans="1:33" ht="16.5" customHeight="1">
      <c r="A5233" s="309" t="str">
        <f>IF(B5233&lt;&gt;"",IF(AND(B5233='IN-TC'!$S$4,OR(TH!N5221="1111",TH!O5221="1111")),TH!D5221,""),"")</f>
        <v/>
      </c>
      <c r="B5233" s="1244">
        <f t="shared" si="1348"/>
        <v>10</v>
      </c>
      <c r="C5233" s="292">
        <f t="shared" si="1347"/>
        <v>43033</v>
      </c>
      <c r="D5233" s="59" t="s">
        <v>902</v>
      </c>
      <c r="E5233" s="59">
        <v>43033</v>
      </c>
      <c r="F5233" s="62" t="s">
        <v>1314</v>
      </c>
      <c r="G5233" s="62" t="s">
        <v>585</v>
      </c>
      <c r="H5233" s="67" t="s">
        <v>845</v>
      </c>
      <c r="I5233" s="1219"/>
      <c r="J5233" s="840"/>
      <c r="K5233" s="373"/>
      <c r="L5233" s="379"/>
      <c r="M5233" s="60">
        <v>1500</v>
      </c>
      <c r="N5233" s="61" t="s">
        <v>9</v>
      </c>
      <c r="O5233" s="61" t="s">
        <v>26</v>
      </c>
      <c r="P5233" s="75" t="str">
        <f>IF(AND('331-CT'!$E$7=TH!H4864,OR(N5233="331",O5233="331")),"x","")</f>
        <v/>
      </c>
      <c r="Q5233" s="75" t="str">
        <f>IF(AND(B5233='111'!$L$11,OR($N5233=$Q$7,$O5233=$Q$7)),"x","")</f>
        <v/>
      </c>
      <c r="R5233" s="75" t="str">
        <f>IF(AND($N5233=$Q$7,$B5233&lt;'111'!$L$11),"x","")</f>
        <v/>
      </c>
      <c r="S5233" s="75" t="str">
        <f>IF(AND($O5233=$Q$7,$B5233&lt;'111'!$L$11),"x","")</f>
        <v/>
      </c>
      <c r="T5233" s="75" t="str">
        <f>IF(ISERROR(FIND('112'!$M$9,G5233,1)),"",IF((AND(FIND('112'!$M$9,G5233,1)&gt;=1,B5233='112'!$K$9,OR($N5233='112'!$I$6,$O5233='112'!$I$6))),"x",""))</f>
        <v/>
      </c>
      <c r="U5233" s="75" t="str">
        <f>IF(ISERROR(FIND('112'!$M$9,G5233,1)),"",IF((AND(LEFT(G5233,2)=LEFT('112'!$M$9,2),B5233&lt;'112'!$K$9,$N5233='112'!$I$6)),"x",""))</f>
        <v/>
      </c>
      <c r="V5233" s="75" t="str">
        <f>IF(ISERROR(FIND('112'!$M$9,G5233,1)),"",IF((AND(RIGHT(G5233,2)=RIGHT('112'!$M$9,2),B5233&lt;'112'!$K$9,$O5233='112'!$I$6)),"x",""))</f>
        <v/>
      </c>
      <c r="W5233" s="75" t="str">
        <f>IF(AND('341-CT'!$H$9=H5233,OR(LEFT(N5233,3)=$W$7,LEFT(O5233,3)=$W$7)),"x","")</f>
        <v/>
      </c>
      <c r="X5233" s="75" t="str">
        <f>IF(OR(TH!N4864=TH!$X$7,O5233=TH!$X$7),"x","")</f>
        <v/>
      </c>
      <c r="Y5233" s="75" t="str">
        <f>IF(AND(OR(N5233="131",O5233="131"),H5233='131-CT'!$H$9),"x","")</f>
        <v/>
      </c>
      <c r="Z5233" s="75"/>
      <c r="AA5233" s="75" t="str">
        <f>IF(AND(MONTH(E5233)='IN-NX'!$J$5,'IN-NX'!$D$7=D5233),"x","")</f>
        <v/>
      </c>
      <c r="AB5233" s="75" t="str">
        <f>IF(AND(OR(LEFT(TH!N4864,2)="15",LEFT(TH!O4864,2)="15"),LEFT(TH!O4864,3)&lt;&gt;"111",'152-CT'!$J$8=TH!F4864),"x","")</f>
        <v/>
      </c>
      <c r="AC5233" s="75" t="str">
        <f>IF(AND(OR(LEFT(TH!N4864,2)="15",LEFT(TH!O4864,2)="15"),TK!$E$7=TH!F4864),"x","")</f>
        <v/>
      </c>
      <c r="AD5233" s="75" t="str">
        <f>IF(AND(N5233="1521",MONTH(C5233)='BK-NL'!$M$11),"x","")</f>
        <v/>
      </c>
      <c r="AE5233">
        <v>10</v>
      </c>
    </row>
    <row r="5234" spans="1:33" ht="16.5" customHeight="1">
      <c r="A5234" s="309" t="str">
        <f>IF(B5234&lt;&gt;"",IF(AND(B5234='IN-TC'!$S$4,OR(TH!N5222="1111",TH!O5222="1111")),TH!D5222,""),"")</f>
        <v/>
      </c>
      <c r="B5234" s="1244">
        <f t="shared" si="1348"/>
        <v>10</v>
      </c>
      <c r="C5234" s="292">
        <f t="shared" si="1347"/>
        <v>43033</v>
      </c>
      <c r="D5234" s="292" t="s">
        <v>903</v>
      </c>
      <c r="E5234" s="292">
        <v>43033</v>
      </c>
      <c r="F5234" s="293" t="s">
        <v>1090</v>
      </c>
      <c r="G5234" s="293" t="s">
        <v>1320</v>
      </c>
      <c r="H5234" s="294" t="s">
        <v>835</v>
      </c>
      <c r="I5234" s="375"/>
      <c r="J5234" s="382"/>
      <c r="K5234" s="375"/>
      <c r="L5234" s="381"/>
      <c r="M5234" s="60">
        <v>8000000</v>
      </c>
      <c r="N5234" s="295" t="s">
        <v>26</v>
      </c>
      <c r="O5234" s="295" t="s">
        <v>26</v>
      </c>
      <c r="P5234" s="75" t="str">
        <f>IF(AND('331-CT'!$E$7=TH!H5540,OR(N5234="331",O5234="331")),"x","")</f>
        <v/>
      </c>
      <c r="Q5234" s="75" t="str">
        <f>IF(AND(B5234='111'!$L$11,OR($N5234=$Q$7,$O5234=$Q$7)),"x","")</f>
        <v/>
      </c>
      <c r="R5234" s="75" t="str">
        <f>IF(AND($N5234=$Q$7,$B5234&lt;'111'!$L$11),"x","")</f>
        <v/>
      </c>
      <c r="S5234" s="75" t="str">
        <f>IF(AND($O5234=$Q$7,$B5234&lt;'111'!$L$11),"x","")</f>
        <v/>
      </c>
      <c r="T5234" s="75" t="str">
        <f>IF(ISERROR(FIND('112'!$M$9,G5234,1)),"",IF((AND(FIND('112'!$M$9,G5234,1)&gt;=1,B5234='112'!$K$9,OR($N5234='112'!$I$6,$O5234='112'!$I$6))),"x",""))</f>
        <v/>
      </c>
      <c r="U5234" s="75" t="str">
        <f>IF(ISERROR(FIND('112'!$M$9,G5234,1)),"",IF((AND(LEFT(G5234,2)=LEFT('112'!$M$9,2),B5234&lt;'112'!$K$9,$N5234='112'!$I$6)),"x",""))</f>
        <v/>
      </c>
      <c r="V5234" s="75" t="str">
        <f>IF(ISERROR(FIND('112'!$M$9,G5234,1)),"",IF((AND(RIGHT(G5234,2)=RIGHT('112'!$M$9,2),B5234&lt;'112'!$K$9,$O5234='112'!$I$6)),"x",""))</f>
        <v/>
      </c>
      <c r="W5234" s="75" t="str">
        <f>IF(AND('341-CT'!$H$9=H5234,OR(LEFT(N5234,3)=$W$7,LEFT(O5234,3)=$W$7)),"x","")</f>
        <v/>
      </c>
      <c r="X5234" s="75" t="str">
        <f>IF(OR(TH!N5540=TH!$X$7,O5234=TH!$X$7),"x","")</f>
        <v/>
      </c>
      <c r="Y5234" s="75" t="str">
        <f>IF(AND(OR(N5234="131",O5234="131"),H5234='131-CT'!$H$9),"x","")</f>
        <v/>
      </c>
      <c r="Z5234" s="75"/>
      <c r="AA5234" s="75" t="str">
        <f>IF(AND(MONTH(E5234)='IN-NX'!$J$5,'IN-NX'!$D$7=D5234),"x","")</f>
        <v/>
      </c>
      <c r="AB5234" s="75" t="str">
        <f>IF(AND(OR(LEFT(TH!N5540,2)="15",LEFT(TH!O5540,2)="15"),LEFT(TH!O5540,3)&lt;&gt;"111",'152-CT'!$J$8=TH!F5540),"x","")</f>
        <v/>
      </c>
      <c r="AC5234" s="75" t="str">
        <f>IF(AND(OR(LEFT(TH!N5540,2)="15",LEFT(TH!O5540,2)="15"),TK!$E$7=TH!F5540),"x","")</f>
        <v/>
      </c>
      <c r="AD5234" s="75" t="str">
        <f>IF(AND(N5234="1521",MONTH(C5234)='BK-NL'!$M$11),"x","")</f>
        <v/>
      </c>
    </row>
    <row r="5235" spans="1:33" ht="16.5" customHeight="1">
      <c r="A5235" s="309" t="str">
        <f>IF(B5235&lt;&gt;"",IF(AND(B5235='IN-TC'!$S$4,OR(TH!N5223="1111",TH!O5223="1111")),TH!D5223,""),"")</f>
        <v/>
      </c>
      <c r="B5235" s="1244">
        <f t="shared" si="1348"/>
        <v>10</v>
      </c>
      <c r="C5235" s="292">
        <f t="shared" ref="C5235:C5298" si="1349">E5235</f>
        <v>43033</v>
      </c>
      <c r="D5235" s="292" t="s">
        <v>902</v>
      </c>
      <c r="E5235" s="292">
        <v>43033</v>
      </c>
      <c r="F5235" s="293" t="s">
        <v>2486</v>
      </c>
      <c r="G5235" s="293" t="s">
        <v>747</v>
      </c>
      <c r="H5235" s="294" t="s">
        <v>739</v>
      </c>
      <c r="I5235" s="373"/>
      <c r="J5235" s="382"/>
      <c r="K5235" s="373"/>
      <c r="L5235" s="379"/>
      <c r="M5235" s="60">
        <v>18540913</v>
      </c>
      <c r="N5235" s="295" t="s">
        <v>8</v>
      </c>
      <c r="O5235" s="295" t="s">
        <v>26</v>
      </c>
      <c r="P5235" s="75" t="str">
        <f>IF(AND('331-CT'!$E$7=TH!H5541,OR(N5235="331",O5235="331")),"x","")</f>
        <v/>
      </c>
      <c r="Q5235" s="75" t="str">
        <f>IF(AND(B5235='111'!$L$11,OR($N5235=$Q$7,$O5235=$Q$7)),"x","")</f>
        <v/>
      </c>
      <c r="R5235" s="75" t="str">
        <f>IF(AND($N5235=$Q$7,$B5235&lt;'111'!$L$11),"x","")</f>
        <v/>
      </c>
      <c r="S5235" s="75" t="str">
        <f>IF(AND($O5235=$Q$7,$B5235&lt;'111'!$L$11),"x","")</f>
        <v/>
      </c>
      <c r="T5235" s="75" t="str">
        <f>IF(ISERROR(FIND('112'!$M$9,G5235,1)),"",IF((AND(FIND('112'!$M$9,G5235,1)&gt;=1,B5235='112'!$K$9,OR($N5235='112'!$I$6,$O5235='112'!$I$6))),"x",""))</f>
        <v/>
      </c>
      <c r="U5235" s="75" t="str">
        <f>IF(ISERROR(FIND('112'!$M$9,G5235,1)),"",IF((AND(LEFT(G5235,2)=LEFT('112'!$M$9,2),B5235&lt;'112'!$K$9,$N5235='112'!$I$6)),"x",""))</f>
        <v/>
      </c>
      <c r="V5235" s="75" t="str">
        <f>IF(ISERROR(FIND('112'!$M$9,G5235,1)),"",IF((AND(RIGHT(G5235,2)=RIGHT('112'!$M$9,2),B5235&lt;'112'!$K$9,$O5235='112'!$I$6)),"x",""))</f>
        <v/>
      </c>
      <c r="W5235" s="75" t="str">
        <f>IF(AND('341-CT'!$H$9=H5235,OR(LEFT(N5235,3)=$W$7,LEFT(O5235,3)=$W$7)),"x","")</f>
        <v/>
      </c>
      <c r="X5235" s="75" t="str">
        <f>IF(OR(TH!N5541=TH!$X$7,O5235=TH!$X$7),"x","")</f>
        <v/>
      </c>
      <c r="Y5235" s="75" t="str">
        <f>IF(AND(OR(N5235="131",O5235="131"),H5235='131-CT'!$H$9),"x","")</f>
        <v/>
      </c>
      <c r="Z5235" s="75"/>
      <c r="AA5235" s="75" t="str">
        <f>IF(AND(MONTH(E5235)='IN-NX'!$J$5,'IN-NX'!$D$7=D5235),"x","")</f>
        <v/>
      </c>
      <c r="AB5235" s="75" t="str">
        <f>IF(AND(OR(LEFT(TH!N5541,2)="15",LEFT(TH!O5541,2)="15"),LEFT(TH!O5541,3)&lt;&gt;"111",'152-CT'!$J$8=TH!F5541),"x","")</f>
        <v/>
      </c>
      <c r="AC5235" s="75" t="str">
        <f>IF(AND(OR(LEFT(TH!N5541,2)="15",LEFT(TH!O5541,2)="15"),TK!$E$7=TH!F5541),"x","")</f>
        <v/>
      </c>
      <c r="AD5235" s="75" t="str">
        <f>IF(AND(N5235="1521",MONTH(C5235)='BK-NL'!$M$11),"x","")</f>
        <v/>
      </c>
    </row>
    <row r="5236" spans="1:33" ht="16.5" customHeight="1">
      <c r="A5236" s="309" t="str">
        <f>IF(B5236&lt;&gt;"",IF(AND(B5236='IN-TC'!$S$4,OR(TH!N5224="1111",TH!O5224="1111")),TH!D5224,""),"")</f>
        <v/>
      </c>
      <c r="B5236" s="1244">
        <f t="shared" si="1348"/>
        <v>10</v>
      </c>
      <c r="C5236" s="292">
        <f t="shared" si="1349"/>
        <v>43033</v>
      </c>
      <c r="D5236" s="292" t="s">
        <v>902</v>
      </c>
      <c r="E5236" s="292">
        <v>43033</v>
      </c>
      <c r="F5236" s="293" t="s">
        <v>1307</v>
      </c>
      <c r="G5236" s="293" t="s">
        <v>747</v>
      </c>
      <c r="H5236" s="294" t="s">
        <v>835</v>
      </c>
      <c r="I5236" s="373"/>
      <c r="J5236" s="382"/>
      <c r="K5236" s="373"/>
      <c r="L5236" s="379"/>
      <c r="M5236" s="60">
        <v>20000</v>
      </c>
      <c r="N5236" s="295" t="s">
        <v>101</v>
      </c>
      <c r="O5236" s="295" t="s">
        <v>26</v>
      </c>
      <c r="P5236" s="75" t="str">
        <f>IF(AND('331-CT'!$E$7=TH!H5542,OR(N5236="331",O5236="331")),"x","")</f>
        <v/>
      </c>
      <c r="Q5236" s="75" t="str">
        <f>IF(AND(B5236='111'!$L$11,OR($N5236=$Q$7,$O5236=$Q$7)),"x","")</f>
        <v/>
      </c>
      <c r="R5236" s="75" t="str">
        <f>IF(AND($N5236=$Q$7,$B5236&lt;'111'!$L$11),"x","")</f>
        <v/>
      </c>
      <c r="S5236" s="75" t="str">
        <f>IF(AND($O5236=$Q$7,$B5236&lt;'111'!$L$11),"x","")</f>
        <v/>
      </c>
      <c r="T5236" s="75" t="str">
        <f>IF(ISERROR(FIND('112'!$M$9,G5236,1)),"",IF((AND(FIND('112'!$M$9,G5236,1)&gt;=1,B5236='112'!$K$9,OR($N5236='112'!$I$6,$O5236='112'!$I$6))),"x",""))</f>
        <v/>
      </c>
      <c r="U5236" s="75" t="str">
        <f>IF(ISERROR(FIND('112'!$M$9,G5236,1)),"",IF((AND(LEFT(G5236,2)=LEFT('112'!$M$9,2),B5236&lt;'112'!$K$9,$N5236='112'!$I$6)),"x",""))</f>
        <v/>
      </c>
      <c r="V5236" s="75" t="str">
        <f>IF(ISERROR(FIND('112'!$M$9,G5236,1)),"",IF((AND(RIGHT(G5236,2)=RIGHT('112'!$M$9,2),B5236&lt;'112'!$K$9,$O5236='112'!$I$6)),"x",""))</f>
        <v/>
      </c>
      <c r="W5236" s="75" t="str">
        <f>IF(AND('341-CT'!$H$9=H5236,OR(LEFT(N5236,3)=$W$7,LEFT(O5236,3)=$W$7)),"x","")</f>
        <v/>
      </c>
      <c r="X5236" s="75" t="str">
        <f>IF(OR(TH!N5542=TH!$X$7,O5236=TH!$X$7),"x","")</f>
        <v/>
      </c>
      <c r="Y5236" s="75" t="str">
        <f>IF(AND(OR(N5236="131",O5236="131"),H5236='131-CT'!$H$9),"x","")</f>
        <v/>
      </c>
      <c r="Z5236" s="75"/>
      <c r="AA5236" s="75" t="str">
        <f>IF(AND(MONTH(E5236)='IN-NX'!$J$5,'IN-NX'!$D$7=D5236),"x","")</f>
        <v/>
      </c>
      <c r="AB5236" s="75" t="str">
        <f>IF(AND(OR(LEFT(TH!N5542,2)="15",LEFT(TH!O5542,2)="15"),LEFT(TH!O5542,3)&lt;&gt;"111",'152-CT'!$J$8=TH!F5542),"x","")</f>
        <v/>
      </c>
      <c r="AC5236" s="75" t="str">
        <f>IF(AND(OR(LEFT(TH!N5542,2)="15",LEFT(TH!O5542,2)="15"),TK!$E$7=TH!F5542),"x","")</f>
        <v/>
      </c>
      <c r="AD5236" s="75" t="str">
        <f>IF(AND(N5236="1521",MONTH(C5236)='BK-NL'!$M$11),"x","")</f>
        <v/>
      </c>
      <c r="AE5236">
        <v>10</v>
      </c>
    </row>
    <row r="5237" spans="1:33" ht="16.5" customHeight="1">
      <c r="A5237" s="309" t="str">
        <f>IF(B5237&lt;&gt;"",IF(AND(B5237='IN-TC'!$S$4,OR(TH!N5225="1111",TH!O5225="1111")),TH!D5225,""),"")</f>
        <v/>
      </c>
      <c r="B5237" s="1244">
        <f t="shared" si="1348"/>
        <v>10</v>
      </c>
      <c r="C5237" s="292">
        <f t="shared" si="1349"/>
        <v>43033</v>
      </c>
      <c r="D5237" s="292" t="s">
        <v>902</v>
      </c>
      <c r="E5237" s="292">
        <v>43033</v>
      </c>
      <c r="F5237" s="293" t="s">
        <v>1314</v>
      </c>
      <c r="G5237" s="293" t="s">
        <v>747</v>
      </c>
      <c r="H5237" s="294" t="s">
        <v>835</v>
      </c>
      <c r="I5237" s="373"/>
      <c r="J5237" s="382"/>
      <c r="K5237" s="373"/>
      <c r="L5237" s="379"/>
      <c r="M5237" s="60">
        <v>2000</v>
      </c>
      <c r="N5237" s="295" t="s">
        <v>9</v>
      </c>
      <c r="O5237" s="295" t="s">
        <v>26</v>
      </c>
      <c r="P5237" s="75" t="str">
        <f>IF(AND('331-CT'!$E$7=TH!H5543,OR(N5237="331",O5237="331")),"x","")</f>
        <v/>
      </c>
      <c r="Q5237" s="75" t="str">
        <f>IF(AND(B5237='111'!$L$11,OR($N5237=$Q$7,$O5237=$Q$7)),"x","")</f>
        <v/>
      </c>
      <c r="R5237" s="75" t="str">
        <f>IF(AND($N5237=$Q$7,$B5237&lt;'111'!$L$11),"x","")</f>
        <v/>
      </c>
      <c r="S5237" s="75" t="str">
        <f>IF(AND($O5237=$Q$7,$B5237&lt;'111'!$L$11),"x","")</f>
        <v/>
      </c>
      <c r="T5237" s="75" t="str">
        <f>IF(ISERROR(FIND('112'!$M$9,G5237,1)),"",IF((AND(FIND('112'!$M$9,G5237,1)&gt;=1,B5237='112'!$K$9,OR($N5237='112'!$I$6,$O5237='112'!$I$6))),"x",""))</f>
        <v/>
      </c>
      <c r="U5237" s="75" t="str">
        <f>IF(ISERROR(FIND('112'!$M$9,G5237,1)),"",IF((AND(LEFT(G5237,2)=LEFT('112'!$M$9,2),B5237&lt;'112'!$K$9,$N5237='112'!$I$6)),"x",""))</f>
        <v/>
      </c>
      <c r="V5237" s="75" t="str">
        <f>IF(ISERROR(FIND('112'!$M$9,G5237,1)),"",IF((AND(RIGHT(G5237,2)=RIGHT('112'!$M$9,2),B5237&lt;'112'!$K$9,$O5237='112'!$I$6)),"x",""))</f>
        <v/>
      </c>
      <c r="W5237" s="75" t="str">
        <f>IF(AND('341-CT'!$H$9=H5237,OR(LEFT(N5237,3)=$W$7,LEFT(O5237,3)=$W$7)),"x","")</f>
        <v/>
      </c>
      <c r="X5237" s="75" t="str">
        <f>IF(OR(TH!N5543=TH!$X$7,O5237=TH!$X$7),"x","")</f>
        <v/>
      </c>
      <c r="Y5237" s="75" t="str">
        <f>IF(AND(OR(N5237="131",O5237="131"),H5237='131-CT'!$H$9),"x","")</f>
        <v/>
      </c>
      <c r="Z5237" s="75"/>
      <c r="AA5237" s="75" t="str">
        <f>IF(AND(MONTH(E5237)='IN-NX'!$J$5,'IN-NX'!$D$7=D5237),"x","")</f>
        <v/>
      </c>
      <c r="AB5237" s="75" t="str">
        <f>IF(AND(OR(LEFT(TH!N5543,2)="15",LEFT(TH!O5543,2)="15"),LEFT(TH!O5543,3)&lt;&gt;"111",'152-CT'!$J$8=TH!F5543),"x","")</f>
        <v/>
      </c>
      <c r="AC5237" s="75" t="str">
        <f>IF(AND(OR(LEFT(TH!N5543,2)="15",LEFT(TH!O5543,2)="15"),TK!$E$7=TH!F5543),"x","")</f>
        <v/>
      </c>
      <c r="AD5237" s="75" t="str">
        <f>IF(AND(N5237="1521",MONTH(C5237)='BK-NL'!$M$11),"x","")</f>
        <v/>
      </c>
      <c r="AE5237">
        <v>10</v>
      </c>
    </row>
    <row r="5238" spans="1:33" ht="16.5" customHeight="1">
      <c r="A5238" s="309" t="str">
        <f>IF(B5238&lt;&gt;"",IF(AND(B5238='IN-TC'!$S$4,OR(TH!N5226="1111",TH!O5226="1111")),TH!D5226,""),"")</f>
        <v/>
      </c>
      <c r="B5238" s="1244">
        <f t="shared" si="1348"/>
        <v>10</v>
      </c>
      <c r="C5238" s="292">
        <f t="shared" si="1349"/>
        <v>43034</v>
      </c>
      <c r="D5238" s="59" t="s">
        <v>903</v>
      </c>
      <c r="E5238" s="59">
        <v>43034</v>
      </c>
      <c r="F5238" s="62" t="s">
        <v>907</v>
      </c>
      <c r="G5238" s="62" t="s">
        <v>585</v>
      </c>
      <c r="H5238" s="67" t="s">
        <v>845</v>
      </c>
      <c r="I5238" s="373"/>
      <c r="J5238" s="382"/>
      <c r="K5238" s="373">
        <v>233000</v>
      </c>
      <c r="L5238" s="379">
        <v>22712</v>
      </c>
      <c r="M5238" s="74">
        <f>ROUND(K5238*L5238,0)</f>
        <v>5291896000</v>
      </c>
      <c r="N5238" s="61" t="s">
        <v>26</v>
      </c>
      <c r="O5238" s="61" t="s">
        <v>256</v>
      </c>
      <c r="P5238" s="75" t="str">
        <f>IF(AND('331-CT'!$E$7=TH!H4865,OR(N5238="331",O5238="331")),"x","")</f>
        <v/>
      </c>
      <c r="Q5238" s="75" t="str">
        <f>IF(AND(B5238='111'!$L$11,OR($N5238=$Q$7,$O5238=$Q$7)),"x","")</f>
        <v/>
      </c>
      <c r="R5238" s="75" t="str">
        <f>IF(AND($N5238=$Q$7,$B5238&lt;'111'!$L$11),"x","")</f>
        <v/>
      </c>
      <c r="S5238" s="75" t="str">
        <f>IF(AND($O5238=$Q$7,$B5238&lt;'111'!$L$11),"x","")</f>
        <v/>
      </c>
      <c r="T5238" s="75" t="str">
        <f>IF(ISERROR(FIND('112'!$M$9,G5238,1)),"",IF((AND(FIND('112'!$M$9,G5238,1)&gt;=1,B5238='112'!$K$9,OR($N5238='112'!$I$6,$O5238='112'!$I$6))),"x",""))</f>
        <v/>
      </c>
      <c r="U5238" s="75" t="str">
        <f>IF(ISERROR(FIND('112'!$M$9,G5238,1)),"",IF((AND(LEFT(G5238,2)=LEFT('112'!$M$9,2),B5238&lt;'112'!$K$9,$N5238='112'!$I$6)),"x",""))</f>
        <v/>
      </c>
      <c r="V5238" s="75" t="str">
        <f>IF(ISERROR(FIND('112'!$M$9,G5238,1)),"",IF((AND(RIGHT(G5238,2)=RIGHT('112'!$M$9,2),B5238&lt;'112'!$K$9,$O5238='112'!$I$6)),"x",""))</f>
        <v/>
      </c>
      <c r="W5238" s="75" t="str">
        <f>IF(AND('341-CT'!$H$9=H5238,OR(LEFT(N5238,3)=$W$7,LEFT(O5238,3)=$W$7)),"x","")</f>
        <v/>
      </c>
      <c r="X5238" s="75" t="str">
        <f>IF(OR(TH!N4865=TH!$X$7,O5238=TH!$X$7),"x","")</f>
        <v/>
      </c>
      <c r="Y5238" s="75" t="str">
        <f>IF(AND(OR(N5238="131",O5238="131"),H5238='131-CT'!$H$9),"x","")</f>
        <v/>
      </c>
      <c r="Z5238" s="75"/>
      <c r="AA5238" s="75" t="str">
        <f>IF(AND(MONTH(E5238)='IN-NX'!$J$5,'IN-NX'!$D$7=D5238),"x","")</f>
        <v/>
      </c>
      <c r="AB5238" s="75" t="str">
        <f>IF(AND(OR(LEFT(TH!N4865,2)="15",LEFT(TH!O4865,2)="15"),LEFT(TH!O4865,3)&lt;&gt;"111",'152-CT'!$J$8=TH!F4865),"x","")</f>
        <v/>
      </c>
      <c r="AC5238" s="75" t="str">
        <f>IF(AND(OR(LEFT(TH!N4865,2)="15",LEFT(TH!O4865,2)="15"),TK!$E$7=TH!F4865),"x","")</f>
        <v/>
      </c>
      <c r="AD5238" s="75" t="str">
        <f>IF(AND(N5238="1521",MONTH(C5238)='BK-NL'!$M$11),"x","")</f>
        <v/>
      </c>
    </row>
    <row r="5239" spans="1:33" ht="16.5" customHeight="1">
      <c r="A5239" s="309" t="str">
        <f>IF(B5239&lt;&gt;"",IF(AND(B5239='IN-TC'!$S$4,OR(TH!N5227="1111",TH!O5227="1111")),TH!D5227,""),"")</f>
        <v/>
      </c>
      <c r="B5239" s="1244">
        <f t="shared" si="1348"/>
        <v>10</v>
      </c>
      <c r="C5239" s="292">
        <f t="shared" si="1349"/>
        <v>43034</v>
      </c>
      <c r="D5239" s="59" t="s">
        <v>902</v>
      </c>
      <c r="E5239" s="59">
        <v>43034</v>
      </c>
      <c r="F5239" s="67" t="s">
        <v>2492</v>
      </c>
      <c r="G5239" s="62" t="s">
        <v>585</v>
      </c>
      <c r="H5239" s="67" t="s">
        <v>563</v>
      </c>
      <c r="I5239" s="375"/>
      <c r="J5239" s="381"/>
      <c r="K5239" s="375"/>
      <c r="L5239" s="381"/>
      <c r="M5239" s="60">
        <v>40981050</v>
      </c>
      <c r="N5239" s="61" t="s">
        <v>8</v>
      </c>
      <c r="O5239" s="61" t="s">
        <v>26</v>
      </c>
      <c r="P5239" s="75" t="str">
        <f>IF(AND('331-CT'!$E$7=TH!H4866,OR(N5239="331",O5239="331")),"x","")</f>
        <v/>
      </c>
      <c r="Q5239" s="75" t="str">
        <f>IF(AND(B5239='111'!$L$11,OR($N5239=$Q$7,$O5239=$Q$7)),"x","")</f>
        <v/>
      </c>
      <c r="R5239" s="75" t="str">
        <f>IF(AND($N5239=$Q$7,$B5239&lt;'111'!$L$11),"x","")</f>
        <v/>
      </c>
      <c r="S5239" s="75" t="str">
        <f>IF(AND($O5239=$Q$7,$B5239&lt;'111'!$L$11),"x","")</f>
        <v/>
      </c>
      <c r="T5239" s="75" t="str">
        <f>IF(ISERROR(FIND('112'!$M$9,G5239,1)),"",IF((AND(FIND('112'!$M$9,G5239,1)&gt;=1,B5239='112'!$K$9,OR($N5239='112'!$I$6,$O5239='112'!$I$6))),"x",""))</f>
        <v/>
      </c>
      <c r="U5239" s="75" t="str">
        <f>IF(ISERROR(FIND('112'!$M$9,G5239,1)),"",IF((AND(LEFT(G5239,2)=LEFT('112'!$M$9,2),B5239&lt;'112'!$K$9,$N5239='112'!$I$6)),"x",""))</f>
        <v/>
      </c>
      <c r="V5239" s="75" t="str">
        <f>IF(ISERROR(FIND('112'!$M$9,G5239,1)),"",IF((AND(RIGHT(G5239,2)=RIGHT('112'!$M$9,2),B5239&lt;'112'!$K$9,$O5239='112'!$I$6)),"x",""))</f>
        <v/>
      </c>
      <c r="W5239" s="75" t="str">
        <f>IF(AND('341-CT'!$H$9=H5239,OR(LEFT(N5239,3)=$W$7,LEFT(O5239,3)=$W$7)),"x","")</f>
        <v/>
      </c>
      <c r="X5239" s="75" t="str">
        <f>IF(OR(TH!N4866=TH!$X$7,O5239=TH!$X$7),"x","")</f>
        <v/>
      </c>
      <c r="Y5239" s="75" t="str">
        <f>IF(AND(OR(N5239="131",O5239="131"),H5239='131-CT'!$H$9),"x","")</f>
        <v/>
      </c>
      <c r="Z5239" s="75"/>
      <c r="AA5239" s="75" t="str">
        <f>IF(AND(MONTH(E5239)='IN-NX'!$J$5,'IN-NX'!$D$7=D5239),"x","")</f>
        <v/>
      </c>
      <c r="AB5239" s="75" t="str">
        <f>IF(AND(OR(LEFT(TH!N4866,2)="15",LEFT(TH!O4866,2)="15"),LEFT(TH!O4866,3)&lt;&gt;"111",'152-CT'!$J$8=TH!F4866),"x","")</f>
        <v/>
      </c>
      <c r="AC5239" s="75" t="str">
        <f>IF(AND(OR(LEFT(TH!N4866,2)="15",LEFT(TH!O4866,2)="15"),TK!$E$7=TH!F4866),"x","")</f>
        <v/>
      </c>
      <c r="AD5239" s="75" t="str">
        <f>IF(AND(N5239="1521",MONTH(C5239)='BK-NL'!$M$11),"x","")</f>
        <v/>
      </c>
    </row>
    <row r="5240" spans="1:33" ht="16.5" customHeight="1">
      <c r="A5240" s="309" t="str">
        <f>IF(B5240&lt;&gt;"",IF(AND(B5240='IN-TC'!$S$4,OR(TH!N5228="1111",TH!O5228="1111")),TH!D5228,""),"")</f>
        <v/>
      </c>
      <c r="B5240" s="1244">
        <f t="shared" si="1348"/>
        <v>10</v>
      </c>
      <c r="C5240" s="292">
        <f t="shared" si="1349"/>
        <v>43034</v>
      </c>
      <c r="D5240" s="59" t="s">
        <v>902</v>
      </c>
      <c r="E5240" s="59">
        <v>43034</v>
      </c>
      <c r="F5240" s="67" t="s">
        <v>870</v>
      </c>
      <c r="G5240" s="62" t="s">
        <v>585</v>
      </c>
      <c r="H5240" s="67" t="s">
        <v>845</v>
      </c>
      <c r="I5240" s="375"/>
      <c r="J5240" s="381"/>
      <c r="K5240" s="375"/>
      <c r="L5240" s="381"/>
      <c r="M5240" s="60">
        <v>20491</v>
      </c>
      <c r="N5240" s="61" t="s">
        <v>101</v>
      </c>
      <c r="O5240" s="61" t="s">
        <v>26</v>
      </c>
      <c r="P5240" s="75" t="str">
        <f>IF(AND('331-CT'!$E$7=TH!H4867,OR(N5240="331",O5240="331")),"x","")</f>
        <v/>
      </c>
      <c r="Q5240" s="75" t="str">
        <f>IF(AND(B5240='111'!$L$11,OR($N5240=$Q$7,$O5240=$Q$7)),"x","")</f>
        <v/>
      </c>
      <c r="R5240" s="75" t="str">
        <f>IF(AND($N5240=$Q$7,$B5240&lt;'111'!$L$11),"x","")</f>
        <v/>
      </c>
      <c r="S5240" s="75" t="str">
        <f>IF(AND($O5240=$Q$7,$B5240&lt;'111'!$L$11),"x","")</f>
        <v/>
      </c>
      <c r="T5240" s="75" t="str">
        <f>IF(ISERROR(FIND('112'!$M$9,G5240,1)),"",IF((AND(FIND('112'!$M$9,G5240,1)&gt;=1,B5240='112'!$K$9,OR($N5240='112'!$I$6,$O5240='112'!$I$6))),"x",""))</f>
        <v/>
      </c>
      <c r="U5240" s="75" t="str">
        <f>IF(ISERROR(FIND('112'!$M$9,G5240,1)),"",IF((AND(LEFT(G5240,2)=LEFT('112'!$M$9,2),B5240&lt;'112'!$K$9,$N5240='112'!$I$6)),"x",""))</f>
        <v/>
      </c>
      <c r="V5240" s="75" t="str">
        <f>IF(ISERROR(FIND('112'!$M$9,G5240,1)),"",IF((AND(RIGHT(G5240,2)=RIGHT('112'!$M$9,2),B5240&lt;'112'!$K$9,$O5240='112'!$I$6)),"x",""))</f>
        <v/>
      </c>
      <c r="W5240" s="75" t="str">
        <f>IF(AND('341-CT'!$H$9=H5240,OR(LEFT(N5240,3)=$W$7,LEFT(O5240,3)=$W$7)),"x","")</f>
        <v/>
      </c>
      <c r="X5240" s="75" t="str">
        <f>IF(OR(TH!N4867=TH!$X$7,O5240=TH!$X$7),"x","")</f>
        <v/>
      </c>
      <c r="Y5240" s="75" t="str">
        <f>IF(AND(OR(N5240="131",O5240="131"),H5240='131-CT'!$H$9),"x","")</f>
        <v/>
      </c>
      <c r="Z5240" s="75"/>
      <c r="AA5240" s="75" t="str">
        <f>IF(AND(MONTH(E5240)='IN-NX'!$J$5,'IN-NX'!$D$7=D5240),"x","")</f>
        <v/>
      </c>
      <c r="AB5240" s="75" t="str">
        <f>IF(AND(OR(LEFT(TH!N4867,2)="15",LEFT(TH!O4867,2)="15"),LEFT(TH!O4867,3)&lt;&gt;"111",'152-CT'!$J$8=TH!F4867),"x","")</f>
        <v/>
      </c>
      <c r="AC5240" s="75" t="str">
        <f>IF(AND(OR(LEFT(TH!N4867,2)="15",LEFT(TH!O4867,2)="15"),TK!$E$7=TH!F4867),"x","")</f>
        <v/>
      </c>
      <c r="AD5240" s="75" t="str">
        <f>IF(AND(N5240="1521",MONTH(C5240)='BK-NL'!$M$11),"x","")</f>
        <v/>
      </c>
      <c r="AE5240">
        <v>10</v>
      </c>
    </row>
    <row r="5241" spans="1:33" ht="16.5" customHeight="1">
      <c r="A5241" s="309" t="str">
        <f>IF(B5241&lt;&gt;"",IF(AND(B5241='IN-TC'!$S$4,OR(TH!N5229="1111",TH!O5229="1111")),TH!D5229,""),"")</f>
        <v/>
      </c>
      <c r="B5241" s="1244">
        <f t="shared" si="1348"/>
        <v>10</v>
      </c>
      <c r="C5241" s="292">
        <f t="shared" si="1349"/>
        <v>43034</v>
      </c>
      <c r="D5241" s="59" t="s">
        <v>902</v>
      </c>
      <c r="E5241" s="59">
        <v>43034</v>
      </c>
      <c r="F5241" s="67" t="s">
        <v>898</v>
      </c>
      <c r="G5241" s="62" t="s">
        <v>585</v>
      </c>
      <c r="H5241" s="67" t="s">
        <v>845</v>
      </c>
      <c r="I5241" s="375"/>
      <c r="J5241" s="381"/>
      <c r="K5241" s="375"/>
      <c r="L5241" s="381"/>
      <c r="M5241" s="60">
        <v>2049</v>
      </c>
      <c r="N5241" s="61" t="s">
        <v>9</v>
      </c>
      <c r="O5241" s="61" t="s">
        <v>26</v>
      </c>
      <c r="P5241" s="75" t="str">
        <f>IF(AND('331-CT'!$E$7=TH!H4868,OR(N5241="331",O5241="331")),"x","")</f>
        <v/>
      </c>
      <c r="Q5241" s="75" t="str">
        <f>IF(AND(B5241='111'!$L$11,OR($N5241=$Q$7,$O5241=$Q$7)),"x","")</f>
        <v/>
      </c>
      <c r="R5241" s="75" t="str">
        <f>IF(AND($N5241=$Q$7,$B5241&lt;'111'!$L$11),"x","")</f>
        <v/>
      </c>
      <c r="S5241" s="75" t="str">
        <f>IF(AND($O5241=$Q$7,$B5241&lt;'111'!$L$11),"x","")</f>
        <v/>
      </c>
      <c r="T5241" s="75" t="str">
        <f>IF(ISERROR(FIND('112'!$M$9,G5241,1)),"",IF((AND(FIND('112'!$M$9,G5241,1)&gt;=1,B5241='112'!$K$9,OR($N5241='112'!$I$6,$O5241='112'!$I$6))),"x",""))</f>
        <v/>
      </c>
      <c r="U5241" s="75" t="str">
        <f>IF(ISERROR(FIND('112'!$M$9,G5241,1)),"",IF((AND(LEFT(G5241,2)=LEFT('112'!$M$9,2),B5241&lt;'112'!$K$9,$N5241='112'!$I$6)),"x",""))</f>
        <v/>
      </c>
      <c r="V5241" s="75" t="str">
        <f>IF(ISERROR(FIND('112'!$M$9,G5241,1)),"",IF((AND(RIGHT(G5241,2)=RIGHT('112'!$M$9,2),B5241&lt;'112'!$K$9,$O5241='112'!$I$6)),"x",""))</f>
        <v/>
      </c>
      <c r="W5241" s="75" t="str">
        <f>IF(AND('341-CT'!$H$9=H5241,OR(LEFT(N5241,3)=$W$7,LEFT(O5241,3)=$W$7)),"x","")</f>
        <v/>
      </c>
      <c r="X5241" s="75" t="str">
        <f>IF(OR(TH!N4868=TH!$X$7,O5241=TH!$X$7),"x","")</f>
        <v/>
      </c>
      <c r="Y5241" s="75" t="str">
        <f>IF(AND(OR(N5241="131",O5241="131"),H5241='131-CT'!$H$9),"x","")</f>
        <v/>
      </c>
      <c r="Z5241" s="75"/>
      <c r="AA5241" s="75" t="str">
        <f>IF(AND(MONTH(E5241)='IN-NX'!$J$5,'IN-NX'!$D$7=D5241),"x","")</f>
        <v/>
      </c>
      <c r="AB5241" s="75" t="str">
        <f>IF(AND(OR(LEFT(TH!N4868,2)="15",LEFT(TH!O4868,2)="15"),LEFT(TH!O4868,3)&lt;&gt;"111",'152-CT'!$J$8=TH!F4868),"x","")</f>
        <v/>
      </c>
      <c r="AC5241" s="75" t="str">
        <f>IF(AND(OR(LEFT(TH!N4868,2)="15",LEFT(TH!O4868,2)="15"),TK!$E$7=TH!F4868),"x","")</f>
        <v/>
      </c>
      <c r="AD5241" s="75" t="str">
        <f>IF(AND(N5241="1521",MONTH(C5241)='BK-NL'!$M$11),"x","")</f>
        <v/>
      </c>
      <c r="AE5241">
        <v>10</v>
      </c>
    </row>
    <row r="5242" spans="1:33" ht="16.5" customHeight="1">
      <c r="A5242" s="309" t="str">
        <f>IF(B5242&lt;&gt;"",IF(AND(B5242='IN-TC'!$S$4,OR(TH!N5230="1111",TH!O5230="1111")),TH!D5230,""),"")</f>
        <v/>
      </c>
      <c r="B5242" s="1244">
        <f t="shared" si="1348"/>
        <v>10</v>
      </c>
      <c r="C5242" s="292">
        <f t="shared" si="1349"/>
        <v>43034</v>
      </c>
      <c r="D5242" s="59" t="s">
        <v>902</v>
      </c>
      <c r="E5242" s="59">
        <v>43034</v>
      </c>
      <c r="F5242" s="62" t="s">
        <v>897</v>
      </c>
      <c r="G5242" s="62" t="s">
        <v>585</v>
      </c>
      <c r="H5242" s="67" t="s">
        <v>623</v>
      </c>
      <c r="I5242" s="375"/>
      <c r="J5242" s="382"/>
      <c r="K5242" s="375"/>
      <c r="L5242" s="381"/>
      <c r="M5242" s="60">
        <v>4700000000</v>
      </c>
      <c r="N5242" s="61" t="s">
        <v>8</v>
      </c>
      <c r="O5242" s="61" t="s">
        <v>26</v>
      </c>
      <c r="P5242" s="75" t="str">
        <f>IF(AND('331-CT'!$E$7=TH!H4869,OR(N5242="331",O5242="331")),"x","")</f>
        <v/>
      </c>
      <c r="Q5242" s="75" t="str">
        <f>IF(AND(B5242='111'!$L$11,OR($N5242=$Q$7,$O5242=$Q$7)),"x","")</f>
        <v/>
      </c>
      <c r="R5242" s="75" t="str">
        <f>IF(AND($N5242=$Q$7,$B5242&lt;'111'!$L$11),"x","")</f>
        <v/>
      </c>
      <c r="S5242" s="75" t="str">
        <f>IF(AND($O5242=$Q$7,$B5242&lt;'111'!$L$11),"x","")</f>
        <v/>
      </c>
      <c r="T5242" s="75" t="str">
        <f>IF(ISERROR(FIND('112'!$M$9,G5242,1)),"",IF((AND(FIND('112'!$M$9,G5242,1)&gt;=1,B5242='112'!$K$9,OR($N5242='112'!$I$6,$O5242='112'!$I$6))),"x",""))</f>
        <v/>
      </c>
      <c r="U5242" s="75" t="str">
        <f>IF(ISERROR(FIND('112'!$M$9,G5242,1)),"",IF((AND(LEFT(G5242,2)=LEFT('112'!$M$9,2),B5242&lt;'112'!$K$9,$N5242='112'!$I$6)),"x",""))</f>
        <v/>
      </c>
      <c r="V5242" s="75" t="str">
        <f>IF(ISERROR(FIND('112'!$M$9,G5242,1)),"",IF((AND(RIGHT(G5242,2)=RIGHT('112'!$M$9,2),B5242&lt;'112'!$K$9,$O5242='112'!$I$6)),"x",""))</f>
        <v/>
      </c>
      <c r="W5242" s="75" t="str">
        <f>IF(AND('341-CT'!$H$9=H5242,OR(LEFT(N5242,3)=$W$7,LEFT(O5242,3)=$W$7)),"x","")</f>
        <v/>
      </c>
      <c r="X5242" s="75" t="str">
        <f>IF(OR(TH!N4869=TH!$X$7,O5242=TH!$X$7),"x","")</f>
        <v/>
      </c>
      <c r="Y5242" s="75" t="str">
        <f>IF(AND(OR(N5242="131",O5242="131"),H5242='131-CT'!$H$9),"x","")</f>
        <v/>
      </c>
      <c r="Z5242" s="75"/>
      <c r="AA5242" s="75" t="str">
        <f>IF(AND(MONTH(E5242)='IN-NX'!$J$5,'IN-NX'!$D$7=D5242),"x","")</f>
        <v/>
      </c>
      <c r="AB5242" s="75" t="str">
        <f>IF(AND(OR(LEFT(TH!N4869,2)="15",LEFT(TH!O4869,2)="15"),LEFT(TH!O4869,3)&lt;&gt;"111",'152-CT'!$J$8=TH!F4869),"x","")</f>
        <v/>
      </c>
      <c r="AC5242" s="75" t="str">
        <f>IF(AND(OR(LEFT(TH!N4869,2)="15",LEFT(TH!O4869,2)="15"),TK!$E$7=TH!F4869),"x","")</f>
        <v/>
      </c>
      <c r="AD5242" s="75" t="str">
        <f>IF(AND(N5242="1521",MONTH(C5242)='BK-NL'!$M$11),"x","")</f>
        <v/>
      </c>
    </row>
    <row r="5243" spans="1:33" ht="16.5" customHeight="1">
      <c r="A5243" s="309" t="str">
        <f>IF(B5243&lt;&gt;"",IF(AND(B5243='IN-TC'!$S$4,OR(TH!N5231="1111",TH!O5231="1111")),TH!D5231,""),"")</f>
        <v/>
      </c>
      <c r="B5243" s="1244">
        <f t="shared" si="1348"/>
        <v>10</v>
      </c>
      <c r="C5243" s="292">
        <f t="shared" si="1349"/>
        <v>43034</v>
      </c>
      <c r="D5243" s="292" t="s">
        <v>902</v>
      </c>
      <c r="E5243" s="292">
        <v>43034</v>
      </c>
      <c r="F5243" s="293" t="s">
        <v>1307</v>
      </c>
      <c r="G5243" s="293" t="s">
        <v>747</v>
      </c>
      <c r="H5243" s="294" t="s">
        <v>759</v>
      </c>
      <c r="I5243" s="373"/>
      <c r="J5243" s="382"/>
      <c r="K5243" s="373"/>
      <c r="L5243" s="379"/>
      <c r="M5243" s="60">
        <v>2502500</v>
      </c>
      <c r="N5243" s="295" t="s">
        <v>101</v>
      </c>
      <c r="O5243" s="295" t="s">
        <v>26</v>
      </c>
      <c r="P5243" s="75" t="str">
        <f>IF(AND('331-CT'!$E$7=TH!H5544,OR(N5243="331",O5243="331")),"x","")</f>
        <v/>
      </c>
      <c r="Q5243" s="75" t="str">
        <f>IF(AND(B5243='111'!$L$11,OR($N5243=$Q$7,$O5243=$Q$7)),"x","")</f>
        <v/>
      </c>
      <c r="R5243" s="75" t="str">
        <f>IF(AND($N5243=$Q$7,$B5243&lt;'111'!$L$11),"x","")</f>
        <v/>
      </c>
      <c r="S5243" s="75" t="str">
        <f>IF(AND($O5243=$Q$7,$B5243&lt;'111'!$L$11),"x","")</f>
        <v/>
      </c>
      <c r="T5243" s="75" t="str">
        <f>IF(ISERROR(FIND('112'!$M$9,G5243,1)),"",IF((AND(FIND('112'!$M$9,G5243,1)&gt;=1,B5243='112'!$K$9,OR($N5243='112'!$I$6,$O5243='112'!$I$6))),"x",""))</f>
        <v/>
      </c>
      <c r="U5243" s="75" t="str">
        <f>IF(ISERROR(FIND('112'!$M$9,G5243,1)),"",IF((AND(LEFT(G5243,2)=LEFT('112'!$M$9,2),B5243&lt;'112'!$K$9,$N5243='112'!$I$6)),"x",""))</f>
        <v/>
      </c>
      <c r="V5243" s="75" t="str">
        <f>IF(ISERROR(FIND('112'!$M$9,G5243,1)),"",IF((AND(RIGHT(G5243,2)=RIGHT('112'!$M$9,2),B5243&lt;'112'!$K$9,$O5243='112'!$I$6)),"x",""))</f>
        <v/>
      </c>
      <c r="W5243" s="75" t="str">
        <f>IF(AND('341-CT'!$H$9=H5243,OR(LEFT(N5243,3)=$W$7,LEFT(O5243,3)=$W$7)),"x","")</f>
        <v/>
      </c>
      <c r="X5243" s="75" t="str">
        <f>IF(OR(TH!N5544=TH!$X$7,O5243=TH!$X$7),"x","")</f>
        <v/>
      </c>
      <c r="Y5243" s="75" t="str">
        <f>IF(AND(OR(N5243="131",O5243="131"),H5243='131-CT'!$H$9),"x","")</f>
        <v/>
      </c>
      <c r="Z5243" s="75"/>
      <c r="AA5243" s="75" t="str">
        <f>IF(AND(MONTH(E5243)='IN-NX'!$J$5,'IN-NX'!$D$7=D5243),"x","")</f>
        <v/>
      </c>
      <c r="AB5243" s="75" t="str">
        <f>IF(AND(OR(LEFT(TH!N5544,2)="15",LEFT(TH!O5544,2)="15"),LEFT(TH!O5544,3)&lt;&gt;"111",'152-CT'!$J$8=TH!F5544),"x","")</f>
        <v/>
      </c>
      <c r="AC5243" s="75" t="str">
        <f>IF(AND(OR(LEFT(TH!N5544,2)="15",LEFT(TH!O5544,2)="15"),TK!$E$7=TH!F5544),"x","")</f>
        <v/>
      </c>
      <c r="AD5243" s="75" t="str">
        <f>IF(AND(N5243="1521",MONTH(C5243)='BK-NL'!$M$11),"x","")</f>
        <v/>
      </c>
    </row>
    <row r="5244" spans="1:33" ht="16.5" customHeight="1">
      <c r="A5244" s="309" t="str">
        <f>IF(B5244&lt;&gt;"",IF(AND(B5244='IN-TC'!$S$4,OR(TH!N5232="1111",TH!O5232="1111")),TH!D5232,""),"")</f>
        <v/>
      </c>
      <c r="B5244" s="1244">
        <f t="shared" si="1348"/>
        <v>10</v>
      </c>
      <c r="C5244" s="292">
        <f t="shared" si="1349"/>
        <v>43034</v>
      </c>
      <c r="D5244" s="292" t="s">
        <v>903</v>
      </c>
      <c r="E5244" s="292">
        <v>43034</v>
      </c>
      <c r="F5244" s="293" t="s">
        <v>2550</v>
      </c>
      <c r="G5244" s="293" t="s">
        <v>747</v>
      </c>
      <c r="H5244" s="67" t="s">
        <v>2551</v>
      </c>
      <c r="I5244" s="373"/>
      <c r="J5244" s="382"/>
      <c r="K5244" s="373">
        <v>10474.06</v>
      </c>
      <c r="L5244" s="379">
        <f>M5244/K5244</f>
        <v>22689.999961810416</v>
      </c>
      <c r="M5244" s="60">
        <v>237656421</v>
      </c>
      <c r="N5244" s="295" t="s">
        <v>26</v>
      </c>
      <c r="O5244" s="295" t="s">
        <v>250</v>
      </c>
      <c r="P5244" s="75" t="str">
        <f>IF(AND('331-CT'!$E$7=TH!H5545,OR(N5244="331",O5244="331")),"x","")</f>
        <v/>
      </c>
      <c r="Q5244" s="75" t="str">
        <f>IF(AND(B5244='111'!$L$11,OR($N5244=$Q$7,$O5244=$Q$7)),"x","")</f>
        <v/>
      </c>
      <c r="R5244" s="75" t="str">
        <f>IF(AND($N5244=$Q$7,$B5244&lt;'111'!$L$11),"x","")</f>
        <v/>
      </c>
      <c r="S5244" s="75" t="str">
        <f>IF(AND($O5244=$Q$7,$B5244&lt;'111'!$L$11),"x","")</f>
        <v/>
      </c>
      <c r="T5244" s="75" t="str">
        <f>IF(ISERROR(FIND('112'!$M$9,G5244,1)),"",IF((AND(FIND('112'!$M$9,G5244,1)&gt;=1,B5244='112'!$K$9,OR($N5244='112'!$I$6,$O5244='112'!$I$6))),"x",""))</f>
        <v/>
      </c>
      <c r="U5244" s="75" t="str">
        <f>IF(ISERROR(FIND('112'!$M$9,G5244,1)),"",IF((AND(LEFT(G5244,2)=LEFT('112'!$M$9,2),B5244&lt;'112'!$K$9,$N5244='112'!$I$6)),"x",""))</f>
        <v/>
      </c>
      <c r="V5244" s="75" t="str">
        <f>IF(ISERROR(FIND('112'!$M$9,G5244,1)),"",IF((AND(RIGHT(G5244,2)=RIGHT('112'!$M$9,2),B5244&lt;'112'!$K$9,$O5244='112'!$I$6)),"x",""))</f>
        <v/>
      </c>
      <c r="W5244" s="75" t="str">
        <f>IF(AND('341-CT'!$H$9=H5244,OR(LEFT(N5244,3)=$W$7,LEFT(O5244,3)=$W$7)),"x","")</f>
        <v/>
      </c>
      <c r="X5244" s="75" t="str">
        <f>IF(OR(TH!N5545=TH!$X$7,O5244=TH!$X$7),"x","")</f>
        <v/>
      </c>
      <c r="Y5244" s="75" t="str">
        <f>IF(AND(OR(N5244="131",O5244="131"),H5244='131-CT'!$H$9),"x","")</f>
        <v/>
      </c>
      <c r="Z5244" s="75"/>
      <c r="AA5244" s="75" t="str">
        <f>IF(AND(MONTH(E5244)='IN-NX'!$J$5,'IN-NX'!$D$7=D5244),"x","")</f>
        <v/>
      </c>
      <c r="AB5244" s="75" t="str">
        <f>IF(AND(OR(LEFT(TH!N5545,2)="15",LEFT(TH!O5545,2)="15"),LEFT(TH!O5545,3)&lt;&gt;"111",'152-CT'!$J$8=TH!F5545),"x","")</f>
        <v/>
      </c>
      <c r="AC5244" s="75" t="str">
        <f>IF(AND(OR(LEFT(TH!N5545,2)="15",LEFT(TH!O5545,2)="15"),TK!$E$7=TH!F5545),"x","")</f>
        <v/>
      </c>
      <c r="AD5244" s="75" t="str">
        <f>IF(AND(N5244="1521",MONTH(C5244)='BK-NL'!$M$11),"x","")</f>
        <v/>
      </c>
      <c r="AE5244" s="304"/>
      <c r="AF5244" s="304"/>
      <c r="AG5244" s="304"/>
    </row>
    <row r="5245" spans="1:33" ht="16.5" customHeight="1">
      <c r="A5245" s="309" t="str">
        <f>IF(B5245&lt;&gt;"",IF(AND(B5245='IN-TC'!$S$4,OR(TH!N5233="1111",TH!O5233="1111")),TH!D5233,""),"")</f>
        <v/>
      </c>
      <c r="B5245" s="1244">
        <f t="shared" si="1348"/>
        <v>10</v>
      </c>
      <c r="C5245" s="292">
        <f t="shared" si="1349"/>
        <v>43034</v>
      </c>
      <c r="D5245" s="59" t="s">
        <v>1271</v>
      </c>
      <c r="E5245" s="59">
        <v>43034</v>
      </c>
      <c r="F5245" s="62" t="s">
        <v>834</v>
      </c>
      <c r="G5245" s="62" t="s">
        <v>747</v>
      </c>
      <c r="H5245" s="67" t="s">
        <v>1023</v>
      </c>
      <c r="I5245" s="373"/>
      <c r="J5245" s="382"/>
      <c r="K5245" s="373"/>
      <c r="L5245" s="379"/>
      <c r="M5245" s="60">
        <v>200000000</v>
      </c>
      <c r="N5245" s="61" t="s">
        <v>63</v>
      </c>
      <c r="O5245" s="61" t="s">
        <v>26</v>
      </c>
      <c r="P5245" s="75" t="str">
        <f>IF(AND('331-CT'!$E$7=TH!H5559,OR(N5245="331",O5245="331")),"x","")</f>
        <v/>
      </c>
      <c r="Q5245" s="75" t="str">
        <f>IF(AND(B5245='111'!$L$11,OR($N5245=$Q$7,$O5245=$Q$7)),"x","")</f>
        <v/>
      </c>
      <c r="R5245" s="75" t="str">
        <f>IF(AND($N5245=$Q$7,$B5245&lt;'111'!$L$11),"x","")</f>
        <v>x</v>
      </c>
      <c r="S5245" s="75" t="str">
        <f>IF(AND($O5245=$Q$7,$B5245&lt;'111'!$L$11),"x","")</f>
        <v/>
      </c>
      <c r="T5245" s="75" t="str">
        <f>IF(ISERROR(FIND('112'!$M$9,G5245,1)),"",IF((AND(FIND('112'!$M$9,G5245,1)&gt;=1,B5245='112'!$K$9,OR($N5245='112'!$I$6,$O5245='112'!$I$6))),"x",""))</f>
        <v/>
      </c>
      <c r="U5245" s="75" t="str">
        <f>IF(ISERROR(FIND('112'!$M$9,G5245,1)),"",IF((AND(LEFT(G5245,2)=LEFT('112'!$M$9,2),B5245&lt;'112'!$K$9,$N5245='112'!$I$6)),"x",""))</f>
        <v/>
      </c>
      <c r="V5245" s="75" t="str">
        <f>IF(ISERROR(FIND('112'!$M$9,G5245,1)),"",IF((AND(RIGHT(G5245,2)=RIGHT('112'!$M$9,2),B5245&lt;'112'!$K$9,$O5245='112'!$I$6)),"x",""))</f>
        <v/>
      </c>
      <c r="W5245" s="75" t="str">
        <f>IF(AND('341-CT'!$H$9=H5245,OR(LEFT(N5245,3)=$W$7,LEFT(O5245,3)=$W$7)),"x","")</f>
        <v/>
      </c>
      <c r="X5245" s="75" t="str">
        <f>IF(OR(TH!N5559=TH!$X$7,O5245=TH!$X$7),"x","")</f>
        <v/>
      </c>
      <c r="Y5245" s="75" t="str">
        <f>IF(AND(OR(N5245="131",O5245="131"),H5245='131-CT'!$H$9),"x","")</f>
        <v/>
      </c>
      <c r="Z5245" s="75"/>
      <c r="AA5245" s="75" t="str">
        <f>IF(AND(MONTH(E5245)='IN-NX'!$J$5,'IN-NX'!$D$7=D5245),"x","")</f>
        <v/>
      </c>
      <c r="AB5245" s="75" t="str">
        <f>IF(AND(OR(LEFT(TH!N5559,2)="15",LEFT(TH!O5559,2)="15"),LEFT(TH!O5559,3)&lt;&gt;"111",'152-CT'!$J$8=TH!F5559),"x","")</f>
        <v/>
      </c>
      <c r="AC5245" s="75" t="str">
        <f>IF(AND(OR(LEFT(TH!N5559,2)="15",LEFT(TH!O5559,2)="15"),TK!$E$7=TH!F5559),"x","")</f>
        <v/>
      </c>
      <c r="AD5245" s="75" t="str">
        <f>IF(AND(N5245="1521",MONTH(C5245)='BK-NL'!$M$11),"x","")</f>
        <v/>
      </c>
    </row>
    <row r="5246" spans="1:33" ht="16.5" customHeight="1">
      <c r="A5246" s="309" t="str">
        <f>IF(B5246&lt;&gt;"",IF(AND(B5246='IN-TC'!$S$4,OR(TH!N5234="1111",TH!O5234="1111")),TH!D5234,""),"")</f>
        <v/>
      </c>
      <c r="B5246" s="1244">
        <f t="shared" si="1348"/>
        <v>10</v>
      </c>
      <c r="C5246" s="292">
        <f t="shared" si="1349"/>
        <v>43034</v>
      </c>
      <c r="D5246" s="59" t="s">
        <v>1271</v>
      </c>
      <c r="E5246" s="59">
        <v>43034</v>
      </c>
      <c r="F5246" s="62" t="s">
        <v>834</v>
      </c>
      <c r="G5246" s="62" t="s">
        <v>585</v>
      </c>
      <c r="H5246" s="67" t="s">
        <v>1023</v>
      </c>
      <c r="I5246" s="373"/>
      <c r="J5246" s="382"/>
      <c r="K5246" s="373"/>
      <c r="L5246" s="379"/>
      <c r="M5246" s="60">
        <v>550000000</v>
      </c>
      <c r="N5246" s="61" t="s">
        <v>63</v>
      </c>
      <c r="O5246" s="61" t="s">
        <v>26</v>
      </c>
      <c r="P5246" s="75" t="str">
        <f>IF(AND('331-CT'!$E$7=TH!H4862,OR(N5246="331",O5246="331")),"x","")</f>
        <v/>
      </c>
      <c r="Q5246" s="75" t="str">
        <f>IF(AND(B5246='111'!$L$11,OR($N5246=$Q$7,$O5246=$Q$7)),"x","")</f>
        <v/>
      </c>
      <c r="R5246" s="75" t="str">
        <f>IF(AND($N5246=$Q$7,$B5246&lt;'111'!$L$11),"x","")</f>
        <v>x</v>
      </c>
      <c r="S5246" s="75" t="str">
        <f>IF(AND($O5246=$Q$7,$B5246&lt;'111'!$L$11),"x","")</f>
        <v/>
      </c>
      <c r="T5246" s="75" t="str">
        <f>IF(ISERROR(FIND('112'!$M$9,G5246,1)),"",IF((AND(FIND('112'!$M$9,G5246,1)&gt;=1,B5246='112'!$K$9,OR($N5246='112'!$I$6,$O5246='112'!$I$6))),"x",""))</f>
        <v/>
      </c>
      <c r="U5246" s="75" t="str">
        <f>IF(ISERROR(FIND('112'!$M$9,G5246,1)),"",IF((AND(LEFT(G5246,2)=LEFT('112'!$M$9,2),B5246&lt;'112'!$K$9,$N5246='112'!$I$6)),"x",""))</f>
        <v/>
      </c>
      <c r="V5246" s="75" t="str">
        <f>IF(ISERROR(FIND('112'!$M$9,G5246,1)),"",IF((AND(RIGHT(G5246,2)=RIGHT('112'!$M$9,2),B5246&lt;'112'!$K$9,$O5246='112'!$I$6)),"x",""))</f>
        <v/>
      </c>
      <c r="W5246" s="75" t="str">
        <f>IF(AND('341-CT'!$H$9=H5246,OR(LEFT(N5246,3)=$W$7,LEFT(O5246,3)=$W$7)),"x","")</f>
        <v/>
      </c>
      <c r="X5246" s="75" t="str">
        <f>IF(OR(TH!N4862=TH!$X$7,O5246=TH!$X$7),"x","")</f>
        <v/>
      </c>
      <c r="Y5246" s="75" t="str">
        <f>IF(AND(OR(N5246="131",O5246="131"),H5246='131-CT'!$H$9),"x","")</f>
        <v/>
      </c>
      <c r="Z5246" s="75"/>
      <c r="AA5246" s="75" t="str">
        <f>IF(AND(MONTH(E5246)='IN-NX'!$J$5,'IN-NX'!$D$7=D5246),"x","")</f>
        <v/>
      </c>
      <c r="AB5246" s="75" t="str">
        <f>IF(AND(OR(LEFT(TH!N4862,2)="15",LEFT(TH!O4862,2)="15"),LEFT(TH!O4862,3)&lt;&gt;"111",'152-CT'!$J$8=TH!F4862),"x","")</f>
        <v/>
      </c>
      <c r="AC5246" s="75" t="str">
        <f>IF(AND(OR(LEFT(TH!N4862,2)="15",LEFT(TH!O4862,2)="15"),TK!$E$7=TH!F4862),"x","")</f>
        <v/>
      </c>
      <c r="AD5246" s="75" t="str">
        <f>IF(AND(N5246="1521",MONTH(C5246)='BK-NL'!$M$11),"x","")</f>
        <v/>
      </c>
    </row>
    <row r="5247" spans="1:33" ht="16.5" customHeight="1">
      <c r="A5247" s="309" t="str">
        <f>IF(B5247&lt;&gt;"",IF(AND(B5247='IN-TC'!$S$4,OR(TH!N5235="1111",TH!O5235="1111")),TH!D5235,""),"")</f>
        <v/>
      </c>
      <c r="B5247" s="1244">
        <f t="shared" si="1348"/>
        <v>10</v>
      </c>
      <c r="C5247" s="292">
        <f t="shared" si="1349"/>
        <v>43034</v>
      </c>
      <c r="D5247" s="292"/>
      <c r="E5247" s="292">
        <v>43034</v>
      </c>
      <c r="F5247" s="67" t="s">
        <v>2519</v>
      </c>
      <c r="G5247" s="925" t="s">
        <v>2521</v>
      </c>
      <c r="H5247" s="294" t="s">
        <v>2522</v>
      </c>
      <c r="I5247" s="373"/>
      <c r="J5247" s="926"/>
      <c r="K5247" s="373"/>
      <c r="L5247" s="379"/>
      <c r="M5247" s="927">
        <v>2181818</v>
      </c>
      <c r="N5247" s="295" t="s">
        <v>101</v>
      </c>
      <c r="O5247" s="295" t="s">
        <v>63</v>
      </c>
      <c r="P5247" s="75" t="str">
        <f>IF(AND('331-CT'!$E$7=TH!H4061,OR(N5247="331",O5247="331")),"x","")</f>
        <v/>
      </c>
      <c r="Q5247" s="75" t="str">
        <f>IF(AND(B5247='111'!$L$11,OR($N5247=$Q$7,$O5247=$Q$7)),"x","")</f>
        <v/>
      </c>
      <c r="R5247" s="75" t="str">
        <f>IF(AND($N5247=$Q$7,$B5247&lt;'111'!$L$11),"x","")</f>
        <v/>
      </c>
      <c r="S5247" s="75" t="str">
        <f>IF(AND($O5247=$Q$7,$B5247&lt;'111'!$L$11),"x","")</f>
        <v>x</v>
      </c>
      <c r="T5247" s="75" t="str">
        <f>IF(ISERROR(FIND('112'!$M$9,G5247,1)),"",IF((AND(FIND('112'!$M$9,G5247,1)&gt;=1,B5247='112'!$K$9,OR($N5247='112'!$I$6,$O5247='112'!$I$6))),"x",""))</f>
        <v/>
      </c>
      <c r="U5247" s="75" t="str">
        <f>IF(ISERROR(FIND('112'!$M$9,G5247,1)),"",IF((AND(LEFT(G5247,2)=LEFT('112'!$M$9,2),B5247&lt;'112'!$K$9,$N5247='112'!$I$6)),"x",""))</f>
        <v/>
      </c>
      <c r="V5247" s="75" t="str">
        <f>IF(ISERROR(FIND('112'!$M$9,G5247,1)),"",IF((AND(RIGHT(G5247,2)=RIGHT('112'!$M$9,2),B5247&lt;'112'!$K$9,$O5247='112'!$I$6)),"x",""))</f>
        <v/>
      </c>
      <c r="W5247" s="75" t="str">
        <f>IF(AND('341-CT'!$H$9=H5247,OR(LEFT(N5247,3)=$W$7,LEFT(O5247,3)=$W$7)),"x","")</f>
        <v/>
      </c>
      <c r="X5247" s="75" t="str">
        <f>IF(OR(TH!N4061=TH!$X$7,O5247=TH!$X$7),"x","")</f>
        <v/>
      </c>
      <c r="Y5247" s="75" t="str">
        <f>IF(AND(OR(N5247="131",O5247="131"),H5247='131-CT'!$H$9),"x","")</f>
        <v/>
      </c>
      <c r="Z5247" s="75"/>
      <c r="AA5247" s="75" t="str">
        <f>IF(AND(MONTH(E5247)='IN-NX'!$J$5,'IN-NX'!$D$7=D5247),"x","")</f>
        <v/>
      </c>
      <c r="AB5247" s="75" t="str">
        <f>IF(AND(OR(LEFT(TH!N4061,2)="15",LEFT(TH!O4061,2)="15"),LEFT(TH!O4061,3)&lt;&gt;"111",'152-CT'!$J$8=TH!F4061),"x","")</f>
        <v/>
      </c>
      <c r="AC5247" s="75" t="str">
        <f>IF(AND(OR(LEFT(TH!N4061,2)="15",LEFT(TH!O4061,2)="15"),TK!$E$7=TH!F4061),"x","")</f>
        <v/>
      </c>
      <c r="AD5247" s="75" t="str">
        <f>IF(AND(N5247="1521",MONTH(C5247)='BK-NL'!$M$11),"x","")</f>
        <v/>
      </c>
      <c r="AE5247">
        <v>10</v>
      </c>
    </row>
    <row r="5248" spans="1:33" ht="16.5" customHeight="1">
      <c r="A5248" s="309" t="str">
        <f>IF(B5248&lt;&gt;"",IF(AND(B5248='IN-TC'!$S$4,OR(TH!N5236="1111",TH!O5236="1111")),TH!D5236,""),"")</f>
        <v/>
      </c>
      <c r="B5248" s="1244">
        <f t="shared" si="1348"/>
        <v>10</v>
      </c>
      <c r="C5248" s="292">
        <f t="shared" si="1349"/>
        <v>43034</v>
      </c>
      <c r="D5248" s="292"/>
      <c r="E5248" s="292">
        <v>43034</v>
      </c>
      <c r="F5248" s="67" t="s">
        <v>2520</v>
      </c>
      <c r="G5248" s="925" t="s">
        <v>2521</v>
      </c>
      <c r="H5248" s="294" t="s">
        <v>2522</v>
      </c>
      <c r="I5248" s="373"/>
      <c r="J5248" s="926"/>
      <c r="K5248" s="373"/>
      <c r="L5248" s="379"/>
      <c r="M5248" s="927">
        <v>218182</v>
      </c>
      <c r="N5248" s="295" t="s">
        <v>9</v>
      </c>
      <c r="O5248" s="295" t="s">
        <v>63</v>
      </c>
      <c r="P5248" s="75" t="str">
        <f>IF(AND('331-CT'!$E$7=TH!H4062,OR(N5248="331",O5248="331")),"x","")</f>
        <v/>
      </c>
      <c r="Q5248" s="75" t="str">
        <f>IF(AND(B5248='111'!$L$11,OR($N5248=$Q$7,$O5248=$Q$7)),"x","")</f>
        <v/>
      </c>
      <c r="R5248" s="75" t="str">
        <f>IF(AND($N5248=$Q$7,$B5248&lt;'111'!$L$11),"x","")</f>
        <v/>
      </c>
      <c r="S5248" s="75" t="str">
        <f>IF(AND($O5248=$Q$7,$B5248&lt;'111'!$L$11),"x","")</f>
        <v>x</v>
      </c>
      <c r="T5248" s="75" t="str">
        <f>IF(ISERROR(FIND('112'!$M$9,G5248,1)),"",IF((AND(FIND('112'!$M$9,G5248,1)&gt;=1,B5248='112'!$K$9,OR($N5248='112'!$I$6,$O5248='112'!$I$6))),"x",""))</f>
        <v/>
      </c>
      <c r="U5248" s="75" t="str">
        <f>IF(ISERROR(FIND('112'!$M$9,G5248,1)),"",IF((AND(LEFT(G5248,2)=LEFT('112'!$M$9,2),B5248&lt;'112'!$K$9,$N5248='112'!$I$6)),"x",""))</f>
        <v/>
      </c>
      <c r="V5248" s="75" t="str">
        <f>IF(ISERROR(FIND('112'!$M$9,G5248,1)),"",IF((AND(RIGHT(G5248,2)=RIGHT('112'!$M$9,2),B5248&lt;'112'!$K$9,$O5248='112'!$I$6)),"x",""))</f>
        <v/>
      </c>
      <c r="W5248" s="75" t="str">
        <f>IF(AND('341-CT'!$H$9=H5248,OR(LEFT(N5248,3)=$W$7,LEFT(O5248,3)=$W$7)),"x","")</f>
        <v/>
      </c>
      <c r="X5248" s="75" t="str">
        <f>IF(OR(TH!N4062=TH!$X$7,O5248=TH!$X$7),"x","")</f>
        <v/>
      </c>
      <c r="Y5248" s="75" t="str">
        <f>IF(AND(OR(N5248="131",O5248="131"),H5248='131-CT'!$H$9),"x","")</f>
        <v/>
      </c>
      <c r="Z5248" s="75"/>
      <c r="AA5248" s="75" t="str">
        <f>IF(AND(MONTH(E5248)='IN-NX'!$J$5,'IN-NX'!$D$7=D5248),"x","")</f>
        <v/>
      </c>
      <c r="AB5248" s="75" t="str">
        <f>IF(AND(OR(LEFT(TH!N4062,2)="15",LEFT(TH!O4062,2)="15"),LEFT(TH!O4062,3)&lt;&gt;"111",'152-CT'!$J$8=TH!F4062),"x","")</f>
        <v/>
      </c>
      <c r="AC5248" s="75" t="str">
        <f>IF(AND(OR(LEFT(TH!N4062,2)="15",LEFT(TH!O4062,2)="15"),TK!$E$7=TH!F4062),"x","")</f>
        <v/>
      </c>
      <c r="AD5248" s="75" t="str">
        <f>IF(AND(N5248="1521",MONTH(C5248)='BK-NL'!$M$11),"x","")</f>
        <v/>
      </c>
      <c r="AE5248">
        <v>10</v>
      </c>
    </row>
    <row r="5249" spans="1:33" ht="16.5" customHeight="1">
      <c r="A5249" s="309" t="str">
        <f>IF(B5249&lt;&gt;"",IF(AND(B5249='IN-TC'!$S$4,OR(TH!N5237="1111",TH!O5237="1111")),TH!D5237,""),"")</f>
        <v/>
      </c>
      <c r="B5249" s="1244">
        <f t="shared" si="1348"/>
        <v>10</v>
      </c>
      <c r="C5249" s="292">
        <f t="shared" si="1349"/>
        <v>43034</v>
      </c>
      <c r="D5249" s="292"/>
      <c r="E5249" s="292">
        <v>43034</v>
      </c>
      <c r="F5249" s="67" t="s">
        <v>2698</v>
      </c>
      <c r="G5249" s="925" t="s">
        <v>2701</v>
      </c>
      <c r="H5249" s="294" t="s">
        <v>1330</v>
      </c>
      <c r="I5249" s="373"/>
      <c r="J5249" s="926"/>
      <c r="K5249" s="373"/>
      <c r="L5249" s="379"/>
      <c r="M5249" s="927">
        <v>427273</v>
      </c>
      <c r="N5249" s="295" t="s">
        <v>539</v>
      </c>
      <c r="O5249" s="295" t="s">
        <v>63</v>
      </c>
      <c r="P5249" s="75" t="str">
        <f>IF(AND('331-CT'!$E$7=TH!H4063,OR(N5249="331",O5249="331")),"x","")</f>
        <v/>
      </c>
      <c r="Q5249" s="75" t="str">
        <f>IF(AND(B5249='111'!$L$11,OR($N5249=$Q$7,$O5249=$Q$7)),"x","")</f>
        <v/>
      </c>
      <c r="R5249" s="75" t="str">
        <f>IF(AND($N5249=$Q$7,$B5249&lt;'111'!$L$11),"x","")</f>
        <v/>
      </c>
      <c r="S5249" s="75" t="str">
        <f>IF(AND($O5249=$Q$7,$B5249&lt;'111'!$L$11),"x","")</f>
        <v>x</v>
      </c>
      <c r="T5249" s="75" t="str">
        <f>IF(ISERROR(FIND('112'!$M$9,G5249,1)),"",IF((AND(FIND('112'!$M$9,G5249,1)&gt;=1,B5249='112'!$K$9,OR($N5249='112'!$I$6,$O5249='112'!$I$6))),"x",""))</f>
        <v/>
      </c>
      <c r="U5249" s="75" t="str">
        <f>IF(ISERROR(FIND('112'!$M$9,G5249,1)),"",IF((AND(LEFT(G5249,2)=LEFT('112'!$M$9,2),B5249&lt;'112'!$K$9,$N5249='112'!$I$6)),"x",""))</f>
        <v/>
      </c>
      <c r="V5249" s="75" t="str">
        <f>IF(ISERROR(FIND('112'!$M$9,G5249,1)),"",IF((AND(RIGHT(G5249,2)=RIGHT('112'!$M$9,2),B5249&lt;'112'!$K$9,$O5249='112'!$I$6)),"x",""))</f>
        <v/>
      </c>
      <c r="W5249" s="75" t="str">
        <f>IF(AND('341-CT'!$H$9=H5249,OR(LEFT(N5249,3)=$W$7,LEFT(O5249,3)=$W$7)),"x","")</f>
        <v/>
      </c>
      <c r="X5249" s="75" t="str">
        <f>IF(OR(TH!N4063=TH!$X$7,O5249=TH!$X$7),"x","")</f>
        <v/>
      </c>
      <c r="Y5249" s="75" t="str">
        <f>IF(AND(OR(N5249="131",O5249="131"),H5249='131-CT'!$H$9),"x","")</f>
        <v/>
      </c>
      <c r="Z5249" s="75"/>
      <c r="AA5249" s="75" t="str">
        <f>IF(AND(MONTH(E5249)='IN-NX'!$J$5,'IN-NX'!$D$7=D5249),"x","")</f>
        <v/>
      </c>
      <c r="AB5249" s="75" t="str">
        <f>IF(AND(OR(LEFT(TH!N4063,2)="15",LEFT(TH!O4063,2)="15"),LEFT(TH!O4063,3)&lt;&gt;"111",'152-CT'!$J$8=TH!F4063),"x","")</f>
        <v/>
      </c>
      <c r="AC5249" s="75" t="str">
        <f>IF(AND(OR(LEFT(TH!N4063,2)="15",LEFT(TH!O4063,2)="15"),TK!$E$7=TH!F4063),"x","")</f>
        <v/>
      </c>
      <c r="AD5249" s="75" t="str">
        <f>IF(AND(N5249="1521",MONTH(C5249)='BK-NL'!$M$11),"x","")</f>
        <v/>
      </c>
      <c r="AE5249">
        <v>11</v>
      </c>
    </row>
    <row r="5250" spans="1:33" ht="16.5" customHeight="1">
      <c r="A5250" s="309" t="str">
        <f>IF(B5250&lt;&gt;"",IF(AND(B5250='IN-TC'!$S$4,OR(TH!N5238="1111",TH!O5238="1111")),TH!D5238,""),"")</f>
        <v/>
      </c>
      <c r="B5250" s="1244">
        <f t="shared" si="1348"/>
        <v>10</v>
      </c>
      <c r="C5250" s="292">
        <f t="shared" si="1349"/>
        <v>43034</v>
      </c>
      <c r="D5250" s="292"/>
      <c r="E5250" s="292">
        <v>43034</v>
      </c>
      <c r="F5250" s="67" t="s">
        <v>2699</v>
      </c>
      <c r="G5250" s="925" t="s">
        <v>2701</v>
      </c>
      <c r="H5250" s="294" t="s">
        <v>1330</v>
      </c>
      <c r="I5250" s="373"/>
      <c r="J5250" s="926"/>
      <c r="K5250" s="373"/>
      <c r="L5250" s="379"/>
      <c r="M5250" s="927">
        <v>42727</v>
      </c>
      <c r="N5250" s="295" t="s">
        <v>9</v>
      </c>
      <c r="O5250" s="295" t="s">
        <v>63</v>
      </c>
      <c r="P5250" s="75" t="str">
        <f>IF(AND('331-CT'!$E$7=TH!H4064,OR(N5250="331",O5250="331")),"x","")</f>
        <v/>
      </c>
      <c r="Q5250" s="75" t="str">
        <f>IF(AND(B5250='111'!$L$11,OR($N5250=$Q$7,$O5250=$Q$7)),"x","")</f>
        <v/>
      </c>
      <c r="R5250" s="75" t="str">
        <f>IF(AND($N5250=$Q$7,$B5250&lt;'111'!$L$11),"x","")</f>
        <v/>
      </c>
      <c r="S5250" s="75" t="str">
        <f>IF(AND($O5250=$Q$7,$B5250&lt;'111'!$L$11),"x","")</f>
        <v>x</v>
      </c>
      <c r="T5250" s="75" t="str">
        <f>IF(ISERROR(FIND('112'!$M$9,G5250,1)),"",IF((AND(FIND('112'!$M$9,G5250,1)&gt;=1,B5250='112'!$K$9,OR($N5250='112'!$I$6,$O5250='112'!$I$6))),"x",""))</f>
        <v/>
      </c>
      <c r="U5250" s="75" t="str">
        <f>IF(ISERROR(FIND('112'!$M$9,G5250,1)),"",IF((AND(LEFT(G5250,2)=LEFT('112'!$M$9,2),B5250&lt;'112'!$K$9,$N5250='112'!$I$6)),"x",""))</f>
        <v/>
      </c>
      <c r="V5250" s="75" t="str">
        <f>IF(ISERROR(FIND('112'!$M$9,G5250,1)),"",IF((AND(RIGHT(G5250,2)=RIGHT('112'!$M$9,2),B5250&lt;'112'!$K$9,$O5250='112'!$I$6)),"x",""))</f>
        <v/>
      </c>
      <c r="W5250" s="75" t="str">
        <f>IF(AND('341-CT'!$H$9=H5250,OR(LEFT(N5250,3)=$W$7,LEFT(O5250,3)=$W$7)),"x","")</f>
        <v/>
      </c>
      <c r="X5250" s="75" t="str">
        <f>IF(OR(TH!N4064=TH!$X$7,O5250=TH!$X$7),"x","")</f>
        <v/>
      </c>
      <c r="Y5250" s="75" t="str">
        <f>IF(AND(OR(N5250="131",O5250="131"),H5250='131-CT'!$H$9),"x","")</f>
        <v/>
      </c>
      <c r="Z5250" s="75"/>
      <c r="AA5250" s="75" t="str">
        <f>IF(AND(MONTH(E5250)='IN-NX'!$J$5,'IN-NX'!$D$7=D5250),"x","")</f>
        <v/>
      </c>
      <c r="AB5250" s="75" t="str">
        <f>IF(AND(OR(LEFT(TH!N4064,2)="15",LEFT(TH!O4064,2)="15"),LEFT(TH!O4064,3)&lt;&gt;"111",'152-CT'!$J$8=TH!F4064),"x","")</f>
        <v/>
      </c>
      <c r="AC5250" s="75" t="str">
        <f>IF(AND(OR(LEFT(TH!N4064,2)="15",LEFT(TH!O4064,2)="15"),TK!$E$7=TH!F4064),"x","")</f>
        <v/>
      </c>
      <c r="AD5250" s="75" t="str">
        <f>IF(AND(N5250="1521",MONTH(C5250)='BK-NL'!$M$11),"x","")</f>
        <v/>
      </c>
      <c r="AE5250">
        <v>11</v>
      </c>
    </row>
    <row r="5251" spans="1:33" ht="16.5" customHeight="1">
      <c r="A5251" s="309" t="str">
        <f>IF(B5251&lt;&gt;"",IF(AND(B5251='IN-TC'!$S$4,OR(TH!N5239="1111",TH!O5239="1111")),TH!D5239,""),"")</f>
        <v/>
      </c>
      <c r="B5251" s="1244">
        <f t="shared" si="1348"/>
        <v>10</v>
      </c>
      <c r="C5251" s="292">
        <f t="shared" si="1349"/>
        <v>43035</v>
      </c>
      <c r="D5251" s="292"/>
      <c r="E5251" s="292">
        <v>43035</v>
      </c>
      <c r="F5251" s="67" t="s">
        <v>1029</v>
      </c>
      <c r="G5251" s="925" t="s">
        <v>2739</v>
      </c>
      <c r="H5251" s="294" t="s">
        <v>948</v>
      </c>
      <c r="I5251" s="1219"/>
      <c r="J5251" s="1220"/>
      <c r="K5251" s="373"/>
      <c r="L5251" s="379"/>
      <c r="M5251" s="927">
        <v>263636</v>
      </c>
      <c r="N5251" s="295" t="s">
        <v>539</v>
      </c>
      <c r="O5251" s="295" t="s">
        <v>63</v>
      </c>
      <c r="P5251" s="75" t="str">
        <f>IF(AND('331-CT'!$E$7=TH!H4065,OR(N5251="331",O5251="331")),"x","")</f>
        <v/>
      </c>
      <c r="Q5251" s="75" t="str">
        <f>IF(AND(B5251='111'!$L$11,OR($N5251=$Q$7,$O5251=$Q$7)),"x","")</f>
        <v/>
      </c>
      <c r="R5251" s="75" t="str">
        <f>IF(AND($N5251=$Q$7,$B5251&lt;'111'!$L$11),"x","")</f>
        <v/>
      </c>
      <c r="S5251" s="75" t="str">
        <f>IF(AND($O5251=$Q$7,$B5251&lt;'111'!$L$11),"x","")</f>
        <v>x</v>
      </c>
      <c r="T5251" s="75" t="str">
        <f>IF(ISERROR(FIND('112'!$M$9,G5251,1)),"",IF((AND(FIND('112'!$M$9,G5251,1)&gt;=1,B5251='112'!$K$9,OR($N5251='112'!$I$6,$O5251='112'!$I$6))),"x",""))</f>
        <v/>
      </c>
      <c r="U5251" s="75" t="str">
        <f>IF(ISERROR(FIND('112'!$M$9,G5251,1)),"",IF((AND(LEFT(G5251,2)=LEFT('112'!$M$9,2),B5251&lt;'112'!$K$9,$N5251='112'!$I$6)),"x",""))</f>
        <v/>
      </c>
      <c r="V5251" s="75" t="str">
        <f>IF(ISERROR(FIND('112'!$M$9,G5251,1)),"",IF((AND(RIGHT(G5251,2)=RIGHT('112'!$M$9,2),B5251&lt;'112'!$K$9,$O5251='112'!$I$6)),"x",""))</f>
        <v/>
      </c>
      <c r="W5251" s="75" t="str">
        <f>IF(AND('341-CT'!$H$9=H5251,OR(LEFT(N5251,3)=$W$7,LEFT(O5251,3)=$W$7)),"x","")</f>
        <v/>
      </c>
      <c r="X5251" s="75" t="str">
        <f>IF(OR(TH!N4065=TH!$X$7,O5251=TH!$X$7),"x","")</f>
        <v/>
      </c>
      <c r="Y5251" s="75" t="str">
        <f>IF(AND(OR(N5251="131",O5251="131"),H5251='131-CT'!$H$9),"x","")</f>
        <v/>
      </c>
      <c r="Z5251" s="75"/>
      <c r="AA5251" s="75" t="str">
        <f>IF(AND(MONTH(E5251)='IN-NX'!$J$5,'IN-NX'!$D$7=D5251),"x","")</f>
        <v/>
      </c>
      <c r="AB5251" s="75" t="str">
        <f>IF(AND(OR(LEFT(TH!N4065,2)="15",LEFT(TH!O4065,2)="15"),LEFT(TH!O4065,3)&lt;&gt;"111",'152-CT'!$J$8=TH!F4065),"x","")</f>
        <v/>
      </c>
      <c r="AC5251" s="75" t="str">
        <f>IF(AND(OR(LEFT(TH!N4065,2)="15",LEFT(TH!O4065,2)="15"),TK!$E$7=TH!F4065),"x","")</f>
        <v/>
      </c>
      <c r="AD5251" s="75" t="str">
        <f>IF(AND(N5251="1521",MONTH(C5251)='BK-NL'!$M$11),"x","")</f>
        <v/>
      </c>
      <c r="AE5251">
        <v>11</v>
      </c>
    </row>
    <row r="5252" spans="1:33" ht="16.5" customHeight="1">
      <c r="A5252" s="309" t="str">
        <f>IF(B5252&lt;&gt;"",IF(AND(B5252='IN-TC'!$S$4,OR(TH!N5240="1111",TH!O5240="1111")),TH!D5240,""),"")</f>
        <v/>
      </c>
      <c r="B5252" s="1244">
        <f t="shared" si="1348"/>
        <v>10</v>
      </c>
      <c r="C5252" s="292">
        <f t="shared" si="1349"/>
        <v>43035</v>
      </c>
      <c r="D5252" s="292"/>
      <c r="E5252" s="292">
        <v>43035</v>
      </c>
      <c r="F5252" s="67" t="s">
        <v>1030</v>
      </c>
      <c r="G5252" s="925" t="s">
        <v>2739</v>
      </c>
      <c r="H5252" s="294" t="s">
        <v>948</v>
      </c>
      <c r="I5252" s="1219"/>
      <c r="J5252" s="1220"/>
      <c r="K5252" s="373"/>
      <c r="L5252" s="379"/>
      <c r="M5252" s="927">
        <v>26364</v>
      </c>
      <c r="N5252" s="295" t="s">
        <v>9</v>
      </c>
      <c r="O5252" s="295" t="s">
        <v>63</v>
      </c>
      <c r="P5252" s="75" t="str">
        <f>IF(AND('331-CT'!$E$7=TH!H4066,OR(N5252="331",O5252="331")),"x","")</f>
        <v/>
      </c>
      <c r="Q5252" s="75" t="str">
        <f>IF(AND(B5252='111'!$L$11,OR($N5252=$Q$7,$O5252=$Q$7)),"x","")</f>
        <v/>
      </c>
      <c r="R5252" s="75" t="str">
        <f>IF(AND($N5252=$Q$7,$B5252&lt;'111'!$L$11),"x","")</f>
        <v/>
      </c>
      <c r="S5252" s="75" t="str">
        <f>IF(AND($O5252=$Q$7,$B5252&lt;'111'!$L$11),"x","")</f>
        <v>x</v>
      </c>
      <c r="T5252" s="75" t="str">
        <f>IF(ISERROR(FIND('112'!$M$9,G5252,1)),"",IF((AND(FIND('112'!$M$9,G5252,1)&gt;=1,B5252='112'!$K$9,OR($N5252='112'!$I$6,$O5252='112'!$I$6))),"x",""))</f>
        <v/>
      </c>
      <c r="U5252" s="75" t="str">
        <f>IF(ISERROR(FIND('112'!$M$9,G5252,1)),"",IF((AND(LEFT(G5252,2)=LEFT('112'!$M$9,2),B5252&lt;'112'!$K$9,$N5252='112'!$I$6)),"x",""))</f>
        <v/>
      </c>
      <c r="V5252" s="75" t="str">
        <f>IF(ISERROR(FIND('112'!$M$9,G5252,1)),"",IF((AND(RIGHT(G5252,2)=RIGHT('112'!$M$9,2),B5252&lt;'112'!$K$9,$O5252='112'!$I$6)),"x",""))</f>
        <v/>
      </c>
      <c r="W5252" s="75" t="str">
        <f>IF(AND('341-CT'!$H$9=H5252,OR(LEFT(N5252,3)=$W$7,LEFT(O5252,3)=$W$7)),"x","")</f>
        <v/>
      </c>
      <c r="X5252" s="75" t="str">
        <f>IF(OR(TH!N4066=TH!$X$7,O5252=TH!$X$7),"x","")</f>
        <v/>
      </c>
      <c r="Y5252" s="75" t="str">
        <f>IF(AND(OR(N5252="131",O5252="131"),H5252='131-CT'!$H$9),"x","")</f>
        <v/>
      </c>
      <c r="Z5252" s="75"/>
      <c r="AA5252" s="75" t="str">
        <f>IF(AND(MONTH(E5252)='IN-NX'!$J$5,'IN-NX'!$D$7=D5252),"x","")</f>
        <v/>
      </c>
      <c r="AB5252" s="75" t="str">
        <f>IF(AND(OR(LEFT(TH!N4066,2)="15",LEFT(TH!O4066,2)="15"),LEFT(TH!O4066,3)&lt;&gt;"111",'152-CT'!$J$8=TH!F4066),"x","")</f>
        <v/>
      </c>
      <c r="AC5252" s="75" t="str">
        <f>IF(AND(OR(LEFT(TH!N4066,2)="15",LEFT(TH!O4066,2)="15"),TK!$E$7=TH!F4066),"x","")</f>
        <v/>
      </c>
      <c r="AD5252" s="75" t="str">
        <f>IF(AND(N5252="1521",MONTH(C5252)='BK-NL'!$M$11),"x","")</f>
        <v/>
      </c>
      <c r="AE5252">
        <v>11</v>
      </c>
    </row>
    <row r="5253" spans="1:33" ht="16.5" customHeight="1">
      <c r="A5253" s="309" t="str">
        <f>IF(B5253&lt;&gt;"",IF(AND(B5253='IN-TC'!$S$4,OR(TH!N5241="1111",TH!O5241="1111")),TH!D5241,""),"")</f>
        <v/>
      </c>
      <c r="B5253" s="1244">
        <f t="shared" si="1348"/>
        <v>10</v>
      </c>
      <c r="C5253" s="292">
        <f t="shared" si="1349"/>
        <v>43037</v>
      </c>
      <c r="D5253" s="292"/>
      <c r="E5253" s="292">
        <v>43037</v>
      </c>
      <c r="F5253" s="67" t="s">
        <v>1165</v>
      </c>
      <c r="G5253" s="925" t="s">
        <v>2601</v>
      </c>
      <c r="H5253" s="294" t="s">
        <v>1684</v>
      </c>
      <c r="I5253" s="1219"/>
      <c r="J5253" s="1220"/>
      <c r="K5253" s="373"/>
      <c r="L5253" s="379"/>
      <c r="M5253" s="927">
        <v>19762050</v>
      </c>
      <c r="N5253" s="295" t="s">
        <v>8</v>
      </c>
      <c r="O5253" s="295" t="s">
        <v>63</v>
      </c>
      <c r="P5253" s="75" t="str">
        <f>IF(AND('331-CT'!$E$7=TH!H4067,OR(N5253="331",O5253="331")),"x","")</f>
        <v/>
      </c>
      <c r="Q5253" s="75" t="str">
        <f>IF(AND(B5253='111'!$L$11,OR($N5253=$Q$7,$O5253=$Q$7)),"x","")</f>
        <v/>
      </c>
      <c r="R5253" s="75" t="str">
        <f>IF(AND($N5253=$Q$7,$B5253&lt;'111'!$L$11),"x","")</f>
        <v/>
      </c>
      <c r="S5253" s="75" t="str">
        <f>IF(AND($O5253=$Q$7,$B5253&lt;'111'!$L$11),"x","")</f>
        <v>x</v>
      </c>
      <c r="T5253" s="75" t="str">
        <f>IF(ISERROR(FIND('112'!$M$9,G5253,1)),"",IF((AND(FIND('112'!$M$9,G5253,1)&gt;=1,B5253='112'!$K$9,OR($N5253='112'!$I$6,$O5253='112'!$I$6))),"x",""))</f>
        <v/>
      </c>
      <c r="U5253" s="75" t="str">
        <f>IF(ISERROR(FIND('112'!$M$9,G5253,1)),"",IF((AND(LEFT(G5253,2)=LEFT('112'!$M$9,2),B5253&lt;'112'!$K$9,$N5253='112'!$I$6)),"x",""))</f>
        <v/>
      </c>
      <c r="V5253" s="75" t="str">
        <f>IF(ISERROR(FIND('112'!$M$9,G5253,1)),"",IF((AND(RIGHT(G5253,2)=RIGHT('112'!$M$9,2),B5253&lt;'112'!$K$9,$O5253='112'!$I$6)),"x",""))</f>
        <v/>
      </c>
      <c r="W5253" s="75" t="str">
        <f>IF(AND('341-CT'!$H$9=H5253,OR(LEFT(N5253,3)=$W$7,LEFT(O5253,3)=$W$7)),"x","")</f>
        <v/>
      </c>
      <c r="X5253" s="75" t="str">
        <f>IF(OR(TH!N4067=TH!$X$7,O5253=TH!$X$7),"x","")</f>
        <v/>
      </c>
      <c r="Y5253" s="75" t="str">
        <f>IF(AND(OR(N5253="131",O5253="131"),H5253='131-CT'!$H$9),"x","")</f>
        <v/>
      </c>
      <c r="Z5253" s="75"/>
      <c r="AA5253" s="75" t="str">
        <f>IF(AND(MONTH(E5253)='IN-NX'!$J$5,'IN-NX'!$D$7=D5253),"x","")</f>
        <v/>
      </c>
      <c r="AB5253" s="75" t="str">
        <f>IF(AND(OR(LEFT(TH!N4067,2)="15",LEFT(TH!O4067,2)="15"),LEFT(TH!O4067,3)&lt;&gt;"111",'152-CT'!$J$8=TH!F4067),"x","")</f>
        <v/>
      </c>
      <c r="AC5253" s="75" t="str">
        <f>IF(AND(OR(LEFT(TH!N4067,2)="15",LEFT(TH!O4067,2)="15"),TK!$E$7=TH!F4067),"x","")</f>
        <v/>
      </c>
      <c r="AD5253" s="75" t="str">
        <f>IF(AND(N5253="1521",MONTH(C5253)='BK-NL'!$M$11),"x","")</f>
        <v/>
      </c>
    </row>
    <row r="5254" spans="1:33" ht="16.5" customHeight="1">
      <c r="A5254" s="309" t="str">
        <f>IF(B5254&lt;&gt;"",IF(AND(B5254='IN-TC'!$S$4,OR(TH!N5242="1111",TH!O5242="1111")),TH!D5242,""),"")</f>
        <v/>
      </c>
      <c r="B5254" s="1244">
        <f t="shared" si="1348"/>
        <v>10</v>
      </c>
      <c r="C5254" s="292">
        <f t="shared" si="1349"/>
        <v>43038</v>
      </c>
      <c r="D5254" s="292"/>
      <c r="E5254" s="292">
        <v>43038</v>
      </c>
      <c r="F5254" s="67" t="s">
        <v>2523</v>
      </c>
      <c r="G5254" s="925" t="s">
        <v>2524</v>
      </c>
      <c r="H5254" s="294" t="s">
        <v>974</v>
      </c>
      <c r="I5254" s="1219"/>
      <c r="J5254" s="1220"/>
      <c r="K5254" s="373"/>
      <c r="L5254" s="379"/>
      <c r="M5254" s="927">
        <v>11500000</v>
      </c>
      <c r="N5254" s="295" t="s">
        <v>101</v>
      </c>
      <c r="O5254" s="295" t="s">
        <v>63</v>
      </c>
      <c r="P5254" s="75" t="str">
        <f>IF(AND('331-CT'!$E$7=TH!H4068,OR(N5254="331",O5254="331")),"x","")</f>
        <v/>
      </c>
      <c r="Q5254" s="75" t="str">
        <f>IF(AND(B5254='111'!$L$11,OR($N5254=$Q$7,$O5254=$Q$7)),"x","")</f>
        <v/>
      </c>
      <c r="R5254" s="75" t="str">
        <f>IF(AND($N5254=$Q$7,$B5254&lt;'111'!$L$11),"x","")</f>
        <v/>
      </c>
      <c r="S5254" s="75" t="str">
        <f>IF(AND($O5254=$Q$7,$B5254&lt;'111'!$L$11),"x","")</f>
        <v>x</v>
      </c>
      <c r="T5254" s="75" t="str">
        <f>IF(ISERROR(FIND('112'!$M$9,G5254,1)),"",IF((AND(FIND('112'!$M$9,G5254,1)&gt;=1,B5254='112'!$K$9,OR($N5254='112'!$I$6,$O5254='112'!$I$6))),"x",""))</f>
        <v/>
      </c>
      <c r="U5254" s="75" t="str">
        <f>IF(ISERROR(FIND('112'!$M$9,G5254,1)),"",IF((AND(LEFT(G5254,2)=LEFT('112'!$M$9,2),B5254&lt;'112'!$K$9,$N5254='112'!$I$6)),"x",""))</f>
        <v/>
      </c>
      <c r="V5254" s="75" t="str">
        <f>IF(ISERROR(FIND('112'!$M$9,G5254,1)),"",IF((AND(RIGHT(G5254,2)=RIGHT('112'!$M$9,2),B5254&lt;'112'!$K$9,$O5254='112'!$I$6)),"x",""))</f>
        <v/>
      </c>
      <c r="W5254" s="75" t="str">
        <f>IF(AND('341-CT'!$H$9=H5254,OR(LEFT(N5254,3)=$W$7,LEFT(O5254,3)=$W$7)),"x","")</f>
        <v/>
      </c>
      <c r="X5254" s="75" t="str">
        <f>IF(OR(TH!N4068=TH!$X$7,O5254=TH!$X$7),"x","")</f>
        <v/>
      </c>
      <c r="Y5254" s="75" t="str">
        <f>IF(AND(OR(N5254="131",O5254="131"),H5254='131-CT'!$H$9),"x","")</f>
        <v/>
      </c>
      <c r="Z5254" s="75"/>
      <c r="AA5254" s="75" t="str">
        <f>IF(AND(MONTH(E5254)='IN-NX'!$J$5,'IN-NX'!$D$7=D5254),"x","")</f>
        <v/>
      </c>
      <c r="AB5254" s="75" t="str">
        <f>IF(AND(OR(LEFT(TH!N4068,2)="15",LEFT(TH!O4068,2)="15"),LEFT(TH!O4068,3)&lt;&gt;"111",'152-CT'!$J$8=TH!F4068),"x","")</f>
        <v/>
      </c>
      <c r="AC5254" s="75" t="str">
        <f>IF(AND(OR(LEFT(TH!N4068,2)="15",LEFT(TH!O4068,2)="15"),TK!$E$7=TH!F4068),"x","")</f>
        <v/>
      </c>
      <c r="AD5254" s="75" t="str">
        <f>IF(AND(N5254="1521",MONTH(C5254)='BK-NL'!$M$11),"x","")</f>
        <v/>
      </c>
      <c r="AE5254">
        <v>10</v>
      </c>
    </row>
    <row r="5255" spans="1:33" ht="16.5" customHeight="1">
      <c r="A5255" s="309" t="str">
        <f>IF(B5255&lt;&gt;"",IF(AND(B5255='IN-TC'!$S$4,OR(TH!N5243="1111",TH!O5243="1111")),TH!D5243,""),"")</f>
        <v/>
      </c>
      <c r="B5255" s="1244">
        <f t="shared" si="1348"/>
        <v>10</v>
      </c>
      <c r="C5255" s="292">
        <f t="shared" si="1349"/>
        <v>43038</v>
      </c>
      <c r="D5255" s="292"/>
      <c r="E5255" s="292">
        <v>43038</v>
      </c>
      <c r="F5255" s="67" t="s">
        <v>1243</v>
      </c>
      <c r="G5255" s="925" t="s">
        <v>2524</v>
      </c>
      <c r="H5255" s="294" t="s">
        <v>974</v>
      </c>
      <c r="I5255" s="1219"/>
      <c r="J5255" s="1220"/>
      <c r="K5255" s="373"/>
      <c r="L5255" s="379"/>
      <c r="M5255" s="927">
        <v>1150000</v>
      </c>
      <c r="N5255" s="295" t="s">
        <v>9</v>
      </c>
      <c r="O5255" s="295" t="s">
        <v>63</v>
      </c>
      <c r="P5255" s="75" t="str">
        <f>IF(AND('331-CT'!$E$7=TH!H4069,OR(N5255="331",O5255="331")),"x","")</f>
        <v/>
      </c>
      <c r="Q5255" s="75" t="str">
        <f>IF(AND(B5255='111'!$L$11,OR($N5255=$Q$7,$O5255=$Q$7)),"x","")</f>
        <v/>
      </c>
      <c r="R5255" s="75" t="str">
        <f>IF(AND($N5255=$Q$7,$B5255&lt;'111'!$L$11),"x","")</f>
        <v/>
      </c>
      <c r="S5255" s="75" t="str">
        <f>IF(AND($O5255=$Q$7,$B5255&lt;'111'!$L$11),"x","")</f>
        <v>x</v>
      </c>
      <c r="T5255" s="75" t="str">
        <f>IF(ISERROR(FIND('112'!$M$9,G5255,1)),"",IF((AND(FIND('112'!$M$9,G5255,1)&gt;=1,B5255='112'!$K$9,OR($N5255='112'!$I$6,$O5255='112'!$I$6))),"x",""))</f>
        <v/>
      </c>
      <c r="U5255" s="75" t="str">
        <f>IF(ISERROR(FIND('112'!$M$9,G5255,1)),"",IF((AND(LEFT(G5255,2)=LEFT('112'!$M$9,2),B5255&lt;'112'!$K$9,$N5255='112'!$I$6)),"x",""))</f>
        <v/>
      </c>
      <c r="V5255" s="75" t="str">
        <f>IF(ISERROR(FIND('112'!$M$9,G5255,1)),"",IF((AND(RIGHT(G5255,2)=RIGHT('112'!$M$9,2),B5255&lt;'112'!$K$9,$O5255='112'!$I$6)),"x",""))</f>
        <v/>
      </c>
      <c r="W5255" s="75" t="str">
        <f>IF(AND('341-CT'!$H$9=H5255,OR(LEFT(N5255,3)=$W$7,LEFT(O5255,3)=$W$7)),"x","")</f>
        <v/>
      </c>
      <c r="X5255" s="75" t="str">
        <f>IF(OR(TH!N4069=TH!$X$7,O5255=TH!$X$7),"x","")</f>
        <v/>
      </c>
      <c r="Y5255" s="75" t="str">
        <f>IF(AND(OR(N5255="131",O5255="131"),H5255='131-CT'!$H$9),"x","")</f>
        <v/>
      </c>
      <c r="Z5255" s="75"/>
      <c r="AA5255" s="75" t="str">
        <f>IF(AND(MONTH(E5255)='IN-NX'!$J$5,'IN-NX'!$D$7=D5255),"x","")</f>
        <v/>
      </c>
      <c r="AB5255" s="75" t="str">
        <f>IF(AND(OR(LEFT(TH!N4069,2)="15",LEFT(TH!O4069,2)="15"),LEFT(TH!O4069,3)&lt;&gt;"111",'152-CT'!$J$8=TH!F4069),"x","")</f>
        <v/>
      </c>
      <c r="AC5255" s="75" t="str">
        <f>IF(AND(OR(LEFT(TH!N4069,2)="15",LEFT(TH!O4069,2)="15"),TK!$E$7=TH!F4069),"x","")</f>
        <v/>
      </c>
      <c r="AD5255" s="75" t="str">
        <f>IF(AND(N5255="1521",MONTH(C5255)='BK-NL'!$M$11),"x","")</f>
        <v/>
      </c>
      <c r="AE5255">
        <v>10</v>
      </c>
    </row>
    <row r="5256" spans="1:33" ht="16.5" customHeight="1">
      <c r="A5256" s="309" t="str">
        <f>IF(B5256&lt;&gt;"",IF(AND(B5256='IN-TC'!$S$4,OR(TH!N5244="1111",TH!O5244="1111")),TH!D5244,""),"")</f>
        <v/>
      </c>
      <c r="B5256" s="1244">
        <f t="shared" si="1348"/>
        <v>10</v>
      </c>
      <c r="C5256" s="292">
        <f t="shared" si="1349"/>
        <v>43038</v>
      </c>
      <c r="D5256" s="292"/>
      <c r="E5256" s="292">
        <v>43038</v>
      </c>
      <c r="F5256" s="67" t="s">
        <v>1228</v>
      </c>
      <c r="G5256" s="925" t="s">
        <v>2525</v>
      </c>
      <c r="H5256" s="294" t="s">
        <v>2289</v>
      </c>
      <c r="I5256" s="1219"/>
      <c r="J5256" s="926"/>
      <c r="K5256" s="373"/>
      <c r="L5256" s="379"/>
      <c r="M5256" s="927">
        <v>354533</v>
      </c>
      <c r="N5256" s="295" t="s">
        <v>101</v>
      </c>
      <c r="O5256" s="295" t="s">
        <v>63</v>
      </c>
      <c r="P5256" s="75" t="str">
        <f>IF(AND('331-CT'!$E$7=TH!H4070,OR(N5256="331",O5256="331")),"x","")</f>
        <v/>
      </c>
      <c r="Q5256" s="75" t="str">
        <f>IF(AND(B5256='111'!$L$11,OR($N5256=$Q$7,$O5256=$Q$7)),"x","")</f>
        <v/>
      </c>
      <c r="R5256" s="75" t="str">
        <f>IF(AND($N5256=$Q$7,$B5256&lt;'111'!$L$11),"x","")</f>
        <v/>
      </c>
      <c r="S5256" s="75" t="str">
        <f>IF(AND($O5256=$Q$7,$B5256&lt;'111'!$L$11),"x","")</f>
        <v>x</v>
      </c>
      <c r="T5256" s="75" t="str">
        <f>IF(ISERROR(FIND('112'!$M$9,G5256,1)),"",IF((AND(FIND('112'!$M$9,G5256,1)&gt;=1,B5256='112'!$K$9,OR($N5256='112'!$I$6,$O5256='112'!$I$6))),"x",""))</f>
        <v/>
      </c>
      <c r="U5256" s="75" t="str">
        <f>IF(ISERROR(FIND('112'!$M$9,G5256,1)),"",IF((AND(LEFT(G5256,2)=LEFT('112'!$M$9,2),B5256&lt;'112'!$K$9,$N5256='112'!$I$6)),"x",""))</f>
        <v/>
      </c>
      <c r="V5256" s="75" t="str">
        <f>IF(ISERROR(FIND('112'!$M$9,G5256,1)),"",IF((AND(RIGHT(G5256,2)=RIGHT('112'!$M$9,2),B5256&lt;'112'!$K$9,$O5256='112'!$I$6)),"x",""))</f>
        <v/>
      </c>
      <c r="W5256" s="75" t="str">
        <f>IF(AND('341-CT'!$H$9=H5256,OR(LEFT(N5256,3)=$W$7,LEFT(O5256,3)=$W$7)),"x","")</f>
        <v/>
      </c>
      <c r="X5256" s="75" t="str">
        <f>IF(OR(TH!N4070=TH!$X$7,O5256=TH!$X$7),"x","")</f>
        <v/>
      </c>
      <c r="Y5256" s="75" t="str">
        <f>IF(AND(OR(N5256="131",O5256="131"),H5256='131-CT'!$H$9),"x","")</f>
        <v/>
      </c>
      <c r="Z5256" s="75"/>
      <c r="AA5256" s="75" t="str">
        <f>IF(AND(MONTH(E5256)='IN-NX'!$J$5,'IN-NX'!$D$7=D5256),"x","")</f>
        <v/>
      </c>
      <c r="AB5256" s="75" t="str">
        <f>IF(AND(OR(LEFT(TH!N4070,2)="15",LEFT(TH!O4070,2)="15"),LEFT(TH!O4070,3)&lt;&gt;"111",'152-CT'!$J$8=TH!F4070),"x","")</f>
        <v/>
      </c>
      <c r="AC5256" s="75" t="str">
        <f>IF(AND(OR(LEFT(TH!N4070,2)="15",LEFT(TH!O4070,2)="15"),TK!$E$7=TH!F4070),"x","")</f>
        <v/>
      </c>
      <c r="AD5256" s="75" t="str">
        <f>IF(AND(N5256="1521",MONTH(C5256)='BK-NL'!$M$11),"x","")</f>
        <v/>
      </c>
      <c r="AE5256">
        <v>10</v>
      </c>
    </row>
    <row r="5257" spans="1:33" ht="16.5" customHeight="1">
      <c r="A5257" s="309" t="str">
        <f>IF(B5257&lt;&gt;"",IF(AND(B5257='IN-TC'!$S$4,OR(TH!N5245="1111",TH!O5245="1111")),TH!D5245,""),"")</f>
        <v/>
      </c>
      <c r="B5257" s="1244">
        <f t="shared" si="1348"/>
        <v>10</v>
      </c>
      <c r="C5257" s="292">
        <f t="shared" si="1349"/>
        <v>43038</v>
      </c>
      <c r="D5257" s="292"/>
      <c r="E5257" s="292">
        <v>43038</v>
      </c>
      <c r="F5257" s="67" t="s">
        <v>1229</v>
      </c>
      <c r="G5257" s="925" t="s">
        <v>2525</v>
      </c>
      <c r="H5257" s="294" t="s">
        <v>2289</v>
      </c>
      <c r="I5257" s="373"/>
      <c r="J5257" s="926"/>
      <c r="K5257" s="373"/>
      <c r="L5257" s="379"/>
      <c r="M5257" s="927">
        <v>35453</v>
      </c>
      <c r="N5257" s="295" t="s">
        <v>9</v>
      </c>
      <c r="O5257" s="295" t="s">
        <v>63</v>
      </c>
      <c r="P5257" s="75" t="str">
        <f>IF(AND('331-CT'!$E$7=TH!H4071,OR(N5257="331",O5257="331")),"x","")</f>
        <v/>
      </c>
      <c r="Q5257" s="75" t="str">
        <f>IF(AND(B5257='111'!$L$11,OR($N5257=$Q$7,$O5257=$Q$7)),"x","")</f>
        <v/>
      </c>
      <c r="R5257" s="75" t="str">
        <f>IF(AND($N5257=$Q$7,$B5257&lt;'111'!$L$11),"x","")</f>
        <v/>
      </c>
      <c r="S5257" s="75" t="str">
        <f>IF(AND($O5257=$Q$7,$B5257&lt;'111'!$L$11),"x","")</f>
        <v>x</v>
      </c>
      <c r="T5257" s="75" t="str">
        <f>IF(ISERROR(FIND('112'!$M$9,G5257,1)),"",IF((AND(FIND('112'!$M$9,G5257,1)&gt;=1,B5257='112'!$K$9,OR($N5257='112'!$I$6,$O5257='112'!$I$6))),"x",""))</f>
        <v/>
      </c>
      <c r="U5257" s="75" t="str">
        <f>IF(ISERROR(FIND('112'!$M$9,G5257,1)),"",IF((AND(LEFT(G5257,2)=LEFT('112'!$M$9,2),B5257&lt;'112'!$K$9,$N5257='112'!$I$6)),"x",""))</f>
        <v/>
      </c>
      <c r="V5257" s="75" t="str">
        <f>IF(ISERROR(FIND('112'!$M$9,G5257,1)),"",IF((AND(RIGHT(G5257,2)=RIGHT('112'!$M$9,2),B5257&lt;'112'!$K$9,$O5257='112'!$I$6)),"x",""))</f>
        <v/>
      </c>
      <c r="W5257" s="75" t="str">
        <f>IF(AND('341-CT'!$H$9=H5257,OR(LEFT(N5257,3)=$W$7,LEFT(O5257,3)=$W$7)),"x","")</f>
        <v/>
      </c>
      <c r="X5257" s="75" t="str">
        <f>IF(OR(TH!N4071=TH!$X$7,O5257=TH!$X$7),"x","")</f>
        <v/>
      </c>
      <c r="Y5257" s="75" t="str">
        <f>IF(AND(OR(N5257="131",O5257="131"),H5257='131-CT'!$H$9),"x","")</f>
        <v/>
      </c>
      <c r="Z5257" s="75"/>
      <c r="AA5257" s="75" t="str">
        <f>IF(AND(MONTH(E5257)='IN-NX'!$J$5,'IN-NX'!$D$7=D5257),"x","")</f>
        <v/>
      </c>
      <c r="AB5257" s="75" t="str">
        <f>IF(AND(OR(LEFT(TH!N4071,2)="15",LEFT(TH!O4071,2)="15"),LEFT(TH!O4071,3)&lt;&gt;"111",'152-CT'!$J$8=TH!F4071),"x","")</f>
        <v/>
      </c>
      <c r="AC5257" s="75" t="str">
        <f>IF(AND(OR(LEFT(TH!N4071,2)="15",LEFT(TH!O4071,2)="15"),TK!$E$7=TH!F4071),"x","")</f>
        <v/>
      </c>
      <c r="AD5257" s="75" t="str">
        <f>IF(AND(N5257="1521",MONTH(C5257)='BK-NL'!$M$11),"x","")</f>
        <v/>
      </c>
      <c r="AE5257">
        <v>10</v>
      </c>
    </row>
    <row r="5258" spans="1:33" ht="16.5" customHeight="1">
      <c r="A5258" s="309" t="str">
        <f>IF(B5258&lt;&gt;"",IF(AND(B5258='IN-TC'!$S$4,OR(TH!N5246="1111",TH!O5246="1111")),TH!D5246,""),"")</f>
        <v/>
      </c>
      <c r="B5258" s="1244">
        <f t="shared" si="1348"/>
        <v>10</v>
      </c>
      <c r="C5258" s="292">
        <f t="shared" si="1349"/>
        <v>43038</v>
      </c>
      <c r="D5258" s="292" t="s">
        <v>903</v>
      </c>
      <c r="E5258" s="292">
        <v>43038</v>
      </c>
      <c r="F5258" s="293" t="s">
        <v>252</v>
      </c>
      <c r="G5258" s="293" t="s">
        <v>747</v>
      </c>
      <c r="H5258" s="294" t="s">
        <v>2487</v>
      </c>
      <c r="I5258" s="373"/>
      <c r="J5258" s="382"/>
      <c r="K5258" s="373">
        <v>189000</v>
      </c>
      <c r="L5258" s="379">
        <v>22708</v>
      </c>
      <c r="M5258" s="60">
        <f>K5258*L5258</f>
        <v>4291812000</v>
      </c>
      <c r="N5258" s="295" t="s">
        <v>26</v>
      </c>
      <c r="O5258" s="295" t="s">
        <v>250</v>
      </c>
      <c r="P5258" s="75" t="str">
        <f>IF(AND('331-CT'!$E$7=TH!H5546,OR(N5258="331",O5258="331")),"x","")</f>
        <v/>
      </c>
      <c r="Q5258" s="75" t="str">
        <f>IF(AND(B5258='111'!$L$11,OR($N5258=$Q$7,$O5258=$Q$7)),"x","")</f>
        <v/>
      </c>
      <c r="R5258" s="75" t="str">
        <f>IF(AND($N5258=$Q$7,$B5258&lt;'111'!$L$11),"x","")</f>
        <v/>
      </c>
      <c r="S5258" s="75" t="str">
        <f>IF(AND($O5258=$Q$7,$B5258&lt;'111'!$L$11),"x","")</f>
        <v/>
      </c>
      <c r="T5258" s="75" t="str">
        <f>IF(ISERROR(FIND('112'!$M$9,G5258,1)),"",IF((AND(FIND('112'!$M$9,G5258,1)&gt;=1,B5258='112'!$K$9,OR($N5258='112'!$I$6,$O5258='112'!$I$6))),"x",""))</f>
        <v/>
      </c>
      <c r="U5258" s="75" t="str">
        <f>IF(ISERROR(FIND('112'!$M$9,G5258,1)),"",IF((AND(LEFT(G5258,2)=LEFT('112'!$M$9,2),B5258&lt;'112'!$K$9,$N5258='112'!$I$6)),"x",""))</f>
        <v/>
      </c>
      <c r="V5258" s="75" t="str">
        <f>IF(ISERROR(FIND('112'!$M$9,G5258,1)),"",IF((AND(RIGHT(G5258,2)=RIGHT('112'!$M$9,2),B5258&lt;'112'!$K$9,$O5258='112'!$I$6)),"x",""))</f>
        <v/>
      </c>
      <c r="W5258" s="75" t="str">
        <f>IF(AND('341-CT'!$H$9=H5258,OR(LEFT(N5258,3)=$W$7,LEFT(O5258,3)=$W$7)),"x","")</f>
        <v/>
      </c>
      <c r="X5258" s="75" t="str">
        <f>IF(OR(TH!N5546=TH!$X$7,O5258=TH!$X$7),"x","")</f>
        <v/>
      </c>
      <c r="Y5258" s="75" t="str">
        <f>IF(AND(OR(N5258="131",O5258="131"),H5258='131-CT'!$H$9),"x","")</f>
        <v/>
      </c>
      <c r="Z5258" s="75"/>
      <c r="AA5258" s="75" t="str">
        <f>IF(AND(MONTH(E5258)='IN-NX'!$J$5,'IN-NX'!$D$7=D5258),"x","")</f>
        <v/>
      </c>
      <c r="AB5258" s="75" t="str">
        <f>IF(AND(OR(LEFT(TH!N5546,2)="15",LEFT(TH!O5546,2)="15"),LEFT(TH!O5546,3)&lt;&gt;"111",'152-CT'!$J$8=TH!F5546),"x","")</f>
        <v/>
      </c>
      <c r="AC5258" s="75" t="str">
        <f>IF(AND(OR(LEFT(TH!N5546,2)="15",LEFT(TH!O5546,2)="15"),TK!$E$7=TH!F5546),"x","")</f>
        <v/>
      </c>
      <c r="AD5258" s="75" t="str">
        <f>IF(AND(N5258="1521",MONTH(C5258)='BK-NL'!$M$11),"x","")</f>
        <v/>
      </c>
      <c r="AE5258" s="304"/>
      <c r="AF5258" s="304"/>
      <c r="AG5258" s="304"/>
    </row>
    <row r="5259" spans="1:33" ht="16.5" customHeight="1">
      <c r="A5259" s="309" t="str">
        <f>IF(B5259&lt;&gt;"",IF(AND(B5259='IN-TC'!$S$4,OR(TH!N5247="1111",TH!O5247="1111")),TH!D5247,""),"")</f>
        <v/>
      </c>
      <c r="B5259" s="1244">
        <f t="shared" si="1348"/>
        <v>10</v>
      </c>
      <c r="C5259" s="292">
        <f t="shared" si="1349"/>
        <v>43038</v>
      </c>
      <c r="D5259" s="292" t="s">
        <v>903</v>
      </c>
      <c r="E5259" s="292">
        <v>43038</v>
      </c>
      <c r="F5259" s="293" t="s">
        <v>1090</v>
      </c>
      <c r="G5259" s="293" t="s">
        <v>1738</v>
      </c>
      <c r="H5259" s="294" t="s">
        <v>835</v>
      </c>
      <c r="I5259" s="375"/>
      <c r="J5259" s="382"/>
      <c r="K5259" s="375"/>
      <c r="L5259" s="381"/>
      <c r="M5259" s="60">
        <v>200000000</v>
      </c>
      <c r="N5259" s="295" t="s">
        <v>26</v>
      </c>
      <c r="O5259" s="295" t="s">
        <v>26</v>
      </c>
      <c r="P5259" s="75" t="str">
        <f>IF(AND('331-CT'!$E$7=TH!H5547,OR(N5259="331",O5259="331")),"x","")</f>
        <v/>
      </c>
      <c r="Q5259" s="75" t="str">
        <f>IF(AND(B5259='111'!$L$11,OR($N5259=$Q$7,$O5259=$Q$7)),"x","")</f>
        <v/>
      </c>
      <c r="R5259" s="75" t="str">
        <f>IF(AND($N5259=$Q$7,$B5259&lt;'111'!$L$11),"x","")</f>
        <v/>
      </c>
      <c r="S5259" s="75" t="str">
        <f>IF(AND($O5259=$Q$7,$B5259&lt;'111'!$L$11),"x","")</f>
        <v/>
      </c>
      <c r="T5259" s="75" t="str">
        <f>IF(ISERROR(FIND('112'!$M$9,G5259,1)),"",IF((AND(FIND('112'!$M$9,G5259,1)&gt;=1,B5259='112'!$K$9,OR($N5259='112'!$I$6,$O5259='112'!$I$6))),"x",""))</f>
        <v/>
      </c>
      <c r="U5259" s="75" t="str">
        <f>IF(ISERROR(FIND('112'!$M$9,G5259,1)),"",IF((AND(LEFT(G5259,2)=LEFT('112'!$M$9,2),B5259&lt;'112'!$K$9,$N5259='112'!$I$6)),"x",""))</f>
        <v/>
      </c>
      <c r="V5259" s="75" t="str">
        <f>IF(ISERROR(FIND('112'!$M$9,G5259,1)),"",IF((AND(RIGHT(G5259,2)=RIGHT('112'!$M$9,2),B5259&lt;'112'!$K$9,$O5259='112'!$I$6)),"x",""))</f>
        <v/>
      </c>
      <c r="W5259" s="75" t="str">
        <f>IF(AND('341-CT'!$H$9=H5259,OR(LEFT(N5259,3)=$W$7,LEFT(O5259,3)=$W$7)),"x","")</f>
        <v/>
      </c>
      <c r="X5259" s="75" t="str">
        <f>IF(OR(TH!N5547=TH!$X$7,O5259=TH!$X$7),"x","")</f>
        <v/>
      </c>
      <c r="Y5259" s="75" t="str">
        <f>IF(AND(OR(N5259="131",O5259="131"),H5259='131-CT'!$H$9),"x","")</f>
        <v/>
      </c>
      <c r="Z5259" s="75"/>
      <c r="AA5259" s="75" t="str">
        <f>IF(AND(MONTH(E5259)='IN-NX'!$J$5,'IN-NX'!$D$7=D5259),"x","")</f>
        <v/>
      </c>
      <c r="AB5259" s="75" t="str">
        <f>IF(AND(OR(LEFT(TH!N5547,2)="15",LEFT(TH!O5547,2)="15"),LEFT(TH!O5547,3)&lt;&gt;"111",'152-CT'!$J$8=TH!F5547),"x","")</f>
        <v/>
      </c>
      <c r="AC5259" s="75" t="str">
        <f>IF(AND(OR(LEFT(TH!N5547,2)="15",LEFT(TH!O5547,2)="15"),TK!$E$7=TH!F5547),"x","")</f>
        <v/>
      </c>
      <c r="AD5259" s="75" t="str">
        <f>IF(AND(N5259="1521",MONTH(C5259)='BK-NL'!$M$11),"x","")</f>
        <v/>
      </c>
    </row>
    <row r="5260" spans="1:33" ht="16.5" customHeight="1">
      <c r="A5260" s="309" t="str">
        <f>IF(B5260&lt;&gt;"",IF(AND(B5260='IN-TC'!$S$4,OR(TH!N5248="1111",TH!O5248="1111")),TH!D5248,""),"")</f>
        <v/>
      </c>
      <c r="B5260" s="1244">
        <f t="shared" si="1348"/>
        <v>10</v>
      </c>
      <c r="C5260" s="292">
        <f t="shared" si="1349"/>
        <v>43038</v>
      </c>
      <c r="D5260" s="292" t="s">
        <v>902</v>
      </c>
      <c r="E5260" s="292">
        <v>43038</v>
      </c>
      <c r="F5260" s="293" t="s">
        <v>1307</v>
      </c>
      <c r="G5260" s="293" t="s">
        <v>747</v>
      </c>
      <c r="H5260" s="294" t="s">
        <v>835</v>
      </c>
      <c r="I5260" s="373"/>
      <c r="J5260" s="382"/>
      <c r="K5260" s="373"/>
      <c r="L5260" s="379"/>
      <c r="M5260" s="60">
        <v>60000</v>
      </c>
      <c r="N5260" s="295" t="s">
        <v>101</v>
      </c>
      <c r="O5260" s="295" t="s">
        <v>26</v>
      </c>
      <c r="P5260" s="75" t="str">
        <f>IF(AND('331-CT'!$E$7=TH!H5548,OR(N5260="331",O5260="331")),"x","")</f>
        <v/>
      </c>
      <c r="Q5260" s="75" t="str">
        <f>IF(AND(B5260='111'!$L$11,OR($N5260=$Q$7,$O5260=$Q$7)),"x","")</f>
        <v/>
      </c>
      <c r="R5260" s="75" t="str">
        <f>IF(AND($N5260=$Q$7,$B5260&lt;'111'!$L$11),"x","")</f>
        <v/>
      </c>
      <c r="S5260" s="75" t="str">
        <f>IF(AND($O5260=$Q$7,$B5260&lt;'111'!$L$11),"x","")</f>
        <v/>
      </c>
      <c r="T5260" s="75" t="str">
        <f>IF(ISERROR(FIND('112'!$M$9,G5260,1)),"",IF((AND(FIND('112'!$M$9,G5260,1)&gt;=1,B5260='112'!$K$9,OR($N5260='112'!$I$6,$O5260='112'!$I$6))),"x",""))</f>
        <v/>
      </c>
      <c r="U5260" s="75" t="str">
        <f>IF(ISERROR(FIND('112'!$M$9,G5260,1)),"",IF((AND(LEFT(G5260,2)=LEFT('112'!$M$9,2),B5260&lt;'112'!$K$9,$N5260='112'!$I$6)),"x",""))</f>
        <v/>
      </c>
      <c r="V5260" s="75" t="str">
        <f>IF(ISERROR(FIND('112'!$M$9,G5260,1)),"",IF((AND(RIGHT(G5260,2)=RIGHT('112'!$M$9,2),B5260&lt;'112'!$K$9,$O5260='112'!$I$6)),"x",""))</f>
        <v/>
      </c>
      <c r="W5260" s="75" t="str">
        <f>IF(AND('341-CT'!$H$9=H5260,OR(LEFT(N5260,3)=$W$7,LEFT(O5260,3)=$W$7)),"x","")</f>
        <v/>
      </c>
      <c r="X5260" s="75" t="str">
        <f>IF(OR(TH!N5548=TH!$X$7,O5260=TH!$X$7),"x","")</f>
        <v/>
      </c>
      <c r="Y5260" s="75" t="str">
        <f>IF(AND(OR(N5260="131",O5260="131"),H5260='131-CT'!$H$9),"x","")</f>
        <v/>
      </c>
      <c r="Z5260" s="75"/>
      <c r="AA5260" s="75" t="str">
        <f>IF(AND(MONTH(E5260)='IN-NX'!$J$5,'IN-NX'!$D$7=D5260),"x","")</f>
        <v/>
      </c>
      <c r="AB5260" s="75" t="str">
        <f>IF(AND(OR(LEFT(TH!N5548,2)="15",LEFT(TH!O5548,2)="15"),LEFT(TH!O5548,3)&lt;&gt;"111",'152-CT'!$J$8=TH!F5548),"x","")</f>
        <v/>
      </c>
      <c r="AC5260" s="75" t="str">
        <f>IF(AND(OR(LEFT(TH!N5548,2)="15",LEFT(TH!O5548,2)="15"),TK!$E$7=TH!F5548),"x","")</f>
        <v/>
      </c>
      <c r="AD5260" s="75" t="str">
        <f>IF(AND(N5260="1521",MONTH(C5260)='BK-NL'!$M$11),"x","")</f>
        <v/>
      </c>
      <c r="AE5260">
        <v>10</v>
      </c>
    </row>
    <row r="5261" spans="1:33" ht="16.5" customHeight="1">
      <c r="A5261" s="309" t="str">
        <f>IF(B5261&lt;&gt;"",IF(AND(B5261='IN-TC'!$S$4,OR(TH!N5249="1111",TH!O5249="1111")),TH!D5249,""),"")</f>
        <v/>
      </c>
      <c r="B5261" s="1244">
        <f t="shared" si="1348"/>
        <v>10</v>
      </c>
      <c r="C5261" s="292">
        <f t="shared" si="1349"/>
        <v>43038</v>
      </c>
      <c r="D5261" s="292" t="s">
        <v>902</v>
      </c>
      <c r="E5261" s="292">
        <v>43038</v>
      </c>
      <c r="F5261" s="293" t="s">
        <v>1314</v>
      </c>
      <c r="G5261" s="293" t="s">
        <v>747</v>
      </c>
      <c r="H5261" s="294" t="s">
        <v>835</v>
      </c>
      <c r="I5261" s="373"/>
      <c r="J5261" s="382"/>
      <c r="K5261" s="373"/>
      <c r="L5261" s="379"/>
      <c r="M5261" s="60">
        <v>6000</v>
      </c>
      <c r="N5261" s="295" t="s">
        <v>9</v>
      </c>
      <c r="O5261" s="295" t="s">
        <v>26</v>
      </c>
      <c r="P5261" s="75" t="str">
        <f>IF(AND('331-CT'!$E$7=TH!H5549,OR(N5261="331",O5261="331")),"x","")</f>
        <v/>
      </c>
      <c r="Q5261" s="75" t="str">
        <f>IF(AND(B5261='111'!$L$11,OR($N5261=$Q$7,$O5261=$Q$7)),"x","")</f>
        <v/>
      </c>
      <c r="R5261" s="75" t="str">
        <f>IF(AND($N5261=$Q$7,$B5261&lt;'111'!$L$11),"x","")</f>
        <v/>
      </c>
      <c r="S5261" s="75" t="str">
        <f>IF(AND($O5261=$Q$7,$B5261&lt;'111'!$L$11),"x","")</f>
        <v/>
      </c>
      <c r="T5261" s="75" t="str">
        <f>IF(ISERROR(FIND('112'!$M$9,G5261,1)),"",IF((AND(FIND('112'!$M$9,G5261,1)&gt;=1,B5261='112'!$K$9,OR($N5261='112'!$I$6,$O5261='112'!$I$6))),"x",""))</f>
        <v/>
      </c>
      <c r="U5261" s="75" t="str">
        <f>IF(ISERROR(FIND('112'!$M$9,G5261,1)),"",IF((AND(LEFT(G5261,2)=LEFT('112'!$M$9,2),B5261&lt;'112'!$K$9,$N5261='112'!$I$6)),"x",""))</f>
        <v/>
      </c>
      <c r="V5261" s="75" t="str">
        <f>IF(ISERROR(FIND('112'!$M$9,G5261,1)),"",IF((AND(RIGHT(G5261,2)=RIGHT('112'!$M$9,2),B5261&lt;'112'!$K$9,$O5261='112'!$I$6)),"x",""))</f>
        <v/>
      </c>
      <c r="W5261" s="75" t="str">
        <f>IF(AND('341-CT'!$H$9=H5261,OR(LEFT(N5261,3)=$W$7,LEFT(O5261,3)=$W$7)),"x","")</f>
        <v/>
      </c>
      <c r="X5261" s="75" t="str">
        <f>IF(OR(TH!N5549=TH!$X$7,O5261=TH!$X$7),"x","")</f>
        <v/>
      </c>
      <c r="Y5261" s="75" t="str">
        <f>IF(AND(OR(N5261="131",O5261="131"),H5261='131-CT'!$H$9),"x","")</f>
        <v/>
      </c>
      <c r="Z5261" s="75"/>
      <c r="AA5261" s="75" t="str">
        <f>IF(AND(MONTH(E5261)='IN-NX'!$J$5,'IN-NX'!$D$7=D5261),"x","")</f>
        <v/>
      </c>
      <c r="AB5261" s="75" t="str">
        <f>IF(AND(OR(LEFT(TH!N5549,2)="15",LEFT(TH!O5549,2)="15"),LEFT(TH!O5549,3)&lt;&gt;"111",'152-CT'!$J$8=TH!F5549),"x","")</f>
        <v/>
      </c>
      <c r="AC5261" s="75" t="str">
        <f>IF(AND(OR(LEFT(TH!N5549,2)="15",LEFT(TH!O5549,2)="15"),TK!$E$7=TH!F5549),"x","")</f>
        <v/>
      </c>
      <c r="AD5261" s="75" t="str">
        <f>IF(AND(N5261="1521",MONTH(C5261)='BK-NL'!$M$11),"x","")</f>
        <v/>
      </c>
      <c r="AE5261">
        <v>10</v>
      </c>
    </row>
    <row r="5262" spans="1:33" ht="16.5" customHeight="1">
      <c r="A5262" s="309" t="str">
        <f>IF(B5262&lt;&gt;"",IF(AND(B5262='IN-TC'!$S$4,OR(TH!N5250="1111",TH!O5250="1111")),TH!D5250,""),"")</f>
        <v/>
      </c>
      <c r="B5262" s="1244">
        <f t="shared" si="1348"/>
        <v>10</v>
      </c>
      <c r="C5262" s="292">
        <f t="shared" si="1349"/>
        <v>43038</v>
      </c>
      <c r="D5262" s="292" t="s">
        <v>903</v>
      </c>
      <c r="E5262" s="292">
        <v>43038</v>
      </c>
      <c r="F5262" s="293" t="s">
        <v>2553</v>
      </c>
      <c r="G5262" s="293" t="s">
        <v>747</v>
      </c>
      <c r="H5262" s="294" t="s">
        <v>2554</v>
      </c>
      <c r="I5262" s="373"/>
      <c r="J5262" s="382"/>
      <c r="K5262" s="373">
        <v>40100</v>
      </c>
      <c r="L5262" s="379">
        <v>22708</v>
      </c>
      <c r="M5262" s="60">
        <f>K5262*L5262</f>
        <v>910590800</v>
      </c>
      <c r="N5262" s="295" t="s">
        <v>26</v>
      </c>
      <c r="O5262" s="295" t="s">
        <v>250</v>
      </c>
      <c r="P5262" s="75" t="str">
        <f>IF(AND('331-CT'!$E$7=TH!H5550,OR(N5262="331",O5262="331")),"x","")</f>
        <v/>
      </c>
      <c r="Q5262" s="75" t="str">
        <f>IF(AND(B5262='111'!$L$11,OR($N5262=$Q$7,$O5262=$Q$7)),"x","")</f>
        <v/>
      </c>
      <c r="R5262" s="75" t="str">
        <f>IF(AND($N5262=$Q$7,$B5262&lt;'111'!$L$11),"x","")</f>
        <v/>
      </c>
      <c r="S5262" s="75" t="str">
        <f>IF(AND($O5262=$Q$7,$B5262&lt;'111'!$L$11),"x","")</f>
        <v/>
      </c>
      <c r="T5262" s="75" t="str">
        <f>IF(ISERROR(FIND('112'!$M$9,G5262,1)),"",IF((AND(FIND('112'!$M$9,G5262,1)&gt;=1,B5262='112'!$K$9,OR($N5262='112'!$I$6,$O5262='112'!$I$6))),"x",""))</f>
        <v/>
      </c>
      <c r="U5262" s="75" t="str">
        <f>IF(ISERROR(FIND('112'!$M$9,G5262,1)),"",IF((AND(LEFT(G5262,2)=LEFT('112'!$M$9,2),B5262&lt;'112'!$K$9,$N5262='112'!$I$6)),"x",""))</f>
        <v/>
      </c>
      <c r="V5262" s="75" t="str">
        <f>IF(ISERROR(FIND('112'!$M$9,G5262,1)),"",IF((AND(RIGHT(G5262,2)=RIGHT('112'!$M$9,2),B5262&lt;'112'!$K$9,$O5262='112'!$I$6)),"x",""))</f>
        <v/>
      </c>
      <c r="W5262" s="75" t="str">
        <f>IF(AND('341-CT'!$H$9=H5262,OR(LEFT(N5262,3)=$W$7,LEFT(O5262,3)=$W$7)),"x","")</f>
        <v/>
      </c>
      <c r="X5262" s="75" t="str">
        <f>IF(OR(TH!N5550=TH!$X$7,O5262=TH!$X$7),"x","")</f>
        <v/>
      </c>
      <c r="Y5262" s="75" t="str">
        <f>IF(AND(OR(N5262="131",O5262="131"),H5262='131-CT'!$H$9),"x","")</f>
        <v/>
      </c>
      <c r="Z5262" s="75"/>
      <c r="AA5262" s="75" t="str">
        <f>IF(AND(MONTH(E5262)='IN-NX'!$J$5,'IN-NX'!$D$7=D5262),"x","")</f>
        <v/>
      </c>
      <c r="AB5262" s="75" t="str">
        <f>IF(AND(OR(LEFT(TH!N5550,2)="15",LEFT(TH!O5550,2)="15"),LEFT(TH!O5550,3)&lt;&gt;"111",'152-CT'!$J$8=TH!F5550),"x","")</f>
        <v/>
      </c>
      <c r="AC5262" s="75" t="str">
        <f>IF(AND(OR(LEFT(TH!N5550,2)="15",LEFT(TH!O5550,2)="15"),TK!$E$7=TH!F5550),"x","")</f>
        <v/>
      </c>
      <c r="AD5262" s="75" t="str">
        <f>IF(AND(N5262="1521",MONTH(C5262)='BK-NL'!$M$11),"x","")</f>
        <v/>
      </c>
      <c r="AE5262" s="304"/>
      <c r="AF5262" s="304"/>
      <c r="AG5262" s="304"/>
    </row>
    <row r="5263" spans="1:33" ht="16.5" customHeight="1">
      <c r="A5263" s="309" t="str">
        <f>IF(B5263&lt;&gt;"",IF(AND(B5263='IN-TC'!$S$4,OR(TH!N5251="1111",TH!O5251="1111")),TH!D5251,""),"")</f>
        <v/>
      </c>
      <c r="B5263" s="1244">
        <f t="shared" si="1348"/>
        <v>10</v>
      </c>
      <c r="C5263" s="292">
        <f t="shared" si="1349"/>
        <v>43039</v>
      </c>
      <c r="D5263" s="292" t="s">
        <v>902</v>
      </c>
      <c r="E5263" s="292">
        <v>43039</v>
      </c>
      <c r="F5263" s="67" t="s">
        <v>2315</v>
      </c>
      <c r="G5263" s="293" t="s">
        <v>1713</v>
      </c>
      <c r="H5263" s="294" t="s">
        <v>1771</v>
      </c>
      <c r="I5263" s="373"/>
      <c r="J5263" s="382"/>
      <c r="K5263" s="373"/>
      <c r="L5263" s="379"/>
      <c r="M5263" s="60">
        <v>26000</v>
      </c>
      <c r="N5263" s="295" t="s">
        <v>101</v>
      </c>
      <c r="O5263" s="295" t="s">
        <v>26</v>
      </c>
      <c r="P5263" s="75" t="str">
        <f>IF(AND('331-CT'!$E$7=TH!H4525,OR(N5263="331",O5263="331")),"x","")</f>
        <v/>
      </c>
      <c r="Q5263" s="75" t="str">
        <f>IF(AND(B5263='111'!$L$11,OR($N5263=$Q$7,$O5263=$Q$7)),"x","")</f>
        <v/>
      </c>
      <c r="R5263" s="75" t="str">
        <f>IF(AND($N5263=$Q$7,$B5263&lt;'111'!$L$11),"x","")</f>
        <v/>
      </c>
      <c r="S5263" s="75" t="str">
        <f>IF(AND($O5263=$Q$7,$B5263&lt;'111'!$L$11),"x","")</f>
        <v/>
      </c>
      <c r="T5263" s="75" t="str">
        <f>IF(ISERROR(FIND('112'!$M$9,G5263,1)),"",IF((AND(FIND('112'!$M$9,G5263,1)&gt;=1,B5263='112'!$K$9,OR($N5263='112'!$I$6,$O5263='112'!$I$6))),"x",""))</f>
        <v/>
      </c>
      <c r="U5263" s="75" t="str">
        <f>IF(ISERROR(FIND('112'!$M$9,G5263,1)),"",IF((AND(LEFT(G5263,2)=LEFT('112'!$M$9,2),B5263&lt;'112'!$K$9,$N5263='112'!$I$6)),"x",""))</f>
        <v/>
      </c>
      <c r="V5263" s="75" t="str">
        <f>IF(ISERROR(FIND('112'!$M$9,G5263,1)),"",IF((AND(RIGHT(G5263,2)=RIGHT('112'!$M$9,2),B5263&lt;'112'!$K$9,$O5263='112'!$I$6)),"x",""))</f>
        <v/>
      </c>
      <c r="W5263" s="75" t="str">
        <f>IF(AND('341-CT'!$H$9=H5263,OR(LEFT(N5263,3)=$W$7,LEFT(O5263,3)=$W$7)),"x","")</f>
        <v/>
      </c>
      <c r="X5263" s="75" t="str">
        <f>IF(OR(TH!N4525=TH!$X$7,O5263=TH!$X$7),"x","")</f>
        <v/>
      </c>
      <c r="Y5263" s="75" t="str">
        <f>IF(AND(OR(N5263="131",O5263="131"),H5263='131-CT'!$H$9),"x","")</f>
        <v/>
      </c>
      <c r="Z5263" s="75"/>
      <c r="AA5263" s="75" t="str">
        <f>IF(AND(MONTH(E5263)='IN-NX'!$J$5,'IN-NX'!$D$7=D5263),"x","")</f>
        <v/>
      </c>
      <c r="AB5263" s="75" t="str">
        <f>IF(AND(OR(LEFT(TH!N4525,2)="15",LEFT(TH!O4525,2)="15"),LEFT(TH!O4525,3)&lt;&gt;"111",'152-CT'!$J$8=TH!F4525),"x","")</f>
        <v/>
      </c>
      <c r="AC5263" s="75" t="str">
        <f>IF(AND(OR(LEFT(TH!N4525,2)="15",LEFT(TH!O4525,2)="15"),TK!$E$7=TH!F4525),"x","")</f>
        <v/>
      </c>
      <c r="AD5263" s="75" t="str">
        <f>IF(AND(N5263="1521",MONTH(C5263)='BK-NL'!$M$11),"x","")</f>
        <v/>
      </c>
      <c r="AE5263">
        <v>10</v>
      </c>
    </row>
    <row r="5264" spans="1:33" ht="16.5" customHeight="1">
      <c r="A5264" s="309" t="str">
        <f>IF(B5264&lt;&gt;"",IF(AND(B5264='IN-TC'!$S$4,OR(TH!N5252="1111",TH!O5252="1111")),TH!D5252,""),"")</f>
        <v/>
      </c>
      <c r="B5264" s="1244">
        <f t="shared" si="1348"/>
        <v>10</v>
      </c>
      <c r="C5264" s="292">
        <f t="shared" si="1349"/>
        <v>43039</v>
      </c>
      <c r="D5264" s="292" t="s">
        <v>902</v>
      </c>
      <c r="E5264" s="292">
        <v>43039</v>
      </c>
      <c r="F5264" s="67" t="s">
        <v>2316</v>
      </c>
      <c r="G5264" s="293" t="s">
        <v>1713</v>
      </c>
      <c r="H5264" s="294" t="s">
        <v>1771</v>
      </c>
      <c r="I5264" s="373"/>
      <c r="J5264" s="382"/>
      <c r="K5264" s="373"/>
      <c r="L5264" s="379"/>
      <c r="M5264" s="60">
        <v>2600</v>
      </c>
      <c r="N5264" s="295" t="s">
        <v>9</v>
      </c>
      <c r="O5264" s="295" t="s">
        <v>26</v>
      </c>
      <c r="P5264" s="75" t="str">
        <f>IF(AND('331-CT'!$E$7=TH!H4526,OR(N5264="331",O5264="331")),"x","")</f>
        <v/>
      </c>
      <c r="Q5264" s="75" t="str">
        <f>IF(AND(B5264='111'!$L$11,OR($N5264=$Q$7,$O5264=$Q$7)),"x","")</f>
        <v/>
      </c>
      <c r="R5264" s="75" t="str">
        <f>IF(AND($N5264=$Q$7,$B5264&lt;'111'!$L$11),"x","")</f>
        <v/>
      </c>
      <c r="S5264" s="75" t="str">
        <f>IF(AND($O5264=$Q$7,$B5264&lt;'111'!$L$11),"x","")</f>
        <v/>
      </c>
      <c r="T5264" s="75" t="str">
        <f>IF(ISERROR(FIND('112'!$M$9,G5264,1)),"",IF((AND(FIND('112'!$M$9,G5264,1)&gt;=1,B5264='112'!$K$9,OR($N5264='112'!$I$6,$O5264='112'!$I$6))),"x",""))</f>
        <v/>
      </c>
      <c r="U5264" s="75" t="str">
        <f>IF(ISERROR(FIND('112'!$M$9,G5264,1)),"",IF((AND(LEFT(G5264,2)=LEFT('112'!$M$9,2),B5264&lt;'112'!$K$9,$N5264='112'!$I$6)),"x",""))</f>
        <v/>
      </c>
      <c r="V5264" s="75" t="str">
        <f>IF(ISERROR(FIND('112'!$M$9,G5264,1)),"",IF((AND(RIGHT(G5264,2)=RIGHT('112'!$M$9,2),B5264&lt;'112'!$K$9,$O5264='112'!$I$6)),"x",""))</f>
        <v/>
      </c>
      <c r="W5264" s="75" t="str">
        <f>IF(AND('341-CT'!$H$9=H5264,OR(LEFT(N5264,3)=$W$7,LEFT(O5264,3)=$W$7)),"x","")</f>
        <v/>
      </c>
      <c r="X5264" s="75" t="str">
        <f>IF(OR(TH!N4526=TH!$X$7,O5264=TH!$X$7),"x","")</f>
        <v/>
      </c>
      <c r="Y5264" s="75" t="str">
        <f>IF(AND(OR(N5264="131",O5264="131"),H5264='131-CT'!$H$9),"x","")</f>
        <v/>
      </c>
      <c r="Z5264" s="75"/>
      <c r="AA5264" s="75" t="str">
        <f>IF(AND(MONTH(E5264)='IN-NX'!$J$5,'IN-NX'!$D$7=D5264),"x","")</f>
        <v/>
      </c>
      <c r="AB5264" s="75" t="str">
        <f>IF(AND(OR(LEFT(TH!N4526,2)="15",LEFT(TH!O4526,2)="15"),LEFT(TH!O4526,3)&lt;&gt;"111",'152-CT'!$J$8=TH!F4526),"x","")</f>
        <v/>
      </c>
      <c r="AC5264" s="75" t="str">
        <f>IF(AND(OR(LEFT(TH!N4526,2)="15",LEFT(TH!O4526,2)="15"),TK!$E$7=TH!F4526),"x","")</f>
        <v/>
      </c>
      <c r="AD5264" s="75" t="str">
        <f>IF(AND(N5264="1521",MONTH(C5264)='BK-NL'!$M$11),"x","")</f>
        <v/>
      </c>
      <c r="AE5264">
        <v>10</v>
      </c>
    </row>
    <row r="5265" spans="1:33" ht="16.5" customHeight="1">
      <c r="A5265" s="309" t="str">
        <f>IF(B5265&lt;&gt;"",IF(AND(B5265='IN-TC'!$S$4,OR(TH!N5253="1111",TH!O5253="1111")),TH!D5253,""),"")</f>
        <v/>
      </c>
      <c r="B5265" s="1244">
        <f t="shared" si="1348"/>
        <v>10</v>
      </c>
      <c r="C5265" s="292">
        <f t="shared" si="1349"/>
        <v>43039</v>
      </c>
      <c r="D5265" s="292" t="s">
        <v>903</v>
      </c>
      <c r="E5265" s="292">
        <v>43039</v>
      </c>
      <c r="F5265" s="67" t="s">
        <v>914</v>
      </c>
      <c r="G5265" s="293" t="s">
        <v>1713</v>
      </c>
      <c r="H5265" s="294" t="s">
        <v>1771</v>
      </c>
      <c r="I5265" s="373"/>
      <c r="J5265" s="382"/>
      <c r="K5265" s="373"/>
      <c r="L5265" s="379"/>
      <c r="M5265" s="60">
        <v>13041</v>
      </c>
      <c r="N5265" s="295" t="s">
        <v>26</v>
      </c>
      <c r="O5265" s="295" t="s">
        <v>43</v>
      </c>
      <c r="P5265" s="75" t="str">
        <f>IF(AND('331-CT'!$E$7=TH!H4527,OR(N5265="331",O5265="331")),"x","")</f>
        <v/>
      </c>
      <c r="Q5265" s="75" t="str">
        <f>IF(AND(B5265='111'!$L$11,OR($N5265=$Q$7,$O5265=$Q$7)),"x","")</f>
        <v/>
      </c>
      <c r="R5265" s="75" t="str">
        <f>IF(AND($N5265=$Q$7,$B5265&lt;'111'!$L$11),"x","")</f>
        <v/>
      </c>
      <c r="S5265" s="75" t="str">
        <f>IF(AND($O5265=$Q$7,$B5265&lt;'111'!$L$11),"x","")</f>
        <v/>
      </c>
      <c r="T5265" s="75" t="str">
        <f>IF(ISERROR(FIND('112'!$M$9,G5265,1)),"",IF((AND(FIND('112'!$M$9,G5265,1)&gt;=1,B5265='112'!$K$9,OR($N5265='112'!$I$6,$O5265='112'!$I$6))),"x",""))</f>
        <v/>
      </c>
      <c r="U5265" s="75" t="str">
        <f>IF(ISERROR(FIND('112'!$M$9,G5265,1)),"",IF((AND(LEFT(G5265,2)=LEFT('112'!$M$9,2),B5265&lt;'112'!$K$9,$N5265='112'!$I$6)),"x",""))</f>
        <v/>
      </c>
      <c r="V5265" s="75" t="str">
        <f>IF(ISERROR(FIND('112'!$M$9,G5265,1)),"",IF((AND(RIGHT(G5265,2)=RIGHT('112'!$M$9,2),B5265&lt;'112'!$K$9,$O5265='112'!$I$6)),"x",""))</f>
        <v/>
      </c>
      <c r="W5265" s="75" t="str">
        <f>IF(AND('341-CT'!$H$9=H5265,OR(LEFT(N5265,3)=$W$7,LEFT(O5265,3)=$W$7)),"x","")</f>
        <v/>
      </c>
      <c r="X5265" s="75" t="str">
        <f>IF(OR(TH!N4527=TH!$X$7,O5265=TH!$X$7),"x","")</f>
        <v/>
      </c>
      <c r="Y5265" s="75" t="str">
        <f>IF(AND(OR(N5265="131",O5265="131"),H5265='131-CT'!$H$9),"x","")</f>
        <v/>
      </c>
      <c r="Z5265" s="75"/>
      <c r="AA5265" s="75" t="str">
        <f>IF(AND(MONTH(E5265)='IN-NX'!$J$5,'IN-NX'!$D$7=D5265),"x","")</f>
        <v/>
      </c>
      <c r="AB5265" s="75" t="str">
        <f>IF(AND(OR(LEFT(TH!N4527,2)="15",LEFT(TH!O4527,2)="15"),LEFT(TH!O4527,3)&lt;&gt;"111",'152-CT'!$J$8=TH!F4527),"x","")</f>
        <v/>
      </c>
      <c r="AC5265" s="75" t="str">
        <f>IF(AND(OR(LEFT(TH!N4527,2)="15",LEFT(TH!O4527,2)="15"),TK!$E$7=TH!F4527),"x","")</f>
        <v/>
      </c>
      <c r="AD5265" s="75" t="str">
        <f>IF(AND(N5265="1521",MONTH(C5265)='BK-NL'!$M$11),"x","")</f>
        <v/>
      </c>
    </row>
    <row r="5266" spans="1:33" ht="16.5" customHeight="1">
      <c r="A5266" s="309" t="str">
        <f>IF(B5266&lt;&gt;"",IF(AND(B5266='IN-TC'!$S$4,OR(TH!N5254="1111",TH!O5254="1111")),TH!D5254,""),"")</f>
        <v/>
      </c>
      <c r="B5266" s="1244">
        <f t="shared" si="1348"/>
        <v>10</v>
      </c>
      <c r="C5266" s="292">
        <f t="shared" si="1349"/>
        <v>43039</v>
      </c>
      <c r="D5266" s="292" t="s">
        <v>902</v>
      </c>
      <c r="E5266" s="292">
        <v>43039</v>
      </c>
      <c r="F5266" s="293" t="s">
        <v>1549</v>
      </c>
      <c r="G5266" s="293" t="s">
        <v>747</v>
      </c>
      <c r="H5266" s="294" t="s">
        <v>835</v>
      </c>
      <c r="I5266" s="373"/>
      <c r="J5266" s="382"/>
      <c r="K5266" s="373"/>
      <c r="L5266" s="379"/>
      <c r="M5266" s="60">
        <v>1359540</v>
      </c>
      <c r="N5266" s="295" t="s">
        <v>101</v>
      </c>
      <c r="O5266" s="295" t="s">
        <v>26</v>
      </c>
      <c r="P5266" s="75" t="str">
        <f>IF(AND('331-CT'!$E$7=TH!H5551,OR(N5266="331",O5266="331")),"x","")</f>
        <v/>
      </c>
      <c r="Q5266" s="75" t="str">
        <f>IF(AND(B5266='111'!$L$11,OR($N5266=$Q$7,$O5266=$Q$7)),"x","")</f>
        <v/>
      </c>
      <c r="R5266" s="75" t="str">
        <f>IF(AND($N5266=$Q$7,$B5266&lt;'111'!$L$11),"x","")</f>
        <v/>
      </c>
      <c r="S5266" s="75" t="str">
        <f>IF(AND($O5266=$Q$7,$B5266&lt;'111'!$L$11),"x","")</f>
        <v/>
      </c>
      <c r="T5266" s="75" t="str">
        <f>IF(ISERROR(FIND('112'!$M$9,G5266,1)),"",IF((AND(FIND('112'!$M$9,G5266,1)&gt;=1,B5266='112'!$K$9,OR($N5266='112'!$I$6,$O5266='112'!$I$6))),"x",""))</f>
        <v/>
      </c>
      <c r="U5266" s="75" t="str">
        <f>IF(ISERROR(FIND('112'!$M$9,G5266,1)),"",IF((AND(LEFT(G5266,2)=LEFT('112'!$M$9,2),B5266&lt;'112'!$K$9,$N5266='112'!$I$6)),"x",""))</f>
        <v/>
      </c>
      <c r="V5266" s="75" t="str">
        <f>IF(ISERROR(FIND('112'!$M$9,G5266,1)),"",IF((AND(RIGHT(G5266,2)=RIGHT('112'!$M$9,2),B5266&lt;'112'!$K$9,$O5266='112'!$I$6)),"x",""))</f>
        <v/>
      </c>
      <c r="W5266" s="75" t="str">
        <f>IF(AND('341-CT'!$H$9=H5266,OR(LEFT(N5266,3)=$W$7,LEFT(O5266,3)=$W$7)),"x","")</f>
        <v/>
      </c>
      <c r="X5266" s="75" t="str">
        <f>IF(OR(TH!N5551=TH!$X$7,O5266=TH!$X$7),"x","")</f>
        <v/>
      </c>
      <c r="Y5266" s="75" t="str">
        <f>IF(AND(OR(N5266="131",O5266="131"),H5266='131-CT'!$H$9),"x","")</f>
        <v/>
      </c>
      <c r="Z5266" s="75"/>
      <c r="AA5266" s="75" t="str">
        <f>IF(AND(MONTH(E5266)='IN-NX'!$J$5,'IN-NX'!$D$7=D5266),"x","")</f>
        <v/>
      </c>
      <c r="AB5266" s="75" t="str">
        <f>IF(AND(OR(LEFT(TH!N5551,2)="15",LEFT(TH!O5551,2)="15"),LEFT(TH!O5551,3)&lt;&gt;"111",'152-CT'!$J$8=TH!F5551),"x","")</f>
        <v/>
      </c>
      <c r="AC5266" s="75" t="str">
        <f>IF(AND(OR(LEFT(TH!N5551,2)="15",LEFT(TH!O5551,2)="15"),TK!$E$7=TH!F5551),"x","")</f>
        <v/>
      </c>
      <c r="AD5266" s="75" t="str">
        <f>IF(AND(N5266="1521",MONTH(C5266)='BK-NL'!$M$11),"x","")</f>
        <v/>
      </c>
      <c r="AE5266">
        <v>10</v>
      </c>
    </row>
    <row r="5267" spans="1:33" ht="16.5" customHeight="1">
      <c r="A5267" s="309" t="str">
        <f>IF(B5267&lt;&gt;"",IF(AND(B5267='IN-TC'!$S$4,OR(TH!N5255="1111",TH!O5255="1111")),TH!D5255,""),"")</f>
        <v/>
      </c>
      <c r="B5267" s="1244">
        <f t="shared" ref="B5267:B5330" si="1350">IF(C5267&lt;&gt;"",MONTH(C5267),"")</f>
        <v>10</v>
      </c>
      <c r="C5267" s="292">
        <f t="shared" si="1349"/>
        <v>43039</v>
      </c>
      <c r="D5267" s="292" t="s">
        <v>902</v>
      </c>
      <c r="E5267" s="292">
        <v>43039</v>
      </c>
      <c r="F5267" s="1125" t="s">
        <v>1552</v>
      </c>
      <c r="G5267" s="293" t="s">
        <v>747</v>
      </c>
      <c r="H5267" s="294" t="s">
        <v>835</v>
      </c>
      <c r="I5267" s="1219"/>
      <c r="J5267" s="840"/>
      <c r="K5267" s="373"/>
      <c r="L5267" s="379"/>
      <c r="M5267" s="60">
        <v>135954</v>
      </c>
      <c r="N5267" s="295" t="s">
        <v>9</v>
      </c>
      <c r="O5267" s="295" t="s">
        <v>26</v>
      </c>
      <c r="P5267" s="75" t="str">
        <f>IF(AND('331-CT'!$E$7=TH!H5552,OR(N5267="331",O5267="331")),"x","")</f>
        <v/>
      </c>
      <c r="Q5267" s="75" t="str">
        <f>IF(AND(B5267='111'!$L$11,OR($N5267=$Q$7,$O5267=$Q$7)),"x","")</f>
        <v/>
      </c>
      <c r="R5267" s="75" t="str">
        <f>IF(AND($N5267=$Q$7,$B5267&lt;'111'!$L$11),"x","")</f>
        <v/>
      </c>
      <c r="S5267" s="75" t="str">
        <f>IF(AND($O5267=$Q$7,$B5267&lt;'111'!$L$11),"x","")</f>
        <v/>
      </c>
      <c r="T5267" s="75" t="str">
        <f>IF(ISERROR(FIND('112'!$M$9,G5267,1)),"",IF((AND(FIND('112'!$M$9,G5267,1)&gt;=1,B5267='112'!$K$9,OR($N5267='112'!$I$6,$O5267='112'!$I$6))),"x",""))</f>
        <v/>
      </c>
      <c r="U5267" s="75" t="str">
        <f>IF(ISERROR(FIND('112'!$M$9,G5267,1)),"",IF((AND(LEFT(G5267,2)=LEFT('112'!$M$9,2),B5267&lt;'112'!$K$9,$N5267='112'!$I$6)),"x",""))</f>
        <v/>
      </c>
      <c r="V5267" s="75" t="str">
        <f>IF(ISERROR(FIND('112'!$M$9,G5267,1)),"",IF((AND(RIGHT(G5267,2)=RIGHT('112'!$M$9,2),B5267&lt;'112'!$K$9,$O5267='112'!$I$6)),"x",""))</f>
        <v/>
      </c>
      <c r="W5267" s="75" t="str">
        <f>IF(AND('341-CT'!$H$9=H5267,OR(LEFT(N5267,3)=$W$7,LEFT(O5267,3)=$W$7)),"x","")</f>
        <v/>
      </c>
      <c r="X5267" s="75" t="str">
        <f>IF(OR(TH!N5552=TH!$X$7,O5267=TH!$X$7),"x","")</f>
        <v/>
      </c>
      <c r="Y5267" s="75" t="str">
        <f>IF(AND(OR(N5267="131",O5267="131"),H5267='131-CT'!$H$9),"x","")</f>
        <v/>
      </c>
      <c r="Z5267" s="75"/>
      <c r="AA5267" s="75" t="str">
        <f>IF(AND(MONTH(E5267)='IN-NX'!$J$5,'IN-NX'!$D$7=D5267),"x","")</f>
        <v/>
      </c>
      <c r="AB5267" s="75" t="str">
        <f>IF(AND(OR(LEFT(TH!N5552,2)="15",LEFT(TH!O5552,2)="15"),LEFT(TH!O5552,3)&lt;&gt;"111",'152-CT'!$J$8=TH!F5552),"x","")</f>
        <v/>
      </c>
      <c r="AC5267" s="75" t="str">
        <f>IF(AND(OR(LEFT(TH!N5552,2)="15",LEFT(TH!O5552,2)="15"),TK!$E$7=TH!F5552),"x","")</f>
        <v/>
      </c>
      <c r="AD5267" s="75" t="str">
        <f>IF(AND(N5267="1521",MONTH(C5267)='BK-NL'!$M$11),"x","")</f>
        <v/>
      </c>
      <c r="AE5267">
        <v>10</v>
      </c>
    </row>
    <row r="5268" spans="1:33" ht="16.5" customHeight="1">
      <c r="A5268" s="309" t="str">
        <f>IF(B5268&lt;&gt;"",IF(AND(B5268='IN-TC'!$S$4,OR(TH!N5256="1111",TH!O5256="1111")),TH!D5256,""),"")</f>
        <v/>
      </c>
      <c r="B5268" s="1244">
        <f t="shared" si="1350"/>
        <v>10</v>
      </c>
      <c r="C5268" s="292">
        <f t="shared" si="1349"/>
        <v>43039</v>
      </c>
      <c r="D5268" s="292" t="s">
        <v>902</v>
      </c>
      <c r="E5268" s="292">
        <v>43039</v>
      </c>
      <c r="F5268" s="293" t="s">
        <v>1549</v>
      </c>
      <c r="G5268" s="293" t="s">
        <v>747</v>
      </c>
      <c r="H5268" s="294" t="s">
        <v>835</v>
      </c>
      <c r="I5268" s="1219"/>
      <c r="J5268" s="840"/>
      <c r="K5268" s="373"/>
      <c r="L5268" s="379"/>
      <c r="M5268" s="60">
        <v>113750</v>
      </c>
      <c r="N5268" s="295" t="s">
        <v>101</v>
      </c>
      <c r="O5268" s="295" t="s">
        <v>26</v>
      </c>
      <c r="P5268" s="75" t="str">
        <f>IF(AND('331-CT'!$E$7=TH!H5553,OR(N5268="331",O5268="331")),"x","")</f>
        <v/>
      </c>
      <c r="Q5268" s="75" t="str">
        <f>IF(AND(B5268='111'!$L$11,OR($N5268=$Q$7,$O5268=$Q$7)),"x","")</f>
        <v/>
      </c>
      <c r="R5268" s="75" t="str">
        <f>IF(AND($N5268=$Q$7,$B5268&lt;'111'!$L$11),"x","")</f>
        <v/>
      </c>
      <c r="S5268" s="75" t="str">
        <f>IF(AND($O5268=$Q$7,$B5268&lt;'111'!$L$11),"x","")</f>
        <v/>
      </c>
      <c r="T5268" s="75" t="str">
        <f>IF(ISERROR(FIND('112'!$M$9,G5268,1)),"",IF((AND(FIND('112'!$M$9,G5268,1)&gt;=1,B5268='112'!$K$9,OR($N5268='112'!$I$6,$O5268='112'!$I$6))),"x",""))</f>
        <v/>
      </c>
      <c r="U5268" s="75" t="str">
        <f>IF(ISERROR(FIND('112'!$M$9,G5268,1)),"",IF((AND(LEFT(G5268,2)=LEFT('112'!$M$9,2),B5268&lt;'112'!$K$9,$N5268='112'!$I$6)),"x",""))</f>
        <v/>
      </c>
      <c r="V5268" s="75" t="str">
        <f>IF(ISERROR(FIND('112'!$M$9,G5268,1)),"",IF((AND(RIGHT(G5268,2)=RIGHT('112'!$M$9,2),B5268&lt;'112'!$K$9,$O5268='112'!$I$6)),"x",""))</f>
        <v/>
      </c>
      <c r="W5268" s="75" t="str">
        <f>IF(AND('341-CT'!$H$9=H5268,OR(LEFT(N5268,3)=$W$7,LEFT(O5268,3)=$W$7)),"x","")</f>
        <v/>
      </c>
      <c r="X5268" s="75" t="str">
        <f>IF(OR(TH!N5553=TH!$X$7,O5268=TH!$X$7),"x","")</f>
        <v/>
      </c>
      <c r="Y5268" s="75" t="str">
        <f>IF(AND(OR(N5268="131",O5268="131"),H5268='131-CT'!$H$9),"x","")</f>
        <v/>
      </c>
      <c r="Z5268" s="75"/>
      <c r="AA5268" s="75" t="str">
        <f>IF(AND(MONTH(E5268)='IN-NX'!$J$5,'IN-NX'!$D$7=D5268),"x","")</f>
        <v/>
      </c>
      <c r="AB5268" s="75" t="str">
        <f>IF(AND(OR(LEFT(TH!N5553,2)="15",LEFT(TH!O5553,2)="15"),LEFT(TH!O5553,3)&lt;&gt;"111",'152-CT'!$J$8=TH!F5553),"x","")</f>
        <v/>
      </c>
      <c r="AC5268" s="75" t="str">
        <f>IF(AND(OR(LEFT(TH!N5553,2)="15",LEFT(TH!O5553,2)="15"),TK!$E$7=TH!F5553),"x","")</f>
        <v/>
      </c>
      <c r="AD5268" s="75" t="str">
        <f>IF(AND(N5268="1521",MONTH(C5268)='BK-NL'!$M$11),"x","")</f>
        <v/>
      </c>
      <c r="AE5268">
        <v>10</v>
      </c>
    </row>
    <row r="5269" spans="1:33" ht="16.5" customHeight="1">
      <c r="A5269" s="309" t="str">
        <f>IF(B5269&lt;&gt;"",IF(AND(B5269='IN-TC'!$S$4,OR(TH!N5257="1111",TH!O5257="1111")),TH!D5257,""),"")</f>
        <v/>
      </c>
      <c r="B5269" s="1244">
        <f t="shared" si="1350"/>
        <v>10</v>
      </c>
      <c r="C5269" s="292">
        <f t="shared" si="1349"/>
        <v>43039</v>
      </c>
      <c r="D5269" s="292" t="s">
        <v>902</v>
      </c>
      <c r="E5269" s="292">
        <v>43039</v>
      </c>
      <c r="F5269" s="293" t="s">
        <v>1552</v>
      </c>
      <c r="G5269" s="293" t="s">
        <v>747</v>
      </c>
      <c r="H5269" s="294" t="s">
        <v>835</v>
      </c>
      <c r="I5269" s="1219"/>
      <c r="J5269" s="840"/>
      <c r="K5269" s="373"/>
      <c r="L5269" s="379"/>
      <c r="M5269" s="60">
        <v>11375</v>
      </c>
      <c r="N5269" s="295" t="s">
        <v>9</v>
      </c>
      <c r="O5269" s="295" t="s">
        <v>26</v>
      </c>
      <c r="P5269" s="75" t="str">
        <f>IF(AND('331-CT'!$E$7=TH!H5554,OR(N5269="331",O5269="331")),"x","")</f>
        <v/>
      </c>
      <c r="Q5269" s="75" t="str">
        <f>IF(AND(B5269='111'!$L$11,OR($N5269=$Q$7,$O5269=$Q$7)),"x","")</f>
        <v/>
      </c>
      <c r="R5269" s="75" t="str">
        <f>IF(AND($N5269=$Q$7,$B5269&lt;'111'!$L$11),"x","")</f>
        <v/>
      </c>
      <c r="S5269" s="75" t="str">
        <f>IF(AND($O5269=$Q$7,$B5269&lt;'111'!$L$11),"x","")</f>
        <v/>
      </c>
      <c r="T5269" s="75" t="str">
        <f>IF(ISERROR(FIND('112'!$M$9,G5269,1)),"",IF((AND(FIND('112'!$M$9,G5269,1)&gt;=1,B5269='112'!$K$9,OR($N5269='112'!$I$6,$O5269='112'!$I$6))),"x",""))</f>
        <v/>
      </c>
      <c r="U5269" s="75" t="str">
        <f>IF(ISERROR(FIND('112'!$M$9,G5269,1)),"",IF((AND(LEFT(G5269,2)=LEFT('112'!$M$9,2),B5269&lt;'112'!$K$9,$N5269='112'!$I$6)),"x",""))</f>
        <v/>
      </c>
      <c r="V5269" s="75" t="str">
        <f>IF(ISERROR(FIND('112'!$M$9,G5269,1)),"",IF((AND(RIGHT(G5269,2)=RIGHT('112'!$M$9,2),B5269&lt;'112'!$K$9,$O5269='112'!$I$6)),"x",""))</f>
        <v/>
      </c>
      <c r="W5269" s="75" t="str">
        <f>IF(AND('341-CT'!$H$9=H5269,OR(LEFT(N5269,3)=$W$7,LEFT(O5269,3)=$W$7)),"x","")</f>
        <v/>
      </c>
      <c r="X5269" s="75" t="str">
        <f>IF(OR(TH!N5554=TH!$X$7,O5269=TH!$X$7),"x","")</f>
        <v/>
      </c>
      <c r="Y5269" s="75" t="str">
        <f>IF(AND(OR(N5269="131",O5269="131"),H5269='131-CT'!$H$9),"x","")</f>
        <v/>
      </c>
      <c r="Z5269" s="75"/>
      <c r="AA5269" s="75" t="str">
        <f>IF(AND(MONTH(E5269)='IN-NX'!$J$5,'IN-NX'!$D$7=D5269),"x","")</f>
        <v/>
      </c>
      <c r="AB5269" s="75" t="str">
        <f>IF(AND(OR(LEFT(TH!N5554,2)="15",LEFT(TH!O5554,2)="15"),LEFT(TH!O5554,3)&lt;&gt;"111",'152-CT'!$J$8=TH!F5554),"x","")</f>
        <v/>
      </c>
      <c r="AC5269" s="75" t="str">
        <f>IF(AND(OR(LEFT(TH!N5554,2)="15",LEFT(TH!O5554,2)="15"),TK!$E$7=TH!F5554),"x","")</f>
        <v/>
      </c>
      <c r="AD5269" s="75" t="str">
        <f>IF(AND(N5269="1521",MONTH(C5269)='BK-NL'!$M$11),"x","")</f>
        <v/>
      </c>
      <c r="AE5269">
        <v>10</v>
      </c>
    </row>
    <row r="5270" spans="1:33" ht="16.5" customHeight="1">
      <c r="A5270" s="309" t="str">
        <f>IF(B5270&lt;&gt;"",IF(AND(B5270='IN-TC'!$S$4,OR(TH!N5258="1111",TH!O5258="1111")),TH!D5258,""),"")</f>
        <v/>
      </c>
      <c r="B5270" s="1244">
        <f t="shared" si="1350"/>
        <v>10</v>
      </c>
      <c r="C5270" s="292">
        <f t="shared" si="1349"/>
        <v>43039</v>
      </c>
      <c r="D5270" s="292" t="s">
        <v>902</v>
      </c>
      <c r="E5270" s="292">
        <v>43039</v>
      </c>
      <c r="F5270" s="293" t="s">
        <v>1549</v>
      </c>
      <c r="G5270" s="293" t="s">
        <v>747</v>
      </c>
      <c r="H5270" s="294" t="s">
        <v>835</v>
      </c>
      <c r="I5270" s="373"/>
      <c r="J5270" s="382"/>
      <c r="K5270" s="373"/>
      <c r="L5270" s="379"/>
      <c r="M5270" s="60">
        <v>227500</v>
      </c>
      <c r="N5270" s="295" t="s">
        <v>101</v>
      </c>
      <c r="O5270" s="295" t="s">
        <v>26</v>
      </c>
      <c r="P5270" s="75" t="str">
        <f>IF(AND('331-CT'!$E$7=TH!H5555,OR(N5270="331",O5270="331")),"x","")</f>
        <v/>
      </c>
      <c r="Q5270" s="75" t="str">
        <f>IF(AND(B5270='111'!$L$11,OR($N5270=$Q$7,$O5270=$Q$7)),"x","")</f>
        <v/>
      </c>
      <c r="R5270" s="75" t="str">
        <f>IF(AND($N5270=$Q$7,$B5270&lt;'111'!$L$11),"x","")</f>
        <v/>
      </c>
      <c r="S5270" s="75" t="str">
        <f>IF(AND($O5270=$Q$7,$B5270&lt;'111'!$L$11),"x","")</f>
        <v/>
      </c>
      <c r="T5270" s="75" t="str">
        <f>IF(ISERROR(FIND('112'!$M$9,G5270,1)),"",IF((AND(FIND('112'!$M$9,G5270,1)&gt;=1,B5270='112'!$K$9,OR($N5270='112'!$I$6,$O5270='112'!$I$6))),"x",""))</f>
        <v/>
      </c>
      <c r="U5270" s="75" t="str">
        <f>IF(ISERROR(FIND('112'!$M$9,G5270,1)),"",IF((AND(LEFT(G5270,2)=LEFT('112'!$M$9,2),B5270&lt;'112'!$K$9,$N5270='112'!$I$6)),"x",""))</f>
        <v/>
      </c>
      <c r="V5270" s="75" t="str">
        <f>IF(ISERROR(FIND('112'!$M$9,G5270,1)),"",IF((AND(RIGHT(G5270,2)=RIGHT('112'!$M$9,2),B5270&lt;'112'!$K$9,$O5270='112'!$I$6)),"x",""))</f>
        <v/>
      </c>
      <c r="W5270" s="75" t="str">
        <f>IF(AND('341-CT'!$H$9=H5270,OR(LEFT(N5270,3)=$W$7,LEFT(O5270,3)=$W$7)),"x","")</f>
        <v/>
      </c>
      <c r="X5270" s="75" t="str">
        <f>IF(OR(TH!N5555=TH!$X$7,O5270=TH!$X$7),"x","")</f>
        <v/>
      </c>
      <c r="Y5270" s="75" t="str">
        <f>IF(AND(OR(N5270="131",O5270="131"),H5270='131-CT'!$H$9),"x","")</f>
        <v/>
      </c>
      <c r="Z5270" s="75"/>
      <c r="AA5270" s="75" t="str">
        <f>IF(AND(MONTH(E5270)='IN-NX'!$J$5,'IN-NX'!$D$7=D5270),"x","")</f>
        <v/>
      </c>
      <c r="AB5270" s="75" t="str">
        <f>IF(AND(OR(LEFT(TH!N5555,2)="15",LEFT(TH!O5555,2)="15"),LEFT(TH!O5555,3)&lt;&gt;"111",'152-CT'!$J$8=TH!F5555),"x","")</f>
        <v/>
      </c>
      <c r="AC5270" s="75" t="str">
        <f>IF(AND(OR(LEFT(TH!N5555,2)="15",LEFT(TH!O5555,2)="15"),TK!$E$7=TH!F5555),"x","")</f>
        <v/>
      </c>
      <c r="AD5270" s="75" t="str">
        <f>IF(AND(N5270="1521",MONTH(C5270)='BK-NL'!$M$11),"x","")</f>
        <v/>
      </c>
    </row>
    <row r="5271" spans="1:33" ht="16.5" customHeight="1">
      <c r="A5271" s="309" t="str">
        <f>IF(B5271&lt;&gt;"",IF(AND(B5271='IN-TC'!$S$4,OR(TH!N5259="1111",TH!O5259="1111")),TH!D5259,""),"")</f>
        <v/>
      </c>
      <c r="B5271" s="1244">
        <f t="shared" si="1350"/>
        <v>10</v>
      </c>
      <c r="C5271" s="292">
        <f t="shared" si="1349"/>
        <v>43039</v>
      </c>
      <c r="D5271" s="292" t="s">
        <v>902</v>
      </c>
      <c r="E5271" s="292">
        <v>43039</v>
      </c>
      <c r="F5271" s="293" t="s">
        <v>1549</v>
      </c>
      <c r="G5271" s="293" t="s">
        <v>747</v>
      </c>
      <c r="H5271" s="294" t="s">
        <v>835</v>
      </c>
      <c r="I5271" s="373"/>
      <c r="J5271" s="382"/>
      <c r="K5271" s="373"/>
      <c r="L5271" s="379"/>
      <c r="M5271" s="60">
        <v>227500</v>
      </c>
      <c r="N5271" s="295" t="s">
        <v>101</v>
      </c>
      <c r="O5271" s="295" t="s">
        <v>26</v>
      </c>
      <c r="P5271" s="75" t="str">
        <f>IF(AND('331-CT'!$E$7=TH!H5556,OR(N5271="331",O5271="331")),"x","")</f>
        <v/>
      </c>
      <c r="Q5271" s="75" t="str">
        <f>IF(AND(B5271='111'!$L$11,OR($N5271=$Q$7,$O5271=$Q$7)),"x","")</f>
        <v/>
      </c>
      <c r="R5271" s="75" t="str">
        <f>IF(AND($N5271=$Q$7,$B5271&lt;'111'!$L$11),"x","")</f>
        <v/>
      </c>
      <c r="S5271" s="75" t="str">
        <f>IF(AND($O5271=$Q$7,$B5271&lt;'111'!$L$11),"x","")</f>
        <v/>
      </c>
      <c r="T5271" s="75" t="str">
        <f>IF(ISERROR(FIND('112'!$M$9,G5271,1)),"",IF((AND(FIND('112'!$M$9,G5271,1)&gt;=1,B5271='112'!$K$9,OR($N5271='112'!$I$6,$O5271='112'!$I$6))),"x",""))</f>
        <v/>
      </c>
      <c r="U5271" s="75" t="str">
        <f>IF(ISERROR(FIND('112'!$M$9,G5271,1)),"",IF((AND(LEFT(G5271,2)=LEFT('112'!$M$9,2),B5271&lt;'112'!$K$9,$N5271='112'!$I$6)),"x",""))</f>
        <v/>
      </c>
      <c r="V5271" s="75" t="str">
        <f>IF(ISERROR(FIND('112'!$M$9,G5271,1)),"",IF((AND(RIGHT(G5271,2)=RIGHT('112'!$M$9,2),B5271&lt;'112'!$K$9,$O5271='112'!$I$6)),"x",""))</f>
        <v/>
      </c>
      <c r="W5271" s="75" t="str">
        <f>IF(AND('341-CT'!$H$9=H5271,OR(LEFT(N5271,3)=$W$7,LEFT(O5271,3)=$W$7)),"x","")</f>
        <v/>
      </c>
      <c r="X5271" s="75" t="str">
        <f>IF(OR(TH!N5556=TH!$X$7,O5271=TH!$X$7),"x","")</f>
        <v/>
      </c>
      <c r="Y5271" s="75" t="str">
        <f>IF(AND(OR(N5271="131",O5271="131"),H5271='131-CT'!$H$9),"x","")</f>
        <v/>
      </c>
      <c r="Z5271" s="75"/>
      <c r="AA5271" s="75" t="str">
        <f>IF(AND(MONTH(E5271)='IN-NX'!$J$5,'IN-NX'!$D$7=D5271),"x","")</f>
        <v/>
      </c>
      <c r="AB5271" s="75" t="str">
        <f>IF(AND(OR(LEFT(TH!N5556,2)="15",LEFT(TH!O5556,2)="15"),LEFT(TH!O5556,3)&lt;&gt;"111",'152-CT'!$J$8=TH!F5556),"x","")</f>
        <v/>
      </c>
      <c r="AC5271" s="75" t="str">
        <f>IF(AND(OR(LEFT(TH!N5556,2)="15",LEFT(TH!O5556,2)="15"),TK!$E$7=TH!F5556),"x","")</f>
        <v/>
      </c>
      <c r="AD5271" s="75" t="str">
        <f>IF(AND(N5271="1521",MONTH(C5271)='BK-NL'!$M$11),"x","")</f>
        <v/>
      </c>
    </row>
    <row r="5272" spans="1:33" ht="16.5" customHeight="1">
      <c r="A5272" s="309" t="str">
        <f>IF(B5272&lt;&gt;"",IF(AND(B5272='IN-TC'!$S$4,OR(TH!N5260="1111",TH!O5260="1111")),TH!D5260,""),"")</f>
        <v/>
      </c>
      <c r="B5272" s="1244">
        <f t="shared" si="1350"/>
        <v>10</v>
      </c>
      <c r="C5272" s="292">
        <f t="shared" si="1349"/>
        <v>43039</v>
      </c>
      <c r="D5272" s="59" t="s">
        <v>2258</v>
      </c>
      <c r="E5272" s="59">
        <v>43039</v>
      </c>
      <c r="F5272" s="62" t="s">
        <v>834</v>
      </c>
      <c r="G5272" s="62" t="s">
        <v>747</v>
      </c>
      <c r="H5272" s="67" t="s">
        <v>1023</v>
      </c>
      <c r="I5272" s="373"/>
      <c r="J5272" s="382"/>
      <c r="K5272" s="373"/>
      <c r="L5272" s="379"/>
      <c r="M5272" s="60">
        <v>5030000000</v>
      </c>
      <c r="N5272" s="61" t="s">
        <v>63</v>
      </c>
      <c r="O5272" s="61" t="s">
        <v>26</v>
      </c>
      <c r="P5272" s="75" t="str">
        <f>IF(AND('331-CT'!$E$7=TH!H5560,OR(N5272="331",O5272="331")),"x","")</f>
        <v/>
      </c>
      <c r="Q5272" s="75" t="str">
        <f>IF(AND(B5272='111'!$L$11,OR($N5272=$Q$7,$O5272=$Q$7)),"x","")</f>
        <v/>
      </c>
      <c r="R5272" s="75" t="str">
        <f>IF(AND($N5272=$Q$7,$B5272&lt;'111'!$L$11),"x","")</f>
        <v>x</v>
      </c>
      <c r="S5272" s="75" t="str">
        <f>IF(AND($O5272=$Q$7,$B5272&lt;'111'!$L$11),"x","")</f>
        <v/>
      </c>
      <c r="T5272" s="75" t="str">
        <f>IF(ISERROR(FIND('112'!$M$9,G5272,1)),"",IF((AND(FIND('112'!$M$9,G5272,1)&gt;=1,B5272='112'!$K$9,OR($N5272='112'!$I$6,$O5272='112'!$I$6))),"x",""))</f>
        <v/>
      </c>
      <c r="U5272" s="75" t="str">
        <f>IF(ISERROR(FIND('112'!$M$9,G5272,1)),"",IF((AND(LEFT(G5272,2)=LEFT('112'!$M$9,2),B5272&lt;'112'!$K$9,$N5272='112'!$I$6)),"x",""))</f>
        <v/>
      </c>
      <c r="V5272" s="75" t="str">
        <f>IF(ISERROR(FIND('112'!$M$9,G5272,1)),"",IF((AND(RIGHT(G5272,2)=RIGHT('112'!$M$9,2),B5272&lt;'112'!$K$9,$O5272='112'!$I$6)),"x",""))</f>
        <v/>
      </c>
      <c r="W5272" s="75" t="str">
        <f>IF(AND('341-CT'!$H$9=H5272,OR(LEFT(N5272,3)=$W$7,LEFT(O5272,3)=$W$7)),"x","")</f>
        <v/>
      </c>
      <c r="X5272" s="75" t="str">
        <f>IF(OR(TH!N5560=TH!$X$7,O5272=TH!$X$7),"x","")</f>
        <v/>
      </c>
      <c r="Y5272" s="75" t="str">
        <f>IF(AND(OR(N5272="131",O5272="131"),H5272='131-CT'!$H$9),"x","")</f>
        <v/>
      </c>
      <c r="Z5272" s="75"/>
      <c r="AA5272" s="75" t="str">
        <f>IF(AND(MONTH(E5272)='IN-NX'!$J$5,'IN-NX'!$D$7=D5272),"x","")</f>
        <v/>
      </c>
      <c r="AB5272" s="75" t="str">
        <f>IF(AND(OR(LEFT(TH!N5560,2)="15",LEFT(TH!O5560,2)="15"),LEFT(TH!O5560,3)&lt;&gt;"111",'152-CT'!$J$8=TH!F5560),"x","")</f>
        <v/>
      </c>
      <c r="AC5272" s="75" t="str">
        <f>IF(AND(OR(LEFT(TH!N5560,2)="15",LEFT(TH!O5560,2)="15"),TK!$E$7=TH!F5560),"x","")</f>
        <v/>
      </c>
      <c r="AD5272" s="75" t="str">
        <f>IF(AND(N5272="1521",MONTH(C5272)='BK-NL'!$M$11),"x","")</f>
        <v/>
      </c>
    </row>
    <row r="5273" spans="1:33" ht="16.5" customHeight="1">
      <c r="A5273" s="309" t="str">
        <f>IF(B5273&lt;&gt;"",IF(AND(B5273='IN-TC'!$S$4,OR(TH!N5261="1111",TH!O5261="1111")),TH!D5261,""),"")</f>
        <v/>
      </c>
      <c r="B5273" s="1244">
        <f t="shared" si="1350"/>
        <v>10</v>
      </c>
      <c r="C5273" s="292">
        <f t="shared" si="1349"/>
        <v>43039</v>
      </c>
      <c r="D5273" s="292"/>
      <c r="E5273" s="292">
        <v>43039</v>
      </c>
      <c r="F5273" s="67" t="s">
        <v>1283</v>
      </c>
      <c r="G5273" s="925" t="s">
        <v>2572</v>
      </c>
      <c r="H5273" s="294" t="s">
        <v>893</v>
      </c>
      <c r="I5273" s="373"/>
      <c r="J5273" s="926"/>
      <c r="K5273" s="373"/>
      <c r="L5273" s="379"/>
      <c r="M5273" s="927">
        <v>641509</v>
      </c>
      <c r="N5273" s="295" t="s">
        <v>101</v>
      </c>
      <c r="O5273" s="295" t="s">
        <v>63</v>
      </c>
      <c r="P5273" s="75" t="str">
        <f>IF(AND('331-CT'!$E$7=TH!H4072,OR(N5273="331",O5273="331")),"x","")</f>
        <v/>
      </c>
      <c r="Q5273" s="75" t="str">
        <f>IF(AND(B5273='111'!$L$11,OR($N5273=$Q$7,$O5273=$Q$7)),"x","")</f>
        <v/>
      </c>
      <c r="R5273" s="75" t="str">
        <f>IF(AND($N5273=$Q$7,$B5273&lt;'111'!$L$11),"x","")</f>
        <v/>
      </c>
      <c r="S5273" s="75" t="str">
        <f>IF(AND($O5273=$Q$7,$B5273&lt;'111'!$L$11),"x","")</f>
        <v>x</v>
      </c>
      <c r="T5273" s="75" t="str">
        <f>IF(ISERROR(FIND('112'!$M$9,G5273,1)),"",IF((AND(FIND('112'!$M$9,G5273,1)&gt;=1,B5273='112'!$K$9,OR($N5273='112'!$I$6,$O5273='112'!$I$6))),"x",""))</f>
        <v/>
      </c>
      <c r="U5273" s="75" t="str">
        <f>IF(ISERROR(FIND('112'!$M$9,G5273,1)),"",IF((AND(LEFT(G5273,2)=LEFT('112'!$M$9,2),B5273&lt;'112'!$K$9,$N5273='112'!$I$6)),"x",""))</f>
        <v/>
      </c>
      <c r="V5273" s="75" t="str">
        <f>IF(ISERROR(FIND('112'!$M$9,G5273,1)),"",IF((AND(RIGHT(G5273,2)=RIGHT('112'!$M$9,2),B5273&lt;'112'!$K$9,$O5273='112'!$I$6)),"x",""))</f>
        <v/>
      </c>
      <c r="W5273" s="75" t="str">
        <f>IF(AND('341-CT'!$H$9=H5273,OR(LEFT(N5273,3)=$W$7,LEFT(O5273,3)=$W$7)),"x","")</f>
        <v/>
      </c>
      <c r="X5273" s="75" t="str">
        <f>IF(OR(TH!N4072=TH!$X$7,O5273=TH!$X$7),"x","")</f>
        <v/>
      </c>
      <c r="Y5273" s="75" t="str">
        <f>IF(AND(OR(N5273="131",O5273="131"),H5273='131-CT'!$H$9),"x","")</f>
        <v/>
      </c>
      <c r="Z5273" s="75"/>
      <c r="AA5273" s="75" t="str">
        <f>IF(AND(MONTH(E5273)='IN-NX'!$J$5,'IN-NX'!$D$7=D5273),"x","")</f>
        <v/>
      </c>
      <c r="AB5273" s="75" t="str">
        <f>IF(AND(OR(LEFT(TH!N4072,2)="15",LEFT(TH!O4072,2)="15"),LEFT(TH!O4072,3)&lt;&gt;"111",'152-CT'!$J$8=TH!F4072),"x","")</f>
        <v/>
      </c>
      <c r="AC5273" s="75" t="str">
        <f>IF(AND(OR(LEFT(TH!N4072,2)="15",LEFT(TH!O4072,2)="15"),TK!$E$7=TH!F4072),"x","")</f>
        <v/>
      </c>
      <c r="AD5273" s="75" t="str">
        <f>IF(AND(N5273="1521",MONTH(C5273)='BK-NL'!$M$11),"x","")</f>
        <v/>
      </c>
      <c r="AE5273">
        <v>10</v>
      </c>
    </row>
    <row r="5274" spans="1:33" ht="16.5" customHeight="1">
      <c r="A5274" s="309" t="str">
        <f>IF(B5274&lt;&gt;"",IF(AND(B5274='IN-TC'!$S$4,OR(TH!N5262="1111",TH!O5262="1111")),TH!D5262,""),"")</f>
        <v/>
      </c>
      <c r="B5274" s="1244">
        <f t="shared" si="1350"/>
        <v>10</v>
      </c>
      <c r="C5274" s="292">
        <f t="shared" si="1349"/>
        <v>43039</v>
      </c>
      <c r="D5274" s="292"/>
      <c r="E5274" s="292">
        <v>43039</v>
      </c>
      <c r="F5274" s="67" t="s">
        <v>1284</v>
      </c>
      <c r="G5274" s="925" t="s">
        <v>2572</v>
      </c>
      <c r="H5274" s="294" t="s">
        <v>893</v>
      </c>
      <c r="I5274" s="373"/>
      <c r="J5274" s="926"/>
      <c r="K5274" s="373"/>
      <c r="L5274" s="379"/>
      <c r="M5274" s="927">
        <v>64151</v>
      </c>
      <c r="N5274" s="295" t="s">
        <v>9</v>
      </c>
      <c r="O5274" s="295" t="s">
        <v>63</v>
      </c>
      <c r="P5274" s="75" t="str">
        <f>IF(AND('331-CT'!$E$7=TH!H4073,OR(N5274="331",O5274="331")),"x","")</f>
        <v/>
      </c>
      <c r="Q5274" s="75" t="str">
        <f>IF(AND(B5274='111'!$L$11,OR($N5274=$Q$7,$O5274=$Q$7)),"x","")</f>
        <v/>
      </c>
      <c r="R5274" s="75" t="str">
        <f>IF(AND($N5274=$Q$7,$B5274&lt;'111'!$L$11),"x","")</f>
        <v/>
      </c>
      <c r="S5274" s="75" t="str">
        <f>IF(AND($O5274=$Q$7,$B5274&lt;'111'!$L$11),"x","")</f>
        <v>x</v>
      </c>
      <c r="T5274" s="75" t="str">
        <f>IF(ISERROR(FIND('112'!$M$9,G5274,1)),"",IF((AND(FIND('112'!$M$9,G5274,1)&gt;=1,B5274='112'!$K$9,OR($N5274='112'!$I$6,$O5274='112'!$I$6))),"x",""))</f>
        <v/>
      </c>
      <c r="U5274" s="75" t="str">
        <f>IF(ISERROR(FIND('112'!$M$9,G5274,1)),"",IF((AND(LEFT(G5274,2)=LEFT('112'!$M$9,2),B5274&lt;'112'!$K$9,$N5274='112'!$I$6)),"x",""))</f>
        <v/>
      </c>
      <c r="V5274" s="75" t="str">
        <f>IF(ISERROR(FIND('112'!$M$9,G5274,1)),"",IF((AND(RIGHT(G5274,2)=RIGHT('112'!$M$9,2),B5274&lt;'112'!$K$9,$O5274='112'!$I$6)),"x",""))</f>
        <v/>
      </c>
      <c r="W5274" s="75" t="str">
        <f>IF(AND('341-CT'!$H$9=H5274,OR(LEFT(N5274,3)=$W$7,LEFT(O5274,3)=$W$7)),"x","")</f>
        <v/>
      </c>
      <c r="X5274" s="75" t="str">
        <f>IF(OR(TH!N4073=TH!$X$7,O5274=TH!$X$7),"x","")</f>
        <v/>
      </c>
      <c r="Y5274" s="75" t="str">
        <f>IF(AND(OR(N5274="131",O5274="131"),H5274='131-CT'!$H$9),"x","")</f>
        <v/>
      </c>
      <c r="Z5274" s="75"/>
      <c r="AA5274" s="75" t="str">
        <f>IF(AND(MONTH(E5274)='IN-NX'!$J$5,'IN-NX'!$D$7=D5274),"x","")</f>
        <v/>
      </c>
      <c r="AB5274" s="75" t="str">
        <f>IF(AND(OR(LEFT(TH!N4073,2)="15",LEFT(TH!O4073,2)="15"),LEFT(TH!O4073,3)&lt;&gt;"111",'152-CT'!$J$8=TH!F4073),"x","")</f>
        <v/>
      </c>
      <c r="AC5274" s="75" t="str">
        <f>IF(AND(OR(LEFT(TH!N4073,2)="15",LEFT(TH!O4073,2)="15"),TK!$E$7=TH!F4073),"x","")</f>
        <v/>
      </c>
      <c r="AD5274" s="75" t="str">
        <f>IF(AND(N5274="1521",MONTH(C5274)='BK-NL'!$M$11),"x","")</f>
        <v/>
      </c>
      <c r="AE5274">
        <v>10</v>
      </c>
    </row>
    <row r="5275" spans="1:33" s="1053" customFormat="1" ht="16.5" customHeight="1">
      <c r="A5275" s="309" t="str">
        <f>IF(B5275&lt;&gt;"",IF(AND(B5275='IN-TC'!$S$4,OR(TH!N5263="1111",TH!O5263="1111")),TH!D5263,""),"")</f>
        <v/>
      </c>
      <c r="B5275" s="1244">
        <f t="shared" si="1350"/>
        <v>10</v>
      </c>
      <c r="C5275" s="292">
        <f t="shared" si="1349"/>
        <v>43039</v>
      </c>
      <c r="D5275" s="292"/>
      <c r="E5275" s="292">
        <v>43039</v>
      </c>
      <c r="F5275" s="67" t="s">
        <v>959</v>
      </c>
      <c r="G5275" s="925" t="s">
        <v>2593</v>
      </c>
      <c r="H5275" s="294" t="s">
        <v>1032</v>
      </c>
      <c r="I5275" s="373"/>
      <c r="J5275" s="926"/>
      <c r="K5275" s="373"/>
      <c r="L5275" s="379"/>
      <c r="M5275" s="927">
        <v>127650</v>
      </c>
      <c r="N5275" s="295" t="s">
        <v>101</v>
      </c>
      <c r="O5275" s="295" t="s">
        <v>63</v>
      </c>
      <c r="P5275" s="75" t="str">
        <f>IF(AND('331-CT'!$E$7=TH!H4074,OR(N5275="331",O5275="331")),"x","")</f>
        <v/>
      </c>
      <c r="Q5275" s="75" t="str">
        <f>IF(AND(B5275='111'!$L$11,OR($N5275=$Q$7,$O5275=$Q$7)),"x","")</f>
        <v/>
      </c>
      <c r="R5275" s="75" t="str">
        <f>IF(AND($N5275=$Q$7,$B5275&lt;'111'!$L$11),"x","")</f>
        <v/>
      </c>
      <c r="S5275" s="75" t="str">
        <f>IF(AND($O5275=$Q$7,$B5275&lt;'111'!$L$11),"x","")</f>
        <v>x</v>
      </c>
      <c r="T5275" s="75" t="str">
        <f>IF(ISERROR(FIND('112'!$M$9,G5275,1)),"",IF((AND(FIND('112'!$M$9,G5275,1)&gt;=1,B5275='112'!$K$9,OR($N5275='112'!$I$6,$O5275='112'!$I$6))),"x",""))</f>
        <v/>
      </c>
      <c r="U5275" s="75" t="str">
        <f>IF(ISERROR(FIND('112'!$M$9,G5275,1)),"",IF((AND(LEFT(G5275,2)=LEFT('112'!$M$9,2),B5275&lt;'112'!$K$9,$N5275='112'!$I$6)),"x",""))</f>
        <v/>
      </c>
      <c r="V5275" s="75" t="str">
        <f>IF(ISERROR(FIND('112'!$M$9,G5275,1)),"",IF((AND(RIGHT(G5275,2)=RIGHT('112'!$M$9,2),B5275&lt;'112'!$K$9,$O5275='112'!$I$6)),"x",""))</f>
        <v/>
      </c>
      <c r="W5275" s="75" t="str">
        <f>IF(AND('341-CT'!$H$9=H5275,OR(LEFT(N5275,3)=$W$7,LEFT(O5275,3)=$W$7)),"x","")</f>
        <v/>
      </c>
      <c r="X5275" s="75" t="str">
        <f>IF(OR(TH!N4074=TH!$X$7,O5275=TH!$X$7),"x","")</f>
        <v/>
      </c>
      <c r="Y5275" s="75" t="str">
        <f>IF(AND(OR(N5275="131",O5275="131"),H5275='131-CT'!$H$9),"x","")</f>
        <v/>
      </c>
      <c r="Z5275" s="75"/>
      <c r="AA5275" s="75" t="str">
        <f>IF(AND(MONTH(E5275)='IN-NX'!$J$5,'IN-NX'!$D$7=D5275),"x","")</f>
        <v/>
      </c>
      <c r="AB5275" s="75" t="str">
        <f>IF(AND(OR(LEFT(TH!N4074,2)="15",LEFT(TH!O4074,2)="15"),LEFT(TH!O4074,3)&lt;&gt;"111",'152-CT'!$J$8=TH!F4074),"x","")</f>
        <v/>
      </c>
      <c r="AC5275" s="75" t="str">
        <f>IF(AND(OR(LEFT(TH!N4074,2)="15",LEFT(TH!O4074,2)="15"),TK!$E$7=TH!F4074),"x","")</f>
        <v/>
      </c>
      <c r="AD5275" s="75" t="str">
        <f>IF(AND(N5275="1521",MONTH(C5275)='BK-NL'!$M$11),"x","")</f>
        <v/>
      </c>
      <c r="AE5275">
        <v>11</v>
      </c>
      <c r="AF5275"/>
      <c r="AG5275"/>
    </row>
    <row r="5276" spans="1:33" s="1053" customFormat="1" ht="16.5" customHeight="1">
      <c r="A5276" s="309" t="str">
        <f>IF(B5276&lt;&gt;"",IF(AND(B5276='IN-TC'!$S$4,OR(TH!N5264="1111",TH!O5264="1111")),TH!D5264,""),"")</f>
        <v/>
      </c>
      <c r="B5276" s="1244">
        <f t="shared" si="1350"/>
        <v>10</v>
      </c>
      <c r="C5276" s="292">
        <f t="shared" si="1349"/>
        <v>43039</v>
      </c>
      <c r="D5276" s="292"/>
      <c r="E5276" s="292">
        <v>43039</v>
      </c>
      <c r="F5276" s="67" t="s">
        <v>960</v>
      </c>
      <c r="G5276" s="925" t="s">
        <v>2593</v>
      </c>
      <c r="H5276" s="294" t="s">
        <v>1032</v>
      </c>
      <c r="I5276" s="373"/>
      <c r="J5276" s="926"/>
      <c r="K5276" s="373"/>
      <c r="L5276" s="379"/>
      <c r="M5276" s="927">
        <v>12765</v>
      </c>
      <c r="N5276" s="295" t="s">
        <v>9</v>
      </c>
      <c r="O5276" s="295" t="s">
        <v>63</v>
      </c>
      <c r="P5276" s="75" t="str">
        <f>IF(AND('331-CT'!$E$7=TH!H4075,OR(N5276="331",O5276="331")),"x","")</f>
        <v/>
      </c>
      <c r="Q5276" s="75" t="str">
        <f>IF(AND(B5276='111'!$L$11,OR($N5276=$Q$7,$O5276=$Q$7)),"x","")</f>
        <v/>
      </c>
      <c r="R5276" s="75" t="str">
        <f>IF(AND($N5276=$Q$7,$B5276&lt;'111'!$L$11),"x","")</f>
        <v/>
      </c>
      <c r="S5276" s="75" t="str">
        <f>IF(AND($O5276=$Q$7,$B5276&lt;'111'!$L$11),"x","")</f>
        <v>x</v>
      </c>
      <c r="T5276" s="75" t="str">
        <f>IF(ISERROR(FIND('112'!$M$9,G5276,1)),"",IF((AND(FIND('112'!$M$9,G5276,1)&gt;=1,B5276='112'!$K$9,OR($N5276='112'!$I$6,$O5276='112'!$I$6))),"x",""))</f>
        <v/>
      </c>
      <c r="U5276" s="75" t="str">
        <f>IF(ISERROR(FIND('112'!$M$9,G5276,1)),"",IF((AND(LEFT(G5276,2)=LEFT('112'!$M$9,2),B5276&lt;'112'!$K$9,$N5276='112'!$I$6)),"x",""))</f>
        <v/>
      </c>
      <c r="V5276" s="75" t="str">
        <f>IF(ISERROR(FIND('112'!$M$9,G5276,1)),"",IF((AND(RIGHT(G5276,2)=RIGHT('112'!$M$9,2),B5276&lt;'112'!$K$9,$O5276='112'!$I$6)),"x",""))</f>
        <v/>
      </c>
      <c r="W5276" s="75" t="str">
        <f>IF(AND('341-CT'!$H$9=H5276,OR(LEFT(N5276,3)=$W$7,LEFT(O5276,3)=$W$7)),"x","")</f>
        <v/>
      </c>
      <c r="X5276" s="75" t="str">
        <f>IF(OR(TH!N4075=TH!$X$7,O5276=TH!$X$7),"x","")</f>
        <v/>
      </c>
      <c r="Y5276" s="75" t="str">
        <f>IF(AND(OR(N5276="131",O5276="131"),H5276='131-CT'!$H$9),"x","")</f>
        <v/>
      </c>
      <c r="Z5276" s="75"/>
      <c r="AA5276" s="75" t="str">
        <f>IF(AND(MONTH(E5276)='IN-NX'!$J$5,'IN-NX'!$D$7=D5276),"x","")</f>
        <v/>
      </c>
      <c r="AB5276" s="75" t="str">
        <f>IF(AND(OR(LEFT(TH!N4075,2)="15",LEFT(TH!O4075,2)="15"),LEFT(TH!O4075,3)&lt;&gt;"111",'152-CT'!$J$8=TH!F4075),"x","")</f>
        <v/>
      </c>
      <c r="AC5276" s="75" t="str">
        <f>IF(AND(OR(LEFT(TH!N4075,2)="15",LEFT(TH!O4075,2)="15"),TK!$E$7=TH!F4075),"x","")</f>
        <v/>
      </c>
      <c r="AD5276" s="75" t="str">
        <f>IF(AND(N5276="1521",MONTH(C5276)='BK-NL'!$M$11),"x","")</f>
        <v/>
      </c>
      <c r="AE5276">
        <v>11</v>
      </c>
      <c r="AF5276"/>
      <c r="AG5276"/>
    </row>
    <row r="5277" spans="1:33" s="1053" customFormat="1" ht="16.5" customHeight="1">
      <c r="A5277" s="309" t="str">
        <f>IF(B5277&lt;&gt;"",IF(AND(B5277='IN-TC'!$S$4,OR(TH!N5265="1111",TH!O5265="1111")),TH!D5265,""),"")</f>
        <v/>
      </c>
      <c r="B5277" s="1244">
        <f t="shared" si="1350"/>
        <v>10</v>
      </c>
      <c r="C5277" s="292">
        <f t="shared" si="1349"/>
        <v>43039</v>
      </c>
      <c r="D5277" s="292"/>
      <c r="E5277" s="292">
        <v>43039</v>
      </c>
      <c r="F5277" s="67" t="s">
        <v>2557</v>
      </c>
      <c r="G5277" s="925"/>
      <c r="H5277" s="294" t="s">
        <v>978</v>
      </c>
      <c r="I5277" s="373"/>
      <c r="J5277" s="926"/>
      <c r="K5277" s="373"/>
      <c r="L5277" s="379"/>
      <c r="M5277" s="927">
        <v>1517273</v>
      </c>
      <c r="N5277" s="295" t="s">
        <v>101</v>
      </c>
      <c r="O5277" s="295" t="s">
        <v>63</v>
      </c>
      <c r="P5277" s="75" t="str">
        <f>IF(AND('331-CT'!$E$7=TH!H4076,OR(N5277="331",O5277="331")),"x","")</f>
        <v/>
      </c>
      <c r="Q5277" s="75" t="str">
        <f>IF(AND(B5277='111'!$L$11,OR($N5277=$Q$7,$O5277=$Q$7)),"x","")</f>
        <v/>
      </c>
      <c r="R5277" s="75" t="str">
        <f>IF(AND($N5277=$Q$7,$B5277&lt;'111'!$L$11),"x","")</f>
        <v/>
      </c>
      <c r="S5277" s="75" t="str">
        <f>IF(AND($O5277=$Q$7,$B5277&lt;'111'!$L$11),"x","")</f>
        <v>x</v>
      </c>
      <c r="T5277" s="75" t="str">
        <f>IF(ISERROR(FIND('112'!$M$9,G5277,1)),"",IF((AND(FIND('112'!$M$9,G5277,1)&gt;=1,B5277='112'!$K$9,OR($N5277='112'!$I$6,$O5277='112'!$I$6))),"x",""))</f>
        <v/>
      </c>
      <c r="U5277" s="75" t="str">
        <f>IF(ISERROR(FIND('112'!$M$9,G5277,1)),"",IF((AND(LEFT(G5277,2)=LEFT('112'!$M$9,2),B5277&lt;'112'!$K$9,$N5277='112'!$I$6)),"x",""))</f>
        <v/>
      </c>
      <c r="V5277" s="75" t="str">
        <f>IF(ISERROR(FIND('112'!$M$9,G5277,1)),"",IF((AND(RIGHT(G5277,2)=RIGHT('112'!$M$9,2),B5277&lt;'112'!$K$9,$O5277='112'!$I$6)),"x",""))</f>
        <v/>
      </c>
      <c r="W5277" s="75" t="str">
        <f>IF(AND('341-CT'!$H$9=H5277,OR(LEFT(N5277,3)=$W$7,LEFT(O5277,3)=$W$7)),"x","")</f>
        <v/>
      </c>
      <c r="X5277" s="75" t="str">
        <f>IF(OR(TH!N4076=TH!$X$7,O5277=TH!$X$7),"x","")</f>
        <v/>
      </c>
      <c r="Y5277" s="75" t="str">
        <f>IF(AND(OR(N5277="131",O5277="131"),H5277='131-CT'!$H$9),"x","")</f>
        <v/>
      </c>
      <c r="Z5277" s="75"/>
      <c r="AA5277" s="75" t="str">
        <f>IF(AND(MONTH(E5277)='IN-NX'!$J$5,'IN-NX'!$D$7=D5277),"x","")</f>
        <v/>
      </c>
      <c r="AB5277" s="75" t="str">
        <f>IF(AND(OR(LEFT(TH!N4076,2)="15",LEFT(TH!O4076,2)="15"),LEFT(TH!O4076,3)&lt;&gt;"111",'152-CT'!$J$8=TH!F4076),"x","")</f>
        <v/>
      </c>
      <c r="AC5277" s="75" t="str">
        <f>IF(AND(OR(LEFT(TH!N4076,2)="15",LEFT(TH!O4076,2)="15"),TK!$E$7=TH!F4076),"x","")</f>
        <v/>
      </c>
      <c r="AD5277" s="75" t="str">
        <f>IF(AND(N5277="1521",MONTH(C5277)='BK-NL'!$M$11),"x","")</f>
        <v/>
      </c>
      <c r="AE5277">
        <v>10</v>
      </c>
      <c r="AF5277"/>
      <c r="AG5277"/>
    </row>
    <row r="5278" spans="1:33" ht="16.5" customHeight="1">
      <c r="A5278" s="309" t="str">
        <f>IF(B5278&lt;&gt;"",IF(AND(B5278='IN-TC'!$S$4,OR(TH!N5266="1111",TH!O5266="1111")),TH!D5266,""),"")</f>
        <v/>
      </c>
      <c r="B5278" s="1244">
        <f t="shared" si="1350"/>
        <v>10</v>
      </c>
      <c r="C5278" s="292">
        <f t="shared" si="1349"/>
        <v>43039</v>
      </c>
      <c r="D5278" s="292"/>
      <c r="E5278" s="292">
        <v>43039</v>
      </c>
      <c r="F5278" s="67" t="s">
        <v>2558</v>
      </c>
      <c r="G5278" s="925"/>
      <c r="H5278" s="294" t="s">
        <v>978</v>
      </c>
      <c r="I5278" s="373"/>
      <c r="J5278" s="926"/>
      <c r="K5278" s="373"/>
      <c r="L5278" s="379"/>
      <c r="M5278" s="927">
        <v>151727</v>
      </c>
      <c r="N5278" s="295" t="s">
        <v>9</v>
      </c>
      <c r="O5278" s="295" t="s">
        <v>63</v>
      </c>
      <c r="P5278" s="75" t="str">
        <f>IF(AND('331-CT'!$E$7=TH!H4077,OR(N5278="331",O5278="331")),"x","")</f>
        <v/>
      </c>
      <c r="Q5278" s="75" t="str">
        <f>IF(AND(B5278='111'!$L$11,OR($N5278=$Q$7,$O5278=$Q$7)),"x","")</f>
        <v/>
      </c>
      <c r="R5278" s="75" t="str">
        <f>IF(AND($N5278=$Q$7,$B5278&lt;'111'!$L$11),"x","")</f>
        <v/>
      </c>
      <c r="S5278" s="75" t="str">
        <f>IF(AND($O5278=$Q$7,$B5278&lt;'111'!$L$11),"x","")</f>
        <v>x</v>
      </c>
      <c r="T5278" s="75" t="str">
        <f>IF(ISERROR(FIND('112'!$M$9,G5278,1)),"",IF((AND(FIND('112'!$M$9,G5278,1)&gt;=1,B5278='112'!$K$9,OR($N5278='112'!$I$6,$O5278='112'!$I$6))),"x",""))</f>
        <v/>
      </c>
      <c r="U5278" s="75" t="str">
        <f>IF(ISERROR(FIND('112'!$M$9,G5278,1)),"",IF((AND(LEFT(G5278,2)=LEFT('112'!$M$9,2),B5278&lt;'112'!$K$9,$N5278='112'!$I$6)),"x",""))</f>
        <v/>
      </c>
      <c r="V5278" s="75" t="str">
        <f>IF(ISERROR(FIND('112'!$M$9,G5278,1)),"",IF((AND(RIGHT(G5278,2)=RIGHT('112'!$M$9,2),B5278&lt;'112'!$K$9,$O5278='112'!$I$6)),"x",""))</f>
        <v/>
      </c>
      <c r="W5278" s="75" t="str">
        <f>IF(AND('341-CT'!$H$9=H5278,OR(LEFT(N5278,3)=$W$7,LEFT(O5278,3)=$W$7)),"x","")</f>
        <v/>
      </c>
      <c r="X5278" s="75" t="str">
        <f>IF(OR(TH!N4077=TH!$X$7,O5278=TH!$X$7),"x","")</f>
        <v/>
      </c>
      <c r="Y5278" s="75" t="str">
        <f>IF(AND(OR(N5278="131",O5278="131"),H5278='131-CT'!$H$9),"x","")</f>
        <v/>
      </c>
      <c r="Z5278" s="75"/>
      <c r="AA5278" s="75" t="str">
        <f>IF(AND(MONTH(E5278)='IN-NX'!$J$5,'IN-NX'!$D$7=D5278),"x","")</f>
        <v/>
      </c>
      <c r="AB5278" s="75" t="str">
        <f>IF(AND(OR(LEFT(TH!N4077,2)="15",LEFT(TH!O4077,2)="15"),LEFT(TH!O4077,3)&lt;&gt;"111",'152-CT'!$J$8=TH!F4077),"x","")</f>
        <v/>
      </c>
      <c r="AC5278" s="75" t="str">
        <f>IF(AND(OR(LEFT(TH!N4077,2)="15",LEFT(TH!O4077,2)="15"),TK!$E$7=TH!F4077),"x","")</f>
        <v/>
      </c>
      <c r="AD5278" s="75" t="str">
        <f>IF(AND(N5278="1521",MONTH(C5278)='BK-NL'!$M$11),"x","")</f>
        <v/>
      </c>
      <c r="AE5278">
        <v>10</v>
      </c>
    </row>
    <row r="5279" spans="1:33" ht="16.5" customHeight="1">
      <c r="A5279" s="309" t="str">
        <f>IF(B5279&lt;&gt;"",IF(AND(B5279='IN-TC'!$S$4,OR(TH!N5267="1111",TH!O5267="1111")),TH!D5267,""),"")</f>
        <v/>
      </c>
      <c r="B5279" s="1244">
        <f t="shared" si="1350"/>
        <v>10</v>
      </c>
      <c r="C5279" s="292">
        <f t="shared" si="1349"/>
        <v>43039</v>
      </c>
      <c r="D5279" s="59"/>
      <c r="E5279" s="292">
        <v>43039</v>
      </c>
      <c r="F5279" s="62" t="s">
        <v>2526</v>
      </c>
      <c r="G5279" s="62"/>
      <c r="H5279" s="67" t="s">
        <v>980</v>
      </c>
      <c r="I5279" s="375"/>
      <c r="J5279" s="382"/>
      <c r="K5279" s="375"/>
      <c r="L5279" s="381"/>
      <c r="M5279" s="60">
        <v>94311647</v>
      </c>
      <c r="N5279" s="61" t="s">
        <v>540</v>
      </c>
      <c r="O5279" s="61" t="s">
        <v>63</v>
      </c>
      <c r="P5279" s="75" t="str">
        <f>IF(AND('331-CT'!$E$7=TH!H4078,OR(N5279="331",O5279="331")),"x","")</f>
        <v/>
      </c>
      <c r="Q5279" s="75" t="str">
        <f>IF(AND(B5279='111'!$L$11,OR($N5279=$Q$7,$O5279=$Q$7)),"x","")</f>
        <v/>
      </c>
      <c r="R5279" s="75" t="str">
        <f>IF(AND($N5279=$Q$7,$B5279&lt;'111'!$L$11),"x","")</f>
        <v/>
      </c>
      <c r="S5279" s="75" t="str">
        <f>IF(AND($O5279=$Q$7,$B5279&lt;'111'!$L$11),"x","")</f>
        <v>x</v>
      </c>
      <c r="T5279" s="75" t="str">
        <f>IF(ISERROR(FIND('112'!$M$9,G5279,1)),"",IF((AND(FIND('112'!$M$9,G5279,1)&gt;=1,B5279='112'!$K$9,OR($N5279='112'!$I$6,$O5279='112'!$I$6))),"x",""))</f>
        <v/>
      </c>
      <c r="U5279" s="75" t="str">
        <f>IF(ISERROR(FIND('112'!$M$9,G5279,1)),"",IF((AND(LEFT(G5279,2)=LEFT('112'!$M$9,2),B5279&lt;'112'!$K$9,$N5279='112'!$I$6)),"x",""))</f>
        <v/>
      </c>
      <c r="V5279" s="75" t="str">
        <f>IF(ISERROR(FIND('112'!$M$9,G5279,1)),"",IF((AND(RIGHT(G5279,2)=RIGHT('112'!$M$9,2),B5279&lt;'112'!$K$9,$O5279='112'!$I$6)),"x",""))</f>
        <v/>
      </c>
      <c r="W5279" s="75" t="str">
        <f>IF(AND('341-CT'!$H$9=H5279,OR(LEFT(N5279,3)=$W$7,LEFT(O5279,3)=$W$7)),"x","")</f>
        <v/>
      </c>
      <c r="X5279" s="75" t="str">
        <f>IF(OR(TH!N4078=TH!$X$7,O5279=TH!$X$7),"x","")</f>
        <v/>
      </c>
      <c r="Y5279" s="75" t="str">
        <f>IF(AND(OR(N5279="131",O5279="131"),H5279='131-CT'!$H$9),"x","")</f>
        <v/>
      </c>
      <c r="Z5279" s="75"/>
      <c r="AA5279" s="75" t="str">
        <f>IF(AND(MONTH(E5279)='IN-NX'!$J$5,'IN-NX'!$D$7=D5279),"x","")</f>
        <v/>
      </c>
      <c r="AB5279" s="75" t="str">
        <f>IF(AND(OR(LEFT(TH!N4078,2)="15",LEFT(TH!O4078,2)="15"),LEFT(TH!O4078,3)&lt;&gt;"111",'152-CT'!$J$8=TH!F4078),"x","")</f>
        <v/>
      </c>
      <c r="AC5279" s="75" t="str">
        <f>IF(AND(OR(LEFT(TH!N4078,2)="15",LEFT(TH!O4078,2)="15"),TK!$E$7=TH!F4078),"x","")</f>
        <v/>
      </c>
      <c r="AD5279" s="75" t="str">
        <f>IF(AND(N5279="1521",MONTH(C5279)='BK-NL'!$M$11),"x","")</f>
        <v/>
      </c>
    </row>
    <row r="5280" spans="1:33" ht="16.5" customHeight="1">
      <c r="A5280" s="309" t="str">
        <f>IF(B5280&lt;&gt;"",IF(AND(B5280='IN-TC'!$S$4,OR(TH!N5268="1111",TH!O5268="1111")),TH!D5268,""),"")</f>
        <v/>
      </c>
      <c r="B5280" s="1243">
        <f t="shared" si="1350"/>
        <v>10</v>
      </c>
      <c r="C5280" s="292">
        <f t="shared" si="1349"/>
        <v>43039</v>
      </c>
      <c r="D5280" s="292"/>
      <c r="E5280" s="292">
        <v>43039</v>
      </c>
      <c r="F5280" s="1010" t="s">
        <v>1881</v>
      </c>
      <c r="G5280" s="925"/>
      <c r="H5280" s="311" t="s">
        <v>1890</v>
      </c>
      <c r="I5280" s="373"/>
      <c r="J5280" s="926"/>
      <c r="K5280" s="373"/>
      <c r="L5280" s="379"/>
      <c r="M5280" s="927">
        <v>2465600000</v>
      </c>
      <c r="N5280" s="295" t="s">
        <v>8</v>
      </c>
      <c r="O5280" s="295" t="s">
        <v>63</v>
      </c>
      <c r="P5280" s="75" t="str">
        <f>IF(AND('331-CT'!$E$7=TH!H4345,OR(N5280="331",O5280="331")),"x","")</f>
        <v/>
      </c>
      <c r="Q5280" s="75" t="str">
        <f>IF(AND(B5280='111'!$L$11,OR($N5280=$Q$7,$O5280=$Q$7)),"x","")</f>
        <v/>
      </c>
      <c r="R5280" s="75" t="str">
        <f>IF(AND($N5280=$Q$7,$B5280&lt;'111'!$L$11),"x","")</f>
        <v/>
      </c>
      <c r="S5280" s="75" t="str">
        <f>IF(AND($O5280=$Q$7,$B5280&lt;'111'!$L$11),"x","")</f>
        <v>x</v>
      </c>
      <c r="T5280" s="75" t="str">
        <f>IF(ISERROR(FIND('112'!$M$9,G5280,1)),"",IF((AND(FIND('112'!$M$9,G5280,1)&gt;=1,B5280='112'!$K$9,OR($N5280='112'!$I$6,$O5280='112'!$I$6))),"x",""))</f>
        <v/>
      </c>
      <c r="U5280" s="75" t="str">
        <f>IF(ISERROR(FIND('112'!$M$9,G5280,1)),"",IF((AND(LEFT(G5280,2)=LEFT('112'!$M$9,2),B5280&lt;'112'!$K$9,$N5280='112'!$I$6)),"x",""))</f>
        <v/>
      </c>
      <c r="V5280" s="75" t="str">
        <f>IF(ISERROR(FIND('112'!$M$9,G5280,1)),"",IF((AND(RIGHT(G5280,2)=RIGHT('112'!$M$9,2),B5280&lt;'112'!$K$9,$O5280='112'!$I$6)),"x",""))</f>
        <v/>
      </c>
      <c r="W5280" s="75" t="str">
        <f>IF(AND('341-CT'!$H$9=H5280,OR(LEFT(N5280,3)=$W$7,LEFT(O5280,3)=$W$7)),"x","")</f>
        <v/>
      </c>
      <c r="X5280" s="75" t="str">
        <f>IF(OR(TH!N4345=TH!$X$7,O5280=TH!$X$7),"x","")</f>
        <v/>
      </c>
      <c r="Y5280" s="75" t="str">
        <f>IF(AND(OR(N5280="131",O5280="131"),H5280='131-CT'!$H$9),"x","")</f>
        <v/>
      </c>
      <c r="Z5280" s="75"/>
      <c r="AA5280" s="75" t="str">
        <f>IF(AND(MONTH(E5280)='IN-NX'!$J$5,'IN-NX'!$D$7=D5280),"x","")</f>
        <v/>
      </c>
      <c r="AB5280" s="75" t="str">
        <f>IF(AND(OR(LEFT(TH!N4345,2)="15",LEFT(TH!O4345,2)="15"),LEFT(TH!O4345,3)&lt;&gt;"111",'152-CT'!$J$8=TH!F4345),"x","")</f>
        <v/>
      </c>
      <c r="AC5280" s="75" t="str">
        <f>IF(AND(OR(LEFT(TH!N4345,2)="15",LEFT(TH!O4345,2)="15"),TK!$E$7=TH!F4345),"x","")</f>
        <v/>
      </c>
      <c r="AD5280" s="75" t="str">
        <f>IF(AND(N5280="1521",MONTH(C5280)='BK-NL'!$M$11),"x","")</f>
        <v/>
      </c>
    </row>
    <row r="5281" spans="1:33" ht="16.5" customHeight="1">
      <c r="A5281" s="309" t="str">
        <f>IF(B5281&lt;&gt;"",IF(AND(B5281='IN-TC'!$S$4,OR(TH!N5269="1111",TH!O5269="1111")),TH!D5269,""),"")</f>
        <v/>
      </c>
      <c r="B5281" s="1243">
        <f t="shared" si="1350"/>
        <v>10</v>
      </c>
      <c r="C5281" s="292">
        <f t="shared" si="1349"/>
        <v>43039</v>
      </c>
      <c r="D5281" s="292"/>
      <c r="E5281" s="292">
        <v>43039</v>
      </c>
      <c r="F5281" s="1010" t="s">
        <v>1883</v>
      </c>
      <c r="G5281" s="925"/>
      <c r="H5281" s="311"/>
      <c r="I5281" s="373"/>
      <c r="J5281" s="926"/>
      <c r="K5281" s="373"/>
      <c r="L5281" s="379"/>
      <c r="M5281" s="927">
        <v>550000</v>
      </c>
      <c r="N5281" s="295" t="s">
        <v>101</v>
      </c>
      <c r="O5281" s="295" t="s">
        <v>63</v>
      </c>
      <c r="P5281" s="75" t="str">
        <f>IF(AND('331-CT'!$E$7=TH!H4346,OR(N5281="331",O5281="331")),"x","")</f>
        <v/>
      </c>
      <c r="Q5281" s="75" t="str">
        <f>IF(AND(B5281='111'!$L$11,OR($N5281=$Q$7,$O5281=$Q$7)),"x","")</f>
        <v/>
      </c>
      <c r="R5281" s="75" t="str">
        <f>IF(AND($N5281=$Q$7,$B5281&lt;'111'!$L$11),"x","")</f>
        <v/>
      </c>
      <c r="S5281" s="75" t="str">
        <f>IF(AND($O5281=$Q$7,$B5281&lt;'111'!$L$11),"x","")</f>
        <v>x</v>
      </c>
      <c r="T5281" s="75" t="str">
        <f>IF(ISERROR(FIND('112'!$M$9,G5281,1)),"",IF((AND(FIND('112'!$M$9,G5281,1)&gt;=1,B5281='112'!$K$9,OR($N5281='112'!$I$6,$O5281='112'!$I$6))),"x",""))</f>
        <v/>
      </c>
      <c r="U5281" s="75" t="str">
        <f>IF(ISERROR(FIND('112'!$M$9,G5281,1)),"",IF((AND(LEFT(G5281,2)=LEFT('112'!$M$9,2),B5281&lt;'112'!$K$9,$N5281='112'!$I$6)),"x",""))</f>
        <v/>
      </c>
      <c r="V5281" s="75" t="str">
        <f>IF(ISERROR(FIND('112'!$M$9,G5281,1)),"",IF((AND(RIGHT(G5281,2)=RIGHT('112'!$M$9,2),B5281&lt;'112'!$K$9,$O5281='112'!$I$6)),"x",""))</f>
        <v/>
      </c>
      <c r="W5281" s="75" t="str">
        <f>IF(AND('341-CT'!$H$9=H5281,OR(LEFT(N5281,3)=$W$7,LEFT(O5281,3)=$W$7)),"x","")</f>
        <v/>
      </c>
      <c r="X5281" s="75" t="str">
        <f>IF(OR(TH!N4346=TH!$X$7,O5281=TH!$X$7),"x","")</f>
        <v/>
      </c>
      <c r="Y5281" s="75" t="str">
        <f>IF(AND(OR(N5281="131",O5281="131"),H5281='131-CT'!$H$9),"x","")</f>
        <v/>
      </c>
      <c r="Z5281" s="75"/>
      <c r="AA5281" s="75" t="str">
        <f>IF(AND(MONTH(E5281)='IN-NX'!$J$5,'IN-NX'!$D$7=D5281),"x","")</f>
        <v/>
      </c>
      <c r="AB5281" s="75" t="str">
        <f>IF(AND(OR(LEFT(TH!N4346,2)="15",LEFT(TH!O4346,2)="15"),LEFT(TH!O4346,3)&lt;&gt;"111",'152-CT'!$J$8=TH!F4346),"x","")</f>
        <v/>
      </c>
      <c r="AC5281" s="75" t="str">
        <f>IF(AND(OR(LEFT(TH!N4346,2)="15",LEFT(TH!O4346,2)="15"),TK!$E$7=TH!F4346),"x","")</f>
        <v/>
      </c>
      <c r="AD5281" s="75" t="str">
        <f>IF(AND(N5281="1521",MONTH(C5281)='BK-NL'!$M$11),"x","")</f>
        <v/>
      </c>
    </row>
    <row r="5282" spans="1:33" ht="16.5" customHeight="1">
      <c r="A5282" s="309" t="str">
        <f>IF(B5282&lt;&gt;"",IF(AND(B5282='IN-TC'!$S$4,OR(TH!N5711="1111",TH!O5711="1111")),TH!D5711,""),"")</f>
        <v/>
      </c>
      <c r="B5282" s="1339">
        <f t="shared" si="1350"/>
        <v>10</v>
      </c>
      <c r="C5282" s="292">
        <f t="shared" si="1349"/>
        <v>43039</v>
      </c>
      <c r="D5282" s="71"/>
      <c r="E5282" s="71">
        <v>43039</v>
      </c>
      <c r="F5282" s="72" t="s">
        <v>3010</v>
      </c>
      <c r="G5282" s="72" t="s">
        <v>1899</v>
      </c>
      <c r="H5282" s="73" t="s">
        <v>1879</v>
      </c>
      <c r="I5282" s="371"/>
      <c r="J5282" s="378"/>
      <c r="K5282" s="371"/>
      <c r="L5282" s="377"/>
      <c r="M5282" s="74">
        <v>92555400</v>
      </c>
      <c r="N5282" s="75" t="s">
        <v>63</v>
      </c>
      <c r="O5282" s="75" t="s">
        <v>262</v>
      </c>
      <c r="P5282" s="75" t="str">
        <f>IF(AND('331-CT'!$E$7=TH!H5711,OR(N5282="331",O5282="331")),"x","")</f>
        <v/>
      </c>
      <c r="Q5282" s="75" t="str">
        <f>IF(AND(B5282='111'!$L$11,OR($N5282=$Q$7,$O5282=$Q$7)),"x","")</f>
        <v/>
      </c>
      <c r="R5282" s="75" t="str">
        <f>IF(AND($N5282=$Q$7,$B5282&lt;'111'!$L$11),"x","")</f>
        <v>x</v>
      </c>
      <c r="S5282" s="75" t="str">
        <f>IF(AND($O5282=$Q$7,$B5282&lt;'111'!$L$11),"x","")</f>
        <v/>
      </c>
      <c r="T5282" s="75" t="str">
        <f>IF(ISERROR(FIND('112'!$M$9,G5282,1)),"",IF((AND(FIND('112'!$M$9,G5282,1)&gt;=1,B5282='112'!$K$9,OR($N5282='112'!$I$6,$O5282='112'!$I$6))),"x",""))</f>
        <v/>
      </c>
      <c r="U5282" s="75" t="str">
        <f>IF(ISERROR(FIND('112'!$M$9,G5282,1)),"",IF((AND(LEFT(G5282,2)=LEFT('112'!$M$9,2),B5282&lt;'112'!$K$9,$N5282='112'!$I$6)),"x",""))</f>
        <v/>
      </c>
      <c r="V5282" s="75" t="str">
        <f>IF(ISERROR(FIND('112'!$M$9,G5282,1)),"",IF((AND(RIGHT(G5282,2)=RIGHT('112'!$M$9,2),B5282&lt;'112'!$K$9,$O5282='112'!$I$6)),"x",""))</f>
        <v/>
      </c>
      <c r="W5282" s="75" t="str">
        <f>IF(AND('341-CT'!$H$9=H5282,OR(LEFT(N5282,3)=$W$7,LEFT(O5282,3)=$W$7)),"x","")</f>
        <v/>
      </c>
      <c r="X5282" s="75" t="str">
        <f>IF(OR(TH!N5711=TH!$X$7,O5282=TH!$X$7),"x","")</f>
        <v>x</v>
      </c>
      <c r="Y5282" s="75" t="str">
        <f>IF(AND(OR(N5282="131",O5282="131"),H5282='131-CT'!$H$9),"x","")</f>
        <v/>
      </c>
      <c r="Z5282" s="75"/>
      <c r="AA5282" s="75" t="str">
        <f>IF(AND(MONTH(E5282)='IN-NX'!$J$5,'IN-NX'!$D$7=D5282),"x","")</f>
        <v/>
      </c>
      <c r="AB5282" s="75" t="str">
        <f>IF(AND(OR(LEFT(TH!N5711,2)="15",LEFT(TH!O5711,2)="15"),LEFT(TH!O5711,3)&lt;&gt;"111",'152-CT'!$J$8=TH!F5711),"x","")</f>
        <v/>
      </c>
      <c r="AC5282" s="75" t="str">
        <f>IF(AND(OR(LEFT(TH!N5711,2)="15",LEFT(TH!O5711,2)="15"),TK!$E$7=TH!F5711),"x","")</f>
        <v/>
      </c>
      <c r="AD5282" s="75" t="str">
        <f>IF(AND(N5282="1521",MONTH(C5282)='BK-NL'!$M$11),"x","")</f>
        <v/>
      </c>
      <c r="AE5282" s="1264"/>
      <c r="AF5282" s="1264"/>
      <c r="AG5282" s="1264"/>
    </row>
    <row r="5283" spans="1:33" ht="16.5" customHeight="1">
      <c r="A5283" s="309" t="str">
        <f>IF(B5283&lt;&gt;"",IF(AND(B5283='IN-TC'!$S$4,OR(TH!N5270="1111",TH!O5270="1111")),TH!D5270,""),"")</f>
        <v/>
      </c>
      <c r="B5283" s="1245">
        <f t="shared" si="1350"/>
        <v>11</v>
      </c>
      <c r="C5283" s="292">
        <f t="shared" si="1349"/>
        <v>43041</v>
      </c>
      <c r="D5283" s="59" t="s">
        <v>902</v>
      </c>
      <c r="E5283" s="59">
        <v>43041</v>
      </c>
      <c r="F5283" s="62" t="s">
        <v>1307</v>
      </c>
      <c r="G5283" s="62" t="s">
        <v>747</v>
      </c>
      <c r="H5283" s="67" t="s">
        <v>759</v>
      </c>
      <c r="I5283" s="373"/>
      <c r="J5283" s="382"/>
      <c r="K5283" s="373"/>
      <c r="L5283" s="379"/>
      <c r="M5283" s="60">
        <v>2502500</v>
      </c>
      <c r="N5283" s="61" t="s">
        <v>101</v>
      </c>
      <c r="O5283" s="61" t="s">
        <v>26</v>
      </c>
      <c r="P5283" s="75" t="str">
        <f>IF(AND('331-CT'!$E$7=TH!H5561,OR(N5283="331",O5283="331")),"x","")</f>
        <v/>
      </c>
      <c r="Q5283" s="75" t="str">
        <f>IF(AND(B5283='111'!$L$11,OR($N5283=$Q$7,$O5283=$Q$7)),"x","")</f>
        <v/>
      </c>
      <c r="R5283" s="75" t="str">
        <f>IF(AND($N5283=$Q$7,$B5283&lt;'111'!$L$11),"x","")</f>
        <v/>
      </c>
      <c r="S5283" s="75" t="str">
        <f>IF(AND($O5283=$Q$7,$B5283&lt;'111'!$L$11),"x","")</f>
        <v/>
      </c>
      <c r="T5283" s="75" t="str">
        <f>IF(ISERROR(FIND('112'!$M$9,G5283,1)),"",IF((AND(FIND('112'!$M$9,G5283,1)&gt;=1,B5283='112'!$K$9,OR($N5283='112'!$I$6,$O5283='112'!$I$6))),"x",""))</f>
        <v/>
      </c>
      <c r="U5283" s="75" t="str">
        <f>IF(ISERROR(FIND('112'!$M$9,G5283,1)),"",IF((AND(LEFT(G5283,2)=LEFT('112'!$M$9,2),B5283&lt;'112'!$K$9,$N5283='112'!$I$6)),"x",""))</f>
        <v/>
      </c>
      <c r="V5283" s="75" t="str">
        <f>IF(ISERROR(FIND('112'!$M$9,G5283,1)),"",IF((AND(RIGHT(G5283,2)=RIGHT('112'!$M$9,2),B5283&lt;'112'!$K$9,$O5283='112'!$I$6)),"x",""))</f>
        <v/>
      </c>
      <c r="W5283" s="75" t="str">
        <f>IF(AND('341-CT'!$H$9=H5283,OR(LEFT(N5283,3)=$W$7,LEFT(O5283,3)=$W$7)),"x","")</f>
        <v/>
      </c>
      <c r="X5283" s="75" t="str">
        <f>IF(OR(TH!N5561=TH!$X$7,O5283=TH!$X$7),"x","")</f>
        <v/>
      </c>
      <c r="Y5283" s="75" t="str">
        <f>IF(AND(OR(N5283="131",O5283="131"),H5283='131-CT'!$H$9),"x","")</f>
        <v/>
      </c>
      <c r="Z5283" s="75"/>
      <c r="AA5283" s="75" t="str">
        <f>IF(AND(MONTH(E5283)='IN-NX'!$J$5,'IN-NX'!$D$7=D5283),"x","")</f>
        <v/>
      </c>
      <c r="AB5283" s="75" t="str">
        <f>IF(AND(OR(LEFT(TH!N5561,2)="15",LEFT(TH!O5561,2)="15"),LEFT(TH!O5561,3)&lt;&gt;"111",'152-CT'!$J$8=TH!F5561),"x","")</f>
        <v/>
      </c>
      <c r="AC5283" s="75" t="str">
        <f>IF(AND(OR(LEFT(TH!N5561,2)="15",LEFT(TH!O5561,2)="15"),TK!$E$7=TH!F5561),"x","")</f>
        <v/>
      </c>
      <c r="AD5283" s="75" t="str">
        <f>IF(AND(N5283="1521",MONTH(C5283)='BK-NL'!$M$11),"x","")</f>
        <v/>
      </c>
    </row>
    <row r="5284" spans="1:33" ht="16.5" customHeight="1">
      <c r="A5284" s="309" t="str">
        <f>IF(B5284&lt;&gt;"",IF(AND(B5284='IN-TC'!$S$4,OR(TH!N5271="1111",TH!O5271="1111")),TH!D5271,""),"")</f>
        <v/>
      </c>
      <c r="B5284" s="1245">
        <f t="shared" si="1350"/>
        <v>11</v>
      </c>
      <c r="C5284" s="292">
        <f t="shared" si="1349"/>
        <v>43042</v>
      </c>
      <c r="D5284" s="59"/>
      <c r="E5284" s="59">
        <v>43042</v>
      </c>
      <c r="F5284" s="62" t="s">
        <v>221</v>
      </c>
      <c r="G5284" s="742" t="s">
        <v>2624</v>
      </c>
      <c r="H5284" s="67" t="s">
        <v>556</v>
      </c>
      <c r="I5284" s="375"/>
      <c r="J5284" s="382"/>
      <c r="K5284" s="375"/>
      <c r="L5284" s="381"/>
      <c r="M5284" s="60">
        <v>11386364</v>
      </c>
      <c r="N5284" s="61" t="s">
        <v>272</v>
      </c>
      <c r="O5284" s="61" t="s">
        <v>63</v>
      </c>
      <c r="P5284" s="75" t="str">
        <f>IF(AND('331-CT'!$E$7=TH!H4080,OR(N5284="331",O5284="331")),"x","")</f>
        <v/>
      </c>
      <c r="Q5284" s="75" t="str">
        <f>IF(AND(B5284='111'!$L$11,OR($N5284=$Q$7,$O5284=$Q$7)),"x","")</f>
        <v/>
      </c>
      <c r="R5284" s="75" t="str">
        <f>IF(AND($N5284=$Q$7,$B5284&lt;'111'!$L$11),"x","")</f>
        <v/>
      </c>
      <c r="S5284" s="75" t="str">
        <f>IF(AND($O5284=$Q$7,$B5284&lt;'111'!$L$11),"x","")</f>
        <v>x</v>
      </c>
      <c r="T5284" s="75" t="str">
        <f>IF(ISERROR(FIND('112'!$M$9,G5284,1)),"",IF((AND(FIND('112'!$M$9,G5284,1)&gt;=1,B5284='112'!$K$9,OR($N5284='112'!$I$6,$O5284='112'!$I$6))),"x",""))</f>
        <v/>
      </c>
      <c r="U5284" s="75" t="str">
        <f>IF(ISERROR(FIND('112'!$M$9,G5284,1)),"",IF((AND(LEFT(G5284,2)=LEFT('112'!$M$9,2),B5284&lt;'112'!$K$9,$N5284='112'!$I$6)),"x",""))</f>
        <v/>
      </c>
      <c r="V5284" s="75" t="str">
        <f>IF(ISERROR(FIND('112'!$M$9,G5284,1)),"",IF((AND(RIGHT(G5284,2)=RIGHT('112'!$M$9,2),B5284&lt;'112'!$K$9,$O5284='112'!$I$6)),"x",""))</f>
        <v/>
      </c>
      <c r="W5284" s="75" t="str">
        <f>IF(AND('341-CT'!$H$9=H5284,OR(LEFT(N5284,3)=$W$7,LEFT(O5284,3)=$W$7)),"x","")</f>
        <v/>
      </c>
      <c r="X5284" s="75" t="str">
        <f>IF(OR(TH!N4080=TH!$X$7,O5284=TH!$X$7),"x","")</f>
        <v/>
      </c>
      <c r="Y5284" s="75" t="str">
        <f>IF(AND(OR(N5284="131",O5284="131"),H5284='131-CT'!$H$9),"x","")</f>
        <v/>
      </c>
      <c r="Z5284" s="75"/>
      <c r="AA5284" s="75" t="str">
        <f>IF(AND(MONTH(E5284)='IN-NX'!$J$5,'IN-NX'!$D$7=D5284),"x","")</f>
        <v/>
      </c>
      <c r="AB5284" s="75" t="str">
        <f>IF(AND(OR(LEFT(TH!N4080,2)="15",LEFT(TH!O4080,2)="15"),LEFT(TH!O4080,3)&lt;&gt;"111",'152-CT'!$J$8=TH!F4080),"x","")</f>
        <v/>
      </c>
      <c r="AC5284" s="75" t="str">
        <f>IF(AND(OR(LEFT(TH!N4080,2)="15",LEFT(TH!O4080,2)="15"),TK!$E$7=TH!F4080),"x","")</f>
        <v/>
      </c>
      <c r="AD5284" s="75" t="str">
        <f>IF(AND(N5284="1521",MONTH(C5284)='BK-NL'!$M$11),"x","")</f>
        <v/>
      </c>
      <c r="AE5284">
        <v>11</v>
      </c>
    </row>
    <row r="5285" spans="1:33" ht="16.5" customHeight="1">
      <c r="A5285" s="309" t="str">
        <f>IF(B5285&lt;&gt;"",IF(AND(B5285='IN-TC'!$S$4,OR(TH!N5272="1111",TH!O5272="1111")),TH!D5272,""),"")</f>
        <v/>
      </c>
      <c r="B5285" s="1245">
        <f t="shared" si="1350"/>
        <v>11</v>
      </c>
      <c r="C5285" s="292">
        <f t="shared" si="1349"/>
        <v>43042</v>
      </c>
      <c r="D5285" s="59"/>
      <c r="E5285" s="59">
        <v>43042</v>
      </c>
      <c r="F5285" s="62" t="s">
        <v>943</v>
      </c>
      <c r="G5285" s="742" t="s">
        <v>2624</v>
      </c>
      <c r="H5285" s="67" t="s">
        <v>556</v>
      </c>
      <c r="I5285" s="375"/>
      <c r="J5285" s="382"/>
      <c r="K5285" s="375"/>
      <c r="L5285" s="381"/>
      <c r="M5285" s="60">
        <v>1138636</v>
      </c>
      <c r="N5285" s="61" t="s">
        <v>9</v>
      </c>
      <c r="O5285" s="61" t="s">
        <v>63</v>
      </c>
      <c r="P5285" s="75" t="str">
        <f>IF(AND('331-CT'!$E$7=TH!H4081,OR(N5285="331",O5285="331")),"x","")</f>
        <v/>
      </c>
      <c r="Q5285" s="75" t="str">
        <f>IF(AND(B5285='111'!$L$11,OR($N5285=$Q$7,$O5285=$Q$7)),"x","")</f>
        <v/>
      </c>
      <c r="R5285" s="75" t="str">
        <f>IF(AND($N5285=$Q$7,$B5285&lt;'111'!$L$11),"x","")</f>
        <v/>
      </c>
      <c r="S5285" s="75" t="str">
        <f>IF(AND($O5285=$Q$7,$B5285&lt;'111'!$L$11),"x","")</f>
        <v>x</v>
      </c>
      <c r="T5285" s="75" t="str">
        <f>IF(ISERROR(FIND('112'!$M$9,G5285,1)),"",IF((AND(FIND('112'!$M$9,G5285,1)&gt;=1,B5285='112'!$K$9,OR($N5285='112'!$I$6,$O5285='112'!$I$6))),"x",""))</f>
        <v/>
      </c>
      <c r="U5285" s="75" t="str">
        <f>IF(ISERROR(FIND('112'!$M$9,G5285,1)),"",IF((AND(LEFT(G5285,2)=LEFT('112'!$M$9,2),B5285&lt;'112'!$K$9,$N5285='112'!$I$6)),"x",""))</f>
        <v/>
      </c>
      <c r="V5285" s="75" t="str">
        <f>IF(ISERROR(FIND('112'!$M$9,G5285,1)),"",IF((AND(RIGHT(G5285,2)=RIGHT('112'!$M$9,2),B5285&lt;'112'!$K$9,$O5285='112'!$I$6)),"x",""))</f>
        <v/>
      </c>
      <c r="W5285" s="75" t="str">
        <f>IF(AND('341-CT'!$H$9=H5285,OR(LEFT(N5285,3)=$W$7,LEFT(O5285,3)=$W$7)),"x","")</f>
        <v/>
      </c>
      <c r="X5285" s="75" t="str">
        <f>IF(OR(TH!N4081=TH!$X$7,O5285=TH!$X$7),"x","")</f>
        <v/>
      </c>
      <c r="Y5285" s="75" t="str">
        <f>IF(AND(OR(N5285="131",O5285="131"),H5285='131-CT'!$H$9),"x","")</f>
        <v/>
      </c>
      <c r="Z5285" s="75"/>
      <c r="AA5285" s="75" t="str">
        <f>IF(AND(MONTH(E5285)='IN-NX'!$J$5,'IN-NX'!$D$7=D5285),"x","")</f>
        <v/>
      </c>
      <c r="AB5285" s="75" t="str">
        <f>IF(AND(OR(LEFT(TH!N4081,2)="15",LEFT(TH!O4081,2)="15"),LEFT(TH!O4081,3)&lt;&gt;"111",'152-CT'!$J$8=TH!F4081),"x","")</f>
        <v/>
      </c>
      <c r="AC5285" s="75" t="str">
        <f>IF(AND(OR(LEFT(TH!N4081,2)="15",LEFT(TH!O4081,2)="15"),TK!$E$7=TH!F4081),"x","")</f>
        <v/>
      </c>
      <c r="AD5285" s="75" t="str">
        <f>IF(AND(N5285="1521",MONTH(C5285)='BK-NL'!$M$11),"x","")</f>
        <v/>
      </c>
      <c r="AE5285">
        <v>11</v>
      </c>
    </row>
    <row r="5286" spans="1:33" ht="16.5" customHeight="1">
      <c r="A5286" s="309" t="str">
        <f>IF(B5286&lt;&gt;"",IF(AND(B5286='IN-TC'!$S$4,OR(TH!N5273="1111",TH!O5273="1111")),TH!D5273,""),"")</f>
        <v/>
      </c>
      <c r="B5286" s="1245">
        <f t="shared" si="1350"/>
        <v>11</v>
      </c>
      <c r="C5286" s="292">
        <f t="shared" si="1349"/>
        <v>43042</v>
      </c>
      <c r="D5286" s="59" t="s">
        <v>902</v>
      </c>
      <c r="E5286" s="59">
        <v>43042</v>
      </c>
      <c r="F5286" s="62" t="s">
        <v>2797</v>
      </c>
      <c r="G5286" s="62" t="s">
        <v>747</v>
      </c>
      <c r="H5286" s="311" t="s">
        <v>2552</v>
      </c>
      <c r="I5286" s="373"/>
      <c r="J5286" s="382"/>
      <c r="K5286" s="373">
        <v>68400</v>
      </c>
      <c r="L5286" s="379">
        <v>22702</v>
      </c>
      <c r="M5286" s="60">
        <f>K5286*L5286</f>
        <v>1552816800</v>
      </c>
      <c r="N5286" s="61" t="s">
        <v>26</v>
      </c>
      <c r="O5286" s="61" t="s">
        <v>250</v>
      </c>
      <c r="P5286" s="75" t="str">
        <f>IF(AND('331-CT'!$E$7=TH!H5562,OR(N5286="331",O5286="331")),"x","")</f>
        <v/>
      </c>
      <c r="Q5286" s="75" t="str">
        <f>IF(AND(B5286='111'!$L$11,OR($N5286=$Q$7,$O5286=$Q$7)),"x","")</f>
        <v/>
      </c>
      <c r="R5286" s="75" t="str">
        <f>IF(AND($N5286=$Q$7,$B5286&lt;'111'!$L$11),"x","")</f>
        <v/>
      </c>
      <c r="S5286" s="75" t="str">
        <f>IF(AND($O5286=$Q$7,$B5286&lt;'111'!$L$11),"x","")</f>
        <v/>
      </c>
      <c r="T5286" s="75" t="str">
        <f>IF(ISERROR(FIND('112'!$M$9,G5286,1)),"",IF((AND(FIND('112'!$M$9,G5286,1)&gt;=1,B5286='112'!$K$9,OR($N5286='112'!$I$6,$O5286='112'!$I$6))),"x",""))</f>
        <v/>
      </c>
      <c r="U5286" s="75" t="str">
        <f>IF(ISERROR(FIND('112'!$M$9,G5286,1)),"",IF((AND(LEFT(G5286,2)=LEFT('112'!$M$9,2),B5286&lt;'112'!$K$9,$N5286='112'!$I$6)),"x",""))</f>
        <v/>
      </c>
      <c r="V5286" s="75" t="str">
        <f>IF(ISERROR(FIND('112'!$M$9,G5286,1)),"",IF((AND(RIGHT(G5286,2)=RIGHT('112'!$M$9,2),B5286&lt;'112'!$K$9,$O5286='112'!$I$6)),"x",""))</f>
        <v/>
      </c>
      <c r="W5286" s="75" t="str">
        <f>IF(AND('341-CT'!$H$9=H5286,OR(LEFT(N5286,3)=$W$7,LEFT(O5286,3)=$W$7)),"x","")</f>
        <v/>
      </c>
      <c r="X5286" s="75" t="str">
        <f>IF(OR(TH!N5562=TH!$X$7,O5286=TH!$X$7),"x","")</f>
        <v/>
      </c>
      <c r="Y5286" s="75" t="str">
        <f>IF(AND(OR(N5286="131",O5286="131"),H5286='131-CT'!$H$9),"x","")</f>
        <v/>
      </c>
      <c r="Z5286" s="75"/>
      <c r="AA5286" s="75" t="str">
        <f>IF(AND(MONTH(E5286)='IN-NX'!$J$5,'IN-NX'!$D$7=D5286),"x","")</f>
        <v/>
      </c>
      <c r="AB5286" s="75" t="str">
        <f>IF(AND(OR(LEFT(TH!N5562,2)="15",LEFT(TH!O5562,2)="15"),LEFT(TH!O5562,3)&lt;&gt;"111",'152-CT'!$J$8=TH!F5562),"x","")</f>
        <v/>
      </c>
      <c r="AC5286" s="75" t="str">
        <f>IF(AND(OR(LEFT(TH!N5562,2)="15",LEFT(TH!O5562,2)="15"),TK!$E$7=TH!F5562),"x","")</f>
        <v/>
      </c>
      <c r="AD5286" s="75" t="str">
        <f>IF(AND(N5286="1521",MONTH(C5286)='BK-NL'!$M$11),"x","")</f>
        <v/>
      </c>
      <c r="AE5286" s="304"/>
      <c r="AF5286" s="304"/>
      <c r="AG5286" s="304"/>
    </row>
    <row r="5287" spans="1:33" ht="16.5" customHeight="1">
      <c r="A5287" s="309" t="str">
        <f>IF(B5287&lt;&gt;"",IF(AND(B5287='IN-TC'!$S$4,OR(TH!N5274="1111",TH!O5274="1111")),TH!D5274,""),"")</f>
        <v/>
      </c>
      <c r="B5287" s="1245">
        <f t="shared" si="1350"/>
        <v>11</v>
      </c>
      <c r="C5287" s="292">
        <f t="shared" si="1349"/>
        <v>43042</v>
      </c>
      <c r="D5287" s="59" t="s">
        <v>833</v>
      </c>
      <c r="E5287" s="59">
        <v>43042</v>
      </c>
      <c r="F5287" s="62" t="s">
        <v>834</v>
      </c>
      <c r="G5287" s="62" t="s">
        <v>747</v>
      </c>
      <c r="H5287" s="67" t="s">
        <v>1023</v>
      </c>
      <c r="I5287" s="373"/>
      <c r="J5287" s="382"/>
      <c r="K5287" s="373"/>
      <c r="L5287" s="379"/>
      <c r="M5287" s="60">
        <v>800000000</v>
      </c>
      <c r="N5287" s="61" t="s">
        <v>63</v>
      </c>
      <c r="O5287" s="61" t="s">
        <v>26</v>
      </c>
      <c r="P5287" s="75" t="str">
        <f>IF(AND('331-CT'!$E$7=TH!H5563,OR(N5287="331",O5287="331")),"x","")</f>
        <v/>
      </c>
      <c r="Q5287" s="75" t="str">
        <f>IF(AND(B5287='111'!$L$11,OR($N5287=$Q$7,$O5287=$Q$7)),"x","")</f>
        <v/>
      </c>
      <c r="R5287" s="75" t="str">
        <f>IF(AND($N5287=$Q$7,$B5287&lt;'111'!$L$11),"x","")</f>
        <v>x</v>
      </c>
      <c r="S5287" s="75" t="str">
        <f>IF(AND($O5287=$Q$7,$B5287&lt;'111'!$L$11),"x","")</f>
        <v/>
      </c>
      <c r="T5287" s="75" t="str">
        <f>IF(ISERROR(FIND('112'!$M$9,G5287,1)),"",IF((AND(FIND('112'!$M$9,G5287,1)&gt;=1,B5287='112'!$K$9,OR($N5287='112'!$I$6,$O5287='112'!$I$6))),"x",""))</f>
        <v/>
      </c>
      <c r="U5287" s="75" t="str">
        <f>IF(ISERROR(FIND('112'!$M$9,G5287,1)),"",IF((AND(LEFT(G5287,2)=LEFT('112'!$M$9,2),B5287&lt;'112'!$K$9,$N5287='112'!$I$6)),"x",""))</f>
        <v/>
      </c>
      <c r="V5287" s="75" t="str">
        <f>IF(ISERROR(FIND('112'!$M$9,G5287,1)),"",IF((AND(RIGHT(G5287,2)=RIGHT('112'!$M$9,2),B5287&lt;'112'!$K$9,$O5287='112'!$I$6)),"x",""))</f>
        <v/>
      </c>
      <c r="W5287" s="75" t="str">
        <f>IF(AND('341-CT'!$H$9=H5287,OR(LEFT(N5287,3)=$W$7,LEFT(O5287,3)=$W$7)),"x","")</f>
        <v/>
      </c>
      <c r="X5287" s="75" t="str">
        <f>IF(OR(TH!N5563=TH!$X$7,O5287=TH!$X$7),"x","")</f>
        <v/>
      </c>
      <c r="Y5287" s="75" t="str">
        <f>IF(AND(OR(N5287="131",O5287="131"),H5287='131-CT'!$H$9),"x","")</f>
        <v/>
      </c>
      <c r="Z5287" s="75"/>
      <c r="AA5287" s="75" t="str">
        <f>IF(AND(MONTH(E5287)='IN-NX'!$J$5,'IN-NX'!$D$7=D5287),"x","")</f>
        <v/>
      </c>
      <c r="AB5287" s="75" t="str">
        <f>IF(AND(OR(LEFT(TH!N5563,2)="15",LEFT(TH!O5563,2)="15"),LEFT(TH!O5563,3)&lt;&gt;"111",'152-CT'!$J$8=TH!F5563),"x","")</f>
        <v/>
      </c>
      <c r="AC5287" s="75" t="str">
        <f>IF(AND(OR(LEFT(TH!N5563,2)="15",LEFT(TH!O5563,2)="15"),TK!$E$7=TH!F5563),"x","")</f>
        <v/>
      </c>
      <c r="AD5287" s="75" t="str">
        <f>IF(AND(N5287="1521",MONTH(C5287)='BK-NL'!$M$11),"x","")</f>
        <v/>
      </c>
    </row>
    <row r="5288" spans="1:33" ht="16.5" customHeight="1">
      <c r="A5288" s="309" t="str">
        <f>IF(B5288&lt;&gt;"",IF(AND(B5288='IN-TC'!$S$4,OR(TH!N5275="1111",TH!O5275="1111")),TH!D5275,""),"")</f>
        <v/>
      </c>
      <c r="B5288" s="1245">
        <f t="shared" si="1350"/>
        <v>11</v>
      </c>
      <c r="C5288" s="292">
        <f t="shared" si="1349"/>
        <v>43042</v>
      </c>
      <c r="D5288" s="292" t="s">
        <v>902</v>
      </c>
      <c r="E5288" s="292">
        <v>43042</v>
      </c>
      <c r="F5288" s="293" t="s">
        <v>1549</v>
      </c>
      <c r="G5288" s="293" t="s">
        <v>747</v>
      </c>
      <c r="H5288" s="294" t="s">
        <v>835</v>
      </c>
      <c r="I5288" s="373"/>
      <c r="J5288" s="382"/>
      <c r="K5288" s="373"/>
      <c r="L5288" s="379"/>
      <c r="M5288" s="60">
        <v>113750</v>
      </c>
      <c r="N5288" s="295" t="s">
        <v>101</v>
      </c>
      <c r="O5288" s="295" t="s">
        <v>26</v>
      </c>
      <c r="P5288" s="75" t="str">
        <f>IF(AND('331-CT'!$E$7=TH!H5564,OR(N5288="331",O5288="331")),"x","")</f>
        <v/>
      </c>
      <c r="Q5288" s="75" t="str">
        <f>IF(AND(B5288='111'!$L$11,OR($N5288=$Q$7,$O5288=$Q$7)),"x","")</f>
        <v/>
      </c>
      <c r="R5288" s="75" t="str">
        <f>IF(AND($N5288=$Q$7,$B5288&lt;'111'!$L$11),"x","")</f>
        <v/>
      </c>
      <c r="S5288" s="75" t="str">
        <f>IF(AND($O5288=$Q$7,$B5288&lt;'111'!$L$11),"x","")</f>
        <v/>
      </c>
      <c r="T5288" s="75" t="str">
        <f>IF(ISERROR(FIND('112'!$M$9,G5288,1)),"",IF((AND(FIND('112'!$M$9,G5288,1)&gt;=1,B5288='112'!$K$9,OR($N5288='112'!$I$6,$O5288='112'!$I$6))),"x",""))</f>
        <v/>
      </c>
      <c r="U5288" s="75" t="str">
        <f>IF(ISERROR(FIND('112'!$M$9,G5288,1)),"",IF((AND(LEFT(G5288,2)=LEFT('112'!$M$9,2),B5288&lt;'112'!$K$9,$N5288='112'!$I$6)),"x",""))</f>
        <v/>
      </c>
      <c r="V5288" s="75" t="str">
        <f>IF(ISERROR(FIND('112'!$M$9,G5288,1)),"",IF((AND(RIGHT(G5288,2)=RIGHT('112'!$M$9,2),B5288&lt;'112'!$K$9,$O5288='112'!$I$6)),"x",""))</f>
        <v/>
      </c>
      <c r="W5288" s="75" t="str">
        <f>IF(AND('341-CT'!$H$9=H5288,OR(LEFT(N5288,3)=$W$7,LEFT(O5288,3)=$W$7)),"x","")</f>
        <v/>
      </c>
      <c r="X5288" s="75" t="str">
        <f>IF(OR(TH!N5564=TH!$X$7,O5288=TH!$X$7),"x","")</f>
        <v/>
      </c>
      <c r="Y5288" s="75" t="str">
        <f>IF(AND(OR(N5288="131",O5288="131"),H5288='131-CT'!$H$9),"x","")</f>
        <v/>
      </c>
      <c r="Z5288" s="75"/>
      <c r="AA5288" s="75" t="str">
        <f>IF(AND(MONTH(E5288)='IN-NX'!$J$5,'IN-NX'!$D$7=D5288),"x","")</f>
        <v/>
      </c>
      <c r="AB5288" s="75" t="str">
        <f>IF(AND(OR(LEFT(TH!N5564,2)="15",LEFT(TH!O5564,2)="15"),LEFT(TH!O5564,3)&lt;&gt;"111",'152-CT'!$J$8=TH!F5564),"x","")</f>
        <v/>
      </c>
      <c r="AC5288" s="75" t="str">
        <f>IF(AND(OR(LEFT(TH!N5564,2)="15",LEFT(TH!O5564,2)="15"),TK!$E$7=TH!F5564),"x","")</f>
        <v/>
      </c>
      <c r="AD5288" s="75" t="str">
        <f>IF(AND(N5288="1521",MONTH(C5288)='BK-NL'!$M$11),"x","")</f>
        <v/>
      </c>
      <c r="AE5288">
        <v>11</v>
      </c>
    </row>
    <row r="5289" spans="1:33" ht="16.5" customHeight="1">
      <c r="A5289" s="309" t="str">
        <f>IF(B5289&lt;&gt;"",IF(AND(B5289='IN-TC'!$S$4,OR(TH!N5276="1111",TH!O5276="1111")),TH!D5276,""),"")</f>
        <v/>
      </c>
      <c r="B5289" s="1245">
        <f t="shared" si="1350"/>
        <v>11</v>
      </c>
      <c r="C5289" s="292">
        <f t="shared" si="1349"/>
        <v>43042</v>
      </c>
      <c r="D5289" s="292" t="s">
        <v>902</v>
      </c>
      <c r="E5289" s="292">
        <v>43042</v>
      </c>
      <c r="F5289" s="293" t="s">
        <v>1552</v>
      </c>
      <c r="G5289" s="293" t="s">
        <v>747</v>
      </c>
      <c r="H5289" s="294" t="s">
        <v>835</v>
      </c>
      <c r="I5289" s="373"/>
      <c r="J5289" s="382"/>
      <c r="K5289" s="373"/>
      <c r="L5289" s="379"/>
      <c r="M5289" s="60">
        <v>11375</v>
      </c>
      <c r="N5289" s="295" t="s">
        <v>9</v>
      </c>
      <c r="O5289" s="295" t="s">
        <v>26</v>
      </c>
      <c r="P5289" s="75" t="str">
        <f>IF(AND('331-CT'!$E$7=TH!H5565,OR(N5289="331",O5289="331")),"x","")</f>
        <v/>
      </c>
      <c r="Q5289" s="75" t="str">
        <f>IF(AND(B5289='111'!$L$11,OR($N5289=$Q$7,$O5289=$Q$7)),"x","")</f>
        <v/>
      </c>
      <c r="R5289" s="75" t="str">
        <f>IF(AND($N5289=$Q$7,$B5289&lt;'111'!$L$11),"x","")</f>
        <v/>
      </c>
      <c r="S5289" s="75" t="str">
        <f>IF(AND($O5289=$Q$7,$B5289&lt;'111'!$L$11),"x","")</f>
        <v/>
      </c>
      <c r="T5289" s="75" t="str">
        <f>IF(ISERROR(FIND('112'!$M$9,G5289,1)),"",IF((AND(FIND('112'!$M$9,G5289,1)&gt;=1,B5289='112'!$K$9,OR($N5289='112'!$I$6,$O5289='112'!$I$6))),"x",""))</f>
        <v/>
      </c>
      <c r="U5289" s="75" t="str">
        <f>IF(ISERROR(FIND('112'!$M$9,G5289,1)),"",IF((AND(LEFT(G5289,2)=LEFT('112'!$M$9,2),B5289&lt;'112'!$K$9,$N5289='112'!$I$6)),"x",""))</f>
        <v/>
      </c>
      <c r="V5289" s="75" t="str">
        <f>IF(ISERROR(FIND('112'!$M$9,G5289,1)),"",IF((AND(RIGHT(G5289,2)=RIGHT('112'!$M$9,2),B5289&lt;'112'!$K$9,$O5289='112'!$I$6)),"x",""))</f>
        <v/>
      </c>
      <c r="W5289" s="75" t="str">
        <f>IF(AND('341-CT'!$H$9=H5289,OR(LEFT(N5289,3)=$W$7,LEFT(O5289,3)=$W$7)),"x","")</f>
        <v/>
      </c>
      <c r="X5289" s="75" t="str">
        <f>IF(OR(TH!N5565=TH!$X$7,O5289=TH!$X$7),"x","")</f>
        <v/>
      </c>
      <c r="Y5289" s="75" t="str">
        <f>IF(AND(OR(N5289="131",O5289="131"),H5289='131-CT'!$H$9),"x","")</f>
        <v/>
      </c>
      <c r="Z5289" s="75"/>
      <c r="AA5289" s="75" t="str">
        <f>IF(AND(MONTH(E5289)='IN-NX'!$J$5,'IN-NX'!$D$7=D5289),"x","")</f>
        <v/>
      </c>
      <c r="AB5289" s="75" t="str">
        <f>IF(AND(OR(LEFT(TH!N5565,2)="15",LEFT(TH!O5565,2)="15"),LEFT(TH!O5565,3)&lt;&gt;"111",'152-CT'!$J$8=TH!F5565),"x","")</f>
        <v/>
      </c>
      <c r="AC5289" s="75" t="str">
        <f>IF(AND(OR(LEFT(TH!N5565,2)="15",LEFT(TH!O5565,2)="15"),TK!$E$7=TH!F5565),"x","")</f>
        <v/>
      </c>
      <c r="AD5289" s="75" t="str">
        <f>IF(AND(N5289="1521",MONTH(C5289)='BK-NL'!$M$11),"x","")</f>
        <v/>
      </c>
      <c r="AE5289">
        <v>11</v>
      </c>
    </row>
    <row r="5290" spans="1:33" ht="16.5" customHeight="1">
      <c r="A5290" s="309" t="str">
        <f>IF(B5290&lt;&gt;"",IF(AND(B5290='IN-TC'!$S$4,OR(TH!N5277="1111",TH!O5277="1111")),TH!D5277,""),"")</f>
        <v/>
      </c>
      <c r="B5290" s="1245">
        <f t="shared" si="1350"/>
        <v>11</v>
      </c>
      <c r="C5290" s="292">
        <f t="shared" si="1349"/>
        <v>43042</v>
      </c>
      <c r="D5290" s="292" t="s">
        <v>902</v>
      </c>
      <c r="E5290" s="292">
        <v>43042</v>
      </c>
      <c r="F5290" s="293" t="s">
        <v>1549</v>
      </c>
      <c r="G5290" s="293" t="s">
        <v>747</v>
      </c>
      <c r="H5290" s="294" t="s">
        <v>835</v>
      </c>
      <c r="I5290" s="373"/>
      <c r="J5290" s="382"/>
      <c r="K5290" s="373"/>
      <c r="L5290" s="379"/>
      <c r="M5290" s="60">
        <v>1153152</v>
      </c>
      <c r="N5290" s="295" t="s">
        <v>101</v>
      </c>
      <c r="O5290" s="295" t="s">
        <v>26</v>
      </c>
      <c r="P5290" s="75" t="str">
        <f>IF(AND('331-CT'!$E$7=TH!H5566,OR(N5290="331",O5290="331")),"x","")</f>
        <v/>
      </c>
      <c r="Q5290" s="75" t="str">
        <f>IF(AND(B5290='111'!$L$11,OR($N5290=$Q$7,$O5290=$Q$7)),"x","")</f>
        <v/>
      </c>
      <c r="R5290" s="75" t="str">
        <f>IF(AND($N5290=$Q$7,$B5290&lt;'111'!$L$11),"x","")</f>
        <v/>
      </c>
      <c r="S5290" s="75" t="str">
        <f>IF(AND($O5290=$Q$7,$B5290&lt;'111'!$L$11),"x","")</f>
        <v/>
      </c>
      <c r="T5290" s="75" t="str">
        <f>IF(ISERROR(FIND('112'!$M$9,G5290,1)),"",IF((AND(FIND('112'!$M$9,G5290,1)&gt;=1,B5290='112'!$K$9,OR($N5290='112'!$I$6,$O5290='112'!$I$6))),"x",""))</f>
        <v/>
      </c>
      <c r="U5290" s="75" t="str">
        <f>IF(ISERROR(FIND('112'!$M$9,G5290,1)),"",IF((AND(LEFT(G5290,2)=LEFT('112'!$M$9,2),B5290&lt;'112'!$K$9,$N5290='112'!$I$6)),"x",""))</f>
        <v/>
      </c>
      <c r="V5290" s="75" t="str">
        <f>IF(ISERROR(FIND('112'!$M$9,G5290,1)),"",IF((AND(RIGHT(G5290,2)=RIGHT('112'!$M$9,2),B5290&lt;'112'!$K$9,$O5290='112'!$I$6)),"x",""))</f>
        <v/>
      </c>
      <c r="W5290" s="75" t="str">
        <f>IF(AND('341-CT'!$H$9=H5290,OR(LEFT(N5290,3)=$W$7,LEFT(O5290,3)=$W$7)),"x","")</f>
        <v/>
      </c>
      <c r="X5290" s="75" t="str">
        <f>IF(OR(TH!N5566=TH!$X$7,O5290=TH!$X$7),"x","")</f>
        <v/>
      </c>
      <c r="Y5290" s="75" t="str">
        <f>IF(AND(OR(N5290="131",O5290="131"),H5290='131-CT'!$H$9),"x","")</f>
        <v/>
      </c>
      <c r="Z5290" s="75"/>
      <c r="AA5290" s="75" t="str">
        <f>IF(AND(MONTH(E5290)='IN-NX'!$J$5,'IN-NX'!$D$7=D5290),"x","")</f>
        <v/>
      </c>
      <c r="AB5290" s="75" t="str">
        <f>IF(AND(OR(LEFT(TH!N5566,2)="15",LEFT(TH!O5566,2)="15"),LEFT(TH!O5566,3)&lt;&gt;"111",'152-CT'!$J$8=TH!F5566),"x","")</f>
        <v/>
      </c>
      <c r="AC5290" s="75" t="str">
        <f>IF(AND(OR(LEFT(TH!N5566,2)="15",LEFT(TH!O5566,2)="15"),TK!$E$7=TH!F5566),"x","")</f>
        <v/>
      </c>
      <c r="AD5290" s="75" t="str">
        <f>IF(AND(N5290="1521",MONTH(C5290)='BK-NL'!$M$11),"x","")</f>
        <v/>
      </c>
      <c r="AE5290">
        <v>11</v>
      </c>
    </row>
    <row r="5291" spans="1:33" ht="16.5" customHeight="1">
      <c r="A5291" s="309" t="str">
        <f>IF(B5291&lt;&gt;"",IF(AND(B5291='IN-TC'!$S$4,OR(TH!N5278="1111",TH!O5278="1111")),TH!D5278,""),"")</f>
        <v/>
      </c>
      <c r="B5291" s="1245">
        <f t="shared" si="1350"/>
        <v>11</v>
      </c>
      <c r="C5291" s="292">
        <f t="shared" si="1349"/>
        <v>43042</v>
      </c>
      <c r="D5291" s="292" t="s">
        <v>902</v>
      </c>
      <c r="E5291" s="292">
        <v>43042</v>
      </c>
      <c r="F5291" s="293" t="s">
        <v>1552</v>
      </c>
      <c r="G5291" s="293" t="s">
        <v>747</v>
      </c>
      <c r="H5291" s="294" t="s">
        <v>835</v>
      </c>
      <c r="I5291" s="373"/>
      <c r="J5291" s="382"/>
      <c r="K5291" s="373"/>
      <c r="L5291" s="379"/>
      <c r="M5291" s="60">
        <v>115315</v>
      </c>
      <c r="N5291" s="295" t="s">
        <v>9</v>
      </c>
      <c r="O5291" s="295" t="s">
        <v>26</v>
      </c>
      <c r="P5291" s="75" t="str">
        <f>IF(AND('331-CT'!$E$7=TH!H5567,OR(N5291="331",O5291="331")),"x","")</f>
        <v/>
      </c>
      <c r="Q5291" s="75" t="str">
        <f>IF(AND(B5291='111'!$L$11,OR($N5291=$Q$7,$O5291=$Q$7)),"x","")</f>
        <v/>
      </c>
      <c r="R5291" s="75" t="str">
        <f>IF(AND($N5291=$Q$7,$B5291&lt;'111'!$L$11),"x","")</f>
        <v/>
      </c>
      <c r="S5291" s="75" t="str">
        <f>IF(AND($O5291=$Q$7,$B5291&lt;'111'!$L$11),"x","")</f>
        <v/>
      </c>
      <c r="T5291" s="75" t="str">
        <f>IF(ISERROR(FIND('112'!$M$9,G5291,1)),"",IF((AND(FIND('112'!$M$9,G5291,1)&gt;=1,B5291='112'!$K$9,OR($N5291='112'!$I$6,$O5291='112'!$I$6))),"x",""))</f>
        <v/>
      </c>
      <c r="U5291" s="75" t="str">
        <f>IF(ISERROR(FIND('112'!$M$9,G5291,1)),"",IF((AND(LEFT(G5291,2)=LEFT('112'!$M$9,2),B5291&lt;'112'!$K$9,$N5291='112'!$I$6)),"x",""))</f>
        <v/>
      </c>
      <c r="V5291" s="75" t="str">
        <f>IF(ISERROR(FIND('112'!$M$9,G5291,1)),"",IF((AND(RIGHT(G5291,2)=RIGHT('112'!$M$9,2),B5291&lt;'112'!$K$9,$O5291='112'!$I$6)),"x",""))</f>
        <v/>
      </c>
      <c r="W5291" s="75" t="str">
        <f>IF(AND('341-CT'!$H$9=H5291,OR(LEFT(N5291,3)=$W$7,LEFT(O5291,3)=$W$7)),"x","")</f>
        <v/>
      </c>
      <c r="X5291" s="75" t="str">
        <f>IF(OR(TH!N5567=TH!$X$7,O5291=TH!$X$7),"x","")</f>
        <v/>
      </c>
      <c r="Y5291" s="75" t="str">
        <f>IF(AND(OR(N5291="131",O5291="131"),H5291='131-CT'!$H$9),"x","")</f>
        <v/>
      </c>
      <c r="Z5291" s="75"/>
      <c r="AA5291" s="75" t="str">
        <f>IF(AND(MONTH(E5291)='IN-NX'!$J$5,'IN-NX'!$D$7=D5291),"x","")</f>
        <v/>
      </c>
      <c r="AB5291" s="75" t="str">
        <f>IF(AND(OR(LEFT(TH!N5567,2)="15",LEFT(TH!O5567,2)="15"),LEFT(TH!O5567,3)&lt;&gt;"111",'152-CT'!$J$8=TH!F5567),"x","")</f>
        <v/>
      </c>
      <c r="AC5291" s="75" t="str">
        <f>IF(AND(OR(LEFT(TH!N5567,2)="15",LEFT(TH!O5567,2)="15"),TK!$E$7=TH!F5567),"x","")</f>
        <v/>
      </c>
      <c r="AD5291" s="75" t="str">
        <f>IF(AND(N5291="1521",MONTH(C5291)='BK-NL'!$M$11),"x","")</f>
        <v/>
      </c>
      <c r="AE5291">
        <v>11</v>
      </c>
    </row>
    <row r="5292" spans="1:33" ht="16.5" customHeight="1">
      <c r="A5292" s="309" t="str">
        <f>IF(B5292&lt;&gt;"",IF(AND(B5292='IN-TC'!$S$4,OR(TH!N5279="1111",TH!O5279="1111")),TH!D5279,""),"")</f>
        <v/>
      </c>
      <c r="B5292" s="1245">
        <f t="shared" si="1350"/>
        <v>11</v>
      </c>
      <c r="C5292" s="292">
        <f t="shared" si="1349"/>
        <v>43043</v>
      </c>
      <c r="D5292" s="59"/>
      <c r="E5292" s="59">
        <v>43043</v>
      </c>
      <c r="F5292" s="62" t="s">
        <v>1499</v>
      </c>
      <c r="G5292" s="742" t="s">
        <v>2625</v>
      </c>
      <c r="H5292" s="67" t="s">
        <v>893</v>
      </c>
      <c r="I5292" s="375"/>
      <c r="J5292" s="382"/>
      <c r="K5292" s="375"/>
      <c r="L5292" s="381"/>
      <c r="M5292" s="60">
        <v>1720036</v>
      </c>
      <c r="N5292" s="61" t="s">
        <v>101</v>
      </c>
      <c r="O5292" s="61" t="s">
        <v>63</v>
      </c>
      <c r="P5292" s="75" t="str">
        <f>IF(AND('331-CT'!$E$7=TH!H4082,OR(N5292="331",O5292="331")),"x","")</f>
        <v/>
      </c>
      <c r="Q5292" s="75" t="str">
        <f>IF(AND(B5292='111'!$L$11,OR($N5292=$Q$7,$O5292=$Q$7)),"x","")</f>
        <v/>
      </c>
      <c r="R5292" s="75" t="str">
        <f>IF(AND($N5292=$Q$7,$B5292&lt;'111'!$L$11),"x","")</f>
        <v/>
      </c>
      <c r="S5292" s="75" t="str">
        <f>IF(AND($O5292=$Q$7,$B5292&lt;'111'!$L$11),"x","")</f>
        <v>x</v>
      </c>
      <c r="T5292" s="75" t="str">
        <f>IF(ISERROR(FIND('112'!$M$9,G5292,1)),"",IF((AND(FIND('112'!$M$9,G5292,1)&gt;=1,B5292='112'!$K$9,OR($N5292='112'!$I$6,$O5292='112'!$I$6))),"x",""))</f>
        <v/>
      </c>
      <c r="U5292" s="75" t="str">
        <f>IF(ISERROR(FIND('112'!$M$9,G5292,1)),"",IF((AND(LEFT(G5292,2)=LEFT('112'!$M$9,2),B5292&lt;'112'!$K$9,$N5292='112'!$I$6)),"x",""))</f>
        <v/>
      </c>
      <c r="V5292" s="75" t="str">
        <f>IF(ISERROR(FIND('112'!$M$9,G5292,1)),"",IF((AND(RIGHT(G5292,2)=RIGHT('112'!$M$9,2),B5292&lt;'112'!$K$9,$O5292='112'!$I$6)),"x",""))</f>
        <v/>
      </c>
      <c r="W5292" s="75" t="str">
        <f>IF(AND('341-CT'!$H$9=H5292,OR(LEFT(N5292,3)=$W$7,LEFT(O5292,3)=$W$7)),"x","")</f>
        <v/>
      </c>
      <c r="X5292" s="75" t="str">
        <f>IF(OR(TH!N4082=TH!$X$7,O5292=TH!$X$7),"x","")</f>
        <v/>
      </c>
      <c r="Y5292" s="75" t="str">
        <f>IF(AND(OR(N5292="131",O5292="131"),H5292='131-CT'!$H$9),"x","")</f>
        <v/>
      </c>
      <c r="Z5292" s="75"/>
      <c r="AA5292" s="75" t="str">
        <f>IF(AND(MONTH(E5292)='IN-NX'!$J$5,'IN-NX'!$D$7=D5292),"x","")</f>
        <v/>
      </c>
      <c r="AB5292" s="75" t="str">
        <f>IF(AND(OR(LEFT(TH!N4082,2)="15",LEFT(TH!O4082,2)="15"),LEFT(TH!O4082,3)&lt;&gt;"111",'152-CT'!$J$8=TH!F4082),"x","")</f>
        <v/>
      </c>
      <c r="AC5292" s="75" t="str">
        <f>IF(AND(OR(LEFT(TH!N4082,2)="15",LEFT(TH!O4082,2)="15"),TK!$E$7=TH!F4082),"x","")</f>
        <v/>
      </c>
      <c r="AD5292" s="75" t="str">
        <f>IF(AND(N5292="1521",MONTH(C5292)='BK-NL'!$M$11),"x","")</f>
        <v/>
      </c>
      <c r="AE5292">
        <v>11</v>
      </c>
    </row>
    <row r="5293" spans="1:33" ht="16.5" customHeight="1">
      <c r="A5293" s="309" t="str">
        <f>IF(B5293&lt;&gt;"",IF(AND(B5293='IN-TC'!$S$4,OR(TH!N5280="1111",TH!O5280="1111")),TH!D5280,""),"")</f>
        <v/>
      </c>
      <c r="B5293" s="1245">
        <f t="shared" si="1350"/>
        <v>11</v>
      </c>
      <c r="C5293" s="292">
        <f t="shared" si="1349"/>
        <v>43043</v>
      </c>
      <c r="D5293" s="59"/>
      <c r="E5293" s="59">
        <v>43043</v>
      </c>
      <c r="F5293" s="62" t="s">
        <v>1500</v>
      </c>
      <c r="G5293" s="742" t="s">
        <v>2625</v>
      </c>
      <c r="H5293" s="67" t="s">
        <v>893</v>
      </c>
      <c r="I5293" s="375"/>
      <c r="J5293" s="382"/>
      <c r="K5293" s="375"/>
      <c r="L5293" s="381"/>
      <c r="M5293" s="60">
        <v>172004</v>
      </c>
      <c r="N5293" s="61" t="s">
        <v>9</v>
      </c>
      <c r="O5293" s="61" t="s">
        <v>63</v>
      </c>
      <c r="P5293" s="75" t="str">
        <f>IF(AND('331-CT'!$E$7=TH!H4083,OR(N5293="331",O5293="331")),"x","")</f>
        <v/>
      </c>
      <c r="Q5293" s="75" t="str">
        <f>IF(AND(B5293='111'!$L$11,OR($N5293=$Q$7,$O5293=$Q$7)),"x","")</f>
        <v/>
      </c>
      <c r="R5293" s="75" t="str">
        <f>IF(AND($N5293=$Q$7,$B5293&lt;'111'!$L$11),"x","")</f>
        <v/>
      </c>
      <c r="S5293" s="75" t="str">
        <f>IF(AND($O5293=$Q$7,$B5293&lt;'111'!$L$11),"x","")</f>
        <v>x</v>
      </c>
      <c r="T5293" s="75" t="str">
        <f>IF(ISERROR(FIND('112'!$M$9,G5293,1)),"",IF((AND(FIND('112'!$M$9,G5293,1)&gt;=1,B5293='112'!$K$9,OR($N5293='112'!$I$6,$O5293='112'!$I$6))),"x",""))</f>
        <v/>
      </c>
      <c r="U5293" s="75" t="str">
        <f>IF(ISERROR(FIND('112'!$M$9,G5293,1)),"",IF((AND(LEFT(G5293,2)=LEFT('112'!$M$9,2),B5293&lt;'112'!$K$9,$N5293='112'!$I$6)),"x",""))</f>
        <v/>
      </c>
      <c r="V5293" s="75" t="str">
        <f>IF(ISERROR(FIND('112'!$M$9,G5293,1)),"",IF((AND(RIGHT(G5293,2)=RIGHT('112'!$M$9,2),B5293&lt;'112'!$K$9,$O5293='112'!$I$6)),"x",""))</f>
        <v/>
      </c>
      <c r="W5293" s="75" t="str">
        <f>IF(AND('341-CT'!$H$9=H5293,OR(LEFT(N5293,3)=$W$7,LEFT(O5293,3)=$W$7)),"x","")</f>
        <v/>
      </c>
      <c r="X5293" s="75" t="str">
        <f>IF(OR(TH!N4083=TH!$X$7,O5293=TH!$X$7),"x","")</f>
        <v/>
      </c>
      <c r="Y5293" s="75" t="str">
        <f>IF(AND(OR(N5293="131",O5293="131"),H5293='131-CT'!$H$9),"x","")</f>
        <v/>
      </c>
      <c r="Z5293" s="75"/>
      <c r="AA5293" s="75" t="str">
        <f>IF(AND(MONTH(E5293)='IN-NX'!$J$5,'IN-NX'!$D$7=D5293),"x","")</f>
        <v/>
      </c>
      <c r="AB5293" s="75" t="str">
        <f>IF(AND(OR(LEFT(TH!N4083,2)="15",LEFT(TH!O4083,2)="15"),LEFT(TH!O4083,3)&lt;&gt;"111",'152-CT'!$J$8=TH!F4083),"x","")</f>
        <v/>
      </c>
      <c r="AC5293" s="75" t="str">
        <f>IF(AND(OR(LEFT(TH!N4083,2)="15",LEFT(TH!O4083,2)="15"),TK!$E$7=TH!F4083),"x","")</f>
        <v/>
      </c>
      <c r="AD5293" s="75" t="str">
        <f>IF(AND(N5293="1521",MONTH(C5293)='BK-NL'!$M$11),"x","")</f>
        <v/>
      </c>
      <c r="AE5293">
        <v>11</v>
      </c>
    </row>
    <row r="5294" spans="1:33" ht="16.5" customHeight="1">
      <c r="A5294" s="309" t="str">
        <f>IF(B5294&lt;&gt;"",IF(AND(B5294='IN-TC'!$S$4,OR(TH!N5281="1111",TH!O5281="1111")),TH!D5281,""),"")</f>
        <v/>
      </c>
      <c r="B5294" s="1245">
        <f t="shared" si="1350"/>
        <v>11</v>
      </c>
      <c r="C5294" s="292">
        <f t="shared" si="1349"/>
        <v>43043</v>
      </c>
      <c r="D5294" s="59" t="s">
        <v>903</v>
      </c>
      <c r="E5294" s="59">
        <v>43043</v>
      </c>
      <c r="F5294" s="62" t="s">
        <v>914</v>
      </c>
      <c r="G5294" s="62" t="s">
        <v>585</v>
      </c>
      <c r="H5294" s="67" t="s">
        <v>845</v>
      </c>
      <c r="I5294" s="373"/>
      <c r="J5294" s="382"/>
      <c r="K5294" s="373"/>
      <c r="L5294" s="379"/>
      <c r="M5294" s="60">
        <v>24432</v>
      </c>
      <c r="N5294" s="61" t="s">
        <v>26</v>
      </c>
      <c r="O5294" s="61" t="s">
        <v>43</v>
      </c>
      <c r="P5294" s="75" t="str">
        <f>IF(AND('331-CT'!$E$7=TH!H4870,OR(N5294="331",O5294="331")),"x","")</f>
        <v/>
      </c>
      <c r="Q5294" s="75" t="str">
        <f>IF(AND(B5294='111'!$L$11,OR($N5294=$Q$7,$O5294=$Q$7)),"x","")</f>
        <v/>
      </c>
      <c r="R5294" s="75" t="str">
        <f>IF(AND($N5294=$Q$7,$B5294&lt;'111'!$L$11),"x","")</f>
        <v/>
      </c>
      <c r="S5294" s="75" t="str">
        <f>IF(AND($O5294=$Q$7,$B5294&lt;'111'!$L$11),"x","")</f>
        <v/>
      </c>
      <c r="T5294" s="75" t="str">
        <f>IF(ISERROR(FIND('112'!$M$9,G5294,1)),"",IF((AND(FIND('112'!$M$9,G5294,1)&gt;=1,B5294='112'!$K$9,OR($N5294='112'!$I$6,$O5294='112'!$I$6))),"x",""))</f>
        <v/>
      </c>
      <c r="U5294" s="75" t="str">
        <f>IF(ISERROR(FIND('112'!$M$9,G5294,1)),"",IF((AND(LEFT(G5294,2)=LEFT('112'!$M$9,2),B5294&lt;'112'!$K$9,$N5294='112'!$I$6)),"x",""))</f>
        <v/>
      </c>
      <c r="V5294" s="75" t="str">
        <f>IF(ISERROR(FIND('112'!$M$9,G5294,1)),"",IF((AND(RIGHT(G5294,2)=RIGHT('112'!$M$9,2),B5294&lt;'112'!$K$9,$O5294='112'!$I$6)),"x",""))</f>
        <v/>
      </c>
      <c r="W5294" s="75" t="str">
        <f>IF(AND('341-CT'!$H$9=H5294,OR(LEFT(N5294,3)=$W$7,LEFT(O5294,3)=$W$7)),"x","")</f>
        <v/>
      </c>
      <c r="X5294" s="75" t="str">
        <f>IF(OR(TH!N4870=TH!$X$7,O5294=TH!$X$7),"x","")</f>
        <v/>
      </c>
      <c r="Y5294" s="75" t="str">
        <f>IF(AND(OR(N5294="131",O5294="131"),H5294='131-CT'!$H$9),"x","")</f>
        <v/>
      </c>
      <c r="Z5294" s="75"/>
      <c r="AA5294" s="75" t="str">
        <f>IF(AND(MONTH(E5294)='IN-NX'!$J$5,'IN-NX'!$D$7=D5294),"x","")</f>
        <v/>
      </c>
      <c r="AB5294" s="75" t="str">
        <f>IF(AND(OR(LEFT(TH!N4870,2)="15",LEFT(TH!O4870,2)="15"),LEFT(TH!O4870,3)&lt;&gt;"111",'152-CT'!$J$8=TH!F4870),"x","")</f>
        <v/>
      </c>
      <c r="AC5294" s="75" t="str">
        <f>IF(AND(OR(LEFT(TH!N4870,2)="15",LEFT(TH!O4870,2)="15"),TK!$E$7=TH!F4870),"x","")</f>
        <v/>
      </c>
      <c r="AD5294" s="75" t="str">
        <f>IF(AND(N5294="1521",MONTH(C5294)='BK-NL'!$M$11),"x","")</f>
        <v/>
      </c>
      <c r="AE5294" s="304"/>
      <c r="AF5294" s="304"/>
      <c r="AG5294" s="304"/>
    </row>
    <row r="5295" spans="1:33" ht="16.5" customHeight="1">
      <c r="A5295" s="309" t="str">
        <f>IF(B5295&lt;&gt;"",IF(AND(B5295='IN-TC'!$S$4,OR(TH!N5282="1111",TH!O5282="1111")),TH!D5282,""),"")</f>
        <v/>
      </c>
      <c r="B5295" s="1245">
        <f t="shared" si="1350"/>
        <v>11</v>
      </c>
      <c r="C5295" s="292">
        <f t="shared" si="1349"/>
        <v>43045</v>
      </c>
      <c r="D5295" s="59"/>
      <c r="E5295" s="59">
        <v>43045</v>
      </c>
      <c r="F5295" s="62" t="s">
        <v>2640</v>
      </c>
      <c r="G5295" s="742" t="s">
        <v>2642</v>
      </c>
      <c r="H5295" s="67" t="s">
        <v>935</v>
      </c>
      <c r="I5295" s="375"/>
      <c r="J5295" s="382"/>
      <c r="K5295" s="375"/>
      <c r="L5295" s="381"/>
      <c r="M5295" s="60">
        <v>1062935</v>
      </c>
      <c r="N5295" s="61" t="s">
        <v>101</v>
      </c>
      <c r="O5295" s="61" t="s">
        <v>63</v>
      </c>
      <c r="P5295" s="75" t="str">
        <f>IF(AND('331-CT'!$E$7=TH!H4084,OR(N5295="331",O5295="331")),"x","")</f>
        <v/>
      </c>
      <c r="Q5295" s="75" t="str">
        <f>IF(AND(B5295='111'!$L$11,OR($N5295=$Q$7,$O5295=$Q$7)),"x","")</f>
        <v/>
      </c>
      <c r="R5295" s="75" t="str">
        <f>IF(AND($N5295=$Q$7,$B5295&lt;'111'!$L$11),"x","")</f>
        <v/>
      </c>
      <c r="S5295" s="75" t="str">
        <f>IF(AND($O5295=$Q$7,$B5295&lt;'111'!$L$11),"x","")</f>
        <v>x</v>
      </c>
      <c r="T5295" s="75" t="str">
        <f>IF(ISERROR(FIND('112'!$M$9,G5295,1)),"",IF((AND(FIND('112'!$M$9,G5295,1)&gt;=1,B5295='112'!$K$9,OR($N5295='112'!$I$6,$O5295='112'!$I$6))),"x",""))</f>
        <v/>
      </c>
      <c r="U5295" s="75" t="str">
        <f>IF(ISERROR(FIND('112'!$M$9,G5295,1)),"",IF((AND(LEFT(G5295,2)=LEFT('112'!$M$9,2),B5295&lt;'112'!$K$9,$N5295='112'!$I$6)),"x",""))</f>
        <v/>
      </c>
      <c r="V5295" s="75" t="str">
        <f>IF(ISERROR(FIND('112'!$M$9,G5295,1)),"",IF((AND(RIGHT(G5295,2)=RIGHT('112'!$M$9,2),B5295&lt;'112'!$K$9,$O5295='112'!$I$6)),"x",""))</f>
        <v/>
      </c>
      <c r="W5295" s="75" t="str">
        <f>IF(AND('341-CT'!$H$9=H5295,OR(LEFT(N5295,3)=$W$7,LEFT(O5295,3)=$W$7)),"x","")</f>
        <v/>
      </c>
      <c r="X5295" s="75" t="str">
        <f>IF(OR(TH!N4084=TH!$X$7,O5295=TH!$X$7),"x","")</f>
        <v/>
      </c>
      <c r="Y5295" s="75" t="str">
        <f>IF(AND(OR(N5295="131",O5295="131"),H5295='131-CT'!$H$9),"x","")</f>
        <v/>
      </c>
      <c r="Z5295" s="75"/>
      <c r="AA5295" s="75" t="str">
        <f>IF(AND(MONTH(E5295)='IN-NX'!$J$5,'IN-NX'!$D$7=D5295),"x","")</f>
        <v/>
      </c>
      <c r="AB5295" s="75" t="str">
        <f>IF(AND(OR(LEFT(TH!N4084,2)="15",LEFT(TH!O4084,2)="15"),LEFT(TH!O4084,3)&lt;&gt;"111",'152-CT'!$J$8=TH!F4084),"x","")</f>
        <v/>
      </c>
      <c r="AC5295" s="75" t="str">
        <f>IF(AND(OR(LEFT(TH!N4084,2)="15",LEFT(TH!O4084,2)="15"),TK!$E$7=TH!F4084),"x","")</f>
        <v/>
      </c>
      <c r="AD5295" s="75" t="str">
        <f>IF(AND(N5295="1521",MONTH(C5295)='BK-NL'!$M$11),"x","")</f>
        <v/>
      </c>
      <c r="AE5295">
        <v>11</v>
      </c>
    </row>
    <row r="5296" spans="1:33" ht="16.5" customHeight="1">
      <c r="A5296" s="309" t="str">
        <f>IF(B5296&lt;&gt;"",IF(AND(B5296='IN-TC'!$S$4,OR(TH!N5283="1111",TH!O5283="1111")),TH!D5283,""),"")</f>
        <v/>
      </c>
      <c r="B5296" s="1245">
        <f t="shared" si="1350"/>
        <v>11</v>
      </c>
      <c r="C5296" s="292">
        <f t="shared" si="1349"/>
        <v>43045</v>
      </c>
      <c r="D5296" s="59"/>
      <c r="E5296" s="59">
        <v>43045</v>
      </c>
      <c r="F5296" s="62" t="s">
        <v>2641</v>
      </c>
      <c r="G5296" s="742" t="s">
        <v>2642</v>
      </c>
      <c r="H5296" s="67" t="s">
        <v>935</v>
      </c>
      <c r="I5296" s="375"/>
      <c r="J5296" s="382"/>
      <c r="K5296" s="375"/>
      <c r="L5296" s="381"/>
      <c r="M5296" s="60">
        <v>106294</v>
      </c>
      <c r="N5296" s="61" t="s">
        <v>9</v>
      </c>
      <c r="O5296" s="61" t="s">
        <v>63</v>
      </c>
      <c r="P5296" s="75" t="str">
        <f>IF(AND('331-CT'!$E$7=TH!H4085,OR(N5296="331",O5296="331")),"x","")</f>
        <v/>
      </c>
      <c r="Q5296" s="75" t="str">
        <f>IF(AND(B5296='111'!$L$11,OR($N5296=$Q$7,$O5296=$Q$7)),"x","")</f>
        <v/>
      </c>
      <c r="R5296" s="75" t="str">
        <f>IF(AND($N5296=$Q$7,$B5296&lt;'111'!$L$11),"x","")</f>
        <v/>
      </c>
      <c r="S5296" s="75" t="str">
        <f>IF(AND($O5296=$Q$7,$B5296&lt;'111'!$L$11),"x","")</f>
        <v>x</v>
      </c>
      <c r="T5296" s="75" t="str">
        <f>IF(ISERROR(FIND('112'!$M$9,G5296,1)),"",IF((AND(FIND('112'!$M$9,G5296,1)&gt;=1,B5296='112'!$K$9,OR($N5296='112'!$I$6,$O5296='112'!$I$6))),"x",""))</f>
        <v/>
      </c>
      <c r="U5296" s="75" t="str">
        <f>IF(ISERROR(FIND('112'!$M$9,G5296,1)),"",IF((AND(LEFT(G5296,2)=LEFT('112'!$M$9,2),B5296&lt;'112'!$K$9,$N5296='112'!$I$6)),"x",""))</f>
        <v/>
      </c>
      <c r="V5296" s="75" t="str">
        <f>IF(ISERROR(FIND('112'!$M$9,G5296,1)),"",IF((AND(RIGHT(G5296,2)=RIGHT('112'!$M$9,2),B5296&lt;'112'!$K$9,$O5296='112'!$I$6)),"x",""))</f>
        <v/>
      </c>
      <c r="W5296" s="75" t="str">
        <f>IF(AND('341-CT'!$H$9=H5296,OR(LEFT(N5296,3)=$W$7,LEFT(O5296,3)=$W$7)),"x","")</f>
        <v/>
      </c>
      <c r="X5296" s="75" t="str">
        <f>IF(OR(TH!N4085=TH!$X$7,O5296=TH!$X$7),"x","")</f>
        <v/>
      </c>
      <c r="Y5296" s="75" t="str">
        <f>IF(AND(OR(N5296="131",O5296="131"),H5296='131-CT'!$H$9),"x","")</f>
        <v/>
      </c>
      <c r="Z5296" s="75"/>
      <c r="AA5296" s="75" t="str">
        <f>IF(AND(MONTH(E5296)='IN-NX'!$J$5,'IN-NX'!$D$7=D5296),"x","")</f>
        <v/>
      </c>
      <c r="AB5296" s="75" t="str">
        <f>IF(AND(OR(LEFT(TH!N4085,2)="15",LEFT(TH!O4085,2)="15"),LEFT(TH!O4085,3)&lt;&gt;"111",'152-CT'!$J$8=TH!F4085),"x","")</f>
        <v/>
      </c>
      <c r="AC5296" s="75" t="str">
        <f>IF(AND(OR(LEFT(TH!N4085,2)="15",LEFT(TH!O4085,2)="15"),TK!$E$7=TH!F4085),"x","")</f>
        <v/>
      </c>
      <c r="AD5296" s="75" t="str">
        <f>IF(AND(N5296="1521",MONTH(C5296)='BK-NL'!$M$11),"x","")</f>
        <v/>
      </c>
      <c r="AE5296">
        <v>11</v>
      </c>
    </row>
    <row r="5297" spans="1:33" ht="16.5" customHeight="1">
      <c r="A5297" s="309" t="str">
        <f>IF(B5297&lt;&gt;"",IF(AND(B5297='IN-TC'!$S$4,OR(TH!N5284="1111",TH!O5284="1111")),TH!D5284,""),"")</f>
        <v/>
      </c>
      <c r="B5297" s="1245">
        <f t="shared" si="1350"/>
        <v>11</v>
      </c>
      <c r="C5297" s="292">
        <f t="shared" si="1349"/>
        <v>43045</v>
      </c>
      <c r="D5297" s="59"/>
      <c r="E5297" s="59">
        <v>43045</v>
      </c>
      <c r="F5297" s="62" t="s">
        <v>2640</v>
      </c>
      <c r="G5297" s="742" t="s">
        <v>2643</v>
      </c>
      <c r="H5297" s="67" t="s">
        <v>935</v>
      </c>
      <c r="I5297" s="375"/>
      <c r="J5297" s="382"/>
      <c r="K5297" s="375"/>
      <c r="L5297" s="381"/>
      <c r="M5297" s="60">
        <v>1955503</v>
      </c>
      <c r="N5297" s="61" t="s">
        <v>101</v>
      </c>
      <c r="O5297" s="61" t="s">
        <v>63</v>
      </c>
      <c r="P5297" s="75" t="str">
        <f>IF(AND('331-CT'!$E$7=TH!H4086,OR(N5297="331",O5297="331")),"x","")</f>
        <v/>
      </c>
      <c r="Q5297" s="75" t="str">
        <f>IF(AND(B5297='111'!$L$11,OR($N5297=$Q$7,$O5297=$Q$7)),"x","")</f>
        <v/>
      </c>
      <c r="R5297" s="75" t="str">
        <f>IF(AND($N5297=$Q$7,$B5297&lt;'111'!$L$11),"x","")</f>
        <v/>
      </c>
      <c r="S5297" s="75" t="str">
        <f>IF(AND($O5297=$Q$7,$B5297&lt;'111'!$L$11),"x","")</f>
        <v>x</v>
      </c>
      <c r="T5297" s="75" t="str">
        <f>IF(ISERROR(FIND('112'!$M$9,G5297,1)),"",IF((AND(FIND('112'!$M$9,G5297,1)&gt;=1,B5297='112'!$K$9,OR($N5297='112'!$I$6,$O5297='112'!$I$6))),"x",""))</f>
        <v/>
      </c>
      <c r="U5297" s="75" t="str">
        <f>IF(ISERROR(FIND('112'!$M$9,G5297,1)),"",IF((AND(LEFT(G5297,2)=LEFT('112'!$M$9,2),B5297&lt;'112'!$K$9,$N5297='112'!$I$6)),"x",""))</f>
        <v/>
      </c>
      <c r="V5297" s="75" t="str">
        <f>IF(ISERROR(FIND('112'!$M$9,G5297,1)),"",IF((AND(RIGHT(G5297,2)=RIGHT('112'!$M$9,2),B5297&lt;'112'!$K$9,$O5297='112'!$I$6)),"x",""))</f>
        <v/>
      </c>
      <c r="W5297" s="75" t="str">
        <f>IF(AND('341-CT'!$H$9=H5297,OR(LEFT(N5297,3)=$W$7,LEFT(O5297,3)=$W$7)),"x","")</f>
        <v/>
      </c>
      <c r="X5297" s="75" t="str">
        <f>IF(OR(TH!N4086=TH!$X$7,O5297=TH!$X$7),"x","")</f>
        <v/>
      </c>
      <c r="Y5297" s="75" t="str">
        <f>IF(AND(OR(N5297="131",O5297="131"),H5297='131-CT'!$H$9),"x","")</f>
        <v/>
      </c>
      <c r="Z5297" s="75"/>
      <c r="AA5297" s="75" t="str">
        <f>IF(AND(MONTH(E5297)='IN-NX'!$J$5,'IN-NX'!$D$7=D5297),"x","")</f>
        <v/>
      </c>
      <c r="AB5297" s="75" t="str">
        <f>IF(AND(OR(LEFT(TH!N4086,2)="15",LEFT(TH!O4086,2)="15"),LEFT(TH!O4086,3)&lt;&gt;"111",'152-CT'!$J$8=TH!F4086),"x","")</f>
        <v/>
      </c>
      <c r="AC5297" s="75" t="str">
        <f>IF(AND(OR(LEFT(TH!N4086,2)="15",LEFT(TH!O4086,2)="15"),TK!$E$7=TH!F4086),"x","")</f>
        <v/>
      </c>
      <c r="AD5297" s="75" t="str">
        <f>IF(AND(N5297="1521",MONTH(C5297)='BK-NL'!$M$11),"x","")</f>
        <v/>
      </c>
      <c r="AE5297">
        <v>11</v>
      </c>
    </row>
    <row r="5298" spans="1:33" ht="16.5" customHeight="1">
      <c r="A5298" s="309" t="str">
        <f>IF(B5298&lt;&gt;"",IF(AND(B5298='IN-TC'!$S$4,OR(TH!N5285="1111",TH!O5285="1111")),TH!D5285,""),"")</f>
        <v/>
      </c>
      <c r="B5298" s="1245">
        <f t="shared" si="1350"/>
        <v>11</v>
      </c>
      <c r="C5298" s="292">
        <f t="shared" si="1349"/>
        <v>43045</v>
      </c>
      <c r="D5298" s="59"/>
      <c r="E5298" s="59">
        <v>43045</v>
      </c>
      <c r="F5298" s="62" t="s">
        <v>2641</v>
      </c>
      <c r="G5298" s="742" t="s">
        <v>2643</v>
      </c>
      <c r="H5298" s="67" t="s">
        <v>935</v>
      </c>
      <c r="I5298" s="375"/>
      <c r="J5298" s="382"/>
      <c r="K5298" s="375"/>
      <c r="L5298" s="381"/>
      <c r="M5298" s="60">
        <v>195550</v>
      </c>
      <c r="N5298" s="61" t="s">
        <v>9</v>
      </c>
      <c r="O5298" s="61" t="s">
        <v>63</v>
      </c>
      <c r="P5298" s="75" t="str">
        <f>IF(AND('331-CT'!$E$7=TH!H4087,OR(N5298="331",O5298="331")),"x","")</f>
        <v/>
      </c>
      <c r="Q5298" s="75" t="str">
        <f>IF(AND(B5298='111'!$L$11,OR($N5298=$Q$7,$O5298=$Q$7)),"x","")</f>
        <v/>
      </c>
      <c r="R5298" s="75" t="str">
        <f>IF(AND($N5298=$Q$7,$B5298&lt;'111'!$L$11),"x","")</f>
        <v/>
      </c>
      <c r="S5298" s="75" t="str">
        <f>IF(AND($O5298=$Q$7,$B5298&lt;'111'!$L$11),"x","")</f>
        <v>x</v>
      </c>
      <c r="T5298" s="75" t="str">
        <f>IF(ISERROR(FIND('112'!$M$9,G5298,1)),"",IF((AND(FIND('112'!$M$9,G5298,1)&gt;=1,B5298='112'!$K$9,OR($N5298='112'!$I$6,$O5298='112'!$I$6))),"x",""))</f>
        <v/>
      </c>
      <c r="U5298" s="75" t="str">
        <f>IF(ISERROR(FIND('112'!$M$9,G5298,1)),"",IF((AND(LEFT(G5298,2)=LEFT('112'!$M$9,2),B5298&lt;'112'!$K$9,$N5298='112'!$I$6)),"x",""))</f>
        <v/>
      </c>
      <c r="V5298" s="75" t="str">
        <f>IF(ISERROR(FIND('112'!$M$9,G5298,1)),"",IF((AND(RIGHT(G5298,2)=RIGHT('112'!$M$9,2),B5298&lt;'112'!$K$9,$O5298='112'!$I$6)),"x",""))</f>
        <v/>
      </c>
      <c r="W5298" s="75" t="str">
        <f>IF(AND('341-CT'!$H$9=H5298,OR(LEFT(N5298,3)=$W$7,LEFT(O5298,3)=$W$7)),"x","")</f>
        <v/>
      </c>
      <c r="X5298" s="75" t="str">
        <f>IF(OR(TH!N4087=TH!$X$7,O5298=TH!$X$7),"x","")</f>
        <v/>
      </c>
      <c r="Y5298" s="75" t="str">
        <f>IF(AND(OR(N5298="131",O5298="131"),H5298='131-CT'!$H$9),"x","")</f>
        <v/>
      </c>
      <c r="Z5298" s="75"/>
      <c r="AA5298" s="75" t="str">
        <f>IF(AND(MONTH(E5298)='IN-NX'!$J$5,'IN-NX'!$D$7=D5298),"x","")</f>
        <v/>
      </c>
      <c r="AB5298" s="75" t="str">
        <f>IF(AND(OR(LEFT(TH!N4087,2)="15",LEFT(TH!O4087,2)="15"),LEFT(TH!O4087,3)&lt;&gt;"111",'152-CT'!$J$8=TH!F4087),"x","")</f>
        <v/>
      </c>
      <c r="AC5298" s="75" t="str">
        <f>IF(AND(OR(LEFT(TH!N4087,2)="15",LEFT(TH!O4087,2)="15"),TK!$E$7=TH!F4087),"x","")</f>
        <v/>
      </c>
      <c r="AD5298" s="75" t="str">
        <f>IF(AND(N5298="1521",MONTH(C5298)='BK-NL'!$M$11),"x","")</f>
        <v/>
      </c>
      <c r="AE5298">
        <v>11</v>
      </c>
    </row>
    <row r="5299" spans="1:33" ht="16.5" customHeight="1">
      <c r="A5299" s="309" t="str">
        <f>IF(B5299&lt;&gt;"",IF(AND(B5299='IN-TC'!$S$4,OR(TH!N5286="1111",TH!O5286="1111")),TH!D5286,""),"")</f>
        <v/>
      </c>
      <c r="B5299" s="1243">
        <f t="shared" si="1350"/>
        <v>11</v>
      </c>
      <c r="C5299" s="292">
        <f t="shared" ref="C5299:C5362" si="1351">E5299</f>
        <v>43045</v>
      </c>
      <c r="D5299" s="292"/>
      <c r="E5299" s="292">
        <v>43045</v>
      </c>
      <c r="F5299" s="1010" t="s">
        <v>1881</v>
      </c>
      <c r="G5299" s="925"/>
      <c r="H5299" s="311" t="s">
        <v>1890</v>
      </c>
      <c r="I5299" s="373"/>
      <c r="J5299" s="926"/>
      <c r="K5299" s="373"/>
      <c r="L5299" s="379"/>
      <c r="M5299" s="927">
        <v>2294050000</v>
      </c>
      <c r="N5299" s="295" t="s">
        <v>8</v>
      </c>
      <c r="O5299" s="295" t="s">
        <v>63</v>
      </c>
      <c r="P5299" s="75" t="str">
        <f>IF(AND('331-CT'!$E$7=TH!H4347,OR(N5299="331",O5299="331")),"x","")</f>
        <v/>
      </c>
      <c r="Q5299" s="75" t="str">
        <f>IF(AND(B5299='111'!$L$11,OR($N5299=$Q$7,$O5299=$Q$7)),"x","")</f>
        <v/>
      </c>
      <c r="R5299" s="75" t="str">
        <f>IF(AND($N5299=$Q$7,$B5299&lt;'111'!$L$11),"x","")</f>
        <v/>
      </c>
      <c r="S5299" s="75" t="str">
        <f>IF(AND($O5299=$Q$7,$B5299&lt;'111'!$L$11),"x","")</f>
        <v>x</v>
      </c>
      <c r="T5299" s="75" t="str">
        <f>IF(ISERROR(FIND('112'!$M$9,G5299,1)),"",IF((AND(FIND('112'!$M$9,G5299,1)&gt;=1,B5299='112'!$K$9,OR($N5299='112'!$I$6,$O5299='112'!$I$6))),"x",""))</f>
        <v/>
      </c>
      <c r="U5299" s="75" t="str">
        <f>IF(ISERROR(FIND('112'!$M$9,G5299,1)),"",IF((AND(LEFT(G5299,2)=LEFT('112'!$M$9,2),B5299&lt;'112'!$K$9,$N5299='112'!$I$6)),"x",""))</f>
        <v/>
      </c>
      <c r="V5299" s="75" t="str">
        <f>IF(ISERROR(FIND('112'!$M$9,G5299,1)),"",IF((AND(RIGHT(G5299,2)=RIGHT('112'!$M$9,2),B5299&lt;'112'!$K$9,$O5299='112'!$I$6)),"x",""))</f>
        <v/>
      </c>
      <c r="W5299" s="75" t="str">
        <f>IF(AND('341-CT'!$H$9=H5299,OR(LEFT(N5299,3)=$W$7,LEFT(O5299,3)=$W$7)),"x","")</f>
        <v/>
      </c>
      <c r="X5299" s="75" t="str">
        <f>IF(OR(TH!N4347=TH!$X$7,O5299=TH!$X$7),"x","")</f>
        <v/>
      </c>
      <c r="Y5299" s="75" t="str">
        <f>IF(AND(OR(N5299="131",O5299="131"),H5299='131-CT'!$H$9),"x","")</f>
        <v/>
      </c>
      <c r="Z5299" s="75"/>
      <c r="AA5299" s="75" t="str">
        <f>IF(AND(MONTH(E5299)='IN-NX'!$J$5,'IN-NX'!$D$7=D5299),"x","")</f>
        <v/>
      </c>
      <c r="AB5299" s="75" t="str">
        <f>IF(AND(OR(LEFT(TH!N4347,2)="15",LEFT(TH!O4347,2)="15"),LEFT(TH!O4347,3)&lt;&gt;"111",'152-CT'!$J$8=TH!F4347),"x","")</f>
        <v/>
      </c>
      <c r="AC5299" s="75" t="str">
        <f>IF(AND(OR(LEFT(TH!N4347,2)="15",LEFT(TH!O4347,2)="15"),TK!$E$7=TH!F4347),"x","")</f>
        <v/>
      </c>
      <c r="AD5299" s="75" t="str">
        <f>IF(AND(N5299="1521",MONTH(C5299)='BK-NL'!$M$11),"x","")</f>
        <v/>
      </c>
    </row>
    <row r="5300" spans="1:33" ht="16.5" customHeight="1">
      <c r="A5300" s="309" t="str">
        <f>IF(B5300&lt;&gt;"",IF(AND(B5300='IN-TC'!$S$4,OR(TH!N5287="1111",TH!O5287="1111")),TH!D5287,""),"")</f>
        <v/>
      </c>
      <c r="B5300" s="1243">
        <f t="shared" si="1350"/>
        <v>11</v>
      </c>
      <c r="C5300" s="292">
        <f t="shared" si="1351"/>
        <v>43045</v>
      </c>
      <c r="D5300" s="292"/>
      <c r="E5300" s="292">
        <v>43045</v>
      </c>
      <c r="F5300" s="1010" t="s">
        <v>1883</v>
      </c>
      <c r="G5300" s="925"/>
      <c r="H5300" s="311"/>
      <c r="I5300" s="373"/>
      <c r="J5300" s="926"/>
      <c r="K5300" s="373"/>
      <c r="L5300" s="379"/>
      <c r="M5300" s="927">
        <v>2018764</v>
      </c>
      <c r="N5300" s="295" t="s">
        <v>101</v>
      </c>
      <c r="O5300" s="295" t="s">
        <v>63</v>
      </c>
      <c r="P5300" s="75" t="str">
        <f>IF(AND('331-CT'!$E$7=TH!H4348,OR(N5300="331",O5300="331")),"x","")</f>
        <v/>
      </c>
      <c r="Q5300" s="75" t="str">
        <f>IF(AND(B5300='111'!$L$11,OR($N5300=$Q$7,$O5300=$Q$7)),"x","")</f>
        <v/>
      </c>
      <c r="R5300" s="75" t="str">
        <f>IF(AND($N5300=$Q$7,$B5300&lt;'111'!$L$11),"x","")</f>
        <v/>
      </c>
      <c r="S5300" s="75" t="str">
        <f>IF(AND($O5300=$Q$7,$B5300&lt;'111'!$L$11),"x","")</f>
        <v>x</v>
      </c>
      <c r="T5300" s="75" t="str">
        <f>IF(ISERROR(FIND('112'!$M$9,G5300,1)),"",IF((AND(FIND('112'!$M$9,G5300,1)&gt;=1,B5300='112'!$K$9,OR($N5300='112'!$I$6,$O5300='112'!$I$6))),"x",""))</f>
        <v/>
      </c>
      <c r="U5300" s="75" t="str">
        <f>IF(ISERROR(FIND('112'!$M$9,G5300,1)),"",IF((AND(LEFT(G5300,2)=LEFT('112'!$M$9,2),B5300&lt;'112'!$K$9,$N5300='112'!$I$6)),"x",""))</f>
        <v/>
      </c>
      <c r="V5300" s="75" t="str">
        <f>IF(ISERROR(FIND('112'!$M$9,G5300,1)),"",IF((AND(RIGHT(G5300,2)=RIGHT('112'!$M$9,2),B5300&lt;'112'!$K$9,$O5300='112'!$I$6)),"x",""))</f>
        <v/>
      </c>
      <c r="W5300" s="75" t="str">
        <f>IF(AND('341-CT'!$H$9=H5300,OR(LEFT(N5300,3)=$W$7,LEFT(O5300,3)=$W$7)),"x","")</f>
        <v/>
      </c>
      <c r="X5300" s="75" t="str">
        <f>IF(OR(TH!N4348=TH!$X$7,O5300=TH!$X$7),"x","")</f>
        <v/>
      </c>
      <c r="Y5300" s="75" t="str">
        <f>IF(AND(OR(N5300="131",O5300="131"),H5300='131-CT'!$H$9),"x","")</f>
        <v/>
      </c>
      <c r="Z5300" s="75"/>
      <c r="AA5300" s="75" t="str">
        <f>IF(AND(MONTH(E5300)='IN-NX'!$J$5,'IN-NX'!$D$7=D5300),"x","")</f>
        <v/>
      </c>
      <c r="AB5300" s="75" t="str">
        <f>IF(AND(OR(LEFT(TH!N4348,2)="15",LEFT(TH!O4348,2)="15"),LEFT(TH!O4348,3)&lt;&gt;"111",'152-CT'!$J$8=TH!F4348),"x","")</f>
        <v/>
      </c>
      <c r="AC5300" s="75" t="str">
        <f>IF(AND(OR(LEFT(TH!N4348,2)="15",LEFT(TH!O4348,2)="15"),TK!$E$7=TH!F4348),"x","")</f>
        <v/>
      </c>
      <c r="AD5300" s="75" t="str">
        <f>IF(AND(N5300="1521",MONTH(C5300)='BK-NL'!$M$11),"x","")</f>
        <v/>
      </c>
    </row>
    <row r="5301" spans="1:33" ht="16.5" customHeight="1">
      <c r="A5301" s="309" t="str">
        <f>IF(B5301&lt;&gt;"",IF(AND(B5301='IN-TC'!$S$4,OR(TH!N5288="1111",TH!O5288="1111")),TH!D5288,""),"")</f>
        <v/>
      </c>
      <c r="B5301" s="1243">
        <f t="shared" si="1350"/>
        <v>11</v>
      </c>
      <c r="C5301" s="292">
        <f t="shared" si="1351"/>
        <v>43045</v>
      </c>
      <c r="D5301" s="292"/>
      <c r="E5301" s="292">
        <v>43045</v>
      </c>
      <c r="F5301" s="1010" t="s">
        <v>1881</v>
      </c>
      <c r="G5301" s="925"/>
      <c r="H5301" s="311" t="s">
        <v>1882</v>
      </c>
      <c r="I5301" s="373"/>
      <c r="J5301" s="926"/>
      <c r="K5301" s="373"/>
      <c r="L5301" s="379"/>
      <c r="M5301" s="927">
        <v>6339946000</v>
      </c>
      <c r="N5301" s="295" t="s">
        <v>8</v>
      </c>
      <c r="O5301" s="295" t="s">
        <v>63</v>
      </c>
      <c r="P5301" s="75" t="str">
        <f>IF(AND('331-CT'!$E$7=TH!H4349,OR(N5301="331",O5301="331")),"x","")</f>
        <v/>
      </c>
      <c r="Q5301" s="75" t="str">
        <f>IF(AND(B5301='111'!$L$11,OR($N5301=$Q$7,$O5301=$Q$7)),"x","")</f>
        <v/>
      </c>
      <c r="R5301" s="75" t="str">
        <f>IF(AND($N5301=$Q$7,$B5301&lt;'111'!$L$11),"x","")</f>
        <v/>
      </c>
      <c r="S5301" s="75" t="str">
        <f>IF(AND($O5301=$Q$7,$B5301&lt;'111'!$L$11),"x","")</f>
        <v>x</v>
      </c>
      <c r="T5301" s="75" t="str">
        <f>IF(ISERROR(FIND('112'!$M$9,G5301,1)),"",IF((AND(FIND('112'!$M$9,G5301,1)&gt;=1,B5301='112'!$K$9,OR($N5301='112'!$I$6,$O5301='112'!$I$6))),"x",""))</f>
        <v/>
      </c>
      <c r="U5301" s="75" t="str">
        <f>IF(ISERROR(FIND('112'!$M$9,G5301,1)),"",IF((AND(LEFT(G5301,2)=LEFT('112'!$M$9,2),B5301&lt;'112'!$K$9,$N5301='112'!$I$6)),"x",""))</f>
        <v/>
      </c>
      <c r="V5301" s="75" t="str">
        <f>IF(ISERROR(FIND('112'!$M$9,G5301,1)),"",IF((AND(RIGHT(G5301,2)=RIGHT('112'!$M$9,2),B5301&lt;'112'!$K$9,$O5301='112'!$I$6)),"x",""))</f>
        <v/>
      </c>
      <c r="W5301" s="75" t="str">
        <f>IF(AND('341-CT'!$H$9=H5301,OR(LEFT(N5301,3)=$W$7,LEFT(O5301,3)=$W$7)),"x","")</f>
        <v/>
      </c>
      <c r="X5301" s="75" t="str">
        <f>IF(OR(TH!N4349=TH!$X$7,O5301=TH!$X$7),"x","")</f>
        <v/>
      </c>
      <c r="Y5301" s="75" t="str">
        <f>IF(AND(OR(N5301="131",O5301="131"),H5301='131-CT'!$H$9),"x","")</f>
        <v/>
      </c>
      <c r="Z5301" s="75"/>
      <c r="AA5301" s="75" t="str">
        <f>IF(AND(MONTH(E5301)='IN-NX'!$J$5,'IN-NX'!$D$7=D5301),"x","")</f>
        <v/>
      </c>
      <c r="AB5301" s="75" t="str">
        <f>IF(AND(OR(LEFT(TH!N4349,2)="15",LEFT(TH!O4349,2)="15"),LEFT(TH!O4349,3)&lt;&gt;"111",'152-CT'!$J$8=TH!F4349),"x","")</f>
        <v/>
      </c>
      <c r="AC5301" s="75" t="str">
        <f>IF(AND(OR(LEFT(TH!N4349,2)="15",LEFT(TH!O4349,2)="15"),TK!$E$7=TH!F4349),"x","")</f>
        <v/>
      </c>
      <c r="AD5301" s="75" t="str">
        <f>IF(AND(N5301="1521",MONTH(C5301)='BK-NL'!$M$11),"x","")</f>
        <v/>
      </c>
    </row>
    <row r="5302" spans="1:33" ht="16.5" customHeight="1">
      <c r="A5302" s="309" t="str">
        <f>IF(B5302&lt;&gt;"",IF(AND(B5302='IN-TC'!$S$4,OR(TH!N5289="1111",TH!O5289="1111")),TH!D5289,""),"")</f>
        <v/>
      </c>
      <c r="B5302" s="1243">
        <f t="shared" si="1350"/>
        <v>11</v>
      </c>
      <c r="C5302" s="292">
        <f t="shared" si="1351"/>
        <v>43045</v>
      </c>
      <c r="D5302" s="292"/>
      <c r="E5302" s="292">
        <v>43045</v>
      </c>
      <c r="F5302" s="1010" t="s">
        <v>1883</v>
      </c>
      <c r="G5302" s="925"/>
      <c r="H5302" s="311"/>
      <c r="I5302" s="373"/>
      <c r="J5302" s="926"/>
      <c r="K5302" s="373"/>
      <c r="L5302" s="379"/>
      <c r="M5302" s="927">
        <v>2200000</v>
      </c>
      <c r="N5302" s="295" t="s">
        <v>101</v>
      </c>
      <c r="O5302" s="295" t="s">
        <v>63</v>
      </c>
      <c r="P5302" s="75" t="str">
        <f>IF(AND('331-CT'!$E$7=TH!H4350,OR(N5302="331",O5302="331")),"x","")</f>
        <v/>
      </c>
      <c r="Q5302" s="75" t="str">
        <f>IF(AND(B5302='111'!$L$11,OR($N5302=$Q$7,$O5302=$Q$7)),"x","")</f>
        <v/>
      </c>
      <c r="R5302" s="75" t="str">
        <f>IF(AND($N5302=$Q$7,$B5302&lt;'111'!$L$11),"x","")</f>
        <v/>
      </c>
      <c r="S5302" s="75" t="str">
        <f>IF(AND($O5302=$Q$7,$B5302&lt;'111'!$L$11),"x","")</f>
        <v>x</v>
      </c>
      <c r="T5302" s="75" t="str">
        <f>IF(ISERROR(FIND('112'!$M$9,G5302,1)),"",IF((AND(FIND('112'!$M$9,G5302,1)&gt;=1,B5302='112'!$K$9,OR($N5302='112'!$I$6,$O5302='112'!$I$6))),"x",""))</f>
        <v/>
      </c>
      <c r="U5302" s="75" t="str">
        <f>IF(ISERROR(FIND('112'!$M$9,G5302,1)),"",IF((AND(LEFT(G5302,2)=LEFT('112'!$M$9,2),B5302&lt;'112'!$K$9,$N5302='112'!$I$6)),"x",""))</f>
        <v/>
      </c>
      <c r="V5302" s="75" t="str">
        <f>IF(ISERROR(FIND('112'!$M$9,G5302,1)),"",IF((AND(RIGHT(G5302,2)=RIGHT('112'!$M$9,2),B5302&lt;'112'!$K$9,$O5302='112'!$I$6)),"x",""))</f>
        <v/>
      </c>
      <c r="W5302" s="75" t="str">
        <f>IF(AND('341-CT'!$H$9=H5302,OR(LEFT(N5302,3)=$W$7,LEFT(O5302,3)=$W$7)),"x","")</f>
        <v/>
      </c>
      <c r="X5302" s="75" t="str">
        <f>IF(OR(TH!N4350=TH!$X$7,O5302=TH!$X$7),"x","")</f>
        <v/>
      </c>
      <c r="Y5302" s="75" t="str">
        <f>IF(AND(OR(N5302="131",O5302="131"),H5302='131-CT'!$H$9),"x","")</f>
        <v/>
      </c>
      <c r="Z5302" s="75"/>
      <c r="AA5302" s="75" t="str">
        <f>IF(AND(MONTH(E5302)='IN-NX'!$J$5,'IN-NX'!$D$7=D5302),"x","")</f>
        <v/>
      </c>
      <c r="AB5302" s="75" t="str">
        <f>IF(AND(OR(LEFT(TH!N4350,2)="15",LEFT(TH!O4350,2)="15"),LEFT(TH!O4350,3)&lt;&gt;"111",'152-CT'!$J$8=TH!F4350),"x","")</f>
        <v/>
      </c>
      <c r="AC5302" s="75" t="str">
        <f>IF(AND(OR(LEFT(TH!N4350,2)="15",LEFT(TH!O4350,2)="15"),TK!$E$7=TH!F4350),"x","")</f>
        <v/>
      </c>
      <c r="AD5302" s="75" t="str">
        <f>IF(AND(N5302="1521",MONTH(C5302)='BK-NL'!$M$11),"x","")</f>
        <v/>
      </c>
    </row>
    <row r="5303" spans="1:33" ht="16.5" customHeight="1">
      <c r="A5303" s="309" t="str">
        <f>IF(B5303&lt;&gt;"",IF(AND(B5303='IN-TC'!$S$4,OR(TH!N5290="1111",TH!O5290="1111")),TH!D5290,""),"")</f>
        <v/>
      </c>
      <c r="B5303" s="1245">
        <f t="shared" si="1350"/>
        <v>11</v>
      </c>
      <c r="C5303" s="292">
        <f t="shared" si="1351"/>
        <v>43045</v>
      </c>
      <c r="D5303" s="59" t="s">
        <v>903</v>
      </c>
      <c r="E5303" s="59">
        <v>43045</v>
      </c>
      <c r="F5303" s="62" t="s">
        <v>907</v>
      </c>
      <c r="G5303" s="62" t="s">
        <v>585</v>
      </c>
      <c r="H5303" s="67" t="s">
        <v>845</v>
      </c>
      <c r="I5303" s="373"/>
      <c r="J5303" s="382"/>
      <c r="K5303" s="373">
        <v>563800</v>
      </c>
      <c r="L5303" s="379">
        <v>22707</v>
      </c>
      <c r="M5303" s="74">
        <f>ROUND(K5303*L5303,0)</f>
        <v>12802206600</v>
      </c>
      <c r="N5303" s="61" t="s">
        <v>26</v>
      </c>
      <c r="O5303" s="61" t="s">
        <v>256</v>
      </c>
      <c r="P5303" s="75" t="str">
        <f>IF(AND('331-CT'!$E$7=TH!H4871,OR(N5303="331",O5303="331")),"x","")</f>
        <v/>
      </c>
      <c r="Q5303" s="75" t="str">
        <f>IF(AND(B5303='111'!$L$11,OR($N5303=$Q$7,$O5303=$Q$7)),"x","")</f>
        <v/>
      </c>
      <c r="R5303" s="75" t="str">
        <f>IF(AND($N5303=$Q$7,$B5303&lt;'111'!$L$11),"x","")</f>
        <v/>
      </c>
      <c r="S5303" s="75" t="str">
        <f>IF(AND($O5303=$Q$7,$B5303&lt;'111'!$L$11),"x","")</f>
        <v/>
      </c>
      <c r="T5303" s="75" t="str">
        <f>IF(ISERROR(FIND('112'!$M$9,G5303,1)),"",IF((AND(FIND('112'!$M$9,G5303,1)&gt;=1,B5303='112'!$K$9,OR($N5303='112'!$I$6,$O5303='112'!$I$6))),"x",""))</f>
        <v/>
      </c>
      <c r="U5303" s="75" t="str">
        <f>IF(ISERROR(FIND('112'!$M$9,G5303,1)),"",IF((AND(LEFT(G5303,2)=LEFT('112'!$M$9,2),B5303&lt;'112'!$K$9,$N5303='112'!$I$6)),"x",""))</f>
        <v/>
      </c>
      <c r="V5303" s="75" t="str">
        <f>IF(ISERROR(FIND('112'!$M$9,G5303,1)),"",IF((AND(RIGHT(G5303,2)=RIGHT('112'!$M$9,2),B5303&lt;'112'!$K$9,$O5303='112'!$I$6)),"x",""))</f>
        <v/>
      </c>
      <c r="W5303" s="75" t="str">
        <f>IF(AND('341-CT'!$H$9=H5303,OR(LEFT(N5303,3)=$W$7,LEFT(O5303,3)=$W$7)),"x","")</f>
        <v/>
      </c>
      <c r="X5303" s="75" t="str">
        <f>IF(OR(TH!N4871=TH!$X$7,O5303=TH!$X$7),"x","")</f>
        <v/>
      </c>
      <c r="Y5303" s="75" t="str">
        <f>IF(AND(OR(N5303="131",O5303="131"),H5303='131-CT'!$H$9),"x","")</f>
        <v/>
      </c>
      <c r="Z5303" s="75"/>
      <c r="AA5303" s="75" t="str">
        <f>IF(AND(MONTH(E5303)='IN-NX'!$J$5,'IN-NX'!$D$7=D5303),"x","")</f>
        <v/>
      </c>
      <c r="AB5303" s="75" t="str">
        <f>IF(AND(OR(LEFT(TH!N4871,2)="15",LEFT(TH!O4871,2)="15"),LEFT(TH!O4871,3)&lt;&gt;"111",'152-CT'!$J$8=TH!F4871),"x","")</f>
        <v/>
      </c>
      <c r="AC5303" s="75" t="str">
        <f>IF(AND(OR(LEFT(TH!N4871,2)="15",LEFT(TH!O4871,2)="15"),TK!$E$7=TH!F4871),"x","")</f>
        <v/>
      </c>
      <c r="AD5303" s="75" t="str">
        <f>IF(AND(N5303="1521",MONTH(C5303)='BK-NL'!$M$11),"x","")</f>
        <v/>
      </c>
      <c r="AE5303" s="304"/>
      <c r="AF5303" s="304"/>
      <c r="AG5303" s="304"/>
    </row>
    <row r="5304" spans="1:33" ht="16.5" customHeight="1">
      <c r="A5304" s="309" t="str">
        <f>IF(B5304&lt;&gt;"",IF(AND(B5304='IN-TC'!$S$4,OR(TH!N5291="1111",TH!O5291="1111")),TH!D5291,""),"")</f>
        <v/>
      </c>
      <c r="B5304" s="1245">
        <f t="shared" si="1350"/>
        <v>11</v>
      </c>
      <c r="C5304" s="292">
        <f t="shared" si="1351"/>
        <v>43045</v>
      </c>
      <c r="D5304" s="59" t="s">
        <v>902</v>
      </c>
      <c r="E5304" s="59">
        <v>43045</v>
      </c>
      <c r="F5304" s="62" t="s">
        <v>897</v>
      </c>
      <c r="G5304" s="62" t="s">
        <v>585</v>
      </c>
      <c r="H5304" s="67" t="s">
        <v>623</v>
      </c>
      <c r="I5304" s="373"/>
      <c r="J5304" s="382"/>
      <c r="K5304" s="373"/>
      <c r="L5304" s="379"/>
      <c r="M5304" s="60">
        <v>12800000000</v>
      </c>
      <c r="N5304" s="61" t="s">
        <v>8</v>
      </c>
      <c r="O5304" s="61" t="s">
        <v>26</v>
      </c>
      <c r="P5304" s="75" t="str">
        <f>IF(AND('331-CT'!$E$7=TH!H4872,OR(N5304="331",O5304="331")),"x","")</f>
        <v/>
      </c>
      <c r="Q5304" s="75" t="str">
        <f>IF(AND(B5304='111'!$L$11,OR($N5304=$Q$7,$O5304=$Q$7)),"x","")</f>
        <v/>
      </c>
      <c r="R5304" s="75" t="str">
        <f>IF(AND($N5304=$Q$7,$B5304&lt;'111'!$L$11),"x","")</f>
        <v/>
      </c>
      <c r="S5304" s="75" t="str">
        <f>IF(AND($O5304=$Q$7,$B5304&lt;'111'!$L$11),"x","")</f>
        <v/>
      </c>
      <c r="T5304" s="75" t="str">
        <f>IF(ISERROR(FIND('112'!$M$9,G5304,1)),"",IF((AND(FIND('112'!$M$9,G5304,1)&gt;=1,B5304='112'!$K$9,OR($N5304='112'!$I$6,$O5304='112'!$I$6))),"x",""))</f>
        <v/>
      </c>
      <c r="U5304" s="75" t="str">
        <f>IF(ISERROR(FIND('112'!$M$9,G5304,1)),"",IF((AND(LEFT(G5304,2)=LEFT('112'!$M$9,2),B5304&lt;'112'!$K$9,$N5304='112'!$I$6)),"x",""))</f>
        <v/>
      </c>
      <c r="V5304" s="75" t="str">
        <f>IF(ISERROR(FIND('112'!$M$9,G5304,1)),"",IF((AND(RIGHT(G5304,2)=RIGHT('112'!$M$9,2),B5304&lt;'112'!$K$9,$O5304='112'!$I$6)),"x",""))</f>
        <v/>
      </c>
      <c r="W5304" s="75" t="str">
        <f>IF(AND('341-CT'!$H$9=H5304,OR(LEFT(N5304,3)=$W$7,LEFT(O5304,3)=$W$7)),"x","")</f>
        <v/>
      </c>
      <c r="X5304" s="75" t="str">
        <f>IF(OR(TH!N4872=TH!$X$7,O5304=TH!$X$7),"x","")</f>
        <v/>
      </c>
      <c r="Y5304" s="75" t="str">
        <f>IF(AND(OR(N5304="131",O5304="131"),H5304='131-CT'!$H$9),"x","")</f>
        <v/>
      </c>
      <c r="Z5304" s="75"/>
      <c r="AA5304" s="75" t="str">
        <f>IF(AND(MONTH(E5304)='IN-NX'!$J$5,'IN-NX'!$D$7=D5304),"x","")</f>
        <v/>
      </c>
      <c r="AB5304" s="75" t="str">
        <f>IF(AND(OR(LEFT(TH!N4872,2)="15",LEFT(TH!O4872,2)="15"),LEFT(TH!O4872,3)&lt;&gt;"111",'152-CT'!$J$8=TH!F4872),"x","")</f>
        <v/>
      </c>
      <c r="AC5304" s="75" t="str">
        <f>IF(AND(OR(LEFT(TH!N4872,2)="15",LEFT(TH!O4872,2)="15"),TK!$E$7=TH!F4872),"x","")</f>
        <v/>
      </c>
      <c r="AD5304" s="75" t="str">
        <f>IF(AND(N5304="1521",MONTH(C5304)='BK-NL'!$M$11),"x","")</f>
        <v/>
      </c>
      <c r="AE5304" s="304"/>
      <c r="AF5304" s="304"/>
      <c r="AG5304" s="304"/>
    </row>
    <row r="5305" spans="1:33" ht="16.5" customHeight="1">
      <c r="A5305" s="309" t="str">
        <f>IF(B5305&lt;&gt;"",IF(AND(B5305='IN-TC'!$S$4,OR(TH!N5292="1111",TH!O5292="1111")),TH!D5292,""),"")</f>
        <v/>
      </c>
      <c r="B5305" s="1245">
        <f t="shared" si="1350"/>
        <v>11</v>
      </c>
      <c r="C5305" s="292">
        <f t="shared" si="1351"/>
        <v>43045</v>
      </c>
      <c r="D5305" s="59" t="s">
        <v>902</v>
      </c>
      <c r="E5305" s="59">
        <v>43045</v>
      </c>
      <c r="F5305" s="293" t="s">
        <v>252</v>
      </c>
      <c r="G5305" s="62" t="s">
        <v>747</v>
      </c>
      <c r="H5305" s="67" t="s">
        <v>2536</v>
      </c>
      <c r="I5305" s="373"/>
      <c r="J5305" s="382"/>
      <c r="K5305" s="373">
        <v>82000</v>
      </c>
      <c r="L5305" s="379">
        <v>22700</v>
      </c>
      <c r="M5305" s="60">
        <f>K5305*L5305</f>
        <v>1861400000</v>
      </c>
      <c r="N5305" s="61" t="s">
        <v>26</v>
      </c>
      <c r="O5305" s="61" t="s">
        <v>250</v>
      </c>
      <c r="P5305" s="75" t="str">
        <f>IF(AND('331-CT'!$E$7=TH!H5568,OR(N5305="331",O5305="331")),"x","")</f>
        <v/>
      </c>
      <c r="Q5305" s="75" t="str">
        <f>IF(AND(B5305='111'!$L$11,OR($N5305=$Q$7,$O5305=$Q$7)),"x","")</f>
        <v/>
      </c>
      <c r="R5305" s="75" t="str">
        <f>IF(AND($N5305=$Q$7,$B5305&lt;'111'!$L$11),"x","")</f>
        <v/>
      </c>
      <c r="S5305" s="75" t="str">
        <f>IF(AND($O5305=$Q$7,$B5305&lt;'111'!$L$11),"x","")</f>
        <v/>
      </c>
      <c r="T5305" s="75" t="str">
        <f>IF(ISERROR(FIND('112'!$M$9,G5305,1)),"",IF((AND(FIND('112'!$M$9,G5305,1)&gt;=1,B5305='112'!$K$9,OR($N5305='112'!$I$6,$O5305='112'!$I$6))),"x",""))</f>
        <v/>
      </c>
      <c r="U5305" s="75" t="str">
        <f>IF(ISERROR(FIND('112'!$M$9,G5305,1)),"",IF((AND(LEFT(G5305,2)=LEFT('112'!$M$9,2),B5305&lt;'112'!$K$9,$N5305='112'!$I$6)),"x",""))</f>
        <v/>
      </c>
      <c r="V5305" s="75" t="str">
        <f>IF(ISERROR(FIND('112'!$M$9,G5305,1)),"",IF((AND(RIGHT(G5305,2)=RIGHT('112'!$M$9,2),B5305&lt;'112'!$K$9,$O5305='112'!$I$6)),"x",""))</f>
        <v/>
      </c>
      <c r="W5305" s="75" t="str">
        <f>IF(AND('341-CT'!$H$9=H5305,OR(LEFT(N5305,3)=$W$7,LEFT(O5305,3)=$W$7)),"x","")</f>
        <v/>
      </c>
      <c r="X5305" s="75" t="str">
        <f>IF(OR(TH!N5568=TH!$X$7,O5305=TH!$X$7),"x","")</f>
        <v/>
      </c>
      <c r="Y5305" s="75" t="str">
        <f>IF(AND(OR(N5305="131",O5305="131"),H5305='131-CT'!$H$9),"x","")</f>
        <v/>
      </c>
      <c r="Z5305" s="75"/>
      <c r="AA5305" s="75" t="str">
        <f>IF(AND(MONTH(E5305)='IN-NX'!$J$5,'IN-NX'!$D$7=D5305),"x","")</f>
        <v/>
      </c>
      <c r="AB5305" s="75" t="str">
        <f>IF(AND(OR(LEFT(TH!N5568,2)="15",LEFT(TH!O5568,2)="15"),LEFT(TH!O5568,3)&lt;&gt;"111",'152-CT'!$J$8=TH!F5568),"x","")</f>
        <v/>
      </c>
      <c r="AC5305" s="75" t="str">
        <f>IF(AND(OR(LEFT(TH!N5568,2)="15",LEFT(TH!O5568,2)="15"),TK!$E$7=TH!F5568),"x","")</f>
        <v/>
      </c>
      <c r="AD5305" s="75" t="str">
        <f>IF(AND(N5305="1521",MONTH(C5305)='BK-NL'!$M$11),"x","")</f>
        <v/>
      </c>
      <c r="AE5305" s="304"/>
      <c r="AF5305" s="304"/>
      <c r="AG5305" s="304"/>
    </row>
    <row r="5306" spans="1:33" ht="16.5" customHeight="1">
      <c r="A5306" s="309" t="str">
        <f>IF(B5306&lt;&gt;"",IF(AND(B5306='IN-TC'!$S$4,OR(TH!N5293="1111",TH!O5293="1111")),TH!D5293,""),"")</f>
        <v/>
      </c>
      <c r="B5306" s="1245">
        <f t="shared" si="1350"/>
        <v>11</v>
      </c>
      <c r="C5306" s="292">
        <f t="shared" si="1351"/>
        <v>43045</v>
      </c>
      <c r="D5306" s="59" t="s">
        <v>902</v>
      </c>
      <c r="E5306" s="59">
        <v>43045</v>
      </c>
      <c r="F5306" s="62" t="s">
        <v>907</v>
      </c>
      <c r="G5306" s="62" t="s">
        <v>747</v>
      </c>
      <c r="H5306" s="67" t="s">
        <v>835</v>
      </c>
      <c r="I5306" s="373"/>
      <c r="J5306" s="382"/>
      <c r="K5306" s="373">
        <v>94000</v>
      </c>
      <c r="L5306" s="379">
        <v>22700</v>
      </c>
      <c r="M5306" s="927">
        <f>ROUND(L5306*K5306,0)</f>
        <v>2133800000</v>
      </c>
      <c r="N5306" s="61" t="s">
        <v>26</v>
      </c>
      <c r="O5306" s="61" t="s">
        <v>256</v>
      </c>
      <c r="P5306" s="75" t="str">
        <f>IF(AND('331-CT'!$E$7=TH!H5569,OR(N5306="331",O5306="331")),"x","")</f>
        <v/>
      </c>
      <c r="Q5306" s="75" t="str">
        <f>IF(AND(B5306='111'!$L$11,OR($N5306=$Q$7,$O5306=$Q$7)),"x","")</f>
        <v/>
      </c>
      <c r="R5306" s="75" t="str">
        <f>IF(AND($N5306=$Q$7,$B5306&lt;'111'!$L$11),"x","")</f>
        <v/>
      </c>
      <c r="S5306" s="75" t="str">
        <f>IF(AND($O5306=$Q$7,$B5306&lt;'111'!$L$11),"x","")</f>
        <v/>
      </c>
      <c r="T5306" s="75" t="str">
        <f>IF(ISERROR(FIND('112'!$M$9,G5306,1)),"",IF((AND(FIND('112'!$M$9,G5306,1)&gt;=1,B5306='112'!$K$9,OR($N5306='112'!$I$6,$O5306='112'!$I$6))),"x",""))</f>
        <v/>
      </c>
      <c r="U5306" s="75" t="str">
        <f>IF(ISERROR(FIND('112'!$M$9,G5306,1)),"",IF((AND(LEFT(G5306,2)=LEFT('112'!$M$9,2),B5306&lt;'112'!$K$9,$N5306='112'!$I$6)),"x",""))</f>
        <v/>
      </c>
      <c r="V5306" s="75" t="str">
        <f>IF(ISERROR(FIND('112'!$M$9,G5306,1)),"",IF((AND(RIGHT(G5306,2)=RIGHT('112'!$M$9,2),B5306&lt;'112'!$K$9,$O5306='112'!$I$6)),"x",""))</f>
        <v/>
      </c>
      <c r="W5306" s="75" t="str">
        <f>IF(AND('341-CT'!$H$9=H5306,OR(LEFT(N5306,3)=$W$7,LEFT(O5306,3)=$W$7)),"x","")</f>
        <v/>
      </c>
      <c r="X5306" s="75" t="str">
        <f>IF(OR(TH!N5569=TH!$X$7,O5306=TH!$X$7),"x","")</f>
        <v/>
      </c>
      <c r="Y5306" s="75" t="str">
        <f>IF(AND(OR(N5306="131",O5306="131"),H5306='131-CT'!$H$9),"x","")</f>
        <v/>
      </c>
      <c r="Z5306" s="75"/>
      <c r="AA5306" s="75" t="str">
        <f>IF(AND(MONTH(E5306)='IN-NX'!$J$5,'IN-NX'!$D$7=D5306),"x","")</f>
        <v/>
      </c>
      <c r="AB5306" s="75" t="str">
        <f>IF(AND(OR(LEFT(TH!N5569,2)="15",LEFT(TH!O5569,2)="15"),LEFT(TH!O5569,3)&lt;&gt;"111",'152-CT'!$J$8=TH!F5569),"x","")</f>
        <v/>
      </c>
      <c r="AC5306" s="75" t="str">
        <f>IF(AND(OR(LEFT(TH!N5569,2)="15",LEFT(TH!O5569,2)="15"),TK!$E$7=TH!F5569),"x","")</f>
        <v/>
      </c>
      <c r="AD5306" s="75" t="str">
        <f>IF(AND(N5306="1521",MONTH(C5306)='BK-NL'!$M$11),"x","")</f>
        <v/>
      </c>
    </row>
    <row r="5307" spans="1:33" ht="16.5" customHeight="1">
      <c r="A5307" s="309" t="str">
        <f>IF(B5307&lt;&gt;"",IF(AND(B5307='IN-TC'!$S$4,OR(TH!N5294="1111",TH!O5294="1111")),TH!D5294,""),"")</f>
        <v/>
      </c>
      <c r="B5307" s="1245">
        <f t="shared" si="1350"/>
        <v>11</v>
      </c>
      <c r="C5307" s="292">
        <f t="shared" si="1351"/>
        <v>43045</v>
      </c>
      <c r="D5307" s="292" t="s">
        <v>902</v>
      </c>
      <c r="E5307" s="292">
        <v>43045</v>
      </c>
      <c r="F5307" s="293" t="s">
        <v>1549</v>
      </c>
      <c r="G5307" s="293" t="s">
        <v>747</v>
      </c>
      <c r="H5307" s="294" t="s">
        <v>835</v>
      </c>
      <c r="I5307" s="373"/>
      <c r="J5307" s="382"/>
      <c r="K5307" s="373"/>
      <c r="L5307" s="379"/>
      <c r="M5307" s="60">
        <v>227500</v>
      </c>
      <c r="N5307" s="295" t="s">
        <v>101</v>
      </c>
      <c r="O5307" s="295" t="s">
        <v>26</v>
      </c>
      <c r="P5307" s="75" t="str">
        <f>IF(AND('331-CT'!$E$7=TH!H5570,OR(N5307="331",O5307="331")),"x","")</f>
        <v/>
      </c>
      <c r="Q5307" s="75" t="str">
        <f>IF(AND(B5307='111'!$L$11,OR($N5307=$Q$7,$O5307=$Q$7)),"x","")</f>
        <v/>
      </c>
      <c r="R5307" s="75" t="str">
        <f>IF(AND($N5307=$Q$7,$B5307&lt;'111'!$L$11),"x","")</f>
        <v/>
      </c>
      <c r="S5307" s="75" t="str">
        <f>IF(AND($O5307=$Q$7,$B5307&lt;'111'!$L$11),"x","")</f>
        <v/>
      </c>
      <c r="T5307" s="75" t="str">
        <f>IF(ISERROR(FIND('112'!$M$9,G5307,1)),"",IF((AND(FIND('112'!$M$9,G5307,1)&gt;=1,B5307='112'!$K$9,OR($N5307='112'!$I$6,$O5307='112'!$I$6))),"x",""))</f>
        <v/>
      </c>
      <c r="U5307" s="75" t="str">
        <f>IF(ISERROR(FIND('112'!$M$9,G5307,1)),"",IF((AND(LEFT(G5307,2)=LEFT('112'!$M$9,2),B5307&lt;'112'!$K$9,$N5307='112'!$I$6)),"x",""))</f>
        <v/>
      </c>
      <c r="V5307" s="75" t="str">
        <f>IF(ISERROR(FIND('112'!$M$9,G5307,1)),"",IF((AND(RIGHT(G5307,2)=RIGHT('112'!$M$9,2),B5307&lt;'112'!$K$9,$O5307='112'!$I$6)),"x",""))</f>
        <v/>
      </c>
      <c r="W5307" s="75" t="str">
        <f>IF(AND('341-CT'!$H$9=H5307,OR(LEFT(N5307,3)=$W$7,LEFT(O5307,3)=$W$7)),"x","")</f>
        <v/>
      </c>
      <c r="X5307" s="75" t="str">
        <f>IF(OR(TH!N5570=TH!$X$7,O5307=TH!$X$7),"x","")</f>
        <v/>
      </c>
      <c r="Y5307" s="75" t="str">
        <f>IF(AND(OR(N5307="131",O5307="131"),H5307='131-CT'!$H$9),"x","")</f>
        <v/>
      </c>
      <c r="Z5307" s="75"/>
      <c r="AA5307" s="75" t="str">
        <f>IF(AND(MONTH(E5307)='IN-NX'!$J$5,'IN-NX'!$D$7=D5307),"x","")</f>
        <v/>
      </c>
      <c r="AB5307" s="75" t="str">
        <f>IF(AND(OR(LEFT(TH!N5570,2)="15",LEFT(TH!O5570,2)="15"),LEFT(TH!O5570,3)&lt;&gt;"111",'152-CT'!$J$8=TH!F5570),"x","")</f>
        <v/>
      </c>
      <c r="AC5307" s="75" t="str">
        <f>IF(AND(OR(LEFT(TH!N5570,2)="15",LEFT(TH!O5570,2)="15"),TK!$E$7=TH!F5570),"x","")</f>
        <v/>
      </c>
      <c r="AD5307" s="75" t="str">
        <f>IF(AND(N5307="1521",MONTH(C5307)='BK-NL'!$M$11),"x","")</f>
        <v/>
      </c>
    </row>
    <row r="5308" spans="1:33" ht="16.5" customHeight="1">
      <c r="A5308" s="309" t="str">
        <f>IF(B5308&lt;&gt;"",IF(AND(B5308='IN-TC'!$S$4,OR(TH!N5295="1111",TH!O5295="1111")),TH!D5295,""),"")</f>
        <v/>
      </c>
      <c r="B5308" s="1245">
        <f t="shared" si="1350"/>
        <v>11</v>
      </c>
      <c r="C5308" s="292">
        <f t="shared" si="1351"/>
        <v>43046</v>
      </c>
      <c r="D5308" s="59" t="s">
        <v>843</v>
      </c>
      <c r="E5308" s="59">
        <v>43046</v>
      </c>
      <c r="F5308" s="62" t="s">
        <v>834</v>
      </c>
      <c r="G5308" s="62" t="s">
        <v>747</v>
      </c>
      <c r="H5308" s="67" t="s">
        <v>1023</v>
      </c>
      <c r="I5308" s="373"/>
      <c r="J5308" s="382"/>
      <c r="K5308" s="373"/>
      <c r="L5308" s="379"/>
      <c r="M5308" s="60">
        <v>3650000000</v>
      </c>
      <c r="N5308" s="61" t="s">
        <v>63</v>
      </c>
      <c r="O5308" s="61" t="s">
        <v>26</v>
      </c>
      <c r="P5308" s="75" t="str">
        <f>IF(AND('331-CT'!$E$7=TH!H5571,OR(N5308="331",O5308="331")),"x","")</f>
        <v/>
      </c>
      <c r="Q5308" s="75" t="str">
        <f>IF(AND(B5308='111'!$L$11,OR($N5308=$Q$7,$O5308=$Q$7)),"x","")</f>
        <v/>
      </c>
      <c r="R5308" s="75" t="str">
        <f>IF(AND($N5308=$Q$7,$B5308&lt;'111'!$L$11),"x","")</f>
        <v>x</v>
      </c>
      <c r="S5308" s="75" t="str">
        <f>IF(AND($O5308=$Q$7,$B5308&lt;'111'!$L$11),"x","")</f>
        <v/>
      </c>
      <c r="T5308" s="75" t="str">
        <f>IF(ISERROR(FIND('112'!$M$9,G5308,1)),"",IF((AND(FIND('112'!$M$9,G5308,1)&gt;=1,B5308='112'!$K$9,OR($N5308='112'!$I$6,$O5308='112'!$I$6))),"x",""))</f>
        <v/>
      </c>
      <c r="U5308" s="75" t="str">
        <f>IF(ISERROR(FIND('112'!$M$9,G5308,1)),"",IF((AND(LEFT(G5308,2)=LEFT('112'!$M$9,2),B5308&lt;'112'!$K$9,$N5308='112'!$I$6)),"x",""))</f>
        <v/>
      </c>
      <c r="V5308" s="75" t="str">
        <f>IF(ISERROR(FIND('112'!$M$9,G5308,1)),"",IF((AND(RIGHT(G5308,2)=RIGHT('112'!$M$9,2),B5308&lt;'112'!$K$9,$O5308='112'!$I$6)),"x",""))</f>
        <v/>
      </c>
      <c r="W5308" s="75" t="str">
        <f>IF(AND('341-CT'!$H$9=H5308,OR(LEFT(N5308,3)=$W$7,LEFT(O5308,3)=$W$7)),"x","")</f>
        <v/>
      </c>
      <c r="X5308" s="75" t="str">
        <f>IF(OR(TH!N5571=TH!$X$7,O5308=TH!$X$7),"x","")</f>
        <v/>
      </c>
      <c r="Y5308" s="75" t="str">
        <f>IF(AND(OR(N5308="131",O5308="131"),H5308='131-CT'!$H$9),"x","")</f>
        <v/>
      </c>
      <c r="Z5308" s="75"/>
      <c r="AA5308" s="75" t="str">
        <f>IF(AND(MONTH(E5308)='IN-NX'!$J$5,'IN-NX'!$D$7=D5308),"x","")</f>
        <v/>
      </c>
      <c r="AB5308" s="75" t="str">
        <f>IF(AND(OR(LEFT(TH!N5571,2)="15",LEFT(TH!O5571,2)="15"),LEFT(TH!O5571,3)&lt;&gt;"111",'152-CT'!$J$8=TH!F5571),"x","")</f>
        <v/>
      </c>
      <c r="AC5308" s="75" t="str">
        <f>IF(AND(OR(LEFT(TH!N5571,2)="15",LEFT(TH!O5571,2)="15"),TK!$E$7=TH!F5571),"x","")</f>
        <v/>
      </c>
      <c r="AD5308" s="75" t="str">
        <f>IF(AND(N5308="1521",MONTH(C5308)='BK-NL'!$M$11),"x","")</f>
        <v/>
      </c>
    </row>
    <row r="5309" spans="1:33" ht="16.5" customHeight="1">
      <c r="A5309" s="309" t="str">
        <f>IF(B5309&lt;&gt;"",IF(AND(B5309='IN-TC'!$S$4,OR(TH!N5296="1111",TH!O5296="1111")),TH!D5296,""),"")</f>
        <v/>
      </c>
      <c r="B5309" s="1245">
        <f t="shared" si="1350"/>
        <v>11</v>
      </c>
      <c r="C5309" s="292">
        <f t="shared" si="1351"/>
        <v>43046</v>
      </c>
      <c r="D5309" s="59"/>
      <c r="E5309" s="59">
        <v>43046</v>
      </c>
      <c r="F5309" s="62" t="s">
        <v>954</v>
      </c>
      <c r="G5309" s="742" t="s">
        <v>2626</v>
      </c>
      <c r="H5309" s="67" t="s">
        <v>1241</v>
      </c>
      <c r="I5309" s="375"/>
      <c r="J5309" s="382"/>
      <c r="K5309" s="375"/>
      <c r="L5309" s="381"/>
      <c r="M5309" s="60">
        <v>18165000</v>
      </c>
      <c r="N5309" s="61" t="s">
        <v>101</v>
      </c>
      <c r="O5309" s="61" t="s">
        <v>63</v>
      </c>
      <c r="P5309" s="75" t="str">
        <f>IF(AND('331-CT'!$E$7=TH!H4088,OR(N5309="331",O5309="331")),"x","")</f>
        <v/>
      </c>
      <c r="Q5309" s="75" t="str">
        <f>IF(AND(B5309='111'!$L$11,OR($N5309=$Q$7,$O5309=$Q$7)),"x","")</f>
        <v/>
      </c>
      <c r="R5309" s="75" t="str">
        <f>IF(AND($N5309=$Q$7,$B5309&lt;'111'!$L$11),"x","")</f>
        <v/>
      </c>
      <c r="S5309" s="75" t="str">
        <f>IF(AND($O5309=$Q$7,$B5309&lt;'111'!$L$11),"x","")</f>
        <v>x</v>
      </c>
      <c r="T5309" s="75" t="str">
        <f>IF(ISERROR(FIND('112'!$M$9,G5309,1)),"",IF((AND(FIND('112'!$M$9,G5309,1)&gt;=1,B5309='112'!$K$9,OR($N5309='112'!$I$6,$O5309='112'!$I$6))),"x",""))</f>
        <v/>
      </c>
      <c r="U5309" s="75" t="str">
        <f>IF(ISERROR(FIND('112'!$M$9,G5309,1)),"",IF((AND(LEFT(G5309,2)=LEFT('112'!$M$9,2),B5309&lt;'112'!$K$9,$N5309='112'!$I$6)),"x",""))</f>
        <v/>
      </c>
      <c r="V5309" s="75" t="str">
        <f>IF(ISERROR(FIND('112'!$M$9,G5309,1)),"",IF((AND(RIGHT(G5309,2)=RIGHT('112'!$M$9,2),B5309&lt;'112'!$K$9,$O5309='112'!$I$6)),"x",""))</f>
        <v/>
      </c>
      <c r="W5309" s="75" t="str">
        <f>IF(AND('341-CT'!$H$9=H5309,OR(LEFT(N5309,3)=$W$7,LEFT(O5309,3)=$W$7)),"x","")</f>
        <v/>
      </c>
      <c r="X5309" s="75" t="str">
        <f>IF(OR(TH!N4088=TH!$X$7,O5309=TH!$X$7),"x","")</f>
        <v/>
      </c>
      <c r="Y5309" s="75" t="str">
        <f>IF(AND(OR(N5309="131",O5309="131"),H5309='131-CT'!$H$9),"x","")</f>
        <v/>
      </c>
      <c r="Z5309" s="75"/>
      <c r="AA5309" s="75" t="str">
        <f>IF(AND(MONTH(E5309)='IN-NX'!$J$5,'IN-NX'!$D$7=D5309),"x","")</f>
        <v/>
      </c>
      <c r="AB5309" s="75" t="str">
        <f>IF(AND(OR(LEFT(TH!N4088,2)="15",LEFT(TH!O4088,2)="15"),LEFT(TH!O4088,3)&lt;&gt;"111",'152-CT'!$J$8=TH!F4088),"x","")</f>
        <v/>
      </c>
      <c r="AC5309" s="75" t="str">
        <f>IF(AND(OR(LEFT(TH!N4088,2)="15",LEFT(TH!O4088,2)="15"),TK!$E$7=TH!F4088),"x","")</f>
        <v/>
      </c>
      <c r="AD5309" s="75" t="str">
        <f>IF(AND(N5309="1521",MONTH(C5309)='BK-NL'!$M$11),"x","")</f>
        <v/>
      </c>
      <c r="AE5309">
        <v>11</v>
      </c>
    </row>
    <row r="5310" spans="1:33" ht="16.5" customHeight="1">
      <c r="A5310" s="309" t="str">
        <f>IF(B5310&lt;&gt;"",IF(AND(B5310='IN-TC'!$S$4,OR(TH!N5297="1111",TH!O5297="1111")),TH!D5297,""),"")</f>
        <v/>
      </c>
      <c r="B5310" s="1245">
        <f t="shared" si="1350"/>
        <v>11</v>
      </c>
      <c r="C5310" s="292">
        <f t="shared" si="1351"/>
        <v>43046</v>
      </c>
      <c r="D5310" s="59"/>
      <c r="E5310" s="59">
        <v>43046</v>
      </c>
      <c r="F5310" s="62" t="s">
        <v>955</v>
      </c>
      <c r="G5310" s="742" t="s">
        <v>2626</v>
      </c>
      <c r="H5310" s="67" t="s">
        <v>1241</v>
      </c>
      <c r="I5310" s="375"/>
      <c r="J5310" s="382"/>
      <c r="K5310" s="375"/>
      <c r="L5310" s="381"/>
      <c r="M5310" s="60">
        <v>1816500</v>
      </c>
      <c r="N5310" s="61" t="s">
        <v>9</v>
      </c>
      <c r="O5310" s="61" t="s">
        <v>63</v>
      </c>
      <c r="P5310" s="75" t="str">
        <f>IF(AND('331-CT'!$E$7=TH!H4089,OR(N5310="331",O5310="331")),"x","")</f>
        <v/>
      </c>
      <c r="Q5310" s="75" t="str">
        <f>IF(AND(B5310='111'!$L$11,OR($N5310=$Q$7,$O5310=$Q$7)),"x","")</f>
        <v/>
      </c>
      <c r="R5310" s="75" t="str">
        <f>IF(AND($N5310=$Q$7,$B5310&lt;'111'!$L$11),"x","")</f>
        <v/>
      </c>
      <c r="S5310" s="75" t="str">
        <f>IF(AND($O5310=$Q$7,$B5310&lt;'111'!$L$11),"x","")</f>
        <v>x</v>
      </c>
      <c r="T5310" s="75" t="str">
        <f>IF(ISERROR(FIND('112'!$M$9,G5310,1)),"",IF((AND(FIND('112'!$M$9,G5310,1)&gt;=1,B5310='112'!$K$9,OR($N5310='112'!$I$6,$O5310='112'!$I$6))),"x",""))</f>
        <v/>
      </c>
      <c r="U5310" s="75" t="str">
        <f>IF(ISERROR(FIND('112'!$M$9,G5310,1)),"",IF((AND(LEFT(G5310,2)=LEFT('112'!$M$9,2),B5310&lt;'112'!$K$9,$N5310='112'!$I$6)),"x",""))</f>
        <v/>
      </c>
      <c r="V5310" s="75" t="str">
        <f>IF(ISERROR(FIND('112'!$M$9,G5310,1)),"",IF((AND(RIGHT(G5310,2)=RIGHT('112'!$M$9,2),B5310&lt;'112'!$K$9,$O5310='112'!$I$6)),"x",""))</f>
        <v/>
      </c>
      <c r="W5310" s="75" t="str">
        <f>IF(AND('341-CT'!$H$9=H5310,OR(LEFT(N5310,3)=$W$7,LEFT(O5310,3)=$W$7)),"x","")</f>
        <v/>
      </c>
      <c r="X5310" s="75" t="str">
        <f>IF(OR(TH!N4089=TH!$X$7,O5310=TH!$X$7),"x","")</f>
        <v/>
      </c>
      <c r="Y5310" s="75" t="str">
        <f>IF(AND(OR(N5310="131",O5310="131"),H5310='131-CT'!$H$9),"x","")</f>
        <v/>
      </c>
      <c r="Z5310" s="75"/>
      <c r="AA5310" s="75" t="str">
        <f>IF(AND(MONTH(E5310)='IN-NX'!$J$5,'IN-NX'!$D$7=D5310),"x","")</f>
        <v/>
      </c>
      <c r="AB5310" s="75" t="str">
        <f>IF(AND(OR(LEFT(TH!N4089,2)="15",LEFT(TH!O4089,2)="15"),LEFT(TH!O4089,3)&lt;&gt;"111",'152-CT'!$J$8=TH!F4089),"x","")</f>
        <v/>
      </c>
      <c r="AC5310" s="75" t="str">
        <f>IF(AND(OR(LEFT(TH!N4089,2)="15",LEFT(TH!O4089,2)="15"),TK!$E$7=TH!F4089),"x","")</f>
        <v/>
      </c>
      <c r="AD5310" s="75" t="str">
        <f>IF(AND(N5310="1521",MONTH(C5310)='BK-NL'!$M$11),"x","")</f>
        <v/>
      </c>
      <c r="AE5310">
        <v>11</v>
      </c>
    </row>
    <row r="5311" spans="1:33" ht="16.5" customHeight="1">
      <c r="A5311" s="309" t="str">
        <f>IF(B5311&lt;&gt;"",IF(AND(B5311='IN-TC'!$S$4,OR(TH!N5298="1111",TH!O5298="1111")),TH!D5298,""),"")</f>
        <v/>
      </c>
      <c r="B5311" s="1245">
        <f t="shared" si="1350"/>
        <v>11</v>
      </c>
      <c r="C5311" s="292">
        <f t="shared" si="1351"/>
        <v>43046</v>
      </c>
      <c r="D5311" s="59"/>
      <c r="E5311" s="59">
        <v>43046</v>
      </c>
      <c r="F5311" s="62" t="s">
        <v>881</v>
      </c>
      <c r="G5311" s="742" t="s">
        <v>2627</v>
      </c>
      <c r="H5311" s="67" t="s">
        <v>2500</v>
      </c>
      <c r="I5311" s="375"/>
      <c r="J5311" s="382"/>
      <c r="K5311" s="375"/>
      <c r="L5311" s="381"/>
      <c r="M5311" s="60">
        <v>1160000</v>
      </c>
      <c r="N5311" s="61" t="s">
        <v>101</v>
      </c>
      <c r="O5311" s="61" t="s">
        <v>63</v>
      </c>
      <c r="P5311" s="75" t="str">
        <f>IF(AND('331-CT'!$E$7=TH!H4090,OR(N5311="331",O5311="331")),"x","")</f>
        <v/>
      </c>
      <c r="Q5311" s="75" t="str">
        <f>IF(AND(B5311='111'!$L$11,OR($N5311=$Q$7,$O5311=$Q$7)),"x","")</f>
        <v/>
      </c>
      <c r="R5311" s="75" t="str">
        <f>IF(AND($N5311=$Q$7,$B5311&lt;'111'!$L$11),"x","")</f>
        <v/>
      </c>
      <c r="S5311" s="75" t="str">
        <f>IF(AND($O5311=$Q$7,$B5311&lt;'111'!$L$11),"x","")</f>
        <v>x</v>
      </c>
      <c r="T5311" s="75" t="str">
        <f>IF(ISERROR(FIND('112'!$M$9,G5311,1)),"",IF((AND(FIND('112'!$M$9,G5311,1)&gt;=1,B5311='112'!$K$9,OR($N5311='112'!$I$6,$O5311='112'!$I$6))),"x",""))</f>
        <v/>
      </c>
      <c r="U5311" s="75" t="str">
        <f>IF(ISERROR(FIND('112'!$M$9,G5311,1)),"",IF((AND(LEFT(G5311,2)=LEFT('112'!$M$9,2),B5311&lt;'112'!$K$9,$N5311='112'!$I$6)),"x",""))</f>
        <v/>
      </c>
      <c r="V5311" s="75" t="str">
        <f>IF(ISERROR(FIND('112'!$M$9,G5311,1)),"",IF((AND(RIGHT(G5311,2)=RIGHT('112'!$M$9,2),B5311&lt;'112'!$K$9,$O5311='112'!$I$6)),"x",""))</f>
        <v/>
      </c>
      <c r="W5311" s="75" t="str">
        <f>IF(AND('341-CT'!$H$9=H5311,OR(LEFT(N5311,3)=$W$7,LEFT(O5311,3)=$W$7)),"x","")</f>
        <v/>
      </c>
      <c r="X5311" s="75" t="str">
        <f>IF(OR(TH!N4090=TH!$X$7,O5311=TH!$X$7),"x","")</f>
        <v/>
      </c>
      <c r="Y5311" s="75" t="str">
        <f>IF(AND(OR(N5311="131",O5311="131"),H5311='131-CT'!$H$9),"x","")</f>
        <v/>
      </c>
      <c r="Z5311" s="75"/>
      <c r="AA5311" s="75" t="str">
        <f>IF(AND(MONTH(E5311)='IN-NX'!$J$5,'IN-NX'!$D$7=D5311),"x","")</f>
        <v/>
      </c>
      <c r="AB5311" s="75" t="str">
        <f>IF(AND(OR(LEFT(TH!N4090,2)="15",LEFT(TH!O4090,2)="15"),LEFT(TH!O4090,3)&lt;&gt;"111",'152-CT'!$J$8=TH!F4090),"x","")</f>
        <v/>
      </c>
      <c r="AC5311" s="75" t="str">
        <f>IF(AND(OR(LEFT(TH!N4090,2)="15",LEFT(TH!O4090,2)="15"),TK!$E$7=TH!F4090),"x","")</f>
        <v/>
      </c>
      <c r="AD5311" s="75" t="str">
        <f>IF(AND(N5311="1521",MONTH(C5311)='BK-NL'!$M$11),"x","")</f>
        <v/>
      </c>
      <c r="AE5311">
        <v>11</v>
      </c>
    </row>
    <row r="5312" spans="1:33" ht="16.5" customHeight="1">
      <c r="A5312" s="309" t="str">
        <f>IF(B5312&lt;&gt;"",IF(AND(B5312='IN-TC'!$S$4,OR(TH!N5299="1111",TH!O5299="1111")),TH!D5299,""),"")</f>
        <v/>
      </c>
      <c r="B5312" s="1245">
        <f t="shared" si="1350"/>
        <v>11</v>
      </c>
      <c r="C5312" s="292">
        <f t="shared" si="1351"/>
        <v>43046</v>
      </c>
      <c r="D5312" s="59"/>
      <c r="E5312" s="59">
        <v>43046</v>
      </c>
      <c r="F5312" s="62" t="s">
        <v>882</v>
      </c>
      <c r="G5312" s="742" t="s">
        <v>2627</v>
      </c>
      <c r="H5312" s="67" t="s">
        <v>2500</v>
      </c>
      <c r="I5312" s="375"/>
      <c r="J5312" s="382"/>
      <c r="K5312" s="375"/>
      <c r="L5312" s="381"/>
      <c r="M5312" s="60">
        <v>58000</v>
      </c>
      <c r="N5312" s="61" t="s">
        <v>9</v>
      </c>
      <c r="O5312" s="61" t="s">
        <v>63</v>
      </c>
      <c r="P5312" s="75" t="str">
        <f>IF(AND('331-CT'!$E$7=TH!H4091,OR(N5312="331",O5312="331")),"x","")</f>
        <v/>
      </c>
      <c r="Q5312" s="75" t="str">
        <f>IF(AND(B5312='111'!$L$11,OR($N5312=$Q$7,$O5312=$Q$7)),"x","")</f>
        <v/>
      </c>
      <c r="R5312" s="75" t="str">
        <f>IF(AND($N5312=$Q$7,$B5312&lt;'111'!$L$11),"x","")</f>
        <v/>
      </c>
      <c r="S5312" s="75" t="str">
        <f>IF(AND($O5312=$Q$7,$B5312&lt;'111'!$L$11),"x","")</f>
        <v>x</v>
      </c>
      <c r="T5312" s="75" t="str">
        <f>IF(ISERROR(FIND('112'!$M$9,G5312,1)),"",IF((AND(FIND('112'!$M$9,G5312,1)&gt;=1,B5312='112'!$K$9,OR($N5312='112'!$I$6,$O5312='112'!$I$6))),"x",""))</f>
        <v/>
      </c>
      <c r="U5312" s="75" t="str">
        <f>IF(ISERROR(FIND('112'!$M$9,G5312,1)),"",IF((AND(LEFT(G5312,2)=LEFT('112'!$M$9,2),B5312&lt;'112'!$K$9,$N5312='112'!$I$6)),"x",""))</f>
        <v/>
      </c>
      <c r="V5312" s="75" t="str">
        <f>IF(ISERROR(FIND('112'!$M$9,G5312,1)),"",IF((AND(RIGHT(G5312,2)=RIGHT('112'!$M$9,2),B5312&lt;'112'!$K$9,$O5312='112'!$I$6)),"x",""))</f>
        <v/>
      </c>
      <c r="W5312" s="75" t="str">
        <f>IF(AND('341-CT'!$H$9=H5312,OR(LEFT(N5312,3)=$W$7,LEFT(O5312,3)=$W$7)),"x","")</f>
        <v/>
      </c>
      <c r="X5312" s="75" t="str">
        <f>IF(OR(TH!N4091=TH!$X$7,O5312=TH!$X$7),"x","")</f>
        <v/>
      </c>
      <c r="Y5312" s="75" t="str">
        <f>IF(AND(OR(N5312="131",O5312="131"),H5312='131-CT'!$H$9),"x","")</f>
        <v/>
      </c>
      <c r="Z5312" s="75"/>
      <c r="AA5312" s="75" t="str">
        <f>IF(AND(MONTH(E5312)='IN-NX'!$J$5,'IN-NX'!$D$7=D5312),"x","")</f>
        <v/>
      </c>
      <c r="AB5312" s="75" t="str">
        <f>IF(AND(OR(LEFT(TH!N4091,2)="15",LEFT(TH!O4091,2)="15"),LEFT(TH!O4091,3)&lt;&gt;"111",'152-CT'!$J$8=TH!F4091),"x","")</f>
        <v/>
      </c>
      <c r="AC5312" s="75" t="str">
        <f>IF(AND(OR(LEFT(TH!N4091,2)="15",LEFT(TH!O4091,2)="15"),TK!$E$7=TH!F4091),"x","")</f>
        <v/>
      </c>
      <c r="AD5312" s="75" t="str">
        <f>IF(AND(N5312="1521",MONTH(C5312)='BK-NL'!$M$11),"x","")</f>
        <v/>
      </c>
      <c r="AE5312">
        <v>11</v>
      </c>
    </row>
    <row r="5313" spans="1:31" ht="16.5" customHeight="1">
      <c r="A5313" s="309" t="str">
        <f>IF(B5313&lt;&gt;"",IF(AND(B5313='IN-TC'!$S$4,OR(TH!N5300="1111",TH!O5300="1111")),TH!D5300,""),"")</f>
        <v/>
      </c>
      <c r="B5313" s="1245">
        <f t="shared" si="1350"/>
        <v>11</v>
      </c>
      <c r="C5313" s="292">
        <f t="shared" si="1351"/>
        <v>43046</v>
      </c>
      <c r="D5313" s="292" t="s">
        <v>902</v>
      </c>
      <c r="E5313" s="292">
        <v>43046</v>
      </c>
      <c r="F5313" s="293" t="s">
        <v>1549</v>
      </c>
      <c r="G5313" s="293" t="s">
        <v>747</v>
      </c>
      <c r="H5313" s="294" t="s">
        <v>835</v>
      </c>
      <c r="I5313" s="373"/>
      <c r="J5313" s="382"/>
      <c r="K5313" s="373"/>
      <c r="L5313" s="379"/>
      <c r="M5313" s="60">
        <v>113750</v>
      </c>
      <c r="N5313" s="295" t="s">
        <v>101</v>
      </c>
      <c r="O5313" s="295" t="s">
        <v>26</v>
      </c>
      <c r="P5313" s="75" t="str">
        <f>IF(AND('331-CT'!$E$7=TH!H5572,OR(N5313="331",O5313="331")),"x","")</f>
        <v/>
      </c>
      <c r="Q5313" s="75" t="str">
        <f>IF(AND(B5313='111'!$L$11,OR($N5313=$Q$7,$O5313=$Q$7)),"x","")</f>
        <v/>
      </c>
      <c r="R5313" s="75" t="str">
        <f>IF(AND($N5313=$Q$7,$B5313&lt;'111'!$L$11),"x","")</f>
        <v/>
      </c>
      <c r="S5313" s="75" t="str">
        <f>IF(AND($O5313=$Q$7,$B5313&lt;'111'!$L$11),"x","")</f>
        <v/>
      </c>
      <c r="T5313" s="75" t="str">
        <f>IF(ISERROR(FIND('112'!$M$9,G5313,1)),"",IF((AND(FIND('112'!$M$9,G5313,1)&gt;=1,B5313='112'!$K$9,OR($N5313='112'!$I$6,$O5313='112'!$I$6))),"x",""))</f>
        <v/>
      </c>
      <c r="U5313" s="75" t="str">
        <f>IF(ISERROR(FIND('112'!$M$9,G5313,1)),"",IF((AND(LEFT(G5313,2)=LEFT('112'!$M$9,2),B5313&lt;'112'!$K$9,$N5313='112'!$I$6)),"x",""))</f>
        <v/>
      </c>
      <c r="V5313" s="75" t="str">
        <f>IF(ISERROR(FIND('112'!$M$9,G5313,1)),"",IF((AND(RIGHT(G5313,2)=RIGHT('112'!$M$9,2),B5313&lt;'112'!$K$9,$O5313='112'!$I$6)),"x",""))</f>
        <v/>
      </c>
      <c r="W5313" s="75" t="str">
        <f>IF(AND('341-CT'!$H$9=H5313,OR(LEFT(N5313,3)=$W$7,LEFT(O5313,3)=$W$7)),"x","")</f>
        <v/>
      </c>
      <c r="X5313" s="75" t="str">
        <f>IF(OR(TH!N5572=TH!$X$7,O5313=TH!$X$7),"x","")</f>
        <v/>
      </c>
      <c r="Y5313" s="75" t="str">
        <f>IF(AND(OR(N5313="131",O5313="131"),H5313='131-CT'!$H$9),"x","")</f>
        <v/>
      </c>
      <c r="Z5313" s="75"/>
      <c r="AA5313" s="75" t="str">
        <f>IF(AND(MONTH(E5313)='IN-NX'!$J$5,'IN-NX'!$D$7=D5313),"x","")</f>
        <v/>
      </c>
      <c r="AB5313" s="75" t="str">
        <f>IF(AND(OR(LEFT(TH!N5572,2)="15",LEFT(TH!O5572,2)="15"),LEFT(TH!O5572,3)&lt;&gt;"111",'152-CT'!$J$8=TH!F5572),"x","")</f>
        <v/>
      </c>
      <c r="AC5313" s="75" t="str">
        <f>IF(AND(OR(LEFT(TH!N5572,2)="15",LEFT(TH!O5572,2)="15"),TK!$E$7=TH!F5572),"x","")</f>
        <v/>
      </c>
      <c r="AD5313" s="75" t="str">
        <f>IF(AND(N5313="1521",MONTH(C5313)='BK-NL'!$M$11),"x","")</f>
        <v/>
      </c>
      <c r="AE5313">
        <v>11</v>
      </c>
    </row>
    <row r="5314" spans="1:31" ht="16.5" customHeight="1">
      <c r="A5314" s="309" t="str">
        <f>IF(B5314&lt;&gt;"",IF(AND(B5314='IN-TC'!$S$4,OR(TH!N5301="1111",TH!O5301="1111")),TH!D5301,""),"")</f>
        <v/>
      </c>
      <c r="B5314" s="1245">
        <f t="shared" si="1350"/>
        <v>11</v>
      </c>
      <c r="C5314" s="292">
        <f t="shared" si="1351"/>
        <v>43046</v>
      </c>
      <c r="D5314" s="292" t="s">
        <v>902</v>
      </c>
      <c r="E5314" s="292">
        <v>43046</v>
      </c>
      <c r="F5314" s="293" t="s">
        <v>1552</v>
      </c>
      <c r="G5314" s="293" t="s">
        <v>747</v>
      </c>
      <c r="H5314" s="294" t="s">
        <v>835</v>
      </c>
      <c r="I5314" s="373"/>
      <c r="J5314" s="382"/>
      <c r="K5314" s="373"/>
      <c r="L5314" s="379"/>
      <c r="M5314" s="60">
        <v>11375</v>
      </c>
      <c r="N5314" s="295" t="s">
        <v>9</v>
      </c>
      <c r="O5314" s="295" t="s">
        <v>26</v>
      </c>
      <c r="P5314" s="75" t="str">
        <f>IF(AND('331-CT'!$E$7=TH!H5573,OR(N5314="331",O5314="331")),"x","")</f>
        <v/>
      </c>
      <c r="Q5314" s="75" t="str">
        <f>IF(AND(B5314='111'!$L$11,OR($N5314=$Q$7,$O5314=$Q$7)),"x","")</f>
        <v/>
      </c>
      <c r="R5314" s="75" t="str">
        <f>IF(AND($N5314=$Q$7,$B5314&lt;'111'!$L$11),"x","")</f>
        <v/>
      </c>
      <c r="S5314" s="75" t="str">
        <f>IF(AND($O5314=$Q$7,$B5314&lt;'111'!$L$11),"x","")</f>
        <v/>
      </c>
      <c r="T5314" s="75" t="str">
        <f>IF(ISERROR(FIND('112'!$M$9,G5314,1)),"",IF((AND(FIND('112'!$M$9,G5314,1)&gt;=1,B5314='112'!$K$9,OR($N5314='112'!$I$6,$O5314='112'!$I$6))),"x",""))</f>
        <v/>
      </c>
      <c r="U5314" s="75" t="str">
        <f>IF(ISERROR(FIND('112'!$M$9,G5314,1)),"",IF((AND(LEFT(G5314,2)=LEFT('112'!$M$9,2),B5314&lt;'112'!$K$9,$N5314='112'!$I$6)),"x",""))</f>
        <v/>
      </c>
      <c r="V5314" s="75" t="str">
        <f>IF(ISERROR(FIND('112'!$M$9,G5314,1)),"",IF((AND(RIGHT(G5314,2)=RIGHT('112'!$M$9,2),B5314&lt;'112'!$K$9,$O5314='112'!$I$6)),"x",""))</f>
        <v/>
      </c>
      <c r="W5314" s="75" t="str">
        <f>IF(AND('341-CT'!$H$9=H5314,OR(LEFT(N5314,3)=$W$7,LEFT(O5314,3)=$W$7)),"x","")</f>
        <v/>
      </c>
      <c r="X5314" s="75" t="str">
        <f>IF(OR(TH!N5573=TH!$X$7,O5314=TH!$X$7),"x","")</f>
        <v/>
      </c>
      <c r="Y5314" s="75" t="str">
        <f>IF(AND(OR(N5314="131",O5314="131"),H5314='131-CT'!$H$9),"x","")</f>
        <v/>
      </c>
      <c r="Z5314" s="75"/>
      <c r="AA5314" s="75" t="str">
        <f>IF(AND(MONTH(E5314)='IN-NX'!$J$5,'IN-NX'!$D$7=D5314),"x","")</f>
        <v/>
      </c>
      <c r="AB5314" s="75" t="str">
        <f>IF(AND(OR(LEFT(TH!N5573,2)="15",LEFT(TH!O5573,2)="15"),LEFT(TH!O5573,3)&lt;&gt;"111",'152-CT'!$J$8=TH!F5573),"x","")</f>
        <v/>
      </c>
      <c r="AC5314" s="75" t="str">
        <f>IF(AND(OR(LEFT(TH!N5573,2)="15",LEFT(TH!O5573,2)="15"),TK!$E$7=TH!F5573),"x","")</f>
        <v/>
      </c>
      <c r="AD5314" s="75" t="str">
        <f>IF(AND(N5314="1521",MONTH(C5314)='BK-NL'!$M$11),"x","")</f>
        <v/>
      </c>
      <c r="AE5314">
        <v>11</v>
      </c>
    </row>
    <row r="5315" spans="1:31" ht="16.5" customHeight="1">
      <c r="A5315" s="309" t="str">
        <f>IF(B5315&lt;&gt;"",IF(AND(B5315='IN-TC'!$S$4,OR(TH!N5302="1111",TH!O5302="1111")),TH!D5302,""),"")</f>
        <v/>
      </c>
      <c r="B5315" s="1245">
        <f t="shared" si="1350"/>
        <v>11</v>
      </c>
      <c r="C5315" s="292">
        <f t="shared" si="1351"/>
        <v>43046</v>
      </c>
      <c r="D5315" s="292" t="s">
        <v>902</v>
      </c>
      <c r="E5315" s="292">
        <v>43046</v>
      </c>
      <c r="F5315" s="293" t="s">
        <v>1549</v>
      </c>
      <c r="G5315" s="293" t="s">
        <v>747</v>
      </c>
      <c r="H5315" s="294" t="s">
        <v>835</v>
      </c>
      <c r="I5315" s="373"/>
      <c r="J5315" s="382"/>
      <c r="K5315" s="373"/>
      <c r="L5315" s="379"/>
      <c r="M5315" s="60">
        <v>723341</v>
      </c>
      <c r="N5315" s="295" t="s">
        <v>101</v>
      </c>
      <c r="O5315" s="295" t="s">
        <v>26</v>
      </c>
      <c r="P5315" s="75" t="str">
        <f>IF(AND('331-CT'!$E$7=TH!H5574,OR(N5315="331",O5315="331")),"x","")</f>
        <v/>
      </c>
      <c r="Q5315" s="75" t="str">
        <f>IF(AND(B5315='111'!$L$11,OR($N5315=$Q$7,$O5315=$Q$7)),"x","")</f>
        <v/>
      </c>
      <c r="R5315" s="75" t="str">
        <f>IF(AND($N5315=$Q$7,$B5315&lt;'111'!$L$11),"x","")</f>
        <v/>
      </c>
      <c r="S5315" s="75" t="str">
        <f>IF(AND($O5315=$Q$7,$B5315&lt;'111'!$L$11),"x","")</f>
        <v/>
      </c>
      <c r="T5315" s="75" t="str">
        <f>IF(ISERROR(FIND('112'!$M$9,G5315,1)),"",IF((AND(FIND('112'!$M$9,G5315,1)&gt;=1,B5315='112'!$K$9,OR($N5315='112'!$I$6,$O5315='112'!$I$6))),"x",""))</f>
        <v/>
      </c>
      <c r="U5315" s="75" t="str">
        <f>IF(ISERROR(FIND('112'!$M$9,G5315,1)),"",IF((AND(LEFT(G5315,2)=LEFT('112'!$M$9,2),B5315&lt;'112'!$K$9,$N5315='112'!$I$6)),"x",""))</f>
        <v/>
      </c>
      <c r="V5315" s="75" t="str">
        <f>IF(ISERROR(FIND('112'!$M$9,G5315,1)),"",IF((AND(RIGHT(G5315,2)=RIGHT('112'!$M$9,2),B5315&lt;'112'!$K$9,$O5315='112'!$I$6)),"x",""))</f>
        <v/>
      </c>
      <c r="W5315" s="75" t="str">
        <f>IF(AND('341-CT'!$H$9=H5315,OR(LEFT(N5315,3)=$W$7,LEFT(O5315,3)=$W$7)),"x","")</f>
        <v/>
      </c>
      <c r="X5315" s="75" t="str">
        <f>IF(OR(TH!N5574=TH!$X$7,O5315=TH!$X$7),"x","")</f>
        <v/>
      </c>
      <c r="Y5315" s="75" t="str">
        <f>IF(AND(OR(N5315="131",O5315="131"),H5315='131-CT'!$H$9),"x","")</f>
        <v/>
      </c>
      <c r="Z5315" s="75"/>
      <c r="AA5315" s="75" t="str">
        <f>IF(AND(MONTH(E5315)='IN-NX'!$J$5,'IN-NX'!$D$7=D5315),"x","")</f>
        <v/>
      </c>
      <c r="AB5315" s="75" t="str">
        <f>IF(AND(OR(LEFT(TH!N5574,2)="15",LEFT(TH!O5574,2)="15"),LEFT(TH!O5574,3)&lt;&gt;"111",'152-CT'!$J$8=TH!F5574),"x","")</f>
        <v/>
      </c>
      <c r="AC5315" s="75" t="str">
        <f>IF(AND(OR(LEFT(TH!N5574,2)="15",LEFT(TH!O5574,2)="15"),TK!$E$7=TH!F5574),"x","")</f>
        <v/>
      </c>
      <c r="AD5315" s="75" t="str">
        <f>IF(AND(N5315="1521",MONTH(C5315)='BK-NL'!$M$11),"x","")</f>
        <v/>
      </c>
      <c r="AE5315">
        <v>11</v>
      </c>
    </row>
    <row r="5316" spans="1:31" ht="16.5" customHeight="1">
      <c r="A5316" s="309" t="str">
        <f>IF(B5316&lt;&gt;"",IF(AND(B5316='IN-TC'!$S$4,OR(TH!N5303="1111",TH!O5303="1111")),TH!D5303,""),"")</f>
        <v/>
      </c>
      <c r="B5316" s="1245">
        <f t="shared" si="1350"/>
        <v>11</v>
      </c>
      <c r="C5316" s="292">
        <f t="shared" si="1351"/>
        <v>43046</v>
      </c>
      <c r="D5316" s="292" t="s">
        <v>902</v>
      </c>
      <c r="E5316" s="292">
        <v>43046</v>
      </c>
      <c r="F5316" s="293" t="s">
        <v>1552</v>
      </c>
      <c r="G5316" s="293" t="s">
        <v>747</v>
      </c>
      <c r="H5316" s="294" t="s">
        <v>835</v>
      </c>
      <c r="I5316" s="373"/>
      <c r="J5316" s="382"/>
      <c r="K5316" s="373"/>
      <c r="L5316" s="379"/>
      <c r="M5316" s="60">
        <v>72334</v>
      </c>
      <c r="N5316" s="295" t="s">
        <v>9</v>
      </c>
      <c r="O5316" s="295" t="s">
        <v>26</v>
      </c>
      <c r="P5316" s="75" t="str">
        <f>IF(AND('331-CT'!$E$7=TH!H5575,OR(N5316="331",O5316="331")),"x","")</f>
        <v/>
      </c>
      <c r="Q5316" s="75" t="str">
        <f>IF(AND(B5316='111'!$L$11,OR($N5316=$Q$7,$O5316=$Q$7)),"x","")</f>
        <v/>
      </c>
      <c r="R5316" s="75" t="str">
        <f>IF(AND($N5316=$Q$7,$B5316&lt;'111'!$L$11),"x","")</f>
        <v/>
      </c>
      <c r="S5316" s="75" t="str">
        <f>IF(AND($O5316=$Q$7,$B5316&lt;'111'!$L$11),"x","")</f>
        <v/>
      </c>
      <c r="T5316" s="75" t="str">
        <f>IF(ISERROR(FIND('112'!$M$9,G5316,1)),"",IF((AND(FIND('112'!$M$9,G5316,1)&gt;=1,B5316='112'!$K$9,OR($N5316='112'!$I$6,$O5316='112'!$I$6))),"x",""))</f>
        <v/>
      </c>
      <c r="U5316" s="75" t="str">
        <f>IF(ISERROR(FIND('112'!$M$9,G5316,1)),"",IF((AND(LEFT(G5316,2)=LEFT('112'!$M$9,2),B5316&lt;'112'!$K$9,$N5316='112'!$I$6)),"x",""))</f>
        <v/>
      </c>
      <c r="V5316" s="75" t="str">
        <f>IF(ISERROR(FIND('112'!$M$9,G5316,1)),"",IF((AND(RIGHT(G5316,2)=RIGHT('112'!$M$9,2),B5316&lt;'112'!$K$9,$O5316='112'!$I$6)),"x",""))</f>
        <v/>
      </c>
      <c r="W5316" s="75" t="str">
        <f>IF(AND('341-CT'!$H$9=H5316,OR(LEFT(N5316,3)=$W$7,LEFT(O5316,3)=$W$7)),"x","")</f>
        <v/>
      </c>
      <c r="X5316" s="75" t="str">
        <f>IF(OR(TH!N5575=TH!$X$7,O5316=TH!$X$7),"x","")</f>
        <v/>
      </c>
      <c r="Y5316" s="75" t="str">
        <f>IF(AND(OR(N5316="131",O5316="131"),H5316='131-CT'!$H$9),"x","")</f>
        <v/>
      </c>
      <c r="Z5316" s="75"/>
      <c r="AA5316" s="75" t="str">
        <f>IF(AND(MONTH(E5316)='IN-NX'!$J$5,'IN-NX'!$D$7=D5316),"x","")</f>
        <v/>
      </c>
      <c r="AB5316" s="75" t="str">
        <f>IF(AND(OR(LEFT(TH!N5575,2)="15",LEFT(TH!O5575,2)="15"),LEFT(TH!O5575,3)&lt;&gt;"111",'152-CT'!$J$8=TH!F5575),"x","")</f>
        <v/>
      </c>
      <c r="AC5316" s="75" t="str">
        <f>IF(AND(OR(LEFT(TH!N5575,2)="15",LEFT(TH!O5575,2)="15"),TK!$E$7=TH!F5575),"x","")</f>
        <v/>
      </c>
      <c r="AD5316" s="75" t="str">
        <f>IF(AND(N5316="1521",MONTH(C5316)='BK-NL'!$M$11),"x","")</f>
        <v/>
      </c>
      <c r="AE5316">
        <v>11</v>
      </c>
    </row>
    <row r="5317" spans="1:31" ht="16.5" customHeight="1">
      <c r="A5317" s="309" t="str">
        <f>IF(B5317&lt;&gt;"",IF(AND(B5317='IN-TC'!$S$4,OR(TH!N5304="1111",TH!O5304="1111")),TH!D5304,""),"")</f>
        <v/>
      </c>
      <c r="B5317" s="1245">
        <f t="shared" si="1350"/>
        <v>11</v>
      </c>
      <c r="C5317" s="292">
        <f t="shared" si="1351"/>
        <v>43046</v>
      </c>
      <c r="D5317" s="292" t="s">
        <v>902</v>
      </c>
      <c r="E5317" s="292">
        <v>43046</v>
      </c>
      <c r="F5317" s="293" t="s">
        <v>2537</v>
      </c>
      <c r="G5317" s="293" t="s">
        <v>747</v>
      </c>
      <c r="H5317" s="294" t="s">
        <v>560</v>
      </c>
      <c r="I5317" s="373"/>
      <c r="J5317" s="382"/>
      <c r="K5317" s="373"/>
      <c r="L5317" s="379"/>
      <c r="M5317" s="60">
        <v>40000000</v>
      </c>
      <c r="N5317" s="295" t="s">
        <v>8</v>
      </c>
      <c r="O5317" s="295" t="s">
        <v>26</v>
      </c>
      <c r="P5317" s="75" t="str">
        <f>IF(AND('331-CT'!$E$7=TH!H5576,OR(N5317="331",O5317="331")),"x","")</f>
        <v/>
      </c>
      <c r="Q5317" s="75" t="str">
        <f>IF(AND(B5317='111'!$L$11,OR($N5317=$Q$7,$O5317=$Q$7)),"x","")</f>
        <v/>
      </c>
      <c r="R5317" s="75" t="str">
        <f>IF(AND($N5317=$Q$7,$B5317&lt;'111'!$L$11),"x","")</f>
        <v/>
      </c>
      <c r="S5317" s="75" t="str">
        <f>IF(AND($O5317=$Q$7,$B5317&lt;'111'!$L$11),"x","")</f>
        <v/>
      </c>
      <c r="T5317" s="75" t="str">
        <f>IF(ISERROR(FIND('112'!$M$9,G5317,1)),"",IF((AND(FIND('112'!$M$9,G5317,1)&gt;=1,B5317='112'!$K$9,OR($N5317='112'!$I$6,$O5317='112'!$I$6))),"x",""))</f>
        <v/>
      </c>
      <c r="U5317" s="75" t="str">
        <f>IF(ISERROR(FIND('112'!$M$9,G5317,1)),"",IF((AND(LEFT(G5317,2)=LEFT('112'!$M$9,2),B5317&lt;'112'!$K$9,$N5317='112'!$I$6)),"x",""))</f>
        <v/>
      </c>
      <c r="V5317" s="75" t="str">
        <f>IF(ISERROR(FIND('112'!$M$9,G5317,1)),"",IF((AND(RIGHT(G5317,2)=RIGHT('112'!$M$9,2),B5317&lt;'112'!$K$9,$O5317='112'!$I$6)),"x",""))</f>
        <v/>
      </c>
      <c r="W5317" s="75" t="str">
        <f>IF(AND('341-CT'!$H$9=H5317,OR(LEFT(N5317,3)=$W$7,LEFT(O5317,3)=$W$7)),"x","")</f>
        <v/>
      </c>
      <c r="X5317" s="75" t="str">
        <f>IF(OR(TH!N5576=TH!$X$7,O5317=TH!$X$7),"x","")</f>
        <v/>
      </c>
      <c r="Y5317" s="75" t="str">
        <f>IF(AND(OR(N5317="131",O5317="131"),H5317='131-CT'!$H$9),"x","")</f>
        <v/>
      </c>
      <c r="Z5317" s="75"/>
      <c r="AA5317" s="75" t="str">
        <f>IF(AND(MONTH(E5317)='IN-NX'!$J$5,'IN-NX'!$D$7=D5317),"x","")</f>
        <v/>
      </c>
      <c r="AB5317" s="75" t="str">
        <f>IF(AND(OR(LEFT(TH!N5576,2)="15",LEFT(TH!O5576,2)="15"),LEFT(TH!O5576,3)&lt;&gt;"111",'152-CT'!$J$8=TH!F5576),"x","")</f>
        <v/>
      </c>
      <c r="AC5317" s="75" t="str">
        <f>IF(AND(OR(LEFT(TH!N5576,2)="15",LEFT(TH!O5576,2)="15"),TK!$E$7=TH!F5576),"x","")</f>
        <v/>
      </c>
      <c r="AD5317" s="75" t="str">
        <f>IF(AND(N5317="1521",MONTH(C5317)='BK-NL'!$M$11),"x","")</f>
        <v/>
      </c>
    </row>
    <row r="5318" spans="1:31" ht="16.5" customHeight="1">
      <c r="A5318" s="309" t="str">
        <f>IF(B5318&lt;&gt;"",IF(AND(B5318='IN-TC'!$S$4,OR(TH!N5305="1111",TH!O5305="1111")),TH!D5305,""),"")</f>
        <v/>
      </c>
      <c r="B5318" s="1245">
        <f t="shared" si="1350"/>
        <v>11</v>
      </c>
      <c r="C5318" s="292">
        <f t="shared" si="1351"/>
        <v>43046</v>
      </c>
      <c r="D5318" s="292" t="s">
        <v>902</v>
      </c>
      <c r="E5318" s="292">
        <v>43046</v>
      </c>
      <c r="F5318" s="293" t="s">
        <v>1307</v>
      </c>
      <c r="G5318" s="293" t="s">
        <v>747</v>
      </c>
      <c r="H5318" s="294" t="s">
        <v>835</v>
      </c>
      <c r="I5318" s="373"/>
      <c r="J5318" s="382"/>
      <c r="K5318" s="373"/>
      <c r="L5318" s="379"/>
      <c r="M5318" s="60">
        <v>10000</v>
      </c>
      <c r="N5318" s="295" t="s">
        <v>101</v>
      </c>
      <c r="O5318" s="295" t="s">
        <v>26</v>
      </c>
      <c r="P5318" s="75" t="str">
        <f>IF(AND('331-CT'!$E$7=TH!H5577,OR(N5318="331",O5318="331")),"x","")</f>
        <v/>
      </c>
      <c r="Q5318" s="75" t="str">
        <f>IF(AND(B5318='111'!$L$11,OR($N5318=$Q$7,$O5318=$Q$7)),"x","")</f>
        <v/>
      </c>
      <c r="R5318" s="75" t="str">
        <f>IF(AND($N5318=$Q$7,$B5318&lt;'111'!$L$11),"x","")</f>
        <v/>
      </c>
      <c r="S5318" s="75" t="str">
        <f>IF(AND($O5318=$Q$7,$B5318&lt;'111'!$L$11),"x","")</f>
        <v/>
      </c>
      <c r="T5318" s="75" t="str">
        <f>IF(ISERROR(FIND('112'!$M$9,G5318,1)),"",IF((AND(FIND('112'!$M$9,G5318,1)&gt;=1,B5318='112'!$K$9,OR($N5318='112'!$I$6,$O5318='112'!$I$6))),"x",""))</f>
        <v/>
      </c>
      <c r="U5318" s="75" t="str">
        <f>IF(ISERROR(FIND('112'!$M$9,G5318,1)),"",IF((AND(LEFT(G5318,2)=LEFT('112'!$M$9,2),B5318&lt;'112'!$K$9,$N5318='112'!$I$6)),"x",""))</f>
        <v/>
      </c>
      <c r="V5318" s="75" t="str">
        <f>IF(ISERROR(FIND('112'!$M$9,G5318,1)),"",IF((AND(RIGHT(G5318,2)=RIGHT('112'!$M$9,2),B5318&lt;'112'!$K$9,$O5318='112'!$I$6)),"x",""))</f>
        <v/>
      </c>
      <c r="W5318" s="75" t="str">
        <f>IF(AND('341-CT'!$H$9=H5318,OR(LEFT(N5318,3)=$W$7,LEFT(O5318,3)=$W$7)),"x","")</f>
        <v/>
      </c>
      <c r="X5318" s="75" t="str">
        <f>IF(OR(TH!N5577=TH!$X$7,O5318=TH!$X$7),"x","")</f>
        <v/>
      </c>
      <c r="Y5318" s="75" t="str">
        <f>IF(AND(OR(N5318="131",O5318="131"),H5318='131-CT'!$H$9),"x","")</f>
        <v/>
      </c>
      <c r="Z5318" s="75"/>
      <c r="AA5318" s="75" t="str">
        <f>IF(AND(MONTH(E5318)='IN-NX'!$J$5,'IN-NX'!$D$7=D5318),"x","")</f>
        <v/>
      </c>
      <c r="AB5318" s="75" t="str">
        <f>IF(AND(OR(LEFT(TH!N5577,2)="15",LEFT(TH!O5577,2)="15"),LEFT(TH!O5577,3)&lt;&gt;"111",'152-CT'!$J$8=TH!F5577),"x","")</f>
        <v/>
      </c>
      <c r="AC5318" s="75" t="str">
        <f>IF(AND(OR(LEFT(TH!N5577,2)="15",LEFT(TH!O5577,2)="15"),TK!$E$7=TH!F5577),"x","")</f>
        <v/>
      </c>
      <c r="AD5318" s="75" t="str">
        <f>IF(AND(N5318="1521",MONTH(C5318)='BK-NL'!$M$11),"x","")</f>
        <v/>
      </c>
      <c r="AE5318">
        <v>11</v>
      </c>
    </row>
    <row r="5319" spans="1:31" ht="16.5" customHeight="1">
      <c r="A5319" s="309" t="str">
        <f>IF(B5319&lt;&gt;"",IF(AND(B5319='IN-TC'!$S$4,OR(TH!N5306="1111",TH!O5306="1111")),TH!D5306,""),"")</f>
        <v/>
      </c>
      <c r="B5319" s="1245">
        <f t="shared" si="1350"/>
        <v>11</v>
      </c>
      <c r="C5319" s="292">
        <f t="shared" si="1351"/>
        <v>43046</v>
      </c>
      <c r="D5319" s="292" t="s">
        <v>902</v>
      </c>
      <c r="E5319" s="292">
        <v>43046</v>
      </c>
      <c r="F5319" s="293" t="s">
        <v>1314</v>
      </c>
      <c r="G5319" s="293" t="s">
        <v>747</v>
      </c>
      <c r="H5319" s="294" t="s">
        <v>835</v>
      </c>
      <c r="I5319" s="373"/>
      <c r="J5319" s="382"/>
      <c r="K5319" s="373"/>
      <c r="L5319" s="379"/>
      <c r="M5319" s="60">
        <v>1000</v>
      </c>
      <c r="N5319" s="295" t="s">
        <v>9</v>
      </c>
      <c r="O5319" s="295" t="s">
        <v>26</v>
      </c>
      <c r="P5319" s="75" t="str">
        <f>IF(AND('331-CT'!$E$7=TH!H5578,OR(N5319="331",O5319="331")),"x","")</f>
        <v/>
      </c>
      <c r="Q5319" s="75" t="str">
        <f>IF(AND(B5319='111'!$L$11,OR($N5319=$Q$7,$O5319=$Q$7)),"x","")</f>
        <v/>
      </c>
      <c r="R5319" s="75" t="str">
        <f>IF(AND($N5319=$Q$7,$B5319&lt;'111'!$L$11),"x","")</f>
        <v/>
      </c>
      <c r="S5319" s="75" t="str">
        <f>IF(AND($O5319=$Q$7,$B5319&lt;'111'!$L$11),"x","")</f>
        <v/>
      </c>
      <c r="T5319" s="75" t="str">
        <f>IF(ISERROR(FIND('112'!$M$9,G5319,1)),"",IF((AND(FIND('112'!$M$9,G5319,1)&gt;=1,B5319='112'!$K$9,OR($N5319='112'!$I$6,$O5319='112'!$I$6))),"x",""))</f>
        <v/>
      </c>
      <c r="U5319" s="75" t="str">
        <f>IF(ISERROR(FIND('112'!$M$9,G5319,1)),"",IF((AND(LEFT(G5319,2)=LEFT('112'!$M$9,2),B5319&lt;'112'!$K$9,$N5319='112'!$I$6)),"x",""))</f>
        <v/>
      </c>
      <c r="V5319" s="75" t="str">
        <f>IF(ISERROR(FIND('112'!$M$9,G5319,1)),"",IF((AND(RIGHT(G5319,2)=RIGHT('112'!$M$9,2),B5319&lt;'112'!$K$9,$O5319='112'!$I$6)),"x",""))</f>
        <v/>
      </c>
      <c r="W5319" s="75" t="str">
        <f>IF(AND('341-CT'!$H$9=H5319,OR(LEFT(N5319,3)=$W$7,LEFT(O5319,3)=$W$7)),"x","")</f>
        <v/>
      </c>
      <c r="X5319" s="75" t="str">
        <f>IF(OR(TH!N5578=TH!$X$7,O5319=TH!$X$7),"x","")</f>
        <v/>
      </c>
      <c r="Y5319" s="75" t="str">
        <f>IF(AND(OR(N5319="131",O5319="131"),H5319='131-CT'!$H$9),"x","")</f>
        <v/>
      </c>
      <c r="Z5319" s="75"/>
      <c r="AA5319" s="75" t="str">
        <f>IF(AND(MONTH(E5319)='IN-NX'!$J$5,'IN-NX'!$D$7=D5319),"x","")</f>
        <v/>
      </c>
      <c r="AB5319" s="75" t="str">
        <f>IF(AND(OR(LEFT(TH!N5578,2)="15",LEFT(TH!O5578,2)="15"),LEFT(TH!O5578,3)&lt;&gt;"111",'152-CT'!$J$8=TH!F5578),"x","")</f>
        <v/>
      </c>
      <c r="AC5319" s="75" t="str">
        <f>IF(AND(OR(LEFT(TH!N5578,2)="15",LEFT(TH!O5578,2)="15"),TK!$E$7=TH!F5578),"x","")</f>
        <v/>
      </c>
      <c r="AD5319" s="75" t="str">
        <f>IF(AND(N5319="1521",MONTH(C5319)='BK-NL'!$M$11),"x","")</f>
        <v/>
      </c>
      <c r="AE5319">
        <v>11</v>
      </c>
    </row>
    <row r="5320" spans="1:31" ht="16.5" customHeight="1">
      <c r="A5320" s="309" t="str">
        <f>IF(B5320&lt;&gt;"",IF(AND(B5320='IN-TC'!$S$4,OR(TH!N5307="1111",TH!O5307="1111")),TH!D5307,""),"")</f>
        <v/>
      </c>
      <c r="B5320" s="1245">
        <f t="shared" si="1350"/>
        <v>11</v>
      </c>
      <c r="C5320" s="292">
        <f t="shared" si="1351"/>
        <v>43047</v>
      </c>
      <c r="D5320" s="59" t="s">
        <v>903</v>
      </c>
      <c r="E5320" s="59">
        <v>43047</v>
      </c>
      <c r="F5320" s="62" t="s">
        <v>914</v>
      </c>
      <c r="G5320" s="62" t="s">
        <v>586</v>
      </c>
      <c r="H5320" s="67" t="s">
        <v>982</v>
      </c>
      <c r="I5320" s="375"/>
      <c r="J5320" s="382"/>
      <c r="K5320" s="375"/>
      <c r="L5320" s="381"/>
      <c r="M5320" s="60">
        <v>233</v>
      </c>
      <c r="N5320" s="61" t="s">
        <v>26</v>
      </c>
      <c r="O5320" s="295" t="s">
        <v>43</v>
      </c>
      <c r="P5320" s="75" t="str">
        <f>IF(AND('331-CT'!$E$7=TH!H4424,OR(N5320="331",O5320="331")),"x","")</f>
        <v/>
      </c>
      <c r="Q5320" s="75" t="str">
        <f>IF(AND(B5320='111'!$L$11,OR($N5320=$Q$7,$O5320=$Q$7)),"x","")</f>
        <v/>
      </c>
      <c r="R5320" s="75" t="str">
        <f>IF(AND($N5320=$Q$7,$B5320&lt;'111'!$L$11),"x","")</f>
        <v/>
      </c>
      <c r="S5320" s="75" t="str">
        <f>IF(AND($O5320=$Q$7,$B5320&lt;'111'!$L$11),"x","")</f>
        <v/>
      </c>
      <c r="T5320" s="75" t="str">
        <f>IF(ISERROR(FIND('112'!$M$9,G5320,1)),"",IF((AND(FIND('112'!$M$9,G5320,1)&gt;=1,B5320='112'!$K$9,OR($N5320='112'!$I$6,$O5320='112'!$I$6))),"x",""))</f>
        <v/>
      </c>
      <c r="U5320" s="75" t="str">
        <f>IF(ISERROR(FIND('112'!$M$9,G5320,1)),"",IF((AND(LEFT(G5320,2)=LEFT('112'!$M$9,2),B5320&lt;'112'!$K$9,$N5320='112'!$I$6)),"x",""))</f>
        <v>x</v>
      </c>
      <c r="V5320" s="75" t="str">
        <f>IF(ISERROR(FIND('112'!$M$9,G5320,1)),"",IF((AND(RIGHT(G5320,2)=RIGHT('112'!$M$9,2),B5320&lt;'112'!$K$9,$O5320='112'!$I$6)),"x",""))</f>
        <v/>
      </c>
      <c r="W5320" s="75" t="str">
        <f>IF(AND('341-CT'!$H$9=H5320,OR(LEFT(N5320,3)=$W$7,LEFT(O5320,3)=$W$7)),"x","")</f>
        <v/>
      </c>
      <c r="X5320" s="75" t="str">
        <f>IF(OR(TH!N4424=TH!$X$7,O5320=TH!$X$7),"x","")</f>
        <v/>
      </c>
      <c r="Y5320" s="75" t="str">
        <f>IF(AND(OR(N5320="131",O5320="131"),H5320='131-CT'!$H$9),"x","")</f>
        <v/>
      </c>
      <c r="Z5320" s="75"/>
      <c r="AA5320" s="75" t="str">
        <f>IF(AND(MONTH(E5320)='IN-NX'!$J$5,'IN-NX'!$D$7=D5320),"x","")</f>
        <v/>
      </c>
      <c r="AB5320" s="75" t="str">
        <f>IF(AND(OR(LEFT(TH!N4424,2)="15",LEFT(TH!O4424,2)="15"),LEFT(TH!O4424,3)&lt;&gt;"111",'152-CT'!$J$8=TH!F4424),"x","")</f>
        <v/>
      </c>
      <c r="AC5320" s="75" t="str">
        <f>IF(AND(OR(LEFT(TH!N4424,2)="15",LEFT(TH!O4424,2)="15"),TK!$E$7=TH!F4424),"x","")</f>
        <v/>
      </c>
      <c r="AD5320" s="75" t="str">
        <f>IF(AND(N5320="1521",MONTH(C5320)='BK-NL'!$M$11),"x","")</f>
        <v/>
      </c>
    </row>
    <row r="5321" spans="1:31" ht="16.5" customHeight="1">
      <c r="A5321" s="309" t="str">
        <f>IF(B5321&lt;&gt;"",IF(AND(B5321='IN-TC'!$S$4,OR(TH!N5308="1111",TH!O5308="1111")),TH!D5308,""),"")</f>
        <v/>
      </c>
      <c r="B5321" s="1245">
        <f t="shared" si="1350"/>
        <v>11</v>
      </c>
      <c r="C5321" s="292">
        <f t="shared" si="1351"/>
        <v>43047</v>
      </c>
      <c r="D5321" s="59" t="s">
        <v>902</v>
      </c>
      <c r="E5321" s="59">
        <v>43047</v>
      </c>
      <c r="F5321" s="62" t="s">
        <v>1307</v>
      </c>
      <c r="G5321" s="62" t="s">
        <v>747</v>
      </c>
      <c r="H5321" s="67" t="s">
        <v>759</v>
      </c>
      <c r="I5321" s="373"/>
      <c r="J5321" s="382"/>
      <c r="K5321" s="373"/>
      <c r="L5321" s="379"/>
      <c r="M5321" s="60">
        <v>2502500</v>
      </c>
      <c r="N5321" s="61" t="s">
        <v>101</v>
      </c>
      <c r="O5321" s="61" t="s">
        <v>26</v>
      </c>
      <c r="P5321" s="75" t="str">
        <f>IF(AND('331-CT'!$E$7=TH!H5579,OR(N5321="331",O5321="331")),"x","")</f>
        <v/>
      </c>
      <c r="Q5321" s="75" t="str">
        <f>IF(AND(B5321='111'!$L$11,OR($N5321=$Q$7,$O5321=$Q$7)),"x","")</f>
        <v/>
      </c>
      <c r="R5321" s="75" t="str">
        <f>IF(AND($N5321=$Q$7,$B5321&lt;'111'!$L$11),"x","")</f>
        <v/>
      </c>
      <c r="S5321" s="75" t="str">
        <f>IF(AND($O5321=$Q$7,$B5321&lt;'111'!$L$11),"x","")</f>
        <v/>
      </c>
      <c r="T5321" s="75" t="str">
        <f>IF(ISERROR(FIND('112'!$M$9,G5321,1)),"",IF((AND(FIND('112'!$M$9,G5321,1)&gt;=1,B5321='112'!$K$9,OR($N5321='112'!$I$6,$O5321='112'!$I$6))),"x",""))</f>
        <v/>
      </c>
      <c r="U5321" s="75" t="str">
        <f>IF(ISERROR(FIND('112'!$M$9,G5321,1)),"",IF((AND(LEFT(G5321,2)=LEFT('112'!$M$9,2),B5321&lt;'112'!$K$9,$N5321='112'!$I$6)),"x",""))</f>
        <v/>
      </c>
      <c r="V5321" s="75" t="str">
        <f>IF(ISERROR(FIND('112'!$M$9,G5321,1)),"",IF((AND(RIGHT(G5321,2)=RIGHT('112'!$M$9,2),B5321&lt;'112'!$K$9,$O5321='112'!$I$6)),"x",""))</f>
        <v/>
      </c>
      <c r="W5321" s="75" t="str">
        <f>IF(AND('341-CT'!$H$9=H5321,OR(LEFT(N5321,3)=$W$7,LEFT(O5321,3)=$W$7)),"x","")</f>
        <v/>
      </c>
      <c r="X5321" s="75" t="str">
        <f>IF(OR(TH!N5579=TH!$X$7,O5321=TH!$X$7),"x","")</f>
        <v/>
      </c>
      <c r="Y5321" s="75" t="str">
        <f>IF(AND(OR(N5321="131",O5321="131"),H5321='131-CT'!$H$9),"x","")</f>
        <v/>
      </c>
      <c r="Z5321" s="75"/>
      <c r="AA5321" s="75" t="str">
        <f>IF(AND(MONTH(E5321)='IN-NX'!$J$5,'IN-NX'!$D$7=D5321),"x","")</f>
        <v/>
      </c>
      <c r="AB5321" s="75" t="str">
        <f>IF(AND(OR(LEFT(TH!N5579,2)="15",LEFT(TH!O5579,2)="15"),LEFT(TH!O5579,3)&lt;&gt;"111",'152-CT'!$J$8=TH!F5579),"x","")</f>
        <v/>
      </c>
      <c r="AC5321" s="75" t="str">
        <f>IF(AND(OR(LEFT(TH!N5579,2)="15",LEFT(TH!O5579,2)="15"),TK!$E$7=TH!F5579),"x","")</f>
        <v/>
      </c>
      <c r="AD5321" s="75" t="str">
        <f>IF(AND(N5321="1521",MONTH(C5321)='BK-NL'!$M$11),"x","")</f>
        <v/>
      </c>
    </row>
    <row r="5322" spans="1:31" ht="16.5" customHeight="1">
      <c r="A5322" s="309" t="str">
        <f>IF(B5322&lt;&gt;"",IF(AND(B5322='IN-TC'!$S$4,OR(TH!N5309="1111",TH!O5309="1111")),TH!D5309,""),"")</f>
        <v/>
      </c>
      <c r="B5322" s="1245">
        <f t="shared" si="1350"/>
        <v>11</v>
      </c>
      <c r="C5322" s="292">
        <f t="shared" si="1351"/>
        <v>43048</v>
      </c>
      <c r="D5322" s="59"/>
      <c r="E5322" s="59">
        <v>43048</v>
      </c>
      <c r="F5322" s="62" t="s">
        <v>221</v>
      </c>
      <c r="G5322" s="742" t="s">
        <v>2628</v>
      </c>
      <c r="H5322" s="67" t="s">
        <v>556</v>
      </c>
      <c r="I5322" s="375"/>
      <c r="J5322" s="382"/>
      <c r="K5322" s="375"/>
      <c r="L5322" s="381"/>
      <c r="M5322" s="60">
        <v>11386364</v>
      </c>
      <c r="N5322" s="61" t="s">
        <v>272</v>
      </c>
      <c r="O5322" s="61" t="s">
        <v>63</v>
      </c>
      <c r="P5322" s="75" t="str">
        <f>IF(AND('331-CT'!$E$7=TH!H4092,OR(N5322="331",O5322="331")),"x","")</f>
        <v/>
      </c>
      <c r="Q5322" s="75" t="str">
        <f>IF(AND(B5322='111'!$L$11,OR($N5322=$Q$7,$O5322=$Q$7)),"x","")</f>
        <v/>
      </c>
      <c r="R5322" s="75" t="str">
        <f>IF(AND($N5322=$Q$7,$B5322&lt;'111'!$L$11),"x","")</f>
        <v/>
      </c>
      <c r="S5322" s="75" t="str">
        <f>IF(AND($O5322=$Q$7,$B5322&lt;'111'!$L$11),"x","")</f>
        <v>x</v>
      </c>
      <c r="T5322" s="75" t="str">
        <f>IF(ISERROR(FIND('112'!$M$9,G5322,1)),"",IF((AND(FIND('112'!$M$9,G5322,1)&gt;=1,B5322='112'!$K$9,OR($N5322='112'!$I$6,$O5322='112'!$I$6))),"x",""))</f>
        <v/>
      </c>
      <c r="U5322" s="75" t="str">
        <f>IF(ISERROR(FIND('112'!$M$9,G5322,1)),"",IF((AND(LEFT(G5322,2)=LEFT('112'!$M$9,2),B5322&lt;'112'!$K$9,$N5322='112'!$I$6)),"x",""))</f>
        <v/>
      </c>
      <c r="V5322" s="75" t="str">
        <f>IF(ISERROR(FIND('112'!$M$9,G5322,1)),"",IF((AND(RIGHT(G5322,2)=RIGHT('112'!$M$9,2),B5322&lt;'112'!$K$9,$O5322='112'!$I$6)),"x",""))</f>
        <v/>
      </c>
      <c r="W5322" s="75" t="str">
        <f>IF(AND('341-CT'!$H$9=H5322,OR(LEFT(N5322,3)=$W$7,LEFT(O5322,3)=$W$7)),"x","")</f>
        <v/>
      </c>
      <c r="X5322" s="75" t="str">
        <f>IF(OR(TH!N4092=TH!$X$7,O5322=TH!$X$7),"x","")</f>
        <v/>
      </c>
      <c r="Y5322" s="75" t="str">
        <f>IF(AND(OR(N5322="131",O5322="131"),H5322='131-CT'!$H$9),"x","")</f>
        <v/>
      </c>
      <c r="Z5322" s="75"/>
      <c r="AA5322" s="75" t="str">
        <f>IF(AND(MONTH(E5322)='IN-NX'!$J$5,'IN-NX'!$D$7=D5322),"x","")</f>
        <v/>
      </c>
      <c r="AB5322" s="75" t="str">
        <f>IF(AND(OR(LEFT(TH!N4092,2)="15",LEFT(TH!O4092,2)="15"),LEFT(TH!O4092,3)&lt;&gt;"111",'152-CT'!$J$8=TH!F4092),"x","")</f>
        <v/>
      </c>
      <c r="AC5322" s="75" t="str">
        <f>IF(AND(OR(LEFT(TH!N4092,2)="15",LEFT(TH!O4092,2)="15"),TK!$E$7=TH!F4092),"x","")</f>
        <v/>
      </c>
      <c r="AD5322" s="75" t="str">
        <f>IF(AND(N5322="1521",MONTH(C5322)='BK-NL'!$M$11),"x","")</f>
        <v/>
      </c>
      <c r="AE5322">
        <v>11</v>
      </c>
    </row>
    <row r="5323" spans="1:31" ht="16.5" customHeight="1">
      <c r="A5323" s="309" t="str">
        <f>IF(B5323&lt;&gt;"",IF(AND(B5323='IN-TC'!$S$4,OR(TH!N5310="1111",TH!O5310="1111")),TH!D5310,""),"")</f>
        <v/>
      </c>
      <c r="B5323" s="1245">
        <f t="shared" si="1350"/>
        <v>11</v>
      </c>
      <c r="C5323" s="292">
        <f t="shared" si="1351"/>
        <v>43048</v>
      </c>
      <c r="D5323" s="59"/>
      <c r="E5323" s="59">
        <v>43048</v>
      </c>
      <c r="F5323" s="62" t="s">
        <v>943</v>
      </c>
      <c r="G5323" s="742" t="s">
        <v>2628</v>
      </c>
      <c r="H5323" s="67" t="s">
        <v>556</v>
      </c>
      <c r="I5323" s="375"/>
      <c r="J5323" s="382"/>
      <c r="K5323" s="375"/>
      <c r="L5323" s="381"/>
      <c r="M5323" s="60">
        <v>1138636</v>
      </c>
      <c r="N5323" s="61" t="s">
        <v>9</v>
      </c>
      <c r="O5323" s="61" t="s">
        <v>63</v>
      </c>
      <c r="P5323" s="75" t="str">
        <f>IF(AND('331-CT'!$E$7=TH!H4093,OR(N5323="331",O5323="331")),"x","")</f>
        <v/>
      </c>
      <c r="Q5323" s="75" t="str">
        <f>IF(AND(B5323='111'!$L$11,OR($N5323=$Q$7,$O5323=$Q$7)),"x","")</f>
        <v/>
      </c>
      <c r="R5323" s="75" t="str">
        <f>IF(AND($N5323=$Q$7,$B5323&lt;'111'!$L$11),"x","")</f>
        <v/>
      </c>
      <c r="S5323" s="75" t="str">
        <f>IF(AND($O5323=$Q$7,$B5323&lt;'111'!$L$11),"x","")</f>
        <v>x</v>
      </c>
      <c r="T5323" s="75" t="str">
        <f>IF(ISERROR(FIND('112'!$M$9,G5323,1)),"",IF((AND(FIND('112'!$M$9,G5323,1)&gt;=1,B5323='112'!$K$9,OR($N5323='112'!$I$6,$O5323='112'!$I$6))),"x",""))</f>
        <v/>
      </c>
      <c r="U5323" s="75" t="str">
        <f>IF(ISERROR(FIND('112'!$M$9,G5323,1)),"",IF((AND(LEFT(G5323,2)=LEFT('112'!$M$9,2),B5323&lt;'112'!$K$9,$N5323='112'!$I$6)),"x",""))</f>
        <v/>
      </c>
      <c r="V5323" s="75" t="str">
        <f>IF(ISERROR(FIND('112'!$M$9,G5323,1)),"",IF((AND(RIGHT(G5323,2)=RIGHT('112'!$M$9,2),B5323&lt;'112'!$K$9,$O5323='112'!$I$6)),"x",""))</f>
        <v/>
      </c>
      <c r="W5323" s="75" t="str">
        <f>IF(AND('341-CT'!$H$9=H5323,OR(LEFT(N5323,3)=$W$7,LEFT(O5323,3)=$W$7)),"x","")</f>
        <v/>
      </c>
      <c r="X5323" s="75" t="str">
        <f>IF(OR(TH!N4093=TH!$X$7,O5323=TH!$X$7),"x","")</f>
        <v/>
      </c>
      <c r="Y5323" s="75" t="str">
        <f>IF(AND(OR(N5323="131",O5323="131"),H5323='131-CT'!$H$9),"x","")</f>
        <v/>
      </c>
      <c r="Z5323" s="75"/>
      <c r="AA5323" s="75" t="str">
        <f>IF(AND(MONTH(E5323)='IN-NX'!$J$5,'IN-NX'!$D$7=D5323),"x","")</f>
        <v/>
      </c>
      <c r="AB5323" s="75" t="str">
        <f>IF(AND(OR(LEFT(TH!N4093,2)="15",LEFT(TH!O4093,2)="15"),LEFT(TH!O4093,3)&lt;&gt;"111",'152-CT'!$J$8=TH!F4093),"x","")</f>
        <v/>
      </c>
      <c r="AC5323" s="75" t="str">
        <f>IF(AND(OR(LEFT(TH!N4093,2)="15",LEFT(TH!O4093,2)="15"),TK!$E$7=TH!F4093),"x","")</f>
        <v/>
      </c>
      <c r="AD5323" s="75" t="str">
        <f>IF(AND(N5323="1521",MONTH(C5323)='BK-NL'!$M$11),"x","")</f>
        <v/>
      </c>
      <c r="AE5323">
        <v>11</v>
      </c>
    </row>
    <row r="5324" spans="1:31" ht="16.5" customHeight="1">
      <c r="A5324" s="309" t="str">
        <f>IF(B5324&lt;&gt;"",IF(AND(B5324='IN-TC'!$S$4,OR(TH!N5311="1111",TH!O5311="1111")),TH!D5311,""),"")</f>
        <v/>
      </c>
      <c r="B5324" s="1245">
        <f t="shared" si="1350"/>
        <v>11</v>
      </c>
      <c r="C5324" s="292">
        <f t="shared" si="1351"/>
        <v>43048</v>
      </c>
      <c r="D5324" s="292" t="s">
        <v>903</v>
      </c>
      <c r="E5324" s="292">
        <v>43048</v>
      </c>
      <c r="F5324" s="67" t="s">
        <v>907</v>
      </c>
      <c r="G5324" s="293" t="s">
        <v>1713</v>
      </c>
      <c r="H5324" s="294" t="s">
        <v>1771</v>
      </c>
      <c r="I5324" s="373"/>
      <c r="J5324" s="926"/>
      <c r="K5324" s="373">
        <v>519000</v>
      </c>
      <c r="L5324" s="379">
        <v>22709</v>
      </c>
      <c r="M5324" s="74">
        <f>ROUND(K5324*L5324,0)</f>
        <v>11785971000</v>
      </c>
      <c r="N5324" s="295" t="s">
        <v>26</v>
      </c>
      <c r="O5324" s="295" t="s">
        <v>256</v>
      </c>
      <c r="P5324" s="75" t="str">
        <f>IF(AND('331-CT'!$E$7=TH!H4528,OR(N5324="331",O5324="331")),"x","")</f>
        <v/>
      </c>
      <c r="Q5324" s="75" t="str">
        <f>IF(AND(B5324='111'!$L$11,OR($N5324=$Q$7,$O5324=$Q$7)),"x","")</f>
        <v/>
      </c>
      <c r="R5324" s="75" t="str">
        <f>IF(AND($N5324=$Q$7,$B5324&lt;'111'!$L$11),"x","")</f>
        <v/>
      </c>
      <c r="S5324" s="75" t="str">
        <f>IF(AND($O5324=$Q$7,$B5324&lt;'111'!$L$11),"x","")</f>
        <v/>
      </c>
      <c r="T5324" s="75" t="str">
        <f>IF(ISERROR(FIND('112'!$M$9,G5324,1)),"",IF((AND(FIND('112'!$M$9,G5324,1)&gt;=1,B5324='112'!$K$9,OR($N5324='112'!$I$6,$O5324='112'!$I$6))),"x",""))</f>
        <v/>
      </c>
      <c r="U5324" s="75" t="str">
        <f>IF(ISERROR(FIND('112'!$M$9,G5324,1)),"",IF((AND(LEFT(G5324,2)=LEFT('112'!$M$9,2),B5324&lt;'112'!$K$9,$N5324='112'!$I$6)),"x",""))</f>
        <v/>
      </c>
      <c r="V5324" s="75" t="str">
        <f>IF(ISERROR(FIND('112'!$M$9,G5324,1)),"",IF((AND(RIGHT(G5324,2)=RIGHT('112'!$M$9,2),B5324&lt;'112'!$K$9,$O5324='112'!$I$6)),"x",""))</f>
        <v/>
      </c>
      <c r="W5324" s="75" t="str">
        <f>IF(AND('341-CT'!$H$9=H5324,OR(LEFT(N5324,3)=$W$7,LEFT(O5324,3)=$W$7)),"x","")</f>
        <v/>
      </c>
      <c r="X5324" s="75" t="str">
        <f>IF(OR(TH!N4528=TH!$X$7,O5324=TH!$X$7),"x","")</f>
        <v/>
      </c>
      <c r="Y5324" s="75" t="str">
        <f>IF(AND(OR(N5324="131",O5324="131"),H5324='131-CT'!$H$9),"x","")</f>
        <v/>
      </c>
      <c r="Z5324" s="75"/>
      <c r="AA5324" s="75" t="str">
        <f>IF(AND(MONTH(E5324)='IN-NX'!$J$5,'IN-NX'!$D$7=D5324),"x","")</f>
        <v/>
      </c>
      <c r="AB5324" s="75" t="str">
        <f>IF(AND(OR(LEFT(TH!N4528,2)="15",LEFT(TH!O4528,2)="15"),LEFT(TH!O4528,3)&lt;&gt;"111",'152-CT'!$J$8=TH!F4528),"x","")</f>
        <v/>
      </c>
      <c r="AC5324" s="75" t="str">
        <f>IF(AND(OR(LEFT(TH!N4528,2)="15",LEFT(TH!O4528,2)="15"),TK!$E$7=TH!F4528),"x","")</f>
        <v/>
      </c>
      <c r="AD5324" s="75" t="str">
        <f>IF(AND(N5324="1521",MONTH(C5324)='BK-NL'!$M$11),"x","")</f>
        <v/>
      </c>
    </row>
    <row r="5325" spans="1:31" ht="16.5" customHeight="1">
      <c r="A5325" s="309" t="str">
        <f>IF(B5325&lt;&gt;"",IF(AND(B5325='IN-TC'!$S$4,OR(TH!N5312="1111",TH!O5312="1111")),TH!D5312,""),"")</f>
        <v/>
      </c>
      <c r="B5325" s="1245">
        <f t="shared" si="1350"/>
        <v>11</v>
      </c>
      <c r="C5325" s="292">
        <f t="shared" si="1351"/>
        <v>43048</v>
      </c>
      <c r="D5325" s="292" t="s">
        <v>902</v>
      </c>
      <c r="E5325" s="292">
        <v>43048</v>
      </c>
      <c r="F5325" s="293" t="s">
        <v>2538</v>
      </c>
      <c r="G5325" s="293" t="s">
        <v>747</v>
      </c>
      <c r="H5325" s="294" t="s">
        <v>563</v>
      </c>
      <c r="I5325" s="373"/>
      <c r="J5325" s="382"/>
      <c r="K5325" s="373"/>
      <c r="L5325" s="379"/>
      <c r="M5325" s="60">
        <v>36547610</v>
      </c>
      <c r="N5325" s="295" t="s">
        <v>8</v>
      </c>
      <c r="O5325" s="295" t="s">
        <v>26</v>
      </c>
      <c r="P5325" s="75" t="str">
        <f>IF(AND('331-CT'!$E$7=TH!H5580,OR(N5325="331",O5325="331")),"x","")</f>
        <v/>
      </c>
      <c r="Q5325" s="75" t="str">
        <f>IF(AND(B5325='111'!$L$11,OR($N5325=$Q$7,$O5325=$Q$7)),"x","")</f>
        <v/>
      </c>
      <c r="R5325" s="75" t="str">
        <f>IF(AND($N5325=$Q$7,$B5325&lt;'111'!$L$11),"x","")</f>
        <v/>
      </c>
      <c r="S5325" s="75" t="str">
        <f>IF(AND($O5325=$Q$7,$B5325&lt;'111'!$L$11),"x","")</f>
        <v/>
      </c>
      <c r="T5325" s="75" t="str">
        <f>IF(ISERROR(FIND('112'!$M$9,G5325,1)),"",IF((AND(FIND('112'!$M$9,G5325,1)&gt;=1,B5325='112'!$K$9,OR($N5325='112'!$I$6,$O5325='112'!$I$6))),"x",""))</f>
        <v/>
      </c>
      <c r="U5325" s="75" t="str">
        <f>IF(ISERROR(FIND('112'!$M$9,G5325,1)),"",IF((AND(LEFT(G5325,2)=LEFT('112'!$M$9,2),B5325&lt;'112'!$K$9,$N5325='112'!$I$6)),"x",""))</f>
        <v/>
      </c>
      <c r="V5325" s="75" t="str">
        <f>IF(ISERROR(FIND('112'!$M$9,G5325,1)),"",IF((AND(RIGHT(G5325,2)=RIGHT('112'!$M$9,2),B5325&lt;'112'!$K$9,$O5325='112'!$I$6)),"x",""))</f>
        <v/>
      </c>
      <c r="W5325" s="75" t="str">
        <f>IF(AND('341-CT'!$H$9=H5325,OR(LEFT(N5325,3)=$W$7,LEFT(O5325,3)=$W$7)),"x","")</f>
        <v/>
      </c>
      <c r="X5325" s="75" t="str">
        <f>IF(OR(TH!N5580=TH!$X$7,O5325=TH!$X$7),"x","")</f>
        <v/>
      </c>
      <c r="Y5325" s="75" t="str">
        <f>IF(AND(OR(N5325="131",O5325="131"),H5325='131-CT'!$H$9),"x","")</f>
        <v/>
      </c>
      <c r="Z5325" s="75"/>
      <c r="AA5325" s="75" t="str">
        <f>IF(AND(MONTH(E5325)='IN-NX'!$J$5,'IN-NX'!$D$7=D5325),"x","")</f>
        <v/>
      </c>
      <c r="AB5325" s="75" t="str">
        <f>IF(AND(OR(LEFT(TH!N5580,2)="15",LEFT(TH!O5580,2)="15"),LEFT(TH!O5580,3)&lt;&gt;"111",'152-CT'!$J$8=TH!F5580),"x","")</f>
        <v/>
      </c>
      <c r="AC5325" s="75" t="str">
        <f>IF(AND(OR(LEFT(TH!N5580,2)="15",LEFT(TH!O5580,2)="15"),TK!$E$7=TH!F5580),"x","")</f>
        <v/>
      </c>
      <c r="AD5325" s="75" t="str">
        <f>IF(AND(N5325="1521",MONTH(C5325)='BK-NL'!$M$11),"x","")</f>
        <v/>
      </c>
    </row>
    <row r="5326" spans="1:31" ht="16.5" customHeight="1">
      <c r="A5326" s="309" t="str">
        <f>IF(B5326&lt;&gt;"",IF(AND(B5326='IN-TC'!$S$4,OR(TH!N5313="1111",TH!O5313="1111")),TH!D5313,""),"")</f>
        <v/>
      </c>
      <c r="B5326" s="1245">
        <f t="shared" si="1350"/>
        <v>11</v>
      </c>
      <c r="C5326" s="292">
        <f t="shared" si="1351"/>
        <v>43048</v>
      </c>
      <c r="D5326" s="292" t="s">
        <v>902</v>
      </c>
      <c r="E5326" s="292">
        <v>43048</v>
      </c>
      <c r="F5326" s="293" t="s">
        <v>1307</v>
      </c>
      <c r="G5326" s="293" t="s">
        <v>747</v>
      </c>
      <c r="H5326" s="294" t="s">
        <v>835</v>
      </c>
      <c r="I5326" s="373"/>
      <c r="J5326" s="382"/>
      <c r="K5326" s="373"/>
      <c r="L5326" s="379"/>
      <c r="M5326" s="60">
        <v>10000</v>
      </c>
      <c r="N5326" s="295" t="s">
        <v>101</v>
      </c>
      <c r="O5326" s="295" t="s">
        <v>26</v>
      </c>
      <c r="P5326" s="75" t="str">
        <f>IF(AND('331-CT'!$E$7=TH!H5581,OR(N5326="331",O5326="331")),"x","")</f>
        <v/>
      </c>
      <c r="Q5326" s="75" t="str">
        <f>IF(AND(B5326='111'!$L$11,OR($N5326=$Q$7,$O5326=$Q$7)),"x","")</f>
        <v/>
      </c>
      <c r="R5326" s="75" t="str">
        <f>IF(AND($N5326=$Q$7,$B5326&lt;'111'!$L$11),"x","")</f>
        <v/>
      </c>
      <c r="S5326" s="75" t="str">
        <f>IF(AND($O5326=$Q$7,$B5326&lt;'111'!$L$11),"x","")</f>
        <v/>
      </c>
      <c r="T5326" s="75" t="str">
        <f>IF(ISERROR(FIND('112'!$M$9,G5326,1)),"",IF((AND(FIND('112'!$M$9,G5326,1)&gt;=1,B5326='112'!$K$9,OR($N5326='112'!$I$6,$O5326='112'!$I$6))),"x",""))</f>
        <v/>
      </c>
      <c r="U5326" s="75" t="str">
        <f>IF(ISERROR(FIND('112'!$M$9,G5326,1)),"",IF((AND(LEFT(G5326,2)=LEFT('112'!$M$9,2),B5326&lt;'112'!$K$9,$N5326='112'!$I$6)),"x",""))</f>
        <v/>
      </c>
      <c r="V5326" s="75" t="str">
        <f>IF(ISERROR(FIND('112'!$M$9,G5326,1)),"",IF((AND(RIGHT(G5326,2)=RIGHT('112'!$M$9,2),B5326&lt;'112'!$K$9,$O5326='112'!$I$6)),"x",""))</f>
        <v/>
      </c>
      <c r="W5326" s="75" t="str">
        <f>IF(AND('341-CT'!$H$9=H5326,OR(LEFT(N5326,3)=$W$7,LEFT(O5326,3)=$W$7)),"x","")</f>
        <v/>
      </c>
      <c r="X5326" s="75" t="str">
        <f>IF(OR(TH!N5581=TH!$X$7,O5326=TH!$X$7),"x","")</f>
        <v/>
      </c>
      <c r="Y5326" s="75" t="str">
        <f>IF(AND(OR(N5326="131",O5326="131"),H5326='131-CT'!$H$9),"x","")</f>
        <v/>
      </c>
      <c r="Z5326" s="75"/>
      <c r="AA5326" s="75" t="str">
        <f>IF(AND(MONTH(E5326)='IN-NX'!$J$5,'IN-NX'!$D$7=D5326),"x","")</f>
        <v/>
      </c>
      <c r="AB5326" s="75" t="str">
        <f>IF(AND(OR(LEFT(TH!N5581,2)="15",LEFT(TH!O5581,2)="15"),LEFT(TH!O5581,3)&lt;&gt;"111",'152-CT'!$J$8=TH!F5581),"x","")</f>
        <v/>
      </c>
      <c r="AC5326" s="75" t="str">
        <f>IF(AND(OR(LEFT(TH!N5581,2)="15",LEFT(TH!O5581,2)="15"),TK!$E$7=TH!F5581),"x","")</f>
        <v/>
      </c>
      <c r="AD5326" s="75" t="str">
        <f>IF(AND(N5326="1521",MONTH(C5326)='BK-NL'!$M$11),"x","")</f>
        <v/>
      </c>
      <c r="AE5326">
        <v>11</v>
      </c>
    </row>
    <row r="5327" spans="1:31" ht="16.5" customHeight="1">
      <c r="A5327" s="309" t="str">
        <f>IF(B5327&lt;&gt;"",IF(AND(B5327='IN-TC'!$S$4,OR(TH!N5314="1111",TH!O5314="1111")),TH!D5314,""),"")</f>
        <v/>
      </c>
      <c r="B5327" s="1245">
        <f t="shared" si="1350"/>
        <v>11</v>
      </c>
      <c r="C5327" s="292">
        <f t="shared" si="1351"/>
        <v>43048</v>
      </c>
      <c r="D5327" s="292" t="s">
        <v>902</v>
      </c>
      <c r="E5327" s="292">
        <v>43048</v>
      </c>
      <c r="F5327" s="293" t="s">
        <v>1314</v>
      </c>
      <c r="G5327" s="293" t="s">
        <v>747</v>
      </c>
      <c r="H5327" s="294" t="s">
        <v>835</v>
      </c>
      <c r="I5327" s="373"/>
      <c r="J5327" s="382"/>
      <c r="K5327" s="373"/>
      <c r="L5327" s="379"/>
      <c r="M5327" s="60">
        <v>1000</v>
      </c>
      <c r="N5327" s="295" t="s">
        <v>9</v>
      </c>
      <c r="O5327" s="295" t="s">
        <v>26</v>
      </c>
      <c r="P5327" s="75" t="str">
        <f>IF(AND('331-CT'!$E$7=TH!H5582,OR(N5327="331",O5327="331")),"x","")</f>
        <v/>
      </c>
      <c r="Q5327" s="75" t="str">
        <f>IF(AND(B5327='111'!$L$11,OR($N5327=$Q$7,$O5327=$Q$7)),"x","")</f>
        <v/>
      </c>
      <c r="R5327" s="75" t="str">
        <f>IF(AND($N5327=$Q$7,$B5327&lt;'111'!$L$11),"x","")</f>
        <v/>
      </c>
      <c r="S5327" s="75" t="str">
        <f>IF(AND($O5327=$Q$7,$B5327&lt;'111'!$L$11),"x","")</f>
        <v/>
      </c>
      <c r="T5327" s="75" t="str">
        <f>IF(ISERROR(FIND('112'!$M$9,G5327,1)),"",IF((AND(FIND('112'!$M$9,G5327,1)&gt;=1,B5327='112'!$K$9,OR($N5327='112'!$I$6,$O5327='112'!$I$6))),"x",""))</f>
        <v/>
      </c>
      <c r="U5327" s="75" t="str">
        <f>IF(ISERROR(FIND('112'!$M$9,G5327,1)),"",IF((AND(LEFT(G5327,2)=LEFT('112'!$M$9,2),B5327&lt;'112'!$K$9,$N5327='112'!$I$6)),"x",""))</f>
        <v/>
      </c>
      <c r="V5327" s="75" t="str">
        <f>IF(ISERROR(FIND('112'!$M$9,G5327,1)),"",IF((AND(RIGHT(G5327,2)=RIGHT('112'!$M$9,2),B5327&lt;'112'!$K$9,$O5327='112'!$I$6)),"x",""))</f>
        <v/>
      </c>
      <c r="W5327" s="75" t="str">
        <f>IF(AND('341-CT'!$H$9=H5327,OR(LEFT(N5327,3)=$W$7,LEFT(O5327,3)=$W$7)),"x","")</f>
        <v/>
      </c>
      <c r="X5327" s="75" t="str">
        <f>IF(OR(TH!N5582=TH!$X$7,O5327=TH!$X$7),"x","")</f>
        <v/>
      </c>
      <c r="Y5327" s="75" t="str">
        <f>IF(AND(OR(N5327="131",O5327="131"),H5327='131-CT'!$H$9),"x","")</f>
        <v/>
      </c>
      <c r="Z5327" s="75"/>
      <c r="AA5327" s="75" t="str">
        <f>IF(AND(MONTH(E5327)='IN-NX'!$J$5,'IN-NX'!$D$7=D5327),"x","")</f>
        <v/>
      </c>
      <c r="AB5327" s="75" t="str">
        <f>IF(AND(OR(LEFT(TH!N5582,2)="15",LEFT(TH!O5582,2)="15"),LEFT(TH!O5582,3)&lt;&gt;"111",'152-CT'!$J$8=TH!F5582),"x","")</f>
        <v/>
      </c>
      <c r="AC5327" s="75" t="str">
        <f>IF(AND(OR(LEFT(TH!N5582,2)="15",LEFT(TH!O5582,2)="15"),TK!$E$7=TH!F5582),"x","")</f>
        <v/>
      </c>
      <c r="AD5327" s="75" t="str">
        <f>IF(AND(N5327="1521",MONTH(C5327)='BK-NL'!$M$11),"x","")</f>
        <v/>
      </c>
      <c r="AE5327">
        <v>11</v>
      </c>
    </row>
    <row r="5328" spans="1:31" ht="16.5" customHeight="1">
      <c r="A5328" s="309" t="str">
        <f>IF(B5328&lt;&gt;"",IF(AND(B5328='IN-TC'!$S$4,OR(TH!N5315="1111",TH!O5315="1111")),TH!D5315,""),"")</f>
        <v/>
      </c>
      <c r="B5328" s="1245">
        <f t="shared" si="1350"/>
        <v>11</v>
      </c>
      <c r="C5328" s="292">
        <f t="shared" si="1351"/>
        <v>43048</v>
      </c>
      <c r="D5328" s="292" t="s">
        <v>902</v>
      </c>
      <c r="E5328" s="292">
        <v>43048</v>
      </c>
      <c r="F5328" s="293" t="s">
        <v>2539</v>
      </c>
      <c r="G5328" s="293" t="s">
        <v>747</v>
      </c>
      <c r="H5328" s="294" t="s">
        <v>2528</v>
      </c>
      <c r="I5328" s="373"/>
      <c r="J5328" s="382"/>
      <c r="K5328" s="373"/>
      <c r="L5328" s="379"/>
      <c r="M5328" s="60">
        <v>800000000</v>
      </c>
      <c r="N5328" s="295" t="s">
        <v>8</v>
      </c>
      <c r="O5328" s="295" t="s">
        <v>26</v>
      </c>
      <c r="P5328" s="75" t="str">
        <f>IF(AND('331-CT'!$E$7=TH!H5583,OR(N5328="331",O5328="331")),"x","")</f>
        <v/>
      </c>
      <c r="Q5328" s="75" t="str">
        <f>IF(AND(B5328='111'!$L$11,OR($N5328=$Q$7,$O5328=$Q$7)),"x","")</f>
        <v/>
      </c>
      <c r="R5328" s="75" t="str">
        <f>IF(AND($N5328=$Q$7,$B5328&lt;'111'!$L$11),"x","")</f>
        <v/>
      </c>
      <c r="S5328" s="75" t="str">
        <f>IF(AND($O5328=$Q$7,$B5328&lt;'111'!$L$11),"x","")</f>
        <v/>
      </c>
      <c r="T5328" s="75" t="str">
        <f>IF(ISERROR(FIND('112'!$M$9,G5328,1)),"",IF((AND(FIND('112'!$M$9,G5328,1)&gt;=1,B5328='112'!$K$9,OR($N5328='112'!$I$6,$O5328='112'!$I$6))),"x",""))</f>
        <v/>
      </c>
      <c r="U5328" s="75" t="str">
        <f>IF(ISERROR(FIND('112'!$M$9,G5328,1)),"",IF((AND(LEFT(G5328,2)=LEFT('112'!$M$9,2),B5328&lt;'112'!$K$9,$N5328='112'!$I$6)),"x",""))</f>
        <v/>
      </c>
      <c r="V5328" s="75" t="str">
        <f>IF(ISERROR(FIND('112'!$M$9,G5328,1)),"",IF((AND(RIGHT(G5328,2)=RIGHT('112'!$M$9,2),B5328&lt;'112'!$K$9,$O5328='112'!$I$6)),"x",""))</f>
        <v/>
      </c>
      <c r="W5328" s="75" t="str">
        <f>IF(AND('341-CT'!$H$9=H5328,OR(LEFT(N5328,3)=$W$7,LEFT(O5328,3)=$W$7)),"x","")</f>
        <v/>
      </c>
      <c r="X5328" s="75" t="str">
        <f>IF(OR(TH!N5583=TH!$X$7,O5328=TH!$X$7),"x","")</f>
        <v/>
      </c>
      <c r="Y5328" s="75" t="str">
        <f>IF(AND(OR(N5328="131",O5328="131"),H5328='131-CT'!$H$9),"x","")</f>
        <v/>
      </c>
      <c r="Z5328" s="75"/>
      <c r="AA5328" s="75" t="str">
        <f>IF(AND(MONTH(E5328)='IN-NX'!$J$5,'IN-NX'!$D$7=D5328),"x","")</f>
        <v/>
      </c>
      <c r="AB5328" s="75" t="str">
        <f>IF(AND(OR(LEFT(TH!N5583,2)="15",LEFT(TH!O5583,2)="15"),LEFT(TH!O5583,3)&lt;&gt;"111",'152-CT'!$J$8=TH!F5583),"x","")</f>
        <v/>
      </c>
      <c r="AC5328" s="75" t="str">
        <f>IF(AND(OR(LEFT(TH!N5583,2)="15",LEFT(TH!O5583,2)="15"),TK!$E$7=TH!F5583),"x","")</f>
        <v/>
      </c>
      <c r="AD5328" s="75" t="str">
        <f>IF(AND(N5328="1521",MONTH(C5328)='BK-NL'!$M$11),"x","")</f>
        <v/>
      </c>
    </row>
    <row r="5329" spans="1:33" ht="16.5" customHeight="1">
      <c r="A5329" s="309" t="str">
        <f>IF(B5329&lt;&gt;"",IF(AND(B5329='IN-TC'!$S$4,OR(TH!N5316="1111",TH!O5316="1111")),TH!D5316,""),"")</f>
        <v/>
      </c>
      <c r="B5329" s="1245">
        <f t="shared" si="1350"/>
        <v>11</v>
      </c>
      <c r="C5329" s="292">
        <f t="shared" si="1351"/>
        <v>43048</v>
      </c>
      <c r="D5329" s="292" t="s">
        <v>902</v>
      </c>
      <c r="E5329" s="292">
        <v>43048</v>
      </c>
      <c r="F5329" s="293" t="s">
        <v>1307</v>
      </c>
      <c r="G5329" s="293" t="s">
        <v>747</v>
      </c>
      <c r="H5329" s="294" t="s">
        <v>835</v>
      </c>
      <c r="I5329" s="373"/>
      <c r="J5329" s="382"/>
      <c r="K5329" s="373"/>
      <c r="L5329" s="379"/>
      <c r="M5329" s="60">
        <v>240000</v>
      </c>
      <c r="N5329" s="295" t="s">
        <v>101</v>
      </c>
      <c r="O5329" s="295" t="s">
        <v>26</v>
      </c>
      <c r="P5329" s="75" t="str">
        <f>IF(AND('331-CT'!$E$7=TH!H5584,OR(N5329="331",O5329="331")),"x","")</f>
        <v/>
      </c>
      <c r="Q5329" s="75" t="str">
        <f>IF(AND(B5329='111'!$L$11,OR($N5329=$Q$7,$O5329=$Q$7)),"x","")</f>
        <v/>
      </c>
      <c r="R5329" s="75" t="str">
        <f>IF(AND($N5329=$Q$7,$B5329&lt;'111'!$L$11),"x","")</f>
        <v/>
      </c>
      <c r="S5329" s="75" t="str">
        <f>IF(AND($O5329=$Q$7,$B5329&lt;'111'!$L$11),"x","")</f>
        <v/>
      </c>
      <c r="T5329" s="75" t="str">
        <f>IF(ISERROR(FIND('112'!$M$9,G5329,1)),"",IF((AND(FIND('112'!$M$9,G5329,1)&gt;=1,B5329='112'!$K$9,OR($N5329='112'!$I$6,$O5329='112'!$I$6))),"x",""))</f>
        <v/>
      </c>
      <c r="U5329" s="75" t="str">
        <f>IF(ISERROR(FIND('112'!$M$9,G5329,1)),"",IF((AND(LEFT(G5329,2)=LEFT('112'!$M$9,2),B5329&lt;'112'!$K$9,$N5329='112'!$I$6)),"x",""))</f>
        <v/>
      </c>
      <c r="V5329" s="75" t="str">
        <f>IF(ISERROR(FIND('112'!$M$9,G5329,1)),"",IF((AND(RIGHT(G5329,2)=RIGHT('112'!$M$9,2),B5329&lt;'112'!$K$9,$O5329='112'!$I$6)),"x",""))</f>
        <v/>
      </c>
      <c r="W5329" s="75" t="str">
        <f>IF(AND('341-CT'!$H$9=H5329,OR(LEFT(N5329,3)=$W$7,LEFT(O5329,3)=$W$7)),"x","")</f>
        <v/>
      </c>
      <c r="X5329" s="75" t="str">
        <f>IF(OR(TH!N5584=TH!$X$7,O5329=TH!$X$7),"x","")</f>
        <v/>
      </c>
      <c r="Y5329" s="75" t="str">
        <f>IF(AND(OR(N5329="131",O5329="131"),H5329='131-CT'!$H$9),"x","")</f>
        <v/>
      </c>
      <c r="Z5329" s="75"/>
      <c r="AA5329" s="75" t="str">
        <f>IF(AND(MONTH(E5329)='IN-NX'!$J$5,'IN-NX'!$D$7=D5329),"x","")</f>
        <v/>
      </c>
      <c r="AB5329" s="75" t="str">
        <f>IF(AND(OR(LEFT(TH!N5584,2)="15",LEFT(TH!O5584,2)="15"),LEFT(TH!O5584,3)&lt;&gt;"111",'152-CT'!$J$8=TH!F5584),"x","")</f>
        <v/>
      </c>
      <c r="AC5329" s="75" t="str">
        <f>IF(AND(OR(LEFT(TH!N5584,2)="15",LEFT(TH!O5584,2)="15"),TK!$E$7=TH!F5584),"x","")</f>
        <v/>
      </c>
      <c r="AD5329" s="75" t="str">
        <f>IF(AND(N5329="1521",MONTH(C5329)='BK-NL'!$M$11),"x","")</f>
        <v/>
      </c>
      <c r="AE5329">
        <v>11</v>
      </c>
    </row>
    <row r="5330" spans="1:33" ht="16.5" customHeight="1">
      <c r="A5330" s="309" t="str">
        <f>IF(B5330&lt;&gt;"",IF(AND(B5330='IN-TC'!$S$4,OR(TH!N5317="1111",TH!O5317="1111")),TH!D5317,""),"")</f>
        <v/>
      </c>
      <c r="B5330" s="1245">
        <f t="shared" si="1350"/>
        <v>11</v>
      </c>
      <c r="C5330" s="292">
        <f t="shared" si="1351"/>
        <v>43048</v>
      </c>
      <c r="D5330" s="292" t="s">
        <v>902</v>
      </c>
      <c r="E5330" s="292">
        <v>43048</v>
      </c>
      <c r="F5330" s="293" t="s">
        <v>1314</v>
      </c>
      <c r="G5330" s="293" t="s">
        <v>747</v>
      </c>
      <c r="H5330" s="294" t="s">
        <v>835</v>
      </c>
      <c r="I5330" s="373"/>
      <c r="J5330" s="382"/>
      <c r="K5330" s="373"/>
      <c r="L5330" s="379"/>
      <c r="M5330" s="60">
        <v>24000</v>
      </c>
      <c r="N5330" s="295" t="s">
        <v>9</v>
      </c>
      <c r="O5330" s="295" t="s">
        <v>26</v>
      </c>
      <c r="P5330" s="75" t="str">
        <f>IF(AND('331-CT'!$E$7=TH!H5585,OR(N5330="331",O5330="331")),"x","")</f>
        <v/>
      </c>
      <c r="Q5330" s="75" t="str">
        <f>IF(AND(B5330='111'!$L$11,OR($N5330=$Q$7,$O5330=$Q$7)),"x","")</f>
        <v/>
      </c>
      <c r="R5330" s="75" t="str">
        <f>IF(AND($N5330=$Q$7,$B5330&lt;'111'!$L$11),"x","")</f>
        <v/>
      </c>
      <c r="S5330" s="75" t="str">
        <f>IF(AND($O5330=$Q$7,$B5330&lt;'111'!$L$11),"x","")</f>
        <v/>
      </c>
      <c r="T5330" s="75" t="str">
        <f>IF(ISERROR(FIND('112'!$M$9,G5330,1)),"",IF((AND(FIND('112'!$M$9,G5330,1)&gt;=1,B5330='112'!$K$9,OR($N5330='112'!$I$6,$O5330='112'!$I$6))),"x",""))</f>
        <v/>
      </c>
      <c r="U5330" s="75" t="str">
        <f>IF(ISERROR(FIND('112'!$M$9,G5330,1)),"",IF((AND(LEFT(G5330,2)=LEFT('112'!$M$9,2),B5330&lt;'112'!$K$9,$N5330='112'!$I$6)),"x",""))</f>
        <v/>
      </c>
      <c r="V5330" s="75" t="str">
        <f>IF(ISERROR(FIND('112'!$M$9,G5330,1)),"",IF((AND(RIGHT(G5330,2)=RIGHT('112'!$M$9,2),B5330&lt;'112'!$K$9,$O5330='112'!$I$6)),"x",""))</f>
        <v/>
      </c>
      <c r="W5330" s="75" t="str">
        <f>IF(AND('341-CT'!$H$9=H5330,OR(LEFT(N5330,3)=$W$7,LEFT(O5330,3)=$W$7)),"x","")</f>
        <v/>
      </c>
      <c r="X5330" s="75" t="str">
        <f>IF(OR(TH!N5585=TH!$X$7,O5330=TH!$X$7),"x","")</f>
        <v/>
      </c>
      <c r="Y5330" s="75" t="str">
        <f>IF(AND(OR(N5330="131",O5330="131"),H5330='131-CT'!$H$9),"x","")</f>
        <v/>
      </c>
      <c r="Z5330" s="75"/>
      <c r="AA5330" s="75" t="str">
        <f>IF(AND(MONTH(E5330)='IN-NX'!$J$5,'IN-NX'!$D$7=D5330),"x","")</f>
        <v/>
      </c>
      <c r="AB5330" s="75" t="str">
        <f>IF(AND(OR(LEFT(TH!N5585,2)="15",LEFT(TH!O5585,2)="15"),LEFT(TH!O5585,3)&lt;&gt;"111",'152-CT'!$J$8=TH!F5585),"x","")</f>
        <v/>
      </c>
      <c r="AC5330" s="75" t="str">
        <f>IF(AND(OR(LEFT(TH!N5585,2)="15",LEFT(TH!O5585,2)="15"),TK!$E$7=TH!F5585),"x","")</f>
        <v/>
      </c>
      <c r="AD5330" s="75" t="str">
        <f>IF(AND(N5330="1521",MONTH(C5330)='BK-NL'!$M$11),"x","")</f>
        <v/>
      </c>
      <c r="AE5330">
        <v>11</v>
      </c>
    </row>
    <row r="5331" spans="1:33" ht="16.5" customHeight="1">
      <c r="A5331" s="309" t="str">
        <f>IF(B5331&lt;&gt;"",IF(AND(B5331='IN-TC'!$S$4,OR(TH!N5318="1111",TH!O5318="1111")),TH!D5318,""),"")</f>
        <v/>
      </c>
      <c r="B5331" s="1243">
        <f t="shared" ref="B5331:B5394" si="1352">IF(C5331&lt;&gt;"",MONTH(C5331),"")</f>
        <v>11</v>
      </c>
      <c r="C5331" s="292">
        <f t="shared" si="1351"/>
        <v>43049</v>
      </c>
      <c r="D5331" s="292"/>
      <c r="E5331" s="292">
        <v>43049</v>
      </c>
      <c r="F5331" s="1010" t="s">
        <v>1881</v>
      </c>
      <c r="G5331" s="925"/>
      <c r="H5331" s="311" t="s">
        <v>1886</v>
      </c>
      <c r="I5331" s="373"/>
      <c r="J5331" s="926"/>
      <c r="K5331" s="373"/>
      <c r="L5331" s="379"/>
      <c r="M5331" s="927">
        <v>1120969000</v>
      </c>
      <c r="N5331" s="295" t="s">
        <v>8</v>
      </c>
      <c r="O5331" s="295" t="s">
        <v>63</v>
      </c>
      <c r="P5331" s="75" t="str">
        <f>IF(AND('331-CT'!$E$7=TH!H4351,OR(N5331="331",O5331="331")),"x","")</f>
        <v/>
      </c>
      <c r="Q5331" s="75" t="str">
        <f>IF(AND(B5331='111'!$L$11,OR($N5331=$Q$7,$O5331=$Q$7)),"x","")</f>
        <v/>
      </c>
      <c r="R5331" s="75" t="str">
        <f>IF(AND($N5331=$Q$7,$B5331&lt;'111'!$L$11),"x","")</f>
        <v/>
      </c>
      <c r="S5331" s="75" t="str">
        <f>IF(AND($O5331=$Q$7,$B5331&lt;'111'!$L$11),"x","")</f>
        <v>x</v>
      </c>
      <c r="T5331" s="75" t="str">
        <f>IF(ISERROR(FIND('112'!$M$9,G5331,1)),"",IF((AND(FIND('112'!$M$9,G5331,1)&gt;=1,B5331='112'!$K$9,OR($N5331='112'!$I$6,$O5331='112'!$I$6))),"x",""))</f>
        <v/>
      </c>
      <c r="U5331" s="75" t="str">
        <f>IF(ISERROR(FIND('112'!$M$9,G5331,1)),"",IF((AND(LEFT(G5331,2)=LEFT('112'!$M$9,2),B5331&lt;'112'!$K$9,$N5331='112'!$I$6)),"x",""))</f>
        <v/>
      </c>
      <c r="V5331" s="75" t="str">
        <f>IF(ISERROR(FIND('112'!$M$9,G5331,1)),"",IF((AND(RIGHT(G5331,2)=RIGHT('112'!$M$9,2),B5331&lt;'112'!$K$9,$O5331='112'!$I$6)),"x",""))</f>
        <v/>
      </c>
      <c r="W5331" s="75" t="str">
        <f>IF(AND('341-CT'!$H$9=H5331,OR(LEFT(N5331,3)=$W$7,LEFT(O5331,3)=$W$7)),"x","")</f>
        <v/>
      </c>
      <c r="X5331" s="75" t="str">
        <f>IF(OR(TH!N4351=TH!$X$7,O5331=TH!$X$7),"x","")</f>
        <v/>
      </c>
      <c r="Y5331" s="75" t="str">
        <f>IF(AND(OR(N5331="131",O5331="131"),H5331='131-CT'!$H$9),"x","")</f>
        <v/>
      </c>
      <c r="Z5331" s="75"/>
      <c r="AA5331" s="75" t="str">
        <f>IF(AND(MONTH(E5331)='IN-NX'!$J$5,'IN-NX'!$D$7=D5331),"x","")</f>
        <v/>
      </c>
      <c r="AB5331" s="75" t="str">
        <f>IF(AND(OR(LEFT(TH!N4351,2)="15",LEFT(TH!O4351,2)="15"),LEFT(TH!O4351,3)&lt;&gt;"111",'152-CT'!$J$8=TH!F4351),"x","")</f>
        <v/>
      </c>
      <c r="AC5331" s="75" t="str">
        <f>IF(AND(OR(LEFT(TH!N4351,2)="15",LEFT(TH!O4351,2)="15"),TK!$E$7=TH!F4351),"x","")</f>
        <v/>
      </c>
      <c r="AD5331" s="75" t="str">
        <f>IF(AND(N5331="1521",MONTH(C5331)='BK-NL'!$M$11),"x","")</f>
        <v/>
      </c>
    </row>
    <row r="5332" spans="1:33" ht="16.5" customHeight="1">
      <c r="A5332" s="309" t="str">
        <f>IF(B5332&lt;&gt;"",IF(AND(B5332='IN-TC'!$S$4,OR(TH!N5319="1111",TH!O5319="1111")),TH!D5319,""),"")</f>
        <v/>
      </c>
      <c r="B5332" s="1243">
        <f t="shared" si="1352"/>
        <v>11</v>
      </c>
      <c r="C5332" s="292">
        <f t="shared" si="1351"/>
        <v>43049</v>
      </c>
      <c r="D5332" s="292"/>
      <c r="E5332" s="292">
        <v>43049</v>
      </c>
      <c r="F5332" s="1010" t="s">
        <v>1883</v>
      </c>
      <c r="G5332" s="925"/>
      <c r="H5332" s="311"/>
      <c r="I5332" s="373"/>
      <c r="J5332" s="926"/>
      <c r="K5332" s="373"/>
      <c r="L5332" s="379"/>
      <c r="M5332" s="927">
        <v>986453</v>
      </c>
      <c r="N5332" s="295" t="s">
        <v>101</v>
      </c>
      <c r="O5332" s="295" t="s">
        <v>63</v>
      </c>
      <c r="P5332" s="75" t="str">
        <f>IF(AND('331-CT'!$E$7=TH!H4352,OR(N5332="331",O5332="331")),"x","")</f>
        <v/>
      </c>
      <c r="Q5332" s="75" t="str">
        <f>IF(AND(B5332='111'!$L$11,OR($N5332=$Q$7,$O5332=$Q$7)),"x","")</f>
        <v/>
      </c>
      <c r="R5332" s="75" t="str">
        <f>IF(AND($N5332=$Q$7,$B5332&lt;'111'!$L$11),"x","")</f>
        <v/>
      </c>
      <c r="S5332" s="75" t="str">
        <f>IF(AND($O5332=$Q$7,$B5332&lt;'111'!$L$11),"x","")</f>
        <v>x</v>
      </c>
      <c r="T5332" s="75" t="str">
        <f>IF(ISERROR(FIND('112'!$M$9,G5332,1)),"",IF((AND(FIND('112'!$M$9,G5332,1)&gt;=1,B5332='112'!$K$9,OR($N5332='112'!$I$6,$O5332='112'!$I$6))),"x",""))</f>
        <v/>
      </c>
      <c r="U5332" s="75" t="str">
        <f>IF(ISERROR(FIND('112'!$M$9,G5332,1)),"",IF((AND(LEFT(G5332,2)=LEFT('112'!$M$9,2),B5332&lt;'112'!$K$9,$N5332='112'!$I$6)),"x",""))</f>
        <v/>
      </c>
      <c r="V5332" s="75" t="str">
        <f>IF(ISERROR(FIND('112'!$M$9,G5332,1)),"",IF((AND(RIGHT(G5332,2)=RIGHT('112'!$M$9,2),B5332&lt;'112'!$K$9,$O5332='112'!$I$6)),"x",""))</f>
        <v/>
      </c>
      <c r="W5332" s="75" t="str">
        <f>IF(AND('341-CT'!$H$9=H5332,OR(LEFT(N5332,3)=$W$7,LEFT(O5332,3)=$W$7)),"x","")</f>
        <v/>
      </c>
      <c r="X5332" s="75" t="str">
        <f>IF(OR(TH!N4352=TH!$X$7,O5332=TH!$X$7),"x","")</f>
        <v/>
      </c>
      <c r="Y5332" s="75" t="str">
        <f>IF(AND(OR(N5332="131",O5332="131"),H5332='131-CT'!$H$9),"x","")</f>
        <v/>
      </c>
      <c r="Z5332" s="75"/>
      <c r="AA5332" s="75" t="str">
        <f>IF(AND(MONTH(E5332)='IN-NX'!$J$5,'IN-NX'!$D$7=D5332),"x","")</f>
        <v/>
      </c>
      <c r="AB5332" s="75" t="str">
        <f>IF(AND(OR(LEFT(TH!N4352,2)="15",LEFT(TH!O4352,2)="15"),LEFT(TH!O4352,3)&lt;&gt;"111",'152-CT'!$J$8=TH!F4352),"x","")</f>
        <v/>
      </c>
      <c r="AC5332" s="75" t="str">
        <f>IF(AND(OR(LEFT(TH!N4352,2)="15",LEFT(TH!O4352,2)="15"),TK!$E$7=TH!F4352),"x","")</f>
        <v/>
      </c>
      <c r="AD5332" s="75" t="str">
        <f>IF(AND(N5332="1521",MONTH(C5332)='BK-NL'!$M$11),"x","")</f>
        <v/>
      </c>
    </row>
    <row r="5333" spans="1:33" ht="16.5" customHeight="1">
      <c r="A5333" s="309" t="str">
        <f>IF(B5333&lt;&gt;"",IF(AND(B5333='IN-TC'!$S$4,OR(TH!N5320="1111",TH!O5320="1111")),TH!D5320,""),"")</f>
        <v/>
      </c>
      <c r="B5333" s="1243">
        <f t="shared" si="1352"/>
        <v>11</v>
      </c>
      <c r="C5333" s="292">
        <f t="shared" si="1351"/>
        <v>43049</v>
      </c>
      <c r="D5333" s="292"/>
      <c r="E5333" s="292">
        <v>43049</v>
      </c>
      <c r="F5333" s="1010" t="s">
        <v>1881</v>
      </c>
      <c r="G5333" s="925"/>
      <c r="H5333" s="311" t="s">
        <v>1890</v>
      </c>
      <c r="I5333" s="373"/>
      <c r="J5333" s="926"/>
      <c r="K5333" s="373"/>
      <c r="L5333" s="379"/>
      <c r="M5333" s="927">
        <v>4000000000</v>
      </c>
      <c r="N5333" s="295" t="s">
        <v>8</v>
      </c>
      <c r="O5333" s="295" t="s">
        <v>63</v>
      </c>
      <c r="P5333" s="75" t="str">
        <f>IF(AND('331-CT'!$E$7=TH!H4353,OR(N5333="331",O5333="331")),"x","")</f>
        <v/>
      </c>
      <c r="Q5333" s="75" t="str">
        <f>IF(AND(B5333='111'!$L$11,OR($N5333=$Q$7,$O5333=$Q$7)),"x","")</f>
        <v/>
      </c>
      <c r="R5333" s="75" t="str">
        <f>IF(AND($N5333=$Q$7,$B5333&lt;'111'!$L$11),"x","")</f>
        <v/>
      </c>
      <c r="S5333" s="75" t="str">
        <f>IF(AND($O5333=$Q$7,$B5333&lt;'111'!$L$11),"x","")</f>
        <v>x</v>
      </c>
      <c r="T5333" s="75" t="str">
        <f>IF(ISERROR(FIND('112'!$M$9,G5333,1)),"",IF((AND(FIND('112'!$M$9,G5333,1)&gt;=1,B5333='112'!$K$9,OR($N5333='112'!$I$6,$O5333='112'!$I$6))),"x",""))</f>
        <v/>
      </c>
      <c r="U5333" s="75" t="str">
        <f>IF(ISERROR(FIND('112'!$M$9,G5333,1)),"",IF((AND(LEFT(G5333,2)=LEFT('112'!$M$9,2),B5333&lt;'112'!$K$9,$N5333='112'!$I$6)),"x",""))</f>
        <v/>
      </c>
      <c r="V5333" s="75" t="str">
        <f>IF(ISERROR(FIND('112'!$M$9,G5333,1)),"",IF((AND(RIGHT(G5333,2)=RIGHT('112'!$M$9,2),B5333&lt;'112'!$K$9,$O5333='112'!$I$6)),"x",""))</f>
        <v/>
      </c>
      <c r="W5333" s="75" t="str">
        <f>IF(AND('341-CT'!$H$9=H5333,OR(LEFT(N5333,3)=$W$7,LEFT(O5333,3)=$W$7)),"x","")</f>
        <v/>
      </c>
      <c r="X5333" s="75" t="str">
        <f>IF(OR(TH!N4353=TH!$X$7,O5333=TH!$X$7),"x","")</f>
        <v/>
      </c>
      <c r="Y5333" s="75" t="str">
        <f>IF(AND(OR(N5333="131",O5333="131"),H5333='131-CT'!$H$9),"x","")</f>
        <v/>
      </c>
      <c r="Z5333" s="75"/>
      <c r="AA5333" s="75" t="str">
        <f>IF(AND(MONTH(E5333)='IN-NX'!$J$5,'IN-NX'!$D$7=D5333),"x","")</f>
        <v/>
      </c>
      <c r="AB5333" s="75" t="str">
        <f>IF(AND(OR(LEFT(TH!N4353,2)="15",LEFT(TH!O4353,2)="15"),LEFT(TH!O4353,3)&lt;&gt;"111",'152-CT'!$J$8=TH!F4353),"x","")</f>
        <v/>
      </c>
      <c r="AC5333" s="75" t="str">
        <f>IF(AND(OR(LEFT(TH!N4353,2)="15",LEFT(TH!O4353,2)="15"),TK!$E$7=TH!F4353),"x","")</f>
        <v/>
      </c>
      <c r="AD5333" s="75" t="str">
        <f>IF(AND(N5333="1521",MONTH(C5333)='BK-NL'!$M$11),"x","")</f>
        <v/>
      </c>
    </row>
    <row r="5334" spans="1:33" ht="16.5" customHeight="1">
      <c r="A5334" s="309" t="str">
        <f>IF(B5334&lt;&gt;"",IF(AND(B5334='IN-TC'!$S$4,OR(TH!N5321="1111",TH!O5321="1111")),TH!D5321,""),"")</f>
        <v/>
      </c>
      <c r="B5334" s="1243">
        <f t="shared" si="1352"/>
        <v>11</v>
      </c>
      <c r="C5334" s="292">
        <f t="shared" si="1351"/>
        <v>43049</v>
      </c>
      <c r="D5334" s="292"/>
      <c r="E5334" s="292">
        <v>43049</v>
      </c>
      <c r="F5334" s="1010" t="s">
        <v>1883</v>
      </c>
      <c r="G5334" s="925"/>
      <c r="H5334" s="311"/>
      <c r="I5334" s="373"/>
      <c r="J5334" s="926"/>
      <c r="K5334" s="373"/>
      <c r="L5334" s="379"/>
      <c r="M5334" s="927">
        <v>2200000</v>
      </c>
      <c r="N5334" s="295" t="s">
        <v>101</v>
      </c>
      <c r="O5334" s="295" t="s">
        <v>63</v>
      </c>
      <c r="P5334" s="75" t="str">
        <f>IF(AND('331-CT'!$E$7=TH!H4354,OR(N5334="331",O5334="331")),"x","")</f>
        <v/>
      </c>
      <c r="Q5334" s="75" t="str">
        <f>IF(AND(B5334='111'!$L$11,OR($N5334=$Q$7,$O5334=$Q$7)),"x","")</f>
        <v/>
      </c>
      <c r="R5334" s="75" t="str">
        <f>IF(AND($N5334=$Q$7,$B5334&lt;'111'!$L$11),"x","")</f>
        <v/>
      </c>
      <c r="S5334" s="75" t="str">
        <f>IF(AND($O5334=$Q$7,$B5334&lt;'111'!$L$11),"x","")</f>
        <v>x</v>
      </c>
      <c r="T5334" s="75" t="str">
        <f>IF(ISERROR(FIND('112'!$M$9,G5334,1)),"",IF((AND(FIND('112'!$M$9,G5334,1)&gt;=1,B5334='112'!$K$9,OR($N5334='112'!$I$6,$O5334='112'!$I$6))),"x",""))</f>
        <v/>
      </c>
      <c r="U5334" s="75" t="str">
        <f>IF(ISERROR(FIND('112'!$M$9,G5334,1)),"",IF((AND(LEFT(G5334,2)=LEFT('112'!$M$9,2),B5334&lt;'112'!$K$9,$N5334='112'!$I$6)),"x",""))</f>
        <v/>
      </c>
      <c r="V5334" s="75" t="str">
        <f>IF(ISERROR(FIND('112'!$M$9,G5334,1)),"",IF((AND(RIGHT(G5334,2)=RIGHT('112'!$M$9,2),B5334&lt;'112'!$K$9,$O5334='112'!$I$6)),"x",""))</f>
        <v/>
      </c>
      <c r="W5334" s="75" t="str">
        <f>IF(AND('341-CT'!$H$9=H5334,OR(LEFT(N5334,3)=$W$7,LEFT(O5334,3)=$W$7)),"x","")</f>
        <v/>
      </c>
      <c r="X5334" s="75" t="str">
        <f>IF(OR(TH!N4354=TH!$X$7,O5334=TH!$X$7),"x","")</f>
        <v/>
      </c>
      <c r="Y5334" s="75" t="str">
        <f>IF(AND(OR(N5334="131",O5334="131"),H5334='131-CT'!$H$9),"x","")</f>
        <v/>
      </c>
      <c r="Z5334" s="75"/>
      <c r="AA5334" s="75" t="str">
        <f>IF(AND(MONTH(E5334)='IN-NX'!$J$5,'IN-NX'!$D$7=D5334),"x","")</f>
        <v/>
      </c>
      <c r="AB5334" s="75" t="str">
        <f>IF(AND(OR(LEFT(TH!N4354,2)="15",LEFT(TH!O4354,2)="15"),LEFT(TH!O4354,3)&lt;&gt;"111",'152-CT'!$J$8=TH!F4354),"x","")</f>
        <v/>
      </c>
      <c r="AC5334" s="75" t="str">
        <f>IF(AND(OR(LEFT(TH!N4354,2)="15",LEFT(TH!O4354,2)="15"),TK!$E$7=TH!F4354),"x","")</f>
        <v/>
      </c>
      <c r="AD5334" s="75" t="str">
        <f>IF(AND(N5334="1521",MONTH(C5334)='BK-NL'!$M$11),"x","")</f>
        <v/>
      </c>
    </row>
    <row r="5335" spans="1:33" ht="16.5" customHeight="1">
      <c r="A5335" s="309" t="str">
        <f>IF(B5335&lt;&gt;"",IF(AND(B5335='IN-TC'!$S$4,OR(TH!N5322="1111",TH!O5322="1111")),TH!D5322,""),"")</f>
        <v/>
      </c>
      <c r="B5335" s="1243">
        <f t="shared" si="1352"/>
        <v>11</v>
      </c>
      <c r="C5335" s="292">
        <f t="shared" si="1351"/>
        <v>43049</v>
      </c>
      <c r="D5335" s="292"/>
      <c r="E5335" s="292">
        <v>43049</v>
      </c>
      <c r="F5335" s="1010" t="s">
        <v>1881</v>
      </c>
      <c r="G5335" s="925"/>
      <c r="H5335" s="311" t="s">
        <v>1882</v>
      </c>
      <c r="I5335" s="373"/>
      <c r="J5335" s="926"/>
      <c r="K5335" s="373"/>
      <c r="L5335" s="379"/>
      <c r="M5335" s="927">
        <v>1121952000</v>
      </c>
      <c r="N5335" s="295" t="s">
        <v>8</v>
      </c>
      <c r="O5335" s="295" t="s">
        <v>63</v>
      </c>
      <c r="P5335" s="75" t="str">
        <f>IF(AND('331-CT'!$E$7=TH!H4355,OR(N5335="331",O5335="331")),"x","")</f>
        <v/>
      </c>
      <c r="Q5335" s="75" t="str">
        <f>IF(AND(B5335='111'!$L$11,OR($N5335=$Q$7,$O5335=$Q$7)),"x","")</f>
        <v/>
      </c>
      <c r="R5335" s="75" t="str">
        <f>IF(AND($N5335=$Q$7,$B5335&lt;'111'!$L$11),"x","")</f>
        <v/>
      </c>
      <c r="S5335" s="75" t="str">
        <f>IF(AND($O5335=$Q$7,$B5335&lt;'111'!$L$11),"x","")</f>
        <v>x</v>
      </c>
      <c r="T5335" s="75" t="str">
        <f>IF(ISERROR(FIND('112'!$M$9,G5335,1)),"",IF((AND(FIND('112'!$M$9,G5335,1)&gt;=1,B5335='112'!$K$9,OR($N5335='112'!$I$6,$O5335='112'!$I$6))),"x",""))</f>
        <v/>
      </c>
      <c r="U5335" s="75" t="str">
        <f>IF(ISERROR(FIND('112'!$M$9,G5335,1)),"",IF((AND(LEFT(G5335,2)=LEFT('112'!$M$9,2),B5335&lt;'112'!$K$9,$N5335='112'!$I$6)),"x",""))</f>
        <v/>
      </c>
      <c r="V5335" s="75" t="str">
        <f>IF(ISERROR(FIND('112'!$M$9,G5335,1)),"",IF((AND(RIGHT(G5335,2)=RIGHT('112'!$M$9,2),B5335&lt;'112'!$K$9,$O5335='112'!$I$6)),"x",""))</f>
        <v/>
      </c>
      <c r="W5335" s="75" t="str">
        <f>IF(AND('341-CT'!$H$9=H5335,OR(LEFT(N5335,3)=$W$7,LEFT(O5335,3)=$W$7)),"x","")</f>
        <v/>
      </c>
      <c r="X5335" s="75" t="str">
        <f>IF(OR(TH!N4355=TH!$X$7,O5335=TH!$X$7),"x","")</f>
        <v/>
      </c>
      <c r="Y5335" s="75" t="str">
        <f>IF(AND(OR(N5335="131",O5335="131"),H5335='131-CT'!$H$9),"x","")</f>
        <v/>
      </c>
      <c r="Z5335" s="75"/>
      <c r="AA5335" s="75" t="str">
        <f>IF(AND(MONTH(E5335)='IN-NX'!$J$5,'IN-NX'!$D$7=D5335),"x","")</f>
        <v/>
      </c>
      <c r="AB5335" s="75" t="str">
        <f>IF(AND(OR(LEFT(TH!N4355,2)="15",LEFT(TH!O4355,2)="15"),LEFT(TH!O4355,3)&lt;&gt;"111",'152-CT'!$J$8=TH!F4355),"x","")</f>
        <v/>
      </c>
      <c r="AC5335" s="75" t="str">
        <f>IF(AND(OR(LEFT(TH!N4355,2)="15",LEFT(TH!O4355,2)="15"),TK!$E$7=TH!F4355),"x","")</f>
        <v/>
      </c>
      <c r="AD5335" s="75" t="str">
        <f>IF(AND(N5335="1521",MONTH(C5335)='BK-NL'!$M$11),"x","")</f>
        <v/>
      </c>
    </row>
    <row r="5336" spans="1:33" ht="16.5" customHeight="1">
      <c r="A5336" s="309" t="str">
        <f>IF(B5336&lt;&gt;"",IF(AND(B5336='IN-TC'!$S$4,OR(TH!N5323="1111",TH!O5323="1111")),TH!D5323,""),"")</f>
        <v/>
      </c>
      <c r="B5336" s="1243">
        <f t="shared" si="1352"/>
        <v>11</v>
      </c>
      <c r="C5336" s="292">
        <f t="shared" si="1351"/>
        <v>43049</v>
      </c>
      <c r="D5336" s="292"/>
      <c r="E5336" s="292">
        <v>43049</v>
      </c>
      <c r="F5336" s="1010" t="s">
        <v>1883</v>
      </c>
      <c r="G5336" s="925"/>
      <c r="H5336" s="311"/>
      <c r="I5336" s="373"/>
      <c r="J5336" s="926"/>
      <c r="K5336" s="373"/>
      <c r="L5336" s="379"/>
      <c r="M5336" s="927">
        <v>987318</v>
      </c>
      <c r="N5336" s="295" t="s">
        <v>101</v>
      </c>
      <c r="O5336" s="295" t="s">
        <v>63</v>
      </c>
      <c r="P5336" s="75" t="str">
        <f>IF(AND('331-CT'!$E$7=TH!H4356,OR(N5336="331",O5336="331")),"x","")</f>
        <v/>
      </c>
      <c r="Q5336" s="75" t="str">
        <f>IF(AND(B5336='111'!$L$11,OR($N5336=$Q$7,$O5336=$Q$7)),"x","")</f>
        <v/>
      </c>
      <c r="R5336" s="75" t="str">
        <f>IF(AND($N5336=$Q$7,$B5336&lt;'111'!$L$11),"x","")</f>
        <v/>
      </c>
      <c r="S5336" s="75" t="str">
        <f>IF(AND($O5336=$Q$7,$B5336&lt;'111'!$L$11),"x","")</f>
        <v>x</v>
      </c>
      <c r="T5336" s="75" t="str">
        <f>IF(ISERROR(FIND('112'!$M$9,G5336,1)),"",IF((AND(FIND('112'!$M$9,G5336,1)&gt;=1,B5336='112'!$K$9,OR($N5336='112'!$I$6,$O5336='112'!$I$6))),"x",""))</f>
        <v/>
      </c>
      <c r="U5336" s="75" t="str">
        <f>IF(ISERROR(FIND('112'!$M$9,G5336,1)),"",IF((AND(LEFT(G5336,2)=LEFT('112'!$M$9,2),B5336&lt;'112'!$K$9,$N5336='112'!$I$6)),"x",""))</f>
        <v/>
      </c>
      <c r="V5336" s="75" t="str">
        <f>IF(ISERROR(FIND('112'!$M$9,G5336,1)),"",IF((AND(RIGHT(G5336,2)=RIGHT('112'!$M$9,2),B5336&lt;'112'!$K$9,$O5336='112'!$I$6)),"x",""))</f>
        <v/>
      </c>
      <c r="W5336" s="75" t="str">
        <f>IF(AND('341-CT'!$H$9=H5336,OR(LEFT(N5336,3)=$W$7,LEFT(O5336,3)=$W$7)),"x","")</f>
        <v/>
      </c>
      <c r="X5336" s="75" t="str">
        <f>IF(OR(TH!N4356=TH!$X$7,O5336=TH!$X$7),"x","")</f>
        <v/>
      </c>
      <c r="Y5336" s="75" t="str">
        <f>IF(AND(OR(N5336="131",O5336="131"),H5336='131-CT'!$H$9),"x","")</f>
        <v/>
      </c>
      <c r="Z5336" s="75"/>
      <c r="AA5336" s="75" t="str">
        <f>IF(AND(MONTH(E5336)='IN-NX'!$J$5,'IN-NX'!$D$7=D5336),"x","")</f>
        <v/>
      </c>
      <c r="AB5336" s="75" t="str">
        <f>IF(AND(OR(LEFT(TH!N4356,2)="15",LEFT(TH!O4356,2)="15"),LEFT(TH!O4356,3)&lt;&gt;"111",'152-CT'!$J$8=TH!F4356),"x","")</f>
        <v/>
      </c>
      <c r="AC5336" s="75" t="str">
        <f>IF(AND(OR(LEFT(TH!N4356,2)="15",LEFT(TH!O4356,2)="15"),TK!$E$7=TH!F4356),"x","")</f>
        <v/>
      </c>
      <c r="AD5336" s="75" t="str">
        <f>IF(AND(N5336="1521",MONTH(C5336)='BK-NL'!$M$11),"x","")</f>
        <v/>
      </c>
    </row>
    <row r="5337" spans="1:33" ht="16.5" customHeight="1">
      <c r="A5337" s="309" t="str">
        <f>IF(B5337&lt;&gt;"",IF(AND(B5337='IN-TC'!$S$4,OR(TH!N5324="1111",TH!O5324="1111")),TH!D5324,""),"")</f>
        <v/>
      </c>
      <c r="B5337" s="1277">
        <f t="shared" si="1352"/>
        <v>11</v>
      </c>
      <c r="C5337" s="292">
        <f t="shared" si="1351"/>
        <v>43049</v>
      </c>
      <c r="D5337" s="929"/>
      <c r="E5337" s="292">
        <v>43049</v>
      </c>
      <c r="F5337" s="1335" t="s">
        <v>1881</v>
      </c>
      <c r="G5337" s="931"/>
      <c r="H5337" s="73" t="s">
        <v>1886</v>
      </c>
      <c r="I5337" s="371"/>
      <c r="J5337" s="932"/>
      <c r="K5337" s="371"/>
      <c r="L5337" s="377"/>
      <c r="M5337" s="933">
        <v>634634000</v>
      </c>
      <c r="N5337" s="934" t="s">
        <v>8</v>
      </c>
      <c r="O5337" s="934" t="s">
        <v>63</v>
      </c>
      <c r="P5337" s="75" t="str">
        <f>IF(AND('331-CT'!$E$7=TH!H4376,OR(N5337="331",O5337="331")),"x","")</f>
        <v/>
      </c>
      <c r="Q5337" s="75" t="str">
        <f>IF(AND(B5337='111'!$L$11,OR($N5337=$Q$7,$O5337=$Q$7)),"x","")</f>
        <v/>
      </c>
      <c r="R5337" s="75" t="str">
        <f>IF(AND($N5337=$Q$7,$B5337&lt;'111'!$L$11),"x","")</f>
        <v/>
      </c>
      <c r="S5337" s="75" t="str">
        <f>IF(AND($O5337=$Q$7,$B5337&lt;'111'!$L$11),"x","")</f>
        <v>x</v>
      </c>
      <c r="T5337" s="75" t="str">
        <f>IF(ISERROR(FIND('112'!$M$9,G5337,1)),"",IF((AND(FIND('112'!$M$9,G5337,1)&gt;=1,B5337='112'!$K$9,OR($N5337='112'!$I$6,$O5337='112'!$I$6))),"x",""))</f>
        <v/>
      </c>
      <c r="U5337" s="75" t="str">
        <f>IF(ISERROR(FIND('112'!$M$9,G5337,1)),"",IF((AND(LEFT(G5337,2)=LEFT('112'!$M$9,2),B5337&lt;'112'!$K$9,$N5337='112'!$I$6)),"x",""))</f>
        <v/>
      </c>
      <c r="V5337" s="75" t="str">
        <f>IF(ISERROR(FIND('112'!$M$9,G5337,1)),"",IF((AND(RIGHT(G5337,2)=RIGHT('112'!$M$9,2),B5337&lt;'112'!$K$9,$O5337='112'!$I$6)),"x",""))</f>
        <v/>
      </c>
      <c r="W5337" s="75" t="str">
        <f>IF(AND('341-CT'!$H$9=H5337,OR(LEFT(N5337,3)=$W$7,LEFT(O5337,3)=$W$7)),"x","")</f>
        <v/>
      </c>
      <c r="X5337" s="75" t="str">
        <f>IF(OR(TH!N4376=TH!$X$7,O5337=TH!$X$7),"x","")</f>
        <v/>
      </c>
      <c r="Y5337" s="75" t="str">
        <f>IF(AND(OR(N5337="131",O5337="131"),H5337='131-CT'!$H$9),"x","")</f>
        <v/>
      </c>
      <c r="Z5337" s="75"/>
      <c r="AA5337" s="75" t="str">
        <f>IF(AND(MONTH(E5337)='IN-NX'!$J$5,'IN-NX'!$D$7=D5337),"x","")</f>
        <v/>
      </c>
      <c r="AB5337" s="75" t="str">
        <f>IF(AND(OR(LEFT(TH!N4376,2)="15",LEFT(TH!O4376,2)="15"),LEFT(TH!O4376,3)&lt;&gt;"111",'152-CT'!$J$8=TH!F4376),"x","")</f>
        <v/>
      </c>
      <c r="AC5337" s="75" t="str">
        <f>IF(AND(OR(LEFT(TH!N4376,2)="15",LEFT(TH!O4376,2)="15"),TK!$E$7=TH!F4376),"x","")</f>
        <v/>
      </c>
      <c r="AD5337" s="75" t="str">
        <f>IF(AND(N5337="1521",MONTH(C5337)='BK-NL'!$M$11),"x","")</f>
        <v/>
      </c>
      <c r="AE5337" s="1264"/>
      <c r="AF5337" s="1264"/>
      <c r="AG5337" s="1264"/>
    </row>
    <row r="5338" spans="1:33" ht="16.5" customHeight="1">
      <c r="A5338" s="309" t="str">
        <f>IF(B5338&lt;&gt;"",IF(AND(B5338='IN-TC'!$S$4,OR(TH!N5325="1111",TH!O5325="1111")),TH!D5325,""),"")</f>
        <v/>
      </c>
      <c r="B5338" s="1245">
        <f t="shared" si="1352"/>
        <v>11</v>
      </c>
      <c r="C5338" s="292">
        <f t="shared" si="1351"/>
        <v>43049</v>
      </c>
      <c r="D5338" s="59" t="s">
        <v>902</v>
      </c>
      <c r="E5338" s="59">
        <v>43049</v>
      </c>
      <c r="F5338" s="67" t="s">
        <v>897</v>
      </c>
      <c r="G5338" s="62" t="s">
        <v>1713</v>
      </c>
      <c r="H5338" s="67" t="s">
        <v>623</v>
      </c>
      <c r="I5338" s="373"/>
      <c r="J5338" s="379"/>
      <c r="K5338" s="373"/>
      <c r="L5338" s="379"/>
      <c r="M5338" s="60">
        <v>11790000000</v>
      </c>
      <c r="N5338" s="61" t="s">
        <v>8</v>
      </c>
      <c r="O5338" s="61" t="s">
        <v>26</v>
      </c>
      <c r="P5338" s="75" t="str">
        <f>IF(AND('331-CT'!$E$7=TH!H4529,OR(N5338="331",O5338="331")),"x","")</f>
        <v/>
      </c>
      <c r="Q5338" s="75" t="str">
        <f>IF(AND(B5338='111'!$L$11,OR($N5338=$Q$7,$O5338=$Q$7)),"x","")</f>
        <v/>
      </c>
      <c r="R5338" s="75" t="str">
        <f>IF(AND($N5338=$Q$7,$B5338&lt;'111'!$L$11),"x","")</f>
        <v/>
      </c>
      <c r="S5338" s="75" t="str">
        <f>IF(AND($O5338=$Q$7,$B5338&lt;'111'!$L$11),"x","")</f>
        <v/>
      </c>
      <c r="T5338" s="75" t="str">
        <f>IF(ISERROR(FIND('112'!$M$9,G5338,1)),"",IF((AND(FIND('112'!$M$9,G5338,1)&gt;=1,B5338='112'!$K$9,OR($N5338='112'!$I$6,$O5338='112'!$I$6))),"x",""))</f>
        <v/>
      </c>
      <c r="U5338" s="75" t="str">
        <f>IF(ISERROR(FIND('112'!$M$9,G5338,1)),"",IF((AND(LEFT(G5338,2)=LEFT('112'!$M$9,2),B5338&lt;'112'!$K$9,$N5338='112'!$I$6)),"x",""))</f>
        <v/>
      </c>
      <c r="V5338" s="75" t="str">
        <f>IF(ISERROR(FIND('112'!$M$9,G5338,1)),"",IF((AND(RIGHT(G5338,2)=RIGHT('112'!$M$9,2),B5338&lt;'112'!$K$9,$O5338='112'!$I$6)),"x",""))</f>
        <v/>
      </c>
      <c r="W5338" s="75" t="str">
        <f>IF(AND('341-CT'!$H$9=H5338,OR(LEFT(N5338,3)=$W$7,LEFT(O5338,3)=$W$7)),"x","")</f>
        <v/>
      </c>
      <c r="X5338" s="75" t="str">
        <f>IF(OR(TH!N4529=TH!$X$7,O5338=TH!$X$7),"x","")</f>
        <v/>
      </c>
      <c r="Y5338" s="75" t="str">
        <f>IF(AND(OR(N5338="131",O5338="131"),H5338='131-CT'!$H$9),"x","")</f>
        <v/>
      </c>
      <c r="Z5338" s="75"/>
      <c r="AA5338" s="75" t="str">
        <f>IF(AND(MONTH(E5338)='IN-NX'!$J$5,'IN-NX'!$D$7=D5338),"x","")</f>
        <v/>
      </c>
      <c r="AB5338" s="75" t="str">
        <f>IF(AND(OR(LEFT(TH!N4529,2)="15",LEFT(TH!O4529,2)="15"),LEFT(TH!O4529,3)&lt;&gt;"111",'152-CT'!$J$8=TH!F4529),"x","")</f>
        <v/>
      </c>
      <c r="AC5338" s="75" t="str">
        <f>IF(AND(OR(LEFT(TH!N4529,2)="15",LEFT(TH!O4529,2)="15"),TK!$E$7=TH!F4529),"x","")</f>
        <v/>
      </c>
      <c r="AD5338" s="75" t="str">
        <f>IF(AND(N5338="1521",MONTH(C5338)='BK-NL'!$M$11),"x","")</f>
        <v/>
      </c>
      <c r="AE5338" s="1053"/>
      <c r="AF5338" s="1053"/>
      <c r="AG5338" s="1053"/>
    </row>
    <row r="5339" spans="1:33" ht="16.5" customHeight="1">
      <c r="A5339" s="309" t="str">
        <f>IF(B5339&lt;&gt;"",IF(AND(B5339='IN-TC'!$S$4,OR(TH!N5326="1111",TH!O5326="1111")),TH!D5326,""),"")</f>
        <v/>
      </c>
      <c r="B5339" s="1245">
        <f t="shared" si="1352"/>
        <v>11</v>
      </c>
      <c r="C5339" s="292">
        <f t="shared" si="1351"/>
        <v>43049</v>
      </c>
      <c r="D5339" s="59" t="s">
        <v>902</v>
      </c>
      <c r="E5339" s="59">
        <v>43049</v>
      </c>
      <c r="F5339" s="67" t="s">
        <v>870</v>
      </c>
      <c r="G5339" s="62" t="s">
        <v>1713</v>
      </c>
      <c r="H5339" s="67" t="s">
        <v>1771</v>
      </c>
      <c r="I5339" s="375"/>
      <c r="J5339" s="381"/>
      <c r="K5339" s="60"/>
      <c r="L5339" s="381"/>
      <c r="M5339" s="60">
        <v>1000000</v>
      </c>
      <c r="N5339" s="61" t="s">
        <v>101</v>
      </c>
      <c r="O5339" s="61" t="s">
        <v>26</v>
      </c>
      <c r="P5339" s="75" t="str">
        <f>IF(AND('331-CT'!$E$7=TH!H4530,OR(N5339="331",O5339="331")),"x","")</f>
        <v/>
      </c>
      <c r="Q5339" s="75" t="str">
        <f>IF(AND(B5339='111'!$L$11,OR($N5339=$Q$7,$O5339=$Q$7)),"x","")</f>
        <v/>
      </c>
      <c r="R5339" s="75" t="str">
        <f>IF(AND($N5339=$Q$7,$B5339&lt;'111'!$L$11),"x","")</f>
        <v/>
      </c>
      <c r="S5339" s="75" t="str">
        <f>IF(AND($O5339=$Q$7,$B5339&lt;'111'!$L$11),"x","")</f>
        <v/>
      </c>
      <c r="T5339" s="75" t="str">
        <f>IF(ISERROR(FIND('112'!$M$9,G5339,1)),"",IF((AND(FIND('112'!$M$9,G5339,1)&gt;=1,B5339='112'!$K$9,OR($N5339='112'!$I$6,$O5339='112'!$I$6))),"x",""))</f>
        <v/>
      </c>
      <c r="U5339" s="75" t="str">
        <f>IF(ISERROR(FIND('112'!$M$9,G5339,1)),"",IF((AND(LEFT(G5339,2)=LEFT('112'!$M$9,2),B5339&lt;'112'!$K$9,$N5339='112'!$I$6)),"x",""))</f>
        <v/>
      </c>
      <c r="V5339" s="75" t="str">
        <f>IF(ISERROR(FIND('112'!$M$9,G5339,1)),"",IF((AND(RIGHT(G5339,2)=RIGHT('112'!$M$9,2),B5339&lt;'112'!$K$9,$O5339='112'!$I$6)),"x",""))</f>
        <v/>
      </c>
      <c r="W5339" s="75" t="str">
        <f>IF(AND('341-CT'!$H$9=H5339,OR(LEFT(N5339,3)=$W$7,LEFT(O5339,3)=$W$7)),"x","")</f>
        <v/>
      </c>
      <c r="X5339" s="75" t="str">
        <f>IF(OR(TH!N4530=TH!$X$7,O5339=TH!$X$7),"x","")</f>
        <v/>
      </c>
      <c r="Y5339" s="75" t="str">
        <f>IF(AND(OR(N5339="131",O5339="131"),H5339='131-CT'!$H$9),"x","")</f>
        <v/>
      </c>
      <c r="Z5339" s="75"/>
      <c r="AA5339" s="75" t="str">
        <f>IF(AND(MONTH(E5339)='IN-NX'!$J$5,'IN-NX'!$D$7=D5339),"x","")</f>
        <v/>
      </c>
      <c r="AB5339" s="75" t="str">
        <f>IF(AND(OR(LEFT(TH!N4530,2)="15",LEFT(TH!O4530,2)="15"),LEFT(TH!O4530,3)&lt;&gt;"111",'152-CT'!$J$8=TH!F4530),"x","")</f>
        <v/>
      </c>
      <c r="AC5339" s="75" t="str">
        <f>IF(AND(OR(LEFT(TH!N4530,2)="15",LEFT(TH!O4530,2)="15"),TK!$E$7=TH!F4530),"x","")</f>
        <v/>
      </c>
      <c r="AD5339" s="75" t="str">
        <f>IF(AND(N5339="1521",MONTH(C5339)='BK-NL'!$M$11),"x","")</f>
        <v/>
      </c>
      <c r="AE5339" s="1053">
        <v>11</v>
      </c>
      <c r="AF5339" s="1053"/>
      <c r="AG5339" s="1053"/>
    </row>
    <row r="5340" spans="1:33" ht="16.5" customHeight="1">
      <c r="A5340" s="309" t="str">
        <f>IF(B5340&lt;&gt;"",IF(AND(B5340='IN-TC'!$S$4,OR(TH!N5327="1111",TH!O5327="1111")),TH!D5327,""),"")</f>
        <v/>
      </c>
      <c r="B5340" s="1245">
        <f t="shared" si="1352"/>
        <v>11</v>
      </c>
      <c r="C5340" s="292">
        <f t="shared" si="1351"/>
        <v>43049</v>
      </c>
      <c r="D5340" s="59" t="s">
        <v>902</v>
      </c>
      <c r="E5340" s="59">
        <v>43049</v>
      </c>
      <c r="F5340" s="67" t="s">
        <v>898</v>
      </c>
      <c r="G5340" s="62" t="s">
        <v>1713</v>
      </c>
      <c r="H5340" s="67" t="s">
        <v>1771</v>
      </c>
      <c r="I5340" s="375"/>
      <c r="J5340" s="381"/>
      <c r="K5340" s="375"/>
      <c r="L5340" s="381"/>
      <c r="M5340" s="60">
        <v>100000</v>
      </c>
      <c r="N5340" s="61" t="s">
        <v>9</v>
      </c>
      <c r="O5340" s="61" t="s">
        <v>26</v>
      </c>
      <c r="P5340" s="75" t="str">
        <f>IF(AND('331-CT'!$E$7=TH!H4531,OR(N5340="331",O5340="331")),"x","")</f>
        <v/>
      </c>
      <c r="Q5340" s="75" t="str">
        <f>IF(AND(B5340='111'!$L$11,OR($N5340=$Q$7,$O5340=$Q$7)),"x","")</f>
        <v/>
      </c>
      <c r="R5340" s="75" t="str">
        <f>IF(AND($N5340=$Q$7,$B5340&lt;'111'!$L$11),"x","")</f>
        <v/>
      </c>
      <c r="S5340" s="75" t="str">
        <f>IF(AND($O5340=$Q$7,$B5340&lt;'111'!$L$11),"x","")</f>
        <v/>
      </c>
      <c r="T5340" s="75" t="str">
        <f>IF(ISERROR(FIND('112'!$M$9,G5340,1)),"",IF((AND(FIND('112'!$M$9,G5340,1)&gt;=1,B5340='112'!$K$9,OR($N5340='112'!$I$6,$O5340='112'!$I$6))),"x",""))</f>
        <v/>
      </c>
      <c r="U5340" s="75" t="str">
        <f>IF(ISERROR(FIND('112'!$M$9,G5340,1)),"",IF((AND(LEFT(G5340,2)=LEFT('112'!$M$9,2),B5340&lt;'112'!$K$9,$N5340='112'!$I$6)),"x",""))</f>
        <v/>
      </c>
      <c r="V5340" s="75" t="str">
        <f>IF(ISERROR(FIND('112'!$M$9,G5340,1)),"",IF((AND(RIGHT(G5340,2)=RIGHT('112'!$M$9,2),B5340&lt;'112'!$K$9,$O5340='112'!$I$6)),"x",""))</f>
        <v/>
      </c>
      <c r="W5340" s="75" t="str">
        <f>IF(AND('341-CT'!$H$9=H5340,OR(LEFT(N5340,3)=$W$7,LEFT(O5340,3)=$W$7)),"x","")</f>
        <v/>
      </c>
      <c r="X5340" s="75" t="str">
        <f>IF(OR(TH!N4531=TH!$X$7,O5340=TH!$X$7),"x","")</f>
        <v/>
      </c>
      <c r="Y5340" s="75" t="str">
        <f>IF(AND(OR(N5340="131",O5340="131"),H5340='131-CT'!$H$9),"x","")</f>
        <v/>
      </c>
      <c r="Z5340" s="75"/>
      <c r="AA5340" s="75" t="str">
        <f>IF(AND(MONTH(E5340)='IN-NX'!$J$5,'IN-NX'!$D$7=D5340),"x","")</f>
        <v/>
      </c>
      <c r="AB5340" s="75" t="str">
        <f>IF(AND(OR(LEFT(TH!N4531,2)="15",LEFT(TH!O4531,2)="15"),LEFT(TH!O4531,3)&lt;&gt;"111",'152-CT'!$J$8=TH!F4531),"x","")</f>
        <v/>
      </c>
      <c r="AC5340" s="75" t="str">
        <f>IF(AND(OR(LEFT(TH!N4531,2)="15",LEFT(TH!O4531,2)="15"),TK!$E$7=TH!F4531),"x","")</f>
        <v/>
      </c>
      <c r="AD5340" s="75" t="str">
        <f>IF(AND(N5340="1521",MONTH(C5340)='BK-NL'!$M$11),"x","")</f>
        <v/>
      </c>
      <c r="AE5340" s="1053">
        <v>11</v>
      </c>
      <c r="AF5340" s="1053"/>
      <c r="AG5340" s="1053"/>
    </row>
    <row r="5341" spans="1:33" ht="16.5" customHeight="1">
      <c r="A5341" s="309" t="str">
        <f>IF(B5341&lt;&gt;"",IF(AND(B5341='IN-TC'!$S$4,OR(TH!N5328="1111",TH!O5328="1111")),TH!D5328,""),"")</f>
        <v/>
      </c>
      <c r="B5341" s="1245">
        <f t="shared" si="1352"/>
        <v>11</v>
      </c>
      <c r="C5341" s="292">
        <f t="shared" si="1351"/>
        <v>43049</v>
      </c>
      <c r="D5341" s="59" t="s">
        <v>844</v>
      </c>
      <c r="E5341" s="59">
        <v>43049</v>
      </c>
      <c r="F5341" s="62" t="s">
        <v>834</v>
      </c>
      <c r="G5341" s="62" t="s">
        <v>747</v>
      </c>
      <c r="H5341" s="67" t="s">
        <v>1023</v>
      </c>
      <c r="I5341" s="373"/>
      <c r="J5341" s="382"/>
      <c r="K5341" s="373"/>
      <c r="L5341" s="379"/>
      <c r="M5341" s="60">
        <v>200000000</v>
      </c>
      <c r="N5341" s="61" t="s">
        <v>63</v>
      </c>
      <c r="O5341" s="61" t="s">
        <v>26</v>
      </c>
      <c r="P5341" s="75" t="str">
        <f>IF(AND('331-CT'!$E$7=TH!H5586,OR(N5341="331",O5341="331")),"x","")</f>
        <v/>
      </c>
      <c r="Q5341" s="75" t="str">
        <f>IF(AND(B5341='111'!$L$11,OR($N5341=$Q$7,$O5341=$Q$7)),"x","")</f>
        <v/>
      </c>
      <c r="R5341" s="75" t="str">
        <f>IF(AND($N5341=$Q$7,$B5341&lt;'111'!$L$11),"x","")</f>
        <v>x</v>
      </c>
      <c r="S5341" s="75" t="str">
        <f>IF(AND($O5341=$Q$7,$B5341&lt;'111'!$L$11),"x","")</f>
        <v/>
      </c>
      <c r="T5341" s="75" t="str">
        <f>IF(ISERROR(FIND('112'!$M$9,G5341,1)),"",IF((AND(FIND('112'!$M$9,G5341,1)&gt;=1,B5341='112'!$K$9,OR($N5341='112'!$I$6,$O5341='112'!$I$6))),"x",""))</f>
        <v/>
      </c>
      <c r="U5341" s="75" t="str">
        <f>IF(ISERROR(FIND('112'!$M$9,G5341,1)),"",IF((AND(LEFT(G5341,2)=LEFT('112'!$M$9,2),B5341&lt;'112'!$K$9,$N5341='112'!$I$6)),"x",""))</f>
        <v/>
      </c>
      <c r="V5341" s="75" t="str">
        <f>IF(ISERROR(FIND('112'!$M$9,G5341,1)),"",IF((AND(RIGHT(G5341,2)=RIGHT('112'!$M$9,2),B5341&lt;'112'!$K$9,$O5341='112'!$I$6)),"x",""))</f>
        <v/>
      </c>
      <c r="W5341" s="75" t="str">
        <f>IF(AND('341-CT'!$H$9=H5341,OR(LEFT(N5341,3)=$W$7,LEFT(O5341,3)=$W$7)),"x","")</f>
        <v/>
      </c>
      <c r="X5341" s="75" t="str">
        <f>IF(OR(TH!N5586=TH!$X$7,O5341=TH!$X$7),"x","")</f>
        <v/>
      </c>
      <c r="Y5341" s="75" t="str">
        <f>IF(AND(OR(N5341="131",O5341="131"),H5341='131-CT'!$H$9),"x","")</f>
        <v/>
      </c>
      <c r="Z5341" s="75"/>
      <c r="AA5341" s="75" t="str">
        <f>IF(AND(MONTH(E5341)='IN-NX'!$J$5,'IN-NX'!$D$7=D5341),"x","")</f>
        <v/>
      </c>
      <c r="AB5341" s="75" t="str">
        <f>IF(AND(OR(LEFT(TH!N5586,2)="15",LEFT(TH!O5586,2)="15"),LEFT(TH!O5586,3)&lt;&gt;"111",'152-CT'!$J$8=TH!F5586),"x","")</f>
        <v/>
      </c>
      <c r="AC5341" s="75" t="str">
        <f>IF(AND(OR(LEFT(TH!N5586,2)="15",LEFT(TH!O5586,2)="15"),TK!$E$7=TH!F5586),"x","")</f>
        <v/>
      </c>
      <c r="AD5341" s="75" t="str">
        <f>IF(AND(N5341="1521",MONTH(C5341)='BK-NL'!$M$11),"x","")</f>
        <v/>
      </c>
    </row>
    <row r="5342" spans="1:33" ht="16.5" customHeight="1">
      <c r="A5342" s="309" t="str">
        <f>IF(B5342&lt;&gt;"",IF(AND(B5342='IN-TC'!$S$4,OR(TH!N5329="1111",TH!O5329="1111")),TH!D5329,""),"")</f>
        <v/>
      </c>
      <c r="B5342" s="1245">
        <f t="shared" si="1352"/>
        <v>11</v>
      </c>
      <c r="C5342" s="292">
        <f t="shared" si="1351"/>
        <v>43049</v>
      </c>
      <c r="D5342" s="292" t="s">
        <v>2493</v>
      </c>
      <c r="E5342" s="59">
        <v>43049</v>
      </c>
      <c r="F5342" s="62" t="s">
        <v>885</v>
      </c>
      <c r="G5342" s="62" t="s">
        <v>585</v>
      </c>
      <c r="H5342" s="294" t="s">
        <v>1023</v>
      </c>
      <c r="I5342" s="373"/>
      <c r="J5342" s="382"/>
      <c r="K5342" s="373"/>
      <c r="L5342" s="379"/>
      <c r="M5342" s="60">
        <v>115000000</v>
      </c>
      <c r="N5342" s="61" t="s">
        <v>26</v>
      </c>
      <c r="O5342" s="61" t="s">
        <v>63</v>
      </c>
      <c r="P5342" s="75" t="str">
        <f>IF(AND('331-CT'!$E$7=TH!H4873,OR(N5342="331",O5342="331")),"x","")</f>
        <v/>
      </c>
      <c r="Q5342" s="75" t="str">
        <f>IF(AND(B5342='111'!$L$11,OR($N5342=$Q$7,$O5342=$Q$7)),"x","")</f>
        <v/>
      </c>
      <c r="R5342" s="75" t="str">
        <f>IF(AND($N5342=$Q$7,$B5342&lt;'111'!$L$11),"x","")</f>
        <v/>
      </c>
      <c r="S5342" s="75" t="str">
        <f>IF(AND($O5342=$Q$7,$B5342&lt;'111'!$L$11),"x","")</f>
        <v>x</v>
      </c>
      <c r="T5342" s="75" t="str">
        <f>IF(ISERROR(FIND('112'!$M$9,G5342,1)),"",IF((AND(FIND('112'!$M$9,G5342,1)&gt;=1,B5342='112'!$K$9,OR($N5342='112'!$I$6,$O5342='112'!$I$6))),"x",""))</f>
        <v/>
      </c>
      <c r="U5342" s="75" t="str">
        <f>IF(ISERROR(FIND('112'!$M$9,G5342,1)),"",IF((AND(LEFT(G5342,2)=LEFT('112'!$M$9,2),B5342&lt;'112'!$K$9,$N5342='112'!$I$6)),"x",""))</f>
        <v/>
      </c>
      <c r="V5342" s="75" t="str">
        <f>IF(ISERROR(FIND('112'!$M$9,G5342,1)),"",IF((AND(RIGHT(G5342,2)=RIGHT('112'!$M$9,2),B5342&lt;'112'!$K$9,$O5342='112'!$I$6)),"x",""))</f>
        <v/>
      </c>
      <c r="W5342" s="75" t="str">
        <f>IF(AND('341-CT'!$H$9=H5342,OR(LEFT(N5342,3)=$W$7,LEFT(O5342,3)=$W$7)),"x","")</f>
        <v/>
      </c>
      <c r="X5342" s="75" t="str">
        <f>IF(OR(TH!N4873=TH!$X$7,O5342=TH!$X$7),"x","")</f>
        <v/>
      </c>
      <c r="Y5342" s="75" t="str">
        <f>IF(AND(OR(N5342="131",O5342="131"),H5342='131-CT'!$H$9),"x","")</f>
        <v/>
      </c>
      <c r="Z5342" s="75"/>
      <c r="AA5342" s="75" t="str">
        <f>IF(AND(MONTH(E5342)='IN-NX'!$J$5,'IN-NX'!$D$7=D5342),"x","")</f>
        <v/>
      </c>
      <c r="AB5342" s="75" t="str">
        <f>IF(AND(OR(LEFT(TH!N4873,2)="15",LEFT(TH!O4873,2)="15"),LEFT(TH!O4873,3)&lt;&gt;"111",'152-CT'!$J$8=TH!F4873),"x","")</f>
        <v/>
      </c>
      <c r="AC5342" s="75" t="str">
        <f>IF(AND(OR(LEFT(TH!N4873,2)="15",LEFT(TH!O4873,2)="15"),TK!$E$7=TH!F4873),"x","")</f>
        <v/>
      </c>
      <c r="AD5342" s="75" t="str">
        <f>IF(AND(N5342="1521",MONTH(C5342)='BK-NL'!$M$11),"x","")</f>
        <v/>
      </c>
      <c r="AE5342" s="304"/>
      <c r="AF5342" s="304"/>
      <c r="AG5342" s="304"/>
    </row>
    <row r="5343" spans="1:33" ht="16.5" customHeight="1">
      <c r="A5343" s="309" t="str">
        <f>IF(B5343&lt;&gt;"",IF(AND(B5343='IN-TC'!$S$4,OR(TH!N5330="1111",TH!O5330="1111")),TH!D5330,""),"")</f>
        <v/>
      </c>
      <c r="B5343" s="1245">
        <f t="shared" si="1352"/>
        <v>11</v>
      </c>
      <c r="C5343" s="292">
        <f t="shared" si="1351"/>
        <v>43050</v>
      </c>
      <c r="D5343" s="59"/>
      <c r="E5343" s="59">
        <v>43050</v>
      </c>
      <c r="F5343" s="62" t="s">
        <v>2629</v>
      </c>
      <c r="G5343" s="742" t="s">
        <v>2631</v>
      </c>
      <c r="H5343" s="67" t="s">
        <v>2632</v>
      </c>
      <c r="I5343" s="375"/>
      <c r="J5343" s="382"/>
      <c r="K5343" s="375"/>
      <c r="L5343" s="381"/>
      <c r="M5343" s="60">
        <v>2890908</v>
      </c>
      <c r="N5343" s="61" t="s">
        <v>101</v>
      </c>
      <c r="O5343" s="61" t="s">
        <v>63</v>
      </c>
      <c r="P5343" s="75" t="str">
        <f>IF(AND('331-CT'!$E$7=TH!H4094,OR(N5343="331",O5343="331")),"x","")</f>
        <v/>
      </c>
      <c r="Q5343" s="75" t="str">
        <f>IF(AND(B5343='111'!$L$11,OR($N5343=$Q$7,$O5343=$Q$7)),"x","")</f>
        <v/>
      </c>
      <c r="R5343" s="75" t="str">
        <f>IF(AND($N5343=$Q$7,$B5343&lt;'111'!$L$11),"x","")</f>
        <v/>
      </c>
      <c r="S5343" s="75" t="str">
        <f>IF(AND($O5343=$Q$7,$B5343&lt;'111'!$L$11),"x","")</f>
        <v>x</v>
      </c>
      <c r="T5343" s="75" t="str">
        <f>IF(ISERROR(FIND('112'!$M$9,G5343,1)),"",IF((AND(FIND('112'!$M$9,G5343,1)&gt;=1,B5343='112'!$K$9,OR($N5343='112'!$I$6,$O5343='112'!$I$6))),"x",""))</f>
        <v/>
      </c>
      <c r="U5343" s="75" t="str">
        <f>IF(ISERROR(FIND('112'!$M$9,G5343,1)),"",IF((AND(LEFT(G5343,2)=LEFT('112'!$M$9,2),B5343&lt;'112'!$K$9,$N5343='112'!$I$6)),"x",""))</f>
        <v/>
      </c>
      <c r="V5343" s="75" t="str">
        <f>IF(ISERROR(FIND('112'!$M$9,G5343,1)),"",IF((AND(RIGHT(G5343,2)=RIGHT('112'!$M$9,2),B5343&lt;'112'!$K$9,$O5343='112'!$I$6)),"x",""))</f>
        <v/>
      </c>
      <c r="W5343" s="75" t="str">
        <f>IF(AND('341-CT'!$H$9=H5343,OR(LEFT(N5343,3)=$W$7,LEFT(O5343,3)=$W$7)),"x","")</f>
        <v/>
      </c>
      <c r="X5343" s="75" t="str">
        <f>IF(OR(TH!N4094=TH!$X$7,O5343=TH!$X$7),"x","")</f>
        <v/>
      </c>
      <c r="Y5343" s="75" t="str">
        <f>IF(AND(OR(N5343="131",O5343="131"),H5343='131-CT'!$H$9),"x","")</f>
        <v/>
      </c>
      <c r="Z5343" s="75"/>
      <c r="AA5343" s="75" t="str">
        <f>IF(AND(MONTH(E5343)='IN-NX'!$J$5,'IN-NX'!$D$7=D5343),"x","")</f>
        <v/>
      </c>
      <c r="AB5343" s="75" t="str">
        <f>IF(AND(OR(LEFT(TH!N4094,2)="15",LEFT(TH!O4094,2)="15"),LEFT(TH!O4094,3)&lt;&gt;"111",'152-CT'!$J$8=TH!F4094),"x","")</f>
        <v/>
      </c>
      <c r="AC5343" s="75" t="str">
        <f>IF(AND(OR(LEFT(TH!N4094,2)="15",LEFT(TH!O4094,2)="15"),TK!$E$7=TH!F4094),"x","")</f>
        <v/>
      </c>
      <c r="AD5343" s="75" t="str">
        <f>IF(AND(N5343="1521",MONTH(C5343)='BK-NL'!$M$11),"x","")</f>
        <v/>
      </c>
      <c r="AE5343">
        <v>11</v>
      </c>
    </row>
    <row r="5344" spans="1:33" ht="16.5" customHeight="1">
      <c r="A5344" s="309" t="str">
        <f>IF(B5344&lt;&gt;"",IF(AND(B5344='IN-TC'!$S$4,OR(TH!N5331="1111",TH!O5331="1111")),TH!D5331,""),"")</f>
        <v/>
      </c>
      <c r="B5344" s="1245">
        <f t="shared" si="1352"/>
        <v>11</v>
      </c>
      <c r="C5344" s="292">
        <f t="shared" si="1351"/>
        <v>43050</v>
      </c>
      <c r="D5344" s="59"/>
      <c r="E5344" s="59">
        <v>43050</v>
      </c>
      <c r="F5344" s="62" t="s">
        <v>2630</v>
      </c>
      <c r="G5344" s="742" t="s">
        <v>2631</v>
      </c>
      <c r="H5344" s="67" t="s">
        <v>2632</v>
      </c>
      <c r="I5344" s="375"/>
      <c r="J5344" s="382"/>
      <c r="K5344" s="375"/>
      <c r="L5344" s="381"/>
      <c r="M5344" s="60">
        <v>289091</v>
      </c>
      <c r="N5344" s="61" t="s">
        <v>9</v>
      </c>
      <c r="O5344" s="61" t="s">
        <v>63</v>
      </c>
      <c r="P5344" s="75" t="str">
        <f>IF(AND('331-CT'!$E$7=TH!H4095,OR(N5344="331",O5344="331")),"x","")</f>
        <v/>
      </c>
      <c r="Q5344" s="75" t="str">
        <f>IF(AND(B5344='111'!$L$11,OR($N5344=$Q$7,$O5344=$Q$7)),"x","")</f>
        <v/>
      </c>
      <c r="R5344" s="75" t="str">
        <f>IF(AND($N5344=$Q$7,$B5344&lt;'111'!$L$11),"x","")</f>
        <v/>
      </c>
      <c r="S5344" s="75" t="str">
        <f>IF(AND($O5344=$Q$7,$B5344&lt;'111'!$L$11),"x","")</f>
        <v>x</v>
      </c>
      <c r="T5344" s="75" t="str">
        <f>IF(ISERROR(FIND('112'!$M$9,G5344,1)),"",IF((AND(FIND('112'!$M$9,G5344,1)&gt;=1,B5344='112'!$K$9,OR($N5344='112'!$I$6,$O5344='112'!$I$6))),"x",""))</f>
        <v/>
      </c>
      <c r="U5344" s="75" t="str">
        <f>IF(ISERROR(FIND('112'!$M$9,G5344,1)),"",IF((AND(LEFT(G5344,2)=LEFT('112'!$M$9,2),B5344&lt;'112'!$K$9,$N5344='112'!$I$6)),"x",""))</f>
        <v/>
      </c>
      <c r="V5344" s="75" t="str">
        <f>IF(ISERROR(FIND('112'!$M$9,G5344,1)),"",IF((AND(RIGHT(G5344,2)=RIGHT('112'!$M$9,2),B5344&lt;'112'!$K$9,$O5344='112'!$I$6)),"x",""))</f>
        <v/>
      </c>
      <c r="W5344" s="75" t="str">
        <f>IF(AND('341-CT'!$H$9=H5344,OR(LEFT(N5344,3)=$W$7,LEFT(O5344,3)=$W$7)),"x","")</f>
        <v/>
      </c>
      <c r="X5344" s="75" t="str">
        <f>IF(OR(TH!N4095=TH!$X$7,O5344=TH!$X$7),"x","")</f>
        <v/>
      </c>
      <c r="Y5344" s="75" t="str">
        <f>IF(AND(OR(N5344="131",O5344="131"),H5344='131-CT'!$H$9),"x","")</f>
        <v/>
      </c>
      <c r="Z5344" s="75"/>
      <c r="AA5344" s="75" t="str">
        <f>IF(AND(MONTH(E5344)='IN-NX'!$J$5,'IN-NX'!$D$7=D5344),"x","")</f>
        <v/>
      </c>
      <c r="AB5344" s="75" t="str">
        <f>IF(AND(OR(LEFT(TH!N4095,2)="15",LEFT(TH!O4095,2)="15"),LEFT(TH!O4095,3)&lt;&gt;"111",'152-CT'!$J$8=TH!F4095),"x","")</f>
        <v/>
      </c>
      <c r="AC5344" s="75" t="str">
        <f>IF(AND(OR(LEFT(TH!N4095,2)="15",LEFT(TH!O4095,2)="15"),TK!$E$7=TH!F4095),"x","")</f>
        <v/>
      </c>
      <c r="AD5344" s="75" t="str">
        <f>IF(AND(N5344="1521",MONTH(C5344)='BK-NL'!$M$11),"x","")</f>
        <v/>
      </c>
      <c r="AE5344">
        <v>11</v>
      </c>
    </row>
    <row r="5345" spans="1:33" ht="16.5" customHeight="1">
      <c r="A5345" s="309" t="str">
        <f>IF(B5345&lt;&gt;"",IF(AND(B5345='IN-TC'!$S$4,OR(TH!N5332="1111",TH!O5332="1111")),TH!D5332,""),"")</f>
        <v/>
      </c>
      <c r="B5345" s="1245">
        <f t="shared" si="1352"/>
        <v>11</v>
      </c>
      <c r="C5345" s="292">
        <f t="shared" si="1351"/>
        <v>43050</v>
      </c>
      <c r="D5345" s="59" t="s">
        <v>903</v>
      </c>
      <c r="E5345" s="59">
        <v>43050</v>
      </c>
      <c r="F5345" s="62" t="s">
        <v>1086</v>
      </c>
      <c r="G5345" s="62" t="s">
        <v>585</v>
      </c>
      <c r="H5345" s="67" t="s">
        <v>802</v>
      </c>
      <c r="I5345" s="373"/>
      <c r="J5345" s="382"/>
      <c r="K5345" s="373"/>
      <c r="L5345" s="379"/>
      <c r="M5345" s="60">
        <v>62150000</v>
      </c>
      <c r="N5345" s="61" t="s">
        <v>26</v>
      </c>
      <c r="O5345" s="61" t="s">
        <v>536</v>
      </c>
      <c r="P5345" s="75" t="str">
        <f>IF(AND('331-CT'!$E$7=TH!H4874,OR(N5345="331",O5345="331")),"x","")</f>
        <v/>
      </c>
      <c r="Q5345" s="75" t="str">
        <f>IF(AND(B5345='111'!$L$11,OR($N5345=$Q$7,$O5345=$Q$7)),"x","")</f>
        <v/>
      </c>
      <c r="R5345" s="75" t="str">
        <f>IF(AND($N5345=$Q$7,$B5345&lt;'111'!$L$11),"x","")</f>
        <v/>
      </c>
      <c r="S5345" s="75" t="str">
        <f>IF(AND($O5345=$Q$7,$B5345&lt;'111'!$L$11),"x","")</f>
        <v/>
      </c>
      <c r="T5345" s="75" t="str">
        <f>IF(ISERROR(FIND('112'!$M$9,G5345,1)),"",IF((AND(FIND('112'!$M$9,G5345,1)&gt;=1,B5345='112'!$K$9,OR($N5345='112'!$I$6,$O5345='112'!$I$6))),"x",""))</f>
        <v/>
      </c>
      <c r="U5345" s="75" t="str">
        <f>IF(ISERROR(FIND('112'!$M$9,G5345,1)),"",IF((AND(LEFT(G5345,2)=LEFT('112'!$M$9,2),B5345&lt;'112'!$K$9,$N5345='112'!$I$6)),"x",""))</f>
        <v/>
      </c>
      <c r="V5345" s="75" t="str">
        <f>IF(ISERROR(FIND('112'!$M$9,G5345,1)),"",IF((AND(RIGHT(G5345,2)=RIGHT('112'!$M$9,2),B5345&lt;'112'!$K$9,$O5345='112'!$I$6)),"x",""))</f>
        <v/>
      </c>
      <c r="W5345" s="75" t="str">
        <f>IF(AND('341-CT'!$H$9=H5345,OR(LEFT(N5345,3)=$W$7,LEFT(O5345,3)=$W$7)),"x","")</f>
        <v/>
      </c>
      <c r="X5345" s="75" t="str">
        <f>IF(OR(TH!N4874=TH!$X$7,O5345=TH!$X$7),"x","")</f>
        <v/>
      </c>
      <c r="Y5345" s="75" t="str">
        <f>IF(AND(OR(N5345="131",O5345="131"),H5345='131-CT'!$H$9),"x","")</f>
        <v/>
      </c>
      <c r="Z5345" s="75"/>
      <c r="AA5345" s="75" t="str">
        <f>IF(AND(MONTH(E5345)='IN-NX'!$J$5,'IN-NX'!$D$7=D5345),"x","")</f>
        <v/>
      </c>
      <c r="AB5345" s="75" t="str">
        <f>IF(AND(OR(LEFT(TH!N4874,2)="15",LEFT(TH!O4874,2)="15"),LEFT(TH!O4874,3)&lt;&gt;"111",'152-CT'!$J$8=TH!F4874),"x","")</f>
        <v/>
      </c>
      <c r="AC5345" s="75" t="str">
        <f>IF(AND(OR(LEFT(TH!N4874,2)="15",LEFT(TH!O4874,2)="15"),TK!$E$7=TH!F4874),"x","")</f>
        <v/>
      </c>
      <c r="AD5345" s="75" t="str">
        <f>IF(AND(N5345="1521",MONTH(C5345)='BK-NL'!$M$11),"x","")</f>
        <v/>
      </c>
      <c r="AE5345" s="304"/>
      <c r="AF5345" s="304"/>
      <c r="AG5345" s="304"/>
    </row>
    <row r="5346" spans="1:33" ht="16.5" customHeight="1">
      <c r="A5346" s="309" t="str">
        <f>IF(B5346&lt;&gt;"",IF(AND(B5346='IN-TC'!$S$4,OR(TH!N5333="1111",TH!O5333="1111")),TH!D5333,""),"")</f>
        <v/>
      </c>
      <c r="B5346" s="1245">
        <f t="shared" si="1352"/>
        <v>11</v>
      </c>
      <c r="C5346" s="292">
        <f t="shared" si="1351"/>
        <v>43052</v>
      </c>
      <c r="D5346" s="59"/>
      <c r="E5346" s="59">
        <v>43052</v>
      </c>
      <c r="F5346" s="62" t="s">
        <v>2633</v>
      </c>
      <c r="G5346" s="742" t="s">
        <v>2634</v>
      </c>
      <c r="H5346" s="67" t="s">
        <v>1720</v>
      </c>
      <c r="I5346" s="375"/>
      <c r="J5346" s="382"/>
      <c r="K5346" s="375"/>
      <c r="L5346" s="381"/>
      <c r="M5346" s="60">
        <v>6250000</v>
      </c>
      <c r="N5346" s="61" t="s">
        <v>101</v>
      </c>
      <c r="O5346" s="61" t="s">
        <v>63</v>
      </c>
      <c r="P5346" s="75" t="str">
        <f>IF(AND('331-CT'!$E$7=TH!H4096,OR(N5346="331",O5346="331")),"x","")</f>
        <v/>
      </c>
      <c r="Q5346" s="75" t="str">
        <f>IF(AND(B5346='111'!$L$11,OR($N5346=$Q$7,$O5346=$Q$7)),"x","")</f>
        <v/>
      </c>
      <c r="R5346" s="75" t="str">
        <f>IF(AND($N5346=$Q$7,$B5346&lt;'111'!$L$11),"x","")</f>
        <v/>
      </c>
      <c r="S5346" s="75" t="str">
        <f>IF(AND($O5346=$Q$7,$B5346&lt;'111'!$L$11),"x","")</f>
        <v>x</v>
      </c>
      <c r="T5346" s="75" t="str">
        <f>IF(ISERROR(FIND('112'!$M$9,G5346,1)),"",IF((AND(FIND('112'!$M$9,G5346,1)&gt;=1,B5346='112'!$K$9,OR($N5346='112'!$I$6,$O5346='112'!$I$6))),"x",""))</f>
        <v/>
      </c>
      <c r="U5346" s="75" t="str">
        <f>IF(ISERROR(FIND('112'!$M$9,G5346,1)),"",IF((AND(LEFT(G5346,2)=LEFT('112'!$M$9,2),B5346&lt;'112'!$K$9,$N5346='112'!$I$6)),"x",""))</f>
        <v/>
      </c>
      <c r="V5346" s="75" t="str">
        <f>IF(ISERROR(FIND('112'!$M$9,G5346,1)),"",IF((AND(RIGHT(G5346,2)=RIGHT('112'!$M$9,2),B5346&lt;'112'!$K$9,$O5346='112'!$I$6)),"x",""))</f>
        <v/>
      </c>
      <c r="W5346" s="75" t="str">
        <f>IF(AND('341-CT'!$H$9=H5346,OR(LEFT(N5346,3)=$W$7,LEFT(O5346,3)=$W$7)),"x","")</f>
        <v/>
      </c>
      <c r="X5346" s="75" t="str">
        <f>IF(OR(TH!N4096=TH!$X$7,O5346=TH!$X$7),"x","")</f>
        <v/>
      </c>
      <c r="Y5346" s="75" t="str">
        <f>IF(AND(OR(N5346="131",O5346="131"),H5346='131-CT'!$H$9),"x","")</f>
        <v/>
      </c>
      <c r="Z5346" s="75"/>
      <c r="AA5346" s="75" t="str">
        <f>IF(AND(MONTH(E5346)='IN-NX'!$J$5,'IN-NX'!$D$7=D5346),"x","")</f>
        <v/>
      </c>
      <c r="AB5346" s="75" t="str">
        <f>IF(AND(OR(LEFT(TH!N4096,2)="15",LEFT(TH!O4096,2)="15"),LEFT(TH!O4096,3)&lt;&gt;"111",'152-CT'!$J$8=TH!F4096),"x","")</f>
        <v/>
      </c>
      <c r="AC5346" s="75" t="str">
        <f>IF(AND(OR(LEFT(TH!N4096,2)="15",LEFT(TH!O4096,2)="15"),TK!$E$7=TH!F4096),"x","")</f>
        <v/>
      </c>
      <c r="AD5346" s="75" t="str">
        <f>IF(AND(N5346="1521",MONTH(C5346)='BK-NL'!$M$11),"x","")</f>
        <v/>
      </c>
    </row>
    <row r="5347" spans="1:33" ht="16.5" customHeight="1">
      <c r="A5347" s="309" t="str">
        <f>IF(B5347&lt;&gt;"",IF(AND(B5347='IN-TC'!$S$4,OR(TH!N5334="1111",TH!O5334="1111")),TH!D5334,""),"")</f>
        <v/>
      </c>
      <c r="B5347" s="1245">
        <f t="shared" si="1352"/>
        <v>11</v>
      </c>
      <c r="C5347" s="292">
        <f t="shared" si="1351"/>
        <v>43052</v>
      </c>
      <c r="D5347" s="59" t="s">
        <v>902</v>
      </c>
      <c r="E5347" s="59">
        <v>43052</v>
      </c>
      <c r="F5347" s="62" t="s">
        <v>897</v>
      </c>
      <c r="G5347" s="62" t="s">
        <v>585</v>
      </c>
      <c r="H5347" s="67" t="s">
        <v>789</v>
      </c>
      <c r="I5347" s="373"/>
      <c r="J5347" s="382"/>
      <c r="K5347" s="373"/>
      <c r="L5347" s="379"/>
      <c r="M5347" s="60">
        <v>105561000</v>
      </c>
      <c r="N5347" s="61" t="s">
        <v>8</v>
      </c>
      <c r="O5347" s="61" t="s">
        <v>26</v>
      </c>
      <c r="P5347" s="75" t="str">
        <f>IF(AND('331-CT'!$E$7=TH!H4875,OR(N5347="331",O5347="331")),"x","")</f>
        <v/>
      </c>
      <c r="Q5347" s="75" t="str">
        <f>IF(AND(B5347='111'!$L$11,OR($N5347=$Q$7,$O5347=$Q$7)),"x","")</f>
        <v/>
      </c>
      <c r="R5347" s="75" t="str">
        <f>IF(AND($N5347=$Q$7,$B5347&lt;'111'!$L$11),"x","")</f>
        <v/>
      </c>
      <c r="S5347" s="75" t="str">
        <f>IF(AND($O5347=$Q$7,$B5347&lt;'111'!$L$11),"x","")</f>
        <v/>
      </c>
      <c r="T5347" s="75" t="str">
        <f>IF(ISERROR(FIND('112'!$M$9,G5347,1)),"",IF((AND(FIND('112'!$M$9,G5347,1)&gt;=1,B5347='112'!$K$9,OR($N5347='112'!$I$6,$O5347='112'!$I$6))),"x",""))</f>
        <v/>
      </c>
      <c r="U5347" s="75" t="str">
        <f>IF(ISERROR(FIND('112'!$M$9,G5347,1)),"",IF((AND(LEFT(G5347,2)=LEFT('112'!$M$9,2),B5347&lt;'112'!$K$9,$N5347='112'!$I$6)),"x",""))</f>
        <v/>
      </c>
      <c r="V5347" s="75" t="str">
        <f>IF(ISERROR(FIND('112'!$M$9,G5347,1)),"",IF((AND(RIGHT(G5347,2)=RIGHT('112'!$M$9,2),B5347&lt;'112'!$K$9,$O5347='112'!$I$6)),"x",""))</f>
        <v/>
      </c>
      <c r="W5347" s="75" t="str">
        <f>IF(AND('341-CT'!$H$9=H5347,OR(LEFT(N5347,3)=$W$7,LEFT(O5347,3)=$W$7)),"x","")</f>
        <v/>
      </c>
      <c r="X5347" s="75" t="str">
        <f>IF(OR(TH!N4875=TH!$X$7,O5347=TH!$X$7),"x","")</f>
        <v/>
      </c>
      <c r="Y5347" s="75" t="str">
        <f>IF(AND(OR(N5347="131",O5347="131"),H5347='131-CT'!$H$9),"x","")</f>
        <v/>
      </c>
      <c r="Z5347" s="75"/>
      <c r="AA5347" s="75" t="str">
        <f>IF(AND(MONTH(E5347)='IN-NX'!$J$5,'IN-NX'!$D$7=D5347),"x","")</f>
        <v/>
      </c>
      <c r="AB5347" s="75" t="str">
        <f>IF(AND(OR(LEFT(TH!N4875,2)="15",LEFT(TH!O4875,2)="15"),LEFT(TH!O4875,3)&lt;&gt;"111",'152-CT'!$J$8=TH!F4875),"x","")</f>
        <v/>
      </c>
      <c r="AC5347" s="75" t="str">
        <f>IF(AND(OR(LEFT(TH!N4875,2)="15",LEFT(TH!O4875,2)="15"),TK!$E$7=TH!F4875),"x","")</f>
        <v/>
      </c>
      <c r="AD5347" s="75" t="str">
        <f>IF(AND(N5347="1521",MONTH(C5347)='BK-NL'!$M$11),"x","")</f>
        <v/>
      </c>
      <c r="AE5347" s="304"/>
      <c r="AF5347" s="304"/>
      <c r="AG5347" s="304"/>
    </row>
    <row r="5348" spans="1:33" ht="16.5" customHeight="1">
      <c r="A5348" s="309" t="str">
        <f>IF(B5348&lt;&gt;"",IF(AND(B5348='IN-TC'!$S$4,OR(TH!N5335="1111",TH!O5335="1111")),TH!D5335,""),"")</f>
        <v/>
      </c>
      <c r="B5348" s="1245">
        <f t="shared" si="1352"/>
        <v>11</v>
      </c>
      <c r="C5348" s="292">
        <f t="shared" si="1351"/>
        <v>43052</v>
      </c>
      <c r="D5348" s="59" t="s">
        <v>902</v>
      </c>
      <c r="E5348" s="59">
        <v>43052</v>
      </c>
      <c r="F5348" s="62" t="s">
        <v>1307</v>
      </c>
      <c r="G5348" s="62" t="s">
        <v>585</v>
      </c>
      <c r="H5348" s="67" t="s">
        <v>845</v>
      </c>
      <c r="I5348" s="373"/>
      <c r="J5348" s="382"/>
      <c r="K5348" s="373"/>
      <c r="L5348" s="379"/>
      <c r="M5348" s="60">
        <v>52781</v>
      </c>
      <c r="N5348" s="61" t="s">
        <v>101</v>
      </c>
      <c r="O5348" s="61" t="s">
        <v>26</v>
      </c>
      <c r="P5348" s="75" t="str">
        <f>IF(AND('331-CT'!$E$7=TH!H4876,OR(N5348="331",O5348="331")),"x","")</f>
        <v/>
      </c>
      <c r="Q5348" s="75" t="str">
        <f>IF(AND(B5348='111'!$L$11,OR($N5348=$Q$7,$O5348=$Q$7)),"x","")</f>
        <v/>
      </c>
      <c r="R5348" s="75" t="str">
        <f>IF(AND($N5348=$Q$7,$B5348&lt;'111'!$L$11),"x","")</f>
        <v/>
      </c>
      <c r="S5348" s="75" t="str">
        <f>IF(AND($O5348=$Q$7,$B5348&lt;'111'!$L$11),"x","")</f>
        <v/>
      </c>
      <c r="T5348" s="75" t="str">
        <f>IF(ISERROR(FIND('112'!$M$9,G5348,1)),"",IF((AND(FIND('112'!$M$9,G5348,1)&gt;=1,B5348='112'!$K$9,OR($N5348='112'!$I$6,$O5348='112'!$I$6))),"x",""))</f>
        <v/>
      </c>
      <c r="U5348" s="75" t="str">
        <f>IF(ISERROR(FIND('112'!$M$9,G5348,1)),"",IF((AND(LEFT(G5348,2)=LEFT('112'!$M$9,2),B5348&lt;'112'!$K$9,$N5348='112'!$I$6)),"x",""))</f>
        <v/>
      </c>
      <c r="V5348" s="75" t="str">
        <f>IF(ISERROR(FIND('112'!$M$9,G5348,1)),"",IF((AND(RIGHT(G5348,2)=RIGHT('112'!$M$9,2),B5348&lt;'112'!$K$9,$O5348='112'!$I$6)),"x",""))</f>
        <v/>
      </c>
      <c r="W5348" s="75" t="str">
        <f>IF(AND('341-CT'!$H$9=H5348,OR(LEFT(N5348,3)=$W$7,LEFT(O5348,3)=$W$7)),"x","")</f>
        <v/>
      </c>
      <c r="X5348" s="75" t="str">
        <f>IF(OR(TH!N4876=TH!$X$7,O5348=TH!$X$7),"x","")</f>
        <v/>
      </c>
      <c r="Y5348" s="75" t="str">
        <f>IF(AND(OR(N5348="131",O5348="131"),H5348='131-CT'!$H$9),"x","")</f>
        <v/>
      </c>
      <c r="Z5348" s="75"/>
      <c r="AA5348" s="75" t="str">
        <f>IF(AND(MONTH(E5348)='IN-NX'!$J$5,'IN-NX'!$D$7=D5348),"x","")</f>
        <v/>
      </c>
      <c r="AB5348" s="75" t="str">
        <f>IF(AND(OR(LEFT(TH!N4876,2)="15",LEFT(TH!O4876,2)="15"),LEFT(TH!O4876,3)&lt;&gt;"111",'152-CT'!$J$8=TH!F4876),"x","")</f>
        <v/>
      </c>
      <c r="AC5348" s="75" t="str">
        <f>IF(AND(OR(LEFT(TH!N4876,2)="15",LEFT(TH!O4876,2)="15"),TK!$E$7=TH!F4876),"x","")</f>
        <v/>
      </c>
      <c r="AD5348" s="75" t="str">
        <f>IF(AND(N5348="1521",MONTH(C5348)='BK-NL'!$M$11),"x","")</f>
        <v/>
      </c>
      <c r="AE5348">
        <v>11</v>
      </c>
    </row>
    <row r="5349" spans="1:33" ht="16.5" customHeight="1">
      <c r="A5349" s="309" t="str">
        <f>IF(B5349&lt;&gt;"",IF(AND(B5349='IN-TC'!$S$4,OR(TH!N5336="1111",TH!O5336="1111")),TH!D5336,""),"")</f>
        <v/>
      </c>
      <c r="B5349" s="1245">
        <f t="shared" si="1352"/>
        <v>11</v>
      </c>
      <c r="C5349" s="292">
        <f t="shared" si="1351"/>
        <v>43052</v>
      </c>
      <c r="D5349" s="59" t="s">
        <v>902</v>
      </c>
      <c r="E5349" s="59">
        <v>43052</v>
      </c>
      <c r="F5349" s="62" t="s">
        <v>1314</v>
      </c>
      <c r="G5349" s="62" t="s">
        <v>585</v>
      </c>
      <c r="H5349" s="67" t="s">
        <v>845</v>
      </c>
      <c r="I5349" s="373"/>
      <c r="J5349" s="382"/>
      <c r="K5349" s="373"/>
      <c r="L5349" s="379"/>
      <c r="M5349" s="60">
        <v>5278</v>
      </c>
      <c r="N5349" s="61" t="s">
        <v>9</v>
      </c>
      <c r="O5349" s="61" t="s">
        <v>26</v>
      </c>
      <c r="P5349" s="75" t="str">
        <f>IF(AND('331-CT'!$E$7=TH!H4877,OR(N5349="331",O5349="331")),"x","")</f>
        <v/>
      </c>
      <c r="Q5349" s="75" t="str">
        <f>IF(AND(B5349='111'!$L$11,OR($N5349=$Q$7,$O5349=$Q$7)),"x","")</f>
        <v/>
      </c>
      <c r="R5349" s="75" t="str">
        <f>IF(AND($N5349=$Q$7,$B5349&lt;'111'!$L$11),"x","")</f>
        <v/>
      </c>
      <c r="S5349" s="75" t="str">
        <f>IF(AND($O5349=$Q$7,$B5349&lt;'111'!$L$11),"x","")</f>
        <v/>
      </c>
      <c r="T5349" s="75" t="str">
        <f>IF(ISERROR(FIND('112'!$M$9,G5349,1)),"",IF((AND(FIND('112'!$M$9,G5349,1)&gt;=1,B5349='112'!$K$9,OR($N5349='112'!$I$6,$O5349='112'!$I$6))),"x",""))</f>
        <v/>
      </c>
      <c r="U5349" s="75" t="str">
        <f>IF(ISERROR(FIND('112'!$M$9,G5349,1)),"",IF((AND(LEFT(G5349,2)=LEFT('112'!$M$9,2),B5349&lt;'112'!$K$9,$N5349='112'!$I$6)),"x",""))</f>
        <v/>
      </c>
      <c r="V5349" s="75" t="str">
        <f>IF(ISERROR(FIND('112'!$M$9,G5349,1)),"",IF((AND(RIGHT(G5349,2)=RIGHT('112'!$M$9,2),B5349&lt;'112'!$K$9,$O5349='112'!$I$6)),"x",""))</f>
        <v/>
      </c>
      <c r="W5349" s="75" t="str">
        <f>IF(AND('341-CT'!$H$9=H5349,OR(LEFT(N5349,3)=$W$7,LEFT(O5349,3)=$W$7)),"x","")</f>
        <v/>
      </c>
      <c r="X5349" s="75" t="str">
        <f>IF(OR(TH!N4877=TH!$X$7,O5349=TH!$X$7),"x","")</f>
        <v/>
      </c>
      <c r="Y5349" s="75" t="str">
        <f>IF(AND(OR(N5349="131",O5349="131"),H5349='131-CT'!$H$9),"x","")</f>
        <v/>
      </c>
      <c r="Z5349" s="75"/>
      <c r="AA5349" s="75" t="str">
        <f>IF(AND(MONTH(E5349)='IN-NX'!$J$5,'IN-NX'!$D$7=D5349),"x","")</f>
        <v/>
      </c>
      <c r="AB5349" s="75" t="str">
        <f>IF(AND(OR(LEFT(TH!N4877,2)="15",LEFT(TH!O4877,2)="15"),LEFT(TH!O4877,3)&lt;&gt;"111",'152-CT'!$J$8=TH!F4877),"x","")</f>
        <v/>
      </c>
      <c r="AC5349" s="75" t="str">
        <f>IF(AND(OR(LEFT(TH!N4877,2)="15",LEFT(TH!O4877,2)="15"),TK!$E$7=TH!F4877),"x","")</f>
        <v/>
      </c>
      <c r="AD5349" s="75" t="str">
        <f>IF(AND(N5349="1521",MONTH(C5349)='BK-NL'!$M$11),"x","")</f>
        <v/>
      </c>
      <c r="AE5349">
        <v>11</v>
      </c>
    </row>
    <row r="5350" spans="1:33" ht="16.5" customHeight="1">
      <c r="A5350" s="309" t="str">
        <f>IF(B5350&lt;&gt;"",IF(AND(B5350='IN-TC'!$S$4,OR(TH!N5337="1111",TH!O5337="1111")),TH!D5337,""),"")</f>
        <v/>
      </c>
      <c r="B5350" s="1245">
        <f t="shared" si="1352"/>
        <v>11</v>
      </c>
      <c r="C5350" s="292">
        <f t="shared" si="1351"/>
        <v>43052</v>
      </c>
      <c r="D5350" s="59" t="s">
        <v>902</v>
      </c>
      <c r="E5350" s="59">
        <v>43052</v>
      </c>
      <c r="F5350" s="62" t="s">
        <v>1550</v>
      </c>
      <c r="G5350" s="62" t="s">
        <v>585</v>
      </c>
      <c r="H5350" s="7" t="s">
        <v>561</v>
      </c>
      <c r="I5350" s="373"/>
      <c r="J5350" s="382"/>
      <c r="K5350" s="373"/>
      <c r="L5350" s="379"/>
      <c r="M5350" s="60">
        <v>10215000</v>
      </c>
      <c r="N5350" s="61" t="s">
        <v>8</v>
      </c>
      <c r="O5350" s="61" t="s">
        <v>26</v>
      </c>
      <c r="P5350" s="75" t="str">
        <f>IF(AND('331-CT'!$E$7=TH!H4878,OR(N5350="331",O5350="331")),"x","")</f>
        <v/>
      </c>
      <c r="Q5350" s="75" t="str">
        <f>IF(AND(B5350='111'!$L$11,OR($N5350=$Q$7,$O5350=$Q$7)),"x","")</f>
        <v/>
      </c>
      <c r="R5350" s="75" t="str">
        <f>IF(AND($N5350=$Q$7,$B5350&lt;'111'!$L$11),"x","")</f>
        <v/>
      </c>
      <c r="S5350" s="75" t="str">
        <f>IF(AND($O5350=$Q$7,$B5350&lt;'111'!$L$11),"x","")</f>
        <v/>
      </c>
      <c r="T5350" s="75" t="str">
        <f>IF(ISERROR(FIND('112'!$M$9,G5350,1)),"",IF((AND(FIND('112'!$M$9,G5350,1)&gt;=1,B5350='112'!$K$9,OR($N5350='112'!$I$6,$O5350='112'!$I$6))),"x",""))</f>
        <v/>
      </c>
      <c r="U5350" s="75" t="str">
        <f>IF(ISERROR(FIND('112'!$M$9,G5350,1)),"",IF((AND(LEFT(G5350,2)=LEFT('112'!$M$9,2),B5350&lt;'112'!$K$9,$N5350='112'!$I$6)),"x",""))</f>
        <v/>
      </c>
      <c r="V5350" s="75" t="str">
        <f>IF(ISERROR(FIND('112'!$M$9,G5350,1)),"",IF((AND(RIGHT(G5350,2)=RIGHT('112'!$M$9,2),B5350&lt;'112'!$K$9,$O5350='112'!$I$6)),"x",""))</f>
        <v/>
      </c>
      <c r="W5350" s="75" t="str">
        <f>IF(AND('341-CT'!$H$9=H5350,OR(LEFT(N5350,3)=$W$7,LEFT(O5350,3)=$W$7)),"x","")</f>
        <v/>
      </c>
      <c r="X5350" s="75" t="str">
        <f>IF(OR(TH!N4878=TH!$X$7,O5350=TH!$X$7),"x","")</f>
        <v/>
      </c>
      <c r="Y5350" s="75" t="str">
        <f>IF(AND(OR(N5350="131",O5350="131"),H5350='131-CT'!$H$9),"x","")</f>
        <v/>
      </c>
      <c r="Z5350" s="75"/>
      <c r="AA5350" s="75" t="str">
        <f>IF(AND(MONTH(E5350)='IN-NX'!$J$5,'IN-NX'!$D$7=D5350),"x","")</f>
        <v/>
      </c>
      <c r="AB5350" s="75" t="str">
        <f>IF(AND(OR(LEFT(TH!N4878,2)="15",LEFT(TH!O4878,2)="15"),LEFT(TH!O4878,3)&lt;&gt;"111",'152-CT'!$J$8=TH!F4878),"x","")</f>
        <v/>
      </c>
      <c r="AC5350" s="75" t="str">
        <f>IF(AND(OR(LEFT(TH!N4878,2)="15",LEFT(TH!O4878,2)="15"),TK!$E$7=TH!F4878),"x","")</f>
        <v/>
      </c>
      <c r="AD5350" s="75" t="str">
        <f>IF(AND(N5350="1521",MONTH(C5350)='BK-NL'!$M$11),"x","")</f>
        <v/>
      </c>
      <c r="AE5350" s="304"/>
      <c r="AF5350" s="304"/>
      <c r="AG5350" s="304"/>
    </row>
    <row r="5351" spans="1:33" ht="16.5" customHeight="1">
      <c r="A5351" s="309" t="str">
        <f>IF(B5351&lt;&gt;"",IF(AND(B5351='IN-TC'!$S$4,OR(TH!N5338="1111",TH!O5338="1111")),TH!D5338,""),"")</f>
        <v/>
      </c>
      <c r="B5351" s="1245">
        <f t="shared" si="1352"/>
        <v>11</v>
      </c>
      <c r="C5351" s="292">
        <f t="shared" si="1351"/>
        <v>43052</v>
      </c>
      <c r="D5351" s="59" t="s">
        <v>902</v>
      </c>
      <c r="E5351" s="59">
        <v>43052</v>
      </c>
      <c r="F5351" s="62" t="s">
        <v>1307</v>
      </c>
      <c r="G5351" s="62" t="s">
        <v>585</v>
      </c>
      <c r="H5351" s="67" t="s">
        <v>845</v>
      </c>
      <c r="I5351" s="373"/>
      <c r="J5351" s="382"/>
      <c r="K5351" s="373"/>
      <c r="L5351" s="379"/>
      <c r="M5351" s="60">
        <v>15000</v>
      </c>
      <c r="N5351" s="61" t="s">
        <v>101</v>
      </c>
      <c r="O5351" s="61" t="s">
        <v>26</v>
      </c>
      <c r="P5351" s="75" t="str">
        <f>IF(AND('331-CT'!$E$7=TH!H4879,OR(N5351="331",O5351="331")),"x","")</f>
        <v/>
      </c>
      <c r="Q5351" s="75" t="str">
        <f>IF(AND(B5351='111'!$L$11,OR($N5351=$Q$7,$O5351=$Q$7)),"x","")</f>
        <v/>
      </c>
      <c r="R5351" s="75" t="str">
        <f>IF(AND($N5351=$Q$7,$B5351&lt;'111'!$L$11),"x","")</f>
        <v/>
      </c>
      <c r="S5351" s="75" t="str">
        <f>IF(AND($O5351=$Q$7,$B5351&lt;'111'!$L$11),"x","")</f>
        <v/>
      </c>
      <c r="T5351" s="75" t="str">
        <f>IF(ISERROR(FIND('112'!$M$9,G5351,1)),"",IF((AND(FIND('112'!$M$9,G5351,1)&gt;=1,B5351='112'!$K$9,OR($N5351='112'!$I$6,$O5351='112'!$I$6))),"x",""))</f>
        <v/>
      </c>
      <c r="U5351" s="75" t="str">
        <f>IF(ISERROR(FIND('112'!$M$9,G5351,1)),"",IF((AND(LEFT(G5351,2)=LEFT('112'!$M$9,2),B5351&lt;'112'!$K$9,$N5351='112'!$I$6)),"x",""))</f>
        <v/>
      </c>
      <c r="V5351" s="75" t="str">
        <f>IF(ISERROR(FIND('112'!$M$9,G5351,1)),"",IF((AND(RIGHT(G5351,2)=RIGHT('112'!$M$9,2),B5351&lt;'112'!$K$9,$O5351='112'!$I$6)),"x",""))</f>
        <v/>
      </c>
      <c r="W5351" s="75" t="str">
        <f>IF(AND('341-CT'!$H$9=H5351,OR(LEFT(N5351,3)=$W$7,LEFT(O5351,3)=$W$7)),"x","")</f>
        <v/>
      </c>
      <c r="X5351" s="75" t="str">
        <f>IF(OR(TH!N4879=TH!$X$7,O5351=TH!$X$7),"x","")</f>
        <v/>
      </c>
      <c r="Y5351" s="75" t="str">
        <f>IF(AND(OR(N5351="131",O5351="131"),H5351='131-CT'!$H$9),"x","")</f>
        <v/>
      </c>
      <c r="Z5351" s="75"/>
      <c r="AA5351" s="75" t="str">
        <f>IF(AND(MONTH(E5351)='IN-NX'!$J$5,'IN-NX'!$D$7=D5351),"x","")</f>
        <v/>
      </c>
      <c r="AB5351" s="75" t="str">
        <f>IF(AND(OR(LEFT(TH!N4879,2)="15",LEFT(TH!O4879,2)="15"),LEFT(TH!O4879,3)&lt;&gt;"111",'152-CT'!$J$8=TH!F4879),"x","")</f>
        <v/>
      </c>
      <c r="AC5351" s="75" t="str">
        <f>IF(AND(OR(LEFT(TH!N4879,2)="15",LEFT(TH!O4879,2)="15"),TK!$E$7=TH!F4879),"x","")</f>
        <v/>
      </c>
      <c r="AD5351" s="75" t="str">
        <f>IF(AND(N5351="1521",MONTH(C5351)='BK-NL'!$M$11),"x","")</f>
        <v/>
      </c>
      <c r="AE5351">
        <v>11</v>
      </c>
    </row>
    <row r="5352" spans="1:33" ht="16.5" customHeight="1">
      <c r="A5352" s="309" t="str">
        <f>IF(B5352&lt;&gt;"",IF(AND(B5352='IN-TC'!$S$4,OR(TH!N5339="1111",TH!O5339="1111")),TH!D5339,""),"")</f>
        <v/>
      </c>
      <c r="B5352" s="1245">
        <f t="shared" si="1352"/>
        <v>11</v>
      </c>
      <c r="C5352" s="292">
        <f t="shared" si="1351"/>
        <v>43052</v>
      </c>
      <c r="D5352" s="59" t="s">
        <v>902</v>
      </c>
      <c r="E5352" s="59">
        <v>43052</v>
      </c>
      <c r="F5352" s="62" t="s">
        <v>1314</v>
      </c>
      <c r="G5352" s="62" t="s">
        <v>585</v>
      </c>
      <c r="H5352" s="67" t="s">
        <v>845</v>
      </c>
      <c r="I5352" s="373"/>
      <c r="J5352" s="382"/>
      <c r="K5352" s="373"/>
      <c r="L5352" s="379"/>
      <c r="M5352" s="60">
        <v>1500</v>
      </c>
      <c r="N5352" s="61" t="s">
        <v>9</v>
      </c>
      <c r="O5352" s="61" t="s">
        <v>26</v>
      </c>
      <c r="P5352" s="75" t="str">
        <f>IF(AND('331-CT'!$E$7=TH!H4880,OR(N5352="331",O5352="331")),"x","")</f>
        <v/>
      </c>
      <c r="Q5352" s="75" t="str">
        <f>IF(AND(B5352='111'!$L$11,OR($N5352=$Q$7,$O5352=$Q$7)),"x","")</f>
        <v/>
      </c>
      <c r="R5352" s="75" t="str">
        <f>IF(AND($N5352=$Q$7,$B5352&lt;'111'!$L$11),"x","")</f>
        <v/>
      </c>
      <c r="S5352" s="75" t="str">
        <f>IF(AND($O5352=$Q$7,$B5352&lt;'111'!$L$11),"x","")</f>
        <v/>
      </c>
      <c r="T5352" s="75" t="str">
        <f>IF(ISERROR(FIND('112'!$M$9,G5352,1)),"",IF((AND(FIND('112'!$M$9,G5352,1)&gt;=1,B5352='112'!$K$9,OR($N5352='112'!$I$6,$O5352='112'!$I$6))),"x",""))</f>
        <v/>
      </c>
      <c r="U5352" s="75" t="str">
        <f>IF(ISERROR(FIND('112'!$M$9,G5352,1)),"",IF((AND(LEFT(G5352,2)=LEFT('112'!$M$9,2),B5352&lt;'112'!$K$9,$N5352='112'!$I$6)),"x",""))</f>
        <v/>
      </c>
      <c r="V5352" s="75" t="str">
        <f>IF(ISERROR(FIND('112'!$M$9,G5352,1)),"",IF((AND(RIGHT(G5352,2)=RIGHT('112'!$M$9,2),B5352&lt;'112'!$K$9,$O5352='112'!$I$6)),"x",""))</f>
        <v/>
      </c>
      <c r="W5352" s="75" t="str">
        <f>IF(AND('341-CT'!$H$9=H5352,OR(LEFT(N5352,3)=$W$7,LEFT(O5352,3)=$W$7)),"x","")</f>
        <v/>
      </c>
      <c r="X5352" s="75" t="str">
        <f>IF(OR(TH!N4880=TH!$X$7,O5352=TH!$X$7),"x","")</f>
        <v/>
      </c>
      <c r="Y5352" s="75" t="str">
        <f>IF(AND(OR(N5352="131",O5352="131"),H5352='131-CT'!$H$9),"x","")</f>
        <v/>
      </c>
      <c r="Z5352" s="75"/>
      <c r="AA5352" s="75" t="str">
        <f>IF(AND(MONTH(E5352)='IN-NX'!$J$5,'IN-NX'!$D$7=D5352),"x","")</f>
        <v/>
      </c>
      <c r="AB5352" s="75" t="str">
        <f>IF(AND(OR(LEFT(TH!N4880,2)="15",LEFT(TH!O4880,2)="15"),LEFT(TH!O4880,3)&lt;&gt;"111",'152-CT'!$J$8=TH!F4880),"x","")</f>
        <v/>
      </c>
      <c r="AC5352" s="75" t="str">
        <f>IF(AND(OR(LEFT(TH!N4880,2)="15",LEFT(TH!O4880,2)="15"),TK!$E$7=TH!F4880),"x","")</f>
        <v/>
      </c>
      <c r="AD5352" s="75" t="str">
        <f>IF(AND(N5352="1521",MONTH(C5352)='BK-NL'!$M$11),"x","")</f>
        <v/>
      </c>
      <c r="AE5352">
        <v>11</v>
      </c>
    </row>
    <row r="5353" spans="1:33" ht="16.5" customHeight="1">
      <c r="A5353" s="309" t="str">
        <f>IF(B5353&lt;&gt;"",IF(AND(B5353='IN-TC'!$S$4,OR(TH!N5340="1111",TH!O5340="1111")),TH!D5340,""),"")</f>
        <v/>
      </c>
      <c r="B5353" s="1245">
        <f t="shared" si="1352"/>
        <v>11</v>
      </c>
      <c r="C5353" s="292">
        <f t="shared" si="1351"/>
        <v>43052</v>
      </c>
      <c r="D5353" s="59" t="s">
        <v>902</v>
      </c>
      <c r="E5353" s="59">
        <v>43052</v>
      </c>
      <c r="F5353" s="62" t="s">
        <v>1550</v>
      </c>
      <c r="G5353" s="62" t="s">
        <v>585</v>
      </c>
      <c r="H5353" s="7" t="s">
        <v>561</v>
      </c>
      <c r="I5353" s="373"/>
      <c r="J5353" s="382"/>
      <c r="K5353" s="373"/>
      <c r="L5353" s="379"/>
      <c r="M5353" s="60">
        <v>2500000</v>
      </c>
      <c r="N5353" s="61" t="s">
        <v>8</v>
      </c>
      <c r="O5353" s="61" t="s">
        <v>26</v>
      </c>
      <c r="P5353" s="75" t="str">
        <f>IF(AND('331-CT'!$E$7=TH!H4881,OR(N5353="331",O5353="331")),"x","")</f>
        <v/>
      </c>
      <c r="Q5353" s="75" t="str">
        <f>IF(AND(B5353='111'!$L$11,OR($N5353=$Q$7,$O5353=$Q$7)),"x","")</f>
        <v/>
      </c>
      <c r="R5353" s="75" t="str">
        <f>IF(AND($N5353=$Q$7,$B5353&lt;'111'!$L$11),"x","")</f>
        <v/>
      </c>
      <c r="S5353" s="75" t="str">
        <f>IF(AND($O5353=$Q$7,$B5353&lt;'111'!$L$11),"x","")</f>
        <v/>
      </c>
      <c r="T5353" s="75" t="str">
        <f>IF(ISERROR(FIND('112'!$M$9,G5353,1)),"",IF((AND(FIND('112'!$M$9,G5353,1)&gt;=1,B5353='112'!$K$9,OR($N5353='112'!$I$6,$O5353='112'!$I$6))),"x",""))</f>
        <v/>
      </c>
      <c r="U5353" s="75" t="str">
        <f>IF(ISERROR(FIND('112'!$M$9,G5353,1)),"",IF((AND(LEFT(G5353,2)=LEFT('112'!$M$9,2),B5353&lt;'112'!$K$9,$N5353='112'!$I$6)),"x",""))</f>
        <v/>
      </c>
      <c r="V5353" s="75" t="str">
        <f>IF(ISERROR(FIND('112'!$M$9,G5353,1)),"",IF((AND(RIGHT(G5353,2)=RIGHT('112'!$M$9,2),B5353&lt;'112'!$K$9,$O5353='112'!$I$6)),"x",""))</f>
        <v/>
      </c>
      <c r="W5353" s="75" t="str">
        <f>IF(AND('341-CT'!$H$9=H5353,OR(LEFT(N5353,3)=$W$7,LEFT(O5353,3)=$W$7)),"x","")</f>
        <v/>
      </c>
      <c r="X5353" s="75" t="str">
        <f>IF(OR(TH!N4881=TH!$X$7,O5353=TH!$X$7),"x","")</f>
        <v/>
      </c>
      <c r="Y5353" s="75" t="str">
        <f>IF(AND(OR(N5353="131",O5353="131"),H5353='131-CT'!$H$9),"x","")</f>
        <v/>
      </c>
      <c r="Z5353" s="75"/>
      <c r="AA5353" s="75" t="str">
        <f>IF(AND(MONTH(E5353)='IN-NX'!$J$5,'IN-NX'!$D$7=D5353),"x","")</f>
        <v/>
      </c>
      <c r="AB5353" s="75" t="str">
        <f>IF(AND(OR(LEFT(TH!N4881,2)="15",LEFT(TH!O4881,2)="15"),LEFT(TH!O4881,3)&lt;&gt;"111",'152-CT'!$J$8=TH!F4881),"x","")</f>
        <v/>
      </c>
      <c r="AC5353" s="75" t="str">
        <f>IF(AND(OR(LEFT(TH!N4881,2)="15",LEFT(TH!O4881,2)="15"),TK!$E$7=TH!F4881),"x","")</f>
        <v/>
      </c>
      <c r="AD5353" s="75" t="str">
        <f>IF(AND(N5353="1521",MONTH(C5353)='BK-NL'!$M$11),"x","")</f>
        <v/>
      </c>
      <c r="AE5353" s="304"/>
      <c r="AF5353" s="304"/>
      <c r="AG5353" s="304"/>
    </row>
    <row r="5354" spans="1:33" ht="16.5" customHeight="1">
      <c r="A5354" s="309" t="str">
        <f>IF(B5354&lt;&gt;"",IF(AND(B5354='IN-TC'!$S$4,OR(TH!N5341="1111",TH!O5341="1111")),TH!D5341,""),"")</f>
        <v/>
      </c>
      <c r="B5354" s="1245">
        <f t="shared" si="1352"/>
        <v>11</v>
      </c>
      <c r="C5354" s="292">
        <f t="shared" si="1351"/>
        <v>43052</v>
      </c>
      <c r="D5354" s="59" t="s">
        <v>902</v>
      </c>
      <c r="E5354" s="59">
        <v>43052</v>
      </c>
      <c r="F5354" s="62" t="s">
        <v>1307</v>
      </c>
      <c r="G5354" s="62" t="s">
        <v>585</v>
      </c>
      <c r="H5354" s="67" t="s">
        <v>845</v>
      </c>
      <c r="I5354" s="373"/>
      <c r="J5354" s="382"/>
      <c r="K5354" s="373"/>
      <c r="L5354" s="379"/>
      <c r="M5354" s="60">
        <v>15000</v>
      </c>
      <c r="N5354" s="61" t="s">
        <v>101</v>
      </c>
      <c r="O5354" s="61" t="s">
        <v>26</v>
      </c>
      <c r="P5354" s="75" t="str">
        <f>IF(AND('331-CT'!$E$7=TH!H4882,OR(N5354="331",O5354="331")),"x","")</f>
        <v/>
      </c>
      <c r="Q5354" s="75" t="str">
        <f>IF(AND(B5354='111'!$L$11,OR($N5354=$Q$7,$O5354=$Q$7)),"x","")</f>
        <v/>
      </c>
      <c r="R5354" s="75" t="str">
        <f>IF(AND($N5354=$Q$7,$B5354&lt;'111'!$L$11),"x","")</f>
        <v/>
      </c>
      <c r="S5354" s="75" t="str">
        <f>IF(AND($O5354=$Q$7,$B5354&lt;'111'!$L$11),"x","")</f>
        <v/>
      </c>
      <c r="T5354" s="75" t="str">
        <f>IF(ISERROR(FIND('112'!$M$9,G5354,1)),"",IF((AND(FIND('112'!$M$9,G5354,1)&gt;=1,B5354='112'!$K$9,OR($N5354='112'!$I$6,$O5354='112'!$I$6))),"x",""))</f>
        <v/>
      </c>
      <c r="U5354" s="75" t="str">
        <f>IF(ISERROR(FIND('112'!$M$9,G5354,1)),"",IF((AND(LEFT(G5354,2)=LEFT('112'!$M$9,2),B5354&lt;'112'!$K$9,$N5354='112'!$I$6)),"x",""))</f>
        <v/>
      </c>
      <c r="V5354" s="75" t="str">
        <f>IF(ISERROR(FIND('112'!$M$9,G5354,1)),"",IF((AND(RIGHT(G5354,2)=RIGHT('112'!$M$9,2),B5354&lt;'112'!$K$9,$O5354='112'!$I$6)),"x",""))</f>
        <v/>
      </c>
      <c r="W5354" s="75" t="str">
        <f>IF(AND('341-CT'!$H$9=H5354,OR(LEFT(N5354,3)=$W$7,LEFT(O5354,3)=$W$7)),"x","")</f>
        <v/>
      </c>
      <c r="X5354" s="75" t="str">
        <f>IF(OR(TH!N4882=TH!$X$7,O5354=TH!$X$7),"x","")</f>
        <v/>
      </c>
      <c r="Y5354" s="75" t="str">
        <f>IF(AND(OR(N5354="131",O5354="131"),H5354='131-CT'!$H$9),"x","")</f>
        <v/>
      </c>
      <c r="Z5354" s="75"/>
      <c r="AA5354" s="75" t="str">
        <f>IF(AND(MONTH(E5354)='IN-NX'!$J$5,'IN-NX'!$D$7=D5354),"x","")</f>
        <v/>
      </c>
      <c r="AB5354" s="75" t="str">
        <f>IF(AND(OR(LEFT(TH!N4882,2)="15",LEFT(TH!O4882,2)="15"),LEFT(TH!O4882,3)&lt;&gt;"111",'152-CT'!$J$8=TH!F4882),"x","")</f>
        <v/>
      </c>
      <c r="AC5354" s="75" t="str">
        <f>IF(AND(OR(LEFT(TH!N4882,2)="15",LEFT(TH!O4882,2)="15"),TK!$E$7=TH!F4882),"x","")</f>
        <v/>
      </c>
      <c r="AD5354" s="75" t="str">
        <f>IF(AND(N5354="1521",MONTH(C5354)='BK-NL'!$M$11),"x","")</f>
        <v/>
      </c>
      <c r="AE5354">
        <v>11</v>
      </c>
    </row>
    <row r="5355" spans="1:33" ht="16.5" customHeight="1">
      <c r="A5355" s="309" t="str">
        <f>IF(B5355&lt;&gt;"",IF(AND(B5355='IN-TC'!$S$4,OR(TH!N5342="1111",TH!O5342="1111")),TH!D5342,""),"")</f>
        <v/>
      </c>
      <c r="B5355" s="1245">
        <f t="shared" si="1352"/>
        <v>11</v>
      </c>
      <c r="C5355" s="292">
        <f t="shared" si="1351"/>
        <v>43052</v>
      </c>
      <c r="D5355" s="59" t="s">
        <v>902</v>
      </c>
      <c r="E5355" s="59">
        <v>43052</v>
      </c>
      <c r="F5355" s="62" t="s">
        <v>1314</v>
      </c>
      <c r="G5355" s="62" t="s">
        <v>585</v>
      </c>
      <c r="H5355" s="67" t="s">
        <v>845</v>
      </c>
      <c r="I5355" s="373"/>
      <c r="J5355" s="382"/>
      <c r="K5355" s="373"/>
      <c r="L5355" s="379"/>
      <c r="M5355" s="60">
        <v>1500</v>
      </c>
      <c r="N5355" s="61" t="s">
        <v>9</v>
      </c>
      <c r="O5355" s="61" t="s">
        <v>26</v>
      </c>
      <c r="P5355" s="75" t="str">
        <f>IF(AND('331-CT'!$E$7=TH!H4883,OR(N5355="331",O5355="331")),"x","")</f>
        <v/>
      </c>
      <c r="Q5355" s="75" t="str">
        <f>IF(AND(B5355='111'!$L$11,OR($N5355=$Q$7,$O5355=$Q$7)),"x","")</f>
        <v/>
      </c>
      <c r="R5355" s="75" t="str">
        <f>IF(AND($N5355=$Q$7,$B5355&lt;'111'!$L$11),"x","")</f>
        <v/>
      </c>
      <c r="S5355" s="75" t="str">
        <f>IF(AND($O5355=$Q$7,$B5355&lt;'111'!$L$11),"x","")</f>
        <v/>
      </c>
      <c r="T5355" s="75" t="str">
        <f>IF(ISERROR(FIND('112'!$M$9,G5355,1)),"",IF((AND(FIND('112'!$M$9,G5355,1)&gt;=1,B5355='112'!$K$9,OR($N5355='112'!$I$6,$O5355='112'!$I$6))),"x",""))</f>
        <v/>
      </c>
      <c r="U5355" s="75" t="str">
        <f>IF(ISERROR(FIND('112'!$M$9,G5355,1)),"",IF((AND(LEFT(G5355,2)=LEFT('112'!$M$9,2),B5355&lt;'112'!$K$9,$N5355='112'!$I$6)),"x",""))</f>
        <v/>
      </c>
      <c r="V5355" s="75" t="str">
        <f>IF(ISERROR(FIND('112'!$M$9,G5355,1)),"",IF((AND(RIGHT(G5355,2)=RIGHT('112'!$M$9,2),B5355&lt;'112'!$K$9,$O5355='112'!$I$6)),"x",""))</f>
        <v/>
      </c>
      <c r="W5355" s="75" t="str">
        <f>IF(AND('341-CT'!$H$9=H5355,OR(LEFT(N5355,3)=$W$7,LEFT(O5355,3)=$W$7)),"x","")</f>
        <v/>
      </c>
      <c r="X5355" s="75" t="str">
        <f>IF(OR(TH!N4883=TH!$X$7,O5355=TH!$X$7),"x","")</f>
        <v/>
      </c>
      <c r="Y5355" s="75" t="str">
        <f>IF(AND(OR(N5355="131",O5355="131"),H5355='131-CT'!$H$9),"x","")</f>
        <v/>
      </c>
      <c r="Z5355" s="75"/>
      <c r="AA5355" s="75" t="str">
        <f>IF(AND(MONTH(E5355)='IN-NX'!$J$5,'IN-NX'!$D$7=D5355),"x","")</f>
        <v/>
      </c>
      <c r="AB5355" s="75" t="str">
        <f>IF(AND(OR(LEFT(TH!N4883,2)="15",LEFT(TH!O4883,2)="15"),LEFT(TH!O4883,3)&lt;&gt;"111",'152-CT'!$J$8=TH!F4883),"x","")</f>
        <v/>
      </c>
      <c r="AC5355" s="75" t="str">
        <f>IF(AND(OR(LEFT(TH!N4883,2)="15",LEFT(TH!O4883,2)="15"),TK!$E$7=TH!F4883),"x","")</f>
        <v/>
      </c>
      <c r="AD5355" s="75" t="str">
        <f>IF(AND(N5355="1521",MONTH(C5355)='BK-NL'!$M$11),"x","")</f>
        <v/>
      </c>
      <c r="AE5355">
        <v>11</v>
      </c>
    </row>
    <row r="5356" spans="1:33" ht="16.5" customHeight="1">
      <c r="A5356" s="309" t="str">
        <f>IF(B5356&lt;&gt;"",IF(AND(B5356='IN-TC'!$S$4,OR(TH!N5343="1111",TH!O5343="1111")),TH!D5343,""),"")</f>
        <v/>
      </c>
      <c r="B5356" s="1245">
        <f t="shared" si="1352"/>
        <v>11</v>
      </c>
      <c r="C5356" s="292">
        <f t="shared" si="1351"/>
        <v>43052</v>
      </c>
      <c r="D5356" s="59" t="s">
        <v>902</v>
      </c>
      <c r="E5356" s="59">
        <v>43052</v>
      </c>
      <c r="F5356" s="62" t="s">
        <v>2577</v>
      </c>
      <c r="G5356" s="62" t="s">
        <v>585</v>
      </c>
      <c r="H5356" s="7" t="s">
        <v>563</v>
      </c>
      <c r="I5356" s="373"/>
      <c r="J5356" s="382"/>
      <c r="K5356" s="373"/>
      <c r="L5356" s="379"/>
      <c r="M5356" s="60">
        <v>44820270</v>
      </c>
      <c r="N5356" s="61" t="s">
        <v>8</v>
      </c>
      <c r="O5356" s="61" t="s">
        <v>26</v>
      </c>
      <c r="P5356" s="75" t="str">
        <f>IF(AND('331-CT'!$E$7=TH!H4884,OR(N5356="331",O5356="331")),"x","")</f>
        <v/>
      </c>
      <c r="Q5356" s="75" t="str">
        <f>IF(AND(B5356='111'!$L$11,OR($N5356=$Q$7,$O5356=$Q$7)),"x","")</f>
        <v/>
      </c>
      <c r="R5356" s="75" t="str">
        <f>IF(AND($N5356=$Q$7,$B5356&lt;'111'!$L$11),"x","")</f>
        <v/>
      </c>
      <c r="S5356" s="75" t="str">
        <f>IF(AND($O5356=$Q$7,$B5356&lt;'111'!$L$11),"x","")</f>
        <v/>
      </c>
      <c r="T5356" s="75" t="str">
        <f>IF(ISERROR(FIND('112'!$M$9,G5356,1)),"",IF((AND(FIND('112'!$M$9,G5356,1)&gt;=1,B5356='112'!$K$9,OR($N5356='112'!$I$6,$O5356='112'!$I$6))),"x",""))</f>
        <v/>
      </c>
      <c r="U5356" s="75" t="str">
        <f>IF(ISERROR(FIND('112'!$M$9,G5356,1)),"",IF((AND(LEFT(G5356,2)=LEFT('112'!$M$9,2),B5356&lt;'112'!$K$9,$N5356='112'!$I$6)),"x",""))</f>
        <v/>
      </c>
      <c r="V5356" s="75" t="str">
        <f>IF(ISERROR(FIND('112'!$M$9,G5356,1)),"",IF((AND(RIGHT(G5356,2)=RIGHT('112'!$M$9,2),B5356&lt;'112'!$K$9,$O5356='112'!$I$6)),"x",""))</f>
        <v/>
      </c>
      <c r="W5356" s="75" t="str">
        <f>IF(AND('341-CT'!$H$9=H5356,OR(LEFT(N5356,3)=$W$7,LEFT(O5356,3)=$W$7)),"x","")</f>
        <v/>
      </c>
      <c r="X5356" s="75" t="str">
        <f>IF(OR(TH!N4884=TH!$X$7,O5356=TH!$X$7),"x","")</f>
        <v/>
      </c>
      <c r="Y5356" s="75" t="str">
        <f>IF(AND(OR(N5356="131",O5356="131"),H5356='131-CT'!$H$9),"x","")</f>
        <v/>
      </c>
      <c r="Z5356" s="75"/>
      <c r="AA5356" s="75" t="str">
        <f>IF(AND(MONTH(E5356)='IN-NX'!$J$5,'IN-NX'!$D$7=D5356),"x","")</f>
        <v/>
      </c>
      <c r="AB5356" s="75" t="str">
        <f>IF(AND(OR(LEFT(TH!N4884,2)="15",LEFT(TH!O4884,2)="15"),LEFT(TH!O4884,3)&lt;&gt;"111",'152-CT'!$J$8=TH!F4884),"x","")</f>
        <v/>
      </c>
      <c r="AC5356" s="75" t="str">
        <f>IF(AND(OR(LEFT(TH!N4884,2)="15",LEFT(TH!O4884,2)="15"),TK!$E$7=TH!F4884),"x","")</f>
        <v/>
      </c>
      <c r="AD5356" s="75" t="str">
        <f>IF(AND(N5356="1521",MONTH(C5356)='BK-NL'!$M$11),"x","")</f>
        <v/>
      </c>
      <c r="AE5356" s="304"/>
      <c r="AF5356" s="304"/>
      <c r="AG5356" s="304"/>
    </row>
    <row r="5357" spans="1:33" ht="16.5" customHeight="1">
      <c r="A5357" s="309" t="str">
        <f>IF(B5357&lt;&gt;"",IF(AND(B5357='IN-TC'!$S$4,OR(TH!N5344="1111",TH!O5344="1111")),TH!D5344,""),"")</f>
        <v/>
      </c>
      <c r="B5357" s="1245">
        <f t="shared" si="1352"/>
        <v>11</v>
      </c>
      <c r="C5357" s="292">
        <f t="shared" si="1351"/>
        <v>43052</v>
      </c>
      <c r="D5357" s="59" t="s">
        <v>902</v>
      </c>
      <c r="E5357" s="59">
        <v>43052</v>
      </c>
      <c r="F5357" s="62" t="s">
        <v>1307</v>
      </c>
      <c r="G5357" s="62" t="s">
        <v>585</v>
      </c>
      <c r="H5357" s="67" t="s">
        <v>845</v>
      </c>
      <c r="I5357" s="373"/>
      <c r="J5357" s="382"/>
      <c r="K5357" s="373"/>
      <c r="L5357" s="379"/>
      <c r="M5357" s="60">
        <v>15000</v>
      </c>
      <c r="N5357" s="61" t="s">
        <v>101</v>
      </c>
      <c r="O5357" s="61" t="s">
        <v>26</v>
      </c>
      <c r="P5357" s="75" t="str">
        <f>IF(AND('331-CT'!$E$7=TH!H4885,OR(N5357="331",O5357="331")),"x","")</f>
        <v/>
      </c>
      <c r="Q5357" s="75" t="str">
        <f>IF(AND(B5357='111'!$L$11,OR($N5357=$Q$7,$O5357=$Q$7)),"x","")</f>
        <v/>
      </c>
      <c r="R5357" s="75" t="str">
        <f>IF(AND($N5357=$Q$7,$B5357&lt;'111'!$L$11),"x","")</f>
        <v/>
      </c>
      <c r="S5357" s="75" t="str">
        <f>IF(AND($O5357=$Q$7,$B5357&lt;'111'!$L$11),"x","")</f>
        <v/>
      </c>
      <c r="T5357" s="75" t="str">
        <f>IF(ISERROR(FIND('112'!$M$9,G5357,1)),"",IF((AND(FIND('112'!$M$9,G5357,1)&gt;=1,B5357='112'!$K$9,OR($N5357='112'!$I$6,$O5357='112'!$I$6))),"x",""))</f>
        <v/>
      </c>
      <c r="U5357" s="75" t="str">
        <f>IF(ISERROR(FIND('112'!$M$9,G5357,1)),"",IF((AND(LEFT(G5357,2)=LEFT('112'!$M$9,2),B5357&lt;'112'!$K$9,$N5357='112'!$I$6)),"x",""))</f>
        <v/>
      </c>
      <c r="V5357" s="75" t="str">
        <f>IF(ISERROR(FIND('112'!$M$9,G5357,1)),"",IF((AND(RIGHT(G5357,2)=RIGHT('112'!$M$9,2),B5357&lt;'112'!$K$9,$O5357='112'!$I$6)),"x",""))</f>
        <v/>
      </c>
      <c r="W5357" s="75" t="str">
        <f>IF(AND('341-CT'!$H$9=H5357,OR(LEFT(N5357,3)=$W$7,LEFT(O5357,3)=$W$7)),"x","")</f>
        <v/>
      </c>
      <c r="X5357" s="75" t="str">
        <f>IF(OR(TH!N4885=TH!$X$7,O5357=TH!$X$7),"x","")</f>
        <v/>
      </c>
      <c r="Y5357" s="75" t="str">
        <f>IF(AND(OR(N5357="131",O5357="131"),H5357='131-CT'!$H$9),"x","")</f>
        <v/>
      </c>
      <c r="Z5357" s="75"/>
      <c r="AA5357" s="75" t="str">
        <f>IF(AND(MONTH(E5357)='IN-NX'!$J$5,'IN-NX'!$D$7=D5357),"x","")</f>
        <v/>
      </c>
      <c r="AB5357" s="75" t="str">
        <f>IF(AND(OR(LEFT(TH!N4885,2)="15",LEFT(TH!O4885,2)="15"),LEFT(TH!O4885,3)&lt;&gt;"111",'152-CT'!$J$8=TH!F4885),"x","")</f>
        <v/>
      </c>
      <c r="AC5357" s="75" t="str">
        <f>IF(AND(OR(LEFT(TH!N4885,2)="15",LEFT(TH!O4885,2)="15"),TK!$E$7=TH!F4885),"x","")</f>
        <v/>
      </c>
      <c r="AD5357" s="75" t="str">
        <f>IF(AND(N5357="1521",MONTH(C5357)='BK-NL'!$M$11),"x","")</f>
        <v/>
      </c>
      <c r="AE5357">
        <v>11</v>
      </c>
    </row>
    <row r="5358" spans="1:33" ht="16.5" customHeight="1">
      <c r="A5358" s="309" t="str">
        <f>IF(B5358&lt;&gt;"",IF(AND(B5358='IN-TC'!$S$4,OR(TH!N5345="1111",TH!O5345="1111")),TH!D5345,""),"")</f>
        <v/>
      </c>
      <c r="B5358" s="1245">
        <f t="shared" si="1352"/>
        <v>11</v>
      </c>
      <c r="C5358" s="292">
        <f t="shared" si="1351"/>
        <v>43052</v>
      </c>
      <c r="D5358" s="59" t="s">
        <v>902</v>
      </c>
      <c r="E5358" s="59">
        <v>43052</v>
      </c>
      <c r="F5358" s="62" t="s">
        <v>1314</v>
      </c>
      <c r="G5358" s="62" t="s">
        <v>585</v>
      </c>
      <c r="H5358" s="67" t="s">
        <v>845</v>
      </c>
      <c r="I5358" s="373"/>
      <c r="J5358" s="382"/>
      <c r="K5358" s="373"/>
      <c r="L5358" s="379"/>
      <c r="M5358" s="60">
        <v>1500</v>
      </c>
      <c r="N5358" s="61" t="s">
        <v>9</v>
      </c>
      <c r="O5358" s="61" t="s">
        <v>26</v>
      </c>
      <c r="P5358" s="75" t="str">
        <f>IF(AND('331-CT'!$E$7=TH!H4886,OR(N5358="331",O5358="331")),"x","")</f>
        <v/>
      </c>
      <c r="Q5358" s="75" t="str">
        <f>IF(AND(B5358='111'!$L$11,OR($N5358=$Q$7,$O5358=$Q$7)),"x","")</f>
        <v/>
      </c>
      <c r="R5358" s="75" t="str">
        <f>IF(AND($N5358=$Q$7,$B5358&lt;'111'!$L$11),"x","")</f>
        <v/>
      </c>
      <c r="S5358" s="75" t="str">
        <f>IF(AND($O5358=$Q$7,$B5358&lt;'111'!$L$11),"x","")</f>
        <v/>
      </c>
      <c r="T5358" s="75" t="str">
        <f>IF(ISERROR(FIND('112'!$M$9,G5358,1)),"",IF((AND(FIND('112'!$M$9,G5358,1)&gt;=1,B5358='112'!$K$9,OR($N5358='112'!$I$6,$O5358='112'!$I$6))),"x",""))</f>
        <v/>
      </c>
      <c r="U5358" s="75" t="str">
        <f>IF(ISERROR(FIND('112'!$M$9,G5358,1)),"",IF((AND(LEFT(G5358,2)=LEFT('112'!$M$9,2),B5358&lt;'112'!$K$9,$N5358='112'!$I$6)),"x",""))</f>
        <v/>
      </c>
      <c r="V5358" s="75" t="str">
        <f>IF(ISERROR(FIND('112'!$M$9,G5358,1)),"",IF((AND(RIGHT(G5358,2)=RIGHT('112'!$M$9,2),B5358&lt;'112'!$K$9,$O5358='112'!$I$6)),"x",""))</f>
        <v/>
      </c>
      <c r="W5358" s="75" t="str">
        <f>IF(AND('341-CT'!$H$9=H5358,OR(LEFT(N5358,3)=$W$7,LEFT(O5358,3)=$W$7)),"x","")</f>
        <v/>
      </c>
      <c r="X5358" s="75" t="str">
        <f>IF(OR(TH!N4886=TH!$X$7,O5358=TH!$X$7),"x","")</f>
        <v/>
      </c>
      <c r="Y5358" s="75" t="str">
        <f>IF(AND(OR(N5358="131",O5358="131"),H5358='131-CT'!$H$9),"x","")</f>
        <v/>
      </c>
      <c r="Z5358" s="75"/>
      <c r="AA5358" s="75" t="str">
        <f>IF(AND(MONTH(E5358)='IN-NX'!$J$5,'IN-NX'!$D$7=D5358),"x","")</f>
        <v/>
      </c>
      <c r="AB5358" s="75" t="str">
        <f>IF(AND(OR(LEFT(TH!N4886,2)="15",LEFT(TH!O4886,2)="15"),LEFT(TH!O4886,3)&lt;&gt;"111",'152-CT'!$J$8=TH!F4886),"x","")</f>
        <v/>
      </c>
      <c r="AC5358" s="75" t="str">
        <f>IF(AND(OR(LEFT(TH!N4886,2)="15",LEFT(TH!O4886,2)="15"),TK!$E$7=TH!F4886),"x","")</f>
        <v/>
      </c>
      <c r="AD5358" s="75" t="str">
        <f>IF(AND(N5358="1521",MONTH(C5358)='BK-NL'!$M$11),"x","")</f>
        <v/>
      </c>
      <c r="AE5358">
        <v>11</v>
      </c>
    </row>
    <row r="5359" spans="1:33" ht="16.5" customHeight="1">
      <c r="A5359" s="309" t="str">
        <f>IF(B5359&lt;&gt;"",IF(AND(B5359='IN-TC'!$S$4,OR(TH!N5346="1111",TH!O5346="1111")),TH!D5346,""),"")</f>
        <v/>
      </c>
      <c r="B5359" s="1245">
        <f t="shared" si="1352"/>
        <v>11</v>
      </c>
      <c r="C5359" s="292">
        <f t="shared" si="1351"/>
        <v>43053</v>
      </c>
      <c r="D5359" s="292" t="s">
        <v>903</v>
      </c>
      <c r="E5359" s="292">
        <v>43053</v>
      </c>
      <c r="F5359" s="67" t="s">
        <v>907</v>
      </c>
      <c r="G5359" s="293" t="s">
        <v>1713</v>
      </c>
      <c r="H5359" s="294" t="s">
        <v>1771</v>
      </c>
      <c r="I5359" s="373"/>
      <c r="J5359" s="926"/>
      <c r="K5359" s="373">
        <v>510000</v>
      </c>
      <c r="L5359" s="379">
        <v>22706</v>
      </c>
      <c r="M5359" s="74">
        <f>ROUND(K5359*L5359,0)</f>
        <v>11580060000</v>
      </c>
      <c r="N5359" s="295" t="s">
        <v>26</v>
      </c>
      <c r="O5359" s="295" t="s">
        <v>256</v>
      </c>
      <c r="P5359" s="75" t="str">
        <f>IF(AND('331-CT'!$E$7=TH!H4532,OR(N5359="331",O5359="331")),"x","")</f>
        <v/>
      </c>
      <c r="Q5359" s="75" t="str">
        <f>IF(AND(B5359='111'!$L$11,OR($N5359=$Q$7,$O5359=$Q$7)),"x","")</f>
        <v/>
      </c>
      <c r="R5359" s="75" t="str">
        <f>IF(AND($N5359=$Q$7,$B5359&lt;'111'!$L$11),"x","")</f>
        <v/>
      </c>
      <c r="S5359" s="75" t="str">
        <f>IF(AND($O5359=$Q$7,$B5359&lt;'111'!$L$11),"x","")</f>
        <v/>
      </c>
      <c r="T5359" s="75" t="str">
        <f>IF(ISERROR(FIND('112'!$M$9,G5359,1)),"",IF((AND(FIND('112'!$M$9,G5359,1)&gt;=1,B5359='112'!$K$9,OR($N5359='112'!$I$6,$O5359='112'!$I$6))),"x",""))</f>
        <v/>
      </c>
      <c r="U5359" s="75" t="str">
        <f>IF(ISERROR(FIND('112'!$M$9,G5359,1)),"",IF((AND(LEFT(G5359,2)=LEFT('112'!$M$9,2),B5359&lt;'112'!$K$9,$N5359='112'!$I$6)),"x",""))</f>
        <v/>
      </c>
      <c r="V5359" s="75" t="str">
        <f>IF(ISERROR(FIND('112'!$M$9,G5359,1)),"",IF((AND(RIGHT(G5359,2)=RIGHT('112'!$M$9,2),B5359&lt;'112'!$K$9,$O5359='112'!$I$6)),"x",""))</f>
        <v/>
      </c>
      <c r="W5359" s="75" t="str">
        <f>IF(AND('341-CT'!$H$9=H5359,OR(LEFT(N5359,3)=$W$7,LEFT(O5359,3)=$W$7)),"x","")</f>
        <v/>
      </c>
      <c r="X5359" s="75" t="str">
        <f>IF(OR(TH!N4532=TH!$X$7,O5359=TH!$X$7),"x","")</f>
        <v/>
      </c>
      <c r="Y5359" s="75" t="str">
        <f>IF(AND(OR(N5359="131",O5359="131"),H5359='131-CT'!$H$9),"x","")</f>
        <v/>
      </c>
      <c r="Z5359" s="75"/>
      <c r="AA5359" s="75" t="str">
        <f>IF(AND(MONTH(E5359)='IN-NX'!$J$5,'IN-NX'!$D$7=D5359),"x","")</f>
        <v/>
      </c>
      <c r="AB5359" s="75" t="str">
        <f>IF(AND(OR(LEFT(TH!N4532,2)="15",LEFT(TH!O4532,2)="15"),LEFT(TH!O4532,3)&lt;&gt;"111",'152-CT'!$J$8=TH!F4532),"x","")</f>
        <v/>
      </c>
      <c r="AC5359" s="75" t="str">
        <f>IF(AND(OR(LEFT(TH!N4532,2)="15",LEFT(TH!O4532,2)="15"),TK!$E$7=TH!F4532),"x","")</f>
        <v/>
      </c>
      <c r="AD5359" s="75" t="str">
        <f>IF(AND(N5359="1521",MONTH(C5359)='BK-NL'!$M$11),"x","")</f>
        <v/>
      </c>
    </row>
    <row r="5360" spans="1:33" ht="16.5" customHeight="1">
      <c r="A5360" s="309" t="str">
        <f>IF(B5360&lt;&gt;"",IF(AND(B5360='IN-TC'!$S$4,OR(TH!N5347="1111",TH!O5347="1111")),TH!D5347,""),"")</f>
        <v/>
      </c>
      <c r="B5360" s="1245">
        <f t="shared" si="1352"/>
        <v>11</v>
      </c>
      <c r="C5360" s="292">
        <f t="shared" si="1351"/>
        <v>43053</v>
      </c>
      <c r="D5360" s="292" t="s">
        <v>903</v>
      </c>
      <c r="E5360" s="292">
        <v>43053</v>
      </c>
      <c r="F5360" s="67" t="s">
        <v>2039</v>
      </c>
      <c r="G5360" s="293" t="s">
        <v>1713</v>
      </c>
      <c r="H5360" s="294" t="s">
        <v>1771</v>
      </c>
      <c r="I5360" s="373"/>
      <c r="J5360" s="926"/>
      <c r="K5360" s="373"/>
      <c r="L5360" s="379"/>
      <c r="M5360" s="927">
        <v>11580000000</v>
      </c>
      <c r="N5360" s="295" t="s">
        <v>2415</v>
      </c>
      <c r="O5360" s="295" t="s">
        <v>26</v>
      </c>
      <c r="P5360" s="75" t="str">
        <f>IF(AND('331-CT'!$E$7=TH!H4533,OR(N5360="331",O5360="331")),"x","")</f>
        <v/>
      </c>
      <c r="Q5360" s="75" t="str">
        <f>IF(AND(B5360='111'!$L$11,OR($N5360=$Q$7,$O5360=$Q$7)),"x","")</f>
        <v/>
      </c>
      <c r="R5360" s="75" t="str">
        <f>IF(AND($N5360=$Q$7,$B5360&lt;'111'!$L$11),"x","")</f>
        <v/>
      </c>
      <c r="S5360" s="75" t="str">
        <f>IF(AND($O5360=$Q$7,$B5360&lt;'111'!$L$11),"x","")</f>
        <v/>
      </c>
      <c r="T5360" s="75" t="str">
        <f>IF(ISERROR(FIND('112'!$M$9,G5360,1)),"",IF((AND(FIND('112'!$M$9,G5360,1)&gt;=1,B5360='112'!$K$9,OR($N5360='112'!$I$6,$O5360='112'!$I$6))),"x",""))</f>
        <v/>
      </c>
      <c r="U5360" s="75" t="str">
        <f>IF(ISERROR(FIND('112'!$M$9,G5360,1)),"",IF((AND(LEFT(G5360,2)=LEFT('112'!$M$9,2),B5360&lt;'112'!$K$9,$N5360='112'!$I$6)),"x",""))</f>
        <v/>
      </c>
      <c r="V5360" s="75" t="str">
        <f>IF(ISERROR(FIND('112'!$M$9,G5360,1)),"",IF((AND(RIGHT(G5360,2)=RIGHT('112'!$M$9,2),B5360&lt;'112'!$K$9,$O5360='112'!$I$6)),"x",""))</f>
        <v/>
      </c>
      <c r="W5360" s="75" t="str">
        <f>IF(AND('341-CT'!$H$9=H5360,OR(LEFT(N5360,3)=$W$7,LEFT(O5360,3)=$W$7)),"x","")</f>
        <v/>
      </c>
      <c r="X5360" s="75" t="str">
        <f>IF(OR(TH!N4533=TH!$X$7,O5360=TH!$X$7),"x","")</f>
        <v/>
      </c>
      <c r="Y5360" s="75" t="str">
        <f>IF(AND(OR(N5360="131",O5360="131"),H5360='131-CT'!$H$9),"x","")</f>
        <v/>
      </c>
      <c r="Z5360" s="75"/>
      <c r="AA5360" s="75" t="str">
        <f>IF(AND(MONTH(E5360)='IN-NX'!$J$5,'IN-NX'!$D$7=D5360),"x","")</f>
        <v/>
      </c>
      <c r="AB5360" s="75" t="str">
        <f>IF(AND(OR(LEFT(TH!N4533,2)="15",LEFT(TH!O4533,2)="15"),LEFT(TH!O4533,3)&lt;&gt;"111",'152-CT'!$J$8=TH!F4533),"x","")</f>
        <v/>
      </c>
      <c r="AC5360" s="75" t="str">
        <f>IF(AND(OR(LEFT(TH!N4533,2)="15",LEFT(TH!O4533,2)="15"),TK!$E$7=TH!F4533),"x","")</f>
        <v/>
      </c>
      <c r="AD5360" s="75" t="str">
        <f>IF(AND(N5360="1521",MONTH(C5360)='BK-NL'!$M$11),"x","")</f>
        <v/>
      </c>
    </row>
    <row r="5361" spans="1:33" ht="16.5" customHeight="1">
      <c r="A5361" s="309" t="str">
        <f>IF(B5361&lt;&gt;"",IF(AND(B5361='IN-TC'!$S$4,OR(TH!N5348="1111",TH!O5348="1111")),TH!D5348,""),"")</f>
        <v/>
      </c>
      <c r="B5361" s="1245">
        <f t="shared" si="1352"/>
        <v>11</v>
      </c>
      <c r="C5361" s="292">
        <f t="shared" si="1351"/>
        <v>43053</v>
      </c>
      <c r="D5361" s="59" t="s">
        <v>902</v>
      </c>
      <c r="E5361" s="59">
        <v>43053</v>
      </c>
      <c r="F5361" s="293" t="s">
        <v>252</v>
      </c>
      <c r="G5361" s="62" t="s">
        <v>747</v>
      </c>
      <c r="H5361" s="67" t="s">
        <v>2540</v>
      </c>
      <c r="I5361" s="373"/>
      <c r="J5361" s="382"/>
      <c r="K5361" s="373">
        <v>89000</v>
      </c>
      <c r="L5361" s="379">
        <v>22700</v>
      </c>
      <c r="M5361" s="60">
        <v>2020300000</v>
      </c>
      <c r="N5361" s="61" t="s">
        <v>26</v>
      </c>
      <c r="O5361" s="61" t="s">
        <v>250</v>
      </c>
      <c r="P5361" s="75" t="str">
        <f>IF(AND('331-CT'!$E$7=TH!H5587,OR(N5361="331",O5361="331")),"x","")</f>
        <v/>
      </c>
      <c r="Q5361" s="75" t="str">
        <f>IF(AND(B5361='111'!$L$11,OR($N5361=$Q$7,$O5361=$Q$7)),"x","")</f>
        <v/>
      </c>
      <c r="R5361" s="75" t="str">
        <f>IF(AND($N5361=$Q$7,$B5361&lt;'111'!$L$11),"x","")</f>
        <v/>
      </c>
      <c r="S5361" s="75" t="str">
        <f>IF(AND($O5361=$Q$7,$B5361&lt;'111'!$L$11),"x","")</f>
        <v/>
      </c>
      <c r="T5361" s="75" t="str">
        <f>IF(ISERROR(FIND('112'!$M$9,G5361,1)),"",IF((AND(FIND('112'!$M$9,G5361,1)&gt;=1,B5361='112'!$K$9,OR($N5361='112'!$I$6,$O5361='112'!$I$6))),"x",""))</f>
        <v/>
      </c>
      <c r="U5361" s="75" t="str">
        <f>IF(ISERROR(FIND('112'!$M$9,G5361,1)),"",IF((AND(LEFT(G5361,2)=LEFT('112'!$M$9,2),B5361&lt;'112'!$K$9,$N5361='112'!$I$6)),"x",""))</f>
        <v/>
      </c>
      <c r="V5361" s="75" t="str">
        <f>IF(ISERROR(FIND('112'!$M$9,G5361,1)),"",IF((AND(RIGHT(G5361,2)=RIGHT('112'!$M$9,2),B5361&lt;'112'!$K$9,$O5361='112'!$I$6)),"x",""))</f>
        <v/>
      </c>
      <c r="W5361" s="75" t="str">
        <f>IF(AND('341-CT'!$H$9=H5361,OR(LEFT(N5361,3)=$W$7,LEFT(O5361,3)=$W$7)),"x","")</f>
        <v/>
      </c>
      <c r="X5361" s="75" t="str">
        <f>IF(OR(TH!N5587=TH!$X$7,O5361=TH!$X$7),"x","")</f>
        <v/>
      </c>
      <c r="Y5361" s="75" t="str">
        <f>IF(AND(OR(N5361="131",O5361="131"),H5361='131-CT'!$H$9),"x","")</f>
        <v/>
      </c>
      <c r="Z5361" s="75"/>
      <c r="AA5361" s="75" t="str">
        <f>IF(AND(MONTH(E5361)='IN-NX'!$J$5,'IN-NX'!$D$7=D5361),"x","")</f>
        <v/>
      </c>
      <c r="AB5361" s="75" t="str">
        <f>IF(AND(OR(LEFT(TH!N5587,2)="15",LEFT(TH!O5587,2)="15"),LEFT(TH!O5587,3)&lt;&gt;"111",'152-CT'!$J$8=TH!F5587),"x","")</f>
        <v/>
      </c>
      <c r="AC5361" s="75" t="str">
        <f>IF(AND(OR(LEFT(TH!N5587,2)="15",LEFT(TH!O5587,2)="15"),TK!$E$7=TH!F5587),"x","")</f>
        <v/>
      </c>
      <c r="AD5361" s="75" t="str">
        <f>IF(AND(N5361="1521",MONTH(C5361)='BK-NL'!$M$11),"x","")</f>
        <v/>
      </c>
    </row>
    <row r="5362" spans="1:33" ht="16.5" customHeight="1">
      <c r="A5362" s="309" t="str">
        <f>IF(B5362&lt;&gt;"",IF(AND(B5362='IN-TC'!$S$4,OR(TH!N5349="1111",TH!O5349="1111")),TH!D5349,""),"")</f>
        <v/>
      </c>
      <c r="B5362" s="1245">
        <f t="shared" si="1352"/>
        <v>11</v>
      </c>
      <c r="C5362" s="292">
        <f t="shared" si="1351"/>
        <v>43053</v>
      </c>
      <c r="D5362" s="59" t="s">
        <v>846</v>
      </c>
      <c r="E5362" s="59">
        <v>43053</v>
      </c>
      <c r="F5362" s="62" t="s">
        <v>834</v>
      </c>
      <c r="G5362" s="62" t="s">
        <v>747</v>
      </c>
      <c r="H5362" s="67" t="s">
        <v>1023</v>
      </c>
      <c r="I5362" s="373"/>
      <c r="J5362" s="382"/>
      <c r="K5362" s="373"/>
      <c r="L5362" s="379"/>
      <c r="M5362" s="60">
        <v>2300000000</v>
      </c>
      <c r="N5362" s="61" t="s">
        <v>63</v>
      </c>
      <c r="O5362" s="61" t="s">
        <v>26</v>
      </c>
      <c r="P5362" s="75" t="str">
        <f>IF(AND('331-CT'!$E$7=TH!H5588,OR(N5362="331",O5362="331")),"x","")</f>
        <v/>
      </c>
      <c r="Q5362" s="75" t="str">
        <f>IF(AND(B5362='111'!$L$11,OR($N5362=$Q$7,$O5362=$Q$7)),"x","")</f>
        <v/>
      </c>
      <c r="R5362" s="75" t="str">
        <f>IF(AND($N5362=$Q$7,$B5362&lt;'111'!$L$11),"x","")</f>
        <v>x</v>
      </c>
      <c r="S5362" s="75" t="str">
        <f>IF(AND($O5362=$Q$7,$B5362&lt;'111'!$L$11),"x","")</f>
        <v/>
      </c>
      <c r="T5362" s="75" t="str">
        <f>IF(ISERROR(FIND('112'!$M$9,G5362,1)),"",IF((AND(FIND('112'!$M$9,G5362,1)&gt;=1,B5362='112'!$K$9,OR($N5362='112'!$I$6,$O5362='112'!$I$6))),"x",""))</f>
        <v/>
      </c>
      <c r="U5362" s="75" t="str">
        <f>IF(ISERROR(FIND('112'!$M$9,G5362,1)),"",IF((AND(LEFT(G5362,2)=LEFT('112'!$M$9,2),B5362&lt;'112'!$K$9,$N5362='112'!$I$6)),"x",""))</f>
        <v/>
      </c>
      <c r="V5362" s="75" t="str">
        <f>IF(ISERROR(FIND('112'!$M$9,G5362,1)),"",IF((AND(RIGHT(G5362,2)=RIGHT('112'!$M$9,2),B5362&lt;'112'!$K$9,$O5362='112'!$I$6)),"x",""))</f>
        <v/>
      </c>
      <c r="W5362" s="75" t="str">
        <f>IF(AND('341-CT'!$H$9=H5362,OR(LEFT(N5362,3)=$W$7,LEFT(O5362,3)=$W$7)),"x","")</f>
        <v/>
      </c>
      <c r="X5362" s="75" t="str">
        <f>IF(OR(TH!N5588=TH!$X$7,O5362=TH!$X$7),"x","")</f>
        <v/>
      </c>
      <c r="Y5362" s="75" t="str">
        <f>IF(AND(OR(N5362="131",O5362="131"),H5362='131-CT'!$H$9),"x","")</f>
        <v/>
      </c>
      <c r="Z5362" s="75"/>
      <c r="AA5362" s="75" t="str">
        <f>IF(AND(MONTH(E5362)='IN-NX'!$J$5,'IN-NX'!$D$7=D5362),"x","")</f>
        <v/>
      </c>
      <c r="AB5362" s="75" t="str">
        <f>IF(AND(OR(LEFT(TH!N5588,2)="15",LEFT(TH!O5588,2)="15"),LEFT(TH!O5588,3)&lt;&gt;"111",'152-CT'!$J$8=TH!F5588),"x","")</f>
        <v/>
      </c>
      <c r="AC5362" s="75" t="str">
        <f>IF(AND(OR(LEFT(TH!N5588,2)="15",LEFT(TH!O5588,2)="15"),TK!$E$7=TH!F5588),"x","")</f>
        <v/>
      </c>
      <c r="AD5362" s="75" t="str">
        <f>IF(AND(N5362="1521",MONTH(C5362)='BK-NL'!$M$11),"x","")</f>
        <v/>
      </c>
    </row>
    <row r="5363" spans="1:33" ht="16.5" customHeight="1">
      <c r="A5363" s="309" t="str">
        <f>IF(B5363&lt;&gt;"",IF(AND(B5363='IN-TC'!$S$4,OR(TH!N5350="1111",TH!O5350="1111")),TH!D5350,""),"")</f>
        <v/>
      </c>
      <c r="B5363" s="1245">
        <f t="shared" si="1352"/>
        <v>11</v>
      </c>
      <c r="C5363" s="292">
        <f t="shared" ref="C5363:C5426" si="1353">E5363</f>
        <v>43053</v>
      </c>
      <c r="D5363" s="59" t="s">
        <v>902</v>
      </c>
      <c r="E5363" s="59">
        <v>43053</v>
      </c>
      <c r="F5363" s="293" t="s">
        <v>2555</v>
      </c>
      <c r="G5363" s="62" t="s">
        <v>747</v>
      </c>
      <c r="H5363" s="294" t="s">
        <v>2556</v>
      </c>
      <c r="I5363" s="373"/>
      <c r="J5363" s="382"/>
      <c r="K5363" s="373">
        <v>103808.14</v>
      </c>
      <c r="L5363" s="379">
        <v>22700</v>
      </c>
      <c r="M5363" s="60">
        <v>2356444778</v>
      </c>
      <c r="N5363" s="61" t="s">
        <v>26</v>
      </c>
      <c r="O5363" s="61" t="s">
        <v>250</v>
      </c>
      <c r="P5363" s="75" t="str">
        <f>IF(AND('331-CT'!$E$7=TH!H5589,OR(N5363="331",O5363="331")),"x","")</f>
        <v/>
      </c>
      <c r="Q5363" s="75" t="str">
        <f>IF(AND(B5363='111'!$L$11,OR($N5363=$Q$7,$O5363=$Q$7)),"x","")</f>
        <v/>
      </c>
      <c r="R5363" s="75" t="str">
        <f>IF(AND($N5363=$Q$7,$B5363&lt;'111'!$L$11),"x","")</f>
        <v/>
      </c>
      <c r="S5363" s="75" t="str">
        <f>IF(AND($O5363=$Q$7,$B5363&lt;'111'!$L$11),"x","")</f>
        <v/>
      </c>
      <c r="T5363" s="75" t="str">
        <f>IF(ISERROR(FIND('112'!$M$9,G5363,1)),"",IF((AND(FIND('112'!$M$9,G5363,1)&gt;=1,B5363='112'!$K$9,OR($N5363='112'!$I$6,$O5363='112'!$I$6))),"x",""))</f>
        <v/>
      </c>
      <c r="U5363" s="75" t="str">
        <f>IF(ISERROR(FIND('112'!$M$9,G5363,1)),"",IF((AND(LEFT(G5363,2)=LEFT('112'!$M$9,2),B5363&lt;'112'!$K$9,$N5363='112'!$I$6)),"x",""))</f>
        <v/>
      </c>
      <c r="V5363" s="75" t="str">
        <f>IF(ISERROR(FIND('112'!$M$9,G5363,1)),"",IF((AND(RIGHT(G5363,2)=RIGHT('112'!$M$9,2),B5363&lt;'112'!$K$9,$O5363='112'!$I$6)),"x",""))</f>
        <v/>
      </c>
      <c r="W5363" s="75" t="str">
        <f>IF(AND('341-CT'!$H$9=H5363,OR(LEFT(N5363,3)=$W$7,LEFT(O5363,3)=$W$7)),"x","")</f>
        <v/>
      </c>
      <c r="X5363" s="75" t="str">
        <f>IF(OR(TH!N5589=TH!$X$7,O5363=TH!$X$7),"x","")</f>
        <v/>
      </c>
      <c r="Y5363" s="75" t="str">
        <f>IF(AND(OR(N5363="131",O5363="131"),H5363='131-CT'!$H$9),"x","")</f>
        <v/>
      </c>
      <c r="Z5363" s="75"/>
      <c r="AA5363" s="75" t="str">
        <f>IF(AND(MONTH(E5363)='IN-NX'!$J$5,'IN-NX'!$D$7=D5363),"x","")</f>
        <v/>
      </c>
      <c r="AB5363" s="75" t="str">
        <f>IF(AND(OR(LEFT(TH!N5589,2)="15",LEFT(TH!O5589,2)="15"),LEFT(TH!O5589,3)&lt;&gt;"111",'152-CT'!$J$8=TH!F5589),"x","")</f>
        <v/>
      </c>
      <c r="AC5363" s="75" t="str">
        <f>IF(AND(OR(LEFT(TH!N5589,2)="15",LEFT(TH!O5589,2)="15"),TK!$E$7=TH!F5589),"x","")</f>
        <v/>
      </c>
      <c r="AD5363" s="75" t="str">
        <f>IF(AND(N5363="1521",MONTH(C5363)='BK-NL'!$M$11),"x","")</f>
        <v/>
      </c>
    </row>
    <row r="5364" spans="1:33" ht="16.5" customHeight="1">
      <c r="A5364" s="309" t="str">
        <f>IF(B5364&lt;&gt;"",IF(AND(B5364='IN-TC'!$S$4,OR(TH!N5351="1111",TH!O5351="1111")),TH!D5351,""),"")</f>
        <v/>
      </c>
      <c r="B5364" s="1245">
        <f t="shared" si="1352"/>
        <v>11</v>
      </c>
      <c r="C5364" s="292">
        <f t="shared" si="1353"/>
        <v>43053</v>
      </c>
      <c r="D5364" s="59" t="s">
        <v>902</v>
      </c>
      <c r="E5364" s="59">
        <v>43053</v>
      </c>
      <c r="F5364" s="62" t="s">
        <v>1307</v>
      </c>
      <c r="G5364" s="62" t="s">
        <v>747</v>
      </c>
      <c r="H5364" s="67" t="s">
        <v>759</v>
      </c>
      <c r="I5364" s="373"/>
      <c r="J5364" s="382"/>
      <c r="K5364" s="373"/>
      <c r="L5364" s="379"/>
      <c r="M5364" s="60">
        <v>2502500</v>
      </c>
      <c r="N5364" s="61" t="s">
        <v>101</v>
      </c>
      <c r="O5364" s="61" t="s">
        <v>26</v>
      </c>
      <c r="P5364" s="75" t="str">
        <f>IF(AND('331-CT'!$E$7=TH!H5590,OR(N5364="331",O5364="331")),"x","")</f>
        <v/>
      </c>
      <c r="Q5364" s="75" t="str">
        <f>IF(AND(B5364='111'!$L$11,OR($N5364=$Q$7,$O5364=$Q$7)),"x","")</f>
        <v/>
      </c>
      <c r="R5364" s="75" t="str">
        <f>IF(AND($N5364=$Q$7,$B5364&lt;'111'!$L$11),"x","")</f>
        <v/>
      </c>
      <c r="S5364" s="75" t="str">
        <f>IF(AND($O5364=$Q$7,$B5364&lt;'111'!$L$11),"x","")</f>
        <v/>
      </c>
      <c r="T5364" s="75" t="str">
        <f>IF(ISERROR(FIND('112'!$M$9,G5364,1)),"",IF((AND(FIND('112'!$M$9,G5364,1)&gt;=1,B5364='112'!$K$9,OR($N5364='112'!$I$6,$O5364='112'!$I$6))),"x",""))</f>
        <v/>
      </c>
      <c r="U5364" s="75" t="str">
        <f>IF(ISERROR(FIND('112'!$M$9,G5364,1)),"",IF((AND(LEFT(G5364,2)=LEFT('112'!$M$9,2),B5364&lt;'112'!$K$9,$N5364='112'!$I$6)),"x",""))</f>
        <v/>
      </c>
      <c r="V5364" s="75" t="str">
        <f>IF(ISERROR(FIND('112'!$M$9,G5364,1)),"",IF((AND(RIGHT(G5364,2)=RIGHT('112'!$M$9,2),B5364&lt;'112'!$K$9,$O5364='112'!$I$6)),"x",""))</f>
        <v/>
      </c>
      <c r="W5364" s="75" t="str">
        <f>IF(AND('341-CT'!$H$9=H5364,OR(LEFT(N5364,3)=$W$7,LEFT(O5364,3)=$W$7)),"x","")</f>
        <v/>
      </c>
      <c r="X5364" s="75" t="str">
        <f>IF(OR(TH!N5590=TH!$X$7,O5364=TH!$X$7),"x","")</f>
        <v/>
      </c>
      <c r="Y5364" s="75" t="str">
        <f>IF(AND(OR(N5364="131",O5364="131"),H5364='131-CT'!$H$9),"x","")</f>
        <v/>
      </c>
      <c r="Z5364" s="75"/>
      <c r="AA5364" s="75" t="str">
        <f>IF(AND(MONTH(E5364)='IN-NX'!$J$5,'IN-NX'!$D$7=D5364),"x","")</f>
        <v/>
      </c>
      <c r="AB5364" s="75" t="str">
        <f>IF(AND(OR(LEFT(TH!N5590,2)="15",LEFT(TH!O5590,2)="15"),LEFT(TH!O5590,3)&lt;&gt;"111",'152-CT'!$J$8=TH!F5590),"x","")</f>
        <v/>
      </c>
      <c r="AC5364" s="75" t="str">
        <f>IF(AND(OR(LEFT(TH!N5590,2)="15",LEFT(TH!O5590,2)="15"),TK!$E$7=TH!F5590),"x","")</f>
        <v/>
      </c>
      <c r="AD5364" s="75" t="str">
        <f>IF(AND(N5364="1521",MONTH(C5364)='BK-NL'!$M$11),"x","")</f>
        <v/>
      </c>
    </row>
    <row r="5365" spans="1:33" ht="16.5" customHeight="1">
      <c r="A5365" s="309" t="str">
        <f>IF(B5365&lt;&gt;"",IF(AND(B5365='IN-TC'!$S$4,OR(TH!N5352="1111",TH!O5352="1111")),TH!D5352,""),"")</f>
        <v/>
      </c>
      <c r="B5365" s="1245">
        <f t="shared" si="1352"/>
        <v>11</v>
      </c>
      <c r="C5365" s="292">
        <f t="shared" si="1353"/>
        <v>43054</v>
      </c>
      <c r="D5365" s="59"/>
      <c r="E5365" s="59">
        <v>43054</v>
      </c>
      <c r="F5365" s="62" t="s">
        <v>1499</v>
      </c>
      <c r="G5365" s="742" t="s">
        <v>2635</v>
      </c>
      <c r="H5365" s="67" t="s">
        <v>893</v>
      </c>
      <c r="I5365" s="375"/>
      <c r="J5365" s="382"/>
      <c r="K5365" s="375"/>
      <c r="L5365" s="381"/>
      <c r="M5365" s="60">
        <v>3142282</v>
      </c>
      <c r="N5365" s="61" t="s">
        <v>101</v>
      </c>
      <c r="O5365" s="61" t="s">
        <v>63</v>
      </c>
      <c r="P5365" s="75" t="str">
        <f>IF(AND('331-CT'!$E$7=TH!H4097,OR(N5365="331",O5365="331")),"x","")</f>
        <v/>
      </c>
      <c r="Q5365" s="75" t="str">
        <f>IF(AND(B5365='111'!$L$11,OR($N5365=$Q$7,$O5365=$Q$7)),"x","")</f>
        <v/>
      </c>
      <c r="R5365" s="75" t="str">
        <f>IF(AND($N5365=$Q$7,$B5365&lt;'111'!$L$11),"x","")</f>
        <v/>
      </c>
      <c r="S5365" s="75" t="str">
        <f>IF(AND($O5365=$Q$7,$B5365&lt;'111'!$L$11),"x","")</f>
        <v>x</v>
      </c>
      <c r="T5365" s="75" t="str">
        <f>IF(ISERROR(FIND('112'!$M$9,G5365,1)),"",IF((AND(FIND('112'!$M$9,G5365,1)&gt;=1,B5365='112'!$K$9,OR($N5365='112'!$I$6,$O5365='112'!$I$6))),"x",""))</f>
        <v/>
      </c>
      <c r="U5365" s="75" t="str">
        <f>IF(ISERROR(FIND('112'!$M$9,G5365,1)),"",IF((AND(LEFT(G5365,2)=LEFT('112'!$M$9,2),B5365&lt;'112'!$K$9,$N5365='112'!$I$6)),"x",""))</f>
        <v/>
      </c>
      <c r="V5365" s="75" t="str">
        <f>IF(ISERROR(FIND('112'!$M$9,G5365,1)),"",IF((AND(RIGHT(G5365,2)=RIGHT('112'!$M$9,2),B5365&lt;'112'!$K$9,$O5365='112'!$I$6)),"x",""))</f>
        <v/>
      </c>
      <c r="W5365" s="75" t="str">
        <f>IF(AND('341-CT'!$H$9=H5365,OR(LEFT(N5365,3)=$W$7,LEFT(O5365,3)=$W$7)),"x","")</f>
        <v/>
      </c>
      <c r="X5365" s="75" t="str">
        <f>IF(OR(TH!N4097=TH!$X$7,O5365=TH!$X$7),"x","")</f>
        <v/>
      </c>
      <c r="Y5365" s="75" t="str">
        <f>IF(AND(OR(N5365="131",O5365="131"),H5365='131-CT'!$H$9),"x","")</f>
        <v/>
      </c>
      <c r="Z5365" s="75"/>
      <c r="AA5365" s="75" t="str">
        <f>IF(AND(MONTH(E5365)='IN-NX'!$J$5,'IN-NX'!$D$7=D5365),"x","")</f>
        <v/>
      </c>
      <c r="AB5365" s="75" t="str">
        <f>IF(AND(OR(LEFT(TH!N4097,2)="15",LEFT(TH!O4097,2)="15"),LEFT(TH!O4097,3)&lt;&gt;"111",'152-CT'!$J$8=TH!F4097),"x","")</f>
        <v/>
      </c>
      <c r="AC5365" s="75" t="str">
        <f>IF(AND(OR(LEFT(TH!N4097,2)="15",LEFT(TH!O4097,2)="15"),TK!$E$7=TH!F4097),"x","")</f>
        <v/>
      </c>
      <c r="AD5365" s="75" t="str">
        <f>IF(AND(N5365="1521",MONTH(C5365)='BK-NL'!$M$11),"x","")</f>
        <v/>
      </c>
      <c r="AE5365">
        <v>11</v>
      </c>
    </row>
    <row r="5366" spans="1:33" ht="16.5" customHeight="1">
      <c r="A5366" s="309" t="str">
        <f>IF(B5366&lt;&gt;"",IF(AND(B5366='IN-TC'!$S$4,OR(TH!N5353="1111",TH!O5353="1111")),TH!D5353,""),"")</f>
        <v/>
      </c>
      <c r="B5366" s="1245">
        <f t="shared" si="1352"/>
        <v>11</v>
      </c>
      <c r="C5366" s="292">
        <f t="shared" si="1353"/>
        <v>43054</v>
      </c>
      <c r="D5366" s="59"/>
      <c r="E5366" s="59">
        <v>43054</v>
      </c>
      <c r="F5366" s="62" t="s">
        <v>1500</v>
      </c>
      <c r="G5366" s="742" t="s">
        <v>2635</v>
      </c>
      <c r="H5366" s="67" t="s">
        <v>893</v>
      </c>
      <c r="I5366" s="375"/>
      <c r="J5366" s="382"/>
      <c r="K5366" s="375"/>
      <c r="L5366" s="381"/>
      <c r="M5366" s="60">
        <v>314228</v>
      </c>
      <c r="N5366" s="61" t="s">
        <v>9</v>
      </c>
      <c r="O5366" s="61" t="s">
        <v>63</v>
      </c>
      <c r="P5366" s="75" t="str">
        <f>IF(AND('331-CT'!$E$7=TH!H4098,OR(N5366="331",O5366="331")),"x","")</f>
        <v/>
      </c>
      <c r="Q5366" s="75" t="str">
        <f>IF(AND(B5366='111'!$L$11,OR($N5366=$Q$7,$O5366=$Q$7)),"x","")</f>
        <v/>
      </c>
      <c r="R5366" s="75" t="str">
        <f>IF(AND($N5366=$Q$7,$B5366&lt;'111'!$L$11),"x","")</f>
        <v/>
      </c>
      <c r="S5366" s="75" t="str">
        <f>IF(AND($O5366=$Q$7,$B5366&lt;'111'!$L$11),"x","")</f>
        <v>x</v>
      </c>
      <c r="T5366" s="75" t="str">
        <f>IF(ISERROR(FIND('112'!$M$9,G5366,1)),"",IF((AND(FIND('112'!$M$9,G5366,1)&gt;=1,B5366='112'!$K$9,OR($N5366='112'!$I$6,$O5366='112'!$I$6))),"x",""))</f>
        <v/>
      </c>
      <c r="U5366" s="75" t="str">
        <f>IF(ISERROR(FIND('112'!$M$9,G5366,1)),"",IF((AND(LEFT(G5366,2)=LEFT('112'!$M$9,2),B5366&lt;'112'!$K$9,$N5366='112'!$I$6)),"x",""))</f>
        <v/>
      </c>
      <c r="V5366" s="75" t="str">
        <f>IF(ISERROR(FIND('112'!$M$9,G5366,1)),"",IF((AND(RIGHT(G5366,2)=RIGHT('112'!$M$9,2),B5366&lt;'112'!$K$9,$O5366='112'!$I$6)),"x",""))</f>
        <v/>
      </c>
      <c r="W5366" s="75" t="str">
        <f>IF(AND('341-CT'!$H$9=H5366,OR(LEFT(N5366,3)=$W$7,LEFT(O5366,3)=$W$7)),"x","")</f>
        <v/>
      </c>
      <c r="X5366" s="75" t="str">
        <f>IF(OR(TH!N4098=TH!$X$7,O5366=TH!$X$7),"x","")</f>
        <v/>
      </c>
      <c r="Y5366" s="75" t="str">
        <f>IF(AND(OR(N5366="131",O5366="131"),H5366='131-CT'!$H$9),"x","")</f>
        <v/>
      </c>
      <c r="Z5366" s="75"/>
      <c r="AA5366" s="75" t="str">
        <f>IF(AND(MONTH(E5366)='IN-NX'!$J$5,'IN-NX'!$D$7=D5366),"x","")</f>
        <v/>
      </c>
      <c r="AB5366" s="75" t="str">
        <f>IF(AND(OR(LEFT(TH!N4098,2)="15",LEFT(TH!O4098,2)="15"),LEFT(TH!O4098,3)&lt;&gt;"111",'152-CT'!$J$8=TH!F4098),"x","")</f>
        <v/>
      </c>
      <c r="AC5366" s="75" t="str">
        <f>IF(AND(OR(LEFT(TH!N4098,2)="15",LEFT(TH!O4098,2)="15"),TK!$E$7=TH!F4098),"x","")</f>
        <v/>
      </c>
      <c r="AD5366" s="75" t="str">
        <f>IF(AND(N5366="1521",MONTH(C5366)='BK-NL'!$M$11),"x","")</f>
        <v/>
      </c>
      <c r="AE5366">
        <v>11</v>
      </c>
    </row>
    <row r="5367" spans="1:33" ht="16.5" customHeight="1">
      <c r="A5367" s="309" t="str">
        <f>IF(B5367&lt;&gt;"",IF(AND(B5367='IN-TC'!$S$4,OR(TH!N5354="1111",TH!O5354="1111")),TH!D5354,""),"")</f>
        <v/>
      </c>
      <c r="B5367" s="1245">
        <f t="shared" si="1352"/>
        <v>11</v>
      </c>
      <c r="C5367" s="292">
        <f t="shared" si="1353"/>
        <v>43054</v>
      </c>
      <c r="D5367" s="59"/>
      <c r="E5367" s="59">
        <v>43054</v>
      </c>
      <c r="F5367" s="62" t="s">
        <v>881</v>
      </c>
      <c r="G5367" s="742" t="s">
        <v>2636</v>
      </c>
      <c r="H5367" s="67" t="s">
        <v>2500</v>
      </c>
      <c r="I5367" s="1122"/>
      <c r="J5367" s="840"/>
      <c r="K5367" s="375"/>
      <c r="L5367" s="381"/>
      <c r="M5367" s="60">
        <v>9750000</v>
      </c>
      <c r="N5367" s="61" t="s">
        <v>101</v>
      </c>
      <c r="O5367" s="61" t="s">
        <v>63</v>
      </c>
      <c r="P5367" s="75" t="str">
        <f>IF(AND('331-CT'!$E$7=TH!H4099,OR(N5367="331",O5367="331")),"x","")</f>
        <v/>
      </c>
      <c r="Q5367" s="75" t="str">
        <f>IF(AND(B5367='111'!$L$11,OR($N5367=$Q$7,$O5367=$Q$7)),"x","")</f>
        <v/>
      </c>
      <c r="R5367" s="75" t="str">
        <f>IF(AND($N5367=$Q$7,$B5367&lt;'111'!$L$11),"x","")</f>
        <v/>
      </c>
      <c r="S5367" s="75" t="str">
        <f>IF(AND($O5367=$Q$7,$B5367&lt;'111'!$L$11),"x","")</f>
        <v>x</v>
      </c>
      <c r="T5367" s="75" t="str">
        <f>IF(ISERROR(FIND('112'!$M$9,G5367,1)),"",IF((AND(FIND('112'!$M$9,G5367,1)&gt;=1,B5367='112'!$K$9,OR($N5367='112'!$I$6,$O5367='112'!$I$6))),"x",""))</f>
        <v/>
      </c>
      <c r="U5367" s="75" t="str">
        <f>IF(ISERROR(FIND('112'!$M$9,G5367,1)),"",IF((AND(LEFT(G5367,2)=LEFT('112'!$M$9,2),B5367&lt;'112'!$K$9,$N5367='112'!$I$6)),"x",""))</f>
        <v/>
      </c>
      <c r="V5367" s="75" t="str">
        <f>IF(ISERROR(FIND('112'!$M$9,G5367,1)),"",IF((AND(RIGHT(G5367,2)=RIGHT('112'!$M$9,2),B5367&lt;'112'!$K$9,$O5367='112'!$I$6)),"x",""))</f>
        <v/>
      </c>
      <c r="W5367" s="75" t="str">
        <f>IF(AND('341-CT'!$H$9=H5367,OR(LEFT(N5367,3)=$W$7,LEFT(O5367,3)=$W$7)),"x","")</f>
        <v/>
      </c>
      <c r="X5367" s="75" t="str">
        <f>IF(OR(TH!N4099=TH!$X$7,O5367=TH!$X$7),"x","")</f>
        <v/>
      </c>
      <c r="Y5367" s="75" t="str">
        <f>IF(AND(OR(N5367="131",O5367="131"),H5367='131-CT'!$H$9),"x","")</f>
        <v/>
      </c>
      <c r="Z5367" s="75"/>
      <c r="AA5367" s="75" t="str">
        <f>IF(AND(MONTH(E5367)='IN-NX'!$J$5,'IN-NX'!$D$7=D5367),"x","")</f>
        <v/>
      </c>
      <c r="AB5367" s="75" t="str">
        <f>IF(AND(OR(LEFT(TH!N4099,2)="15",LEFT(TH!O4099,2)="15"),LEFT(TH!O4099,3)&lt;&gt;"111",'152-CT'!$J$8=TH!F4099),"x","")</f>
        <v/>
      </c>
      <c r="AC5367" s="75" t="str">
        <f>IF(AND(OR(LEFT(TH!N4099,2)="15",LEFT(TH!O4099,2)="15"),TK!$E$7=TH!F4099),"x","")</f>
        <v/>
      </c>
      <c r="AD5367" s="75" t="str">
        <f>IF(AND(N5367="1521",MONTH(C5367)='BK-NL'!$M$11),"x","")</f>
        <v/>
      </c>
      <c r="AE5367">
        <v>11</v>
      </c>
    </row>
    <row r="5368" spans="1:33" s="1053" customFormat="1" ht="16.5" customHeight="1">
      <c r="A5368" s="309" t="str">
        <f>IF(B5368&lt;&gt;"",IF(AND(B5368='IN-TC'!$S$4,OR(TH!N5355="1111",TH!O5355="1111")),TH!D5355,""),"")</f>
        <v/>
      </c>
      <c r="B5368" s="1245">
        <f t="shared" si="1352"/>
        <v>11</v>
      </c>
      <c r="C5368" s="292">
        <f t="shared" si="1353"/>
        <v>43054</v>
      </c>
      <c r="D5368" s="59"/>
      <c r="E5368" s="59">
        <v>43054</v>
      </c>
      <c r="F5368" s="62" t="s">
        <v>882</v>
      </c>
      <c r="G5368" s="742" t="s">
        <v>2636</v>
      </c>
      <c r="H5368" s="67" t="s">
        <v>2500</v>
      </c>
      <c r="I5368" s="375"/>
      <c r="J5368" s="382"/>
      <c r="K5368" s="375"/>
      <c r="L5368" s="381"/>
      <c r="M5368" s="60">
        <v>487500</v>
      </c>
      <c r="N5368" s="61" t="s">
        <v>9</v>
      </c>
      <c r="O5368" s="61" t="s">
        <v>63</v>
      </c>
      <c r="P5368" s="75" t="str">
        <f>IF(AND('331-CT'!$E$7=TH!H4100,OR(N5368="331",O5368="331")),"x","")</f>
        <v/>
      </c>
      <c r="Q5368" s="75" t="str">
        <f>IF(AND(B5368='111'!$L$11,OR($N5368=$Q$7,$O5368=$Q$7)),"x","")</f>
        <v/>
      </c>
      <c r="R5368" s="75" t="str">
        <f>IF(AND($N5368=$Q$7,$B5368&lt;'111'!$L$11),"x","")</f>
        <v/>
      </c>
      <c r="S5368" s="75" t="str">
        <f>IF(AND($O5368=$Q$7,$B5368&lt;'111'!$L$11),"x","")</f>
        <v>x</v>
      </c>
      <c r="T5368" s="75" t="str">
        <f>IF(ISERROR(FIND('112'!$M$9,G5368,1)),"",IF((AND(FIND('112'!$M$9,G5368,1)&gt;=1,B5368='112'!$K$9,OR($N5368='112'!$I$6,$O5368='112'!$I$6))),"x",""))</f>
        <v/>
      </c>
      <c r="U5368" s="75" t="str">
        <f>IF(ISERROR(FIND('112'!$M$9,G5368,1)),"",IF((AND(LEFT(G5368,2)=LEFT('112'!$M$9,2),B5368&lt;'112'!$K$9,$N5368='112'!$I$6)),"x",""))</f>
        <v/>
      </c>
      <c r="V5368" s="75" t="str">
        <f>IF(ISERROR(FIND('112'!$M$9,G5368,1)),"",IF((AND(RIGHT(G5368,2)=RIGHT('112'!$M$9,2),B5368&lt;'112'!$K$9,$O5368='112'!$I$6)),"x",""))</f>
        <v/>
      </c>
      <c r="W5368" s="75" t="str">
        <f>IF(AND('341-CT'!$H$9=H5368,OR(LEFT(N5368,3)=$W$7,LEFT(O5368,3)=$W$7)),"x","")</f>
        <v/>
      </c>
      <c r="X5368" s="75" t="str">
        <f>IF(OR(TH!N4100=TH!$X$7,O5368=TH!$X$7),"x","")</f>
        <v/>
      </c>
      <c r="Y5368" s="75" t="str">
        <f>IF(AND(OR(N5368="131",O5368="131"),H5368='131-CT'!$H$9),"x","")</f>
        <v/>
      </c>
      <c r="Z5368" s="75"/>
      <c r="AA5368" s="75" t="str">
        <f>IF(AND(MONTH(E5368)='IN-NX'!$J$5,'IN-NX'!$D$7=D5368),"x","")</f>
        <v/>
      </c>
      <c r="AB5368" s="75" t="str">
        <f>IF(AND(OR(LEFT(TH!N4100,2)="15",LEFT(TH!O4100,2)="15"),LEFT(TH!O4100,3)&lt;&gt;"111",'152-CT'!$J$8=TH!F4100),"x","")</f>
        <v/>
      </c>
      <c r="AC5368" s="75" t="str">
        <f>IF(AND(OR(LEFT(TH!N4100,2)="15",LEFT(TH!O4100,2)="15"),TK!$E$7=TH!F4100),"x","")</f>
        <v/>
      </c>
      <c r="AD5368" s="75" t="str">
        <f>IF(AND(N5368="1521",MONTH(C5368)='BK-NL'!$M$11),"x","")</f>
        <v/>
      </c>
      <c r="AE5368">
        <v>11</v>
      </c>
      <c r="AF5368"/>
      <c r="AG5368"/>
    </row>
    <row r="5369" spans="1:33" s="1053" customFormat="1" ht="16.5" customHeight="1">
      <c r="A5369" s="309" t="str">
        <f>IF(B5369&lt;&gt;"",IF(AND(B5369='IN-TC'!$S$4,OR(TH!N5356="1111",TH!O5356="1111")),TH!D5356,""),"")</f>
        <v/>
      </c>
      <c r="B5369" s="1245">
        <f t="shared" si="1352"/>
        <v>11</v>
      </c>
      <c r="C5369" s="292">
        <f t="shared" si="1353"/>
        <v>43054</v>
      </c>
      <c r="D5369" s="59"/>
      <c r="E5369" s="59">
        <v>43054</v>
      </c>
      <c r="F5369" s="62" t="s">
        <v>881</v>
      </c>
      <c r="G5369" s="742" t="s">
        <v>2637</v>
      </c>
      <c r="H5369" s="67" t="s">
        <v>2500</v>
      </c>
      <c r="I5369" s="375"/>
      <c r="J5369" s="382"/>
      <c r="K5369" s="375"/>
      <c r="L5369" s="381"/>
      <c r="M5369" s="60">
        <v>7500000</v>
      </c>
      <c r="N5369" s="61" t="s">
        <v>101</v>
      </c>
      <c r="O5369" s="61" t="s">
        <v>63</v>
      </c>
      <c r="P5369" s="75" t="str">
        <f>IF(AND('331-CT'!$E$7=TH!H4101,OR(N5369="331",O5369="331")),"x","")</f>
        <v/>
      </c>
      <c r="Q5369" s="75" t="str">
        <f>IF(AND(B5369='111'!$L$11,OR($N5369=$Q$7,$O5369=$Q$7)),"x","")</f>
        <v/>
      </c>
      <c r="R5369" s="75" t="str">
        <f>IF(AND($N5369=$Q$7,$B5369&lt;'111'!$L$11),"x","")</f>
        <v/>
      </c>
      <c r="S5369" s="75" t="str">
        <f>IF(AND($O5369=$Q$7,$B5369&lt;'111'!$L$11),"x","")</f>
        <v>x</v>
      </c>
      <c r="T5369" s="75" t="str">
        <f>IF(ISERROR(FIND('112'!$M$9,G5369,1)),"",IF((AND(FIND('112'!$M$9,G5369,1)&gt;=1,B5369='112'!$K$9,OR($N5369='112'!$I$6,$O5369='112'!$I$6))),"x",""))</f>
        <v/>
      </c>
      <c r="U5369" s="75" t="str">
        <f>IF(ISERROR(FIND('112'!$M$9,G5369,1)),"",IF((AND(LEFT(G5369,2)=LEFT('112'!$M$9,2),B5369&lt;'112'!$K$9,$N5369='112'!$I$6)),"x",""))</f>
        <v/>
      </c>
      <c r="V5369" s="75" t="str">
        <f>IF(ISERROR(FIND('112'!$M$9,G5369,1)),"",IF((AND(RIGHT(G5369,2)=RIGHT('112'!$M$9,2),B5369&lt;'112'!$K$9,$O5369='112'!$I$6)),"x",""))</f>
        <v/>
      </c>
      <c r="W5369" s="75" t="str">
        <f>IF(AND('341-CT'!$H$9=H5369,OR(LEFT(N5369,3)=$W$7,LEFT(O5369,3)=$W$7)),"x","")</f>
        <v/>
      </c>
      <c r="X5369" s="75" t="str">
        <f>IF(OR(TH!N4101=TH!$X$7,O5369=TH!$X$7),"x","")</f>
        <v/>
      </c>
      <c r="Y5369" s="75" t="str">
        <f>IF(AND(OR(N5369="131",O5369="131"),H5369='131-CT'!$H$9),"x","")</f>
        <v/>
      </c>
      <c r="Z5369" s="75"/>
      <c r="AA5369" s="75" t="str">
        <f>IF(AND(MONTH(E5369)='IN-NX'!$J$5,'IN-NX'!$D$7=D5369),"x","")</f>
        <v/>
      </c>
      <c r="AB5369" s="75" t="str">
        <f>IF(AND(OR(LEFT(TH!N4101,2)="15",LEFT(TH!O4101,2)="15"),LEFT(TH!O4101,3)&lt;&gt;"111",'152-CT'!$J$8=TH!F4101),"x","")</f>
        <v/>
      </c>
      <c r="AC5369" s="75" t="str">
        <f>IF(AND(OR(LEFT(TH!N4101,2)="15",LEFT(TH!O4101,2)="15"),TK!$E$7=TH!F4101),"x","")</f>
        <v/>
      </c>
      <c r="AD5369" s="75" t="str">
        <f>IF(AND(N5369="1521",MONTH(C5369)='BK-NL'!$M$11),"x","")</f>
        <v/>
      </c>
      <c r="AE5369">
        <v>11</v>
      </c>
      <c r="AF5369"/>
      <c r="AG5369"/>
    </row>
    <row r="5370" spans="1:33" ht="16.5" customHeight="1">
      <c r="A5370" s="309" t="str">
        <f>IF(B5370&lt;&gt;"",IF(AND(B5370='IN-TC'!$S$4,OR(TH!N5357="1111",TH!O5357="1111")),TH!D5357,""),"")</f>
        <v/>
      </c>
      <c r="B5370" s="1245">
        <f t="shared" si="1352"/>
        <v>11</v>
      </c>
      <c r="C5370" s="292">
        <f t="shared" si="1353"/>
        <v>43054</v>
      </c>
      <c r="D5370" s="59"/>
      <c r="E5370" s="59">
        <v>43054</v>
      </c>
      <c r="F5370" s="62" t="s">
        <v>882</v>
      </c>
      <c r="G5370" s="742" t="s">
        <v>2637</v>
      </c>
      <c r="H5370" s="67" t="s">
        <v>2500</v>
      </c>
      <c r="I5370" s="375"/>
      <c r="J5370" s="382"/>
      <c r="K5370" s="375"/>
      <c r="L5370" s="381"/>
      <c r="M5370" s="60">
        <v>375000</v>
      </c>
      <c r="N5370" s="61" t="s">
        <v>9</v>
      </c>
      <c r="O5370" s="61" t="s">
        <v>63</v>
      </c>
      <c r="P5370" s="75" t="str">
        <f>IF(AND('331-CT'!$E$7=TH!H4102,OR(N5370="331",O5370="331")),"x","")</f>
        <v/>
      </c>
      <c r="Q5370" s="75" t="str">
        <f>IF(AND(B5370='111'!$L$11,OR($N5370=$Q$7,$O5370=$Q$7)),"x","")</f>
        <v/>
      </c>
      <c r="R5370" s="75" t="str">
        <f>IF(AND($N5370=$Q$7,$B5370&lt;'111'!$L$11),"x","")</f>
        <v/>
      </c>
      <c r="S5370" s="75" t="str">
        <f>IF(AND($O5370=$Q$7,$B5370&lt;'111'!$L$11),"x","")</f>
        <v>x</v>
      </c>
      <c r="T5370" s="75" t="str">
        <f>IF(ISERROR(FIND('112'!$M$9,G5370,1)),"",IF((AND(FIND('112'!$M$9,G5370,1)&gt;=1,B5370='112'!$K$9,OR($N5370='112'!$I$6,$O5370='112'!$I$6))),"x",""))</f>
        <v/>
      </c>
      <c r="U5370" s="75" t="str">
        <f>IF(ISERROR(FIND('112'!$M$9,G5370,1)),"",IF((AND(LEFT(G5370,2)=LEFT('112'!$M$9,2),B5370&lt;'112'!$K$9,$N5370='112'!$I$6)),"x",""))</f>
        <v/>
      </c>
      <c r="V5370" s="75" t="str">
        <f>IF(ISERROR(FIND('112'!$M$9,G5370,1)),"",IF((AND(RIGHT(G5370,2)=RIGHT('112'!$M$9,2),B5370&lt;'112'!$K$9,$O5370='112'!$I$6)),"x",""))</f>
        <v/>
      </c>
      <c r="W5370" s="75" t="str">
        <f>IF(AND('341-CT'!$H$9=H5370,OR(LEFT(N5370,3)=$W$7,LEFT(O5370,3)=$W$7)),"x","")</f>
        <v/>
      </c>
      <c r="X5370" s="75" t="str">
        <f>IF(OR(TH!N4102=TH!$X$7,O5370=TH!$X$7),"x","")</f>
        <v/>
      </c>
      <c r="Y5370" s="75" t="str">
        <f>IF(AND(OR(N5370="131",O5370="131"),H5370='131-CT'!$H$9),"x","")</f>
        <v/>
      </c>
      <c r="Z5370" s="75"/>
      <c r="AA5370" s="75" t="str">
        <f>IF(AND(MONTH(E5370)='IN-NX'!$J$5,'IN-NX'!$D$7=D5370),"x","")</f>
        <v/>
      </c>
      <c r="AB5370" s="75" t="str">
        <f>IF(AND(OR(LEFT(TH!N4102,2)="15",LEFT(TH!O4102,2)="15"),LEFT(TH!O4102,3)&lt;&gt;"111",'152-CT'!$J$8=TH!F4102),"x","")</f>
        <v/>
      </c>
      <c r="AC5370" s="75" t="str">
        <f>IF(AND(OR(LEFT(TH!N4102,2)="15",LEFT(TH!O4102,2)="15"),TK!$E$7=TH!F4102),"x","")</f>
        <v/>
      </c>
      <c r="AD5370" s="75" t="str">
        <f>IF(AND(N5370="1521",MONTH(C5370)='BK-NL'!$M$11),"x","")</f>
        <v/>
      </c>
      <c r="AE5370">
        <v>11</v>
      </c>
    </row>
    <row r="5371" spans="1:33" ht="16.5" customHeight="1">
      <c r="A5371" s="309" t="str">
        <f>IF(B5371&lt;&gt;"",IF(AND(B5371='IN-TC'!$S$4,OR(TH!N5358="1111",TH!O5358="1111")),TH!D5358,""),"")</f>
        <v/>
      </c>
      <c r="B5371" s="1245">
        <f t="shared" si="1352"/>
        <v>11</v>
      </c>
      <c r="C5371" s="292">
        <f t="shared" si="1353"/>
        <v>43054</v>
      </c>
      <c r="D5371" s="59"/>
      <c r="E5371" s="59">
        <v>43054</v>
      </c>
      <c r="F5371" s="62" t="s">
        <v>221</v>
      </c>
      <c r="G5371" s="742" t="s">
        <v>2638</v>
      </c>
      <c r="H5371" s="67" t="s">
        <v>556</v>
      </c>
      <c r="I5371" s="375"/>
      <c r="J5371" s="382"/>
      <c r="K5371" s="375"/>
      <c r="L5371" s="381"/>
      <c r="M5371" s="60">
        <v>11386364</v>
      </c>
      <c r="N5371" s="61" t="s">
        <v>272</v>
      </c>
      <c r="O5371" s="61" t="s">
        <v>63</v>
      </c>
      <c r="P5371" s="75" t="str">
        <f>IF(AND('331-CT'!$E$7=TH!H4103,OR(N5371="331",O5371="331")),"x","")</f>
        <v/>
      </c>
      <c r="Q5371" s="75" t="str">
        <f>IF(AND(B5371='111'!$L$11,OR($N5371=$Q$7,$O5371=$Q$7)),"x","")</f>
        <v/>
      </c>
      <c r="R5371" s="75" t="str">
        <f>IF(AND($N5371=$Q$7,$B5371&lt;'111'!$L$11),"x","")</f>
        <v/>
      </c>
      <c r="S5371" s="75" t="str">
        <f>IF(AND($O5371=$Q$7,$B5371&lt;'111'!$L$11),"x","")</f>
        <v>x</v>
      </c>
      <c r="T5371" s="75" t="str">
        <f>IF(ISERROR(FIND('112'!$M$9,G5371,1)),"",IF((AND(FIND('112'!$M$9,G5371,1)&gt;=1,B5371='112'!$K$9,OR($N5371='112'!$I$6,$O5371='112'!$I$6))),"x",""))</f>
        <v/>
      </c>
      <c r="U5371" s="75" t="str">
        <f>IF(ISERROR(FIND('112'!$M$9,G5371,1)),"",IF((AND(LEFT(G5371,2)=LEFT('112'!$M$9,2),B5371&lt;'112'!$K$9,$N5371='112'!$I$6)),"x",""))</f>
        <v/>
      </c>
      <c r="V5371" s="75" t="str">
        <f>IF(ISERROR(FIND('112'!$M$9,G5371,1)),"",IF((AND(RIGHT(G5371,2)=RIGHT('112'!$M$9,2),B5371&lt;'112'!$K$9,$O5371='112'!$I$6)),"x",""))</f>
        <v/>
      </c>
      <c r="W5371" s="75" t="str">
        <f>IF(AND('341-CT'!$H$9=H5371,OR(LEFT(N5371,3)=$W$7,LEFT(O5371,3)=$W$7)),"x","")</f>
        <v/>
      </c>
      <c r="X5371" s="75" t="str">
        <f>IF(OR(TH!N4103=TH!$X$7,O5371=TH!$X$7),"x","")</f>
        <v/>
      </c>
      <c r="Y5371" s="75" t="str">
        <f>IF(AND(OR(N5371="131",O5371="131"),H5371='131-CT'!$H$9),"x","")</f>
        <v/>
      </c>
      <c r="Z5371" s="75"/>
      <c r="AA5371" s="75" t="str">
        <f>IF(AND(MONTH(E5371)='IN-NX'!$J$5,'IN-NX'!$D$7=D5371),"x","")</f>
        <v/>
      </c>
      <c r="AB5371" s="75" t="str">
        <f>IF(AND(OR(LEFT(TH!N4103,2)="15",LEFT(TH!O4103,2)="15"),LEFT(TH!O4103,3)&lt;&gt;"111",'152-CT'!$J$8=TH!F4103),"x","")</f>
        <v/>
      </c>
      <c r="AC5371" s="75" t="str">
        <f>IF(AND(OR(LEFT(TH!N4103,2)="15",LEFT(TH!O4103,2)="15"),TK!$E$7=TH!F4103),"x","")</f>
        <v/>
      </c>
      <c r="AD5371" s="75" t="str">
        <f>IF(AND(N5371="1521",MONTH(C5371)='BK-NL'!$M$11),"x","")</f>
        <v/>
      </c>
      <c r="AE5371">
        <v>11</v>
      </c>
    </row>
    <row r="5372" spans="1:33" ht="16.5" customHeight="1">
      <c r="A5372" s="309" t="str">
        <f>IF(B5372&lt;&gt;"",IF(AND(B5372='IN-TC'!$S$4,OR(TH!N5359="1111",TH!O5359="1111")),TH!D5359,""),"")</f>
        <v/>
      </c>
      <c r="B5372" s="1245">
        <f t="shared" si="1352"/>
        <v>11</v>
      </c>
      <c r="C5372" s="292">
        <f t="shared" si="1353"/>
        <v>43054</v>
      </c>
      <c r="D5372" s="59"/>
      <c r="E5372" s="59">
        <v>43054</v>
      </c>
      <c r="F5372" s="62" t="s">
        <v>943</v>
      </c>
      <c r="G5372" s="742" t="s">
        <v>2638</v>
      </c>
      <c r="H5372" s="67" t="s">
        <v>556</v>
      </c>
      <c r="I5372" s="375"/>
      <c r="J5372" s="382"/>
      <c r="K5372" s="375"/>
      <c r="L5372" s="381"/>
      <c r="M5372" s="60">
        <v>1138636</v>
      </c>
      <c r="N5372" s="61" t="s">
        <v>9</v>
      </c>
      <c r="O5372" s="61" t="s">
        <v>63</v>
      </c>
      <c r="P5372" s="75" t="str">
        <f>IF(AND('331-CT'!$E$7=TH!H4104,OR(N5372="331",O5372="331")),"x","")</f>
        <v/>
      </c>
      <c r="Q5372" s="75" t="str">
        <f>IF(AND(B5372='111'!$L$11,OR($N5372=$Q$7,$O5372=$Q$7)),"x","")</f>
        <v/>
      </c>
      <c r="R5372" s="75" t="str">
        <f>IF(AND($N5372=$Q$7,$B5372&lt;'111'!$L$11),"x","")</f>
        <v/>
      </c>
      <c r="S5372" s="75" t="str">
        <f>IF(AND($O5372=$Q$7,$B5372&lt;'111'!$L$11),"x","")</f>
        <v>x</v>
      </c>
      <c r="T5372" s="75" t="str">
        <f>IF(ISERROR(FIND('112'!$M$9,G5372,1)),"",IF((AND(FIND('112'!$M$9,G5372,1)&gt;=1,B5372='112'!$K$9,OR($N5372='112'!$I$6,$O5372='112'!$I$6))),"x",""))</f>
        <v/>
      </c>
      <c r="U5372" s="75" t="str">
        <f>IF(ISERROR(FIND('112'!$M$9,G5372,1)),"",IF((AND(LEFT(G5372,2)=LEFT('112'!$M$9,2),B5372&lt;'112'!$K$9,$N5372='112'!$I$6)),"x",""))</f>
        <v/>
      </c>
      <c r="V5372" s="75" t="str">
        <f>IF(ISERROR(FIND('112'!$M$9,G5372,1)),"",IF((AND(RIGHT(G5372,2)=RIGHT('112'!$M$9,2),B5372&lt;'112'!$K$9,$O5372='112'!$I$6)),"x",""))</f>
        <v/>
      </c>
      <c r="W5372" s="75" t="str">
        <f>IF(AND('341-CT'!$H$9=H5372,OR(LEFT(N5372,3)=$W$7,LEFT(O5372,3)=$W$7)),"x","")</f>
        <v/>
      </c>
      <c r="X5372" s="75" t="str">
        <f>IF(OR(TH!N4104=TH!$X$7,O5372=TH!$X$7),"x","")</f>
        <v/>
      </c>
      <c r="Y5372" s="75" t="str">
        <f>IF(AND(OR(N5372="131",O5372="131"),H5372='131-CT'!$H$9),"x","")</f>
        <v/>
      </c>
      <c r="Z5372" s="75"/>
      <c r="AA5372" s="75" t="str">
        <f>IF(AND(MONTH(E5372)='IN-NX'!$J$5,'IN-NX'!$D$7=D5372),"x","")</f>
        <v/>
      </c>
      <c r="AB5372" s="75" t="str">
        <f>IF(AND(OR(LEFT(TH!N4104,2)="15",LEFT(TH!O4104,2)="15"),LEFT(TH!O4104,3)&lt;&gt;"111",'152-CT'!$J$8=TH!F4104),"x","")</f>
        <v/>
      </c>
      <c r="AC5372" s="75" t="str">
        <f>IF(AND(OR(LEFT(TH!N4104,2)="15",LEFT(TH!O4104,2)="15"),TK!$E$7=TH!F4104),"x","")</f>
        <v/>
      </c>
      <c r="AD5372" s="75" t="str">
        <f>IF(AND(N5372="1521",MONTH(C5372)='BK-NL'!$M$11),"x","")</f>
        <v/>
      </c>
      <c r="AE5372">
        <v>11</v>
      </c>
    </row>
    <row r="5373" spans="1:33" ht="16.5" customHeight="1">
      <c r="A5373" s="309" t="str">
        <f>IF(B5373&lt;&gt;"",IF(AND(B5373='IN-TC'!$S$4,OR(TH!N5360="1111",TH!O5360="1111")),TH!D5360,""),"")</f>
        <v/>
      </c>
      <c r="B5373" s="1245">
        <f t="shared" si="1352"/>
        <v>11</v>
      </c>
      <c r="C5373" s="292">
        <f t="shared" si="1353"/>
        <v>43054</v>
      </c>
      <c r="D5373" s="59" t="s">
        <v>903</v>
      </c>
      <c r="E5373" s="59">
        <v>43054</v>
      </c>
      <c r="F5373" s="62" t="s">
        <v>1086</v>
      </c>
      <c r="G5373" s="62" t="s">
        <v>586</v>
      </c>
      <c r="H5373" s="67" t="s">
        <v>751</v>
      </c>
      <c r="I5373" s="375"/>
      <c r="J5373" s="382"/>
      <c r="K5373" s="375"/>
      <c r="L5373" s="381"/>
      <c r="M5373" s="60">
        <v>841500000</v>
      </c>
      <c r="N5373" s="61" t="s">
        <v>26</v>
      </c>
      <c r="O5373" s="295" t="s">
        <v>536</v>
      </c>
      <c r="P5373" s="75" t="str">
        <f>IF(AND('331-CT'!$E$7=TH!H4425,OR(N5373="331",O5373="331")),"x","")</f>
        <v/>
      </c>
      <c r="Q5373" s="75" t="str">
        <f>IF(AND(B5373='111'!$L$11,OR($N5373=$Q$7,$O5373=$Q$7)),"x","")</f>
        <v/>
      </c>
      <c r="R5373" s="75" t="str">
        <f>IF(AND($N5373=$Q$7,$B5373&lt;'111'!$L$11),"x","")</f>
        <v/>
      </c>
      <c r="S5373" s="75" t="str">
        <f>IF(AND($O5373=$Q$7,$B5373&lt;'111'!$L$11),"x","")</f>
        <v/>
      </c>
      <c r="T5373" s="75" t="str">
        <f>IF(ISERROR(FIND('112'!$M$9,G5373,1)),"",IF((AND(FIND('112'!$M$9,G5373,1)&gt;=1,B5373='112'!$K$9,OR($N5373='112'!$I$6,$O5373='112'!$I$6))),"x",""))</f>
        <v/>
      </c>
      <c r="U5373" s="75" t="str">
        <f>IF(ISERROR(FIND('112'!$M$9,G5373,1)),"",IF((AND(LEFT(G5373,2)=LEFT('112'!$M$9,2),B5373&lt;'112'!$K$9,$N5373='112'!$I$6)),"x",""))</f>
        <v>x</v>
      </c>
      <c r="V5373" s="75" t="str">
        <f>IF(ISERROR(FIND('112'!$M$9,G5373,1)),"",IF((AND(RIGHT(G5373,2)=RIGHT('112'!$M$9,2),B5373&lt;'112'!$K$9,$O5373='112'!$I$6)),"x",""))</f>
        <v/>
      </c>
      <c r="W5373" s="75" t="str">
        <f>IF(AND('341-CT'!$H$9=H5373,OR(LEFT(N5373,3)=$W$7,LEFT(O5373,3)=$W$7)),"x","")</f>
        <v/>
      </c>
      <c r="X5373" s="75" t="str">
        <f>IF(OR(TH!N4425=TH!$X$7,O5373=TH!$X$7),"x","")</f>
        <v/>
      </c>
      <c r="Y5373" s="75" t="str">
        <f>IF(AND(OR(N5373="131",O5373="131"),H5373='131-CT'!$H$9),"x","")</f>
        <v>x</v>
      </c>
      <c r="Z5373" s="75"/>
      <c r="AA5373" s="75" t="str">
        <f>IF(AND(MONTH(E5373)='IN-NX'!$J$5,'IN-NX'!$D$7=D5373),"x","")</f>
        <v/>
      </c>
      <c r="AB5373" s="75" t="str">
        <f>IF(AND(OR(LEFT(TH!N4425,2)="15",LEFT(TH!O4425,2)="15"),LEFT(TH!O4425,3)&lt;&gt;"111",'152-CT'!$J$8=TH!F4425),"x","")</f>
        <v/>
      </c>
      <c r="AC5373" s="75" t="str">
        <f>IF(AND(OR(LEFT(TH!N4425,2)="15",LEFT(TH!O4425,2)="15"),TK!$E$7=TH!F4425),"x","")</f>
        <v/>
      </c>
      <c r="AD5373" s="75" t="str">
        <f>IF(AND(N5373="1521",MONTH(C5373)='BK-NL'!$M$11),"x","")</f>
        <v/>
      </c>
    </row>
    <row r="5374" spans="1:33" ht="16.5" customHeight="1">
      <c r="A5374" s="309" t="str">
        <f>IF(B5374&lt;&gt;"",IF(AND(B5374='IN-TC'!$S$4,OR(TH!N5361="1111",TH!O5361="1111")),TH!D5361,""),"")</f>
        <v/>
      </c>
      <c r="B5374" s="1245">
        <f t="shared" si="1352"/>
        <v>11</v>
      </c>
      <c r="C5374" s="292">
        <f t="shared" si="1353"/>
        <v>43054</v>
      </c>
      <c r="D5374" s="292" t="s">
        <v>903</v>
      </c>
      <c r="E5374" s="292">
        <v>43054</v>
      </c>
      <c r="F5374" s="67" t="s">
        <v>2658</v>
      </c>
      <c r="G5374" s="293" t="s">
        <v>1713</v>
      </c>
      <c r="H5374" s="294" t="s">
        <v>1771</v>
      </c>
      <c r="I5374" s="373"/>
      <c r="J5374" s="926"/>
      <c r="K5374" s="373"/>
      <c r="L5374" s="379"/>
      <c r="M5374" s="927">
        <v>487897567</v>
      </c>
      <c r="N5374" s="295" t="s">
        <v>26</v>
      </c>
      <c r="O5374" s="295" t="s">
        <v>43</v>
      </c>
      <c r="P5374" s="75" t="str">
        <f>IF(AND('331-CT'!$E$7=TH!H4534,OR(N5374="331",O5374="331")),"x","")</f>
        <v/>
      </c>
      <c r="Q5374" s="75" t="str">
        <f>IF(AND(B5374='111'!$L$11,OR($N5374=$Q$7,$O5374=$Q$7)),"x","")</f>
        <v/>
      </c>
      <c r="R5374" s="75" t="str">
        <f>IF(AND($N5374=$Q$7,$B5374&lt;'111'!$L$11),"x","")</f>
        <v/>
      </c>
      <c r="S5374" s="75" t="str">
        <f>IF(AND($O5374=$Q$7,$B5374&lt;'111'!$L$11),"x","")</f>
        <v/>
      </c>
      <c r="T5374" s="75" t="str">
        <f>IF(ISERROR(FIND('112'!$M$9,G5374,1)),"",IF((AND(FIND('112'!$M$9,G5374,1)&gt;=1,B5374='112'!$K$9,OR($N5374='112'!$I$6,$O5374='112'!$I$6))),"x",""))</f>
        <v/>
      </c>
      <c r="U5374" s="75" t="str">
        <f>IF(ISERROR(FIND('112'!$M$9,G5374,1)),"",IF((AND(LEFT(G5374,2)=LEFT('112'!$M$9,2),B5374&lt;'112'!$K$9,$N5374='112'!$I$6)),"x",""))</f>
        <v/>
      </c>
      <c r="V5374" s="75" t="str">
        <f>IF(ISERROR(FIND('112'!$M$9,G5374,1)),"",IF((AND(RIGHT(G5374,2)=RIGHT('112'!$M$9,2),B5374&lt;'112'!$K$9,$O5374='112'!$I$6)),"x",""))</f>
        <v/>
      </c>
      <c r="W5374" s="75" t="str">
        <f>IF(AND('341-CT'!$H$9=H5374,OR(LEFT(N5374,3)=$W$7,LEFT(O5374,3)=$W$7)),"x","")</f>
        <v/>
      </c>
      <c r="X5374" s="75" t="str">
        <f>IF(OR(TH!N4534=TH!$X$7,O5374=TH!$X$7),"x","")</f>
        <v/>
      </c>
      <c r="Y5374" s="75" t="str">
        <f>IF(AND(OR(N5374="131",O5374="131"),H5374='131-CT'!$H$9),"x","")</f>
        <v/>
      </c>
      <c r="Z5374" s="75"/>
      <c r="AA5374" s="75" t="str">
        <f>IF(AND(MONTH(E5374)='IN-NX'!$J$5,'IN-NX'!$D$7=D5374),"x","")</f>
        <v/>
      </c>
      <c r="AB5374" s="75" t="str">
        <f>IF(AND(OR(LEFT(TH!N4534,2)="15",LEFT(TH!O4534,2)="15"),LEFT(TH!O4534,3)&lt;&gt;"111",'152-CT'!$J$8=TH!F4534),"x","")</f>
        <v/>
      </c>
      <c r="AC5374" s="75" t="str">
        <f>IF(AND(OR(LEFT(TH!N4534,2)="15",LEFT(TH!O4534,2)="15"),TK!$E$7=TH!F4534),"x","")</f>
        <v/>
      </c>
      <c r="AD5374" s="75" t="str">
        <f>IF(AND(N5374="1521",MONTH(C5374)='BK-NL'!$M$11),"x","")</f>
        <v/>
      </c>
    </row>
    <row r="5375" spans="1:33" ht="16.5" customHeight="1">
      <c r="A5375" s="309" t="str">
        <f>IF(B5375&lt;&gt;"",IF(AND(B5375='IN-TC'!$S$4,OR(TH!N5362="1111",TH!O5362="1111")),TH!D5362,""),"")</f>
        <v/>
      </c>
      <c r="B5375" s="1245">
        <f t="shared" si="1352"/>
        <v>11</v>
      </c>
      <c r="C5375" s="292">
        <f t="shared" si="1353"/>
        <v>43054</v>
      </c>
      <c r="D5375" s="59" t="s">
        <v>902</v>
      </c>
      <c r="E5375" s="59">
        <v>43054</v>
      </c>
      <c r="F5375" s="62" t="s">
        <v>2578</v>
      </c>
      <c r="G5375" s="62" t="s">
        <v>585</v>
      </c>
      <c r="H5375" s="7" t="s">
        <v>739</v>
      </c>
      <c r="I5375" s="373"/>
      <c r="J5375" s="382"/>
      <c r="K5375" s="373"/>
      <c r="L5375" s="379"/>
      <c r="M5375" s="60">
        <v>9851243</v>
      </c>
      <c r="N5375" s="61" t="s">
        <v>8</v>
      </c>
      <c r="O5375" s="61" t="s">
        <v>26</v>
      </c>
      <c r="P5375" s="75" t="str">
        <f>IF(AND('331-CT'!$E$7=TH!H4890,OR(N5375="331",O5375="331")),"x","")</f>
        <v/>
      </c>
      <c r="Q5375" s="75" t="str">
        <f>IF(AND(B5375='111'!$L$11,OR($N5375=$Q$7,$O5375=$Q$7)),"x","")</f>
        <v/>
      </c>
      <c r="R5375" s="75" t="str">
        <f>IF(AND($N5375=$Q$7,$B5375&lt;'111'!$L$11),"x","")</f>
        <v/>
      </c>
      <c r="S5375" s="75" t="str">
        <f>IF(AND($O5375=$Q$7,$B5375&lt;'111'!$L$11),"x","")</f>
        <v/>
      </c>
      <c r="T5375" s="75" t="str">
        <f>IF(ISERROR(FIND('112'!$M$9,G5375,1)),"",IF((AND(FIND('112'!$M$9,G5375,1)&gt;=1,B5375='112'!$K$9,OR($N5375='112'!$I$6,$O5375='112'!$I$6))),"x",""))</f>
        <v/>
      </c>
      <c r="U5375" s="75" t="str">
        <f>IF(ISERROR(FIND('112'!$M$9,G5375,1)),"",IF((AND(LEFT(G5375,2)=LEFT('112'!$M$9,2),B5375&lt;'112'!$K$9,$N5375='112'!$I$6)),"x",""))</f>
        <v/>
      </c>
      <c r="V5375" s="75" t="str">
        <f>IF(ISERROR(FIND('112'!$M$9,G5375,1)),"",IF((AND(RIGHT(G5375,2)=RIGHT('112'!$M$9,2),B5375&lt;'112'!$K$9,$O5375='112'!$I$6)),"x",""))</f>
        <v/>
      </c>
      <c r="W5375" s="75" t="str">
        <f>IF(AND('341-CT'!$H$9=H5375,OR(LEFT(N5375,3)=$W$7,LEFT(O5375,3)=$W$7)),"x","")</f>
        <v/>
      </c>
      <c r="X5375" s="75" t="str">
        <f>IF(OR(TH!N4890=TH!$X$7,O5375=TH!$X$7),"x","")</f>
        <v/>
      </c>
      <c r="Y5375" s="75" t="str">
        <f>IF(AND(OR(N5375="131",O5375="131"),H5375='131-CT'!$H$9),"x","")</f>
        <v/>
      </c>
      <c r="Z5375" s="75"/>
      <c r="AA5375" s="75" t="str">
        <f>IF(AND(MONTH(E5375)='IN-NX'!$J$5,'IN-NX'!$D$7=D5375),"x","")</f>
        <v/>
      </c>
      <c r="AB5375" s="75" t="str">
        <f>IF(AND(OR(LEFT(TH!N4890,2)="15",LEFT(TH!O4890,2)="15"),LEFT(TH!O4890,3)&lt;&gt;"111",'152-CT'!$J$8=TH!F4890),"x","")</f>
        <v/>
      </c>
      <c r="AC5375" s="75" t="str">
        <f>IF(AND(OR(LEFT(TH!N4890,2)="15",LEFT(TH!O4890,2)="15"),TK!$E$7=TH!F4890),"x","")</f>
        <v/>
      </c>
      <c r="AD5375" s="75" t="str">
        <f>IF(AND(N5375="1521",MONTH(C5375)='BK-NL'!$M$11),"x","")</f>
        <v/>
      </c>
      <c r="AE5375" s="304"/>
      <c r="AF5375" s="304"/>
      <c r="AG5375" s="304"/>
    </row>
    <row r="5376" spans="1:33" ht="16.5" customHeight="1">
      <c r="A5376" s="309" t="str">
        <f>IF(B5376&lt;&gt;"",IF(AND(B5376='IN-TC'!$S$4,OR(TH!N5363="1111",TH!O5363="1111")),TH!D5363,""),"")</f>
        <v/>
      </c>
      <c r="B5376" s="1245">
        <f t="shared" si="1352"/>
        <v>11</v>
      </c>
      <c r="C5376" s="292">
        <f t="shared" si="1353"/>
        <v>43054</v>
      </c>
      <c r="D5376" s="59" t="s">
        <v>903</v>
      </c>
      <c r="E5376" s="59">
        <v>43054</v>
      </c>
      <c r="F5376" s="62" t="s">
        <v>2102</v>
      </c>
      <c r="G5376" s="62" t="s">
        <v>747</v>
      </c>
      <c r="H5376" s="294" t="s">
        <v>1023</v>
      </c>
      <c r="I5376" s="375"/>
      <c r="J5376" s="382"/>
      <c r="K5376" s="375"/>
      <c r="L5376" s="381"/>
      <c r="M5376" s="60">
        <v>2010000000</v>
      </c>
      <c r="N5376" s="61" t="s">
        <v>26</v>
      </c>
      <c r="O5376" s="61" t="s">
        <v>63</v>
      </c>
      <c r="P5376" s="75" t="str">
        <f>IF(AND('331-CT'!$E$7=TH!H5591,OR(N5376="331",O5376="331")),"x","")</f>
        <v/>
      </c>
      <c r="Q5376" s="75" t="str">
        <f>IF(AND(B5376='111'!$L$11,OR($N5376=$Q$7,$O5376=$Q$7)),"x","")</f>
        <v/>
      </c>
      <c r="R5376" s="75" t="str">
        <f>IF(AND($N5376=$Q$7,$B5376&lt;'111'!$L$11),"x","")</f>
        <v/>
      </c>
      <c r="S5376" s="75" t="str">
        <f>IF(AND($O5376=$Q$7,$B5376&lt;'111'!$L$11),"x","")</f>
        <v>x</v>
      </c>
      <c r="T5376" s="75" t="str">
        <f>IF(ISERROR(FIND('112'!$M$9,G5376,1)),"",IF((AND(FIND('112'!$M$9,G5376,1)&gt;=1,B5376='112'!$K$9,OR($N5376='112'!$I$6,$O5376='112'!$I$6))),"x",""))</f>
        <v/>
      </c>
      <c r="U5376" s="75" t="str">
        <f>IF(ISERROR(FIND('112'!$M$9,G5376,1)),"",IF((AND(LEFT(G5376,2)=LEFT('112'!$M$9,2),B5376&lt;'112'!$K$9,$N5376='112'!$I$6)),"x",""))</f>
        <v/>
      </c>
      <c r="V5376" s="75" t="str">
        <f>IF(ISERROR(FIND('112'!$M$9,G5376,1)),"",IF((AND(RIGHT(G5376,2)=RIGHT('112'!$M$9,2),B5376&lt;'112'!$K$9,$O5376='112'!$I$6)),"x",""))</f>
        <v/>
      </c>
      <c r="W5376" s="75" t="str">
        <f>IF(AND('341-CT'!$H$9=H5376,OR(LEFT(N5376,3)=$W$7,LEFT(O5376,3)=$W$7)),"x","")</f>
        <v/>
      </c>
      <c r="X5376" s="75" t="str">
        <f>IF(OR(TH!N5591=TH!$X$7,O5376=TH!$X$7),"x","")</f>
        <v/>
      </c>
      <c r="Y5376" s="75" t="str">
        <f>IF(AND(OR(N5376="131",O5376="131"),H5376='131-CT'!$H$9),"x","")</f>
        <v/>
      </c>
      <c r="Z5376" s="75"/>
      <c r="AA5376" s="75" t="str">
        <f>IF(AND(MONTH(E5376)='IN-NX'!$J$5,'IN-NX'!$D$7=D5376),"x","")</f>
        <v/>
      </c>
      <c r="AB5376" s="75" t="str">
        <f>IF(AND(OR(LEFT(TH!N5591,2)="15",LEFT(TH!O5591,2)="15"),LEFT(TH!O5591,3)&lt;&gt;"111",'152-CT'!$J$8=TH!F5591),"x","")</f>
        <v/>
      </c>
      <c r="AC5376" s="75" t="str">
        <f>IF(AND(OR(LEFT(TH!N5591,2)="15",LEFT(TH!O5591,2)="15"),TK!$E$7=TH!F5591),"x","")</f>
        <v/>
      </c>
      <c r="AD5376" s="75" t="str">
        <f>IF(AND(N5376="1521",MONTH(C5376)='BK-NL'!$M$11),"x","")</f>
        <v/>
      </c>
    </row>
    <row r="5377" spans="1:33" ht="16.5" customHeight="1">
      <c r="A5377" s="309" t="str">
        <f>IF(B5377&lt;&gt;"",IF(AND(B5377='IN-TC'!$S$4,OR(TH!N5364="1111",TH!O5364="1111")),TH!D5364,""),"")</f>
        <v/>
      </c>
      <c r="B5377" s="1245">
        <f t="shared" si="1352"/>
        <v>11</v>
      </c>
      <c r="C5377" s="292">
        <f t="shared" si="1353"/>
        <v>43054</v>
      </c>
      <c r="D5377" s="59" t="s">
        <v>850</v>
      </c>
      <c r="E5377" s="59">
        <v>43054</v>
      </c>
      <c r="F5377" s="62" t="s">
        <v>834</v>
      </c>
      <c r="G5377" s="62" t="s">
        <v>747</v>
      </c>
      <c r="H5377" s="294" t="s">
        <v>1023</v>
      </c>
      <c r="I5377" s="375"/>
      <c r="J5377" s="382"/>
      <c r="K5377" s="375"/>
      <c r="L5377" s="381"/>
      <c r="M5377" s="60">
        <v>2030000000</v>
      </c>
      <c r="N5377" s="61" t="s">
        <v>63</v>
      </c>
      <c r="O5377" s="61" t="s">
        <v>26</v>
      </c>
      <c r="P5377" s="75" t="str">
        <f>IF(AND('331-CT'!$E$7=TH!H5592,OR(N5377="331",O5377="331")),"x","")</f>
        <v/>
      </c>
      <c r="Q5377" s="75" t="str">
        <f>IF(AND(B5377='111'!$L$11,OR($N5377=$Q$7,$O5377=$Q$7)),"x","")</f>
        <v/>
      </c>
      <c r="R5377" s="75" t="str">
        <f>IF(AND($N5377=$Q$7,$B5377&lt;'111'!$L$11),"x","")</f>
        <v>x</v>
      </c>
      <c r="S5377" s="75" t="str">
        <f>IF(AND($O5377=$Q$7,$B5377&lt;'111'!$L$11),"x","")</f>
        <v/>
      </c>
      <c r="T5377" s="75" t="str">
        <f>IF(ISERROR(FIND('112'!$M$9,G5377,1)),"",IF((AND(FIND('112'!$M$9,G5377,1)&gt;=1,B5377='112'!$K$9,OR($N5377='112'!$I$6,$O5377='112'!$I$6))),"x",""))</f>
        <v/>
      </c>
      <c r="U5377" s="75" t="str">
        <f>IF(ISERROR(FIND('112'!$M$9,G5377,1)),"",IF((AND(LEFT(G5377,2)=LEFT('112'!$M$9,2),B5377&lt;'112'!$K$9,$N5377='112'!$I$6)),"x",""))</f>
        <v/>
      </c>
      <c r="V5377" s="75" t="str">
        <f>IF(ISERROR(FIND('112'!$M$9,G5377,1)),"",IF((AND(RIGHT(G5377,2)=RIGHT('112'!$M$9,2),B5377&lt;'112'!$K$9,$O5377='112'!$I$6)),"x",""))</f>
        <v/>
      </c>
      <c r="W5377" s="75" t="str">
        <f>IF(AND('341-CT'!$H$9=H5377,OR(LEFT(N5377,3)=$W$7,LEFT(O5377,3)=$W$7)),"x","")</f>
        <v/>
      </c>
      <c r="X5377" s="75" t="str">
        <f>IF(OR(TH!N5592=TH!$X$7,O5377=TH!$X$7),"x","")</f>
        <v/>
      </c>
      <c r="Y5377" s="75" t="str">
        <f>IF(AND(OR(N5377="131",O5377="131"),H5377='131-CT'!$H$9),"x","")</f>
        <v/>
      </c>
      <c r="Z5377" s="75"/>
      <c r="AA5377" s="75" t="str">
        <f>IF(AND(MONTH(E5377)='IN-NX'!$J$5,'IN-NX'!$D$7=D5377),"x","")</f>
        <v/>
      </c>
      <c r="AB5377" s="75" t="str">
        <f>IF(AND(OR(LEFT(TH!N5592,2)="15",LEFT(TH!O5592,2)="15"),LEFT(TH!O5592,3)&lt;&gt;"111",'152-CT'!$J$8=TH!F5592),"x","")</f>
        <v/>
      </c>
      <c r="AC5377" s="75" t="str">
        <f>IF(AND(OR(LEFT(TH!N5592,2)="15",LEFT(TH!O5592,2)="15"),TK!$E$7=TH!F5592),"x","")</f>
        <v/>
      </c>
      <c r="AD5377" s="75" t="str">
        <f>IF(AND(N5377="1521",MONTH(C5377)='BK-NL'!$M$11),"x","")</f>
        <v/>
      </c>
    </row>
    <row r="5378" spans="1:33" ht="16.5" customHeight="1">
      <c r="A5378" s="309" t="str">
        <f>IF(B5378&lt;&gt;"",IF(AND(B5378='IN-TC'!$S$4,OR(TH!N5365="1111",TH!O5365="1111")),TH!D5365,""),"")</f>
        <v/>
      </c>
      <c r="B5378" s="1245">
        <f t="shared" si="1352"/>
        <v>11</v>
      </c>
      <c r="C5378" s="292">
        <f t="shared" si="1353"/>
        <v>43054</v>
      </c>
      <c r="D5378" s="292" t="s">
        <v>902</v>
      </c>
      <c r="E5378" s="292">
        <v>43054</v>
      </c>
      <c r="F5378" s="293" t="s">
        <v>2539</v>
      </c>
      <c r="G5378" s="293" t="s">
        <v>747</v>
      </c>
      <c r="H5378" s="294" t="s">
        <v>2528</v>
      </c>
      <c r="I5378" s="1219"/>
      <c r="J5378" s="840"/>
      <c r="K5378" s="373"/>
      <c r="L5378" s="379"/>
      <c r="M5378" s="60">
        <v>2062550000</v>
      </c>
      <c r="N5378" s="295" t="s">
        <v>8</v>
      </c>
      <c r="O5378" s="295" t="s">
        <v>26</v>
      </c>
      <c r="P5378" s="75" t="str">
        <f>IF(AND('331-CT'!$E$7=TH!H5593,OR(N5378="331",O5378="331")),"x","")</f>
        <v/>
      </c>
      <c r="Q5378" s="75" t="str">
        <f>IF(AND(B5378='111'!$L$11,OR($N5378=$Q$7,$O5378=$Q$7)),"x","")</f>
        <v/>
      </c>
      <c r="R5378" s="75" t="str">
        <f>IF(AND($N5378=$Q$7,$B5378&lt;'111'!$L$11),"x","")</f>
        <v/>
      </c>
      <c r="S5378" s="75" t="str">
        <f>IF(AND($O5378=$Q$7,$B5378&lt;'111'!$L$11),"x","")</f>
        <v/>
      </c>
      <c r="T5378" s="75" t="str">
        <f>IF(ISERROR(FIND('112'!$M$9,G5378,1)),"",IF((AND(FIND('112'!$M$9,G5378,1)&gt;=1,B5378='112'!$K$9,OR($N5378='112'!$I$6,$O5378='112'!$I$6))),"x",""))</f>
        <v/>
      </c>
      <c r="U5378" s="75" t="str">
        <f>IF(ISERROR(FIND('112'!$M$9,G5378,1)),"",IF((AND(LEFT(G5378,2)=LEFT('112'!$M$9,2),B5378&lt;'112'!$K$9,$N5378='112'!$I$6)),"x",""))</f>
        <v/>
      </c>
      <c r="V5378" s="75" t="str">
        <f>IF(ISERROR(FIND('112'!$M$9,G5378,1)),"",IF((AND(RIGHT(G5378,2)=RIGHT('112'!$M$9,2),B5378&lt;'112'!$K$9,$O5378='112'!$I$6)),"x",""))</f>
        <v/>
      </c>
      <c r="W5378" s="75" t="str">
        <f>IF(AND('341-CT'!$H$9=H5378,OR(LEFT(N5378,3)=$W$7,LEFT(O5378,3)=$W$7)),"x","")</f>
        <v/>
      </c>
      <c r="X5378" s="75" t="str">
        <f>IF(OR(TH!N5593=TH!$X$7,O5378=TH!$X$7),"x","")</f>
        <v/>
      </c>
      <c r="Y5378" s="75" t="str">
        <f>IF(AND(OR(N5378="131",O5378="131"),H5378='131-CT'!$H$9),"x","")</f>
        <v/>
      </c>
      <c r="Z5378" s="75"/>
      <c r="AA5378" s="75" t="str">
        <f>IF(AND(MONTH(E5378)='IN-NX'!$J$5,'IN-NX'!$D$7=D5378),"x","")</f>
        <v/>
      </c>
      <c r="AB5378" s="75" t="str">
        <f>IF(AND(OR(LEFT(TH!N5593,2)="15",LEFT(TH!O5593,2)="15"),LEFT(TH!O5593,3)&lt;&gt;"111",'152-CT'!$J$8=TH!F5593),"x","")</f>
        <v/>
      </c>
      <c r="AC5378" s="75" t="str">
        <f>IF(AND(OR(LEFT(TH!N5593,2)="15",LEFT(TH!O5593,2)="15"),TK!$E$7=TH!F5593),"x","")</f>
        <v/>
      </c>
      <c r="AD5378" s="75" t="str">
        <f>IF(AND(N5378="1521",MONTH(C5378)='BK-NL'!$M$11),"x","")</f>
        <v/>
      </c>
    </row>
    <row r="5379" spans="1:33" ht="16.5" customHeight="1">
      <c r="A5379" s="309" t="str">
        <f>IF(B5379&lt;&gt;"",IF(AND(B5379='IN-TC'!$S$4,OR(TH!N5366="1111",TH!O5366="1111")),TH!D5366,""),"")</f>
        <v/>
      </c>
      <c r="B5379" s="1245">
        <f t="shared" si="1352"/>
        <v>11</v>
      </c>
      <c r="C5379" s="292">
        <f t="shared" si="1353"/>
        <v>43054</v>
      </c>
      <c r="D5379" s="292" t="s">
        <v>902</v>
      </c>
      <c r="E5379" s="292">
        <v>43054</v>
      </c>
      <c r="F5379" s="293" t="s">
        <v>1307</v>
      </c>
      <c r="G5379" s="293" t="s">
        <v>747</v>
      </c>
      <c r="H5379" s="294" t="s">
        <v>835</v>
      </c>
      <c r="I5379" s="1219"/>
      <c r="J5379" s="840"/>
      <c r="K5379" s="373"/>
      <c r="L5379" s="379"/>
      <c r="M5379" s="60">
        <v>1217590</v>
      </c>
      <c r="N5379" s="295" t="s">
        <v>101</v>
      </c>
      <c r="O5379" s="295" t="s">
        <v>26</v>
      </c>
      <c r="P5379" s="75" t="str">
        <f>IF(AND('331-CT'!$E$7=TH!H5594,OR(N5379="331",O5379="331")),"x","")</f>
        <v/>
      </c>
      <c r="Q5379" s="75" t="str">
        <f>IF(AND(B5379='111'!$L$11,OR($N5379=$Q$7,$O5379=$Q$7)),"x","")</f>
        <v/>
      </c>
      <c r="R5379" s="75" t="str">
        <f>IF(AND($N5379=$Q$7,$B5379&lt;'111'!$L$11),"x","")</f>
        <v/>
      </c>
      <c r="S5379" s="75" t="str">
        <f>IF(AND($O5379=$Q$7,$B5379&lt;'111'!$L$11),"x","")</f>
        <v/>
      </c>
      <c r="T5379" s="75" t="str">
        <f>IF(ISERROR(FIND('112'!$M$9,G5379,1)),"",IF((AND(FIND('112'!$M$9,G5379,1)&gt;=1,B5379='112'!$K$9,OR($N5379='112'!$I$6,$O5379='112'!$I$6))),"x",""))</f>
        <v/>
      </c>
      <c r="U5379" s="75" t="str">
        <f>IF(ISERROR(FIND('112'!$M$9,G5379,1)),"",IF((AND(LEFT(G5379,2)=LEFT('112'!$M$9,2),B5379&lt;'112'!$K$9,$N5379='112'!$I$6)),"x",""))</f>
        <v/>
      </c>
      <c r="V5379" s="75" t="str">
        <f>IF(ISERROR(FIND('112'!$M$9,G5379,1)),"",IF((AND(RIGHT(G5379,2)=RIGHT('112'!$M$9,2),B5379&lt;'112'!$K$9,$O5379='112'!$I$6)),"x",""))</f>
        <v/>
      </c>
      <c r="W5379" s="75" t="str">
        <f>IF(AND('341-CT'!$H$9=H5379,OR(LEFT(N5379,3)=$W$7,LEFT(O5379,3)=$W$7)),"x","")</f>
        <v/>
      </c>
      <c r="X5379" s="75" t="str">
        <f>IF(OR(TH!N5594=TH!$X$7,O5379=TH!$X$7),"x","")</f>
        <v/>
      </c>
      <c r="Y5379" s="75" t="str">
        <f>IF(AND(OR(N5379="131",O5379="131"),H5379='131-CT'!$H$9),"x","")</f>
        <v/>
      </c>
      <c r="Z5379" s="75"/>
      <c r="AA5379" s="75" t="str">
        <f>IF(AND(MONTH(E5379)='IN-NX'!$J$5,'IN-NX'!$D$7=D5379),"x","")</f>
        <v/>
      </c>
      <c r="AB5379" s="75" t="str">
        <f>IF(AND(OR(LEFT(TH!N5594,2)="15",LEFT(TH!O5594,2)="15"),LEFT(TH!O5594,3)&lt;&gt;"111",'152-CT'!$J$8=TH!F5594),"x","")</f>
        <v/>
      </c>
      <c r="AC5379" s="75" t="str">
        <f>IF(AND(OR(LEFT(TH!N5594,2)="15",LEFT(TH!O5594,2)="15"),TK!$E$7=TH!F5594),"x","")</f>
        <v/>
      </c>
      <c r="AD5379" s="75" t="str">
        <f>IF(AND(N5379="1521",MONTH(C5379)='BK-NL'!$M$11),"x","")</f>
        <v/>
      </c>
      <c r="AE5379">
        <v>11</v>
      </c>
    </row>
    <row r="5380" spans="1:33" s="1053" customFormat="1" ht="16.5" customHeight="1">
      <c r="A5380" s="309" t="str">
        <f>IF(B5380&lt;&gt;"",IF(AND(B5380='IN-TC'!$S$4,OR(TH!N5367="1111",TH!O5367="1111")),TH!D5367,""),"")</f>
        <v/>
      </c>
      <c r="B5380" s="1245">
        <f t="shared" si="1352"/>
        <v>11</v>
      </c>
      <c r="C5380" s="292">
        <f t="shared" si="1353"/>
        <v>43054</v>
      </c>
      <c r="D5380" s="292" t="s">
        <v>902</v>
      </c>
      <c r="E5380" s="292">
        <v>43054</v>
      </c>
      <c r="F5380" s="293" t="s">
        <v>1314</v>
      </c>
      <c r="G5380" s="293" t="s">
        <v>747</v>
      </c>
      <c r="H5380" s="294" t="s">
        <v>835</v>
      </c>
      <c r="I5380" s="373"/>
      <c r="J5380" s="382"/>
      <c r="K5380" s="373"/>
      <c r="L5380" s="379"/>
      <c r="M5380" s="60">
        <v>121759</v>
      </c>
      <c r="N5380" s="295" t="s">
        <v>9</v>
      </c>
      <c r="O5380" s="295" t="s">
        <v>26</v>
      </c>
      <c r="P5380" s="75" t="str">
        <f>IF(AND('331-CT'!$E$7=TH!H5595,OR(N5380="331",O5380="331")),"x","")</f>
        <v/>
      </c>
      <c r="Q5380" s="75" t="str">
        <f>IF(AND(B5380='111'!$L$11,OR($N5380=$Q$7,$O5380=$Q$7)),"x","")</f>
        <v/>
      </c>
      <c r="R5380" s="75" t="str">
        <f>IF(AND($N5380=$Q$7,$B5380&lt;'111'!$L$11),"x","")</f>
        <v/>
      </c>
      <c r="S5380" s="75" t="str">
        <f>IF(AND($O5380=$Q$7,$B5380&lt;'111'!$L$11),"x","")</f>
        <v/>
      </c>
      <c r="T5380" s="75" t="str">
        <f>IF(ISERROR(FIND('112'!$M$9,G5380,1)),"",IF((AND(FIND('112'!$M$9,G5380,1)&gt;=1,B5380='112'!$K$9,OR($N5380='112'!$I$6,$O5380='112'!$I$6))),"x",""))</f>
        <v/>
      </c>
      <c r="U5380" s="75" t="str">
        <f>IF(ISERROR(FIND('112'!$M$9,G5380,1)),"",IF((AND(LEFT(G5380,2)=LEFT('112'!$M$9,2),B5380&lt;'112'!$K$9,$N5380='112'!$I$6)),"x",""))</f>
        <v/>
      </c>
      <c r="V5380" s="75" t="str">
        <f>IF(ISERROR(FIND('112'!$M$9,G5380,1)),"",IF((AND(RIGHT(G5380,2)=RIGHT('112'!$M$9,2),B5380&lt;'112'!$K$9,$O5380='112'!$I$6)),"x",""))</f>
        <v/>
      </c>
      <c r="W5380" s="75" t="str">
        <f>IF(AND('341-CT'!$H$9=H5380,OR(LEFT(N5380,3)=$W$7,LEFT(O5380,3)=$W$7)),"x","")</f>
        <v/>
      </c>
      <c r="X5380" s="75" t="str">
        <f>IF(OR(TH!N5595=TH!$X$7,O5380=TH!$X$7),"x","")</f>
        <v/>
      </c>
      <c r="Y5380" s="75" t="str">
        <f>IF(AND(OR(N5380="131",O5380="131"),H5380='131-CT'!$H$9),"x","")</f>
        <v/>
      </c>
      <c r="Z5380" s="75"/>
      <c r="AA5380" s="75" t="str">
        <f>IF(AND(MONTH(E5380)='IN-NX'!$J$5,'IN-NX'!$D$7=D5380),"x","")</f>
        <v/>
      </c>
      <c r="AB5380" s="75" t="str">
        <f>IF(AND(OR(LEFT(TH!N5595,2)="15",LEFT(TH!O5595,2)="15"),LEFT(TH!O5595,3)&lt;&gt;"111",'152-CT'!$J$8=TH!F5595),"x","")</f>
        <v/>
      </c>
      <c r="AC5380" s="75" t="str">
        <f>IF(AND(OR(LEFT(TH!N5595,2)="15",LEFT(TH!O5595,2)="15"),TK!$E$7=TH!F5595),"x","")</f>
        <v/>
      </c>
      <c r="AD5380" s="75" t="str">
        <f>IF(AND(N5380="1521",MONTH(C5380)='BK-NL'!$M$11),"x","")</f>
        <v/>
      </c>
      <c r="AE5380">
        <v>11</v>
      </c>
      <c r="AF5380"/>
      <c r="AG5380"/>
    </row>
    <row r="5381" spans="1:33" s="1053" customFormat="1" ht="16.5" customHeight="1">
      <c r="A5381" s="309" t="str">
        <f>IF(B5381&lt;&gt;"",IF(AND(B5381='IN-TC'!$S$4,OR(TH!N5368="1111",TH!O5368="1111")),TH!D5368,""),"")</f>
        <v/>
      </c>
      <c r="B5381" s="1339">
        <f t="shared" si="1352"/>
        <v>11</v>
      </c>
      <c r="C5381" s="292">
        <f t="shared" si="1353"/>
        <v>43054</v>
      </c>
      <c r="D5381" s="71"/>
      <c r="E5381" s="292">
        <v>43054</v>
      </c>
      <c r="F5381" s="72" t="s">
        <v>3032</v>
      </c>
      <c r="G5381" s="72" t="s">
        <v>332</v>
      </c>
      <c r="H5381" s="73" t="s">
        <v>1880</v>
      </c>
      <c r="I5381" s="371"/>
      <c r="J5381" s="378"/>
      <c r="K5381" s="371"/>
      <c r="L5381" s="377"/>
      <c r="M5381" s="74">
        <v>2000000000</v>
      </c>
      <c r="N5381" s="75" t="s">
        <v>262</v>
      </c>
      <c r="O5381" s="75" t="s">
        <v>63</v>
      </c>
      <c r="P5381" s="75" t="str">
        <f>IF(AND('331-CT'!$E$7=TH!H7024,OR(N5381="331",O5381="331")),"x","")</f>
        <v/>
      </c>
      <c r="Q5381" s="75" t="str">
        <f>IF(AND(B5381='111'!$L$11,OR($N5381=$Q$7,$O5381=$Q$7)),"x","")</f>
        <v/>
      </c>
      <c r="R5381" s="75" t="str">
        <f>IF(AND($N5381=$Q$7,$B5381&lt;'111'!$L$11),"x","")</f>
        <v/>
      </c>
      <c r="S5381" s="75" t="str">
        <f>IF(AND($O5381=$Q$7,$B5381&lt;'111'!$L$11),"x","")</f>
        <v>x</v>
      </c>
      <c r="T5381" s="75" t="str">
        <f>IF(ISERROR(FIND('112'!$M$9,G5381,1)),"",IF((AND(FIND('112'!$M$9,G5381,1)&gt;=1,B5381='112'!$K$9,OR($N5381='112'!$I$6,$O5381='112'!$I$6))),"x",""))</f>
        <v/>
      </c>
      <c r="U5381" s="75" t="str">
        <f>IF(ISERROR(FIND('112'!$M$9,G5381,1)),"",IF((AND(LEFT(G5381,2)=LEFT('112'!$M$9,2),B5381&lt;'112'!$K$9,$N5381='112'!$I$6)),"x",""))</f>
        <v/>
      </c>
      <c r="V5381" s="75" t="str">
        <f>IF(ISERROR(FIND('112'!$M$9,G5381,1)),"",IF((AND(RIGHT(G5381,2)=RIGHT('112'!$M$9,2),B5381&lt;'112'!$K$9,$O5381='112'!$I$6)),"x",""))</f>
        <v/>
      </c>
      <c r="W5381" s="75" t="str">
        <f>IF(AND('341-CT'!$H$9=H5381,OR(LEFT(N5381,3)=$W$7,LEFT(O5381,3)=$W$7)),"x","")</f>
        <v/>
      </c>
      <c r="X5381" s="75" t="str">
        <f>IF(OR(TH!N7024=TH!$X$7,O5381=TH!$X$7),"x","")</f>
        <v/>
      </c>
      <c r="Y5381" s="75" t="str">
        <f>IF(AND(OR(N5381="131",O5381="131"),H5381='131-CT'!$H$9),"x","")</f>
        <v/>
      </c>
      <c r="Z5381" s="75"/>
      <c r="AA5381" s="75" t="str">
        <f>IF(AND(MONTH(E5381)='IN-NX'!$J$5,'IN-NX'!$D$7=D5381),"x","")</f>
        <v/>
      </c>
      <c r="AB5381" s="75" t="str">
        <f>IF(AND(OR(LEFT(TH!N7024,2)="15",LEFT(TH!O7024,2)="15"),LEFT(TH!O7024,3)&lt;&gt;"111",'152-CT'!$J$8=TH!F7024),"x","")</f>
        <v/>
      </c>
      <c r="AC5381" s="75" t="str">
        <f>IF(AND(OR(LEFT(TH!N7024,2)="15",LEFT(TH!O7024,2)="15"),TK!$E$7=TH!F7024),"x","")</f>
        <v/>
      </c>
      <c r="AD5381" s="75" t="str">
        <f>IF(AND(N5381="1521",MONTH(C5381)='BK-NL'!$M$11),"x","")</f>
        <v/>
      </c>
      <c r="AE5381" s="1264"/>
      <c r="AF5381" s="1264"/>
      <c r="AG5381" s="1264"/>
    </row>
    <row r="5382" spans="1:33" ht="16.5" customHeight="1">
      <c r="A5382" s="309" t="str">
        <f>IF(B5382&lt;&gt;"",IF(AND(B5382='IN-TC'!$S$4,OR(TH!N5369="1111",TH!O5369="1111")),TH!D5369,""),"")</f>
        <v/>
      </c>
      <c r="B5382" s="1339">
        <f t="shared" si="1352"/>
        <v>11</v>
      </c>
      <c r="C5382" s="292">
        <f t="shared" si="1353"/>
        <v>43054</v>
      </c>
      <c r="D5382" s="71"/>
      <c r="E5382" s="292">
        <v>43054</v>
      </c>
      <c r="F5382" s="72" t="s">
        <v>3032</v>
      </c>
      <c r="G5382" s="72" t="s">
        <v>1899</v>
      </c>
      <c r="H5382" s="73" t="s">
        <v>1879</v>
      </c>
      <c r="I5382" s="371"/>
      <c r="J5382" s="377"/>
      <c r="K5382" s="371"/>
      <c r="L5382" s="377"/>
      <c r="M5382" s="74">
        <v>1000000000</v>
      </c>
      <c r="N5382" s="75" t="s">
        <v>262</v>
      </c>
      <c r="O5382" s="75" t="s">
        <v>63</v>
      </c>
      <c r="P5382" s="75" t="str">
        <f>IF(AND('331-CT'!$E$7=TH!H7033,OR(N5382="331",O5382="331")),"x","")</f>
        <v/>
      </c>
      <c r="Q5382" s="75" t="str">
        <f>IF(AND(B5382='111'!$L$11,OR($N5382=$Q$7,$O5382=$Q$7)),"x","")</f>
        <v/>
      </c>
      <c r="R5382" s="75" t="str">
        <f>IF(AND($N5382=$Q$7,$B5382&lt;'111'!$L$11),"x","")</f>
        <v/>
      </c>
      <c r="S5382" s="75" t="str">
        <f>IF(AND($O5382=$Q$7,$B5382&lt;'111'!$L$11),"x","")</f>
        <v>x</v>
      </c>
      <c r="T5382" s="75" t="str">
        <f>IF(ISERROR(FIND('112'!$M$9,G5382,1)),"",IF((AND(FIND('112'!$M$9,G5382,1)&gt;=1,B5382='112'!$K$9,OR($N5382='112'!$I$6,$O5382='112'!$I$6))),"x",""))</f>
        <v/>
      </c>
      <c r="U5382" s="75" t="str">
        <f>IF(ISERROR(FIND('112'!$M$9,G5382,1)),"",IF((AND(LEFT(G5382,2)=LEFT('112'!$M$9,2),B5382&lt;'112'!$K$9,$N5382='112'!$I$6)),"x",""))</f>
        <v/>
      </c>
      <c r="V5382" s="75" t="str">
        <f>IF(ISERROR(FIND('112'!$M$9,G5382,1)),"",IF((AND(RIGHT(G5382,2)=RIGHT('112'!$M$9,2),B5382&lt;'112'!$K$9,$O5382='112'!$I$6)),"x",""))</f>
        <v/>
      </c>
      <c r="W5382" s="75" t="str">
        <f>IF(AND('341-CT'!$H$9=H5382,OR(LEFT(N5382,3)=$W$7,LEFT(O5382,3)=$W$7)),"x","")</f>
        <v/>
      </c>
      <c r="X5382" s="75" t="str">
        <f>IF(OR(TH!N7033=TH!$X$7,O5382=TH!$X$7),"x","")</f>
        <v/>
      </c>
      <c r="Y5382" s="75" t="str">
        <f>IF(AND(OR(N5382="131",O5382="131"),H5382='131-CT'!$H$9),"x","")</f>
        <v/>
      </c>
      <c r="Z5382" s="75"/>
      <c r="AA5382" s="75" t="str">
        <f>IF(AND(MONTH(E5382)='IN-NX'!$J$5,'IN-NX'!$D$7=D5382),"x","")</f>
        <v/>
      </c>
      <c r="AB5382" s="75" t="str">
        <f>IF(AND(OR(LEFT(TH!N7033,2)="15",LEFT(TH!O7033,2)="15"),LEFT(TH!O7033,3)&lt;&gt;"111",'152-CT'!$J$8=TH!F7033),"x","")</f>
        <v/>
      </c>
      <c r="AC5382" s="75" t="str">
        <f>IF(AND(OR(LEFT(TH!N7033,2)="15",LEFT(TH!O7033,2)="15"),TK!$E$7=TH!F7033),"x","")</f>
        <v/>
      </c>
      <c r="AD5382" s="75" t="str">
        <f>IF(AND(N5382="1521",MONTH(C5382)='BK-NL'!$M$11),"x","")</f>
        <v/>
      </c>
      <c r="AE5382" s="1264"/>
      <c r="AF5382" s="1264"/>
      <c r="AG5382" s="1264"/>
    </row>
    <row r="5383" spans="1:33" ht="16.5" customHeight="1">
      <c r="A5383" s="309" t="str">
        <f>IF(B5383&lt;&gt;"",IF(AND(B5383='IN-TC'!$S$4,OR(TH!N5370="1111",TH!O5370="1111")),TH!D5370,""),"")</f>
        <v/>
      </c>
      <c r="B5383" s="1245">
        <f t="shared" si="1352"/>
        <v>11</v>
      </c>
      <c r="C5383" s="292">
        <f t="shared" si="1353"/>
        <v>43055</v>
      </c>
      <c r="D5383" s="59" t="s">
        <v>853</v>
      </c>
      <c r="E5383" s="59">
        <v>43055</v>
      </c>
      <c r="F5383" s="62" t="s">
        <v>834</v>
      </c>
      <c r="G5383" s="62" t="s">
        <v>586</v>
      </c>
      <c r="H5383" s="294" t="s">
        <v>1023</v>
      </c>
      <c r="I5383" s="375"/>
      <c r="J5383" s="382"/>
      <c r="K5383" s="375"/>
      <c r="L5383" s="381"/>
      <c r="M5383" s="60">
        <v>400000000</v>
      </c>
      <c r="N5383" s="61" t="s">
        <v>63</v>
      </c>
      <c r="O5383" s="295" t="s">
        <v>26</v>
      </c>
      <c r="P5383" s="75" t="str">
        <f>IF(AND('331-CT'!$E$7=TH!H4426,OR(N5383="331",O5383="331")),"x","")</f>
        <v/>
      </c>
      <c r="Q5383" s="75" t="str">
        <f>IF(AND(B5383='111'!$L$11,OR($N5383=$Q$7,$O5383=$Q$7)),"x","")</f>
        <v/>
      </c>
      <c r="R5383" s="75" t="str">
        <f>IF(AND($N5383=$Q$7,$B5383&lt;'111'!$L$11),"x","")</f>
        <v>x</v>
      </c>
      <c r="S5383" s="75" t="str">
        <f>IF(AND($O5383=$Q$7,$B5383&lt;'111'!$L$11),"x","")</f>
        <v/>
      </c>
      <c r="T5383" s="75" t="str">
        <f>IF(ISERROR(FIND('112'!$M$9,G5383,1)),"",IF((AND(FIND('112'!$M$9,G5383,1)&gt;=1,B5383='112'!$K$9,OR($N5383='112'!$I$6,$O5383='112'!$I$6))),"x",""))</f>
        <v/>
      </c>
      <c r="U5383" s="75" t="str">
        <f>IF(ISERROR(FIND('112'!$M$9,G5383,1)),"",IF((AND(LEFT(G5383,2)=LEFT('112'!$M$9,2),B5383&lt;'112'!$K$9,$N5383='112'!$I$6)),"x",""))</f>
        <v/>
      </c>
      <c r="V5383" s="75" t="str">
        <f>IF(ISERROR(FIND('112'!$M$9,G5383,1)),"",IF((AND(RIGHT(G5383,2)=RIGHT('112'!$M$9,2),B5383&lt;'112'!$K$9,$O5383='112'!$I$6)),"x",""))</f>
        <v>x</v>
      </c>
      <c r="W5383" s="75" t="str">
        <f>IF(AND('341-CT'!$H$9=H5383,OR(LEFT(N5383,3)=$W$7,LEFT(O5383,3)=$W$7)),"x","")</f>
        <v/>
      </c>
      <c r="X5383" s="75" t="str">
        <f>IF(OR(TH!N4426=TH!$X$7,O5383=TH!$X$7),"x","")</f>
        <v/>
      </c>
      <c r="Y5383" s="75" t="str">
        <f>IF(AND(OR(N5383="131",O5383="131"),H5383='131-CT'!$H$9),"x","")</f>
        <v/>
      </c>
      <c r="Z5383" s="75"/>
      <c r="AA5383" s="75" t="str">
        <f>IF(AND(MONTH(E5383)='IN-NX'!$J$5,'IN-NX'!$D$7=D5383),"x","")</f>
        <v/>
      </c>
      <c r="AB5383" s="75" t="str">
        <f>IF(AND(OR(LEFT(TH!N4426,2)="15",LEFT(TH!O4426,2)="15"),LEFT(TH!O4426,3)&lt;&gt;"111",'152-CT'!$J$8=TH!F4426),"x","")</f>
        <v/>
      </c>
      <c r="AC5383" s="75" t="str">
        <f>IF(AND(OR(LEFT(TH!N4426,2)="15",LEFT(TH!O4426,2)="15"),TK!$E$7=TH!F4426),"x","")</f>
        <v/>
      </c>
      <c r="AD5383" s="75" t="str">
        <f>IF(AND(N5383="1521",MONTH(C5383)='BK-NL'!$M$11),"x","")</f>
        <v/>
      </c>
    </row>
    <row r="5384" spans="1:33" ht="16.5" customHeight="1">
      <c r="A5384" s="309" t="str">
        <f>IF(B5384&lt;&gt;"",IF(AND(B5384='IN-TC'!$S$4,OR(TH!N5371="1111",TH!O5371="1111")),TH!D5371,""),"")</f>
        <v/>
      </c>
      <c r="B5384" s="58">
        <f t="shared" si="1352"/>
        <v>11</v>
      </c>
      <c r="C5384" s="292">
        <f t="shared" si="1353"/>
        <v>43055</v>
      </c>
      <c r="D5384" s="292" t="s">
        <v>903</v>
      </c>
      <c r="E5384" s="292">
        <v>43055</v>
      </c>
      <c r="F5384" s="67" t="s">
        <v>2411</v>
      </c>
      <c r="G5384" s="293" t="s">
        <v>1713</v>
      </c>
      <c r="H5384" s="73" t="s">
        <v>2916</v>
      </c>
      <c r="I5384" s="373"/>
      <c r="J5384" s="926"/>
      <c r="K5384" s="373">
        <v>534400</v>
      </c>
      <c r="L5384" s="379">
        <v>22705</v>
      </c>
      <c r="M5384" s="927">
        <f>ROUND(K5384*L5384,0)</f>
        <v>12133552000</v>
      </c>
      <c r="N5384" s="295" t="s">
        <v>26</v>
      </c>
      <c r="O5384" s="295" t="s">
        <v>250</v>
      </c>
      <c r="P5384" s="75" t="str">
        <f>IF(AND('331-CT'!$E$7=TH!H4535,OR(N5384="331",O5384="331")),"x","")</f>
        <v/>
      </c>
      <c r="Q5384" s="75" t="str">
        <f>IF(AND(B5384='111'!$L$11,OR($N5384=$Q$7,$O5384=$Q$7)),"x","")</f>
        <v/>
      </c>
      <c r="R5384" s="75" t="str">
        <f>IF(AND($N5384=$Q$7,$B5384&lt;'111'!$L$11),"x","")</f>
        <v/>
      </c>
      <c r="S5384" s="75" t="str">
        <f>IF(AND($O5384=$Q$7,$B5384&lt;'111'!$L$11),"x","")</f>
        <v/>
      </c>
      <c r="T5384" s="75" t="str">
        <f>IF(ISERROR(FIND('112'!$M$9,G5384,1)),"",IF((AND(FIND('112'!$M$9,G5384,1)&gt;=1,B5384='112'!$K$9,OR($N5384='112'!$I$6,$O5384='112'!$I$6))),"x",""))</f>
        <v/>
      </c>
      <c r="U5384" s="75" t="str">
        <f>IF(ISERROR(FIND('112'!$M$9,G5384,1)),"",IF((AND(LEFT(G5384,2)=LEFT('112'!$M$9,2),B5384&lt;'112'!$K$9,$N5384='112'!$I$6)),"x",""))</f>
        <v/>
      </c>
      <c r="V5384" s="75" t="str">
        <f>IF(ISERROR(FIND('112'!$M$9,G5384,1)),"",IF((AND(RIGHT(G5384,2)=RIGHT('112'!$M$9,2),B5384&lt;'112'!$K$9,$O5384='112'!$I$6)),"x",""))</f>
        <v/>
      </c>
      <c r="W5384" s="75" t="str">
        <f>IF(AND('341-CT'!$H$9=H5384,OR(LEFT(N5384,3)=$W$7,LEFT(O5384,3)=$W$7)),"x","")</f>
        <v/>
      </c>
      <c r="X5384" s="75" t="str">
        <f>IF(OR(TH!N4535=TH!$X$7,O5384=TH!$X$7),"x","")</f>
        <v/>
      </c>
      <c r="Y5384" s="75" t="str">
        <f>IF(AND(OR(N5384="131",O5384="131"),H5384='131-CT'!$H$9),"x","")</f>
        <v/>
      </c>
      <c r="Z5384" s="75"/>
      <c r="AA5384" s="75" t="str">
        <f>IF(AND(MONTH(E5384)='IN-NX'!$J$5,'IN-NX'!$D$7=D5384),"x","")</f>
        <v/>
      </c>
      <c r="AB5384" s="75" t="str">
        <f>IF(AND(OR(LEFT(TH!N4535,2)="15",LEFT(TH!O4535,2)="15"),LEFT(TH!O4535,3)&lt;&gt;"111",'152-CT'!$J$8=TH!F4535),"x","")</f>
        <v/>
      </c>
      <c r="AC5384" s="75" t="str">
        <f>IF(AND(OR(LEFT(TH!N4535,2)="15",LEFT(TH!O4535,2)="15"),TK!$E$7=TH!F4535),"x","")</f>
        <v/>
      </c>
      <c r="AD5384" s="75" t="str">
        <f>IF(AND(N5384="1521",MONTH(C5384)='BK-NL'!$M$11),"x","")</f>
        <v/>
      </c>
      <c r="AE5384" s="304"/>
      <c r="AF5384" s="304"/>
      <c r="AG5384" s="304"/>
    </row>
    <row r="5385" spans="1:33" ht="16.5" customHeight="1">
      <c r="A5385" s="309" t="str">
        <f>IF(B5385&lt;&gt;"",IF(AND(B5385='IN-TC'!$S$4,OR(TH!N5372="1111",TH!O5372="1111")),TH!D5372,""),"")</f>
        <v/>
      </c>
      <c r="B5385" s="1245">
        <f t="shared" si="1352"/>
        <v>11</v>
      </c>
      <c r="C5385" s="292">
        <f t="shared" si="1353"/>
        <v>43055</v>
      </c>
      <c r="D5385" s="292" t="s">
        <v>854</v>
      </c>
      <c r="E5385" s="292">
        <v>43055</v>
      </c>
      <c r="F5385" s="67" t="s">
        <v>834</v>
      </c>
      <c r="G5385" s="943" t="s">
        <v>1713</v>
      </c>
      <c r="H5385" s="294" t="s">
        <v>1023</v>
      </c>
      <c r="I5385" s="373"/>
      <c r="J5385" s="926"/>
      <c r="K5385" s="373"/>
      <c r="L5385" s="379"/>
      <c r="M5385" s="927">
        <v>12100000000</v>
      </c>
      <c r="N5385" s="295" t="s">
        <v>63</v>
      </c>
      <c r="O5385" s="295" t="s">
        <v>26</v>
      </c>
      <c r="P5385" s="75" t="str">
        <f>IF(AND('331-CT'!$E$7=TH!H4536,OR(N5385="331",O5385="331")),"x","")</f>
        <v/>
      </c>
      <c r="Q5385" s="75" t="str">
        <f>IF(AND(B5385='111'!$L$11,OR($N5385=$Q$7,$O5385=$Q$7)),"x","")</f>
        <v/>
      </c>
      <c r="R5385" s="75" t="str">
        <f>IF(AND($N5385=$Q$7,$B5385&lt;'111'!$L$11),"x","")</f>
        <v>x</v>
      </c>
      <c r="S5385" s="75" t="str">
        <f>IF(AND($O5385=$Q$7,$B5385&lt;'111'!$L$11),"x","")</f>
        <v/>
      </c>
      <c r="T5385" s="75" t="str">
        <f>IF(ISERROR(FIND('112'!$M$9,G5385,1)),"",IF((AND(FIND('112'!$M$9,G5385,1)&gt;=1,B5385='112'!$K$9,OR($N5385='112'!$I$6,$O5385='112'!$I$6))),"x",""))</f>
        <v/>
      </c>
      <c r="U5385" s="75" t="str">
        <f>IF(ISERROR(FIND('112'!$M$9,G5385,1)),"",IF((AND(LEFT(G5385,2)=LEFT('112'!$M$9,2),B5385&lt;'112'!$K$9,$N5385='112'!$I$6)),"x",""))</f>
        <v/>
      </c>
      <c r="V5385" s="75" t="str">
        <f>IF(ISERROR(FIND('112'!$M$9,G5385,1)),"",IF((AND(RIGHT(G5385,2)=RIGHT('112'!$M$9,2),B5385&lt;'112'!$K$9,$O5385='112'!$I$6)),"x",""))</f>
        <v/>
      </c>
      <c r="W5385" s="75" t="str">
        <f>IF(AND('341-CT'!$H$9=H5385,OR(LEFT(N5385,3)=$W$7,LEFT(O5385,3)=$W$7)),"x","")</f>
        <v/>
      </c>
      <c r="X5385" s="75" t="str">
        <f>IF(OR(TH!N4536=TH!$X$7,O5385=TH!$X$7),"x","")</f>
        <v/>
      </c>
      <c r="Y5385" s="75" t="str">
        <f>IF(AND(OR(N5385="131",O5385="131"),H5385='131-CT'!$H$9),"x","")</f>
        <v/>
      </c>
      <c r="Z5385" s="75"/>
      <c r="AA5385" s="75" t="str">
        <f>IF(AND(MONTH(E5385)='IN-NX'!$J$5,'IN-NX'!$D$7=D5385),"x","")</f>
        <v/>
      </c>
      <c r="AB5385" s="75" t="str">
        <f>IF(AND(OR(LEFT(TH!N4536,2)="15",LEFT(TH!O4536,2)="15"),LEFT(TH!O4536,3)&lt;&gt;"111",'152-CT'!$J$8=TH!F4536),"x","")</f>
        <v/>
      </c>
      <c r="AC5385" s="75" t="str">
        <f>IF(AND(OR(LEFT(TH!N4536,2)="15",LEFT(TH!O4536,2)="15"),TK!$E$7=TH!F4536),"x","")</f>
        <v/>
      </c>
      <c r="AD5385" s="75" t="str">
        <f>IF(AND(N5385="1521",MONTH(C5385)='BK-NL'!$M$11),"x","")</f>
        <v/>
      </c>
    </row>
    <row r="5386" spans="1:33" ht="16.5" customHeight="1">
      <c r="A5386" s="309" t="str">
        <f>IF(B5386&lt;&gt;"",IF(AND(B5386='IN-TC'!$S$4,OR(TH!N5373="1111",TH!O5373="1111")),TH!D5373,""),"")</f>
        <v/>
      </c>
      <c r="B5386" s="1245">
        <f t="shared" si="1352"/>
        <v>11</v>
      </c>
      <c r="C5386" s="292">
        <f t="shared" si="1353"/>
        <v>43055</v>
      </c>
      <c r="D5386" s="292" t="s">
        <v>1198</v>
      </c>
      <c r="E5386" s="292">
        <v>43055</v>
      </c>
      <c r="F5386" s="67" t="s">
        <v>834</v>
      </c>
      <c r="G5386" s="943" t="s">
        <v>1713</v>
      </c>
      <c r="H5386" s="294" t="s">
        <v>1023</v>
      </c>
      <c r="I5386" s="373"/>
      <c r="J5386" s="926"/>
      <c r="K5386" s="373"/>
      <c r="L5386" s="379"/>
      <c r="M5386" s="927">
        <v>50000000</v>
      </c>
      <c r="N5386" s="295" t="s">
        <v>63</v>
      </c>
      <c r="O5386" s="295" t="s">
        <v>26</v>
      </c>
      <c r="P5386" s="75" t="str">
        <f>IF(AND('331-CT'!$E$7=TH!H4537,OR(N5386="331",O5386="331")),"x","")</f>
        <v/>
      </c>
      <c r="Q5386" s="75" t="str">
        <f>IF(AND(B5386='111'!$L$11,OR($N5386=$Q$7,$O5386=$Q$7)),"x","")</f>
        <v/>
      </c>
      <c r="R5386" s="75" t="str">
        <f>IF(AND($N5386=$Q$7,$B5386&lt;'111'!$L$11),"x","")</f>
        <v>x</v>
      </c>
      <c r="S5386" s="75" t="str">
        <f>IF(AND($O5386=$Q$7,$B5386&lt;'111'!$L$11),"x","")</f>
        <v/>
      </c>
      <c r="T5386" s="75" t="str">
        <f>IF(ISERROR(FIND('112'!$M$9,G5386,1)),"",IF((AND(FIND('112'!$M$9,G5386,1)&gt;=1,B5386='112'!$K$9,OR($N5386='112'!$I$6,$O5386='112'!$I$6))),"x",""))</f>
        <v/>
      </c>
      <c r="U5386" s="75" t="str">
        <f>IF(ISERROR(FIND('112'!$M$9,G5386,1)),"",IF((AND(LEFT(G5386,2)=LEFT('112'!$M$9,2),B5386&lt;'112'!$K$9,$N5386='112'!$I$6)),"x",""))</f>
        <v/>
      </c>
      <c r="V5386" s="75" t="str">
        <f>IF(ISERROR(FIND('112'!$M$9,G5386,1)),"",IF((AND(RIGHT(G5386,2)=RIGHT('112'!$M$9,2),B5386&lt;'112'!$K$9,$O5386='112'!$I$6)),"x",""))</f>
        <v/>
      </c>
      <c r="W5386" s="75" t="str">
        <f>IF(AND('341-CT'!$H$9=H5386,OR(LEFT(N5386,3)=$W$7,LEFT(O5386,3)=$W$7)),"x","")</f>
        <v/>
      </c>
      <c r="X5386" s="75" t="str">
        <f>IF(OR(TH!N4537=TH!$X$7,O5386=TH!$X$7),"x","")</f>
        <v/>
      </c>
      <c r="Y5386" s="75" t="str">
        <f>IF(AND(OR(N5386="131",O5386="131"),H5386='131-CT'!$H$9),"x","")</f>
        <v/>
      </c>
      <c r="Z5386" s="75"/>
      <c r="AA5386" s="75" t="str">
        <f>IF(AND(MONTH(E5386)='IN-NX'!$J$5,'IN-NX'!$D$7=D5386),"x","")</f>
        <v/>
      </c>
      <c r="AB5386" s="75" t="str">
        <f>IF(AND(OR(LEFT(TH!N4537,2)="15",LEFT(TH!O4537,2)="15"),LEFT(TH!O4537,3)&lt;&gt;"111",'152-CT'!$J$8=TH!F4537),"x","")</f>
        <v/>
      </c>
      <c r="AC5386" s="75" t="str">
        <f>IF(AND(OR(LEFT(TH!N4537,2)="15",LEFT(TH!O4537,2)="15"),TK!$E$7=TH!F4537),"x","")</f>
        <v/>
      </c>
      <c r="AD5386" s="75" t="str">
        <f>IF(AND(N5386="1521",MONTH(C5386)='BK-NL'!$M$11),"x","")</f>
        <v/>
      </c>
    </row>
    <row r="5387" spans="1:33" ht="16.5" customHeight="1">
      <c r="A5387" s="309" t="str">
        <f>IF(B5387&lt;&gt;"",IF(AND(B5387='IN-TC'!$S$4,OR(TH!N5374="1111",TH!O5374="1111")),TH!D5374,""),"")</f>
        <v/>
      </c>
      <c r="B5387" s="1245">
        <f t="shared" si="1352"/>
        <v>11</v>
      </c>
      <c r="C5387" s="292">
        <f t="shared" si="1353"/>
        <v>43055</v>
      </c>
      <c r="D5387" s="59" t="s">
        <v>902</v>
      </c>
      <c r="E5387" s="59">
        <v>43055</v>
      </c>
      <c r="F5387" s="62" t="s">
        <v>1307</v>
      </c>
      <c r="G5387" s="62" t="s">
        <v>585</v>
      </c>
      <c r="H5387" s="67" t="s">
        <v>845</v>
      </c>
      <c r="I5387" s="373"/>
      <c r="J5387" s="382"/>
      <c r="K5387" s="373"/>
      <c r="L5387" s="379"/>
      <c r="M5387" s="60">
        <v>50000</v>
      </c>
      <c r="N5387" s="61" t="s">
        <v>101</v>
      </c>
      <c r="O5387" s="61" t="s">
        <v>26</v>
      </c>
      <c r="P5387" s="75" t="str">
        <f>IF(AND('331-CT'!$E$7=TH!H4891,OR(N5387="331",O5387="331")),"x","")</f>
        <v/>
      </c>
      <c r="Q5387" s="75" t="str">
        <f>IF(AND(B5387='111'!$L$11,OR($N5387=$Q$7,$O5387=$Q$7)),"x","")</f>
        <v/>
      </c>
      <c r="R5387" s="75" t="str">
        <f>IF(AND($N5387=$Q$7,$B5387&lt;'111'!$L$11),"x","")</f>
        <v/>
      </c>
      <c r="S5387" s="75" t="str">
        <f>IF(AND($O5387=$Q$7,$B5387&lt;'111'!$L$11),"x","")</f>
        <v/>
      </c>
      <c r="T5387" s="75" t="str">
        <f>IF(ISERROR(FIND('112'!$M$9,G5387,1)),"",IF((AND(FIND('112'!$M$9,G5387,1)&gt;=1,B5387='112'!$K$9,OR($N5387='112'!$I$6,$O5387='112'!$I$6))),"x",""))</f>
        <v/>
      </c>
      <c r="U5387" s="75" t="str">
        <f>IF(ISERROR(FIND('112'!$M$9,G5387,1)),"",IF((AND(LEFT(G5387,2)=LEFT('112'!$M$9,2),B5387&lt;'112'!$K$9,$N5387='112'!$I$6)),"x",""))</f>
        <v/>
      </c>
      <c r="V5387" s="75" t="str">
        <f>IF(ISERROR(FIND('112'!$M$9,G5387,1)),"",IF((AND(RIGHT(G5387,2)=RIGHT('112'!$M$9,2),B5387&lt;'112'!$K$9,$O5387='112'!$I$6)),"x",""))</f>
        <v/>
      </c>
      <c r="W5387" s="75" t="str">
        <f>IF(AND('341-CT'!$H$9=H5387,OR(LEFT(N5387,3)=$W$7,LEFT(O5387,3)=$W$7)),"x","")</f>
        <v/>
      </c>
      <c r="X5387" s="75" t="str">
        <f>IF(OR(TH!N4891=TH!$X$7,O5387=TH!$X$7),"x","")</f>
        <v/>
      </c>
      <c r="Y5387" s="75" t="str">
        <f>IF(AND(OR(N5387="131",O5387="131"),H5387='131-CT'!$H$9),"x","")</f>
        <v/>
      </c>
      <c r="Z5387" s="75"/>
      <c r="AA5387" s="75" t="str">
        <f>IF(AND(MONTH(E5387)='IN-NX'!$J$5,'IN-NX'!$D$7=D5387),"x","")</f>
        <v/>
      </c>
      <c r="AB5387" s="75" t="str">
        <f>IF(AND(OR(LEFT(TH!N4891,2)="15",LEFT(TH!O4891,2)="15"),LEFT(TH!O4891,3)&lt;&gt;"111",'152-CT'!$J$8=TH!F4891),"x","")</f>
        <v/>
      </c>
      <c r="AC5387" s="75" t="str">
        <f>IF(AND(OR(LEFT(TH!N4891,2)="15",LEFT(TH!O4891,2)="15"),TK!$E$7=TH!F4891),"x","")</f>
        <v/>
      </c>
      <c r="AD5387" s="75" t="str">
        <f>IF(AND(N5387="1521",MONTH(C5387)='BK-NL'!$M$11),"x","")</f>
        <v/>
      </c>
      <c r="AE5387">
        <v>11</v>
      </c>
    </row>
    <row r="5388" spans="1:33" ht="16.5" customHeight="1">
      <c r="A5388" s="309" t="str">
        <f>IF(B5388&lt;&gt;"",IF(AND(B5388='IN-TC'!$S$4,OR(TH!N5375="1111",TH!O5375="1111")),TH!D5375,""),"")</f>
        <v/>
      </c>
      <c r="B5388" s="1245">
        <f t="shared" si="1352"/>
        <v>11</v>
      </c>
      <c r="C5388" s="292">
        <f t="shared" si="1353"/>
        <v>43055</v>
      </c>
      <c r="D5388" s="59" t="s">
        <v>902</v>
      </c>
      <c r="E5388" s="59">
        <v>43055</v>
      </c>
      <c r="F5388" s="62" t="s">
        <v>1314</v>
      </c>
      <c r="G5388" s="62" t="s">
        <v>585</v>
      </c>
      <c r="H5388" s="67" t="s">
        <v>845</v>
      </c>
      <c r="I5388" s="373"/>
      <c r="J5388" s="382"/>
      <c r="K5388" s="373"/>
      <c r="L5388" s="379"/>
      <c r="M5388" s="60">
        <v>5000</v>
      </c>
      <c r="N5388" s="61" t="s">
        <v>9</v>
      </c>
      <c r="O5388" s="61" t="s">
        <v>26</v>
      </c>
      <c r="P5388" s="75" t="str">
        <f>IF(AND('331-CT'!$E$7=TH!H4892,OR(N5388="331",O5388="331")),"x","")</f>
        <v/>
      </c>
      <c r="Q5388" s="75" t="str">
        <f>IF(AND(B5388='111'!$L$11,OR($N5388=$Q$7,$O5388=$Q$7)),"x","")</f>
        <v/>
      </c>
      <c r="R5388" s="75" t="str">
        <f>IF(AND($N5388=$Q$7,$B5388&lt;'111'!$L$11),"x","")</f>
        <v/>
      </c>
      <c r="S5388" s="75" t="str">
        <f>IF(AND($O5388=$Q$7,$B5388&lt;'111'!$L$11),"x","")</f>
        <v/>
      </c>
      <c r="T5388" s="75" t="str">
        <f>IF(ISERROR(FIND('112'!$M$9,G5388,1)),"",IF((AND(FIND('112'!$M$9,G5388,1)&gt;=1,B5388='112'!$K$9,OR($N5388='112'!$I$6,$O5388='112'!$I$6))),"x",""))</f>
        <v/>
      </c>
      <c r="U5388" s="75" t="str">
        <f>IF(ISERROR(FIND('112'!$M$9,G5388,1)),"",IF((AND(LEFT(G5388,2)=LEFT('112'!$M$9,2),B5388&lt;'112'!$K$9,$N5388='112'!$I$6)),"x",""))</f>
        <v/>
      </c>
      <c r="V5388" s="75" t="str">
        <f>IF(ISERROR(FIND('112'!$M$9,G5388,1)),"",IF((AND(RIGHT(G5388,2)=RIGHT('112'!$M$9,2),B5388&lt;'112'!$K$9,$O5388='112'!$I$6)),"x",""))</f>
        <v/>
      </c>
      <c r="W5388" s="75" t="str">
        <f>IF(AND('341-CT'!$H$9=H5388,OR(LEFT(N5388,3)=$W$7,LEFT(O5388,3)=$W$7)),"x","")</f>
        <v/>
      </c>
      <c r="X5388" s="75" t="str">
        <f>IF(OR(TH!N4892=TH!$X$7,O5388=TH!$X$7),"x","")</f>
        <v/>
      </c>
      <c r="Y5388" s="75" t="str">
        <f>IF(AND(OR(N5388="131",O5388="131"),H5388='131-CT'!$H$9),"x","")</f>
        <v/>
      </c>
      <c r="Z5388" s="75"/>
      <c r="AA5388" s="75" t="str">
        <f>IF(AND(MONTH(E5388)='IN-NX'!$J$5,'IN-NX'!$D$7=D5388),"x","")</f>
        <v/>
      </c>
      <c r="AB5388" s="75" t="str">
        <f>IF(AND(OR(LEFT(TH!N4892,2)="15",LEFT(TH!O4892,2)="15"),LEFT(TH!O4892,3)&lt;&gt;"111",'152-CT'!$J$8=TH!F4892),"x","")</f>
        <v/>
      </c>
      <c r="AC5388" s="75" t="str">
        <f>IF(AND(OR(LEFT(TH!N4892,2)="15",LEFT(TH!O4892,2)="15"),TK!$E$7=TH!F4892),"x","")</f>
        <v/>
      </c>
      <c r="AD5388" s="75" t="str">
        <f>IF(AND(N5388="1521",MONTH(C5388)='BK-NL'!$M$11),"x","")</f>
        <v/>
      </c>
      <c r="AE5388">
        <v>11</v>
      </c>
    </row>
    <row r="5389" spans="1:33" ht="16.5" customHeight="1">
      <c r="A5389" s="309" t="str">
        <f>IF(B5389&lt;&gt;"",IF(AND(B5389='IN-TC'!$S$4,OR(TH!N5376="1111",TH!O5376="1111")),TH!D5376,""),"")</f>
        <v/>
      </c>
      <c r="B5389" s="1245">
        <f t="shared" si="1352"/>
        <v>11</v>
      </c>
      <c r="C5389" s="292">
        <f t="shared" si="1353"/>
        <v>43055</v>
      </c>
      <c r="D5389" s="59" t="s">
        <v>902</v>
      </c>
      <c r="E5389" s="59">
        <v>43055</v>
      </c>
      <c r="F5389" s="62" t="s">
        <v>1307</v>
      </c>
      <c r="G5389" s="62" t="s">
        <v>585</v>
      </c>
      <c r="H5389" s="67" t="s">
        <v>845</v>
      </c>
      <c r="I5389" s="373"/>
      <c r="J5389" s="382"/>
      <c r="K5389" s="373"/>
      <c r="L5389" s="379"/>
      <c r="M5389" s="60">
        <v>50000</v>
      </c>
      <c r="N5389" s="61" t="s">
        <v>101</v>
      </c>
      <c r="O5389" s="61" t="s">
        <v>26</v>
      </c>
      <c r="P5389" s="75" t="str">
        <f>IF(AND('331-CT'!$E$7=TH!H4893,OR(N5389="331",O5389="331")),"x","")</f>
        <v/>
      </c>
      <c r="Q5389" s="75" t="str">
        <f>IF(AND(B5389='111'!$L$11,OR($N5389=$Q$7,$O5389=$Q$7)),"x","")</f>
        <v/>
      </c>
      <c r="R5389" s="75" t="str">
        <f>IF(AND($N5389=$Q$7,$B5389&lt;'111'!$L$11),"x","")</f>
        <v/>
      </c>
      <c r="S5389" s="75" t="str">
        <f>IF(AND($O5389=$Q$7,$B5389&lt;'111'!$L$11),"x","")</f>
        <v/>
      </c>
      <c r="T5389" s="75" t="str">
        <f>IF(ISERROR(FIND('112'!$M$9,G5389,1)),"",IF((AND(FIND('112'!$M$9,G5389,1)&gt;=1,B5389='112'!$K$9,OR($N5389='112'!$I$6,$O5389='112'!$I$6))),"x",""))</f>
        <v/>
      </c>
      <c r="U5389" s="75" t="str">
        <f>IF(ISERROR(FIND('112'!$M$9,G5389,1)),"",IF((AND(LEFT(G5389,2)=LEFT('112'!$M$9,2),B5389&lt;'112'!$K$9,$N5389='112'!$I$6)),"x",""))</f>
        <v/>
      </c>
      <c r="V5389" s="75" t="str">
        <f>IF(ISERROR(FIND('112'!$M$9,G5389,1)),"",IF((AND(RIGHT(G5389,2)=RIGHT('112'!$M$9,2),B5389&lt;'112'!$K$9,$O5389='112'!$I$6)),"x",""))</f>
        <v/>
      </c>
      <c r="W5389" s="75" t="str">
        <f>IF(AND('341-CT'!$H$9=H5389,OR(LEFT(N5389,3)=$W$7,LEFT(O5389,3)=$W$7)),"x","")</f>
        <v/>
      </c>
      <c r="X5389" s="75" t="str">
        <f>IF(OR(TH!N4893=TH!$X$7,O5389=TH!$X$7),"x","")</f>
        <v/>
      </c>
      <c r="Y5389" s="75" t="str">
        <f>IF(AND(OR(N5389="131",O5389="131"),H5389='131-CT'!$H$9),"x","")</f>
        <v/>
      </c>
      <c r="Z5389" s="75"/>
      <c r="AA5389" s="75" t="str">
        <f>IF(AND(MONTH(E5389)='IN-NX'!$J$5,'IN-NX'!$D$7=D5389),"x","")</f>
        <v/>
      </c>
      <c r="AB5389" s="75" t="str">
        <f>IF(AND(OR(LEFT(TH!N4893,2)="15",LEFT(TH!O4893,2)="15"),LEFT(TH!O4893,3)&lt;&gt;"111",'152-CT'!$J$8=TH!F4893),"x","")</f>
        <v/>
      </c>
      <c r="AC5389" s="75" t="str">
        <f>IF(AND(OR(LEFT(TH!N4893,2)="15",LEFT(TH!O4893,2)="15"),TK!$E$7=TH!F4893),"x","")</f>
        <v/>
      </c>
      <c r="AD5389" s="75" t="str">
        <f>IF(AND(N5389="1521",MONTH(C5389)='BK-NL'!$M$11),"x","")</f>
        <v/>
      </c>
      <c r="AE5389">
        <v>11</v>
      </c>
    </row>
    <row r="5390" spans="1:33" ht="16.5" customHeight="1">
      <c r="A5390" s="309" t="str">
        <f>IF(B5390&lt;&gt;"",IF(AND(B5390='IN-TC'!$S$4,OR(TH!N5377="1111",TH!O5377="1111")),TH!D5377,""),"")</f>
        <v/>
      </c>
      <c r="B5390" s="1245">
        <f t="shared" si="1352"/>
        <v>11</v>
      </c>
      <c r="C5390" s="292">
        <f t="shared" si="1353"/>
        <v>43055</v>
      </c>
      <c r="D5390" s="59" t="s">
        <v>902</v>
      </c>
      <c r="E5390" s="59">
        <v>43055</v>
      </c>
      <c r="F5390" s="62" t="s">
        <v>1314</v>
      </c>
      <c r="G5390" s="62" t="s">
        <v>585</v>
      </c>
      <c r="H5390" s="67" t="s">
        <v>845</v>
      </c>
      <c r="I5390" s="373"/>
      <c r="J5390" s="382"/>
      <c r="K5390" s="373"/>
      <c r="L5390" s="379"/>
      <c r="M5390" s="60">
        <v>5000</v>
      </c>
      <c r="N5390" s="61" t="s">
        <v>9</v>
      </c>
      <c r="O5390" s="61" t="s">
        <v>26</v>
      </c>
      <c r="P5390" s="75" t="str">
        <f>IF(AND('331-CT'!$E$7=TH!H4894,OR(N5390="331",O5390="331")),"x","")</f>
        <v/>
      </c>
      <c r="Q5390" s="75" t="str">
        <f>IF(AND(B5390='111'!$L$11,OR($N5390=$Q$7,$O5390=$Q$7)),"x","")</f>
        <v/>
      </c>
      <c r="R5390" s="75" t="str">
        <f>IF(AND($N5390=$Q$7,$B5390&lt;'111'!$L$11),"x","")</f>
        <v/>
      </c>
      <c r="S5390" s="75" t="str">
        <f>IF(AND($O5390=$Q$7,$B5390&lt;'111'!$L$11),"x","")</f>
        <v/>
      </c>
      <c r="T5390" s="75" t="str">
        <f>IF(ISERROR(FIND('112'!$M$9,G5390,1)),"",IF((AND(FIND('112'!$M$9,G5390,1)&gt;=1,B5390='112'!$K$9,OR($N5390='112'!$I$6,$O5390='112'!$I$6))),"x",""))</f>
        <v/>
      </c>
      <c r="U5390" s="75" t="str">
        <f>IF(ISERROR(FIND('112'!$M$9,G5390,1)),"",IF((AND(LEFT(G5390,2)=LEFT('112'!$M$9,2),B5390&lt;'112'!$K$9,$N5390='112'!$I$6)),"x",""))</f>
        <v/>
      </c>
      <c r="V5390" s="75" t="str">
        <f>IF(ISERROR(FIND('112'!$M$9,G5390,1)),"",IF((AND(RIGHT(G5390,2)=RIGHT('112'!$M$9,2),B5390&lt;'112'!$K$9,$O5390='112'!$I$6)),"x",""))</f>
        <v/>
      </c>
      <c r="W5390" s="75" t="str">
        <f>IF(AND('341-CT'!$H$9=H5390,OR(LEFT(N5390,3)=$W$7,LEFT(O5390,3)=$W$7)),"x","")</f>
        <v/>
      </c>
      <c r="X5390" s="75" t="str">
        <f>IF(OR(TH!N4894=TH!$X$7,O5390=TH!$X$7),"x","")</f>
        <v/>
      </c>
      <c r="Y5390" s="75" t="str">
        <f>IF(AND(OR(N5390="131",O5390="131"),H5390='131-CT'!$H$9),"x","")</f>
        <v/>
      </c>
      <c r="Z5390" s="75"/>
      <c r="AA5390" s="75" t="str">
        <f>IF(AND(MONTH(E5390)='IN-NX'!$J$5,'IN-NX'!$D$7=D5390),"x","")</f>
        <v/>
      </c>
      <c r="AB5390" s="75" t="str">
        <f>IF(AND(OR(LEFT(TH!N4894,2)="15",LEFT(TH!O4894,2)="15"),LEFT(TH!O4894,3)&lt;&gt;"111",'152-CT'!$J$8=TH!F4894),"x","")</f>
        <v/>
      </c>
      <c r="AC5390" s="75" t="str">
        <f>IF(AND(OR(LEFT(TH!N4894,2)="15",LEFT(TH!O4894,2)="15"),TK!$E$7=TH!F4894),"x","")</f>
        <v/>
      </c>
      <c r="AD5390" s="75" t="str">
        <f>IF(AND(N5390="1521",MONTH(C5390)='BK-NL'!$M$11),"x","")</f>
        <v/>
      </c>
      <c r="AE5390">
        <v>11</v>
      </c>
    </row>
    <row r="5391" spans="1:33" ht="16.5" customHeight="1">
      <c r="A5391" s="309" t="str">
        <f>IF(B5391&lt;&gt;"",IF(AND(B5391='IN-TC'!$S$4,OR(TH!N5378="1111",TH!O5378="1111")),TH!D5378,""),"")</f>
        <v/>
      </c>
      <c r="B5391" s="1243">
        <f t="shared" si="1352"/>
        <v>11</v>
      </c>
      <c r="C5391" s="292">
        <f t="shared" si="1353"/>
        <v>43055</v>
      </c>
      <c r="D5391" s="292"/>
      <c r="E5391" s="292">
        <v>43055</v>
      </c>
      <c r="F5391" s="1010" t="s">
        <v>1881</v>
      </c>
      <c r="G5391" s="925"/>
      <c r="H5391" s="311" t="s">
        <v>1890</v>
      </c>
      <c r="I5391" s="373"/>
      <c r="J5391" s="926"/>
      <c r="K5391" s="373"/>
      <c r="L5391" s="379"/>
      <c r="M5391" s="927">
        <v>3577949000</v>
      </c>
      <c r="N5391" s="295" t="s">
        <v>8</v>
      </c>
      <c r="O5391" s="295" t="s">
        <v>63</v>
      </c>
      <c r="P5391" s="75" t="str">
        <f>IF(AND('331-CT'!$E$7=TH!H4357,OR(N5391="331",O5391="331")),"x","")</f>
        <v/>
      </c>
      <c r="Q5391" s="75" t="str">
        <f>IF(AND(B5391='111'!$L$11,OR($N5391=$Q$7,$O5391=$Q$7)),"x","")</f>
        <v/>
      </c>
      <c r="R5391" s="75" t="str">
        <f>IF(AND($N5391=$Q$7,$B5391&lt;'111'!$L$11),"x","")</f>
        <v/>
      </c>
      <c r="S5391" s="75" t="str">
        <f>IF(AND($O5391=$Q$7,$B5391&lt;'111'!$L$11),"x","")</f>
        <v>x</v>
      </c>
      <c r="T5391" s="75" t="str">
        <f>IF(ISERROR(FIND('112'!$M$9,G5391,1)),"",IF((AND(FIND('112'!$M$9,G5391,1)&gt;=1,B5391='112'!$K$9,OR($N5391='112'!$I$6,$O5391='112'!$I$6))),"x",""))</f>
        <v/>
      </c>
      <c r="U5391" s="75" t="str">
        <f>IF(ISERROR(FIND('112'!$M$9,G5391,1)),"",IF((AND(LEFT(G5391,2)=LEFT('112'!$M$9,2),B5391&lt;'112'!$K$9,$N5391='112'!$I$6)),"x",""))</f>
        <v/>
      </c>
      <c r="V5391" s="75" t="str">
        <f>IF(ISERROR(FIND('112'!$M$9,G5391,1)),"",IF((AND(RIGHT(G5391,2)=RIGHT('112'!$M$9,2),B5391&lt;'112'!$K$9,$O5391='112'!$I$6)),"x",""))</f>
        <v/>
      </c>
      <c r="W5391" s="75" t="str">
        <f>IF(AND('341-CT'!$H$9=H5391,OR(LEFT(N5391,3)=$W$7,LEFT(O5391,3)=$W$7)),"x","")</f>
        <v/>
      </c>
      <c r="X5391" s="75" t="str">
        <f>IF(OR(TH!N4357=TH!$X$7,O5391=TH!$X$7),"x","")</f>
        <v/>
      </c>
      <c r="Y5391" s="75" t="str">
        <f>IF(AND(OR(N5391="131",O5391="131"),H5391='131-CT'!$H$9),"x","")</f>
        <v/>
      </c>
      <c r="Z5391" s="75"/>
      <c r="AA5391" s="75" t="str">
        <f>IF(AND(MONTH(E5391)='IN-NX'!$J$5,'IN-NX'!$D$7=D5391),"x","")</f>
        <v/>
      </c>
      <c r="AB5391" s="75" t="str">
        <f>IF(AND(OR(LEFT(TH!N4357,2)="15",LEFT(TH!O4357,2)="15"),LEFT(TH!O4357,3)&lt;&gt;"111",'152-CT'!$J$8=TH!F4357),"x","")</f>
        <v/>
      </c>
      <c r="AC5391" s="75" t="str">
        <f>IF(AND(OR(LEFT(TH!N4357,2)="15",LEFT(TH!O4357,2)="15"),TK!$E$7=TH!F4357),"x","")</f>
        <v/>
      </c>
      <c r="AD5391" s="75" t="str">
        <f>IF(AND(N5391="1521",MONTH(C5391)='BK-NL'!$M$11),"x","")</f>
        <v/>
      </c>
    </row>
    <row r="5392" spans="1:33" ht="16.5" customHeight="1">
      <c r="A5392" s="309" t="str">
        <f>IF(B5392&lt;&gt;"",IF(AND(B5392='IN-TC'!$S$4,OR(TH!N5379="1111",TH!O5379="1111")),TH!D5379,""),"")</f>
        <v/>
      </c>
      <c r="B5392" s="1243">
        <f t="shared" si="1352"/>
        <v>11</v>
      </c>
      <c r="C5392" s="292">
        <f t="shared" si="1353"/>
        <v>43055</v>
      </c>
      <c r="D5392" s="292"/>
      <c r="E5392" s="292">
        <v>43055</v>
      </c>
      <c r="F5392" s="1010" t="s">
        <v>1883</v>
      </c>
      <c r="G5392" s="925"/>
      <c r="H5392" s="311"/>
      <c r="I5392" s="373"/>
      <c r="J5392" s="926"/>
      <c r="K5392" s="373"/>
      <c r="L5392" s="379"/>
      <c r="M5392" s="927">
        <v>1650000</v>
      </c>
      <c r="N5392" s="295" t="s">
        <v>101</v>
      </c>
      <c r="O5392" s="295" t="s">
        <v>63</v>
      </c>
      <c r="P5392" s="75" t="str">
        <f>IF(AND('331-CT'!$E$7=TH!H4358,OR(N5392="331",O5392="331")),"x","")</f>
        <v/>
      </c>
      <c r="Q5392" s="75" t="str">
        <f>IF(AND(B5392='111'!$L$11,OR($N5392=$Q$7,$O5392=$Q$7)),"x","")</f>
        <v/>
      </c>
      <c r="R5392" s="75" t="str">
        <f>IF(AND($N5392=$Q$7,$B5392&lt;'111'!$L$11),"x","")</f>
        <v/>
      </c>
      <c r="S5392" s="75" t="str">
        <f>IF(AND($O5392=$Q$7,$B5392&lt;'111'!$L$11),"x","")</f>
        <v>x</v>
      </c>
      <c r="T5392" s="75" t="str">
        <f>IF(ISERROR(FIND('112'!$M$9,G5392,1)),"",IF((AND(FIND('112'!$M$9,G5392,1)&gt;=1,B5392='112'!$K$9,OR($N5392='112'!$I$6,$O5392='112'!$I$6))),"x",""))</f>
        <v/>
      </c>
      <c r="U5392" s="75" t="str">
        <f>IF(ISERROR(FIND('112'!$M$9,G5392,1)),"",IF((AND(LEFT(G5392,2)=LEFT('112'!$M$9,2),B5392&lt;'112'!$K$9,$N5392='112'!$I$6)),"x",""))</f>
        <v/>
      </c>
      <c r="V5392" s="75" t="str">
        <f>IF(ISERROR(FIND('112'!$M$9,G5392,1)),"",IF((AND(RIGHT(G5392,2)=RIGHT('112'!$M$9,2),B5392&lt;'112'!$K$9,$O5392='112'!$I$6)),"x",""))</f>
        <v/>
      </c>
      <c r="W5392" s="75" t="str">
        <f>IF(AND('341-CT'!$H$9=H5392,OR(LEFT(N5392,3)=$W$7,LEFT(O5392,3)=$W$7)),"x","")</f>
        <v/>
      </c>
      <c r="X5392" s="75" t="str">
        <f>IF(OR(TH!N4358=TH!$X$7,O5392=TH!$X$7),"x","")</f>
        <v/>
      </c>
      <c r="Y5392" s="75" t="str">
        <f>IF(AND(OR(N5392="131",O5392="131"),H5392='131-CT'!$H$9),"x","")</f>
        <v/>
      </c>
      <c r="Z5392" s="75"/>
      <c r="AA5392" s="75" t="str">
        <f>IF(AND(MONTH(E5392)='IN-NX'!$J$5,'IN-NX'!$D$7=D5392),"x","")</f>
        <v/>
      </c>
      <c r="AB5392" s="75" t="str">
        <f>IF(AND(OR(LEFT(TH!N4358,2)="15",LEFT(TH!O4358,2)="15"),LEFT(TH!O4358,3)&lt;&gt;"111",'152-CT'!$J$8=TH!F4358),"x","")</f>
        <v/>
      </c>
      <c r="AC5392" s="75" t="str">
        <f>IF(AND(OR(LEFT(TH!N4358,2)="15",LEFT(TH!O4358,2)="15"),TK!$E$7=TH!F4358),"x","")</f>
        <v/>
      </c>
      <c r="AD5392" s="75" t="str">
        <f>IF(AND(N5392="1521",MONTH(C5392)='BK-NL'!$M$11),"x","")</f>
        <v/>
      </c>
    </row>
    <row r="5393" spans="1:33" ht="16.5" customHeight="1">
      <c r="A5393" s="309" t="str">
        <f>IF(B5393&lt;&gt;"",IF(AND(B5393='IN-TC'!$S$4,OR(TH!N5380="1111",TH!O5380="1111")),TH!D5380,""),"")</f>
        <v/>
      </c>
      <c r="B5393" s="1339">
        <f t="shared" si="1352"/>
        <v>11</v>
      </c>
      <c r="C5393" s="292">
        <f t="shared" si="1353"/>
        <v>43055</v>
      </c>
      <c r="D5393" s="71"/>
      <c r="E5393" s="59">
        <v>43055</v>
      </c>
      <c r="F5393" s="72" t="s">
        <v>3032</v>
      </c>
      <c r="G5393" s="72" t="s">
        <v>332</v>
      </c>
      <c r="H5393" s="73" t="s">
        <v>1880</v>
      </c>
      <c r="I5393" s="371"/>
      <c r="J5393" s="378"/>
      <c r="K5393" s="371"/>
      <c r="L5393" s="377"/>
      <c r="M5393" s="74">
        <v>2200000000</v>
      </c>
      <c r="N5393" s="75" t="s">
        <v>262</v>
      </c>
      <c r="O5393" s="75" t="s">
        <v>63</v>
      </c>
      <c r="P5393" s="75" t="str">
        <f>IF(AND('331-CT'!$E$7=TH!H7036,OR(N5393="331",O5393="331")),"x","")</f>
        <v/>
      </c>
      <c r="Q5393" s="75" t="str">
        <f>IF(AND(B5393='111'!$L$11,OR($N5393=$Q$7,$O5393=$Q$7)),"x","")</f>
        <v/>
      </c>
      <c r="R5393" s="75" t="str">
        <f>IF(AND($N5393=$Q$7,$B5393&lt;'111'!$L$11),"x","")</f>
        <v/>
      </c>
      <c r="S5393" s="75" t="str">
        <f>IF(AND($O5393=$Q$7,$B5393&lt;'111'!$L$11),"x","")</f>
        <v>x</v>
      </c>
      <c r="T5393" s="75" t="str">
        <f>IF(ISERROR(FIND('112'!$M$9,G5393,1)),"",IF((AND(FIND('112'!$M$9,G5393,1)&gt;=1,B5393='112'!$K$9,OR($N5393='112'!$I$6,$O5393='112'!$I$6))),"x",""))</f>
        <v/>
      </c>
      <c r="U5393" s="75" t="str">
        <f>IF(ISERROR(FIND('112'!$M$9,G5393,1)),"",IF((AND(LEFT(G5393,2)=LEFT('112'!$M$9,2),B5393&lt;'112'!$K$9,$N5393='112'!$I$6)),"x",""))</f>
        <v/>
      </c>
      <c r="V5393" s="75" t="str">
        <f>IF(ISERROR(FIND('112'!$M$9,G5393,1)),"",IF((AND(RIGHT(G5393,2)=RIGHT('112'!$M$9,2),B5393&lt;'112'!$K$9,$O5393='112'!$I$6)),"x",""))</f>
        <v/>
      </c>
      <c r="W5393" s="75" t="str">
        <f>IF(AND('341-CT'!$H$9=H5393,OR(LEFT(N5393,3)=$W$7,LEFT(O5393,3)=$W$7)),"x","")</f>
        <v/>
      </c>
      <c r="X5393" s="75" t="str">
        <f>IF(OR(TH!N7036=TH!$X$7,O5393=TH!$X$7),"x","")</f>
        <v/>
      </c>
      <c r="Y5393" s="75" t="str">
        <f>IF(AND(OR(N5393="131",O5393="131"),H5393='131-CT'!$H$9),"x","")</f>
        <v/>
      </c>
      <c r="Z5393" s="75"/>
      <c r="AA5393" s="75" t="str">
        <f>IF(AND(MONTH(E5393)='IN-NX'!$J$5,'IN-NX'!$D$7=D5393),"x","")</f>
        <v/>
      </c>
      <c r="AB5393" s="75" t="str">
        <f>IF(AND(OR(LEFT(TH!N7036,2)="15",LEFT(TH!O7036,2)="15"),LEFT(TH!O7036,3)&lt;&gt;"111",'152-CT'!$J$8=TH!F7036),"x","")</f>
        <v/>
      </c>
      <c r="AC5393" s="75" t="str">
        <f>IF(AND(OR(LEFT(TH!N7036,2)="15",LEFT(TH!O7036,2)="15"),TK!$E$7=TH!F7036),"x","")</f>
        <v/>
      </c>
      <c r="AD5393" s="75" t="str">
        <f>IF(AND(N5393="1521",MONTH(C5393)='BK-NL'!$M$11),"x","")</f>
        <v/>
      </c>
      <c r="AE5393" s="1264"/>
      <c r="AF5393" s="1264"/>
      <c r="AG5393" s="1264"/>
    </row>
    <row r="5394" spans="1:33" ht="16.5" customHeight="1">
      <c r="A5394" s="309" t="str">
        <f>IF(B5394&lt;&gt;"",IF(AND(B5394='IN-TC'!$S$4,OR(TH!N5381="1111",TH!O5381="1111")),TH!D5381,""),"")</f>
        <v/>
      </c>
      <c r="B5394" s="1339">
        <f t="shared" si="1352"/>
        <v>11</v>
      </c>
      <c r="C5394" s="292">
        <f t="shared" si="1353"/>
        <v>43055</v>
      </c>
      <c r="D5394" s="71"/>
      <c r="E5394" s="59">
        <v>43055</v>
      </c>
      <c r="F5394" s="72" t="s">
        <v>3032</v>
      </c>
      <c r="G5394" s="72" t="s">
        <v>1899</v>
      </c>
      <c r="H5394" s="73" t="s">
        <v>1879</v>
      </c>
      <c r="I5394" s="371"/>
      <c r="J5394" s="377"/>
      <c r="K5394" s="371"/>
      <c r="L5394" s="377"/>
      <c r="M5394" s="74">
        <v>3700000000</v>
      </c>
      <c r="N5394" s="75" t="s">
        <v>262</v>
      </c>
      <c r="O5394" s="75" t="s">
        <v>63</v>
      </c>
      <c r="P5394" s="75" t="str">
        <f>IF(AND('331-CT'!$E$7=TH!H7045,OR(N5394="331",O5394="331")),"x","")</f>
        <v/>
      </c>
      <c r="Q5394" s="75" t="str">
        <f>IF(AND(B5394='111'!$L$11,OR($N5394=$Q$7,$O5394=$Q$7)),"x","")</f>
        <v/>
      </c>
      <c r="R5394" s="75" t="str">
        <f>IF(AND($N5394=$Q$7,$B5394&lt;'111'!$L$11),"x","")</f>
        <v/>
      </c>
      <c r="S5394" s="75" t="str">
        <f>IF(AND($O5394=$Q$7,$B5394&lt;'111'!$L$11),"x","")</f>
        <v>x</v>
      </c>
      <c r="T5394" s="75" t="str">
        <f>IF(ISERROR(FIND('112'!$M$9,G5394,1)),"",IF((AND(FIND('112'!$M$9,G5394,1)&gt;=1,B5394='112'!$K$9,OR($N5394='112'!$I$6,$O5394='112'!$I$6))),"x",""))</f>
        <v/>
      </c>
      <c r="U5394" s="75" t="str">
        <f>IF(ISERROR(FIND('112'!$M$9,G5394,1)),"",IF((AND(LEFT(G5394,2)=LEFT('112'!$M$9,2),B5394&lt;'112'!$K$9,$N5394='112'!$I$6)),"x",""))</f>
        <v/>
      </c>
      <c r="V5394" s="75" t="str">
        <f>IF(ISERROR(FIND('112'!$M$9,G5394,1)),"",IF((AND(RIGHT(G5394,2)=RIGHT('112'!$M$9,2),B5394&lt;'112'!$K$9,$O5394='112'!$I$6)),"x",""))</f>
        <v/>
      </c>
      <c r="W5394" s="75" t="str">
        <f>IF(AND('341-CT'!$H$9=H5394,OR(LEFT(N5394,3)=$W$7,LEFT(O5394,3)=$W$7)),"x","")</f>
        <v/>
      </c>
      <c r="X5394" s="75" t="str">
        <f>IF(OR(TH!N7045=TH!$X$7,O5394=TH!$X$7),"x","")</f>
        <v/>
      </c>
      <c r="Y5394" s="75" t="str">
        <f>IF(AND(OR(N5394="131",O5394="131"),H5394='131-CT'!$H$9),"x","")</f>
        <v/>
      </c>
      <c r="Z5394" s="75"/>
      <c r="AA5394" s="75" t="str">
        <f>IF(AND(MONTH(E5394)='IN-NX'!$J$5,'IN-NX'!$D$7=D5394),"x","")</f>
        <v/>
      </c>
      <c r="AB5394" s="75" t="str">
        <f>IF(AND(OR(LEFT(TH!N7045,2)="15",LEFT(TH!O7045,2)="15"),LEFT(TH!O7045,3)&lt;&gt;"111",'152-CT'!$J$8=TH!F7045),"x","")</f>
        <v/>
      </c>
      <c r="AC5394" s="75" t="str">
        <f>IF(AND(OR(LEFT(TH!N7045,2)="15",LEFT(TH!O7045,2)="15"),TK!$E$7=TH!F7045),"x","")</f>
        <v/>
      </c>
      <c r="AD5394" s="75" t="str">
        <f>IF(AND(N5394="1521",MONTH(C5394)='BK-NL'!$M$11),"x","")</f>
        <v/>
      </c>
      <c r="AE5394" s="1264"/>
      <c r="AF5394" s="1264"/>
      <c r="AG5394" s="1264"/>
    </row>
    <row r="5395" spans="1:33" ht="16.5" customHeight="1">
      <c r="A5395" s="309" t="str">
        <f>IF(B5395&lt;&gt;"",IF(AND(B5395='IN-TC'!$S$4,OR(TH!N5702="1111",TH!O5702="1111")),TH!D5702,""),"")</f>
        <v/>
      </c>
      <c r="B5395" s="1339">
        <f t="shared" ref="B5395:B5458" si="1354">IF(C5395&lt;&gt;"",MONTH(C5395),"")</f>
        <v>11</v>
      </c>
      <c r="C5395" s="292">
        <f t="shared" si="1353"/>
        <v>43055</v>
      </c>
      <c r="D5395" s="71"/>
      <c r="E5395" s="71">
        <v>43055</v>
      </c>
      <c r="F5395" s="72" t="s">
        <v>3010</v>
      </c>
      <c r="G5395" s="72" t="s">
        <v>332</v>
      </c>
      <c r="H5395" s="73" t="s">
        <v>1880</v>
      </c>
      <c r="I5395" s="371"/>
      <c r="J5395" s="378"/>
      <c r="K5395" s="371"/>
      <c r="L5395" s="377"/>
      <c r="M5395" s="74">
        <v>96406600</v>
      </c>
      <c r="N5395" s="75" t="s">
        <v>63</v>
      </c>
      <c r="O5395" s="75" t="s">
        <v>262</v>
      </c>
      <c r="P5395" s="75" t="str">
        <f>IF(AND('331-CT'!$E$7=TH!H5702,OR(N5395="331",O5395="331")),"x","")</f>
        <v/>
      </c>
      <c r="Q5395" s="75" t="str">
        <f>IF(AND(B5395='111'!$L$11,OR($N5395=$Q$7,$O5395=$Q$7)),"x","")</f>
        <v/>
      </c>
      <c r="R5395" s="75" t="str">
        <f>IF(AND($N5395=$Q$7,$B5395&lt;'111'!$L$11),"x","")</f>
        <v>x</v>
      </c>
      <c r="S5395" s="75" t="str">
        <f>IF(AND($O5395=$Q$7,$B5395&lt;'111'!$L$11),"x","")</f>
        <v/>
      </c>
      <c r="T5395" s="75" t="str">
        <f>IF(ISERROR(FIND('112'!$M$9,G5395,1)),"",IF((AND(FIND('112'!$M$9,G5395,1)&gt;=1,B5395='112'!$K$9,OR($N5395='112'!$I$6,$O5395='112'!$I$6))),"x",""))</f>
        <v/>
      </c>
      <c r="U5395" s="75" t="str">
        <f>IF(ISERROR(FIND('112'!$M$9,G5395,1)),"",IF((AND(LEFT(G5395,2)=LEFT('112'!$M$9,2),B5395&lt;'112'!$K$9,$N5395='112'!$I$6)),"x",""))</f>
        <v/>
      </c>
      <c r="V5395" s="75" t="str">
        <f>IF(ISERROR(FIND('112'!$M$9,G5395,1)),"",IF((AND(RIGHT(G5395,2)=RIGHT('112'!$M$9,2),B5395&lt;'112'!$K$9,$O5395='112'!$I$6)),"x",""))</f>
        <v/>
      </c>
      <c r="W5395" s="75" t="str">
        <f>IF(AND('341-CT'!$H$9=H5395,OR(LEFT(N5395,3)=$W$7,LEFT(O5395,3)=$W$7)),"x","")</f>
        <v/>
      </c>
      <c r="X5395" s="75" t="str">
        <f>IF(OR(TH!N5702=TH!$X$7,O5395=TH!$X$7),"x","")</f>
        <v>x</v>
      </c>
      <c r="Y5395" s="75" t="str">
        <f>IF(AND(OR(N5395="131",O5395="131"),H5395='131-CT'!$H$9),"x","")</f>
        <v/>
      </c>
      <c r="Z5395" s="75"/>
      <c r="AA5395" s="75" t="str">
        <f>IF(AND(MONTH(E5395)='IN-NX'!$J$5,'IN-NX'!$D$7=D5395),"x","")</f>
        <v/>
      </c>
      <c r="AB5395" s="75" t="str">
        <f>IF(AND(OR(LEFT(TH!N5702,2)="15",LEFT(TH!O5702,2)="15"),LEFT(TH!O5702,3)&lt;&gt;"111",'152-CT'!$J$8=TH!F5702),"x","")</f>
        <v/>
      </c>
      <c r="AC5395" s="75" t="str">
        <f>IF(AND(OR(LEFT(TH!N5702,2)="15",LEFT(TH!O5702,2)="15"),TK!$E$7=TH!F5702),"x","")</f>
        <v/>
      </c>
      <c r="AD5395" s="75" t="str">
        <f>IF(AND(N5395="1521",MONTH(C5395)='BK-NL'!$M$11),"x","")</f>
        <v/>
      </c>
      <c r="AE5395" s="1264"/>
      <c r="AF5395" s="1264"/>
      <c r="AG5395" s="1264"/>
    </row>
    <row r="5396" spans="1:33" ht="16.5" customHeight="1">
      <c r="A5396" s="309" t="str">
        <f>IF(B5396&lt;&gt;"",IF(AND(B5396='IN-TC'!$S$4,OR(TH!N5712="1111",TH!O5712="1111")),TH!D5712,""),"")</f>
        <v/>
      </c>
      <c r="B5396" s="1339">
        <f t="shared" si="1354"/>
        <v>11</v>
      </c>
      <c r="C5396" s="292">
        <f t="shared" si="1353"/>
        <v>43055</v>
      </c>
      <c r="D5396" s="71"/>
      <c r="E5396" s="71">
        <v>43055</v>
      </c>
      <c r="F5396" s="72" t="s">
        <v>3010</v>
      </c>
      <c r="G5396" s="72" t="s">
        <v>1899</v>
      </c>
      <c r="H5396" s="73" t="s">
        <v>1879</v>
      </c>
      <c r="I5396" s="371"/>
      <c r="J5396" s="378"/>
      <c r="K5396" s="371"/>
      <c r="L5396" s="377"/>
      <c r="M5396" s="74">
        <v>34300000</v>
      </c>
      <c r="N5396" s="75" t="s">
        <v>63</v>
      </c>
      <c r="O5396" s="75" t="s">
        <v>262</v>
      </c>
      <c r="P5396" s="75" t="str">
        <f>IF(AND('331-CT'!$E$7=TH!H5712,OR(N5396="331",O5396="331")),"x","")</f>
        <v/>
      </c>
      <c r="Q5396" s="75" t="str">
        <f>IF(AND(B5396='111'!$L$11,OR($N5396=$Q$7,$O5396=$Q$7)),"x","")</f>
        <v/>
      </c>
      <c r="R5396" s="75" t="str">
        <f>IF(AND($N5396=$Q$7,$B5396&lt;'111'!$L$11),"x","")</f>
        <v>x</v>
      </c>
      <c r="S5396" s="75" t="str">
        <f>IF(AND($O5396=$Q$7,$B5396&lt;'111'!$L$11),"x","")</f>
        <v/>
      </c>
      <c r="T5396" s="75" t="str">
        <f>IF(ISERROR(FIND('112'!$M$9,G5396,1)),"",IF((AND(FIND('112'!$M$9,G5396,1)&gt;=1,B5396='112'!$K$9,OR($N5396='112'!$I$6,$O5396='112'!$I$6))),"x",""))</f>
        <v/>
      </c>
      <c r="U5396" s="75" t="str">
        <f>IF(ISERROR(FIND('112'!$M$9,G5396,1)),"",IF((AND(LEFT(G5396,2)=LEFT('112'!$M$9,2),B5396&lt;'112'!$K$9,$N5396='112'!$I$6)),"x",""))</f>
        <v/>
      </c>
      <c r="V5396" s="75" t="str">
        <f>IF(ISERROR(FIND('112'!$M$9,G5396,1)),"",IF((AND(RIGHT(G5396,2)=RIGHT('112'!$M$9,2),B5396&lt;'112'!$K$9,$O5396='112'!$I$6)),"x",""))</f>
        <v/>
      </c>
      <c r="W5396" s="75" t="str">
        <f>IF(AND('341-CT'!$H$9=H5396,OR(LEFT(N5396,3)=$W$7,LEFT(O5396,3)=$W$7)),"x","")</f>
        <v/>
      </c>
      <c r="X5396" s="75" t="str">
        <f>IF(OR(TH!N5712=TH!$X$7,O5396=TH!$X$7),"x","")</f>
        <v>x</v>
      </c>
      <c r="Y5396" s="75" t="str">
        <f>IF(AND(OR(N5396="131",O5396="131"),H5396='131-CT'!$H$9),"x","")</f>
        <v/>
      </c>
      <c r="Z5396" s="75"/>
      <c r="AA5396" s="75" t="str">
        <f>IF(AND(MONTH(E5396)='IN-NX'!$J$5,'IN-NX'!$D$7=D5396),"x","")</f>
        <v/>
      </c>
      <c r="AB5396" s="75" t="str">
        <f>IF(AND(OR(LEFT(TH!N5712,2)="15",LEFT(TH!O5712,2)="15"),LEFT(TH!O5712,3)&lt;&gt;"111",'152-CT'!$J$8=TH!F5712),"x","")</f>
        <v/>
      </c>
      <c r="AC5396" s="75" t="str">
        <f>IF(AND(OR(LEFT(TH!N5712,2)="15",LEFT(TH!O5712,2)="15"),TK!$E$7=TH!F5712),"x","")</f>
        <v/>
      </c>
      <c r="AD5396" s="75" t="str">
        <f>IF(AND(N5396="1521",MONTH(C5396)='BK-NL'!$M$11),"x","")</f>
        <v/>
      </c>
      <c r="AE5396" s="1264"/>
      <c r="AF5396" s="1264"/>
      <c r="AG5396" s="1264"/>
    </row>
    <row r="5397" spans="1:33" ht="16.5" customHeight="1">
      <c r="A5397" s="309" t="str">
        <f>IF(B5397&lt;&gt;"",IF(AND(B5397='IN-TC'!$S$4,OR(TH!N5382="1111",TH!O5382="1111")),TH!D5382,""),"")</f>
        <v/>
      </c>
      <c r="B5397" s="1245">
        <f t="shared" si="1354"/>
        <v>11</v>
      </c>
      <c r="C5397" s="292">
        <f t="shared" si="1353"/>
        <v>43056</v>
      </c>
      <c r="D5397" s="59"/>
      <c r="E5397" s="59">
        <v>43056</v>
      </c>
      <c r="F5397" s="62" t="s">
        <v>959</v>
      </c>
      <c r="G5397" s="742" t="s">
        <v>2639</v>
      </c>
      <c r="H5397" s="67" t="s">
        <v>2308</v>
      </c>
      <c r="I5397" s="375"/>
      <c r="J5397" s="382"/>
      <c r="K5397" s="375"/>
      <c r="L5397" s="381"/>
      <c r="M5397" s="60">
        <v>935732</v>
      </c>
      <c r="N5397" s="61" t="s">
        <v>101</v>
      </c>
      <c r="O5397" s="61" t="s">
        <v>63</v>
      </c>
      <c r="P5397" s="75" t="str">
        <f>IF(AND('331-CT'!$E$7=TH!H4105,OR(N5397="331",O5397="331")),"x","")</f>
        <v/>
      </c>
      <c r="Q5397" s="75" t="str">
        <f>IF(AND(B5397='111'!$L$11,OR($N5397=$Q$7,$O5397=$Q$7)),"x","")</f>
        <v/>
      </c>
      <c r="R5397" s="75" t="str">
        <f>IF(AND($N5397=$Q$7,$B5397&lt;'111'!$L$11),"x","")</f>
        <v/>
      </c>
      <c r="S5397" s="75" t="str">
        <f>IF(AND($O5397=$Q$7,$B5397&lt;'111'!$L$11),"x","")</f>
        <v>x</v>
      </c>
      <c r="T5397" s="75" t="str">
        <f>IF(ISERROR(FIND('112'!$M$9,G5397,1)),"",IF((AND(FIND('112'!$M$9,G5397,1)&gt;=1,B5397='112'!$K$9,OR($N5397='112'!$I$6,$O5397='112'!$I$6))),"x",""))</f>
        <v/>
      </c>
      <c r="U5397" s="75" t="str">
        <f>IF(ISERROR(FIND('112'!$M$9,G5397,1)),"",IF((AND(LEFT(G5397,2)=LEFT('112'!$M$9,2),B5397&lt;'112'!$K$9,$N5397='112'!$I$6)),"x",""))</f>
        <v/>
      </c>
      <c r="V5397" s="75" t="str">
        <f>IF(ISERROR(FIND('112'!$M$9,G5397,1)),"",IF((AND(RIGHT(G5397,2)=RIGHT('112'!$M$9,2),B5397&lt;'112'!$K$9,$O5397='112'!$I$6)),"x",""))</f>
        <v/>
      </c>
      <c r="W5397" s="75" t="str">
        <f>IF(AND('341-CT'!$H$9=H5397,OR(LEFT(N5397,3)=$W$7,LEFT(O5397,3)=$W$7)),"x","")</f>
        <v/>
      </c>
      <c r="X5397" s="75" t="str">
        <f>IF(OR(TH!N4105=TH!$X$7,O5397=TH!$X$7),"x","")</f>
        <v/>
      </c>
      <c r="Y5397" s="75" t="str">
        <f>IF(AND(OR(N5397="131",O5397="131"),H5397='131-CT'!$H$9),"x","")</f>
        <v/>
      </c>
      <c r="Z5397" s="75"/>
      <c r="AA5397" s="75" t="str">
        <f>IF(AND(MONTH(E5397)='IN-NX'!$J$5,'IN-NX'!$D$7=D5397),"x","")</f>
        <v/>
      </c>
      <c r="AB5397" s="75" t="str">
        <f>IF(AND(OR(LEFT(TH!N4105,2)="15",LEFT(TH!O4105,2)="15"),LEFT(TH!O4105,3)&lt;&gt;"111",'152-CT'!$J$8=TH!F4105),"x","")</f>
        <v/>
      </c>
      <c r="AC5397" s="75" t="str">
        <f>IF(AND(OR(LEFT(TH!N4105,2)="15",LEFT(TH!O4105,2)="15"),TK!$E$7=TH!F4105),"x","")</f>
        <v/>
      </c>
      <c r="AD5397" s="75" t="str">
        <f>IF(AND(N5397="1521",MONTH(C5397)='BK-NL'!$M$11),"x","")</f>
        <v/>
      </c>
      <c r="AE5397">
        <v>11</v>
      </c>
    </row>
    <row r="5398" spans="1:33" ht="16.5" customHeight="1">
      <c r="A5398" s="309" t="str">
        <f>IF(B5398&lt;&gt;"",IF(AND(B5398='IN-TC'!$S$4,OR(TH!N5383="1111",TH!O5383="1111")),TH!D5383,""),"")</f>
        <v/>
      </c>
      <c r="B5398" s="1245">
        <f t="shared" si="1354"/>
        <v>11</v>
      </c>
      <c r="C5398" s="292">
        <f t="shared" si="1353"/>
        <v>43056</v>
      </c>
      <c r="D5398" s="59"/>
      <c r="E5398" s="59">
        <v>43056</v>
      </c>
      <c r="F5398" s="62" t="s">
        <v>960</v>
      </c>
      <c r="G5398" s="742" t="s">
        <v>2639</v>
      </c>
      <c r="H5398" s="67" t="s">
        <v>2308</v>
      </c>
      <c r="I5398" s="375"/>
      <c r="J5398" s="382"/>
      <c r="K5398" s="375"/>
      <c r="L5398" s="381"/>
      <c r="M5398" s="60">
        <v>93573</v>
      </c>
      <c r="N5398" s="61" t="s">
        <v>9</v>
      </c>
      <c r="O5398" s="61" t="s">
        <v>63</v>
      </c>
      <c r="P5398" s="75" t="str">
        <f>IF(AND('331-CT'!$E$7=TH!H4106,OR(N5398="331",O5398="331")),"x","")</f>
        <v/>
      </c>
      <c r="Q5398" s="75" t="str">
        <f>IF(AND(B5398='111'!$L$11,OR($N5398=$Q$7,$O5398=$Q$7)),"x","")</f>
        <v/>
      </c>
      <c r="R5398" s="75" t="str">
        <f>IF(AND($N5398=$Q$7,$B5398&lt;'111'!$L$11),"x","")</f>
        <v/>
      </c>
      <c r="S5398" s="75" t="str">
        <f>IF(AND($O5398=$Q$7,$B5398&lt;'111'!$L$11),"x","")</f>
        <v>x</v>
      </c>
      <c r="T5398" s="75" t="str">
        <f>IF(ISERROR(FIND('112'!$M$9,G5398,1)),"",IF((AND(FIND('112'!$M$9,G5398,1)&gt;=1,B5398='112'!$K$9,OR($N5398='112'!$I$6,$O5398='112'!$I$6))),"x",""))</f>
        <v/>
      </c>
      <c r="U5398" s="75" t="str">
        <f>IF(ISERROR(FIND('112'!$M$9,G5398,1)),"",IF((AND(LEFT(G5398,2)=LEFT('112'!$M$9,2),B5398&lt;'112'!$K$9,$N5398='112'!$I$6)),"x",""))</f>
        <v/>
      </c>
      <c r="V5398" s="75" t="str">
        <f>IF(ISERROR(FIND('112'!$M$9,G5398,1)),"",IF((AND(RIGHT(G5398,2)=RIGHT('112'!$M$9,2),B5398&lt;'112'!$K$9,$O5398='112'!$I$6)),"x",""))</f>
        <v/>
      </c>
      <c r="W5398" s="75" t="str">
        <f>IF(AND('341-CT'!$H$9=H5398,OR(LEFT(N5398,3)=$W$7,LEFT(O5398,3)=$W$7)),"x","")</f>
        <v/>
      </c>
      <c r="X5398" s="75" t="str">
        <f>IF(OR(TH!N4106=TH!$X$7,O5398=TH!$X$7),"x","")</f>
        <v/>
      </c>
      <c r="Y5398" s="75" t="str">
        <f>IF(AND(OR(N5398="131",O5398="131"),H5398='131-CT'!$H$9),"x","")</f>
        <v/>
      </c>
      <c r="Z5398" s="75"/>
      <c r="AA5398" s="75" t="str">
        <f>IF(AND(MONTH(E5398)='IN-NX'!$J$5,'IN-NX'!$D$7=D5398),"x","")</f>
        <v/>
      </c>
      <c r="AB5398" s="75" t="str">
        <f>IF(AND(OR(LEFT(TH!N4106,2)="15",LEFT(TH!O4106,2)="15"),LEFT(TH!O4106,3)&lt;&gt;"111",'152-CT'!$J$8=TH!F4106),"x","")</f>
        <v/>
      </c>
      <c r="AC5398" s="75" t="str">
        <f>IF(AND(OR(LEFT(TH!N4106,2)="15",LEFT(TH!O4106,2)="15"),TK!$E$7=TH!F4106),"x","")</f>
        <v/>
      </c>
      <c r="AD5398" s="75" t="str">
        <f>IF(AND(N5398="1521",MONTH(C5398)='BK-NL'!$M$11),"x","")</f>
        <v/>
      </c>
      <c r="AE5398">
        <v>11</v>
      </c>
    </row>
    <row r="5399" spans="1:33" ht="16.5" customHeight="1">
      <c r="A5399" s="309" t="str">
        <f>IF(B5399&lt;&gt;"",IF(AND(B5399='IN-TC'!$S$4,OR(TH!N5384="1111",TH!O5384="1111")),TH!D5384,""),"")</f>
        <v/>
      </c>
      <c r="B5399" s="1245">
        <f t="shared" si="1354"/>
        <v>11</v>
      </c>
      <c r="C5399" s="292">
        <f t="shared" si="1353"/>
        <v>43056</v>
      </c>
      <c r="D5399" s="59" t="s">
        <v>902</v>
      </c>
      <c r="E5399" s="59">
        <v>43056</v>
      </c>
      <c r="F5399" s="67" t="s">
        <v>897</v>
      </c>
      <c r="G5399" s="62" t="s">
        <v>1713</v>
      </c>
      <c r="H5399" s="67" t="s">
        <v>740</v>
      </c>
      <c r="I5399" s="373"/>
      <c r="J5399" s="379"/>
      <c r="K5399" s="373"/>
      <c r="L5399" s="379"/>
      <c r="M5399" s="60">
        <v>36960000</v>
      </c>
      <c r="N5399" s="61" t="s">
        <v>8</v>
      </c>
      <c r="O5399" s="61" t="s">
        <v>26</v>
      </c>
      <c r="P5399" s="75" t="str">
        <f>IF(AND('331-CT'!$E$7=TH!H4538,OR(N5399="331",O5399="331")),"x","")</f>
        <v/>
      </c>
      <c r="Q5399" s="75" t="str">
        <f>IF(AND(B5399='111'!$L$11,OR($N5399=$Q$7,$O5399=$Q$7)),"x","")</f>
        <v/>
      </c>
      <c r="R5399" s="75" t="str">
        <f>IF(AND($N5399=$Q$7,$B5399&lt;'111'!$L$11),"x","")</f>
        <v/>
      </c>
      <c r="S5399" s="75" t="str">
        <f>IF(AND($O5399=$Q$7,$B5399&lt;'111'!$L$11),"x","")</f>
        <v/>
      </c>
      <c r="T5399" s="75" t="str">
        <f>IF(ISERROR(FIND('112'!$M$9,G5399,1)),"",IF((AND(FIND('112'!$M$9,G5399,1)&gt;=1,B5399='112'!$K$9,OR($N5399='112'!$I$6,$O5399='112'!$I$6))),"x",""))</f>
        <v/>
      </c>
      <c r="U5399" s="75" t="str">
        <f>IF(ISERROR(FIND('112'!$M$9,G5399,1)),"",IF((AND(LEFT(G5399,2)=LEFT('112'!$M$9,2),B5399&lt;'112'!$K$9,$N5399='112'!$I$6)),"x",""))</f>
        <v/>
      </c>
      <c r="V5399" s="75" t="str">
        <f>IF(ISERROR(FIND('112'!$M$9,G5399,1)),"",IF((AND(RIGHT(G5399,2)=RIGHT('112'!$M$9,2),B5399&lt;'112'!$K$9,$O5399='112'!$I$6)),"x",""))</f>
        <v/>
      </c>
      <c r="W5399" s="75" t="str">
        <f>IF(AND('341-CT'!$H$9=H5399,OR(LEFT(N5399,3)=$W$7,LEFT(O5399,3)=$W$7)),"x","")</f>
        <v/>
      </c>
      <c r="X5399" s="75" t="str">
        <f>IF(OR(TH!N4538=TH!$X$7,O5399=TH!$X$7),"x","")</f>
        <v/>
      </c>
      <c r="Y5399" s="75" t="str">
        <f>IF(AND(OR(N5399="131",O5399="131"),H5399='131-CT'!$H$9),"x","")</f>
        <v/>
      </c>
      <c r="Z5399" s="75"/>
      <c r="AA5399" s="75" t="str">
        <f>IF(AND(MONTH(E5399)='IN-NX'!$J$5,'IN-NX'!$D$7=D5399),"x","")</f>
        <v/>
      </c>
      <c r="AB5399" s="75" t="str">
        <f>IF(AND(OR(LEFT(TH!N4538,2)="15",LEFT(TH!O4538,2)="15"),LEFT(TH!O4538,3)&lt;&gt;"111",'152-CT'!$J$8=TH!F4538),"x","")</f>
        <v/>
      </c>
      <c r="AC5399" s="75" t="str">
        <f>IF(AND(OR(LEFT(TH!N4538,2)="15",LEFT(TH!O4538,2)="15"),TK!$E$7=TH!F4538),"x","")</f>
        <v/>
      </c>
      <c r="AD5399" s="75" t="str">
        <f>IF(AND(N5399="1521",MONTH(C5399)='BK-NL'!$M$11),"x","")</f>
        <v/>
      </c>
      <c r="AE5399" s="1053"/>
      <c r="AF5399" s="1053"/>
      <c r="AG5399" s="1053"/>
    </row>
    <row r="5400" spans="1:33" ht="16.5" customHeight="1">
      <c r="A5400" s="309" t="str">
        <f>IF(B5400&lt;&gt;"",IF(AND(B5400='IN-TC'!$S$4,OR(TH!N5385="1111",TH!O5385="1111")),TH!D5385,""),"")</f>
        <v/>
      </c>
      <c r="B5400" s="1245">
        <f t="shared" si="1354"/>
        <v>11</v>
      </c>
      <c r="C5400" s="292">
        <f t="shared" si="1353"/>
        <v>43056</v>
      </c>
      <c r="D5400" s="59" t="s">
        <v>902</v>
      </c>
      <c r="E5400" s="59">
        <v>43056</v>
      </c>
      <c r="F5400" s="67" t="s">
        <v>870</v>
      </c>
      <c r="G5400" s="62" t="s">
        <v>1713</v>
      </c>
      <c r="H5400" s="67" t="s">
        <v>1771</v>
      </c>
      <c r="I5400" s="375"/>
      <c r="J5400" s="381"/>
      <c r="K5400" s="60"/>
      <c r="L5400" s="381"/>
      <c r="M5400" s="60">
        <v>15000</v>
      </c>
      <c r="N5400" s="61" t="s">
        <v>101</v>
      </c>
      <c r="O5400" s="61" t="s">
        <v>26</v>
      </c>
      <c r="P5400" s="75" t="str">
        <f>IF(AND('331-CT'!$E$7=TH!H4539,OR(N5400="331",O5400="331")),"x","")</f>
        <v/>
      </c>
      <c r="Q5400" s="75" t="str">
        <f>IF(AND(B5400='111'!$L$11,OR($N5400=$Q$7,$O5400=$Q$7)),"x","")</f>
        <v/>
      </c>
      <c r="R5400" s="75" t="str">
        <f>IF(AND($N5400=$Q$7,$B5400&lt;'111'!$L$11),"x","")</f>
        <v/>
      </c>
      <c r="S5400" s="75" t="str">
        <f>IF(AND($O5400=$Q$7,$B5400&lt;'111'!$L$11),"x","")</f>
        <v/>
      </c>
      <c r="T5400" s="75" t="str">
        <f>IF(ISERROR(FIND('112'!$M$9,G5400,1)),"",IF((AND(FIND('112'!$M$9,G5400,1)&gt;=1,B5400='112'!$K$9,OR($N5400='112'!$I$6,$O5400='112'!$I$6))),"x",""))</f>
        <v/>
      </c>
      <c r="U5400" s="75" t="str">
        <f>IF(ISERROR(FIND('112'!$M$9,G5400,1)),"",IF((AND(LEFT(G5400,2)=LEFT('112'!$M$9,2),B5400&lt;'112'!$K$9,$N5400='112'!$I$6)),"x",""))</f>
        <v/>
      </c>
      <c r="V5400" s="75" t="str">
        <f>IF(ISERROR(FIND('112'!$M$9,G5400,1)),"",IF((AND(RIGHT(G5400,2)=RIGHT('112'!$M$9,2),B5400&lt;'112'!$K$9,$O5400='112'!$I$6)),"x",""))</f>
        <v/>
      </c>
      <c r="W5400" s="75" t="str">
        <f>IF(AND('341-CT'!$H$9=H5400,OR(LEFT(N5400,3)=$W$7,LEFT(O5400,3)=$W$7)),"x","")</f>
        <v/>
      </c>
      <c r="X5400" s="75" t="str">
        <f>IF(OR(TH!N4539=TH!$X$7,O5400=TH!$X$7),"x","")</f>
        <v/>
      </c>
      <c r="Y5400" s="75" t="str">
        <f>IF(AND(OR(N5400="131",O5400="131"),H5400='131-CT'!$H$9),"x","")</f>
        <v/>
      </c>
      <c r="Z5400" s="75"/>
      <c r="AA5400" s="75" t="str">
        <f>IF(AND(MONTH(E5400)='IN-NX'!$J$5,'IN-NX'!$D$7=D5400),"x","")</f>
        <v/>
      </c>
      <c r="AB5400" s="75" t="str">
        <f>IF(AND(OR(LEFT(TH!N4539,2)="15",LEFT(TH!O4539,2)="15"),LEFT(TH!O4539,3)&lt;&gt;"111",'152-CT'!$J$8=TH!F4539),"x","")</f>
        <v/>
      </c>
      <c r="AC5400" s="75" t="str">
        <f>IF(AND(OR(LEFT(TH!N4539,2)="15",LEFT(TH!O4539,2)="15"),TK!$E$7=TH!F4539),"x","")</f>
        <v/>
      </c>
      <c r="AD5400" s="75" t="str">
        <f>IF(AND(N5400="1521",MONTH(C5400)='BK-NL'!$M$11),"x","")</f>
        <v/>
      </c>
      <c r="AE5400" s="1053">
        <v>11</v>
      </c>
      <c r="AF5400" s="1053"/>
      <c r="AG5400" s="1053"/>
    </row>
    <row r="5401" spans="1:33" s="1053" customFormat="1" ht="16.5" customHeight="1">
      <c r="A5401" s="309" t="str">
        <f>IF(B5401&lt;&gt;"",IF(AND(B5401='IN-TC'!$S$4,OR(TH!N5386="1111",TH!O5386="1111")),TH!D5386,""),"")</f>
        <v/>
      </c>
      <c r="B5401" s="1245">
        <f t="shared" si="1354"/>
        <v>11</v>
      </c>
      <c r="C5401" s="292">
        <f t="shared" si="1353"/>
        <v>43056</v>
      </c>
      <c r="D5401" s="59" t="s">
        <v>902</v>
      </c>
      <c r="E5401" s="59">
        <v>43056</v>
      </c>
      <c r="F5401" s="67" t="s">
        <v>898</v>
      </c>
      <c r="G5401" s="62" t="s">
        <v>1713</v>
      </c>
      <c r="H5401" s="67" t="s">
        <v>1771</v>
      </c>
      <c r="I5401" s="375"/>
      <c r="J5401" s="381"/>
      <c r="K5401" s="375"/>
      <c r="L5401" s="381"/>
      <c r="M5401" s="60">
        <v>1500</v>
      </c>
      <c r="N5401" s="61" t="s">
        <v>9</v>
      </c>
      <c r="O5401" s="61" t="s">
        <v>26</v>
      </c>
      <c r="P5401" s="75" t="str">
        <f>IF(AND('331-CT'!$E$7=TH!H4540,OR(N5401="331",O5401="331")),"x","")</f>
        <v/>
      </c>
      <c r="Q5401" s="75" t="str">
        <f>IF(AND(B5401='111'!$L$11,OR($N5401=$Q$7,$O5401=$Q$7)),"x","")</f>
        <v/>
      </c>
      <c r="R5401" s="75" t="str">
        <f>IF(AND($N5401=$Q$7,$B5401&lt;'111'!$L$11),"x","")</f>
        <v/>
      </c>
      <c r="S5401" s="75" t="str">
        <f>IF(AND($O5401=$Q$7,$B5401&lt;'111'!$L$11),"x","")</f>
        <v/>
      </c>
      <c r="T5401" s="75" t="str">
        <f>IF(ISERROR(FIND('112'!$M$9,G5401,1)),"",IF((AND(FIND('112'!$M$9,G5401,1)&gt;=1,B5401='112'!$K$9,OR($N5401='112'!$I$6,$O5401='112'!$I$6))),"x",""))</f>
        <v/>
      </c>
      <c r="U5401" s="75" t="str">
        <f>IF(ISERROR(FIND('112'!$M$9,G5401,1)),"",IF((AND(LEFT(G5401,2)=LEFT('112'!$M$9,2),B5401&lt;'112'!$K$9,$N5401='112'!$I$6)),"x",""))</f>
        <v/>
      </c>
      <c r="V5401" s="75" t="str">
        <f>IF(ISERROR(FIND('112'!$M$9,G5401,1)),"",IF((AND(RIGHT(G5401,2)=RIGHT('112'!$M$9,2),B5401&lt;'112'!$K$9,$O5401='112'!$I$6)),"x",""))</f>
        <v/>
      </c>
      <c r="W5401" s="75" t="str">
        <f>IF(AND('341-CT'!$H$9=H5401,OR(LEFT(N5401,3)=$W$7,LEFT(O5401,3)=$W$7)),"x","")</f>
        <v/>
      </c>
      <c r="X5401" s="75" t="str">
        <f>IF(OR(TH!N4540=TH!$X$7,O5401=TH!$X$7),"x","")</f>
        <v/>
      </c>
      <c r="Y5401" s="75" t="str">
        <f>IF(AND(OR(N5401="131",O5401="131"),H5401='131-CT'!$H$9),"x","")</f>
        <v/>
      </c>
      <c r="Z5401" s="75"/>
      <c r="AA5401" s="75" t="str">
        <f>IF(AND(MONTH(E5401)='IN-NX'!$J$5,'IN-NX'!$D$7=D5401),"x","")</f>
        <v/>
      </c>
      <c r="AB5401" s="75" t="str">
        <f>IF(AND(OR(LEFT(TH!N4540,2)="15",LEFT(TH!O4540,2)="15"),LEFT(TH!O4540,3)&lt;&gt;"111",'152-CT'!$J$8=TH!F4540),"x","")</f>
        <v/>
      </c>
      <c r="AC5401" s="75" t="str">
        <f>IF(AND(OR(LEFT(TH!N4540,2)="15",LEFT(TH!O4540,2)="15"),TK!$E$7=TH!F4540),"x","")</f>
        <v/>
      </c>
      <c r="AD5401" s="75" t="str">
        <f>IF(AND(N5401="1521",MONTH(C5401)='BK-NL'!$M$11),"x","")</f>
        <v/>
      </c>
      <c r="AE5401" s="1053">
        <v>11</v>
      </c>
    </row>
    <row r="5402" spans="1:33" s="1053" customFormat="1" ht="16.5" customHeight="1">
      <c r="A5402" s="309" t="str">
        <f>IF(B5402&lt;&gt;"",IF(AND(B5402='IN-TC'!$S$4,OR(TH!N5387="1111",TH!O5387="1111")),TH!D5387,""),"")</f>
        <v/>
      </c>
      <c r="B5402" s="1245">
        <f t="shared" si="1354"/>
        <v>11</v>
      </c>
      <c r="C5402" s="292">
        <f t="shared" si="1353"/>
        <v>43056</v>
      </c>
      <c r="D5402" s="59" t="s">
        <v>902</v>
      </c>
      <c r="E5402" s="59">
        <v>43056</v>
      </c>
      <c r="F5402" s="67" t="s">
        <v>2765</v>
      </c>
      <c r="G5402" s="62" t="s">
        <v>1713</v>
      </c>
      <c r="H5402" s="67" t="s">
        <v>567</v>
      </c>
      <c r="I5402" s="373"/>
      <c r="J5402" s="379"/>
      <c r="K5402" s="373"/>
      <c r="L5402" s="379"/>
      <c r="M5402" s="60">
        <v>200000000</v>
      </c>
      <c r="N5402" s="61" t="s">
        <v>8</v>
      </c>
      <c r="O5402" s="61" t="s">
        <v>26</v>
      </c>
      <c r="P5402" s="75" t="str">
        <f>IF(AND('331-CT'!$E$7=TH!H4541,OR(N5402="331",O5402="331")),"x","")</f>
        <v/>
      </c>
      <c r="Q5402" s="75" t="str">
        <f>IF(AND(B5402='111'!$L$11,OR($N5402=$Q$7,$O5402=$Q$7)),"x","")</f>
        <v/>
      </c>
      <c r="R5402" s="75" t="str">
        <f>IF(AND($N5402=$Q$7,$B5402&lt;'111'!$L$11),"x","")</f>
        <v/>
      </c>
      <c r="S5402" s="75" t="str">
        <f>IF(AND($O5402=$Q$7,$B5402&lt;'111'!$L$11),"x","")</f>
        <v/>
      </c>
      <c r="T5402" s="75" t="str">
        <f>IF(ISERROR(FIND('112'!$M$9,G5402,1)),"",IF((AND(FIND('112'!$M$9,G5402,1)&gt;=1,B5402='112'!$K$9,OR($N5402='112'!$I$6,$O5402='112'!$I$6))),"x",""))</f>
        <v/>
      </c>
      <c r="U5402" s="75" t="str">
        <f>IF(ISERROR(FIND('112'!$M$9,G5402,1)),"",IF((AND(LEFT(G5402,2)=LEFT('112'!$M$9,2),B5402&lt;'112'!$K$9,$N5402='112'!$I$6)),"x",""))</f>
        <v/>
      </c>
      <c r="V5402" s="75" t="str">
        <f>IF(ISERROR(FIND('112'!$M$9,G5402,1)),"",IF((AND(RIGHT(G5402,2)=RIGHT('112'!$M$9,2),B5402&lt;'112'!$K$9,$O5402='112'!$I$6)),"x",""))</f>
        <v/>
      </c>
      <c r="W5402" s="75" t="str">
        <f>IF(AND('341-CT'!$H$9=H5402,OR(LEFT(N5402,3)=$W$7,LEFT(O5402,3)=$W$7)),"x","")</f>
        <v/>
      </c>
      <c r="X5402" s="75" t="str">
        <f>IF(OR(TH!N4541=TH!$X$7,O5402=TH!$X$7),"x","")</f>
        <v/>
      </c>
      <c r="Y5402" s="75" t="str">
        <f>IF(AND(OR(N5402="131",O5402="131"),H5402='131-CT'!$H$9),"x","")</f>
        <v/>
      </c>
      <c r="Z5402" s="75"/>
      <c r="AA5402" s="75" t="str">
        <f>IF(AND(MONTH(E5402)='IN-NX'!$J$5,'IN-NX'!$D$7=D5402),"x","")</f>
        <v/>
      </c>
      <c r="AB5402" s="75" t="str">
        <f>IF(AND(OR(LEFT(TH!N4541,2)="15",LEFT(TH!O4541,2)="15"),LEFT(TH!O4541,3)&lt;&gt;"111",'152-CT'!$J$8=TH!F4541),"x","")</f>
        <v/>
      </c>
      <c r="AC5402" s="75" t="str">
        <f>IF(AND(OR(LEFT(TH!N4541,2)="15",LEFT(TH!O4541,2)="15"),TK!$E$7=TH!F4541),"x","")</f>
        <v/>
      </c>
      <c r="AD5402" s="75" t="str">
        <f>IF(AND(N5402="1521",MONTH(C5402)='BK-NL'!$M$11),"x","")</f>
        <v/>
      </c>
    </row>
    <row r="5403" spans="1:33" ht="16.5" customHeight="1">
      <c r="A5403" s="309" t="str">
        <f>IF(B5403&lt;&gt;"",IF(AND(B5403='IN-TC'!$S$4,OR(TH!N5388="1111",TH!O5388="1111")),TH!D5388,""),"")</f>
        <v/>
      </c>
      <c r="B5403" s="1245">
        <f t="shared" si="1354"/>
        <v>11</v>
      </c>
      <c r="C5403" s="292">
        <f t="shared" si="1353"/>
        <v>43056</v>
      </c>
      <c r="D5403" s="59" t="s">
        <v>902</v>
      </c>
      <c r="E5403" s="59">
        <v>43056</v>
      </c>
      <c r="F5403" s="67" t="s">
        <v>870</v>
      </c>
      <c r="G5403" s="62" t="s">
        <v>1713</v>
      </c>
      <c r="H5403" s="67" t="s">
        <v>1771</v>
      </c>
      <c r="I5403" s="375"/>
      <c r="J5403" s="381"/>
      <c r="K5403" s="60"/>
      <c r="L5403" s="381"/>
      <c r="M5403" s="60">
        <v>20000</v>
      </c>
      <c r="N5403" s="61" t="s">
        <v>101</v>
      </c>
      <c r="O5403" s="61" t="s">
        <v>26</v>
      </c>
      <c r="P5403" s="75" t="str">
        <f>IF(AND('331-CT'!$E$7=TH!H4542,OR(N5403="331",O5403="331")),"x","")</f>
        <v/>
      </c>
      <c r="Q5403" s="75" t="str">
        <f>IF(AND(B5403='111'!$L$11,OR($N5403=$Q$7,$O5403=$Q$7)),"x","")</f>
        <v/>
      </c>
      <c r="R5403" s="75" t="str">
        <f>IF(AND($N5403=$Q$7,$B5403&lt;'111'!$L$11),"x","")</f>
        <v/>
      </c>
      <c r="S5403" s="75" t="str">
        <f>IF(AND($O5403=$Q$7,$B5403&lt;'111'!$L$11),"x","")</f>
        <v/>
      </c>
      <c r="T5403" s="75" t="str">
        <f>IF(ISERROR(FIND('112'!$M$9,G5403,1)),"",IF((AND(FIND('112'!$M$9,G5403,1)&gt;=1,B5403='112'!$K$9,OR($N5403='112'!$I$6,$O5403='112'!$I$6))),"x",""))</f>
        <v/>
      </c>
      <c r="U5403" s="75" t="str">
        <f>IF(ISERROR(FIND('112'!$M$9,G5403,1)),"",IF((AND(LEFT(G5403,2)=LEFT('112'!$M$9,2),B5403&lt;'112'!$K$9,$N5403='112'!$I$6)),"x",""))</f>
        <v/>
      </c>
      <c r="V5403" s="75" t="str">
        <f>IF(ISERROR(FIND('112'!$M$9,G5403,1)),"",IF((AND(RIGHT(G5403,2)=RIGHT('112'!$M$9,2),B5403&lt;'112'!$K$9,$O5403='112'!$I$6)),"x",""))</f>
        <v/>
      </c>
      <c r="W5403" s="75" t="str">
        <f>IF(AND('341-CT'!$H$9=H5403,OR(LEFT(N5403,3)=$W$7,LEFT(O5403,3)=$W$7)),"x","")</f>
        <v/>
      </c>
      <c r="X5403" s="75" t="str">
        <f>IF(OR(TH!N4542=TH!$X$7,O5403=TH!$X$7),"x","")</f>
        <v/>
      </c>
      <c r="Y5403" s="75" t="str">
        <f>IF(AND(OR(N5403="131",O5403="131"),H5403='131-CT'!$H$9),"x","")</f>
        <v/>
      </c>
      <c r="Z5403" s="75"/>
      <c r="AA5403" s="75" t="str">
        <f>IF(AND(MONTH(E5403)='IN-NX'!$J$5,'IN-NX'!$D$7=D5403),"x","")</f>
        <v/>
      </c>
      <c r="AB5403" s="75" t="str">
        <f>IF(AND(OR(LEFT(TH!N4542,2)="15",LEFT(TH!O4542,2)="15"),LEFT(TH!O4542,3)&lt;&gt;"111",'152-CT'!$J$8=TH!F4542),"x","")</f>
        <v/>
      </c>
      <c r="AC5403" s="75" t="str">
        <f>IF(AND(OR(LEFT(TH!N4542,2)="15",LEFT(TH!O4542,2)="15"),TK!$E$7=TH!F4542),"x","")</f>
        <v/>
      </c>
      <c r="AD5403" s="75" t="str">
        <f>IF(AND(N5403="1521",MONTH(C5403)='BK-NL'!$M$11),"x","")</f>
        <v/>
      </c>
      <c r="AE5403" s="1053">
        <v>11</v>
      </c>
      <c r="AF5403" s="1053"/>
      <c r="AG5403" s="1053"/>
    </row>
    <row r="5404" spans="1:33" ht="16.5" customHeight="1">
      <c r="A5404" s="309" t="str">
        <f>IF(B5404&lt;&gt;"",IF(AND(B5404='IN-TC'!$S$4,OR(TH!N5389="1111",TH!O5389="1111")),TH!D5389,""),"")</f>
        <v/>
      </c>
      <c r="B5404" s="1245">
        <f t="shared" si="1354"/>
        <v>11</v>
      </c>
      <c r="C5404" s="292">
        <f t="shared" si="1353"/>
        <v>43056</v>
      </c>
      <c r="D5404" s="59" t="s">
        <v>902</v>
      </c>
      <c r="E5404" s="59">
        <v>43056</v>
      </c>
      <c r="F5404" s="67" t="s">
        <v>898</v>
      </c>
      <c r="G5404" s="62" t="s">
        <v>1713</v>
      </c>
      <c r="H5404" s="67" t="s">
        <v>1771</v>
      </c>
      <c r="I5404" s="375"/>
      <c r="J5404" s="381"/>
      <c r="K5404" s="375"/>
      <c r="L5404" s="381"/>
      <c r="M5404" s="60">
        <v>2000</v>
      </c>
      <c r="N5404" s="61" t="s">
        <v>9</v>
      </c>
      <c r="O5404" s="61" t="s">
        <v>26</v>
      </c>
      <c r="P5404" s="75" t="str">
        <f>IF(AND('331-CT'!$E$7=TH!H4543,OR(N5404="331",O5404="331")),"x","")</f>
        <v/>
      </c>
      <c r="Q5404" s="75" t="str">
        <f>IF(AND(B5404='111'!$L$11,OR($N5404=$Q$7,$O5404=$Q$7)),"x","")</f>
        <v/>
      </c>
      <c r="R5404" s="75" t="str">
        <f>IF(AND($N5404=$Q$7,$B5404&lt;'111'!$L$11),"x","")</f>
        <v/>
      </c>
      <c r="S5404" s="75" t="str">
        <f>IF(AND($O5404=$Q$7,$B5404&lt;'111'!$L$11),"x","")</f>
        <v/>
      </c>
      <c r="T5404" s="75" t="str">
        <f>IF(ISERROR(FIND('112'!$M$9,G5404,1)),"",IF((AND(FIND('112'!$M$9,G5404,1)&gt;=1,B5404='112'!$K$9,OR($N5404='112'!$I$6,$O5404='112'!$I$6))),"x",""))</f>
        <v/>
      </c>
      <c r="U5404" s="75" t="str">
        <f>IF(ISERROR(FIND('112'!$M$9,G5404,1)),"",IF((AND(LEFT(G5404,2)=LEFT('112'!$M$9,2),B5404&lt;'112'!$K$9,$N5404='112'!$I$6)),"x",""))</f>
        <v/>
      </c>
      <c r="V5404" s="75" t="str">
        <f>IF(ISERROR(FIND('112'!$M$9,G5404,1)),"",IF((AND(RIGHT(G5404,2)=RIGHT('112'!$M$9,2),B5404&lt;'112'!$K$9,$O5404='112'!$I$6)),"x",""))</f>
        <v/>
      </c>
      <c r="W5404" s="75" t="str">
        <f>IF(AND('341-CT'!$H$9=H5404,OR(LEFT(N5404,3)=$W$7,LEFT(O5404,3)=$W$7)),"x","")</f>
        <v/>
      </c>
      <c r="X5404" s="75" t="str">
        <f>IF(OR(TH!N4543=TH!$X$7,O5404=TH!$X$7),"x","")</f>
        <v/>
      </c>
      <c r="Y5404" s="75" t="str">
        <f>IF(AND(OR(N5404="131",O5404="131"),H5404='131-CT'!$H$9),"x","")</f>
        <v/>
      </c>
      <c r="Z5404" s="75"/>
      <c r="AA5404" s="75" t="str">
        <f>IF(AND(MONTH(E5404)='IN-NX'!$J$5,'IN-NX'!$D$7=D5404),"x","")</f>
        <v/>
      </c>
      <c r="AB5404" s="75" t="str">
        <f>IF(AND(OR(LEFT(TH!N4543,2)="15",LEFT(TH!O4543,2)="15"),LEFT(TH!O4543,3)&lt;&gt;"111",'152-CT'!$J$8=TH!F4543),"x","")</f>
        <v/>
      </c>
      <c r="AC5404" s="75" t="str">
        <f>IF(AND(OR(LEFT(TH!N4543,2)="15",LEFT(TH!O4543,2)="15"),TK!$E$7=TH!F4543),"x","")</f>
        <v/>
      </c>
      <c r="AD5404" s="75" t="str">
        <f>IF(AND(N5404="1521",MONTH(C5404)='BK-NL'!$M$11),"x","")</f>
        <v/>
      </c>
      <c r="AE5404" s="1053">
        <v>11</v>
      </c>
      <c r="AF5404" s="1053"/>
      <c r="AG5404" s="1053"/>
    </row>
    <row r="5405" spans="1:33" ht="16.5" customHeight="1">
      <c r="A5405" s="309" t="str">
        <f>IF(B5405&lt;&gt;"",IF(AND(B5405='IN-TC'!$S$4,OR(TH!N5390="1111",TH!O5390="1111")),TH!D5390,""),"")</f>
        <v/>
      </c>
      <c r="B5405" s="1245">
        <f t="shared" si="1354"/>
        <v>11</v>
      </c>
      <c r="C5405" s="292">
        <f t="shared" si="1353"/>
        <v>43056</v>
      </c>
      <c r="D5405" s="59" t="s">
        <v>902</v>
      </c>
      <c r="E5405" s="59">
        <v>43056</v>
      </c>
      <c r="F5405" s="67" t="s">
        <v>1674</v>
      </c>
      <c r="G5405" s="62" t="s">
        <v>1713</v>
      </c>
      <c r="H5405" s="311" t="s">
        <v>749</v>
      </c>
      <c r="I5405" s="373"/>
      <c r="J5405" s="379"/>
      <c r="K5405" s="373"/>
      <c r="L5405" s="379"/>
      <c r="M5405" s="60">
        <v>17271806</v>
      </c>
      <c r="N5405" s="61" t="s">
        <v>8</v>
      </c>
      <c r="O5405" s="61" t="s">
        <v>26</v>
      </c>
      <c r="P5405" s="75" t="str">
        <f>IF(AND('331-CT'!$E$7=TH!H4544,OR(N5405="331",O5405="331")),"x","")</f>
        <v/>
      </c>
      <c r="Q5405" s="75" t="str">
        <f>IF(AND(B5405='111'!$L$11,OR($N5405=$Q$7,$O5405=$Q$7)),"x","")</f>
        <v/>
      </c>
      <c r="R5405" s="75" t="str">
        <f>IF(AND($N5405=$Q$7,$B5405&lt;'111'!$L$11),"x","")</f>
        <v/>
      </c>
      <c r="S5405" s="75" t="str">
        <f>IF(AND($O5405=$Q$7,$B5405&lt;'111'!$L$11),"x","")</f>
        <v/>
      </c>
      <c r="T5405" s="75" t="str">
        <f>IF(ISERROR(FIND('112'!$M$9,G5405,1)),"",IF((AND(FIND('112'!$M$9,G5405,1)&gt;=1,B5405='112'!$K$9,OR($N5405='112'!$I$6,$O5405='112'!$I$6))),"x",""))</f>
        <v/>
      </c>
      <c r="U5405" s="75" t="str">
        <f>IF(ISERROR(FIND('112'!$M$9,G5405,1)),"",IF((AND(LEFT(G5405,2)=LEFT('112'!$M$9,2),B5405&lt;'112'!$K$9,$N5405='112'!$I$6)),"x",""))</f>
        <v/>
      </c>
      <c r="V5405" s="75" t="str">
        <f>IF(ISERROR(FIND('112'!$M$9,G5405,1)),"",IF((AND(RIGHT(G5405,2)=RIGHT('112'!$M$9,2),B5405&lt;'112'!$K$9,$O5405='112'!$I$6)),"x",""))</f>
        <v/>
      </c>
      <c r="W5405" s="75" t="str">
        <f>IF(AND('341-CT'!$H$9=H5405,OR(LEFT(N5405,3)=$W$7,LEFT(O5405,3)=$W$7)),"x","")</f>
        <v/>
      </c>
      <c r="X5405" s="75" t="str">
        <f>IF(OR(TH!N4544=TH!$X$7,O5405=TH!$X$7),"x","")</f>
        <v/>
      </c>
      <c r="Y5405" s="75" t="str">
        <f>IF(AND(OR(N5405="131",O5405="131"),H5405='131-CT'!$H$9),"x","")</f>
        <v/>
      </c>
      <c r="Z5405" s="75"/>
      <c r="AA5405" s="75" t="str">
        <f>IF(AND(MONTH(E5405)='IN-NX'!$J$5,'IN-NX'!$D$7=D5405),"x","")</f>
        <v/>
      </c>
      <c r="AB5405" s="75" t="str">
        <f>IF(AND(OR(LEFT(TH!N4544,2)="15",LEFT(TH!O4544,2)="15"),LEFT(TH!O4544,3)&lt;&gt;"111",'152-CT'!$J$8=TH!F4544),"x","")</f>
        <v/>
      </c>
      <c r="AC5405" s="75" t="str">
        <f>IF(AND(OR(LEFT(TH!N4544,2)="15",LEFT(TH!O4544,2)="15"),TK!$E$7=TH!F4544),"x","")</f>
        <v/>
      </c>
      <c r="AD5405" s="75" t="str">
        <f>IF(AND(N5405="1521",MONTH(C5405)='BK-NL'!$M$11),"x","")</f>
        <v/>
      </c>
      <c r="AE5405" s="1053"/>
      <c r="AF5405" s="1053"/>
      <c r="AG5405" s="1053"/>
    </row>
    <row r="5406" spans="1:33" ht="16.5" customHeight="1">
      <c r="A5406" s="309" t="str">
        <f>IF(B5406&lt;&gt;"",IF(AND(B5406='IN-TC'!$S$4,OR(TH!N5391="1111",TH!O5391="1111")),TH!D5391,""),"")</f>
        <v/>
      </c>
      <c r="B5406" s="1245">
        <f t="shared" si="1354"/>
        <v>11</v>
      </c>
      <c r="C5406" s="292">
        <f t="shared" si="1353"/>
        <v>43056</v>
      </c>
      <c r="D5406" s="59" t="s">
        <v>902</v>
      </c>
      <c r="E5406" s="59">
        <v>43056</v>
      </c>
      <c r="F5406" s="67" t="s">
        <v>870</v>
      </c>
      <c r="G5406" s="62" t="s">
        <v>1713</v>
      </c>
      <c r="H5406" s="67" t="s">
        <v>1771</v>
      </c>
      <c r="I5406" s="375"/>
      <c r="J5406" s="381"/>
      <c r="K5406" s="60"/>
      <c r="L5406" s="381"/>
      <c r="M5406" s="60">
        <v>15000</v>
      </c>
      <c r="N5406" s="61" t="s">
        <v>101</v>
      </c>
      <c r="O5406" s="61" t="s">
        <v>26</v>
      </c>
      <c r="P5406" s="75" t="str">
        <f>IF(AND('331-CT'!$E$7=TH!H4545,OR(N5406="331",O5406="331")),"x","")</f>
        <v/>
      </c>
      <c r="Q5406" s="75" t="str">
        <f>IF(AND(B5406='111'!$L$11,OR($N5406=$Q$7,$O5406=$Q$7)),"x","")</f>
        <v/>
      </c>
      <c r="R5406" s="75" t="str">
        <f>IF(AND($N5406=$Q$7,$B5406&lt;'111'!$L$11),"x","")</f>
        <v/>
      </c>
      <c r="S5406" s="75" t="str">
        <f>IF(AND($O5406=$Q$7,$B5406&lt;'111'!$L$11),"x","")</f>
        <v/>
      </c>
      <c r="T5406" s="75" t="str">
        <f>IF(ISERROR(FIND('112'!$M$9,G5406,1)),"",IF((AND(FIND('112'!$M$9,G5406,1)&gt;=1,B5406='112'!$K$9,OR($N5406='112'!$I$6,$O5406='112'!$I$6))),"x",""))</f>
        <v/>
      </c>
      <c r="U5406" s="75" t="str">
        <f>IF(ISERROR(FIND('112'!$M$9,G5406,1)),"",IF((AND(LEFT(G5406,2)=LEFT('112'!$M$9,2),B5406&lt;'112'!$K$9,$N5406='112'!$I$6)),"x",""))</f>
        <v/>
      </c>
      <c r="V5406" s="75" t="str">
        <f>IF(ISERROR(FIND('112'!$M$9,G5406,1)),"",IF((AND(RIGHT(G5406,2)=RIGHT('112'!$M$9,2),B5406&lt;'112'!$K$9,$O5406='112'!$I$6)),"x",""))</f>
        <v/>
      </c>
      <c r="W5406" s="75" t="str">
        <f>IF(AND('341-CT'!$H$9=H5406,OR(LEFT(N5406,3)=$W$7,LEFT(O5406,3)=$W$7)),"x","")</f>
        <v/>
      </c>
      <c r="X5406" s="75" t="str">
        <f>IF(OR(TH!N4545=TH!$X$7,O5406=TH!$X$7),"x","")</f>
        <v/>
      </c>
      <c r="Y5406" s="75" t="str">
        <f>IF(AND(OR(N5406="131",O5406="131"),H5406='131-CT'!$H$9),"x","")</f>
        <v/>
      </c>
      <c r="Z5406" s="75"/>
      <c r="AA5406" s="75" t="str">
        <f>IF(AND(MONTH(E5406)='IN-NX'!$J$5,'IN-NX'!$D$7=D5406),"x","")</f>
        <v/>
      </c>
      <c r="AB5406" s="75" t="str">
        <f>IF(AND(OR(LEFT(TH!N4545,2)="15",LEFT(TH!O4545,2)="15"),LEFT(TH!O4545,3)&lt;&gt;"111",'152-CT'!$J$8=TH!F4545),"x","")</f>
        <v/>
      </c>
      <c r="AC5406" s="75" t="str">
        <f>IF(AND(OR(LEFT(TH!N4545,2)="15",LEFT(TH!O4545,2)="15"),TK!$E$7=TH!F4545),"x","")</f>
        <v/>
      </c>
      <c r="AD5406" s="75" t="str">
        <f>IF(AND(N5406="1521",MONTH(C5406)='BK-NL'!$M$11),"x","")</f>
        <v/>
      </c>
      <c r="AE5406" s="1053">
        <v>11</v>
      </c>
      <c r="AF5406" s="1053"/>
      <c r="AG5406" s="1053"/>
    </row>
    <row r="5407" spans="1:33" ht="16.5" customHeight="1">
      <c r="A5407" s="309" t="str">
        <f>IF(B5407&lt;&gt;"",IF(AND(B5407='IN-TC'!$S$4,OR(TH!N5392="1111",TH!O5392="1111")),TH!D5392,""),"")</f>
        <v/>
      </c>
      <c r="B5407" s="1245">
        <f t="shared" si="1354"/>
        <v>11</v>
      </c>
      <c r="C5407" s="292">
        <f t="shared" si="1353"/>
        <v>43056</v>
      </c>
      <c r="D5407" s="59" t="s">
        <v>902</v>
      </c>
      <c r="E5407" s="59">
        <v>43056</v>
      </c>
      <c r="F5407" s="67" t="s">
        <v>898</v>
      </c>
      <c r="G5407" s="62" t="s">
        <v>1713</v>
      </c>
      <c r="H5407" s="67" t="s">
        <v>1771</v>
      </c>
      <c r="I5407" s="375"/>
      <c r="J5407" s="381"/>
      <c r="K5407" s="375"/>
      <c r="L5407" s="381"/>
      <c r="M5407" s="60">
        <v>1500</v>
      </c>
      <c r="N5407" s="61" t="s">
        <v>9</v>
      </c>
      <c r="O5407" s="61" t="s">
        <v>26</v>
      </c>
      <c r="P5407" s="75" t="str">
        <f>IF(AND('331-CT'!$E$7=TH!H4546,OR(N5407="331",O5407="331")),"x","")</f>
        <v/>
      </c>
      <c r="Q5407" s="75" t="str">
        <f>IF(AND(B5407='111'!$L$11,OR($N5407=$Q$7,$O5407=$Q$7)),"x","")</f>
        <v/>
      </c>
      <c r="R5407" s="75" t="str">
        <f>IF(AND($N5407=$Q$7,$B5407&lt;'111'!$L$11),"x","")</f>
        <v/>
      </c>
      <c r="S5407" s="75" t="str">
        <f>IF(AND($O5407=$Q$7,$B5407&lt;'111'!$L$11),"x","")</f>
        <v/>
      </c>
      <c r="T5407" s="75" t="str">
        <f>IF(ISERROR(FIND('112'!$M$9,G5407,1)),"",IF((AND(FIND('112'!$M$9,G5407,1)&gt;=1,B5407='112'!$K$9,OR($N5407='112'!$I$6,$O5407='112'!$I$6))),"x",""))</f>
        <v/>
      </c>
      <c r="U5407" s="75" t="str">
        <f>IF(ISERROR(FIND('112'!$M$9,G5407,1)),"",IF((AND(LEFT(G5407,2)=LEFT('112'!$M$9,2),B5407&lt;'112'!$K$9,$N5407='112'!$I$6)),"x",""))</f>
        <v/>
      </c>
      <c r="V5407" s="75" t="str">
        <f>IF(ISERROR(FIND('112'!$M$9,G5407,1)),"",IF((AND(RIGHT(G5407,2)=RIGHT('112'!$M$9,2),B5407&lt;'112'!$K$9,$O5407='112'!$I$6)),"x",""))</f>
        <v/>
      </c>
      <c r="W5407" s="75" t="str">
        <f>IF(AND('341-CT'!$H$9=H5407,OR(LEFT(N5407,3)=$W$7,LEFT(O5407,3)=$W$7)),"x","")</f>
        <v/>
      </c>
      <c r="X5407" s="75" t="str">
        <f>IF(OR(TH!N4546=TH!$X$7,O5407=TH!$X$7),"x","")</f>
        <v/>
      </c>
      <c r="Y5407" s="75" t="str">
        <f>IF(AND(OR(N5407="131",O5407="131"),H5407='131-CT'!$H$9),"x","")</f>
        <v/>
      </c>
      <c r="Z5407" s="75"/>
      <c r="AA5407" s="75" t="str">
        <f>IF(AND(MONTH(E5407)='IN-NX'!$J$5,'IN-NX'!$D$7=D5407),"x","")</f>
        <v/>
      </c>
      <c r="AB5407" s="75" t="str">
        <f>IF(AND(OR(LEFT(TH!N4546,2)="15",LEFT(TH!O4546,2)="15"),LEFT(TH!O4546,3)&lt;&gt;"111",'152-CT'!$J$8=TH!F4546),"x","")</f>
        <v/>
      </c>
      <c r="AC5407" s="75" t="str">
        <f>IF(AND(OR(LEFT(TH!N4546,2)="15",LEFT(TH!O4546,2)="15"),TK!$E$7=TH!F4546),"x","")</f>
        <v/>
      </c>
      <c r="AD5407" s="75" t="str">
        <f>IF(AND(N5407="1521",MONTH(C5407)='BK-NL'!$M$11),"x","")</f>
        <v/>
      </c>
      <c r="AE5407" s="1053">
        <v>11</v>
      </c>
      <c r="AF5407" s="1053"/>
      <c r="AG5407" s="1053"/>
    </row>
    <row r="5408" spans="1:33" ht="16.5" customHeight="1">
      <c r="A5408" s="309" t="str">
        <f>IF(B5408&lt;&gt;"",IF(AND(B5408='IN-TC'!$S$4,OR(TH!N5393="1111",TH!O5393="1111")),TH!D5393,""),"")</f>
        <v/>
      </c>
      <c r="B5408" s="1245">
        <f t="shared" si="1354"/>
        <v>11</v>
      </c>
      <c r="C5408" s="292">
        <f t="shared" si="1353"/>
        <v>43056</v>
      </c>
      <c r="D5408" s="59" t="s">
        <v>902</v>
      </c>
      <c r="E5408" s="59">
        <v>43056</v>
      </c>
      <c r="F5408" s="67" t="s">
        <v>897</v>
      </c>
      <c r="G5408" s="62" t="s">
        <v>1713</v>
      </c>
      <c r="H5408" s="7" t="s">
        <v>558</v>
      </c>
      <c r="I5408" s="373"/>
      <c r="J5408" s="379"/>
      <c r="K5408" s="373"/>
      <c r="L5408" s="379"/>
      <c r="M5408" s="60">
        <v>100000000</v>
      </c>
      <c r="N5408" s="61" t="s">
        <v>8</v>
      </c>
      <c r="O5408" s="61" t="s">
        <v>26</v>
      </c>
      <c r="P5408" s="75" t="str">
        <f>IF(AND('331-CT'!$E$7=TH!H4547,OR(N5408="331",O5408="331")),"x","")</f>
        <v/>
      </c>
      <c r="Q5408" s="75" t="str">
        <f>IF(AND(B5408='111'!$L$11,OR($N5408=$Q$7,$O5408=$Q$7)),"x","")</f>
        <v/>
      </c>
      <c r="R5408" s="75" t="str">
        <f>IF(AND($N5408=$Q$7,$B5408&lt;'111'!$L$11),"x","")</f>
        <v/>
      </c>
      <c r="S5408" s="75" t="str">
        <f>IF(AND($O5408=$Q$7,$B5408&lt;'111'!$L$11),"x","")</f>
        <v/>
      </c>
      <c r="T5408" s="75" t="str">
        <f>IF(ISERROR(FIND('112'!$M$9,G5408,1)),"",IF((AND(FIND('112'!$M$9,G5408,1)&gt;=1,B5408='112'!$K$9,OR($N5408='112'!$I$6,$O5408='112'!$I$6))),"x",""))</f>
        <v/>
      </c>
      <c r="U5408" s="75" t="str">
        <f>IF(ISERROR(FIND('112'!$M$9,G5408,1)),"",IF((AND(LEFT(G5408,2)=LEFT('112'!$M$9,2),B5408&lt;'112'!$K$9,$N5408='112'!$I$6)),"x",""))</f>
        <v/>
      </c>
      <c r="V5408" s="75" t="str">
        <f>IF(ISERROR(FIND('112'!$M$9,G5408,1)),"",IF((AND(RIGHT(G5408,2)=RIGHT('112'!$M$9,2),B5408&lt;'112'!$K$9,$O5408='112'!$I$6)),"x",""))</f>
        <v/>
      </c>
      <c r="W5408" s="75" t="str">
        <f>IF(AND('341-CT'!$H$9=H5408,OR(LEFT(N5408,3)=$W$7,LEFT(O5408,3)=$W$7)),"x","")</f>
        <v/>
      </c>
      <c r="X5408" s="75" t="str">
        <f>IF(OR(TH!N4547=TH!$X$7,O5408=TH!$X$7),"x","")</f>
        <v/>
      </c>
      <c r="Y5408" s="75" t="str">
        <f>IF(AND(OR(N5408="131",O5408="131"),H5408='131-CT'!$H$9),"x","")</f>
        <v/>
      </c>
      <c r="Z5408" s="75"/>
      <c r="AA5408" s="75" t="str">
        <f>IF(AND(MONTH(E5408)='IN-NX'!$J$5,'IN-NX'!$D$7=D5408),"x","")</f>
        <v/>
      </c>
      <c r="AB5408" s="75" t="str">
        <f>IF(AND(OR(LEFT(TH!N4547,2)="15",LEFT(TH!O4547,2)="15"),LEFT(TH!O4547,3)&lt;&gt;"111",'152-CT'!$J$8=TH!F4547),"x","")</f>
        <v/>
      </c>
      <c r="AC5408" s="75" t="str">
        <f>IF(AND(OR(LEFT(TH!N4547,2)="15",LEFT(TH!O4547,2)="15"),TK!$E$7=TH!F4547),"x","")</f>
        <v/>
      </c>
      <c r="AD5408" s="75" t="str">
        <f>IF(AND(N5408="1521",MONTH(C5408)='BK-NL'!$M$11),"x","")</f>
        <v/>
      </c>
      <c r="AE5408" s="1053"/>
      <c r="AF5408" s="1053"/>
      <c r="AG5408" s="1053"/>
    </row>
    <row r="5409" spans="1:33" ht="16.5" customHeight="1">
      <c r="A5409" s="309" t="str">
        <f>IF(B5409&lt;&gt;"",IF(AND(B5409='IN-TC'!$S$4,OR(TH!N5394="1111",TH!O5394="1111")),TH!D5394,""),"")</f>
        <v/>
      </c>
      <c r="B5409" s="1245">
        <f t="shared" si="1354"/>
        <v>11</v>
      </c>
      <c r="C5409" s="292">
        <f t="shared" si="1353"/>
        <v>43056</v>
      </c>
      <c r="D5409" s="59" t="s">
        <v>902</v>
      </c>
      <c r="E5409" s="59">
        <v>43056</v>
      </c>
      <c r="F5409" s="67" t="s">
        <v>870</v>
      </c>
      <c r="G5409" s="62" t="s">
        <v>1713</v>
      </c>
      <c r="H5409" s="67" t="s">
        <v>1771</v>
      </c>
      <c r="I5409" s="375"/>
      <c r="J5409" s="381"/>
      <c r="K5409" s="60"/>
      <c r="L5409" s="381"/>
      <c r="M5409" s="60">
        <v>15000</v>
      </c>
      <c r="N5409" s="61" t="s">
        <v>101</v>
      </c>
      <c r="O5409" s="61" t="s">
        <v>26</v>
      </c>
      <c r="P5409" s="75" t="str">
        <f>IF(AND('331-CT'!$E$7=TH!H4548,OR(N5409="331",O5409="331")),"x","")</f>
        <v/>
      </c>
      <c r="Q5409" s="75" t="str">
        <f>IF(AND(B5409='111'!$L$11,OR($N5409=$Q$7,$O5409=$Q$7)),"x","")</f>
        <v/>
      </c>
      <c r="R5409" s="75" t="str">
        <f>IF(AND($N5409=$Q$7,$B5409&lt;'111'!$L$11),"x","")</f>
        <v/>
      </c>
      <c r="S5409" s="75" t="str">
        <f>IF(AND($O5409=$Q$7,$B5409&lt;'111'!$L$11),"x","")</f>
        <v/>
      </c>
      <c r="T5409" s="75" t="str">
        <f>IF(ISERROR(FIND('112'!$M$9,G5409,1)),"",IF((AND(FIND('112'!$M$9,G5409,1)&gt;=1,B5409='112'!$K$9,OR($N5409='112'!$I$6,$O5409='112'!$I$6))),"x",""))</f>
        <v/>
      </c>
      <c r="U5409" s="75" t="str">
        <f>IF(ISERROR(FIND('112'!$M$9,G5409,1)),"",IF((AND(LEFT(G5409,2)=LEFT('112'!$M$9,2),B5409&lt;'112'!$K$9,$N5409='112'!$I$6)),"x",""))</f>
        <v/>
      </c>
      <c r="V5409" s="75" t="str">
        <f>IF(ISERROR(FIND('112'!$M$9,G5409,1)),"",IF((AND(RIGHT(G5409,2)=RIGHT('112'!$M$9,2),B5409&lt;'112'!$K$9,$O5409='112'!$I$6)),"x",""))</f>
        <v/>
      </c>
      <c r="W5409" s="75" t="str">
        <f>IF(AND('341-CT'!$H$9=H5409,OR(LEFT(N5409,3)=$W$7,LEFT(O5409,3)=$W$7)),"x","")</f>
        <v/>
      </c>
      <c r="X5409" s="75" t="str">
        <f>IF(OR(TH!N4548=TH!$X$7,O5409=TH!$X$7),"x","")</f>
        <v/>
      </c>
      <c r="Y5409" s="75" t="str">
        <f>IF(AND(OR(N5409="131",O5409="131"),H5409='131-CT'!$H$9),"x","")</f>
        <v/>
      </c>
      <c r="Z5409" s="75"/>
      <c r="AA5409" s="75" t="str">
        <f>IF(AND(MONTH(E5409)='IN-NX'!$J$5,'IN-NX'!$D$7=D5409),"x","")</f>
        <v/>
      </c>
      <c r="AB5409" s="75" t="str">
        <f>IF(AND(OR(LEFT(TH!N4548,2)="15",LEFT(TH!O4548,2)="15"),LEFT(TH!O4548,3)&lt;&gt;"111",'152-CT'!$J$8=TH!F4548),"x","")</f>
        <v/>
      </c>
      <c r="AC5409" s="75" t="str">
        <f>IF(AND(OR(LEFT(TH!N4548,2)="15",LEFT(TH!O4548,2)="15"),TK!$E$7=TH!F4548),"x","")</f>
        <v/>
      </c>
      <c r="AD5409" s="75" t="str">
        <f>IF(AND(N5409="1521",MONTH(C5409)='BK-NL'!$M$11),"x","")</f>
        <v/>
      </c>
      <c r="AE5409" s="1053">
        <v>11</v>
      </c>
      <c r="AF5409" s="1053"/>
      <c r="AG5409" s="1053"/>
    </row>
    <row r="5410" spans="1:33" ht="16.5" customHeight="1">
      <c r="A5410" s="309" t="str">
        <f>IF(B5410&lt;&gt;"",IF(AND(B5410='IN-TC'!$S$4,OR(TH!N5395="1111",TH!O5395="1111")),TH!D5395,""),"")</f>
        <v/>
      </c>
      <c r="B5410" s="1245">
        <f t="shared" si="1354"/>
        <v>11</v>
      </c>
      <c r="C5410" s="292">
        <f t="shared" si="1353"/>
        <v>43056</v>
      </c>
      <c r="D5410" s="59" t="s">
        <v>902</v>
      </c>
      <c r="E5410" s="59">
        <v>43056</v>
      </c>
      <c r="F5410" s="67" t="s">
        <v>898</v>
      </c>
      <c r="G5410" s="62" t="s">
        <v>1713</v>
      </c>
      <c r="H5410" s="67" t="s">
        <v>1771</v>
      </c>
      <c r="I5410" s="375"/>
      <c r="J5410" s="381"/>
      <c r="K5410" s="375"/>
      <c r="L5410" s="381"/>
      <c r="M5410" s="60">
        <v>1500</v>
      </c>
      <c r="N5410" s="61" t="s">
        <v>9</v>
      </c>
      <c r="O5410" s="61" t="s">
        <v>26</v>
      </c>
      <c r="P5410" s="75" t="str">
        <f>IF(AND('331-CT'!$E$7=TH!H4549,OR(N5410="331",O5410="331")),"x","")</f>
        <v/>
      </c>
      <c r="Q5410" s="75" t="str">
        <f>IF(AND(B5410='111'!$L$11,OR($N5410=$Q$7,$O5410=$Q$7)),"x","")</f>
        <v/>
      </c>
      <c r="R5410" s="75" t="str">
        <f>IF(AND($N5410=$Q$7,$B5410&lt;'111'!$L$11),"x","")</f>
        <v/>
      </c>
      <c r="S5410" s="75" t="str">
        <f>IF(AND($O5410=$Q$7,$B5410&lt;'111'!$L$11),"x","")</f>
        <v/>
      </c>
      <c r="T5410" s="75" t="str">
        <f>IF(ISERROR(FIND('112'!$M$9,G5410,1)),"",IF((AND(FIND('112'!$M$9,G5410,1)&gt;=1,B5410='112'!$K$9,OR($N5410='112'!$I$6,$O5410='112'!$I$6))),"x",""))</f>
        <v/>
      </c>
      <c r="U5410" s="75" t="str">
        <f>IF(ISERROR(FIND('112'!$M$9,G5410,1)),"",IF((AND(LEFT(G5410,2)=LEFT('112'!$M$9,2),B5410&lt;'112'!$K$9,$N5410='112'!$I$6)),"x",""))</f>
        <v/>
      </c>
      <c r="V5410" s="75" t="str">
        <f>IF(ISERROR(FIND('112'!$M$9,G5410,1)),"",IF((AND(RIGHT(G5410,2)=RIGHT('112'!$M$9,2),B5410&lt;'112'!$K$9,$O5410='112'!$I$6)),"x",""))</f>
        <v/>
      </c>
      <c r="W5410" s="75" t="str">
        <f>IF(AND('341-CT'!$H$9=H5410,OR(LEFT(N5410,3)=$W$7,LEFT(O5410,3)=$W$7)),"x","")</f>
        <v/>
      </c>
      <c r="X5410" s="75" t="str">
        <f>IF(OR(TH!N4549=TH!$X$7,O5410=TH!$X$7),"x","")</f>
        <v/>
      </c>
      <c r="Y5410" s="75" t="str">
        <f>IF(AND(OR(N5410="131",O5410="131"),H5410='131-CT'!$H$9),"x","")</f>
        <v/>
      </c>
      <c r="Z5410" s="75"/>
      <c r="AA5410" s="75" t="str">
        <f>IF(AND(MONTH(E5410)='IN-NX'!$J$5,'IN-NX'!$D$7=D5410),"x","")</f>
        <v/>
      </c>
      <c r="AB5410" s="75" t="str">
        <f>IF(AND(OR(LEFT(TH!N4549,2)="15",LEFT(TH!O4549,2)="15"),LEFT(TH!O4549,3)&lt;&gt;"111",'152-CT'!$J$8=TH!F4549),"x","")</f>
        <v/>
      </c>
      <c r="AC5410" s="75" t="str">
        <f>IF(AND(OR(LEFT(TH!N4549,2)="15",LEFT(TH!O4549,2)="15"),TK!$E$7=TH!F4549),"x","")</f>
        <v/>
      </c>
      <c r="AD5410" s="75" t="str">
        <f>IF(AND(N5410="1521",MONTH(C5410)='BK-NL'!$M$11),"x","")</f>
        <v/>
      </c>
      <c r="AE5410" s="1053">
        <v>11</v>
      </c>
      <c r="AF5410" s="1053"/>
      <c r="AG5410" s="1053"/>
    </row>
    <row r="5411" spans="1:33" ht="16.5" customHeight="1">
      <c r="A5411" s="309" t="str">
        <f>IF(B5411&lt;&gt;"",IF(AND(B5411='IN-TC'!$S$4,OR(TH!N5396="1111",TH!O5396="1111")),TH!D5396,""),"")</f>
        <v/>
      </c>
      <c r="B5411" s="1245">
        <f t="shared" si="1354"/>
        <v>11</v>
      </c>
      <c r="C5411" s="292">
        <f t="shared" si="1353"/>
        <v>43056</v>
      </c>
      <c r="D5411" s="59" t="s">
        <v>902</v>
      </c>
      <c r="E5411" s="59">
        <v>43056</v>
      </c>
      <c r="F5411" s="67" t="s">
        <v>1312</v>
      </c>
      <c r="G5411" s="62" t="s">
        <v>1713</v>
      </c>
      <c r="H5411" s="67" t="s">
        <v>750</v>
      </c>
      <c r="I5411" s="373"/>
      <c r="J5411" s="379"/>
      <c r="K5411" s="373"/>
      <c r="L5411" s="379"/>
      <c r="M5411" s="60">
        <v>35250000</v>
      </c>
      <c r="N5411" s="61" t="s">
        <v>8</v>
      </c>
      <c r="O5411" s="61" t="s">
        <v>26</v>
      </c>
      <c r="P5411" s="75" t="str">
        <f>IF(AND('331-CT'!$E$7=TH!H4550,OR(N5411="331",O5411="331")),"x","")</f>
        <v/>
      </c>
      <c r="Q5411" s="75" t="str">
        <f>IF(AND(B5411='111'!$L$11,OR($N5411=$Q$7,$O5411=$Q$7)),"x","")</f>
        <v/>
      </c>
      <c r="R5411" s="75" t="str">
        <f>IF(AND($N5411=$Q$7,$B5411&lt;'111'!$L$11),"x","")</f>
        <v/>
      </c>
      <c r="S5411" s="75" t="str">
        <f>IF(AND($O5411=$Q$7,$B5411&lt;'111'!$L$11),"x","")</f>
        <v/>
      </c>
      <c r="T5411" s="75" t="str">
        <f>IF(ISERROR(FIND('112'!$M$9,G5411,1)),"",IF((AND(FIND('112'!$M$9,G5411,1)&gt;=1,B5411='112'!$K$9,OR($N5411='112'!$I$6,$O5411='112'!$I$6))),"x",""))</f>
        <v/>
      </c>
      <c r="U5411" s="75" t="str">
        <f>IF(ISERROR(FIND('112'!$M$9,G5411,1)),"",IF((AND(LEFT(G5411,2)=LEFT('112'!$M$9,2),B5411&lt;'112'!$K$9,$N5411='112'!$I$6)),"x",""))</f>
        <v/>
      </c>
      <c r="V5411" s="75" t="str">
        <f>IF(ISERROR(FIND('112'!$M$9,G5411,1)),"",IF((AND(RIGHT(G5411,2)=RIGHT('112'!$M$9,2),B5411&lt;'112'!$K$9,$O5411='112'!$I$6)),"x",""))</f>
        <v/>
      </c>
      <c r="W5411" s="75" t="str">
        <f>IF(AND('341-CT'!$H$9=H5411,OR(LEFT(N5411,3)=$W$7,LEFT(O5411,3)=$W$7)),"x","")</f>
        <v/>
      </c>
      <c r="X5411" s="75" t="str">
        <f>IF(OR(TH!N4550=TH!$X$7,O5411=TH!$X$7),"x","")</f>
        <v/>
      </c>
      <c r="Y5411" s="75" t="str">
        <f>IF(AND(OR(N5411="131",O5411="131"),H5411='131-CT'!$H$9),"x","")</f>
        <v/>
      </c>
      <c r="Z5411" s="75"/>
      <c r="AA5411" s="75" t="str">
        <f>IF(AND(MONTH(E5411)='IN-NX'!$J$5,'IN-NX'!$D$7=D5411),"x","")</f>
        <v/>
      </c>
      <c r="AB5411" s="75" t="str">
        <f>IF(AND(OR(LEFT(TH!N4550,2)="15",LEFT(TH!O4550,2)="15"),LEFT(TH!O4550,3)&lt;&gt;"111",'152-CT'!$J$8=TH!F4550),"x","")</f>
        <v/>
      </c>
      <c r="AC5411" s="75" t="str">
        <f>IF(AND(OR(LEFT(TH!N4550,2)="15",LEFT(TH!O4550,2)="15"),TK!$E$7=TH!F4550),"x","")</f>
        <v/>
      </c>
      <c r="AD5411" s="75" t="str">
        <f>IF(AND(N5411="1521",MONTH(C5411)='BK-NL'!$M$11),"x","")</f>
        <v/>
      </c>
      <c r="AE5411" s="1053"/>
      <c r="AF5411" s="1053"/>
      <c r="AG5411" s="1053"/>
    </row>
    <row r="5412" spans="1:33" ht="16.5" customHeight="1">
      <c r="A5412" s="309" t="str">
        <f>IF(B5412&lt;&gt;"",IF(AND(B5412='IN-TC'!$S$4,OR(TH!N5397="1111",TH!O5397="1111")),TH!D5397,""),"")</f>
        <v/>
      </c>
      <c r="B5412" s="1245">
        <f t="shared" si="1354"/>
        <v>11</v>
      </c>
      <c r="C5412" s="292">
        <f t="shared" si="1353"/>
        <v>43056</v>
      </c>
      <c r="D5412" s="59" t="s">
        <v>902</v>
      </c>
      <c r="E5412" s="59">
        <v>43056</v>
      </c>
      <c r="F5412" s="67" t="s">
        <v>870</v>
      </c>
      <c r="G5412" s="62" t="s">
        <v>1713</v>
      </c>
      <c r="H5412" s="67" t="s">
        <v>1771</v>
      </c>
      <c r="I5412" s="375"/>
      <c r="J5412" s="381"/>
      <c r="K5412" s="60"/>
      <c r="L5412" s="381"/>
      <c r="M5412" s="60">
        <v>15000</v>
      </c>
      <c r="N5412" s="61" t="s">
        <v>101</v>
      </c>
      <c r="O5412" s="61" t="s">
        <v>26</v>
      </c>
      <c r="P5412" s="75" t="str">
        <f>IF(AND('331-CT'!$E$7=TH!H4551,OR(N5412="331",O5412="331")),"x","")</f>
        <v/>
      </c>
      <c r="Q5412" s="75" t="str">
        <f>IF(AND(B5412='111'!$L$11,OR($N5412=$Q$7,$O5412=$Q$7)),"x","")</f>
        <v/>
      </c>
      <c r="R5412" s="75" t="str">
        <f>IF(AND($N5412=$Q$7,$B5412&lt;'111'!$L$11),"x","")</f>
        <v/>
      </c>
      <c r="S5412" s="75" t="str">
        <f>IF(AND($O5412=$Q$7,$B5412&lt;'111'!$L$11),"x","")</f>
        <v/>
      </c>
      <c r="T5412" s="75" t="str">
        <f>IF(ISERROR(FIND('112'!$M$9,G5412,1)),"",IF((AND(FIND('112'!$M$9,G5412,1)&gt;=1,B5412='112'!$K$9,OR($N5412='112'!$I$6,$O5412='112'!$I$6))),"x",""))</f>
        <v/>
      </c>
      <c r="U5412" s="75" t="str">
        <f>IF(ISERROR(FIND('112'!$M$9,G5412,1)),"",IF((AND(LEFT(G5412,2)=LEFT('112'!$M$9,2),B5412&lt;'112'!$K$9,$N5412='112'!$I$6)),"x",""))</f>
        <v/>
      </c>
      <c r="V5412" s="75" t="str">
        <f>IF(ISERROR(FIND('112'!$M$9,G5412,1)),"",IF((AND(RIGHT(G5412,2)=RIGHT('112'!$M$9,2),B5412&lt;'112'!$K$9,$O5412='112'!$I$6)),"x",""))</f>
        <v/>
      </c>
      <c r="W5412" s="75" t="str">
        <f>IF(AND('341-CT'!$H$9=H5412,OR(LEFT(N5412,3)=$W$7,LEFT(O5412,3)=$W$7)),"x","")</f>
        <v/>
      </c>
      <c r="X5412" s="75" t="str">
        <f>IF(OR(TH!N4551=TH!$X$7,O5412=TH!$X$7),"x","")</f>
        <v/>
      </c>
      <c r="Y5412" s="75" t="str">
        <f>IF(AND(OR(N5412="131",O5412="131"),H5412='131-CT'!$H$9),"x","")</f>
        <v/>
      </c>
      <c r="Z5412" s="75"/>
      <c r="AA5412" s="75" t="str">
        <f>IF(AND(MONTH(E5412)='IN-NX'!$J$5,'IN-NX'!$D$7=D5412),"x","")</f>
        <v/>
      </c>
      <c r="AB5412" s="75" t="str">
        <f>IF(AND(OR(LEFT(TH!N4551,2)="15",LEFT(TH!O4551,2)="15"),LEFT(TH!O4551,3)&lt;&gt;"111",'152-CT'!$J$8=TH!F4551),"x","")</f>
        <v/>
      </c>
      <c r="AC5412" s="75" t="str">
        <f>IF(AND(OR(LEFT(TH!N4551,2)="15",LEFT(TH!O4551,2)="15"),TK!$E$7=TH!F4551),"x","")</f>
        <v/>
      </c>
      <c r="AD5412" s="75" t="str">
        <f>IF(AND(N5412="1521",MONTH(C5412)='BK-NL'!$M$11),"x","")</f>
        <v/>
      </c>
      <c r="AE5412" s="1053">
        <v>11</v>
      </c>
      <c r="AF5412" s="1053"/>
      <c r="AG5412" s="1053"/>
    </row>
    <row r="5413" spans="1:33" ht="16.5" customHeight="1">
      <c r="A5413" s="309" t="str">
        <f>IF(B5413&lt;&gt;"",IF(AND(B5413='IN-TC'!$S$4,OR(TH!N5398="1111",TH!O5398="1111")),TH!D5398,""),"")</f>
        <v/>
      </c>
      <c r="B5413" s="1245">
        <f t="shared" si="1354"/>
        <v>11</v>
      </c>
      <c r="C5413" s="292">
        <f t="shared" si="1353"/>
        <v>43056</v>
      </c>
      <c r="D5413" s="59" t="s">
        <v>902</v>
      </c>
      <c r="E5413" s="59">
        <v>43056</v>
      </c>
      <c r="F5413" s="67" t="s">
        <v>898</v>
      </c>
      <c r="G5413" s="62" t="s">
        <v>1713</v>
      </c>
      <c r="H5413" s="67" t="s">
        <v>1771</v>
      </c>
      <c r="I5413" s="375"/>
      <c r="J5413" s="381"/>
      <c r="K5413" s="375"/>
      <c r="L5413" s="381"/>
      <c r="M5413" s="60">
        <v>1500</v>
      </c>
      <c r="N5413" s="61" t="s">
        <v>9</v>
      </c>
      <c r="O5413" s="61" t="s">
        <v>26</v>
      </c>
      <c r="P5413" s="75" t="str">
        <f>IF(AND('331-CT'!$E$7=TH!H4552,OR(N5413="331",O5413="331")),"x","")</f>
        <v/>
      </c>
      <c r="Q5413" s="75" t="str">
        <f>IF(AND(B5413='111'!$L$11,OR($N5413=$Q$7,$O5413=$Q$7)),"x","")</f>
        <v/>
      </c>
      <c r="R5413" s="75" t="str">
        <f>IF(AND($N5413=$Q$7,$B5413&lt;'111'!$L$11),"x","")</f>
        <v/>
      </c>
      <c r="S5413" s="75" t="str">
        <f>IF(AND($O5413=$Q$7,$B5413&lt;'111'!$L$11),"x","")</f>
        <v/>
      </c>
      <c r="T5413" s="75" t="str">
        <f>IF(ISERROR(FIND('112'!$M$9,G5413,1)),"",IF((AND(FIND('112'!$M$9,G5413,1)&gt;=1,B5413='112'!$K$9,OR($N5413='112'!$I$6,$O5413='112'!$I$6))),"x",""))</f>
        <v/>
      </c>
      <c r="U5413" s="75" t="str">
        <f>IF(ISERROR(FIND('112'!$M$9,G5413,1)),"",IF((AND(LEFT(G5413,2)=LEFT('112'!$M$9,2),B5413&lt;'112'!$K$9,$N5413='112'!$I$6)),"x",""))</f>
        <v/>
      </c>
      <c r="V5413" s="75" t="str">
        <f>IF(ISERROR(FIND('112'!$M$9,G5413,1)),"",IF((AND(RIGHT(G5413,2)=RIGHT('112'!$M$9,2),B5413&lt;'112'!$K$9,$O5413='112'!$I$6)),"x",""))</f>
        <v/>
      </c>
      <c r="W5413" s="75" t="str">
        <f>IF(AND('341-CT'!$H$9=H5413,OR(LEFT(N5413,3)=$W$7,LEFT(O5413,3)=$W$7)),"x","")</f>
        <v/>
      </c>
      <c r="X5413" s="75" t="str">
        <f>IF(OR(TH!N4552=TH!$X$7,O5413=TH!$X$7),"x","")</f>
        <v/>
      </c>
      <c r="Y5413" s="75" t="str">
        <f>IF(AND(OR(N5413="131",O5413="131"),H5413='131-CT'!$H$9),"x","")</f>
        <v/>
      </c>
      <c r="Z5413" s="75"/>
      <c r="AA5413" s="75" t="str">
        <f>IF(AND(MONTH(E5413)='IN-NX'!$J$5,'IN-NX'!$D$7=D5413),"x","")</f>
        <v/>
      </c>
      <c r="AB5413" s="75" t="str">
        <f>IF(AND(OR(LEFT(TH!N4552,2)="15",LEFT(TH!O4552,2)="15"),LEFT(TH!O4552,3)&lt;&gt;"111",'152-CT'!$J$8=TH!F4552),"x","")</f>
        <v/>
      </c>
      <c r="AC5413" s="75" t="str">
        <f>IF(AND(OR(LEFT(TH!N4552,2)="15",LEFT(TH!O4552,2)="15"),TK!$E$7=TH!F4552),"x","")</f>
        <v/>
      </c>
      <c r="AD5413" s="75" t="str">
        <f>IF(AND(N5413="1521",MONTH(C5413)='BK-NL'!$M$11),"x","")</f>
        <v/>
      </c>
      <c r="AE5413" s="1053">
        <v>11</v>
      </c>
      <c r="AF5413" s="1053"/>
      <c r="AG5413" s="1053"/>
    </row>
    <row r="5414" spans="1:33" ht="16.5" customHeight="1">
      <c r="A5414" s="309" t="str">
        <f>IF(B5414&lt;&gt;"",IF(AND(B5414='IN-TC'!$S$4,OR(TH!N5399="1111",TH!O5399="1111")),TH!D5399,""),"")</f>
        <v/>
      </c>
      <c r="B5414" s="1245">
        <f t="shared" si="1354"/>
        <v>11</v>
      </c>
      <c r="C5414" s="292">
        <f t="shared" si="1353"/>
        <v>43056</v>
      </c>
      <c r="D5414" s="292" t="s">
        <v>902</v>
      </c>
      <c r="E5414" s="292">
        <v>43056</v>
      </c>
      <c r="F5414" s="293" t="s">
        <v>1549</v>
      </c>
      <c r="G5414" s="293" t="s">
        <v>747</v>
      </c>
      <c r="H5414" s="294" t="s">
        <v>835</v>
      </c>
      <c r="I5414" s="373"/>
      <c r="J5414" s="382"/>
      <c r="K5414" s="373"/>
      <c r="L5414" s="379"/>
      <c r="M5414" s="60">
        <v>113750</v>
      </c>
      <c r="N5414" s="295" t="s">
        <v>101</v>
      </c>
      <c r="O5414" s="295" t="s">
        <v>26</v>
      </c>
      <c r="P5414" s="75" t="str">
        <f>IF(AND('331-CT'!$E$7=TH!H5596,OR(N5414="331",O5414="331")),"x","")</f>
        <v/>
      </c>
      <c r="Q5414" s="75" t="str">
        <f>IF(AND(B5414='111'!$L$11,OR($N5414=$Q$7,$O5414=$Q$7)),"x","")</f>
        <v/>
      </c>
      <c r="R5414" s="75" t="str">
        <f>IF(AND($N5414=$Q$7,$B5414&lt;'111'!$L$11),"x","")</f>
        <v/>
      </c>
      <c r="S5414" s="75" t="str">
        <f>IF(AND($O5414=$Q$7,$B5414&lt;'111'!$L$11),"x","")</f>
        <v/>
      </c>
      <c r="T5414" s="75" t="str">
        <f>IF(ISERROR(FIND('112'!$M$9,G5414,1)),"",IF((AND(FIND('112'!$M$9,G5414,1)&gt;=1,B5414='112'!$K$9,OR($N5414='112'!$I$6,$O5414='112'!$I$6))),"x",""))</f>
        <v/>
      </c>
      <c r="U5414" s="75" t="str">
        <f>IF(ISERROR(FIND('112'!$M$9,G5414,1)),"",IF((AND(LEFT(G5414,2)=LEFT('112'!$M$9,2),B5414&lt;'112'!$K$9,$N5414='112'!$I$6)),"x",""))</f>
        <v/>
      </c>
      <c r="V5414" s="75" t="str">
        <f>IF(ISERROR(FIND('112'!$M$9,G5414,1)),"",IF((AND(RIGHT(G5414,2)=RIGHT('112'!$M$9,2),B5414&lt;'112'!$K$9,$O5414='112'!$I$6)),"x",""))</f>
        <v/>
      </c>
      <c r="W5414" s="75" t="str">
        <f>IF(AND('341-CT'!$H$9=H5414,OR(LEFT(N5414,3)=$W$7,LEFT(O5414,3)=$W$7)),"x","")</f>
        <v/>
      </c>
      <c r="X5414" s="75" t="str">
        <f>IF(OR(TH!N5596=TH!$X$7,O5414=TH!$X$7),"x","")</f>
        <v/>
      </c>
      <c r="Y5414" s="75" t="str">
        <f>IF(AND(OR(N5414="131",O5414="131"),H5414='131-CT'!$H$9),"x","")</f>
        <v/>
      </c>
      <c r="Z5414" s="75"/>
      <c r="AA5414" s="75" t="str">
        <f>IF(AND(MONTH(E5414)='IN-NX'!$J$5,'IN-NX'!$D$7=D5414),"x","")</f>
        <v/>
      </c>
      <c r="AB5414" s="75" t="str">
        <f>IF(AND(OR(LEFT(TH!N5596,2)="15",LEFT(TH!O5596,2)="15"),LEFT(TH!O5596,3)&lt;&gt;"111",'152-CT'!$J$8=TH!F5596),"x","")</f>
        <v/>
      </c>
      <c r="AC5414" s="75" t="str">
        <f>IF(AND(OR(LEFT(TH!N5596,2)="15",LEFT(TH!O5596,2)="15"),TK!$E$7=TH!F5596),"x","")</f>
        <v/>
      </c>
      <c r="AD5414" s="75" t="str">
        <f>IF(AND(N5414="1521",MONTH(C5414)='BK-NL'!$M$11),"x","")</f>
        <v/>
      </c>
      <c r="AE5414">
        <v>11</v>
      </c>
    </row>
    <row r="5415" spans="1:33" ht="16.5" customHeight="1">
      <c r="A5415" s="309" t="str">
        <f>IF(B5415&lt;&gt;"",IF(AND(B5415='IN-TC'!$S$4,OR(TH!N5400="1111",TH!O5400="1111")),TH!D5400,""),"")</f>
        <v/>
      </c>
      <c r="B5415" s="1245">
        <f t="shared" si="1354"/>
        <v>11</v>
      </c>
      <c r="C5415" s="292">
        <f t="shared" si="1353"/>
        <v>43056</v>
      </c>
      <c r="D5415" s="292" t="s">
        <v>902</v>
      </c>
      <c r="E5415" s="292">
        <v>43056</v>
      </c>
      <c r="F5415" s="293" t="s">
        <v>1552</v>
      </c>
      <c r="G5415" s="293" t="s">
        <v>747</v>
      </c>
      <c r="H5415" s="294" t="s">
        <v>835</v>
      </c>
      <c r="I5415" s="373"/>
      <c r="J5415" s="382"/>
      <c r="K5415" s="373"/>
      <c r="L5415" s="379"/>
      <c r="M5415" s="60">
        <v>11375</v>
      </c>
      <c r="N5415" s="295" t="s">
        <v>9</v>
      </c>
      <c r="O5415" s="295" t="s">
        <v>26</v>
      </c>
      <c r="P5415" s="75" t="str">
        <f>IF(AND('331-CT'!$E$7=TH!H5597,OR(N5415="331",O5415="331")),"x","")</f>
        <v/>
      </c>
      <c r="Q5415" s="75" t="str">
        <f>IF(AND(B5415='111'!$L$11,OR($N5415=$Q$7,$O5415=$Q$7)),"x","")</f>
        <v/>
      </c>
      <c r="R5415" s="75" t="str">
        <f>IF(AND($N5415=$Q$7,$B5415&lt;'111'!$L$11),"x","")</f>
        <v/>
      </c>
      <c r="S5415" s="75" t="str">
        <f>IF(AND($O5415=$Q$7,$B5415&lt;'111'!$L$11),"x","")</f>
        <v/>
      </c>
      <c r="T5415" s="75" t="str">
        <f>IF(ISERROR(FIND('112'!$M$9,G5415,1)),"",IF((AND(FIND('112'!$M$9,G5415,1)&gt;=1,B5415='112'!$K$9,OR($N5415='112'!$I$6,$O5415='112'!$I$6))),"x",""))</f>
        <v/>
      </c>
      <c r="U5415" s="75" t="str">
        <f>IF(ISERROR(FIND('112'!$M$9,G5415,1)),"",IF((AND(LEFT(G5415,2)=LEFT('112'!$M$9,2),B5415&lt;'112'!$K$9,$N5415='112'!$I$6)),"x",""))</f>
        <v/>
      </c>
      <c r="V5415" s="75" t="str">
        <f>IF(ISERROR(FIND('112'!$M$9,G5415,1)),"",IF((AND(RIGHT(G5415,2)=RIGHT('112'!$M$9,2),B5415&lt;'112'!$K$9,$O5415='112'!$I$6)),"x",""))</f>
        <v/>
      </c>
      <c r="W5415" s="75" t="str">
        <f>IF(AND('341-CT'!$H$9=H5415,OR(LEFT(N5415,3)=$W$7,LEFT(O5415,3)=$W$7)),"x","")</f>
        <v/>
      </c>
      <c r="X5415" s="75" t="str">
        <f>IF(OR(TH!N5597=TH!$X$7,O5415=TH!$X$7),"x","")</f>
        <v/>
      </c>
      <c r="Y5415" s="75" t="str">
        <f>IF(AND(OR(N5415="131",O5415="131"),H5415='131-CT'!$H$9),"x","")</f>
        <v/>
      </c>
      <c r="Z5415" s="75"/>
      <c r="AA5415" s="75" t="str">
        <f>IF(AND(MONTH(E5415)='IN-NX'!$J$5,'IN-NX'!$D$7=D5415),"x","")</f>
        <v/>
      </c>
      <c r="AB5415" s="75" t="str">
        <f>IF(AND(OR(LEFT(TH!N5597,2)="15",LEFT(TH!O5597,2)="15"),LEFT(TH!O5597,3)&lt;&gt;"111",'152-CT'!$J$8=TH!F5597),"x","")</f>
        <v/>
      </c>
      <c r="AC5415" s="75" t="str">
        <f>IF(AND(OR(LEFT(TH!N5597,2)="15",LEFT(TH!O5597,2)="15"),TK!$E$7=TH!F5597),"x","")</f>
        <v/>
      </c>
      <c r="AD5415" s="75" t="str">
        <f>IF(AND(N5415="1521",MONTH(C5415)='BK-NL'!$M$11),"x","")</f>
        <v/>
      </c>
      <c r="AE5415">
        <v>11</v>
      </c>
    </row>
    <row r="5416" spans="1:33" ht="16.5" customHeight="1">
      <c r="A5416" s="309" t="str">
        <f>IF(B5416&lt;&gt;"",IF(AND(B5416='IN-TC'!$S$4,OR(TH!N5401="1111",TH!O5401="1111")),TH!D5401,""),"")</f>
        <v/>
      </c>
      <c r="B5416" s="1245">
        <f t="shared" si="1354"/>
        <v>11</v>
      </c>
      <c r="C5416" s="292">
        <f t="shared" si="1353"/>
        <v>43056</v>
      </c>
      <c r="D5416" s="292" t="s">
        <v>902</v>
      </c>
      <c r="E5416" s="292">
        <v>43056</v>
      </c>
      <c r="F5416" s="293" t="s">
        <v>1549</v>
      </c>
      <c r="G5416" s="293" t="s">
        <v>747</v>
      </c>
      <c r="H5416" s="294" t="s">
        <v>835</v>
      </c>
      <c r="I5416" s="373"/>
      <c r="J5416" s="382"/>
      <c r="K5416" s="373"/>
      <c r="L5416" s="379"/>
      <c r="M5416" s="60">
        <v>4550000</v>
      </c>
      <c r="N5416" s="295" t="s">
        <v>101</v>
      </c>
      <c r="O5416" s="295" t="s">
        <v>26</v>
      </c>
      <c r="P5416" s="75" t="str">
        <f>IF(AND('331-CT'!$E$7=TH!H5598,OR(N5416="331",O5416="331")),"x","")</f>
        <v/>
      </c>
      <c r="Q5416" s="75" t="str">
        <f>IF(AND(B5416='111'!$L$11,OR($N5416=$Q$7,$O5416=$Q$7)),"x","")</f>
        <v/>
      </c>
      <c r="R5416" s="75" t="str">
        <f>IF(AND($N5416=$Q$7,$B5416&lt;'111'!$L$11),"x","")</f>
        <v/>
      </c>
      <c r="S5416" s="75" t="str">
        <f>IF(AND($O5416=$Q$7,$B5416&lt;'111'!$L$11),"x","")</f>
        <v/>
      </c>
      <c r="T5416" s="75" t="str">
        <f>IF(ISERROR(FIND('112'!$M$9,G5416,1)),"",IF((AND(FIND('112'!$M$9,G5416,1)&gt;=1,B5416='112'!$K$9,OR($N5416='112'!$I$6,$O5416='112'!$I$6))),"x",""))</f>
        <v/>
      </c>
      <c r="U5416" s="75" t="str">
        <f>IF(ISERROR(FIND('112'!$M$9,G5416,1)),"",IF((AND(LEFT(G5416,2)=LEFT('112'!$M$9,2),B5416&lt;'112'!$K$9,$N5416='112'!$I$6)),"x",""))</f>
        <v/>
      </c>
      <c r="V5416" s="75" t="str">
        <f>IF(ISERROR(FIND('112'!$M$9,G5416,1)),"",IF((AND(RIGHT(G5416,2)=RIGHT('112'!$M$9,2),B5416&lt;'112'!$K$9,$O5416='112'!$I$6)),"x",""))</f>
        <v/>
      </c>
      <c r="W5416" s="75" t="str">
        <f>IF(AND('341-CT'!$H$9=H5416,OR(LEFT(N5416,3)=$W$7,LEFT(O5416,3)=$W$7)),"x","")</f>
        <v/>
      </c>
      <c r="X5416" s="75" t="str">
        <f>IF(OR(TH!N5598=TH!$X$7,O5416=TH!$X$7),"x","")</f>
        <v/>
      </c>
      <c r="Y5416" s="75" t="str">
        <f>IF(AND(OR(N5416="131",O5416="131"),H5416='131-CT'!$H$9),"x","")</f>
        <v/>
      </c>
      <c r="Z5416" s="75"/>
      <c r="AA5416" s="75" t="str">
        <f>IF(AND(MONTH(E5416)='IN-NX'!$J$5,'IN-NX'!$D$7=D5416),"x","")</f>
        <v/>
      </c>
      <c r="AB5416" s="75" t="str">
        <f>IF(AND(OR(LEFT(TH!N5598,2)="15",LEFT(TH!O5598,2)="15"),LEFT(TH!O5598,3)&lt;&gt;"111",'152-CT'!$J$8=TH!F5598),"x","")</f>
        <v/>
      </c>
      <c r="AC5416" s="75" t="str">
        <f>IF(AND(OR(LEFT(TH!N5598,2)="15",LEFT(TH!O5598,2)="15"),TK!$E$7=TH!F5598),"x","")</f>
        <v/>
      </c>
      <c r="AD5416" s="75" t="str">
        <f>IF(AND(N5416="1521",MONTH(C5416)='BK-NL'!$M$11),"x","")</f>
        <v/>
      </c>
      <c r="AE5416">
        <v>11</v>
      </c>
    </row>
    <row r="5417" spans="1:33" ht="16.5" customHeight="1">
      <c r="A5417" s="309" t="str">
        <f>IF(B5417&lt;&gt;"",IF(AND(B5417='IN-TC'!$S$4,OR(TH!N5402="1111",TH!O5402="1111")),TH!D5402,""),"")</f>
        <v/>
      </c>
      <c r="B5417" s="1245">
        <f t="shared" si="1354"/>
        <v>11</v>
      </c>
      <c r="C5417" s="292">
        <f t="shared" si="1353"/>
        <v>43056</v>
      </c>
      <c r="D5417" s="292" t="s">
        <v>902</v>
      </c>
      <c r="E5417" s="292">
        <v>43056</v>
      </c>
      <c r="F5417" s="293" t="s">
        <v>1552</v>
      </c>
      <c r="G5417" s="293" t="s">
        <v>747</v>
      </c>
      <c r="H5417" s="294" t="s">
        <v>835</v>
      </c>
      <c r="I5417" s="373"/>
      <c r="J5417" s="382"/>
      <c r="K5417" s="373"/>
      <c r="L5417" s="379"/>
      <c r="M5417" s="60">
        <v>455000</v>
      </c>
      <c r="N5417" s="295" t="s">
        <v>9</v>
      </c>
      <c r="O5417" s="295" t="s">
        <v>26</v>
      </c>
      <c r="P5417" s="75" t="str">
        <f>IF(AND('331-CT'!$E$7=TH!H5599,OR(N5417="331",O5417="331")),"x","")</f>
        <v/>
      </c>
      <c r="Q5417" s="75" t="str">
        <f>IF(AND(B5417='111'!$L$11,OR($N5417=$Q$7,$O5417=$Q$7)),"x","")</f>
        <v/>
      </c>
      <c r="R5417" s="75" t="str">
        <f>IF(AND($N5417=$Q$7,$B5417&lt;'111'!$L$11),"x","")</f>
        <v/>
      </c>
      <c r="S5417" s="75" t="str">
        <f>IF(AND($O5417=$Q$7,$B5417&lt;'111'!$L$11),"x","")</f>
        <v/>
      </c>
      <c r="T5417" s="75" t="str">
        <f>IF(ISERROR(FIND('112'!$M$9,G5417,1)),"",IF((AND(FIND('112'!$M$9,G5417,1)&gt;=1,B5417='112'!$K$9,OR($N5417='112'!$I$6,$O5417='112'!$I$6))),"x",""))</f>
        <v/>
      </c>
      <c r="U5417" s="75" t="str">
        <f>IF(ISERROR(FIND('112'!$M$9,G5417,1)),"",IF((AND(LEFT(G5417,2)=LEFT('112'!$M$9,2),B5417&lt;'112'!$K$9,$N5417='112'!$I$6)),"x",""))</f>
        <v/>
      </c>
      <c r="V5417" s="75" t="str">
        <f>IF(ISERROR(FIND('112'!$M$9,G5417,1)),"",IF((AND(RIGHT(G5417,2)=RIGHT('112'!$M$9,2),B5417&lt;'112'!$K$9,$O5417='112'!$I$6)),"x",""))</f>
        <v/>
      </c>
      <c r="W5417" s="75" t="str">
        <f>IF(AND('341-CT'!$H$9=H5417,OR(LEFT(N5417,3)=$W$7,LEFT(O5417,3)=$W$7)),"x","")</f>
        <v/>
      </c>
      <c r="X5417" s="75" t="str">
        <f>IF(OR(TH!N5599=TH!$X$7,O5417=TH!$X$7),"x","")</f>
        <v/>
      </c>
      <c r="Y5417" s="75" t="str">
        <f>IF(AND(OR(N5417="131",O5417="131"),H5417='131-CT'!$H$9),"x","")</f>
        <v/>
      </c>
      <c r="Z5417" s="75"/>
      <c r="AA5417" s="75" t="str">
        <f>IF(AND(MONTH(E5417)='IN-NX'!$J$5,'IN-NX'!$D$7=D5417),"x","")</f>
        <v/>
      </c>
      <c r="AB5417" s="75" t="str">
        <f>IF(AND(OR(LEFT(TH!N5599,2)="15",LEFT(TH!O5599,2)="15"),LEFT(TH!O5599,3)&lt;&gt;"111",'152-CT'!$J$8=TH!F5599),"x","")</f>
        <v/>
      </c>
      <c r="AC5417" s="75" t="str">
        <f>IF(AND(OR(LEFT(TH!N5599,2)="15",LEFT(TH!O5599,2)="15"),TK!$E$7=TH!F5599),"x","")</f>
        <v/>
      </c>
      <c r="AD5417" s="75" t="str">
        <f>IF(AND(N5417="1521",MONTH(C5417)='BK-NL'!$M$11),"x","")</f>
        <v/>
      </c>
      <c r="AE5417">
        <v>11</v>
      </c>
    </row>
    <row r="5418" spans="1:33" ht="16.5" customHeight="1">
      <c r="A5418" s="309" t="str">
        <f>IF(B5418&lt;&gt;"",IF(AND(B5418='IN-TC'!$S$4,OR(TH!N5403="1111",TH!O5403="1111")),TH!D5403,""),"")</f>
        <v/>
      </c>
      <c r="B5418" s="1245">
        <f t="shared" si="1354"/>
        <v>11</v>
      </c>
      <c r="C5418" s="292">
        <f t="shared" si="1353"/>
        <v>43059</v>
      </c>
      <c r="D5418" s="292"/>
      <c r="E5418" s="59">
        <v>43059</v>
      </c>
      <c r="F5418" s="67" t="s">
        <v>2698</v>
      </c>
      <c r="G5418" s="925" t="s">
        <v>2893</v>
      </c>
      <c r="H5418" s="294" t="s">
        <v>948</v>
      </c>
      <c r="I5418" s="373"/>
      <c r="J5418" s="926"/>
      <c r="K5418" s="373"/>
      <c r="L5418" s="379"/>
      <c r="M5418" s="927">
        <v>1636364</v>
      </c>
      <c r="N5418" s="295" t="s">
        <v>539</v>
      </c>
      <c r="O5418" s="295" t="s">
        <v>63</v>
      </c>
      <c r="P5418" s="75" t="str">
        <f>IF(AND('331-CT'!$E$7=TH!H4107,OR(N5418="331",O5418="331")),"x","")</f>
        <v/>
      </c>
      <c r="Q5418" s="75" t="str">
        <f>IF(AND(B5418='111'!$L$11,OR($N5418=$Q$7,$O5418=$Q$7)),"x","")</f>
        <v/>
      </c>
      <c r="R5418" s="75" t="str">
        <f>IF(AND($N5418=$Q$7,$B5418&lt;'111'!$L$11),"x","")</f>
        <v/>
      </c>
      <c r="S5418" s="75" t="str">
        <f>IF(AND($O5418=$Q$7,$B5418&lt;'111'!$L$11),"x","")</f>
        <v>x</v>
      </c>
      <c r="T5418" s="75" t="str">
        <f>IF(ISERROR(FIND('112'!$M$9,G5418,1)),"",IF((AND(FIND('112'!$M$9,G5418,1)&gt;=1,B5418='112'!$K$9,OR($N5418='112'!$I$6,$O5418='112'!$I$6))),"x",""))</f>
        <v/>
      </c>
      <c r="U5418" s="75" t="str">
        <f>IF(ISERROR(FIND('112'!$M$9,G5418,1)),"",IF((AND(LEFT(G5418,2)=LEFT('112'!$M$9,2),B5418&lt;'112'!$K$9,$N5418='112'!$I$6)),"x",""))</f>
        <v/>
      </c>
      <c r="V5418" s="75" t="str">
        <f>IF(ISERROR(FIND('112'!$M$9,G5418,1)),"",IF((AND(RIGHT(G5418,2)=RIGHT('112'!$M$9,2),B5418&lt;'112'!$K$9,$O5418='112'!$I$6)),"x",""))</f>
        <v/>
      </c>
      <c r="W5418" s="75" t="str">
        <f>IF(AND('341-CT'!$H$9=H5418,OR(LEFT(N5418,3)=$W$7,LEFT(O5418,3)=$W$7)),"x","")</f>
        <v/>
      </c>
      <c r="X5418" s="75" t="str">
        <f>IF(OR(TH!N4107=TH!$X$7,O5418=TH!$X$7),"x","")</f>
        <v/>
      </c>
      <c r="Y5418" s="75" t="str">
        <f>IF(AND(OR(N5418="131",O5418="131"),H5418='131-CT'!$H$9),"x","")</f>
        <v/>
      </c>
      <c r="Z5418" s="75"/>
      <c r="AA5418" s="75" t="str">
        <f>IF(AND(MONTH(E5418)='IN-NX'!$J$5,'IN-NX'!$D$7=D5418),"x","")</f>
        <v/>
      </c>
      <c r="AB5418" s="75" t="str">
        <f>IF(AND(OR(LEFT(TH!N4107,2)="15",LEFT(TH!O4107,2)="15"),LEFT(TH!O4107,3)&lt;&gt;"111",'152-CT'!$J$8=TH!F4107),"x","")</f>
        <v/>
      </c>
      <c r="AC5418" s="75" t="str">
        <f>IF(AND(OR(LEFT(TH!N4107,2)="15",LEFT(TH!O4107,2)="15"),TK!$E$7=TH!F4107),"x","")</f>
        <v/>
      </c>
      <c r="AD5418" s="75" t="str">
        <f>IF(AND(N5418="1521",MONTH(C5418)='BK-NL'!$M$11),"x","")</f>
        <v/>
      </c>
      <c r="AE5418" t="s">
        <v>2969</v>
      </c>
    </row>
    <row r="5419" spans="1:33" ht="16.5" customHeight="1">
      <c r="A5419" s="309" t="str">
        <f>IF(B5419&lt;&gt;"",IF(AND(B5419='IN-TC'!$S$4,OR(TH!N5404="1111",TH!O5404="1111")),TH!D5404,""),"")</f>
        <v/>
      </c>
      <c r="B5419" s="1245">
        <f t="shared" si="1354"/>
        <v>11</v>
      </c>
      <c r="C5419" s="292">
        <f t="shared" si="1353"/>
        <v>43059</v>
      </c>
      <c r="D5419" s="292"/>
      <c r="E5419" s="59">
        <v>43059</v>
      </c>
      <c r="F5419" s="67" t="s">
        <v>2699</v>
      </c>
      <c r="G5419" s="925" t="s">
        <v>2893</v>
      </c>
      <c r="H5419" s="294" t="s">
        <v>948</v>
      </c>
      <c r="I5419" s="373"/>
      <c r="J5419" s="926"/>
      <c r="K5419" s="373"/>
      <c r="L5419" s="379"/>
      <c r="M5419" s="927">
        <v>163636</v>
      </c>
      <c r="N5419" s="295" t="s">
        <v>9</v>
      </c>
      <c r="O5419" s="295" t="s">
        <v>63</v>
      </c>
      <c r="P5419" s="75" t="str">
        <f>IF(AND('331-CT'!$E$7=TH!H4108,OR(N5419="331",O5419="331")),"x","")</f>
        <v/>
      </c>
      <c r="Q5419" s="75" t="str">
        <f>IF(AND(B5419='111'!$L$11,OR($N5419=$Q$7,$O5419=$Q$7)),"x","")</f>
        <v/>
      </c>
      <c r="R5419" s="75" t="str">
        <f>IF(AND($N5419=$Q$7,$B5419&lt;'111'!$L$11),"x","")</f>
        <v/>
      </c>
      <c r="S5419" s="75" t="str">
        <f>IF(AND($O5419=$Q$7,$B5419&lt;'111'!$L$11),"x","")</f>
        <v>x</v>
      </c>
      <c r="T5419" s="75" t="str">
        <f>IF(ISERROR(FIND('112'!$M$9,G5419,1)),"",IF((AND(FIND('112'!$M$9,G5419,1)&gt;=1,B5419='112'!$K$9,OR($N5419='112'!$I$6,$O5419='112'!$I$6))),"x",""))</f>
        <v/>
      </c>
      <c r="U5419" s="75" t="str">
        <f>IF(ISERROR(FIND('112'!$M$9,G5419,1)),"",IF((AND(LEFT(G5419,2)=LEFT('112'!$M$9,2),B5419&lt;'112'!$K$9,$N5419='112'!$I$6)),"x",""))</f>
        <v/>
      </c>
      <c r="V5419" s="75" t="str">
        <f>IF(ISERROR(FIND('112'!$M$9,G5419,1)),"",IF((AND(RIGHT(G5419,2)=RIGHT('112'!$M$9,2),B5419&lt;'112'!$K$9,$O5419='112'!$I$6)),"x",""))</f>
        <v/>
      </c>
      <c r="W5419" s="75" t="str">
        <f>IF(AND('341-CT'!$H$9=H5419,OR(LEFT(N5419,3)=$W$7,LEFT(O5419,3)=$W$7)),"x","")</f>
        <v/>
      </c>
      <c r="X5419" s="75" t="str">
        <f>IF(OR(TH!N4108=TH!$X$7,O5419=TH!$X$7),"x","")</f>
        <v/>
      </c>
      <c r="Y5419" s="75" t="str">
        <f>IF(AND(OR(N5419="131",O5419="131"),H5419='131-CT'!$H$9),"x","")</f>
        <v/>
      </c>
      <c r="Z5419" s="75"/>
      <c r="AA5419" s="75" t="str">
        <f>IF(AND(MONTH(E5419)='IN-NX'!$J$5,'IN-NX'!$D$7=D5419),"x","")</f>
        <v/>
      </c>
      <c r="AB5419" s="75" t="str">
        <f>IF(AND(OR(LEFT(TH!N4108,2)="15",LEFT(TH!O4108,2)="15"),LEFT(TH!O4108,3)&lt;&gt;"111",'152-CT'!$J$8=TH!F4108),"x","")</f>
        <v/>
      </c>
      <c r="AC5419" s="75" t="str">
        <f>IF(AND(OR(LEFT(TH!N4108,2)="15",LEFT(TH!O4108,2)="15"),TK!$E$7=TH!F4108),"x","")</f>
        <v/>
      </c>
      <c r="AD5419" s="75" t="str">
        <f>IF(AND(N5419="1521",MONTH(C5419)='BK-NL'!$M$11),"x","")</f>
        <v/>
      </c>
      <c r="AE5419" t="s">
        <v>2969</v>
      </c>
    </row>
    <row r="5420" spans="1:33" ht="16.5" customHeight="1">
      <c r="A5420" s="309" t="str">
        <f>IF(B5420&lt;&gt;"",IF(AND(B5420='IN-TC'!$S$4,OR(TH!N5405="1111",TH!O5405="1111")),TH!D5405,""),"")</f>
        <v/>
      </c>
      <c r="B5420" s="1245">
        <f t="shared" si="1354"/>
        <v>11</v>
      </c>
      <c r="C5420" s="292">
        <f t="shared" si="1353"/>
        <v>43059</v>
      </c>
      <c r="D5420" s="59"/>
      <c r="E5420" s="59">
        <v>43059</v>
      </c>
      <c r="F5420" s="62" t="s">
        <v>1499</v>
      </c>
      <c r="G5420" s="742" t="s">
        <v>2675</v>
      </c>
      <c r="H5420" s="67" t="s">
        <v>893</v>
      </c>
      <c r="I5420" s="375"/>
      <c r="J5420" s="382"/>
      <c r="K5420" s="375"/>
      <c r="L5420" s="381"/>
      <c r="M5420" s="60">
        <v>822109</v>
      </c>
      <c r="N5420" s="61" t="s">
        <v>101</v>
      </c>
      <c r="O5420" s="61" t="s">
        <v>63</v>
      </c>
      <c r="P5420" s="75" t="str">
        <f>IF(AND('331-CT'!$E$7=TH!H4109,OR(N5420="331",O5420="331")),"x","")</f>
        <v/>
      </c>
      <c r="Q5420" s="75" t="str">
        <f>IF(AND(B5420='111'!$L$11,OR($N5420=$Q$7,$O5420=$Q$7)),"x","")</f>
        <v/>
      </c>
      <c r="R5420" s="75" t="str">
        <f>IF(AND($N5420=$Q$7,$B5420&lt;'111'!$L$11),"x","")</f>
        <v/>
      </c>
      <c r="S5420" s="75" t="str">
        <f>IF(AND($O5420=$Q$7,$B5420&lt;'111'!$L$11),"x","")</f>
        <v>x</v>
      </c>
      <c r="T5420" s="75" t="str">
        <f>IF(ISERROR(FIND('112'!$M$9,G5420,1)),"",IF((AND(FIND('112'!$M$9,G5420,1)&gt;=1,B5420='112'!$K$9,OR($N5420='112'!$I$6,$O5420='112'!$I$6))),"x",""))</f>
        <v/>
      </c>
      <c r="U5420" s="75" t="str">
        <f>IF(ISERROR(FIND('112'!$M$9,G5420,1)),"",IF((AND(LEFT(G5420,2)=LEFT('112'!$M$9,2),B5420&lt;'112'!$K$9,$N5420='112'!$I$6)),"x",""))</f>
        <v/>
      </c>
      <c r="V5420" s="75" t="str">
        <f>IF(ISERROR(FIND('112'!$M$9,G5420,1)),"",IF((AND(RIGHT(G5420,2)=RIGHT('112'!$M$9,2),B5420&lt;'112'!$K$9,$O5420='112'!$I$6)),"x",""))</f>
        <v/>
      </c>
      <c r="W5420" s="75" t="str">
        <f>IF(AND('341-CT'!$H$9=H5420,OR(LEFT(N5420,3)=$W$7,LEFT(O5420,3)=$W$7)),"x","")</f>
        <v/>
      </c>
      <c r="X5420" s="75" t="str">
        <f>IF(OR(TH!N4109=TH!$X$7,O5420=TH!$X$7),"x","")</f>
        <v/>
      </c>
      <c r="Y5420" s="75" t="str">
        <f>IF(AND(OR(N5420="131",O5420="131"),H5420='131-CT'!$H$9),"x","")</f>
        <v/>
      </c>
      <c r="Z5420" s="75"/>
      <c r="AA5420" s="75" t="str">
        <f>IF(AND(MONTH(E5420)='IN-NX'!$J$5,'IN-NX'!$D$7=D5420),"x","")</f>
        <v/>
      </c>
      <c r="AB5420" s="75" t="str">
        <f>IF(AND(OR(LEFT(TH!N4109,2)="15",LEFT(TH!O4109,2)="15"),LEFT(TH!O4109,3)&lt;&gt;"111",'152-CT'!$J$8=TH!F4109),"x","")</f>
        <v/>
      </c>
      <c r="AC5420" s="75" t="str">
        <f>IF(AND(OR(LEFT(TH!N4109,2)="15",LEFT(TH!O4109,2)="15"),TK!$E$7=TH!F4109),"x","")</f>
        <v/>
      </c>
      <c r="AD5420" s="75" t="str">
        <f>IF(AND(N5420="1521",MONTH(C5420)='BK-NL'!$M$11),"x","")</f>
        <v/>
      </c>
      <c r="AE5420">
        <v>11</v>
      </c>
    </row>
    <row r="5421" spans="1:33" ht="16.5" customHeight="1">
      <c r="A5421" s="309" t="str">
        <f>IF(B5421&lt;&gt;"",IF(AND(B5421='IN-TC'!$S$4,OR(TH!N5406="1111",TH!O5406="1111")),TH!D5406,""),"")</f>
        <v/>
      </c>
      <c r="B5421" s="1245">
        <f t="shared" si="1354"/>
        <v>11</v>
      </c>
      <c r="C5421" s="292">
        <f t="shared" si="1353"/>
        <v>43059</v>
      </c>
      <c r="D5421" s="59"/>
      <c r="E5421" s="59">
        <v>43059</v>
      </c>
      <c r="F5421" s="62" t="s">
        <v>1500</v>
      </c>
      <c r="G5421" s="742" t="s">
        <v>2675</v>
      </c>
      <c r="H5421" s="67" t="s">
        <v>893</v>
      </c>
      <c r="I5421" s="375"/>
      <c r="J5421" s="382"/>
      <c r="K5421" s="375"/>
      <c r="L5421" s="381"/>
      <c r="M5421" s="60">
        <v>82211</v>
      </c>
      <c r="N5421" s="61" t="s">
        <v>9</v>
      </c>
      <c r="O5421" s="61" t="s">
        <v>63</v>
      </c>
      <c r="P5421" s="75" t="str">
        <f>IF(AND('331-CT'!$E$7=TH!H4110,OR(N5421="331",O5421="331")),"x","")</f>
        <v/>
      </c>
      <c r="Q5421" s="75" t="str">
        <f>IF(AND(B5421='111'!$L$11,OR($N5421=$Q$7,$O5421=$Q$7)),"x","")</f>
        <v/>
      </c>
      <c r="R5421" s="75" t="str">
        <f>IF(AND($N5421=$Q$7,$B5421&lt;'111'!$L$11),"x","")</f>
        <v/>
      </c>
      <c r="S5421" s="75" t="str">
        <f>IF(AND($O5421=$Q$7,$B5421&lt;'111'!$L$11),"x","")</f>
        <v>x</v>
      </c>
      <c r="T5421" s="75" t="str">
        <f>IF(ISERROR(FIND('112'!$M$9,G5421,1)),"",IF((AND(FIND('112'!$M$9,G5421,1)&gt;=1,B5421='112'!$K$9,OR($N5421='112'!$I$6,$O5421='112'!$I$6))),"x",""))</f>
        <v/>
      </c>
      <c r="U5421" s="75" t="str">
        <f>IF(ISERROR(FIND('112'!$M$9,G5421,1)),"",IF((AND(LEFT(G5421,2)=LEFT('112'!$M$9,2),B5421&lt;'112'!$K$9,$N5421='112'!$I$6)),"x",""))</f>
        <v/>
      </c>
      <c r="V5421" s="75" t="str">
        <f>IF(ISERROR(FIND('112'!$M$9,G5421,1)),"",IF((AND(RIGHT(G5421,2)=RIGHT('112'!$M$9,2),B5421&lt;'112'!$K$9,$O5421='112'!$I$6)),"x",""))</f>
        <v/>
      </c>
      <c r="W5421" s="75" t="str">
        <f>IF(AND('341-CT'!$H$9=H5421,OR(LEFT(N5421,3)=$W$7,LEFT(O5421,3)=$W$7)),"x","")</f>
        <v/>
      </c>
      <c r="X5421" s="75" t="str">
        <f>IF(OR(TH!N4110=TH!$X$7,O5421=TH!$X$7),"x","")</f>
        <v/>
      </c>
      <c r="Y5421" s="75" t="str">
        <f>IF(AND(OR(N5421="131",O5421="131"),H5421='131-CT'!$H$9),"x","")</f>
        <v/>
      </c>
      <c r="Z5421" s="75"/>
      <c r="AA5421" s="75" t="str">
        <f>IF(AND(MONTH(E5421)='IN-NX'!$J$5,'IN-NX'!$D$7=D5421),"x","")</f>
        <v/>
      </c>
      <c r="AB5421" s="75" t="str">
        <f>IF(AND(OR(LEFT(TH!N4110,2)="15",LEFT(TH!O4110,2)="15"),LEFT(TH!O4110,3)&lt;&gt;"111",'152-CT'!$J$8=TH!F4110),"x","")</f>
        <v/>
      </c>
      <c r="AC5421" s="75" t="str">
        <f>IF(AND(OR(LEFT(TH!N4110,2)="15",LEFT(TH!O4110,2)="15"),TK!$E$7=TH!F4110),"x","")</f>
        <v/>
      </c>
      <c r="AD5421" s="75" t="str">
        <f>IF(AND(N5421="1521",MONTH(C5421)='BK-NL'!$M$11),"x","")</f>
        <v/>
      </c>
      <c r="AE5421">
        <v>11</v>
      </c>
    </row>
    <row r="5422" spans="1:33" ht="16.5" customHeight="1">
      <c r="A5422" s="309" t="str">
        <f>IF(B5422&lt;&gt;"",IF(AND(B5422='IN-TC'!$S$4,OR(TH!N5407="1111",TH!O5407="1111")),TH!D5407,""),"")</f>
        <v/>
      </c>
      <c r="B5422" s="1245">
        <f t="shared" si="1354"/>
        <v>11</v>
      </c>
      <c r="C5422" s="292">
        <f t="shared" si="1353"/>
        <v>43059</v>
      </c>
      <c r="D5422" s="59" t="s">
        <v>902</v>
      </c>
      <c r="E5422" s="59">
        <v>43059</v>
      </c>
      <c r="F5422" s="62" t="s">
        <v>930</v>
      </c>
      <c r="G5422" s="62" t="s">
        <v>586</v>
      </c>
      <c r="H5422" s="67" t="s">
        <v>622</v>
      </c>
      <c r="I5422" s="375"/>
      <c r="J5422" s="382"/>
      <c r="K5422" s="375"/>
      <c r="L5422" s="381"/>
      <c r="M5422" s="60">
        <v>400000000</v>
      </c>
      <c r="N5422" s="61" t="s">
        <v>8</v>
      </c>
      <c r="O5422" s="295" t="s">
        <v>26</v>
      </c>
      <c r="P5422" s="75" t="str">
        <f>IF(AND('331-CT'!$E$7=TH!H4427,OR(N5422="331",O5422="331")),"x","")</f>
        <v/>
      </c>
      <c r="Q5422" s="75" t="str">
        <f>IF(AND(B5422='111'!$L$11,OR($N5422=$Q$7,$O5422=$Q$7)),"x","")</f>
        <v/>
      </c>
      <c r="R5422" s="75" t="str">
        <f>IF(AND($N5422=$Q$7,$B5422&lt;'111'!$L$11),"x","")</f>
        <v/>
      </c>
      <c r="S5422" s="75" t="str">
        <f>IF(AND($O5422=$Q$7,$B5422&lt;'111'!$L$11),"x","")</f>
        <v/>
      </c>
      <c r="T5422" s="75" t="str">
        <f>IF(ISERROR(FIND('112'!$M$9,G5422,1)),"",IF((AND(FIND('112'!$M$9,G5422,1)&gt;=1,B5422='112'!$K$9,OR($N5422='112'!$I$6,$O5422='112'!$I$6))),"x",""))</f>
        <v/>
      </c>
      <c r="U5422" s="75" t="str">
        <f>IF(ISERROR(FIND('112'!$M$9,G5422,1)),"",IF((AND(LEFT(G5422,2)=LEFT('112'!$M$9,2),B5422&lt;'112'!$K$9,$N5422='112'!$I$6)),"x",""))</f>
        <v/>
      </c>
      <c r="V5422" s="75" t="str">
        <f>IF(ISERROR(FIND('112'!$M$9,G5422,1)),"",IF((AND(RIGHT(G5422,2)=RIGHT('112'!$M$9,2),B5422&lt;'112'!$K$9,$O5422='112'!$I$6)),"x",""))</f>
        <v>x</v>
      </c>
      <c r="W5422" s="75" t="str">
        <f>IF(AND('341-CT'!$H$9=H5422,OR(LEFT(N5422,3)=$W$7,LEFT(O5422,3)=$W$7)),"x","")</f>
        <v/>
      </c>
      <c r="X5422" s="75" t="str">
        <f>IF(OR(TH!N4427=TH!$X$7,O5422=TH!$X$7),"x","")</f>
        <v/>
      </c>
      <c r="Y5422" s="75" t="str">
        <f>IF(AND(OR(N5422="131",O5422="131"),H5422='131-CT'!$H$9),"x","")</f>
        <v/>
      </c>
      <c r="Z5422" s="75"/>
      <c r="AA5422" s="75" t="str">
        <f>IF(AND(MONTH(E5422)='IN-NX'!$J$5,'IN-NX'!$D$7=D5422),"x","")</f>
        <v/>
      </c>
      <c r="AB5422" s="75" t="str">
        <f>IF(AND(OR(LEFT(TH!N4427,2)="15",LEFT(TH!O4427,2)="15"),LEFT(TH!O4427,3)&lt;&gt;"111",'152-CT'!$J$8=TH!F4427),"x","")</f>
        <v/>
      </c>
      <c r="AC5422" s="75" t="str">
        <f>IF(AND(OR(LEFT(TH!N4427,2)="15",LEFT(TH!O4427,2)="15"),TK!$E$7=TH!F4427),"x","")</f>
        <v/>
      </c>
      <c r="AD5422" s="75" t="str">
        <f>IF(AND(N5422="1521",MONTH(C5422)='BK-NL'!$M$11),"x","")</f>
        <v/>
      </c>
    </row>
    <row r="5423" spans="1:33" ht="16.5" customHeight="1">
      <c r="A5423" s="309" t="str">
        <f>IF(B5423&lt;&gt;"",IF(AND(B5423='IN-TC'!$S$4,OR(TH!N5408="1111",TH!O5408="1111")),TH!D5408,""),"")</f>
        <v/>
      </c>
      <c r="B5423" s="1245">
        <f t="shared" si="1354"/>
        <v>11</v>
      </c>
      <c r="C5423" s="292">
        <f t="shared" si="1353"/>
        <v>43059</v>
      </c>
      <c r="D5423" s="59" t="s">
        <v>902</v>
      </c>
      <c r="E5423" s="59">
        <v>43059</v>
      </c>
      <c r="F5423" s="62" t="s">
        <v>1307</v>
      </c>
      <c r="G5423" s="62" t="s">
        <v>586</v>
      </c>
      <c r="H5423" s="67" t="s">
        <v>982</v>
      </c>
      <c r="I5423" s="375"/>
      <c r="J5423" s="382"/>
      <c r="K5423" s="375"/>
      <c r="L5423" s="381"/>
      <c r="M5423" s="60">
        <v>120000</v>
      </c>
      <c r="N5423" s="61" t="s">
        <v>101</v>
      </c>
      <c r="O5423" s="295" t="s">
        <v>26</v>
      </c>
      <c r="P5423" s="75" t="str">
        <f>IF(AND('331-CT'!$E$7=TH!H4428,OR(N5423="331",O5423="331")),"x","")</f>
        <v/>
      </c>
      <c r="Q5423" s="75" t="str">
        <f>IF(AND(B5423='111'!$L$11,OR($N5423=$Q$7,$O5423=$Q$7)),"x","")</f>
        <v/>
      </c>
      <c r="R5423" s="75" t="str">
        <f>IF(AND($N5423=$Q$7,$B5423&lt;'111'!$L$11),"x","")</f>
        <v/>
      </c>
      <c r="S5423" s="75" t="str">
        <f>IF(AND($O5423=$Q$7,$B5423&lt;'111'!$L$11),"x","")</f>
        <v/>
      </c>
      <c r="T5423" s="75" t="str">
        <f>IF(ISERROR(FIND('112'!$M$9,G5423,1)),"",IF((AND(FIND('112'!$M$9,G5423,1)&gt;=1,B5423='112'!$K$9,OR($N5423='112'!$I$6,$O5423='112'!$I$6))),"x",""))</f>
        <v/>
      </c>
      <c r="U5423" s="75" t="str">
        <f>IF(ISERROR(FIND('112'!$M$9,G5423,1)),"",IF((AND(LEFT(G5423,2)=LEFT('112'!$M$9,2),B5423&lt;'112'!$K$9,$N5423='112'!$I$6)),"x",""))</f>
        <v/>
      </c>
      <c r="V5423" s="75" t="str">
        <f>IF(ISERROR(FIND('112'!$M$9,G5423,1)),"",IF((AND(RIGHT(G5423,2)=RIGHT('112'!$M$9,2),B5423&lt;'112'!$K$9,$O5423='112'!$I$6)),"x",""))</f>
        <v>x</v>
      </c>
      <c r="W5423" s="75" t="str">
        <f>IF(AND('341-CT'!$H$9=H5423,OR(LEFT(N5423,3)=$W$7,LEFT(O5423,3)=$W$7)),"x","")</f>
        <v/>
      </c>
      <c r="X5423" s="75" t="str">
        <f>IF(OR(TH!N4428=TH!$X$7,O5423=TH!$X$7),"x","")</f>
        <v/>
      </c>
      <c r="Y5423" s="75" t="str">
        <f>IF(AND(OR(N5423="131",O5423="131"),H5423='131-CT'!$H$9),"x","")</f>
        <v/>
      </c>
      <c r="Z5423" s="75"/>
      <c r="AA5423" s="75" t="str">
        <f>IF(AND(MONTH(E5423)='IN-NX'!$J$5,'IN-NX'!$D$7=D5423),"x","")</f>
        <v/>
      </c>
      <c r="AB5423" s="75" t="str">
        <f>IF(AND(OR(LEFT(TH!N4428,2)="15",LEFT(TH!O4428,2)="15"),LEFT(TH!O4428,3)&lt;&gt;"111",'152-CT'!$J$8=TH!F4428),"x","")</f>
        <v/>
      </c>
      <c r="AC5423" s="75" t="str">
        <f>IF(AND(OR(LEFT(TH!N4428,2)="15",LEFT(TH!O4428,2)="15"),TK!$E$7=TH!F4428),"x","")</f>
        <v/>
      </c>
      <c r="AD5423" s="75" t="str">
        <f>IF(AND(N5423="1521",MONTH(C5423)='BK-NL'!$M$11),"x","")</f>
        <v/>
      </c>
      <c r="AE5423">
        <v>11</v>
      </c>
    </row>
    <row r="5424" spans="1:33" ht="16.5" customHeight="1">
      <c r="A5424" s="309" t="str">
        <f>IF(B5424&lt;&gt;"",IF(AND(B5424='IN-TC'!$S$4,OR(TH!N5409="1111",TH!O5409="1111")),TH!D5409,""),"")</f>
        <v/>
      </c>
      <c r="B5424" s="1245">
        <f t="shared" si="1354"/>
        <v>11</v>
      </c>
      <c r="C5424" s="292">
        <f t="shared" si="1353"/>
        <v>43059</v>
      </c>
      <c r="D5424" s="59" t="s">
        <v>902</v>
      </c>
      <c r="E5424" s="59">
        <v>43059</v>
      </c>
      <c r="F5424" s="62" t="s">
        <v>1314</v>
      </c>
      <c r="G5424" s="62" t="s">
        <v>586</v>
      </c>
      <c r="H5424" s="67" t="s">
        <v>982</v>
      </c>
      <c r="I5424" s="375"/>
      <c r="J5424" s="382"/>
      <c r="K5424" s="375"/>
      <c r="L5424" s="381"/>
      <c r="M5424" s="60">
        <v>12000</v>
      </c>
      <c r="N5424" s="61" t="s">
        <v>9</v>
      </c>
      <c r="O5424" s="295" t="s">
        <v>26</v>
      </c>
      <c r="P5424" s="75" t="str">
        <f>IF(AND('331-CT'!$E$7=TH!H4429,OR(N5424="331",O5424="331")),"x","")</f>
        <v/>
      </c>
      <c r="Q5424" s="75" t="str">
        <f>IF(AND(B5424='111'!$L$11,OR($N5424=$Q$7,$O5424=$Q$7)),"x","")</f>
        <v/>
      </c>
      <c r="R5424" s="75" t="str">
        <f>IF(AND($N5424=$Q$7,$B5424&lt;'111'!$L$11),"x","")</f>
        <v/>
      </c>
      <c r="S5424" s="75" t="str">
        <f>IF(AND($O5424=$Q$7,$B5424&lt;'111'!$L$11),"x","")</f>
        <v/>
      </c>
      <c r="T5424" s="75" t="str">
        <f>IF(ISERROR(FIND('112'!$M$9,G5424,1)),"",IF((AND(FIND('112'!$M$9,G5424,1)&gt;=1,B5424='112'!$K$9,OR($N5424='112'!$I$6,$O5424='112'!$I$6))),"x",""))</f>
        <v/>
      </c>
      <c r="U5424" s="75" t="str">
        <f>IF(ISERROR(FIND('112'!$M$9,G5424,1)),"",IF((AND(LEFT(G5424,2)=LEFT('112'!$M$9,2),B5424&lt;'112'!$K$9,$N5424='112'!$I$6)),"x",""))</f>
        <v/>
      </c>
      <c r="V5424" s="75" t="str">
        <f>IF(ISERROR(FIND('112'!$M$9,G5424,1)),"",IF((AND(RIGHT(G5424,2)=RIGHT('112'!$M$9,2),B5424&lt;'112'!$K$9,$O5424='112'!$I$6)),"x",""))</f>
        <v>x</v>
      </c>
      <c r="W5424" s="75" t="str">
        <f>IF(AND('341-CT'!$H$9=H5424,OR(LEFT(N5424,3)=$W$7,LEFT(O5424,3)=$W$7)),"x","")</f>
        <v/>
      </c>
      <c r="X5424" s="75" t="str">
        <f>IF(OR(TH!N4429=TH!$X$7,O5424=TH!$X$7),"x","")</f>
        <v/>
      </c>
      <c r="Y5424" s="75" t="str">
        <f>IF(AND(OR(N5424="131",O5424="131"),H5424='131-CT'!$H$9),"x","")</f>
        <v/>
      </c>
      <c r="Z5424" s="75"/>
      <c r="AA5424" s="75" t="str">
        <f>IF(AND(MONTH(E5424)='IN-NX'!$J$5,'IN-NX'!$D$7=D5424),"x","")</f>
        <v/>
      </c>
      <c r="AB5424" s="75" t="str">
        <f>IF(AND(OR(LEFT(TH!N4429,2)="15",LEFT(TH!O4429,2)="15"),LEFT(TH!O4429,3)&lt;&gt;"111",'152-CT'!$J$8=TH!F4429),"x","")</f>
        <v/>
      </c>
      <c r="AC5424" s="75" t="str">
        <f>IF(AND(OR(LEFT(TH!N4429,2)="15",LEFT(TH!O4429,2)="15"),TK!$E$7=TH!F4429),"x","")</f>
        <v/>
      </c>
      <c r="AD5424" s="75" t="str">
        <f>IF(AND(N5424="1521",MONTH(C5424)='BK-NL'!$M$11),"x","")</f>
        <v/>
      </c>
      <c r="AE5424">
        <v>11</v>
      </c>
    </row>
    <row r="5425" spans="1:33" ht="16.5" customHeight="1">
      <c r="A5425" s="309" t="str">
        <f>IF(B5425&lt;&gt;"",IF(AND(B5425='IN-TC'!$S$4,OR(TH!N5410="1111",TH!O5410="1111")),TH!D5410,""),"")</f>
        <v/>
      </c>
      <c r="B5425" s="1245">
        <f t="shared" si="1354"/>
        <v>11</v>
      </c>
      <c r="C5425" s="292">
        <f t="shared" si="1353"/>
        <v>43059</v>
      </c>
      <c r="D5425" s="59" t="s">
        <v>1271</v>
      </c>
      <c r="E5425" s="59">
        <v>43059</v>
      </c>
      <c r="F5425" s="62" t="s">
        <v>834</v>
      </c>
      <c r="G5425" s="62" t="s">
        <v>586</v>
      </c>
      <c r="H5425" s="294" t="s">
        <v>1023</v>
      </c>
      <c r="I5425" s="375"/>
      <c r="J5425" s="382"/>
      <c r="K5425" s="375"/>
      <c r="L5425" s="381"/>
      <c r="M5425" s="60">
        <v>40000000</v>
      </c>
      <c r="N5425" s="61" t="s">
        <v>63</v>
      </c>
      <c r="O5425" s="295" t="s">
        <v>26</v>
      </c>
      <c r="P5425" s="75" t="str">
        <f>IF(AND('331-CT'!$E$7=TH!H4430,OR(N5425="331",O5425="331")),"x","")</f>
        <v/>
      </c>
      <c r="Q5425" s="75" t="str">
        <f>IF(AND(B5425='111'!$L$11,OR($N5425=$Q$7,$O5425=$Q$7)),"x","")</f>
        <v/>
      </c>
      <c r="R5425" s="75" t="str">
        <f>IF(AND($N5425=$Q$7,$B5425&lt;'111'!$L$11),"x","")</f>
        <v>x</v>
      </c>
      <c r="S5425" s="75" t="str">
        <f>IF(AND($O5425=$Q$7,$B5425&lt;'111'!$L$11),"x","")</f>
        <v/>
      </c>
      <c r="T5425" s="75" t="str">
        <f>IF(ISERROR(FIND('112'!$M$9,G5425,1)),"",IF((AND(FIND('112'!$M$9,G5425,1)&gt;=1,B5425='112'!$K$9,OR($N5425='112'!$I$6,$O5425='112'!$I$6))),"x",""))</f>
        <v/>
      </c>
      <c r="U5425" s="75" t="str">
        <f>IF(ISERROR(FIND('112'!$M$9,G5425,1)),"",IF((AND(LEFT(G5425,2)=LEFT('112'!$M$9,2),B5425&lt;'112'!$K$9,$N5425='112'!$I$6)),"x",""))</f>
        <v/>
      </c>
      <c r="V5425" s="75" t="str">
        <f>IF(ISERROR(FIND('112'!$M$9,G5425,1)),"",IF((AND(RIGHT(G5425,2)=RIGHT('112'!$M$9,2),B5425&lt;'112'!$K$9,$O5425='112'!$I$6)),"x",""))</f>
        <v>x</v>
      </c>
      <c r="W5425" s="75" t="str">
        <f>IF(AND('341-CT'!$H$9=H5425,OR(LEFT(N5425,3)=$W$7,LEFT(O5425,3)=$W$7)),"x","")</f>
        <v/>
      </c>
      <c r="X5425" s="75" t="str">
        <f>IF(OR(TH!N4430=TH!$X$7,O5425=TH!$X$7),"x","")</f>
        <v/>
      </c>
      <c r="Y5425" s="75" t="str">
        <f>IF(AND(OR(N5425="131",O5425="131"),H5425='131-CT'!$H$9),"x","")</f>
        <v/>
      </c>
      <c r="Z5425" s="75"/>
      <c r="AA5425" s="75" t="str">
        <f>IF(AND(MONTH(E5425)='IN-NX'!$J$5,'IN-NX'!$D$7=D5425),"x","")</f>
        <v/>
      </c>
      <c r="AB5425" s="75" t="str">
        <f>IF(AND(OR(LEFT(TH!N4430,2)="15",LEFT(TH!O4430,2)="15"),LEFT(TH!O4430,3)&lt;&gt;"111",'152-CT'!$J$8=TH!F4430),"x","")</f>
        <v/>
      </c>
      <c r="AC5425" s="75" t="str">
        <f>IF(AND(OR(LEFT(TH!N4430,2)="15",LEFT(TH!O4430,2)="15"),TK!$E$7=TH!F4430),"x","")</f>
        <v/>
      </c>
      <c r="AD5425" s="75" t="str">
        <f>IF(AND(N5425="1521",MONTH(C5425)='BK-NL'!$M$11),"x","")</f>
        <v/>
      </c>
    </row>
    <row r="5426" spans="1:33" ht="16.5" customHeight="1">
      <c r="A5426" s="309" t="str">
        <f>IF(B5426&lt;&gt;"",IF(AND(B5426='IN-TC'!$S$4,OR(TH!N5411="1111",TH!O5411="1111")),TH!D5411,""),"")</f>
        <v/>
      </c>
      <c r="B5426" s="1245">
        <f t="shared" si="1354"/>
        <v>11</v>
      </c>
      <c r="C5426" s="292">
        <f t="shared" si="1353"/>
        <v>43059</v>
      </c>
      <c r="D5426" s="292" t="s">
        <v>1272</v>
      </c>
      <c r="E5426" s="292">
        <v>43059</v>
      </c>
      <c r="F5426" s="67" t="s">
        <v>834</v>
      </c>
      <c r="G5426" s="943" t="s">
        <v>1713</v>
      </c>
      <c r="H5426" s="294" t="s">
        <v>1023</v>
      </c>
      <c r="I5426" s="373"/>
      <c r="J5426" s="926"/>
      <c r="K5426" s="373"/>
      <c r="L5426" s="379"/>
      <c r="M5426" s="927">
        <v>80000000</v>
      </c>
      <c r="N5426" s="295" t="s">
        <v>63</v>
      </c>
      <c r="O5426" s="295" t="s">
        <v>26</v>
      </c>
      <c r="P5426" s="75" t="str">
        <f>IF(AND('331-CT'!$E$7=TH!H4553,OR(N5426="331",O5426="331")),"x","")</f>
        <v/>
      </c>
      <c r="Q5426" s="75" t="str">
        <f>IF(AND(B5426='111'!$L$11,OR($N5426=$Q$7,$O5426=$Q$7)),"x","")</f>
        <v/>
      </c>
      <c r="R5426" s="75" t="str">
        <f>IF(AND($N5426=$Q$7,$B5426&lt;'111'!$L$11),"x","")</f>
        <v>x</v>
      </c>
      <c r="S5426" s="75" t="str">
        <f>IF(AND($O5426=$Q$7,$B5426&lt;'111'!$L$11),"x","")</f>
        <v/>
      </c>
      <c r="T5426" s="75" t="str">
        <f>IF(ISERROR(FIND('112'!$M$9,G5426,1)),"",IF((AND(FIND('112'!$M$9,G5426,1)&gt;=1,B5426='112'!$K$9,OR($N5426='112'!$I$6,$O5426='112'!$I$6))),"x",""))</f>
        <v/>
      </c>
      <c r="U5426" s="75" t="str">
        <f>IF(ISERROR(FIND('112'!$M$9,G5426,1)),"",IF((AND(LEFT(G5426,2)=LEFT('112'!$M$9,2),B5426&lt;'112'!$K$9,$N5426='112'!$I$6)),"x",""))</f>
        <v/>
      </c>
      <c r="V5426" s="75" t="str">
        <f>IF(ISERROR(FIND('112'!$M$9,G5426,1)),"",IF((AND(RIGHT(G5426,2)=RIGHT('112'!$M$9,2),B5426&lt;'112'!$K$9,$O5426='112'!$I$6)),"x",""))</f>
        <v/>
      </c>
      <c r="W5426" s="75" t="str">
        <f>IF(AND('341-CT'!$H$9=H5426,OR(LEFT(N5426,3)=$W$7,LEFT(O5426,3)=$W$7)),"x","")</f>
        <v/>
      </c>
      <c r="X5426" s="75" t="str">
        <f>IF(OR(TH!N4553=TH!$X$7,O5426=TH!$X$7),"x","")</f>
        <v/>
      </c>
      <c r="Y5426" s="75" t="str">
        <f>IF(AND(OR(N5426="131",O5426="131"),H5426='131-CT'!$H$9),"x","")</f>
        <v/>
      </c>
      <c r="Z5426" s="75"/>
      <c r="AA5426" s="75" t="str">
        <f>IF(AND(MONTH(E5426)='IN-NX'!$J$5,'IN-NX'!$D$7=D5426),"x","")</f>
        <v/>
      </c>
      <c r="AB5426" s="75" t="str">
        <f>IF(AND(OR(LEFT(TH!N4553,2)="15",LEFT(TH!O4553,2)="15"),LEFT(TH!O4553,3)&lt;&gt;"111",'152-CT'!$J$8=TH!F4553),"x","")</f>
        <v/>
      </c>
      <c r="AC5426" s="75" t="str">
        <f>IF(AND(OR(LEFT(TH!N4553,2)="15",LEFT(TH!O4553,2)="15"),TK!$E$7=TH!F4553),"x","")</f>
        <v/>
      </c>
      <c r="AD5426" s="75" t="str">
        <f>IF(AND(N5426="1521",MONTH(C5426)='BK-NL'!$M$11),"x","")</f>
        <v/>
      </c>
    </row>
    <row r="5427" spans="1:33" ht="16.5" customHeight="1">
      <c r="A5427" s="309" t="str">
        <f>IF(B5427&lt;&gt;"",IF(AND(B5427='IN-TC'!$S$4,OR(TH!N5412="1111",TH!O5412="1111")),TH!D5412,""),"")</f>
        <v/>
      </c>
      <c r="B5427" s="1245">
        <f t="shared" si="1354"/>
        <v>11</v>
      </c>
      <c r="C5427" s="292">
        <f t="shared" ref="C5427:C5490" si="1355">E5427</f>
        <v>43059</v>
      </c>
      <c r="D5427" s="59" t="s">
        <v>902</v>
      </c>
      <c r="E5427" s="59">
        <v>43059</v>
      </c>
      <c r="F5427" s="62" t="s">
        <v>907</v>
      </c>
      <c r="G5427" s="62" t="s">
        <v>747</v>
      </c>
      <c r="H5427" s="67" t="s">
        <v>835</v>
      </c>
      <c r="I5427" s="373"/>
      <c r="J5427" s="382"/>
      <c r="K5427" s="373">
        <v>10500</v>
      </c>
      <c r="L5427" s="379">
        <v>22680</v>
      </c>
      <c r="M5427" s="927">
        <f>ROUND(L5427*K5427,0)</f>
        <v>238140000</v>
      </c>
      <c r="N5427" s="61" t="s">
        <v>26</v>
      </c>
      <c r="O5427" s="61" t="s">
        <v>256</v>
      </c>
      <c r="P5427" s="75" t="str">
        <f>IF(AND('331-CT'!$E$7=TH!H5600,OR(N5427="331",O5427="331")),"x","")</f>
        <v/>
      </c>
      <c r="Q5427" s="75" t="str">
        <f>IF(AND(B5427='111'!$L$11,OR($N5427=$Q$7,$O5427=$Q$7)),"x","")</f>
        <v/>
      </c>
      <c r="R5427" s="75" t="str">
        <f>IF(AND($N5427=$Q$7,$B5427&lt;'111'!$L$11),"x","")</f>
        <v/>
      </c>
      <c r="S5427" s="75" t="str">
        <f>IF(AND($O5427=$Q$7,$B5427&lt;'111'!$L$11),"x","")</f>
        <v/>
      </c>
      <c r="T5427" s="75" t="str">
        <f>IF(ISERROR(FIND('112'!$M$9,G5427,1)),"",IF((AND(FIND('112'!$M$9,G5427,1)&gt;=1,B5427='112'!$K$9,OR($N5427='112'!$I$6,$O5427='112'!$I$6))),"x",""))</f>
        <v/>
      </c>
      <c r="U5427" s="75" t="str">
        <f>IF(ISERROR(FIND('112'!$M$9,G5427,1)),"",IF((AND(LEFT(G5427,2)=LEFT('112'!$M$9,2),B5427&lt;'112'!$K$9,$N5427='112'!$I$6)),"x",""))</f>
        <v/>
      </c>
      <c r="V5427" s="75" t="str">
        <f>IF(ISERROR(FIND('112'!$M$9,G5427,1)),"",IF((AND(RIGHT(G5427,2)=RIGHT('112'!$M$9,2),B5427&lt;'112'!$K$9,$O5427='112'!$I$6)),"x",""))</f>
        <v/>
      </c>
      <c r="W5427" s="75" t="str">
        <f>IF(AND('341-CT'!$H$9=H5427,OR(LEFT(N5427,3)=$W$7,LEFT(O5427,3)=$W$7)),"x","")</f>
        <v/>
      </c>
      <c r="X5427" s="75" t="str">
        <f>IF(OR(TH!N5600=TH!$X$7,O5427=TH!$X$7),"x","")</f>
        <v/>
      </c>
      <c r="Y5427" s="75" t="str">
        <f>IF(AND(OR(N5427="131",O5427="131"),H5427='131-CT'!$H$9),"x","")</f>
        <v/>
      </c>
      <c r="Z5427" s="75"/>
      <c r="AA5427" s="75" t="str">
        <f>IF(AND(MONTH(E5427)='IN-NX'!$J$5,'IN-NX'!$D$7=D5427),"x","")</f>
        <v/>
      </c>
      <c r="AB5427" s="75" t="str">
        <f>IF(AND(OR(LEFT(TH!N5600,2)="15",LEFT(TH!O5600,2)="15"),LEFT(TH!O5600,3)&lt;&gt;"111",'152-CT'!$J$8=TH!F5600),"x","")</f>
        <v/>
      </c>
      <c r="AC5427" s="75" t="str">
        <f>IF(AND(OR(LEFT(TH!N5600,2)="15",LEFT(TH!O5600,2)="15"),TK!$E$7=TH!F5600),"x","")</f>
        <v/>
      </c>
      <c r="AD5427" s="75" t="str">
        <f>IF(AND(N5427="1521",MONTH(C5427)='BK-NL'!$M$11),"x","")</f>
        <v/>
      </c>
    </row>
    <row r="5428" spans="1:33" ht="16.5" customHeight="1">
      <c r="A5428" s="309" t="str">
        <f>IF(B5428&lt;&gt;"",IF(AND(B5428='IN-TC'!$S$4,OR(TH!N5413="1111",TH!O5413="1111")),TH!D5413,""),"")</f>
        <v/>
      </c>
      <c r="B5428" s="1245">
        <f t="shared" si="1354"/>
        <v>11</v>
      </c>
      <c r="C5428" s="292">
        <f t="shared" si="1355"/>
        <v>43059</v>
      </c>
      <c r="D5428" s="59" t="s">
        <v>2258</v>
      </c>
      <c r="E5428" s="59">
        <v>43059</v>
      </c>
      <c r="F5428" s="62" t="s">
        <v>834</v>
      </c>
      <c r="G5428" s="62" t="s">
        <v>747</v>
      </c>
      <c r="H5428" s="294" t="s">
        <v>1023</v>
      </c>
      <c r="I5428" s="375"/>
      <c r="J5428" s="382"/>
      <c r="K5428" s="375"/>
      <c r="L5428" s="381"/>
      <c r="M5428" s="60">
        <v>230000000</v>
      </c>
      <c r="N5428" s="61" t="s">
        <v>63</v>
      </c>
      <c r="O5428" s="61" t="s">
        <v>26</v>
      </c>
      <c r="P5428" s="75" t="str">
        <f>IF(AND('331-CT'!$E$7=TH!H5601,OR(N5428="331",O5428="331")),"x","")</f>
        <v/>
      </c>
      <c r="Q5428" s="75" t="str">
        <f>IF(AND(B5428='111'!$L$11,OR($N5428=$Q$7,$O5428=$Q$7)),"x","")</f>
        <v/>
      </c>
      <c r="R5428" s="75" t="str">
        <f>IF(AND($N5428=$Q$7,$B5428&lt;'111'!$L$11),"x","")</f>
        <v>x</v>
      </c>
      <c r="S5428" s="75" t="str">
        <f>IF(AND($O5428=$Q$7,$B5428&lt;'111'!$L$11),"x","")</f>
        <v/>
      </c>
      <c r="T5428" s="75" t="str">
        <f>IF(ISERROR(FIND('112'!$M$9,G5428,1)),"",IF((AND(FIND('112'!$M$9,G5428,1)&gt;=1,B5428='112'!$K$9,OR($N5428='112'!$I$6,$O5428='112'!$I$6))),"x",""))</f>
        <v/>
      </c>
      <c r="U5428" s="75" t="str">
        <f>IF(ISERROR(FIND('112'!$M$9,G5428,1)),"",IF((AND(LEFT(G5428,2)=LEFT('112'!$M$9,2),B5428&lt;'112'!$K$9,$N5428='112'!$I$6)),"x",""))</f>
        <v/>
      </c>
      <c r="V5428" s="75" t="str">
        <f>IF(ISERROR(FIND('112'!$M$9,G5428,1)),"",IF((AND(RIGHT(G5428,2)=RIGHT('112'!$M$9,2),B5428&lt;'112'!$K$9,$O5428='112'!$I$6)),"x",""))</f>
        <v/>
      </c>
      <c r="W5428" s="75" t="str">
        <f>IF(AND('341-CT'!$H$9=H5428,OR(LEFT(N5428,3)=$W$7,LEFT(O5428,3)=$W$7)),"x","")</f>
        <v/>
      </c>
      <c r="X5428" s="75" t="str">
        <f>IF(OR(TH!N5601=TH!$X$7,O5428=TH!$X$7),"x","")</f>
        <v/>
      </c>
      <c r="Y5428" s="75" t="str">
        <f>IF(AND(OR(N5428="131",O5428="131"),H5428='131-CT'!$H$9),"x","")</f>
        <v/>
      </c>
      <c r="Z5428" s="75"/>
      <c r="AA5428" s="75" t="str">
        <f>IF(AND(MONTH(E5428)='IN-NX'!$J$5,'IN-NX'!$D$7=D5428),"x","")</f>
        <v/>
      </c>
      <c r="AB5428" s="75" t="str">
        <f>IF(AND(OR(LEFT(TH!N5601,2)="15",LEFT(TH!O5601,2)="15"),LEFT(TH!O5601,3)&lt;&gt;"111",'152-CT'!$J$8=TH!F5601),"x","")</f>
        <v/>
      </c>
      <c r="AC5428" s="75" t="str">
        <f>IF(AND(OR(LEFT(TH!N5601,2)="15",LEFT(TH!O5601,2)="15"),TK!$E$7=TH!F5601),"x","")</f>
        <v/>
      </c>
      <c r="AD5428" s="75" t="str">
        <f>IF(AND(N5428="1521",MONTH(C5428)='BK-NL'!$M$11),"x","")</f>
        <v/>
      </c>
    </row>
    <row r="5429" spans="1:33" ht="16.5" customHeight="1">
      <c r="A5429" s="309" t="str">
        <f>IF(B5429&lt;&gt;"",IF(AND(B5429='IN-TC'!$S$4,OR(TH!N5414="1111",TH!O5414="1111")),TH!D5414,""),"")</f>
        <v/>
      </c>
      <c r="B5429" s="1245">
        <f t="shared" si="1354"/>
        <v>11</v>
      </c>
      <c r="C5429" s="292">
        <f t="shared" si="1355"/>
        <v>43060</v>
      </c>
      <c r="D5429" s="292"/>
      <c r="E5429" s="292">
        <v>43060</v>
      </c>
      <c r="F5429" s="67" t="s">
        <v>2698</v>
      </c>
      <c r="G5429" s="925" t="s">
        <v>2892</v>
      </c>
      <c r="H5429" s="294" t="s">
        <v>948</v>
      </c>
      <c r="I5429" s="373"/>
      <c r="J5429" s="926"/>
      <c r="K5429" s="373"/>
      <c r="L5429" s="379"/>
      <c r="M5429" s="927">
        <v>854545</v>
      </c>
      <c r="N5429" s="295" t="s">
        <v>539</v>
      </c>
      <c r="O5429" s="295" t="s">
        <v>63</v>
      </c>
      <c r="P5429" s="75" t="str">
        <f>IF(AND('331-CT'!$E$7=TH!H4111,OR(N5429="331",O5429="331")),"x","")</f>
        <v/>
      </c>
      <c r="Q5429" s="75" t="str">
        <f>IF(AND(B5429='111'!$L$11,OR($N5429=$Q$7,$O5429=$Q$7)),"x","")</f>
        <v/>
      </c>
      <c r="R5429" s="75" t="str">
        <f>IF(AND($N5429=$Q$7,$B5429&lt;'111'!$L$11),"x","")</f>
        <v/>
      </c>
      <c r="S5429" s="75" t="str">
        <f>IF(AND($O5429=$Q$7,$B5429&lt;'111'!$L$11),"x","")</f>
        <v>x</v>
      </c>
      <c r="T5429" s="75" t="str">
        <f>IF(ISERROR(FIND('112'!$M$9,G5429,1)),"",IF((AND(FIND('112'!$M$9,G5429,1)&gt;=1,B5429='112'!$K$9,OR($N5429='112'!$I$6,$O5429='112'!$I$6))),"x",""))</f>
        <v/>
      </c>
      <c r="U5429" s="75" t="str">
        <f>IF(ISERROR(FIND('112'!$M$9,G5429,1)),"",IF((AND(LEFT(G5429,2)=LEFT('112'!$M$9,2),B5429&lt;'112'!$K$9,$N5429='112'!$I$6)),"x",""))</f>
        <v/>
      </c>
      <c r="V5429" s="75" t="str">
        <f>IF(ISERROR(FIND('112'!$M$9,G5429,1)),"",IF((AND(RIGHT(G5429,2)=RIGHT('112'!$M$9,2),B5429&lt;'112'!$K$9,$O5429='112'!$I$6)),"x",""))</f>
        <v/>
      </c>
      <c r="W5429" s="75" t="str">
        <f>IF(AND('341-CT'!$H$9=H5429,OR(LEFT(N5429,3)=$W$7,LEFT(O5429,3)=$W$7)),"x","")</f>
        <v/>
      </c>
      <c r="X5429" s="75" t="str">
        <f>IF(OR(TH!N4111=TH!$X$7,O5429=TH!$X$7),"x","")</f>
        <v/>
      </c>
      <c r="Y5429" s="75" t="str">
        <f>IF(AND(OR(N5429="131",O5429="131"),H5429='131-CT'!$H$9),"x","")</f>
        <v/>
      </c>
      <c r="Z5429" s="75"/>
      <c r="AA5429" s="75" t="str">
        <f>IF(AND(MONTH(E5429)='IN-NX'!$J$5,'IN-NX'!$D$7=D5429),"x","")</f>
        <v/>
      </c>
      <c r="AB5429" s="75" t="str">
        <f>IF(AND(OR(LEFT(TH!N4111,2)="15",LEFT(TH!O4111,2)="15"),LEFT(TH!O4111,3)&lt;&gt;"111",'152-CT'!$J$8=TH!F4111),"x","")</f>
        <v/>
      </c>
      <c r="AC5429" s="75" t="str">
        <f>IF(AND(OR(LEFT(TH!N4111,2)="15",LEFT(TH!O4111,2)="15"),TK!$E$7=TH!F4111),"x","")</f>
        <v/>
      </c>
      <c r="AD5429" s="75" t="str">
        <f>IF(AND(N5429="1521",MONTH(C5429)='BK-NL'!$M$11),"x","")</f>
        <v/>
      </c>
      <c r="AE5429" t="s">
        <v>2969</v>
      </c>
    </row>
    <row r="5430" spans="1:33" ht="16.5" customHeight="1">
      <c r="A5430" s="309" t="str">
        <f>IF(B5430&lt;&gt;"",IF(AND(B5430='IN-TC'!$S$4,OR(TH!N5415="1111",TH!O5415="1111")),TH!D5415,""),"")</f>
        <v/>
      </c>
      <c r="B5430" s="1245">
        <f t="shared" si="1354"/>
        <v>11</v>
      </c>
      <c r="C5430" s="292">
        <f t="shared" si="1355"/>
        <v>43060</v>
      </c>
      <c r="D5430" s="292"/>
      <c r="E5430" s="292">
        <v>43060</v>
      </c>
      <c r="F5430" s="67" t="s">
        <v>2699</v>
      </c>
      <c r="G5430" s="925" t="s">
        <v>2892</v>
      </c>
      <c r="H5430" s="294" t="s">
        <v>948</v>
      </c>
      <c r="I5430" s="373"/>
      <c r="J5430" s="926"/>
      <c r="K5430" s="373"/>
      <c r="L5430" s="379"/>
      <c r="M5430" s="927">
        <v>85455</v>
      </c>
      <c r="N5430" s="295" t="s">
        <v>9</v>
      </c>
      <c r="O5430" s="295" t="s">
        <v>63</v>
      </c>
      <c r="P5430" s="75" t="str">
        <f>IF(AND('331-CT'!$E$7=TH!H4112,OR(N5430="331",O5430="331")),"x","")</f>
        <v/>
      </c>
      <c r="Q5430" s="75" t="str">
        <f>IF(AND(B5430='111'!$L$11,OR($N5430=$Q$7,$O5430=$Q$7)),"x","")</f>
        <v/>
      </c>
      <c r="R5430" s="75" t="str">
        <f>IF(AND($N5430=$Q$7,$B5430&lt;'111'!$L$11),"x","")</f>
        <v/>
      </c>
      <c r="S5430" s="75" t="str">
        <f>IF(AND($O5430=$Q$7,$B5430&lt;'111'!$L$11),"x","")</f>
        <v>x</v>
      </c>
      <c r="T5430" s="75" t="str">
        <f>IF(ISERROR(FIND('112'!$M$9,G5430,1)),"",IF((AND(FIND('112'!$M$9,G5430,1)&gt;=1,B5430='112'!$K$9,OR($N5430='112'!$I$6,$O5430='112'!$I$6))),"x",""))</f>
        <v/>
      </c>
      <c r="U5430" s="75" t="str">
        <f>IF(ISERROR(FIND('112'!$M$9,G5430,1)),"",IF((AND(LEFT(G5430,2)=LEFT('112'!$M$9,2),B5430&lt;'112'!$K$9,$N5430='112'!$I$6)),"x",""))</f>
        <v/>
      </c>
      <c r="V5430" s="75" t="str">
        <f>IF(ISERROR(FIND('112'!$M$9,G5430,1)),"",IF((AND(RIGHT(G5430,2)=RIGHT('112'!$M$9,2),B5430&lt;'112'!$K$9,$O5430='112'!$I$6)),"x",""))</f>
        <v/>
      </c>
      <c r="W5430" s="75" t="str">
        <f>IF(AND('341-CT'!$H$9=H5430,OR(LEFT(N5430,3)=$W$7,LEFT(O5430,3)=$W$7)),"x","")</f>
        <v/>
      </c>
      <c r="X5430" s="75" t="str">
        <f>IF(OR(TH!N4112=TH!$X$7,O5430=TH!$X$7),"x","")</f>
        <v/>
      </c>
      <c r="Y5430" s="75" t="str">
        <f>IF(AND(OR(N5430="131",O5430="131"),H5430='131-CT'!$H$9),"x","")</f>
        <v/>
      </c>
      <c r="Z5430" s="75"/>
      <c r="AA5430" s="75" t="str">
        <f>IF(AND(MONTH(E5430)='IN-NX'!$J$5,'IN-NX'!$D$7=D5430),"x","")</f>
        <v/>
      </c>
      <c r="AB5430" s="75" t="str">
        <f>IF(AND(OR(LEFT(TH!N4112,2)="15",LEFT(TH!O4112,2)="15"),LEFT(TH!O4112,3)&lt;&gt;"111",'152-CT'!$J$8=TH!F4112),"x","")</f>
        <v/>
      </c>
      <c r="AC5430" s="75" t="str">
        <f>IF(AND(OR(LEFT(TH!N4112,2)="15",LEFT(TH!O4112,2)="15"),TK!$E$7=TH!F4112),"x","")</f>
        <v/>
      </c>
      <c r="AD5430" s="75" t="str">
        <f>IF(AND(N5430="1521",MONTH(C5430)='BK-NL'!$M$11),"x","")</f>
        <v/>
      </c>
      <c r="AE5430" t="s">
        <v>2969</v>
      </c>
    </row>
    <row r="5431" spans="1:33" ht="16.5" customHeight="1">
      <c r="A5431" s="309" t="str">
        <f>IF(B5431&lt;&gt;"",IF(AND(B5431='IN-TC'!$S$4,OR(TH!N5416="1111",TH!O5416="1111")),TH!D5416,""),"")</f>
        <v/>
      </c>
      <c r="B5431" s="1245">
        <f t="shared" si="1354"/>
        <v>11</v>
      </c>
      <c r="C5431" s="292">
        <f t="shared" si="1355"/>
        <v>43060</v>
      </c>
      <c r="D5431" s="59" t="s">
        <v>902</v>
      </c>
      <c r="E5431" s="59">
        <v>43060</v>
      </c>
      <c r="F5431" s="62" t="s">
        <v>1307</v>
      </c>
      <c r="G5431" s="62" t="s">
        <v>747</v>
      </c>
      <c r="H5431" s="294" t="s">
        <v>835</v>
      </c>
      <c r="I5431" s="373"/>
      <c r="J5431" s="382"/>
      <c r="K5431" s="373"/>
      <c r="L5431" s="379"/>
      <c r="M5431" s="60">
        <v>127157</v>
      </c>
      <c r="N5431" s="61" t="s">
        <v>101</v>
      </c>
      <c r="O5431" s="61" t="s">
        <v>26</v>
      </c>
      <c r="P5431" s="75" t="str">
        <f>IF(AND('331-CT'!$E$7=TH!H5602,OR(N5431="331",O5431="331")),"x","")</f>
        <v/>
      </c>
      <c r="Q5431" s="75" t="str">
        <f>IF(AND(B5431='111'!$L$11,OR($N5431=$Q$7,$O5431=$Q$7)),"x","")</f>
        <v/>
      </c>
      <c r="R5431" s="75" t="str">
        <f>IF(AND($N5431=$Q$7,$B5431&lt;'111'!$L$11),"x","")</f>
        <v/>
      </c>
      <c r="S5431" s="75" t="str">
        <f>IF(AND($O5431=$Q$7,$B5431&lt;'111'!$L$11),"x","")</f>
        <v/>
      </c>
      <c r="T5431" s="75" t="str">
        <f>IF(ISERROR(FIND('112'!$M$9,G5431,1)),"",IF((AND(FIND('112'!$M$9,G5431,1)&gt;=1,B5431='112'!$K$9,OR($N5431='112'!$I$6,$O5431='112'!$I$6))),"x",""))</f>
        <v/>
      </c>
      <c r="U5431" s="75" t="str">
        <f>IF(ISERROR(FIND('112'!$M$9,G5431,1)),"",IF((AND(LEFT(G5431,2)=LEFT('112'!$M$9,2),B5431&lt;'112'!$K$9,$N5431='112'!$I$6)),"x",""))</f>
        <v/>
      </c>
      <c r="V5431" s="75" t="str">
        <f>IF(ISERROR(FIND('112'!$M$9,G5431,1)),"",IF((AND(RIGHT(G5431,2)=RIGHT('112'!$M$9,2),B5431&lt;'112'!$K$9,$O5431='112'!$I$6)),"x",""))</f>
        <v/>
      </c>
      <c r="W5431" s="75" t="str">
        <f>IF(AND('341-CT'!$H$9=H5431,OR(LEFT(N5431,3)=$W$7,LEFT(O5431,3)=$W$7)),"x","")</f>
        <v/>
      </c>
      <c r="X5431" s="75" t="str">
        <f>IF(OR(TH!N5602=TH!$X$7,O5431=TH!$X$7),"x","")</f>
        <v/>
      </c>
      <c r="Y5431" s="75" t="str">
        <f>IF(AND(OR(N5431="131",O5431="131"),H5431='131-CT'!$H$9),"x","")</f>
        <v/>
      </c>
      <c r="Z5431" s="75"/>
      <c r="AA5431" s="75" t="str">
        <f>IF(AND(MONTH(E5431)='IN-NX'!$J$5,'IN-NX'!$D$7=D5431),"x","")</f>
        <v/>
      </c>
      <c r="AB5431" s="75" t="str">
        <f>IF(AND(OR(LEFT(TH!N5602,2)="15",LEFT(TH!O5602,2)="15"),LEFT(TH!O5602,3)&lt;&gt;"111",'152-CT'!$J$8=TH!F5602),"x","")</f>
        <v/>
      </c>
      <c r="AC5431" s="75" t="str">
        <f>IF(AND(OR(LEFT(TH!N5602,2)="15",LEFT(TH!O5602,2)="15"),TK!$E$7=TH!F5602),"x","")</f>
        <v/>
      </c>
      <c r="AD5431" s="75" t="str">
        <f>IF(AND(N5431="1521",MONTH(C5431)='BK-NL'!$M$11),"x","")</f>
        <v/>
      </c>
    </row>
    <row r="5432" spans="1:33" ht="16.5" customHeight="1">
      <c r="A5432" s="309" t="str">
        <f>IF(B5432&lt;&gt;"",IF(AND(B5432='IN-TC'!$S$4,OR(TH!N5417="1111",TH!O5417="1111")),TH!D5417,""),"")</f>
        <v/>
      </c>
      <c r="B5432" s="1245">
        <f t="shared" si="1354"/>
        <v>11</v>
      </c>
      <c r="C5432" s="292">
        <f t="shared" si="1355"/>
        <v>43061</v>
      </c>
      <c r="D5432" s="292" t="s">
        <v>903</v>
      </c>
      <c r="E5432" s="292">
        <v>43061</v>
      </c>
      <c r="F5432" s="67" t="s">
        <v>907</v>
      </c>
      <c r="G5432" s="293" t="s">
        <v>1713</v>
      </c>
      <c r="H5432" s="294" t="s">
        <v>1771</v>
      </c>
      <c r="I5432" s="373"/>
      <c r="J5432" s="926"/>
      <c r="K5432" s="373">
        <v>369300</v>
      </c>
      <c r="L5432" s="379">
        <v>22722</v>
      </c>
      <c r="M5432" s="74">
        <f>ROUND(K5432*L5432,0)</f>
        <v>8391234600</v>
      </c>
      <c r="N5432" s="295" t="s">
        <v>26</v>
      </c>
      <c r="O5432" s="295" t="s">
        <v>256</v>
      </c>
      <c r="P5432" s="75" t="str">
        <f>IF(AND('331-CT'!$E$7=TH!H4554,OR(N5432="331",O5432="331")),"x","")</f>
        <v/>
      </c>
      <c r="Q5432" s="75" t="str">
        <f>IF(AND(B5432='111'!$L$11,OR($N5432=$Q$7,$O5432=$Q$7)),"x","")</f>
        <v/>
      </c>
      <c r="R5432" s="75" t="str">
        <f>IF(AND($N5432=$Q$7,$B5432&lt;'111'!$L$11),"x","")</f>
        <v/>
      </c>
      <c r="S5432" s="75" t="str">
        <f>IF(AND($O5432=$Q$7,$B5432&lt;'111'!$L$11),"x","")</f>
        <v/>
      </c>
      <c r="T5432" s="75" t="str">
        <f>IF(ISERROR(FIND('112'!$M$9,G5432,1)),"",IF((AND(FIND('112'!$M$9,G5432,1)&gt;=1,B5432='112'!$K$9,OR($N5432='112'!$I$6,$O5432='112'!$I$6))),"x",""))</f>
        <v/>
      </c>
      <c r="U5432" s="75" t="str">
        <f>IF(ISERROR(FIND('112'!$M$9,G5432,1)),"",IF((AND(LEFT(G5432,2)=LEFT('112'!$M$9,2),B5432&lt;'112'!$K$9,$N5432='112'!$I$6)),"x",""))</f>
        <v/>
      </c>
      <c r="V5432" s="75" t="str">
        <f>IF(ISERROR(FIND('112'!$M$9,G5432,1)),"",IF((AND(RIGHT(G5432,2)=RIGHT('112'!$M$9,2),B5432&lt;'112'!$K$9,$O5432='112'!$I$6)),"x",""))</f>
        <v/>
      </c>
      <c r="W5432" s="75" t="str">
        <f>IF(AND('341-CT'!$H$9=H5432,OR(LEFT(N5432,3)=$W$7,LEFT(O5432,3)=$W$7)),"x","")</f>
        <v/>
      </c>
      <c r="X5432" s="75" t="str">
        <f>IF(OR(TH!N4554=TH!$X$7,O5432=TH!$X$7),"x","")</f>
        <v/>
      </c>
      <c r="Y5432" s="75" t="str">
        <f>IF(AND(OR(N5432="131",O5432="131"),H5432='131-CT'!$H$9),"x","")</f>
        <v/>
      </c>
      <c r="Z5432" s="75"/>
      <c r="AA5432" s="75" t="str">
        <f>IF(AND(MONTH(E5432)='IN-NX'!$J$5,'IN-NX'!$D$7=D5432),"x","")</f>
        <v/>
      </c>
      <c r="AB5432" s="75" t="str">
        <f>IF(AND(OR(LEFT(TH!N4554,2)="15",LEFT(TH!O4554,2)="15"),LEFT(TH!O4554,3)&lt;&gt;"111",'152-CT'!$J$8=TH!F4554),"x","")</f>
        <v/>
      </c>
      <c r="AC5432" s="75" t="str">
        <f>IF(AND(OR(LEFT(TH!N4554,2)="15",LEFT(TH!O4554,2)="15"),TK!$E$7=TH!F4554),"x","")</f>
        <v/>
      </c>
      <c r="AD5432" s="75" t="str">
        <f>IF(AND(N5432="1521",MONTH(C5432)='BK-NL'!$M$11),"x","")</f>
        <v/>
      </c>
    </row>
    <row r="5433" spans="1:33" ht="16.5" customHeight="1">
      <c r="A5433" s="309" t="str">
        <f>IF(B5433&lt;&gt;"",IF(AND(B5433='IN-TC'!$S$4,OR(TH!N5418="1111",TH!O5418="1111")),TH!D5418,""),"")</f>
        <v/>
      </c>
      <c r="B5433" s="1245">
        <f t="shared" si="1354"/>
        <v>11</v>
      </c>
      <c r="C5433" s="292">
        <f t="shared" si="1355"/>
        <v>43061</v>
      </c>
      <c r="D5433" s="292" t="s">
        <v>903</v>
      </c>
      <c r="E5433" s="292">
        <v>43061</v>
      </c>
      <c r="F5433" s="67" t="s">
        <v>2039</v>
      </c>
      <c r="G5433" s="293" t="s">
        <v>1713</v>
      </c>
      <c r="H5433" s="294" t="s">
        <v>1771</v>
      </c>
      <c r="I5433" s="373"/>
      <c r="J5433" s="926"/>
      <c r="K5433" s="373"/>
      <c r="L5433" s="379"/>
      <c r="M5433" s="927">
        <v>8390000000</v>
      </c>
      <c r="N5433" s="295" t="s">
        <v>2415</v>
      </c>
      <c r="O5433" s="295" t="s">
        <v>26</v>
      </c>
      <c r="P5433" s="75" t="str">
        <f>IF(AND('331-CT'!$E$7=TH!H4555,OR(N5433="331",O5433="331")),"x","")</f>
        <v/>
      </c>
      <c r="Q5433" s="75" t="str">
        <f>IF(AND(B5433='111'!$L$11,OR($N5433=$Q$7,$O5433=$Q$7)),"x","")</f>
        <v/>
      </c>
      <c r="R5433" s="75" t="str">
        <f>IF(AND($N5433=$Q$7,$B5433&lt;'111'!$L$11),"x","")</f>
        <v/>
      </c>
      <c r="S5433" s="75" t="str">
        <f>IF(AND($O5433=$Q$7,$B5433&lt;'111'!$L$11),"x","")</f>
        <v/>
      </c>
      <c r="T5433" s="75" t="str">
        <f>IF(ISERROR(FIND('112'!$M$9,G5433,1)),"",IF((AND(FIND('112'!$M$9,G5433,1)&gt;=1,B5433='112'!$K$9,OR($N5433='112'!$I$6,$O5433='112'!$I$6))),"x",""))</f>
        <v/>
      </c>
      <c r="U5433" s="75" t="str">
        <f>IF(ISERROR(FIND('112'!$M$9,G5433,1)),"",IF((AND(LEFT(G5433,2)=LEFT('112'!$M$9,2),B5433&lt;'112'!$K$9,$N5433='112'!$I$6)),"x",""))</f>
        <v/>
      </c>
      <c r="V5433" s="75" t="str">
        <f>IF(ISERROR(FIND('112'!$M$9,G5433,1)),"",IF((AND(RIGHT(G5433,2)=RIGHT('112'!$M$9,2),B5433&lt;'112'!$K$9,$O5433='112'!$I$6)),"x",""))</f>
        <v/>
      </c>
      <c r="W5433" s="75" t="str">
        <f>IF(AND('341-CT'!$H$9=H5433,OR(LEFT(N5433,3)=$W$7,LEFT(O5433,3)=$W$7)),"x","")</f>
        <v/>
      </c>
      <c r="X5433" s="75" t="str">
        <f>IF(OR(TH!N4555=TH!$X$7,O5433=TH!$X$7),"x","")</f>
        <v/>
      </c>
      <c r="Y5433" s="75" t="str">
        <f>IF(AND(OR(N5433="131",O5433="131"),H5433='131-CT'!$H$9),"x","")</f>
        <v/>
      </c>
      <c r="Z5433" s="75"/>
      <c r="AA5433" s="75" t="str">
        <f>IF(AND(MONTH(E5433)='IN-NX'!$J$5,'IN-NX'!$D$7=D5433),"x","")</f>
        <v/>
      </c>
      <c r="AB5433" s="75" t="str">
        <f>IF(AND(OR(LEFT(TH!N4555,2)="15",LEFT(TH!O4555,2)="15"),LEFT(TH!O4555,3)&lt;&gt;"111",'152-CT'!$J$8=TH!F4555),"x","")</f>
        <v/>
      </c>
      <c r="AC5433" s="75" t="str">
        <f>IF(AND(OR(LEFT(TH!N4555,2)="15",LEFT(TH!O4555,2)="15"),TK!$E$7=TH!F4555),"x","")</f>
        <v/>
      </c>
      <c r="AD5433" s="75" t="str">
        <f>IF(AND(N5433="1521",MONTH(C5433)='BK-NL'!$M$11),"x","")</f>
        <v/>
      </c>
    </row>
    <row r="5434" spans="1:33" ht="16.5" customHeight="1">
      <c r="A5434" s="309" t="str">
        <f>IF(B5434&lt;&gt;"",IF(AND(B5434='IN-TC'!$S$4,OR(TH!N5419="1111",TH!O5419="1111")),TH!D5419,""),"")</f>
        <v/>
      </c>
      <c r="B5434" s="1245">
        <f t="shared" si="1354"/>
        <v>11</v>
      </c>
      <c r="C5434" s="292">
        <f t="shared" si="1355"/>
        <v>43062</v>
      </c>
      <c r="D5434" s="59"/>
      <c r="E5434" s="59">
        <v>43062</v>
      </c>
      <c r="F5434" s="62" t="s">
        <v>221</v>
      </c>
      <c r="G5434" s="742" t="s">
        <v>2644</v>
      </c>
      <c r="H5434" s="67" t="s">
        <v>556</v>
      </c>
      <c r="I5434" s="375"/>
      <c r="J5434" s="382"/>
      <c r="K5434" s="375"/>
      <c r="L5434" s="381"/>
      <c r="M5434" s="60">
        <v>11386364</v>
      </c>
      <c r="N5434" s="61" t="s">
        <v>101</v>
      </c>
      <c r="O5434" s="61" t="s">
        <v>63</v>
      </c>
      <c r="P5434" s="75" t="str">
        <f>IF(AND('331-CT'!$E$7=TH!H4113,OR(N5434="331",O5434="331")),"x","")</f>
        <v/>
      </c>
      <c r="Q5434" s="75" t="str">
        <f>IF(AND(B5434='111'!$L$11,OR($N5434=$Q$7,$O5434=$Q$7)),"x","")</f>
        <v/>
      </c>
      <c r="R5434" s="75" t="str">
        <f>IF(AND($N5434=$Q$7,$B5434&lt;'111'!$L$11),"x","")</f>
        <v/>
      </c>
      <c r="S5434" s="75" t="str">
        <f>IF(AND($O5434=$Q$7,$B5434&lt;'111'!$L$11),"x","")</f>
        <v>x</v>
      </c>
      <c r="T5434" s="75" t="str">
        <f>IF(ISERROR(FIND('112'!$M$9,G5434,1)),"",IF((AND(FIND('112'!$M$9,G5434,1)&gt;=1,B5434='112'!$K$9,OR($N5434='112'!$I$6,$O5434='112'!$I$6))),"x",""))</f>
        <v/>
      </c>
      <c r="U5434" s="75" t="str">
        <f>IF(ISERROR(FIND('112'!$M$9,G5434,1)),"",IF((AND(LEFT(G5434,2)=LEFT('112'!$M$9,2),B5434&lt;'112'!$K$9,$N5434='112'!$I$6)),"x",""))</f>
        <v/>
      </c>
      <c r="V5434" s="75" t="str">
        <f>IF(ISERROR(FIND('112'!$M$9,G5434,1)),"",IF((AND(RIGHT(G5434,2)=RIGHT('112'!$M$9,2),B5434&lt;'112'!$K$9,$O5434='112'!$I$6)),"x",""))</f>
        <v/>
      </c>
      <c r="W5434" s="75" t="str">
        <f>IF(AND('341-CT'!$H$9=H5434,OR(LEFT(N5434,3)=$W$7,LEFT(O5434,3)=$W$7)),"x","")</f>
        <v/>
      </c>
      <c r="X5434" s="75" t="str">
        <f>IF(OR(TH!N4113=TH!$X$7,O5434=TH!$X$7),"x","")</f>
        <v/>
      </c>
      <c r="Y5434" s="75" t="str">
        <f>IF(AND(OR(N5434="131",O5434="131"),H5434='131-CT'!$H$9),"x","")</f>
        <v/>
      </c>
      <c r="Z5434" s="75"/>
      <c r="AA5434" s="75" t="str">
        <f>IF(AND(MONTH(E5434)='IN-NX'!$J$5,'IN-NX'!$D$7=D5434),"x","")</f>
        <v/>
      </c>
      <c r="AB5434" s="75" t="str">
        <f>IF(AND(OR(LEFT(TH!N4113,2)="15",LEFT(TH!O4113,2)="15"),LEFT(TH!O4113,3)&lt;&gt;"111",'152-CT'!$J$8=TH!F4113),"x","")</f>
        <v/>
      </c>
      <c r="AC5434" s="75" t="str">
        <f>IF(AND(OR(LEFT(TH!N4113,2)="15",LEFT(TH!O4113,2)="15"),TK!$E$7=TH!F4113),"x","")</f>
        <v/>
      </c>
      <c r="AD5434" s="75" t="str">
        <f>IF(AND(N5434="1521",MONTH(C5434)='BK-NL'!$M$11),"x","")</f>
        <v/>
      </c>
      <c r="AE5434">
        <v>11</v>
      </c>
    </row>
    <row r="5435" spans="1:33" ht="16.5" customHeight="1">
      <c r="A5435" s="309" t="str">
        <f>IF(B5435&lt;&gt;"",IF(AND(B5435='IN-TC'!$S$4,OR(TH!N5420="1111",TH!O5420="1111")),TH!D5420,""),"")</f>
        <v/>
      </c>
      <c r="B5435" s="1245">
        <f t="shared" si="1354"/>
        <v>11</v>
      </c>
      <c r="C5435" s="292">
        <f t="shared" si="1355"/>
        <v>43062</v>
      </c>
      <c r="D5435" s="59"/>
      <c r="E5435" s="59">
        <v>43062</v>
      </c>
      <c r="F5435" s="62" t="s">
        <v>943</v>
      </c>
      <c r="G5435" s="742" t="s">
        <v>2644</v>
      </c>
      <c r="H5435" s="67" t="s">
        <v>556</v>
      </c>
      <c r="I5435" s="375"/>
      <c r="J5435" s="382"/>
      <c r="K5435" s="375"/>
      <c r="L5435" s="381"/>
      <c r="M5435" s="60">
        <v>1138636</v>
      </c>
      <c r="N5435" s="61" t="s">
        <v>9</v>
      </c>
      <c r="O5435" s="61" t="s">
        <v>63</v>
      </c>
      <c r="P5435" s="75" t="str">
        <f>IF(AND('331-CT'!$E$7=TH!H4114,OR(N5435="331",O5435="331")),"x","")</f>
        <v/>
      </c>
      <c r="Q5435" s="75" t="str">
        <f>IF(AND(B5435='111'!$L$11,OR($N5435=$Q$7,$O5435=$Q$7)),"x","")</f>
        <v/>
      </c>
      <c r="R5435" s="75" t="str">
        <f>IF(AND($N5435=$Q$7,$B5435&lt;'111'!$L$11),"x","")</f>
        <v/>
      </c>
      <c r="S5435" s="75" t="str">
        <f>IF(AND($O5435=$Q$7,$B5435&lt;'111'!$L$11),"x","")</f>
        <v>x</v>
      </c>
      <c r="T5435" s="75" t="str">
        <f>IF(ISERROR(FIND('112'!$M$9,G5435,1)),"",IF((AND(FIND('112'!$M$9,G5435,1)&gt;=1,B5435='112'!$K$9,OR($N5435='112'!$I$6,$O5435='112'!$I$6))),"x",""))</f>
        <v/>
      </c>
      <c r="U5435" s="75" t="str">
        <f>IF(ISERROR(FIND('112'!$M$9,G5435,1)),"",IF((AND(LEFT(G5435,2)=LEFT('112'!$M$9,2),B5435&lt;'112'!$K$9,$N5435='112'!$I$6)),"x",""))</f>
        <v/>
      </c>
      <c r="V5435" s="75" t="str">
        <f>IF(ISERROR(FIND('112'!$M$9,G5435,1)),"",IF((AND(RIGHT(G5435,2)=RIGHT('112'!$M$9,2),B5435&lt;'112'!$K$9,$O5435='112'!$I$6)),"x",""))</f>
        <v/>
      </c>
      <c r="W5435" s="75" t="str">
        <f>IF(AND('341-CT'!$H$9=H5435,OR(LEFT(N5435,3)=$W$7,LEFT(O5435,3)=$W$7)),"x","")</f>
        <v/>
      </c>
      <c r="X5435" s="75" t="str">
        <f>IF(OR(TH!N4114=TH!$X$7,O5435=TH!$X$7),"x","")</f>
        <v/>
      </c>
      <c r="Y5435" s="75" t="str">
        <f>IF(AND(OR(N5435="131",O5435="131"),H5435='131-CT'!$H$9),"x","")</f>
        <v/>
      </c>
      <c r="Z5435" s="75"/>
      <c r="AA5435" s="75" t="str">
        <f>IF(AND(MONTH(E5435)='IN-NX'!$J$5,'IN-NX'!$D$7=D5435),"x","")</f>
        <v/>
      </c>
      <c r="AB5435" s="75" t="str">
        <f>IF(AND(OR(LEFT(TH!N4114,2)="15",LEFT(TH!O4114,2)="15"),LEFT(TH!O4114,3)&lt;&gt;"111",'152-CT'!$J$8=TH!F4114),"x","")</f>
        <v/>
      </c>
      <c r="AC5435" s="75" t="str">
        <f>IF(AND(OR(LEFT(TH!N4114,2)="15",LEFT(TH!O4114,2)="15"),TK!$E$7=TH!F4114),"x","")</f>
        <v/>
      </c>
      <c r="AD5435" s="75" t="str">
        <f>IF(AND(N5435="1521",MONTH(C5435)='BK-NL'!$M$11),"x","")</f>
        <v/>
      </c>
      <c r="AE5435">
        <v>11</v>
      </c>
    </row>
    <row r="5436" spans="1:33" ht="16.5" customHeight="1">
      <c r="A5436" s="309" t="str">
        <f>IF(B5436&lt;&gt;"",IF(AND(B5436='IN-TC'!$S$4,OR(TH!N5421="1111",TH!O5421="1111")),TH!D5421,""),"")</f>
        <v/>
      </c>
      <c r="B5436" s="1245">
        <f t="shared" si="1354"/>
        <v>11</v>
      </c>
      <c r="C5436" s="292">
        <f t="shared" si="1355"/>
        <v>43063</v>
      </c>
      <c r="D5436" s="292" t="s">
        <v>903</v>
      </c>
      <c r="E5436" s="292">
        <v>43063</v>
      </c>
      <c r="F5436" s="67" t="s">
        <v>907</v>
      </c>
      <c r="G5436" s="293" t="s">
        <v>1713</v>
      </c>
      <c r="H5436" s="294" t="s">
        <v>1771</v>
      </c>
      <c r="I5436" s="373"/>
      <c r="J5436" s="926"/>
      <c r="K5436" s="373">
        <v>5300</v>
      </c>
      <c r="L5436" s="379">
        <v>22710</v>
      </c>
      <c r="M5436" s="74">
        <f>ROUND(K5436*L5436,0)</f>
        <v>120363000</v>
      </c>
      <c r="N5436" s="295" t="s">
        <v>26</v>
      </c>
      <c r="O5436" s="295" t="s">
        <v>256</v>
      </c>
      <c r="P5436" s="75" t="str">
        <f>IF(AND('331-CT'!$E$7=TH!H4556,OR(N5436="331",O5436="331")),"x","")</f>
        <v/>
      </c>
      <c r="Q5436" s="75" t="str">
        <f>IF(AND(B5436='111'!$L$11,OR($N5436=$Q$7,$O5436=$Q$7)),"x","")</f>
        <v/>
      </c>
      <c r="R5436" s="75" t="str">
        <f>IF(AND($N5436=$Q$7,$B5436&lt;'111'!$L$11),"x","")</f>
        <v/>
      </c>
      <c r="S5436" s="75" t="str">
        <f>IF(AND($O5436=$Q$7,$B5436&lt;'111'!$L$11),"x","")</f>
        <v/>
      </c>
      <c r="T5436" s="75" t="str">
        <f>IF(ISERROR(FIND('112'!$M$9,G5436,1)),"",IF((AND(FIND('112'!$M$9,G5436,1)&gt;=1,B5436='112'!$K$9,OR($N5436='112'!$I$6,$O5436='112'!$I$6))),"x",""))</f>
        <v/>
      </c>
      <c r="U5436" s="75" t="str">
        <f>IF(ISERROR(FIND('112'!$M$9,G5436,1)),"",IF((AND(LEFT(G5436,2)=LEFT('112'!$M$9,2),B5436&lt;'112'!$K$9,$N5436='112'!$I$6)),"x",""))</f>
        <v/>
      </c>
      <c r="V5436" s="75" t="str">
        <f>IF(ISERROR(FIND('112'!$M$9,G5436,1)),"",IF((AND(RIGHT(G5436,2)=RIGHT('112'!$M$9,2),B5436&lt;'112'!$K$9,$O5436='112'!$I$6)),"x",""))</f>
        <v/>
      </c>
      <c r="W5436" s="75" t="str">
        <f>IF(AND('341-CT'!$H$9=H5436,OR(LEFT(N5436,3)=$W$7,LEFT(O5436,3)=$W$7)),"x","")</f>
        <v/>
      </c>
      <c r="X5436" s="75" t="str">
        <f>IF(OR(TH!N4556=TH!$X$7,O5436=TH!$X$7),"x","")</f>
        <v/>
      </c>
      <c r="Y5436" s="75" t="str">
        <f>IF(AND(OR(N5436="131",O5436="131"),H5436='131-CT'!$H$9),"x","")</f>
        <v/>
      </c>
      <c r="Z5436" s="75"/>
      <c r="AA5436" s="75" t="str">
        <f>IF(AND(MONTH(E5436)='IN-NX'!$J$5,'IN-NX'!$D$7=D5436),"x","")</f>
        <v/>
      </c>
      <c r="AB5436" s="75" t="str">
        <f>IF(AND(OR(LEFT(TH!N4556,2)="15",LEFT(TH!O4556,2)="15"),LEFT(TH!O4556,3)&lt;&gt;"111",'152-CT'!$J$8=TH!F4556),"x","")</f>
        <v/>
      </c>
      <c r="AC5436" s="75" t="str">
        <f>IF(AND(OR(LEFT(TH!N4556,2)="15",LEFT(TH!O4556,2)="15"),TK!$E$7=TH!F4556),"x","")</f>
        <v/>
      </c>
      <c r="AD5436" s="75" t="str">
        <f>IF(AND(N5436="1521",MONTH(C5436)='BK-NL'!$M$11),"x","")</f>
        <v/>
      </c>
    </row>
    <row r="5437" spans="1:33" ht="16.5" customHeight="1">
      <c r="A5437" s="309" t="str">
        <f>IF(B5437&lt;&gt;"",IF(AND(B5437='IN-TC'!$S$4,OR(TH!N5422="1111",TH!O5422="1111")),TH!D5422,""),"")</f>
        <v/>
      </c>
      <c r="B5437" s="1245">
        <f t="shared" si="1354"/>
        <v>11</v>
      </c>
      <c r="C5437" s="292">
        <f t="shared" si="1355"/>
        <v>43063</v>
      </c>
      <c r="D5437" s="59" t="s">
        <v>902</v>
      </c>
      <c r="E5437" s="59">
        <v>43063</v>
      </c>
      <c r="F5437" s="67" t="s">
        <v>897</v>
      </c>
      <c r="G5437" s="62" t="s">
        <v>1713</v>
      </c>
      <c r="H5437" s="67" t="s">
        <v>623</v>
      </c>
      <c r="I5437" s="373"/>
      <c r="J5437" s="379"/>
      <c r="K5437" s="373"/>
      <c r="L5437" s="379"/>
      <c r="M5437" s="60">
        <v>120000000</v>
      </c>
      <c r="N5437" s="61" t="s">
        <v>8</v>
      </c>
      <c r="O5437" s="61" t="s">
        <v>26</v>
      </c>
      <c r="P5437" s="75" t="str">
        <f>IF(AND('331-CT'!$E$7=TH!H4560,OR(N5437="331",O5437="331")),"x","")</f>
        <v/>
      </c>
      <c r="Q5437" s="75" t="str">
        <f>IF(AND(B5437='111'!$L$11,OR($N5437=$Q$7,$O5437=$Q$7)),"x","")</f>
        <v/>
      </c>
      <c r="R5437" s="75" t="str">
        <f>IF(AND($N5437=$Q$7,$B5437&lt;'111'!$L$11),"x","")</f>
        <v/>
      </c>
      <c r="S5437" s="75" t="str">
        <f>IF(AND($O5437=$Q$7,$B5437&lt;'111'!$L$11),"x","")</f>
        <v/>
      </c>
      <c r="T5437" s="75" t="str">
        <f>IF(ISERROR(FIND('112'!$M$9,G5437,1)),"",IF((AND(FIND('112'!$M$9,G5437,1)&gt;=1,B5437='112'!$K$9,OR($N5437='112'!$I$6,$O5437='112'!$I$6))),"x",""))</f>
        <v/>
      </c>
      <c r="U5437" s="75" t="str">
        <f>IF(ISERROR(FIND('112'!$M$9,G5437,1)),"",IF((AND(LEFT(G5437,2)=LEFT('112'!$M$9,2),B5437&lt;'112'!$K$9,$N5437='112'!$I$6)),"x",""))</f>
        <v/>
      </c>
      <c r="V5437" s="75" t="str">
        <f>IF(ISERROR(FIND('112'!$M$9,G5437,1)),"",IF((AND(RIGHT(G5437,2)=RIGHT('112'!$M$9,2),B5437&lt;'112'!$K$9,$O5437='112'!$I$6)),"x",""))</f>
        <v/>
      </c>
      <c r="W5437" s="75" t="str">
        <f>IF(AND('341-CT'!$H$9=H5437,OR(LEFT(N5437,3)=$W$7,LEFT(O5437,3)=$W$7)),"x","")</f>
        <v/>
      </c>
      <c r="X5437" s="75" t="str">
        <f>IF(OR(TH!N4560=TH!$X$7,O5437=TH!$X$7),"x","")</f>
        <v/>
      </c>
      <c r="Y5437" s="75" t="str">
        <f>IF(AND(OR(N5437="131",O5437="131"),H5437='131-CT'!$H$9),"x","")</f>
        <v/>
      </c>
      <c r="Z5437" s="75"/>
      <c r="AA5437" s="75" t="str">
        <f>IF(AND(MONTH(E5437)='IN-NX'!$J$5,'IN-NX'!$D$7=D5437),"x","")</f>
        <v/>
      </c>
      <c r="AB5437" s="75" t="str">
        <f>IF(AND(OR(LEFT(TH!N4560,2)="15",LEFT(TH!O4560,2)="15"),LEFT(TH!O4560,3)&lt;&gt;"111",'152-CT'!$J$8=TH!F4560),"x","")</f>
        <v/>
      </c>
      <c r="AC5437" s="75" t="str">
        <f>IF(AND(OR(LEFT(TH!N4560,2)="15",LEFT(TH!O4560,2)="15"),TK!$E$7=TH!F4560),"x","")</f>
        <v/>
      </c>
      <c r="AD5437" s="75" t="str">
        <f>IF(AND(N5437="1521",MONTH(C5437)='BK-NL'!$M$11),"x","")</f>
        <v/>
      </c>
      <c r="AE5437" s="1053"/>
      <c r="AF5437" s="1053"/>
      <c r="AG5437" s="1053"/>
    </row>
    <row r="5438" spans="1:33" ht="16.5" customHeight="1">
      <c r="A5438" s="309" t="str">
        <f>IF(B5438&lt;&gt;"",IF(AND(B5438='IN-TC'!$S$4,OR(TH!N5423="1111",TH!O5423="1111")),TH!D5423,""),"")</f>
        <v/>
      </c>
      <c r="B5438" s="1245">
        <f t="shared" si="1354"/>
        <v>11</v>
      </c>
      <c r="C5438" s="292">
        <f t="shared" si="1355"/>
        <v>43063</v>
      </c>
      <c r="D5438" s="59" t="s">
        <v>902</v>
      </c>
      <c r="E5438" s="59">
        <v>43063</v>
      </c>
      <c r="F5438" s="67" t="s">
        <v>870</v>
      </c>
      <c r="G5438" s="62" t="s">
        <v>1713</v>
      </c>
      <c r="H5438" s="67" t="s">
        <v>1771</v>
      </c>
      <c r="I5438" s="375"/>
      <c r="J5438" s="381"/>
      <c r="K5438" s="60"/>
      <c r="L5438" s="381"/>
      <c r="M5438" s="60">
        <v>15000</v>
      </c>
      <c r="N5438" s="61" t="s">
        <v>101</v>
      </c>
      <c r="O5438" s="61" t="s">
        <v>26</v>
      </c>
      <c r="P5438" s="75" t="str">
        <f>IF(AND('331-CT'!$E$7=TH!H4561,OR(N5438="331",O5438="331")),"x","")</f>
        <v/>
      </c>
      <c r="Q5438" s="75" t="str">
        <f>IF(AND(B5438='111'!$L$11,OR($N5438=$Q$7,$O5438=$Q$7)),"x","")</f>
        <v/>
      </c>
      <c r="R5438" s="75" t="str">
        <f>IF(AND($N5438=$Q$7,$B5438&lt;'111'!$L$11),"x","")</f>
        <v/>
      </c>
      <c r="S5438" s="75" t="str">
        <f>IF(AND($O5438=$Q$7,$B5438&lt;'111'!$L$11),"x","")</f>
        <v/>
      </c>
      <c r="T5438" s="75" t="str">
        <f>IF(ISERROR(FIND('112'!$M$9,G5438,1)),"",IF((AND(FIND('112'!$M$9,G5438,1)&gt;=1,B5438='112'!$K$9,OR($N5438='112'!$I$6,$O5438='112'!$I$6))),"x",""))</f>
        <v/>
      </c>
      <c r="U5438" s="75" t="str">
        <f>IF(ISERROR(FIND('112'!$M$9,G5438,1)),"",IF((AND(LEFT(G5438,2)=LEFT('112'!$M$9,2),B5438&lt;'112'!$K$9,$N5438='112'!$I$6)),"x",""))</f>
        <v/>
      </c>
      <c r="V5438" s="75" t="str">
        <f>IF(ISERROR(FIND('112'!$M$9,G5438,1)),"",IF((AND(RIGHT(G5438,2)=RIGHT('112'!$M$9,2),B5438&lt;'112'!$K$9,$O5438='112'!$I$6)),"x",""))</f>
        <v/>
      </c>
      <c r="W5438" s="75" t="str">
        <f>IF(AND('341-CT'!$H$9=H5438,OR(LEFT(N5438,3)=$W$7,LEFT(O5438,3)=$W$7)),"x","")</f>
        <v/>
      </c>
      <c r="X5438" s="75" t="str">
        <f>IF(OR(TH!N4561=TH!$X$7,O5438=TH!$X$7),"x","")</f>
        <v/>
      </c>
      <c r="Y5438" s="75" t="str">
        <f>IF(AND(OR(N5438="131",O5438="131"),H5438='131-CT'!$H$9),"x","")</f>
        <v/>
      </c>
      <c r="Z5438" s="75"/>
      <c r="AA5438" s="75" t="str">
        <f>IF(AND(MONTH(E5438)='IN-NX'!$J$5,'IN-NX'!$D$7=D5438),"x","")</f>
        <v/>
      </c>
      <c r="AB5438" s="75" t="str">
        <f>IF(AND(OR(LEFT(TH!N4561,2)="15",LEFT(TH!O4561,2)="15"),LEFT(TH!O4561,3)&lt;&gt;"111",'152-CT'!$J$8=TH!F4561),"x","")</f>
        <v/>
      </c>
      <c r="AC5438" s="75" t="str">
        <f>IF(AND(OR(LEFT(TH!N4561,2)="15",LEFT(TH!O4561,2)="15"),TK!$E$7=TH!F4561),"x","")</f>
        <v/>
      </c>
      <c r="AD5438" s="75" t="str">
        <f>IF(AND(N5438="1521",MONTH(C5438)='BK-NL'!$M$11),"x","")</f>
        <v/>
      </c>
      <c r="AE5438" s="1053">
        <v>11</v>
      </c>
      <c r="AF5438" s="1053"/>
      <c r="AG5438" s="1053"/>
    </row>
    <row r="5439" spans="1:33" ht="16.5" customHeight="1">
      <c r="A5439" s="309" t="str">
        <f>IF(B5439&lt;&gt;"",IF(AND(B5439='IN-TC'!$S$4,OR(TH!N5424="1111",TH!O5424="1111")),TH!D5424,""),"")</f>
        <v/>
      </c>
      <c r="B5439" s="1245">
        <f t="shared" si="1354"/>
        <v>11</v>
      </c>
      <c r="C5439" s="292">
        <f t="shared" si="1355"/>
        <v>43063</v>
      </c>
      <c r="D5439" s="59" t="s">
        <v>902</v>
      </c>
      <c r="E5439" s="59">
        <v>43063</v>
      </c>
      <c r="F5439" s="67" t="s">
        <v>898</v>
      </c>
      <c r="G5439" s="62" t="s">
        <v>1713</v>
      </c>
      <c r="H5439" s="67" t="s">
        <v>1771</v>
      </c>
      <c r="I5439" s="375"/>
      <c r="J5439" s="381"/>
      <c r="K5439" s="375"/>
      <c r="L5439" s="381"/>
      <c r="M5439" s="60">
        <v>1500</v>
      </c>
      <c r="N5439" s="61" t="s">
        <v>9</v>
      </c>
      <c r="O5439" s="61" t="s">
        <v>26</v>
      </c>
      <c r="P5439" s="75" t="str">
        <f>IF(AND('331-CT'!$E$7=TH!H4562,OR(N5439="331",O5439="331")),"x","")</f>
        <v/>
      </c>
      <c r="Q5439" s="75" t="str">
        <f>IF(AND(B5439='111'!$L$11,OR($N5439=$Q$7,$O5439=$Q$7)),"x","")</f>
        <v/>
      </c>
      <c r="R5439" s="75" t="str">
        <f>IF(AND($N5439=$Q$7,$B5439&lt;'111'!$L$11),"x","")</f>
        <v/>
      </c>
      <c r="S5439" s="75" t="str">
        <f>IF(AND($O5439=$Q$7,$B5439&lt;'111'!$L$11),"x","")</f>
        <v/>
      </c>
      <c r="T5439" s="75" t="str">
        <f>IF(ISERROR(FIND('112'!$M$9,G5439,1)),"",IF((AND(FIND('112'!$M$9,G5439,1)&gt;=1,B5439='112'!$K$9,OR($N5439='112'!$I$6,$O5439='112'!$I$6))),"x",""))</f>
        <v/>
      </c>
      <c r="U5439" s="75" t="str">
        <f>IF(ISERROR(FIND('112'!$M$9,G5439,1)),"",IF((AND(LEFT(G5439,2)=LEFT('112'!$M$9,2),B5439&lt;'112'!$K$9,$N5439='112'!$I$6)),"x",""))</f>
        <v/>
      </c>
      <c r="V5439" s="75" t="str">
        <f>IF(ISERROR(FIND('112'!$M$9,G5439,1)),"",IF((AND(RIGHT(G5439,2)=RIGHT('112'!$M$9,2),B5439&lt;'112'!$K$9,$O5439='112'!$I$6)),"x",""))</f>
        <v/>
      </c>
      <c r="W5439" s="75" t="str">
        <f>IF(AND('341-CT'!$H$9=H5439,OR(LEFT(N5439,3)=$W$7,LEFT(O5439,3)=$W$7)),"x","")</f>
        <v/>
      </c>
      <c r="X5439" s="75" t="str">
        <f>IF(OR(TH!N4562=TH!$X$7,O5439=TH!$X$7),"x","")</f>
        <v/>
      </c>
      <c r="Y5439" s="75" t="str">
        <f>IF(AND(OR(N5439="131",O5439="131"),H5439='131-CT'!$H$9),"x","")</f>
        <v/>
      </c>
      <c r="Z5439" s="75"/>
      <c r="AA5439" s="75" t="str">
        <f>IF(AND(MONTH(E5439)='IN-NX'!$J$5,'IN-NX'!$D$7=D5439),"x","")</f>
        <v/>
      </c>
      <c r="AB5439" s="75" t="str">
        <f>IF(AND(OR(LEFT(TH!N4562,2)="15",LEFT(TH!O4562,2)="15"),LEFT(TH!O4562,3)&lt;&gt;"111",'152-CT'!$J$8=TH!F4562),"x","")</f>
        <v/>
      </c>
      <c r="AC5439" s="75" t="str">
        <f>IF(AND(OR(LEFT(TH!N4562,2)="15",LEFT(TH!O4562,2)="15"),TK!$E$7=TH!F4562),"x","")</f>
        <v/>
      </c>
      <c r="AD5439" s="75" t="str">
        <f>IF(AND(N5439="1521",MONTH(C5439)='BK-NL'!$M$11),"x","")</f>
        <v/>
      </c>
      <c r="AE5439" s="1053">
        <v>11</v>
      </c>
      <c r="AF5439" s="1053"/>
      <c r="AG5439" s="1053"/>
    </row>
    <row r="5440" spans="1:33" ht="16.5" customHeight="1">
      <c r="A5440" s="309" t="str">
        <f>IF(B5440&lt;&gt;"",IF(AND(B5440='IN-TC'!$S$4,OR(TH!N5425="1111",TH!O5425="1111")),TH!D5425,""),"")</f>
        <v/>
      </c>
      <c r="B5440" s="1245">
        <f t="shared" si="1354"/>
        <v>11</v>
      </c>
      <c r="C5440" s="292">
        <f t="shared" si="1355"/>
        <v>43063</v>
      </c>
      <c r="D5440" s="292" t="s">
        <v>903</v>
      </c>
      <c r="E5440" s="292">
        <v>43063</v>
      </c>
      <c r="F5440" s="67" t="s">
        <v>2658</v>
      </c>
      <c r="G5440" s="293" t="s">
        <v>1713</v>
      </c>
      <c r="H5440" s="294" t="s">
        <v>1771</v>
      </c>
      <c r="I5440" s="373"/>
      <c r="J5440" s="926"/>
      <c r="K5440" s="373"/>
      <c r="L5440" s="379"/>
      <c r="M5440" s="927">
        <v>353494006</v>
      </c>
      <c r="N5440" s="295" t="s">
        <v>26</v>
      </c>
      <c r="O5440" s="295" t="s">
        <v>43</v>
      </c>
      <c r="P5440" s="75" t="str">
        <f>IF(AND('331-CT'!$E$7=TH!H4563,OR(N5440="331",O5440="331")),"x","")</f>
        <v/>
      </c>
      <c r="Q5440" s="75" t="str">
        <f>IF(AND(B5440='111'!$L$11,OR($N5440=$Q$7,$O5440=$Q$7)),"x","")</f>
        <v/>
      </c>
      <c r="R5440" s="75" t="str">
        <f>IF(AND($N5440=$Q$7,$B5440&lt;'111'!$L$11),"x","")</f>
        <v/>
      </c>
      <c r="S5440" s="75" t="str">
        <f>IF(AND($O5440=$Q$7,$B5440&lt;'111'!$L$11),"x","")</f>
        <v/>
      </c>
      <c r="T5440" s="75" t="str">
        <f>IF(ISERROR(FIND('112'!$M$9,G5440,1)),"",IF((AND(FIND('112'!$M$9,G5440,1)&gt;=1,B5440='112'!$K$9,OR($N5440='112'!$I$6,$O5440='112'!$I$6))),"x",""))</f>
        <v/>
      </c>
      <c r="U5440" s="75" t="str">
        <f>IF(ISERROR(FIND('112'!$M$9,G5440,1)),"",IF((AND(LEFT(G5440,2)=LEFT('112'!$M$9,2),B5440&lt;'112'!$K$9,$N5440='112'!$I$6)),"x",""))</f>
        <v/>
      </c>
      <c r="V5440" s="75" t="str">
        <f>IF(ISERROR(FIND('112'!$M$9,G5440,1)),"",IF((AND(RIGHT(G5440,2)=RIGHT('112'!$M$9,2),B5440&lt;'112'!$K$9,$O5440='112'!$I$6)),"x",""))</f>
        <v/>
      </c>
      <c r="W5440" s="75" t="str">
        <f>IF(AND('341-CT'!$H$9=H5440,OR(LEFT(N5440,3)=$W$7,LEFT(O5440,3)=$W$7)),"x","")</f>
        <v/>
      </c>
      <c r="X5440" s="75" t="str">
        <f>IF(OR(TH!N4563=TH!$X$7,O5440=TH!$X$7),"x","")</f>
        <v/>
      </c>
      <c r="Y5440" s="75" t="str">
        <f>IF(AND(OR(N5440="131",O5440="131"),H5440='131-CT'!$H$9),"x","")</f>
        <v/>
      </c>
      <c r="Z5440" s="75"/>
      <c r="AA5440" s="75" t="str">
        <f>IF(AND(MONTH(E5440)='IN-NX'!$J$5,'IN-NX'!$D$7=D5440),"x","")</f>
        <v/>
      </c>
      <c r="AB5440" s="75" t="str">
        <f>IF(AND(OR(LEFT(TH!N4563,2)="15",LEFT(TH!O4563,2)="15"),LEFT(TH!O4563,3)&lt;&gt;"111",'152-CT'!$J$8=TH!F4563),"x","")</f>
        <v/>
      </c>
      <c r="AC5440" s="75" t="str">
        <f>IF(AND(OR(LEFT(TH!N4563,2)="15",LEFT(TH!O4563,2)="15"),TK!$E$7=TH!F4563),"x","")</f>
        <v/>
      </c>
      <c r="AD5440" s="75" t="str">
        <f>IF(AND(N5440="1521",MONTH(C5440)='BK-NL'!$M$11),"x","")</f>
        <v/>
      </c>
    </row>
    <row r="5441" spans="1:33" ht="16.5" customHeight="1">
      <c r="A5441" s="309" t="str">
        <f>IF(B5441&lt;&gt;"",IF(AND(B5441='IN-TC'!$S$4,OR(TH!N5426="1111",TH!O5426="1111")),TH!D5426,""),"")</f>
        <v/>
      </c>
      <c r="B5441" s="1245">
        <f t="shared" si="1354"/>
        <v>11</v>
      </c>
      <c r="C5441" s="292">
        <f t="shared" si="1355"/>
        <v>43063</v>
      </c>
      <c r="D5441" s="292" t="s">
        <v>2493</v>
      </c>
      <c r="E5441" s="59">
        <v>43063</v>
      </c>
      <c r="F5441" s="62" t="s">
        <v>885</v>
      </c>
      <c r="G5441" s="62" t="s">
        <v>585</v>
      </c>
      <c r="H5441" s="67" t="s">
        <v>1023</v>
      </c>
      <c r="I5441" s="373"/>
      <c r="J5441" s="382"/>
      <c r="K5441" s="373"/>
      <c r="L5441" s="379"/>
      <c r="M5441" s="60">
        <v>35000000</v>
      </c>
      <c r="N5441" s="61" t="s">
        <v>26</v>
      </c>
      <c r="O5441" s="61" t="s">
        <v>63</v>
      </c>
      <c r="P5441" s="75" t="str">
        <f>IF(AND('331-CT'!$E$7=TH!H4895,OR(N5441="331",O5441="331")),"x","")</f>
        <v/>
      </c>
      <c r="Q5441" s="75" t="str">
        <f>IF(AND(B5441='111'!$L$11,OR($N5441=$Q$7,$O5441=$Q$7)),"x","")</f>
        <v/>
      </c>
      <c r="R5441" s="75" t="str">
        <f>IF(AND($N5441=$Q$7,$B5441&lt;'111'!$L$11),"x","")</f>
        <v/>
      </c>
      <c r="S5441" s="75" t="str">
        <f>IF(AND($O5441=$Q$7,$B5441&lt;'111'!$L$11),"x","")</f>
        <v>x</v>
      </c>
      <c r="T5441" s="75" t="str">
        <f>IF(ISERROR(FIND('112'!$M$9,G5441,1)),"",IF((AND(FIND('112'!$M$9,G5441,1)&gt;=1,B5441='112'!$K$9,OR($N5441='112'!$I$6,$O5441='112'!$I$6))),"x",""))</f>
        <v/>
      </c>
      <c r="U5441" s="75" t="str">
        <f>IF(ISERROR(FIND('112'!$M$9,G5441,1)),"",IF((AND(LEFT(G5441,2)=LEFT('112'!$M$9,2),B5441&lt;'112'!$K$9,$N5441='112'!$I$6)),"x",""))</f>
        <v/>
      </c>
      <c r="V5441" s="75" t="str">
        <f>IF(ISERROR(FIND('112'!$M$9,G5441,1)),"",IF((AND(RIGHT(G5441,2)=RIGHT('112'!$M$9,2),B5441&lt;'112'!$K$9,$O5441='112'!$I$6)),"x",""))</f>
        <v/>
      </c>
      <c r="W5441" s="75" t="str">
        <f>IF(AND('341-CT'!$H$9=H5441,OR(LEFT(N5441,3)=$W$7,LEFT(O5441,3)=$W$7)),"x","")</f>
        <v/>
      </c>
      <c r="X5441" s="75" t="str">
        <f>IF(OR(TH!N4895=TH!$X$7,O5441=TH!$X$7),"x","")</f>
        <v/>
      </c>
      <c r="Y5441" s="75" t="str">
        <f>IF(AND(OR(N5441="131",O5441="131"),H5441='131-CT'!$H$9),"x","")</f>
        <v/>
      </c>
      <c r="Z5441" s="75"/>
      <c r="AA5441" s="75" t="str">
        <f>IF(AND(MONTH(E5441)='IN-NX'!$J$5,'IN-NX'!$D$7=D5441),"x","")</f>
        <v/>
      </c>
      <c r="AB5441" s="75" t="str">
        <f>IF(AND(OR(LEFT(TH!N4895,2)="15",LEFT(TH!O4895,2)="15"),LEFT(TH!O4895,3)&lt;&gt;"111",'152-CT'!$J$8=TH!F4895),"x","")</f>
        <v/>
      </c>
      <c r="AC5441" s="75" t="str">
        <f>IF(AND(OR(LEFT(TH!N4895,2)="15",LEFT(TH!O4895,2)="15"),TK!$E$7=TH!F4895),"x","")</f>
        <v/>
      </c>
      <c r="AD5441" s="75" t="str">
        <f>IF(AND(N5441="1521",MONTH(C5441)='BK-NL'!$M$11),"x","")</f>
        <v/>
      </c>
      <c r="AE5441" s="304"/>
      <c r="AF5441" s="304"/>
      <c r="AG5441" s="304"/>
    </row>
    <row r="5442" spans="1:33" ht="16.5" customHeight="1">
      <c r="A5442" s="309" t="str">
        <f>IF(B5442&lt;&gt;"",IF(AND(B5442='IN-TC'!$S$4,OR(TH!N5427="1111",TH!O5427="1111")),TH!D5427,""),"")</f>
        <v/>
      </c>
      <c r="B5442" s="1245">
        <f t="shared" si="1354"/>
        <v>11</v>
      </c>
      <c r="C5442" s="292">
        <f t="shared" si="1355"/>
        <v>43063</v>
      </c>
      <c r="D5442" s="59" t="s">
        <v>902</v>
      </c>
      <c r="E5442" s="59">
        <v>43063</v>
      </c>
      <c r="F5442" s="62" t="s">
        <v>897</v>
      </c>
      <c r="G5442" s="62" t="s">
        <v>747</v>
      </c>
      <c r="H5442" s="294" t="s">
        <v>623</v>
      </c>
      <c r="I5442" s="373"/>
      <c r="J5442" s="382"/>
      <c r="K5442" s="373"/>
      <c r="L5442" s="379"/>
      <c r="M5442" s="60">
        <v>80000000</v>
      </c>
      <c r="N5442" s="61" t="s">
        <v>8</v>
      </c>
      <c r="O5442" s="61" t="s">
        <v>26</v>
      </c>
      <c r="P5442" s="75" t="str">
        <f>IF(AND('331-CT'!$E$7=TH!H5603,OR(N5442="331",O5442="331")),"x","")</f>
        <v/>
      </c>
      <c r="Q5442" s="75" t="str">
        <f>IF(AND(B5442='111'!$L$11,OR($N5442=$Q$7,$O5442=$Q$7)),"x","")</f>
        <v/>
      </c>
      <c r="R5442" s="75" t="str">
        <f>IF(AND($N5442=$Q$7,$B5442&lt;'111'!$L$11),"x","")</f>
        <v/>
      </c>
      <c r="S5442" s="75" t="str">
        <f>IF(AND($O5442=$Q$7,$B5442&lt;'111'!$L$11),"x","")</f>
        <v/>
      </c>
      <c r="T5442" s="75" t="str">
        <f>IF(ISERROR(FIND('112'!$M$9,G5442,1)),"",IF((AND(FIND('112'!$M$9,G5442,1)&gt;=1,B5442='112'!$K$9,OR($N5442='112'!$I$6,$O5442='112'!$I$6))),"x",""))</f>
        <v/>
      </c>
      <c r="U5442" s="75" t="str">
        <f>IF(ISERROR(FIND('112'!$M$9,G5442,1)),"",IF((AND(LEFT(G5442,2)=LEFT('112'!$M$9,2),B5442&lt;'112'!$K$9,$N5442='112'!$I$6)),"x",""))</f>
        <v/>
      </c>
      <c r="V5442" s="75" t="str">
        <f>IF(ISERROR(FIND('112'!$M$9,G5442,1)),"",IF((AND(RIGHT(G5442,2)=RIGHT('112'!$M$9,2),B5442&lt;'112'!$K$9,$O5442='112'!$I$6)),"x",""))</f>
        <v/>
      </c>
      <c r="W5442" s="75" t="str">
        <f>IF(AND('341-CT'!$H$9=H5442,OR(LEFT(N5442,3)=$W$7,LEFT(O5442,3)=$W$7)),"x","")</f>
        <v/>
      </c>
      <c r="X5442" s="75" t="str">
        <f>IF(OR(TH!N5603=TH!$X$7,O5442=TH!$X$7),"x","")</f>
        <v/>
      </c>
      <c r="Y5442" s="75" t="str">
        <f>IF(AND(OR(N5442="131",O5442="131"),H5442='131-CT'!$H$9),"x","")</f>
        <v/>
      </c>
      <c r="Z5442" s="75"/>
      <c r="AA5442" s="75" t="str">
        <f>IF(AND(MONTH(E5442)='IN-NX'!$J$5,'IN-NX'!$D$7=D5442),"x","")</f>
        <v/>
      </c>
      <c r="AB5442" s="75" t="str">
        <f>IF(AND(OR(LEFT(TH!N5603,2)="15",LEFT(TH!O5603,2)="15"),LEFT(TH!O5603,3)&lt;&gt;"111",'152-CT'!$J$8=TH!F5603),"x","")</f>
        <v/>
      </c>
      <c r="AC5442" s="75" t="str">
        <f>IF(AND(OR(LEFT(TH!N5603,2)="15",LEFT(TH!O5603,2)="15"),TK!$E$7=TH!F5603),"x","")</f>
        <v/>
      </c>
      <c r="AD5442" s="75" t="str">
        <f>IF(AND(N5442="1521",MONTH(C5442)='BK-NL'!$M$11),"x","")</f>
        <v/>
      </c>
    </row>
    <row r="5443" spans="1:33" ht="16.5" customHeight="1">
      <c r="A5443" s="309" t="str">
        <f>IF(B5443&lt;&gt;"",IF(AND(B5443='IN-TC'!$S$4,OR(TH!N5428="1111",TH!O5428="1111")),TH!D5428,""),"")</f>
        <v/>
      </c>
      <c r="B5443" s="1245">
        <f t="shared" si="1354"/>
        <v>11</v>
      </c>
      <c r="C5443" s="292">
        <f t="shared" si="1355"/>
        <v>43063</v>
      </c>
      <c r="D5443" s="59" t="s">
        <v>902</v>
      </c>
      <c r="E5443" s="59">
        <v>43063</v>
      </c>
      <c r="F5443" s="62" t="s">
        <v>1307</v>
      </c>
      <c r="G5443" s="62" t="s">
        <v>747</v>
      </c>
      <c r="H5443" s="294" t="s">
        <v>835</v>
      </c>
      <c r="I5443" s="373"/>
      <c r="J5443" s="382"/>
      <c r="K5443" s="373"/>
      <c r="L5443" s="379"/>
      <c r="M5443" s="60">
        <v>10000</v>
      </c>
      <c r="N5443" s="61" t="s">
        <v>101</v>
      </c>
      <c r="O5443" s="61" t="s">
        <v>26</v>
      </c>
      <c r="P5443" s="75" t="str">
        <f>IF(AND('331-CT'!$E$7=TH!H5604,OR(N5443="331",O5443="331")),"x","")</f>
        <v/>
      </c>
      <c r="Q5443" s="75" t="str">
        <f>IF(AND(B5443='111'!$L$11,OR($N5443=$Q$7,$O5443=$Q$7)),"x","")</f>
        <v/>
      </c>
      <c r="R5443" s="75" t="str">
        <f>IF(AND($N5443=$Q$7,$B5443&lt;'111'!$L$11),"x","")</f>
        <v/>
      </c>
      <c r="S5443" s="75" t="str">
        <f>IF(AND($O5443=$Q$7,$B5443&lt;'111'!$L$11),"x","")</f>
        <v/>
      </c>
      <c r="T5443" s="75" t="str">
        <f>IF(ISERROR(FIND('112'!$M$9,G5443,1)),"",IF((AND(FIND('112'!$M$9,G5443,1)&gt;=1,B5443='112'!$K$9,OR($N5443='112'!$I$6,$O5443='112'!$I$6))),"x",""))</f>
        <v/>
      </c>
      <c r="U5443" s="75" t="str">
        <f>IF(ISERROR(FIND('112'!$M$9,G5443,1)),"",IF((AND(LEFT(G5443,2)=LEFT('112'!$M$9,2),B5443&lt;'112'!$K$9,$N5443='112'!$I$6)),"x",""))</f>
        <v/>
      </c>
      <c r="V5443" s="75" t="str">
        <f>IF(ISERROR(FIND('112'!$M$9,G5443,1)),"",IF((AND(RIGHT(G5443,2)=RIGHT('112'!$M$9,2),B5443&lt;'112'!$K$9,$O5443='112'!$I$6)),"x",""))</f>
        <v/>
      </c>
      <c r="W5443" s="75" t="str">
        <f>IF(AND('341-CT'!$H$9=H5443,OR(LEFT(N5443,3)=$W$7,LEFT(O5443,3)=$W$7)),"x","")</f>
        <v/>
      </c>
      <c r="X5443" s="75" t="str">
        <f>IF(OR(TH!N5604=TH!$X$7,O5443=TH!$X$7),"x","")</f>
        <v/>
      </c>
      <c r="Y5443" s="75" t="str">
        <f>IF(AND(OR(N5443="131",O5443="131"),H5443='131-CT'!$H$9),"x","")</f>
        <v/>
      </c>
      <c r="Z5443" s="75"/>
      <c r="AA5443" s="75" t="str">
        <f>IF(AND(MONTH(E5443)='IN-NX'!$J$5,'IN-NX'!$D$7=D5443),"x","")</f>
        <v/>
      </c>
      <c r="AB5443" s="75" t="str">
        <f>IF(AND(OR(LEFT(TH!N5604,2)="15",LEFT(TH!O5604,2)="15"),LEFT(TH!O5604,3)&lt;&gt;"111",'152-CT'!$J$8=TH!F5604),"x","")</f>
        <v/>
      </c>
      <c r="AC5443" s="75" t="str">
        <f>IF(AND(OR(LEFT(TH!N5604,2)="15",LEFT(TH!O5604,2)="15"),TK!$E$7=TH!F5604),"x","")</f>
        <v/>
      </c>
      <c r="AD5443" s="75" t="str">
        <f>IF(AND(N5443="1521",MONTH(C5443)='BK-NL'!$M$11),"x","")</f>
        <v/>
      </c>
      <c r="AE5443">
        <v>11</v>
      </c>
    </row>
    <row r="5444" spans="1:33" ht="16.5" customHeight="1">
      <c r="A5444" s="309" t="str">
        <f>IF(B5444&lt;&gt;"",IF(AND(B5444='IN-TC'!$S$4,OR(TH!N5429="1111",TH!O5429="1111")),TH!D5429,""),"")</f>
        <v/>
      </c>
      <c r="B5444" s="1245">
        <f t="shared" si="1354"/>
        <v>11</v>
      </c>
      <c r="C5444" s="292">
        <f t="shared" si="1355"/>
        <v>43063</v>
      </c>
      <c r="D5444" s="59" t="s">
        <v>902</v>
      </c>
      <c r="E5444" s="59">
        <v>43063</v>
      </c>
      <c r="F5444" s="62" t="s">
        <v>1314</v>
      </c>
      <c r="G5444" s="62" t="s">
        <v>747</v>
      </c>
      <c r="H5444" s="294" t="s">
        <v>835</v>
      </c>
      <c r="I5444" s="373"/>
      <c r="J5444" s="382"/>
      <c r="K5444" s="375"/>
      <c r="L5444" s="381"/>
      <c r="M5444" s="60">
        <v>1000</v>
      </c>
      <c r="N5444" s="61" t="s">
        <v>9</v>
      </c>
      <c r="O5444" s="61" t="s">
        <v>26</v>
      </c>
      <c r="P5444" s="75" t="str">
        <f>IF(AND('331-CT'!$E$7=TH!H5605,OR(N5444="331",O5444="331")),"x","")</f>
        <v/>
      </c>
      <c r="Q5444" s="75" t="str">
        <f>IF(AND(B5444='111'!$L$11,OR($N5444=$Q$7,$O5444=$Q$7)),"x","")</f>
        <v/>
      </c>
      <c r="R5444" s="75" t="str">
        <f>IF(AND($N5444=$Q$7,$B5444&lt;'111'!$L$11),"x","")</f>
        <v/>
      </c>
      <c r="S5444" s="75" t="str">
        <f>IF(AND($O5444=$Q$7,$B5444&lt;'111'!$L$11),"x","")</f>
        <v/>
      </c>
      <c r="T5444" s="75" t="str">
        <f>IF(ISERROR(FIND('112'!$M$9,G5444,1)),"",IF((AND(FIND('112'!$M$9,G5444,1)&gt;=1,B5444='112'!$K$9,OR($N5444='112'!$I$6,$O5444='112'!$I$6))),"x",""))</f>
        <v/>
      </c>
      <c r="U5444" s="75" t="str">
        <f>IF(ISERROR(FIND('112'!$M$9,G5444,1)),"",IF((AND(LEFT(G5444,2)=LEFT('112'!$M$9,2),B5444&lt;'112'!$K$9,$N5444='112'!$I$6)),"x",""))</f>
        <v/>
      </c>
      <c r="V5444" s="75" t="str">
        <f>IF(ISERROR(FIND('112'!$M$9,G5444,1)),"",IF((AND(RIGHT(G5444,2)=RIGHT('112'!$M$9,2),B5444&lt;'112'!$K$9,$O5444='112'!$I$6)),"x",""))</f>
        <v/>
      </c>
      <c r="W5444" s="75" t="str">
        <f>IF(AND('341-CT'!$H$9=H5444,OR(LEFT(N5444,3)=$W$7,LEFT(O5444,3)=$W$7)),"x","")</f>
        <v/>
      </c>
      <c r="X5444" s="75" t="str">
        <f>IF(OR(TH!N5605=TH!$X$7,O5444=TH!$X$7),"x","")</f>
        <v/>
      </c>
      <c r="Y5444" s="75" t="str">
        <f>IF(AND(OR(N5444="131",O5444="131"),H5444='131-CT'!$H$9),"x","")</f>
        <v/>
      </c>
      <c r="Z5444" s="75"/>
      <c r="AA5444" s="75" t="str">
        <f>IF(AND(MONTH(E5444)='IN-NX'!$J$5,'IN-NX'!$D$7=D5444),"x","")</f>
        <v/>
      </c>
      <c r="AB5444" s="75" t="str">
        <f>IF(AND(OR(LEFT(TH!N5605,2)="15",LEFT(TH!O5605,2)="15"),LEFT(TH!O5605,3)&lt;&gt;"111",'152-CT'!$J$8=TH!F5605),"x","")</f>
        <v/>
      </c>
      <c r="AC5444" s="75" t="str">
        <f>IF(AND(OR(LEFT(TH!N5605,2)="15",LEFT(TH!O5605,2)="15"),TK!$E$7=TH!F5605),"x","")</f>
        <v/>
      </c>
      <c r="AD5444" s="75" t="str">
        <f>IF(AND(N5444="1521",MONTH(C5444)='BK-NL'!$M$11),"x","")</f>
        <v/>
      </c>
      <c r="AE5444">
        <v>11</v>
      </c>
    </row>
    <row r="5445" spans="1:33" ht="16.5" customHeight="1">
      <c r="A5445" s="309" t="str">
        <f>IF(B5445&lt;&gt;"",IF(AND(B5445='IN-TC'!$S$4,OR(TH!N5430="1111",TH!O5430="1111")),TH!D5430,""),"")</f>
        <v/>
      </c>
      <c r="B5445" s="1245">
        <f t="shared" si="1354"/>
        <v>11</v>
      </c>
      <c r="C5445" s="292">
        <f t="shared" si="1355"/>
        <v>43063</v>
      </c>
      <c r="D5445" s="59" t="s">
        <v>903</v>
      </c>
      <c r="E5445" s="59">
        <v>43063</v>
      </c>
      <c r="F5445" s="62" t="s">
        <v>914</v>
      </c>
      <c r="G5445" s="62" t="s">
        <v>747</v>
      </c>
      <c r="H5445" s="294" t="s">
        <v>835</v>
      </c>
      <c r="I5445" s="375"/>
      <c r="J5445" s="382"/>
      <c r="K5445" s="375"/>
      <c r="L5445" s="381"/>
      <c r="M5445" s="60">
        <v>140816</v>
      </c>
      <c r="N5445" s="61" t="s">
        <v>26</v>
      </c>
      <c r="O5445" s="61" t="s">
        <v>43</v>
      </c>
      <c r="P5445" s="75" t="str">
        <f>IF(AND('331-CT'!$E$7=TH!H5606,OR(N5445="331",O5445="331")),"x","")</f>
        <v/>
      </c>
      <c r="Q5445" s="75" t="str">
        <f>IF(AND(B5445='111'!$L$11,OR($N5445=$Q$7,$O5445=$Q$7)),"x","")</f>
        <v/>
      </c>
      <c r="R5445" s="75" t="str">
        <f>IF(AND($N5445=$Q$7,$B5445&lt;'111'!$L$11),"x","")</f>
        <v/>
      </c>
      <c r="S5445" s="75" t="str">
        <f>IF(AND($O5445=$Q$7,$B5445&lt;'111'!$L$11),"x","")</f>
        <v/>
      </c>
      <c r="T5445" s="75" t="str">
        <f>IF(ISERROR(FIND('112'!$M$9,G5445,1)),"",IF((AND(FIND('112'!$M$9,G5445,1)&gt;=1,B5445='112'!$K$9,OR($N5445='112'!$I$6,$O5445='112'!$I$6))),"x",""))</f>
        <v/>
      </c>
      <c r="U5445" s="75" t="str">
        <f>IF(ISERROR(FIND('112'!$M$9,G5445,1)),"",IF((AND(LEFT(G5445,2)=LEFT('112'!$M$9,2),B5445&lt;'112'!$K$9,$N5445='112'!$I$6)),"x",""))</f>
        <v/>
      </c>
      <c r="V5445" s="75" t="str">
        <f>IF(ISERROR(FIND('112'!$M$9,G5445,1)),"",IF((AND(RIGHT(G5445,2)=RIGHT('112'!$M$9,2),B5445&lt;'112'!$K$9,$O5445='112'!$I$6)),"x",""))</f>
        <v/>
      </c>
      <c r="W5445" s="75" t="str">
        <f>IF(AND('341-CT'!$H$9=H5445,OR(LEFT(N5445,3)=$W$7,LEFT(O5445,3)=$W$7)),"x","")</f>
        <v/>
      </c>
      <c r="X5445" s="75" t="str">
        <f>IF(OR(TH!N5606=TH!$X$7,O5445=TH!$X$7),"x","")</f>
        <v/>
      </c>
      <c r="Y5445" s="75" t="str">
        <f>IF(AND(OR(N5445="131",O5445="131"),H5445='131-CT'!$H$9),"x","")</f>
        <v/>
      </c>
      <c r="Z5445" s="75"/>
      <c r="AA5445" s="75" t="str">
        <f>IF(AND(MONTH(E5445)='IN-NX'!$J$5,'IN-NX'!$D$7=D5445),"x","")</f>
        <v/>
      </c>
      <c r="AB5445" s="75" t="str">
        <f>IF(AND(OR(LEFT(TH!N5606,2)="15",LEFT(TH!O5606,2)="15"),LEFT(TH!O5606,3)&lt;&gt;"111",'152-CT'!$J$8=TH!F5606),"x","")</f>
        <v/>
      </c>
      <c r="AC5445" s="75" t="str">
        <f>IF(AND(OR(LEFT(TH!N5606,2)="15",LEFT(TH!O5606,2)="15"),TK!$E$7=TH!F5606),"x","")</f>
        <v/>
      </c>
      <c r="AD5445" s="75" t="str">
        <f>IF(AND(N5445="1521",MONTH(C5445)='BK-NL'!$M$11),"x","")</f>
        <v/>
      </c>
    </row>
    <row r="5446" spans="1:33" ht="16.5" customHeight="1">
      <c r="A5446" s="309" t="str">
        <f>IF(B5446&lt;&gt;"",IF(AND(B5446='IN-TC'!$S$4,OR(TH!N5431="1111",TH!O5431="1111")),TH!D5431,""),"")</f>
        <v/>
      </c>
      <c r="B5446" s="1245">
        <f t="shared" si="1354"/>
        <v>11</v>
      </c>
      <c r="C5446" s="292">
        <f t="shared" si="1355"/>
        <v>43065</v>
      </c>
      <c r="D5446" s="59"/>
      <c r="E5446" s="59">
        <v>43065</v>
      </c>
      <c r="F5446" s="62" t="s">
        <v>1499</v>
      </c>
      <c r="G5446" s="742" t="s">
        <v>2676</v>
      </c>
      <c r="H5446" s="67" t="s">
        <v>893</v>
      </c>
      <c r="I5446" s="375"/>
      <c r="J5446" s="382"/>
      <c r="K5446" s="375"/>
      <c r="L5446" s="381"/>
      <c r="M5446" s="60">
        <v>3738964</v>
      </c>
      <c r="N5446" s="61" t="s">
        <v>101</v>
      </c>
      <c r="O5446" s="61" t="s">
        <v>63</v>
      </c>
      <c r="P5446" s="75" t="str">
        <f>IF(AND('331-CT'!$E$7=TH!H4115,OR(N5446="331",O5446="331")),"x","")</f>
        <v/>
      </c>
      <c r="Q5446" s="75" t="str">
        <f>IF(AND(B5446='111'!$L$11,OR($N5446=$Q$7,$O5446=$Q$7)),"x","")</f>
        <v/>
      </c>
      <c r="R5446" s="75" t="str">
        <f>IF(AND($N5446=$Q$7,$B5446&lt;'111'!$L$11),"x","")</f>
        <v/>
      </c>
      <c r="S5446" s="75" t="str">
        <f>IF(AND($O5446=$Q$7,$B5446&lt;'111'!$L$11),"x","")</f>
        <v>x</v>
      </c>
      <c r="T5446" s="75" t="str">
        <f>IF(ISERROR(FIND('112'!$M$9,G5446,1)),"",IF((AND(FIND('112'!$M$9,G5446,1)&gt;=1,B5446='112'!$K$9,OR($N5446='112'!$I$6,$O5446='112'!$I$6))),"x",""))</f>
        <v/>
      </c>
      <c r="U5446" s="75" t="str">
        <f>IF(ISERROR(FIND('112'!$M$9,G5446,1)),"",IF((AND(LEFT(G5446,2)=LEFT('112'!$M$9,2),B5446&lt;'112'!$K$9,$N5446='112'!$I$6)),"x",""))</f>
        <v/>
      </c>
      <c r="V5446" s="75" t="str">
        <f>IF(ISERROR(FIND('112'!$M$9,G5446,1)),"",IF((AND(RIGHT(G5446,2)=RIGHT('112'!$M$9,2),B5446&lt;'112'!$K$9,$O5446='112'!$I$6)),"x",""))</f>
        <v/>
      </c>
      <c r="W5446" s="75" t="str">
        <f>IF(AND('341-CT'!$H$9=H5446,OR(LEFT(N5446,3)=$W$7,LEFT(O5446,3)=$W$7)),"x","")</f>
        <v/>
      </c>
      <c r="X5446" s="75" t="str">
        <f>IF(OR(TH!N4115=TH!$X$7,O5446=TH!$X$7),"x","")</f>
        <v/>
      </c>
      <c r="Y5446" s="75" t="str">
        <f>IF(AND(OR(N5446="131",O5446="131"),H5446='131-CT'!$H$9),"x","")</f>
        <v/>
      </c>
      <c r="Z5446" s="75"/>
      <c r="AA5446" s="75" t="str">
        <f>IF(AND(MONTH(E5446)='IN-NX'!$J$5,'IN-NX'!$D$7=D5446),"x","")</f>
        <v/>
      </c>
      <c r="AB5446" s="75" t="str">
        <f>IF(AND(OR(LEFT(TH!N4115,2)="15",LEFT(TH!O4115,2)="15"),LEFT(TH!O4115,3)&lt;&gt;"111",'152-CT'!$J$8=TH!F4115),"x","")</f>
        <v/>
      </c>
      <c r="AC5446" s="75" t="str">
        <f>IF(AND(OR(LEFT(TH!N4115,2)="15",LEFT(TH!O4115,2)="15"),TK!$E$7=TH!F4115),"x","")</f>
        <v/>
      </c>
      <c r="AD5446" s="75" t="str">
        <f>IF(AND(N5446="1521",MONTH(C5446)='BK-NL'!$M$11),"x","")</f>
        <v/>
      </c>
      <c r="AE5446">
        <v>11</v>
      </c>
    </row>
    <row r="5447" spans="1:33" ht="16.5" customHeight="1">
      <c r="A5447" s="309" t="str">
        <f>IF(B5447&lt;&gt;"",IF(AND(B5447='IN-TC'!$S$4,OR(TH!N5432="1111",TH!O5432="1111")),TH!D5432,""),"")</f>
        <v/>
      </c>
      <c r="B5447" s="1245">
        <f t="shared" si="1354"/>
        <v>11</v>
      </c>
      <c r="C5447" s="292">
        <f t="shared" si="1355"/>
        <v>43065</v>
      </c>
      <c r="D5447" s="59"/>
      <c r="E5447" s="59">
        <v>43065</v>
      </c>
      <c r="F5447" s="62" t="s">
        <v>1500</v>
      </c>
      <c r="G5447" s="742" t="s">
        <v>2676</v>
      </c>
      <c r="H5447" s="67" t="s">
        <v>893</v>
      </c>
      <c r="I5447" s="375"/>
      <c r="J5447" s="382"/>
      <c r="K5447" s="375"/>
      <c r="L5447" s="381"/>
      <c r="M5447" s="60">
        <v>373896</v>
      </c>
      <c r="N5447" s="61" t="s">
        <v>9</v>
      </c>
      <c r="O5447" s="61" t="s">
        <v>63</v>
      </c>
      <c r="P5447" s="75" t="str">
        <f>IF(AND('331-CT'!$E$7=TH!H4116,OR(N5447="331",O5447="331")),"x","")</f>
        <v/>
      </c>
      <c r="Q5447" s="75" t="str">
        <f>IF(AND(B5447='111'!$L$11,OR($N5447=$Q$7,$O5447=$Q$7)),"x","")</f>
        <v/>
      </c>
      <c r="R5447" s="75" t="str">
        <f>IF(AND($N5447=$Q$7,$B5447&lt;'111'!$L$11),"x","")</f>
        <v/>
      </c>
      <c r="S5447" s="75" t="str">
        <f>IF(AND($O5447=$Q$7,$B5447&lt;'111'!$L$11),"x","")</f>
        <v>x</v>
      </c>
      <c r="T5447" s="75" t="str">
        <f>IF(ISERROR(FIND('112'!$M$9,G5447,1)),"",IF((AND(FIND('112'!$M$9,G5447,1)&gt;=1,B5447='112'!$K$9,OR($N5447='112'!$I$6,$O5447='112'!$I$6))),"x",""))</f>
        <v/>
      </c>
      <c r="U5447" s="75" t="str">
        <f>IF(ISERROR(FIND('112'!$M$9,G5447,1)),"",IF((AND(LEFT(G5447,2)=LEFT('112'!$M$9,2),B5447&lt;'112'!$K$9,$N5447='112'!$I$6)),"x",""))</f>
        <v/>
      </c>
      <c r="V5447" s="75" t="str">
        <f>IF(ISERROR(FIND('112'!$M$9,G5447,1)),"",IF((AND(RIGHT(G5447,2)=RIGHT('112'!$M$9,2),B5447&lt;'112'!$K$9,$O5447='112'!$I$6)),"x",""))</f>
        <v/>
      </c>
      <c r="W5447" s="75" t="str">
        <f>IF(AND('341-CT'!$H$9=H5447,OR(LEFT(N5447,3)=$W$7,LEFT(O5447,3)=$W$7)),"x","")</f>
        <v/>
      </c>
      <c r="X5447" s="75" t="str">
        <f>IF(OR(TH!N4116=TH!$X$7,O5447=TH!$X$7),"x","")</f>
        <v/>
      </c>
      <c r="Y5447" s="75" t="str">
        <f>IF(AND(OR(N5447="131",O5447="131"),H5447='131-CT'!$H$9),"x","")</f>
        <v/>
      </c>
      <c r="Z5447" s="75"/>
      <c r="AA5447" s="75" t="str">
        <f>IF(AND(MONTH(E5447)='IN-NX'!$J$5,'IN-NX'!$D$7=D5447),"x","")</f>
        <v/>
      </c>
      <c r="AB5447" s="75" t="str">
        <f>IF(AND(OR(LEFT(TH!N4116,2)="15",LEFT(TH!O4116,2)="15"),LEFT(TH!O4116,3)&lt;&gt;"111",'152-CT'!$J$8=TH!F4116),"x","")</f>
        <v/>
      </c>
      <c r="AC5447" s="75" t="str">
        <f>IF(AND(OR(LEFT(TH!N4116,2)="15",LEFT(TH!O4116,2)="15"),TK!$E$7=TH!F4116),"x","")</f>
        <v/>
      </c>
      <c r="AD5447" s="75" t="str">
        <f>IF(AND(N5447="1521",MONTH(C5447)='BK-NL'!$M$11),"x","")</f>
        <v/>
      </c>
      <c r="AE5447">
        <v>11</v>
      </c>
    </row>
    <row r="5448" spans="1:33" ht="16.5" customHeight="1">
      <c r="A5448" s="309" t="str">
        <f>IF(B5448&lt;&gt;"",IF(AND(B5448='IN-TC'!$S$4,OR(TH!N5433="1111",TH!O5433="1111")),TH!D5433,""),"")</f>
        <v/>
      </c>
      <c r="B5448" s="1245">
        <f t="shared" si="1354"/>
        <v>11</v>
      </c>
      <c r="C5448" s="292">
        <f t="shared" si="1355"/>
        <v>43066</v>
      </c>
      <c r="D5448" s="59"/>
      <c r="E5448" s="59">
        <v>43066</v>
      </c>
      <c r="F5448" s="62" t="s">
        <v>1334</v>
      </c>
      <c r="G5448" s="742" t="s">
        <v>2895</v>
      </c>
      <c r="H5448" s="67" t="s">
        <v>1333</v>
      </c>
      <c r="I5448" s="375"/>
      <c r="J5448" s="382"/>
      <c r="K5448" s="375"/>
      <c r="L5448" s="381"/>
      <c r="M5448" s="60">
        <v>2818818</v>
      </c>
      <c r="N5448" s="61" t="s">
        <v>539</v>
      </c>
      <c r="O5448" s="61" t="s">
        <v>63</v>
      </c>
      <c r="P5448" s="75" t="str">
        <f>IF(AND('331-CT'!$E$7=TH!H4117,OR(N5448="331",O5448="331")),"x","")</f>
        <v/>
      </c>
      <c r="Q5448" s="75" t="str">
        <f>IF(AND(B5448='111'!$L$11,OR($N5448=$Q$7,$O5448=$Q$7)),"x","")</f>
        <v/>
      </c>
      <c r="R5448" s="75" t="str">
        <f>IF(AND($N5448=$Q$7,$B5448&lt;'111'!$L$11),"x","")</f>
        <v/>
      </c>
      <c r="S5448" s="75" t="str">
        <f>IF(AND($O5448=$Q$7,$B5448&lt;'111'!$L$11),"x","")</f>
        <v>x</v>
      </c>
      <c r="T5448" s="75" t="str">
        <f>IF(ISERROR(FIND('112'!$M$9,G5448,1)),"",IF((AND(FIND('112'!$M$9,G5448,1)&gt;=1,B5448='112'!$K$9,OR($N5448='112'!$I$6,$O5448='112'!$I$6))),"x",""))</f>
        <v/>
      </c>
      <c r="U5448" s="75" t="str">
        <f>IF(ISERROR(FIND('112'!$M$9,G5448,1)),"",IF((AND(LEFT(G5448,2)=LEFT('112'!$M$9,2),B5448&lt;'112'!$K$9,$N5448='112'!$I$6)),"x",""))</f>
        <v/>
      </c>
      <c r="V5448" s="75" t="str">
        <f>IF(ISERROR(FIND('112'!$M$9,G5448,1)),"",IF((AND(RIGHT(G5448,2)=RIGHT('112'!$M$9,2),B5448&lt;'112'!$K$9,$O5448='112'!$I$6)),"x",""))</f>
        <v/>
      </c>
      <c r="W5448" s="75" t="str">
        <f>IF(AND('341-CT'!$H$9=H5448,OR(LEFT(N5448,3)=$W$7,LEFT(O5448,3)=$W$7)),"x","")</f>
        <v/>
      </c>
      <c r="X5448" s="75" t="str">
        <f>IF(OR(TH!N4117=TH!$X$7,O5448=TH!$X$7),"x","")</f>
        <v/>
      </c>
      <c r="Y5448" s="75" t="str">
        <f>IF(AND(OR(N5448="131",O5448="131"),H5448='131-CT'!$H$9),"x","")</f>
        <v/>
      </c>
      <c r="Z5448" s="75"/>
      <c r="AA5448" s="75" t="str">
        <f>IF(AND(MONTH(E5448)='IN-NX'!$J$5,'IN-NX'!$D$7=D5448),"x","")</f>
        <v/>
      </c>
      <c r="AB5448" s="75" t="str">
        <f>IF(AND(OR(LEFT(TH!N4117,2)="15",LEFT(TH!O4117,2)="15"),LEFT(TH!O4117,3)&lt;&gt;"111",'152-CT'!$J$8=TH!F4117),"x","")</f>
        <v/>
      </c>
      <c r="AC5448" s="75" t="str">
        <f>IF(AND(OR(LEFT(TH!N4117,2)="15",LEFT(TH!O4117,2)="15"),TK!$E$7=TH!F4117),"x","")</f>
        <v/>
      </c>
      <c r="AD5448" s="75" t="str">
        <f>IF(AND(N5448="1521",MONTH(C5448)='BK-NL'!$M$11),"x","")</f>
        <v/>
      </c>
      <c r="AE5448" t="s">
        <v>2969</v>
      </c>
    </row>
    <row r="5449" spans="1:33" ht="16.5" customHeight="1">
      <c r="A5449" s="309" t="str">
        <f>IF(B5449&lt;&gt;"",IF(AND(B5449='IN-TC'!$S$4,OR(TH!N5434="1111",TH!O5434="1111")),TH!D5434,""),"")</f>
        <v/>
      </c>
      <c r="B5449" s="1245">
        <f t="shared" si="1354"/>
        <v>11</v>
      </c>
      <c r="C5449" s="292">
        <f t="shared" si="1355"/>
        <v>43066</v>
      </c>
      <c r="D5449" s="59"/>
      <c r="E5449" s="59">
        <v>43066</v>
      </c>
      <c r="F5449" s="62" t="s">
        <v>1335</v>
      </c>
      <c r="G5449" s="742" t="s">
        <v>2895</v>
      </c>
      <c r="H5449" s="67" t="s">
        <v>1333</v>
      </c>
      <c r="I5449" s="375"/>
      <c r="J5449" s="382"/>
      <c r="K5449" s="375"/>
      <c r="L5449" s="381"/>
      <c r="M5449" s="60">
        <v>281882</v>
      </c>
      <c r="N5449" s="61" t="s">
        <v>9</v>
      </c>
      <c r="O5449" s="61" t="s">
        <v>63</v>
      </c>
      <c r="P5449" s="75" t="str">
        <f>IF(AND('331-CT'!$E$7=TH!H4118,OR(N5449="331",O5449="331")),"x","")</f>
        <v/>
      </c>
      <c r="Q5449" s="75" t="str">
        <f>IF(AND(B5449='111'!$L$11,OR($N5449=$Q$7,$O5449=$Q$7)),"x","")</f>
        <v/>
      </c>
      <c r="R5449" s="75" t="str">
        <f>IF(AND($N5449=$Q$7,$B5449&lt;'111'!$L$11),"x","")</f>
        <v/>
      </c>
      <c r="S5449" s="75" t="str">
        <f>IF(AND($O5449=$Q$7,$B5449&lt;'111'!$L$11),"x","")</f>
        <v>x</v>
      </c>
      <c r="T5449" s="75" t="str">
        <f>IF(ISERROR(FIND('112'!$M$9,G5449,1)),"",IF((AND(FIND('112'!$M$9,G5449,1)&gt;=1,B5449='112'!$K$9,OR($N5449='112'!$I$6,$O5449='112'!$I$6))),"x",""))</f>
        <v/>
      </c>
      <c r="U5449" s="75" t="str">
        <f>IF(ISERROR(FIND('112'!$M$9,G5449,1)),"",IF((AND(LEFT(G5449,2)=LEFT('112'!$M$9,2),B5449&lt;'112'!$K$9,$N5449='112'!$I$6)),"x",""))</f>
        <v/>
      </c>
      <c r="V5449" s="75" t="str">
        <f>IF(ISERROR(FIND('112'!$M$9,G5449,1)),"",IF((AND(RIGHT(G5449,2)=RIGHT('112'!$M$9,2),B5449&lt;'112'!$K$9,$O5449='112'!$I$6)),"x",""))</f>
        <v/>
      </c>
      <c r="W5449" s="75" t="str">
        <f>IF(AND('341-CT'!$H$9=H5449,OR(LEFT(N5449,3)=$W$7,LEFT(O5449,3)=$W$7)),"x","")</f>
        <v/>
      </c>
      <c r="X5449" s="75" t="str">
        <f>IF(OR(TH!N4118=TH!$X$7,O5449=TH!$X$7),"x","")</f>
        <v/>
      </c>
      <c r="Y5449" s="75" t="str">
        <f>IF(AND(OR(N5449="131",O5449="131"),H5449='131-CT'!$H$9),"x","")</f>
        <v/>
      </c>
      <c r="Z5449" s="75"/>
      <c r="AA5449" s="75" t="str">
        <f>IF(AND(MONTH(E5449)='IN-NX'!$J$5,'IN-NX'!$D$7=D5449),"x","")</f>
        <v/>
      </c>
      <c r="AB5449" s="75" t="str">
        <f>IF(AND(OR(LEFT(TH!N4118,2)="15",LEFT(TH!O4118,2)="15"),LEFT(TH!O4118,3)&lt;&gt;"111",'152-CT'!$J$8=TH!F4118),"x","")</f>
        <v/>
      </c>
      <c r="AC5449" s="75" t="str">
        <f>IF(AND(OR(LEFT(TH!N4118,2)="15",LEFT(TH!O4118,2)="15"),TK!$E$7=TH!F4118),"x","")</f>
        <v/>
      </c>
      <c r="AD5449" s="75" t="str">
        <f>IF(AND(N5449="1521",MONTH(C5449)='BK-NL'!$M$11),"x","")</f>
        <v/>
      </c>
      <c r="AE5449" t="s">
        <v>2969</v>
      </c>
    </row>
    <row r="5450" spans="1:33" ht="16.5" customHeight="1">
      <c r="A5450" s="309" t="str">
        <f>IF(B5450&lt;&gt;"",IF(AND(B5450='IN-TC'!$S$4,OR(TH!N5435="1111",TH!O5435="1111")),TH!D5435,""),"")</f>
        <v/>
      </c>
      <c r="B5450" s="58">
        <f t="shared" si="1354"/>
        <v>11</v>
      </c>
      <c r="C5450" s="292">
        <f t="shared" si="1355"/>
        <v>43066</v>
      </c>
      <c r="D5450" s="292" t="s">
        <v>903</v>
      </c>
      <c r="E5450" s="292">
        <v>43066</v>
      </c>
      <c r="F5450" s="67" t="s">
        <v>2411</v>
      </c>
      <c r="G5450" s="293" t="s">
        <v>1713</v>
      </c>
      <c r="H5450" s="73" t="s">
        <v>2917</v>
      </c>
      <c r="I5450" s="373"/>
      <c r="J5450" s="926"/>
      <c r="K5450" s="373">
        <v>368400</v>
      </c>
      <c r="L5450" s="379">
        <v>22719</v>
      </c>
      <c r="M5450" s="927">
        <f>ROUND(K5450*L5450,0)</f>
        <v>8369679600</v>
      </c>
      <c r="N5450" s="295" t="s">
        <v>26</v>
      </c>
      <c r="O5450" s="295" t="s">
        <v>250</v>
      </c>
      <c r="P5450" s="75" t="str">
        <f>IF(AND('331-CT'!$E$7=TH!H4564,OR(N5450="331",O5450="331")),"x","")</f>
        <v/>
      </c>
      <c r="Q5450" s="75" t="str">
        <f>IF(AND(B5450='111'!$L$11,OR($N5450=$Q$7,$O5450=$Q$7)),"x","")</f>
        <v/>
      </c>
      <c r="R5450" s="75" t="str">
        <f>IF(AND($N5450=$Q$7,$B5450&lt;'111'!$L$11),"x","")</f>
        <v/>
      </c>
      <c r="S5450" s="75" t="str">
        <f>IF(AND($O5450=$Q$7,$B5450&lt;'111'!$L$11),"x","")</f>
        <v/>
      </c>
      <c r="T5450" s="75" t="str">
        <f>IF(ISERROR(FIND('112'!$M$9,G5450,1)),"",IF((AND(FIND('112'!$M$9,G5450,1)&gt;=1,B5450='112'!$K$9,OR($N5450='112'!$I$6,$O5450='112'!$I$6))),"x",""))</f>
        <v/>
      </c>
      <c r="U5450" s="75" t="str">
        <f>IF(ISERROR(FIND('112'!$M$9,G5450,1)),"",IF((AND(LEFT(G5450,2)=LEFT('112'!$M$9,2),B5450&lt;'112'!$K$9,$N5450='112'!$I$6)),"x",""))</f>
        <v/>
      </c>
      <c r="V5450" s="75" t="str">
        <f>IF(ISERROR(FIND('112'!$M$9,G5450,1)),"",IF((AND(RIGHT(G5450,2)=RIGHT('112'!$M$9,2),B5450&lt;'112'!$K$9,$O5450='112'!$I$6)),"x",""))</f>
        <v/>
      </c>
      <c r="W5450" s="75" t="str">
        <f>IF(AND('341-CT'!$H$9=H5450,OR(LEFT(N5450,3)=$W$7,LEFT(O5450,3)=$W$7)),"x","")</f>
        <v/>
      </c>
      <c r="X5450" s="75" t="str">
        <f>IF(OR(TH!N4564=TH!$X$7,O5450=TH!$X$7),"x","")</f>
        <v>x</v>
      </c>
      <c r="Y5450" s="75" t="str">
        <f>IF(AND(OR(N5450="131",O5450="131"),H5450='131-CT'!$H$9),"x","")</f>
        <v/>
      </c>
      <c r="Z5450" s="75"/>
      <c r="AA5450" s="75" t="str">
        <f>IF(AND(MONTH(E5450)='IN-NX'!$J$5,'IN-NX'!$D$7=D5450),"x","")</f>
        <v/>
      </c>
      <c r="AB5450" s="75" t="str">
        <f>IF(AND(OR(LEFT(TH!N4564,2)="15",LEFT(TH!O4564,2)="15"),LEFT(TH!O4564,3)&lt;&gt;"111",'152-CT'!$J$8=TH!F4564),"x","")</f>
        <v/>
      </c>
      <c r="AC5450" s="75" t="str">
        <f>IF(AND(OR(LEFT(TH!N4564,2)="15",LEFT(TH!O4564,2)="15"),TK!$E$7=TH!F4564),"x","")</f>
        <v/>
      </c>
      <c r="AD5450" s="75" t="str">
        <f>IF(AND(N5450="1521",MONTH(C5450)='BK-NL'!$M$11),"x","")</f>
        <v/>
      </c>
      <c r="AE5450" s="304"/>
      <c r="AF5450" s="304"/>
      <c r="AG5450" s="304"/>
    </row>
    <row r="5451" spans="1:33" ht="16.5" customHeight="1">
      <c r="A5451" s="309" t="str">
        <f>IF(B5451&lt;&gt;"",IF(AND(B5451='IN-TC'!$S$4,OR(TH!N5436="1111",TH!O5436="1111")),TH!D5436,""),"")</f>
        <v/>
      </c>
      <c r="B5451" s="1245">
        <f t="shared" si="1354"/>
        <v>11</v>
      </c>
      <c r="C5451" s="292">
        <f t="shared" si="1355"/>
        <v>43066</v>
      </c>
      <c r="D5451" s="292" t="s">
        <v>2260</v>
      </c>
      <c r="E5451" s="292">
        <v>43066</v>
      </c>
      <c r="F5451" s="67" t="s">
        <v>834</v>
      </c>
      <c r="G5451" s="943" t="s">
        <v>1713</v>
      </c>
      <c r="H5451" s="294" t="s">
        <v>1023</v>
      </c>
      <c r="I5451" s="373"/>
      <c r="J5451" s="926"/>
      <c r="K5451" s="373"/>
      <c r="L5451" s="379"/>
      <c r="M5451" s="927">
        <v>8720000000</v>
      </c>
      <c r="N5451" s="295" t="s">
        <v>63</v>
      </c>
      <c r="O5451" s="295" t="s">
        <v>26</v>
      </c>
      <c r="P5451" s="75" t="str">
        <f>IF(AND('331-CT'!$E$7=TH!H4565,OR(N5451="331",O5451="331")),"x","")</f>
        <v/>
      </c>
      <c r="Q5451" s="75" t="str">
        <f>IF(AND(B5451='111'!$L$11,OR($N5451=$Q$7,$O5451=$Q$7)),"x","")</f>
        <v/>
      </c>
      <c r="R5451" s="75" t="str">
        <f>IF(AND($N5451=$Q$7,$B5451&lt;'111'!$L$11),"x","")</f>
        <v>x</v>
      </c>
      <c r="S5451" s="75" t="str">
        <f>IF(AND($O5451=$Q$7,$B5451&lt;'111'!$L$11),"x","")</f>
        <v/>
      </c>
      <c r="T5451" s="75" t="str">
        <f>IF(ISERROR(FIND('112'!$M$9,G5451,1)),"",IF((AND(FIND('112'!$M$9,G5451,1)&gt;=1,B5451='112'!$K$9,OR($N5451='112'!$I$6,$O5451='112'!$I$6))),"x",""))</f>
        <v/>
      </c>
      <c r="U5451" s="75" t="str">
        <f>IF(ISERROR(FIND('112'!$M$9,G5451,1)),"",IF((AND(LEFT(G5451,2)=LEFT('112'!$M$9,2),B5451&lt;'112'!$K$9,$N5451='112'!$I$6)),"x",""))</f>
        <v/>
      </c>
      <c r="V5451" s="75" t="str">
        <f>IF(ISERROR(FIND('112'!$M$9,G5451,1)),"",IF((AND(RIGHT(G5451,2)=RIGHT('112'!$M$9,2),B5451&lt;'112'!$K$9,$O5451='112'!$I$6)),"x",""))</f>
        <v/>
      </c>
      <c r="W5451" s="75" t="str">
        <f>IF(AND('341-CT'!$H$9=H5451,OR(LEFT(N5451,3)=$W$7,LEFT(O5451,3)=$W$7)),"x","")</f>
        <v/>
      </c>
      <c r="X5451" s="75" t="str">
        <f>IF(OR(TH!N4565=TH!$X$7,O5451=TH!$X$7),"x","")</f>
        <v>x</v>
      </c>
      <c r="Y5451" s="75" t="str">
        <f>IF(AND(OR(N5451="131",O5451="131"),H5451='131-CT'!$H$9),"x","")</f>
        <v/>
      </c>
      <c r="Z5451" s="75"/>
      <c r="AA5451" s="75" t="str">
        <f>IF(AND(MONTH(E5451)='IN-NX'!$J$5,'IN-NX'!$D$7=D5451),"x","")</f>
        <v/>
      </c>
      <c r="AB5451" s="75" t="str">
        <f>IF(AND(OR(LEFT(TH!N4565,2)="15",LEFT(TH!O4565,2)="15"),LEFT(TH!O4565,3)&lt;&gt;"111",'152-CT'!$J$8=TH!F4565),"x","")</f>
        <v/>
      </c>
      <c r="AC5451" s="75" t="str">
        <f>IF(AND(OR(LEFT(TH!N4565,2)="15",LEFT(TH!O4565,2)="15"),TK!$E$7=TH!F4565),"x","")</f>
        <v/>
      </c>
      <c r="AD5451" s="75" t="str">
        <f>IF(AND(N5451="1521",MONTH(C5451)='BK-NL'!$M$11),"x","")</f>
        <v/>
      </c>
    </row>
    <row r="5452" spans="1:33" ht="16.5" customHeight="1">
      <c r="A5452" s="309" t="str">
        <f>IF(B5452&lt;&gt;"",IF(AND(B5452='IN-TC'!$S$4,OR(TH!N5437="1111",TH!O5437="1111")),TH!D5437,""),"")</f>
        <v/>
      </c>
      <c r="B5452" s="1245">
        <f t="shared" si="1354"/>
        <v>11</v>
      </c>
      <c r="C5452" s="292">
        <f t="shared" si="1355"/>
        <v>43066</v>
      </c>
      <c r="D5452" s="59" t="s">
        <v>903</v>
      </c>
      <c r="E5452" s="59">
        <v>43066</v>
      </c>
      <c r="F5452" s="62" t="s">
        <v>2647</v>
      </c>
      <c r="G5452" s="62" t="s">
        <v>585</v>
      </c>
      <c r="H5452" s="67" t="s">
        <v>563</v>
      </c>
      <c r="I5452" s="373"/>
      <c r="J5452" s="382"/>
      <c r="K5452" s="373"/>
      <c r="L5452" s="379"/>
      <c r="M5452" s="60">
        <v>33402380</v>
      </c>
      <c r="N5452" s="61" t="s">
        <v>8</v>
      </c>
      <c r="O5452" s="61" t="s">
        <v>26</v>
      </c>
      <c r="P5452" s="75" t="str">
        <f>IF(AND('331-CT'!$E$7=TH!H4896,OR(N5452="331",O5452="331")),"x","")</f>
        <v/>
      </c>
      <c r="Q5452" s="75" t="str">
        <f>IF(AND(B5452='111'!$L$11,OR($N5452=$Q$7,$O5452=$Q$7)),"x","")</f>
        <v/>
      </c>
      <c r="R5452" s="75" t="str">
        <f>IF(AND($N5452=$Q$7,$B5452&lt;'111'!$L$11),"x","")</f>
        <v/>
      </c>
      <c r="S5452" s="75" t="str">
        <f>IF(AND($O5452=$Q$7,$B5452&lt;'111'!$L$11),"x","")</f>
        <v/>
      </c>
      <c r="T5452" s="75" t="str">
        <f>IF(ISERROR(FIND('112'!$M$9,G5452,1)),"",IF((AND(FIND('112'!$M$9,G5452,1)&gt;=1,B5452='112'!$K$9,OR($N5452='112'!$I$6,$O5452='112'!$I$6))),"x",""))</f>
        <v/>
      </c>
      <c r="U5452" s="75" t="str">
        <f>IF(ISERROR(FIND('112'!$M$9,G5452,1)),"",IF((AND(LEFT(G5452,2)=LEFT('112'!$M$9,2),B5452&lt;'112'!$K$9,$N5452='112'!$I$6)),"x",""))</f>
        <v/>
      </c>
      <c r="V5452" s="75" t="str">
        <f>IF(ISERROR(FIND('112'!$M$9,G5452,1)),"",IF((AND(RIGHT(G5452,2)=RIGHT('112'!$M$9,2),B5452&lt;'112'!$K$9,$O5452='112'!$I$6)),"x",""))</f>
        <v/>
      </c>
      <c r="W5452" s="75" t="str">
        <f>IF(AND('341-CT'!$H$9=H5452,OR(LEFT(N5452,3)=$W$7,LEFT(O5452,3)=$W$7)),"x","")</f>
        <v/>
      </c>
      <c r="X5452" s="75" t="str">
        <f>IF(OR(TH!N4896=TH!$X$7,O5452=TH!$X$7),"x","")</f>
        <v/>
      </c>
      <c r="Y5452" s="75" t="str">
        <f>IF(AND(OR(N5452="131",O5452="131"),H5452='131-CT'!$H$9),"x","")</f>
        <v/>
      </c>
      <c r="Z5452" s="75"/>
      <c r="AA5452" s="75" t="str">
        <f>IF(AND(MONTH(E5452)='IN-NX'!$J$5,'IN-NX'!$D$7=D5452),"x","")</f>
        <v/>
      </c>
      <c r="AB5452" s="75" t="str">
        <f>IF(AND(OR(LEFT(TH!N4896,2)="15",LEFT(TH!O4896,2)="15"),LEFT(TH!O4896,3)&lt;&gt;"111",'152-CT'!$J$8=TH!F4896),"x","")</f>
        <v/>
      </c>
      <c r="AC5452" s="75" t="str">
        <f>IF(AND(OR(LEFT(TH!N4896,2)="15",LEFT(TH!O4896,2)="15"),TK!$E$7=TH!F4896),"x","")</f>
        <v/>
      </c>
      <c r="AD5452" s="75" t="str">
        <f>IF(AND(N5452="1521",MONTH(C5452)='BK-NL'!$M$11),"x","")</f>
        <v/>
      </c>
      <c r="AE5452" s="304"/>
      <c r="AF5452" s="304"/>
      <c r="AG5452" s="304"/>
    </row>
    <row r="5453" spans="1:33" ht="16.5" customHeight="1">
      <c r="A5453" s="309" t="str">
        <f>IF(B5453&lt;&gt;"",IF(AND(B5453='IN-TC'!$S$4,OR(TH!N5438="1111",TH!O5438="1111")),TH!D5438,""),"")</f>
        <v/>
      </c>
      <c r="B5453" s="1245">
        <f t="shared" si="1354"/>
        <v>11</v>
      </c>
      <c r="C5453" s="292">
        <f t="shared" si="1355"/>
        <v>43066</v>
      </c>
      <c r="D5453" s="59" t="s">
        <v>903</v>
      </c>
      <c r="E5453" s="59">
        <v>43066</v>
      </c>
      <c r="F5453" s="62" t="s">
        <v>1307</v>
      </c>
      <c r="G5453" s="62" t="s">
        <v>585</v>
      </c>
      <c r="H5453" s="67" t="s">
        <v>845</v>
      </c>
      <c r="I5453" s="373"/>
      <c r="J5453" s="382"/>
      <c r="K5453" s="373"/>
      <c r="L5453" s="379"/>
      <c r="M5453" s="60">
        <v>20000</v>
      </c>
      <c r="N5453" s="61" t="s">
        <v>101</v>
      </c>
      <c r="O5453" s="61" t="s">
        <v>26</v>
      </c>
      <c r="P5453" s="75" t="str">
        <f>IF(AND('331-CT'!$E$7=TH!H4897,OR(N5453="331",O5453="331")),"x","")</f>
        <v/>
      </c>
      <c r="Q5453" s="75" t="str">
        <f>IF(AND(B5453='111'!$L$11,OR($N5453=$Q$7,$O5453=$Q$7)),"x","")</f>
        <v/>
      </c>
      <c r="R5453" s="75" t="str">
        <f>IF(AND($N5453=$Q$7,$B5453&lt;'111'!$L$11),"x","")</f>
        <v/>
      </c>
      <c r="S5453" s="75" t="str">
        <f>IF(AND($O5453=$Q$7,$B5453&lt;'111'!$L$11),"x","")</f>
        <v/>
      </c>
      <c r="T5453" s="75" t="str">
        <f>IF(ISERROR(FIND('112'!$M$9,G5453,1)),"",IF((AND(FIND('112'!$M$9,G5453,1)&gt;=1,B5453='112'!$K$9,OR($N5453='112'!$I$6,$O5453='112'!$I$6))),"x",""))</f>
        <v/>
      </c>
      <c r="U5453" s="75" t="str">
        <f>IF(ISERROR(FIND('112'!$M$9,G5453,1)),"",IF((AND(LEFT(G5453,2)=LEFT('112'!$M$9,2),B5453&lt;'112'!$K$9,$N5453='112'!$I$6)),"x",""))</f>
        <v/>
      </c>
      <c r="V5453" s="75" t="str">
        <f>IF(ISERROR(FIND('112'!$M$9,G5453,1)),"",IF((AND(RIGHT(G5453,2)=RIGHT('112'!$M$9,2),B5453&lt;'112'!$K$9,$O5453='112'!$I$6)),"x",""))</f>
        <v/>
      </c>
      <c r="W5453" s="75" t="str">
        <f>IF(AND('341-CT'!$H$9=H5453,OR(LEFT(N5453,3)=$W$7,LEFT(O5453,3)=$W$7)),"x","")</f>
        <v/>
      </c>
      <c r="X5453" s="75" t="str">
        <f>IF(OR(TH!N4897=TH!$X$7,O5453=TH!$X$7),"x","")</f>
        <v/>
      </c>
      <c r="Y5453" s="75" t="str">
        <f>IF(AND(OR(N5453="131",O5453="131"),H5453='131-CT'!$H$9),"x","")</f>
        <v/>
      </c>
      <c r="Z5453" s="75"/>
      <c r="AA5453" s="75" t="str">
        <f>IF(AND(MONTH(E5453)='IN-NX'!$J$5,'IN-NX'!$D$7=D5453),"x","")</f>
        <v/>
      </c>
      <c r="AB5453" s="75" t="str">
        <f>IF(AND(OR(LEFT(TH!N4897,2)="15",LEFT(TH!O4897,2)="15"),LEFT(TH!O4897,3)&lt;&gt;"111",'152-CT'!$J$8=TH!F4897),"x","")</f>
        <v/>
      </c>
      <c r="AC5453" s="75" t="str">
        <f>IF(AND(OR(LEFT(TH!N4897,2)="15",LEFT(TH!O4897,2)="15"),TK!$E$7=TH!F4897),"x","")</f>
        <v/>
      </c>
      <c r="AD5453" s="75" t="str">
        <f>IF(AND(N5453="1521",MONTH(C5453)='BK-NL'!$M$11),"x","")</f>
        <v/>
      </c>
      <c r="AE5453" s="304">
        <v>11</v>
      </c>
      <c r="AF5453" s="304"/>
      <c r="AG5453" s="304"/>
    </row>
    <row r="5454" spans="1:33" ht="16.5" customHeight="1">
      <c r="A5454" s="309" t="str">
        <f>IF(B5454&lt;&gt;"",IF(AND(B5454='IN-TC'!$S$4,OR(TH!N5439="1111",TH!O5439="1111")),TH!D5439,""),"")</f>
        <v/>
      </c>
      <c r="B5454" s="1245">
        <f t="shared" si="1354"/>
        <v>11</v>
      </c>
      <c r="C5454" s="292">
        <f t="shared" si="1355"/>
        <v>43066</v>
      </c>
      <c r="D5454" s="59" t="s">
        <v>903</v>
      </c>
      <c r="E5454" s="59">
        <v>43066</v>
      </c>
      <c r="F5454" s="62" t="s">
        <v>2101</v>
      </c>
      <c r="G5454" s="62" t="s">
        <v>585</v>
      </c>
      <c r="H5454" s="67" t="s">
        <v>845</v>
      </c>
      <c r="I5454" s="373"/>
      <c r="J5454" s="382"/>
      <c r="K5454" s="373"/>
      <c r="L5454" s="379"/>
      <c r="M5454" s="60">
        <v>2000</v>
      </c>
      <c r="N5454" s="61" t="s">
        <v>9</v>
      </c>
      <c r="O5454" s="61" t="s">
        <v>26</v>
      </c>
      <c r="P5454" s="75" t="str">
        <f>IF(AND('331-CT'!$E$7=TH!H4898,OR(N5454="331",O5454="331")),"x","")</f>
        <v/>
      </c>
      <c r="Q5454" s="75" t="str">
        <f>IF(AND(B5454='111'!$L$11,OR($N5454=$Q$7,$O5454=$Q$7)),"x","")</f>
        <v/>
      </c>
      <c r="R5454" s="75" t="str">
        <f>IF(AND($N5454=$Q$7,$B5454&lt;'111'!$L$11),"x","")</f>
        <v/>
      </c>
      <c r="S5454" s="75" t="str">
        <f>IF(AND($O5454=$Q$7,$B5454&lt;'111'!$L$11),"x","")</f>
        <v/>
      </c>
      <c r="T5454" s="75" t="str">
        <f>IF(ISERROR(FIND('112'!$M$9,G5454,1)),"",IF((AND(FIND('112'!$M$9,G5454,1)&gt;=1,B5454='112'!$K$9,OR($N5454='112'!$I$6,$O5454='112'!$I$6))),"x",""))</f>
        <v/>
      </c>
      <c r="U5454" s="75" t="str">
        <f>IF(ISERROR(FIND('112'!$M$9,G5454,1)),"",IF((AND(LEFT(G5454,2)=LEFT('112'!$M$9,2),B5454&lt;'112'!$K$9,$N5454='112'!$I$6)),"x",""))</f>
        <v/>
      </c>
      <c r="V5454" s="75" t="str">
        <f>IF(ISERROR(FIND('112'!$M$9,G5454,1)),"",IF((AND(RIGHT(G5454,2)=RIGHT('112'!$M$9,2),B5454&lt;'112'!$K$9,$O5454='112'!$I$6)),"x",""))</f>
        <v/>
      </c>
      <c r="W5454" s="75" t="str">
        <f>IF(AND('341-CT'!$H$9=H5454,OR(LEFT(N5454,3)=$W$7,LEFT(O5454,3)=$W$7)),"x","")</f>
        <v/>
      </c>
      <c r="X5454" s="75" t="str">
        <f>IF(OR(TH!N4898=TH!$X$7,O5454=TH!$X$7),"x","")</f>
        <v/>
      </c>
      <c r="Y5454" s="75" t="str">
        <f>IF(AND(OR(N5454="131",O5454="131"),H5454='131-CT'!$H$9),"x","")</f>
        <v/>
      </c>
      <c r="Z5454" s="75"/>
      <c r="AA5454" s="75" t="str">
        <f>IF(AND(MONTH(E5454)='IN-NX'!$J$5,'IN-NX'!$D$7=D5454),"x","")</f>
        <v/>
      </c>
      <c r="AB5454" s="75" t="str">
        <f>IF(AND(OR(LEFT(TH!N4898,2)="15",LEFT(TH!O4898,2)="15"),LEFT(TH!O4898,3)&lt;&gt;"111",'152-CT'!$J$8=TH!F4898),"x","")</f>
        <v/>
      </c>
      <c r="AC5454" s="75" t="str">
        <f>IF(AND(OR(LEFT(TH!N4898,2)="15",LEFT(TH!O4898,2)="15"),TK!$E$7=TH!F4898),"x","")</f>
        <v/>
      </c>
      <c r="AD5454" s="75" t="str">
        <f>IF(AND(N5454="1521",MONTH(C5454)='BK-NL'!$M$11),"x","")</f>
        <v/>
      </c>
      <c r="AE5454" s="304">
        <v>11</v>
      </c>
      <c r="AF5454" s="304"/>
      <c r="AG5454" s="304"/>
    </row>
    <row r="5455" spans="1:33" ht="16.5" customHeight="1">
      <c r="A5455" s="309" t="str">
        <f>IF(B5455&lt;&gt;"",IF(AND(B5455='IN-TC'!$S$4,OR(TH!N5440="1111",TH!O5440="1111")),TH!D5440,""),"")</f>
        <v/>
      </c>
      <c r="B5455" s="1245">
        <f t="shared" si="1354"/>
        <v>11</v>
      </c>
      <c r="C5455" s="292">
        <f t="shared" si="1355"/>
        <v>43066</v>
      </c>
      <c r="D5455" s="59" t="s">
        <v>902</v>
      </c>
      <c r="E5455" s="59">
        <v>43066</v>
      </c>
      <c r="F5455" s="62" t="s">
        <v>1549</v>
      </c>
      <c r="G5455" s="62" t="s">
        <v>747</v>
      </c>
      <c r="H5455" s="294" t="s">
        <v>835</v>
      </c>
      <c r="I5455" s="375"/>
      <c r="J5455" s="382"/>
      <c r="K5455" s="375"/>
      <c r="L5455" s="381"/>
      <c r="M5455" s="60">
        <v>227700</v>
      </c>
      <c r="N5455" s="61" t="s">
        <v>101</v>
      </c>
      <c r="O5455" s="61" t="s">
        <v>26</v>
      </c>
      <c r="P5455" s="75" t="str">
        <f>IF(AND('331-CT'!$E$7=TH!H5607,OR(N5455="331",O5455="331")),"x","")</f>
        <v/>
      </c>
      <c r="Q5455" s="75" t="str">
        <f>IF(AND(B5455='111'!$L$11,OR($N5455=$Q$7,$O5455=$Q$7)),"x","")</f>
        <v/>
      </c>
      <c r="R5455" s="75" t="str">
        <f>IF(AND($N5455=$Q$7,$B5455&lt;'111'!$L$11),"x","")</f>
        <v/>
      </c>
      <c r="S5455" s="75" t="str">
        <f>IF(AND($O5455=$Q$7,$B5455&lt;'111'!$L$11),"x","")</f>
        <v/>
      </c>
      <c r="T5455" s="75" t="str">
        <f>IF(ISERROR(FIND('112'!$M$9,G5455,1)),"",IF((AND(FIND('112'!$M$9,G5455,1)&gt;=1,B5455='112'!$K$9,OR($N5455='112'!$I$6,$O5455='112'!$I$6))),"x",""))</f>
        <v/>
      </c>
      <c r="U5455" s="75" t="str">
        <f>IF(ISERROR(FIND('112'!$M$9,G5455,1)),"",IF((AND(LEFT(G5455,2)=LEFT('112'!$M$9,2),B5455&lt;'112'!$K$9,$N5455='112'!$I$6)),"x",""))</f>
        <v/>
      </c>
      <c r="V5455" s="75" t="str">
        <f>IF(ISERROR(FIND('112'!$M$9,G5455,1)),"",IF((AND(RIGHT(G5455,2)=RIGHT('112'!$M$9,2),B5455&lt;'112'!$K$9,$O5455='112'!$I$6)),"x",""))</f>
        <v/>
      </c>
      <c r="W5455" s="75" t="str">
        <f>IF(AND('341-CT'!$H$9=H5455,OR(LEFT(N5455,3)=$W$7,LEFT(O5455,3)=$W$7)),"x","")</f>
        <v/>
      </c>
      <c r="X5455" s="75" t="str">
        <f>IF(OR(TH!N5607=TH!$X$7,O5455=TH!$X$7),"x","")</f>
        <v/>
      </c>
      <c r="Y5455" s="75" t="str">
        <f>IF(AND(OR(N5455="131",O5455="131"),H5455='131-CT'!$H$9),"x","")</f>
        <v/>
      </c>
      <c r="Z5455" s="75"/>
      <c r="AA5455" s="75" t="str">
        <f>IF(AND(MONTH(E5455)='IN-NX'!$J$5,'IN-NX'!$D$7=D5455),"x","")</f>
        <v/>
      </c>
      <c r="AB5455" s="75" t="str">
        <f>IF(AND(OR(LEFT(TH!N5607,2)="15",LEFT(TH!O5607,2)="15"),LEFT(TH!O5607,3)&lt;&gt;"111",'152-CT'!$J$8=TH!F5607),"x","")</f>
        <v/>
      </c>
      <c r="AC5455" s="75" t="str">
        <f>IF(AND(OR(LEFT(TH!N5607,2)="15",LEFT(TH!O5607,2)="15"),TK!$E$7=TH!F5607),"x","")</f>
        <v/>
      </c>
      <c r="AD5455" s="75" t="str">
        <f>IF(AND(N5455="1521",MONTH(C5455)='BK-NL'!$M$11),"x","")</f>
        <v/>
      </c>
    </row>
    <row r="5456" spans="1:33" ht="16.5" customHeight="1">
      <c r="A5456" s="309" t="str">
        <f>IF(B5456&lt;&gt;"",IF(AND(B5456='IN-TC'!$S$4,OR(TH!N5441="1111",TH!O5441="1111")),TH!D5441,""),"")</f>
        <v/>
      </c>
      <c r="B5456" s="1243">
        <f t="shared" si="1354"/>
        <v>11</v>
      </c>
      <c r="C5456" s="292">
        <f t="shared" si="1355"/>
        <v>43067</v>
      </c>
      <c r="D5456" s="292"/>
      <c r="E5456" s="292">
        <v>43067</v>
      </c>
      <c r="F5456" s="1010" t="s">
        <v>1881</v>
      </c>
      <c r="G5456" s="925"/>
      <c r="H5456" s="311" t="s">
        <v>1890</v>
      </c>
      <c r="I5456" s="373"/>
      <c r="J5456" s="926"/>
      <c r="K5456" s="373"/>
      <c r="L5456" s="379"/>
      <c r="M5456" s="927">
        <v>2472600000</v>
      </c>
      <c r="N5456" s="295" t="s">
        <v>8</v>
      </c>
      <c r="O5456" s="295" t="s">
        <v>63</v>
      </c>
      <c r="P5456" s="75" t="str">
        <f>IF(AND('331-CT'!$E$7=TH!H4359,OR(N5456="331",O5456="331")),"x","")</f>
        <v/>
      </c>
      <c r="Q5456" s="75" t="str">
        <f>IF(AND(B5456='111'!$L$11,OR($N5456=$Q$7,$O5456=$Q$7)),"x","")</f>
        <v/>
      </c>
      <c r="R5456" s="75" t="str">
        <f>IF(AND($N5456=$Q$7,$B5456&lt;'111'!$L$11),"x","")</f>
        <v/>
      </c>
      <c r="S5456" s="75" t="str">
        <f>IF(AND($O5456=$Q$7,$B5456&lt;'111'!$L$11),"x","")</f>
        <v>x</v>
      </c>
      <c r="T5456" s="75" t="str">
        <f>IF(ISERROR(FIND('112'!$M$9,G5456,1)),"",IF((AND(FIND('112'!$M$9,G5456,1)&gt;=1,B5456='112'!$K$9,OR($N5456='112'!$I$6,$O5456='112'!$I$6))),"x",""))</f>
        <v/>
      </c>
      <c r="U5456" s="75" t="str">
        <f>IF(ISERROR(FIND('112'!$M$9,G5456,1)),"",IF((AND(LEFT(G5456,2)=LEFT('112'!$M$9,2),B5456&lt;'112'!$K$9,$N5456='112'!$I$6)),"x",""))</f>
        <v/>
      </c>
      <c r="V5456" s="75" t="str">
        <f>IF(ISERROR(FIND('112'!$M$9,G5456,1)),"",IF((AND(RIGHT(G5456,2)=RIGHT('112'!$M$9,2),B5456&lt;'112'!$K$9,$O5456='112'!$I$6)),"x",""))</f>
        <v/>
      </c>
      <c r="W5456" s="75" t="str">
        <f>IF(AND('341-CT'!$H$9=H5456,OR(LEFT(N5456,3)=$W$7,LEFT(O5456,3)=$W$7)),"x","")</f>
        <v/>
      </c>
      <c r="X5456" s="75" t="str">
        <f>IF(OR(TH!N4359=TH!$X$7,O5456=TH!$X$7),"x","")</f>
        <v/>
      </c>
      <c r="Y5456" s="75" t="str">
        <f>IF(AND(OR(N5456="131",O5456="131"),H5456='131-CT'!$H$9),"x","")</f>
        <v/>
      </c>
      <c r="Z5456" s="75"/>
      <c r="AA5456" s="75" t="str">
        <f>IF(AND(MONTH(E5456)='IN-NX'!$J$5,'IN-NX'!$D$7=D5456),"x","")</f>
        <v/>
      </c>
      <c r="AB5456" s="75" t="str">
        <f>IF(AND(OR(LEFT(TH!N4359,2)="15",LEFT(TH!O4359,2)="15"),LEFT(TH!O4359,3)&lt;&gt;"111",'152-CT'!$J$8=TH!F4359),"x","")</f>
        <v/>
      </c>
      <c r="AC5456" s="75" t="str">
        <f>IF(AND(OR(LEFT(TH!N4359,2)="15",LEFT(TH!O4359,2)="15"),TK!$E$7=TH!F4359),"x","")</f>
        <v/>
      </c>
      <c r="AD5456" s="75" t="str">
        <f>IF(AND(N5456="1521",MONTH(C5456)='BK-NL'!$M$11),"x","")</f>
        <v/>
      </c>
    </row>
    <row r="5457" spans="1:33" ht="16.5" customHeight="1">
      <c r="A5457" s="309" t="str">
        <f>IF(B5457&lt;&gt;"",IF(AND(B5457='IN-TC'!$S$4,OR(TH!N5442="1111",TH!O5442="1111")),TH!D5442,""),"")</f>
        <v/>
      </c>
      <c r="B5457" s="1243">
        <f t="shared" si="1354"/>
        <v>11</v>
      </c>
      <c r="C5457" s="292">
        <f t="shared" si="1355"/>
        <v>43067</v>
      </c>
      <c r="D5457" s="292"/>
      <c r="E5457" s="292">
        <v>43067</v>
      </c>
      <c r="F5457" s="1010" t="s">
        <v>1883</v>
      </c>
      <c r="G5457" s="925"/>
      <c r="H5457" s="311"/>
      <c r="I5457" s="373"/>
      <c r="J5457" s="926"/>
      <c r="K5457" s="373"/>
      <c r="L5457" s="379"/>
      <c r="M5457" s="927">
        <v>1650000</v>
      </c>
      <c r="N5457" s="295" t="s">
        <v>101</v>
      </c>
      <c r="O5457" s="295" t="s">
        <v>63</v>
      </c>
      <c r="P5457" s="75" t="str">
        <f>IF(AND('331-CT'!$E$7=TH!H4360,OR(N5457="331",O5457="331")),"x","")</f>
        <v/>
      </c>
      <c r="Q5457" s="75" t="str">
        <f>IF(AND(B5457='111'!$L$11,OR($N5457=$Q$7,$O5457=$Q$7)),"x","")</f>
        <v/>
      </c>
      <c r="R5457" s="75" t="str">
        <f>IF(AND($N5457=$Q$7,$B5457&lt;'111'!$L$11),"x","")</f>
        <v/>
      </c>
      <c r="S5457" s="75" t="str">
        <f>IF(AND($O5457=$Q$7,$B5457&lt;'111'!$L$11),"x","")</f>
        <v>x</v>
      </c>
      <c r="T5457" s="75" t="str">
        <f>IF(ISERROR(FIND('112'!$M$9,G5457,1)),"",IF((AND(FIND('112'!$M$9,G5457,1)&gt;=1,B5457='112'!$K$9,OR($N5457='112'!$I$6,$O5457='112'!$I$6))),"x",""))</f>
        <v/>
      </c>
      <c r="U5457" s="75" t="str">
        <f>IF(ISERROR(FIND('112'!$M$9,G5457,1)),"",IF((AND(LEFT(G5457,2)=LEFT('112'!$M$9,2),B5457&lt;'112'!$K$9,$N5457='112'!$I$6)),"x",""))</f>
        <v/>
      </c>
      <c r="V5457" s="75" t="str">
        <f>IF(ISERROR(FIND('112'!$M$9,G5457,1)),"",IF((AND(RIGHT(G5457,2)=RIGHT('112'!$M$9,2),B5457&lt;'112'!$K$9,$O5457='112'!$I$6)),"x",""))</f>
        <v/>
      </c>
      <c r="W5457" s="75" t="str">
        <f>IF(AND('341-CT'!$H$9=H5457,OR(LEFT(N5457,3)=$W$7,LEFT(O5457,3)=$W$7)),"x","")</f>
        <v/>
      </c>
      <c r="X5457" s="75" t="str">
        <f>IF(OR(TH!N4360=TH!$X$7,O5457=TH!$X$7),"x","")</f>
        <v/>
      </c>
      <c r="Y5457" s="75" t="str">
        <f>IF(AND(OR(N5457="131",O5457="131"),H5457='131-CT'!$H$9),"x","")</f>
        <v/>
      </c>
      <c r="Z5457" s="75"/>
      <c r="AA5457" s="75" t="str">
        <f>IF(AND(MONTH(E5457)='IN-NX'!$J$5,'IN-NX'!$D$7=D5457),"x","")</f>
        <v/>
      </c>
      <c r="AB5457" s="75" t="str">
        <f>IF(AND(OR(LEFT(TH!N4360,2)="15",LEFT(TH!O4360,2)="15"),LEFT(TH!O4360,3)&lt;&gt;"111",'152-CT'!$J$8=TH!F4360),"x","")</f>
        <v/>
      </c>
      <c r="AC5457" s="75" t="str">
        <f>IF(AND(OR(LEFT(TH!N4360,2)="15",LEFT(TH!O4360,2)="15"),TK!$E$7=TH!F4360),"x","")</f>
        <v/>
      </c>
      <c r="AD5457" s="75" t="str">
        <f>IF(AND(N5457="1521",MONTH(C5457)='BK-NL'!$M$11),"x","")</f>
        <v/>
      </c>
    </row>
    <row r="5458" spans="1:33" ht="16.5" customHeight="1">
      <c r="A5458" s="309" t="str">
        <f>IF(B5458&lt;&gt;"",IF(AND(B5458='IN-TC'!$S$4,OR(TH!N5443="1111",TH!O5443="1111")),TH!D5443,""),"")</f>
        <v/>
      </c>
      <c r="B5458" s="1245">
        <f t="shared" si="1354"/>
        <v>11</v>
      </c>
      <c r="C5458" s="292">
        <f t="shared" si="1355"/>
        <v>43067</v>
      </c>
      <c r="D5458" s="59" t="s">
        <v>902</v>
      </c>
      <c r="E5458" s="59">
        <v>43067</v>
      </c>
      <c r="F5458" s="62" t="s">
        <v>1549</v>
      </c>
      <c r="G5458" s="62" t="s">
        <v>747</v>
      </c>
      <c r="H5458" s="294" t="s">
        <v>835</v>
      </c>
      <c r="I5458" s="375"/>
      <c r="J5458" s="382"/>
      <c r="K5458" s="375"/>
      <c r="L5458" s="381"/>
      <c r="M5458" s="60">
        <v>227600</v>
      </c>
      <c r="N5458" s="61" t="s">
        <v>101</v>
      </c>
      <c r="O5458" s="61" t="s">
        <v>26</v>
      </c>
      <c r="P5458" s="75" t="str">
        <f>IF(AND('331-CT'!$E$7=TH!H5608,OR(N5458="331",O5458="331")),"x","")</f>
        <v/>
      </c>
      <c r="Q5458" s="75" t="str">
        <f>IF(AND(B5458='111'!$L$11,OR($N5458=$Q$7,$O5458=$Q$7)),"x","")</f>
        <v/>
      </c>
      <c r="R5458" s="75" t="str">
        <f>IF(AND($N5458=$Q$7,$B5458&lt;'111'!$L$11),"x","")</f>
        <v/>
      </c>
      <c r="S5458" s="75" t="str">
        <f>IF(AND($O5458=$Q$7,$B5458&lt;'111'!$L$11),"x","")</f>
        <v/>
      </c>
      <c r="T5458" s="75" t="str">
        <f>IF(ISERROR(FIND('112'!$M$9,G5458,1)),"",IF((AND(FIND('112'!$M$9,G5458,1)&gt;=1,B5458='112'!$K$9,OR($N5458='112'!$I$6,$O5458='112'!$I$6))),"x",""))</f>
        <v/>
      </c>
      <c r="U5458" s="75" t="str">
        <f>IF(ISERROR(FIND('112'!$M$9,G5458,1)),"",IF((AND(LEFT(G5458,2)=LEFT('112'!$M$9,2),B5458&lt;'112'!$K$9,$N5458='112'!$I$6)),"x",""))</f>
        <v/>
      </c>
      <c r="V5458" s="75" t="str">
        <f>IF(ISERROR(FIND('112'!$M$9,G5458,1)),"",IF((AND(RIGHT(G5458,2)=RIGHT('112'!$M$9,2),B5458&lt;'112'!$K$9,$O5458='112'!$I$6)),"x",""))</f>
        <v/>
      </c>
      <c r="W5458" s="75" t="str">
        <f>IF(AND('341-CT'!$H$9=H5458,OR(LEFT(N5458,3)=$W$7,LEFT(O5458,3)=$W$7)),"x","")</f>
        <v/>
      </c>
      <c r="X5458" s="75" t="str">
        <f>IF(OR(TH!N5608=TH!$X$7,O5458=TH!$X$7),"x","")</f>
        <v/>
      </c>
      <c r="Y5458" s="75" t="str">
        <f>IF(AND(OR(N5458="131",O5458="131"),H5458='131-CT'!$H$9),"x","")</f>
        <v/>
      </c>
      <c r="Z5458" s="75"/>
      <c r="AA5458" s="75" t="str">
        <f>IF(AND(MONTH(E5458)='IN-NX'!$J$5,'IN-NX'!$D$7=D5458),"x","")</f>
        <v/>
      </c>
      <c r="AB5458" s="75" t="str">
        <f>IF(AND(OR(LEFT(TH!N5608,2)="15",LEFT(TH!O5608,2)="15"),LEFT(TH!O5608,3)&lt;&gt;"111",'152-CT'!$J$8=TH!F5608),"x","")</f>
        <v/>
      </c>
      <c r="AC5458" s="75" t="str">
        <f>IF(AND(OR(LEFT(TH!N5608,2)="15",LEFT(TH!O5608,2)="15"),TK!$E$7=TH!F5608),"x","")</f>
        <v/>
      </c>
      <c r="AD5458" s="75" t="str">
        <f>IF(AND(N5458="1521",MONTH(C5458)='BK-NL'!$M$11),"x","")</f>
        <v/>
      </c>
    </row>
    <row r="5459" spans="1:33" ht="16.5" customHeight="1">
      <c r="A5459" s="309" t="str">
        <f>IF(B5459&lt;&gt;"",IF(AND(B5459='IN-TC'!$S$4,OR(TH!N5444="1111",TH!O5444="1111")),TH!D5444,""),"")</f>
        <v/>
      </c>
      <c r="B5459" s="1245">
        <f t="shared" ref="B5459:B5522" si="1356">IF(C5459&lt;&gt;"",MONTH(C5459),"")</f>
        <v>11</v>
      </c>
      <c r="C5459" s="292">
        <f t="shared" si="1355"/>
        <v>43067</v>
      </c>
      <c r="D5459" s="59" t="s">
        <v>902</v>
      </c>
      <c r="E5459" s="59">
        <v>43067</v>
      </c>
      <c r="F5459" s="62" t="s">
        <v>907</v>
      </c>
      <c r="G5459" s="62" t="s">
        <v>747</v>
      </c>
      <c r="H5459" s="294" t="s">
        <v>835</v>
      </c>
      <c r="I5459" s="373"/>
      <c r="J5459" s="382"/>
      <c r="K5459" s="373">
        <v>35000</v>
      </c>
      <c r="L5459" s="379">
        <v>22707</v>
      </c>
      <c r="M5459" s="927">
        <f>ROUND(L5459*K5459,0)</f>
        <v>794745000</v>
      </c>
      <c r="N5459" s="61" t="s">
        <v>26</v>
      </c>
      <c r="O5459" s="61" t="s">
        <v>256</v>
      </c>
      <c r="P5459" s="75" t="str">
        <f>IF(AND('331-CT'!$E$7=TH!H5609,OR(N5459="331",O5459="331")),"x","")</f>
        <v/>
      </c>
      <c r="Q5459" s="75" t="str">
        <f>IF(AND(B5459='111'!$L$11,OR($N5459=$Q$7,$O5459=$Q$7)),"x","")</f>
        <v/>
      </c>
      <c r="R5459" s="75" t="str">
        <f>IF(AND($N5459=$Q$7,$B5459&lt;'111'!$L$11),"x","")</f>
        <v/>
      </c>
      <c r="S5459" s="75" t="str">
        <f>IF(AND($O5459=$Q$7,$B5459&lt;'111'!$L$11),"x","")</f>
        <v/>
      </c>
      <c r="T5459" s="75" t="str">
        <f>IF(ISERROR(FIND('112'!$M$9,G5459,1)),"",IF((AND(FIND('112'!$M$9,G5459,1)&gt;=1,B5459='112'!$K$9,OR($N5459='112'!$I$6,$O5459='112'!$I$6))),"x",""))</f>
        <v/>
      </c>
      <c r="U5459" s="75" t="str">
        <f>IF(ISERROR(FIND('112'!$M$9,G5459,1)),"",IF((AND(LEFT(G5459,2)=LEFT('112'!$M$9,2),B5459&lt;'112'!$K$9,$N5459='112'!$I$6)),"x",""))</f>
        <v/>
      </c>
      <c r="V5459" s="75" t="str">
        <f>IF(ISERROR(FIND('112'!$M$9,G5459,1)),"",IF((AND(RIGHT(G5459,2)=RIGHT('112'!$M$9,2),B5459&lt;'112'!$K$9,$O5459='112'!$I$6)),"x",""))</f>
        <v/>
      </c>
      <c r="W5459" s="75" t="str">
        <f>IF(AND('341-CT'!$H$9=H5459,OR(LEFT(N5459,3)=$W$7,LEFT(O5459,3)=$W$7)),"x","")</f>
        <v/>
      </c>
      <c r="X5459" s="75" t="str">
        <f>IF(OR(TH!N5609=TH!$X$7,O5459=TH!$X$7),"x","")</f>
        <v/>
      </c>
      <c r="Y5459" s="75" t="str">
        <f>IF(AND(OR(N5459="131",O5459="131"),H5459='131-CT'!$H$9),"x","")</f>
        <v/>
      </c>
      <c r="Z5459" s="75"/>
      <c r="AA5459" s="75" t="str">
        <f>IF(AND(MONTH(E5459)='IN-NX'!$J$5,'IN-NX'!$D$7=D5459),"x","")</f>
        <v/>
      </c>
      <c r="AB5459" s="75" t="str">
        <f>IF(AND(OR(LEFT(TH!N5609,2)="15",LEFT(TH!O5609,2)="15"),LEFT(TH!O5609,3)&lt;&gt;"111",'152-CT'!$J$8=TH!F5609),"x","")</f>
        <v/>
      </c>
      <c r="AC5459" s="75" t="str">
        <f>IF(AND(OR(LEFT(TH!N5609,2)="15",LEFT(TH!O5609,2)="15"),TK!$E$7=TH!F5609),"x","")</f>
        <v/>
      </c>
      <c r="AD5459" s="75" t="str">
        <f>IF(AND(N5459="1521",MONTH(C5459)='BK-NL'!$M$11),"x","")</f>
        <v/>
      </c>
    </row>
    <row r="5460" spans="1:33" ht="16.5" customHeight="1">
      <c r="A5460" s="309" t="str">
        <f>IF(B5460&lt;&gt;"",IF(AND(B5460='IN-TC'!$S$4,OR(TH!N5445="1111",TH!O5445="1111")),TH!D5445,""),"")</f>
        <v/>
      </c>
      <c r="B5460" s="1245">
        <f t="shared" si="1356"/>
        <v>11</v>
      </c>
      <c r="C5460" s="292">
        <f t="shared" si="1355"/>
        <v>43067</v>
      </c>
      <c r="D5460" s="59" t="s">
        <v>903</v>
      </c>
      <c r="E5460" s="59">
        <v>43067</v>
      </c>
      <c r="F5460" s="62" t="s">
        <v>252</v>
      </c>
      <c r="G5460" s="62" t="s">
        <v>747</v>
      </c>
      <c r="H5460" s="294" t="s">
        <v>2650</v>
      </c>
      <c r="I5460" s="373"/>
      <c r="J5460" s="382"/>
      <c r="K5460" s="373">
        <v>70000</v>
      </c>
      <c r="L5460" s="379">
        <v>22707</v>
      </c>
      <c r="M5460" s="60">
        <f>ROUND(K5460*L5460,0)</f>
        <v>1589490000</v>
      </c>
      <c r="N5460" s="61" t="s">
        <v>26</v>
      </c>
      <c r="O5460" s="61" t="s">
        <v>250</v>
      </c>
      <c r="P5460" s="75" t="str">
        <f>IF(AND('331-CT'!$E$7=TH!H5610,OR(N5460="331",O5460="331")),"x","")</f>
        <v/>
      </c>
      <c r="Q5460" s="75" t="str">
        <f>IF(AND(B5460='111'!$L$11,OR($N5460=$Q$7,$O5460=$Q$7)),"x","")</f>
        <v/>
      </c>
      <c r="R5460" s="75" t="str">
        <f>IF(AND($N5460=$Q$7,$B5460&lt;'111'!$L$11),"x","")</f>
        <v/>
      </c>
      <c r="S5460" s="75" t="str">
        <f>IF(AND($O5460=$Q$7,$B5460&lt;'111'!$L$11),"x","")</f>
        <v/>
      </c>
      <c r="T5460" s="75" t="str">
        <f>IF(ISERROR(FIND('112'!$M$9,G5460,1)),"",IF((AND(FIND('112'!$M$9,G5460,1)&gt;=1,B5460='112'!$K$9,OR($N5460='112'!$I$6,$O5460='112'!$I$6))),"x",""))</f>
        <v/>
      </c>
      <c r="U5460" s="75" t="str">
        <f>IF(ISERROR(FIND('112'!$M$9,G5460,1)),"",IF((AND(LEFT(G5460,2)=LEFT('112'!$M$9,2),B5460&lt;'112'!$K$9,$N5460='112'!$I$6)),"x",""))</f>
        <v/>
      </c>
      <c r="V5460" s="75" t="str">
        <f>IF(ISERROR(FIND('112'!$M$9,G5460,1)),"",IF((AND(RIGHT(G5460,2)=RIGHT('112'!$M$9,2),B5460&lt;'112'!$K$9,$O5460='112'!$I$6)),"x",""))</f>
        <v/>
      </c>
      <c r="W5460" s="75" t="str">
        <f>IF(AND('341-CT'!$H$9=H5460,OR(LEFT(N5460,3)=$W$7,LEFT(O5460,3)=$W$7)),"x","")</f>
        <v/>
      </c>
      <c r="X5460" s="75" t="str">
        <f>IF(OR(TH!N5610=TH!$X$7,O5460=TH!$X$7),"x","")</f>
        <v/>
      </c>
      <c r="Y5460" s="75" t="str">
        <f>IF(AND(OR(N5460="131",O5460="131"),H5460='131-CT'!$H$9),"x","")</f>
        <v/>
      </c>
      <c r="Z5460" s="75"/>
      <c r="AA5460" s="75" t="str">
        <f>IF(AND(MONTH(E5460)='IN-NX'!$J$5,'IN-NX'!$D$7=D5460),"x","")</f>
        <v/>
      </c>
      <c r="AB5460" s="75" t="str">
        <f>IF(AND(OR(LEFT(TH!N5610,2)="15",LEFT(TH!O5610,2)="15"),LEFT(TH!O5610,3)&lt;&gt;"111",'152-CT'!$J$8=TH!F5610),"x","")</f>
        <v/>
      </c>
      <c r="AC5460" s="75" t="str">
        <f>IF(AND(OR(LEFT(TH!N5610,2)="15",LEFT(TH!O5610,2)="15"),TK!$E$7=TH!F5610),"x","")</f>
        <v/>
      </c>
      <c r="AD5460" s="75" t="str">
        <f>IF(AND(N5460="1521",MONTH(C5460)='BK-NL'!$M$11),"x","")</f>
        <v/>
      </c>
    </row>
    <row r="5461" spans="1:33" ht="16.5" customHeight="1">
      <c r="A5461" s="309" t="str">
        <f>IF(B5461&lt;&gt;"",IF(AND(B5461='IN-TC'!$S$4,OR(TH!N5446="1111",TH!O5446="1111")),TH!D5446,""),"")</f>
        <v/>
      </c>
      <c r="B5461" s="1245">
        <f t="shared" si="1356"/>
        <v>11</v>
      </c>
      <c r="C5461" s="292">
        <f t="shared" si="1355"/>
        <v>43067</v>
      </c>
      <c r="D5461" s="59" t="s">
        <v>2263</v>
      </c>
      <c r="E5461" s="59">
        <v>43067</v>
      </c>
      <c r="F5461" s="62" t="s">
        <v>834</v>
      </c>
      <c r="G5461" s="62" t="s">
        <v>747</v>
      </c>
      <c r="H5461" s="294" t="s">
        <v>1023</v>
      </c>
      <c r="I5461" s="373"/>
      <c r="J5461" s="382"/>
      <c r="K5461" s="373"/>
      <c r="L5461" s="379"/>
      <c r="M5461" s="60">
        <v>1500000000</v>
      </c>
      <c r="N5461" s="61" t="s">
        <v>63</v>
      </c>
      <c r="O5461" s="61" t="s">
        <v>26</v>
      </c>
      <c r="P5461" s="75" t="str">
        <f>IF(AND('331-CT'!$E$7=TH!H5611,OR(N5461="331",O5461="331")),"x","")</f>
        <v/>
      </c>
      <c r="Q5461" s="75" t="str">
        <f>IF(AND(B5461='111'!$L$11,OR($N5461=$Q$7,$O5461=$Q$7)),"x","")</f>
        <v/>
      </c>
      <c r="R5461" s="75" t="str">
        <f>IF(AND($N5461=$Q$7,$B5461&lt;'111'!$L$11),"x","")</f>
        <v>x</v>
      </c>
      <c r="S5461" s="75" t="str">
        <f>IF(AND($O5461=$Q$7,$B5461&lt;'111'!$L$11),"x","")</f>
        <v/>
      </c>
      <c r="T5461" s="75" t="str">
        <f>IF(ISERROR(FIND('112'!$M$9,G5461,1)),"",IF((AND(FIND('112'!$M$9,G5461,1)&gt;=1,B5461='112'!$K$9,OR($N5461='112'!$I$6,$O5461='112'!$I$6))),"x",""))</f>
        <v/>
      </c>
      <c r="U5461" s="75" t="str">
        <f>IF(ISERROR(FIND('112'!$M$9,G5461,1)),"",IF((AND(LEFT(G5461,2)=LEFT('112'!$M$9,2),B5461&lt;'112'!$K$9,$N5461='112'!$I$6)),"x",""))</f>
        <v/>
      </c>
      <c r="V5461" s="75" t="str">
        <f>IF(ISERROR(FIND('112'!$M$9,G5461,1)),"",IF((AND(RIGHT(G5461,2)=RIGHT('112'!$M$9,2),B5461&lt;'112'!$K$9,$O5461='112'!$I$6)),"x",""))</f>
        <v/>
      </c>
      <c r="W5461" s="75" t="str">
        <f>IF(AND('341-CT'!$H$9=H5461,OR(LEFT(N5461,3)=$W$7,LEFT(O5461,3)=$W$7)),"x","")</f>
        <v/>
      </c>
      <c r="X5461" s="75" t="str">
        <f>IF(OR(TH!N5611=TH!$X$7,O5461=TH!$X$7),"x","")</f>
        <v/>
      </c>
      <c r="Y5461" s="75" t="str">
        <f>IF(AND(OR(N5461="131",O5461="131"),H5461='131-CT'!$H$9),"x","")</f>
        <v/>
      </c>
      <c r="Z5461" s="75"/>
      <c r="AA5461" s="75" t="str">
        <f>IF(AND(MONTH(E5461)='IN-NX'!$J$5,'IN-NX'!$D$7=D5461),"x","")</f>
        <v/>
      </c>
      <c r="AB5461" s="75" t="str">
        <f>IF(AND(OR(LEFT(TH!N5611,2)="15",LEFT(TH!O5611,2)="15"),LEFT(TH!O5611,3)&lt;&gt;"111",'152-CT'!$J$8=TH!F5611),"x","")</f>
        <v/>
      </c>
      <c r="AC5461" s="75" t="str">
        <f>IF(AND(OR(LEFT(TH!N5611,2)="15",LEFT(TH!O5611,2)="15"),TK!$E$7=TH!F5611),"x","")</f>
        <v/>
      </c>
      <c r="AD5461" s="75" t="str">
        <f>IF(AND(N5461="1521",MONTH(C5461)='BK-NL'!$M$11),"x","")</f>
        <v/>
      </c>
    </row>
    <row r="5462" spans="1:33" ht="16.5" customHeight="1">
      <c r="A5462" s="309" t="str">
        <f>IF(B5462&lt;&gt;"",IF(AND(B5462='IN-TC'!$S$4,OR(TH!N5447="1111",TH!O5447="1111")),TH!D5447,""),"")</f>
        <v/>
      </c>
      <c r="B5462" s="1245">
        <f t="shared" si="1356"/>
        <v>11</v>
      </c>
      <c r="C5462" s="292">
        <f t="shared" si="1355"/>
        <v>43067</v>
      </c>
      <c r="D5462" s="59" t="s">
        <v>902</v>
      </c>
      <c r="E5462" s="59">
        <v>43067</v>
      </c>
      <c r="F5462" s="62" t="s">
        <v>897</v>
      </c>
      <c r="G5462" s="62" t="s">
        <v>747</v>
      </c>
      <c r="H5462" s="294" t="s">
        <v>623</v>
      </c>
      <c r="I5462" s="373"/>
      <c r="J5462" s="382"/>
      <c r="K5462" s="373"/>
      <c r="L5462" s="379"/>
      <c r="M5462" s="60">
        <v>850000000</v>
      </c>
      <c r="N5462" s="61" t="s">
        <v>8</v>
      </c>
      <c r="O5462" s="61" t="s">
        <v>26</v>
      </c>
      <c r="P5462" s="75" t="str">
        <f>IF(AND('331-CT'!$E$7=TH!H5612,OR(N5462="331",O5462="331")),"x","")</f>
        <v/>
      </c>
      <c r="Q5462" s="75" t="str">
        <f>IF(AND(B5462='111'!$L$11,OR($N5462=$Q$7,$O5462=$Q$7)),"x","")</f>
        <v/>
      </c>
      <c r="R5462" s="75" t="str">
        <f>IF(AND($N5462=$Q$7,$B5462&lt;'111'!$L$11),"x","")</f>
        <v/>
      </c>
      <c r="S5462" s="75" t="str">
        <f>IF(AND($O5462=$Q$7,$B5462&lt;'111'!$L$11),"x","")</f>
        <v/>
      </c>
      <c r="T5462" s="75" t="str">
        <f>IF(ISERROR(FIND('112'!$M$9,G5462,1)),"",IF((AND(FIND('112'!$M$9,G5462,1)&gt;=1,B5462='112'!$K$9,OR($N5462='112'!$I$6,$O5462='112'!$I$6))),"x",""))</f>
        <v/>
      </c>
      <c r="U5462" s="75" t="str">
        <f>IF(ISERROR(FIND('112'!$M$9,G5462,1)),"",IF((AND(LEFT(G5462,2)=LEFT('112'!$M$9,2),B5462&lt;'112'!$K$9,$N5462='112'!$I$6)),"x",""))</f>
        <v/>
      </c>
      <c r="V5462" s="75" t="str">
        <f>IF(ISERROR(FIND('112'!$M$9,G5462,1)),"",IF((AND(RIGHT(G5462,2)=RIGHT('112'!$M$9,2),B5462&lt;'112'!$K$9,$O5462='112'!$I$6)),"x",""))</f>
        <v/>
      </c>
      <c r="W5462" s="75" t="str">
        <f>IF(AND('341-CT'!$H$9=H5462,OR(LEFT(N5462,3)=$W$7,LEFT(O5462,3)=$W$7)),"x","")</f>
        <v/>
      </c>
      <c r="X5462" s="75" t="str">
        <f>IF(OR(TH!N5612=TH!$X$7,O5462=TH!$X$7),"x","")</f>
        <v/>
      </c>
      <c r="Y5462" s="75" t="str">
        <f>IF(AND(OR(N5462="131",O5462="131"),H5462='131-CT'!$H$9),"x","")</f>
        <v/>
      </c>
      <c r="Z5462" s="75"/>
      <c r="AA5462" s="75" t="str">
        <f>IF(AND(MONTH(E5462)='IN-NX'!$J$5,'IN-NX'!$D$7=D5462),"x","")</f>
        <v/>
      </c>
      <c r="AB5462" s="75" t="str">
        <f>IF(AND(OR(LEFT(TH!N5612,2)="15",LEFT(TH!O5612,2)="15"),LEFT(TH!O5612,3)&lt;&gt;"111",'152-CT'!$J$8=TH!F5612),"x","")</f>
        <v/>
      </c>
      <c r="AC5462" s="75" t="str">
        <f>IF(AND(OR(LEFT(TH!N5612,2)="15",LEFT(TH!O5612,2)="15"),TK!$E$7=TH!F5612),"x","")</f>
        <v/>
      </c>
      <c r="AD5462" s="75" t="str">
        <f>IF(AND(N5462="1521",MONTH(C5462)='BK-NL'!$M$11),"x","")</f>
        <v/>
      </c>
    </row>
    <row r="5463" spans="1:33" ht="16.5" customHeight="1">
      <c r="A5463" s="309" t="str">
        <f>IF(B5463&lt;&gt;"",IF(AND(B5463='IN-TC'!$S$4,OR(TH!N5448="1111",TH!O5448="1111")),TH!D5448,""),"")</f>
        <v/>
      </c>
      <c r="B5463" s="1245">
        <f t="shared" si="1356"/>
        <v>11</v>
      </c>
      <c r="C5463" s="292">
        <f t="shared" si="1355"/>
        <v>43067</v>
      </c>
      <c r="D5463" s="59" t="s">
        <v>902</v>
      </c>
      <c r="E5463" s="59">
        <v>43067</v>
      </c>
      <c r="F5463" s="62" t="s">
        <v>1307</v>
      </c>
      <c r="G5463" s="62" t="s">
        <v>747</v>
      </c>
      <c r="H5463" s="294" t="s">
        <v>835</v>
      </c>
      <c r="I5463" s="373"/>
      <c r="J5463" s="382"/>
      <c r="K5463" s="373"/>
      <c r="L5463" s="379"/>
      <c r="M5463" s="60">
        <v>255000</v>
      </c>
      <c r="N5463" s="61" t="s">
        <v>101</v>
      </c>
      <c r="O5463" s="61" t="s">
        <v>26</v>
      </c>
      <c r="P5463" s="75" t="str">
        <f>IF(AND('331-CT'!$E$7=TH!H5613,OR(N5463="331",O5463="331")),"x","")</f>
        <v/>
      </c>
      <c r="Q5463" s="75" t="str">
        <f>IF(AND(B5463='111'!$L$11,OR($N5463=$Q$7,$O5463=$Q$7)),"x","")</f>
        <v/>
      </c>
      <c r="R5463" s="75" t="str">
        <f>IF(AND($N5463=$Q$7,$B5463&lt;'111'!$L$11),"x","")</f>
        <v/>
      </c>
      <c r="S5463" s="75" t="str">
        <f>IF(AND($O5463=$Q$7,$B5463&lt;'111'!$L$11),"x","")</f>
        <v/>
      </c>
      <c r="T5463" s="75" t="str">
        <f>IF(ISERROR(FIND('112'!$M$9,G5463,1)),"",IF((AND(FIND('112'!$M$9,G5463,1)&gt;=1,B5463='112'!$K$9,OR($N5463='112'!$I$6,$O5463='112'!$I$6))),"x",""))</f>
        <v/>
      </c>
      <c r="U5463" s="75" t="str">
        <f>IF(ISERROR(FIND('112'!$M$9,G5463,1)),"",IF((AND(LEFT(G5463,2)=LEFT('112'!$M$9,2),B5463&lt;'112'!$K$9,$N5463='112'!$I$6)),"x",""))</f>
        <v/>
      </c>
      <c r="V5463" s="75" t="str">
        <f>IF(ISERROR(FIND('112'!$M$9,G5463,1)),"",IF((AND(RIGHT(G5463,2)=RIGHT('112'!$M$9,2),B5463&lt;'112'!$K$9,$O5463='112'!$I$6)),"x",""))</f>
        <v/>
      </c>
      <c r="W5463" s="75" t="str">
        <f>IF(AND('341-CT'!$H$9=H5463,OR(LEFT(N5463,3)=$W$7,LEFT(O5463,3)=$W$7)),"x","")</f>
        <v/>
      </c>
      <c r="X5463" s="75" t="str">
        <f>IF(OR(TH!N5613=TH!$X$7,O5463=TH!$X$7),"x","")</f>
        <v/>
      </c>
      <c r="Y5463" s="75" t="str">
        <f>IF(AND(OR(N5463="131",O5463="131"),H5463='131-CT'!$H$9),"x","")</f>
        <v/>
      </c>
      <c r="Z5463" s="75"/>
      <c r="AA5463" s="75" t="str">
        <f>IF(AND(MONTH(E5463)='IN-NX'!$J$5,'IN-NX'!$D$7=D5463),"x","")</f>
        <v/>
      </c>
      <c r="AB5463" s="75" t="str">
        <f>IF(AND(OR(LEFT(TH!N5613,2)="15",LEFT(TH!O5613,2)="15"),LEFT(TH!O5613,3)&lt;&gt;"111",'152-CT'!$J$8=TH!F5613),"x","")</f>
        <v/>
      </c>
      <c r="AC5463" s="75" t="str">
        <f>IF(AND(OR(LEFT(TH!N5613,2)="15",LEFT(TH!O5613,2)="15"),TK!$E$7=TH!F5613),"x","")</f>
        <v/>
      </c>
      <c r="AD5463" s="75" t="str">
        <f>IF(AND(N5463="1521",MONTH(C5463)='BK-NL'!$M$11),"x","")</f>
        <v/>
      </c>
      <c r="AE5463">
        <v>11</v>
      </c>
    </row>
    <row r="5464" spans="1:33" ht="16.5" customHeight="1">
      <c r="A5464" s="309" t="str">
        <f>IF(B5464&lt;&gt;"",IF(AND(B5464='IN-TC'!$S$4,OR(TH!N5449="1111",TH!O5449="1111")),TH!D5449,""),"")</f>
        <v/>
      </c>
      <c r="B5464" s="1245">
        <f t="shared" si="1356"/>
        <v>11</v>
      </c>
      <c r="C5464" s="292">
        <f t="shared" si="1355"/>
        <v>43067</v>
      </c>
      <c r="D5464" s="59" t="s">
        <v>902</v>
      </c>
      <c r="E5464" s="59">
        <v>43067</v>
      </c>
      <c r="F5464" s="62" t="s">
        <v>1314</v>
      </c>
      <c r="G5464" s="62" t="s">
        <v>747</v>
      </c>
      <c r="H5464" s="294" t="s">
        <v>835</v>
      </c>
      <c r="I5464" s="373"/>
      <c r="J5464" s="382"/>
      <c r="K5464" s="373"/>
      <c r="L5464" s="379"/>
      <c r="M5464" s="60">
        <v>25500</v>
      </c>
      <c r="N5464" s="61" t="s">
        <v>9</v>
      </c>
      <c r="O5464" s="61" t="s">
        <v>26</v>
      </c>
      <c r="P5464" s="75" t="str">
        <f>IF(AND('331-CT'!$E$7=TH!H5614,OR(N5464="331",O5464="331")),"x","")</f>
        <v/>
      </c>
      <c r="Q5464" s="75" t="str">
        <f>IF(AND(B5464='111'!$L$11,OR($N5464=$Q$7,$O5464=$Q$7)),"x","")</f>
        <v/>
      </c>
      <c r="R5464" s="75" t="str">
        <f>IF(AND($N5464=$Q$7,$B5464&lt;'111'!$L$11),"x","")</f>
        <v/>
      </c>
      <c r="S5464" s="75" t="str">
        <f>IF(AND($O5464=$Q$7,$B5464&lt;'111'!$L$11),"x","")</f>
        <v/>
      </c>
      <c r="T5464" s="75" t="str">
        <f>IF(ISERROR(FIND('112'!$M$9,G5464,1)),"",IF((AND(FIND('112'!$M$9,G5464,1)&gt;=1,B5464='112'!$K$9,OR($N5464='112'!$I$6,$O5464='112'!$I$6))),"x",""))</f>
        <v/>
      </c>
      <c r="U5464" s="75" t="str">
        <f>IF(ISERROR(FIND('112'!$M$9,G5464,1)),"",IF((AND(LEFT(G5464,2)=LEFT('112'!$M$9,2),B5464&lt;'112'!$K$9,$N5464='112'!$I$6)),"x",""))</f>
        <v/>
      </c>
      <c r="V5464" s="75" t="str">
        <f>IF(ISERROR(FIND('112'!$M$9,G5464,1)),"",IF((AND(RIGHT(G5464,2)=RIGHT('112'!$M$9,2),B5464&lt;'112'!$K$9,$O5464='112'!$I$6)),"x",""))</f>
        <v/>
      </c>
      <c r="W5464" s="75" t="str">
        <f>IF(AND('341-CT'!$H$9=H5464,OR(LEFT(N5464,3)=$W$7,LEFT(O5464,3)=$W$7)),"x","")</f>
        <v/>
      </c>
      <c r="X5464" s="75" t="str">
        <f>IF(OR(TH!N5614=TH!$X$7,O5464=TH!$X$7),"x","")</f>
        <v/>
      </c>
      <c r="Y5464" s="75" t="str">
        <f>IF(AND(OR(N5464="131",O5464="131"),H5464='131-CT'!$H$9),"x","")</f>
        <v/>
      </c>
      <c r="Z5464" s="75"/>
      <c r="AA5464" s="75" t="str">
        <f>IF(AND(MONTH(E5464)='IN-NX'!$J$5,'IN-NX'!$D$7=D5464),"x","")</f>
        <v/>
      </c>
      <c r="AB5464" s="75" t="str">
        <f>IF(AND(OR(LEFT(TH!N5614,2)="15",LEFT(TH!O5614,2)="15"),LEFT(TH!O5614,3)&lt;&gt;"111",'152-CT'!$J$8=TH!F5614),"x","")</f>
        <v/>
      </c>
      <c r="AC5464" s="75" t="str">
        <f>IF(AND(OR(LEFT(TH!N5614,2)="15",LEFT(TH!O5614,2)="15"),TK!$E$7=TH!F5614),"x","")</f>
        <v/>
      </c>
      <c r="AD5464" s="75" t="str">
        <f>IF(AND(N5464="1521",MONTH(C5464)='BK-NL'!$M$11),"x","")</f>
        <v/>
      </c>
      <c r="AE5464">
        <v>11</v>
      </c>
    </row>
    <row r="5465" spans="1:33" ht="16.5" customHeight="1">
      <c r="A5465" s="309" t="str">
        <f>IF(B5465&lt;&gt;"",IF(AND(B5465='IN-TC'!$S$4,OR(TH!N5450="1111",TH!O5450="1111")),TH!D5450,""),"")</f>
        <v/>
      </c>
      <c r="B5465" s="1245">
        <f t="shared" si="1356"/>
        <v>11</v>
      </c>
      <c r="C5465" s="292">
        <f t="shared" si="1355"/>
        <v>43068</v>
      </c>
      <c r="D5465" s="59"/>
      <c r="E5465" s="59">
        <v>43068</v>
      </c>
      <c r="F5465" s="62" t="s">
        <v>1334</v>
      </c>
      <c r="G5465" s="742" t="s">
        <v>2894</v>
      </c>
      <c r="H5465" s="67" t="s">
        <v>1336</v>
      </c>
      <c r="I5465" s="375"/>
      <c r="J5465" s="382"/>
      <c r="K5465" s="375"/>
      <c r="L5465" s="381"/>
      <c r="M5465" s="60">
        <v>2818818</v>
      </c>
      <c r="N5465" s="61" t="s">
        <v>539</v>
      </c>
      <c r="O5465" s="61" t="s">
        <v>63</v>
      </c>
      <c r="P5465" s="75" t="str">
        <f>IF(AND('331-CT'!$E$7=TH!H4119,OR(N5465="331",O5465="331")),"x","")</f>
        <v/>
      </c>
      <c r="Q5465" s="75" t="str">
        <f>IF(AND(B5465='111'!$L$11,OR($N5465=$Q$7,$O5465=$Q$7)),"x","")</f>
        <v/>
      </c>
      <c r="R5465" s="75" t="str">
        <f>IF(AND($N5465=$Q$7,$B5465&lt;'111'!$L$11),"x","")</f>
        <v/>
      </c>
      <c r="S5465" s="75" t="str">
        <f>IF(AND($O5465=$Q$7,$B5465&lt;'111'!$L$11),"x","")</f>
        <v>x</v>
      </c>
      <c r="T5465" s="75" t="str">
        <f>IF(ISERROR(FIND('112'!$M$9,G5465,1)),"",IF((AND(FIND('112'!$M$9,G5465,1)&gt;=1,B5465='112'!$K$9,OR($N5465='112'!$I$6,$O5465='112'!$I$6))),"x",""))</f>
        <v/>
      </c>
      <c r="U5465" s="75" t="str">
        <f>IF(ISERROR(FIND('112'!$M$9,G5465,1)),"",IF((AND(LEFT(G5465,2)=LEFT('112'!$M$9,2),B5465&lt;'112'!$K$9,$N5465='112'!$I$6)),"x",""))</f>
        <v/>
      </c>
      <c r="V5465" s="75" t="str">
        <f>IF(ISERROR(FIND('112'!$M$9,G5465,1)),"",IF((AND(RIGHT(G5465,2)=RIGHT('112'!$M$9,2),B5465&lt;'112'!$K$9,$O5465='112'!$I$6)),"x",""))</f>
        <v/>
      </c>
      <c r="W5465" s="75" t="str">
        <f>IF(AND('341-CT'!$H$9=H5465,OR(LEFT(N5465,3)=$W$7,LEFT(O5465,3)=$W$7)),"x","")</f>
        <v/>
      </c>
      <c r="X5465" s="75" t="str">
        <f>IF(OR(TH!N4119=TH!$X$7,O5465=TH!$X$7),"x","")</f>
        <v/>
      </c>
      <c r="Y5465" s="75" t="str">
        <f>IF(AND(OR(N5465="131",O5465="131"),H5465='131-CT'!$H$9),"x","")</f>
        <v/>
      </c>
      <c r="Z5465" s="75"/>
      <c r="AA5465" s="75" t="str">
        <f>IF(AND(MONTH(E5465)='IN-NX'!$J$5,'IN-NX'!$D$7=D5465),"x","")</f>
        <v/>
      </c>
      <c r="AB5465" s="75" t="str">
        <f>IF(AND(OR(LEFT(TH!N4119,2)="15",LEFT(TH!O4119,2)="15"),LEFT(TH!O4119,3)&lt;&gt;"111",'152-CT'!$J$8=TH!F4119),"x","")</f>
        <v/>
      </c>
      <c r="AC5465" s="75" t="str">
        <f>IF(AND(OR(LEFT(TH!N4119,2)="15",LEFT(TH!O4119,2)="15"),TK!$E$7=TH!F4119),"x","")</f>
        <v/>
      </c>
      <c r="AD5465" s="75" t="str">
        <f>IF(AND(N5465="1521",MONTH(C5465)='BK-NL'!$M$11),"x","")</f>
        <v/>
      </c>
      <c r="AE5465" t="s">
        <v>2969</v>
      </c>
    </row>
    <row r="5466" spans="1:33" ht="16.5" customHeight="1">
      <c r="A5466" s="309" t="str">
        <f>IF(B5466&lt;&gt;"",IF(AND(B5466='IN-TC'!$S$4,OR(TH!N5451="1111",TH!O5451="1111")),TH!D5451,""),"")</f>
        <v/>
      </c>
      <c r="B5466" s="1245">
        <f t="shared" si="1356"/>
        <v>11</v>
      </c>
      <c r="C5466" s="292">
        <f t="shared" si="1355"/>
        <v>43068</v>
      </c>
      <c r="D5466" s="59"/>
      <c r="E5466" s="59">
        <v>43068</v>
      </c>
      <c r="F5466" s="62" t="s">
        <v>1335</v>
      </c>
      <c r="G5466" s="742" t="s">
        <v>2894</v>
      </c>
      <c r="H5466" s="67" t="s">
        <v>1336</v>
      </c>
      <c r="I5466" s="375"/>
      <c r="J5466" s="382"/>
      <c r="K5466" s="375"/>
      <c r="L5466" s="381"/>
      <c r="M5466" s="60">
        <v>281882</v>
      </c>
      <c r="N5466" s="61" t="s">
        <v>9</v>
      </c>
      <c r="O5466" s="61" t="s">
        <v>63</v>
      </c>
      <c r="P5466" s="75" t="str">
        <f>IF(AND('331-CT'!$E$7=TH!H4120,OR(N5466="331",O5466="331")),"x","")</f>
        <v/>
      </c>
      <c r="Q5466" s="75" t="str">
        <f>IF(AND(B5466='111'!$L$11,OR($N5466=$Q$7,$O5466=$Q$7)),"x","")</f>
        <v/>
      </c>
      <c r="R5466" s="75" t="str">
        <f>IF(AND($N5466=$Q$7,$B5466&lt;'111'!$L$11),"x","")</f>
        <v/>
      </c>
      <c r="S5466" s="75" t="str">
        <f>IF(AND($O5466=$Q$7,$B5466&lt;'111'!$L$11),"x","")</f>
        <v>x</v>
      </c>
      <c r="T5466" s="75" t="str">
        <f>IF(ISERROR(FIND('112'!$M$9,G5466,1)),"",IF((AND(FIND('112'!$M$9,G5466,1)&gt;=1,B5466='112'!$K$9,OR($N5466='112'!$I$6,$O5466='112'!$I$6))),"x",""))</f>
        <v/>
      </c>
      <c r="U5466" s="75" t="str">
        <f>IF(ISERROR(FIND('112'!$M$9,G5466,1)),"",IF((AND(LEFT(G5466,2)=LEFT('112'!$M$9,2),B5466&lt;'112'!$K$9,$N5466='112'!$I$6)),"x",""))</f>
        <v/>
      </c>
      <c r="V5466" s="75" t="str">
        <f>IF(ISERROR(FIND('112'!$M$9,G5466,1)),"",IF((AND(RIGHT(G5466,2)=RIGHT('112'!$M$9,2),B5466&lt;'112'!$K$9,$O5466='112'!$I$6)),"x",""))</f>
        <v/>
      </c>
      <c r="W5466" s="75" t="str">
        <f>IF(AND('341-CT'!$H$9=H5466,OR(LEFT(N5466,3)=$W$7,LEFT(O5466,3)=$W$7)),"x","")</f>
        <v/>
      </c>
      <c r="X5466" s="75" t="str">
        <f>IF(OR(TH!N4120=TH!$X$7,O5466=TH!$X$7),"x","")</f>
        <v/>
      </c>
      <c r="Y5466" s="75" t="str">
        <f>IF(AND(OR(N5466="131",O5466="131"),H5466='131-CT'!$H$9),"x","")</f>
        <v/>
      </c>
      <c r="Z5466" s="75"/>
      <c r="AA5466" s="75" t="str">
        <f>IF(AND(MONTH(E5466)='IN-NX'!$J$5,'IN-NX'!$D$7=D5466),"x","")</f>
        <v/>
      </c>
      <c r="AB5466" s="75" t="str">
        <f>IF(AND(OR(LEFT(TH!N4120,2)="15",LEFT(TH!O4120,2)="15"),LEFT(TH!O4120,3)&lt;&gt;"111",'152-CT'!$J$8=TH!F4120),"x","")</f>
        <v/>
      </c>
      <c r="AC5466" s="75" t="str">
        <f>IF(AND(OR(LEFT(TH!N4120,2)="15",LEFT(TH!O4120,2)="15"),TK!$E$7=TH!F4120),"x","")</f>
        <v/>
      </c>
      <c r="AD5466" s="75" t="str">
        <f>IF(AND(N5466="1521",MONTH(C5466)='BK-NL'!$M$11),"x","")</f>
        <v/>
      </c>
      <c r="AE5466" t="s">
        <v>2969</v>
      </c>
    </row>
    <row r="5467" spans="1:33" ht="16.5" customHeight="1">
      <c r="A5467" s="309" t="str">
        <f>IF(B5467&lt;&gt;"",IF(AND(B5467='IN-TC'!$S$4,OR(TH!N5452="1111",TH!O5452="1111")),TH!D5452,""),"")</f>
        <v/>
      </c>
      <c r="B5467" s="1245">
        <f t="shared" si="1356"/>
        <v>11</v>
      </c>
      <c r="C5467" s="292">
        <f t="shared" si="1355"/>
        <v>43068</v>
      </c>
      <c r="D5467" s="59" t="s">
        <v>902</v>
      </c>
      <c r="E5467" s="59">
        <v>43068</v>
      </c>
      <c r="F5467" s="67" t="s">
        <v>2315</v>
      </c>
      <c r="G5467" s="62" t="s">
        <v>1713</v>
      </c>
      <c r="H5467" s="67" t="s">
        <v>1771</v>
      </c>
      <c r="I5467" s="375"/>
      <c r="J5467" s="381"/>
      <c r="K5467" s="60"/>
      <c r="L5467" s="381"/>
      <c r="M5467" s="60">
        <v>26000</v>
      </c>
      <c r="N5467" s="61" t="s">
        <v>101</v>
      </c>
      <c r="O5467" s="61" t="s">
        <v>26</v>
      </c>
      <c r="P5467" s="75" t="str">
        <f>IF(AND('331-CT'!$E$7=TH!H4566,OR(N5467="331",O5467="331")),"x","")</f>
        <v/>
      </c>
      <c r="Q5467" s="75" t="str">
        <f>IF(AND(B5467='111'!$L$11,OR($N5467=$Q$7,$O5467=$Q$7)),"x","")</f>
        <v/>
      </c>
      <c r="R5467" s="75" t="str">
        <f>IF(AND($N5467=$Q$7,$B5467&lt;'111'!$L$11),"x","")</f>
        <v/>
      </c>
      <c r="S5467" s="75" t="str">
        <f>IF(AND($O5467=$Q$7,$B5467&lt;'111'!$L$11),"x","")</f>
        <v/>
      </c>
      <c r="T5467" s="75" t="str">
        <f>IF(ISERROR(FIND('112'!$M$9,G5467,1)),"",IF((AND(FIND('112'!$M$9,G5467,1)&gt;=1,B5467='112'!$K$9,OR($N5467='112'!$I$6,$O5467='112'!$I$6))),"x",""))</f>
        <v/>
      </c>
      <c r="U5467" s="75" t="str">
        <f>IF(ISERROR(FIND('112'!$M$9,G5467,1)),"",IF((AND(LEFT(G5467,2)=LEFT('112'!$M$9,2),B5467&lt;'112'!$K$9,$N5467='112'!$I$6)),"x",""))</f>
        <v/>
      </c>
      <c r="V5467" s="75" t="str">
        <f>IF(ISERROR(FIND('112'!$M$9,G5467,1)),"",IF((AND(RIGHT(G5467,2)=RIGHT('112'!$M$9,2),B5467&lt;'112'!$K$9,$O5467='112'!$I$6)),"x",""))</f>
        <v/>
      </c>
      <c r="W5467" s="75" t="str">
        <f>IF(AND('341-CT'!$H$9=H5467,OR(LEFT(N5467,3)=$W$7,LEFT(O5467,3)=$W$7)),"x","")</f>
        <v/>
      </c>
      <c r="X5467" s="75" t="str">
        <f>IF(OR(TH!N4566=TH!$X$7,O5467=TH!$X$7),"x","")</f>
        <v>x</v>
      </c>
      <c r="Y5467" s="75" t="str">
        <f>IF(AND(OR(N5467="131",O5467="131"),H5467='131-CT'!$H$9),"x","")</f>
        <v/>
      </c>
      <c r="Z5467" s="75"/>
      <c r="AA5467" s="75" t="str">
        <f>IF(AND(MONTH(E5467)='IN-NX'!$J$5,'IN-NX'!$D$7=D5467),"x","")</f>
        <v/>
      </c>
      <c r="AB5467" s="75" t="str">
        <f>IF(AND(OR(LEFT(TH!N4566,2)="15",LEFT(TH!O4566,2)="15"),LEFT(TH!O4566,3)&lt;&gt;"111",'152-CT'!$J$8=TH!F4566),"x","")</f>
        <v/>
      </c>
      <c r="AC5467" s="75" t="str">
        <f>IF(AND(OR(LEFT(TH!N4566,2)="15",LEFT(TH!O4566,2)="15"),TK!$E$7=TH!F4566),"x","")</f>
        <v/>
      </c>
      <c r="AD5467" s="75" t="str">
        <f>IF(AND(N5467="1521",MONTH(C5467)='BK-NL'!$M$11),"x","")</f>
        <v/>
      </c>
      <c r="AE5467" s="1053">
        <v>11</v>
      </c>
      <c r="AF5467" s="1053"/>
      <c r="AG5467" s="1053"/>
    </row>
    <row r="5468" spans="1:33" ht="16.5" customHeight="1">
      <c r="A5468" s="309" t="str">
        <f>IF(B5468&lt;&gt;"",IF(AND(B5468='IN-TC'!$S$4,OR(TH!N5453="1111",TH!O5453="1111")),TH!D5453,""),"")</f>
        <v/>
      </c>
      <c r="B5468" s="1245">
        <f t="shared" si="1356"/>
        <v>11</v>
      </c>
      <c r="C5468" s="292">
        <f t="shared" si="1355"/>
        <v>43068</v>
      </c>
      <c r="D5468" s="59" t="s">
        <v>902</v>
      </c>
      <c r="E5468" s="59">
        <v>43068</v>
      </c>
      <c r="F5468" s="67" t="s">
        <v>2316</v>
      </c>
      <c r="G5468" s="62" t="s">
        <v>1713</v>
      </c>
      <c r="H5468" s="67" t="s">
        <v>1771</v>
      </c>
      <c r="I5468" s="375"/>
      <c r="J5468" s="381"/>
      <c r="K5468" s="375"/>
      <c r="L5468" s="381"/>
      <c r="M5468" s="60">
        <v>2600</v>
      </c>
      <c r="N5468" s="61" t="s">
        <v>9</v>
      </c>
      <c r="O5468" s="61" t="s">
        <v>26</v>
      </c>
      <c r="P5468" s="75" t="str">
        <f>IF(AND('331-CT'!$E$7=TH!H4567,OR(N5468="331",O5468="331")),"x","")</f>
        <v/>
      </c>
      <c r="Q5468" s="75" t="str">
        <f>IF(AND(B5468='111'!$L$11,OR($N5468=$Q$7,$O5468=$Q$7)),"x","")</f>
        <v/>
      </c>
      <c r="R5468" s="75" t="str">
        <f>IF(AND($N5468=$Q$7,$B5468&lt;'111'!$L$11),"x","")</f>
        <v/>
      </c>
      <c r="S5468" s="75" t="str">
        <f>IF(AND($O5468=$Q$7,$B5468&lt;'111'!$L$11),"x","")</f>
        <v/>
      </c>
      <c r="T5468" s="75" t="str">
        <f>IF(ISERROR(FIND('112'!$M$9,G5468,1)),"",IF((AND(FIND('112'!$M$9,G5468,1)&gt;=1,B5468='112'!$K$9,OR($N5468='112'!$I$6,$O5468='112'!$I$6))),"x",""))</f>
        <v/>
      </c>
      <c r="U5468" s="75" t="str">
        <f>IF(ISERROR(FIND('112'!$M$9,G5468,1)),"",IF((AND(LEFT(G5468,2)=LEFT('112'!$M$9,2),B5468&lt;'112'!$K$9,$N5468='112'!$I$6)),"x",""))</f>
        <v/>
      </c>
      <c r="V5468" s="75" t="str">
        <f>IF(ISERROR(FIND('112'!$M$9,G5468,1)),"",IF((AND(RIGHT(G5468,2)=RIGHT('112'!$M$9,2),B5468&lt;'112'!$K$9,$O5468='112'!$I$6)),"x",""))</f>
        <v/>
      </c>
      <c r="W5468" s="75" t="str">
        <f>IF(AND('341-CT'!$H$9=H5468,OR(LEFT(N5468,3)=$W$7,LEFT(O5468,3)=$W$7)),"x","")</f>
        <v/>
      </c>
      <c r="X5468" s="75" t="str">
        <f>IF(OR(TH!N4567=TH!$X$7,O5468=TH!$X$7),"x","")</f>
        <v/>
      </c>
      <c r="Y5468" s="75" t="str">
        <f>IF(AND(OR(N5468="131",O5468="131"),H5468='131-CT'!$H$9),"x","")</f>
        <v/>
      </c>
      <c r="Z5468" s="75"/>
      <c r="AA5468" s="75" t="str">
        <f>IF(AND(MONTH(E5468)='IN-NX'!$J$5,'IN-NX'!$D$7=D5468),"x","")</f>
        <v/>
      </c>
      <c r="AB5468" s="75" t="str">
        <f>IF(AND(OR(LEFT(TH!N4567,2)="15",LEFT(TH!O4567,2)="15"),LEFT(TH!O4567,3)&lt;&gt;"111",'152-CT'!$J$8=TH!F4567),"x","")</f>
        <v/>
      </c>
      <c r="AC5468" s="75" t="str">
        <f>IF(AND(OR(LEFT(TH!N4567,2)="15",LEFT(TH!O4567,2)="15"),TK!$E$7=TH!F4567),"x","")</f>
        <v/>
      </c>
      <c r="AD5468" s="75" t="str">
        <f>IF(AND(N5468="1521",MONTH(C5468)='BK-NL'!$M$11),"x","")</f>
        <v/>
      </c>
      <c r="AE5468" s="1053">
        <v>11</v>
      </c>
      <c r="AF5468" s="1053"/>
      <c r="AG5468" s="1053"/>
    </row>
    <row r="5469" spans="1:33" ht="16.5" customHeight="1">
      <c r="A5469" s="309" t="str">
        <f>IF(B5469&lt;&gt;"",IF(AND(B5469='IN-TC'!$S$4,OR(TH!N5454="1111",TH!O5454="1111")),TH!D5454,""),"")</f>
        <v/>
      </c>
      <c r="B5469" s="1245">
        <f t="shared" si="1356"/>
        <v>11</v>
      </c>
      <c r="C5469" s="292">
        <f t="shared" si="1355"/>
        <v>43068</v>
      </c>
      <c r="D5469" s="292" t="s">
        <v>903</v>
      </c>
      <c r="E5469" s="292">
        <v>43068</v>
      </c>
      <c r="F5469" s="67" t="s">
        <v>907</v>
      </c>
      <c r="G5469" s="293" t="s">
        <v>1713</v>
      </c>
      <c r="H5469" s="294" t="s">
        <v>1771</v>
      </c>
      <c r="I5469" s="373"/>
      <c r="J5469" s="926"/>
      <c r="K5469" s="373">
        <v>628000</v>
      </c>
      <c r="L5469" s="379">
        <v>22715</v>
      </c>
      <c r="M5469" s="74">
        <f>ROUND(K5469*L5469,0)</f>
        <v>14265020000</v>
      </c>
      <c r="N5469" s="295" t="s">
        <v>26</v>
      </c>
      <c r="O5469" s="295" t="s">
        <v>256</v>
      </c>
      <c r="P5469" s="75" t="str">
        <f>IF(AND('331-CT'!$E$7=TH!H4568,OR(N5469="331",O5469="331")),"x","")</f>
        <v/>
      </c>
      <c r="Q5469" s="75" t="str">
        <f>IF(AND(B5469='111'!$L$11,OR($N5469=$Q$7,$O5469=$Q$7)),"x","")</f>
        <v/>
      </c>
      <c r="R5469" s="75" t="str">
        <f>IF(AND($N5469=$Q$7,$B5469&lt;'111'!$L$11),"x","")</f>
        <v/>
      </c>
      <c r="S5469" s="75" t="str">
        <f>IF(AND($O5469=$Q$7,$B5469&lt;'111'!$L$11),"x","")</f>
        <v/>
      </c>
      <c r="T5469" s="75" t="str">
        <f>IF(ISERROR(FIND('112'!$M$9,G5469,1)),"",IF((AND(FIND('112'!$M$9,G5469,1)&gt;=1,B5469='112'!$K$9,OR($N5469='112'!$I$6,$O5469='112'!$I$6))),"x",""))</f>
        <v/>
      </c>
      <c r="U5469" s="75" t="str">
        <f>IF(ISERROR(FIND('112'!$M$9,G5469,1)),"",IF((AND(LEFT(G5469,2)=LEFT('112'!$M$9,2),B5469&lt;'112'!$K$9,$N5469='112'!$I$6)),"x",""))</f>
        <v/>
      </c>
      <c r="V5469" s="75" t="str">
        <f>IF(ISERROR(FIND('112'!$M$9,G5469,1)),"",IF((AND(RIGHT(G5469,2)=RIGHT('112'!$M$9,2),B5469&lt;'112'!$K$9,$O5469='112'!$I$6)),"x",""))</f>
        <v/>
      </c>
      <c r="W5469" s="75" t="str">
        <f>IF(AND('341-CT'!$H$9=H5469,OR(LEFT(N5469,3)=$W$7,LEFT(O5469,3)=$W$7)),"x","")</f>
        <v/>
      </c>
      <c r="X5469" s="75" t="str">
        <f>IF(OR(TH!N4568=TH!$X$7,O5469=TH!$X$7),"x","")</f>
        <v/>
      </c>
      <c r="Y5469" s="75" t="str">
        <f>IF(AND(OR(N5469="131",O5469="131"),H5469='131-CT'!$H$9),"x","")</f>
        <v/>
      </c>
      <c r="Z5469" s="75"/>
      <c r="AA5469" s="75" t="str">
        <f>IF(AND(MONTH(E5469)='IN-NX'!$J$5,'IN-NX'!$D$7=D5469),"x","")</f>
        <v/>
      </c>
      <c r="AB5469" s="75" t="str">
        <f>IF(AND(OR(LEFT(TH!N4568,2)="15",LEFT(TH!O4568,2)="15"),LEFT(TH!O4568,3)&lt;&gt;"111",'152-CT'!$J$8=TH!F4568),"x","")</f>
        <v/>
      </c>
      <c r="AC5469" s="75" t="str">
        <f>IF(AND(OR(LEFT(TH!N4568,2)="15",LEFT(TH!O4568,2)="15"),TK!$E$7=TH!F4568),"x","")</f>
        <v/>
      </c>
      <c r="AD5469" s="75" t="str">
        <f>IF(AND(N5469="1521",MONTH(C5469)='BK-NL'!$M$11),"x","")</f>
        <v/>
      </c>
    </row>
    <row r="5470" spans="1:33" ht="16.5" customHeight="1">
      <c r="A5470" s="309" t="str">
        <f>IF(B5470&lt;&gt;"",IF(AND(B5470='IN-TC'!$S$4,OR(TH!N5455="1111",TH!O5455="1111")),TH!D5455,""),"")</f>
        <v/>
      </c>
      <c r="B5470" s="1245">
        <f t="shared" si="1356"/>
        <v>11</v>
      </c>
      <c r="C5470" s="292">
        <f t="shared" si="1355"/>
        <v>43068</v>
      </c>
      <c r="D5470" s="292" t="s">
        <v>903</v>
      </c>
      <c r="E5470" s="292">
        <v>43068</v>
      </c>
      <c r="F5470" s="67" t="s">
        <v>2039</v>
      </c>
      <c r="G5470" s="293" t="s">
        <v>1713</v>
      </c>
      <c r="H5470" s="294" t="s">
        <v>1771</v>
      </c>
      <c r="I5470" s="373"/>
      <c r="J5470" s="926"/>
      <c r="K5470" s="373"/>
      <c r="L5470" s="379"/>
      <c r="M5470" s="927">
        <v>10500000000</v>
      </c>
      <c r="N5470" s="295" t="s">
        <v>2415</v>
      </c>
      <c r="O5470" s="295" t="s">
        <v>26</v>
      </c>
      <c r="P5470" s="75" t="str">
        <f>IF(AND('331-CT'!$E$7=TH!H4569,OR(N5470="331",O5470="331")),"x","")</f>
        <v/>
      </c>
      <c r="Q5470" s="75" t="str">
        <f>IF(AND(B5470='111'!$L$11,OR($N5470=$Q$7,$O5470=$Q$7)),"x","")</f>
        <v/>
      </c>
      <c r="R5470" s="75" t="str">
        <f>IF(AND($N5470=$Q$7,$B5470&lt;'111'!$L$11),"x","")</f>
        <v/>
      </c>
      <c r="S5470" s="75" t="str">
        <f>IF(AND($O5470=$Q$7,$B5470&lt;'111'!$L$11),"x","")</f>
        <v/>
      </c>
      <c r="T5470" s="75" t="str">
        <f>IF(ISERROR(FIND('112'!$M$9,G5470,1)),"",IF((AND(FIND('112'!$M$9,G5470,1)&gt;=1,B5470='112'!$K$9,OR($N5470='112'!$I$6,$O5470='112'!$I$6))),"x",""))</f>
        <v/>
      </c>
      <c r="U5470" s="75" t="str">
        <f>IF(ISERROR(FIND('112'!$M$9,G5470,1)),"",IF((AND(LEFT(G5470,2)=LEFT('112'!$M$9,2),B5470&lt;'112'!$K$9,$N5470='112'!$I$6)),"x",""))</f>
        <v/>
      </c>
      <c r="V5470" s="75" t="str">
        <f>IF(ISERROR(FIND('112'!$M$9,G5470,1)),"",IF((AND(RIGHT(G5470,2)=RIGHT('112'!$M$9,2),B5470&lt;'112'!$K$9,$O5470='112'!$I$6)),"x",""))</f>
        <v/>
      </c>
      <c r="W5470" s="75" t="str">
        <f>IF(AND('341-CT'!$H$9=H5470,OR(LEFT(N5470,3)=$W$7,LEFT(O5470,3)=$W$7)),"x","")</f>
        <v/>
      </c>
      <c r="X5470" s="75" t="str">
        <f>IF(OR(TH!N4569=TH!$X$7,O5470=TH!$X$7),"x","")</f>
        <v/>
      </c>
      <c r="Y5470" s="75" t="str">
        <f>IF(AND(OR(N5470="131",O5470="131"),H5470='131-CT'!$H$9),"x","")</f>
        <v/>
      </c>
      <c r="Z5470" s="75"/>
      <c r="AA5470" s="75" t="str">
        <f>IF(AND(MONTH(E5470)='IN-NX'!$J$5,'IN-NX'!$D$7=D5470),"x","")</f>
        <v/>
      </c>
      <c r="AB5470" s="75" t="str">
        <f>IF(AND(OR(LEFT(TH!N4569,2)="15",LEFT(TH!O4569,2)="15"),LEFT(TH!O4569,3)&lt;&gt;"111",'152-CT'!$J$8=TH!F4569),"x","")</f>
        <v/>
      </c>
      <c r="AC5470" s="75" t="str">
        <f>IF(AND(OR(LEFT(TH!N4569,2)="15",LEFT(TH!O4569,2)="15"),TK!$E$7=TH!F4569),"x","")</f>
        <v/>
      </c>
      <c r="AD5470" s="75" t="str">
        <f>IF(AND(N5470="1521",MONTH(C5470)='BK-NL'!$M$11),"x","")</f>
        <v/>
      </c>
    </row>
    <row r="5471" spans="1:33" ht="16.5" customHeight="1">
      <c r="A5471" s="309" t="str">
        <f>IF(B5471&lt;&gt;"",IF(AND(B5471='IN-TC'!$S$4,OR(TH!N5456="1111",TH!O5456="1111")),TH!D5456,""),"")</f>
        <v/>
      </c>
      <c r="B5471" s="1245">
        <f t="shared" si="1356"/>
        <v>11</v>
      </c>
      <c r="C5471" s="292">
        <f t="shared" si="1355"/>
        <v>43068</v>
      </c>
      <c r="D5471" s="59" t="s">
        <v>903</v>
      </c>
      <c r="E5471" s="59">
        <v>43068</v>
      </c>
      <c r="F5471" s="62" t="s">
        <v>2655</v>
      </c>
      <c r="G5471" s="62" t="s">
        <v>585</v>
      </c>
      <c r="H5471" s="67" t="s">
        <v>623</v>
      </c>
      <c r="I5471" s="373"/>
      <c r="J5471" s="382"/>
      <c r="K5471" s="373"/>
      <c r="L5471" s="379"/>
      <c r="M5471" s="60">
        <v>27000000</v>
      </c>
      <c r="N5471" s="61" t="s">
        <v>26</v>
      </c>
      <c r="O5471" s="61" t="s">
        <v>72</v>
      </c>
      <c r="P5471" s="75" t="str">
        <f>IF(AND('331-CT'!$E$7=TH!H4899,OR(N5471="331",O5471="331")),"x","")</f>
        <v/>
      </c>
      <c r="Q5471" s="75" t="str">
        <f>IF(AND(B5471='111'!$L$11,OR($N5471=$Q$7,$O5471=$Q$7)),"x","")</f>
        <v/>
      </c>
      <c r="R5471" s="75" t="str">
        <f>IF(AND($N5471=$Q$7,$B5471&lt;'111'!$L$11),"x","")</f>
        <v/>
      </c>
      <c r="S5471" s="75" t="str">
        <f>IF(AND($O5471=$Q$7,$B5471&lt;'111'!$L$11),"x","")</f>
        <v/>
      </c>
      <c r="T5471" s="75" t="str">
        <f>IF(ISERROR(FIND('112'!$M$9,G5471,1)),"",IF((AND(FIND('112'!$M$9,G5471,1)&gt;=1,B5471='112'!$K$9,OR($N5471='112'!$I$6,$O5471='112'!$I$6))),"x",""))</f>
        <v/>
      </c>
      <c r="U5471" s="75" t="str">
        <f>IF(ISERROR(FIND('112'!$M$9,G5471,1)),"",IF((AND(LEFT(G5471,2)=LEFT('112'!$M$9,2),B5471&lt;'112'!$K$9,$N5471='112'!$I$6)),"x",""))</f>
        <v/>
      </c>
      <c r="V5471" s="75" t="str">
        <f>IF(ISERROR(FIND('112'!$M$9,G5471,1)),"",IF((AND(RIGHT(G5471,2)=RIGHT('112'!$M$9,2),B5471&lt;'112'!$K$9,$O5471='112'!$I$6)),"x",""))</f>
        <v/>
      </c>
      <c r="W5471" s="75" t="str">
        <f>IF(AND('341-CT'!$H$9=H5471,OR(LEFT(N5471,3)=$W$7,LEFT(O5471,3)=$W$7)),"x","")</f>
        <v/>
      </c>
      <c r="X5471" s="75" t="str">
        <f>IF(OR(TH!N4899=TH!$X$7,O5471=TH!$X$7),"x","")</f>
        <v/>
      </c>
      <c r="Y5471" s="75" t="str">
        <f>IF(AND(OR(N5471="131",O5471="131"),H5471='131-CT'!$H$9),"x","")</f>
        <v/>
      </c>
      <c r="Z5471" s="75"/>
      <c r="AA5471" s="75" t="str">
        <f>IF(AND(MONTH(E5471)='IN-NX'!$J$5,'IN-NX'!$D$7=D5471),"x","")</f>
        <v/>
      </c>
      <c r="AB5471" s="75" t="str">
        <f>IF(AND(OR(LEFT(TH!N4899,2)="15",LEFT(TH!O4899,2)="15"),LEFT(TH!O4899,3)&lt;&gt;"111",'152-CT'!$J$8=TH!F4899),"x","")</f>
        <v/>
      </c>
      <c r="AC5471" s="75" t="str">
        <f>IF(AND(OR(LEFT(TH!N4899,2)="15",LEFT(TH!O4899,2)="15"),TK!$E$7=TH!F4899),"x","")</f>
        <v/>
      </c>
      <c r="AD5471" s="75" t="str">
        <f>IF(AND(N5471="1521",MONTH(C5471)='BK-NL'!$M$11),"x","")</f>
        <v/>
      </c>
      <c r="AE5471" s="304"/>
      <c r="AF5471" s="304"/>
      <c r="AG5471" s="304"/>
    </row>
    <row r="5472" spans="1:33" ht="16.5" customHeight="1">
      <c r="A5472" s="309" t="str">
        <f>IF(B5472&lt;&gt;"",IF(AND(B5472='IN-TC'!$S$4,OR(TH!N5457="1111",TH!O5457="1111")),TH!D5457,""),"")</f>
        <v/>
      </c>
      <c r="B5472" s="1245">
        <f t="shared" si="1356"/>
        <v>11</v>
      </c>
      <c r="C5472" s="292">
        <f t="shared" si="1355"/>
        <v>43068</v>
      </c>
      <c r="D5472" s="59" t="s">
        <v>902</v>
      </c>
      <c r="E5472" s="59">
        <v>43068</v>
      </c>
      <c r="F5472" s="62" t="s">
        <v>2139</v>
      </c>
      <c r="G5472" s="62" t="s">
        <v>747</v>
      </c>
      <c r="H5472" s="294" t="s">
        <v>2657</v>
      </c>
      <c r="I5472" s="373"/>
      <c r="J5472" s="382"/>
      <c r="K5472" s="373"/>
      <c r="L5472" s="379"/>
      <c r="M5472" s="60">
        <v>28600000</v>
      </c>
      <c r="N5472" s="61" t="s">
        <v>8</v>
      </c>
      <c r="O5472" s="61" t="s">
        <v>26</v>
      </c>
      <c r="P5472" s="75" t="str">
        <f>IF(AND('331-CT'!$E$7=TH!H5615,OR(N5472="331",O5472="331")),"x","")</f>
        <v/>
      </c>
      <c r="Q5472" s="75" t="str">
        <f>IF(AND(B5472='111'!$L$11,OR($N5472=$Q$7,$O5472=$Q$7)),"x","")</f>
        <v/>
      </c>
      <c r="R5472" s="75" t="str">
        <f>IF(AND($N5472=$Q$7,$B5472&lt;'111'!$L$11),"x","")</f>
        <v/>
      </c>
      <c r="S5472" s="75" t="str">
        <f>IF(AND($O5472=$Q$7,$B5472&lt;'111'!$L$11),"x","")</f>
        <v/>
      </c>
      <c r="T5472" s="75" t="str">
        <f>IF(ISERROR(FIND('112'!$M$9,G5472,1)),"",IF((AND(FIND('112'!$M$9,G5472,1)&gt;=1,B5472='112'!$K$9,OR($N5472='112'!$I$6,$O5472='112'!$I$6))),"x",""))</f>
        <v/>
      </c>
      <c r="U5472" s="75" t="str">
        <f>IF(ISERROR(FIND('112'!$M$9,G5472,1)),"",IF((AND(LEFT(G5472,2)=LEFT('112'!$M$9,2),B5472&lt;'112'!$K$9,$N5472='112'!$I$6)),"x",""))</f>
        <v/>
      </c>
      <c r="V5472" s="75" t="str">
        <f>IF(ISERROR(FIND('112'!$M$9,G5472,1)),"",IF((AND(RIGHT(G5472,2)=RIGHT('112'!$M$9,2),B5472&lt;'112'!$K$9,$O5472='112'!$I$6)),"x",""))</f>
        <v/>
      </c>
      <c r="W5472" s="75" t="str">
        <f>IF(AND('341-CT'!$H$9=H5472,OR(LEFT(N5472,3)=$W$7,LEFT(O5472,3)=$W$7)),"x","")</f>
        <v/>
      </c>
      <c r="X5472" s="75" t="str">
        <f>IF(OR(TH!N5615=TH!$X$7,O5472=TH!$X$7),"x","")</f>
        <v/>
      </c>
      <c r="Y5472" s="75" t="str">
        <f>IF(AND(OR(N5472="131",O5472="131"),H5472='131-CT'!$H$9),"x","")</f>
        <v/>
      </c>
      <c r="Z5472" s="75"/>
      <c r="AA5472" s="75" t="str">
        <f>IF(AND(MONTH(E5472)='IN-NX'!$J$5,'IN-NX'!$D$7=D5472),"x","")</f>
        <v/>
      </c>
      <c r="AB5472" s="75" t="str">
        <f>IF(AND(OR(LEFT(TH!N5615,2)="15",LEFT(TH!O5615,2)="15"),LEFT(TH!O5615,3)&lt;&gt;"111",'152-CT'!$J$8=TH!F5615),"x","")</f>
        <v/>
      </c>
      <c r="AC5472" s="75" t="str">
        <f>IF(AND(OR(LEFT(TH!N5615,2)="15",LEFT(TH!O5615,2)="15"),TK!$E$7=TH!F5615),"x","")</f>
        <v/>
      </c>
      <c r="AD5472" s="75" t="str">
        <f>IF(AND(N5472="1521",MONTH(C5472)='BK-NL'!$M$11),"x","")</f>
        <v/>
      </c>
    </row>
    <row r="5473" spans="1:31" ht="16.5" customHeight="1">
      <c r="A5473" s="309" t="str">
        <f>IF(B5473&lt;&gt;"",IF(AND(B5473='IN-TC'!$S$4,OR(TH!N5458="1111",TH!O5458="1111")),TH!D5458,""),"")</f>
        <v/>
      </c>
      <c r="B5473" s="1245">
        <f t="shared" si="1356"/>
        <v>11</v>
      </c>
      <c r="C5473" s="292">
        <f t="shared" si="1355"/>
        <v>43068</v>
      </c>
      <c r="D5473" s="59" t="s">
        <v>902</v>
      </c>
      <c r="E5473" s="59">
        <v>43068</v>
      </c>
      <c r="F5473" s="62" t="s">
        <v>1307</v>
      </c>
      <c r="G5473" s="62" t="s">
        <v>747</v>
      </c>
      <c r="H5473" s="294" t="s">
        <v>835</v>
      </c>
      <c r="I5473" s="373"/>
      <c r="J5473" s="382"/>
      <c r="K5473" s="373"/>
      <c r="L5473" s="379"/>
      <c r="M5473" s="60">
        <v>10000</v>
      </c>
      <c r="N5473" s="61" t="s">
        <v>101</v>
      </c>
      <c r="O5473" s="61" t="s">
        <v>26</v>
      </c>
      <c r="P5473" s="75" t="str">
        <f>IF(AND('331-CT'!$E$7=TH!H5616,OR(N5473="331",O5473="331")),"x","")</f>
        <v/>
      </c>
      <c r="Q5473" s="75" t="str">
        <f>IF(AND(B5473='111'!$L$11,OR($N5473=$Q$7,$O5473=$Q$7)),"x","")</f>
        <v/>
      </c>
      <c r="R5473" s="75" t="str">
        <f>IF(AND($N5473=$Q$7,$B5473&lt;'111'!$L$11),"x","")</f>
        <v/>
      </c>
      <c r="S5473" s="75" t="str">
        <f>IF(AND($O5473=$Q$7,$B5473&lt;'111'!$L$11),"x","")</f>
        <v/>
      </c>
      <c r="T5473" s="75" t="str">
        <f>IF(ISERROR(FIND('112'!$M$9,G5473,1)),"",IF((AND(FIND('112'!$M$9,G5473,1)&gt;=1,B5473='112'!$K$9,OR($N5473='112'!$I$6,$O5473='112'!$I$6))),"x",""))</f>
        <v/>
      </c>
      <c r="U5473" s="75" t="str">
        <f>IF(ISERROR(FIND('112'!$M$9,G5473,1)),"",IF((AND(LEFT(G5473,2)=LEFT('112'!$M$9,2),B5473&lt;'112'!$K$9,$N5473='112'!$I$6)),"x",""))</f>
        <v/>
      </c>
      <c r="V5473" s="75" t="str">
        <f>IF(ISERROR(FIND('112'!$M$9,G5473,1)),"",IF((AND(RIGHT(G5473,2)=RIGHT('112'!$M$9,2),B5473&lt;'112'!$K$9,$O5473='112'!$I$6)),"x",""))</f>
        <v/>
      </c>
      <c r="W5473" s="75" t="str">
        <f>IF(AND('341-CT'!$H$9=H5473,OR(LEFT(N5473,3)=$W$7,LEFT(O5473,3)=$W$7)),"x","")</f>
        <v/>
      </c>
      <c r="X5473" s="75" t="str">
        <f>IF(OR(TH!N5616=TH!$X$7,O5473=TH!$X$7),"x","")</f>
        <v/>
      </c>
      <c r="Y5473" s="75" t="str">
        <f>IF(AND(OR(N5473="131",O5473="131"),H5473='131-CT'!$H$9),"x","")</f>
        <v/>
      </c>
      <c r="Z5473" s="75"/>
      <c r="AA5473" s="75" t="str">
        <f>IF(AND(MONTH(E5473)='IN-NX'!$J$5,'IN-NX'!$D$7=D5473),"x","")</f>
        <v/>
      </c>
      <c r="AB5473" s="75" t="str">
        <f>IF(AND(OR(LEFT(TH!N5616,2)="15",LEFT(TH!O5616,2)="15"),LEFT(TH!O5616,3)&lt;&gt;"111",'152-CT'!$J$8=TH!F5616),"x","")</f>
        <v/>
      </c>
      <c r="AC5473" s="75" t="str">
        <f>IF(AND(OR(LEFT(TH!N5616,2)="15",LEFT(TH!O5616,2)="15"),TK!$E$7=TH!F5616),"x","")</f>
        <v/>
      </c>
      <c r="AD5473" s="75" t="str">
        <f>IF(AND(N5473="1521",MONTH(C5473)='BK-NL'!$M$11),"x","")</f>
        <v/>
      </c>
      <c r="AE5473">
        <v>11</v>
      </c>
    </row>
    <row r="5474" spans="1:31" ht="16.5" customHeight="1">
      <c r="A5474" s="309" t="str">
        <f>IF(B5474&lt;&gt;"",IF(AND(B5474='IN-TC'!$S$4,OR(TH!N5459="1111",TH!O5459="1111")),TH!D5459,""),"")</f>
        <v/>
      </c>
      <c r="B5474" s="1245">
        <f t="shared" si="1356"/>
        <v>11</v>
      </c>
      <c r="C5474" s="292">
        <f t="shared" si="1355"/>
        <v>43068</v>
      </c>
      <c r="D5474" s="59" t="s">
        <v>902</v>
      </c>
      <c r="E5474" s="59">
        <v>43068</v>
      </c>
      <c r="F5474" s="62" t="s">
        <v>1314</v>
      </c>
      <c r="G5474" s="62" t="s">
        <v>747</v>
      </c>
      <c r="H5474" s="294" t="s">
        <v>835</v>
      </c>
      <c r="I5474" s="373"/>
      <c r="J5474" s="382"/>
      <c r="K5474" s="373"/>
      <c r="L5474" s="379"/>
      <c r="M5474" s="60">
        <v>1000</v>
      </c>
      <c r="N5474" s="61" t="s">
        <v>9</v>
      </c>
      <c r="O5474" s="61" t="s">
        <v>26</v>
      </c>
      <c r="P5474" s="75" t="str">
        <f>IF(AND('331-CT'!$E$7=TH!H5617,OR(N5474="331",O5474="331")),"x","")</f>
        <v/>
      </c>
      <c r="Q5474" s="75" t="str">
        <f>IF(AND(B5474='111'!$L$11,OR($N5474=$Q$7,$O5474=$Q$7)),"x","")</f>
        <v/>
      </c>
      <c r="R5474" s="75" t="str">
        <f>IF(AND($N5474=$Q$7,$B5474&lt;'111'!$L$11),"x","")</f>
        <v/>
      </c>
      <c r="S5474" s="75" t="str">
        <f>IF(AND($O5474=$Q$7,$B5474&lt;'111'!$L$11),"x","")</f>
        <v/>
      </c>
      <c r="T5474" s="75" t="str">
        <f>IF(ISERROR(FIND('112'!$M$9,G5474,1)),"",IF((AND(FIND('112'!$M$9,G5474,1)&gt;=1,B5474='112'!$K$9,OR($N5474='112'!$I$6,$O5474='112'!$I$6))),"x",""))</f>
        <v/>
      </c>
      <c r="U5474" s="75" t="str">
        <f>IF(ISERROR(FIND('112'!$M$9,G5474,1)),"",IF((AND(LEFT(G5474,2)=LEFT('112'!$M$9,2),B5474&lt;'112'!$K$9,$N5474='112'!$I$6)),"x",""))</f>
        <v/>
      </c>
      <c r="V5474" s="75" t="str">
        <f>IF(ISERROR(FIND('112'!$M$9,G5474,1)),"",IF((AND(RIGHT(G5474,2)=RIGHT('112'!$M$9,2),B5474&lt;'112'!$K$9,$O5474='112'!$I$6)),"x",""))</f>
        <v/>
      </c>
      <c r="W5474" s="75" t="str">
        <f>IF(AND('341-CT'!$H$9=H5474,OR(LEFT(N5474,3)=$W$7,LEFT(O5474,3)=$W$7)),"x","")</f>
        <v/>
      </c>
      <c r="X5474" s="75" t="str">
        <f>IF(OR(TH!N5617=TH!$X$7,O5474=TH!$X$7),"x","")</f>
        <v/>
      </c>
      <c r="Y5474" s="75" t="str">
        <f>IF(AND(OR(N5474="131",O5474="131"),H5474='131-CT'!$H$9),"x","")</f>
        <v/>
      </c>
      <c r="Z5474" s="75"/>
      <c r="AA5474" s="75" t="str">
        <f>IF(AND(MONTH(E5474)='IN-NX'!$J$5,'IN-NX'!$D$7=D5474),"x","")</f>
        <v/>
      </c>
      <c r="AB5474" s="75" t="str">
        <f>IF(AND(OR(LEFT(TH!N5617,2)="15",LEFT(TH!O5617,2)="15"),LEFT(TH!O5617,3)&lt;&gt;"111",'152-CT'!$J$8=TH!F5617),"x","")</f>
        <v/>
      </c>
      <c r="AC5474" s="75" t="str">
        <f>IF(AND(OR(LEFT(TH!N5617,2)="15",LEFT(TH!O5617,2)="15"),TK!$E$7=TH!F5617),"x","")</f>
        <v/>
      </c>
      <c r="AD5474" s="75" t="str">
        <f>IF(AND(N5474="1521",MONTH(C5474)='BK-NL'!$M$11),"x","")</f>
        <v/>
      </c>
      <c r="AE5474">
        <v>11</v>
      </c>
    </row>
    <row r="5475" spans="1:31" ht="16.5" customHeight="1">
      <c r="A5475" s="309" t="str">
        <f>IF(B5475&lt;&gt;"",IF(AND(B5475='IN-TC'!$S$4,OR(TH!N5460="1111",TH!O5460="1111")),TH!D5460,""),"")</f>
        <v/>
      </c>
      <c r="B5475" s="1245">
        <f t="shared" si="1356"/>
        <v>11</v>
      </c>
      <c r="C5475" s="292">
        <f t="shared" si="1355"/>
        <v>43069</v>
      </c>
      <c r="D5475" s="59"/>
      <c r="E5475" s="59">
        <v>43069</v>
      </c>
      <c r="F5475" s="62" t="s">
        <v>2805</v>
      </c>
      <c r="G5475" s="742"/>
      <c r="H5475" s="67" t="s">
        <v>845</v>
      </c>
      <c r="I5475" s="375"/>
      <c r="J5475" s="382"/>
      <c r="K5475" s="375"/>
      <c r="L5475" s="381"/>
      <c r="M5475" s="60">
        <v>26334000</v>
      </c>
      <c r="N5475" s="61" t="s">
        <v>63</v>
      </c>
      <c r="O5475" s="61" t="s">
        <v>72</v>
      </c>
      <c r="P5475" s="75" t="str">
        <f>IF(AND('331-CT'!$E$7=TH!H4079,OR(N5475="331",O5475="331")),"x","")</f>
        <v/>
      </c>
      <c r="Q5475" s="75" t="str">
        <f>IF(AND(B5475='111'!$L$11,OR($N5475=$Q$7,$O5475=$Q$7)),"x","")</f>
        <v/>
      </c>
      <c r="R5475" s="75" t="str">
        <f>IF(AND($N5475=$Q$7,$B5475&lt;'111'!$L$11),"x","")</f>
        <v>x</v>
      </c>
      <c r="S5475" s="75" t="str">
        <f>IF(AND($O5475=$Q$7,$B5475&lt;'111'!$L$11),"x","")</f>
        <v/>
      </c>
      <c r="T5475" s="75" t="str">
        <f>IF(ISERROR(FIND('112'!$M$9,G5475,1)),"",IF((AND(FIND('112'!$M$9,G5475,1)&gt;=1,B5475='112'!$K$9,OR($N5475='112'!$I$6,$O5475='112'!$I$6))),"x",""))</f>
        <v/>
      </c>
      <c r="U5475" s="75" t="str">
        <f>IF(ISERROR(FIND('112'!$M$9,G5475,1)),"",IF((AND(LEFT(G5475,2)=LEFT('112'!$M$9,2),B5475&lt;'112'!$K$9,$N5475='112'!$I$6)),"x",""))</f>
        <v/>
      </c>
      <c r="V5475" s="75" t="str">
        <f>IF(ISERROR(FIND('112'!$M$9,G5475,1)),"",IF((AND(RIGHT(G5475,2)=RIGHT('112'!$M$9,2),B5475&lt;'112'!$K$9,$O5475='112'!$I$6)),"x",""))</f>
        <v/>
      </c>
      <c r="W5475" s="75" t="str">
        <f>IF(AND('341-CT'!$H$9=H5475,OR(LEFT(N5475,3)=$W$7,LEFT(O5475,3)=$W$7)),"x","")</f>
        <v/>
      </c>
      <c r="X5475" s="75" t="str">
        <f>IF(OR(TH!N4079=TH!$X$7,O5475=TH!$X$7),"x","")</f>
        <v/>
      </c>
      <c r="Y5475" s="75" t="str">
        <f>IF(AND(OR(N5475="131",O5475="131"),H5475='131-CT'!$H$9),"x","")</f>
        <v/>
      </c>
      <c r="Z5475" s="75"/>
      <c r="AA5475" s="75" t="str">
        <f>IF(AND(MONTH(E5475)='IN-NX'!$J$5,'IN-NX'!$D$7=D5475),"x","")</f>
        <v/>
      </c>
      <c r="AB5475" s="75" t="str">
        <f>IF(AND(OR(LEFT(TH!N4079,2)="15",LEFT(TH!O4079,2)="15"),LEFT(TH!O4079,3)&lt;&gt;"111",'152-CT'!$J$8=TH!F4079),"x","")</f>
        <v/>
      </c>
      <c r="AC5475" s="75" t="str">
        <f>IF(AND(OR(LEFT(TH!N4079,2)="15",LEFT(TH!O4079,2)="15"),TK!$E$7=TH!F4079),"x","")</f>
        <v/>
      </c>
      <c r="AD5475" s="75" t="str">
        <f>IF(AND(N5475="1521",MONTH(C5475)='BK-NL'!$M$11),"x","")</f>
        <v/>
      </c>
      <c r="AE5475">
        <v>11</v>
      </c>
    </row>
    <row r="5476" spans="1:31" ht="16.5" customHeight="1">
      <c r="A5476" s="309" t="str">
        <f>IF(B5476&lt;&gt;"",IF(AND(B5476='IN-TC'!$S$4,OR(TH!N5461="1111",TH!O5461="1111")),TH!D5461,""),"")</f>
        <v/>
      </c>
      <c r="B5476" s="1245">
        <f t="shared" si="1356"/>
        <v>11</v>
      </c>
      <c r="C5476" s="292">
        <f t="shared" si="1355"/>
        <v>43069</v>
      </c>
      <c r="D5476" s="59"/>
      <c r="E5476" s="59">
        <v>43069</v>
      </c>
      <c r="F5476" s="62" t="s">
        <v>993</v>
      </c>
      <c r="G5476" s="742" t="s">
        <v>2652</v>
      </c>
      <c r="H5476" s="67" t="s">
        <v>555</v>
      </c>
      <c r="I5476" s="375"/>
      <c r="J5476" s="382"/>
      <c r="K5476" s="375"/>
      <c r="L5476" s="381"/>
      <c r="M5476" s="60">
        <v>5280000</v>
      </c>
      <c r="N5476" s="61" t="s">
        <v>8</v>
      </c>
      <c r="O5476" s="61" t="s">
        <v>63</v>
      </c>
      <c r="P5476" s="75" t="str">
        <f>IF(AND('331-CT'!$E$7=TH!H4121,OR(N5476="331",O5476="331")),"x","")</f>
        <v/>
      </c>
      <c r="Q5476" s="75" t="str">
        <f>IF(AND(B5476='111'!$L$11,OR($N5476=$Q$7,$O5476=$Q$7)),"x","")</f>
        <v/>
      </c>
      <c r="R5476" s="75" t="str">
        <f>IF(AND($N5476=$Q$7,$B5476&lt;'111'!$L$11),"x","")</f>
        <v/>
      </c>
      <c r="S5476" s="75" t="str">
        <f>IF(AND($O5476=$Q$7,$B5476&lt;'111'!$L$11),"x","")</f>
        <v>x</v>
      </c>
      <c r="T5476" s="75" t="str">
        <f>IF(ISERROR(FIND('112'!$M$9,G5476,1)),"",IF((AND(FIND('112'!$M$9,G5476,1)&gt;=1,B5476='112'!$K$9,OR($N5476='112'!$I$6,$O5476='112'!$I$6))),"x",""))</f>
        <v/>
      </c>
      <c r="U5476" s="75" t="str">
        <f>IF(ISERROR(FIND('112'!$M$9,G5476,1)),"",IF((AND(LEFT(G5476,2)=LEFT('112'!$M$9,2),B5476&lt;'112'!$K$9,$N5476='112'!$I$6)),"x",""))</f>
        <v/>
      </c>
      <c r="V5476" s="75" t="str">
        <f>IF(ISERROR(FIND('112'!$M$9,G5476,1)),"",IF((AND(RIGHT(G5476,2)=RIGHT('112'!$M$9,2),B5476&lt;'112'!$K$9,$O5476='112'!$I$6)),"x",""))</f>
        <v/>
      </c>
      <c r="W5476" s="75" t="str">
        <f>IF(AND('341-CT'!$H$9=H5476,OR(LEFT(N5476,3)=$W$7,LEFT(O5476,3)=$W$7)),"x","")</f>
        <v/>
      </c>
      <c r="X5476" s="75" t="str">
        <f>IF(OR(TH!N4121=TH!$X$7,O5476=TH!$X$7),"x","")</f>
        <v/>
      </c>
      <c r="Y5476" s="75" t="str">
        <f>IF(AND(OR(N5476="131",O5476="131"),H5476='131-CT'!$H$9),"x","")</f>
        <v/>
      </c>
      <c r="Z5476" s="75"/>
      <c r="AA5476" s="75" t="str">
        <f>IF(AND(MONTH(E5476)='IN-NX'!$J$5,'IN-NX'!$D$7=D5476),"x","")</f>
        <v/>
      </c>
      <c r="AB5476" s="75" t="str">
        <f>IF(AND(OR(LEFT(TH!N4121,2)="15",LEFT(TH!O4121,2)="15"),LEFT(TH!O4121,3)&lt;&gt;"111",'152-CT'!$J$8=TH!F4121),"x","")</f>
        <v/>
      </c>
      <c r="AC5476" s="75" t="str">
        <f>IF(AND(OR(LEFT(TH!N4121,2)="15",LEFT(TH!O4121,2)="15"),TK!$E$7=TH!F4121),"x","")</f>
        <v/>
      </c>
      <c r="AD5476" s="75" t="str">
        <f>IF(AND(N5476="1521",MONTH(C5476)='BK-NL'!$M$11),"x","")</f>
        <v/>
      </c>
    </row>
    <row r="5477" spans="1:31" ht="16.5" customHeight="1">
      <c r="A5477" s="309" t="str">
        <f>IF(B5477&lt;&gt;"",IF(AND(B5477='IN-TC'!$S$4,OR(TH!N5462="1111",TH!O5462="1111")),TH!D5462,""),"")</f>
        <v/>
      </c>
      <c r="B5477" s="1245">
        <f t="shared" si="1356"/>
        <v>11</v>
      </c>
      <c r="C5477" s="292">
        <f t="shared" si="1355"/>
        <v>43069</v>
      </c>
      <c r="D5477" s="59"/>
      <c r="E5477" s="59">
        <v>43069</v>
      </c>
      <c r="F5477" s="62" t="s">
        <v>1499</v>
      </c>
      <c r="G5477" s="742" t="s">
        <v>2677</v>
      </c>
      <c r="H5477" s="67" t="s">
        <v>893</v>
      </c>
      <c r="I5477" s="375"/>
      <c r="J5477" s="382"/>
      <c r="K5477" s="375"/>
      <c r="L5477" s="381"/>
      <c r="M5477" s="60">
        <v>858836</v>
      </c>
      <c r="N5477" s="61" t="s">
        <v>101</v>
      </c>
      <c r="O5477" s="61" t="s">
        <v>63</v>
      </c>
      <c r="P5477" s="75" t="str">
        <f>IF(AND('331-CT'!$E$7=TH!H4122,OR(N5477="331",O5477="331")),"x","")</f>
        <v/>
      </c>
      <c r="Q5477" s="75" t="str">
        <f>IF(AND(B5477='111'!$L$11,OR($N5477=$Q$7,$O5477=$Q$7)),"x","")</f>
        <v/>
      </c>
      <c r="R5477" s="75" t="str">
        <f>IF(AND($N5477=$Q$7,$B5477&lt;'111'!$L$11),"x","")</f>
        <v/>
      </c>
      <c r="S5477" s="75" t="str">
        <f>IF(AND($O5477=$Q$7,$B5477&lt;'111'!$L$11),"x","")</f>
        <v>x</v>
      </c>
      <c r="T5477" s="75" t="str">
        <f>IF(ISERROR(FIND('112'!$M$9,G5477,1)),"",IF((AND(FIND('112'!$M$9,G5477,1)&gt;=1,B5477='112'!$K$9,OR($N5477='112'!$I$6,$O5477='112'!$I$6))),"x",""))</f>
        <v/>
      </c>
      <c r="U5477" s="75" t="str">
        <f>IF(ISERROR(FIND('112'!$M$9,G5477,1)),"",IF((AND(LEFT(G5477,2)=LEFT('112'!$M$9,2),B5477&lt;'112'!$K$9,$N5477='112'!$I$6)),"x",""))</f>
        <v/>
      </c>
      <c r="V5477" s="75" t="str">
        <f>IF(ISERROR(FIND('112'!$M$9,G5477,1)),"",IF((AND(RIGHT(G5477,2)=RIGHT('112'!$M$9,2),B5477&lt;'112'!$K$9,$O5477='112'!$I$6)),"x",""))</f>
        <v/>
      </c>
      <c r="W5477" s="75" t="str">
        <f>IF(AND('341-CT'!$H$9=H5477,OR(LEFT(N5477,3)=$W$7,LEFT(O5477,3)=$W$7)),"x","")</f>
        <v/>
      </c>
      <c r="X5477" s="75" t="str">
        <f>IF(OR(TH!N4122=TH!$X$7,O5477=TH!$X$7),"x","")</f>
        <v/>
      </c>
      <c r="Y5477" s="75" t="str">
        <f>IF(AND(OR(N5477="131",O5477="131"),H5477='131-CT'!$H$9),"x","")</f>
        <v/>
      </c>
      <c r="Z5477" s="75"/>
      <c r="AA5477" s="75" t="str">
        <f>IF(AND(MONTH(E5477)='IN-NX'!$J$5,'IN-NX'!$D$7=D5477),"x","")</f>
        <v/>
      </c>
      <c r="AB5477" s="75" t="str">
        <f>IF(AND(OR(LEFT(TH!N4122,2)="15",LEFT(TH!O4122,2)="15"),LEFT(TH!O4122,3)&lt;&gt;"111",'152-CT'!$J$8=TH!F4122),"x","")</f>
        <v/>
      </c>
      <c r="AC5477" s="75" t="str">
        <f>IF(AND(OR(LEFT(TH!N4122,2)="15",LEFT(TH!O4122,2)="15"),TK!$E$7=TH!F4122),"x","")</f>
        <v/>
      </c>
      <c r="AD5477" s="75" t="str">
        <f>IF(AND(N5477="1521",MONTH(C5477)='BK-NL'!$M$11),"x","")</f>
        <v/>
      </c>
      <c r="AE5477">
        <v>11</v>
      </c>
    </row>
    <row r="5478" spans="1:31" ht="16.5" customHeight="1">
      <c r="A5478" s="309" t="str">
        <f>IF(B5478&lt;&gt;"",IF(AND(B5478='IN-TC'!$S$4,OR(TH!N5463="1111",TH!O5463="1111")),TH!D5463,""),"")</f>
        <v/>
      </c>
      <c r="B5478" s="1245">
        <f t="shared" si="1356"/>
        <v>11</v>
      </c>
      <c r="C5478" s="292">
        <f t="shared" si="1355"/>
        <v>43069</v>
      </c>
      <c r="D5478" s="59"/>
      <c r="E5478" s="59">
        <v>43069</v>
      </c>
      <c r="F5478" s="62" t="s">
        <v>1500</v>
      </c>
      <c r="G5478" s="742" t="s">
        <v>2677</v>
      </c>
      <c r="H5478" s="67" t="s">
        <v>893</v>
      </c>
      <c r="I5478" s="375"/>
      <c r="J5478" s="382"/>
      <c r="K5478" s="375"/>
      <c r="L5478" s="381"/>
      <c r="M5478" s="60">
        <v>85884</v>
      </c>
      <c r="N5478" s="61" t="s">
        <v>9</v>
      </c>
      <c r="O5478" s="61" t="s">
        <v>63</v>
      </c>
      <c r="P5478" s="75" t="str">
        <f>IF(AND('331-CT'!$E$7=TH!H4123,OR(N5478="331",O5478="331")),"x","")</f>
        <v/>
      </c>
      <c r="Q5478" s="75" t="str">
        <f>IF(AND(B5478='111'!$L$11,OR($N5478=$Q$7,$O5478=$Q$7)),"x","")</f>
        <v/>
      </c>
      <c r="R5478" s="75" t="str">
        <f>IF(AND($N5478=$Q$7,$B5478&lt;'111'!$L$11),"x","")</f>
        <v/>
      </c>
      <c r="S5478" s="75" t="str">
        <f>IF(AND($O5478=$Q$7,$B5478&lt;'111'!$L$11),"x","")</f>
        <v>x</v>
      </c>
      <c r="T5478" s="75" t="str">
        <f>IF(ISERROR(FIND('112'!$M$9,G5478,1)),"",IF((AND(FIND('112'!$M$9,G5478,1)&gt;=1,B5478='112'!$K$9,OR($N5478='112'!$I$6,$O5478='112'!$I$6))),"x",""))</f>
        <v/>
      </c>
      <c r="U5478" s="75" t="str">
        <f>IF(ISERROR(FIND('112'!$M$9,G5478,1)),"",IF((AND(LEFT(G5478,2)=LEFT('112'!$M$9,2),B5478&lt;'112'!$K$9,$N5478='112'!$I$6)),"x",""))</f>
        <v/>
      </c>
      <c r="V5478" s="75" t="str">
        <f>IF(ISERROR(FIND('112'!$M$9,G5478,1)),"",IF((AND(RIGHT(G5478,2)=RIGHT('112'!$M$9,2),B5478&lt;'112'!$K$9,$O5478='112'!$I$6)),"x",""))</f>
        <v/>
      </c>
      <c r="W5478" s="75" t="str">
        <f>IF(AND('341-CT'!$H$9=H5478,OR(LEFT(N5478,3)=$W$7,LEFT(O5478,3)=$W$7)),"x","")</f>
        <v/>
      </c>
      <c r="X5478" s="75" t="str">
        <f>IF(OR(TH!N4123=TH!$X$7,O5478=TH!$X$7),"x","")</f>
        <v/>
      </c>
      <c r="Y5478" s="75" t="str">
        <f>IF(AND(OR(N5478="131",O5478="131"),H5478='131-CT'!$H$9),"x","")</f>
        <v/>
      </c>
      <c r="Z5478" s="75"/>
      <c r="AA5478" s="75" t="str">
        <f>IF(AND(MONTH(E5478)='IN-NX'!$J$5,'IN-NX'!$D$7=D5478),"x","")</f>
        <v/>
      </c>
      <c r="AB5478" s="75" t="str">
        <f>IF(AND(OR(LEFT(TH!N4123,2)="15",LEFT(TH!O4123,2)="15"),LEFT(TH!O4123,3)&lt;&gt;"111",'152-CT'!$J$8=TH!F4123),"x","")</f>
        <v/>
      </c>
      <c r="AC5478" s="75" t="str">
        <f>IF(AND(OR(LEFT(TH!N4123,2)="15",LEFT(TH!O4123,2)="15"),TK!$E$7=TH!F4123),"x","")</f>
        <v/>
      </c>
      <c r="AD5478" s="75" t="str">
        <f>IF(AND(N5478="1521",MONTH(C5478)='BK-NL'!$M$11),"x","")</f>
        <v/>
      </c>
      <c r="AE5478">
        <v>11</v>
      </c>
    </row>
    <row r="5479" spans="1:31" ht="16.5" customHeight="1">
      <c r="A5479" s="309" t="str">
        <f>IF(B5479&lt;&gt;"",IF(AND(B5479='IN-TC'!$S$4,OR(TH!N5464="1111",TH!O5464="1111")),TH!D5464,""),"")</f>
        <v/>
      </c>
      <c r="B5479" s="1245">
        <f t="shared" si="1356"/>
        <v>11</v>
      </c>
      <c r="C5479" s="292">
        <f t="shared" si="1355"/>
        <v>43069</v>
      </c>
      <c r="D5479" s="59"/>
      <c r="E5479" s="59">
        <v>43069</v>
      </c>
      <c r="F5479" s="62" t="s">
        <v>877</v>
      </c>
      <c r="G5479" s="742" t="s">
        <v>2728</v>
      </c>
      <c r="H5479" s="67" t="s">
        <v>880</v>
      </c>
      <c r="I5479" s="375"/>
      <c r="J5479" s="382"/>
      <c r="K5479" s="375"/>
      <c r="L5479" s="381"/>
      <c r="M5479" s="60">
        <v>860000</v>
      </c>
      <c r="N5479" s="61" t="s">
        <v>101</v>
      </c>
      <c r="O5479" s="61" t="s">
        <v>63</v>
      </c>
      <c r="P5479" s="75" t="str">
        <f>IF(AND('331-CT'!$E$7=TH!H4124,OR(N5479="331",O5479="331")),"x","")</f>
        <v/>
      </c>
      <c r="Q5479" s="75" t="str">
        <f>IF(AND(B5479='111'!$L$11,OR($N5479=$Q$7,$O5479=$Q$7)),"x","")</f>
        <v/>
      </c>
      <c r="R5479" s="75" t="str">
        <f>IF(AND($N5479=$Q$7,$B5479&lt;'111'!$L$11),"x","")</f>
        <v/>
      </c>
      <c r="S5479" s="75" t="str">
        <f>IF(AND($O5479=$Q$7,$B5479&lt;'111'!$L$11),"x","")</f>
        <v>x</v>
      </c>
      <c r="T5479" s="75" t="str">
        <f>IF(ISERROR(FIND('112'!$M$9,G5479,1)),"",IF((AND(FIND('112'!$M$9,G5479,1)&gt;=1,B5479='112'!$K$9,OR($N5479='112'!$I$6,$O5479='112'!$I$6))),"x",""))</f>
        <v/>
      </c>
      <c r="U5479" s="75" t="str">
        <f>IF(ISERROR(FIND('112'!$M$9,G5479,1)),"",IF((AND(LEFT(G5479,2)=LEFT('112'!$M$9,2),B5479&lt;'112'!$K$9,$N5479='112'!$I$6)),"x",""))</f>
        <v/>
      </c>
      <c r="V5479" s="75" t="str">
        <f>IF(ISERROR(FIND('112'!$M$9,G5479,1)),"",IF((AND(RIGHT(G5479,2)=RIGHT('112'!$M$9,2),B5479&lt;'112'!$K$9,$O5479='112'!$I$6)),"x",""))</f>
        <v/>
      </c>
      <c r="W5479" s="75" t="str">
        <f>IF(AND('341-CT'!$H$9=H5479,OR(LEFT(N5479,3)=$W$7,LEFT(O5479,3)=$W$7)),"x","")</f>
        <v/>
      </c>
      <c r="X5479" s="75" t="str">
        <f>IF(OR(TH!N4124=TH!$X$7,O5479=TH!$X$7),"x","")</f>
        <v/>
      </c>
      <c r="Y5479" s="75" t="str">
        <f>IF(AND(OR(N5479="131",O5479="131"),H5479='131-CT'!$H$9),"x","")</f>
        <v/>
      </c>
      <c r="Z5479" s="75"/>
      <c r="AA5479" s="75" t="str">
        <f>IF(AND(MONTH(E5479)='IN-NX'!$J$5,'IN-NX'!$D$7=D5479),"x","")</f>
        <v/>
      </c>
      <c r="AB5479" s="75" t="str">
        <f>IF(AND(OR(LEFT(TH!N4124,2)="15",LEFT(TH!O4124,2)="15"),LEFT(TH!O4124,3)&lt;&gt;"111",'152-CT'!$J$8=TH!F4124),"x","")</f>
        <v/>
      </c>
      <c r="AC5479" s="75" t="str">
        <f>IF(AND(OR(LEFT(TH!N4124,2)="15",LEFT(TH!O4124,2)="15"),TK!$E$7=TH!F4124),"x","")</f>
        <v/>
      </c>
      <c r="AD5479" s="75" t="str">
        <f>IF(AND(N5479="1521",MONTH(C5479)='BK-NL'!$M$11),"x","")</f>
        <v/>
      </c>
      <c r="AE5479">
        <v>11</v>
      </c>
    </row>
    <row r="5480" spans="1:31" ht="16.5" customHeight="1">
      <c r="A5480" s="309" t="str">
        <f>IF(B5480&lt;&gt;"",IF(AND(B5480='IN-TC'!$S$4,OR(TH!N5465="1111",TH!O5465="1111")),TH!D5465,""),"")</f>
        <v/>
      </c>
      <c r="B5480" s="1245">
        <f t="shared" si="1356"/>
        <v>11</v>
      </c>
      <c r="C5480" s="292">
        <f t="shared" si="1355"/>
        <v>43069</v>
      </c>
      <c r="D5480" s="59"/>
      <c r="E5480" s="59">
        <v>43069</v>
      </c>
      <c r="F5480" s="62" t="s">
        <v>1246</v>
      </c>
      <c r="G5480" s="742" t="s">
        <v>2728</v>
      </c>
      <c r="H5480" s="67" t="s">
        <v>880</v>
      </c>
      <c r="I5480" s="375"/>
      <c r="J5480" s="382"/>
      <c r="K5480" s="375"/>
      <c r="L5480" s="381"/>
      <c r="M5480" s="60">
        <v>86000</v>
      </c>
      <c r="N5480" s="61" t="s">
        <v>9</v>
      </c>
      <c r="O5480" s="61" t="s">
        <v>63</v>
      </c>
      <c r="P5480" s="75" t="str">
        <f>IF(AND('331-CT'!$E$7=TH!H4125,OR(N5480="331",O5480="331")),"x","")</f>
        <v/>
      </c>
      <c r="Q5480" s="75" t="str">
        <f>IF(AND(B5480='111'!$L$11,OR($N5480=$Q$7,$O5480=$Q$7)),"x","")</f>
        <v/>
      </c>
      <c r="R5480" s="75" t="str">
        <f>IF(AND($N5480=$Q$7,$B5480&lt;'111'!$L$11),"x","")</f>
        <v/>
      </c>
      <c r="S5480" s="75" t="str">
        <f>IF(AND($O5480=$Q$7,$B5480&lt;'111'!$L$11),"x","")</f>
        <v>x</v>
      </c>
      <c r="T5480" s="75" t="str">
        <f>IF(ISERROR(FIND('112'!$M$9,G5480,1)),"",IF((AND(FIND('112'!$M$9,G5480,1)&gt;=1,B5480='112'!$K$9,OR($N5480='112'!$I$6,$O5480='112'!$I$6))),"x",""))</f>
        <v/>
      </c>
      <c r="U5480" s="75" t="str">
        <f>IF(ISERROR(FIND('112'!$M$9,G5480,1)),"",IF((AND(LEFT(G5480,2)=LEFT('112'!$M$9,2),B5480&lt;'112'!$K$9,$N5480='112'!$I$6)),"x",""))</f>
        <v/>
      </c>
      <c r="V5480" s="75" t="str">
        <f>IF(ISERROR(FIND('112'!$M$9,G5480,1)),"",IF((AND(RIGHT(G5480,2)=RIGHT('112'!$M$9,2),B5480&lt;'112'!$K$9,$O5480='112'!$I$6)),"x",""))</f>
        <v/>
      </c>
      <c r="W5480" s="75" t="str">
        <f>IF(AND('341-CT'!$H$9=H5480,OR(LEFT(N5480,3)=$W$7,LEFT(O5480,3)=$W$7)),"x","")</f>
        <v/>
      </c>
      <c r="X5480" s="75" t="str">
        <f>IF(OR(TH!N4125=TH!$X$7,O5480=TH!$X$7),"x","")</f>
        <v/>
      </c>
      <c r="Y5480" s="75" t="str">
        <f>IF(AND(OR(N5480="131",O5480="131"),H5480='131-CT'!$H$9),"x","")</f>
        <v/>
      </c>
      <c r="Z5480" s="75"/>
      <c r="AA5480" s="75" t="str">
        <f>IF(AND(MONTH(E5480)='IN-NX'!$J$5,'IN-NX'!$D$7=D5480),"x","")</f>
        <v/>
      </c>
      <c r="AB5480" s="75" t="str">
        <f>IF(AND(OR(LEFT(TH!N4125,2)="15",LEFT(TH!O4125,2)="15"),LEFT(TH!O4125,3)&lt;&gt;"111",'152-CT'!$J$8=TH!F4125),"x","")</f>
        <v/>
      </c>
      <c r="AC5480" s="75" t="str">
        <f>IF(AND(OR(LEFT(TH!N4125,2)="15",LEFT(TH!O4125,2)="15"),TK!$E$7=TH!F4125),"x","")</f>
        <v/>
      </c>
      <c r="AD5480" s="75" t="str">
        <f>IF(AND(N5480="1521",MONTH(C5480)='BK-NL'!$M$11),"x","")</f>
        <v/>
      </c>
      <c r="AE5480">
        <v>11</v>
      </c>
    </row>
    <row r="5481" spans="1:31" ht="16.5" customHeight="1">
      <c r="A5481" s="309" t="str">
        <f>IF(B5481&lt;&gt;"",IF(AND(B5481='IN-TC'!$S$4,OR(TH!N5466="1111",TH!O5466="1111")),TH!D5466,""),"")</f>
        <v/>
      </c>
      <c r="B5481" s="1245">
        <f t="shared" si="1356"/>
        <v>11</v>
      </c>
      <c r="C5481" s="292">
        <f t="shared" si="1355"/>
        <v>43069</v>
      </c>
      <c r="D5481" s="59"/>
      <c r="E5481" s="59">
        <v>43069</v>
      </c>
      <c r="F5481" s="62" t="s">
        <v>2831</v>
      </c>
      <c r="G5481" s="742" t="s">
        <v>2661</v>
      </c>
      <c r="H5481" s="67" t="s">
        <v>974</v>
      </c>
      <c r="I5481" s="375"/>
      <c r="J5481" s="382"/>
      <c r="K5481" s="375"/>
      <c r="L5481" s="381"/>
      <c r="M5481" s="60">
        <v>11500000</v>
      </c>
      <c r="N5481" s="61" t="s">
        <v>101</v>
      </c>
      <c r="O5481" s="61" t="s">
        <v>63</v>
      </c>
      <c r="P5481" s="75" t="str">
        <f>IF(AND('331-CT'!$E$7=TH!H4126,OR(N5481="331",O5481="331")),"x","")</f>
        <v/>
      </c>
      <c r="Q5481" s="75" t="str">
        <f>IF(AND(B5481='111'!$L$11,OR($N5481=$Q$7,$O5481=$Q$7)),"x","")</f>
        <v/>
      </c>
      <c r="R5481" s="75" t="str">
        <f>IF(AND($N5481=$Q$7,$B5481&lt;'111'!$L$11),"x","")</f>
        <v/>
      </c>
      <c r="S5481" s="75" t="str">
        <f>IF(AND($O5481=$Q$7,$B5481&lt;'111'!$L$11),"x","")</f>
        <v>x</v>
      </c>
      <c r="T5481" s="75" t="str">
        <f>IF(ISERROR(FIND('112'!$M$9,G5481,1)),"",IF((AND(FIND('112'!$M$9,G5481,1)&gt;=1,B5481='112'!$K$9,OR($N5481='112'!$I$6,$O5481='112'!$I$6))),"x",""))</f>
        <v/>
      </c>
      <c r="U5481" s="75" t="str">
        <f>IF(ISERROR(FIND('112'!$M$9,G5481,1)),"",IF((AND(LEFT(G5481,2)=LEFT('112'!$M$9,2),B5481&lt;'112'!$K$9,$N5481='112'!$I$6)),"x",""))</f>
        <v/>
      </c>
      <c r="V5481" s="75" t="str">
        <f>IF(ISERROR(FIND('112'!$M$9,G5481,1)),"",IF((AND(RIGHT(G5481,2)=RIGHT('112'!$M$9,2),B5481&lt;'112'!$K$9,$O5481='112'!$I$6)),"x",""))</f>
        <v/>
      </c>
      <c r="W5481" s="75" t="str">
        <f>IF(AND('341-CT'!$H$9=H5481,OR(LEFT(N5481,3)=$W$7,LEFT(O5481,3)=$W$7)),"x","")</f>
        <v/>
      </c>
      <c r="X5481" s="75" t="str">
        <f>IF(OR(TH!N4126=TH!$X$7,O5481=TH!$X$7),"x","")</f>
        <v/>
      </c>
      <c r="Y5481" s="75" t="str">
        <f>IF(AND(OR(N5481="131",O5481="131"),H5481='131-CT'!$H$9),"x","")</f>
        <v/>
      </c>
      <c r="Z5481" s="75"/>
      <c r="AA5481" s="75" t="str">
        <f>IF(AND(MONTH(E5481)='IN-NX'!$J$5,'IN-NX'!$D$7=D5481),"x","")</f>
        <v/>
      </c>
      <c r="AB5481" s="75" t="str">
        <f>IF(AND(OR(LEFT(TH!N4126,2)="15",LEFT(TH!O4126,2)="15"),LEFT(TH!O4126,3)&lt;&gt;"111",'152-CT'!$J$8=TH!F4126),"x","")</f>
        <v/>
      </c>
      <c r="AC5481" s="75" t="str">
        <f>IF(AND(OR(LEFT(TH!N4126,2)="15",LEFT(TH!O4126,2)="15"),TK!$E$7=TH!F4126),"x","")</f>
        <v/>
      </c>
      <c r="AD5481" s="75" t="str">
        <f>IF(AND(N5481="1521",MONTH(C5481)='BK-NL'!$M$11),"x","")</f>
        <v/>
      </c>
      <c r="AE5481">
        <v>11</v>
      </c>
    </row>
    <row r="5482" spans="1:31" ht="16.5" customHeight="1">
      <c r="A5482" s="309" t="str">
        <f>IF(B5482&lt;&gt;"",IF(AND(B5482='IN-TC'!$S$4,OR(TH!N5467="1111",TH!O5467="1111")),TH!D5467,""),"")</f>
        <v/>
      </c>
      <c r="B5482" s="1245">
        <f t="shared" si="1356"/>
        <v>11</v>
      </c>
      <c r="C5482" s="292">
        <f t="shared" si="1355"/>
        <v>43069</v>
      </c>
      <c r="D5482" s="59"/>
      <c r="E5482" s="59">
        <v>43069</v>
      </c>
      <c r="F5482" s="62" t="s">
        <v>2832</v>
      </c>
      <c r="G5482" s="742" t="s">
        <v>2661</v>
      </c>
      <c r="H5482" s="67" t="s">
        <v>974</v>
      </c>
      <c r="I5482" s="375"/>
      <c r="J5482" s="382"/>
      <c r="K5482" s="375"/>
      <c r="L5482" s="381"/>
      <c r="M5482" s="60">
        <v>1150000</v>
      </c>
      <c r="N5482" s="61" t="s">
        <v>9</v>
      </c>
      <c r="O5482" s="61" t="s">
        <v>63</v>
      </c>
      <c r="P5482" s="75" t="str">
        <f>IF(AND('331-CT'!$E$7=TH!H4127,OR(N5482="331",O5482="331")),"x","")</f>
        <v/>
      </c>
      <c r="Q5482" s="75" t="str">
        <f>IF(AND(B5482='111'!$L$11,OR($N5482=$Q$7,$O5482=$Q$7)),"x","")</f>
        <v/>
      </c>
      <c r="R5482" s="75" t="str">
        <f>IF(AND($N5482=$Q$7,$B5482&lt;'111'!$L$11),"x","")</f>
        <v/>
      </c>
      <c r="S5482" s="75" t="str">
        <f>IF(AND($O5482=$Q$7,$B5482&lt;'111'!$L$11),"x","")</f>
        <v>x</v>
      </c>
      <c r="T5482" s="75" t="str">
        <f>IF(ISERROR(FIND('112'!$M$9,G5482,1)),"",IF((AND(FIND('112'!$M$9,G5482,1)&gt;=1,B5482='112'!$K$9,OR($N5482='112'!$I$6,$O5482='112'!$I$6))),"x",""))</f>
        <v/>
      </c>
      <c r="U5482" s="75" t="str">
        <f>IF(ISERROR(FIND('112'!$M$9,G5482,1)),"",IF((AND(LEFT(G5482,2)=LEFT('112'!$M$9,2),B5482&lt;'112'!$K$9,$N5482='112'!$I$6)),"x",""))</f>
        <v/>
      </c>
      <c r="V5482" s="75" t="str">
        <f>IF(ISERROR(FIND('112'!$M$9,G5482,1)),"",IF((AND(RIGHT(G5482,2)=RIGHT('112'!$M$9,2),B5482&lt;'112'!$K$9,$O5482='112'!$I$6)),"x",""))</f>
        <v/>
      </c>
      <c r="W5482" s="75" t="str">
        <f>IF(AND('341-CT'!$H$9=H5482,OR(LEFT(N5482,3)=$W$7,LEFT(O5482,3)=$W$7)),"x","")</f>
        <v/>
      </c>
      <c r="X5482" s="75" t="str">
        <f>IF(OR(TH!N4127=TH!$X$7,O5482=TH!$X$7),"x","")</f>
        <v/>
      </c>
      <c r="Y5482" s="75" t="str">
        <f>IF(AND(OR(N5482="131",O5482="131"),H5482='131-CT'!$H$9),"x","")</f>
        <v/>
      </c>
      <c r="Z5482" s="75"/>
      <c r="AA5482" s="75" t="str">
        <f>IF(AND(MONTH(E5482)='IN-NX'!$J$5,'IN-NX'!$D$7=D5482),"x","")</f>
        <v/>
      </c>
      <c r="AB5482" s="75" t="str">
        <f>IF(AND(OR(LEFT(TH!N4127,2)="15",LEFT(TH!O4127,2)="15"),LEFT(TH!O4127,3)&lt;&gt;"111",'152-CT'!$J$8=TH!F4127),"x","")</f>
        <v/>
      </c>
      <c r="AC5482" s="75" t="str">
        <f>IF(AND(OR(LEFT(TH!N4127,2)="15",LEFT(TH!O4127,2)="15"),TK!$E$7=TH!F4127),"x","")</f>
        <v/>
      </c>
      <c r="AD5482" s="75" t="str">
        <f>IF(AND(N5482="1521",MONTH(C5482)='BK-NL'!$M$11),"x","")</f>
        <v/>
      </c>
      <c r="AE5482">
        <v>11</v>
      </c>
    </row>
    <row r="5483" spans="1:31" ht="16.5" customHeight="1">
      <c r="A5483" s="309" t="str">
        <f>IF(B5483&lt;&gt;"",IF(AND(B5483='IN-TC'!$S$4,OR(TH!N5468="1111",TH!O5468="1111")),TH!D5468,""),"")</f>
        <v/>
      </c>
      <c r="B5483" s="1245">
        <f t="shared" si="1356"/>
        <v>11</v>
      </c>
      <c r="C5483" s="292">
        <f t="shared" si="1355"/>
        <v>43069</v>
      </c>
      <c r="D5483" s="59"/>
      <c r="E5483" s="59">
        <v>43069</v>
      </c>
      <c r="F5483" s="62" t="s">
        <v>2752</v>
      </c>
      <c r="G5483" s="742" t="s">
        <v>2754</v>
      </c>
      <c r="H5483" s="67" t="s">
        <v>1032</v>
      </c>
      <c r="I5483" s="375"/>
      <c r="J5483" s="382"/>
      <c r="K5483" s="375"/>
      <c r="L5483" s="381"/>
      <c r="M5483" s="60">
        <v>195960</v>
      </c>
      <c r="N5483" s="61" t="s">
        <v>101</v>
      </c>
      <c r="O5483" s="61" t="s">
        <v>63</v>
      </c>
      <c r="P5483" s="75" t="str">
        <f>IF(AND('331-CT'!$E$7=TH!H4128,OR(N5483="331",O5483="331")),"x","")</f>
        <v/>
      </c>
      <c r="Q5483" s="75" t="str">
        <f>IF(AND(B5483='111'!$L$11,OR($N5483=$Q$7,$O5483=$Q$7)),"x","")</f>
        <v/>
      </c>
      <c r="R5483" s="75" t="str">
        <f>IF(AND($N5483=$Q$7,$B5483&lt;'111'!$L$11),"x","")</f>
        <v/>
      </c>
      <c r="S5483" s="75" t="str">
        <f>IF(AND($O5483=$Q$7,$B5483&lt;'111'!$L$11),"x","")</f>
        <v>x</v>
      </c>
      <c r="T5483" s="75" t="str">
        <f>IF(ISERROR(FIND('112'!$M$9,G5483,1)),"",IF((AND(FIND('112'!$M$9,G5483,1)&gt;=1,B5483='112'!$K$9,OR($N5483='112'!$I$6,$O5483='112'!$I$6))),"x",""))</f>
        <v/>
      </c>
      <c r="U5483" s="75" t="str">
        <f>IF(ISERROR(FIND('112'!$M$9,G5483,1)),"",IF((AND(LEFT(G5483,2)=LEFT('112'!$M$9,2),B5483&lt;'112'!$K$9,$N5483='112'!$I$6)),"x",""))</f>
        <v/>
      </c>
      <c r="V5483" s="75" t="str">
        <f>IF(ISERROR(FIND('112'!$M$9,G5483,1)),"",IF((AND(RIGHT(G5483,2)=RIGHT('112'!$M$9,2),B5483&lt;'112'!$K$9,$O5483='112'!$I$6)),"x",""))</f>
        <v/>
      </c>
      <c r="W5483" s="75" t="str">
        <f>IF(AND('341-CT'!$H$9=H5483,OR(LEFT(N5483,3)=$W$7,LEFT(O5483,3)=$W$7)),"x","")</f>
        <v/>
      </c>
      <c r="X5483" s="75" t="str">
        <f>IF(OR(TH!N4128=TH!$X$7,O5483=TH!$X$7),"x","")</f>
        <v/>
      </c>
      <c r="Y5483" s="75" t="str">
        <f>IF(AND(OR(N5483="131",O5483="131"),H5483='131-CT'!$H$9),"x","")</f>
        <v/>
      </c>
      <c r="Z5483" s="75"/>
      <c r="AA5483" s="75" t="str">
        <f>IF(AND(MONTH(E5483)='IN-NX'!$J$5,'IN-NX'!$D$7=D5483),"x","")</f>
        <v/>
      </c>
      <c r="AB5483" s="75" t="str">
        <f>IF(AND(OR(LEFT(TH!N4128,2)="15",LEFT(TH!O4128,2)="15"),LEFT(TH!O4128,3)&lt;&gt;"111",'152-CT'!$J$8=TH!F4128),"x","")</f>
        <v/>
      </c>
      <c r="AC5483" s="75" t="str">
        <f>IF(AND(OR(LEFT(TH!N4128,2)="15",LEFT(TH!O4128,2)="15"),TK!$E$7=TH!F4128),"x","")</f>
        <v/>
      </c>
      <c r="AD5483" s="75" t="str">
        <f>IF(AND(N5483="1521",MONTH(C5483)='BK-NL'!$M$11),"x","")</f>
        <v/>
      </c>
      <c r="AE5483">
        <v>11</v>
      </c>
    </row>
    <row r="5484" spans="1:31" ht="16.5" customHeight="1">
      <c r="A5484" s="309" t="str">
        <f>IF(B5484&lt;&gt;"",IF(AND(B5484='IN-TC'!$S$4,OR(TH!N5469="1111",TH!O5469="1111")),TH!D5469,""),"")</f>
        <v/>
      </c>
      <c r="B5484" s="1245">
        <f t="shared" si="1356"/>
        <v>11</v>
      </c>
      <c r="C5484" s="292">
        <f t="shared" si="1355"/>
        <v>43069</v>
      </c>
      <c r="D5484" s="59"/>
      <c r="E5484" s="59">
        <v>43069</v>
      </c>
      <c r="F5484" s="62" t="s">
        <v>2753</v>
      </c>
      <c r="G5484" s="742" t="s">
        <v>2754</v>
      </c>
      <c r="H5484" s="67" t="s">
        <v>1032</v>
      </c>
      <c r="I5484" s="375"/>
      <c r="J5484" s="382"/>
      <c r="K5484" s="375"/>
      <c r="L5484" s="381"/>
      <c r="M5484" s="60">
        <v>19596</v>
      </c>
      <c r="N5484" s="61" t="s">
        <v>9</v>
      </c>
      <c r="O5484" s="61" t="s">
        <v>63</v>
      </c>
      <c r="P5484" s="75" t="str">
        <f>IF(AND('331-CT'!$E$7=TH!H4129,OR(N5484="331",O5484="331")),"x","")</f>
        <v/>
      </c>
      <c r="Q5484" s="75" t="str">
        <f>IF(AND(B5484='111'!$L$11,OR($N5484=$Q$7,$O5484=$Q$7)),"x","")</f>
        <v/>
      </c>
      <c r="R5484" s="75" t="str">
        <f>IF(AND($N5484=$Q$7,$B5484&lt;'111'!$L$11),"x","")</f>
        <v/>
      </c>
      <c r="S5484" s="75" t="str">
        <f>IF(AND($O5484=$Q$7,$B5484&lt;'111'!$L$11),"x","")</f>
        <v>x</v>
      </c>
      <c r="T5484" s="75" t="str">
        <f>IF(ISERROR(FIND('112'!$M$9,G5484,1)),"",IF((AND(FIND('112'!$M$9,G5484,1)&gt;=1,B5484='112'!$K$9,OR($N5484='112'!$I$6,$O5484='112'!$I$6))),"x",""))</f>
        <v/>
      </c>
      <c r="U5484" s="75" t="str">
        <f>IF(ISERROR(FIND('112'!$M$9,G5484,1)),"",IF((AND(LEFT(G5484,2)=LEFT('112'!$M$9,2),B5484&lt;'112'!$K$9,$N5484='112'!$I$6)),"x",""))</f>
        <v/>
      </c>
      <c r="V5484" s="75" t="str">
        <f>IF(ISERROR(FIND('112'!$M$9,G5484,1)),"",IF((AND(RIGHT(G5484,2)=RIGHT('112'!$M$9,2),B5484&lt;'112'!$K$9,$O5484='112'!$I$6)),"x",""))</f>
        <v/>
      </c>
      <c r="W5484" s="75" t="str">
        <f>IF(AND('341-CT'!$H$9=H5484,OR(LEFT(N5484,3)=$W$7,LEFT(O5484,3)=$W$7)),"x","")</f>
        <v/>
      </c>
      <c r="X5484" s="75" t="str">
        <f>IF(OR(TH!N4129=TH!$X$7,O5484=TH!$X$7),"x","")</f>
        <v/>
      </c>
      <c r="Y5484" s="75" t="str">
        <f>IF(AND(OR(N5484="131",O5484="131"),H5484='131-CT'!$H$9),"x","")</f>
        <v/>
      </c>
      <c r="Z5484" s="75"/>
      <c r="AA5484" s="75" t="str">
        <f>IF(AND(MONTH(E5484)='IN-NX'!$J$5,'IN-NX'!$D$7=D5484),"x","")</f>
        <v/>
      </c>
      <c r="AB5484" s="75" t="str">
        <f>IF(AND(OR(LEFT(TH!N4129,2)="15",LEFT(TH!O4129,2)="15"),LEFT(TH!O4129,3)&lt;&gt;"111",'152-CT'!$J$8=TH!F4129),"x","")</f>
        <v/>
      </c>
      <c r="AC5484" s="75" t="str">
        <f>IF(AND(OR(LEFT(TH!N4129,2)="15",LEFT(TH!O4129,2)="15"),TK!$E$7=TH!F4129),"x","")</f>
        <v/>
      </c>
      <c r="AD5484" s="75" t="str">
        <f>IF(AND(N5484="1521",MONTH(C5484)='BK-NL'!$M$11),"x","")</f>
        <v/>
      </c>
      <c r="AE5484">
        <v>11</v>
      </c>
    </row>
    <row r="5485" spans="1:31" ht="16.5" customHeight="1">
      <c r="A5485" s="309" t="str">
        <f>IF(B5485&lt;&gt;"",IF(AND(B5485='IN-TC'!$S$4,OR(TH!N5470="1111",TH!O5470="1111")),TH!D5470,""),"")</f>
        <v/>
      </c>
      <c r="B5485" s="1245">
        <f t="shared" si="1356"/>
        <v>11</v>
      </c>
      <c r="C5485" s="292">
        <f t="shared" si="1355"/>
        <v>43069</v>
      </c>
      <c r="D5485" s="59"/>
      <c r="E5485" s="59">
        <v>43069</v>
      </c>
      <c r="F5485" s="67" t="s">
        <v>2698</v>
      </c>
      <c r="G5485" s="925" t="s">
        <v>2896</v>
      </c>
      <c r="H5485" s="294" t="s">
        <v>948</v>
      </c>
      <c r="I5485" s="373"/>
      <c r="J5485" s="926"/>
      <c r="K5485" s="373"/>
      <c r="L5485" s="379"/>
      <c r="M5485" s="927">
        <v>7281818</v>
      </c>
      <c r="N5485" s="295" t="s">
        <v>539</v>
      </c>
      <c r="O5485" s="295" t="s">
        <v>63</v>
      </c>
      <c r="P5485" s="75" t="str">
        <f>IF(AND('331-CT'!$E$7=TH!H4130,OR(N5485="331",O5485="331")),"x","")</f>
        <v/>
      </c>
      <c r="Q5485" s="75" t="str">
        <f>IF(AND(B5485='111'!$L$11,OR($N5485=$Q$7,$O5485=$Q$7)),"x","")</f>
        <v/>
      </c>
      <c r="R5485" s="75" t="str">
        <f>IF(AND($N5485=$Q$7,$B5485&lt;'111'!$L$11),"x","")</f>
        <v/>
      </c>
      <c r="S5485" s="75" t="str">
        <f>IF(AND($O5485=$Q$7,$B5485&lt;'111'!$L$11),"x","")</f>
        <v>x</v>
      </c>
      <c r="T5485" s="75" t="str">
        <f>IF(ISERROR(FIND('112'!$M$9,G5485,1)),"",IF((AND(FIND('112'!$M$9,G5485,1)&gt;=1,B5485='112'!$K$9,OR($N5485='112'!$I$6,$O5485='112'!$I$6))),"x",""))</f>
        <v/>
      </c>
      <c r="U5485" s="75" t="str">
        <f>IF(ISERROR(FIND('112'!$M$9,G5485,1)),"",IF((AND(LEFT(G5485,2)=LEFT('112'!$M$9,2),B5485&lt;'112'!$K$9,$N5485='112'!$I$6)),"x",""))</f>
        <v/>
      </c>
      <c r="V5485" s="75" t="str">
        <f>IF(ISERROR(FIND('112'!$M$9,G5485,1)),"",IF((AND(RIGHT(G5485,2)=RIGHT('112'!$M$9,2),B5485&lt;'112'!$K$9,$O5485='112'!$I$6)),"x",""))</f>
        <v/>
      </c>
      <c r="W5485" s="75" t="str">
        <f>IF(AND('341-CT'!$H$9=H5485,OR(LEFT(N5485,3)=$W$7,LEFT(O5485,3)=$W$7)),"x","")</f>
        <v/>
      </c>
      <c r="X5485" s="75" t="str">
        <f>IF(OR(TH!N4130=TH!$X$7,O5485=TH!$X$7),"x","")</f>
        <v/>
      </c>
      <c r="Y5485" s="75" t="str">
        <f>IF(AND(OR(N5485="131",O5485="131"),H5485='131-CT'!$H$9),"x","")</f>
        <v/>
      </c>
      <c r="Z5485" s="75"/>
      <c r="AA5485" s="75" t="str">
        <f>IF(AND(MONTH(E5485)='IN-NX'!$J$5,'IN-NX'!$D$7=D5485),"x","")</f>
        <v/>
      </c>
      <c r="AB5485" s="75" t="str">
        <f>IF(AND(OR(LEFT(TH!N4130,2)="15",LEFT(TH!O4130,2)="15"),LEFT(TH!O4130,3)&lt;&gt;"111",'152-CT'!$J$8=TH!F4130),"x","")</f>
        <v/>
      </c>
      <c r="AC5485" s="75" t="str">
        <f>IF(AND(OR(LEFT(TH!N4130,2)="15",LEFT(TH!O4130,2)="15"),TK!$E$7=TH!F4130),"x","")</f>
        <v/>
      </c>
      <c r="AD5485" s="75" t="str">
        <f>IF(AND(N5485="1521",MONTH(C5485)='BK-NL'!$M$11),"x","")</f>
        <v/>
      </c>
      <c r="AE5485" t="s">
        <v>2969</v>
      </c>
    </row>
    <row r="5486" spans="1:31" ht="16.5" customHeight="1">
      <c r="A5486" s="309" t="str">
        <f>IF(B5486&lt;&gt;"",IF(AND(B5486='IN-TC'!$S$4,OR(TH!N5471="1111",TH!O5471="1111")),TH!D5471,""),"")</f>
        <v/>
      </c>
      <c r="B5486" s="1245">
        <f t="shared" si="1356"/>
        <v>11</v>
      </c>
      <c r="C5486" s="292">
        <f t="shared" si="1355"/>
        <v>43069</v>
      </c>
      <c r="D5486" s="59"/>
      <c r="E5486" s="59">
        <v>43069</v>
      </c>
      <c r="F5486" s="67" t="s">
        <v>2699</v>
      </c>
      <c r="G5486" s="925" t="s">
        <v>2896</v>
      </c>
      <c r="H5486" s="294" t="s">
        <v>948</v>
      </c>
      <c r="I5486" s="373"/>
      <c r="J5486" s="926"/>
      <c r="K5486" s="373"/>
      <c r="L5486" s="379"/>
      <c r="M5486" s="927">
        <v>728182</v>
      </c>
      <c r="N5486" s="295" t="s">
        <v>9</v>
      </c>
      <c r="O5486" s="295" t="s">
        <v>63</v>
      </c>
      <c r="P5486" s="75" t="str">
        <f>IF(AND('331-CT'!$E$7=TH!H4131,OR(N5486="331",O5486="331")),"x","")</f>
        <v/>
      </c>
      <c r="Q5486" s="75" t="str">
        <f>IF(AND(B5486='111'!$L$11,OR($N5486=$Q$7,$O5486=$Q$7)),"x","")</f>
        <v/>
      </c>
      <c r="R5486" s="75" t="str">
        <f>IF(AND($N5486=$Q$7,$B5486&lt;'111'!$L$11),"x","")</f>
        <v/>
      </c>
      <c r="S5486" s="75" t="str">
        <f>IF(AND($O5486=$Q$7,$B5486&lt;'111'!$L$11),"x","")</f>
        <v>x</v>
      </c>
      <c r="T5486" s="75" t="str">
        <f>IF(ISERROR(FIND('112'!$M$9,G5486,1)),"",IF((AND(FIND('112'!$M$9,G5486,1)&gt;=1,B5486='112'!$K$9,OR($N5486='112'!$I$6,$O5486='112'!$I$6))),"x",""))</f>
        <v/>
      </c>
      <c r="U5486" s="75" t="str">
        <f>IF(ISERROR(FIND('112'!$M$9,G5486,1)),"",IF((AND(LEFT(G5486,2)=LEFT('112'!$M$9,2),B5486&lt;'112'!$K$9,$N5486='112'!$I$6)),"x",""))</f>
        <v/>
      </c>
      <c r="V5486" s="75" t="str">
        <f>IF(ISERROR(FIND('112'!$M$9,G5486,1)),"",IF((AND(RIGHT(G5486,2)=RIGHT('112'!$M$9,2),B5486&lt;'112'!$K$9,$O5486='112'!$I$6)),"x",""))</f>
        <v/>
      </c>
      <c r="W5486" s="75" t="str">
        <f>IF(AND('341-CT'!$H$9=H5486,OR(LEFT(N5486,3)=$W$7,LEFT(O5486,3)=$W$7)),"x","")</f>
        <v/>
      </c>
      <c r="X5486" s="75" t="str">
        <f>IF(OR(TH!N4131=TH!$X$7,O5486=TH!$X$7),"x","")</f>
        <v/>
      </c>
      <c r="Y5486" s="75" t="str">
        <f>IF(AND(OR(N5486="131",O5486="131"),H5486='131-CT'!$H$9),"x","")</f>
        <v/>
      </c>
      <c r="Z5486" s="75"/>
      <c r="AA5486" s="75" t="str">
        <f>IF(AND(MONTH(E5486)='IN-NX'!$J$5,'IN-NX'!$D$7=D5486),"x","")</f>
        <v/>
      </c>
      <c r="AB5486" s="75" t="str">
        <f>IF(AND(OR(LEFT(TH!N4131,2)="15",LEFT(TH!O4131,2)="15"),LEFT(TH!O4131,3)&lt;&gt;"111",'152-CT'!$J$8=TH!F4131),"x","")</f>
        <v/>
      </c>
      <c r="AC5486" s="75" t="str">
        <f>IF(AND(OR(LEFT(TH!N4131,2)="15",LEFT(TH!O4131,2)="15"),TK!$E$7=TH!F4131),"x","")</f>
        <v/>
      </c>
      <c r="AD5486" s="75" t="str">
        <f>IF(AND(N5486="1521",MONTH(C5486)='BK-NL'!$M$11),"x","")</f>
        <v/>
      </c>
      <c r="AE5486" t="s">
        <v>2969</v>
      </c>
    </row>
    <row r="5487" spans="1:31" ht="16.5" customHeight="1">
      <c r="A5487" s="309" t="str">
        <f>IF(B5487&lt;&gt;"",IF(AND(B5487='IN-TC'!$S$4,OR(TH!N5472="1111",TH!O5472="1111")),TH!D5472,""),"")</f>
        <v/>
      </c>
      <c r="B5487" s="1245">
        <f t="shared" si="1356"/>
        <v>11</v>
      </c>
      <c r="C5487" s="292">
        <f t="shared" si="1355"/>
        <v>43069</v>
      </c>
      <c r="D5487" s="59"/>
      <c r="E5487" s="59">
        <v>43069</v>
      </c>
      <c r="F5487" s="62" t="s">
        <v>2557</v>
      </c>
      <c r="G5487" s="742"/>
      <c r="H5487" s="67" t="s">
        <v>978</v>
      </c>
      <c r="I5487" s="375"/>
      <c r="J5487" s="382"/>
      <c r="K5487" s="375"/>
      <c r="L5487" s="381"/>
      <c r="M5487" s="60">
        <v>1668182</v>
      </c>
      <c r="N5487" s="61" t="s">
        <v>101</v>
      </c>
      <c r="O5487" s="61" t="s">
        <v>63</v>
      </c>
      <c r="P5487" s="75" t="str">
        <f>IF(AND('331-CT'!$E$7=TH!H4132,OR(N5487="331",O5487="331")),"x","")</f>
        <v/>
      </c>
      <c r="Q5487" s="75" t="str">
        <f>IF(AND(B5487='111'!$L$11,OR($N5487=$Q$7,$O5487=$Q$7)),"x","")</f>
        <v/>
      </c>
      <c r="R5487" s="75" t="str">
        <f>IF(AND($N5487=$Q$7,$B5487&lt;'111'!$L$11),"x","")</f>
        <v/>
      </c>
      <c r="S5487" s="75" t="str">
        <f>IF(AND($O5487=$Q$7,$B5487&lt;'111'!$L$11),"x","")</f>
        <v>x</v>
      </c>
      <c r="T5487" s="75" t="str">
        <f>IF(ISERROR(FIND('112'!$M$9,G5487,1)),"",IF((AND(FIND('112'!$M$9,G5487,1)&gt;=1,B5487='112'!$K$9,OR($N5487='112'!$I$6,$O5487='112'!$I$6))),"x",""))</f>
        <v/>
      </c>
      <c r="U5487" s="75" t="str">
        <f>IF(ISERROR(FIND('112'!$M$9,G5487,1)),"",IF((AND(LEFT(G5487,2)=LEFT('112'!$M$9,2),B5487&lt;'112'!$K$9,$N5487='112'!$I$6)),"x",""))</f>
        <v/>
      </c>
      <c r="V5487" s="75" t="str">
        <f>IF(ISERROR(FIND('112'!$M$9,G5487,1)),"",IF((AND(RIGHT(G5487,2)=RIGHT('112'!$M$9,2),B5487&lt;'112'!$K$9,$O5487='112'!$I$6)),"x",""))</f>
        <v/>
      </c>
      <c r="W5487" s="75" t="str">
        <f>IF(AND('341-CT'!$H$9=H5487,OR(LEFT(N5487,3)=$W$7,LEFT(O5487,3)=$W$7)),"x","")</f>
        <v/>
      </c>
      <c r="X5487" s="75" t="str">
        <f>IF(OR(TH!N4132=TH!$X$7,O5487=TH!$X$7),"x","")</f>
        <v/>
      </c>
      <c r="Y5487" s="75" t="str">
        <f>IF(AND(OR(N5487="131",O5487="131"),H5487='131-CT'!$H$9),"x","")</f>
        <v/>
      </c>
      <c r="Z5487" s="75"/>
      <c r="AA5487" s="75" t="str">
        <f>IF(AND(MONTH(E5487)='IN-NX'!$J$5,'IN-NX'!$D$7=D5487),"x","")</f>
        <v/>
      </c>
      <c r="AB5487" s="75" t="str">
        <f>IF(AND(OR(LEFT(TH!N4132,2)="15",LEFT(TH!O4132,2)="15"),LEFT(TH!O4132,3)&lt;&gt;"111",'152-CT'!$J$8=TH!F4132),"x","")</f>
        <v/>
      </c>
      <c r="AC5487" s="75" t="str">
        <f>IF(AND(OR(LEFT(TH!N4132,2)="15",LEFT(TH!O4132,2)="15"),TK!$E$7=TH!F4132),"x","")</f>
        <v/>
      </c>
      <c r="AD5487" s="75" t="str">
        <f>IF(AND(N5487="1521",MONTH(C5487)='BK-NL'!$M$11),"x","")</f>
        <v/>
      </c>
      <c r="AE5487">
        <v>11</v>
      </c>
    </row>
    <row r="5488" spans="1:31" ht="16.5" customHeight="1">
      <c r="A5488" s="309" t="str">
        <f>IF(B5488&lt;&gt;"",IF(AND(B5488='IN-TC'!$S$4,OR(TH!N5473="1111",TH!O5473="1111")),TH!D5473,""),"")</f>
        <v/>
      </c>
      <c r="B5488" s="1245">
        <f t="shared" si="1356"/>
        <v>11</v>
      </c>
      <c r="C5488" s="292">
        <f t="shared" si="1355"/>
        <v>43069</v>
      </c>
      <c r="D5488" s="59"/>
      <c r="E5488" s="59">
        <v>43069</v>
      </c>
      <c r="F5488" s="62" t="s">
        <v>2558</v>
      </c>
      <c r="G5488" s="742"/>
      <c r="H5488" s="67" t="s">
        <v>978</v>
      </c>
      <c r="I5488" s="375"/>
      <c r="J5488" s="382"/>
      <c r="K5488" s="375"/>
      <c r="L5488" s="381"/>
      <c r="M5488" s="60">
        <v>166818</v>
      </c>
      <c r="N5488" s="61" t="s">
        <v>9</v>
      </c>
      <c r="O5488" s="61" t="s">
        <v>63</v>
      </c>
      <c r="P5488" s="75" t="str">
        <f>IF(AND('331-CT'!$E$7=TH!H4133,OR(N5488="331",O5488="331")),"x","")</f>
        <v/>
      </c>
      <c r="Q5488" s="75" t="str">
        <f>IF(AND(B5488='111'!$L$11,OR($N5488=$Q$7,$O5488=$Q$7)),"x","")</f>
        <v/>
      </c>
      <c r="R5488" s="75" t="str">
        <f>IF(AND($N5488=$Q$7,$B5488&lt;'111'!$L$11),"x","")</f>
        <v/>
      </c>
      <c r="S5488" s="75" t="str">
        <f>IF(AND($O5488=$Q$7,$B5488&lt;'111'!$L$11),"x","")</f>
        <v>x</v>
      </c>
      <c r="T5488" s="75" t="str">
        <f>IF(ISERROR(FIND('112'!$M$9,G5488,1)),"",IF((AND(FIND('112'!$M$9,G5488,1)&gt;=1,B5488='112'!$K$9,OR($N5488='112'!$I$6,$O5488='112'!$I$6))),"x",""))</f>
        <v/>
      </c>
      <c r="U5488" s="75" t="str">
        <f>IF(ISERROR(FIND('112'!$M$9,G5488,1)),"",IF((AND(LEFT(G5488,2)=LEFT('112'!$M$9,2),B5488&lt;'112'!$K$9,$N5488='112'!$I$6)),"x",""))</f>
        <v/>
      </c>
      <c r="V5488" s="75" t="str">
        <f>IF(ISERROR(FIND('112'!$M$9,G5488,1)),"",IF((AND(RIGHT(G5488,2)=RIGHT('112'!$M$9,2),B5488&lt;'112'!$K$9,$O5488='112'!$I$6)),"x",""))</f>
        <v/>
      </c>
      <c r="W5488" s="75" t="str">
        <f>IF(AND('341-CT'!$H$9=H5488,OR(LEFT(N5488,3)=$W$7,LEFT(O5488,3)=$W$7)),"x","")</f>
        <v/>
      </c>
      <c r="X5488" s="75" t="str">
        <f>IF(OR(TH!N4133=TH!$X$7,O5488=TH!$X$7),"x","")</f>
        <v/>
      </c>
      <c r="Y5488" s="75" t="str">
        <f>IF(AND(OR(N5488="131",O5488="131"),H5488='131-CT'!$H$9),"x","")</f>
        <v/>
      </c>
      <c r="Z5488" s="75"/>
      <c r="AA5488" s="75" t="str">
        <f>IF(AND(MONTH(E5488)='IN-NX'!$J$5,'IN-NX'!$D$7=D5488),"x","")</f>
        <v/>
      </c>
      <c r="AB5488" s="75" t="str">
        <f>IF(AND(OR(LEFT(TH!N4133,2)="15",LEFT(TH!O4133,2)="15"),LEFT(TH!O4133,3)&lt;&gt;"111",'152-CT'!$J$8=TH!F4133),"x","")</f>
        <v/>
      </c>
      <c r="AC5488" s="75" t="str">
        <f>IF(AND(OR(LEFT(TH!N4133,2)="15",LEFT(TH!O4133,2)="15"),TK!$E$7=TH!F4133),"x","")</f>
        <v/>
      </c>
      <c r="AD5488" s="75" t="str">
        <f>IF(AND(N5488="1521",MONTH(C5488)='BK-NL'!$M$11),"x","")</f>
        <v/>
      </c>
      <c r="AE5488">
        <v>11</v>
      </c>
    </row>
    <row r="5489" spans="1:33" ht="16.5" customHeight="1">
      <c r="A5489" s="309" t="str">
        <f>IF(B5489&lt;&gt;"",IF(AND(B5489='IN-TC'!$S$4,OR(TH!N5474="1111",TH!O5474="1111")),TH!D5474,""),"")</f>
        <v/>
      </c>
      <c r="B5489" s="1245">
        <f t="shared" si="1356"/>
        <v>11</v>
      </c>
      <c r="C5489" s="292">
        <f t="shared" si="1355"/>
        <v>43069</v>
      </c>
      <c r="D5489" s="59"/>
      <c r="E5489" s="59">
        <v>43069</v>
      </c>
      <c r="F5489" s="62" t="s">
        <v>1745</v>
      </c>
      <c r="G5489" s="742" t="s">
        <v>2479</v>
      </c>
      <c r="H5489" s="67" t="s">
        <v>1450</v>
      </c>
      <c r="I5489" s="375"/>
      <c r="J5489" s="382"/>
      <c r="K5489" s="375"/>
      <c r="L5489" s="381"/>
      <c r="M5489" s="60">
        <v>12297741</v>
      </c>
      <c r="N5489" s="61" t="s">
        <v>8</v>
      </c>
      <c r="O5489" s="61" t="s">
        <v>63</v>
      </c>
      <c r="P5489" s="75" t="str">
        <f>IF(AND('331-CT'!$E$7=TH!H4134,OR(N5489="331",O5489="331")),"x","")</f>
        <v/>
      </c>
      <c r="Q5489" s="75" t="str">
        <f>IF(AND(B5489='111'!$L$11,OR($N5489=$Q$7,$O5489=$Q$7)),"x","")</f>
        <v/>
      </c>
      <c r="R5489" s="75" t="str">
        <f>IF(AND($N5489=$Q$7,$B5489&lt;'111'!$L$11),"x","")</f>
        <v/>
      </c>
      <c r="S5489" s="75" t="str">
        <f>IF(AND($O5489=$Q$7,$B5489&lt;'111'!$L$11),"x","")</f>
        <v>x</v>
      </c>
      <c r="T5489" s="75" t="str">
        <f>IF(ISERROR(FIND('112'!$M$9,G5489,1)),"",IF((AND(FIND('112'!$M$9,G5489,1)&gt;=1,B5489='112'!$K$9,OR($N5489='112'!$I$6,$O5489='112'!$I$6))),"x",""))</f>
        <v/>
      </c>
      <c r="U5489" s="75" t="str">
        <f>IF(ISERROR(FIND('112'!$M$9,G5489,1)),"",IF((AND(LEFT(G5489,2)=LEFT('112'!$M$9,2),B5489&lt;'112'!$K$9,$N5489='112'!$I$6)),"x",""))</f>
        <v/>
      </c>
      <c r="V5489" s="75" t="str">
        <f>IF(ISERROR(FIND('112'!$M$9,G5489,1)),"",IF((AND(RIGHT(G5489,2)=RIGHT('112'!$M$9,2),B5489&lt;'112'!$K$9,$O5489='112'!$I$6)),"x",""))</f>
        <v/>
      </c>
      <c r="W5489" s="75" t="str">
        <f>IF(AND('341-CT'!$H$9=H5489,OR(LEFT(N5489,3)=$W$7,LEFT(O5489,3)=$W$7)),"x","")</f>
        <v/>
      </c>
      <c r="X5489" s="75" t="str">
        <f>IF(OR(TH!N4134=TH!$X$7,O5489=TH!$X$7),"x","")</f>
        <v/>
      </c>
      <c r="Y5489" s="75" t="str">
        <f>IF(AND(OR(N5489="131",O5489="131"),H5489='131-CT'!$H$9),"x","")</f>
        <v/>
      </c>
      <c r="Z5489" s="75"/>
      <c r="AA5489" s="75" t="str">
        <f>IF(AND(MONTH(E5489)='IN-NX'!$J$5,'IN-NX'!$D$7=D5489),"x","")</f>
        <v/>
      </c>
      <c r="AB5489" s="75" t="str">
        <f>IF(AND(OR(LEFT(TH!N4134,2)="15",LEFT(TH!O4134,2)="15"),LEFT(TH!O4134,3)&lt;&gt;"111",'152-CT'!$J$8=TH!F4134),"x","")</f>
        <v/>
      </c>
      <c r="AC5489" s="75" t="str">
        <f>IF(AND(OR(LEFT(TH!N4134,2)="15",LEFT(TH!O4134,2)="15"),TK!$E$7=TH!F4134),"x","")</f>
        <v/>
      </c>
      <c r="AD5489" s="75" t="str">
        <f>IF(AND(N5489="1521",MONTH(C5489)='BK-NL'!$M$11),"x","")</f>
        <v/>
      </c>
    </row>
    <row r="5490" spans="1:33" s="1053" customFormat="1" ht="16.5" customHeight="1">
      <c r="A5490" s="309" t="str">
        <f>IF(B5490&lt;&gt;"",IF(AND(B5490='IN-TC'!$S$4,OR(TH!N5475="1111",TH!O5475="1111")),TH!D5475,""),"")</f>
        <v/>
      </c>
      <c r="B5490" s="1245">
        <f t="shared" si="1356"/>
        <v>11</v>
      </c>
      <c r="C5490" s="292">
        <f t="shared" si="1355"/>
        <v>43069</v>
      </c>
      <c r="D5490" s="59"/>
      <c r="E5490" s="59">
        <v>43069</v>
      </c>
      <c r="F5490" s="62" t="s">
        <v>2653</v>
      </c>
      <c r="G5490" s="742"/>
      <c r="H5490" s="67" t="s">
        <v>980</v>
      </c>
      <c r="I5490" s="375"/>
      <c r="J5490" s="382"/>
      <c r="K5490" s="375"/>
      <c r="L5490" s="381"/>
      <c r="M5490" s="60">
        <v>94311647</v>
      </c>
      <c r="N5490" s="61" t="s">
        <v>540</v>
      </c>
      <c r="O5490" s="61" t="s">
        <v>63</v>
      </c>
      <c r="P5490" s="75" t="str">
        <f>IF(AND('331-CT'!$E$7=TH!H4135,OR(N5490="331",O5490="331")),"x","")</f>
        <v/>
      </c>
      <c r="Q5490" s="75" t="str">
        <f>IF(AND(B5490='111'!$L$11,OR($N5490=$Q$7,$O5490=$Q$7)),"x","")</f>
        <v/>
      </c>
      <c r="R5490" s="75" t="str">
        <f>IF(AND($N5490=$Q$7,$B5490&lt;'111'!$L$11),"x","")</f>
        <v/>
      </c>
      <c r="S5490" s="75" t="str">
        <f>IF(AND($O5490=$Q$7,$B5490&lt;'111'!$L$11),"x","")</f>
        <v>x</v>
      </c>
      <c r="T5490" s="75" t="str">
        <f>IF(ISERROR(FIND('112'!$M$9,G5490,1)),"",IF((AND(FIND('112'!$M$9,G5490,1)&gt;=1,B5490='112'!$K$9,OR($N5490='112'!$I$6,$O5490='112'!$I$6))),"x",""))</f>
        <v/>
      </c>
      <c r="U5490" s="75" t="str">
        <f>IF(ISERROR(FIND('112'!$M$9,G5490,1)),"",IF((AND(LEFT(G5490,2)=LEFT('112'!$M$9,2),B5490&lt;'112'!$K$9,$N5490='112'!$I$6)),"x",""))</f>
        <v/>
      </c>
      <c r="V5490" s="75" t="str">
        <f>IF(ISERROR(FIND('112'!$M$9,G5490,1)),"",IF((AND(RIGHT(G5490,2)=RIGHT('112'!$M$9,2),B5490&lt;'112'!$K$9,$O5490='112'!$I$6)),"x",""))</f>
        <v/>
      </c>
      <c r="W5490" s="75" t="str">
        <f>IF(AND('341-CT'!$H$9=H5490,OR(LEFT(N5490,3)=$W$7,LEFT(O5490,3)=$W$7)),"x","")</f>
        <v/>
      </c>
      <c r="X5490" s="75" t="str">
        <f>IF(OR(TH!N4135=TH!$X$7,O5490=TH!$X$7),"x","")</f>
        <v/>
      </c>
      <c r="Y5490" s="75" t="str">
        <f>IF(AND(OR(N5490="131",O5490="131"),H5490='131-CT'!$H$9),"x","")</f>
        <v/>
      </c>
      <c r="Z5490" s="75"/>
      <c r="AA5490" s="75" t="str">
        <f>IF(AND(MONTH(E5490)='IN-NX'!$J$5,'IN-NX'!$D$7=D5490),"x","")</f>
        <v/>
      </c>
      <c r="AB5490" s="75" t="str">
        <f>IF(AND(OR(LEFT(TH!N4135,2)="15",LEFT(TH!O4135,2)="15"),LEFT(TH!O4135,3)&lt;&gt;"111",'152-CT'!$J$8=TH!F4135),"x","")</f>
        <v/>
      </c>
      <c r="AC5490" s="75" t="str">
        <f>IF(AND(OR(LEFT(TH!N4135,2)="15",LEFT(TH!O4135,2)="15"),TK!$E$7=TH!F4135),"x","")</f>
        <v/>
      </c>
      <c r="AD5490" s="75" t="str">
        <f>IF(AND(N5490="1521",MONTH(C5490)='BK-NL'!$M$11),"x","")</f>
        <v/>
      </c>
      <c r="AE5490"/>
      <c r="AF5490"/>
      <c r="AG5490"/>
    </row>
    <row r="5491" spans="1:33" s="1053" customFormat="1" ht="16.5" customHeight="1">
      <c r="A5491" s="309" t="str">
        <f>IF(B5491&lt;&gt;"",IF(AND(B5491='IN-TC'!$S$4,OR(TH!N5476="1111",TH!O5476="1111")),TH!D5476,""),"")</f>
        <v/>
      </c>
      <c r="B5491" s="1245">
        <f t="shared" si="1356"/>
        <v>11</v>
      </c>
      <c r="C5491" s="292">
        <f t="shared" ref="C5491:C5554" si="1357">E5491</f>
        <v>43069</v>
      </c>
      <c r="D5491" s="292" t="s">
        <v>2264</v>
      </c>
      <c r="E5491" s="292">
        <v>43069</v>
      </c>
      <c r="F5491" s="67" t="s">
        <v>834</v>
      </c>
      <c r="G5491" s="943" t="s">
        <v>1713</v>
      </c>
      <c r="H5491" s="294" t="s">
        <v>1023</v>
      </c>
      <c r="I5491" s="373"/>
      <c r="J5491" s="926"/>
      <c r="K5491" s="373"/>
      <c r="L5491" s="379"/>
      <c r="M5491" s="927">
        <v>2200000000</v>
      </c>
      <c r="N5491" s="295" t="s">
        <v>63</v>
      </c>
      <c r="O5491" s="295" t="s">
        <v>26</v>
      </c>
      <c r="P5491" s="75" t="str">
        <f>IF(AND('331-CT'!$E$7=TH!H4570,OR(N5491="331",O5491="331")),"x","")</f>
        <v/>
      </c>
      <c r="Q5491" s="75" t="str">
        <f>IF(AND(B5491='111'!$L$11,OR($N5491=$Q$7,$O5491=$Q$7)),"x","")</f>
        <v/>
      </c>
      <c r="R5491" s="75" t="str">
        <f>IF(AND($N5491=$Q$7,$B5491&lt;'111'!$L$11),"x","")</f>
        <v>x</v>
      </c>
      <c r="S5491" s="75" t="str">
        <f>IF(AND($O5491=$Q$7,$B5491&lt;'111'!$L$11),"x","")</f>
        <v/>
      </c>
      <c r="T5491" s="75" t="str">
        <f>IF(ISERROR(FIND('112'!$M$9,G5491,1)),"",IF((AND(FIND('112'!$M$9,G5491,1)&gt;=1,B5491='112'!$K$9,OR($N5491='112'!$I$6,$O5491='112'!$I$6))),"x",""))</f>
        <v/>
      </c>
      <c r="U5491" s="75" t="str">
        <f>IF(ISERROR(FIND('112'!$M$9,G5491,1)),"",IF((AND(LEFT(G5491,2)=LEFT('112'!$M$9,2),B5491&lt;'112'!$K$9,$N5491='112'!$I$6)),"x",""))</f>
        <v/>
      </c>
      <c r="V5491" s="75" t="str">
        <f>IF(ISERROR(FIND('112'!$M$9,G5491,1)),"",IF((AND(RIGHT(G5491,2)=RIGHT('112'!$M$9,2),B5491&lt;'112'!$K$9,$O5491='112'!$I$6)),"x",""))</f>
        <v/>
      </c>
      <c r="W5491" s="75" t="str">
        <f>IF(AND('341-CT'!$H$9=H5491,OR(LEFT(N5491,3)=$W$7,LEFT(O5491,3)=$W$7)),"x","")</f>
        <v/>
      </c>
      <c r="X5491" s="75" t="str">
        <f>IF(OR(TH!N4570=TH!$X$7,O5491=TH!$X$7),"x","")</f>
        <v/>
      </c>
      <c r="Y5491" s="75" t="str">
        <f>IF(AND(OR(N5491="131",O5491="131"),H5491='131-CT'!$H$9),"x","")</f>
        <v/>
      </c>
      <c r="Z5491" s="75"/>
      <c r="AA5491" s="75" t="str">
        <f>IF(AND(MONTH(E5491)='IN-NX'!$J$5,'IN-NX'!$D$7=D5491),"x","")</f>
        <v/>
      </c>
      <c r="AB5491" s="75" t="str">
        <f>IF(AND(OR(LEFT(TH!N4570,2)="15",LEFT(TH!O4570,2)="15"),LEFT(TH!O4570,3)&lt;&gt;"111",'152-CT'!$J$8=TH!F4570),"x","")</f>
        <v/>
      </c>
      <c r="AC5491" s="75" t="str">
        <f>IF(AND(OR(LEFT(TH!N4570,2)="15",LEFT(TH!O4570,2)="15"),TK!$E$7=TH!F4570),"x","")</f>
        <v/>
      </c>
      <c r="AD5491" s="75" t="str">
        <f>IF(AND(N5491="1521",MONTH(C5491)='BK-NL'!$M$11),"x","")</f>
        <v/>
      </c>
      <c r="AE5491"/>
      <c r="AF5491"/>
      <c r="AG5491"/>
    </row>
    <row r="5492" spans="1:33" ht="16.5" customHeight="1">
      <c r="A5492" s="309" t="str">
        <f>IF(B5492&lt;&gt;"",IF(AND(B5492='IN-TC'!$S$4,OR(TH!N5477="1111",TH!O5477="1111")),TH!D5477,""),"")</f>
        <v/>
      </c>
      <c r="B5492" s="1245">
        <f t="shared" si="1356"/>
        <v>11</v>
      </c>
      <c r="C5492" s="292">
        <f t="shared" si="1357"/>
        <v>43069</v>
      </c>
      <c r="D5492" s="292" t="s">
        <v>903</v>
      </c>
      <c r="E5492" s="292">
        <v>43069</v>
      </c>
      <c r="F5492" s="67" t="s">
        <v>2658</v>
      </c>
      <c r="G5492" s="293" t="s">
        <v>1713</v>
      </c>
      <c r="H5492" s="294" t="s">
        <v>1771</v>
      </c>
      <c r="I5492" s="373"/>
      <c r="J5492" s="926"/>
      <c r="K5492" s="373"/>
      <c r="L5492" s="379"/>
      <c r="M5492" s="927">
        <v>442394167</v>
      </c>
      <c r="N5492" s="295" t="s">
        <v>26</v>
      </c>
      <c r="O5492" s="295" t="s">
        <v>43</v>
      </c>
      <c r="P5492" s="75" t="str">
        <f>IF(AND('331-CT'!$E$7=TH!H4571,OR(N5492="331",O5492="331")),"x","")</f>
        <v/>
      </c>
      <c r="Q5492" s="75" t="str">
        <f>IF(AND(B5492='111'!$L$11,OR($N5492=$Q$7,$O5492=$Q$7)),"x","")</f>
        <v/>
      </c>
      <c r="R5492" s="75" t="str">
        <f>IF(AND($N5492=$Q$7,$B5492&lt;'111'!$L$11),"x","")</f>
        <v/>
      </c>
      <c r="S5492" s="75" t="str">
        <f>IF(AND($O5492=$Q$7,$B5492&lt;'111'!$L$11),"x","")</f>
        <v/>
      </c>
      <c r="T5492" s="75" t="str">
        <f>IF(ISERROR(FIND('112'!$M$9,G5492,1)),"",IF((AND(FIND('112'!$M$9,G5492,1)&gt;=1,B5492='112'!$K$9,OR($N5492='112'!$I$6,$O5492='112'!$I$6))),"x",""))</f>
        <v/>
      </c>
      <c r="U5492" s="75" t="str">
        <f>IF(ISERROR(FIND('112'!$M$9,G5492,1)),"",IF((AND(LEFT(G5492,2)=LEFT('112'!$M$9,2),B5492&lt;'112'!$K$9,$N5492='112'!$I$6)),"x",""))</f>
        <v/>
      </c>
      <c r="V5492" s="75" t="str">
        <f>IF(ISERROR(FIND('112'!$M$9,G5492,1)),"",IF((AND(RIGHT(G5492,2)=RIGHT('112'!$M$9,2),B5492&lt;'112'!$K$9,$O5492='112'!$I$6)),"x",""))</f>
        <v/>
      </c>
      <c r="W5492" s="75" t="str">
        <f>IF(AND('341-CT'!$H$9=H5492,OR(LEFT(N5492,3)=$W$7,LEFT(O5492,3)=$W$7)),"x","")</f>
        <v/>
      </c>
      <c r="X5492" s="75" t="str">
        <f>IF(OR(TH!N4571=TH!$X$7,O5492=TH!$X$7),"x","")</f>
        <v/>
      </c>
      <c r="Y5492" s="75" t="str">
        <f>IF(AND(OR(N5492="131",O5492="131"),H5492='131-CT'!$H$9),"x","")</f>
        <v/>
      </c>
      <c r="Z5492" s="75"/>
      <c r="AA5492" s="75" t="str">
        <f>IF(AND(MONTH(E5492)='IN-NX'!$J$5,'IN-NX'!$D$7=D5492),"x","")</f>
        <v/>
      </c>
      <c r="AB5492" s="75" t="str">
        <f>IF(AND(OR(LEFT(TH!N4571,2)="15",LEFT(TH!O4571,2)="15"),LEFT(TH!O4571,3)&lt;&gt;"111",'152-CT'!$J$8=TH!F4571),"x","")</f>
        <v/>
      </c>
      <c r="AC5492" s="75" t="str">
        <f>IF(AND(OR(LEFT(TH!N4571,2)="15",LEFT(TH!O4571,2)="15"),TK!$E$7=TH!F4571),"x","")</f>
        <v/>
      </c>
      <c r="AD5492" s="75" t="str">
        <f>IF(AND(N5492="1521",MONTH(C5492)='BK-NL'!$M$11),"x","")</f>
        <v/>
      </c>
    </row>
    <row r="5493" spans="1:33" ht="16.5" customHeight="1">
      <c r="A5493" s="309" t="str">
        <f>IF(B5493&lt;&gt;"",IF(AND(B5493='IN-TC'!$S$4,OR(TH!N5478="1111",TH!O5478="1111")),TH!D5478,""),"")</f>
        <v/>
      </c>
      <c r="B5493" s="58">
        <f t="shared" si="1356"/>
        <v>11</v>
      </c>
      <c r="C5493" s="292">
        <f t="shared" si="1357"/>
        <v>43069</v>
      </c>
      <c r="D5493" s="292" t="s">
        <v>903</v>
      </c>
      <c r="E5493" s="292">
        <v>43069</v>
      </c>
      <c r="F5493" s="67" t="s">
        <v>2411</v>
      </c>
      <c r="G5493" s="293" t="s">
        <v>1713</v>
      </c>
      <c r="H5493" s="73" t="s">
        <v>2918</v>
      </c>
      <c r="I5493" s="373"/>
      <c r="J5493" s="926"/>
      <c r="K5493" s="373">
        <v>458300</v>
      </c>
      <c r="L5493" s="379">
        <v>22714</v>
      </c>
      <c r="M5493" s="927">
        <f>ROUND(K5493*L5493,0)</f>
        <v>10409826200</v>
      </c>
      <c r="N5493" s="295" t="s">
        <v>26</v>
      </c>
      <c r="O5493" s="295" t="s">
        <v>250</v>
      </c>
      <c r="P5493" s="75" t="str">
        <f>IF(AND('331-CT'!$E$7=TH!H4572,OR(N5493="331",O5493="331")),"x","")</f>
        <v/>
      </c>
      <c r="Q5493" s="75" t="str">
        <f>IF(AND(B5493='111'!$L$11,OR($N5493=$Q$7,$O5493=$Q$7)),"x","")</f>
        <v/>
      </c>
      <c r="R5493" s="75" t="str">
        <f>IF(AND($N5493=$Q$7,$B5493&lt;'111'!$L$11),"x","")</f>
        <v/>
      </c>
      <c r="S5493" s="75" t="str">
        <f>IF(AND($O5493=$Q$7,$B5493&lt;'111'!$L$11),"x","")</f>
        <v/>
      </c>
      <c r="T5493" s="75" t="str">
        <f>IF(ISERROR(FIND('112'!$M$9,G5493,1)),"",IF((AND(FIND('112'!$M$9,G5493,1)&gt;=1,B5493='112'!$K$9,OR($N5493='112'!$I$6,$O5493='112'!$I$6))),"x",""))</f>
        <v/>
      </c>
      <c r="U5493" s="75" t="str">
        <f>IF(ISERROR(FIND('112'!$M$9,G5493,1)),"",IF((AND(LEFT(G5493,2)=LEFT('112'!$M$9,2),B5493&lt;'112'!$K$9,$N5493='112'!$I$6)),"x",""))</f>
        <v/>
      </c>
      <c r="V5493" s="75" t="str">
        <f>IF(ISERROR(FIND('112'!$M$9,G5493,1)),"",IF((AND(RIGHT(G5493,2)=RIGHT('112'!$M$9,2),B5493&lt;'112'!$K$9,$O5493='112'!$I$6)),"x",""))</f>
        <v/>
      </c>
      <c r="W5493" s="75" t="str">
        <f>IF(AND('341-CT'!$H$9=H5493,OR(LEFT(N5493,3)=$W$7,LEFT(O5493,3)=$W$7)),"x","")</f>
        <v/>
      </c>
      <c r="X5493" s="75" t="str">
        <f>IF(OR(TH!N4572=TH!$X$7,O5493=TH!$X$7),"x","")</f>
        <v/>
      </c>
      <c r="Y5493" s="75" t="str">
        <f>IF(AND(OR(N5493="131",O5493="131"),H5493='131-CT'!$H$9),"x","")</f>
        <v/>
      </c>
      <c r="Z5493" s="75"/>
      <c r="AA5493" s="75" t="str">
        <f>IF(AND(MONTH(E5493)='IN-NX'!$J$5,'IN-NX'!$D$7=D5493),"x","")</f>
        <v/>
      </c>
      <c r="AB5493" s="75" t="str">
        <f>IF(AND(OR(LEFT(TH!N4572,2)="15",LEFT(TH!O4572,2)="15"),LEFT(TH!O4572,3)&lt;&gt;"111",'152-CT'!$J$8=TH!F4572),"x","")</f>
        <v/>
      </c>
      <c r="AC5493" s="75" t="str">
        <f>IF(AND(OR(LEFT(TH!N4572,2)="15",LEFT(TH!O4572,2)="15"),TK!$E$7=TH!F4572),"x","")</f>
        <v/>
      </c>
      <c r="AD5493" s="75" t="str">
        <f>IF(AND(N5493="1521",MONTH(C5493)='BK-NL'!$M$11),"x","")</f>
        <v/>
      </c>
      <c r="AE5493" s="304"/>
      <c r="AF5493" s="304"/>
      <c r="AG5493" s="304"/>
    </row>
    <row r="5494" spans="1:33" ht="16.5" customHeight="1">
      <c r="A5494" s="309" t="str">
        <f>IF(B5494&lt;&gt;"",IF(AND(B5494='IN-TC'!$S$4,OR(TH!N5479="1111",TH!O5479="1111")),TH!D5479,""),"")</f>
        <v/>
      </c>
      <c r="B5494" s="58">
        <f t="shared" si="1356"/>
        <v>11</v>
      </c>
      <c r="C5494" s="292">
        <f t="shared" si="1357"/>
        <v>43069</v>
      </c>
      <c r="D5494" s="292" t="s">
        <v>903</v>
      </c>
      <c r="E5494" s="292">
        <v>43069</v>
      </c>
      <c r="F5494" s="67" t="s">
        <v>2909</v>
      </c>
      <c r="G5494" s="293" t="s">
        <v>1713</v>
      </c>
      <c r="H5494" s="73" t="s">
        <v>2806</v>
      </c>
      <c r="I5494" s="373"/>
      <c r="J5494" s="926"/>
      <c r="K5494" s="373">
        <v>23890</v>
      </c>
      <c r="L5494" s="379">
        <v>22712</v>
      </c>
      <c r="M5494" s="927">
        <f>ROUND(K5494*L5494,0)</f>
        <v>542589680</v>
      </c>
      <c r="N5494" s="295" t="s">
        <v>26</v>
      </c>
      <c r="O5494" s="295" t="s">
        <v>250</v>
      </c>
      <c r="P5494" s="75" t="str">
        <f>IF(AND('331-CT'!$E$7=TH!H4573,OR(N5494="331",O5494="331")),"x","")</f>
        <v/>
      </c>
      <c r="Q5494" s="75" t="str">
        <f>IF(AND(B5494='111'!$L$11,OR($N5494=$Q$7,$O5494=$Q$7)),"x","")</f>
        <v/>
      </c>
      <c r="R5494" s="75" t="str">
        <f>IF(AND($N5494=$Q$7,$B5494&lt;'111'!$L$11),"x","")</f>
        <v/>
      </c>
      <c r="S5494" s="75" t="str">
        <f>IF(AND($O5494=$Q$7,$B5494&lt;'111'!$L$11),"x","")</f>
        <v/>
      </c>
      <c r="T5494" s="75" t="str">
        <f>IF(ISERROR(FIND('112'!$M$9,G5494,1)),"",IF((AND(FIND('112'!$M$9,G5494,1)&gt;=1,B5494='112'!$K$9,OR($N5494='112'!$I$6,$O5494='112'!$I$6))),"x",""))</f>
        <v/>
      </c>
      <c r="U5494" s="75" t="str">
        <f>IF(ISERROR(FIND('112'!$M$9,G5494,1)),"",IF((AND(LEFT(G5494,2)=LEFT('112'!$M$9,2),B5494&lt;'112'!$K$9,$N5494='112'!$I$6)),"x",""))</f>
        <v/>
      </c>
      <c r="V5494" s="75" t="str">
        <f>IF(ISERROR(FIND('112'!$M$9,G5494,1)),"",IF((AND(RIGHT(G5494,2)=RIGHT('112'!$M$9,2),B5494&lt;'112'!$K$9,$O5494='112'!$I$6)),"x",""))</f>
        <v/>
      </c>
      <c r="W5494" s="75" t="str">
        <f>IF(AND('341-CT'!$H$9=H5494,OR(LEFT(N5494,3)=$W$7,LEFT(O5494,3)=$W$7)),"x","")</f>
        <v/>
      </c>
      <c r="X5494" s="75" t="str">
        <f>IF(OR(TH!N4573=TH!$X$7,O5494=TH!$X$7),"x","")</f>
        <v/>
      </c>
      <c r="Y5494" s="75" t="str">
        <f>IF(AND(OR(N5494="131",O5494="131"),H5494='131-CT'!$H$9),"x","")</f>
        <v/>
      </c>
      <c r="Z5494" s="75"/>
      <c r="AA5494" s="75" t="str">
        <f>IF(AND(MONTH(E5494)='IN-NX'!$J$5,'IN-NX'!$D$7=D5494),"x","")</f>
        <v/>
      </c>
      <c r="AB5494" s="75" t="str">
        <f>IF(AND(OR(LEFT(TH!N4573,2)="15",LEFT(TH!O4573,2)="15"),LEFT(TH!O4573,3)&lt;&gt;"111",'152-CT'!$J$8=TH!F4573),"x","")</f>
        <v/>
      </c>
      <c r="AC5494" s="75" t="str">
        <f>IF(AND(OR(LEFT(TH!N4573,2)="15",LEFT(TH!O4573,2)="15"),TK!$E$7=TH!F4573),"x","")</f>
        <v/>
      </c>
      <c r="AD5494" s="75" t="str">
        <f>IF(AND(N5494="1521",MONTH(C5494)='BK-NL'!$M$11),"x","")</f>
        <v/>
      </c>
      <c r="AE5494" s="304"/>
      <c r="AF5494" s="304"/>
      <c r="AG5494" s="304"/>
    </row>
    <row r="5495" spans="1:33" ht="16.5" customHeight="1">
      <c r="A5495" s="309" t="str">
        <f>IF(B5495&lt;&gt;"",IF(AND(B5495='IN-TC'!$S$4,OR(TH!N5480="1111",TH!O5480="1111")),TH!D5480,""),"")</f>
        <v/>
      </c>
      <c r="B5495" s="1245">
        <f t="shared" si="1356"/>
        <v>11</v>
      </c>
      <c r="C5495" s="292">
        <f t="shared" si="1357"/>
        <v>43069</v>
      </c>
      <c r="D5495" s="292" t="s">
        <v>903</v>
      </c>
      <c r="E5495" s="292">
        <v>43069</v>
      </c>
      <c r="F5495" s="67" t="s">
        <v>914</v>
      </c>
      <c r="G5495" s="293" t="s">
        <v>1713</v>
      </c>
      <c r="H5495" s="294" t="s">
        <v>1771</v>
      </c>
      <c r="I5495" s="373"/>
      <c r="J5495" s="926"/>
      <c r="K5495" s="373"/>
      <c r="L5495" s="379"/>
      <c r="M5495" s="927">
        <v>880816</v>
      </c>
      <c r="N5495" s="295" t="s">
        <v>26</v>
      </c>
      <c r="O5495" s="295" t="s">
        <v>43</v>
      </c>
      <c r="P5495" s="75" t="str">
        <f>IF(AND('331-CT'!$E$7=TH!H4574,OR(N5495="331",O5495="331")),"x","")</f>
        <v/>
      </c>
      <c r="Q5495" s="75" t="str">
        <f>IF(AND(B5495='111'!$L$11,OR($N5495=$Q$7,$O5495=$Q$7)),"x","")</f>
        <v/>
      </c>
      <c r="R5495" s="75" t="str">
        <f>IF(AND($N5495=$Q$7,$B5495&lt;'111'!$L$11),"x","")</f>
        <v/>
      </c>
      <c r="S5495" s="75" t="str">
        <f>IF(AND($O5495=$Q$7,$B5495&lt;'111'!$L$11),"x","")</f>
        <v/>
      </c>
      <c r="T5495" s="75" t="str">
        <f>IF(ISERROR(FIND('112'!$M$9,G5495,1)),"",IF((AND(FIND('112'!$M$9,G5495,1)&gt;=1,B5495='112'!$K$9,OR($N5495='112'!$I$6,$O5495='112'!$I$6))),"x",""))</f>
        <v/>
      </c>
      <c r="U5495" s="75" t="str">
        <f>IF(ISERROR(FIND('112'!$M$9,G5495,1)),"",IF((AND(LEFT(G5495,2)=LEFT('112'!$M$9,2),B5495&lt;'112'!$K$9,$N5495='112'!$I$6)),"x",""))</f>
        <v/>
      </c>
      <c r="V5495" s="75" t="str">
        <f>IF(ISERROR(FIND('112'!$M$9,G5495,1)),"",IF((AND(RIGHT(G5495,2)=RIGHT('112'!$M$9,2),B5495&lt;'112'!$K$9,$O5495='112'!$I$6)),"x",""))</f>
        <v/>
      </c>
      <c r="W5495" s="75" t="str">
        <f>IF(AND('341-CT'!$H$9=H5495,OR(LEFT(N5495,3)=$W$7,LEFT(O5495,3)=$W$7)),"x","")</f>
        <v/>
      </c>
      <c r="X5495" s="75" t="str">
        <f>IF(OR(TH!N4574=TH!$X$7,O5495=TH!$X$7),"x","")</f>
        <v>x</v>
      </c>
      <c r="Y5495" s="75" t="str">
        <f>IF(AND(OR(N5495="131",O5495="131"),H5495='131-CT'!$H$9),"x","")</f>
        <v/>
      </c>
      <c r="Z5495" s="75"/>
      <c r="AA5495" s="75" t="str">
        <f>IF(AND(MONTH(E5495)='IN-NX'!$J$5,'IN-NX'!$D$7=D5495),"x","")</f>
        <v/>
      </c>
      <c r="AB5495" s="75" t="str">
        <f>IF(AND(OR(LEFT(TH!N4574,2)="15",LEFT(TH!O4574,2)="15"),LEFT(TH!O4574,3)&lt;&gt;"111",'152-CT'!$J$8=TH!F4574),"x","")</f>
        <v/>
      </c>
      <c r="AC5495" s="75" t="str">
        <f>IF(AND(OR(LEFT(TH!N4574,2)="15",LEFT(TH!O4574,2)="15"),TK!$E$7=TH!F4574),"x","")</f>
        <v/>
      </c>
      <c r="AD5495" s="75" t="str">
        <f>IF(AND(N5495="1521",MONTH(C5495)='BK-NL'!$M$11),"x","")</f>
        <v/>
      </c>
    </row>
    <row r="5496" spans="1:33" ht="16.5" customHeight="1">
      <c r="A5496" s="309" t="str">
        <f>IF(B5496&lt;&gt;"",IF(AND(B5496='IN-TC'!$S$4,OR(TH!N5481="1111",TH!O5481="1111")),TH!D5481,""),"")</f>
        <v/>
      </c>
      <c r="B5496" s="1245">
        <f t="shared" si="1356"/>
        <v>11</v>
      </c>
      <c r="C5496" s="292">
        <f t="shared" si="1357"/>
        <v>43069</v>
      </c>
      <c r="D5496" s="59" t="s">
        <v>903</v>
      </c>
      <c r="E5496" s="59">
        <v>43069</v>
      </c>
      <c r="F5496" s="62" t="s">
        <v>2804</v>
      </c>
      <c r="G5496" s="62" t="s">
        <v>585</v>
      </c>
      <c r="H5496" s="294" t="s">
        <v>845</v>
      </c>
      <c r="I5496" s="373"/>
      <c r="J5496" s="382"/>
      <c r="K5496" s="373"/>
      <c r="L5496" s="379"/>
      <c r="M5496" s="60">
        <v>26334000</v>
      </c>
      <c r="N5496" s="61" t="s">
        <v>72</v>
      </c>
      <c r="O5496" s="61" t="s">
        <v>26</v>
      </c>
      <c r="P5496" s="75" t="str">
        <f>IF(AND('331-CT'!$E$7=TH!H4900,OR(N5496="331",O5496="331")),"x","")</f>
        <v/>
      </c>
      <c r="Q5496" s="75" t="str">
        <f>IF(AND(B5496='111'!$L$11,OR($N5496=$Q$7,$O5496=$Q$7)),"x","")</f>
        <v/>
      </c>
      <c r="R5496" s="75" t="str">
        <f>IF(AND($N5496=$Q$7,$B5496&lt;'111'!$L$11),"x","")</f>
        <v/>
      </c>
      <c r="S5496" s="75" t="str">
        <f>IF(AND($O5496=$Q$7,$B5496&lt;'111'!$L$11),"x","")</f>
        <v/>
      </c>
      <c r="T5496" s="75" t="str">
        <f>IF(ISERROR(FIND('112'!$M$9,G5496,1)),"",IF((AND(FIND('112'!$M$9,G5496,1)&gt;=1,B5496='112'!$K$9,OR($N5496='112'!$I$6,$O5496='112'!$I$6))),"x",""))</f>
        <v/>
      </c>
      <c r="U5496" s="75" t="str">
        <f>IF(ISERROR(FIND('112'!$M$9,G5496,1)),"",IF((AND(LEFT(G5496,2)=LEFT('112'!$M$9,2),B5496&lt;'112'!$K$9,$N5496='112'!$I$6)),"x",""))</f>
        <v/>
      </c>
      <c r="V5496" s="75" t="str">
        <f>IF(ISERROR(FIND('112'!$M$9,G5496,1)),"",IF((AND(RIGHT(G5496,2)=RIGHT('112'!$M$9,2),B5496&lt;'112'!$K$9,$O5496='112'!$I$6)),"x",""))</f>
        <v/>
      </c>
      <c r="W5496" s="75" t="str">
        <f>IF(AND('341-CT'!$H$9=H5496,OR(LEFT(N5496,3)=$W$7,LEFT(O5496,3)=$W$7)),"x","")</f>
        <v/>
      </c>
      <c r="X5496" s="75" t="str">
        <f>IF(OR(TH!N4900=TH!$X$7,O5496=TH!$X$7),"x","")</f>
        <v/>
      </c>
      <c r="Y5496" s="75" t="str">
        <f>IF(AND(OR(N5496="131",O5496="131"),H5496='131-CT'!$H$9),"x","")</f>
        <v/>
      </c>
      <c r="Z5496" s="75"/>
      <c r="AA5496" s="75" t="str">
        <f>IF(AND(MONTH(E5496)='IN-NX'!$J$5,'IN-NX'!$D$7=D5496),"x","")</f>
        <v/>
      </c>
      <c r="AB5496" s="75" t="str">
        <f>IF(AND(OR(LEFT(TH!N4900,2)="15",LEFT(TH!O4900,2)="15"),LEFT(TH!O4900,3)&lt;&gt;"111",'152-CT'!$J$8=TH!F4900),"x","")</f>
        <v/>
      </c>
      <c r="AC5496" s="75" t="str">
        <f>IF(AND(OR(LEFT(TH!N4900,2)="15",LEFT(TH!O4900,2)="15"),TK!$E$7=TH!F4900),"x","")</f>
        <v/>
      </c>
      <c r="AD5496" s="75" t="str">
        <f>IF(AND(N5496="1521",MONTH(C5496)='BK-NL'!$M$11),"x","")</f>
        <v/>
      </c>
      <c r="AE5496" s="304"/>
      <c r="AF5496" s="304"/>
      <c r="AG5496" s="304"/>
    </row>
    <row r="5497" spans="1:33" ht="16.5" customHeight="1">
      <c r="A5497" s="309" t="str">
        <f>IF(B5497&lt;&gt;"",IF(AND(B5497='IN-TC'!$S$4,OR(TH!N5482="1111",TH!O5482="1111")),TH!D5482,""),"")</f>
        <v/>
      </c>
      <c r="B5497" s="1245">
        <f t="shared" si="1356"/>
        <v>11</v>
      </c>
      <c r="C5497" s="292">
        <f t="shared" si="1357"/>
        <v>43069</v>
      </c>
      <c r="D5497" s="59" t="s">
        <v>903</v>
      </c>
      <c r="E5497" s="59">
        <v>43069</v>
      </c>
      <c r="F5497" s="62" t="s">
        <v>1307</v>
      </c>
      <c r="G5497" s="62" t="s">
        <v>585</v>
      </c>
      <c r="H5497" s="67" t="s">
        <v>845</v>
      </c>
      <c r="I5497" s="373"/>
      <c r="J5497" s="382"/>
      <c r="K5497" s="373"/>
      <c r="L5497" s="379"/>
      <c r="M5497" s="60">
        <v>15000</v>
      </c>
      <c r="N5497" s="61" t="s">
        <v>101</v>
      </c>
      <c r="O5497" s="61" t="s">
        <v>26</v>
      </c>
      <c r="P5497" s="75" t="str">
        <f>IF(AND('331-CT'!$E$7=TH!H4901,OR(N5497="331",O5497="331")),"x","")</f>
        <v/>
      </c>
      <c r="Q5497" s="75" t="str">
        <f>IF(AND(B5497='111'!$L$11,OR($N5497=$Q$7,$O5497=$Q$7)),"x","")</f>
        <v/>
      </c>
      <c r="R5497" s="75" t="str">
        <f>IF(AND($N5497=$Q$7,$B5497&lt;'111'!$L$11),"x","")</f>
        <v/>
      </c>
      <c r="S5497" s="75" t="str">
        <f>IF(AND($O5497=$Q$7,$B5497&lt;'111'!$L$11),"x","")</f>
        <v/>
      </c>
      <c r="T5497" s="75" t="str">
        <f>IF(ISERROR(FIND('112'!$M$9,G5497,1)),"",IF((AND(FIND('112'!$M$9,G5497,1)&gt;=1,B5497='112'!$K$9,OR($N5497='112'!$I$6,$O5497='112'!$I$6))),"x",""))</f>
        <v/>
      </c>
      <c r="U5497" s="75" t="str">
        <f>IF(ISERROR(FIND('112'!$M$9,G5497,1)),"",IF((AND(LEFT(G5497,2)=LEFT('112'!$M$9,2),B5497&lt;'112'!$K$9,$N5497='112'!$I$6)),"x",""))</f>
        <v/>
      </c>
      <c r="V5497" s="75" t="str">
        <f>IF(ISERROR(FIND('112'!$M$9,G5497,1)),"",IF((AND(RIGHT(G5497,2)=RIGHT('112'!$M$9,2),B5497&lt;'112'!$K$9,$O5497='112'!$I$6)),"x",""))</f>
        <v/>
      </c>
      <c r="W5497" s="75" t="str">
        <f>IF(AND('341-CT'!$H$9=H5497,OR(LEFT(N5497,3)=$W$7,LEFT(O5497,3)=$W$7)),"x","")</f>
        <v/>
      </c>
      <c r="X5497" s="75" t="str">
        <f>IF(OR(TH!N4901=TH!$X$7,O5497=TH!$X$7),"x","")</f>
        <v/>
      </c>
      <c r="Y5497" s="75" t="str">
        <f>IF(AND(OR(N5497="131",O5497="131"),H5497='131-CT'!$H$9),"x","")</f>
        <v/>
      </c>
      <c r="Z5497" s="75"/>
      <c r="AA5497" s="75" t="str">
        <f>IF(AND(MONTH(E5497)='IN-NX'!$J$5,'IN-NX'!$D$7=D5497),"x","")</f>
        <v/>
      </c>
      <c r="AB5497" s="75" t="str">
        <f>IF(AND(OR(LEFT(TH!N4901,2)="15",LEFT(TH!O4901,2)="15"),LEFT(TH!O4901,3)&lt;&gt;"111",'152-CT'!$J$8=TH!F4901),"x","")</f>
        <v/>
      </c>
      <c r="AC5497" s="75" t="str">
        <f>IF(AND(OR(LEFT(TH!N4901,2)="15",LEFT(TH!O4901,2)="15"),TK!$E$7=TH!F4901),"x","")</f>
        <v/>
      </c>
      <c r="AD5497" s="75" t="str">
        <f>IF(AND(N5497="1521",MONTH(C5497)='BK-NL'!$M$11),"x","")</f>
        <v/>
      </c>
      <c r="AE5497" s="304">
        <v>11</v>
      </c>
      <c r="AF5497" s="304"/>
      <c r="AG5497" s="304"/>
    </row>
    <row r="5498" spans="1:33" ht="16.5" customHeight="1">
      <c r="A5498" s="309" t="str">
        <f>IF(B5498&lt;&gt;"",IF(AND(B5498='IN-TC'!$S$4,OR(TH!N5483="1111",TH!O5483="1111")),TH!D5483,""),"")</f>
        <v/>
      </c>
      <c r="B5498" s="1245">
        <f t="shared" si="1356"/>
        <v>11</v>
      </c>
      <c r="C5498" s="292">
        <f t="shared" si="1357"/>
        <v>43069</v>
      </c>
      <c r="D5498" s="59" t="s">
        <v>903</v>
      </c>
      <c r="E5498" s="59">
        <v>43069</v>
      </c>
      <c r="F5498" s="62" t="s">
        <v>2101</v>
      </c>
      <c r="G5498" s="62" t="s">
        <v>585</v>
      </c>
      <c r="H5498" s="67" t="s">
        <v>845</v>
      </c>
      <c r="I5498" s="373"/>
      <c r="J5498" s="382"/>
      <c r="K5498" s="373"/>
      <c r="L5498" s="379"/>
      <c r="M5498" s="60">
        <v>1500</v>
      </c>
      <c r="N5498" s="61" t="s">
        <v>9</v>
      </c>
      <c r="O5498" s="61" t="s">
        <v>26</v>
      </c>
      <c r="P5498" s="75" t="str">
        <f>IF(AND('331-CT'!$E$7=TH!H4902,OR(N5498="331",O5498="331")),"x","")</f>
        <v/>
      </c>
      <c r="Q5498" s="75" t="str">
        <f>IF(AND(B5498='111'!$L$11,OR($N5498=$Q$7,$O5498=$Q$7)),"x","")</f>
        <v/>
      </c>
      <c r="R5498" s="75" t="str">
        <f>IF(AND($N5498=$Q$7,$B5498&lt;'111'!$L$11),"x","")</f>
        <v/>
      </c>
      <c r="S5498" s="75" t="str">
        <f>IF(AND($O5498=$Q$7,$B5498&lt;'111'!$L$11),"x","")</f>
        <v/>
      </c>
      <c r="T5498" s="75" t="str">
        <f>IF(ISERROR(FIND('112'!$M$9,G5498,1)),"",IF((AND(FIND('112'!$M$9,G5498,1)&gt;=1,B5498='112'!$K$9,OR($N5498='112'!$I$6,$O5498='112'!$I$6))),"x",""))</f>
        <v/>
      </c>
      <c r="U5498" s="75" t="str">
        <f>IF(ISERROR(FIND('112'!$M$9,G5498,1)),"",IF((AND(LEFT(G5498,2)=LEFT('112'!$M$9,2),B5498&lt;'112'!$K$9,$N5498='112'!$I$6)),"x",""))</f>
        <v/>
      </c>
      <c r="V5498" s="75" t="str">
        <f>IF(ISERROR(FIND('112'!$M$9,G5498,1)),"",IF((AND(RIGHT(G5498,2)=RIGHT('112'!$M$9,2),B5498&lt;'112'!$K$9,$O5498='112'!$I$6)),"x",""))</f>
        <v/>
      </c>
      <c r="W5498" s="75" t="str">
        <f>IF(AND('341-CT'!$H$9=H5498,OR(LEFT(N5498,3)=$W$7,LEFT(O5498,3)=$W$7)),"x","")</f>
        <v/>
      </c>
      <c r="X5498" s="75" t="str">
        <f>IF(OR(TH!N4902=TH!$X$7,O5498=TH!$X$7),"x","")</f>
        <v/>
      </c>
      <c r="Y5498" s="75" t="str">
        <f>IF(AND(OR(N5498="131",O5498="131"),H5498='131-CT'!$H$9),"x","")</f>
        <v/>
      </c>
      <c r="Z5498" s="75"/>
      <c r="AA5498" s="75" t="str">
        <f>IF(AND(MONTH(E5498)='IN-NX'!$J$5,'IN-NX'!$D$7=D5498),"x","")</f>
        <v/>
      </c>
      <c r="AB5498" s="75" t="str">
        <f>IF(AND(OR(LEFT(TH!N4902,2)="15",LEFT(TH!O4902,2)="15"),LEFT(TH!O4902,3)&lt;&gt;"111",'152-CT'!$J$8=TH!F4902),"x","")</f>
        <v/>
      </c>
      <c r="AC5498" s="75" t="str">
        <f>IF(AND(OR(LEFT(TH!N4902,2)="15",LEFT(TH!O4902,2)="15"),TK!$E$7=TH!F4902),"x","")</f>
        <v/>
      </c>
      <c r="AD5498" s="75" t="str">
        <f>IF(AND(N5498="1521",MONTH(C5498)='BK-NL'!$M$11),"x","")</f>
        <v/>
      </c>
      <c r="AE5498" s="304">
        <v>11</v>
      </c>
      <c r="AF5498" s="304"/>
      <c r="AG5498" s="304"/>
    </row>
    <row r="5499" spans="1:33" ht="16.5" customHeight="1">
      <c r="A5499" s="309" t="str">
        <f>IF(B5499&lt;&gt;"",IF(AND(B5499='IN-TC'!$S$4,OR(TH!N5484="1111",TH!O5484="1111")),TH!D5484,""),"")</f>
        <v/>
      </c>
      <c r="B5499" s="1245">
        <f t="shared" si="1356"/>
        <v>11</v>
      </c>
      <c r="C5499" s="292">
        <f t="shared" si="1357"/>
        <v>43069</v>
      </c>
      <c r="D5499" s="292" t="s">
        <v>2493</v>
      </c>
      <c r="E5499" s="59">
        <v>43069</v>
      </c>
      <c r="F5499" s="62" t="s">
        <v>885</v>
      </c>
      <c r="G5499" s="62" t="s">
        <v>585</v>
      </c>
      <c r="H5499" s="67" t="s">
        <v>1023</v>
      </c>
      <c r="I5499" s="373"/>
      <c r="J5499" s="382"/>
      <c r="K5499" s="373"/>
      <c r="L5499" s="379"/>
      <c r="M5499" s="60">
        <v>50000000</v>
      </c>
      <c r="N5499" s="61" t="s">
        <v>26</v>
      </c>
      <c r="O5499" s="61" t="s">
        <v>63</v>
      </c>
      <c r="P5499" s="75" t="str">
        <f>IF(AND('331-CT'!$E$7=TH!H4903,OR(N5499="331",O5499="331")),"x","")</f>
        <v/>
      </c>
      <c r="Q5499" s="75" t="str">
        <f>IF(AND(B5499='111'!$L$11,OR($N5499=$Q$7,$O5499=$Q$7)),"x","")</f>
        <v/>
      </c>
      <c r="R5499" s="75" t="str">
        <f>IF(AND($N5499=$Q$7,$B5499&lt;'111'!$L$11),"x","")</f>
        <v/>
      </c>
      <c r="S5499" s="75" t="str">
        <f>IF(AND($O5499=$Q$7,$B5499&lt;'111'!$L$11),"x","")</f>
        <v>x</v>
      </c>
      <c r="T5499" s="75" t="str">
        <f>IF(ISERROR(FIND('112'!$M$9,G5499,1)),"",IF((AND(FIND('112'!$M$9,G5499,1)&gt;=1,B5499='112'!$K$9,OR($N5499='112'!$I$6,$O5499='112'!$I$6))),"x",""))</f>
        <v/>
      </c>
      <c r="U5499" s="75" t="str">
        <f>IF(ISERROR(FIND('112'!$M$9,G5499,1)),"",IF((AND(LEFT(G5499,2)=LEFT('112'!$M$9,2),B5499&lt;'112'!$K$9,$N5499='112'!$I$6)),"x",""))</f>
        <v/>
      </c>
      <c r="V5499" s="75" t="str">
        <f>IF(ISERROR(FIND('112'!$M$9,G5499,1)),"",IF((AND(RIGHT(G5499,2)=RIGHT('112'!$M$9,2),B5499&lt;'112'!$K$9,$O5499='112'!$I$6)),"x",""))</f>
        <v/>
      </c>
      <c r="W5499" s="75" t="str">
        <f>IF(AND('341-CT'!$H$9=H5499,OR(LEFT(N5499,3)=$W$7,LEFT(O5499,3)=$W$7)),"x","")</f>
        <v/>
      </c>
      <c r="X5499" s="75" t="str">
        <f>IF(OR(TH!N4903=TH!$X$7,O5499=TH!$X$7),"x","")</f>
        <v/>
      </c>
      <c r="Y5499" s="75" t="str">
        <f>IF(AND(OR(N5499="131",O5499="131"),H5499='131-CT'!$H$9),"x","")</f>
        <v/>
      </c>
      <c r="Z5499" s="75"/>
      <c r="AA5499" s="75" t="str">
        <f>IF(AND(MONTH(E5499)='IN-NX'!$J$5,'IN-NX'!$D$7=D5499),"x","")</f>
        <v/>
      </c>
      <c r="AB5499" s="75" t="str">
        <f>IF(AND(OR(LEFT(TH!N4903,2)="15",LEFT(TH!O4903,2)="15"),LEFT(TH!O4903,3)&lt;&gt;"111",'152-CT'!$J$8=TH!F4903),"x","")</f>
        <v/>
      </c>
      <c r="AC5499" s="75" t="str">
        <f>IF(AND(OR(LEFT(TH!N4903,2)="15",LEFT(TH!O4903,2)="15"),TK!$E$7=TH!F4903),"x","")</f>
        <v/>
      </c>
      <c r="AD5499" s="75" t="str">
        <f>IF(AND(N5499="1521",MONTH(C5499)='BK-NL'!$M$11),"x","")</f>
        <v/>
      </c>
      <c r="AE5499" s="304"/>
      <c r="AF5499" s="304"/>
      <c r="AG5499" s="304"/>
    </row>
    <row r="5500" spans="1:33" ht="16.5" customHeight="1">
      <c r="A5500" s="309" t="str">
        <f>IF(B5500&lt;&gt;"",IF(AND(B5500='IN-TC'!$S$4,OR(TH!N5485="1111",TH!O5485="1111")),TH!D5485,""),"")</f>
        <v/>
      </c>
      <c r="B5500" s="1245">
        <f t="shared" si="1356"/>
        <v>11</v>
      </c>
      <c r="C5500" s="292">
        <f t="shared" si="1357"/>
        <v>43069</v>
      </c>
      <c r="D5500" s="59" t="s">
        <v>903</v>
      </c>
      <c r="E5500" s="59">
        <v>43069</v>
      </c>
      <c r="F5500" s="62" t="s">
        <v>2656</v>
      </c>
      <c r="G5500" s="62" t="s">
        <v>585</v>
      </c>
      <c r="H5500" s="67" t="s">
        <v>563</v>
      </c>
      <c r="I5500" s="373"/>
      <c r="J5500" s="382"/>
      <c r="K5500" s="373"/>
      <c r="L5500" s="379"/>
      <c r="M5500" s="60">
        <v>58460930</v>
      </c>
      <c r="N5500" s="61" t="s">
        <v>8</v>
      </c>
      <c r="O5500" s="61" t="s">
        <v>26</v>
      </c>
      <c r="P5500" s="75" t="str">
        <f>IF(AND('331-CT'!$E$7=TH!H4904,OR(N5500="331",O5500="331")),"x","")</f>
        <v/>
      </c>
      <c r="Q5500" s="75" t="str">
        <f>IF(AND(B5500='111'!$L$11,OR($N5500=$Q$7,$O5500=$Q$7)),"x","")</f>
        <v/>
      </c>
      <c r="R5500" s="75" t="str">
        <f>IF(AND($N5500=$Q$7,$B5500&lt;'111'!$L$11),"x","")</f>
        <v/>
      </c>
      <c r="S5500" s="75" t="str">
        <f>IF(AND($O5500=$Q$7,$B5500&lt;'111'!$L$11),"x","")</f>
        <v/>
      </c>
      <c r="T5500" s="75" t="str">
        <f>IF(ISERROR(FIND('112'!$M$9,G5500,1)),"",IF((AND(FIND('112'!$M$9,G5500,1)&gt;=1,B5500='112'!$K$9,OR($N5500='112'!$I$6,$O5500='112'!$I$6))),"x",""))</f>
        <v/>
      </c>
      <c r="U5500" s="75" t="str">
        <f>IF(ISERROR(FIND('112'!$M$9,G5500,1)),"",IF((AND(LEFT(G5500,2)=LEFT('112'!$M$9,2),B5500&lt;'112'!$K$9,$N5500='112'!$I$6)),"x",""))</f>
        <v/>
      </c>
      <c r="V5500" s="75" t="str">
        <f>IF(ISERROR(FIND('112'!$M$9,G5500,1)),"",IF((AND(RIGHT(G5500,2)=RIGHT('112'!$M$9,2),B5500&lt;'112'!$K$9,$O5500='112'!$I$6)),"x",""))</f>
        <v/>
      </c>
      <c r="W5500" s="75" t="str">
        <f>IF(AND('341-CT'!$H$9=H5500,OR(LEFT(N5500,3)=$W$7,LEFT(O5500,3)=$W$7)),"x","")</f>
        <v/>
      </c>
      <c r="X5500" s="75" t="str">
        <f>IF(OR(TH!N4904=TH!$X$7,O5500=TH!$X$7),"x","")</f>
        <v/>
      </c>
      <c r="Y5500" s="75" t="str">
        <f>IF(AND(OR(N5500="131",O5500="131"),H5500='131-CT'!$H$9),"x","")</f>
        <v/>
      </c>
      <c r="Z5500" s="75"/>
      <c r="AA5500" s="75" t="str">
        <f>IF(AND(MONTH(E5500)='IN-NX'!$J$5,'IN-NX'!$D$7=D5500),"x","")</f>
        <v/>
      </c>
      <c r="AB5500" s="75" t="str">
        <f>IF(AND(OR(LEFT(TH!N4904,2)="15",LEFT(TH!O4904,2)="15"),LEFT(TH!O4904,3)&lt;&gt;"111",'152-CT'!$J$8=TH!F4904),"x","")</f>
        <v/>
      </c>
      <c r="AC5500" s="75" t="str">
        <f>IF(AND(OR(LEFT(TH!N4904,2)="15",LEFT(TH!O4904,2)="15"),TK!$E$7=TH!F4904),"x","")</f>
        <v/>
      </c>
      <c r="AD5500" s="75" t="str">
        <f>IF(AND(N5500="1521",MONTH(C5500)='BK-NL'!$M$11),"x","")</f>
        <v/>
      </c>
      <c r="AE5500" s="304"/>
      <c r="AF5500" s="304"/>
      <c r="AG5500" s="304"/>
    </row>
    <row r="5501" spans="1:33" ht="16.5" customHeight="1">
      <c r="A5501" s="309" t="str">
        <f>IF(B5501&lt;&gt;"",IF(AND(B5501='IN-TC'!$S$4,OR(TH!N5486="1111",TH!O5486="1111")),TH!D5486,""),"")</f>
        <v/>
      </c>
      <c r="B5501" s="1245">
        <f t="shared" si="1356"/>
        <v>11</v>
      </c>
      <c r="C5501" s="292">
        <f t="shared" si="1357"/>
        <v>43069</v>
      </c>
      <c r="D5501" s="59" t="s">
        <v>903</v>
      </c>
      <c r="E5501" s="59">
        <v>43069</v>
      </c>
      <c r="F5501" s="62" t="s">
        <v>1307</v>
      </c>
      <c r="G5501" s="62" t="s">
        <v>585</v>
      </c>
      <c r="H5501" s="67" t="s">
        <v>845</v>
      </c>
      <c r="I5501" s="373"/>
      <c r="J5501" s="382"/>
      <c r="K5501" s="373"/>
      <c r="L5501" s="379"/>
      <c r="M5501" s="60">
        <v>49230</v>
      </c>
      <c r="N5501" s="61" t="s">
        <v>101</v>
      </c>
      <c r="O5501" s="61" t="s">
        <v>26</v>
      </c>
      <c r="P5501" s="75" t="str">
        <f>IF(AND('331-CT'!$E$7=TH!H4905,OR(N5501="331",O5501="331")),"x","")</f>
        <v/>
      </c>
      <c r="Q5501" s="75" t="str">
        <f>IF(AND(B5501='111'!$L$11,OR($N5501=$Q$7,$O5501=$Q$7)),"x","")</f>
        <v/>
      </c>
      <c r="R5501" s="75" t="str">
        <f>IF(AND($N5501=$Q$7,$B5501&lt;'111'!$L$11),"x","")</f>
        <v/>
      </c>
      <c r="S5501" s="75" t="str">
        <f>IF(AND($O5501=$Q$7,$B5501&lt;'111'!$L$11),"x","")</f>
        <v/>
      </c>
      <c r="T5501" s="75" t="str">
        <f>IF(ISERROR(FIND('112'!$M$9,G5501,1)),"",IF((AND(FIND('112'!$M$9,G5501,1)&gt;=1,B5501='112'!$K$9,OR($N5501='112'!$I$6,$O5501='112'!$I$6))),"x",""))</f>
        <v/>
      </c>
      <c r="U5501" s="75" t="str">
        <f>IF(ISERROR(FIND('112'!$M$9,G5501,1)),"",IF((AND(LEFT(G5501,2)=LEFT('112'!$M$9,2),B5501&lt;'112'!$K$9,$N5501='112'!$I$6)),"x",""))</f>
        <v/>
      </c>
      <c r="V5501" s="75" t="str">
        <f>IF(ISERROR(FIND('112'!$M$9,G5501,1)),"",IF((AND(RIGHT(G5501,2)=RIGHT('112'!$M$9,2),B5501&lt;'112'!$K$9,$O5501='112'!$I$6)),"x",""))</f>
        <v/>
      </c>
      <c r="W5501" s="75" t="str">
        <f>IF(AND('341-CT'!$H$9=H5501,OR(LEFT(N5501,3)=$W$7,LEFT(O5501,3)=$W$7)),"x","")</f>
        <v/>
      </c>
      <c r="X5501" s="75" t="str">
        <f>IF(OR(TH!N4905=TH!$X$7,O5501=TH!$X$7),"x","")</f>
        <v/>
      </c>
      <c r="Y5501" s="75" t="str">
        <f>IF(AND(OR(N5501="131",O5501="131"),H5501='131-CT'!$H$9),"x","")</f>
        <v/>
      </c>
      <c r="Z5501" s="75"/>
      <c r="AA5501" s="75" t="str">
        <f>IF(AND(MONTH(E5501)='IN-NX'!$J$5,'IN-NX'!$D$7=D5501),"x","")</f>
        <v/>
      </c>
      <c r="AB5501" s="75" t="str">
        <f>IF(AND(OR(LEFT(TH!N4905,2)="15",LEFT(TH!O4905,2)="15"),LEFT(TH!O4905,3)&lt;&gt;"111",'152-CT'!$J$8=TH!F4905),"x","")</f>
        <v/>
      </c>
      <c r="AC5501" s="75" t="str">
        <f>IF(AND(OR(LEFT(TH!N4905,2)="15",LEFT(TH!O4905,2)="15"),TK!$E$7=TH!F4905),"x","")</f>
        <v/>
      </c>
      <c r="AD5501" s="75" t="str">
        <f>IF(AND(N5501="1521",MONTH(C5501)='BK-NL'!$M$11),"x","")</f>
        <v/>
      </c>
      <c r="AE5501" s="304">
        <v>11</v>
      </c>
      <c r="AF5501" s="304"/>
      <c r="AG5501" s="304"/>
    </row>
    <row r="5502" spans="1:33" ht="16.5" customHeight="1">
      <c r="A5502" s="309" t="str">
        <f>IF(B5502&lt;&gt;"",IF(AND(B5502='IN-TC'!$S$4,OR(TH!N5487="1111",TH!O5487="1111")),TH!D5487,""),"")</f>
        <v/>
      </c>
      <c r="B5502" s="1245">
        <f t="shared" si="1356"/>
        <v>11</v>
      </c>
      <c r="C5502" s="292">
        <f t="shared" si="1357"/>
        <v>43069</v>
      </c>
      <c r="D5502" s="59" t="s">
        <v>903</v>
      </c>
      <c r="E5502" s="59">
        <v>43069</v>
      </c>
      <c r="F5502" s="62" t="s">
        <v>2101</v>
      </c>
      <c r="G5502" s="62" t="s">
        <v>585</v>
      </c>
      <c r="H5502" s="67" t="s">
        <v>845</v>
      </c>
      <c r="I5502" s="373"/>
      <c r="J5502" s="382"/>
      <c r="K5502" s="373"/>
      <c r="L5502" s="379"/>
      <c r="M5502" s="60">
        <v>4923</v>
      </c>
      <c r="N5502" s="61" t="s">
        <v>9</v>
      </c>
      <c r="O5502" s="61" t="s">
        <v>26</v>
      </c>
      <c r="P5502" s="75" t="str">
        <f>IF(AND('331-CT'!$E$7=TH!H4906,OR(N5502="331",O5502="331")),"x","")</f>
        <v/>
      </c>
      <c r="Q5502" s="75" t="str">
        <f>IF(AND(B5502='111'!$L$11,OR($N5502=$Q$7,$O5502=$Q$7)),"x","")</f>
        <v/>
      </c>
      <c r="R5502" s="75" t="str">
        <f>IF(AND($N5502=$Q$7,$B5502&lt;'111'!$L$11),"x","")</f>
        <v/>
      </c>
      <c r="S5502" s="75" t="str">
        <f>IF(AND($O5502=$Q$7,$B5502&lt;'111'!$L$11),"x","")</f>
        <v/>
      </c>
      <c r="T5502" s="75" t="str">
        <f>IF(ISERROR(FIND('112'!$M$9,G5502,1)),"",IF((AND(FIND('112'!$M$9,G5502,1)&gt;=1,B5502='112'!$K$9,OR($N5502='112'!$I$6,$O5502='112'!$I$6))),"x",""))</f>
        <v/>
      </c>
      <c r="U5502" s="75" t="str">
        <f>IF(ISERROR(FIND('112'!$M$9,G5502,1)),"",IF((AND(LEFT(G5502,2)=LEFT('112'!$M$9,2),B5502&lt;'112'!$K$9,$N5502='112'!$I$6)),"x",""))</f>
        <v/>
      </c>
      <c r="V5502" s="75" t="str">
        <f>IF(ISERROR(FIND('112'!$M$9,G5502,1)),"",IF((AND(RIGHT(G5502,2)=RIGHT('112'!$M$9,2),B5502&lt;'112'!$K$9,$O5502='112'!$I$6)),"x",""))</f>
        <v/>
      </c>
      <c r="W5502" s="75" t="str">
        <f>IF(AND('341-CT'!$H$9=H5502,OR(LEFT(N5502,3)=$W$7,LEFT(O5502,3)=$W$7)),"x","")</f>
        <v/>
      </c>
      <c r="X5502" s="75" t="str">
        <f>IF(OR(TH!N4906=TH!$X$7,O5502=TH!$X$7),"x","")</f>
        <v/>
      </c>
      <c r="Y5502" s="75" t="str">
        <f>IF(AND(OR(N5502="131",O5502="131"),H5502='131-CT'!$H$9),"x","")</f>
        <v/>
      </c>
      <c r="Z5502" s="75"/>
      <c r="AA5502" s="75" t="str">
        <f>IF(AND(MONTH(E5502)='IN-NX'!$J$5,'IN-NX'!$D$7=D5502),"x","")</f>
        <v/>
      </c>
      <c r="AB5502" s="75" t="str">
        <f>IF(AND(OR(LEFT(TH!N4906,2)="15",LEFT(TH!O4906,2)="15"),LEFT(TH!O4906,3)&lt;&gt;"111",'152-CT'!$J$8=TH!F4906),"x","")</f>
        <v/>
      </c>
      <c r="AC5502" s="75" t="str">
        <f>IF(AND(OR(LEFT(TH!N4906,2)="15",LEFT(TH!O4906,2)="15"),TK!$E$7=TH!F4906),"x","")</f>
        <v/>
      </c>
      <c r="AD5502" s="75" t="str">
        <f>IF(AND(N5502="1521",MONTH(C5502)='BK-NL'!$M$11),"x","")</f>
        <v/>
      </c>
      <c r="AE5502" s="304">
        <v>11</v>
      </c>
      <c r="AF5502" s="304"/>
      <c r="AG5502" s="304"/>
    </row>
    <row r="5503" spans="1:33" s="304" customFormat="1" ht="16.5" customHeight="1">
      <c r="A5503" s="309" t="str">
        <f>IF(B5503&lt;&gt;"",IF(AND(B5503='IN-TC'!$S$4,OR(TH!N5488="1111",TH!O5488="1111")),TH!D5488,""),"")</f>
        <v/>
      </c>
      <c r="B5503" s="1245">
        <f t="shared" si="1356"/>
        <v>11</v>
      </c>
      <c r="C5503" s="292">
        <f t="shared" si="1357"/>
        <v>43069</v>
      </c>
      <c r="D5503" s="59" t="s">
        <v>903</v>
      </c>
      <c r="E5503" s="59">
        <v>43069</v>
      </c>
      <c r="F5503" s="62" t="s">
        <v>1086</v>
      </c>
      <c r="G5503" s="62" t="s">
        <v>585</v>
      </c>
      <c r="H5503" s="67" t="s">
        <v>802</v>
      </c>
      <c r="I5503" s="373"/>
      <c r="J5503" s="382"/>
      <c r="K5503" s="373"/>
      <c r="L5503" s="379"/>
      <c r="M5503" s="60">
        <v>2901250000</v>
      </c>
      <c r="N5503" s="61" t="s">
        <v>26</v>
      </c>
      <c r="O5503" s="61" t="s">
        <v>536</v>
      </c>
      <c r="P5503" s="75" t="str">
        <f>IF(AND('331-CT'!$E$7=TH!H4907,OR(N5503="331",O5503="331")),"x","")</f>
        <v/>
      </c>
      <c r="Q5503" s="75" t="str">
        <f>IF(AND(B5503='111'!$L$11,OR($N5503=$Q$7,$O5503=$Q$7)),"x","")</f>
        <v/>
      </c>
      <c r="R5503" s="75" t="str">
        <f>IF(AND($N5503=$Q$7,$B5503&lt;'111'!$L$11),"x","")</f>
        <v/>
      </c>
      <c r="S5503" s="75" t="str">
        <f>IF(AND($O5503=$Q$7,$B5503&lt;'111'!$L$11),"x","")</f>
        <v/>
      </c>
      <c r="T5503" s="75" t="str">
        <f>IF(ISERROR(FIND('112'!$M$9,G5503,1)),"",IF((AND(FIND('112'!$M$9,G5503,1)&gt;=1,B5503='112'!$K$9,OR($N5503='112'!$I$6,$O5503='112'!$I$6))),"x",""))</f>
        <v/>
      </c>
      <c r="U5503" s="75" t="str">
        <f>IF(ISERROR(FIND('112'!$M$9,G5503,1)),"",IF((AND(LEFT(G5503,2)=LEFT('112'!$M$9,2),B5503&lt;'112'!$K$9,$N5503='112'!$I$6)),"x",""))</f>
        <v/>
      </c>
      <c r="V5503" s="75" t="str">
        <f>IF(ISERROR(FIND('112'!$M$9,G5503,1)),"",IF((AND(RIGHT(G5503,2)=RIGHT('112'!$M$9,2),B5503&lt;'112'!$K$9,$O5503='112'!$I$6)),"x",""))</f>
        <v/>
      </c>
      <c r="W5503" s="75" t="str">
        <f>IF(AND('341-CT'!$H$9=H5503,OR(LEFT(N5503,3)=$W$7,LEFT(O5503,3)=$W$7)),"x","")</f>
        <v/>
      </c>
      <c r="X5503" s="75" t="str">
        <f>IF(OR(TH!N4907=TH!$X$7,O5503=TH!$X$7),"x","")</f>
        <v/>
      </c>
      <c r="Y5503" s="75" t="str">
        <f>IF(AND(OR(N5503="131",O5503="131"),H5503='131-CT'!$H$9),"x","")</f>
        <v/>
      </c>
      <c r="Z5503" s="75"/>
      <c r="AA5503" s="75" t="str">
        <f>IF(AND(MONTH(E5503)='IN-NX'!$J$5,'IN-NX'!$D$7=D5503),"x","")</f>
        <v/>
      </c>
      <c r="AB5503" s="75" t="str">
        <f>IF(AND(OR(LEFT(TH!N4907,2)="15",LEFT(TH!O4907,2)="15"),LEFT(TH!O4907,3)&lt;&gt;"111",'152-CT'!$J$8=TH!F4907),"x","")</f>
        <v/>
      </c>
      <c r="AC5503" s="75" t="str">
        <f>IF(AND(OR(LEFT(TH!N4907,2)="15",LEFT(TH!O4907,2)="15"),TK!$E$7=TH!F4907),"x","")</f>
        <v/>
      </c>
      <c r="AD5503" s="75" t="str">
        <f>IF(AND(N5503="1521",MONTH(C5503)='BK-NL'!$M$11),"x","")</f>
        <v/>
      </c>
    </row>
    <row r="5504" spans="1:33" ht="16.5" customHeight="1">
      <c r="A5504" s="309" t="str">
        <f>IF(B5504&lt;&gt;"",IF(AND(B5504='IN-TC'!$S$4,OR(TH!N5489="1111",TH!O5489="1111")),TH!D5489,""),"")</f>
        <v/>
      </c>
      <c r="B5504" s="1245">
        <f t="shared" si="1356"/>
        <v>11</v>
      </c>
      <c r="C5504" s="292">
        <f t="shared" si="1357"/>
        <v>43069</v>
      </c>
      <c r="D5504" s="59" t="s">
        <v>902</v>
      </c>
      <c r="E5504" s="59">
        <v>43069</v>
      </c>
      <c r="F5504" s="62" t="s">
        <v>1307</v>
      </c>
      <c r="G5504" s="62" t="s">
        <v>747</v>
      </c>
      <c r="H5504" s="294" t="s">
        <v>835</v>
      </c>
      <c r="I5504" s="373"/>
      <c r="J5504" s="382"/>
      <c r="K5504" s="373"/>
      <c r="L5504" s="379"/>
      <c r="M5504" s="60">
        <v>66029</v>
      </c>
      <c r="N5504" s="61" t="s">
        <v>101</v>
      </c>
      <c r="O5504" s="61" t="s">
        <v>26</v>
      </c>
      <c r="P5504" s="75" t="str">
        <f>IF(AND('331-CT'!$E$7=TH!H5618,OR(N5504="331",O5504="331")),"x","")</f>
        <v/>
      </c>
      <c r="Q5504" s="75" t="str">
        <f>IF(AND(B5504='111'!$L$11,OR($N5504=$Q$7,$O5504=$Q$7)),"x","")</f>
        <v/>
      </c>
      <c r="R5504" s="75" t="str">
        <f>IF(AND($N5504=$Q$7,$B5504&lt;'111'!$L$11),"x","")</f>
        <v/>
      </c>
      <c r="S5504" s="75" t="str">
        <f>IF(AND($O5504=$Q$7,$B5504&lt;'111'!$L$11),"x","")</f>
        <v/>
      </c>
      <c r="T5504" s="75" t="str">
        <f>IF(ISERROR(FIND('112'!$M$9,G5504,1)),"",IF((AND(FIND('112'!$M$9,G5504,1)&gt;=1,B5504='112'!$K$9,OR($N5504='112'!$I$6,$O5504='112'!$I$6))),"x",""))</f>
        <v/>
      </c>
      <c r="U5504" s="75" t="str">
        <f>IF(ISERROR(FIND('112'!$M$9,G5504,1)),"",IF((AND(LEFT(G5504,2)=LEFT('112'!$M$9,2),B5504&lt;'112'!$K$9,$N5504='112'!$I$6)),"x",""))</f>
        <v/>
      </c>
      <c r="V5504" s="75" t="str">
        <f>IF(ISERROR(FIND('112'!$M$9,G5504,1)),"",IF((AND(RIGHT(G5504,2)=RIGHT('112'!$M$9,2),B5504&lt;'112'!$K$9,$O5504='112'!$I$6)),"x",""))</f>
        <v/>
      </c>
      <c r="W5504" s="75" t="str">
        <f>IF(AND('341-CT'!$H$9=H5504,OR(LEFT(N5504,3)=$W$7,LEFT(O5504,3)=$W$7)),"x","")</f>
        <v/>
      </c>
      <c r="X5504" s="75" t="str">
        <f>IF(OR(TH!N5618=TH!$X$7,O5504=TH!$X$7),"x","")</f>
        <v/>
      </c>
      <c r="Y5504" s="75" t="str">
        <f>IF(AND(OR(N5504="131",O5504="131"),H5504='131-CT'!$H$9),"x","")</f>
        <v/>
      </c>
      <c r="Z5504" s="75"/>
      <c r="AA5504" s="75" t="str">
        <f>IF(AND(MONTH(E5504)='IN-NX'!$J$5,'IN-NX'!$D$7=D5504),"x","")</f>
        <v/>
      </c>
      <c r="AB5504" s="75" t="str">
        <f>IF(AND(OR(LEFT(TH!N5618,2)="15",LEFT(TH!O5618,2)="15"),LEFT(TH!O5618,3)&lt;&gt;"111",'152-CT'!$J$8=TH!F5618),"x","")</f>
        <v/>
      </c>
      <c r="AC5504" s="75" t="str">
        <f>IF(AND(OR(LEFT(TH!N5618,2)="15",LEFT(TH!O5618,2)="15"),TK!$E$7=TH!F5618),"x","")</f>
        <v/>
      </c>
      <c r="AD5504" s="75" t="str">
        <f>IF(AND(N5504="1521",MONTH(C5504)='BK-NL'!$M$11),"x","")</f>
        <v/>
      </c>
    </row>
    <row r="5505" spans="1:33" ht="16.5" customHeight="1">
      <c r="A5505" s="309" t="str">
        <f>IF(B5505&lt;&gt;"",IF(AND(B5505='IN-TC'!$S$4,OR(TH!N5703="1111",TH!O5703="1111")),TH!D5703,""),"")</f>
        <v/>
      </c>
      <c r="B5505" s="1339">
        <f t="shared" si="1356"/>
        <v>11</v>
      </c>
      <c r="C5505" s="292">
        <f t="shared" si="1357"/>
        <v>43069</v>
      </c>
      <c r="D5505" s="71"/>
      <c r="E5505" s="71">
        <v>43069</v>
      </c>
      <c r="F5505" s="72" t="s">
        <v>3010</v>
      </c>
      <c r="G5505" s="72" t="s">
        <v>332</v>
      </c>
      <c r="H5505" s="73" t="s">
        <v>1880</v>
      </c>
      <c r="I5505" s="371"/>
      <c r="J5505" s="377"/>
      <c r="K5505" s="371"/>
      <c r="L5505" s="377"/>
      <c r="M5505" s="74">
        <v>52920000</v>
      </c>
      <c r="N5505" s="75" t="s">
        <v>63</v>
      </c>
      <c r="O5505" s="75" t="s">
        <v>262</v>
      </c>
      <c r="P5505" s="75" t="str">
        <f>IF(AND('331-CT'!$E$7=TH!H5703,OR(N5505="331",O5505="331")),"x","")</f>
        <v/>
      </c>
      <c r="Q5505" s="75" t="str">
        <f>IF(AND(B5505='111'!$L$11,OR($N5505=$Q$7,$O5505=$Q$7)),"x","")</f>
        <v/>
      </c>
      <c r="R5505" s="75" t="str">
        <f>IF(AND($N5505=$Q$7,$B5505&lt;'111'!$L$11),"x","")</f>
        <v>x</v>
      </c>
      <c r="S5505" s="75" t="str">
        <f>IF(AND($O5505=$Q$7,$B5505&lt;'111'!$L$11),"x","")</f>
        <v/>
      </c>
      <c r="T5505" s="75" t="str">
        <f>IF(ISERROR(FIND('112'!$M$9,G5505,1)),"",IF((AND(FIND('112'!$M$9,G5505,1)&gt;=1,B5505='112'!$K$9,OR($N5505='112'!$I$6,$O5505='112'!$I$6))),"x",""))</f>
        <v/>
      </c>
      <c r="U5505" s="75" t="str">
        <f>IF(ISERROR(FIND('112'!$M$9,G5505,1)),"",IF((AND(LEFT(G5505,2)=LEFT('112'!$M$9,2),B5505&lt;'112'!$K$9,$N5505='112'!$I$6)),"x",""))</f>
        <v/>
      </c>
      <c r="V5505" s="75" t="str">
        <f>IF(ISERROR(FIND('112'!$M$9,G5505,1)),"",IF((AND(RIGHT(G5505,2)=RIGHT('112'!$M$9,2),B5505&lt;'112'!$K$9,$O5505='112'!$I$6)),"x",""))</f>
        <v/>
      </c>
      <c r="W5505" s="75" t="str">
        <f>IF(AND('341-CT'!$H$9=H5505,OR(LEFT(N5505,3)=$W$7,LEFT(O5505,3)=$W$7)),"x","")</f>
        <v/>
      </c>
      <c r="X5505" s="75" t="str">
        <f>IF(OR(TH!N5703=TH!$X$7,O5505=TH!$X$7),"x","")</f>
        <v>x</v>
      </c>
      <c r="Y5505" s="75" t="str">
        <f>IF(AND(OR(N5505="131",O5505="131"),H5505='131-CT'!$H$9),"x","")</f>
        <v/>
      </c>
      <c r="Z5505" s="75"/>
      <c r="AA5505" s="75" t="str">
        <f>IF(AND(MONTH(E5505)='IN-NX'!$J$5,'IN-NX'!$D$7=D5505),"x","")</f>
        <v/>
      </c>
      <c r="AB5505" s="75" t="str">
        <f>IF(AND(OR(LEFT(TH!N5703,2)="15",LEFT(TH!O5703,2)="15"),LEFT(TH!O5703,3)&lt;&gt;"111",'152-CT'!$J$8=TH!F5703),"x","")</f>
        <v/>
      </c>
      <c r="AC5505" s="75" t="str">
        <f>IF(AND(OR(LEFT(TH!N5703,2)="15",LEFT(TH!O5703,2)="15"),TK!$E$7=TH!F5703),"x","")</f>
        <v/>
      </c>
      <c r="AD5505" s="75" t="str">
        <f>IF(AND(N5505="1521",MONTH(C5505)='BK-NL'!$M$11),"x","")</f>
        <v/>
      </c>
      <c r="AE5505" s="1264"/>
      <c r="AF5505" s="1264"/>
      <c r="AG5505" s="1264"/>
    </row>
    <row r="5506" spans="1:33" ht="16.5" customHeight="1">
      <c r="A5506" s="309" t="str">
        <f>IF(B5506&lt;&gt;"",IF(AND(B5506='IN-TC'!$S$4,OR(TH!N5713="1111",TH!O5713="1111")),TH!D5713,""),"")</f>
        <v/>
      </c>
      <c r="B5506" s="1339">
        <f t="shared" si="1356"/>
        <v>11</v>
      </c>
      <c r="C5506" s="292">
        <f t="shared" si="1357"/>
        <v>43069</v>
      </c>
      <c r="D5506" s="71"/>
      <c r="E5506" s="71">
        <v>43069</v>
      </c>
      <c r="F5506" s="72" t="s">
        <v>3010</v>
      </c>
      <c r="G5506" s="72" t="s">
        <v>1899</v>
      </c>
      <c r="H5506" s="73" t="s">
        <v>1879</v>
      </c>
      <c r="I5506" s="371"/>
      <c r="J5506" s="378"/>
      <c r="K5506" s="371"/>
      <c r="L5506" s="377"/>
      <c r="M5506" s="74">
        <v>68455000</v>
      </c>
      <c r="N5506" s="75" t="s">
        <v>63</v>
      </c>
      <c r="O5506" s="75" t="s">
        <v>262</v>
      </c>
      <c r="P5506" s="75" t="str">
        <f>IF(AND('331-CT'!$E$7=TH!H5713,OR(N5506="331",O5506="331")),"x","")</f>
        <v/>
      </c>
      <c r="Q5506" s="75" t="str">
        <f>IF(AND(B5506='111'!$L$11,OR($N5506=$Q$7,$O5506=$Q$7)),"x","")</f>
        <v/>
      </c>
      <c r="R5506" s="75" t="str">
        <f>IF(AND($N5506=$Q$7,$B5506&lt;'111'!$L$11),"x","")</f>
        <v>x</v>
      </c>
      <c r="S5506" s="75" t="str">
        <f>IF(AND($O5506=$Q$7,$B5506&lt;'111'!$L$11),"x","")</f>
        <v/>
      </c>
      <c r="T5506" s="75" t="str">
        <f>IF(ISERROR(FIND('112'!$M$9,G5506,1)),"",IF((AND(FIND('112'!$M$9,G5506,1)&gt;=1,B5506='112'!$K$9,OR($N5506='112'!$I$6,$O5506='112'!$I$6))),"x",""))</f>
        <v/>
      </c>
      <c r="U5506" s="75" t="str">
        <f>IF(ISERROR(FIND('112'!$M$9,G5506,1)),"",IF((AND(LEFT(G5506,2)=LEFT('112'!$M$9,2),B5506&lt;'112'!$K$9,$N5506='112'!$I$6)),"x",""))</f>
        <v/>
      </c>
      <c r="V5506" s="75" t="str">
        <f>IF(ISERROR(FIND('112'!$M$9,G5506,1)),"",IF((AND(RIGHT(G5506,2)=RIGHT('112'!$M$9,2),B5506&lt;'112'!$K$9,$O5506='112'!$I$6)),"x",""))</f>
        <v/>
      </c>
      <c r="W5506" s="75" t="str">
        <f>IF(AND('341-CT'!$H$9=H5506,OR(LEFT(N5506,3)=$W$7,LEFT(O5506,3)=$W$7)),"x","")</f>
        <v/>
      </c>
      <c r="X5506" s="75" t="str">
        <f>IF(OR(TH!N5713=TH!$X$7,O5506=TH!$X$7),"x","")</f>
        <v>x</v>
      </c>
      <c r="Y5506" s="75" t="str">
        <f>IF(AND(OR(N5506="131",O5506="131"),H5506='131-CT'!$H$9),"x","")</f>
        <v/>
      </c>
      <c r="Z5506" s="75"/>
      <c r="AA5506" s="75" t="str">
        <f>IF(AND(MONTH(E5506)='IN-NX'!$J$5,'IN-NX'!$D$7=D5506),"x","")</f>
        <v/>
      </c>
      <c r="AB5506" s="75" t="str">
        <f>IF(AND(OR(LEFT(TH!N5713,2)="15",LEFT(TH!O5713,2)="15"),LEFT(TH!O5713,3)&lt;&gt;"111",'152-CT'!$J$8=TH!F5713),"x","")</f>
        <v/>
      </c>
      <c r="AC5506" s="75" t="str">
        <f>IF(AND(OR(LEFT(TH!N5713,2)="15",LEFT(TH!O5713,2)="15"),TK!$E$7=TH!F5713),"x","")</f>
        <v/>
      </c>
      <c r="AD5506" s="75" t="str">
        <f>IF(AND(N5506="1521",MONTH(C5506)='BK-NL'!$M$11),"x","")</f>
        <v/>
      </c>
      <c r="AE5506" s="1264"/>
      <c r="AF5506" s="1264"/>
      <c r="AG5506" s="1264"/>
    </row>
    <row r="5507" spans="1:33" ht="16.5" customHeight="1">
      <c r="A5507" s="309" t="str">
        <f>IF(B5507&lt;&gt;"",IF(AND(B5507='IN-TC'!$S$4,OR(TH!N5490="1111",TH!O5490="1111")),TH!D5490,""),"")</f>
        <v/>
      </c>
      <c r="B5507" s="1339">
        <f t="shared" si="1356"/>
        <v>12</v>
      </c>
      <c r="C5507" s="292">
        <f t="shared" si="1357"/>
        <v>43070</v>
      </c>
      <c r="D5507" s="71"/>
      <c r="E5507" s="292">
        <v>43070</v>
      </c>
      <c r="F5507" s="72" t="s">
        <v>3032</v>
      </c>
      <c r="G5507" s="72" t="s">
        <v>332</v>
      </c>
      <c r="H5507" s="73" t="s">
        <v>1880</v>
      </c>
      <c r="I5507" s="371"/>
      <c r="J5507" s="378"/>
      <c r="K5507" s="371"/>
      <c r="L5507" s="377"/>
      <c r="M5507" s="74">
        <v>3100000000</v>
      </c>
      <c r="N5507" s="75" t="s">
        <v>262</v>
      </c>
      <c r="O5507" s="75" t="s">
        <v>63</v>
      </c>
      <c r="P5507" s="75" t="str">
        <f>IF(AND('331-CT'!$E$7=TH!H7146,OR(N5507="331",O5507="331")),"x","")</f>
        <v/>
      </c>
      <c r="Q5507" s="75" t="str">
        <f>IF(AND(B5507='111'!$L$11,OR($N5507=$Q$7,$O5507=$Q$7)),"x","")</f>
        <v>x</v>
      </c>
      <c r="R5507" s="75" t="str">
        <f>IF(AND($N5507=$Q$7,$B5507&lt;'111'!$L$11),"x","")</f>
        <v/>
      </c>
      <c r="S5507" s="75" t="str">
        <f>IF(AND($O5507=$Q$7,$B5507&lt;'111'!$L$11),"x","")</f>
        <v/>
      </c>
      <c r="T5507" s="75" t="str">
        <f>IF(ISERROR(FIND('112'!$M$9,G5507,1)),"",IF((AND(FIND('112'!$M$9,G5507,1)&gt;=1,B5507='112'!$K$9,OR($N5507='112'!$I$6,$O5507='112'!$I$6))),"x",""))</f>
        <v/>
      </c>
      <c r="U5507" s="75" t="str">
        <f>IF(ISERROR(FIND('112'!$M$9,G5507,1)),"",IF((AND(LEFT(G5507,2)=LEFT('112'!$M$9,2),B5507&lt;'112'!$K$9,$N5507='112'!$I$6)),"x",""))</f>
        <v/>
      </c>
      <c r="V5507" s="75" t="str">
        <f>IF(ISERROR(FIND('112'!$M$9,G5507,1)),"",IF((AND(RIGHT(G5507,2)=RIGHT('112'!$M$9,2),B5507&lt;'112'!$K$9,$O5507='112'!$I$6)),"x",""))</f>
        <v/>
      </c>
      <c r="W5507" s="75" t="str">
        <f>IF(AND('341-CT'!$H$9=H5507,OR(LEFT(N5507,3)=$W$7,LEFT(O5507,3)=$W$7)),"x","")</f>
        <v/>
      </c>
      <c r="X5507" s="75" t="str">
        <f>IF(OR(TH!N7146=TH!$X$7,O5507=TH!$X$7),"x","")</f>
        <v/>
      </c>
      <c r="Y5507" s="75" t="str">
        <f>IF(AND(OR(N5507="131",O5507="131"),H5507='131-CT'!$H$9),"x","")</f>
        <v/>
      </c>
      <c r="Z5507" s="75"/>
      <c r="AA5507" s="75" t="str">
        <f>IF(AND(MONTH(E5507)='IN-NX'!$J$5,'IN-NX'!$D$7=D5507),"x","")</f>
        <v/>
      </c>
      <c r="AB5507" s="75" t="str">
        <f>IF(AND(OR(LEFT(TH!N7146,2)="15",LEFT(TH!O7146,2)="15"),LEFT(TH!O7146,3)&lt;&gt;"111",'152-CT'!$J$8=TH!F7146),"x","")</f>
        <v/>
      </c>
      <c r="AC5507" s="75" t="str">
        <f>IF(AND(OR(LEFT(TH!N7146,2)="15",LEFT(TH!O7146,2)="15"),TK!$E$7=TH!F7146),"x","")</f>
        <v/>
      </c>
      <c r="AD5507" s="75" t="str">
        <f>IF(AND(N5507="1521",MONTH(C5507)='BK-NL'!$M$11),"x","")</f>
        <v/>
      </c>
      <c r="AE5507" s="1264"/>
      <c r="AF5507" s="1264"/>
      <c r="AG5507" s="1264"/>
    </row>
    <row r="5508" spans="1:33" ht="16.5" customHeight="1">
      <c r="A5508" s="309" t="str">
        <f>IF(B5508&lt;&gt;"",IF(AND(B5508='IN-TC'!$S$4,OR(TH!N5491="1111",TH!O5491="1111")),TH!D5491,""),"")</f>
        <v/>
      </c>
      <c r="B5508" s="1339">
        <f t="shared" si="1356"/>
        <v>12</v>
      </c>
      <c r="C5508" s="292">
        <f t="shared" si="1357"/>
        <v>43070</v>
      </c>
      <c r="D5508" s="71"/>
      <c r="E5508" s="292">
        <v>43070</v>
      </c>
      <c r="F5508" s="72" t="s">
        <v>3032</v>
      </c>
      <c r="G5508" s="72" t="s">
        <v>1899</v>
      </c>
      <c r="H5508" s="73" t="s">
        <v>1879</v>
      </c>
      <c r="I5508" s="371"/>
      <c r="J5508" s="377"/>
      <c r="K5508" s="371"/>
      <c r="L5508" s="377"/>
      <c r="M5508" s="74">
        <v>3100000000</v>
      </c>
      <c r="N5508" s="75" t="s">
        <v>262</v>
      </c>
      <c r="O5508" s="75" t="s">
        <v>63</v>
      </c>
      <c r="P5508" s="75" t="str">
        <f>IF(AND('331-CT'!$E$7=TH!H7155,OR(N5508="331",O5508="331")),"x","")</f>
        <v/>
      </c>
      <c r="Q5508" s="75" t="str">
        <f>IF(AND(B5508='111'!$L$11,OR($N5508=$Q$7,$O5508=$Q$7)),"x","")</f>
        <v>x</v>
      </c>
      <c r="R5508" s="75" t="str">
        <f>IF(AND($N5508=$Q$7,$B5508&lt;'111'!$L$11),"x","")</f>
        <v/>
      </c>
      <c r="S5508" s="75" t="str">
        <f>IF(AND($O5508=$Q$7,$B5508&lt;'111'!$L$11),"x","")</f>
        <v/>
      </c>
      <c r="T5508" s="75" t="str">
        <f>IF(ISERROR(FIND('112'!$M$9,G5508,1)),"",IF((AND(FIND('112'!$M$9,G5508,1)&gt;=1,B5508='112'!$K$9,OR($N5508='112'!$I$6,$O5508='112'!$I$6))),"x",""))</f>
        <v/>
      </c>
      <c r="U5508" s="75" t="str">
        <f>IF(ISERROR(FIND('112'!$M$9,G5508,1)),"",IF((AND(LEFT(G5508,2)=LEFT('112'!$M$9,2),B5508&lt;'112'!$K$9,$N5508='112'!$I$6)),"x",""))</f>
        <v/>
      </c>
      <c r="V5508" s="75" t="str">
        <f>IF(ISERROR(FIND('112'!$M$9,G5508,1)),"",IF((AND(RIGHT(G5508,2)=RIGHT('112'!$M$9,2),B5508&lt;'112'!$K$9,$O5508='112'!$I$6)),"x",""))</f>
        <v/>
      </c>
      <c r="W5508" s="75" t="str">
        <f>IF(AND('341-CT'!$H$9=H5508,OR(LEFT(N5508,3)=$W$7,LEFT(O5508,3)=$W$7)),"x","")</f>
        <v/>
      </c>
      <c r="X5508" s="75" t="str">
        <f>IF(OR(TH!N7155=TH!$X$7,O5508=TH!$X$7),"x","")</f>
        <v/>
      </c>
      <c r="Y5508" s="75" t="str">
        <f>IF(AND(OR(N5508="131",O5508="131"),H5508='131-CT'!$H$9),"x","")</f>
        <v/>
      </c>
      <c r="Z5508" s="75"/>
      <c r="AA5508" s="75" t="str">
        <f>IF(AND(MONTH(E5508)='IN-NX'!$J$5,'IN-NX'!$D$7=D5508),"x","")</f>
        <v/>
      </c>
      <c r="AB5508" s="75" t="str">
        <f>IF(AND(OR(LEFT(TH!N7155,2)="15",LEFT(TH!O7155,2)="15"),LEFT(TH!O7155,3)&lt;&gt;"111",'152-CT'!$J$8=TH!F7155),"x","")</f>
        <v/>
      </c>
      <c r="AC5508" s="75" t="str">
        <f>IF(AND(OR(LEFT(TH!N7155,2)="15",LEFT(TH!O7155,2)="15"),TK!$E$7=TH!F7155),"x","")</f>
        <v/>
      </c>
      <c r="AD5508" s="75" t="str">
        <f>IF(AND(N5508="1521",MONTH(C5508)='BK-NL'!$M$11),"x","")</f>
        <v/>
      </c>
      <c r="AE5508" s="1264"/>
      <c r="AF5508" s="1264"/>
      <c r="AG5508" s="1264"/>
    </row>
    <row r="5509" spans="1:33" ht="16.5" customHeight="1">
      <c r="A5509" s="309" t="str">
        <f>IF(B5509&lt;&gt;"",IF(AND(B5509='IN-TC'!$S$4,OR(TH!N5492="1111",TH!O5492="1111")),TH!D5492,""),"")</f>
        <v/>
      </c>
      <c r="B5509" s="1159">
        <f t="shared" si="1356"/>
        <v>12</v>
      </c>
      <c r="C5509" s="292">
        <f t="shared" si="1357"/>
        <v>43070</v>
      </c>
      <c r="D5509" s="292" t="s">
        <v>833</v>
      </c>
      <c r="E5509" s="292">
        <v>43070</v>
      </c>
      <c r="F5509" s="67" t="s">
        <v>834</v>
      </c>
      <c r="G5509" s="943" t="s">
        <v>1713</v>
      </c>
      <c r="H5509" s="294" t="s">
        <v>1023</v>
      </c>
      <c r="I5509" s="373"/>
      <c r="J5509" s="926"/>
      <c r="K5509" s="373"/>
      <c r="L5509" s="379"/>
      <c r="M5509" s="927">
        <v>10500000000</v>
      </c>
      <c r="N5509" s="295" t="s">
        <v>63</v>
      </c>
      <c r="O5509" s="295" t="s">
        <v>26</v>
      </c>
      <c r="P5509" s="75" t="str">
        <f>IF(AND('331-CT'!$E$7=TH!H4575,OR(N5509="331",O5509="331")),"x","")</f>
        <v/>
      </c>
      <c r="Q5509" s="75" t="str">
        <f>IF(AND(B5509='111'!$L$11,OR($N5509=$Q$7,$O5509=$Q$7)),"x","")</f>
        <v>x</v>
      </c>
      <c r="R5509" s="75" t="str">
        <f>IF(AND($N5509=$Q$7,$B5509&lt;'111'!$L$11),"x","")</f>
        <v/>
      </c>
      <c r="S5509" s="75" t="str">
        <f>IF(AND($O5509=$Q$7,$B5509&lt;'111'!$L$11),"x","")</f>
        <v/>
      </c>
      <c r="T5509" s="75" t="str">
        <f>IF(ISERROR(FIND('112'!$M$9,G5509,1)),"",IF((AND(FIND('112'!$M$9,G5509,1)&gt;=1,B5509='112'!$K$9,OR($N5509='112'!$I$6,$O5509='112'!$I$6))),"x",""))</f>
        <v/>
      </c>
      <c r="U5509" s="75" t="str">
        <f>IF(ISERROR(FIND('112'!$M$9,G5509,1)),"",IF((AND(LEFT(G5509,2)=LEFT('112'!$M$9,2),B5509&lt;'112'!$K$9,$N5509='112'!$I$6)),"x",""))</f>
        <v/>
      </c>
      <c r="V5509" s="75" t="str">
        <f>IF(ISERROR(FIND('112'!$M$9,G5509,1)),"",IF((AND(RIGHT(G5509,2)=RIGHT('112'!$M$9,2),B5509&lt;'112'!$K$9,$O5509='112'!$I$6)),"x",""))</f>
        <v/>
      </c>
      <c r="W5509" s="75" t="str">
        <f>IF(AND('341-CT'!$H$9=H5509,OR(LEFT(N5509,3)=$W$7,LEFT(O5509,3)=$W$7)),"x","")</f>
        <v/>
      </c>
      <c r="X5509" s="75" t="str">
        <f>IF(OR(TH!N4575=TH!$X$7,O5509=TH!$X$7),"x","")</f>
        <v/>
      </c>
      <c r="Y5509" s="75" t="str">
        <f>IF(AND(OR(N5509="131",O5509="131"),H5509='131-CT'!$H$9),"x","")</f>
        <v/>
      </c>
      <c r="Z5509" s="75"/>
      <c r="AA5509" s="75" t="str">
        <f>IF(AND(MONTH(E5509)='IN-NX'!$J$5,'IN-NX'!$D$7=D5509),"x","")</f>
        <v/>
      </c>
      <c r="AB5509" s="75" t="str">
        <f>IF(AND(OR(LEFT(TH!N4575,2)="15",LEFT(TH!O4575,2)="15"),LEFT(TH!O4575,3)&lt;&gt;"111",'152-CT'!$J$8=TH!F4575),"x","")</f>
        <v/>
      </c>
      <c r="AC5509" s="75" t="str">
        <f>IF(AND(OR(LEFT(TH!N4575,2)="15",LEFT(TH!O4575,2)="15"),TK!$E$7=TH!F4575),"x","")</f>
        <v/>
      </c>
      <c r="AD5509" s="75" t="str">
        <f>IF(AND(N5509="1521",MONTH(C5509)='BK-NL'!$M$11),"x","")</f>
        <v/>
      </c>
    </row>
    <row r="5510" spans="1:33" ht="16.5" customHeight="1">
      <c r="A5510" s="309" t="str">
        <f>IF(B5510&lt;&gt;"",IF(AND(B5510='IN-TC'!$S$4,OR(TH!N5493="1111",TH!O5493="1111")),TH!D5493,""),"")</f>
        <v/>
      </c>
      <c r="B5510" s="1159">
        <f t="shared" si="1356"/>
        <v>12</v>
      </c>
      <c r="C5510" s="292">
        <f t="shared" si="1357"/>
        <v>43070</v>
      </c>
      <c r="D5510" s="292" t="s">
        <v>2493</v>
      </c>
      <c r="E5510" s="292">
        <v>43070</v>
      </c>
      <c r="F5510" s="67" t="s">
        <v>885</v>
      </c>
      <c r="G5510" s="943" t="s">
        <v>1713</v>
      </c>
      <c r="H5510" s="294" t="s">
        <v>1023</v>
      </c>
      <c r="I5510" s="373"/>
      <c r="J5510" s="926"/>
      <c r="K5510" s="373"/>
      <c r="L5510" s="379"/>
      <c r="M5510" s="927">
        <v>10450000000</v>
      </c>
      <c r="N5510" s="295" t="s">
        <v>26</v>
      </c>
      <c r="O5510" s="295" t="s">
        <v>63</v>
      </c>
      <c r="P5510" s="75" t="str">
        <f>IF(AND('331-CT'!$E$7=TH!H4576,OR(N5510="331",O5510="331")),"x","")</f>
        <v/>
      </c>
      <c r="Q5510" s="75" t="str">
        <f>IF(AND(B5510='111'!$L$11,OR($N5510=$Q$7,$O5510=$Q$7)),"x","")</f>
        <v>x</v>
      </c>
      <c r="R5510" s="75" t="str">
        <f>IF(AND($N5510=$Q$7,$B5510&lt;'111'!$L$11),"x","")</f>
        <v/>
      </c>
      <c r="S5510" s="75" t="str">
        <f>IF(AND($O5510=$Q$7,$B5510&lt;'111'!$L$11),"x","")</f>
        <v/>
      </c>
      <c r="T5510" s="75" t="str">
        <f>IF(ISERROR(FIND('112'!$M$9,G5510,1)),"",IF((AND(FIND('112'!$M$9,G5510,1)&gt;=1,B5510='112'!$K$9,OR($N5510='112'!$I$6,$O5510='112'!$I$6))),"x",""))</f>
        <v/>
      </c>
      <c r="U5510" s="75" t="str">
        <f>IF(ISERROR(FIND('112'!$M$9,G5510,1)),"",IF((AND(LEFT(G5510,2)=LEFT('112'!$M$9,2),B5510&lt;'112'!$K$9,$N5510='112'!$I$6)),"x",""))</f>
        <v/>
      </c>
      <c r="V5510" s="75" t="str">
        <f>IF(ISERROR(FIND('112'!$M$9,G5510,1)),"",IF((AND(RIGHT(G5510,2)=RIGHT('112'!$M$9,2),B5510&lt;'112'!$K$9,$O5510='112'!$I$6)),"x",""))</f>
        <v/>
      </c>
      <c r="W5510" s="75" t="str">
        <f>IF(AND('341-CT'!$H$9=H5510,OR(LEFT(N5510,3)=$W$7,LEFT(O5510,3)=$W$7)),"x","")</f>
        <v/>
      </c>
      <c r="X5510" s="75" t="str">
        <f>IF(OR(TH!N4576=TH!$X$7,O5510=TH!$X$7),"x","")</f>
        <v/>
      </c>
      <c r="Y5510" s="75" t="str">
        <f>IF(AND(OR(N5510="131",O5510="131"),H5510='131-CT'!$H$9),"x","")</f>
        <v/>
      </c>
      <c r="Z5510" s="75"/>
      <c r="AA5510" s="75" t="str">
        <f>IF(AND(MONTH(E5510)='IN-NX'!$J$5,'IN-NX'!$D$7=D5510),"x","")</f>
        <v/>
      </c>
      <c r="AB5510" s="75" t="str">
        <f>IF(AND(OR(LEFT(TH!N4576,2)="15",LEFT(TH!O4576,2)="15"),LEFT(TH!O4576,3)&lt;&gt;"111",'152-CT'!$J$8=TH!F4576),"x","")</f>
        <v/>
      </c>
      <c r="AC5510" s="75" t="str">
        <f>IF(AND(OR(LEFT(TH!N4576,2)="15",LEFT(TH!O4576,2)="15"),TK!$E$7=TH!F4576),"x","")</f>
        <v/>
      </c>
      <c r="AD5510" s="75" t="str">
        <f>IF(AND(N5510="1521",MONTH(C5510)='BK-NL'!$M$11),"x","")</f>
        <v/>
      </c>
    </row>
    <row r="5511" spans="1:33" ht="16.5" customHeight="1">
      <c r="A5511" s="309" t="str">
        <f>IF(B5511&lt;&gt;"",IF(AND(B5511='IN-TC'!$S$4,OR(TH!N5494="1111",TH!O5494="1111")),TH!D5494,""),"")</f>
        <v/>
      </c>
      <c r="B5511" s="1159">
        <f t="shared" si="1356"/>
        <v>12</v>
      </c>
      <c r="C5511" s="292">
        <f t="shared" si="1357"/>
        <v>43070</v>
      </c>
      <c r="D5511" s="292" t="s">
        <v>902</v>
      </c>
      <c r="E5511" s="292">
        <v>43070</v>
      </c>
      <c r="F5511" s="67" t="s">
        <v>897</v>
      </c>
      <c r="G5511" s="943" t="s">
        <v>1713</v>
      </c>
      <c r="H5511" s="294" t="s">
        <v>623</v>
      </c>
      <c r="I5511" s="373"/>
      <c r="J5511" s="926"/>
      <c r="K5511" s="373"/>
      <c r="L5511" s="379"/>
      <c r="M5511" s="927">
        <v>12900000000</v>
      </c>
      <c r="N5511" s="295" t="s">
        <v>8</v>
      </c>
      <c r="O5511" s="295" t="s">
        <v>26</v>
      </c>
      <c r="P5511" s="75" t="str">
        <f>IF(AND('331-CT'!$E$7=TH!H4577,OR(N5511="331",O5511="331")),"x","")</f>
        <v/>
      </c>
      <c r="Q5511" s="75" t="str">
        <f>IF(AND(B5511='111'!$L$11,OR($N5511=$Q$7,$O5511=$Q$7)),"x","")</f>
        <v/>
      </c>
      <c r="R5511" s="75" t="str">
        <f>IF(AND($N5511=$Q$7,$B5511&lt;'111'!$L$11),"x","")</f>
        <v/>
      </c>
      <c r="S5511" s="75" t="str">
        <f>IF(AND($O5511=$Q$7,$B5511&lt;'111'!$L$11),"x","")</f>
        <v/>
      </c>
      <c r="T5511" s="75" t="str">
        <f>IF(ISERROR(FIND('112'!$M$9,G5511,1)),"",IF((AND(FIND('112'!$M$9,G5511,1)&gt;=1,B5511='112'!$K$9,OR($N5511='112'!$I$6,$O5511='112'!$I$6))),"x",""))</f>
        <v/>
      </c>
      <c r="U5511" s="75" t="str">
        <f>IF(ISERROR(FIND('112'!$M$9,G5511,1)),"",IF((AND(LEFT(G5511,2)=LEFT('112'!$M$9,2),B5511&lt;'112'!$K$9,$N5511='112'!$I$6)),"x",""))</f>
        <v/>
      </c>
      <c r="V5511" s="75" t="str">
        <f>IF(ISERROR(FIND('112'!$M$9,G5511,1)),"",IF((AND(RIGHT(G5511,2)=RIGHT('112'!$M$9,2),B5511&lt;'112'!$K$9,$O5511='112'!$I$6)),"x",""))</f>
        <v/>
      </c>
      <c r="W5511" s="75" t="str">
        <f>IF(AND('341-CT'!$H$9=H5511,OR(LEFT(N5511,3)=$W$7,LEFT(O5511,3)=$W$7)),"x","")</f>
        <v/>
      </c>
      <c r="X5511" s="75" t="str">
        <f>IF(OR(TH!N4577=TH!$X$7,O5511=TH!$X$7),"x","")</f>
        <v/>
      </c>
      <c r="Y5511" s="75" t="str">
        <f>IF(AND(OR(N5511="131",O5511="131"),H5511='131-CT'!$H$9),"x","")</f>
        <v/>
      </c>
      <c r="Z5511" s="75"/>
      <c r="AA5511" s="75" t="str">
        <f>IF(AND(MONTH(E5511)='IN-NX'!$J$5,'IN-NX'!$D$7=D5511),"x","")</f>
        <v/>
      </c>
      <c r="AB5511" s="75" t="str">
        <f>IF(AND(OR(LEFT(TH!N4577,2)="15",LEFT(TH!O4577,2)="15"),LEFT(TH!O4577,3)&lt;&gt;"111",'152-CT'!$J$8=TH!F4577),"x","")</f>
        <v/>
      </c>
      <c r="AC5511" s="75" t="str">
        <f>IF(AND(OR(LEFT(TH!N4577,2)="15",LEFT(TH!O4577,2)="15"),TK!$E$7=TH!F4577),"x","")</f>
        <v/>
      </c>
      <c r="AD5511" s="75" t="str">
        <f>IF(AND(N5511="1521",MONTH(C5511)='BK-NL'!$M$11),"x","")</f>
        <v/>
      </c>
    </row>
    <row r="5512" spans="1:33" ht="16.5" customHeight="1">
      <c r="A5512" s="309" t="str">
        <f>IF(B5512&lt;&gt;"",IF(AND(B5512='IN-TC'!$S$4,OR(TH!N5495="1111",TH!O5495="1111")),TH!D5495,""),"")</f>
        <v/>
      </c>
      <c r="B5512" s="1159">
        <f t="shared" si="1356"/>
        <v>12</v>
      </c>
      <c r="C5512" s="292">
        <f t="shared" si="1357"/>
        <v>43070</v>
      </c>
      <c r="D5512" s="59" t="s">
        <v>902</v>
      </c>
      <c r="E5512" s="59">
        <v>43070</v>
      </c>
      <c r="F5512" s="67" t="s">
        <v>870</v>
      </c>
      <c r="G5512" s="62" t="s">
        <v>1713</v>
      </c>
      <c r="H5512" s="67" t="s">
        <v>1771</v>
      </c>
      <c r="I5512" s="375"/>
      <c r="J5512" s="381"/>
      <c r="K5512" s="60"/>
      <c r="L5512" s="381"/>
      <c r="M5512" s="60">
        <v>1000000</v>
      </c>
      <c r="N5512" s="61" t="s">
        <v>101</v>
      </c>
      <c r="O5512" s="61" t="s">
        <v>26</v>
      </c>
      <c r="P5512" s="75" t="str">
        <f>IF(AND('331-CT'!$E$7=TH!H4578,OR(N5512="331",O5512="331")),"x","")</f>
        <v/>
      </c>
      <c r="Q5512" s="75" t="str">
        <f>IF(AND(B5512='111'!$L$11,OR($N5512=$Q$7,$O5512=$Q$7)),"x","")</f>
        <v/>
      </c>
      <c r="R5512" s="75" t="str">
        <f>IF(AND($N5512=$Q$7,$B5512&lt;'111'!$L$11),"x","")</f>
        <v/>
      </c>
      <c r="S5512" s="75" t="str">
        <f>IF(AND($O5512=$Q$7,$B5512&lt;'111'!$L$11),"x","")</f>
        <v/>
      </c>
      <c r="T5512" s="75" t="str">
        <f>IF(ISERROR(FIND('112'!$M$9,G5512,1)),"",IF((AND(FIND('112'!$M$9,G5512,1)&gt;=1,B5512='112'!$K$9,OR($N5512='112'!$I$6,$O5512='112'!$I$6))),"x",""))</f>
        <v/>
      </c>
      <c r="U5512" s="75" t="str">
        <f>IF(ISERROR(FIND('112'!$M$9,G5512,1)),"",IF((AND(LEFT(G5512,2)=LEFT('112'!$M$9,2),B5512&lt;'112'!$K$9,$N5512='112'!$I$6)),"x",""))</f>
        <v/>
      </c>
      <c r="V5512" s="75" t="str">
        <f>IF(ISERROR(FIND('112'!$M$9,G5512,1)),"",IF((AND(RIGHT(G5512,2)=RIGHT('112'!$M$9,2),B5512&lt;'112'!$K$9,$O5512='112'!$I$6)),"x",""))</f>
        <v/>
      </c>
      <c r="W5512" s="75" t="str">
        <f>IF(AND('341-CT'!$H$9=H5512,OR(LEFT(N5512,3)=$W$7,LEFT(O5512,3)=$W$7)),"x","")</f>
        <v/>
      </c>
      <c r="X5512" s="75" t="str">
        <f>IF(OR(TH!N4578=TH!$X$7,O5512=TH!$X$7),"x","")</f>
        <v/>
      </c>
      <c r="Y5512" s="75" t="str">
        <f>IF(AND(OR(N5512="131",O5512="131"),H5512='131-CT'!$H$9),"x","")</f>
        <v/>
      </c>
      <c r="Z5512" s="75"/>
      <c r="AA5512" s="75" t="str">
        <f>IF(AND(MONTH(E5512)='IN-NX'!$J$5,'IN-NX'!$D$7=D5512),"x","")</f>
        <v/>
      </c>
      <c r="AB5512" s="75" t="str">
        <f>IF(AND(OR(LEFT(TH!N4578,2)="15",LEFT(TH!O4578,2)="15"),LEFT(TH!O4578,3)&lt;&gt;"111",'152-CT'!$J$8=TH!F4578),"x","")</f>
        <v/>
      </c>
      <c r="AC5512" s="75" t="str">
        <f>IF(AND(OR(LEFT(TH!N4578,2)="15",LEFT(TH!O4578,2)="15"),TK!$E$7=TH!F4578),"x","")</f>
        <v/>
      </c>
      <c r="AD5512" s="75" t="str">
        <f>IF(AND(N5512="1521",MONTH(C5512)='BK-NL'!$M$11),"x","")</f>
        <v/>
      </c>
      <c r="AE5512" s="1053">
        <v>12</v>
      </c>
      <c r="AF5512" s="1053"/>
      <c r="AG5512" s="1053"/>
    </row>
    <row r="5513" spans="1:33" ht="16.5" customHeight="1">
      <c r="A5513" s="309" t="str">
        <f>IF(B5513&lt;&gt;"",IF(AND(B5513='IN-TC'!$S$4,OR(TH!N5496="1111",TH!O5496="1111")),TH!D5496,""),"")</f>
        <v/>
      </c>
      <c r="B5513" s="1159">
        <f t="shared" si="1356"/>
        <v>12</v>
      </c>
      <c r="C5513" s="292">
        <f t="shared" si="1357"/>
        <v>43070</v>
      </c>
      <c r="D5513" s="59" t="s">
        <v>902</v>
      </c>
      <c r="E5513" s="59">
        <v>43070</v>
      </c>
      <c r="F5513" s="67" t="s">
        <v>898</v>
      </c>
      <c r="G5513" s="62" t="s">
        <v>1713</v>
      </c>
      <c r="H5513" s="67" t="s">
        <v>1771</v>
      </c>
      <c r="I5513" s="375"/>
      <c r="J5513" s="381"/>
      <c r="K5513" s="375"/>
      <c r="L5513" s="381"/>
      <c r="M5513" s="60">
        <v>100000</v>
      </c>
      <c r="N5513" s="61" t="s">
        <v>9</v>
      </c>
      <c r="O5513" s="61" t="s">
        <v>26</v>
      </c>
      <c r="P5513" s="75" t="str">
        <f>IF(AND('331-CT'!$E$7=TH!H4579,OR(N5513="331",O5513="331")),"x","")</f>
        <v/>
      </c>
      <c r="Q5513" s="75" t="str">
        <f>IF(AND(B5513='111'!$L$11,OR($N5513=$Q$7,$O5513=$Q$7)),"x","")</f>
        <v/>
      </c>
      <c r="R5513" s="75" t="str">
        <f>IF(AND($N5513=$Q$7,$B5513&lt;'111'!$L$11),"x","")</f>
        <v/>
      </c>
      <c r="S5513" s="75" t="str">
        <f>IF(AND($O5513=$Q$7,$B5513&lt;'111'!$L$11),"x","")</f>
        <v/>
      </c>
      <c r="T5513" s="75" t="str">
        <f>IF(ISERROR(FIND('112'!$M$9,G5513,1)),"",IF((AND(FIND('112'!$M$9,G5513,1)&gt;=1,B5513='112'!$K$9,OR($N5513='112'!$I$6,$O5513='112'!$I$6))),"x",""))</f>
        <v/>
      </c>
      <c r="U5513" s="75" t="str">
        <f>IF(ISERROR(FIND('112'!$M$9,G5513,1)),"",IF((AND(LEFT(G5513,2)=LEFT('112'!$M$9,2),B5513&lt;'112'!$K$9,$N5513='112'!$I$6)),"x",""))</f>
        <v/>
      </c>
      <c r="V5513" s="75" t="str">
        <f>IF(ISERROR(FIND('112'!$M$9,G5513,1)),"",IF((AND(RIGHT(G5513,2)=RIGHT('112'!$M$9,2),B5513&lt;'112'!$K$9,$O5513='112'!$I$6)),"x",""))</f>
        <v/>
      </c>
      <c r="W5513" s="75" t="str">
        <f>IF(AND('341-CT'!$H$9=H5513,OR(LEFT(N5513,3)=$W$7,LEFT(O5513,3)=$W$7)),"x","")</f>
        <v/>
      </c>
      <c r="X5513" s="75" t="str">
        <f>IF(OR(TH!N4579=TH!$X$7,O5513=TH!$X$7),"x","")</f>
        <v/>
      </c>
      <c r="Y5513" s="75" t="str">
        <f>IF(AND(OR(N5513="131",O5513="131"),H5513='131-CT'!$H$9),"x","")</f>
        <v/>
      </c>
      <c r="Z5513" s="75"/>
      <c r="AA5513" s="75" t="str">
        <f>IF(AND(MONTH(E5513)='IN-NX'!$J$5,'IN-NX'!$D$7=D5513),"x","")</f>
        <v/>
      </c>
      <c r="AB5513" s="75" t="str">
        <f>IF(AND(OR(LEFT(TH!N4579,2)="15",LEFT(TH!O4579,2)="15"),LEFT(TH!O4579,3)&lt;&gt;"111",'152-CT'!$J$8=TH!F4579),"x","")</f>
        <v/>
      </c>
      <c r="AC5513" s="75" t="str">
        <f>IF(AND(OR(LEFT(TH!N4579,2)="15",LEFT(TH!O4579,2)="15"),TK!$E$7=TH!F4579),"x","")</f>
        <v/>
      </c>
      <c r="AD5513" s="75" t="str">
        <f>IF(AND(N5513="1521",MONTH(C5513)='BK-NL'!$M$11),"x","")</f>
        <v/>
      </c>
      <c r="AE5513" s="1053">
        <v>12</v>
      </c>
      <c r="AF5513" s="1053"/>
      <c r="AG5513" s="1053"/>
    </row>
    <row r="5514" spans="1:33" ht="16.5" customHeight="1">
      <c r="A5514" s="309" t="str">
        <f>IF(B5514&lt;&gt;"",IF(AND(B5514='IN-TC'!$S$4,OR(TH!N5497="1111",TH!O5497="1111")),TH!D5497,""),"")</f>
        <v/>
      </c>
      <c r="B5514" s="1159">
        <f t="shared" si="1356"/>
        <v>12</v>
      </c>
      <c r="C5514" s="292">
        <f t="shared" si="1357"/>
        <v>43070</v>
      </c>
      <c r="D5514" s="59" t="s">
        <v>843</v>
      </c>
      <c r="E5514" s="59">
        <v>43070</v>
      </c>
      <c r="F5514" s="62" t="s">
        <v>834</v>
      </c>
      <c r="G5514" s="62" t="s">
        <v>585</v>
      </c>
      <c r="H5514" s="67" t="s">
        <v>1023</v>
      </c>
      <c r="I5514" s="373"/>
      <c r="J5514" s="382"/>
      <c r="K5514" s="373"/>
      <c r="L5514" s="379"/>
      <c r="M5514" s="60">
        <v>2900000000</v>
      </c>
      <c r="N5514" s="61" t="s">
        <v>63</v>
      </c>
      <c r="O5514" s="61" t="s">
        <v>26</v>
      </c>
      <c r="P5514" s="75" t="str">
        <f>IF(AND('331-CT'!$E$7=TH!H4908,OR(N5514="331",O5514="331")),"x","")</f>
        <v/>
      </c>
      <c r="Q5514" s="75" t="str">
        <f>IF(AND(B5514='111'!$L$11,OR($N5514=$Q$7,$O5514=$Q$7)),"x","")</f>
        <v>x</v>
      </c>
      <c r="R5514" s="75" t="str">
        <f>IF(AND($N5514=$Q$7,$B5514&lt;'111'!$L$11),"x","")</f>
        <v/>
      </c>
      <c r="S5514" s="75" t="str">
        <f>IF(AND($O5514=$Q$7,$B5514&lt;'111'!$L$11),"x","")</f>
        <v/>
      </c>
      <c r="T5514" s="75" t="str">
        <f>IF(ISERROR(FIND('112'!$M$9,G5514,1)),"",IF((AND(FIND('112'!$M$9,G5514,1)&gt;=1,B5514='112'!$K$9,OR($N5514='112'!$I$6,$O5514='112'!$I$6))),"x",""))</f>
        <v/>
      </c>
      <c r="U5514" s="75" t="str">
        <f>IF(ISERROR(FIND('112'!$M$9,G5514,1)),"",IF((AND(LEFT(G5514,2)=LEFT('112'!$M$9,2),B5514&lt;'112'!$K$9,$N5514='112'!$I$6)),"x",""))</f>
        <v/>
      </c>
      <c r="V5514" s="75" t="str">
        <f>IF(ISERROR(FIND('112'!$M$9,G5514,1)),"",IF((AND(RIGHT(G5514,2)=RIGHT('112'!$M$9,2),B5514&lt;'112'!$K$9,$O5514='112'!$I$6)),"x",""))</f>
        <v/>
      </c>
      <c r="W5514" s="75" t="str">
        <f>IF(AND('341-CT'!$H$9=H5514,OR(LEFT(N5514,3)=$W$7,LEFT(O5514,3)=$W$7)),"x","")</f>
        <v/>
      </c>
      <c r="X5514" s="75" t="str">
        <f>IF(OR(TH!N4908=TH!$X$7,O5514=TH!$X$7),"x","")</f>
        <v/>
      </c>
      <c r="Y5514" s="75" t="str">
        <f>IF(AND(OR(N5514="131",O5514="131"),H5514='131-CT'!$H$9),"x","")</f>
        <v/>
      </c>
      <c r="Z5514" s="75"/>
      <c r="AA5514" s="75" t="str">
        <f>IF(AND(MONTH(E5514)='IN-NX'!$J$5,'IN-NX'!$D$7=D5514),"x","")</f>
        <v/>
      </c>
      <c r="AB5514" s="75" t="str">
        <f>IF(AND(OR(LEFT(TH!N4908,2)="15",LEFT(TH!O4908,2)="15"),LEFT(TH!O4908,3)&lt;&gt;"111",'152-CT'!$J$8=TH!F4908),"x","")</f>
        <v/>
      </c>
      <c r="AC5514" s="75" t="str">
        <f>IF(AND(OR(LEFT(TH!N4908,2)="15",LEFT(TH!O4908,2)="15"),TK!$E$7=TH!F4908),"x","")</f>
        <v/>
      </c>
      <c r="AD5514" s="75" t="str">
        <f>IF(AND(N5514="1521",MONTH(C5514)='BK-NL'!$M$11),"x","")</f>
        <v/>
      </c>
      <c r="AE5514" s="304"/>
      <c r="AF5514" s="304"/>
      <c r="AG5514" s="304"/>
    </row>
    <row r="5515" spans="1:33" ht="16.5" customHeight="1">
      <c r="A5515" s="309" t="str">
        <f>IF(B5515&lt;&gt;"",IF(AND(B5515='IN-TC'!$S$4,OR(TH!N5498="1111",TH!O5498="1111")),TH!D5498,""),"")</f>
        <v/>
      </c>
      <c r="B5515" s="1159">
        <f t="shared" si="1356"/>
        <v>12</v>
      </c>
      <c r="C5515" s="292">
        <f t="shared" si="1357"/>
        <v>43070</v>
      </c>
      <c r="D5515" s="59" t="s">
        <v>903</v>
      </c>
      <c r="E5515" s="59">
        <v>43070</v>
      </c>
      <c r="F5515" s="62" t="s">
        <v>2708</v>
      </c>
      <c r="G5515" s="62" t="s">
        <v>747</v>
      </c>
      <c r="H5515" s="67" t="s">
        <v>2707</v>
      </c>
      <c r="I5515" s="373"/>
      <c r="J5515" s="382"/>
      <c r="K5515" s="373">
        <v>40500</v>
      </c>
      <c r="L5515" s="379">
        <v>22703</v>
      </c>
      <c r="M5515" s="60">
        <f>ROUND(K5515*L5515,0)</f>
        <v>919471500</v>
      </c>
      <c r="N5515" s="61" t="s">
        <v>26</v>
      </c>
      <c r="O5515" s="61" t="s">
        <v>250</v>
      </c>
      <c r="P5515" s="75" t="str">
        <f>IF(AND('331-CT'!$E$7=TH!H5619,OR(N5515="331",O5515="331")),"x","")</f>
        <v/>
      </c>
      <c r="Q5515" s="75" t="str">
        <f>IF(AND(B5515='111'!$L$11,OR($N5515=$Q$7,$O5515=$Q$7)),"x","")</f>
        <v/>
      </c>
      <c r="R5515" s="75" t="str">
        <f>IF(AND($N5515=$Q$7,$B5515&lt;'111'!$L$11),"x","")</f>
        <v/>
      </c>
      <c r="S5515" s="75" t="str">
        <f>IF(AND($O5515=$Q$7,$B5515&lt;'111'!$L$11),"x","")</f>
        <v/>
      </c>
      <c r="T5515" s="75" t="str">
        <f>IF(ISERROR(FIND('112'!$M$9,G5515,1)),"",IF((AND(FIND('112'!$M$9,G5515,1)&gt;=1,B5515='112'!$K$9,OR($N5515='112'!$I$6,$O5515='112'!$I$6))),"x",""))</f>
        <v/>
      </c>
      <c r="U5515" s="75" t="str">
        <f>IF(ISERROR(FIND('112'!$M$9,G5515,1)),"",IF((AND(LEFT(G5515,2)=LEFT('112'!$M$9,2),B5515&lt;'112'!$K$9,$N5515='112'!$I$6)),"x",""))</f>
        <v/>
      </c>
      <c r="V5515" s="75" t="str">
        <f>IF(ISERROR(FIND('112'!$M$9,G5515,1)),"",IF((AND(RIGHT(G5515,2)=RIGHT('112'!$M$9,2),B5515&lt;'112'!$K$9,$O5515='112'!$I$6)),"x",""))</f>
        <v/>
      </c>
      <c r="W5515" s="75" t="str">
        <f>IF(AND('341-CT'!$H$9=H5515,OR(LEFT(N5515,3)=$W$7,LEFT(O5515,3)=$W$7)),"x","")</f>
        <v/>
      </c>
      <c r="X5515" s="75" t="str">
        <f>IF(OR(TH!N5619=TH!$X$7,O5515=TH!$X$7),"x","")</f>
        <v/>
      </c>
      <c r="Y5515" s="75" t="str">
        <f>IF(AND(OR(N5515="131",O5515="131"),H5515='131-CT'!$H$9),"x","")</f>
        <v/>
      </c>
      <c r="Z5515" s="75"/>
      <c r="AA5515" s="75" t="str">
        <f>IF(AND(MONTH(E5515)='IN-NX'!$J$5,'IN-NX'!$D$7=D5515),"x","")</f>
        <v/>
      </c>
      <c r="AB5515" s="75" t="str">
        <f>IF(AND(OR(LEFT(TH!N5619,2)="15",LEFT(TH!O5619,2)="15"),LEFT(TH!O5619,3)&lt;&gt;"111",'152-CT'!$J$8=TH!F5619),"x","")</f>
        <v/>
      </c>
      <c r="AC5515" s="75" t="str">
        <f>IF(AND(OR(LEFT(TH!N5619,2)="15",LEFT(TH!O5619,2)="15"),TK!$E$7=TH!F5619),"x","")</f>
        <v/>
      </c>
      <c r="AD5515" s="75" t="str">
        <f>IF(AND(N5515="1521",MONTH(C5515)='BK-NL'!$M$11),"x","")</f>
        <v/>
      </c>
    </row>
    <row r="5516" spans="1:33" ht="16.5" customHeight="1">
      <c r="A5516" s="309" t="str">
        <f>IF(B5516&lt;&gt;"",IF(AND(B5516='IN-TC'!$S$4,OR(TH!N5499="1111",TH!O5499="1111")),TH!D5499,""),"")</f>
        <v/>
      </c>
      <c r="B5516" s="1159">
        <f t="shared" si="1356"/>
        <v>12</v>
      </c>
      <c r="C5516" s="292">
        <f t="shared" si="1357"/>
        <v>43070</v>
      </c>
      <c r="D5516" s="59" t="s">
        <v>903</v>
      </c>
      <c r="E5516" s="59">
        <v>43070</v>
      </c>
      <c r="F5516" s="62" t="s">
        <v>907</v>
      </c>
      <c r="G5516" s="62" t="s">
        <v>747</v>
      </c>
      <c r="H5516" s="67" t="s">
        <v>835</v>
      </c>
      <c r="I5516" s="375"/>
      <c r="J5516" s="382"/>
      <c r="K5516" s="375">
        <v>5700</v>
      </c>
      <c r="L5516" s="381">
        <v>22680</v>
      </c>
      <c r="M5516" s="927">
        <f>ROUND(L5516*K5516,0)</f>
        <v>129276000</v>
      </c>
      <c r="N5516" s="61" t="s">
        <v>26</v>
      </c>
      <c r="O5516" s="61" t="s">
        <v>256</v>
      </c>
      <c r="P5516" s="75" t="str">
        <f>IF(AND('331-CT'!$E$7=TH!H5620,OR(N5516="331",O5516="331")),"x","")</f>
        <v/>
      </c>
      <c r="Q5516" s="75" t="str">
        <f>IF(AND(B5516='111'!$L$11,OR($N5516=$Q$7,$O5516=$Q$7)),"x","")</f>
        <v/>
      </c>
      <c r="R5516" s="75" t="str">
        <f>IF(AND($N5516=$Q$7,$B5516&lt;'111'!$L$11),"x","")</f>
        <v/>
      </c>
      <c r="S5516" s="75" t="str">
        <f>IF(AND($O5516=$Q$7,$B5516&lt;'111'!$L$11),"x","")</f>
        <v/>
      </c>
      <c r="T5516" s="75" t="str">
        <f>IF(ISERROR(FIND('112'!$M$9,G5516,1)),"",IF((AND(FIND('112'!$M$9,G5516,1)&gt;=1,B5516='112'!$K$9,OR($N5516='112'!$I$6,$O5516='112'!$I$6))),"x",""))</f>
        <v/>
      </c>
      <c r="U5516" s="75" t="str">
        <f>IF(ISERROR(FIND('112'!$M$9,G5516,1)),"",IF((AND(LEFT(G5516,2)=LEFT('112'!$M$9,2),B5516&lt;'112'!$K$9,$N5516='112'!$I$6)),"x",""))</f>
        <v/>
      </c>
      <c r="V5516" s="75" t="str">
        <f>IF(ISERROR(FIND('112'!$M$9,G5516,1)),"",IF((AND(RIGHT(G5516,2)=RIGHT('112'!$M$9,2),B5516&lt;'112'!$K$9,$O5516='112'!$I$6)),"x",""))</f>
        <v/>
      </c>
      <c r="W5516" s="75" t="str">
        <f>IF(AND('341-CT'!$H$9=H5516,OR(LEFT(N5516,3)=$W$7,LEFT(O5516,3)=$W$7)),"x","")</f>
        <v/>
      </c>
      <c r="X5516" s="75" t="str">
        <f>IF(OR(TH!N5620=TH!$X$7,O5516=TH!$X$7),"x","")</f>
        <v/>
      </c>
      <c r="Y5516" s="75" t="str">
        <f>IF(AND(OR(N5516="131",O5516="131"),H5516='131-CT'!$H$9),"x","")</f>
        <v/>
      </c>
      <c r="Z5516" s="75"/>
      <c r="AA5516" s="75" t="str">
        <f>IF(AND(MONTH(E5516)='IN-NX'!$J$5,'IN-NX'!$D$7=D5516),"x","")</f>
        <v/>
      </c>
      <c r="AB5516" s="75" t="str">
        <f>IF(AND(OR(LEFT(TH!N5620,2)="15",LEFT(TH!O5620,2)="15"),LEFT(TH!O5620,3)&lt;&gt;"111",'152-CT'!$J$8=TH!F5620),"x","")</f>
        <v/>
      </c>
      <c r="AC5516" s="75" t="str">
        <f>IF(AND(OR(LEFT(TH!N5620,2)="15",LEFT(TH!O5620,2)="15"),TK!$E$7=TH!F5620),"x","")</f>
        <v/>
      </c>
      <c r="AD5516" s="75" t="str">
        <f>IF(AND(N5516="1521",MONTH(C5516)='BK-NL'!$M$11),"x","")</f>
        <v/>
      </c>
    </row>
    <row r="5517" spans="1:33" ht="16.5" customHeight="1">
      <c r="A5517" s="309" t="str">
        <f>IF(B5517&lt;&gt;"",IF(AND(B5517='IN-TC'!$S$4,OR(TH!N5500="1111",TH!O5500="1111")),TH!D5500,""),"")</f>
        <v/>
      </c>
      <c r="B5517" s="1159">
        <f t="shared" si="1356"/>
        <v>12</v>
      </c>
      <c r="C5517" s="292">
        <f t="shared" si="1357"/>
        <v>43071</v>
      </c>
      <c r="D5517" s="59" t="s">
        <v>902</v>
      </c>
      <c r="E5517" s="59">
        <v>43071</v>
      </c>
      <c r="F5517" s="62" t="s">
        <v>1177</v>
      </c>
      <c r="G5517" s="62" t="s">
        <v>747</v>
      </c>
      <c r="H5517" s="67" t="s">
        <v>835</v>
      </c>
      <c r="I5517" s="375"/>
      <c r="J5517" s="382"/>
      <c r="K5517" s="375"/>
      <c r="L5517" s="381"/>
      <c r="M5517" s="60">
        <v>2446899</v>
      </c>
      <c r="N5517" s="61" t="s">
        <v>101</v>
      </c>
      <c r="O5517" s="61" t="s">
        <v>26</v>
      </c>
      <c r="P5517" s="75" t="str">
        <f>IF(AND('331-CT'!$E$7=TH!H5621,OR(N5517="331",O5517="331")),"x","")</f>
        <v/>
      </c>
      <c r="Q5517" s="75" t="str">
        <f>IF(AND(B5517='111'!$L$11,OR($N5517=$Q$7,$O5517=$Q$7)),"x","")</f>
        <v/>
      </c>
      <c r="R5517" s="75" t="str">
        <f>IF(AND($N5517=$Q$7,$B5517&lt;'111'!$L$11),"x","")</f>
        <v/>
      </c>
      <c r="S5517" s="75" t="str">
        <f>IF(AND($O5517=$Q$7,$B5517&lt;'111'!$L$11),"x","")</f>
        <v/>
      </c>
      <c r="T5517" s="75" t="str">
        <f>IF(ISERROR(FIND('112'!$M$9,G5517,1)),"",IF((AND(FIND('112'!$M$9,G5517,1)&gt;=1,B5517='112'!$K$9,OR($N5517='112'!$I$6,$O5517='112'!$I$6))),"x",""))</f>
        <v/>
      </c>
      <c r="U5517" s="75" t="str">
        <f>IF(ISERROR(FIND('112'!$M$9,G5517,1)),"",IF((AND(LEFT(G5517,2)=LEFT('112'!$M$9,2),B5517&lt;'112'!$K$9,$N5517='112'!$I$6)),"x",""))</f>
        <v/>
      </c>
      <c r="V5517" s="75" t="str">
        <f>IF(ISERROR(FIND('112'!$M$9,G5517,1)),"",IF((AND(RIGHT(G5517,2)=RIGHT('112'!$M$9,2),B5517&lt;'112'!$K$9,$O5517='112'!$I$6)),"x",""))</f>
        <v/>
      </c>
      <c r="W5517" s="75" t="str">
        <f>IF(AND('341-CT'!$H$9=H5517,OR(LEFT(N5517,3)=$W$7,LEFT(O5517,3)=$W$7)),"x","")</f>
        <v/>
      </c>
      <c r="X5517" s="75" t="str">
        <f>IF(OR(TH!N5621=TH!$X$7,O5517=TH!$X$7),"x","")</f>
        <v/>
      </c>
      <c r="Y5517" s="75" t="str">
        <f>IF(AND(OR(N5517="131",O5517="131"),H5517='131-CT'!$H$9),"x","")</f>
        <v/>
      </c>
      <c r="Z5517" s="75"/>
      <c r="AA5517" s="75" t="str">
        <f>IF(AND(MONTH(E5517)='IN-NX'!$J$5,'IN-NX'!$D$7=D5517),"x","")</f>
        <v/>
      </c>
      <c r="AB5517" s="75" t="str">
        <f>IF(AND(OR(LEFT(TH!N5621,2)="15",LEFT(TH!O5621,2)="15"),LEFT(TH!O5621,3)&lt;&gt;"111",'152-CT'!$J$8=TH!F5621),"x","")</f>
        <v/>
      </c>
      <c r="AC5517" s="75" t="str">
        <f>IF(AND(OR(LEFT(TH!N5621,2)="15",LEFT(TH!O5621,2)="15"),TK!$E$7=TH!F5621),"x","")</f>
        <v/>
      </c>
      <c r="AD5517" s="75" t="str">
        <f>IF(AND(N5517="1521",MONTH(C5517)='BK-NL'!$M$11),"x","")</f>
        <v/>
      </c>
    </row>
    <row r="5518" spans="1:33" ht="16.5" customHeight="1">
      <c r="A5518" s="309" t="str">
        <f>IF(B5518&lt;&gt;"",IF(AND(B5518='IN-TC'!$S$4,OR(TH!N5501="1111",TH!O5501="1111")),TH!D5501,""),"")</f>
        <v/>
      </c>
      <c r="B5518" s="1159">
        <f t="shared" si="1356"/>
        <v>12</v>
      </c>
      <c r="C5518" s="292">
        <f t="shared" si="1357"/>
        <v>43073</v>
      </c>
      <c r="D5518" s="59"/>
      <c r="E5518" s="59">
        <v>43073</v>
      </c>
      <c r="F5518" s="62" t="s">
        <v>1830</v>
      </c>
      <c r="G5518" s="742" t="s">
        <v>2807</v>
      </c>
      <c r="H5518" s="67" t="s">
        <v>1720</v>
      </c>
      <c r="I5518" s="375"/>
      <c r="J5518" s="382"/>
      <c r="K5518" s="375"/>
      <c r="L5518" s="381"/>
      <c r="M5518" s="60">
        <v>2550000</v>
      </c>
      <c r="N5518" s="61" t="s">
        <v>101</v>
      </c>
      <c r="O5518" s="61" t="s">
        <v>63</v>
      </c>
      <c r="P5518" s="75" t="str">
        <f>IF(AND('331-CT'!$E$7=TH!H4136,OR(N5518="331",O5518="331")),"x","")</f>
        <v/>
      </c>
      <c r="Q5518" s="75" t="str">
        <f>IF(AND(B5518='111'!$L$11,OR($N5518=$Q$7,$O5518=$Q$7)),"x","")</f>
        <v>x</v>
      </c>
      <c r="R5518" s="75" t="str">
        <f>IF(AND($N5518=$Q$7,$B5518&lt;'111'!$L$11),"x","")</f>
        <v/>
      </c>
      <c r="S5518" s="75" t="str">
        <f>IF(AND($O5518=$Q$7,$B5518&lt;'111'!$L$11),"x","")</f>
        <v/>
      </c>
      <c r="T5518" s="75" t="str">
        <f>IF(ISERROR(FIND('112'!$M$9,G5518,1)),"",IF((AND(FIND('112'!$M$9,G5518,1)&gt;=1,B5518='112'!$K$9,OR($N5518='112'!$I$6,$O5518='112'!$I$6))),"x",""))</f>
        <v/>
      </c>
      <c r="U5518" s="75" t="str">
        <f>IF(ISERROR(FIND('112'!$M$9,G5518,1)),"",IF((AND(LEFT(G5518,2)=LEFT('112'!$M$9,2),B5518&lt;'112'!$K$9,$N5518='112'!$I$6)),"x",""))</f>
        <v/>
      </c>
      <c r="V5518" s="75" t="str">
        <f>IF(ISERROR(FIND('112'!$M$9,G5518,1)),"",IF((AND(RIGHT(G5518,2)=RIGHT('112'!$M$9,2),B5518&lt;'112'!$K$9,$O5518='112'!$I$6)),"x",""))</f>
        <v/>
      </c>
      <c r="W5518" s="75" t="str">
        <f>IF(AND('341-CT'!$H$9=H5518,OR(LEFT(N5518,3)=$W$7,LEFT(O5518,3)=$W$7)),"x","")</f>
        <v/>
      </c>
      <c r="X5518" s="75" t="str">
        <f>IF(OR(TH!N4136=TH!$X$7,O5518=TH!$X$7),"x","")</f>
        <v/>
      </c>
      <c r="Y5518" s="75" t="str">
        <f>IF(AND(OR(N5518="131",O5518="131"),H5518='131-CT'!$H$9),"x","")</f>
        <v/>
      </c>
      <c r="Z5518" s="75"/>
      <c r="AA5518" s="75" t="str">
        <f>IF(AND(MONTH(E5518)='IN-NX'!$J$5,'IN-NX'!$D$7=D5518),"x","")</f>
        <v/>
      </c>
      <c r="AB5518" s="75" t="str">
        <f>IF(AND(OR(LEFT(TH!N4136,2)="15",LEFT(TH!O4136,2)="15"),LEFT(TH!O4136,3)&lt;&gt;"111",'152-CT'!$J$8=TH!F4136),"x","")</f>
        <v/>
      </c>
      <c r="AC5518" s="75" t="str">
        <f>IF(AND(OR(LEFT(TH!N4136,2)="15",LEFT(TH!O4136,2)="15"),TK!$E$7=TH!F4136),"x","")</f>
        <v/>
      </c>
      <c r="AD5518" s="75" t="str">
        <f>IF(AND(N5518="1521",MONTH(C5518)='BK-NL'!$M$11),"x","")</f>
        <v/>
      </c>
    </row>
    <row r="5519" spans="1:33" ht="16.5" customHeight="1">
      <c r="A5519" s="309" t="str">
        <f>IF(B5519&lt;&gt;"",IF(AND(B5519='IN-TC'!$S$4,OR(TH!N5502="1111",TH!O5502="1111")),TH!D5502,""),"")</f>
        <v/>
      </c>
      <c r="B5519" s="1159">
        <f t="shared" si="1356"/>
        <v>12</v>
      </c>
      <c r="C5519" s="292">
        <f t="shared" si="1357"/>
        <v>43073</v>
      </c>
      <c r="D5519" s="59"/>
      <c r="E5519" s="59">
        <v>43073</v>
      </c>
      <c r="F5519" s="62" t="s">
        <v>2808</v>
      </c>
      <c r="G5519" s="742" t="s">
        <v>2810</v>
      </c>
      <c r="H5519" s="67" t="s">
        <v>1511</v>
      </c>
      <c r="I5519" s="375"/>
      <c r="J5519" s="382"/>
      <c r="K5519" s="375"/>
      <c r="L5519" s="381"/>
      <c r="M5519" s="60">
        <v>3770978</v>
      </c>
      <c r="N5519" s="61" t="s">
        <v>539</v>
      </c>
      <c r="O5519" s="61" t="s">
        <v>63</v>
      </c>
      <c r="P5519" s="75" t="str">
        <f>IF(AND('331-CT'!$E$7=TH!H4137,OR(N5519="331",O5519="331")),"x","")</f>
        <v/>
      </c>
      <c r="Q5519" s="75" t="str">
        <f>IF(AND(B5519='111'!$L$11,OR($N5519=$Q$7,$O5519=$Q$7)),"x","")</f>
        <v>x</v>
      </c>
      <c r="R5519" s="75" t="str">
        <f>IF(AND($N5519=$Q$7,$B5519&lt;'111'!$L$11),"x","")</f>
        <v/>
      </c>
      <c r="S5519" s="75" t="str">
        <f>IF(AND($O5519=$Q$7,$B5519&lt;'111'!$L$11),"x","")</f>
        <v/>
      </c>
      <c r="T5519" s="75" t="str">
        <f>IF(ISERROR(FIND('112'!$M$9,G5519,1)),"",IF((AND(FIND('112'!$M$9,G5519,1)&gt;=1,B5519='112'!$K$9,OR($N5519='112'!$I$6,$O5519='112'!$I$6))),"x",""))</f>
        <v/>
      </c>
      <c r="U5519" s="75" t="str">
        <f>IF(ISERROR(FIND('112'!$M$9,G5519,1)),"",IF((AND(LEFT(G5519,2)=LEFT('112'!$M$9,2),B5519&lt;'112'!$K$9,$N5519='112'!$I$6)),"x",""))</f>
        <v/>
      </c>
      <c r="V5519" s="75" t="str">
        <f>IF(ISERROR(FIND('112'!$M$9,G5519,1)),"",IF((AND(RIGHT(G5519,2)=RIGHT('112'!$M$9,2),B5519&lt;'112'!$K$9,$O5519='112'!$I$6)),"x",""))</f>
        <v/>
      </c>
      <c r="W5519" s="75" t="str">
        <f>IF(AND('341-CT'!$H$9=H5519,OR(LEFT(N5519,3)=$W$7,LEFT(O5519,3)=$W$7)),"x","")</f>
        <v/>
      </c>
      <c r="X5519" s="75" t="str">
        <f>IF(OR(TH!N4137=TH!$X$7,O5519=TH!$X$7),"x","")</f>
        <v/>
      </c>
      <c r="Y5519" s="75" t="str">
        <f>IF(AND(OR(N5519="131",O5519="131"),H5519='131-CT'!$H$9),"x","")</f>
        <v/>
      </c>
      <c r="Z5519" s="75"/>
      <c r="AA5519" s="75" t="str">
        <f>IF(AND(MONTH(E5519)='IN-NX'!$J$5,'IN-NX'!$D$7=D5519),"x","")</f>
        <v/>
      </c>
      <c r="AB5519" s="75" t="str">
        <f>IF(AND(OR(LEFT(TH!N4137,2)="15",LEFT(TH!O4137,2)="15"),LEFT(TH!O4137,3)&lt;&gt;"111",'152-CT'!$J$8=TH!F4137),"x","")</f>
        <v/>
      </c>
      <c r="AC5519" s="75" t="str">
        <f>IF(AND(OR(LEFT(TH!N4137,2)="15",LEFT(TH!O4137,2)="15"),TK!$E$7=TH!F4137),"x","")</f>
        <v/>
      </c>
      <c r="AD5519" s="75" t="str">
        <f>IF(AND(N5519="1521",MONTH(C5519)='BK-NL'!$M$11),"x","")</f>
        <v/>
      </c>
      <c r="AE5519">
        <v>12</v>
      </c>
    </row>
    <row r="5520" spans="1:33" ht="16.5" customHeight="1">
      <c r="A5520" s="309" t="str">
        <f>IF(B5520&lt;&gt;"",IF(AND(B5520='IN-TC'!$S$4,OR(TH!N5503="1111",TH!O5503="1111")),TH!D5503,""),"")</f>
        <v/>
      </c>
      <c r="B5520" s="1159">
        <f t="shared" si="1356"/>
        <v>12</v>
      </c>
      <c r="C5520" s="292">
        <f t="shared" si="1357"/>
        <v>43073</v>
      </c>
      <c r="D5520" s="59"/>
      <c r="E5520" s="59">
        <v>43073</v>
      </c>
      <c r="F5520" s="62" t="s">
        <v>2809</v>
      </c>
      <c r="G5520" s="742" t="s">
        <v>2810</v>
      </c>
      <c r="H5520" s="67" t="s">
        <v>1511</v>
      </c>
      <c r="I5520" s="375"/>
      <c r="J5520" s="382"/>
      <c r="K5520" s="375"/>
      <c r="L5520" s="381"/>
      <c r="M5520" s="60">
        <v>377098</v>
      </c>
      <c r="N5520" s="61" t="s">
        <v>9</v>
      </c>
      <c r="O5520" s="61" t="s">
        <v>63</v>
      </c>
      <c r="P5520" s="75" t="str">
        <f>IF(AND('331-CT'!$E$7=TH!H4138,OR(N5520="331",O5520="331")),"x","")</f>
        <v/>
      </c>
      <c r="Q5520" s="75" t="str">
        <f>IF(AND(B5520='111'!$L$11,OR($N5520=$Q$7,$O5520=$Q$7)),"x","")</f>
        <v>x</v>
      </c>
      <c r="R5520" s="75" t="str">
        <f>IF(AND($N5520=$Q$7,$B5520&lt;'111'!$L$11),"x","")</f>
        <v/>
      </c>
      <c r="S5520" s="75" t="str">
        <f>IF(AND($O5520=$Q$7,$B5520&lt;'111'!$L$11),"x","")</f>
        <v/>
      </c>
      <c r="T5520" s="75" t="str">
        <f>IF(ISERROR(FIND('112'!$M$9,G5520,1)),"",IF((AND(FIND('112'!$M$9,G5520,1)&gt;=1,B5520='112'!$K$9,OR($N5520='112'!$I$6,$O5520='112'!$I$6))),"x",""))</f>
        <v/>
      </c>
      <c r="U5520" s="75" t="str">
        <f>IF(ISERROR(FIND('112'!$M$9,G5520,1)),"",IF((AND(LEFT(G5520,2)=LEFT('112'!$M$9,2),B5520&lt;'112'!$K$9,$N5520='112'!$I$6)),"x",""))</f>
        <v/>
      </c>
      <c r="V5520" s="75" t="str">
        <f>IF(ISERROR(FIND('112'!$M$9,G5520,1)),"",IF((AND(RIGHT(G5520,2)=RIGHT('112'!$M$9,2),B5520&lt;'112'!$K$9,$O5520='112'!$I$6)),"x",""))</f>
        <v/>
      </c>
      <c r="W5520" s="75" t="str">
        <f>IF(AND('341-CT'!$H$9=H5520,OR(LEFT(N5520,3)=$W$7,LEFT(O5520,3)=$W$7)),"x","")</f>
        <v/>
      </c>
      <c r="X5520" s="75" t="str">
        <f>IF(OR(TH!N4138=TH!$X$7,O5520=TH!$X$7),"x","")</f>
        <v/>
      </c>
      <c r="Y5520" s="75" t="str">
        <f>IF(AND(OR(N5520="131",O5520="131"),H5520='131-CT'!$H$9),"x","")</f>
        <v/>
      </c>
      <c r="Z5520" s="75"/>
      <c r="AA5520" s="75" t="str">
        <f>IF(AND(MONTH(E5520)='IN-NX'!$J$5,'IN-NX'!$D$7=D5520),"x","")</f>
        <v/>
      </c>
      <c r="AB5520" s="75" t="str">
        <f>IF(AND(OR(LEFT(TH!N4138,2)="15",LEFT(TH!O4138,2)="15"),LEFT(TH!O4138,3)&lt;&gt;"111",'152-CT'!$J$8=TH!F4138),"x","")</f>
        <v/>
      </c>
      <c r="AC5520" s="75" t="str">
        <f>IF(AND(OR(LEFT(TH!N4138,2)="15",LEFT(TH!O4138,2)="15"),TK!$E$7=TH!F4138),"x","")</f>
        <v/>
      </c>
      <c r="AD5520" s="75" t="str">
        <f>IF(AND(N5520="1521",MONTH(C5520)='BK-NL'!$M$11),"x","")</f>
        <v/>
      </c>
      <c r="AE5520">
        <v>12</v>
      </c>
    </row>
    <row r="5521" spans="1:33" s="304" customFormat="1" ht="16.5" customHeight="1">
      <c r="A5521" s="309" t="str">
        <f>IF(B5521&lt;&gt;"",IF(AND(B5521='IN-TC'!$S$4,OR(TH!N5504="1111",TH!O5504="1111")),TH!D5504,""),"")</f>
        <v/>
      </c>
      <c r="B5521" s="1243">
        <f t="shared" si="1356"/>
        <v>12</v>
      </c>
      <c r="C5521" s="292">
        <f t="shared" si="1357"/>
        <v>43073</v>
      </c>
      <c r="D5521" s="292"/>
      <c r="E5521" s="292">
        <v>43073</v>
      </c>
      <c r="F5521" s="1010" t="s">
        <v>1881</v>
      </c>
      <c r="G5521" s="925"/>
      <c r="H5521" s="311" t="s">
        <v>1890</v>
      </c>
      <c r="I5521" s="373"/>
      <c r="J5521" s="926"/>
      <c r="K5521" s="373"/>
      <c r="L5521" s="379"/>
      <c r="M5521" s="927">
        <v>3045930000</v>
      </c>
      <c r="N5521" s="295" t="s">
        <v>8</v>
      </c>
      <c r="O5521" s="295" t="s">
        <v>63</v>
      </c>
      <c r="P5521" s="75" t="str">
        <f>IF(AND('331-CT'!$E$7=TH!H4361,OR(N5521="331",O5521="331")),"x","")</f>
        <v/>
      </c>
      <c r="Q5521" s="75" t="str">
        <f>IF(AND(B5521='111'!$L$11,OR($N5521=$Q$7,$O5521=$Q$7)),"x","")</f>
        <v>x</v>
      </c>
      <c r="R5521" s="75" t="str">
        <f>IF(AND($N5521=$Q$7,$B5521&lt;'111'!$L$11),"x","")</f>
        <v/>
      </c>
      <c r="S5521" s="75" t="str">
        <f>IF(AND($O5521=$Q$7,$B5521&lt;'111'!$L$11),"x","")</f>
        <v/>
      </c>
      <c r="T5521" s="75" t="str">
        <f>IF(ISERROR(FIND('112'!$M$9,G5521,1)),"",IF((AND(FIND('112'!$M$9,G5521,1)&gt;=1,B5521='112'!$K$9,OR($N5521='112'!$I$6,$O5521='112'!$I$6))),"x",""))</f>
        <v/>
      </c>
      <c r="U5521" s="75" t="str">
        <f>IF(ISERROR(FIND('112'!$M$9,G5521,1)),"",IF((AND(LEFT(G5521,2)=LEFT('112'!$M$9,2),B5521&lt;'112'!$K$9,$N5521='112'!$I$6)),"x",""))</f>
        <v/>
      </c>
      <c r="V5521" s="75" t="str">
        <f>IF(ISERROR(FIND('112'!$M$9,G5521,1)),"",IF((AND(RIGHT(G5521,2)=RIGHT('112'!$M$9,2),B5521&lt;'112'!$K$9,$O5521='112'!$I$6)),"x",""))</f>
        <v/>
      </c>
      <c r="W5521" s="75" t="str">
        <f>IF(AND('341-CT'!$H$9=H5521,OR(LEFT(N5521,3)=$W$7,LEFT(O5521,3)=$W$7)),"x","")</f>
        <v/>
      </c>
      <c r="X5521" s="75" t="str">
        <f>IF(OR(TH!N4361=TH!$X$7,O5521=TH!$X$7),"x","")</f>
        <v/>
      </c>
      <c r="Y5521" s="75" t="str">
        <f>IF(AND(OR(N5521="131",O5521="131"),H5521='131-CT'!$H$9),"x","")</f>
        <v/>
      </c>
      <c r="Z5521" s="75"/>
      <c r="AA5521" s="75" t="str">
        <f>IF(AND(MONTH(E5521)='IN-NX'!$J$5,'IN-NX'!$D$7=D5521),"x","")</f>
        <v/>
      </c>
      <c r="AB5521" s="75" t="str">
        <f>IF(AND(OR(LEFT(TH!N4361,2)="15",LEFT(TH!O4361,2)="15"),LEFT(TH!O4361,3)&lt;&gt;"111",'152-CT'!$J$8=TH!F4361),"x","")</f>
        <v/>
      </c>
      <c r="AC5521" s="75" t="str">
        <f>IF(AND(OR(LEFT(TH!N4361,2)="15",LEFT(TH!O4361,2)="15"),TK!$E$7=TH!F4361),"x","")</f>
        <v/>
      </c>
      <c r="AD5521" s="75" t="str">
        <f>IF(AND(N5521="1521",MONTH(C5521)='BK-NL'!$M$11),"x","")</f>
        <v/>
      </c>
      <c r="AE5521"/>
      <c r="AF5521"/>
      <c r="AG5521"/>
    </row>
    <row r="5522" spans="1:33" ht="16.5" customHeight="1">
      <c r="A5522" s="309" t="str">
        <f>IF(B5522&lt;&gt;"",IF(AND(B5522='IN-TC'!$S$4,OR(TH!N5505="1111",TH!O5505="1111")),TH!D5505,""),"")</f>
        <v/>
      </c>
      <c r="B5522" s="1243">
        <f t="shared" si="1356"/>
        <v>12</v>
      </c>
      <c r="C5522" s="292">
        <f t="shared" si="1357"/>
        <v>43073</v>
      </c>
      <c r="D5522" s="292"/>
      <c r="E5522" s="292">
        <v>43073</v>
      </c>
      <c r="F5522" s="1010" t="s">
        <v>1883</v>
      </c>
      <c r="G5522" s="925"/>
      <c r="H5522" s="311"/>
      <c r="I5522" s="373"/>
      <c r="J5522" s="926"/>
      <c r="K5522" s="373"/>
      <c r="L5522" s="379"/>
      <c r="M5522" s="927">
        <v>2200000</v>
      </c>
      <c r="N5522" s="295" t="s">
        <v>101</v>
      </c>
      <c r="O5522" s="295" t="s">
        <v>63</v>
      </c>
      <c r="P5522" s="75" t="str">
        <f>IF(AND('331-CT'!$E$7=TH!H4362,OR(N5522="331",O5522="331")),"x","")</f>
        <v/>
      </c>
      <c r="Q5522" s="75" t="str">
        <f>IF(AND(B5522='111'!$L$11,OR($N5522=$Q$7,$O5522=$Q$7)),"x","")</f>
        <v>x</v>
      </c>
      <c r="R5522" s="75" t="str">
        <f>IF(AND($N5522=$Q$7,$B5522&lt;'111'!$L$11),"x","")</f>
        <v/>
      </c>
      <c r="S5522" s="75" t="str">
        <f>IF(AND($O5522=$Q$7,$B5522&lt;'111'!$L$11),"x","")</f>
        <v/>
      </c>
      <c r="T5522" s="75" t="str">
        <f>IF(ISERROR(FIND('112'!$M$9,G5522,1)),"",IF((AND(FIND('112'!$M$9,G5522,1)&gt;=1,B5522='112'!$K$9,OR($N5522='112'!$I$6,$O5522='112'!$I$6))),"x",""))</f>
        <v/>
      </c>
      <c r="U5522" s="75" t="str">
        <f>IF(ISERROR(FIND('112'!$M$9,G5522,1)),"",IF((AND(LEFT(G5522,2)=LEFT('112'!$M$9,2),B5522&lt;'112'!$K$9,$N5522='112'!$I$6)),"x",""))</f>
        <v/>
      </c>
      <c r="V5522" s="75" t="str">
        <f>IF(ISERROR(FIND('112'!$M$9,G5522,1)),"",IF((AND(RIGHT(G5522,2)=RIGHT('112'!$M$9,2),B5522&lt;'112'!$K$9,$O5522='112'!$I$6)),"x",""))</f>
        <v/>
      </c>
      <c r="W5522" s="75" t="str">
        <f>IF(AND('341-CT'!$H$9=H5522,OR(LEFT(N5522,3)=$W$7,LEFT(O5522,3)=$W$7)),"x","")</f>
        <v/>
      </c>
      <c r="X5522" s="75" t="str">
        <f>IF(OR(TH!N4362=TH!$X$7,O5522=TH!$X$7),"x","")</f>
        <v/>
      </c>
      <c r="Y5522" s="75" t="str">
        <f>IF(AND(OR(N5522="131",O5522="131"),H5522='131-CT'!$H$9),"x","")</f>
        <v/>
      </c>
      <c r="Z5522" s="75"/>
      <c r="AA5522" s="75" t="str">
        <f>IF(AND(MONTH(E5522)='IN-NX'!$J$5,'IN-NX'!$D$7=D5522),"x","")</f>
        <v/>
      </c>
      <c r="AB5522" s="75" t="str">
        <f>IF(AND(OR(LEFT(TH!N4362,2)="15",LEFT(TH!O4362,2)="15"),LEFT(TH!O4362,3)&lt;&gt;"111",'152-CT'!$J$8=TH!F4362),"x","")</f>
        <v/>
      </c>
      <c r="AC5522" s="75" t="str">
        <f>IF(AND(OR(LEFT(TH!N4362,2)="15",LEFT(TH!O4362,2)="15"),TK!$E$7=TH!F4362),"x","")</f>
        <v/>
      </c>
      <c r="AD5522" s="75" t="str">
        <f>IF(AND(N5522="1521",MONTH(C5522)='BK-NL'!$M$11),"x","")</f>
        <v/>
      </c>
    </row>
    <row r="5523" spans="1:33" ht="16.5" customHeight="1">
      <c r="A5523" s="309" t="str">
        <f>IF(B5523&lt;&gt;"",IF(AND(B5523='IN-TC'!$S$4,OR(TH!N5506="1111",TH!O5506="1111")),TH!D5506,""),"")</f>
        <v/>
      </c>
      <c r="B5523" s="1159">
        <f t="shared" ref="B5523:B5586" si="1358">IF(C5523&lt;&gt;"",MONTH(C5523),"")</f>
        <v>12</v>
      </c>
      <c r="C5523" s="292">
        <f t="shared" si="1357"/>
        <v>43073</v>
      </c>
      <c r="D5523" s="59" t="s">
        <v>903</v>
      </c>
      <c r="E5523" s="59">
        <v>43073</v>
      </c>
      <c r="F5523" s="62" t="s">
        <v>914</v>
      </c>
      <c r="G5523" s="62" t="s">
        <v>585</v>
      </c>
      <c r="H5523" s="67" t="s">
        <v>845</v>
      </c>
      <c r="I5523" s="373"/>
      <c r="J5523" s="382"/>
      <c r="K5523" s="373"/>
      <c r="L5523" s="379"/>
      <c r="M5523" s="60">
        <v>31561</v>
      </c>
      <c r="N5523" s="61" t="s">
        <v>26</v>
      </c>
      <c r="O5523" s="61" t="s">
        <v>43</v>
      </c>
      <c r="P5523" s="75" t="str">
        <f>IF(AND('331-CT'!$E$7=TH!H4909,OR(N5523="331",O5523="331")),"x","")</f>
        <v/>
      </c>
      <c r="Q5523" s="75" t="str">
        <f>IF(AND(B5523='111'!$L$11,OR($N5523=$Q$7,$O5523=$Q$7)),"x","")</f>
        <v/>
      </c>
      <c r="R5523" s="75" t="str">
        <f>IF(AND($N5523=$Q$7,$B5523&lt;'111'!$L$11),"x","")</f>
        <v/>
      </c>
      <c r="S5523" s="75" t="str">
        <f>IF(AND($O5523=$Q$7,$B5523&lt;'111'!$L$11),"x","")</f>
        <v/>
      </c>
      <c r="T5523" s="75" t="str">
        <f>IF(ISERROR(FIND('112'!$M$9,G5523,1)),"",IF((AND(FIND('112'!$M$9,G5523,1)&gt;=1,B5523='112'!$K$9,OR($N5523='112'!$I$6,$O5523='112'!$I$6))),"x",""))</f>
        <v/>
      </c>
      <c r="U5523" s="75" t="str">
        <f>IF(ISERROR(FIND('112'!$M$9,G5523,1)),"",IF((AND(LEFT(G5523,2)=LEFT('112'!$M$9,2),B5523&lt;'112'!$K$9,$N5523='112'!$I$6)),"x",""))</f>
        <v/>
      </c>
      <c r="V5523" s="75" t="str">
        <f>IF(ISERROR(FIND('112'!$M$9,G5523,1)),"",IF((AND(RIGHT(G5523,2)=RIGHT('112'!$M$9,2),B5523&lt;'112'!$K$9,$O5523='112'!$I$6)),"x",""))</f>
        <v/>
      </c>
      <c r="W5523" s="75" t="str">
        <f>IF(AND('341-CT'!$H$9=H5523,OR(LEFT(N5523,3)=$W$7,LEFT(O5523,3)=$W$7)),"x","")</f>
        <v/>
      </c>
      <c r="X5523" s="75" t="str">
        <f>IF(OR(TH!N4909=TH!$X$7,O5523=TH!$X$7),"x","")</f>
        <v/>
      </c>
      <c r="Y5523" s="75" t="str">
        <f>IF(AND(OR(N5523="131",O5523="131"),H5523='131-CT'!$H$9),"x","")</f>
        <v/>
      </c>
      <c r="Z5523" s="75"/>
      <c r="AA5523" s="75" t="str">
        <f>IF(AND(MONTH(E5523)='IN-NX'!$J$5,'IN-NX'!$D$7=D5523),"x","")</f>
        <v/>
      </c>
      <c r="AB5523" s="75" t="str">
        <f>IF(AND(OR(LEFT(TH!N4909,2)="15",LEFT(TH!O4909,2)="15"),LEFT(TH!O4909,3)&lt;&gt;"111",'152-CT'!$J$8=TH!F4909),"x","")</f>
        <v/>
      </c>
      <c r="AC5523" s="75" t="str">
        <f>IF(AND(OR(LEFT(TH!N4909,2)="15",LEFT(TH!O4909,2)="15"),TK!$E$7=TH!F4909),"x","")</f>
        <v/>
      </c>
      <c r="AD5523" s="75" t="str">
        <f>IF(AND(N5523="1521",MONTH(C5523)='BK-NL'!$M$11),"x","")</f>
        <v/>
      </c>
      <c r="AE5523" s="304"/>
      <c r="AF5523" s="304"/>
      <c r="AG5523" s="304"/>
    </row>
    <row r="5524" spans="1:33" ht="16.5" customHeight="1">
      <c r="A5524" s="309" t="str">
        <f>IF(B5524&lt;&gt;"",IF(AND(B5524='IN-TC'!$S$4,OR(TH!N5507="1111",TH!O5507="1111")),TH!D5507,""),"")</f>
        <v/>
      </c>
      <c r="B5524" s="1159">
        <f t="shared" si="1358"/>
        <v>12</v>
      </c>
      <c r="C5524" s="292">
        <f t="shared" si="1357"/>
        <v>43073</v>
      </c>
      <c r="D5524" s="59" t="s">
        <v>844</v>
      </c>
      <c r="E5524" s="59">
        <v>43073</v>
      </c>
      <c r="F5524" s="62" t="s">
        <v>834</v>
      </c>
      <c r="G5524" s="62" t="s">
        <v>747</v>
      </c>
      <c r="H5524" s="67" t="s">
        <v>1023</v>
      </c>
      <c r="I5524" s="375"/>
      <c r="J5524" s="382"/>
      <c r="K5524" s="375"/>
      <c r="L5524" s="381"/>
      <c r="M5524" s="60">
        <v>1050000000</v>
      </c>
      <c r="N5524" s="61" t="s">
        <v>63</v>
      </c>
      <c r="O5524" s="61" t="s">
        <v>26</v>
      </c>
      <c r="P5524" s="75" t="str">
        <f>IF(AND('331-CT'!$E$7=TH!H5622,OR(N5524="331",O5524="331")),"x","")</f>
        <v/>
      </c>
      <c r="Q5524" s="75" t="str">
        <f>IF(AND(B5524='111'!$L$11,OR($N5524=$Q$7,$O5524=$Q$7)),"x","")</f>
        <v>x</v>
      </c>
      <c r="R5524" s="75" t="str">
        <f>IF(AND($N5524=$Q$7,$B5524&lt;'111'!$L$11),"x","")</f>
        <v/>
      </c>
      <c r="S5524" s="75" t="str">
        <f>IF(AND($O5524=$Q$7,$B5524&lt;'111'!$L$11),"x","")</f>
        <v/>
      </c>
      <c r="T5524" s="75" t="str">
        <f>IF(ISERROR(FIND('112'!$M$9,G5524,1)),"",IF((AND(FIND('112'!$M$9,G5524,1)&gt;=1,B5524='112'!$K$9,OR($N5524='112'!$I$6,$O5524='112'!$I$6))),"x",""))</f>
        <v/>
      </c>
      <c r="U5524" s="75" t="str">
        <f>IF(ISERROR(FIND('112'!$M$9,G5524,1)),"",IF((AND(LEFT(G5524,2)=LEFT('112'!$M$9,2),B5524&lt;'112'!$K$9,$N5524='112'!$I$6)),"x",""))</f>
        <v/>
      </c>
      <c r="V5524" s="75" t="str">
        <f>IF(ISERROR(FIND('112'!$M$9,G5524,1)),"",IF((AND(RIGHT(G5524,2)=RIGHT('112'!$M$9,2),B5524&lt;'112'!$K$9,$O5524='112'!$I$6)),"x",""))</f>
        <v/>
      </c>
      <c r="W5524" s="75" t="str">
        <f>IF(AND('341-CT'!$H$9=H5524,OR(LEFT(N5524,3)=$W$7,LEFT(O5524,3)=$W$7)),"x","")</f>
        <v/>
      </c>
      <c r="X5524" s="75" t="str">
        <f>IF(OR(TH!N5622=TH!$X$7,O5524=TH!$X$7),"x","")</f>
        <v/>
      </c>
      <c r="Y5524" s="75" t="str">
        <f>IF(AND(OR(N5524="131",O5524="131"),H5524='131-CT'!$H$9),"x","")</f>
        <v/>
      </c>
      <c r="Z5524" s="75"/>
      <c r="AA5524" s="75" t="str">
        <f>IF(AND(MONTH(E5524)='IN-NX'!$J$5,'IN-NX'!$D$7=D5524),"x","")</f>
        <v/>
      </c>
      <c r="AB5524" s="75" t="str">
        <f>IF(AND(OR(LEFT(TH!N5622,2)="15",LEFT(TH!O5622,2)="15"),LEFT(TH!O5622,3)&lt;&gt;"111",'152-CT'!$J$8=TH!F5622),"x","")</f>
        <v/>
      </c>
      <c r="AC5524" s="75" t="str">
        <f>IF(AND(OR(LEFT(TH!N5622,2)="15",LEFT(TH!O5622,2)="15"),TK!$E$7=TH!F5622),"x","")</f>
        <v/>
      </c>
      <c r="AD5524" s="75" t="str">
        <f>IF(AND(N5524="1521",MONTH(C5524)='BK-NL'!$M$11),"x","")</f>
        <v/>
      </c>
    </row>
    <row r="5525" spans="1:33" ht="16.5" customHeight="1">
      <c r="A5525" s="309" t="str">
        <f>IF(B5525&lt;&gt;"",IF(AND(B5525='IN-TC'!$S$4,OR(TH!N5508="1111",TH!O5508="1111")),TH!D5508,""),"")</f>
        <v/>
      </c>
      <c r="B5525" s="1159">
        <f t="shared" si="1358"/>
        <v>12</v>
      </c>
      <c r="C5525" s="292">
        <f t="shared" si="1357"/>
        <v>43073</v>
      </c>
      <c r="D5525" s="59" t="s">
        <v>903</v>
      </c>
      <c r="E5525" s="59">
        <v>43073</v>
      </c>
      <c r="F5525" s="62" t="s">
        <v>907</v>
      </c>
      <c r="G5525" s="62" t="s">
        <v>747</v>
      </c>
      <c r="H5525" s="67" t="s">
        <v>835</v>
      </c>
      <c r="I5525" s="373"/>
      <c r="J5525" s="382"/>
      <c r="K5525" s="373">
        <v>107000</v>
      </c>
      <c r="L5525" s="379">
        <v>22705</v>
      </c>
      <c r="M5525" s="927">
        <f>ROUND(L5525*K5525,0)</f>
        <v>2429435000</v>
      </c>
      <c r="N5525" s="61" t="s">
        <v>26</v>
      </c>
      <c r="O5525" s="61" t="s">
        <v>256</v>
      </c>
      <c r="P5525" s="75" t="str">
        <f>IF(AND('331-CT'!$E$7=TH!H5623,OR(N5525="331",O5525="331")),"x","")</f>
        <v/>
      </c>
      <c r="Q5525" s="75" t="str">
        <f>IF(AND(B5525='111'!$L$11,OR($N5525=$Q$7,$O5525=$Q$7)),"x","")</f>
        <v/>
      </c>
      <c r="R5525" s="75" t="str">
        <f>IF(AND($N5525=$Q$7,$B5525&lt;'111'!$L$11),"x","")</f>
        <v/>
      </c>
      <c r="S5525" s="75" t="str">
        <f>IF(AND($O5525=$Q$7,$B5525&lt;'111'!$L$11),"x","")</f>
        <v/>
      </c>
      <c r="T5525" s="75" t="str">
        <f>IF(ISERROR(FIND('112'!$M$9,G5525,1)),"",IF((AND(FIND('112'!$M$9,G5525,1)&gt;=1,B5525='112'!$K$9,OR($N5525='112'!$I$6,$O5525='112'!$I$6))),"x",""))</f>
        <v/>
      </c>
      <c r="U5525" s="75" t="str">
        <f>IF(ISERROR(FIND('112'!$M$9,G5525,1)),"",IF((AND(LEFT(G5525,2)=LEFT('112'!$M$9,2),B5525&lt;'112'!$K$9,$N5525='112'!$I$6)),"x",""))</f>
        <v/>
      </c>
      <c r="V5525" s="75" t="str">
        <f>IF(ISERROR(FIND('112'!$M$9,G5525,1)),"",IF((AND(RIGHT(G5525,2)=RIGHT('112'!$M$9,2),B5525&lt;'112'!$K$9,$O5525='112'!$I$6)),"x",""))</f>
        <v/>
      </c>
      <c r="W5525" s="75" t="str">
        <f>IF(AND('341-CT'!$H$9=H5525,OR(LEFT(N5525,3)=$W$7,LEFT(O5525,3)=$W$7)),"x","")</f>
        <v/>
      </c>
      <c r="X5525" s="75" t="str">
        <f>IF(OR(TH!N5623=TH!$X$7,O5525=TH!$X$7),"x","")</f>
        <v/>
      </c>
      <c r="Y5525" s="75" t="str">
        <f>IF(AND(OR(N5525="131",O5525="131"),H5525='131-CT'!$H$9),"x","")</f>
        <v/>
      </c>
      <c r="Z5525" s="75"/>
      <c r="AA5525" s="75" t="str">
        <f>IF(AND(MONTH(E5525)='IN-NX'!$J$5,'IN-NX'!$D$7=D5525),"x","")</f>
        <v/>
      </c>
      <c r="AB5525" s="75" t="str">
        <f>IF(AND(OR(LEFT(TH!N5623,2)="15",LEFT(TH!O5623,2)="15"),LEFT(TH!O5623,3)&lt;&gt;"111",'152-CT'!$J$8=TH!F5623),"x","")</f>
        <v/>
      </c>
      <c r="AC5525" s="75" t="str">
        <f>IF(AND(OR(LEFT(TH!N5623,2)="15",LEFT(TH!O5623,2)="15"),TK!$E$7=TH!F5623),"x","")</f>
        <v/>
      </c>
      <c r="AD5525" s="75" t="str">
        <f>IF(AND(N5525="1521",MONTH(C5525)='BK-NL'!$M$11),"x","")</f>
        <v/>
      </c>
    </row>
    <row r="5526" spans="1:33" ht="16.5" customHeight="1">
      <c r="A5526" s="309" t="str">
        <f>IF(B5526&lt;&gt;"",IF(AND(B5526='IN-TC'!$S$4,OR(TH!N5509="1111",TH!O5509="1111")),TH!D5509,""),"")</f>
        <v/>
      </c>
      <c r="B5526" s="1159">
        <f t="shared" si="1358"/>
        <v>12</v>
      </c>
      <c r="C5526" s="292">
        <f t="shared" si="1357"/>
        <v>43073</v>
      </c>
      <c r="D5526" s="59" t="s">
        <v>846</v>
      </c>
      <c r="E5526" s="59">
        <v>43073</v>
      </c>
      <c r="F5526" s="62" t="s">
        <v>834</v>
      </c>
      <c r="G5526" s="62" t="s">
        <v>747</v>
      </c>
      <c r="H5526" s="67" t="s">
        <v>1023</v>
      </c>
      <c r="I5526" s="373"/>
      <c r="J5526" s="382"/>
      <c r="K5526" s="373"/>
      <c r="L5526" s="379"/>
      <c r="M5526" s="60">
        <v>1000000000</v>
      </c>
      <c r="N5526" s="61" t="s">
        <v>63</v>
      </c>
      <c r="O5526" s="61" t="s">
        <v>26</v>
      </c>
      <c r="P5526" s="75" t="str">
        <f>IF(AND('331-CT'!$E$7=TH!H5624,OR(N5526="331",O5526="331")),"x","")</f>
        <v/>
      </c>
      <c r="Q5526" s="75" t="str">
        <f>IF(AND(B5526='111'!$L$11,OR($N5526=$Q$7,$O5526=$Q$7)),"x","")</f>
        <v>x</v>
      </c>
      <c r="R5526" s="75" t="str">
        <f>IF(AND($N5526=$Q$7,$B5526&lt;'111'!$L$11),"x","")</f>
        <v/>
      </c>
      <c r="S5526" s="75" t="str">
        <f>IF(AND($O5526=$Q$7,$B5526&lt;'111'!$L$11),"x","")</f>
        <v/>
      </c>
      <c r="T5526" s="75" t="str">
        <f>IF(ISERROR(FIND('112'!$M$9,G5526,1)),"",IF((AND(FIND('112'!$M$9,G5526,1)&gt;=1,B5526='112'!$K$9,OR($N5526='112'!$I$6,$O5526='112'!$I$6))),"x",""))</f>
        <v/>
      </c>
      <c r="U5526" s="75" t="str">
        <f>IF(ISERROR(FIND('112'!$M$9,G5526,1)),"",IF((AND(LEFT(G5526,2)=LEFT('112'!$M$9,2),B5526&lt;'112'!$K$9,$N5526='112'!$I$6)),"x",""))</f>
        <v/>
      </c>
      <c r="V5526" s="75" t="str">
        <f>IF(ISERROR(FIND('112'!$M$9,G5526,1)),"",IF((AND(RIGHT(G5526,2)=RIGHT('112'!$M$9,2),B5526&lt;'112'!$K$9,$O5526='112'!$I$6)),"x",""))</f>
        <v/>
      </c>
      <c r="W5526" s="75" t="str">
        <f>IF(AND('341-CT'!$H$9=H5526,OR(LEFT(N5526,3)=$W$7,LEFT(O5526,3)=$W$7)),"x","")</f>
        <v/>
      </c>
      <c r="X5526" s="75" t="str">
        <f>IF(OR(TH!N5624=TH!$X$7,O5526=TH!$X$7),"x","")</f>
        <v/>
      </c>
      <c r="Y5526" s="75" t="str">
        <f>IF(AND(OR(N5526="131",O5526="131"),H5526='131-CT'!$H$9),"x","")</f>
        <v/>
      </c>
      <c r="Z5526" s="75"/>
      <c r="AA5526" s="75" t="str">
        <f>IF(AND(MONTH(E5526)='IN-NX'!$J$5,'IN-NX'!$D$7=D5526),"x","")</f>
        <v/>
      </c>
      <c r="AB5526" s="75" t="str">
        <f>IF(AND(OR(LEFT(TH!N5624,2)="15",LEFT(TH!O5624,2)="15"),LEFT(TH!O5624,3)&lt;&gt;"111",'152-CT'!$J$8=TH!F5624),"x","")</f>
        <v/>
      </c>
      <c r="AC5526" s="75" t="str">
        <f>IF(AND(OR(LEFT(TH!N5624,2)="15",LEFT(TH!O5624,2)="15"),TK!$E$7=TH!F5624),"x","")</f>
        <v/>
      </c>
      <c r="AD5526" s="75" t="str">
        <f>IF(AND(N5526="1521",MONTH(C5526)='BK-NL'!$M$11),"x","")</f>
        <v/>
      </c>
    </row>
    <row r="5527" spans="1:33" ht="16.5" customHeight="1">
      <c r="A5527" s="309" t="str">
        <f>IF(B5527&lt;&gt;"",IF(AND(B5527='IN-TC'!$S$4,OR(TH!N5510="1111",TH!O5510="1111")),TH!D5510,""),"")</f>
        <v/>
      </c>
      <c r="B5527" s="1159">
        <f t="shared" si="1358"/>
        <v>12</v>
      </c>
      <c r="C5527" s="292">
        <f t="shared" si="1357"/>
        <v>43073</v>
      </c>
      <c r="D5527" s="59" t="s">
        <v>903</v>
      </c>
      <c r="E5527" s="59">
        <v>43073</v>
      </c>
      <c r="F5527" s="62" t="s">
        <v>252</v>
      </c>
      <c r="G5527" s="62" t="s">
        <v>747</v>
      </c>
      <c r="H5527" s="67" t="s">
        <v>2668</v>
      </c>
      <c r="I5527" s="373"/>
      <c r="J5527" s="382"/>
      <c r="K5527" s="373">
        <v>67000</v>
      </c>
      <c r="L5527" s="379">
        <v>22705</v>
      </c>
      <c r="M5527" s="60">
        <f>ROUND(K5527*L5527,0)</f>
        <v>1521235000</v>
      </c>
      <c r="N5527" s="61" t="s">
        <v>26</v>
      </c>
      <c r="O5527" s="61" t="s">
        <v>250</v>
      </c>
      <c r="P5527" s="75" t="str">
        <f>IF(AND('331-CT'!$E$7=TH!H5625,OR(N5527="331",O5527="331")),"x","")</f>
        <v/>
      </c>
      <c r="Q5527" s="75" t="str">
        <f>IF(AND(B5527='111'!$L$11,OR($N5527=$Q$7,$O5527=$Q$7)),"x","")</f>
        <v/>
      </c>
      <c r="R5527" s="75" t="str">
        <f>IF(AND($N5527=$Q$7,$B5527&lt;'111'!$L$11),"x","")</f>
        <v/>
      </c>
      <c r="S5527" s="75" t="str">
        <f>IF(AND($O5527=$Q$7,$B5527&lt;'111'!$L$11),"x","")</f>
        <v/>
      </c>
      <c r="T5527" s="75" t="str">
        <f>IF(ISERROR(FIND('112'!$M$9,G5527,1)),"",IF((AND(FIND('112'!$M$9,G5527,1)&gt;=1,B5527='112'!$K$9,OR($N5527='112'!$I$6,$O5527='112'!$I$6))),"x",""))</f>
        <v/>
      </c>
      <c r="U5527" s="75" t="str">
        <f>IF(ISERROR(FIND('112'!$M$9,G5527,1)),"",IF((AND(LEFT(G5527,2)=LEFT('112'!$M$9,2),B5527&lt;'112'!$K$9,$N5527='112'!$I$6)),"x",""))</f>
        <v/>
      </c>
      <c r="V5527" s="75" t="str">
        <f>IF(ISERROR(FIND('112'!$M$9,G5527,1)),"",IF((AND(RIGHT(G5527,2)=RIGHT('112'!$M$9,2),B5527&lt;'112'!$K$9,$O5527='112'!$I$6)),"x",""))</f>
        <v/>
      </c>
      <c r="W5527" s="75" t="str">
        <f>IF(AND('341-CT'!$H$9=H5527,OR(LEFT(N5527,3)=$W$7,LEFT(O5527,3)=$W$7)),"x","")</f>
        <v/>
      </c>
      <c r="X5527" s="75" t="str">
        <f>IF(OR(TH!N5625=TH!$X$7,O5527=TH!$X$7),"x","")</f>
        <v/>
      </c>
      <c r="Y5527" s="75" t="str">
        <f>IF(AND(OR(N5527="131",O5527="131"),H5527='131-CT'!$H$9),"x","")</f>
        <v/>
      </c>
      <c r="Z5527" s="75"/>
      <c r="AA5527" s="75" t="str">
        <f>IF(AND(MONTH(E5527)='IN-NX'!$J$5,'IN-NX'!$D$7=D5527),"x","")</f>
        <v/>
      </c>
      <c r="AB5527" s="75" t="str">
        <f>IF(AND(OR(LEFT(TH!N5625,2)="15",LEFT(TH!O5625,2)="15"),LEFT(TH!O5625,3)&lt;&gt;"111",'152-CT'!$J$8=TH!F5625),"x","")</f>
        <v/>
      </c>
      <c r="AC5527" s="75" t="str">
        <f>IF(AND(OR(LEFT(TH!N5625,2)="15",LEFT(TH!O5625,2)="15"),TK!$E$7=TH!F5625),"x","")</f>
        <v/>
      </c>
      <c r="AD5527" s="75" t="str">
        <f>IF(AND(N5527="1521",MONTH(C5527)='BK-NL'!$M$11),"x","")</f>
        <v/>
      </c>
    </row>
    <row r="5528" spans="1:33" ht="16.5" customHeight="1">
      <c r="A5528" s="309" t="str">
        <f>IF(B5528&lt;&gt;"",IF(AND(B5528='IN-TC'!$S$4,OR(TH!N5511="1111",TH!O5511="1111")),TH!D5511,""),"")</f>
        <v/>
      </c>
      <c r="B5528" s="1159">
        <f t="shared" si="1358"/>
        <v>12</v>
      </c>
      <c r="C5528" s="292">
        <f t="shared" si="1357"/>
        <v>43074</v>
      </c>
      <c r="D5528" s="59" t="s">
        <v>850</v>
      </c>
      <c r="E5528" s="59">
        <v>43074</v>
      </c>
      <c r="F5528" s="62" t="s">
        <v>834</v>
      </c>
      <c r="G5528" s="62" t="s">
        <v>747</v>
      </c>
      <c r="H5528" s="67" t="s">
        <v>1023</v>
      </c>
      <c r="I5528" s="375"/>
      <c r="J5528" s="382"/>
      <c r="K5528" s="375"/>
      <c r="L5528" s="381"/>
      <c r="M5528" s="60">
        <v>350000000</v>
      </c>
      <c r="N5528" s="61" t="s">
        <v>63</v>
      </c>
      <c r="O5528" s="61" t="s">
        <v>26</v>
      </c>
      <c r="P5528" s="75" t="str">
        <f>IF(AND('331-CT'!$E$7=TH!H5626,OR(N5528="331",O5528="331")),"x","")</f>
        <v/>
      </c>
      <c r="Q5528" s="75" t="str">
        <f>IF(AND(B5528='111'!$L$11,OR($N5528=$Q$7,$O5528=$Q$7)),"x","")</f>
        <v>x</v>
      </c>
      <c r="R5528" s="75" t="str">
        <f>IF(AND($N5528=$Q$7,$B5528&lt;'111'!$L$11),"x","")</f>
        <v/>
      </c>
      <c r="S5528" s="75" t="str">
        <f>IF(AND($O5528=$Q$7,$B5528&lt;'111'!$L$11),"x","")</f>
        <v/>
      </c>
      <c r="T5528" s="75" t="str">
        <f>IF(ISERROR(FIND('112'!$M$9,G5528,1)),"",IF((AND(FIND('112'!$M$9,G5528,1)&gt;=1,B5528='112'!$K$9,OR($N5528='112'!$I$6,$O5528='112'!$I$6))),"x",""))</f>
        <v/>
      </c>
      <c r="U5528" s="75" t="str">
        <f>IF(ISERROR(FIND('112'!$M$9,G5528,1)),"",IF((AND(LEFT(G5528,2)=LEFT('112'!$M$9,2),B5528&lt;'112'!$K$9,$N5528='112'!$I$6)),"x",""))</f>
        <v/>
      </c>
      <c r="V5528" s="75" t="str">
        <f>IF(ISERROR(FIND('112'!$M$9,G5528,1)),"",IF((AND(RIGHT(G5528,2)=RIGHT('112'!$M$9,2),B5528&lt;'112'!$K$9,$O5528='112'!$I$6)),"x",""))</f>
        <v/>
      </c>
      <c r="W5528" s="75" t="str">
        <f>IF(AND('341-CT'!$H$9=H5528,OR(LEFT(N5528,3)=$W$7,LEFT(O5528,3)=$W$7)),"x","")</f>
        <v/>
      </c>
      <c r="X5528" s="75" t="str">
        <f>IF(OR(TH!N5626=TH!$X$7,O5528=TH!$X$7),"x","")</f>
        <v/>
      </c>
      <c r="Y5528" s="75" t="str">
        <f>IF(AND(OR(N5528="131",O5528="131"),H5528='131-CT'!$H$9),"x","")</f>
        <v/>
      </c>
      <c r="Z5528" s="75"/>
      <c r="AA5528" s="75" t="str">
        <f>IF(AND(MONTH(E5528)='IN-NX'!$J$5,'IN-NX'!$D$7=D5528),"x","")</f>
        <v/>
      </c>
      <c r="AB5528" s="75" t="str">
        <f>IF(AND(OR(LEFT(TH!N5626,2)="15",LEFT(TH!O5626,2)="15"),LEFT(TH!O5626,3)&lt;&gt;"111",'152-CT'!$J$8=TH!F5626),"x","")</f>
        <v/>
      </c>
      <c r="AC5528" s="75" t="str">
        <f>IF(AND(OR(LEFT(TH!N5626,2)="15",LEFT(TH!O5626,2)="15"),TK!$E$7=TH!F5626),"x","")</f>
        <v/>
      </c>
      <c r="AD5528" s="75" t="str">
        <f>IF(AND(N5528="1521",MONTH(C5528)='BK-NL'!$M$11),"x","")</f>
        <v/>
      </c>
    </row>
    <row r="5529" spans="1:33" ht="16.5" customHeight="1">
      <c r="A5529" s="309" t="str">
        <f>IF(B5529&lt;&gt;"",IF(AND(B5529='IN-TC'!$S$4,OR(TH!N5512="1111",TH!O5512="1111")),TH!D5512,""),"")</f>
        <v/>
      </c>
      <c r="B5529" s="1159">
        <f t="shared" si="1358"/>
        <v>12</v>
      </c>
      <c r="C5529" s="292">
        <f t="shared" si="1357"/>
        <v>43074</v>
      </c>
      <c r="D5529" s="59" t="s">
        <v>902</v>
      </c>
      <c r="E5529" s="59">
        <v>43074</v>
      </c>
      <c r="F5529" s="62" t="s">
        <v>897</v>
      </c>
      <c r="G5529" s="62" t="s">
        <v>747</v>
      </c>
      <c r="H5529" s="67" t="s">
        <v>623</v>
      </c>
      <c r="I5529" s="373"/>
      <c r="J5529" s="382"/>
      <c r="K5529" s="373"/>
      <c r="L5529" s="379"/>
      <c r="M5529" s="60">
        <v>600000000</v>
      </c>
      <c r="N5529" s="61" t="s">
        <v>8</v>
      </c>
      <c r="O5529" s="61" t="s">
        <v>26</v>
      </c>
      <c r="P5529" s="75" t="str">
        <f>IF(AND('331-CT'!$E$7=TH!H5627,OR(N5529="331",O5529="331")),"x","")</f>
        <v/>
      </c>
      <c r="Q5529" s="75" t="str">
        <f>IF(AND(B5529='111'!$L$11,OR($N5529=$Q$7,$O5529=$Q$7)),"x","")</f>
        <v/>
      </c>
      <c r="R5529" s="75" t="str">
        <f>IF(AND($N5529=$Q$7,$B5529&lt;'111'!$L$11),"x","")</f>
        <v/>
      </c>
      <c r="S5529" s="75" t="str">
        <f>IF(AND($O5529=$Q$7,$B5529&lt;'111'!$L$11),"x","")</f>
        <v/>
      </c>
      <c r="T5529" s="75" t="str">
        <f>IF(ISERROR(FIND('112'!$M$9,G5529,1)),"",IF((AND(FIND('112'!$M$9,G5529,1)&gt;=1,B5529='112'!$K$9,OR($N5529='112'!$I$6,$O5529='112'!$I$6))),"x",""))</f>
        <v/>
      </c>
      <c r="U5529" s="75" t="str">
        <f>IF(ISERROR(FIND('112'!$M$9,G5529,1)),"",IF((AND(LEFT(G5529,2)=LEFT('112'!$M$9,2),B5529&lt;'112'!$K$9,$N5529='112'!$I$6)),"x",""))</f>
        <v/>
      </c>
      <c r="V5529" s="75" t="str">
        <f>IF(ISERROR(FIND('112'!$M$9,G5529,1)),"",IF((AND(RIGHT(G5529,2)=RIGHT('112'!$M$9,2),B5529&lt;'112'!$K$9,$O5529='112'!$I$6)),"x",""))</f>
        <v/>
      </c>
      <c r="W5529" s="75" t="str">
        <f>IF(AND('341-CT'!$H$9=H5529,OR(LEFT(N5529,3)=$W$7,LEFT(O5529,3)=$W$7)),"x","")</f>
        <v/>
      </c>
      <c r="X5529" s="75" t="str">
        <f>IF(OR(TH!N5627=TH!$X$7,O5529=TH!$X$7),"x","")</f>
        <v/>
      </c>
      <c r="Y5529" s="75" t="str">
        <f>IF(AND(OR(N5529="131",O5529="131"),H5529='131-CT'!$H$9),"x","")</f>
        <v/>
      </c>
      <c r="Z5529" s="75"/>
      <c r="AA5529" s="75" t="str">
        <f>IF(AND(MONTH(E5529)='IN-NX'!$J$5,'IN-NX'!$D$7=D5529),"x","")</f>
        <v/>
      </c>
      <c r="AB5529" s="75" t="str">
        <f>IF(AND(OR(LEFT(TH!N5627,2)="15",LEFT(TH!O5627,2)="15"),LEFT(TH!O5627,3)&lt;&gt;"111",'152-CT'!$J$8=TH!F5627),"x","")</f>
        <v/>
      </c>
      <c r="AC5529" s="75" t="str">
        <f>IF(AND(OR(LEFT(TH!N5627,2)="15",LEFT(TH!O5627,2)="15"),TK!$E$7=TH!F5627),"x","")</f>
        <v/>
      </c>
      <c r="AD5529" s="75" t="str">
        <f>IF(AND(N5529="1521",MONTH(C5529)='BK-NL'!$M$11),"x","")</f>
        <v/>
      </c>
    </row>
    <row r="5530" spans="1:33" ht="16.5" customHeight="1">
      <c r="A5530" s="309" t="str">
        <f>IF(B5530&lt;&gt;"",IF(AND(B5530='IN-TC'!$S$4,OR(TH!N5513="1111",TH!O5513="1111")),TH!D5513,""),"")</f>
        <v/>
      </c>
      <c r="B5530" s="1159">
        <f t="shared" si="1358"/>
        <v>12</v>
      </c>
      <c r="C5530" s="292">
        <f t="shared" si="1357"/>
        <v>43074</v>
      </c>
      <c r="D5530" s="59" t="s">
        <v>902</v>
      </c>
      <c r="E5530" s="59">
        <v>43074</v>
      </c>
      <c r="F5530" s="62" t="s">
        <v>1307</v>
      </c>
      <c r="G5530" s="62" t="s">
        <v>747</v>
      </c>
      <c r="H5530" s="294" t="s">
        <v>835</v>
      </c>
      <c r="I5530" s="373"/>
      <c r="J5530" s="382"/>
      <c r="K5530" s="373"/>
      <c r="L5530" s="379"/>
      <c r="M5530" s="60">
        <v>180000</v>
      </c>
      <c r="N5530" s="61" t="s">
        <v>101</v>
      </c>
      <c r="O5530" s="61" t="s">
        <v>26</v>
      </c>
      <c r="P5530" s="75" t="str">
        <f>IF(AND('331-CT'!$E$7=TH!H5628,OR(N5530="331",O5530="331")),"x","")</f>
        <v/>
      </c>
      <c r="Q5530" s="75" t="str">
        <f>IF(AND(B5530='111'!$L$11,OR($N5530=$Q$7,$O5530=$Q$7)),"x","")</f>
        <v/>
      </c>
      <c r="R5530" s="75" t="str">
        <f>IF(AND($N5530=$Q$7,$B5530&lt;'111'!$L$11),"x","")</f>
        <v/>
      </c>
      <c r="S5530" s="75" t="str">
        <f>IF(AND($O5530=$Q$7,$B5530&lt;'111'!$L$11),"x","")</f>
        <v/>
      </c>
      <c r="T5530" s="75" t="str">
        <f>IF(ISERROR(FIND('112'!$M$9,G5530,1)),"",IF((AND(FIND('112'!$M$9,G5530,1)&gt;=1,B5530='112'!$K$9,OR($N5530='112'!$I$6,$O5530='112'!$I$6))),"x",""))</f>
        <v/>
      </c>
      <c r="U5530" s="75" t="str">
        <f>IF(ISERROR(FIND('112'!$M$9,G5530,1)),"",IF((AND(LEFT(G5530,2)=LEFT('112'!$M$9,2),B5530&lt;'112'!$K$9,$N5530='112'!$I$6)),"x",""))</f>
        <v/>
      </c>
      <c r="V5530" s="75" t="str">
        <f>IF(ISERROR(FIND('112'!$M$9,G5530,1)),"",IF((AND(RIGHT(G5530,2)=RIGHT('112'!$M$9,2),B5530&lt;'112'!$K$9,$O5530='112'!$I$6)),"x",""))</f>
        <v/>
      </c>
      <c r="W5530" s="75" t="str">
        <f>IF(AND('341-CT'!$H$9=H5530,OR(LEFT(N5530,3)=$W$7,LEFT(O5530,3)=$W$7)),"x","")</f>
        <v/>
      </c>
      <c r="X5530" s="75" t="str">
        <f>IF(OR(TH!N5628=TH!$X$7,O5530=TH!$X$7),"x","")</f>
        <v/>
      </c>
      <c r="Y5530" s="75" t="str">
        <f>IF(AND(OR(N5530="131",O5530="131"),H5530='131-CT'!$H$9),"x","")</f>
        <v/>
      </c>
      <c r="Z5530" s="75"/>
      <c r="AA5530" s="75" t="str">
        <f>IF(AND(MONTH(E5530)='IN-NX'!$J$5,'IN-NX'!$D$7=D5530),"x","")</f>
        <v/>
      </c>
      <c r="AB5530" s="75" t="str">
        <f>IF(AND(OR(LEFT(TH!N5628,2)="15",LEFT(TH!O5628,2)="15"),LEFT(TH!O5628,3)&lt;&gt;"111",'152-CT'!$J$8=TH!F5628),"x","")</f>
        <v/>
      </c>
      <c r="AC5530" s="75" t="str">
        <f>IF(AND(OR(LEFT(TH!N5628,2)="15",LEFT(TH!O5628,2)="15"),TK!$E$7=TH!F5628),"x","")</f>
        <v/>
      </c>
      <c r="AD5530" s="75" t="str">
        <f>IF(AND(N5530="1521",MONTH(C5530)='BK-NL'!$M$11),"x","")</f>
        <v/>
      </c>
      <c r="AE5530">
        <v>12</v>
      </c>
    </row>
    <row r="5531" spans="1:33" s="304" customFormat="1" ht="16.5" customHeight="1">
      <c r="A5531" s="309" t="str">
        <f>IF(B5531&lt;&gt;"",IF(AND(B5531='IN-TC'!$S$4,OR(TH!N5514="1111",TH!O5514="1111")),TH!D5514,""),"")</f>
        <v/>
      </c>
      <c r="B5531" s="1159">
        <f t="shared" si="1358"/>
        <v>12</v>
      </c>
      <c r="C5531" s="292">
        <f t="shared" si="1357"/>
        <v>43074</v>
      </c>
      <c r="D5531" s="59" t="s">
        <v>902</v>
      </c>
      <c r="E5531" s="59">
        <v>43074</v>
      </c>
      <c r="F5531" s="62" t="s">
        <v>1314</v>
      </c>
      <c r="G5531" s="62" t="s">
        <v>747</v>
      </c>
      <c r="H5531" s="294" t="s">
        <v>835</v>
      </c>
      <c r="I5531" s="375"/>
      <c r="J5531" s="382"/>
      <c r="K5531" s="375"/>
      <c r="L5531" s="381"/>
      <c r="M5531" s="60">
        <v>18000</v>
      </c>
      <c r="N5531" s="61" t="s">
        <v>9</v>
      </c>
      <c r="O5531" s="61" t="s">
        <v>26</v>
      </c>
      <c r="P5531" s="75" t="str">
        <f>IF(AND('331-CT'!$E$7=TH!H5629,OR(N5531="331",O5531="331")),"x","")</f>
        <v/>
      </c>
      <c r="Q5531" s="75" t="str">
        <f>IF(AND(B5531='111'!$L$11,OR($N5531=$Q$7,$O5531=$Q$7)),"x","")</f>
        <v/>
      </c>
      <c r="R5531" s="75" t="str">
        <f>IF(AND($N5531=$Q$7,$B5531&lt;'111'!$L$11),"x","")</f>
        <v/>
      </c>
      <c r="S5531" s="75" t="str">
        <f>IF(AND($O5531=$Q$7,$B5531&lt;'111'!$L$11),"x","")</f>
        <v/>
      </c>
      <c r="T5531" s="75" t="str">
        <f>IF(ISERROR(FIND('112'!$M$9,G5531,1)),"",IF((AND(FIND('112'!$M$9,G5531,1)&gt;=1,B5531='112'!$K$9,OR($N5531='112'!$I$6,$O5531='112'!$I$6))),"x",""))</f>
        <v/>
      </c>
      <c r="U5531" s="75" t="str">
        <f>IF(ISERROR(FIND('112'!$M$9,G5531,1)),"",IF((AND(LEFT(G5531,2)=LEFT('112'!$M$9,2),B5531&lt;'112'!$K$9,$N5531='112'!$I$6)),"x",""))</f>
        <v/>
      </c>
      <c r="V5531" s="75" t="str">
        <f>IF(ISERROR(FIND('112'!$M$9,G5531,1)),"",IF((AND(RIGHT(G5531,2)=RIGHT('112'!$M$9,2),B5531&lt;'112'!$K$9,$O5531='112'!$I$6)),"x",""))</f>
        <v/>
      </c>
      <c r="W5531" s="75" t="str">
        <f>IF(AND('341-CT'!$H$9=H5531,OR(LEFT(N5531,3)=$W$7,LEFT(O5531,3)=$W$7)),"x","")</f>
        <v/>
      </c>
      <c r="X5531" s="75" t="str">
        <f>IF(OR(TH!N5629=TH!$X$7,O5531=TH!$X$7),"x","")</f>
        <v/>
      </c>
      <c r="Y5531" s="75" t="str">
        <f>IF(AND(OR(N5531="131",O5531="131"),H5531='131-CT'!$H$9),"x","")</f>
        <v/>
      </c>
      <c r="Z5531" s="75"/>
      <c r="AA5531" s="75" t="str">
        <f>IF(AND(MONTH(E5531)='IN-NX'!$J$5,'IN-NX'!$D$7=D5531),"x","")</f>
        <v/>
      </c>
      <c r="AB5531" s="75" t="str">
        <f>IF(AND(OR(LEFT(TH!N5629,2)="15",LEFT(TH!O5629,2)="15"),LEFT(TH!O5629,3)&lt;&gt;"111",'152-CT'!$J$8=TH!F5629),"x","")</f>
        <v/>
      </c>
      <c r="AC5531" s="75" t="str">
        <f>IF(AND(OR(LEFT(TH!N5629,2)="15",LEFT(TH!O5629,2)="15"),TK!$E$7=TH!F5629),"x","")</f>
        <v/>
      </c>
      <c r="AD5531" s="75" t="str">
        <f>IF(AND(N5531="1521",MONTH(C5531)='BK-NL'!$M$11),"x","")</f>
        <v/>
      </c>
      <c r="AE5531">
        <v>12</v>
      </c>
      <c r="AF5531"/>
      <c r="AG5531"/>
    </row>
    <row r="5532" spans="1:33" ht="16.5" customHeight="1">
      <c r="A5532" s="309" t="str">
        <f>IF(B5532&lt;&gt;"",IF(AND(B5532='IN-TC'!$S$4,OR(TH!N5515="1111",TH!O5515="1111")),TH!D5515,""),"")</f>
        <v/>
      </c>
      <c r="B5532" s="1159">
        <f t="shared" si="1358"/>
        <v>12</v>
      </c>
      <c r="C5532" s="292">
        <f t="shared" si="1357"/>
        <v>43074</v>
      </c>
      <c r="D5532" s="59" t="s">
        <v>853</v>
      </c>
      <c r="E5532" s="59">
        <v>43074</v>
      </c>
      <c r="F5532" s="62" t="s">
        <v>834</v>
      </c>
      <c r="G5532" s="62" t="s">
        <v>747</v>
      </c>
      <c r="H5532" s="67" t="s">
        <v>1023</v>
      </c>
      <c r="I5532" s="375"/>
      <c r="J5532" s="382"/>
      <c r="K5532" s="375"/>
      <c r="L5532" s="381"/>
      <c r="M5532" s="60">
        <v>2000000000</v>
      </c>
      <c r="N5532" s="61" t="s">
        <v>63</v>
      </c>
      <c r="O5532" s="61" t="s">
        <v>26</v>
      </c>
      <c r="P5532" s="75" t="str">
        <f>IF(AND('331-CT'!$E$7=TH!H5630,OR(N5532="331",O5532="331")),"x","")</f>
        <v/>
      </c>
      <c r="Q5532" s="75" t="str">
        <f>IF(AND(B5532='111'!$L$11,OR($N5532=$Q$7,$O5532=$Q$7)),"x","")</f>
        <v>x</v>
      </c>
      <c r="R5532" s="75" t="str">
        <f>IF(AND($N5532=$Q$7,$B5532&lt;'111'!$L$11),"x","")</f>
        <v/>
      </c>
      <c r="S5532" s="75" t="str">
        <f>IF(AND($O5532=$Q$7,$B5532&lt;'111'!$L$11),"x","")</f>
        <v/>
      </c>
      <c r="T5532" s="75" t="str">
        <f>IF(ISERROR(FIND('112'!$M$9,G5532,1)),"",IF((AND(FIND('112'!$M$9,G5532,1)&gt;=1,B5532='112'!$K$9,OR($N5532='112'!$I$6,$O5532='112'!$I$6))),"x",""))</f>
        <v/>
      </c>
      <c r="U5532" s="75" t="str">
        <f>IF(ISERROR(FIND('112'!$M$9,G5532,1)),"",IF((AND(LEFT(G5532,2)=LEFT('112'!$M$9,2),B5532&lt;'112'!$K$9,$N5532='112'!$I$6)),"x",""))</f>
        <v/>
      </c>
      <c r="V5532" s="75" t="str">
        <f>IF(ISERROR(FIND('112'!$M$9,G5532,1)),"",IF((AND(RIGHT(G5532,2)=RIGHT('112'!$M$9,2),B5532&lt;'112'!$K$9,$O5532='112'!$I$6)),"x",""))</f>
        <v/>
      </c>
      <c r="W5532" s="75" t="str">
        <f>IF(AND('341-CT'!$H$9=H5532,OR(LEFT(N5532,3)=$W$7,LEFT(O5532,3)=$W$7)),"x","")</f>
        <v/>
      </c>
      <c r="X5532" s="75" t="str">
        <f>IF(OR(TH!N5630=TH!$X$7,O5532=TH!$X$7),"x","")</f>
        <v/>
      </c>
      <c r="Y5532" s="75" t="str">
        <f>IF(AND(OR(N5532="131",O5532="131"),H5532='131-CT'!$H$9),"x","")</f>
        <v/>
      </c>
      <c r="Z5532" s="75"/>
      <c r="AA5532" s="75" t="str">
        <f>IF(AND(MONTH(E5532)='IN-NX'!$J$5,'IN-NX'!$D$7=D5532),"x","")</f>
        <v/>
      </c>
      <c r="AB5532" s="75" t="str">
        <f>IF(AND(OR(LEFT(TH!N5630,2)="15",LEFT(TH!O5630,2)="15"),LEFT(TH!O5630,3)&lt;&gt;"111",'152-CT'!$J$8=TH!F5630),"x","")</f>
        <v/>
      </c>
      <c r="AC5532" s="75" t="str">
        <f>IF(AND(OR(LEFT(TH!N5630,2)="15",LEFT(TH!O5630,2)="15"),TK!$E$7=TH!F5630),"x","")</f>
        <v/>
      </c>
      <c r="AD5532" s="75" t="str">
        <f>IF(AND(N5532="1521",MONTH(C5532)='BK-NL'!$M$11),"x","")</f>
        <v/>
      </c>
    </row>
    <row r="5533" spans="1:33" ht="16.5" customHeight="1">
      <c r="A5533" s="309" t="str">
        <f>IF(B5533&lt;&gt;"",IF(AND(B5533='IN-TC'!$S$4,OR(TH!N5516="1111",TH!O5516="1111")),TH!D5516,""),"")</f>
        <v/>
      </c>
      <c r="B5533" s="1159">
        <f t="shared" si="1358"/>
        <v>12</v>
      </c>
      <c r="C5533" s="292">
        <f t="shared" si="1357"/>
        <v>43074</v>
      </c>
      <c r="D5533" s="59"/>
      <c r="E5533" s="59">
        <v>43074</v>
      </c>
      <c r="F5533" s="62" t="s">
        <v>221</v>
      </c>
      <c r="G5533" s="742" t="s">
        <v>2811</v>
      </c>
      <c r="H5533" s="67" t="s">
        <v>556</v>
      </c>
      <c r="I5533" s="375"/>
      <c r="J5533" s="382"/>
      <c r="K5533" s="375"/>
      <c r="L5533" s="381"/>
      <c r="M5533" s="60">
        <v>11422727</v>
      </c>
      <c r="N5533" s="61" t="s">
        <v>272</v>
      </c>
      <c r="O5533" s="61" t="s">
        <v>63</v>
      </c>
      <c r="P5533" s="75" t="str">
        <f>IF(AND('331-CT'!$E$7=TH!H4139,OR(N5533="331",O5533="331")),"x","")</f>
        <v/>
      </c>
      <c r="Q5533" s="75" t="str">
        <f>IF(AND(B5533='111'!$L$11,OR($N5533=$Q$7,$O5533=$Q$7)),"x","")</f>
        <v>x</v>
      </c>
      <c r="R5533" s="75" t="str">
        <f>IF(AND($N5533=$Q$7,$B5533&lt;'111'!$L$11),"x","")</f>
        <v/>
      </c>
      <c r="S5533" s="75" t="str">
        <f>IF(AND($O5533=$Q$7,$B5533&lt;'111'!$L$11),"x","")</f>
        <v/>
      </c>
      <c r="T5533" s="75" t="str">
        <f>IF(ISERROR(FIND('112'!$M$9,G5533,1)),"",IF((AND(FIND('112'!$M$9,G5533,1)&gt;=1,B5533='112'!$K$9,OR($N5533='112'!$I$6,$O5533='112'!$I$6))),"x",""))</f>
        <v/>
      </c>
      <c r="U5533" s="75" t="str">
        <f>IF(ISERROR(FIND('112'!$M$9,G5533,1)),"",IF((AND(LEFT(G5533,2)=LEFT('112'!$M$9,2),B5533&lt;'112'!$K$9,$N5533='112'!$I$6)),"x",""))</f>
        <v/>
      </c>
      <c r="V5533" s="75" t="str">
        <f>IF(ISERROR(FIND('112'!$M$9,G5533,1)),"",IF((AND(RIGHT(G5533,2)=RIGHT('112'!$M$9,2),B5533&lt;'112'!$K$9,$O5533='112'!$I$6)),"x",""))</f>
        <v/>
      </c>
      <c r="W5533" s="75" t="str">
        <f>IF(AND('341-CT'!$H$9=H5533,OR(LEFT(N5533,3)=$W$7,LEFT(O5533,3)=$W$7)),"x","")</f>
        <v/>
      </c>
      <c r="X5533" s="75" t="str">
        <f>IF(OR(TH!N4139=TH!$X$7,O5533=TH!$X$7),"x","")</f>
        <v/>
      </c>
      <c r="Y5533" s="75" t="str">
        <f>IF(AND(OR(N5533="131",O5533="131"),H5533='131-CT'!$H$9),"x","")</f>
        <v/>
      </c>
      <c r="Z5533" s="75"/>
      <c r="AA5533" s="75" t="str">
        <f>IF(AND(MONTH(E5533)='IN-NX'!$J$5,'IN-NX'!$D$7=D5533),"x","")</f>
        <v/>
      </c>
      <c r="AB5533" s="75" t="str">
        <f>IF(AND(OR(LEFT(TH!N4139,2)="15",LEFT(TH!O4139,2)="15"),LEFT(TH!O4139,3)&lt;&gt;"111",'152-CT'!$J$8=TH!F4139),"x","")</f>
        <v/>
      </c>
      <c r="AC5533" s="75" t="str">
        <f>IF(AND(OR(LEFT(TH!N4139,2)="15",LEFT(TH!O4139,2)="15"),TK!$E$7=TH!F4139),"x","")</f>
        <v/>
      </c>
      <c r="AD5533" s="75" t="str">
        <f>IF(AND(N5533="1521",MONTH(C5533)='BK-NL'!$M$11),"x","")</f>
        <v/>
      </c>
      <c r="AE5533">
        <v>12</v>
      </c>
    </row>
    <row r="5534" spans="1:33" ht="16.5" customHeight="1">
      <c r="A5534" s="309" t="str">
        <f>IF(B5534&lt;&gt;"",IF(AND(B5534='IN-TC'!$S$4,OR(TH!N5517="1111",TH!O5517="1111")),TH!D5517,""),"")</f>
        <v/>
      </c>
      <c r="B5534" s="1159">
        <f t="shared" si="1358"/>
        <v>12</v>
      </c>
      <c r="C5534" s="292">
        <f t="shared" si="1357"/>
        <v>43074</v>
      </c>
      <c r="D5534" s="59"/>
      <c r="E5534" s="59">
        <v>43074</v>
      </c>
      <c r="F5534" s="62" t="s">
        <v>943</v>
      </c>
      <c r="G5534" s="742" t="s">
        <v>2811</v>
      </c>
      <c r="H5534" s="67" t="s">
        <v>556</v>
      </c>
      <c r="I5534" s="375"/>
      <c r="J5534" s="382"/>
      <c r="K5534" s="375"/>
      <c r="L5534" s="381"/>
      <c r="M5534" s="60">
        <v>1142273</v>
      </c>
      <c r="N5534" s="61" t="s">
        <v>9</v>
      </c>
      <c r="O5534" s="61" t="s">
        <v>63</v>
      </c>
      <c r="P5534" s="75" t="str">
        <f>IF(AND('331-CT'!$E$7=TH!H4140,OR(N5534="331",O5534="331")),"x","")</f>
        <v/>
      </c>
      <c r="Q5534" s="75" t="str">
        <f>IF(AND(B5534='111'!$L$11,OR($N5534=$Q$7,$O5534=$Q$7)),"x","")</f>
        <v>x</v>
      </c>
      <c r="R5534" s="75" t="str">
        <f>IF(AND($N5534=$Q$7,$B5534&lt;'111'!$L$11),"x","")</f>
        <v/>
      </c>
      <c r="S5534" s="75" t="str">
        <f>IF(AND($O5534=$Q$7,$B5534&lt;'111'!$L$11),"x","")</f>
        <v/>
      </c>
      <c r="T5534" s="75" t="str">
        <f>IF(ISERROR(FIND('112'!$M$9,G5534,1)),"",IF((AND(FIND('112'!$M$9,G5534,1)&gt;=1,B5534='112'!$K$9,OR($N5534='112'!$I$6,$O5534='112'!$I$6))),"x",""))</f>
        <v/>
      </c>
      <c r="U5534" s="75" t="str">
        <f>IF(ISERROR(FIND('112'!$M$9,G5534,1)),"",IF((AND(LEFT(G5534,2)=LEFT('112'!$M$9,2),B5534&lt;'112'!$K$9,$N5534='112'!$I$6)),"x",""))</f>
        <v/>
      </c>
      <c r="V5534" s="75" t="str">
        <f>IF(ISERROR(FIND('112'!$M$9,G5534,1)),"",IF((AND(RIGHT(G5534,2)=RIGHT('112'!$M$9,2),B5534&lt;'112'!$K$9,$O5534='112'!$I$6)),"x",""))</f>
        <v/>
      </c>
      <c r="W5534" s="75" t="str">
        <f>IF(AND('341-CT'!$H$9=H5534,OR(LEFT(N5534,3)=$W$7,LEFT(O5534,3)=$W$7)),"x","")</f>
        <v/>
      </c>
      <c r="X5534" s="75" t="str">
        <f>IF(OR(TH!N4140=TH!$X$7,O5534=TH!$X$7),"x","")</f>
        <v/>
      </c>
      <c r="Y5534" s="75" t="str">
        <f>IF(AND(OR(N5534="131",O5534="131"),H5534='131-CT'!$H$9),"x","")</f>
        <v/>
      </c>
      <c r="Z5534" s="75"/>
      <c r="AA5534" s="75" t="str">
        <f>IF(AND(MONTH(E5534)='IN-NX'!$J$5,'IN-NX'!$D$7=D5534),"x","")</f>
        <v/>
      </c>
      <c r="AB5534" s="75" t="str">
        <f>IF(AND(OR(LEFT(TH!N4140,2)="15",LEFT(TH!O4140,2)="15"),LEFT(TH!O4140,3)&lt;&gt;"111",'152-CT'!$J$8=TH!F4140),"x","")</f>
        <v/>
      </c>
      <c r="AC5534" s="75" t="str">
        <f>IF(AND(OR(LEFT(TH!N4140,2)="15",LEFT(TH!O4140,2)="15"),TK!$E$7=TH!F4140),"x","")</f>
        <v/>
      </c>
      <c r="AD5534" s="75" t="str">
        <f>IF(AND(N5534="1521",MONTH(C5534)='BK-NL'!$M$11),"x","")</f>
        <v/>
      </c>
      <c r="AE5534">
        <v>12</v>
      </c>
    </row>
    <row r="5535" spans="1:33" ht="16.5" customHeight="1">
      <c r="A5535" s="309" t="str">
        <f>IF(B5535&lt;&gt;"",IF(AND(B5535='IN-TC'!$S$4,OR(TH!N5518="1111",TH!O5518="1111")),TH!D5518,""),"")</f>
        <v/>
      </c>
      <c r="B5535" s="1159">
        <f t="shared" si="1358"/>
        <v>12</v>
      </c>
      <c r="C5535" s="292">
        <f t="shared" si="1357"/>
        <v>43074</v>
      </c>
      <c r="D5535" s="59"/>
      <c r="E5535" s="59">
        <v>43074</v>
      </c>
      <c r="F5535" s="62" t="s">
        <v>1499</v>
      </c>
      <c r="G5535" s="742" t="s">
        <v>2812</v>
      </c>
      <c r="H5535" s="67" t="s">
        <v>893</v>
      </c>
      <c r="I5535" s="375"/>
      <c r="J5535" s="382"/>
      <c r="K5535" s="375"/>
      <c r="L5535" s="381"/>
      <c r="M5535" s="60">
        <v>2756491</v>
      </c>
      <c r="N5535" s="61" t="s">
        <v>101</v>
      </c>
      <c r="O5535" s="61" t="s">
        <v>63</v>
      </c>
      <c r="P5535" s="75" t="str">
        <f>IF(AND('331-CT'!$E$7=TH!H4141,OR(N5535="331",O5535="331")),"x","")</f>
        <v/>
      </c>
      <c r="Q5535" s="75" t="str">
        <f>IF(AND(B5535='111'!$L$11,OR($N5535=$Q$7,$O5535=$Q$7)),"x","")</f>
        <v>x</v>
      </c>
      <c r="R5535" s="75" t="str">
        <f>IF(AND($N5535=$Q$7,$B5535&lt;'111'!$L$11),"x","")</f>
        <v/>
      </c>
      <c r="S5535" s="75" t="str">
        <f>IF(AND($O5535=$Q$7,$B5535&lt;'111'!$L$11),"x","")</f>
        <v/>
      </c>
      <c r="T5535" s="75" t="str">
        <f>IF(ISERROR(FIND('112'!$M$9,G5535,1)),"",IF((AND(FIND('112'!$M$9,G5535,1)&gt;=1,B5535='112'!$K$9,OR($N5535='112'!$I$6,$O5535='112'!$I$6))),"x",""))</f>
        <v/>
      </c>
      <c r="U5535" s="75" t="str">
        <f>IF(ISERROR(FIND('112'!$M$9,G5535,1)),"",IF((AND(LEFT(G5535,2)=LEFT('112'!$M$9,2),B5535&lt;'112'!$K$9,$N5535='112'!$I$6)),"x",""))</f>
        <v/>
      </c>
      <c r="V5535" s="75" t="str">
        <f>IF(ISERROR(FIND('112'!$M$9,G5535,1)),"",IF((AND(RIGHT(G5535,2)=RIGHT('112'!$M$9,2),B5535&lt;'112'!$K$9,$O5535='112'!$I$6)),"x",""))</f>
        <v/>
      </c>
      <c r="W5535" s="75" t="str">
        <f>IF(AND('341-CT'!$H$9=H5535,OR(LEFT(N5535,3)=$W$7,LEFT(O5535,3)=$W$7)),"x","")</f>
        <v/>
      </c>
      <c r="X5535" s="75" t="str">
        <f>IF(OR(TH!N4141=TH!$X$7,O5535=TH!$X$7),"x","")</f>
        <v/>
      </c>
      <c r="Y5535" s="75" t="str">
        <f>IF(AND(OR(N5535="131",O5535="131"),H5535='131-CT'!$H$9),"x","")</f>
        <v/>
      </c>
      <c r="Z5535" s="75"/>
      <c r="AA5535" s="75" t="str">
        <f>IF(AND(MONTH(E5535)='IN-NX'!$J$5,'IN-NX'!$D$7=D5535),"x","")</f>
        <v/>
      </c>
      <c r="AB5535" s="75" t="str">
        <f>IF(AND(OR(LEFT(TH!N4141,2)="15",LEFT(TH!O4141,2)="15"),LEFT(TH!O4141,3)&lt;&gt;"111",'152-CT'!$J$8=TH!F4141),"x","")</f>
        <v/>
      </c>
      <c r="AC5535" s="75" t="str">
        <f>IF(AND(OR(LEFT(TH!N4141,2)="15",LEFT(TH!O4141,2)="15"),TK!$E$7=TH!F4141),"x","")</f>
        <v/>
      </c>
      <c r="AD5535" s="75" t="str">
        <f>IF(AND(N5535="1521",MONTH(C5535)='BK-NL'!$M$11),"x","")</f>
        <v/>
      </c>
      <c r="AE5535">
        <v>12</v>
      </c>
    </row>
    <row r="5536" spans="1:33" ht="16.5" customHeight="1">
      <c r="A5536" s="309" t="str">
        <f>IF(B5536&lt;&gt;"",IF(AND(B5536='IN-TC'!$S$4,OR(TH!N5519="1111",TH!O5519="1111")),TH!D5519,""),"")</f>
        <v/>
      </c>
      <c r="B5536" s="1159">
        <f t="shared" si="1358"/>
        <v>12</v>
      </c>
      <c r="C5536" s="292">
        <f t="shared" si="1357"/>
        <v>43074</v>
      </c>
      <c r="D5536" s="59"/>
      <c r="E5536" s="59">
        <v>43074</v>
      </c>
      <c r="F5536" s="62" t="s">
        <v>1500</v>
      </c>
      <c r="G5536" s="742" t="s">
        <v>2812</v>
      </c>
      <c r="H5536" s="67" t="s">
        <v>893</v>
      </c>
      <c r="I5536" s="375"/>
      <c r="J5536" s="382"/>
      <c r="K5536" s="375"/>
      <c r="L5536" s="381"/>
      <c r="M5536" s="60">
        <v>275649</v>
      </c>
      <c r="N5536" s="61" t="s">
        <v>9</v>
      </c>
      <c r="O5536" s="61" t="s">
        <v>63</v>
      </c>
      <c r="P5536" s="75" t="str">
        <f>IF(AND('331-CT'!$E$7=TH!H4142,OR(N5536="331",O5536="331")),"x","")</f>
        <v/>
      </c>
      <c r="Q5536" s="75" t="str">
        <f>IF(AND(B5536='111'!$L$11,OR($N5536=$Q$7,$O5536=$Q$7)),"x","")</f>
        <v>x</v>
      </c>
      <c r="R5536" s="75" t="str">
        <f>IF(AND($N5536=$Q$7,$B5536&lt;'111'!$L$11),"x","")</f>
        <v/>
      </c>
      <c r="S5536" s="75" t="str">
        <f>IF(AND($O5536=$Q$7,$B5536&lt;'111'!$L$11),"x","")</f>
        <v/>
      </c>
      <c r="T5536" s="75" t="str">
        <f>IF(ISERROR(FIND('112'!$M$9,G5536,1)),"",IF((AND(FIND('112'!$M$9,G5536,1)&gt;=1,B5536='112'!$K$9,OR($N5536='112'!$I$6,$O5536='112'!$I$6))),"x",""))</f>
        <v/>
      </c>
      <c r="U5536" s="75" t="str">
        <f>IF(ISERROR(FIND('112'!$M$9,G5536,1)),"",IF((AND(LEFT(G5536,2)=LEFT('112'!$M$9,2),B5536&lt;'112'!$K$9,$N5536='112'!$I$6)),"x",""))</f>
        <v/>
      </c>
      <c r="V5536" s="75" t="str">
        <f>IF(ISERROR(FIND('112'!$M$9,G5536,1)),"",IF((AND(RIGHT(G5536,2)=RIGHT('112'!$M$9,2),B5536&lt;'112'!$K$9,$O5536='112'!$I$6)),"x",""))</f>
        <v/>
      </c>
      <c r="W5536" s="75" t="str">
        <f>IF(AND('341-CT'!$H$9=H5536,OR(LEFT(N5536,3)=$W$7,LEFT(O5536,3)=$W$7)),"x","")</f>
        <v/>
      </c>
      <c r="X5536" s="75" t="str">
        <f>IF(OR(TH!N4142=TH!$X$7,O5536=TH!$X$7),"x","")</f>
        <v/>
      </c>
      <c r="Y5536" s="75" t="str">
        <f>IF(AND(OR(N5536="131",O5536="131"),H5536='131-CT'!$H$9),"x","")</f>
        <v/>
      </c>
      <c r="Z5536" s="75"/>
      <c r="AA5536" s="75" t="str">
        <f>IF(AND(MONTH(E5536)='IN-NX'!$J$5,'IN-NX'!$D$7=D5536),"x","")</f>
        <v/>
      </c>
      <c r="AB5536" s="75" t="str">
        <f>IF(AND(OR(LEFT(TH!N4142,2)="15",LEFT(TH!O4142,2)="15"),LEFT(TH!O4142,3)&lt;&gt;"111",'152-CT'!$J$8=TH!F4142),"x","")</f>
        <v/>
      </c>
      <c r="AC5536" s="75" t="str">
        <f>IF(AND(OR(LEFT(TH!N4142,2)="15",LEFT(TH!O4142,2)="15"),TK!$E$7=TH!F4142),"x","")</f>
        <v/>
      </c>
      <c r="AD5536" s="75" t="str">
        <f>IF(AND(N5536="1521",MONTH(C5536)='BK-NL'!$M$11),"x","")</f>
        <v/>
      </c>
      <c r="AE5536">
        <v>12</v>
      </c>
    </row>
    <row r="5537" spans="1:33" ht="16.5" customHeight="1">
      <c r="A5537" s="309" t="str">
        <f>IF(B5537&lt;&gt;"",IF(AND(B5537='IN-TC'!$S$4,OR(TH!N5520="1111",TH!O5520="1111")),TH!D5520,""),"")</f>
        <v/>
      </c>
      <c r="B5537" s="1243">
        <f t="shared" si="1358"/>
        <v>12</v>
      </c>
      <c r="C5537" s="292">
        <f t="shared" si="1357"/>
        <v>43074</v>
      </c>
      <c r="D5537" s="292"/>
      <c r="E5537" s="292">
        <v>43074</v>
      </c>
      <c r="F5537" s="1010" t="s">
        <v>1881</v>
      </c>
      <c r="G5537" s="925"/>
      <c r="H5537" s="311" t="s">
        <v>1882</v>
      </c>
      <c r="I5537" s="373"/>
      <c r="J5537" s="926"/>
      <c r="K5537" s="373"/>
      <c r="L5537" s="379"/>
      <c r="M5537" s="927">
        <v>2000000000</v>
      </c>
      <c r="N5537" s="295" t="s">
        <v>8</v>
      </c>
      <c r="O5537" s="295" t="s">
        <v>63</v>
      </c>
      <c r="P5537" s="75" t="str">
        <f>IF(AND('331-CT'!$E$7=TH!H4363,OR(N5537="331",O5537="331")),"x","")</f>
        <v/>
      </c>
      <c r="Q5537" s="75" t="str">
        <f>IF(AND(B5537='111'!$L$11,OR($N5537=$Q$7,$O5537=$Q$7)),"x","")</f>
        <v>x</v>
      </c>
      <c r="R5537" s="75" t="str">
        <f>IF(AND($N5537=$Q$7,$B5537&lt;'111'!$L$11),"x","")</f>
        <v/>
      </c>
      <c r="S5537" s="75" t="str">
        <f>IF(AND($O5537=$Q$7,$B5537&lt;'111'!$L$11),"x","")</f>
        <v/>
      </c>
      <c r="T5537" s="75" t="str">
        <f>IF(ISERROR(FIND('112'!$M$9,G5537,1)),"",IF((AND(FIND('112'!$M$9,G5537,1)&gt;=1,B5537='112'!$K$9,OR($N5537='112'!$I$6,$O5537='112'!$I$6))),"x",""))</f>
        <v/>
      </c>
      <c r="U5537" s="75" t="str">
        <f>IF(ISERROR(FIND('112'!$M$9,G5537,1)),"",IF((AND(LEFT(G5537,2)=LEFT('112'!$M$9,2),B5537&lt;'112'!$K$9,$N5537='112'!$I$6)),"x",""))</f>
        <v/>
      </c>
      <c r="V5537" s="75" t="str">
        <f>IF(ISERROR(FIND('112'!$M$9,G5537,1)),"",IF((AND(RIGHT(G5537,2)=RIGHT('112'!$M$9,2),B5537&lt;'112'!$K$9,$O5537='112'!$I$6)),"x",""))</f>
        <v/>
      </c>
      <c r="W5537" s="75" t="str">
        <f>IF(AND('341-CT'!$H$9=H5537,OR(LEFT(N5537,3)=$W$7,LEFT(O5537,3)=$W$7)),"x","")</f>
        <v/>
      </c>
      <c r="X5537" s="75" t="str">
        <f>IF(OR(TH!N4363=TH!$X$7,O5537=TH!$X$7),"x","")</f>
        <v/>
      </c>
      <c r="Y5537" s="75" t="str">
        <f>IF(AND(OR(N5537="131",O5537="131"),H5537='131-CT'!$H$9),"x","")</f>
        <v/>
      </c>
      <c r="Z5537" s="75"/>
      <c r="AA5537" s="75" t="str">
        <f>IF(AND(MONTH(E5537)='IN-NX'!$J$5,'IN-NX'!$D$7=D5537),"x","")</f>
        <v/>
      </c>
      <c r="AB5537" s="75" t="str">
        <f>IF(AND(OR(LEFT(TH!N4363,2)="15",LEFT(TH!O4363,2)="15"),LEFT(TH!O4363,3)&lt;&gt;"111",'152-CT'!$J$8=TH!F4363),"x","")</f>
        <v/>
      </c>
      <c r="AC5537" s="75" t="str">
        <f>IF(AND(OR(LEFT(TH!N4363,2)="15",LEFT(TH!O4363,2)="15"),TK!$E$7=TH!F4363),"x","")</f>
        <v/>
      </c>
      <c r="AD5537" s="75" t="str">
        <f>IF(AND(N5537="1521",MONTH(C5537)='BK-NL'!$M$11),"x","")</f>
        <v/>
      </c>
    </row>
    <row r="5538" spans="1:33" ht="16.5" customHeight="1">
      <c r="A5538" s="309" t="str">
        <f>IF(B5538&lt;&gt;"",IF(AND(B5538='IN-TC'!$S$4,OR(TH!N5521="1111",TH!O5521="1111")),TH!D5521,""),"")</f>
        <v/>
      </c>
      <c r="B5538" s="1243">
        <f t="shared" si="1358"/>
        <v>12</v>
      </c>
      <c r="C5538" s="292">
        <f t="shared" si="1357"/>
        <v>43074</v>
      </c>
      <c r="D5538" s="292"/>
      <c r="E5538" s="292">
        <v>43074</v>
      </c>
      <c r="F5538" s="1010" t="s">
        <v>1883</v>
      </c>
      <c r="G5538" s="925"/>
      <c r="H5538" s="311"/>
      <c r="I5538" s="373"/>
      <c r="J5538" s="926"/>
      <c r="K5538" s="373"/>
      <c r="L5538" s="379"/>
      <c r="M5538" s="927">
        <v>550000</v>
      </c>
      <c r="N5538" s="295" t="s">
        <v>101</v>
      </c>
      <c r="O5538" s="295" t="s">
        <v>63</v>
      </c>
      <c r="P5538" s="75" t="str">
        <f>IF(AND('331-CT'!$E$7=TH!H4364,OR(N5538="331",O5538="331")),"x","")</f>
        <v/>
      </c>
      <c r="Q5538" s="75" t="str">
        <f>IF(AND(B5538='111'!$L$11,OR($N5538=$Q$7,$O5538=$Q$7)),"x","")</f>
        <v>x</v>
      </c>
      <c r="R5538" s="75" t="str">
        <f>IF(AND($N5538=$Q$7,$B5538&lt;'111'!$L$11),"x","")</f>
        <v/>
      </c>
      <c r="S5538" s="75" t="str">
        <f>IF(AND($O5538=$Q$7,$B5538&lt;'111'!$L$11),"x","")</f>
        <v/>
      </c>
      <c r="T5538" s="75" t="str">
        <f>IF(ISERROR(FIND('112'!$M$9,G5538,1)),"",IF((AND(FIND('112'!$M$9,G5538,1)&gt;=1,B5538='112'!$K$9,OR($N5538='112'!$I$6,$O5538='112'!$I$6))),"x",""))</f>
        <v/>
      </c>
      <c r="U5538" s="75" t="str">
        <f>IF(ISERROR(FIND('112'!$M$9,G5538,1)),"",IF((AND(LEFT(G5538,2)=LEFT('112'!$M$9,2),B5538&lt;'112'!$K$9,$N5538='112'!$I$6)),"x",""))</f>
        <v/>
      </c>
      <c r="V5538" s="75" t="str">
        <f>IF(ISERROR(FIND('112'!$M$9,G5538,1)),"",IF((AND(RIGHT(G5538,2)=RIGHT('112'!$M$9,2),B5538&lt;'112'!$K$9,$O5538='112'!$I$6)),"x",""))</f>
        <v/>
      </c>
      <c r="W5538" s="75" t="str">
        <f>IF(AND('341-CT'!$H$9=H5538,OR(LEFT(N5538,3)=$W$7,LEFT(O5538,3)=$W$7)),"x","")</f>
        <v/>
      </c>
      <c r="X5538" s="75" t="str">
        <f>IF(OR(TH!N4364=TH!$X$7,O5538=TH!$X$7),"x","")</f>
        <v/>
      </c>
      <c r="Y5538" s="75" t="str">
        <f>IF(AND(OR(N5538="131",O5538="131"),H5538='131-CT'!$H$9),"x","")</f>
        <v/>
      </c>
      <c r="Z5538" s="75"/>
      <c r="AA5538" s="75" t="str">
        <f>IF(AND(MONTH(E5538)='IN-NX'!$J$5,'IN-NX'!$D$7=D5538),"x","")</f>
        <v/>
      </c>
      <c r="AB5538" s="75" t="str">
        <f>IF(AND(OR(LEFT(TH!N4364,2)="15",LEFT(TH!O4364,2)="15"),LEFT(TH!O4364,3)&lt;&gt;"111",'152-CT'!$J$8=TH!F4364),"x","")</f>
        <v/>
      </c>
      <c r="AC5538" s="75" t="str">
        <f>IF(AND(OR(LEFT(TH!N4364,2)="15",LEFT(TH!O4364,2)="15"),TK!$E$7=TH!F4364),"x","")</f>
        <v/>
      </c>
      <c r="AD5538" s="75" t="str">
        <f>IF(AND(N5538="1521",MONTH(C5538)='BK-NL'!$M$11),"x","")</f>
        <v/>
      </c>
    </row>
    <row r="5539" spans="1:33" ht="16.5" customHeight="1">
      <c r="A5539" s="309" t="str">
        <f>IF(B5539&lt;&gt;"",IF(AND(B5539='IN-TC'!$S$4,OR(TH!N5522="1111",TH!O5522="1111")),TH!D5522,""),"")</f>
        <v/>
      </c>
      <c r="B5539" s="1159">
        <f t="shared" si="1358"/>
        <v>12</v>
      </c>
      <c r="C5539" s="292">
        <f t="shared" si="1357"/>
        <v>43075</v>
      </c>
      <c r="D5539" s="59"/>
      <c r="E5539" s="59">
        <v>43075</v>
      </c>
      <c r="F5539" s="62" t="s">
        <v>954</v>
      </c>
      <c r="G5539" s="742" t="s">
        <v>2813</v>
      </c>
      <c r="H5539" s="67" t="s">
        <v>1241</v>
      </c>
      <c r="I5539" s="375"/>
      <c r="J5539" s="382"/>
      <c r="K5539" s="375"/>
      <c r="L5539" s="381"/>
      <c r="M5539" s="60">
        <v>3205000</v>
      </c>
      <c r="N5539" s="61" t="s">
        <v>101</v>
      </c>
      <c r="O5539" s="61" t="s">
        <v>63</v>
      </c>
      <c r="P5539" s="75" t="str">
        <f>IF(AND('331-CT'!$E$7=TH!H4143,OR(N5539="331",O5539="331")),"x","")</f>
        <v/>
      </c>
      <c r="Q5539" s="75" t="str">
        <f>IF(AND(B5539='111'!$L$11,OR($N5539=$Q$7,$O5539=$Q$7)),"x","")</f>
        <v>x</v>
      </c>
      <c r="R5539" s="75" t="str">
        <f>IF(AND($N5539=$Q$7,$B5539&lt;'111'!$L$11),"x","")</f>
        <v/>
      </c>
      <c r="S5539" s="75" t="str">
        <f>IF(AND($O5539=$Q$7,$B5539&lt;'111'!$L$11),"x","")</f>
        <v/>
      </c>
      <c r="T5539" s="75" t="str">
        <f>IF(ISERROR(FIND('112'!$M$9,G5539,1)),"",IF((AND(FIND('112'!$M$9,G5539,1)&gt;=1,B5539='112'!$K$9,OR($N5539='112'!$I$6,$O5539='112'!$I$6))),"x",""))</f>
        <v/>
      </c>
      <c r="U5539" s="75" t="str">
        <f>IF(ISERROR(FIND('112'!$M$9,G5539,1)),"",IF((AND(LEFT(G5539,2)=LEFT('112'!$M$9,2),B5539&lt;'112'!$K$9,$N5539='112'!$I$6)),"x",""))</f>
        <v/>
      </c>
      <c r="V5539" s="75" t="str">
        <f>IF(ISERROR(FIND('112'!$M$9,G5539,1)),"",IF((AND(RIGHT(G5539,2)=RIGHT('112'!$M$9,2),B5539&lt;'112'!$K$9,$O5539='112'!$I$6)),"x",""))</f>
        <v/>
      </c>
      <c r="W5539" s="75" t="str">
        <f>IF(AND('341-CT'!$H$9=H5539,OR(LEFT(N5539,3)=$W$7,LEFT(O5539,3)=$W$7)),"x","")</f>
        <v/>
      </c>
      <c r="X5539" s="75" t="str">
        <f>IF(OR(TH!N4143=TH!$X$7,O5539=TH!$X$7),"x","")</f>
        <v/>
      </c>
      <c r="Y5539" s="75" t="str">
        <f>IF(AND(OR(N5539="131",O5539="131"),H5539='131-CT'!$H$9),"x","")</f>
        <v/>
      </c>
      <c r="Z5539" s="75"/>
      <c r="AA5539" s="75" t="str">
        <f>IF(AND(MONTH(E5539)='IN-NX'!$J$5,'IN-NX'!$D$7=D5539),"x","")</f>
        <v/>
      </c>
      <c r="AB5539" s="75" t="str">
        <f>IF(AND(OR(LEFT(TH!N4143,2)="15",LEFT(TH!O4143,2)="15"),LEFT(TH!O4143,3)&lt;&gt;"111",'152-CT'!$J$8=TH!F4143),"x","")</f>
        <v/>
      </c>
      <c r="AC5539" s="75" t="str">
        <f>IF(AND(OR(LEFT(TH!N4143,2)="15",LEFT(TH!O4143,2)="15"),TK!$E$7=TH!F4143),"x","")</f>
        <v/>
      </c>
      <c r="AD5539" s="75" t="str">
        <f>IF(AND(N5539="1521",MONTH(C5539)='BK-NL'!$M$11),"x","")</f>
        <v/>
      </c>
      <c r="AE5539">
        <v>12</v>
      </c>
    </row>
    <row r="5540" spans="1:33" ht="16.5" customHeight="1">
      <c r="A5540" s="309" t="str">
        <f>IF(B5540&lt;&gt;"",IF(AND(B5540='IN-TC'!$S$4,OR(TH!N5523="1111",TH!O5523="1111")),TH!D5523,""),"")</f>
        <v/>
      </c>
      <c r="B5540" s="1159">
        <f t="shared" si="1358"/>
        <v>12</v>
      </c>
      <c r="C5540" s="292">
        <f t="shared" si="1357"/>
        <v>43075</v>
      </c>
      <c r="D5540" s="59"/>
      <c r="E5540" s="59">
        <v>43075</v>
      </c>
      <c r="F5540" s="62" t="s">
        <v>955</v>
      </c>
      <c r="G5540" s="742" t="s">
        <v>2813</v>
      </c>
      <c r="H5540" s="67" t="s">
        <v>1241</v>
      </c>
      <c r="I5540" s="375"/>
      <c r="J5540" s="382"/>
      <c r="K5540" s="375"/>
      <c r="L5540" s="381"/>
      <c r="M5540" s="60">
        <v>320500</v>
      </c>
      <c r="N5540" s="61" t="s">
        <v>9</v>
      </c>
      <c r="O5540" s="61" t="s">
        <v>63</v>
      </c>
      <c r="P5540" s="75" t="str">
        <f>IF(AND('331-CT'!$E$7=TH!H4144,OR(N5540="331",O5540="331")),"x","")</f>
        <v/>
      </c>
      <c r="Q5540" s="75" t="str">
        <f>IF(AND(B5540='111'!$L$11,OR($N5540=$Q$7,$O5540=$Q$7)),"x","")</f>
        <v>x</v>
      </c>
      <c r="R5540" s="75" t="str">
        <f>IF(AND($N5540=$Q$7,$B5540&lt;'111'!$L$11),"x","")</f>
        <v/>
      </c>
      <c r="S5540" s="75" t="str">
        <f>IF(AND($O5540=$Q$7,$B5540&lt;'111'!$L$11),"x","")</f>
        <v/>
      </c>
      <c r="T5540" s="75" t="str">
        <f>IF(ISERROR(FIND('112'!$M$9,G5540,1)),"",IF((AND(FIND('112'!$M$9,G5540,1)&gt;=1,B5540='112'!$K$9,OR($N5540='112'!$I$6,$O5540='112'!$I$6))),"x",""))</f>
        <v/>
      </c>
      <c r="U5540" s="75" t="str">
        <f>IF(ISERROR(FIND('112'!$M$9,G5540,1)),"",IF((AND(LEFT(G5540,2)=LEFT('112'!$M$9,2),B5540&lt;'112'!$K$9,$N5540='112'!$I$6)),"x",""))</f>
        <v/>
      </c>
      <c r="V5540" s="75" t="str">
        <f>IF(ISERROR(FIND('112'!$M$9,G5540,1)),"",IF((AND(RIGHT(G5540,2)=RIGHT('112'!$M$9,2),B5540&lt;'112'!$K$9,$O5540='112'!$I$6)),"x",""))</f>
        <v/>
      </c>
      <c r="W5540" s="75" t="str">
        <f>IF(AND('341-CT'!$H$9=H5540,OR(LEFT(N5540,3)=$W$7,LEFT(O5540,3)=$W$7)),"x","")</f>
        <v/>
      </c>
      <c r="X5540" s="75" t="str">
        <f>IF(OR(TH!N4144=TH!$X$7,O5540=TH!$X$7),"x","")</f>
        <v/>
      </c>
      <c r="Y5540" s="75" t="str">
        <f>IF(AND(OR(N5540="131",O5540="131"),H5540='131-CT'!$H$9),"x","")</f>
        <v/>
      </c>
      <c r="Z5540" s="75"/>
      <c r="AA5540" s="75" t="str">
        <f>IF(AND(MONTH(E5540)='IN-NX'!$J$5,'IN-NX'!$D$7=D5540),"x","")</f>
        <v/>
      </c>
      <c r="AB5540" s="75" t="str">
        <f>IF(AND(OR(LEFT(TH!N4144,2)="15",LEFT(TH!O4144,2)="15"),LEFT(TH!O4144,3)&lt;&gt;"111",'152-CT'!$J$8=TH!F4144),"x","")</f>
        <v/>
      </c>
      <c r="AC5540" s="75" t="str">
        <f>IF(AND(OR(LEFT(TH!N4144,2)="15",LEFT(TH!O4144,2)="15"),TK!$E$7=TH!F4144),"x","")</f>
        <v/>
      </c>
      <c r="AD5540" s="75" t="str">
        <f>IF(AND(N5540="1521",MONTH(C5540)='BK-NL'!$M$11),"x","")</f>
        <v/>
      </c>
      <c r="AE5540">
        <v>12</v>
      </c>
    </row>
    <row r="5541" spans="1:33" ht="16.5" customHeight="1">
      <c r="A5541" s="309" t="str">
        <f>IF(B5541&lt;&gt;"",IF(AND(B5541='IN-TC'!$S$4,OR(TH!N5524="1111",TH!O5524="1111")),TH!D5524,""),"")</f>
        <v/>
      </c>
      <c r="B5541" s="1159">
        <f t="shared" si="1358"/>
        <v>12</v>
      </c>
      <c r="C5541" s="292">
        <f t="shared" si="1357"/>
        <v>43075</v>
      </c>
      <c r="D5541" s="59"/>
      <c r="E5541" s="59">
        <v>43075</v>
      </c>
      <c r="F5541" s="62" t="s">
        <v>2872</v>
      </c>
      <c r="G5541" s="742" t="s">
        <v>2874</v>
      </c>
      <c r="H5541" s="67" t="s">
        <v>935</v>
      </c>
      <c r="I5541" s="375"/>
      <c r="J5541" s="382"/>
      <c r="K5541" s="375"/>
      <c r="L5541" s="381"/>
      <c r="M5541" s="60">
        <v>1928035</v>
      </c>
      <c r="N5541" s="61" t="s">
        <v>101</v>
      </c>
      <c r="O5541" s="61" t="s">
        <v>63</v>
      </c>
      <c r="P5541" s="75" t="str">
        <f>IF(AND('331-CT'!$E$7=TH!H4145,OR(N5541="331",O5541="331")),"x","")</f>
        <v/>
      </c>
      <c r="Q5541" s="75" t="str">
        <f>IF(AND(B5541='111'!$L$11,OR($N5541=$Q$7,$O5541=$Q$7)),"x","")</f>
        <v>x</v>
      </c>
      <c r="R5541" s="75" t="str">
        <f>IF(AND($N5541=$Q$7,$B5541&lt;'111'!$L$11),"x","")</f>
        <v/>
      </c>
      <c r="S5541" s="75" t="str">
        <f>IF(AND($O5541=$Q$7,$B5541&lt;'111'!$L$11),"x","")</f>
        <v/>
      </c>
      <c r="T5541" s="75" t="str">
        <f>IF(ISERROR(FIND('112'!$M$9,G5541,1)),"",IF((AND(FIND('112'!$M$9,G5541,1)&gt;=1,B5541='112'!$K$9,OR($N5541='112'!$I$6,$O5541='112'!$I$6))),"x",""))</f>
        <v/>
      </c>
      <c r="U5541" s="75" t="str">
        <f>IF(ISERROR(FIND('112'!$M$9,G5541,1)),"",IF((AND(LEFT(G5541,2)=LEFT('112'!$M$9,2),B5541&lt;'112'!$K$9,$N5541='112'!$I$6)),"x",""))</f>
        <v/>
      </c>
      <c r="V5541" s="75" t="str">
        <f>IF(ISERROR(FIND('112'!$M$9,G5541,1)),"",IF((AND(RIGHT(G5541,2)=RIGHT('112'!$M$9,2),B5541&lt;'112'!$K$9,$O5541='112'!$I$6)),"x",""))</f>
        <v/>
      </c>
      <c r="W5541" s="75" t="str">
        <f>IF(AND('341-CT'!$H$9=H5541,OR(LEFT(N5541,3)=$W$7,LEFT(O5541,3)=$W$7)),"x","")</f>
        <v/>
      </c>
      <c r="X5541" s="75" t="str">
        <f>IF(OR(TH!N4145=TH!$X$7,O5541=TH!$X$7),"x","")</f>
        <v/>
      </c>
      <c r="Y5541" s="75" t="str">
        <f>IF(AND(OR(N5541="131",O5541="131"),H5541='131-CT'!$H$9),"x","")</f>
        <v/>
      </c>
      <c r="Z5541" s="75"/>
      <c r="AA5541" s="75" t="str">
        <f>IF(AND(MONTH(E5541)='IN-NX'!$J$5,'IN-NX'!$D$7=D5541),"x","")</f>
        <v/>
      </c>
      <c r="AB5541" s="75" t="str">
        <f>IF(AND(OR(LEFT(TH!N4145,2)="15",LEFT(TH!O4145,2)="15"),LEFT(TH!O4145,3)&lt;&gt;"111",'152-CT'!$J$8=TH!F4145),"x","")</f>
        <v/>
      </c>
      <c r="AC5541" s="75" t="str">
        <f>IF(AND(OR(LEFT(TH!N4145,2)="15",LEFT(TH!O4145,2)="15"),TK!$E$7=TH!F4145),"x","")</f>
        <v/>
      </c>
      <c r="AD5541" s="75" t="str">
        <f>IF(AND(N5541="1521",MONTH(C5541)='BK-NL'!$M$11),"x","")</f>
        <v/>
      </c>
      <c r="AE5541">
        <v>12</v>
      </c>
    </row>
    <row r="5542" spans="1:33" ht="16.5" customHeight="1">
      <c r="A5542" s="309" t="str">
        <f>IF(B5542&lt;&gt;"",IF(AND(B5542='IN-TC'!$S$4,OR(TH!N5525="1111",TH!O5525="1111")),TH!D5525,""),"")</f>
        <v/>
      </c>
      <c r="B5542" s="1159">
        <f t="shared" si="1358"/>
        <v>12</v>
      </c>
      <c r="C5542" s="292">
        <f t="shared" si="1357"/>
        <v>43075</v>
      </c>
      <c r="D5542" s="59"/>
      <c r="E5542" s="59">
        <v>43075</v>
      </c>
      <c r="F5542" s="62" t="s">
        <v>2873</v>
      </c>
      <c r="G5542" s="742" t="s">
        <v>2874</v>
      </c>
      <c r="H5542" s="67" t="s">
        <v>935</v>
      </c>
      <c r="I5542" s="375"/>
      <c r="J5542" s="382"/>
      <c r="K5542" s="375"/>
      <c r="L5542" s="381"/>
      <c r="M5542" s="60">
        <v>192804</v>
      </c>
      <c r="N5542" s="61" t="s">
        <v>9</v>
      </c>
      <c r="O5542" s="61" t="s">
        <v>63</v>
      </c>
      <c r="P5542" s="75" t="str">
        <f>IF(AND('331-CT'!$E$7=TH!H4146,OR(N5542="331",O5542="331")),"x","")</f>
        <v/>
      </c>
      <c r="Q5542" s="75" t="str">
        <f>IF(AND(B5542='111'!$L$11,OR($N5542=$Q$7,$O5542=$Q$7)),"x","")</f>
        <v>x</v>
      </c>
      <c r="R5542" s="75" t="str">
        <f>IF(AND($N5542=$Q$7,$B5542&lt;'111'!$L$11),"x","")</f>
        <v/>
      </c>
      <c r="S5542" s="75" t="str">
        <f>IF(AND($O5542=$Q$7,$B5542&lt;'111'!$L$11),"x","")</f>
        <v/>
      </c>
      <c r="T5542" s="75" t="str">
        <f>IF(ISERROR(FIND('112'!$M$9,G5542,1)),"",IF((AND(FIND('112'!$M$9,G5542,1)&gt;=1,B5542='112'!$K$9,OR($N5542='112'!$I$6,$O5542='112'!$I$6))),"x",""))</f>
        <v/>
      </c>
      <c r="U5542" s="75" t="str">
        <f>IF(ISERROR(FIND('112'!$M$9,G5542,1)),"",IF((AND(LEFT(G5542,2)=LEFT('112'!$M$9,2),B5542&lt;'112'!$K$9,$N5542='112'!$I$6)),"x",""))</f>
        <v/>
      </c>
      <c r="V5542" s="75" t="str">
        <f>IF(ISERROR(FIND('112'!$M$9,G5542,1)),"",IF((AND(RIGHT(G5542,2)=RIGHT('112'!$M$9,2),B5542&lt;'112'!$K$9,$O5542='112'!$I$6)),"x",""))</f>
        <v/>
      </c>
      <c r="W5542" s="75" t="str">
        <f>IF(AND('341-CT'!$H$9=H5542,OR(LEFT(N5542,3)=$W$7,LEFT(O5542,3)=$W$7)),"x","")</f>
        <v/>
      </c>
      <c r="X5542" s="75" t="str">
        <f>IF(OR(TH!N4146=TH!$X$7,O5542=TH!$X$7),"x","")</f>
        <v/>
      </c>
      <c r="Y5542" s="75" t="str">
        <f>IF(AND(OR(N5542="131",O5542="131"),H5542='131-CT'!$H$9),"x","")</f>
        <v/>
      </c>
      <c r="Z5542" s="75"/>
      <c r="AA5542" s="75" t="str">
        <f>IF(AND(MONTH(E5542)='IN-NX'!$J$5,'IN-NX'!$D$7=D5542),"x","")</f>
        <v/>
      </c>
      <c r="AB5542" s="75" t="str">
        <f>IF(AND(OR(LEFT(TH!N4146,2)="15",LEFT(TH!O4146,2)="15"),LEFT(TH!O4146,3)&lt;&gt;"111",'152-CT'!$J$8=TH!F4146),"x","")</f>
        <v/>
      </c>
      <c r="AC5542" s="75" t="str">
        <f>IF(AND(OR(LEFT(TH!N4146,2)="15",LEFT(TH!O4146,2)="15"),TK!$E$7=TH!F4146),"x","")</f>
        <v/>
      </c>
      <c r="AD5542" s="75" t="str">
        <f>IF(AND(N5542="1521",MONTH(C5542)='BK-NL'!$M$11),"x","")</f>
        <v/>
      </c>
      <c r="AE5542">
        <v>12</v>
      </c>
    </row>
    <row r="5543" spans="1:33" ht="16.5" customHeight="1">
      <c r="A5543" s="309" t="str">
        <f>IF(B5543&lt;&gt;"",IF(AND(B5543='IN-TC'!$S$4,OR(TH!N5526="1111",TH!O5526="1111")),TH!D5526,""),"")</f>
        <v/>
      </c>
      <c r="B5543" s="1159">
        <f t="shared" si="1358"/>
        <v>12</v>
      </c>
      <c r="C5543" s="292">
        <f t="shared" si="1357"/>
        <v>43075</v>
      </c>
      <c r="D5543" s="59"/>
      <c r="E5543" s="59">
        <v>43075</v>
      </c>
      <c r="F5543" s="62" t="s">
        <v>2872</v>
      </c>
      <c r="G5543" s="742" t="s">
        <v>2875</v>
      </c>
      <c r="H5543" s="67" t="s">
        <v>935</v>
      </c>
      <c r="I5543" s="375"/>
      <c r="J5543" s="382"/>
      <c r="K5543" s="375"/>
      <c r="L5543" s="381"/>
      <c r="M5543" s="60">
        <v>921848</v>
      </c>
      <c r="N5543" s="61" t="s">
        <v>101</v>
      </c>
      <c r="O5543" s="61" t="s">
        <v>63</v>
      </c>
      <c r="P5543" s="75" t="str">
        <f>IF(AND('331-CT'!$E$7=TH!H4147,OR(N5543="331",O5543="331")),"x","")</f>
        <v/>
      </c>
      <c r="Q5543" s="75" t="str">
        <f>IF(AND(B5543='111'!$L$11,OR($N5543=$Q$7,$O5543=$Q$7)),"x","")</f>
        <v>x</v>
      </c>
      <c r="R5543" s="75" t="str">
        <f>IF(AND($N5543=$Q$7,$B5543&lt;'111'!$L$11),"x","")</f>
        <v/>
      </c>
      <c r="S5543" s="75" t="str">
        <f>IF(AND($O5543=$Q$7,$B5543&lt;'111'!$L$11),"x","")</f>
        <v/>
      </c>
      <c r="T5543" s="75" t="str">
        <f>IF(ISERROR(FIND('112'!$M$9,G5543,1)),"",IF((AND(FIND('112'!$M$9,G5543,1)&gt;=1,B5543='112'!$K$9,OR($N5543='112'!$I$6,$O5543='112'!$I$6))),"x",""))</f>
        <v/>
      </c>
      <c r="U5543" s="75" t="str">
        <f>IF(ISERROR(FIND('112'!$M$9,G5543,1)),"",IF((AND(LEFT(G5543,2)=LEFT('112'!$M$9,2),B5543&lt;'112'!$K$9,$N5543='112'!$I$6)),"x",""))</f>
        <v/>
      </c>
      <c r="V5543" s="75" t="str">
        <f>IF(ISERROR(FIND('112'!$M$9,G5543,1)),"",IF((AND(RIGHT(G5543,2)=RIGHT('112'!$M$9,2),B5543&lt;'112'!$K$9,$O5543='112'!$I$6)),"x",""))</f>
        <v/>
      </c>
      <c r="W5543" s="75" t="str">
        <f>IF(AND('341-CT'!$H$9=H5543,OR(LEFT(N5543,3)=$W$7,LEFT(O5543,3)=$W$7)),"x","")</f>
        <v/>
      </c>
      <c r="X5543" s="75" t="str">
        <f>IF(OR(TH!N4147=TH!$X$7,O5543=TH!$X$7),"x","")</f>
        <v/>
      </c>
      <c r="Y5543" s="75" t="str">
        <f>IF(AND(OR(N5543="131",O5543="131"),H5543='131-CT'!$H$9),"x","")</f>
        <v/>
      </c>
      <c r="Z5543" s="75"/>
      <c r="AA5543" s="75" t="str">
        <f>IF(AND(MONTH(E5543)='IN-NX'!$J$5,'IN-NX'!$D$7=D5543),"x","")</f>
        <v/>
      </c>
      <c r="AB5543" s="75" t="str">
        <f>IF(AND(OR(LEFT(TH!N4147,2)="15",LEFT(TH!O4147,2)="15"),LEFT(TH!O4147,3)&lt;&gt;"111",'152-CT'!$J$8=TH!F4147),"x","")</f>
        <v/>
      </c>
      <c r="AC5543" s="75" t="str">
        <f>IF(AND(OR(LEFT(TH!N4147,2)="15",LEFT(TH!O4147,2)="15"),TK!$E$7=TH!F4147),"x","")</f>
        <v/>
      </c>
      <c r="AD5543" s="75" t="str">
        <f>IF(AND(N5543="1521",MONTH(C5543)='BK-NL'!$M$11),"x","")</f>
        <v/>
      </c>
      <c r="AE5543">
        <v>12</v>
      </c>
    </row>
    <row r="5544" spans="1:33" ht="16.5" customHeight="1">
      <c r="A5544" s="309" t="str">
        <f>IF(B5544&lt;&gt;"",IF(AND(B5544='IN-TC'!$S$4,OR(TH!N5527="1111",TH!O5527="1111")),TH!D5527,""),"")</f>
        <v/>
      </c>
      <c r="B5544" s="1159">
        <f t="shared" si="1358"/>
        <v>12</v>
      </c>
      <c r="C5544" s="292">
        <f t="shared" si="1357"/>
        <v>43075</v>
      </c>
      <c r="D5544" s="59"/>
      <c r="E5544" s="59">
        <v>43075</v>
      </c>
      <c r="F5544" s="62" t="s">
        <v>2873</v>
      </c>
      <c r="G5544" s="742" t="s">
        <v>2875</v>
      </c>
      <c r="H5544" s="67" t="s">
        <v>935</v>
      </c>
      <c r="I5544" s="375"/>
      <c r="J5544" s="382"/>
      <c r="K5544" s="375"/>
      <c r="L5544" s="381"/>
      <c r="M5544" s="60">
        <v>92185</v>
      </c>
      <c r="N5544" s="61" t="s">
        <v>9</v>
      </c>
      <c r="O5544" s="61" t="s">
        <v>63</v>
      </c>
      <c r="P5544" s="75" t="str">
        <f>IF(AND('331-CT'!$E$7=TH!H4148,OR(N5544="331",O5544="331")),"x","")</f>
        <v/>
      </c>
      <c r="Q5544" s="75" t="str">
        <f>IF(AND(B5544='111'!$L$11,OR($N5544=$Q$7,$O5544=$Q$7)),"x","")</f>
        <v>x</v>
      </c>
      <c r="R5544" s="75" t="str">
        <f>IF(AND($N5544=$Q$7,$B5544&lt;'111'!$L$11),"x","")</f>
        <v/>
      </c>
      <c r="S5544" s="75" t="str">
        <f>IF(AND($O5544=$Q$7,$B5544&lt;'111'!$L$11),"x","")</f>
        <v/>
      </c>
      <c r="T5544" s="75" t="str">
        <f>IF(ISERROR(FIND('112'!$M$9,G5544,1)),"",IF((AND(FIND('112'!$M$9,G5544,1)&gt;=1,B5544='112'!$K$9,OR($N5544='112'!$I$6,$O5544='112'!$I$6))),"x",""))</f>
        <v/>
      </c>
      <c r="U5544" s="75" t="str">
        <f>IF(ISERROR(FIND('112'!$M$9,G5544,1)),"",IF((AND(LEFT(G5544,2)=LEFT('112'!$M$9,2),B5544&lt;'112'!$K$9,$N5544='112'!$I$6)),"x",""))</f>
        <v/>
      </c>
      <c r="V5544" s="75" t="str">
        <f>IF(ISERROR(FIND('112'!$M$9,G5544,1)),"",IF((AND(RIGHT(G5544,2)=RIGHT('112'!$M$9,2),B5544&lt;'112'!$K$9,$O5544='112'!$I$6)),"x",""))</f>
        <v/>
      </c>
      <c r="W5544" s="75" t="str">
        <f>IF(AND('341-CT'!$H$9=H5544,OR(LEFT(N5544,3)=$W$7,LEFT(O5544,3)=$W$7)),"x","")</f>
        <v/>
      </c>
      <c r="X5544" s="75" t="str">
        <f>IF(OR(TH!N4148=TH!$X$7,O5544=TH!$X$7),"x","")</f>
        <v/>
      </c>
      <c r="Y5544" s="75" t="str">
        <f>IF(AND(OR(N5544="131",O5544="131"),H5544='131-CT'!$H$9),"x","")</f>
        <v/>
      </c>
      <c r="Z5544" s="75"/>
      <c r="AA5544" s="75" t="str">
        <f>IF(AND(MONTH(E5544)='IN-NX'!$J$5,'IN-NX'!$D$7=D5544),"x","")</f>
        <v/>
      </c>
      <c r="AB5544" s="75" t="str">
        <f>IF(AND(OR(LEFT(TH!N4148,2)="15",LEFT(TH!O4148,2)="15"),LEFT(TH!O4148,3)&lt;&gt;"111",'152-CT'!$J$8=TH!F4148),"x","")</f>
        <v/>
      </c>
      <c r="AC5544" s="75" t="str">
        <f>IF(AND(OR(LEFT(TH!N4148,2)="15",LEFT(TH!O4148,2)="15"),TK!$E$7=TH!F4148),"x","")</f>
        <v/>
      </c>
      <c r="AD5544" s="75" t="str">
        <f>IF(AND(N5544="1521",MONTH(C5544)='BK-NL'!$M$11),"x","")</f>
        <v/>
      </c>
      <c r="AE5544">
        <v>12</v>
      </c>
    </row>
    <row r="5545" spans="1:33" s="304" customFormat="1" ht="16.5" customHeight="1">
      <c r="A5545" s="309" t="str">
        <f>IF(B5545&lt;&gt;"",IF(AND(B5545='IN-TC'!$S$4,OR(TH!N5528="1111",TH!O5528="1111")),TH!D5528,""),"")</f>
        <v/>
      </c>
      <c r="B5545" s="1159">
        <f t="shared" si="1358"/>
        <v>12</v>
      </c>
      <c r="C5545" s="292">
        <f t="shared" si="1357"/>
        <v>43075</v>
      </c>
      <c r="D5545" s="59"/>
      <c r="E5545" s="59">
        <v>43075</v>
      </c>
      <c r="F5545" s="62" t="s">
        <v>1029</v>
      </c>
      <c r="G5545" s="742" t="s">
        <v>2897</v>
      </c>
      <c r="H5545" s="67" t="s">
        <v>948</v>
      </c>
      <c r="I5545" s="375"/>
      <c r="J5545" s="382"/>
      <c r="K5545" s="375"/>
      <c r="L5545" s="381"/>
      <c r="M5545" s="60">
        <v>463636</v>
      </c>
      <c r="N5545" s="61" t="s">
        <v>539</v>
      </c>
      <c r="O5545" s="61" t="s">
        <v>63</v>
      </c>
      <c r="P5545" s="75" t="str">
        <f>IF(AND('331-CT'!$E$7=TH!H4149,OR(N5545="331",O5545="331")),"x","")</f>
        <v/>
      </c>
      <c r="Q5545" s="75" t="str">
        <f>IF(AND(B5545='111'!$L$11,OR($N5545=$Q$7,$O5545=$Q$7)),"x","")</f>
        <v>x</v>
      </c>
      <c r="R5545" s="75" t="str">
        <f>IF(AND($N5545=$Q$7,$B5545&lt;'111'!$L$11),"x","")</f>
        <v/>
      </c>
      <c r="S5545" s="75" t="str">
        <f>IF(AND($O5545=$Q$7,$B5545&lt;'111'!$L$11),"x","")</f>
        <v/>
      </c>
      <c r="T5545" s="75" t="str">
        <f>IF(ISERROR(FIND('112'!$M$9,G5545,1)),"",IF((AND(FIND('112'!$M$9,G5545,1)&gt;=1,B5545='112'!$K$9,OR($N5545='112'!$I$6,$O5545='112'!$I$6))),"x",""))</f>
        <v/>
      </c>
      <c r="U5545" s="75" t="str">
        <f>IF(ISERROR(FIND('112'!$M$9,G5545,1)),"",IF((AND(LEFT(G5545,2)=LEFT('112'!$M$9,2),B5545&lt;'112'!$K$9,$N5545='112'!$I$6)),"x",""))</f>
        <v/>
      </c>
      <c r="V5545" s="75" t="str">
        <f>IF(ISERROR(FIND('112'!$M$9,G5545,1)),"",IF((AND(RIGHT(G5545,2)=RIGHT('112'!$M$9,2),B5545&lt;'112'!$K$9,$O5545='112'!$I$6)),"x",""))</f>
        <v/>
      </c>
      <c r="W5545" s="75" t="str">
        <f>IF(AND('341-CT'!$H$9=H5545,OR(LEFT(N5545,3)=$W$7,LEFT(O5545,3)=$W$7)),"x","")</f>
        <v/>
      </c>
      <c r="X5545" s="75" t="str">
        <f>IF(OR(TH!N4149=TH!$X$7,O5545=TH!$X$7),"x","")</f>
        <v/>
      </c>
      <c r="Y5545" s="75" t="str">
        <f>IF(AND(OR(N5545="131",O5545="131"),H5545='131-CT'!$H$9),"x","")</f>
        <v/>
      </c>
      <c r="Z5545" s="75"/>
      <c r="AA5545" s="75" t="str">
        <f>IF(AND(MONTH(E5545)='IN-NX'!$J$5,'IN-NX'!$D$7=D5545),"x","")</f>
        <v/>
      </c>
      <c r="AB5545" s="75" t="str">
        <f>IF(AND(OR(LEFT(TH!N4149,2)="15",LEFT(TH!O4149,2)="15"),LEFT(TH!O4149,3)&lt;&gt;"111",'152-CT'!$J$8=TH!F4149),"x","")</f>
        <v/>
      </c>
      <c r="AC5545" s="75" t="str">
        <f>IF(AND(OR(LEFT(TH!N4149,2)="15",LEFT(TH!O4149,2)="15"),TK!$E$7=TH!F4149),"x","")</f>
        <v/>
      </c>
      <c r="AD5545" s="75" t="str">
        <f>IF(AND(N5545="1521",MONTH(C5545)='BK-NL'!$M$11),"x","")</f>
        <v/>
      </c>
      <c r="AE5545" t="s">
        <v>2969</v>
      </c>
      <c r="AF5545"/>
      <c r="AG5545"/>
    </row>
    <row r="5546" spans="1:33" s="304" customFormat="1" ht="16.5" customHeight="1">
      <c r="A5546" s="309" t="str">
        <f>IF(B5546&lt;&gt;"",IF(AND(B5546='IN-TC'!$S$4,OR(TH!N5529="1111",TH!O5529="1111")),TH!D5529,""),"")</f>
        <v/>
      </c>
      <c r="B5546" s="1159">
        <f t="shared" si="1358"/>
        <v>12</v>
      </c>
      <c r="C5546" s="292">
        <f t="shared" si="1357"/>
        <v>43075</v>
      </c>
      <c r="D5546" s="59"/>
      <c r="E5546" s="59">
        <v>43075</v>
      </c>
      <c r="F5546" s="62" t="s">
        <v>1030</v>
      </c>
      <c r="G5546" s="742" t="s">
        <v>2897</v>
      </c>
      <c r="H5546" s="67" t="s">
        <v>948</v>
      </c>
      <c r="I5546" s="375"/>
      <c r="J5546" s="382"/>
      <c r="K5546" s="375"/>
      <c r="L5546" s="381"/>
      <c r="M5546" s="60">
        <v>46364</v>
      </c>
      <c r="N5546" s="61" t="s">
        <v>9</v>
      </c>
      <c r="O5546" s="61" t="s">
        <v>63</v>
      </c>
      <c r="P5546" s="75" t="str">
        <f>IF(AND('331-CT'!$E$7=TH!H4150,OR(N5546="331",O5546="331")),"x","")</f>
        <v/>
      </c>
      <c r="Q5546" s="75" t="str">
        <f>IF(AND(B5546='111'!$L$11,OR($N5546=$Q$7,$O5546=$Q$7)),"x","")</f>
        <v>x</v>
      </c>
      <c r="R5546" s="75" t="str">
        <f>IF(AND($N5546=$Q$7,$B5546&lt;'111'!$L$11),"x","")</f>
        <v/>
      </c>
      <c r="S5546" s="75" t="str">
        <f>IF(AND($O5546=$Q$7,$B5546&lt;'111'!$L$11),"x","")</f>
        <v/>
      </c>
      <c r="T5546" s="75" t="str">
        <f>IF(ISERROR(FIND('112'!$M$9,G5546,1)),"",IF((AND(FIND('112'!$M$9,G5546,1)&gt;=1,B5546='112'!$K$9,OR($N5546='112'!$I$6,$O5546='112'!$I$6))),"x",""))</f>
        <v/>
      </c>
      <c r="U5546" s="75" t="str">
        <f>IF(ISERROR(FIND('112'!$M$9,G5546,1)),"",IF((AND(LEFT(G5546,2)=LEFT('112'!$M$9,2),B5546&lt;'112'!$K$9,$N5546='112'!$I$6)),"x",""))</f>
        <v/>
      </c>
      <c r="V5546" s="75" t="str">
        <f>IF(ISERROR(FIND('112'!$M$9,G5546,1)),"",IF((AND(RIGHT(G5546,2)=RIGHT('112'!$M$9,2),B5546&lt;'112'!$K$9,$O5546='112'!$I$6)),"x",""))</f>
        <v/>
      </c>
      <c r="W5546" s="75" t="str">
        <f>IF(AND('341-CT'!$H$9=H5546,OR(LEFT(N5546,3)=$W$7,LEFT(O5546,3)=$W$7)),"x","")</f>
        <v/>
      </c>
      <c r="X5546" s="75" t="str">
        <f>IF(OR(TH!N4150=TH!$X$7,O5546=TH!$X$7),"x","")</f>
        <v/>
      </c>
      <c r="Y5546" s="75" t="str">
        <f>IF(AND(OR(N5546="131",O5546="131"),H5546='131-CT'!$H$9),"x","")</f>
        <v/>
      </c>
      <c r="Z5546" s="75"/>
      <c r="AA5546" s="75" t="str">
        <f>IF(AND(MONTH(E5546)='IN-NX'!$J$5,'IN-NX'!$D$7=D5546),"x","")</f>
        <v/>
      </c>
      <c r="AB5546" s="75" t="str">
        <f>IF(AND(OR(LEFT(TH!N4150,2)="15",LEFT(TH!O4150,2)="15"),LEFT(TH!O4150,3)&lt;&gt;"111",'152-CT'!$J$8=TH!F4150),"x","")</f>
        <v/>
      </c>
      <c r="AC5546" s="75" t="str">
        <f>IF(AND(OR(LEFT(TH!N4150,2)="15",LEFT(TH!O4150,2)="15"),TK!$E$7=TH!F4150),"x","")</f>
        <v/>
      </c>
      <c r="AD5546" s="75" t="str">
        <f>IF(AND(N5546="1521",MONTH(C5546)='BK-NL'!$M$11),"x","")</f>
        <v/>
      </c>
      <c r="AE5546" t="s">
        <v>2969</v>
      </c>
      <c r="AF5546"/>
      <c r="AG5546"/>
    </row>
    <row r="5547" spans="1:33" ht="16.5" customHeight="1">
      <c r="A5547" s="309" t="str">
        <f>IF(B5547&lt;&gt;"",IF(AND(B5547='IN-TC'!$S$4,OR(TH!N5530="1111",TH!O5530="1111")),TH!D5530,""),"")</f>
        <v/>
      </c>
      <c r="B5547" s="1159">
        <f t="shared" si="1358"/>
        <v>12</v>
      </c>
      <c r="C5547" s="292">
        <f t="shared" si="1357"/>
        <v>43075</v>
      </c>
      <c r="D5547" s="292" t="s">
        <v>2493</v>
      </c>
      <c r="E5547" s="59">
        <v>43075</v>
      </c>
      <c r="F5547" s="62" t="s">
        <v>885</v>
      </c>
      <c r="G5547" s="62" t="s">
        <v>585</v>
      </c>
      <c r="H5547" s="67" t="s">
        <v>1023</v>
      </c>
      <c r="I5547" s="373"/>
      <c r="J5547" s="382"/>
      <c r="K5547" s="373"/>
      <c r="L5547" s="379"/>
      <c r="M5547" s="60">
        <v>30000000</v>
      </c>
      <c r="N5547" s="61" t="s">
        <v>26</v>
      </c>
      <c r="O5547" s="61" t="s">
        <v>63</v>
      </c>
      <c r="P5547" s="75" t="str">
        <f>IF(AND('331-CT'!$E$7=TH!H4910,OR(N5547="331",O5547="331")),"x","")</f>
        <v/>
      </c>
      <c r="Q5547" s="75" t="str">
        <f>IF(AND(B5547='111'!$L$11,OR($N5547=$Q$7,$O5547=$Q$7)),"x","")</f>
        <v>x</v>
      </c>
      <c r="R5547" s="75" t="str">
        <f>IF(AND($N5547=$Q$7,$B5547&lt;'111'!$L$11),"x","")</f>
        <v/>
      </c>
      <c r="S5547" s="75" t="str">
        <f>IF(AND($O5547=$Q$7,$B5547&lt;'111'!$L$11),"x","")</f>
        <v/>
      </c>
      <c r="T5547" s="75" t="str">
        <f>IF(ISERROR(FIND('112'!$M$9,G5547,1)),"",IF((AND(FIND('112'!$M$9,G5547,1)&gt;=1,B5547='112'!$K$9,OR($N5547='112'!$I$6,$O5547='112'!$I$6))),"x",""))</f>
        <v/>
      </c>
      <c r="U5547" s="75" t="str">
        <f>IF(ISERROR(FIND('112'!$M$9,G5547,1)),"",IF((AND(LEFT(G5547,2)=LEFT('112'!$M$9,2),B5547&lt;'112'!$K$9,$N5547='112'!$I$6)),"x",""))</f>
        <v/>
      </c>
      <c r="V5547" s="75" t="str">
        <f>IF(ISERROR(FIND('112'!$M$9,G5547,1)),"",IF((AND(RIGHT(G5547,2)=RIGHT('112'!$M$9,2),B5547&lt;'112'!$K$9,$O5547='112'!$I$6)),"x",""))</f>
        <v/>
      </c>
      <c r="W5547" s="75" t="str">
        <f>IF(AND('341-CT'!$H$9=H5547,OR(LEFT(N5547,3)=$W$7,LEFT(O5547,3)=$W$7)),"x","")</f>
        <v/>
      </c>
      <c r="X5547" s="75" t="str">
        <f>IF(OR(TH!N4910=TH!$X$7,O5547=TH!$X$7),"x","")</f>
        <v/>
      </c>
      <c r="Y5547" s="75" t="str">
        <f>IF(AND(OR(N5547="131",O5547="131"),H5547='131-CT'!$H$9),"x","")</f>
        <v/>
      </c>
      <c r="Z5547" s="75"/>
      <c r="AA5547" s="75" t="str">
        <f>IF(AND(MONTH(E5547)='IN-NX'!$J$5,'IN-NX'!$D$7=D5547),"x","")</f>
        <v/>
      </c>
      <c r="AB5547" s="75" t="str">
        <f>IF(AND(OR(LEFT(TH!N4910,2)="15",LEFT(TH!O4910,2)="15"),LEFT(TH!O4910,3)&lt;&gt;"111",'152-CT'!$J$8=TH!F4910),"x","")</f>
        <v/>
      </c>
      <c r="AC5547" s="75" t="str">
        <f>IF(AND(OR(LEFT(TH!N4910,2)="15",LEFT(TH!O4910,2)="15"),TK!$E$7=TH!F4910),"x","")</f>
        <v/>
      </c>
      <c r="AD5547" s="75" t="str">
        <f>IF(AND(N5547="1521",MONTH(C5547)='BK-NL'!$M$11),"x","")</f>
        <v/>
      </c>
      <c r="AE5547" s="304"/>
      <c r="AF5547" s="304"/>
      <c r="AG5547" s="304"/>
    </row>
    <row r="5548" spans="1:33" ht="16.5" customHeight="1">
      <c r="A5548" s="309" t="str">
        <f>IF(B5548&lt;&gt;"",IF(AND(B5548='IN-TC'!$S$4,OR(TH!N5531="1111",TH!O5531="1111")),TH!D5531,""),"")</f>
        <v/>
      </c>
      <c r="B5548" s="1159">
        <f t="shared" si="1358"/>
        <v>12</v>
      </c>
      <c r="C5548" s="292">
        <f t="shared" si="1357"/>
        <v>43075</v>
      </c>
      <c r="D5548" s="59" t="s">
        <v>903</v>
      </c>
      <c r="E5548" s="59">
        <v>43075</v>
      </c>
      <c r="F5548" s="62" t="s">
        <v>1674</v>
      </c>
      <c r="G5548" s="62" t="s">
        <v>585</v>
      </c>
      <c r="H5548" s="311" t="s">
        <v>749</v>
      </c>
      <c r="I5548" s="373"/>
      <c r="J5548" s="382"/>
      <c r="K5548" s="373"/>
      <c r="L5548" s="379"/>
      <c r="M5548" s="60">
        <v>25953501</v>
      </c>
      <c r="N5548" s="61" t="s">
        <v>8</v>
      </c>
      <c r="O5548" s="61" t="s">
        <v>26</v>
      </c>
      <c r="P5548" s="75" t="str">
        <f>IF(AND('331-CT'!$E$7=TH!H4887,OR(N5548="331",O5548="331")),"x","")</f>
        <v/>
      </c>
      <c r="Q5548" s="75" t="str">
        <f>IF(AND(B5548='111'!$L$11,OR($N5548=$Q$7,$O5548=$Q$7)),"x","")</f>
        <v/>
      </c>
      <c r="R5548" s="75" t="str">
        <f>IF(AND($N5548=$Q$7,$B5548&lt;'111'!$L$11),"x","")</f>
        <v/>
      </c>
      <c r="S5548" s="75" t="str">
        <f>IF(AND($O5548=$Q$7,$B5548&lt;'111'!$L$11),"x","")</f>
        <v/>
      </c>
      <c r="T5548" s="75" t="str">
        <f>IF(ISERROR(FIND('112'!$M$9,G5548,1)),"",IF((AND(FIND('112'!$M$9,G5548,1)&gt;=1,B5548='112'!$K$9,OR($N5548='112'!$I$6,$O5548='112'!$I$6))),"x",""))</f>
        <v/>
      </c>
      <c r="U5548" s="75" t="str">
        <f>IF(ISERROR(FIND('112'!$M$9,G5548,1)),"",IF((AND(LEFT(G5548,2)=LEFT('112'!$M$9,2),B5548&lt;'112'!$K$9,$N5548='112'!$I$6)),"x",""))</f>
        <v/>
      </c>
      <c r="V5548" s="75" t="str">
        <f>IF(ISERROR(FIND('112'!$M$9,G5548,1)),"",IF((AND(RIGHT(G5548,2)=RIGHT('112'!$M$9,2),B5548&lt;'112'!$K$9,$O5548='112'!$I$6)),"x",""))</f>
        <v/>
      </c>
      <c r="W5548" s="75" t="str">
        <f>IF(AND('341-CT'!$H$9=H5548,OR(LEFT(N5548,3)=$W$7,LEFT(O5548,3)=$W$7)),"x","")</f>
        <v/>
      </c>
      <c r="X5548" s="75" t="str">
        <f>IF(OR(TH!N4887=TH!$X$7,O5548=TH!$X$7),"x","")</f>
        <v/>
      </c>
      <c r="Y5548" s="75" t="str">
        <f>IF(AND(OR(N5548="131",O5548="131"),H5548='131-CT'!$H$9),"x","")</f>
        <v/>
      </c>
      <c r="Z5548" s="75"/>
      <c r="AA5548" s="75" t="str">
        <f>IF(AND(MONTH(E5548)='IN-NX'!$J$5,'IN-NX'!$D$7=D5548),"x","")</f>
        <v/>
      </c>
      <c r="AB5548" s="75" t="str">
        <f>IF(AND(OR(LEFT(TH!N4887,2)="15",LEFT(TH!O4887,2)="15"),LEFT(TH!O4887,3)&lt;&gt;"111",'152-CT'!$J$8=TH!F4887),"x","")</f>
        <v/>
      </c>
      <c r="AC5548" s="75" t="str">
        <f>IF(AND(OR(LEFT(TH!N4887,2)="15",LEFT(TH!O4887,2)="15"),TK!$E$7=TH!F4887),"x","")</f>
        <v/>
      </c>
      <c r="AD5548" s="75" t="str">
        <f>IF(AND(N5548="1521",MONTH(C5548)='BK-NL'!$M$11),"x","")</f>
        <v/>
      </c>
      <c r="AE5548" s="304"/>
      <c r="AF5548" s="304"/>
      <c r="AG5548" s="304"/>
    </row>
    <row r="5549" spans="1:33" ht="16.5" customHeight="1">
      <c r="A5549" s="309" t="str">
        <f>IF(B5549&lt;&gt;"",IF(AND(B5549='IN-TC'!$S$4,OR(TH!N5532="1111",TH!O5532="1111")),TH!D5532,""),"")</f>
        <v/>
      </c>
      <c r="B5549" s="1159">
        <f t="shared" si="1358"/>
        <v>12</v>
      </c>
      <c r="C5549" s="292">
        <f t="shared" si="1357"/>
        <v>43075</v>
      </c>
      <c r="D5549" s="59" t="s">
        <v>903</v>
      </c>
      <c r="E5549" s="59">
        <v>43075</v>
      </c>
      <c r="F5549" s="62" t="s">
        <v>1307</v>
      </c>
      <c r="G5549" s="62" t="s">
        <v>585</v>
      </c>
      <c r="H5549" s="67" t="s">
        <v>845</v>
      </c>
      <c r="I5549" s="373"/>
      <c r="J5549" s="382"/>
      <c r="K5549" s="373"/>
      <c r="L5549" s="379"/>
      <c r="M5549" s="60">
        <v>15000</v>
      </c>
      <c r="N5549" s="61" t="s">
        <v>101</v>
      </c>
      <c r="O5549" s="61" t="s">
        <v>26</v>
      </c>
      <c r="P5549" s="75" t="str">
        <f>IF(AND('331-CT'!$E$7=TH!H4888,OR(N5549="331",O5549="331")),"x","")</f>
        <v/>
      </c>
      <c r="Q5549" s="75" t="str">
        <f>IF(AND(B5549='111'!$L$11,OR($N5549=$Q$7,$O5549=$Q$7)),"x","")</f>
        <v/>
      </c>
      <c r="R5549" s="75" t="str">
        <f>IF(AND($N5549=$Q$7,$B5549&lt;'111'!$L$11),"x","")</f>
        <v/>
      </c>
      <c r="S5549" s="75" t="str">
        <f>IF(AND($O5549=$Q$7,$B5549&lt;'111'!$L$11),"x","")</f>
        <v/>
      </c>
      <c r="T5549" s="75" t="str">
        <f>IF(ISERROR(FIND('112'!$M$9,G5549,1)),"",IF((AND(FIND('112'!$M$9,G5549,1)&gt;=1,B5549='112'!$K$9,OR($N5549='112'!$I$6,$O5549='112'!$I$6))),"x",""))</f>
        <v/>
      </c>
      <c r="U5549" s="75" t="str">
        <f>IF(ISERROR(FIND('112'!$M$9,G5549,1)),"",IF((AND(LEFT(G5549,2)=LEFT('112'!$M$9,2),B5549&lt;'112'!$K$9,$N5549='112'!$I$6)),"x",""))</f>
        <v/>
      </c>
      <c r="V5549" s="75" t="str">
        <f>IF(ISERROR(FIND('112'!$M$9,G5549,1)),"",IF((AND(RIGHT(G5549,2)=RIGHT('112'!$M$9,2),B5549&lt;'112'!$K$9,$O5549='112'!$I$6)),"x",""))</f>
        <v/>
      </c>
      <c r="W5549" s="75" t="str">
        <f>IF(AND('341-CT'!$H$9=H5549,OR(LEFT(N5549,3)=$W$7,LEFT(O5549,3)=$W$7)),"x","")</f>
        <v/>
      </c>
      <c r="X5549" s="75" t="str">
        <f>IF(OR(TH!N4888=TH!$X$7,O5549=TH!$X$7),"x","")</f>
        <v/>
      </c>
      <c r="Y5549" s="75" t="str">
        <f>IF(AND(OR(N5549="131",O5549="131"),H5549='131-CT'!$H$9),"x","")</f>
        <v/>
      </c>
      <c r="Z5549" s="75"/>
      <c r="AA5549" s="75" t="str">
        <f>IF(AND(MONTH(E5549)='IN-NX'!$J$5,'IN-NX'!$D$7=D5549),"x","")</f>
        <v/>
      </c>
      <c r="AB5549" s="75" t="str">
        <f>IF(AND(OR(LEFT(TH!N4888,2)="15",LEFT(TH!O4888,2)="15"),LEFT(TH!O4888,3)&lt;&gt;"111",'152-CT'!$J$8=TH!F4888),"x","")</f>
        <v/>
      </c>
      <c r="AC5549" s="75" t="str">
        <f>IF(AND(OR(LEFT(TH!N4888,2)="15",LEFT(TH!O4888,2)="15"),TK!$E$7=TH!F4888),"x","")</f>
        <v/>
      </c>
      <c r="AD5549" s="75" t="str">
        <f>IF(AND(N5549="1521",MONTH(C5549)='BK-NL'!$M$11),"x","")</f>
        <v/>
      </c>
      <c r="AE5549" s="304">
        <v>12</v>
      </c>
      <c r="AF5549" s="304"/>
      <c r="AG5549" s="304"/>
    </row>
    <row r="5550" spans="1:33" s="304" customFormat="1" ht="16.5" customHeight="1">
      <c r="A5550" s="309" t="str">
        <f>IF(B5550&lt;&gt;"",IF(AND(B5550='IN-TC'!$S$4,OR(TH!N5533="1111",TH!O5533="1111")),TH!D5533,""),"")</f>
        <v/>
      </c>
      <c r="B5550" s="1159">
        <f t="shared" si="1358"/>
        <v>12</v>
      </c>
      <c r="C5550" s="292">
        <f t="shared" si="1357"/>
        <v>43075</v>
      </c>
      <c r="D5550" s="59" t="s">
        <v>903</v>
      </c>
      <c r="E5550" s="59">
        <v>43075</v>
      </c>
      <c r="F5550" s="62" t="s">
        <v>2101</v>
      </c>
      <c r="G5550" s="62" t="s">
        <v>585</v>
      </c>
      <c r="H5550" s="67" t="s">
        <v>845</v>
      </c>
      <c r="I5550" s="373"/>
      <c r="J5550" s="382"/>
      <c r="K5550" s="373"/>
      <c r="L5550" s="379"/>
      <c r="M5550" s="60">
        <v>1500</v>
      </c>
      <c r="N5550" s="61" t="s">
        <v>9</v>
      </c>
      <c r="O5550" s="61" t="s">
        <v>26</v>
      </c>
      <c r="P5550" s="75" t="str">
        <f>IF(AND('331-CT'!$E$7=TH!H4889,OR(N5550="331",O5550="331")),"x","")</f>
        <v/>
      </c>
      <c r="Q5550" s="75" t="str">
        <f>IF(AND(B5550='111'!$L$11,OR($N5550=$Q$7,$O5550=$Q$7)),"x","")</f>
        <v/>
      </c>
      <c r="R5550" s="75" t="str">
        <f>IF(AND($N5550=$Q$7,$B5550&lt;'111'!$L$11),"x","")</f>
        <v/>
      </c>
      <c r="S5550" s="75" t="str">
        <f>IF(AND($O5550=$Q$7,$B5550&lt;'111'!$L$11),"x","")</f>
        <v/>
      </c>
      <c r="T5550" s="75" t="str">
        <f>IF(ISERROR(FIND('112'!$M$9,G5550,1)),"",IF((AND(FIND('112'!$M$9,G5550,1)&gt;=1,B5550='112'!$K$9,OR($N5550='112'!$I$6,$O5550='112'!$I$6))),"x",""))</f>
        <v/>
      </c>
      <c r="U5550" s="75" t="str">
        <f>IF(ISERROR(FIND('112'!$M$9,G5550,1)),"",IF((AND(LEFT(G5550,2)=LEFT('112'!$M$9,2),B5550&lt;'112'!$K$9,$N5550='112'!$I$6)),"x",""))</f>
        <v/>
      </c>
      <c r="V5550" s="75" t="str">
        <f>IF(ISERROR(FIND('112'!$M$9,G5550,1)),"",IF((AND(RIGHT(G5550,2)=RIGHT('112'!$M$9,2),B5550&lt;'112'!$K$9,$O5550='112'!$I$6)),"x",""))</f>
        <v/>
      </c>
      <c r="W5550" s="75" t="str">
        <f>IF(AND('341-CT'!$H$9=H5550,OR(LEFT(N5550,3)=$W$7,LEFT(O5550,3)=$W$7)),"x","")</f>
        <v/>
      </c>
      <c r="X5550" s="75" t="str">
        <f>IF(OR(TH!N4889=TH!$X$7,O5550=TH!$X$7),"x","")</f>
        <v/>
      </c>
      <c r="Y5550" s="75" t="str">
        <f>IF(AND(OR(N5550="131",O5550="131"),H5550='131-CT'!$H$9),"x","")</f>
        <v/>
      </c>
      <c r="Z5550" s="75"/>
      <c r="AA5550" s="75" t="str">
        <f>IF(AND(MONTH(E5550)='IN-NX'!$J$5,'IN-NX'!$D$7=D5550),"x","")</f>
        <v/>
      </c>
      <c r="AB5550" s="75" t="str">
        <f>IF(AND(OR(LEFT(TH!N4889,2)="15",LEFT(TH!O4889,2)="15"),LEFT(TH!O4889,3)&lt;&gt;"111",'152-CT'!$J$8=TH!F4889),"x","")</f>
        <v/>
      </c>
      <c r="AC5550" s="75" t="str">
        <f>IF(AND(OR(LEFT(TH!N4889,2)="15",LEFT(TH!O4889,2)="15"),TK!$E$7=TH!F4889),"x","")</f>
        <v/>
      </c>
      <c r="AD5550" s="75" t="str">
        <f>IF(AND(N5550="1521",MONTH(C5550)='BK-NL'!$M$11),"x","")</f>
        <v/>
      </c>
      <c r="AE5550" s="304">
        <v>12</v>
      </c>
    </row>
    <row r="5551" spans="1:33" ht="16.5" customHeight="1">
      <c r="A5551" s="309" t="str">
        <f>IF(B5551&lt;&gt;"",IF(AND(B5551='IN-TC'!$S$4,OR(TH!N5534="1111",TH!O5534="1111")),TH!D5534,""),"")</f>
        <v/>
      </c>
      <c r="B5551" s="1159">
        <f t="shared" si="1358"/>
        <v>12</v>
      </c>
      <c r="C5551" s="292">
        <f t="shared" si="1357"/>
        <v>43076</v>
      </c>
      <c r="D5551" s="59"/>
      <c r="E5551" s="59">
        <v>43076</v>
      </c>
      <c r="F5551" s="62" t="s">
        <v>881</v>
      </c>
      <c r="G5551" s="742" t="s">
        <v>2814</v>
      </c>
      <c r="H5551" s="67" t="s">
        <v>2500</v>
      </c>
      <c r="I5551" s="375"/>
      <c r="J5551" s="382"/>
      <c r="K5551" s="375"/>
      <c r="L5551" s="381"/>
      <c r="M5551" s="60">
        <v>3500000</v>
      </c>
      <c r="N5551" s="61" t="s">
        <v>101</v>
      </c>
      <c r="O5551" s="61" t="s">
        <v>63</v>
      </c>
      <c r="P5551" s="75" t="str">
        <f>IF(AND('331-CT'!$E$7=TH!H4151,OR(N5551="331",O5551="331")),"x","")</f>
        <v/>
      </c>
      <c r="Q5551" s="75" t="str">
        <f>IF(AND(B5551='111'!$L$11,OR($N5551=$Q$7,$O5551=$Q$7)),"x","")</f>
        <v>x</v>
      </c>
      <c r="R5551" s="75" t="str">
        <f>IF(AND($N5551=$Q$7,$B5551&lt;'111'!$L$11),"x","")</f>
        <v/>
      </c>
      <c r="S5551" s="75" t="str">
        <f>IF(AND($O5551=$Q$7,$B5551&lt;'111'!$L$11),"x","")</f>
        <v/>
      </c>
      <c r="T5551" s="75" t="str">
        <f>IF(ISERROR(FIND('112'!$M$9,G5551,1)),"",IF((AND(FIND('112'!$M$9,G5551,1)&gt;=1,B5551='112'!$K$9,OR($N5551='112'!$I$6,$O5551='112'!$I$6))),"x",""))</f>
        <v/>
      </c>
      <c r="U5551" s="75" t="str">
        <f>IF(ISERROR(FIND('112'!$M$9,G5551,1)),"",IF((AND(LEFT(G5551,2)=LEFT('112'!$M$9,2),B5551&lt;'112'!$K$9,$N5551='112'!$I$6)),"x",""))</f>
        <v/>
      </c>
      <c r="V5551" s="75" t="str">
        <f>IF(ISERROR(FIND('112'!$M$9,G5551,1)),"",IF((AND(RIGHT(G5551,2)=RIGHT('112'!$M$9,2),B5551&lt;'112'!$K$9,$O5551='112'!$I$6)),"x",""))</f>
        <v/>
      </c>
      <c r="W5551" s="75" t="str">
        <f>IF(AND('341-CT'!$H$9=H5551,OR(LEFT(N5551,3)=$W$7,LEFT(O5551,3)=$W$7)),"x","")</f>
        <v/>
      </c>
      <c r="X5551" s="75" t="str">
        <f>IF(OR(TH!N4151=TH!$X$7,O5551=TH!$X$7),"x","")</f>
        <v/>
      </c>
      <c r="Y5551" s="75" t="str">
        <f>IF(AND(OR(N5551="131",O5551="131"),H5551='131-CT'!$H$9),"x","")</f>
        <v/>
      </c>
      <c r="Z5551" s="75"/>
      <c r="AA5551" s="75" t="str">
        <f>IF(AND(MONTH(E5551)='IN-NX'!$J$5,'IN-NX'!$D$7=D5551),"x","")</f>
        <v/>
      </c>
      <c r="AB5551" s="75" t="str">
        <f>IF(AND(OR(LEFT(TH!N4151,2)="15",LEFT(TH!O4151,2)="15"),LEFT(TH!O4151,3)&lt;&gt;"111",'152-CT'!$J$8=TH!F4151),"x","")</f>
        <v/>
      </c>
      <c r="AC5551" s="75" t="str">
        <f>IF(AND(OR(LEFT(TH!N4151,2)="15",LEFT(TH!O4151,2)="15"),TK!$E$7=TH!F4151),"x","")</f>
        <v/>
      </c>
      <c r="AD5551" s="75" t="str">
        <f>IF(AND(N5551="1521",MONTH(C5551)='BK-NL'!$M$11),"x","")</f>
        <v/>
      </c>
      <c r="AE5551">
        <v>12</v>
      </c>
    </row>
    <row r="5552" spans="1:33" ht="16.5" customHeight="1">
      <c r="A5552" s="309" t="str">
        <f>IF(B5552&lt;&gt;"",IF(AND(B5552='IN-TC'!$S$4,OR(TH!N5535="1111",TH!O5535="1111")),TH!D5535,""),"")</f>
        <v/>
      </c>
      <c r="B5552" s="1159">
        <f t="shared" si="1358"/>
        <v>12</v>
      </c>
      <c r="C5552" s="292">
        <f t="shared" si="1357"/>
        <v>43076</v>
      </c>
      <c r="D5552" s="59"/>
      <c r="E5552" s="59">
        <v>43076</v>
      </c>
      <c r="F5552" s="62" t="s">
        <v>882</v>
      </c>
      <c r="G5552" s="742" t="s">
        <v>2814</v>
      </c>
      <c r="H5552" s="67" t="s">
        <v>2500</v>
      </c>
      <c r="I5552" s="375"/>
      <c r="J5552" s="382"/>
      <c r="K5552" s="375"/>
      <c r="L5552" s="381"/>
      <c r="M5552" s="60">
        <v>175000</v>
      </c>
      <c r="N5552" s="61" t="s">
        <v>9</v>
      </c>
      <c r="O5552" s="61" t="s">
        <v>63</v>
      </c>
      <c r="P5552" s="75" t="str">
        <f>IF(AND('331-CT'!$E$7=TH!H4152,OR(N5552="331",O5552="331")),"x","")</f>
        <v/>
      </c>
      <c r="Q5552" s="75" t="str">
        <f>IF(AND(B5552='111'!$L$11,OR($N5552=$Q$7,$O5552=$Q$7)),"x","")</f>
        <v>x</v>
      </c>
      <c r="R5552" s="75" t="str">
        <f>IF(AND($N5552=$Q$7,$B5552&lt;'111'!$L$11),"x","")</f>
        <v/>
      </c>
      <c r="S5552" s="75" t="str">
        <f>IF(AND($O5552=$Q$7,$B5552&lt;'111'!$L$11),"x","")</f>
        <v/>
      </c>
      <c r="T5552" s="75" t="str">
        <f>IF(ISERROR(FIND('112'!$M$9,G5552,1)),"",IF((AND(FIND('112'!$M$9,G5552,1)&gt;=1,B5552='112'!$K$9,OR($N5552='112'!$I$6,$O5552='112'!$I$6))),"x",""))</f>
        <v/>
      </c>
      <c r="U5552" s="75" t="str">
        <f>IF(ISERROR(FIND('112'!$M$9,G5552,1)),"",IF((AND(LEFT(G5552,2)=LEFT('112'!$M$9,2),B5552&lt;'112'!$K$9,$N5552='112'!$I$6)),"x",""))</f>
        <v/>
      </c>
      <c r="V5552" s="75" t="str">
        <f>IF(ISERROR(FIND('112'!$M$9,G5552,1)),"",IF((AND(RIGHT(G5552,2)=RIGHT('112'!$M$9,2),B5552&lt;'112'!$K$9,$O5552='112'!$I$6)),"x",""))</f>
        <v/>
      </c>
      <c r="W5552" s="75" t="str">
        <f>IF(AND('341-CT'!$H$9=H5552,OR(LEFT(N5552,3)=$W$7,LEFT(O5552,3)=$W$7)),"x","")</f>
        <v/>
      </c>
      <c r="X5552" s="75" t="str">
        <f>IF(OR(TH!N4152=TH!$X$7,O5552=TH!$X$7),"x","")</f>
        <v/>
      </c>
      <c r="Y5552" s="75" t="str">
        <f>IF(AND(OR(N5552="131",O5552="131"),H5552='131-CT'!$H$9),"x","")</f>
        <v/>
      </c>
      <c r="Z5552" s="75"/>
      <c r="AA5552" s="75" t="str">
        <f>IF(AND(MONTH(E5552)='IN-NX'!$J$5,'IN-NX'!$D$7=D5552),"x","")</f>
        <v/>
      </c>
      <c r="AB5552" s="75" t="str">
        <f>IF(AND(OR(LEFT(TH!N4152,2)="15",LEFT(TH!O4152,2)="15"),LEFT(TH!O4152,3)&lt;&gt;"111",'152-CT'!$J$8=TH!F4152),"x","")</f>
        <v/>
      </c>
      <c r="AC5552" s="75" t="str">
        <f>IF(AND(OR(LEFT(TH!N4152,2)="15",LEFT(TH!O4152,2)="15"),TK!$E$7=TH!F4152),"x","")</f>
        <v/>
      </c>
      <c r="AD5552" s="75" t="str">
        <f>IF(AND(N5552="1521",MONTH(C5552)='BK-NL'!$M$11),"x","")</f>
        <v/>
      </c>
      <c r="AE5552">
        <v>12</v>
      </c>
    </row>
    <row r="5553" spans="1:33" ht="16.5" customHeight="1">
      <c r="A5553" s="309" t="str">
        <f>IF(B5553&lt;&gt;"",IF(AND(B5553='IN-TC'!$S$4,OR(TH!N5536="1111",TH!O5536="1111")),TH!D5536,""),"")</f>
        <v/>
      </c>
      <c r="B5553" s="1159">
        <f t="shared" si="1358"/>
        <v>12</v>
      </c>
      <c r="C5553" s="292">
        <f t="shared" si="1357"/>
        <v>43076</v>
      </c>
      <c r="D5553" s="59"/>
      <c r="E5553" s="59">
        <v>43076</v>
      </c>
      <c r="F5553" s="62" t="s">
        <v>881</v>
      </c>
      <c r="G5553" s="742" t="s">
        <v>2815</v>
      </c>
      <c r="H5553" s="67" t="s">
        <v>2500</v>
      </c>
      <c r="I5553" s="375"/>
      <c r="J5553" s="382"/>
      <c r="K5553" s="375"/>
      <c r="L5553" s="381"/>
      <c r="M5553" s="60">
        <v>400000</v>
      </c>
      <c r="N5553" s="61" t="s">
        <v>101</v>
      </c>
      <c r="O5553" s="61" t="s">
        <v>63</v>
      </c>
      <c r="P5553" s="75" t="str">
        <f>IF(AND('331-CT'!$E$7=TH!H4153,OR(N5553="331",O5553="331")),"x","")</f>
        <v/>
      </c>
      <c r="Q5553" s="75" t="str">
        <f>IF(AND(B5553='111'!$L$11,OR($N5553=$Q$7,$O5553=$Q$7)),"x","")</f>
        <v>x</v>
      </c>
      <c r="R5553" s="75" t="str">
        <f>IF(AND($N5553=$Q$7,$B5553&lt;'111'!$L$11),"x","")</f>
        <v/>
      </c>
      <c r="S5553" s="75" t="str">
        <f>IF(AND($O5553=$Q$7,$B5553&lt;'111'!$L$11),"x","")</f>
        <v/>
      </c>
      <c r="T5553" s="75" t="str">
        <f>IF(ISERROR(FIND('112'!$M$9,G5553,1)),"",IF((AND(FIND('112'!$M$9,G5553,1)&gt;=1,B5553='112'!$K$9,OR($N5553='112'!$I$6,$O5553='112'!$I$6))),"x",""))</f>
        <v/>
      </c>
      <c r="U5553" s="75" t="str">
        <f>IF(ISERROR(FIND('112'!$M$9,G5553,1)),"",IF((AND(LEFT(G5553,2)=LEFT('112'!$M$9,2),B5553&lt;'112'!$K$9,$N5553='112'!$I$6)),"x",""))</f>
        <v/>
      </c>
      <c r="V5553" s="75" t="str">
        <f>IF(ISERROR(FIND('112'!$M$9,G5553,1)),"",IF((AND(RIGHT(G5553,2)=RIGHT('112'!$M$9,2),B5553&lt;'112'!$K$9,$O5553='112'!$I$6)),"x",""))</f>
        <v/>
      </c>
      <c r="W5553" s="75" t="str">
        <f>IF(AND('341-CT'!$H$9=H5553,OR(LEFT(N5553,3)=$W$7,LEFT(O5553,3)=$W$7)),"x","")</f>
        <v/>
      </c>
      <c r="X5553" s="75" t="str">
        <f>IF(OR(TH!N4153=TH!$X$7,O5553=TH!$X$7),"x","")</f>
        <v/>
      </c>
      <c r="Y5553" s="75" t="str">
        <f>IF(AND(OR(N5553="131",O5553="131"),H5553='131-CT'!$H$9),"x","")</f>
        <v/>
      </c>
      <c r="Z5553" s="75"/>
      <c r="AA5553" s="75" t="str">
        <f>IF(AND(MONTH(E5553)='IN-NX'!$J$5,'IN-NX'!$D$7=D5553),"x","")</f>
        <v/>
      </c>
      <c r="AB5553" s="75" t="str">
        <f>IF(AND(OR(LEFT(TH!N4153,2)="15",LEFT(TH!O4153,2)="15"),LEFT(TH!O4153,3)&lt;&gt;"111",'152-CT'!$J$8=TH!F4153),"x","")</f>
        <v/>
      </c>
      <c r="AC5553" s="75" t="str">
        <f>IF(AND(OR(LEFT(TH!N4153,2)="15",LEFT(TH!O4153,2)="15"),TK!$E$7=TH!F4153),"x","")</f>
        <v/>
      </c>
      <c r="AD5553" s="75" t="str">
        <f>IF(AND(N5553="1521",MONTH(C5553)='BK-NL'!$M$11),"x","")</f>
        <v/>
      </c>
      <c r="AE5553">
        <v>12</v>
      </c>
    </row>
    <row r="5554" spans="1:33" ht="16.5" customHeight="1">
      <c r="A5554" s="309" t="str">
        <f>IF(B5554&lt;&gt;"",IF(AND(B5554='IN-TC'!$S$4,OR(TH!N5537="1111",TH!O5537="1111")),TH!D5537,""),"")</f>
        <v/>
      </c>
      <c r="B5554" s="1159">
        <f t="shared" si="1358"/>
        <v>12</v>
      </c>
      <c r="C5554" s="292">
        <f t="shared" si="1357"/>
        <v>43076</v>
      </c>
      <c r="D5554" s="59"/>
      <c r="E5554" s="59">
        <v>43076</v>
      </c>
      <c r="F5554" s="62" t="s">
        <v>882</v>
      </c>
      <c r="G5554" s="742" t="s">
        <v>2815</v>
      </c>
      <c r="H5554" s="67" t="s">
        <v>2500</v>
      </c>
      <c r="I5554" s="375"/>
      <c r="J5554" s="382"/>
      <c r="K5554" s="375"/>
      <c r="L5554" s="381"/>
      <c r="M5554" s="60">
        <v>20000</v>
      </c>
      <c r="N5554" s="61" t="s">
        <v>9</v>
      </c>
      <c r="O5554" s="61" t="s">
        <v>63</v>
      </c>
      <c r="P5554" s="75" t="str">
        <f>IF(AND('331-CT'!$E$7=TH!H4154,OR(N5554="331",O5554="331")),"x","")</f>
        <v/>
      </c>
      <c r="Q5554" s="75" t="str">
        <f>IF(AND(B5554='111'!$L$11,OR($N5554=$Q$7,$O5554=$Q$7)),"x","")</f>
        <v>x</v>
      </c>
      <c r="R5554" s="75" t="str">
        <f>IF(AND($N5554=$Q$7,$B5554&lt;'111'!$L$11),"x","")</f>
        <v/>
      </c>
      <c r="S5554" s="75" t="str">
        <f>IF(AND($O5554=$Q$7,$B5554&lt;'111'!$L$11),"x","")</f>
        <v/>
      </c>
      <c r="T5554" s="75" t="str">
        <f>IF(ISERROR(FIND('112'!$M$9,G5554,1)),"",IF((AND(FIND('112'!$M$9,G5554,1)&gt;=1,B5554='112'!$K$9,OR($N5554='112'!$I$6,$O5554='112'!$I$6))),"x",""))</f>
        <v/>
      </c>
      <c r="U5554" s="75" t="str">
        <f>IF(ISERROR(FIND('112'!$M$9,G5554,1)),"",IF((AND(LEFT(G5554,2)=LEFT('112'!$M$9,2),B5554&lt;'112'!$K$9,$N5554='112'!$I$6)),"x",""))</f>
        <v/>
      </c>
      <c r="V5554" s="75" t="str">
        <f>IF(ISERROR(FIND('112'!$M$9,G5554,1)),"",IF((AND(RIGHT(G5554,2)=RIGHT('112'!$M$9,2),B5554&lt;'112'!$K$9,$O5554='112'!$I$6)),"x",""))</f>
        <v/>
      </c>
      <c r="W5554" s="75" t="str">
        <f>IF(AND('341-CT'!$H$9=H5554,OR(LEFT(N5554,3)=$W$7,LEFT(O5554,3)=$W$7)),"x","")</f>
        <v/>
      </c>
      <c r="X5554" s="75" t="str">
        <f>IF(OR(TH!N4154=TH!$X$7,O5554=TH!$X$7),"x","")</f>
        <v/>
      </c>
      <c r="Y5554" s="75" t="str">
        <f>IF(AND(OR(N5554="131",O5554="131"),H5554='131-CT'!$H$9),"x","")</f>
        <v/>
      </c>
      <c r="Z5554" s="75"/>
      <c r="AA5554" s="75" t="str">
        <f>IF(AND(MONTH(E5554)='IN-NX'!$J$5,'IN-NX'!$D$7=D5554),"x","")</f>
        <v/>
      </c>
      <c r="AB5554" s="75" t="str">
        <f>IF(AND(OR(LEFT(TH!N4154,2)="15",LEFT(TH!O4154,2)="15"),LEFT(TH!O4154,3)&lt;&gt;"111",'152-CT'!$J$8=TH!F4154),"x","")</f>
        <v/>
      </c>
      <c r="AC5554" s="75" t="str">
        <f>IF(AND(OR(LEFT(TH!N4154,2)="15",LEFT(TH!O4154,2)="15"),TK!$E$7=TH!F4154),"x","")</f>
        <v/>
      </c>
      <c r="AD5554" s="75" t="str">
        <f>IF(AND(N5554="1521",MONTH(C5554)='BK-NL'!$M$11),"x","")</f>
        <v/>
      </c>
      <c r="AE5554">
        <v>12</v>
      </c>
    </row>
    <row r="5555" spans="1:33" ht="16.5" customHeight="1">
      <c r="A5555" s="309" t="str">
        <f>IF(B5555&lt;&gt;"",IF(AND(B5555='IN-TC'!$S$4,OR(TH!N5538="1111",TH!O5538="1111")),TH!D5538,""),"")</f>
        <v/>
      </c>
      <c r="B5555" s="1159">
        <f t="shared" si="1358"/>
        <v>12</v>
      </c>
      <c r="C5555" s="292">
        <f t="shared" ref="C5555:C5618" si="1359">E5555</f>
        <v>43077</v>
      </c>
      <c r="D5555" s="59"/>
      <c r="E5555" s="59">
        <v>43077</v>
      </c>
      <c r="F5555" s="62" t="s">
        <v>877</v>
      </c>
      <c r="G5555" s="742" t="s">
        <v>2816</v>
      </c>
      <c r="H5555" s="67" t="s">
        <v>880</v>
      </c>
      <c r="I5555" s="375"/>
      <c r="J5555" s="382"/>
      <c r="K5555" s="375"/>
      <c r="L5555" s="381"/>
      <c r="M5555" s="60">
        <v>860000</v>
      </c>
      <c r="N5555" s="61" t="s">
        <v>101</v>
      </c>
      <c r="O5555" s="61" t="s">
        <v>63</v>
      </c>
      <c r="P5555" s="75" t="str">
        <f>IF(AND('331-CT'!$E$7=TH!H4155,OR(N5555="331",O5555="331")),"x","")</f>
        <v/>
      </c>
      <c r="Q5555" s="75" t="str">
        <f>IF(AND(B5555='111'!$L$11,OR($N5555=$Q$7,$O5555=$Q$7)),"x","")</f>
        <v>x</v>
      </c>
      <c r="R5555" s="75" t="str">
        <f>IF(AND($N5555=$Q$7,$B5555&lt;'111'!$L$11),"x","")</f>
        <v/>
      </c>
      <c r="S5555" s="75" t="str">
        <f>IF(AND($O5555=$Q$7,$B5555&lt;'111'!$L$11),"x","")</f>
        <v/>
      </c>
      <c r="T5555" s="75" t="str">
        <f>IF(ISERROR(FIND('112'!$M$9,G5555,1)),"",IF((AND(FIND('112'!$M$9,G5555,1)&gt;=1,B5555='112'!$K$9,OR($N5555='112'!$I$6,$O5555='112'!$I$6))),"x",""))</f>
        <v/>
      </c>
      <c r="U5555" s="75" t="str">
        <f>IF(ISERROR(FIND('112'!$M$9,G5555,1)),"",IF((AND(LEFT(G5555,2)=LEFT('112'!$M$9,2),B5555&lt;'112'!$K$9,$N5555='112'!$I$6)),"x",""))</f>
        <v/>
      </c>
      <c r="V5555" s="75" t="str">
        <f>IF(ISERROR(FIND('112'!$M$9,G5555,1)),"",IF((AND(RIGHT(G5555,2)=RIGHT('112'!$M$9,2),B5555&lt;'112'!$K$9,$O5555='112'!$I$6)),"x",""))</f>
        <v/>
      </c>
      <c r="W5555" s="75" t="str">
        <f>IF(AND('341-CT'!$H$9=H5555,OR(LEFT(N5555,3)=$W$7,LEFT(O5555,3)=$W$7)),"x","")</f>
        <v/>
      </c>
      <c r="X5555" s="75" t="str">
        <f>IF(OR(TH!N4155=TH!$X$7,O5555=TH!$X$7),"x","")</f>
        <v/>
      </c>
      <c r="Y5555" s="75" t="str">
        <f>IF(AND(OR(N5555="131",O5555="131"),H5555='131-CT'!$H$9),"x","")</f>
        <v/>
      </c>
      <c r="Z5555" s="75"/>
      <c r="AA5555" s="75" t="str">
        <f>IF(AND(MONTH(E5555)='IN-NX'!$J$5,'IN-NX'!$D$7=D5555),"x","")</f>
        <v/>
      </c>
      <c r="AB5555" s="75" t="str">
        <f>IF(AND(OR(LEFT(TH!N4155,2)="15",LEFT(TH!O4155,2)="15"),LEFT(TH!O4155,3)&lt;&gt;"111",'152-CT'!$J$8=TH!F4155),"x","")</f>
        <v/>
      </c>
      <c r="AC5555" s="75" t="str">
        <f>IF(AND(OR(LEFT(TH!N4155,2)="15",LEFT(TH!O4155,2)="15"),TK!$E$7=TH!F4155),"x","")</f>
        <v/>
      </c>
      <c r="AD5555" s="75" t="str">
        <f>IF(AND(N5555="1521",MONTH(C5555)='BK-NL'!$M$11),"x","")</f>
        <v/>
      </c>
      <c r="AE5555">
        <v>12</v>
      </c>
    </row>
    <row r="5556" spans="1:33" ht="16.5" customHeight="1">
      <c r="A5556" s="309" t="str">
        <f>IF(B5556&lt;&gt;"",IF(AND(B5556='IN-TC'!$S$4,OR(TH!N5539="1111",TH!O5539="1111")),TH!D5539,""),"")</f>
        <v/>
      </c>
      <c r="B5556" s="1159">
        <f t="shared" si="1358"/>
        <v>12</v>
      </c>
      <c r="C5556" s="292">
        <f t="shared" si="1359"/>
        <v>43077</v>
      </c>
      <c r="D5556" s="59"/>
      <c r="E5556" s="59">
        <v>43077</v>
      </c>
      <c r="F5556" s="62" t="s">
        <v>1246</v>
      </c>
      <c r="G5556" s="742" t="s">
        <v>2816</v>
      </c>
      <c r="H5556" s="67" t="s">
        <v>880</v>
      </c>
      <c r="I5556" s="375"/>
      <c r="J5556" s="382"/>
      <c r="K5556" s="375"/>
      <c r="L5556" s="381"/>
      <c r="M5556" s="60">
        <v>86000</v>
      </c>
      <c r="N5556" s="61" t="s">
        <v>9</v>
      </c>
      <c r="O5556" s="61" t="s">
        <v>63</v>
      </c>
      <c r="P5556" s="75" t="str">
        <f>IF(AND('331-CT'!$E$7=TH!H4156,OR(N5556="331",O5556="331")),"x","")</f>
        <v/>
      </c>
      <c r="Q5556" s="75" t="str">
        <f>IF(AND(B5556='111'!$L$11,OR($N5556=$Q$7,$O5556=$Q$7)),"x","")</f>
        <v>x</v>
      </c>
      <c r="R5556" s="75" t="str">
        <f>IF(AND($N5556=$Q$7,$B5556&lt;'111'!$L$11),"x","")</f>
        <v/>
      </c>
      <c r="S5556" s="75" t="str">
        <f>IF(AND($O5556=$Q$7,$B5556&lt;'111'!$L$11),"x","")</f>
        <v/>
      </c>
      <c r="T5556" s="75" t="str">
        <f>IF(ISERROR(FIND('112'!$M$9,G5556,1)),"",IF((AND(FIND('112'!$M$9,G5556,1)&gt;=1,B5556='112'!$K$9,OR($N5556='112'!$I$6,$O5556='112'!$I$6))),"x",""))</f>
        <v/>
      </c>
      <c r="U5556" s="75" t="str">
        <f>IF(ISERROR(FIND('112'!$M$9,G5556,1)),"",IF((AND(LEFT(G5556,2)=LEFT('112'!$M$9,2),B5556&lt;'112'!$K$9,$N5556='112'!$I$6)),"x",""))</f>
        <v/>
      </c>
      <c r="V5556" s="75" t="str">
        <f>IF(ISERROR(FIND('112'!$M$9,G5556,1)),"",IF((AND(RIGHT(G5556,2)=RIGHT('112'!$M$9,2),B5556&lt;'112'!$K$9,$O5556='112'!$I$6)),"x",""))</f>
        <v/>
      </c>
      <c r="W5556" s="75" t="str">
        <f>IF(AND('341-CT'!$H$9=H5556,OR(LEFT(N5556,3)=$W$7,LEFT(O5556,3)=$W$7)),"x","")</f>
        <v/>
      </c>
      <c r="X5556" s="75" t="str">
        <f>IF(OR(TH!N4156=TH!$X$7,O5556=TH!$X$7),"x","")</f>
        <v/>
      </c>
      <c r="Y5556" s="75" t="str">
        <f>IF(AND(OR(N5556="131",O5556="131"),H5556='131-CT'!$H$9),"x","")</f>
        <v/>
      </c>
      <c r="Z5556" s="75"/>
      <c r="AA5556" s="75" t="str">
        <f>IF(AND(MONTH(E5556)='IN-NX'!$J$5,'IN-NX'!$D$7=D5556),"x","")</f>
        <v/>
      </c>
      <c r="AB5556" s="75" t="str">
        <f>IF(AND(OR(LEFT(TH!N4156,2)="15",LEFT(TH!O4156,2)="15"),LEFT(TH!O4156,3)&lt;&gt;"111",'152-CT'!$J$8=TH!F4156),"x","")</f>
        <v/>
      </c>
      <c r="AC5556" s="75" t="str">
        <f>IF(AND(OR(LEFT(TH!N4156,2)="15",LEFT(TH!O4156,2)="15"),TK!$E$7=TH!F4156),"x","")</f>
        <v/>
      </c>
      <c r="AD5556" s="75" t="str">
        <f>IF(AND(N5556="1521",MONTH(C5556)='BK-NL'!$M$11),"x","")</f>
        <v/>
      </c>
      <c r="AE5556">
        <v>12</v>
      </c>
    </row>
    <row r="5557" spans="1:33" ht="16.5" customHeight="1">
      <c r="A5557" s="309" t="str">
        <f>IF(B5557&lt;&gt;"",IF(AND(B5557='IN-TC'!$S$4,OR(TH!N5540="1111",TH!O5540="1111")),TH!D5540,""),"")</f>
        <v/>
      </c>
      <c r="B5557" s="1243">
        <f t="shared" si="1358"/>
        <v>12</v>
      </c>
      <c r="C5557" s="292">
        <f t="shared" si="1359"/>
        <v>43077</v>
      </c>
      <c r="D5557" s="292"/>
      <c r="E5557" s="292">
        <v>43077</v>
      </c>
      <c r="F5557" s="1010" t="s">
        <v>1881</v>
      </c>
      <c r="G5557" s="925"/>
      <c r="H5557" s="311" t="s">
        <v>1890</v>
      </c>
      <c r="I5557" s="373"/>
      <c r="J5557" s="926"/>
      <c r="K5557" s="373"/>
      <c r="L5557" s="379"/>
      <c r="M5557" s="927">
        <v>2036600000</v>
      </c>
      <c r="N5557" s="295" t="s">
        <v>8</v>
      </c>
      <c r="O5557" s="295" t="s">
        <v>63</v>
      </c>
      <c r="P5557" s="75" t="str">
        <f>IF(AND('331-CT'!$E$7=TH!H4365,OR(N5557="331",O5557="331")),"x","")</f>
        <v/>
      </c>
      <c r="Q5557" s="75" t="str">
        <f>IF(AND(B5557='111'!$L$11,OR($N5557=$Q$7,$O5557=$Q$7)),"x","")</f>
        <v>x</v>
      </c>
      <c r="R5557" s="75" t="str">
        <f>IF(AND($N5557=$Q$7,$B5557&lt;'111'!$L$11),"x","")</f>
        <v/>
      </c>
      <c r="S5557" s="75" t="str">
        <f>IF(AND($O5557=$Q$7,$B5557&lt;'111'!$L$11),"x","")</f>
        <v/>
      </c>
      <c r="T5557" s="75" t="str">
        <f>IF(ISERROR(FIND('112'!$M$9,G5557,1)),"",IF((AND(FIND('112'!$M$9,G5557,1)&gt;=1,B5557='112'!$K$9,OR($N5557='112'!$I$6,$O5557='112'!$I$6))),"x",""))</f>
        <v/>
      </c>
      <c r="U5557" s="75" t="str">
        <f>IF(ISERROR(FIND('112'!$M$9,G5557,1)),"",IF((AND(LEFT(G5557,2)=LEFT('112'!$M$9,2),B5557&lt;'112'!$K$9,$N5557='112'!$I$6)),"x",""))</f>
        <v/>
      </c>
      <c r="V5557" s="75" t="str">
        <f>IF(ISERROR(FIND('112'!$M$9,G5557,1)),"",IF((AND(RIGHT(G5557,2)=RIGHT('112'!$M$9,2),B5557&lt;'112'!$K$9,$O5557='112'!$I$6)),"x",""))</f>
        <v/>
      </c>
      <c r="W5557" s="75" t="str">
        <f>IF(AND('341-CT'!$H$9=H5557,OR(LEFT(N5557,3)=$W$7,LEFT(O5557,3)=$W$7)),"x","")</f>
        <v/>
      </c>
      <c r="X5557" s="75" t="str">
        <f>IF(OR(TH!N4365=TH!$X$7,O5557=TH!$X$7),"x","")</f>
        <v/>
      </c>
      <c r="Y5557" s="75" t="str">
        <f>IF(AND(OR(N5557="131",O5557="131"),H5557='131-CT'!$H$9),"x","")</f>
        <v/>
      </c>
      <c r="Z5557" s="75"/>
      <c r="AA5557" s="75" t="str">
        <f>IF(AND(MONTH(E5557)='IN-NX'!$J$5,'IN-NX'!$D$7=D5557),"x","")</f>
        <v/>
      </c>
      <c r="AB5557" s="75" t="str">
        <f>IF(AND(OR(LEFT(TH!N4365,2)="15",LEFT(TH!O4365,2)="15"),LEFT(TH!O4365,3)&lt;&gt;"111",'152-CT'!$J$8=TH!F4365),"x","")</f>
        <v/>
      </c>
      <c r="AC5557" s="75" t="str">
        <f>IF(AND(OR(LEFT(TH!N4365,2)="15",LEFT(TH!O4365,2)="15"),TK!$E$7=TH!F4365),"x","")</f>
        <v/>
      </c>
      <c r="AD5557" s="75" t="str">
        <f>IF(AND(N5557="1521",MONTH(C5557)='BK-NL'!$M$11),"x","")</f>
        <v/>
      </c>
    </row>
    <row r="5558" spans="1:33" ht="16.5" customHeight="1">
      <c r="A5558" s="309" t="str">
        <f>IF(B5558&lt;&gt;"",IF(AND(B5558='IN-TC'!$S$4,OR(TH!N5541="1111",TH!O5541="1111")),TH!D5541,""),"")</f>
        <v/>
      </c>
      <c r="B5558" s="1243">
        <f t="shared" si="1358"/>
        <v>12</v>
      </c>
      <c r="C5558" s="292">
        <f t="shared" si="1359"/>
        <v>43077</v>
      </c>
      <c r="D5558" s="292"/>
      <c r="E5558" s="292">
        <v>43077</v>
      </c>
      <c r="F5558" s="1010" t="s">
        <v>1883</v>
      </c>
      <c r="G5558" s="925"/>
      <c r="H5558" s="311"/>
      <c r="I5558" s="373"/>
      <c r="J5558" s="926"/>
      <c r="K5558" s="373"/>
      <c r="L5558" s="379"/>
      <c r="M5558" s="927">
        <f>1629280+162928</f>
        <v>1792208</v>
      </c>
      <c r="N5558" s="295" t="s">
        <v>101</v>
      </c>
      <c r="O5558" s="295" t="s">
        <v>63</v>
      </c>
      <c r="P5558" s="75" t="str">
        <f>IF(AND('331-CT'!$E$7=TH!H4366,OR(N5558="331",O5558="331")),"x","")</f>
        <v/>
      </c>
      <c r="Q5558" s="75" t="str">
        <f>IF(AND(B5558='111'!$L$11,OR($N5558=$Q$7,$O5558=$Q$7)),"x","")</f>
        <v>x</v>
      </c>
      <c r="R5558" s="75" t="str">
        <f>IF(AND($N5558=$Q$7,$B5558&lt;'111'!$L$11),"x","")</f>
        <v/>
      </c>
      <c r="S5558" s="75" t="str">
        <f>IF(AND($O5558=$Q$7,$B5558&lt;'111'!$L$11),"x","")</f>
        <v/>
      </c>
      <c r="T5558" s="75" t="str">
        <f>IF(ISERROR(FIND('112'!$M$9,G5558,1)),"",IF((AND(FIND('112'!$M$9,G5558,1)&gt;=1,B5558='112'!$K$9,OR($N5558='112'!$I$6,$O5558='112'!$I$6))),"x",""))</f>
        <v/>
      </c>
      <c r="U5558" s="75" t="str">
        <f>IF(ISERROR(FIND('112'!$M$9,G5558,1)),"",IF((AND(LEFT(G5558,2)=LEFT('112'!$M$9,2),B5558&lt;'112'!$K$9,$N5558='112'!$I$6)),"x",""))</f>
        <v/>
      </c>
      <c r="V5558" s="75" t="str">
        <f>IF(ISERROR(FIND('112'!$M$9,G5558,1)),"",IF((AND(RIGHT(G5558,2)=RIGHT('112'!$M$9,2),B5558&lt;'112'!$K$9,$O5558='112'!$I$6)),"x",""))</f>
        <v/>
      </c>
      <c r="W5558" s="75" t="str">
        <f>IF(AND('341-CT'!$H$9=H5558,OR(LEFT(N5558,3)=$W$7,LEFT(O5558,3)=$W$7)),"x","")</f>
        <v/>
      </c>
      <c r="X5558" s="75" t="str">
        <f>IF(OR(TH!N4366=TH!$X$7,O5558=TH!$X$7),"x","")</f>
        <v/>
      </c>
      <c r="Y5558" s="75" t="str">
        <f>IF(AND(OR(N5558="131",O5558="131"),H5558='131-CT'!$H$9),"x","")</f>
        <v/>
      </c>
      <c r="Z5558" s="75"/>
      <c r="AA5558" s="75" t="str">
        <f>IF(AND(MONTH(E5558)='IN-NX'!$J$5,'IN-NX'!$D$7=D5558),"x","")</f>
        <v/>
      </c>
      <c r="AB5558" s="75" t="str">
        <f>IF(AND(OR(LEFT(TH!N4366,2)="15",LEFT(TH!O4366,2)="15"),LEFT(TH!O4366,3)&lt;&gt;"111",'152-CT'!$J$8=TH!F4366),"x","")</f>
        <v/>
      </c>
      <c r="AC5558" s="75" t="str">
        <f>IF(AND(OR(LEFT(TH!N4366,2)="15",LEFT(TH!O4366,2)="15"),TK!$E$7=TH!F4366),"x","")</f>
        <v/>
      </c>
      <c r="AD5558" s="75" t="str">
        <f>IF(AND(N5558="1521",MONTH(C5558)='BK-NL'!$M$11),"x","")</f>
        <v/>
      </c>
    </row>
    <row r="5559" spans="1:33" ht="16.5" customHeight="1">
      <c r="A5559" s="309" t="str">
        <f>IF(B5559&lt;&gt;"",IF(AND(B5559='IN-TC'!$S$4,OR(TH!N5542="1111",TH!O5542="1111")),TH!D5542,""),"")</f>
        <v/>
      </c>
      <c r="B5559" s="1243">
        <f t="shared" si="1358"/>
        <v>12</v>
      </c>
      <c r="C5559" s="292">
        <f t="shared" si="1359"/>
        <v>43077</v>
      </c>
      <c r="D5559" s="292"/>
      <c r="E5559" s="292">
        <v>43077</v>
      </c>
      <c r="F5559" s="1010" t="s">
        <v>1881</v>
      </c>
      <c r="G5559" s="925"/>
      <c r="H5559" s="311" t="s">
        <v>1882</v>
      </c>
      <c r="I5559" s="373"/>
      <c r="J5559" s="926"/>
      <c r="K5559" s="373"/>
      <c r="L5559" s="379"/>
      <c r="M5559" s="927">
        <v>2427880000</v>
      </c>
      <c r="N5559" s="295" t="s">
        <v>8</v>
      </c>
      <c r="O5559" s="295" t="s">
        <v>63</v>
      </c>
      <c r="P5559" s="75" t="str">
        <f>IF(AND('331-CT'!$E$7=TH!H4367,OR(N5559="331",O5559="331")),"x","")</f>
        <v/>
      </c>
      <c r="Q5559" s="75" t="str">
        <f>IF(AND(B5559='111'!$L$11,OR($N5559=$Q$7,$O5559=$Q$7)),"x","")</f>
        <v>x</v>
      </c>
      <c r="R5559" s="75" t="str">
        <f>IF(AND($N5559=$Q$7,$B5559&lt;'111'!$L$11),"x","")</f>
        <v/>
      </c>
      <c r="S5559" s="75" t="str">
        <f>IF(AND($O5559=$Q$7,$B5559&lt;'111'!$L$11),"x","")</f>
        <v/>
      </c>
      <c r="T5559" s="75" t="str">
        <f>IF(ISERROR(FIND('112'!$M$9,G5559,1)),"",IF((AND(FIND('112'!$M$9,G5559,1)&gt;=1,B5559='112'!$K$9,OR($N5559='112'!$I$6,$O5559='112'!$I$6))),"x",""))</f>
        <v/>
      </c>
      <c r="U5559" s="75" t="str">
        <f>IF(ISERROR(FIND('112'!$M$9,G5559,1)),"",IF((AND(LEFT(G5559,2)=LEFT('112'!$M$9,2),B5559&lt;'112'!$K$9,$N5559='112'!$I$6)),"x",""))</f>
        <v/>
      </c>
      <c r="V5559" s="75" t="str">
        <f>IF(ISERROR(FIND('112'!$M$9,G5559,1)),"",IF((AND(RIGHT(G5559,2)=RIGHT('112'!$M$9,2),B5559&lt;'112'!$K$9,$O5559='112'!$I$6)),"x",""))</f>
        <v/>
      </c>
      <c r="W5559" s="75" t="str">
        <f>IF(AND('341-CT'!$H$9=H5559,OR(LEFT(N5559,3)=$W$7,LEFT(O5559,3)=$W$7)),"x","")</f>
        <v/>
      </c>
      <c r="X5559" s="75" t="str">
        <f>IF(OR(TH!N4367=TH!$X$7,O5559=TH!$X$7),"x","")</f>
        <v/>
      </c>
      <c r="Y5559" s="75" t="str">
        <f>IF(AND(OR(N5559="131",O5559="131"),H5559='131-CT'!$H$9),"x","")</f>
        <v/>
      </c>
      <c r="Z5559" s="75"/>
      <c r="AA5559" s="75" t="str">
        <f>IF(AND(MONTH(E5559)='IN-NX'!$J$5,'IN-NX'!$D$7=D5559),"x","")</f>
        <v/>
      </c>
      <c r="AB5559" s="75" t="str">
        <f>IF(AND(OR(LEFT(TH!N4367,2)="15",LEFT(TH!O4367,2)="15"),LEFT(TH!O4367,3)&lt;&gt;"111",'152-CT'!$J$8=TH!F4367),"x","")</f>
        <v/>
      </c>
      <c r="AC5559" s="75" t="str">
        <f>IF(AND(OR(LEFT(TH!N4367,2)="15",LEFT(TH!O4367,2)="15"),TK!$E$7=TH!F4367),"x","")</f>
        <v/>
      </c>
      <c r="AD5559" s="75" t="str">
        <f>IF(AND(N5559="1521",MONTH(C5559)='BK-NL'!$M$11),"x","")</f>
        <v/>
      </c>
    </row>
    <row r="5560" spans="1:33" ht="16.5" customHeight="1">
      <c r="A5560" s="309" t="str">
        <f>IF(B5560&lt;&gt;"",IF(AND(B5560='IN-TC'!$S$4,OR(TH!N5543="1111",TH!O5543="1111")),TH!D5543,""),"")</f>
        <v/>
      </c>
      <c r="B5560" s="1243">
        <f t="shared" si="1358"/>
        <v>12</v>
      </c>
      <c r="C5560" s="292">
        <f t="shared" si="1359"/>
        <v>43077</v>
      </c>
      <c r="D5560" s="292"/>
      <c r="E5560" s="292">
        <v>43077</v>
      </c>
      <c r="F5560" s="1010" t="s">
        <v>1883</v>
      </c>
      <c r="G5560" s="925"/>
      <c r="H5560" s="311"/>
      <c r="I5560" s="373"/>
      <c r="J5560" s="926"/>
      <c r="K5560" s="373"/>
      <c r="L5560" s="379"/>
      <c r="M5560" s="927">
        <f>1942304+194203</f>
        <v>2136507</v>
      </c>
      <c r="N5560" s="295" t="s">
        <v>101</v>
      </c>
      <c r="O5560" s="295" t="s">
        <v>63</v>
      </c>
      <c r="P5560" s="75" t="str">
        <f>IF(AND('331-CT'!$E$7=TH!H4368,OR(N5560="331",O5560="331")),"x","")</f>
        <v/>
      </c>
      <c r="Q5560" s="75" t="str">
        <f>IF(AND(B5560='111'!$L$11,OR($N5560=$Q$7,$O5560=$Q$7)),"x","")</f>
        <v>x</v>
      </c>
      <c r="R5560" s="75" t="str">
        <f>IF(AND($N5560=$Q$7,$B5560&lt;'111'!$L$11),"x","")</f>
        <v/>
      </c>
      <c r="S5560" s="75" t="str">
        <f>IF(AND($O5560=$Q$7,$B5560&lt;'111'!$L$11),"x","")</f>
        <v/>
      </c>
      <c r="T5560" s="75" t="str">
        <f>IF(ISERROR(FIND('112'!$M$9,G5560,1)),"",IF((AND(FIND('112'!$M$9,G5560,1)&gt;=1,B5560='112'!$K$9,OR($N5560='112'!$I$6,$O5560='112'!$I$6))),"x",""))</f>
        <v/>
      </c>
      <c r="U5560" s="75" t="str">
        <f>IF(ISERROR(FIND('112'!$M$9,G5560,1)),"",IF((AND(LEFT(G5560,2)=LEFT('112'!$M$9,2),B5560&lt;'112'!$K$9,$N5560='112'!$I$6)),"x",""))</f>
        <v/>
      </c>
      <c r="V5560" s="75" t="str">
        <f>IF(ISERROR(FIND('112'!$M$9,G5560,1)),"",IF((AND(RIGHT(G5560,2)=RIGHT('112'!$M$9,2),B5560&lt;'112'!$K$9,$O5560='112'!$I$6)),"x",""))</f>
        <v/>
      </c>
      <c r="W5560" s="75" t="str">
        <f>IF(AND('341-CT'!$H$9=H5560,OR(LEFT(N5560,3)=$W$7,LEFT(O5560,3)=$W$7)),"x","")</f>
        <v/>
      </c>
      <c r="X5560" s="75" t="str">
        <f>IF(OR(TH!N4368=TH!$X$7,O5560=TH!$X$7),"x","")</f>
        <v/>
      </c>
      <c r="Y5560" s="75" t="str">
        <f>IF(AND(OR(N5560="131",O5560="131"),H5560='131-CT'!$H$9),"x","")</f>
        <v/>
      </c>
      <c r="Z5560" s="75"/>
      <c r="AA5560" s="75" t="str">
        <f>IF(AND(MONTH(E5560)='IN-NX'!$J$5,'IN-NX'!$D$7=D5560),"x","")</f>
        <v/>
      </c>
      <c r="AB5560" s="75" t="str">
        <f>IF(AND(OR(LEFT(TH!N4368,2)="15",LEFT(TH!O4368,2)="15"),LEFT(TH!O4368,3)&lt;&gt;"111",'152-CT'!$J$8=TH!F4368),"x","")</f>
        <v/>
      </c>
      <c r="AC5560" s="75" t="str">
        <f>IF(AND(OR(LEFT(TH!N4368,2)="15",LEFT(TH!O4368,2)="15"),TK!$E$7=TH!F4368),"x","")</f>
        <v/>
      </c>
      <c r="AD5560" s="75" t="str">
        <f>IF(AND(N5560="1521",MONTH(C5560)='BK-NL'!$M$11),"x","")</f>
        <v/>
      </c>
    </row>
    <row r="5561" spans="1:33" ht="16.5" customHeight="1">
      <c r="A5561" s="309" t="str">
        <f>IF(B5561&lt;&gt;"",IF(AND(B5561='IN-TC'!$S$4,OR(TH!N5544="1111",TH!O5544="1111")),TH!D5544,""),"")</f>
        <v/>
      </c>
      <c r="B5561" s="1159">
        <f t="shared" si="1358"/>
        <v>12</v>
      </c>
      <c r="C5561" s="292">
        <f t="shared" si="1359"/>
        <v>43077</v>
      </c>
      <c r="D5561" s="59" t="s">
        <v>903</v>
      </c>
      <c r="E5561" s="59">
        <v>43077</v>
      </c>
      <c r="F5561" s="62" t="s">
        <v>914</v>
      </c>
      <c r="G5561" s="62" t="s">
        <v>586</v>
      </c>
      <c r="H5561" s="67" t="s">
        <v>982</v>
      </c>
      <c r="I5561" s="373"/>
      <c r="J5561" s="382"/>
      <c r="K5561" s="373"/>
      <c r="L5561" s="379"/>
      <c r="M5561" s="60">
        <v>21977</v>
      </c>
      <c r="N5561" s="61" t="s">
        <v>26</v>
      </c>
      <c r="O5561" s="295" t="s">
        <v>43</v>
      </c>
      <c r="P5561" s="75" t="str">
        <f>IF(AND('331-CT'!$E$7=TH!H4431,OR(N5561="331",O5561="331")),"x","")</f>
        <v/>
      </c>
      <c r="Q5561" s="75" t="str">
        <f>IF(AND(B5561='111'!$L$11,OR($N5561=$Q$7,$O5561=$Q$7)),"x","")</f>
        <v/>
      </c>
      <c r="R5561" s="75" t="str">
        <f>IF(AND($N5561=$Q$7,$B5561&lt;'111'!$L$11),"x","")</f>
        <v/>
      </c>
      <c r="S5561" s="75" t="str">
        <f>IF(AND($O5561=$Q$7,$B5561&lt;'111'!$L$11),"x","")</f>
        <v/>
      </c>
      <c r="T5561" s="75" t="str">
        <f>IF(ISERROR(FIND('112'!$M$9,G5561,1)),"",IF((AND(FIND('112'!$M$9,G5561,1)&gt;=1,B5561='112'!$K$9,OR($N5561='112'!$I$6,$O5561='112'!$I$6))),"x",""))</f>
        <v>x</v>
      </c>
      <c r="U5561" s="75" t="str">
        <f>IF(ISERROR(FIND('112'!$M$9,G5561,1)),"",IF((AND(LEFT(G5561,2)=LEFT('112'!$M$9,2),B5561&lt;'112'!$K$9,$N5561='112'!$I$6)),"x",""))</f>
        <v/>
      </c>
      <c r="V5561" s="75" t="str">
        <f>IF(ISERROR(FIND('112'!$M$9,G5561,1)),"",IF((AND(RIGHT(G5561,2)=RIGHT('112'!$M$9,2),B5561&lt;'112'!$K$9,$O5561='112'!$I$6)),"x",""))</f>
        <v/>
      </c>
      <c r="W5561" s="75" t="str">
        <f>IF(AND('341-CT'!$H$9=H5561,OR(LEFT(N5561,3)=$W$7,LEFT(O5561,3)=$W$7)),"x","")</f>
        <v/>
      </c>
      <c r="X5561" s="75" t="str">
        <f>IF(OR(TH!N4431=TH!$X$7,O5561=TH!$X$7),"x","")</f>
        <v/>
      </c>
      <c r="Y5561" s="75" t="str">
        <f>IF(AND(OR(N5561="131",O5561="131"),H5561='131-CT'!$H$9),"x","")</f>
        <v/>
      </c>
      <c r="Z5561" s="75"/>
      <c r="AA5561" s="75" t="str">
        <f>IF(AND(MONTH(E5561)='IN-NX'!$J$5,'IN-NX'!$D$7=D5561),"x","")</f>
        <v/>
      </c>
      <c r="AB5561" s="75" t="str">
        <f>IF(AND(OR(LEFT(TH!N4431,2)="15",LEFT(TH!O4431,2)="15"),LEFT(TH!O4431,3)&lt;&gt;"111",'152-CT'!$J$8=TH!F4431),"x","")</f>
        <v/>
      </c>
      <c r="AC5561" s="75" t="str">
        <f>IF(AND(OR(LEFT(TH!N4431,2)="15",LEFT(TH!O4431,2)="15"),TK!$E$7=TH!F4431),"x","")</f>
        <v/>
      </c>
      <c r="AD5561" s="75" t="str">
        <f>IF(AND(N5561="1521",MONTH(C5561)='BK-NL'!$M$11),"x","")</f>
        <v/>
      </c>
    </row>
    <row r="5562" spans="1:33" s="304" customFormat="1" ht="16.5" customHeight="1">
      <c r="A5562" s="309" t="str">
        <f>IF(B5562&lt;&gt;"",IF(AND(B5562='IN-TC'!$S$4,OR(TH!N5545="1111",TH!O5545="1111")),TH!D5545,""),"")</f>
        <v/>
      </c>
      <c r="B5562" s="58">
        <f t="shared" si="1358"/>
        <v>12</v>
      </c>
      <c r="C5562" s="292">
        <f t="shared" si="1359"/>
        <v>43077</v>
      </c>
      <c r="D5562" s="292" t="s">
        <v>903</v>
      </c>
      <c r="E5562" s="292">
        <v>43077</v>
      </c>
      <c r="F5562" s="67" t="s">
        <v>2411</v>
      </c>
      <c r="G5562" s="293" t="s">
        <v>1713</v>
      </c>
      <c r="H5562" s="73" t="s">
        <v>2910</v>
      </c>
      <c r="I5562" s="373"/>
      <c r="J5562" s="926"/>
      <c r="K5562" s="373">
        <v>721360</v>
      </c>
      <c r="L5562" s="379">
        <v>22706</v>
      </c>
      <c r="M5562" s="927">
        <f>ROUND(K5562*L5562,0)</f>
        <v>16379200160</v>
      </c>
      <c r="N5562" s="295" t="s">
        <v>26</v>
      </c>
      <c r="O5562" s="295" t="s">
        <v>250</v>
      </c>
      <c r="P5562" s="75" t="str">
        <f>IF(AND('331-CT'!$E$7=TH!H4580,OR(N5562="331",O5562="331")),"x","")</f>
        <v/>
      </c>
      <c r="Q5562" s="75" t="str">
        <f>IF(AND(B5562='111'!$L$11,OR($N5562=$Q$7,$O5562=$Q$7)),"x","")</f>
        <v/>
      </c>
      <c r="R5562" s="75" t="str">
        <f>IF(AND($N5562=$Q$7,$B5562&lt;'111'!$L$11),"x","")</f>
        <v/>
      </c>
      <c r="S5562" s="75" t="str">
        <f>IF(AND($O5562=$Q$7,$B5562&lt;'111'!$L$11),"x","")</f>
        <v/>
      </c>
      <c r="T5562" s="75" t="str">
        <f>IF(ISERROR(FIND('112'!$M$9,G5562,1)),"",IF((AND(FIND('112'!$M$9,G5562,1)&gt;=1,B5562='112'!$K$9,OR($N5562='112'!$I$6,$O5562='112'!$I$6))),"x",""))</f>
        <v/>
      </c>
      <c r="U5562" s="75" t="str">
        <f>IF(ISERROR(FIND('112'!$M$9,G5562,1)),"",IF((AND(LEFT(G5562,2)=LEFT('112'!$M$9,2),B5562&lt;'112'!$K$9,$N5562='112'!$I$6)),"x",""))</f>
        <v/>
      </c>
      <c r="V5562" s="75" t="str">
        <f>IF(ISERROR(FIND('112'!$M$9,G5562,1)),"",IF((AND(RIGHT(G5562,2)=RIGHT('112'!$M$9,2),B5562&lt;'112'!$K$9,$O5562='112'!$I$6)),"x",""))</f>
        <v/>
      </c>
      <c r="W5562" s="75" t="str">
        <f>IF(AND('341-CT'!$H$9=H5562,OR(LEFT(N5562,3)=$W$7,LEFT(O5562,3)=$W$7)),"x","")</f>
        <v/>
      </c>
      <c r="X5562" s="75" t="str">
        <f>IF(OR(TH!N4580=TH!$X$7,O5562=TH!$X$7),"x","")</f>
        <v/>
      </c>
      <c r="Y5562" s="75" t="str">
        <f>IF(AND(OR(N5562="131",O5562="131"),H5562='131-CT'!$H$9),"x","")</f>
        <v/>
      </c>
      <c r="Z5562" s="75"/>
      <c r="AA5562" s="75" t="str">
        <f>IF(AND(MONTH(E5562)='IN-NX'!$J$5,'IN-NX'!$D$7=D5562),"x","")</f>
        <v/>
      </c>
      <c r="AB5562" s="75" t="str">
        <f>IF(AND(OR(LEFT(TH!N4580,2)="15",LEFT(TH!O4580,2)="15"),LEFT(TH!O4580,3)&lt;&gt;"111",'152-CT'!$J$8=TH!F4580),"x","")</f>
        <v/>
      </c>
      <c r="AC5562" s="75" t="str">
        <f>IF(AND(OR(LEFT(TH!N4580,2)="15",LEFT(TH!O4580,2)="15"),TK!$E$7=TH!F4580),"x","")</f>
        <v/>
      </c>
      <c r="AD5562" s="75" t="str">
        <f>IF(AND(N5562="1521",MONTH(C5562)='BK-NL'!$M$11),"x","")</f>
        <v/>
      </c>
    </row>
    <row r="5563" spans="1:33" ht="16.5" customHeight="1">
      <c r="A5563" s="309" t="str">
        <f>IF(B5563&lt;&gt;"",IF(AND(B5563='IN-TC'!$S$4,OR(TH!N5546="1111",TH!O5546="1111")),TH!D5546,""),"")</f>
        <v/>
      </c>
      <c r="B5563" s="1159">
        <f t="shared" si="1358"/>
        <v>12</v>
      </c>
      <c r="C5563" s="292">
        <f t="shared" si="1359"/>
        <v>43077</v>
      </c>
      <c r="D5563" s="292" t="s">
        <v>2773</v>
      </c>
      <c r="E5563" s="292">
        <v>43077</v>
      </c>
      <c r="F5563" s="67" t="s">
        <v>834</v>
      </c>
      <c r="G5563" s="943" t="s">
        <v>1713</v>
      </c>
      <c r="H5563" s="294" t="s">
        <v>1023</v>
      </c>
      <c r="I5563" s="373"/>
      <c r="J5563" s="926"/>
      <c r="K5563" s="373"/>
      <c r="L5563" s="379"/>
      <c r="M5563" s="927">
        <v>16390000000</v>
      </c>
      <c r="N5563" s="295" t="s">
        <v>63</v>
      </c>
      <c r="O5563" s="295" t="s">
        <v>26</v>
      </c>
      <c r="P5563" s="75" t="str">
        <f>IF(AND('331-CT'!$E$7=TH!H4581,OR(N5563="331",O5563="331")),"x","")</f>
        <v/>
      </c>
      <c r="Q5563" s="75" t="str">
        <f>IF(AND(B5563='111'!$L$11,OR($N5563=$Q$7,$O5563=$Q$7)),"x","")</f>
        <v>x</v>
      </c>
      <c r="R5563" s="75" t="str">
        <f>IF(AND($N5563=$Q$7,$B5563&lt;'111'!$L$11),"x","")</f>
        <v/>
      </c>
      <c r="S5563" s="75" t="str">
        <f>IF(AND($O5563=$Q$7,$B5563&lt;'111'!$L$11),"x","")</f>
        <v/>
      </c>
      <c r="T5563" s="75" t="str">
        <f>IF(ISERROR(FIND('112'!$M$9,G5563,1)),"",IF((AND(FIND('112'!$M$9,G5563,1)&gt;=1,B5563='112'!$K$9,OR($N5563='112'!$I$6,$O5563='112'!$I$6))),"x",""))</f>
        <v/>
      </c>
      <c r="U5563" s="75" t="str">
        <f>IF(ISERROR(FIND('112'!$M$9,G5563,1)),"",IF((AND(LEFT(G5563,2)=LEFT('112'!$M$9,2),B5563&lt;'112'!$K$9,$N5563='112'!$I$6)),"x",""))</f>
        <v/>
      </c>
      <c r="V5563" s="75" t="str">
        <f>IF(ISERROR(FIND('112'!$M$9,G5563,1)),"",IF((AND(RIGHT(G5563,2)=RIGHT('112'!$M$9,2),B5563&lt;'112'!$K$9,$O5563='112'!$I$6)),"x",""))</f>
        <v/>
      </c>
      <c r="W5563" s="75" t="str">
        <f>IF(AND('341-CT'!$H$9=H5563,OR(LEFT(N5563,3)=$W$7,LEFT(O5563,3)=$W$7)),"x","")</f>
        <v/>
      </c>
      <c r="X5563" s="75" t="str">
        <f>IF(OR(TH!N4581=TH!$X$7,O5563=TH!$X$7),"x","")</f>
        <v/>
      </c>
      <c r="Y5563" s="75" t="str">
        <f>IF(AND(OR(N5563="131",O5563="131"),H5563='131-CT'!$H$9),"x","")</f>
        <v/>
      </c>
      <c r="Z5563" s="75"/>
      <c r="AA5563" s="75" t="str">
        <f>IF(AND(MONTH(E5563)='IN-NX'!$J$5,'IN-NX'!$D$7=D5563),"x","")</f>
        <v/>
      </c>
      <c r="AB5563" s="75" t="str">
        <f>IF(AND(OR(LEFT(TH!N4581,2)="15",LEFT(TH!O4581,2)="15"),LEFT(TH!O4581,3)&lt;&gt;"111",'152-CT'!$J$8=TH!F4581),"x","")</f>
        <v/>
      </c>
      <c r="AC5563" s="75" t="str">
        <f>IF(AND(OR(LEFT(TH!N4581,2)="15",LEFT(TH!O4581,2)="15"),TK!$E$7=TH!F4581),"x","")</f>
        <v/>
      </c>
      <c r="AD5563" s="75" t="str">
        <f>IF(AND(N5563="1521",MONTH(C5563)='BK-NL'!$M$11),"x","")</f>
        <v/>
      </c>
    </row>
    <row r="5564" spans="1:33" ht="16.5" customHeight="1">
      <c r="A5564" s="309" t="str">
        <f>IF(B5564&lt;&gt;"",IF(AND(B5564='IN-TC'!$S$4,OR(TH!N5547="1111",TH!O5547="1111")),TH!D5547,""),"")</f>
        <v/>
      </c>
      <c r="B5564" s="1159">
        <f t="shared" si="1358"/>
        <v>12</v>
      </c>
      <c r="C5564" s="292">
        <f t="shared" si="1359"/>
        <v>43077</v>
      </c>
      <c r="D5564" s="292" t="s">
        <v>2493</v>
      </c>
      <c r="E5564" s="292">
        <v>43077</v>
      </c>
      <c r="F5564" s="67" t="s">
        <v>885</v>
      </c>
      <c r="G5564" s="943" t="s">
        <v>1713</v>
      </c>
      <c r="H5564" s="294" t="s">
        <v>2774</v>
      </c>
      <c r="I5564" s="373"/>
      <c r="J5564" s="926"/>
      <c r="K5564" s="373"/>
      <c r="L5564" s="379"/>
      <c r="M5564" s="927">
        <v>16090000000</v>
      </c>
      <c r="N5564" s="295" t="s">
        <v>26</v>
      </c>
      <c r="O5564" s="295" t="s">
        <v>63</v>
      </c>
      <c r="P5564" s="75" t="str">
        <f>IF(AND('331-CT'!$E$7=TH!H4582,OR(N5564="331",O5564="331")),"x","")</f>
        <v/>
      </c>
      <c r="Q5564" s="75" t="str">
        <f>IF(AND(B5564='111'!$L$11,OR($N5564=$Q$7,$O5564=$Q$7)),"x","")</f>
        <v>x</v>
      </c>
      <c r="R5564" s="75" t="str">
        <f>IF(AND($N5564=$Q$7,$B5564&lt;'111'!$L$11),"x","")</f>
        <v/>
      </c>
      <c r="S5564" s="75" t="str">
        <f>IF(AND($O5564=$Q$7,$B5564&lt;'111'!$L$11),"x","")</f>
        <v/>
      </c>
      <c r="T5564" s="75" t="str">
        <f>IF(ISERROR(FIND('112'!$M$9,G5564,1)),"",IF((AND(FIND('112'!$M$9,G5564,1)&gt;=1,B5564='112'!$K$9,OR($N5564='112'!$I$6,$O5564='112'!$I$6))),"x",""))</f>
        <v/>
      </c>
      <c r="U5564" s="75" t="str">
        <f>IF(ISERROR(FIND('112'!$M$9,G5564,1)),"",IF((AND(LEFT(G5564,2)=LEFT('112'!$M$9,2),B5564&lt;'112'!$K$9,$N5564='112'!$I$6)),"x",""))</f>
        <v/>
      </c>
      <c r="V5564" s="75" t="str">
        <f>IF(ISERROR(FIND('112'!$M$9,G5564,1)),"",IF((AND(RIGHT(G5564,2)=RIGHT('112'!$M$9,2),B5564&lt;'112'!$K$9,$O5564='112'!$I$6)),"x",""))</f>
        <v/>
      </c>
      <c r="W5564" s="75" t="str">
        <f>IF(AND('341-CT'!$H$9=H5564,OR(LEFT(N5564,3)=$W$7,LEFT(O5564,3)=$W$7)),"x","")</f>
        <v/>
      </c>
      <c r="X5564" s="75" t="str">
        <f>IF(OR(TH!N4582=TH!$X$7,O5564=TH!$X$7),"x","")</f>
        <v/>
      </c>
      <c r="Y5564" s="75" t="str">
        <f>IF(AND(OR(N5564="131",O5564="131"),H5564='131-CT'!$H$9),"x","")</f>
        <v/>
      </c>
      <c r="Z5564" s="75"/>
      <c r="AA5564" s="75" t="str">
        <f>IF(AND(MONTH(E5564)='IN-NX'!$J$5,'IN-NX'!$D$7=D5564),"x","")</f>
        <v/>
      </c>
      <c r="AB5564" s="75" t="str">
        <f>IF(AND(OR(LEFT(TH!N4582,2)="15",LEFT(TH!O4582,2)="15"),LEFT(TH!O4582,3)&lt;&gt;"111",'152-CT'!$J$8=TH!F4582),"x","")</f>
        <v/>
      </c>
      <c r="AC5564" s="75" t="str">
        <f>IF(AND(OR(LEFT(TH!N4582,2)="15",LEFT(TH!O4582,2)="15"),TK!$E$7=TH!F4582),"x","")</f>
        <v/>
      </c>
      <c r="AD5564" s="75" t="str">
        <f>IF(AND(N5564="1521",MONTH(C5564)='BK-NL'!$M$11),"x","")</f>
        <v/>
      </c>
    </row>
    <row r="5565" spans="1:33" ht="16.5" customHeight="1">
      <c r="A5565" s="309" t="str">
        <f>IF(B5565&lt;&gt;"",IF(AND(B5565='IN-TC'!$S$4,OR(TH!N5548="1111",TH!O5548="1111")),TH!D5548,""),"")</f>
        <v/>
      </c>
      <c r="B5565" s="1159">
        <f t="shared" si="1358"/>
        <v>12</v>
      </c>
      <c r="C5565" s="292">
        <f t="shared" si="1359"/>
        <v>43077</v>
      </c>
      <c r="D5565" s="292" t="s">
        <v>902</v>
      </c>
      <c r="E5565" s="292">
        <v>43077</v>
      </c>
      <c r="F5565" s="293" t="s">
        <v>1307</v>
      </c>
      <c r="G5565" s="293" t="s">
        <v>747</v>
      </c>
      <c r="H5565" s="294" t="s">
        <v>835</v>
      </c>
      <c r="I5565" s="373"/>
      <c r="J5565" s="382"/>
      <c r="K5565" s="373"/>
      <c r="L5565" s="379"/>
      <c r="M5565" s="60">
        <v>113750</v>
      </c>
      <c r="N5565" s="295" t="s">
        <v>101</v>
      </c>
      <c r="O5565" s="295" t="s">
        <v>26</v>
      </c>
      <c r="P5565" s="75" t="str">
        <f>IF(AND('331-CT'!$E$7=TH!H5631,OR(N5565="331",O5565="331")),"x","")</f>
        <v/>
      </c>
      <c r="Q5565" s="75" t="str">
        <f>IF(AND(B5565='111'!$L$11,OR($N5565=$Q$7,$O5565=$Q$7)),"x","")</f>
        <v/>
      </c>
      <c r="R5565" s="75" t="str">
        <f>IF(AND($N5565=$Q$7,$B5565&lt;'111'!$L$11),"x","")</f>
        <v/>
      </c>
      <c r="S5565" s="75" t="str">
        <f>IF(AND($O5565=$Q$7,$B5565&lt;'111'!$L$11),"x","")</f>
        <v/>
      </c>
      <c r="T5565" s="75" t="str">
        <f>IF(ISERROR(FIND('112'!$M$9,G5565,1)),"",IF((AND(FIND('112'!$M$9,G5565,1)&gt;=1,B5565='112'!$K$9,OR($N5565='112'!$I$6,$O5565='112'!$I$6))),"x",""))</f>
        <v/>
      </c>
      <c r="U5565" s="75" t="str">
        <f>IF(ISERROR(FIND('112'!$M$9,G5565,1)),"",IF((AND(LEFT(G5565,2)=LEFT('112'!$M$9,2),B5565&lt;'112'!$K$9,$N5565='112'!$I$6)),"x",""))</f>
        <v/>
      </c>
      <c r="V5565" s="75" t="str">
        <f>IF(ISERROR(FIND('112'!$M$9,G5565,1)),"",IF((AND(RIGHT(G5565,2)=RIGHT('112'!$M$9,2),B5565&lt;'112'!$K$9,$O5565='112'!$I$6)),"x",""))</f>
        <v/>
      </c>
      <c r="W5565" s="75" t="str">
        <f>IF(AND('341-CT'!$H$9=H5565,OR(LEFT(N5565,3)=$W$7,LEFT(O5565,3)=$W$7)),"x","")</f>
        <v/>
      </c>
      <c r="X5565" s="75" t="str">
        <f>IF(OR(TH!N5631=TH!$X$7,O5565=TH!$X$7),"x","")</f>
        <v/>
      </c>
      <c r="Y5565" s="75" t="str">
        <f>IF(AND(OR(N5565="131",O5565="131"),H5565='131-CT'!$H$9),"x","")</f>
        <v/>
      </c>
      <c r="Z5565" s="75"/>
      <c r="AA5565" s="75" t="str">
        <f>IF(AND(MONTH(E5565)='IN-NX'!$J$5,'IN-NX'!$D$7=D5565),"x","")</f>
        <v/>
      </c>
      <c r="AB5565" s="75" t="str">
        <f>IF(AND(OR(LEFT(TH!N5631,2)="15",LEFT(TH!O5631,2)="15"),LEFT(TH!O5631,3)&lt;&gt;"111",'152-CT'!$J$8=TH!F5631),"x","")</f>
        <v/>
      </c>
      <c r="AC5565" s="75" t="str">
        <f>IF(AND(OR(LEFT(TH!N5631,2)="15",LEFT(TH!O5631,2)="15"),TK!$E$7=TH!F5631),"x","")</f>
        <v/>
      </c>
      <c r="AD5565" s="75" t="str">
        <f>IF(AND(N5565="1521",MONTH(C5565)='BK-NL'!$M$11),"x","")</f>
        <v/>
      </c>
      <c r="AE5565">
        <v>12</v>
      </c>
    </row>
    <row r="5566" spans="1:33" ht="16.5" customHeight="1">
      <c r="A5566" s="309" t="str">
        <f>IF(B5566&lt;&gt;"",IF(AND(B5566='IN-TC'!$S$4,OR(TH!N5549="1111",TH!O5549="1111")),TH!D5549,""),"")</f>
        <v/>
      </c>
      <c r="B5566" s="1159">
        <f t="shared" si="1358"/>
        <v>12</v>
      </c>
      <c r="C5566" s="292">
        <f t="shared" si="1359"/>
        <v>43077</v>
      </c>
      <c r="D5566" s="292" t="s">
        <v>902</v>
      </c>
      <c r="E5566" s="292">
        <v>43077</v>
      </c>
      <c r="F5566" s="293" t="s">
        <v>1314</v>
      </c>
      <c r="G5566" s="293" t="s">
        <v>747</v>
      </c>
      <c r="H5566" s="294" t="s">
        <v>835</v>
      </c>
      <c r="I5566" s="373"/>
      <c r="J5566" s="382"/>
      <c r="K5566" s="373"/>
      <c r="L5566" s="379"/>
      <c r="M5566" s="60">
        <v>11375</v>
      </c>
      <c r="N5566" s="295" t="s">
        <v>9</v>
      </c>
      <c r="O5566" s="295" t="s">
        <v>26</v>
      </c>
      <c r="P5566" s="75" t="str">
        <f>IF(AND('331-CT'!$E$7=TH!H5632,OR(N5566="331",O5566="331")),"x","")</f>
        <v/>
      </c>
      <c r="Q5566" s="75" t="str">
        <f>IF(AND(B5566='111'!$L$11,OR($N5566=$Q$7,$O5566=$Q$7)),"x","")</f>
        <v/>
      </c>
      <c r="R5566" s="75" t="str">
        <f>IF(AND($N5566=$Q$7,$B5566&lt;'111'!$L$11),"x","")</f>
        <v/>
      </c>
      <c r="S5566" s="75" t="str">
        <f>IF(AND($O5566=$Q$7,$B5566&lt;'111'!$L$11),"x","")</f>
        <v/>
      </c>
      <c r="T5566" s="75" t="str">
        <f>IF(ISERROR(FIND('112'!$M$9,G5566,1)),"",IF((AND(FIND('112'!$M$9,G5566,1)&gt;=1,B5566='112'!$K$9,OR($N5566='112'!$I$6,$O5566='112'!$I$6))),"x",""))</f>
        <v/>
      </c>
      <c r="U5566" s="75" t="str">
        <f>IF(ISERROR(FIND('112'!$M$9,G5566,1)),"",IF((AND(LEFT(G5566,2)=LEFT('112'!$M$9,2),B5566&lt;'112'!$K$9,$N5566='112'!$I$6)),"x",""))</f>
        <v/>
      </c>
      <c r="V5566" s="75" t="str">
        <f>IF(ISERROR(FIND('112'!$M$9,G5566,1)),"",IF((AND(RIGHT(G5566,2)=RIGHT('112'!$M$9,2),B5566&lt;'112'!$K$9,$O5566='112'!$I$6)),"x",""))</f>
        <v/>
      </c>
      <c r="W5566" s="75" t="str">
        <f>IF(AND('341-CT'!$H$9=H5566,OR(LEFT(N5566,3)=$W$7,LEFT(O5566,3)=$W$7)),"x","")</f>
        <v/>
      </c>
      <c r="X5566" s="75" t="str">
        <f>IF(OR(TH!N5632=TH!$X$7,O5566=TH!$X$7),"x","")</f>
        <v/>
      </c>
      <c r="Y5566" s="75" t="str">
        <f>IF(AND(OR(N5566="131",O5566="131"),H5566='131-CT'!$H$9),"x","")</f>
        <v/>
      </c>
      <c r="Z5566" s="75"/>
      <c r="AA5566" s="75" t="str">
        <f>IF(AND(MONTH(E5566)='IN-NX'!$J$5,'IN-NX'!$D$7=D5566),"x","")</f>
        <v/>
      </c>
      <c r="AB5566" s="75" t="str">
        <f>IF(AND(OR(LEFT(TH!N5632,2)="15",LEFT(TH!O5632,2)="15"),LEFT(TH!O5632,3)&lt;&gt;"111",'152-CT'!$J$8=TH!F5632),"x","")</f>
        <v/>
      </c>
      <c r="AC5566" s="75" t="str">
        <f>IF(AND(OR(LEFT(TH!N5632,2)="15",LEFT(TH!O5632,2)="15"),TK!$E$7=TH!F5632),"x","")</f>
        <v/>
      </c>
      <c r="AD5566" s="75" t="str">
        <f>IF(AND(N5566="1521",MONTH(C5566)='BK-NL'!$M$11),"x","")</f>
        <v/>
      </c>
      <c r="AE5566">
        <v>12</v>
      </c>
    </row>
    <row r="5567" spans="1:33" ht="16.5" customHeight="1">
      <c r="A5567" s="309" t="str">
        <f>IF(B5567&lt;&gt;"",IF(AND(B5567='IN-TC'!$S$4,OR(TH!N5550="1111",TH!O5550="1111")),TH!D5550,""),"")</f>
        <v/>
      </c>
      <c r="B5567" s="1159">
        <f t="shared" si="1358"/>
        <v>12</v>
      </c>
      <c r="C5567" s="292">
        <f t="shared" si="1359"/>
        <v>43077</v>
      </c>
      <c r="D5567" s="292" t="s">
        <v>902</v>
      </c>
      <c r="E5567" s="292">
        <v>43077</v>
      </c>
      <c r="F5567" s="293" t="s">
        <v>1549</v>
      </c>
      <c r="G5567" s="293" t="s">
        <v>747</v>
      </c>
      <c r="H5567" s="294" t="s">
        <v>835</v>
      </c>
      <c r="I5567" s="373"/>
      <c r="J5567" s="382"/>
      <c r="K5567" s="373"/>
      <c r="L5567" s="379"/>
      <c r="M5567" s="60">
        <v>1166256</v>
      </c>
      <c r="N5567" s="295" t="s">
        <v>101</v>
      </c>
      <c r="O5567" s="295" t="s">
        <v>26</v>
      </c>
      <c r="P5567" s="75" t="str">
        <f>IF(AND('331-CT'!$E$7=TH!H5633,OR(N5567="331",O5567="331")),"x","")</f>
        <v/>
      </c>
      <c r="Q5567" s="75" t="str">
        <f>IF(AND(B5567='111'!$L$11,OR($N5567=$Q$7,$O5567=$Q$7)),"x","")</f>
        <v/>
      </c>
      <c r="R5567" s="75" t="str">
        <f>IF(AND($N5567=$Q$7,$B5567&lt;'111'!$L$11),"x","")</f>
        <v/>
      </c>
      <c r="S5567" s="75" t="str">
        <f>IF(AND($O5567=$Q$7,$B5567&lt;'111'!$L$11),"x","")</f>
        <v/>
      </c>
      <c r="T5567" s="75" t="str">
        <f>IF(ISERROR(FIND('112'!$M$9,G5567,1)),"",IF((AND(FIND('112'!$M$9,G5567,1)&gt;=1,B5567='112'!$K$9,OR($N5567='112'!$I$6,$O5567='112'!$I$6))),"x",""))</f>
        <v/>
      </c>
      <c r="U5567" s="75" t="str">
        <f>IF(ISERROR(FIND('112'!$M$9,G5567,1)),"",IF((AND(LEFT(G5567,2)=LEFT('112'!$M$9,2),B5567&lt;'112'!$K$9,$N5567='112'!$I$6)),"x",""))</f>
        <v/>
      </c>
      <c r="V5567" s="75" t="str">
        <f>IF(ISERROR(FIND('112'!$M$9,G5567,1)),"",IF((AND(RIGHT(G5567,2)=RIGHT('112'!$M$9,2),B5567&lt;'112'!$K$9,$O5567='112'!$I$6)),"x",""))</f>
        <v/>
      </c>
      <c r="W5567" s="75" t="str">
        <f>IF(AND('341-CT'!$H$9=H5567,OR(LEFT(N5567,3)=$W$7,LEFT(O5567,3)=$W$7)),"x","")</f>
        <v/>
      </c>
      <c r="X5567" s="75" t="str">
        <f>IF(OR(TH!N5633=TH!$X$7,O5567=TH!$X$7),"x","")</f>
        <v/>
      </c>
      <c r="Y5567" s="75" t="str">
        <f>IF(AND(OR(N5567="131",O5567="131"),H5567='131-CT'!$H$9),"x","")</f>
        <v/>
      </c>
      <c r="Z5567" s="75"/>
      <c r="AA5567" s="75" t="str">
        <f>IF(AND(MONTH(E5567)='IN-NX'!$J$5,'IN-NX'!$D$7=D5567),"x","")</f>
        <v/>
      </c>
      <c r="AB5567" s="75" t="str">
        <f>IF(AND(OR(LEFT(TH!N5633,2)="15",LEFT(TH!O5633,2)="15"),LEFT(TH!O5633,3)&lt;&gt;"111",'152-CT'!$J$8=TH!F5633),"x","")</f>
        <v/>
      </c>
      <c r="AC5567" s="75" t="str">
        <f>IF(AND(OR(LEFT(TH!N5633,2)="15",LEFT(TH!O5633,2)="15"),TK!$E$7=TH!F5633),"x","")</f>
        <v/>
      </c>
      <c r="AD5567" s="75" t="str">
        <f>IF(AND(N5567="1521",MONTH(C5567)='BK-NL'!$M$11),"x","")</f>
        <v/>
      </c>
      <c r="AE5567">
        <v>12</v>
      </c>
    </row>
    <row r="5568" spans="1:33" s="304" customFormat="1" ht="16.5" customHeight="1">
      <c r="A5568" s="309" t="str">
        <f>IF(B5568&lt;&gt;"",IF(AND(B5568='IN-TC'!$S$4,OR(TH!N5551="1111",TH!O5551="1111")),TH!D5551,""),"")</f>
        <v/>
      </c>
      <c r="B5568" s="1159">
        <f t="shared" si="1358"/>
        <v>12</v>
      </c>
      <c r="C5568" s="292">
        <f t="shared" si="1359"/>
        <v>43077</v>
      </c>
      <c r="D5568" s="292" t="s">
        <v>902</v>
      </c>
      <c r="E5568" s="292">
        <v>43077</v>
      </c>
      <c r="F5568" s="293" t="s">
        <v>1552</v>
      </c>
      <c r="G5568" s="293" t="s">
        <v>747</v>
      </c>
      <c r="H5568" s="294" t="s">
        <v>835</v>
      </c>
      <c r="I5568" s="373"/>
      <c r="J5568" s="382"/>
      <c r="K5568" s="373"/>
      <c r="L5568" s="379"/>
      <c r="M5568" s="60">
        <v>116626</v>
      </c>
      <c r="N5568" s="295" t="s">
        <v>9</v>
      </c>
      <c r="O5568" s="295" t="s">
        <v>26</v>
      </c>
      <c r="P5568" s="75" t="str">
        <f>IF(AND('331-CT'!$E$7=TH!H5634,OR(N5568="331",O5568="331")),"x","")</f>
        <v/>
      </c>
      <c r="Q5568" s="75" t="str">
        <f>IF(AND(B5568='111'!$L$11,OR($N5568=$Q$7,$O5568=$Q$7)),"x","")</f>
        <v/>
      </c>
      <c r="R5568" s="75" t="str">
        <f>IF(AND($N5568=$Q$7,$B5568&lt;'111'!$L$11),"x","")</f>
        <v/>
      </c>
      <c r="S5568" s="75" t="str">
        <f>IF(AND($O5568=$Q$7,$B5568&lt;'111'!$L$11),"x","")</f>
        <v/>
      </c>
      <c r="T5568" s="75" t="str">
        <f>IF(ISERROR(FIND('112'!$M$9,G5568,1)),"",IF((AND(FIND('112'!$M$9,G5568,1)&gt;=1,B5568='112'!$K$9,OR($N5568='112'!$I$6,$O5568='112'!$I$6))),"x",""))</f>
        <v/>
      </c>
      <c r="U5568" s="75" t="str">
        <f>IF(ISERROR(FIND('112'!$M$9,G5568,1)),"",IF((AND(LEFT(G5568,2)=LEFT('112'!$M$9,2),B5568&lt;'112'!$K$9,$N5568='112'!$I$6)),"x",""))</f>
        <v/>
      </c>
      <c r="V5568" s="75" t="str">
        <f>IF(ISERROR(FIND('112'!$M$9,G5568,1)),"",IF((AND(RIGHT(G5568,2)=RIGHT('112'!$M$9,2),B5568&lt;'112'!$K$9,$O5568='112'!$I$6)),"x",""))</f>
        <v/>
      </c>
      <c r="W5568" s="75" t="str">
        <f>IF(AND('341-CT'!$H$9=H5568,OR(LEFT(N5568,3)=$W$7,LEFT(O5568,3)=$W$7)),"x","")</f>
        <v/>
      </c>
      <c r="X5568" s="75" t="str">
        <f>IF(OR(TH!N5634=TH!$X$7,O5568=TH!$X$7),"x","")</f>
        <v/>
      </c>
      <c r="Y5568" s="75" t="str">
        <f>IF(AND(OR(N5568="131",O5568="131"),H5568='131-CT'!$H$9),"x","")</f>
        <v/>
      </c>
      <c r="Z5568" s="75"/>
      <c r="AA5568" s="75" t="str">
        <f>IF(AND(MONTH(E5568)='IN-NX'!$J$5,'IN-NX'!$D$7=D5568),"x","")</f>
        <v/>
      </c>
      <c r="AB5568" s="75" t="str">
        <f>IF(AND(OR(LEFT(TH!N5634,2)="15",LEFT(TH!O5634,2)="15"),LEFT(TH!O5634,3)&lt;&gt;"111",'152-CT'!$J$8=TH!F5634),"x","")</f>
        <v/>
      </c>
      <c r="AC5568" s="75" t="str">
        <f>IF(AND(OR(LEFT(TH!N5634,2)="15",LEFT(TH!O5634,2)="15"),TK!$E$7=TH!F5634),"x","")</f>
        <v/>
      </c>
      <c r="AD5568" s="75" t="str">
        <f>IF(AND(N5568="1521",MONTH(C5568)='BK-NL'!$M$11),"x","")</f>
        <v/>
      </c>
      <c r="AE5568">
        <v>12</v>
      </c>
      <c r="AF5568"/>
      <c r="AG5568"/>
    </row>
    <row r="5569" spans="1:33" ht="16.5" customHeight="1">
      <c r="A5569" s="309" t="str">
        <f>IF(B5569&lt;&gt;"",IF(AND(B5569='IN-TC'!$S$4,OR(TH!N5552="1111",TH!O5552="1111")),TH!D5552,""),"")</f>
        <v/>
      </c>
      <c r="B5569" s="1159">
        <f t="shared" si="1358"/>
        <v>12</v>
      </c>
      <c r="C5569" s="292">
        <f t="shared" si="1359"/>
        <v>43077</v>
      </c>
      <c r="D5569" s="292" t="s">
        <v>902</v>
      </c>
      <c r="E5569" s="292">
        <v>43077</v>
      </c>
      <c r="F5569" s="293" t="s">
        <v>1549</v>
      </c>
      <c r="G5569" s="293" t="s">
        <v>747</v>
      </c>
      <c r="H5569" s="294" t="s">
        <v>835</v>
      </c>
      <c r="I5569" s="373"/>
      <c r="J5569" s="382"/>
      <c r="K5569" s="373"/>
      <c r="L5569" s="379"/>
      <c r="M5569" s="60">
        <v>227500</v>
      </c>
      <c r="N5569" s="295" t="s">
        <v>101</v>
      </c>
      <c r="O5569" s="295" t="s">
        <v>26</v>
      </c>
      <c r="P5569" s="75" t="str">
        <f>IF(AND('331-CT'!$E$7=TH!H5635,OR(N5569="331",O5569="331")),"x","")</f>
        <v/>
      </c>
      <c r="Q5569" s="75" t="str">
        <f>IF(AND(B5569='111'!$L$11,OR($N5569=$Q$7,$O5569=$Q$7)),"x","")</f>
        <v/>
      </c>
      <c r="R5569" s="75" t="str">
        <f>IF(AND($N5569=$Q$7,$B5569&lt;'111'!$L$11),"x","")</f>
        <v/>
      </c>
      <c r="S5569" s="75" t="str">
        <f>IF(AND($O5569=$Q$7,$B5569&lt;'111'!$L$11),"x","")</f>
        <v/>
      </c>
      <c r="T5569" s="75" t="str">
        <f>IF(ISERROR(FIND('112'!$M$9,G5569,1)),"",IF((AND(FIND('112'!$M$9,G5569,1)&gt;=1,B5569='112'!$K$9,OR($N5569='112'!$I$6,$O5569='112'!$I$6))),"x",""))</f>
        <v/>
      </c>
      <c r="U5569" s="75" t="str">
        <f>IF(ISERROR(FIND('112'!$M$9,G5569,1)),"",IF((AND(LEFT(G5569,2)=LEFT('112'!$M$9,2),B5569&lt;'112'!$K$9,$N5569='112'!$I$6)),"x",""))</f>
        <v/>
      </c>
      <c r="V5569" s="75" t="str">
        <f>IF(ISERROR(FIND('112'!$M$9,G5569,1)),"",IF((AND(RIGHT(G5569,2)=RIGHT('112'!$M$9,2),B5569&lt;'112'!$K$9,$O5569='112'!$I$6)),"x",""))</f>
        <v/>
      </c>
      <c r="W5569" s="75" t="str">
        <f>IF(AND('341-CT'!$H$9=H5569,OR(LEFT(N5569,3)=$W$7,LEFT(O5569,3)=$W$7)),"x","")</f>
        <v/>
      </c>
      <c r="X5569" s="75" t="str">
        <f>IF(OR(TH!N5635=TH!$X$7,O5569=TH!$X$7),"x","")</f>
        <v/>
      </c>
      <c r="Y5569" s="75" t="str">
        <f>IF(AND(OR(N5569="131",O5569="131"),H5569='131-CT'!$H$9),"x","")</f>
        <v/>
      </c>
      <c r="Z5569" s="75"/>
      <c r="AA5569" s="75" t="str">
        <f>IF(AND(MONTH(E5569)='IN-NX'!$J$5,'IN-NX'!$D$7=D5569),"x","")</f>
        <v/>
      </c>
      <c r="AB5569" s="75" t="str">
        <f>IF(AND(OR(LEFT(TH!N5635,2)="15",LEFT(TH!O5635,2)="15"),LEFT(TH!O5635,3)&lt;&gt;"111",'152-CT'!$J$8=TH!F5635),"x","")</f>
        <v/>
      </c>
      <c r="AC5569" s="75" t="str">
        <f>IF(AND(OR(LEFT(TH!N5635,2)="15",LEFT(TH!O5635,2)="15"),TK!$E$7=TH!F5635),"x","")</f>
        <v/>
      </c>
      <c r="AD5569" s="75" t="str">
        <f>IF(AND(N5569="1521",MONTH(C5569)='BK-NL'!$M$11),"x","")</f>
        <v/>
      </c>
    </row>
    <row r="5570" spans="1:33" ht="16.5" customHeight="1">
      <c r="A5570" s="309" t="str">
        <f>IF(B5570&lt;&gt;"",IF(AND(B5570='IN-TC'!$S$4,OR(TH!N5553="1111",TH!O5553="1111")),TH!D5553,""),"")</f>
        <v/>
      </c>
      <c r="B5570" s="1159">
        <f t="shared" si="1358"/>
        <v>12</v>
      </c>
      <c r="C5570" s="292">
        <f t="shared" si="1359"/>
        <v>43081</v>
      </c>
      <c r="D5570" s="292" t="s">
        <v>902</v>
      </c>
      <c r="E5570" s="292">
        <v>43081</v>
      </c>
      <c r="F5570" s="67" t="s">
        <v>897</v>
      </c>
      <c r="G5570" s="943" t="s">
        <v>1713</v>
      </c>
      <c r="H5570" s="294" t="s">
        <v>623</v>
      </c>
      <c r="I5570" s="373"/>
      <c r="J5570" s="926"/>
      <c r="K5570" s="373"/>
      <c r="L5570" s="379"/>
      <c r="M5570" s="927">
        <v>16090000000</v>
      </c>
      <c r="N5570" s="295" t="s">
        <v>8</v>
      </c>
      <c r="O5570" s="295" t="s">
        <v>26</v>
      </c>
      <c r="P5570" s="75" t="str">
        <f>IF(AND('331-CT'!$E$7=TH!H4583,OR(N5570="331",O5570="331")),"x","")</f>
        <v/>
      </c>
      <c r="Q5570" s="75" t="str">
        <f>IF(AND(B5570='111'!$L$11,OR($N5570=$Q$7,$O5570=$Q$7)),"x","")</f>
        <v/>
      </c>
      <c r="R5570" s="75" t="str">
        <f>IF(AND($N5570=$Q$7,$B5570&lt;'111'!$L$11),"x","")</f>
        <v/>
      </c>
      <c r="S5570" s="75" t="str">
        <f>IF(AND($O5570=$Q$7,$B5570&lt;'111'!$L$11),"x","")</f>
        <v/>
      </c>
      <c r="T5570" s="75" t="str">
        <f>IF(ISERROR(FIND('112'!$M$9,G5570,1)),"",IF((AND(FIND('112'!$M$9,G5570,1)&gt;=1,B5570='112'!$K$9,OR($N5570='112'!$I$6,$O5570='112'!$I$6))),"x",""))</f>
        <v/>
      </c>
      <c r="U5570" s="75" t="str">
        <f>IF(ISERROR(FIND('112'!$M$9,G5570,1)),"",IF((AND(LEFT(G5570,2)=LEFT('112'!$M$9,2),B5570&lt;'112'!$K$9,$N5570='112'!$I$6)),"x",""))</f>
        <v/>
      </c>
      <c r="V5570" s="75" t="str">
        <f>IF(ISERROR(FIND('112'!$M$9,G5570,1)),"",IF((AND(RIGHT(G5570,2)=RIGHT('112'!$M$9,2),B5570&lt;'112'!$K$9,$O5570='112'!$I$6)),"x",""))</f>
        <v/>
      </c>
      <c r="W5570" s="75" t="str">
        <f>IF(AND('341-CT'!$H$9=H5570,OR(LEFT(N5570,3)=$W$7,LEFT(O5570,3)=$W$7)),"x","")</f>
        <v/>
      </c>
      <c r="X5570" s="75" t="str">
        <f>IF(OR(TH!N4583=TH!$X$7,O5570=TH!$X$7),"x","")</f>
        <v/>
      </c>
      <c r="Y5570" s="75" t="str">
        <f>IF(AND(OR(N5570="131",O5570="131"),H5570='131-CT'!$H$9),"x","")</f>
        <v/>
      </c>
      <c r="Z5570" s="75"/>
      <c r="AA5570" s="75" t="str">
        <f>IF(AND(MONTH(E5570)='IN-NX'!$J$5,'IN-NX'!$D$7=D5570),"x","")</f>
        <v/>
      </c>
      <c r="AB5570" s="75" t="str">
        <f>IF(AND(OR(LEFT(TH!N4583,2)="15",LEFT(TH!O4583,2)="15"),LEFT(TH!O4583,3)&lt;&gt;"111",'152-CT'!$J$8=TH!F4583),"x","")</f>
        <v/>
      </c>
      <c r="AC5570" s="75" t="str">
        <f>IF(AND(OR(LEFT(TH!N4583,2)="15",LEFT(TH!O4583,2)="15"),TK!$E$7=TH!F4583),"x","")</f>
        <v/>
      </c>
      <c r="AD5570" s="75" t="str">
        <f>IF(AND(N5570="1521",MONTH(C5570)='BK-NL'!$M$11),"x","")</f>
        <v/>
      </c>
    </row>
    <row r="5571" spans="1:33" ht="16.5" customHeight="1">
      <c r="A5571" s="309" t="str">
        <f>IF(B5571&lt;&gt;"",IF(AND(B5571='IN-TC'!$S$4,OR(TH!N5554="1111",TH!O5554="1111")),TH!D5554,""),"")</f>
        <v/>
      </c>
      <c r="B5571" s="1159">
        <f t="shared" si="1358"/>
        <v>12</v>
      </c>
      <c r="C5571" s="292">
        <f t="shared" si="1359"/>
        <v>43081</v>
      </c>
      <c r="D5571" s="59" t="s">
        <v>902</v>
      </c>
      <c r="E5571" s="59">
        <v>43081</v>
      </c>
      <c r="F5571" s="67" t="s">
        <v>870</v>
      </c>
      <c r="G5571" s="62" t="s">
        <v>1713</v>
      </c>
      <c r="H5571" s="67" t="s">
        <v>1771</v>
      </c>
      <c r="I5571" s="375"/>
      <c r="J5571" s="381"/>
      <c r="K5571" s="60"/>
      <c r="L5571" s="381"/>
      <c r="M5571" s="60">
        <v>1000000</v>
      </c>
      <c r="N5571" s="61" t="s">
        <v>101</v>
      </c>
      <c r="O5571" s="61" t="s">
        <v>26</v>
      </c>
      <c r="P5571" s="75" t="str">
        <f>IF(AND('331-CT'!$E$7=TH!H4584,OR(N5571="331",O5571="331")),"x","")</f>
        <v/>
      </c>
      <c r="Q5571" s="75" t="str">
        <f>IF(AND(B5571='111'!$L$11,OR($N5571=$Q$7,$O5571=$Q$7)),"x","")</f>
        <v/>
      </c>
      <c r="R5571" s="75" t="str">
        <f>IF(AND($N5571=$Q$7,$B5571&lt;'111'!$L$11),"x","")</f>
        <v/>
      </c>
      <c r="S5571" s="75" t="str">
        <f>IF(AND($O5571=$Q$7,$B5571&lt;'111'!$L$11),"x","")</f>
        <v/>
      </c>
      <c r="T5571" s="75" t="str">
        <f>IF(ISERROR(FIND('112'!$M$9,G5571,1)),"",IF((AND(FIND('112'!$M$9,G5571,1)&gt;=1,B5571='112'!$K$9,OR($N5571='112'!$I$6,$O5571='112'!$I$6))),"x",""))</f>
        <v/>
      </c>
      <c r="U5571" s="75" t="str">
        <f>IF(ISERROR(FIND('112'!$M$9,G5571,1)),"",IF((AND(LEFT(G5571,2)=LEFT('112'!$M$9,2),B5571&lt;'112'!$K$9,$N5571='112'!$I$6)),"x",""))</f>
        <v/>
      </c>
      <c r="V5571" s="75" t="str">
        <f>IF(ISERROR(FIND('112'!$M$9,G5571,1)),"",IF((AND(RIGHT(G5571,2)=RIGHT('112'!$M$9,2),B5571&lt;'112'!$K$9,$O5571='112'!$I$6)),"x",""))</f>
        <v/>
      </c>
      <c r="W5571" s="75" t="str">
        <f>IF(AND('341-CT'!$H$9=H5571,OR(LEFT(N5571,3)=$W$7,LEFT(O5571,3)=$W$7)),"x","")</f>
        <v/>
      </c>
      <c r="X5571" s="75" t="str">
        <f>IF(OR(TH!N4584=TH!$X$7,O5571=TH!$X$7),"x","")</f>
        <v/>
      </c>
      <c r="Y5571" s="75" t="str">
        <f>IF(AND(OR(N5571="131",O5571="131"),H5571='131-CT'!$H$9),"x","")</f>
        <v/>
      </c>
      <c r="Z5571" s="75"/>
      <c r="AA5571" s="75" t="str">
        <f>IF(AND(MONTH(E5571)='IN-NX'!$J$5,'IN-NX'!$D$7=D5571),"x","")</f>
        <v/>
      </c>
      <c r="AB5571" s="75" t="str">
        <f>IF(AND(OR(LEFT(TH!N4584,2)="15",LEFT(TH!O4584,2)="15"),LEFT(TH!O4584,3)&lt;&gt;"111",'152-CT'!$J$8=TH!F4584),"x","")</f>
        <v/>
      </c>
      <c r="AC5571" s="75" t="str">
        <f>IF(AND(OR(LEFT(TH!N4584,2)="15",LEFT(TH!O4584,2)="15"),TK!$E$7=TH!F4584),"x","")</f>
        <v/>
      </c>
      <c r="AD5571" s="75" t="str">
        <f>IF(AND(N5571="1521",MONTH(C5571)='BK-NL'!$M$11),"x","")</f>
        <v/>
      </c>
      <c r="AE5571" s="1053">
        <v>12</v>
      </c>
      <c r="AF5571" s="1053"/>
      <c r="AG5571" s="1053"/>
    </row>
    <row r="5572" spans="1:33" ht="16.5" customHeight="1">
      <c r="A5572" s="309" t="str">
        <f>IF(B5572&lt;&gt;"",IF(AND(B5572='IN-TC'!$S$4,OR(TH!N5555="1111",TH!O5555="1111")),TH!D5555,""),"")</f>
        <v/>
      </c>
      <c r="B5572" s="1159">
        <f t="shared" si="1358"/>
        <v>12</v>
      </c>
      <c r="C5572" s="292">
        <f t="shared" si="1359"/>
        <v>43081</v>
      </c>
      <c r="D5572" s="59" t="s">
        <v>902</v>
      </c>
      <c r="E5572" s="59">
        <v>43081</v>
      </c>
      <c r="F5572" s="67" t="s">
        <v>898</v>
      </c>
      <c r="G5572" s="62" t="s">
        <v>1713</v>
      </c>
      <c r="H5572" s="67" t="s">
        <v>1771</v>
      </c>
      <c r="I5572" s="375"/>
      <c r="J5572" s="381"/>
      <c r="K5572" s="375"/>
      <c r="L5572" s="381"/>
      <c r="M5572" s="60">
        <v>100000</v>
      </c>
      <c r="N5572" s="61" t="s">
        <v>9</v>
      </c>
      <c r="O5572" s="61" t="s">
        <v>26</v>
      </c>
      <c r="P5572" s="75" t="str">
        <f>IF(AND('331-CT'!$E$7=TH!H4586,OR(N5572="331",O5572="331")),"x","")</f>
        <v/>
      </c>
      <c r="Q5572" s="75" t="str">
        <f>IF(AND(B5572='111'!$L$11,OR($N5572=$Q$7,$O5572=$Q$7)),"x","")</f>
        <v/>
      </c>
      <c r="R5572" s="75" t="str">
        <f>IF(AND($N5572=$Q$7,$B5572&lt;'111'!$L$11),"x","")</f>
        <v/>
      </c>
      <c r="S5572" s="75" t="str">
        <f>IF(AND($O5572=$Q$7,$B5572&lt;'111'!$L$11),"x","")</f>
        <v/>
      </c>
      <c r="T5572" s="75" t="str">
        <f>IF(ISERROR(FIND('112'!$M$9,G5572,1)),"",IF((AND(FIND('112'!$M$9,G5572,1)&gt;=1,B5572='112'!$K$9,OR($N5572='112'!$I$6,$O5572='112'!$I$6))),"x",""))</f>
        <v/>
      </c>
      <c r="U5572" s="75" t="str">
        <f>IF(ISERROR(FIND('112'!$M$9,G5572,1)),"",IF((AND(LEFT(G5572,2)=LEFT('112'!$M$9,2),B5572&lt;'112'!$K$9,$N5572='112'!$I$6)),"x",""))</f>
        <v/>
      </c>
      <c r="V5572" s="75" t="str">
        <f>IF(ISERROR(FIND('112'!$M$9,G5572,1)),"",IF((AND(RIGHT(G5572,2)=RIGHT('112'!$M$9,2),B5572&lt;'112'!$K$9,$O5572='112'!$I$6)),"x",""))</f>
        <v/>
      </c>
      <c r="W5572" s="75" t="str">
        <f>IF(AND('341-CT'!$H$9=H5572,OR(LEFT(N5572,3)=$W$7,LEFT(O5572,3)=$W$7)),"x","")</f>
        <v/>
      </c>
      <c r="X5572" s="75" t="str">
        <f>IF(OR(TH!N4586=TH!$X$7,O5572=TH!$X$7),"x","")</f>
        <v/>
      </c>
      <c r="Y5572" s="75" t="str">
        <f>IF(AND(OR(N5572="131",O5572="131"),H5572='131-CT'!$H$9),"x","")</f>
        <v/>
      </c>
      <c r="Z5572" s="75"/>
      <c r="AA5572" s="75" t="str">
        <f>IF(AND(MONTH(E5572)='IN-NX'!$J$5,'IN-NX'!$D$7=D5572),"x","")</f>
        <v/>
      </c>
      <c r="AB5572" s="75" t="str">
        <f>IF(AND(OR(LEFT(TH!N4586,2)="15",LEFT(TH!O4586,2)="15"),LEFT(TH!O4586,3)&lt;&gt;"111",'152-CT'!$J$8=TH!F4586),"x","")</f>
        <v/>
      </c>
      <c r="AC5572" s="75" t="str">
        <f>IF(AND(OR(LEFT(TH!N4586,2)="15",LEFT(TH!O4586,2)="15"),TK!$E$7=TH!F4586),"x","")</f>
        <v/>
      </c>
      <c r="AD5572" s="75" t="str">
        <f>IF(AND(N5572="1521",MONTH(C5572)='BK-NL'!$M$11),"x","")</f>
        <v/>
      </c>
      <c r="AE5572" s="1053">
        <v>12</v>
      </c>
      <c r="AF5572" s="1053"/>
      <c r="AG5572" s="1053"/>
    </row>
    <row r="5573" spans="1:33" ht="16.5" customHeight="1">
      <c r="A5573" s="309" t="str">
        <f>IF(B5573&lt;&gt;"",IF(AND(B5573='IN-TC'!$S$4,OR(TH!N5556="1111",TH!O5556="1111")),TH!D5556,""),"")</f>
        <v/>
      </c>
      <c r="B5573" s="1159">
        <f t="shared" si="1358"/>
        <v>12</v>
      </c>
      <c r="C5573" s="292">
        <f t="shared" si="1359"/>
        <v>43082</v>
      </c>
      <c r="D5573" s="59" t="s">
        <v>903</v>
      </c>
      <c r="E5573" s="59">
        <v>43082</v>
      </c>
      <c r="F5573" s="62" t="s">
        <v>907</v>
      </c>
      <c r="G5573" s="293" t="s">
        <v>747</v>
      </c>
      <c r="H5573" s="294" t="s">
        <v>835</v>
      </c>
      <c r="I5573" s="373"/>
      <c r="J5573" s="382"/>
      <c r="K5573" s="373">
        <v>76000</v>
      </c>
      <c r="L5573" s="379">
        <v>22702</v>
      </c>
      <c r="M5573" s="927">
        <f>ROUND(L5573*K5573,0)</f>
        <v>1725352000</v>
      </c>
      <c r="N5573" s="61" t="s">
        <v>26</v>
      </c>
      <c r="O5573" s="61" t="s">
        <v>256</v>
      </c>
      <c r="P5573" s="75" t="str">
        <f>IF(AND('331-CT'!$E$7=TH!H5636,OR(N5573="331",O5573="331")),"x","")</f>
        <v/>
      </c>
      <c r="Q5573" s="75" t="str">
        <f>IF(AND(B5573='111'!$L$11,OR($N5573=$Q$7,$O5573=$Q$7)),"x","")</f>
        <v/>
      </c>
      <c r="R5573" s="75" t="str">
        <f>IF(AND($N5573=$Q$7,$B5573&lt;'111'!$L$11),"x","")</f>
        <v/>
      </c>
      <c r="S5573" s="75" t="str">
        <f>IF(AND($O5573=$Q$7,$B5573&lt;'111'!$L$11),"x","")</f>
        <v/>
      </c>
      <c r="T5573" s="75" t="str">
        <f>IF(ISERROR(FIND('112'!$M$9,G5573,1)),"",IF((AND(FIND('112'!$M$9,G5573,1)&gt;=1,B5573='112'!$K$9,OR($N5573='112'!$I$6,$O5573='112'!$I$6))),"x",""))</f>
        <v/>
      </c>
      <c r="U5573" s="75" t="str">
        <f>IF(ISERROR(FIND('112'!$M$9,G5573,1)),"",IF((AND(LEFT(G5573,2)=LEFT('112'!$M$9,2),B5573&lt;'112'!$K$9,$N5573='112'!$I$6)),"x",""))</f>
        <v/>
      </c>
      <c r="V5573" s="75" t="str">
        <f>IF(ISERROR(FIND('112'!$M$9,G5573,1)),"",IF((AND(RIGHT(G5573,2)=RIGHT('112'!$M$9,2),B5573&lt;'112'!$K$9,$O5573='112'!$I$6)),"x",""))</f>
        <v/>
      </c>
      <c r="W5573" s="75" t="str">
        <f>IF(AND('341-CT'!$H$9=H5573,OR(LEFT(N5573,3)=$W$7,LEFT(O5573,3)=$W$7)),"x","")</f>
        <v/>
      </c>
      <c r="X5573" s="75" t="str">
        <f>IF(OR(TH!N5636=TH!$X$7,O5573=TH!$X$7),"x","")</f>
        <v/>
      </c>
      <c r="Y5573" s="75" t="str">
        <f>IF(AND(OR(N5573="131",O5573="131"),H5573='131-CT'!$H$9),"x","")</f>
        <v/>
      </c>
      <c r="Z5573" s="75"/>
      <c r="AA5573" s="75" t="str">
        <f>IF(AND(MONTH(E5573)='IN-NX'!$J$5,'IN-NX'!$D$7=D5573),"x","")</f>
        <v/>
      </c>
      <c r="AB5573" s="75" t="str">
        <f>IF(AND(OR(LEFT(TH!N5636,2)="15",LEFT(TH!O5636,2)="15"),LEFT(TH!O5636,3)&lt;&gt;"111",'152-CT'!$J$8=TH!F5636),"x","")</f>
        <v/>
      </c>
      <c r="AC5573" s="75" t="str">
        <f>IF(AND(OR(LEFT(TH!N5636,2)="15",LEFT(TH!O5636,2)="15"),TK!$E$7=TH!F5636),"x","")</f>
        <v/>
      </c>
      <c r="AD5573" s="75" t="str">
        <f>IF(AND(N5573="1521",MONTH(C5573)='BK-NL'!$M$11),"x","")</f>
        <v/>
      </c>
    </row>
    <row r="5574" spans="1:33" ht="16.5" customHeight="1">
      <c r="A5574" s="309" t="str">
        <f>IF(B5574&lt;&gt;"",IF(AND(B5574='IN-TC'!$S$4,OR(TH!N5557="1111",TH!O5557="1111")),TH!D5557,""),"")</f>
        <v/>
      </c>
      <c r="B5574" s="1159">
        <f t="shared" si="1358"/>
        <v>12</v>
      </c>
      <c r="C5574" s="292">
        <f t="shared" si="1359"/>
        <v>43082</v>
      </c>
      <c r="D5574" s="59" t="s">
        <v>902</v>
      </c>
      <c r="E5574" s="59">
        <v>43082</v>
      </c>
      <c r="F5574" s="62" t="s">
        <v>834</v>
      </c>
      <c r="G5574" s="293" t="s">
        <v>747</v>
      </c>
      <c r="H5574" s="67" t="s">
        <v>1023</v>
      </c>
      <c r="I5574" s="373"/>
      <c r="J5574" s="382"/>
      <c r="K5574" s="373"/>
      <c r="L5574" s="379"/>
      <c r="M5574" s="60">
        <v>1700000000</v>
      </c>
      <c r="N5574" s="61" t="s">
        <v>63</v>
      </c>
      <c r="O5574" s="61" t="s">
        <v>26</v>
      </c>
      <c r="P5574" s="75" t="str">
        <f>IF(AND('331-CT'!$E$7=TH!H5637,OR(N5574="331",O5574="331")),"x","")</f>
        <v/>
      </c>
      <c r="Q5574" s="75" t="str">
        <f>IF(AND(B5574='111'!$L$11,OR($N5574=$Q$7,$O5574=$Q$7)),"x","")</f>
        <v>x</v>
      </c>
      <c r="R5574" s="75" t="str">
        <f>IF(AND($N5574=$Q$7,$B5574&lt;'111'!$L$11),"x","")</f>
        <v/>
      </c>
      <c r="S5574" s="75" t="str">
        <f>IF(AND($O5574=$Q$7,$B5574&lt;'111'!$L$11),"x","")</f>
        <v/>
      </c>
      <c r="T5574" s="75" t="str">
        <f>IF(ISERROR(FIND('112'!$M$9,G5574,1)),"",IF((AND(FIND('112'!$M$9,G5574,1)&gt;=1,B5574='112'!$K$9,OR($N5574='112'!$I$6,$O5574='112'!$I$6))),"x",""))</f>
        <v/>
      </c>
      <c r="U5574" s="75" t="str">
        <f>IF(ISERROR(FIND('112'!$M$9,G5574,1)),"",IF((AND(LEFT(G5574,2)=LEFT('112'!$M$9,2),B5574&lt;'112'!$K$9,$N5574='112'!$I$6)),"x",""))</f>
        <v/>
      </c>
      <c r="V5574" s="75" t="str">
        <f>IF(ISERROR(FIND('112'!$M$9,G5574,1)),"",IF((AND(RIGHT(G5574,2)=RIGHT('112'!$M$9,2),B5574&lt;'112'!$K$9,$O5574='112'!$I$6)),"x",""))</f>
        <v/>
      </c>
      <c r="W5574" s="75" t="str">
        <f>IF(AND('341-CT'!$H$9=H5574,OR(LEFT(N5574,3)=$W$7,LEFT(O5574,3)=$W$7)),"x","")</f>
        <v/>
      </c>
      <c r="X5574" s="75" t="str">
        <f>IF(OR(TH!N5637=TH!$X$7,O5574=TH!$X$7),"x","")</f>
        <v/>
      </c>
      <c r="Y5574" s="75" t="str">
        <f>IF(AND(OR(N5574="131",O5574="131"),H5574='131-CT'!$H$9),"x","")</f>
        <v/>
      </c>
      <c r="Z5574" s="75"/>
      <c r="AA5574" s="75" t="str">
        <f>IF(AND(MONTH(E5574)='IN-NX'!$J$5,'IN-NX'!$D$7=D5574),"x","")</f>
        <v/>
      </c>
      <c r="AB5574" s="75" t="str">
        <f>IF(AND(OR(LEFT(TH!N5637,2)="15",LEFT(TH!O5637,2)="15"),LEFT(TH!O5637,3)&lt;&gt;"111",'152-CT'!$J$8=TH!F5637),"x","")</f>
        <v/>
      </c>
      <c r="AC5574" s="75" t="str">
        <f>IF(AND(OR(LEFT(TH!N5637,2)="15",LEFT(TH!O5637,2)="15"),TK!$E$7=TH!F5637),"x","")</f>
        <v/>
      </c>
      <c r="AD5574" s="75" t="str">
        <f>IF(AND(N5574="1521",MONTH(C5574)='BK-NL'!$M$11),"x","")</f>
        <v/>
      </c>
    </row>
    <row r="5575" spans="1:33" ht="16.5" customHeight="1">
      <c r="A5575" s="309" t="str">
        <f>IF(B5575&lt;&gt;"",IF(AND(B5575='IN-TC'!$S$4,OR(TH!N5558="1111",TH!O5558="1111")),TH!D5558,""),"")</f>
        <v/>
      </c>
      <c r="B5575" s="1159">
        <f t="shared" si="1358"/>
        <v>12</v>
      </c>
      <c r="C5575" s="292">
        <f t="shared" si="1359"/>
        <v>43082</v>
      </c>
      <c r="D5575" s="59" t="s">
        <v>903</v>
      </c>
      <c r="E5575" s="59">
        <v>43082</v>
      </c>
      <c r="F5575" s="62" t="s">
        <v>2745</v>
      </c>
      <c r="G5575" s="293" t="s">
        <v>747</v>
      </c>
      <c r="H5575" s="67" t="s">
        <v>2747</v>
      </c>
      <c r="I5575" s="373"/>
      <c r="J5575" s="382"/>
      <c r="K5575" s="373">
        <v>40100</v>
      </c>
      <c r="L5575" s="379">
        <v>22705</v>
      </c>
      <c r="M5575" s="60">
        <f>ROUND(K5575*L5575,0)</f>
        <v>910470500</v>
      </c>
      <c r="N5575" s="61" t="s">
        <v>26</v>
      </c>
      <c r="O5575" s="61" t="s">
        <v>250</v>
      </c>
      <c r="P5575" s="75" t="str">
        <f>IF(AND('331-CT'!$E$7=TH!H5638,OR(N5575="331",O5575="331")),"x","")</f>
        <v/>
      </c>
      <c r="Q5575" s="75" t="str">
        <f>IF(AND(B5575='111'!$L$11,OR($N5575=$Q$7,$O5575=$Q$7)),"x","")</f>
        <v/>
      </c>
      <c r="R5575" s="75" t="str">
        <f>IF(AND($N5575=$Q$7,$B5575&lt;'111'!$L$11),"x","")</f>
        <v/>
      </c>
      <c r="S5575" s="75" t="str">
        <f>IF(AND($O5575=$Q$7,$B5575&lt;'111'!$L$11),"x","")</f>
        <v/>
      </c>
      <c r="T5575" s="75" t="str">
        <f>IF(ISERROR(FIND('112'!$M$9,G5575,1)),"",IF((AND(FIND('112'!$M$9,G5575,1)&gt;=1,B5575='112'!$K$9,OR($N5575='112'!$I$6,$O5575='112'!$I$6))),"x",""))</f>
        <v/>
      </c>
      <c r="U5575" s="75" t="str">
        <f>IF(ISERROR(FIND('112'!$M$9,G5575,1)),"",IF((AND(LEFT(G5575,2)=LEFT('112'!$M$9,2),B5575&lt;'112'!$K$9,$N5575='112'!$I$6)),"x",""))</f>
        <v/>
      </c>
      <c r="V5575" s="75" t="str">
        <f>IF(ISERROR(FIND('112'!$M$9,G5575,1)),"",IF((AND(RIGHT(G5575,2)=RIGHT('112'!$M$9,2),B5575&lt;'112'!$K$9,$O5575='112'!$I$6)),"x",""))</f>
        <v/>
      </c>
      <c r="W5575" s="75" t="str">
        <f>IF(AND('341-CT'!$H$9=H5575,OR(LEFT(N5575,3)=$W$7,LEFT(O5575,3)=$W$7)),"x","")</f>
        <v/>
      </c>
      <c r="X5575" s="75" t="str">
        <f>IF(OR(TH!N5638=TH!$X$7,O5575=TH!$X$7),"x","")</f>
        <v/>
      </c>
      <c r="Y5575" s="75" t="str">
        <f>IF(AND(OR(N5575="131",O5575="131"),H5575='131-CT'!$H$9),"x","")</f>
        <v/>
      </c>
      <c r="Z5575" s="75"/>
      <c r="AA5575" s="75" t="str">
        <f>IF(AND(MONTH(E5575)='IN-NX'!$J$5,'IN-NX'!$D$7=D5575),"x","")</f>
        <v/>
      </c>
      <c r="AB5575" s="75" t="str">
        <f>IF(AND(OR(LEFT(TH!N5638,2)="15",LEFT(TH!O5638,2)="15"),LEFT(TH!O5638,3)&lt;&gt;"111",'152-CT'!$J$8=TH!F5638),"x","")</f>
        <v/>
      </c>
      <c r="AC5575" s="75" t="str">
        <f>IF(AND(OR(LEFT(TH!N5638,2)="15",LEFT(TH!O5638,2)="15"),TK!$E$7=TH!F5638),"x","")</f>
        <v/>
      </c>
      <c r="AD5575" s="75" t="str">
        <f>IF(AND(N5575="1521",MONTH(C5575)='BK-NL'!$M$11),"x","")</f>
        <v/>
      </c>
    </row>
    <row r="5576" spans="1:33" ht="16.5" customHeight="1">
      <c r="A5576" s="309" t="str">
        <f>IF(B5576&lt;&gt;"",IF(AND(B5576='IN-TC'!$S$4,OR(TH!N5559="1111",TH!O5559="1111")),TH!D5559,""),"")</f>
        <v/>
      </c>
      <c r="B5576" s="1159">
        <f t="shared" si="1358"/>
        <v>12</v>
      </c>
      <c r="C5576" s="292">
        <f t="shared" si="1359"/>
        <v>43082</v>
      </c>
      <c r="D5576" s="59" t="s">
        <v>903</v>
      </c>
      <c r="E5576" s="59">
        <v>43082</v>
      </c>
      <c r="F5576" s="62" t="s">
        <v>252</v>
      </c>
      <c r="G5576" s="293" t="s">
        <v>747</v>
      </c>
      <c r="H5576" s="67" t="s">
        <v>2746</v>
      </c>
      <c r="I5576" s="373"/>
      <c r="J5576" s="382"/>
      <c r="K5576" s="373">
        <v>84000</v>
      </c>
      <c r="L5576" s="379">
        <v>22705</v>
      </c>
      <c r="M5576" s="60">
        <f>ROUND(K5576*L5576,0)</f>
        <v>1907220000</v>
      </c>
      <c r="N5576" s="61" t="s">
        <v>26</v>
      </c>
      <c r="O5576" s="61" t="s">
        <v>250</v>
      </c>
      <c r="P5576" s="75" t="str">
        <f>IF(AND('331-CT'!$E$7=TH!H5639,OR(N5576="331",O5576="331")),"x","")</f>
        <v/>
      </c>
      <c r="Q5576" s="75" t="str">
        <f>IF(AND(B5576='111'!$L$11,OR($N5576=$Q$7,$O5576=$Q$7)),"x","")</f>
        <v/>
      </c>
      <c r="R5576" s="75" t="str">
        <f>IF(AND($N5576=$Q$7,$B5576&lt;'111'!$L$11),"x","")</f>
        <v/>
      </c>
      <c r="S5576" s="75" t="str">
        <f>IF(AND($O5576=$Q$7,$B5576&lt;'111'!$L$11),"x","")</f>
        <v/>
      </c>
      <c r="T5576" s="75" t="str">
        <f>IF(ISERROR(FIND('112'!$M$9,G5576,1)),"",IF((AND(FIND('112'!$M$9,G5576,1)&gt;=1,B5576='112'!$K$9,OR($N5576='112'!$I$6,$O5576='112'!$I$6))),"x",""))</f>
        <v/>
      </c>
      <c r="U5576" s="75" t="str">
        <f>IF(ISERROR(FIND('112'!$M$9,G5576,1)),"",IF((AND(LEFT(G5576,2)=LEFT('112'!$M$9,2),B5576&lt;'112'!$K$9,$N5576='112'!$I$6)),"x",""))</f>
        <v/>
      </c>
      <c r="V5576" s="75" t="str">
        <f>IF(ISERROR(FIND('112'!$M$9,G5576,1)),"",IF((AND(RIGHT(G5576,2)=RIGHT('112'!$M$9,2),B5576&lt;'112'!$K$9,$O5576='112'!$I$6)),"x",""))</f>
        <v/>
      </c>
      <c r="W5576" s="75" t="str">
        <f>IF(AND('341-CT'!$H$9=H5576,OR(LEFT(N5576,3)=$W$7,LEFT(O5576,3)=$W$7)),"x","")</f>
        <v/>
      </c>
      <c r="X5576" s="75" t="str">
        <f>IF(OR(TH!N5639=TH!$X$7,O5576=TH!$X$7),"x","")</f>
        <v/>
      </c>
      <c r="Y5576" s="75" t="str">
        <f>IF(AND(OR(N5576="131",O5576="131"),H5576='131-CT'!$H$9),"x","")</f>
        <v/>
      </c>
      <c r="Z5576" s="75"/>
      <c r="AA5576" s="75" t="str">
        <f>IF(AND(MONTH(E5576)='IN-NX'!$J$5,'IN-NX'!$D$7=D5576),"x","")</f>
        <v/>
      </c>
      <c r="AB5576" s="75" t="str">
        <f>IF(AND(OR(LEFT(TH!N5639,2)="15",LEFT(TH!O5639,2)="15"),LEFT(TH!O5639,3)&lt;&gt;"111",'152-CT'!$J$8=TH!F5639),"x","")</f>
        <v/>
      </c>
      <c r="AC5576" s="75" t="str">
        <f>IF(AND(OR(LEFT(TH!N5639,2)="15",LEFT(TH!O5639,2)="15"),TK!$E$7=TH!F5639),"x","")</f>
        <v/>
      </c>
      <c r="AD5576" s="75" t="str">
        <f>IF(AND(N5576="1521",MONTH(C5576)='BK-NL'!$M$11),"x","")</f>
        <v/>
      </c>
    </row>
    <row r="5577" spans="1:33" ht="16.5" customHeight="1">
      <c r="A5577" s="309" t="str">
        <f>IF(B5577&lt;&gt;"",IF(AND(B5577='IN-TC'!$S$4,OR(TH!N5560="1111",TH!O5560="1111")),TH!D5560,""),"")</f>
        <v/>
      </c>
      <c r="B5577" s="1159">
        <f t="shared" si="1358"/>
        <v>12</v>
      </c>
      <c r="C5577" s="292">
        <f t="shared" si="1359"/>
        <v>43082</v>
      </c>
      <c r="D5577" s="59" t="s">
        <v>902</v>
      </c>
      <c r="E5577" s="59">
        <v>43082</v>
      </c>
      <c r="F5577" s="62" t="s">
        <v>834</v>
      </c>
      <c r="G5577" s="293" t="s">
        <v>747</v>
      </c>
      <c r="H5577" s="67" t="s">
        <v>1023</v>
      </c>
      <c r="I5577" s="373"/>
      <c r="J5577" s="382"/>
      <c r="K5577" s="373"/>
      <c r="L5577" s="379"/>
      <c r="M5577" s="60">
        <v>2800000000</v>
      </c>
      <c r="N5577" s="61" t="s">
        <v>63</v>
      </c>
      <c r="O5577" s="61" t="s">
        <v>26</v>
      </c>
      <c r="P5577" s="75" t="str">
        <f>IF(AND('331-CT'!$E$7=TH!H5640,OR(N5577="331",O5577="331")),"x","")</f>
        <v/>
      </c>
      <c r="Q5577" s="75" t="str">
        <f>IF(AND(B5577='111'!$L$11,OR($N5577=$Q$7,$O5577=$Q$7)),"x","")</f>
        <v>x</v>
      </c>
      <c r="R5577" s="75" t="str">
        <f>IF(AND($N5577=$Q$7,$B5577&lt;'111'!$L$11),"x","")</f>
        <v/>
      </c>
      <c r="S5577" s="75" t="str">
        <f>IF(AND($O5577=$Q$7,$B5577&lt;'111'!$L$11),"x","")</f>
        <v/>
      </c>
      <c r="T5577" s="75" t="str">
        <f>IF(ISERROR(FIND('112'!$M$9,G5577,1)),"",IF((AND(FIND('112'!$M$9,G5577,1)&gt;=1,B5577='112'!$K$9,OR($N5577='112'!$I$6,$O5577='112'!$I$6))),"x",""))</f>
        <v/>
      </c>
      <c r="U5577" s="75" t="str">
        <f>IF(ISERROR(FIND('112'!$M$9,G5577,1)),"",IF((AND(LEFT(G5577,2)=LEFT('112'!$M$9,2),B5577&lt;'112'!$K$9,$N5577='112'!$I$6)),"x",""))</f>
        <v/>
      </c>
      <c r="V5577" s="75" t="str">
        <f>IF(ISERROR(FIND('112'!$M$9,G5577,1)),"",IF((AND(RIGHT(G5577,2)=RIGHT('112'!$M$9,2),B5577&lt;'112'!$K$9,$O5577='112'!$I$6)),"x",""))</f>
        <v/>
      </c>
      <c r="W5577" s="75" t="str">
        <f>IF(AND('341-CT'!$H$9=H5577,OR(LEFT(N5577,3)=$W$7,LEFT(O5577,3)=$W$7)),"x","")</f>
        <v/>
      </c>
      <c r="X5577" s="75" t="str">
        <f>IF(OR(TH!N5640=TH!$X$7,O5577=TH!$X$7),"x","")</f>
        <v/>
      </c>
      <c r="Y5577" s="75" t="str">
        <f>IF(AND(OR(N5577="131",O5577="131"),H5577='131-CT'!$H$9),"x","")</f>
        <v/>
      </c>
      <c r="Z5577" s="75"/>
      <c r="AA5577" s="75" t="str">
        <f>IF(AND(MONTH(E5577)='IN-NX'!$J$5,'IN-NX'!$D$7=D5577),"x","")</f>
        <v/>
      </c>
      <c r="AB5577" s="75" t="str">
        <f>IF(AND(OR(LEFT(TH!N5640,2)="15",LEFT(TH!O5640,2)="15"),LEFT(TH!O5640,3)&lt;&gt;"111",'152-CT'!$J$8=TH!F5640),"x","")</f>
        <v/>
      </c>
      <c r="AC5577" s="75" t="str">
        <f>IF(AND(OR(LEFT(TH!N5640,2)="15",LEFT(TH!O5640,2)="15"),TK!$E$7=TH!F5640),"x","")</f>
        <v/>
      </c>
      <c r="AD5577" s="75" t="str">
        <f>IF(AND(N5577="1521",MONTH(C5577)='BK-NL'!$M$11),"x","")</f>
        <v/>
      </c>
    </row>
    <row r="5578" spans="1:33" ht="16.5" customHeight="1">
      <c r="A5578" s="309" t="str">
        <f>IF(B5578&lt;&gt;"",IF(AND(B5578='IN-TC'!$S$4,OR(TH!N5561="1111",TH!O5561="1111")),TH!D5561,""),"")</f>
        <v/>
      </c>
      <c r="B5578" s="1159">
        <f t="shared" si="1358"/>
        <v>12</v>
      </c>
      <c r="C5578" s="292">
        <f t="shared" si="1359"/>
        <v>43083</v>
      </c>
      <c r="D5578" s="59"/>
      <c r="E5578" s="59">
        <v>43083</v>
      </c>
      <c r="F5578" s="62" t="s">
        <v>1826</v>
      </c>
      <c r="G5578" s="742" t="s">
        <v>2817</v>
      </c>
      <c r="H5578" s="67" t="s">
        <v>1829</v>
      </c>
      <c r="I5578" s="375"/>
      <c r="J5578" s="382"/>
      <c r="K5578" s="375"/>
      <c r="L5578" s="381"/>
      <c r="M5578" s="60">
        <v>1800000</v>
      </c>
      <c r="N5578" s="61" t="s">
        <v>101</v>
      </c>
      <c r="O5578" s="61" t="s">
        <v>63</v>
      </c>
      <c r="P5578" s="75" t="str">
        <f>IF(AND('331-CT'!$E$7=TH!H4157,OR(N5578="331",O5578="331")),"x","")</f>
        <v/>
      </c>
      <c r="Q5578" s="75" t="str">
        <f>IF(AND(B5578='111'!$L$11,OR($N5578=$Q$7,$O5578=$Q$7)),"x","")</f>
        <v>x</v>
      </c>
      <c r="R5578" s="75" t="str">
        <f>IF(AND($N5578=$Q$7,$B5578&lt;'111'!$L$11),"x","")</f>
        <v/>
      </c>
      <c r="S5578" s="75" t="str">
        <f>IF(AND($O5578=$Q$7,$B5578&lt;'111'!$L$11),"x","")</f>
        <v/>
      </c>
      <c r="T5578" s="75" t="str">
        <f>IF(ISERROR(FIND('112'!$M$9,G5578,1)),"",IF((AND(FIND('112'!$M$9,G5578,1)&gt;=1,B5578='112'!$K$9,OR($N5578='112'!$I$6,$O5578='112'!$I$6))),"x",""))</f>
        <v/>
      </c>
      <c r="U5578" s="75" t="str">
        <f>IF(ISERROR(FIND('112'!$M$9,G5578,1)),"",IF((AND(LEFT(G5578,2)=LEFT('112'!$M$9,2),B5578&lt;'112'!$K$9,$N5578='112'!$I$6)),"x",""))</f>
        <v/>
      </c>
      <c r="V5578" s="75" t="str">
        <f>IF(ISERROR(FIND('112'!$M$9,G5578,1)),"",IF((AND(RIGHT(G5578,2)=RIGHT('112'!$M$9,2),B5578&lt;'112'!$K$9,$O5578='112'!$I$6)),"x",""))</f>
        <v/>
      </c>
      <c r="W5578" s="75" t="str">
        <f>IF(AND('341-CT'!$H$9=H5578,OR(LEFT(N5578,3)=$W$7,LEFT(O5578,3)=$W$7)),"x","")</f>
        <v/>
      </c>
      <c r="X5578" s="75" t="str">
        <f>IF(OR(TH!N4157=TH!$X$7,O5578=TH!$X$7),"x","")</f>
        <v/>
      </c>
      <c r="Y5578" s="75" t="str">
        <f>IF(AND(OR(N5578="131",O5578="131"),H5578='131-CT'!$H$9),"x","")</f>
        <v/>
      </c>
      <c r="Z5578" s="75"/>
      <c r="AA5578" s="75" t="str">
        <f>IF(AND(MONTH(E5578)='IN-NX'!$J$5,'IN-NX'!$D$7=D5578),"x","")</f>
        <v/>
      </c>
      <c r="AB5578" s="75" t="str">
        <f>IF(AND(OR(LEFT(TH!N4157,2)="15",LEFT(TH!O4157,2)="15"),LEFT(TH!O4157,3)&lt;&gt;"111",'152-CT'!$J$8=TH!F4157),"x","")</f>
        <v/>
      </c>
      <c r="AC5578" s="75" t="str">
        <f>IF(AND(OR(LEFT(TH!N4157,2)="15",LEFT(TH!O4157,2)="15"),TK!$E$7=TH!F4157),"x","")</f>
        <v/>
      </c>
      <c r="AD5578" s="75" t="str">
        <f>IF(AND(N5578="1521",MONTH(C5578)='BK-NL'!$M$11),"x","")</f>
        <v/>
      </c>
      <c r="AE5578">
        <v>12</v>
      </c>
    </row>
    <row r="5579" spans="1:33" ht="16.5" customHeight="1">
      <c r="A5579" s="309" t="str">
        <f>IF(B5579&lt;&gt;"",IF(AND(B5579='IN-TC'!$S$4,OR(TH!N5562="1111",TH!O5562="1111")),TH!D5562,""),"")</f>
        <v/>
      </c>
      <c r="B5579" s="1159">
        <f t="shared" si="1358"/>
        <v>12</v>
      </c>
      <c r="C5579" s="292">
        <f t="shared" si="1359"/>
        <v>43083</v>
      </c>
      <c r="D5579" s="59"/>
      <c r="E5579" s="59">
        <v>43083</v>
      </c>
      <c r="F5579" s="62" t="s">
        <v>1827</v>
      </c>
      <c r="G5579" s="742" t="s">
        <v>2817</v>
      </c>
      <c r="H5579" s="67" t="s">
        <v>1829</v>
      </c>
      <c r="I5579" s="375"/>
      <c r="J5579" s="382"/>
      <c r="K5579" s="375"/>
      <c r="L5579" s="381"/>
      <c r="M5579" s="60">
        <v>180000</v>
      </c>
      <c r="N5579" s="61" t="s">
        <v>9</v>
      </c>
      <c r="O5579" s="61" t="s">
        <v>63</v>
      </c>
      <c r="P5579" s="75" t="str">
        <f>IF(AND('331-CT'!$E$7=TH!H4158,OR(N5579="331",O5579="331")),"x","")</f>
        <v/>
      </c>
      <c r="Q5579" s="75" t="str">
        <f>IF(AND(B5579='111'!$L$11,OR($N5579=$Q$7,$O5579=$Q$7)),"x","")</f>
        <v>x</v>
      </c>
      <c r="R5579" s="75" t="str">
        <f>IF(AND($N5579=$Q$7,$B5579&lt;'111'!$L$11),"x","")</f>
        <v/>
      </c>
      <c r="S5579" s="75" t="str">
        <f>IF(AND($O5579=$Q$7,$B5579&lt;'111'!$L$11),"x","")</f>
        <v/>
      </c>
      <c r="T5579" s="75" t="str">
        <f>IF(ISERROR(FIND('112'!$M$9,G5579,1)),"",IF((AND(FIND('112'!$M$9,G5579,1)&gt;=1,B5579='112'!$K$9,OR($N5579='112'!$I$6,$O5579='112'!$I$6))),"x",""))</f>
        <v/>
      </c>
      <c r="U5579" s="75" t="str">
        <f>IF(ISERROR(FIND('112'!$M$9,G5579,1)),"",IF((AND(LEFT(G5579,2)=LEFT('112'!$M$9,2),B5579&lt;'112'!$K$9,$N5579='112'!$I$6)),"x",""))</f>
        <v/>
      </c>
      <c r="V5579" s="75" t="str">
        <f>IF(ISERROR(FIND('112'!$M$9,G5579,1)),"",IF((AND(RIGHT(G5579,2)=RIGHT('112'!$M$9,2),B5579&lt;'112'!$K$9,$O5579='112'!$I$6)),"x",""))</f>
        <v/>
      </c>
      <c r="W5579" s="75" t="str">
        <f>IF(AND('341-CT'!$H$9=H5579,OR(LEFT(N5579,3)=$W$7,LEFT(O5579,3)=$W$7)),"x","")</f>
        <v/>
      </c>
      <c r="X5579" s="75" t="str">
        <f>IF(OR(TH!N4158=TH!$X$7,O5579=TH!$X$7),"x","")</f>
        <v/>
      </c>
      <c r="Y5579" s="75" t="str">
        <f>IF(AND(OR(N5579="131",O5579="131"),H5579='131-CT'!$H$9),"x","")</f>
        <v/>
      </c>
      <c r="Z5579" s="75"/>
      <c r="AA5579" s="75" t="str">
        <f>IF(AND(MONTH(E5579)='IN-NX'!$J$5,'IN-NX'!$D$7=D5579),"x","")</f>
        <v/>
      </c>
      <c r="AB5579" s="75" t="str">
        <f>IF(AND(OR(LEFT(TH!N4158,2)="15",LEFT(TH!O4158,2)="15"),LEFT(TH!O4158,3)&lt;&gt;"111",'152-CT'!$J$8=TH!F4158),"x","")</f>
        <v/>
      </c>
      <c r="AC5579" s="75" t="str">
        <f>IF(AND(OR(LEFT(TH!N4158,2)="15",LEFT(TH!O4158,2)="15"),TK!$E$7=TH!F4158),"x","")</f>
        <v/>
      </c>
      <c r="AD5579" s="75" t="str">
        <f>IF(AND(N5579="1521",MONTH(C5579)='BK-NL'!$M$11),"x","")</f>
        <v/>
      </c>
      <c r="AE5579">
        <v>12</v>
      </c>
    </row>
    <row r="5580" spans="1:33" ht="16.5" customHeight="1">
      <c r="A5580" s="309" t="str">
        <f>IF(B5580&lt;&gt;"",IF(AND(B5580='IN-TC'!$S$4,OR(TH!N5563="1111",TH!O5563="1111")),TH!D5563,""),"")</f>
        <v/>
      </c>
      <c r="B5580" s="1159">
        <f t="shared" si="1358"/>
        <v>12</v>
      </c>
      <c r="C5580" s="292">
        <f t="shared" si="1359"/>
        <v>43083</v>
      </c>
      <c r="D5580" s="59" t="s">
        <v>903</v>
      </c>
      <c r="E5580" s="59">
        <v>43083</v>
      </c>
      <c r="F5580" s="62" t="s">
        <v>1086</v>
      </c>
      <c r="G5580" s="62" t="s">
        <v>585</v>
      </c>
      <c r="H5580" s="67" t="s">
        <v>802</v>
      </c>
      <c r="I5580" s="373"/>
      <c r="J5580" s="382"/>
      <c r="K5580" s="373"/>
      <c r="L5580" s="379"/>
      <c r="M5580" s="60">
        <v>66330000</v>
      </c>
      <c r="N5580" s="61" t="s">
        <v>26</v>
      </c>
      <c r="O5580" s="61" t="s">
        <v>536</v>
      </c>
      <c r="P5580" s="75" t="str">
        <f>IF(AND('331-CT'!$E$7=TH!H4919,OR(N5580="331",O5580="331")),"x","")</f>
        <v/>
      </c>
      <c r="Q5580" s="75" t="str">
        <f>IF(AND(B5580='111'!$L$11,OR($N5580=$Q$7,$O5580=$Q$7)),"x","")</f>
        <v/>
      </c>
      <c r="R5580" s="75" t="str">
        <f>IF(AND($N5580=$Q$7,$B5580&lt;'111'!$L$11),"x","")</f>
        <v/>
      </c>
      <c r="S5580" s="75" t="str">
        <f>IF(AND($O5580=$Q$7,$B5580&lt;'111'!$L$11),"x","")</f>
        <v/>
      </c>
      <c r="T5580" s="75" t="str">
        <f>IF(ISERROR(FIND('112'!$M$9,G5580,1)),"",IF((AND(FIND('112'!$M$9,G5580,1)&gt;=1,B5580='112'!$K$9,OR($N5580='112'!$I$6,$O5580='112'!$I$6))),"x",""))</f>
        <v/>
      </c>
      <c r="U5580" s="75" t="str">
        <f>IF(ISERROR(FIND('112'!$M$9,G5580,1)),"",IF((AND(LEFT(G5580,2)=LEFT('112'!$M$9,2),B5580&lt;'112'!$K$9,$N5580='112'!$I$6)),"x",""))</f>
        <v/>
      </c>
      <c r="V5580" s="75" t="str">
        <f>IF(ISERROR(FIND('112'!$M$9,G5580,1)),"",IF((AND(RIGHT(G5580,2)=RIGHT('112'!$M$9,2),B5580&lt;'112'!$K$9,$O5580='112'!$I$6)),"x",""))</f>
        <v/>
      </c>
      <c r="W5580" s="75" t="str">
        <f>IF(AND('341-CT'!$H$9=H5580,OR(LEFT(N5580,3)=$W$7,LEFT(O5580,3)=$W$7)),"x","")</f>
        <v/>
      </c>
      <c r="X5580" s="75" t="str">
        <f>IF(OR(TH!N4919=TH!$X$7,O5580=TH!$X$7),"x","")</f>
        <v/>
      </c>
      <c r="Y5580" s="75" t="str">
        <f>IF(AND(OR(N5580="131",O5580="131"),H5580='131-CT'!$H$9),"x","")</f>
        <v/>
      </c>
      <c r="Z5580" s="75"/>
      <c r="AA5580" s="75" t="str">
        <f>IF(AND(MONTH(E5580)='IN-NX'!$J$5,'IN-NX'!$D$7=D5580),"x","")</f>
        <v/>
      </c>
      <c r="AB5580" s="75" t="str">
        <f>IF(AND(OR(LEFT(TH!N4919,2)="15",LEFT(TH!O4919,2)="15"),LEFT(TH!O4919,3)&lt;&gt;"111",'152-CT'!$J$8=TH!F4919),"x","")</f>
        <v/>
      </c>
      <c r="AC5580" s="75" t="str">
        <f>IF(AND(OR(LEFT(TH!N4919,2)="15",LEFT(TH!O4919,2)="15"),TK!$E$7=TH!F4919),"x","")</f>
        <v/>
      </c>
      <c r="AD5580" s="75" t="str">
        <f>IF(AND(N5580="1521",MONTH(C5580)='BK-NL'!$M$11),"x","")</f>
        <v/>
      </c>
      <c r="AE5580" s="304"/>
      <c r="AF5580" s="304"/>
      <c r="AG5580" s="304"/>
    </row>
    <row r="5581" spans="1:33" ht="16.5" customHeight="1">
      <c r="A5581" s="309" t="str">
        <f>IF(B5581&lt;&gt;"",IF(AND(B5581='IN-TC'!$S$4,OR(TH!N5564="1111",TH!O5564="1111")),TH!D5564,""),"")</f>
        <v/>
      </c>
      <c r="B5581" s="1159">
        <f t="shared" si="1358"/>
        <v>12</v>
      </c>
      <c r="C5581" s="292">
        <f t="shared" si="1359"/>
        <v>43083</v>
      </c>
      <c r="D5581" s="59" t="s">
        <v>903</v>
      </c>
      <c r="E5581" s="59">
        <v>43083</v>
      </c>
      <c r="F5581" s="62" t="s">
        <v>1086</v>
      </c>
      <c r="G5581" s="62" t="s">
        <v>585</v>
      </c>
      <c r="H5581" s="67" t="s">
        <v>802</v>
      </c>
      <c r="I5581" s="373"/>
      <c r="J5581" s="382"/>
      <c r="K5581" s="373"/>
      <c r="L5581" s="379"/>
      <c r="M5581" s="60">
        <v>54780000</v>
      </c>
      <c r="N5581" s="61" t="s">
        <v>26</v>
      </c>
      <c r="O5581" s="61" t="s">
        <v>536</v>
      </c>
      <c r="P5581" s="75" t="str">
        <f>IF(AND('331-CT'!$E$7=TH!H4920,OR(N5581="331",O5581="331")),"x","")</f>
        <v/>
      </c>
      <c r="Q5581" s="75" t="str">
        <f>IF(AND(B5581='111'!$L$11,OR($N5581=$Q$7,$O5581=$Q$7)),"x","")</f>
        <v/>
      </c>
      <c r="R5581" s="75" t="str">
        <f>IF(AND($N5581=$Q$7,$B5581&lt;'111'!$L$11),"x","")</f>
        <v/>
      </c>
      <c r="S5581" s="75" t="str">
        <f>IF(AND($O5581=$Q$7,$B5581&lt;'111'!$L$11),"x","")</f>
        <v/>
      </c>
      <c r="T5581" s="75" t="str">
        <f>IF(ISERROR(FIND('112'!$M$9,G5581,1)),"",IF((AND(FIND('112'!$M$9,G5581,1)&gt;=1,B5581='112'!$K$9,OR($N5581='112'!$I$6,$O5581='112'!$I$6))),"x",""))</f>
        <v/>
      </c>
      <c r="U5581" s="75" t="str">
        <f>IF(ISERROR(FIND('112'!$M$9,G5581,1)),"",IF((AND(LEFT(G5581,2)=LEFT('112'!$M$9,2),B5581&lt;'112'!$K$9,$N5581='112'!$I$6)),"x",""))</f>
        <v/>
      </c>
      <c r="V5581" s="75" t="str">
        <f>IF(ISERROR(FIND('112'!$M$9,G5581,1)),"",IF((AND(RIGHT(G5581,2)=RIGHT('112'!$M$9,2),B5581&lt;'112'!$K$9,$O5581='112'!$I$6)),"x",""))</f>
        <v/>
      </c>
      <c r="W5581" s="75" t="str">
        <f>IF(AND('341-CT'!$H$9=H5581,OR(LEFT(N5581,3)=$W$7,LEFT(O5581,3)=$W$7)),"x","")</f>
        <v/>
      </c>
      <c r="X5581" s="75" t="str">
        <f>IF(OR(TH!N4920=TH!$X$7,O5581=TH!$X$7),"x","")</f>
        <v/>
      </c>
      <c r="Y5581" s="75" t="str">
        <f>IF(AND(OR(N5581="131",O5581="131"),H5581='131-CT'!$H$9),"x","")</f>
        <v/>
      </c>
      <c r="Z5581" s="75"/>
      <c r="AA5581" s="75" t="str">
        <f>IF(AND(MONTH(E5581)='IN-NX'!$J$5,'IN-NX'!$D$7=D5581),"x","")</f>
        <v/>
      </c>
      <c r="AB5581" s="75" t="str">
        <f>IF(AND(OR(LEFT(TH!N4920,2)="15",LEFT(TH!O4920,2)="15"),LEFT(TH!O4920,3)&lt;&gt;"111",'152-CT'!$J$8=TH!F4920),"x","")</f>
        <v/>
      </c>
      <c r="AC5581" s="75" t="str">
        <f>IF(AND(OR(LEFT(TH!N4920,2)="15",LEFT(TH!O4920,2)="15"),TK!$E$7=TH!F4920),"x","")</f>
        <v/>
      </c>
      <c r="AD5581" s="75" t="str">
        <f>IF(AND(N5581="1521",MONTH(C5581)='BK-NL'!$M$11),"x","")</f>
        <v/>
      </c>
      <c r="AE5581" s="304"/>
      <c r="AF5581" s="304"/>
      <c r="AG5581" s="304"/>
    </row>
    <row r="5582" spans="1:33" ht="16.5" customHeight="1">
      <c r="A5582" s="309" t="str">
        <f>IF(B5582&lt;&gt;"",IF(AND(B5582='IN-TC'!$S$4,OR(TH!N5565="1111",TH!O5565="1111")),TH!D5565,""),"")</f>
        <v/>
      </c>
      <c r="B5582" s="1159">
        <f t="shared" si="1358"/>
        <v>12</v>
      </c>
      <c r="C5582" s="292">
        <f t="shared" si="1359"/>
        <v>43083</v>
      </c>
      <c r="D5582" s="59" t="s">
        <v>902</v>
      </c>
      <c r="E5582" s="59">
        <v>43083</v>
      </c>
      <c r="F5582" s="62" t="s">
        <v>1549</v>
      </c>
      <c r="G5582" s="293" t="s">
        <v>747</v>
      </c>
      <c r="H5582" s="67" t="s">
        <v>1023</v>
      </c>
      <c r="I5582" s="373"/>
      <c r="J5582" s="382"/>
      <c r="K5582" s="373"/>
      <c r="L5582" s="379"/>
      <c r="M5582" s="60">
        <v>227500</v>
      </c>
      <c r="N5582" s="61" t="s">
        <v>101</v>
      </c>
      <c r="O5582" s="61" t="s">
        <v>26</v>
      </c>
      <c r="P5582" s="75" t="str">
        <f>IF(AND('331-CT'!$E$7=TH!H5641,OR(N5582="331",O5582="331")),"x","")</f>
        <v/>
      </c>
      <c r="Q5582" s="75" t="str">
        <f>IF(AND(B5582='111'!$L$11,OR($N5582=$Q$7,$O5582=$Q$7)),"x","")</f>
        <v/>
      </c>
      <c r="R5582" s="75" t="str">
        <f>IF(AND($N5582=$Q$7,$B5582&lt;'111'!$L$11),"x","")</f>
        <v/>
      </c>
      <c r="S5582" s="75" t="str">
        <f>IF(AND($O5582=$Q$7,$B5582&lt;'111'!$L$11),"x","")</f>
        <v/>
      </c>
      <c r="T5582" s="75" t="str">
        <f>IF(ISERROR(FIND('112'!$M$9,G5582,1)),"",IF((AND(FIND('112'!$M$9,G5582,1)&gt;=1,B5582='112'!$K$9,OR($N5582='112'!$I$6,$O5582='112'!$I$6))),"x",""))</f>
        <v/>
      </c>
      <c r="U5582" s="75" t="str">
        <f>IF(ISERROR(FIND('112'!$M$9,G5582,1)),"",IF((AND(LEFT(G5582,2)=LEFT('112'!$M$9,2),B5582&lt;'112'!$K$9,$N5582='112'!$I$6)),"x",""))</f>
        <v/>
      </c>
      <c r="V5582" s="75" t="str">
        <f>IF(ISERROR(FIND('112'!$M$9,G5582,1)),"",IF((AND(RIGHT(G5582,2)=RIGHT('112'!$M$9,2),B5582&lt;'112'!$K$9,$O5582='112'!$I$6)),"x",""))</f>
        <v/>
      </c>
      <c r="W5582" s="75" t="str">
        <f>IF(AND('341-CT'!$H$9=H5582,OR(LEFT(N5582,3)=$W$7,LEFT(O5582,3)=$W$7)),"x","")</f>
        <v/>
      </c>
      <c r="X5582" s="75" t="str">
        <f>IF(OR(TH!N5641=TH!$X$7,O5582=TH!$X$7),"x","")</f>
        <v/>
      </c>
      <c r="Y5582" s="75" t="str">
        <f>IF(AND(OR(N5582="131",O5582="131"),H5582='131-CT'!$H$9),"x","")</f>
        <v/>
      </c>
      <c r="Z5582" s="75"/>
      <c r="AA5582" s="75" t="str">
        <f>IF(AND(MONTH(E5582)='IN-NX'!$J$5,'IN-NX'!$D$7=D5582),"x","")</f>
        <v/>
      </c>
      <c r="AB5582" s="75" t="str">
        <f>IF(AND(OR(LEFT(TH!N5641,2)="15",LEFT(TH!O5641,2)="15"),LEFT(TH!O5641,3)&lt;&gt;"111",'152-CT'!$J$8=TH!F5641),"x","")</f>
        <v/>
      </c>
      <c r="AC5582" s="75" t="str">
        <f>IF(AND(OR(LEFT(TH!N5641,2)="15",LEFT(TH!O5641,2)="15"),TK!$E$7=TH!F5641),"x","")</f>
        <v/>
      </c>
      <c r="AD5582" s="75" t="str">
        <f>IF(AND(N5582="1521",MONTH(C5582)='BK-NL'!$M$11),"x","")</f>
        <v/>
      </c>
    </row>
    <row r="5583" spans="1:33" ht="16.5" customHeight="1">
      <c r="A5583" s="309" t="str">
        <f>IF(B5583&lt;&gt;"",IF(AND(B5583='IN-TC'!$S$4,OR(TH!N5566="1111",TH!O5566="1111")),TH!D5566,""),"")</f>
        <v/>
      </c>
      <c r="B5583" s="1159">
        <f t="shared" si="1358"/>
        <v>12</v>
      </c>
      <c r="C5583" s="292">
        <f t="shared" si="1359"/>
        <v>43084</v>
      </c>
      <c r="D5583" s="59"/>
      <c r="E5583" s="59">
        <v>43084</v>
      </c>
      <c r="F5583" s="62" t="s">
        <v>221</v>
      </c>
      <c r="G5583" s="742" t="s">
        <v>2818</v>
      </c>
      <c r="H5583" s="67" t="s">
        <v>556</v>
      </c>
      <c r="I5583" s="375"/>
      <c r="J5583" s="382"/>
      <c r="K5583" s="375"/>
      <c r="L5583" s="381"/>
      <c r="M5583" s="60">
        <v>11422727</v>
      </c>
      <c r="N5583" s="61" t="s">
        <v>272</v>
      </c>
      <c r="O5583" s="61" t="s">
        <v>63</v>
      </c>
      <c r="P5583" s="75" t="str">
        <f>IF(AND('331-CT'!$E$7=TH!H4159,OR(N5583="331",O5583="331")),"x","")</f>
        <v/>
      </c>
      <c r="Q5583" s="75" t="str">
        <f>IF(AND(B5583='111'!$L$11,OR($N5583=$Q$7,$O5583=$Q$7)),"x","")</f>
        <v>x</v>
      </c>
      <c r="R5583" s="75" t="str">
        <f>IF(AND($N5583=$Q$7,$B5583&lt;'111'!$L$11),"x","")</f>
        <v/>
      </c>
      <c r="S5583" s="75" t="str">
        <f>IF(AND($O5583=$Q$7,$B5583&lt;'111'!$L$11),"x","")</f>
        <v/>
      </c>
      <c r="T5583" s="75" t="str">
        <f>IF(ISERROR(FIND('112'!$M$9,G5583,1)),"",IF((AND(FIND('112'!$M$9,G5583,1)&gt;=1,B5583='112'!$K$9,OR($N5583='112'!$I$6,$O5583='112'!$I$6))),"x",""))</f>
        <v/>
      </c>
      <c r="U5583" s="75" t="str">
        <f>IF(ISERROR(FIND('112'!$M$9,G5583,1)),"",IF((AND(LEFT(G5583,2)=LEFT('112'!$M$9,2),B5583&lt;'112'!$K$9,$N5583='112'!$I$6)),"x",""))</f>
        <v/>
      </c>
      <c r="V5583" s="75" t="str">
        <f>IF(ISERROR(FIND('112'!$M$9,G5583,1)),"",IF((AND(RIGHT(G5583,2)=RIGHT('112'!$M$9,2),B5583&lt;'112'!$K$9,$O5583='112'!$I$6)),"x",""))</f>
        <v/>
      </c>
      <c r="W5583" s="75" t="str">
        <f>IF(AND('341-CT'!$H$9=H5583,OR(LEFT(N5583,3)=$W$7,LEFT(O5583,3)=$W$7)),"x","")</f>
        <v/>
      </c>
      <c r="X5583" s="75" t="str">
        <f>IF(OR(TH!N4159=TH!$X$7,O5583=TH!$X$7),"x","")</f>
        <v/>
      </c>
      <c r="Y5583" s="75" t="str">
        <f>IF(AND(OR(N5583="131",O5583="131"),H5583='131-CT'!$H$9),"x","")</f>
        <v/>
      </c>
      <c r="Z5583" s="75"/>
      <c r="AA5583" s="75" t="str">
        <f>IF(AND(MONTH(E5583)='IN-NX'!$J$5,'IN-NX'!$D$7=D5583),"x","")</f>
        <v/>
      </c>
      <c r="AB5583" s="75" t="str">
        <f>IF(AND(OR(LEFT(TH!N4159,2)="15",LEFT(TH!O4159,2)="15"),LEFT(TH!O4159,3)&lt;&gt;"111",'152-CT'!$J$8=TH!F4159),"x","")</f>
        <v/>
      </c>
      <c r="AC5583" s="75" t="str">
        <f>IF(AND(OR(LEFT(TH!N4159,2)="15",LEFT(TH!O4159,2)="15"),TK!$E$7=TH!F4159),"x","")</f>
        <v/>
      </c>
      <c r="AD5583" s="75" t="str">
        <f>IF(AND(N5583="1521",MONTH(C5583)='BK-NL'!$M$11),"x","")</f>
        <v/>
      </c>
      <c r="AE5583">
        <v>12</v>
      </c>
    </row>
    <row r="5584" spans="1:33" ht="16.5" customHeight="1">
      <c r="A5584" s="309" t="str">
        <f>IF(B5584&lt;&gt;"",IF(AND(B5584='IN-TC'!$S$4,OR(TH!N5567="1111",TH!O5567="1111")),TH!D5567,""),"")</f>
        <v/>
      </c>
      <c r="B5584" s="1159">
        <f t="shared" si="1358"/>
        <v>12</v>
      </c>
      <c r="C5584" s="292">
        <f t="shared" si="1359"/>
        <v>43084</v>
      </c>
      <c r="D5584" s="59"/>
      <c r="E5584" s="59">
        <v>43084</v>
      </c>
      <c r="F5584" s="62" t="s">
        <v>943</v>
      </c>
      <c r="G5584" s="742" t="s">
        <v>2818</v>
      </c>
      <c r="H5584" s="67" t="s">
        <v>556</v>
      </c>
      <c r="I5584" s="375"/>
      <c r="J5584" s="382"/>
      <c r="K5584" s="375"/>
      <c r="L5584" s="381"/>
      <c r="M5584" s="60">
        <v>1142273</v>
      </c>
      <c r="N5584" s="61" t="s">
        <v>9</v>
      </c>
      <c r="O5584" s="61" t="s">
        <v>63</v>
      </c>
      <c r="P5584" s="75" t="str">
        <f>IF(AND('331-CT'!$E$7=TH!H4160,OR(N5584="331",O5584="331")),"x","")</f>
        <v/>
      </c>
      <c r="Q5584" s="75" t="str">
        <f>IF(AND(B5584='111'!$L$11,OR($N5584=$Q$7,$O5584=$Q$7)),"x","")</f>
        <v>x</v>
      </c>
      <c r="R5584" s="75" t="str">
        <f>IF(AND($N5584=$Q$7,$B5584&lt;'111'!$L$11),"x","")</f>
        <v/>
      </c>
      <c r="S5584" s="75" t="str">
        <f>IF(AND($O5584=$Q$7,$B5584&lt;'111'!$L$11),"x","")</f>
        <v/>
      </c>
      <c r="T5584" s="75" t="str">
        <f>IF(ISERROR(FIND('112'!$M$9,G5584,1)),"",IF((AND(FIND('112'!$M$9,G5584,1)&gt;=1,B5584='112'!$K$9,OR($N5584='112'!$I$6,$O5584='112'!$I$6))),"x",""))</f>
        <v/>
      </c>
      <c r="U5584" s="75" t="str">
        <f>IF(ISERROR(FIND('112'!$M$9,G5584,1)),"",IF((AND(LEFT(G5584,2)=LEFT('112'!$M$9,2),B5584&lt;'112'!$K$9,$N5584='112'!$I$6)),"x",""))</f>
        <v/>
      </c>
      <c r="V5584" s="75" t="str">
        <f>IF(ISERROR(FIND('112'!$M$9,G5584,1)),"",IF((AND(RIGHT(G5584,2)=RIGHT('112'!$M$9,2),B5584&lt;'112'!$K$9,$O5584='112'!$I$6)),"x",""))</f>
        <v/>
      </c>
      <c r="W5584" s="75" t="str">
        <f>IF(AND('341-CT'!$H$9=H5584,OR(LEFT(N5584,3)=$W$7,LEFT(O5584,3)=$W$7)),"x","")</f>
        <v/>
      </c>
      <c r="X5584" s="75" t="str">
        <f>IF(OR(TH!N4160=TH!$X$7,O5584=TH!$X$7),"x","")</f>
        <v/>
      </c>
      <c r="Y5584" s="75" t="str">
        <f>IF(AND(OR(N5584="131",O5584="131"),H5584='131-CT'!$H$9),"x","")</f>
        <v/>
      </c>
      <c r="Z5584" s="75"/>
      <c r="AA5584" s="75" t="str">
        <f>IF(AND(MONTH(E5584)='IN-NX'!$J$5,'IN-NX'!$D$7=D5584),"x","")</f>
        <v/>
      </c>
      <c r="AB5584" s="75" t="str">
        <f>IF(AND(OR(LEFT(TH!N4160,2)="15",LEFT(TH!O4160,2)="15"),LEFT(TH!O4160,3)&lt;&gt;"111",'152-CT'!$J$8=TH!F4160),"x","")</f>
        <v/>
      </c>
      <c r="AC5584" s="75" t="str">
        <f>IF(AND(OR(LEFT(TH!N4160,2)="15",LEFT(TH!O4160,2)="15"),TK!$E$7=TH!F4160),"x","")</f>
        <v/>
      </c>
      <c r="AD5584" s="75" t="str">
        <f>IF(AND(N5584="1521",MONTH(C5584)='BK-NL'!$M$11),"x","")</f>
        <v/>
      </c>
      <c r="AE5584">
        <v>12</v>
      </c>
    </row>
    <row r="5585" spans="1:33" ht="16.5" customHeight="1">
      <c r="A5585" s="309" t="str">
        <f>IF(B5585&lt;&gt;"",IF(AND(B5585='IN-TC'!$S$4,OR(TH!N5568="1111",TH!O5568="1111")),TH!D5568,""),"")</f>
        <v/>
      </c>
      <c r="B5585" s="1159">
        <f t="shared" si="1358"/>
        <v>12</v>
      </c>
      <c r="C5585" s="292">
        <f t="shared" si="1359"/>
        <v>43084</v>
      </c>
      <c r="D5585" s="59"/>
      <c r="E5585" s="59">
        <v>43084</v>
      </c>
      <c r="F5585" s="62" t="s">
        <v>1499</v>
      </c>
      <c r="G5585" s="742" t="s">
        <v>2819</v>
      </c>
      <c r="H5585" s="67" t="s">
        <v>893</v>
      </c>
      <c r="I5585" s="375"/>
      <c r="J5585" s="382"/>
      <c r="K5585" s="375"/>
      <c r="L5585" s="381"/>
      <c r="M5585" s="60">
        <v>2500072</v>
      </c>
      <c r="N5585" s="61" t="s">
        <v>101</v>
      </c>
      <c r="O5585" s="61" t="s">
        <v>63</v>
      </c>
      <c r="P5585" s="75" t="str">
        <f>IF(AND('331-CT'!$E$7=TH!H4161,OR(N5585="331",O5585="331")),"x","")</f>
        <v/>
      </c>
      <c r="Q5585" s="75" t="str">
        <f>IF(AND(B5585='111'!$L$11,OR($N5585=$Q$7,$O5585=$Q$7)),"x","")</f>
        <v>x</v>
      </c>
      <c r="R5585" s="75" t="str">
        <f>IF(AND($N5585=$Q$7,$B5585&lt;'111'!$L$11),"x","")</f>
        <v/>
      </c>
      <c r="S5585" s="75" t="str">
        <f>IF(AND($O5585=$Q$7,$B5585&lt;'111'!$L$11),"x","")</f>
        <v/>
      </c>
      <c r="T5585" s="75" t="str">
        <f>IF(ISERROR(FIND('112'!$M$9,G5585,1)),"",IF((AND(FIND('112'!$M$9,G5585,1)&gt;=1,B5585='112'!$K$9,OR($N5585='112'!$I$6,$O5585='112'!$I$6))),"x",""))</f>
        <v/>
      </c>
      <c r="U5585" s="75" t="str">
        <f>IF(ISERROR(FIND('112'!$M$9,G5585,1)),"",IF((AND(LEFT(G5585,2)=LEFT('112'!$M$9,2),B5585&lt;'112'!$K$9,$N5585='112'!$I$6)),"x",""))</f>
        <v/>
      </c>
      <c r="V5585" s="75" t="str">
        <f>IF(ISERROR(FIND('112'!$M$9,G5585,1)),"",IF((AND(RIGHT(G5585,2)=RIGHT('112'!$M$9,2),B5585&lt;'112'!$K$9,$O5585='112'!$I$6)),"x",""))</f>
        <v/>
      </c>
      <c r="W5585" s="75" t="str">
        <f>IF(AND('341-CT'!$H$9=H5585,OR(LEFT(N5585,3)=$W$7,LEFT(O5585,3)=$W$7)),"x","")</f>
        <v/>
      </c>
      <c r="X5585" s="75" t="str">
        <f>IF(OR(TH!N4161=TH!$X$7,O5585=TH!$X$7),"x","")</f>
        <v/>
      </c>
      <c r="Y5585" s="75" t="str">
        <f>IF(AND(OR(N5585="131",O5585="131"),H5585='131-CT'!$H$9),"x","")</f>
        <v/>
      </c>
      <c r="Z5585" s="75"/>
      <c r="AA5585" s="75" t="str">
        <f>IF(AND(MONTH(E5585)='IN-NX'!$J$5,'IN-NX'!$D$7=D5585),"x","")</f>
        <v/>
      </c>
      <c r="AB5585" s="75" t="str">
        <f>IF(AND(OR(LEFT(TH!N4161,2)="15",LEFT(TH!O4161,2)="15"),LEFT(TH!O4161,3)&lt;&gt;"111",'152-CT'!$J$8=TH!F4161),"x","")</f>
        <v/>
      </c>
      <c r="AC5585" s="75" t="str">
        <f>IF(AND(OR(LEFT(TH!N4161,2)="15",LEFT(TH!O4161,2)="15"),TK!$E$7=TH!F4161),"x","")</f>
        <v/>
      </c>
      <c r="AD5585" s="75" t="str">
        <f>IF(AND(N5585="1521",MONTH(C5585)='BK-NL'!$M$11),"x","")</f>
        <v/>
      </c>
      <c r="AE5585">
        <v>12</v>
      </c>
    </row>
    <row r="5586" spans="1:33" ht="16.5" customHeight="1">
      <c r="A5586" s="309" t="str">
        <f>IF(B5586&lt;&gt;"",IF(AND(B5586='IN-TC'!$S$4,OR(TH!N5569="1111",TH!O5569="1111")),TH!D5569,""),"")</f>
        <v/>
      </c>
      <c r="B5586" s="1159">
        <f t="shared" si="1358"/>
        <v>12</v>
      </c>
      <c r="C5586" s="292">
        <f t="shared" si="1359"/>
        <v>43084</v>
      </c>
      <c r="D5586" s="59"/>
      <c r="E5586" s="59">
        <v>43084</v>
      </c>
      <c r="F5586" s="62" t="s">
        <v>1500</v>
      </c>
      <c r="G5586" s="742" t="s">
        <v>2819</v>
      </c>
      <c r="H5586" s="67" t="s">
        <v>893</v>
      </c>
      <c r="I5586" s="375"/>
      <c r="J5586" s="382"/>
      <c r="K5586" s="375"/>
      <c r="L5586" s="381"/>
      <c r="M5586" s="60">
        <v>250008</v>
      </c>
      <c r="N5586" s="61" t="s">
        <v>9</v>
      </c>
      <c r="O5586" s="61" t="s">
        <v>63</v>
      </c>
      <c r="P5586" s="75" t="str">
        <f>IF(AND('331-CT'!$E$7=TH!H4162,OR(N5586="331",O5586="331")),"x","")</f>
        <v/>
      </c>
      <c r="Q5586" s="75" t="str">
        <f>IF(AND(B5586='111'!$L$11,OR($N5586=$Q$7,$O5586=$Q$7)),"x","")</f>
        <v>x</v>
      </c>
      <c r="R5586" s="75" t="str">
        <f>IF(AND($N5586=$Q$7,$B5586&lt;'111'!$L$11),"x","")</f>
        <v/>
      </c>
      <c r="S5586" s="75" t="str">
        <f>IF(AND($O5586=$Q$7,$B5586&lt;'111'!$L$11),"x","")</f>
        <v/>
      </c>
      <c r="T5586" s="75" t="str">
        <f>IF(ISERROR(FIND('112'!$M$9,G5586,1)),"",IF((AND(FIND('112'!$M$9,G5586,1)&gt;=1,B5586='112'!$K$9,OR($N5586='112'!$I$6,$O5586='112'!$I$6))),"x",""))</f>
        <v/>
      </c>
      <c r="U5586" s="75" t="str">
        <f>IF(ISERROR(FIND('112'!$M$9,G5586,1)),"",IF((AND(LEFT(G5586,2)=LEFT('112'!$M$9,2),B5586&lt;'112'!$K$9,$N5586='112'!$I$6)),"x",""))</f>
        <v/>
      </c>
      <c r="V5586" s="75" t="str">
        <f>IF(ISERROR(FIND('112'!$M$9,G5586,1)),"",IF((AND(RIGHT(G5586,2)=RIGHT('112'!$M$9,2),B5586&lt;'112'!$K$9,$O5586='112'!$I$6)),"x",""))</f>
        <v/>
      </c>
      <c r="W5586" s="75" t="str">
        <f>IF(AND('341-CT'!$H$9=H5586,OR(LEFT(N5586,3)=$W$7,LEFT(O5586,3)=$W$7)),"x","")</f>
        <v/>
      </c>
      <c r="X5586" s="75" t="str">
        <f>IF(OR(TH!N4162=TH!$X$7,O5586=TH!$X$7),"x","")</f>
        <v/>
      </c>
      <c r="Y5586" s="75" t="str">
        <f>IF(AND(OR(N5586="131",O5586="131"),H5586='131-CT'!$H$9),"x","")</f>
        <v/>
      </c>
      <c r="Z5586" s="75"/>
      <c r="AA5586" s="75" t="str">
        <f>IF(AND(MONTH(E5586)='IN-NX'!$J$5,'IN-NX'!$D$7=D5586),"x","")</f>
        <v/>
      </c>
      <c r="AB5586" s="75" t="str">
        <f>IF(AND(OR(LEFT(TH!N4162,2)="15",LEFT(TH!O4162,2)="15"),LEFT(TH!O4162,3)&lt;&gt;"111",'152-CT'!$J$8=TH!F4162),"x","")</f>
        <v/>
      </c>
      <c r="AC5586" s="75" t="str">
        <f>IF(AND(OR(LEFT(TH!N4162,2)="15",LEFT(TH!O4162,2)="15"),TK!$E$7=TH!F4162),"x","")</f>
        <v/>
      </c>
      <c r="AD5586" s="75" t="str">
        <f>IF(AND(N5586="1521",MONTH(C5586)='BK-NL'!$M$11),"x","")</f>
        <v/>
      </c>
      <c r="AE5586">
        <v>12</v>
      </c>
    </row>
    <row r="5587" spans="1:33" ht="16.5" customHeight="1">
      <c r="A5587" s="309" t="str">
        <f>IF(B5587&lt;&gt;"",IF(AND(B5587='IN-TC'!$S$4,OR(TH!N5570="1111",TH!O5570="1111")),TH!D5570,""),"")</f>
        <v/>
      </c>
      <c r="B5587" s="1159">
        <f t="shared" ref="B5587:B5650" si="1360">IF(C5587&lt;&gt;"",MONTH(C5587),"")</f>
        <v>12</v>
      </c>
      <c r="C5587" s="292">
        <f t="shared" si="1359"/>
        <v>43085</v>
      </c>
      <c r="D5587" s="59"/>
      <c r="E5587" s="59">
        <v>43085</v>
      </c>
      <c r="F5587" s="62" t="s">
        <v>1029</v>
      </c>
      <c r="G5587" s="742" t="s">
        <v>2903</v>
      </c>
      <c r="H5587" s="67" t="s">
        <v>948</v>
      </c>
      <c r="I5587" s="375"/>
      <c r="J5587" s="382"/>
      <c r="K5587" s="375"/>
      <c r="L5587" s="381"/>
      <c r="M5587" s="60">
        <v>6754545</v>
      </c>
      <c r="N5587" s="61" t="s">
        <v>539</v>
      </c>
      <c r="O5587" s="61" t="s">
        <v>63</v>
      </c>
      <c r="P5587" s="75" t="str">
        <f>IF(AND('331-CT'!$E$7=TH!H4163,OR(N5587="331",O5587="331")),"x","")</f>
        <v/>
      </c>
      <c r="Q5587" s="75" t="str">
        <f>IF(AND(B5587='111'!$L$11,OR($N5587=$Q$7,$O5587=$Q$7)),"x","")</f>
        <v>x</v>
      </c>
      <c r="R5587" s="75" t="str">
        <f>IF(AND($N5587=$Q$7,$B5587&lt;'111'!$L$11),"x","")</f>
        <v/>
      </c>
      <c r="S5587" s="75" t="str">
        <f>IF(AND($O5587=$Q$7,$B5587&lt;'111'!$L$11),"x","")</f>
        <v/>
      </c>
      <c r="T5587" s="75" t="str">
        <f>IF(ISERROR(FIND('112'!$M$9,G5587,1)),"",IF((AND(FIND('112'!$M$9,G5587,1)&gt;=1,B5587='112'!$K$9,OR($N5587='112'!$I$6,$O5587='112'!$I$6))),"x",""))</f>
        <v/>
      </c>
      <c r="U5587" s="75" t="str">
        <f>IF(ISERROR(FIND('112'!$M$9,G5587,1)),"",IF((AND(LEFT(G5587,2)=LEFT('112'!$M$9,2),B5587&lt;'112'!$K$9,$N5587='112'!$I$6)),"x",""))</f>
        <v/>
      </c>
      <c r="V5587" s="75" t="str">
        <f>IF(ISERROR(FIND('112'!$M$9,G5587,1)),"",IF((AND(RIGHT(G5587,2)=RIGHT('112'!$M$9,2),B5587&lt;'112'!$K$9,$O5587='112'!$I$6)),"x",""))</f>
        <v/>
      </c>
      <c r="W5587" s="75" t="str">
        <f>IF(AND('341-CT'!$H$9=H5587,OR(LEFT(N5587,3)=$W$7,LEFT(O5587,3)=$W$7)),"x","")</f>
        <v/>
      </c>
      <c r="X5587" s="75" t="str">
        <f>IF(OR(TH!N4163=TH!$X$7,O5587=TH!$X$7),"x","")</f>
        <v/>
      </c>
      <c r="Y5587" s="75" t="str">
        <f>IF(AND(OR(N5587="131",O5587="131"),H5587='131-CT'!$H$9),"x","")</f>
        <v/>
      </c>
      <c r="Z5587" s="75"/>
      <c r="AA5587" s="75" t="str">
        <f>IF(AND(MONTH(E5587)='IN-NX'!$J$5,'IN-NX'!$D$7=D5587),"x","")</f>
        <v/>
      </c>
      <c r="AB5587" s="75" t="str">
        <f>IF(AND(OR(LEFT(TH!N4163,2)="15",LEFT(TH!O4163,2)="15"),LEFT(TH!O4163,3)&lt;&gt;"111",'152-CT'!$J$8=TH!F4163),"x","")</f>
        <v/>
      </c>
      <c r="AC5587" s="75" t="str">
        <f>IF(AND(OR(LEFT(TH!N4163,2)="15",LEFT(TH!O4163,2)="15"),TK!$E$7=TH!F4163),"x","")</f>
        <v/>
      </c>
      <c r="AD5587" s="75" t="str">
        <f>IF(AND(N5587="1521",MONTH(C5587)='BK-NL'!$M$11),"x","")</f>
        <v/>
      </c>
      <c r="AE5587" t="s">
        <v>2969</v>
      </c>
    </row>
    <row r="5588" spans="1:33" ht="16.5" customHeight="1">
      <c r="A5588" s="309" t="str">
        <f>IF(B5588&lt;&gt;"",IF(AND(B5588='IN-TC'!$S$4,OR(TH!N5571="1111",TH!O5571="1111")),TH!D5571,""),"")</f>
        <v/>
      </c>
      <c r="B5588" s="1159">
        <f t="shared" si="1360"/>
        <v>12</v>
      </c>
      <c r="C5588" s="292">
        <f t="shared" si="1359"/>
        <v>43085</v>
      </c>
      <c r="D5588" s="59"/>
      <c r="E5588" s="59">
        <v>43085</v>
      </c>
      <c r="F5588" s="62" t="s">
        <v>1030</v>
      </c>
      <c r="G5588" s="742" t="s">
        <v>2903</v>
      </c>
      <c r="H5588" s="67" t="s">
        <v>948</v>
      </c>
      <c r="I5588" s="375"/>
      <c r="J5588" s="382"/>
      <c r="K5588" s="375"/>
      <c r="L5588" s="381"/>
      <c r="M5588" s="60">
        <v>675455</v>
      </c>
      <c r="N5588" s="61" t="s">
        <v>9</v>
      </c>
      <c r="O5588" s="61" t="s">
        <v>63</v>
      </c>
      <c r="P5588" s="75" t="str">
        <f>IF(AND('331-CT'!$E$7=TH!H4164,OR(N5588="331",O5588="331")),"x","")</f>
        <v/>
      </c>
      <c r="Q5588" s="75" t="str">
        <f>IF(AND(B5588='111'!$L$11,OR($N5588=$Q$7,$O5588=$Q$7)),"x","")</f>
        <v>x</v>
      </c>
      <c r="R5588" s="75" t="str">
        <f>IF(AND($N5588=$Q$7,$B5588&lt;'111'!$L$11),"x","")</f>
        <v/>
      </c>
      <c r="S5588" s="75" t="str">
        <f>IF(AND($O5588=$Q$7,$B5588&lt;'111'!$L$11),"x","")</f>
        <v/>
      </c>
      <c r="T5588" s="75" t="str">
        <f>IF(ISERROR(FIND('112'!$M$9,G5588,1)),"",IF((AND(FIND('112'!$M$9,G5588,1)&gt;=1,B5588='112'!$K$9,OR($N5588='112'!$I$6,$O5588='112'!$I$6))),"x",""))</f>
        <v/>
      </c>
      <c r="U5588" s="75" t="str">
        <f>IF(ISERROR(FIND('112'!$M$9,G5588,1)),"",IF((AND(LEFT(G5588,2)=LEFT('112'!$M$9,2),B5588&lt;'112'!$K$9,$N5588='112'!$I$6)),"x",""))</f>
        <v/>
      </c>
      <c r="V5588" s="75" t="str">
        <f>IF(ISERROR(FIND('112'!$M$9,G5588,1)),"",IF((AND(RIGHT(G5588,2)=RIGHT('112'!$M$9,2),B5588&lt;'112'!$K$9,$O5588='112'!$I$6)),"x",""))</f>
        <v/>
      </c>
      <c r="W5588" s="75" t="str">
        <f>IF(AND('341-CT'!$H$9=H5588,OR(LEFT(N5588,3)=$W$7,LEFT(O5588,3)=$W$7)),"x","")</f>
        <v/>
      </c>
      <c r="X5588" s="75" t="str">
        <f>IF(OR(TH!N4164=TH!$X$7,O5588=TH!$X$7),"x","")</f>
        <v/>
      </c>
      <c r="Y5588" s="75" t="str">
        <f>IF(AND(OR(N5588="131",O5588="131"),H5588='131-CT'!$H$9),"x","")</f>
        <v/>
      </c>
      <c r="Z5588" s="75"/>
      <c r="AA5588" s="75" t="str">
        <f>IF(AND(MONTH(E5588)='IN-NX'!$J$5,'IN-NX'!$D$7=D5588),"x","")</f>
        <v/>
      </c>
      <c r="AB5588" s="75" t="str">
        <f>IF(AND(OR(LEFT(TH!N4164,2)="15",LEFT(TH!O4164,2)="15"),LEFT(TH!O4164,3)&lt;&gt;"111",'152-CT'!$J$8=TH!F4164),"x","")</f>
        <v/>
      </c>
      <c r="AC5588" s="75" t="str">
        <f>IF(AND(OR(LEFT(TH!N4164,2)="15",LEFT(TH!O4164,2)="15"),TK!$E$7=TH!F4164),"x","")</f>
        <v/>
      </c>
      <c r="AD5588" s="75" t="str">
        <f>IF(AND(N5588="1521",MONTH(C5588)='BK-NL'!$M$11),"x","")</f>
        <v/>
      </c>
      <c r="AE5588" t="s">
        <v>2969</v>
      </c>
    </row>
    <row r="5589" spans="1:33" ht="16.5" customHeight="1">
      <c r="A5589" s="309" t="str">
        <f>IF(B5589&lt;&gt;"",IF(AND(B5589='IN-TC'!$S$4,OR(TH!N5572="1111",TH!O5572="1111")),TH!D5572,""),"")</f>
        <v/>
      </c>
      <c r="B5589" s="58">
        <f t="shared" si="1360"/>
        <v>12</v>
      </c>
      <c r="C5589" s="292">
        <f t="shared" si="1359"/>
        <v>43087</v>
      </c>
      <c r="D5589" s="292" t="s">
        <v>903</v>
      </c>
      <c r="E5589" s="292">
        <v>43087</v>
      </c>
      <c r="F5589" s="67" t="s">
        <v>2411</v>
      </c>
      <c r="G5589" s="293" t="s">
        <v>1713</v>
      </c>
      <c r="H5589" s="73" t="s">
        <v>2911</v>
      </c>
      <c r="I5589" s="373"/>
      <c r="J5589" s="926"/>
      <c r="K5589" s="373">
        <v>464200</v>
      </c>
      <c r="L5589" s="379">
        <v>22705</v>
      </c>
      <c r="M5589" s="927">
        <f>ROUND(K5589*L5589,0)</f>
        <v>10539661000</v>
      </c>
      <c r="N5589" s="295" t="s">
        <v>26</v>
      </c>
      <c r="O5589" s="295" t="s">
        <v>250</v>
      </c>
      <c r="P5589" s="75" t="str">
        <f>IF(AND('331-CT'!$E$7=TH!H4587,OR(N5589="331",O5589="331")),"x","")</f>
        <v/>
      </c>
      <c r="Q5589" s="75" t="str">
        <f>IF(AND(B5589='111'!$L$11,OR($N5589=$Q$7,$O5589=$Q$7)),"x","")</f>
        <v/>
      </c>
      <c r="R5589" s="75" t="str">
        <f>IF(AND($N5589=$Q$7,$B5589&lt;'111'!$L$11),"x","")</f>
        <v/>
      </c>
      <c r="S5589" s="75" t="str">
        <f>IF(AND($O5589=$Q$7,$B5589&lt;'111'!$L$11),"x","")</f>
        <v/>
      </c>
      <c r="T5589" s="75" t="str">
        <f>IF(ISERROR(FIND('112'!$M$9,G5589,1)),"",IF((AND(FIND('112'!$M$9,G5589,1)&gt;=1,B5589='112'!$K$9,OR($N5589='112'!$I$6,$O5589='112'!$I$6))),"x",""))</f>
        <v/>
      </c>
      <c r="U5589" s="75" t="str">
        <f>IF(ISERROR(FIND('112'!$M$9,G5589,1)),"",IF((AND(LEFT(G5589,2)=LEFT('112'!$M$9,2),B5589&lt;'112'!$K$9,$N5589='112'!$I$6)),"x",""))</f>
        <v/>
      </c>
      <c r="V5589" s="75" t="str">
        <f>IF(ISERROR(FIND('112'!$M$9,G5589,1)),"",IF((AND(RIGHT(G5589,2)=RIGHT('112'!$M$9,2),B5589&lt;'112'!$K$9,$O5589='112'!$I$6)),"x",""))</f>
        <v/>
      </c>
      <c r="W5589" s="75" t="str">
        <f>IF(AND('341-CT'!$H$9=H5589,OR(LEFT(N5589,3)=$W$7,LEFT(O5589,3)=$W$7)),"x","")</f>
        <v/>
      </c>
      <c r="X5589" s="75" t="str">
        <f>IF(OR(TH!N4587=TH!$X$7,O5589=TH!$X$7),"x","")</f>
        <v/>
      </c>
      <c r="Y5589" s="75" t="str">
        <f>IF(AND(OR(N5589="131",O5589="131"),H5589='131-CT'!$H$9),"x","")</f>
        <v/>
      </c>
      <c r="Z5589" s="75"/>
      <c r="AA5589" s="75" t="str">
        <f>IF(AND(MONTH(E5589)='IN-NX'!$J$5,'IN-NX'!$D$7=D5589),"x","")</f>
        <v/>
      </c>
      <c r="AB5589" s="75" t="str">
        <f>IF(AND(OR(LEFT(TH!N4587,2)="15",LEFT(TH!O4587,2)="15"),LEFT(TH!O4587,3)&lt;&gt;"111",'152-CT'!$J$8=TH!F4587),"x","")</f>
        <v/>
      </c>
      <c r="AC5589" s="75" t="str">
        <f>IF(AND(OR(LEFT(TH!N4587,2)="15",LEFT(TH!O4587,2)="15"),TK!$E$7=TH!F4587),"x","")</f>
        <v/>
      </c>
      <c r="AD5589" s="75" t="str">
        <f>IF(AND(N5589="1521",MONTH(C5589)='BK-NL'!$M$11),"x","")</f>
        <v/>
      </c>
      <c r="AE5589" s="304"/>
      <c r="AF5589" s="304"/>
      <c r="AG5589" s="304"/>
    </row>
    <row r="5590" spans="1:33" ht="16.5" customHeight="1">
      <c r="A5590" s="309" t="str">
        <f>IF(B5590&lt;&gt;"",IF(AND(B5590='IN-TC'!$S$4,OR(TH!N5573="1111",TH!O5573="1111")),TH!D5573,""),"")</f>
        <v/>
      </c>
      <c r="B5590" s="1159">
        <f t="shared" si="1360"/>
        <v>12</v>
      </c>
      <c r="C5590" s="292">
        <f t="shared" si="1359"/>
        <v>43087</v>
      </c>
      <c r="D5590" s="292" t="s">
        <v>2773</v>
      </c>
      <c r="E5590" s="292">
        <v>43087</v>
      </c>
      <c r="F5590" s="67" t="s">
        <v>834</v>
      </c>
      <c r="G5590" s="943" t="s">
        <v>1713</v>
      </c>
      <c r="H5590" s="294" t="s">
        <v>1023</v>
      </c>
      <c r="I5590" s="373"/>
      <c r="J5590" s="926"/>
      <c r="K5590" s="373"/>
      <c r="L5590" s="379"/>
      <c r="M5590" s="927">
        <v>10540000000</v>
      </c>
      <c r="N5590" s="295" t="s">
        <v>63</v>
      </c>
      <c r="O5590" s="295" t="s">
        <v>26</v>
      </c>
      <c r="P5590" s="75" t="str">
        <f>IF(AND('331-CT'!$E$7=TH!H4588,OR(N5590="331",O5590="331")),"x","")</f>
        <v/>
      </c>
      <c r="Q5590" s="75" t="str">
        <f>IF(AND(B5590='111'!$L$11,OR($N5590=$Q$7,$O5590=$Q$7)),"x","")</f>
        <v>x</v>
      </c>
      <c r="R5590" s="75" t="str">
        <f>IF(AND($N5590=$Q$7,$B5590&lt;'111'!$L$11),"x","")</f>
        <v/>
      </c>
      <c r="S5590" s="75" t="str">
        <f>IF(AND($O5590=$Q$7,$B5590&lt;'111'!$L$11),"x","")</f>
        <v/>
      </c>
      <c r="T5590" s="75" t="str">
        <f>IF(ISERROR(FIND('112'!$M$9,G5590,1)),"",IF((AND(FIND('112'!$M$9,G5590,1)&gt;=1,B5590='112'!$K$9,OR($N5590='112'!$I$6,$O5590='112'!$I$6))),"x",""))</f>
        <v/>
      </c>
      <c r="U5590" s="75" t="str">
        <f>IF(ISERROR(FIND('112'!$M$9,G5590,1)),"",IF((AND(LEFT(G5590,2)=LEFT('112'!$M$9,2),B5590&lt;'112'!$K$9,$N5590='112'!$I$6)),"x",""))</f>
        <v/>
      </c>
      <c r="V5590" s="75" t="str">
        <f>IF(ISERROR(FIND('112'!$M$9,G5590,1)),"",IF((AND(RIGHT(G5590,2)=RIGHT('112'!$M$9,2),B5590&lt;'112'!$K$9,$O5590='112'!$I$6)),"x",""))</f>
        <v/>
      </c>
      <c r="W5590" s="75" t="str">
        <f>IF(AND('341-CT'!$H$9=H5590,OR(LEFT(N5590,3)=$W$7,LEFT(O5590,3)=$W$7)),"x","")</f>
        <v/>
      </c>
      <c r="X5590" s="75" t="str">
        <f>IF(OR(TH!N4588=TH!$X$7,O5590=TH!$X$7),"x","")</f>
        <v/>
      </c>
      <c r="Y5590" s="75" t="str">
        <f>IF(AND(OR(N5590="131",O5590="131"),H5590='131-CT'!$H$9),"x","")</f>
        <v/>
      </c>
      <c r="Z5590" s="75"/>
      <c r="AA5590" s="75" t="str">
        <f>IF(AND(MONTH(E5590)='IN-NX'!$J$5,'IN-NX'!$D$7=D5590),"x","")</f>
        <v/>
      </c>
      <c r="AB5590" s="75" t="str">
        <f>IF(AND(OR(LEFT(TH!N4588,2)="15",LEFT(TH!O4588,2)="15"),LEFT(TH!O4588,3)&lt;&gt;"111",'152-CT'!$J$8=TH!F4588),"x","")</f>
        <v/>
      </c>
      <c r="AC5590" s="75" t="str">
        <f>IF(AND(OR(LEFT(TH!N4588,2)="15",LEFT(TH!O4588,2)="15"),TK!$E$7=TH!F4588),"x","")</f>
        <v/>
      </c>
      <c r="AD5590" s="75" t="str">
        <f>IF(AND(N5590="1521",MONTH(C5590)='BK-NL'!$M$11),"x","")</f>
        <v/>
      </c>
    </row>
    <row r="5591" spans="1:33" ht="16.5" customHeight="1">
      <c r="A5591" s="309" t="str">
        <f>IF(B5591&lt;&gt;"",IF(AND(B5591='IN-TC'!$S$4,OR(TH!N5574="1111",TH!O5574="1111")),TH!D5574,""),"")</f>
        <v/>
      </c>
      <c r="B5591" s="1159">
        <f t="shared" si="1360"/>
        <v>12</v>
      </c>
      <c r="C5591" s="292">
        <f t="shared" si="1359"/>
        <v>43087</v>
      </c>
      <c r="D5591" s="59" t="s">
        <v>902</v>
      </c>
      <c r="E5591" s="59">
        <v>43087</v>
      </c>
      <c r="F5591" s="62" t="s">
        <v>2758</v>
      </c>
      <c r="G5591" s="62" t="s">
        <v>585</v>
      </c>
      <c r="H5591" s="67" t="s">
        <v>739</v>
      </c>
      <c r="I5591" s="373"/>
      <c r="J5591" s="382"/>
      <c r="K5591" s="373"/>
      <c r="L5591" s="379"/>
      <c r="M5591" s="60">
        <v>8741508</v>
      </c>
      <c r="N5591" s="61" t="s">
        <v>8</v>
      </c>
      <c r="O5591" s="61" t="s">
        <v>26</v>
      </c>
      <c r="P5591" s="75" t="str">
        <f>IF(AND('331-CT'!$E$7=TH!H4921,OR(N5591="331",O5591="331")),"x","")</f>
        <v/>
      </c>
      <c r="Q5591" s="75" t="str">
        <f>IF(AND(B5591='111'!$L$11,OR($N5591=$Q$7,$O5591=$Q$7)),"x","")</f>
        <v/>
      </c>
      <c r="R5591" s="75" t="str">
        <f>IF(AND($N5591=$Q$7,$B5591&lt;'111'!$L$11),"x","")</f>
        <v/>
      </c>
      <c r="S5591" s="75" t="str">
        <f>IF(AND($O5591=$Q$7,$B5591&lt;'111'!$L$11),"x","")</f>
        <v/>
      </c>
      <c r="T5591" s="75" t="str">
        <f>IF(ISERROR(FIND('112'!$M$9,G5591,1)),"",IF((AND(FIND('112'!$M$9,G5591,1)&gt;=1,B5591='112'!$K$9,OR($N5591='112'!$I$6,$O5591='112'!$I$6))),"x",""))</f>
        <v/>
      </c>
      <c r="U5591" s="75" t="str">
        <f>IF(ISERROR(FIND('112'!$M$9,G5591,1)),"",IF((AND(LEFT(G5591,2)=LEFT('112'!$M$9,2),B5591&lt;'112'!$K$9,$N5591='112'!$I$6)),"x",""))</f>
        <v/>
      </c>
      <c r="V5591" s="75" t="str">
        <f>IF(ISERROR(FIND('112'!$M$9,G5591,1)),"",IF((AND(RIGHT(G5591,2)=RIGHT('112'!$M$9,2),B5591&lt;'112'!$K$9,$O5591='112'!$I$6)),"x",""))</f>
        <v/>
      </c>
      <c r="W5591" s="75" t="str">
        <f>IF(AND('341-CT'!$H$9=H5591,OR(LEFT(N5591,3)=$W$7,LEFT(O5591,3)=$W$7)),"x","")</f>
        <v/>
      </c>
      <c r="X5591" s="75" t="str">
        <f>IF(OR(TH!N4921=TH!$X$7,O5591=TH!$X$7),"x","")</f>
        <v/>
      </c>
      <c r="Y5591" s="75" t="str">
        <f>IF(AND(OR(N5591="131",O5591="131"),H5591='131-CT'!$H$9),"x","")</f>
        <v/>
      </c>
      <c r="Z5591" s="75"/>
      <c r="AA5591" s="75" t="str">
        <f>IF(AND(MONTH(E5591)='IN-NX'!$J$5,'IN-NX'!$D$7=D5591),"x","")</f>
        <v/>
      </c>
      <c r="AB5591" s="75" t="str">
        <f>IF(AND(OR(LEFT(TH!N4921,2)="15",LEFT(TH!O4921,2)="15"),LEFT(TH!O4921,3)&lt;&gt;"111",'152-CT'!$J$8=TH!F4921),"x","")</f>
        <v/>
      </c>
      <c r="AC5591" s="75" t="str">
        <f>IF(AND(OR(LEFT(TH!N4921,2)="15",LEFT(TH!O4921,2)="15"),TK!$E$7=TH!F4921),"x","")</f>
        <v/>
      </c>
      <c r="AD5591" s="75" t="str">
        <f>IF(AND(N5591="1521",MONTH(C5591)='BK-NL'!$M$11),"x","")</f>
        <v/>
      </c>
      <c r="AE5591" s="304"/>
      <c r="AF5591" s="304"/>
      <c r="AG5591" s="304"/>
    </row>
    <row r="5592" spans="1:33" ht="16.5" customHeight="1">
      <c r="A5592" s="309" t="str">
        <f>IF(B5592&lt;&gt;"",IF(AND(B5592='IN-TC'!$S$4,OR(TH!N5575="1111",TH!O5575="1111")),TH!D5575,""),"")</f>
        <v/>
      </c>
      <c r="B5592" s="1159">
        <f t="shared" si="1360"/>
        <v>12</v>
      </c>
      <c r="C5592" s="292">
        <f t="shared" si="1359"/>
        <v>43087</v>
      </c>
      <c r="D5592" s="59" t="s">
        <v>902</v>
      </c>
      <c r="E5592" s="59">
        <v>43087</v>
      </c>
      <c r="F5592" s="62" t="s">
        <v>897</v>
      </c>
      <c r="G5592" s="62" t="s">
        <v>585</v>
      </c>
      <c r="H5592" s="67" t="s">
        <v>2657</v>
      </c>
      <c r="I5592" s="373"/>
      <c r="J5592" s="382"/>
      <c r="K5592" s="373"/>
      <c r="L5592" s="379"/>
      <c r="M5592" s="60">
        <v>76000000</v>
      </c>
      <c r="N5592" s="61" t="s">
        <v>8</v>
      </c>
      <c r="O5592" s="61" t="s">
        <v>26</v>
      </c>
      <c r="P5592" s="75" t="str">
        <f>IF(AND('331-CT'!$E$7=TH!H4922,OR(N5592="331",O5592="331")),"x","")</f>
        <v/>
      </c>
      <c r="Q5592" s="75" t="str">
        <f>IF(AND(B5592='111'!$L$11,OR($N5592=$Q$7,$O5592=$Q$7)),"x","")</f>
        <v/>
      </c>
      <c r="R5592" s="75" t="str">
        <f>IF(AND($N5592=$Q$7,$B5592&lt;'111'!$L$11),"x","")</f>
        <v/>
      </c>
      <c r="S5592" s="75" t="str">
        <f>IF(AND($O5592=$Q$7,$B5592&lt;'111'!$L$11),"x","")</f>
        <v/>
      </c>
      <c r="T5592" s="75" t="str">
        <f>IF(ISERROR(FIND('112'!$M$9,G5592,1)),"",IF((AND(FIND('112'!$M$9,G5592,1)&gt;=1,B5592='112'!$K$9,OR($N5592='112'!$I$6,$O5592='112'!$I$6))),"x",""))</f>
        <v/>
      </c>
      <c r="U5592" s="75" t="str">
        <f>IF(ISERROR(FIND('112'!$M$9,G5592,1)),"",IF((AND(LEFT(G5592,2)=LEFT('112'!$M$9,2),B5592&lt;'112'!$K$9,$N5592='112'!$I$6)),"x",""))</f>
        <v/>
      </c>
      <c r="V5592" s="75" t="str">
        <f>IF(ISERROR(FIND('112'!$M$9,G5592,1)),"",IF((AND(RIGHT(G5592,2)=RIGHT('112'!$M$9,2),B5592&lt;'112'!$K$9,$O5592='112'!$I$6)),"x",""))</f>
        <v/>
      </c>
      <c r="W5592" s="75" t="str">
        <f>IF(AND('341-CT'!$H$9=H5592,OR(LEFT(N5592,3)=$W$7,LEFT(O5592,3)=$W$7)),"x","")</f>
        <v/>
      </c>
      <c r="X5592" s="75" t="str">
        <f>IF(OR(TH!N4922=TH!$X$7,O5592=TH!$X$7),"x","")</f>
        <v/>
      </c>
      <c r="Y5592" s="75" t="str">
        <f>IF(AND(OR(N5592="131",O5592="131"),H5592='131-CT'!$H$9),"x","")</f>
        <v/>
      </c>
      <c r="Z5592" s="75"/>
      <c r="AA5592" s="75" t="str">
        <f>IF(AND(MONTH(E5592)='IN-NX'!$J$5,'IN-NX'!$D$7=D5592),"x","")</f>
        <v/>
      </c>
      <c r="AB5592" s="75" t="str">
        <f>IF(AND(OR(LEFT(TH!N4922,2)="15",LEFT(TH!O4922,2)="15"),LEFT(TH!O4922,3)&lt;&gt;"111",'152-CT'!$J$8=TH!F4922),"x","")</f>
        <v/>
      </c>
      <c r="AC5592" s="75" t="str">
        <f>IF(AND(OR(LEFT(TH!N4922,2)="15",LEFT(TH!O4922,2)="15"),TK!$E$7=TH!F4922),"x","")</f>
        <v/>
      </c>
      <c r="AD5592" s="75" t="str">
        <f>IF(AND(N5592="1521",MONTH(C5592)='BK-NL'!$M$11),"x","")</f>
        <v/>
      </c>
      <c r="AE5592" s="304"/>
      <c r="AF5592" s="304"/>
      <c r="AG5592" s="304"/>
    </row>
    <row r="5593" spans="1:33" ht="16.5" customHeight="1">
      <c r="A5593" s="309" t="str">
        <f>IF(B5593&lt;&gt;"",IF(AND(B5593='IN-TC'!$S$4,OR(TH!N5576="1111",TH!O5576="1111")),TH!D5576,""),"")</f>
        <v/>
      </c>
      <c r="B5593" s="1159">
        <f t="shared" si="1360"/>
        <v>12</v>
      </c>
      <c r="C5593" s="292">
        <f t="shared" si="1359"/>
        <v>43087</v>
      </c>
      <c r="D5593" s="59" t="s">
        <v>902</v>
      </c>
      <c r="E5593" s="59">
        <v>43087</v>
      </c>
      <c r="F5593" s="62" t="s">
        <v>1307</v>
      </c>
      <c r="G5593" s="62" t="s">
        <v>585</v>
      </c>
      <c r="H5593" s="67" t="s">
        <v>2657</v>
      </c>
      <c r="I5593" s="373"/>
      <c r="J5593" s="382"/>
      <c r="K5593" s="373"/>
      <c r="L5593" s="379"/>
      <c r="M5593" s="60">
        <v>22800</v>
      </c>
      <c r="N5593" s="61" t="s">
        <v>101</v>
      </c>
      <c r="O5593" s="61" t="s">
        <v>26</v>
      </c>
      <c r="P5593" s="75" t="str">
        <f>IF(AND('331-CT'!$E$7=TH!H4923,OR(N5593="331",O5593="331")),"x","")</f>
        <v/>
      </c>
      <c r="Q5593" s="75" t="str">
        <f>IF(AND(B5593='111'!$L$11,OR($N5593=$Q$7,$O5593=$Q$7)),"x","")</f>
        <v/>
      </c>
      <c r="R5593" s="75" t="str">
        <f>IF(AND($N5593=$Q$7,$B5593&lt;'111'!$L$11),"x","")</f>
        <v/>
      </c>
      <c r="S5593" s="75" t="str">
        <f>IF(AND($O5593=$Q$7,$B5593&lt;'111'!$L$11),"x","")</f>
        <v/>
      </c>
      <c r="T5593" s="75" t="str">
        <f>IF(ISERROR(FIND('112'!$M$9,G5593,1)),"",IF((AND(FIND('112'!$M$9,G5593,1)&gt;=1,B5593='112'!$K$9,OR($N5593='112'!$I$6,$O5593='112'!$I$6))),"x",""))</f>
        <v/>
      </c>
      <c r="U5593" s="75" t="str">
        <f>IF(ISERROR(FIND('112'!$M$9,G5593,1)),"",IF((AND(LEFT(G5593,2)=LEFT('112'!$M$9,2),B5593&lt;'112'!$K$9,$N5593='112'!$I$6)),"x",""))</f>
        <v/>
      </c>
      <c r="V5593" s="75" t="str">
        <f>IF(ISERROR(FIND('112'!$M$9,G5593,1)),"",IF((AND(RIGHT(G5593,2)=RIGHT('112'!$M$9,2),B5593&lt;'112'!$K$9,$O5593='112'!$I$6)),"x",""))</f>
        <v/>
      </c>
      <c r="W5593" s="75" t="str">
        <f>IF(AND('341-CT'!$H$9=H5593,OR(LEFT(N5593,3)=$W$7,LEFT(O5593,3)=$W$7)),"x","")</f>
        <v/>
      </c>
      <c r="X5593" s="75" t="str">
        <f>IF(OR(TH!N4923=TH!$X$7,O5593=TH!$X$7),"x","")</f>
        <v/>
      </c>
      <c r="Y5593" s="75" t="str">
        <f>IF(AND(OR(N5593="131",O5593="131"),H5593='131-CT'!$H$9),"x","")</f>
        <v/>
      </c>
      <c r="Z5593" s="75"/>
      <c r="AA5593" s="75" t="str">
        <f>IF(AND(MONTH(E5593)='IN-NX'!$J$5,'IN-NX'!$D$7=D5593),"x","")</f>
        <v/>
      </c>
      <c r="AB5593" s="75" t="str">
        <f>IF(AND(OR(LEFT(TH!N4923,2)="15",LEFT(TH!O4923,2)="15"),LEFT(TH!O4923,3)&lt;&gt;"111",'152-CT'!$J$8=TH!F4923),"x","")</f>
        <v/>
      </c>
      <c r="AC5593" s="75" t="str">
        <f>IF(AND(OR(LEFT(TH!N4923,2)="15",LEFT(TH!O4923,2)="15"),TK!$E$7=TH!F4923),"x","")</f>
        <v/>
      </c>
      <c r="AD5593" s="75" t="str">
        <f>IF(AND(N5593="1521",MONTH(C5593)='BK-NL'!$M$11),"x","")</f>
        <v/>
      </c>
      <c r="AE5593" s="304">
        <v>12</v>
      </c>
      <c r="AF5593" s="304"/>
      <c r="AG5593" s="304"/>
    </row>
    <row r="5594" spans="1:33" ht="16.5" customHeight="1">
      <c r="A5594" s="309" t="str">
        <f>IF(B5594&lt;&gt;"",IF(AND(B5594='IN-TC'!$S$4,OR(TH!N5577="1111",TH!O5577="1111")),TH!D5577,""),"")</f>
        <v/>
      </c>
      <c r="B5594" s="1159">
        <f t="shared" si="1360"/>
        <v>12</v>
      </c>
      <c r="C5594" s="292">
        <f t="shared" si="1359"/>
        <v>43087</v>
      </c>
      <c r="D5594" s="59" t="s">
        <v>902</v>
      </c>
      <c r="E5594" s="59">
        <v>43087</v>
      </c>
      <c r="F5594" s="62" t="s">
        <v>1314</v>
      </c>
      <c r="G5594" s="62" t="s">
        <v>585</v>
      </c>
      <c r="H5594" s="67" t="s">
        <v>2657</v>
      </c>
      <c r="I5594" s="373"/>
      <c r="J5594" s="382"/>
      <c r="K5594" s="373"/>
      <c r="L5594" s="379"/>
      <c r="M5594" s="60">
        <v>2280</v>
      </c>
      <c r="N5594" s="61" t="s">
        <v>9</v>
      </c>
      <c r="O5594" s="61" t="s">
        <v>26</v>
      </c>
      <c r="P5594" s="75" t="str">
        <f>IF(AND('331-CT'!$E$7=TH!H4924,OR(N5594="331",O5594="331")),"x","")</f>
        <v/>
      </c>
      <c r="Q5594" s="75" t="str">
        <f>IF(AND(B5594='111'!$L$11,OR($N5594=$Q$7,$O5594=$Q$7)),"x","")</f>
        <v/>
      </c>
      <c r="R5594" s="75" t="str">
        <f>IF(AND($N5594=$Q$7,$B5594&lt;'111'!$L$11),"x","")</f>
        <v/>
      </c>
      <c r="S5594" s="75" t="str">
        <f>IF(AND($O5594=$Q$7,$B5594&lt;'111'!$L$11),"x","")</f>
        <v/>
      </c>
      <c r="T5594" s="75" t="str">
        <f>IF(ISERROR(FIND('112'!$M$9,G5594,1)),"",IF((AND(FIND('112'!$M$9,G5594,1)&gt;=1,B5594='112'!$K$9,OR($N5594='112'!$I$6,$O5594='112'!$I$6))),"x",""))</f>
        <v/>
      </c>
      <c r="U5594" s="75" t="str">
        <f>IF(ISERROR(FIND('112'!$M$9,G5594,1)),"",IF((AND(LEFT(G5594,2)=LEFT('112'!$M$9,2),B5594&lt;'112'!$K$9,$N5594='112'!$I$6)),"x",""))</f>
        <v/>
      </c>
      <c r="V5594" s="75" t="str">
        <f>IF(ISERROR(FIND('112'!$M$9,G5594,1)),"",IF((AND(RIGHT(G5594,2)=RIGHT('112'!$M$9,2),B5594&lt;'112'!$K$9,$O5594='112'!$I$6)),"x",""))</f>
        <v/>
      </c>
      <c r="W5594" s="75" t="str">
        <f>IF(AND('341-CT'!$H$9=H5594,OR(LEFT(N5594,3)=$W$7,LEFT(O5594,3)=$W$7)),"x","")</f>
        <v/>
      </c>
      <c r="X5594" s="75" t="str">
        <f>IF(OR(TH!N4924=TH!$X$7,O5594=TH!$X$7),"x","")</f>
        <v/>
      </c>
      <c r="Y5594" s="75" t="str">
        <f>IF(AND(OR(N5594="131",O5594="131"),H5594='131-CT'!$H$9),"x","")</f>
        <v/>
      </c>
      <c r="Z5594" s="75"/>
      <c r="AA5594" s="75" t="str">
        <f>IF(AND(MONTH(E5594)='IN-NX'!$J$5,'IN-NX'!$D$7=D5594),"x","")</f>
        <v/>
      </c>
      <c r="AB5594" s="75" t="str">
        <f>IF(AND(OR(LEFT(TH!N4924,2)="15",LEFT(TH!O4924,2)="15"),LEFT(TH!O4924,3)&lt;&gt;"111",'152-CT'!$J$8=TH!F4924),"x","")</f>
        <v/>
      </c>
      <c r="AC5594" s="75" t="str">
        <f>IF(AND(OR(LEFT(TH!N4924,2)="15",LEFT(TH!O4924,2)="15"),TK!$E$7=TH!F4924),"x","")</f>
        <v/>
      </c>
      <c r="AD5594" s="75" t="str">
        <f>IF(AND(N5594="1521",MONTH(C5594)='BK-NL'!$M$11),"x","")</f>
        <v/>
      </c>
      <c r="AE5594" s="304">
        <v>12</v>
      </c>
      <c r="AF5594" s="304"/>
      <c r="AG5594" s="304"/>
    </row>
    <row r="5595" spans="1:33" ht="16.5" customHeight="1">
      <c r="A5595" s="309" t="str">
        <f>IF(B5595&lt;&gt;"",IF(AND(B5595='IN-TC'!$S$4,OR(TH!N5578="1111",TH!O5578="1111")),TH!D5578,""),"")</f>
        <v/>
      </c>
      <c r="B5595" s="1159">
        <f t="shared" si="1360"/>
        <v>12</v>
      </c>
      <c r="C5595" s="292">
        <f t="shared" si="1359"/>
        <v>43088</v>
      </c>
      <c r="D5595" s="59" t="s">
        <v>902</v>
      </c>
      <c r="E5595" s="59">
        <v>43088</v>
      </c>
      <c r="F5595" s="62" t="s">
        <v>834</v>
      </c>
      <c r="G5595" s="293" t="s">
        <v>747</v>
      </c>
      <c r="H5595" s="67" t="s">
        <v>1023</v>
      </c>
      <c r="I5595" s="373"/>
      <c r="J5595" s="382"/>
      <c r="K5595" s="373"/>
      <c r="L5595" s="379"/>
      <c r="M5595" s="60">
        <v>200000000</v>
      </c>
      <c r="N5595" s="61" t="s">
        <v>63</v>
      </c>
      <c r="O5595" s="61" t="s">
        <v>26</v>
      </c>
      <c r="P5595" s="75" t="str">
        <f>IF(AND('331-CT'!$E$7=TH!H5642,OR(N5595="331",O5595="331")),"x","")</f>
        <v/>
      </c>
      <c r="Q5595" s="75" t="str">
        <f>IF(AND(B5595='111'!$L$11,OR($N5595=$Q$7,$O5595=$Q$7)),"x","")</f>
        <v>x</v>
      </c>
      <c r="R5595" s="75" t="str">
        <f>IF(AND($N5595=$Q$7,$B5595&lt;'111'!$L$11),"x","")</f>
        <v/>
      </c>
      <c r="S5595" s="75" t="str">
        <f>IF(AND($O5595=$Q$7,$B5595&lt;'111'!$L$11),"x","")</f>
        <v/>
      </c>
      <c r="T5595" s="75" t="str">
        <f>IF(ISERROR(FIND('112'!$M$9,G5595,1)),"",IF((AND(FIND('112'!$M$9,G5595,1)&gt;=1,B5595='112'!$K$9,OR($N5595='112'!$I$6,$O5595='112'!$I$6))),"x",""))</f>
        <v/>
      </c>
      <c r="U5595" s="75" t="str">
        <f>IF(ISERROR(FIND('112'!$M$9,G5595,1)),"",IF((AND(LEFT(G5595,2)=LEFT('112'!$M$9,2),B5595&lt;'112'!$K$9,$N5595='112'!$I$6)),"x",""))</f>
        <v/>
      </c>
      <c r="V5595" s="75" t="str">
        <f>IF(ISERROR(FIND('112'!$M$9,G5595,1)),"",IF((AND(RIGHT(G5595,2)=RIGHT('112'!$M$9,2),B5595&lt;'112'!$K$9,$O5595='112'!$I$6)),"x",""))</f>
        <v/>
      </c>
      <c r="W5595" s="75" t="str">
        <f>IF(AND('341-CT'!$H$9=H5595,OR(LEFT(N5595,3)=$W$7,LEFT(O5595,3)=$W$7)),"x","")</f>
        <v/>
      </c>
      <c r="X5595" s="75" t="str">
        <f>IF(OR(TH!N5642=TH!$X$7,O5595=TH!$X$7),"x","")</f>
        <v/>
      </c>
      <c r="Y5595" s="75" t="str">
        <f>IF(AND(OR(N5595="131",O5595="131"),H5595='131-CT'!$H$9),"x","")</f>
        <v/>
      </c>
      <c r="Z5595" s="75"/>
      <c r="AA5595" s="75" t="str">
        <f>IF(AND(MONTH(E5595)='IN-NX'!$J$5,'IN-NX'!$D$7=D5595),"x","")</f>
        <v/>
      </c>
      <c r="AB5595" s="75" t="str">
        <f>IF(AND(OR(LEFT(TH!N5642,2)="15",LEFT(TH!O5642,2)="15"),LEFT(TH!O5642,3)&lt;&gt;"111",'152-CT'!$J$8=TH!F5642),"x","")</f>
        <v/>
      </c>
      <c r="AC5595" s="75" t="str">
        <f>IF(AND(OR(LEFT(TH!N5642,2)="15",LEFT(TH!O5642,2)="15"),TK!$E$7=TH!F5642),"x","")</f>
        <v/>
      </c>
      <c r="AD5595" s="75" t="str">
        <f>IF(AND(N5595="1521",MONTH(C5595)='BK-NL'!$M$11),"x","")</f>
        <v/>
      </c>
    </row>
    <row r="5596" spans="1:33" ht="16.5" customHeight="1">
      <c r="A5596" s="309" t="str">
        <f>IF(B5596&lt;&gt;"",IF(AND(B5596='IN-TC'!$S$4,OR(TH!N5579="1111",TH!O5579="1111")),TH!D5579,""),"")</f>
        <v/>
      </c>
      <c r="B5596" s="1159">
        <f t="shared" si="1360"/>
        <v>12</v>
      </c>
      <c r="C5596" s="292">
        <f t="shared" si="1359"/>
        <v>43088</v>
      </c>
      <c r="D5596" s="59" t="s">
        <v>902</v>
      </c>
      <c r="E5596" s="59">
        <v>43088</v>
      </c>
      <c r="F5596" s="62" t="s">
        <v>897</v>
      </c>
      <c r="G5596" s="293" t="s">
        <v>747</v>
      </c>
      <c r="H5596" s="67" t="s">
        <v>623</v>
      </c>
      <c r="I5596" s="373"/>
      <c r="J5596" s="382"/>
      <c r="K5596" s="373"/>
      <c r="L5596" s="379"/>
      <c r="M5596" s="60">
        <v>5850000000</v>
      </c>
      <c r="N5596" s="61" t="s">
        <v>8</v>
      </c>
      <c r="O5596" s="61" t="s">
        <v>26</v>
      </c>
      <c r="P5596" s="75" t="str">
        <f>IF(AND('331-CT'!$E$7=TH!H5643,OR(N5596="331",O5596="331")),"x","")</f>
        <v/>
      </c>
      <c r="Q5596" s="75" t="str">
        <f>IF(AND(B5596='111'!$L$11,OR($N5596=$Q$7,$O5596=$Q$7)),"x","")</f>
        <v/>
      </c>
      <c r="R5596" s="75" t="str">
        <f>IF(AND($N5596=$Q$7,$B5596&lt;'111'!$L$11),"x","")</f>
        <v/>
      </c>
      <c r="S5596" s="75" t="str">
        <f>IF(AND($O5596=$Q$7,$B5596&lt;'111'!$L$11),"x","")</f>
        <v/>
      </c>
      <c r="T5596" s="75" t="str">
        <f>IF(ISERROR(FIND('112'!$M$9,G5596,1)),"",IF((AND(FIND('112'!$M$9,G5596,1)&gt;=1,B5596='112'!$K$9,OR($N5596='112'!$I$6,$O5596='112'!$I$6))),"x",""))</f>
        <v/>
      </c>
      <c r="U5596" s="75" t="str">
        <f>IF(ISERROR(FIND('112'!$M$9,G5596,1)),"",IF((AND(LEFT(G5596,2)=LEFT('112'!$M$9,2),B5596&lt;'112'!$K$9,$N5596='112'!$I$6)),"x",""))</f>
        <v/>
      </c>
      <c r="V5596" s="75" t="str">
        <f>IF(ISERROR(FIND('112'!$M$9,G5596,1)),"",IF((AND(RIGHT(G5596,2)=RIGHT('112'!$M$9,2),B5596&lt;'112'!$K$9,$O5596='112'!$I$6)),"x",""))</f>
        <v/>
      </c>
      <c r="W5596" s="75" t="str">
        <f>IF(AND('341-CT'!$H$9=H5596,OR(LEFT(N5596,3)=$W$7,LEFT(O5596,3)=$W$7)),"x","")</f>
        <v/>
      </c>
      <c r="X5596" s="75" t="str">
        <f>IF(OR(TH!N5643=TH!$X$7,O5596=TH!$X$7),"x","")</f>
        <v/>
      </c>
      <c r="Y5596" s="75" t="str">
        <f>IF(AND(OR(N5596="131",O5596="131"),H5596='131-CT'!$H$9),"x","")</f>
        <v/>
      </c>
      <c r="Z5596" s="75"/>
      <c r="AA5596" s="75" t="str">
        <f>IF(AND(MONTH(E5596)='IN-NX'!$J$5,'IN-NX'!$D$7=D5596),"x","")</f>
        <v/>
      </c>
      <c r="AB5596" s="75" t="str">
        <f>IF(AND(OR(LEFT(TH!N5643,2)="15",LEFT(TH!O5643,2)="15"),LEFT(TH!O5643,3)&lt;&gt;"111",'152-CT'!$J$8=TH!F5643),"x","")</f>
        <v/>
      </c>
      <c r="AC5596" s="75" t="str">
        <f>IF(AND(OR(LEFT(TH!N5643,2)="15",LEFT(TH!O5643,2)="15"),TK!$E$7=TH!F5643),"x","")</f>
        <v/>
      </c>
      <c r="AD5596" s="75" t="str">
        <f>IF(AND(N5596="1521",MONTH(C5596)='BK-NL'!$M$11),"x","")</f>
        <v/>
      </c>
    </row>
    <row r="5597" spans="1:33" ht="16.5" customHeight="1">
      <c r="A5597" s="309" t="str">
        <f>IF(B5597&lt;&gt;"",IF(AND(B5597='IN-TC'!$S$4,OR(TH!N5580="1111",TH!O5580="1111")),TH!D5580,""),"")</f>
        <v/>
      </c>
      <c r="B5597" s="1159">
        <f t="shared" si="1360"/>
        <v>12</v>
      </c>
      <c r="C5597" s="292">
        <f t="shared" si="1359"/>
        <v>43088</v>
      </c>
      <c r="D5597" s="59" t="s">
        <v>902</v>
      </c>
      <c r="E5597" s="59">
        <v>43088</v>
      </c>
      <c r="F5597" s="62" t="s">
        <v>1307</v>
      </c>
      <c r="G5597" s="293" t="s">
        <v>747</v>
      </c>
      <c r="H5597" s="67" t="s">
        <v>835</v>
      </c>
      <c r="I5597" s="373"/>
      <c r="J5597" s="382"/>
      <c r="K5597" s="373"/>
      <c r="L5597" s="379"/>
      <c r="M5597" s="60">
        <v>1000000</v>
      </c>
      <c r="N5597" s="61" t="s">
        <v>101</v>
      </c>
      <c r="O5597" s="61" t="s">
        <v>26</v>
      </c>
      <c r="P5597" s="75" t="str">
        <f>IF(AND('331-CT'!$E$7=TH!H5644,OR(N5597="331",O5597="331")),"x","")</f>
        <v/>
      </c>
      <c r="Q5597" s="75" t="str">
        <f>IF(AND(B5597='111'!$L$11,OR($N5597=$Q$7,$O5597=$Q$7)),"x","")</f>
        <v/>
      </c>
      <c r="R5597" s="75" t="str">
        <f>IF(AND($N5597=$Q$7,$B5597&lt;'111'!$L$11),"x","")</f>
        <v/>
      </c>
      <c r="S5597" s="75" t="str">
        <f>IF(AND($O5597=$Q$7,$B5597&lt;'111'!$L$11),"x","")</f>
        <v/>
      </c>
      <c r="T5597" s="75" t="str">
        <f>IF(ISERROR(FIND('112'!$M$9,G5597,1)),"",IF((AND(FIND('112'!$M$9,G5597,1)&gt;=1,B5597='112'!$K$9,OR($N5597='112'!$I$6,$O5597='112'!$I$6))),"x",""))</f>
        <v/>
      </c>
      <c r="U5597" s="75" t="str">
        <f>IF(ISERROR(FIND('112'!$M$9,G5597,1)),"",IF((AND(LEFT(G5597,2)=LEFT('112'!$M$9,2),B5597&lt;'112'!$K$9,$N5597='112'!$I$6)),"x",""))</f>
        <v/>
      </c>
      <c r="V5597" s="75" t="str">
        <f>IF(ISERROR(FIND('112'!$M$9,G5597,1)),"",IF((AND(RIGHT(G5597,2)=RIGHT('112'!$M$9,2),B5597&lt;'112'!$K$9,$O5597='112'!$I$6)),"x",""))</f>
        <v/>
      </c>
      <c r="W5597" s="75" t="str">
        <f>IF(AND('341-CT'!$H$9=H5597,OR(LEFT(N5597,3)=$W$7,LEFT(O5597,3)=$W$7)),"x","")</f>
        <v/>
      </c>
      <c r="X5597" s="75" t="str">
        <f>IF(OR(TH!N5644=TH!$X$7,O5597=TH!$X$7),"x","")</f>
        <v/>
      </c>
      <c r="Y5597" s="75" t="str">
        <f>IF(AND(OR(N5597="131",O5597="131"),H5597='131-CT'!$H$9),"x","")</f>
        <v/>
      </c>
      <c r="Z5597" s="75"/>
      <c r="AA5597" s="75" t="str">
        <f>IF(AND(MONTH(E5597)='IN-NX'!$J$5,'IN-NX'!$D$7=D5597),"x","")</f>
        <v/>
      </c>
      <c r="AB5597" s="75" t="str">
        <f>IF(AND(OR(LEFT(TH!N5644,2)="15",LEFT(TH!O5644,2)="15"),LEFT(TH!O5644,3)&lt;&gt;"111",'152-CT'!$J$8=TH!F5644),"x","")</f>
        <v/>
      </c>
      <c r="AC5597" s="75" t="str">
        <f>IF(AND(OR(LEFT(TH!N5644,2)="15",LEFT(TH!O5644,2)="15"),TK!$E$7=TH!F5644),"x","")</f>
        <v/>
      </c>
      <c r="AD5597" s="75" t="str">
        <f>IF(AND(N5597="1521",MONTH(C5597)='BK-NL'!$M$11),"x","")</f>
        <v/>
      </c>
      <c r="AE5597">
        <v>12</v>
      </c>
    </row>
    <row r="5598" spans="1:33" ht="16.5" customHeight="1">
      <c r="A5598" s="309" t="str">
        <f>IF(B5598&lt;&gt;"",IF(AND(B5598='IN-TC'!$S$4,OR(TH!N5581="1111",TH!O5581="1111")),TH!D5581,""),"")</f>
        <v/>
      </c>
      <c r="B5598" s="1159">
        <f t="shared" si="1360"/>
        <v>12</v>
      </c>
      <c r="C5598" s="292">
        <f t="shared" si="1359"/>
        <v>43088</v>
      </c>
      <c r="D5598" s="59" t="s">
        <v>902</v>
      </c>
      <c r="E5598" s="59">
        <v>43088</v>
      </c>
      <c r="F5598" s="62" t="s">
        <v>1314</v>
      </c>
      <c r="G5598" s="293" t="s">
        <v>747</v>
      </c>
      <c r="H5598" s="67" t="s">
        <v>835</v>
      </c>
      <c r="I5598" s="373"/>
      <c r="J5598" s="382"/>
      <c r="K5598" s="373"/>
      <c r="L5598" s="379"/>
      <c r="M5598" s="60">
        <v>100000</v>
      </c>
      <c r="N5598" s="61" t="s">
        <v>9</v>
      </c>
      <c r="O5598" s="61" t="s">
        <v>26</v>
      </c>
      <c r="P5598" s="75" t="str">
        <f>IF(AND('331-CT'!$E$7=TH!H5645,OR(N5598="331",O5598="331")),"x","")</f>
        <v/>
      </c>
      <c r="Q5598" s="75" t="str">
        <f>IF(AND(B5598='111'!$L$11,OR($N5598=$Q$7,$O5598=$Q$7)),"x","")</f>
        <v/>
      </c>
      <c r="R5598" s="75" t="str">
        <f>IF(AND($N5598=$Q$7,$B5598&lt;'111'!$L$11),"x","")</f>
        <v/>
      </c>
      <c r="S5598" s="75" t="str">
        <f>IF(AND($O5598=$Q$7,$B5598&lt;'111'!$L$11),"x","")</f>
        <v/>
      </c>
      <c r="T5598" s="75" t="str">
        <f>IF(ISERROR(FIND('112'!$M$9,G5598,1)),"",IF((AND(FIND('112'!$M$9,G5598,1)&gt;=1,B5598='112'!$K$9,OR($N5598='112'!$I$6,$O5598='112'!$I$6))),"x",""))</f>
        <v/>
      </c>
      <c r="U5598" s="75" t="str">
        <f>IF(ISERROR(FIND('112'!$M$9,G5598,1)),"",IF((AND(LEFT(G5598,2)=LEFT('112'!$M$9,2),B5598&lt;'112'!$K$9,$N5598='112'!$I$6)),"x",""))</f>
        <v/>
      </c>
      <c r="V5598" s="75" t="str">
        <f>IF(ISERROR(FIND('112'!$M$9,G5598,1)),"",IF((AND(RIGHT(G5598,2)=RIGHT('112'!$M$9,2),B5598&lt;'112'!$K$9,$O5598='112'!$I$6)),"x",""))</f>
        <v/>
      </c>
      <c r="W5598" s="75" t="str">
        <f>IF(AND('341-CT'!$H$9=H5598,OR(LEFT(N5598,3)=$W$7,LEFT(O5598,3)=$W$7)),"x","")</f>
        <v/>
      </c>
      <c r="X5598" s="75" t="str">
        <f>IF(OR(TH!N5645=TH!$X$7,O5598=TH!$X$7),"x","")</f>
        <v/>
      </c>
      <c r="Y5598" s="75" t="str">
        <f>IF(AND(OR(N5598="131",O5598="131"),H5598='131-CT'!$H$9),"x","")</f>
        <v/>
      </c>
      <c r="Z5598" s="75"/>
      <c r="AA5598" s="75" t="str">
        <f>IF(AND(MONTH(E5598)='IN-NX'!$J$5,'IN-NX'!$D$7=D5598),"x","")</f>
        <v/>
      </c>
      <c r="AB5598" s="75" t="str">
        <f>IF(AND(OR(LEFT(TH!N5645,2)="15",LEFT(TH!O5645,2)="15"),LEFT(TH!O5645,3)&lt;&gt;"111",'152-CT'!$J$8=TH!F5645),"x","")</f>
        <v/>
      </c>
      <c r="AC5598" s="75" t="str">
        <f>IF(AND(OR(LEFT(TH!N5645,2)="15",LEFT(TH!O5645,2)="15"),TK!$E$7=TH!F5645),"x","")</f>
        <v/>
      </c>
      <c r="AD5598" s="75" t="str">
        <f>IF(AND(N5598="1521",MONTH(C5598)='BK-NL'!$M$11),"x","")</f>
        <v/>
      </c>
      <c r="AE5598">
        <v>12</v>
      </c>
    </row>
    <row r="5599" spans="1:33" ht="16.5" customHeight="1">
      <c r="A5599" s="309" t="str">
        <f>IF(B5599&lt;&gt;"",IF(AND(B5599='IN-TC'!$S$4,OR(TH!N5582="1111",TH!O5582="1111")),TH!D5582,""),"")</f>
        <v/>
      </c>
      <c r="B5599" s="1159">
        <f t="shared" si="1360"/>
        <v>12</v>
      </c>
      <c r="C5599" s="292">
        <f t="shared" si="1359"/>
        <v>43089</v>
      </c>
      <c r="D5599" s="59"/>
      <c r="E5599" s="59">
        <v>43089</v>
      </c>
      <c r="F5599" s="62" t="s">
        <v>1499</v>
      </c>
      <c r="G5599" s="742" t="s">
        <v>2833</v>
      </c>
      <c r="H5599" s="67" t="s">
        <v>893</v>
      </c>
      <c r="I5599" s="375"/>
      <c r="J5599" s="382"/>
      <c r="K5599" s="375"/>
      <c r="L5599" s="381"/>
      <c r="M5599" s="60">
        <v>1688291</v>
      </c>
      <c r="N5599" s="61" t="s">
        <v>101</v>
      </c>
      <c r="O5599" s="61" t="s">
        <v>63</v>
      </c>
      <c r="P5599" s="75" t="str">
        <f>IF(AND('331-CT'!$E$7=TH!H4165,OR(N5599="331",O5599="331")),"x","")</f>
        <v/>
      </c>
      <c r="Q5599" s="75" t="str">
        <f>IF(AND(B5599='111'!$L$11,OR($N5599=$Q$7,$O5599=$Q$7)),"x","")</f>
        <v>x</v>
      </c>
      <c r="R5599" s="75" t="str">
        <f>IF(AND($N5599=$Q$7,$B5599&lt;'111'!$L$11),"x","")</f>
        <v/>
      </c>
      <c r="S5599" s="75" t="str">
        <f>IF(AND($O5599=$Q$7,$B5599&lt;'111'!$L$11),"x","")</f>
        <v/>
      </c>
      <c r="T5599" s="75" t="str">
        <f>IF(ISERROR(FIND('112'!$M$9,G5599,1)),"",IF((AND(FIND('112'!$M$9,G5599,1)&gt;=1,B5599='112'!$K$9,OR($N5599='112'!$I$6,$O5599='112'!$I$6))),"x",""))</f>
        <v/>
      </c>
      <c r="U5599" s="75" t="str">
        <f>IF(ISERROR(FIND('112'!$M$9,G5599,1)),"",IF((AND(LEFT(G5599,2)=LEFT('112'!$M$9,2),B5599&lt;'112'!$K$9,$N5599='112'!$I$6)),"x",""))</f>
        <v/>
      </c>
      <c r="V5599" s="75" t="str">
        <f>IF(ISERROR(FIND('112'!$M$9,G5599,1)),"",IF((AND(RIGHT(G5599,2)=RIGHT('112'!$M$9,2),B5599&lt;'112'!$K$9,$O5599='112'!$I$6)),"x",""))</f>
        <v/>
      </c>
      <c r="W5599" s="75" t="str">
        <f>IF(AND('341-CT'!$H$9=H5599,OR(LEFT(N5599,3)=$W$7,LEFT(O5599,3)=$W$7)),"x","")</f>
        <v/>
      </c>
      <c r="X5599" s="75" t="str">
        <f>IF(OR(TH!N4165=TH!$X$7,O5599=TH!$X$7),"x","")</f>
        <v/>
      </c>
      <c r="Y5599" s="75" t="str">
        <f>IF(AND(OR(N5599="131",O5599="131"),H5599='131-CT'!$H$9),"x","")</f>
        <v/>
      </c>
      <c r="Z5599" s="75"/>
      <c r="AA5599" s="75" t="str">
        <f>IF(AND(MONTH(E5599)='IN-NX'!$J$5,'IN-NX'!$D$7=D5599),"x","")</f>
        <v/>
      </c>
      <c r="AB5599" s="75" t="str">
        <f>IF(AND(OR(LEFT(TH!N4165,2)="15",LEFT(TH!O4165,2)="15"),LEFT(TH!O4165,3)&lt;&gt;"111",'152-CT'!$J$8=TH!F4165),"x","")</f>
        <v/>
      </c>
      <c r="AC5599" s="75" t="str">
        <f>IF(AND(OR(LEFT(TH!N4165,2)="15",LEFT(TH!O4165,2)="15"),TK!$E$7=TH!F4165),"x","")</f>
        <v/>
      </c>
      <c r="AD5599" s="75" t="str">
        <f>IF(AND(N5599="1521",MONTH(C5599)='BK-NL'!$M$11),"x","")</f>
        <v/>
      </c>
      <c r="AE5599">
        <v>12</v>
      </c>
    </row>
    <row r="5600" spans="1:33" ht="16.5" customHeight="1">
      <c r="A5600" s="309" t="str">
        <f>IF(B5600&lt;&gt;"",IF(AND(B5600='IN-TC'!$S$4,OR(TH!N5583="1111",TH!O5583="1111")),TH!D5583,""),"")</f>
        <v/>
      </c>
      <c r="B5600" s="1159">
        <f t="shared" si="1360"/>
        <v>12</v>
      </c>
      <c r="C5600" s="292">
        <f t="shared" si="1359"/>
        <v>43089</v>
      </c>
      <c r="D5600" s="59"/>
      <c r="E5600" s="59">
        <v>43089</v>
      </c>
      <c r="F5600" s="62" t="s">
        <v>1500</v>
      </c>
      <c r="G5600" s="742" t="s">
        <v>2833</v>
      </c>
      <c r="H5600" s="67" t="s">
        <v>893</v>
      </c>
      <c r="I5600" s="375"/>
      <c r="J5600" s="382"/>
      <c r="K5600" s="375"/>
      <c r="L5600" s="381"/>
      <c r="M5600" s="60">
        <v>168829</v>
      </c>
      <c r="N5600" s="61" t="s">
        <v>9</v>
      </c>
      <c r="O5600" s="61" t="s">
        <v>63</v>
      </c>
      <c r="P5600" s="75" t="str">
        <f>IF(AND('331-CT'!$E$7=TH!H4166,OR(N5600="331",O5600="331")),"x","")</f>
        <v/>
      </c>
      <c r="Q5600" s="75" t="str">
        <f>IF(AND(B5600='111'!$L$11,OR($N5600=$Q$7,$O5600=$Q$7)),"x","")</f>
        <v>x</v>
      </c>
      <c r="R5600" s="75" t="str">
        <f>IF(AND($N5600=$Q$7,$B5600&lt;'111'!$L$11),"x","")</f>
        <v/>
      </c>
      <c r="S5600" s="75" t="str">
        <f>IF(AND($O5600=$Q$7,$B5600&lt;'111'!$L$11),"x","")</f>
        <v/>
      </c>
      <c r="T5600" s="75" t="str">
        <f>IF(ISERROR(FIND('112'!$M$9,G5600,1)),"",IF((AND(FIND('112'!$M$9,G5600,1)&gt;=1,B5600='112'!$K$9,OR($N5600='112'!$I$6,$O5600='112'!$I$6))),"x",""))</f>
        <v/>
      </c>
      <c r="U5600" s="75" t="str">
        <f>IF(ISERROR(FIND('112'!$M$9,G5600,1)),"",IF((AND(LEFT(G5600,2)=LEFT('112'!$M$9,2),B5600&lt;'112'!$K$9,$N5600='112'!$I$6)),"x",""))</f>
        <v/>
      </c>
      <c r="V5600" s="75" t="str">
        <f>IF(ISERROR(FIND('112'!$M$9,G5600,1)),"",IF((AND(RIGHT(G5600,2)=RIGHT('112'!$M$9,2),B5600&lt;'112'!$K$9,$O5600='112'!$I$6)),"x",""))</f>
        <v/>
      </c>
      <c r="W5600" s="75" t="str">
        <f>IF(AND('341-CT'!$H$9=H5600,OR(LEFT(N5600,3)=$W$7,LEFT(O5600,3)=$W$7)),"x","")</f>
        <v/>
      </c>
      <c r="X5600" s="75" t="str">
        <f>IF(OR(TH!N4166=TH!$X$7,O5600=TH!$X$7),"x","")</f>
        <v/>
      </c>
      <c r="Y5600" s="75" t="str">
        <f>IF(AND(OR(N5600="131",O5600="131"),H5600='131-CT'!$H$9),"x","")</f>
        <v/>
      </c>
      <c r="Z5600" s="75"/>
      <c r="AA5600" s="75" t="str">
        <f>IF(AND(MONTH(E5600)='IN-NX'!$J$5,'IN-NX'!$D$7=D5600),"x","")</f>
        <v/>
      </c>
      <c r="AB5600" s="75" t="str">
        <f>IF(AND(OR(LEFT(TH!N4166,2)="15",LEFT(TH!O4166,2)="15"),LEFT(TH!O4166,3)&lt;&gt;"111",'152-CT'!$J$8=TH!F4166),"x","")</f>
        <v/>
      </c>
      <c r="AC5600" s="75" t="str">
        <f>IF(AND(OR(LEFT(TH!N4166,2)="15",LEFT(TH!O4166,2)="15"),TK!$E$7=TH!F4166),"x","")</f>
        <v/>
      </c>
      <c r="AD5600" s="75" t="str">
        <f>IF(AND(N5600="1521",MONTH(C5600)='BK-NL'!$M$11),"x","")</f>
        <v/>
      </c>
      <c r="AE5600">
        <v>12</v>
      </c>
    </row>
    <row r="5601" spans="1:33" ht="16.5" customHeight="1">
      <c r="A5601" s="309" t="str">
        <f>IF(B5601&lt;&gt;"",IF(AND(B5601='IN-TC'!$S$4,OR(TH!N5584="1111",TH!O5584="1111")),TH!D5584,""),"")</f>
        <v/>
      </c>
      <c r="B5601" s="1159">
        <f t="shared" si="1360"/>
        <v>12</v>
      </c>
      <c r="C5601" s="292">
        <f t="shared" si="1359"/>
        <v>43089</v>
      </c>
      <c r="D5601" s="292" t="s">
        <v>902</v>
      </c>
      <c r="E5601" s="292">
        <v>43089</v>
      </c>
      <c r="F5601" s="67" t="s">
        <v>2775</v>
      </c>
      <c r="G5601" s="943" t="s">
        <v>1713</v>
      </c>
      <c r="H5601" s="67" t="s">
        <v>1771</v>
      </c>
      <c r="I5601" s="373"/>
      <c r="J5601" s="926"/>
      <c r="K5601" s="373"/>
      <c r="L5601" s="379"/>
      <c r="M5601" s="927">
        <v>1424686</v>
      </c>
      <c r="N5601" s="295" t="s">
        <v>101</v>
      </c>
      <c r="O5601" s="295" t="s">
        <v>26</v>
      </c>
      <c r="P5601" s="75" t="str">
        <f>IF(AND('331-CT'!$E$7=TH!H4589,OR(N5601="331",O5601="331")),"x","")</f>
        <v/>
      </c>
      <c r="Q5601" s="75" t="str">
        <f>IF(AND(B5601='111'!$L$11,OR($N5601=$Q$7,$O5601=$Q$7)),"x","")</f>
        <v/>
      </c>
      <c r="R5601" s="75" t="str">
        <f>IF(AND($N5601=$Q$7,$B5601&lt;'111'!$L$11),"x","")</f>
        <v/>
      </c>
      <c r="S5601" s="75" t="str">
        <f>IF(AND($O5601=$Q$7,$B5601&lt;'111'!$L$11),"x","")</f>
        <v/>
      </c>
      <c r="T5601" s="75" t="str">
        <f>IF(ISERROR(FIND('112'!$M$9,G5601,1)),"",IF((AND(FIND('112'!$M$9,G5601,1)&gt;=1,B5601='112'!$K$9,OR($N5601='112'!$I$6,$O5601='112'!$I$6))),"x",""))</f>
        <v/>
      </c>
      <c r="U5601" s="75" t="str">
        <f>IF(ISERROR(FIND('112'!$M$9,G5601,1)),"",IF((AND(LEFT(G5601,2)=LEFT('112'!$M$9,2),B5601&lt;'112'!$K$9,$N5601='112'!$I$6)),"x",""))</f>
        <v/>
      </c>
      <c r="V5601" s="75" t="str">
        <f>IF(ISERROR(FIND('112'!$M$9,G5601,1)),"",IF((AND(RIGHT(G5601,2)=RIGHT('112'!$M$9,2),B5601&lt;'112'!$K$9,$O5601='112'!$I$6)),"x",""))</f>
        <v/>
      </c>
      <c r="W5601" s="75" t="str">
        <f>IF(AND('341-CT'!$H$9=H5601,OR(LEFT(N5601,3)=$W$7,LEFT(O5601,3)=$W$7)),"x","")</f>
        <v/>
      </c>
      <c r="X5601" s="75" t="str">
        <f>IF(OR(TH!N4589=TH!$X$7,O5601=TH!$X$7),"x","")</f>
        <v/>
      </c>
      <c r="Y5601" s="75" t="str">
        <f>IF(AND(OR(N5601="131",O5601="131"),H5601='131-CT'!$H$9),"x","")</f>
        <v/>
      </c>
      <c r="Z5601" s="75"/>
      <c r="AA5601" s="75" t="str">
        <f>IF(AND(MONTH(E5601)='IN-NX'!$J$5,'IN-NX'!$D$7=D5601),"x","")</f>
        <v/>
      </c>
      <c r="AB5601" s="75" t="str">
        <f>IF(AND(OR(LEFT(TH!N4589,2)="15",LEFT(TH!O4589,2)="15"),LEFT(TH!O4589,3)&lt;&gt;"111",'152-CT'!$J$8=TH!F4589),"x","")</f>
        <v/>
      </c>
      <c r="AC5601" s="75" t="str">
        <f>IF(AND(OR(LEFT(TH!N4589,2)="15",LEFT(TH!O4589,2)="15"),TK!$E$7=TH!F4589),"x","")</f>
        <v/>
      </c>
      <c r="AD5601" s="75" t="str">
        <f>IF(AND(N5601="1521",MONTH(C5601)='BK-NL'!$M$11),"x","")</f>
        <v/>
      </c>
    </row>
    <row r="5602" spans="1:33" ht="16.5" customHeight="1">
      <c r="A5602" s="309" t="str">
        <f>IF(B5602&lt;&gt;"",IF(AND(B5602='IN-TC'!$S$4,OR(TH!N5585="1111",TH!O5585="1111")),TH!D5585,""),"")</f>
        <v/>
      </c>
      <c r="B5602" s="1159">
        <f t="shared" si="1360"/>
        <v>12</v>
      </c>
      <c r="C5602" s="292">
        <f t="shared" si="1359"/>
        <v>43089</v>
      </c>
      <c r="D5602" s="292" t="s">
        <v>902</v>
      </c>
      <c r="E5602" s="292">
        <v>43089</v>
      </c>
      <c r="F5602" s="67" t="s">
        <v>2775</v>
      </c>
      <c r="G5602" s="943" t="s">
        <v>1713</v>
      </c>
      <c r="H5602" s="67" t="s">
        <v>1771</v>
      </c>
      <c r="I5602" s="373"/>
      <c r="J5602" s="926"/>
      <c r="K5602" s="373"/>
      <c r="L5602" s="379"/>
      <c r="M5602" s="927">
        <v>1496583</v>
      </c>
      <c r="N5602" s="295" t="s">
        <v>101</v>
      </c>
      <c r="O5602" s="295" t="s">
        <v>26</v>
      </c>
      <c r="P5602" s="75" t="str">
        <f>IF(AND('331-CT'!$E$7=TH!H4590,OR(N5602="331",O5602="331")),"x","")</f>
        <v/>
      </c>
      <c r="Q5602" s="75" t="str">
        <f>IF(AND(B5602='111'!$L$11,OR($N5602=$Q$7,$O5602=$Q$7)),"x","")</f>
        <v/>
      </c>
      <c r="R5602" s="75" t="str">
        <f>IF(AND($N5602=$Q$7,$B5602&lt;'111'!$L$11),"x","")</f>
        <v/>
      </c>
      <c r="S5602" s="75" t="str">
        <f>IF(AND($O5602=$Q$7,$B5602&lt;'111'!$L$11),"x","")</f>
        <v/>
      </c>
      <c r="T5602" s="75" t="str">
        <f>IF(ISERROR(FIND('112'!$M$9,G5602,1)),"",IF((AND(FIND('112'!$M$9,G5602,1)&gt;=1,B5602='112'!$K$9,OR($N5602='112'!$I$6,$O5602='112'!$I$6))),"x",""))</f>
        <v/>
      </c>
      <c r="U5602" s="75" t="str">
        <f>IF(ISERROR(FIND('112'!$M$9,G5602,1)),"",IF((AND(LEFT(G5602,2)=LEFT('112'!$M$9,2),B5602&lt;'112'!$K$9,$N5602='112'!$I$6)),"x",""))</f>
        <v/>
      </c>
      <c r="V5602" s="75" t="str">
        <f>IF(ISERROR(FIND('112'!$M$9,G5602,1)),"",IF((AND(RIGHT(G5602,2)=RIGHT('112'!$M$9,2),B5602&lt;'112'!$K$9,$O5602='112'!$I$6)),"x",""))</f>
        <v/>
      </c>
      <c r="W5602" s="75" t="str">
        <f>IF(AND('341-CT'!$H$9=H5602,OR(LEFT(N5602,3)=$W$7,LEFT(O5602,3)=$W$7)),"x","")</f>
        <v/>
      </c>
      <c r="X5602" s="75" t="str">
        <f>IF(OR(TH!N4590=TH!$X$7,O5602=TH!$X$7),"x","")</f>
        <v/>
      </c>
      <c r="Y5602" s="75" t="str">
        <f>IF(AND(OR(N5602="131",O5602="131"),H5602='131-CT'!$H$9),"x","")</f>
        <v/>
      </c>
      <c r="Z5602" s="75"/>
      <c r="AA5602" s="75" t="str">
        <f>IF(AND(MONTH(E5602)='IN-NX'!$J$5,'IN-NX'!$D$7=D5602),"x","")</f>
        <v/>
      </c>
      <c r="AB5602" s="75" t="str">
        <f>IF(AND(OR(LEFT(TH!N4590,2)="15",LEFT(TH!O4590,2)="15"),LEFT(TH!O4590,3)&lt;&gt;"111",'152-CT'!$J$8=TH!F4590),"x","")</f>
        <v/>
      </c>
      <c r="AC5602" s="75" t="str">
        <f>IF(AND(OR(LEFT(TH!N4590,2)="15",LEFT(TH!O4590,2)="15"),TK!$E$7=TH!F4590),"x","")</f>
        <v/>
      </c>
      <c r="AD5602" s="75" t="str">
        <f>IF(AND(N5602="1521",MONTH(C5602)='BK-NL'!$M$11),"x","")</f>
        <v/>
      </c>
    </row>
    <row r="5603" spans="1:33" ht="16.5" customHeight="1">
      <c r="A5603" s="309" t="str">
        <f>IF(B5603&lt;&gt;"",IF(AND(B5603='IN-TC'!$S$4,OR(TH!N5586="1111",TH!O5586="1111")),TH!D5586,""),"")</f>
        <v/>
      </c>
      <c r="B5603" s="1159">
        <f t="shared" si="1360"/>
        <v>12</v>
      </c>
      <c r="C5603" s="292">
        <f t="shared" si="1359"/>
        <v>43090</v>
      </c>
      <c r="D5603" s="59"/>
      <c r="E5603" s="59">
        <v>43090</v>
      </c>
      <c r="F5603" s="62" t="s">
        <v>2820</v>
      </c>
      <c r="G5603" s="742" t="s">
        <v>2821</v>
      </c>
      <c r="H5603" s="67" t="s">
        <v>1720</v>
      </c>
      <c r="I5603" s="375"/>
      <c r="J5603" s="382"/>
      <c r="K5603" s="375"/>
      <c r="L5603" s="381"/>
      <c r="M5603" s="60">
        <v>5850000</v>
      </c>
      <c r="N5603" s="61" t="s">
        <v>101</v>
      </c>
      <c r="O5603" s="61" t="s">
        <v>63</v>
      </c>
      <c r="P5603" s="75" t="str">
        <f>IF(AND('331-CT'!$E$7=TH!H4167,OR(N5603="331",O5603="331")),"x","")</f>
        <v/>
      </c>
      <c r="Q5603" s="75" t="str">
        <f>IF(AND(B5603='111'!$L$11,OR($N5603=$Q$7,$O5603=$Q$7)),"x","")</f>
        <v>x</v>
      </c>
      <c r="R5603" s="75" t="str">
        <f>IF(AND($N5603=$Q$7,$B5603&lt;'111'!$L$11),"x","")</f>
        <v/>
      </c>
      <c r="S5603" s="75" t="str">
        <f>IF(AND($O5603=$Q$7,$B5603&lt;'111'!$L$11),"x","")</f>
        <v/>
      </c>
      <c r="T5603" s="75" t="str">
        <f>IF(ISERROR(FIND('112'!$M$9,G5603,1)),"",IF((AND(FIND('112'!$M$9,G5603,1)&gt;=1,B5603='112'!$K$9,OR($N5603='112'!$I$6,$O5603='112'!$I$6))),"x",""))</f>
        <v/>
      </c>
      <c r="U5603" s="75" t="str">
        <f>IF(ISERROR(FIND('112'!$M$9,G5603,1)),"",IF((AND(LEFT(G5603,2)=LEFT('112'!$M$9,2),B5603&lt;'112'!$K$9,$N5603='112'!$I$6)),"x",""))</f>
        <v/>
      </c>
      <c r="V5603" s="75" t="str">
        <f>IF(ISERROR(FIND('112'!$M$9,G5603,1)),"",IF((AND(RIGHT(G5603,2)=RIGHT('112'!$M$9,2),B5603&lt;'112'!$K$9,$O5603='112'!$I$6)),"x",""))</f>
        <v/>
      </c>
      <c r="W5603" s="75" t="str">
        <f>IF(AND('341-CT'!$H$9=H5603,OR(LEFT(N5603,3)=$W$7,LEFT(O5603,3)=$W$7)),"x","")</f>
        <v/>
      </c>
      <c r="X5603" s="75" t="str">
        <f>IF(OR(TH!N4167=TH!$X$7,O5603=TH!$X$7),"x","")</f>
        <v/>
      </c>
      <c r="Y5603" s="75" t="str">
        <f>IF(AND(OR(N5603="131",O5603="131"),H5603='131-CT'!$H$9),"x","")</f>
        <v/>
      </c>
      <c r="Z5603" s="75"/>
      <c r="AA5603" s="75" t="str">
        <f>IF(AND(MONTH(E5603)='IN-NX'!$J$5,'IN-NX'!$D$7=D5603),"x","")</f>
        <v/>
      </c>
      <c r="AB5603" s="75" t="str">
        <f>IF(AND(OR(LEFT(TH!N4167,2)="15",LEFT(TH!O4167,2)="15"),LEFT(TH!O4167,3)&lt;&gt;"111",'152-CT'!$J$8=TH!F4167),"x","")</f>
        <v/>
      </c>
      <c r="AC5603" s="75" t="str">
        <f>IF(AND(OR(LEFT(TH!N4167,2)="15",LEFT(TH!O4167,2)="15"),TK!$E$7=TH!F4167),"x","")</f>
        <v/>
      </c>
      <c r="AD5603" s="75" t="str">
        <f>IF(AND(N5603="1521",MONTH(C5603)='BK-NL'!$M$11),"x","")</f>
        <v/>
      </c>
    </row>
    <row r="5604" spans="1:33" ht="16.5" customHeight="1">
      <c r="A5604" s="309" t="str">
        <f>IF(B5604&lt;&gt;"",IF(AND(B5604='IN-TC'!$S$4,OR(TH!N5587="1111",TH!O5587="1111")),TH!D5587,""),"")</f>
        <v/>
      </c>
      <c r="B5604" s="1159">
        <f t="shared" si="1360"/>
        <v>12</v>
      </c>
      <c r="C5604" s="292">
        <f t="shared" si="1359"/>
        <v>43090</v>
      </c>
      <c r="D5604" s="970" t="s">
        <v>903</v>
      </c>
      <c r="E5604" s="970">
        <v>43090</v>
      </c>
      <c r="F5604" s="67" t="s">
        <v>252</v>
      </c>
      <c r="G5604" s="971" t="s">
        <v>1713</v>
      </c>
      <c r="H5604" s="1265" t="s">
        <v>1771</v>
      </c>
      <c r="I5604" s="968"/>
      <c r="J5604" s="972"/>
      <c r="K5604" s="968">
        <v>41000</v>
      </c>
      <c r="L5604" s="967">
        <v>22705</v>
      </c>
      <c r="M5604" s="74">
        <f>ROUND(K5604*L5604,0)</f>
        <v>930905000</v>
      </c>
      <c r="N5604" s="973" t="s">
        <v>26</v>
      </c>
      <c r="O5604" s="973" t="s">
        <v>256</v>
      </c>
      <c r="P5604" s="75" t="str">
        <f>IF(AND('331-CT'!$E$7=TH!H4591,OR(N5604="331",O5604="331")),"x","")</f>
        <v/>
      </c>
      <c r="Q5604" s="75" t="str">
        <f>IF(AND(B5604='111'!$L$11,OR($N5604=$Q$7,$O5604=$Q$7)),"x","")</f>
        <v/>
      </c>
      <c r="R5604" s="75" t="str">
        <f>IF(AND($N5604=$Q$7,$B5604&lt;'111'!$L$11),"x","")</f>
        <v/>
      </c>
      <c r="S5604" s="75" t="str">
        <f>IF(AND($O5604=$Q$7,$B5604&lt;'111'!$L$11),"x","")</f>
        <v/>
      </c>
      <c r="T5604" s="75" t="str">
        <f>IF(ISERROR(FIND('112'!$M$9,G5604,1)),"",IF((AND(FIND('112'!$M$9,G5604,1)&gt;=1,B5604='112'!$K$9,OR($N5604='112'!$I$6,$O5604='112'!$I$6))),"x",""))</f>
        <v/>
      </c>
      <c r="U5604" s="75" t="str">
        <f>IF(ISERROR(FIND('112'!$M$9,G5604,1)),"",IF((AND(LEFT(G5604,2)=LEFT('112'!$M$9,2),B5604&lt;'112'!$K$9,$N5604='112'!$I$6)),"x",""))</f>
        <v/>
      </c>
      <c r="V5604" s="75" t="str">
        <f>IF(ISERROR(FIND('112'!$M$9,G5604,1)),"",IF((AND(RIGHT(G5604,2)=RIGHT('112'!$M$9,2),B5604&lt;'112'!$K$9,$O5604='112'!$I$6)),"x",""))</f>
        <v/>
      </c>
      <c r="W5604" s="75" t="str">
        <f>IF(AND('341-CT'!$H$9=H5604,OR(LEFT(N5604,3)=$W$7,LEFT(O5604,3)=$W$7)),"x","")</f>
        <v/>
      </c>
      <c r="X5604" s="75" t="str">
        <f>IF(OR(TH!N4591=TH!$X$7,O5604=TH!$X$7),"x","")</f>
        <v/>
      </c>
      <c r="Y5604" s="75" t="str">
        <f>IF(AND(OR(N5604="131",O5604="131"),H5604='131-CT'!$H$9),"x","")</f>
        <v/>
      </c>
      <c r="Z5604" s="75"/>
      <c r="AA5604" s="75" t="str">
        <f>IF(AND(MONTH(E5604)='IN-NX'!$J$5,'IN-NX'!$D$7=D5604),"x","")</f>
        <v/>
      </c>
      <c r="AB5604" s="75" t="str">
        <f>IF(AND(OR(LEFT(TH!N4591,2)="15",LEFT(TH!O4591,2)="15"),LEFT(TH!O4591,3)&lt;&gt;"111",'152-CT'!$J$8=TH!F4591),"x","")</f>
        <v/>
      </c>
      <c r="AC5604" s="75" t="str">
        <f>IF(AND(OR(LEFT(TH!N4591,2)="15",LEFT(TH!O4591,2)="15"),TK!$E$7=TH!F4591),"x","")</f>
        <v/>
      </c>
      <c r="AD5604" s="75" t="str">
        <f>IF(AND(N5604="1521",MONTH(C5604)='BK-NL'!$M$11),"x","")</f>
        <v/>
      </c>
      <c r="AE5604" s="1267"/>
      <c r="AF5604" s="1267"/>
      <c r="AG5604" s="1267"/>
    </row>
    <row r="5605" spans="1:33" ht="16.5" customHeight="1">
      <c r="A5605" s="309" t="str">
        <f>IF(B5605&lt;&gt;"",IF(AND(B5605='IN-TC'!$S$4,OR(TH!N5588="1111",TH!O5588="1111")),TH!D5588,""),"")</f>
        <v/>
      </c>
      <c r="B5605" s="1159">
        <f t="shared" si="1360"/>
        <v>12</v>
      </c>
      <c r="C5605" s="292">
        <f t="shared" si="1359"/>
        <v>43090</v>
      </c>
      <c r="D5605" s="292" t="s">
        <v>902</v>
      </c>
      <c r="E5605" s="292">
        <v>43090</v>
      </c>
      <c r="F5605" s="67" t="s">
        <v>930</v>
      </c>
      <c r="G5605" s="943" t="s">
        <v>1713</v>
      </c>
      <c r="H5605" s="67" t="s">
        <v>1771</v>
      </c>
      <c r="I5605" s="373"/>
      <c r="J5605" s="926"/>
      <c r="K5605" s="373"/>
      <c r="L5605" s="379"/>
      <c r="M5605" s="927">
        <v>600000000</v>
      </c>
      <c r="N5605" s="295" t="s">
        <v>72</v>
      </c>
      <c r="O5605" s="295" t="s">
        <v>26</v>
      </c>
      <c r="P5605" s="75" t="str">
        <f>IF(AND('331-CT'!$E$7=TH!H4592,OR(N5605="331",O5605="331")),"x","")</f>
        <v/>
      </c>
      <c r="Q5605" s="75" t="str">
        <f>IF(AND(B5605='111'!$L$11,OR($N5605=$Q$7,$O5605=$Q$7)),"x","")</f>
        <v/>
      </c>
      <c r="R5605" s="75" t="str">
        <f>IF(AND($N5605=$Q$7,$B5605&lt;'111'!$L$11),"x","")</f>
        <v/>
      </c>
      <c r="S5605" s="75" t="str">
        <f>IF(AND($O5605=$Q$7,$B5605&lt;'111'!$L$11),"x","")</f>
        <v/>
      </c>
      <c r="T5605" s="75" t="str">
        <f>IF(ISERROR(FIND('112'!$M$9,G5605,1)),"",IF((AND(FIND('112'!$M$9,G5605,1)&gt;=1,B5605='112'!$K$9,OR($N5605='112'!$I$6,$O5605='112'!$I$6))),"x",""))</f>
        <v/>
      </c>
      <c r="U5605" s="75" t="str">
        <f>IF(ISERROR(FIND('112'!$M$9,G5605,1)),"",IF((AND(LEFT(G5605,2)=LEFT('112'!$M$9,2),B5605&lt;'112'!$K$9,$N5605='112'!$I$6)),"x",""))</f>
        <v/>
      </c>
      <c r="V5605" s="75" t="str">
        <f>IF(ISERROR(FIND('112'!$M$9,G5605,1)),"",IF((AND(RIGHT(G5605,2)=RIGHT('112'!$M$9,2),B5605&lt;'112'!$K$9,$O5605='112'!$I$6)),"x",""))</f>
        <v/>
      </c>
      <c r="W5605" s="75" t="str">
        <f>IF(AND('341-CT'!$H$9=H5605,OR(LEFT(N5605,3)=$W$7,LEFT(O5605,3)=$W$7)),"x","")</f>
        <v/>
      </c>
      <c r="X5605" s="75" t="str">
        <f>IF(OR(TH!N4592=TH!$X$7,O5605=TH!$X$7),"x","")</f>
        <v/>
      </c>
      <c r="Y5605" s="75" t="str">
        <f>IF(AND(OR(N5605="131",O5605="131"),H5605='131-CT'!$H$9),"x","")</f>
        <v/>
      </c>
      <c r="Z5605" s="75"/>
      <c r="AA5605" s="75" t="str">
        <f>IF(AND(MONTH(E5605)='IN-NX'!$J$5,'IN-NX'!$D$7=D5605),"x","")</f>
        <v/>
      </c>
      <c r="AB5605" s="75" t="str">
        <f>IF(AND(OR(LEFT(TH!N4592,2)="15",LEFT(TH!O4592,2)="15"),LEFT(TH!O4592,3)&lt;&gt;"111",'152-CT'!$J$8=TH!F4592),"x","")</f>
        <v/>
      </c>
      <c r="AC5605" s="75" t="str">
        <f>IF(AND(OR(LEFT(TH!N4592,2)="15",LEFT(TH!O4592,2)="15"),TK!$E$7=TH!F4592),"x","")</f>
        <v/>
      </c>
      <c r="AD5605" s="75" t="str">
        <f>IF(AND(N5605="1521",MONTH(C5605)='BK-NL'!$M$11),"x","")</f>
        <v/>
      </c>
    </row>
    <row r="5606" spans="1:33" ht="16.5" customHeight="1">
      <c r="A5606" s="309" t="str">
        <f>IF(B5606&lt;&gt;"",IF(AND(B5606='IN-TC'!$S$4,OR(TH!N5589="1111",TH!O5589="1111")),TH!D5589,""),"")</f>
        <v/>
      </c>
      <c r="B5606" s="1159">
        <f t="shared" si="1360"/>
        <v>12</v>
      </c>
      <c r="C5606" s="292">
        <f t="shared" si="1359"/>
        <v>43090</v>
      </c>
      <c r="D5606" s="59" t="s">
        <v>902</v>
      </c>
      <c r="E5606" s="59">
        <v>43090</v>
      </c>
      <c r="F5606" s="67" t="s">
        <v>870</v>
      </c>
      <c r="G5606" s="62" t="s">
        <v>1713</v>
      </c>
      <c r="H5606" s="67" t="s">
        <v>1771</v>
      </c>
      <c r="I5606" s="375"/>
      <c r="J5606" s="381"/>
      <c r="K5606" s="60"/>
      <c r="L5606" s="381"/>
      <c r="M5606" s="60">
        <v>60000</v>
      </c>
      <c r="N5606" s="61" t="s">
        <v>101</v>
      </c>
      <c r="O5606" s="61" t="s">
        <v>26</v>
      </c>
      <c r="P5606" s="75" t="str">
        <f>IF(AND('331-CT'!$E$7=TH!H4593,OR(N5606="331",O5606="331")),"x","")</f>
        <v/>
      </c>
      <c r="Q5606" s="75" t="str">
        <f>IF(AND(B5606='111'!$L$11,OR($N5606=$Q$7,$O5606=$Q$7)),"x","")</f>
        <v/>
      </c>
      <c r="R5606" s="75" t="str">
        <f>IF(AND($N5606=$Q$7,$B5606&lt;'111'!$L$11),"x","")</f>
        <v/>
      </c>
      <c r="S5606" s="75" t="str">
        <f>IF(AND($O5606=$Q$7,$B5606&lt;'111'!$L$11),"x","")</f>
        <v/>
      </c>
      <c r="T5606" s="75" t="str">
        <f>IF(ISERROR(FIND('112'!$M$9,G5606,1)),"",IF((AND(FIND('112'!$M$9,G5606,1)&gt;=1,B5606='112'!$K$9,OR($N5606='112'!$I$6,$O5606='112'!$I$6))),"x",""))</f>
        <v/>
      </c>
      <c r="U5606" s="75" t="str">
        <f>IF(ISERROR(FIND('112'!$M$9,G5606,1)),"",IF((AND(LEFT(G5606,2)=LEFT('112'!$M$9,2),B5606&lt;'112'!$K$9,$N5606='112'!$I$6)),"x",""))</f>
        <v/>
      </c>
      <c r="V5606" s="75" t="str">
        <f>IF(ISERROR(FIND('112'!$M$9,G5606,1)),"",IF((AND(RIGHT(G5606,2)=RIGHT('112'!$M$9,2),B5606&lt;'112'!$K$9,$O5606='112'!$I$6)),"x",""))</f>
        <v/>
      </c>
      <c r="W5606" s="75" t="str">
        <f>IF(AND('341-CT'!$H$9=H5606,OR(LEFT(N5606,3)=$W$7,LEFT(O5606,3)=$W$7)),"x","")</f>
        <v/>
      </c>
      <c r="X5606" s="75" t="str">
        <f>IF(OR(TH!N4593=TH!$X$7,O5606=TH!$X$7),"x","")</f>
        <v/>
      </c>
      <c r="Y5606" s="75" t="str">
        <f>IF(AND(OR(N5606="131",O5606="131"),H5606='131-CT'!$H$9),"x","")</f>
        <v/>
      </c>
      <c r="Z5606" s="75"/>
      <c r="AA5606" s="75" t="str">
        <f>IF(AND(MONTH(E5606)='IN-NX'!$J$5,'IN-NX'!$D$7=D5606),"x","")</f>
        <v/>
      </c>
      <c r="AB5606" s="75" t="str">
        <f>IF(AND(OR(LEFT(TH!N4593,2)="15",LEFT(TH!O4593,2)="15"),LEFT(TH!O4593,3)&lt;&gt;"111",'152-CT'!$J$8=TH!F4593),"x","")</f>
        <v/>
      </c>
      <c r="AC5606" s="75" t="str">
        <f>IF(AND(OR(LEFT(TH!N4593,2)="15",LEFT(TH!O4593,2)="15"),TK!$E$7=TH!F4593),"x","")</f>
        <v/>
      </c>
      <c r="AD5606" s="75" t="str">
        <f>IF(AND(N5606="1521",MONTH(C5606)='BK-NL'!$M$11),"x","")</f>
        <v/>
      </c>
      <c r="AE5606" s="1053">
        <v>12</v>
      </c>
      <c r="AF5606" s="1053"/>
      <c r="AG5606" s="1053"/>
    </row>
    <row r="5607" spans="1:33" ht="16.5" customHeight="1">
      <c r="A5607" s="309" t="str">
        <f>IF(B5607&lt;&gt;"",IF(AND(B5607='IN-TC'!$S$4,OR(TH!N5590="1111",TH!O5590="1111")),TH!D5590,""),"")</f>
        <v/>
      </c>
      <c r="B5607" s="1159">
        <f t="shared" si="1360"/>
        <v>12</v>
      </c>
      <c r="C5607" s="292">
        <f t="shared" si="1359"/>
        <v>43090</v>
      </c>
      <c r="D5607" s="59" t="s">
        <v>902</v>
      </c>
      <c r="E5607" s="59">
        <v>43090</v>
      </c>
      <c r="F5607" s="67" t="s">
        <v>898</v>
      </c>
      <c r="G5607" s="62" t="s">
        <v>1713</v>
      </c>
      <c r="H5607" s="67" t="s">
        <v>1771</v>
      </c>
      <c r="I5607" s="375"/>
      <c r="J5607" s="381"/>
      <c r="K5607" s="375"/>
      <c r="L5607" s="381"/>
      <c r="M5607" s="60">
        <v>6000</v>
      </c>
      <c r="N5607" s="61" t="s">
        <v>9</v>
      </c>
      <c r="O5607" s="61" t="s">
        <v>26</v>
      </c>
      <c r="P5607" s="75" t="str">
        <f>IF(AND('331-CT'!$E$7=TH!H4594,OR(N5607="331",O5607="331")),"x","")</f>
        <v/>
      </c>
      <c r="Q5607" s="75" t="str">
        <f>IF(AND(B5607='111'!$L$11,OR($N5607=$Q$7,$O5607=$Q$7)),"x","")</f>
        <v/>
      </c>
      <c r="R5607" s="75" t="str">
        <f>IF(AND($N5607=$Q$7,$B5607&lt;'111'!$L$11),"x","")</f>
        <v/>
      </c>
      <c r="S5607" s="75" t="str">
        <f>IF(AND($O5607=$Q$7,$B5607&lt;'111'!$L$11),"x","")</f>
        <v/>
      </c>
      <c r="T5607" s="75" t="str">
        <f>IF(ISERROR(FIND('112'!$M$9,G5607,1)),"",IF((AND(FIND('112'!$M$9,G5607,1)&gt;=1,B5607='112'!$K$9,OR($N5607='112'!$I$6,$O5607='112'!$I$6))),"x",""))</f>
        <v/>
      </c>
      <c r="U5607" s="75" t="str">
        <f>IF(ISERROR(FIND('112'!$M$9,G5607,1)),"",IF((AND(LEFT(G5607,2)=LEFT('112'!$M$9,2),B5607&lt;'112'!$K$9,$N5607='112'!$I$6)),"x",""))</f>
        <v/>
      </c>
      <c r="V5607" s="75" t="str">
        <f>IF(ISERROR(FIND('112'!$M$9,G5607,1)),"",IF((AND(RIGHT(G5607,2)=RIGHT('112'!$M$9,2),B5607&lt;'112'!$K$9,$O5607='112'!$I$6)),"x",""))</f>
        <v/>
      </c>
      <c r="W5607" s="75" t="str">
        <f>IF(AND('341-CT'!$H$9=H5607,OR(LEFT(N5607,3)=$W$7,LEFT(O5607,3)=$W$7)),"x","")</f>
        <v/>
      </c>
      <c r="X5607" s="75" t="str">
        <f>IF(OR(TH!N4594=TH!$X$7,O5607=TH!$X$7),"x","")</f>
        <v/>
      </c>
      <c r="Y5607" s="75" t="str">
        <f>IF(AND(OR(N5607="131",O5607="131"),H5607='131-CT'!$H$9),"x","")</f>
        <v/>
      </c>
      <c r="Z5607" s="75"/>
      <c r="AA5607" s="75" t="str">
        <f>IF(AND(MONTH(E5607)='IN-NX'!$J$5,'IN-NX'!$D$7=D5607),"x","")</f>
        <v/>
      </c>
      <c r="AB5607" s="75" t="str">
        <f>IF(AND(OR(LEFT(TH!N4594,2)="15",LEFT(TH!O4594,2)="15"),LEFT(TH!O4594,3)&lt;&gt;"111",'152-CT'!$J$8=TH!F4594),"x","")</f>
        <v/>
      </c>
      <c r="AC5607" s="75" t="str">
        <f>IF(AND(OR(LEFT(TH!N4594,2)="15",LEFT(TH!O4594,2)="15"),TK!$E$7=TH!F4594),"x","")</f>
        <v/>
      </c>
      <c r="AD5607" s="75" t="str">
        <f>IF(AND(N5607="1521",MONTH(C5607)='BK-NL'!$M$11),"x","")</f>
        <v/>
      </c>
      <c r="AE5607" s="1053">
        <v>12</v>
      </c>
      <c r="AF5607" s="1053"/>
      <c r="AG5607" s="1053"/>
    </row>
    <row r="5608" spans="1:33" ht="16.5" customHeight="1">
      <c r="A5608" s="309" t="str">
        <f>IF(B5608&lt;&gt;"",IF(AND(B5608='IN-TC'!$S$4,OR(TH!N5591="1111",TH!O5591="1111")),TH!D5591,""),"")</f>
        <v/>
      </c>
      <c r="B5608" s="1159">
        <f t="shared" si="1360"/>
        <v>12</v>
      </c>
      <c r="C5608" s="292">
        <f t="shared" si="1359"/>
        <v>43090</v>
      </c>
      <c r="D5608" s="292" t="s">
        <v>902</v>
      </c>
      <c r="E5608" s="292">
        <v>43090</v>
      </c>
      <c r="F5608" s="67" t="s">
        <v>1210</v>
      </c>
      <c r="G5608" s="943" t="s">
        <v>1713</v>
      </c>
      <c r="H5608" s="294" t="s">
        <v>1211</v>
      </c>
      <c r="I5608" s="373"/>
      <c r="J5608" s="926"/>
      <c r="K5608" s="373"/>
      <c r="L5608" s="379"/>
      <c r="M5608" s="927">
        <v>84137190</v>
      </c>
      <c r="N5608" s="295" t="s">
        <v>541</v>
      </c>
      <c r="O5608" s="295" t="s">
        <v>26</v>
      </c>
      <c r="P5608" s="75" t="str">
        <f>IF(AND('331-CT'!$E$7=TH!H4595,OR(N5608="331",O5608="331")),"x","")</f>
        <v/>
      </c>
      <c r="Q5608" s="75" t="str">
        <f>IF(AND(B5608='111'!$L$11,OR($N5608=$Q$7,$O5608=$Q$7)),"x","")</f>
        <v/>
      </c>
      <c r="R5608" s="75" t="str">
        <f>IF(AND($N5608=$Q$7,$B5608&lt;'111'!$L$11),"x","")</f>
        <v/>
      </c>
      <c r="S5608" s="75" t="str">
        <f>IF(AND($O5608=$Q$7,$B5608&lt;'111'!$L$11),"x","")</f>
        <v/>
      </c>
      <c r="T5608" s="75" t="str">
        <f>IF(ISERROR(FIND('112'!$M$9,G5608,1)),"",IF((AND(FIND('112'!$M$9,G5608,1)&gt;=1,B5608='112'!$K$9,OR($N5608='112'!$I$6,$O5608='112'!$I$6))),"x",""))</f>
        <v/>
      </c>
      <c r="U5608" s="75" t="str">
        <f>IF(ISERROR(FIND('112'!$M$9,G5608,1)),"",IF((AND(LEFT(G5608,2)=LEFT('112'!$M$9,2),B5608&lt;'112'!$K$9,$N5608='112'!$I$6)),"x",""))</f>
        <v/>
      </c>
      <c r="V5608" s="75" t="str">
        <f>IF(ISERROR(FIND('112'!$M$9,G5608,1)),"",IF((AND(RIGHT(G5608,2)=RIGHT('112'!$M$9,2),B5608&lt;'112'!$K$9,$O5608='112'!$I$6)),"x",""))</f>
        <v/>
      </c>
      <c r="W5608" s="75" t="str">
        <f>IF(AND('341-CT'!$H$9=H5608,OR(LEFT(N5608,3)=$W$7,LEFT(O5608,3)=$W$7)),"x","")</f>
        <v/>
      </c>
      <c r="X5608" s="75" t="str">
        <f>IF(OR(TH!N4595=TH!$X$7,O5608=TH!$X$7),"x","")</f>
        <v/>
      </c>
      <c r="Y5608" s="75" t="str">
        <f>IF(AND(OR(N5608="131",O5608="131"),H5608='131-CT'!$H$9),"x","")</f>
        <v/>
      </c>
      <c r="Z5608" s="75"/>
      <c r="AA5608" s="75" t="str">
        <f>IF(AND(MONTH(E5608)='IN-NX'!$J$5,'IN-NX'!$D$7=D5608),"x","")</f>
        <v/>
      </c>
      <c r="AB5608" s="75" t="str">
        <f>IF(AND(OR(LEFT(TH!N4595,2)="15",LEFT(TH!O4595,2)="15"),LEFT(TH!O4595,3)&lt;&gt;"111",'152-CT'!$J$8=TH!F4595),"x","")</f>
        <v/>
      </c>
      <c r="AC5608" s="75" t="str">
        <f>IF(AND(OR(LEFT(TH!N4595,2)="15",LEFT(TH!O4595,2)="15"),TK!$E$7=TH!F4595),"x","")</f>
        <v/>
      </c>
      <c r="AD5608" s="75" t="str">
        <f>IF(AND(N5608="1521",MONTH(C5608)='BK-NL'!$M$11),"x","")</f>
        <v/>
      </c>
    </row>
    <row r="5609" spans="1:33" ht="16.5" customHeight="1">
      <c r="A5609" s="309" t="str">
        <f>IF(B5609&lt;&gt;"",IF(AND(B5609='IN-TC'!$S$4,OR(TH!N5592="1111",TH!O5592="1111")),TH!D5592,""),"")</f>
        <v/>
      </c>
      <c r="B5609" s="1159">
        <f t="shared" si="1360"/>
        <v>12</v>
      </c>
      <c r="C5609" s="292">
        <f t="shared" si="1359"/>
        <v>43090</v>
      </c>
      <c r="D5609" s="292" t="s">
        <v>902</v>
      </c>
      <c r="E5609" s="292">
        <v>43090</v>
      </c>
      <c r="F5609" s="67" t="s">
        <v>1217</v>
      </c>
      <c r="G5609" s="943" t="s">
        <v>1713</v>
      </c>
      <c r="H5609" s="294" t="s">
        <v>1211</v>
      </c>
      <c r="I5609" s="373"/>
      <c r="J5609" s="926"/>
      <c r="K5609" s="373"/>
      <c r="L5609" s="379"/>
      <c r="M5609" s="927">
        <v>10268108</v>
      </c>
      <c r="N5609" s="295" t="s">
        <v>542</v>
      </c>
      <c r="O5609" s="295" t="s">
        <v>26</v>
      </c>
      <c r="P5609" s="75" t="str">
        <f>IF(AND('331-CT'!$E$7=TH!H4596,OR(N5609="331",O5609="331")),"x","")</f>
        <v/>
      </c>
      <c r="Q5609" s="75" t="str">
        <f>IF(AND(B5609='111'!$L$11,OR($N5609=$Q$7,$O5609=$Q$7)),"x","")</f>
        <v/>
      </c>
      <c r="R5609" s="75" t="str">
        <f>IF(AND($N5609=$Q$7,$B5609&lt;'111'!$L$11),"x","")</f>
        <v/>
      </c>
      <c r="S5609" s="75" t="str">
        <f>IF(AND($O5609=$Q$7,$B5609&lt;'111'!$L$11),"x","")</f>
        <v/>
      </c>
      <c r="T5609" s="75" t="str">
        <f>IF(ISERROR(FIND('112'!$M$9,G5609,1)),"",IF((AND(FIND('112'!$M$9,G5609,1)&gt;=1,B5609='112'!$K$9,OR($N5609='112'!$I$6,$O5609='112'!$I$6))),"x",""))</f>
        <v/>
      </c>
      <c r="U5609" s="75" t="str">
        <f>IF(ISERROR(FIND('112'!$M$9,G5609,1)),"",IF((AND(LEFT(G5609,2)=LEFT('112'!$M$9,2),B5609&lt;'112'!$K$9,$N5609='112'!$I$6)),"x",""))</f>
        <v/>
      </c>
      <c r="V5609" s="75" t="str">
        <f>IF(ISERROR(FIND('112'!$M$9,G5609,1)),"",IF((AND(RIGHT(G5609,2)=RIGHT('112'!$M$9,2),B5609&lt;'112'!$K$9,$O5609='112'!$I$6)),"x",""))</f>
        <v/>
      </c>
      <c r="W5609" s="75" t="str">
        <f>IF(AND('341-CT'!$H$9=H5609,OR(LEFT(N5609,3)=$W$7,LEFT(O5609,3)=$W$7)),"x","")</f>
        <v/>
      </c>
      <c r="X5609" s="75" t="str">
        <f>IF(OR(TH!N4596=TH!$X$7,O5609=TH!$X$7),"x","")</f>
        <v/>
      </c>
      <c r="Y5609" s="75" t="str">
        <f>IF(AND(OR(N5609="131",O5609="131"),H5609='131-CT'!$H$9),"x","")</f>
        <v/>
      </c>
      <c r="Z5609" s="75"/>
      <c r="AA5609" s="75" t="str">
        <f>IF(AND(MONTH(E5609)='IN-NX'!$J$5,'IN-NX'!$D$7=D5609),"x","")</f>
        <v/>
      </c>
      <c r="AB5609" s="75" t="str">
        <f>IF(AND(OR(LEFT(TH!N4596,2)="15",LEFT(TH!O4596,2)="15"),LEFT(TH!O4596,3)&lt;&gt;"111",'152-CT'!$J$8=TH!F4596),"x","")</f>
        <v/>
      </c>
      <c r="AC5609" s="75" t="str">
        <f>IF(AND(OR(LEFT(TH!N4596,2)="15",LEFT(TH!O4596,2)="15"),TK!$E$7=TH!F4596),"x","")</f>
        <v/>
      </c>
      <c r="AD5609" s="75" t="str">
        <f>IF(AND(N5609="1521",MONTH(C5609)='BK-NL'!$M$11),"x","")</f>
        <v/>
      </c>
    </row>
    <row r="5610" spans="1:33" ht="16.5" customHeight="1">
      <c r="A5610" s="309" t="str">
        <f>IF(B5610&lt;&gt;"",IF(AND(B5610='IN-TC'!$S$4,OR(TH!N5593="1111",TH!O5593="1111")),TH!D5593,""),"")</f>
        <v/>
      </c>
      <c r="B5610" s="1159">
        <f t="shared" si="1360"/>
        <v>12</v>
      </c>
      <c r="C5610" s="292">
        <f t="shared" si="1359"/>
        <v>43090</v>
      </c>
      <c r="D5610" s="292" t="s">
        <v>902</v>
      </c>
      <c r="E5610" s="292">
        <v>43090</v>
      </c>
      <c r="F5610" s="67" t="s">
        <v>1218</v>
      </c>
      <c r="G5610" s="943" t="s">
        <v>1713</v>
      </c>
      <c r="H5610" s="294" t="s">
        <v>1211</v>
      </c>
      <c r="I5610" s="373"/>
      <c r="J5610" s="926"/>
      <c r="K5610" s="373"/>
      <c r="L5610" s="379"/>
      <c r="M5610" s="927">
        <v>4435472</v>
      </c>
      <c r="N5610" s="295" t="s">
        <v>543</v>
      </c>
      <c r="O5610" s="295" t="s">
        <v>26</v>
      </c>
      <c r="P5610" s="75" t="str">
        <f>IF(AND('331-CT'!$E$7=TH!H4597,OR(N5610="331",O5610="331")),"x","")</f>
        <v/>
      </c>
      <c r="Q5610" s="75" t="str">
        <f>IF(AND(B5610='111'!$L$11,OR($N5610=$Q$7,$O5610=$Q$7)),"x","")</f>
        <v/>
      </c>
      <c r="R5610" s="75" t="str">
        <f>IF(AND($N5610=$Q$7,$B5610&lt;'111'!$L$11),"x","")</f>
        <v/>
      </c>
      <c r="S5610" s="75" t="str">
        <f>IF(AND($O5610=$Q$7,$B5610&lt;'111'!$L$11),"x","")</f>
        <v/>
      </c>
      <c r="T5610" s="75" t="str">
        <f>IF(ISERROR(FIND('112'!$M$9,G5610,1)),"",IF((AND(FIND('112'!$M$9,G5610,1)&gt;=1,B5610='112'!$K$9,OR($N5610='112'!$I$6,$O5610='112'!$I$6))),"x",""))</f>
        <v/>
      </c>
      <c r="U5610" s="75" t="str">
        <f>IF(ISERROR(FIND('112'!$M$9,G5610,1)),"",IF((AND(LEFT(G5610,2)=LEFT('112'!$M$9,2),B5610&lt;'112'!$K$9,$N5610='112'!$I$6)),"x",""))</f>
        <v/>
      </c>
      <c r="V5610" s="75" t="str">
        <f>IF(ISERROR(FIND('112'!$M$9,G5610,1)),"",IF((AND(RIGHT(G5610,2)=RIGHT('112'!$M$9,2),B5610&lt;'112'!$K$9,$O5610='112'!$I$6)),"x",""))</f>
        <v/>
      </c>
      <c r="W5610" s="75" t="str">
        <f>IF(AND('341-CT'!$H$9=H5610,OR(LEFT(N5610,3)=$W$7,LEFT(O5610,3)=$W$7)),"x","")</f>
        <v/>
      </c>
      <c r="X5610" s="75" t="str">
        <f>IF(OR(TH!N4597=TH!$X$7,O5610=TH!$X$7),"x","")</f>
        <v/>
      </c>
      <c r="Y5610" s="75" t="str">
        <f>IF(AND(OR(N5610="131",O5610="131"),H5610='131-CT'!$H$9),"x","")</f>
        <v/>
      </c>
      <c r="Z5610" s="75"/>
      <c r="AA5610" s="75" t="str">
        <f>IF(AND(MONTH(E5610)='IN-NX'!$J$5,'IN-NX'!$D$7=D5610),"x","")</f>
        <v/>
      </c>
      <c r="AB5610" s="75" t="str">
        <f>IF(AND(OR(LEFT(TH!N4597,2)="15",LEFT(TH!O4597,2)="15"),LEFT(TH!O4597,3)&lt;&gt;"111",'152-CT'!$J$8=TH!F4597),"x","")</f>
        <v/>
      </c>
      <c r="AC5610" s="75" t="str">
        <f>IF(AND(OR(LEFT(TH!N4597,2)="15",LEFT(TH!O4597,2)="15"),TK!$E$7=TH!F4597),"x","")</f>
        <v/>
      </c>
      <c r="AD5610" s="75" t="str">
        <f>IF(AND(N5610="1521",MONTH(C5610)='BK-NL'!$M$11),"x","")</f>
        <v/>
      </c>
    </row>
    <row r="5611" spans="1:33" ht="16.5" customHeight="1">
      <c r="A5611" s="309" t="str">
        <f>IF(B5611&lt;&gt;"",IF(AND(B5611='IN-TC'!$S$4,OR(TH!N5594="1111",TH!O5594="1111")),TH!D5594,""),"")</f>
        <v/>
      </c>
      <c r="B5611" s="1159">
        <f t="shared" si="1360"/>
        <v>12</v>
      </c>
      <c r="C5611" s="292">
        <f t="shared" si="1359"/>
        <v>43090</v>
      </c>
      <c r="D5611" s="292" t="s">
        <v>902</v>
      </c>
      <c r="E5611" s="292">
        <v>43090</v>
      </c>
      <c r="F5611" s="67" t="s">
        <v>2776</v>
      </c>
      <c r="G5611" s="943" t="s">
        <v>1713</v>
      </c>
      <c r="H5611" s="294" t="s">
        <v>1211</v>
      </c>
      <c r="I5611" s="373"/>
      <c r="J5611" s="926"/>
      <c r="K5611" s="373"/>
      <c r="L5611" s="379"/>
      <c r="M5611" s="927">
        <v>1159230</v>
      </c>
      <c r="N5611" s="295" t="s">
        <v>19</v>
      </c>
      <c r="O5611" s="295" t="s">
        <v>26</v>
      </c>
      <c r="P5611" s="75" t="str">
        <f>IF(AND('331-CT'!$E$7=TH!H4598,OR(N5611="331",O5611="331")),"x","")</f>
        <v/>
      </c>
      <c r="Q5611" s="75" t="str">
        <f>IF(AND(B5611='111'!$L$11,OR($N5611=$Q$7,$O5611=$Q$7)),"x","")</f>
        <v/>
      </c>
      <c r="R5611" s="75" t="str">
        <f>IF(AND($N5611=$Q$7,$B5611&lt;'111'!$L$11),"x","")</f>
        <v/>
      </c>
      <c r="S5611" s="75" t="str">
        <f>IF(AND($O5611=$Q$7,$B5611&lt;'111'!$L$11),"x","")</f>
        <v/>
      </c>
      <c r="T5611" s="75" t="str">
        <f>IF(ISERROR(FIND('112'!$M$9,G5611,1)),"",IF((AND(FIND('112'!$M$9,G5611,1)&gt;=1,B5611='112'!$K$9,OR($N5611='112'!$I$6,$O5611='112'!$I$6))),"x",""))</f>
        <v/>
      </c>
      <c r="U5611" s="75" t="str">
        <f>IF(ISERROR(FIND('112'!$M$9,G5611,1)),"",IF((AND(LEFT(G5611,2)=LEFT('112'!$M$9,2),B5611&lt;'112'!$K$9,$N5611='112'!$I$6)),"x",""))</f>
        <v/>
      </c>
      <c r="V5611" s="75" t="str">
        <f>IF(ISERROR(FIND('112'!$M$9,G5611,1)),"",IF((AND(RIGHT(G5611,2)=RIGHT('112'!$M$9,2),B5611&lt;'112'!$K$9,$O5611='112'!$I$6)),"x",""))</f>
        <v/>
      </c>
      <c r="W5611" s="75" t="str">
        <f>IF(AND('341-CT'!$H$9=H5611,OR(LEFT(N5611,3)=$W$7,LEFT(O5611,3)=$W$7)),"x","")</f>
        <v/>
      </c>
      <c r="X5611" s="75" t="str">
        <f>IF(OR(TH!N4598=TH!$X$7,O5611=TH!$X$7),"x","")</f>
        <v/>
      </c>
      <c r="Y5611" s="75" t="str">
        <f>IF(AND(OR(N5611="131",O5611="131"),H5611='131-CT'!$H$9),"x","")</f>
        <v/>
      </c>
      <c r="Z5611" s="75"/>
      <c r="AA5611" s="75" t="str">
        <f>IF(AND(MONTH(E5611)='IN-NX'!$J$5,'IN-NX'!$D$7=D5611),"x","")</f>
        <v/>
      </c>
      <c r="AB5611" s="75" t="str">
        <f>IF(AND(OR(LEFT(TH!N4598,2)="15",LEFT(TH!O4598,2)="15"),LEFT(TH!O4598,3)&lt;&gt;"111",'152-CT'!$J$8=TH!F4598),"x","")</f>
        <v/>
      </c>
      <c r="AC5611" s="75" t="str">
        <f>IF(AND(OR(LEFT(TH!N4598,2)="15",LEFT(TH!O4598,2)="15"),TK!$E$7=TH!F4598),"x","")</f>
        <v/>
      </c>
      <c r="AD5611" s="75" t="str">
        <f>IF(AND(N5611="1521",MONTH(C5611)='BK-NL'!$M$11),"x","")</f>
        <v/>
      </c>
    </row>
    <row r="5612" spans="1:33" ht="16.5" customHeight="1">
      <c r="A5612" s="309" t="str">
        <f>IF(B5612&lt;&gt;"",IF(AND(B5612='IN-TC'!$S$4,OR(TH!N5595="1111",TH!O5595="1111")),TH!D5595,""),"")</f>
        <v/>
      </c>
      <c r="B5612" s="1159">
        <f t="shared" si="1360"/>
        <v>12</v>
      </c>
      <c r="C5612" s="292">
        <f t="shared" si="1359"/>
        <v>43090</v>
      </c>
      <c r="D5612" s="59" t="s">
        <v>902</v>
      </c>
      <c r="E5612" s="59">
        <v>43090</v>
      </c>
      <c r="F5612" s="67" t="s">
        <v>870</v>
      </c>
      <c r="G5612" s="62" t="s">
        <v>1713</v>
      </c>
      <c r="H5612" s="67" t="s">
        <v>1771</v>
      </c>
      <c r="I5612" s="375"/>
      <c r="J5612" s="381"/>
      <c r="K5612" s="60"/>
      <c r="L5612" s="381"/>
      <c r="M5612" s="60">
        <v>15000</v>
      </c>
      <c r="N5612" s="61" t="s">
        <v>101</v>
      </c>
      <c r="O5612" s="61" t="s">
        <v>26</v>
      </c>
      <c r="P5612" s="75" t="str">
        <f>IF(AND('331-CT'!$E$7=TH!H4585,OR(N5612="331",O5612="331")),"x","")</f>
        <v/>
      </c>
      <c r="Q5612" s="75" t="str">
        <f>IF(AND(B5612='111'!$L$11,OR($N5612=$Q$7,$O5612=$Q$7)),"x","")</f>
        <v/>
      </c>
      <c r="R5612" s="75" t="str">
        <f>IF(AND($N5612=$Q$7,$B5612&lt;'111'!$L$11),"x","")</f>
        <v/>
      </c>
      <c r="S5612" s="75" t="str">
        <f>IF(AND($O5612=$Q$7,$B5612&lt;'111'!$L$11),"x","")</f>
        <v/>
      </c>
      <c r="T5612" s="75" t="str">
        <f>IF(ISERROR(FIND('112'!$M$9,G5612,1)),"",IF((AND(FIND('112'!$M$9,G5612,1)&gt;=1,B5612='112'!$K$9,OR($N5612='112'!$I$6,$O5612='112'!$I$6))),"x",""))</f>
        <v/>
      </c>
      <c r="U5612" s="75" t="str">
        <f>IF(ISERROR(FIND('112'!$M$9,G5612,1)),"",IF((AND(LEFT(G5612,2)=LEFT('112'!$M$9,2),B5612&lt;'112'!$K$9,$N5612='112'!$I$6)),"x",""))</f>
        <v/>
      </c>
      <c r="V5612" s="75" t="str">
        <f>IF(ISERROR(FIND('112'!$M$9,G5612,1)),"",IF((AND(RIGHT(G5612,2)=RIGHT('112'!$M$9,2),B5612&lt;'112'!$K$9,$O5612='112'!$I$6)),"x",""))</f>
        <v/>
      </c>
      <c r="W5612" s="75" t="str">
        <f>IF(AND('341-CT'!$H$9=H5612,OR(LEFT(N5612,3)=$W$7,LEFT(O5612,3)=$W$7)),"x","")</f>
        <v/>
      </c>
      <c r="X5612" s="75" t="str">
        <f>IF(OR(TH!N4585=TH!$X$7,O5612=TH!$X$7),"x","")</f>
        <v/>
      </c>
      <c r="Y5612" s="75" t="str">
        <f>IF(AND(OR(N5612="131",O5612="131"),H5612='131-CT'!$H$9),"x","")</f>
        <v/>
      </c>
      <c r="Z5612" s="75"/>
      <c r="AA5612" s="75" t="str">
        <f>IF(AND(MONTH(E5612)='IN-NX'!$J$5,'IN-NX'!$D$7=D5612),"x","")</f>
        <v/>
      </c>
      <c r="AB5612" s="75" t="str">
        <f>IF(AND(OR(LEFT(TH!N4585,2)="15",LEFT(TH!O4585,2)="15"),LEFT(TH!O4585,3)&lt;&gt;"111",'152-CT'!$J$8=TH!F4585),"x","")</f>
        <v/>
      </c>
      <c r="AC5612" s="75" t="str">
        <f>IF(AND(OR(LEFT(TH!N4585,2)="15",LEFT(TH!O4585,2)="15"),TK!$E$7=TH!F4585),"x","")</f>
        <v/>
      </c>
      <c r="AD5612" s="75" t="str">
        <f>IF(AND(N5612="1521",MONTH(C5612)='BK-NL'!$M$11),"x","")</f>
        <v/>
      </c>
      <c r="AE5612" s="1053">
        <v>12</v>
      </c>
      <c r="AF5612" s="1053"/>
      <c r="AG5612" s="1053"/>
    </row>
    <row r="5613" spans="1:33" ht="16.5" customHeight="1">
      <c r="A5613" s="309" t="str">
        <f>IF(B5613&lt;&gt;"",IF(AND(B5613='IN-TC'!$S$4,OR(TH!N5596="1111",TH!O5596="1111")),TH!D5596,""),"")</f>
        <v/>
      </c>
      <c r="B5613" s="1159">
        <f t="shared" si="1360"/>
        <v>12</v>
      </c>
      <c r="C5613" s="292">
        <f t="shared" si="1359"/>
        <v>43090</v>
      </c>
      <c r="D5613" s="59" t="s">
        <v>902</v>
      </c>
      <c r="E5613" s="59">
        <v>43090</v>
      </c>
      <c r="F5613" s="67" t="s">
        <v>898</v>
      </c>
      <c r="G5613" s="62" t="s">
        <v>1713</v>
      </c>
      <c r="H5613" s="67" t="s">
        <v>1771</v>
      </c>
      <c r="I5613" s="375"/>
      <c r="J5613" s="381"/>
      <c r="K5613" s="375"/>
      <c r="L5613" s="381"/>
      <c r="M5613" s="60">
        <v>1500</v>
      </c>
      <c r="N5613" s="61" t="s">
        <v>9</v>
      </c>
      <c r="O5613" s="61" t="s">
        <v>26</v>
      </c>
      <c r="P5613" s="75" t="str">
        <f>IF(AND('331-CT'!$E$7=TH!H4600,OR(N5613="331",O5613="331")),"x","")</f>
        <v/>
      </c>
      <c r="Q5613" s="75" t="str">
        <f>IF(AND(B5613='111'!$L$11,OR($N5613=$Q$7,$O5613=$Q$7)),"x","")</f>
        <v/>
      </c>
      <c r="R5613" s="75" t="str">
        <f>IF(AND($N5613=$Q$7,$B5613&lt;'111'!$L$11),"x","")</f>
        <v/>
      </c>
      <c r="S5613" s="75" t="str">
        <f>IF(AND($O5613=$Q$7,$B5613&lt;'111'!$L$11),"x","")</f>
        <v/>
      </c>
      <c r="T5613" s="75" t="str">
        <f>IF(ISERROR(FIND('112'!$M$9,G5613,1)),"",IF((AND(FIND('112'!$M$9,G5613,1)&gt;=1,B5613='112'!$K$9,OR($N5613='112'!$I$6,$O5613='112'!$I$6))),"x",""))</f>
        <v/>
      </c>
      <c r="U5613" s="75" t="str">
        <f>IF(ISERROR(FIND('112'!$M$9,G5613,1)),"",IF((AND(LEFT(G5613,2)=LEFT('112'!$M$9,2),B5613&lt;'112'!$K$9,$N5613='112'!$I$6)),"x",""))</f>
        <v/>
      </c>
      <c r="V5613" s="75" t="str">
        <f>IF(ISERROR(FIND('112'!$M$9,G5613,1)),"",IF((AND(RIGHT(G5613,2)=RIGHT('112'!$M$9,2),B5613&lt;'112'!$K$9,$O5613='112'!$I$6)),"x",""))</f>
        <v/>
      </c>
      <c r="W5613" s="75" t="str">
        <f>IF(AND('341-CT'!$H$9=H5613,OR(LEFT(N5613,3)=$W$7,LEFT(O5613,3)=$W$7)),"x","")</f>
        <v/>
      </c>
      <c r="X5613" s="75" t="str">
        <f>IF(OR(TH!N4600=TH!$X$7,O5613=TH!$X$7),"x","")</f>
        <v/>
      </c>
      <c r="Y5613" s="75" t="str">
        <f>IF(AND(OR(N5613="131",O5613="131"),H5613='131-CT'!$H$9),"x","")</f>
        <v/>
      </c>
      <c r="Z5613" s="75"/>
      <c r="AA5613" s="75" t="str">
        <f>IF(AND(MONTH(E5613)='IN-NX'!$J$5,'IN-NX'!$D$7=D5613),"x","")</f>
        <v/>
      </c>
      <c r="AB5613" s="75" t="str">
        <f>IF(AND(OR(LEFT(TH!N4600,2)="15",LEFT(TH!O4600,2)="15"),LEFT(TH!O4600,3)&lt;&gt;"111",'152-CT'!$J$8=TH!F4600),"x","")</f>
        <v/>
      </c>
      <c r="AC5613" s="75" t="str">
        <f>IF(AND(OR(LEFT(TH!N4600,2)="15",LEFT(TH!O4600,2)="15"),TK!$E$7=TH!F4600),"x","")</f>
        <v/>
      </c>
      <c r="AD5613" s="75" t="str">
        <f>IF(AND(N5613="1521",MONTH(C5613)='BK-NL'!$M$11),"x","")</f>
        <v/>
      </c>
      <c r="AE5613" s="1053">
        <v>12</v>
      </c>
      <c r="AF5613" s="1053"/>
      <c r="AG5613" s="1053"/>
    </row>
    <row r="5614" spans="1:33" ht="16.5" customHeight="1">
      <c r="A5614" s="309" t="str">
        <f>IF(B5614&lt;&gt;"",IF(AND(B5614='IN-TC'!$S$4,OR(TH!N5597="1111",TH!O5597="1111")),TH!D5597,""),"")</f>
        <v/>
      </c>
      <c r="B5614" s="1159">
        <f t="shared" si="1360"/>
        <v>12</v>
      </c>
      <c r="C5614" s="292">
        <f t="shared" si="1359"/>
        <v>43090</v>
      </c>
      <c r="D5614" s="292" t="s">
        <v>902</v>
      </c>
      <c r="E5614" s="292">
        <v>43090</v>
      </c>
      <c r="F5614" s="67" t="s">
        <v>899</v>
      </c>
      <c r="G5614" s="943" t="s">
        <v>1713</v>
      </c>
      <c r="H5614" s="294" t="s">
        <v>558</v>
      </c>
      <c r="I5614" s="373"/>
      <c r="J5614" s="926"/>
      <c r="K5614" s="373"/>
      <c r="L5614" s="379"/>
      <c r="M5614" s="927">
        <v>100000000</v>
      </c>
      <c r="N5614" s="295" t="s">
        <v>8</v>
      </c>
      <c r="O5614" s="295" t="s">
        <v>26</v>
      </c>
      <c r="P5614" s="75" t="str">
        <f>IF(AND('331-CT'!$E$7=TH!H4601,OR(N5614="331",O5614="331")),"x","")</f>
        <v/>
      </c>
      <c r="Q5614" s="75" t="str">
        <f>IF(AND(B5614='111'!$L$11,OR($N5614=$Q$7,$O5614=$Q$7)),"x","")</f>
        <v/>
      </c>
      <c r="R5614" s="75" t="str">
        <f>IF(AND($N5614=$Q$7,$B5614&lt;'111'!$L$11),"x","")</f>
        <v/>
      </c>
      <c r="S5614" s="75" t="str">
        <f>IF(AND($O5614=$Q$7,$B5614&lt;'111'!$L$11),"x","")</f>
        <v/>
      </c>
      <c r="T5614" s="75" t="str">
        <f>IF(ISERROR(FIND('112'!$M$9,G5614,1)),"",IF((AND(FIND('112'!$M$9,G5614,1)&gt;=1,B5614='112'!$K$9,OR($N5614='112'!$I$6,$O5614='112'!$I$6))),"x",""))</f>
        <v/>
      </c>
      <c r="U5614" s="75" t="str">
        <f>IF(ISERROR(FIND('112'!$M$9,G5614,1)),"",IF((AND(LEFT(G5614,2)=LEFT('112'!$M$9,2),B5614&lt;'112'!$K$9,$N5614='112'!$I$6)),"x",""))</f>
        <v/>
      </c>
      <c r="V5614" s="75" t="str">
        <f>IF(ISERROR(FIND('112'!$M$9,G5614,1)),"",IF((AND(RIGHT(G5614,2)=RIGHT('112'!$M$9,2),B5614&lt;'112'!$K$9,$O5614='112'!$I$6)),"x",""))</f>
        <v/>
      </c>
      <c r="W5614" s="75" t="str">
        <f>IF(AND('341-CT'!$H$9=H5614,OR(LEFT(N5614,3)=$W$7,LEFT(O5614,3)=$W$7)),"x","")</f>
        <v/>
      </c>
      <c r="X5614" s="75" t="str">
        <f>IF(OR(TH!N4601=TH!$X$7,O5614=TH!$X$7),"x","")</f>
        <v/>
      </c>
      <c r="Y5614" s="75" t="str">
        <f>IF(AND(OR(N5614="131",O5614="131"),H5614='131-CT'!$H$9),"x","")</f>
        <v/>
      </c>
      <c r="Z5614" s="75"/>
      <c r="AA5614" s="75" t="str">
        <f>IF(AND(MONTH(E5614)='IN-NX'!$J$5,'IN-NX'!$D$7=D5614),"x","")</f>
        <v/>
      </c>
      <c r="AB5614" s="75" t="str">
        <f>IF(AND(OR(LEFT(TH!N4601,2)="15",LEFT(TH!O4601,2)="15"),LEFT(TH!O4601,3)&lt;&gt;"111",'152-CT'!$J$8=TH!F4601),"x","")</f>
        <v/>
      </c>
      <c r="AC5614" s="75" t="str">
        <f>IF(AND(OR(LEFT(TH!N4601,2)="15",LEFT(TH!O4601,2)="15"),TK!$E$7=TH!F4601),"x","")</f>
        <v/>
      </c>
      <c r="AD5614" s="75" t="str">
        <f>IF(AND(N5614="1521",MONTH(C5614)='BK-NL'!$M$11),"x","")</f>
        <v/>
      </c>
    </row>
    <row r="5615" spans="1:33" ht="16.5" customHeight="1">
      <c r="A5615" s="309" t="str">
        <f>IF(B5615&lt;&gt;"",IF(AND(B5615='IN-TC'!$S$4,OR(TH!N5598="1111",TH!O5598="1111")),TH!D5598,""),"")</f>
        <v/>
      </c>
      <c r="B5615" s="1159">
        <f t="shared" si="1360"/>
        <v>12</v>
      </c>
      <c r="C5615" s="292">
        <f t="shared" si="1359"/>
        <v>43090</v>
      </c>
      <c r="D5615" s="59" t="s">
        <v>902</v>
      </c>
      <c r="E5615" s="59">
        <v>43090</v>
      </c>
      <c r="F5615" s="67" t="s">
        <v>870</v>
      </c>
      <c r="G5615" s="62" t="s">
        <v>1713</v>
      </c>
      <c r="H5615" s="67" t="s">
        <v>1771</v>
      </c>
      <c r="I5615" s="375"/>
      <c r="J5615" s="381"/>
      <c r="K5615" s="60"/>
      <c r="L5615" s="381"/>
      <c r="M5615" s="60">
        <v>15000</v>
      </c>
      <c r="N5615" s="61" t="s">
        <v>101</v>
      </c>
      <c r="O5615" s="61" t="s">
        <v>26</v>
      </c>
      <c r="P5615" s="75" t="str">
        <f>IF(AND('331-CT'!$E$7=TH!H4602,OR(N5615="331",O5615="331")),"x","")</f>
        <v/>
      </c>
      <c r="Q5615" s="75" t="str">
        <f>IF(AND(B5615='111'!$L$11,OR($N5615=$Q$7,$O5615=$Q$7)),"x","")</f>
        <v/>
      </c>
      <c r="R5615" s="75" t="str">
        <f>IF(AND($N5615=$Q$7,$B5615&lt;'111'!$L$11),"x","")</f>
        <v/>
      </c>
      <c r="S5615" s="75" t="str">
        <f>IF(AND($O5615=$Q$7,$B5615&lt;'111'!$L$11),"x","")</f>
        <v/>
      </c>
      <c r="T5615" s="75" t="str">
        <f>IF(ISERROR(FIND('112'!$M$9,G5615,1)),"",IF((AND(FIND('112'!$M$9,G5615,1)&gt;=1,B5615='112'!$K$9,OR($N5615='112'!$I$6,$O5615='112'!$I$6))),"x",""))</f>
        <v/>
      </c>
      <c r="U5615" s="75" t="str">
        <f>IF(ISERROR(FIND('112'!$M$9,G5615,1)),"",IF((AND(LEFT(G5615,2)=LEFT('112'!$M$9,2),B5615&lt;'112'!$K$9,$N5615='112'!$I$6)),"x",""))</f>
        <v/>
      </c>
      <c r="V5615" s="75" t="str">
        <f>IF(ISERROR(FIND('112'!$M$9,G5615,1)),"",IF((AND(RIGHT(G5615,2)=RIGHT('112'!$M$9,2),B5615&lt;'112'!$K$9,$O5615='112'!$I$6)),"x",""))</f>
        <v/>
      </c>
      <c r="W5615" s="75" t="str">
        <f>IF(AND('341-CT'!$H$9=H5615,OR(LEFT(N5615,3)=$W$7,LEFT(O5615,3)=$W$7)),"x","")</f>
        <v/>
      </c>
      <c r="X5615" s="75" t="str">
        <f>IF(OR(TH!N4602=TH!$X$7,O5615=TH!$X$7),"x","")</f>
        <v/>
      </c>
      <c r="Y5615" s="75" t="str">
        <f>IF(AND(OR(N5615="131",O5615="131"),H5615='131-CT'!$H$9),"x","")</f>
        <v/>
      </c>
      <c r="Z5615" s="75"/>
      <c r="AA5615" s="75" t="str">
        <f>IF(AND(MONTH(E5615)='IN-NX'!$J$5,'IN-NX'!$D$7=D5615),"x","")</f>
        <v/>
      </c>
      <c r="AB5615" s="75" t="str">
        <f>IF(AND(OR(LEFT(TH!N4602,2)="15",LEFT(TH!O4602,2)="15"),LEFT(TH!O4602,3)&lt;&gt;"111",'152-CT'!$J$8=TH!F4602),"x","")</f>
        <v/>
      </c>
      <c r="AC5615" s="75" t="str">
        <f>IF(AND(OR(LEFT(TH!N4602,2)="15",LEFT(TH!O4602,2)="15"),TK!$E$7=TH!F4602),"x","")</f>
        <v/>
      </c>
      <c r="AD5615" s="75" t="str">
        <f>IF(AND(N5615="1521",MONTH(C5615)='BK-NL'!$M$11),"x","")</f>
        <v/>
      </c>
      <c r="AE5615" s="1053">
        <v>12</v>
      </c>
      <c r="AF5615" s="1053"/>
      <c r="AG5615" s="1053"/>
    </row>
    <row r="5616" spans="1:33" ht="16.5" customHeight="1">
      <c r="A5616" s="309" t="str">
        <f>IF(B5616&lt;&gt;"",IF(AND(B5616='IN-TC'!$S$4,OR(TH!N5599="1111",TH!O5599="1111")),TH!D5599,""),"")</f>
        <v/>
      </c>
      <c r="B5616" s="1159">
        <f t="shared" si="1360"/>
        <v>12</v>
      </c>
      <c r="C5616" s="292">
        <f t="shared" si="1359"/>
        <v>43090</v>
      </c>
      <c r="D5616" s="59" t="s">
        <v>902</v>
      </c>
      <c r="E5616" s="59">
        <v>43090</v>
      </c>
      <c r="F5616" s="67" t="s">
        <v>898</v>
      </c>
      <c r="G5616" s="62" t="s">
        <v>1713</v>
      </c>
      <c r="H5616" s="67" t="s">
        <v>1771</v>
      </c>
      <c r="I5616" s="375"/>
      <c r="J5616" s="381"/>
      <c r="K5616" s="375"/>
      <c r="L5616" s="381"/>
      <c r="M5616" s="60">
        <v>1500</v>
      </c>
      <c r="N5616" s="61" t="s">
        <v>9</v>
      </c>
      <c r="O5616" s="61" t="s">
        <v>26</v>
      </c>
      <c r="P5616" s="75" t="str">
        <f>IF(AND('331-CT'!$E$7=TH!H4603,OR(N5616="331",O5616="331")),"x","")</f>
        <v/>
      </c>
      <c r="Q5616" s="75" t="str">
        <f>IF(AND(B5616='111'!$L$11,OR($N5616=$Q$7,$O5616=$Q$7)),"x","")</f>
        <v/>
      </c>
      <c r="R5616" s="75" t="str">
        <f>IF(AND($N5616=$Q$7,$B5616&lt;'111'!$L$11),"x","")</f>
        <v/>
      </c>
      <c r="S5616" s="75" t="str">
        <f>IF(AND($O5616=$Q$7,$B5616&lt;'111'!$L$11),"x","")</f>
        <v/>
      </c>
      <c r="T5616" s="75" t="str">
        <f>IF(ISERROR(FIND('112'!$M$9,G5616,1)),"",IF((AND(FIND('112'!$M$9,G5616,1)&gt;=1,B5616='112'!$K$9,OR($N5616='112'!$I$6,$O5616='112'!$I$6))),"x",""))</f>
        <v/>
      </c>
      <c r="U5616" s="75" t="str">
        <f>IF(ISERROR(FIND('112'!$M$9,G5616,1)),"",IF((AND(LEFT(G5616,2)=LEFT('112'!$M$9,2),B5616&lt;'112'!$K$9,$N5616='112'!$I$6)),"x",""))</f>
        <v/>
      </c>
      <c r="V5616" s="75" t="str">
        <f>IF(ISERROR(FIND('112'!$M$9,G5616,1)),"",IF((AND(RIGHT(G5616,2)=RIGHT('112'!$M$9,2),B5616&lt;'112'!$K$9,$O5616='112'!$I$6)),"x",""))</f>
        <v/>
      </c>
      <c r="W5616" s="75" t="str">
        <f>IF(AND('341-CT'!$H$9=H5616,OR(LEFT(N5616,3)=$W$7,LEFT(O5616,3)=$W$7)),"x","")</f>
        <v/>
      </c>
      <c r="X5616" s="75" t="str">
        <f>IF(OR(TH!N4603=TH!$X$7,O5616=TH!$X$7),"x","")</f>
        <v/>
      </c>
      <c r="Y5616" s="75" t="str">
        <f>IF(AND(OR(N5616="131",O5616="131"),H5616='131-CT'!$H$9),"x","")</f>
        <v/>
      </c>
      <c r="Z5616" s="75"/>
      <c r="AA5616" s="75" t="str">
        <f>IF(AND(MONTH(E5616)='IN-NX'!$J$5,'IN-NX'!$D$7=D5616),"x","")</f>
        <v/>
      </c>
      <c r="AB5616" s="75" t="str">
        <f>IF(AND(OR(LEFT(TH!N4603,2)="15",LEFT(TH!O4603,2)="15"),LEFT(TH!O4603,3)&lt;&gt;"111",'152-CT'!$J$8=TH!F4603),"x","")</f>
        <v/>
      </c>
      <c r="AC5616" s="75" t="str">
        <f>IF(AND(OR(LEFT(TH!N4603,2)="15",LEFT(TH!O4603,2)="15"),TK!$E$7=TH!F4603),"x","")</f>
        <v/>
      </c>
      <c r="AD5616" s="75" t="str">
        <f>IF(AND(N5616="1521",MONTH(C5616)='BK-NL'!$M$11),"x","")</f>
        <v/>
      </c>
      <c r="AE5616" s="1053">
        <v>12</v>
      </c>
      <c r="AF5616" s="1053"/>
      <c r="AG5616" s="1053"/>
    </row>
    <row r="5617" spans="1:33" ht="16.5" customHeight="1">
      <c r="A5617" s="309" t="str">
        <f>IF(B5617&lt;&gt;"",IF(AND(B5617='IN-TC'!$S$4,OR(TH!N5600="1111",TH!O5600="1111")),TH!D5600,""),"")</f>
        <v/>
      </c>
      <c r="B5617" s="1159">
        <f t="shared" si="1360"/>
        <v>12</v>
      </c>
      <c r="C5617" s="292">
        <f t="shared" si="1359"/>
        <v>43090</v>
      </c>
      <c r="D5617" s="292" t="s">
        <v>902</v>
      </c>
      <c r="E5617" s="292">
        <v>43090</v>
      </c>
      <c r="F5617" s="67" t="s">
        <v>930</v>
      </c>
      <c r="G5617" s="943" t="s">
        <v>1713</v>
      </c>
      <c r="H5617" s="294" t="s">
        <v>755</v>
      </c>
      <c r="I5617" s="373"/>
      <c r="J5617" s="926"/>
      <c r="K5617" s="373"/>
      <c r="L5617" s="379"/>
      <c r="M5617" s="927">
        <v>90000000</v>
      </c>
      <c r="N5617" s="295" t="s">
        <v>8</v>
      </c>
      <c r="O5617" s="295" t="s">
        <v>26</v>
      </c>
      <c r="P5617" s="75" t="str">
        <f>IF(AND('331-CT'!$E$7=TH!H4604,OR(N5617="331",O5617="331")),"x","")</f>
        <v/>
      </c>
      <c r="Q5617" s="75" t="str">
        <f>IF(AND(B5617='111'!$L$11,OR($N5617=$Q$7,$O5617=$Q$7)),"x","")</f>
        <v/>
      </c>
      <c r="R5617" s="75" t="str">
        <f>IF(AND($N5617=$Q$7,$B5617&lt;'111'!$L$11),"x","")</f>
        <v/>
      </c>
      <c r="S5617" s="75" t="str">
        <f>IF(AND($O5617=$Q$7,$B5617&lt;'111'!$L$11),"x","")</f>
        <v/>
      </c>
      <c r="T5617" s="75" t="str">
        <f>IF(ISERROR(FIND('112'!$M$9,G5617,1)),"",IF((AND(FIND('112'!$M$9,G5617,1)&gt;=1,B5617='112'!$K$9,OR($N5617='112'!$I$6,$O5617='112'!$I$6))),"x",""))</f>
        <v/>
      </c>
      <c r="U5617" s="75" t="str">
        <f>IF(ISERROR(FIND('112'!$M$9,G5617,1)),"",IF((AND(LEFT(G5617,2)=LEFT('112'!$M$9,2),B5617&lt;'112'!$K$9,$N5617='112'!$I$6)),"x",""))</f>
        <v/>
      </c>
      <c r="V5617" s="75" t="str">
        <f>IF(ISERROR(FIND('112'!$M$9,G5617,1)),"",IF((AND(RIGHT(G5617,2)=RIGHT('112'!$M$9,2),B5617&lt;'112'!$K$9,$O5617='112'!$I$6)),"x",""))</f>
        <v/>
      </c>
      <c r="W5617" s="75" t="str">
        <f>IF(AND('341-CT'!$H$9=H5617,OR(LEFT(N5617,3)=$W$7,LEFT(O5617,3)=$W$7)),"x","")</f>
        <v/>
      </c>
      <c r="X5617" s="75" t="str">
        <f>IF(OR(TH!N4604=TH!$X$7,O5617=TH!$X$7),"x","")</f>
        <v/>
      </c>
      <c r="Y5617" s="75" t="str">
        <f>IF(AND(OR(N5617="131",O5617="131"),H5617='131-CT'!$H$9),"x","")</f>
        <v/>
      </c>
      <c r="Z5617" s="75"/>
      <c r="AA5617" s="75" t="str">
        <f>IF(AND(MONTH(E5617)='IN-NX'!$J$5,'IN-NX'!$D$7=D5617),"x","")</f>
        <v/>
      </c>
      <c r="AB5617" s="75" t="str">
        <f>IF(AND(OR(LEFT(TH!N4604,2)="15",LEFT(TH!O4604,2)="15"),LEFT(TH!O4604,3)&lt;&gt;"111",'152-CT'!$J$8=TH!F4604),"x","")</f>
        <v/>
      </c>
      <c r="AC5617" s="75" t="str">
        <f>IF(AND(OR(LEFT(TH!N4604,2)="15",LEFT(TH!O4604,2)="15"),TK!$E$7=TH!F4604),"x","")</f>
        <v/>
      </c>
      <c r="AD5617" s="75" t="str">
        <f>IF(AND(N5617="1521",MONTH(C5617)='BK-NL'!$M$11),"x","")</f>
        <v/>
      </c>
    </row>
    <row r="5618" spans="1:33" ht="16.5" customHeight="1">
      <c r="A5618" s="309" t="str">
        <f>IF(B5618&lt;&gt;"",IF(AND(B5618='IN-TC'!$S$4,OR(TH!N5601="1111",TH!O5601="1111")),TH!D5601,""),"")</f>
        <v/>
      </c>
      <c r="B5618" s="1159">
        <f t="shared" si="1360"/>
        <v>12</v>
      </c>
      <c r="C5618" s="292">
        <f t="shared" si="1359"/>
        <v>43090</v>
      </c>
      <c r="D5618" s="59" t="s">
        <v>902</v>
      </c>
      <c r="E5618" s="59">
        <v>43090</v>
      </c>
      <c r="F5618" s="67" t="s">
        <v>870</v>
      </c>
      <c r="G5618" s="62" t="s">
        <v>1713</v>
      </c>
      <c r="H5618" s="67" t="s">
        <v>1771</v>
      </c>
      <c r="I5618" s="375"/>
      <c r="J5618" s="381"/>
      <c r="K5618" s="60"/>
      <c r="L5618" s="381"/>
      <c r="M5618" s="60">
        <v>15000</v>
      </c>
      <c r="N5618" s="61" t="s">
        <v>101</v>
      </c>
      <c r="O5618" s="61" t="s">
        <v>26</v>
      </c>
      <c r="P5618" s="75" t="str">
        <f>IF(AND('331-CT'!$E$7=TH!H4605,OR(N5618="331",O5618="331")),"x","")</f>
        <v/>
      </c>
      <c r="Q5618" s="75" t="str">
        <f>IF(AND(B5618='111'!$L$11,OR($N5618=$Q$7,$O5618=$Q$7)),"x","")</f>
        <v/>
      </c>
      <c r="R5618" s="75" t="str">
        <f>IF(AND($N5618=$Q$7,$B5618&lt;'111'!$L$11),"x","")</f>
        <v/>
      </c>
      <c r="S5618" s="75" t="str">
        <f>IF(AND($O5618=$Q$7,$B5618&lt;'111'!$L$11),"x","")</f>
        <v/>
      </c>
      <c r="T5618" s="75" t="str">
        <f>IF(ISERROR(FIND('112'!$M$9,G5618,1)),"",IF((AND(FIND('112'!$M$9,G5618,1)&gt;=1,B5618='112'!$K$9,OR($N5618='112'!$I$6,$O5618='112'!$I$6))),"x",""))</f>
        <v/>
      </c>
      <c r="U5618" s="75" t="str">
        <f>IF(ISERROR(FIND('112'!$M$9,G5618,1)),"",IF((AND(LEFT(G5618,2)=LEFT('112'!$M$9,2),B5618&lt;'112'!$K$9,$N5618='112'!$I$6)),"x",""))</f>
        <v/>
      </c>
      <c r="V5618" s="75" t="str">
        <f>IF(ISERROR(FIND('112'!$M$9,G5618,1)),"",IF((AND(RIGHT(G5618,2)=RIGHT('112'!$M$9,2),B5618&lt;'112'!$K$9,$O5618='112'!$I$6)),"x",""))</f>
        <v/>
      </c>
      <c r="W5618" s="75" t="str">
        <f>IF(AND('341-CT'!$H$9=H5618,OR(LEFT(N5618,3)=$W$7,LEFT(O5618,3)=$W$7)),"x","")</f>
        <v/>
      </c>
      <c r="X5618" s="75" t="str">
        <f>IF(OR(TH!N4605=TH!$X$7,O5618=TH!$X$7),"x","")</f>
        <v/>
      </c>
      <c r="Y5618" s="75" t="str">
        <f>IF(AND(OR(N5618="131",O5618="131"),H5618='131-CT'!$H$9),"x","")</f>
        <v/>
      </c>
      <c r="Z5618" s="75"/>
      <c r="AA5618" s="75" t="str">
        <f>IF(AND(MONTH(E5618)='IN-NX'!$J$5,'IN-NX'!$D$7=D5618),"x","")</f>
        <v/>
      </c>
      <c r="AB5618" s="75" t="str">
        <f>IF(AND(OR(LEFT(TH!N4605,2)="15",LEFT(TH!O4605,2)="15"),LEFT(TH!O4605,3)&lt;&gt;"111",'152-CT'!$J$8=TH!F4605),"x","")</f>
        <v/>
      </c>
      <c r="AC5618" s="75" t="str">
        <f>IF(AND(OR(LEFT(TH!N4605,2)="15",LEFT(TH!O4605,2)="15"),TK!$E$7=TH!F4605),"x","")</f>
        <v/>
      </c>
      <c r="AD5618" s="75" t="str">
        <f>IF(AND(N5618="1521",MONTH(C5618)='BK-NL'!$M$11),"x","")</f>
        <v/>
      </c>
      <c r="AE5618" s="1053">
        <v>12</v>
      </c>
      <c r="AF5618" s="1053"/>
      <c r="AG5618" s="1053"/>
    </row>
    <row r="5619" spans="1:33" ht="16.5" customHeight="1">
      <c r="A5619" s="309" t="str">
        <f>IF(B5619&lt;&gt;"",IF(AND(B5619='IN-TC'!$S$4,OR(TH!N5602="1111",TH!O5602="1111")),TH!D5602,""),"")</f>
        <v/>
      </c>
      <c r="B5619" s="1159">
        <f t="shared" si="1360"/>
        <v>12</v>
      </c>
      <c r="C5619" s="292">
        <f t="shared" ref="C5619:C5682" si="1361">E5619</f>
        <v>43090</v>
      </c>
      <c r="D5619" s="59" t="s">
        <v>902</v>
      </c>
      <c r="E5619" s="59">
        <v>43090</v>
      </c>
      <c r="F5619" s="67" t="s">
        <v>898</v>
      </c>
      <c r="G5619" s="62" t="s">
        <v>1713</v>
      </c>
      <c r="H5619" s="67" t="s">
        <v>1771</v>
      </c>
      <c r="I5619" s="375"/>
      <c r="J5619" s="381"/>
      <c r="K5619" s="375"/>
      <c r="L5619" s="381"/>
      <c r="M5619" s="60">
        <v>1500</v>
      </c>
      <c r="N5619" s="61" t="s">
        <v>9</v>
      </c>
      <c r="O5619" s="61" t="s">
        <v>26</v>
      </c>
      <c r="P5619" s="75" t="str">
        <f>IF(AND('331-CT'!$E$7=TH!H4606,OR(N5619="331",O5619="331")),"x","")</f>
        <v/>
      </c>
      <c r="Q5619" s="75" t="str">
        <f>IF(AND(B5619='111'!$L$11,OR($N5619=$Q$7,$O5619=$Q$7)),"x","")</f>
        <v/>
      </c>
      <c r="R5619" s="75" t="str">
        <f>IF(AND($N5619=$Q$7,$B5619&lt;'111'!$L$11),"x","")</f>
        <v/>
      </c>
      <c r="S5619" s="75" t="str">
        <f>IF(AND($O5619=$Q$7,$B5619&lt;'111'!$L$11),"x","")</f>
        <v/>
      </c>
      <c r="T5619" s="75" t="str">
        <f>IF(ISERROR(FIND('112'!$M$9,G5619,1)),"",IF((AND(FIND('112'!$M$9,G5619,1)&gt;=1,B5619='112'!$K$9,OR($N5619='112'!$I$6,$O5619='112'!$I$6))),"x",""))</f>
        <v/>
      </c>
      <c r="U5619" s="75" t="str">
        <f>IF(ISERROR(FIND('112'!$M$9,G5619,1)),"",IF((AND(LEFT(G5619,2)=LEFT('112'!$M$9,2),B5619&lt;'112'!$K$9,$N5619='112'!$I$6)),"x",""))</f>
        <v/>
      </c>
      <c r="V5619" s="75" t="str">
        <f>IF(ISERROR(FIND('112'!$M$9,G5619,1)),"",IF((AND(RIGHT(G5619,2)=RIGHT('112'!$M$9,2),B5619&lt;'112'!$K$9,$O5619='112'!$I$6)),"x",""))</f>
        <v/>
      </c>
      <c r="W5619" s="75" t="str">
        <f>IF(AND('341-CT'!$H$9=H5619,OR(LEFT(N5619,3)=$W$7,LEFT(O5619,3)=$W$7)),"x","")</f>
        <v/>
      </c>
      <c r="X5619" s="75" t="str">
        <f>IF(OR(TH!N4606=TH!$X$7,O5619=TH!$X$7),"x","")</f>
        <v/>
      </c>
      <c r="Y5619" s="75" t="str">
        <f>IF(AND(OR(N5619="131",O5619="131"),H5619='131-CT'!$H$9),"x","")</f>
        <v/>
      </c>
      <c r="Z5619" s="75"/>
      <c r="AA5619" s="75" t="str">
        <f>IF(AND(MONTH(E5619)='IN-NX'!$J$5,'IN-NX'!$D$7=D5619),"x","")</f>
        <v/>
      </c>
      <c r="AB5619" s="75" t="str">
        <f>IF(AND(OR(LEFT(TH!N4606,2)="15",LEFT(TH!O4606,2)="15"),LEFT(TH!O4606,3)&lt;&gt;"111",'152-CT'!$J$8=TH!F4606),"x","")</f>
        <v/>
      </c>
      <c r="AC5619" s="75" t="str">
        <f>IF(AND(OR(LEFT(TH!N4606,2)="15",LEFT(TH!O4606,2)="15"),TK!$E$7=TH!F4606),"x","")</f>
        <v/>
      </c>
      <c r="AD5619" s="75" t="str">
        <f>IF(AND(N5619="1521",MONTH(C5619)='BK-NL'!$M$11),"x","")</f>
        <v/>
      </c>
      <c r="AE5619" s="1053">
        <v>12</v>
      </c>
      <c r="AF5619" s="1053"/>
      <c r="AG5619" s="1053"/>
    </row>
    <row r="5620" spans="1:33" ht="16.5" customHeight="1">
      <c r="A5620" s="309" t="str">
        <f>IF(B5620&lt;&gt;"",IF(AND(B5620='IN-TC'!$S$4,OR(TH!N5603="1111",TH!O5603="1111")),TH!D5603,""),"")</f>
        <v/>
      </c>
      <c r="B5620" s="1159">
        <f t="shared" si="1360"/>
        <v>12</v>
      </c>
      <c r="C5620" s="292">
        <f t="shared" si="1361"/>
        <v>43090</v>
      </c>
      <c r="D5620" s="292" t="s">
        <v>902</v>
      </c>
      <c r="E5620" s="292">
        <v>43090</v>
      </c>
      <c r="F5620" s="67" t="s">
        <v>2777</v>
      </c>
      <c r="G5620" s="943" t="s">
        <v>1713</v>
      </c>
      <c r="H5620" s="294" t="s">
        <v>563</v>
      </c>
      <c r="I5620" s="373"/>
      <c r="J5620" s="926"/>
      <c r="K5620" s="373"/>
      <c r="L5620" s="379"/>
      <c r="M5620" s="927">
        <v>37372170</v>
      </c>
      <c r="N5620" s="295" t="s">
        <v>8</v>
      </c>
      <c r="O5620" s="295" t="s">
        <v>26</v>
      </c>
      <c r="P5620" s="75" t="str">
        <f>IF(AND('331-CT'!$E$7=TH!H4607,OR(N5620="331",O5620="331")),"x","")</f>
        <v/>
      </c>
      <c r="Q5620" s="75" t="str">
        <f>IF(AND(B5620='111'!$L$11,OR($N5620=$Q$7,$O5620=$Q$7)),"x","")</f>
        <v/>
      </c>
      <c r="R5620" s="75" t="str">
        <f>IF(AND($N5620=$Q$7,$B5620&lt;'111'!$L$11),"x","")</f>
        <v/>
      </c>
      <c r="S5620" s="75" t="str">
        <f>IF(AND($O5620=$Q$7,$B5620&lt;'111'!$L$11),"x","")</f>
        <v/>
      </c>
      <c r="T5620" s="75" t="str">
        <f>IF(ISERROR(FIND('112'!$M$9,G5620,1)),"",IF((AND(FIND('112'!$M$9,G5620,1)&gt;=1,B5620='112'!$K$9,OR($N5620='112'!$I$6,$O5620='112'!$I$6))),"x",""))</f>
        <v/>
      </c>
      <c r="U5620" s="75" t="str">
        <f>IF(ISERROR(FIND('112'!$M$9,G5620,1)),"",IF((AND(LEFT(G5620,2)=LEFT('112'!$M$9,2),B5620&lt;'112'!$K$9,$N5620='112'!$I$6)),"x",""))</f>
        <v/>
      </c>
      <c r="V5620" s="75" t="str">
        <f>IF(ISERROR(FIND('112'!$M$9,G5620,1)),"",IF((AND(RIGHT(G5620,2)=RIGHT('112'!$M$9,2),B5620&lt;'112'!$K$9,$O5620='112'!$I$6)),"x",""))</f>
        <v/>
      </c>
      <c r="W5620" s="75" t="str">
        <f>IF(AND('341-CT'!$H$9=H5620,OR(LEFT(N5620,3)=$W$7,LEFT(O5620,3)=$W$7)),"x","")</f>
        <v/>
      </c>
      <c r="X5620" s="75" t="str">
        <f>IF(OR(TH!N4607=TH!$X$7,O5620=TH!$X$7),"x","")</f>
        <v/>
      </c>
      <c r="Y5620" s="75" t="str">
        <f>IF(AND(OR(N5620="131",O5620="131"),H5620='131-CT'!$H$9),"x","")</f>
        <v/>
      </c>
      <c r="Z5620" s="75"/>
      <c r="AA5620" s="75" t="str">
        <f>IF(AND(MONTH(E5620)='IN-NX'!$J$5,'IN-NX'!$D$7=D5620),"x","")</f>
        <v/>
      </c>
      <c r="AB5620" s="75" t="str">
        <f>IF(AND(OR(LEFT(TH!N4607,2)="15",LEFT(TH!O4607,2)="15"),LEFT(TH!O4607,3)&lt;&gt;"111",'152-CT'!$J$8=TH!F4607),"x","")</f>
        <v/>
      </c>
      <c r="AC5620" s="75" t="str">
        <f>IF(AND(OR(LEFT(TH!N4607,2)="15",LEFT(TH!O4607,2)="15"),TK!$E$7=TH!F4607),"x","")</f>
        <v/>
      </c>
      <c r="AD5620" s="75" t="str">
        <f>IF(AND(N5620="1521",MONTH(C5620)='BK-NL'!$M$11),"x","")</f>
        <v/>
      </c>
    </row>
    <row r="5621" spans="1:33" ht="16.5" customHeight="1">
      <c r="A5621" s="309" t="str">
        <f>IF(B5621&lt;&gt;"",IF(AND(B5621='IN-TC'!$S$4,OR(TH!N5604="1111",TH!O5604="1111")),TH!D5604,""),"")</f>
        <v/>
      </c>
      <c r="B5621" s="1159">
        <f t="shared" si="1360"/>
        <v>12</v>
      </c>
      <c r="C5621" s="292">
        <f t="shared" si="1361"/>
        <v>43090</v>
      </c>
      <c r="D5621" s="59" t="s">
        <v>902</v>
      </c>
      <c r="E5621" s="59">
        <v>43090</v>
      </c>
      <c r="F5621" s="67" t="s">
        <v>870</v>
      </c>
      <c r="G5621" s="62" t="s">
        <v>1713</v>
      </c>
      <c r="H5621" s="67" t="s">
        <v>1771</v>
      </c>
      <c r="I5621" s="375"/>
      <c r="J5621" s="381"/>
      <c r="K5621" s="60"/>
      <c r="L5621" s="381"/>
      <c r="M5621" s="60">
        <v>15000</v>
      </c>
      <c r="N5621" s="61" t="s">
        <v>101</v>
      </c>
      <c r="O5621" s="61" t="s">
        <v>26</v>
      </c>
      <c r="P5621" s="75" t="str">
        <f>IF(AND('331-CT'!$E$7=TH!H4608,OR(N5621="331",O5621="331")),"x","")</f>
        <v/>
      </c>
      <c r="Q5621" s="75" t="str">
        <f>IF(AND(B5621='111'!$L$11,OR($N5621=$Q$7,$O5621=$Q$7)),"x","")</f>
        <v/>
      </c>
      <c r="R5621" s="75" t="str">
        <f>IF(AND($N5621=$Q$7,$B5621&lt;'111'!$L$11),"x","")</f>
        <v/>
      </c>
      <c r="S5621" s="75" t="str">
        <f>IF(AND($O5621=$Q$7,$B5621&lt;'111'!$L$11),"x","")</f>
        <v/>
      </c>
      <c r="T5621" s="75" t="str">
        <f>IF(ISERROR(FIND('112'!$M$9,G5621,1)),"",IF((AND(FIND('112'!$M$9,G5621,1)&gt;=1,B5621='112'!$K$9,OR($N5621='112'!$I$6,$O5621='112'!$I$6))),"x",""))</f>
        <v/>
      </c>
      <c r="U5621" s="75" t="str">
        <f>IF(ISERROR(FIND('112'!$M$9,G5621,1)),"",IF((AND(LEFT(G5621,2)=LEFT('112'!$M$9,2),B5621&lt;'112'!$K$9,$N5621='112'!$I$6)),"x",""))</f>
        <v/>
      </c>
      <c r="V5621" s="75" t="str">
        <f>IF(ISERROR(FIND('112'!$M$9,G5621,1)),"",IF((AND(RIGHT(G5621,2)=RIGHT('112'!$M$9,2),B5621&lt;'112'!$K$9,$O5621='112'!$I$6)),"x",""))</f>
        <v/>
      </c>
      <c r="W5621" s="75" t="str">
        <f>IF(AND('341-CT'!$H$9=H5621,OR(LEFT(N5621,3)=$W$7,LEFT(O5621,3)=$W$7)),"x","")</f>
        <v/>
      </c>
      <c r="X5621" s="75" t="str">
        <f>IF(OR(TH!N4608=TH!$X$7,O5621=TH!$X$7),"x","")</f>
        <v/>
      </c>
      <c r="Y5621" s="75" t="str">
        <f>IF(AND(OR(N5621="131",O5621="131"),H5621='131-CT'!$H$9),"x","")</f>
        <v/>
      </c>
      <c r="Z5621" s="75"/>
      <c r="AA5621" s="75" t="str">
        <f>IF(AND(MONTH(E5621)='IN-NX'!$J$5,'IN-NX'!$D$7=D5621),"x","")</f>
        <v/>
      </c>
      <c r="AB5621" s="75" t="str">
        <f>IF(AND(OR(LEFT(TH!N4608,2)="15",LEFT(TH!O4608,2)="15"),LEFT(TH!O4608,3)&lt;&gt;"111",'152-CT'!$J$8=TH!F4608),"x","")</f>
        <v/>
      </c>
      <c r="AC5621" s="75" t="str">
        <f>IF(AND(OR(LEFT(TH!N4608,2)="15",LEFT(TH!O4608,2)="15"),TK!$E$7=TH!F4608),"x","")</f>
        <v/>
      </c>
      <c r="AD5621" s="75" t="str">
        <f>IF(AND(N5621="1521",MONTH(C5621)='BK-NL'!$M$11),"x","")</f>
        <v/>
      </c>
      <c r="AE5621" s="1053">
        <v>12</v>
      </c>
      <c r="AF5621" s="1053"/>
      <c r="AG5621" s="1053"/>
    </row>
    <row r="5622" spans="1:33" ht="16.5" customHeight="1">
      <c r="A5622" s="309" t="str">
        <f>IF(B5622&lt;&gt;"",IF(AND(B5622='IN-TC'!$S$4,OR(TH!N5605="1111",TH!O5605="1111")),TH!D5605,""),"")</f>
        <v/>
      </c>
      <c r="B5622" s="1159">
        <f t="shared" si="1360"/>
        <v>12</v>
      </c>
      <c r="C5622" s="292">
        <f t="shared" si="1361"/>
        <v>43090</v>
      </c>
      <c r="D5622" s="59" t="s">
        <v>902</v>
      </c>
      <c r="E5622" s="59">
        <v>43090</v>
      </c>
      <c r="F5622" s="67" t="s">
        <v>898</v>
      </c>
      <c r="G5622" s="62" t="s">
        <v>1713</v>
      </c>
      <c r="H5622" s="67" t="s">
        <v>1771</v>
      </c>
      <c r="I5622" s="375"/>
      <c r="J5622" s="381"/>
      <c r="K5622" s="375"/>
      <c r="L5622" s="381"/>
      <c r="M5622" s="60">
        <v>1500</v>
      </c>
      <c r="N5622" s="61" t="s">
        <v>9</v>
      </c>
      <c r="O5622" s="61" t="s">
        <v>26</v>
      </c>
      <c r="P5622" s="75" t="str">
        <f>IF(AND('331-CT'!$E$7=TH!H4609,OR(N5622="331",O5622="331")),"x","")</f>
        <v/>
      </c>
      <c r="Q5622" s="75" t="str">
        <f>IF(AND(B5622='111'!$L$11,OR($N5622=$Q$7,$O5622=$Q$7)),"x","")</f>
        <v/>
      </c>
      <c r="R5622" s="75" t="str">
        <f>IF(AND($N5622=$Q$7,$B5622&lt;'111'!$L$11),"x","")</f>
        <v/>
      </c>
      <c r="S5622" s="75" t="str">
        <f>IF(AND($O5622=$Q$7,$B5622&lt;'111'!$L$11),"x","")</f>
        <v/>
      </c>
      <c r="T5622" s="75" t="str">
        <f>IF(ISERROR(FIND('112'!$M$9,G5622,1)),"",IF((AND(FIND('112'!$M$9,G5622,1)&gt;=1,B5622='112'!$K$9,OR($N5622='112'!$I$6,$O5622='112'!$I$6))),"x",""))</f>
        <v/>
      </c>
      <c r="U5622" s="75" t="str">
        <f>IF(ISERROR(FIND('112'!$M$9,G5622,1)),"",IF((AND(LEFT(G5622,2)=LEFT('112'!$M$9,2),B5622&lt;'112'!$K$9,$N5622='112'!$I$6)),"x",""))</f>
        <v/>
      </c>
      <c r="V5622" s="75" t="str">
        <f>IF(ISERROR(FIND('112'!$M$9,G5622,1)),"",IF((AND(RIGHT(G5622,2)=RIGHT('112'!$M$9,2),B5622&lt;'112'!$K$9,$O5622='112'!$I$6)),"x",""))</f>
        <v/>
      </c>
      <c r="W5622" s="75" t="str">
        <f>IF(AND('341-CT'!$H$9=H5622,OR(LEFT(N5622,3)=$W$7,LEFT(O5622,3)=$W$7)),"x","")</f>
        <v/>
      </c>
      <c r="X5622" s="75" t="str">
        <f>IF(OR(TH!N4609=TH!$X$7,O5622=TH!$X$7),"x","")</f>
        <v/>
      </c>
      <c r="Y5622" s="75" t="str">
        <f>IF(AND(OR(N5622="131",O5622="131"),H5622='131-CT'!$H$9),"x","")</f>
        <v/>
      </c>
      <c r="Z5622" s="75"/>
      <c r="AA5622" s="75" t="str">
        <f>IF(AND(MONTH(E5622)='IN-NX'!$J$5,'IN-NX'!$D$7=D5622),"x","")</f>
        <v/>
      </c>
      <c r="AB5622" s="75" t="str">
        <f>IF(AND(OR(LEFT(TH!N4609,2)="15",LEFT(TH!O4609,2)="15"),LEFT(TH!O4609,3)&lt;&gt;"111",'152-CT'!$J$8=TH!F4609),"x","")</f>
        <v/>
      </c>
      <c r="AC5622" s="75" t="str">
        <f>IF(AND(OR(LEFT(TH!N4609,2)="15",LEFT(TH!O4609,2)="15"),TK!$E$7=TH!F4609),"x","")</f>
        <v/>
      </c>
      <c r="AD5622" s="75" t="str">
        <f>IF(AND(N5622="1521",MONTH(C5622)='BK-NL'!$M$11),"x","")</f>
        <v/>
      </c>
      <c r="AE5622" s="1053">
        <v>12</v>
      </c>
      <c r="AF5622" s="1053"/>
      <c r="AG5622" s="1053"/>
    </row>
    <row r="5623" spans="1:33" ht="16.5" customHeight="1">
      <c r="A5623" s="309" t="str">
        <f>IF(B5623&lt;&gt;"",IF(AND(B5623='IN-TC'!$S$4,OR(TH!N5606="1111",TH!O5606="1111")),TH!D5606,""),"")</f>
        <v/>
      </c>
      <c r="B5623" s="1159">
        <f t="shared" si="1360"/>
        <v>12</v>
      </c>
      <c r="C5623" s="292">
        <f t="shared" si="1361"/>
        <v>43090</v>
      </c>
      <c r="D5623" s="59" t="s">
        <v>902</v>
      </c>
      <c r="E5623" s="59">
        <v>43090</v>
      </c>
      <c r="F5623" s="62" t="s">
        <v>1549</v>
      </c>
      <c r="G5623" s="62" t="s">
        <v>747</v>
      </c>
      <c r="H5623" s="67" t="s">
        <v>835</v>
      </c>
      <c r="I5623" s="373"/>
      <c r="J5623" s="382"/>
      <c r="K5623" s="373"/>
      <c r="L5623" s="379"/>
      <c r="M5623" s="60">
        <v>113750</v>
      </c>
      <c r="N5623" s="61" t="s">
        <v>101</v>
      </c>
      <c r="O5623" s="61" t="s">
        <v>26</v>
      </c>
      <c r="P5623" s="75" t="str">
        <f>IF(AND('331-CT'!$E$7=TH!H5646,OR(N5623="331",O5623="331")),"x","")</f>
        <v/>
      </c>
      <c r="Q5623" s="75" t="str">
        <f>IF(AND(B5623='111'!$L$11,OR($N5623=$Q$7,$O5623=$Q$7)),"x","")</f>
        <v/>
      </c>
      <c r="R5623" s="75" t="str">
        <f>IF(AND($N5623=$Q$7,$B5623&lt;'111'!$L$11),"x","")</f>
        <v/>
      </c>
      <c r="S5623" s="75" t="str">
        <f>IF(AND($O5623=$Q$7,$B5623&lt;'111'!$L$11),"x","")</f>
        <v/>
      </c>
      <c r="T5623" s="75" t="str">
        <f>IF(ISERROR(FIND('112'!$M$9,G5623,1)),"",IF((AND(FIND('112'!$M$9,G5623,1)&gt;=1,B5623='112'!$K$9,OR($N5623='112'!$I$6,$O5623='112'!$I$6))),"x",""))</f>
        <v/>
      </c>
      <c r="U5623" s="75" t="str">
        <f>IF(ISERROR(FIND('112'!$M$9,G5623,1)),"",IF((AND(LEFT(G5623,2)=LEFT('112'!$M$9,2),B5623&lt;'112'!$K$9,$N5623='112'!$I$6)),"x",""))</f>
        <v/>
      </c>
      <c r="V5623" s="75" t="str">
        <f>IF(ISERROR(FIND('112'!$M$9,G5623,1)),"",IF((AND(RIGHT(G5623,2)=RIGHT('112'!$M$9,2),B5623&lt;'112'!$K$9,$O5623='112'!$I$6)),"x",""))</f>
        <v/>
      </c>
      <c r="W5623" s="75" t="str">
        <f>IF(AND('341-CT'!$H$9=H5623,OR(LEFT(N5623,3)=$W$7,LEFT(O5623,3)=$W$7)),"x","")</f>
        <v/>
      </c>
      <c r="X5623" s="75" t="str">
        <f>IF(OR(TH!N5646=TH!$X$7,O5623=TH!$X$7),"x","")</f>
        <v/>
      </c>
      <c r="Y5623" s="75" t="str">
        <f>IF(AND(OR(N5623="131",O5623="131"),H5623='131-CT'!$H$9),"x","")</f>
        <v/>
      </c>
      <c r="Z5623" s="75"/>
      <c r="AA5623" s="75" t="str">
        <f>IF(AND(MONTH(E5623)='IN-NX'!$J$5,'IN-NX'!$D$7=D5623),"x","")</f>
        <v/>
      </c>
      <c r="AB5623" s="75" t="str">
        <f>IF(AND(OR(LEFT(TH!N5646,2)="15",LEFT(TH!O5646,2)="15"),LEFT(TH!O5646,3)&lt;&gt;"111",'152-CT'!$J$8=TH!F5646),"x","")</f>
        <v/>
      </c>
      <c r="AC5623" s="75" t="str">
        <f>IF(AND(OR(LEFT(TH!N5646,2)="15",LEFT(TH!O5646,2)="15"),TK!$E$7=TH!F5646),"x","")</f>
        <v/>
      </c>
      <c r="AD5623" s="75" t="str">
        <f>IF(AND(N5623="1521",MONTH(C5623)='BK-NL'!$M$11),"x","")</f>
        <v/>
      </c>
      <c r="AE5623">
        <v>12</v>
      </c>
    </row>
    <row r="5624" spans="1:33" ht="16.5" customHeight="1">
      <c r="A5624" s="309" t="str">
        <f>IF(B5624&lt;&gt;"",IF(AND(B5624='IN-TC'!$S$4,OR(TH!N5607="1111",TH!O5607="1111")),TH!D5607,""),"")</f>
        <v/>
      </c>
      <c r="B5624" s="1159">
        <f t="shared" si="1360"/>
        <v>12</v>
      </c>
      <c r="C5624" s="292">
        <f t="shared" si="1361"/>
        <v>43090</v>
      </c>
      <c r="D5624" s="59" t="s">
        <v>902</v>
      </c>
      <c r="E5624" s="59">
        <v>43090</v>
      </c>
      <c r="F5624" s="62" t="s">
        <v>1552</v>
      </c>
      <c r="G5624" s="62" t="s">
        <v>747</v>
      </c>
      <c r="H5624" s="67" t="s">
        <v>835</v>
      </c>
      <c r="I5624" s="373"/>
      <c r="J5624" s="382"/>
      <c r="K5624" s="373"/>
      <c r="L5624" s="379"/>
      <c r="M5624" s="60">
        <v>11375</v>
      </c>
      <c r="N5624" s="61" t="s">
        <v>9</v>
      </c>
      <c r="O5624" s="61" t="s">
        <v>26</v>
      </c>
      <c r="P5624" s="75" t="str">
        <f>IF(AND('331-CT'!$E$7=TH!H5647,OR(N5624="331",O5624="331")),"x","")</f>
        <v/>
      </c>
      <c r="Q5624" s="75" t="str">
        <f>IF(AND(B5624='111'!$L$11,OR($N5624=$Q$7,$O5624=$Q$7)),"x","")</f>
        <v/>
      </c>
      <c r="R5624" s="75" t="str">
        <f>IF(AND($N5624=$Q$7,$B5624&lt;'111'!$L$11),"x","")</f>
        <v/>
      </c>
      <c r="S5624" s="75" t="str">
        <f>IF(AND($O5624=$Q$7,$B5624&lt;'111'!$L$11),"x","")</f>
        <v/>
      </c>
      <c r="T5624" s="75" t="str">
        <f>IF(ISERROR(FIND('112'!$M$9,G5624,1)),"",IF((AND(FIND('112'!$M$9,G5624,1)&gt;=1,B5624='112'!$K$9,OR($N5624='112'!$I$6,$O5624='112'!$I$6))),"x",""))</f>
        <v/>
      </c>
      <c r="U5624" s="75" t="str">
        <f>IF(ISERROR(FIND('112'!$M$9,G5624,1)),"",IF((AND(LEFT(G5624,2)=LEFT('112'!$M$9,2),B5624&lt;'112'!$K$9,$N5624='112'!$I$6)),"x",""))</f>
        <v/>
      </c>
      <c r="V5624" s="75" t="str">
        <f>IF(ISERROR(FIND('112'!$M$9,G5624,1)),"",IF((AND(RIGHT(G5624,2)=RIGHT('112'!$M$9,2),B5624&lt;'112'!$K$9,$O5624='112'!$I$6)),"x",""))</f>
        <v/>
      </c>
      <c r="W5624" s="75" t="str">
        <f>IF(AND('341-CT'!$H$9=H5624,OR(LEFT(N5624,3)=$W$7,LEFT(O5624,3)=$W$7)),"x","")</f>
        <v/>
      </c>
      <c r="X5624" s="75" t="str">
        <f>IF(OR(TH!N5647=TH!$X$7,O5624=TH!$X$7),"x","")</f>
        <v/>
      </c>
      <c r="Y5624" s="75" t="str">
        <f>IF(AND(OR(N5624="131",O5624="131"),H5624='131-CT'!$H$9),"x","")</f>
        <v/>
      </c>
      <c r="Z5624" s="75"/>
      <c r="AA5624" s="75" t="str">
        <f>IF(AND(MONTH(E5624)='IN-NX'!$J$5,'IN-NX'!$D$7=D5624),"x","")</f>
        <v/>
      </c>
      <c r="AB5624" s="75" t="str">
        <f>IF(AND(OR(LEFT(TH!N5647,2)="15",LEFT(TH!O5647,2)="15"),LEFT(TH!O5647,3)&lt;&gt;"111",'152-CT'!$J$8=TH!F5647),"x","")</f>
        <v/>
      </c>
      <c r="AC5624" s="75" t="str">
        <f>IF(AND(OR(LEFT(TH!N5647,2)="15",LEFT(TH!O5647,2)="15"),TK!$E$7=TH!F5647),"x","")</f>
        <v/>
      </c>
      <c r="AD5624" s="75" t="str">
        <f>IF(AND(N5624="1521",MONTH(C5624)='BK-NL'!$M$11),"x","")</f>
        <v/>
      </c>
      <c r="AE5624">
        <v>12</v>
      </c>
    </row>
    <row r="5625" spans="1:33" ht="16.5" customHeight="1">
      <c r="A5625" s="309" t="str">
        <f>IF(B5625&lt;&gt;"",IF(AND(B5625='IN-TC'!$S$4,OR(TH!N5608="1111",TH!O5608="1111")),TH!D5608,""),"")</f>
        <v/>
      </c>
      <c r="B5625" s="1159">
        <f t="shared" si="1360"/>
        <v>12</v>
      </c>
      <c r="C5625" s="292">
        <f t="shared" si="1361"/>
        <v>43090</v>
      </c>
      <c r="D5625" s="59" t="s">
        <v>902</v>
      </c>
      <c r="E5625" s="59">
        <v>43090</v>
      </c>
      <c r="F5625" s="62" t="s">
        <v>1549</v>
      </c>
      <c r="G5625" s="62" t="s">
        <v>747</v>
      </c>
      <c r="H5625" s="67" t="s">
        <v>835</v>
      </c>
      <c r="I5625" s="373"/>
      <c r="J5625" s="382"/>
      <c r="K5625" s="373"/>
      <c r="L5625" s="379"/>
      <c r="M5625" s="60">
        <v>1153152</v>
      </c>
      <c r="N5625" s="61" t="s">
        <v>101</v>
      </c>
      <c r="O5625" s="61" t="s">
        <v>26</v>
      </c>
      <c r="P5625" s="75" t="str">
        <f>IF(AND('331-CT'!$E$7=TH!H5648,OR(N5625="331",O5625="331")),"x","")</f>
        <v/>
      </c>
      <c r="Q5625" s="75" t="str">
        <f>IF(AND(B5625='111'!$L$11,OR($N5625=$Q$7,$O5625=$Q$7)),"x","")</f>
        <v/>
      </c>
      <c r="R5625" s="75" t="str">
        <f>IF(AND($N5625=$Q$7,$B5625&lt;'111'!$L$11),"x","")</f>
        <v/>
      </c>
      <c r="S5625" s="75" t="str">
        <f>IF(AND($O5625=$Q$7,$B5625&lt;'111'!$L$11),"x","")</f>
        <v/>
      </c>
      <c r="T5625" s="75" t="str">
        <f>IF(ISERROR(FIND('112'!$M$9,G5625,1)),"",IF((AND(FIND('112'!$M$9,G5625,1)&gt;=1,B5625='112'!$K$9,OR($N5625='112'!$I$6,$O5625='112'!$I$6))),"x",""))</f>
        <v/>
      </c>
      <c r="U5625" s="75" t="str">
        <f>IF(ISERROR(FIND('112'!$M$9,G5625,1)),"",IF((AND(LEFT(G5625,2)=LEFT('112'!$M$9,2),B5625&lt;'112'!$K$9,$N5625='112'!$I$6)),"x",""))</f>
        <v/>
      </c>
      <c r="V5625" s="75" t="str">
        <f>IF(ISERROR(FIND('112'!$M$9,G5625,1)),"",IF((AND(RIGHT(G5625,2)=RIGHT('112'!$M$9,2),B5625&lt;'112'!$K$9,$O5625='112'!$I$6)),"x",""))</f>
        <v/>
      </c>
      <c r="W5625" s="75" t="str">
        <f>IF(AND('341-CT'!$H$9=H5625,OR(LEFT(N5625,3)=$W$7,LEFT(O5625,3)=$W$7)),"x","")</f>
        <v/>
      </c>
      <c r="X5625" s="75" t="str">
        <f>IF(OR(TH!N5648=TH!$X$7,O5625=TH!$X$7),"x","")</f>
        <v/>
      </c>
      <c r="Y5625" s="75" t="str">
        <f>IF(AND(OR(N5625="131",O5625="131"),H5625='131-CT'!$H$9),"x","")</f>
        <v/>
      </c>
      <c r="Z5625" s="75"/>
      <c r="AA5625" s="75" t="str">
        <f>IF(AND(MONTH(E5625)='IN-NX'!$J$5,'IN-NX'!$D$7=D5625),"x","")</f>
        <v/>
      </c>
      <c r="AB5625" s="75" t="str">
        <f>IF(AND(OR(LEFT(TH!N5648,2)="15",LEFT(TH!O5648,2)="15"),LEFT(TH!O5648,3)&lt;&gt;"111",'152-CT'!$J$8=TH!F5648),"x","")</f>
        <v/>
      </c>
      <c r="AC5625" s="75" t="str">
        <f>IF(AND(OR(LEFT(TH!N5648,2)="15",LEFT(TH!O5648,2)="15"),TK!$E$7=TH!F5648),"x","")</f>
        <v/>
      </c>
      <c r="AD5625" s="75" t="str">
        <f>IF(AND(N5625="1521",MONTH(C5625)='BK-NL'!$M$11),"x","")</f>
        <v/>
      </c>
      <c r="AE5625">
        <v>12</v>
      </c>
    </row>
    <row r="5626" spans="1:33" ht="16.5" customHeight="1">
      <c r="A5626" s="309" t="str">
        <f>IF(B5626&lt;&gt;"",IF(AND(B5626='IN-TC'!$S$4,OR(TH!N5609="1111",TH!O5609="1111")),TH!D5609,""),"")</f>
        <v/>
      </c>
      <c r="B5626" s="1159">
        <f t="shared" si="1360"/>
        <v>12</v>
      </c>
      <c r="C5626" s="292">
        <f t="shared" si="1361"/>
        <v>43090</v>
      </c>
      <c r="D5626" s="59" t="s">
        <v>902</v>
      </c>
      <c r="E5626" s="59">
        <v>43090</v>
      </c>
      <c r="F5626" s="62" t="s">
        <v>1552</v>
      </c>
      <c r="G5626" s="62" t="s">
        <v>747</v>
      </c>
      <c r="H5626" s="67" t="s">
        <v>835</v>
      </c>
      <c r="I5626" s="373"/>
      <c r="J5626" s="382"/>
      <c r="K5626" s="373"/>
      <c r="L5626" s="379"/>
      <c r="M5626" s="60">
        <v>115315</v>
      </c>
      <c r="N5626" s="61" t="s">
        <v>9</v>
      </c>
      <c r="O5626" s="61" t="s">
        <v>26</v>
      </c>
      <c r="P5626" s="75" t="str">
        <f>IF(AND('331-CT'!$E$7=TH!H5649,OR(N5626="331",O5626="331")),"x","")</f>
        <v/>
      </c>
      <c r="Q5626" s="75" t="str">
        <f>IF(AND(B5626='111'!$L$11,OR($N5626=$Q$7,$O5626=$Q$7)),"x","")</f>
        <v/>
      </c>
      <c r="R5626" s="75" t="str">
        <f>IF(AND($N5626=$Q$7,$B5626&lt;'111'!$L$11),"x","")</f>
        <v/>
      </c>
      <c r="S5626" s="75" t="str">
        <f>IF(AND($O5626=$Q$7,$B5626&lt;'111'!$L$11),"x","")</f>
        <v/>
      </c>
      <c r="T5626" s="75" t="str">
        <f>IF(ISERROR(FIND('112'!$M$9,G5626,1)),"",IF((AND(FIND('112'!$M$9,G5626,1)&gt;=1,B5626='112'!$K$9,OR($N5626='112'!$I$6,$O5626='112'!$I$6))),"x",""))</f>
        <v/>
      </c>
      <c r="U5626" s="75" t="str">
        <f>IF(ISERROR(FIND('112'!$M$9,G5626,1)),"",IF((AND(LEFT(G5626,2)=LEFT('112'!$M$9,2),B5626&lt;'112'!$K$9,$N5626='112'!$I$6)),"x",""))</f>
        <v/>
      </c>
      <c r="V5626" s="75" t="str">
        <f>IF(ISERROR(FIND('112'!$M$9,G5626,1)),"",IF((AND(RIGHT(G5626,2)=RIGHT('112'!$M$9,2),B5626&lt;'112'!$K$9,$O5626='112'!$I$6)),"x",""))</f>
        <v/>
      </c>
      <c r="W5626" s="75" t="str">
        <f>IF(AND('341-CT'!$H$9=H5626,OR(LEFT(N5626,3)=$W$7,LEFT(O5626,3)=$W$7)),"x","")</f>
        <v/>
      </c>
      <c r="X5626" s="75" t="str">
        <f>IF(OR(TH!N5649=TH!$X$7,O5626=TH!$X$7),"x","")</f>
        <v/>
      </c>
      <c r="Y5626" s="75" t="str">
        <f>IF(AND(OR(N5626="131",O5626="131"),H5626='131-CT'!$H$9),"x","")</f>
        <v/>
      </c>
      <c r="Z5626" s="75"/>
      <c r="AA5626" s="75" t="str">
        <f>IF(AND(MONTH(E5626)='IN-NX'!$J$5,'IN-NX'!$D$7=D5626),"x","")</f>
        <v/>
      </c>
      <c r="AB5626" s="75" t="str">
        <f>IF(AND(OR(LEFT(TH!N5649,2)="15",LEFT(TH!O5649,2)="15"),LEFT(TH!O5649,3)&lt;&gt;"111",'152-CT'!$J$8=TH!F5649),"x","")</f>
        <v/>
      </c>
      <c r="AC5626" s="75" t="str">
        <f>IF(AND(OR(LEFT(TH!N5649,2)="15",LEFT(TH!O5649,2)="15"),TK!$E$7=TH!F5649),"x","")</f>
        <v/>
      </c>
      <c r="AD5626" s="75" t="str">
        <f>IF(AND(N5626="1521",MONTH(C5626)='BK-NL'!$M$11),"x","")</f>
        <v/>
      </c>
      <c r="AE5626">
        <v>12</v>
      </c>
    </row>
    <row r="5627" spans="1:33" ht="16.5" customHeight="1">
      <c r="A5627" s="309" t="str">
        <f>IF(B5627&lt;&gt;"",IF(AND(B5627='IN-TC'!$S$4,OR(TH!N5610="1111",TH!O5610="1111")),TH!D5610,""),"")</f>
        <v/>
      </c>
      <c r="B5627" s="1159">
        <f t="shared" si="1360"/>
        <v>12</v>
      </c>
      <c r="C5627" s="292">
        <f t="shared" si="1361"/>
        <v>43090</v>
      </c>
      <c r="D5627" s="59" t="s">
        <v>902</v>
      </c>
      <c r="E5627" s="59">
        <v>43090</v>
      </c>
      <c r="F5627" s="62" t="s">
        <v>1549</v>
      </c>
      <c r="G5627" s="62" t="s">
        <v>747</v>
      </c>
      <c r="H5627" s="67" t="s">
        <v>835</v>
      </c>
      <c r="I5627" s="373"/>
      <c r="J5627" s="382"/>
      <c r="K5627" s="373"/>
      <c r="L5627" s="379"/>
      <c r="M5627" s="60">
        <v>227500</v>
      </c>
      <c r="N5627" s="61" t="s">
        <v>101</v>
      </c>
      <c r="O5627" s="61" t="s">
        <v>26</v>
      </c>
      <c r="P5627" s="75" t="str">
        <f>IF(AND('331-CT'!$E$7=TH!H5650,OR(N5627="331",O5627="331")),"x","")</f>
        <v/>
      </c>
      <c r="Q5627" s="75" t="str">
        <f>IF(AND(B5627='111'!$L$11,OR($N5627=$Q$7,$O5627=$Q$7)),"x","")</f>
        <v/>
      </c>
      <c r="R5627" s="75" t="str">
        <f>IF(AND($N5627=$Q$7,$B5627&lt;'111'!$L$11),"x","")</f>
        <v/>
      </c>
      <c r="S5627" s="75" t="str">
        <f>IF(AND($O5627=$Q$7,$B5627&lt;'111'!$L$11),"x","")</f>
        <v/>
      </c>
      <c r="T5627" s="75" t="str">
        <f>IF(ISERROR(FIND('112'!$M$9,G5627,1)),"",IF((AND(FIND('112'!$M$9,G5627,1)&gt;=1,B5627='112'!$K$9,OR($N5627='112'!$I$6,$O5627='112'!$I$6))),"x",""))</f>
        <v/>
      </c>
      <c r="U5627" s="75" t="str">
        <f>IF(ISERROR(FIND('112'!$M$9,G5627,1)),"",IF((AND(LEFT(G5627,2)=LEFT('112'!$M$9,2),B5627&lt;'112'!$K$9,$N5627='112'!$I$6)),"x",""))</f>
        <v/>
      </c>
      <c r="V5627" s="75" t="str">
        <f>IF(ISERROR(FIND('112'!$M$9,G5627,1)),"",IF((AND(RIGHT(G5627,2)=RIGHT('112'!$M$9,2),B5627&lt;'112'!$K$9,$O5627='112'!$I$6)),"x",""))</f>
        <v/>
      </c>
      <c r="W5627" s="75" t="str">
        <f>IF(AND('341-CT'!$H$9=H5627,OR(LEFT(N5627,3)=$W$7,LEFT(O5627,3)=$W$7)),"x","")</f>
        <v/>
      </c>
      <c r="X5627" s="75" t="str">
        <f>IF(OR(TH!N5650=TH!$X$7,O5627=TH!$X$7),"x","")</f>
        <v/>
      </c>
      <c r="Y5627" s="75" t="str">
        <f>IF(AND(OR(N5627="131",O5627="131"),H5627='131-CT'!$H$9),"x","")</f>
        <v/>
      </c>
      <c r="Z5627" s="75"/>
      <c r="AA5627" s="75" t="str">
        <f>IF(AND(MONTH(E5627)='IN-NX'!$J$5,'IN-NX'!$D$7=D5627),"x","")</f>
        <v/>
      </c>
      <c r="AB5627" s="75" t="str">
        <f>IF(AND(OR(LEFT(TH!N5650,2)="15",LEFT(TH!O5650,2)="15"),LEFT(TH!O5650,3)&lt;&gt;"111",'152-CT'!$J$8=TH!F5650),"x","")</f>
        <v/>
      </c>
      <c r="AC5627" s="75" t="str">
        <f>IF(AND(OR(LEFT(TH!N5650,2)="15",LEFT(TH!O5650,2)="15"),TK!$E$7=TH!F5650),"x","")</f>
        <v/>
      </c>
      <c r="AD5627" s="75" t="str">
        <f>IF(AND(N5627="1521",MONTH(C5627)='BK-NL'!$M$11),"x","")</f>
        <v/>
      </c>
    </row>
    <row r="5628" spans="1:33" ht="16.5" customHeight="1">
      <c r="A5628" s="309" t="str">
        <f>IF(B5628&lt;&gt;"",IF(AND(B5628='IN-TC'!$S$4,OR(TH!N5611="1111",TH!O5611="1111")),TH!D5611,""),"")</f>
        <v/>
      </c>
      <c r="B5628" s="1159">
        <f t="shared" si="1360"/>
        <v>12</v>
      </c>
      <c r="C5628" s="292">
        <f t="shared" si="1361"/>
        <v>43091</v>
      </c>
      <c r="D5628" s="292" t="s">
        <v>903</v>
      </c>
      <c r="E5628" s="292">
        <v>43091</v>
      </c>
      <c r="F5628" s="67" t="s">
        <v>2411</v>
      </c>
      <c r="G5628" s="293" t="s">
        <v>1713</v>
      </c>
      <c r="H5628" s="73" t="s">
        <v>2912</v>
      </c>
      <c r="I5628" s="373"/>
      <c r="J5628" s="926"/>
      <c r="K5628" s="373">
        <v>88350</v>
      </c>
      <c r="L5628" s="379">
        <v>22705</v>
      </c>
      <c r="M5628" s="927">
        <f>ROUND(K5628*L5628,0)</f>
        <v>2005986750</v>
      </c>
      <c r="N5628" s="295" t="s">
        <v>26</v>
      </c>
      <c r="O5628" s="295" t="s">
        <v>250</v>
      </c>
      <c r="P5628" s="75" t="str">
        <f>IF(AND('331-CT'!$E$7=TH!H4610,OR(N5628="331",O5628="331")),"x","")</f>
        <v/>
      </c>
      <c r="Q5628" s="75" t="str">
        <f>IF(AND(B5628='111'!$L$11,OR($N5628=$Q$7,$O5628=$Q$7)),"x","")</f>
        <v/>
      </c>
      <c r="R5628" s="75" t="str">
        <f>IF(AND($N5628=$Q$7,$B5628&lt;'111'!$L$11),"x","")</f>
        <v/>
      </c>
      <c r="S5628" s="75" t="str">
        <f>IF(AND($O5628=$Q$7,$B5628&lt;'111'!$L$11),"x","")</f>
        <v/>
      </c>
      <c r="T5628" s="75" t="str">
        <f>IF(ISERROR(FIND('112'!$M$9,G5628,1)),"",IF((AND(FIND('112'!$M$9,G5628,1)&gt;=1,B5628='112'!$K$9,OR($N5628='112'!$I$6,$O5628='112'!$I$6))),"x",""))</f>
        <v/>
      </c>
      <c r="U5628" s="75" t="str">
        <f>IF(ISERROR(FIND('112'!$M$9,G5628,1)),"",IF((AND(LEFT(G5628,2)=LEFT('112'!$M$9,2),B5628&lt;'112'!$K$9,$N5628='112'!$I$6)),"x",""))</f>
        <v/>
      </c>
      <c r="V5628" s="75" t="str">
        <f>IF(ISERROR(FIND('112'!$M$9,G5628,1)),"",IF((AND(RIGHT(G5628,2)=RIGHT('112'!$M$9,2),B5628&lt;'112'!$K$9,$O5628='112'!$I$6)),"x",""))</f>
        <v/>
      </c>
      <c r="W5628" s="75" t="str">
        <f>IF(AND('341-CT'!$H$9=H5628,OR(LEFT(N5628,3)=$W$7,LEFT(O5628,3)=$W$7)),"x","")</f>
        <v/>
      </c>
      <c r="X5628" s="75" t="str">
        <f>IF(OR(TH!N4610=TH!$X$7,O5628=TH!$X$7),"x","")</f>
        <v/>
      </c>
      <c r="Y5628" s="75" t="str">
        <f>IF(AND(OR(N5628="131",O5628="131"),H5628='131-CT'!$H$9),"x","")</f>
        <v/>
      </c>
      <c r="Z5628" s="75"/>
      <c r="AA5628" s="75" t="str">
        <f>IF(AND(MONTH(E5628)='IN-NX'!$J$5,'IN-NX'!$D$7=D5628),"x","")</f>
        <v/>
      </c>
      <c r="AB5628" s="75" t="str">
        <f>IF(AND(OR(LEFT(TH!N4610,2)="15",LEFT(TH!O4610,2)="15"),LEFT(TH!O4610,3)&lt;&gt;"111",'152-CT'!$J$8=TH!F4610),"x","")</f>
        <v/>
      </c>
      <c r="AC5628" s="75" t="str">
        <f>IF(AND(OR(LEFT(TH!N4610,2)="15",LEFT(TH!O4610,2)="15"),TK!$E$7=TH!F4610),"x","")</f>
        <v/>
      </c>
      <c r="AD5628" s="75" t="str">
        <f>IF(AND(N5628="1521",MONTH(C5628)='BK-NL'!$M$11),"x","")</f>
        <v/>
      </c>
      <c r="AE5628" s="304"/>
      <c r="AF5628" s="304"/>
      <c r="AG5628" s="304"/>
    </row>
    <row r="5629" spans="1:33" ht="16.5" customHeight="1">
      <c r="A5629" s="309" t="str">
        <f>IF(B5629&lt;&gt;"",IF(AND(B5629='IN-TC'!$S$4,OR(TH!N5612="1111",TH!O5612="1111")),TH!D5612,""),"")</f>
        <v/>
      </c>
      <c r="B5629" s="1159">
        <f t="shared" si="1360"/>
        <v>12</v>
      </c>
      <c r="C5629" s="292">
        <f t="shared" si="1361"/>
        <v>43091</v>
      </c>
      <c r="D5629" s="292" t="s">
        <v>903</v>
      </c>
      <c r="E5629" s="292">
        <v>43091</v>
      </c>
      <c r="F5629" s="67" t="s">
        <v>2778</v>
      </c>
      <c r="G5629" s="943" t="s">
        <v>1713</v>
      </c>
      <c r="H5629" s="67" t="s">
        <v>1771</v>
      </c>
      <c r="I5629" s="373"/>
      <c r="J5629" s="926"/>
      <c r="K5629" s="373"/>
      <c r="L5629" s="379"/>
      <c r="M5629" s="927">
        <v>600000000</v>
      </c>
      <c r="N5629" s="295" t="s">
        <v>26</v>
      </c>
      <c r="O5629" s="295" t="s">
        <v>72</v>
      </c>
      <c r="P5629" s="75" t="str">
        <f>IF(AND('331-CT'!$E$7=TH!H4611,OR(N5629="331",O5629="331")),"x","")</f>
        <v/>
      </c>
      <c r="Q5629" s="75" t="str">
        <f>IF(AND(B5629='111'!$L$11,OR($N5629=$Q$7,$O5629=$Q$7)),"x","")</f>
        <v/>
      </c>
      <c r="R5629" s="75" t="str">
        <f>IF(AND($N5629=$Q$7,$B5629&lt;'111'!$L$11),"x","")</f>
        <v/>
      </c>
      <c r="S5629" s="75" t="str">
        <f>IF(AND($O5629=$Q$7,$B5629&lt;'111'!$L$11),"x","")</f>
        <v/>
      </c>
      <c r="T5629" s="75" t="str">
        <f>IF(ISERROR(FIND('112'!$M$9,G5629,1)),"",IF((AND(FIND('112'!$M$9,G5629,1)&gt;=1,B5629='112'!$K$9,OR($N5629='112'!$I$6,$O5629='112'!$I$6))),"x",""))</f>
        <v/>
      </c>
      <c r="U5629" s="75" t="str">
        <f>IF(ISERROR(FIND('112'!$M$9,G5629,1)),"",IF((AND(LEFT(G5629,2)=LEFT('112'!$M$9,2),B5629&lt;'112'!$K$9,$N5629='112'!$I$6)),"x",""))</f>
        <v/>
      </c>
      <c r="V5629" s="75" t="str">
        <f>IF(ISERROR(FIND('112'!$M$9,G5629,1)),"",IF((AND(RIGHT(G5629,2)=RIGHT('112'!$M$9,2),B5629&lt;'112'!$K$9,$O5629='112'!$I$6)),"x",""))</f>
        <v/>
      </c>
      <c r="W5629" s="75" t="str">
        <f>IF(AND('341-CT'!$H$9=H5629,OR(LEFT(N5629,3)=$W$7,LEFT(O5629,3)=$W$7)),"x","")</f>
        <v/>
      </c>
      <c r="X5629" s="75" t="str">
        <f>IF(OR(TH!N4611=TH!$X$7,O5629=TH!$X$7),"x","")</f>
        <v/>
      </c>
      <c r="Y5629" s="75" t="str">
        <f>IF(AND(OR(N5629="131",O5629="131"),H5629='131-CT'!$H$9),"x","")</f>
        <v/>
      </c>
      <c r="Z5629" s="75"/>
      <c r="AA5629" s="75" t="str">
        <f>IF(AND(MONTH(E5629)='IN-NX'!$J$5,'IN-NX'!$D$7=D5629),"x","")</f>
        <v/>
      </c>
      <c r="AB5629" s="75" t="str">
        <f>IF(AND(OR(LEFT(TH!N4611,2)="15",LEFT(TH!O4611,2)="15"),LEFT(TH!O4611,3)&lt;&gt;"111",'152-CT'!$J$8=TH!F4611),"x","")</f>
        <v/>
      </c>
      <c r="AC5629" s="75" t="str">
        <f>IF(AND(OR(LEFT(TH!N4611,2)="15",LEFT(TH!O4611,2)="15"),TK!$E$7=TH!F4611),"x","")</f>
        <v/>
      </c>
      <c r="AD5629" s="75" t="str">
        <f>IF(AND(N5629="1521",MONTH(C5629)='BK-NL'!$M$11),"x","")</f>
        <v/>
      </c>
    </row>
    <row r="5630" spans="1:33" ht="16.5" customHeight="1">
      <c r="A5630" s="309" t="str">
        <f>IF(B5630&lt;&gt;"",IF(AND(B5630='IN-TC'!$S$4,OR(TH!N5613="1111",TH!O5613="1111")),TH!D5613,""),"")</f>
        <v/>
      </c>
      <c r="B5630" s="1159">
        <f t="shared" si="1360"/>
        <v>12</v>
      </c>
      <c r="C5630" s="292">
        <f t="shared" si="1361"/>
        <v>43091</v>
      </c>
      <c r="D5630" s="292" t="s">
        <v>902</v>
      </c>
      <c r="E5630" s="292">
        <v>43091</v>
      </c>
      <c r="F5630" s="67" t="s">
        <v>930</v>
      </c>
      <c r="G5630" s="943" t="s">
        <v>1713</v>
      </c>
      <c r="H5630" s="294" t="s">
        <v>622</v>
      </c>
      <c r="I5630" s="373"/>
      <c r="J5630" s="926"/>
      <c r="K5630" s="373"/>
      <c r="L5630" s="379"/>
      <c r="M5630" s="927">
        <v>600000000</v>
      </c>
      <c r="N5630" s="295" t="s">
        <v>8</v>
      </c>
      <c r="O5630" s="295" t="s">
        <v>26</v>
      </c>
      <c r="P5630" s="75" t="str">
        <f>IF(AND('331-CT'!$E$7=TH!H4612,OR(N5630="331",O5630="331")),"x","")</f>
        <v/>
      </c>
      <c r="Q5630" s="75" t="str">
        <f>IF(AND(B5630='111'!$L$11,OR($N5630=$Q$7,$O5630=$Q$7)),"x","")</f>
        <v/>
      </c>
      <c r="R5630" s="75" t="str">
        <f>IF(AND($N5630=$Q$7,$B5630&lt;'111'!$L$11),"x","")</f>
        <v/>
      </c>
      <c r="S5630" s="75" t="str">
        <f>IF(AND($O5630=$Q$7,$B5630&lt;'111'!$L$11),"x","")</f>
        <v/>
      </c>
      <c r="T5630" s="75" t="str">
        <f>IF(ISERROR(FIND('112'!$M$9,G5630,1)),"",IF((AND(FIND('112'!$M$9,G5630,1)&gt;=1,B5630='112'!$K$9,OR($N5630='112'!$I$6,$O5630='112'!$I$6))),"x",""))</f>
        <v/>
      </c>
      <c r="U5630" s="75" t="str">
        <f>IF(ISERROR(FIND('112'!$M$9,G5630,1)),"",IF((AND(LEFT(G5630,2)=LEFT('112'!$M$9,2),B5630&lt;'112'!$K$9,$N5630='112'!$I$6)),"x",""))</f>
        <v/>
      </c>
      <c r="V5630" s="75" t="str">
        <f>IF(ISERROR(FIND('112'!$M$9,G5630,1)),"",IF((AND(RIGHT(G5630,2)=RIGHT('112'!$M$9,2),B5630&lt;'112'!$K$9,$O5630='112'!$I$6)),"x",""))</f>
        <v/>
      </c>
      <c r="W5630" s="75" t="str">
        <f>IF(AND('341-CT'!$H$9=H5630,OR(LEFT(N5630,3)=$W$7,LEFT(O5630,3)=$W$7)),"x","")</f>
        <v/>
      </c>
      <c r="X5630" s="75" t="str">
        <f>IF(OR(TH!N4612=TH!$X$7,O5630=TH!$X$7),"x","")</f>
        <v/>
      </c>
      <c r="Y5630" s="75" t="str">
        <f>IF(AND(OR(N5630="131",O5630="131"),H5630='131-CT'!$H$9),"x","")</f>
        <v/>
      </c>
      <c r="Z5630" s="75"/>
      <c r="AA5630" s="75" t="str">
        <f>IF(AND(MONTH(E5630)='IN-NX'!$J$5,'IN-NX'!$D$7=D5630),"x","")</f>
        <v/>
      </c>
      <c r="AB5630" s="75" t="str">
        <f>IF(AND(OR(LEFT(TH!N4612,2)="15",LEFT(TH!O4612,2)="15"),LEFT(TH!O4612,3)&lt;&gt;"111",'152-CT'!$J$8=TH!F4612),"x","")</f>
        <v/>
      </c>
      <c r="AC5630" s="75" t="str">
        <f>IF(AND(OR(LEFT(TH!N4612,2)="15",LEFT(TH!O4612,2)="15"),TK!$E$7=TH!F4612),"x","")</f>
        <v/>
      </c>
      <c r="AD5630" s="75" t="str">
        <f>IF(AND(N5630="1521",MONTH(C5630)='BK-NL'!$M$11),"x","")</f>
        <v/>
      </c>
    </row>
    <row r="5631" spans="1:33" ht="16.5" customHeight="1">
      <c r="A5631" s="309" t="str">
        <f>IF(B5631&lt;&gt;"",IF(AND(B5631='IN-TC'!$S$4,OR(TH!N5614="1111",TH!O5614="1111")),TH!D5614,""),"")</f>
        <v/>
      </c>
      <c r="B5631" s="1159">
        <f t="shared" si="1360"/>
        <v>12</v>
      </c>
      <c r="C5631" s="292">
        <f t="shared" si="1361"/>
        <v>43091</v>
      </c>
      <c r="D5631" s="59" t="s">
        <v>902</v>
      </c>
      <c r="E5631" s="59">
        <v>43091</v>
      </c>
      <c r="F5631" s="67" t="s">
        <v>870</v>
      </c>
      <c r="G5631" s="62" t="s">
        <v>1713</v>
      </c>
      <c r="H5631" s="67" t="s">
        <v>1771</v>
      </c>
      <c r="I5631" s="375"/>
      <c r="J5631" s="381"/>
      <c r="K5631" s="60"/>
      <c r="L5631" s="381"/>
      <c r="M5631" s="60">
        <v>60000</v>
      </c>
      <c r="N5631" s="61" t="s">
        <v>101</v>
      </c>
      <c r="O5631" s="61" t="s">
        <v>26</v>
      </c>
      <c r="P5631" s="75" t="str">
        <f>IF(AND('331-CT'!$E$7=TH!H4613,OR(N5631="331",O5631="331")),"x","")</f>
        <v/>
      </c>
      <c r="Q5631" s="75" t="str">
        <f>IF(AND(B5631='111'!$L$11,OR($N5631=$Q$7,$O5631=$Q$7)),"x","")</f>
        <v/>
      </c>
      <c r="R5631" s="75" t="str">
        <f>IF(AND($N5631=$Q$7,$B5631&lt;'111'!$L$11),"x","")</f>
        <v/>
      </c>
      <c r="S5631" s="75" t="str">
        <f>IF(AND($O5631=$Q$7,$B5631&lt;'111'!$L$11),"x","")</f>
        <v/>
      </c>
      <c r="T5631" s="75" t="str">
        <f>IF(ISERROR(FIND('112'!$M$9,G5631,1)),"",IF((AND(FIND('112'!$M$9,G5631,1)&gt;=1,B5631='112'!$K$9,OR($N5631='112'!$I$6,$O5631='112'!$I$6))),"x",""))</f>
        <v/>
      </c>
      <c r="U5631" s="75" t="str">
        <f>IF(ISERROR(FIND('112'!$M$9,G5631,1)),"",IF((AND(LEFT(G5631,2)=LEFT('112'!$M$9,2),B5631&lt;'112'!$K$9,$N5631='112'!$I$6)),"x",""))</f>
        <v/>
      </c>
      <c r="V5631" s="75" t="str">
        <f>IF(ISERROR(FIND('112'!$M$9,G5631,1)),"",IF((AND(RIGHT(G5631,2)=RIGHT('112'!$M$9,2),B5631&lt;'112'!$K$9,$O5631='112'!$I$6)),"x",""))</f>
        <v/>
      </c>
      <c r="W5631" s="75" t="str">
        <f>IF(AND('341-CT'!$H$9=H5631,OR(LEFT(N5631,3)=$W$7,LEFT(O5631,3)=$W$7)),"x","")</f>
        <v/>
      </c>
      <c r="X5631" s="75" t="str">
        <f>IF(OR(TH!N4613=TH!$X$7,O5631=TH!$X$7),"x","")</f>
        <v/>
      </c>
      <c r="Y5631" s="75" t="str">
        <f>IF(AND(OR(N5631="131",O5631="131"),H5631='131-CT'!$H$9),"x","")</f>
        <v/>
      </c>
      <c r="Z5631" s="75"/>
      <c r="AA5631" s="75" t="str">
        <f>IF(AND(MONTH(E5631)='IN-NX'!$J$5,'IN-NX'!$D$7=D5631),"x","")</f>
        <v/>
      </c>
      <c r="AB5631" s="75" t="str">
        <f>IF(AND(OR(LEFT(TH!N4613,2)="15",LEFT(TH!O4613,2)="15"),LEFT(TH!O4613,3)&lt;&gt;"111",'152-CT'!$J$8=TH!F4613),"x","")</f>
        <v/>
      </c>
      <c r="AC5631" s="75" t="str">
        <f>IF(AND(OR(LEFT(TH!N4613,2)="15",LEFT(TH!O4613,2)="15"),TK!$E$7=TH!F4613),"x","")</f>
        <v/>
      </c>
      <c r="AD5631" s="75" t="str">
        <f>IF(AND(N5631="1521",MONTH(C5631)='BK-NL'!$M$11),"x","")</f>
        <v/>
      </c>
      <c r="AE5631" s="1053">
        <v>12</v>
      </c>
      <c r="AF5631" s="1053"/>
      <c r="AG5631" s="1053"/>
    </row>
    <row r="5632" spans="1:33" ht="16.5" customHeight="1">
      <c r="A5632" s="309" t="str">
        <f>IF(B5632&lt;&gt;"",IF(AND(B5632='IN-TC'!$S$4,OR(TH!N5615="1111",TH!O5615="1111")),TH!D5615,""),"")</f>
        <v/>
      </c>
      <c r="B5632" s="1159">
        <f t="shared" si="1360"/>
        <v>12</v>
      </c>
      <c r="C5632" s="292">
        <f t="shared" si="1361"/>
        <v>43091</v>
      </c>
      <c r="D5632" s="59" t="s">
        <v>902</v>
      </c>
      <c r="E5632" s="59">
        <v>43091</v>
      </c>
      <c r="F5632" s="67" t="s">
        <v>898</v>
      </c>
      <c r="G5632" s="62" t="s">
        <v>1713</v>
      </c>
      <c r="H5632" s="67" t="s">
        <v>1771</v>
      </c>
      <c r="I5632" s="375"/>
      <c r="J5632" s="381"/>
      <c r="K5632" s="375"/>
      <c r="L5632" s="381"/>
      <c r="M5632" s="60">
        <v>6000</v>
      </c>
      <c r="N5632" s="61" t="s">
        <v>9</v>
      </c>
      <c r="O5632" s="61" t="s">
        <v>26</v>
      </c>
      <c r="P5632" s="75" t="str">
        <f>IF(AND('331-CT'!$E$7=TH!H4614,OR(N5632="331",O5632="331")),"x","")</f>
        <v/>
      </c>
      <c r="Q5632" s="75" t="str">
        <f>IF(AND(B5632='111'!$L$11,OR($N5632=$Q$7,$O5632=$Q$7)),"x","")</f>
        <v/>
      </c>
      <c r="R5632" s="75" t="str">
        <f>IF(AND($N5632=$Q$7,$B5632&lt;'111'!$L$11),"x","")</f>
        <v/>
      </c>
      <c r="S5632" s="75" t="str">
        <f>IF(AND($O5632=$Q$7,$B5632&lt;'111'!$L$11),"x","")</f>
        <v/>
      </c>
      <c r="T5632" s="75" t="str">
        <f>IF(ISERROR(FIND('112'!$M$9,G5632,1)),"",IF((AND(FIND('112'!$M$9,G5632,1)&gt;=1,B5632='112'!$K$9,OR($N5632='112'!$I$6,$O5632='112'!$I$6))),"x",""))</f>
        <v/>
      </c>
      <c r="U5632" s="75" t="str">
        <f>IF(ISERROR(FIND('112'!$M$9,G5632,1)),"",IF((AND(LEFT(G5632,2)=LEFT('112'!$M$9,2),B5632&lt;'112'!$K$9,$N5632='112'!$I$6)),"x",""))</f>
        <v/>
      </c>
      <c r="V5632" s="75" t="str">
        <f>IF(ISERROR(FIND('112'!$M$9,G5632,1)),"",IF((AND(RIGHT(G5632,2)=RIGHT('112'!$M$9,2),B5632&lt;'112'!$K$9,$O5632='112'!$I$6)),"x",""))</f>
        <v/>
      </c>
      <c r="W5632" s="75" t="str">
        <f>IF(AND('341-CT'!$H$9=H5632,OR(LEFT(N5632,3)=$W$7,LEFT(O5632,3)=$W$7)),"x","")</f>
        <v/>
      </c>
      <c r="X5632" s="75" t="str">
        <f>IF(OR(TH!N4614=TH!$X$7,O5632=TH!$X$7),"x","")</f>
        <v/>
      </c>
      <c r="Y5632" s="75" t="str">
        <f>IF(AND(OR(N5632="131",O5632="131"),H5632='131-CT'!$H$9),"x","")</f>
        <v/>
      </c>
      <c r="Z5632" s="75"/>
      <c r="AA5632" s="75" t="str">
        <f>IF(AND(MONTH(E5632)='IN-NX'!$J$5,'IN-NX'!$D$7=D5632),"x","")</f>
        <v/>
      </c>
      <c r="AB5632" s="75" t="str">
        <f>IF(AND(OR(LEFT(TH!N4614,2)="15",LEFT(TH!O4614,2)="15"),LEFT(TH!O4614,3)&lt;&gt;"111",'152-CT'!$J$8=TH!F4614),"x","")</f>
        <v/>
      </c>
      <c r="AC5632" s="75" t="str">
        <f>IF(AND(OR(LEFT(TH!N4614,2)="15",LEFT(TH!O4614,2)="15"),TK!$E$7=TH!F4614),"x","")</f>
        <v/>
      </c>
      <c r="AD5632" s="75" t="str">
        <f>IF(AND(N5632="1521",MONTH(C5632)='BK-NL'!$M$11),"x","")</f>
        <v/>
      </c>
      <c r="AE5632" s="1053">
        <v>12</v>
      </c>
      <c r="AF5632" s="1053"/>
      <c r="AG5632" s="1053"/>
    </row>
    <row r="5633" spans="1:33" ht="16.5" customHeight="1">
      <c r="A5633" s="309" t="str">
        <f>IF(B5633&lt;&gt;"",IF(AND(B5633='IN-TC'!$S$4,OR(TH!N5616="1111",TH!O5616="1111")),TH!D5616,""),"")</f>
        <v/>
      </c>
      <c r="B5633" s="1159">
        <f t="shared" si="1360"/>
        <v>12</v>
      </c>
      <c r="C5633" s="292">
        <f t="shared" si="1361"/>
        <v>43091</v>
      </c>
      <c r="D5633" s="59" t="s">
        <v>903</v>
      </c>
      <c r="E5633" s="59">
        <v>43091</v>
      </c>
      <c r="F5633" s="62" t="s">
        <v>252</v>
      </c>
      <c r="G5633" s="293" t="s">
        <v>747</v>
      </c>
      <c r="H5633" s="1270" t="s">
        <v>2769</v>
      </c>
      <c r="I5633" s="373"/>
      <c r="J5633" s="382"/>
      <c r="K5633" s="373">
        <v>92500</v>
      </c>
      <c r="L5633" s="379">
        <v>22702</v>
      </c>
      <c r="M5633" s="60">
        <f>ROUND(K5633*L5633,0)</f>
        <v>2099935000</v>
      </c>
      <c r="N5633" s="61" t="s">
        <v>26</v>
      </c>
      <c r="O5633" s="61" t="s">
        <v>250</v>
      </c>
      <c r="P5633" s="75" t="str">
        <f>IF(AND('331-CT'!$E$7=TH!H5651,OR(N5633="331",O5633="331")),"x","")</f>
        <v/>
      </c>
      <c r="Q5633" s="75" t="str">
        <f>IF(AND(B5633='111'!$L$11,OR($N5633=$Q$7,$O5633=$Q$7)),"x","")</f>
        <v/>
      </c>
      <c r="R5633" s="75" t="str">
        <f>IF(AND($N5633=$Q$7,$B5633&lt;'111'!$L$11),"x","")</f>
        <v/>
      </c>
      <c r="S5633" s="75" t="str">
        <f>IF(AND($O5633=$Q$7,$B5633&lt;'111'!$L$11),"x","")</f>
        <v/>
      </c>
      <c r="T5633" s="75" t="str">
        <f>IF(ISERROR(FIND('112'!$M$9,G5633,1)),"",IF((AND(FIND('112'!$M$9,G5633,1)&gt;=1,B5633='112'!$K$9,OR($N5633='112'!$I$6,$O5633='112'!$I$6))),"x",""))</f>
        <v/>
      </c>
      <c r="U5633" s="75" t="str">
        <f>IF(ISERROR(FIND('112'!$M$9,G5633,1)),"",IF((AND(LEFT(G5633,2)=LEFT('112'!$M$9,2),B5633&lt;'112'!$K$9,$N5633='112'!$I$6)),"x",""))</f>
        <v/>
      </c>
      <c r="V5633" s="75" t="str">
        <f>IF(ISERROR(FIND('112'!$M$9,G5633,1)),"",IF((AND(RIGHT(G5633,2)=RIGHT('112'!$M$9,2),B5633&lt;'112'!$K$9,$O5633='112'!$I$6)),"x",""))</f>
        <v/>
      </c>
      <c r="W5633" s="75" t="str">
        <f>IF(AND('341-CT'!$H$9=H5633,OR(LEFT(N5633,3)=$W$7,LEFT(O5633,3)=$W$7)),"x","")</f>
        <v/>
      </c>
      <c r="X5633" s="75" t="str">
        <f>IF(OR(TH!N5651=TH!$X$7,O5633=TH!$X$7),"x","")</f>
        <v/>
      </c>
      <c r="Y5633" s="75" t="str">
        <f>IF(AND(OR(N5633="131",O5633="131"),H5633='131-CT'!$H$9),"x","")</f>
        <v/>
      </c>
      <c r="Z5633" s="75"/>
      <c r="AA5633" s="75" t="str">
        <f>IF(AND(MONTH(E5633)='IN-NX'!$J$5,'IN-NX'!$D$7=D5633),"x","")</f>
        <v/>
      </c>
      <c r="AB5633" s="75" t="str">
        <f>IF(AND(OR(LEFT(TH!N5651,2)="15",LEFT(TH!O5651,2)="15"),LEFT(TH!O5651,3)&lt;&gt;"111",'152-CT'!$J$8=TH!F5651),"x","")</f>
        <v/>
      </c>
      <c r="AC5633" s="75" t="str">
        <f>IF(AND(OR(LEFT(TH!N5651,2)="15",LEFT(TH!O5651,2)="15"),TK!$E$7=TH!F5651),"x","")</f>
        <v/>
      </c>
      <c r="AD5633" s="75" t="str">
        <f>IF(AND(N5633="1521",MONTH(C5633)='BK-NL'!$M$11),"x","")</f>
        <v/>
      </c>
    </row>
    <row r="5634" spans="1:33" ht="16.5" customHeight="1">
      <c r="A5634" s="309" t="str">
        <f>IF(B5634&lt;&gt;"",IF(AND(B5634='IN-TC'!$S$4,OR(TH!N5617="1111",TH!O5617="1111")),TH!D5617,""),"")</f>
        <v/>
      </c>
      <c r="B5634" s="1159">
        <f t="shared" si="1360"/>
        <v>12</v>
      </c>
      <c r="C5634" s="292">
        <f t="shared" si="1361"/>
        <v>43091</v>
      </c>
      <c r="D5634" s="59" t="s">
        <v>903</v>
      </c>
      <c r="E5634" s="59">
        <v>43091</v>
      </c>
      <c r="F5634" s="62" t="s">
        <v>2770</v>
      </c>
      <c r="G5634" s="293" t="s">
        <v>747</v>
      </c>
      <c r="H5634" s="294" t="s">
        <v>2771</v>
      </c>
      <c r="I5634" s="373"/>
      <c r="J5634" s="382"/>
      <c r="K5634" s="373">
        <v>23662</v>
      </c>
      <c r="L5634" s="379">
        <v>22702</v>
      </c>
      <c r="M5634" s="60">
        <f>ROUND(K5634*L5634,0)</f>
        <v>537174724</v>
      </c>
      <c r="N5634" s="61" t="s">
        <v>26</v>
      </c>
      <c r="O5634" s="61" t="s">
        <v>250</v>
      </c>
      <c r="P5634" s="75" t="str">
        <f>IF(AND('331-CT'!$E$7=TH!H5652,OR(N5634="331",O5634="331")),"x","")</f>
        <v/>
      </c>
      <c r="Q5634" s="75" t="str">
        <f>IF(AND(B5634='111'!$L$11,OR($N5634=$Q$7,$O5634=$Q$7)),"x","")</f>
        <v/>
      </c>
      <c r="R5634" s="75" t="str">
        <f>IF(AND($N5634=$Q$7,$B5634&lt;'111'!$L$11),"x","")</f>
        <v/>
      </c>
      <c r="S5634" s="75" t="str">
        <f>IF(AND($O5634=$Q$7,$B5634&lt;'111'!$L$11),"x","")</f>
        <v/>
      </c>
      <c r="T5634" s="75" t="str">
        <f>IF(ISERROR(FIND('112'!$M$9,G5634,1)),"",IF((AND(FIND('112'!$M$9,G5634,1)&gt;=1,B5634='112'!$K$9,OR($N5634='112'!$I$6,$O5634='112'!$I$6))),"x",""))</f>
        <v/>
      </c>
      <c r="U5634" s="75" t="str">
        <f>IF(ISERROR(FIND('112'!$M$9,G5634,1)),"",IF((AND(LEFT(G5634,2)=LEFT('112'!$M$9,2),B5634&lt;'112'!$K$9,$N5634='112'!$I$6)),"x",""))</f>
        <v/>
      </c>
      <c r="V5634" s="75" t="str">
        <f>IF(ISERROR(FIND('112'!$M$9,G5634,1)),"",IF((AND(RIGHT(G5634,2)=RIGHT('112'!$M$9,2),B5634&lt;'112'!$K$9,$O5634='112'!$I$6)),"x",""))</f>
        <v/>
      </c>
      <c r="W5634" s="75" t="str">
        <f>IF(AND('341-CT'!$H$9=H5634,OR(LEFT(N5634,3)=$W$7,LEFT(O5634,3)=$W$7)),"x","")</f>
        <v/>
      </c>
      <c r="X5634" s="75" t="str">
        <f>IF(OR(TH!N5652=TH!$X$7,O5634=TH!$X$7),"x","")</f>
        <v/>
      </c>
      <c r="Y5634" s="75" t="str">
        <f>IF(AND(OR(N5634="131",O5634="131"),H5634='131-CT'!$H$9),"x","")</f>
        <v/>
      </c>
      <c r="Z5634" s="75"/>
      <c r="AA5634" s="75" t="str">
        <f>IF(AND(MONTH(E5634)='IN-NX'!$J$5,'IN-NX'!$D$7=D5634),"x","")</f>
        <v/>
      </c>
      <c r="AB5634" s="75" t="str">
        <f>IF(AND(OR(LEFT(TH!N5652,2)="15",LEFT(TH!O5652,2)="15"),LEFT(TH!O5652,3)&lt;&gt;"111",'152-CT'!$J$8=TH!F5652),"x","")</f>
        <v/>
      </c>
      <c r="AC5634" s="75" t="str">
        <f>IF(AND(OR(LEFT(TH!N5652,2)="15",LEFT(TH!O5652,2)="15"),TK!$E$7=TH!F5652),"x","")</f>
        <v/>
      </c>
      <c r="AD5634" s="75" t="str">
        <f>IF(AND(N5634="1521",MONTH(C5634)='BK-NL'!$M$11),"x","")</f>
        <v/>
      </c>
    </row>
    <row r="5635" spans="1:33" ht="16.5" customHeight="1">
      <c r="A5635" s="309" t="str">
        <f>IF(B5635&lt;&gt;"",IF(AND(B5635='IN-TC'!$S$4,OR(TH!N5618="1111",TH!O5618="1111")),TH!D5618,""),"")</f>
        <v/>
      </c>
      <c r="B5635" s="1159">
        <f t="shared" si="1360"/>
        <v>12</v>
      </c>
      <c r="C5635" s="292">
        <f t="shared" si="1361"/>
        <v>43092</v>
      </c>
      <c r="D5635" s="292" t="s">
        <v>2773</v>
      </c>
      <c r="E5635" s="292">
        <v>43092</v>
      </c>
      <c r="F5635" s="67" t="s">
        <v>834</v>
      </c>
      <c r="G5635" s="943" t="s">
        <v>1713</v>
      </c>
      <c r="H5635" s="294" t="s">
        <v>1023</v>
      </c>
      <c r="I5635" s="373"/>
      <c r="J5635" s="926"/>
      <c r="K5635" s="373"/>
      <c r="L5635" s="379"/>
      <c r="M5635" s="927">
        <v>2010000000</v>
      </c>
      <c r="N5635" s="295" t="s">
        <v>63</v>
      </c>
      <c r="O5635" s="295" t="s">
        <v>26</v>
      </c>
      <c r="P5635" s="75" t="str">
        <f>IF(AND('331-CT'!$E$7=TH!H4615,OR(N5635="331",O5635="331")),"x","")</f>
        <v/>
      </c>
      <c r="Q5635" s="75" t="str">
        <f>IF(AND(B5635='111'!$L$11,OR($N5635=$Q$7,$O5635=$Q$7)),"x","")</f>
        <v>x</v>
      </c>
      <c r="R5635" s="75" t="str">
        <f>IF(AND($N5635=$Q$7,$B5635&lt;'111'!$L$11),"x","")</f>
        <v/>
      </c>
      <c r="S5635" s="75" t="str">
        <f>IF(AND($O5635=$Q$7,$B5635&lt;'111'!$L$11),"x","")</f>
        <v/>
      </c>
      <c r="T5635" s="75" t="str">
        <f>IF(ISERROR(FIND('112'!$M$9,G5635,1)),"",IF((AND(FIND('112'!$M$9,G5635,1)&gt;=1,B5635='112'!$K$9,OR($N5635='112'!$I$6,$O5635='112'!$I$6))),"x",""))</f>
        <v/>
      </c>
      <c r="U5635" s="75" t="str">
        <f>IF(ISERROR(FIND('112'!$M$9,G5635,1)),"",IF((AND(LEFT(G5635,2)=LEFT('112'!$M$9,2),B5635&lt;'112'!$K$9,$N5635='112'!$I$6)),"x",""))</f>
        <v/>
      </c>
      <c r="V5635" s="75" t="str">
        <f>IF(ISERROR(FIND('112'!$M$9,G5635,1)),"",IF((AND(RIGHT(G5635,2)=RIGHT('112'!$M$9,2),B5635&lt;'112'!$K$9,$O5635='112'!$I$6)),"x",""))</f>
        <v/>
      </c>
      <c r="W5635" s="75" t="str">
        <f>IF(AND('341-CT'!$H$9=H5635,OR(LEFT(N5635,3)=$W$7,LEFT(O5635,3)=$W$7)),"x","")</f>
        <v/>
      </c>
      <c r="X5635" s="75" t="str">
        <f>IF(OR(TH!N4615=TH!$X$7,O5635=TH!$X$7),"x","")</f>
        <v/>
      </c>
      <c r="Y5635" s="75" t="str">
        <f>IF(AND(OR(N5635="131",O5635="131"),H5635='131-CT'!$H$9),"x","")</f>
        <v/>
      </c>
      <c r="Z5635" s="75"/>
      <c r="AA5635" s="75" t="str">
        <f>IF(AND(MONTH(E5635)='IN-NX'!$J$5,'IN-NX'!$D$7=D5635),"x","")</f>
        <v/>
      </c>
      <c r="AB5635" s="75" t="str">
        <f>IF(AND(OR(LEFT(TH!N4615,2)="15",LEFT(TH!O4615,2)="15"),LEFT(TH!O4615,3)&lt;&gt;"111",'152-CT'!$J$8=TH!F4615),"x","")</f>
        <v/>
      </c>
      <c r="AC5635" s="75" t="str">
        <f>IF(AND(OR(LEFT(TH!N4615,2)="15",LEFT(TH!O4615,2)="15"),TK!$E$7=TH!F4615),"x","")</f>
        <v/>
      </c>
      <c r="AD5635" s="75" t="str">
        <f>IF(AND(N5635="1521",MONTH(C5635)='BK-NL'!$M$11),"x","")</f>
        <v/>
      </c>
    </row>
    <row r="5636" spans="1:33" ht="16.5" customHeight="1">
      <c r="A5636" s="309" t="str">
        <f>IF(B5636&lt;&gt;"",IF(AND(B5636='IN-TC'!$S$4,OR(TH!N5619="1111",TH!O5619="1111")),TH!D5619,""),"")</f>
        <v/>
      </c>
      <c r="B5636" s="1159">
        <f t="shared" si="1360"/>
        <v>12</v>
      </c>
      <c r="C5636" s="292">
        <f t="shared" si="1361"/>
        <v>43092</v>
      </c>
      <c r="D5636" s="292" t="s">
        <v>2493</v>
      </c>
      <c r="E5636" s="292">
        <v>43092</v>
      </c>
      <c r="F5636" s="67" t="s">
        <v>885</v>
      </c>
      <c r="G5636" s="943" t="s">
        <v>1713</v>
      </c>
      <c r="H5636" s="294" t="s">
        <v>1023</v>
      </c>
      <c r="I5636" s="373"/>
      <c r="J5636" s="926"/>
      <c r="K5636" s="373"/>
      <c r="L5636" s="379"/>
      <c r="M5636" s="927">
        <v>1562817035</v>
      </c>
      <c r="N5636" s="295" t="s">
        <v>26</v>
      </c>
      <c r="O5636" s="295" t="s">
        <v>63</v>
      </c>
      <c r="P5636" s="75" t="str">
        <f>IF(AND('331-CT'!$E$7=TH!H4599,OR(N5636="331",O5636="331")),"x","")</f>
        <v/>
      </c>
      <c r="Q5636" s="75" t="str">
        <f>IF(AND(B5636='111'!$L$11,OR($N5636=$Q$7,$O5636=$Q$7)),"x","")</f>
        <v>x</v>
      </c>
      <c r="R5636" s="75" t="str">
        <f>IF(AND($N5636=$Q$7,$B5636&lt;'111'!$L$11),"x","")</f>
        <v/>
      </c>
      <c r="S5636" s="75" t="str">
        <f>IF(AND($O5636=$Q$7,$B5636&lt;'111'!$L$11),"x","")</f>
        <v/>
      </c>
      <c r="T5636" s="75" t="str">
        <f>IF(ISERROR(FIND('112'!$M$9,G5636,1)),"",IF((AND(FIND('112'!$M$9,G5636,1)&gt;=1,B5636='112'!$K$9,OR($N5636='112'!$I$6,$O5636='112'!$I$6))),"x",""))</f>
        <v/>
      </c>
      <c r="U5636" s="75" t="str">
        <f>IF(ISERROR(FIND('112'!$M$9,G5636,1)),"",IF((AND(LEFT(G5636,2)=LEFT('112'!$M$9,2),B5636&lt;'112'!$K$9,$N5636='112'!$I$6)),"x",""))</f>
        <v/>
      </c>
      <c r="V5636" s="75" t="str">
        <f>IF(ISERROR(FIND('112'!$M$9,G5636,1)),"",IF((AND(RIGHT(G5636,2)=RIGHT('112'!$M$9,2),B5636&lt;'112'!$K$9,$O5636='112'!$I$6)),"x",""))</f>
        <v/>
      </c>
      <c r="W5636" s="75" t="str">
        <f>IF(AND('341-CT'!$H$9=H5636,OR(LEFT(N5636,3)=$W$7,LEFT(O5636,3)=$W$7)),"x","")</f>
        <v/>
      </c>
      <c r="X5636" s="75" t="str">
        <f>IF(OR(TH!N4599=TH!$X$7,O5636=TH!$X$7),"x","")</f>
        <v/>
      </c>
      <c r="Y5636" s="75" t="str">
        <f>IF(AND(OR(N5636="131",O5636="131"),H5636='131-CT'!$H$9),"x","")</f>
        <v/>
      </c>
      <c r="Z5636" s="75"/>
      <c r="AA5636" s="75" t="str">
        <f>IF(AND(MONTH(E5636)='IN-NX'!$J$5,'IN-NX'!$D$7=D5636),"x","")</f>
        <v/>
      </c>
      <c r="AB5636" s="75" t="str">
        <f>IF(AND(OR(LEFT(TH!N4599,2)="15",LEFT(TH!O4599,2)="15"),LEFT(TH!O4599,3)&lt;&gt;"111",'152-CT'!$J$8=TH!F4599),"x","")</f>
        <v/>
      </c>
      <c r="AC5636" s="75" t="str">
        <f>IF(AND(OR(LEFT(TH!N4599,2)="15",LEFT(TH!O4599,2)="15"),TK!$E$7=TH!F4599),"x","")</f>
        <v/>
      </c>
      <c r="AD5636" s="75" t="str">
        <f>IF(AND(N5636="1521",MONTH(C5636)='BK-NL'!$M$11),"x","")</f>
        <v/>
      </c>
    </row>
    <row r="5637" spans="1:33" ht="16.5" customHeight="1">
      <c r="A5637" s="309" t="str">
        <f>IF(B5637&lt;&gt;"",IF(AND(B5637='IN-TC'!$S$4,OR(TH!N5620="1111",TH!O5620="1111")),TH!D5620,""),"")</f>
        <v/>
      </c>
      <c r="B5637" s="1159">
        <f t="shared" si="1360"/>
        <v>12</v>
      </c>
      <c r="C5637" s="292">
        <f t="shared" si="1361"/>
        <v>43092</v>
      </c>
      <c r="D5637" s="59" t="s">
        <v>2493</v>
      </c>
      <c r="E5637" s="59">
        <v>43092</v>
      </c>
      <c r="F5637" s="62" t="s">
        <v>1974</v>
      </c>
      <c r="G5637" s="293" t="s">
        <v>747</v>
      </c>
      <c r="H5637" s="67" t="s">
        <v>1023</v>
      </c>
      <c r="I5637" s="373"/>
      <c r="J5637" s="382"/>
      <c r="K5637" s="373"/>
      <c r="L5637" s="379"/>
      <c r="M5637" s="60">
        <v>2600000000</v>
      </c>
      <c r="N5637" s="61" t="s">
        <v>26</v>
      </c>
      <c r="O5637" s="61" t="s">
        <v>63</v>
      </c>
      <c r="P5637" s="75" t="str">
        <f>IF(AND('331-CT'!$E$7=TH!H5653,OR(N5637="331",O5637="331")),"x","")</f>
        <v/>
      </c>
      <c r="Q5637" s="75" t="str">
        <f>IF(AND(B5637='111'!$L$11,OR($N5637=$Q$7,$O5637=$Q$7)),"x","")</f>
        <v>x</v>
      </c>
      <c r="R5637" s="75" t="str">
        <f>IF(AND($N5637=$Q$7,$B5637&lt;'111'!$L$11),"x","")</f>
        <v/>
      </c>
      <c r="S5637" s="75" t="str">
        <f>IF(AND($O5637=$Q$7,$B5637&lt;'111'!$L$11),"x","")</f>
        <v/>
      </c>
      <c r="T5637" s="75" t="str">
        <f>IF(ISERROR(FIND('112'!$M$9,G5637,1)),"",IF((AND(FIND('112'!$M$9,G5637,1)&gt;=1,B5637='112'!$K$9,OR($N5637='112'!$I$6,$O5637='112'!$I$6))),"x",""))</f>
        <v/>
      </c>
      <c r="U5637" s="75" t="str">
        <f>IF(ISERROR(FIND('112'!$M$9,G5637,1)),"",IF((AND(LEFT(G5637,2)=LEFT('112'!$M$9,2),B5637&lt;'112'!$K$9,$N5637='112'!$I$6)),"x",""))</f>
        <v/>
      </c>
      <c r="V5637" s="75" t="str">
        <f>IF(ISERROR(FIND('112'!$M$9,G5637,1)),"",IF((AND(RIGHT(G5637,2)=RIGHT('112'!$M$9,2),B5637&lt;'112'!$K$9,$O5637='112'!$I$6)),"x",""))</f>
        <v/>
      </c>
      <c r="W5637" s="75" t="str">
        <f>IF(AND('341-CT'!$H$9=H5637,OR(LEFT(N5637,3)=$W$7,LEFT(O5637,3)=$W$7)),"x","")</f>
        <v/>
      </c>
      <c r="X5637" s="75" t="str">
        <f>IF(OR(TH!N5653=TH!$X$7,O5637=TH!$X$7),"x","")</f>
        <v/>
      </c>
      <c r="Y5637" s="75" t="str">
        <f>IF(AND(OR(N5637="131",O5637="131"),H5637='131-CT'!$H$9),"x","")</f>
        <v/>
      </c>
      <c r="Z5637" s="75"/>
      <c r="AA5637" s="75" t="str">
        <f>IF(AND(MONTH(E5637)='IN-NX'!$J$5,'IN-NX'!$D$7=D5637),"x","")</f>
        <v/>
      </c>
      <c r="AB5637" s="75" t="str">
        <f>IF(AND(OR(LEFT(TH!N5653,2)="15",LEFT(TH!O5653,2)="15"),LEFT(TH!O5653,3)&lt;&gt;"111",'152-CT'!$J$8=TH!F5653),"x","")</f>
        <v/>
      </c>
      <c r="AC5637" s="75" t="str">
        <f>IF(AND(OR(LEFT(TH!N5653,2)="15",LEFT(TH!O5653,2)="15"),TK!$E$7=TH!F5653),"x","")</f>
        <v/>
      </c>
      <c r="AD5637" s="75" t="str">
        <f>IF(AND(N5637="1521",MONTH(C5637)='BK-NL'!$M$11),"x","")</f>
        <v/>
      </c>
    </row>
    <row r="5638" spans="1:33" ht="16.5" customHeight="1">
      <c r="A5638" s="309" t="str">
        <f>IF(B5638&lt;&gt;"",IF(AND(B5638='IN-TC'!$S$4,OR(TH!N5621="1111",TH!O5621="1111")),TH!D5621,""),"")</f>
        <v/>
      </c>
      <c r="B5638" s="1159">
        <f t="shared" si="1360"/>
        <v>12</v>
      </c>
      <c r="C5638" s="292">
        <f t="shared" si="1361"/>
        <v>43092</v>
      </c>
      <c r="D5638" s="59" t="s">
        <v>902</v>
      </c>
      <c r="E5638" s="59">
        <v>43092</v>
      </c>
      <c r="F5638" s="62" t="s">
        <v>834</v>
      </c>
      <c r="G5638" s="293" t="s">
        <v>747</v>
      </c>
      <c r="H5638" s="67" t="s">
        <v>1023</v>
      </c>
      <c r="I5638" s="373"/>
      <c r="J5638" s="382"/>
      <c r="K5638" s="373"/>
      <c r="L5638" s="379"/>
      <c r="M5638" s="60">
        <v>2640000000</v>
      </c>
      <c r="N5638" s="61" t="s">
        <v>63</v>
      </c>
      <c r="O5638" s="61" t="s">
        <v>26</v>
      </c>
      <c r="P5638" s="75" t="str">
        <f>IF(AND('331-CT'!$E$7=TH!H5654,OR(N5638="331",O5638="331")),"x","")</f>
        <v/>
      </c>
      <c r="Q5638" s="75" t="str">
        <f>IF(AND(B5638='111'!$L$11,OR($N5638=$Q$7,$O5638=$Q$7)),"x","")</f>
        <v>x</v>
      </c>
      <c r="R5638" s="75" t="str">
        <f>IF(AND($N5638=$Q$7,$B5638&lt;'111'!$L$11),"x","")</f>
        <v/>
      </c>
      <c r="S5638" s="75" t="str">
        <f>IF(AND($O5638=$Q$7,$B5638&lt;'111'!$L$11),"x","")</f>
        <v/>
      </c>
      <c r="T5638" s="75" t="str">
        <f>IF(ISERROR(FIND('112'!$M$9,G5638,1)),"",IF((AND(FIND('112'!$M$9,G5638,1)&gt;=1,B5638='112'!$K$9,OR($N5638='112'!$I$6,$O5638='112'!$I$6))),"x",""))</f>
        <v/>
      </c>
      <c r="U5638" s="75" t="str">
        <f>IF(ISERROR(FIND('112'!$M$9,G5638,1)),"",IF((AND(LEFT(G5638,2)=LEFT('112'!$M$9,2),B5638&lt;'112'!$K$9,$N5638='112'!$I$6)),"x",""))</f>
        <v/>
      </c>
      <c r="V5638" s="75" t="str">
        <f>IF(ISERROR(FIND('112'!$M$9,G5638,1)),"",IF((AND(RIGHT(G5638,2)=RIGHT('112'!$M$9,2),B5638&lt;'112'!$K$9,$O5638='112'!$I$6)),"x",""))</f>
        <v/>
      </c>
      <c r="W5638" s="75" t="str">
        <f>IF(AND('341-CT'!$H$9=H5638,OR(LEFT(N5638,3)=$W$7,LEFT(O5638,3)=$W$7)),"x","")</f>
        <v/>
      </c>
      <c r="X5638" s="75" t="str">
        <f>IF(OR(TH!N5654=TH!$X$7,O5638=TH!$X$7),"x","")</f>
        <v/>
      </c>
      <c r="Y5638" s="75" t="str">
        <f>IF(AND(OR(N5638="131",O5638="131"),H5638='131-CT'!$H$9),"x","")</f>
        <v/>
      </c>
      <c r="Z5638" s="75"/>
      <c r="AA5638" s="75" t="str">
        <f>IF(AND(MONTH(E5638)='IN-NX'!$J$5,'IN-NX'!$D$7=D5638),"x","")</f>
        <v/>
      </c>
      <c r="AB5638" s="75" t="str">
        <f>IF(AND(OR(LEFT(TH!N5654,2)="15",LEFT(TH!O5654,2)="15"),LEFT(TH!O5654,3)&lt;&gt;"111",'152-CT'!$J$8=TH!F5654),"x","")</f>
        <v/>
      </c>
      <c r="AC5638" s="75" t="str">
        <f>IF(AND(OR(LEFT(TH!N5654,2)="15",LEFT(TH!O5654,2)="15"),TK!$E$7=TH!F5654),"x","")</f>
        <v/>
      </c>
      <c r="AD5638" s="75" t="str">
        <f>IF(AND(N5638="1521",MONTH(C5638)='BK-NL'!$M$11),"x","")</f>
        <v/>
      </c>
    </row>
    <row r="5639" spans="1:33" ht="16.5" customHeight="1">
      <c r="A5639" s="309" t="str">
        <f>IF(B5639&lt;&gt;"",IF(AND(B5639='IN-TC'!$S$4,OR(TH!N5622="1111",TH!O5622="1111")),TH!D5622,""),"")</f>
        <v/>
      </c>
      <c r="B5639" s="1159">
        <f t="shared" si="1360"/>
        <v>12</v>
      </c>
      <c r="C5639" s="292">
        <f t="shared" si="1361"/>
        <v>43093</v>
      </c>
      <c r="D5639" s="59" t="s">
        <v>903</v>
      </c>
      <c r="E5639" s="59">
        <v>43093</v>
      </c>
      <c r="F5639" s="62" t="s">
        <v>914</v>
      </c>
      <c r="G5639" s="293" t="s">
        <v>747</v>
      </c>
      <c r="H5639" s="67" t="s">
        <v>835</v>
      </c>
      <c r="I5639" s="373"/>
      <c r="J5639" s="382"/>
      <c r="K5639" s="373"/>
      <c r="L5639" s="379"/>
      <c r="M5639" s="60">
        <v>120556</v>
      </c>
      <c r="N5639" s="61" t="s">
        <v>26</v>
      </c>
      <c r="O5639" s="61" t="s">
        <v>43</v>
      </c>
      <c r="P5639" s="75" t="str">
        <f>IF(AND('331-CT'!$E$7=TH!H5655,OR(N5639="331",O5639="331")),"x","")</f>
        <v/>
      </c>
      <c r="Q5639" s="75" t="str">
        <f>IF(AND(B5639='111'!$L$11,OR($N5639=$Q$7,$O5639=$Q$7)),"x","")</f>
        <v/>
      </c>
      <c r="R5639" s="75" t="str">
        <f>IF(AND($N5639=$Q$7,$B5639&lt;'111'!$L$11),"x","")</f>
        <v/>
      </c>
      <c r="S5639" s="75" t="str">
        <f>IF(AND($O5639=$Q$7,$B5639&lt;'111'!$L$11),"x","")</f>
        <v/>
      </c>
      <c r="T5639" s="75" t="str">
        <f>IF(ISERROR(FIND('112'!$M$9,G5639,1)),"",IF((AND(FIND('112'!$M$9,G5639,1)&gt;=1,B5639='112'!$K$9,OR($N5639='112'!$I$6,$O5639='112'!$I$6))),"x",""))</f>
        <v/>
      </c>
      <c r="U5639" s="75" t="str">
        <f>IF(ISERROR(FIND('112'!$M$9,G5639,1)),"",IF((AND(LEFT(G5639,2)=LEFT('112'!$M$9,2),B5639&lt;'112'!$K$9,$N5639='112'!$I$6)),"x",""))</f>
        <v/>
      </c>
      <c r="V5639" s="75" t="str">
        <f>IF(ISERROR(FIND('112'!$M$9,G5639,1)),"",IF((AND(RIGHT(G5639,2)=RIGHT('112'!$M$9,2),B5639&lt;'112'!$K$9,$O5639='112'!$I$6)),"x",""))</f>
        <v/>
      </c>
      <c r="W5639" s="75" t="str">
        <f>IF(AND('341-CT'!$H$9=H5639,OR(LEFT(N5639,3)=$W$7,LEFT(O5639,3)=$W$7)),"x","")</f>
        <v/>
      </c>
      <c r="X5639" s="75" t="str">
        <f>IF(OR(TH!N5655=TH!$X$7,O5639=TH!$X$7),"x","")</f>
        <v/>
      </c>
      <c r="Y5639" s="75" t="str">
        <f>IF(AND(OR(N5639="131",O5639="131"),H5639='131-CT'!$H$9),"x","")</f>
        <v/>
      </c>
      <c r="Z5639" s="75"/>
      <c r="AA5639" s="75" t="str">
        <f>IF(AND(MONTH(E5639)='IN-NX'!$J$5,'IN-NX'!$D$7=D5639),"x","")</f>
        <v/>
      </c>
      <c r="AB5639" s="75" t="str">
        <f>IF(AND(OR(LEFT(TH!N5655,2)="15",LEFT(TH!O5655,2)="15"),LEFT(TH!O5655,3)&lt;&gt;"111",'152-CT'!$J$8=TH!F5655),"x","")</f>
        <v/>
      </c>
      <c r="AC5639" s="75" t="str">
        <f>IF(AND(OR(LEFT(TH!N5655,2)="15",LEFT(TH!O5655,2)="15"),TK!$E$7=TH!F5655),"x","")</f>
        <v/>
      </c>
      <c r="AD5639" s="75" t="str">
        <f>IF(AND(N5639="1521",MONTH(C5639)='BK-NL'!$M$11),"x","")</f>
        <v/>
      </c>
    </row>
    <row r="5640" spans="1:33" ht="16.5" customHeight="1">
      <c r="A5640" s="309" t="str">
        <f>IF(B5640&lt;&gt;"",IF(AND(B5640='IN-TC'!$S$4,OR(TH!N5623="1111",TH!O5623="1111")),TH!D5623,""),"")</f>
        <v/>
      </c>
      <c r="B5640" s="1159">
        <f t="shared" si="1360"/>
        <v>12</v>
      </c>
      <c r="C5640" s="292">
        <f t="shared" si="1361"/>
        <v>43094</v>
      </c>
      <c r="D5640" s="59"/>
      <c r="E5640" s="59">
        <v>43094</v>
      </c>
      <c r="F5640" s="62" t="s">
        <v>2822</v>
      </c>
      <c r="G5640" s="742" t="s">
        <v>2824</v>
      </c>
      <c r="H5640" s="67" t="s">
        <v>2289</v>
      </c>
      <c r="I5640" s="375"/>
      <c r="J5640" s="382"/>
      <c r="K5640" s="375"/>
      <c r="L5640" s="381"/>
      <c r="M5640" s="60">
        <v>354533</v>
      </c>
      <c r="N5640" s="61" t="s">
        <v>101</v>
      </c>
      <c r="O5640" s="61" t="s">
        <v>63</v>
      </c>
      <c r="P5640" s="75" t="str">
        <f>IF(AND('331-CT'!$E$7=TH!H4168,OR(N5640="331",O5640="331")),"x","")</f>
        <v/>
      </c>
      <c r="Q5640" s="75" t="str">
        <f>IF(AND(B5640='111'!$L$11,OR($N5640=$Q$7,$O5640=$Q$7)),"x","")</f>
        <v>x</v>
      </c>
      <c r="R5640" s="75" t="str">
        <f>IF(AND($N5640=$Q$7,$B5640&lt;'111'!$L$11),"x","")</f>
        <v/>
      </c>
      <c r="S5640" s="75" t="str">
        <f>IF(AND($O5640=$Q$7,$B5640&lt;'111'!$L$11),"x","")</f>
        <v/>
      </c>
      <c r="T5640" s="75" t="str">
        <f>IF(ISERROR(FIND('112'!$M$9,G5640,1)),"",IF((AND(FIND('112'!$M$9,G5640,1)&gt;=1,B5640='112'!$K$9,OR($N5640='112'!$I$6,$O5640='112'!$I$6))),"x",""))</f>
        <v/>
      </c>
      <c r="U5640" s="75" t="str">
        <f>IF(ISERROR(FIND('112'!$M$9,G5640,1)),"",IF((AND(LEFT(G5640,2)=LEFT('112'!$M$9,2),B5640&lt;'112'!$K$9,$N5640='112'!$I$6)),"x",""))</f>
        <v/>
      </c>
      <c r="V5640" s="75" t="str">
        <f>IF(ISERROR(FIND('112'!$M$9,G5640,1)),"",IF((AND(RIGHT(G5640,2)=RIGHT('112'!$M$9,2),B5640&lt;'112'!$K$9,$O5640='112'!$I$6)),"x",""))</f>
        <v/>
      </c>
      <c r="W5640" s="75" t="str">
        <f>IF(AND('341-CT'!$H$9=H5640,OR(LEFT(N5640,3)=$W$7,LEFT(O5640,3)=$W$7)),"x","")</f>
        <v/>
      </c>
      <c r="X5640" s="75" t="str">
        <f>IF(OR(TH!N4168=TH!$X$7,O5640=TH!$X$7),"x","")</f>
        <v/>
      </c>
      <c r="Y5640" s="75" t="str">
        <f>IF(AND(OR(N5640="131",O5640="131"),H5640='131-CT'!$H$9),"x","")</f>
        <v/>
      </c>
      <c r="Z5640" s="75"/>
      <c r="AA5640" s="75" t="str">
        <f>IF(AND(MONTH(E5640)='IN-NX'!$J$5,'IN-NX'!$D$7=D5640),"x","")</f>
        <v/>
      </c>
      <c r="AB5640" s="75" t="str">
        <f>IF(AND(OR(LEFT(TH!N4168,2)="15",LEFT(TH!O4168,2)="15"),LEFT(TH!O4168,3)&lt;&gt;"111",'152-CT'!$J$8=TH!F4168),"x","")</f>
        <v/>
      </c>
      <c r="AC5640" s="75" t="str">
        <f>IF(AND(OR(LEFT(TH!N4168,2)="15",LEFT(TH!O4168,2)="15"),TK!$E$7=TH!F4168),"x","")</f>
        <v/>
      </c>
      <c r="AD5640" s="75" t="str">
        <f>IF(AND(N5640="1521",MONTH(C5640)='BK-NL'!$M$11),"x","")</f>
        <v/>
      </c>
      <c r="AE5640">
        <v>12</v>
      </c>
    </row>
    <row r="5641" spans="1:33" ht="16.5" customHeight="1">
      <c r="A5641" s="309" t="str">
        <f>IF(B5641&lt;&gt;"",IF(AND(B5641='IN-TC'!$S$4,OR(TH!N5624="1111",TH!O5624="1111")),TH!D5624,""),"")</f>
        <v/>
      </c>
      <c r="B5641" s="1159">
        <f t="shared" si="1360"/>
        <v>12</v>
      </c>
      <c r="C5641" s="292">
        <f t="shared" si="1361"/>
        <v>43094</v>
      </c>
      <c r="D5641" s="59"/>
      <c r="E5641" s="59">
        <v>43094</v>
      </c>
      <c r="F5641" s="62" t="s">
        <v>2823</v>
      </c>
      <c r="G5641" s="742" t="s">
        <v>2824</v>
      </c>
      <c r="H5641" s="67" t="s">
        <v>2289</v>
      </c>
      <c r="I5641" s="375"/>
      <c r="J5641" s="382"/>
      <c r="K5641" s="375"/>
      <c r="L5641" s="381"/>
      <c r="M5641" s="60">
        <v>35453</v>
      </c>
      <c r="N5641" s="61" t="s">
        <v>9</v>
      </c>
      <c r="O5641" s="61" t="s">
        <v>63</v>
      </c>
      <c r="P5641" s="75" t="str">
        <f>IF(AND('331-CT'!$E$7=TH!H4169,OR(N5641="331",O5641="331")),"x","")</f>
        <v/>
      </c>
      <c r="Q5641" s="75" t="str">
        <f>IF(AND(B5641='111'!$L$11,OR($N5641=$Q$7,$O5641=$Q$7)),"x","")</f>
        <v>x</v>
      </c>
      <c r="R5641" s="75" t="str">
        <f>IF(AND($N5641=$Q$7,$B5641&lt;'111'!$L$11),"x","")</f>
        <v/>
      </c>
      <c r="S5641" s="75" t="str">
        <f>IF(AND($O5641=$Q$7,$B5641&lt;'111'!$L$11),"x","")</f>
        <v/>
      </c>
      <c r="T5641" s="75" t="str">
        <f>IF(ISERROR(FIND('112'!$M$9,G5641,1)),"",IF((AND(FIND('112'!$M$9,G5641,1)&gt;=1,B5641='112'!$K$9,OR($N5641='112'!$I$6,$O5641='112'!$I$6))),"x",""))</f>
        <v/>
      </c>
      <c r="U5641" s="75" t="str">
        <f>IF(ISERROR(FIND('112'!$M$9,G5641,1)),"",IF((AND(LEFT(G5641,2)=LEFT('112'!$M$9,2),B5641&lt;'112'!$K$9,$N5641='112'!$I$6)),"x",""))</f>
        <v/>
      </c>
      <c r="V5641" s="75" t="str">
        <f>IF(ISERROR(FIND('112'!$M$9,G5641,1)),"",IF((AND(RIGHT(G5641,2)=RIGHT('112'!$M$9,2),B5641&lt;'112'!$K$9,$O5641='112'!$I$6)),"x",""))</f>
        <v/>
      </c>
      <c r="W5641" s="75" t="str">
        <f>IF(AND('341-CT'!$H$9=H5641,OR(LEFT(N5641,3)=$W$7,LEFT(O5641,3)=$W$7)),"x","")</f>
        <v/>
      </c>
      <c r="X5641" s="75" t="str">
        <f>IF(OR(TH!N4169=TH!$X$7,O5641=TH!$X$7),"x","")</f>
        <v/>
      </c>
      <c r="Y5641" s="75" t="str">
        <f>IF(AND(OR(N5641="131",O5641="131"),H5641='131-CT'!$H$9),"x","")</f>
        <v/>
      </c>
      <c r="Z5641" s="75"/>
      <c r="AA5641" s="75" t="str">
        <f>IF(AND(MONTH(E5641)='IN-NX'!$J$5,'IN-NX'!$D$7=D5641),"x","")</f>
        <v/>
      </c>
      <c r="AB5641" s="75" t="str">
        <f>IF(AND(OR(LEFT(TH!N4169,2)="15",LEFT(TH!O4169,2)="15"),LEFT(TH!O4169,3)&lt;&gt;"111",'152-CT'!$J$8=TH!F4169),"x","")</f>
        <v/>
      </c>
      <c r="AC5641" s="75" t="str">
        <f>IF(AND(OR(LEFT(TH!N4169,2)="15",LEFT(TH!O4169,2)="15"),TK!$E$7=TH!F4169),"x","")</f>
        <v/>
      </c>
      <c r="AD5641" s="75" t="str">
        <f>IF(AND(N5641="1521",MONTH(C5641)='BK-NL'!$M$11),"x","")</f>
        <v/>
      </c>
      <c r="AE5641">
        <v>12</v>
      </c>
    </row>
    <row r="5642" spans="1:33" ht="16.5" customHeight="1">
      <c r="A5642" s="309" t="str">
        <f>IF(B5642&lt;&gt;"",IF(AND(B5642='IN-TC'!$S$4,OR(TH!N5625="1111",TH!O5625="1111")),TH!D5625,""),"")</f>
        <v/>
      </c>
      <c r="B5642" s="1243">
        <f t="shared" si="1360"/>
        <v>12</v>
      </c>
      <c r="C5642" s="292">
        <f t="shared" si="1361"/>
        <v>43094</v>
      </c>
      <c r="D5642" s="292"/>
      <c r="E5642" s="292">
        <v>43094</v>
      </c>
      <c r="F5642" s="1010" t="s">
        <v>1881</v>
      </c>
      <c r="G5642" s="925"/>
      <c r="H5642" s="311" t="s">
        <v>1882</v>
      </c>
      <c r="I5642" s="373"/>
      <c r="J5642" s="926"/>
      <c r="K5642" s="373"/>
      <c r="L5642" s="379"/>
      <c r="M5642" s="927">
        <v>1204970000</v>
      </c>
      <c r="N5642" s="295" t="s">
        <v>8</v>
      </c>
      <c r="O5642" s="295" t="s">
        <v>63</v>
      </c>
      <c r="P5642" s="75" t="str">
        <f>IF(AND('331-CT'!$E$7=TH!H4369,OR(N5642="331",O5642="331")),"x","")</f>
        <v/>
      </c>
      <c r="Q5642" s="75" t="str">
        <f>IF(AND(B5642='111'!$L$11,OR($N5642=$Q$7,$O5642=$Q$7)),"x","")</f>
        <v>x</v>
      </c>
      <c r="R5642" s="75" t="str">
        <f>IF(AND($N5642=$Q$7,$B5642&lt;'111'!$L$11),"x","")</f>
        <v/>
      </c>
      <c r="S5642" s="75" t="str">
        <f>IF(AND($O5642=$Q$7,$B5642&lt;'111'!$L$11),"x","")</f>
        <v/>
      </c>
      <c r="T5642" s="75" t="str">
        <f>IF(ISERROR(FIND('112'!$M$9,G5642,1)),"",IF((AND(FIND('112'!$M$9,G5642,1)&gt;=1,B5642='112'!$K$9,OR($N5642='112'!$I$6,$O5642='112'!$I$6))),"x",""))</f>
        <v/>
      </c>
      <c r="U5642" s="75" t="str">
        <f>IF(ISERROR(FIND('112'!$M$9,G5642,1)),"",IF((AND(LEFT(G5642,2)=LEFT('112'!$M$9,2),B5642&lt;'112'!$K$9,$N5642='112'!$I$6)),"x",""))</f>
        <v/>
      </c>
      <c r="V5642" s="75" t="str">
        <f>IF(ISERROR(FIND('112'!$M$9,G5642,1)),"",IF((AND(RIGHT(G5642,2)=RIGHT('112'!$M$9,2),B5642&lt;'112'!$K$9,$O5642='112'!$I$6)),"x",""))</f>
        <v/>
      </c>
      <c r="W5642" s="75" t="str">
        <f>IF(AND('341-CT'!$H$9=H5642,OR(LEFT(N5642,3)=$W$7,LEFT(O5642,3)=$W$7)),"x","")</f>
        <v/>
      </c>
      <c r="X5642" s="75" t="str">
        <f>IF(OR(TH!N4369=TH!$X$7,O5642=TH!$X$7),"x","")</f>
        <v/>
      </c>
      <c r="Y5642" s="75" t="str">
        <f>IF(AND(OR(N5642="131",O5642="131"),H5642='131-CT'!$H$9),"x","")</f>
        <v/>
      </c>
      <c r="Z5642" s="75"/>
      <c r="AA5642" s="75" t="str">
        <f>IF(AND(MONTH(E5642)='IN-NX'!$J$5,'IN-NX'!$D$7=D5642),"x","")</f>
        <v/>
      </c>
      <c r="AB5642" s="75" t="str">
        <f>IF(AND(OR(LEFT(TH!N4369,2)="15",LEFT(TH!O4369,2)="15"),LEFT(TH!O4369,3)&lt;&gt;"111",'152-CT'!$J$8=TH!F4369),"x","")</f>
        <v/>
      </c>
      <c r="AC5642" s="75" t="str">
        <f>IF(AND(OR(LEFT(TH!N4369,2)="15",LEFT(TH!O4369,2)="15"),TK!$E$7=TH!F4369),"x","")</f>
        <v/>
      </c>
      <c r="AD5642" s="75" t="str">
        <f>IF(AND(N5642="1521",MONTH(C5642)='BK-NL'!$M$11),"x","")</f>
        <v/>
      </c>
    </row>
    <row r="5643" spans="1:33" ht="16.5" customHeight="1">
      <c r="A5643" s="309" t="str">
        <f>IF(B5643&lt;&gt;"",IF(AND(B5643='IN-TC'!$S$4,OR(TH!N5626="1111",TH!O5626="1111")),TH!D5626,""),"")</f>
        <v/>
      </c>
      <c r="B5643" s="1243">
        <f t="shared" si="1360"/>
        <v>12</v>
      </c>
      <c r="C5643" s="292">
        <f t="shared" si="1361"/>
        <v>43094</v>
      </c>
      <c r="D5643" s="292"/>
      <c r="E5643" s="292">
        <v>43094</v>
      </c>
      <c r="F5643" s="1010" t="s">
        <v>1883</v>
      </c>
      <c r="G5643" s="925"/>
      <c r="H5643" s="311"/>
      <c r="I5643" s="373"/>
      <c r="J5643" s="926"/>
      <c r="K5643" s="373"/>
      <c r="L5643" s="379"/>
      <c r="M5643" s="927">
        <v>928400</v>
      </c>
      <c r="N5643" s="295" t="s">
        <v>101</v>
      </c>
      <c r="O5643" s="295" t="s">
        <v>63</v>
      </c>
      <c r="P5643" s="75" t="str">
        <f>IF(AND('331-CT'!$E$7=TH!H4370,OR(N5643="331",O5643="331")),"x","")</f>
        <v/>
      </c>
      <c r="Q5643" s="75" t="str">
        <f>IF(AND(B5643='111'!$L$11,OR($N5643=$Q$7,$O5643=$Q$7)),"x","")</f>
        <v>x</v>
      </c>
      <c r="R5643" s="75" t="str">
        <f>IF(AND($N5643=$Q$7,$B5643&lt;'111'!$L$11),"x","")</f>
        <v/>
      </c>
      <c r="S5643" s="75" t="str">
        <f>IF(AND($O5643=$Q$7,$B5643&lt;'111'!$L$11),"x","")</f>
        <v/>
      </c>
      <c r="T5643" s="75" t="str">
        <f>IF(ISERROR(FIND('112'!$M$9,G5643,1)),"",IF((AND(FIND('112'!$M$9,G5643,1)&gt;=1,B5643='112'!$K$9,OR($N5643='112'!$I$6,$O5643='112'!$I$6))),"x",""))</f>
        <v/>
      </c>
      <c r="U5643" s="75" t="str">
        <f>IF(ISERROR(FIND('112'!$M$9,G5643,1)),"",IF((AND(LEFT(G5643,2)=LEFT('112'!$M$9,2),B5643&lt;'112'!$K$9,$N5643='112'!$I$6)),"x",""))</f>
        <v/>
      </c>
      <c r="V5643" s="75" t="str">
        <f>IF(ISERROR(FIND('112'!$M$9,G5643,1)),"",IF((AND(RIGHT(G5643,2)=RIGHT('112'!$M$9,2),B5643&lt;'112'!$K$9,$O5643='112'!$I$6)),"x",""))</f>
        <v/>
      </c>
      <c r="W5643" s="75" t="str">
        <f>IF(AND('341-CT'!$H$9=H5643,OR(LEFT(N5643,3)=$W$7,LEFT(O5643,3)=$W$7)),"x","")</f>
        <v/>
      </c>
      <c r="X5643" s="75" t="str">
        <f>IF(OR(TH!N4370=TH!$X$7,O5643=TH!$X$7),"x","")</f>
        <v/>
      </c>
      <c r="Y5643" s="75" t="str">
        <f>IF(AND(OR(N5643="131",O5643="131"),H5643='131-CT'!$H$9),"x","")</f>
        <v/>
      </c>
      <c r="Z5643" s="75"/>
      <c r="AA5643" s="75" t="str">
        <f>IF(AND(MONTH(E5643)='IN-NX'!$J$5,'IN-NX'!$D$7=D5643),"x","")</f>
        <v/>
      </c>
      <c r="AB5643" s="75" t="str">
        <f>IF(AND(OR(LEFT(TH!N4370,2)="15",LEFT(TH!O4370,2)="15"),LEFT(TH!O4370,3)&lt;&gt;"111",'152-CT'!$J$8=TH!F4370),"x","")</f>
        <v/>
      </c>
      <c r="AC5643" s="75" t="str">
        <f>IF(AND(OR(LEFT(TH!N4370,2)="15",LEFT(TH!O4370,2)="15"),TK!$E$7=TH!F4370),"x","")</f>
        <v/>
      </c>
      <c r="AD5643" s="75" t="str">
        <f>IF(AND(N5643="1521",MONTH(C5643)='BK-NL'!$M$11),"x","")</f>
        <v/>
      </c>
    </row>
    <row r="5644" spans="1:33" ht="16.5" customHeight="1">
      <c r="A5644" s="309" t="str">
        <f>IF(B5644&lt;&gt;"",IF(AND(B5644='IN-TC'!$S$4,OR(TH!N5627="1111",TH!O5627="1111")),TH!D5627,""),"")</f>
        <v/>
      </c>
      <c r="B5644" s="1159">
        <f t="shared" si="1360"/>
        <v>12</v>
      </c>
      <c r="C5644" s="292">
        <f t="shared" si="1361"/>
        <v>43094</v>
      </c>
      <c r="D5644" s="292" t="s">
        <v>902</v>
      </c>
      <c r="E5644" s="292">
        <v>43094</v>
      </c>
      <c r="F5644" s="67" t="s">
        <v>897</v>
      </c>
      <c r="G5644" s="943" t="s">
        <v>1713</v>
      </c>
      <c r="H5644" s="294" t="s">
        <v>623</v>
      </c>
      <c r="I5644" s="373"/>
      <c r="J5644" s="926"/>
      <c r="K5644" s="373"/>
      <c r="L5644" s="379"/>
      <c r="M5644" s="927">
        <v>1560000000</v>
      </c>
      <c r="N5644" s="295" t="s">
        <v>8</v>
      </c>
      <c r="O5644" s="295" t="s">
        <v>26</v>
      </c>
      <c r="P5644" s="75" t="str">
        <f>IF(AND('331-CT'!$E$7=TH!H4617,OR(N5644="331",O5644="331")),"x","")</f>
        <v/>
      </c>
      <c r="Q5644" s="75" t="str">
        <f>IF(AND(B5644='111'!$L$11,OR($N5644=$Q$7,$O5644=$Q$7)),"x","")</f>
        <v/>
      </c>
      <c r="R5644" s="75" t="str">
        <f>IF(AND($N5644=$Q$7,$B5644&lt;'111'!$L$11),"x","")</f>
        <v/>
      </c>
      <c r="S5644" s="75" t="str">
        <f>IF(AND($O5644=$Q$7,$B5644&lt;'111'!$L$11),"x","")</f>
        <v/>
      </c>
      <c r="T5644" s="75" t="str">
        <f>IF(ISERROR(FIND('112'!$M$9,G5644,1)),"",IF((AND(FIND('112'!$M$9,G5644,1)&gt;=1,B5644='112'!$K$9,OR($N5644='112'!$I$6,$O5644='112'!$I$6))),"x",""))</f>
        <v/>
      </c>
      <c r="U5644" s="75" t="str">
        <f>IF(ISERROR(FIND('112'!$M$9,G5644,1)),"",IF((AND(LEFT(G5644,2)=LEFT('112'!$M$9,2),B5644&lt;'112'!$K$9,$N5644='112'!$I$6)),"x",""))</f>
        <v/>
      </c>
      <c r="V5644" s="75" t="str">
        <f>IF(ISERROR(FIND('112'!$M$9,G5644,1)),"",IF((AND(RIGHT(G5644,2)=RIGHT('112'!$M$9,2),B5644&lt;'112'!$K$9,$O5644='112'!$I$6)),"x",""))</f>
        <v/>
      </c>
      <c r="W5644" s="75" t="str">
        <f>IF(AND('341-CT'!$H$9=H5644,OR(LEFT(N5644,3)=$W$7,LEFT(O5644,3)=$W$7)),"x","")</f>
        <v/>
      </c>
      <c r="X5644" s="75" t="str">
        <f>IF(OR(TH!N4617=TH!$X$7,O5644=TH!$X$7),"x","")</f>
        <v/>
      </c>
      <c r="Y5644" s="75" t="str">
        <f>IF(AND(OR(N5644="131",O5644="131"),H5644='131-CT'!$H$9),"x","")</f>
        <v/>
      </c>
      <c r="Z5644" s="75"/>
      <c r="AA5644" s="75" t="str">
        <f>IF(AND(MONTH(E5644)='IN-NX'!$J$5,'IN-NX'!$D$7=D5644),"x","")</f>
        <v/>
      </c>
      <c r="AB5644" s="75" t="str">
        <f>IF(AND(OR(LEFT(TH!N4617,2)="15",LEFT(TH!O4617,2)="15"),LEFT(TH!O4617,3)&lt;&gt;"111",'152-CT'!$J$8=TH!F4617),"x","")</f>
        <v/>
      </c>
      <c r="AC5644" s="75" t="str">
        <f>IF(AND(OR(LEFT(TH!N4617,2)="15",LEFT(TH!O4617,2)="15"),TK!$E$7=TH!F4617),"x","")</f>
        <v/>
      </c>
      <c r="AD5644" s="75" t="str">
        <f>IF(AND(N5644="1521",MONTH(C5644)='BK-NL'!$M$11),"x","")</f>
        <v/>
      </c>
    </row>
    <row r="5645" spans="1:33" ht="16.5" customHeight="1">
      <c r="A5645" s="309" t="str">
        <f>IF(B5645&lt;&gt;"",IF(AND(B5645='IN-TC'!$S$4,OR(TH!N5628="1111",TH!O5628="1111")),TH!D5628,""),"")</f>
        <v/>
      </c>
      <c r="B5645" s="1159">
        <f t="shared" si="1360"/>
        <v>12</v>
      </c>
      <c r="C5645" s="292">
        <f t="shared" si="1361"/>
        <v>43094</v>
      </c>
      <c r="D5645" s="59" t="s">
        <v>902</v>
      </c>
      <c r="E5645" s="59">
        <v>43094</v>
      </c>
      <c r="F5645" s="67" t="s">
        <v>870</v>
      </c>
      <c r="G5645" s="62" t="s">
        <v>1713</v>
      </c>
      <c r="H5645" s="67" t="s">
        <v>1771</v>
      </c>
      <c r="I5645" s="375"/>
      <c r="J5645" s="381"/>
      <c r="K5645" s="60"/>
      <c r="L5645" s="381"/>
      <c r="M5645" s="60">
        <v>156000</v>
      </c>
      <c r="N5645" s="61" t="s">
        <v>101</v>
      </c>
      <c r="O5645" s="61" t="s">
        <v>26</v>
      </c>
      <c r="P5645" s="75" t="str">
        <f>IF(AND('331-CT'!$E$7=TH!H4618,OR(N5645="331",O5645="331")),"x","")</f>
        <v/>
      </c>
      <c r="Q5645" s="75" t="str">
        <f>IF(AND(B5645='111'!$L$11,OR($N5645=$Q$7,$O5645=$Q$7)),"x","")</f>
        <v/>
      </c>
      <c r="R5645" s="75" t="str">
        <f>IF(AND($N5645=$Q$7,$B5645&lt;'111'!$L$11),"x","")</f>
        <v/>
      </c>
      <c r="S5645" s="75" t="str">
        <f>IF(AND($O5645=$Q$7,$B5645&lt;'111'!$L$11),"x","")</f>
        <v/>
      </c>
      <c r="T5645" s="75" t="str">
        <f>IF(ISERROR(FIND('112'!$M$9,G5645,1)),"",IF((AND(FIND('112'!$M$9,G5645,1)&gt;=1,B5645='112'!$K$9,OR($N5645='112'!$I$6,$O5645='112'!$I$6))),"x",""))</f>
        <v/>
      </c>
      <c r="U5645" s="75" t="str">
        <f>IF(ISERROR(FIND('112'!$M$9,G5645,1)),"",IF((AND(LEFT(G5645,2)=LEFT('112'!$M$9,2),B5645&lt;'112'!$K$9,$N5645='112'!$I$6)),"x",""))</f>
        <v/>
      </c>
      <c r="V5645" s="75" t="str">
        <f>IF(ISERROR(FIND('112'!$M$9,G5645,1)),"",IF((AND(RIGHT(G5645,2)=RIGHT('112'!$M$9,2),B5645&lt;'112'!$K$9,$O5645='112'!$I$6)),"x",""))</f>
        <v/>
      </c>
      <c r="W5645" s="75" t="str">
        <f>IF(AND('341-CT'!$H$9=H5645,OR(LEFT(N5645,3)=$W$7,LEFT(O5645,3)=$W$7)),"x","")</f>
        <v/>
      </c>
      <c r="X5645" s="75" t="str">
        <f>IF(OR(TH!N4618=TH!$X$7,O5645=TH!$X$7),"x","")</f>
        <v/>
      </c>
      <c r="Y5645" s="75" t="str">
        <f>IF(AND(OR(N5645="131",O5645="131"),H5645='131-CT'!$H$9),"x","")</f>
        <v/>
      </c>
      <c r="Z5645" s="75"/>
      <c r="AA5645" s="75" t="str">
        <f>IF(AND(MONTH(E5645)='IN-NX'!$J$5,'IN-NX'!$D$7=D5645),"x","")</f>
        <v/>
      </c>
      <c r="AB5645" s="75" t="str">
        <f>IF(AND(OR(LEFT(TH!N4618,2)="15",LEFT(TH!O4618,2)="15"),LEFT(TH!O4618,3)&lt;&gt;"111",'152-CT'!$J$8=TH!F4618),"x","")</f>
        <v/>
      </c>
      <c r="AC5645" s="75" t="str">
        <f>IF(AND(OR(LEFT(TH!N4618,2)="15",LEFT(TH!O4618,2)="15"),TK!$E$7=TH!F4618),"x","")</f>
        <v/>
      </c>
      <c r="AD5645" s="75" t="str">
        <f>IF(AND(N5645="1521",MONTH(C5645)='BK-NL'!$M$11),"x","")</f>
        <v/>
      </c>
      <c r="AE5645" s="1053">
        <v>12</v>
      </c>
      <c r="AF5645" s="1053"/>
      <c r="AG5645" s="1053"/>
    </row>
    <row r="5646" spans="1:33" ht="16.5" customHeight="1">
      <c r="A5646" s="309" t="str">
        <f>IF(B5646&lt;&gt;"",IF(AND(B5646='IN-TC'!$S$4,OR(TH!N5629="1111",TH!O5629="1111")),TH!D5629,""),"")</f>
        <v/>
      </c>
      <c r="B5646" s="1159">
        <f t="shared" si="1360"/>
        <v>12</v>
      </c>
      <c r="C5646" s="292">
        <f t="shared" si="1361"/>
        <v>43094</v>
      </c>
      <c r="D5646" s="59" t="s">
        <v>902</v>
      </c>
      <c r="E5646" s="59">
        <v>43094</v>
      </c>
      <c r="F5646" s="67" t="s">
        <v>898</v>
      </c>
      <c r="G5646" s="62" t="s">
        <v>1713</v>
      </c>
      <c r="H5646" s="67" t="s">
        <v>1771</v>
      </c>
      <c r="I5646" s="375"/>
      <c r="J5646" s="381"/>
      <c r="K5646" s="375"/>
      <c r="L5646" s="381"/>
      <c r="M5646" s="60">
        <v>15600</v>
      </c>
      <c r="N5646" s="61" t="s">
        <v>9</v>
      </c>
      <c r="O5646" s="61" t="s">
        <v>26</v>
      </c>
      <c r="P5646" s="75" t="str">
        <f>IF(AND('331-CT'!$E$7=TH!H4619,OR(N5646="331",O5646="331")),"x","")</f>
        <v/>
      </c>
      <c r="Q5646" s="75" t="str">
        <f>IF(AND(B5646='111'!$L$11,OR($N5646=$Q$7,$O5646=$Q$7)),"x","")</f>
        <v/>
      </c>
      <c r="R5646" s="75" t="str">
        <f>IF(AND($N5646=$Q$7,$B5646&lt;'111'!$L$11),"x","")</f>
        <v/>
      </c>
      <c r="S5646" s="75" t="str">
        <f>IF(AND($O5646=$Q$7,$B5646&lt;'111'!$L$11),"x","")</f>
        <v/>
      </c>
      <c r="T5646" s="75" t="str">
        <f>IF(ISERROR(FIND('112'!$M$9,G5646,1)),"",IF((AND(FIND('112'!$M$9,G5646,1)&gt;=1,B5646='112'!$K$9,OR($N5646='112'!$I$6,$O5646='112'!$I$6))),"x",""))</f>
        <v/>
      </c>
      <c r="U5646" s="75" t="str">
        <f>IF(ISERROR(FIND('112'!$M$9,G5646,1)),"",IF((AND(LEFT(G5646,2)=LEFT('112'!$M$9,2),B5646&lt;'112'!$K$9,$N5646='112'!$I$6)),"x",""))</f>
        <v/>
      </c>
      <c r="V5646" s="75" t="str">
        <f>IF(ISERROR(FIND('112'!$M$9,G5646,1)),"",IF((AND(RIGHT(G5646,2)=RIGHT('112'!$M$9,2),B5646&lt;'112'!$K$9,$O5646='112'!$I$6)),"x",""))</f>
        <v/>
      </c>
      <c r="W5646" s="75" t="str">
        <f>IF(AND('341-CT'!$H$9=H5646,OR(LEFT(N5646,3)=$W$7,LEFT(O5646,3)=$W$7)),"x","")</f>
        <v/>
      </c>
      <c r="X5646" s="75" t="str">
        <f>IF(OR(TH!N4619=TH!$X$7,O5646=TH!$X$7),"x","")</f>
        <v/>
      </c>
      <c r="Y5646" s="75" t="str">
        <f>IF(AND(OR(N5646="131",O5646="131"),H5646='131-CT'!$H$9),"x","")</f>
        <v/>
      </c>
      <c r="Z5646" s="75"/>
      <c r="AA5646" s="75" t="str">
        <f>IF(AND(MONTH(E5646)='IN-NX'!$J$5,'IN-NX'!$D$7=D5646),"x","")</f>
        <v/>
      </c>
      <c r="AB5646" s="75" t="str">
        <f>IF(AND(OR(LEFT(TH!N4619,2)="15",LEFT(TH!O4619,2)="15"),LEFT(TH!O4619,3)&lt;&gt;"111",'152-CT'!$J$8=TH!F4619),"x","")</f>
        <v/>
      </c>
      <c r="AC5646" s="75" t="str">
        <f>IF(AND(OR(LEFT(TH!N4619,2)="15",LEFT(TH!O4619,2)="15"),TK!$E$7=TH!F4619),"x","")</f>
        <v/>
      </c>
      <c r="AD5646" s="75" t="str">
        <f>IF(AND(N5646="1521",MONTH(C5646)='BK-NL'!$M$11),"x","")</f>
        <v/>
      </c>
      <c r="AE5646" s="1053">
        <v>12</v>
      </c>
      <c r="AF5646" s="1053"/>
      <c r="AG5646" s="1053"/>
    </row>
    <row r="5647" spans="1:33" ht="16.5" customHeight="1">
      <c r="A5647" s="309" t="str">
        <f>IF(B5647&lt;&gt;"",IF(AND(B5647='IN-TC'!$S$4,OR(TH!N5630="1111",TH!O5630="1111")),TH!D5630,""),"")</f>
        <v/>
      </c>
      <c r="B5647" s="1159">
        <f t="shared" si="1360"/>
        <v>12</v>
      </c>
      <c r="C5647" s="292">
        <f t="shared" si="1361"/>
        <v>43094</v>
      </c>
      <c r="D5647" s="59" t="s">
        <v>902</v>
      </c>
      <c r="E5647" s="59">
        <v>43094</v>
      </c>
      <c r="F5647" s="62" t="s">
        <v>1549</v>
      </c>
      <c r="G5647" s="62" t="s">
        <v>747</v>
      </c>
      <c r="H5647" s="67" t="s">
        <v>835</v>
      </c>
      <c r="I5647" s="373"/>
      <c r="J5647" s="382"/>
      <c r="K5647" s="373"/>
      <c r="L5647" s="379"/>
      <c r="M5647" s="60">
        <v>113750</v>
      </c>
      <c r="N5647" s="61" t="s">
        <v>101</v>
      </c>
      <c r="O5647" s="61" t="s">
        <v>26</v>
      </c>
      <c r="P5647" s="75" t="str">
        <f>IF(AND('331-CT'!$E$7=TH!H5656,OR(N5647="331",O5647="331")),"x","")</f>
        <v/>
      </c>
      <c r="Q5647" s="75" t="str">
        <f>IF(AND(B5647='111'!$L$11,OR($N5647=$Q$7,$O5647=$Q$7)),"x","")</f>
        <v/>
      </c>
      <c r="R5647" s="75" t="str">
        <f>IF(AND($N5647=$Q$7,$B5647&lt;'111'!$L$11),"x","")</f>
        <v/>
      </c>
      <c r="S5647" s="75" t="str">
        <f>IF(AND($O5647=$Q$7,$B5647&lt;'111'!$L$11),"x","")</f>
        <v/>
      </c>
      <c r="T5647" s="75" t="str">
        <f>IF(ISERROR(FIND('112'!$M$9,G5647,1)),"",IF((AND(FIND('112'!$M$9,G5647,1)&gt;=1,B5647='112'!$K$9,OR($N5647='112'!$I$6,$O5647='112'!$I$6))),"x",""))</f>
        <v/>
      </c>
      <c r="U5647" s="75" t="str">
        <f>IF(ISERROR(FIND('112'!$M$9,G5647,1)),"",IF((AND(LEFT(G5647,2)=LEFT('112'!$M$9,2),B5647&lt;'112'!$K$9,$N5647='112'!$I$6)),"x",""))</f>
        <v/>
      </c>
      <c r="V5647" s="75" t="str">
        <f>IF(ISERROR(FIND('112'!$M$9,G5647,1)),"",IF((AND(RIGHT(G5647,2)=RIGHT('112'!$M$9,2),B5647&lt;'112'!$K$9,$O5647='112'!$I$6)),"x",""))</f>
        <v/>
      </c>
      <c r="W5647" s="75" t="str">
        <f>IF(AND('341-CT'!$H$9=H5647,OR(LEFT(N5647,3)=$W$7,LEFT(O5647,3)=$W$7)),"x","")</f>
        <v/>
      </c>
      <c r="X5647" s="75" t="str">
        <f>IF(OR(TH!N5656=TH!$X$7,O5647=TH!$X$7),"x","")</f>
        <v/>
      </c>
      <c r="Y5647" s="75" t="str">
        <f>IF(AND(OR(N5647="131",O5647="131"),H5647='131-CT'!$H$9),"x","")</f>
        <v/>
      </c>
      <c r="Z5647" s="75"/>
      <c r="AA5647" s="75" t="str">
        <f>IF(AND(MONTH(E5647)='IN-NX'!$J$5,'IN-NX'!$D$7=D5647),"x","")</f>
        <v/>
      </c>
      <c r="AB5647" s="75" t="str">
        <f>IF(AND(OR(LEFT(TH!N5656,2)="15",LEFT(TH!O5656,2)="15"),LEFT(TH!O5656,3)&lt;&gt;"111",'152-CT'!$J$8=TH!F5656),"x","")</f>
        <v/>
      </c>
      <c r="AC5647" s="75" t="str">
        <f>IF(AND(OR(LEFT(TH!N5656,2)="15",LEFT(TH!O5656,2)="15"),TK!$E$7=TH!F5656),"x","")</f>
        <v/>
      </c>
      <c r="AD5647" s="75" t="str">
        <f>IF(AND(N5647="1521",MONTH(C5647)='BK-NL'!$M$11),"x","")</f>
        <v/>
      </c>
      <c r="AE5647">
        <v>12</v>
      </c>
    </row>
    <row r="5648" spans="1:33" ht="16.5" customHeight="1">
      <c r="A5648" s="309" t="str">
        <f>IF(B5648&lt;&gt;"",IF(AND(B5648='IN-TC'!$S$4,OR(TH!N5631="1111",TH!O5631="1111")),TH!D5631,""),"")</f>
        <v/>
      </c>
      <c r="B5648" s="1159">
        <f t="shared" si="1360"/>
        <v>12</v>
      </c>
      <c r="C5648" s="292">
        <f t="shared" si="1361"/>
        <v>43094</v>
      </c>
      <c r="D5648" s="59" t="s">
        <v>902</v>
      </c>
      <c r="E5648" s="59">
        <v>43094</v>
      </c>
      <c r="F5648" s="62" t="s">
        <v>1552</v>
      </c>
      <c r="G5648" s="62" t="s">
        <v>747</v>
      </c>
      <c r="H5648" s="67" t="s">
        <v>835</v>
      </c>
      <c r="I5648" s="373"/>
      <c r="J5648" s="382"/>
      <c r="K5648" s="373"/>
      <c r="L5648" s="379"/>
      <c r="M5648" s="60">
        <v>11375</v>
      </c>
      <c r="N5648" s="61" t="s">
        <v>9</v>
      </c>
      <c r="O5648" s="61" t="s">
        <v>26</v>
      </c>
      <c r="P5648" s="75" t="str">
        <f>IF(AND('331-CT'!$E$7=TH!H5657,OR(N5648="331",O5648="331")),"x","")</f>
        <v/>
      </c>
      <c r="Q5648" s="75" t="str">
        <f>IF(AND(B5648='111'!$L$11,OR($N5648=$Q$7,$O5648=$Q$7)),"x","")</f>
        <v/>
      </c>
      <c r="R5648" s="75" t="str">
        <f>IF(AND($N5648=$Q$7,$B5648&lt;'111'!$L$11),"x","")</f>
        <v/>
      </c>
      <c r="S5648" s="75" t="str">
        <f>IF(AND($O5648=$Q$7,$B5648&lt;'111'!$L$11),"x","")</f>
        <v/>
      </c>
      <c r="T5648" s="75" t="str">
        <f>IF(ISERROR(FIND('112'!$M$9,G5648,1)),"",IF((AND(FIND('112'!$M$9,G5648,1)&gt;=1,B5648='112'!$K$9,OR($N5648='112'!$I$6,$O5648='112'!$I$6))),"x",""))</f>
        <v/>
      </c>
      <c r="U5648" s="75" t="str">
        <f>IF(ISERROR(FIND('112'!$M$9,G5648,1)),"",IF((AND(LEFT(G5648,2)=LEFT('112'!$M$9,2),B5648&lt;'112'!$K$9,$N5648='112'!$I$6)),"x",""))</f>
        <v/>
      </c>
      <c r="V5648" s="75" t="str">
        <f>IF(ISERROR(FIND('112'!$M$9,G5648,1)),"",IF((AND(RIGHT(G5648,2)=RIGHT('112'!$M$9,2),B5648&lt;'112'!$K$9,$O5648='112'!$I$6)),"x",""))</f>
        <v/>
      </c>
      <c r="W5648" s="75" t="str">
        <f>IF(AND('341-CT'!$H$9=H5648,OR(LEFT(N5648,3)=$W$7,LEFT(O5648,3)=$W$7)),"x","")</f>
        <v/>
      </c>
      <c r="X5648" s="75" t="str">
        <f>IF(OR(TH!N5657=TH!$X$7,O5648=TH!$X$7),"x","")</f>
        <v/>
      </c>
      <c r="Y5648" s="75" t="str">
        <f>IF(AND(OR(N5648="131",O5648="131"),H5648='131-CT'!$H$9),"x","")</f>
        <v/>
      </c>
      <c r="Z5648" s="75"/>
      <c r="AA5648" s="75" t="str">
        <f>IF(AND(MONTH(E5648)='IN-NX'!$J$5,'IN-NX'!$D$7=D5648),"x","")</f>
        <v/>
      </c>
      <c r="AB5648" s="75" t="str">
        <f>IF(AND(OR(LEFT(TH!N5657,2)="15",LEFT(TH!O5657,2)="15"),LEFT(TH!O5657,3)&lt;&gt;"111",'152-CT'!$J$8=TH!F5657),"x","")</f>
        <v/>
      </c>
      <c r="AC5648" s="75" t="str">
        <f>IF(AND(OR(LEFT(TH!N5657,2)="15",LEFT(TH!O5657,2)="15"),TK!$E$7=TH!F5657),"x","")</f>
        <v/>
      </c>
      <c r="AD5648" s="75" t="str">
        <f>IF(AND(N5648="1521",MONTH(C5648)='BK-NL'!$M$11),"x","")</f>
        <v/>
      </c>
      <c r="AE5648">
        <v>12</v>
      </c>
    </row>
    <row r="5649" spans="1:31" ht="16.5" customHeight="1">
      <c r="A5649" s="309" t="str">
        <f>IF(B5649&lt;&gt;"",IF(AND(B5649='IN-TC'!$S$4,OR(TH!N5632="1111",TH!O5632="1111")),TH!D5632,""),"")</f>
        <v/>
      </c>
      <c r="B5649" s="1159">
        <f t="shared" si="1360"/>
        <v>12</v>
      </c>
      <c r="C5649" s="292">
        <f t="shared" si="1361"/>
        <v>43094</v>
      </c>
      <c r="D5649" s="59" t="s">
        <v>903</v>
      </c>
      <c r="E5649" s="59">
        <v>43094</v>
      </c>
      <c r="F5649" s="62" t="s">
        <v>834</v>
      </c>
      <c r="G5649" s="62" t="s">
        <v>747</v>
      </c>
      <c r="H5649" s="67" t="s">
        <v>835</v>
      </c>
      <c r="I5649" s="373"/>
      <c r="J5649" s="382"/>
      <c r="K5649" s="373"/>
      <c r="L5649" s="379"/>
      <c r="M5649" s="60">
        <v>2600000000</v>
      </c>
      <c r="N5649" s="61" t="s">
        <v>63</v>
      </c>
      <c r="O5649" s="61" t="s">
        <v>26</v>
      </c>
      <c r="P5649" s="75" t="str">
        <f>IF(AND('331-CT'!$E$7=TH!H5658,OR(N5649="331",O5649="331")),"x","")</f>
        <v/>
      </c>
      <c r="Q5649" s="75" t="str">
        <f>IF(AND(B5649='111'!$L$11,OR($N5649=$Q$7,$O5649=$Q$7)),"x","")</f>
        <v>x</v>
      </c>
      <c r="R5649" s="75" t="str">
        <f>IF(AND($N5649=$Q$7,$B5649&lt;'111'!$L$11),"x","")</f>
        <v/>
      </c>
      <c r="S5649" s="75" t="str">
        <f>IF(AND($O5649=$Q$7,$B5649&lt;'111'!$L$11),"x","")</f>
        <v/>
      </c>
      <c r="T5649" s="75" t="str">
        <f>IF(ISERROR(FIND('112'!$M$9,G5649,1)),"",IF((AND(FIND('112'!$M$9,G5649,1)&gt;=1,B5649='112'!$K$9,OR($N5649='112'!$I$6,$O5649='112'!$I$6))),"x",""))</f>
        <v/>
      </c>
      <c r="U5649" s="75" t="str">
        <f>IF(ISERROR(FIND('112'!$M$9,G5649,1)),"",IF((AND(LEFT(G5649,2)=LEFT('112'!$M$9,2),B5649&lt;'112'!$K$9,$N5649='112'!$I$6)),"x",""))</f>
        <v/>
      </c>
      <c r="V5649" s="75" t="str">
        <f>IF(ISERROR(FIND('112'!$M$9,G5649,1)),"",IF((AND(RIGHT(G5649,2)=RIGHT('112'!$M$9,2),B5649&lt;'112'!$K$9,$O5649='112'!$I$6)),"x",""))</f>
        <v/>
      </c>
      <c r="W5649" s="75" t="str">
        <f>IF(AND('341-CT'!$H$9=H5649,OR(LEFT(N5649,3)=$W$7,LEFT(O5649,3)=$W$7)),"x","")</f>
        <v/>
      </c>
      <c r="X5649" s="75" t="str">
        <f>IF(OR(TH!N5658=TH!$X$7,O5649=TH!$X$7),"x","")</f>
        <v/>
      </c>
      <c r="Y5649" s="75" t="str">
        <f>IF(AND(OR(N5649="131",O5649="131"),H5649='131-CT'!$H$9),"x","")</f>
        <v/>
      </c>
      <c r="Z5649" s="75"/>
      <c r="AA5649" s="75" t="str">
        <f>IF(AND(MONTH(E5649)='IN-NX'!$J$5,'IN-NX'!$D$7=D5649),"x","")</f>
        <v/>
      </c>
      <c r="AB5649" s="75" t="str">
        <f>IF(AND(OR(LEFT(TH!N5658,2)="15",LEFT(TH!O5658,2)="15"),LEFT(TH!O5658,3)&lt;&gt;"111",'152-CT'!$J$8=TH!F5658),"x","")</f>
        <v/>
      </c>
      <c r="AC5649" s="75" t="str">
        <f>IF(AND(OR(LEFT(TH!N5658,2)="15",LEFT(TH!O5658,2)="15"),TK!$E$7=TH!F5658),"x","")</f>
        <v/>
      </c>
      <c r="AD5649" s="75" t="str">
        <f>IF(AND(N5649="1521",MONTH(C5649)='BK-NL'!$M$11),"x","")</f>
        <v/>
      </c>
    </row>
    <row r="5650" spans="1:31" ht="16.5" customHeight="1">
      <c r="A5650" s="309" t="str">
        <f>IF(B5650&lt;&gt;"",IF(AND(B5650='IN-TC'!$S$4,OR(TH!N5633="1111",TH!O5633="1111")),TH!D5633,""),"")</f>
        <v/>
      </c>
      <c r="B5650" s="1159">
        <f t="shared" si="1360"/>
        <v>12</v>
      </c>
      <c r="C5650" s="292">
        <f t="shared" si="1361"/>
        <v>43095</v>
      </c>
      <c r="D5650" s="59"/>
      <c r="E5650" s="59">
        <v>43095</v>
      </c>
      <c r="F5650" s="62" t="s">
        <v>954</v>
      </c>
      <c r="G5650" s="742" t="s">
        <v>2825</v>
      </c>
      <c r="H5650" s="67" t="s">
        <v>1241</v>
      </c>
      <c r="I5650" s="375"/>
      <c r="J5650" s="382"/>
      <c r="K5650" s="375"/>
      <c r="L5650" s="381"/>
      <c r="M5650" s="60">
        <v>4290000</v>
      </c>
      <c r="N5650" s="61" t="s">
        <v>101</v>
      </c>
      <c r="O5650" s="61" t="s">
        <v>63</v>
      </c>
      <c r="P5650" s="75" t="str">
        <f>IF(AND('331-CT'!$E$7=TH!H4170,OR(N5650="331",O5650="331")),"x","")</f>
        <v/>
      </c>
      <c r="Q5650" s="75" t="str">
        <f>IF(AND(B5650='111'!$L$11,OR($N5650=$Q$7,$O5650=$Q$7)),"x","")</f>
        <v>x</v>
      </c>
      <c r="R5650" s="75" t="str">
        <f>IF(AND($N5650=$Q$7,$B5650&lt;'111'!$L$11),"x","")</f>
        <v/>
      </c>
      <c r="S5650" s="75" t="str">
        <f>IF(AND($O5650=$Q$7,$B5650&lt;'111'!$L$11),"x","")</f>
        <v/>
      </c>
      <c r="T5650" s="75" t="str">
        <f>IF(ISERROR(FIND('112'!$M$9,G5650,1)),"",IF((AND(FIND('112'!$M$9,G5650,1)&gt;=1,B5650='112'!$K$9,OR($N5650='112'!$I$6,$O5650='112'!$I$6))),"x",""))</f>
        <v/>
      </c>
      <c r="U5650" s="75" t="str">
        <f>IF(ISERROR(FIND('112'!$M$9,G5650,1)),"",IF((AND(LEFT(G5650,2)=LEFT('112'!$M$9,2),B5650&lt;'112'!$K$9,$N5650='112'!$I$6)),"x",""))</f>
        <v/>
      </c>
      <c r="V5650" s="75" t="str">
        <f>IF(ISERROR(FIND('112'!$M$9,G5650,1)),"",IF((AND(RIGHT(G5650,2)=RIGHT('112'!$M$9,2),B5650&lt;'112'!$K$9,$O5650='112'!$I$6)),"x",""))</f>
        <v/>
      </c>
      <c r="W5650" s="75" t="str">
        <f>IF(AND('341-CT'!$H$9=H5650,OR(LEFT(N5650,3)=$W$7,LEFT(O5650,3)=$W$7)),"x","")</f>
        <v/>
      </c>
      <c r="X5650" s="75" t="str">
        <f>IF(OR(TH!N4170=TH!$X$7,O5650=TH!$X$7),"x","")</f>
        <v/>
      </c>
      <c r="Y5650" s="75" t="str">
        <f>IF(AND(OR(N5650="131",O5650="131"),H5650='131-CT'!$H$9),"x","")</f>
        <v/>
      </c>
      <c r="Z5650" s="75"/>
      <c r="AA5650" s="75" t="str">
        <f>IF(AND(MONTH(E5650)='IN-NX'!$J$5,'IN-NX'!$D$7=D5650),"x","")</f>
        <v/>
      </c>
      <c r="AB5650" s="75" t="str">
        <f>IF(AND(OR(LEFT(TH!N4170,2)="15",LEFT(TH!O4170,2)="15"),LEFT(TH!O4170,3)&lt;&gt;"111",'152-CT'!$J$8=TH!F4170),"x","")</f>
        <v/>
      </c>
      <c r="AC5650" s="75" t="str">
        <f>IF(AND(OR(LEFT(TH!N4170,2)="15",LEFT(TH!O4170,2)="15"),TK!$E$7=TH!F4170),"x","")</f>
        <v/>
      </c>
      <c r="AD5650" s="75" t="str">
        <f>IF(AND(N5650="1521",MONTH(C5650)='BK-NL'!$M$11),"x","")</f>
        <v/>
      </c>
      <c r="AE5650">
        <v>12</v>
      </c>
    </row>
    <row r="5651" spans="1:31" ht="16.5" customHeight="1">
      <c r="A5651" s="309" t="str">
        <f>IF(B5651&lt;&gt;"",IF(AND(B5651='IN-TC'!$S$4,OR(TH!N5634="1111",TH!O5634="1111")),TH!D5634,""),"")</f>
        <v/>
      </c>
      <c r="B5651" s="1159">
        <f t="shared" ref="B5651:B5714" si="1362">IF(C5651&lt;&gt;"",MONTH(C5651),"")</f>
        <v>12</v>
      </c>
      <c r="C5651" s="292">
        <f t="shared" si="1361"/>
        <v>43095</v>
      </c>
      <c r="D5651" s="59"/>
      <c r="E5651" s="59">
        <v>43095</v>
      </c>
      <c r="F5651" s="62" t="s">
        <v>955</v>
      </c>
      <c r="G5651" s="742" t="s">
        <v>2825</v>
      </c>
      <c r="H5651" s="67" t="s">
        <v>1241</v>
      </c>
      <c r="I5651" s="375"/>
      <c r="J5651" s="382"/>
      <c r="K5651" s="375"/>
      <c r="L5651" s="381"/>
      <c r="M5651" s="60">
        <v>429000</v>
      </c>
      <c r="N5651" s="61" t="s">
        <v>9</v>
      </c>
      <c r="O5651" s="61" t="s">
        <v>63</v>
      </c>
      <c r="P5651" s="75" t="str">
        <f>IF(AND('331-CT'!$E$7=TH!H4171,OR(N5651="331",O5651="331")),"x","")</f>
        <v/>
      </c>
      <c r="Q5651" s="75" t="str">
        <f>IF(AND(B5651='111'!$L$11,OR($N5651=$Q$7,$O5651=$Q$7)),"x","")</f>
        <v>x</v>
      </c>
      <c r="R5651" s="75" t="str">
        <f>IF(AND($N5651=$Q$7,$B5651&lt;'111'!$L$11),"x","")</f>
        <v/>
      </c>
      <c r="S5651" s="75" t="str">
        <f>IF(AND($O5651=$Q$7,$B5651&lt;'111'!$L$11),"x","")</f>
        <v/>
      </c>
      <c r="T5651" s="75" t="str">
        <f>IF(ISERROR(FIND('112'!$M$9,G5651,1)),"",IF((AND(FIND('112'!$M$9,G5651,1)&gt;=1,B5651='112'!$K$9,OR($N5651='112'!$I$6,$O5651='112'!$I$6))),"x",""))</f>
        <v/>
      </c>
      <c r="U5651" s="75" t="str">
        <f>IF(ISERROR(FIND('112'!$M$9,G5651,1)),"",IF((AND(LEFT(G5651,2)=LEFT('112'!$M$9,2),B5651&lt;'112'!$K$9,$N5651='112'!$I$6)),"x",""))</f>
        <v/>
      </c>
      <c r="V5651" s="75" t="str">
        <f>IF(ISERROR(FIND('112'!$M$9,G5651,1)),"",IF((AND(RIGHT(G5651,2)=RIGHT('112'!$M$9,2),B5651&lt;'112'!$K$9,$O5651='112'!$I$6)),"x",""))</f>
        <v/>
      </c>
      <c r="W5651" s="75" t="str">
        <f>IF(AND('341-CT'!$H$9=H5651,OR(LEFT(N5651,3)=$W$7,LEFT(O5651,3)=$W$7)),"x","")</f>
        <v/>
      </c>
      <c r="X5651" s="75" t="str">
        <f>IF(OR(TH!N4171=TH!$X$7,O5651=TH!$X$7),"x","")</f>
        <v/>
      </c>
      <c r="Y5651" s="75" t="str">
        <f>IF(AND(OR(N5651="131",O5651="131"),H5651='131-CT'!$H$9),"x","")</f>
        <v/>
      </c>
      <c r="Z5651" s="75"/>
      <c r="AA5651" s="75" t="str">
        <f>IF(AND(MONTH(E5651)='IN-NX'!$J$5,'IN-NX'!$D$7=D5651),"x","")</f>
        <v/>
      </c>
      <c r="AB5651" s="75" t="str">
        <f>IF(AND(OR(LEFT(TH!N4171,2)="15",LEFT(TH!O4171,2)="15"),LEFT(TH!O4171,3)&lt;&gt;"111",'152-CT'!$J$8=TH!F4171),"x","")</f>
        <v/>
      </c>
      <c r="AC5651" s="75" t="str">
        <f>IF(AND(OR(LEFT(TH!N4171,2)="15",LEFT(TH!O4171,2)="15"),TK!$E$7=TH!F4171),"x","")</f>
        <v/>
      </c>
      <c r="AD5651" s="75" t="str">
        <f>IF(AND(N5651="1521",MONTH(C5651)='BK-NL'!$M$11),"x","")</f>
        <v/>
      </c>
      <c r="AE5651">
        <v>12</v>
      </c>
    </row>
    <row r="5652" spans="1:31" ht="16.5" customHeight="1">
      <c r="A5652" s="309" t="str">
        <f>IF(B5652&lt;&gt;"",IF(AND(B5652='IN-TC'!$S$4,OR(TH!N5635="1111",TH!O5635="1111")),TH!D5635,""),"")</f>
        <v/>
      </c>
      <c r="B5652" s="1159">
        <f t="shared" si="1362"/>
        <v>12</v>
      </c>
      <c r="C5652" s="292">
        <f t="shared" si="1361"/>
        <v>43095</v>
      </c>
      <c r="D5652" s="59"/>
      <c r="E5652" s="59">
        <v>43095</v>
      </c>
      <c r="F5652" s="62" t="s">
        <v>1328</v>
      </c>
      <c r="G5652" s="742" t="s">
        <v>2902</v>
      </c>
      <c r="H5652" s="67" t="s">
        <v>948</v>
      </c>
      <c r="I5652" s="375"/>
      <c r="J5652" s="382"/>
      <c r="K5652" s="375"/>
      <c r="L5652" s="381"/>
      <c r="M5652" s="60">
        <v>4909091</v>
      </c>
      <c r="N5652" s="61" t="s">
        <v>539</v>
      </c>
      <c r="O5652" s="61" t="s">
        <v>63</v>
      </c>
      <c r="P5652" s="75" t="str">
        <f>IF(AND('331-CT'!$E$7=TH!H4172,OR(N5652="331",O5652="331")),"x","")</f>
        <v/>
      </c>
      <c r="Q5652" s="75" t="str">
        <f>IF(AND(B5652='111'!$L$11,OR($N5652=$Q$7,$O5652=$Q$7)),"x","")</f>
        <v>x</v>
      </c>
      <c r="R5652" s="75" t="str">
        <f>IF(AND($N5652=$Q$7,$B5652&lt;'111'!$L$11),"x","")</f>
        <v/>
      </c>
      <c r="S5652" s="75" t="str">
        <f>IF(AND($O5652=$Q$7,$B5652&lt;'111'!$L$11),"x","")</f>
        <v/>
      </c>
      <c r="T5652" s="75" t="str">
        <f>IF(ISERROR(FIND('112'!$M$9,G5652,1)),"",IF((AND(FIND('112'!$M$9,G5652,1)&gt;=1,B5652='112'!$K$9,OR($N5652='112'!$I$6,$O5652='112'!$I$6))),"x",""))</f>
        <v/>
      </c>
      <c r="U5652" s="75" t="str">
        <f>IF(ISERROR(FIND('112'!$M$9,G5652,1)),"",IF((AND(LEFT(G5652,2)=LEFT('112'!$M$9,2),B5652&lt;'112'!$K$9,$N5652='112'!$I$6)),"x",""))</f>
        <v/>
      </c>
      <c r="V5652" s="75" t="str">
        <f>IF(ISERROR(FIND('112'!$M$9,G5652,1)),"",IF((AND(RIGHT(G5652,2)=RIGHT('112'!$M$9,2),B5652&lt;'112'!$K$9,$O5652='112'!$I$6)),"x",""))</f>
        <v/>
      </c>
      <c r="W5652" s="75" t="str">
        <f>IF(AND('341-CT'!$H$9=H5652,OR(LEFT(N5652,3)=$W$7,LEFT(O5652,3)=$W$7)),"x","")</f>
        <v/>
      </c>
      <c r="X5652" s="75" t="str">
        <f>IF(OR(TH!N4172=TH!$X$7,O5652=TH!$X$7),"x","")</f>
        <v/>
      </c>
      <c r="Y5652" s="75" t="str">
        <f>IF(AND(OR(N5652="131",O5652="131"),H5652='131-CT'!$H$9),"x","")</f>
        <v/>
      </c>
      <c r="Z5652" s="75"/>
      <c r="AA5652" s="75" t="str">
        <f>IF(AND(MONTH(E5652)='IN-NX'!$J$5,'IN-NX'!$D$7=D5652),"x","")</f>
        <v/>
      </c>
      <c r="AB5652" s="75" t="str">
        <f>IF(AND(OR(LEFT(TH!N4172,2)="15",LEFT(TH!O4172,2)="15"),LEFT(TH!O4172,3)&lt;&gt;"111",'152-CT'!$J$8=TH!F4172),"x","")</f>
        <v/>
      </c>
      <c r="AC5652" s="75" t="str">
        <f>IF(AND(OR(LEFT(TH!N4172,2)="15",LEFT(TH!O4172,2)="15"),TK!$E$7=TH!F4172),"x","")</f>
        <v/>
      </c>
      <c r="AD5652" s="75" t="str">
        <f>IF(AND(N5652="1521",MONTH(C5652)='BK-NL'!$M$11),"x","")</f>
        <v/>
      </c>
      <c r="AE5652" t="s">
        <v>2969</v>
      </c>
    </row>
    <row r="5653" spans="1:31" ht="16.5" customHeight="1">
      <c r="A5653" s="309" t="str">
        <f>IF(B5653&lt;&gt;"",IF(AND(B5653='IN-TC'!$S$4,OR(TH!N5636="1111",TH!O5636="1111")),TH!D5636,""),"")</f>
        <v/>
      </c>
      <c r="B5653" s="1159">
        <f t="shared" si="1362"/>
        <v>12</v>
      </c>
      <c r="C5653" s="292">
        <f t="shared" si="1361"/>
        <v>43095</v>
      </c>
      <c r="D5653" s="59"/>
      <c r="E5653" s="59">
        <v>43095</v>
      </c>
      <c r="F5653" s="62" t="s">
        <v>1329</v>
      </c>
      <c r="G5653" s="742" t="s">
        <v>2902</v>
      </c>
      <c r="H5653" s="67" t="s">
        <v>948</v>
      </c>
      <c r="I5653" s="375"/>
      <c r="J5653" s="382"/>
      <c r="K5653" s="375"/>
      <c r="L5653" s="381"/>
      <c r="M5653" s="60">
        <v>490909</v>
      </c>
      <c r="N5653" s="61" t="s">
        <v>9</v>
      </c>
      <c r="O5653" s="61" t="s">
        <v>63</v>
      </c>
      <c r="P5653" s="75" t="str">
        <f>IF(AND('331-CT'!$E$7=TH!H4173,OR(N5653="331",O5653="331")),"x","")</f>
        <v/>
      </c>
      <c r="Q5653" s="75" t="str">
        <f>IF(AND(B5653='111'!$L$11,OR($N5653=$Q$7,$O5653=$Q$7)),"x","")</f>
        <v>x</v>
      </c>
      <c r="R5653" s="75" t="str">
        <f>IF(AND($N5653=$Q$7,$B5653&lt;'111'!$L$11),"x","")</f>
        <v/>
      </c>
      <c r="S5653" s="75" t="str">
        <f>IF(AND($O5653=$Q$7,$B5653&lt;'111'!$L$11),"x","")</f>
        <v/>
      </c>
      <c r="T5653" s="75" t="str">
        <f>IF(ISERROR(FIND('112'!$M$9,G5653,1)),"",IF((AND(FIND('112'!$M$9,G5653,1)&gt;=1,B5653='112'!$K$9,OR($N5653='112'!$I$6,$O5653='112'!$I$6))),"x",""))</f>
        <v/>
      </c>
      <c r="U5653" s="75" t="str">
        <f>IF(ISERROR(FIND('112'!$M$9,G5653,1)),"",IF((AND(LEFT(G5653,2)=LEFT('112'!$M$9,2),B5653&lt;'112'!$K$9,$N5653='112'!$I$6)),"x",""))</f>
        <v/>
      </c>
      <c r="V5653" s="75" t="str">
        <f>IF(ISERROR(FIND('112'!$M$9,G5653,1)),"",IF((AND(RIGHT(G5653,2)=RIGHT('112'!$M$9,2),B5653&lt;'112'!$K$9,$O5653='112'!$I$6)),"x",""))</f>
        <v/>
      </c>
      <c r="W5653" s="75" t="str">
        <f>IF(AND('341-CT'!$H$9=H5653,OR(LEFT(N5653,3)=$W$7,LEFT(O5653,3)=$W$7)),"x","")</f>
        <v/>
      </c>
      <c r="X5653" s="75" t="str">
        <f>IF(OR(TH!N4173=TH!$X$7,O5653=TH!$X$7),"x","")</f>
        <v/>
      </c>
      <c r="Y5653" s="75" t="str">
        <f>IF(AND(OR(N5653="131",O5653="131"),H5653='131-CT'!$H$9),"x","")</f>
        <v/>
      </c>
      <c r="Z5653" s="75"/>
      <c r="AA5653" s="75" t="str">
        <f>IF(AND(MONTH(E5653)='IN-NX'!$J$5,'IN-NX'!$D$7=D5653),"x","")</f>
        <v/>
      </c>
      <c r="AB5653" s="75" t="str">
        <f>IF(AND(OR(LEFT(TH!N4173,2)="15",LEFT(TH!O4173,2)="15"),LEFT(TH!O4173,3)&lt;&gt;"111",'152-CT'!$J$8=TH!F4173),"x","")</f>
        <v/>
      </c>
      <c r="AC5653" s="75" t="str">
        <f>IF(AND(OR(LEFT(TH!N4173,2)="15",LEFT(TH!O4173,2)="15"),TK!$E$7=TH!F4173),"x","")</f>
        <v/>
      </c>
      <c r="AD5653" s="75" t="str">
        <f>IF(AND(N5653="1521",MONTH(C5653)='BK-NL'!$M$11),"x","")</f>
        <v/>
      </c>
      <c r="AE5653" t="s">
        <v>2969</v>
      </c>
    </row>
    <row r="5654" spans="1:31" ht="16.5" customHeight="1">
      <c r="A5654" s="309" t="str">
        <f>IF(B5654&lt;&gt;"",IF(AND(B5654='IN-TC'!$S$4,OR(TH!N5637="1111",TH!O5637="1111")),TH!D5637,""),"")</f>
        <v/>
      </c>
      <c r="B5654" s="1159">
        <f t="shared" si="1362"/>
        <v>12</v>
      </c>
      <c r="C5654" s="292">
        <f t="shared" si="1361"/>
        <v>43095</v>
      </c>
      <c r="D5654" s="59" t="s">
        <v>902</v>
      </c>
      <c r="E5654" s="59">
        <v>43095</v>
      </c>
      <c r="F5654" s="62" t="s">
        <v>897</v>
      </c>
      <c r="G5654" s="62" t="s">
        <v>747</v>
      </c>
      <c r="H5654" s="67" t="s">
        <v>623</v>
      </c>
      <c r="I5654" s="373"/>
      <c r="J5654" s="382"/>
      <c r="K5654" s="373"/>
      <c r="L5654" s="379"/>
      <c r="M5654" s="60">
        <v>3590000000</v>
      </c>
      <c r="N5654" s="61" t="s">
        <v>8</v>
      </c>
      <c r="O5654" s="61" t="s">
        <v>26</v>
      </c>
      <c r="P5654" s="75" t="str">
        <f>IF(AND('331-CT'!$E$7=TH!H5659,OR(N5654="331",O5654="331")),"x","")</f>
        <v/>
      </c>
      <c r="Q5654" s="75" t="str">
        <f>IF(AND(B5654='111'!$L$11,OR($N5654=$Q$7,$O5654=$Q$7)),"x","")</f>
        <v/>
      </c>
      <c r="R5654" s="75" t="str">
        <f>IF(AND($N5654=$Q$7,$B5654&lt;'111'!$L$11),"x","")</f>
        <v/>
      </c>
      <c r="S5654" s="75" t="str">
        <f>IF(AND($O5654=$Q$7,$B5654&lt;'111'!$L$11),"x","")</f>
        <v/>
      </c>
      <c r="T5654" s="75" t="str">
        <f>IF(ISERROR(FIND('112'!$M$9,G5654,1)),"",IF((AND(FIND('112'!$M$9,G5654,1)&gt;=1,B5654='112'!$K$9,OR($N5654='112'!$I$6,$O5654='112'!$I$6))),"x",""))</f>
        <v/>
      </c>
      <c r="U5654" s="75" t="str">
        <f>IF(ISERROR(FIND('112'!$M$9,G5654,1)),"",IF((AND(LEFT(G5654,2)=LEFT('112'!$M$9,2),B5654&lt;'112'!$K$9,$N5654='112'!$I$6)),"x",""))</f>
        <v/>
      </c>
      <c r="V5654" s="75" t="str">
        <f>IF(ISERROR(FIND('112'!$M$9,G5654,1)),"",IF((AND(RIGHT(G5654,2)=RIGHT('112'!$M$9,2),B5654&lt;'112'!$K$9,$O5654='112'!$I$6)),"x",""))</f>
        <v/>
      </c>
      <c r="W5654" s="75" t="str">
        <f>IF(AND('341-CT'!$H$9=H5654,OR(LEFT(N5654,3)=$W$7,LEFT(O5654,3)=$W$7)),"x","")</f>
        <v/>
      </c>
      <c r="X5654" s="75" t="str">
        <f>IF(OR(TH!N5659=TH!$X$7,O5654=TH!$X$7),"x","")</f>
        <v/>
      </c>
      <c r="Y5654" s="75" t="str">
        <f>IF(AND(OR(N5654="131",O5654="131"),H5654='131-CT'!$H$9),"x","")</f>
        <v/>
      </c>
      <c r="Z5654" s="75"/>
      <c r="AA5654" s="75" t="str">
        <f>IF(AND(MONTH(E5654)='IN-NX'!$J$5,'IN-NX'!$D$7=D5654),"x","")</f>
        <v/>
      </c>
      <c r="AB5654" s="75" t="str">
        <f>IF(AND(OR(LEFT(TH!N5659,2)="15",LEFT(TH!O5659,2)="15"),LEFT(TH!O5659,3)&lt;&gt;"111",'152-CT'!$J$8=TH!F5659),"x","")</f>
        <v/>
      </c>
      <c r="AC5654" s="75" t="str">
        <f>IF(AND(OR(LEFT(TH!N5659,2)="15",LEFT(TH!O5659,2)="15"),TK!$E$7=TH!F5659),"x","")</f>
        <v/>
      </c>
      <c r="AD5654" s="75" t="str">
        <f>IF(AND(N5654="1521",MONTH(C5654)='BK-NL'!$M$11),"x","")</f>
        <v/>
      </c>
    </row>
    <row r="5655" spans="1:31" ht="16.5" customHeight="1">
      <c r="A5655" s="309" t="str">
        <f>IF(B5655&lt;&gt;"",IF(AND(B5655='IN-TC'!$S$4,OR(TH!N5638="1111",TH!O5638="1111")),TH!D5638,""),"")</f>
        <v/>
      </c>
      <c r="B5655" s="1159">
        <f t="shared" si="1362"/>
        <v>12</v>
      </c>
      <c r="C5655" s="292">
        <f t="shared" si="1361"/>
        <v>43095</v>
      </c>
      <c r="D5655" s="59" t="s">
        <v>902</v>
      </c>
      <c r="E5655" s="59">
        <v>43095</v>
      </c>
      <c r="F5655" s="62" t="s">
        <v>1307</v>
      </c>
      <c r="G5655" s="62" t="s">
        <v>747</v>
      </c>
      <c r="H5655" s="294" t="s">
        <v>835</v>
      </c>
      <c r="I5655" s="373"/>
      <c r="J5655" s="382"/>
      <c r="K5655" s="373"/>
      <c r="L5655" s="379"/>
      <c r="M5655" s="60">
        <v>1000000</v>
      </c>
      <c r="N5655" s="61" t="s">
        <v>101</v>
      </c>
      <c r="O5655" s="61" t="s">
        <v>26</v>
      </c>
      <c r="P5655" s="75" t="str">
        <f>IF(AND('331-CT'!$E$7=TH!H5660,OR(N5655="331",O5655="331")),"x","")</f>
        <v/>
      </c>
      <c r="Q5655" s="75" t="str">
        <f>IF(AND(B5655='111'!$L$11,OR($N5655=$Q$7,$O5655=$Q$7)),"x","")</f>
        <v/>
      </c>
      <c r="R5655" s="75" t="str">
        <f>IF(AND($N5655=$Q$7,$B5655&lt;'111'!$L$11),"x","")</f>
        <v/>
      </c>
      <c r="S5655" s="75" t="str">
        <f>IF(AND($O5655=$Q$7,$B5655&lt;'111'!$L$11),"x","")</f>
        <v/>
      </c>
      <c r="T5655" s="75" t="str">
        <f>IF(ISERROR(FIND('112'!$M$9,G5655,1)),"",IF((AND(FIND('112'!$M$9,G5655,1)&gt;=1,B5655='112'!$K$9,OR($N5655='112'!$I$6,$O5655='112'!$I$6))),"x",""))</f>
        <v/>
      </c>
      <c r="U5655" s="75" t="str">
        <f>IF(ISERROR(FIND('112'!$M$9,G5655,1)),"",IF((AND(LEFT(G5655,2)=LEFT('112'!$M$9,2),B5655&lt;'112'!$K$9,$N5655='112'!$I$6)),"x",""))</f>
        <v/>
      </c>
      <c r="V5655" s="75" t="str">
        <f>IF(ISERROR(FIND('112'!$M$9,G5655,1)),"",IF((AND(RIGHT(G5655,2)=RIGHT('112'!$M$9,2),B5655&lt;'112'!$K$9,$O5655='112'!$I$6)),"x",""))</f>
        <v/>
      </c>
      <c r="W5655" s="75" t="str">
        <f>IF(AND('341-CT'!$H$9=H5655,OR(LEFT(N5655,3)=$W$7,LEFT(O5655,3)=$W$7)),"x","")</f>
        <v/>
      </c>
      <c r="X5655" s="75" t="str">
        <f>IF(OR(TH!N5660=TH!$X$7,O5655=TH!$X$7),"x","")</f>
        <v/>
      </c>
      <c r="Y5655" s="75" t="str">
        <f>IF(AND(OR(N5655="131",O5655="131"),H5655='131-CT'!$H$9),"x","")</f>
        <v/>
      </c>
      <c r="Z5655" s="75"/>
      <c r="AA5655" s="75" t="str">
        <f>IF(AND(MONTH(E5655)='IN-NX'!$J$5,'IN-NX'!$D$7=D5655),"x","")</f>
        <v/>
      </c>
      <c r="AB5655" s="75" t="str">
        <f>IF(AND(OR(LEFT(TH!N5660,2)="15",LEFT(TH!O5660,2)="15"),LEFT(TH!O5660,3)&lt;&gt;"111",'152-CT'!$J$8=TH!F5660),"x","")</f>
        <v/>
      </c>
      <c r="AC5655" s="75" t="str">
        <f>IF(AND(OR(LEFT(TH!N5660,2)="15",LEFT(TH!O5660,2)="15"),TK!$E$7=TH!F5660),"x","")</f>
        <v/>
      </c>
      <c r="AD5655" s="75" t="str">
        <f>IF(AND(N5655="1521",MONTH(C5655)='BK-NL'!$M$11),"x","")</f>
        <v/>
      </c>
      <c r="AE5655">
        <v>12</v>
      </c>
    </row>
    <row r="5656" spans="1:31" ht="16.5" customHeight="1">
      <c r="A5656" s="309" t="str">
        <f>IF(B5656&lt;&gt;"",IF(AND(B5656='IN-TC'!$S$4,OR(TH!N5639="1111",TH!O5639="1111")),TH!D5639,""),"")</f>
        <v/>
      </c>
      <c r="B5656" s="1159">
        <f t="shared" si="1362"/>
        <v>12</v>
      </c>
      <c r="C5656" s="292">
        <f t="shared" si="1361"/>
        <v>43095</v>
      </c>
      <c r="D5656" s="59" t="s">
        <v>902</v>
      </c>
      <c r="E5656" s="59">
        <v>43095</v>
      </c>
      <c r="F5656" s="62" t="s">
        <v>1314</v>
      </c>
      <c r="G5656" s="62" t="s">
        <v>747</v>
      </c>
      <c r="H5656" s="294" t="s">
        <v>835</v>
      </c>
      <c r="I5656" s="375"/>
      <c r="J5656" s="382"/>
      <c r="K5656" s="375"/>
      <c r="L5656" s="381"/>
      <c r="M5656" s="60">
        <v>100000</v>
      </c>
      <c r="N5656" s="61" t="s">
        <v>9</v>
      </c>
      <c r="O5656" s="61" t="s">
        <v>26</v>
      </c>
      <c r="P5656" s="75" t="str">
        <f>IF(AND('331-CT'!$E$7=TH!H5661,OR(N5656="331",O5656="331")),"x","")</f>
        <v/>
      </c>
      <c r="Q5656" s="75" t="str">
        <f>IF(AND(B5656='111'!$L$11,OR($N5656=$Q$7,$O5656=$Q$7)),"x","")</f>
        <v/>
      </c>
      <c r="R5656" s="75" t="str">
        <f>IF(AND($N5656=$Q$7,$B5656&lt;'111'!$L$11),"x","")</f>
        <v/>
      </c>
      <c r="S5656" s="75" t="str">
        <f>IF(AND($O5656=$Q$7,$B5656&lt;'111'!$L$11),"x","")</f>
        <v/>
      </c>
      <c r="T5656" s="75" t="str">
        <f>IF(ISERROR(FIND('112'!$M$9,G5656,1)),"",IF((AND(FIND('112'!$M$9,G5656,1)&gt;=1,B5656='112'!$K$9,OR($N5656='112'!$I$6,$O5656='112'!$I$6))),"x",""))</f>
        <v/>
      </c>
      <c r="U5656" s="75" t="str">
        <f>IF(ISERROR(FIND('112'!$M$9,G5656,1)),"",IF((AND(LEFT(G5656,2)=LEFT('112'!$M$9,2),B5656&lt;'112'!$K$9,$N5656='112'!$I$6)),"x",""))</f>
        <v/>
      </c>
      <c r="V5656" s="75" t="str">
        <f>IF(ISERROR(FIND('112'!$M$9,G5656,1)),"",IF((AND(RIGHT(G5656,2)=RIGHT('112'!$M$9,2),B5656&lt;'112'!$K$9,$O5656='112'!$I$6)),"x",""))</f>
        <v/>
      </c>
      <c r="W5656" s="75" t="str">
        <f>IF(AND('341-CT'!$H$9=H5656,OR(LEFT(N5656,3)=$W$7,LEFT(O5656,3)=$W$7)),"x","")</f>
        <v/>
      </c>
      <c r="X5656" s="75" t="str">
        <f>IF(OR(TH!N5661=TH!$X$7,O5656=TH!$X$7),"x","")</f>
        <v/>
      </c>
      <c r="Y5656" s="75" t="str">
        <f>IF(AND(OR(N5656="131",O5656="131"),H5656='131-CT'!$H$9),"x","")</f>
        <v/>
      </c>
      <c r="Z5656" s="75"/>
      <c r="AA5656" s="75" t="str">
        <f>IF(AND(MONTH(E5656)='IN-NX'!$J$5,'IN-NX'!$D$7=D5656),"x","")</f>
        <v/>
      </c>
      <c r="AB5656" s="75" t="str">
        <f>IF(AND(OR(LEFT(TH!N5661,2)="15",LEFT(TH!O5661,2)="15"),LEFT(TH!O5661,3)&lt;&gt;"111",'152-CT'!$J$8=TH!F5661),"x","")</f>
        <v/>
      </c>
      <c r="AC5656" s="75" t="str">
        <f>IF(AND(OR(LEFT(TH!N5661,2)="15",LEFT(TH!O5661,2)="15"),TK!$E$7=TH!F5661),"x","")</f>
        <v/>
      </c>
      <c r="AD5656" s="75" t="str">
        <f>IF(AND(N5656="1521",MONTH(C5656)='BK-NL'!$M$11),"x","")</f>
        <v/>
      </c>
      <c r="AE5656">
        <v>12</v>
      </c>
    </row>
    <row r="5657" spans="1:31" ht="16.5" customHeight="1">
      <c r="A5657" s="309" t="str">
        <f>IF(B5657&lt;&gt;"",IF(AND(B5657='IN-TC'!$S$4,OR(TH!N5640="1111",TH!O5640="1111")),TH!D5640,""),"")</f>
        <v/>
      </c>
      <c r="B5657" s="1159">
        <f t="shared" si="1362"/>
        <v>12</v>
      </c>
      <c r="C5657" s="292">
        <f t="shared" si="1361"/>
        <v>43095</v>
      </c>
      <c r="D5657" s="59" t="s">
        <v>902</v>
      </c>
      <c r="E5657" s="59">
        <v>43095</v>
      </c>
      <c r="F5657" s="62" t="s">
        <v>1549</v>
      </c>
      <c r="G5657" s="62" t="s">
        <v>747</v>
      </c>
      <c r="H5657" s="67" t="s">
        <v>835</v>
      </c>
      <c r="I5657" s="373"/>
      <c r="J5657" s="382"/>
      <c r="K5657" s="373"/>
      <c r="L5657" s="379"/>
      <c r="M5657" s="60">
        <v>227500</v>
      </c>
      <c r="N5657" s="61" t="s">
        <v>101</v>
      </c>
      <c r="O5657" s="61" t="s">
        <v>26</v>
      </c>
      <c r="P5657" s="75" t="str">
        <f>IF(AND('331-CT'!$E$7=TH!H5662,OR(N5657="331",O5657="331")),"x","")</f>
        <v/>
      </c>
      <c r="Q5657" s="75" t="str">
        <f>IF(AND(B5657='111'!$L$11,OR($N5657=$Q$7,$O5657=$Q$7)),"x","")</f>
        <v/>
      </c>
      <c r="R5657" s="75" t="str">
        <f>IF(AND($N5657=$Q$7,$B5657&lt;'111'!$L$11),"x","")</f>
        <v/>
      </c>
      <c r="S5657" s="75" t="str">
        <f>IF(AND($O5657=$Q$7,$B5657&lt;'111'!$L$11),"x","")</f>
        <v/>
      </c>
      <c r="T5657" s="75" t="str">
        <f>IF(ISERROR(FIND('112'!$M$9,G5657,1)),"",IF((AND(FIND('112'!$M$9,G5657,1)&gt;=1,B5657='112'!$K$9,OR($N5657='112'!$I$6,$O5657='112'!$I$6))),"x",""))</f>
        <v/>
      </c>
      <c r="U5657" s="75" t="str">
        <f>IF(ISERROR(FIND('112'!$M$9,G5657,1)),"",IF((AND(LEFT(G5657,2)=LEFT('112'!$M$9,2),B5657&lt;'112'!$K$9,$N5657='112'!$I$6)),"x",""))</f>
        <v/>
      </c>
      <c r="V5657" s="75" t="str">
        <f>IF(ISERROR(FIND('112'!$M$9,G5657,1)),"",IF((AND(RIGHT(G5657,2)=RIGHT('112'!$M$9,2),B5657&lt;'112'!$K$9,$O5657='112'!$I$6)),"x",""))</f>
        <v/>
      </c>
      <c r="W5657" s="75" t="str">
        <f>IF(AND('341-CT'!$H$9=H5657,OR(LEFT(N5657,3)=$W$7,LEFT(O5657,3)=$W$7)),"x","")</f>
        <v/>
      </c>
      <c r="X5657" s="75" t="str">
        <f>IF(OR(TH!N5662=TH!$X$7,O5657=TH!$X$7),"x","")</f>
        <v/>
      </c>
      <c r="Y5657" s="75" t="str">
        <f>IF(AND(OR(N5657="131",O5657="131"),H5657='131-CT'!$H$9),"x","")</f>
        <v/>
      </c>
      <c r="Z5657" s="75"/>
      <c r="AA5657" s="75" t="str">
        <f>IF(AND(MONTH(E5657)='IN-NX'!$J$5,'IN-NX'!$D$7=D5657),"x","")</f>
        <v/>
      </c>
      <c r="AB5657" s="75" t="str">
        <f>IF(AND(OR(LEFT(TH!N5662,2)="15",LEFT(TH!O5662,2)="15"),LEFT(TH!O5662,3)&lt;&gt;"111",'152-CT'!$J$8=TH!F5662),"x","")</f>
        <v/>
      </c>
      <c r="AC5657" s="75" t="str">
        <f>IF(AND(OR(LEFT(TH!N5662,2)="15",LEFT(TH!O5662,2)="15"),TK!$E$7=TH!F5662),"x","")</f>
        <v/>
      </c>
      <c r="AD5657" s="75" t="str">
        <f>IF(AND(N5657="1521",MONTH(C5657)='BK-NL'!$M$11),"x","")</f>
        <v/>
      </c>
    </row>
    <row r="5658" spans="1:31" ht="16.5" customHeight="1">
      <c r="A5658" s="309" t="str">
        <f>IF(B5658&lt;&gt;"",IF(AND(B5658='IN-TC'!$S$4,OR(TH!N5641="1111",TH!O5641="1111")),TH!D5641,""),"")</f>
        <v/>
      </c>
      <c r="B5658" s="1159">
        <f t="shared" si="1362"/>
        <v>12</v>
      </c>
      <c r="C5658" s="292">
        <f t="shared" si="1361"/>
        <v>43096</v>
      </c>
      <c r="D5658" s="59"/>
      <c r="E5658" s="59">
        <v>43096</v>
      </c>
      <c r="F5658" s="62" t="s">
        <v>1029</v>
      </c>
      <c r="G5658" s="742" t="s">
        <v>2899</v>
      </c>
      <c r="H5658" s="67" t="s">
        <v>948</v>
      </c>
      <c r="I5658" s="375"/>
      <c r="J5658" s="382"/>
      <c r="K5658" s="375"/>
      <c r="L5658" s="381"/>
      <c r="M5658" s="60">
        <v>1581818</v>
      </c>
      <c r="N5658" s="61" t="s">
        <v>539</v>
      </c>
      <c r="O5658" s="61" t="s">
        <v>63</v>
      </c>
      <c r="P5658" s="75" t="str">
        <f>IF(AND('331-CT'!$E$7=TH!H4174,OR(N5658="331",O5658="331")),"x","")</f>
        <v/>
      </c>
      <c r="Q5658" s="75" t="str">
        <f>IF(AND(B5658='111'!$L$11,OR($N5658=$Q$7,$O5658=$Q$7)),"x","")</f>
        <v>x</v>
      </c>
      <c r="R5658" s="75" t="str">
        <f>IF(AND($N5658=$Q$7,$B5658&lt;'111'!$L$11),"x","")</f>
        <v/>
      </c>
      <c r="S5658" s="75" t="str">
        <f>IF(AND($O5658=$Q$7,$B5658&lt;'111'!$L$11),"x","")</f>
        <v/>
      </c>
      <c r="T5658" s="75" t="str">
        <f>IF(ISERROR(FIND('112'!$M$9,G5658,1)),"",IF((AND(FIND('112'!$M$9,G5658,1)&gt;=1,B5658='112'!$K$9,OR($N5658='112'!$I$6,$O5658='112'!$I$6))),"x",""))</f>
        <v/>
      </c>
      <c r="U5658" s="75" t="str">
        <f>IF(ISERROR(FIND('112'!$M$9,G5658,1)),"",IF((AND(LEFT(G5658,2)=LEFT('112'!$M$9,2),B5658&lt;'112'!$K$9,$N5658='112'!$I$6)),"x",""))</f>
        <v/>
      </c>
      <c r="V5658" s="75" t="str">
        <f>IF(ISERROR(FIND('112'!$M$9,G5658,1)),"",IF((AND(RIGHT(G5658,2)=RIGHT('112'!$M$9,2),B5658&lt;'112'!$K$9,$O5658='112'!$I$6)),"x",""))</f>
        <v/>
      </c>
      <c r="W5658" s="75" t="str">
        <f>IF(AND('341-CT'!$H$9=H5658,OR(LEFT(N5658,3)=$W$7,LEFT(O5658,3)=$W$7)),"x","")</f>
        <v/>
      </c>
      <c r="X5658" s="75" t="str">
        <f>IF(OR(TH!N4174=TH!$X$7,O5658=TH!$X$7),"x","")</f>
        <v/>
      </c>
      <c r="Y5658" s="75" t="str">
        <f>IF(AND(OR(N5658="131",O5658="131"),H5658='131-CT'!$H$9),"x","")</f>
        <v/>
      </c>
      <c r="Z5658" s="75"/>
      <c r="AA5658" s="75" t="str">
        <f>IF(AND(MONTH(E5658)='IN-NX'!$J$5,'IN-NX'!$D$7=D5658),"x","")</f>
        <v/>
      </c>
      <c r="AB5658" s="75" t="str">
        <f>IF(AND(OR(LEFT(TH!N4174,2)="15",LEFT(TH!O4174,2)="15"),LEFT(TH!O4174,3)&lt;&gt;"111",'152-CT'!$J$8=TH!F4174),"x","")</f>
        <v/>
      </c>
      <c r="AC5658" s="75" t="str">
        <f>IF(AND(OR(LEFT(TH!N4174,2)="15",LEFT(TH!O4174,2)="15"),TK!$E$7=TH!F4174),"x","")</f>
        <v/>
      </c>
      <c r="AD5658" s="75" t="str">
        <f>IF(AND(N5658="1521",MONTH(C5658)='BK-NL'!$M$11),"x","")</f>
        <v/>
      </c>
      <c r="AE5658" t="s">
        <v>2969</v>
      </c>
    </row>
    <row r="5659" spans="1:31" ht="16.5" customHeight="1">
      <c r="A5659" s="309" t="str">
        <f>IF(B5659&lt;&gt;"",IF(AND(B5659='IN-TC'!$S$4,OR(TH!N5642="1111",TH!O5642="1111")),TH!D5642,""),"")</f>
        <v/>
      </c>
      <c r="B5659" s="1159">
        <f t="shared" si="1362"/>
        <v>12</v>
      </c>
      <c r="C5659" s="292">
        <f t="shared" si="1361"/>
        <v>43096</v>
      </c>
      <c r="D5659" s="59"/>
      <c r="E5659" s="59">
        <v>43096</v>
      </c>
      <c r="F5659" s="62" t="s">
        <v>1030</v>
      </c>
      <c r="G5659" s="742" t="s">
        <v>2899</v>
      </c>
      <c r="H5659" s="67" t="s">
        <v>948</v>
      </c>
      <c r="I5659" s="375"/>
      <c r="J5659" s="382"/>
      <c r="K5659" s="375"/>
      <c r="L5659" s="381"/>
      <c r="M5659" s="60">
        <v>158182</v>
      </c>
      <c r="N5659" s="61" t="s">
        <v>9</v>
      </c>
      <c r="O5659" s="61" t="s">
        <v>63</v>
      </c>
      <c r="P5659" s="75" t="str">
        <f>IF(AND('331-CT'!$E$7=TH!H4175,OR(N5659="331",O5659="331")),"x","")</f>
        <v/>
      </c>
      <c r="Q5659" s="75" t="str">
        <f>IF(AND(B5659='111'!$L$11,OR($N5659=$Q$7,$O5659=$Q$7)),"x","")</f>
        <v>x</v>
      </c>
      <c r="R5659" s="75" t="str">
        <f>IF(AND($N5659=$Q$7,$B5659&lt;'111'!$L$11),"x","")</f>
        <v/>
      </c>
      <c r="S5659" s="75" t="str">
        <f>IF(AND($O5659=$Q$7,$B5659&lt;'111'!$L$11),"x","")</f>
        <v/>
      </c>
      <c r="T5659" s="75" t="str">
        <f>IF(ISERROR(FIND('112'!$M$9,G5659,1)),"",IF((AND(FIND('112'!$M$9,G5659,1)&gt;=1,B5659='112'!$K$9,OR($N5659='112'!$I$6,$O5659='112'!$I$6))),"x",""))</f>
        <v/>
      </c>
      <c r="U5659" s="75" t="str">
        <f>IF(ISERROR(FIND('112'!$M$9,G5659,1)),"",IF((AND(LEFT(G5659,2)=LEFT('112'!$M$9,2),B5659&lt;'112'!$K$9,$N5659='112'!$I$6)),"x",""))</f>
        <v/>
      </c>
      <c r="V5659" s="75" t="str">
        <f>IF(ISERROR(FIND('112'!$M$9,G5659,1)),"",IF((AND(RIGHT(G5659,2)=RIGHT('112'!$M$9,2),B5659&lt;'112'!$K$9,$O5659='112'!$I$6)),"x",""))</f>
        <v/>
      </c>
      <c r="W5659" s="75" t="str">
        <f>IF(AND('341-CT'!$H$9=H5659,OR(LEFT(N5659,3)=$W$7,LEFT(O5659,3)=$W$7)),"x","")</f>
        <v/>
      </c>
      <c r="X5659" s="75" t="str">
        <f>IF(OR(TH!N4175=TH!$X$7,O5659=TH!$X$7),"x","")</f>
        <v/>
      </c>
      <c r="Y5659" s="75" t="str">
        <f>IF(AND(OR(N5659="131",O5659="131"),H5659='131-CT'!$H$9),"x","")</f>
        <v/>
      </c>
      <c r="Z5659" s="75"/>
      <c r="AA5659" s="75" t="str">
        <f>IF(AND(MONTH(E5659)='IN-NX'!$J$5,'IN-NX'!$D$7=D5659),"x","")</f>
        <v/>
      </c>
      <c r="AB5659" s="75" t="str">
        <f>IF(AND(OR(LEFT(TH!N4175,2)="15",LEFT(TH!O4175,2)="15"),LEFT(TH!O4175,3)&lt;&gt;"111",'152-CT'!$J$8=TH!F4175),"x","")</f>
        <v/>
      </c>
      <c r="AC5659" s="75" t="str">
        <f>IF(AND(OR(LEFT(TH!N4175,2)="15",LEFT(TH!O4175,2)="15"),TK!$E$7=TH!F4175),"x","")</f>
        <v/>
      </c>
      <c r="AD5659" s="75" t="str">
        <f>IF(AND(N5659="1521",MONTH(C5659)='BK-NL'!$M$11),"x","")</f>
        <v/>
      </c>
      <c r="AE5659" t="s">
        <v>2969</v>
      </c>
    </row>
    <row r="5660" spans="1:31" ht="16.5" customHeight="1">
      <c r="A5660" s="309" t="str">
        <f>IF(B5660&lt;&gt;"",IF(AND(B5660='IN-TC'!$S$4,OR(TH!N5643="1111",TH!O5643="1111")),TH!D5643,""),"")</f>
        <v/>
      </c>
      <c r="B5660" s="1159">
        <f t="shared" si="1362"/>
        <v>12</v>
      </c>
      <c r="C5660" s="292">
        <f t="shared" si="1361"/>
        <v>43096</v>
      </c>
      <c r="D5660" s="59" t="s">
        <v>902</v>
      </c>
      <c r="E5660" s="59">
        <v>43096</v>
      </c>
      <c r="F5660" s="62" t="s">
        <v>1212</v>
      </c>
      <c r="G5660" s="62" t="s">
        <v>586</v>
      </c>
      <c r="H5660" s="67" t="s">
        <v>982</v>
      </c>
      <c r="I5660" s="373"/>
      <c r="J5660" s="382"/>
      <c r="K5660" s="373"/>
      <c r="L5660" s="379"/>
      <c r="M5660" s="60">
        <v>50000</v>
      </c>
      <c r="N5660" s="61" t="s">
        <v>101</v>
      </c>
      <c r="O5660" s="295" t="s">
        <v>26</v>
      </c>
      <c r="P5660" s="75" t="str">
        <f>IF(AND('331-CT'!$E$7=TH!H4432,OR(N5660="331",O5660="331")),"x","")</f>
        <v/>
      </c>
      <c r="Q5660" s="75" t="str">
        <f>IF(AND(B5660='111'!$L$11,OR($N5660=$Q$7,$O5660=$Q$7)),"x","")</f>
        <v/>
      </c>
      <c r="R5660" s="75" t="str">
        <f>IF(AND($N5660=$Q$7,$B5660&lt;'111'!$L$11),"x","")</f>
        <v/>
      </c>
      <c r="S5660" s="75" t="str">
        <f>IF(AND($O5660=$Q$7,$B5660&lt;'111'!$L$11),"x","")</f>
        <v/>
      </c>
      <c r="T5660" s="75" t="str">
        <f>IF(ISERROR(FIND('112'!$M$9,G5660,1)),"",IF((AND(FIND('112'!$M$9,G5660,1)&gt;=1,B5660='112'!$K$9,OR($N5660='112'!$I$6,$O5660='112'!$I$6))),"x",""))</f>
        <v>x</v>
      </c>
      <c r="U5660" s="75" t="str">
        <f>IF(ISERROR(FIND('112'!$M$9,G5660,1)),"",IF((AND(LEFT(G5660,2)=LEFT('112'!$M$9,2),B5660&lt;'112'!$K$9,$N5660='112'!$I$6)),"x",""))</f>
        <v/>
      </c>
      <c r="V5660" s="75" t="str">
        <f>IF(ISERROR(FIND('112'!$M$9,G5660,1)),"",IF((AND(RIGHT(G5660,2)=RIGHT('112'!$M$9,2),B5660&lt;'112'!$K$9,$O5660='112'!$I$6)),"x",""))</f>
        <v/>
      </c>
      <c r="W5660" s="75" t="str">
        <f>IF(AND('341-CT'!$H$9=H5660,OR(LEFT(N5660,3)=$W$7,LEFT(O5660,3)=$W$7)),"x","")</f>
        <v/>
      </c>
      <c r="X5660" s="75" t="str">
        <f>IF(OR(TH!N4432=TH!$X$7,O5660=TH!$X$7),"x","")</f>
        <v/>
      </c>
      <c r="Y5660" s="75" t="str">
        <f>IF(AND(OR(N5660="131",O5660="131"),H5660='131-CT'!$H$9),"x","")</f>
        <v/>
      </c>
      <c r="Z5660" s="75"/>
      <c r="AA5660" s="75" t="str">
        <f>IF(AND(MONTH(E5660)='IN-NX'!$J$5,'IN-NX'!$D$7=D5660),"x","")</f>
        <v/>
      </c>
      <c r="AB5660" s="75" t="str">
        <f>IF(AND(OR(LEFT(TH!N4432,2)="15",LEFT(TH!O4432,2)="15"),LEFT(TH!O4432,3)&lt;&gt;"111",'152-CT'!$J$8=TH!F4432),"x","")</f>
        <v/>
      </c>
      <c r="AC5660" s="75" t="str">
        <f>IF(AND(OR(LEFT(TH!N4432,2)="15",LEFT(TH!O4432,2)="15"),TK!$E$7=TH!F4432),"x","")</f>
        <v/>
      </c>
      <c r="AD5660" s="75" t="str">
        <f>IF(AND(N5660="1521",MONTH(C5660)='BK-NL'!$M$11),"x","")</f>
        <v/>
      </c>
      <c r="AE5660">
        <v>12</v>
      </c>
    </row>
    <row r="5661" spans="1:31" ht="16.5" customHeight="1">
      <c r="A5661" s="309" t="str">
        <f>IF(B5661&lt;&gt;"",IF(AND(B5661='IN-TC'!$S$4,OR(TH!N5644="1111",TH!O5644="1111")),TH!D5644,""),"")</f>
        <v/>
      </c>
      <c r="B5661" s="1159">
        <f t="shared" si="1362"/>
        <v>12</v>
      </c>
      <c r="C5661" s="292">
        <f t="shared" si="1361"/>
        <v>43096</v>
      </c>
      <c r="D5661" s="59" t="s">
        <v>902</v>
      </c>
      <c r="E5661" s="59">
        <v>43096</v>
      </c>
      <c r="F5661" s="62" t="s">
        <v>1213</v>
      </c>
      <c r="G5661" s="62" t="s">
        <v>586</v>
      </c>
      <c r="H5661" s="67" t="s">
        <v>982</v>
      </c>
      <c r="I5661" s="373"/>
      <c r="J5661" s="382"/>
      <c r="K5661" s="373"/>
      <c r="L5661" s="379"/>
      <c r="M5661" s="60">
        <v>5000</v>
      </c>
      <c r="N5661" s="61" t="s">
        <v>9</v>
      </c>
      <c r="O5661" s="295" t="s">
        <v>26</v>
      </c>
      <c r="P5661" s="75" t="str">
        <f>IF(AND('331-CT'!$E$7=TH!H4433,OR(N5661="331",O5661="331")),"x","")</f>
        <v/>
      </c>
      <c r="Q5661" s="75" t="str">
        <f>IF(AND(B5661='111'!$L$11,OR($N5661=$Q$7,$O5661=$Q$7)),"x","")</f>
        <v/>
      </c>
      <c r="R5661" s="75" t="str">
        <f>IF(AND($N5661=$Q$7,$B5661&lt;'111'!$L$11),"x","")</f>
        <v/>
      </c>
      <c r="S5661" s="75" t="str">
        <f>IF(AND($O5661=$Q$7,$B5661&lt;'111'!$L$11),"x","")</f>
        <v/>
      </c>
      <c r="T5661" s="75" t="str">
        <f>IF(ISERROR(FIND('112'!$M$9,G5661,1)),"",IF((AND(FIND('112'!$M$9,G5661,1)&gt;=1,B5661='112'!$K$9,OR($N5661='112'!$I$6,$O5661='112'!$I$6))),"x",""))</f>
        <v>x</v>
      </c>
      <c r="U5661" s="75" t="str">
        <f>IF(ISERROR(FIND('112'!$M$9,G5661,1)),"",IF((AND(LEFT(G5661,2)=LEFT('112'!$M$9,2),B5661&lt;'112'!$K$9,$N5661='112'!$I$6)),"x",""))</f>
        <v/>
      </c>
      <c r="V5661" s="75" t="str">
        <f>IF(ISERROR(FIND('112'!$M$9,G5661,1)),"",IF((AND(RIGHT(G5661,2)=RIGHT('112'!$M$9,2),B5661&lt;'112'!$K$9,$O5661='112'!$I$6)),"x",""))</f>
        <v/>
      </c>
      <c r="W5661" s="75" t="str">
        <f>IF(AND('341-CT'!$H$9=H5661,OR(LEFT(N5661,3)=$W$7,LEFT(O5661,3)=$W$7)),"x","")</f>
        <v/>
      </c>
      <c r="X5661" s="75" t="str">
        <f>IF(OR(TH!N4433=TH!$X$7,O5661=TH!$X$7),"x","")</f>
        <v/>
      </c>
      <c r="Y5661" s="75" t="str">
        <f>IF(AND(OR(N5661="131",O5661="131"),H5661='131-CT'!$H$9),"x","")</f>
        <v/>
      </c>
      <c r="Z5661" s="75"/>
      <c r="AA5661" s="75" t="str">
        <f>IF(AND(MONTH(E5661)='IN-NX'!$J$5,'IN-NX'!$D$7=D5661),"x","")</f>
        <v/>
      </c>
      <c r="AB5661" s="75" t="str">
        <f>IF(AND(OR(LEFT(TH!N4433,2)="15",LEFT(TH!O4433,2)="15"),LEFT(TH!O4433,3)&lt;&gt;"111",'152-CT'!$J$8=TH!F4433),"x","")</f>
        <v/>
      </c>
      <c r="AC5661" s="75" t="str">
        <f>IF(AND(OR(LEFT(TH!N4433,2)="15",LEFT(TH!O4433,2)="15"),TK!$E$7=TH!F4433),"x","")</f>
        <v/>
      </c>
      <c r="AD5661" s="75" t="str">
        <f>IF(AND(N5661="1521",MONTH(C5661)='BK-NL'!$M$11),"x","")</f>
        <v/>
      </c>
      <c r="AE5661">
        <v>12</v>
      </c>
    </row>
    <row r="5662" spans="1:31" ht="16.5" customHeight="1">
      <c r="A5662" s="309" t="str">
        <f>IF(B5662&lt;&gt;"",IF(AND(B5662='IN-TC'!$S$4,OR(TH!N5645="1111",TH!O5645="1111")),TH!D5645,""),"")</f>
        <v/>
      </c>
      <c r="B5662" s="1159">
        <f t="shared" si="1362"/>
        <v>12</v>
      </c>
      <c r="C5662" s="292">
        <f t="shared" si="1361"/>
        <v>43096</v>
      </c>
      <c r="D5662" s="59" t="s">
        <v>902</v>
      </c>
      <c r="E5662" s="59">
        <v>43096</v>
      </c>
      <c r="F5662" s="62" t="s">
        <v>1212</v>
      </c>
      <c r="G5662" s="62" t="s">
        <v>586</v>
      </c>
      <c r="H5662" s="67" t="s">
        <v>982</v>
      </c>
      <c r="I5662" s="373"/>
      <c r="J5662" s="382"/>
      <c r="K5662" s="373"/>
      <c r="L5662" s="379"/>
      <c r="M5662" s="60">
        <v>50000</v>
      </c>
      <c r="N5662" s="61" t="s">
        <v>101</v>
      </c>
      <c r="O5662" s="295" t="s">
        <v>26</v>
      </c>
      <c r="P5662" s="75" t="str">
        <f>IF(AND('331-CT'!$E$7=TH!H4434,OR(N5662="331",O5662="331")),"x","")</f>
        <v/>
      </c>
      <c r="Q5662" s="75" t="str">
        <f>IF(AND(B5662='111'!$L$11,OR($N5662=$Q$7,$O5662=$Q$7)),"x","")</f>
        <v/>
      </c>
      <c r="R5662" s="75" t="str">
        <f>IF(AND($N5662=$Q$7,$B5662&lt;'111'!$L$11),"x","")</f>
        <v/>
      </c>
      <c r="S5662" s="75" t="str">
        <f>IF(AND($O5662=$Q$7,$B5662&lt;'111'!$L$11),"x","")</f>
        <v/>
      </c>
      <c r="T5662" s="75" t="str">
        <f>IF(ISERROR(FIND('112'!$M$9,G5662,1)),"",IF((AND(FIND('112'!$M$9,G5662,1)&gt;=1,B5662='112'!$K$9,OR($N5662='112'!$I$6,$O5662='112'!$I$6))),"x",""))</f>
        <v>x</v>
      </c>
      <c r="U5662" s="75" t="str">
        <f>IF(ISERROR(FIND('112'!$M$9,G5662,1)),"",IF((AND(LEFT(G5662,2)=LEFT('112'!$M$9,2),B5662&lt;'112'!$K$9,$N5662='112'!$I$6)),"x",""))</f>
        <v/>
      </c>
      <c r="V5662" s="75" t="str">
        <f>IF(ISERROR(FIND('112'!$M$9,G5662,1)),"",IF((AND(RIGHT(G5662,2)=RIGHT('112'!$M$9,2),B5662&lt;'112'!$K$9,$O5662='112'!$I$6)),"x",""))</f>
        <v/>
      </c>
      <c r="W5662" s="75" t="str">
        <f>IF(AND('341-CT'!$H$9=H5662,OR(LEFT(N5662,3)=$W$7,LEFT(O5662,3)=$W$7)),"x","")</f>
        <v/>
      </c>
      <c r="X5662" s="75" t="str">
        <f>IF(OR(TH!N4434=TH!$X$7,O5662=TH!$X$7),"x","")</f>
        <v/>
      </c>
      <c r="Y5662" s="75" t="str">
        <f>IF(AND(OR(N5662="131",O5662="131"),H5662='131-CT'!$H$9),"x","")</f>
        <v/>
      </c>
      <c r="Z5662" s="75"/>
      <c r="AA5662" s="75" t="str">
        <f>IF(AND(MONTH(E5662)='IN-NX'!$J$5,'IN-NX'!$D$7=D5662),"x","")</f>
        <v/>
      </c>
      <c r="AB5662" s="75" t="str">
        <f>IF(AND(OR(LEFT(TH!N4434,2)="15",LEFT(TH!O4434,2)="15"),LEFT(TH!O4434,3)&lt;&gt;"111",'152-CT'!$J$8=TH!F4434),"x","")</f>
        <v/>
      </c>
      <c r="AC5662" s="75" t="str">
        <f>IF(AND(OR(LEFT(TH!N4434,2)="15",LEFT(TH!O4434,2)="15"),TK!$E$7=TH!F4434),"x","")</f>
        <v/>
      </c>
      <c r="AD5662" s="75" t="str">
        <f>IF(AND(N5662="1521",MONTH(C5662)='BK-NL'!$M$11),"x","")</f>
        <v/>
      </c>
      <c r="AE5662">
        <v>12</v>
      </c>
    </row>
    <row r="5663" spans="1:31" ht="16.5" customHeight="1">
      <c r="A5663" s="309" t="str">
        <f>IF(B5663&lt;&gt;"",IF(AND(B5663='IN-TC'!$S$4,OR(TH!N5646="1111",TH!O5646="1111")),TH!D5646,""),"")</f>
        <v/>
      </c>
      <c r="B5663" s="1159">
        <f t="shared" si="1362"/>
        <v>12</v>
      </c>
      <c r="C5663" s="292">
        <f t="shared" si="1361"/>
        <v>43096</v>
      </c>
      <c r="D5663" s="59" t="s">
        <v>902</v>
      </c>
      <c r="E5663" s="59">
        <v>43096</v>
      </c>
      <c r="F5663" s="62" t="s">
        <v>1213</v>
      </c>
      <c r="G5663" s="62" t="s">
        <v>586</v>
      </c>
      <c r="H5663" s="67" t="s">
        <v>982</v>
      </c>
      <c r="I5663" s="373"/>
      <c r="J5663" s="382"/>
      <c r="K5663" s="373"/>
      <c r="L5663" s="379"/>
      <c r="M5663" s="60">
        <v>5000</v>
      </c>
      <c r="N5663" s="61" t="s">
        <v>9</v>
      </c>
      <c r="O5663" s="295" t="s">
        <v>26</v>
      </c>
      <c r="P5663" s="75" t="str">
        <f>IF(AND('331-CT'!$E$7=TH!H4435,OR(N5663="331",O5663="331")),"x","")</f>
        <v/>
      </c>
      <c r="Q5663" s="75" t="str">
        <f>IF(AND(B5663='111'!$L$11,OR($N5663=$Q$7,$O5663=$Q$7)),"x","")</f>
        <v/>
      </c>
      <c r="R5663" s="75" t="str">
        <f>IF(AND($N5663=$Q$7,$B5663&lt;'111'!$L$11),"x","")</f>
        <v/>
      </c>
      <c r="S5663" s="75" t="str">
        <f>IF(AND($O5663=$Q$7,$B5663&lt;'111'!$L$11),"x","")</f>
        <v/>
      </c>
      <c r="T5663" s="75" t="str">
        <f>IF(ISERROR(FIND('112'!$M$9,G5663,1)),"",IF((AND(FIND('112'!$M$9,G5663,1)&gt;=1,B5663='112'!$K$9,OR($N5663='112'!$I$6,$O5663='112'!$I$6))),"x",""))</f>
        <v>x</v>
      </c>
      <c r="U5663" s="75" t="str">
        <f>IF(ISERROR(FIND('112'!$M$9,G5663,1)),"",IF((AND(LEFT(G5663,2)=LEFT('112'!$M$9,2),B5663&lt;'112'!$K$9,$N5663='112'!$I$6)),"x",""))</f>
        <v/>
      </c>
      <c r="V5663" s="75" t="str">
        <f>IF(ISERROR(FIND('112'!$M$9,G5663,1)),"",IF((AND(RIGHT(G5663,2)=RIGHT('112'!$M$9,2),B5663&lt;'112'!$K$9,$O5663='112'!$I$6)),"x",""))</f>
        <v/>
      </c>
      <c r="W5663" s="75" t="str">
        <f>IF(AND('341-CT'!$H$9=H5663,OR(LEFT(N5663,3)=$W$7,LEFT(O5663,3)=$W$7)),"x","")</f>
        <v/>
      </c>
      <c r="X5663" s="75" t="str">
        <f>IF(OR(TH!N4435=TH!$X$7,O5663=TH!$X$7),"x","")</f>
        <v/>
      </c>
      <c r="Y5663" s="75" t="str">
        <f>IF(AND(OR(N5663="131",O5663="131"),H5663='131-CT'!$H$9),"x","")</f>
        <v/>
      </c>
      <c r="Z5663" s="75"/>
      <c r="AA5663" s="75" t="str">
        <f>IF(AND(MONTH(E5663)='IN-NX'!$J$5,'IN-NX'!$D$7=D5663),"x","")</f>
        <v/>
      </c>
      <c r="AB5663" s="75" t="str">
        <f>IF(AND(OR(LEFT(TH!N4435,2)="15",LEFT(TH!O4435,2)="15"),LEFT(TH!O4435,3)&lt;&gt;"111",'152-CT'!$J$8=TH!F4435),"x","")</f>
        <v/>
      </c>
      <c r="AC5663" s="75" t="str">
        <f>IF(AND(OR(LEFT(TH!N4435,2)="15",LEFT(TH!O4435,2)="15"),TK!$E$7=TH!F4435),"x","")</f>
        <v/>
      </c>
      <c r="AD5663" s="75" t="str">
        <f>IF(AND(N5663="1521",MONTH(C5663)='BK-NL'!$M$11),"x","")</f>
        <v/>
      </c>
      <c r="AE5663">
        <v>12</v>
      </c>
    </row>
    <row r="5664" spans="1:31" ht="16.5" customHeight="1">
      <c r="A5664" s="309" t="str">
        <f>IF(B5664&lt;&gt;"",IF(AND(B5664='IN-TC'!$S$4,OR(TH!N5647="1111",TH!O5647="1111")),TH!D5647,""),"")</f>
        <v/>
      </c>
      <c r="B5664" s="1159">
        <f t="shared" si="1362"/>
        <v>12</v>
      </c>
      <c r="C5664" s="292">
        <f t="shared" si="1361"/>
        <v>43096</v>
      </c>
      <c r="D5664" s="59" t="s">
        <v>902</v>
      </c>
      <c r="E5664" s="59">
        <v>43096</v>
      </c>
      <c r="F5664" s="62" t="s">
        <v>1212</v>
      </c>
      <c r="G5664" s="62" t="s">
        <v>586</v>
      </c>
      <c r="H5664" s="67" t="s">
        <v>982</v>
      </c>
      <c r="I5664" s="373"/>
      <c r="J5664" s="382"/>
      <c r="K5664" s="373"/>
      <c r="L5664" s="379"/>
      <c r="M5664" s="60">
        <v>50000</v>
      </c>
      <c r="N5664" s="61" t="s">
        <v>101</v>
      </c>
      <c r="O5664" s="295" t="s">
        <v>26</v>
      </c>
      <c r="P5664" s="75" t="str">
        <f>IF(AND('331-CT'!$E$7=TH!H4436,OR(N5664="331",O5664="331")),"x","")</f>
        <v/>
      </c>
      <c r="Q5664" s="75" t="str">
        <f>IF(AND(B5664='111'!$L$11,OR($N5664=$Q$7,$O5664=$Q$7)),"x","")</f>
        <v/>
      </c>
      <c r="R5664" s="75" t="str">
        <f>IF(AND($N5664=$Q$7,$B5664&lt;'111'!$L$11),"x","")</f>
        <v/>
      </c>
      <c r="S5664" s="75" t="str">
        <f>IF(AND($O5664=$Q$7,$B5664&lt;'111'!$L$11),"x","")</f>
        <v/>
      </c>
      <c r="T5664" s="75" t="str">
        <f>IF(ISERROR(FIND('112'!$M$9,G5664,1)),"",IF((AND(FIND('112'!$M$9,G5664,1)&gt;=1,B5664='112'!$K$9,OR($N5664='112'!$I$6,$O5664='112'!$I$6))),"x",""))</f>
        <v>x</v>
      </c>
      <c r="U5664" s="75" t="str">
        <f>IF(ISERROR(FIND('112'!$M$9,G5664,1)),"",IF((AND(LEFT(G5664,2)=LEFT('112'!$M$9,2),B5664&lt;'112'!$K$9,$N5664='112'!$I$6)),"x",""))</f>
        <v/>
      </c>
      <c r="V5664" s="75" t="str">
        <f>IF(ISERROR(FIND('112'!$M$9,G5664,1)),"",IF((AND(RIGHT(G5664,2)=RIGHT('112'!$M$9,2),B5664&lt;'112'!$K$9,$O5664='112'!$I$6)),"x",""))</f>
        <v/>
      </c>
      <c r="W5664" s="75" t="str">
        <f>IF(AND('341-CT'!$H$9=H5664,OR(LEFT(N5664,3)=$W$7,LEFT(O5664,3)=$W$7)),"x","")</f>
        <v/>
      </c>
      <c r="X5664" s="75" t="str">
        <f>IF(OR(TH!N4436=TH!$X$7,O5664=TH!$X$7),"x","")</f>
        <v/>
      </c>
      <c r="Y5664" s="75" t="str">
        <f>IF(AND(OR(N5664="131",O5664="131"),H5664='131-CT'!$H$9),"x","")</f>
        <v/>
      </c>
      <c r="Z5664" s="75"/>
      <c r="AA5664" s="75" t="str">
        <f>IF(AND(MONTH(E5664)='IN-NX'!$J$5,'IN-NX'!$D$7=D5664),"x","")</f>
        <v/>
      </c>
      <c r="AB5664" s="75" t="str">
        <f>IF(AND(OR(LEFT(TH!N4436,2)="15",LEFT(TH!O4436,2)="15"),LEFT(TH!O4436,3)&lt;&gt;"111",'152-CT'!$J$8=TH!F4436),"x","")</f>
        <v/>
      </c>
      <c r="AC5664" s="75" t="str">
        <f>IF(AND(OR(LEFT(TH!N4436,2)="15",LEFT(TH!O4436,2)="15"),TK!$E$7=TH!F4436),"x","")</f>
        <v/>
      </c>
      <c r="AD5664" s="75" t="str">
        <f>IF(AND(N5664="1521",MONTH(C5664)='BK-NL'!$M$11),"x","")</f>
        <v/>
      </c>
      <c r="AE5664">
        <v>12</v>
      </c>
    </row>
    <row r="5665" spans="1:33" ht="16.5" customHeight="1">
      <c r="A5665" s="309" t="str">
        <f>IF(B5665&lt;&gt;"",IF(AND(B5665='IN-TC'!$S$4,OR(TH!N5648="1111",TH!O5648="1111")),TH!D5648,""),"")</f>
        <v/>
      </c>
      <c r="B5665" s="1159">
        <f t="shared" si="1362"/>
        <v>12</v>
      </c>
      <c r="C5665" s="292">
        <f t="shared" si="1361"/>
        <v>43096</v>
      </c>
      <c r="D5665" s="59" t="s">
        <v>902</v>
      </c>
      <c r="E5665" s="59">
        <v>43096</v>
      </c>
      <c r="F5665" s="62" t="s">
        <v>1213</v>
      </c>
      <c r="G5665" s="62" t="s">
        <v>586</v>
      </c>
      <c r="H5665" s="67" t="s">
        <v>982</v>
      </c>
      <c r="I5665" s="373"/>
      <c r="J5665" s="382"/>
      <c r="K5665" s="373"/>
      <c r="L5665" s="379"/>
      <c r="M5665" s="60">
        <v>5000</v>
      </c>
      <c r="N5665" s="61" t="s">
        <v>9</v>
      </c>
      <c r="O5665" s="295" t="s">
        <v>26</v>
      </c>
      <c r="P5665" s="75" t="str">
        <f>IF(AND('331-CT'!$E$7=TH!H4437,OR(N5665="331",O5665="331")),"x","")</f>
        <v/>
      </c>
      <c r="Q5665" s="75" t="str">
        <f>IF(AND(B5665='111'!$L$11,OR($N5665=$Q$7,$O5665=$Q$7)),"x","")</f>
        <v/>
      </c>
      <c r="R5665" s="75" t="str">
        <f>IF(AND($N5665=$Q$7,$B5665&lt;'111'!$L$11),"x","")</f>
        <v/>
      </c>
      <c r="S5665" s="75" t="str">
        <f>IF(AND($O5665=$Q$7,$B5665&lt;'111'!$L$11),"x","")</f>
        <v/>
      </c>
      <c r="T5665" s="75" t="str">
        <f>IF(ISERROR(FIND('112'!$M$9,G5665,1)),"",IF((AND(FIND('112'!$M$9,G5665,1)&gt;=1,B5665='112'!$K$9,OR($N5665='112'!$I$6,$O5665='112'!$I$6))),"x",""))</f>
        <v>x</v>
      </c>
      <c r="U5665" s="75" t="str">
        <f>IF(ISERROR(FIND('112'!$M$9,G5665,1)),"",IF((AND(LEFT(G5665,2)=LEFT('112'!$M$9,2),B5665&lt;'112'!$K$9,$N5665='112'!$I$6)),"x",""))</f>
        <v/>
      </c>
      <c r="V5665" s="75" t="str">
        <f>IF(ISERROR(FIND('112'!$M$9,G5665,1)),"",IF((AND(RIGHT(G5665,2)=RIGHT('112'!$M$9,2),B5665&lt;'112'!$K$9,$O5665='112'!$I$6)),"x",""))</f>
        <v/>
      </c>
      <c r="W5665" s="75" t="str">
        <f>IF(AND('341-CT'!$H$9=H5665,OR(LEFT(N5665,3)=$W$7,LEFT(O5665,3)=$W$7)),"x","")</f>
        <v/>
      </c>
      <c r="X5665" s="75" t="str">
        <f>IF(OR(TH!N4437=TH!$X$7,O5665=TH!$X$7),"x","")</f>
        <v/>
      </c>
      <c r="Y5665" s="75" t="str">
        <f>IF(AND(OR(N5665="131",O5665="131"),H5665='131-CT'!$H$9),"x","")</f>
        <v/>
      </c>
      <c r="Z5665" s="75"/>
      <c r="AA5665" s="75" t="str">
        <f>IF(AND(MONTH(E5665)='IN-NX'!$J$5,'IN-NX'!$D$7=D5665),"x","")</f>
        <v/>
      </c>
      <c r="AB5665" s="75" t="str">
        <f>IF(AND(OR(LEFT(TH!N4437,2)="15",LEFT(TH!O4437,2)="15"),LEFT(TH!O4437,3)&lt;&gt;"111",'152-CT'!$J$8=TH!F4437),"x","")</f>
        <v/>
      </c>
      <c r="AC5665" s="75" t="str">
        <f>IF(AND(OR(LEFT(TH!N4437,2)="15",LEFT(TH!O4437,2)="15"),TK!$E$7=TH!F4437),"x","")</f>
        <v/>
      </c>
      <c r="AD5665" s="75" t="str">
        <f>IF(AND(N5665="1521",MONTH(C5665)='BK-NL'!$M$11),"x","")</f>
        <v/>
      </c>
      <c r="AE5665">
        <v>12</v>
      </c>
    </row>
    <row r="5666" spans="1:33" ht="16.5" customHeight="1">
      <c r="A5666" s="309" t="str">
        <f>IF(B5666&lt;&gt;"",IF(AND(B5666='IN-TC'!$S$4,OR(TH!N5649="1111",TH!O5649="1111")),TH!D5649,""),"")</f>
        <v/>
      </c>
      <c r="B5666" s="1159">
        <f t="shared" si="1362"/>
        <v>12</v>
      </c>
      <c r="C5666" s="292">
        <f t="shared" si="1361"/>
        <v>43096</v>
      </c>
      <c r="D5666" s="59" t="s">
        <v>902</v>
      </c>
      <c r="E5666" s="59">
        <v>43096</v>
      </c>
      <c r="F5666" s="62" t="s">
        <v>1212</v>
      </c>
      <c r="G5666" s="62" t="s">
        <v>586</v>
      </c>
      <c r="H5666" s="67" t="s">
        <v>982</v>
      </c>
      <c r="I5666" s="373"/>
      <c r="J5666" s="382"/>
      <c r="K5666" s="373"/>
      <c r="L5666" s="379"/>
      <c r="M5666" s="60">
        <v>50000</v>
      </c>
      <c r="N5666" s="61" t="s">
        <v>101</v>
      </c>
      <c r="O5666" s="295" t="s">
        <v>26</v>
      </c>
      <c r="P5666" s="75" t="str">
        <f>IF(AND('331-CT'!$E$7=TH!H4438,OR(N5666="331",O5666="331")),"x","")</f>
        <v/>
      </c>
      <c r="Q5666" s="75" t="str">
        <f>IF(AND(B5666='111'!$L$11,OR($N5666=$Q$7,$O5666=$Q$7)),"x","")</f>
        <v/>
      </c>
      <c r="R5666" s="75" t="str">
        <f>IF(AND($N5666=$Q$7,$B5666&lt;'111'!$L$11),"x","")</f>
        <v/>
      </c>
      <c r="S5666" s="75" t="str">
        <f>IF(AND($O5666=$Q$7,$B5666&lt;'111'!$L$11),"x","")</f>
        <v/>
      </c>
      <c r="T5666" s="75" t="str">
        <f>IF(ISERROR(FIND('112'!$M$9,G5666,1)),"",IF((AND(FIND('112'!$M$9,G5666,1)&gt;=1,B5666='112'!$K$9,OR($N5666='112'!$I$6,$O5666='112'!$I$6))),"x",""))</f>
        <v>x</v>
      </c>
      <c r="U5666" s="75" t="str">
        <f>IF(ISERROR(FIND('112'!$M$9,G5666,1)),"",IF((AND(LEFT(G5666,2)=LEFT('112'!$M$9,2),B5666&lt;'112'!$K$9,$N5666='112'!$I$6)),"x",""))</f>
        <v/>
      </c>
      <c r="V5666" s="75" t="str">
        <f>IF(ISERROR(FIND('112'!$M$9,G5666,1)),"",IF((AND(RIGHT(G5666,2)=RIGHT('112'!$M$9,2),B5666&lt;'112'!$K$9,$O5666='112'!$I$6)),"x",""))</f>
        <v/>
      </c>
      <c r="W5666" s="75" t="str">
        <f>IF(AND('341-CT'!$H$9=H5666,OR(LEFT(N5666,3)=$W$7,LEFT(O5666,3)=$W$7)),"x","")</f>
        <v/>
      </c>
      <c r="X5666" s="75" t="str">
        <f>IF(OR(TH!N4438=TH!$X$7,O5666=TH!$X$7),"x","")</f>
        <v/>
      </c>
      <c r="Y5666" s="75" t="str">
        <f>IF(AND(OR(N5666="131",O5666="131"),H5666='131-CT'!$H$9),"x","")</f>
        <v/>
      </c>
      <c r="Z5666" s="75"/>
      <c r="AA5666" s="75" t="str">
        <f>IF(AND(MONTH(E5666)='IN-NX'!$J$5,'IN-NX'!$D$7=D5666),"x","")</f>
        <v/>
      </c>
      <c r="AB5666" s="75" t="str">
        <f>IF(AND(OR(LEFT(TH!N4438,2)="15",LEFT(TH!O4438,2)="15"),LEFT(TH!O4438,3)&lt;&gt;"111",'152-CT'!$J$8=TH!F4438),"x","")</f>
        <v/>
      </c>
      <c r="AC5666" s="75" t="str">
        <f>IF(AND(OR(LEFT(TH!N4438,2)="15",LEFT(TH!O4438,2)="15"),TK!$E$7=TH!F4438),"x","")</f>
        <v/>
      </c>
      <c r="AD5666" s="75" t="str">
        <f>IF(AND(N5666="1521",MONTH(C5666)='BK-NL'!$M$11),"x","")</f>
        <v/>
      </c>
      <c r="AE5666">
        <v>12</v>
      </c>
    </row>
    <row r="5667" spans="1:33" ht="16.5" customHeight="1">
      <c r="A5667" s="309" t="str">
        <f>IF(B5667&lt;&gt;"",IF(AND(B5667='IN-TC'!$S$4,OR(TH!N5650="1111",TH!O5650="1111")),TH!D5650,""),"")</f>
        <v/>
      </c>
      <c r="B5667" s="1159">
        <f t="shared" si="1362"/>
        <v>12</v>
      </c>
      <c r="C5667" s="292">
        <f t="shared" si="1361"/>
        <v>43096</v>
      </c>
      <c r="D5667" s="59" t="s">
        <v>902</v>
      </c>
      <c r="E5667" s="59">
        <v>43096</v>
      </c>
      <c r="F5667" s="62" t="s">
        <v>1213</v>
      </c>
      <c r="G5667" s="62" t="s">
        <v>586</v>
      </c>
      <c r="H5667" s="67" t="s">
        <v>982</v>
      </c>
      <c r="I5667" s="373"/>
      <c r="J5667" s="382"/>
      <c r="K5667" s="373"/>
      <c r="L5667" s="379"/>
      <c r="M5667" s="60">
        <v>5000</v>
      </c>
      <c r="N5667" s="61" t="s">
        <v>9</v>
      </c>
      <c r="O5667" s="295" t="s">
        <v>26</v>
      </c>
      <c r="P5667" s="75" t="str">
        <f>IF(AND('331-CT'!$E$7=TH!H4439,OR(N5667="331",O5667="331")),"x","")</f>
        <v/>
      </c>
      <c r="Q5667" s="75" t="str">
        <f>IF(AND(B5667='111'!$L$11,OR($N5667=$Q$7,$O5667=$Q$7)),"x","")</f>
        <v/>
      </c>
      <c r="R5667" s="75" t="str">
        <f>IF(AND($N5667=$Q$7,$B5667&lt;'111'!$L$11),"x","")</f>
        <v/>
      </c>
      <c r="S5667" s="75" t="str">
        <f>IF(AND($O5667=$Q$7,$B5667&lt;'111'!$L$11),"x","")</f>
        <v/>
      </c>
      <c r="T5667" s="75" t="str">
        <f>IF(ISERROR(FIND('112'!$M$9,G5667,1)),"",IF((AND(FIND('112'!$M$9,G5667,1)&gt;=1,B5667='112'!$K$9,OR($N5667='112'!$I$6,$O5667='112'!$I$6))),"x",""))</f>
        <v>x</v>
      </c>
      <c r="U5667" s="75" t="str">
        <f>IF(ISERROR(FIND('112'!$M$9,G5667,1)),"",IF((AND(LEFT(G5667,2)=LEFT('112'!$M$9,2),B5667&lt;'112'!$K$9,$N5667='112'!$I$6)),"x",""))</f>
        <v/>
      </c>
      <c r="V5667" s="75" t="str">
        <f>IF(ISERROR(FIND('112'!$M$9,G5667,1)),"",IF((AND(RIGHT(G5667,2)=RIGHT('112'!$M$9,2),B5667&lt;'112'!$K$9,$O5667='112'!$I$6)),"x",""))</f>
        <v/>
      </c>
      <c r="W5667" s="75" t="str">
        <f>IF(AND('341-CT'!$H$9=H5667,OR(LEFT(N5667,3)=$W$7,LEFT(O5667,3)=$W$7)),"x","")</f>
        <v/>
      </c>
      <c r="X5667" s="75" t="str">
        <f>IF(OR(TH!N4439=TH!$X$7,O5667=TH!$X$7),"x","")</f>
        <v/>
      </c>
      <c r="Y5667" s="75" t="str">
        <f>IF(AND(OR(N5667="131",O5667="131"),H5667='131-CT'!$H$9),"x","")</f>
        <v/>
      </c>
      <c r="Z5667" s="75"/>
      <c r="AA5667" s="75" t="str">
        <f>IF(AND(MONTH(E5667)='IN-NX'!$J$5,'IN-NX'!$D$7=D5667),"x","")</f>
        <v/>
      </c>
      <c r="AB5667" s="75" t="str">
        <f>IF(AND(OR(LEFT(TH!N4439,2)="15",LEFT(TH!O4439,2)="15"),LEFT(TH!O4439,3)&lt;&gt;"111",'152-CT'!$J$8=TH!F4439),"x","")</f>
        <v/>
      </c>
      <c r="AC5667" s="75" t="str">
        <f>IF(AND(OR(LEFT(TH!N4439,2)="15",LEFT(TH!O4439,2)="15"),TK!$E$7=TH!F4439),"x","")</f>
        <v/>
      </c>
      <c r="AD5667" s="75" t="str">
        <f>IF(AND(N5667="1521",MONTH(C5667)='BK-NL'!$M$11),"x","")</f>
        <v/>
      </c>
      <c r="AE5667">
        <v>12</v>
      </c>
    </row>
    <row r="5668" spans="1:33" ht="16.5" customHeight="1">
      <c r="A5668" s="309" t="str">
        <f>IF(B5668&lt;&gt;"",IF(AND(B5668='IN-TC'!$S$4,OR(TH!N5651="1111",TH!O5651="1111")),TH!D5651,""),"")</f>
        <v/>
      </c>
      <c r="B5668" s="1159">
        <f t="shared" si="1362"/>
        <v>12</v>
      </c>
      <c r="C5668" s="292">
        <f t="shared" si="1361"/>
        <v>43096</v>
      </c>
      <c r="D5668" s="59" t="s">
        <v>902</v>
      </c>
      <c r="E5668" s="59">
        <v>43096</v>
      </c>
      <c r="F5668" s="62" t="s">
        <v>1549</v>
      </c>
      <c r="G5668" s="62" t="s">
        <v>747</v>
      </c>
      <c r="H5668" s="67" t="s">
        <v>835</v>
      </c>
      <c r="I5668" s="373"/>
      <c r="J5668" s="382"/>
      <c r="K5668" s="373"/>
      <c r="L5668" s="379"/>
      <c r="M5668" s="60">
        <v>227500</v>
      </c>
      <c r="N5668" s="61" t="s">
        <v>101</v>
      </c>
      <c r="O5668" s="61" t="s">
        <v>26</v>
      </c>
      <c r="P5668" s="75" t="str">
        <f>IF(AND('331-CT'!$E$7=TH!H5663,OR(N5668="331",O5668="331")),"x","")</f>
        <v/>
      </c>
      <c r="Q5668" s="75" t="str">
        <f>IF(AND(B5668='111'!$L$11,OR($N5668=$Q$7,$O5668=$Q$7)),"x","")</f>
        <v/>
      </c>
      <c r="R5668" s="75" t="str">
        <f>IF(AND($N5668=$Q$7,$B5668&lt;'111'!$L$11),"x","")</f>
        <v/>
      </c>
      <c r="S5668" s="75" t="str">
        <f>IF(AND($O5668=$Q$7,$B5668&lt;'111'!$L$11),"x","")</f>
        <v/>
      </c>
      <c r="T5668" s="75" t="str">
        <f>IF(ISERROR(FIND('112'!$M$9,G5668,1)),"",IF((AND(FIND('112'!$M$9,G5668,1)&gt;=1,B5668='112'!$K$9,OR($N5668='112'!$I$6,$O5668='112'!$I$6))),"x",""))</f>
        <v/>
      </c>
      <c r="U5668" s="75" t="str">
        <f>IF(ISERROR(FIND('112'!$M$9,G5668,1)),"",IF((AND(LEFT(G5668,2)=LEFT('112'!$M$9,2),B5668&lt;'112'!$K$9,$N5668='112'!$I$6)),"x",""))</f>
        <v/>
      </c>
      <c r="V5668" s="75" t="str">
        <f>IF(ISERROR(FIND('112'!$M$9,G5668,1)),"",IF((AND(RIGHT(G5668,2)=RIGHT('112'!$M$9,2),B5668&lt;'112'!$K$9,$O5668='112'!$I$6)),"x",""))</f>
        <v/>
      </c>
      <c r="W5668" s="75" t="str">
        <f>IF(AND('341-CT'!$H$9=H5668,OR(LEFT(N5668,3)=$W$7,LEFT(O5668,3)=$W$7)),"x","")</f>
        <v/>
      </c>
      <c r="X5668" s="75" t="str">
        <f>IF(OR(TH!N5663=TH!$X$7,O5668=TH!$X$7),"x","")</f>
        <v/>
      </c>
      <c r="Y5668" s="75" t="str">
        <f>IF(AND(OR(N5668="131",O5668="131"),H5668='131-CT'!$H$9),"x","")</f>
        <v/>
      </c>
      <c r="Z5668" s="75"/>
      <c r="AA5668" s="75" t="str">
        <f>IF(AND(MONTH(E5668)='IN-NX'!$J$5,'IN-NX'!$D$7=D5668),"x","")</f>
        <v/>
      </c>
      <c r="AB5668" s="75" t="str">
        <f>IF(AND(OR(LEFT(TH!N5663,2)="15",LEFT(TH!O5663,2)="15"),LEFT(TH!O5663,3)&lt;&gt;"111",'152-CT'!$J$8=TH!F5663),"x","")</f>
        <v/>
      </c>
      <c r="AC5668" s="75" t="str">
        <f>IF(AND(OR(LEFT(TH!N5663,2)="15",LEFT(TH!O5663,2)="15"),TK!$E$7=TH!F5663),"x","")</f>
        <v/>
      </c>
      <c r="AD5668" s="75" t="str">
        <f>IF(AND(N5668="1521",MONTH(C5668)='BK-NL'!$M$11),"x","")</f>
        <v/>
      </c>
    </row>
    <row r="5669" spans="1:33" ht="16.5" customHeight="1">
      <c r="A5669" s="309" t="str">
        <f>IF(B5669&lt;&gt;"",IF(AND(B5669='IN-TC'!$S$4,OR(TH!N5652="1111",TH!O5652="1111")),TH!D5652,""),"")</f>
        <v/>
      </c>
      <c r="B5669" s="1159">
        <f t="shared" si="1362"/>
        <v>12</v>
      </c>
      <c r="C5669" s="292">
        <f t="shared" si="1361"/>
        <v>43097</v>
      </c>
      <c r="D5669" s="59"/>
      <c r="E5669" s="59">
        <v>43097</v>
      </c>
      <c r="F5669" s="62" t="s">
        <v>954</v>
      </c>
      <c r="G5669" s="742" t="s">
        <v>2826</v>
      </c>
      <c r="H5669" s="67" t="s">
        <v>941</v>
      </c>
      <c r="I5669" s="375"/>
      <c r="J5669" s="382"/>
      <c r="K5669" s="375"/>
      <c r="L5669" s="381"/>
      <c r="M5669" s="60">
        <v>2670854</v>
      </c>
      <c r="N5669" s="61" t="s">
        <v>101</v>
      </c>
      <c r="O5669" s="61" t="s">
        <v>63</v>
      </c>
      <c r="P5669" s="75" t="str">
        <f>IF(AND('331-CT'!$E$7=TH!H4176,OR(N5669="331",O5669="331")),"x","")</f>
        <v/>
      </c>
      <c r="Q5669" s="75" t="str">
        <f>IF(AND(B5669='111'!$L$11,OR($N5669=$Q$7,$O5669=$Q$7)),"x","")</f>
        <v>x</v>
      </c>
      <c r="R5669" s="75" t="str">
        <f>IF(AND($N5669=$Q$7,$B5669&lt;'111'!$L$11),"x","")</f>
        <v/>
      </c>
      <c r="S5669" s="75" t="str">
        <f>IF(AND($O5669=$Q$7,$B5669&lt;'111'!$L$11),"x","")</f>
        <v/>
      </c>
      <c r="T5669" s="75" t="str">
        <f>IF(ISERROR(FIND('112'!$M$9,G5669,1)),"",IF((AND(FIND('112'!$M$9,G5669,1)&gt;=1,B5669='112'!$K$9,OR($N5669='112'!$I$6,$O5669='112'!$I$6))),"x",""))</f>
        <v/>
      </c>
      <c r="U5669" s="75" t="str">
        <f>IF(ISERROR(FIND('112'!$M$9,G5669,1)),"",IF((AND(LEFT(G5669,2)=LEFT('112'!$M$9,2),B5669&lt;'112'!$K$9,$N5669='112'!$I$6)),"x",""))</f>
        <v/>
      </c>
      <c r="V5669" s="75" t="str">
        <f>IF(ISERROR(FIND('112'!$M$9,G5669,1)),"",IF((AND(RIGHT(G5669,2)=RIGHT('112'!$M$9,2),B5669&lt;'112'!$K$9,$O5669='112'!$I$6)),"x",""))</f>
        <v/>
      </c>
      <c r="W5669" s="75" t="str">
        <f>IF(AND('341-CT'!$H$9=H5669,OR(LEFT(N5669,3)=$W$7,LEFT(O5669,3)=$W$7)),"x","")</f>
        <v/>
      </c>
      <c r="X5669" s="75" t="str">
        <f>IF(OR(TH!N4176=TH!$X$7,O5669=TH!$X$7),"x","")</f>
        <v/>
      </c>
      <c r="Y5669" s="75" t="str">
        <f>IF(AND(OR(N5669="131",O5669="131"),H5669='131-CT'!$H$9),"x","")</f>
        <v/>
      </c>
      <c r="Z5669" s="75"/>
      <c r="AA5669" s="75" t="str">
        <f>IF(AND(MONTH(E5669)='IN-NX'!$J$5,'IN-NX'!$D$7=D5669),"x","")</f>
        <v/>
      </c>
      <c r="AB5669" s="75" t="str">
        <f>IF(AND(OR(LEFT(TH!N4176,2)="15",LEFT(TH!O4176,2)="15"),LEFT(TH!O4176,3)&lt;&gt;"111",'152-CT'!$J$8=TH!F4176),"x","")</f>
        <v/>
      </c>
      <c r="AC5669" s="75" t="str">
        <f>IF(AND(OR(LEFT(TH!N4176,2)="15",LEFT(TH!O4176,2)="15"),TK!$E$7=TH!F4176),"x","")</f>
        <v/>
      </c>
      <c r="AD5669" s="75" t="str">
        <f>IF(AND(N5669="1521",MONTH(C5669)='BK-NL'!$M$11),"x","")</f>
        <v/>
      </c>
      <c r="AE5669">
        <v>12</v>
      </c>
    </row>
    <row r="5670" spans="1:33" ht="16.5" customHeight="1">
      <c r="A5670" s="309" t="str">
        <f>IF(B5670&lt;&gt;"",IF(AND(B5670='IN-TC'!$S$4,OR(TH!N5653="1111",TH!O5653="1111")),TH!D5653,""),"")</f>
        <v/>
      </c>
      <c r="B5670" s="1159">
        <f t="shared" si="1362"/>
        <v>12</v>
      </c>
      <c r="C5670" s="292">
        <f t="shared" si="1361"/>
        <v>43097</v>
      </c>
      <c r="D5670" s="59"/>
      <c r="E5670" s="59">
        <v>43097</v>
      </c>
      <c r="F5670" s="62" t="s">
        <v>955</v>
      </c>
      <c r="G5670" s="742" t="s">
        <v>2826</v>
      </c>
      <c r="H5670" s="67" t="s">
        <v>941</v>
      </c>
      <c r="I5670" s="375"/>
      <c r="J5670" s="382"/>
      <c r="K5670" s="375"/>
      <c r="L5670" s="381"/>
      <c r="M5670" s="60">
        <v>267085</v>
      </c>
      <c r="N5670" s="61" t="s">
        <v>9</v>
      </c>
      <c r="O5670" s="61" t="s">
        <v>63</v>
      </c>
      <c r="P5670" s="75" t="str">
        <f>IF(AND('331-CT'!$E$7=TH!H4177,OR(N5670="331",O5670="331")),"x","")</f>
        <v/>
      </c>
      <c r="Q5670" s="75" t="str">
        <f>IF(AND(B5670='111'!$L$11,OR($N5670=$Q$7,$O5670=$Q$7)),"x","")</f>
        <v>x</v>
      </c>
      <c r="R5670" s="75" t="str">
        <f>IF(AND($N5670=$Q$7,$B5670&lt;'111'!$L$11),"x","")</f>
        <v/>
      </c>
      <c r="S5670" s="75" t="str">
        <f>IF(AND($O5670=$Q$7,$B5670&lt;'111'!$L$11),"x","")</f>
        <v/>
      </c>
      <c r="T5670" s="75" t="str">
        <f>IF(ISERROR(FIND('112'!$M$9,G5670,1)),"",IF((AND(FIND('112'!$M$9,G5670,1)&gt;=1,B5670='112'!$K$9,OR($N5670='112'!$I$6,$O5670='112'!$I$6))),"x",""))</f>
        <v/>
      </c>
      <c r="U5670" s="75" t="str">
        <f>IF(ISERROR(FIND('112'!$M$9,G5670,1)),"",IF((AND(LEFT(G5670,2)=LEFT('112'!$M$9,2),B5670&lt;'112'!$K$9,$N5670='112'!$I$6)),"x",""))</f>
        <v/>
      </c>
      <c r="V5670" s="75" t="str">
        <f>IF(ISERROR(FIND('112'!$M$9,G5670,1)),"",IF((AND(RIGHT(G5670,2)=RIGHT('112'!$M$9,2),B5670&lt;'112'!$K$9,$O5670='112'!$I$6)),"x",""))</f>
        <v/>
      </c>
      <c r="W5670" s="75" t="str">
        <f>IF(AND('341-CT'!$H$9=H5670,OR(LEFT(N5670,3)=$W$7,LEFT(O5670,3)=$W$7)),"x","")</f>
        <v/>
      </c>
      <c r="X5670" s="75" t="str">
        <f>IF(OR(TH!N4177=TH!$X$7,O5670=TH!$X$7),"x","")</f>
        <v/>
      </c>
      <c r="Y5670" s="75" t="str">
        <f>IF(AND(OR(N5670="131",O5670="131"),H5670='131-CT'!$H$9),"x","")</f>
        <v/>
      </c>
      <c r="Z5670" s="75"/>
      <c r="AA5670" s="75" t="str">
        <f>IF(AND(MONTH(E5670)='IN-NX'!$J$5,'IN-NX'!$D$7=D5670),"x","")</f>
        <v/>
      </c>
      <c r="AB5670" s="75" t="str">
        <f>IF(AND(OR(LEFT(TH!N4177,2)="15",LEFT(TH!O4177,2)="15"),LEFT(TH!O4177,3)&lt;&gt;"111",'152-CT'!$J$8=TH!F4177),"x","")</f>
        <v/>
      </c>
      <c r="AC5670" s="75" t="str">
        <f>IF(AND(OR(LEFT(TH!N4177,2)="15",LEFT(TH!O4177,2)="15"),TK!$E$7=TH!F4177),"x","")</f>
        <v/>
      </c>
      <c r="AD5670" s="75" t="str">
        <f>IF(AND(N5670="1521",MONTH(C5670)='BK-NL'!$M$11),"x","")</f>
        <v/>
      </c>
      <c r="AE5670">
        <v>12</v>
      </c>
    </row>
    <row r="5671" spans="1:33" ht="16.5" customHeight="1">
      <c r="A5671" s="309" t="str">
        <f>IF(B5671&lt;&gt;"",IF(AND(B5671='IN-TC'!$S$4,OR(TH!N5654="1111",TH!O5654="1111")),TH!D5654,""),"")</f>
        <v/>
      </c>
      <c r="B5671" s="1159">
        <f t="shared" si="1362"/>
        <v>12</v>
      </c>
      <c r="C5671" s="292">
        <f t="shared" si="1361"/>
        <v>43097</v>
      </c>
      <c r="D5671" s="59"/>
      <c r="E5671" s="59">
        <v>43097</v>
      </c>
      <c r="F5671" s="62" t="s">
        <v>1334</v>
      </c>
      <c r="G5671" s="742" t="s">
        <v>2901</v>
      </c>
      <c r="H5671" s="67" t="s">
        <v>1333</v>
      </c>
      <c r="I5671" s="375"/>
      <c r="J5671" s="382"/>
      <c r="K5671" s="375"/>
      <c r="L5671" s="381"/>
      <c r="M5671" s="60">
        <v>2727273</v>
      </c>
      <c r="N5671" s="61" t="s">
        <v>539</v>
      </c>
      <c r="O5671" s="61" t="s">
        <v>63</v>
      </c>
      <c r="P5671" s="75" t="str">
        <f>IF(AND('331-CT'!$E$7=TH!H4178,OR(N5671="331",O5671="331")),"x","")</f>
        <v/>
      </c>
      <c r="Q5671" s="75" t="str">
        <f>IF(AND(B5671='111'!$L$11,OR($N5671=$Q$7,$O5671=$Q$7)),"x","")</f>
        <v>x</v>
      </c>
      <c r="R5671" s="75" t="str">
        <f>IF(AND($N5671=$Q$7,$B5671&lt;'111'!$L$11),"x","")</f>
        <v/>
      </c>
      <c r="S5671" s="75" t="str">
        <f>IF(AND($O5671=$Q$7,$B5671&lt;'111'!$L$11),"x","")</f>
        <v/>
      </c>
      <c r="T5671" s="75" t="str">
        <f>IF(ISERROR(FIND('112'!$M$9,G5671,1)),"",IF((AND(FIND('112'!$M$9,G5671,1)&gt;=1,B5671='112'!$K$9,OR($N5671='112'!$I$6,$O5671='112'!$I$6))),"x",""))</f>
        <v/>
      </c>
      <c r="U5671" s="75" t="str">
        <f>IF(ISERROR(FIND('112'!$M$9,G5671,1)),"",IF((AND(LEFT(G5671,2)=LEFT('112'!$M$9,2),B5671&lt;'112'!$K$9,$N5671='112'!$I$6)),"x",""))</f>
        <v/>
      </c>
      <c r="V5671" s="75" t="str">
        <f>IF(ISERROR(FIND('112'!$M$9,G5671,1)),"",IF((AND(RIGHT(G5671,2)=RIGHT('112'!$M$9,2),B5671&lt;'112'!$K$9,$O5671='112'!$I$6)),"x",""))</f>
        <v/>
      </c>
      <c r="W5671" s="75" t="str">
        <f>IF(AND('341-CT'!$H$9=H5671,OR(LEFT(N5671,3)=$W$7,LEFT(O5671,3)=$W$7)),"x","")</f>
        <v/>
      </c>
      <c r="X5671" s="75" t="str">
        <f>IF(OR(TH!N4178=TH!$X$7,O5671=TH!$X$7),"x","")</f>
        <v/>
      </c>
      <c r="Y5671" s="75" t="str">
        <f>IF(AND(OR(N5671="131",O5671="131"),H5671='131-CT'!$H$9),"x","")</f>
        <v/>
      </c>
      <c r="Z5671" s="75"/>
      <c r="AA5671" s="75" t="str">
        <f>IF(AND(MONTH(E5671)='IN-NX'!$J$5,'IN-NX'!$D$7=D5671),"x","")</f>
        <v/>
      </c>
      <c r="AB5671" s="75" t="str">
        <f>IF(AND(OR(LEFT(TH!N4178,2)="15",LEFT(TH!O4178,2)="15"),LEFT(TH!O4178,3)&lt;&gt;"111",'152-CT'!$J$8=TH!F4178),"x","")</f>
        <v/>
      </c>
      <c r="AC5671" s="75" t="str">
        <f>IF(AND(OR(LEFT(TH!N4178,2)="15",LEFT(TH!O4178,2)="15"),TK!$E$7=TH!F4178),"x","")</f>
        <v/>
      </c>
      <c r="AD5671" s="75" t="str">
        <f>IF(AND(N5671="1521",MONTH(C5671)='BK-NL'!$M$11),"x","")</f>
        <v/>
      </c>
      <c r="AE5671" t="s">
        <v>2969</v>
      </c>
    </row>
    <row r="5672" spans="1:33" ht="16.5" customHeight="1">
      <c r="A5672" s="309" t="str">
        <f>IF(B5672&lt;&gt;"",IF(AND(B5672='IN-TC'!$S$4,OR(TH!N5655="1111",TH!O5655="1111")),TH!D5655,""),"")</f>
        <v/>
      </c>
      <c r="B5672" s="1159">
        <f t="shared" si="1362"/>
        <v>12</v>
      </c>
      <c r="C5672" s="292">
        <f t="shared" si="1361"/>
        <v>43097</v>
      </c>
      <c r="D5672" s="59"/>
      <c r="E5672" s="59">
        <v>43097</v>
      </c>
      <c r="F5672" s="62" t="s">
        <v>1335</v>
      </c>
      <c r="G5672" s="742" t="s">
        <v>2901</v>
      </c>
      <c r="H5672" s="67" t="s">
        <v>1333</v>
      </c>
      <c r="I5672" s="375"/>
      <c r="J5672" s="382"/>
      <c r="K5672" s="375"/>
      <c r="L5672" s="381"/>
      <c r="M5672" s="60">
        <v>272727</v>
      </c>
      <c r="N5672" s="61" t="s">
        <v>9</v>
      </c>
      <c r="O5672" s="61" t="s">
        <v>63</v>
      </c>
      <c r="P5672" s="75" t="str">
        <f>IF(AND('331-CT'!$E$7=TH!H4179,OR(N5672="331",O5672="331")),"x","")</f>
        <v/>
      </c>
      <c r="Q5672" s="75" t="str">
        <f>IF(AND(B5672='111'!$L$11,OR($N5672=$Q$7,$O5672=$Q$7)),"x","")</f>
        <v>x</v>
      </c>
      <c r="R5672" s="75" t="str">
        <f>IF(AND($N5672=$Q$7,$B5672&lt;'111'!$L$11),"x","")</f>
        <v/>
      </c>
      <c r="S5672" s="75" t="str">
        <f>IF(AND($O5672=$Q$7,$B5672&lt;'111'!$L$11),"x","")</f>
        <v/>
      </c>
      <c r="T5672" s="75" t="str">
        <f>IF(ISERROR(FIND('112'!$M$9,G5672,1)),"",IF((AND(FIND('112'!$M$9,G5672,1)&gt;=1,B5672='112'!$K$9,OR($N5672='112'!$I$6,$O5672='112'!$I$6))),"x",""))</f>
        <v/>
      </c>
      <c r="U5672" s="75" t="str">
        <f>IF(ISERROR(FIND('112'!$M$9,G5672,1)),"",IF((AND(LEFT(G5672,2)=LEFT('112'!$M$9,2),B5672&lt;'112'!$K$9,$N5672='112'!$I$6)),"x",""))</f>
        <v/>
      </c>
      <c r="V5672" s="75" t="str">
        <f>IF(ISERROR(FIND('112'!$M$9,G5672,1)),"",IF((AND(RIGHT(G5672,2)=RIGHT('112'!$M$9,2),B5672&lt;'112'!$K$9,$O5672='112'!$I$6)),"x",""))</f>
        <v/>
      </c>
      <c r="W5672" s="75" t="str">
        <f>IF(AND('341-CT'!$H$9=H5672,OR(LEFT(N5672,3)=$W$7,LEFT(O5672,3)=$W$7)),"x","")</f>
        <v/>
      </c>
      <c r="X5672" s="75" t="str">
        <f>IF(OR(TH!N4179=TH!$X$7,O5672=TH!$X$7),"x","")</f>
        <v/>
      </c>
      <c r="Y5672" s="75" t="str">
        <f>IF(AND(OR(N5672="131",O5672="131"),H5672='131-CT'!$H$9),"x","")</f>
        <v/>
      </c>
      <c r="Z5672" s="75"/>
      <c r="AA5672" s="75" t="str">
        <f>IF(AND(MONTH(E5672)='IN-NX'!$J$5,'IN-NX'!$D$7=D5672),"x","")</f>
        <v/>
      </c>
      <c r="AB5672" s="75" t="str">
        <f>IF(AND(OR(LEFT(TH!N4179,2)="15",LEFT(TH!O4179,2)="15"),LEFT(TH!O4179,3)&lt;&gt;"111",'152-CT'!$J$8=TH!F4179),"x","")</f>
        <v/>
      </c>
      <c r="AC5672" s="75" t="str">
        <f>IF(AND(OR(LEFT(TH!N4179,2)="15",LEFT(TH!O4179,2)="15"),TK!$E$7=TH!F4179),"x","")</f>
        <v/>
      </c>
      <c r="AD5672" s="75" t="str">
        <f>IF(AND(N5672="1521",MONTH(C5672)='BK-NL'!$M$11),"x","")</f>
        <v/>
      </c>
      <c r="AE5672" t="s">
        <v>2969</v>
      </c>
    </row>
    <row r="5673" spans="1:33" ht="16.5" customHeight="1">
      <c r="A5673" s="309" t="str">
        <f>IF(B5673&lt;&gt;"",IF(AND(B5673='IN-TC'!$S$4,OR(TH!N5656="1111",TH!O5656="1111")),TH!D5656,""),"")</f>
        <v/>
      </c>
      <c r="B5673" s="1243">
        <f t="shared" si="1362"/>
        <v>12</v>
      </c>
      <c r="C5673" s="292">
        <f t="shared" si="1361"/>
        <v>43097</v>
      </c>
      <c r="D5673" s="292"/>
      <c r="E5673" s="292">
        <v>43097</v>
      </c>
      <c r="F5673" s="1010" t="s">
        <v>1881</v>
      </c>
      <c r="G5673" s="925"/>
      <c r="H5673" s="311" t="s">
        <v>1890</v>
      </c>
      <c r="I5673" s="373"/>
      <c r="J5673" s="926"/>
      <c r="K5673" s="373"/>
      <c r="L5673" s="379"/>
      <c r="M5673" s="927">
        <v>3259944000</v>
      </c>
      <c r="N5673" s="295" t="s">
        <v>8</v>
      </c>
      <c r="O5673" s="295" t="s">
        <v>63</v>
      </c>
      <c r="P5673" s="75" t="str">
        <f>IF(AND('331-CT'!$E$7=TH!H4371,OR(N5673="331",O5673="331")),"x","")</f>
        <v/>
      </c>
      <c r="Q5673" s="75" t="str">
        <f>IF(AND(B5673='111'!$L$11,OR($N5673=$Q$7,$O5673=$Q$7)),"x","")</f>
        <v>x</v>
      </c>
      <c r="R5673" s="75" t="str">
        <f>IF(AND($N5673=$Q$7,$B5673&lt;'111'!$L$11),"x","")</f>
        <v/>
      </c>
      <c r="S5673" s="75" t="str">
        <f>IF(AND($O5673=$Q$7,$B5673&lt;'111'!$L$11),"x","")</f>
        <v/>
      </c>
      <c r="T5673" s="75" t="str">
        <f>IF(ISERROR(FIND('112'!$M$9,G5673,1)),"",IF((AND(FIND('112'!$M$9,G5673,1)&gt;=1,B5673='112'!$K$9,OR($N5673='112'!$I$6,$O5673='112'!$I$6))),"x",""))</f>
        <v/>
      </c>
      <c r="U5673" s="75" t="str">
        <f>IF(ISERROR(FIND('112'!$M$9,G5673,1)),"",IF((AND(LEFT(G5673,2)=LEFT('112'!$M$9,2),B5673&lt;'112'!$K$9,$N5673='112'!$I$6)),"x",""))</f>
        <v/>
      </c>
      <c r="V5673" s="75" t="str">
        <f>IF(ISERROR(FIND('112'!$M$9,G5673,1)),"",IF((AND(RIGHT(G5673,2)=RIGHT('112'!$M$9,2),B5673&lt;'112'!$K$9,$O5673='112'!$I$6)),"x",""))</f>
        <v/>
      </c>
      <c r="W5673" s="75" t="str">
        <f>IF(AND('341-CT'!$H$9=H5673,OR(LEFT(N5673,3)=$W$7,LEFT(O5673,3)=$W$7)),"x","")</f>
        <v/>
      </c>
      <c r="X5673" s="75" t="str">
        <f>IF(OR(TH!N4371=TH!$X$7,O5673=TH!$X$7),"x","")</f>
        <v/>
      </c>
      <c r="Y5673" s="75" t="str">
        <f>IF(AND(OR(N5673="131",O5673="131"),H5673='131-CT'!$H$9),"x","")</f>
        <v/>
      </c>
      <c r="Z5673" s="75"/>
      <c r="AA5673" s="75" t="str">
        <f>IF(AND(MONTH(E5673)='IN-NX'!$J$5,'IN-NX'!$D$7=D5673),"x","")</f>
        <v/>
      </c>
      <c r="AB5673" s="75" t="str">
        <f>IF(AND(OR(LEFT(TH!N4371,2)="15",LEFT(TH!O4371,2)="15"),LEFT(TH!O4371,3)&lt;&gt;"111",'152-CT'!$J$8=TH!F4371),"x","")</f>
        <v/>
      </c>
      <c r="AC5673" s="75" t="str">
        <f>IF(AND(OR(LEFT(TH!N4371,2)="15",LEFT(TH!O4371,2)="15"),TK!$E$7=TH!F4371),"x","")</f>
        <v/>
      </c>
      <c r="AD5673" s="75" t="str">
        <f>IF(AND(N5673="1521",MONTH(C5673)='BK-NL'!$M$11),"x","")</f>
        <v/>
      </c>
    </row>
    <row r="5674" spans="1:33" ht="16.5" customHeight="1">
      <c r="A5674" s="309" t="str">
        <f>IF(B5674&lt;&gt;"",IF(AND(B5674='IN-TC'!$S$4,OR(TH!N5657="1111",TH!O5657="1111")),TH!D5657,""),"")</f>
        <v/>
      </c>
      <c r="B5674" s="1243">
        <f t="shared" si="1362"/>
        <v>12</v>
      </c>
      <c r="C5674" s="292">
        <f t="shared" si="1361"/>
        <v>43097</v>
      </c>
      <c r="D5674" s="292"/>
      <c r="E5674" s="292">
        <v>43097</v>
      </c>
      <c r="F5674" s="1010" t="s">
        <v>1883</v>
      </c>
      <c r="G5674" s="925"/>
      <c r="H5674" s="311"/>
      <c r="I5674" s="373"/>
      <c r="J5674" s="926"/>
      <c r="K5674" s="373"/>
      <c r="L5674" s="379"/>
      <c r="M5674" s="927">
        <v>2200000</v>
      </c>
      <c r="N5674" s="295" t="s">
        <v>101</v>
      </c>
      <c r="O5674" s="295" t="s">
        <v>63</v>
      </c>
      <c r="P5674" s="75" t="str">
        <f>IF(AND('331-CT'!$E$7=TH!H4372,OR(N5674="331",O5674="331")),"x","")</f>
        <v/>
      </c>
      <c r="Q5674" s="75" t="str">
        <f>IF(AND(B5674='111'!$L$11,OR($N5674=$Q$7,$O5674=$Q$7)),"x","")</f>
        <v>x</v>
      </c>
      <c r="R5674" s="75" t="str">
        <f>IF(AND($N5674=$Q$7,$B5674&lt;'111'!$L$11),"x","")</f>
        <v/>
      </c>
      <c r="S5674" s="75" t="str">
        <f>IF(AND($O5674=$Q$7,$B5674&lt;'111'!$L$11),"x","")</f>
        <v/>
      </c>
      <c r="T5674" s="75" t="str">
        <f>IF(ISERROR(FIND('112'!$M$9,G5674,1)),"",IF((AND(FIND('112'!$M$9,G5674,1)&gt;=1,B5674='112'!$K$9,OR($N5674='112'!$I$6,$O5674='112'!$I$6))),"x",""))</f>
        <v/>
      </c>
      <c r="U5674" s="75" t="str">
        <f>IF(ISERROR(FIND('112'!$M$9,G5674,1)),"",IF((AND(LEFT(G5674,2)=LEFT('112'!$M$9,2),B5674&lt;'112'!$K$9,$N5674='112'!$I$6)),"x",""))</f>
        <v/>
      </c>
      <c r="V5674" s="75" t="str">
        <f>IF(ISERROR(FIND('112'!$M$9,G5674,1)),"",IF((AND(RIGHT(G5674,2)=RIGHT('112'!$M$9,2),B5674&lt;'112'!$K$9,$O5674='112'!$I$6)),"x",""))</f>
        <v/>
      </c>
      <c r="W5674" s="75" t="str">
        <f>IF(AND('341-CT'!$H$9=H5674,OR(LEFT(N5674,3)=$W$7,LEFT(O5674,3)=$W$7)),"x","")</f>
        <v/>
      </c>
      <c r="X5674" s="75" t="str">
        <f>IF(OR(TH!N4372=TH!$X$7,O5674=TH!$X$7),"x","")</f>
        <v/>
      </c>
      <c r="Y5674" s="75" t="str">
        <f>IF(AND(OR(N5674="131",O5674="131"),H5674='131-CT'!$H$9),"x","")</f>
        <v/>
      </c>
      <c r="Z5674" s="75"/>
      <c r="AA5674" s="75" t="str">
        <f>IF(AND(MONTH(E5674)='IN-NX'!$J$5,'IN-NX'!$D$7=D5674),"x","")</f>
        <v/>
      </c>
      <c r="AB5674" s="75" t="str">
        <f>IF(AND(OR(LEFT(TH!N4372,2)="15",LEFT(TH!O4372,2)="15"),LEFT(TH!O4372,3)&lt;&gt;"111",'152-CT'!$J$8=TH!F4372),"x","")</f>
        <v/>
      </c>
      <c r="AC5674" s="75" t="str">
        <f>IF(AND(OR(LEFT(TH!N4372,2)="15",LEFT(TH!O4372,2)="15"),TK!$E$7=TH!F4372),"x","")</f>
        <v/>
      </c>
      <c r="AD5674" s="75" t="str">
        <f>IF(AND(N5674="1521",MONTH(C5674)='BK-NL'!$M$11),"x","")</f>
        <v/>
      </c>
    </row>
    <row r="5675" spans="1:33" ht="16.5" customHeight="1">
      <c r="A5675" s="309" t="str">
        <f>IF(B5675&lt;&gt;"",IF(AND(B5675='IN-TC'!$S$4,OR(TH!N5658="1111",TH!O5658="1111")),TH!D5658,""),"")</f>
        <v/>
      </c>
      <c r="B5675" s="1277">
        <f t="shared" si="1362"/>
        <v>12</v>
      </c>
      <c r="C5675" s="292">
        <f t="shared" si="1361"/>
        <v>43097</v>
      </c>
      <c r="D5675" s="929"/>
      <c r="E5675" s="292">
        <v>43097</v>
      </c>
      <c r="F5675" s="1335" t="s">
        <v>1881</v>
      </c>
      <c r="G5675" s="931"/>
      <c r="H5675" s="73" t="s">
        <v>1890</v>
      </c>
      <c r="I5675" s="371"/>
      <c r="J5675" s="932"/>
      <c r="K5675" s="371"/>
      <c r="L5675" s="377"/>
      <c r="M5675" s="933">
        <v>609433200</v>
      </c>
      <c r="N5675" s="934" t="s">
        <v>8</v>
      </c>
      <c r="O5675" s="934" t="s">
        <v>63</v>
      </c>
      <c r="P5675" s="75" t="str">
        <f>IF(AND('331-CT'!$E$7=TH!H4382,OR(N5675="331",O5675="331")),"x","")</f>
        <v/>
      </c>
      <c r="Q5675" s="75" t="str">
        <f>IF(AND(B5675='111'!$L$11,OR($N5675=$Q$7,$O5675=$Q$7)),"x","")</f>
        <v>x</v>
      </c>
      <c r="R5675" s="75" t="str">
        <f>IF(AND($N5675=$Q$7,$B5675&lt;'111'!$L$11),"x","")</f>
        <v/>
      </c>
      <c r="S5675" s="75" t="str">
        <f>IF(AND($O5675=$Q$7,$B5675&lt;'111'!$L$11),"x","")</f>
        <v/>
      </c>
      <c r="T5675" s="75" t="str">
        <f>IF(ISERROR(FIND('112'!$M$9,G5675,1)),"",IF((AND(FIND('112'!$M$9,G5675,1)&gt;=1,B5675='112'!$K$9,OR($N5675='112'!$I$6,$O5675='112'!$I$6))),"x",""))</f>
        <v/>
      </c>
      <c r="U5675" s="75" t="str">
        <f>IF(ISERROR(FIND('112'!$M$9,G5675,1)),"",IF((AND(LEFT(G5675,2)=LEFT('112'!$M$9,2),B5675&lt;'112'!$K$9,$N5675='112'!$I$6)),"x",""))</f>
        <v/>
      </c>
      <c r="V5675" s="75" t="str">
        <f>IF(ISERROR(FIND('112'!$M$9,G5675,1)),"",IF((AND(RIGHT(G5675,2)=RIGHT('112'!$M$9,2),B5675&lt;'112'!$K$9,$O5675='112'!$I$6)),"x",""))</f>
        <v/>
      </c>
      <c r="W5675" s="75" t="str">
        <f>IF(AND('341-CT'!$H$9=H5675,OR(LEFT(N5675,3)=$W$7,LEFT(O5675,3)=$W$7)),"x","")</f>
        <v/>
      </c>
      <c r="X5675" s="75" t="str">
        <f>IF(OR(TH!N4382=TH!$X$7,O5675=TH!$X$7),"x","")</f>
        <v/>
      </c>
      <c r="Y5675" s="75" t="str">
        <f>IF(AND(OR(N5675="131",O5675="131"),H5675='131-CT'!$H$9),"x","")</f>
        <v/>
      </c>
      <c r="Z5675" s="75"/>
      <c r="AA5675" s="75" t="str">
        <f>IF(AND(MONTH(E5675)='IN-NX'!$J$5,'IN-NX'!$D$7=D5675),"x","")</f>
        <v/>
      </c>
      <c r="AB5675" s="75" t="str">
        <f>IF(AND(OR(LEFT(TH!N4382,2)="15",LEFT(TH!O4382,2)="15"),LEFT(TH!O4382,3)&lt;&gt;"111",'152-CT'!$J$8=TH!F4382),"x","")</f>
        <v/>
      </c>
      <c r="AC5675" s="75" t="str">
        <f>IF(AND(OR(LEFT(TH!N4382,2)="15",LEFT(TH!O4382,2)="15"),TK!$E$7=TH!F4382),"x","")</f>
        <v/>
      </c>
      <c r="AD5675" s="75" t="str">
        <f>IF(AND(N5675="1521",MONTH(C5675)='BK-NL'!$M$11),"x","")</f>
        <v/>
      </c>
      <c r="AE5675" s="1264"/>
      <c r="AF5675" s="1264"/>
      <c r="AG5675" s="1264"/>
    </row>
    <row r="5676" spans="1:33" s="1264" customFormat="1" ht="16.5" customHeight="1">
      <c r="A5676" s="309" t="str">
        <f>IF(B5676&lt;&gt;"",IF(AND(B5676='IN-TC'!$S$4,OR(TH!N5659="1111",TH!O5659="1111")),TH!D5659,""),"")</f>
        <v/>
      </c>
      <c r="B5676" s="1159">
        <f t="shared" si="1362"/>
        <v>12</v>
      </c>
      <c r="C5676" s="292">
        <f t="shared" si="1361"/>
        <v>43097</v>
      </c>
      <c r="D5676" s="59" t="s">
        <v>902</v>
      </c>
      <c r="E5676" s="59">
        <v>43097</v>
      </c>
      <c r="F5676" s="62" t="s">
        <v>1212</v>
      </c>
      <c r="G5676" s="62" t="s">
        <v>585</v>
      </c>
      <c r="H5676" s="67" t="s">
        <v>845</v>
      </c>
      <c r="I5676" s="373"/>
      <c r="J5676" s="382"/>
      <c r="K5676" s="373"/>
      <c r="L5676" s="379"/>
      <c r="M5676" s="60">
        <v>50000</v>
      </c>
      <c r="N5676" s="61" t="s">
        <v>101</v>
      </c>
      <c r="O5676" s="61" t="s">
        <v>26</v>
      </c>
      <c r="P5676" s="75" t="str">
        <f>IF(AND('331-CT'!$E$7=TH!H4925,OR(N5676="331",O5676="331")),"x","")</f>
        <v/>
      </c>
      <c r="Q5676" s="75" t="str">
        <f>IF(AND(B5676='111'!$L$11,OR($N5676=$Q$7,$O5676=$Q$7)),"x","")</f>
        <v/>
      </c>
      <c r="R5676" s="75" t="str">
        <f>IF(AND($N5676=$Q$7,$B5676&lt;'111'!$L$11),"x","")</f>
        <v/>
      </c>
      <c r="S5676" s="75" t="str">
        <f>IF(AND($O5676=$Q$7,$B5676&lt;'111'!$L$11),"x","")</f>
        <v/>
      </c>
      <c r="T5676" s="75" t="str">
        <f>IF(ISERROR(FIND('112'!$M$9,G5676,1)),"",IF((AND(FIND('112'!$M$9,G5676,1)&gt;=1,B5676='112'!$K$9,OR($N5676='112'!$I$6,$O5676='112'!$I$6))),"x",""))</f>
        <v/>
      </c>
      <c r="U5676" s="75" t="str">
        <f>IF(ISERROR(FIND('112'!$M$9,G5676,1)),"",IF((AND(LEFT(G5676,2)=LEFT('112'!$M$9,2),B5676&lt;'112'!$K$9,$N5676='112'!$I$6)),"x",""))</f>
        <v/>
      </c>
      <c r="V5676" s="75" t="str">
        <f>IF(ISERROR(FIND('112'!$M$9,G5676,1)),"",IF((AND(RIGHT(G5676,2)=RIGHT('112'!$M$9,2),B5676&lt;'112'!$K$9,$O5676='112'!$I$6)),"x",""))</f>
        <v/>
      </c>
      <c r="W5676" s="75" t="str">
        <f>IF(AND('341-CT'!$H$9=H5676,OR(LEFT(N5676,3)=$W$7,LEFT(O5676,3)=$W$7)),"x","")</f>
        <v/>
      </c>
      <c r="X5676" s="75" t="str">
        <f>IF(OR(TH!N4925=TH!$X$7,O5676=TH!$X$7),"x","")</f>
        <v/>
      </c>
      <c r="Y5676" s="75" t="str">
        <f>IF(AND(OR(N5676="131",O5676="131"),H5676='131-CT'!$H$9),"x","")</f>
        <v/>
      </c>
      <c r="Z5676" s="75"/>
      <c r="AA5676" s="75" t="str">
        <f>IF(AND(MONTH(E5676)='IN-NX'!$J$5,'IN-NX'!$D$7=D5676),"x","")</f>
        <v/>
      </c>
      <c r="AB5676" s="75" t="str">
        <f>IF(AND(OR(LEFT(TH!N4925,2)="15",LEFT(TH!O4925,2)="15"),LEFT(TH!O4925,3)&lt;&gt;"111",'152-CT'!$J$8=TH!F4925),"x","")</f>
        <v/>
      </c>
      <c r="AC5676" s="75" t="str">
        <f>IF(AND(OR(LEFT(TH!N4925,2)="15",LEFT(TH!O4925,2)="15"),TK!$E$7=TH!F4925),"x","")</f>
        <v/>
      </c>
      <c r="AD5676" s="75" t="str">
        <f>IF(AND(N5676="1521",MONTH(C5676)='BK-NL'!$M$11),"x","")</f>
        <v/>
      </c>
      <c r="AE5676" s="304">
        <v>12</v>
      </c>
      <c r="AF5676" s="304"/>
      <c r="AG5676" s="304"/>
    </row>
    <row r="5677" spans="1:33" s="1264" customFormat="1" ht="16.5" customHeight="1">
      <c r="A5677" s="309" t="str">
        <f>IF(B5677&lt;&gt;"",IF(AND(B5677='IN-TC'!$S$4,OR(TH!N5660="1111",TH!O5660="1111")),TH!D5660,""),"")</f>
        <v/>
      </c>
      <c r="B5677" s="1159">
        <f t="shared" si="1362"/>
        <v>12</v>
      </c>
      <c r="C5677" s="292">
        <f t="shared" si="1361"/>
        <v>43097</v>
      </c>
      <c r="D5677" s="59" t="s">
        <v>902</v>
      </c>
      <c r="E5677" s="59">
        <v>43097</v>
      </c>
      <c r="F5677" s="62" t="s">
        <v>1213</v>
      </c>
      <c r="G5677" s="62" t="s">
        <v>585</v>
      </c>
      <c r="H5677" s="67" t="s">
        <v>845</v>
      </c>
      <c r="I5677" s="373"/>
      <c r="J5677" s="382"/>
      <c r="K5677" s="373"/>
      <c r="L5677" s="379"/>
      <c r="M5677" s="60">
        <v>5000</v>
      </c>
      <c r="N5677" s="61" t="s">
        <v>9</v>
      </c>
      <c r="O5677" s="61" t="s">
        <v>26</v>
      </c>
      <c r="P5677" s="75" t="str">
        <f>IF(AND('331-CT'!$E$7=TH!H4926,OR(N5677="331",O5677="331")),"x","")</f>
        <v/>
      </c>
      <c r="Q5677" s="75" t="str">
        <f>IF(AND(B5677='111'!$L$11,OR($N5677=$Q$7,$O5677=$Q$7)),"x","")</f>
        <v/>
      </c>
      <c r="R5677" s="75" t="str">
        <f>IF(AND($N5677=$Q$7,$B5677&lt;'111'!$L$11),"x","")</f>
        <v/>
      </c>
      <c r="S5677" s="75" t="str">
        <f>IF(AND($O5677=$Q$7,$B5677&lt;'111'!$L$11),"x","")</f>
        <v/>
      </c>
      <c r="T5677" s="75" t="str">
        <f>IF(ISERROR(FIND('112'!$M$9,G5677,1)),"",IF((AND(FIND('112'!$M$9,G5677,1)&gt;=1,B5677='112'!$K$9,OR($N5677='112'!$I$6,$O5677='112'!$I$6))),"x",""))</f>
        <v/>
      </c>
      <c r="U5677" s="75" t="str">
        <f>IF(ISERROR(FIND('112'!$M$9,G5677,1)),"",IF((AND(LEFT(G5677,2)=LEFT('112'!$M$9,2),B5677&lt;'112'!$K$9,$N5677='112'!$I$6)),"x",""))</f>
        <v/>
      </c>
      <c r="V5677" s="75" t="str">
        <f>IF(ISERROR(FIND('112'!$M$9,G5677,1)),"",IF((AND(RIGHT(G5677,2)=RIGHT('112'!$M$9,2),B5677&lt;'112'!$K$9,$O5677='112'!$I$6)),"x",""))</f>
        <v/>
      </c>
      <c r="W5677" s="75" t="str">
        <f>IF(AND('341-CT'!$H$9=H5677,OR(LEFT(N5677,3)=$W$7,LEFT(O5677,3)=$W$7)),"x","")</f>
        <v/>
      </c>
      <c r="X5677" s="75" t="str">
        <f>IF(OR(TH!N4926=TH!$X$7,O5677=TH!$X$7),"x","")</f>
        <v/>
      </c>
      <c r="Y5677" s="75" t="str">
        <f>IF(AND(OR(N5677="131",O5677="131"),H5677='131-CT'!$H$9),"x","")</f>
        <v/>
      </c>
      <c r="Z5677" s="75"/>
      <c r="AA5677" s="75" t="str">
        <f>IF(AND(MONTH(E5677)='IN-NX'!$J$5,'IN-NX'!$D$7=D5677),"x","")</f>
        <v/>
      </c>
      <c r="AB5677" s="75" t="str">
        <f>IF(AND(OR(LEFT(TH!N4926,2)="15",LEFT(TH!O4926,2)="15"),LEFT(TH!O4926,3)&lt;&gt;"111",'152-CT'!$J$8=TH!F4926),"x","")</f>
        <v/>
      </c>
      <c r="AC5677" s="75" t="str">
        <f>IF(AND(OR(LEFT(TH!N4926,2)="15",LEFT(TH!O4926,2)="15"),TK!$E$7=TH!F4926),"x","")</f>
        <v/>
      </c>
      <c r="AD5677" s="75" t="str">
        <f>IF(AND(N5677="1521",MONTH(C5677)='BK-NL'!$M$11),"x","")</f>
        <v/>
      </c>
      <c r="AE5677" s="304">
        <v>12</v>
      </c>
      <c r="AF5677" s="304"/>
      <c r="AG5677" s="304"/>
    </row>
    <row r="5678" spans="1:33" s="1264" customFormat="1" ht="16.5" customHeight="1">
      <c r="A5678" s="309" t="str">
        <f>IF(B5678&lt;&gt;"",IF(AND(B5678='IN-TC'!$S$4,OR(TH!N5661="1111",TH!O5661="1111")),TH!D5661,""),"")</f>
        <v/>
      </c>
      <c r="B5678" s="1159">
        <f t="shared" si="1362"/>
        <v>12</v>
      </c>
      <c r="C5678" s="292">
        <f t="shared" si="1361"/>
        <v>43097</v>
      </c>
      <c r="D5678" s="59" t="s">
        <v>902</v>
      </c>
      <c r="E5678" s="59">
        <v>43097</v>
      </c>
      <c r="F5678" s="62" t="s">
        <v>1212</v>
      </c>
      <c r="G5678" s="62" t="s">
        <v>585</v>
      </c>
      <c r="H5678" s="67" t="s">
        <v>845</v>
      </c>
      <c r="I5678" s="373"/>
      <c r="J5678" s="382"/>
      <c r="K5678" s="373"/>
      <c r="L5678" s="379"/>
      <c r="M5678" s="60">
        <v>50000</v>
      </c>
      <c r="N5678" s="61" t="s">
        <v>101</v>
      </c>
      <c r="O5678" s="61" t="s">
        <v>26</v>
      </c>
      <c r="P5678" s="75" t="str">
        <f>IF(AND('331-CT'!$E$7=TH!H4911,OR(N5678="331",O5678="331")),"x","")</f>
        <v/>
      </c>
      <c r="Q5678" s="75" t="str">
        <f>IF(AND(B5678='111'!$L$11,OR($N5678=$Q$7,$O5678=$Q$7)),"x","")</f>
        <v/>
      </c>
      <c r="R5678" s="75" t="str">
        <f>IF(AND($N5678=$Q$7,$B5678&lt;'111'!$L$11),"x","")</f>
        <v/>
      </c>
      <c r="S5678" s="75" t="str">
        <f>IF(AND($O5678=$Q$7,$B5678&lt;'111'!$L$11),"x","")</f>
        <v/>
      </c>
      <c r="T5678" s="75" t="str">
        <f>IF(ISERROR(FIND('112'!$M$9,G5678,1)),"",IF((AND(FIND('112'!$M$9,G5678,1)&gt;=1,B5678='112'!$K$9,OR($N5678='112'!$I$6,$O5678='112'!$I$6))),"x",""))</f>
        <v/>
      </c>
      <c r="U5678" s="75" t="str">
        <f>IF(ISERROR(FIND('112'!$M$9,G5678,1)),"",IF((AND(LEFT(G5678,2)=LEFT('112'!$M$9,2),B5678&lt;'112'!$K$9,$N5678='112'!$I$6)),"x",""))</f>
        <v/>
      </c>
      <c r="V5678" s="75" t="str">
        <f>IF(ISERROR(FIND('112'!$M$9,G5678,1)),"",IF((AND(RIGHT(G5678,2)=RIGHT('112'!$M$9,2),B5678&lt;'112'!$K$9,$O5678='112'!$I$6)),"x",""))</f>
        <v/>
      </c>
      <c r="W5678" s="75" t="str">
        <f>IF(AND('341-CT'!$H$9=H5678,OR(LEFT(N5678,3)=$W$7,LEFT(O5678,3)=$W$7)),"x","")</f>
        <v/>
      </c>
      <c r="X5678" s="75" t="str">
        <f>IF(OR(TH!N4911=TH!$X$7,O5678=TH!$X$7),"x","")</f>
        <v/>
      </c>
      <c r="Y5678" s="75" t="str">
        <f>IF(AND(OR(N5678="131",O5678="131"),H5678='131-CT'!$H$9),"x","")</f>
        <v/>
      </c>
      <c r="Z5678" s="75"/>
      <c r="AA5678" s="75" t="str">
        <f>IF(AND(MONTH(E5678)='IN-NX'!$J$5,'IN-NX'!$D$7=D5678),"x","")</f>
        <v/>
      </c>
      <c r="AB5678" s="75" t="str">
        <f>IF(AND(OR(LEFT(TH!N4911,2)="15",LEFT(TH!O4911,2)="15"),LEFT(TH!O4911,3)&lt;&gt;"111",'152-CT'!$J$8=TH!F4911),"x","")</f>
        <v/>
      </c>
      <c r="AC5678" s="75" t="str">
        <f>IF(AND(OR(LEFT(TH!N4911,2)="15",LEFT(TH!O4911,2)="15"),TK!$E$7=TH!F4911),"x","")</f>
        <v/>
      </c>
      <c r="AD5678" s="75" t="str">
        <f>IF(AND(N5678="1521",MONTH(C5678)='BK-NL'!$M$11),"x","")</f>
        <v/>
      </c>
      <c r="AE5678" s="304">
        <v>12</v>
      </c>
      <c r="AF5678" s="304"/>
      <c r="AG5678" s="304"/>
    </row>
    <row r="5679" spans="1:33" s="1264" customFormat="1" ht="16.5" customHeight="1">
      <c r="A5679" s="309" t="str">
        <f>IF(B5679&lt;&gt;"",IF(AND(B5679='IN-TC'!$S$4,OR(TH!N5662="1111",TH!O5662="1111")),TH!D5662,""),"")</f>
        <v/>
      </c>
      <c r="B5679" s="1159">
        <f t="shared" si="1362"/>
        <v>12</v>
      </c>
      <c r="C5679" s="292">
        <f t="shared" si="1361"/>
        <v>43097</v>
      </c>
      <c r="D5679" s="59" t="s">
        <v>902</v>
      </c>
      <c r="E5679" s="59">
        <v>43097</v>
      </c>
      <c r="F5679" s="62" t="s">
        <v>1213</v>
      </c>
      <c r="G5679" s="62" t="s">
        <v>585</v>
      </c>
      <c r="H5679" s="67" t="s">
        <v>845</v>
      </c>
      <c r="I5679" s="373"/>
      <c r="J5679" s="382"/>
      <c r="K5679" s="373"/>
      <c r="L5679" s="379"/>
      <c r="M5679" s="60">
        <v>5000</v>
      </c>
      <c r="N5679" s="61" t="s">
        <v>9</v>
      </c>
      <c r="O5679" s="61" t="s">
        <v>26</v>
      </c>
      <c r="P5679" s="75" t="str">
        <f>IF(AND('331-CT'!$E$7=TH!H4912,OR(N5679="331",O5679="331")),"x","")</f>
        <v/>
      </c>
      <c r="Q5679" s="75" t="str">
        <f>IF(AND(B5679='111'!$L$11,OR($N5679=$Q$7,$O5679=$Q$7)),"x","")</f>
        <v/>
      </c>
      <c r="R5679" s="75" t="str">
        <f>IF(AND($N5679=$Q$7,$B5679&lt;'111'!$L$11),"x","")</f>
        <v/>
      </c>
      <c r="S5679" s="75" t="str">
        <f>IF(AND($O5679=$Q$7,$B5679&lt;'111'!$L$11),"x","")</f>
        <v/>
      </c>
      <c r="T5679" s="75" t="str">
        <f>IF(ISERROR(FIND('112'!$M$9,G5679,1)),"",IF((AND(FIND('112'!$M$9,G5679,1)&gt;=1,B5679='112'!$K$9,OR($N5679='112'!$I$6,$O5679='112'!$I$6))),"x",""))</f>
        <v/>
      </c>
      <c r="U5679" s="75" t="str">
        <f>IF(ISERROR(FIND('112'!$M$9,G5679,1)),"",IF((AND(LEFT(G5679,2)=LEFT('112'!$M$9,2),B5679&lt;'112'!$K$9,$N5679='112'!$I$6)),"x",""))</f>
        <v/>
      </c>
      <c r="V5679" s="75" t="str">
        <f>IF(ISERROR(FIND('112'!$M$9,G5679,1)),"",IF((AND(RIGHT(G5679,2)=RIGHT('112'!$M$9,2),B5679&lt;'112'!$K$9,$O5679='112'!$I$6)),"x",""))</f>
        <v/>
      </c>
      <c r="W5679" s="75" t="str">
        <f>IF(AND('341-CT'!$H$9=H5679,OR(LEFT(N5679,3)=$W$7,LEFT(O5679,3)=$W$7)),"x","")</f>
        <v/>
      </c>
      <c r="X5679" s="75" t="str">
        <f>IF(OR(TH!N4912=TH!$X$7,O5679=TH!$X$7),"x","")</f>
        <v/>
      </c>
      <c r="Y5679" s="75" t="str">
        <f>IF(AND(OR(N5679="131",O5679="131"),H5679='131-CT'!$H$9),"x","")</f>
        <v/>
      </c>
      <c r="Z5679" s="75"/>
      <c r="AA5679" s="75" t="str">
        <f>IF(AND(MONTH(E5679)='IN-NX'!$J$5,'IN-NX'!$D$7=D5679),"x","")</f>
        <v/>
      </c>
      <c r="AB5679" s="75" t="str">
        <f>IF(AND(OR(LEFT(TH!N4912,2)="15",LEFT(TH!O4912,2)="15"),LEFT(TH!O4912,3)&lt;&gt;"111",'152-CT'!$J$8=TH!F4912),"x","")</f>
        <v/>
      </c>
      <c r="AC5679" s="75" t="str">
        <f>IF(AND(OR(LEFT(TH!N4912,2)="15",LEFT(TH!O4912,2)="15"),TK!$E$7=TH!F4912),"x","")</f>
        <v/>
      </c>
      <c r="AD5679" s="75" t="str">
        <f>IF(AND(N5679="1521",MONTH(C5679)='BK-NL'!$M$11),"x","")</f>
        <v/>
      </c>
      <c r="AE5679" s="304">
        <v>12</v>
      </c>
      <c r="AF5679" s="304"/>
      <c r="AG5679" s="304"/>
    </row>
    <row r="5680" spans="1:33" s="1264" customFormat="1" ht="16.5" customHeight="1">
      <c r="A5680" s="309" t="str">
        <f>IF(B5680&lt;&gt;"",IF(AND(B5680='IN-TC'!$S$4,OR(TH!N5663="1111",TH!O5663="1111")),TH!D5663,""),"")</f>
        <v/>
      </c>
      <c r="B5680" s="1159">
        <f t="shared" si="1362"/>
        <v>12</v>
      </c>
      <c r="C5680" s="292">
        <f t="shared" si="1361"/>
        <v>43097</v>
      </c>
      <c r="D5680" s="59" t="s">
        <v>2493</v>
      </c>
      <c r="E5680" s="59">
        <v>43097</v>
      </c>
      <c r="F5680" s="62" t="s">
        <v>885</v>
      </c>
      <c r="G5680" s="62" t="s">
        <v>585</v>
      </c>
      <c r="H5680" s="67" t="s">
        <v>1023</v>
      </c>
      <c r="I5680" s="373"/>
      <c r="J5680" s="382"/>
      <c r="K5680" s="373"/>
      <c r="L5680" s="379"/>
      <c r="M5680" s="60">
        <v>5580000000</v>
      </c>
      <c r="N5680" s="61" t="s">
        <v>26</v>
      </c>
      <c r="O5680" s="61" t="s">
        <v>63</v>
      </c>
      <c r="P5680" s="75" t="str">
        <f>IF(AND('331-CT'!$E$7=TH!H4913,OR(N5680="331",O5680="331")),"x","")</f>
        <v/>
      </c>
      <c r="Q5680" s="75" t="str">
        <f>IF(AND(B5680='111'!$L$11,OR($N5680=$Q$7,$O5680=$Q$7)),"x","")</f>
        <v>x</v>
      </c>
      <c r="R5680" s="75" t="str">
        <f>IF(AND($N5680=$Q$7,$B5680&lt;'111'!$L$11),"x","")</f>
        <v/>
      </c>
      <c r="S5680" s="75" t="str">
        <f>IF(AND($O5680=$Q$7,$B5680&lt;'111'!$L$11),"x","")</f>
        <v/>
      </c>
      <c r="T5680" s="75" t="str">
        <f>IF(ISERROR(FIND('112'!$M$9,G5680,1)),"",IF((AND(FIND('112'!$M$9,G5680,1)&gt;=1,B5680='112'!$K$9,OR($N5680='112'!$I$6,$O5680='112'!$I$6))),"x",""))</f>
        <v/>
      </c>
      <c r="U5680" s="75" t="str">
        <f>IF(ISERROR(FIND('112'!$M$9,G5680,1)),"",IF((AND(LEFT(G5680,2)=LEFT('112'!$M$9,2),B5680&lt;'112'!$K$9,$N5680='112'!$I$6)),"x",""))</f>
        <v/>
      </c>
      <c r="V5680" s="75" t="str">
        <f>IF(ISERROR(FIND('112'!$M$9,G5680,1)),"",IF((AND(RIGHT(G5680,2)=RIGHT('112'!$M$9,2),B5680&lt;'112'!$K$9,$O5680='112'!$I$6)),"x",""))</f>
        <v/>
      </c>
      <c r="W5680" s="75" t="str">
        <f>IF(AND('341-CT'!$H$9=H5680,OR(LEFT(N5680,3)=$W$7,LEFT(O5680,3)=$W$7)),"x","")</f>
        <v/>
      </c>
      <c r="X5680" s="75" t="str">
        <f>IF(OR(TH!N4913=TH!$X$7,O5680=TH!$X$7),"x","")</f>
        <v/>
      </c>
      <c r="Y5680" s="75" t="str">
        <f>IF(AND(OR(N5680="131",O5680="131"),H5680='131-CT'!$H$9),"x","")</f>
        <v/>
      </c>
      <c r="Z5680" s="75"/>
      <c r="AA5680" s="75" t="str">
        <f>IF(AND(MONTH(E5680)='IN-NX'!$J$5,'IN-NX'!$D$7=D5680),"x","")</f>
        <v/>
      </c>
      <c r="AB5680" s="75" t="str">
        <f>IF(AND(OR(LEFT(TH!N4913,2)="15",LEFT(TH!O4913,2)="15"),LEFT(TH!O4913,3)&lt;&gt;"111",'152-CT'!$J$8=TH!F4913),"x","")</f>
        <v/>
      </c>
      <c r="AC5680" s="75" t="str">
        <f>IF(AND(OR(LEFT(TH!N4913,2)="15",LEFT(TH!O4913,2)="15"),TK!$E$7=TH!F4913),"x","")</f>
        <v/>
      </c>
      <c r="AD5680" s="75" t="str">
        <f>IF(AND(N5680="1521",MONTH(C5680)='BK-NL'!$M$11),"x","")</f>
        <v/>
      </c>
      <c r="AE5680" s="304"/>
      <c r="AF5680" s="304"/>
      <c r="AG5680" s="304"/>
    </row>
    <row r="5681" spans="1:33" s="1264" customFormat="1" ht="16.5" customHeight="1">
      <c r="A5681" s="309" t="str">
        <f>IF(B5681&lt;&gt;"",IF(AND(B5681='IN-TC'!$S$4,OR(TH!N5664="1111",TH!O5664="1111")),TH!D5664,""),"")</f>
        <v/>
      </c>
      <c r="B5681" s="1159">
        <f t="shared" si="1362"/>
        <v>12</v>
      </c>
      <c r="C5681" s="292">
        <f t="shared" si="1361"/>
        <v>43097</v>
      </c>
      <c r="D5681" s="59" t="s">
        <v>902</v>
      </c>
      <c r="E5681" s="59">
        <v>43097</v>
      </c>
      <c r="F5681" s="62" t="s">
        <v>897</v>
      </c>
      <c r="G5681" s="62" t="s">
        <v>585</v>
      </c>
      <c r="H5681" s="67" t="s">
        <v>623</v>
      </c>
      <c r="I5681" s="373"/>
      <c r="J5681" s="382"/>
      <c r="K5681" s="373"/>
      <c r="L5681" s="379"/>
      <c r="M5681" s="60">
        <v>5619134000</v>
      </c>
      <c r="N5681" s="61" t="s">
        <v>8</v>
      </c>
      <c r="O5681" s="61" t="s">
        <v>26</v>
      </c>
      <c r="P5681" s="75" t="str">
        <f>IF(AND('331-CT'!$E$7=TH!H4914,OR(N5681="331",O5681="331")),"x","")</f>
        <v/>
      </c>
      <c r="Q5681" s="75" t="str">
        <f>IF(AND(B5681='111'!$L$11,OR($N5681=$Q$7,$O5681=$Q$7)),"x","")</f>
        <v/>
      </c>
      <c r="R5681" s="75" t="str">
        <f>IF(AND($N5681=$Q$7,$B5681&lt;'111'!$L$11),"x","")</f>
        <v/>
      </c>
      <c r="S5681" s="75" t="str">
        <f>IF(AND($O5681=$Q$7,$B5681&lt;'111'!$L$11),"x","")</f>
        <v/>
      </c>
      <c r="T5681" s="75" t="str">
        <f>IF(ISERROR(FIND('112'!$M$9,G5681,1)),"",IF((AND(FIND('112'!$M$9,G5681,1)&gt;=1,B5681='112'!$K$9,OR($N5681='112'!$I$6,$O5681='112'!$I$6))),"x",""))</f>
        <v/>
      </c>
      <c r="U5681" s="75" t="str">
        <f>IF(ISERROR(FIND('112'!$M$9,G5681,1)),"",IF((AND(LEFT(G5681,2)=LEFT('112'!$M$9,2),B5681&lt;'112'!$K$9,$N5681='112'!$I$6)),"x",""))</f>
        <v/>
      </c>
      <c r="V5681" s="75" t="str">
        <f>IF(ISERROR(FIND('112'!$M$9,G5681,1)),"",IF((AND(RIGHT(G5681,2)=RIGHT('112'!$M$9,2),B5681&lt;'112'!$K$9,$O5681='112'!$I$6)),"x",""))</f>
        <v/>
      </c>
      <c r="W5681" s="75" t="str">
        <f>IF(AND('341-CT'!$H$9=H5681,OR(LEFT(N5681,3)=$W$7,LEFT(O5681,3)=$W$7)),"x","")</f>
        <v/>
      </c>
      <c r="X5681" s="75" t="str">
        <f>IF(OR(TH!N4914=TH!$X$7,O5681=TH!$X$7),"x","")</f>
        <v/>
      </c>
      <c r="Y5681" s="75" t="str">
        <f>IF(AND(OR(N5681="131",O5681="131"),H5681='131-CT'!$H$9),"x","")</f>
        <v/>
      </c>
      <c r="Z5681" s="75"/>
      <c r="AA5681" s="75" t="str">
        <f>IF(AND(MONTH(E5681)='IN-NX'!$J$5,'IN-NX'!$D$7=D5681),"x","")</f>
        <v/>
      </c>
      <c r="AB5681" s="75" t="str">
        <f>IF(AND(OR(LEFT(TH!N4914,2)="15",LEFT(TH!O4914,2)="15"),LEFT(TH!O4914,3)&lt;&gt;"111",'152-CT'!$J$8=TH!F4914),"x","")</f>
        <v/>
      </c>
      <c r="AC5681" s="75" t="str">
        <f>IF(AND(OR(LEFT(TH!N4914,2)="15",LEFT(TH!O4914,2)="15"),TK!$E$7=TH!F4914),"x","")</f>
        <v/>
      </c>
      <c r="AD5681" s="75" t="str">
        <f>IF(AND(N5681="1521",MONTH(C5681)='BK-NL'!$M$11),"x","")</f>
        <v/>
      </c>
      <c r="AE5681" s="304"/>
      <c r="AF5681" s="304"/>
      <c r="AG5681" s="304"/>
    </row>
    <row r="5682" spans="1:33" s="1264" customFormat="1" ht="16.5" customHeight="1">
      <c r="A5682" s="309" t="str">
        <f>IF(B5682&lt;&gt;"",IF(AND(B5682='IN-TC'!$S$4,OR(TH!N5665="1111",TH!O5665="1111")),TH!D5665,""),"")</f>
        <v/>
      </c>
      <c r="B5682" s="1159">
        <f t="shared" si="1362"/>
        <v>12</v>
      </c>
      <c r="C5682" s="292">
        <f t="shared" si="1361"/>
        <v>43097</v>
      </c>
      <c r="D5682" s="59" t="s">
        <v>902</v>
      </c>
      <c r="E5682" s="59">
        <v>43097</v>
      </c>
      <c r="F5682" s="62" t="s">
        <v>1307</v>
      </c>
      <c r="G5682" s="62" t="s">
        <v>585</v>
      </c>
      <c r="H5682" s="67" t="s">
        <v>845</v>
      </c>
      <c r="I5682" s="373"/>
      <c r="J5682" s="382"/>
      <c r="K5682" s="373"/>
      <c r="L5682" s="379"/>
      <c r="M5682" s="60">
        <v>1500000</v>
      </c>
      <c r="N5682" s="61" t="s">
        <v>101</v>
      </c>
      <c r="O5682" s="61" t="s">
        <v>26</v>
      </c>
      <c r="P5682" s="75" t="str">
        <f>IF(AND('331-CT'!$E$7=TH!H4915,OR(N5682="331",O5682="331")),"x","")</f>
        <v/>
      </c>
      <c r="Q5682" s="75" t="str">
        <f>IF(AND(B5682='111'!$L$11,OR($N5682=$Q$7,$O5682=$Q$7)),"x","")</f>
        <v/>
      </c>
      <c r="R5682" s="75" t="str">
        <f>IF(AND($N5682=$Q$7,$B5682&lt;'111'!$L$11),"x","")</f>
        <v/>
      </c>
      <c r="S5682" s="75" t="str">
        <f>IF(AND($O5682=$Q$7,$B5682&lt;'111'!$L$11),"x","")</f>
        <v/>
      </c>
      <c r="T5682" s="75" t="str">
        <f>IF(ISERROR(FIND('112'!$M$9,G5682,1)),"",IF((AND(FIND('112'!$M$9,G5682,1)&gt;=1,B5682='112'!$K$9,OR($N5682='112'!$I$6,$O5682='112'!$I$6))),"x",""))</f>
        <v/>
      </c>
      <c r="U5682" s="75" t="str">
        <f>IF(ISERROR(FIND('112'!$M$9,G5682,1)),"",IF((AND(LEFT(G5682,2)=LEFT('112'!$M$9,2),B5682&lt;'112'!$K$9,$N5682='112'!$I$6)),"x",""))</f>
        <v/>
      </c>
      <c r="V5682" s="75" t="str">
        <f>IF(ISERROR(FIND('112'!$M$9,G5682,1)),"",IF((AND(RIGHT(G5682,2)=RIGHT('112'!$M$9,2),B5682&lt;'112'!$K$9,$O5682='112'!$I$6)),"x",""))</f>
        <v/>
      </c>
      <c r="W5682" s="75" t="str">
        <f>IF(AND('341-CT'!$H$9=H5682,OR(LEFT(N5682,3)=$W$7,LEFT(O5682,3)=$W$7)),"x","")</f>
        <v/>
      </c>
      <c r="X5682" s="75" t="str">
        <f>IF(OR(TH!N4915=TH!$X$7,O5682=TH!$X$7),"x","")</f>
        <v/>
      </c>
      <c r="Y5682" s="75" t="str">
        <f>IF(AND(OR(N5682="131",O5682="131"),H5682='131-CT'!$H$9),"x","")</f>
        <v/>
      </c>
      <c r="Z5682" s="75"/>
      <c r="AA5682" s="75" t="str">
        <f>IF(AND(MONTH(E5682)='IN-NX'!$J$5,'IN-NX'!$D$7=D5682),"x","")</f>
        <v/>
      </c>
      <c r="AB5682" s="75" t="str">
        <f>IF(AND(OR(LEFT(TH!N4915,2)="15",LEFT(TH!O4915,2)="15"),LEFT(TH!O4915,3)&lt;&gt;"111",'152-CT'!$J$8=TH!F4915),"x","")</f>
        <v/>
      </c>
      <c r="AC5682" s="75" t="str">
        <f>IF(AND(OR(LEFT(TH!N4915,2)="15",LEFT(TH!O4915,2)="15"),TK!$E$7=TH!F4915),"x","")</f>
        <v/>
      </c>
      <c r="AD5682" s="75" t="str">
        <f>IF(AND(N5682="1521",MONTH(C5682)='BK-NL'!$M$11),"x","")</f>
        <v/>
      </c>
      <c r="AE5682" s="304">
        <v>12</v>
      </c>
      <c r="AF5682" s="304"/>
      <c r="AG5682" s="304"/>
    </row>
    <row r="5683" spans="1:33" s="1264" customFormat="1" ht="16.5" customHeight="1">
      <c r="A5683" s="309" t="str">
        <f>IF(B5683&lt;&gt;"",IF(AND(B5683='IN-TC'!$S$4,OR(TH!N5666="1111",TH!O5666="1111")),TH!D5666,""),"")</f>
        <v/>
      </c>
      <c r="B5683" s="1159">
        <f t="shared" si="1362"/>
        <v>12</v>
      </c>
      <c r="C5683" s="292">
        <f t="shared" ref="C5683:C5714" si="1363">E5683</f>
        <v>43097</v>
      </c>
      <c r="D5683" s="59" t="s">
        <v>902</v>
      </c>
      <c r="E5683" s="59">
        <v>43097</v>
      </c>
      <c r="F5683" s="62" t="s">
        <v>1314</v>
      </c>
      <c r="G5683" s="62" t="s">
        <v>585</v>
      </c>
      <c r="H5683" s="67" t="s">
        <v>845</v>
      </c>
      <c r="I5683" s="373"/>
      <c r="J5683" s="382"/>
      <c r="K5683" s="373"/>
      <c r="L5683" s="379"/>
      <c r="M5683" s="60">
        <v>150000</v>
      </c>
      <c r="N5683" s="61" t="s">
        <v>9</v>
      </c>
      <c r="O5683" s="61" t="s">
        <v>26</v>
      </c>
      <c r="P5683" s="75" t="str">
        <f>IF(AND('331-CT'!$E$7=TH!H4916,OR(N5683="331",O5683="331")),"x","")</f>
        <v/>
      </c>
      <c r="Q5683" s="75" t="str">
        <f>IF(AND(B5683='111'!$L$11,OR($N5683=$Q$7,$O5683=$Q$7)),"x","")</f>
        <v/>
      </c>
      <c r="R5683" s="75" t="str">
        <f>IF(AND($N5683=$Q$7,$B5683&lt;'111'!$L$11),"x","")</f>
        <v/>
      </c>
      <c r="S5683" s="75" t="str">
        <f>IF(AND($O5683=$Q$7,$B5683&lt;'111'!$L$11),"x","")</f>
        <v/>
      </c>
      <c r="T5683" s="75" t="str">
        <f>IF(ISERROR(FIND('112'!$M$9,G5683,1)),"",IF((AND(FIND('112'!$M$9,G5683,1)&gt;=1,B5683='112'!$K$9,OR($N5683='112'!$I$6,$O5683='112'!$I$6))),"x",""))</f>
        <v/>
      </c>
      <c r="U5683" s="75" t="str">
        <f>IF(ISERROR(FIND('112'!$M$9,G5683,1)),"",IF((AND(LEFT(G5683,2)=LEFT('112'!$M$9,2),B5683&lt;'112'!$K$9,$N5683='112'!$I$6)),"x",""))</f>
        <v/>
      </c>
      <c r="V5683" s="75" t="str">
        <f>IF(ISERROR(FIND('112'!$M$9,G5683,1)),"",IF((AND(RIGHT(G5683,2)=RIGHT('112'!$M$9,2),B5683&lt;'112'!$K$9,$O5683='112'!$I$6)),"x",""))</f>
        <v/>
      </c>
      <c r="W5683" s="75" t="str">
        <f>IF(AND('341-CT'!$H$9=H5683,OR(LEFT(N5683,3)=$W$7,LEFT(O5683,3)=$W$7)),"x","")</f>
        <v/>
      </c>
      <c r="X5683" s="75" t="str">
        <f>IF(OR(TH!N4916=TH!$X$7,O5683=TH!$X$7),"x","")</f>
        <v/>
      </c>
      <c r="Y5683" s="75" t="str">
        <f>IF(AND(OR(N5683="131",O5683="131"),H5683='131-CT'!$H$9),"x","")</f>
        <v/>
      </c>
      <c r="Z5683" s="75"/>
      <c r="AA5683" s="75" t="str">
        <f>IF(AND(MONTH(E5683)='IN-NX'!$J$5,'IN-NX'!$D$7=D5683),"x","")</f>
        <v/>
      </c>
      <c r="AB5683" s="75" t="str">
        <f>IF(AND(OR(LEFT(TH!N4916,2)="15",LEFT(TH!O4916,2)="15"),LEFT(TH!O4916,3)&lt;&gt;"111",'152-CT'!$J$8=TH!F4916),"x","")</f>
        <v/>
      </c>
      <c r="AC5683" s="75" t="str">
        <f>IF(AND(OR(LEFT(TH!N4916,2)="15",LEFT(TH!O4916,2)="15"),TK!$E$7=TH!F4916),"x","")</f>
        <v/>
      </c>
      <c r="AD5683" s="75" t="str">
        <f>IF(AND(N5683="1521",MONTH(C5683)='BK-NL'!$M$11),"x","")</f>
        <v/>
      </c>
      <c r="AE5683" s="304">
        <v>12</v>
      </c>
      <c r="AF5683" s="304"/>
      <c r="AG5683" s="304"/>
    </row>
    <row r="5684" spans="1:33" s="1264" customFormat="1" ht="16.5" customHeight="1">
      <c r="A5684" s="309" t="str">
        <f>IF(B5684&lt;&gt;"",IF(AND(B5684='IN-TC'!$S$4,OR(TH!N5667="1111",TH!O5667="1111")),TH!D5667,""),"")</f>
        <v/>
      </c>
      <c r="B5684" s="1159">
        <f t="shared" si="1362"/>
        <v>12</v>
      </c>
      <c r="C5684" s="292">
        <f t="shared" si="1363"/>
        <v>43097</v>
      </c>
      <c r="D5684" s="59" t="s">
        <v>903</v>
      </c>
      <c r="E5684" s="59">
        <v>43097</v>
      </c>
      <c r="F5684" s="62" t="s">
        <v>2798</v>
      </c>
      <c r="G5684" s="62" t="s">
        <v>747</v>
      </c>
      <c r="H5684" s="67" t="s">
        <v>2795</v>
      </c>
      <c r="I5684" s="373"/>
      <c r="J5684" s="382"/>
      <c r="K5684" s="373">
        <v>26200</v>
      </c>
      <c r="L5684" s="379">
        <v>22700</v>
      </c>
      <c r="M5684" s="60">
        <f>ROUND(K5684*L5684,0)</f>
        <v>594740000</v>
      </c>
      <c r="N5684" s="61" t="s">
        <v>26</v>
      </c>
      <c r="O5684" s="61" t="s">
        <v>250</v>
      </c>
      <c r="P5684" s="75" t="str">
        <f>IF(AND('331-CT'!$E$7=TH!H5664,OR(N5684="331",O5684="331")),"x","")</f>
        <v/>
      </c>
      <c r="Q5684" s="75" t="str">
        <f>IF(AND(B5684='111'!$L$11,OR($N5684=$Q$7,$O5684=$Q$7)),"x","")</f>
        <v/>
      </c>
      <c r="R5684" s="75" t="str">
        <f>IF(AND($N5684=$Q$7,$B5684&lt;'111'!$L$11),"x","")</f>
        <v/>
      </c>
      <c r="S5684" s="75" t="str">
        <f>IF(AND($O5684=$Q$7,$B5684&lt;'111'!$L$11),"x","")</f>
        <v/>
      </c>
      <c r="T5684" s="75" t="str">
        <f>IF(ISERROR(FIND('112'!$M$9,G5684,1)),"",IF((AND(FIND('112'!$M$9,G5684,1)&gt;=1,B5684='112'!$K$9,OR($N5684='112'!$I$6,$O5684='112'!$I$6))),"x",""))</f>
        <v/>
      </c>
      <c r="U5684" s="75" t="str">
        <f>IF(ISERROR(FIND('112'!$M$9,G5684,1)),"",IF((AND(LEFT(G5684,2)=LEFT('112'!$M$9,2),B5684&lt;'112'!$K$9,$N5684='112'!$I$6)),"x",""))</f>
        <v/>
      </c>
      <c r="V5684" s="75" t="str">
        <f>IF(ISERROR(FIND('112'!$M$9,G5684,1)),"",IF((AND(RIGHT(G5684,2)=RIGHT('112'!$M$9,2),B5684&lt;'112'!$K$9,$O5684='112'!$I$6)),"x",""))</f>
        <v/>
      </c>
      <c r="W5684" s="75" t="str">
        <f>IF(AND('341-CT'!$H$9=H5684,OR(LEFT(N5684,3)=$W$7,LEFT(O5684,3)=$W$7)),"x","")</f>
        <v/>
      </c>
      <c r="X5684" s="75" t="str">
        <f>IF(OR(TH!N5664=TH!$X$7,O5684=TH!$X$7),"x","")</f>
        <v/>
      </c>
      <c r="Y5684" s="75" t="str">
        <f>IF(AND(OR(N5684="131",O5684="131"),H5684='131-CT'!$H$9),"x","")</f>
        <v/>
      </c>
      <c r="Z5684" s="75"/>
      <c r="AA5684" s="75" t="str">
        <f>IF(AND(MONTH(E5684)='IN-NX'!$J$5,'IN-NX'!$D$7=D5684),"x","")</f>
        <v/>
      </c>
      <c r="AB5684" s="75" t="str">
        <f>IF(AND(OR(LEFT(TH!N5664,2)="15",LEFT(TH!O5664,2)="15"),LEFT(TH!O5664,3)&lt;&gt;"111",'152-CT'!$J$8=TH!F5664),"x","")</f>
        <v/>
      </c>
      <c r="AC5684" s="75" t="str">
        <f>IF(AND(OR(LEFT(TH!N5664,2)="15",LEFT(TH!O5664,2)="15"),TK!$E$7=TH!F5664),"x","")</f>
        <v/>
      </c>
      <c r="AD5684" s="75" t="str">
        <f>IF(AND(N5684="1521",MONTH(C5684)='BK-NL'!$M$11),"x","")</f>
        <v/>
      </c>
      <c r="AE5684"/>
      <c r="AF5684"/>
      <c r="AG5684"/>
    </row>
    <row r="5685" spans="1:33" s="1264" customFormat="1" ht="16.5" customHeight="1">
      <c r="A5685" s="309" t="str">
        <f>IF(B5685&lt;&gt;"",IF(AND(B5685='IN-TC'!$S$4,OR(TH!N5668="1111",TH!O5668="1111")),TH!D5668,""),"")</f>
        <v/>
      </c>
      <c r="B5685" s="1159">
        <f t="shared" si="1362"/>
        <v>12</v>
      </c>
      <c r="C5685" s="292">
        <f t="shared" si="1363"/>
        <v>43098</v>
      </c>
      <c r="D5685" s="59"/>
      <c r="E5685" s="59">
        <v>43098</v>
      </c>
      <c r="F5685" s="62" t="s">
        <v>2829</v>
      </c>
      <c r="G5685" s="742" t="s">
        <v>2827</v>
      </c>
      <c r="H5685" s="67" t="s">
        <v>974</v>
      </c>
      <c r="I5685" s="375"/>
      <c r="J5685" s="382"/>
      <c r="K5685" s="375"/>
      <c r="L5685" s="381"/>
      <c r="M5685" s="60">
        <v>11500000</v>
      </c>
      <c r="N5685" s="61" t="s">
        <v>101</v>
      </c>
      <c r="O5685" s="61" t="s">
        <v>63</v>
      </c>
      <c r="P5685" s="75" t="str">
        <f>IF(AND('331-CT'!$E$7=TH!H4180,OR(N5685="331",O5685="331")),"x","")</f>
        <v/>
      </c>
      <c r="Q5685" s="75" t="str">
        <f>IF(AND(B5685='111'!$L$11,OR($N5685=$Q$7,$O5685=$Q$7)),"x","")</f>
        <v>x</v>
      </c>
      <c r="R5685" s="75" t="str">
        <f>IF(AND($N5685=$Q$7,$B5685&lt;'111'!$L$11),"x","")</f>
        <v/>
      </c>
      <c r="S5685" s="75" t="str">
        <f>IF(AND($O5685=$Q$7,$B5685&lt;'111'!$L$11),"x","")</f>
        <v/>
      </c>
      <c r="T5685" s="75" t="str">
        <f>IF(ISERROR(FIND('112'!$M$9,G5685,1)),"",IF((AND(FIND('112'!$M$9,G5685,1)&gt;=1,B5685='112'!$K$9,OR($N5685='112'!$I$6,$O5685='112'!$I$6))),"x",""))</f>
        <v/>
      </c>
      <c r="U5685" s="75" t="str">
        <f>IF(ISERROR(FIND('112'!$M$9,G5685,1)),"",IF((AND(LEFT(G5685,2)=LEFT('112'!$M$9,2),B5685&lt;'112'!$K$9,$N5685='112'!$I$6)),"x",""))</f>
        <v/>
      </c>
      <c r="V5685" s="75" t="str">
        <f>IF(ISERROR(FIND('112'!$M$9,G5685,1)),"",IF((AND(RIGHT(G5685,2)=RIGHT('112'!$M$9,2),B5685&lt;'112'!$K$9,$O5685='112'!$I$6)),"x",""))</f>
        <v/>
      </c>
      <c r="W5685" s="75" t="str">
        <f>IF(AND('341-CT'!$H$9=H5685,OR(LEFT(N5685,3)=$W$7,LEFT(O5685,3)=$W$7)),"x","")</f>
        <v/>
      </c>
      <c r="X5685" s="75" t="str">
        <f>IF(OR(TH!N4180=TH!$X$7,O5685=TH!$X$7),"x","")</f>
        <v/>
      </c>
      <c r="Y5685" s="75" t="str">
        <f>IF(AND(OR(N5685="131",O5685="131"),H5685='131-CT'!$H$9),"x","")</f>
        <v/>
      </c>
      <c r="Z5685" s="75"/>
      <c r="AA5685" s="75" t="str">
        <f>IF(AND(MONTH(E5685)='IN-NX'!$J$5,'IN-NX'!$D$7=D5685),"x","")</f>
        <v/>
      </c>
      <c r="AB5685" s="75" t="str">
        <f>IF(AND(OR(LEFT(TH!N4180,2)="15",LEFT(TH!O4180,2)="15"),LEFT(TH!O4180,3)&lt;&gt;"111",'152-CT'!$J$8=TH!F4180),"x","")</f>
        <v/>
      </c>
      <c r="AC5685" s="75" t="str">
        <f>IF(AND(OR(LEFT(TH!N4180,2)="15",LEFT(TH!O4180,2)="15"),TK!$E$7=TH!F4180),"x","")</f>
        <v/>
      </c>
      <c r="AD5685" s="75" t="str">
        <f>IF(AND(N5685="1521",MONTH(C5685)='BK-NL'!$M$11),"x","")</f>
        <v/>
      </c>
      <c r="AE5685">
        <v>12</v>
      </c>
      <c r="AF5685"/>
      <c r="AG5685"/>
    </row>
    <row r="5686" spans="1:33" s="1264" customFormat="1" ht="16.5" customHeight="1">
      <c r="A5686" s="309" t="str">
        <f>IF(B5686&lt;&gt;"",IF(AND(B5686='IN-TC'!$S$4,OR(TH!N5669="1111",TH!O5669="1111")),TH!D5669,""),"")</f>
        <v/>
      </c>
      <c r="B5686" s="1159">
        <f t="shared" si="1362"/>
        <v>12</v>
      </c>
      <c r="C5686" s="292">
        <f t="shared" si="1363"/>
        <v>43098</v>
      </c>
      <c r="D5686" s="59"/>
      <c r="E5686" s="59">
        <v>43098</v>
      </c>
      <c r="F5686" s="62" t="s">
        <v>2830</v>
      </c>
      <c r="G5686" s="742" t="s">
        <v>2827</v>
      </c>
      <c r="H5686" s="67" t="s">
        <v>974</v>
      </c>
      <c r="I5686" s="375"/>
      <c r="J5686" s="382"/>
      <c r="K5686" s="375"/>
      <c r="L5686" s="381"/>
      <c r="M5686" s="60">
        <v>1150000</v>
      </c>
      <c r="N5686" s="61" t="s">
        <v>9</v>
      </c>
      <c r="O5686" s="61" t="s">
        <v>63</v>
      </c>
      <c r="P5686" s="75" t="str">
        <f>IF(AND('331-CT'!$E$7=TH!H4181,OR(N5686="331",O5686="331")),"x","")</f>
        <v/>
      </c>
      <c r="Q5686" s="75" t="str">
        <f>IF(AND(B5686='111'!$L$11,OR($N5686=$Q$7,$O5686=$Q$7)),"x","")</f>
        <v>x</v>
      </c>
      <c r="R5686" s="75" t="str">
        <f>IF(AND($N5686=$Q$7,$B5686&lt;'111'!$L$11),"x","")</f>
        <v/>
      </c>
      <c r="S5686" s="75" t="str">
        <f>IF(AND($O5686=$Q$7,$B5686&lt;'111'!$L$11),"x","")</f>
        <v/>
      </c>
      <c r="T5686" s="75" t="str">
        <f>IF(ISERROR(FIND('112'!$M$9,G5686,1)),"",IF((AND(FIND('112'!$M$9,G5686,1)&gt;=1,B5686='112'!$K$9,OR($N5686='112'!$I$6,$O5686='112'!$I$6))),"x",""))</f>
        <v/>
      </c>
      <c r="U5686" s="75" t="str">
        <f>IF(ISERROR(FIND('112'!$M$9,G5686,1)),"",IF((AND(LEFT(G5686,2)=LEFT('112'!$M$9,2),B5686&lt;'112'!$K$9,$N5686='112'!$I$6)),"x",""))</f>
        <v/>
      </c>
      <c r="V5686" s="75" t="str">
        <f>IF(ISERROR(FIND('112'!$M$9,G5686,1)),"",IF((AND(RIGHT(G5686,2)=RIGHT('112'!$M$9,2),B5686&lt;'112'!$K$9,$O5686='112'!$I$6)),"x",""))</f>
        <v/>
      </c>
      <c r="W5686" s="75" t="str">
        <f>IF(AND('341-CT'!$H$9=H5686,OR(LEFT(N5686,3)=$W$7,LEFT(O5686,3)=$W$7)),"x","")</f>
        <v/>
      </c>
      <c r="X5686" s="75" t="str">
        <f>IF(OR(TH!N4181=TH!$X$7,O5686=TH!$X$7),"x","")</f>
        <v/>
      </c>
      <c r="Y5686" s="75" t="str">
        <f>IF(AND(OR(N5686="131",O5686="131"),H5686='131-CT'!$H$9),"x","")</f>
        <v/>
      </c>
      <c r="Z5686" s="75"/>
      <c r="AA5686" s="75" t="str">
        <f>IF(AND(MONTH(E5686)='IN-NX'!$J$5,'IN-NX'!$D$7=D5686),"x","")</f>
        <v/>
      </c>
      <c r="AB5686" s="75" t="str">
        <f>IF(AND(OR(LEFT(TH!N4181,2)="15",LEFT(TH!O4181,2)="15"),LEFT(TH!O4181,3)&lt;&gt;"111",'152-CT'!$J$8=TH!F4181),"x","")</f>
        <v/>
      </c>
      <c r="AC5686" s="75" t="str">
        <f>IF(AND(OR(LEFT(TH!N4181,2)="15",LEFT(TH!O4181,2)="15"),TK!$E$7=TH!F4181),"x","")</f>
        <v/>
      </c>
      <c r="AD5686" s="75" t="str">
        <f>IF(AND(N5686="1521",MONTH(C5686)='BK-NL'!$M$11),"x","")</f>
        <v/>
      </c>
      <c r="AE5686">
        <v>12</v>
      </c>
      <c r="AF5686"/>
      <c r="AG5686"/>
    </row>
    <row r="5687" spans="1:33" s="1264" customFormat="1" ht="16.5" customHeight="1">
      <c r="A5687" s="309" t="str">
        <f>IF(B5687&lt;&gt;"",IF(AND(B5687='IN-TC'!$S$4,OR(TH!N5670="1111",TH!O5670="1111")),TH!D5670,""),"")</f>
        <v/>
      </c>
      <c r="B5687" s="1159">
        <f t="shared" si="1362"/>
        <v>12</v>
      </c>
      <c r="C5687" s="292">
        <f t="shared" si="1363"/>
        <v>43098</v>
      </c>
      <c r="D5687" s="59"/>
      <c r="E5687" s="59">
        <v>43098</v>
      </c>
      <c r="F5687" s="62" t="s">
        <v>1029</v>
      </c>
      <c r="G5687" s="742" t="s">
        <v>2900</v>
      </c>
      <c r="H5687" s="67" t="s">
        <v>1336</v>
      </c>
      <c r="I5687" s="375"/>
      <c r="J5687" s="382"/>
      <c r="K5687" s="375"/>
      <c r="L5687" s="381"/>
      <c r="M5687" s="60">
        <v>636364</v>
      </c>
      <c r="N5687" s="61" t="s">
        <v>539</v>
      </c>
      <c r="O5687" s="61" t="s">
        <v>63</v>
      </c>
      <c r="P5687" s="75" t="str">
        <f>IF(AND('331-CT'!$E$7=TH!H4182,OR(N5687="331",O5687="331")),"x","")</f>
        <v/>
      </c>
      <c r="Q5687" s="75" t="str">
        <f>IF(AND(B5687='111'!$L$11,OR($N5687=$Q$7,$O5687=$Q$7)),"x","")</f>
        <v>x</v>
      </c>
      <c r="R5687" s="75" t="str">
        <f>IF(AND($N5687=$Q$7,$B5687&lt;'111'!$L$11),"x","")</f>
        <v/>
      </c>
      <c r="S5687" s="75" t="str">
        <f>IF(AND($O5687=$Q$7,$B5687&lt;'111'!$L$11),"x","")</f>
        <v/>
      </c>
      <c r="T5687" s="75" t="str">
        <f>IF(ISERROR(FIND('112'!$M$9,G5687,1)),"",IF((AND(FIND('112'!$M$9,G5687,1)&gt;=1,B5687='112'!$K$9,OR($N5687='112'!$I$6,$O5687='112'!$I$6))),"x",""))</f>
        <v/>
      </c>
      <c r="U5687" s="75" t="str">
        <f>IF(ISERROR(FIND('112'!$M$9,G5687,1)),"",IF((AND(LEFT(G5687,2)=LEFT('112'!$M$9,2),B5687&lt;'112'!$K$9,$N5687='112'!$I$6)),"x",""))</f>
        <v/>
      </c>
      <c r="V5687" s="75" t="str">
        <f>IF(ISERROR(FIND('112'!$M$9,G5687,1)),"",IF((AND(RIGHT(G5687,2)=RIGHT('112'!$M$9,2),B5687&lt;'112'!$K$9,$O5687='112'!$I$6)),"x",""))</f>
        <v/>
      </c>
      <c r="W5687" s="75" t="str">
        <f>IF(AND('341-CT'!$H$9=H5687,OR(LEFT(N5687,3)=$W$7,LEFT(O5687,3)=$W$7)),"x","")</f>
        <v/>
      </c>
      <c r="X5687" s="75" t="str">
        <f>IF(OR(TH!N4182=TH!$X$7,O5687=TH!$X$7),"x","")</f>
        <v/>
      </c>
      <c r="Y5687" s="75" t="str">
        <f>IF(AND(OR(N5687="131",O5687="131"),H5687='131-CT'!$H$9),"x","")</f>
        <v/>
      </c>
      <c r="Z5687" s="75"/>
      <c r="AA5687" s="75" t="str">
        <f>IF(AND(MONTH(E5687)='IN-NX'!$J$5,'IN-NX'!$D$7=D5687),"x","")</f>
        <v/>
      </c>
      <c r="AB5687" s="75" t="str">
        <f>IF(AND(OR(LEFT(TH!N4182,2)="15",LEFT(TH!O4182,2)="15"),LEFT(TH!O4182,3)&lt;&gt;"111",'152-CT'!$J$8=TH!F4182),"x","")</f>
        <v/>
      </c>
      <c r="AC5687" s="75" t="str">
        <f>IF(AND(OR(LEFT(TH!N4182,2)="15",LEFT(TH!O4182,2)="15"),TK!$E$7=TH!F4182),"x","")</f>
        <v/>
      </c>
      <c r="AD5687" s="75" t="str">
        <f>IF(AND(N5687="1521",MONTH(C5687)='BK-NL'!$M$11),"x","")</f>
        <v/>
      </c>
      <c r="AE5687" t="s">
        <v>2969</v>
      </c>
      <c r="AF5687"/>
      <c r="AG5687"/>
    </row>
    <row r="5688" spans="1:33" s="1264" customFormat="1" ht="16.5" customHeight="1">
      <c r="A5688" s="309" t="str">
        <f>IF(B5688&lt;&gt;"",IF(AND(B5688='IN-TC'!$S$4,OR(TH!N5671="1111",TH!O5671="1111")),TH!D5671,""),"")</f>
        <v/>
      </c>
      <c r="B5688" s="1159">
        <f t="shared" si="1362"/>
        <v>12</v>
      </c>
      <c r="C5688" s="292">
        <f t="shared" si="1363"/>
        <v>43098</v>
      </c>
      <c r="D5688" s="59"/>
      <c r="E5688" s="59">
        <v>43098</v>
      </c>
      <c r="F5688" s="62" t="s">
        <v>1030</v>
      </c>
      <c r="G5688" s="742" t="s">
        <v>2900</v>
      </c>
      <c r="H5688" s="67" t="s">
        <v>1336</v>
      </c>
      <c r="I5688" s="375"/>
      <c r="J5688" s="382"/>
      <c r="K5688" s="375"/>
      <c r="L5688" s="381"/>
      <c r="M5688" s="60">
        <v>63636</v>
      </c>
      <c r="N5688" s="61" t="s">
        <v>9</v>
      </c>
      <c r="O5688" s="61" t="s">
        <v>63</v>
      </c>
      <c r="P5688" s="75" t="str">
        <f>IF(AND('331-CT'!$E$7=TH!H4183,OR(N5688="331",O5688="331")),"x","")</f>
        <v/>
      </c>
      <c r="Q5688" s="75" t="str">
        <f>IF(AND(B5688='111'!$L$11,OR($N5688=$Q$7,$O5688=$Q$7)),"x","")</f>
        <v>x</v>
      </c>
      <c r="R5688" s="75" t="str">
        <f>IF(AND($N5688=$Q$7,$B5688&lt;'111'!$L$11),"x","")</f>
        <v/>
      </c>
      <c r="S5688" s="75" t="str">
        <f>IF(AND($O5688=$Q$7,$B5688&lt;'111'!$L$11),"x","")</f>
        <v/>
      </c>
      <c r="T5688" s="75" t="str">
        <f>IF(ISERROR(FIND('112'!$M$9,G5688,1)),"",IF((AND(FIND('112'!$M$9,G5688,1)&gt;=1,B5688='112'!$K$9,OR($N5688='112'!$I$6,$O5688='112'!$I$6))),"x",""))</f>
        <v/>
      </c>
      <c r="U5688" s="75" t="str">
        <f>IF(ISERROR(FIND('112'!$M$9,G5688,1)),"",IF((AND(LEFT(G5688,2)=LEFT('112'!$M$9,2),B5688&lt;'112'!$K$9,$N5688='112'!$I$6)),"x",""))</f>
        <v/>
      </c>
      <c r="V5688" s="75" t="str">
        <f>IF(ISERROR(FIND('112'!$M$9,G5688,1)),"",IF((AND(RIGHT(G5688,2)=RIGHT('112'!$M$9,2),B5688&lt;'112'!$K$9,$O5688='112'!$I$6)),"x",""))</f>
        <v/>
      </c>
      <c r="W5688" s="75" t="str">
        <f>IF(AND('341-CT'!$H$9=H5688,OR(LEFT(N5688,3)=$W$7,LEFT(O5688,3)=$W$7)),"x","")</f>
        <v/>
      </c>
      <c r="X5688" s="75" t="str">
        <f>IF(OR(TH!N4183=TH!$X$7,O5688=TH!$X$7),"x","")</f>
        <v/>
      </c>
      <c r="Y5688" s="75" t="str">
        <f>IF(AND(OR(N5688="131",O5688="131"),H5688='131-CT'!$H$9),"x","")</f>
        <v/>
      </c>
      <c r="Z5688" s="75"/>
      <c r="AA5688" s="75" t="str">
        <f>IF(AND(MONTH(E5688)='IN-NX'!$J$5,'IN-NX'!$D$7=D5688),"x","")</f>
        <v/>
      </c>
      <c r="AB5688" s="75" t="str">
        <f>IF(AND(OR(LEFT(TH!N4183,2)="15",LEFT(TH!O4183,2)="15"),LEFT(TH!O4183,3)&lt;&gt;"111",'152-CT'!$J$8=TH!F4183),"x","")</f>
        <v/>
      </c>
      <c r="AC5688" s="75" t="str">
        <f>IF(AND(OR(LEFT(TH!N4183,2)="15",LEFT(TH!O4183,2)="15"),TK!$E$7=TH!F4183),"x","")</f>
        <v/>
      </c>
      <c r="AD5688" s="75" t="str">
        <f>IF(AND(N5688="1521",MONTH(C5688)='BK-NL'!$M$11),"x","")</f>
        <v/>
      </c>
      <c r="AE5688" t="s">
        <v>2969</v>
      </c>
      <c r="AF5688"/>
      <c r="AG5688"/>
    </row>
    <row r="5689" spans="1:33" s="1264" customFormat="1" ht="16.5" customHeight="1">
      <c r="A5689" s="309" t="str">
        <f>IF(B5689&lt;&gt;"",IF(AND(B5689='IN-TC'!$S$4,OR(TH!N5672="1111",TH!O5672="1111")),TH!D5672,""),"")</f>
        <v/>
      </c>
      <c r="B5689" s="1159">
        <f t="shared" si="1362"/>
        <v>12</v>
      </c>
      <c r="C5689" s="292">
        <f t="shared" si="1363"/>
        <v>43098</v>
      </c>
      <c r="D5689" s="59" t="s">
        <v>902</v>
      </c>
      <c r="E5689" s="292">
        <v>43098</v>
      </c>
      <c r="F5689" s="67" t="s">
        <v>2315</v>
      </c>
      <c r="G5689" s="62" t="s">
        <v>1713</v>
      </c>
      <c r="H5689" s="67" t="s">
        <v>1771</v>
      </c>
      <c r="I5689" s="373"/>
      <c r="J5689" s="926"/>
      <c r="K5689" s="373"/>
      <c r="L5689" s="379"/>
      <c r="M5689" s="927">
        <v>26000</v>
      </c>
      <c r="N5689" s="295" t="s">
        <v>101</v>
      </c>
      <c r="O5689" s="61" t="s">
        <v>26</v>
      </c>
      <c r="P5689" s="75" t="str">
        <f>IF(AND('331-CT'!$E$7=TH!H4620,OR(N5689="331",O5689="331")),"x","")</f>
        <v/>
      </c>
      <c r="Q5689" s="75" t="str">
        <f>IF(AND(B5689='111'!$L$11,OR($N5689=$Q$7,$O5689=$Q$7)),"x","")</f>
        <v/>
      </c>
      <c r="R5689" s="75" t="str">
        <f>IF(AND($N5689=$Q$7,$B5689&lt;'111'!$L$11),"x","")</f>
        <v/>
      </c>
      <c r="S5689" s="75" t="str">
        <f>IF(AND($O5689=$Q$7,$B5689&lt;'111'!$L$11),"x","")</f>
        <v/>
      </c>
      <c r="T5689" s="75" t="str">
        <f>IF(ISERROR(FIND('112'!$M$9,G5689,1)),"",IF((AND(FIND('112'!$M$9,G5689,1)&gt;=1,B5689='112'!$K$9,OR($N5689='112'!$I$6,$O5689='112'!$I$6))),"x",""))</f>
        <v/>
      </c>
      <c r="U5689" s="75" t="str">
        <f>IF(ISERROR(FIND('112'!$M$9,G5689,1)),"",IF((AND(LEFT(G5689,2)=LEFT('112'!$M$9,2),B5689&lt;'112'!$K$9,$N5689='112'!$I$6)),"x",""))</f>
        <v/>
      </c>
      <c r="V5689" s="75" t="str">
        <f>IF(ISERROR(FIND('112'!$M$9,G5689,1)),"",IF((AND(RIGHT(G5689,2)=RIGHT('112'!$M$9,2),B5689&lt;'112'!$K$9,$O5689='112'!$I$6)),"x",""))</f>
        <v/>
      </c>
      <c r="W5689" s="75" t="str">
        <f>IF(AND('341-CT'!$H$9=H5689,OR(LEFT(N5689,3)=$W$7,LEFT(O5689,3)=$W$7)),"x","")</f>
        <v/>
      </c>
      <c r="X5689" s="75" t="str">
        <f>IF(OR(TH!N4620=TH!$X$7,O5689=TH!$X$7),"x","")</f>
        <v/>
      </c>
      <c r="Y5689" s="75" t="str">
        <f>IF(AND(OR(N5689="131",O5689="131"),H5689='131-CT'!$H$9),"x","")</f>
        <v/>
      </c>
      <c r="Z5689" s="75"/>
      <c r="AA5689" s="75" t="str">
        <f>IF(AND(MONTH(E5689)='IN-NX'!$J$5,'IN-NX'!$D$7=D5689),"x","")</f>
        <v/>
      </c>
      <c r="AB5689" s="75" t="str">
        <f>IF(AND(OR(LEFT(TH!N4620,2)="15",LEFT(TH!O4620,2)="15"),LEFT(TH!O4620,3)&lt;&gt;"111",'152-CT'!$J$8=TH!F4620),"x","")</f>
        <v/>
      </c>
      <c r="AC5689" s="75" t="str">
        <f>IF(AND(OR(LEFT(TH!N4620,2)="15",LEFT(TH!O4620,2)="15"),TK!$E$7=TH!F4620),"x","")</f>
        <v/>
      </c>
      <c r="AD5689" s="75" t="str">
        <f>IF(AND(N5689="1521",MONTH(C5689)='BK-NL'!$M$11),"x","")</f>
        <v/>
      </c>
      <c r="AE5689">
        <v>12</v>
      </c>
      <c r="AF5689"/>
      <c r="AG5689"/>
    </row>
    <row r="5690" spans="1:33" s="1264" customFormat="1" ht="16.5" customHeight="1">
      <c r="A5690" s="309" t="str">
        <f>IF(B5690&lt;&gt;"",IF(AND(B5690='IN-TC'!$S$4,OR(TH!N5673="1111",TH!O5673="1111")),TH!D5673,""),"")</f>
        <v/>
      </c>
      <c r="B5690" s="1159">
        <f t="shared" si="1362"/>
        <v>12</v>
      </c>
      <c r="C5690" s="292">
        <f t="shared" si="1363"/>
        <v>43098</v>
      </c>
      <c r="D5690" s="59" t="s">
        <v>902</v>
      </c>
      <c r="E5690" s="292">
        <v>43098</v>
      </c>
      <c r="F5690" s="67" t="s">
        <v>2316</v>
      </c>
      <c r="G5690" s="62" t="s">
        <v>1713</v>
      </c>
      <c r="H5690" s="67" t="s">
        <v>1771</v>
      </c>
      <c r="I5690" s="373"/>
      <c r="J5690" s="926"/>
      <c r="K5690" s="373"/>
      <c r="L5690" s="379"/>
      <c r="M5690" s="927">
        <v>2600</v>
      </c>
      <c r="N5690" s="295" t="s">
        <v>9</v>
      </c>
      <c r="O5690" s="61" t="s">
        <v>26</v>
      </c>
      <c r="P5690" s="75" t="str">
        <f>IF(AND('331-CT'!$E$7=TH!H4621,OR(N5690="331",O5690="331")),"x","")</f>
        <v/>
      </c>
      <c r="Q5690" s="75" t="str">
        <f>IF(AND(B5690='111'!$L$11,OR($N5690=$Q$7,$O5690=$Q$7)),"x","")</f>
        <v/>
      </c>
      <c r="R5690" s="75" t="str">
        <f>IF(AND($N5690=$Q$7,$B5690&lt;'111'!$L$11),"x","")</f>
        <v/>
      </c>
      <c r="S5690" s="75" t="str">
        <f>IF(AND($O5690=$Q$7,$B5690&lt;'111'!$L$11),"x","")</f>
        <v/>
      </c>
      <c r="T5690" s="75" t="str">
        <f>IF(ISERROR(FIND('112'!$M$9,G5690,1)),"",IF((AND(FIND('112'!$M$9,G5690,1)&gt;=1,B5690='112'!$K$9,OR($N5690='112'!$I$6,$O5690='112'!$I$6))),"x",""))</f>
        <v/>
      </c>
      <c r="U5690" s="75" t="str">
        <f>IF(ISERROR(FIND('112'!$M$9,G5690,1)),"",IF((AND(LEFT(G5690,2)=LEFT('112'!$M$9,2),B5690&lt;'112'!$K$9,$N5690='112'!$I$6)),"x",""))</f>
        <v/>
      </c>
      <c r="V5690" s="75" t="str">
        <f>IF(ISERROR(FIND('112'!$M$9,G5690,1)),"",IF((AND(RIGHT(G5690,2)=RIGHT('112'!$M$9,2),B5690&lt;'112'!$K$9,$O5690='112'!$I$6)),"x",""))</f>
        <v/>
      </c>
      <c r="W5690" s="75" t="str">
        <f>IF(AND('341-CT'!$H$9=H5690,OR(LEFT(N5690,3)=$W$7,LEFT(O5690,3)=$W$7)),"x","")</f>
        <v/>
      </c>
      <c r="X5690" s="75" t="str">
        <f>IF(OR(TH!N4621=TH!$X$7,O5690=TH!$X$7),"x","")</f>
        <v/>
      </c>
      <c r="Y5690" s="75" t="str">
        <f>IF(AND(OR(N5690="131",O5690="131"),H5690='131-CT'!$H$9),"x","")</f>
        <v/>
      </c>
      <c r="Z5690" s="75"/>
      <c r="AA5690" s="75" t="str">
        <f>IF(AND(MONTH(E5690)='IN-NX'!$J$5,'IN-NX'!$D$7=D5690),"x","")</f>
        <v/>
      </c>
      <c r="AB5690" s="75" t="str">
        <f>IF(AND(OR(LEFT(TH!N4621,2)="15",LEFT(TH!O4621,2)="15"),LEFT(TH!O4621,3)&lt;&gt;"111",'152-CT'!$J$8=TH!F4621),"x","")</f>
        <v/>
      </c>
      <c r="AC5690" s="75" t="str">
        <f>IF(AND(OR(LEFT(TH!N4621,2)="15",LEFT(TH!O4621,2)="15"),TK!$E$7=TH!F4621),"x","")</f>
        <v/>
      </c>
      <c r="AD5690" s="75" t="str">
        <f>IF(AND(N5690="1521",MONTH(C5690)='BK-NL'!$M$11),"x","")</f>
        <v/>
      </c>
      <c r="AE5690">
        <v>12</v>
      </c>
      <c r="AF5690"/>
      <c r="AG5690"/>
    </row>
    <row r="5691" spans="1:33" s="1264" customFormat="1" ht="16.5" customHeight="1">
      <c r="A5691" s="309" t="str">
        <f>IF(B5691&lt;&gt;"",IF(AND(B5691='IN-TC'!$S$4,OR(TH!N5674="1111",TH!O5674="1111")),TH!D5674,""),"")</f>
        <v/>
      </c>
      <c r="B5691" s="1159">
        <f t="shared" si="1362"/>
        <v>12</v>
      </c>
      <c r="C5691" s="292">
        <f t="shared" si="1363"/>
        <v>43098</v>
      </c>
      <c r="D5691" s="59" t="s">
        <v>903</v>
      </c>
      <c r="E5691" s="59">
        <v>43098</v>
      </c>
      <c r="F5691" s="62" t="s">
        <v>1086</v>
      </c>
      <c r="G5691" s="62" t="s">
        <v>585</v>
      </c>
      <c r="H5691" s="67" t="s">
        <v>802</v>
      </c>
      <c r="I5691" s="373"/>
      <c r="J5691" s="382"/>
      <c r="K5691" s="373"/>
      <c r="L5691" s="379"/>
      <c r="M5691" s="60">
        <v>225170000</v>
      </c>
      <c r="N5691" s="61" t="s">
        <v>26</v>
      </c>
      <c r="O5691" s="61" t="s">
        <v>536</v>
      </c>
      <c r="P5691" s="75" t="str">
        <f>IF(AND('331-CT'!$E$7=TH!H4917,OR(N5691="331",O5691="331")),"x","")</f>
        <v/>
      </c>
      <c r="Q5691" s="75" t="str">
        <f>IF(AND(B5691='111'!$L$11,OR($N5691=$Q$7,$O5691=$Q$7)),"x","")</f>
        <v/>
      </c>
      <c r="R5691" s="75" t="str">
        <f>IF(AND($N5691=$Q$7,$B5691&lt;'111'!$L$11),"x","")</f>
        <v/>
      </c>
      <c r="S5691" s="75" t="str">
        <f>IF(AND($O5691=$Q$7,$B5691&lt;'111'!$L$11),"x","")</f>
        <v/>
      </c>
      <c r="T5691" s="75" t="str">
        <f>IF(ISERROR(FIND('112'!$M$9,G5691,1)),"",IF((AND(FIND('112'!$M$9,G5691,1)&gt;=1,B5691='112'!$K$9,OR($N5691='112'!$I$6,$O5691='112'!$I$6))),"x",""))</f>
        <v/>
      </c>
      <c r="U5691" s="75" t="str">
        <f>IF(ISERROR(FIND('112'!$M$9,G5691,1)),"",IF((AND(LEFT(G5691,2)=LEFT('112'!$M$9,2),B5691&lt;'112'!$K$9,$N5691='112'!$I$6)),"x",""))</f>
        <v/>
      </c>
      <c r="V5691" s="75" t="str">
        <f>IF(ISERROR(FIND('112'!$M$9,G5691,1)),"",IF((AND(RIGHT(G5691,2)=RIGHT('112'!$M$9,2),B5691&lt;'112'!$K$9,$O5691='112'!$I$6)),"x",""))</f>
        <v/>
      </c>
      <c r="W5691" s="75" t="str">
        <f>IF(AND('341-CT'!$H$9=H5691,OR(LEFT(N5691,3)=$W$7,LEFT(O5691,3)=$W$7)),"x","")</f>
        <v/>
      </c>
      <c r="X5691" s="75" t="str">
        <f>IF(OR(TH!N4917=TH!$X$7,O5691=TH!$X$7),"x","")</f>
        <v/>
      </c>
      <c r="Y5691" s="75" t="str">
        <f>IF(AND(OR(N5691="131",O5691="131"),H5691='131-CT'!$H$9),"x","")</f>
        <v/>
      </c>
      <c r="Z5691" s="75"/>
      <c r="AA5691" s="75" t="str">
        <f>IF(AND(MONTH(E5691)='IN-NX'!$J$5,'IN-NX'!$D$7=D5691),"x","")</f>
        <v/>
      </c>
      <c r="AB5691" s="75" t="str">
        <f>IF(AND(OR(LEFT(TH!N4917,2)="15",LEFT(TH!O4917,2)="15"),LEFT(TH!O4917,3)&lt;&gt;"111",'152-CT'!$J$8=TH!F4917),"x","")</f>
        <v/>
      </c>
      <c r="AC5691" s="75" t="str">
        <f>IF(AND(OR(LEFT(TH!N4917,2)="15",LEFT(TH!O4917,2)="15"),TK!$E$7=TH!F4917),"x","")</f>
        <v/>
      </c>
      <c r="AD5691" s="75" t="str">
        <f>IF(AND(N5691="1521",MONTH(C5691)='BK-NL'!$M$11),"x","")</f>
        <v/>
      </c>
      <c r="AE5691" s="304"/>
      <c r="AF5691" s="304"/>
      <c r="AG5691" s="304"/>
    </row>
    <row r="5692" spans="1:33" s="1264" customFormat="1" ht="16.5" customHeight="1">
      <c r="A5692" s="309" t="str">
        <f>IF(B5692&lt;&gt;"",IF(AND(B5692='IN-TC'!$S$4,OR(TH!N5675="1111",TH!O5675="1111")),TH!D5675,""),"")</f>
        <v/>
      </c>
      <c r="B5692" s="1159">
        <f t="shared" si="1362"/>
        <v>12</v>
      </c>
      <c r="C5692" s="292">
        <f t="shared" si="1363"/>
        <v>43098</v>
      </c>
      <c r="D5692" s="59" t="s">
        <v>902</v>
      </c>
      <c r="E5692" s="59">
        <v>43098</v>
      </c>
      <c r="F5692" s="62" t="s">
        <v>834</v>
      </c>
      <c r="G5692" s="62" t="s">
        <v>747</v>
      </c>
      <c r="H5692" s="67" t="s">
        <v>1023</v>
      </c>
      <c r="I5692" s="373"/>
      <c r="J5692" s="382"/>
      <c r="K5692" s="373"/>
      <c r="L5692" s="379"/>
      <c r="M5692" s="60">
        <v>599000000</v>
      </c>
      <c r="N5692" s="61" t="s">
        <v>63</v>
      </c>
      <c r="O5692" s="61" t="s">
        <v>26</v>
      </c>
      <c r="P5692" s="75" t="str">
        <f>IF(AND('331-CT'!$E$7=TH!H5665,OR(N5692="331",O5692="331")),"x","")</f>
        <v/>
      </c>
      <c r="Q5692" s="75" t="str">
        <f>IF(AND(B5692='111'!$L$11,OR($N5692=$Q$7,$O5692=$Q$7)),"x","")</f>
        <v>x</v>
      </c>
      <c r="R5692" s="75" t="str">
        <f>IF(AND($N5692=$Q$7,$B5692&lt;'111'!$L$11),"x","")</f>
        <v/>
      </c>
      <c r="S5692" s="75" t="str">
        <f>IF(AND($O5692=$Q$7,$B5692&lt;'111'!$L$11),"x","")</f>
        <v/>
      </c>
      <c r="T5692" s="75" t="str">
        <f>IF(ISERROR(FIND('112'!$M$9,G5692,1)),"",IF((AND(FIND('112'!$M$9,G5692,1)&gt;=1,B5692='112'!$K$9,OR($N5692='112'!$I$6,$O5692='112'!$I$6))),"x",""))</f>
        <v/>
      </c>
      <c r="U5692" s="75" t="str">
        <f>IF(ISERROR(FIND('112'!$M$9,G5692,1)),"",IF((AND(LEFT(G5692,2)=LEFT('112'!$M$9,2),B5692&lt;'112'!$K$9,$N5692='112'!$I$6)),"x",""))</f>
        <v/>
      </c>
      <c r="V5692" s="75" t="str">
        <f>IF(ISERROR(FIND('112'!$M$9,G5692,1)),"",IF((AND(RIGHT(G5692,2)=RIGHT('112'!$M$9,2),B5692&lt;'112'!$K$9,$O5692='112'!$I$6)),"x",""))</f>
        <v/>
      </c>
      <c r="W5692" s="75" t="str">
        <f>IF(AND('341-CT'!$H$9=H5692,OR(LEFT(N5692,3)=$W$7,LEFT(O5692,3)=$W$7)),"x","")</f>
        <v/>
      </c>
      <c r="X5692" s="75" t="str">
        <f>IF(OR(TH!N5665=TH!$X$7,O5692=TH!$X$7),"x","")</f>
        <v/>
      </c>
      <c r="Y5692" s="75" t="str">
        <f>IF(AND(OR(N5692="131",O5692="131"),H5692='131-CT'!$H$9),"x","")</f>
        <v/>
      </c>
      <c r="Z5692" s="75"/>
      <c r="AA5692" s="75" t="str">
        <f>IF(AND(MONTH(E5692)='IN-NX'!$J$5,'IN-NX'!$D$7=D5692),"x","")</f>
        <v/>
      </c>
      <c r="AB5692" s="75" t="str">
        <f>IF(AND(OR(LEFT(TH!N5665,2)="15",LEFT(TH!O5665,2)="15"),LEFT(TH!O5665,3)&lt;&gt;"111",'152-CT'!$J$8=TH!F5665),"x","")</f>
        <v/>
      </c>
      <c r="AC5692" s="75" t="str">
        <f>IF(AND(OR(LEFT(TH!N5665,2)="15",LEFT(TH!O5665,2)="15"),TK!$E$7=TH!F5665),"x","")</f>
        <v/>
      </c>
      <c r="AD5692" s="75" t="str">
        <f>IF(AND(N5692="1521",MONTH(C5692)='BK-NL'!$M$11),"x","")</f>
        <v/>
      </c>
      <c r="AE5692"/>
      <c r="AF5692"/>
      <c r="AG5692"/>
    </row>
    <row r="5693" spans="1:33" s="1264" customFormat="1" ht="16.5" customHeight="1">
      <c r="A5693" s="309" t="str">
        <f>IF(B5693&lt;&gt;"",IF(AND(B5693='IN-TC'!$S$4,OR(TH!N5676="1111",TH!O5676="1111")),TH!D5676,""),"")</f>
        <v/>
      </c>
      <c r="B5693" s="1159">
        <f t="shared" si="1362"/>
        <v>12</v>
      </c>
      <c r="C5693" s="292">
        <f t="shared" si="1363"/>
        <v>43098</v>
      </c>
      <c r="D5693" s="59" t="s">
        <v>2493</v>
      </c>
      <c r="E5693" s="59">
        <v>43098</v>
      </c>
      <c r="F5693" s="62" t="s">
        <v>1974</v>
      </c>
      <c r="G5693" s="62" t="s">
        <v>747</v>
      </c>
      <c r="H5693" s="67" t="s">
        <v>1023</v>
      </c>
      <c r="I5693" s="373"/>
      <c r="J5693" s="382"/>
      <c r="K5693" s="373"/>
      <c r="L5693" s="379"/>
      <c r="M5693" s="60">
        <v>50000000</v>
      </c>
      <c r="N5693" s="61" t="s">
        <v>26</v>
      </c>
      <c r="O5693" s="61" t="s">
        <v>63</v>
      </c>
      <c r="P5693" s="75" t="str">
        <f>IF(AND('331-CT'!$E$7=TH!H5666,OR(N5693="331",O5693="331")),"x","")</f>
        <v/>
      </c>
      <c r="Q5693" s="75" t="str">
        <f>IF(AND(B5693='111'!$L$11,OR($N5693=$Q$7,$O5693=$Q$7)),"x","")</f>
        <v>x</v>
      </c>
      <c r="R5693" s="75" t="str">
        <f>IF(AND($N5693=$Q$7,$B5693&lt;'111'!$L$11),"x","")</f>
        <v/>
      </c>
      <c r="S5693" s="75" t="str">
        <f>IF(AND($O5693=$Q$7,$B5693&lt;'111'!$L$11),"x","")</f>
        <v/>
      </c>
      <c r="T5693" s="75" t="str">
        <f>IF(ISERROR(FIND('112'!$M$9,G5693,1)),"",IF((AND(FIND('112'!$M$9,G5693,1)&gt;=1,B5693='112'!$K$9,OR($N5693='112'!$I$6,$O5693='112'!$I$6))),"x",""))</f>
        <v/>
      </c>
      <c r="U5693" s="75" t="str">
        <f>IF(ISERROR(FIND('112'!$M$9,G5693,1)),"",IF((AND(LEFT(G5693,2)=LEFT('112'!$M$9,2),B5693&lt;'112'!$K$9,$N5693='112'!$I$6)),"x",""))</f>
        <v/>
      </c>
      <c r="V5693" s="75" t="str">
        <f>IF(ISERROR(FIND('112'!$M$9,G5693,1)),"",IF((AND(RIGHT(G5693,2)=RIGHT('112'!$M$9,2),B5693&lt;'112'!$K$9,$O5693='112'!$I$6)),"x",""))</f>
        <v/>
      </c>
      <c r="W5693" s="75" t="str">
        <f>IF(AND('341-CT'!$H$9=H5693,OR(LEFT(N5693,3)=$W$7,LEFT(O5693,3)=$W$7)),"x","")</f>
        <v/>
      </c>
      <c r="X5693" s="75" t="str">
        <f>IF(OR(TH!N5666=TH!$X$7,O5693=TH!$X$7),"x","")</f>
        <v/>
      </c>
      <c r="Y5693" s="75" t="str">
        <f>IF(AND(OR(N5693="131",O5693="131"),H5693='131-CT'!$H$9),"x","")</f>
        <v/>
      </c>
      <c r="Z5693" s="75"/>
      <c r="AA5693" s="75" t="str">
        <f>IF(AND(MONTH(E5693)='IN-NX'!$J$5,'IN-NX'!$D$7=D5693),"x","")</f>
        <v/>
      </c>
      <c r="AB5693" s="75" t="str">
        <f>IF(AND(OR(LEFT(TH!N5666,2)="15",LEFT(TH!O5666,2)="15"),LEFT(TH!O5666,3)&lt;&gt;"111",'152-CT'!$J$8=TH!F5666),"x","")</f>
        <v/>
      </c>
      <c r="AC5693" s="75" t="str">
        <f>IF(AND(OR(LEFT(TH!N5666,2)="15",LEFT(TH!O5666,2)="15"),TK!$E$7=TH!F5666),"x","")</f>
        <v/>
      </c>
      <c r="AD5693" s="75" t="str">
        <f>IF(AND(N5693="1521",MONTH(C5693)='BK-NL'!$M$11),"x","")</f>
        <v/>
      </c>
      <c r="AE5693"/>
      <c r="AF5693"/>
      <c r="AG5693"/>
    </row>
    <row r="5694" spans="1:33" s="1264" customFormat="1" ht="16.5" customHeight="1">
      <c r="A5694" s="309" t="str">
        <f>IF(B5694&lt;&gt;"",IF(AND(B5694='IN-TC'!$S$4,OR(TH!N5677="1111",TH!O5677="1111")),TH!D5677,""),"")</f>
        <v/>
      </c>
      <c r="B5694" s="1159">
        <f t="shared" si="1362"/>
        <v>12</v>
      </c>
      <c r="C5694" s="292">
        <f t="shared" si="1363"/>
        <v>43098</v>
      </c>
      <c r="D5694" s="59" t="s">
        <v>902</v>
      </c>
      <c r="E5694" s="59">
        <v>43098</v>
      </c>
      <c r="F5694" s="62" t="s">
        <v>2799</v>
      </c>
      <c r="G5694" s="62" t="s">
        <v>747</v>
      </c>
      <c r="H5694" s="67" t="s">
        <v>562</v>
      </c>
      <c r="I5694" s="373"/>
      <c r="J5694" s="382"/>
      <c r="K5694" s="373"/>
      <c r="L5694" s="379"/>
      <c r="M5694" s="60">
        <v>44307122</v>
      </c>
      <c r="N5694" s="61" t="s">
        <v>8</v>
      </c>
      <c r="O5694" s="61" t="s">
        <v>26</v>
      </c>
      <c r="P5694" s="75" t="str">
        <f>IF(AND('331-CT'!$E$7=TH!H5667,OR(N5694="331",O5694="331")),"x","")</f>
        <v/>
      </c>
      <c r="Q5694" s="75" t="str">
        <f>IF(AND(B5694='111'!$L$11,OR($N5694=$Q$7,$O5694=$Q$7)),"x","")</f>
        <v/>
      </c>
      <c r="R5694" s="75" t="str">
        <f>IF(AND($N5694=$Q$7,$B5694&lt;'111'!$L$11),"x","")</f>
        <v/>
      </c>
      <c r="S5694" s="75" t="str">
        <f>IF(AND($O5694=$Q$7,$B5694&lt;'111'!$L$11),"x","")</f>
        <v/>
      </c>
      <c r="T5694" s="75" t="str">
        <f>IF(ISERROR(FIND('112'!$M$9,G5694,1)),"",IF((AND(FIND('112'!$M$9,G5694,1)&gt;=1,B5694='112'!$K$9,OR($N5694='112'!$I$6,$O5694='112'!$I$6))),"x",""))</f>
        <v/>
      </c>
      <c r="U5694" s="75" t="str">
        <f>IF(ISERROR(FIND('112'!$M$9,G5694,1)),"",IF((AND(LEFT(G5694,2)=LEFT('112'!$M$9,2),B5694&lt;'112'!$K$9,$N5694='112'!$I$6)),"x",""))</f>
        <v/>
      </c>
      <c r="V5694" s="75" t="str">
        <f>IF(ISERROR(FIND('112'!$M$9,G5694,1)),"",IF((AND(RIGHT(G5694,2)=RIGHT('112'!$M$9,2),B5694&lt;'112'!$K$9,$O5694='112'!$I$6)),"x",""))</f>
        <v/>
      </c>
      <c r="W5694" s="75" t="str">
        <f>IF(AND('341-CT'!$H$9=H5694,OR(LEFT(N5694,3)=$W$7,LEFT(O5694,3)=$W$7)),"x","")</f>
        <v/>
      </c>
      <c r="X5694" s="75" t="str">
        <f>IF(OR(TH!N5667=TH!$X$7,O5694=TH!$X$7),"x","")</f>
        <v/>
      </c>
      <c r="Y5694" s="75" t="str">
        <f>IF(AND(OR(N5694="131",O5694="131"),H5694='131-CT'!$H$9),"x","")</f>
        <v/>
      </c>
      <c r="Z5694" s="75"/>
      <c r="AA5694" s="75" t="str">
        <f>IF(AND(MONTH(E5694)='IN-NX'!$J$5,'IN-NX'!$D$7=D5694),"x","")</f>
        <v/>
      </c>
      <c r="AB5694" s="75" t="str">
        <f>IF(AND(OR(LEFT(TH!N5667,2)="15",LEFT(TH!O5667,2)="15"),LEFT(TH!O5667,3)&lt;&gt;"111",'152-CT'!$J$8=TH!F5667),"x","")</f>
        <v/>
      </c>
      <c r="AC5694" s="75" t="str">
        <f>IF(AND(OR(LEFT(TH!N5667,2)="15",LEFT(TH!O5667,2)="15"),TK!$E$7=TH!F5667),"x","")</f>
        <v/>
      </c>
      <c r="AD5694" s="75" t="str">
        <f>IF(AND(N5694="1521",MONTH(C5694)='BK-NL'!$M$11),"x","")</f>
        <v/>
      </c>
      <c r="AE5694"/>
      <c r="AF5694"/>
      <c r="AG5694"/>
    </row>
    <row r="5695" spans="1:33" s="1264" customFormat="1" ht="16.5" customHeight="1">
      <c r="A5695" s="309" t="str">
        <f>IF(B5695&lt;&gt;"",IF(AND(B5695='IN-TC'!$S$4,OR(TH!N5678="1111",TH!O5678="1111")),TH!D5678,""),"")</f>
        <v/>
      </c>
      <c r="B5695" s="1159">
        <f t="shared" si="1362"/>
        <v>12</v>
      </c>
      <c r="C5695" s="292">
        <f t="shared" si="1363"/>
        <v>43098</v>
      </c>
      <c r="D5695" s="59" t="s">
        <v>902</v>
      </c>
      <c r="E5695" s="59">
        <v>43098</v>
      </c>
      <c r="F5695" s="62" t="s">
        <v>1307</v>
      </c>
      <c r="G5695" s="62" t="s">
        <v>747</v>
      </c>
      <c r="H5695" s="67" t="s">
        <v>835</v>
      </c>
      <c r="I5695" s="373"/>
      <c r="J5695" s="382"/>
      <c r="K5695" s="373"/>
      <c r="L5695" s="379"/>
      <c r="M5695" s="60">
        <v>10000</v>
      </c>
      <c r="N5695" s="61" t="s">
        <v>101</v>
      </c>
      <c r="O5695" s="61" t="s">
        <v>26</v>
      </c>
      <c r="P5695" s="75" t="str">
        <f>IF(AND('331-CT'!$E$7=TH!H5668,OR(N5695="331",O5695="331")),"x","")</f>
        <v/>
      </c>
      <c r="Q5695" s="75" t="str">
        <f>IF(AND(B5695='111'!$L$11,OR($N5695=$Q$7,$O5695=$Q$7)),"x","")</f>
        <v/>
      </c>
      <c r="R5695" s="75" t="str">
        <f>IF(AND($N5695=$Q$7,$B5695&lt;'111'!$L$11),"x","")</f>
        <v/>
      </c>
      <c r="S5695" s="75" t="str">
        <f>IF(AND($O5695=$Q$7,$B5695&lt;'111'!$L$11),"x","")</f>
        <v/>
      </c>
      <c r="T5695" s="75" t="str">
        <f>IF(ISERROR(FIND('112'!$M$9,G5695,1)),"",IF((AND(FIND('112'!$M$9,G5695,1)&gt;=1,B5695='112'!$K$9,OR($N5695='112'!$I$6,$O5695='112'!$I$6))),"x",""))</f>
        <v/>
      </c>
      <c r="U5695" s="75" t="str">
        <f>IF(ISERROR(FIND('112'!$M$9,G5695,1)),"",IF((AND(LEFT(G5695,2)=LEFT('112'!$M$9,2),B5695&lt;'112'!$K$9,$N5695='112'!$I$6)),"x",""))</f>
        <v/>
      </c>
      <c r="V5695" s="75" t="str">
        <f>IF(ISERROR(FIND('112'!$M$9,G5695,1)),"",IF((AND(RIGHT(G5695,2)=RIGHT('112'!$M$9,2),B5695&lt;'112'!$K$9,$O5695='112'!$I$6)),"x",""))</f>
        <v/>
      </c>
      <c r="W5695" s="75" t="str">
        <f>IF(AND('341-CT'!$H$9=H5695,OR(LEFT(N5695,3)=$W$7,LEFT(O5695,3)=$W$7)),"x","")</f>
        <v/>
      </c>
      <c r="X5695" s="75" t="str">
        <f>IF(OR(TH!N5668=TH!$X$7,O5695=TH!$X$7),"x","")</f>
        <v/>
      </c>
      <c r="Y5695" s="75" t="str">
        <f>IF(AND(OR(N5695="131",O5695="131"),H5695='131-CT'!$H$9),"x","")</f>
        <v/>
      </c>
      <c r="Z5695" s="75"/>
      <c r="AA5695" s="75" t="str">
        <f>IF(AND(MONTH(E5695)='IN-NX'!$J$5,'IN-NX'!$D$7=D5695),"x","")</f>
        <v/>
      </c>
      <c r="AB5695" s="75" t="str">
        <f>IF(AND(OR(LEFT(TH!N5668,2)="15",LEFT(TH!O5668,2)="15"),LEFT(TH!O5668,3)&lt;&gt;"111",'152-CT'!$J$8=TH!F5668),"x","")</f>
        <v/>
      </c>
      <c r="AC5695" s="75" t="str">
        <f>IF(AND(OR(LEFT(TH!N5668,2)="15",LEFT(TH!O5668,2)="15"),TK!$E$7=TH!F5668),"x","")</f>
        <v/>
      </c>
      <c r="AD5695" s="75" t="str">
        <f>IF(AND(N5695="1521",MONTH(C5695)='BK-NL'!$M$11),"x","")</f>
        <v/>
      </c>
      <c r="AE5695">
        <v>12</v>
      </c>
      <c r="AF5695"/>
      <c r="AG5695"/>
    </row>
    <row r="5696" spans="1:33" s="1264" customFormat="1" ht="16.5" customHeight="1">
      <c r="A5696" s="309" t="str">
        <f>IF(B5696&lt;&gt;"",IF(AND(B5696='IN-TC'!$S$4,OR(TH!N5679="1111",TH!O5679="1111")),TH!D5679,""),"")</f>
        <v/>
      </c>
      <c r="B5696" s="1159">
        <f t="shared" si="1362"/>
        <v>12</v>
      </c>
      <c r="C5696" s="292">
        <f t="shared" si="1363"/>
        <v>43098</v>
      </c>
      <c r="D5696" s="59" t="s">
        <v>902</v>
      </c>
      <c r="E5696" s="59">
        <v>43098</v>
      </c>
      <c r="F5696" s="62" t="s">
        <v>1314</v>
      </c>
      <c r="G5696" s="62" t="s">
        <v>747</v>
      </c>
      <c r="H5696" s="67" t="s">
        <v>835</v>
      </c>
      <c r="I5696" s="373"/>
      <c r="J5696" s="382"/>
      <c r="K5696" s="373"/>
      <c r="L5696" s="379"/>
      <c r="M5696" s="60">
        <v>1000</v>
      </c>
      <c r="N5696" s="61" t="s">
        <v>9</v>
      </c>
      <c r="O5696" s="61" t="s">
        <v>26</v>
      </c>
      <c r="P5696" s="75" t="str">
        <f>IF(AND('331-CT'!$E$7=TH!H5669,OR(N5696="331",O5696="331")),"x","")</f>
        <v/>
      </c>
      <c r="Q5696" s="75" t="str">
        <f>IF(AND(B5696='111'!$L$11,OR($N5696=$Q$7,$O5696=$Q$7)),"x","")</f>
        <v/>
      </c>
      <c r="R5696" s="75" t="str">
        <f>IF(AND($N5696=$Q$7,$B5696&lt;'111'!$L$11),"x","")</f>
        <v/>
      </c>
      <c r="S5696" s="75" t="str">
        <f>IF(AND($O5696=$Q$7,$B5696&lt;'111'!$L$11),"x","")</f>
        <v/>
      </c>
      <c r="T5696" s="75" t="str">
        <f>IF(ISERROR(FIND('112'!$M$9,G5696,1)),"",IF((AND(FIND('112'!$M$9,G5696,1)&gt;=1,B5696='112'!$K$9,OR($N5696='112'!$I$6,$O5696='112'!$I$6))),"x",""))</f>
        <v/>
      </c>
      <c r="U5696" s="75" t="str">
        <f>IF(ISERROR(FIND('112'!$M$9,G5696,1)),"",IF((AND(LEFT(G5696,2)=LEFT('112'!$M$9,2),B5696&lt;'112'!$K$9,$N5696='112'!$I$6)),"x",""))</f>
        <v/>
      </c>
      <c r="V5696" s="75" t="str">
        <f>IF(ISERROR(FIND('112'!$M$9,G5696,1)),"",IF((AND(RIGHT(G5696,2)=RIGHT('112'!$M$9,2),B5696&lt;'112'!$K$9,$O5696='112'!$I$6)),"x",""))</f>
        <v/>
      </c>
      <c r="W5696" s="75" t="str">
        <f>IF(AND('341-CT'!$H$9=H5696,OR(LEFT(N5696,3)=$W$7,LEFT(O5696,3)=$W$7)),"x","")</f>
        <v/>
      </c>
      <c r="X5696" s="75" t="str">
        <f>IF(OR(TH!N5669=TH!$X$7,O5696=TH!$X$7),"x","")</f>
        <v/>
      </c>
      <c r="Y5696" s="75" t="str">
        <f>IF(AND(OR(N5696="131",O5696="131"),H5696='131-CT'!$H$9),"x","")</f>
        <v/>
      </c>
      <c r="Z5696" s="75"/>
      <c r="AA5696" s="75" t="str">
        <f>IF(AND(MONTH(E5696)='IN-NX'!$J$5,'IN-NX'!$D$7=D5696),"x","")</f>
        <v/>
      </c>
      <c r="AB5696" s="75" t="str">
        <f>IF(AND(OR(LEFT(TH!N5669,2)="15",LEFT(TH!O5669,2)="15"),LEFT(TH!O5669,3)&lt;&gt;"111",'152-CT'!$J$8=TH!F5669),"x","")</f>
        <v/>
      </c>
      <c r="AC5696" s="75" t="str">
        <f>IF(AND(OR(LEFT(TH!N5669,2)="15",LEFT(TH!O5669,2)="15"),TK!$E$7=TH!F5669),"x","")</f>
        <v/>
      </c>
      <c r="AD5696" s="75" t="str">
        <f>IF(AND(N5696="1521",MONTH(C5696)='BK-NL'!$M$11),"x","")</f>
        <v/>
      </c>
      <c r="AE5696">
        <v>12</v>
      </c>
      <c r="AF5696"/>
      <c r="AG5696"/>
    </row>
    <row r="5697" spans="1:33" s="1264" customFormat="1" ht="16.5" customHeight="1">
      <c r="A5697" s="309" t="str">
        <f>IF(B5697&lt;&gt;"",IF(AND(B5697='IN-TC'!$S$4,OR(TH!N5680="1111",TH!O5680="1111")),TH!D5680,""),"")</f>
        <v/>
      </c>
      <c r="B5697" s="1159">
        <f t="shared" si="1362"/>
        <v>12</v>
      </c>
      <c r="C5697" s="292">
        <f t="shared" si="1363"/>
        <v>43098</v>
      </c>
      <c r="D5697" s="59" t="s">
        <v>903</v>
      </c>
      <c r="E5697" s="59">
        <v>43098</v>
      </c>
      <c r="F5697" s="293" t="s">
        <v>2879</v>
      </c>
      <c r="G5697" s="62" t="s">
        <v>747</v>
      </c>
      <c r="H5697" s="735" t="s">
        <v>2796</v>
      </c>
      <c r="I5697" s="373"/>
      <c r="J5697" s="382"/>
      <c r="K5697" s="373">
        <v>25080</v>
      </c>
      <c r="L5697" s="379">
        <v>22700</v>
      </c>
      <c r="M5697" s="60">
        <f>ROUND(K5697*L5697,0)</f>
        <v>569316000</v>
      </c>
      <c r="N5697" s="61" t="s">
        <v>26</v>
      </c>
      <c r="O5697" s="61" t="s">
        <v>250</v>
      </c>
      <c r="P5697" s="75" t="str">
        <f>IF(AND('331-CT'!$E$7=TH!H5670,OR(N5697="331",O5697="331")),"x","")</f>
        <v/>
      </c>
      <c r="Q5697" s="75" t="str">
        <f>IF(AND(B5697='111'!$L$11,OR($N5697=$Q$7,$O5697=$Q$7)),"x","")</f>
        <v/>
      </c>
      <c r="R5697" s="75" t="str">
        <f>IF(AND($N5697=$Q$7,$B5697&lt;'111'!$L$11),"x","")</f>
        <v/>
      </c>
      <c r="S5697" s="75" t="str">
        <f>IF(AND($O5697=$Q$7,$B5697&lt;'111'!$L$11),"x","")</f>
        <v/>
      </c>
      <c r="T5697" s="75" t="str">
        <f>IF(ISERROR(FIND('112'!$M$9,G5697,1)),"",IF((AND(FIND('112'!$M$9,G5697,1)&gt;=1,B5697='112'!$K$9,OR($N5697='112'!$I$6,$O5697='112'!$I$6))),"x",""))</f>
        <v/>
      </c>
      <c r="U5697" s="75" t="str">
        <f>IF(ISERROR(FIND('112'!$M$9,G5697,1)),"",IF((AND(LEFT(G5697,2)=LEFT('112'!$M$9,2),B5697&lt;'112'!$K$9,$N5697='112'!$I$6)),"x",""))</f>
        <v/>
      </c>
      <c r="V5697" s="75" t="str">
        <f>IF(ISERROR(FIND('112'!$M$9,G5697,1)),"",IF((AND(RIGHT(G5697,2)=RIGHT('112'!$M$9,2),B5697&lt;'112'!$K$9,$O5697='112'!$I$6)),"x",""))</f>
        <v/>
      </c>
      <c r="W5697" s="75" t="str">
        <f>IF(AND('341-CT'!$H$9=H5697,OR(LEFT(N5697,3)=$W$7,LEFT(O5697,3)=$W$7)),"x","")</f>
        <v/>
      </c>
      <c r="X5697" s="75" t="str">
        <f>IF(OR(TH!N5670=TH!$X$7,O5697=TH!$X$7),"x","")</f>
        <v/>
      </c>
      <c r="Y5697" s="75" t="str">
        <f>IF(AND(OR(N5697="131",O5697="131"),H5697='131-CT'!$H$9),"x","")</f>
        <v/>
      </c>
      <c r="Z5697" s="75"/>
      <c r="AA5697" s="75" t="str">
        <f>IF(AND(MONTH(E5697)='IN-NX'!$J$5,'IN-NX'!$D$7=D5697),"x","")</f>
        <v/>
      </c>
      <c r="AB5697" s="75" t="str">
        <f>IF(AND(OR(LEFT(TH!N5670,2)="15",LEFT(TH!O5670,2)="15"),LEFT(TH!O5670,3)&lt;&gt;"111",'152-CT'!$J$8=TH!F5670),"x","")</f>
        <v/>
      </c>
      <c r="AC5697" s="75" t="str">
        <f>IF(AND(OR(LEFT(TH!N5670,2)="15",LEFT(TH!O5670,2)="15"),TK!$E$7=TH!F5670),"x","")</f>
        <v/>
      </c>
      <c r="AD5697" s="75" t="str">
        <f>IF(AND(N5697="1521",MONTH(C5697)='BK-NL'!$M$11),"x","")</f>
        <v/>
      </c>
      <c r="AE5697"/>
      <c r="AF5697"/>
      <c r="AG5697"/>
    </row>
    <row r="5698" spans="1:33" s="1264" customFormat="1" ht="16.5" customHeight="1">
      <c r="A5698" s="309" t="str">
        <f>IF(B5698&lt;&gt;"",IF(AND(B5698='IN-TC'!$S$4,OR(TH!N5681="1111",TH!O5681="1111")),TH!D5681,""),"")</f>
        <v/>
      </c>
      <c r="B5698" s="1159">
        <f t="shared" si="1362"/>
        <v>12</v>
      </c>
      <c r="C5698" s="292">
        <f t="shared" si="1363"/>
        <v>43098</v>
      </c>
      <c r="D5698" s="59" t="s">
        <v>902</v>
      </c>
      <c r="E5698" s="59">
        <v>43098</v>
      </c>
      <c r="F5698" s="62" t="s">
        <v>2800</v>
      </c>
      <c r="G5698" s="62" t="s">
        <v>747</v>
      </c>
      <c r="H5698" s="67" t="s">
        <v>563</v>
      </c>
      <c r="I5698" s="373"/>
      <c r="J5698" s="382"/>
      <c r="K5698" s="373"/>
      <c r="L5698" s="379"/>
      <c r="M5698" s="60">
        <v>56199990</v>
      </c>
      <c r="N5698" s="61" t="s">
        <v>8</v>
      </c>
      <c r="O5698" s="61" t="s">
        <v>26</v>
      </c>
      <c r="P5698" s="75" t="str">
        <f>IF(AND('331-CT'!$E$7=TH!H5671,OR(N5698="331",O5698="331")),"x","")</f>
        <v/>
      </c>
      <c r="Q5698" s="75" t="str">
        <f>IF(AND(B5698='111'!$L$11,OR($N5698=$Q$7,$O5698=$Q$7)),"x","")</f>
        <v/>
      </c>
      <c r="R5698" s="75" t="str">
        <f>IF(AND($N5698=$Q$7,$B5698&lt;'111'!$L$11),"x","")</f>
        <v/>
      </c>
      <c r="S5698" s="75" t="str">
        <f>IF(AND($O5698=$Q$7,$B5698&lt;'111'!$L$11),"x","")</f>
        <v/>
      </c>
      <c r="T5698" s="75" t="str">
        <f>IF(ISERROR(FIND('112'!$M$9,G5698,1)),"",IF((AND(FIND('112'!$M$9,G5698,1)&gt;=1,B5698='112'!$K$9,OR($N5698='112'!$I$6,$O5698='112'!$I$6))),"x",""))</f>
        <v/>
      </c>
      <c r="U5698" s="75" t="str">
        <f>IF(ISERROR(FIND('112'!$M$9,G5698,1)),"",IF((AND(LEFT(G5698,2)=LEFT('112'!$M$9,2),B5698&lt;'112'!$K$9,$N5698='112'!$I$6)),"x",""))</f>
        <v/>
      </c>
      <c r="V5698" s="75" t="str">
        <f>IF(ISERROR(FIND('112'!$M$9,G5698,1)),"",IF((AND(RIGHT(G5698,2)=RIGHT('112'!$M$9,2),B5698&lt;'112'!$K$9,$O5698='112'!$I$6)),"x",""))</f>
        <v/>
      </c>
      <c r="W5698" s="75" t="str">
        <f>IF(AND('341-CT'!$H$9=H5698,OR(LEFT(N5698,3)=$W$7,LEFT(O5698,3)=$W$7)),"x","")</f>
        <v/>
      </c>
      <c r="X5698" s="75" t="str">
        <f>IF(OR(TH!N5671=TH!$X$7,O5698=TH!$X$7),"x","")</f>
        <v/>
      </c>
      <c r="Y5698" s="75" t="str">
        <f>IF(AND(OR(N5698="131",O5698="131"),H5698='131-CT'!$H$9),"x","")</f>
        <v/>
      </c>
      <c r="Z5698" s="75"/>
      <c r="AA5698" s="75" t="str">
        <f>IF(AND(MONTH(E5698)='IN-NX'!$J$5,'IN-NX'!$D$7=D5698),"x","")</f>
        <v/>
      </c>
      <c r="AB5698" s="75" t="str">
        <f>IF(AND(OR(LEFT(TH!N5671,2)="15",LEFT(TH!O5671,2)="15"),LEFT(TH!O5671,3)&lt;&gt;"111",'152-CT'!$J$8=TH!F5671),"x","")</f>
        <v/>
      </c>
      <c r="AC5698" s="75" t="str">
        <f>IF(AND(OR(LEFT(TH!N5671,2)="15",LEFT(TH!O5671,2)="15"),TK!$E$7=TH!F5671),"x","")</f>
        <v/>
      </c>
      <c r="AD5698" s="75" t="str">
        <f>IF(AND(N5698="1521",MONTH(C5698)='BK-NL'!$M$11),"x","")</f>
        <v/>
      </c>
      <c r="AE5698"/>
      <c r="AF5698"/>
      <c r="AG5698"/>
    </row>
    <row r="5699" spans="1:33" s="1264" customFormat="1" ht="16.5" customHeight="1">
      <c r="A5699" s="309" t="str">
        <f>IF(B5699&lt;&gt;"",IF(AND(B5699='IN-TC'!$S$4,OR(TH!N5682="1111",TH!O5682="1111")),TH!D5682,""),"")</f>
        <v/>
      </c>
      <c r="B5699" s="1159">
        <f t="shared" si="1362"/>
        <v>12</v>
      </c>
      <c r="C5699" s="292">
        <f t="shared" si="1363"/>
        <v>43098</v>
      </c>
      <c r="D5699" s="59" t="s">
        <v>902</v>
      </c>
      <c r="E5699" s="59">
        <v>43098</v>
      </c>
      <c r="F5699" s="62" t="s">
        <v>1307</v>
      </c>
      <c r="G5699" s="62" t="s">
        <v>747</v>
      </c>
      <c r="H5699" s="67" t="s">
        <v>835</v>
      </c>
      <c r="I5699" s="373"/>
      <c r="J5699" s="382"/>
      <c r="K5699" s="373"/>
      <c r="L5699" s="379"/>
      <c r="M5699" s="60">
        <v>16860</v>
      </c>
      <c r="N5699" s="61" t="s">
        <v>101</v>
      </c>
      <c r="O5699" s="61" t="s">
        <v>26</v>
      </c>
      <c r="P5699" s="75" t="str">
        <f>IF(AND('331-CT'!$E$7=TH!H5672,OR(N5699="331",O5699="331")),"x","")</f>
        <v/>
      </c>
      <c r="Q5699" s="75" t="str">
        <f>IF(AND(B5699='111'!$L$11,OR($N5699=$Q$7,$O5699=$Q$7)),"x","")</f>
        <v/>
      </c>
      <c r="R5699" s="75" t="str">
        <f>IF(AND($N5699=$Q$7,$B5699&lt;'111'!$L$11),"x","")</f>
        <v/>
      </c>
      <c r="S5699" s="75" t="str">
        <f>IF(AND($O5699=$Q$7,$B5699&lt;'111'!$L$11),"x","")</f>
        <v/>
      </c>
      <c r="T5699" s="75" t="str">
        <f>IF(ISERROR(FIND('112'!$M$9,G5699,1)),"",IF((AND(FIND('112'!$M$9,G5699,1)&gt;=1,B5699='112'!$K$9,OR($N5699='112'!$I$6,$O5699='112'!$I$6))),"x",""))</f>
        <v/>
      </c>
      <c r="U5699" s="75" t="str">
        <f>IF(ISERROR(FIND('112'!$M$9,G5699,1)),"",IF((AND(LEFT(G5699,2)=LEFT('112'!$M$9,2),B5699&lt;'112'!$K$9,$N5699='112'!$I$6)),"x",""))</f>
        <v/>
      </c>
      <c r="V5699" s="75" t="str">
        <f>IF(ISERROR(FIND('112'!$M$9,G5699,1)),"",IF((AND(RIGHT(G5699,2)=RIGHT('112'!$M$9,2),B5699&lt;'112'!$K$9,$O5699='112'!$I$6)),"x",""))</f>
        <v/>
      </c>
      <c r="W5699" s="75" t="str">
        <f>IF(AND('341-CT'!$H$9=H5699,OR(LEFT(N5699,3)=$W$7,LEFT(O5699,3)=$W$7)),"x","")</f>
        <v/>
      </c>
      <c r="X5699" s="75" t="str">
        <f>IF(OR(TH!N5672=TH!$X$7,O5699=TH!$X$7),"x","")</f>
        <v/>
      </c>
      <c r="Y5699" s="75" t="str">
        <f>IF(AND(OR(N5699="131",O5699="131"),H5699='131-CT'!$H$9),"x","")</f>
        <v/>
      </c>
      <c r="Z5699" s="75"/>
      <c r="AA5699" s="75" t="str">
        <f>IF(AND(MONTH(E5699)='IN-NX'!$J$5,'IN-NX'!$D$7=D5699),"x","")</f>
        <v/>
      </c>
      <c r="AB5699" s="75" t="str">
        <f>IF(AND(OR(LEFT(TH!N5672,2)="15",LEFT(TH!O5672,2)="15"),LEFT(TH!O5672,3)&lt;&gt;"111",'152-CT'!$J$8=TH!F5672),"x","")</f>
        <v/>
      </c>
      <c r="AC5699" s="75" t="str">
        <f>IF(AND(OR(LEFT(TH!N5672,2)="15",LEFT(TH!O5672,2)="15"),TK!$E$7=TH!F5672),"x","")</f>
        <v/>
      </c>
      <c r="AD5699" s="75" t="str">
        <f>IF(AND(N5699="1521",MONTH(C5699)='BK-NL'!$M$11),"x","")</f>
        <v/>
      </c>
      <c r="AE5699">
        <v>12</v>
      </c>
      <c r="AF5699"/>
      <c r="AG5699"/>
    </row>
    <row r="5700" spans="1:33" s="1264" customFormat="1" ht="16.5" customHeight="1">
      <c r="A5700" s="309" t="str">
        <f>IF(B5700&lt;&gt;"",IF(AND(B5700='IN-TC'!$S$4,OR(TH!N5683="1111",TH!O5683="1111")),TH!D5683,""),"")</f>
        <v/>
      </c>
      <c r="B5700" s="1159">
        <f t="shared" si="1362"/>
        <v>12</v>
      </c>
      <c r="C5700" s="292">
        <f t="shared" si="1363"/>
        <v>43098</v>
      </c>
      <c r="D5700" s="59" t="s">
        <v>902</v>
      </c>
      <c r="E5700" s="59">
        <v>43098</v>
      </c>
      <c r="F5700" s="62" t="s">
        <v>1314</v>
      </c>
      <c r="G5700" s="62" t="s">
        <v>747</v>
      </c>
      <c r="H5700" s="67" t="s">
        <v>835</v>
      </c>
      <c r="I5700" s="373"/>
      <c r="J5700" s="382"/>
      <c r="K5700" s="373"/>
      <c r="L5700" s="379"/>
      <c r="M5700" s="60">
        <v>1686</v>
      </c>
      <c r="N5700" s="61" t="s">
        <v>9</v>
      </c>
      <c r="O5700" s="61" t="s">
        <v>26</v>
      </c>
      <c r="P5700" s="75" t="str">
        <f>IF(AND('331-CT'!$E$7=TH!H5673,OR(N5700="331",O5700="331")),"x","")</f>
        <v/>
      </c>
      <c r="Q5700" s="75" t="str">
        <f>IF(AND(B5700='111'!$L$11,OR($N5700=$Q$7,$O5700=$Q$7)),"x","")</f>
        <v/>
      </c>
      <c r="R5700" s="75" t="str">
        <f>IF(AND($N5700=$Q$7,$B5700&lt;'111'!$L$11),"x","")</f>
        <v/>
      </c>
      <c r="S5700" s="75" t="str">
        <f>IF(AND($O5700=$Q$7,$B5700&lt;'111'!$L$11),"x","")</f>
        <v/>
      </c>
      <c r="T5700" s="75" t="str">
        <f>IF(ISERROR(FIND('112'!$M$9,G5700,1)),"",IF((AND(FIND('112'!$M$9,G5700,1)&gt;=1,B5700='112'!$K$9,OR($N5700='112'!$I$6,$O5700='112'!$I$6))),"x",""))</f>
        <v/>
      </c>
      <c r="U5700" s="75" t="str">
        <f>IF(ISERROR(FIND('112'!$M$9,G5700,1)),"",IF((AND(LEFT(G5700,2)=LEFT('112'!$M$9,2),B5700&lt;'112'!$K$9,$N5700='112'!$I$6)),"x",""))</f>
        <v/>
      </c>
      <c r="V5700" s="75" t="str">
        <f>IF(ISERROR(FIND('112'!$M$9,G5700,1)),"",IF((AND(RIGHT(G5700,2)=RIGHT('112'!$M$9,2),B5700&lt;'112'!$K$9,$O5700='112'!$I$6)),"x",""))</f>
        <v/>
      </c>
      <c r="W5700" s="75" t="str">
        <f>IF(AND('341-CT'!$H$9=H5700,OR(LEFT(N5700,3)=$W$7,LEFT(O5700,3)=$W$7)),"x","")</f>
        <v/>
      </c>
      <c r="X5700" s="75" t="str">
        <f>IF(OR(TH!N5673=TH!$X$7,O5700=TH!$X$7),"x","")</f>
        <v/>
      </c>
      <c r="Y5700" s="75" t="str">
        <f>IF(AND(OR(N5700="131",O5700="131"),H5700='131-CT'!$H$9),"x","")</f>
        <v/>
      </c>
      <c r="Z5700" s="75"/>
      <c r="AA5700" s="75" t="str">
        <f>IF(AND(MONTH(E5700)='IN-NX'!$J$5,'IN-NX'!$D$7=D5700),"x","")</f>
        <v/>
      </c>
      <c r="AB5700" s="75" t="str">
        <f>IF(AND(OR(LEFT(TH!N5673,2)="15",LEFT(TH!O5673,2)="15"),LEFT(TH!O5673,3)&lt;&gt;"111",'152-CT'!$J$8=TH!F5673),"x","")</f>
        <v/>
      </c>
      <c r="AC5700" s="75" t="str">
        <f>IF(AND(OR(LEFT(TH!N5673,2)="15",LEFT(TH!O5673,2)="15"),TK!$E$7=TH!F5673),"x","")</f>
        <v/>
      </c>
      <c r="AD5700" s="75" t="str">
        <f>IF(AND(N5700="1521",MONTH(C5700)='BK-NL'!$M$11),"x","")</f>
        <v/>
      </c>
      <c r="AE5700">
        <v>12</v>
      </c>
      <c r="AF5700"/>
      <c r="AG5700"/>
    </row>
    <row r="5701" spans="1:33" s="1264" customFormat="1" ht="16.5" customHeight="1">
      <c r="A5701" s="309" t="str">
        <f>IF(B5701&lt;&gt;"",IF(AND(B5701='IN-TC'!$S$4,OR(TH!N5684="1111",TH!O5684="1111")),TH!D5684,""),"")</f>
        <v/>
      </c>
      <c r="B5701" s="1159">
        <f t="shared" si="1362"/>
        <v>12</v>
      </c>
      <c r="C5701" s="292">
        <f t="shared" si="1363"/>
        <v>43099</v>
      </c>
      <c r="D5701" s="59"/>
      <c r="E5701" s="59">
        <v>43099</v>
      </c>
      <c r="F5701" s="62" t="s">
        <v>1029</v>
      </c>
      <c r="G5701" s="742" t="s">
        <v>2898</v>
      </c>
      <c r="H5701" s="67" t="s">
        <v>1336</v>
      </c>
      <c r="I5701" s="375"/>
      <c r="J5701" s="382"/>
      <c r="K5701" s="375"/>
      <c r="L5701" s="381"/>
      <c r="M5701" s="60">
        <v>2181818</v>
      </c>
      <c r="N5701" s="61" t="s">
        <v>539</v>
      </c>
      <c r="O5701" s="61" t="s">
        <v>63</v>
      </c>
      <c r="P5701" s="75" t="str">
        <f>IF(AND('331-CT'!$E$7=TH!H4184,OR(N5701="331",O5701="331")),"x","")</f>
        <v/>
      </c>
      <c r="Q5701" s="75" t="str">
        <f>IF(AND(B5701='111'!$L$11,OR($N5701=$Q$7,$O5701=$Q$7)),"x","")</f>
        <v>x</v>
      </c>
      <c r="R5701" s="75" t="str">
        <f>IF(AND($N5701=$Q$7,$B5701&lt;'111'!$L$11),"x","")</f>
        <v/>
      </c>
      <c r="S5701" s="75" t="str">
        <f>IF(AND($O5701=$Q$7,$B5701&lt;'111'!$L$11),"x","")</f>
        <v/>
      </c>
      <c r="T5701" s="75" t="str">
        <f>IF(ISERROR(FIND('112'!$M$9,G5701,1)),"",IF((AND(FIND('112'!$M$9,G5701,1)&gt;=1,B5701='112'!$K$9,OR($N5701='112'!$I$6,$O5701='112'!$I$6))),"x",""))</f>
        <v/>
      </c>
      <c r="U5701" s="75" t="str">
        <f>IF(ISERROR(FIND('112'!$M$9,G5701,1)),"",IF((AND(LEFT(G5701,2)=LEFT('112'!$M$9,2),B5701&lt;'112'!$K$9,$N5701='112'!$I$6)),"x",""))</f>
        <v/>
      </c>
      <c r="V5701" s="75" t="str">
        <f>IF(ISERROR(FIND('112'!$M$9,G5701,1)),"",IF((AND(RIGHT(G5701,2)=RIGHT('112'!$M$9,2),B5701&lt;'112'!$K$9,$O5701='112'!$I$6)),"x",""))</f>
        <v/>
      </c>
      <c r="W5701" s="75" t="str">
        <f>IF(AND('341-CT'!$H$9=H5701,OR(LEFT(N5701,3)=$W$7,LEFT(O5701,3)=$W$7)),"x","")</f>
        <v/>
      </c>
      <c r="X5701" s="75" t="str">
        <f>IF(OR(TH!N4184=TH!$X$7,O5701=TH!$X$7),"x","")</f>
        <v/>
      </c>
      <c r="Y5701" s="75" t="str">
        <f>IF(AND(OR(N5701="131",O5701="131"),H5701='131-CT'!$H$9),"x","")</f>
        <v/>
      </c>
      <c r="Z5701" s="75"/>
      <c r="AA5701" s="75" t="str">
        <f>IF(AND(MONTH(E5701)='IN-NX'!$J$5,'IN-NX'!$D$7=D5701),"x","")</f>
        <v/>
      </c>
      <c r="AB5701" s="75" t="str">
        <f>IF(AND(OR(LEFT(TH!N4184,2)="15",LEFT(TH!O4184,2)="15"),LEFT(TH!O4184,3)&lt;&gt;"111",'152-CT'!$J$8=TH!F4184),"x","")</f>
        <v/>
      </c>
      <c r="AC5701" s="75" t="str">
        <f>IF(AND(OR(LEFT(TH!N4184,2)="15",LEFT(TH!O4184,2)="15"),TK!$E$7=TH!F4184),"x","")</f>
        <v/>
      </c>
      <c r="AD5701" s="75" t="str">
        <f>IF(AND(N5701="1521",MONTH(C5701)='BK-NL'!$M$11),"x","")</f>
        <v/>
      </c>
      <c r="AE5701" t="s">
        <v>2969</v>
      </c>
      <c r="AF5701"/>
      <c r="AG5701"/>
    </row>
    <row r="5702" spans="1:33" s="1264" customFormat="1" ht="16.5" customHeight="1">
      <c r="A5702" s="309" t="str">
        <f>IF(B5702&lt;&gt;"",IF(AND(B5702='IN-TC'!$S$4,OR(TH!N5685="1111",TH!O5685="1111")),TH!D5685,""),"")</f>
        <v/>
      </c>
      <c r="B5702" s="1159">
        <f t="shared" si="1362"/>
        <v>12</v>
      </c>
      <c r="C5702" s="292">
        <f t="shared" si="1363"/>
        <v>43099</v>
      </c>
      <c r="D5702" s="59"/>
      <c r="E5702" s="59">
        <v>43099</v>
      </c>
      <c r="F5702" s="62" t="s">
        <v>1030</v>
      </c>
      <c r="G5702" s="742" t="s">
        <v>2898</v>
      </c>
      <c r="H5702" s="67" t="s">
        <v>1336</v>
      </c>
      <c r="I5702" s="375"/>
      <c r="J5702" s="382"/>
      <c r="K5702" s="375"/>
      <c r="L5702" s="381"/>
      <c r="M5702" s="60">
        <v>218182</v>
      </c>
      <c r="N5702" s="61" t="s">
        <v>9</v>
      </c>
      <c r="O5702" s="61" t="s">
        <v>63</v>
      </c>
      <c r="P5702" s="75" t="str">
        <f>IF(AND('331-CT'!$E$7=TH!H4185,OR(N5702="331",O5702="331")),"x","")</f>
        <v/>
      </c>
      <c r="Q5702" s="75" t="str">
        <f>IF(AND(B5702='111'!$L$11,OR($N5702=$Q$7,$O5702=$Q$7)),"x","")</f>
        <v>x</v>
      </c>
      <c r="R5702" s="75" t="str">
        <f>IF(AND($N5702=$Q$7,$B5702&lt;'111'!$L$11),"x","")</f>
        <v/>
      </c>
      <c r="S5702" s="75" t="str">
        <f>IF(AND($O5702=$Q$7,$B5702&lt;'111'!$L$11),"x","")</f>
        <v/>
      </c>
      <c r="T5702" s="75" t="str">
        <f>IF(ISERROR(FIND('112'!$M$9,G5702,1)),"",IF((AND(FIND('112'!$M$9,G5702,1)&gt;=1,B5702='112'!$K$9,OR($N5702='112'!$I$6,$O5702='112'!$I$6))),"x",""))</f>
        <v/>
      </c>
      <c r="U5702" s="75" t="str">
        <f>IF(ISERROR(FIND('112'!$M$9,G5702,1)),"",IF((AND(LEFT(G5702,2)=LEFT('112'!$M$9,2),B5702&lt;'112'!$K$9,$N5702='112'!$I$6)),"x",""))</f>
        <v/>
      </c>
      <c r="V5702" s="75" t="str">
        <f>IF(ISERROR(FIND('112'!$M$9,G5702,1)),"",IF((AND(RIGHT(G5702,2)=RIGHT('112'!$M$9,2),B5702&lt;'112'!$K$9,$O5702='112'!$I$6)),"x",""))</f>
        <v/>
      </c>
      <c r="W5702" s="75" t="str">
        <f>IF(AND('341-CT'!$H$9=H5702,OR(LEFT(N5702,3)=$W$7,LEFT(O5702,3)=$W$7)),"x","")</f>
        <v/>
      </c>
      <c r="X5702" s="75" t="str">
        <f>IF(OR(TH!N4185=TH!$X$7,O5702=TH!$X$7),"x","")</f>
        <v/>
      </c>
      <c r="Y5702" s="75" t="str">
        <f>IF(AND(OR(N5702="131",O5702="131"),H5702='131-CT'!$H$9),"x","")</f>
        <v/>
      </c>
      <c r="Z5702" s="75"/>
      <c r="AA5702" s="75" t="str">
        <f>IF(AND(MONTH(E5702)='IN-NX'!$J$5,'IN-NX'!$D$7=D5702),"x","")</f>
        <v/>
      </c>
      <c r="AB5702" s="75" t="str">
        <f>IF(AND(OR(LEFT(TH!N4185,2)="15",LEFT(TH!O4185,2)="15"),LEFT(TH!O4185,3)&lt;&gt;"111",'152-CT'!$J$8=TH!F4185),"x","")</f>
        <v/>
      </c>
      <c r="AC5702" s="75" t="str">
        <f>IF(AND(OR(LEFT(TH!N4185,2)="15",LEFT(TH!O4185,2)="15"),TK!$E$7=TH!F4185),"x","")</f>
        <v/>
      </c>
      <c r="AD5702" s="75" t="str">
        <f>IF(AND(N5702="1521",MONTH(C5702)='BK-NL'!$M$11),"x","")</f>
        <v/>
      </c>
      <c r="AE5702" t="s">
        <v>2969</v>
      </c>
      <c r="AF5702"/>
      <c r="AG5702"/>
    </row>
    <row r="5703" spans="1:33" s="1264" customFormat="1" ht="16.5" customHeight="1">
      <c r="A5703" s="309" t="str">
        <f>IF(B5703&lt;&gt;"",IF(AND(B5703='IN-TC'!$S$4,OR(TH!N5686="1111",TH!O5686="1111")),TH!D5686,""),"")</f>
        <v/>
      </c>
      <c r="B5703" s="1159">
        <f t="shared" si="1362"/>
        <v>12</v>
      </c>
      <c r="C5703" s="292">
        <f t="shared" si="1363"/>
        <v>43099</v>
      </c>
      <c r="D5703" s="59"/>
      <c r="E5703" s="59">
        <v>43099</v>
      </c>
      <c r="F5703" s="62" t="s">
        <v>1029</v>
      </c>
      <c r="G5703" s="742" t="s">
        <v>2904</v>
      </c>
      <c r="H5703" s="67" t="s">
        <v>948</v>
      </c>
      <c r="I5703" s="375"/>
      <c r="J5703" s="382"/>
      <c r="K5703" s="375"/>
      <c r="L5703" s="381"/>
      <c r="M5703" s="60">
        <v>2909091</v>
      </c>
      <c r="N5703" s="61" t="s">
        <v>539</v>
      </c>
      <c r="O5703" s="61" t="s">
        <v>63</v>
      </c>
      <c r="P5703" s="75" t="str">
        <f>IF(AND('331-CT'!$E$7=TH!H4186,OR(N5703="331",O5703="331")),"x","")</f>
        <v/>
      </c>
      <c r="Q5703" s="75" t="str">
        <f>IF(AND(B5703='111'!$L$11,OR($N5703=$Q$7,$O5703=$Q$7)),"x","")</f>
        <v>x</v>
      </c>
      <c r="R5703" s="75" t="str">
        <f>IF(AND($N5703=$Q$7,$B5703&lt;'111'!$L$11),"x","")</f>
        <v/>
      </c>
      <c r="S5703" s="75" t="str">
        <f>IF(AND($O5703=$Q$7,$B5703&lt;'111'!$L$11),"x","")</f>
        <v/>
      </c>
      <c r="T5703" s="75" t="str">
        <f>IF(ISERROR(FIND('112'!$M$9,G5703,1)),"",IF((AND(FIND('112'!$M$9,G5703,1)&gt;=1,B5703='112'!$K$9,OR($N5703='112'!$I$6,$O5703='112'!$I$6))),"x",""))</f>
        <v/>
      </c>
      <c r="U5703" s="75" t="str">
        <f>IF(ISERROR(FIND('112'!$M$9,G5703,1)),"",IF((AND(LEFT(G5703,2)=LEFT('112'!$M$9,2),B5703&lt;'112'!$K$9,$N5703='112'!$I$6)),"x",""))</f>
        <v/>
      </c>
      <c r="V5703" s="75" t="str">
        <f>IF(ISERROR(FIND('112'!$M$9,G5703,1)),"",IF((AND(RIGHT(G5703,2)=RIGHT('112'!$M$9,2),B5703&lt;'112'!$K$9,$O5703='112'!$I$6)),"x",""))</f>
        <v/>
      </c>
      <c r="W5703" s="75" t="str">
        <f>IF(AND('341-CT'!$H$9=H5703,OR(LEFT(N5703,3)=$W$7,LEFT(O5703,3)=$W$7)),"x","")</f>
        <v/>
      </c>
      <c r="X5703" s="75" t="str">
        <f>IF(OR(TH!N4186=TH!$X$7,O5703=TH!$X$7),"x","")</f>
        <v/>
      </c>
      <c r="Y5703" s="75" t="str">
        <f>IF(AND(OR(N5703="131",O5703="131"),H5703='131-CT'!$H$9),"x","")</f>
        <v/>
      </c>
      <c r="Z5703" s="75"/>
      <c r="AA5703" s="75" t="str">
        <f>IF(AND(MONTH(E5703)='IN-NX'!$J$5,'IN-NX'!$D$7=D5703),"x","")</f>
        <v/>
      </c>
      <c r="AB5703" s="75" t="str">
        <f>IF(AND(OR(LEFT(TH!N4186,2)="15",LEFT(TH!O4186,2)="15"),LEFT(TH!O4186,3)&lt;&gt;"111",'152-CT'!$J$8=TH!F4186),"x","")</f>
        <v/>
      </c>
      <c r="AC5703" s="75" t="str">
        <f>IF(AND(OR(LEFT(TH!N4186,2)="15",LEFT(TH!O4186,2)="15"),TK!$E$7=TH!F4186),"x","")</f>
        <v/>
      </c>
      <c r="AD5703" s="75" t="str">
        <f>IF(AND(N5703="1521",MONTH(C5703)='BK-NL'!$M$11),"x","")</f>
        <v/>
      </c>
      <c r="AE5703" t="s">
        <v>2969</v>
      </c>
      <c r="AF5703"/>
      <c r="AG5703"/>
    </row>
    <row r="5704" spans="1:33" s="1264" customFormat="1" ht="16.5" customHeight="1">
      <c r="A5704" s="309" t="str">
        <f>IF(B5704&lt;&gt;"",IF(AND(B5704='IN-TC'!$S$4,OR(TH!N5687="1111",TH!O5687="1111")),TH!D5687,""),"")</f>
        <v/>
      </c>
      <c r="B5704" s="1159">
        <f t="shared" si="1362"/>
        <v>12</v>
      </c>
      <c r="C5704" s="292">
        <f t="shared" si="1363"/>
        <v>43099</v>
      </c>
      <c r="D5704" s="59"/>
      <c r="E5704" s="59">
        <v>43099</v>
      </c>
      <c r="F5704" s="62" t="s">
        <v>1030</v>
      </c>
      <c r="G5704" s="742" t="s">
        <v>2904</v>
      </c>
      <c r="H5704" s="67" t="s">
        <v>948</v>
      </c>
      <c r="I5704" s="375"/>
      <c r="J5704" s="382"/>
      <c r="K5704" s="375"/>
      <c r="L5704" s="381"/>
      <c r="M5704" s="60">
        <v>290909</v>
      </c>
      <c r="N5704" s="61" t="s">
        <v>9</v>
      </c>
      <c r="O5704" s="61" t="s">
        <v>63</v>
      </c>
      <c r="P5704" s="75" t="str">
        <f>IF(AND('331-CT'!$E$7=TH!H4187,OR(N5704="331",O5704="331")),"x","")</f>
        <v/>
      </c>
      <c r="Q5704" s="75" t="str">
        <f>IF(AND(B5704='111'!$L$11,OR($N5704=$Q$7,$O5704=$Q$7)),"x","")</f>
        <v>x</v>
      </c>
      <c r="R5704" s="75" t="str">
        <f>IF(AND($N5704=$Q$7,$B5704&lt;'111'!$L$11),"x","")</f>
        <v/>
      </c>
      <c r="S5704" s="75" t="str">
        <f>IF(AND($O5704=$Q$7,$B5704&lt;'111'!$L$11),"x","")</f>
        <v/>
      </c>
      <c r="T5704" s="75" t="str">
        <f>IF(ISERROR(FIND('112'!$M$9,G5704,1)),"",IF((AND(FIND('112'!$M$9,G5704,1)&gt;=1,B5704='112'!$K$9,OR($N5704='112'!$I$6,$O5704='112'!$I$6))),"x",""))</f>
        <v/>
      </c>
      <c r="U5704" s="75" t="str">
        <f>IF(ISERROR(FIND('112'!$M$9,G5704,1)),"",IF((AND(LEFT(G5704,2)=LEFT('112'!$M$9,2),B5704&lt;'112'!$K$9,$N5704='112'!$I$6)),"x",""))</f>
        <v/>
      </c>
      <c r="V5704" s="75" t="str">
        <f>IF(ISERROR(FIND('112'!$M$9,G5704,1)),"",IF((AND(RIGHT(G5704,2)=RIGHT('112'!$M$9,2),B5704&lt;'112'!$K$9,$O5704='112'!$I$6)),"x",""))</f>
        <v/>
      </c>
      <c r="W5704" s="75" t="str">
        <f>IF(AND('341-CT'!$H$9=H5704,OR(LEFT(N5704,3)=$W$7,LEFT(O5704,3)=$W$7)),"x","")</f>
        <v/>
      </c>
      <c r="X5704" s="75" t="str">
        <f>IF(OR(TH!N4187=TH!$X$7,O5704=TH!$X$7),"x","")</f>
        <v/>
      </c>
      <c r="Y5704" s="75" t="str">
        <f>IF(AND(OR(N5704="131",O5704="131"),H5704='131-CT'!$H$9),"x","")</f>
        <v/>
      </c>
      <c r="Z5704" s="75"/>
      <c r="AA5704" s="75" t="str">
        <f>IF(AND(MONTH(E5704)='IN-NX'!$J$5,'IN-NX'!$D$7=D5704),"x","")</f>
        <v/>
      </c>
      <c r="AB5704" s="75" t="str">
        <f>IF(AND(OR(LEFT(TH!N4187,2)="15",LEFT(TH!O4187,2)="15"),LEFT(TH!O4187,3)&lt;&gt;"111",'152-CT'!$J$8=TH!F4187),"x","")</f>
        <v/>
      </c>
      <c r="AC5704" s="75" t="str">
        <f>IF(AND(OR(LEFT(TH!N4187,2)="15",LEFT(TH!O4187,2)="15"),TK!$E$7=TH!F4187),"x","")</f>
        <v/>
      </c>
      <c r="AD5704" s="75" t="str">
        <f>IF(AND(N5704="1521",MONTH(C5704)='BK-NL'!$M$11),"x","")</f>
        <v/>
      </c>
      <c r="AE5704" t="s">
        <v>2969</v>
      </c>
      <c r="AF5704"/>
      <c r="AG5704"/>
    </row>
    <row r="5705" spans="1:33" s="1264" customFormat="1" ht="16.5" customHeight="1">
      <c r="A5705" s="309" t="str">
        <f>IF(B5705&lt;&gt;"",IF(AND(B5705='IN-TC'!$S$4,OR(TH!N5688="1111",TH!O5688="1111")),TH!D5688,""),"")</f>
        <v/>
      </c>
      <c r="B5705" s="1159">
        <f t="shared" si="1362"/>
        <v>12</v>
      </c>
      <c r="C5705" s="292">
        <f t="shared" si="1363"/>
        <v>43099</v>
      </c>
      <c r="D5705" s="59" t="s">
        <v>902</v>
      </c>
      <c r="E5705" s="59">
        <v>43099</v>
      </c>
      <c r="F5705" s="62" t="s">
        <v>834</v>
      </c>
      <c r="G5705" s="62" t="s">
        <v>747</v>
      </c>
      <c r="H5705" s="67" t="s">
        <v>1023</v>
      </c>
      <c r="I5705" s="373"/>
      <c r="J5705" s="382"/>
      <c r="K5705" s="373"/>
      <c r="L5705" s="379"/>
      <c r="M5705" s="60">
        <v>100000000</v>
      </c>
      <c r="N5705" s="61" t="s">
        <v>63</v>
      </c>
      <c r="O5705" s="61" t="s">
        <v>26</v>
      </c>
      <c r="P5705" s="75" t="str">
        <f>IF(AND('331-CT'!$E$7=TH!H5674,OR(N5705="331",O5705="331")),"x","")</f>
        <v/>
      </c>
      <c r="Q5705" s="75" t="str">
        <f>IF(AND(B5705='111'!$L$11,OR($N5705=$Q$7,$O5705=$Q$7)),"x","")</f>
        <v>x</v>
      </c>
      <c r="R5705" s="75" t="str">
        <f>IF(AND($N5705=$Q$7,$B5705&lt;'111'!$L$11),"x","")</f>
        <v/>
      </c>
      <c r="S5705" s="75" t="str">
        <f>IF(AND($O5705=$Q$7,$B5705&lt;'111'!$L$11),"x","")</f>
        <v/>
      </c>
      <c r="T5705" s="75" t="str">
        <f>IF(ISERROR(FIND('112'!$M$9,G5705,1)),"",IF((AND(FIND('112'!$M$9,G5705,1)&gt;=1,B5705='112'!$K$9,OR($N5705='112'!$I$6,$O5705='112'!$I$6))),"x",""))</f>
        <v/>
      </c>
      <c r="U5705" s="75" t="str">
        <f>IF(ISERROR(FIND('112'!$M$9,G5705,1)),"",IF((AND(LEFT(G5705,2)=LEFT('112'!$M$9,2),B5705&lt;'112'!$K$9,$N5705='112'!$I$6)),"x",""))</f>
        <v/>
      </c>
      <c r="V5705" s="75" t="str">
        <f>IF(ISERROR(FIND('112'!$M$9,G5705,1)),"",IF((AND(RIGHT(G5705,2)=RIGHT('112'!$M$9,2),B5705&lt;'112'!$K$9,$O5705='112'!$I$6)),"x",""))</f>
        <v/>
      </c>
      <c r="W5705" s="75" t="str">
        <f>IF(AND('341-CT'!$H$9=H5705,OR(LEFT(N5705,3)=$W$7,LEFT(O5705,3)=$W$7)),"x","")</f>
        <v/>
      </c>
      <c r="X5705" s="75" t="str">
        <f>IF(OR(TH!N5674=TH!$X$7,O5705=TH!$X$7),"x","")</f>
        <v/>
      </c>
      <c r="Y5705" s="75" t="str">
        <f>IF(AND(OR(N5705="131",O5705="131"),H5705='131-CT'!$H$9),"x","")</f>
        <v/>
      </c>
      <c r="Z5705" s="75"/>
      <c r="AA5705" s="75" t="str">
        <f>IF(AND(MONTH(E5705)='IN-NX'!$J$5,'IN-NX'!$D$7=D5705),"x","")</f>
        <v/>
      </c>
      <c r="AB5705" s="75" t="str">
        <f>IF(AND(OR(LEFT(TH!N5674,2)="15",LEFT(TH!O5674,2)="15"),LEFT(TH!O5674,3)&lt;&gt;"111",'152-CT'!$J$8=TH!F5674),"x","")</f>
        <v/>
      </c>
      <c r="AC5705" s="75" t="str">
        <f>IF(AND(OR(LEFT(TH!N5674,2)="15",LEFT(TH!O5674,2)="15"),TK!$E$7=TH!F5674),"x","")</f>
        <v/>
      </c>
      <c r="AD5705" s="75" t="str">
        <f>IF(AND(N5705="1521",MONTH(C5705)='BK-NL'!$M$11),"x","")</f>
        <v/>
      </c>
      <c r="AE5705"/>
      <c r="AF5705"/>
      <c r="AG5705"/>
    </row>
    <row r="5706" spans="1:33" s="1264" customFormat="1" ht="16.5" customHeight="1">
      <c r="A5706" s="309" t="str">
        <f>IF(B5706&lt;&gt;"",IF(AND(B5706='IN-TC'!$S$4,OR(TH!N5689="1111",TH!O5689="1111")),TH!D5689,""),"")</f>
        <v/>
      </c>
      <c r="B5706" s="1159">
        <f t="shared" si="1362"/>
        <v>12</v>
      </c>
      <c r="C5706" s="292">
        <f t="shared" si="1363"/>
        <v>43099</v>
      </c>
      <c r="D5706" s="59" t="s">
        <v>902</v>
      </c>
      <c r="E5706" s="59">
        <v>43099</v>
      </c>
      <c r="F5706" s="62" t="s">
        <v>834</v>
      </c>
      <c r="G5706" s="62" t="s">
        <v>747</v>
      </c>
      <c r="H5706" s="67" t="s">
        <v>1023</v>
      </c>
      <c r="I5706" s="373"/>
      <c r="J5706" s="382"/>
      <c r="K5706" s="373"/>
      <c r="L5706" s="379"/>
      <c r="M5706" s="60">
        <v>50000000</v>
      </c>
      <c r="N5706" s="61" t="s">
        <v>63</v>
      </c>
      <c r="O5706" s="61" t="s">
        <v>26</v>
      </c>
      <c r="P5706" s="75" t="str">
        <f>IF(AND('331-CT'!$E$7=TH!H5675,OR(N5706="331",O5706="331")),"x","")</f>
        <v/>
      </c>
      <c r="Q5706" s="75" t="str">
        <f>IF(AND(B5706='111'!$L$11,OR($N5706=$Q$7,$O5706=$Q$7)),"x","")</f>
        <v>x</v>
      </c>
      <c r="R5706" s="75" t="str">
        <f>IF(AND($N5706=$Q$7,$B5706&lt;'111'!$L$11),"x","")</f>
        <v/>
      </c>
      <c r="S5706" s="75" t="str">
        <f>IF(AND($O5706=$Q$7,$B5706&lt;'111'!$L$11),"x","")</f>
        <v/>
      </c>
      <c r="T5706" s="75" t="str">
        <f>IF(ISERROR(FIND('112'!$M$9,G5706,1)),"",IF((AND(FIND('112'!$M$9,G5706,1)&gt;=1,B5706='112'!$K$9,OR($N5706='112'!$I$6,$O5706='112'!$I$6))),"x",""))</f>
        <v/>
      </c>
      <c r="U5706" s="75" t="str">
        <f>IF(ISERROR(FIND('112'!$M$9,G5706,1)),"",IF((AND(LEFT(G5706,2)=LEFT('112'!$M$9,2),B5706&lt;'112'!$K$9,$N5706='112'!$I$6)),"x",""))</f>
        <v/>
      </c>
      <c r="V5706" s="75" t="str">
        <f>IF(ISERROR(FIND('112'!$M$9,G5706,1)),"",IF((AND(RIGHT(G5706,2)=RIGHT('112'!$M$9,2),B5706&lt;'112'!$K$9,$O5706='112'!$I$6)),"x",""))</f>
        <v/>
      </c>
      <c r="W5706" s="75" t="str">
        <f>IF(AND('341-CT'!$H$9=H5706,OR(LEFT(N5706,3)=$W$7,LEFT(O5706,3)=$W$7)),"x","")</f>
        <v/>
      </c>
      <c r="X5706" s="75" t="str">
        <f>IF(OR(TH!N5675=TH!$X$7,O5706=TH!$X$7),"x","")</f>
        <v/>
      </c>
      <c r="Y5706" s="75" t="str">
        <f>IF(AND(OR(N5706="131",O5706="131"),H5706='131-CT'!$H$9),"x","")</f>
        <v/>
      </c>
      <c r="Z5706" s="75"/>
      <c r="AA5706" s="75" t="str">
        <f>IF(AND(MONTH(E5706)='IN-NX'!$J$5,'IN-NX'!$D$7=D5706),"x","")</f>
        <v/>
      </c>
      <c r="AB5706" s="75" t="str">
        <f>IF(AND(OR(LEFT(TH!N5675,2)="15",LEFT(TH!O5675,2)="15"),LEFT(TH!O5675,3)&lt;&gt;"111",'152-CT'!$J$8=TH!F5675),"x","")</f>
        <v/>
      </c>
      <c r="AC5706" s="75" t="str">
        <f>IF(AND(OR(LEFT(TH!N5675,2)="15",LEFT(TH!O5675,2)="15"),TK!$E$7=TH!F5675),"x","")</f>
        <v/>
      </c>
      <c r="AD5706" s="75" t="str">
        <f>IF(AND(N5706="1521",MONTH(C5706)='BK-NL'!$M$11),"x","")</f>
        <v/>
      </c>
      <c r="AE5706"/>
      <c r="AF5706"/>
      <c r="AG5706"/>
    </row>
    <row r="5707" spans="1:33" s="1264" customFormat="1" ht="16.5" customHeight="1">
      <c r="A5707" s="309" t="str">
        <f>IF(B5707&lt;&gt;"",IF(AND(B5707='IN-TC'!$S$4,OR(TH!N5690="1111",TH!O5690="1111")),TH!D5690,""),"")</f>
        <v/>
      </c>
      <c r="B5707" s="1159">
        <f t="shared" si="1362"/>
        <v>12</v>
      </c>
      <c r="C5707" s="292">
        <f t="shared" si="1363"/>
        <v>43100</v>
      </c>
      <c r="D5707" s="59"/>
      <c r="E5707" s="59">
        <v>43100</v>
      </c>
      <c r="F5707" s="62" t="s">
        <v>1499</v>
      </c>
      <c r="G5707" s="742" t="s">
        <v>2834</v>
      </c>
      <c r="H5707" s="67" t="s">
        <v>893</v>
      </c>
      <c r="I5707" s="375"/>
      <c r="J5707" s="382"/>
      <c r="K5707" s="375"/>
      <c r="L5707" s="381"/>
      <c r="M5707" s="60">
        <v>3047927</v>
      </c>
      <c r="N5707" s="61" t="s">
        <v>101</v>
      </c>
      <c r="O5707" s="61" t="s">
        <v>63</v>
      </c>
      <c r="P5707" s="75" t="str">
        <f>IF(AND('331-CT'!$E$7=TH!H4188,OR(N5707="331",O5707="331")),"x","")</f>
        <v/>
      </c>
      <c r="Q5707" s="75" t="str">
        <f>IF(AND(B5707='111'!$L$11,OR($N5707=$Q$7,$O5707=$Q$7)),"x","")</f>
        <v>x</v>
      </c>
      <c r="R5707" s="75" t="str">
        <f>IF(AND($N5707=$Q$7,$B5707&lt;'111'!$L$11),"x","")</f>
        <v/>
      </c>
      <c r="S5707" s="75" t="str">
        <f>IF(AND($O5707=$Q$7,$B5707&lt;'111'!$L$11),"x","")</f>
        <v/>
      </c>
      <c r="T5707" s="75" t="str">
        <f>IF(ISERROR(FIND('112'!$M$9,G5707,1)),"",IF((AND(FIND('112'!$M$9,G5707,1)&gt;=1,B5707='112'!$K$9,OR($N5707='112'!$I$6,$O5707='112'!$I$6))),"x",""))</f>
        <v/>
      </c>
      <c r="U5707" s="75" t="str">
        <f>IF(ISERROR(FIND('112'!$M$9,G5707,1)),"",IF((AND(LEFT(G5707,2)=LEFT('112'!$M$9,2),B5707&lt;'112'!$K$9,$N5707='112'!$I$6)),"x",""))</f>
        <v/>
      </c>
      <c r="V5707" s="75" t="str">
        <f>IF(ISERROR(FIND('112'!$M$9,G5707,1)),"",IF((AND(RIGHT(G5707,2)=RIGHT('112'!$M$9,2),B5707&lt;'112'!$K$9,$O5707='112'!$I$6)),"x",""))</f>
        <v/>
      </c>
      <c r="W5707" s="75" t="str">
        <f>IF(AND('341-CT'!$H$9=H5707,OR(LEFT(N5707,3)=$W$7,LEFT(O5707,3)=$W$7)),"x","")</f>
        <v/>
      </c>
      <c r="X5707" s="75" t="str">
        <f>IF(OR(TH!N4188=TH!$X$7,O5707=TH!$X$7),"x","")</f>
        <v/>
      </c>
      <c r="Y5707" s="75" t="str">
        <f>IF(AND(OR(N5707="131",O5707="131"),H5707='131-CT'!$H$9),"x","")</f>
        <v/>
      </c>
      <c r="Z5707" s="75"/>
      <c r="AA5707" s="75" t="str">
        <f>IF(AND(MONTH(E5707)='IN-NX'!$J$5,'IN-NX'!$D$7=D5707),"x","")</f>
        <v/>
      </c>
      <c r="AB5707" s="75" t="str">
        <f>IF(AND(OR(LEFT(TH!N4188,2)="15",LEFT(TH!O4188,2)="15"),LEFT(TH!O4188,3)&lt;&gt;"111",'152-CT'!$J$8=TH!F4188),"x","")</f>
        <v/>
      </c>
      <c r="AC5707" s="75" t="str">
        <f>IF(AND(OR(LEFT(TH!N4188,2)="15",LEFT(TH!O4188,2)="15"),TK!$E$7=TH!F4188),"x","")</f>
        <v/>
      </c>
      <c r="AD5707" s="75" t="str">
        <f>IF(AND(N5707="1521",MONTH(C5707)='BK-NL'!$M$11),"x","")</f>
        <v/>
      </c>
      <c r="AE5707">
        <v>12</v>
      </c>
      <c r="AF5707"/>
      <c r="AG5707"/>
    </row>
    <row r="5708" spans="1:33" s="1264" customFormat="1" ht="16.5" customHeight="1">
      <c r="A5708" s="309" t="str">
        <f>IF(B5708&lt;&gt;"",IF(AND(B5708='IN-TC'!$S$4,OR(TH!N5691="1111",TH!O5691="1111")),TH!D5691,""),"")</f>
        <v/>
      </c>
      <c r="B5708" s="1159">
        <f t="shared" si="1362"/>
        <v>12</v>
      </c>
      <c r="C5708" s="292">
        <f t="shared" si="1363"/>
        <v>43100</v>
      </c>
      <c r="D5708" s="59"/>
      <c r="E5708" s="59">
        <v>43100</v>
      </c>
      <c r="F5708" s="62" t="s">
        <v>1500</v>
      </c>
      <c r="G5708" s="742" t="s">
        <v>2834</v>
      </c>
      <c r="H5708" s="67" t="s">
        <v>893</v>
      </c>
      <c r="I5708" s="375"/>
      <c r="J5708" s="382"/>
      <c r="K5708" s="375"/>
      <c r="L5708" s="381"/>
      <c r="M5708" s="60">
        <v>304793</v>
      </c>
      <c r="N5708" s="61" t="s">
        <v>9</v>
      </c>
      <c r="O5708" s="61" t="s">
        <v>63</v>
      </c>
      <c r="P5708" s="75" t="str">
        <f>IF(AND('331-CT'!$E$7=TH!H4189,OR(N5708="331",O5708="331")),"x","")</f>
        <v/>
      </c>
      <c r="Q5708" s="75" t="str">
        <f>IF(AND(B5708='111'!$L$11,OR($N5708=$Q$7,$O5708=$Q$7)),"x","")</f>
        <v>x</v>
      </c>
      <c r="R5708" s="75" t="str">
        <f>IF(AND($N5708=$Q$7,$B5708&lt;'111'!$L$11),"x","")</f>
        <v/>
      </c>
      <c r="S5708" s="75" t="str">
        <f>IF(AND($O5708=$Q$7,$B5708&lt;'111'!$L$11),"x","")</f>
        <v/>
      </c>
      <c r="T5708" s="75" t="str">
        <f>IF(ISERROR(FIND('112'!$M$9,G5708,1)),"",IF((AND(FIND('112'!$M$9,G5708,1)&gt;=1,B5708='112'!$K$9,OR($N5708='112'!$I$6,$O5708='112'!$I$6))),"x",""))</f>
        <v/>
      </c>
      <c r="U5708" s="75" t="str">
        <f>IF(ISERROR(FIND('112'!$M$9,G5708,1)),"",IF((AND(LEFT(G5708,2)=LEFT('112'!$M$9,2),B5708&lt;'112'!$K$9,$N5708='112'!$I$6)),"x",""))</f>
        <v/>
      </c>
      <c r="V5708" s="75" t="str">
        <f>IF(ISERROR(FIND('112'!$M$9,G5708,1)),"",IF((AND(RIGHT(G5708,2)=RIGHT('112'!$M$9,2),B5708&lt;'112'!$K$9,$O5708='112'!$I$6)),"x",""))</f>
        <v/>
      </c>
      <c r="W5708" s="75" t="str">
        <f>IF(AND('341-CT'!$H$9=H5708,OR(LEFT(N5708,3)=$W$7,LEFT(O5708,3)=$W$7)),"x","")</f>
        <v/>
      </c>
      <c r="X5708" s="75" t="str">
        <f>IF(OR(TH!N4189=TH!$X$7,O5708=TH!$X$7),"x","")</f>
        <v/>
      </c>
      <c r="Y5708" s="75" t="str">
        <f>IF(AND(OR(N5708="131",O5708="131"),H5708='131-CT'!$H$9),"x","")</f>
        <v/>
      </c>
      <c r="Z5708" s="75"/>
      <c r="AA5708" s="75" t="str">
        <f>IF(AND(MONTH(E5708)='IN-NX'!$J$5,'IN-NX'!$D$7=D5708),"x","")</f>
        <v/>
      </c>
      <c r="AB5708" s="75" t="str">
        <f>IF(AND(OR(LEFT(TH!N4189,2)="15",LEFT(TH!O4189,2)="15"),LEFT(TH!O4189,3)&lt;&gt;"111",'152-CT'!$J$8=TH!F4189),"x","")</f>
        <v/>
      </c>
      <c r="AC5708" s="75" t="str">
        <f>IF(AND(OR(LEFT(TH!N4189,2)="15",LEFT(TH!O4189,2)="15"),TK!$E$7=TH!F4189),"x","")</f>
        <v/>
      </c>
      <c r="AD5708" s="75" t="str">
        <f>IF(AND(N5708="1521",MONTH(C5708)='BK-NL'!$M$11),"x","")</f>
        <v/>
      </c>
      <c r="AE5708">
        <v>12</v>
      </c>
      <c r="AF5708"/>
      <c r="AG5708"/>
    </row>
    <row r="5709" spans="1:33" s="1264" customFormat="1" ht="16.5" customHeight="1">
      <c r="A5709" s="309" t="str">
        <f>IF(B5709&lt;&gt;"",IF(AND(B5709='IN-TC'!$S$4,OR(TH!N5692="1111",TH!O5692="1111")),TH!D5692,""),"")</f>
        <v/>
      </c>
      <c r="B5709" s="1159">
        <f t="shared" si="1362"/>
        <v>12</v>
      </c>
      <c r="C5709" s="292">
        <f t="shared" si="1363"/>
        <v>43100</v>
      </c>
      <c r="D5709" s="59"/>
      <c r="E5709" s="59">
        <v>43100</v>
      </c>
      <c r="F5709" s="62" t="s">
        <v>2557</v>
      </c>
      <c r="G5709" s="742"/>
      <c r="H5709" s="67" t="s">
        <v>978</v>
      </c>
      <c r="I5709" s="375"/>
      <c r="J5709" s="382"/>
      <c r="K5709" s="375"/>
      <c r="L5709" s="381"/>
      <c r="M5709" s="60">
        <v>1390909</v>
      </c>
      <c r="N5709" s="61" t="s">
        <v>101</v>
      </c>
      <c r="O5709" s="61" t="s">
        <v>63</v>
      </c>
      <c r="P5709" s="75" t="str">
        <f>IF(AND('331-CT'!$E$7=TH!H4190,OR(N5709="331",O5709="331")),"x","")</f>
        <v/>
      </c>
      <c r="Q5709" s="75" t="str">
        <f>IF(AND(B5709='111'!$L$11,OR($N5709=$Q$7,$O5709=$Q$7)),"x","")</f>
        <v>x</v>
      </c>
      <c r="R5709" s="75" t="str">
        <f>IF(AND($N5709=$Q$7,$B5709&lt;'111'!$L$11),"x","")</f>
        <v/>
      </c>
      <c r="S5709" s="75" t="str">
        <f>IF(AND($O5709=$Q$7,$B5709&lt;'111'!$L$11),"x","")</f>
        <v/>
      </c>
      <c r="T5709" s="75" t="str">
        <f>IF(ISERROR(FIND('112'!$M$9,G5709,1)),"",IF((AND(FIND('112'!$M$9,G5709,1)&gt;=1,B5709='112'!$K$9,OR($N5709='112'!$I$6,$O5709='112'!$I$6))),"x",""))</f>
        <v/>
      </c>
      <c r="U5709" s="75" t="str">
        <f>IF(ISERROR(FIND('112'!$M$9,G5709,1)),"",IF((AND(LEFT(G5709,2)=LEFT('112'!$M$9,2),B5709&lt;'112'!$K$9,$N5709='112'!$I$6)),"x",""))</f>
        <v/>
      </c>
      <c r="V5709" s="75" t="str">
        <f>IF(ISERROR(FIND('112'!$M$9,G5709,1)),"",IF((AND(RIGHT(G5709,2)=RIGHT('112'!$M$9,2),B5709&lt;'112'!$K$9,$O5709='112'!$I$6)),"x",""))</f>
        <v/>
      </c>
      <c r="W5709" s="75" t="str">
        <f>IF(AND('341-CT'!$H$9=H5709,OR(LEFT(N5709,3)=$W$7,LEFT(O5709,3)=$W$7)),"x","")</f>
        <v/>
      </c>
      <c r="X5709" s="75" t="str">
        <f>IF(OR(TH!N4190=TH!$X$7,O5709=TH!$X$7),"x","")</f>
        <v/>
      </c>
      <c r="Y5709" s="75" t="str">
        <f>IF(AND(OR(N5709="131",O5709="131"),H5709='131-CT'!$H$9),"x","")</f>
        <v/>
      </c>
      <c r="Z5709" s="75"/>
      <c r="AA5709" s="75" t="str">
        <f>IF(AND(MONTH(E5709)='IN-NX'!$J$5,'IN-NX'!$D$7=D5709),"x","")</f>
        <v/>
      </c>
      <c r="AB5709" s="75" t="str">
        <f>IF(AND(OR(LEFT(TH!N4190,2)="15",LEFT(TH!O4190,2)="15"),LEFT(TH!O4190,3)&lt;&gt;"111",'152-CT'!$J$8=TH!F4190),"x","")</f>
        <v/>
      </c>
      <c r="AC5709" s="75" t="str">
        <f>IF(AND(OR(LEFT(TH!N4190,2)="15",LEFT(TH!O4190,2)="15"),TK!$E$7=TH!F4190),"x","")</f>
        <v/>
      </c>
      <c r="AD5709" s="75" t="str">
        <f>IF(AND(N5709="1521",MONTH(C5709)='BK-NL'!$M$11),"x","")</f>
        <v/>
      </c>
      <c r="AE5709">
        <v>12</v>
      </c>
      <c r="AF5709"/>
      <c r="AG5709"/>
    </row>
    <row r="5710" spans="1:33" s="1264" customFormat="1" ht="16.5" customHeight="1">
      <c r="A5710" s="309" t="str">
        <f>IF(B5710&lt;&gt;"",IF(AND(B5710='IN-TC'!$S$4,OR(TH!N5693="1111",TH!O5693="1111")),TH!D5693,""),"")</f>
        <v/>
      </c>
      <c r="B5710" s="1159">
        <f t="shared" si="1362"/>
        <v>12</v>
      </c>
      <c r="C5710" s="292">
        <f t="shared" si="1363"/>
        <v>43100</v>
      </c>
      <c r="D5710" s="59"/>
      <c r="E5710" s="59">
        <v>43100</v>
      </c>
      <c r="F5710" s="62" t="s">
        <v>2558</v>
      </c>
      <c r="G5710" s="742"/>
      <c r="H5710" s="67" t="s">
        <v>978</v>
      </c>
      <c r="I5710" s="375"/>
      <c r="J5710" s="382"/>
      <c r="K5710" s="375"/>
      <c r="L5710" s="381"/>
      <c r="M5710" s="60">
        <v>139091</v>
      </c>
      <c r="N5710" s="61" t="s">
        <v>9</v>
      </c>
      <c r="O5710" s="61" t="s">
        <v>63</v>
      </c>
      <c r="P5710" s="75" t="str">
        <f>IF(AND('331-CT'!$E$7=TH!H4191,OR(N5710="331",O5710="331")),"x","")</f>
        <v/>
      </c>
      <c r="Q5710" s="75" t="str">
        <f>IF(AND(B5710='111'!$L$11,OR($N5710=$Q$7,$O5710=$Q$7)),"x","")</f>
        <v>x</v>
      </c>
      <c r="R5710" s="75" t="str">
        <f>IF(AND($N5710=$Q$7,$B5710&lt;'111'!$L$11),"x","")</f>
        <v/>
      </c>
      <c r="S5710" s="75" t="str">
        <f>IF(AND($O5710=$Q$7,$B5710&lt;'111'!$L$11),"x","")</f>
        <v/>
      </c>
      <c r="T5710" s="75" t="str">
        <f>IF(ISERROR(FIND('112'!$M$9,G5710,1)),"",IF((AND(FIND('112'!$M$9,G5710,1)&gt;=1,B5710='112'!$K$9,OR($N5710='112'!$I$6,$O5710='112'!$I$6))),"x",""))</f>
        <v/>
      </c>
      <c r="U5710" s="75" t="str">
        <f>IF(ISERROR(FIND('112'!$M$9,G5710,1)),"",IF((AND(LEFT(G5710,2)=LEFT('112'!$M$9,2),B5710&lt;'112'!$K$9,$N5710='112'!$I$6)),"x",""))</f>
        <v/>
      </c>
      <c r="V5710" s="75" t="str">
        <f>IF(ISERROR(FIND('112'!$M$9,G5710,1)),"",IF((AND(RIGHT(G5710,2)=RIGHT('112'!$M$9,2),B5710&lt;'112'!$K$9,$O5710='112'!$I$6)),"x",""))</f>
        <v/>
      </c>
      <c r="W5710" s="75" t="str">
        <f>IF(AND('341-CT'!$H$9=H5710,OR(LEFT(N5710,3)=$W$7,LEFT(O5710,3)=$W$7)),"x","")</f>
        <v/>
      </c>
      <c r="X5710" s="75" t="str">
        <f>IF(OR(TH!N4191=TH!$X$7,O5710=TH!$X$7),"x","")</f>
        <v/>
      </c>
      <c r="Y5710" s="75" t="str">
        <f>IF(AND(OR(N5710="131",O5710="131"),H5710='131-CT'!$H$9),"x","")</f>
        <v/>
      </c>
      <c r="Z5710" s="75"/>
      <c r="AA5710" s="75" t="str">
        <f>IF(AND(MONTH(E5710)='IN-NX'!$J$5,'IN-NX'!$D$7=D5710),"x","")</f>
        <v/>
      </c>
      <c r="AB5710" s="75" t="str">
        <f>IF(AND(OR(LEFT(TH!N4191,2)="15",LEFT(TH!O4191,2)="15"),LEFT(TH!O4191,3)&lt;&gt;"111",'152-CT'!$J$8=TH!F4191),"x","")</f>
        <v/>
      </c>
      <c r="AC5710" s="75" t="str">
        <f>IF(AND(OR(LEFT(TH!N4191,2)="15",LEFT(TH!O4191,2)="15"),TK!$E$7=TH!F4191),"x","")</f>
        <v/>
      </c>
      <c r="AD5710" s="75" t="str">
        <f>IF(AND(N5710="1521",MONTH(C5710)='BK-NL'!$M$11),"x","")</f>
        <v/>
      </c>
      <c r="AE5710">
        <v>12</v>
      </c>
      <c r="AF5710"/>
      <c r="AG5710"/>
    </row>
    <row r="5711" spans="1:33" s="1264" customFormat="1" ht="16.5" customHeight="1">
      <c r="A5711" s="309" t="str">
        <f>IF(B5711&lt;&gt;"",IF(AND(B5711='IN-TC'!$S$4,OR(TH!N5694="1111",TH!O5694="1111")),TH!D5694,""),"")</f>
        <v/>
      </c>
      <c r="B5711" s="1159">
        <f t="shared" si="1362"/>
        <v>12</v>
      </c>
      <c r="C5711" s="292">
        <f t="shared" si="1363"/>
        <v>43100</v>
      </c>
      <c r="D5711" s="59"/>
      <c r="E5711" s="59">
        <v>43100</v>
      </c>
      <c r="F5711" s="62" t="s">
        <v>2828</v>
      </c>
      <c r="G5711" s="742"/>
      <c r="H5711" s="67" t="s">
        <v>980</v>
      </c>
      <c r="I5711" s="375"/>
      <c r="J5711" s="382"/>
      <c r="K5711" s="375"/>
      <c r="L5711" s="381"/>
      <c r="M5711" s="60">
        <v>93916565</v>
      </c>
      <c r="N5711" s="61" t="s">
        <v>540</v>
      </c>
      <c r="O5711" s="61" t="s">
        <v>63</v>
      </c>
      <c r="P5711" s="75" t="str">
        <f>IF(AND('331-CT'!$E$7=TH!H4192,OR(N5711="331",O5711="331")),"x","")</f>
        <v/>
      </c>
      <c r="Q5711" s="75" t="str">
        <f>IF(AND(B5711='111'!$L$11,OR($N5711=$Q$7,$O5711=$Q$7)),"x","")</f>
        <v>x</v>
      </c>
      <c r="R5711" s="75" t="str">
        <f>IF(AND($N5711=$Q$7,$B5711&lt;'111'!$L$11),"x","")</f>
        <v/>
      </c>
      <c r="S5711" s="75" t="str">
        <f>IF(AND($O5711=$Q$7,$B5711&lt;'111'!$L$11),"x","")</f>
        <v/>
      </c>
      <c r="T5711" s="75" t="str">
        <f>IF(ISERROR(FIND('112'!$M$9,G5711,1)),"",IF((AND(FIND('112'!$M$9,G5711,1)&gt;=1,B5711='112'!$K$9,OR($N5711='112'!$I$6,$O5711='112'!$I$6))),"x",""))</f>
        <v/>
      </c>
      <c r="U5711" s="75" t="str">
        <f>IF(ISERROR(FIND('112'!$M$9,G5711,1)),"",IF((AND(LEFT(G5711,2)=LEFT('112'!$M$9,2),B5711&lt;'112'!$K$9,$N5711='112'!$I$6)),"x",""))</f>
        <v/>
      </c>
      <c r="V5711" s="75" t="str">
        <f>IF(ISERROR(FIND('112'!$M$9,G5711,1)),"",IF((AND(RIGHT(G5711,2)=RIGHT('112'!$M$9,2),B5711&lt;'112'!$K$9,$O5711='112'!$I$6)),"x",""))</f>
        <v/>
      </c>
      <c r="W5711" s="75" t="str">
        <f>IF(AND('341-CT'!$H$9=H5711,OR(LEFT(N5711,3)=$W$7,LEFT(O5711,3)=$W$7)),"x","")</f>
        <v/>
      </c>
      <c r="X5711" s="75" t="str">
        <f>IF(OR(TH!N4192=TH!$X$7,O5711=TH!$X$7),"x","")</f>
        <v/>
      </c>
      <c r="Y5711" s="75" t="str">
        <f>IF(AND(OR(N5711="131",O5711="131"),H5711='131-CT'!$H$9),"x","")</f>
        <v/>
      </c>
      <c r="Z5711" s="75"/>
      <c r="AA5711" s="75" t="str">
        <f>IF(AND(MONTH(E5711)='IN-NX'!$J$5,'IN-NX'!$D$7=D5711),"x","")</f>
        <v/>
      </c>
      <c r="AB5711" s="75" t="str">
        <f>IF(AND(OR(LEFT(TH!N4192,2)="15",LEFT(TH!O4192,2)="15"),LEFT(TH!O4192,3)&lt;&gt;"111",'152-CT'!$J$8=TH!F4192),"x","")</f>
        <v/>
      </c>
      <c r="AC5711" s="75" t="str">
        <f>IF(AND(OR(LEFT(TH!N4192,2)="15",LEFT(TH!O4192,2)="15"),TK!$E$7=TH!F4192),"x","")</f>
        <v/>
      </c>
      <c r="AD5711" s="75" t="str">
        <f>IF(AND(N5711="1521",MONTH(C5711)='BK-NL'!$M$11),"x","")</f>
        <v/>
      </c>
      <c r="AE5711"/>
      <c r="AF5711"/>
      <c r="AG5711"/>
    </row>
    <row r="5712" spans="1:33" s="1264" customFormat="1" ht="16.5" customHeight="1">
      <c r="A5712" s="309" t="str">
        <f>IF(B5712&lt;&gt;"",IF(AND(B5712='IN-TC'!$S$4,OR(TH!N5695="1111",TH!O5695="1111")),TH!D5695,""),"")</f>
        <v/>
      </c>
      <c r="B5712" s="1159">
        <f t="shared" si="1362"/>
        <v>12</v>
      </c>
      <c r="C5712" s="292">
        <f t="shared" si="1363"/>
        <v>43100</v>
      </c>
      <c r="D5712" s="292" t="s">
        <v>903</v>
      </c>
      <c r="E5712" s="292">
        <v>43100</v>
      </c>
      <c r="F5712" s="67" t="s">
        <v>914</v>
      </c>
      <c r="G5712" s="62" t="s">
        <v>1713</v>
      </c>
      <c r="H5712" s="67" t="s">
        <v>1771</v>
      </c>
      <c r="I5712" s="373"/>
      <c r="J5712" s="926"/>
      <c r="K5712" s="373"/>
      <c r="L5712" s="379"/>
      <c r="M5712" s="927">
        <v>1784048</v>
      </c>
      <c r="N5712" s="295" t="s">
        <v>26</v>
      </c>
      <c r="O5712" s="295" t="s">
        <v>43</v>
      </c>
      <c r="P5712" s="75" t="str">
        <f>IF(AND('331-CT'!$E$7=TH!H4622,OR(N5712="331",O5712="331")),"x","")</f>
        <v/>
      </c>
      <c r="Q5712" s="75" t="str">
        <f>IF(AND(B5712='111'!$L$11,OR($N5712=$Q$7,$O5712=$Q$7)),"x","")</f>
        <v/>
      </c>
      <c r="R5712" s="75" t="str">
        <f>IF(AND($N5712=$Q$7,$B5712&lt;'111'!$L$11),"x","")</f>
        <v/>
      </c>
      <c r="S5712" s="75" t="str">
        <f>IF(AND($O5712=$Q$7,$B5712&lt;'111'!$L$11),"x","")</f>
        <v/>
      </c>
      <c r="T5712" s="75" t="str">
        <f>IF(ISERROR(FIND('112'!$M$9,G5712,1)),"",IF((AND(FIND('112'!$M$9,G5712,1)&gt;=1,B5712='112'!$K$9,OR($N5712='112'!$I$6,$O5712='112'!$I$6))),"x",""))</f>
        <v/>
      </c>
      <c r="U5712" s="75" t="str">
        <f>IF(ISERROR(FIND('112'!$M$9,G5712,1)),"",IF((AND(LEFT(G5712,2)=LEFT('112'!$M$9,2),B5712&lt;'112'!$K$9,$N5712='112'!$I$6)),"x",""))</f>
        <v/>
      </c>
      <c r="V5712" s="75" t="str">
        <f>IF(ISERROR(FIND('112'!$M$9,G5712,1)),"",IF((AND(RIGHT(G5712,2)=RIGHT('112'!$M$9,2),B5712&lt;'112'!$K$9,$O5712='112'!$I$6)),"x",""))</f>
        <v/>
      </c>
      <c r="W5712" s="75" t="str">
        <f>IF(AND('341-CT'!$H$9=H5712,OR(LEFT(N5712,3)=$W$7,LEFT(O5712,3)=$W$7)),"x","")</f>
        <v/>
      </c>
      <c r="X5712" s="75" t="str">
        <f>IF(OR(TH!N4622=TH!$X$7,O5712=TH!$X$7),"x","")</f>
        <v/>
      </c>
      <c r="Y5712" s="75" t="str">
        <f>IF(AND(OR(N5712="131",O5712="131"),H5712='131-CT'!$H$9),"x","")</f>
        <v/>
      </c>
      <c r="Z5712" s="75"/>
      <c r="AA5712" s="75" t="str">
        <f>IF(AND(MONTH(E5712)='IN-NX'!$J$5,'IN-NX'!$D$7=D5712),"x","")</f>
        <v/>
      </c>
      <c r="AB5712" s="75" t="str">
        <f>IF(AND(OR(LEFT(TH!N4622,2)="15",LEFT(TH!O4622,2)="15"),LEFT(TH!O4622,3)&lt;&gt;"111",'152-CT'!$J$8=TH!F4622),"x","")</f>
        <v/>
      </c>
      <c r="AC5712" s="75" t="str">
        <f>IF(AND(OR(LEFT(TH!N4622,2)="15",LEFT(TH!O4622,2)="15"),TK!$E$7=TH!F4622),"x","")</f>
        <v/>
      </c>
      <c r="AD5712" s="75" t="str">
        <f>IF(AND(N5712="1521",MONTH(C5712)='BK-NL'!$M$11),"x","")</f>
        <v/>
      </c>
      <c r="AE5712"/>
      <c r="AF5712"/>
      <c r="AG5712"/>
    </row>
    <row r="5713" spans="1:30" s="1264" customFormat="1" ht="16.5" customHeight="1">
      <c r="A5713" s="309" t="str">
        <f>IF(B5713&lt;&gt;"",IF(AND(B5713='IN-TC'!$S$4,OR(TH!N5704="1111",TH!O5704="1111")),TH!D5704,""),"")</f>
        <v/>
      </c>
      <c r="B5713" s="1339">
        <f t="shared" si="1362"/>
        <v>12</v>
      </c>
      <c r="C5713" s="292">
        <f t="shared" si="1363"/>
        <v>43100</v>
      </c>
      <c r="D5713" s="71"/>
      <c r="E5713" s="71">
        <v>43100</v>
      </c>
      <c r="F5713" s="72" t="s">
        <v>3010</v>
      </c>
      <c r="G5713" s="72" t="s">
        <v>332</v>
      </c>
      <c r="H5713" s="73" t="s">
        <v>1880</v>
      </c>
      <c r="I5713" s="371"/>
      <c r="J5713" s="377"/>
      <c r="K5713" s="371"/>
      <c r="L5713" s="377"/>
      <c r="M5713" s="74">
        <v>53209300</v>
      </c>
      <c r="N5713" s="75" t="s">
        <v>63</v>
      </c>
      <c r="O5713" s="75" t="s">
        <v>262</v>
      </c>
      <c r="P5713" s="75" t="str">
        <f>IF(AND('331-CT'!$E$7=TH!H5704,OR(N5713="331",O5713="331")),"x","")</f>
        <v/>
      </c>
      <c r="Q5713" s="75" t="str">
        <f>IF(AND(B5713='111'!$L$11,OR($N5713=$Q$7,$O5713=$Q$7)),"x","")</f>
        <v>x</v>
      </c>
      <c r="R5713" s="75" t="str">
        <f>IF(AND($N5713=$Q$7,$B5713&lt;'111'!$L$11),"x","")</f>
        <v/>
      </c>
      <c r="S5713" s="75" t="str">
        <f>IF(AND($O5713=$Q$7,$B5713&lt;'111'!$L$11),"x","")</f>
        <v/>
      </c>
      <c r="T5713" s="75" t="str">
        <f>IF(ISERROR(FIND('112'!$M$9,G5713,1)),"",IF((AND(FIND('112'!$M$9,G5713,1)&gt;=1,B5713='112'!$K$9,OR($N5713='112'!$I$6,$O5713='112'!$I$6))),"x",""))</f>
        <v/>
      </c>
      <c r="U5713" s="75" t="str">
        <f>IF(ISERROR(FIND('112'!$M$9,G5713,1)),"",IF((AND(LEFT(G5713,2)=LEFT('112'!$M$9,2),B5713&lt;'112'!$K$9,$N5713='112'!$I$6)),"x",""))</f>
        <v/>
      </c>
      <c r="V5713" s="75" t="str">
        <f>IF(ISERROR(FIND('112'!$M$9,G5713,1)),"",IF((AND(RIGHT(G5713,2)=RIGHT('112'!$M$9,2),B5713&lt;'112'!$K$9,$O5713='112'!$I$6)),"x",""))</f>
        <v/>
      </c>
      <c r="W5713" s="75" t="str">
        <f>IF(AND('341-CT'!$H$9=H5713,OR(LEFT(N5713,3)=$W$7,LEFT(O5713,3)=$W$7)),"x","")</f>
        <v/>
      </c>
      <c r="X5713" s="75" t="str">
        <f>IF(OR(TH!N5704=TH!$X$7,O5713=TH!$X$7),"x","")</f>
        <v>x</v>
      </c>
      <c r="Y5713" s="75" t="str">
        <f>IF(AND(OR(N5713="131",O5713="131"),H5713='131-CT'!$H$9),"x","")</f>
        <v/>
      </c>
      <c r="Z5713" s="75"/>
      <c r="AA5713" s="75" t="str">
        <f>IF(AND(MONTH(E5713)='IN-NX'!$J$5,'IN-NX'!$D$7=D5713),"x","")</f>
        <v/>
      </c>
      <c r="AB5713" s="75" t="str">
        <f>IF(AND(OR(LEFT(TH!N5704,2)="15",LEFT(TH!O5704,2)="15"),LEFT(TH!O5704,3)&lt;&gt;"111",'152-CT'!$J$8=TH!F5704),"x","")</f>
        <v/>
      </c>
      <c r="AC5713" s="75" t="str">
        <f>IF(AND(OR(LEFT(TH!N5704,2)="15",LEFT(TH!O5704,2)="15"),TK!$E$7=TH!F5704),"x","")</f>
        <v/>
      </c>
      <c r="AD5713" s="75" t="str">
        <f>IF(AND(N5713="1521",MONTH(C5713)='BK-NL'!$M$11),"x","")</f>
        <v/>
      </c>
    </row>
    <row r="5714" spans="1:30" s="1264" customFormat="1" ht="16.5" customHeight="1">
      <c r="A5714" s="309" t="str">
        <f>IF(B5714&lt;&gt;"",IF(AND(B5714='IN-TC'!$S$4,OR(TH!N5714="1111",TH!O5714="1111")),TH!D5714,""),"")</f>
        <v/>
      </c>
      <c r="B5714" s="1339">
        <f t="shared" si="1362"/>
        <v>12</v>
      </c>
      <c r="C5714" s="292">
        <f t="shared" si="1363"/>
        <v>43100</v>
      </c>
      <c r="D5714" s="71"/>
      <c r="E5714" s="71">
        <v>43100</v>
      </c>
      <c r="F5714" s="72" t="s">
        <v>3010</v>
      </c>
      <c r="G5714" s="72" t="s">
        <v>1899</v>
      </c>
      <c r="H5714" s="73" t="s">
        <v>1879</v>
      </c>
      <c r="I5714" s="371"/>
      <c r="J5714" s="378"/>
      <c r="K5714" s="371"/>
      <c r="L5714" s="377"/>
      <c r="M5714" s="74">
        <v>14082700</v>
      </c>
      <c r="N5714" s="75" t="s">
        <v>63</v>
      </c>
      <c r="O5714" s="75" t="s">
        <v>262</v>
      </c>
      <c r="P5714" s="75" t="str">
        <f>IF(AND('331-CT'!$E$7=TH!H5714,OR(N5714="331",O5714="331")),"x","")</f>
        <v/>
      </c>
      <c r="Q5714" s="75" t="str">
        <f>IF(AND(B5714='111'!$L$11,OR($N5714=$Q$7,$O5714=$Q$7)),"x","")</f>
        <v>x</v>
      </c>
      <c r="R5714" s="75" t="str">
        <f>IF(AND($N5714=$Q$7,$B5714&lt;'111'!$L$11),"x","")</f>
        <v/>
      </c>
      <c r="S5714" s="75" t="str">
        <f>IF(AND($O5714=$Q$7,$B5714&lt;'111'!$L$11),"x","")</f>
        <v/>
      </c>
      <c r="T5714" s="75" t="str">
        <f>IF(ISERROR(FIND('112'!$M$9,G5714,1)),"",IF((AND(FIND('112'!$M$9,G5714,1)&gt;=1,B5714='112'!$K$9,OR($N5714='112'!$I$6,$O5714='112'!$I$6))),"x",""))</f>
        <v/>
      </c>
      <c r="U5714" s="75" t="str">
        <f>IF(ISERROR(FIND('112'!$M$9,G5714,1)),"",IF((AND(LEFT(G5714,2)=LEFT('112'!$M$9,2),B5714&lt;'112'!$K$9,$N5714='112'!$I$6)),"x",""))</f>
        <v/>
      </c>
      <c r="V5714" s="75" t="str">
        <f>IF(ISERROR(FIND('112'!$M$9,G5714,1)),"",IF((AND(RIGHT(G5714,2)=RIGHT('112'!$M$9,2),B5714&lt;'112'!$K$9,$O5714='112'!$I$6)),"x",""))</f>
        <v/>
      </c>
      <c r="W5714" s="75" t="str">
        <f>IF(AND('341-CT'!$H$9=H5714,OR(LEFT(N5714,3)=$W$7,LEFT(O5714,3)=$W$7)),"x","")</f>
        <v/>
      </c>
      <c r="X5714" s="75" t="str">
        <f>IF(OR(TH!N5714=TH!$X$7,O5714=TH!$X$7),"x","")</f>
        <v>x</v>
      </c>
      <c r="Y5714" s="75" t="str">
        <f>IF(AND(OR(N5714="131",O5714="131"),H5714='131-CT'!$H$9),"x","")</f>
        <v/>
      </c>
      <c r="Z5714" s="75"/>
      <c r="AA5714" s="75" t="str">
        <f>IF(AND(MONTH(E5714)='IN-NX'!$J$5,'IN-NX'!$D$7=D5714),"x","")</f>
        <v/>
      </c>
      <c r="AB5714" s="75" t="str">
        <f>IF(AND(OR(LEFT(TH!N5714,2)="15",LEFT(TH!O5714,2)="15"),LEFT(TH!O5714,3)&lt;&gt;"111",'152-CT'!$J$8=TH!F5714),"x","")</f>
        <v/>
      </c>
      <c r="AC5714" s="75" t="str">
        <f>IF(AND(OR(LEFT(TH!N5714,2)="15",LEFT(TH!O5714,2)="15"),TK!$E$7=TH!F5714),"x","")</f>
        <v/>
      </c>
      <c r="AD5714" s="75" t="str">
        <f>IF(AND(N5714="1521",MONTH(C5714)='BK-NL'!$M$11),"x","")</f>
        <v/>
      </c>
    </row>
    <row r="5715" spans="1:30" s="1264" customFormat="1" ht="16.5" customHeight="1">
      <c r="A5715" s="309" t="str">
        <f>IF(B5715&lt;&gt;"",IF(AND(B5715='IN-TC'!$S$4,OR(TH!N5715="1111",TH!O5715="1111")),TH!D5715,""),"")</f>
        <v/>
      </c>
      <c r="B5715" s="1339" t="str">
        <f t="shared" ref="B5715:B5716" si="1364">IF(C5715&lt;&gt;"",MONTH(C5715),"")</f>
        <v/>
      </c>
      <c r="C5715" s="71"/>
      <c r="D5715" s="71"/>
      <c r="E5715" s="71"/>
      <c r="F5715" s="73"/>
      <c r="G5715" s="1340"/>
      <c r="H5715" s="73"/>
      <c r="I5715" s="371"/>
      <c r="J5715" s="377"/>
      <c r="K5715" s="371"/>
      <c r="L5715" s="377"/>
      <c r="M5715" s="74"/>
      <c r="N5715" s="75"/>
      <c r="O5715" s="75"/>
      <c r="P5715" s="75" t="str">
        <f>IF(AND('331-CT'!$E$7=TH!H5715,OR(N5715="331",O5715="331")),"x","")</f>
        <v/>
      </c>
      <c r="Q5715" s="75" t="str">
        <f>IF(AND(B5715='111'!$L$11,OR($N5715=$Q$7,$O5715=$Q$7)),"x","")</f>
        <v/>
      </c>
      <c r="R5715" s="75" t="str">
        <f>IF(AND($N5715=$Q$7,$B5715&lt;'111'!$L$11),"x","")</f>
        <v/>
      </c>
      <c r="S5715" s="75" t="str">
        <f>IF(AND($O5715=$Q$7,$B5715&lt;'111'!$L$11),"x","")</f>
        <v/>
      </c>
      <c r="T5715" s="75" t="str">
        <f>IF(ISERROR(FIND('112'!$M$9,G5715,1)),"",IF((AND(FIND('112'!$M$9,G5715,1)&gt;=1,B5715='112'!$K$9,OR($N5715='112'!$I$6,$O5715='112'!$I$6))),"x",""))</f>
        <v/>
      </c>
      <c r="U5715" s="75" t="str">
        <f>IF(ISERROR(FIND('112'!$M$9,G5715,1)),"",IF((AND(LEFT(G5715,2)=LEFT('112'!$M$9,2),B5715&lt;'112'!$K$9,$N5715='112'!$I$6)),"x",""))</f>
        <v/>
      </c>
      <c r="V5715" s="75" t="str">
        <f>IF(ISERROR(FIND('112'!$M$9,G5715,1)),"",IF((AND(RIGHT(G5715,2)=RIGHT('112'!$M$9,2),B5715&lt;'112'!$K$9,$O5715='112'!$I$6)),"x",""))</f>
        <v/>
      </c>
      <c r="W5715" s="75" t="str">
        <f>IF(AND('341-CT'!$H$9=H5715,OR(LEFT(N5715,3)=$W$7,LEFT(O5715,3)=$W$7)),"x","")</f>
        <v/>
      </c>
      <c r="X5715" s="75" t="str">
        <f>IF(OR(TH!N5715=TH!$X$7,O5715=TH!$X$7),"x","")</f>
        <v/>
      </c>
      <c r="Y5715" s="75" t="str">
        <f>IF(AND(OR(N5715="131",O5715="131"),H5715='131-CT'!$H$9),"x","")</f>
        <v/>
      </c>
      <c r="Z5715" s="75"/>
      <c r="AA5715" s="75" t="str">
        <f>IF(AND(MONTH(E5715)='IN-NX'!$J$5,'IN-NX'!$D$7=D5715),"x","")</f>
        <v/>
      </c>
      <c r="AB5715" s="75" t="str">
        <f>IF(AND(OR(LEFT(TH!N5715,2)="15",LEFT(TH!O5715,2)="15"),LEFT(TH!O5715,3)&lt;&gt;"111",'152-CT'!$J$8=TH!F5715),"x","")</f>
        <v/>
      </c>
      <c r="AC5715" s="75" t="str">
        <f>IF(AND(OR(LEFT(TH!N5715,2)="15",LEFT(TH!O5715,2)="15"),TK!$E$7=TH!F5715),"x","")</f>
        <v/>
      </c>
      <c r="AD5715" s="75" t="str">
        <f>IF(AND(N5715="1521",MONTH(C5715)='BK-NL'!$M$11),"x","")</f>
        <v/>
      </c>
    </row>
    <row r="5716" spans="1:30" ht="16.5" customHeight="1">
      <c r="A5716" s="309" t="str">
        <f>IF(B5716&lt;&gt;"",IF(AND(B5716='IN-TC'!$S$4,OR(TH!N5716="1111",TH!O5716="1111")),TH!D5716,""),"")</f>
        <v/>
      </c>
      <c r="B5716" s="1128" t="str">
        <f t="shared" si="1364"/>
        <v/>
      </c>
      <c r="C5716" s="59"/>
      <c r="D5716" s="59"/>
      <c r="E5716" s="59"/>
      <c r="F5716" s="67"/>
      <c r="G5716" s="742"/>
      <c r="H5716" s="67"/>
      <c r="I5716" s="373"/>
      <c r="J5716" s="379"/>
      <c r="K5716" s="373"/>
      <c r="L5716" s="379"/>
      <c r="M5716" s="60"/>
      <c r="N5716" s="61"/>
      <c r="O5716" s="61"/>
      <c r="P5716" s="75" t="str">
        <f>IF(AND('331-CT'!$E$7=TH!H5716,OR(N5716="331",O5716="331")),"x","")</f>
        <v/>
      </c>
      <c r="Q5716" s="75" t="str">
        <f>IF(AND(B5716='111'!$L$11,OR($N5716=$Q$7,$O5716=$Q$7)),"x","")</f>
        <v/>
      </c>
      <c r="R5716" s="75" t="str">
        <f>IF(AND($N5716=$Q$7,$B5716&lt;'111'!$L$11),"x","")</f>
        <v/>
      </c>
      <c r="S5716" s="75" t="str">
        <f>IF(AND($O5716=$Q$7,$B5716&lt;'111'!$L$11),"x","")</f>
        <v/>
      </c>
      <c r="T5716" s="75" t="str">
        <f>IF(ISERROR(FIND('112'!$M$9,G5716,1)),"",IF((AND(FIND('112'!$M$9,G5716,1)&gt;=1,B5716='112'!$K$9,OR($N5716='112'!$I$6,$O5716='112'!$I$6))),"x",""))</f>
        <v/>
      </c>
      <c r="U5716" s="75" t="str">
        <f>IF(ISERROR(FIND('112'!$M$9,G5716,1)),"",IF((AND(LEFT(G5716,2)=LEFT('112'!$M$9,2),B5716&lt;'112'!$K$9,$N5716='112'!$I$6)),"x",""))</f>
        <v/>
      </c>
      <c r="V5716" s="75" t="str">
        <f>IF(ISERROR(FIND('112'!$M$9,G5716,1)),"",IF((AND(RIGHT(G5716,2)=RIGHT('112'!$M$9,2),B5716&lt;'112'!$K$9,$O5716='112'!$I$6)),"x",""))</f>
        <v/>
      </c>
      <c r="W5716" s="75" t="str">
        <f>IF(AND('341-CT'!$H$9=H5716,OR(LEFT(N5716,3)=$W$7,LEFT(O5716,3)=$W$7)),"x","")</f>
        <v/>
      </c>
      <c r="X5716" s="75" t="str">
        <f>IF(OR(TH!N5716=TH!$X$7,O5716=TH!$X$7),"x","")</f>
        <v/>
      </c>
      <c r="Y5716" s="75" t="str">
        <f>IF(AND(OR(N5716="131",O5716="131"),H5716='131-CT'!$H$9),"x","")</f>
        <v/>
      </c>
      <c r="Z5716" s="75"/>
      <c r="AA5716" s="75" t="str">
        <f>IF(AND(MONTH(E5716)='IN-NX'!$J$5,'IN-NX'!$D$7=D5716),"x","")</f>
        <v/>
      </c>
      <c r="AB5716" s="75" t="str">
        <f>IF(AND(OR(LEFT(TH!N5716,2)="15",LEFT(TH!O5716,2)="15"),LEFT(TH!O5716,3)&lt;&gt;"111",'152-CT'!$J$8=TH!F5716),"x","")</f>
        <v/>
      </c>
      <c r="AC5716" s="75" t="str">
        <f>IF(AND(OR(LEFT(TH!N5716,2)="15",LEFT(TH!O5716,2)="15"),TK!$E$7=TH!F5716),"x","")</f>
        <v/>
      </c>
      <c r="AD5716" s="75" t="str">
        <f>IF(AND(N5716="1521",MONTH(C5716)='BK-NL'!$M$11),"x","")</f>
        <v/>
      </c>
    </row>
    <row r="5717" spans="1:30" ht="15.75" customHeight="1">
      <c r="A5717" s="893"/>
      <c r="B5717" s="894"/>
      <c r="C5717" s="895"/>
      <c r="D5717" s="895"/>
      <c r="E5717" s="895"/>
      <c r="F5717" s="896"/>
      <c r="G5717" s="896"/>
      <c r="H5717" s="897"/>
      <c r="I5717" s="899"/>
      <c r="J5717" s="898"/>
      <c r="K5717" s="899"/>
      <c r="L5717" s="898"/>
      <c r="M5717" s="900"/>
      <c r="N5717" s="901"/>
      <c r="O5717" s="901"/>
    </row>
    <row r="5718" spans="1:30" ht="18.75" customHeight="1">
      <c r="A5718" s="310"/>
      <c r="B5718" s="312"/>
      <c r="C5718" s="920"/>
      <c r="D5718" s="304"/>
      <c r="E5718" s="920"/>
      <c r="F5718" s="312"/>
      <c r="G5718" s="743"/>
      <c r="H5718" s="313"/>
      <c r="I5718" s="1167"/>
      <c r="J5718" s="909"/>
      <c r="K5718" s="909">
        <f>SUBTOTAL(9,$K$10:$K$5716)</f>
        <v>2921118976.0300002</v>
      </c>
      <c r="L5718" s="909"/>
      <c r="M5718" s="909">
        <f>SUBTOTAL(9,$M$10:$M$5716)</f>
        <v>4768532137412</v>
      </c>
      <c r="N5718" s="909"/>
      <c r="O5718" s="909"/>
    </row>
    <row r="5719" spans="1:30">
      <c r="A5719" s="312"/>
      <c r="B5719" s="1053"/>
      <c r="I5719" s="1168"/>
    </row>
  </sheetData>
  <autoFilter ref="A9:AF5717"/>
  <sortState ref="A3420:AG5707">
    <sortCondition ref="C3420:C5707"/>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dataValidations count="1">
    <dataValidation type="list" allowBlank="1" showInputMessage="1" showErrorMessage="1" sqref="F1293:F1299 F1484:F1490 F1476:F1482 F1492:F1493 F1469:F1474 F2208 F866 F1030 F2338 F2331 F2335 F1035">
      <formula1>Loai3</formula1>
    </dataValidation>
  </dataValidation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2"/>
  <sheetViews>
    <sheetView topLeftCell="A7" workbookViewId="0">
      <pane xSplit="8" ySplit="5" topLeftCell="BG30"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29" customWidth="1"/>
    <col min="2" max="2" width="8.5703125" style="229" customWidth="1"/>
    <col min="3" max="3" width="7.42578125" style="229" customWidth="1"/>
    <col min="4" max="4" width="9" style="229" customWidth="1"/>
    <col min="5" max="5" width="40" style="229" customWidth="1"/>
    <col min="6" max="6" width="14.140625" style="229" customWidth="1"/>
    <col min="7" max="8" width="5.85546875" style="230" customWidth="1"/>
    <col min="9" max="9" width="4.85546875" style="229" customWidth="1"/>
    <col min="10" max="10" width="13" style="229" customWidth="1"/>
    <col min="11" max="11" width="12" style="229" customWidth="1"/>
    <col min="12" max="12" width="13.28515625" style="229" customWidth="1"/>
    <col min="13" max="13" width="13.5703125" style="229" customWidth="1"/>
    <col min="14" max="14" width="13.28515625" style="229" customWidth="1"/>
    <col min="15" max="15" width="13.5703125" style="229" customWidth="1"/>
    <col min="16" max="16" width="11.7109375" style="229" customWidth="1"/>
    <col min="17" max="17" width="6.140625" style="229" customWidth="1"/>
    <col min="18" max="18" width="8.140625" style="229" customWidth="1"/>
    <col min="19" max="19" width="7.28515625" style="229" customWidth="1"/>
    <col min="20" max="20" width="12.7109375" style="229" customWidth="1"/>
    <col min="21" max="21" width="7.140625" style="229" customWidth="1"/>
    <col min="22" max="22" width="13.85546875" style="229" customWidth="1"/>
    <col min="23" max="23" width="5.85546875" style="229" customWidth="1"/>
    <col min="24" max="24" width="7.140625" style="229" customWidth="1"/>
    <col min="25" max="25" width="6" style="229" customWidth="1"/>
    <col min="26" max="26" width="11.28515625" style="229" customWidth="1"/>
    <col min="27" max="28" width="11.5703125" style="229" customWidth="1"/>
    <col min="29" max="29" width="12" style="229" customWidth="1"/>
    <col min="30" max="30" width="6.5703125" style="229" customWidth="1"/>
    <col min="31" max="31" width="15.7109375" style="229" customWidth="1"/>
    <col min="32" max="32" width="13" style="229" customWidth="1"/>
    <col min="33" max="33" width="6.42578125" style="229" customWidth="1"/>
    <col min="34" max="34" width="6.28515625" style="229" customWidth="1"/>
    <col min="35" max="36" width="12.5703125" style="229" customWidth="1"/>
    <col min="37" max="37" width="6.28515625" style="229" customWidth="1"/>
    <col min="38" max="38" width="14.42578125" style="229" customWidth="1"/>
    <col min="39" max="39" width="7" style="229" customWidth="1"/>
    <col min="40" max="40" width="12.5703125" style="229" customWidth="1"/>
    <col min="41" max="41" width="6.140625" style="229" customWidth="1"/>
    <col min="42" max="42" width="5.28515625" style="229" customWidth="1"/>
    <col min="43" max="43" width="12.5703125" style="229" customWidth="1"/>
    <col min="44" max="44" width="4.85546875" style="229" customWidth="1"/>
    <col min="45" max="45" width="12.5703125" style="229" customWidth="1"/>
    <col min="46" max="46" width="10.140625" style="229" customWidth="1"/>
    <col min="47" max="47" width="11.85546875" style="229" customWidth="1"/>
    <col min="48" max="48" width="9.140625" style="229" customWidth="1"/>
    <col min="49" max="49" width="10.7109375" style="229" customWidth="1"/>
    <col min="50" max="53" width="7.28515625" style="229" customWidth="1"/>
    <col min="54" max="64" width="9.140625" style="229"/>
    <col min="65" max="65" width="11.42578125" style="229" customWidth="1"/>
    <col min="66" max="71" width="9.140625" style="229"/>
    <col min="72" max="72" width="5.5703125" style="229" customWidth="1"/>
    <col min="73" max="73" width="12.5703125" style="229" customWidth="1"/>
    <col min="74" max="74" width="5.5703125" style="229" customWidth="1"/>
    <col min="75" max="75" width="12.5703125" style="229" customWidth="1"/>
    <col min="76" max="76" width="6.42578125" style="229" customWidth="1"/>
    <col min="77" max="77" width="13" style="229" customWidth="1"/>
    <col min="78" max="103" width="9.140625" style="229"/>
    <col min="104" max="105" width="12.85546875" style="229" customWidth="1"/>
    <col min="106" max="16384" width="9.140625" style="229"/>
  </cols>
  <sheetData>
    <row r="1" spans="1:105" ht="12.75" customHeight="1">
      <c r="A1" s="225"/>
      <c r="B1" s="226" t="s">
        <v>121</v>
      </c>
      <c r="C1" s="227"/>
      <c r="D1" s="227"/>
      <c r="E1" s="228"/>
      <c r="I1" s="227"/>
      <c r="M1" s="1398" t="s">
        <v>187</v>
      </c>
      <c r="N1" s="1398"/>
      <c r="O1" s="1398"/>
      <c r="P1" s="1398"/>
      <c r="Q1" s="1398"/>
      <c r="R1" s="1398"/>
      <c r="S1" s="1398"/>
      <c r="X1" s="227"/>
      <c r="Y1" s="227"/>
      <c r="Z1" s="228"/>
      <c r="AA1" s="228"/>
      <c r="AB1" s="228"/>
      <c r="AC1" s="228"/>
      <c r="AD1" s="228"/>
      <c r="AE1" s="228"/>
      <c r="AF1" s="228"/>
      <c r="AG1" s="228"/>
      <c r="AH1" s="228"/>
      <c r="AI1" s="228"/>
      <c r="AJ1" s="228"/>
      <c r="AK1" s="228"/>
      <c r="AL1" s="228"/>
      <c r="AM1" s="228"/>
      <c r="AN1" s="228"/>
      <c r="AO1" s="228"/>
      <c r="AP1" s="228"/>
      <c r="AQ1" s="228"/>
      <c r="AR1" s="228"/>
      <c r="AS1" s="228"/>
      <c r="AT1" s="227"/>
      <c r="AU1" s="227"/>
      <c r="AV1" s="227"/>
      <c r="AW1" s="227"/>
      <c r="AX1" s="227"/>
      <c r="AY1" s="227"/>
      <c r="AZ1" s="227"/>
      <c r="BA1" s="227"/>
    </row>
    <row r="2" spans="1:105" ht="12.75" customHeight="1">
      <c r="A2" s="225"/>
      <c r="B2" s="226" t="s">
        <v>176</v>
      </c>
      <c r="C2" s="227"/>
      <c r="D2" s="227"/>
      <c r="E2" s="227"/>
      <c r="I2" s="231"/>
      <c r="M2" s="1399" t="s">
        <v>143</v>
      </c>
      <c r="N2" s="1399"/>
      <c r="O2" s="1399"/>
      <c r="P2" s="1399"/>
      <c r="Q2" s="1399"/>
      <c r="R2" s="1399"/>
      <c r="S2" s="1399"/>
      <c r="X2" s="231"/>
      <c r="Y2" s="231"/>
      <c r="Z2" s="232"/>
      <c r="AA2" s="232"/>
      <c r="AB2" s="232"/>
      <c r="AC2" s="232"/>
      <c r="AD2" s="232"/>
      <c r="AE2" s="232"/>
      <c r="AF2" s="232"/>
      <c r="AG2" s="232"/>
      <c r="AH2" s="232"/>
      <c r="AI2" s="232"/>
      <c r="AJ2" s="232"/>
      <c r="AK2" s="232"/>
      <c r="AL2" s="232"/>
      <c r="AM2" s="232"/>
      <c r="AN2" s="232"/>
      <c r="AO2" s="232"/>
      <c r="AP2" s="232"/>
      <c r="AQ2" s="232"/>
      <c r="AR2" s="232"/>
      <c r="AS2" s="232"/>
      <c r="AT2" s="231"/>
      <c r="AU2" s="231"/>
      <c r="AV2" s="231"/>
      <c r="AW2" s="231"/>
      <c r="AX2" s="231"/>
      <c r="AY2" s="231"/>
      <c r="AZ2" s="231"/>
      <c r="BA2" s="231"/>
    </row>
    <row r="3" spans="1:105" ht="10.5" customHeight="1">
      <c r="A3" s="227"/>
      <c r="B3" s="227"/>
      <c r="C3" s="227"/>
      <c r="D3" s="227"/>
      <c r="E3" s="227"/>
      <c r="F3" s="231"/>
      <c r="G3" s="233"/>
      <c r="H3" s="233"/>
      <c r="I3" s="231"/>
      <c r="M3" s="1399"/>
      <c r="N3" s="1399"/>
      <c r="O3" s="1399"/>
      <c r="P3" s="1399"/>
      <c r="Q3" s="1399"/>
      <c r="R3" s="1399"/>
      <c r="S3" s="1399"/>
      <c r="X3" s="231"/>
      <c r="Y3" s="231"/>
      <c r="Z3" s="232"/>
      <c r="AA3" s="232"/>
      <c r="AB3" s="232"/>
      <c r="AC3" s="232"/>
      <c r="AD3" s="232"/>
      <c r="AE3" s="232"/>
      <c r="AF3" s="232"/>
      <c r="AG3" s="232"/>
      <c r="AH3" s="232"/>
      <c r="AI3" s="232"/>
      <c r="AJ3" s="232"/>
      <c r="AK3" s="232"/>
      <c r="AL3" s="232"/>
      <c r="AM3" s="232"/>
      <c r="AN3" s="232"/>
      <c r="AO3" s="232"/>
      <c r="AP3" s="232"/>
      <c r="AQ3" s="232"/>
      <c r="AR3" s="232"/>
      <c r="AS3" s="232"/>
      <c r="AT3" s="231"/>
      <c r="AU3" s="231"/>
      <c r="AV3" s="231"/>
      <c r="AW3" s="231"/>
      <c r="AX3" s="231"/>
      <c r="AY3" s="231"/>
      <c r="AZ3" s="231"/>
      <c r="BA3" s="231"/>
    </row>
    <row r="4" spans="1:105" ht="19.5" customHeight="1">
      <c r="B4" s="1400" t="s">
        <v>112</v>
      </c>
      <c r="C4" s="1400"/>
      <c r="D4" s="1400"/>
      <c r="E4" s="1400"/>
      <c r="F4" s="1400"/>
      <c r="G4" s="1400"/>
      <c r="H4" s="1400"/>
      <c r="I4" s="1400"/>
      <c r="J4" s="1400"/>
      <c r="K4" s="1400"/>
      <c r="L4" s="1400"/>
      <c r="M4" s="1400"/>
      <c r="N4" s="1400"/>
      <c r="O4" s="1400"/>
      <c r="P4" s="1400"/>
      <c r="Q4" s="1400"/>
      <c r="R4" s="1400"/>
      <c r="S4" s="234"/>
      <c r="T4" s="234"/>
      <c r="U4" s="234"/>
      <c r="V4" s="234"/>
      <c r="W4" s="234"/>
      <c r="X4" s="235"/>
      <c r="Y4" s="235"/>
      <c r="Z4" s="234"/>
      <c r="AA4" s="234"/>
      <c r="AB4" s="234"/>
      <c r="AC4" s="234"/>
      <c r="AD4" s="234"/>
      <c r="AE4" s="234"/>
      <c r="AF4" s="234"/>
      <c r="AG4" s="234"/>
      <c r="AH4" s="234"/>
      <c r="AI4" s="234"/>
      <c r="AJ4" s="234"/>
      <c r="AK4" s="234"/>
      <c r="AL4" s="234"/>
      <c r="AM4" s="234"/>
      <c r="AN4" s="234"/>
      <c r="AO4" s="234"/>
      <c r="AP4" s="234"/>
      <c r="AQ4" s="234"/>
      <c r="AR4" s="234"/>
      <c r="AS4" s="234"/>
      <c r="AT4" s="236"/>
      <c r="AU4" s="236"/>
      <c r="AV4" s="236"/>
      <c r="AW4" s="236"/>
      <c r="AX4" s="236"/>
      <c r="AY4" s="236"/>
      <c r="AZ4" s="236"/>
      <c r="BA4" s="236"/>
    </row>
    <row r="5" spans="1:105" ht="15">
      <c r="B5" s="1401" t="s">
        <v>188</v>
      </c>
      <c r="C5" s="1401"/>
      <c r="D5" s="1401"/>
      <c r="E5" s="1401"/>
      <c r="F5" s="1401"/>
      <c r="G5" s="1401"/>
      <c r="H5" s="1401"/>
      <c r="I5" s="1401"/>
      <c r="J5" s="1401"/>
      <c r="K5" s="1401"/>
      <c r="L5" s="1401"/>
      <c r="M5" s="1401"/>
      <c r="N5" s="1401"/>
      <c r="O5" s="1401"/>
      <c r="P5" s="1401"/>
      <c r="Q5" s="1401"/>
      <c r="R5" s="1401"/>
      <c r="S5" s="237"/>
      <c r="T5" s="237"/>
      <c r="U5" s="237"/>
      <c r="V5" s="237"/>
      <c r="W5" s="237"/>
      <c r="X5" s="238"/>
      <c r="Y5" s="238"/>
      <c r="Z5" s="237"/>
      <c r="AA5" s="237"/>
      <c r="AB5" s="237"/>
      <c r="AC5" s="237"/>
      <c r="AD5" s="237"/>
      <c r="AE5" s="237"/>
      <c r="AF5" s="237"/>
      <c r="AG5" s="237"/>
      <c r="AH5" s="237"/>
      <c r="AI5" s="237"/>
      <c r="AJ5" s="237"/>
      <c r="AK5" s="237"/>
      <c r="AL5" s="237"/>
      <c r="AM5" s="237"/>
      <c r="AN5" s="237"/>
      <c r="AO5" s="237"/>
      <c r="AP5" s="237"/>
      <c r="AQ5" s="237"/>
      <c r="AR5" s="237"/>
      <c r="AS5" s="237"/>
    </row>
    <row r="6" spans="1:105">
      <c r="P6" s="229" t="s">
        <v>147</v>
      </c>
    </row>
    <row r="7" spans="1:105" ht="13.5" customHeight="1">
      <c r="A7" s="1402" t="s">
        <v>37</v>
      </c>
      <c r="B7" s="1397" t="s">
        <v>22</v>
      </c>
      <c r="C7" s="1404" t="s">
        <v>1</v>
      </c>
      <c r="D7" s="1405"/>
      <c r="E7" s="1397" t="s">
        <v>0</v>
      </c>
      <c r="F7" s="1397" t="s">
        <v>113</v>
      </c>
      <c r="G7" s="1406" t="s">
        <v>114</v>
      </c>
      <c r="H7" s="1406"/>
      <c r="I7" s="1407" t="s">
        <v>37</v>
      </c>
      <c r="J7" s="1397" t="s">
        <v>189</v>
      </c>
      <c r="K7" s="1397"/>
      <c r="L7" s="1397" t="s">
        <v>190</v>
      </c>
      <c r="M7" s="1397"/>
      <c r="N7" s="1397" t="s">
        <v>258</v>
      </c>
      <c r="O7" s="1397"/>
      <c r="P7" s="1397" t="s">
        <v>596</v>
      </c>
      <c r="Q7" s="1397"/>
      <c r="R7" s="1397" t="s">
        <v>191</v>
      </c>
      <c r="S7" s="1397"/>
      <c r="T7" s="1397" t="s">
        <v>192</v>
      </c>
      <c r="U7" s="1397"/>
      <c r="V7" s="1397" t="s">
        <v>597</v>
      </c>
      <c r="W7" s="1397"/>
      <c r="X7" s="1397" t="s">
        <v>598</v>
      </c>
      <c r="Y7" s="1397"/>
      <c r="Z7" s="1397" t="s">
        <v>599</v>
      </c>
      <c r="AA7" s="1397"/>
      <c r="AB7" s="1397" t="s">
        <v>600</v>
      </c>
      <c r="AC7" s="1397"/>
      <c r="AD7" s="1397" t="s">
        <v>601</v>
      </c>
      <c r="AE7" s="1397"/>
      <c r="AF7" s="1397" t="s">
        <v>602</v>
      </c>
      <c r="AG7" s="1397"/>
      <c r="AH7" s="1397" t="s">
        <v>603</v>
      </c>
      <c r="AI7" s="1397"/>
      <c r="AJ7" s="1397" t="s">
        <v>604</v>
      </c>
      <c r="AK7" s="1397"/>
      <c r="AL7" s="1397" t="s">
        <v>605</v>
      </c>
      <c r="AM7" s="1397"/>
      <c r="AN7" s="1397" t="s">
        <v>606</v>
      </c>
      <c r="AO7" s="1397"/>
      <c r="AP7" s="1397" t="s">
        <v>607</v>
      </c>
      <c r="AQ7" s="1397"/>
      <c r="AR7" s="1397" t="s">
        <v>608</v>
      </c>
      <c r="AS7" s="1397"/>
      <c r="AT7" s="1397" t="s">
        <v>193</v>
      </c>
      <c r="AU7" s="1397"/>
      <c r="AV7" s="1397" t="s">
        <v>194</v>
      </c>
      <c r="AW7" s="1397"/>
      <c r="AX7" s="1397" t="s">
        <v>609</v>
      </c>
      <c r="AY7" s="1397"/>
      <c r="AZ7" s="1397" t="s">
        <v>610</v>
      </c>
      <c r="BA7" s="1397"/>
      <c r="BB7" s="1397" t="s">
        <v>611</v>
      </c>
      <c r="BC7" s="1397"/>
      <c r="BD7" s="1397" t="s">
        <v>195</v>
      </c>
      <c r="BE7" s="1397"/>
      <c r="BF7" s="1397" t="s">
        <v>612</v>
      </c>
      <c r="BG7" s="1397"/>
      <c r="BH7" s="1397" t="s">
        <v>196</v>
      </c>
      <c r="BI7" s="1397"/>
      <c r="BJ7" s="1397" t="s">
        <v>613</v>
      </c>
      <c r="BK7" s="1397"/>
      <c r="BL7" s="1397" t="s">
        <v>614</v>
      </c>
      <c r="BM7" s="1397"/>
      <c r="BN7" s="1397" t="s">
        <v>615</v>
      </c>
      <c r="BO7" s="1397"/>
      <c r="BP7" s="1397" t="s">
        <v>616</v>
      </c>
      <c r="BQ7" s="1397"/>
      <c r="BR7" s="1397" t="s">
        <v>197</v>
      </c>
      <c r="BS7" s="1397"/>
      <c r="BT7" s="1397" t="s">
        <v>198</v>
      </c>
      <c r="BU7" s="1397"/>
      <c r="BV7" s="1397" t="s">
        <v>253</v>
      </c>
      <c r="BW7" s="1397"/>
      <c r="BX7" s="1397" t="s">
        <v>199</v>
      </c>
      <c r="BY7" s="1397"/>
      <c r="BZ7" s="1397" t="s">
        <v>200</v>
      </c>
      <c r="CA7" s="1397"/>
      <c r="CB7" s="1397" t="s">
        <v>201</v>
      </c>
      <c r="CC7" s="1397"/>
      <c r="CD7" s="1397" t="s">
        <v>617</v>
      </c>
      <c r="CE7" s="1397"/>
      <c r="CF7" s="1397" t="s">
        <v>618</v>
      </c>
      <c r="CG7" s="1397"/>
      <c r="CH7" s="1397" t="s">
        <v>202</v>
      </c>
      <c r="CI7" s="1397"/>
      <c r="CJ7" s="1397" t="s">
        <v>619</v>
      </c>
      <c r="CK7" s="1397"/>
      <c r="CL7" s="1397" t="s">
        <v>620</v>
      </c>
      <c r="CM7" s="1397"/>
      <c r="CN7" s="1397" t="s">
        <v>203</v>
      </c>
      <c r="CO7" s="1397"/>
      <c r="CP7" s="1397" t="s">
        <v>621</v>
      </c>
      <c r="CQ7" s="1397"/>
      <c r="CR7" s="1397" t="s">
        <v>204</v>
      </c>
      <c r="CS7" s="1397"/>
      <c r="CT7" s="1397" t="s">
        <v>205</v>
      </c>
      <c r="CU7" s="1397"/>
      <c r="CV7" s="1397" t="s">
        <v>206</v>
      </c>
      <c r="CW7" s="1397"/>
      <c r="CX7" s="1397" t="s">
        <v>207</v>
      </c>
      <c r="CY7" s="1397"/>
      <c r="CZ7" s="1397" t="s">
        <v>208</v>
      </c>
      <c r="DA7" s="1397"/>
    </row>
    <row r="8" spans="1:105" ht="22.5" customHeight="1">
      <c r="A8" s="1403"/>
      <c r="B8" s="1397"/>
      <c r="C8" s="724" t="s">
        <v>17</v>
      </c>
      <c r="D8" s="723" t="s">
        <v>34</v>
      </c>
      <c r="E8" s="1397"/>
      <c r="F8" s="1397"/>
      <c r="G8" s="725" t="s">
        <v>24</v>
      </c>
      <c r="H8" s="725" t="s">
        <v>25</v>
      </c>
      <c r="I8" s="1407"/>
      <c r="J8" s="723" t="s">
        <v>24</v>
      </c>
      <c r="K8" s="723" t="s">
        <v>25</v>
      </c>
      <c r="L8" s="723" t="s">
        <v>24</v>
      </c>
      <c r="M8" s="723" t="s">
        <v>25</v>
      </c>
      <c r="N8" s="723" t="s">
        <v>24</v>
      </c>
      <c r="O8" s="723" t="s">
        <v>25</v>
      </c>
      <c r="P8" s="723" t="s">
        <v>24</v>
      </c>
      <c r="Q8" s="723" t="s">
        <v>25</v>
      </c>
      <c r="R8" s="723" t="s">
        <v>24</v>
      </c>
      <c r="S8" s="723" t="s">
        <v>25</v>
      </c>
      <c r="T8" s="723" t="s">
        <v>24</v>
      </c>
      <c r="U8" s="723" t="s">
        <v>25</v>
      </c>
      <c r="V8" s="723" t="s">
        <v>24</v>
      </c>
      <c r="W8" s="723" t="s">
        <v>25</v>
      </c>
      <c r="X8" s="723" t="s">
        <v>24</v>
      </c>
      <c r="Y8" s="723" t="s">
        <v>25</v>
      </c>
      <c r="Z8" s="723" t="s">
        <v>24</v>
      </c>
      <c r="AA8" s="723" t="s">
        <v>25</v>
      </c>
      <c r="AB8" s="723" t="s">
        <v>24</v>
      </c>
      <c r="AC8" s="723" t="s">
        <v>25</v>
      </c>
      <c r="AD8" s="723" t="s">
        <v>24</v>
      </c>
      <c r="AE8" s="723" t="s">
        <v>25</v>
      </c>
      <c r="AF8" s="723" t="s">
        <v>24</v>
      </c>
      <c r="AG8" s="723" t="s">
        <v>25</v>
      </c>
      <c r="AH8" s="723" t="s">
        <v>24</v>
      </c>
      <c r="AI8" s="723" t="s">
        <v>25</v>
      </c>
      <c r="AJ8" s="723" t="s">
        <v>24</v>
      </c>
      <c r="AK8" s="723" t="s">
        <v>25</v>
      </c>
      <c r="AL8" s="723" t="s">
        <v>24</v>
      </c>
      <c r="AM8" s="723" t="s">
        <v>25</v>
      </c>
      <c r="AN8" s="723" t="s">
        <v>24</v>
      </c>
      <c r="AO8" s="723" t="s">
        <v>25</v>
      </c>
      <c r="AP8" s="723" t="s">
        <v>24</v>
      </c>
      <c r="AQ8" s="723" t="s">
        <v>25</v>
      </c>
      <c r="AR8" s="723" t="s">
        <v>24</v>
      </c>
      <c r="AS8" s="723" t="s">
        <v>25</v>
      </c>
      <c r="AT8" s="723" t="s">
        <v>24</v>
      </c>
      <c r="AU8" s="723" t="s">
        <v>25</v>
      </c>
      <c r="AV8" s="723" t="s">
        <v>24</v>
      </c>
      <c r="AW8" s="723" t="s">
        <v>25</v>
      </c>
      <c r="AX8" s="723" t="s">
        <v>24</v>
      </c>
      <c r="AY8" s="723" t="s">
        <v>25</v>
      </c>
      <c r="AZ8" s="723" t="s">
        <v>24</v>
      </c>
      <c r="BA8" s="723" t="s">
        <v>25</v>
      </c>
      <c r="BB8" s="723" t="s">
        <v>24</v>
      </c>
      <c r="BC8" s="723" t="s">
        <v>25</v>
      </c>
      <c r="BD8" s="723" t="s">
        <v>24</v>
      </c>
      <c r="BE8" s="723" t="s">
        <v>25</v>
      </c>
      <c r="BF8" s="723" t="s">
        <v>24</v>
      </c>
      <c r="BG8" s="723" t="s">
        <v>25</v>
      </c>
      <c r="BH8" s="723" t="s">
        <v>24</v>
      </c>
      <c r="BI8" s="723" t="s">
        <v>25</v>
      </c>
      <c r="BJ8" s="723" t="s">
        <v>24</v>
      </c>
      <c r="BK8" s="723" t="s">
        <v>25</v>
      </c>
      <c r="BL8" s="723" t="s">
        <v>24</v>
      </c>
      <c r="BM8" s="723" t="s">
        <v>25</v>
      </c>
      <c r="BN8" s="723" t="s">
        <v>24</v>
      </c>
      <c r="BO8" s="723" t="s">
        <v>25</v>
      </c>
      <c r="BP8" s="723" t="s">
        <v>24</v>
      </c>
      <c r="BQ8" s="723" t="s">
        <v>25</v>
      </c>
      <c r="BR8" s="723" t="s">
        <v>24</v>
      </c>
      <c r="BS8" s="723" t="s">
        <v>25</v>
      </c>
      <c r="BT8" s="723" t="s">
        <v>24</v>
      </c>
      <c r="BU8" s="723" t="s">
        <v>25</v>
      </c>
      <c r="BV8" s="723" t="s">
        <v>24</v>
      </c>
      <c r="BW8" s="723" t="s">
        <v>25</v>
      </c>
      <c r="BX8" s="723" t="s">
        <v>24</v>
      </c>
      <c r="BY8" s="723" t="s">
        <v>25</v>
      </c>
      <c r="BZ8" s="723" t="s">
        <v>24</v>
      </c>
      <c r="CA8" s="723" t="s">
        <v>25</v>
      </c>
      <c r="CB8" s="723" t="s">
        <v>24</v>
      </c>
      <c r="CC8" s="723" t="s">
        <v>25</v>
      </c>
      <c r="CD8" s="723" t="s">
        <v>24</v>
      </c>
      <c r="CE8" s="723" t="s">
        <v>25</v>
      </c>
      <c r="CF8" s="723" t="s">
        <v>24</v>
      </c>
      <c r="CG8" s="723" t="s">
        <v>25</v>
      </c>
      <c r="CH8" s="723" t="s">
        <v>24</v>
      </c>
      <c r="CI8" s="723" t="s">
        <v>25</v>
      </c>
      <c r="CJ8" s="723" t="s">
        <v>24</v>
      </c>
      <c r="CK8" s="723" t="s">
        <v>25</v>
      </c>
      <c r="CL8" s="723" t="s">
        <v>24</v>
      </c>
      <c r="CM8" s="723" t="s">
        <v>25</v>
      </c>
      <c r="CN8" s="723" t="s">
        <v>24</v>
      </c>
      <c r="CO8" s="723" t="s">
        <v>25</v>
      </c>
      <c r="CP8" s="723" t="s">
        <v>24</v>
      </c>
      <c r="CQ8" s="723" t="s">
        <v>25</v>
      </c>
      <c r="CR8" s="723" t="s">
        <v>24</v>
      </c>
      <c r="CS8" s="723" t="s">
        <v>25</v>
      </c>
      <c r="CT8" s="723" t="s">
        <v>24</v>
      </c>
      <c r="CU8" s="723" t="s">
        <v>25</v>
      </c>
      <c r="CV8" s="723" t="s">
        <v>24</v>
      </c>
      <c r="CW8" s="723" t="s">
        <v>25</v>
      </c>
      <c r="CX8" s="723" t="s">
        <v>24</v>
      </c>
      <c r="CY8" s="723" t="s">
        <v>25</v>
      </c>
      <c r="CZ8" s="723" t="s">
        <v>24</v>
      </c>
      <c r="DA8" s="723" t="s">
        <v>25</v>
      </c>
    </row>
    <row r="9" spans="1:105" s="240" customFormat="1" ht="8.25" customHeight="1">
      <c r="A9" s="239">
        <v>1</v>
      </c>
      <c r="B9" s="239">
        <v>2</v>
      </c>
      <c r="C9" s="239">
        <v>3</v>
      </c>
      <c r="D9" s="239">
        <v>4</v>
      </c>
      <c r="E9" s="239">
        <v>5</v>
      </c>
      <c r="F9" s="239">
        <v>6</v>
      </c>
      <c r="G9" s="239">
        <v>7</v>
      </c>
      <c r="H9" s="239">
        <v>8</v>
      </c>
      <c r="I9" s="239">
        <v>9</v>
      </c>
      <c r="J9" s="239">
        <v>10</v>
      </c>
      <c r="K9" s="239">
        <v>11</v>
      </c>
      <c r="L9" s="239">
        <v>12</v>
      </c>
      <c r="M9" s="239">
        <v>13</v>
      </c>
      <c r="N9" s="239">
        <v>14</v>
      </c>
      <c r="O9" s="239">
        <v>15</v>
      </c>
      <c r="P9" s="239">
        <v>16</v>
      </c>
      <c r="Q9" s="239">
        <v>17</v>
      </c>
      <c r="R9" s="239">
        <v>18</v>
      </c>
      <c r="S9" s="239">
        <v>19</v>
      </c>
      <c r="T9" s="239">
        <v>20</v>
      </c>
      <c r="U9" s="239">
        <v>21</v>
      </c>
      <c r="V9" s="239">
        <v>22</v>
      </c>
      <c r="W9" s="239">
        <v>23</v>
      </c>
      <c r="X9" s="239">
        <v>24</v>
      </c>
      <c r="Y9" s="239">
        <v>25</v>
      </c>
      <c r="Z9" s="239">
        <v>26</v>
      </c>
      <c r="AA9" s="239">
        <v>27</v>
      </c>
      <c r="AB9" s="239">
        <v>28</v>
      </c>
      <c r="AC9" s="239">
        <v>29</v>
      </c>
      <c r="AD9" s="239">
        <v>30</v>
      </c>
      <c r="AE9" s="239">
        <v>31</v>
      </c>
      <c r="AF9" s="239">
        <v>32</v>
      </c>
      <c r="AG9" s="239">
        <v>33</v>
      </c>
      <c r="AH9" s="239">
        <v>34</v>
      </c>
      <c r="AI9" s="239">
        <v>35</v>
      </c>
      <c r="AJ9" s="239">
        <v>36</v>
      </c>
      <c r="AK9" s="239">
        <v>37</v>
      </c>
      <c r="AL9" s="239">
        <v>38</v>
      </c>
      <c r="AM9" s="239">
        <v>39</v>
      </c>
      <c r="AN9" s="239">
        <v>40</v>
      </c>
      <c r="AO9" s="239">
        <v>41</v>
      </c>
      <c r="AP9" s="239">
        <v>42</v>
      </c>
      <c r="AQ9" s="239">
        <v>43</v>
      </c>
      <c r="AR9" s="239">
        <v>44</v>
      </c>
      <c r="AS9" s="239">
        <v>45</v>
      </c>
      <c r="AT9" s="239">
        <v>46</v>
      </c>
      <c r="AU9" s="239">
        <v>47</v>
      </c>
      <c r="AV9" s="239">
        <v>48</v>
      </c>
      <c r="AW9" s="239">
        <v>49</v>
      </c>
      <c r="AX9" s="239">
        <v>50</v>
      </c>
      <c r="AY9" s="239">
        <v>51</v>
      </c>
      <c r="AZ9" s="239">
        <v>52</v>
      </c>
      <c r="BA9" s="239">
        <v>53</v>
      </c>
      <c r="BB9" s="239">
        <v>54</v>
      </c>
      <c r="BC9" s="239">
        <v>55</v>
      </c>
      <c r="BD9" s="239">
        <v>56</v>
      </c>
      <c r="BE9" s="239">
        <v>57</v>
      </c>
      <c r="BF9" s="239">
        <v>58</v>
      </c>
      <c r="BG9" s="239">
        <v>59</v>
      </c>
      <c r="BH9" s="239">
        <v>60</v>
      </c>
      <c r="BI9" s="239">
        <v>61</v>
      </c>
      <c r="BJ9" s="239">
        <v>62</v>
      </c>
      <c r="BK9" s="239">
        <v>63</v>
      </c>
      <c r="BL9" s="239">
        <v>64</v>
      </c>
      <c r="BM9" s="239">
        <v>65</v>
      </c>
      <c r="BN9" s="239">
        <v>66</v>
      </c>
      <c r="BO9" s="239">
        <v>67</v>
      </c>
      <c r="BP9" s="239">
        <v>68</v>
      </c>
      <c r="BQ9" s="239">
        <v>69</v>
      </c>
      <c r="BR9" s="239">
        <v>70</v>
      </c>
      <c r="BS9" s="239">
        <v>71</v>
      </c>
      <c r="BT9" s="239">
        <v>72</v>
      </c>
      <c r="BU9" s="239">
        <v>73</v>
      </c>
      <c r="BV9" s="239">
        <v>72</v>
      </c>
      <c r="BW9" s="239">
        <v>73</v>
      </c>
      <c r="BX9" s="239">
        <v>74</v>
      </c>
      <c r="BY9" s="239">
        <v>75</v>
      </c>
      <c r="BZ9" s="239">
        <v>76</v>
      </c>
      <c r="CA9" s="239">
        <v>77</v>
      </c>
      <c r="CB9" s="239">
        <v>78</v>
      </c>
      <c r="CC9" s="239">
        <v>79</v>
      </c>
      <c r="CD9" s="239">
        <v>80</v>
      </c>
      <c r="CE9" s="239">
        <v>81</v>
      </c>
      <c r="CF9" s="239">
        <v>82</v>
      </c>
      <c r="CG9" s="239">
        <v>83</v>
      </c>
      <c r="CH9" s="239">
        <v>84</v>
      </c>
      <c r="CI9" s="239">
        <v>85</v>
      </c>
      <c r="CJ9" s="239">
        <v>86</v>
      </c>
      <c r="CK9" s="239">
        <v>87</v>
      </c>
      <c r="CL9" s="239">
        <v>88</v>
      </c>
      <c r="CM9" s="239">
        <v>89</v>
      </c>
      <c r="CN9" s="239">
        <v>90</v>
      </c>
      <c r="CO9" s="239">
        <v>91</v>
      </c>
      <c r="CP9" s="239">
        <v>92</v>
      </c>
      <c r="CQ9" s="239">
        <v>93</v>
      </c>
      <c r="CR9" s="239">
        <v>94</v>
      </c>
      <c r="CS9" s="239">
        <v>95</v>
      </c>
      <c r="CT9" s="239">
        <v>96</v>
      </c>
      <c r="CU9" s="239">
        <v>97</v>
      </c>
      <c r="CV9" s="239">
        <v>98</v>
      </c>
      <c r="CW9" s="239">
        <v>99</v>
      </c>
      <c r="CX9" s="239">
        <v>100</v>
      </c>
      <c r="CY9" s="239">
        <v>101</v>
      </c>
      <c r="CZ9" s="239">
        <v>102</v>
      </c>
      <c r="DA9" s="239">
        <v>103</v>
      </c>
    </row>
    <row r="10" spans="1:105" s="248" customFormat="1" ht="12.75" customHeight="1">
      <c r="A10" s="58" t="str">
        <f t="array" ref="A10">IF(C10&lt;&gt;0,SUM(($C10:C$16&lt;&gt;0)*1),"")</f>
        <v/>
      </c>
      <c r="B10" s="241"/>
      <c r="C10" s="242"/>
      <c r="D10" s="241"/>
      <c r="E10" s="243" t="s">
        <v>209</v>
      </c>
      <c r="F10" s="244"/>
      <c r="G10" s="245"/>
      <c r="H10" s="245"/>
      <c r="I10" s="246"/>
      <c r="J10" s="247">
        <f>CDPS!C10</f>
        <v>667384522</v>
      </c>
      <c r="K10" s="247">
        <f>CDPS!D10</f>
        <v>0</v>
      </c>
      <c r="L10" s="247">
        <f>CDPS!C12</f>
        <v>9382419</v>
      </c>
      <c r="M10" s="247">
        <f>CDPS!D12</f>
        <v>0</v>
      </c>
      <c r="N10" s="247">
        <f>CDPS!C13</f>
        <v>5679984</v>
      </c>
      <c r="O10" s="247">
        <f>CDPS!D13</f>
        <v>0</v>
      </c>
      <c r="P10" s="247">
        <f>CDPS!C17</f>
        <v>57038792896</v>
      </c>
      <c r="Q10" s="247">
        <f>CDPS!D17</f>
        <v>0</v>
      </c>
      <c r="R10" s="247">
        <f>CDPS!C18</f>
        <v>518470991</v>
      </c>
      <c r="S10" s="247">
        <f>CDPS!D18</f>
        <v>0</v>
      </c>
      <c r="T10" s="247">
        <f>CDPS!C20</f>
        <v>0</v>
      </c>
      <c r="U10" s="247">
        <f>CDPS!D20</f>
        <v>0</v>
      </c>
      <c r="V10" s="247">
        <f>CDPS!C22</f>
        <v>0</v>
      </c>
      <c r="W10" s="247">
        <f>CDPS!D22</f>
        <v>0</v>
      </c>
      <c r="X10" s="247">
        <f>CDPS!C23</f>
        <v>0</v>
      </c>
      <c r="Y10" s="247">
        <f>CDPS!D23</f>
        <v>0</v>
      </c>
      <c r="Z10" s="247">
        <f>CDPS!C24</f>
        <v>351991443</v>
      </c>
      <c r="AA10" s="247">
        <f>CDPS!D24</f>
        <v>0</v>
      </c>
      <c r="AB10" s="247">
        <f>CDPS!C26</f>
        <v>49990909</v>
      </c>
      <c r="AC10" s="247">
        <f>CDPS!D26</f>
        <v>0</v>
      </c>
      <c r="AD10" s="247">
        <f>CDPS!C27</f>
        <v>1450841000</v>
      </c>
      <c r="AE10" s="247">
        <f>CDPS!D27</f>
        <v>0</v>
      </c>
      <c r="AF10" s="247">
        <f>CDPS!C28</f>
        <v>3468509299</v>
      </c>
      <c r="AG10" s="247">
        <f>CDPS!D28</f>
        <v>0</v>
      </c>
      <c r="AH10" s="247">
        <f>CDPS!C29</f>
        <v>7770361541</v>
      </c>
      <c r="AI10" s="247">
        <f>CDPS!D29</f>
        <v>0</v>
      </c>
      <c r="AJ10" s="247">
        <f>CDPS!C30</f>
        <v>3807898863</v>
      </c>
      <c r="AK10" s="247">
        <f>CDPS!D30</f>
        <v>0</v>
      </c>
      <c r="AL10" s="247">
        <f>CDPS!C31</f>
        <v>3790918485</v>
      </c>
      <c r="AM10" s="247">
        <f>CDPS!D31</f>
        <v>0</v>
      </c>
      <c r="AN10" s="247">
        <f>CDPS!C33</f>
        <v>5405781300</v>
      </c>
      <c r="AO10" s="247">
        <f>CDPS!D33</f>
        <v>0</v>
      </c>
      <c r="AP10" s="247">
        <f>CDPS!C35</f>
        <v>0</v>
      </c>
      <c r="AQ10" s="247">
        <f>CDPS!D35</f>
        <v>9758261933</v>
      </c>
      <c r="AR10" s="247">
        <f>CDPS!C36</f>
        <v>0</v>
      </c>
      <c r="AS10" s="247">
        <f>CDPS!D36</f>
        <v>720770838</v>
      </c>
      <c r="AT10" s="247">
        <f>CDPS!C38</f>
        <v>0</v>
      </c>
      <c r="AU10" s="247">
        <f>CDPS!D38</f>
        <v>0</v>
      </c>
      <c r="AV10" s="247">
        <f>CDPS!C40</f>
        <v>0</v>
      </c>
      <c r="AW10" s="247">
        <f>CDPS!D40</f>
        <v>35725221599</v>
      </c>
      <c r="AX10" s="247"/>
      <c r="AY10" s="247"/>
      <c r="AZ10" s="247"/>
      <c r="BA10" s="247"/>
      <c r="BB10" s="247"/>
      <c r="BC10" s="247"/>
      <c r="BD10" s="247">
        <f>CDPS!C44</f>
        <v>6386869</v>
      </c>
      <c r="BE10" s="247">
        <f>CDPS!D44</f>
        <v>0</v>
      </c>
      <c r="BF10" s="247">
        <f>CDPS!C45</f>
        <v>3389804</v>
      </c>
      <c r="BG10" s="247">
        <f>CDPS!D45</f>
        <v>0</v>
      </c>
      <c r="BH10" s="247">
        <f>CDPS!C46</f>
        <v>0</v>
      </c>
      <c r="BI10" s="247">
        <f>CDPS!D46</f>
        <v>0</v>
      </c>
      <c r="BJ10" s="247">
        <f>CDPS!C49</f>
        <v>0</v>
      </c>
      <c r="BK10" s="247">
        <f>CDPS!D49</f>
        <v>0</v>
      </c>
      <c r="BL10" s="247">
        <f>CDPS!C51</f>
        <v>0</v>
      </c>
      <c r="BM10" s="247">
        <f>CDPS!D51</f>
        <v>106628549</v>
      </c>
      <c r="BN10" s="247">
        <f>CDPS!C52</f>
        <v>0</v>
      </c>
      <c r="BO10" s="247">
        <f>CDPS!D52</f>
        <v>4469220</v>
      </c>
      <c r="BP10" s="247">
        <f>CDPS!C53</f>
        <v>0</v>
      </c>
      <c r="BQ10" s="247">
        <f>CDPS!D53</f>
        <v>1986320</v>
      </c>
      <c r="BR10" s="247">
        <f>CDPS!C54</f>
        <v>0</v>
      </c>
      <c r="BS10" s="247">
        <f>CDPS!D54</f>
        <v>0</v>
      </c>
      <c r="BT10" s="247">
        <f>CDPS!C56</f>
        <v>0</v>
      </c>
      <c r="BU10" s="247">
        <f>CDPS!D56</f>
        <v>0</v>
      </c>
      <c r="BV10" s="247">
        <f>CDPS!C57</f>
        <v>0</v>
      </c>
      <c r="BW10" s="247">
        <f>CDPS!D57</f>
        <v>27471593800</v>
      </c>
      <c r="BX10" s="247">
        <f>CDPS!C59</f>
        <v>0</v>
      </c>
      <c r="BY10" s="247">
        <f>CDPS!D59</f>
        <v>10000000000</v>
      </c>
      <c r="BZ10" s="247">
        <f>CDPS!C61</f>
        <v>0</v>
      </c>
      <c r="CA10" s="247">
        <f>CDPS!D61</f>
        <v>527246020.00000048</v>
      </c>
      <c r="CB10" s="247">
        <f>CDPS!C62</f>
        <v>0</v>
      </c>
      <c r="CC10" s="247">
        <f>CDPS!D62</f>
        <v>29602046</v>
      </c>
      <c r="CD10" s="247"/>
      <c r="CE10" s="247"/>
      <c r="CF10" s="247"/>
      <c r="CG10" s="247"/>
      <c r="CH10" s="247"/>
      <c r="CI10" s="247"/>
      <c r="CJ10" s="247"/>
      <c r="CK10" s="247"/>
      <c r="CL10" s="247"/>
      <c r="CM10" s="247"/>
      <c r="CN10" s="247"/>
      <c r="CO10" s="247"/>
      <c r="CP10" s="247"/>
      <c r="CQ10" s="247"/>
      <c r="CR10" s="247"/>
      <c r="CS10" s="247"/>
      <c r="CT10" s="247"/>
      <c r="CU10" s="247"/>
      <c r="CV10" s="247"/>
      <c r="CW10" s="247"/>
      <c r="CX10" s="247"/>
      <c r="CY10" s="247"/>
      <c r="CZ10" s="247"/>
      <c r="DA10" s="247"/>
    </row>
    <row r="11" spans="1:105" s="248" customFormat="1" ht="12.75" customHeight="1">
      <c r="A11" s="58">
        <f t="array" aca="1" ref="A11" ca="1">IF(C11&lt;&gt;0,SUM(($C$11:C11&lt;&gt;0)*1),"")</f>
        <v>1</v>
      </c>
      <c r="B11" s="249" t="str">
        <f ca="1">IF(ROWS($1:1)&gt;COUNT(Dong6),"",OFFSET(TH!C$1,SMALL(Dong6,ROWS($1:1)),))</f>
        <v/>
      </c>
      <c r="C11" s="249" t="str">
        <f ca="1">IF(ROWS($1:1)&gt;COUNT(Dong6),"",OFFSET(TH!D$1,SMALL(Dong6,ROWS($1:1)),))</f>
        <v/>
      </c>
      <c r="D11" s="249" t="str">
        <f ca="1">IF(ROWS($1:1)&gt;COUNT(Dong6),"",OFFSET(TH!E$1,SMALL(Dong6,ROWS($1:1)),))</f>
        <v/>
      </c>
      <c r="E11" s="299" t="str">
        <f ca="1">IF(ROWS($1:1)&gt;COUNT(Dong6),"",OFFSET(TH!F$1,SMALL(Dong6,ROWS($1:1)),))</f>
        <v/>
      </c>
      <c r="F11" s="300" t="str">
        <f ca="1">IF(ROWS($1:1)&gt;COUNT(Dong6),"",OFFSET(TH!M$1,SMALL(Dong6,ROWS($1:1)),))</f>
        <v/>
      </c>
      <c r="G11" s="301" t="str">
        <f ca="1">IF(ROWS($1:1)&gt;COUNT(Dong6),"",OFFSET(TH!N$1,SMALL(Dong6,ROWS($1:1)),))</f>
        <v/>
      </c>
      <c r="H11" s="301" t="str">
        <f ca="1">IF(ROWS($1:1)&gt;COUNT(Dong6),"",OFFSET(TH!O$1,SMALL(Dong6,ROWS($1:1)),))</f>
        <v/>
      </c>
      <c r="I11" s="58">
        <f t="shared" ref="I11:I34" ca="1" si="0">A11</f>
        <v>1</v>
      </c>
      <c r="J11" s="251">
        <f ca="1">IF($G11="1111",$F11,0)</f>
        <v>0</v>
      </c>
      <c r="K11" s="251">
        <f ca="1">IF($H11="1111",$F11,0)</f>
        <v>0</v>
      </c>
      <c r="L11" s="251">
        <f t="shared" ref="L11:L51" ca="1" si="1">IF($G11="1121",$F11,0)</f>
        <v>0</v>
      </c>
      <c r="M11" s="251">
        <f t="shared" ref="M11:M51" ca="1" si="2">IF($H11="1121",$F11,0)</f>
        <v>0</v>
      </c>
      <c r="N11" s="251">
        <f t="shared" ref="N11:N51" ca="1" si="3">IF($G11="1122",$F11,0)</f>
        <v>0</v>
      </c>
      <c r="O11" s="251">
        <f t="shared" ref="O11:O51" ca="1" si="4">IF($H11="1122",$F11,0)</f>
        <v>0</v>
      </c>
      <c r="P11" s="251">
        <f t="shared" ref="P11:P51" ca="1" si="5">IF($G11="131",$F11,0)</f>
        <v>0</v>
      </c>
      <c r="Q11" s="251">
        <f t="shared" ref="Q11:Q51" ca="1" si="6">IF($H11="131",$F11,0)</f>
        <v>0</v>
      </c>
      <c r="R11" s="251">
        <f t="shared" ref="R11:R51" ca="1" si="7">IF($G11="1331",$F11,0)</f>
        <v>0</v>
      </c>
      <c r="S11" s="251">
        <f t="shared" ref="S11:S51" ca="1" si="8">IF($H11="1331",$F11,0)</f>
        <v>0</v>
      </c>
      <c r="T11" s="251">
        <f t="shared" ref="T11:T51" ca="1" si="9">IF($G11="1388",$F11,0)</f>
        <v>0</v>
      </c>
      <c r="U11" s="251">
        <f t="shared" ref="U11:U51" ca="1" si="10">IF($H11="1388",$F11,0)</f>
        <v>0</v>
      </c>
      <c r="V11" s="251">
        <f t="shared" ref="V11:V51" ca="1" si="11">IF($G11="141",$F11,0)</f>
        <v>0</v>
      </c>
      <c r="W11" s="251">
        <f t="shared" ref="W11:W51" ca="1" si="12">IF($H11="141",$F11,0)</f>
        <v>0</v>
      </c>
      <c r="X11" s="251">
        <f t="shared" ref="X11:X51" ca="1" si="13">IF($G11="1521",$F11,0)</f>
        <v>0</v>
      </c>
      <c r="Y11" s="251">
        <f t="shared" ref="Y11:Y51" ca="1" si="14">IF($H11="1521",$F11,0)</f>
        <v>0</v>
      </c>
      <c r="Z11" s="251">
        <f t="shared" ref="Z11:Z51" ca="1" si="15">IF($G11="1522",$F11,0)</f>
        <v>0</v>
      </c>
      <c r="AA11" s="251">
        <f t="shared" ref="AA11:AA51" ca="1" si="16">IF($H11="1522",$F11,0)</f>
        <v>0</v>
      </c>
      <c r="AB11" s="251">
        <f ca="1">IF($G11="153",$F11,0)</f>
        <v>0</v>
      </c>
      <c r="AC11" s="251">
        <f ca="1">IF($H11="153",$F11,0)</f>
        <v>0</v>
      </c>
      <c r="AD11" s="251">
        <f t="shared" ref="AD11:AD51" ca="1" si="17">IF($G11="154",$F11,0)</f>
        <v>0</v>
      </c>
      <c r="AE11" s="251">
        <f t="shared" ref="AE11:AE51" ca="1" si="18">IF($H11="154",$F11,0)</f>
        <v>0</v>
      </c>
      <c r="AF11" s="251">
        <f t="shared" ref="AF11:AF51" ca="1" si="19">IF($G11="155",$F11,0)</f>
        <v>0</v>
      </c>
      <c r="AG11" s="251">
        <f t="shared" ref="AG11:AG51" ca="1" si="20">IF($H11="155",$F11,0)</f>
        <v>0</v>
      </c>
      <c r="AH11" s="251">
        <f ca="1">IF($G11="2111",$F11,0)</f>
        <v>0</v>
      </c>
      <c r="AI11" s="251">
        <f ca="1">IF($H11="2111",$F11,0)</f>
        <v>0</v>
      </c>
      <c r="AJ11" s="251">
        <f ca="1">IF($G11="2112",$F11,0)</f>
        <v>0</v>
      </c>
      <c r="AK11" s="251">
        <f ca="1">IF($H11="2112",$F11,0)</f>
        <v>0</v>
      </c>
      <c r="AL11" s="251">
        <f ca="1">IF($G11="2113",$F11,0)</f>
        <v>0</v>
      </c>
      <c r="AM11" s="251">
        <f ca="1">IF($H11="2113",$F11,0)</f>
        <v>0</v>
      </c>
      <c r="AN11" s="251">
        <f ca="1">IF($G11="2131",$F11,0)</f>
        <v>0</v>
      </c>
      <c r="AO11" s="251">
        <f ca="1">IF($H11="2131",$F11,0)</f>
        <v>0</v>
      </c>
      <c r="AP11" s="251">
        <f t="shared" ref="AP11:AP51" ca="1" si="21">IF($G11="2141",$F11,0)</f>
        <v>0</v>
      </c>
      <c r="AQ11" s="251">
        <f t="shared" ref="AQ11:AQ51" ca="1" si="22">IF($H11="2141",$F11,0)</f>
        <v>0</v>
      </c>
      <c r="AR11" s="251">
        <f t="shared" ref="AR11:AR51" ca="1" si="23">IF($G11="2143",$F11,0)</f>
        <v>0</v>
      </c>
      <c r="AS11" s="251">
        <f t="shared" ref="AS11:AS51" ca="1" si="24">IF($H11="2143",$F11,0)</f>
        <v>0</v>
      </c>
      <c r="AT11" s="251">
        <f ca="1">IF($G11="2412",$F11,0)</f>
        <v>0</v>
      </c>
      <c r="AU11" s="251">
        <f ca="1">IF($H11="2412",$F11,0)</f>
        <v>0</v>
      </c>
      <c r="AV11" s="251">
        <f t="shared" ref="AV11:AV51" ca="1" si="25">IF($G11="331",$F11,0)</f>
        <v>0</v>
      </c>
      <c r="AW11" s="251">
        <f t="shared" ref="AW11:AW51" ca="1" si="26">IF($H11="331",$F11,0)</f>
        <v>0</v>
      </c>
      <c r="AX11" s="251">
        <f t="shared" ref="AX11:AX51" ca="1" si="27">IF($G11="33311",$F11,0)</f>
        <v>0</v>
      </c>
      <c r="AY11" s="251">
        <f t="shared" ref="AY11:AY51" ca="1" si="28">IF($H11="33311",$F11,0)</f>
        <v>0</v>
      </c>
      <c r="AZ11" s="251">
        <f t="shared" ref="AZ11:AZ51" ca="1" si="29">IF($G11="33312",$F11,0)</f>
        <v>0</v>
      </c>
      <c r="BA11" s="251">
        <f t="shared" ref="BA11:BA51" ca="1" si="30">IF($H11="33312",$F11,0)</f>
        <v>0</v>
      </c>
      <c r="BB11" s="251">
        <f t="shared" ref="BB11:BB51" ca="1" si="31">IF($G11="3333",$F11,0)</f>
        <v>0</v>
      </c>
      <c r="BC11" s="251">
        <f t="shared" ref="BC11:BC51" ca="1" si="32">IF($H11="3333",$F11,0)</f>
        <v>0</v>
      </c>
      <c r="BD11" s="251">
        <f t="shared" ref="BD11:BD51" ca="1" si="33">IF($G11="3334",$F11,0)</f>
        <v>0</v>
      </c>
      <c r="BE11" s="251">
        <f t="shared" ref="BE11:BE51" ca="1" si="34">IF($H11="3334",$F11,0)</f>
        <v>0</v>
      </c>
      <c r="BF11" s="251">
        <f t="shared" ref="BF11:BF51" ca="1" si="35">IF($G11="3335",$F11,0)</f>
        <v>0</v>
      </c>
      <c r="BG11" s="251">
        <f t="shared" ref="BG11:BG51" ca="1" si="36">IF($H11="3335",$F11,0)</f>
        <v>0</v>
      </c>
      <c r="BH11" s="251">
        <f ca="1">IF($G11="33382",$F11,0)</f>
        <v>0</v>
      </c>
      <c r="BI11" s="251">
        <f ca="1">IF($H11="33382",$F11,0)</f>
        <v>0</v>
      </c>
      <c r="BJ11" s="251">
        <f t="shared" ref="BJ11:BJ51" ca="1" si="37">IF($G11="3341",$F11,0)</f>
        <v>0</v>
      </c>
      <c r="BK11" s="251">
        <f t="shared" ref="BK11:BK51" ca="1" si="38">IF($H11="3341",$F11,0)</f>
        <v>0</v>
      </c>
      <c r="BL11" s="251">
        <f t="shared" ref="BL11:BL51" ca="1" si="39">IF($G11="3383",$F11,0)</f>
        <v>0</v>
      </c>
      <c r="BM11" s="251">
        <f t="shared" ref="BM11:BM51" ca="1" si="40">IF($H11="3383",$F11,0)</f>
        <v>0</v>
      </c>
      <c r="BN11" s="251">
        <f t="shared" ref="BN11:BN51" ca="1" si="41">IF($G11="3384",$F11,0)</f>
        <v>0</v>
      </c>
      <c r="BO11" s="251">
        <f t="shared" ref="BO11:BO51" ca="1" si="42">IF($H11="3384",$F11,0)</f>
        <v>0</v>
      </c>
      <c r="BP11" s="251">
        <f ca="1">IF($G11="3386",$F11,0)</f>
        <v>0</v>
      </c>
      <c r="BQ11" s="251">
        <f ca="1">IF($H11="3386",$F11,0)</f>
        <v>0</v>
      </c>
      <c r="BR11" s="251">
        <f t="shared" ref="BR11:BR51" ca="1" si="43">IF($G11="3388",$F11,0)</f>
        <v>0</v>
      </c>
      <c r="BS11" s="251">
        <f t="shared" ref="BS11:BS51" ca="1" si="44">IF($H11="3388",$F11,0)</f>
        <v>0</v>
      </c>
      <c r="BT11" s="251">
        <f ca="1">IF($G11="3411",$F11,0)</f>
        <v>0</v>
      </c>
      <c r="BU11" s="251">
        <f ca="1">IF($H11="3411",$F11,0)</f>
        <v>0</v>
      </c>
      <c r="BV11" s="251">
        <f ca="1">IF($G11="3412",$F11,0)</f>
        <v>0</v>
      </c>
      <c r="BW11" s="251">
        <f ca="1">IF($H11="3412",$F11,0)</f>
        <v>0</v>
      </c>
      <c r="BX11" s="251">
        <f t="shared" ref="BX11:BX51" ca="1" si="45">IF($G11="4111",$F11,0)</f>
        <v>0</v>
      </c>
      <c r="BY11" s="251">
        <f t="shared" ref="BY11:BY51" ca="1" si="46">IF($H11="4111",$F11,0)</f>
        <v>0</v>
      </c>
      <c r="BZ11" s="251">
        <f t="shared" ref="BZ11:BZ51" ca="1" si="47">IF($G11="4211",$F11,0)</f>
        <v>0</v>
      </c>
      <c r="CA11" s="251">
        <f t="shared" ref="CA11:CA51" ca="1" si="48">IF($H11="4211",$F11,0)</f>
        <v>0</v>
      </c>
      <c r="CB11" s="251">
        <f t="shared" ref="CB11:CB51" ca="1" si="49">IF($G11="4212",$F11,0)</f>
        <v>0</v>
      </c>
      <c r="CC11" s="251">
        <f t="shared" ref="CC11:CC51" ca="1" si="50">IF($H11="4212",$F11,0)</f>
        <v>0</v>
      </c>
      <c r="CD11" s="251">
        <f ca="1">IF($G11="5112N",$F11,0)</f>
        <v>0</v>
      </c>
      <c r="CE11" s="251">
        <f ca="1">IF($H11="5112N",$F11,0)</f>
        <v>0</v>
      </c>
      <c r="CF11" s="251">
        <f ca="1">IF($G11="5112X",$F11,0)</f>
        <v>0</v>
      </c>
      <c r="CG11" s="251">
        <f ca="1">IF($H11="5112X",$F11,0)</f>
        <v>0</v>
      </c>
      <c r="CH11" s="251">
        <f t="shared" ref="CH11:CH51" ca="1" si="51">IF($G11="515",$F11,0)</f>
        <v>0</v>
      </c>
      <c r="CI11" s="251">
        <f t="shared" ref="CI11:CI51" ca="1" si="52">IF($H11="515",$F11,0)</f>
        <v>0</v>
      </c>
      <c r="CJ11" s="251">
        <f ca="1">IF($G11="5213",$F11,0)</f>
        <v>0</v>
      </c>
      <c r="CK11" s="251">
        <f ca="1">IF($H11="5213",$F11,0)</f>
        <v>0</v>
      </c>
      <c r="CL11" s="251">
        <f t="shared" ref="CL11:CL51" ca="1" si="53">IF($G11="632",$F11,0)</f>
        <v>0</v>
      </c>
      <c r="CM11" s="251">
        <f t="shared" ref="CM11:CM51" ca="1" si="54">IF($H11="632",$F11,0)</f>
        <v>0</v>
      </c>
      <c r="CN11" s="251">
        <f t="shared" ref="CN11:CN51" ca="1" si="55">IF($G11="635",$F11,0)</f>
        <v>0</v>
      </c>
      <c r="CO11" s="251">
        <f t="shared" ref="CO11:CO51" ca="1" si="56">IF($H11="635",$F11,0)</f>
        <v>0</v>
      </c>
      <c r="CP11" s="251">
        <f ca="1">IF($G11="641",$F11,0)</f>
        <v>0</v>
      </c>
      <c r="CQ11" s="251">
        <f ca="1">IF($H11="641",$F11,0)</f>
        <v>0</v>
      </c>
      <c r="CR11" s="251">
        <f ca="1">IF($G11="642",$F11,0)</f>
        <v>0</v>
      </c>
      <c r="CS11" s="251">
        <f ca="1">IF($H11="642",$F11,0)</f>
        <v>0</v>
      </c>
      <c r="CT11" s="251">
        <f t="shared" ref="CT11:CT51" ca="1" si="57">IF($G11="711",$F11,0)</f>
        <v>0</v>
      </c>
      <c r="CU11" s="251">
        <f t="shared" ref="CU11:CU51" ca="1" si="58">IF($H11="711",$F11,0)</f>
        <v>0</v>
      </c>
      <c r="CV11" s="251">
        <f t="shared" ref="CV11:CV51" ca="1" si="59">IF($G11="811",$F11,0)</f>
        <v>0</v>
      </c>
      <c r="CW11" s="251">
        <f t="shared" ref="CW11:CW51" ca="1" si="60">IF($H11="811",$F11,0)</f>
        <v>0</v>
      </c>
      <c r="CX11" s="251">
        <f ca="1">IF($G11="821",$F11,0)</f>
        <v>0</v>
      </c>
      <c r="CY11" s="251">
        <f ca="1">IF($H11="821",$F11,0)</f>
        <v>0</v>
      </c>
      <c r="CZ11" s="251">
        <f ca="1">IF($G11="911",$F11,0)</f>
        <v>0</v>
      </c>
      <c r="DA11" s="251">
        <f ca="1">IF($H11="911",$F11,0)</f>
        <v>0</v>
      </c>
    </row>
    <row r="12" spans="1:105" s="248" customFormat="1" ht="15" customHeight="1">
      <c r="A12" s="58">
        <f t="array" aca="1" ref="A12" ca="1">IF(C12&lt;&gt;0,SUM(($C$11:C12&lt;&gt;0)*1),"")</f>
        <v>2</v>
      </c>
      <c r="B12" s="249" t="str">
        <f ca="1">IF(ROWS($1:2)&gt;COUNT(Dong6),"",OFFSET(TH!C$1,SMALL(Dong6,ROWS($1:2)),))</f>
        <v/>
      </c>
      <c r="C12" s="249" t="str">
        <f ca="1">IF(ROWS($1:2)&gt;COUNT(Dong6),"",OFFSET(TH!D$1,SMALL(Dong6,ROWS($1:2)),))</f>
        <v/>
      </c>
      <c r="D12" s="249" t="str">
        <f ca="1">IF(ROWS($1:2)&gt;COUNT(Dong6),"",OFFSET(TH!E$1,SMALL(Dong6,ROWS($1:2)),))</f>
        <v/>
      </c>
      <c r="E12" s="299" t="str">
        <f ca="1">IF(ROWS($1:2)&gt;COUNT(Dong6),"",OFFSET(TH!F$1,SMALL(Dong6,ROWS($1:2)),))</f>
        <v/>
      </c>
      <c r="F12" s="300" t="str">
        <f ca="1">IF(ROWS($1:2)&gt;COUNT(Dong6),"",OFFSET(TH!M$1,SMALL(Dong6,ROWS($1:2)),))</f>
        <v/>
      </c>
      <c r="G12" s="301" t="str">
        <f ca="1">IF(ROWS($1:2)&gt;COUNT(Dong6),"",OFFSET(TH!N$1,SMALL(Dong6,ROWS($1:2)),))</f>
        <v/>
      </c>
      <c r="H12" s="301" t="str">
        <f ca="1">IF(ROWS($1:2)&gt;COUNT(Dong6),"",OFFSET(TH!O$1,SMALL(Dong6,ROWS($1:2)),))</f>
        <v/>
      </c>
      <c r="I12" s="58">
        <f t="shared" ca="1" si="0"/>
        <v>2</v>
      </c>
      <c r="J12" s="251">
        <f t="shared" ref="J12:J51" ca="1" si="61">IF($G12="1111",$F12,0)</f>
        <v>0</v>
      </c>
      <c r="K12" s="251">
        <f t="shared" ref="K12:K51" ca="1" si="62">IF($H12="1111",$F12,0)</f>
        <v>0</v>
      </c>
      <c r="L12" s="251">
        <f t="shared" ca="1" si="1"/>
        <v>0</v>
      </c>
      <c r="M12" s="251">
        <f t="shared" ca="1" si="2"/>
        <v>0</v>
      </c>
      <c r="N12" s="251">
        <f t="shared" ca="1" si="3"/>
        <v>0</v>
      </c>
      <c r="O12" s="251">
        <f t="shared" ca="1" si="4"/>
        <v>0</v>
      </c>
      <c r="P12" s="251">
        <f t="shared" ca="1" si="5"/>
        <v>0</v>
      </c>
      <c r="Q12" s="251">
        <f t="shared" ca="1" si="6"/>
        <v>0</v>
      </c>
      <c r="R12" s="251">
        <f t="shared" ca="1" si="7"/>
        <v>0</v>
      </c>
      <c r="S12" s="251">
        <f t="shared" ca="1" si="8"/>
        <v>0</v>
      </c>
      <c r="T12" s="251">
        <f t="shared" ca="1" si="9"/>
        <v>0</v>
      </c>
      <c r="U12" s="251">
        <f t="shared" ca="1" si="10"/>
        <v>0</v>
      </c>
      <c r="V12" s="251">
        <f t="shared" ca="1" si="11"/>
        <v>0</v>
      </c>
      <c r="W12" s="251">
        <f t="shared" ca="1" si="12"/>
        <v>0</v>
      </c>
      <c r="X12" s="251">
        <f t="shared" ca="1" si="13"/>
        <v>0</v>
      </c>
      <c r="Y12" s="251">
        <f t="shared" ca="1" si="14"/>
        <v>0</v>
      </c>
      <c r="Z12" s="251">
        <f t="shared" ca="1" si="15"/>
        <v>0</v>
      </c>
      <c r="AA12" s="251">
        <f t="shared" ca="1" si="16"/>
        <v>0</v>
      </c>
      <c r="AB12" s="251">
        <f t="shared" ref="AB12:AB51" ca="1" si="63">IF($G12="153",$F12,0)</f>
        <v>0</v>
      </c>
      <c r="AC12" s="251">
        <f t="shared" ref="AC12:AC51" ca="1" si="64">IF($H12="153",$F12,0)</f>
        <v>0</v>
      </c>
      <c r="AD12" s="251">
        <f t="shared" ca="1" si="17"/>
        <v>0</v>
      </c>
      <c r="AE12" s="251">
        <f t="shared" ca="1" si="18"/>
        <v>0</v>
      </c>
      <c r="AF12" s="251">
        <f t="shared" ca="1" si="19"/>
        <v>0</v>
      </c>
      <c r="AG12" s="251">
        <f t="shared" ca="1" si="20"/>
        <v>0</v>
      </c>
      <c r="AH12" s="251">
        <f t="shared" ref="AH12:AH51" ca="1" si="65">IF($G12="2111",$F12,0)</f>
        <v>0</v>
      </c>
      <c r="AI12" s="251">
        <f t="shared" ref="AI12:AI51" ca="1" si="66">IF($H12="2111",$F12,0)</f>
        <v>0</v>
      </c>
      <c r="AJ12" s="251">
        <f t="shared" ref="AJ12:AJ51" ca="1" si="67">IF($G12="2112",$F12,0)</f>
        <v>0</v>
      </c>
      <c r="AK12" s="251">
        <f t="shared" ref="AK12:AK51" ca="1" si="68">IF($H12="2112",$F12,0)</f>
        <v>0</v>
      </c>
      <c r="AL12" s="251">
        <f t="shared" ref="AL12:AL51" ca="1" si="69">IF($G12="2113",$F12,0)</f>
        <v>0</v>
      </c>
      <c r="AM12" s="251">
        <f t="shared" ref="AM12:AM51" ca="1" si="70">IF($H12="2113",$F12,0)</f>
        <v>0</v>
      </c>
      <c r="AN12" s="251">
        <f t="shared" ref="AN12:AN51" ca="1" si="71">IF($G12="2131",$F12,0)</f>
        <v>0</v>
      </c>
      <c r="AO12" s="251">
        <f t="shared" ref="AO12:AO51" ca="1" si="72">IF($H12="2131",$F12,0)</f>
        <v>0</v>
      </c>
      <c r="AP12" s="251">
        <f t="shared" ca="1" si="21"/>
        <v>0</v>
      </c>
      <c r="AQ12" s="251">
        <f t="shared" ca="1" si="22"/>
        <v>0</v>
      </c>
      <c r="AR12" s="251">
        <f t="shared" ca="1" si="23"/>
        <v>0</v>
      </c>
      <c r="AS12" s="251">
        <f t="shared" ca="1" si="24"/>
        <v>0</v>
      </c>
      <c r="AT12" s="251">
        <f t="shared" ref="AT12:AT38" ca="1" si="73">IF($G12="2412",$F12,0)</f>
        <v>0</v>
      </c>
      <c r="AU12" s="251">
        <f t="shared" ref="AU12:AU38" ca="1" si="74">IF($H12="2412",$F12,0)</f>
        <v>0</v>
      </c>
      <c r="AV12" s="251">
        <f t="shared" ca="1" si="25"/>
        <v>0</v>
      </c>
      <c r="AW12" s="251">
        <f t="shared" ca="1" si="26"/>
        <v>0</v>
      </c>
      <c r="AX12" s="251">
        <f t="shared" ca="1" si="27"/>
        <v>0</v>
      </c>
      <c r="AY12" s="251">
        <f t="shared" ca="1" si="28"/>
        <v>0</v>
      </c>
      <c r="AZ12" s="251">
        <f t="shared" ca="1" si="29"/>
        <v>0</v>
      </c>
      <c r="BA12" s="251">
        <f t="shared" ca="1" si="30"/>
        <v>0</v>
      </c>
      <c r="BB12" s="251">
        <f t="shared" ca="1" si="31"/>
        <v>0</v>
      </c>
      <c r="BC12" s="251">
        <f t="shared" ca="1" si="32"/>
        <v>0</v>
      </c>
      <c r="BD12" s="251">
        <f t="shared" ca="1" si="33"/>
        <v>0</v>
      </c>
      <c r="BE12" s="251">
        <f t="shared" ca="1" si="34"/>
        <v>0</v>
      </c>
      <c r="BF12" s="251">
        <f t="shared" ca="1" si="35"/>
        <v>0</v>
      </c>
      <c r="BG12" s="251">
        <f t="shared" ca="1" si="36"/>
        <v>0</v>
      </c>
      <c r="BH12" s="251">
        <f t="shared" ref="BH12:BH51" ca="1" si="75">IF($G12="33382",$F12,0)</f>
        <v>0</v>
      </c>
      <c r="BI12" s="251">
        <f t="shared" ref="BI12:BI51" ca="1" si="76">IF($H12="33382",$F12,0)</f>
        <v>0</v>
      </c>
      <c r="BJ12" s="251">
        <f t="shared" ca="1" si="37"/>
        <v>0</v>
      </c>
      <c r="BK12" s="251">
        <f t="shared" ca="1" si="38"/>
        <v>0</v>
      </c>
      <c r="BL12" s="251">
        <f t="shared" ca="1" si="39"/>
        <v>0</v>
      </c>
      <c r="BM12" s="251">
        <f t="shared" ca="1" si="40"/>
        <v>0</v>
      </c>
      <c r="BN12" s="251">
        <f t="shared" ca="1" si="41"/>
        <v>0</v>
      </c>
      <c r="BO12" s="251">
        <f t="shared" ca="1" si="42"/>
        <v>0</v>
      </c>
      <c r="BP12" s="251">
        <f t="shared" ref="BP12:BP51" ca="1" si="77">IF($G12="3386",$F12,0)</f>
        <v>0</v>
      </c>
      <c r="BQ12" s="251">
        <f t="shared" ref="BQ12:BQ51" ca="1" si="78">IF($H12="3386",$F12,0)</f>
        <v>0</v>
      </c>
      <c r="BR12" s="251">
        <f t="shared" ca="1" si="43"/>
        <v>0</v>
      </c>
      <c r="BS12" s="251">
        <f t="shared" ca="1" si="44"/>
        <v>0</v>
      </c>
      <c r="BT12" s="251">
        <f t="shared" ref="BT12:BT51" ca="1" si="79">IF($G12="3411",$F12,0)</f>
        <v>0</v>
      </c>
      <c r="BU12" s="251">
        <f t="shared" ref="BU12:BU51" ca="1" si="80">IF($H12="3411",$F12,0)</f>
        <v>0</v>
      </c>
      <c r="BV12" s="251">
        <f t="shared" ref="BV12:BV38" ca="1" si="81">IF($G12="3412",$F12,0)</f>
        <v>0</v>
      </c>
      <c r="BW12" s="251">
        <f t="shared" ref="BW12:BW38" ca="1" si="82">IF($H12="3412",$F12,0)</f>
        <v>0</v>
      </c>
      <c r="BX12" s="251">
        <f t="shared" ca="1" si="45"/>
        <v>0</v>
      </c>
      <c r="BY12" s="251">
        <f t="shared" ca="1" si="46"/>
        <v>0</v>
      </c>
      <c r="BZ12" s="251">
        <f t="shared" ca="1" si="47"/>
        <v>0</v>
      </c>
      <c r="CA12" s="251">
        <f t="shared" ca="1" si="48"/>
        <v>0</v>
      </c>
      <c r="CB12" s="251">
        <f t="shared" ca="1" si="49"/>
        <v>0</v>
      </c>
      <c r="CC12" s="251">
        <f t="shared" ca="1" si="50"/>
        <v>0</v>
      </c>
      <c r="CD12" s="251">
        <f t="shared" ref="CD12:CD51" ca="1" si="83">IF($G12="5112N",$F12,0)</f>
        <v>0</v>
      </c>
      <c r="CE12" s="251">
        <f t="shared" ref="CE12:CE51" ca="1" si="84">IF($H12="5112N",$F12,0)</f>
        <v>0</v>
      </c>
      <c r="CF12" s="251">
        <f t="shared" ref="CF12:CF51" ca="1" si="85">IF($G12="5112X",$F12,0)</f>
        <v>0</v>
      </c>
      <c r="CG12" s="251">
        <f t="shared" ref="CG12:CG51" ca="1" si="86">IF($H12="5112X",$F12,0)</f>
        <v>0</v>
      </c>
      <c r="CH12" s="251">
        <f t="shared" ca="1" si="51"/>
        <v>0</v>
      </c>
      <c r="CI12" s="251">
        <f t="shared" ca="1" si="52"/>
        <v>0</v>
      </c>
      <c r="CJ12" s="251">
        <f t="shared" ref="CJ12:CJ51" ca="1" si="87">IF($G12="5213",$F12,0)</f>
        <v>0</v>
      </c>
      <c r="CK12" s="251">
        <f t="shared" ref="CK12:CK51" ca="1" si="88">IF($H12="5213",$F12,0)</f>
        <v>0</v>
      </c>
      <c r="CL12" s="251">
        <f t="shared" ca="1" si="53"/>
        <v>0</v>
      </c>
      <c r="CM12" s="251">
        <f t="shared" ca="1" si="54"/>
        <v>0</v>
      </c>
      <c r="CN12" s="251">
        <f t="shared" ca="1" si="55"/>
        <v>0</v>
      </c>
      <c r="CO12" s="251">
        <f t="shared" ca="1" si="56"/>
        <v>0</v>
      </c>
      <c r="CP12" s="251">
        <f t="shared" ref="CP12:CP51" ca="1" si="89">IF($G12="641",$F12,0)</f>
        <v>0</v>
      </c>
      <c r="CQ12" s="251">
        <f t="shared" ref="CQ12:CQ51" ca="1" si="90">IF($H12="641",$F12,0)</f>
        <v>0</v>
      </c>
      <c r="CR12" s="251">
        <f t="shared" ref="CR12:CR51" ca="1" si="91">IF($G12="642",$F12,0)</f>
        <v>0</v>
      </c>
      <c r="CS12" s="251">
        <f t="shared" ref="CS12:CS51" ca="1" si="92">IF($H12="642",$F12,0)</f>
        <v>0</v>
      </c>
      <c r="CT12" s="251">
        <f t="shared" ca="1" si="57"/>
        <v>0</v>
      </c>
      <c r="CU12" s="251">
        <f t="shared" ca="1" si="58"/>
        <v>0</v>
      </c>
      <c r="CV12" s="251">
        <f t="shared" ca="1" si="59"/>
        <v>0</v>
      </c>
      <c r="CW12" s="251">
        <f t="shared" ca="1" si="60"/>
        <v>0</v>
      </c>
      <c r="CX12" s="251">
        <f t="shared" ref="CX12:CX51" ca="1" si="93">IF($G12="821",$F12,0)</f>
        <v>0</v>
      </c>
      <c r="CY12" s="251">
        <f t="shared" ref="CY12:CY51" ca="1" si="94">IF($H12="821",$F12,0)</f>
        <v>0</v>
      </c>
      <c r="CZ12" s="251">
        <f t="shared" ref="CZ12:CZ51" ca="1" si="95">IF($G12="911",$F12,0)</f>
        <v>0</v>
      </c>
      <c r="DA12" s="251">
        <f t="shared" ref="DA12:DA51" ca="1" si="96">IF($H12="911",$F12,0)</f>
        <v>0</v>
      </c>
    </row>
    <row r="13" spans="1:105" s="248" customFormat="1" ht="15" customHeight="1">
      <c r="A13" s="58">
        <f t="array" aca="1" ref="A13" ca="1">IF(C13&lt;&gt;0,SUM(($C$11:C13&lt;&gt;0)*1),"")</f>
        <v>3</v>
      </c>
      <c r="B13" s="249" t="str">
        <f ca="1">IF(ROWS($1:3)&gt;COUNT(Dong6),"",OFFSET(TH!C$1,SMALL(Dong6,ROWS($1:3)),))</f>
        <v/>
      </c>
      <c r="C13" s="249" t="str">
        <f ca="1">IF(ROWS($1:3)&gt;COUNT(Dong6),"",OFFSET(TH!D$1,SMALL(Dong6,ROWS($1:3)),))</f>
        <v/>
      </c>
      <c r="D13" s="249" t="str">
        <f ca="1">IF(ROWS($1:3)&gt;COUNT(Dong6),"",OFFSET(TH!E$1,SMALL(Dong6,ROWS($1:3)),))</f>
        <v/>
      </c>
      <c r="E13" s="299" t="str">
        <f ca="1">IF(ROWS($1:3)&gt;COUNT(Dong6),"",OFFSET(TH!F$1,SMALL(Dong6,ROWS($1:3)),))</f>
        <v/>
      </c>
      <c r="F13" s="300" t="str">
        <f ca="1">IF(ROWS($1:3)&gt;COUNT(Dong6),"",OFFSET(TH!M$1,SMALL(Dong6,ROWS($1:3)),))</f>
        <v/>
      </c>
      <c r="G13" s="301" t="str">
        <f ca="1">IF(ROWS($1:3)&gt;COUNT(Dong6),"",OFFSET(TH!N$1,SMALL(Dong6,ROWS($1:3)),))</f>
        <v/>
      </c>
      <c r="H13" s="301" t="str">
        <f ca="1">IF(ROWS($1:3)&gt;COUNT(Dong6),"",OFFSET(TH!O$1,SMALL(Dong6,ROWS($1:3)),))</f>
        <v/>
      </c>
      <c r="I13" s="58">
        <f t="shared" ca="1" si="0"/>
        <v>3</v>
      </c>
      <c r="J13" s="251">
        <f t="shared" ca="1" si="61"/>
        <v>0</v>
      </c>
      <c r="K13" s="251">
        <f t="shared" ca="1" si="62"/>
        <v>0</v>
      </c>
      <c r="L13" s="251">
        <f t="shared" ca="1" si="1"/>
        <v>0</v>
      </c>
      <c r="M13" s="251">
        <f t="shared" ca="1" si="2"/>
        <v>0</v>
      </c>
      <c r="N13" s="251">
        <f t="shared" ca="1" si="3"/>
        <v>0</v>
      </c>
      <c r="O13" s="251">
        <f t="shared" ca="1" si="4"/>
        <v>0</v>
      </c>
      <c r="P13" s="251">
        <f t="shared" ca="1" si="5"/>
        <v>0</v>
      </c>
      <c r="Q13" s="251">
        <f t="shared" ca="1" si="6"/>
        <v>0</v>
      </c>
      <c r="R13" s="251">
        <f t="shared" ca="1" si="7"/>
        <v>0</v>
      </c>
      <c r="S13" s="251">
        <f t="shared" ca="1" si="8"/>
        <v>0</v>
      </c>
      <c r="T13" s="251">
        <f t="shared" ca="1" si="9"/>
        <v>0</v>
      </c>
      <c r="U13" s="251">
        <f t="shared" ca="1" si="10"/>
        <v>0</v>
      </c>
      <c r="V13" s="251">
        <f t="shared" ca="1" si="11"/>
        <v>0</v>
      </c>
      <c r="W13" s="251">
        <f t="shared" ca="1" si="12"/>
        <v>0</v>
      </c>
      <c r="X13" s="251">
        <f t="shared" ca="1" si="13"/>
        <v>0</v>
      </c>
      <c r="Y13" s="251">
        <f t="shared" ca="1" si="14"/>
        <v>0</v>
      </c>
      <c r="Z13" s="251">
        <f t="shared" ca="1" si="15"/>
        <v>0</v>
      </c>
      <c r="AA13" s="251">
        <f t="shared" ca="1" si="16"/>
        <v>0</v>
      </c>
      <c r="AB13" s="251">
        <f t="shared" ca="1" si="63"/>
        <v>0</v>
      </c>
      <c r="AC13" s="251">
        <f t="shared" ca="1" si="64"/>
        <v>0</v>
      </c>
      <c r="AD13" s="251">
        <f t="shared" ca="1" si="17"/>
        <v>0</v>
      </c>
      <c r="AE13" s="251">
        <f t="shared" ca="1" si="18"/>
        <v>0</v>
      </c>
      <c r="AF13" s="251">
        <f t="shared" ca="1" si="19"/>
        <v>0</v>
      </c>
      <c r="AG13" s="251">
        <f t="shared" ca="1" si="20"/>
        <v>0</v>
      </c>
      <c r="AH13" s="251">
        <f t="shared" ca="1" si="65"/>
        <v>0</v>
      </c>
      <c r="AI13" s="251">
        <f t="shared" ca="1" si="66"/>
        <v>0</v>
      </c>
      <c r="AJ13" s="251">
        <f t="shared" ca="1" si="67"/>
        <v>0</v>
      </c>
      <c r="AK13" s="251">
        <f t="shared" ca="1" si="68"/>
        <v>0</v>
      </c>
      <c r="AL13" s="251">
        <f t="shared" ca="1" si="69"/>
        <v>0</v>
      </c>
      <c r="AM13" s="251">
        <f t="shared" ca="1" si="70"/>
        <v>0</v>
      </c>
      <c r="AN13" s="251">
        <f t="shared" ca="1" si="71"/>
        <v>0</v>
      </c>
      <c r="AO13" s="251">
        <f t="shared" ca="1" si="72"/>
        <v>0</v>
      </c>
      <c r="AP13" s="251">
        <f t="shared" ca="1" si="21"/>
        <v>0</v>
      </c>
      <c r="AQ13" s="251">
        <f t="shared" ca="1" si="22"/>
        <v>0</v>
      </c>
      <c r="AR13" s="251">
        <f t="shared" ca="1" si="23"/>
        <v>0</v>
      </c>
      <c r="AS13" s="251">
        <f t="shared" ca="1" si="24"/>
        <v>0</v>
      </c>
      <c r="AT13" s="251">
        <f t="shared" ca="1" si="73"/>
        <v>0</v>
      </c>
      <c r="AU13" s="251">
        <f t="shared" ca="1" si="74"/>
        <v>0</v>
      </c>
      <c r="AV13" s="251">
        <f t="shared" ca="1" si="25"/>
        <v>0</v>
      </c>
      <c r="AW13" s="251">
        <f t="shared" ca="1" si="26"/>
        <v>0</v>
      </c>
      <c r="AX13" s="251">
        <f t="shared" ca="1" si="27"/>
        <v>0</v>
      </c>
      <c r="AY13" s="251">
        <f t="shared" ca="1" si="28"/>
        <v>0</v>
      </c>
      <c r="AZ13" s="251">
        <f t="shared" ca="1" si="29"/>
        <v>0</v>
      </c>
      <c r="BA13" s="251">
        <f t="shared" ca="1" si="30"/>
        <v>0</v>
      </c>
      <c r="BB13" s="251">
        <f t="shared" ca="1" si="31"/>
        <v>0</v>
      </c>
      <c r="BC13" s="251">
        <f t="shared" ca="1" si="32"/>
        <v>0</v>
      </c>
      <c r="BD13" s="251">
        <f t="shared" ca="1" si="33"/>
        <v>0</v>
      </c>
      <c r="BE13" s="251">
        <f t="shared" ca="1" si="34"/>
        <v>0</v>
      </c>
      <c r="BF13" s="251">
        <f t="shared" ca="1" si="35"/>
        <v>0</v>
      </c>
      <c r="BG13" s="251">
        <f t="shared" ca="1" si="36"/>
        <v>0</v>
      </c>
      <c r="BH13" s="251">
        <f t="shared" ca="1" si="75"/>
        <v>0</v>
      </c>
      <c r="BI13" s="251">
        <f t="shared" ca="1" si="76"/>
        <v>0</v>
      </c>
      <c r="BJ13" s="251">
        <f t="shared" ca="1" si="37"/>
        <v>0</v>
      </c>
      <c r="BK13" s="251">
        <f t="shared" ca="1" si="38"/>
        <v>0</v>
      </c>
      <c r="BL13" s="251">
        <f t="shared" ca="1" si="39"/>
        <v>0</v>
      </c>
      <c r="BM13" s="251">
        <f t="shared" ca="1" si="40"/>
        <v>0</v>
      </c>
      <c r="BN13" s="251">
        <f t="shared" ca="1" si="41"/>
        <v>0</v>
      </c>
      <c r="BO13" s="251">
        <f t="shared" ca="1" si="42"/>
        <v>0</v>
      </c>
      <c r="BP13" s="251">
        <f t="shared" ca="1" si="77"/>
        <v>0</v>
      </c>
      <c r="BQ13" s="251">
        <f t="shared" ca="1" si="78"/>
        <v>0</v>
      </c>
      <c r="BR13" s="251">
        <f t="shared" ca="1" si="43"/>
        <v>0</v>
      </c>
      <c r="BS13" s="251">
        <f t="shared" ca="1" si="44"/>
        <v>0</v>
      </c>
      <c r="BT13" s="251">
        <f t="shared" ca="1" si="79"/>
        <v>0</v>
      </c>
      <c r="BU13" s="251">
        <f t="shared" ca="1" si="80"/>
        <v>0</v>
      </c>
      <c r="BV13" s="251">
        <f t="shared" ca="1" si="81"/>
        <v>0</v>
      </c>
      <c r="BW13" s="251">
        <f t="shared" ca="1" si="82"/>
        <v>0</v>
      </c>
      <c r="BX13" s="251">
        <f t="shared" ca="1" si="45"/>
        <v>0</v>
      </c>
      <c r="BY13" s="251">
        <f t="shared" ca="1" si="46"/>
        <v>0</v>
      </c>
      <c r="BZ13" s="251">
        <f t="shared" ca="1" si="47"/>
        <v>0</v>
      </c>
      <c r="CA13" s="251">
        <f t="shared" ca="1" si="48"/>
        <v>0</v>
      </c>
      <c r="CB13" s="251">
        <f t="shared" ca="1" si="49"/>
        <v>0</v>
      </c>
      <c r="CC13" s="251">
        <f t="shared" ca="1" si="50"/>
        <v>0</v>
      </c>
      <c r="CD13" s="251">
        <f t="shared" ca="1" si="83"/>
        <v>0</v>
      </c>
      <c r="CE13" s="251">
        <f t="shared" ca="1" si="84"/>
        <v>0</v>
      </c>
      <c r="CF13" s="251">
        <f t="shared" ca="1" si="85"/>
        <v>0</v>
      </c>
      <c r="CG13" s="251">
        <f t="shared" ca="1" si="86"/>
        <v>0</v>
      </c>
      <c r="CH13" s="251">
        <f t="shared" ca="1" si="51"/>
        <v>0</v>
      </c>
      <c r="CI13" s="251">
        <f t="shared" ca="1" si="52"/>
        <v>0</v>
      </c>
      <c r="CJ13" s="251">
        <f t="shared" ca="1" si="87"/>
        <v>0</v>
      </c>
      <c r="CK13" s="251">
        <f t="shared" ca="1" si="88"/>
        <v>0</v>
      </c>
      <c r="CL13" s="251">
        <f t="shared" ca="1" si="53"/>
        <v>0</v>
      </c>
      <c r="CM13" s="251">
        <f t="shared" ca="1" si="54"/>
        <v>0</v>
      </c>
      <c r="CN13" s="251">
        <f t="shared" ca="1" si="55"/>
        <v>0</v>
      </c>
      <c r="CO13" s="251">
        <f t="shared" ca="1" si="56"/>
        <v>0</v>
      </c>
      <c r="CP13" s="251">
        <f t="shared" ca="1" si="89"/>
        <v>0</v>
      </c>
      <c r="CQ13" s="251">
        <f t="shared" ca="1" si="90"/>
        <v>0</v>
      </c>
      <c r="CR13" s="251">
        <f t="shared" ca="1" si="91"/>
        <v>0</v>
      </c>
      <c r="CS13" s="251">
        <f t="shared" ca="1" si="92"/>
        <v>0</v>
      </c>
      <c r="CT13" s="251">
        <f t="shared" ca="1" si="57"/>
        <v>0</v>
      </c>
      <c r="CU13" s="251">
        <f t="shared" ca="1" si="58"/>
        <v>0</v>
      </c>
      <c r="CV13" s="251">
        <f t="shared" ca="1" si="59"/>
        <v>0</v>
      </c>
      <c r="CW13" s="251">
        <f t="shared" ca="1" si="60"/>
        <v>0</v>
      </c>
      <c r="CX13" s="251">
        <f t="shared" ca="1" si="93"/>
        <v>0</v>
      </c>
      <c r="CY13" s="251">
        <f t="shared" ca="1" si="94"/>
        <v>0</v>
      </c>
      <c r="CZ13" s="251">
        <f t="shared" ca="1" si="95"/>
        <v>0</v>
      </c>
      <c r="DA13" s="251">
        <f t="shared" ca="1" si="96"/>
        <v>0</v>
      </c>
    </row>
    <row r="14" spans="1:105" s="248" customFormat="1" ht="15" customHeight="1">
      <c r="A14" s="58">
        <f t="array" aca="1" ref="A14" ca="1">IF(C14&lt;&gt;0,SUM(($C$11:C14&lt;&gt;0)*1),"")</f>
        <v>4</v>
      </c>
      <c r="B14" s="249" t="str">
        <f ca="1">IF(ROWS($1:4)&gt;COUNT(Dong6),"",OFFSET(TH!C$1,SMALL(Dong6,ROWS($1:4)),))</f>
        <v/>
      </c>
      <c r="C14" s="249" t="str">
        <f ca="1">IF(ROWS($1:4)&gt;COUNT(Dong6),"",OFFSET(TH!D$1,SMALL(Dong6,ROWS($1:4)),))</f>
        <v/>
      </c>
      <c r="D14" s="249" t="str">
        <f ca="1">IF(ROWS($1:4)&gt;COUNT(Dong6),"",OFFSET(TH!E$1,SMALL(Dong6,ROWS($1:4)),))</f>
        <v/>
      </c>
      <c r="E14" s="299" t="str">
        <f ca="1">IF(ROWS($1:4)&gt;COUNT(Dong6),"",OFFSET(TH!F$1,SMALL(Dong6,ROWS($1:4)),))</f>
        <v/>
      </c>
      <c r="F14" s="300" t="str">
        <f ca="1">IF(ROWS($1:4)&gt;COUNT(Dong6),"",OFFSET(TH!M$1,SMALL(Dong6,ROWS($1:4)),))</f>
        <v/>
      </c>
      <c r="G14" s="301" t="str">
        <f ca="1">IF(ROWS($1:4)&gt;COUNT(Dong6),"",OFFSET(TH!N$1,SMALL(Dong6,ROWS($1:4)),))</f>
        <v/>
      </c>
      <c r="H14" s="301" t="str">
        <f ca="1">IF(ROWS($1:4)&gt;COUNT(Dong6),"",OFFSET(TH!O$1,SMALL(Dong6,ROWS($1:4)),))</f>
        <v/>
      </c>
      <c r="I14" s="58">
        <f t="shared" ca="1" si="0"/>
        <v>4</v>
      </c>
      <c r="J14" s="251">
        <f t="shared" ca="1" si="61"/>
        <v>0</v>
      </c>
      <c r="K14" s="251">
        <f t="shared" ca="1" si="62"/>
        <v>0</v>
      </c>
      <c r="L14" s="251">
        <f t="shared" ca="1" si="1"/>
        <v>0</v>
      </c>
      <c r="M14" s="251">
        <f t="shared" ca="1" si="2"/>
        <v>0</v>
      </c>
      <c r="N14" s="251">
        <f t="shared" ca="1" si="3"/>
        <v>0</v>
      </c>
      <c r="O14" s="251">
        <f t="shared" ca="1" si="4"/>
        <v>0</v>
      </c>
      <c r="P14" s="251">
        <f t="shared" ca="1" si="5"/>
        <v>0</v>
      </c>
      <c r="Q14" s="251">
        <f t="shared" ca="1" si="6"/>
        <v>0</v>
      </c>
      <c r="R14" s="251">
        <f t="shared" ca="1" si="7"/>
        <v>0</v>
      </c>
      <c r="S14" s="251">
        <f t="shared" ca="1" si="8"/>
        <v>0</v>
      </c>
      <c r="T14" s="251">
        <f t="shared" ca="1" si="9"/>
        <v>0</v>
      </c>
      <c r="U14" s="251">
        <f t="shared" ca="1" si="10"/>
        <v>0</v>
      </c>
      <c r="V14" s="251">
        <f t="shared" ca="1" si="11"/>
        <v>0</v>
      </c>
      <c r="W14" s="251">
        <f t="shared" ca="1" si="12"/>
        <v>0</v>
      </c>
      <c r="X14" s="251">
        <f t="shared" ca="1" si="13"/>
        <v>0</v>
      </c>
      <c r="Y14" s="251">
        <f t="shared" ca="1" si="14"/>
        <v>0</v>
      </c>
      <c r="Z14" s="251">
        <f t="shared" ca="1" si="15"/>
        <v>0</v>
      </c>
      <c r="AA14" s="251">
        <f t="shared" ca="1" si="16"/>
        <v>0</v>
      </c>
      <c r="AB14" s="251">
        <f t="shared" ca="1" si="63"/>
        <v>0</v>
      </c>
      <c r="AC14" s="251">
        <f t="shared" ca="1" si="64"/>
        <v>0</v>
      </c>
      <c r="AD14" s="251">
        <f t="shared" ca="1" si="17"/>
        <v>0</v>
      </c>
      <c r="AE14" s="251">
        <f t="shared" ca="1" si="18"/>
        <v>0</v>
      </c>
      <c r="AF14" s="251">
        <f t="shared" ca="1" si="19"/>
        <v>0</v>
      </c>
      <c r="AG14" s="251">
        <f t="shared" ca="1" si="20"/>
        <v>0</v>
      </c>
      <c r="AH14" s="251">
        <f t="shared" ca="1" si="65"/>
        <v>0</v>
      </c>
      <c r="AI14" s="251">
        <f t="shared" ca="1" si="66"/>
        <v>0</v>
      </c>
      <c r="AJ14" s="251">
        <f t="shared" ca="1" si="67"/>
        <v>0</v>
      </c>
      <c r="AK14" s="251">
        <f t="shared" ca="1" si="68"/>
        <v>0</v>
      </c>
      <c r="AL14" s="251">
        <f t="shared" ca="1" si="69"/>
        <v>0</v>
      </c>
      <c r="AM14" s="251">
        <f t="shared" ca="1" si="70"/>
        <v>0</v>
      </c>
      <c r="AN14" s="251">
        <f t="shared" ca="1" si="71"/>
        <v>0</v>
      </c>
      <c r="AO14" s="251">
        <f t="shared" ca="1" si="72"/>
        <v>0</v>
      </c>
      <c r="AP14" s="251">
        <f t="shared" ca="1" si="21"/>
        <v>0</v>
      </c>
      <c r="AQ14" s="251">
        <f t="shared" ca="1" si="22"/>
        <v>0</v>
      </c>
      <c r="AR14" s="251">
        <f t="shared" ca="1" si="23"/>
        <v>0</v>
      </c>
      <c r="AS14" s="251">
        <f t="shared" ca="1" si="24"/>
        <v>0</v>
      </c>
      <c r="AT14" s="251">
        <f t="shared" ca="1" si="73"/>
        <v>0</v>
      </c>
      <c r="AU14" s="251">
        <f t="shared" ca="1" si="74"/>
        <v>0</v>
      </c>
      <c r="AV14" s="251">
        <f t="shared" ca="1" si="25"/>
        <v>0</v>
      </c>
      <c r="AW14" s="251">
        <f t="shared" ca="1" si="26"/>
        <v>0</v>
      </c>
      <c r="AX14" s="251">
        <f t="shared" ca="1" si="27"/>
        <v>0</v>
      </c>
      <c r="AY14" s="251">
        <f t="shared" ca="1" si="28"/>
        <v>0</v>
      </c>
      <c r="AZ14" s="251">
        <f t="shared" ca="1" si="29"/>
        <v>0</v>
      </c>
      <c r="BA14" s="251">
        <f t="shared" ca="1" si="30"/>
        <v>0</v>
      </c>
      <c r="BB14" s="251">
        <f t="shared" ca="1" si="31"/>
        <v>0</v>
      </c>
      <c r="BC14" s="251">
        <f t="shared" ca="1" si="32"/>
        <v>0</v>
      </c>
      <c r="BD14" s="251">
        <f t="shared" ca="1" si="33"/>
        <v>0</v>
      </c>
      <c r="BE14" s="251">
        <f t="shared" ca="1" si="34"/>
        <v>0</v>
      </c>
      <c r="BF14" s="251">
        <f t="shared" ca="1" si="35"/>
        <v>0</v>
      </c>
      <c r="BG14" s="251">
        <f t="shared" ca="1" si="36"/>
        <v>0</v>
      </c>
      <c r="BH14" s="251">
        <f t="shared" ca="1" si="75"/>
        <v>0</v>
      </c>
      <c r="BI14" s="251">
        <f t="shared" ca="1" si="76"/>
        <v>0</v>
      </c>
      <c r="BJ14" s="251">
        <f t="shared" ca="1" si="37"/>
        <v>0</v>
      </c>
      <c r="BK14" s="251">
        <f t="shared" ca="1" si="38"/>
        <v>0</v>
      </c>
      <c r="BL14" s="251">
        <f t="shared" ca="1" si="39"/>
        <v>0</v>
      </c>
      <c r="BM14" s="251">
        <f t="shared" ca="1" si="40"/>
        <v>0</v>
      </c>
      <c r="BN14" s="251">
        <f t="shared" ca="1" si="41"/>
        <v>0</v>
      </c>
      <c r="BO14" s="251">
        <f t="shared" ca="1" si="42"/>
        <v>0</v>
      </c>
      <c r="BP14" s="251">
        <f t="shared" ca="1" si="77"/>
        <v>0</v>
      </c>
      <c r="BQ14" s="251">
        <f t="shared" ca="1" si="78"/>
        <v>0</v>
      </c>
      <c r="BR14" s="251">
        <f t="shared" ca="1" si="43"/>
        <v>0</v>
      </c>
      <c r="BS14" s="251">
        <f t="shared" ca="1" si="44"/>
        <v>0</v>
      </c>
      <c r="BT14" s="251">
        <f t="shared" ca="1" si="79"/>
        <v>0</v>
      </c>
      <c r="BU14" s="251">
        <f t="shared" ca="1" si="80"/>
        <v>0</v>
      </c>
      <c r="BV14" s="251">
        <f t="shared" ca="1" si="81"/>
        <v>0</v>
      </c>
      <c r="BW14" s="251">
        <f t="shared" ca="1" si="82"/>
        <v>0</v>
      </c>
      <c r="BX14" s="251">
        <f t="shared" ca="1" si="45"/>
        <v>0</v>
      </c>
      <c r="BY14" s="251">
        <f t="shared" ca="1" si="46"/>
        <v>0</v>
      </c>
      <c r="BZ14" s="251">
        <f t="shared" ca="1" si="47"/>
        <v>0</v>
      </c>
      <c r="CA14" s="251">
        <f t="shared" ca="1" si="48"/>
        <v>0</v>
      </c>
      <c r="CB14" s="251">
        <f t="shared" ca="1" si="49"/>
        <v>0</v>
      </c>
      <c r="CC14" s="251">
        <f t="shared" ca="1" si="50"/>
        <v>0</v>
      </c>
      <c r="CD14" s="251">
        <f t="shared" ca="1" si="83"/>
        <v>0</v>
      </c>
      <c r="CE14" s="251">
        <f t="shared" ca="1" si="84"/>
        <v>0</v>
      </c>
      <c r="CF14" s="251">
        <f t="shared" ca="1" si="85"/>
        <v>0</v>
      </c>
      <c r="CG14" s="251">
        <f t="shared" ca="1" si="86"/>
        <v>0</v>
      </c>
      <c r="CH14" s="251">
        <f t="shared" ca="1" si="51"/>
        <v>0</v>
      </c>
      <c r="CI14" s="251">
        <f t="shared" ca="1" si="52"/>
        <v>0</v>
      </c>
      <c r="CJ14" s="251">
        <f t="shared" ca="1" si="87"/>
        <v>0</v>
      </c>
      <c r="CK14" s="251">
        <f t="shared" ca="1" si="88"/>
        <v>0</v>
      </c>
      <c r="CL14" s="251">
        <f t="shared" ca="1" si="53"/>
        <v>0</v>
      </c>
      <c r="CM14" s="251">
        <f t="shared" ca="1" si="54"/>
        <v>0</v>
      </c>
      <c r="CN14" s="251">
        <f t="shared" ca="1" si="55"/>
        <v>0</v>
      </c>
      <c r="CO14" s="251">
        <f t="shared" ca="1" si="56"/>
        <v>0</v>
      </c>
      <c r="CP14" s="251">
        <f t="shared" ca="1" si="89"/>
        <v>0</v>
      </c>
      <c r="CQ14" s="251">
        <f t="shared" ca="1" si="90"/>
        <v>0</v>
      </c>
      <c r="CR14" s="251">
        <f t="shared" ca="1" si="91"/>
        <v>0</v>
      </c>
      <c r="CS14" s="251">
        <f t="shared" ca="1" si="92"/>
        <v>0</v>
      </c>
      <c r="CT14" s="251">
        <f t="shared" ca="1" si="57"/>
        <v>0</v>
      </c>
      <c r="CU14" s="251">
        <f t="shared" ca="1" si="58"/>
        <v>0</v>
      </c>
      <c r="CV14" s="251">
        <f t="shared" ca="1" si="59"/>
        <v>0</v>
      </c>
      <c r="CW14" s="251">
        <f t="shared" ca="1" si="60"/>
        <v>0</v>
      </c>
      <c r="CX14" s="251">
        <f t="shared" ca="1" si="93"/>
        <v>0</v>
      </c>
      <c r="CY14" s="251">
        <f t="shared" ca="1" si="94"/>
        <v>0</v>
      </c>
      <c r="CZ14" s="251">
        <f t="shared" ca="1" si="95"/>
        <v>0</v>
      </c>
      <c r="DA14" s="251">
        <f t="shared" ca="1" si="96"/>
        <v>0</v>
      </c>
    </row>
    <row r="15" spans="1:105" s="248" customFormat="1" ht="15" customHeight="1">
      <c r="A15" s="58">
        <f t="array" aca="1" ref="A15" ca="1">IF(C15&lt;&gt;0,SUM(($C$11:C15&lt;&gt;0)*1),"")</f>
        <v>5</v>
      </c>
      <c r="B15" s="249" t="str">
        <f ca="1">IF(ROWS($1:5)&gt;COUNT(Dong6),"",OFFSET(TH!C$1,SMALL(Dong6,ROWS($1:5)),))</f>
        <v/>
      </c>
      <c r="C15" s="249" t="str">
        <f ca="1">IF(ROWS($1:5)&gt;COUNT(Dong6),"",OFFSET(TH!D$1,SMALL(Dong6,ROWS($1:5)),))</f>
        <v/>
      </c>
      <c r="D15" s="249" t="str">
        <f ca="1">IF(ROWS($1:5)&gt;COUNT(Dong6),"",OFFSET(TH!E$1,SMALL(Dong6,ROWS($1:5)),))</f>
        <v/>
      </c>
      <c r="E15" s="299" t="str">
        <f ca="1">IF(ROWS($1:5)&gt;COUNT(Dong6),"",OFFSET(TH!F$1,SMALL(Dong6,ROWS($1:5)),))</f>
        <v/>
      </c>
      <c r="F15" s="300" t="str">
        <f ca="1">IF(ROWS($1:5)&gt;COUNT(Dong6),"",OFFSET(TH!M$1,SMALL(Dong6,ROWS($1:5)),))</f>
        <v/>
      </c>
      <c r="G15" s="301" t="str">
        <f ca="1">IF(ROWS($1:5)&gt;COUNT(Dong6),"",OFFSET(TH!N$1,SMALL(Dong6,ROWS($1:5)),))</f>
        <v/>
      </c>
      <c r="H15" s="301" t="str">
        <f ca="1">IF(ROWS($1:5)&gt;COUNT(Dong6),"",OFFSET(TH!O$1,SMALL(Dong6,ROWS($1:5)),))</f>
        <v/>
      </c>
      <c r="I15" s="58">
        <f t="shared" ca="1" si="0"/>
        <v>5</v>
      </c>
      <c r="J15" s="251">
        <f t="shared" ca="1" si="61"/>
        <v>0</v>
      </c>
      <c r="K15" s="251">
        <f t="shared" ca="1" si="62"/>
        <v>0</v>
      </c>
      <c r="L15" s="251">
        <f t="shared" ca="1" si="1"/>
        <v>0</v>
      </c>
      <c r="M15" s="251">
        <f t="shared" ca="1" si="2"/>
        <v>0</v>
      </c>
      <c r="N15" s="251">
        <f t="shared" ca="1" si="3"/>
        <v>0</v>
      </c>
      <c r="O15" s="251">
        <f t="shared" ca="1" si="4"/>
        <v>0</v>
      </c>
      <c r="P15" s="251">
        <f t="shared" ca="1" si="5"/>
        <v>0</v>
      </c>
      <c r="Q15" s="251">
        <f t="shared" ca="1" si="6"/>
        <v>0</v>
      </c>
      <c r="R15" s="251">
        <f t="shared" ca="1" si="7"/>
        <v>0</v>
      </c>
      <c r="S15" s="251">
        <f t="shared" ca="1" si="8"/>
        <v>0</v>
      </c>
      <c r="T15" s="251">
        <f t="shared" ca="1" si="9"/>
        <v>0</v>
      </c>
      <c r="U15" s="251">
        <f t="shared" ca="1" si="10"/>
        <v>0</v>
      </c>
      <c r="V15" s="251">
        <f t="shared" ca="1" si="11"/>
        <v>0</v>
      </c>
      <c r="W15" s="251">
        <f t="shared" ca="1" si="12"/>
        <v>0</v>
      </c>
      <c r="X15" s="251">
        <f t="shared" ca="1" si="13"/>
        <v>0</v>
      </c>
      <c r="Y15" s="251">
        <f t="shared" ca="1" si="14"/>
        <v>0</v>
      </c>
      <c r="Z15" s="251">
        <f t="shared" ca="1" si="15"/>
        <v>0</v>
      </c>
      <c r="AA15" s="251">
        <f t="shared" ca="1" si="16"/>
        <v>0</v>
      </c>
      <c r="AB15" s="251">
        <f t="shared" ca="1" si="63"/>
        <v>0</v>
      </c>
      <c r="AC15" s="251">
        <f t="shared" ca="1" si="64"/>
        <v>0</v>
      </c>
      <c r="AD15" s="251">
        <f t="shared" ca="1" si="17"/>
        <v>0</v>
      </c>
      <c r="AE15" s="251">
        <f t="shared" ca="1" si="18"/>
        <v>0</v>
      </c>
      <c r="AF15" s="251">
        <f t="shared" ca="1" si="19"/>
        <v>0</v>
      </c>
      <c r="AG15" s="251">
        <f t="shared" ca="1" si="20"/>
        <v>0</v>
      </c>
      <c r="AH15" s="251">
        <f t="shared" ca="1" si="65"/>
        <v>0</v>
      </c>
      <c r="AI15" s="251">
        <f t="shared" ca="1" si="66"/>
        <v>0</v>
      </c>
      <c r="AJ15" s="251">
        <f t="shared" ca="1" si="67"/>
        <v>0</v>
      </c>
      <c r="AK15" s="251">
        <f t="shared" ca="1" si="68"/>
        <v>0</v>
      </c>
      <c r="AL15" s="251">
        <f t="shared" ca="1" si="69"/>
        <v>0</v>
      </c>
      <c r="AM15" s="251">
        <f t="shared" ca="1" si="70"/>
        <v>0</v>
      </c>
      <c r="AN15" s="251">
        <f t="shared" ca="1" si="71"/>
        <v>0</v>
      </c>
      <c r="AO15" s="251">
        <f t="shared" ca="1" si="72"/>
        <v>0</v>
      </c>
      <c r="AP15" s="251">
        <f t="shared" ca="1" si="21"/>
        <v>0</v>
      </c>
      <c r="AQ15" s="251">
        <f t="shared" ca="1" si="22"/>
        <v>0</v>
      </c>
      <c r="AR15" s="251">
        <f t="shared" ca="1" si="23"/>
        <v>0</v>
      </c>
      <c r="AS15" s="251">
        <f t="shared" ca="1" si="24"/>
        <v>0</v>
      </c>
      <c r="AT15" s="251">
        <f t="shared" ca="1" si="73"/>
        <v>0</v>
      </c>
      <c r="AU15" s="251">
        <f t="shared" ca="1" si="74"/>
        <v>0</v>
      </c>
      <c r="AV15" s="251">
        <f t="shared" ca="1" si="25"/>
        <v>0</v>
      </c>
      <c r="AW15" s="251">
        <f t="shared" ca="1" si="26"/>
        <v>0</v>
      </c>
      <c r="AX15" s="251">
        <f t="shared" ca="1" si="27"/>
        <v>0</v>
      </c>
      <c r="AY15" s="251">
        <f t="shared" ca="1" si="28"/>
        <v>0</v>
      </c>
      <c r="AZ15" s="251">
        <f t="shared" ca="1" si="29"/>
        <v>0</v>
      </c>
      <c r="BA15" s="251">
        <f t="shared" ca="1" si="30"/>
        <v>0</v>
      </c>
      <c r="BB15" s="251">
        <f t="shared" ca="1" si="31"/>
        <v>0</v>
      </c>
      <c r="BC15" s="251">
        <f t="shared" ca="1" si="32"/>
        <v>0</v>
      </c>
      <c r="BD15" s="251">
        <f t="shared" ca="1" si="33"/>
        <v>0</v>
      </c>
      <c r="BE15" s="251">
        <f t="shared" ca="1" si="34"/>
        <v>0</v>
      </c>
      <c r="BF15" s="251">
        <f t="shared" ca="1" si="35"/>
        <v>0</v>
      </c>
      <c r="BG15" s="251">
        <f t="shared" ca="1" si="36"/>
        <v>0</v>
      </c>
      <c r="BH15" s="251">
        <f t="shared" ca="1" si="75"/>
        <v>0</v>
      </c>
      <c r="BI15" s="251">
        <f t="shared" ca="1" si="76"/>
        <v>0</v>
      </c>
      <c r="BJ15" s="251">
        <f t="shared" ca="1" si="37"/>
        <v>0</v>
      </c>
      <c r="BK15" s="251">
        <f t="shared" ca="1" si="38"/>
        <v>0</v>
      </c>
      <c r="BL15" s="251">
        <f t="shared" ca="1" si="39"/>
        <v>0</v>
      </c>
      <c r="BM15" s="251">
        <f t="shared" ca="1" si="40"/>
        <v>0</v>
      </c>
      <c r="BN15" s="251">
        <f t="shared" ca="1" si="41"/>
        <v>0</v>
      </c>
      <c r="BO15" s="251">
        <f t="shared" ca="1" si="42"/>
        <v>0</v>
      </c>
      <c r="BP15" s="251">
        <f t="shared" ca="1" si="77"/>
        <v>0</v>
      </c>
      <c r="BQ15" s="251">
        <f t="shared" ca="1" si="78"/>
        <v>0</v>
      </c>
      <c r="BR15" s="251">
        <f t="shared" ca="1" si="43"/>
        <v>0</v>
      </c>
      <c r="BS15" s="251">
        <f t="shared" ca="1" si="44"/>
        <v>0</v>
      </c>
      <c r="BT15" s="251">
        <f t="shared" ca="1" si="79"/>
        <v>0</v>
      </c>
      <c r="BU15" s="251">
        <f t="shared" ca="1" si="80"/>
        <v>0</v>
      </c>
      <c r="BV15" s="251">
        <f t="shared" ca="1" si="81"/>
        <v>0</v>
      </c>
      <c r="BW15" s="251">
        <f t="shared" ca="1" si="82"/>
        <v>0</v>
      </c>
      <c r="BX15" s="251">
        <f t="shared" ca="1" si="45"/>
        <v>0</v>
      </c>
      <c r="BY15" s="251">
        <f t="shared" ca="1" si="46"/>
        <v>0</v>
      </c>
      <c r="BZ15" s="251">
        <f t="shared" ca="1" si="47"/>
        <v>0</v>
      </c>
      <c r="CA15" s="251">
        <f t="shared" ca="1" si="48"/>
        <v>0</v>
      </c>
      <c r="CB15" s="251">
        <f t="shared" ca="1" si="49"/>
        <v>0</v>
      </c>
      <c r="CC15" s="251">
        <f t="shared" ca="1" si="50"/>
        <v>0</v>
      </c>
      <c r="CD15" s="251">
        <f t="shared" ca="1" si="83"/>
        <v>0</v>
      </c>
      <c r="CE15" s="251">
        <f t="shared" ca="1" si="84"/>
        <v>0</v>
      </c>
      <c r="CF15" s="251">
        <f t="shared" ca="1" si="85"/>
        <v>0</v>
      </c>
      <c r="CG15" s="251">
        <f t="shared" ca="1" si="86"/>
        <v>0</v>
      </c>
      <c r="CH15" s="251">
        <f t="shared" ca="1" si="51"/>
        <v>0</v>
      </c>
      <c r="CI15" s="251">
        <f t="shared" ca="1" si="52"/>
        <v>0</v>
      </c>
      <c r="CJ15" s="251">
        <f t="shared" ca="1" si="87"/>
        <v>0</v>
      </c>
      <c r="CK15" s="251">
        <f t="shared" ca="1" si="88"/>
        <v>0</v>
      </c>
      <c r="CL15" s="251">
        <f t="shared" ca="1" si="53"/>
        <v>0</v>
      </c>
      <c r="CM15" s="251">
        <f t="shared" ca="1" si="54"/>
        <v>0</v>
      </c>
      <c r="CN15" s="251">
        <f t="shared" ca="1" si="55"/>
        <v>0</v>
      </c>
      <c r="CO15" s="251">
        <f t="shared" ca="1" si="56"/>
        <v>0</v>
      </c>
      <c r="CP15" s="251">
        <f t="shared" ca="1" si="89"/>
        <v>0</v>
      </c>
      <c r="CQ15" s="251">
        <f t="shared" ca="1" si="90"/>
        <v>0</v>
      </c>
      <c r="CR15" s="251">
        <f t="shared" ca="1" si="91"/>
        <v>0</v>
      </c>
      <c r="CS15" s="251">
        <f t="shared" ca="1" si="92"/>
        <v>0</v>
      </c>
      <c r="CT15" s="251">
        <f t="shared" ca="1" si="57"/>
        <v>0</v>
      </c>
      <c r="CU15" s="251">
        <f t="shared" ca="1" si="58"/>
        <v>0</v>
      </c>
      <c r="CV15" s="251">
        <f t="shared" ca="1" si="59"/>
        <v>0</v>
      </c>
      <c r="CW15" s="251">
        <f t="shared" ca="1" si="60"/>
        <v>0</v>
      </c>
      <c r="CX15" s="251">
        <f t="shared" ca="1" si="93"/>
        <v>0</v>
      </c>
      <c r="CY15" s="251">
        <f t="shared" ca="1" si="94"/>
        <v>0</v>
      </c>
      <c r="CZ15" s="251">
        <f t="shared" ca="1" si="95"/>
        <v>0</v>
      </c>
      <c r="DA15" s="251">
        <f t="shared" ca="1" si="96"/>
        <v>0</v>
      </c>
    </row>
    <row r="16" spans="1:105" s="248" customFormat="1" ht="15" customHeight="1">
      <c r="A16" s="58">
        <f t="array" aca="1" ref="A16" ca="1">IF(C16&lt;&gt;0,SUM(($C$11:C16&lt;&gt;0)*1),"")</f>
        <v>6</v>
      </c>
      <c r="B16" s="249" t="str">
        <f ca="1">IF(ROWS($1:6)&gt;COUNT(Dong6),"",OFFSET(TH!C$1,SMALL(Dong6,ROWS($1:6)),))</f>
        <v/>
      </c>
      <c r="C16" s="249" t="str">
        <f ca="1">IF(ROWS($1:6)&gt;COUNT(Dong6),"",OFFSET(TH!D$1,SMALL(Dong6,ROWS($1:6)),))</f>
        <v/>
      </c>
      <c r="D16" s="249" t="str">
        <f ca="1">IF(ROWS($1:6)&gt;COUNT(Dong6),"",OFFSET(TH!E$1,SMALL(Dong6,ROWS($1:6)),))</f>
        <v/>
      </c>
      <c r="E16" s="299" t="str">
        <f ca="1">IF(ROWS($1:6)&gt;COUNT(Dong6),"",OFFSET(TH!F$1,SMALL(Dong6,ROWS($1:6)),))</f>
        <v/>
      </c>
      <c r="F16" s="300" t="str">
        <f ca="1">IF(ROWS($1:6)&gt;COUNT(Dong6),"",OFFSET(TH!M$1,SMALL(Dong6,ROWS($1:6)),))</f>
        <v/>
      </c>
      <c r="G16" s="301" t="str">
        <f ca="1">IF(ROWS($1:6)&gt;COUNT(Dong6),"",OFFSET(TH!N$1,SMALL(Dong6,ROWS($1:6)),))</f>
        <v/>
      </c>
      <c r="H16" s="301" t="str">
        <f ca="1">IF(ROWS($1:6)&gt;COUNT(Dong6),"",OFFSET(TH!O$1,SMALL(Dong6,ROWS($1:6)),))</f>
        <v/>
      </c>
      <c r="I16" s="58">
        <f t="shared" ca="1" si="0"/>
        <v>6</v>
      </c>
      <c r="J16" s="251">
        <f t="shared" ca="1" si="61"/>
        <v>0</v>
      </c>
      <c r="K16" s="251">
        <f t="shared" ca="1" si="62"/>
        <v>0</v>
      </c>
      <c r="L16" s="251">
        <f t="shared" ca="1" si="1"/>
        <v>0</v>
      </c>
      <c r="M16" s="251">
        <f t="shared" ca="1" si="2"/>
        <v>0</v>
      </c>
      <c r="N16" s="251">
        <f t="shared" ca="1" si="3"/>
        <v>0</v>
      </c>
      <c r="O16" s="251">
        <f t="shared" ca="1" si="4"/>
        <v>0</v>
      </c>
      <c r="P16" s="251">
        <f t="shared" ca="1" si="5"/>
        <v>0</v>
      </c>
      <c r="Q16" s="251">
        <f t="shared" ca="1" si="6"/>
        <v>0</v>
      </c>
      <c r="R16" s="251">
        <f t="shared" ca="1" si="7"/>
        <v>0</v>
      </c>
      <c r="S16" s="251">
        <f t="shared" ca="1" si="8"/>
        <v>0</v>
      </c>
      <c r="T16" s="251">
        <f t="shared" ca="1" si="9"/>
        <v>0</v>
      </c>
      <c r="U16" s="251">
        <f t="shared" ca="1" si="10"/>
        <v>0</v>
      </c>
      <c r="V16" s="251">
        <f t="shared" ca="1" si="11"/>
        <v>0</v>
      </c>
      <c r="W16" s="251">
        <f t="shared" ca="1" si="12"/>
        <v>0</v>
      </c>
      <c r="X16" s="251">
        <f t="shared" ca="1" si="13"/>
        <v>0</v>
      </c>
      <c r="Y16" s="251">
        <f t="shared" ca="1" si="14"/>
        <v>0</v>
      </c>
      <c r="Z16" s="251">
        <f t="shared" ca="1" si="15"/>
        <v>0</v>
      </c>
      <c r="AA16" s="251">
        <f t="shared" ca="1" si="16"/>
        <v>0</v>
      </c>
      <c r="AB16" s="251">
        <f t="shared" ca="1" si="63"/>
        <v>0</v>
      </c>
      <c r="AC16" s="251">
        <f t="shared" ca="1" si="64"/>
        <v>0</v>
      </c>
      <c r="AD16" s="251">
        <f t="shared" ca="1" si="17"/>
        <v>0</v>
      </c>
      <c r="AE16" s="251">
        <f t="shared" ca="1" si="18"/>
        <v>0</v>
      </c>
      <c r="AF16" s="251">
        <f t="shared" ca="1" si="19"/>
        <v>0</v>
      </c>
      <c r="AG16" s="251">
        <f t="shared" ca="1" si="20"/>
        <v>0</v>
      </c>
      <c r="AH16" s="251">
        <f t="shared" ca="1" si="65"/>
        <v>0</v>
      </c>
      <c r="AI16" s="251">
        <f t="shared" ca="1" si="66"/>
        <v>0</v>
      </c>
      <c r="AJ16" s="251">
        <f t="shared" ca="1" si="67"/>
        <v>0</v>
      </c>
      <c r="AK16" s="251">
        <f t="shared" ca="1" si="68"/>
        <v>0</v>
      </c>
      <c r="AL16" s="251">
        <f t="shared" ca="1" si="69"/>
        <v>0</v>
      </c>
      <c r="AM16" s="251">
        <f t="shared" ca="1" si="70"/>
        <v>0</v>
      </c>
      <c r="AN16" s="251">
        <f t="shared" ca="1" si="71"/>
        <v>0</v>
      </c>
      <c r="AO16" s="251">
        <f t="shared" ca="1" si="72"/>
        <v>0</v>
      </c>
      <c r="AP16" s="251">
        <f t="shared" ca="1" si="21"/>
        <v>0</v>
      </c>
      <c r="AQ16" s="251">
        <f t="shared" ca="1" si="22"/>
        <v>0</v>
      </c>
      <c r="AR16" s="251">
        <f t="shared" ca="1" si="23"/>
        <v>0</v>
      </c>
      <c r="AS16" s="251">
        <f t="shared" ca="1" si="24"/>
        <v>0</v>
      </c>
      <c r="AT16" s="251">
        <f t="shared" ca="1" si="73"/>
        <v>0</v>
      </c>
      <c r="AU16" s="251">
        <f t="shared" ca="1" si="74"/>
        <v>0</v>
      </c>
      <c r="AV16" s="251">
        <f t="shared" ca="1" si="25"/>
        <v>0</v>
      </c>
      <c r="AW16" s="251">
        <f t="shared" ca="1" si="26"/>
        <v>0</v>
      </c>
      <c r="AX16" s="251">
        <f t="shared" ca="1" si="27"/>
        <v>0</v>
      </c>
      <c r="AY16" s="251">
        <f t="shared" ca="1" si="28"/>
        <v>0</v>
      </c>
      <c r="AZ16" s="251">
        <f t="shared" ca="1" si="29"/>
        <v>0</v>
      </c>
      <c r="BA16" s="251">
        <f t="shared" ca="1" si="30"/>
        <v>0</v>
      </c>
      <c r="BB16" s="251">
        <f t="shared" ca="1" si="31"/>
        <v>0</v>
      </c>
      <c r="BC16" s="251">
        <f t="shared" ca="1" si="32"/>
        <v>0</v>
      </c>
      <c r="BD16" s="251">
        <f t="shared" ca="1" si="33"/>
        <v>0</v>
      </c>
      <c r="BE16" s="251">
        <f t="shared" ca="1" si="34"/>
        <v>0</v>
      </c>
      <c r="BF16" s="251">
        <f t="shared" ca="1" si="35"/>
        <v>0</v>
      </c>
      <c r="BG16" s="251">
        <f t="shared" ca="1" si="36"/>
        <v>0</v>
      </c>
      <c r="BH16" s="251">
        <f t="shared" ca="1" si="75"/>
        <v>0</v>
      </c>
      <c r="BI16" s="251">
        <f t="shared" ca="1" si="76"/>
        <v>0</v>
      </c>
      <c r="BJ16" s="251">
        <f t="shared" ca="1" si="37"/>
        <v>0</v>
      </c>
      <c r="BK16" s="251">
        <f t="shared" ca="1" si="38"/>
        <v>0</v>
      </c>
      <c r="BL16" s="251">
        <f t="shared" ca="1" si="39"/>
        <v>0</v>
      </c>
      <c r="BM16" s="251">
        <f t="shared" ca="1" si="40"/>
        <v>0</v>
      </c>
      <c r="BN16" s="251">
        <f t="shared" ca="1" si="41"/>
        <v>0</v>
      </c>
      <c r="BO16" s="251">
        <f t="shared" ca="1" si="42"/>
        <v>0</v>
      </c>
      <c r="BP16" s="251">
        <f t="shared" ca="1" si="77"/>
        <v>0</v>
      </c>
      <c r="BQ16" s="251">
        <f t="shared" ca="1" si="78"/>
        <v>0</v>
      </c>
      <c r="BR16" s="251">
        <f t="shared" ca="1" si="43"/>
        <v>0</v>
      </c>
      <c r="BS16" s="251">
        <f t="shared" ca="1" si="44"/>
        <v>0</v>
      </c>
      <c r="BT16" s="251">
        <f t="shared" ca="1" si="79"/>
        <v>0</v>
      </c>
      <c r="BU16" s="251">
        <f t="shared" ca="1" si="80"/>
        <v>0</v>
      </c>
      <c r="BV16" s="251">
        <f t="shared" ca="1" si="81"/>
        <v>0</v>
      </c>
      <c r="BW16" s="251">
        <f t="shared" ca="1" si="82"/>
        <v>0</v>
      </c>
      <c r="BX16" s="251">
        <f t="shared" ca="1" si="45"/>
        <v>0</v>
      </c>
      <c r="BY16" s="251">
        <f t="shared" ca="1" si="46"/>
        <v>0</v>
      </c>
      <c r="BZ16" s="251">
        <f t="shared" ca="1" si="47"/>
        <v>0</v>
      </c>
      <c r="CA16" s="251">
        <f t="shared" ca="1" si="48"/>
        <v>0</v>
      </c>
      <c r="CB16" s="251">
        <f t="shared" ca="1" si="49"/>
        <v>0</v>
      </c>
      <c r="CC16" s="251">
        <f t="shared" ca="1" si="50"/>
        <v>0</v>
      </c>
      <c r="CD16" s="251">
        <f t="shared" ca="1" si="83"/>
        <v>0</v>
      </c>
      <c r="CE16" s="251">
        <f t="shared" ca="1" si="84"/>
        <v>0</v>
      </c>
      <c r="CF16" s="251">
        <f t="shared" ca="1" si="85"/>
        <v>0</v>
      </c>
      <c r="CG16" s="251">
        <f t="shared" ca="1" si="86"/>
        <v>0</v>
      </c>
      <c r="CH16" s="251">
        <f t="shared" ca="1" si="51"/>
        <v>0</v>
      </c>
      <c r="CI16" s="251">
        <f t="shared" ca="1" si="52"/>
        <v>0</v>
      </c>
      <c r="CJ16" s="251">
        <f t="shared" ca="1" si="87"/>
        <v>0</v>
      </c>
      <c r="CK16" s="251">
        <f t="shared" ca="1" si="88"/>
        <v>0</v>
      </c>
      <c r="CL16" s="251">
        <f t="shared" ca="1" si="53"/>
        <v>0</v>
      </c>
      <c r="CM16" s="251">
        <f t="shared" ca="1" si="54"/>
        <v>0</v>
      </c>
      <c r="CN16" s="251">
        <f t="shared" ca="1" si="55"/>
        <v>0</v>
      </c>
      <c r="CO16" s="251">
        <f t="shared" ca="1" si="56"/>
        <v>0</v>
      </c>
      <c r="CP16" s="251">
        <f t="shared" ca="1" si="89"/>
        <v>0</v>
      </c>
      <c r="CQ16" s="251">
        <f t="shared" ca="1" si="90"/>
        <v>0</v>
      </c>
      <c r="CR16" s="251">
        <f t="shared" ca="1" si="91"/>
        <v>0</v>
      </c>
      <c r="CS16" s="251">
        <f t="shared" ca="1" si="92"/>
        <v>0</v>
      </c>
      <c r="CT16" s="251">
        <f t="shared" ca="1" si="57"/>
        <v>0</v>
      </c>
      <c r="CU16" s="251">
        <f t="shared" ca="1" si="58"/>
        <v>0</v>
      </c>
      <c r="CV16" s="251">
        <f t="shared" ca="1" si="59"/>
        <v>0</v>
      </c>
      <c r="CW16" s="251">
        <f t="shared" ca="1" si="60"/>
        <v>0</v>
      </c>
      <c r="CX16" s="251">
        <f t="shared" ca="1" si="93"/>
        <v>0</v>
      </c>
      <c r="CY16" s="251">
        <f t="shared" ca="1" si="94"/>
        <v>0</v>
      </c>
      <c r="CZ16" s="251">
        <f t="shared" ca="1" si="95"/>
        <v>0</v>
      </c>
      <c r="DA16" s="251">
        <f t="shared" ca="1" si="96"/>
        <v>0</v>
      </c>
    </row>
    <row r="17" spans="1:105" s="248" customFormat="1" ht="15" customHeight="1">
      <c r="A17" s="58">
        <f t="array" aca="1" ref="A17" ca="1">IF(C17&lt;&gt;0,SUM(($C$11:C17&lt;&gt;0)*1),"")</f>
        <v>7</v>
      </c>
      <c r="B17" s="249" t="str">
        <f ca="1">IF(ROWS($1:7)&gt;COUNT(Dong6),"",OFFSET(TH!C$1,SMALL(Dong6,ROWS($1:7)),))</f>
        <v/>
      </c>
      <c r="C17" s="249" t="str">
        <f ca="1">IF(ROWS($1:7)&gt;COUNT(Dong6),"",OFFSET(TH!D$1,SMALL(Dong6,ROWS($1:7)),))</f>
        <v/>
      </c>
      <c r="D17" s="249" t="str">
        <f ca="1">IF(ROWS($1:7)&gt;COUNT(Dong6),"",OFFSET(TH!E$1,SMALL(Dong6,ROWS($1:7)),))</f>
        <v/>
      </c>
      <c r="E17" s="299" t="str">
        <f ca="1">IF(ROWS($1:7)&gt;COUNT(Dong6),"",OFFSET(TH!F$1,SMALL(Dong6,ROWS($1:7)),))</f>
        <v/>
      </c>
      <c r="F17" s="300" t="str">
        <f ca="1">IF(ROWS($1:7)&gt;COUNT(Dong6),"",OFFSET(TH!M$1,SMALL(Dong6,ROWS($1:7)),))</f>
        <v/>
      </c>
      <c r="G17" s="301" t="str">
        <f ca="1">IF(ROWS($1:7)&gt;COUNT(Dong6),"",OFFSET(TH!N$1,SMALL(Dong6,ROWS($1:7)),))</f>
        <v/>
      </c>
      <c r="H17" s="301" t="str">
        <f ca="1">IF(ROWS($1:7)&gt;COUNT(Dong6),"",OFFSET(TH!O$1,SMALL(Dong6,ROWS($1:7)),))</f>
        <v/>
      </c>
      <c r="I17" s="58">
        <f t="shared" ca="1" si="0"/>
        <v>7</v>
      </c>
      <c r="J17" s="251">
        <f t="shared" ca="1" si="61"/>
        <v>0</v>
      </c>
      <c r="K17" s="251">
        <f t="shared" ca="1" si="62"/>
        <v>0</v>
      </c>
      <c r="L17" s="251">
        <f t="shared" ca="1" si="1"/>
        <v>0</v>
      </c>
      <c r="M17" s="251">
        <f t="shared" ca="1" si="2"/>
        <v>0</v>
      </c>
      <c r="N17" s="251">
        <f t="shared" ca="1" si="3"/>
        <v>0</v>
      </c>
      <c r="O17" s="251">
        <f t="shared" ca="1" si="4"/>
        <v>0</v>
      </c>
      <c r="P17" s="251">
        <f t="shared" ca="1" si="5"/>
        <v>0</v>
      </c>
      <c r="Q17" s="251">
        <f t="shared" ca="1" si="6"/>
        <v>0</v>
      </c>
      <c r="R17" s="251">
        <f t="shared" ca="1" si="7"/>
        <v>0</v>
      </c>
      <c r="S17" s="251">
        <f t="shared" ca="1" si="8"/>
        <v>0</v>
      </c>
      <c r="T17" s="251">
        <f t="shared" ca="1" si="9"/>
        <v>0</v>
      </c>
      <c r="U17" s="251">
        <f t="shared" ca="1" si="10"/>
        <v>0</v>
      </c>
      <c r="V17" s="251">
        <f t="shared" ca="1" si="11"/>
        <v>0</v>
      </c>
      <c r="W17" s="251">
        <f t="shared" ca="1" si="12"/>
        <v>0</v>
      </c>
      <c r="X17" s="251">
        <f t="shared" ca="1" si="13"/>
        <v>0</v>
      </c>
      <c r="Y17" s="251">
        <f t="shared" ca="1" si="14"/>
        <v>0</v>
      </c>
      <c r="Z17" s="251">
        <f t="shared" ca="1" si="15"/>
        <v>0</v>
      </c>
      <c r="AA17" s="251">
        <f t="shared" ca="1" si="16"/>
        <v>0</v>
      </c>
      <c r="AB17" s="251">
        <f t="shared" ca="1" si="63"/>
        <v>0</v>
      </c>
      <c r="AC17" s="251">
        <f t="shared" ca="1" si="64"/>
        <v>0</v>
      </c>
      <c r="AD17" s="251">
        <f t="shared" ca="1" si="17"/>
        <v>0</v>
      </c>
      <c r="AE17" s="251">
        <f t="shared" ca="1" si="18"/>
        <v>0</v>
      </c>
      <c r="AF17" s="251">
        <f t="shared" ca="1" si="19"/>
        <v>0</v>
      </c>
      <c r="AG17" s="251">
        <f t="shared" ca="1" si="20"/>
        <v>0</v>
      </c>
      <c r="AH17" s="251">
        <f t="shared" ca="1" si="65"/>
        <v>0</v>
      </c>
      <c r="AI17" s="251">
        <f t="shared" ca="1" si="66"/>
        <v>0</v>
      </c>
      <c r="AJ17" s="251">
        <f t="shared" ca="1" si="67"/>
        <v>0</v>
      </c>
      <c r="AK17" s="251">
        <f t="shared" ca="1" si="68"/>
        <v>0</v>
      </c>
      <c r="AL17" s="251">
        <f t="shared" ca="1" si="69"/>
        <v>0</v>
      </c>
      <c r="AM17" s="251">
        <f t="shared" ca="1" si="70"/>
        <v>0</v>
      </c>
      <c r="AN17" s="251">
        <f t="shared" ca="1" si="71"/>
        <v>0</v>
      </c>
      <c r="AO17" s="251">
        <f t="shared" ca="1" si="72"/>
        <v>0</v>
      </c>
      <c r="AP17" s="251">
        <f t="shared" ca="1" si="21"/>
        <v>0</v>
      </c>
      <c r="AQ17" s="251">
        <f t="shared" ca="1" si="22"/>
        <v>0</v>
      </c>
      <c r="AR17" s="251">
        <f t="shared" ca="1" si="23"/>
        <v>0</v>
      </c>
      <c r="AS17" s="251">
        <f t="shared" ca="1" si="24"/>
        <v>0</v>
      </c>
      <c r="AT17" s="251">
        <f t="shared" ca="1" si="73"/>
        <v>0</v>
      </c>
      <c r="AU17" s="251">
        <f t="shared" ca="1" si="74"/>
        <v>0</v>
      </c>
      <c r="AV17" s="251">
        <f t="shared" ca="1" si="25"/>
        <v>0</v>
      </c>
      <c r="AW17" s="251">
        <f t="shared" ca="1" si="26"/>
        <v>0</v>
      </c>
      <c r="AX17" s="251">
        <f t="shared" ca="1" si="27"/>
        <v>0</v>
      </c>
      <c r="AY17" s="251">
        <f t="shared" ca="1" si="28"/>
        <v>0</v>
      </c>
      <c r="AZ17" s="251">
        <f t="shared" ca="1" si="29"/>
        <v>0</v>
      </c>
      <c r="BA17" s="251">
        <f t="shared" ca="1" si="30"/>
        <v>0</v>
      </c>
      <c r="BB17" s="251">
        <f t="shared" ca="1" si="31"/>
        <v>0</v>
      </c>
      <c r="BC17" s="251">
        <f t="shared" ca="1" si="32"/>
        <v>0</v>
      </c>
      <c r="BD17" s="251">
        <f t="shared" ca="1" si="33"/>
        <v>0</v>
      </c>
      <c r="BE17" s="251">
        <f t="shared" ca="1" si="34"/>
        <v>0</v>
      </c>
      <c r="BF17" s="251">
        <f t="shared" ca="1" si="35"/>
        <v>0</v>
      </c>
      <c r="BG17" s="251">
        <f t="shared" ca="1" si="36"/>
        <v>0</v>
      </c>
      <c r="BH17" s="251">
        <f t="shared" ca="1" si="75"/>
        <v>0</v>
      </c>
      <c r="BI17" s="251">
        <f t="shared" ca="1" si="76"/>
        <v>0</v>
      </c>
      <c r="BJ17" s="251">
        <f t="shared" ca="1" si="37"/>
        <v>0</v>
      </c>
      <c r="BK17" s="251">
        <f t="shared" ca="1" si="38"/>
        <v>0</v>
      </c>
      <c r="BL17" s="251">
        <f t="shared" ca="1" si="39"/>
        <v>0</v>
      </c>
      <c r="BM17" s="251">
        <f t="shared" ca="1" si="40"/>
        <v>0</v>
      </c>
      <c r="BN17" s="251">
        <f t="shared" ca="1" si="41"/>
        <v>0</v>
      </c>
      <c r="BO17" s="251">
        <f t="shared" ca="1" si="42"/>
        <v>0</v>
      </c>
      <c r="BP17" s="251">
        <f t="shared" ca="1" si="77"/>
        <v>0</v>
      </c>
      <c r="BQ17" s="251">
        <f t="shared" ca="1" si="78"/>
        <v>0</v>
      </c>
      <c r="BR17" s="251">
        <f t="shared" ca="1" si="43"/>
        <v>0</v>
      </c>
      <c r="BS17" s="251">
        <f t="shared" ca="1" si="44"/>
        <v>0</v>
      </c>
      <c r="BT17" s="251">
        <f t="shared" ca="1" si="79"/>
        <v>0</v>
      </c>
      <c r="BU17" s="251">
        <f t="shared" ca="1" si="80"/>
        <v>0</v>
      </c>
      <c r="BV17" s="251">
        <f t="shared" ca="1" si="81"/>
        <v>0</v>
      </c>
      <c r="BW17" s="251">
        <f t="shared" ca="1" si="82"/>
        <v>0</v>
      </c>
      <c r="BX17" s="251">
        <f t="shared" ca="1" si="45"/>
        <v>0</v>
      </c>
      <c r="BY17" s="251">
        <f t="shared" ca="1" si="46"/>
        <v>0</v>
      </c>
      <c r="BZ17" s="251">
        <f t="shared" ca="1" si="47"/>
        <v>0</v>
      </c>
      <c r="CA17" s="251">
        <f t="shared" ca="1" si="48"/>
        <v>0</v>
      </c>
      <c r="CB17" s="251">
        <f t="shared" ca="1" si="49"/>
        <v>0</v>
      </c>
      <c r="CC17" s="251">
        <f t="shared" ca="1" si="50"/>
        <v>0</v>
      </c>
      <c r="CD17" s="251">
        <f t="shared" ca="1" si="83"/>
        <v>0</v>
      </c>
      <c r="CE17" s="251">
        <f t="shared" ca="1" si="84"/>
        <v>0</v>
      </c>
      <c r="CF17" s="251">
        <f t="shared" ca="1" si="85"/>
        <v>0</v>
      </c>
      <c r="CG17" s="251">
        <f t="shared" ca="1" si="86"/>
        <v>0</v>
      </c>
      <c r="CH17" s="251">
        <f t="shared" ca="1" si="51"/>
        <v>0</v>
      </c>
      <c r="CI17" s="251">
        <f t="shared" ca="1" si="52"/>
        <v>0</v>
      </c>
      <c r="CJ17" s="251">
        <f t="shared" ca="1" si="87"/>
        <v>0</v>
      </c>
      <c r="CK17" s="251">
        <f t="shared" ca="1" si="88"/>
        <v>0</v>
      </c>
      <c r="CL17" s="251">
        <f t="shared" ca="1" si="53"/>
        <v>0</v>
      </c>
      <c r="CM17" s="251">
        <f t="shared" ca="1" si="54"/>
        <v>0</v>
      </c>
      <c r="CN17" s="251">
        <f t="shared" ca="1" si="55"/>
        <v>0</v>
      </c>
      <c r="CO17" s="251">
        <f t="shared" ca="1" si="56"/>
        <v>0</v>
      </c>
      <c r="CP17" s="251">
        <f t="shared" ca="1" si="89"/>
        <v>0</v>
      </c>
      <c r="CQ17" s="251">
        <f t="shared" ca="1" si="90"/>
        <v>0</v>
      </c>
      <c r="CR17" s="251">
        <f t="shared" ca="1" si="91"/>
        <v>0</v>
      </c>
      <c r="CS17" s="251">
        <f t="shared" ca="1" si="92"/>
        <v>0</v>
      </c>
      <c r="CT17" s="251">
        <f t="shared" ca="1" si="57"/>
        <v>0</v>
      </c>
      <c r="CU17" s="251">
        <f t="shared" ca="1" si="58"/>
        <v>0</v>
      </c>
      <c r="CV17" s="251">
        <f t="shared" ca="1" si="59"/>
        <v>0</v>
      </c>
      <c r="CW17" s="251">
        <f t="shared" ca="1" si="60"/>
        <v>0</v>
      </c>
      <c r="CX17" s="251">
        <f t="shared" ca="1" si="93"/>
        <v>0</v>
      </c>
      <c r="CY17" s="251">
        <f t="shared" ca="1" si="94"/>
        <v>0</v>
      </c>
      <c r="CZ17" s="251">
        <f t="shared" ca="1" si="95"/>
        <v>0</v>
      </c>
      <c r="DA17" s="251">
        <f t="shared" ca="1" si="96"/>
        <v>0</v>
      </c>
    </row>
    <row r="18" spans="1:105" s="248" customFormat="1" ht="15" customHeight="1">
      <c r="A18" s="58">
        <f t="array" aca="1" ref="A18" ca="1">IF(C18&lt;&gt;0,SUM(($C$11:C18&lt;&gt;0)*1),"")</f>
        <v>8</v>
      </c>
      <c r="B18" s="249" t="str">
        <f ca="1">IF(ROWS($1:8)&gt;COUNT(Dong6),"",OFFSET(TH!C$1,SMALL(Dong6,ROWS($1:8)),))</f>
        <v/>
      </c>
      <c r="C18" s="249" t="str">
        <f ca="1">IF(ROWS($1:8)&gt;COUNT(Dong6),"",OFFSET(TH!D$1,SMALL(Dong6,ROWS($1:8)),))</f>
        <v/>
      </c>
      <c r="D18" s="249" t="str">
        <f ca="1">IF(ROWS($1:8)&gt;COUNT(Dong6),"",OFFSET(TH!E$1,SMALL(Dong6,ROWS($1:8)),))</f>
        <v/>
      </c>
      <c r="E18" s="299" t="str">
        <f ca="1">IF(ROWS($1:8)&gt;COUNT(Dong6),"",OFFSET(TH!F$1,SMALL(Dong6,ROWS($1:8)),))</f>
        <v/>
      </c>
      <c r="F18" s="300" t="str">
        <f ca="1">IF(ROWS($1:8)&gt;COUNT(Dong6),"",OFFSET(TH!M$1,SMALL(Dong6,ROWS($1:8)),))</f>
        <v/>
      </c>
      <c r="G18" s="301" t="str">
        <f ca="1">IF(ROWS($1:8)&gt;COUNT(Dong6),"",OFFSET(TH!N$1,SMALL(Dong6,ROWS($1:8)),))</f>
        <v/>
      </c>
      <c r="H18" s="301" t="str">
        <f ca="1">IF(ROWS($1:8)&gt;COUNT(Dong6),"",OFFSET(TH!O$1,SMALL(Dong6,ROWS($1:8)),))</f>
        <v/>
      </c>
      <c r="I18" s="58">
        <f t="shared" ca="1" si="0"/>
        <v>8</v>
      </c>
      <c r="J18" s="251">
        <f t="shared" ca="1" si="61"/>
        <v>0</v>
      </c>
      <c r="K18" s="251">
        <f t="shared" ca="1" si="62"/>
        <v>0</v>
      </c>
      <c r="L18" s="251">
        <f t="shared" ca="1" si="1"/>
        <v>0</v>
      </c>
      <c r="M18" s="251">
        <f t="shared" ca="1" si="2"/>
        <v>0</v>
      </c>
      <c r="N18" s="251">
        <f t="shared" ca="1" si="3"/>
        <v>0</v>
      </c>
      <c r="O18" s="251">
        <f t="shared" ca="1" si="4"/>
        <v>0</v>
      </c>
      <c r="P18" s="251">
        <f t="shared" ca="1" si="5"/>
        <v>0</v>
      </c>
      <c r="Q18" s="251">
        <f t="shared" ca="1" si="6"/>
        <v>0</v>
      </c>
      <c r="R18" s="251">
        <f t="shared" ca="1" si="7"/>
        <v>0</v>
      </c>
      <c r="S18" s="251">
        <f t="shared" ca="1" si="8"/>
        <v>0</v>
      </c>
      <c r="T18" s="251">
        <f t="shared" ca="1" si="9"/>
        <v>0</v>
      </c>
      <c r="U18" s="251">
        <f t="shared" ca="1" si="10"/>
        <v>0</v>
      </c>
      <c r="V18" s="251">
        <f t="shared" ca="1" si="11"/>
        <v>0</v>
      </c>
      <c r="W18" s="251">
        <f t="shared" ca="1" si="12"/>
        <v>0</v>
      </c>
      <c r="X18" s="251">
        <f t="shared" ca="1" si="13"/>
        <v>0</v>
      </c>
      <c r="Y18" s="251">
        <f t="shared" ca="1" si="14"/>
        <v>0</v>
      </c>
      <c r="Z18" s="251">
        <f t="shared" ca="1" si="15"/>
        <v>0</v>
      </c>
      <c r="AA18" s="251">
        <f t="shared" ca="1" si="16"/>
        <v>0</v>
      </c>
      <c r="AB18" s="251">
        <f t="shared" ca="1" si="63"/>
        <v>0</v>
      </c>
      <c r="AC18" s="251">
        <f t="shared" ca="1" si="64"/>
        <v>0</v>
      </c>
      <c r="AD18" s="251">
        <f t="shared" ca="1" si="17"/>
        <v>0</v>
      </c>
      <c r="AE18" s="251">
        <f t="shared" ca="1" si="18"/>
        <v>0</v>
      </c>
      <c r="AF18" s="251">
        <f t="shared" ca="1" si="19"/>
        <v>0</v>
      </c>
      <c r="AG18" s="251">
        <f t="shared" ca="1" si="20"/>
        <v>0</v>
      </c>
      <c r="AH18" s="251">
        <f t="shared" ca="1" si="65"/>
        <v>0</v>
      </c>
      <c r="AI18" s="251">
        <f t="shared" ca="1" si="66"/>
        <v>0</v>
      </c>
      <c r="AJ18" s="251">
        <f t="shared" ca="1" si="67"/>
        <v>0</v>
      </c>
      <c r="AK18" s="251">
        <f t="shared" ca="1" si="68"/>
        <v>0</v>
      </c>
      <c r="AL18" s="251">
        <f t="shared" ca="1" si="69"/>
        <v>0</v>
      </c>
      <c r="AM18" s="251">
        <f t="shared" ca="1" si="70"/>
        <v>0</v>
      </c>
      <c r="AN18" s="251">
        <f t="shared" ca="1" si="71"/>
        <v>0</v>
      </c>
      <c r="AO18" s="251">
        <f t="shared" ca="1" si="72"/>
        <v>0</v>
      </c>
      <c r="AP18" s="251">
        <f t="shared" ca="1" si="21"/>
        <v>0</v>
      </c>
      <c r="AQ18" s="251">
        <f t="shared" ca="1" si="22"/>
        <v>0</v>
      </c>
      <c r="AR18" s="251">
        <f t="shared" ca="1" si="23"/>
        <v>0</v>
      </c>
      <c r="AS18" s="251">
        <f t="shared" ca="1" si="24"/>
        <v>0</v>
      </c>
      <c r="AT18" s="251">
        <f t="shared" ca="1" si="73"/>
        <v>0</v>
      </c>
      <c r="AU18" s="251">
        <f t="shared" ca="1" si="74"/>
        <v>0</v>
      </c>
      <c r="AV18" s="251">
        <f t="shared" ca="1" si="25"/>
        <v>0</v>
      </c>
      <c r="AW18" s="251">
        <f t="shared" ca="1" si="26"/>
        <v>0</v>
      </c>
      <c r="AX18" s="251">
        <f t="shared" ca="1" si="27"/>
        <v>0</v>
      </c>
      <c r="AY18" s="251">
        <f t="shared" ca="1" si="28"/>
        <v>0</v>
      </c>
      <c r="AZ18" s="251">
        <f t="shared" ca="1" si="29"/>
        <v>0</v>
      </c>
      <c r="BA18" s="251">
        <f t="shared" ca="1" si="30"/>
        <v>0</v>
      </c>
      <c r="BB18" s="251">
        <f t="shared" ca="1" si="31"/>
        <v>0</v>
      </c>
      <c r="BC18" s="251">
        <f t="shared" ca="1" si="32"/>
        <v>0</v>
      </c>
      <c r="BD18" s="251">
        <f t="shared" ca="1" si="33"/>
        <v>0</v>
      </c>
      <c r="BE18" s="251">
        <f t="shared" ca="1" si="34"/>
        <v>0</v>
      </c>
      <c r="BF18" s="251">
        <f t="shared" ca="1" si="35"/>
        <v>0</v>
      </c>
      <c r="BG18" s="251">
        <f t="shared" ca="1" si="36"/>
        <v>0</v>
      </c>
      <c r="BH18" s="251">
        <f t="shared" ca="1" si="75"/>
        <v>0</v>
      </c>
      <c r="BI18" s="251">
        <f t="shared" ca="1" si="76"/>
        <v>0</v>
      </c>
      <c r="BJ18" s="251">
        <f t="shared" ca="1" si="37"/>
        <v>0</v>
      </c>
      <c r="BK18" s="251">
        <f t="shared" ca="1" si="38"/>
        <v>0</v>
      </c>
      <c r="BL18" s="251">
        <f t="shared" ca="1" si="39"/>
        <v>0</v>
      </c>
      <c r="BM18" s="251">
        <f t="shared" ca="1" si="40"/>
        <v>0</v>
      </c>
      <c r="BN18" s="251">
        <f t="shared" ca="1" si="41"/>
        <v>0</v>
      </c>
      <c r="BO18" s="251">
        <f t="shared" ca="1" si="42"/>
        <v>0</v>
      </c>
      <c r="BP18" s="251">
        <f t="shared" ca="1" si="77"/>
        <v>0</v>
      </c>
      <c r="BQ18" s="251">
        <f t="shared" ca="1" si="78"/>
        <v>0</v>
      </c>
      <c r="BR18" s="251">
        <f t="shared" ca="1" si="43"/>
        <v>0</v>
      </c>
      <c r="BS18" s="251">
        <f t="shared" ca="1" si="44"/>
        <v>0</v>
      </c>
      <c r="BT18" s="251">
        <f t="shared" ca="1" si="79"/>
        <v>0</v>
      </c>
      <c r="BU18" s="251">
        <f t="shared" ca="1" si="80"/>
        <v>0</v>
      </c>
      <c r="BV18" s="251">
        <f t="shared" ca="1" si="81"/>
        <v>0</v>
      </c>
      <c r="BW18" s="251">
        <f t="shared" ca="1" si="82"/>
        <v>0</v>
      </c>
      <c r="BX18" s="251">
        <f t="shared" ca="1" si="45"/>
        <v>0</v>
      </c>
      <c r="BY18" s="251">
        <f t="shared" ca="1" si="46"/>
        <v>0</v>
      </c>
      <c r="BZ18" s="251">
        <f t="shared" ca="1" si="47"/>
        <v>0</v>
      </c>
      <c r="CA18" s="251">
        <f t="shared" ca="1" si="48"/>
        <v>0</v>
      </c>
      <c r="CB18" s="251">
        <f t="shared" ca="1" si="49"/>
        <v>0</v>
      </c>
      <c r="CC18" s="251">
        <f t="shared" ca="1" si="50"/>
        <v>0</v>
      </c>
      <c r="CD18" s="251">
        <f t="shared" ca="1" si="83"/>
        <v>0</v>
      </c>
      <c r="CE18" s="251">
        <f t="shared" ca="1" si="84"/>
        <v>0</v>
      </c>
      <c r="CF18" s="251">
        <f t="shared" ca="1" si="85"/>
        <v>0</v>
      </c>
      <c r="CG18" s="251">
        <f t="shared" ca="1" si="86"/>
        <v>0</v>
      </c>
      <c r="CH18" s="251">
        <f t="shared" ca="1" si="51"/>
        <v>0</v>
      </c>
      <c r="CI18" s="251">
        <f t="shared" ca="1" si="52"/>
        <v>0</v>
      </c>
      <c r="CJ18" s="251">
        <f t="shared" ca="1" si="87"/>
        <v>0</v>
      </c>
      <c r="CK18" s="251">
        <f t="shared" ca="1" si="88"/>
        <v>0</v>
      </c>
      <c r="CL18" s="251">
        <f t="shared" ca="1" si="53"/>
        <v>0</v>
      </c>
      <c r="CM18" s="251">
        <f t="shared" ca="1" si="54"/>
        <v>0</v>
      </c>
      <c r="CN18" s="251">
        <f t="shared" ca="1" si="55"/>
        <v>0</v>
      </c>
      <c r="CO18" s="251">
        <f t="shared" ca="1" si="56"/>
        <v>0</v>
      </c>
      <c r="CP18" s="251">
        <f t="shared" ca="1" si="89"/>
        <v>0</v>
      </c>
      <c r="CQ18" s="251">
        <f t="shared" ca="1" si="90"/>
        <v>0</v>
      </c>
      <c r="CR18" s="251">
        <f t="shared" ca="1" si="91"/>
        <v>0</v>
      </c>
      <c r="CS18" s="251">
        <f t="shared" ca="1" si="92"/>
        <v>0</v>
      </c>
      <c r="CT18" s="251">
        <f t="shared" ca="1" si="57"/>
        <v>0</v>
      </c>
      <c r="CU18" s="251">
        <f t="shared" ca="1" si="58"/>
        <v>0</v>
      </c>
      <c r="CV18" s="251">
        <f t="shared" ca="1" si="59"/>
        <v>0</v>
      </c>
      <c r="CW18" s="251">
        <f t="shared" ca="1" si="60"/>
        <v>0</v>
      </c>
      <c r="CX18" s="251">
        <f t="shared" ca="1" si="93"/>
        <v>0</v>
      </c>
      <c r="CY18" s="251">
        <f t="shared" ca="1" si="94"/>
        <v>0</v>
      </c>
      <c r="CZ18" s="251">
        <f t="shared" ca="1" si="95"/>
        <v>0</v>
      </c>
      <c r="DA18" s="251">
        <f t="shared" ca="1" si="96"/>
        <v>0</v>
      </c>
    </row>
    <row r="19" spans="1:105" s="248" customFormat="1" ht="15" customHeight="1">
      <c r="A19" s="58">
        <f t="array" aca="1" ref="A19" ca="1">IF(C19&lt;&gt;0,SUM(($C$11:C19&lt;&gt;0)*1),"")</f>
        <v>9</v>
      </c>
      <c r="B19" s="249" t="str">
        <f ca="1">IF(ROWS($1:9)&gt;COUNT(Dong6),"",OFFSET(TH!C$1,SMALL(Dong6,ROWS($1:9)),))</f>
        <v/>
      </c>
      <c r="C19" s="249" t="str">
        <f ca="1">IF(ROWS($1:9)&gt;COUNT(Dong6),"",OFFSET(TH!D$1,SMALL(Dong6,ROWS($1:9)),))</f>
        <v/>
      </c>
      <c r="D19" s="249" t="str">
        <f ca="1">IF(ROWS($1:9)&gt;COUNT(Dong6),"",OFFSET(TH!E$1,SMALL(Dong6,ROWS($1:9)),))</f>
        <v/>
      </c>
      <c r="E19" s="299" t="str">
        <f ca="1">IF(ROWS($1:9)&gt;COUNT(Dong6),"",OFFSET(TH!F$1,SMALL(Dong6,ROWS($1:9)),))</f>
        <v/>
      </c>
      <c r="F19" s="300" t="str">
        <f ca="1">IF(ROWS($1:9)&gt;COUNT(Dong6),"",OFFSET(TH!M$1,SMALL(Dong6,ROWS($1:9)),))</f>
        <v/>
      </c>
      <c r="G19" s="301" t="str">
        <f ca="1">IF(ROWS($1:9)&gt;COUNT(Dong6),"",OFFSET(TH!N$1,SMALL(Dong6,ROWS($1:9)),))</f>
        <v/>
      </c>
      <c r="H19" s="301" t="str">
        <f ca="1">IF(ROWS($1:9)&gt;COUNT(Dong6),"",OFFSET(TH!O$1,SMALL(Dong6,ROWS($1:9)),))</f>
        <v/>
      </c>
      <c r="I19" s="58">
        <f t="shared" ca="1" si="0"/>
        <v>9</v>
      </c>
      <c r="J19" s="251">
        <f t="shared" ca="1" si="61"/>
        <v>0</v>
      </c>
      <c r="K19" s="251">
        <f t="shared" ca="1" si="62"/>
        <v>0</v>
      </c>
      <c r="L19" s="251">
        <f t="shared" ca="1" si="1"/>
        <v>0</v>
      </c>
      <c r="M19" s="251">
        <f t="shared" ca="1" si="2"/>
        <v>0</v>
      </c>
      <c r="N19" s="251">
        <f t="shared" ca="1" si="3"/>
        <v>0</v>
      </c>
      <c r="O19" s="251">
        <f t="shared" ca="1" si="4"/>
        <v>0</v>
      </c>
      <c r="P19" s="251">
        <f t="shared" ca="1" si="5"/>
        <v>0</v>
      </c>
      <c r="Q19" s="251">
        <f t="shared" ca="1" si="6"/>
        <v>0</v>
      </c>
      <c r="R19" s="251">
        <f t="shared" ca="1" si="7"/>
        <v>0</v>
      </c>
      <c r="S19" s="251">
        <f t="shared" ca="1" si="8"/>
        <v>0</v>
      </c>
      <c r="T19" s="251">
        <f t="shared" ca="1" si="9"/>
        <v>0</v>
      </c>
      <c r="U19" s="251">
        <f t="shared" ca="1" si="10"/>
        <v>0</v>
      </c>
      <c r="V19" s="251">
        <f t="shared" ca="1" si="11"/>
        <v>0</v>
      </c>
      <c r="W19" s="251">
        <f t="shared" ca="1" si="12"/>
        <v>0</v>
      </c>
      <c r="X19" s="251">
        <f t="shared" ca="1" si="13"/>
        <v>0</v>
      </c>
      <c r="Y19" s="251">
        <f t="shared" ca="1" si="14"/>
        <v>0</v>
      </c>
      <c r="Z19" s="251">
        <f t="shared" ca="1" si="15"/>
        <v>0</v>
      </c>
      <c r="AA19" s="251">
        <f t="shared" ca="1" si="16"/>
        <v>0</v>
      </c>
      <c r="AB19" s="251">
        <f t="shared" ca="1" si="63"/>
        <v>0</v>
      </c>
      <c r="AC19" s="251">
        <f t="shared" ca="1" si="64"/>
        <v>0</v>
      </c>
      <c r="AD19" s="251">
        <f t="shared" ca="1" si="17"/>
        <v>0</v>
      </c>
      <c r="AE19" s="251">
        <f t="shared" ca="1" si="18"/>
        <v>0</v>
      </c>
      <c r="AF19" s="251">
        <f t="shared" ca="1" si="19"/>
        <v>0</v>
      </c>
      <c r="AG19" s="251">
        <f t="shared" ca="1" si="20"/>
        <v>0</v>
      </c>
      <c r="AH19" s="251">
        <f t="shared" ca="1" si="65"/>
        <v>0</v>
      </c>
      <c r="AI19" s="251">
        <f t="shared" ca="1" si="66"/>
        <v>0</v>
      </c>
      <c r="AJ19" s="251">
        <f t="shared" ca="1" si="67"/>
        <v>0</v>
      </c>
      <c r="AK19" s="251">
        <f t="shared" ca="1" si="68"/>
        <v>0</v>
      </c>
      <c r="AL19" s="251">
        <f t="shared" ca="1" si="69"/>
        <v>0</v>
      </c>
      <c r="AM19" s="251">
        <f t="shared" ca="1" si="70"/>
        <v>0</v>
      </c>
      <c r="AN19" s="251">
        <f t="shared" ca="1" si="71"/>
        <v>0</v>
      </c>
      <c r="AO19" s="251">
        <f t="shared" ca="1" si="72"/>
        <v>0</v>
      </c>
      <c r="AP19" s="251">
        <f t="shared" ca="1" si="21"/>
        <v>0</v>
      </c>
      <c r="AQ19" s="251">
        <f t="shared" ca="1" si="22"/>
        <v>0</v>
      </c>
      <c r="AR19" s="251">
        <f t="shared" ca="1" si="23"/>
        <v>0</v>
      </c>
      <c r="AS19" s="251">
        <f t="shared" ca="1" si="24"/>
        <v>0</v>
      </c>
      <c r="AT19" s="251">
        <f t="shared" ca="1" si="73"/>
        <v>0</v>
      </c>
      <c r="AU19" s="251">
        <f t="shared" ca="1" si="74"/>
        <v>0</v>
      </c>
      <c r="AV19" s="251">
        <f t="shared" ca="1" si="25"/>
        <v>0</v>
      </c>
      <c r="AW19" s="251">
        <f t="shared" ca="1" si="26"/>
        <v>0</v>
      </c>
      <c r="AX19" s="251">
        <f t="shared" ca="1" si="27"/>
        <v>0</v>
      </c>
      <c r="AY19" s="251">
        <f t="shared" ca="1" si="28"/>
        <v>0</v>
      </c>
      <c r="AZ19" s="251">
        <f t="shared" ca="1" si="29"/>
        <v>0</v>
      </c>
      <c r="BA19" s="251">
        <f t="shared" ca="1" si="30"/>
        <v>0</v>
      </c>
      <c r="BB19" s="251">
        <f t="shared" ca="1" si="31"/>
        <v>0</v>
      </c>
      <c r="BC19" s="251">
        <f t="shared" ca="1" si="32"/>
        <v>0</v>
      </c>
      <c r="BD19" s="251">
        <f t="shared" ca="1" si="33"/>
        <v>0</v>
      </c>
      <c r="BE19" s="251">
        <f t="shared" ca="1" si="34"/>
        <v>0</v>
      </c>
      <c r="BF19" s="251">
        <f t="shared" ca="1" si="35"/>
        <v>0</v>
      </c>
      <c r="BG19" s="251">
        <f t="shared" ca="1" si="36"/>
        <v>0</v>
      </c>
      <c r="BH19" s="251">
        <f t="shared" ca="1" si="75"/>
        <v>0</v>
      </c>
      <c r="BI19" s="251">
        <f t="shared" ca="1" si="76"/>
        <v>0</v>
      </c>
      <c r="BJ19" s="251">
        <f t="shared" ca="1" si="37"/>
        <v>0</v>
      </c>
      <c r="BK19" s="251">
        <f t="shared" ca="1" si="38"/>
        <v>0</v>
      </c>
      <c r="BL19" s="251">
        <f t="shared" ca="1" si="39"/>
        <v>0</v>
      </c>
      <c r="BM19" s="251">
        <f t="shared" ca="1" si="40"/>
        <v>0</v>
      </c>
      <c r="BN19" s="251">
        <f t="shared" ca="1" si="41"/>
        <v>0</v>
      </c>
      <c r="BO19" s="251">
        <f t="shared" ca="1" si="42"/>
        <v>0</v>
      </c>
      <c r="BP19" s="251">
        <f t="shared" ca="1" si="77"/>
        <v>0</v>
      </c>
      <c r="BQ19" s="251">
        <f t="shared" ca="1" si="78"/>
        <v>0</v>
      </c>
      <c r="BR19" s="251">
        <f t="shared" ca="1" si="43"/>
        <v>0</v>
      </c>
      <c r="BS19" s="251">
        <f t="shared" ca="1" si="44"/>
        <v>0</v>
      </c>
      <c r="BT19" s="251">
        <f t="shared" ca="1" si="79"/>
        <v>0</v>
      </c>
      <c r="BU19" s="251">
        <f t="shared" ca="1" si="80"/>
        <v>0</v>
      </c>
      <c r="BV19" s="251">
        <f t="shared" ca="1" si="81"/>
        <v>0</v>
      </c>
      <c r="BW19" s="251">
        <f t="shared" ca="1" si="82"/>
        <v>0</v>
      </c>
      <c r="BX19" s="251">
        <f t="shared" ca="1" si="45"/>
        <v>0</v>
      </c>
      <c r="BY19" s="251">
        <f t="shared" ca="1" si="46"/>
        <v>0</v>
      </c>
      <c r="BZ19" s="251">
        <f t="shared" ca="1" si="47"/>
        <v>0</v>
      </c>
      <c r="CA19" s="251">
        <f t="shared" ca="1" si="48"/>
        <v>0</v>
      </c>
      <c r="CB19" s="251">
        <f t="shared" ca="1" si="49"/>
        <v>0</v>
      </c>
      <c r="CC19" s="251">
        <f t="shared" ca="1" si="50"/>
        <v>0</v>
      </c>
      <c r="CD19" s="251">
        <f t="shared" ca="1" si="83"/>
        <v>0</v>
      </c>
      <c r="CE19" s="251">
        <f t="shared" ca="1" si="84"/>
        <v>0</v>
      </c>
      <c r="CF19" s="251">
        <f t="shared" ca="1" si="85"/>
        <v>0</v>
      </c>
      <c r="CG19" s="251">
        <f t="shared" ca="1" si="86"/>
        <v>0</v>
      </c>
      <c r="CH19" s="251">
        <f t="shared" ca="1" si="51"/>
        <v>0</v>
      </c>
      <c r="CI19" s="251">
        <f t="shared" ca="1" si="52"/>
        <v>0</v>
      </c>
      <c r="CJ19" s="251">
        <f t="shared" ca="1" si="87"/>
        <v>0</v>
      </c>
      <c r="CK19" s="251">
        <f t="shared" ca="1" si="88"/>
        <v>0</v>
      </c>
      <c r="CL19" s="251">
        <f t="shared" ca="1" si="53"/>
        <v>0</v>
      </c>
      <c r="CM19" s="251">
        <f t="shared" ca="1" si="54"/>
        <v>0</v>
      </c>
      <c r="CN19" s="251">
        <f t="shared" ca="1" si="55"/>
        <v>0</v>
      </c>
      <c r="CO19" s="251">
        <f t="shared" ca="1" si="56"/>
        <v>0</v>
      </c>
      <c r="CP19" s="251">
        <f t="shared" ca="1" si="89"/>
        <v>0</v>
      </c>
      <c r="CQ19" s="251">
        <f t="shared" ca="1" si="90"/>
        <v>0</v>
      </c>
      <c r="CR19" s="251">
        <f t="shared" ca="1" si="91"/>
        <v>0</v>
      </c>
      <c r="CS19" s="251">
        <f t="shared" ca="1" si="92"/>
        <v>0</v>
      </c>
      <c r="CT19" s="251">
        <f t="shared" ca="1" si="57"/>
        <v>0</v>
      </c>
      <c r="CU19" s="251">
        <f t="shared" ca="1" si="58"/>
        <v>0</v>
      </c>
      <c r="CV19" s="251">
        <f t="shared" ca="1" si="59"/>
        <v>0</v>
      </c>
      <c r="CW19" s="251">
        <f t="shared" ca="1" si="60"/>
        <v>0</v>
      </c>
      <c r="CX19" s="251">
        <f t="shared" ca="1" si="93"/>
        <v>0</v>
      </c>
      <c r="CY19" s="251">
        <f t="shared" ca="1" si="94"/>
        <v>0</v>
      </c>
      <c r="CZ19" s="251">
        <f t="shared" ca="1" si="95"/>
        <v>0</v>
      </c>
      <c r="DA19" s="251">
        <f t="shared" ca="1" si="96"/>
        <v>0</v>
      </c>
    </row>
    <row r="20" spans="1:105" s="248" customFormat="1" ht="15" customHeight="1">
      <c r="A20" s="58">
        <f t="array" aca="1" ref="A20" ca="1">IF(C20&lt;&gt;0,SUM(($C$11:C20&lt;&gt;0)*1),"")</f>
        <v>10</v>
      </c>
      <c r="B20" s="249" t="str">
        <f ca="1">IF(ROWS($1:10)&gt;COUNT(Dong6),"",OFFSET(TH!C$1,SMALL(Dong6,ROWS($1:10)),))</f>
        <v/>
      </c>
      <c r="C20" s="249" t="str">
        <f ca="1">IF(ROWS($1:10)&gt;COUNT(Dong6),"",OFFSET(TH!D$1,SMALL(Dong6,ROWS($1:10)),))</f>
        <v/>
      </c>
      <c r="D20" s="249" t="str">
        <f ca="1">IF(ROWS($1:10)&gt;COUNT(Dong6),"",OFFSET(TH!E$1,SMALL(Dong6,ROWS($1:10)),))</f>
        <v/>
      </c>
      <c r="E20" s="299" t="str">
        <f ca="1">IF(ROWS($1:10)&gt;COUNT(Dong6),"",OFFSET(TH!F$1,SMALL(Dong6,ROWS($1:10)),))</f>
        <v/>
      </c>
      <c r="F20" s="300" t="str">
        <f ca="1">IF(ROWS($1:10)&gt;COUNT(Dong6),"",OFFSET(TH!M$1,SMALL(Dong6,ROWS($1:10)),))</f>
        <v/>
      </c>
      <c r="G20" s="301" t="str">
        <f ca="1">IF(ROWS($1:10)&gt;COUNT(Dong6),"",OFFSET(TH!N$1,SMALL(Dong6,ROWS($1:10)),))</f>
        <v/>
      </c>
      <c r="H20" s="301" t="str">
        <f ca="1">IF(ROWS($1:10)&gt;COUNT(Dong6),"",OFFSET(TH!O$1,SMALL(Dong6,ROWS($1:10)),))</f>
        <v/>
      </c>
      <c r="I20" s="58">
        <f t="shared" ca="1" si="0"/>
        <v>10</v>
      </c>
      <c r="J20" s="251">
        <f t="shared" ca="1" si="61"/>
        <v>0</v>
      </c>
      <c r="K20" s="251">
        <f t="shared" ca="1" si="62"/>
        <v>0</v>
      </c>
      <c r="L20" s="251">
        <f t="shared" ca="1" si="1"/>
        <v>0</v>
      </c>
      <c r="M20" s="251">
        <f t="shared" ca="1" si="2"/>
        <v>0</v>
      </c>
      <c r="N20" s="251">
        <f t="shared" ca="1" si="3"/>
        <v>0</v>
      </c>
      <c r="O20" s="251">
        <f t="shared" ca="1" si="4"/>
        <v>0</v>
      </c>
      <c r="P20" s="251">
        <f t="shared" ca="1" si="5"/>
        <v>0</v>
      </c>
      <c r="Q20" s="251">
        <f t="shared" ca="1" si="6"/>
        <v>0</v>
      </c>
      <c r="R20" s="251">
        <f t="shared" ca="1" si="7"/>
        <v>0</v>
      </c>
      <c r="S20" s="251">
        <f t="shared" ca="1" si="8"/>
        <v>0</v>
      </c>
      <c r="T20" s="251">
        <f t="shared" ca="1" si="9"/>
        <v>0</v>
      </c>
      <c r="U20" s="251">
        <f t="shared" ca="1" si="10"/>
        <v>0</v>
      </c>
      <c r="V20" s="251">
        <f t="shared" ca="1" si="11"/>
        <v>0</v>
      </c>
      <c r="W20" s="251">
        <f t="shared" ca="1" si="12"/>
        <v>0</v>
      </c>
      <c r="X20" s="251">
        <f t="shared" ca="1" si="13"/>
        <v>0</v>
      </c>
      <c r="Y20" s="251">
        <f t="shared" ca="1" si="14"/>
        <v>0</v>
      </c>
      <c r="Z20" s="251">
        <f t="shared" ca="1" si="15"/>
        <v>0</v>
      </c>
      <c r="AA20" s="251">
        <f t="shared" ca="1" si="16"/>
        <v>0</v>
      </c>
      <c r="AB20" s="251">
        <f t="shared" ca="1" si="63"/>
        <v>0</v>
      </c>
      <c r="AC20" s="251">
        <f t="shared" ca="1" si="64"/>
        <v>0</v>
      </c>
      <c r="AD20" s="251">
        <f t="shared" ca="1" si="17"/>
        <v>0</v>
      </c>
      <c r="AE20" s="251">
        <f t="shared" ca="1" si="18"/>
        <v>0</v>
      </c>
      <c r="AF20" s="251">
        <f t="shared" ca="1" si="19"/>
        <v>0</v>
      </c>
      <c r="AG20" s="251">
        <f t="shared" ca="1" si="20"/>
        <v>0</v>
      </c>
      <c r="AH20" s="251">
        <f t="shared" ca="1" si="65"/>
        <v>0</v>
      </c>
      <c r="AI20" s="251">
        <f t="shared" ca="1" si="66"/>
        <v>0</v>
      </c>
      <c r="AJ20" s="251">
        <f t="shared" ca="1" si="67"/>
        <v>0</v>
      </c>
      <c r="AK20" s="251">
        <f t="shared" ca="1" si="68"/>
        <v>0</v>
      </c>
      <c r="AL20" s="251">
        <f t="shared" ca="1" si="69"/>
        <v>0</v>
      </c>
      <c r="AM20" s="251">
        <f t="shared" ca="1" si="70"/>
        <v>0</v>
      </c>
      <c r="AN20" s="251">
        <f t="shared" ca="1" si="71"/>
        <v>0</v>
      </c>
      <c r="AO20" s="251">
        <f t="shared" ca="1" si="72"/>
        <v>0</v>
      </c>
      <c r="AP20" s="251">
        <f t="shared" ca="1" si="21"/>
        <v>0</v>
      </c>
      <c r="AQ20" s="251">
        <f t="shared" ca="1" si="22"/>
        <v>0</v>
      </c>
      <c r="AR20" s="251">
        <f t="shared" ca="1" si="23"/>
        <v>0</v>
      </c>
      <c r="AS20" s="251">
        <f t="shared" ca="1" si="24"/>
        <v>0</v>
      </c>
      <c r="AT20" s="251">
        <f t="shared" ca="1" si="73"/>
        <v>0</v>
      </c>
      <c r="AU20" s="251">
        <f t="shared" ca="1" si="74"/>
        <v>0</v>
      </c>
      <c r="AV20" s="251">
        <f t="shared" ca="1" si="25"/>
        <v>0</v>
      </c>
      <c r="AW20" s="251">
        <f t="shared" ca="1" si="26"/>
        <v>0</v>
      </c>
      <c r="AX20" s="251">
        <f t="shared" ca="1" si="27"/>
        <v>0</v>
      </c>
      <c r="AY20" s="251">
        <f t="shared" ca="1" si="28"/>
        <v>0</v>
      </c>
      <c r="AZ20" s="251">
        <f t="shared" ca="1" si="29"/>
        <v>0</v>
      </c>
      <c r="BA20" s="251">
        <f t="shared" ca="1" si="30"/>
        <v>0</v>
      </c>
      <c r="BB20" s="251">
        <f t="shared" ca="1" si="31"/>
        <v>0</v>
      </c>
      <c r="BC20" s="251">
        <f t="shared" ca="1" si="32"/>
        <v>0</v>
      </c>
      <c r="BD20" s="251">
        <f t="shared" ca="1" si="33"/>
        <v>0</v>
      </c>
      <c r="BE20" s="251">
        <f t="shared" ca="1" si="34"/>
        <v>0</v>
      </c>
      <c r="BF20" s="251">
        <f t="shared" ca="1" si="35"/>
        <v>0</v>
      </c>
      <c r="BG20" s="251">
        <f t="shared" ca="1" si="36"/>
        <v>0</v>
      </c>
      <c r="BH20" s="251">
        <f t="shared" ca="1" si="75"/>
        <v>0</v>
      </c>
      <c r="BI20" s="251">
        <f t="shared" ca="1" si="76"/>
        <v>0</v>
      </c>
      <c r="BJ20" s="251">
        <f t="shared" ca="1" si="37"/>
        <v>0</v>
      </c>
      <c r="BK20" s="251">
        <f t="shared" ca="1" si="38"/>
        <v>0</v>
      </c>
      <c r="BL20" s="251">
        <f t="shared" ca="1" si="39"/>
        <v>0</v>
      </c>
      <c r="BM20" s="251">
        <f t="shared" ca="1" si="40"/>
        <v>0</v>
      </c>
      <c r="BN20" s="251">
        <f t="shared" ca="1" si="41"/>
        <v>0</v>
      </c>
      <c r="BO20" s="251">
        <f t="shared" ca="1" si="42"/>
        <v>0</v>
      </c>
      <c r="BP20" s="251">
        <f t="shared" ca="1" si="77"/>
        <v>0</v>
      </c>
      <c r="BQ20" s="251">
        <f t="shared" ca="1" si="78"/>
        <v>0</v>
      </c>
      <c r="BR20" s="251">
        <f t="shared" ca="1" si="43"/>
        <v>0</v>
      </c>
      <c r="BS20" s="251">
        <f t="shared" ca="1" si="44"/>
        <v>0</v>
      </c>
      <c r="BT20" s="251">
        <f t="shared" ca="1" si="79"/>
        <v>0</v>
      </c>
      <c r="BU20" s="251">
        <f t="shared" ca="1" si="80"/>
        <v>0</v>
      </c>
      <c r="BV20" s="251">
        <f t="shared" ca="1" si="81"/>
        <v>0</v>
      </c>
      <c r="BW20" s="251">
        <f t="shared" ca="1" si="82"/>
        <v>0</v>
      </c>
      <c r="BX20" s="251">
        <f t="shared" ca="1" si="45"/>
        <v>0</v>
      </c>
      <c r="BY20" s="251">
        <f t="shared" ca="1" si="46"/>
        <v>0</v>
      </c>
      <c r="BZ20" s="251">
        <f t="shared" ca="1" si="47"/>
        <v>0</v>
      </c>
      <c r="CA20" s="251">
        <f t="shared" ca="1" si="48"/>
        <v>0</v>
      </c>
      <c r="CB20" s="251">
        <f t="shared" ca="1" si="49"/>
        <v>0</v>
      </c>
      <c r="CC20" s="251">
        <f t="shared" ca="1" si="50"/>
        <v>0</v>
      </c>
      <c r="CD20" s="251">
        <f t="shared" ca="1" si="83"/>
        <v>0</v>
      </c>
      <c r="CE20" s="251">
        <f t="shared" ca="1" si="84"/>
        <v>0</v>
      </c>
      <c r="CF20" s="251">
        <f t="shared" ca="1" si="85"/>
        <v>0</v>
      </c>
      <c r="CG20" s="251">
        <f t="shared" ca="1" si="86"/>
        <v>0</v>
      </c>
      <c r="CH20" s="251">
        <f t="shared" ca="1" si="51"/>
        <v>0</v>
      </c>
      <c r="CI20" s="251">
        <f t="shared" ca="1" si="52"/>
        <v>0</v>
      </c>
      <c r="CJ20" s="251">
        <f t="shared" ca="1" si="87"/>
        <v>0</v>
      </c>
      <c r="CK20" s="251">
        <f t="shared" ca="1" si="88"/>
        <v>0</v>
      </c>
      <c r="CL20" s="251">
        <f t="shared" ca="1" si="53"/>
        <v>0</v>
      </c>
      <c r="CM20" s="251">
        <f t="shared" ca="1" si="54"/>
        <v>0</v>
      </c>
      <c r="CN20" s="251">
        <f t="shared" ca="1" si="55"/>
        <v>0</v>
      </c>
      <c r="CO20" s="251">
        <f t="shared" ca="1" si="56"/>
        <v>0</v>
      </c>
      <c r="CP20" s="251">
        <f t="shared" ca="1" si="89"/>
        <v>0</v>
      </c>
      <c r="CQ20" s="251">
        <f t="shared" ca="1" si="90"/>
        <v>0</v>
      </c>
      <c r="CR20" s="251">
        <f t="shared" ca="1" si="91"/>
        <v>0</v>
      </c>
      <c r="CS20" s="251">
        <f t="shared" ca="1" si="92"/>
        <v>0</v>
      </c>
      <c r="CT20" s="251">
        <f t="shared" ca="1" si="57"/>
        <v>0</v>
      </c>
      <c r="CU20" s="251">
        <f t="shared" ca="1" si="58"/>
        <v>0</v>
      </c>
      <c r="CV20" s="251">
        <f t="shared" ca="1" si="59"/>
        <v>0</v>
      </c>
      <c r="CW20" s="251">
        <f t="shared" ca="1" si="60"/>
        <v>0</v>
      </c>
      <c r="CX20" s="251">
        <f t="shared" ca="1" si="93"/>
        <v>0</v>
      </c>
      <c r="CY20" s="251">
        <f t="shared" ca="1" si="94"/>
        <v>0</v>
      </c>
      <c r="CZ20" s="251">
        <f t="shared" ca="1" si="95"/>
        <v>0</v>
      </c>
      <c r="DA20" s="251">
        <f t="shared" ca="1" si="96"/>
        <v>0</v>
      </c>
    </row>
    <row r="21" spans="1:105" s="248" customFormat="1" ht="15" customHeight="1">
      <c r="A21" s="58">
        <f t="array" aca="1" ref="A21" ca="1">IF(C21&lt;&gt;0,SUM(($C$11:C21&lt;&gt;0)*1),"")</f>
        <v>11</v>
      </c>
      <c r="B21" s="249" t="str">
        <f ca="1">IF(ROWS($1:11)&gt;COUNT(Dong6),"",OFFSET(TH!C$1,SMALL(Dong6,ROWS($1:11)),))</f>
        <v/>
      </c>
      <c r="C21" s="249" t="str">
        <f ca="1">IF(ROWS($1:11)&gt;COUNT(Dong6),"",OFFSET(TH!D$1,SMALL(Dong6,ROWS($1:11)),))</f>
        <v/>
      </c>
      <c r="D21" s="249" t="str">
        <f ca="1">IF(ROWS($1:11)&gt;COUNT(Dong6),"",OFFSET(TH!E$1,SMALL(Dong6,ROWS($1:11)),))</f>
        <v/>
      </c>
      <c r="E21" s="299" t="str">
        <f ca="1">IF(ROWS($1:11)&gt;COUNT(Dong6),"",OFFSET(TH!F$1,SMALL(Dong6,ROWS($1:11)),))</f>
        <v/>
      </c>
      <c r="F21" s="300" t="str">
        <f ca="1">IF(ROWS($1:11)&gt;COUNT(Dong6),"",OFFSET(TH!M$1,SMALL(Dong6,ROWS($1:11)),))</f>
        <v/>
      </c>
      <c r="G21" s="301" t="str">
        <f ca="1">IF(ROWS($1:11)&gt;COUNT(Dong6),"",OFFSET(TH!N$1,SMALL(Dong6,ROWS($1:11)),))</f>
        <v/>
      </c>
      <c r="H21" s="301" t="str">
        <f ca="1">IF(ROWS($1:11)&gt;COUNT(Dong6),"",OFFSET(TH!O$1,SMALL(Dong6,ROWS($1:11)),))</f>
        <v/>
      </c>
      <c r="I21" s="58">
        <f t="shared" ca="1" si="0"/>
        <v>11</v>
      </c>
      <c r="J21" s="251">
        <f t="shared" ca="1" si="61"/>
        <v>0</v>
      </c>
      <c r="K21" s="251">
        <f t="shared" ca="1" si="62"/>
        <v>0</v>
      </c>
      <c r="L21" s="251">
        <f t="shared" ca="1" si="1"/>
        <v>0</v>
      </c>
      <c r="M21" s="251">
        <f t="shared" ca="1" si="2"/>
        <v>0</v>
      </c>
      <c r="N21" s="251">
        <f t="shared" ca="1" si="3"/>
        <v>0</v>
      </c>
      <c r="O21" s="251">
        <f t="shared" ca="1" si="4"/>
        <v>0</v>
      </c>
      <c r="P21" s="251">
        <f t="shared" ca="1" si="5"/>
        <v>0</v>
      </c>
      <c r="Q21" s="251">
        <f t="shared" ca="1" si="6"/>
        <v>0</v>
      </c>
      <c r="R21" s="251">
        <f t="shared" ca="1" si="7"/>
        <v>0</v>
      </c>
      <c r="S21" s="251">
        <f t="shared" ca="1" si="8"/>
        <v>0</v>
      </c>
      <c r="T21" s="251">
        <f t="shared" ca="1" si="9"/>
        <v>0</v>
      </c>
      <c r="U21" s="251">
        <f t="shared" ca="1" si="10"/>
        <v>0</v>
      </c>
      <c r="V21" s="251">
        <f t="shared" ca="1" si="11"/>
        <v>0</v>
      </c>
      <c r="W21" s="251">
        <f t="shared" ca="1" si="12"/>
        <v>0</v>
      </c>
      <c r="X21" s="251">
        <f t="shared" ca="1" si="13"/>
        <v>0</v>
      </c>
      <c r="Y21" s="251">
        <f t="shared" ca="1" si="14"/>
        <v>0</v>
      </c>
      <c r="Z21" s="251">
        <f t="shared" ca="1" si="15"/>
        <v>0</v>
      </c>
      <c r="AA21" s="251">
        <f t="shared" ca="1" si="16"/>
        <v>0</v>
      </c>
      <c r="AB21" s="251">
        <f t="shared" ca="1" si="63"/>
        <v>0</v>
      </c>
      <c r="AC21" s="251">
        <f t="shared" ca="1" si="64"/>
        <v>0</v>
      </c>
      <c r="AD21" s="251">
        <f t="shared" ca="1" si="17"/>
        <v>0</v>
      </c>
      <c r="AE21" s="251">
        <f t="shared" ca="1" si="18"/>
        <v>0</v>
      </c>
      <c r="AF21" s="251">
        <f t="shared" ca="1" si="19"/>
        <v>0</v>
      </c>
      <c r="AG21" s="251">
        <f t="shared" ca="1" si="20"/>
        <v>0</v>
      </c>
      <c r="AH21" s="251">
        <f t="shared" ca="1" si="65"/>
        <v>0</v>
      </c>
      <c r="AI21" s="251">
        <f t="shared" ca="1" si="66"/>
        <v>0</v>
      </c>
      <c r="AJ21" s="251">
        <f t="shared" ca="1" si="67"/>
        <v>0</v>
      </c>
      <c r="AK21" s="251">
        <f t="shared" ca="1" si="68"/>
        <v>0</v>
      </c>
      <c r="AL21" s="251">
        <f t="shared" ca="1" si="69"/>
        <v>0</v>
      </c>
      <c r="AM21" s="251">
        <f t="shared" ca="1" si="70"/>
        <v>0</v>
      </c>
      <c r="AN21" s="251">
        <f t="shared" ca="1" si="71"/>
        <v>0</v>
      </c>
      <c r="AO21" s="251">
        <f t="shared" ca="1" si="72"/>
        <v>0</v>
      </c>
      <c r="AP21" s="251">
        <f t="shared" ca="1" si="21"/>
        <v>0</v>
      </c>
      <c r="AQ21" s="251">
        <f t="shared" ca="1" si="22"/>
        <v>0</v>
      </c>
      <c r="AR21" s="251">
        <f t="shared" ca="1" si="23"/>
        <v>0</v>
      </c>
      <c r="AS21" s="251">
        <f t="shared" ca="1" si="24"/>
        <v>0</v>
      </c>
      <c r="AT21" s="251">
        <f t="shared" ca="1" si="73"/>
        <v>0</v>
      </c>
      <c r="AU21" s="251">
        <f t="shared" ca="1" si="74"/>
        <v>0</v>
      </c>
      <c r="AV21" s="251">
        <f t="shared" ca="1" si="25"/>
        <v>0</v>
      </c>
      <c r="AW21" s="251">
        <f t="shared" ca="1" si="26"/>
        <v>0</v>
      </c>
      <c r="AX21" s="251">
        <f t="shared" ca="1" si="27"/>
        <v>0</v>
      </c>
      <c r="AY21" s="251">
        <f t="shared" ca="1" si="28"/>
        <v>0</v>
      </c>
      <c r="AZ21" s="251">
        <f t="shared" ca="1" si="29"/>
        <v>0</v>
      </c>
      <c r="BA21" s="251">
        <f t="shared" ca="1" si="30"/>
        <v>0</v>
      </c>
      <c r="BB21" s="251">
        <f t="shared" ca="1" si="31"/>
        <v>0</v>
      </c>
      <c r="BC21" s="251">
        <f t="shared" ca="1" si="32"/>
        <v>0</v>
      </c>
      <c r="BD21" s="251">
        <f t="shared" ca="1" si="33"/>
        <v>0</v>
      </c>
      <c r="BE21" s="251">
        <f t="shared" ca="1" si="34"/>
        <v>0</v>
      </c>
      <c r="BF21" s="251">
        <f t="shared" ca="1" si="35"/>
        <v>0</v>
      </c>
      <c r="BG21" s="251">
        <f t="shared" ca="1" si="36"/>
        <v>0</v>
      </c>
      <c r="BH21" s="251">
        <f t="shared" ca="1" si="75"/>
        <v>0</v>
      </c>
      <c r="BI21" s="251">
        <f t="shared" ca="1" si="76"/>
        <v>0</v>
      </c>
      <c r="BJ21" s="251">
        <f t="shared" ca="1" si="37"/>
        <v>0</v>
      </c>
      <c r="BK21" s="251">
        <f t="shared" ca="1" si="38"/>
        <v>0</v>
      </c>
      <c r="BL21" s="251">
        <f t="shared" ca="1" si="39"/>
        <v>0</v>
      </c>
      <c r="BM21" s="251">
        <f t="shared" ca="1" si="40"/>
        <v>0</v>
      </c>
      <c r="BN21" s="251">
        <f t="shared" ca="1" si="41"/>
        <v>0</v>
      </c>
      <c r="BO21" s="251">
        <f t="shared" ca="1" si="42"/>
        <v>0</v>
      </c>
      <c r="BP21" s="251">
        <f t="shared" ca="1" si="77"/>
        <v>0</v>
      </c>
      <c r="BQ21" s="251">
        <f t="shared" ca="1" si="78"/>
        <v>0</v>
      </c>
      <c r="BR21" s="251">
        <f t="shared" ca="1" si="43"/>
        <v>0</v>
      </c>
      <c r="BS21" s="251">
        <f t="shared" ca="1" si="44"/>
        <v>0</v>
      </c>
      <c r="BT21" s="251">
        <f t="shared" ca="1" si="79"/>
        <v>0</v>
      </c>
      <c r="BU21" s="251">
        <f t="shared" ca="1" si="80"/>
        <v>0</v>
      </c>
      <c r="BV21" s="251">
        <f t="shared" ca="1" si="81"/>
        <v>0</v>
      </c>
      <c r="BW21" s="251">
        <f t="shared" ca="1" si="82"/>
        <v>0</v>
      </c>
      <c r="BX21" s="251">
        <f t="shared" ca="1" si="45"/>
        <v>0</v>
      </c>
      <c r="BY21" s="251">
        <f t="shared" ca="1" si="46"/>
        <v>0</v>
      </c>
      <c r="BZ21" s="251">
        <f t="shared" ca="1" si="47"/>
        <v>0</v>
      </c>
      <c r="CA21" s="251">
        <f t="shared" ca="1" si="48"/>
        <v>0</v>
      </c>
      <c r="CB21" s="251">
        <f t="shared" ca="1" si="49"/>
        <v>0</v>
      </c>
      <c r="CC21" s="251">
        <f t="shared" ca="1" si="50"/>
        <v>0</v>
      </c>
      <c r="CD21" s="251">
        <f t="shared" ca="1" si="83"/>
        <v>0</v>
      </c>
      <c r="CE21" s="251">
        <f t="shared" ca="1" si="84"/>
        <v>0</v>
      </c>
      <c r="CF21" s="251">
        <f t="shared" ca="1" si="85"/>
        <v>0</v>
      </c>
      <c r="CG21" s="251">
        <f t="shared" ca="1" si="86"/>
        <v>0</v>
      </c>
      <c r="CH21" s="251">
        <f t="shared" ca="1" si="51"/>
        <v>0</v>
      </c>
      <c r="CI21" s="251">
        <f t="shared" ca="1" si="52"/>
        <v>0</v>
      </c>
      <c r="CJ21" s="251">
        <f t="shared" ca="1" si="87"/>
        <v>0</v>
      </c>
      <c r="CK21" s="251">
        <f t="shared" ca="1" si="88"/>
        <v>0</v>
      </c>
      <c r="CL21" s="251">
        <f t="shared" ca="1" si="53"/>
        <v>0</v>
      </c>
      <c r="CM21" s="251">
        <f t="shared" ca="1" si="54"/>
        <v>0</v>
      </c>
      <c r="CN21" s="251">
        <f t="shared" ca="1" si="55"/>
        <v>0</v>
      </c>
      <c r="CO21" s="251">
        <f t="shared" ca="1" si="56"/>
        <v>0</v>
      </c>
      <c r="CP21" s="251">
        <f t="shared" ca="1" si="89"/>
        <v>0</v>
      </c>
      <c r="CQ21" s="251">
        <f t="shared" ca="1" si="90"/>
        <v>0</v>
      </c>
      <c r="CR21" s="251">
        <f t="shared" ca="1" si="91"/>
        <v>0</v>
      </c>
      <c r="CS21" s="251">
        <f t="shared" ca="1" si="92"/>
        <v>0</v>
      </c>
      <c r="CT21" s="251">
        <f t="shared" ca="1" si="57"/>
        <v>0</v>
      </c>
      <c r="CU21" s="251">
        <f t="shared" ca="1" si="58"/>
        <v>0</v>
      </c>
      <c r="CV21" s="251">
        <f t="shared" ca="1" si="59"/>
        <v>0</v>
      </c>
      <c r="CW21" s="251">
        <f t="shared" ca="1" si="60"/>
        <v>0</v>
      </c>
      <c r="CX21" s="251">
        <f t="shared" ca="1" si="93"/>
        <v>0</v>
      </c>
      <c r="CY21" s="251">
        <f t="shared" ca="1" si="94"/>
        <v>0</v>
      </c>
      <c r="CZ21" s="251">
        <f t="shared" ca="1" si="95"/>
        <v>0</v>
      </c>
      <c r="DA21" s="251">
        <f t="shared" ca="1" si="96"/>
        <v>0</v>
      </c>
    </row>
    <row r="22" spans="1:105" s="248" customFormat="1" ht="15" customHeight="1">
      <c r="A22" s="58">
        <f t="array" aca="1" ref="A22" ca="1">IF(C22&lt;&gt;0,SUM(($C$11:C22&lt;&gt;0)*1),"")</f>
        <v>12</v>
      </c>
      <c r="B22" s="249" t="str">
        <f ca="1">IF(ROWS($1:12)&gt;COUNT(Dong6),"",OFFSET(TH!C$1,SMALL(Dong6,ROWS($1:12)),))</f>
        <v/>
      </c>
      <c r="C22" s="249" t="str">
        <f ca="1">IF(ROWS($1:12)&gt;COUNT(Dong6),"",OFFSET(TH!D$1,SMALL(Dong6,ROWS($1:12)),))</f>
        <v/>
      </c>
      <c r="D22" s="249" t="str">
        <f ca="1">IF(ROWS($1:12)&gt;COUNT(Dong6),"",OFFSET(TH!E$1,SMALL(Dong6,ROWS($1:12)),))</f>
        <v/>
      </c>
      <c r="E22" s="299" t="str">
        <f ca="1">IF(ROWS($1:12)&gt;COUNT(Dong6),"",OFFSET(TH!F$1,SMALL(Dong6,ROWS($1:12)),))</f>
        <v/>
      </c>
      <c r="F22" s="300" t="str">
        <f ca="1">IF(ROWS($1:12)&gt;COUNT(Dong6),"",OFFSET(TH!M$1,SMALL(Dong6,ROWS($1:12)),))</f>
        <v/>
      </c>
      <c r="G22" s="301" t="str">
        <f ca="1">IF(ROWS($1:12)&gt;COUNT(Dong6),"",OFFSET(TH!N$1,SMALL(Dong6,ROWS($1:12)),))</f>
        <v/>
      </c>
      <c r="H22" s="301" t="str">
        <f ca="1">IF(ROWS($1:12)&gt;COUNT(Dong6),"",OFFSET(TH!O$1,SMALL(Dong6,ROWS($1:12)),))</f>
        <v/>
      </c>
      <c r="I22" s="58">
        <f t="shared" ca="1" si="0"/>
        <v>12</v>
      </c>
      <c r="J22" s="251">
        <f t="shared" ca="1" si="61"/>
        <v>0</v>
      </c>
      <c r="K22" s="251">
        <f t="shared" ca="1" si="62"/>
        <v>0</v>
      </c>
      <c r="L22" s="251">
        <f t="shared" ca="1" si="1"/>
        <v>0</v>
      </c>
      <c r="M22" s="251">
        <f t="shared" ca="1" si="2"/>
        <v>0</v>
      </c>
      <c r="N22" s="251">
        <f t="shared" ca="1" si="3"/>
        <v>0</v>
      </c>
      <c r="O22" s="251">
        <f t="shared" ca="1" si="4"/>
        <v>0</v>
      </c>
      <c r="P22" s="251">
        <f t="shared" ca="1" si="5"/>
        <v>0</v>
      </c>
      <c r="Q22" s="251">
        <f t="shared" ca="1" si="6"/>
        <v>0</v>
      </c>
      <c r="R22" s="251">
        <f t="shared" ca="1" si="7"/>
        <v>0</v>
      </c>
      <c r="S22" s="251">
        <f t="shared" ca="1" si="8"/>
        <v>0</v>
      </c>
      <c r="T22" s="251">
        <f t="shared" ca="1" si="9"/>
        <v>0</v>
      </c>
      <c r="U22" s="251">
        <f t="shared" ca="1" si="10"/>
        <v>0</v>
      </c>
      <c r="V22" s="251">
        <f t="shared" ca="1" si="11"/>
        <v>0</v>
      </c>
      <c r="W22" s="251">
        <f t="shared" ca="1" si="12"/>
        <v>0</v>
      </c>
      <c r="X22" s="251">
        <f t="shared" ca="1" si="13"/>
        <v>0</v>
      </c>
      <c r="Y22" s="251">
        <f t="shared" ca="1" si="14"/>
        <v>0</v>
      </c>
      <c r="Z22" s="251">
        <f t="shared" ca="1" si="15"/>
        <v>0</v>
      </c>
      <c r="AA22" s="251">
        <f t="shared" ca="1" si="16"/>
        <v>0</v>
      </c>
      <c r="AB22" s="251">
        <f t="shared" ca="1" si="63"/>
        <v>0</v>
      </c>
      <c r="AC22" s="251">
        <f t="shared" ca="1" si="64"/>
        <v>0</v>
      </c>
      <c r="AD22" s="251">
        <f t="shared" ca="1" si="17"/>
        <v>0</v>
      </c>
      <c r="AE22" s="251">
        <f t="shared" ca="1" si="18"/>
        <v>0</v>
      </c>
      <c r="AF22" s="251">
        <f t="shared" ca="1" si="19"/>
        <v>0</v>
      </c>
      <c r="AG22" s="251">
        <f t="shared" ca="1" si="20"/>
        <v>0</v>
      </c>
      <c r="AH22" s="251">
        <f t="shared" ca="1" si="65"/>
        <v>0</v>
      </c>
      <c r="AI22" s="251">
        <f t="shared" ca="1" si="66"/>
        <v>0</v>
      </c>
      <c r="AJ22" s="251">
        <f t="shared" ca="1" si="67"/>
        <v>0</v>
      </c>
      <c r="AK22" s="251">
        <f t="shared" ca="1" si="68"/>
        <v>0</v>
      </c>
      <c r="AL22" s="251">
        <f t="shared" ca="1" si="69"/>
        <v>0</v>
      </c>
      <c r="AM22" s="251">
        <f t="shared" ca="1" si="70"/>
        <v>0</v>
      </c>
      <c r="AN22" s="251">
        <f t="shared" ca="1" si="71"/>
        <v>0</v>
      </c>
      <c r="AO22" s="251">
        <f t="shared" ca="1" si="72"/>
        <v>0</v>
      </c>
      <c r="AP22" s="251">
        <f t="shared" ca="1" si="21"/>
        <v>0</v>
      </c>
      <c r="AQ22" s="251">
        <f t="shared" ca="1" si="22"/>
        <v>0</v>
      </c>
      <c r="AR22" s="251">
        <f t="shared" ca="1" si="23"/>
        <v>0</v>
      </c>
      <c r="AS22" s="251">
        <f t="shared" ca="1" si="24"/>
        <v>0</v>
      </c>
      <c r="AT22" s="251">
        <f t="shared" ca="1" si="73"/>
        <v>0</v>
      </c>
      <c r="AU22" s="251">
        <f t="shared" ca="1" si="74"/>
        <v>0</v>
      </c>
      <c r="AV22" s="251">
        <f t="shared" ca="1" si="25"/>
        <v>0</v>
      </c>
      <c r="AW22" s="251">
        <f t="shared" ca="1" si="26"/>
        <v>0</v>
      </c>
      <c r="AX22" s="251">
        <f t="shared" ca="1" si="27"/>
        <v>0</v>
      </c>
      <c r="AY22" s="251">
        <f t="shared" ca="1" si="28"/>
        <v>0</v>
      </c>
      <c r="AZ22" s="251">
        <f t="shared" ca="1" si="29"/>
        <v>0</v>
      </c>
      <c r="BA22" s="251">
        <f t="shared" ca="1" si="30"/>
        <v>0</v>
      </c>
      <c r="BB22" s="251">
        <f t="shared" ca="1" si="31"/>
        <v>0</v>
      </c>
      <c r="BC22" s="251">
        <f t="shared" ca="1" si="32"/>
        <v>0</v>
      </c>
      <c r="BD22" s="251">
        <f t="shared" ca="1" si="33"/>
        <v>0</v>
      </c>
      <c r="BE22" s="251">
        <f t="shared" ca="1" si="34"/>
        <v>0</v>
      </c>
      <c r="BF22" s="251">
        <f t="shared" ca="1" si="35"/>
        <v>0</v>
      </c>
      <c r="BG22" s="251">
        <f t="shared" ca="1" si="36"/>
        <v>0</v>
      </c>
      <c r="BH22" s="251">
        <f t="shared" ca="1" si="75"/>
        <v>0</v>
      </c>
      <c r="BI22" s="251">
        <f t="shared" ca="1" si="76"/>
        <v>0</v>
      </c>
      <c r="BJ22" s="251">
        <f t="shared" ca="1" si="37"/>
        <v>0</v>
      </c>
      <c r="BK22" s="251">
        <f t="shared" ca="1" si="38"/>
        <v>0</v>
      </c>
      <c r="BL22" s="251">
        <f t="shared" ca="1" si="39"/>
        <v>0</v>
      </c>
      <c r="BM22" s="251">
        <f t="shared" ca="1" si="40"/>
        <v>0</v>
      </c>
      <c r="BN22" s="251">
        <f t="shared" ca="1" si="41"/>
        <v>0</v>
      </c>
      <c r="BO22" s="251">
        <f t="shared" ca="1" si="42"/>
        <v>0</v>
      </c>
      <c r="BP22" s="251">
        <f t="shared" ca="1" si="77"/>
        <v>0</v>
      </c>
      <c r="BQ22" s="251">
        <f t="shared" ca="1" si="78"/>
        <v>0</v>
      </c>
      <c r="BR22" s="251">
        <f t="shared" ca="1" si="43"/>
        <v>0</v>
      </c>
      <c r="BS22" s="251">
        <f t="shared" ca="1" si="44"/>
        <v>0</v>
      </c>
      <c r="BT22" s="251">
        <f t="shared" ca="1" si="79"/>
        <v>0</v>
      </c>
      <c r="BU22" s="251">
        <f t="shared" ca="1" si="80"/>
        <v>0</v>
      </c>
      <c r="BV22" s="251">
        <f t="shared" ca="1" si="81"/>
        <v>0</v>
      </c>
      <c r="BW22" s="251">
        <f t="shared" ca="1" si="82"/>
        <v>0</v>
      </c>
      <c r="BX22" s="251">
        <f t="shared" ca="1" si="45"/>
        <v>0</v>
      </c>
      <c r="BY22" s="251">
        <f t="shared" ca="1" si="46"/>
        <v>0</v>
      </c>
      <c r="BZ22" s="251">
        <f t="shared" ca="1" si="47"/>
        <v>0</v>
      </c>
      <c r="CA22" s="251">
        <f t="shared" ca="1" si="48"/>
        <v>0</v>
      </c>
      <c r="CB22" s="251">
        <f t="shared" ca="1" si="49"/>
        <v>0</v>
      </c>
      <c r="CC22" s="251">
        <f t="shared" ca="1" si="50"/>
        <v>0</v>
      </c>
      <c r="CD22" s="251">
        <f t="shared" ca="1" si="83"/>
        <v>0</v>
      </c>
      <c r="CE22" s="251">
        <f t="shared" ca="1" si="84"/>
        <v>0</v>
      </c>
      <c r="CF22" s="251">
        <f t="shared" ca="1" si="85"/>
        <v>0</v>
      </c>
      <c r="CG22" s="251">
        <f t="shared" ca="1" si="86"/>
        <v>0</v>
      </c>
      <c r="CH22" s="251">
        <f t="shared" ca="1" si="51"/>
        <v>0</v>
      </c>
      <c r="CI22" s="251">
        <f t="shared" ca="1" si="52"/>
        <v>0</v>
      </c>
      <c r="CJ22" s="251">
        <f t="shared" ca="1" si="87"/>
        <v>0</v>
      </c>
      <c r="CK22" s="251">
        <f t="shared" ca="1" si="88"/>
        <v>0</v>
      </c>
      <c r="CL22" s="251">
        <f t="shared" ca="1" si="53"/>
        <v>0</v>
      </c>
      <c r="CM22" s="251">
        <f t="shared" ca="1" si="54"/>
        <v>0</v>
      </c>
      <c r="CN22" s="251">
        <f t="shared" ca="1" si="55"/>
        <v>0</v>
      </c>
      <c r="CO22" s="251">
        <f t="shared" ca="1" si="56"/>
        <v>0</v>
      </c>
      <c r="CP22" s="251">
        <f t="shared" ca="1" si="89"/>
        <v>0</v>
      </c>
      <c r="CQ22" s="251">
        <f t="shared" ca="1" si="90"/>
        <v>0</v>
      </c>
      <c r="CR22" s="251">
        <f t="shared" ca="1" si="91"/>
        <v>0</v>
      </c>
      <c r="CS22" s="251">
        <f t="shared" ca="1" si="92"/>
        <v>0</v>
      </c>
      <c r="CT22" s="251">
        <f t="shared" ca="1" si="57"/>
        <v>0</v>
      </c>
      <c r="CU22" s="251">
        <f t="shared" ca="1" si="58"/>
        <v>0</v>
      </c>
      <c r="CV22" s="251">
        <f t="shared" ca="1" si="59"/>
        <v>0</v>
      </c>
      <c r="CW22" s="251">
        <f t="shared" ca="1" si="60"/>
        <v>0</v>
      </c>
      <c r="CX22" s="251">
        <f t="shared" ca="1" si="93"/>
        <v>0</v>
      </c>
      <c r="CY22" s="251">
        <f t="shared" ca="1" si="94"/>
        <v>0</v>
      </c>
      <c r="CZ22" s="251">
        <f t="shared" ca="1" si="95"/>
        <v>0</v>
      </c>
      <c r="DA22" s="251">
        <f t="shared" ca="1" si="96"/>
        <v>0</v>
      </c>
    </row>
    <row r="23" spans="1:105" s="248" customFormat="1" ht="15" customHeight="1">
      <c r="A23" s="58">
        <f t="array" aca="1" ref="A23" ca="1">IF(C23&lt;&gt;0,SUM(($C$11:C23&lt;&gt;0)*1),"")</f>
        <v>13</v>
      </c>
      <c r="B23" s="249" t="str">
        <f ca="1">IF(ROWS($1:13)&gt;COUNT(Dong6),"",OFFSET(TH!C$1,SMALL(Dong6,ROWS($1:13)),))</f>
        <v/>
      </c>
      <c r="C23" s="249" t="str">
        <f ca="1">IF(ROWS($1:13)&gt;COUNT(Dong6),"",OFFSET(TH!D$1,SMALL(Dong6,ROWS($1:13)),))</f>
        <v/>
      </c>
      <c r="D23" s="249" t="str">
        <f ca="1">IF(ROWS($1:13)&gt;COUNT(Dong6),"",OFFSET(TH!E$1,SMALL(Dong6,ROWS($1:13)),))</f>
        <v/>
      </c>
      <c r="E23" s="299" t="str">
        <f ca="1">IF(ROWS($1:13)&gt;COUNT(Dong6),"",OFFSET(TH!F$1,SMALL(Dong6,ROWS($1:13)),))</f>
        <v/>
      </c>
      <c r="F23" s="300" t="str">
        <f ca="1">IF(ROWS($1:13)&gt;COUNT(Dong6),"",OFFSET(TH!M$1,SMALL(Dong6,ROWS($1:13)),))</f>
        <v/>
      </c>
      <c r="G23" s="301" t="str">
        <f ca="1">IF(ROWS($1:13)&gt;COUNT(Dong6),"",OFFSET(TH!N$1,SMALL(Dong6,ROWS($1:13)),))</f>
        <v/>
      </c>
      <c r="H23" s="301" t="str">
        <f ca="1">IF(ROWS($1:13)&gt;COUNT(Dong6),"",OFFSET(TH!O$1,SMALL(Dong6,ROWS($1:13)),))</f>
        <v/>
      </c>
      <c r="I23" s="58">
        <f t="shared" ca="1" si="0"/>
        <v>13</v>
      </c>
      <c r="J23" s="251">
        <f t="shared" ca="1" si="61"/>
        <v>0</v>
      </c>
      <c r="K23" s="251">
        <f t="shared" ca="1" si="62"/>
        <v>0</v>
      </c>
      <c r="L23" s="251">
        <f t="shared" ca="1" si="1"/>
        <v>0</v>
      </c>
      <c r="M23" s="251">
        <f t="shared" ca="1" si="2"/>
        <v>0</v>
      </c>
      <c r="N23" s="251">
        <f t="shared" ca="1" si="3"/>
        <v>0</v>
      </c>
      <c r="O23" s="251">
        <f t="shared" ca="1" si="4"/>
        <v>0</v>
      </c>
      <c r="P23" s="251">
        <f t="shared" ca="1" si="5"/>
        <v>0</v>
      </c>
      <c r="Q23" s="251">
        <f t="shared" ca="1" si="6"/>
        <v>0</v>
      </c>
      <c r="R23" s="251">
        <f t="shared" ca="1" si="7"/>
        <v>0</v>
      </c>
      <c r="S23" s="251">
        <f t="shared" ca="1" si="8"/>
        <v>0</v>
      </c>
      <c r="T23" s="251">
        <f t="shared" ca="1" si="9"/>
        <v>0</v>
      </c>
      <c r="U23" s="251">
        <f t="shared" ca="1" si="10"/>
        <v>0</v>
      </c>
      <c r="V23" s="251">
        <f t="shared" ca="1" si="11"/>
        <v>0</v>
      </c>
      <c r="W23" s="251">
        <f t="shared" ca="1" si="12"/>
        <v>0</v>
      </c>
      <c r="X23" s="251">
        <f t="shared" ca="1" si="13"/>
        <v>0</v>
      </c>
      <c r="Y23" s="251">
        <f t="shared" ca="1" si="14"/>
        <v>0</v>
      </c>
      <c r="Z23" s="251">
        <f t="shared" ca="1" si="15"/>
        <v>0</v>
      </c>
      <c r="AA23" s="251">
        <f t="shared" ca="1" si="16"/>
        <v>0</v>
      </c>
      <c r="AB23" s="251">
        <f t="shared" ca="1" si="63"/>
        <v>0</v>
      </c>
      <c r="AC23" s="251">
        <f t="shared" ca="1" si="64"/>
        <v>0</v>
      </c>
      <c r="AD23" s="251">
        <f t="shared" ca="1" si="17"/>
        <v>0</v>
      </c>
      <c r="AE23" s="251">
        <f t="shared" ca="1" si="18"/>
        <v>0</v>
      </c>
      <c r="AF23" s="251">
        <f t="shared" ca="1" si="19"/>
        <v>0</v>
      </c>
      <c r="AG23" s="251">
        <f t="shared" ca="1" si="20"/>
        <v>0</v>
      </c>
      <c r="AH23" s="251">
        <f t="shared" ca="1" si="65"/>
        <v>0</v>
      </c>
      <c r="AI23" s="251">
        <f t="shared" ca="1" si="66"/>
        <v>0</v>
      </c>
      <c r="AJ23" s="251">
        <f t="shared" ca="1" si="67"/>
        <v>0</v>
      </c>
      <c r="AK23" s="251">
        <f t="shared" ca="1" si="68"/>
        <v>0</v>
      </c>
      <c r="AL23" s="251">
        <f t="shared" ca="1" si="69"/>
        <v>0</v>
      </c>
      <c r="AM23" s="251">
        <f t="shared" ca="1" si="70"/>
        <v>0</v>
      </c>
      <c r="AN23" s="251">
        <f t="shared" ca="1" si="71"/>
        <v>0</v>
      </c>
      <c r="AO23" s="251">
        <f t="shared" ca="1" si="72"/>
        <v>0</v>
      </c>
      <c r="AP23" s="251">
        <f t="shared" ca="1" si="21"/>
        <v>0</v>
      </c>
      <c r="AQ23" s="251">
        <f t="shared" ca="1" si="22"/>
        <v>0</v>
      </c>
      <c r="AR23" s="251">
        <f t="shared" ca="1" si="23"/>
        <v>0</v>
      </c>
      <c r="AS23" s="251">
        <f t="shared" ca="1" si="24"/>
        <v>0</v>
      </c>
      <c r="AT23" s="251">
        <f t="shared" ca="1" si="73"/>
        <v>0</v>
      </c>
      <c r="AU23" s="251">
        <f t="shared" ca="1" si="74"/>
        <v>0</v>
      </c>
      <c r="AV23" s="251">
        <f t="shared" ca="1" si="25"/>
        <v>0</v>
      </c>
      <c r="AW23" s="251">
        <f t="shared" ca="1" si="26"/>
        <v>0</v>
      </c>
      <c r="AX23" s="251">
        <f t="shared" ca="1" si="27"/>
        <v>0</v>
      </c>
      <c r="AY23" s="251">
        <f t="shared" ca="1" si="28"/>
        <v>0</v>
      </c>
      <c r="AZ23" s="251">
        <f t="shared" ca="1" si="29"/>
        <v>0</v>
      </c>
      <c r="BA23" s="251">
        <f t="shared" ca="1" si="30"/>
        <v>0</v>
      </c>
      <c r="BB23" s="251">
        <f t="shared" ca="1" si="31"/>
        <v>0</v>
      </c>
      <c r="BC23" s="251">
        <f t="shared" ca="1" si="32"/>
        <v>0</v>
      </c>
      <c r="BD23" s="251">
        <f t="shared" ca="1" si="33"/>
        <v>0</v>
      </c>
      <c r="BE23" s="251">
        <f t="shared" ca="1" si="34"/>
        <v>0</v>
      </c>
      <c r="BF23" s="251">
        <f t="shared" ca="1" si="35"/>
        <v>0</v>
      </c>
      <c r="BG23" s="251">
        <f t="shared" ca="1" si="36"/>
        <v>0</v>
      </c>
      <c r="BH23" s="251">
        <f t="shared" ca="1" si="75"/>
        <v>0</v>
      </c>
      <c r="BI23" s="251">
        <f t="shared" ca="1" si="76"/>
        <v>0</v>
      </c>
      <c r="BJ23" s="251">
        <f t="shared" ca="1" si="37"/>
        <v>0</v>
      </c>
      <c r="BK23" s="251">
        <f t="shared" ca="1" si="38"/>
        <v>0</v>
      </c>
      <c r="BL23" s="251">
        <f t="shared" ca="1" si="39"/>
        <v>0</v>
      </c>
      <c r="BM23" s="251">
        <f t="shared" ca="1" si="40"/>
        <v>0</v>
      </c>
      <c r="BN23" s="251">
        <f t="shared" ca="1" si="41"/>
        <v>0</v>
      </c>
      <c r="BO23" s="251">
        <f t="shared" ca="1" si="42"/>
        <v>0</v>
      </c>
      <c r="BP23" s="251">
        <f t="shared" ca="1" si="77"/>
        <v>0</v>
      </c>
      <c r="BQ23" s="251">
        <f t="shared" ca="1" si="78"/>
        <v>0</v>
      </c>
      <c r="BR23" s="251">
        <f t="shared" ca="1" si="43"/>
        <v>0</v>
      </c>
      <c r="BS23" s="251">
        <f t="shared" ca="1" si="44"/>
        <v>0</v>
      </c>
      <c r="BT23" s="251">
        <f t="shared" ca="1" si="79"/>
        <v>0</v>
      </c>
      <c r="BU23" s="251">
        <f t="shared" ca="1" si="80"/>
        <v>0</v>
      </c>
      <c r="BV23" s="251">
        <f t="shared" ca="1" si="81"/>
        <v>0</v>
      </c>
      <c r="BW23" s="251">
        <f t="shared" ca="1" si="82"/>
        <v>0</v>
      </c>
      <c r="BX23" s="251">
        <f t="shared" ca="1" si="45"/>
        <v>0</v>
      </c>
      <c r="BY23" s="251">
        <f t="shared" ca="1" si="46"/>
        <v>0</v>
      </c>
      <c r="BZ23" s="251">
        <f t="shared" ca="1" si="47"/>
        <v>0</v>
      </c>
      <c r="CA23" s="251">
        <f t="shared" ca="1" si="48"/>
        <v>0</v>
      </c>
      <c r="CB23" s="251">
        <f t="shared" ca="1" si="49"/>
        <v>0</v>
      </c>
      <c r="CC23" s="251">
        <f t="shared" ca="1" si="50"/>
        <v>0</v>
      </c>
      <c r="CD23" s="251">
        <f t="shared" ca="1" si="83"/>
        <v>0</v>
      </c>
      <c r="CE23" s="251">
        <f t="shared" ca="1" si="84"/>
        <v>0</v>
      </c>
      <c r="CF23" s="251">
        <f t="shared" ca="1" si="85"/>
        <v>0</v>
      </c>
      <c r="CG23" s="251">
        <f t="shared" ca="1" si="86"/>
        <v>0</v>
      </c>
      <c r="CH23" s="251">
        <f t="shared" ca="1" si="51"/>
        <v>0</v>
      </c>
      <c r="CI23" s="251">
        <f t="shared" ca="1" si="52"/>
        <v>0</v>
      </c>
      <c r="CJ23" s="251">
        <f t="shared" ca="1" si="87"/>
        <v>0</v>
      </c>
      <c r="CK23" s="251">
        <f t="shared" ca="1" si="88"/>
        <v>0</v>
      </c>
      <c r="CL23" s="251">
        <f t="shared" ca="1" si="53"/>
        <v>0</v>
      </c>
      <c r="CM23" s="251">
        <f t="shared" ca="1" si="54"/>
        <v>0</v>
      </c>
      <c r="CN23" s="251">
        <f t="shared" ca="1" si="55"/>
        <v>0</v>
      </c>
      <c r="CO23" s="251">
        <f t="shared" ca="1" si="56"/>
        <v>0</v>
      </c>
      <c r="CP23" s="251">
        <f t="shared" ca="1" si="89"/>
        <v>0</v>
      </c>
      <c r="CQ23" s="251">
        <f t="shared" ca="1" si="90"/>
        <v>0</v>
      </c>
      <c r="CR23" s="251">
        <f t="shared" ca="1" si="91"/>
        <v>0</v>
      </c>
      <c r="CS23" s="251">
        <f t="shared" ca="1" si="92"/>
        <v>0</v>
      </c>
      <c r="CT23" s="251">
        <f t="shared" ca="1" si="57"/>
        <v>0</v>
      </c>
      <c r="CU23" s="251">
        <f t="shared" ca="1" si="58"/>
        <v>0</v>
      </c>
      <c r="CV23" s="251">
        <f t="shared" ca="1" si="59"/>
        <v>0</v>
      </c>
      <c r="CW23" s="251">
        <f t="shared" ca="1" si="60"/>
        <v>0</v>
      </c>
      <c r="CX23" s="251">
        <f t="shared" ca="1" si="93"/>
        <v>0</v>
      </c>
      <c r="CY23" s="251">
        <f t="shared" ca="1" si="94"/>
        <v>0</v>
      </c>
      <c r="CZ23" s="251">
        <f t="shared" ca="1" si="95"/>
        <v>0</v>
      </c>
      <c r="DA23" s="251">
        <f t="shared" ca="1" si="96"/>
        <v>0</v>
      </c>
    </row>
    <row r="24" spans="1:105" s="248" customFormat="1" ht="15" customHeight="1">
      <c r="A24" s="58">
        <f t="array" aca="1" ref="A24" ca="1">IF(C24&lt;&gt;0,SUM(($C$11:C24&lt;&gt;0)*1),"")</f>
        <v>14</v>
      </c>
      <c r="B24" s="249" t="str">
        <f ca="1">IF(ROWS($1:14)&gt;COUNT(Dong6),"",OFFSET(TH!C$1,SMALL(Dong6,ROWS($1:14)),))</f>
        <v/>
      </c>
      <c r="C24" s="249" t="str">
        <f ca="1">IF(ROWS($1:14)&gt;COUNT(Dong6),"",OFFSET(TH!D$1,SMALL(Dong6,ROWS($1:14)),))</f>
        <v/>
      </c>
      <c r="D24" s="249" t="str">
        <f ca="1">IF(ROWS($1:14)&gt;COUNT(Dong6),"",OFFSET(TH!E$1,SMALL(Dong6,ROWS($1:14)),))</f>
        <v/>
      </c>
      <c r="E24" s="299" t="str">
        <f ca="1">IF(ROWS($1:14)&gt;COUNT(Dong6),"",OFFSET(TH!F$1,SMALL(Dong6,ROWS($1:14)),))</f>
        <v/>
      </c>
      <c r="F24" s="300" t="str">
        <f ca="1">IF(ROWS($1:14)&gt;COUNT(Dong6),"",OFFSET(TH!M$1,SMALL(Dong6,ROWS($1:14)),))</f>
        <v/>
      </c>
      <c r="G24" s="301" t="str">
        <f ca="1">IF(ROWS($1:14)&gt;COUNT(Dong6),"",OFFSET(TH!N$1,SMALL(Dong6,ROWS($1:14)),))</f>
        <v/>
      </c>
      <c r="H24" s="301" t="str">
        <f ca="1">IF(ROWS($1:14)&gt;COUNT(Dong6),"",OFFSET(TH!O$1,SMALL(Dong6,ROWS($1:14)),))</f>
        <v/>
      </c>
      <c r="I24" s="58">
        <f t="shared" ca="1" si="0"/>
        <v>14</v>
      </c>
      <c r="J24" s="251">
        <f t="shared" ca="1" si="61"/>
        <v>0</v>
      </c>
      <c r="K24" s="251">
        <f t="shared" ca="1" si="62"/>
        <v>0</v>
      </c>
      <c r="L24" s="251">
        <f t="shared" ca="1" si="1"/>
        <v>0</v>
      </c>
      <c r="M24" s="251">
        <f t="shared" ca="1" si="2"/>
        <v>0</v>
      </c>
      <c r="N24" s="251">
        <f t="shared" ca="1" si="3"/>
        <v>0</v>
      </c>
      <c r="O24" s="251">
        <f t="shared" ca="1" si="4"/>
        <v>0</v>
      </c>
      <c r="P24" s="251">
        <f t="shared" ca="1" si="5"/>
        <v>0</v>
      </c>
      <c r="Q24" s="251">
        <f t="shared" ca="1" si="6"/>
        <v>0</v>
      </c>
      <c r="R24" s="251">
        <f t="shared" ca="1" si="7"/>
        <v>0</v>
      </c>
      <c r="S24" s="251">
        <f t="shared" ca="1" si="8"/>
        <v>0</v>
      </c>
      <c r="T24" s="251">
        <f t="shared" ca="1" si="9"/>
        <v>0</v>
      </c>
      <c r="U24" s="251">
        <f t="shared" ca="1" si="10"/>
        <v>0</v>
      </c>
      <c r="V24" s="251">
        <f t="shared" ca="1" si="11"/>
        <v>0</v>
      </c>
      <c r="W24" s="251">
        <f t="shared" ca="1" si="12"/>
        <v>0</v>
      </c>
      <c r="X24" s="251">
        <f t="shared" ca="1" si="13"/>
        <v>0</v>
      </c>
      <c r="Y24" s="251">
        <f t="shared" ca="1" si="14"/>
        <v>0</v>
      </c>
      <c r="Z24" s="251">
        <f t="shared" ca="1" si="15"/>
        <v>0</v>
      </c>
      <c r="AA24" s="251">
        <f t="shared" ca="1" si="16"/>
        <v>0</v>
      </c>
      <c r="AB24" s="251">
        <f t="shared" ca="1" si="63"/>
        <v>0</v>
      </c>
      <c r="AC24" s="251">
        <f t="shared" ca="1" si="64"/>
        <v>0</v>
      </c>
      <c r="AD24" s="251">
        <f t="shared" ca="1" si="17"/>
        <v>0</v>
      </c>
      <c r="AE24" s="251">
        <f t="shared" ca="1" si="18"/>
        <v>0</v>
      </c>
      <c r="AF24" s="251">
        <f t="shared" ca="1" si="19"/>
        <v>0</v>
      </c>
      <c r="AG24" s="251">
        <f t="shared" ca="1" si="20"/>
        <v>0</v>
      </c>
      <c r="AH24" s="251">
        <f t="shared" ca="1" si="65"/>
        <v>0</v>
      </c>
      <c r="AI24" s="251">
        <f t="shared" ca="1" si="66"/>
        <v>0</v>
      </c>
      <c r="AJ24" s="251">
        <f t="shared" ca="1" si="67"/>
        <v>0</v>
      </c>
      <c r="AK24" s="251">
        <f t="shared" ca="1" si="68"/>
        <v>0</v>
      </c>
      <c r="AL24" s="251">
        <f t="shared" ca="1" si="69"/>
        <v>0</v>
      </c>
      <c r="AM24" s="251">
        <f t="shared" ca="1" si="70"/>
        <v>0</v>
      </c>
      <c r="AN24" s="251">
        <f t="shared" ca="1" si="71"/>
        <v>0</v>
      </c>
      <c r="AO24" s="251">
        <f t="shared" ca="1" si="72"/>
        <v>0</v>
      </c>
      <c r="AP24" s="251">
        <f t="shared" ca="1" si="21"/>
        <v>0</v>
      </c>
      <c r="AQ24" s="251">
        <f t="shared" ca="1" si="22"/>
        <v>0</v>
      </c>
      <c r="AR24" s="251">
        <f t="shared" ca="1" si="23"/>
        <v>0</v>
      </c>
      <c r="AS24" s="251">
        <f t="shared" ca="1" si="24"/>
        <v>0</v>
      </c>
      <c r="AT24" s="251">
        <f t="shared" ca="1" si="73"/>
        <v>0</v>
      </c>
      <c r="AU24" s="251">
        <f t="shared" ca="1" si="74"/>
        <v>0</v>
      </c>
      <c r="AV24" s="251">
        <f t="shared" ca="1" si="25"/>
        <v>0</v>
      </c>
      <c r="AW24" s="251">
        <f t="shared" ca="1" si="26"/>
        <v>0</v>
      </c>
      <c r="AX24" s="251">
        <f t="shared" ca="1" si="27"/>
        <v>0</v>
      </c>
      <c r="AY24" s="251">
        <f t="shared" ca="1" si="28"/>
        <v>0</v>
      </c>
      <c r="AZ24" s="251">
        <f t="shared" ca="1" si="29"/>
        <v>0</v>
      </c>
      <c r="BA24" s="251">
        <f t="shared" ca="1" si="30"/>
        <v>0</v>
      </c>
      <c r="BB24" s="251">
        <f t="shared" ca="1" si="31"/>
        <v>0</v>
      </c>
      <c r="BC24" s="251">
        <f t="shared" ca="1" si="32"/>
        <v>0</v>
      </c>
      <c r="BD24" s="251">
        <f t="shared" ca="1" si="33"/>
        <v>0</v>
      </c>
      <c r="BE24" s="251">
        <f t="shared" ca="1" si="34"/>
        <v>0</v>
      </c>
      <c r="BF24" s="251">
        <f t="shared" ca="1" si="35"/>
        <v>0</v>
      </c>
      <c r="BG24" s="251">
        <f t="shared" ca="1" si="36"/>
        <v>0</v>
      </c>
      <c r="BH24" s="251">
        <f t="shared" ca="1" si="75"/>
        <v>0</v>
      </c>
      <c r="BI24" s="251">
        <f t="shared" ca="1" si="76"/>
        <v>0</v>
      </c>
      <c r="BJ24" s="251">
        <f t="shared" ca="1" si="37"/>
        <v>0</v>
      </c>
      <c r="BK24" s="251">
        <f t="shared" ca="1" si="38"/>
        <v>0</v>
      </c>
      <c r="BL24" s="251">
        <f t="shared" ca="1" si="39"/>
        <v>0</v>
      </c>
      <c r="BM24" s="251">
        <f t="shared" ca="1" si="40"/>
        <v>0</v>
      </c>
      <c r="BN24" s="251">
        <f t="shared" ca="1" si="41"/>
        <v>0</v>
      </c>
      <c r="BO24" s="251">
        <f t="shared" ca="1" si="42"/>
        <v>0</v>
      </c>
      <c r="BP24" s="251">
        <f t="shared" ca="1" si="77"/>
        <v>0</v>
      </c>
      <c r="BQ24" s="251">
        <f t="shared" ca="1" si="78"/>
        <v>0</v>
      </c>
      <c r="BR24" s="251">
        <f t="shared" ca="1" si="43"/>
        <v>0</v>
      </c>
      <c r="BS24" s="251">
        <f t="shared" ca="1" si="44"/>
        <v>0</v>
      </c>
      <c r="BT24" s="251">
        <f t="shared" ca="1" si="79"/>
        <v>0</v>
      </c>
      <c r="BU24" s="251">
        <f t="shared" ca="1" si="80"/>
        <v>0</v>
      </c>
      <c r="BV24" s="251">
        <f t="shared" ca="1" si="81"/>
        <v>0</v>
      </c>
      <c r="BW24" s="251">
        <f t="shared" ca="1" si="82"/>
        <v>0</v>
      </c>
      <c r="BX24" s="251">
        <f t="shared" ca="1" si="45"/>
        <v>0</v>
      </c>
      <c r="BY24" s="251">
        <f t="shared" ca="1" si="46"/>
        <v>0</v>
      </c>
      <c r="BZ24" s="251">
        <f t="shared" ca="1" si="47"/>
        <v>0</v>
      </c>
      <c r="CA24" s="251">
        <f t="shared" ca="1" si="48"/>
        <v>0</v>
      </c>
      <c r="CB24" s="251">
        <f t="shared" ca="1" si="49"/>
        <v>0</v>
      </c>
      <c r="CC24" s="251">
        <f t="shared" ca="1" si="50"/>
        <v>0</v>
      </c>
      <c r="CD24" s="251">
        <f t="shared" ca="1" si="83"/>
        <v>0</v>
      </c>
      <c r="CE24" s="251">
        <f t="shared" ca="1" si="84"/>
        <v>0</v>
      </c>
      <c r="CF24" s="251">
        <f t="shared" ca="1" si="85"/>
        <v>0</v>
      </c>
      <c r="CG24" s="251">
        <f t="shared" ca="1" si="86"/>
        <v>0</v>
      </c>
      <c r="CH24" s="251">
        <f t="shared" ca="1" si="51"/>
        <v>0</v>
      </c>
      <c r="CI24" s="251">
        <f t="shared" ca="1" si="52"/>
        <v>0</v>
      </c>
      <c r="CJ24" s="251">
        <f t="shared" ca="1" si="87"/>
        <v>0</v>
      </c>
      <c r="CK24" s="251">
        <f t="shared" ca="1" si="88"/>
        <v>0</v>
      </c>
      <c r="CL24" s="251">
        <f t="shared" ca="1" si="53"/>
        <v>0</v>
      </c>
      <c r="CM24" s="251">
        <f t="shared" ca="1" si="54"/>
        <v>0</v>
      </c>
      <c r="CN24" s="251">
        <f t="shared" ca="1" si="55"/>
        <v>0</v>
      </c>
      <c r="CO24" s="251">
        <f t="shared" ca="1" si="56"/>
        <v>0</v>
      </c>
      <c r="CP24" s="251">
        <f t="shared" ca="1" si="89"/>
        <v>0</v>
      </c>
      <c r="CQ24" s="251">
        <f t="shared" ca="1" si="90"/>
        <v>0</v>
      </c>
      <c r="CR24" s="251">
        <f t="shared" ca="1" si="91"/>
        <v>0</v>
      </c>
      <c r="CS24" s="251">
        <f t="shared" ca="1" si="92"/>
        <v>0</v>
      </c>
      <c r="CT24" s="251">
        <f t="shared" ca="1" si="57"/>
        <v>0</v>
      </c>
      <c r="CU24" s="251">
        <f t="shared" ca="1" si="58"/>
        <v>0</v>
      </c>
      <c r="CV24" s="251">
        <f t="shared" ca="1" si="59"/>
        <v>0</v>
      </c>
      <c r="CW24" s="251">
        <f t="shared" ca="1" si="60"/>
        <v>0</v>
      </c>
      <c r="CX24" s="251">
        <f t="shared" ca="1" si="93"/>
        <v>0</v>
      </c>
      <c r="CY24" s="251">
        <f t="shared" ca="1" si="94"/>
        <v>0</v>
      </c>
      <c r="CZ24" s="251">
        <f t="shared" ca="1" si="95"/>
        <v>0</v>
      </c>
      <c r="DA24" s="251">
        <f t="shared" ca="1" si="96"/>
        <v>0</v>
      </c>
    </row>
    <row r="25" spans="1:105" s="248" customFormat="1" ht="15" customHeight="1">
      <c r="A25" s="58">
        <f t="array" aca="1" ref="A25" ca="1">IF(C25&lt;&gt;0,SUM(($C$11:C25&lt;&gt;0)*1),"")</f>
        <v>15</v>
      </c>
      <c r="B25" s="249" t="str">
        <f ca="1">IF(ROWS($1:15)&gt;COUNT(Dong6),"",OFFSET(TH!C$1,SMALL(Dong6,ROWS($1:15)),))</f>
        <v/>
      </c>
      <c r="C25" s="249" t="str">
        <f ca="1">IF(ROWS($1:15)&gt;COUNT(Dong6),"",OFFSET(TH!D$1,SMALL(Dong6,ROWS($1:15)),))</f>
        <v/>
      </c>
      <c r="D25" s="249" t="str">
        <f ca="1">IF(ROWS($1:15)&gt;COUNT(Dong6),"",OFFSET(TH!E$1,SMALL(Dong6,ROWS($1:15)),))</f>
        <v/>
      </c>
      <c r="E25" s="299" t="str">
        <f ca="1">IF(ROWS($1:15)&gt;COUNT(Dong6),"",OFFSET(TH!F$1,SMALL(Dong6,ROWS($1:15)),))</f>
        <v/>
      </c>
      <c r="F25" s="300" t="str">
        <f ca="1">IF(ROWS($1:15)&gt;COUNT(Dong6),"",OFFSET(TH!M$1,SMALL(Dong6,ROWS($1:15)),))</f>
        <v/>
      </c>
      <c r="G25" s="301" t="str">
        <f ca="1">IF(ROWS($1:15)&gt;COUNT(Dong6),"",OFFSET(TH!N$1,SMALL(Dong6,ROWS($1:15)),))</f>
        <v/>
      </c>
      <c r="H25" s="301" t="str">
        <f ca="1">IF(ROWS($1:15)&gt;COUNT(Dong6),"",OFFSET(TH!O$1,SMALL(Dong6,ROWS($1:15)),))</f>
        <v/>
      </c>
      <c r="I25" s="58">
        <f t="shared" ca="1" si="0"/>
        <v>15</v>
      </c>
      <c r="J25" s="251">
        <f t="shared" ca="1" si="61"/>
        <v>0</v>
      </c>
      <c r="K25" s="251">
        <f t="shared" ca="1" si="62"/>
        <v>0</v>
      </c>
      <c r="L25" s="251">
        <f t="shared" ca="1" si="1"/>
        <v>0</v>
      </c>
      <c r="M25" s="251">
        <f t="shared" ca="1" si="2"/>
        <v>0</v>
      </c>
      <c r="N25" s="251">
        <f t="shared" ca="1" si="3"/>
        <v>0</v>
      </c>
      <c r="O25" s="251">
        <f t="shared" ca="1" si="4"/>
        <v>0</v>
      </c>
      <c r="P25" s="251">
        <f t="shared" ca="1" si="5"/>
        <v>0</v>
      </c>
      <c r="Q25" s="251">
        <f t="shared" ca="1" si="6"/>
        <v>0</v>
      </c>
      <c r="R25" s="251">
        <f t="shared" ca="1" si="7"/>
        <v>0</v>
      </c>
      <c r="S25" s="251">
        <f t="shared" ca="1" si="8"/>
        <v>0</v>
      </c>
      <c r="T25" s="251">
        <f t="shared" ca="1" si="9"/>
        <v>0</v>
      </c>
      <c r="U25" s="251">
        <f t="shared" ca="1" si="10"/>
        <v>0</v>
      </c>
      <c r="V25" s="251">
        <f t="shared" ca="1" si="11"/>
        <v>0</v>
      </c>
      <c r="W25" s="251">
        <f t="shared" ca="1" si="12"/>
        <v>0</v>
      </c>
      <c r="X25" s="251">
        <f t="shared" ca="1" si="13"/>
        <v>0</v>
      </c>
      <c r="Y25" s="251">
        <f t="shared" ca="1" si="14"/>
        <v>0</v>
      </c>
      <c r="Z25" s="251">
        <f t="shared" ca="1" si="15"/>
        <v>0</v>
      </c>
      <c r="AA25" s="251">
        <f t="shared" ca="1" si="16"/>
        <v>0</v>
      </c>
      <c r="AB25" s="251">
        <f t="shared" ca="1" si="63"/>
        <v>0</v>
      </c>
      <c r="AC25" s="251">
        <f t="shared" ca="1" si="64"/>
        <v>0</v>
      </c>
      <c r="AD25" s="251">
        <f t="shared" ca="1" si="17"/>
        <v>0</v>
      </c>
      <c r="AE25" s="251">
        <f t="shared" ca="1" si="18"/>
        <v>0</v>
      </c>
      <c r="AF25" s="251">
        <f t="shared" ca="1" si="19"/>
        <v>0</v>
      </c>
      <c r="AG25" s="251">
        <f t="shared" ca="1" si="20"/>
        <v>0</v>
      </c>
      <c r="AH25" s="251">
        <f t="shared" ca="1" si="65"/>
        <v>0</v>
      </c>
      <c r="AI25" s="251">
        <f t="shared" ca="1" si="66"/>
        <v>0</v>
      </c>
      <c r="AJ25" s="251">
        <f t="shared" ca="1" si="67"/>
        <v>0</v>
      </c>
      <c r="AK25" s="251">
        <f t="shared" ca="1" si="68"/>
        <v>0</v>
      </c>
      <c r="AL25" s="251">
        <f t="shared" ca="1" si="69"/>
        <v>0</v>
      </c>
      <c r="AM25" s="251">
        <f t="shared" ca="1" si="70"/>
        <v>0</v>
      </c>
      <c r="AN25" s="251">
        <f t="shared" ca="1" si="71"/>
        <v>0</v>
      </c>
      <c r="AO25" s="251">
        <f t="shared" ca="1" si="72"/>
        <v>0</v>
      </c>
      <c r="AP25" s="251">
        <f t="shared" ca="1" si="21"/>
        <v>0</v>
      </c>
      <c r="AQ25" s="251">
        <f t="shared" ca="1" si="22"/>
        <v>0</v>
      </c>
      <c r="AR25" s="251">
        <f t="shared" ca="1" si="23"/>
        <v>0</v>
      </c>
      <c r="AS25" s="251">
        <f t="shared" ca="1" si="24"/>
        <v>0</v>
      </c>
      <c r="AT25" s="251">
        <f t="shared" ca="1" si="73"/>
        <v>0</v>
      </c>
      <c r="AU25" s="251">
        <f t="shared" ca="1" si="74"/>
        <v>0</v>
      </c>
      <c r="AV25" s="251">
        <f t="shared" ca="1" si="25"/>
        <v>0</v>
      </c>
      <c r="AW25" s="251">
        <f t="shared" ca="1" si="26"/>
        <v>0</v>
      </c>
      <c r="AX25" s="251">
        <f t="shared" ca="1" si="27"/>
        <v>0</v>
      </c>
      <c r="AY25" s="251">
        <f t="shared" ca="1" si="28"/>
        <v>0</v>
      </c>
      <c r="AZ25" s="251">
        <f t="shared" ca="1" si="29"/>
        <v>0</v>
      </c>
      <c r="BA25" s="251">
        <f t="shared" ca="1" si="30"/>
        <v>0</v>
      </c>
      <c r="BB25" s="251">
        <f t="shared" ca="1" si="31"/>
        <v>0</v>
      </c>
      <c r="BC25" s="251">
        <f t="shared" ca="1" si="32"/>
        <v>0</v>
      </c>
      <c r="BD25" s="251">
        <f t="shared" ca="1" si="33"/>
        <v>0</v>
      </c>
      <c r="BE25" s="251">
        <f t="shared" ca="1" si="34"/>
        <v>0</v>
      </c>
      <c r="BF25" s="251">
        <f t="shared" ca="1" si="35"/>
        <v>0</v>
      </c>
      <c r="BG25" s="251">
        <f t="shared" ca="1" si="36"/>
        <v>0</v>
      </c>
      <c r="BH25" s="251">
        <f t="shared" ca="1" si="75"/>
        <v>0</v>
      </c>
      <c r="BI25" s="251">
        <f t="shared" ca="1" si="76"/>
        <v>0</v>
      </c>
      <c r="BJ25" s="251">
        <f t="shared" ca="1" si="37"/>
        <v>0</v>
      </c>
      <c r="BK25" s="251">
        <f t="shared" ca="1" si="38"/>
        <v>0</v>
      </c>
      <c r="BL25" s="251">
        <f t="shared" ca="1" si="39"/>
        <v>0</v>
      </c>
      <c r="BM25" s="251">
        <f t="shared" ca="1" si="40"/>
        <v>0</v>
      </c>
      <c r="BN25" s="251">
        <f t="shared" ca="1" si="41"/>
        <v>0</v>
      </c>
      <c r="BO25" s="251">
        <f t="shared" ca="1" si="42"/>
        <v>0</v>
      </c>
      <c r="BP25" s="251">
        <f t="shared" ca="1" si="77"/>
        <v>0</v>
      </c>
      <c r="BQ25" s="251">
        <f t="shared" ca="1" si="78"/>
        <v>0</v>
      </c>
      <c r="BR25" s="251">
        <f t="shared" ca="1" si="43"/>
        <v>0</v>
      </c>
      <c r="BS25" s="251">
        <f t="shared" ca="1" si="44"/>
        <v>0</v>
      </c>
      <c r="BT25" s="251">
        <f t="shared" ca="1" si="79"/>
        <v>0</v>
      </c>
      <c r="BU25" s="251">
        <f t="shared" ca="1" si="80"/>
        <v>0</v>
      </c>
      <c r="BV25" s="251">
        <f t="shared" ca="1" si="81"/>
        <v>0</v>
      </c>
      <c r="BW25" s="251">
        <f t="shared" ca="1" si="82"/>
        <v>0</v>
      </c>
      <c r="BX25" s="251">
        <f t="shared" ca="1" si="45"/>
        <v>0</v>
      </c>
      <c r="BY25" s="251">
        <f t="shared" ca="1" si="46"/>
        <v>0</v>
      </c>
      <c r="BZ25" s="251">
        <f t="shared" ca="1" si="47"/>
        <v>0</v>
      </c>
      <c r="CA25" s="251">
        <f t="shared" ca="1" si="48"/>
        <v>0</v>
      </c>
      <c r="CB25" s="251">
        <f t="shared" ca="1" si="49"/>
        <v>0</v>
      </c>
      <c r="CC25" s="251">
        <f t="shared" ca="1" si="50"/>
        <v>0</v>
      </c>
      <c r="CD25" s="251">
        <f t="shared" ca="1" si="83"/>
        <v>0</v>
      </c>
      <c r="CE25" s="251">
        <f t="shared" ca="1" si="84"/>
        <v>0</v>
      </c>
      <c r="CF25" s="251">
        <f t="shared" ca="1" si="85"/>
        <v>0</v>
      </c>
      <c r="CG25" s="251">
        <f t="shared" ca="1" si="86"/>
        <v>0</v>
      </c>
      <c r="CH25" s="251">
        <f t="shared" ca="1" si="51"/>
        <v>0</v>
      </c>
      <c r="CI25" s="251">
        <f t="shared" ca="1" si="52"/>
        <v>0</v>
      </c>
      <c r="CJ25" s="251">
        <f t="shared" ca="1" si="87"/>
        <v>0</v>
      </c>
      <c r="CK25" s="251">
        <f t="shared" ca="1" si="88"/>
        <v>0</v>
      </c>
      <c r="CL25" s="251">
        <f t="shared" ca="1" si="53"/>
        <v>0</v>
      </c>
      <c r="CM25" s="251">
        <f t="shared" ca="1" si="54"/>
        <v>0</v>
      </c>
      <c r="CN25" s="251">
        <f t="shared" ca="1" si="55"/>
        <v>0</v>
      </c>
      <c r="CO25" s="251">
        <f t="shared" ca="1" si="56"/>
        <v>0</v>
      </c>
      <c r="CP25" s="251">
        <f t="shared" ca="1" si="89"/>
        <v>0</v>
      </c>
      <c r="CQ25" s="251">
        <f t="shared" ca="1" si="90"/>
        <v>0</v>
      </c>
      <c r="CR25" s="251">
        <f t="shared" ca="1" si="91"/>
        <v>0</v>
      </c>
      <c r="CS25" s="251">
        <f t="shared" ca="1" si="92"/>
        <v>0</v>
      </c>
      <c r="CT25" s="251">
        <f t="shared" ca="1" si="57"/>
        <v>0</v>
      </c>
      <c r="CU25" s="251">
        <f t="shared" ca="1" si="58"/>
        <v>0</v>
      </c>
      <c r="CV25" s="251">
        <f t="shared" ca="1" si="59"/>
        <v>0</v>
      </c>
      <c r="CW25" s="251">
        <f t="shared" ca="1" si="60"/>
        <v>0</v>
      </c>
      <c r="CX25" s="251">
        <f t="shared" ca="1" si="93"/>
        <v>0</v>
      </c>
      <c r="CY25" s="251">
        <f t="shared" ca="1" si="94"/>
        <v>0</v>
      </c>
      <c r="CZ25" s="251">
        <f t="shared" ca="1" si="95"/>
        <v>0</v>
      </c>
      <c r="DA25" s="251">
        <f t="shared" ca="1" si="96"/>
        <v>0</v>
      </c>
    </row>
    <row r="26" spans="1:105" s="248" customFormat="1" ht="15" customHeight="1">
      <c r="A26" s="58">
        <f t="array" aca="1" ref="A26" ca="1">IF(C26&lt;&gt;0,SUM(($C$11:C26&lt;&gt;0)*1),"")</f>
        <v>16</v>
      </c>
      <c r="B26" s="249" t="str">
        <f ca="1">IF(ROWS($1:16)&gt;COUNT(Dong6),"",OFFSET(TH!C$1,SMALL(Dong6,ROWS($1:16)),))</f>
        <v/>
      </c>
      <c r="C26" s="249" t="str">
        <f ca="1">IF(ROWS($1:16)&gt;COUNT(Dong6),"",OFFSET(TH!D$1,SMALL(Dong6,ROWS($1:16)),))</f>
        <v/>
      </c>
      <c r="D26" s="249" t="str">
        <f ca="1">IF(ROWS($1:16)&gt;COUNT(Dong6),"",OFFSET(TH!E$1,SMALL(Dong6,ROWS($1:16)),))</f>
        <v/>
      </c>
      <c r="E26" s="299" t="str">
        <f ca="1">IF(ROWS($1:16)&gt;COUNT(Dong6),"",OFFSET(TH!F$1,SMALL(Dong6,ROWS($1:16)),))</f>
        <v/>
      </c>
      <c r="F26" s="300" t="str">
        <f ca="1">IF(ROWS($1:16)&gt;COUNT(Dong6),"",OFFSET(TH!M$1,SMALL(Dong6,ROWS($1:16)),))</f>
        <v/>
      </c>
      <c r="G26" s="301" t="str">
        <f ca="1">IF(ROWS($1:16)&gt;COUNT(Dong6),"",OFFSET(TH!N$1,SMALL(Dong6,ROWS($1:16)),))</f>
        <v/>
      </c>
      <c r="H26" s="301" t="str">
        <f ca="1">IF(ROWS($1:16)&gt;COUNT(Dong6),"",OFFSET(TH!O$1,SMALL(Dong6,ROWS($1:16)),))</f>
        <v/>
      </c>
      <c r="I26" s="58">
        <f t="shared" ca="1" si="0"/>
        <v>16</v>
      </c>
      <c r="J26" s="251">
        <f t="shared" ca="1" si="61"/>
        <v>0</v>
      </c>
      <c r="K26" s="251">
        <f t="shared" ca="1" si="62"/>
        <v>0</v>
      </c>
      <c r="L26" s="251">
        <f t="shared" ca="1" si="1"/>
        <v>0</v>
      </c>
      <c r="M26" s="251">
        <f t="shared" ca="1" si="2"/>
        <v>0</v>
      </c>
      <c r="N26" s="251">
        <f t="shared" ca="1" si="3"/>
        <v>0</v>
      </c>
      <c r="O26" s="251">
        <f t="shared" ca="1" si="4"/>
        <v>0</v>
      </c>
      <c r="P26" s="251">
        <f t="shared" ca="1" si="5"/>
        <v>0</v>
      </c>
      <c r="Q26" s="251">
        <f t="shared" ca="1" si="6"/>
        <v>0</v>
      </c>
      <c r="R26" s="251">
        <f t="shared" ca="1" si="7"/>
        <v>0</v>
      </c>
      <c r="S26" s="251">
        <f t="shared" ca="1" si="8"/>
        <v>0</v>
      </c>
      <c r="T26" s="251">
        <f t="shared" ca="1" si="9"/>
        <v>0</v>
      </c>
      <c r="U26" s="251">
        <f t="shared" ca="1" si="10"/>
        <v>0</v>
      </c>
      <c r="V26" s="251">
        <f t="shared" ca="1" si="11"/>
        <v>0</v>
      </c>
      <c r="W26" s="251">
        <f t="shared" ca="1" si="12"/>
        <v>0</v>
      </c>
      <c r="X26" s="251">
        <f t="shared" ca="1" si="13"/>
        <v>0</v>
      </c>
      <c r="Y26" s="251">
        <f t="shared" ca="1" si="14"/>
        <v>0</v>
      </c>
      <c r="Z26" s="251">
        <f t="shared" ca="1" si="15"/>
        <v>0</v>
      </c>
      <c r="AA26" s="251">
        <f t="shared" ca="1" si="16"/>
        <v>0</v>
      </c>
      <c r="AB26" s="251">
        <f t="shared" ca="1" si="63"/>
        <v>0</v>
      </c>
      <c r="AC26" s="251">
        <f t="shared" ca="1" si="64"/>
        <v>0</v>
      </c>
      <c r="AD26" s="251">
        <f t="shared" ca="1" si="17"/>
        <v>0</v>
      </c>
      <c r="AE26" s="251">
        <f t="shared" ca="1" si="18"/>
        <v>0</v>
      </c>
      <c r="AF26" s="251">
        <f t="shared" ca="1" si="19"/>
        <v>0</v>
      </c>
      <c r="AG26" s="251">
        <f t="shared" ca="1" si="20"/>
        <v>0</v>
      </c>
      <c r="AH26" s="251">
        <f t="shared" ca="1" si="65"/>
        <v>0</v>
      </c>
      <c r="AI26" s="251">
        <f t="shared" ca="1" si="66"/>
        <v>0</v>
      </c>
      <c r="AJ26" s="251">
        <f t="shared" ca="1" si="67"/>
        <v>0</v>
      </c>
      <c r="AK26" s="251">
        <f t="shared" ca="1" si="68"/>
        <v>0</v>
      </c>
      <c r="AL26" s="251">
        <f t="shared" ca="1" si="69"/>
        <v>0</v>
      </c>
      <c r="AM26" s="251">
        <f t="shared" ca="1" si="70"/>
        <v>0</v>
      </c>
      <c r="AN26" s="251">
        <f t="shared" ca="1" si="71"/>
        <v>0</v>
      </c>
      <c r="AO26" s="251">
        <f t="shared" ca="1" si="72"/>
        <v>0</v>
      </c>
      <c r="AP26" s="251">
        <f t="shared" ca="1" si="21"/>
        <v>0</v>
      </c>
      <c r="AQ26" s="251">
        <f t="shared" ca="1" si="22"/>
        <v>0</v>
      </c>
      <c r="AR26" s="251">
        <f t="shared" ca="1" si="23"/>
        <v>0</v>
      </c>
      <c r="AS26" s="251">
        <f t="shared" ca="1" si="24"/>
        <v>0</v>
      </c>
      <c r="AT26" s="251">
        <f t="shared" ca="1" si="73"/>
        <v>0</v>
      </c>
      <c r="AU26" s="251">
        <f t="shared" ca="1" si="74"/>
        <v>0</v>
      </c>
      <c r="AV26" s="251">
        <f t="shared" ca="1" si="25"/>
        <v>0</v>
      </c>
      <c r="AW26" s="251">
        <f t="shared" ca="1" si="26"/>
        <v>0</v>
      </c>
      <c r="AX26" s="251">
        <f t="shared" ca="1" si="27"/>
        <v>0</v>
      </c>
      <c r="AY26" s="251">
        <f t="shared" ca="1" si="28"/>
        <v>0</v>
      </c>
      <c r="AZ26" s="251">
        <f t="shared" ca="1" si="29"/>
        <v>0</v>
      </c>
      <c r="BA26" s="251">
        <f t="shared" ca="1" si="30"/>
        <v>0</v>
      </c>
      <c r="BB26" s="251">
        <f t="shared" ca="1" si="31"/>
        <v>0</v>
      </c>
      <c r="BC26" s="251">
        <f t="shared" ca="1" si="32"/>
        <v>0</v>
      </c>
      <c r="BD26" s="251">
        <f t="shared" ca="1" si="33"/>
        <v>0</v>
      </c>
      <c r="BE26" s="251">
        <f t="shared" ca="1" si="34"/>
        <v>0</v>
      </c>
      <c r="BF26" s="251">
        <f t="shared" ca="1" si="35"/>
        <v>0</v>
      </c>
      <c r="BG26" s="251">
        <f t="shared" ca="1" si="36"/>
        <v>0</v>
      </c>
      <c r="BH26" s="251">
        <f t="shared" ca="1" si="75"/>
        <v>0</v>
      </c>
      <c r="BI26" s="251">
        <f t="shared" ca="1" si="76"/>
        <v>0</v>
      </c>
      <c r="BJ26" s="251">
        <f t="shared" ca="1" si="37"/>
        <v>0</v>
      </c>
      <c r="BK26" s="251">
        <f t="shared" ca="1" si="38"/>
        <v>0</v>
      </c>
      <c r="BL26" s="251">
        <f t="shared" ca="1" si="39"/>
        <v>0</v>
      </c>
      <c r="BM26" s="251">
        <f t="shared" ca="1" si="40"/>
        <v>0</v>
      </c>
      <c r="BN26" s="251">
        <f t="shared" ca="1" si="41"/>
        <v>0</v>
      </c>
      <c r="BO26" s="251">
        <f t="shared" ca="1" si="42"/>
        <v>0</v>
      </c>
      <c r="BP26" s="251">
        <f t="shared" ca="1" si="77"/>
        <v>0</v>
      </c>
      <c r="BQ26" s="251">
        <f t="shared" ca="1" si="78"/>
        <v>0</v>
      </c>
      <c r="BR26" s="251">
        <f t="shared" ca="1" si="43"/>
        <v>0</v>
      </c>
      <c r="BS26" s="251">
        <f t="shared" ca="1" si="44"/>
        <v>0</v>
      </c>
      <c r="BT26" s="251">
        <f t="shared" ca="1" si="79"/>
        <v>0</v>
      </c>
      <c r="BU26" s="251">
        <f t="shared" ca="1" si="80"/>
        <v>0</v>
      </c>
      <c r="BV26" s="251">
        <f t="shared" ca="1" si="81"/>
        <v>0</v>
      </c>
      <c r="BW26" s="251">
        <f t="shared" ca="1" si="82"/>
        <v>0</v>
      </c>
      <c r="BX26" s="251">
        <f t="shared" ca="1" si="45"/>
        <v>0</v>
      </c>
      <c r="BY26" s="251">
        <f t="shared" ca="1" si="46"/>
        <v>0</v>
      </c>
      <c r="BZ26" s="251">
        <f t="shared" ca="1" si="47"/>
        <v>0</v>
      </c>
      <c r="CA26" s="251">
        <f t="shared" ca="1" si="48"/>
        <v>0</v>
      </c>
      <c r="CB26" s="251">
        <f t="shared" ca="1" si="49"/>
        <v>0</v>
      </c>
      <c r="CC26" s="251">
        <f t="shared" ca="1" si="50"/>
        <v>0</v>
      </c>
      <c r="CD26" s="251">
        <f t="shared" ca="1" si="83"/>
        <v>0</v>
      </c>
      <c r="CE26" s="251">
        <f t="shared" ca="1" si="84"/>
        <v>0</v>
      </c>
      <c r="CF26" s="251">
        <f t="shared" ca="1" si="85"/>
        <v>0</v>
      </c>
      <c r="CG26" s="251">
        <f t="shared" ca="1" si="86"/>
        <v>0</v>
      </c>
      <c r="CH26" s="251">
        <f t="shared" ca="1" si="51"/>
        <v>0</v>
      </c>
      <c r="CI26" s="251">
        <f t="shared" ca="1" si="52"/>
        <v>0</v>
      </c>
      <c r="CJ26" s="251">
        <f t="shared" ca="1" si="87"/>
        <v>0</v>
      </c>
      <c r="CK26" s="251">
        <f t="shared" ca="1" si="88"/>
        <v>0</v>
      </c>
      <c r="CL26" s="251">
        <f t="shared" ca="1" si="53"/>
        <v>0</v>
      </c>
      <c r="CM26" s="251">
        <f t="shared" ca="1" si="54"/>
        <v>0</v>
      </c>
      <c r="CN26" s="251">
        <f t="shared" ca="1" si="55"/>
        <v>0</v>
      </c>
      <c r="CO26" s="251">
        <f t="shared" ca="1" si="56"/>
        <v>0</v>
      </c>
      <c r="CP26" s="251">
        <f t="shared" ca="1" si="89"/>
        <v>0</v>
      </c>
      <c r="CQ26" s="251">
        <f t="shared" ca="1" si="90"/>
        <v>0</v>
      </c>
      <c r="CR26" s="251">
        <f t="shared" ca="1" si="91"/>
        <v>0</v>
      </c>
      <c r="CS26" s="251">
        <f t="shared" ca="1" si="92"/>
        <v>0</v>
      </c>
      <c r="CT26" s="251">
        <f t="shared" ca="1" si="57"/>
        <v>0</v>
      </c>
      <c r="CU26" s="251">
        <f t="shared" ca="1" si="58"/>
        <v>0</v>
      </c>
      <c r="CV26" s="251">
        <f t="shared" ca="1" si="59"/>
        <v>0</v>
      </c>
      <c r="CW26" s="251">
        <f t="shared" ca="1" si="60"/>
        <v>0</v>
      </c>
      <c r="CX26" s="251">
        <f t="shared" ca="1" si="93"/>
        <v>0</v>
      </c>
      <c r="CY26" s="251">
        <f t="shared" ca="1" si="94"/>
        <v>0</v>
      </c>
      <c r="CZ26" s="251">
        <f t="shared" ca="1" si="95"/>
        <v>0</v>
      </c>
      <c r="DA26" s="251">
        <f t="shared" ca="1" si="96"/>
        <v>0</v>
      </c>
    </row>
    <row r="27" spans="1:105" s="248" customFormat="1" ht="15" customHeight="1">
      <c r="A27" s="58">
        <f t="array" aca="1" ref="A27" ca="1">IF(C27&lt;&gt;0,SUM(($C$11:C27&lt;&gt;0)*1),"")</f>
        <v>17</v>
      </c>
      <c r="B27" s="249" t="str">
        <f ca="1">IF(ROWS($1:17)&gt;COUNT(Dong6),"",OFFSET(TH!C$1,SMALL(Dong6,ROWS($1:17)),))</f>
        <v/>
      </c>
      <c r="C27" s="249" t="str">
        <f ca="1">IF(ROWS($1:17)&gt;COUNT(Dong6),"",OFFSET(TH!D$1,SMALL(Dong6,ROWS($1:17)),))</f>
        <v/>
      </c>
      <c r="D27" s="249" t="str">
        <f ca="1">IF(ROWS($1:17)&gt;COUNT(Dong6),"",OFFSET(TH!E$1,SMALL(Dong6,ROWS($1:17)),))</f>
        <v/>
      </c>
      <c r="E27" s="299" t="str">
        <f ca="1">IF(ROWS($1:17)&gt;COUNT(Dong6),"",OFFSET(TH!F$1,SMALL(Dong6,ROWS($1:17)),))</f>
        <v/>
      </c>
      <c r="F27" s="300" t="str">
        <f ca="1">IF(ROWS($1:17)&gt;COUNT(Dong6),"",OFFSET(TH!M$1,SMALL(Dong6,ROWS($1:17)),))</f>
        <v/>
      </c>
      <c r="G27" s="301" t="str">
        <f ca="1">IF(ROWS($1:17)&gt;COUNT(Dong6),"",OFFSET(TH!N$1,SMALL(Dong6,ROWS($1:17)),))</f>
        <v/>
      </c>
      <c r="H27" s="301" t="str">
        <f ca="1">IF(ROWS($1:17)&gt;COUNT(Dong6),"",OFFSET(TH!O$1,SMALL(Dong6,ROWS($1:17)),))</f>
        <v/>
      </c>
      <c r="I27" s="58">
        <f t="shared" ca="1" si="0"/>
        <v>17</v>
      </c>
      <c r="J27" s="251">
        <f t="shared" ca="1" si="61"/>
        <v>0</v>
      </c>
      <c r="K27" s="251">
        <f t="shared" ca="1" si="62"/>
        <v>0</v>
      </c>
      <c r="L27" s="251">
        <f t="shared" ca="1" si="1"/>
        <v>0</v>
      </c>
      <c r="M27" s="251">
        <f t="shared" ca="1" si="2"/>
        <v>0</v>
      </c>
      <c r="N27" s="251">
        <f t="shared" ca="1" si="3"/>
        <v>0</v>
      </c>
      <c r="O27" s="251">
        <f t="shared" ca="1" si="4"/>
        <v>0</v>
      </c>
      <c r="P27" s="251">
        <f t="shared" ca="1" si="5"/>
        <v>0</v>
      </c>
      <c r="Q27" s="251">
        <f t="shared" ca="1" si="6"/>
        <v>0</v>
      </c>
      <c r="R27" s="251">
        <f t="shared" ca="1" si="7"/>
        <v>0</v>
      </c>
      <c r="S27" s="251">
        <f t="shared" ca="1" si="8"/>
        <v>0</v>
      </c>
      <c r="T27" s="251">
        <f t="shared" ca="1" si="9"/>
        <v>0</v>
      </c>
      <c r="U27" s="251">
        <f t="shared" ca="1" si="10"/>
        <v>0</v>
      </c>
      <c r="V27" s="251">
        <f t="shared" ca="1" si="11"/>
        <v>0</v>
      </c>
      <c r="W27" s="251">
        <f t="shared" ca="1" si="12"/>
        <v>0</v>
      </c>
      <c r="X27" s="251">
        <f t="shared" ca="1" si="13"/>
        <v>0</v>
      </c>
      <c r="Y27" s="251">
        <f t="shared" ca="1" si="14"/>
        <v>0</v>
      </c>
      <c r="Z27" s="251">
        <f t="shared" ca="1" si="15"/>
        <v>0</v>
      </c>
      <c r="AA27" s="251">
        <f t="shared" ca="1" si="16"/>
        <v>0</v>
      </c>
      <c r="AB27" s="251">
        <f t="shared" ca="1" si="63"/>
        <v>0</v>
      </c>
      <c r="AC27" s="251">
        <f t="shared" ca="1" si="64"/>
        <v>0</v>
      </c>
      <c r="AD27" s="251">
        <f t="shared" ca="1" si="17"/>
        <v>0</v>
      </c>
      <c r="AE27" s="251">
        <f t="shared" ca="1" si="18"/>
        <v>0</v>
      </c>
      <c r="AF27" s="251">
        <f t="shared" ca="1" si="19"/>
        <v>0</v>
      </c>
      <c r="AG27" s="251">
        <f t="shared" ca="1" si="20"/>
        <v>0</v>
      </c>
      <c r="AH27" s="251">
        <f t="shared" ca="1" si="65"/>
        <v>0</v>
      </c>
      <c r="AI27" s="251">
        <f t="shared" ca="1" si="66"/>
        <v>0</v>
      </c>
      <c r="AJ27" s="251">
        <f t="shared" ca="1" si="67"/>
        <v>0</v>
      </c>
      <c r="AK27" s="251">
        <f t="shared" ca="1" si="68"/>
        <v>0</v>
      </c>
      <c r="AL27" s="251">
        <f t="shared" ca="1" si="69"/>
        <v>0</v>
      </c>
      <c r="AM27" s="251">
        <f t="shared" ca="1" si="70"/>
        <v>0</v>
      </c>
      <c r="AN27" s="251">
        <f t="shared" ca="1" si="71"/>
        <v>0</v>
      </c>
      <c r="AO27" s="251">
        <f t="shared" ca="1" si="72"/>
        <v>0</v>
      </c>
      <c r="AP27" s="251">
        <f t="shared" ca="1" si="21"/>
        <v>0</v>
      </c>
      <c r="AQ27" s="251">
        <f t="shared" ca="1" si="22"/>
        <v>0</v>
      </c>
      <c r="AR27" s="251">
        <f t="shared" ca="1" si="23"/>
        <v>0</v>
      </c>
      <c r="AS27" s="251">
        <f t="shared" ca="1" si="24"/>
        <v>0</v>
      </c>
      <c r="AT27" s="251">
        <f t="shared" ca="1" si="73"/>
        <v>0</v>
      </c>
      <c r="AU27" s="251">
        <f t="shared" ca="1" si="74"/>
        <v>0</v>
      </c>
      <c r="AV27" s="251">
        <f t="shared" ca="1" si="25"/>
        <v>0</v>
      </c>
      <c r="AW27" s="251">
        <f t="shared" ca="1" si="26"/>
        <v>0</v>
      </c>
      <c r="AX27" s="251">
        <f t="shared" ca="1" si="27"/>
        <v>0</v>
      </c>
      <c r="AY27" s="251">
        <f t="shared" ca="1" si="28"/>
        <v>0</v>
      </c>
      <c r="AZ27" s="251">
        <f t="shared" ca="1" si="29"/>
        <v>0</v>
      </c>
      <c r="BA27" s="251">
        <f t="shared" ca="1" si="30"/>
        <v>0</v>
      </c>
      <c r="BB27" s="251">
        <f t="shared" ca="1" si="31"/>
        <v>0</v>
      </c>
      <c r="BC27" s="251">
        <f t="shared" ca="1" si="32"/>
        <v>0</v>
      </c>
      <c r="BD27" s="251">
        <f t="shared" ca="1" si="33"/>
        <v>0</v>
      </c>
      <c r="BE27" s="251">
        <f t="shared" ca="1" si="34"/>
        <v>0</v>
      </c>
      <c r="BF27" s="251">
        <f t="shared" ca="1" si="35"/>
        <v>0</v>
      </c>
      <c r="BG27" s="251">
        <f t="shared" ca="1" si="36"/>
        <v>0</v>
      </c>
      <c r="BH27" s="251">
        <f t="shared" ca="1" si="75"/>
        <v>0</v>
      </c>
      <c r="BI27" s="251">
        <f t="shared" ca="1" si="76"/>
        <v>0</v>
      </c>
      <c r="BJ27" s="251">
        <f t="shared" ca="1" si="37"/>
        <v>0</v>
      </c>
      <c r="BK27" s="251">
        <f t="shared" ca="1" si="38"/>
        <v>0</v>
      </c>
      <c r="BL27" s="251">
        <f t="shared" ca="1" si="39"/>
        <v>0</v>
      </c>
      <c r="BM27" s="251">
        <f t="shared" ca="1" si="40"/>
        <v>0</v>
      </c>
      <c r="BN27" s="251">
        <f t="shared" ca="1" si="41"/>
        <v>0</v>
      </c>
      <c r="BO27" s="251">
        <f t="shared" ca="1" si="42"/>
        <v>0</v>
      </c>
      <c r="BP27" s="251">
        <f t="shared" ca="1" si="77"/>
        <v>0</v>
      </c>
      <c r="BQ27" s="251">
        <f t="shared" ca="1" si="78"/>
        <v>0</v>
      </c>
      <c r="BR27" s="251">
        <f t="shared" ca="1" si="43"/>
        <v>0</v>
      </c>
      <c r="BS27" s="251">
        <f t="shared" ca="1" si="44"/>
        <v>0</v>
      </c>
      <c r="BT27" s="251">
        <f t="shared" ca="1" si="79"/>
        <v>0</v>
      </c>
      <c r="BU27" s="251">
        <f t="shared" ca="1" si="80"/>
        <v>0</v>
      </c>
      <c r="BV27" s="251">
        <f t="shared" ca="1" si="81"/>
        <v>0</v>
      </c>
      <c r="BW27" s="251">
        <f t="shared" ca="1" si="82"/>
        <v>0</v>
      </c>
      <c r="BX27" s="251">
        <f t="shared" ca="1" si="45"/>
        <v>0</v>
      </c>
      <c r="BY27" s="251">
        <f t="shared" ca="1" si="46"/>
        <v>0</v>
      </c>
      <c r="BZ27" s="251">
        <f t="shared" ca="1" si="47"/>
        <v>0</v>
      </c>
      <c r="CA27" s="251">
        <f t="shared" ca="1" si="48"/>
        <v>0</v>
      </c>
      <c r="CB27" s="251">
        <f t="shared" ca="1" si="49"/>
        <v>0</v>
      </c>
      <c r="CC27" s="251">
        <f t="shared" ca="1" si="50"/>
        <v>0</v>
      </c>
      <c r="CD27" s="251">
        <f t="shared" ca="1" si="83"/>
        <v>0</v>
      </c>
      <c r="CE27" s="251">
        <f t="shared" ca="1" si="84"/>
        <v>0</v>
      </c>
      <c r="CF27" s="251">
        <f t="shared" ca="1" si="85"/>
        <v>0</v>
      </c>
      <c r="CG27" s="251">
        <f t="shared" ca="1" si="86"/>
        <v>0</v>
      </c>
      <c r="CH27" s="251">
        <f t="shared" ca="1" si="51"/>
        <v>0</v>
      </c>
      <c r="CI27" s="251">
        <f t="shared" ca="1" si="52"/>
        <v>0</v>
      </c>
      <c r="CJ27" s="251">
        <f t="shared" ca="1" si="87"/>
        <v>0</v>
      </c>
      <c r="CK27" s="251">
        <f t="shared" ca="1" si="88"/>
        <v>0</v>
      </c>
      <c r="CL27" s="251">
        <f t="shared" ca="1" si="53"/>
        <v>0</v>
      </c>
      <c r="CM27" s="251">
        <f t="shared" ca="1" si="54"/>
        <v>0</v>
      </c>
      <c r="CN27" s="251">
        <f t="shared" ca="1" si="55"/>
        <v>0</v>
      </c>
      <c r="CO27" s="251">
        <f t="shared" ca="1" si="56"/>
        <v>0</v>
      </c>
      <c r="CP27" s="251">
        <f t="shared" ca="1" si="89"/>
        <v>0</v>
      </c>
      <c r="CQ27" s="251">
        <f t="shared" ca="1" si="90"/>
        <v>0</v>
      </c>
      <c r="CR27" s="251">
        <f t="shared" ca="1" si="91"/>
        <v>0</v>
      </c>
      <c r="CS27" s="251">
        <f t="shared" ca="1" si="92"/>
        <v>0</v>
      </c>
      <c r="CT27" s="251">
        <f t="shared" ca="1" si="57"/>
        <v>0</v>
      </c>
      <c r="CU27" s="251">
        <f t="shared" ca="1" si="58"/>
        <v>0</v>
      </c>
      <c r="CV27" s="251">
        <f t="shared" ca="1" si="59"/>
        <v>0</v>
      </c>
      <c r="CW27" s="251">
        <f t="shared" ca="1" si="60"/>
        <v>0</v>
      </c>
      <c r="CX27" s="251">
        <f t="shared" ca="1" si="93"/>
        <v>0</v>
      </c>
      <c r="CY27" s="251">
        <f t="shared" ca="1" si="94"/>
        <v>0</v>
      </c>
      <c r="CZ27" s="251">
        <f t="shared" ca="1" si="95"/>
        <v>0</v>
      </c>
      <c r="DA27" s="251">
        <f t="shared" ca="1" si="96"/>
        <v>0</v>
      </c>
    </row>
    <row r="28" spans="1:105" s="248" customFormat="1" ht="15" customHeight="1">
      <c r="A28" s="58">
        <f t="array" aca="1" ref="A28" ca="1">IF(C28&lt;&gt;0,SUM(($C$11:C28&lt;&gt;0)*1),"")</f>
        <v>18</v>
      </c>
      <c r="B28" s="249" t="str">
        <f ca="1">IF(ROWS($1:18)&gt;COUNT(Dong6),"",OFFSET(TH!C$1,SMALL(Dong6,ROWS($1:18)),))</f>
        <v/>
      </c>
      <c r="C28" s="249" t="str">
        <f ca="1">IF(ROWS($1:18)&gt;COUNT(Dong6),"",OFFSET(TH!D$1,SMALL(Dong6,ROWS($1:18)),))</f>
        <v/>
      </c>
      <c r="D28" s="249" t="str">
        <f ca="1">IF(ROWS($1:18)&gt;COUNT(Dong6),"",OFFSET(TH!E$1,SMALL(Dong6,ROWS($1:18)),))</f>
        <v/>
      </c>
      <c r="E28" s="299" t="str">
        <f ca="1">IF(ROWS($1:18)&gt;COUNT(Dong6),"",OFFSET(TH!F$1,SMALL(Dong6,ROWS($1:18)),))</f>
        <v/>
      </c>
      <c r="F28" s="300" t="str">
        <f ca="1">IF(ROWS($1:18)&gt;COUNT(Dong6),"",OFFSET(TH!M$1,SMALL(Dong6,ROWS($1:18)),))</f>
        <v/>
      </c>
      <c r="G28" s="301" t="str">
        <f ca="1">IF(ROWS($1:18)&gt;COUNT(Dong6),"",OFFSET(TH!N$1,SMALL(Dong6,ROWS($1:18)),))</f>
        <v/>
      </c>
      <c r="H28" s="301" t="str">
        <f ca="1">IF(ROWS($1:18)&gt;COUNT(Dong6),"",OFFSET(TH!O$1,SMALL(Dong6,ROWS($1:18)),))</f>
        <v/>
      </c>
      <c r="I28" s="58">
        <f t="shared" ca="1" si="0"/>
        <v>18</v>
      </c>
      <c r="J28" s="251">
        <f t="shared" ca="1" si="61"/>
        <v>0</v>
      </c>
      <c r="K28" s="251">
        <f t="shared" ca="1" si="62"/>
        <v>0</v>
      </c>
      <c r="L28" s="251">
        <f t="shared" ca="1" si="1"/>
        <v>0</v>
      </c>
      <c r="M28" s="251">
        <f t="shared" ca="1" si="2"/>
        <v>0</v>
      </c>
      <c r="N28" s="251">
        <f t="shared" ca="1" si="3"/>
        <v>0</v>
      </c>
      <c r="O28" s="251">
        <f t="shared" ca="1" si="4"/>
        <v>0</v>
      </c>
      <c r="P28" s="251">
        <f t="shared" ca="1" si="5"/>
        <v>0</v>
      </c>
      <c r="Q28" s="251">
        <f t="shared" ca="1" si="6"/>
        <v>0</v>
      </c>
      <c r="R28" s="251">
        <f t="shared" ca="1" si="7"/>
        <v>0</v>
      </c>
      <c r="S28" s="251">
        <f t="shared" ca="1" si="8"/>
        <v>0</v>
      </c>
      <c r="T28" s="251">
        <f t="shared" ca="1" si="9"/>
        <v>0</v>
      </c>
      <c r="U28" s="251">
        <f t="shared" ca="1" si="10"/>
        <v>0</v>
      </c>
      <c r="V28" s="251">
        <f t="shared" ca="1" si="11"/>
        <v>0</v>
      </c>
      <c r="W28" s="251">
        <f t="shared" ca="1" si="12"/>
        <v>0</v>
      </c>
      <c r="X28" s="251">
        <f t="shared" ca="1" si="13"/>
        <v>0</v>
      </c>
      <c r="Y28" s="251">
        <f t="shared" ca="1" si="14"/>
        <v>0</v>
      </c>
      <c r="Z28" s="251">
        <f t="shared" ca="1" si="15"/>
        <v>0</v>
      </c>
      <c r="AA28" s="251">
        <f t="shared" ca="1" si="16"/>
        <v>0</v>
      </c>
      <c r="AB28" s="251">
        <f t="shared" ca="1" si="63"/>
        <v>0</v>
      </c>
      <c r="AC28" s="251">
        <f t="shared" ca="1" si="64"/>
        <v>0</v>
      </c>
      <c r="AD28" s="251">
        <f t="shared" ca="1" si="17"/>
        <v>0</v>
      </c>
      <c r="AE28" s="251">
        <f t="shared" ca="1" si="18"/>
        <v>0</v>
      </c>
      <c r="AF28" s="251">
        <f t="shared" ca="1" si="19"/>
        <v>0</v>
      </c>
      <c r="AG28" s="251">
        <f t="shared" ca="1" si="20"/>
        <v>0</v>
      </c>
      <c r="AH28" s="251">
        <f t="shared" ca="1" si="65"/>
        <v>0</v>
      </c>
      <c r="AI28" s="251">
        <f t="shared" ca="1" si="66"/>
        <v>0</v>
      </c>
      <c r="AJ28" s="251">
        <f t="shared" ca="1" si="67"/>
        <v>0</v>
      </c>
      <c r="AK28" s="251">
        <f t="shared" ca="1" si="68"/>
        <v>0</v>
      </c>
      <c r="AL28" s="251">
        <f t="shared" ca="1" si="69"/>
        <v>0</v>
      </c>
      <c r="AM28" s="251">
        <f t="shared" ca="1" si="70"/>
        <v>0</v>
      </c>
      <c r="AN28" s="251">
        <f t="shared" ca="1" si="71"/>
        <v>0</v>
      </c>
      <c r="AO28" s="251">
        <f t="shared" ca="1" si="72"/>
        <v>0</v>
      </c>
      <c r="AP28" s="251">
        <f t="shared" ca="1" si="21"/>
        <v>0</v>
      </c>
      <c r="AQ28" s="251">
        <f t="shared" ca="1" si="22"/>
        <v>0</v>
      </c>
      <c r="AR28" s="251">
        <f t="shared" ca="1" si="23"/>
        <v>0</v>
      </c>
      <c r="AS28" s="251">
        <f t="shared" ca="1" si="24"/>
        <v>0</v>
      </c>
      <c r="AT28" s="251">
        <f t="shared" ca="1" si="73"/>
        <v>0</v>
      </c>
      <c r="AU28" s="251">
        <f t="shared" ca="1" si="74"/>
        <v>0</v>
      </c>
      <c r="AV28" s="251">
        <f t="shared" ca="1" si="25"/>
        <v>0</v>
      </c>
      <c r="AW28" s="251">
        <f t="shared" ca="1" si="26"/>
        <v>0</v>
      </c>
      <c r="AX28" s="251">
        <f t="shared" ca="1" si="27"/>
        <v>0</v>
      </c>
      <c r="AY28" s="251">
        <f t="shared" ca="1" si="28"/>
        <v>0</v>
      </c>
      <c r="AZ28" s="251">
        <f t="shared" ca="1" si="29"/>
        <v>0</v>
      </c>
      <c r="BA28" s="251">
        <f t="shared" ca="1" si="30"/>
        <v>0</v>
      </c>
      <c r="BB28" s="251">
        <f t="shared" ca="1" si="31"/>
        <v>0</v>
      </c>
      <c r="BC28" s="251">
        <f t="shared" ca="1" si="32"/>
        <v>0</v>
      </c>
      <c r="BD28" s="251">
        <f t="shared" ca="1" si="33"/>
        <v>0</v>
      </c>
      <c r="BE28" s="251">
        <f t="shared" ca="1" si="34"/>
        <v>0</v>
      </c>
      <c r="BF28" s="251">
        <f t="shared" ca="1" si="35"/>
        <v>0</v>
      </c>
      <c r="BG28" s="251">
        <f t="shared" ca="1" si="36"/>
        <v>0</v>
      </c>
      <c r="BH28" s="251">
        <f t="shared" ca="1" si="75"/>
        <v>0</v>
      </c>
      <c r="BI28" s="251">
        <f t="shared" ca="1" si="76"/>
        <v>0</v>
      </c>
      <c r="BJ28" s="251">
        <f t="shared" ca="1" si="37"/>
        <v>0</v>
      </c>
      <c r="BK28" s="251">
        <f t="shared" ca="1" si="38"/>
        <v>0</v>
      </c>
      <c r="BL28" s="251">
        <f t="shared" ca="1" si="39"/>
        <v>0</v>
      </c>
      <c r="BM28" s="251">
        <f t="shared" ca="1" si="40"/>
        <v>0</v>
      </c>
      <c r="BN28" s="251">
        <f t="shared" ca="1" si="41"/>
        <v>0</v>
      </c>
      <c r="BO28" s="251">
        <f t="shared" ca="1" si="42"/>
        <v>0</v>
      </c>
      <c r="BP28" s="251">
        <f t="shared" ca="1" si="77"/>
        <v>0</v>
      </c>
      <c r="BQ28" s="251">
        <f t="shared" ca="1" si="78"/>
        <v>0</v>
      </c>
      <c r="BR28" s="251">
        <f t="shared" ca="1" si="43"/>
        <v>0</v>
      </c>
      <c r="BS28" s="251">
        <f t="shared" ca="1" si="44"/>
        <v>0</v>
      </c>
      <c r="BT28" s="251">
        <f t="shared" ca="1" si="79"/>
        <v>0</v>
      </c>
      <c r="BU28" s="251">
        <f t="shared" ca="1" si="80"/>
        <v>0</v>
      </c>
      <c r="BV28" s="251">
        <f t="shared" ca="1" si="81"/>
        <v>0</v>
      </c>
      <c r="BW28" s="251">
        <f t="shared" ca="1" si="82"/>
        <v>0</v>
      </c>
      <c r="BX28" s="251">
        <f t="shared" ca="1" si="45"/>
        <v>0</v>
      </c>
      <c r="BY28" s="251">
        <f t="shared" ca="1" si="46"/>
        <v>0</v>
      </c>
      <c r="BZ28" s="251">
        <f t="shared" ca="1" si="47"/>
        <v>0</v>
      </c>
      <c r="CA28" s="251">
        <f t="shared" ca="1" si="48"/>
        <v>0</v>
      </c>
      <c r="CB28" s="251">
        <f t="shared" ca="1" si="49"/>
        <v>0</v>
      </c>
      <c r="CC28" s="251">
        <f t="shared" ca="1" si="50"/>
        <v>0</v>
      </c>
      <c r="CD28" s="251">
        <f t="shared" ca="1" si="83"/>
        <v>0</v>
      </c>
      <c r="CE28" s="251">
        <f t="shared" ca="1" si="84"/>
        <v>0</v>
      </c>
      <c r="CF28" s="251">
        <f t="shared" ca="1" si="85"/>
        <v>0</v>
      </c>
      <c r="CG28" s="251">
        <f t="shared" ca="1" si="86"/>
        <v>0</v>
      </c>
      <c r="CH28" s="251">
        <f t="shared" ca="1" si="51"/>
        <v>0</v>
      </c>
      <c r="CI28" s="251">
        <f t="shared" ca="1" si="52"/>
        <v>0</v>
      </c>
      <c r="CJ28" s="251">
        <f t="shared" ca="1" si="87"/>
        <v>0</v>
      </c>
      <c r="CK28" s="251">
        <f t="shared" ca="1" si="88"/>
        <v>0</v>
      </c>
      <c r="CL28" s="251">
        <f t="shared" ca="1" si="53"/>
        <v>0</v>
      </c>
      <c r="CM28" s="251">
        <f t="shared" ca="1" si="54"/>
        <v>0</v>
      </c>
      <c r="CN28" s="251">
        <f t="shared" ca="1" si="55"/>
        <v>0</v>
      </c>
      <c r="CO28" s="251">
        <f t="shared" ca="1" si="56"/>
        <v>0</v>
      </c>
      <c r="CP28" s="251">
        <f t="shared" ca="1" si="89"/>
        <v>0</v>
      </c>
      <c r="CQ28" s="251">
        <f t="shared" ca="1" si="90"/>
        <v>0</v>
      </c>
      <c r="CR28" s="251">
        <f t="shared" ca="1" si="91"/>
        <v>0</v>
      </c>
      <c r="CS28" s="251">
        <f t="shared" ca="1" si="92"/>
        <v>0</v>
      </c>
      <c r="CT28" s="251">
        <f t="shared" ca="1" si="57"/>
        <v>0</v>
      </c>
      <c r="CU28" s="251">
        <f t="shared" ca="1" si="58"/>
        <v>0</v>
      </c>
      <c r="CV28" s="251">
        <f t="shared" ca="1" si="59"/>
        <v>0</v>
      </c>
      <c r="CW28" s="251">
        <f t="shared" ca="1" si="60"/>
        <v>0</v>
      </c>
      <c r="CX28" s="251">
        <f t="shared" ca="1" si="93"/>
        <v>0</v>
      </c>
      <c r="CY28" s="251">
        <f t="shared" ca="1" si="94"/>
        <v>0</v>
      </c>
      <c r="CZ28" s="251">
        <f t="shared" ca="1" si="95"/>
        <v>0</v>
      </c>
      <c r="DA28" s="251">
        <f t="shared" ca="1" si="96"/>
        <v>0</v>
      </c>
    </row>
    <row r="29" spans="1:105" s="248" customFormat="1" ht="15" customHeight="1">
      <c r="A29" s="58">
        <f t="array" aca="1" ref="A29" ca="1">IF(C29&lt;&gt;0,SUM(($C$11:C29&lt;&gt;0)*1),"")</f>
        <v>19</v>
      </c>
      <c r="B29" s="249" t="str">
        <f ca="1">IF(ROWS($1:19)&gt;COUNT(Dong6),"",OFFSET(TH!C$1,SMALL(Dong6,ROWS($1:19)),))</f>
        <v/>
      </c>
      <c r="C29" s="249" t="str">
        <f ca="1">IF(ROWS($1:19)&gt;COUNT(Dong6),"",OFFSET(TH!D$1,SMALL(Dong6,ROWS($1:19)),))</f>
        <v/>
      </c>
      <c r="D29" s="249" t="str">
        <f ca="1">IF(ROWS($1:19)&gt;COUNT(Dong6),"",OFFSET(TH!E$1,SMALL(Dong6,ROWS($1:19)),))</f>
        <v/>
      </c>
      <c r="E29" s="299" t="str">
        <f ca="1">IF(ROWS($1:19)&gt;COUNT(Dong6),"",OFFSET(TH!F$1,SMALL(Dong6,ROWS($1:19)),))</f>
        <v/>
      </c>
      <c r="F29" s="300" t="str">
        <f ca="1">IF(ROWS($1:19)&gt;COUNT(Dong6),"",OFFSET(TH!M$1,SMALL(Dong6,ROWS($1:19)),))</f>
        <v/>
      </c>
      <c r="G29" s="301" t="str">
        <f ca="1">IF(ROWS($1:19)&gt;COUNT(Dong6),"",OFFSET(TH!N$1,SMALL(Dong6,ROWS($1:19)),))</f>
        <v/>
      </c>
      <c r="H29" s="301" t="str">
        <f ca="1">IF(ROWS($1:19)&gt;COUNT(Dong6),"",OFFSET(TH!O$1,SMALL(Dong6,ROWS($1:19)),))</f>
        <v/>
      </c>
      <c r="I29" s="58">
        <f t="shared" ca="1" si="0"/>
        <v>19</v>
      </c>
      <c r="J29" s="251">
        <f t="shared" ca="1" si="61"/>
        <v>0</v>
      </c>
      <c r="K29" s="251">
        <f t="shared" ca="1" si="62"/>
        <v>0</v>
      </c>
      <c r="L29" s="251">
        <f t="shared" ca="1" si="1"/>
        <v>0</v>
      </c>
      <c r="M29" s="251">
        <f t="shared" ca="1" si="2"/>
        <v>0</v>
      </c>
      <c r="N29" s="251">
        <f t="shared" ca="1" si="3"/>
        <v>0</v>
      </c>
      <c r="O29" s="251">
        <f t="shared" ca="1" si="4"/>
        <v>0</v>
      </c>
      <c r="P29" s="251">
        <f t="shared" ca="1" si="5"/>
        <v>0</v>
      </c>
      <c r="Q29" s="251">
        <f t="shared" ca="1" si="6"/>
        <v>0</v>
      </c>
      <c r="R29" s="251">
        <f t="shared" ca="1" si="7"/>
        <v>0</v>
      </c>
      <c r="S29" s="251">
        <f t="shared" ca="1" si="8"/>
        <v>0</v>
      </c>
      <c r="T29" s="251">
        <f t="shared" ca="1" si="9"/>
        <v>0</v>
      </c>
      <c r="U29" s="251">
        <f t="shared" ca="1" si="10"/>
        <v>0</v>
      </c>
      <c r="V29" s="251">
        <f t="shared" ca="1" si="11"/>
        <v>0</v>
      </c>
      <c r="W29" s="251">
        <f t="shared" ca="1" si="12"/>
        <v>0</v>
      </c>
      <c r="X29" s="251">
        <f t="shared" ca="1" si="13"/>
        <v>0</v>
      </c>
      <c r="Y29" s="251">
        <f t="shared" ca="1" si="14"/>
        <v>0</v>
      </c>
      <c r="Z29" s="251">
        <f t="shared" ca="1" si="15"/>
        <v>0</v>
      </c>
      <c r="AA29" s="251">
        <f t="shared" ca="1" si="16"/>
        <v>0</v>
      </c>
      <c r="AB29" s="251">
        <f t="shared" ca="1" si="63"/>
        <v>0</v>
      </c>
      <c r="AC29" s="251">
        <f t="shared" ca="1" si="64"/>
        <v>0</v>
      </c>
      <c r="AD29" s="251">
        <f t="shared" ca="1" si="17"/>
        <v>0</v>
      </c>
      <c r="AE29" s="251">
        <f t="shared" ca="1" si="18"/>
        <v>0</v>
      </c>
      <c r="AF29" s="251">
        <f t="shared" ca="1" si="19"/>
        <v>0</v>
      </c>
      <c r="AG29" s="251">
        <f t="shared" ca="1" si="20"/>
        <v>0</v>
      </c>
      <c r="AH29" s="251">
        <f t="shared" ca="1" si="65"/>
        <v>0</v>
      </c>
      <c r="AI29" s="251">
        <f t="shared" ca="1" si="66"/>
        <v>0</v>
      </c>
      <c r="AJ29" s="251">
        <f t="shared" ca="1" si="67"/>
        <v>0</v>
      </c>
      <c r="AK29" s="251">
        <f t="shared" ca="1" si="68"/>
        <v>0</v>
      </c>
      <c r="AL29" s="251">
        <f t="shared" ca="1" si="69"/>
        <v>0</v>
      </c>
      <c r="AM29" s="251">
        <f t="shared" ca="1" si="70"/>
        <v>0</v>
      </c>
      <c r="AN29" s="251">
        <f t="shared" ca="1" si="71"/>
        <v>0</v>
      </c>
      <c r="AO29" s="251">
        <f t="shared" ca="1" si="72"/>
        <v>0</v>
      </c>
      <c r="AP29" s="251">
        <f t="shared" ca="1" si="21"/>
        <v>0</v>
      </c>
      <c r="AQ29" s="251">
        <f t="shared" ca="1" si="22"/>
        <v>0</v>
      </c>
      <c r="AR29" s="251">
        <f t="shared" ca="1" si="23"/>
        <v>0</v>
      </c>
      <c r="AS29" s="251">
        <f t="shared" ca="1" si="24"/>
        <v>0</v>
      </c>
      <c r="AT29" s="251">
        <f t="shared" ca="1" si="73"/>
        <v>0</v>
      </c>
      <c r="AU29" s="251">
        <f t="shared" ca="1" si="74"/>
        <v>0</v>
      </c>
      <c r="AV29" s="251">
        <f t="shared" ca="1" si="25"/>
        <v>0</v>
      </c>
      <c r="AW29" s="251">
        <f t="shared" ca="1" si="26"/>
        <v>0</v>
      </c>
      <c r="AX29" s="251">
        <f t="shared" ca="1" si="27"/>
        <v>0</v>
      </c>
      <c r="AY29" s="251">
        <f t="shared" ca="1" si="28"/>
        <v>0</v>
      </c>
      <c r="AZ29" s="251">
        <f t="shared" ca="1" si="29"/>
        <v>0</v>
      </c>
      <c r="BA29" s="251">
        <f t="shared" ca="1" si="30"/>
        <v>0</v>
      </c>
      <c r="BB29" s="251">
        <f t="shared" ca="1" si="31"/>
        <v>0</v>
      </c>
      <c r="BC29" s="251">
        <f t="shared" ca="1" si="32"/>
        <v>0</v>
      </c>
      <c r="BD29" s="251">
        <f t="shared" ca="1" si="33"/>
        <v>0</v>
      </c>
      <c r="BE29" s="251">
        <f t="shared" ca="1" si="34"/>
        <v>0</v>
      </c>
      <c r="BF29" s="251">
        <f t="shared" ca="1" si="35"/>
        <v>0</v>
      </c>
      <c r="BG29" s="251">
        <f t="shared" ca="1" si="36"/>
        <v>0</v>
      </c>
      <c r="BH29" s="251">
        <f t="shared" ca="1" si="75"/>
        <v>0</v>
      </c>
      <c r="BI29" s="251">
        <f t="shared" ca="1" si="76"/>
        <v>0</v>
      </c>
      <c r="BJ29" s="251">
        <f t="shared" ca="1" si="37"/>
        <v>0</v>
      </c>
      <c r="BK29" s="251">
        <f t="shared" ca="1" si="38"/>
        <v>0</v>
      </c>
      <c r="BL29" s="251">
        <f t="shared" ca="1" si="39"/>
        <v>0</v>
      </c>
      <c r="BM29" s="251">
        <f t="shared" ca="1" si="40"/>
        <v>0</v>
      </c>
      <c r="BN29" s="251">
        <f t="shared" ca="1" si="41"/>
        <v>0</v>
      </c>
      <c r="BO29" s="251">
        <f t="shared" ca="1" si="42"/>
        <v>0</v>
      </c>
      <c r="BP29" s="251">
        <f t="shared" ca="1" si="77"/>
        <v>0</v>
      </c>
      <c r="BQ29" s="251">
        <f t="shared" ca="1" si="78"/>
        <v>0</v>
      </c>
      <c r="BR29" s="251">
        <f t="shared" ca="1" si="43"/>
        <v>0</v>
      </c>
      <c r="BS29" s="251">
        <f t="shared" ca="1" si="44"/>
        <v>0</v>
      </c>
      <c r="BT29" s="251">
        <f t="shared" ca="1" si="79"/>
        <v>0</v>
      </c>
      <c r="BU29" s="251">
        <f t="shared" ca="1" si="80"/>
        <v>0</v>
      </c>
      <c r="BV29" s="251">
        <f t="shared" ca="1" si="81"/>
        <v>0</v>
      </c>
      <c r="BW29" s="251">
        <f t="shared" ca="1" si="82"/>
        <v>0</v>
      </c>
      <c r="BX29" s="251">
        <f t="shared" ca="1" si="45"/>
        <v>0</v>
      </c>
      <c r="BY29" s="251">
        <f t="shared" ca="1" si="46"/>
        <v>0</v>
      </c>
      <c r="BZ29" s="251">
        <f t="shared" ca="1" si="47"/>
        <v>0</v>
      </c>
      <c r="CA29" s="251">
        <f t="shared" ca="1" si="48"/>
        <v>0</v>
      </c>
      <c r="CB29" s="251">
        <f t="shared" ca="1" si="49"/>
        <v>0</v>
      </c>
      <c r="CC29" s="251">
        <f t="shared" ca="1" si="50"/>
        <v>0</v>
      </c>
      <c r="CD29" s="251">
        <f t="shared" ca="1" si="83"/>
        <v>0</v>
      </c>
      <c r="CE29" s="251">
        <f t="shared" ca="1" si="84"/>
        <v>0</v>
      </c>
      <c r="CF29" s="251">
        <f t="shared" ca="1" si="85"/>
        <v>0</v>
      </c>
      <c r="CG29" s="251">
        <f t="shared" ca="1" si="86"/>
        <v>0</v>
      </c>
      <c r="CH29" s="251">
        <f t="shared" ca="1" si="51"/>
        <v>0</v>
      </c>
      <c r="CI29" s="251">
        <f t="shared" ca="1" si="52"/>
        <v>0</v>
      </c>
      <c r="CJ29" s="251">
        <f t="shared" ca="1" si="87"/>
        <v>0</v>
      </c>
      <c r="CK29" s="251">
        <f t="shared" ca="1" si="88"/>
        <v>0</v>
      </c>
      <c r="CL29" s="251">
        <f t="shared" ca="1" si="53"/>
        <v>0</v>
      </c>
      <c r="CM29" s="251">
        <f t="shared" ca="1" si="54"/>
        <v>0</v>
      </c>
      <c r="CN29" s="251">
        <f t="shared" ca="1" si="55"/>
        <v>0</v>
      </c>
      <c r="CO29" s="251">
        <f t="shared" ca="1" si="56"/>
        <v>0</v>
      </c>
      <c r="CP29" s="251">
        <f t="shared" ca="1" si="89"/>
        <v>0</v>
      </c>
      <c r="CQ29" s="251">
        <f t="shared" ca="1" si="90"/>
        <v>0</v>
      </c>
      <c r="CR29" s="251">
        <f t="shared" ca="1" si="91"/>
        <v>0</v>
      </c>
      <c r="CS29" s="251">
        <f t="shared" ca="1" si="92"/>
        <v>0</v>
      </c>
      <c r="CT29" s="251">
        <f t="shared" ca="1" si="57"/>
        <v>0</v>
      </c>
      <c r="CU29" s="251">
        <f t="shared" ca="1" si="58"/>
        <v>0</v>
      </c>
      <c r="CV29" s="251">
        <f t="shared" ca="1" si="59"/>
        <v>0</v>
      </c>
      <c r="CW29" s="251">
        <f t="shared" ca="1" si="60"/>
        <v>0</v>
      </c>
      <c r="CX29" s="251">
        <f t="shared" ca="1" si="93"/>
        <v>0</v>
      </c>
      <c r="CY29" s="251">
        <f t="shared" ca="1" si="94"/>
        <v>0</v>
      </c>
      <c r="CZ29" s="251">
        <f t="shared" ca="1" si="95"/>
        <v>0</v>
      </c>
      <c r="DA29" s="251">
        <f t="shared" ca="1" si="96"/>
        <v>0</v>
      </c>
    </row>
    <row r="30" spans="1:105" s="248" customFormat="1" ht="15" customHeight="1">
      <c r="A30" s="58">
        <f t="array" aca="1" ref="A30" ca="1">IF(C30&lt;&gt;0,SUM(($C$11:C30&lt;&gt;0)*1),"")</f>
        <v>20</v>
      </c>
      <c r="B30" s="249" t="str">
        <f ca="1">IF(ROWS($1:20)&gt;COUNT(Dong6),"",OFFSET(TH!C$1,SMALL(Dong6,ROWS($1:20)),))</f>
        <v/>
      </c>
      <c r="C30" s="249" t="str">
        <f ca="1">IF(ROWS($1:20)&gt;COUNT(Dong6),"",OFFSET(TH!D$1,SMALL(Dong6,ROWS($1:20)),))</f>
        <v/>
      </c>
      <c r="D30" s="249" t="str">
        <f ca="1">IF(ROWS($1:20)&gt;COUNT(Dong6),"",OFFSET(TH!E$1,SMALL(Dong6,ROWS($1:20)),))</f>
        <v/>
      </c>
      <c r="E30" s="299" t="str">
        <f ca="1">IF(ROWS($1:20)&gt;COUNT(Dong6),"",OFFSET(TH!F$1,SMALL(Dong6,ROWS($1:20)),))</f>
        <v/>
      </c>
      <c r="F30" s="300" t="str">
        <f ca="1">IF(ROWS($1:20)&gt;COUNT(Dong6),"",OFFSET(TH!M$1,SMALL(Dong6,ROWS($1:20)),))</f>
        <v/>
      </c>
      <c r="G30" s="301" t="str">
        <f ca="1">IF(ROWS($1:20)&gt;COUNT(Dong6),"",OFFSET(TH!N$1,SMALL(Dong6,ROWS($1:20)),))</f>
        <v/>
      </c>
      <c r="H30" s="301" t="str">
        <f ca="1">IF(ROWS($1:20)&gt;COUNT(Dong6),"",OFFSET(TH!O$1,SMALL(Dong6,ROWS($1:20)),))</f>
        <v/>
      </c>
      <c r="I30" s="58">
        <f t="shared" ca="1" si="0"/>
        <v>20</v>
      </c>
      <c r="J30" s="251">
        <f t="shared" ca="1" si="61"/>
        <v>0</v>
      </c>
      <c r="K30" s="251">
        <f t="shared" ca="1" si="62"/>
        <v>0</v>
      </c>
      <c r="L30" s="251">
        <f t="shared" ca="1" si="1"/>
        <v>0</v>
      </c>
      <c r="M30" s="251">
        <f t="shared" ca="1" si="2"/>
        <v>0</v>
      </c>
      <c r="N30" s="251">
        <f t="shared" ca="1" si="3"/>
        <v>0</v>
      </c>
      <c r="O30" s="251">
        <f t="shared" ca="1" si="4"/>
        <v>0</v>
      </c>
      <c r="P30" s="251">
        <f t="shared" ca="1" si="5"/>
        <v>0</v>
      </c>
      <c r="Q30" s="251">
        <f t="shared" ca="1" si="6"/>
        <v>0</v>
      </c>
      <c r="R30" s="251">
        <f t="shared" ca="1" si="7"/>
        <v>0</v>
      </c>
      <c r="S30" s="251">
        <f t="shared" ca="1" si="8"/>
        <v>0</v>
      </c>
      <c r="T30" s="251">
        <f t="shared" ca="1" si="9"/>
        <v>0</v>
      </c>
      <c r="U30" s="251">
        <f t="shared" ca="1" si="10"/>
        <v>0</v>
      </c>
      <c r="V30" s="251">
        <f t="shared" ca="1" si="11"/>
        <v>0</v>
      </c>
      <c r="W30" s="251">
        <f t="shared" ca="1" si="12"/>
        <v>0</v>
      </c>
      <c r="X30" s="251">
        <f t="shared" ca="1" si="13"/>
        <v>0</v>
      </c>
      <c r="Y30" s="251">
        <f t="shared" ca="1" si="14"/>
        <v>0</v>
      </c>
      <c r="Z30" s="251">
        <f t="shared" ca="1" si="15"/>
        <v>0</v>
      </c>
      <c r="AA30" s="251">
        <f t="shared" ca="1" si="16"/>
        <v>0</v>
      </c>
      <c r="AB30" s="251">
        <f t="shared" ca="1" si="63"/>
        <v>0</v>
      </c>
      <c r="AC30" s="251">
        <f t="shared" ca="1" si="64"/>
        <v>0</v>
      </c>
      <c r="AD30" s="251">
        <f t="shared" ca="1" si="17"/>
        <v>0</v>
      </c>
      <c r="AE30" s="251">
        <f t="shared" ca="1" si="18"/>
        <v>0</v>
      </c>
      <c r="AF30" s="251">
        <f t="shared" ca="1" si="19"/>
        <v>0</v>
      </c>
      <c r="AG30" s="251">
        <f t="shared" ca="1" si="20"/>
        <v>0</v>
      </c>
      <c r="AH30" s="251">
        <f t="shared" ca="1" si="65"/>
        <v>0</v>
      </c>
      <c r="AI30" s="251">
        <f t="shared" ca="1" si="66"/>
        <v>0</v>
      </c>
      <c r="AJ30" s="251">
        <f t="shared" ca="1" si="67"/>
        <v>0</v>
      </c>
      <c r="AK30" s="251">
        <f t="shared" ca="1" si="68"/>
        <v>0</v>
      </c>
      <c r="AL30" s="251">
        <f t="shared" ca="1" si="69"/>
        <v>0</v>
      </c>
      <c r="AM30" s="251">
        <f t="shared" ca="1" si="70"/>
        <v>0</v>
      </c>
      <c r="AN30" s="251">
        <f t="shared" ca="1" si="71"/>
        <v>0</v>
      </c>
      <c r="AO30" s="251">
        <f t="shared" ca="1" si="72"/>
        <v>0</v>
      </c>
      <c r="AP30" s="251">
        <f t="shared" ca="1" si="21"/>
        <v>0</v>
      </c>
      <c r="AQ30" s="251">
        <f t="shared" ca="1" si="22"/>
        <v>0</v>
      </c>
      <c r="AR30" s="251">
        <f t="shared" ca="1" si="23"/>
        <v>0</v>
      </c>
      <c r="AS30" s="251">
        <f t="shared" ca="1" si="24"/>
        <v>0</v>
      </c>
      <c r="AT30" s="251">
        <f t="shared" ca="1" si="73"/>
        <v>0</v>
      </c>
      <c r="AU30" s="251">
        <f t="shared" ca="1" si="74"/>
        <v>0</v>
      </c>
      <c r="AV30" s="251">
        <f t="shared" ca="1" si="25"/>
        <v>0</v>
      </c>
      <c r="AW30" s="251">
        <f t="shared" ca="1" si="26"/>
        <v>0</v>
      </c>
      <c r="AX30" s="251">
        <f t="shared" ca="1" si="27"/>
        <v>0</v>
      </c>
      <c r="AY30" s="251">
        <f t="shared" ca="1" si="28"/>
        <v>0</v>
      </c>
      <c r="AZ30" s="251">
        <f t="shared" ca="1" si="29"/>
        <v>0</v>
      </c>
      <c r="BA30" s="251">
        <f t="shared" ca="1" si="30"/>
        <v>0</v>
      </c>
      <c r="BB30" s="251">
        <f t="shared" ca="1" si="31"/>
        <v>0</v>
      </c>
      <c r="BC30" s="251">
        <f t="shared" ca="1" si="32"/>
        <v>0</v>
      </c>
      <c r="BD30" s="251">
        <f t="shared" ca="1" si="33"/>
        <v>0</v>
      </c>
      <c r="BE30" s="251">
        <f t="shared" ca="1" si="34"/>
        <v>0</v>
      </c>
      <c r="BF30" s="251">
        <f t="shared" ca="1" si="35"/>
        <v>0</v>
      </c>
      <c r="BG30" s="251">
        <f t="shared" ca="1" si="36"/>
        <v>0</v>
      </c>
      <c r="BH30" s="251">
        <f t="shared" ca="1" si="75"/>
        <v>0</v>
      </c>
      <c r="BI30" s="251">
        <f t="shared" ca="1" si="76"/>
        <v>0</v>
      </c>
      <c r="BJ30" s="251">
        <f t="shared" ca="1" si="37"/>
        <v>0</v>
      </c>
      <c r="BK30" s="251">
        <f t="shared" ca="1" si="38"/>
        <v>0</v>
      </c>
      <c r="BL30" s="251">
        <f t="shared" ca="1" si="39"/>
        <v>0</v>
      </c>
      <c r="BM30" s="251">
        <f t="shared" ca="1" si="40"/>
        <v>0</v>
      </c>
      <c r="BN30" s="251">
        <f t="shared" ca="1" si="41"/>
        <v>0</v>
      </c>
      <c r="BO30" s="251">
        <f t="shared" ca="1" si="42"/>
        <v>0</v>
      </c>
      <c r="BP30" s="251">
        <f t="shared" ca="1" si="77"/>
        <v>0</v>
      </c>
      <c r="BQ30" s="251">
        <f t="shared" ca="1" si="78"/>
        <v>0</v>
      </c>
      <c r="BR30" s="251">
        <f t="shared" ca="1" si="43"/>
        <v>0</v>
      </c>
      <c r="BS30" s="251">
        <f t="shared" ca="1" si="44"/>
        <v>0</v>
      </c>
      <c r="BT30" s="251">
        <f t="shared" ca="1" si="79"/>
        <v>0</v>
      </c>
      <c r="BU30" s="251">
        <f t="shared" ca="1" si="80"/>
        <v>0</v>
      </c>
      <c r="BV30" s="251">
        <f t="shared" ca="1" si="81"/>
        <v>0</v>
      </c>
      <c r="BW30" s="251">
        <f t="shared" ca="1" si="82"/>
        <v>0</v>
      </c>
      <c r="BX30" s="251">
        <f t="shared" ca="1" si="45"/>
        <v>0</v>
      </c>
      <c r="BY30" s="251">
        <f t="shared" ca="1" si="46"/>
        <v>0</v>
      </c>
      <c r="BZ30" s="251">
        <f t="shared" ca="1" si="47"/>
        <v>0</v>
      </c>
      <c r="CA30" s="251">
        <f t="shared" ca="1" si="48"/>
        <v>0</v>
      </c>
      <c r="CB30" s="251">
        <f t="shared" ca="1" si="49"/>
        <v>0</v>
      </c>
      <c r="CC30" s="251">
        <f t="shared" ca="1" si="50"/>
        <v>0</v>
      </c>
      <c r="CD30" s="251">
        <f t="shared" ca="1" si="83"/>
        <v>0</v>
      </c>
      <c r="CE30" s="251">
        <f t="shared" ca="1" si="84"/>
        <v>0</v>
      </c>
      <c r="CF30" s="251">
        <f t="shared" ca="1" si="85"/>
        <v>0</v>
      </c>
      <c r="CG30" s="251">
        <f t="shared" ca="1" si="86"/>
        <v>0</v>
      </c>
      <c r="CH30" s="251">
        <f t="shared" ca="1" si="51"/>
        <v>0</v>
      </c>
      <c r="CI30" s="251">
        <f t="shared" ca="1" si="52"/>
        <v>0</v>
      </c>
      <c r="CJ30" s="251">
        <f t="shared" ca="1" si="87"/>
        <v>0</v>
      </c>
      <c r="CK30" s="251">
        <f t="shared" ca="1" si="88"/>
        <v>0</v>
      </c>
      <c r="CL30" s="251">
        <f t="shared" ca="1" si="53"/>
        <v>0</v>
      </c>
      <c r="CM30" s="251">
        <f t="shared" ca="1" si="54"/>
        <v>0</v>
      </c>
      <c r="CN30" s="251">
        <f t="shared" ca="1" si="55"/>
        <v>0</v>
      </c>
      <c r="CO30" s="251">
        <f t="shared" ca="1" si="56"/>
        <v>0</v>
      </c>
      <c r="CP30" s="251">
        <f t="shared" ca="1" si="89"/>
        <v>0</v>
      </c>
      <c r="CQ30" s="251">
        <f t="shared" ca="1" si="90"/>
        <v>0</v>
      </c>
      <c r="CR30" s="251">
        <f t="shared" ca="1" si="91"/>
        <v>0</v>
      </c>
      <c r="CS30" s="251">
        <f t="shared" ca="1" si="92"/>
        <v>0</v>
      </c>
      <c r="CT30" s="251">
        <f t="shared" ca="1" si="57"/>
        <v>0</v>
      </c>
      <c r="CU30" s="251">
        <f t="shared" ca="1" si="58"/>
        <v>0</v>
      </c>
      <c r="CV30" s="251">
        <f t="shared" ca="1" si="59"/>
        <v>0</v>
      </c>
      <c r="CW30" s="251">
        <f t="shared" ca="1" si="60"/>
        <v>0</v>
      </c>
      <c r="CX30" s="251">
        <f t="shared" ca="1" si="93"/>
        <v>0</v>
      </c>
      <c r="CY30" s="251">
        <f t="shared" ca="1" si="94"/>
        <v>0</v>
      </c>
      <c r="CZ30" s="251">
        <f t="shared" ca="1" si="95"/>
        <v>0</v>
      </c>
      <c r="DA30" s="251">
        <f t="shared" ca="1" si="96"/>
        <v>0</v>
      </c>
    </row>
    <row r="31" spans="1:105" s="248" customFormat="1" ht="15" customHeight="1">
      <c r="A31" s="58">
        <f t="array" aca="1" ref="A31" ca="1">IF(C31&lt;&gt;0,SUM(($C$11:C31&lt;&gt;0)*1),"")</f>
        <v>21</v>
      </c>
      <c r="B31" s="249" t="str">
        <f ca="1">IF(ROWS($1:21)&gt;COUNT(Dong6),"",OFFSET(TH!C$1,SMALL(Dong6,ROWS($1:21)),))</f>
        <v/>
      </c>
      <c r="C31" s="249" t="str">
        <f ca="1">IF(ROWS($1:21)&gt;COUNT(Dong6),"",OFFSET(TH!D$1,SMALL(Dong6,ROWS($1:21)),))</f>
        <v/>
      </c>
      <c r="D31" s="249" t="str">
        <f ca="1">IF(ROWS($1:21)&gt;COUNT(Dong6),"",OFFSET(TH!E$1,SMALL(Dong6,ROWS($1:21)),))</f>
        <v/>
      </c>
      <c r="E31" s="299" t="str">
        <f ca="1">IF(ROWS($1:21)&gt;COUNT(Dong6),"",OFFSET(TH!F$1,SMALL(Dong6,ROWS($1:21)),))</f>
        <v/>
      </c>
      <c r="F31" s="300" t="str">
        <f ca="1">IF(ROWS($1:21)&gt;COUNT(Dong6),"",OFFSET(TH!M$1,SMALL(Dong6,ROWS($1:21)),))</f>
        <v/>
      </c>
      <c r="G31" s="301" t="str">
        <f ca="1">IF(ROWS($1:21)&gt;COUNT(Dong6),"",OFFSET(TH!N$1,SMALL(Dong6,ROWS($1:21)),))</f>
        <v/>
      </c>
      <c r="H31" s="301" t="str">
        <f ca="1">IF(ROWS($1:21)&gt;COUNT(Dong6),"",OFFSET(TH!O$1,SMALL(Dong6,ROWS($1:21)),))</f>
        <v/>
      </c>
      <c r="I31" s="58">
        <f t="shared" ca="1" si="0"/>
        <v>21</v>
      </c>
      <c r="J31" s="251">
        <f t="shared" ca="1" si="61"/>
        <v>0</v>
      </c>
      <c r="K31" s="251">
        <f t="shared" ca="1" si="62"/>
        <v>0</v>
      </c>
      <c r="L31" s="251">
        <f t="shared" ca="1" si="1"/>
        <v>0</v>
      </c>
      <c r="M31" s="251">
        <f t="shared" ca="1" si="2"/>
        <v>0</v>
      </c>
      <c r="N31" s="251">
        <f t="shared" ca="1" si="3"/>
        <v>0</v>
      </c>
      <c r="O31" s="251">
        <f t="shared" ca="1" si="4"/>
        <v>0</v>
      </c>
      <c r="P31" s="251">
        <f t="shared" ca="1" si="5"/>
        <v>0</v>
      </c>
      <c r="Q31" s="251">
        <f t="shared" ca="1" si="6"/>
        <v>0</v>
      </c>
      <c r="R31" s="251">
        <f t="shared" ca="1" si="7"/>
        <v>0</v>
      </c>
      <c r="S31" s="251">
        <f t="shared" ca="1" si="8"/>
        <v>0</v>
      </c>
      <c r="T31" s="251">
        <f t="shared" ca="1" si="9"/>
        <v>0</v>
      </c>
      <c r="U31" s="251">
        <f t="shared" ca="1" si="10"/>
        <v>0</v>
      </c>
      <c r="V31" s="251">
        <f t="shared" ca="1" si="11"/>
        <v>0</v>
      </c>
      <c r="W31" s="251">
        <f t="shared" ca="1" si="12"/>
        <v>0</v>
      </c>
      <c r="X31" s="251">
        <f t="shared" ca="1" si="13"/>
        <v>0</v>
      </c>
      <c r="Y31" s="251">
        <f t="shared" ca="1" si="14"/>
        <v>0</v>
      </c>
      <c r="Z31" s="251">
        <f t="shared" ca="1" si="15"/>
        <v>0</v>
      </c>
      <c r="AA31" s="251">
        <f t="shared" ca="1" si="16"/>
        <v>0</v>
      </c>
      <c r="AB31" s="251">
        <f t="shared" ca="1" si="63"/>
        <v>0</v>
      </c>
      <c r="AC31" s="251">
        <f t="shared" ca="1" si="64"/>
        <v>0</v>
      </c>
      <c r="AD31" s="251">
        <f t="shared" ca="1" si="17"/>
        <v>0</v>
      </c>
      <c r="AE31" s="251">
        <f t="shared" ca="1" si="18"/>
        <v>0</v>
      </c>
      <c r="AF31" s="251">
        <f t="shared" ca="1" si="19"/>
        <v>0</v>
      </c>
      <c r="AG31" s="251">
        <f t="shared" ca="1" si="20"/>
        <v>0</v>
      </c>
      <c r="AH31" s="251">
        <f t="shared" ca="1" si="65"/>
        <v>0</v>
      </c>
      <c r="AI31" s="251">
        <f t="shared" ca="1" si="66"/>
        <v>0</v>
      </c>
      <c r="AJ31" s="251">
        <f t="shared" ca="1" si="67"/>
        <v>0</v>
      </c>
      <c r="AK31" s="251">
        <f t="shared" ca="1" si="68"/>
        <v>0</v>
      </c>
      <c r="AL31" s="251">
        <f t="shared" ca="1" si="69"/>
        <v>0</v>
      </c>
      <c r="AM31" s="251">
        <f t="shared" ca="1" si="70"/>
        <v>0</v>
      </c>
      <c r="AN31" s="251">
        <f t="shared" ca="1" si="71"/>
        <v>0</v>
      </c>
      <c r="AO31" s="251">
        <f t="shared" ca="1" si="72"/>
        <v>0</v>
      </c>
      <c r="AP31" s="251">
        <f t="shared" ca="1" si="21"/>
        <v>0</v>
      </c>
      <c r="AQ31" s="251">
        <f t="shared" ca="1" si="22"/>
        <v>0</v>
      </c>
      <c r="AR31" s="251">
        <f t="shared" ca="1" si="23"/>
        <v>0</v>
      </c>
      <c r="AS31" s="251">
        <f t="shared" ca="1" si="24"/>
        <v>0</v>
      </c>
      <c r="AT31" s="251">
        <f t="shared" ca="1" si="73"/>
        <v>0</v>
      </c>
      <c r="AU31" s="251">
        <f t="shared" ca="1" si="74"/>
        <v>0</v>
      </c>
      <c r="AV31" s="251">
        <f t="shared" ca="1" si="25"/>
        <v>0</v>
      </c>
      <c r="AW31" s="251">
        <f t="shared" ca="1" si="26"/>
        <v>0</v>
      </c>
      <c r="AX31" s="251">
        <f t="shared" ca="1" si="27"/>
        <v>0</v>
      </c>
      <c r="AY31" s="251">
        <f t="shared" ca="1" si="28"/>
        <v>0</v>
      </c>
      <c r="AZ31" s="251">
        <f t="shared" ca="1" si="29"/>
        <v>0</v>
      </c>
      <c r="BA31" s="251">
        <f t="shared" ca="1" si="30"/>
        <v>0</v>
      </c>
      <c r="BB31" s="251">
        <f t="shared" ca="1" si="31"/>
        <v>0</v>
      </c>
      <c r="BC31" s="251">
        <f t="shared" ca="1" si="32"/>
        <v>0</v>
      </c>
      <c r="BD31" s="251">
        <f t="shared" ca="1" si="33"/>
        <v>0</v>
      </c>
      <c r="BE31" s="251">
        <f t="shared" ca="1" si="34"/>
        <v>0</v>
      </c>
      <c r="BF31" s="251">
        <f t="shared" ca="1" si="35"/>
        <v>0</v>
      </c>
      <c r="BG31" s="251">
        <f t="shared" ca="1" si="36"/>
        <v>0</v>
      </c>
      <c r="BH31" s="251">
        <f t="shared" ca="1" si="75"/>
        <v>0</v>
      </c>
      <c r="BI31" s="251">
        <f t="shared" ca="1" si="76"/>
        <v>0</v>
      </c>
      <c r="BJ31" s="251">
        <f t="shared" ca="1" si="37"/>
        <v>0</v>
      </c>
      <c r="BK31" s="251">
        <f t="shared" ca="1" si="38"/>
        <v>0</v>
      </c>
      <c r="BL31" s="251">
        <f t="shared" ca="1" si="39"/>
        <v>0</v>
      </c>
      <c r="BM31" s="251">
        <f t="shared" ca="1" si="40"/>
        <v>0</v>
      </c>
      <c r="BN31" s="251">
        <f t="shared" ca="1" si="41"/>
        <v>0</v>
      </c>
      <c r="BO31" s="251">
        <f t="shared" ca="1" si="42"/>
        <v>0</v>
      </c>
      <c r="BP31" s="251">
        <f t="shared" ca="1" si="77"/>
        <v>0</v>
      </c>
      <c r="BQ31" s="251">
        <f t="shared" ca="1" si="78"/>
        <v>0</v>
      </c>
      <c r="BR31" s="251">
        <f t="shared" ca="1" si="43"/>
        <v>0</v>
      </c>
      <c r="BS31" s="251">
        <f t="shared" ca="1" si="44"/>
        <v>0</v>
      </c>
      <c r="BT31" s="251">
        <f t="shared" ca="1" si="79"/>
        <v>0</v>
      </c>
      <c r="BU31" s="251">
        <f t="shared" ca="1" si="80"/>
        <v>0</v>
      </c>
      <c r="BV31" s="251">
        <f t="shared" ca="1" si="81"/>
        <v>0</v>
      </c>
      <c r="BW31" s="251">
        <f t="shared" ca="1" si="82"/>
        <v>0</v>
      </c>
      <c r="BX31" s="251">
        <f t="shared" ca="1" si="45"/>
        <v>0</v>
      </c>
      <c r="BY31" s="251">
        <f t="shared" ca="1" si="46"/>
        <v>0</v>
      </c>
      <c r="BZ31" s="251">
        <f t="shared" ca="1" si="47"/>
        <v>0</v>
      </c>
      <c r="CA31" s="251">
        <f t="shared" ca="1" si="48"/>
        <v>0</v>
      </c>
      <c r="CB31" s="251">
        <f t="shared" ca="1" si="49"/>
        <v>0</v>
      </c>
      <c r="CC31" s="251">
        <f t="shared" ca="1" si="50"/>
        <v>0</v>
      </c>
      <c r="CD31" s="251">
        <f t="shared" ca="1" si="83"/>
        <v>0</v>
      </c>
      <c r="CE31" s="251">
        <f t="shared" ca="1" si="84"/>
        <v>0</v>
      </c>
      <c r="CF31" s="251">
        <f t="shared" ca="1" si="85"/>
        <v>0</v>
      </c>
      <c r="CG31" s="251">
        <f t="shared" ca="1" si="86"/>
        <v>0</v>
      </c>
      <c r="CH31" s="251">
        <f t="shared" ca="1" si="51"/>
        <v>0</v>
      </c>
      <c r="CI31" s="251">
        <f t="shared" ca="1" si="52"/>
        <v>0</v>
      </c>
      <c r="CJ31" s="251">
        <f t="shared" ca="1" si="87"/>
        <v>0</v>
      </c>
      <c r="CK31" s="251">
        <f t="shared" ca="1" si="88"/>
        <v>0</v>
      </c>
      <c r="CL31" s="251">
        <f t="shared" ca="1" si="53"/>
        <v>0</v>
      </c>
      <c r="CM31" s="251">
        <f t="shared" ca="1" si="54"/>
        <v>0</v>
      </c>
      <c r="CN31" s="251">
        <f t="shared" ca="1" si="55"/>
        <v>0</v>
      </c>
      <c r="CO31" s="251">
        <f t="shared" ca="1" si="56"/>
        <v>0</v>
      </c>
      <c r="CP31" s="251">
        <f t="shared" ca="1" si="89"/>
        <v>0</v>
      </c>
      <c r="CQ31" s="251">
        <f t="shared" ca="1" si="90"/>
        <v>0</v>
      </c>
      <c r="CR31" s="251">
        <f t="shared" ca="1" si="91"/>
        <v>0</v>
      </c>
      <c r="CS31" s="251">
        <f t="shared" ca="1" si="92"/>
        <v>0</v>
      </c>
      <c r="CT31" s="251">
        <f t="shared" ca="1" si="57"/>
        <v>0</v>
      </c>
      <c r="CU31" s="251">
        <f t="shared" ca="1" si="58"/>
        <v>0</v>
      </c>
      <c r="CV31" s="251">
        <f t="shared" ca="1" si="59"/>
        <v>0</v>
      </c>
      <c r="CW31" s="251">
        <f t="shared" ca="1" si="60"/>
        <v>0</v>
      </c>
      <c r="CX31" s="251">
        <f t="shared" ca="1" si="93"/>
        <v>0</v>
      </c>
      <c r="CY31" s="251">
        <f t="shared" ca="1" si="94"/>
        <v>0</v>
      </c>
      <c r="CZ31" s="251">
        <f t="shared" ca="1" si="95"/>
        <v>0</v>
      </c>
      <c r="DA31" s="251">
        <f t="shared" ca="1" si="96"/>
        <v>0</v>
      </c>
    </row>
    <row r="32" spans="1:105" s="248" customFormat="1" ht="15" customHeight="1">
      <c r="A32" s="58">
        <f t="array" aca="1" ref="A32" ca="1">IF(C32&lt;&gt;0,SUM(($C$11:C32&lt;&gt;0)*1),"")</f>
        <v>22</v>
      </c>
      <c r="B32" s="249" t="str">
        <f ca="1">IF(ROWS($1:22)&gt;COUNT(Dong6),"",OFFSET(TH!C$1,SMALL(Dong6,ROWS($1:22)),))</f>
        <v/>
      </c>
      <c r="C32" s="249" t="str">
        <f ca="1">IF(ROWS($1:22)&gt;COUNT(Dong6),"",OFFSET(TH!D$1,SMALL(Dong6,ROWS($1:22)),))</f>
        <v/>
      </c>
      <c r="D32" s="249" t="str">
        <f ca="1">IF(ROWS($1:22)&gt;COUNT(Dong6),"",OFFSET(TH!E$1,SMALL(Dong6,ROWS($1:22)),))</f>
        <v/>
      </c>
      <c r="E32" s="299" t="str">
        <f ca="1">IF(ROWS($1:22)&gt;COUNT(Dong6),"",OFFSET(TH!F$1,SMALL(Dong6,ROWS($1:22)),))</f>
        <v/>
      </c>
      <c r="F32" s="300" t="str">
        <f ca="1">IF(ROWS($1:22)&gt;COUNT(Dong6),"",OFFSET(TH!M$1,SMALL(Dong6,ROWS($1:22)),))</f>
        <v/>
      </c>
      <c r="G32" s="301" t="str">
        <f ca="1">IF(ROWS($1:22)&gt;COUNT(Dong6),"",OFFSET(TH!N$1,SMALL(Dong6,ROWS($1:22)),))</f>
        <v/>
      </c>
      <c r="H32" s="301" t="str">
        <f ca="1">IF(ROWS($1:22)&gt;COUNT(Dong6),"",OFFSET(TH!O$1,SMALL(Dong6,ROWS($1:22)),))</f>
        <v/>
      </c>
      <c r="I32" s="58">
        <f t="shared" ca="1" si="0"/>
        <v>22</v>
      </c>
      <c r="J32" s="251">
        <f t="shared" ca="1" si="61"/>
        <v>0</v>
      </c>
      <c r="K32" s="251">
        <f t="shared" ca="1" si="62"/>
        <v>0</v>
      </c>
      <c r="L32" s="251">
        <f t="shared" ca="1" si="1"/>
        <v>0</v>
      </c>
      <c r="M32" s="251">
        <f t="shared" ca="1" si="2"/>
        <v>0</v>
      </c>
      <c r="N32" s="251">
        <f t="shared" ca="1" si="3"/>
        <v>0</v>
      </c>
      <c r="O32" s="251">
        <f t="shared" ca="1" si="4"/>
        <v>0</v>
      </c>
      <c r="P32" s="251">
        <f t="shared" ca="1" si="5"/>
        <v>0</v>
      </c>
      <c r="Q32" s="251">
        <f t="shared" ca="1" si="6"/>
        <v>0</v>
      </c>
      <c r="R32" s="251">
        <f t="shared" ca="1" si="7"/>
        <v>0</v>
      </c>
      <c r="S32" s="251">
        <f t="shared" ca="1" si="8"/>
        <v>0</v>
      </c>
      <c r="T32" s="251">
        <f t="shared" ca="1" si="9"/>
        <v>0</v>
      </c>
      <c r="U32" s="251">
        <f t="shared" ca="1" si="10"/>
        <v>0</v>
      </c>
      <c r="V32" s="251">
        <f t="shared" ca="1" si="11"/>
        <v>0</v>
      </c>
      <c r="W32" s="251">
        <f t="shared" ca="1" si="12"/>
        <v>0</v>
      </c>
      <c r="X32" s="251">
        <f t="shared" ca="1" si="13"/>
        <v>0</v>
      </c>
      <c r="Y32" s="251">
        <f t="shared" ca="1" si="14"/>
        <v>0</v>
      </c>
      <c r="Z32" s="251">
        <f t="shared" ca="1" si="15"/>
        <v>0</v>
      </c>
      <c r="AA32" s="251">
        <f t="shared" ca="1" si="16"/>
        <v>0</v>
      </c>
      <c r="AB32" s="251">
        <f t="shared" ca="1" si="63"/>
        <v>0</v>
      </c>
      <c r="AC32" s="251">
        <f t="shared" ca="1" si="64"/>
        <v>0</v>
      </c>
      <c r="AD32" s="251">
        <f t="shared" ca="1" si="17"/>
        <v>0</v>
      </c>
      <c r="AE32" s="251">
        <f t="shared" ca="1" si="18"/>
        <v>0</v>
      </c>
      <c r="AF32" s="251">
        <f t="shared" ca="1" si="19"/>
        <v>0</v>
      </c>
      <c r="AG32" s="251">
        <f t="shared" ca="1" si="20"/>
        <v>0</v>
      </c>
      <c r="AH32" s="251">
        <f t="shared" ca="1" si="65"/>
        <v>0</v>
      </c>
      <c r="AI32" s="251">
        <f t="shared" ca="1" si="66"/>
        <v>0</v>
      </c>
      <c r="AJ32" s="251">
        <f t="shared" ca="1" si="67"/>
        <v>0</v>
      </c>
      <c r="AK32" s="251">
        <f t="shared" ca="1" si="68"/>
        <v>0</v>
      </c>
      <c r="AL32" s="251">
        <f t="shared" ca="1" si="69"/>
        <v>0</v>
      </c>
      <c r="AM32" s="251">
        <f t="shared" ca="1" si="70"/>
        <v>0</v>
      </c>
      <c r="AN32" s="251">
        <f t="shared" ca="1" si="71"/>
        <v>0</v>
      </c>
      <c r="AO32" s="251">
        <f t="shared" ca="1" si="72"/>
        <v>0</v>
      </c>
      <c r="AP32" s="251">
        <f t="shared" ca="1" si="21"/>
        <v>0</v>
      </c>
      <c r="AQ32" s="251">
        <f t="shared" ca="1" si="22"/>
        <v>0</v>
      </c>
      <c r="AR32" s="251">
        <f t="shared" ca="1" si="23"/>
        <v>0</v>
      </c>
      <c r="AS32" s="251">
        <f t="shared" ca="1" si="24"/>
        <v>0</v>
      </c>
      <c r="AT32" s="251">
        <f t="shared" ca="1" si="73"/>
        <v>0</v>
      </c>
      <c r="AU32" s="251">
        <f t="shared" ca="1" si="74"/>
        <v>0</v>
      </c>
      <c r="AV32" s="251">
        <f t="shared" ca="1" si="25"/>
        <v>0</v>
      </c>
      <c r="AW32" s="251">
        <f t="shared" ca="1" si="26"/>
        <v>0</v>
      </c>
      <c r="AX32" s="251">
        <f t="shared" ca="1" si="27"/>
        <v>0</v>
      </c>
      <c r="AY32" s="251">
        <f t="shared" ca="1" si="28"/>
        <v>0</v>
      </c>
      <c r="AZ32" s="251">
        <f t="shared" ca="1" si="29"/>
        <v>0</v>
      </c>
      <c r="BA32" s="251">
        <f t="shared" ca="1" si="30"/>
        <v>0</v>
      </c>
      <c r="BB32" s="251">
        <f t="shared" ca="1" si="31"/>
        <v>0</v>
      </c>
      <c r="BC32" s="251">
        <f t="shared" ca="1" si="32"/>
        <v>0</v>
      </c>
      <c r="BD32" s="251">
        <f t="shared" ca="1" si="33"/>
        <v>0</v>
      </c>
      <c r="BE32" s="251">
        <f t="shared" ca="1" si="34"/>
        <v>0</v>
      </c>
      <c r="BF32" s="251">
        <f t="shared" ca="1" si="35"/>
        <v>0</v>
      </c>
      <c r="BG32" s="251">
        <f t="shared" ca="1" si="36"/>
        <v>0</v>
      </c>
      <c r="BH32" s="251">
        <f t="shared" ca="1" si="75"/>
        <v>0</v>
      </c>
      <c r="BI32" s="251">
        <f t="shared" ca="1" si="76"/>
        <v>0</v>
      </c>
      <c r="BJ32" s="251">
        <f t="shared" ca="1" si="37"/>
        <v>0</v>
      </c>
      <c r="BK32" s="251">
        <f t="shared" ca="1" si="38"/>
        <v>0</v>
      </c>
      <c r="BL32" s="251">
        <f t="shared" ca="1" si="39"/>
        <v>0</v>
      </c>
      <c r="BM32" s="251">
        <f t="shared" ca="1" si="40"/>
        <v>0</v>
      </c>
      <c r="BN32" s="251">
        <f t="shared" ca="1" si="41"/>
        <v>0</v>
      </c>
      <c r="BO32" s="251">
        <f t="shared" ca="1" si="42"/>
        <v>0</v>
      </c>
      <c r="BP32" s="251">
        <f t="shared" ca="1" si="77"/>
        <v>0</v>
      </c>
      <c r="BQ32" s="251">
        <f t="shared" ca="1" si="78"/>
        <v>0</v>
      </c>
      <c r="BR32" s="251">
        <f t="shared" ca="1" si="43"/>
        <v>0</v>
      </c>
      <c r="BS32" s="251">
        <f t="shared" ca="1" si="44"/>
        <v>0</v>
      </c>
      <c r="BT32" s="251">
        <f t="shared" ca="1" si="79"/>
        <v>0</v>
      </c>
      <c r="BU32" s="251">
        <f t="shared" ca="1" si="80"/>
        <v>0</v>
      </c>
      <c r="BV32" s="251">
        <f t="shared" ca="1" si="81"/>
        <v>0</v>
      </c>
      <c r="BW32" s="251">
        <f t="shared" ca="1" si="82"/>
        <v>0</v>
      </c>
      <c r="BX32" s="251">
        <f t="shared" ca="1" si="45"/>
        <v>0</v>
      </c>
      <c r="BY32" s="251">
        <f t="shared" ca="1" si="46"/>
        <v>0</v>
      </c>
      <c r="BZ32" s="251">
        <f t="shared" ca="1" si="47"/>
        <v>0</v>
      </c>
      <c r="CA32" s="251">
        <f t="shared" ca="1" si="48"/>
        <v>0</v>
      </c>
      <c r="CB32" s="251">
        <f t="shared" ca="1" si="49"/>
        <v>0</v>
      </c>
      <c r="CC32" s="251">
        <f t="shared" ca="1" si="50"/>
        <v>0</v>
      </c>
      <c r="CD32" s="251">
        <f t="shared" ca="1" si="83"/>
        <v>0</v>
      </c>
      <c r="CE32" s="251">
        <f t="shared" ca="1" si="84"/>
        <v>0</v>
      </c>
      <c r="CF32" s="251">
        <f t="shared" ca="1" si="85"/>
        <v>0</v>
      </c>
      <c r="CG32" s="251">
        <f t="shared" ca="1" si="86"/>
        <v>0</v>
      </c>
      <c r="CH32" s="251">
        <f t="shared" ca="1" si="51"/>
        <v>0</v>
      </c>
      <c r="CI32" s="251">
        <f t="shared" ca="1" si="52"/>
        <v>0</v>
      </c>
      <c r="CJ32" s="251">
        <f t="shared" ca="1" si="87"/>
        <v>0</v>
      </c>
      <c r="CK32" s="251">
        <f t="shared" ca="1" si="88"/>
        <v>0</v>
      </c>
      <c r="CL32" s="251">
        <f t="shared" ca="1" si="53"/>
        <v>0</v>
      </c>
      <c r="CM32" s="251">
        <f t="shared" ca="1" si="54"/>
        <v>0</v>
      </c>
      <c r="CN32" s="251">
        <f t="shared" ca="1" si="55"/>
        <v>0</v>
      </c>
      <c r="CO32" s="251">
        <f t="shared" ca="1" si="56"/>
        <v>0</v>
      </c>
      <c r="CP32" s="251">
        <f t="shared" ca="1" si="89"/>
        <v>0</v>
      </c>
      <c r="CQ32" s="251">
        <f t="shared" ca="1" si="90"/>
        <v>0</v>
      </c>
      <c r="CR32" s="251">
        <f t="shared" ca="1" si="91"/>
        <v>0</v>
      </c>
      <c r="CS32" s="251">
        <f t="shared" ca="1" si="92"/>
        <v>0</v>
      </c>
      <c r="CT32" s="251">
        <f t="shared" ca="1" si="57"/>
        <v>0</v>
      </c>
      <c r="CU32" s="251">
        <f t="shared" ca="1" si="58"/>
        <v>0</v>
      </c>
      <c r="CV32" s="251">
        <f t="shared" ca="1" si="59"/>
        <v>0</v>
      </c>
      <c r="CW32" s="251">
        <f t="shared" ca="1" si="60"/>
        <v>0</v>
      </c>
      <c r="CX32" s="251">
        <f t="shared" ca="1" si="93"/>
        <v>0</v>
      </c>
      <c r="CY32" s="251">
        <f t="shared" ca="1" si="94"/>
        <v>0</v>
      </c>
      <c r="CZ32" s="251">
        <f t="shared" ca="1" si="95"/>
        <v>0</v>
      </c>
      <c r="DA32" s="251">
        <f t="shared" ca="1" si="96"/>
        <v>0</v>
      </c>
    </row>
    <row r="33" spans="1:105" s="248" customFormat="1" ht="15" customHeight="1">
      <c r="A33" s="58">
        <f t="array" aca="1" ref="A33" ca="1">IF(C33&lt;&gt;0,SUM(($C$11:C33&lt;&gt;0)*1),"")</f>
        <v>23</v>
      </c>
      <c r="B33" s="249" t="str">
        <f ca="1">IF(ROWS($1:23)&gt;COUNT(Dong6),"",OFFSET(TH!C$1,SMALL(Dong6,ROWS($1:23)),))</f>
        <v/>
      </c>
      <c r="C33" s="249" t="str">
        <f ca="1">IF(ROWS($1:23)&gt;COUNT(Dong6),"",OFFSET(TH!D$1,SMALL(Dong6,ROWS($1:23)),))</f>
        <v/>
      </c>
      <c r="D33" s="249" t="str">
        <f ca="1">IF(ROWS($1:23)&gt;COUNT(Dong6),"",OFFSET(TH!E$1,SMALL(Dong6,ROWS($1:23)),))</f>
        <v/>
      </c>
      <c r="E33" s="299" t="str">
        <f ca="1">IF(ROWS($1:23)&gt;COUNT(Dong6),"",OFFSET(TH!F$1,SMALL(Dong6,ROWS($1:23)),))</f>
        <v/>
      </c>
      <c r="F33" s="300" t="str">
        <f ca="1">IF(ROWS($1:23)&gt;COUNT(Dong6),"",OFFSET(TH!M$1,SMALL(Dong6,ROWS($1:23)),))</f>
        <v/>
      </c>
      <c r="G33" s="301" t="str">
        <f ca="1">IF(ROWS($1:23)&gt;COUNT(Dong6),"",OFFSET(TH!N$1,SMALL(Dong6,ROWS($1:23)),))</f>
        <v/>
      </c>
      <c r="H33" s="301" t="str">
        <f ca="1">IF(ROWS($1:23)&gt;COUNT(Dong6),"",OFFSET(TH!O$1,SMALL(Dong6,ROWS($1:23)),))</f>
        <v/>
      </c>
      <c r="I33" s="58">
        <f t="shared" ca="1" si="0"/>
        <v>23</v>
      </c>
      <c r="J33" s="251">
        <f t="shared" ca="1" si="61"/>
        <v>0</v>
      </c>
      <c r="K33" s="251">
        <f t="shared" ca="1" si="62"/>
        <v>0</v>
      </c>
      <c r="L33" s="251">
        <f t="shared" ca="1" si="1"/>
        <v>0</v>
      </c>
      <c r="M33" s="251">
        <f t="shared" ca="1" si="2"/>
        <v>0</v>
      </c>
      <c r="N33" s="251">
        <f t="shared" ca="1" si="3"/>
        <v>0</v>
      </c>
      <c r="O33" s="251">
        <f t="shared" ca="1" si="4"/>
        <v>0</v>
      </c>
      <c r="P33" s="251">
        <f t="shared" ca="1" si="5"/>
        <v>0</v>
      </c>
      <c r="Q33" s="251">
        <f t="shared" ca="1" si="6"/>
        <v>0</v>
      </c>
      <c r="R33" s="251">
        <f t="shared" ca="1" si="7"/>
        <v>0</v>
      </c>
      <c r="S33" s="251">
        <f t="shared" ca="1" si="8"/>
        <v>0</v>
      </c>
      <c r="T33" s="251">
        <f t="shared" ca="1" si="9"/>
        <v>0</v>
      </c>
      <c r="U33" s="251">
        <f t="shared" ca="1" si="10"/>
        <v>0</v>
      </c>
      <c r="V33" s="251">
        <f t="shared" ca="1" si="11"/>
        <v>0</v>
      </c>
      <c r="W33" s="251">
        <f t="shared" ca="1" si="12"/>
        <v>0</v>
      </c>
      <c r="X33" s="251">
        <f t="shared" ca="1" si="13"/>
        <v>0</v>
      </c>
      <c r="Y33" s="251">
        <f t="shared" ca="1" si="14"/>
        <v>0</v>
      </c>
      <c r="Z33" s="251">
        <f t="shared" ca="1" si="15"/>
        <v>0</v>
      </c>
      <c r="AA33" s="251">
        <f t="shared" ca="1" si="16"/>
        <v>0</v>
      </c>
      <c r="AB33" s="251">
        <f t="shared" ca="1" si="63"/>
        <v>0</v>
      </c>
      <c r="AC33" s="251">
        <f t="shared" ca="1" si="64"/>
        <v>0</v>
      </c>
      <c r="AD33" s="251">
        <f t="shared" ca="1" si="17"/>
        <v>0</v>
      </c>
      <c r="AE33" s="251">
        <f t="shared" ca="1" si="18"/>
        <v>0</v>
      </c>
      <c r="AF33" s="251">
        <f t="shared" ca="1" si="19"/>
        <v>0</v>
      </c>
      <c r="AG33" s="251">
        <f t="shared" ca="1" si="20"/>
        <v>0</v>
      </c>
      <c r="AH33" s="251">
        <f t="shared" ca="1" si="65"/>
        <v>0</v>
      </c>
      <c r="AI33" s="251">
        <f t="shared" ca="1" si="66"/>
        <v>0</v>
      </c>
      <c r="AJ33" s="251">
        <f t="shared" ca="1" si="67"/>
        <v>0</v>
      </c>
      <c r="AK33" s="251">
        <f t="shared" ca="1" si="68"/>
        <v>0</v>
      </c>
      <c r="AL33" s="251">
        <f t="shared" ca="1" si="69"/>
        <v>0</v>
      </c>
      <c r="AM33" s="251">
        <f t="shared" ca="1" si="70"/>
        <v>0</v>
      </c>
      <c r="AN33" s="251">
        <f t="shared" ca="1" si="71"/>
        <v>0</v>
      </c>
      <c r="AO33" s="251">
        <f t="shared" ca="1" si="72"/>
        <v>0</v>
      </c>
      <c r="AP33" s="251">
        <f t="shared" ca="1" si="21"/>
        <v>0</v>
      </c>
      <c r="AQ33" s="251">
        <f t="shared" ca="1" si="22"/>
        <v>0</v>
      </c>
      <c r="AR33" s="251">
        <f t="shared" ca="1" si="23"/>
        <v>0</v>
      </c>
      <c r="AS33" s="251">
        <f t="shared" ca="1" si="24"/>
        <v>0</v>
      </c>
      <c r="AT33" s="251">
        <f t="shared" ca="1" si="73"/>
        <v>0</v>
      </c>
      <c r="AU33" s="251">
        <f t="shared" ca="1" si="74"/>
        <v>0</v>
      </c>
      <c r="AV33" s="251">
        <f t="shared" ca="1" si="25"/>
        <v>0</v>
      </c>
      <c r="AW33" s="251">
        <f t="shared" ca="1" si="26"/>
        <v>0</v>
      </c>
      <c r="AX33" s="251">
        <f t="shared" ca="1" si="27"/>
        <v>0</v>
      </c>
      <c r="AY33" s="251">
        <f t="shared" ca="1" si="28"/>
        <v>0</v>
      </c>
      <c r="AZ33" s="251">
        <f t="shared" ca="1" si="29"/>
        <v>0</v>
      </c>
      <c r="BA33" s="251">
        <f t="shared" ca="1" si="30"/>
        <v>0</v>
      </c>
      <c r="BB33" s="251">
        <f t="shared" ca="1" si="31"/>
        <v>0</v>
      </c>
      <c r="BC33" s="251">
        <f t="shared" ca="1" si="32"/>
        <v>0</v>
      </c>
      <c r="BD33" s="251">
        <f t="shared" ca="1" si="33"/>
        <v>0</v>
      </c>
      <c r="BE33" s="251">
        <f t="shared" ca="1" si="34"/>
        <v>0</v>
      </c>
      <c r="BF33" s="251">
        <f t="shared" ca="1" si="35"/>
        <v>0</v>
      </c>
      <c r="BG33" s="251">
        <f t="shared" ca="1" si="36"/>
        <v>0</v>
      </c>
      <c r="BH33" s="251">
        <f t="shared" ca="1" si="75"/>
        <v>0</v>
      </c>
      <c r="BI33" s="251">
        <f t="shared" ca="1" si="76"/>
        <v>0</v>
      </c>
      <c r="BJ33" s="251">
        <f t="shared" ca="1" si="37"/>
        <v>0</v>
      </c>
      <c r="BK33" s="251">
        <f t="shared" ca="1" si="38"/>
        <v>0</v>
      </c>
      <c r="BL33" s="251">
        <f t="shared" ca="1" si="39"/>
        <v>0</v>
      </c>
      <c r="BM33" s="251">
        <f t="shared" ca="1" si="40"/>
        <v>0</v>
      </c>
      <c r="BN33" s="251">
        <f t="shared" ca="1" si="41"/>
        <v>0</v>
      </c>
      <c r="BO33" s="251">
        <f t="shared" ca="1" si="42"/>
        <v>0</v>
      </c>
      <c r="BP33" s="251">
        <f t="shared" ca="1" si="77"/>
        <v>0</v>
      </c>
      <c r="BQ33" s="251">
        <f t="shared" ca="1" si="78"/>
        <v>0</v>
      </c>
      <c r="BR33" s="251">
        <f t="shared" ca="1" si="43"/>
        <v>0</v>
      </c>
      <c r="BS33" s="251">
        <f t="shared" ca="1" si="44"/>
        <v>0</v>
      </c>
      <c r="BT33" s="251">
        <f t="shared" ca="1" si="79"/>
        <v>0</v>
      </c>
      <c r="BU33" s="251">
        <f t="shared" ca="1" si="80"/>
        <v>0</v>
      </c>
      <c r="BV33" s="251">
        <f t="shared" ca="1" si="81"/>
        <v>0</v>
      </c>
      <c r="BW33" s="251">
        <f t="shared" ca="1" si="82"/>
        <v>0</v>
      </c>
      <c r="BX33" s="251">
        <f t="shared" ca="1" si="45"/>
        <v>0</v>
      </c>
      <c r="BY33" s="251">
        <f t="shared" ca="1" si="46"/>
        <v>0</v>
      </c>
      <c r="BZ33" s="251">
        <f t="shared" ca="1" si="47"/>
        <v>0</v>
      </c>
      <c r="CA33" s="251">
        <f t="shared" ca="1" si="48"/>
        <v>0</v>
      </c>
      <c r="CB33" s="251">
        <f t="shared" ca="1" si="49"/>
        <v>0</v>
      </c>
      <c r="CC33" s="251">
        <f t="shared" ca="1" si="50"/>
        <v>0</v>
      </c>
      <c r="CD33" s="251">
        <f t="shared" ca="1" si="83"/>
        <v>0</v>
      </c>
      <c r="CE33" s="251">
        <f t="shared" ca="1" si="84"/>
        <v>0</v>
      </c>
      <c r="CF33" s="251">
        <f t="shared" ca="1" si="85"/>
        <v>0</v>
      </c>
      <c r="CG33" s="251">
        <f t="shared" ca="1" si="86"/>
        <v>0</v>
      </c>
      <c r="CH33" s="251">
        <f t="shared" ca="1" si="51"/>
        <v>0</v>
      </c>
      <c r="CI33" s="251">
        <f t="shared" ca="1" si="52"/>
        <v>0</v>
      </c>
      <c r="CJ33" s="251">
        <f t="shared" ca="1" si="87"/>
        <v>0</v>
      </c>
      <c r="CK33" s="251">
        <f t="shared" ca="1" si="88"/>
        <v>0</v>
      </c>
      <c r="CL33" s="251">
        <f t="shared" ca="1" si="53"/>
        <v>0</v>
      </c>
      <c r="CM33" s="251">
        <f t="shared" ca="1" si="54"/>
        <v>0</v>
      </c>
      <c r="CN33" s="251">
        <f t="shared" ca="1" si="55"/>
        <v>0</v>
      </c>
      <c r="CO33" s="251">
        <f t="shared" ca="1" si="56"/>
        <v>0</v>
      </c>
      <c r="CP33" s="251">
        <f t="shared" ca="1" si="89"/>
        <v>0</v>
      </c>
      <c r="CQ33" s="251">
        <f t="shared" ca="1" si="90"/>
        <v>0</v>
      </c>
      <c r="CR33" s="251">
        <f t="shared" ca="1" si="91"/>
        <v>0</v>
      </c>
      <c r="CS33" s="251">
        <f t="shared" ca="1" si="92"/>
        <v>0</v>
      </c>
      <c r="CT33" s="251">
        <f t="shared" ca="1" si="57"/>
        <v>0</v>
      </c>
      <c r="CU33" s="251">
        <f t="shared" ca="1" si="58"/>
        <v>0</v>
      </c>
      <c r="CV33" s="251">
        <f t="shared" ca="1" si="59"/>
        <v>0</v>
      </c>
      <c r="CW33" s="251">
        <f t="shared" ca="1" si="60"/>
        <v>0</v>
      </c>
      <c r="CX33" s="251">
        <f t="shared" ca="1" si="93"/>
        <v>0</v>
      </c>
      <c r="CY33" s="251">
        <f t="shared" ca="1" si="94"/>
        <v>0</v>
      </c>
      <c r="CZ33" s="251">
        <f t="shared" ca="1" si="95"/>
        <v>0</v>
      </c>
      <c r="DA33" s="251">
        <f t="shared" ca="1" si="96"/>
        <v>0</v>
      </c>
    </row>
    <row r="34" spans="1:105" s="248" customFormat="1" ht="15" customHeight="1">
      <c r="A34" s="58">
        <f t="array" aca="1" ref="A34" ca="1">IF(C34&lt;&gt;0,SUM(($C$11:C34&lt;&gt;0)*1),"")</f>
        <v>24</v>
      </c>
      <c r="B34" s="249" t="str">
        <f ca="1">IF(ROWS($1:24)&gt;COUNT(Dong6),"",OFFSET(TH!C$1,SMALL(Dong6,ROWS($1:24)),))</f>
        <v/>
      </c>
      <c r="C34" s="249" t="str">
        <f ca="1">IF(ROWS($1:24)&gt;COUNT(Dong6),"",OFFSET(TH!D$1,SMALL(Dong6,ROWS($1:24)),))</f>
        <v/>
      </c>
      <c r="D34" s="249" t="str">
        <f ca="1">IF(ROWS($1:24)&gt;COUNT(Dong6),"",OFFSET(TH!E$1,SMALL(Dong6,ROWS($1:24)),))</f>
        <v/>
      </c>
      <c r="E34" s="299" t="str">
        <f ca="1">IF(ROWS($1:24)&gt;COUNT(Dong6),"",OFFSET(TH!F$1,SMALL(Dong6,ROWS($1:24)),))</f>
        <v/>
      </c>
      <c r="F34" s="300" t="str">
        <f ca="1">IF(ROWS($1:24)&gt;COUNT(Dong6),"",OFFSET(TH!M$1,SMALL(Dong6,ROWS($1:24)),))</f>
        <v/>
      </c>
      <c r="G34" s="301" t="str">
        <f ca="1">IF(ROWS($1:24)&gt;COUNT(Dong6),"",OFFSET(TH!N$1,SMALL(Dong6,ROWS($1:24)),))</f>
        <v/>
      </c>
      <c r="H34" s="301" t="str">
        <f ca="1">IF(ROWS($1:24)&gt;COUNT(Dong6),"",OFFSET(TH!O$1,SMALL(Dong6,ROWS($1:24)),))</f>
        <v/>
      </c>
      <c r="I34" s="58">
        <f t="shared" ca="1" si="0"/>
        <v>24</v>
      </c>
      <c r="J34" s="251">
        <f t="shared" ca="1" si="61"/>
        <v>0</v>
      </c>
      <c r="K34" s="251">
        <f t="shared" ca="1" si="62"/>
        <v>0</v>
      </c>
      <c r="L34" s="251">
        <f t="shared" ca="1" si="1"/>
        <v>0</v>
      </c>
      <c r="M34" s="251">
        <f t="shared" ca="1" si="2"/>
        <v>0</v>
      </c>
      <c r="N34" s="251">
        <f t="shared" ca="1" si="3"/>
        <v>0</v>
      </c>
      <c r="O34" s="251">
        <f t="shared" ca="1" si="4"/>
        <v>0</v>
      </c>
      <c r="P34" s="251">
        <f t="shared" ca="1" si="5"/>
        <v>0</v>
      </c>
      <c r="Q34" s="251">
        <f t="shared" ca="1" si="6"/>
        <v>0</v>
      </c>
      <c r="R34" s="251">
        <f t="shared" ca="1" si="7"/>
        <v>0</v>
      </c>
      <c r="S34" s="251">
        <f t="shared" ca="1" si="8"/>
        <v>0</v>
      </c>
      <c r="T34" s="251">
        <f t="shared" ca="1" si="9"/>
        <v>0</v>
      </c>
      <c r="U34" s="251">
        <f t="shared" ca="1" si="10"/>
        <v>0</v>
      </c>
      <c r="V34" s="251">
        <f t="shared" ca="1" si="11"/>
        <v>0</v>
      </c>
      <c r="W34" s="251">
        <f t="shared" ca="1" si="12"/>
        <v>0</v>
      </c>
      <c r="X34" s="251">
        <f t="shared" ca="1" si="13"/>
        <v>0</v>
      </c>
      <c r="Y34" s="251">
        <f t="shared" ca="1" si="14"/>
        <v>0</v>
      </c>
      <c r="Z34" s="251">
        <f t="shared" ca="1" si="15"/>
        <v>0</v>
      </c>
      <c r="AA34" s="251">
        <f t="shared" ca="1" si="16"/>
        <v>0</v>
      </c>
      <c r="AB34" s="251">
        <f t="shared" ca="1" si="63"/>
        <v>0</v>
      </c>
      <c r="AC34" s="251">
        <f t="shared" ca="1" si="64"/>
        <v>0</v>
      </c>
      <c r="AD34" s="251">
        <f t="shared" ca="1" si="17"/>
        <v>0</v>
      </c>
      <c r="AE34" s="251">
        <f t="shared" ca="1" si="18"/>
        <v>0</v>
      </c>
      <c r="AF34" s="251">
        <f t="shared" ca="1" si="19"/>
        <v>0</v>
      </c>
      <c r="AG34" s="251">
        <f t="shared" ca="1" si="20"/>
        <v>0</v>
      </c>
      <c r="AH34" s="251">
        <f t="shared" ca="1" si="65"/>
        <v>0</v>
      </c>
      <c r="AI34" s="251">
        <f t="shared" ca="1" si="66"/>
        <v>0</v>
      </c>
      <c r="AJ34" s="251">
        <f t="shared" ca="1" si="67"/>
        <v>0</v>
      </c>
      <c r="AK34" s="251">
        <f t="shared" ca="1" si="68"/>
        <v>0</v>
      </c>
      <c r="AL34" s="251">
        <f t="shared" ca="1" si="69"/>
        <v>0</v>
      </c>
      <c r="AM34" s="251">
        <f t="shared" ca="1" si="70"/>
        <v>0</v>
      </c>
      <c r="AN34" s="251">
        <f t="shared" ca="1" si="71"/>
        <v>0</v>
      </c>
      <c r="AO34" s="251">
        <f t="shared" ca="1" si="72"/>
        <v>0</v>
      </c>
      <c r="AP34" s="251">
        <f t="shared" ca="1" si="21"/>
        <v>0</v>
      </c>
      <c r="AQ34" s="251">
        <f t="shared" ca="1" si="22"/>
        <v>0</v>
      </c>
      <c r="AR34" s="251">
        <f t="shared" ca="1" si="23"/>
        <v>0</v>
      </c>
      <c r="AS34" s="251">
        <f t="shared" ca="1" si="24"/>
        <v>0</v>
      </c>
      <c r="AT34" s="251">
        <f t="shared" ca="1" si="73"/>
        <v>0</v>
      </c>
      <c r="AU34" s="251">
        <f t="shared" ca="1" si="74"/>
        <v>0</v>
      </c>
      <c r="AV34" s="251">
        <f t="shared" ca="1" si="25"/>
        <v>0</v>
      </c>
      <c r="AW34" s="251">
        <f t="shared" ca="1" si="26"/>
        <v>0</v>
      </c>
      <c r="AX34" s="251">
        <f t="shared" ca="1" si="27"/>
        <v>0</v>
      </c>
      <c r="AY34" s="251">
        <f t="shared" ca="1" si="28"/>
        <v>0</v>
      </c>
      <c r="AZ34" s="251">
        <f t="shared" ca="1" si="29"/>
        <v>0</v>
      </c>
      <c r="BA34" s="251">
        <f t="shared" ca="1" si="30"/>
        <v>0</v>
      </c>
      <c r="BB34" s="251">
        <f t="shared" ca="1" si="31"/>
        <v>0</v>
      </c>
      <c r="BC34" s="251">
        <f t="shared" ca="1" si="32"/>
        <v>0</v>
      </c>
      <c r="BD34" s="251">
        <f t="shared" ca="1" si="33"/>
        <v>0</v>
      </c>
      <c r="BE34" s="251">
        <f t="shared" ca="1" si="34"/>
        <v>0</v>
      </c>
      <c r="BF34" s="251">
        <f t="shared" ca="1" si="35"/>
        <v>0</v>
      </c>
      <c r="BG34" s="251">
        <f t="shared" ca="1" si="36"/>
        <v>0</v>
      </c>
      <c r="BH34" s="251">
        <f t="shared" ca="1" si="75"/>
        <v>0</v>
      </c>
      <c r="BI34" s="251">
        <f t="shared" ca="1" si="76"/>
        <v>0</v>
      </c>
      <c r="BJ34" s="251">
        <f t="shared" ca="1" si="37"/>
        <v>0</v>
      </c>
      <c r="BK34" s="251">
        <f t="shared" ca="1" si="38"/>
        <v>0</v>
      </c>
      <c r="BL34" s="251">
        <f t="shared" ca="1" si="39"/>
        <v>0</v>
      </c>
      <c r="BM34" s="251">
        <f t="shared" ca="1" si="40"/>
        <v>0</v>
      </c>
      <c r="BN34" s="251">
        <f t="shared" ca="1" si="41"/>
        <v>0</v>
      </c>
      <c r="BO34" s="251">
        <f t="shared" ca="1" si="42"/>
        <v>0</v>
      </c>
      <c r="BP34" s="251">
        <f t="shared" ca="1" si="77"/>
        <v>0</v>
      </c>
      <c r="BQ34" s="251">
        <f t="shared" ca="1" si="78"/>
        <v>0</v>
      </c>
      <c r="BR34" s="251">
        <f t="shared" ca="1" si="43"/>
        <v>0</v>
      </c>
      <c r="BS34" s="251">
        <f t="shared" ca="1" si="44"/>
        <v>0</v>
      </c>
      <c r="BT34" s="251">
        <f t="shared" ca="1" si="79"/>
        <v>0</v>
      </c>
      <c r="BU34" s="251">
        <f t="shared" ca="1" si="80"/>
        <v>0</v>
      </c>
      <c r="BV34" s="251">
        <f t="shared" ca="1" si="81"/>
        <v>0</v>
      </c>
      <c r="BW34" s="251">
        <f t="shared" ca="1" si="82"/>
        <v>0</v>
      </c>
      <c r="BX34" s="251">
        <f t="shared" ca="1" si="45"/>
        <v>0</v>
      </c>
      <c r="BY34" s="251">
        <f t="shared" ca="1" si="46"/>
        <v>0</v>
      </c>
      <c r="BZ34" s="251">
        <f t="shared" ca="1" si="47"/>
        <v>0</v>
      </c>
      <c r="CA34" s="251">
        <f t="shared" ca="1" si="48"/>
        <v>0</v>
      </c>
      <c r="CB34" s="251">
        <f t="shared" ca="1" si="49"/>
        <v>0</v>
      </c>
      <c r="CC34" s="251">
        <f t="shared" ca="1" si="50"/>
        <v>0</v>
      </c>
      <c r="CD34" s="251">
        <f t="shared" ca="1" si="83"/>
        <v>0</v>
      </c>
      <c r="CE34" s="251">
        <f t="shared" ca="1" si="84"/>
        <v>0</v>
      </c>
      <c r="CF34" s="251">
        <f t="shared" ca="1" si="85"/>
        <v>0</v>
      </c>
      <c r="CG34" s="251">
        <f t="shared" ca="1" si="86"/>
        <v>0</v>
      </c>
      <c r="CH34" s="251">
        <f t="shared" ca="1" si="51"/>
        <v>0</v>
      </c>
      <c r="CI34" s="251">
        <f t="shared" ca="1" si="52"/>
        <v>0</v>
      </c>
      <c r="CJ34" s="251">
        <f t="shared" ca="1" si="87"/>
        <v>0</v>
      </c>
      <c r="CK34" s="251">
        <f t="shared" ca="1" si="88"/>
        <v>0</v>
      </c>
      <c r="CL34" s="251">
        <f t="shared" ca="1" si="53"/>
        <v>0</v>
      </c>
      <c r="CM34" s="251">
        <f t="shared" ca="1" si="54"/>
        <v>0</v>
      </c>
      <c r="CN34" s="251">
        <f t="shared" ca="1" si="55"/>
        <v>0</v>
      </c>
      <c r="CO34" s="251">
        <f t="shared" ca="1" si="56"/>
        <v>0</v>
      </c>
      <c r="CP34" s="251">
        <f t="shared" ca="1" si="89"/>
        <v>0</v>
      </c>
      <c r="CQ34" s="251">
        <f t="shared" ca="1" si="90"/>
        <v>0</v>
      </c>
      <c r="CR34" s="251">
        <f t="shared" ca="1" si="91"/>
        <v>0</v>
      </c>
      <c r="CS34" s="251">
        <f t="shared" ca="1" si="92"/>
        <v>0</v>
      </c>
      <c r="CT34" s="251">
        <f t="shared" ca="1" si="57"/>
        <v>0</v>
      </c>
      <c r="CU34" s="251">
        <f t="shared" ca="1" si="58"/>
        <v>0</v>
      </c>
      <c r="CV34" s="251">
        <f t="shared" ca="1" si="59"/>
        <v>0</v>
      </c>
      <c r="CW34" s="251">
        <f t="shared" ca="1" si="60"/>
        <v>0</v>
      </c>
      <c r="CX34" s="251">
        <f t="shared" ca="1" si="93"/>
        <v>0</v>
      </c>
      <c r="CY34" s="251">
        <f t="shared" ca="1" si="94"/>
        <v>0</v>
      </c>
      <c r="CZ34" s="251">
        <f t="shared" ca="1" si="95"/>
        <v>0</v>
      </c>
      <c r="DA34" s="251">
        <f t="shared" ca="1" si="96"/>
        <v>0</v>
      </c>
    </row>
    <row r="35" spans="1:105" s="248" customFormat="1" ht="15" customHeight="1">
      <c r="A35" s="58">
        <f t="array" aca="1" ref="A35" ca="1">IF(C35&lt;&gt;0,SUM(($C$11:C35&lt;&gt;0)*1),"")</f>
        <v>25</v>
      </c>
      <c r="B35" s="249" t="str">
        <f ca="1">IF(ROWS($1:25)&gt;COUNT(Dong6),"",OFFSET(TH!C$1,SMALL(Dong6,ROWS($1:25)),))</f>
        <v/>
      </c>
      <c r="C35" s="249" t="str">
        <f ca="1">IF(ROWS($1:25)&gt;COUNT(Dong6),"",OFFSET(TH!D$1,SMALL(Dong6,ROWS($1:25)),))</f>
        <v/>
      </c>
      <c r="D35" s="249" t="str">
        <f ca="1">IF(ROWS($1:25)&gt;COUNT(Dong6),"",OFFSET(TH!E$1,SMALL(Dong6,ROWS($1:25)),))</f>
        <v/>
      </c>
      <c r="E35" s="299" t="str">
        <f ca="1">IF(ROWS($1:25)&gt;COUNT(Dong6),"",OFFSET(TH!F$1,SMALL(Dong6,ROWS($1:25)),))</f>
        <v/>
      </c>
      <c r="F35" s="300" t="str">
        <f ca="1">IF(ROWS($1:25)&gt;COUNT(Dong6),"",OFFSET(TH!M$1,SMALL(Dong6,ROWS($1:25)),))</f>
        <v/>
      </c>
      <c r="G35" s="301" t="str">
        <f ca="1">IF(ROWS($1:25)&gt;COUNT(Dong6),"",OFFSET(TH!N$1,SMALL(Dong6,ROWS($1:25)),))</f>
        <v/>
      </c>
      <c r="H35" s="301" t="str">
        <f ca="1">IF(ROWS($1:25)&gt;COUNT(Dong6),"",OFFSET(TH!O$1,SMALL(Dong6,ROWS($1:25)),))</f>
        <v/>
      </c>
      <c r="I35" s="58">
        <f ca="1">A35</f>
        <v>25</v>
      </c>
      <c r="J35" s="251">
        <f t="shared" ca="1" si="61"/>
        <v>0</v>
      </c>
      <c r="K35" s="251">
        <f t="shared" ca="1" si="62"/>
        <v>0</v>
      </c>
      <c r="L35" s="251">
        <f t="shared" ca="1" si="1"/>
        <v>0</v>
      </c>
      <c r="M35" s="251">
        <f t="shared" ca="1" si="2"/>
        <v>0</v>
      </c>
      <c r="N35" s="251">
        <f t="shared" ca="1" si="3"/>
        <v>0</v>
      </c>
      <c r="O35" s="251">
        <f t="shared" ca="1" si="4"/>
        <v>0</v>
      </c>
      <c r="P35" s="251">
        <f t="shared" ca="1" si="5"/>
        <v>0</v>
      </c>
      <c r="Q35" s="251">
        <f t="shared" ca="1" si="6"/>
        <v>0</v>
      </c>
      <c r="R35" s="251">
        <f t="shared" ca="1" si="7"/>
        <v>0</v>
      </c>
      <c r="S35" s="251">
        <f t="shared" ca="1" si="8"/>
        <v>0</v>
      </c>
      <c r="T35" s="251">
        <f t="shared" ca="1" si="9"/>
        <v>0</v>
      </c>
      <c r="U35" s="251">
        <f t="shared" ca="1" si="10"/>
        <v>0</v>
      </c>
      <c r="V35" s="251">
        <f t="shared" ca="1" si="11"/>
        <v>0</v>
      </c>
      <c r="W35" s="251">
        <f t="shared" ca="1" si="12"/>
        <v>0</v>
      </c>
      <c r="X35" s="251">
        <f t="shared" ca="1" si="13"/>
        <v>0</v>
      </c>
      <c r="Y35" s="251">
        <f t="shared" ca="1" si="14"/>
        <v>0</v>
      </c>
      <c r="Z35" s="251">
        <f t="shared" ca="1" si="15"/>
        <v>0</v>
      </c>
      <c r="AA35" s="251">
        <f t="shared" ca="1" si="16"/>
        <v>0</v>
      </c>
      <c r="AB35" s="251">
        <f t="shared" ca="1" si="63"/>
        <v>0</v>
      </c>
      <c r="AC35" s="251">
        <f t="shared" ca="1" si="64"/>
        <v>0</v>
      </c>
      <c r="AD35" s="251">
        <f t="shared" ca="1" si="17"/>
        <v>0</v>
      </c>
      <c r="AE35" s="251">
        <f t="shared" ca="1" si="18"/>
        <v>0</v>
      </c>
      <c r="AF35" s="251">
        <f t="shared" ca="1" si="19"/>
        <v>0</v>
      </c>
      <c r="AG35" s="251">
        <f t="shared" ca="1" si="20"/>
        <v>0</v>
      </c>
      <c r="AH35" s="251">
        <f t="shared" ca="1" si="65"/>
        <v>0</v>
      </c>
      <c r="AI35" s="251">
        <f t="shared" ca="1" si="66"/>
        <v>0</v>
      </c>
      <c r="AJ35" s="251">
        <f t="shared" ca="1" si="67"/>
        <v>0</v>
      </c>
      <c r="AK35" s="251">
        <f t="shared" ca="1" si="68"/>
        <v>0</v>
      </c>
      <c r="AL35" s="251">
        <f t="shared" ca="1" si="69"/>
        <v>0</v>
      </c>
      <c r="AM35" s="251">
        <f t="shared" ca="1" si="70"/>
        <v>0</v>
      </c>
      <c r="AN35" s="251">
        <f t="shared" ca="1" si="71"/>
        <v>0</v>
      </c>
      <c r="AO35" s="251">
        <f t="shared" ca="1" si="72"/>
        <v>0</v>
      </c>
      <c r="AP35" s="251">
        <f t="shared" ca="1" si="21"/>
        <v>0</v>
      </c>
      <c r="AQ35" s="251">
        <f t="shared" ca="1" si="22"/>
        <v>0</v>
      </c>
      <c r="AR35" s="251">
        <f t="shared" ca="1" si="23"/>
        <v>0</v>
      </c>
      <c r="AS35" s="251">
        <f t="shared" ca="1" si="24"/>
        <v>0</v>
      </c>
      <c r="AT35" s="251">
        <f t="shared" ca="1" si="73"/>
        <v>0</v>
      </c>
      <c r="AU35" s="251">
        <f t="shared" ca="1" si="74"/>
        <v>0</v>
      </c>
      <c r="AV35" s="251">
        <f t="shared" ca="1" si="25"/>
        <v>0</v>
      </c>
      <c r="AW35" s="251">
        <f t="shared" ca="1" si="26"/>
        <v>0</v>
      </c>
      <c r="AX35" s="251">
        <f t="shared" ca="1" si="27"/>
        <v>0</v>
      </c>
      <c r="AY35" s="251">
        <f t="shared" ca="1" si="28"/>
        <v>0</v>
      </c>
      <c r="AZ35" s="251">
        <f t="shared" ca="1" si="29"/>
        <v>0</v>
      </c>
      <c r="BA35" s="251">
        <f t="shared" ca="1" si="30"/>
        <v>0</v>
      </c>
      <c r="BB35" s="251">
        <f t="shared" ca="1" si="31"/>
        <v>0</v>
      </c>
      <c r="BC35" s="251">
        <f t="shared" ca="1" si="32"/>
        <v>0</v>
      </c>
      <c r="BD35" s="251">
        <f t="shared" ca="1" si="33"/>
        <v>0</v>
      </c>
      <c r="BE35" s="251">
        <f t="shared" ca="1" si="34"/>
        <v>0</v>
      </c>
      <c r="BF35" s="251">
        <f t="shared" ca="1" si="35"/>
        <v>0</v>
      </c>
      <c r="BG35" s="251">
        <f t="shared" ca="1" si="36"/>
        <v>0</v>
      </c>
      <c r="BH35" s="251">
        <f t="shared" ca="1" si="75"/>
        <v>0</v>
      </c>
      <c r="BI35" s="251">
        <f t="shared" ca="1" si="76"/>
        <v>0</v>
      </c>
      <c r="BJ35" s="251">
        <f t="shared" ca="1" si="37"/>
        <v>0</v>
      </c>
      <c r="BK35" s="251">
        <f t="shared" ca="1" si="38"/>
        <v>0</v>
      </c>
      <c r="BL35" s="251">
        <f t="shared" ca="1" si="39"/>
        <v>0</v>
      </c>
      <c r="BM35" s="251">
        <f t="shared" ca="1" si="40"/>
        <v>0</v>
      </c>
      <c r="BN35" s="251">
        <f t="shared" ca="1" si="41"/>
        <v>0</v>
      </c>
      <c r="BO35" s="251">
        <f t="shared" ca="1" si="42"/>
        <v>0</v>
      </c>
      <c r="BP35" s="251">
        <f t="shared" ca="1" si="77"/>
        <v>0</v>
      </c>
      <c r="BQ35" s="251">
        <f t="shared" ca="1" si="78"/>
        <v>0</v>
      </c>
      <c r="BR35" s="251">
        <f t="shared" ca="1" si="43"/>
        <v>0</v>
      </c>
      <c r="BS35" s="251">
        <f t="shared" ca="1" si="44"/>
        <v>0</v>
      </c>
      <c r="BT35" s="251">
        <f t="shared" ca="1" si="79"/>
        <v>0</v>
      </c>
      <c r="BU35" s="251">
        <f t="shared" ca="1" si="80"/>
        <v>0</v>
      </c>
      <c r="BV35" s="251">
        <f t="shared" ca="1" si="81"/>
        <v>0</v>
      </c>
      <c r="BW35" s="251">
        <f t="shared" ca="1" si="82"/>
        <v>0</v>
      </c>
      <c r="BX35" s="251">
        <f t="shared" ca="1" si="45"/>
        <v>0</v>
      </c>
      <c r="BY35" s="251">
        <f t="shared" ca="1" si="46"/>
        <v>0</v>
      </c>
      <c r="BZ35" s="251">
        <f t="shared" ca="1" si="47"/>
        <v>0</v>
      </c>
      <c r="CA35" s="251">
        <f t="shared" ca="1" si="48"/>
        <v>0</v>
      </c>
      <c r="CB35" s="251">
        <f t="shared" ca="1" si="49"/>
        <v>0</v>
      </c>
      <c r="CC35" s="251">
        <f t="shared" ca="1" si="50"/>
        <v>0</v>
      </c>
      <c r="CD35" s="251">
        <f t="shared" ca="1" si="83"/>
        <v>0</v>
      </c>
      <c r="CE35" s="251">
        <f t="shared" ca="1" si="84"/>
        <v>0</v>
      </c>
      <c r="CF35" s="251">
        <f t="shared" ca="1" si="85"/>
        <v>0</v>
      </c>
      <c r="CG35" s="251">
        <f t="shared" ca="1" si="86"/>
        <v>0</v>
      </c>
      <c r="CH35" s="251">
        <f t="shared" ca="1" si="51"/>
        <v>0</v>
      </c>
      <c r="CI35" s="251">
        <f t="shared" ca="1" si="52"/>
        <v>0</v>
      </c>
      <c r="CJ35" s="251">
        <f t="shared" ca="1" si="87"/>
        <v>0</v>
      </c>
      <c r="CK35" s="251">
        <f t="shared" ca="1" si="88"/>
        <v>0</v>
      </c>
      <c r="CL35" s="251">
        <f t="shared" ca="1" si="53"/>
        <v>0</v>
      </c>
      <c r="CM35" s="251">
        <f t="shared" ca="1" si="54"/>
        <v>0</v>
      </c>
      <c r="CN35" s="251">
        <f t="shared" ca="1" si="55"/>
        <v>0</v>
      </c>
      <c r="CO35" s="251">
        <f t="shared" ca="1" si="56"/>
        <v>0</v>
      </c>
      <c r="CP35" s="251">
        <f t="shared" ca="1" si="89"/>
        <v>0</v>
      </c>
      <c r="CQ35" s="251">
        <f t="shared" ca="1" si="90"/>
        <v>0</v>
      </c>
      <c r="CR35" s="251">
        <f t="shared" ca="1" si="91"/>
        <v>0</v>
      </c>
      <c r="CS35" s="251">
        <f t="shared" ca="1" si="92"/>
        <v>0</v>
      </c>
      <c r="CT35" s="251">
        <f t="shared" ca="1" si="57"/>
        <v>0</v>
      </c>
      <c r="CU35" s="251">
        <f t="shared" ca="1" si="58"/>
        <v>0</v>
      </c>
      <c r="CV35" s="251">
        <f t="shared" ca="1" si="59"/>
        <v>0</v>
      </c>
      <c r="CW35" s="251">
        <f t="shared" ca="1" si="60"/>
        <v>0</v>
      </c>
      <c r="CX35" s="251">
        <f t="shared" ca="1" si="93"/>
        <v>0</v>
      </c>
      <c r="CY35" s="251">
        <f t="shared" ca="1" si="94"/>
        <v>0</v>
      </c>
      <c r="CZ35" s="251">
        <f t="shared" ca="1" si="95"/>
        <v>0</v>
      </c>
      <c r="DA35" s="251">
        <f t="shared" ca="1" si="96"/>
        <v>0</v>
      </c>
    </row>
    <row r="36" spans="1:105" s="248" customFormat="1" ht="15" customHeight="1">
      <c r="A36" s="58">
        <f t="array" aca="1" ref="A36" ca="1">IF(C36&lt;&gt;0,SUM(($C$11:C36&lt;&gt;0)*1),"")</f>
        <v>26</v>
      </c>
      <c r="B36" s="249" t="str">
        <f ca="1">IF(ROWS($1:26)&gt;COUNT(Dong6),"",OFFSET(TH!C$1,SMALL(Dong6,ROWS($1:26)),))</f>
        <v/>
      </c>
      <c r="C36" s="249" t="str">
        <f ca="1">IF(ROWS($1:26)&gt;COUNT(Dong6),"",OFFSET(TH!D$1,SMALL(Dong6,ROWS($1:26)),))</f>
        <v/>
      </c>
      <c r="D36" s="249" t="str">
        <f ca="1">IF(ROWS($1:26)&gt;COUNT(Dong6),"",OFFSET(TH!E$1,SMALL(Dong6,ROWS($1:26)),))</f>
        <v/>
      </c>
      <c r="E36" s="299" t="str">
        <f ca="1">IF(ROWS($1:26)&gt;COUNT(Dong6),"",OFFSET(TH!F$1,SMALL(Dong6,ROWS($1:26)),))</f>
        <v/>
      </c>
      <c r="F36" s="300" t="str">
        <f ca="1">IF(ROWS($1:26)&gt;COUNT(Dong6),"",OFFSET(TH!M$1,SMALL(Dong6,ROWS($1:26)),))</f>
        <v/>
      </c>
      <c r="G36" s="301" t="str">
        <f ca="1">IF(ROWS($1:26)&gt;COUNT(Dong6),"",OFFSET(TH!N$1,SMALL(Dong6,ROWS($1:26)),))</f>
        <v/>
      </c>
      <c r="H36" s="301" t="str">
        <f ca="1">IF(ROWS($1:26)&gt;COUNT(Dong6),"",OFFSET(TH!O$1,SMALL(Dong6,ROWS($1:26)),))</f>
        <v/>
      </c>
      <c r="I36" s="58">
        <f ca="1">A36</f>
        <v>26</v>
      </c>
      <c r="J36" s="251">
        <f t="shared" ca="1" si="61"/>
        <v>0</v>
      </c>
      <c r="K36" s="251">
        <f t="shared" ca="1" si="62"/>
        <v>0</v>
      </c>
      <c r="L36" s="251">
        <f t="shared" ca="1" si="1"/>
        <v>0</v>
      </c>
      <c r="M36" s="251">
        <f t="shared" ca="1" si="2"/>
        <v>0</v>
      </c>
      <c r="N36" s="251">
        <f t="shared" ca="1" si="3"/>
        <v>0</v>
      </c>
      <c r="O36" s="251">
        <f t="shared" ca="1" si="4"/>
        <v>0</v>
      </c>
      <c r="P36" s="251">
        <f t="shared" ca="1" si="5"/>
        <v>0</v>
      </c>
      <c r="Q36" s="251">
        <f t="shared" ca="1" si="6"/>
        <v>0</v>
      </c>
      <c r="R36" s="251">
        <f t="shared" ca="1" si="7"/>
        <v>0</v>
      </c>
      <c r="S36" s="251">
        <f t="shared" ca="1" si="8"/>
        <v>0</v>
      </c>
      <c r="T36" s="251">
        <f t="shared" ca="1" si="9"/>
        <v>0</v>
      </c>
      <c r="U36" s="251">
        <f t="shared" ca="1" si="10"/>
        <v>0</v>
      </c>
      <c r="V36" s="251">
        <f t="shared" ca="1" si="11"/>
        <v>0</v>
      </c>
      <c r="W36" s="251">
        <f t="shared" ca="1" si="12"/>
        <v>0</v>
      </c>
      <c r="X36" s="251">
        <f t="shared" ca="1" si="13"/>
        <v>0</v>
      </c>
      <c r="Y36" s="251">
        <f t="shared" ca="1" si="14"/>
        <v>0</v>
      </c>
      <c r="Z36" s="251">
        <f t="shared" ca="1" si="15"/>
        <v>0</v>
      </c>
      <c r="AA36" s="251">
        <f t="shared" ca="1" si="16"/>
        <v>0</v>
      </c>
      <c r="AB36" s="251">
        <f t="shared" ca="1" si="63"/>
        <v>0</v>
      </c>
      <c r="AC36" s="251">
        <f t="shared" ca="1" si="64"/>
        <v>0</v>
      </c>
      <c r="AD36" s="251">
        <f t="shared" ca="1" si="17"/>
        <v>0</v>
      </c>
      <c r="AE36" s="251">
        <f t="shared" ca="1" si="18"/>
        <v>0</v>
      </c>
      <c r="AF36" s="251">
        <f t="shared" ca="1" si="19"/>
        <v>0</v>
      </c>
      <c r="AG36" s="251">
        <f t="shared" ca="1" si="20"/>
        <v>0</v>
      </c>
      <c r="AH36" s="251">
        <f t="shared" ca="1" si="65"/>
        <v>0</v>
      </c>
      <c r="AI36" s="251">
        <f t="shared" ca="1" si="66"/>
        <v>0</v>
      </c>
      <c r="AJ36" s="251">
        <f t="shared" ca="1" si="67"/>
        <v>0</v>
      </c>
      <c r="AK36" s="251">
        <f t="shared" ca="1" si="68"/>
        <v>0</v>
      </c>
      <c r="AL36" s="251">
        <f t="shared" ca="1" si="69"/>
        <v>0</v>
      </c>
      <c r="AM36" s="251">
        <f t="shared" ca="1" si="70"/>
        <v>0</v>
      </c>
      <c r="AN36" s="251">
        <f t="shared" ca="1" si="71"/>
        <v>0</v>
      </c>
      <c r="AO36" s="251">
        <f t="shared" ca="1" si="72"/>
        <v>0</v>
      </c>
      <c r="AP36" s="251">
        <f t="shared" ca="1" si="21"/>
        <v>0</v>
      </c>
      <c r="AQ36" s="251">
        <f t="shared" ca="1" si="22"/>
        <v>0</v>
      </c>
      <c r="AR36" s="251">
        <f t="shared" ca="1" si="23"/>
        <v>0</v>
      </c>
      <c r="AS36" s="251">
        <f t="shared" ca="1" si="24"/>
        <v>0</v>
      </c>
      <c r="AT36" s="251">
        <f t="shared" ca="1" si="73"/>
        <v>0</v>
      </c>
      <c r="AU36" s="251">
        <f t="shared" ca="1" si="74"/>
        <v>0</v>
      </c>
      <c r="AV36" s="251">
        <f t="shared" ca="1" si="25"/>
        <v>0</v>
      </c>
      <c r="AW36" s="251">
        <f t="shared" ca="1" si="26"/>
        <v>0</v>
      </c>
      <c r="AX36" s="251">
        <f t="shared" ca="1" si="27"/>
        <v>0</v>
      </c>
      <c r="AY36" s="251">
        <f t="shared" ca="1" si="28"/>
        <v>0</v>
      </c>
      <c r="AZ36" s="251">
        <f t="shared" ca="1" si="29"/>
        <v>0</v>
      </c>
      <c r="BA36" s="251">
        <f t="shared" ca="1" si="30"/>
        <v>0</v>
      </c>
      <c r="BB36" s="251">
        <f t="shared" ca="1" si="31"/>
        <v>0</v>
      </c>
      <c r="BC36" s="251">
        <f t="shared" ca="1" si="32"/>
        <v>0</v>
      </c>
      <c r="BD36" s="251">
        <f t="shared" ca="1" si="33"/>
        <v>0</v>
      </c>
      <c r="BE36" s="251">
        <f t="shared" ca="1" si="34"/>
        <v>0</v>
      </c>
      <c r="BF36" s="251">
        <f t="shared" ca="1" si="35"/>
        <v>0</v>
      </c>
      <c r="BG36" s="251">
        <f t="shared" ca="1" si="36"/>
        <v>0</v>
      </c>
      <c r="BH36" s="251">
        <f t="shared" ca="1" si="75"/>
        <v>0</v>
      </c>
      <c r="BI36" s="251">
        <f t="shared" ca="1" si="76"/>
        <v>0</v>
      </c>
      <c r="BJ36" s="251">
        <f t="shared" ca="1" si="37"/>
        <v>0</v>
      </c>
      <c r="BK36" s="251">
        <f t="shared" ca="1" si="38"/>
        <v>0</v>
      </c>
      <c r="BL36" s="251">
        <f t="shared" ca="1" si="39"/>
        <v>0</v>
      </c>
      <c r="BM36" s="251">
        <f t="shared" ca="1" si="40"/>
        <v>0</v>
      </c>
      <c r="BN36" s="251">
        <f t="shared" ca="1" si="41"/>
        <v>0</v>
      </c>
      <c r="BO36" s="251">
        <f t="shared" ca="1" si="42"/>
        <v>0</v>
      </c>
      <c r="BP36" s="251">
        <f t="shared" ca="1" si="77"/>
        <v>0</v>
      </c>
      <c r="BQ36" s="251">
        <f t="shared" ca="1" si="78"/>
        <v>0</v>
      </c>
      <c r="BR36" s="251">
        <f t="shared" ca="1" si="43"/>
        <v>0</v>
      </c>
      <c r="BS36" s="251">
        <f t="shared" ca="1" si="44"/>
        <v>0</v>
      </c>
      <c r="BT36" s="251">
        <f t="shared" ca="1" si="79"/>
        <v>0</v>
      </c>
      <c r="BU36" s="251">
        <f t="shared" ca="1" si="80"/>
        <v>0</v>
      </c>
      <c r="BV36" s="251">
        <f t="shared" ca="1" si="81"/>
        <v>0</v>
      </c>
      <c r="BW36" s="251">
        <f t="shared" ca="1" si="82"/>
        <v>0</v>
      </c>
      <c r="BX36" s="251">
        <f t="shared" ca="1" si="45"/>
        <v>0</v>
      </c>
      <c r="BY36" s="251">
        <f t="shared" ca="1" si="46"/>
        <v>0</v>
      </c>
      <c r="BZ36" s="251">
        <f t="shared" ca="1" si="47"/>
        <v>0</v>
      </c>
      <c r="CA36" s="251">
        <f t="shared" ca="1" si="48"/>
        <v>0</v>
      </c>
      <c r="CB36" s="251">
        <f t="shared" ca="1" si="49"/>
        <v>0</v>
      </c>
      <c r="CC36" s="251">
        <f t="shared" ca="1" si="50"/>
        <v>0</v>
      </c>
      <c r="CD36" s="251">
        <f t="shared" ca="1" si="83"/>
        <v>0</v>
      </c>
      <c r="CE36" s="251">
        <f t="shared" ca="1" si="84"/>
        <v>0</v>
      </c>
      <c r="CF36" s="251">
        <f t="shared" ca="1" si="85"/>
        <v>0</v>
      </c>
      <c r="CG36" s="251">
        <f t="shared" ca="1" si="86"/>
        <v>0</v>
      </c>
      <c r="CH36" s="251">
        <f t="shared" ca="1" si="51"/>
        <v>0</v>
      </c>
      <c r="CI36" s="251">
        <f t="shared" ca="1" si="52"/>
        <v>0</v>
      </c>
      <c r="CJ36" s="251">
        <f t="shared" ca="1" si="87"/>
        <v>0</v>
      </c>
      <c r="CK36" s="251">
        <f t="shared" ca="1" si="88"/>
        <v>0</v>
      </c>
      <c r="CL36" s="251">
        <f t="shared" ca="1" si="53"/>
        <v>0</v>
      </c>
      <c r="CM36" s="251">
        <f t="shared" ca="1" si="54"/>
        <v>0</v>
      </c>
      <c r="CN36" s="251">
        <f t="shared" ca="1" si="55"/>
        <v>0</v>
      </c>
      <c r="CO36" s="251">
        <f t="shared" ca="1" si="56"/>
        <v>0</v>
      </c>
      <c r="CP36" s="251">
        <f t="shared" ca="1" si="89"/>
        <v>0</v>
      </c>
      <c r="CQ36" s="251">
        <f t="shared" ca="1" si="90"/>
        <v>0</v>
      </c>
      <c r="CR36" s="251">
        <f t="shared" ca="1" si="91"/>
        <v>0</v>
      </c>
      <c r="CS36" s="251">
        <f t="shared" ca="1" si="92"/>
        <v>0</v>
      </c>
      <c r="CT36" s="251">
        <f t="shared" ca="1" si="57"/>
        <v>0</v>
      </c>
      <c r="CU36" s="251">
        <f t="shared" ca="1" si="58"/>
        <v>0</v>
      </c>
      <c r="CV36" s="251">
        <f t="shared" ca="1" si="59"/>
        <v>0</v>
      </c>
      <c r="CW36" s="251">
        <f t="shared" ca="1" si="60"/>
        <v>0</v>
      </c>
      <c r="CX36" s="251">
        <f t="shared" ca="1" si="93"/>
        <v>0</v>
      </c>
      <c r="CY36" s="251">
        <f t="shared" ca="1" si="94"/>
        <v>0</v>
      </c>
      <c r="CZ36" s="251">
        <f t="shared" ca="1" si="95"/>
        <v>0</v>
      </c>
      <c r="DA36" s="251">
        <f t="shared" ca="1" si="96"/>
        <v>0</v>
      </c>
    </row>
    <row r="37" spans="1:105" s="248" customFormat="1" ht="15" customHeight="1">
      <c r="A37" s="58">
        <f t="array" aca="1" ref="A37" ca="1">IF(C37&lt;&gt;0,SUM(($C$11:C37&lt;&gt;0)*1),"")</f>
        <v>27</v>
      </c>
      <c r="B37" s="249" t="str">
        <f ca="1">IF(ROWS($1:27)&gt;COUNT(Dong6),"",OFFSET(TH!C$1,SMALL(Dong6,ROWS($1:27)),))</f>
        <v/>
      </c>
      <c r="C37" s="249" t="str">
        <f ca="1">IF(ROWS($1:27)&gt;COUNT(Dong6),"",OFFSET(TH!D$1,SMALL(Dong6,ROWS($1:27)),))</f>
        <v/>
      </c>
      <c r="D37" s="249" t="str">
        <f ca="1">IF(ROWS($1:27)&gt;COUNT(Dong6),"",OFFSET(TH!E$1,SMALL(Dong6,ROWS($1:27)),))</f>
        <v/>
      </c>
      <c r="E37" s="299" t="str">
        <f ca="1">IF(ROWS($1:27)&gt;COUNT(Dong6),"",OFFSET(TH!F$1,SMALL(Dong6,ROWS($1:27)),))</f>
        <v/>
      </c>
      <c r="F37" s="300" t="str">
        <f ca="1">IF(ROWS($1:27)&gt;COUNT(Dong6),"",OFFSET(TH!M$1,SMALL(Dong6,ROWS($1:27)),))</f>
        <v/>
      </c>
      <c r="G37" s="301" t="str">
        <f ca="1">IF(ROWS($1:27)&gt;COUNT(Dong6),"",OFFSET(TH!N$1,SMALL(Dong6,ROWS($1:27)),))</f>
        <v/>
      </c>
      <c r="H37" s="301" t="str">
        <f ca="1">IF(ROWS($1:27)&gt;COUNT(Dong6),"",OFFSET(TH!O$1,SMALL(Dong6,ROWS($1:27)),))</f>
        <v/>
      </c>
      <c r="I37" s="58">
        <f ca="1">A37</f>
        <v>27</v>
      </c>
      <c r="J37" s="251">
        <f t="shared" ca="1" si="61"/>
        <v>0</v>
      </c>
      <c r="K37" s="251">
        <f t="shared" ca="1" si="62"/>
        <v>0</v>
      </c>
      <c r="L37" s="251">
        <f t="shared" ca="1" si="1"/>
        <v>0</v>
      </c>
      <c r="M37" s="251">
        <f t="shared" ca="1" si="2"/>
        <v>0</v>
      </c>
      <c r="N37" s="251">
        <f t="shared" ca="1" si="3"/>
        <v>0</v>
      </c>
      <c r="O37" s="251">
        <f t="shared" ca="1" si="4"/>
        <v>0</v>
      </c>
      <c r="P37" s="251">
        <f t="shared" ca="1" si="5"/>
        <v>0</v>
      </c>
      <c r="Q37" s="251">
        <f t="shared" ca="1" si="6"/>
        <v>0</v>
      </c>
      <c r="R37" s="251">
        <f t="shared" ca="1" si="7"/>
        <v>0</v>
      </c>
      <c r="S37" s="251">
        <f t="shared" ca="1" si="8"/>
        <v>0</v>
      </c>
      <c r="T37" s="251">
        <f t="shared" ca="1" si="9"/>
        <v>0</v>
      </c>
      <c r="U37" s="251">
        <f t="shared" ca="1" si="10"/>
        <v>0</v>
      </c>
      <c r="V37" s="251">
        <f t="shared" ca="1" si="11"/>
        <v>0</v>
      </c>
      <c r="W37" s="251">
        <f t="shared" ca="1" si="12"/>
        <v>0</v>
      </c>
      <c r="X37" s="251">
        <f t="shared" ca="1" si="13"/>
        <v>0</v>
      </c>
      <c r="Y37" s="251">
        <f t="shared" ca="1" si="14"/>
        <v>0</v>
      </c>
      <c r="Z37" s="251">
        <f t="shared" ca="1" si="15"/>
        <v>0</v>
      </c>
      <c r="AA37" s="251">
        <f t="shared" ca="1" si="16"/>
        <v>0</v>
      </c>
      <c r="AB37" s="251">
        <f t="shared" ca="1" si="63"/>
        <v>0</v>
      </c>
      <c r="AC37" s="251">
        <f t="shared" ca="1" si="64"/>
        <v>0</v>
      </c>
      <c r="AD37" s="251">
        <f t="shared" ca="1" si="17"/>
        <v>0</v>
      </c>
      <c r="AE37" s="251">
        <f t="shared" ca="1" si="18"/>
        <v>0</v>
      </c>
      <c r="AF37" s="251">
        <f t="shared" ca="1" si="19"/>
        <v>0</v>
      </c>
      <c r="AG37" s="251">
        <f t="shared" ca="1" si="20"/>
        <v>0</v>
      </c>
      <c r="AH37" s="251">
        <f t="shared" ca="1" si="65"/>
        <v>0</v>
      </c>
      <c r="AI37" s="251">
        <f t="shared" ca="1" si="66"/>
        <v>0</v>
      </c>
      <c r="AJ37" s="251">
        <f t="shared" ca="1" si="67"/>
        <v>0</v>
      </c>
      <c r="AK37" s="251">
        <f t="shared" ca="1" si="68"/>
        <v>0</v>
      </c>
      <c r="AL37" s="251">
        <f t="shared" ca="1" si="69"/>
        <v>0</v>
      </c>
      <c r="AM37" s="251">
        <f t="shared" ca="1" si="70"/>
        <v>0</v>
      </c>
      <c r="AN37" s="251">
        <f t="shared" ca="1" si="71"/>
        <v>0</v>
      </c>
      <c r="AO37" s="251">
        <f t="shared" ca="1" si="72"/>
        <v>0</v>
      </c>
      <c r="AP37" s="251">
        <f t="shared" ca="1" si="21"/>
        <v>0</v>
      </c>
      <c r="AQ37" s="251">
        <f t="shared" ca="1" si="22"/>
        <v>0</v>
      </c>
      <c r="AR37" s="251">
        <f t="shared" ca="1" si="23"/>
        <v>0</v>
      </c>
      <c r="AS37" s="251">
        <f t="shared" ca="1" si="24"/>
        <v>0</v>
      </c>
      <c r="AT37" s="251">
        <f t="shared" ca="1" si="73"/>
        <v>0</v>
      </c>
      <c r="AU37" s="251">
        <f t="shared" ca="1" si="74"/>
        <v>0</v>
      </c>
      <c r="AV37" s="251">
        <f t="shared" ca="1" si="25"/>
        <v>0</v>
      </c>
      <c r="AW37" s="251">
        <f t="shared" ca="1" si="26"/>
        <v>0</v>
      </c>
      <c r="AX37" s="251">
        <f t="shared" ca="1" si="27"/>
        <v>0</v>
      </c>
      <c r="AY37" s="251">
        <f t="shared" ca="1" si="28"/>
        <v>0</v>
      </c>
      <c r="AZ37" s="251">
        <f t="shared" ca="1" si="29"/>
        <v>0</v>
      </c>
      <c r="BA37" s="251">
        <f t="shared" ca="1" si="30"/>
        <v>0</v>
      </c>
      <c r="BB37" s="251">
        <f t="shared" ca="1" si="31"/>
        <v>0</v>
      </c>
      <c r="BC37" s="251">
        <f t="shared" ca="1" si="32"/>
        <v>0</v>
      </c>
      <c r="BD37" s="251">
        <f t="shared" ca="1" si="33"/>
        <v>0</v>
      </c>
      <c r="BE37" s="251">
        <f t="shared" ca="1" si="34"/>
        <v>0</v>
      </c>
      <c r="BF37" s="251">
        <f t="shared" ca="1" si="35"/>
        <v>0</v>
      </c>
      <c r="BG37" s="251">
        <f t="shared" ca="1" si="36"/>
        <v>0</v>
      </c>
      <c r="BH37" s="251">
        <f t="shared" ca="1" si="75"/>
        <v>0</v>
      </c>
      <c r="BI37" s="251">
        <f t="shared" ca="1" si="76"/>
        <v>0</v>
      </c>
      <c r="BJ37" s="251">
        <f t="shared" ca="1" si="37"/>
        <v>0</v>
      </c>
      <c r="BK37" s="251">
        <f t="shared" ca="1" si="38"/>
        <v>0</v>
      </c>
      <c r="BL37" s="251">
        <f t="shared" ca="1" si="39"/>
        <v>0</v>
      </c>
      <c r="BM37" s="251">
        <f t="shared" ca="1" si="40"/>
        <v>0</v>
      </c>
      <c r="BN37" s="251">
        <f t="shared" ca="1" si="41"/>
        <v>0</v>
      </c>
      <c r="BO37" s="251">
        <f t="shared" ca="1" si="42"/>
        <v>0</v>
      </c>
      <c r="BP37" s="251">
        <f t="shared" ca="1" si="77"/>
        <v>0</v>
      </c>
      <c r="BQ37" s="251">
        <f t="shared" ca="1" si="78"/>
        <v>0</v>
      </c>
      <c r="BR37" s="251">
        <f t="shared" ca="1" si="43"/>
        <v>0</v>
      </c>
      <c r="BS37" s="251">
        <f t="shared" ca="1" si="44"/>
        <v>0</v>
      </c>
      <c r="BT37" s="251">
        <f t="shared" ca="1" si="79"/>
        <v>0</v>
      </c>
      <c r="BU37" s="251">
        <f t="shared" ca="1" si="80"/>
        <v>0</v>
      </c>
      <c r="BV37" s="251">
        <f t="shared" ca="1" si="81"/>
        <v>0</v>
      </c>
      <c r="BW37" s="251">
        <f t="shared" ca="1" si="82"/>
        <v>0</v>
      </c>
      <c r="BX37" s="251">
        <f t="shared" ca="1" si="45"/>
        <v>0</v>
      </c>
      <c r="BY37" s="251">
        <f t="shared" ca="1" si="46"/>
        <v>0</v>
      </c>
      <c r="BZ37" s="251">
        <f t="shared" ca="1" si="47"/>
        <v>0</v>
      </c>
      <c r="CA37" s="251">
        <f t="shared" ca="1" si="48"/>
        <v>0</v>
      </c>
      <c r="CB37" s="251">
        <f t="shared" ca="1" si="49"/>
        <v>0</v>
      </c>
      <c r="CC37" s="251">
        <f t="shared" ca="1" si="50"/>
        <v>0</v>
      </c>
      <c r="CD37" s="251">
        <f t="shared" ca="1" si="83"/>
        <v>0</v>
      </c>
      <c r="CE37" s="251">
        <f t="shared" ca="1" si="84"/>
        <v>0</v>
      </c>
      <c r="CF37" s="251">
        <f t="shared" ca="1" si="85"/>
        <v>0</v>
      </c>
      <c r="CG37" s="251">
        <f t="shared" ca="1" si="86"/>
        <v>0</v>
      </c>
      <c r="CH37" s="251">
        <f t="shared" ca="1" si="51"/>
        <v>0</v>
      </c>
      <c r="CI37" s="251">
        <f t="shared" ca="1" si="52"/>
        <v>0</v>
      </c>
      <c r="CJ37" s="251">
        <f t="shared" ca="1" si="87"/>
        <v>0</v>
      </c>
      <c r="CK37" s="251">
        <f t="shared" ca="1" si="88"/>
        <v>0</v>
      </c>
      <c r="CL37" s="251">
        <f t="shared" ca="1" si="53"/>
        <v>0</v>
      </c>
      <c r="CM37" s="251">
        <f t="shared" ca="1" si="54"/>
        <v>0</v>
      </c>
      <c r="CN37" s="251">
        <f t="shared" ca="1" si="55"/>
        <v>0</v>
      </c>
      <c r="CO37" s="251">
        <f t="shared" ca="1" si="56"/>
        <v>0</v>
      </c>
      <c r="CP37" s="251">
        <f t="shared" ca="1" si="89"/>
        <v>0</v>
      </c>
      <c r="CQ37" s="251">
        <f t="shared" ca="1" si="90"/>
        <v>0</v>
      </c>
      <c r="CR37" s="251">
        <f t="shared" ca="1" si="91"/>
        <v>0</v>
      </c>
      <c r="CS37" s="251">
        <f t="shared" ca="1" si="92"/>
        <v>0</v>
      </c>
      <c r="CT37" s="251">
        <f t="shared" ca="1" si="57"/>
        <v>0</v>
      </c>
      <c r="CU37" s="251">
        <f t="shared" ca="1" si="58"/>
        <v>0</v>
      </c>
      <c r="CV37" s="251">
        <f t="shared" ca="1" si="59"/>
        <v>0</v>
      </c>
      <c r="CW37" s="251">
        <f t="shared" ca="1" si="60"/>
        <v>0</v>
      </c>
      <c r="CX37" s="251">
        <f t="shared" ca="1" si="93"/>
        <v>0</v>
      </c>
      <c r="CY37" s="251">
        <f t="shared" ca="1" si="94"/>
        <v>0</v>
      </c>
      <c r="CZ37" s="251">
        <f t="shared" ca="1" si="95"/>
        <v>0</v>
      </c>
      <c r="DA37" s="251">
        <f t="shared" ca="1" si="96"/>
        <v>0</v>
      </c>
    </row>
    <row r="38" spans="1:105" s="248" customFormat="1" ht="15" customHeight="1">
      <c r="A38" s="58">
        <f t="array" aca="1" ref="A38" ca="1">IF(C38&lt;&gt;0,SUM(($C$11:C38&lt;&gt;0)*1),"")</f>
        <v>28</v>
      </c>
      <c r="B38" s="249" t="str">
        <f ca="1">IF(ROWS($1:28)&gt;COUNT(Dong6),"",OFFSET(TH!C$1,SMALL(Dong6,ROWS($1:28)),))</f>
        <v/>
      </c>
      <c r="C38" s="249" t="str">
        <f ca="1">IF(ROWS($1:28)&gt;COUNT(Dong6),"",OFFSET(TH!D$1,SMALL(Dong6,ROWS($1:28)),))</f>
        <v/>
      </c>
      <c r="D38" s="249" t="str">
        <f ca="1">IF(ROWS($1:28)&gt;COUNT(Dong6),"",OFFSET(TH!E$1,SMALL(Dong6,ROWS($1:28)),))</f>
        <v/>
      </c>
      <c r="E38" s="299" t="str">
        <f ca="1">IF(ROWS($1:28)&gt;COUNT(Dong6),"",OFFSET(TH!F$1,SMALL(Dong6,ROWS($1:28)),))</f>
        <v/>
      </c>
      <c r="F38" s="300" t="str">
        <f ca="1">IF(ROWS($1:28)&gt;COUNT(Dong6),"",OFFSET(TH!M$1,SMALL(Dong6,ROWS($1:28)),))</f>
        <v/>
      </c>
      <c r="G38" s="301" t="str">
        <f ca="1">IF(ROWS($1:28)&gt;COUNT(Dong6),"",OFFSET(TH!N$1,SMALL(Dong6,ROWS($1:28)),))</f>
        <v/>
      </c>
      <c r="H38" s="301" t="str">
        <f ca="1">IF(ROWS($1:28)&gt;COUNT(Dong6),"",OFFSET(TH!O$1,SMALL(Dong6,ROWS($1:28)),))</f>
        <v/>
      </c>
      <c r="I38" s="58">
        <f ca="1">A38</f>
        <v>28</v>
      </c>
      <c r="J38" s="251">
        <f t="shared" ca="1" si="61"/>
        <v>0</v>
      </c>
      <c r="K38" s="251">
        <f t="shared" ca="1" si="62"/>
        <v>0</v>
      </c>
      <c r="L38" s="251">
        <f t="shared" ca="1" si="1"/>
        <v>0</v>
      </c>
      <c r="M38" s="251">
        <f t="shared" ca="1" si="2"/>
        <v>0</v>
      </c>
      <c r="N38" s="251">
        <f t="shared" ca="1" si="3"/>
        <v>0</v>
      </c>
      <c r="O38" s="251">
        <f t="shared" ca="1" si="4"/>
        <v>0</v>
      </c>
      <c r="P38" s="251">
        <f t="shared" ca="1" si="5"/>
        <v>0</v>
      </c>
      <c r="Q38" s="251">
        <f t="shared" ca="1" si="6"/>
        <v>0</v>
      </c>
      <c r="R38" s="251">
        <f t="shared" ca="1" si="7"/>
        <v>0</v>
      </c>
      <c r="S38" s="251">
        <f t="shared" ca="1" si="8"/>
        <v>0</v>
      </c>
      <c r="T38" s="251">
        <f t="shared" ca="1" si="9"/>
        <v>0</v>
      </c>
      <c r="U38" s="251">
        <f t="shared" ca="1" si="10"/>
        <v>0</v>
      </c>
      <c r="V38" s="251">
        <f t="shared" ca="1" si="11"/>
        <v>0</v>
      </c>
      <c r="W38" s="251">
        <f t="shared" ca="1" si="12"/>
        <v>0</v>
      </c>
      <c r="X38" s="251">
        <f t="shared" ca="1" si="13"/>
        <v>0</v>
      </c>
      <c r="Y38" s="251">
        <f t="shared" ca="1" si="14"/>
        <v>0</v>
      </c>
      <c r="Z38" s="251">
        <f t="shared" ca="1" si="15"/>
        <v>0</v>
      </c>
      <c r="AA38" s="251">
        <f t="shared" ca="1" si="16"/>
        <v>0</v>
      </c>
      <c r="AB38" s="251">
        <f t="shared" ca="1" si="63"/>
        <v>0</v>
      </c>
      <c r="AC38" s="251">
        <f t="shared" ca="1" si="64"/>
        <v>0</v>
      </c>
      <c r="AD38" s="251">
        <f t="shared" ca="1" si="17"/>
        <v>0</v>
      </c>
      <c r="AE38" s="251">
        <f t="shared" ca="1" si="18"/>
        <v>0</v>
      </c>
      <c r="AF38" s="251">
        <f t="shared" ca="1" si="19"/>
        <v>0</v>
      </c>
      <c r="AG38" s="251">
        <f t="shared" ca="1" si="20"/>
        <v>0</v>
      </c>
      <c r="AH38" s="251">
        <f t="shared" ca="1" si="65"/>
        <v>0</v>
      </c>
      <c r="AI38" s="251">
        <f t="shared" ca="1" si="66"/>
        <v>0</v>
      </c>
      <c r="AJ38" s="251">
        <f t="shared" ca="1" si="67"/>
        <v>0</v>
      </c>
      <c r="AK38" s="251">
        <f t="shared" ca="1" si="68"/>
        <v>0</v>
      </c>
      <c r="AL38" s="251">
        <f t="shared" ca="1" si="69"/>
        <v>0</v>
      </c>
      <c r="AM38" s="251">
        <f t="shared" ca="1" si="70"/>
        <v>0</v>
      </c>
      <c r="AN38" s="251">
        <f t="shared" ca="1" si="71"/>
        <v>0</v>
      </c>
      <c r="AO38" s="251">
        <f t="shared" ca="1" si="72"/>
        <v>0</v>
      </c>
      <c r="AP38" s="251">
        <f t="shared" ca="1" si="21"/>
        <v>0</v>
      </c>
      <c r="AQ38" s="251">
        <f t="shared" ca="1" si="22"/>
        <v>0</v>
      </c>
      <c r="AR38" s="251">
        <f t="shared" ca="1" si="23"/>
        <v>0</v>
      </c>
      <c r="AS38" s="251">
        <f t="shared" ca="1" si="24"/>
        <v>0</v>
      </c>
      <c r="AT38" s="251">
        <f t="shared" ca="1" si="73"/>
        <v>0</v>
      </c>
      <c r="AU38" s="251">
        <f t="shared" ca="1" si="74"/>
        <v>0</v>
      </c>
      <c r="AV38" s="251">
        <f t="shared" ca="1" si="25"/>
        <v>0</v>
      </c>
      <c r="AW38" s="251">
        <f t="shared" ca="1" si="26"/>
        <v>0</v>
      </c>
      <c r="AX38" s="251">
        <f t="shared" ca="1" si="27"/>
        <v>0</v>
      </c>
      <c r="AY38" s="251">
        <f t="shared" ca="1" si="28"/>
        <v>0</v>
      </c>
      <c r="AZ38" s="251">
        <f t="shared" ca="1" si="29"/>
        <v>0</v>
      </c>
      <c r="BA38" s="251">
        <f t="shared" ca="1" si="30"/>
        <v>0</v>
      </c>
      <c r="BB38" s="251">
        <f t="shared" ca="1" si="31"/>
        <v>0</v>
      </c>
      <c r="BC38" s="251">
        <f t="shared" ca="1" si="32"/>
        <v>0</v>
      </c>
      <c r="BD38" s="251">
        <f t="shared" ca="1" si="33"/>
        <v>0</v>
      </c>
      <c r="BE38" s="251">
        <f t="shared" ca="1" si="34"/>
        <v>0</v>
      </c>
      <c r="BF38" s="251">
        <f t="shared" ca="1" si="35"/>
        <v>0</v>
      </c>
      <c r="BG38" s="251">
        <f t="shared" ca="1" si="36"/>
        <v>0</v>
      </c>
      <c r="BH38" s="251">
        <f t="shared" ca="1" si="75"/>
        <v>0</v>
      </c>
      <c r="BI38" s="251">
        <f t="shared" ca="1" si="76"/>
        <v>0</v>
      </c>
      <c r="BJ38" s="251">
        <f t="shared" ca="1" si="37"/>
        <v>0</v>
      </c>
      <c r="BK38" s="251">
        <f t="shared" ca="1" si="38"/>
        <v>0</v>
      </c>
      <c r="BL38" s="251">
        <f t="shared" ca="1" si="39"/>
        <v>0</v>
      </c>
      <c r="BM38" s="251">
        <f t="shared" ca="1" si="40"/>
        <v>0</v>
      </c>
      <c r="BN38" s="251">
        <f t="shared" ca="1" si="41"/>
        <v>0</v>
      </c>
      <c r="BO38" s="251">
        <f t="shared" ca="1" si="42"/>
        <v>0</v>
      </c>
      <c r="BP38" s="251">
        <f t="shared" ca="1" si="77"/>
        <v>0</v>
      </c>
      <c r="BQ38" s="251">
        <f t="shared" ca="1" si="78"/>
        <v>0</v>
      </c>
      <c r="BR38" s="251">
        <f t="shared" ca="1" si="43"/>
        <v>0</v>
      </c>
      <c r="BS38" s="251">
        <f t="shared" ca="1" si="44"/>
        <v>0</v>
      </c>
      <c r="BT38" s="251">
        <f t="shared" ca="1" si="79"/>
        <v>0</v>
      </c>
      <c r="BU38" s="251">
        <f t="shared" ca="1" si="80"/>
        <v>0</v>
      </c>
      <c r="BV38" s="251">
        <f t="shared" ca="1" si="81"/>
        <v>0</v>
      </c>
      <c r="BW38" s="251">
        <f t="shared" ca="1" si="82"/>
        <v>0</v>
      </c>
      <c r="BX38" s="251">
        <f t="shared" ca="1" si="45"/>
        <v>0</v>
      </c>
      <c r="BY38" s="251">
        <f t="shared" ca="1" si="46"/>
        <v>0</v>
      </c>
      <c r="BZ38" s="251">
        <f t="shared" ca="1" si="47"/>
        <v>0</v>
      </c>
      <c r="CA38" s="251">
        <f t="shared" ca="1" si="48"/>
        <v>0</v>
      </c>
      <c r="CB38" s="251">
        <f t="shared" ca="1" si="49"/>
        <v>0</v>
      </c>
      <c r="CC38" s="251">
        <f t="shared" ca="1" si="50"/>
        <v>0</v>
      </c>
      <c r="CD38" s="251">
        <f t="shared" ca="1" si="83"/>
        <v>0</v>
      </c>
      <c r="CE38" s="251">
        <f t="shared" ca="1" si="84"/>
        <v>0</v>
      </c>
      <c r="CF38" s="251">
        <f t="shared" ca="1" si="85"/>
        <v>0</v>
      </c>
      <c r="CG38" s="251">
        <f t="shared" ca="1" si="86"/>
        <v>0</v>
      </c>
      <c r="CH38" s="251">
        <f t="shared" ca="1" si="51"/>
        <v>0</v>
      </c>
      <c r="CI38" s="251">
        <f t="shared" ca="1" si="52"/>
        <v>0</v>
      </c>
      <c r="CJ38" s="251">
        <f t="shared" ca="1" si="87"/>
        <v>0</v>
      </c>
      <c r="CK38" s="251">
        <f t="shared" ca="1" si="88"/>
        <v>0</v>
      </c>
      <c r="CL38" s="251">
        <f t="shared" ca="1" si="53"/>
        <v>0</v>
      </c>
      <c r="CM38" s="251">
        <f t="shared" ca="1" si="54"/>
        <v>0</v>
      </c>
      <c r="CN38" s="251">
        <f t="shared" ca="1" si="55"/>
        <v>0</v>
      </c>
      <c r="CO38" s="251">
        <f t="shared" ca="1" si="56"/>
        <v>0</v>
      </c>
      <c r="CP38" s="251">
        <f t="shared" ca="1" si="89"/>
        <v>0</v>
      </c>
      <c r="CQ38" s="251">
        <f t="shared" ca="1" si="90"/>
        <v>0</v>
      </c>
      <c r="CR38" s="251">
        <f t="shared" ca="1" si="91"/>
        <v>0</v>
      </c>
      <c r="CS38" s="251">
        <f t="shared" ca="1" si="92"/>
        <v>0</v>
      </c>
      <c r="CT38" s="251">
        <f t="shared" ca="1" si="57"/>
        <v>0</v>
      </c>
      <c r="CU38" s="251">
        <f t="shared" ca="1" si="58"/>
        <v>0</v>
      </c>
      <c r="CV38" s="251">
        <f t="shared" ca="1" si="59"/>
        <v>0</v>
      </c>
      <c r="CW38" s="251">
        <f t="shared" ca="1" si="60"/>
        <v>0</v>
      </c>
      <c r="CX38" s="251">
        <f t="shared" ca="1" si="93"/>
        <v>0</v>
      </c>
      <c r="CY38" s="251">
        <f t="shared" ca="1" si="94"/>
        <v>0</v>
      </c>
      <c r="CZ38" s="251">
        <f t="shared" ca="1" si="95"/>
        <v>0</v>
      </c>
      <c r="DA38" s="251">
        <f t="shared" ca="1" si="96"/>
        <v>0</v>
      </c>
    </row>
    <row r="39" spans="1:105" s="248" customFormat="1" ht="15" customHeight="1">
      <c r="A39" s="58">
        <f t="array" aca="1" ref="A39" ca="1">IF(C39&lt;&gt;0,SUM(($C$11:C39&lt;&gt;0)*1),"")</f>
        <v>29</v>
      </c>
      <c r="B39" s="249">
        <v>42460</v>
      </c>
      <c r="C39" s="252" t="s">
        <v>115</v>
      </c>
      <c r="D39" s="252">
        <f t="shared" ref="D39:D44" si="97">B39</f>
        <v>42460</v>
      </c>
      <c r="E39" s="736" t="s">
        <v>210</v>
      </c>
      <c r="F39" s="737">
        <f>[1]CDPS!D59</f>
        <v>107861885.00000048</v>
      </c>
      <c r="G39" s="738" t="s">
        <v>94</v>
      </c>
      <c r="H39" s="738" t="s">
        <v>92</v>
      </c>
      <c r="I39" s="58">
        <f t="shared" ref="I39:I50" ca="1" si="98">A39</f>
        <v>29</v>
      </c>
      <c r="J39" s="251">
        <f t="shared" si="61"/>
        <v>0</v>
      </c>
      <c r="K39" s="251">
        <f t="shared" si="62"/>
        <v>0</v>
      </c>
      <c r="L39" s="251">
        <f t="shared" si="1"/>
        <v>0</v>
      </c>
      <c r="M39" s="251">
        <f t="shared" si="2"/>
        <v>0</v>
      </c>
      <c r="N39" s="251">
        <f t="shared" si="3"/>
        <v>0</v>
      </c>
      <c r="O39" s="251">
        <f t="shared" si="4"/>
        <v>0</v>
      </c>
      <c r="P39" s="251">
        <f t="shared" si="5"/>
        <v>0</v>
      </c>
      <c r="Q39" s="251">
        <f t="shared" si="6"/>
        <v>0</v>
      </c>
      <c r="R39" s="251">
        <f t="shared" si="7"/>
        <v>0</v>
      </c>
      <c r="S39" s="251">
        <f t="shared" si="8"/>
        <v>0</v>
      </c>
      <c r="T39" s="251">
        <f t="shared" si="9"/>
        <v>0</v>
      </c>
      <c r="U39" s="251">
        <f t="shared" si="10"/>
        <v>0</v>
      </c>
      <c r="V39" s="251">
        <f t="shared" si="11"/>
        <v>0</v>
      </c>
      <c r="W39" s="251">
        <f t="shared" si="12"/>
        <v>0</v>
      </c>
      <c r="X39" s="251">
        <f t="shared" si="13"/>
        <v>0</v>
      </c>
      <c r="Y39" s="251">
        <f t="shared" si="14"/>
        <v>0</v>
      </c>
      <c r="Z39" s="251">
        <f t="shared" si="15"/>
        <v>0</v>
      </c>
      <c r="AA39" s="251">
        <f t="shared" si="16"/>
        <v>0</v>
      </c>
      <c r="AB39" s="251">
        <f t="shared" si="63"/>
        <v>0</v>
      </c>
      <c r="AC39" s="251">
        <f t="shared" si="64"/>
        <v>0</v>
      </c>
      <c r="AD39" s="251">
        <f t="shared" si="17"/>
        <v>0</v>
      </c>
      <c r="AE39" s="251">
        <f t="shared" si="18"/>
        <v>0</v>
      </c>
      <c r="AF39" s="251">
        <f t="shared" si="19"/>
        <v>0</v>
      </c>
      <c r="AG39" s="251">
        <f t="shared" si="20"/>
        <v>0</v>
      </c>
      <c r="AH39" s="251">
        <f t="shared" si="65"/>
        <v>0</v>
      </c>
      <c r="AI39" s="251">
        <f t="shared" si="66"/>
        <v>0</v>
      </c>
      <c r="AJ39" s="251">
        <f t="shared" si="67"/>
        <v>0</v>
      </c>
      <c r="AK39" s="251">
        <f t="shared" si="68"/>
        <v>0</v>
      </c>
      <c r="AL39" s="251">
        <f t="shared" si="69"/>
        <v>0</v>
      </c>
      <c r="AM39" s="251">
        <f t="shared" si="70"/>
        <v>0</v>
      </c>
      <c r="AN39" s="251">
        <f t="shared" si="71"/>
        <v>0</v>
      </c>
      <c r="AO39" s="251">
        <f t="shared" si="72"/>
        <v>0</v>
      </c>
      <c r="AP39" s="251">
        <f t="shared" si="21"/>
        <v>0</v>
      </c>
      <c r="AQ39" s="251">
        <f t="shared" si="22"/>
        <v>0</v>
      </c>
      <c r="AR39" s="251">
        <f t="shared" si="23"/>
        <v>0</v>
      </c>
      <c r="AS39" s="251">
        <f t="shared" si="24"/>
        <v>0</v>
      </c>
      <c r="AT39" s="251">
        <f t="shared" ref="AT39:AT51" si="99">IF($G39="2412",$F39,0)</f>
        <v>0</v>
      </c>
      <c r="AU39" s="251">
        <f t="shared" ref="AU39:AU51" si="100">IF($H39="2412",$F39,0)</f>
        <v>0</v>
      </c>
      <c r="AV39" s="251">
        <f t="shared" si="25"/>
        <v>0</v>
      </c>
      <c r="AW39" s="251">
        <f t="shared" si="26"/>
        <v>0</v>
      </c>
      <c r="AX39" s="251">
        <f t="shared" si="27"/>
        <v>0</v>
      </c>
      <c r="AY39" s="251">
        <f t="shared" si="28"/>
        <v>0</v>
      </c>
      <c r="AZ39" s="251">
        <f t="shared" si="29"/>
        <v>0</v>
      </c>
      <c r="BA39" s="251">
        <f t="shared" si="30"/>
        <v>0</v>
      </c>
      <c r="BB39" s="251">
        <f t="shared" si="31"/>
        <v>0</v>
      </c>
      <c r="BC39" s="251">
        <f t="shared" si="32"/>
        <v>0</v>
      </c>
      <c r="BD39" s="251">
        <f t="shared" si="33"/>
        <v>0</v>
      </c>
      <c r="BE39" s="251">
        <f t="shared" si="34"/>
        <v>0</v>
      </c>
      <c r="BF39" s="251">
        <f t="shared" si="35"/>
        <v>0</v>
      </c>
      <c r="BG39" s="251">
        <f t="shared" si="36"/>
        <v>0</v>
      </c>
      <c r="BH39" s="251">
        <f t="shared" si="75"/>
        <v>0</v>
      </c>
      <c r="BI39" s="251">
        <f t="shared" si="76"/>
        <v>0</v>
      </c>
      <c r="BJ39" s="251">
        <f t="shared" si="37"/>
        <v>0</v>
      </c>
      <c r="BK39" s="251">
        <f t="shared" si="38"/>
        <v>0</v>
      </c>
      <c r="BL39" s="251">
        <f t="shared" si="39"/>
        <v>0</v>
      </c>
      <c r="BM39" s="251">
        <f t="shared" si="40"/>
        <v>0</v>
      </c>
      <c r="BN39" s="251">
        <f t="shared" si="41"/>
        <v>0</v>
      </c>
      <c r="BO39" s="251">
        <f t="shared" si="42"/>
        <v>0</v>
      </c>
      <c r="BP39" s="251">
        <f t="shared" si="77"/>
        <v>0</v>
      </c>
      <c r="BQ39" s="251">
        <f t="shared" si="78"/>
        <v>0</v>
      </c>
      <c r="BR39" s="251">
        <f t="shared" si="43"/>
        <v>0</v>
      </c>
      <c r="BS39" s="251">
        <f t="shared" si="44"/>
        <v>0</v>
      </c>
      <c r="BT39" s="251">
        <f t="shared" si="79"/>
        <v>0</v>
      </c>
      <c r="BU39" s="251">
        <f t="shared" si="80"/>
        <v>0</v>
      </c>
      <c r="BV39" s="251">
        <f t="shared" ref="BV39:BV51" si="101">IF($G39="3412",$F39,0)</f>
        <v>0</v>
      </c>
      <c r="BW39" s="251">
        <f t="shared" ref="BW39:BW51" si="102">IF($H39="3412",$F39,0)</f>
        <v>0</v>
      </c>
      <c r="BX39" s="251">
        <f t="shared" si="45"/>
        <v>0</v>
      </c>
      <c r="BY39" s="251">
        <f t="shared" si="46"/>
        <v>0</v>
      </c>
      <c r="BZ39" s="251">
        <f t="shared" si="47"/>
        <v>0</v>
      </c>
      <c r="CA39" s="251">
        <f t="shared" si="48"/>
        <v>107861885.00000048</v>
      </c>
      <c r="CB39" s="251">
        <f t="shared" si="49"/>
        <v>107861885.00000048</v>
      </c>
      <c r="CC39" s="251">
        <f t="shared" si="50"/>
        <v>0</v>
      </c>
      <c r="CD39" s="251">
        <f t="shared" si="83"/>
        <v>0</v>
      </c>
      <c r="CE39" s="251">
        <f t="shared" si="84"/>
        <v>0</v>
      </c>
      <c r="CF39" s="251">
        <f t="shared" si="85"/>
        <v>0</v>
      </c>
      <c r="CG39" s="251">
        <f t="shared" si="86"/>
        <v>0</v>
      </c>
      <c r="CH39" s="251">
        <f t="shared" si="51"/>
        <v>0</v>
      </c>
      <c r="CI39" s="251">
        <f t="shared" si="52"/>
        <v>0</v>
      </c>
      <c r="CJ39" s="251">
        <f t="shared" si="87"/>
        <v>0</v>
      </c>
      <c r="CK39" s="251">
        <f t="shared" si="88"/>
        <v>0</v>
      </c>
      <c r="CL39" s="251">
        <f t="shared" si="53"/>
        <v>0</v>
      </c>
      <c r="CM39" s="251">
        <f t="shared" si="54"/>
        <v>0</v>
      </c>
      <c r="CN39" s="251">
        <f t="shared" si="55"/>
        <v>0</v>
      </c>
      <c r="CO39" s="251">
        <f t="shared" si="56"/>
        <v>0</v>
      </c>
      <c r="CP39" s="251">
        <f t="shared" si="89"/>
        <v>0</v>
      </c>
      <c r="CQ39" s="251">
        <f t="shared" si="90"/>
        <v>0</v>
      </c>
      <c r="CR39" s="251">
        <f t="shared" si="91"/>
        <v>0</v>
      </c>
      <c r="CS39" s="251">
        <f t="shared" si="92"/>
        <v>0</v>
      </c>
      <c r="CT39" s="251">
        <f t="shared" si="57"/>
        <v>0</v>
      </c>
      <c r="CU39" s="251">
        <f t="shared" si="58"/>
        <v>0</v>
      </c>
      <c r="CV39" s="251">
        <f t="shared" si="59"/>
        <v>0</v>
      </c>
      <c r="CW39" s="251">
        <f t="shared" si="60"/>
        <v>0</v>
      </c>
      <c r="CX39" s="251">
        <f t="shared" si="93"/>
        <v>0</v>
      </c>
      <c r="CY39" s="251">
        <f t="shared" si="94"/>
        <v>0</v>
      </c>
      <c r="CZ39" s="251">
        <f t="shared" si="95"/>
        <v>0</v>
      </c>
      <c r="DA39" s="251">
        <f t="shared" si="96"/>
        <v>0</v>
      </c>
    </row>
    <row r="40" spans="1:105" s="248" customFormat="1" ht="15" customHeight="1">
      <c r="A40" s="58">
        <f t="array" aca="1" ref="A40" ca="1">IF(C40&lt;&gt;0,SUM(($C$11:C40&lt;&gt;0)*1),"")</f>
        <v>30</v>
      </c>
      <c r="B40" s="249">
        <v>42460</v>
      </c>
      <c r="C40" s="252" t="s">
        <v>115</v>
      </c>
      <c r="D40" s="252">
        <f t="shared" si="97"/>
        <v>42460</v>
      </c>
      <c r="E40" s="736" t="s">
        <v>590</v>
      </c>
      <c r="F40" s="737">
        <f ca="1">AY52</f>
        <v>0</v>
      </c>
      <c r="G40" s="738" t="s">
        <v>595</v>
      </c>
      <c r="H40" s="738" t="s">
        <v>9</v>
      </c>
      <c r="I40" s="58">
        <f t="shared" ca="1" si="98"/>
        <v>30</v>
      </c>
      <c r="J40" s="251">
        <f t="shared" si="61"/>
        <v>0</v>
      </c>
      <c r="K40" s="251">
        <f t="shared" si="62"/>
        <v>0</v>
      </c>
      <c r="L40" s="251">
        <f t="shared" si="1"/>
        <v>0</v>
      </c>
      <c r="M40" s="251">
        <f t="shared" si="2"/>
        <v>0</v>
      </c>
      <c r="N40" s="251">
        <f t="shared" si="3"/>
        <v>0</v>
      </c>
      <c r="O40" s="251">
        <f t="shared" si="4"/>
        <v>0</v>
      </c>
      <c r="P40" s="251">
        <f t="shared" si="5"/>
        <v>0</v>
      </c>
      <c r="Q40" s="251">
        <f t="shared" si="6"/>
        <v>0</v>
      </c>
      <c r="R40" s="251">
        <f t="shared" si="7"/>
        <v>0</v>
      </c>
      <c r="S40" s="251">
        <f t="shared" ca="1" si="8"/>
        <v>0</v>
      </c>
      <c r="T40" s="251">
        <f t="shared" si="9"/>
        <v>0</v>
      </c>
      <c r="U40" s="251">
        <f t="shared" si="10"/>
        <v>0</v>
      </c>
      <c r="V40" s="251">
        <f t="shared" si="11"/>
        <v>0</v>
      </c>
      <c r="W40" s="251">
        <f t="shared" si="12"/>
        <v>0</v>
      </c>
      <c r="X40" s="251">
        <f t="shared" si="13"/>
        <v>0</v>
      </c>
      <c r="Y40" s="251">
        <f t="shared" si="14"/>
        <v>0</v>
      </c>
      <c r="Z40" s="251">
        <f t="shared" si="15"/>
        <v>0</v>
      </c>
      <c r="AA40" s="251">
        <f t="shared" si="16"/>
        <v>0</v>
      </c>
      <c r="AB40" s="251">
        <f t="shared" si="63"/>
        <v>0</v>
      </c>
      <c r="AC40" s="251">
        <f t="shared" si="64"/>
        <v>0</v>
      </c>
      <c r="AD40" s="251">
        <f t="shared" si="17"/>
        <v>0</v>
      </c>
      <c r="AE40" s="251">
        <f t="shared" si="18"/>
        <v>0</v>
      </c>
      <c r="AF40" s="251">
        <f t="shared" si="19"/>
        <v>0</v>
      </c>
      <c r="AG40" s="251">
        <f t="shared" si="20"/>
        <v>0</v>
      </c>
      <c r="AH40" s="251">
        <f t="shared" si="65"/>
        <v>0</v>
      </c>
      <c r="AI40" s="251">
        <f t="shared" si="66"/>
        <v>0</v>
      </c>
      <c r="AJ40" s="251">
        <f t="shared" si="67"/>
        <v>0</v>
      </c>
      <c r="AK40" s="251">
        <f t="shared" si="68"/>
        <v>0</v>
      </c>
      <c r="AL40" s="251">
        <f t="shared" si="69"/>
        <v>0</v>
      </c>
      <c r="AM40" s="251">
        <f t="shared" si="70"/>
        <v>0</v>
      </c>
      <c r="AN40" s="251">
        <f t="shared" si="71"/>
        <v>0</v>
      </c>
      <c r="AO40" s="251">
        <f t="shared" si="72"/>
        <v>0</v>
      </c>
      <c r="AP40" s="251">
        <f t="shared" si="21"/>
        <v>0</v>
      </c>
      <c r="AQ40" s="251">
        <f t="shared" si="22"/>
        <v>0</v>
      </c>
      <c r="AR40" s="251">
        <f t="shared" si="23"/>
        <v>0</v>
      </c>
      <c r="AS40" s="251">
        <f t="shared" si="24"/>
        <v>0</v>
      </c>
      <c r="AT40" s="251">
        <f t="shared" si="99"/>
        <v>0</v>
      </c>
      <c r="AU40" s="251">
        <f t="shared" si="100"/>
        <v>0</v>
      </c>
      <c r="AV40" s="251">
        <f t="shared" si="25"/>
        <v>0</v>
      </c>
      <c r="AW40" s="251">
        <f t="shared" si="26"/>
        <v>0</v>
      </c>
      <c r="AX40" s="251">
        <f t="shared" ca="1" si="27"/>
        <v>0</v>
      </c>
      <c r="AY40" s="251">
        <f t="shared" si="28"/>
        <v>0</v>
      </c>
      <c r="AZ40" s="251">
        <f t="shared" si="29"/>
        <v>0</v>
      </c>
      <c r="BA40" s="251">
        <f t="shared" si="30"/>
        <v>0</v>
      </c>
      <c r="BB40" s="251">
        <f t="shared" si="31"/>
        <v>0</v>
      </c>
      <c r="BC40" s="251">
        <f t="shared" si="32"/>
        <v>0</v>
      </c>
      <c r="BD40" s="251">
        <f t="shared" si="33"/>
        <v>0</v>
      </c>
      <c r="BE40" s="251">
        <f t="shared" si="34"/>
        <v>0</v>
      </c>
      <c r="BF40" s="251">
        <f t="shared" si="35"/>
        <v>0</v>
      </c>
      <c r="BG40" s="251">
        <f t="shared" si="36"/>
        <v>0</v>
      </c>
      <c r="BH40" s="251">
        <f t="shared" si="75"/>
        <v>0</v>
      </c>
      <c r="BI40" s="251">
        <f t="shared" si="76"/>
        <v>0</v>
      </c>
      <c r="BJ40" s="251">
        <f t="shared" si="37"/>
        <v>0</v>
      </c>
      <c r="BK40" s="251">
        <f t="shared" si="38"/>
        <v>0</v>
      </c>
      <c r="BL40" s="251">
        <f t="shared" si="39"/>
        <v>0</v>
      </c>
      <c r="BM40" s="251">
        <f t="shared" si="40"/>
        <v>0</v>
      </c>
      <c r="BN40" s="251">
        <f t="shared" si="41"/>
        <v>0</v>
      </c>
      <c r="BO40" s="251">
        <f t="shared" si="42"/>
        <v>0</v>
      </c>
      <c r="BP40" s="251">
        <f t="shared" si="77"/>
        <v>0</v>
      </c>
      <c r="BQ40" s="251">
        <f t="shared" si="78"/>
        <v>0</v>
      </c>
      <c r="BR40" s="251">
        <f t="shared" si="43"/>
        <v>0</v>
      </c>
      <c r="BS40" s="251">
        <f t="shared" si="44"/>
        <v>0</v>
      </c>
      <c r="BT40" s="251">
        <f t="shared" si="79"/>
        <v>0</v>
      </c>
      <c r="BU40" s="251">
        <f t="shared" si="80"/>
        <v>0</v>
      </c>
      <c r="BV40" s="251">
        <f t="shared" si="101"/>
        <v>0</v>
      </c>
      <c r="BW40" s="251">
        <f t="shared" si="102"/>
        <v>0</v>
      </c>
      <c r="BX40" s="251">
        <f t="shared" si="45"/>
        <v>0</v>
      </c>
      <c r="BY40" s="251">
        <f t="shared" si="46"/>
        <v>0</v>
      </c>
      <c r="BZ40" s="251">
        <f t="shared" si="47"/>
        <v>0</v>
      </c>
      <c r="CA40" s="251">
        <f t="shared" si="48"/>
        <v>0</v>
      </c>
      <c r="CB40" s="251">
        <f t="shared" si="49"/>
        <v>0</v>
      </c>
      <c r="CC40" s="251">
        <f t="shared" si="50"/>
        <v>0</v>
      </c>
      <c r="CD40" s="251">
        <f t="shared" si="83"/>
        <v>0</v>
      </c>
      <c r="CE40" s="251">
        <f t="shared" si="84"/>
        <v>0</v>
      </c>
      <c r="CF40" s="251">
        <f t="shared" si="85"/>
        <v>0</v>
      </c>
      <c r="CG40" s="251">
        <f t="shared" si="86"/>
        <v>0</v>
      </c>
      <c r="CH40" s="251">
        <f t="shared" si="51"/>
        <v>0</v>
      </c>
      <c r="CI40" s="251">
        <f t="shared" si="52"/>
        <v>0</v>
      </c>
      <c r="CJ40" s="251">
        <f t="shared" si="87"/>
        <v>0</v>
      </c>
      <c r="CK40" s="251">
        <f t="shared" si="88"/>
        <v>0</v>
      </c>
      <c r="CL40" s="251">
        <f t="shared" si="53"/>
        <v>0</v>
      </c>
      <c r="CM40" s="251">
        <f t="shared" si="54"/>
        <v>0</v>
      </c>
      <c r="CN40" s="251">
        <f t="shared" si="55"/>
        <v>0</v>
      </c>
      <c r="CO40" s="251">
        <f t="shared" si="56"/>
        <v>0</v>
      </c>
      <c r="CP40" s="251">
        <f t="shared" si="89"/>
        <v>0</v>
      </c>
      <c r="CQ40" s="251">
        <f t="shared" si="90"/>
        <v>0</v>
      </c>
      <c r="CR40" s="251">
        <f t="shared" si="91"/>
        <v>0</v>
      </c>
      <c r="CS40" s="251">
        <f t="shared" si="92"/>
        <v>0</v>
      </c>
      <c r="CT40" s="251">
        <f t="shared" si="57"/>
        <v>0</v>
      </c>
      <c r="CU40" s="251">
        <f t="shared" si="58"/>
        <v>0</v>
      </c>
      <c r="CV40" s="251">
        <f t="shared" si="59"/>
        <v>0</v>
      </c>
      <c r="CW40" s="251">
        <f t="shared" si="60"/>
        <v>0</v>
      </c>
      <c r="CX40" s="251">
        <f t="shared" si="93"/>
        <v>0</v>
      </c>
      <c r="CY40" s="251">
        <f t="shared" si="94"/>
        <v>0</v>
      </c>
      <c r="CZ40" s="251">
        <f t="shared" si="95"/>
        <v>0</v>
      </c>
      <c r="DA40" s="251">
        <f t="shared" si="96"/>
        <v>0</v>
      </c>
    </row>
    <row r="41" spans="1:105" s="248" customFormat="1" ht="15" customHeight="1">
      <c r="A41" s="58">
        <f t="array" aca="1" ref="A41" ca="1">IF(C41&lt;&gt;0,SUM(($C$11:C41&lt;&gt;0)*1),"")</f>
        <v>31</v>
      </c>
      <c r="B41" s="249">
        <v>42460</v>
      </c>
      <c r="C41" s="252" t="s">
        <v>115</v>
      </c>
      <c r="D41" s="252">
        <f t="shared" si="97"/>
        <v>42460</v>
      </c>
      <c r="E41" s="736" t="s">
        <v>591</v>
      </c>
      <c r="F41" s="737">
        <f ca="1">CL52</f>
        <v>0</v>
      </c>
      <c r="G41" s="738" t="s">
        <v>109</v>
      </c>
      <c r="H41" s="738" t="s">
        <v>284</v>
      </c>
      <c r="I41" s="58">
        <f t="shared" ca="1" si="98"/>
        <v>31</v>
      </c>
      <c r="J41" s="251">
        <f t="shared" si="61"/>
        <v>0</v>
      </c>
      <c r="K41" s="251">
        <f t="shared" si="62"/>
        <v>0</v>
      </c>
      <c r="L41" s="251">
        <f t="shared" si="1"/>
        <v>0</v>
      </c>
      <c r="M41" s="251">
        <f t="shared" si="2"/>
        <v>0</v>
      </c>
      <c r="N41" s="251">
        <f t="shared" si="3"/>
        <v>0</v>
      </c>
      <c r="O41" s="251">
        <f t="shared" si="4"/>
        <v>0</v>
      </c>
      <c r="P41" s="251">
        <f t="shared" si="5"/>
        <v>0</v>
      </c>
      <c r="Q41" s="251">
        <f t="shared" si="6"/>
        <v>0</v>
      </c>
      <c r="R41" s="251">
        <f t="shared" si="7"/>
        <v>0</v>
      </c>
      <c r="S41" s="251">
        <f t="shared" si="8"/>
        <v>0</v>
      </c>
      <c r="T41" s="251">
        <f t="shared" si="9"/>
        <v>0</v>
      </c>
      <c r="U41" s="251">
        <f t="shared" si="10"/>
        <v>0</v>
      </c>
      <c r="V41" s="251">
        <f t="shared" si="11"/>
        <v>0</v>
      </c>
      <c r="W41" s="251">
        <f t="shared" si="12"/>
        <v>0</v>
      </c>
      <c r="X41" s="251">
        <f t="shared" si="13"/>
        <v>0</v>
      </c>
      <c r="Y41" s="251">
        <f t="shared" si="14"/>
        <v>0</v>
      </c>
      <c r="Z41" s="251">
        <f t="shared" si="15"/>
        <v>0</v>
      </c>
      <c r="AA41" s="251">
        <f t="shared" si="16"/>
        <v>0</v>
      </c>
      <c r="AB41" s="251">
        <f t="shared" si="63"/>
        <v>0</v>
      </c>
      <c r="AC41" s="251">
        <f t="shared" si="64"/>
        <v>0</v>
      </c>
      <c r="AD41" s="251">
        <f t="shared" si="17"/>
        <v>0</v>
      </c>
      <c r="AE41" s="251">
        <f t="shared" si="18"/>
        <v>0</v>
      </c>
      <c r="AF41" s="251">
        <f t="shared" si="19"/>
        <v>0</v>
      </c>
      <c r="AG41" s="251">
        <f t="shared" si="20"/>
        <v>0</v>
      </c>
      <c r="AH41" s="251">
        <f t="shared" si="65"/>
        <v>0</v>
      </c>
      <c r="AI41" s="251">
        <f t="shared" si="66"/>
        <v>0</v>
      </c>
      <c r="AJ41" s="251">
        <f t="shared" si="67"/>
        <v>0</v>
      </c>
      <c r="AK41" s="251">
        <f t="shared" si="68"/>
        <v>0</v>
      </c>
      <c r="AL41" s="251">
        <f t="shared" si="69"/>
        <v>0</v>
      </c>
      <c r="AM41" s="251">
        <f t="shared" si="70"/>
        <v>0</v>
      </c>
      <c r="AN41" s="251">
        <f t="shared" si="71"/>
        <v>0</v>
      </c>
      <c r="AO41" s="251">
        <f t="shared" si="72"/>
        <v>0</v>
      </c>
      <c r="AP41" s="251">
        <f t="shared" si="21"/>
        <v>0</v>
      </c>
      <c r="AQ41" s="251">
        <f t="shared" si="22"/>
        <v>0</v>
      </c>
      <c r="AR41" s="251">
        <f t="shared" si="23"/>
        <v>0</v>
      </c>
      <c r="AS41" s="251">
        <f t="shared" si="24"/>
        <v>0</v>
      </c>
      <c r="AT41" s="251">
        <f t="shared" si="99"/>
        <v>0</v>
      </c>
      <c r="AU41" s="251">
        <f t="shared" si="100"/>
        <v>0</v>
      </c>
      <c r="AV41" s="251">
        <f t="shared" si="25"/>
        <v>0</v>
      </c>
      <c r="AW41" s="251">
        <f t="shared" si="26"/>
        <v>0</v>
      </c>
      <c r="AX41" s="251">
        <f t="shared" si="27"/>
        <v>0</v>
      </c>
      <c r="AY41" s="251">
        <f t="shared" si="28"/>
        <v>0</v>
      </c>
      <c r="AZ41" s="251">
        <f t="shared" si="29"/>
        <v>0</v>
      </c>
      <c r="BA41" s="251">
        <f t="shared" si="30"/>
        <v>0</v>
      </c>
      <c r="BB41" s="251">
        <f t="shared" si="31"/>
        <v>0</v>
      </c>
      <c r="BC41" s="251">
        <f t="shared" si="32"/>
        <v>0</v>
      </c>
      <c r="BD41" s="251">
        <f t="shared" si="33"/>
        <v>0</v>
      </c>
      <c r="BE41" s="251">
        <f t="shared" si="34"/>
        <v>0</v>
      </c>
      <c r="BF41" s="251">
        <f t="shared" si="35"/>
        <v>0</v>
      </c>
      <c r="BG41" s="251">
        <f t="shared" si="36"/>
        <v>0</v>
      </c>
      <c r="BH41" s="251">
        <f t="shared" si="75"/>
        <v>0</v>
      </c>
      <c r="BI41" s="251">
        <f t="shared" si="76"/>
        <v>0</v>
      </c>
      <c r="BJ41" s="251">
        <f t="shared" si="37"/>
        <v>0</v>
      </c>
      <c r="BK41" s="251">
        <f t="shared" si="38"/>
        <v>0</v>
      </c>
      <c r="BL41" s="251">
        <f t="shared" si="39"/>
        <v>0</v>
      </c>
      <c r="BM41" s="251">
        <f t="shared" si="40"/>
        <v>0</v>
      </c>
      <c r="BN41" s="251">
        <f t="shared" si="41"/>
        <v>0</v>
      </c>
      <c r="BO41" s="251">
        <f t="shared" si="42"/>
        <v>0</v>
      </c>
      <c r="BP41" s="251">
        <f t="shared" si="77"/>
        <v>0</v>
      </c>
      <c r="BQ41" s="251">
        <f t="shared" si="78"/>
        <v>0</v>
      </c>
      <c r="BR41" s="251">
        <f t="shared" si="43"/>
        <v>0</v>
      </c>
      <c r="BS41" s="251">
        <f t="shared" si="44"/>
        <v>0</v>
      </c>
      <c r="BT41" s="251">
        <f t="shared" si="79"/>
        <v>0</v>
      </c>
      <c r="BU41" s="251">
        <f t="shared" si="80"/>
        <v>0</v>
      </c>
      <c r="BV41" s="251">
        <f t="shared" si="101"/>
        <v>0</v>
      </c>
      <c r="BW41" s="251">
        <f t="shared" si="102"/>
        <v>0</v>
      </c>
      <c r="BX41" s="251">
        <f t="shared" si="45"/>
        <v>0</v>
      </c>
      <c r="BY41" s="251">
        <f t="shared" si="46"/>
        <v>0</v>
      </c>
      <c r="BZ41" s="251">
        <f t="shared" si="47"/>
        <v>0</v>
      </c>
      <c r="CA41" s="251">
        <f t="shared" si="48"/>
        <v>0</v>
      </c>
      <c r="CB41" s="251">
        <f t="shared" si="49"/>
        <v>0</v>
      </c>
      <c r="CC41" s="251">
        <f t="shared" si="50"/>
        <v>0</v>
      </c>
      <c r="CD41" s="251">
        <f t="shared" si="83"/>
        <v>0</v>
      </c>
      <c r="CE41" s="251">
        <f t="shared" si="84"/>
        <v>0</v>
      </c>
      <c r="CF41" s="251">
        <f t="shared" si="85"/>
        <v>0</v>
      </c>
      <c r="CG41" s="251">
        <f t="shared" si="86"/>
        <v>0</v>
      </c>
      <c r="CH41" s="251">
        <f t="shared" si="51"/>
        <v>0</v>
      </c>
      <c r="CI41" s="251">
        <f t="shared" si="52"/>
        <v>0</v>
      </c>
      <c r="CJ41" s="251">
        <f t="shared" si="87"/>
        <v>0</v>
      </c>
      <c r="CK41" s="251">
        <f t="shared" si="88"/>
        <v>0</v>
      </c>
      <c r="CL41" s="251">
        <f t="shared" si="53"/>
        <v>0</v>
      </c>
      <c r="CM41" s="251">
        <f t="shared" ca="1" si="54"/>
        <v>0</v>
      </c>
      <c r="CN41" s="251">
        <f t="shared" si="55"/>
        <v>0</v>
      </c>
      <c r="CO41" s="251">
        <f t="shared" si="56"/>
        <v>0</v>
      </c>
      <c r="CP41" s="251">
        <f t="shared" si="89"/>
        <v>0</v>
      </c>
      <c r="CQ41" s="251">
        <f t="shared" si="90"/>
        <v>0</v>
      </c>
      <c r="CR41" s="251">
        <f t="shared" si="91"/>
        <v>0</v>
      </c>
      <c r="CS41" s="251">
        <f t="shared" si="92"/>
        <v>0</v>
      </c>
      <c r="CT41" s="251">
        <f t="shared" si="57"/>
        <v>0</v>
      </c>
      <c r="CU41" s="251">
        <f t="shared" si="58"/>
        <v>0</v>
      </c>
      <c r="CV41" s="251">
        <f t="shared" si="59"/>
        <v>0</v>
      </c>
      <c r="CW41" s="251">
        <f t="shared" si="60"/>
        <v>0</v>
      </c>
      <c r="CX41" s="251">
        <f t="shared" si="93"/>
        <v>0</v>
      </c>
      <c r="CY41" s="251">
        <f t="shared" si="94"/>
        <v>0</v>
      </c>
      <c r="CZ41" s="251">
        <f t="shared" ca="1" si="95"/>
        <v>0</v>
      </c>
      <c r="DA41" s="251">
        <f t="shared" si="96"/>
        <v>0</v>
      </c>
    </row>
    <row r="42" spans="1:105" s="248" customFormat="1" ht="15" customHeight="1">
      <c r="A42" s="58">
        <f t="array" aca="1" ref="A42" ca="1">IF(C42&lt;&gt;0,SUM(($C$11:C42&lt;&gt;0)*1),"")</f>
        <v>32</v>
      </c>
      <c r="B42" s="249">
        <v>42460</v>
      </c>
      <c r="C42" s="252" t="s">
        <v>115</v>
      </c>
      <c r="D42" s="252">
        <f t="shared" si="97"/>
        <v>42460</v>
      </c>
      <c r="E42" s="736" t="s">
        <v>116</v>
      </c>
      <c r="F42" s="737">
        <f ca="1">CN52</f>
        <v>0</v>
      </c>
      <c r="G42" s="738" t="s">
        <v>109</v>
      </c>
      <c r="H42" s="738" t="s">
        <v>99</v>
      </c>
      <c r="I42" s="58">
        <f t="shared" ca="1" si="98"/>
        <v>32</v>
      </c>
      <c r="J42" s="251">
        <f t="shared" si="61"/>
        <v>0</v>
      </c>
      <c r="K42" s="251">
        <f t="shared" si="62"/>
        <v>0</v>
      </c>
      <c r="L42" s="251">
        <f t="shared" si="1"/>
        <v>0</v>
      </c>
      <c r="M42" s="251">
        <f t="shared" si="2"/>
        <v>0</v>
      </c>
      <c r="N42" s="251">
        <f t="shared" si="3"/>
        <v>0</v>
      </c>
      <c r="O42" s="251">
        <f t="shared" si="4"/>
        <v>0</v>
      </c>
      <c r="P42" s="251">
        <f t="shared" si="5"/>
        <v>0</v>
      </c>
      <c r="Q42" s="251">
        <f t="shared" si="6"/>
        <v>0</v>
      </c>
      <c r="R42" s="251">
        <f t="shared" si="7"/>
        <v>0</v>
      </c>
      <c r="S42" s="251">
        <f t="shared" si="8"/>
        <v>0</v>
      </c>
      <c r="T42" s="251">
        <f t="shared" si="9"/>
        <v>0</v>
      </c>
      <c r="U42" s="251">
        <f t="shared" si="10"/>
        <v>0</v>
      </c>
      <c r="V42" s="251">
        <f t="shared" si="11"/>
        <v>0</v>
      </c>
      <c r="W42" s="251">
        <f t="shared" si="12"/>
        <v>0</v>
      </c>
      <c r="X42" s="251">
        <f t="shared" si="13"/>
        <v>0</v>
      </c>
      <c r="Y42" s="251">
        <f t="shared" si="14"/>
        <v>0</v>
      </c>
      <c r="Z42" s="251">
        <f t="shared" si="15"/>
        <v>0</v>
      </c>
      <c r="AA42" s="251">
        <f t="shared" si="16"/>
        <v>0</v>
      </c>
      <c r="AB42" s="251">
        <f t="shared" si="63"/>
        <v>0</v>
      </c>
      <c r="AC42" s="251">
        <f t="shared" si="64"/>
        <v>0</v>
      </c>
      <c r="AD42" s="251">
        <f t="shared" si="17"/>
        <v>0</v>
      </c>
      <c r="AE42" s="251">
        <f t="shared" si="18"/>
        <v>0</v>
      </c>
      <c r="AF42" s="251">
        <f t="shared" si="19"/>
        <v>0</v>
      </c>
      <c r="AG42" s="251">
        <f t="shared" si="20"/>
        <v>0</v>
      </c>
      <c r="AH42" s="251">
        <f t="shared" si="65"/>
        <v>0</v>
      </c>
      <c r="AI42" s="251">
        <f t="shared" si="66"/>
        <v>0</v>
      </c>
      <c r="AJ42" s="251">
        <f t="shared" si="67"/>
        <v>0</v>
      </c>
      <c r="AK42" s="251">
        <f t="shared" si="68"/>
        <v>0</v>
      </c>
      <c r="AL42" s="251">
        <f t="shared" si="69"/>
        <v>0</v>
      </c>
      <c r="AM42" s="251">
        <f t="shared" si="70"/>
        <v>0</v>
      </c>
      <c r="AN42" s="251">
        <f t="shared" si="71"/>
        <v>0</v>
      </c>
      <c r="AO42" s="251">
        <f t="shared" si="72"/>
        <v>0</v>
      </c>
      <c r="AP42" s="251">
        <f t="shared" si="21"/>
        <v>0</v>
      </c>
      <c r="AQ42" s="251">
        <f t="shared" si="22"/>
        <v>0</v>
      </c>
      <c r="AR42" s="251">
        <f t="shared" si="23"/>
        <v>0</v>
      </c>
      <c r="AS42" s="251">
        <f t="shared" si="24"/>
        <v>0</v>
      </c>
      <c r="AT42" s="251">
        <f t="shared" si="99"/>
        <v>0</v>
      </c>
      <c r="AU42" s="251">
        <f t="shared" si="100"/>
        <v>0</v>
      </c>
      <c r="AV42" s="251">
        <f t="shared" si="25"/>
        <v>0</v>
      </c>
      <c r="AW42" s="251">
        <f t="shared" si="26"/>
        <v>0</v>
      </c>
      <c r="AX42" s="251">
        <f t="shared" si="27"/>
        <v>0</v>
      </c>
      <c r="AY42" s="251">
        <f t="shared" si="28"/>
        <v>0</v>
      </c>
      <c r="AZ42" s="251">
        <f t="shared" si="29"/>
        <v>0</v>
      </c>
      <c r="BA42" s="251">
        <f t="shared" si="30"/>
        <v>0</v>
      </c>
      <c r="BB42" s="251">
        <f t="shared" si="31"/>
        <v>0</v>
      </c>
      <c r="BC42" s="251">
        <f t="shared" si="32"/>
        <v>0</v>
      </c>
      <c r="BD42" s="251">
        <f t="shared" si="33"/>
        <v>0</v>
      </c>
      <c r="BE42" s="251">
        <f t="shared" si="34"/>
        <v>0</v>
      </c>
      <c r="BF42" s="251">
        <f t="shared" si="35"/>
        <v>0</v>
      </c>
      <c r="BG42" s="251">
        <f t="shared" si="36"/>
        <v>0</v>
      </c>
      <c r="BH42" s="251">
        <f t="shared" si="75"/>
        <v>0</v>
      </c>
      <c r="BI42" s="251">
        <f t="shared" si="76"/>
        <v>0</v>
      </c>
      <c r="BJ42" s="251">
        <f t="shared" si="37"/>
        <v>0</v>
      </c>
      <c r="BK42" s="251">
        <f t="shared" si="38"/>
        <v>0</v>
      </c>
      <c r="BL42" s="251">
        <f t="shared" si="39"/>
        <v>0</v>
      </c>
      <c r="BM42" s="251">
        <f t="shared" si="40"/>
        <v>0</v>
      </c>
      <c r="BN42" s="251">
        <f t="shared" si="41"/>
        <v>0</v>
      </c>
      <c r="BO42" s="251">
        <f t="shared" si="42"/>
        <v>0</v>
      </c>
      <c r="BP42" s="251">
        <f t="shared" si="77"/>
        <v>0</v>
      </c>
      <c r="BQ42" s="251">
        <f t="shared" si="78"/>
        <v>0</v>
      </c>
      <c r="BR42" s="251">
        <f t="shared" si="43"/>
        <v>0</v>
      </c>
      <c r="BS42" s="251">
        <f t="shared" si="44"/>
        <v>0</v>
      </c>
      <c r="BT42" s="251">
        <f t="shared" si="79"/>
        <v>0</v>
      </c>
      <c r="BU42" s="251">
        <f t="shared" si="80"/>
        <v>0</v>
      </c>
      <c r="BV42" s="251">
        <f t="shared" si="101"/>
        <v>0</v>
      </c>
      <c r="BW42" s="251">
        <f t="shared" si="102"/>
        <v>0</v>
      </c>
      <c r="BX42" s="251">
        <f t="shared" si="45"/>
        <v>0</v>
      </c>
      <c r="BY42" s="251">
        <f t="shared" si="46"/>
        <v>0</v>
      </c>
      <c r="BZ42" s="251">
        <f t="shared" si="47"/>
        <v>0</v>
      </c>
      <c r="CA42" s="251">
        <f t="shared" si="48"/>
        <v>0</v>
      </c>
      <c r="CB42" s="251">
        <f t="shared" si="49"/>
        <v>0</v>
      </c>
      <c r="CC42" s="251">
        <f t="shared" si="50"/>
        <v>0</v>
      </c>
      <c r="CD42" s="251">
        <f t="shared" si="83"/>
        <v>0</v>
      </c>
      <c r="CE42" s="251">
        <f t="shared" si="84"/>
        <v>0</v>
      </c>
      <c r="CF42" s="251">
        <f t="shared" si="85"/>
        <v>0</v>
      </c>
      <c r="CG42" s="251">
        <f t="shared" si="86"/>
        <v>0</v>
      </c>
      <c r="CH42" s="251">
        <f t="shared" si="51"/>
        <v>0</v>
      </c>
      <c r="CI42" s="251">
        <f t="shared" si="52"/>
        <v>0</v>
      </c>
      <c r="CJ42" s="251">
        <f t="shared" si="87"/>
        <v>0</v>
      </c>
      <c r="CK42" s="251">
        <f t="shared" si="88"/>
        <v>0</v>
      </c>
      <c r="CL42" s="251">
        <f t="shared" si="53"/>
        <v>0</v>
      </c>
      <c r="CM42" s="251">
        <f t="shared" si="54"/>
        <v>0</v>
      </c>
      <c r="CN42" s="251">
        <f t="shared" si="55"/>
        <v>0</v>
      </c>
      <c r="CO42" s="251">
        <f t="shared" ca="1" si="56"/>
        <v>0</v>
      </c>
      <c r="CP42" s="251">
        <f t="shared" si="89"/>
        <v>0</v>
      </c>
      <c r="CQ42" s="251">
        <f t="shared" si="90"/>
        <v>0</v>
      </c>
      <c r="CR42" s="251">
        <f t="shared" si="91"/>
        <v>0</v>
      </c>
      <c r="CS42" s="251">
        <f t="shared" si="92"/>
        <v>0</v>
      </c>
      <c r="CT42" s="251">
        <f t="shared" si="57"/>
        <v>0</v>
      </c>
      <c r="CU42" s="251">
        <f t="shared" si="58"/>
        <v>0</v>
      </c>
      <c r="CV42" s="251">
        <f t="shared" si="59"/>
        <v>0</v>
      </c>
      <c r="CW42" s="251">
        <f t="shared" si="60"/>
        <v>0</v>
      </c>
      <c r="CX42" s="251">
        <f t="shared" si="93"/>
        <v>0</v>
      </c>
      <c r="CY42" s="251">
        <f t="shared" si="94"/>
        <v>0</v>
      </c>
      <c r="CZ42" s="251">
        <f t="shared" ca="1" si="95"/>
        <v>0</v>
      </c>
      <c r="DA42" s="251">
        <f t="shared" si="96"/>
        <v>0</v>
      </c>
    </row>
    <row r="43" spans="1:105" s="248" customFormat="1" ht="15" customHeight="1">
      <c r="A43" s="58">
        <f t="array" aca="1" ref="A43" ca="1">IF(C43&lt;&gt;0,SUM(($C$11:C43&lt;&gt;0)*1),"")</f>
        <v>33</v>
      </c>
      <c r="B43" s="249">
        <v>42460</v>
      </c>
      <c r="C43" s="252" t="s">
        <v>115</v>
      </c>
      <c r="D43" s="252">
        <f t="shared" si="97"/>
        <v>42460</v>
      </c>
      <c r="E43" s="736" t="s">
        <v>592</v>
      </c>
      <c r="F43" s="737">
        <f ca="1">CP52</f>
        <v>0</v>
      </c>
      <c r="G43" s="738" t="s">
        <v>109</v>
      </c>
      <c r="H43" s="738" t="s">
        <v>539</v>
      </c>
      <c r="I43" s="58">
        <f t="shared" ca="1" si="98"/>
        <v>33</v>
      </c>
      <c r="J43" s="251">
        <f t="shared" si="61"/>
        <v>0</v>
      </c>
      <c r="K43" s="251">
        <f t="shared" si="62"/>
        <v>0</v>
      </c>
      <c r="L43" s="251">
        <f t="shared" si="1"/>
        <v>0</v>
      </c>
      <c r="M43" s="251">
        <f t="shared" si="2"/>
        <v>0</v>
      </c>
      <c r="N43" s="251">
        <f t="shared" si="3"/>
        <v>0</v>
      </c>
      <c r="O43" s="251">
        <f t="shared" si="4"/>
        <v>0</v>
      </c>
      <c r="P43" s="251">
        <f t="shared" si="5"/>
        <v>0</v>
      </c>
      <c r="Q43" s="251">
        <f t="shared" si="6"/>
        <v>0</v>
      </c>
      <c r="R43" s="251">
        <f t="shared" si="7"/>
        <v>0</v>
      </c>
      <c r="S43" s="251">
        <f t="shared" si="8"/>
        <v>0</v>
      </c>
      <c r="T43" s="251">
        <f t="shared" si="9"/>
        <v>0</v>
      </c>
      <c r="U43" s="251">
        <f t="shared" si="10"/>
        <v>0</v>
      </c>
      <c r="V43" s="251">
        <f t="shared" si="11"/>
        <v>0</v>
      </c>
      <c r="W43" s="251">
        <f t="shared" si="12"/>
        <v>0</v>
      </c>
      <c r="X43" s="251">
        <f t="shared" si="13"/>
        <v>0</v>
      </c>
      <c r="Y43" s="251">
        <f t="shared" si="14"/>
        <v>0</v>
      </c>
      <c r="Z43" s="251">
        <f t="shared" si="15"/>
        <v>0</v>
      </c>
      <c r="AA43" s="251">
        <f t="shared" si="16"/>
        <v>0</v>
      </c>
      <c r="AB43" s="251">
        <f t="shared" si="63"/>
        <v>0</v>
      </c>
      <c r="AC43" s="251">
        <f t="shared" si="64"/>
        <v>0</v>
      </c>
      <c r="AD43" s="251">
        <f t="shared" si="17"/>
        <v>0</v>
      </c>
      <c r="AE43" s="251">
        <f t="shared" si="18"/>
        <v>0</v>
      </c>
      <c r="AF43" s="251">
        <f t="shared" si="19"/>
        <v>0</v>
      </c>
      <c r="AG43" s="251">
        <f t="shared" si="20"/>
        <v>0</v>
      </c>
      <c r="AH43" s="251">
        <f t="shared" si="65"/>
        <v>0</v>
      </c>
      <c r="AI43" s="251">
        <f t="shared" si="66"/>
        <v>0</v>
      </c>
      <c r="AJ43" s="251">
        <f t="shared" si="67"/>
        <v>0</v>
      </c>
      <c r="AK43" s="251">
        <f t="shared" si="68"/>
        <v>0</v>
      </c>
      <c r="AL43" s="251">
        <f t="shared" si="69"/>
        <v>0</v>
      </c>
      <c r="AM43" s="251">
        <f t="shared" si="70"/>
        <v>0</v>
      </c>
      <c r="AN43" s="251">
        <f t="shared" si="71"/>
        <v>0</v>
      </c>
      <c r="AO43" s="251">
        <f t="shared" si="72"/>
        <v>0</v>
      </c>
      <c r="AP43" s="251">
        <f t="shared" si="21"/>
        <v>0</v>
      </c>
      <c r="AQ43" s="251">
        <f t="shared" si="22"/>
        <v>0</v>
      </c>
      <c r="AR43" s="251">
        <f t="shared" si="23"/>
        <v>0</v>
      </c>
      <c r="AS43" s="251">
        <f t="shared" si="24"/>
        <v>0</v>
      </c>
      <c r="AT43" s="251">
        <f t="shared" si="99"/>
        <v>0</v>
      </c>
      <c r="AU43" s="251">
        <f t="shared" si="100"/>
        <v>0</v>
      </c>
      <c r="AV43" s="251">
        <f t="shared" si="25"/>
        <v>0</v>
      </c>
      <c r="AW43" s="251">
        <f t="shared" si="26"/>
        <v>0</v>
      </c>
      <c r="AX43" s="251">
        <f t="shared" si="27"/>
        <v>0</v>
      </c>
      <c r="AY43" s="251">
        <f t="shared" si="28"/>
        <v>0</v>
      </c>
      <c r="AZ43" s="251">
        <f t="shared" si="29"/>
        <v>0</v>
      </c>
      <c r="BA43" s="251">
        <f t="shared" si="30"/>
        <v>0</v>
      </c>
      <c r="BB43" s="251">
        <f t="shared" si="31"/>
        <v>0</v>
      </c>
      <c r="BC43" s="251">
        <f t="shared" si="32"/>
        <v>0</v>
      </c>
      <c r="BD43" s="251">
        <f t="shared" si="33"/>
        <v>0</v>
      </c>
      <c r="BE43" s="251">
        <f t="shared" si="34"/>
        <v>0</v>
      </c>
      <c r="BF43" s="251">
        <f t="shared" si="35"/>
        <v>0</v>
      </c>
      <c r="BG43" s="251">
        <f t="shared" si="36"/>
        <v>0</v>
      </c>
      <c r="BH43" s="251">
        <f t="shared" si="75"/>
        <v>0</v>
      </c>
      <c r="BI43" s="251">
        <f t="shared" si="76"/>
        <v>0</v>
      </c>
      <c r="BJ43" s="251">
        <f t="shared" si="37"/>
        <v>0</v>
      </c>
      <c r="BK43" s="251">
        <f t="shared" si="38"/>
        <v>0</v>
      </c>
      <c r="BL43" s="251">
        <f t="shared" si="39"/>
        <v>0</v>
      </c>
      <c r="BM43" s="251">
        <f t="shared" si="40"/>
        <v>0</v>
      </c>
      <c r="BN43" s="251">
        <f t="shared" si="41"/>
        <v>0</v>
      </c>
      <c r="BO43" s="251">
        <f t="shared" si="42"/>
        <v>0</v>
      </c>
      <c r="BP43" s="251">
        <f t="shared" si="77"/>
        <v>0</v>
      </c>
      <c r="BQ43" s="251">
        <f t="shared" si="78"/>
        <v>0</v>
      </c>
      <c r="BR43" s="251">
        <f t="shared" si="43"/>
        <v>0</v>
      </c>
      <c r="BS43" s="251">
        <f t="shared" si="44"/>
        <v>0</v>
      </c>
      <c r="BT43" s="251">
        <f t="shared" si="79"/>
        <v>0</v>
      </c>
      <c r="BU43" s="251">
        <f t="shared" si="80"/>
        <v>0</v>
      </c>
      <c r="BV43" s="251">
        <f t="shared" si="101"/>
        <v>0</v>
      </c>
      <c r="BW43" s="251">
        <f t="shared" si="102"/>
        <v>0</v>
      </c>
      <c r="BX43" s="251">
        <f t="shared" si="45"/>
        <v>0</v>
      </c>
      <c r="BY43" s="251">
        <f t="shared" si="46"/>
        <v>0</v>
      </c>
      <c r="BZ43" s="251">
        <f t="shared" si="47"/>
        <v>0</v>
      </c>
      <c r="CA43" s="251">
        <f t="shared" si="48"/>
        <v>0</v>
      </c>
      <c r="CB43" s="251">
        <f t="shared" si="49"/>
        <v>0</v>
      </c>
      <c r="CC43" s="251">
        <f t="shared" si="50"/>
        <v>0</v>
      </c>
      <c r="CD43" s="251">
        <f t="shared" si="83"/>
        <v>0</v>
      </c>
      <c r="CE43" s="251">
        <f t="shared" si="84"/>
        <v>0</v>
      </c>
      <c r="CF43" s="251">
        <f t="shared" si="85"/>
        <v>0</v>
      </c>
      <c r="CG43" s="251">
        <f t="shared" si="86"/>
        <v>0</v>
      </c>
      <c r="CH43" s="251">
        <f t="shared" si="51"/>
        <v>0</v>
      </c>
      <c r="CI43" s="251">
        <f t="shared" si="52"/>
        <v>0</v>
      </c>
      <c r="CJ43" s="251">
        <f t="shared" si="87"/>
        <v>0</v>
      </c>
      <c r="CK43" s="251">
        <f t="shared" si="88"/>
        <v>0</v>
      </c>
      <c r="CL43" s="251">
        <f t="shared" si="53"/>
        <v>0</v>
      </c>
      <c r="CM43" s="251">
        <f t="shared" si="54"/>
        <v>0</v>
      </c>
      <c r="CN43" s="251">
        <f t="shared" si="55"/>
        <v>0</v>
      </c>
      <c r="CO43" s="251">
        <f t="shared" si="56"/>
        <v>0</v>
      </c>
      <c r="CP43" s="251">
        <f t="shared" si="89"/>
        <v>0</v>
      </c>
      <c r="CQ43" s="251">
        <f t="shared" ca="1" si="90"/>
        <v>0</v>
      </c>
      <c r="CR43" s="251">
        <f t="shared" si="91"/>
        <v>0</v>
      </c>
      <c r="CS43" s="251">
        <f t="shared" si="92"/>
        <v>0</v>
      </c>
      <c r="CT43" s="251">
        <f t="shared" si="57"/>
        <v>0</v>
      </c>
      <c r="CU43" s="251">
        <f t="shared" si="58"/>
        <v>0</v>
      </c>
      <c r="CV43" s="251">
        <f t="shared" si="59"/>
        <v>0</v>
      </c>
      <c r="CW43" s="251">
        <f t="shared" si="60"/>
        <v>0</v>
      </c>
      <c r="CX43" s="251">
        <f t="shared" si="93"/>
        <v>0</v>
      </c>
      <c r="CY43" s="251">
        <f t="shared" si="94"/>
        <v>0</v>
      </c>
      <c r="CZ43" s="251">
        <f t="shared" ca="1" si="95"/>
        <v>0</v>
      </c>
      <c r="DA43" s="251">
        <f t="shared" si="96"/>
        <v>0</v>
      </c>
    </row>
    <row r="44" spans="1:105" s="248" customFormat="1" ht="15" customHeight="1">
      <c r="A44" s="58">
        <f t="array" aca="1" ref="A44" ca="1">IF(C44&lt;&gt;0,SUM(($C$11:C44&lt;&gt;0)*1),"")</f>
        <v>34</v>
      </c>
      <c r="B44" s="249">
        <v>42460</v>
      </c>
      <c r="C44" s="252" t="s">
        <v>115</v>
      </c>
      <c r="D44" s="252">
        <f t="shared" si="97"/>
        <v>42460</v>
      </c>
      <c r="E44" s="736" t="s">
        <v>117</v>
      </c>
      <c r="F44" s="737">
        <f ca="1">CR52</f>
        <v>0</v>
      </c>
      <c r="G44" s="738" t="s">
        <v>109</v>
      </c>
      <c r="H44" s="738" t="s">
        <v>101</v>
      </c>
      <c r="I44" s="58">
        <f t="shared" ca="1" si="98"/>
        <v>34</v>
      </c>
      <c r="J44" s="251">
        <f t="shared" si="61"/>
        <v>0</v>
      </c>
      <c r="K44" s="251">
        <f t="shared" si="62"/>
        <v>0</v>
      </c>
      <c r="L44" s="251">
        <f t="shared" si="1"/>
        <v>0</v>
      </c>
      <c r="M44" s="251">
        <f t="shared" si="2"/>
        <v>0</v>
      </c>
      <c r="N44" s="251">
        <f t="shared" si="3"/>
        <v>0</v>
      </c>
      <c r="O44" s="251">
        <f t="shared" si="4"/>
        <v>0</v>
      </c>
      <c r="P44" s="251">
        <f t="shared" si="5"/>
        <v>0</v>
      </c>
      <c r="Q44" s="251">
        <f t="shared" si="6"/>
        <v>0</v>
      </c>
      <c r="R44" s="251">
        <f t="shared" si="7"/>
        <v>0</v>
      </c>
      <c r="S44" s="251">
        <f t="shared" si="8"/>
        <v>0</v>
      </c>
      <c r="T44" s="251">
        <f t="shared" si="9"/>
        <v>0</v>
      </c>
      <c r="U44" s="251">
        <f t="shared" si="10"/>
        <v>0</v>
      </c>
      <c r="V44" s="251">
        <f t="shared" si="11"/>
        <v>0</v>
      </c>
      <c r="W44" s="251">
        <f t="shared" si="12"/>
        <v>0</v>
      </c>
      <c r="X44" s="251">
        <f t="shared" si="13"/>
        <v>0</v>
      </c>
      <c r="Y44" s="251">
        <f t="shared" si="14"/>
        <v>0</v>
      </c>
      <c r="Z44" s="251">
        <f t="shared" si="15"/>
        <v>0</v>
      </c>
      <c r="AA44" s="251">
        <f t="shared" si="16"/>
        <v>0</v>
      </c>
      <c r="AB44" s="251">
        <f t="shared" si="63"/>
        <v>0</v>
      </c>
      <c r="AC44" s="251">
        <f t="shared" si="64"/>
        <v>0</v>
      </c>
      <c r="AD44" s="251">
        <f t="shared" si="17"/>
        <v>0</v>
      </c>
      <c r="AE44" s="251">
        <f t="shared" si="18"/>
        <v>0</v>
      </c>
      <c r="AF44" s="251">
        <f t="shared" si="19"/>
        <v>0</v>
      </c>
      <c r="AG44" s="251">
        <f t="shared" si="20"/>
        <v>0</v>
      </c>
      <c r="AH44" s="251">
        <f t="shared" si="65"/>
        <v>0</v>
      </c>
      <c r="AI44" s="251">
        <f t="shared" si="66"/>
        <v>0</v>
      </c>
      <c r="AJ44" s="251">
        <f t="shared" si="67"/>
        <v>0</v>
      </c>
      <c r="AK44" s="251">
        <f t="shared" si="68"/>
        <v>0</v>
      </c>
      <c r="AL44" s="251">
        <f t="shared" si="69"/>
        <v>0</v>
      </c>
      <c r="AM44" s="251">
        <f t="shared" si="70"/>
        <v>0</v>
      </c>
      <c r="AN44" s="251">
        <f t="shared" si="71"/>
        <v>0</v>
      </c>
      <c r="AO44" s="251">
        <f t="shared" si="72"/>
        <v>0</v>
      </c>
      <c r="AP44" s="251">
        <f t="shared" si="21"/>
        <v>0</v>
      </c>
      <c r="AQ44" s="251">
        <f t="shared" si="22"/>
        <v>0</v>
      </c>
      <c r="AR44" s="251">
        <f t="shared" si="23"/>
        <v>0</v>
      </c>
      <c r="AS44" s="251">
        <f t="shared" si="24"/>
        <v>0</v>
      </c>
      <c r="AT44" s="251">
        <f t="shared" si="99"/>
        <v>0</v>
      </c>
      <c r="AU44" s="251">
        <f t="shared" si="100"/>
        <v>0</v>
      </c>
      <c r="AV44" s="251">
        <f t="shared" si="25"/>
        <v>0</v>
      </c>
      <c r="AW44" s="251">
        <f t="shared" si="26"/>
        <v>0</v>
      </c>
      <c r="AX44" s="251">
        <f t="shared" si="27"/>
        <v>0</v>
      </c>
      <c r="AY44" s="251">
        <f t="shared" si="28"/>
        <v>0</v>
      </c>
      <c r="AZ44" s="251">
        <f t="shared" si="29"/>
        <v>0</v>
      </c>
      <c r="BA44" s="251">
        <f t="shared" si="30"/>
        <v>0</v>
      </c>
      <c r="BB44" s="251">
        <f t="shared" si="31"/>
        <v>0</v>
      </c>
      <c r="BC44" s="251">
        <f t="shared" si="32"/>
        <v>0</v>
      </c>
      <c r="BD44" s="251">
        <f t="shared" si="33"/>
        <v>0</v>
      </c>
      <c r="BE44" s="251">
        <f t="shared" si="34"/>
        <v>0</v>
      </c>
      <c r="BF44" s="251">
        <f t="shared" si="35"/>
        <v>0</v>
      </c>
      <c r="BG44" s="251">
        <f t="shared" si="36"/>
        <v>0</v>
      </c>
      <c r="BH44" s="251">
        <f t="shared" si="75"/>
        <v>0</v>
      </c>
      <c r="BI44" s="251">
        <f t="shared" si="76"/>
        <v>0</v>
      </c>
      <c r="BJ44" s="251">
        <f t="shared" si="37"/>
        <v>0</v>
      </c>
      <c r="BK44" s="251">
        <f t="shared" si="38"/>
        <v>0</v>
      </c>
      <c r="BL44" s="251">
        <f t="shared" si="39"/>
        <v>0</v>
      </c>
      <c r="BM44" s="251">
        <f t="shared" si="40"/>
        <v>0</v>
      </c>
      <c r="BN44" s="251">
        <f t="shared" si="41"/>
        <v>0</v>
      </c>
      <c r="BO44" s="251">
        <f t="shared" si="42"/>
        <v>0</v>
      </c>
      <c r="BP44" s="251">
        <f t="shared" si="77"/>
        <v>0</v>
      </c>
      <c r="BQ44" s="251">
        <f t="shared" si="78"/>
        <v>0</v>
      </c>
      <c r="BR44" s="251">
        <f t="shared" si="43"/>
        <v>0</v>
      </c>
      <c r="BS44" s="251">
        <f t="shared" si="44"/>
        <v>0</v>
      </c>
      <c r="BT44" s="251">
        <f t="shared" si="79"/>
        <v>0</v>
      </c>
      <c r="BU44" s="251">
        <f t="shared" si="80"/>
        <v>0</v>
      </c>
      <c r="BV44" s="251">
        <f t="shared" si="101"/>
        <v>0</v>
      </c>
      <c r="BW44" s="251">
        <f t="shared" si="102"/>
        <v>0</v>
      </c>
      <c r="BX44" s="251">
        <f t="shared" si="45"/>
        <v>0</v>
      </c>
      <c r="BY44" s="251">
        <f t="shared" si="46"/>
        <v>0</v>
      </c>
      <c r="BZ44" s="251">
        <f t="shared" si="47"/>
        <v>0</v>
      </c>
      <c r="CA44" s="251">
        <f t="shared" si="48"/>
        <v>0</v>
      </c>
      <c r="CB44" s="251">
        <f t="shared" si="49"/>
        <v>0</v>
      </c>
      <c r="CC44" s="251">
        <f t="shared" si="50"/>
        <v>0</v>
      </c>
      <c r="CD44" s="251">
        <f t="shared" si="83"/>
        <v>0</v>
      </c>
      <c r="CE44" s="251">
        <f t="shared" si="84"/>
        <v>0</v>
      </c>
      <c r="CF44" s="251">
        <f t="shared" si="85"/>
        <v>0</v>
      </c>
      <c r="CG44" s="251">
        <f t="shared" si="86"/>
        <v>0</v>
      </c>
      <c r="CH44" s="251">
        <f t="shared" si="51"/>
        <v>0</v>
      </c>
      <c r="CI44" s="251">
        <f t="shared" si="52"/>
        <v>0</v>
      </c>
      <c r="CJ44" s="251">
        <f t="shared" si="87"/>
        <v>0</v>
      </c>
      <c r="CK44" s="251">
        <f t="shared" si="88"/>
        <v>0</v>
      </c>
      <c r="CL44" s="251">
        <f t="shared" si="53"/>
        <v>0</v>
      </c>
      <c r="CM44" s="251">
        <f t="shared" si="54"/>
        <v>0</v>
      </c>
      <c r="CN44" s="251">
        <f t="shared" si="55"/>
        <v>0</v>
      </c>
      <c r="CO44" s="251">
        <f t="shared" si="56"/>
        <v>0</v>
      </c>
      <c r="CP44" s="251">
        <f t="shared" si="89"/>
        <v>0</v>
      </c>
      <c r="CQ44" s="251">
        <f t="shared" si="90"/>
        <v>0</v>
      </c>
      <c r="CR44" s="251">
        <f t="shared" si="91"/>
        <v>0</v>
      </c>
      <c r="CS44" s="251">
        <f t="shared" ca="1" si="92"/>
        <v>0</v>
      </c>
      <c r="CT44" s="251">
        <f t="shared" si="57"/>
        <v>0</v>
      </c>
      <c r="CU44" s="251">
        <f t="shared" si="58"/>
        <v>0</v>
      </c>
      <c r="CV44" s="251">
        <f t="shared" si="59"/>
        <v>0</v>
      </c>
      <c r="CW44" s="251">
        <f t="shared" si="60"/>
        <v>0</v>
      </c>
      <c r="CX44" s="251">
        <f t="shared" si="93"/>
        <v>0</v>
      </c>
      <c r="CY44" s="251">
        <f t="shared" si="94"/>
        <v>0</v>
      </c>
      <c r="CZ44" s="251">
        <f t="shared" ca="1" si="95"/>
        <v>0</v>
      </c>
      <c r="DA44" s="251">
        <f t="shared" si="96"/>
        <v>0</v>
      </c>
    </row>
    <row r="45" spans="1:105" s="248" customFormat="1" ht="15" customHeight="1">
      <c r="A45" s="58">
        <f t="array" aca="1" ref="A45" ca="1">IF(C45&lt;&gt;0,SUM(($C$11:C45&lt;&gt;0)*1),"")</f>
        <v>35</v>
      </c>
      <c r="B45" s="249">
        <v>42460</v>
      </c>
      <c r="C45" s="252" t="s">
        <v>115</v>
      </c>
      <c r="D45" s="252">
        <f t="shared" ref="D45:D50" si="103">B45</f>
        <v>42460</v>
      </c>
      <c r="E45" s="736" t="s">
        <v>211</v>
      </c>
      <c r="F45" s="737"/>
      <c r="G45" s="738" t="s">
        <v>109</v>
      </c>
      <c r="H45" s="738" t="s">
        <v>94</v>
      </c>
      <c r="I45" s="58">
        <f t="shared" ca="1" si="98"/>
        <v>35</v>
      </c>
      <c r="J45" s="251">
        <f t="shared" si="61"/>
        <v>0</v>
      </c>
      <c r="K45" s="251">
        <f t="shared" si="62"/>
        <v>0</v>
      </c>
      <c r="L45" s="251">
        <f t="shared" si="1"/>
        <v>0</v>
      </c>
      <c r="M45" s="251">
        <f t="shared" si="2"/>
        <v>0</v>
      </c>
      <c r="N45" s="251">
        <f t="shared" si="3"/>
        <v>0</v>
      </c>
      <c r="O45" s="251">
        <f t="shared" si="4"/>
        <v>0</v>
      </c>
      <c r="P45" s="251">
        <f t="shared" si="5"/>
        <v>0</v>
      </c>
      <c r="Q45" s="251">
        <f t="shared" si="6"/>
        <v>0</v>
      </c>
      <c r="R45" s="251">
        <f t="shared" si="7"/>
        <v>0</v>
      </c>
      <c r="S45" s="251">
        <f t="shared" si="8"/>
        <v>0</v>
      </c>
      <c r="T45" s="251">
        <f t="shared" si="9"/>
        <v>0</v>
      </c>
      <c r="U45" s="251">
        <f t="shared" si="10"/>
        <v>0</v>
      </c>
      <c r="V45" s="251">
        <f t="shared" si="11"/>
        <v>0</v>
      </c>
      <c r="W45" s="251">
        <f t="shared" si="12"/>
        <v>0</v>
      </c>
      <c r="X45" s="251">
        <f t="shared" si="13"/>
        <v>0</v>
      </c>
      <c r="Y45" s="251">
        <f t="shared" si="14"/>
        <v>0</v>
      </c>
      <c r="Z45" s="251">
        <f t="shared" si="15"/>
        <v>0</v>
      </c>
      <c r="AA45" s="251">
        <f t="shared" si="16"/>
        <v>0</v>
      </c>
      <c r="AB45" s="251">
        <f t="shared" si="63"/>
        <v>0</v>
      </c>
      <c r="AC45" s="251">
        <f t="shared" si="64"/>
        <v>0</v>
      </c>
      <c r="AD45" s="251">
        <f t="shared" si="17"/>
        <v>0</v>
      </c>
      <c r="AE45" s="251">
        <f t="shared" si="18"/>
        <v>0</v>
      </c>
      <c r="AF45" s="251">
        <f t="shared" si="19"/>
        <v>0</v>
      </c>
      <c r="AG45" s="251">
        <f t="shared" si="20"/>
        <v>0</v>
      </c>
      <c r="AH45" s="251">
        <f t="shared" si="65"/>
        <v>0</v>
      </c>
      <c r="AI45" s="251">
        <f t="shared" si="66"/>
        <v>0</v>
      </c>
      <c r="AJ45" s="251">
        <f t="shared" si="67"/>
        <v>0</v>
      </c>
      <c r="AK45" s="251">
        <f t="shared" si="68"/>
        <v>0</v>
      </c>
      <c r="AL45" s="251">
        <f t="shared" si="69"/>
        <v>0</v>
      </c>
      <c r="AM45" s="251">
        <f t="shared" si="70"/>
        <v>0</v>
      </c>
      <c r="AN45" s="251">
        <f t="shared" si="71"/>
        <v>0</v>
      </c>
      <c r="AO45" s="251">
        <f t="shared" si="72"/>
        <v>0</v>
      </c>
      <c r="AP45" s="251">
        <f t="shared" si="21"/>
        <v>0</v>
      </c>
      <c r="AQ45" s="251">
        <f t="shared" si="22"/>
        <v>0</v>
      </c>
      <c r="AR45" s="251">
        <f t="shared" si="23"/>
        <v>0</v>
      </c>
      <c r="AS45" s="251">
        <f t="shared" si="24"/>
        <v>0</v>
      </c>
      <c r="AT45" s="251">
        <f t="shared" si="99"/>
        <v>0</v>
      </c>
      <c r="AU45" s="251">
        <f t="shared" si="100"/>
        <v>0</v>
      </c>
      <c r="AV45" s="251">
        <f t="shared" si="25"/>
        <v>0</v>
      </c>
      <c r="AW45" s="251">
        <f t="shared" si="26"/>
        <v>0</v>
      </c>
      <c r="AX45" s="251">
        <f t="shared" si="27"/>
        <v>0</v>
      </c>
      <c r="AY45" s="251">
        <f t="shared" si="28"/>
        <v>0</v>
      </c>
      <c r="AZ45" s="251">
        <f t="shared" si="29"/>
        <v>0</v>
      </c>
      <c r="BA45" s="251">
        <f t="shared" si="30"/>
        <v>0</v>
      </c>
      <c r="BB45" s="251">
        <f t="shared" si="31"/>
        <v>0</v>
      </c>
      <c r="BC45" s="251">
        <f t="shared" si="32"/>
        <v>0</v>
      </c>
      <c r="BD45" s="251">
        <f t="shared" si="33"/>
        <v>0</v>
      </c>
      <c r="BE45" s="251">
        <f t="shared" si="34"/>
        <v>0</v>
      </c>
      <c r="BF45" s="251">
        <f t="shared" si="35"/>
        <v>0</v>
      </c>
      <c r="BG45" s="251">
        <f t="shared" si="36"/>
        <v>0</v>
      </c>
      <c r="BH45" s="251">
        <f t="shared" si="75"/>
        <v>0</v>
      </c>
      <c r="BI45" s="251">
        <f t="shared" si="76"/>
        <v>0</v>
      </c>
      <c r="BJ45" s="251">
        <f t="shared" si="37"/>
        <v>0</v>
      </c>
      <c r="BK45" s="251">
        <f t="shared" si="38"/>
        <v>0</v>
      </c>
      <c r="BL45" s="251">
        <f t="shared" si="39"/>
        <v>0</v>
      </c>
      <c r="BM45" s="251">
        <f t="shared" si="40"/>
        <v>0</v>
      </c>
      <c r="BN45" s="251">
        <f t="shared" si="41"/>
        <v>0</v>
      </c>
      <c r="BO45" s="251">
        <f t="shared" si="42"/>
        <v>0</v>
      </c>
      <c r="BP45" s="251">
        <f t="shared" si="77"/>
        <v>0</v>
      </c>
      <c r="BQ45" s="251">
        <f t="shared" si="78"/>
        <v>0</v>
      </c>
      <c r="BR45" s="251">
        <f t="shared" si="43"/>
        <v>0</v>
      </c>
      <c r="BS45" s="251">
        <f t="shared" si="44"/>
        <v>0</v>
      </c>
      <c r="BT45" s="251">
        <f t="shared" si="79"/>
        <v>0</v>
      </c>
      <c r="BU45" s="251">
        <f t="shared" si="80"/>
        <v>0</v>
      </c>
      <c r="BV45" s="251">
        <f t="shared" si="101"/>
        <v>0</v>
      </c>
      <c r="BW45" s="251">
        <f t="shared" si="102"/>
        <v>0</v>
      </c>
      <c r="BX45" s="251">
        <f t="shared" si="45"/>
        <v>0</v>
      </c>
      <c r="BY45" s="251">
        <f t="shared" si="46"/>
        <v>0</v>
      </c>
      <c r="BZ45" s="251">
        <f t="shared" si="47"/>
        <v>0</v>
      </c>
      <c r="CA45" s="251">
        <f t="shared" si="48"/>
        <v>0</v>
      </c>
      <c r="CB45" s="251">
        <f t="shared" si="49"/>
        <v>0</v>
      </c>
      <c r="CC45" s="251">
        <f t="shared" si="50"/>
        <v>0</v>
      </c>
      <c r="CD45" s="251">
        <f t="shared" si="83"/>
        <v>0</v>
      </c>
      <c r="CE45" s="251">
        <f t="shared" si="84"/>
        <v>0</v>
      </c>
      <c r="CF45" s="251">
        <f t="shared" si="85"/>
        <v>0</v>
      </c>
      <c r="CG45" s="251">
        <f t="shared" si="86"/>
        <v>0</v>
      </c>
      <c r="CH45" s="251">
        <f t="shared" si="51"/>
        <v>0</v>
      </c>
      <c r="CI45" s="251">
        <f t="shared" si="52"/>
        <v>0</v>
      </c>
      <c r="CJ45" s="251">
        <f t="shared" si="87"/>
        <v>0</v>
      </c>
      <c r="CK45" s="251">
        <f t="shared" si="88"/>
        <v>0</v>
      </c>
      <c r="CL45" s="251">
        <f t="shared" si="53"/>
        <v>0</v>
      </c>
      <c r="CM45" s="251">
        <f t="shared" si="54"/>
        <v>0</v>
      </c>
      <c r="CN45" s="251">
        <f t="shared" si="55"/>
        <v>0</v>
      </c>
      <c r="CO45" s="251">
        <f t="shared" si="56"/>
        <v>0</v>
      </c>
      <c r="CP45" s="251">
        <f t="shared" si="89"/>
        <v>0</v>
      </c>
      <c r="CQ45" s="251">
        <f t="shared" si="90"/>
        <v>0</v>
      </c>
      <c r="CR45" s="251">
        <f t="shared" si="91"/>
        <v>0</v>
      </c>
      <c r="CS45" s="251">
        <f t="shared" si="92"/>
        <v>0</v>
      </c>
      <c r="CT45" s="251">
        <f t="shared" si="57"/>
        <v>0</v>
      </c>
      <c r="CU45" s="251">
        <f t="shared" si="58"/>
        <v>0</v>
      </c>
      <c r="CV45" s="251">
        <f t="shared" si="59"/>
        <v>0</v>
      </c>
      <c r="CW45" s="251">
        <f t="shared" si="60"/>
        <v>0</v>
      </c>
      <c r="CX45" s="251">
        <f t="shared" si="93"/>
        <v>0</v>
      </c>
      <c r="CY45" s="251">
        <f t="shared" si="94"/>
        <v>0</v>
      </c>
      <c r="CZ45" s="251">
        <f t="shared" si="95"/>
        <v>0</v>
      </c>
      <c r="DA45" s="251">
        <f t="shared" si="96"/>
        <v>0</v>
      </c>
    </row>
    <row r="46" spans="1:105" s="248" customFormat="1" ht="15" customHeight="1">
      <c r="A46" s="58">
        <f t="array" aca="1" ref="A46" ca="1">IF(C46&lt;&gt;0,SUM(($C$11:C46&lt;&gt;0)*1),"")</f>
        <v>36</v>
      </c>
      <c r="B46" s="249">
        <v>42460</v>
      </c>
      <c r="C46" s="252" t="s">
        <v>115</v>
      </c>
      <c r="D46" s="252">
        <f t="shared" si="103"/>
        <v>42460</v>
      </c>
      <c r="E46" s="736" t="s">
        <v>118</v>
      </c>
      <c r="F46" s="737">
        <f ca="1">CI52</f>
        <v>0</v>
      </c>
      <c r="G46" s="738" t="s">
        <v>43</v>
      </c>
      <c r="H46" s="738" t="s">
        <v>109</v>
      </c>
      <c r="I46" s="58">
        <f t="shared" ca="1" si="98"/>
        <v>36</v>
      </c>
      <c r="J46" s="251">
        <f t="shared" si="61"/>
        <v>0</v>
      </c>
      <c r="K46" s="251">
        <f t="shared" si="62"/>
        <v>0</v>
      </c>
      <c r="L46" s="251">
        <f t="shared" si="1"/>
        <v>0</v>
      </c>
      <c r="M46" s="251">
        <f t="shared" si="2"/>
        <v>0</v>
      </c>
      <c r="N46" s="251">
        <f t="shared" si="3"/>
        <v>0</v>
      </c>
      <c r="O46" s="251">
        <f t="shared" si="4"/>
        <v>0</v>
      </c>
      <c r="P46" s="251">
        <f t="shared" si="5"/>
        <v>0</v>
      </c>
      <c r="Q46" s="251">
        <f t="shared" si="6"/>
        <v>0</v>
      </c>
      <c r="R46" s="251">
        <f t="shared" si="7"/>
        <v>0</v>
      </c>
      <c r="S46" s="251">
        <f t="shared" si="8"/>
        <v>0</v>
      </c>
      <c r="T46" s="251">
        <f t="shared" si="9"/>
        <v>0</v>
      </c>
      <c r="U46" s="251">
        <f t="shared" si="10"/>
        <v>0</v>
      </c>
      <c r="V46" s="251">
        <f t="shared" si="11"/>
        <v>0</v>
      </c>
      <c r="W46" s="251">
        <f t="shared" si="12"/>
        <v>0</v>
      </c>
      <c r="X46" s="251">
        <f t="shared" si="13"/>
        <v>0</v>
      </c>
      <c r="Y46" s="251">
        <f t="shared" si="14"/>
        <v>0</v>
      </c>
      <c r="Z46" s="251">
        <f t="shared" si="15"/>
        <v>0</v>
      </c>
      <c r="AA46" s="251">
        <f t="shared" si="16"/>
        <v>0</v>
      </c>
      <c r="AB46" s="251">
        <f t="shared" si="63"/>
        <v>0</v>
      </c>
      <c r="AC46" s="251">
        <f t="shared" si="64"/>
        <v>0</v>
      </c>
      <c r="AD46" s="251">
        <f t="shared" si="17"/>
        <v>0</v>
      </c>
      <c r="AE46" s="251">
        <f t="shared" si="18"/>
        <v>0</v>
      </c>
      <c r="AF46" s="251">
        <f t="shared" si="19"/>
        <v>0</v>
      </c>
      <c r="AG46" s="251">
        <f t="shared" si="20"/>
        <v>0</v>
      </c>
      <c r="AH46" s="251">
        <f t="shared" si="65"/>
        <v>0</v>
      </c>
      <c r="AI46" s="251">
        <f t="shared" si="66"/>
        <v>0</v>
      </c>
      <c r="AJ46" s="251">
        <f t="shared" si="67"/>
        <v>0</v>
      </c>
      <c r="AK46" s="251">
        <f t="shared" si="68"/>
        <v>0</v>
      </c>
      <c r="AL46" s="251">
        <f t="shared" si="69"/>
        <v>0</v>
      </c>
      <c r="AM46" s="251">
        <f t="shared" si="70"/>
        <v>0</v>
      </c>
      <c r="AN46" s="251">
        <f t="shared" si="71"/>
        <v>0</v>
      </c>
      <c r="AO46" s="251">
        <f t="shared" si="72"/>
        <v>0</v>
      </c>
      <c r="AP46" s="251">
        <f t="shared" si="21"/>
        <v>0</v>
      </c>
      <c r="AQ46" s="251">
        <f t="shared" si="22"/>
        <v>0</v>
      </c>
      <c r="AR46" s="251">
        <f t="shared" si="23"/>
        <v>0</v>
      </c>
      <c r="AS46" s="251">
        <f t="shared" si="24"/>
        <v>0</v>
      </c>
      <c r="AT46" s="251">
        <f t="shared" si="99"/>
        <v>0</v>
      </c>
      <c r="AU46" s="251">
        <f t="shared" si="100"/>
        <v>0</v>
      </c>
      <c r="AV46" s="251">
        <f t="shared" si="25"/>
        <v>0</v>
      </c>
      <c r="AW46" s="251">
        <f t="shared" si="26"/>
        <v>0</v>
      </c>
      <c r="AX46" s="251">
        <f t="shared" si="27"/>
        <v>0</v>
      </c>
      <c r="AY46" s="251">
        <f t="shared" si="28"/>
        <v>0</v>
      </c>
      <c r="AZ46" s="251">
        <f t="shared" si="29"/>
        <v>0</v>
      </c>
      <c r="BA46" s="251">
        <f t="shared" si="30"/>
        <v>0</v>
      </c>
      <c r="BB46" s="251">
        <f t="shared" si="31"/>
        <v>0</v>
      </c>
      <c r="BC46" s="251">
        <f t="shared" si="32"/>
        <v>0</v>
      </c>
      <c r="BD46" s="251">
        <f t="shared" si="33"/>
        <v>0</v>
      </c>
      <c r="BE46" s="251">
        <f t="shared" si="34"/>
        <v>0</v>
      </c>
      <c r="BF46" s="251">
        <f t="shared" si="35"/>
        <v>0</v>
      </c>
      <c r="BG46" s="251">
        <f t="shared" si="36"/>
        <v>0</v>
      </c>
      <c r="BH46" s="251">
        <f t="shared" si="75"/>
        <v>0</v>
      </c>
      <c r="BI46" s="251">
        <f t="shared" si="76"/>
        <v>0</v>
      </c>
      <c r="BJ46" s="251">
        <f t="shared" si="37"/>
        <v>0</v>
      </c>
      <c r="BK46" s="251">
        <f t="shared" si="38"/>
        <v>0</v>
      </c>
      <c r="BL46" s="251">
        <f t="shared" si="39"/>
        <v>0</v>
      </c>
      <c r="BM46" s="251">
        <f t="shared" si="40"/>
        <v>0</v>
      </c>
      <c r="BN46" s="251">
        <f t="shared" si="41"/>
        <v>0</v>
      </c>
      <c r="BO46" s="251">
        <f t="shared" si="42"/>
        <v>0</v>
      </c>
      <c r="BP46" s="251">
        <f t="shared" si="77"/>
        <v>0</v>
      </c>
      <c r="BQ46" s="251">
        <f t="shared" si="78"/>
        <v>0</v>
      </c>
      <c r="BR46" s="251">
        <f t="shared" si="43"/>
        <v>0</v>
      </c>
      <c r="BS46" s="251">
        <f t="shared" si="44"/>
        <v>0</v>
      </c>
      <c r="BT46" s="251">
        <f t="shared" si="79"/>
        <v>0</v>
      </c>
      <c r="BU46" s="251">
        <f t="shared" si="80"/>
        <v>0</v>
      </c>
      <c r="BV46" s="251">
        <f t="shared" si="101"/>
        <v>0</v>
      </c>
      <c r="BW46" s="251">
        <f t="shared" si="102"/>
        <v>0</v>
      </c>
      <c r="BX46" s="251">
        <f t="shared" si="45"/>
        <v>0</v>
      </c>
      <c r="BY46" s="251">
        <f t="shared" si="46"/>
        <v>0</v>
      </c>
      <c r="BZ46" s="251">
        <f t="shared" si="47"/>
        <v>0</v>
      </c>
      <c r="CA46" s="251">
        <f t="shared" si="48"/>
        <v>0</v>
      </c>
      <c r="CB46" s="251">
        <f t="shared" si="49"/>
        <v>0</v>
      </c>
      <c r="CC46" s="251">
        <f t="shared" si="50"/>
        <v>0</v>
      </c>
      <c r="CD46" s="251">
        <f t="shared" si="83"/>
        <v>0</v>
      </c>
      <c r="CE46" s="251">
        <f t="shared" si="84"/>
        <v>0</v>
      </c>
      <c r="CF46" s="251">
        <f t="shared" si="85"/>
        <v>0</v>
      </c>
      <c r="CG46" s="251">
        <f t="shared" si="86"/>
        <v>0</v>
      </c>
      <c r="CH46" s="251">
        <f t="shared" ca="1" si="51"/>
        <v>0</v>
      </c>
      <c r="CI46" s="251">
        <f t="shared" si="52"/>
        <v>0</v>
      </c>
      <c r="CJ46" s="251">
        <f t="shared" si="87"/>
        <v>0</v>
      </c>
      <c r="CK46" s="251">
        <f t="shared" si="88"/>
        <v>0</v>
      </c>
      <c r="CL46" s="251">
        <f t="shared" si="53"/>
        <v>0</v>
      </c>
      <c r="CM46" s="251">
        <f t="shared" si="54"/>
        <v>0</v>
      </c>
      <c r="CN46" s="251">
        <f t="shared" si="55"/>
        <v>0</v>
      </c>
      <c r="CO46" s="251">
        <f t="shared" si="56"/>
        <v>0</v>
      </c>
      <c r="CP46" s="251">
        <f t="shared" si="89"/>
        <v>0</v>
      </c>
      <c r="CQ46" s="251">
        <f t="shared" si="90"/>
        <v>0</v>
      </c>
      <c r="CR46" s="251">
        <f t="shared" si="91"/>
        <v>0</v>
      </c>
      <c r="CS46" s="251">
        <f t="shared" si="92"/>
        <v>0</v>
      </c>
      <c r="CT46" s="251">
        <f t="shared" si="57"/>
        <v>0</v>
      </c>
      <c r="CU46" s="251">
        <f t="shared" si="58"/>
        <v>0</v>
      </c>
      <c r="CV46" s="251">
        <f t="shared" si="59"/>
        <v>0</v>
      </c>
      <c r="CW46" s="251">
        <f t="shared" si="60"/>
        <v>0</v>
      </c>
      <c r="CX46" s="251">
        <f t="shared" si="93"/>
        <v>0</v>
      </c>
      <c r="CY46" s="251">
        <f t="shared" si="94"/>
        <v>0</v>
      </c>
      <c r="CZ46" s="251">
        <f t="shared" si="95"/>
        <v>0</v>
      </c>
      <c r="DA46" s="251">
        <f t="shared" ca="1" si="96"/>
        <v>0</v>
      </c>
    </row>
    <row r="47" spans="1:105" s="248" customFormat="1" ht="15" customHeight="1">
      <c r="A47" s="58">
        <f t="array" aca="1" ref="A47" ca="1">IF(C47&lt;&gt;0,SUM(($C$11:C47&lt;&gt;0)*1),"")</f>
        <v>37</v>
      </c>
      <c r="B47" s="249">
        <v>42460</v>
      </c>
      <c r="C47" s="252" t="s">
        <v>115</v>
      </c>
      <c r="D47" s="252">
        <f t="shared" si="103"/>
        <v>42460</v>
      </c>
      <c r="E47" s="736" t="s">
        <v>593</v>
      </c>
      <c r="F47" s="737">
        <f ca="1">CE52</f>
        <v>0</v>
      </c>
      <c r="G47" s="738" t="s">
        <v>286</v>
      </c>
      <c r="H47" s="738" t="s">
        <v>109</v>
      </c>
      <c r="I47" s="58">
        <f t="shared" ca="1" si="98"/>
        <v>37</v>
      </c>
      <c r="J47" s="251">
        <f t="shared" si="61"/>
        <v>0</v>
      </c>
      <c r="K47" s="251">
        <f t="shared" si="62"/>
        <v>0</v>
      </c>
      <c r="L47" s="251">
        <f t="shared" si="1"/>
        <v>0</v>
      </c>
      <c r="M47" s="251">
        <f t="shared" si="2"/>
        <v>0</v>
      </c>
      <c r="N47" s="251">
        <f t="shared" si="3"/>
        <v>0</v>
      </c>
      <c r="O47" s="251">
        <f t="shared" si="4"/>
        <v>0</v>
      </c>
      <c r="P47" s="251">
        <f t="shared" si="5"/>
        <v>0</v>
      </c>
      <c r="Q47" s="251">
        <f t="shared" si="6"/>
        <v>0</v>
      </c>
      <c r="R47" s="251">
        <f t="shared" si="7"/>
        <v>0</v>
      </c>
      <c r="S47" s="251">
        <f t="shared" si="8"/>
        <v>0</v>
      </c>
      <c r="T47" s="251">
        <f t="shared" si="9"/>
        <v>0</v>
      </c>
      <c r="U47" s="251">
        <f t="shared" si="10"/>
        <v>0</v>
      </c>
      <c r="V47" s="251">
        <f t="shared" si="11"/>
        <v>0</v>
      </c>
      <c r="W47" s="251">
        <f t="shared" si="12"/>
        <v>0</v>
      </c>
      <c r="X47" s="251">
        <f t="shared" si="13"/>
        <v>0</v>
      </c>
      <c r="Y47" s="251">
        <f t="shared" si="14"/>
        <v>0</v>
      </c>
      <c r="Z47" s="251">
        <f t="shared" si="15"/>
        <v>0</v>
      </c>
      <c r="AA47" s="251">
        <f t="shared" si="16"/>
        <v>0</v>
      </c>
      <c r="AB47" s="251">
        <f t="shared" si="63"/>
        <v>0</v>
      </c>
      <c r="AC47" s="251">
        <f t="shared" si="64"/>
        <v>0</v>
      </c>
      <c r="AD47" s="251">
        <f t="shared" si="17"/>
        <v>0</v>
      </c>
      <c r="AE47" s="251">
        <f t="shared" si="18"/>
        <v>0</v>
      </c>
      <c r="AF47" s="251">
        <f t="shared" si="19"/>
        <v>0</v>
      </c>
      <c r="AG47" s="251">
        <f t="shared" si="20"/>
        <v>0</v>
      </c>
      <c r="AH47" s="251">
        <f t="shared" si="65"/>
        <v>0</v>
      </c>
      <c r="AI47" s="251">
        <f t="shared" si="66"/>
        <v>0</v>
      </c>
      <c r="AJ47" s="251">
        <f t="shared" si="67"/>
        <v>0</v>
      </c>
      <c r="AK47" s="251">
        <f t="shared" si="68"/>
        <v>0</v>
      </c>
      <c r="AL47" s="251">
        <f t="shared" si="69"/>
        <v>0</v>
      </c>
      <c r="AM47" s="251">
        <f t="shared" si="70"/>
        <v>0</v>
      </c>
      <c r="AN47" s="251">
        <f t="shared" si="71"/>
        <v>0</v>
      </c>
      <c r="AO47" s="251">
        <f t="shared" si="72"/>
        <v>0</v>
      </c>
      <c r="AP47" s="251">
        <f t="shared" si="21"/>
        <v>0</v>
      </c>
      <c r="AQ47" s="251">
        <f t="shared" si="22"/>
        <v>0</v>
      </c>
      <c r="AR47" s="251">
        <f t="shared" si="23"/>
        <v>0</v>
      </c>
      <c r="AS47" s="251">
        <f t="shared" si="24"/>
        <v>0</v>
      </c>
      <c r="AT47" s="251">
        <f t="shared" si="99"/>
        <v>0</v>
      </c>
      <c r="AU47" s="251">
        <f t="shared" si="100"/>
        <v>0</v>
      </c>
      <c r="AV47" s="251">
        <f t="shared" si="25"/>
        <v>0</v>
      </c>
      <c r="AW47" s="251">
        <f t="shared" si="26"/>
        <v>0</v>
      </c>
      <c r="AX47" s="251">
        <f t="shared" si="27"/>
        <v>0</v>
      </c>
      <c r="AY47" s="251">
        <f t="shared" si="28"/>
        <v>0</v>
      </c>
      <c r="AZ47" s="251">
        <f t="shared" si="29"/>
        <v>0</v>
      </c>
      <c r="BA47" s="251">
        <f t="shared" si="30"/>
        <v>0</v>
      </c>
      <c r="BB47" s="251">
        <f t="shared" si="31"/>
        <v>0</v>
      </c>
      <c r="BC47" s="251">
        <f t="shared" si="32"/>
        <v>0</v>
      </c>
      <c r="BD47" s="251">
        <f t="shared" si="33"/>
        <v>0</v>
      </c>
      <c r="BE47" s="251">
        <f t="shared" si="34"/>
        <v>0</v>
      </c>
      <c r="BF47" s="251">
        <f t="shared" si="35"/>
        <v>0</v>
      </c>
      <c r="BG47" s="251">
        <f t="shared" si="36"/>
        <v>0</v>
      </c>
      <c r="BH47" s="251">
        <f t="shared" si="75"/>
        <v>0</v>
      </c>
      <c r="BI47" s="251">
        <f t="shared" si="76"/>
        <v>0</v>
      </c>
      <c r="BJ47" s="251">
        <f t="shared" si="37"/>
        <v>0</v>
      </c>
      <c r="BK47" s="251">
        <f t="shared" si="38"/>
        <v>0</v>
      </c>
      <c r="BL47" s="251">
        <f t="shared" si="39"/>
        <v>0</v>
      </c>
      <c r="BM47" s="251">
        <f t="shared" si="40"/>
        <v>0</v>
      </c>
      <c r="BN47" s="251">
        <f t="shared" si="41"/>
        <v>0</v>
      </c>
      <c r="BO47" s="251">
        <f t="shared" si="42"/>
        <v>0</v>
      </c>
      <c r="BP47" s="251">
        <f t="shared" si="77"/>
        <v>0</v>
      </c>
      <c r="BQ47" s="251">
        <f t="shared" si="78"/>
        <v>0</v>
      </c>
      <c r="BR47" s="251">
        <f t="shared" si="43"/>
        <v>0</v>
      </c>
      <c r="BS47" s="251">
        <f t="shared" si="44"/>
        <v>0</v>
      </c>
      <c r="BT47" s="251">
        <f t="shared" si="79"/>
        <v>0</v>
      </c>
      <c r="BU47" s="251">
        <f t="shared" si="80"/>
        <v>0</v>
      </c>
      <c r="BV47" s="251">
        <f t="shared" si="101"/>
        <v>0</v>
      </c>
      <c r="BW47" s="251">
        <f t="shared" si="102"/>
        <v>0</v>
      </c>
      <c r="BX47" s="251">
        <f t="shared" si="45"/>
        <v>0</v>
      </c>
      <c r="BY47" s="251">
        <f t="shared" si="46"/>
        <v>0</v>
      </c>
      <c r="BZ47" s="251">
        <f t="shared" si="47"/>
        <v>0</v>
      </c>
      <c r="CA47" s="251">
        <f t="shared" si="48"/>
        <v>0</v>
      </c>
      <c r="CB47" s="251">
        <f t="shared" si="49"/>
        <v>0</v>
      </c>
      <c r="CC47" s="251">
        <f t="shared" si="50"/>
        <v>0</v>
      </c>
      <c r="CD47" s="251">
        <f t="shared" ca="1" si="83"/>
        <v>0</v>
      </c>
      <c r="CE47" s="251">
        <f t="shared" si="84"/>
        <v>0</v>
      </c>
      <c r="CF47" s="251">
        <f t="shared" si="85"/>
        <v>0</v>
      </c>
      <c r="CG47" s="251">
        <f t="shared" si="86"/>
        <v>0</v>
      </c>
      <c r="CH47" s="251">
        <f t="shared" si="51"/>
        <v>0</v>
      </c>
      <c r="CI47" s="251">
        <f t="shared" si="52"/>
        <v>0</v>
      </c>
      <c r="CJ47" s="251">
        <f t="shared" si="87"/>
        <v>0</v>
      </c>
      <c r="CK47" s="251">
        <f t="shared" si="88"/>
        <v>0</v>
      </c>
      <c r="CL47" s="251">
        <f t="shared" si="53"/>
        <v>0</v>
      </c>
      <c r="CM47" s="251">
        <f t="shared" si="54"/>
        <v>0</v>
      </c>
      <c r="CN47" s="251">
        <f t="shared" si="55"/>
        <v>0</v>
      </c>
      <c r="CO47" s="251">
        <f t="shared" si="56"/>
        <v>0</v>
      </c>
      <c r="CP47" s="251">
        <f t="shared" si="89"/>
        <v>0</v>
      </c>
      <c r="CQ47" s="251">
        <f t="shared" si="90"/>
        <v>0</v>
      </c>
      <c r="CR47" s="251">
        <f t="shared" si="91"/>
        <v>0</v>
      </c>
      <c r="CS47" s="251">
        <f t="shared" si="92"/>
        <v>0</v>
      </c>
      <c r="CT47" s="251">
        <f t="shared" si="57"/>
        <v>0</v>
      </c>
      <c r="CU47" s="251">
        <f t="shared" si="58"/>
        <v>0</v>
      </c>
      <c r="CV47" s="251">
        <f t="shared" si="59"/>
        <v>0</v>
      </c>
      <c r="CW47" s="251">
        <f t="shared" si="60"/>
        <v>0</v>
      </c>
      <c r="CX47" s="251">
        <f t="shared" si="93"/>
        <v>0</v>
      </c>
      <c r="CY47" s="251">
        <f t="shared" si="94"/>
        <v>0</v>
      </c>
      <c r="CZ47" s="251">
        <f t="shared" si="95"/>
        <v>0</v>
      </c>
      <c r="DA47" s="251">
        <f t="shared" ca="1" si="96"/>
        <v>0</v>
      </c>
    </row>
    <row r="48" spans="1:105" s="248" customFormat="1" ht="15" customHeight="1">
      <c r="A48" s="58">
        <f t="array" aca="1" ref="A48" ca="1">IF(C48&lt;&gt;0,SUM(($C$11:C48&lt;&gt;0)*1),"")</f>
        <v>38</v>
      </c>
      <c r="B48" s="249">
        <v>42460</v>
      </c>
      <c r="C48" s="252" t="s">
        <v>115</v>
      </c>
      <c r="D48" s="252">
        <f t="shared" si="103"/>
        <v>42460</v>
      </c>
      <c r="E48" s="736" t="s">
        <v>594</v>
      </c>
      <c r="F48" s="737">
        <f ca="1">CG52</f>
        <v>0</v>
      </c>
      <c r="G48" s="738" t="s">
        <v>288</v>
      </c>
      <c r="H48" s="738" t="s">
        <v>109</v>
      </c>
      <c r="I48" s="58">
        <f t="shared" ca="1" si="98"/>
        <v>38</v>
      </c>
      <c r="J48" s="251">
        <f t="shared" si="61"/>
        <v>0</v>
      </c>
      <c r="K48" s="251">
        <f t="shared" si="62"/>
        <v>0</v>
      </c>
      <c r="L48" s="251">
        <f t="shared" si="1"/>
        <v>0</v>
      </c>
      <c r="M48" s="251">
        <f t="shared" si="2"/>
        <v>0</v>
      </c>
      <c r="N48" s="251">
        <f t="shared" si="3"/>
        <v>0</v>
      </c>
      <c r="O48" s="251">
        <f t="shared" si="4"/>
        <v>0</v>
      </c>
      <c r="P48" s="251">
        <f t="shared" si="5"/>
        <v>0</v>
      </c>
      <c r="Q48" s="251">
        <f t="shared" si="6"/>
        <v>0</v>
      </c>
      <c r="R48" s="251">
        <f t="shared" si="7"/>
        <v>0</v>
      </c>
      <c r="S48" s="251">
        <f t="shared" si="8"/>
        <v>0</v>
      </c>
      <c r="T48" s="251">
        <f t="shared" si="9"/>
        <v>0</v>
      </c>
      <c r="U48" s="251">
        <f t="shared" si="10"/>
        <v>0</v>
      </c>
      <c r="V48" s="251">
        <f t="shared" si="11"/>
        <v>0</v>
      </c>
      <c r="W48" s="251">
        <f t="shared" si="12"/>
        <v>0</v>
      </c>
      <c r="X48" s="251">
        <f t="shared" si="13"/>
        <v>0</v>
      </c>
      <c r="Y48" s="251">
        <f t="shared" si="14"/>
        <v>0</v>
      </c>
      <c r="Z48" s="251">
        <f t="shared" si="15"/>
        <v>0</v>
      </c>
      <c r="AA48" s="251">
        <f t="shared" si="16"/>
        <v>0</v>
      </c>
      <c r="AB48" s="251">
        <f t="shared" si="63"/>
        <v>0</v>
      </c>
      <c r="AC48" s="251">
        <f t="shared" si="64"/>
        <v>0</v>
      </c>
      <c r="AD48" s="251">
        <f t="shared" si="17"/>
        <v>0</v>
      </c>
      <c r="AE48" s="251">
        <f t="shared" si="18"/>
        <v>0</v>
      </c>
      <c r="AF48" s="251">
        <f t="shared" si="19"/>
        <v>0</v>
      </c>
      <c r="AG48" s="251">
        <f t="shared" si="20"/>
        <v>0</v>
      </c>
      <c r="AH48" s="251">
        <f t="shared" si="65"/>
        <v>0</v>
      </c>
      <c r="AI48" s="251">
        <f t="shared" si="66"/>
        <v>0</v>
      </c>
      <c r="AJ48" s="251">
        <f t="shared" si="67"/>
        <v>0</v>
      </c>
      <c r="AK48" s="251">
        <f t="shared" si="68"/>
        <v>0</v>
      </c>
      <c r="AL48" s="251">
        <f t="shared" si="69"/>
        <v>0</v>
      </c>
      <c r="AM48" s="251">
        <f t="shared" si="70"/>
        <v>0</v>
      </c>
      <c r="AN48" s="251">
        <f t="shared" si="71"/>
        <v>0</v>
      </c>
      <c r="AO48" s="251">
        <f t="shared" si="72"/>
        <v>0</v>
      </c>
      <c r="AP48" s="251">
        <f t="shared" si="21"/>
        <v>0</v>
      </c>
      <c r="AQ48" s="251">
        <f t="shared" si="22"/>
        <v>0</v>
      </c>
      <c r="AR48" s="251">
        <f t="shared" si="23"/>
        <v>0</v>
      </c>
      <c r="AS48" s="251">
        <f t="shared" si="24"/>
        <v>0</v>
      </c>
      <c r="AT48" s="251">
        <f t="shared" si="99"/>
        <v>0</v>
      </c>
      <c r="AU48" s="251">
        <f t="shared" si="100"/>
        <v>0</v>
      </c>
      <c r="AV48" s="251">
        <f t="shared" si="25"/>
        <v>0</v>
      </c>
      <c r="AW48" s="251">
        <f t="shared" si="26"/>
        <v>0</v>
      </c>
      <c r="AX48" s="251">
        <f t="shared" si="27"/>
        <v>0</v>
      </c>
      <c r="AY48" s="251">
        <f t="shared" si="28"/>
        <v>0</v>
      </c>
      <c r="AZ48" s="251">
        <f t="shared" si="29"/>
        <v>0</v>
      </c>
      <c r="BA48" s="251">
        <f t="shared" si="30"/>
        <v>0</v>
      </c>
      <c r="BB48" s="251">
        <f t="shared" si="31"/>
        <v>0</v>
      </c>
      <c r="BC48" s="251">
        <f t="shared" si="32"/>
        <v>0</v>
      </c>
      <c r="BD48" s="251">
        <f t="shared" si="33"/>
        <v>0</v>
      </c>
      <c r="BE48" s="251">
        <f t="shared" si="34"/>
        <v>0</v>
      </c>
      <c r="BF48" s="251">
        <f t="shared" si="35"/>
        <v>0</v>
      </c>
      <c r="BG48" s="251">
        <f t="shared" si="36"/>
        <v>0</v>
      </c>
      <c r="BH48" s="251">
        <f t="shared" si="75"/>
        <v>0</v>
      </c>
      <c r="BI48" s="251">
        <f t="shared" si="76"/>
        <v>0</v>
      </c>
      <c r="BJ48" s="251">
        <f t="shared" si="37"/>
        <v>0</v>
      </c>
      <c r="BK48" s="251">
        <f t="shared" si="38"/>
        <v>0</v>
      </c>
      <c r="BL48" s="251">
        <f t="shared" si="39"/>
        <v>0</v>
      </c>
      <c r="BM48" s="251">
        <f t="shared" si="40"/>
        <v>0</v>
      </c>
      <c r="BN48" s="251">
        <f t="shared" si="41"/>
        <v>0</v>
      </c>
      <c r="BO48" s="251">
        <f t="shared" si="42"/>
        <v>0</v>
      </c>
      <c r="BP48" s="251">
        <f t="shared" si="77"/>
        <v>0</v>
      </c>
      <c r="BQ48" s="251">
        <f t="shared" si="78"/>
        <v>0</v>
      </c>
      <c r="BR48" s="251">
        <f t="shared" si="43"/>
        <v>0</v>
      </c>
      <c r="BS48" s="251">
        <f t="shared" si="44"/>
        <v>0</v>
      </c>
      <c r="BT48" s="251">
        <f t="shared" si="79"/>
        <v>0</v>
      </c>
      <c r="BU48" s="251">
        <f t="shared" si="80"/>
        <v>0</v>
      </c>
      <c r="BV48" s="251">
        <f t="shared" si="101"/>
        <v>0</v>
      </c>
      <c r="BW48" s="251">
        <f t="shared" si="102"/>
        <v>0</v>
      </c>
      <c r="BX48" s="251">
        <f t="shared" si="45"/>
        <v>0</v>
      </c>
      <c r="BY48" s="251">
        <f t="shared" si="46"/>
        <v>0</v>
      </c>
      <c r="BZ48" s="251">
        <f t="shared" si="47"/>
        <v>0</v>
      </c>
      <c r="CA48" s="251">
        <f t="shared" si="48"/>
        <v>0</v>
      </c>
      <c r="CB48" s="251">
        <f t="shared" si="49"/>
        <v>0</v>
      </c>
      <c r="CC48" s="251">
        <f t="shared" si="50"/>
        <v>0</v>
      </c>
      <c r="CD48" s="251">
        <f t="shared" si="83"/>
        <v>0</v>
      </c>
      <c r="CE48" s="251">
        <f t="shared" si="84"/>
        <v>0</v>
      </c>
      <c r="CF48" s="251">
        <f t="shared" ca="1" si="85"/>
        <v>0</v>
      </c>
      <c r="CG48" s="251">
        <f t="shared" si="86"/>
        <v>0</v>
      </c>
      <c r="CH48" s="251">
        <f t="shared" si="51"/>
        <v>0</v>
      </c>
      <c r="CI48" s="251">
        <f t="shared" si="52"/>
        <v>0</v>
      </c>
      <c r="CJ48" s="251">
        <f t="shared" si="87"/>
        <v>0</v>
      </c>
      <c r="CK48" s="251">
        <f t="shared" si="88"/>
        <v>0</v>
      </c>
      <c r="CL48" s="251">
        <f t="shared" si="53"/>
        <v>0</v>
      </c>
      <c r="CM48" s="251">
        <f t="shared" si="54"/>
        <v>0</v>
      </c>
      <c r="CN48" s="251">
        <f t="shared" si="55"/>
        <v>0</v>
      </c>
      <c r="CO48" s="251">
        <f t="shared" si="56"/>
        <v>0</v>
      </c>
      <c r="CP48" s="251">
        <f t="shared" si="89"/>
        <v>0</v>
      </c>
      <c r="CQ48" s="251">
        <f t="shared" si="90"/>
        <v>0</v>
      </c>
      <c r="CR48" s="251">
        <f t="shared" si="91"/>
        <v>0</v>
      </c>
      <c r="CS48" s="251">
        <f t="shared" si="92"/>
        <v>0</v>
      </c>
      <c r="CT48" s="251">
        <f t="shared" si="57"/>
        <v>0</v>
      </c>
      <c r="CU48" s="251">
        <f t="shared" si="58"/>
        <v>0</v>
      </c>
      <c r="CV48" s="251">
        <f t="shared" si="59"/>
        <v>0</v>
      </c>
      <c r="CW48" s="251">
        <f t="shared" si="60"/>
        <v>0</v>
      </c>
      <c r="CX48" s="251">
        <f t="shared" si="93"/>
        <v>0</v>
      </c>
      <c r="CY48" s="251">
        <f t="shared" si="94"/>
        <v>0</v>
      </c>
      <c r="CZ48" s="251">
        <f t="shared" si="95"/>
        <v>0</v>
      </c>
      <c r="DA48" s="251">
        <f t="shared" ca="1" si="96"/>
        <v>0</v>
      </c>
    </row>
    <row r="49" spans="1:105" s="248" customFormat="1" ht="15" customHeight="1">
      <c r="A49" s="58">
        <f t="array" aca="1" ref="A49" ca="1">IF(C49&lt;&gt;0,SUM(($C$11:C49&lt;&gt;0)*1),"")</f>
        <v>39</v>
      </c>
      <c r="B49" s="249">
        <v>42460</v>
      </c>
      <c r="C49" s="252" t="s">
        <v>115</v>
      </c>
      <c r="D49" s="252">
        <f t="shared" si="103"/>
        <v>42460</v>
      </c>
      <c r="E49" s="736" t="s">
        <v>119</v>
      </c>
      <c r="F49" s="737">
        <f ca="1">CU52</f>
        <v>0</v>
      </c>
      <c r="G49" s="738" t="s">
        <v>103</v>
      </c>
      <c r="H49" s="738" t="s">
        <v>109</v>
      </c>
      <c r="I49" s="58">
        <f t="shared" ca="1" si="98"/>
        <v>39</v>
      </c>
      <c r="J49" s="251">
        <f t="shared" si="61"/>
        <v>0</v>
      </c>
      <c r="K49" s="251">
        <f t="shared" si="62"/>
        <v>0</v>
      </c>
      <c r="L49" s="251">
        <f t="shared" si="1"/>
        <v>0</v>
      </c>
      <c r="M49" s="251">
        <f t="shared" si="2"/>
        <v>0</v>
      </c>
      <c r="N49" s="251">
        <f t="shared" si="3"/>
        <v>0</v>
      </c>
      <c r="O49" s="251">
        <f t="shared" si="4"/>
        <v>0</v>
      </c>
      <c r="P49" s="251">
        <f t="shared" si="5"/>
        <v>0</v>
      </c>
      <c r="Q49" s="251">
        <f t="shared" si="6"/>
        <v>0</v>
      </c>
      <c r="R49" s="251">
        <f t="shared" si="7"/>
        <v>0</v>
      </c>
      <c r="S49" s="251">
        <f t="shared" si="8"/>
        <v>0</v>
      </c>
      <c r="T49" s="251">
        <f t="shared" si="9"/>
        <v>0</v>
      </c>
      <c r="U49" s="251">
        <f t="shared" si="10"/>
        <v>0</v>
      </c>
      <c r="V49" s="251">
        <f t="shared" si="11"/>
        <v>0</v>
      </c>
      <c r="W49" s="251">
        <f t="shared" si="12"/>
        <v>0</v>
      </c>
      <c r="X49" s="251">
        <f t="shared" si="13"/>
        <v>0</v>
      </c>
      <c r="Y49" s="251">
        <f t="shared" si="14"/>
        <v>0</v>
      </c>
      <c r="Z49" s="251">
        <f t="shared" si="15"/>
        <v>0</v>
      </c>
      <c r="AA49" s="251">
        <f t="shared" si="16"/>
        <v>0</v>
      </c>
      <c r="AB49" s="251">
        <f t="shared" si="63"/>
        <v>0</v>
      </c>
      <c r="AC49" s="251">
        <f t="shared" si="64"/>
        <v>0</v>
      </c>
      <c r="AD49" s="251">
        <f t="shared" si="17"/>
        <v>0</v>
      </c>
      <c r="AE49" s="251">
        <f t="shared" si="18"/>
        <v>0</v>
      </c>
      <c r="AF49" s="251">
        <f t="shared" si="19"/>
        <v>0</v>
      </c>
      <c r="AG49" s="251">
        <f t="shared" si="20"/>
        <v>0</v>
      </c>
      <c r="AH49" s="251">
        <f t="shared" si="65"/>
        <v>0</v>
      </c>
      <c r="AI49" s="251">
        <f t="shared" si="66"/>
        <v>0</v>
      </c>
      <c r="AJ49" s="251">
        <f t="shared" si="67"/>
        <v>0</v>
      </c>
      <c r="AK49" s="251">
        <f t="shared" si="68"/>
        <v>0</v>
      </c>
      <c r="AL49" s="251">
        <f t="shared" si="69"/>
        <v>0</v>
      </c>
      <c r="AM49" s="251">
        <f t="shared" si="70"/>
        <v>0</v>
      </c>
      <c r="AN49" s="251">
        <f t="shared" si="71"/>
        <v>0</v>
      </c>
      <c r="AO49" s="251">
        <f t="shared" si="72"/>
        <v>0</v>
      </c>
      <c r="AP49" s="251">
        <f t="shared" si="21"/>
        <v>0</v>
      </c>
      <c r="AQ49" s="251">
        <f t="shared" si="22"/>
        <v>0</v>
      </c>
      <c r="AR49" s="251">
        <f t="shared" si="23"/>
        <v>0</v>
      </c>
      <c r="AS49" s="251">
        <f t="shared" si="24"/>
        <v>0</v>
      </c>
      <c r="AT49" s="251">
        <f t="shared" si="99"/>
        <v>0</v>
      </c>
      <c r="AU49" s="251">
        <f t="shared" si="100"/>
        <v>0</v>
      </c>
      <c r="AV49" s="251">
        <f t="shared" si="25"/>
        <v>0</v>
      </c>
      <c r="AW49" s="251">
        <f t="shared" si="26"/>
        <v>0</v>
      </c>
      <c r="AX49" s="251">
        <f t="shared" si="27"/>
        <v>0</v>
      </c>
      <c r="AY49" s="251">
        <f t="shared" si="28"/>
        <v>0</v>
      </c>
      <c r="AZ49" s="251">
        <f t="shared" si="29"/>
        <v>0</v>
      </c>
      <c r="BA49" s="251">
        <f t="shared" si="30"/>
        <v>0</v>
      </c>
      <c r="BB49" s="251">
        <f t="shared" si="31"/>
        <v>0</v>
      </c>
      <c r="BC49" s="251">
        <f t="shared" si="32"/>
        <v>0</v>
      </c>
      <c r="BD49" s="251">
        <f t="shared" si="33"/>
        <v>0</v>
      </c>
      <c r="BE49" s="251">
        <f t="shared" si="34"/>
        <v>0</v>
      </c>
      <c r="BF49" s="251">
        <f t="shared" si="35"/>
        <v>0</v>
      </c>
      <c r="BG49" s="251">
        <f t="shared" si="36"/>
        <v>0</v>
      </c>
      <c r="BH49" s="251">
        <f t="shared" si="75"/>
        <v>0</v>
      </c>
      <c r="BI49" s="251">
        <f t="shared" si="76"/>
        <v>0</v>
      </c>
      <c r="BJ49" s="251">
        <f t="shared" si="37"/>
        <v>0</v>
      </c>
      <c r="BK49" s="251">
        <f t="shared" si="38"/>
        <v>0</v>
      </c>
      <c r="BL49" s="251">
        <f t="shared" si="39"/>
        <v>0</v>
      </c>
      <c r="BM49" s="251">
        <f t="shared" si="40"/>
        <v>0</v>
      </c>
      <c r="BN49" s="251">
        <f t="shared" si="41"/>
        <v>0</v>
      </c>
      <c r="BO49" s="251">
        <f t="shared" si="42"/>
        <v>0</v>
      </c>
      <c r="BP49" s="251">
        <f t="shared" si="77"/>
        <v>0</v>
      </c>
      <c r="BQ49" s="251">
        <f t="shared" si="78"/>
        <v>0</v>
      </c>
      <c r="BR49" s="251">
        <f t="shared" si="43"/>
        <v>0</v>
      </c>
      <c r="BS49" s="251">
        <f t="shared" si="44"/>
        <v>0</v>
      </c>
      <c r="BT49" s="251">
        <f t="shared" si="79"/>
        <v>0</v>
      </c>
      <c r="BU49" s="251">
        <f t="shared" si="80"/>
        <v>0</v>
      </c>
      <c r="BV49" s="251">
        <f t="shared" si="101"/>
        <v>0</v>
      </c>
      <c r="BW49" s="251">
        <f t="shared" si="102"/>
        <v>0</v>
      </c>
      <c r="BX49" s="251">
        <f t="shared" si="45"/>
        <v>0</v>
      </c>
      <c r="BY49" s="251">
        <f t="shared" si="46"/>
        <v>0</v>
      </c>
      <c r="BZ49" s="251">
        <f t="shared" si="47"/>
        <v>0</v>
      </c>
      <c r="CA49" s="251">
        <f t="shared" si="48"/>
        <v>0</v>
      </c>
      <c r="CB49" s="251">
        <f t="shared" si="49"/>
        <v>0</v>
      </c>
      <c r="CC49" s="251">
        <f t="shared" si="50"/>
        <v>0</v>
      </c>
      <c r="CD49" s="251">
        <f t="shared" si="83"/>
        <v>0</v>
      </c>
      <c r="CE49" s="251">
        <f t="shared" si="84"/>
        <v>0</v>
      </c>
      <c r="CF49" s="251">
        <f t="shared" si="85"/>
        <v>0</v>
      </c>
      <c r="CG49" s="251">
        <f t="shared" si="86"/>
        <v>0</v>
      </c>
      <c r="CH49" s="251">
        <f t="shared" si="51"/>
        <v>0</v>
      </c>
      <c r="CI49" s="251">
        <f t="shared" si="52"/>
        <v>0</v>
      </c>
      <c r="CJ49" s="251">
        <f t="shared" si="87"/>
        <v>0</v>
      </c>
      <c r="CK49" s="251">
        <f t="shared" si="88"/>
        <v>0</v>
      </c>
      <c r="CL49" s="251">
        <f t="shared" si="53"/>
        <v>0</v>
      </c>
      <c r="CM49" s="251">
        <f t="shared" si="54"/>
        <v>0</v>
      </c>
      <c r="CN49" s="251">
        <f t="shared" si="55"/>
        <v>0</v>
      </c>
      <c r="CO49" s="251">
        <f t="shared" si="56"/>
        <v>0</v>
      </c>
      <c r="CP49" s="251">
        <f t="shared" si="89"/>
        <v>0</v>
      </c>
      <c r="CQ49" s="251">
        <f t="shared" si="90"/>
        <v>0</v>
      </c>
      <c r="CR49" s="251">
        <f t="shared" si="91"/>
        <v>0</v>
      </c>
      <c r="CS49" s="251">
        <f t="shared" si="92"/>
        <v>0</v>
      </c>
      <c r="CT49" s="251">
        <f t="shared" ca="1" si="57"/>
        <v>0</v>
      </c>
      <c r="CU49" s="251">
        <f t="shared" si="58"/>
        <v>0</v>
      </c>
      <c r="CV49" s="251">
        <f t="shared" si="59"/>
        <v>0</v>
      </c>
      <c r="CW49" s="251">
        <f t="shared" si="60"/>
        <v>0</v>
      </c>
      <c r="CX49" s="251">
        <f t="shared" si="93"/>
        <v>0</v>
      </c>
      <c r="CY49" s="251">
        <f t="shared" si="94"/>
        <v>0</v>
      </c>
      <c r="CZ49" s="251">
        <f t="shared" si="95"/>
        <v>0</v>
      </c>
      <c r="DA49" s="251">
        <f t="shared" ca="1" si="96"/>
        <v>0</v>
      </c>
    </row>
    <row r="50" spans="1:105" s="248" customFormat="1" ht="15" customHeight="1">
      <c r="A50" s="58">
        <f t="array" aca="1" ref="A50" ca="1">IF(C50&lt;&gt;0,SUM(($C$11:C50&lt;&gt;0)*1),"")</f>
        <v>40</v>
      </c>
      <c r="B50" s="249">
        <v>42460</v>
      </c>
      <c r="C50" s="252" t="s">
        <v>115</v>
      </c>
      <c r="D50" s="252">
        <f t="shared" si="103"/>
        <v>42460</v>
      </c>
      <c r="E50" s="736" t="s">
        <v>120</v>
      </c>
      <c r="F50" s="737">
        <f ca="1">CV52</f>
        <v>0</v>
      </c>
      <c r="G50" s="738" t="s">
        <v>109</v>
      </c>
      <c r="H50" s="738" t="s">
        <v>105</v>
      </c>
      <c r="I50" s="58">
        <f t="shared" ca="1" si="98"/>
        <v>40</v>
      </c>
      <c r="J50" s="251">
        <f t="shared" si="61"/>
        <v>0</v>
      </c>
      <c r="K50" s="251">
        <f t="shared" si="62"/>
        <v>0</v>
      </c>
      <c r="L50" s="251">
        <f t="shared" si="1"/>
        <v>0</v>
      </c>
      <c r="M50" s="251">
        <f t="shared" si="2"/>
        <v>0</v>
      </c>
      <c r="N50" s="251">
        <f t="shared" si="3"/>
        <v>0</v>
      </c>
      <c r="O50" s="251">
        <f t="shared" si="4"/>
        <v>0</v>
      </c>
      <c r="P50" s="251">
        <f t="shared" si="5"/>
        <v>0</v>
      </c>
      <c r="Q50" s="251">
        <f t="shared" si="6"/>
        <v>0</v>
      </c>
      <c r="R50" s="251">
        <f t="shared" si="7"/>
        <v>0</v>
      </c>
      <c r="S50" s="251">
        <f t="shared" si="8"/>
        <v>0</v>
      </c>
      <c r="T50" s="251">
        <f t="shared" si="9"/>
        <v>0</v>
      </c>
      <c r="U50" s="251">
        <f t="shared" si="10"/>
        <v>0</v>
      </c>
      <c r="V50" s="251">
        <f t="shared" si="11"/>
        <v>0</v>
      </c>
      <c r="W50" s="251">
        <f t="shared" si="12"/>
        <v>0</v>
      </c>
      <c r="X50" s="251">
        <f t="shared" si="13"/>
        <v>0</v>
      </c>
      <c r="Y50" s="251">
        <f t="shared" si="14"/>
        <v>0</v>
      </c>
      <c r="Z50" s="251">
        <f t="shared" si="15"/>
        <v>0</v>
      </c>
      <c r="AA50" s="251">
        <f t="shared" si="16"/>
        <v>0</v>
      </c>
      <c r="AB50" s="251">
        <f t="shared" si="63"/>
        <v>0</v>
      </c>
      <c r="AC50" s="251">
        <f t="shared" si="64"/>
        <v>0</v>
      </c>
      <c r="AD50" s="251">
        <f t="shared" si="17"/>
        <v>0</v>
      </c>
      <c r="AE50" s="251">
        <f t="shared" si="18"/>
        <v>0</v>
      </c>
      <c r="AF50" s="251">
        <f t="shared" si="19"/>
        <v>0</v>
      </c>
      <c r="AG50" s="251">
        <f t="shared" si="20"/>
        <v>0</v>
      </c>
      <c r="AH50" s="251">
        <f t="shared" si="65"/>
        <v>0</v>
      </c>
      <c r="AI50" s="251">
        <f t="shared" si="66"/>
        <v>0</v>
      </c>
      <c r="AJ50" s="251">
        <f t="shared" si="67"/>
        <v>0</v>
      </c>
      <c r="AK50" s="251">
        <f t="shared" si="68"/>
        <v>0</v>
      </c>
      <c r="AL50" s="251">
        <f t="shared" si="69"/>
        <v>0</v>
      </c>
      <c r="AM50" s="251">
        <f t="shared" si="70"/>
        <v>0</v>
      </c>
      <c r="AN50" s="251">
        <f t="shared" si="71"/>
        <v>0</v>
      </c>
      <c r="AO50" s="251">
        <f t="shared" si="72"/>
        <v>0</v>
      </c>
      <c r="AP50" s="251">
        <f t="shared" si="21"/>
        <v>0</v>
      </c>
      <c r="AQ50" s="251">
        <f t="shared" si="22"/>
        <v>0</v>
      </c>
      <c r="AR50" s="251">
        <f t="shared" si="23"/>
        <v>0</v>
      </c>
      <c r="AS50" s="251">
        <f t="shared" si="24"/>
        <v>0</v>
      </c>
      <c r="AT50" s="251">
        <f t="shared" si="99"/>
        <v>0</v>
      </c>
      <c r="AU50" s="251">
        <f t="shared" si="100"/>
        <v>0</v>
      </c>
      <c r="AV50" s="251">
        <f t="shared" si="25"/>
        <v>0</v>
      </c>
      <c r="AW50" s="251">
        <f t="shared" si="26"/>
        <v>0</v>
      </c>
      <c r="AX50" s="251">
        <f t="shared" si="27"/>
        <v>0</v>
      </c>
      <c r="AY50" s="251">
        <f t="shared" si="28"/>
        <v>0</v>
      </c>
      <c r="AZ50" s="251">
        <f t="shared" si="29"/>
        <v>0</v>
      </c>
      <c r="BA50" s="251">
        <f t="shared" si="30"/>
        <v>0</v>
      </c>
      <c r="BB50" s="251">
        <f t="shared" si="31"/>
        <v>0</v>
      </c>
      <c r="BC50" s="251">
        <f t="shared" si="32"/>
        <v>0</v>
      </c>
      <c r="BD50" s="251">
        <f t="shared" si="33"/>
        <v>0</v>
      </c>
      <c r="BE50" s="251">
        <f t="shared" si="34"/>
        <v>0</v>
      </c>
      <c r="BF50" s="251">
        <f t="shared" si="35"/>
        <v>0</v>
      </c>
      <c r="BG50" s="251">
        <f t="shared" si="36"/>
        <v>0</v>
      </c>
      <c r="BH50" s="251">
        <f t="shared" si="75"/>
        <v>0</v>
      </c>
      <c r="BI50" s="251">
        <f t="shared" si="76"/>
        <v>0</v>
      </c>
      <c r="BJ50" s="251">
        <f t="shared" si="37"/>
        <v>0</v>
      </c>
      <c r="BK50" s="251">
        <f t="shared" si="38"/>
        <v>0</v>
      </c>
      <c r="BL50" s="251">
        <f t="shared" si="39"/>
        <v>0</v>
      </c>
      <c r="BM50" s="251">
        <f t="shared" si="40"/>
        <v>0</v>
      </c>
      <c r="BN50" s="251">
        <f t="shared" si="41"/>
        <v>0</v>
      </c>
      <c r="BO50" s="251">
        <f t="shared" si="42"/>
        <v>0</v>
      </c>
      <c r="BP50" s="251">
        <f t="shared" si="77"/>
        <v>0</v>
      </c>
      <c r="BQ50" s="251">
        <f t="shared" si="78"/>
        <v>0</v>
      </c>
      <c r="BR50" s="251">
        <f t="shared" si="43"/>
        <v>0</v>
      </c>
      <c r="BS50" s="251">
        <f t="shared" si="44"/>
        <v>0</v>
      </c>
      <c r="BT50" s="251">
        <f t="shared" si="79"/>
        <v>0</v>
      </c>
      <c r="BU50" s="251">
        <f t="shared" si="80"/>
        <v>0</v>
      </c>
      <c r="BV50" s="251">
        <f t="shared" si="101"/>
        <v>0</v>
      </c>
      <c r="BW50" s="251">
        <f t="shared" si="102"/>
        <v>0</v>
      </c>
      <c r="BX50" s="251">
        <f t="shared" si="45"/>
        <v>0</v>
      </c>
      <c r="BY50" s="251">
        <f t="shared" si="46"/>
        <v>0</v>
      </c>
      <c r="BZ50" s="251">
        <f t="shared" si="47"/>
        <v>0</v>
      </c>
      <c r="CA50" s="251">
        <f t="shared" si="48"/>
        <v>0</v>
      </c>
      <c r="CB50" s="251">
        <f t="shared" si="49"/>
        <v>0</v>
      </c>
      <c r="CC50" s="251">
        <f t="shared" si="50"/>
        <v>0</v>
      </c>
      <c r="CD50" s="251">
        <f t="shared" si="83"/>
        <v>0</v>
      </c>
      <c r="CE50" s="251">
        <f t="shared" si="84"/>
        <v>0</v>
      </c>
      <c r="CF50" s="251">
        <f t="shared" si="85"/>
        <v>0</v>
      </c>
      <c r="CG50" s="251">
        <f t="shared" si="86"/>
        <v>0</v>
      </c>
      <c r="CH50" s="251">
        <f t="shared" si="51"/>
        <v>0</v>
      </c>
      <c r="CI50" s="251">
        <f t="shared" si="52"/>
        <v>0</v>
      </c>
      <c r="CJ50" s="251">
        <f t="shared" si="87"/>
        <v>0</v>
      </c>
      <c r="CK50" s="251">
        <f t="shared" si="88"/>
        <v>0</v>
      </c>
      <c r="CL50" s="251">
        <f t="shared" si="53"/>
        <v>0</v>
      </c>
      <c r="CM50" s="251">
        <f t="shared" si="54"/>
        <v>0</v>
      </c>
      <c r="CN50" s="251">
        <f t="shared" si="55"/>
        <v>0</v>
      </c>
      <c r="CO50" s="251">
        <f t="shared" si="56"/>
        <v>0</v>
      </c>
      <c r="CP50" s="251">
        <f t="shared" si="89"/>
        <v>0</v>
      </c>
      <c r="CQ50" s="251">
        <f t="shared" si="90"/>
        <v>0</v>
      </c>
      <c r="CR50" s="251">
        <f t="shared" si="91"/>
        <v>0</v>
      </c>
      <c r="CS50" s="251">
        <f t="shared" si="92"/>
        <v>0</v>
      </c>
      <c r="CT50" s="251">
        <f t="shared" si="57"/>
        <v>0</v>
      </c>
      <c r="CU50" s="251">
        <f t="shared" si="58"/>
        <v>0</v>
      </c>
      <c r="CV50" s="251">
        <f t="shared" si="59"/>
        <v>0</v>
      </c>
      <c r="CW50" s="251">
        <f t="shared" ca="1" si="60"/>
        <v>0</v>
      </c>
      <c r="CX50" s="251">
        <f t="shared" si="93"/>
        <v>0</v>
      </c>
      <c r="CY50" s="251">
        <f t="shared" si="94"/>
        <v>0</v>
      </c>
      <c r="CZ50" s="251">
        <f t="shared" ca="1" si="95"/>
        <v>0</v>
      </c>
      <c r="DA50" s="251">
        <f t="shared" si="96"/>
        <v>0</v>
      </c>
    </row>
    <row r="51" spans="1:105" s="248" customFormat="1" ht="15" customHeight="1">
      <c r="A51" s="58" t="str">
        <f t="array" ref="A51">IF(C51&lt;&gt;0,SUM(($C$11:C51&lt;&gt;0)*1),"")</f>
        <v/>
      </c>
      <c r="B51" s="217"/>
      <c r="C51" s="253"/>
      <c r="D51" s="217"/>
      <c r="E51" s="250"/>
      <c r="F51" s="60"/>
      <c r="G51" s="254"/>
      <c r="H51" s="254"/>
      <c r="I51" s="58" t="str">
        <f>A51</f>
        <v/>
      </c>
      <c r="J51" s="251">
        <f t="shared" si="61"/>
        <v>0</v>
      </c>
      <c r="K51" s="251">
        <f t="shared" si="62"/>
        <v>0</v>
      </c>
      <c r="L51" s="251">
        <f t="shared" si="1"/>
        <v>0</v>
      </c>
      <c r="M51" s="251">
        <f t="shared" si="2"/>
        <v>0</v>
      </c>
      <c r="N51" s="251">
        <f t="shared" si="3"/>
        <v>0</v>
      </c>
      <c r="O51" s="251">
        <f t="shared" si="4"/>
        <v>0</v>
      </c>
      <c r="P51" s="251">
        <f t="shared" si="5"/>
        <v>0</v>
      </c>
      <c r="Q51" s="251">
        <f t="shared" si="6"/>
        <v>0</v>
      </c>
      <c r="R51" s="251">
        <f t="shared" si="7"/>
        <v>0</v>
      </c>
      <c r="S51" s="251">
        <f t="shared" si="8"/>
        <v>0</v>
      </c>
      <c r="T51" s="251">
        <f t="shared" si="9"/>
        <v>0</v>
      </c>
      <c r="U51" s="251">
        <f t="shared" si="10"/>
        <v>0</v>
      </c>
      <c r="V51" s="251">
        <f t="shared" si="11"/>
        <v>0</v>
      </c>
      <c r="W51" s="251">
        <f t="shared" si="12"/>
        <v>0</v>
      </c>
      <c r="X51" s="251">
        <f t="shared" si="13"/>
        <v>0</v>
      </c>
      <c r="Y51" s="251">
        <f t="shared" si="14"/>
        <v>0</v>
      </c>
      <c r="Z51" s="251">
        <f t="shared" si="15"/>
        <v>0</v>
      </c>
      <c r="AA51" s="251">
        <f t="shared" si="16"/>
        <v>0</v>
      </c>
      <c r="AB51" s="251">
        <f t="shared" si="63"/>
        <v>0</v>
      </c>
      <c r="AC51" s="251">
        <f t="shared" si="64"/>
        <v>0</v>
      </c>
      <c r="AD51" s="251">
        <f t="shared" si="17"/>
        <v>0</v>
      </c>
      <c r="AE51" s="251">
        <f t="shared" si="18"/>
        <v>0</v>
      </c>
      <c r="AF51" s="251">
        <f t="shared" si="19"/>
        <v>0</v>
      </c>
      <c r="AG51" s="251">
        <f t="shared" si="20"/>
        <v>0</v>
      </c>
      <c r="AH51" s="251">
        <f t="shared" si="65"/>
        <v>0</v>
      </c>
      <c r="AI51" s="251">
        <f t="shared" si="66"/>
        <v>0</v>
      </c>
      <c r="AJ51" s="251">
        <f t="shared" si="67"/>
        <v>0</v>
      </c>
      <c r="AK51" s="251">
        <f t="shared" si="68"/>
        <v>0</v>
      </c>
      <c r="AL51" s="251">
        <f t="shared" si="69"/>
        <v>0</v>
      </c>
      <c r="AM51" s="251">
        <f t="shared" si="70"/>
        <v>0</v>
      </c>
      <c r="AN51" s="251">
        <f t="shared" si="71"/>
        <v>0</v>
      </c>
      <c r="AO51" s="251">
        <f t="shared" si="72"/>
        <v>0</v>
      </c>
      <c r="AP51" s="251">
        <f t="shared" si="21"/>
        <v>0</v>
      </c>
      <c r="AQ51" s="251">
        <f t="shared" si="22"/>
        <v>0</v>
      </c>
      <c r="AR51" s="251">
        <f t="shared" si="23"/>
        <v>0</v>
      </c>
      <c r="AS51" s="251">
        <f t="shared" si="24"/>
        <v>0</v>
      </c>
      <c r="AT51" s="251">
        <f t="shared" si="99"/>
        <v>0</v>
      </c>
      <c r="AU51" s="251">
        <f t="shared" si="100"/>
        <v>0</v>
      </c>
      <c r="AV51" s="251">
        <f t="shared" si="25"/>
        <v>0</v>
      </c>
      <c r="AW51" s="251">
        <f t="shared" si="26"/>
        <v>0</v>
      </c>
      <c r="AX51" s="251">
        <f t="shared" si="27"/>
        <v>0</v>
      </c>
      <c r="AY51" s="251">
        <f t="shared" si="28"/>
        <v>0</v>
      </c>
      <c r="AZ51" s="251">
        <f t="shared" si="29"/>
        <v>0</v>
      </c>
      <c r="BA51" s="251">
        <f t="shared" si="30"/>
        <v>0</v>
      </c>
      <c r="BB51" s="251">
        <f t="shared" si="31"/>
        <v>0</v>
      </c>
      <c r="BC51" s="251">
        <f t="shared" si="32"/>
        <v>0</v>
      </c>
      <c r="BD51" s="251">
        <f t="shared" si="33"/>
        <v>0</v>
      </c>
      <c r="BE51" s="251">
        <f t="shared" si="34"/>
        <v>0</v>
      </c>
      <c r="BF51" s="251">
        <f t="shared" si="35"/>
        <v>0</v>
      </c>
      <c r="BG51" s="251">
        <f t="shared" si="36"/>
        <v>0</v>
      </c>
      <c r="BH51" s="251">
        <f t="shared" si="75"/>
        <v>0</v>
      </c>
      <c r="BI51" s="251">
        <f t="shared" si="76"/>
        <v>0</v>
      </c>
      <c r="BJ51" s="251">
        <f t="shared" si="37"/>
        <v>0</v>
      </c>
      <c r="BK51" s="251">
        <f t="shared" si="38"/>
        <v>0</v>
      </c>
      <c r="BL51" s="251">
        <f t="shared" si="39"/>
        <v>0</v>
      </c>
      <c r="BM51" s="251">
        <f t="shared" si="40"/>
        <v>0</v>
      </c>
      <c r="BN51" s="251">
        <f t="shared" si="41"/>
        <v>0</v>
      </c>
      <c r="BO51" s="251">
        <f t="shared" si="42"/>
        <v>0</v>
      </c>
      <c r="BP51" s="251">
        <f t="shared" si="77"/>
        <v>0</v>
      </c>
      <c r="BQ51" s="251">
        <f t="shared" si="78"/>
        <v>0</v>
      </c>
      <c r="BR51" s="251">
        <f t="shared" si="43"/>
        <v>0</v>
      </c>
      <c r="BS51" s="251">
        <f t="shared" si="44"/>
        <v>0</v>
      </c>
      <c r="BT51" s="251">
        <f t="shared" si="79"/>
        <v>0</v>
      </c>
      <c r="BU51" s="251">
        <f t="shared" si="80"/>
        <v>0</v>
      </c>
      <c r="BV51" s="251">
        <f t="shared" si="101"/>
        <v>0</v>
      </c>
      <c r="BW51" s="251">
        <f t="shared" si="102"/>
        <v>0</v>
      </c>
      <c r="BX51" s="251">
        <f t="shared" si="45"/>
        <v>0</v>
      </c>
      <c r="BY51" s="251">
        <f t="shared" si="46"/>
        <v>0</v>
      </c>
      <c r="BZ51" s="251">
        <f t="shared" si="47"/>
        <v>0</v>
      </c>
      <c r="CA51" s="251">
        <f t="shared" si="48"/>
        <v>0</v>
      </c>
      <c r="CB51" s="251">
        <f t="shared" si="49"/>
        <v>0</v>
      </c>
      <c r="CC51" s="251">
        <f t="shared" si="50"/>
        <v>0</v>
      </c>
      <c r="CD51" s="251">
        <f t="shared" si="83"/>
        <v>0</v>
      </c>
      <c r="CE51" s="251">
        <f t="shared" si="84"/>
        <v>0</v>
      </c>
      <c r="CF51" s="251">
        <f t="shared" si="85"/>
        <v>0</v>
      </c>
      <c r="CG51" s="251">
        <f t="shared" si="86"/>
        <v>0</v>
      </c>
      <c r="CH51" s="251">
        <f t="shared" si="51"/>
        <v>0</v>
      </c>
      <c r="CI51" s="251">
        <f t="shared" si="52"/>
        <v>0</v>
      </c>
      <c r="CJ51" s="251">
        <f t="shared" si="87"/>
        <v>0</v>
      </c>
      <c r="CK51" s="251">
        <f t="shared" si="88"/>
        <v>0</v>
      </c>
      <c r="CL51" s="251">
        <f t="shared" si="53"/>
        <v>0</v>
      </c>
      <c r="CM51" s="251">
        <f t="shared" si="54"/>
        <v>0</v>
      </c>
      <c r="CN51" s="251">
        <f t="shared" si="55"/>
        <v>0</v>
      </c>
      <c r="CO51" s="251">
        <f t="shared" si="56"/>
        <v>0</v>
      </c>
      <c r="CP51" s="251">
        <f t="shared" si="89"/>
        <v>0</v>
      </c>
      <c r="CQ51" s="251">
        <f t="shared" si="90"/>
        <v>0</v>
      </c>
      <c r="CR51" s="251">
        <f t="shared" si="91"/>
        <v>0</v>
      </c>
      <c r="CS51" s="251">
        <f t="shared" si="92"/>
        <v>0</v>
      </c>
      <c r="CT51" s="251">
        <f t="shared" si="57"/>
        <v>0</v>
      </c>
      <c r="CU51" s="251">
        <f t="shared" si="58"/>
        <v>0</v>
      </c>
      <c r="CV51" s="251">
        <f t="shared" si="59"/>
        <v>0</v>
      </c>
      <c r="CW51" s="251">
        <f t="shared" si="60"/>
        <v>0</v>
      </c>
      <c r="CX51" s="251">
        <f t="shared" si="93"/>
        <v>0</v>
      </c>
      <c r="CY51" s="251">
        <f t="shared" si="94"/>
        <v>0</v>
      </c>
      <c r="CZ51" s="251">
        <f t="shared" si="95"/>
        <v>0</v>
      </c>
      <c r="DA51" s="251">
        <f t="shared" si="96"/>
        <v>0</v>
      </c>
    </row>
    <row r="52" spans="1:105" s="248" customFormat="1" ht="15" customHeight="1">
      <c r="A52" s="58" t="str">
        <f t="array" ref="A52">IF(C52&lt;&gt;0,SUM(($C$11:C52&lt;&gt;0)*1),"")</f>
        <v/>
      </c>
      <c r="B52" s="255"/>
      <c r="C52" s="255"/>
      <c r="D52" s="255"/>
      <c r="E52" s="250" t="s">
        <v>173</v>
      </c>
      <c r="F52" s="255"/>
      <c r="G52" s="254"/>
      <c r="H52" s="254"/>
      <c r="I52" s="255"/>
      <c r="J52" s="251">
        <f t="shared" ref="J52:AO52" ca="1" si="104">SUM(J11:J51)</f>
        <v>0</v>
      </c>
      <c r="K52" s="251">
        <f t="shared" ca="1" si="104"/>
        <v>0</v>
      </c>
      <c r="L52" s="251">
        <f t="shared" ca="1" si="104"/>
        <v>0</v>
      </c>
      <c r="M52" s="251">
        <f t="shared" ca="1" si="104"/>
        <v>0</v>
      </c>
      <c r="N52" s="251">
        <f t="shared" ca="1" si="104"/>
        <v>0</v>
      </c>
      <c r="O52" s="251">
        <f t="shared" ca="1" si="104"/>
        <v>0</v>
      </c>
      <c r="P52" s="251">
        <f t="shared" ca="1" si="104"/>
        <v>0</v>
      </c>
      <c r="Q52" s="251">
        <f t="shared" ca="1" si="104"/>
        <v>0</v>
      </c>
      <c r="R52" s="251">
        <f t="shared" ca="1" si="104"/>
        <v>0</v>
      </c>
      <c r="S52" s="251">
        <f t="shared" ca="1" si="104"/>
        <v>0</v>
      </c>
      <c r="T52" s="251">
        <f t="shared" ca="1" si="104"/>
        <v>0</v>
      </c>
      <c r="U52" s="251">
        <f t="shared" ca="1" si="104"/>
        <v>0</v>
      </c>
      <c r="V52" s="251">
        <f t="shared" ca="1" si="104"/>
        <v>0</v>
      </c>
      <c r="W52" s="251">
        <f t="shared" ca="1" si="104"/>
        <v>0</v>
      </c>
      <c r="X52" s="251">
        <f t="shared" ca="1" si="104"/>
        <v>0</v>
      </c>
      <c r="Y52" s="251">
        <f t="shared" ca="1" si="104"/>
        <v>0</v>
      </c>
      <c r="Z52" s="251">
        <f t="shared" ca="1" si="104"/>
        <v>0</v>
      </c>
      <c r="AA52" s="251">
        <f t="shared" ca="1" si="104"/>
        <v>0</v>
      </c>
      <c r="AB52" s="251">
        <f t="shared" ca="1" si="104"/>
        <v>0</v>
      </c>
      <c r="AC52" s="251">
        <f t="shared" ca="1" si="104"/>
        <v>0</v>
      </c>
      <c r="AD52" s="251">
        <f t="shared" ca="1" si="104"/>
        <v>0</v>
      </c>
      <c r="AE52" s="251">
        <f t="shared" ca="1" si="104"/>
        <v>0</v>
      </c>
      <c r="AF52" s="251">
        <f t="shared" ca="1" si="104"/>
        <v>0</v>
      </c>
      <c r="AG52" s="251">
        <f t="shared" ca="1" si="104"/>
        <v>0</v>
      </c>
      <c r="AH52" s="251">
        <f t="shared" ca="1" si="104"/>
        <v>0</v>
      </c>
      <c r="AI52" s="251">
        <f t="shared" ca="1" si="104"/>
        <v>0</v>
      </c>
      <c r="AJ52" s="251">
        <f t="shared" ca="1" si="104"/>
        <v>0</v>
      </c>
      <c r="AK52" s="251">
        <f t="shared" ca="1" si="104"/>
        <v>0</v>
      </c>
      <c r="AL52" s="251">
        <f t="shared" ca="1" si="104"/>
        <v>0</v>
      </c>
      <c r="AM52" s="251">
        <f t="shared" ca="1" si="104"/>
        <v>0</v>
      </c>
      <c r="AN52" s="251">
        <f t="shared" ca="1" si="104"/>
        <v>0</v>
      </c>
      <c r="AO52" s="251">
        <f t="shared" ca="1" si="104"/>
        <v>0</v>
      </c>
      <c r="AP52" s="251">
        <f t="shared" ref="AP52:BU52" ca="1" si="105">SUM(AP11:AP51)</f>
        <v>0</v>
      </c>
      <c r="AQ52" s="251">
        <f t="shared" ca="1" si="105"/>
        <v>0</v>
      </c>
      <c r="AR52" s="251">
        <f t="shared" ca="1" si="105"/>
        <v>0</v>
      </c>
      <c r="AS52" s="251">
        <f t="shared" ca="1" si="105"/>
        <v>0</v>
      </c>
      <c r="AT52" s="251">
        <f t="shared" ca="1" si="105"/>
        <v>0</v>
      </c>
      <c r="AU52" s="251">
        <f t="shared" ca="1" si="105"/>
        <v>0</v>
      </c>
      <c r="AV52" s="251">
        <f t="shared" ca="1" si="105"/>
        <v>0</v>
      </c>
      <c r="AW52" s="251">
        <f t="shared" ca="1" si="105"/>
        <v>0</v>
      </c>
      <c r="AX52" s="251">
        <f t="shared" ca="1" si="105"/>
        <v>0</v>
      </c>
      <c r="AY52" s="251">
        <f t="shared" ca="1" si="105"/>
        <v>0</v>
      </c>
      <c r="AZ52" s="251">
        <f t="shared" ca="1" si="105"/>
        <v>0</v>
      </c>
      <c r="BA52" s="251">
        <f t="shared" ca="1" si="105"/>
        <v>0</v>
      </c>
      <c r="BB52" s="251">
        <f t="shared" ca="1" si="105"/>
        <v>0</v>
      </c>
      <c r="BC52" s="251">
        <f t="shared" ca="1" si="105"/>
        <v>0</v>
      </c>
      <c r="BD52" s="251">
        <f t="shared" ca="1" si="105"/>
        <v>0</v>
      </c>
      <c r="BE52" s="251">
        <f t="shared" ca="1" si="105"/>
        <v>0</v>
      </c>
      <c r="BF52" s="251">
        <f t="shared" ca="1" si="105"/>
        <v>0</v>
      </c>
      <c r="BG52" s="251">
        <f t="shared" ca="1" si="105"/>
        <v>0</v>
      </c>
      <c r="BH52" s="251">
        <f t="shared" ca="1" si="105"/>
        <v>0</v>
      </c>
      <c r="BI52" s="251">
        <f t="shared" ca="1" si="105"/>
        <v>0</v>
      </c>
      <c r="BJ52" s="251">
        <f t="shared" ca="1" si="105"/>
        <v>0</v>
      </c>
      <c r="BK52" s="251">
        <f t="shared" ca="1" si="105"/>
        <v>0</v>
      </c>
      <c r="BL52" s="251">
        <f t="shared" ca="1" si="105"/>
        <v>0</v>
      </c>
      <c r="BM52" s="251">
        <f t="shared" ca="1" si="105"/>
        <v>0</v>
      </c>
      <c r="BN52" s="251">
        <f t="shared" ca="1" si="105"/>
        <v>0</v>
      </c>
      <c r="BO52" s="251">
        <f t="shared" ca="1" si="105"/>
        <v>0</v>
      </c>
      <c r="BP52" s="251">
        <f t="shared" ca="1" si="105"/>
        <v>0</v>
      </c>
      <c r="BQ52" s="251">
        <f t="shared" ca="1" si="105"/>
        <v>0</v>
      </c>
      <c r="BR52" s="251">
        <f t="shared" ca="1" si="105"/>
        <v>0</v>
      </c>
      <c r="BS52" s="251">
        <f t="shared" ca="1" si="105"/>
        <v>0</v>
      </c>
      <c r="BT52" s="251">
        <f t="shared" ca="1" si="105"/>
        <v>0</v>
      </c>
      <c r="BU52" s="251">
        <f t="shared" ca="1" si="105"/>
        <v>0</v>
      </c>
      <c r="BV52" s="251">
        <f t="shared" ref="BV52:DA52" ca="1" si="106">SUM(BV11:BV51)</f>
        <v>0</v>
      </c>
      <c r="BW52" s="251">
        <f t="shared" ca="1" si="106"/>
        <v>0</v>
      </c>
      <c r="BX52" s="251">
        <f t="shared" ca="1" si="106"/>
        <v>0</v>
      </c>
      <c r="BY52" s="251">
        <f t="shared" ca="1" si="106"/>
        <v>0</v>
      </c>
      <c r="BZ52" s="251">
        <f t="shared" ca="1" si="106"/>
        <v>0</v>
      </c>
      <c r="CA52" s="251">
        <f t="shared" ca="1" si="106"/>
        <v>107861885.00000048</v>
      </c>
      <c r="CB52" s="251">
        <f t="shared" ca="1" si="106"/>
        <v>107861885.00000048</v>
      </c>
      <c r="CC52" s="251">
        <f t="shared" ca="1" si="106"/>
        <v>0</v>
      </c>
      <c r="CD52" s="251">
        <f t="shared" ca="1" si="106"/>
        <v>0</v>
      </c>
      <c r="CE52" s="251">
        <f t="shared" ca="1" si="106"/>
        <v>0</v>
      </c>
      <c r="CF52" s="251">
        <f t="shared" ca="1" si="106"/>
        <v>0</v>
      </c>
      <c r="CG52" s="251">
        <f t="shared" ca="1" si="106"/>
        <v>0</v>
      </c>
      <c r="CH52" s="251">
        <f t="shared" ca="1" si="106"/>
        <v>0</v>
      </c>
      <c r="CI52" s="251">
        <f t="shared" ca="1" si="106"/>
        <v>0</v>
      </c>
      <c r="CJ52" s="251">
        <f t="shared" ca="1" si="106"/>
        <v>0</v>
      </c>
      <c r="CK52" s="251">
        <f t="shared" ca="1" si="106"/>
        <v>0</v>
      </c>
      <c r="CL52" s="251">
        <f t="shared" ca="1" si="106"/>
        <v>0</v>
      </c>
      <c r="CM52" s="251">
        <f t="shared" ca="1" si="106"/>
        <v>0</v>
      </c>
      <c r="CN52" s="251">
        <f t="shared" ca="1" si="106"/>
        <v>0</v>
      </c>
      <c r="CO52" s="251">
        <f t="shared" ca="1" si="106"/>
        <v>0</v>
      </c>
      <c r="CP52" s="251">
        <f t="shared" ca="1" si="106"/>
        <v>0</v>
      </c>
      <c r="CQ52" s="251">
        <f t="shared" ca="1" si="106"/>
        <v>0</v>
      </c>
      <c r="CR52" s="251">
        <f t="shared" ca="1" si="106"/>
        <v>0</v>
      </c>
      <c r="CS52" s="251">
        <f t="shared" ca="1" si="106"/>
        <v>0</v>
      </c>
      <c r="CT52" s="251">
        <f t="shared" ca="1" si="106"/>
        <v>0</v>
      </c>
      <c r="CU52" s="251">
        <f t="shared" ca="1" si="106"/>
        <v>0</v>
      </c>
      <c r="CV52" s="251">
        <f t="shared" ca="1" si="106"/>
        <v>0</v>
      </c>
      <c r="CW52" s="251">
        <f t="shared" ca="1" si="106"/>
        <v>0</v>
      </c>
      <c r="CX52" s="251">
        <f t="shared" ca="1" si="106"/>
        <v>0</v>
      </c>
      <c r="CY52" s="251">
        <f t="shared" ca="1" si="106"/>
        <v>0</v>
      </c>
      <c r="CZ52" s="251">
        <f t="shared" ca="1" si="106"/>
        <v>0</v>
      </c>
      <c r="DA52" s="251">
        <f t="shared" ca="1" si="106"/>
        <v>0</v>
      </c>
    </row>
    <row r="53" spans="1:105" s="248" customFormat="1" ht="15" customHeight="1">
      <c r="A53" s="256"/>
      <c r="B53" s="256"/>
      <c r="C53" s="256"/>
      <c r="D53" s="256"/>
      <c r="E53" s="257" t="s">
        <v>212</v>
      </c>
      <c r="F53" s="256"/>
      <c r="G53" s="258"/>
      <c r="H53" s="258"/>
      <c r="I53" s="256"/>
      <c r="J53" s="259">
        <f ca="1">MAX(J10+J52-K10-K52,0)</f>
        <v>667384522</v>
      </c>
      <c r="K53" s="259">
        <f ca="1">MAX(K10+K52-J10-J52,0)</f>
        <v>0</v>
      </c>
      <c r="L53" s="259">
        <f ca="1">MAX(L10+L52-M10-M52,0)</f>
        <v>9382419</v>
      </c>
      <c r="M53" s="259">
        <f ca="1">MAX(M10+M52-L10-L52,0)</f>
        <v>0</v>
      </c>
      <c r="N53" s="259">
        <f ca="1">MAX(N10+N52-O10-O52,0)</f>
        <v>5679984</v>
      </c>
      <c r="O53" s="259">
        <f ca="1">MAX(O10+O52-N10-N52,0)</f>
        <v>0</v>
      </c>
      <c r="P53" s="259">
        <f ca="1">MAX(P10+P52-Q10-Q52,0)</f>
        <v>57038792896</v>
      </c>
      <c r="Q53" s="259">
        <f ca="1">MAX(Q10+Q52-P10-P52,0)</f>
        <v>0</v>
      </c>
      <c r="R53" s="259">
        <f ca="1">MAX(R10+R52-S10-S52,0)</f>
        <v>518470991</v>
      </c>
      <c r="S53" s="259">
        <f ca="1">MAX(S10+S52-R10-R52,0)</f>
        <v>0</v>
      </c>
      <c r="T53" s="259">
        <f ca="1">MAX(T10+T52-U10-U52,0)</f>
        <v>0</v>
      </c>
      <c r="U53" s="259">
        <f ca="1">MAX(U10+U52-T10-T52,0)</f>
        <v>0</v>
      </c>
      <c r="V53" s="259">
        <f ca="1">MAX(V10+V52-W10-W52,0)</f>
        <v>0</v>
      </c>
      <c r="W53" s="259">
        <f ca="1">MAX(W10+W52-V10-V52,0)</f>
        <v>0</v>
      </c>
      <c r="X53" s="259">
        <f ca="1">MAX(X10+X52-Y10-Y52,0)</f>
        <v>0</v>
      </c>
      <c r="Y53" s="259">
        <f ca="1">MAX(Y10+Y52-X10-X52,0)</f>
        <v>0</v>
      </c>
      <c r="Z53" s="259">
        <f ca="1">MAX(Z10+Z52-AA10-AA52,0)</f>
        <v>351991443</v>
      </c>
      <c r="AA53" s="259">
        <f ca="1">MAX(AA10+AA52-Z10-Z52,0)</f>
        <v>0</v>
      </c>
      <c r="AB53" s="259">
        <f ca="1">MAX(AB10+AB52-AC10-AC52,0)</f>
        <v>49990909</v>
      </c>
      <c r="AC53" s="259">
        <f ca="1">MAX(AC10+AC52-AB10-AB52,0)</f>
        <v>0</v>
      </c>
      <c r="AD53" s="259">
        <f ca="1">MAX(AD10+AD52-AE10-AE52,0)</f>
        <v>1450841000</v>
      </c>
      <c r="AE53" s="259">
        <f ca="1">MAX(AE10+AE52-AD10-AD52,0)</f>
        <v>0</v>
      </c>
      <c r="AF53" s="259">
        <f ca="1">MAX(AF10+AF52-AG10-AG52,0)</f>
        <v>3468509299</v>
      </c>
      <c r="AG53" s="259">
        <f ca="1">MAX(AG10+AG52-AF10-AF52,0)</f>
        <v>0</v>
      </c>
      <c r="AH53" s="259">
        <f ca="1">MAX(AH10+AH52-AI10-AI52,0)</f>
        <v>7770361541</v>
      </c>
      <c r="AI53" s="259">
        <f ca="1">MAX(AI10+AI52-AH10-AH52,0)</f>
        <v>0</v>
      </c>
      <c r="AJ53" s="259">
        <f ca="1">MAX(AJ10+AJ52-AK10-AK52,0)</f>
        <v>3807898863</v>
      </c>
      <c r="AK53" s="259">
        <f ca="1">MAX(AK10+AK52-AJ10-AJ52,0)</f>
        <v>0</v>
      </c>
      <c r="AL53" s="259">
        <f ca="1">MAX(AL10+AL52-AM10-AM52,0)</f>
        <v>3790918485</v>
      </c>
      <c r="AM53" s="259">
        <f ca="1">MAX(AM10+AM52-AL10-AL52,0)</f>
        <v>0</v>
      </c>
      <c r="AN53" s="259">
        <f ca="1">MAX(AN10+AN52-AO10-AO52,0)</f>
        <v>5405781300</v>
      </c>
      <c r="AO53" s="259">
        <f ca="1">MAX(AO10+AO52-AN10-AN52,0)</f>
        <v>0</v>
      </c>
      <c r="AP53" s="259">
        <f ca="1">MAX(AP10+AP52-AQ10-AQ52,0)</f>
        <v>0</v>
      </c>
      <c r="AQ53" s="259">
        <f ca="1">MAX(AQ10+AQ52-AP10-AP52,0)</f>
        <v>9758261933</v>
      </c>
      <c r="AR53" s="259">
        <f ca="1">MAX(AR10+AR52-AS10-AS52,0)</f>
        <v>0</v>
      </c>
      <c r="AS53" s="259">
        <f ca="1">MAX(AS10+AS52-AR10-AR52,0)</f>
        <v>720770838</v>
      </c>
      <c r="AT53" s="259">
        <f ca="1">MAX(AT10+AT52-AU10-AU52,0)</f>
        <v>0</v>
      </c>
      <c r="AU53" s="259">
        <f ca="1">MAX(AU10+AU52-AT10-AT52,0)</f>
        <v>0</v>
      </c>
      <c r="AV53" s="259">
        <f ca="1">MAX(AV10+AV52-AW10-AW52,0)</f>
        <v>0</v>
      </c>
      <c r="AW53" s="259">
        <f ca="1">MAX(AW10+AW52-AV10-AV52,0)</f>
        <v>35725221599</v>
      </c>
      <c r="AX53" s="259">
        <f ca="1">MAX(AX10+AX52-AY10-AY52,0)</f>
        <v>0</v>
      </c>
      <c r="AY53" s="259">
        <f ca="1">MAX(AY10+AY52-AX10-AX52,0)</f>
        <v>0</v>
      </c>
      <c r="AZ53" s="259">
        <f ca="1">MAX(AZ10+AZ52-BA10-BA52,0)</f>
        <v>0</v>
      </c>
      <c r="BA53" s="259">
        <f ca="1">MAX(BA10+BA52-AZ10-AZ52,0)</f>
        <v>0</v>
      </c>
      <c r="BB53" s="259">
        <f ca="1">MAX(BB10+BB52-BC10-BC52,0)</f>
        <v>0</v>
      </c>
      <c r="BC53" s="259">
        <f ca="1">MAX(BC10+BC52-BB10-BB52,0)</f>
        <v>0</v>
      </c>
      <c r="BD53" s="259">
        <f ca="1">MAX(BD10+BD52-BE10-BE52,0)</f>
        <v>6386869</v>
      </c>
      <c r="BE53" s="259">
        <f ca="1">MAX(BE10+BE52-BD10-BD52,0)</f>
        <v>0</v>
      </c>
      <c r="BF53" s="259">
        <f ca="1">MAX(BF10+BF52-BG10-BG52,0)</f>
        <v>3389804</v>
      </c>
      <c r="BG53" s="259">
        <f ca="1">MAX(BG10+BG52-BF10-BF52,0)</f>
        <v>0</v>
      </c>
      <c r="BH53" s="259">
        <f ca="1">MAX(BH10+BH52-BI10-BI52,0)</f>
        <v>0</v>
      </c>
      <c r="BI53" s="259">
        <f ca="1">MAX(BI10+BI52-BH10-BH52,0)</f>
        <v>0</v>
      </c>
      <c r="BJ53" s="259">
        <f ca="1">MAX(BJ10+BJ52-BK10-BK52,0)</f>
        <v>0</v>
      </c>
      <c r="BK53" s="259">
        <f ca="1">MAX(BK10+BK52-BJ10-BJ52,0)</f>
        <v>0</v>
      </c>
      <c r="BL53" s="259">
        <f ca="1">MAX(BL10+BL52-BM10-BM52,0)</f>
        <v>0</v>
      </c>
      <c r="BM53" s="259">
        <f ca="1">MAX(BM10+BM52-BL10-BL52,0)</f>
        <v>106628549</v>
      </c>
      <c r="BN53" s="259">
        <f ca="1">MAX(BN10+BN52-BO10-BO52,0)</f>
        <v>0</v>
      </c>
      <c r="BO53" s="259">
        <f ca="1">MAX(BO10+BO52-BN10-BN52,0)</f>
        <v>4469220</v>
      </c>
      <c r="BP53" s="259">
        <f ca="1">MAX(BP10+BP52-BQ10-BQ52,0)</f>
        <v>0</v>
      </c>
      <c r="BQ53" s="259">
        <f ca="1">MAX(BQ10+BQ52-BP10-BP52,0)</f>
        <v>1986320</v>
      </c>
      <c r="BR53" s="259">
        <f ca="1">MAX(BR10+BR52-BS10-BS52,0)</f>
        <v>0</v>
      </c>
      <c r="BS53" s="259">
        <f ca="1">MAX(BS10+BS52-BR10-BR52,0)</f>
        <v>0</v>
      </c>
      <c r="BT53" s="259">
        <f ca="1">MAX(BT10+BT52-BU10-BU52,0)</f>
        <v>0</v>
      </c>
      <c r="BU53" s="259">
        <f ca="1">MAX(BU10+BU52-BT10-BT52,0)</f>
        <v>0</v>
      </c>
      <c r="BV53" s="259">
        <f ca="1">MAX(BV10+BV52-BW10-BW52,0)</f>
        <v>0</v>
      </c>
      <c r="BW53" s="259">
        <f ca="1">MAX(BW10+BW52-BV10-BV52,0)</f>
        <v>27471593800</v>
      </c>
      <c r="BX53" s="259">
        <f ca="1">MAX(BX10+BX52-BY10-BY52,0)</f>
        <v>0</v>
      </c>
      <c r="BY53" s="259">
        <f ca="1">MAX(BY10+BY52-BX10-BX52,0)</f>
        <v>10000000000</v>
      </c>
      <c r="BZ53" s="259">
        <f ca="1">MAX(BZ10+BZ52-CA10-CA52,0)</f>
        <v>0</v>
      </c>
      <c r="CA53" s="259">
        <f ca="1">MAX(CA10+CA52-BZ10-BZ52,0)</f>
        <v>635107905.00000095</v>
      </c>
      <c r="CB53" s="259">
        <f ca="1">MAX(CB10+CB52-CC10-CC52,0)</f>
        <v>78259839.000000477</v>
      </c>
      <c r="CC53" s="259">
        <f ca="1">MAX(CC10+CC52-CB10-CB52,0)</f>
        <v>0</v>
      </c>
      <c r="CD53" s="259">
        <f ca="1">MAX(CD10+CD52-CE10-CE52,0)</f>
        <v>0</v>
      </c>
      <c r="CE53" s="259">
        <f ca="1">MAX(CE10+CE52-CD10-CD52,0)</f>
        <v>0</v>
      </c>
      <c r="CF53" s="259">
        <f ca="1">MAX(CF10+CF52-CG10-CG52,0)</f>
        <v>0</v>
      </c>
      <c r="CG53" s="259">
        <f ca="1">MAX(CG10+CG52-CF10-CF52,0)</f>
        <v>0</v>
      </c>
      <c r="CH53" s="259">
        <f ca="1">MAX(CH10+CH52-CI10-CI52,0)</f>
        <v>0</v>
      </c>
      <c r="CI53" s="259">
        <f ca="1">MAX(CI10+CI52-CH10-CH52,0)</f>
        <v>0</v>
      </c>
      <c r="CJ53" s="259">
        <f ca="1">MAX(CJ10+CJ52-CK10-CK52,0)</f>
        <v>0</v>
      </c>
      <c r="CK53" s="259">
        <f ca="1">MAX(CK10+CK52-CJ10-CJ52,0)</f>
        <v>0</v>
      </c>
      <c r="CL53" s="259">
        <f ca="1">MAX(CL10+CL52-CM10-CM52,0)</f>
        <v>0</v>
      </c>
      <c r="CM53" s="259">
        <f ca="1">MAX(CM10+CM52-CL10-CL52,0)</f>
        <v>0</v>
      </c>
      <c r="CN53" s="259">
        <f ca="1">MAX(CN10+CN52-CO10-CO52,0)</f>
        <v>0</v>
      </c>
      <c r="CO53" s="259">
        <f ca="1">MAX(CO10+CO52-CN10-CN52,0)</f>
        <v>0</v>
      </c>
      <c r="CP53" s="259">
        <f ca="1">MAX(CP10+CP52-CQ10-CQ52,0)</f>
        <v>0</v>
      </c>
      <c r="CQ53" s="259">
        <f ca="1">MAX(CQ10+CQ52-CP10-CP52,0)</f>
        <v>0</v>
      </c>
      <c r="CR53" s="259">
        <f ca="1">MAX(CR10+CR52-CS10-CS52,0)</f>
        <v>0</v>
      </c>
      <c r="CS53" s="259">
        <f ca="1">MAX(CS10+CS52-CR10-CR52,0)</f>
        <v>0</v>
      </c>
      <c r="CT53" s="259">
        <f ca="1">MAX(CT10+CT52-CU10-CU52,0)</f>
        <v>0</v>
      </c>
      <c r="CU53" s="259">
        <f ca="1">MAX(CU10+CU52-CT10-CT52,0)</f>
        <v>0</v>
      </c>
      <c r="CV53" s="259">
        <f ca="1">MAX(CV10+CV52-CW10-CW52,0)</f>
        <v>0</v>
      </c>
      <c r="CW53" s="259">
        <f ca="1">MAX(CW10+CW52-CV10-CV52,0)</f>
        <v>0</v>
      </c>
      <c r="CX53" s="259">
        <f ca="1">MAX(CX10+CX52-CY10-CY52,0)</f>
        <v>0</v>
      </c>
      <c r="CY53" s="259">
        <f ca="1">MAX(CY10+CY52-CX10-CX52,0)</f>
        <v>0</v>
      </c>
      <c r="CZ53" s="259">
        <f ca="1">MAX(CZ10+CZ52-DA10-DA52,0)</f>
        <v>0</v>
      </c>
      <c r="DA53" s="259">
        <f ca="1">MAX(DA10+DA52-CZ10-CZ52,0)</f>
        <v>0</v>
      </c>
    </row>
    <row r="54" spans="1:105" s="248" customFormat="1" ht="15" customHeight="1">
      <c r="A54" s="260"/>
      <c r="B54" s="260"/>
      <c r="C54" s="261"/>
      <c r="D54" s="260"/>
      <c r="E54" s="262" t="s">
        <v>213</v>
      </c>
      <c r="F54" s="260"/>
      <c r="G54" s="263"/>
      <c r="H54" s="263"/>
      <c r="I54" s="260"/>
      <c r="J54" s="264">
        <f ca="1">J52</f>
        <v>0</v>
      </c>
      <c r="K54" s="264">
        <f ca="1">K52</f>
        <v>0</v>
      </c>
      <c r="L54" s="264">
        <f t="shared" ref="L54:BY54" ca="1" si="107">L52</f>
        <v>0</v>
      </c>
      <c r="M54" s="264">
        <f t="shared" ca="1" si="107"/>
        <v>0</v>
      </c>
      <c r="N54" s="264">
        <f t="shared" ca="1" si="107"/>
        <v>0</v>
      </c>
      <c r="O54" s="264">
        <f t="shared" ca="1" si="107"/>
        <v>0</v>
      </c>
      <c r="P54" s="264">
        <f t="shared" ca="1" si="107"/>
        <v>0</v>
      </c>
      <c r="Q54" s="264">
        <f t="shared" ca="1" si="107"/>
        <v>0</v>
      </c>
      <c r="R54" s="264">
        <f t="shared" ca="1" si="107"/>
        <v>0</v>
      </c>
      <c r="S54" s="264">
        <f t="shared" ca="1" si="107"/>
        <v>0</v>
      </c>
      <c r="T54" s="264">
        <f t="shared" ca="1" si="107"/>
        <v>0</v>
      </c>
      <c r="U54" s="264">
        <f t="shared" ca="1" si="107"/>
        <v>0</v>
      </c>
      <c r="V54" s="264">
        <f t="shared" ca="1" si="107"/>
        <v>0</v>
      </c>
      <c r="W54" s="264">
        <f t="shared" ca="1" si="107"/>
        <v>0</v>
      </c>
      <c r="X54" s="264">
        <f t="shared" ca="1" si="107"/>
        <v>0</v>
      </c>
      <c r="Y54" s="264">
        <f t="shared" ca="1" si="107"/>
        <v>0</v>
      </c>
      <c r="Z54" s="264">
        <f t="shared" ca="1" si="107"/>
        <v>0</v>
      </c>
      <c r="AA54" s="264">
        <f t="shared" ca="1" si="107"/>
        <v>0</v>
      </c>
      <c r="AB54" s="264">
        <f t="shared" ca="1" si="107"/>
        <v>0</v>
      </c>
      <c r="AC54" s="264">
        <f t="shared" ca="1" si="107"/>
        <v>0</v>
      </c>
      <c r="AD54" s="264">
        <f t="shared" ca="1" si="107"/>
        <v>0</v>
      </c>
      <c r="AE54" s="264">
        <f t="shared" ca="1" si="107"/>
        <v>0</v>
      </c>
      <c r="AF54" s="264">
        <f t="shared" ca="1" si="107"/>
        <v>0</v>
      </c>
      <c r="AG54" s="264">
        <f t="shared" ca="1" si="107"/>
        <v>0</v>
      </c>
      <c r="AH54" s="264">
        <f t="shared" ca="1" si="107"/>
        <v>0</v>
      </c>
      <c r="AI54" s="264">
        <f t="shared" ca="1" si="107"/>
        <v>0</v>
      </c>
      <c r="AJ54" s="264">
        <f t="shared" ca="1" si="107"/>
        <v>0</v>
      </c>
      <c r="AK54" s="264">
        <f t="shared" ca="1" si="107"/>
        <v>0</v>
      </c>
      <c r="AL54" s="264">
        <f t="shared" ca="1" si="107"/>
        <v>0</v>
      </c>
      <c r="AM54" s="264">
        <f t="shared" ca="1" si="107"/>
        <v>0</v>
      </c>
      <c r="AN54" s="264">
        <f t="shared" ca="1" si="107"/>
        <v>0</v>
      </c>
      <c r="AO54" s="264">
        <f t="shared" ca="1" si="107"/>
        <v>0</v>
      </c>
      <c r="AP54" s="264">
        <f t="shared" ca="1" si="107"/>
        <v>0</v>
      </c>
      <c r="AQ54" s="264">
        <f t="shared" ca="1" si="107"/>
        <v>0</v>
      </c>
      <c r="AR54" s="264">
        <f t="shared" ca="1" si="107"/>
        <v>0</v>
      </c>
      <c r="AS54" s="264">
        <f t="shared" ca="1" si="107"/>
        <v>0</v>
      </c>
      <c r="AT54" s="264">
        <f ca="1">AT52</f>
        <v>0</v>
      </c>
      <c r="AU54" s="264">
        <f ca="1">AU52</f>
        <v>0</v>
      </c>
      <c r="AV54" s="264">
        <f t="shared" ca="1" si="107"/>
        <v>0</v>
      </c>
      <c r="AW54" s="264">
        <f t="shared" ca="1" si="107"/>
        <v>0</v>
      </c>
      <c r="AX54" s="264">
        <f t="shared" ca="1" si="107"/>
        <v>0</v>
      </c>
      <c r="AY54" s="264">
        <f t="shared" ca="1" si="107"/>
        <v>0</v>
      </c>
      <c r="AZ54" s="264">
        <f t="shared" ca="1" si="107"/>
        <v>0</v>
      </c>
      <c r="BA54" s="264">
        <f t="shared" ca="1" si="107"/>
        <v>0</v>
      </c>
      <c r="BB54" s="264">
        <f t="shared" ca="1" si="107"/>
        <v>0</v>
      </c>
      <c r="BC54" s="264">
        <f t="shared" ca="1" si="107"/>
        <v>0</v>
      </c>
      <c r="BD54" s="264">
        <f t="shared" ca="1" si="107"/>
        <v>0</v>
      </c>
      <c r="BE54" s="264">
        <f t="shared" ca="1" si="107"/>
        <v>0</v>
      </c>
      <c r="BF54" s="264">
        <f t="shared" ca="1" si="107"/>
        <v>0</v>
      </c>
      <c r="BG54" s="264">
        <f t="shared" ca="1" si="107"/>
        <v>0</v>
      </c>
      <c r="BH54" s="264">
        <f t="shared" ca="1" si="107"/>
        <v>0</v>
      </c>
      <c r="BI54" s="264">
        <f t="shared" ca="1" si="107"/>
        <v>0</v>
      </c>
      <c r="BJ54" s="264">
        <f t="shared" ca="1" si="107"/>
        <v>0</v>
      </c>
      <c r="BK54" s="264">
        <f t="shared" ca="1" si="107"/>
        <v>0</v>
      </c>
      <c r="BL54" s="264">
        <f t="shared" ca="1" si="107"/>
        <v>0</v>
      </c>
      <c r="BM54" s="264">
        <f t="shared" ca="1" si="107"/>
        <v>0</v>
      </c>
      <c r="BN54" s="264">
        <f t="shared" ca="1" si="107"/>
        <v>0</v>
      </c>
      <c r="BO54" s="264">
        <f t="shared" ca="1" si="107"/>
        <v>0</v>
      </c>
      <c r="BP54" s="264">
        <f t="shared" ca="1" si="107"/>
        <v>0</v>
      </c>
      <c r="BQ54" s="264">
        <f t="shared" ca="1" si="107"/>
        <v>0</v>
      </c>
      <c r="BR54" s="264">
        <f t="shared" ca="1" si="107"/>
        <v>0</v>
      </c>
      <c r="BS54" s="264">
        <f t="shared" ca="1" si="107"/>
        <v>0</v>
      </c>
      <c r="BT54" s="264">
        <f t="shared" ca="1" si="107"/>
        <v>0</v>
      </c>
      <c r="BU54" s="264">
        <f t="shared" ca="1" si="107"/>
        <v>0</v>
      </c>
      <c r="BV54" s="264">
        <f ca="1">BV52</f>
        <v>0</v>
      </c>
      <c r="BW54" s="264">
        <f ca="1">BW52</f>
        <v>0</v>
      </c>
      <c r="BX54" s="264">
        <f t="shared" ca="1" si="107"/>
        <v>0</v>
      </c>
      <c r="BY54" s="264">
        <f t="shared" ca="1" si="107"/>
        <v>0</v>
      </c>
      <c r="BZ54" s="264">
        <f t="shared" ref="BZ54:DA54" ca="1" si="108">BZ52</f>
        <v>0</v>
      </c>
      <c r="CA54" s="264">
        <f t="shared" ca="1" si="108"/>
        <v>107861885.00000048</v>
      </c>
      <c r="CB54" s="264">
        <f t="shared" ca="1" si="108"/>
        <v>107861885.00000048</v>
      </c>
      <c r="CC54" s="264">
        <f t="shared" ca="1" si="108"/>
        <v>0</v>
      </c>
      <c r="CD54" s="264">
        <f t="shared" ca="1" si="108"/>
        <v>0</v>
      </c>
      <c r="CE54" s="264">
        <f t="shared" ca="1" si="108"/>
        <v>0</v>
      </c>
      <c r="CF54" s="264">
        <f t="shared" ca="1" si="108"/>
        <v>0</v>
      </c>
      <c r="CG54" s="264">
        <f t="shared" ca="1" si="108"/>
        <v>0</v>
      </c>
      <c r="CH54" s="264">
        <f t="shared" ca="1" si="108"/>
        <v>0</v>
      </c>
      <c r="CI54" s="264">
        <f t="shared" ca="1" si="108"/>
        <v>0</v>
      </c>
      <c r="CJ54" s="264">
        <f t="shared" ca="1" si="108"/>
        <v>0</v>
      </c>
      <c r="CK54" s="264">
        <f t="shared" ca="1" si="108"/>
        <v>0</v>
      </c>
      <c r="CL54" s="264">
        <f t="shared" ca="1" si="108"/>
        <v>0</v>
      </c>
      <c r="CM54" s="264">
        <f t="shared" ca="1" si="108"/>
        <v>0</v>
      </c>
      <c r="CN54" s="264">
        <f t="shared" ca="1" si="108"/>
        <v>0</v>
      </c>
      <c r="CO54" s="264">
        <f t="shared" ca="1" si="108"/>
        <v>0</v>
      </c>
      <c r="CP54" s="264">
        <f t="shared" ca="1" si="108"/>
        <v>0</v>
      </c>
      <c r="CQ54" s="264">
        <f t="shared" ca="1" si="108"/>
        <v>0</v>
      </c>
      <c r="CR54" s="264">
        <f t="shared" ca="1" si="108"/>
        <v>0</v>
      </c>
      <c r="CS54" s="264">
        <f t="shared" ca="1" si="108"/>
        <v>0</v>
      </c>
      <c r="CT54" s="264">
        <f t="shared" ca="1" si="108"/>
        <v>0</v>
      </c>
      <c r="CU54" s="264">
        <f t="shared" ca="1" si="108"/>
        <v>0</v>
      </c>
      <c r="CV54" s="264">
        <f t="shared" ca="1" si="108"/>
        <v>0</v>
      </c>
      <c r="CW54" s="264">
        <f t="shared" ca="1" si="108"/>
        <v>0</v>
      </c>
      <c r="CX54" s="264">
        <f t="shared" ca="1" si="108"/>
        <v>0</v>
      </c>
      <c r="CY54" s="264">
        <f t="shared" ca="1" si="108"/>
        <v>0</v>
      </c>
      <c r="CZ54" s="264">
        <f t="shared" ca="1" si="108"/>
        <v>0</v>
      </c>
      <c r="DA54" s="264">
        <f t="shared" ca="1" si="108"/>
        <v>0</v>
      </c>
    </row>
    <row r="55" spans="1:105" ht="12" customHeight="1">
      <c r="B55" s="265"/>
      <c r="C55" s="266"/>
      <c r="D55" s="266"/>
      <c r="E55" s="266"/>
      <c r="F55" s="266"/>
      <c r="G55" s="267"/>
      <c r="H55" s="267"/>
      <c r="I55" s="266"/>
      <c r="J55" s="266"/>
      <c r="K55" s="266"/>
    </row>
    <row r="56" spans="1:105">
      <c r="F56" s="268"/>
      <c r="M56" s="268"/>
      <c r="O56" s="268"/>
      <c r="Q56" s="268"/>
      <c r="R56" s="268"/>
      <c r="S56" s="268"/>
      <c r="T56" s="268"/>
      <c r="U56" s="268"/>
      <c r="V56" s="268"/>
      <c r="AN56" s="269" t="s">
        <v>214</v>
      </c>
      <c r="AO56" s="270"/>
      <c r="AP56" s="270"/>
      <c r="AQ56" s="270"/>
      <c r="AR56" s="271"/>
      <c r="AS56" s="271"/>
      <c r="AT56" s="270"/>
    </row>
    <row r="57" spans="1:105">
      <c r="F57" s="268"/>
      <c r="M57" s="268"/>
      <c r="O57" s="268"/>
      <c r="Q57" s="268"/>
      <c r="R57" s="268"/>
      <c r="S57" s="268"/>
      <c r="T57" s="268"/>
      <c r="U57" s="268"/>
      <c r="V57" s="268"/>
      <c r="AN57" s="272" t="s">
        <v>215</v>
      </c>
      <c r="AO57" s="270"/>
      <c r="AP57" s="270"/>
      <c r="AQ57" s="270"/>
      <c r="AR57" s="271"/>
      <c r="AS57" s="271"/>
      <c r="AT57" s="270"/>
    </row>
    <row r="58" spans="1:105">
      <c r="F58" s="268"/>
      <c r="M58" s="268"/>
      <c r="O58" s="268"/>
      <c r="Q58" s="268"/>
      <c r="R58" s="268"/>
      <c r="S58" s="268"/>
      <c r="T58" s="268"/>
      <c r="U58" s="268"/>
      <c r="V58" s="268"/>
      <c r="AN58" s="270"/>
      <c r="AO58" s="270"/>
      <c r="AP58" s="270"/>
      <c r="AQ58" s="270"/>
      <c r="AR58" s="270"/>
      <c r="AS58" s="270"/>
      <c r="AT58" s="271"/>
    </row>
    <row r="59" spans="1:105">
      <c r="F59" s="268"/>
      <c r="AN59" s="270"/>
      <c r="AO59" s="270"/>
      <c r="AP59" s="270"/>
      <c r="AQ59" s="270"/>
      <c r="AR59" s="270"/>
      <c r="AS59" s="270"/>
      <c r="AT59" s="271"/>
      <c r="AZ59" s="273" t="str">
        <f>"Ngày 31 tháng 03 năm 2015 "</f>
        <v xml:space="preserve">Ngày 31 tháng 03 năm 2015 </v>
      </c>
    </row>
    <row r="60" spans="1:105">
      <c r="F60" s="268"/>
      <c r="M60" s="268"/>
      <c r="O60" s="268"/>
      <c r="Q60" s="268"/>
      <c r="R60" s="268"/>
      <c r="S60" s="268"/>
      <c r="T60" s="268"/>
      <c r="U60" s="268"/>
      <c r="V60" s="268"/>
      <c r="AN60" s="270"/>
      <c r="AO60" s="274" t="s">
        <v>11</v>
      </c>
      <c r="AP60" s="270"/>
      <c r="AQ60" s="270"/>
      <c r="AR60" s="270"/>
      <c r="AS60" s="275" t="s">
        <v>12</v>
      </c>
      <c r="AT60" s="271"/>
      <c r="AZ60" s="274" t="s">
        <v>130</v>
      </c>
    </row>
    <row r="61" spans="1:105">
      <c r="F61" s="268"/>
      <c r="M61" s="268"/>
      <c r="O61" s="268"/>
      <c r="Q61" s="268"/>
      <c r="R61" s="268"/>
      <c r="S61" s="268"/>
      <c r="T61" s="268"/>
      <c r="U61" s="268"/>
      <c r="V61" s="268"/>
      <c r="AN61" s="270"/>
      <c r="AO61" s="276" t="s">
        <v>13</v>
      </c>
      <c r="AP61" s="270"/>
      <c r="AQ61" s="270"/>
      <c r="AR61" s="270"/>
      <c r="AS61" s="277" t="s">
        <v>13</v>
      </c>
      <c r="AT61" s="271"/>
      <c r="AZ61" s="276" t="s">
        <v>160</v>
      </c>
    </row>
    <row r="62" spans="1:105">
      <c r="F62" s="268"/>
      <c r="M62" s="268"/>
      <c r="O62" s="268"/>
      <c r="Q62" s="268"/>
      <c r="R62" s="268"/>
      <c r="S62" s="268"/>
      <c r="T62" s="268"/>
      <c r="U62" s="268"/>
      <c r="V62" s="268"/>
      <c r="AL62" s="270"/>
      <c r="AM62" s="270"/>
      <c r="AN62" s="270"/>
      <c r="AO62" s="270"/>
      <c r="AP62" s="270"/>
      <c r="AQ62" s="270"/>
      <c r="AR62" s="270"/>
      <c r="AS62" s="270"/>
      <c r="AT62" s="271"/>
      <c r="AZ62" s="270"/>
    </row>
    <row r="63" spans="1:105">
      <c r="F63" s="268"/>
      <c r="M63" s="268"/>
      <c r="O63" s="268"/>
      <c r="Q63" s="268"/>
      <c r="R63" s="268"/>
      <c r="S63" s="268"/>
      <c r="T63" s="268"/>
      <c r="U63" s="268"/>
      <c r="V63" s="268"/>
      <c r="AZ63" s="270"/>
    </row>
    <row r="64" spans="1:105">
      <c r="F64" s="268"/>
      <c r="M64" s="268"/>
      <c r="O64" s="268"/>
      <c r="Q64" s="268"/>
      <c r="R64" s="268"/>
      <c r="S64" s="268"/>
      <c r="T64" s="268"/>
      <c r="U64" s="268"/>
      <c r="V64" s="268"/>
    </row>
    <row r="65" spans="6:22">
      <c r="F65" s="268"/>
      <c r="M65" s="268"/>
      <c r="O65" s="268"/>
      <c r="Q65" s="268"/>
      <c r="R65" s="268"/>
      <c r="S65" s="268"/>
      <c r="T65" s="268"/>
      <c r="U65" s="268"/>
      <c r="V65" s="268"/>
    </row>
    <row r="66" spans="6:22">
      <c r="F66" s="268"/>
    </row>
    <row r="67" spans="6:22">
      <c r="F67" s="268"/>
      <c r="M67" s="268"/>
      <c r="O67" s="268"/>
      <c r="Q67" s="268"/>
      <c r="R67" s="268"/>
      <c r="S67" s="268"/>
      <c r="T67" s="268"/>
      <c r="U67" s="268"/>
      <c r="V67" s="268"/>
    </row>
    <row r="68" spans="6:22">
      <c r="F68" s="268"/>
      <c r="M68" s="268"/>
      <c r="O68" s="268"/>
      <c r="Q68" s="268"/>
      <c r="R68" s="268"/>
      <c r="S68" s="268"/>
      <c r="T68" s="268"/>
      <c r="U68" s="268"/>
      <c r="V68" s="268"/>
    </row>
    <row r="69" spans="6:22">
      <c r="F69" s="268"/>
      <c r="M69" s="268"/>
      <c r="O69" s="268"/>
      <c r="Q69" s="268"/>
      <c r="R69" s="268"/>
      <c r="S69" s="268"/>
      <c r="T69" s="268"/>
      <c r="U69" s="268"/>
      <c r="V69" s="268"/>
    </row>
    <row r="70" spans="6:22">
      <c r="F70" s="268"/>
      <c r="M70" s="268"/>
      <c r="O70" s="268"/>
      <c r="Q70" s="268"/>
      <c r="R70" s="268"/>
      <c r="S70" s="268"/>
      <c r="T70" s="268"/>
      <c r="U70" s="268"/>
      <c r="V70" s="268"/>
    </row>
    <row r="71" spans="6:22">
      <c r="F71" s="268"/>
      <c r="M71" s="268"/>
      <c r="O71" s="268"/>
      <c r="Q71" s="268"/>
      <c r="R71" s="268"/>
      <c r="S71" s="268"/>
      <c r="T71" s="268"/>
      <c r="U71" s="268"/>
      <c r="V71" s="268"/>
    </row>
    <row r="72" spans="6:22">
      <c r="F72" s="268"/>
      <c r="M72" s="268"/>
      <c r="O72" s="268"/>
      <c r="Q72" s="268"/>
      <c r="R72" s="268"/>
      <c r="S72" s="268"/>
      <c r="T72" s="268"/>
      <c r="U72" s="268"/>
      <c r="V72" s="268"/>
    </row>
    <row r="73" spans="6:22">
      <c r="F73" s="268"/>
      <c r="M73" s="268"/>
      <c r="O73" s="268"/>
      <c r="Q73" s="268"/>
      <c r="R73" s="268"/>
      <c r="S73" s="268"/>
      <c r="T73" s="268"/>
      <c r="U73" s="268"/>
      <c r="V73" s="268"/>
    </row>
    <row r="74" spans="6:22">
      <c r="F74" s="268"/>
      <c r="M74" s="268"/>
      <c r="O74" s="268"/>
      <c r="Q74" s="268"/>
      <c r="R74" s="268"/>
      <c r="S74" s="268"/>
      <c r="T74" s="268"/>
      <c r="U74" s="268"/>
      <c r="V74" s="268"/>
    </row>
    <row r="75" spans="6:22">
      <c r="F75" s="268"/>
      <c r="M75" s="268"/>
      <c r="O75" s="268"/>
      <c r="Q75" s="268"/>
      <c r="R75" s="268"/>
      <c r="S75" s="268"/>
      <c r="T75" s="268"/>
      <c r="U75" s="268"/>
      <c r="V75" s="268"/>
    </row>
    <row r="76" spans="6:22">
      <c r="F76" s="268"/>
      <c r="M76" s="268"/>
      <c r="O76" s="268"/>
      <c r="Q76" s="268"/>
      <c r="R76" s="268"/>
      <c r="S76" s="268"/>
      <c r="T76" s="268"/>
      <c r="U76" s="268"/>
      <c r="V76" s="268"/>
    </row>
    <row r="77" spans="6:22">
      <c r="F77" s="268"/>
      <c r="M77" s="268"/>
      <c r="O77" s="268"/>
      <c r="Q77" s="268"/>
      <c r="R77" s="268"/>
      <c r="S77" s="268"/>
      <c r="T77" s="268"/>
      <c r="U77" s="268"/>
      <c r="V77" s="268"/>
    </row>
    <row r="78" spans="6:22">
      <c r="F78" s="268"/>
      <c r="M78" s="268"/>
      <c r="O78" s="268"/>
      <c r="Q78" s="268"/>
      <c r="R78" s="268"/>
      <c r="S78" s="268"/>
      <c r="T78" s="268"/>
      <c r="U78" s="268"/>
      <c r="V78" s="268"/>
    </row>
    <row r="79" spans="6:22">
      <c r="F79" s="268"/>
      <c r="M79" s="268"/>
      <c r="O79" s="268"/>
      <c r="Q79" s="268"/>
      <c r="R79" s="268"/>
      <c r="S79" s="268"/>
      <c r="T79" s="268"/>
      <c r="U79" s="268"/>
      <c r="V79" s="268"/>
    </row>
    <row r="80" spans="6:22">
      <c r="F80" s="268"/>
      <c r="M80" s="268"/>
      <c r="O80" s="268"/>
      <c r="Q80" s="268"/>
      <c r="R80" s="268"/>
      <c r="S80" s="268"/>
      <c r="T80" s="268"/>
      <c r="U80" s="268"/>
      <c r="V80" s="268"/>
    </row>
    <row r="81" spans="6:22">
      <c r="F81" s="268"/>
      <c r="M81" s="268"/>
      <c r="O81" s="268"/>
      <c r="Q81" s="268"/>
      <c r="R81" s="268"/>
      <c r="S81" s="268"/>
      <c r="T81" s="268"/>
      <c r="U81" s="268"/>
      <c r="V81" s="268"/>
    </row>
    <row r="82" spans="6:22">
      <c r="F82" s="268"/>
      <c r="M82" s="268"/>
      <c r="O82" s="268"/>
      <c r="Q82" s="268"/>
      <c r="R82" s="268"/>
      <c r="S82" s="268"/>
      <c r="T82" s="268"/>
      <c r="U82" s="268"/>
      <c r="V82" s="268"/>
    </row>
    <row r="83" spans="6:22">
      <c r="F83" s="268"/>
      <c r="M83" s="268"/>
      <c r="O83" s="268"/>
      <c r="Q83" s="268"/>
      <c r="R83" s="268"/>
      <c r="S83" s="268"/>
      <c r="T83" s="268"/>
      <c r="U83" s="268"/>
      <c r="V83" s="268"/>
    </row>
    <row r="84" spans="6:22">
      <c r="F84" s="268"/>
      <c r="M84" s="268"/>
      <c r="O84" s="268"/>
      <c r="Q84" s="268"/>
      <c r="R84" s="268"/>
      <c r="S84" s="268"/>
      <c r="T84" s="268"/>
      <c r="U84" s="268"/>
      <c r="V84" s="268"/>
    </row>
    <row r="85" spans="6:22">
      <c r="F85" s="268"/>
      <c r="M85" s="268"/>
      <c r="O85" s="268"/>
      <c r="Q85" s="268"/>
      <c r="R85" s="268"/>
      <c r="S85" s="268"/>
      <c r="T85" s="268"/>
      <c r="U85" s="268"/>
      <c r="V85" s="268"/>
    </row>
    <row r="86" spans="6:22">
      <c r="F86" s="268"/>
      <c r="M86" s="268"/>
      <c r="O86" s="268"/>
      <c r="Q86" s="268"/>
      <c r="R86" s="268"/>
      <c r="S86" s="268"/>
      <c r="T86" s="268"/>
      <c r="U86" s="268"/>
      <c r="V86" s="268"/>
    </row>
    <row r="87" spans="6:22">
      <c r="F87" s="268"/>
      <c r="M87" s="268"/>
      <c r="O87" s="268"/>
      <c r="Q87" s="268"/>
      <c r="R87" s="268"/>
      <c r="S87" s="268"/>
      <c r="T87" s="268"/>
      <c r="U87" s="268"/>
      <c r="V87" s="268"/>
    </row>
    <row r="88" spans="6:22">
      <c r="F88" s="268"/>
      <c r="M88" s="268"/>
      <c r="O88" s="268"/>
      <c r="Q88" s="268"/>
      <c r="R88" s="268"/>
      <c r="S88" s="268"/>
      <c r="T88" s="268"/>
      <c r="U88" s="268"/>
      <c r="V88" s="268"/>
    </row>
    <row r="89" spans="6:22">
      <c r="F89" s="268"/>
      <c r="M89" s="268"/>
      <c r="O89" s="268"/>
      <c r="Q89" s="268"/>
      <c r="R89" s="268"/>
      <c r="S89" s="268"/>
      <c r="T89" s="268"/>
      <c r="U89" s="268"/>
      <c r="V89" s="268"/>
    </row>
    <row r="90" spans="6:22">
      <c r="F90" s="268"/>
      <c r="M90" s="268"/>
      <c r="O90" s="268"/>
      <c r="Q90" s="268"/>
      <c r="R90" s="268"/>
      <c r="S90" s="268"/>
      <c r="T90" s="268"/>
      <c r="U90" s="268"/>
      <c r="V90" s="268"/>
    </row>
    <row r="91" spans="6:22">
      <c r="F91" s="268"/>
      <c r="M91" s="268"/>
      <c r="O91" s="268"/>
      <c r="Q91" s="268"/>
      <c r="R91" s="268"/>
      <c r="S91" s="268"/>
      <c r="T91" s="268"/>
      <c r="U91" s="268"/>
      <c r="V91" s="268"/>
    </row>
    <row r="92" spans="6:22">
      <c r="F92" s="268"/>
      <c r="M92" s="268"/>
      <c r="O92" s="268"/>
      <c r="Q92" s="268"/>
      <c r="R92" s="268"/>
      <c r="S92" s="268"/>
      <c r="T92" s="268"/>
      <c r="U92" s="268"/>
      <c r="V92" s="268"/>
    </row>
    <row r="93" spans="6:22">
      <c r="F93" s="268"/>
      <c r="M93" s="268"/>
      <c r="O93" s="268"/>
      <c r="Q93" s="268"/>
      <c r="R93" s="268"/>
      <c r="S93" s="268"/>
      <c r="T93" s="268"/>
      <c r="U93" s="268"/>
      <c r="V93" s="268"/>
    </row>
    <row r="94" spans="6:22">
      <c r="F94" s="268"/>
      <c r="M94" s="268"/>
      <c r="O94" s="268"/>
      <c r="Q94" s="268"/>
      <c r="R94" s="268"/>
      <c r="S94" s="268"/>
      <c r="T94" s="268"/>
      <c r="U94" s="268"/>
      <c r="V94" s="268"/>
    </row>
    <row r="95" spans="6:22">
      <c r="F95" s="268"/>
      <c r="M95" s="268"/>
      <c r="O95" s="268"/>
      <c r="Q95" s="268"/>
      <c r="R95" s="268"/>
      <c r="S95" s="268"/>
      <c r="T95" s="268"/>
      <c r="U95" s="268"/>
      <c r="V95" s="268"/>
    </row>
    <row r="96" spans="6:22">
      <c r="F96" s="268"/>
      <c r="M96" s="268"/>
      <c r="O96" s="268"/>
      <c r="Q96" s="268"/>
      <c r="R96" s="268"/>
      <c r="S96" s="268"/>
      <c r="T96" s="268"/>
      <c r="U96" s="268"/>
      <c r="V96" s="268"/>
    </row>
    <row r="97" spans="6:22">
      <c r="F97" s="268"/>
      <c r="M97" s="268"/>
      <c r="O97" s="268"/>
      <c r="Q97" s="268"/>
      <c r="R97" s="268"/>
      <c r="S97" s="268"/>
      <c r="T97" s="268"/>
      <c r="U97" s="268"/>
      <c r="V97" s="268"/>
    </row>
    <row r="98" spans="6:22">
      <c r="F98" s="268"/>
      <c r="M98" s="268"/>
      <c r="O98" s="268"/>
      <c r="Q98" s="268"/>
      <c r="R98" s="268"/>
      <c r="S98" s="268"/>
      <c r="T98" s="268"/>
      <c r="U98" s="268"/>
      <c r="V98" s="268"/>
    </row>
    <row r="99" spans="6:22">
      <c r="F99" s="268"/>
      <c r="M99" s="268"/>
      <c r="O99" s="268"/>
      <c r="Q99" s="268"/>
      <c r="R99" s="268"/>
      <c r="S99" s="268"/>
      <c r="T99" s="268"/>
      <c r="U99" s="268"/>
      <c r="V99" s="268"/>
    </row>
    <row r="100" spans="6:22">
      <c r="F100" s="268"/>
      <c r="M100" s="268"/>
      <c r="O100" s="268"/>
      <c r="Q100" s="268"/>
      <c r="R100" s="268"/>
      <c r="S100" s="268"/>
      <c r="T100" s="268"/>
      <c r="U100" s="268"/>
      <c r="V100" s="268"/>
    </row>
    <row r="101" spans="6:22">
      <c r="F101" s="268"/>
      <c r="M101" s="268"/>
      <c r="O101" s="268"/>
      <c r="Q101" s="268"/>
      <c r="R101" s="268"/>
      <c r="S101" s="268"/>
      <c r="T101" s="268"/>
      <c r="U101" s="268"/>
      <c r="V101" s="268"/>
    </row>
    <row r="102" spans="6:22">
      <c r="F102" s="268"/>
      <c r="M102" s="268"/>
      <c r="O102" s="268"/>
      <c r="Q102" s="268"/>
      <c r="R102" s="268"/>
      <c r="S102" s="268"/>
      <c r="T102" s="268"/>
      <c r="U102" s="268"/>
      <c r="V102" s="268"/>
    </row>
    <row r="103" spans="6:22">
      <c r="F103" s="268"/>
      <c r="M103" s="268"/>
      <c r="O103" s="268"/>
      <c r="Q103" s="268"/>
      <c r="R103" s="268"/>
      <c r="S103" s="268"/>
      <c r="T103" s="268"/>
      <c r="U103" s="268"/>
      <c r="V103" s="268"/>
    </row>
    <row r="104" spans="6:22">
      <c r="F104" s="268"/>
      <c r="M104" s="268"/>
      <c r="O104" s="268"/>
      <c r="Q104" s="268"/>
      <c r="R104" s="268"/>
      <c r="S104" s="268"/>
      <c r="T104" s="268"/>
      <c r="U104" s="268"/>
      <c r="V104" s="268"/>
    </row>
    <row r="105" spans="6:22">
      <c r="F105" s="268"/>
      <c r="M105" s="268"/>
      <c r="O105" s="268"/>
      <c r="Q105" s="268"/>
      <c r="R105" s="268"/>
      <c r="S105" s="268"/>
      <c r="T105" s="268"/>
      <c r="U105" s="268"/>
      <c r="V105" s="268"/>
    </row>
    <row r="106" spans="6:22">
      <c r="F106" s="268"/>
      <c r="M106" s="268"/>
      <c r="O106" s="268"/>
      <c r="Q106" s="268"/>
      <c r="R106" s="268"/>
      <c r="S106" s="268"/>
      <c r="T106" s="268"/>
      <c r="U106" s="268"/>
      <c r="V106" s="268"/>
    </row>
    <row r="107" spans="6:22">
      <c r="F107" s="268"/>
      <c r="M107" s="268"/>
      <c r="O107" s="268"/>
      <c r="Q107" s="268"/>
      <c r="R107" s="268"/>
      <c r="S107" s="268"/>
      <c r="T107" s="268"/>
      <c r="U107" s="268"/>
      <c r="V107" s="268"/>
    </row>
    <row r="108" spans="6:22">
      <c r="F108" s="268"/>
      <c r="M108" s="268"/>
      <c r="O108" s="268"/>
      <c r="Q108" s="268"/>
      <c r="R108" s="268"/>
      <c r="S108" s="268"/>
      <c r="T108" s="268"/>
      <c r="U108" s="268"/>
      <c r="V108" s="268"/>
    </row>
    <row r="109" spans="6:22">
      <c r="F109" s="268"/>
      <c r="M109" s="268"/>
      <c r="O109" s="268"/>
      <c r="Q109" s="268"/>
      <c r="R109" s="268"/>
      <c r="S109" s="268"/>
      <c r="T109" s="268"/>
      <c r="U109" s="268"/>
      <c r="V109" s="268"/>
    </row>
    <row r="110" spans="6:22">
      <c r="F110" s="268"/>
      <c r="M110" s="268"/>
      <c r="O110" s="268"/>
      <c r="Q110" s="268"/>
      <c r="R110" s="268"/>
      <c r="S110" s="268"/>
      <c r="T110" s="268"/>
      <c r="U110" s="268"/>
      <c r="V110" s="268"/>
    </row>
    <row r="111" spans="6:22">
      <c r="M111" s="268"/>
      <c r="O111" s="268"/>
      <c r="Q111" s="268"/>
      <c r="R111" s="268"/>
      <c r="S111" s="268"/>
      <c r="T111" s="268"/>
      <c r="U111" s="268"/>
      <c r="V111" s="268"/>
    </row>
    <row r="112" spans="6:22">
      <c r="M112" s="268"/>
      <c r="O112" s="268"/>
      <c r="Q112" s="268"/>
      <c r="R112" s="268"/>
      <c r="S112" s="268"/>
      <c r="T112" s="268"/>
      <c r="U112" s="268"/>
      <c r="V112" s="268"/>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4"/>
  <sheetViews>
    <sheetView topLeftCell="A7" workbookViewId="0">
      <pane xSplit="8" ySplit="5" topLeftCell="CN38"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29" customWidth="1"/>
    <col min="2" max="2" width="8.42578125" style="229" customWidth="1"/>
    <col min="3" max="3" width="7.42578125" style="229" customWidth="1"/>
    <col min="4" max="4" width="8.42578125" style="229" customWidth="1"/>
    <col min="5" max="5" width="37.28515625" style="229" customWidth="1"/>
    <col min="6" max="6" width="12.7109375" style="229" customWidth="1"/>
    <col min="7" max="8" width="5.85546875" style="230" customWidth="1"/>
    <col min="9" max="9" width="4.85546875" style="229" customWidth="1"/>
    <col min="10" max="10" width="12.5703125" style="229" customWidth="1"/>
    <col min="11" max="11" width="12.28515625" style="229" customWidth="1"/>
    <col min="12" max="12" width="12.85546875" style="229" customWidth="1"/>
    <col min="13" max="13" width="12.7109375" style="229" customWidth="1"/>
    <col min="14" max="14" width="12.85546875" style="229" customWidth="1"/>
    <col min="15" max="15" width="12.7109375" style="229" customWidth="1"/>
    <col min="16" max="16" width="11.85546875" style="229" customWidth="1"/>
    <col min="17" max="17" width="5" style="229" customWidth="1"/>
    <col min="18" max="18" width="11.28515625" style="229" customWidth="1"/>
    <col min="19" max="19" width="11.42578125" style="229" customWidth="1"/>
    <col min="20" max="20" width="13.140625" style="229" customWidth="1"/>
    <col min="21" max="21" width="6" style="229" customWidth="1"/>
    <col min="22" max="22" width="13.5703125" style="229" customWidth="1"/>
    <col min="23" max="23" width="13.42578125" style="229" customWidth="1"/>
    <col min="24" max="24" width="6.5703125" style="229" customWidth="1"/>
    <col min="25" max="25" width="6.42578125" style="229" customWidth="1"/>
    <col min="26" max="26" width="9.5703125" style="229" customWidth="1"/>
    <col min="27" max="27" width="9.42578125" style="229" customWidth="1"/>
    <col min="28" max="29" width="11.28515625" style="229" customWidth="1"/>
    <col min="30" max="30" width="5.28515625" style="229" customWidth="1"/>
    <col min="31" max="31" width="15" style="229" customWidth="1"/>
    <col min="32" max="32" width="5.28515625" style="229" customWidth="1"/>
    <col min="33" max="33" width="15" style="229" customWidth="1"/>
    <col min="34" max="34" width="4.85546875" style="229" customWidth="1"/>
    <col min="35" max="35" width="13.85546875" style="229" customWidth="1"/>
    <col min="36" max="36" width="11.5703125" style="229" customWidth="1"/>
    <col min="37" max="37" width="5.7109375" style="229" customWidth="1"/>
    <col min="38" max="38" width="12.42578125" style="229" customWidth="1"/>
    <col min="39" max="39" width="10.85546875" style="229" customWidth="1"/>
    <col min="40" max="40" width="9.85546875" style="229" customWidth="1"/>
    <col min="41" max="41" width="9.7109375" style="229" customWidth="1"/>
    <col min="42" max="42" width="13.140625" style="229" customWidth="1"/>
    <col min="43" max="43" width="12.5703125" style="229" customWidth="1"/>
    <col min="44" max="45" width="14.28515625" style="229" customWidth="1"/>
    <col min="46" max="46" width="7" style="229" customWidth="1"/>
    <col min="47" max="47" width="7.5703125" style="229" customWidth="1"/>
    <col min="48" max="48" width="4.7109375" style="229" customWidth="1"/>
    <col min="49" max="49" width="9.5703125" style="229" customWidth="1"/>
    <col min="50" max="51" width="12.28515625" style="229" customWidth="1"/>
    <col min="52" max="52" width="15.7109375" style="229" customWidth="1"/>
    <col min="53" max="53" width="15.85546875" style="229" customWidth="1"/>
    <col min="54" max="16384" width="9.140625" style="229"/>
  </cols>
  <sheetData>
    <row r="1" spans="1:105" ht="12.75" customHeight="1">
      <c r="A1" s="225"/>
      <c r="B1" s="226" t="s">
        <v>121</v>
      </c>
      <c r="C1" s="227"/>
      <c r="D1" s="227"/>
      <c r="E1" s="228"/>
      <c r="I1" s="227"/>
      <c r="M1" s="1398" t="str">
        <f>'SC-I'!M1:S1</f>
        <v>Mẫu số S01-DN</v>
      </c>
      <c r="N1" s="1398"/>
      <c r="O1" s="1398"/>
      <c r="P1" s="1398"/>
      <c r="Q1" s="1398"/>
      <c r="R1" s="1398"/>
      <c r="S1" s="1398"/>
      <c r="X1" s="227"/>
      <c r="Y1" s="227"/>
      <c r="Z1" s="227"/>
      <c r="AA1" s="227"/>
      <c r="AB1" s="228"/>
      <c r="AC1" s="228"/>
      <c r="AD1" s="228"/>
      <c r="AE1" s="228"/>
      <c r="AF1" s="228"/>
      <c r="AG1" s="228"/>
      <c r="AH1" s="228"/>
      <c r="AI1" s="228"/>
      <c r="AJ1" s="228"/>
      <c r="AK1" s="228"/>
      <c r="AL1" s="227"/>
      <c r="AM1" s="227"/>
      <c r="AN1" s="227"/>
      <c r="AO1" s="227"/>
      <c r="AP1" s="227"/>
      <c r="AQ1" s="227"/>
      <c r="AR1" s="227"/>
      <c r="AS1" s="227"/>
      <c r="AT1" s="227"/>
      <c r="AU1" s="227"/>
      <c r="AV1" s="227"/>
      <c r="AW1" s="227"/>
      <c r="AX1" s="227"/>
      <c r="AY1" s="227"/>
      <c r="AZ1" s="227"/>
      <c r="BA1" s="227"/>
    </row>
    <row r="2" spans="1:105" ht="12.75" customHeight="1">
      <c r="A2" s="225"/>
      <c r="B2" s="226" t="s">
        <v>176</v>
      </c>
      <c r="C2" s="227"/>
      <c r="D2" s="227"/>
      <c r="E2" s="227"/>
      <c r="I2" s="231"/>
      <c r="M2" s="1399" t="str">
        <f>'SC-I'!M2:S3</f>
        <v>(Ban hành theo Thông tư số 200/2014/TT-BTC 
 Ngày 22/12/2014 của Bộ Tài chính)</v>
      </c>
      <c r="N2" s="1399"/>
      <c r="O2" s="1399"/>
      <c r="P2" s="1399"/>
      <c r="Q2" s="1399"/>
      <c r="R2" s="1399"/>
      <c r="S2" s="1399"/>
      <c r="X2" s="231"/>
      <c r="Y2" s="231"/>
      <c r="Z2" s="231"/>
      <c r="AA2" s="231"/>
      <c r="AB2" s="232"/>
      <c r="AC2" s="232"/>
      <c r="AD2" s="232"/>
      <c r="AE2" s="232"/>
      <c r="AF2" s="232"/>
      <c r="AG2" s="232"/>
      <c r="AH2" s="232"/>
      <c r="AI2" s="232"/>
      <c r="AJ2" s="232"/>
      <c r="AK2" s="232"/>
      <c r="AL2" s="231"/>
      <c r="AM2" s="231"/>
      <c r="AN2" s="231"/>
      <c r="AO2" s="231"/>
      <c r="AP2" s="231"/>
      <c r="AQ2" s="231"/>
      <c r="AR2" s="231"/>
      <c r="AS2" s="231"/>
      <c r="AT2" s="231"/>
      <c r="AU2" s="231"/>
      <c r="AV2" s="231"/>
      <c r="AW2" s="231"/>
      <c r="AX2" s="231"/>
      <c r="AY2" s="231"/>
      <c r="AZ2" s="231"/>
      <c r="BA2" s="231"/>
    </row>
    <row r="3" spans="1:105" ht="10.5" customHeight="1">
      <c r="A3" s="227"/>
      <c r="B3" s="227"/>
      <c r="C3" s="227"/>
      <c r="D3" s="227"/>
      <c r="E3" s="227"/>
      <c r="F3" s="231"/>
      <c r="G3" s="233"/>
      <c r="H3" s="233"/>
      <c r="I3" s="231"/>
      <c r="M3" s="1399"/>
      <c r="N3" s="1399"/>
      <c r="O3" s="1399"/>
      <c r="P3" s="1399"/>
      <c r="Q3" s="1399"/>
      <c r="R3" s="1399"/>
      <c r="S3" s="1399"/>
      <c r="X3" s="231"/>
      <c r="Y3" s="231"/>
      <c r="Z3" s="231"/>
      <c r="AA3" s="231"/>
      <c r="AB3" s="232"/>
      <c r="AC3" s="232"/>
      <c r="AD3" s="232"/>
      <c r="AE3" s="232"/>
      <c r="AF3" s="232"/>
      <c r="AG3" s="232"/>
      <c r="AH3" s="232"/>
      <c r="AI3" s="232"/>
      <c r="AJ3" s="232"/>
      <c r="AK3" s="232"/>
      <c r="AL3" s="231"/>
      <c r="AM3" s="231"/>
      <c r="AN3" s="231"/>
      <c r="AO3" s="231"/>
      <c r="AP3" s="231"/>
      <c r="AQ3" s="231"/>
      <c r="AR3" s="231"/>
      <c r="AS3" s="231"/>
      <c r="AT3" s="231"/>
      <c r="AU3" s="231"/>
      <c r="AV3" s="231"/>
      <c r="AW3" s="231"/>
      <c r="AX3" s="231"/>
      <c r="AY3" s="231"/>
      <c r="AZ3" s="231"/>
      <c r="BA3" s="231"/>
    </row>
    <row r="4" spans="1:105" ht="19.5" customHeight="1">
      <c r="B4" s="1400" t="s">
        <v>112</v>
      </c>
      <c r="C4" s="1400"/>
      <c r="D4" s="1400"/>
      <c r="E4" s="1400"/>
      <c r="F4" s="1400"/>
      <c r="G4" s="1400"/>
      <c r="H4" s="1400"/>
      <c r="I4" s="1400"/>
      <c r="J4" s="1400"/>
      <c r="K4" s="1400"/>
      <c r="L4" s="1400"/>
      <c r="M4" s="1400"/>
      <c r="N4" s="1400"/>
      <c r="O4" s="1400"/>
      <c r="P4" s="1400"/>
      <c r="Q4" s="1400"/>
      <c r="R4" s="1400"/>
      <c r="S4" s="234"/>
      <c r="T4" s="234"/>
      <c r="U4" s="234"/>
      <c r="V4" s="234"/>
      <c r="W4" s="234"/>
      <c r="X4" s="235"/>
      <c r="Y4" s="235"/>
      <c r="Z4" s="236"/>
      <c r="AA4" s="236"/>
      <c r="AB4" s="234"/>
      <c r="AC4" s="234"/>
      <c r="AD4" s="234"/>
      <c r="AE4" s="234"/>
      <c r="AF4" s="234"/>
      <c r="AG4" s="234"/>
      <c r="AH4" s="234"/>
      <c r="AI4" s="234"/>
      <c r="AJ4" s="234"/>
      <c r="AK4" s="234"/>
      <c r="AL4" s="236"/>
      <c r="AM4" s="236"/>
      <c r="AN4" s="236"/>
      <c r="AO4" s="236"/>
      <c r="AP4" s="236"/>
      <c r="AQ4" s="236"/>
      <c r="AR4" s="236"/>
      <c r="AS4" s="236"/>
      <c r="AT4" s="236"/>
      <c r="AU4" s="236"/>
      <c r="AV4" s="236"/>
      <c r="AW4" s="236"/>
      <c r="AX4" s="236"/>
      <c r="AY4" s="236"/>
      <c r="AZ4" s="236"/>
      <c r="BA4" s="236"/>
    </row>
    <row r="5" spans="1:105" ht="15">
      <c r="B5" s="1401" t="s">
        <v>216</v>
      </c>
      <c r="C5" s="1401"/>
      <c r="D5" s="1401"/>
      <c r="E5" s="1401"/>
      <c r="F5" s="1401"/>
      <c r="G5" s="1401"/>
      <c r="H5" s="1401"/>
      <c r="I5" s="1401"/>
      <c r="J5" s="1401"/>
      <c r="K5" s="1401"/>
      <c r="L5" s="1401"/>
      <c r="M5" s="1401"/>
      <c r="N5" s="1401"/>
      <c r="O5" s="1401"/>
      <c r="P5" s="1401"/>
      <c r="Q5" s="1401"/>
      <c r="R5" s="1401"/>
      <c r="S5" s="237"/>
      <c r="T5" s="237"/>
      <c r="U5" s="237"/>
      <c r="V5" s="237"/>
      <c r="W5" s="237"/>
      <c r="X5" s="238"/>
      <c r="Y5" s="238"/>
      <c r="AB5" s="237"/>
      <c r="AC5" s="237"/>
      <c r="AD5" s="237"/>
      <c r="AE5" s="237"/>
      <c r="AF5" s="237"/>
      <c r="AG5" s="237"/>
      <c r="AH5" s="237"/>
      <c r="AI5" s="237"/>
      <c r="AJ5" s="237"/>
      <c r="AK5" s="237"/>
    </row>
    <row r="6" spans="1:105">
      <c r="P6" s="229" t="s">
        <v>147</v>
      </c>
    </row>
    <row r="7" spans="1:105" ht="13.5" customHeight="1">
      <c r="A7" s="1402" t="s">
        <v>37</v>
      </c>
      <c r="B7" s="1397" t="s">
        <v>22</v>
      </c>
      <c r="C7" s="1404" t="s">
        <v>1</v>
      </c>
      <c r="D7" s="1405"/>
      <c r="E7" s="1397" t="s">
        <v>0</v>
      </c>
      <c r="F7" s="1397" t="s">
        <v>113</v>
      </c>
      <c r="G7" s="1406" t="s">
        <v>114</v>
      </c>
      <c r="H7" s="1406"/>
      <c r="I7" s="1407" t="s">
        <v>37</v>
      </c>
      <c r="J7" s="1397" t="s">
        <v>189</v>
      </c>
      <c r="K7" s="1397"/>
      <c r="L7" s="1397" t="s">
        <v>190</v>
      </c>
      <c r="M7" s="1397"/>
      <c r="N7" s="1397" t="s">
        <v>258</v>
      </c>
      <c r="O7" s="1397"/>
      <c r="P7" s="1397" t="s">
        <v>596</v>
      </c>
      <c r="Q7" s="1397"/>
      <c r="R7" s="1397" t="s">
        <v>191</v>
      </c>
      <c r="S7" s="1397"/>
      <c r="T7" s="1397" t="s">
        <v>192</v>
      </c>
      <c r="U7" s="1397"/>
      <c r="V7" s="1397" t="s">
        <v>597</v>
      </c>
      <c r="W7" s="1397"/>
      <c r="X7" s="1397" t="s">
        <v>598</v>
      </c>
      <c r="Y7" s="1397"/>
      <c r="Z7" s="1397" t="s">
        <v>599</v>
      </c>
      <c r="AA7" s="1397"/>
      <c r="AB7" s="1397" t="s">
        <v>600</v>
      </c>
      <c r="AC7" s="1397"/>
      <c r="AD7" s="1397" t="s">
        <v>601</v>
      </c>
      <c r="AE7" s="1397"/>
      <c r="AF7" s="1397" t="s">
        <v>602</v>
      </c>
      <c r="AG7" s="1397"/>
      <c r="AH7" s="1397" t="s">
        <v>603</v>
      </c>
      <c r="AI7" s="1397"/>
      <c r="AJ7" s="1397" t="s">
        <v>604</v>
      </c>
      <c r="AK7" s="1397"/>
      <c r="AL7" s="1397" t="s">
        <v>605</v>
      </c>
      <c r="AM7" s="1397"/>
      <c r="AN7" s="1397" t="s">
        <v>606</v>
      </c>
      <c r="AO7" s="1397"/>
      <c r="AP7" s="1397" t="s">
        <v>607</v>
      </c>
      <c r="AQ7" s="1397"/>
      <c r="AR7" s="1397" t="s">
        <v>608</v>
      </c>
      <c r="AS7" s="1397"/>
      <c r="AT7" s="1397" t="s">
        <v>193</v>
      </c>
      <c r="AU7" s="1397"/>
      <c r="AV7" s="1397" t="s">
        <v>194</v>
      </c>
      <c r="AW7" s="1397"/>
      <c r="AX7" s="1397" t="s">
        <v>609</v>
      </c>
      <c r="AY7" s="1397"/>
      <c r="AZ7" s="1397" t="s">
        <v>610</v>
      </c>
      <c r="BA7" s="1397"/>
      <c r="BB7" s="1397" t="s">
        <v>611</v>
      </c>
      <c r="BC7" s="1397"/>
      <c r="BD7" s="1397" t="s">
        <v>195</v>
      </c>
      <c r="BE7" s="1397"/>
      <c r="BF7" s="1397" t="s">
        <v>612</v>
      </c>
      <c r="BG7" s="1397"/>
      <c r="BH7" s="1397" t="s">
        <v>196</v>
      </c>
      <c r="BI7" s="1397"/>
      <c r="BJ7" s="1397" t="s">
        <v>613</v>
      </c>
      <c r="BK7" s="1397"/>
      <c r="BL7" s="1397" t="s">
        <v>614</v>
      </c>
      <c r="BM7" s="1397"/>
      <c r="BN7" s="1397" t="s">
        <v>615</v>
      </c>
      <c r="BO7" s="1397"/>
      <c r="BP7" s="1397" t="s">
        <v>616</v>
      </c>
      <c r="BQ7" s="1397"/>
      <c r="BR7" s="1397" t="s">
        <v>197</v>
      </c>
      <c r="BS7" s="1397"/>
      <c r="BT7" s="1397" t="s">
        <v>198</v>
      </c>
      <c r="BU7" s="1397"/>
      <c r="BV7" s="1397" t="s">
        <v>253</v>
      </c>
      <c r="BW7" s="1397"/>
      <c r="BX7" s="1397" t="s">
        <v>199</v>
      </c>
      <c r="BY7" s="1397"/>
      <c r="BZ7" s="1397" t="s">
        <v>200</v>
      </c>
      <c r="CA7" s="1397"/>
      <c r="CB7" s="1397" t="s">
        <v>201</v>
      </c>
      <c r="CC7" s="1397"/>
      <c r="CD7" s="1397" t="s">
        <v>617</v>
      </c>
      <c r="CE7" s="1397"/>
      <c r="CF7" s="1397" t="s">
        <v>618</v>
      </c>
      <c r="CG7" s="1397"/>
      <c r="CH7" s="1397" t="s">
        <v>202</v>
      </c>
      <c r="CI7" s="1397"/>
      <c r="CJ7" s="1397" t="s">
        <v>619</v>
      </c>
      <c r="CK7" s="1397"/>
      <c r="CL7" s="1397" t="s">
        <v>620</v>
      </c>
      <c r="CM7" s="1397"/>
      <c r="CN7" s="1397" t="s">
        <v>203</v>
      </c>
      <c r="CO7" s="1397"/>
      <c r="CP7" s="1397" t="s">
        <v>621</v>
      </c>
      <c r="CQ7" s="1397"/>
      <c r="CR7" s="1397" t="s">
        <v>204</v>
      </c>
      <c r="CS7" s="1397"/>
      <c r="CT7" s="1397" t="s">
        <v>205</v>
      </c>
      <c r="CU7" s="1397"/>
      <c r="CV7" s="1397" t="s">
        <v>206</v>
      </c>
      <c r="CW7" s="1397"/>
      <c r="CX7" s="1397" t="s">
        <v>207</v>
      </c>
      <c r="CY7" s="1397"/>
      <c r="CZ7" s="1397" t="s">
        <v>208</v>
      </c>
      <c r="DA7" s="1397"/>
    </row>
    <row r="8" spans="1:105" ht="22.5" customHeight="1">
      <c r="A8" s="1403"/>
      <c r="B8" s="1397"/>
      <c r="C8" s="745" t="s">
        <v>17</v>
      </c>
      <c r="D8" s="744" t="s">
        <v>34</v>
      </c>
      <c r="E8" s="1397"/>
      <c r="F8" s="1397"/>
      <c r="G8" s="746" t="s">
        <v>24</v>
      </c>
      <c r="H8" s="746" t="s">
        <v>25</v>
      </c>
      <c r="I8" s="1407"/>
      <c r="J8" s="744" t="s">
        <v>24</v>
      </c>
      <c r="K8" s="744" t="s">
        <v>25</v>
      </c>
      <c r="L8" s="744" t="s">
        <v>24</v>
      </c>
      <c r="M8" s="744" t="s">
        <v>25</v>
      </c>
      <c r="N8" s="744" t="s">
        <v>24</v>
      </c>
      <c r="O8" s="744" t="s">
        <v>25</v>
      </c>
      <c r="P8" s="744" t="s">
        <v>24</v>
      </c>
      <c r="Q8" s="744" t="s">
        <v>25</v>
      </c>
      <c r="R8" s="744" t="s">
        <v>24</v>
      </c>
      <c r="S8" s="744" t="s">
        <v>25</v>
      </c>
      <c r="T8" s="744" t="s">
        <v>24</v>
      </c>
      <c r="U8" s="744" t="s">
        <v>25</v>
      </c>
      <c r="V8" s="744" t="s">
        <v>24</v>
      </c>
      <c r="W8" s="744" t="s">
        <v>25</v>
      </c>
      <c r="X8" s="744" t="s">
        <v>24</v>
      </c>
      <c r="Y8" s="744" t="s">
        <v>25</v>
      </c>
      <c r="Z8" s="744" t="s">
        <v>24</v>
      </c>
      <c r="AA8" s="744" t="s">
        <v>25</v>
      </c>
      <c r="AB8" s="744" t="s">
        <v>24</v>
      </c>
      <c r="AC8" s="744" t="s">
        <v>25</v>
      </c>
      <c r="AD8" s="744" t="s">
        <v>24</v>
      </c>
      <c r="AE8" s="744" t="s">
        <v>25</v>
      </c>
      <c r="AF8" s="744" t="s">
        <v>24</v>
      </c>
      <c r="AG8" s="744" t="s">
        <v>25</v>
      </c>
      <c r="AH8" s="744" t="s">
        <v>24</v>
      </c>
      <c r="AI8" s="744" t="s">
        <v>25</v>
      </c>
      <c r="AJ8" s="744" t="s">
        <v>24</v>
      </c>
      <c r="AK8" s="744" t="s">
        <v>25</v>
      </c>
      <c r="AL8" s="744" t="s">
        <v>24</v>
      </c>
      <c r="AM8" s="744" t="s">
        <v>25</v>
      </c>
      <c r="AN8" s="744" t="s">
        <v>24</v>
      </c>
      <c r="AO8" s="744" t="s">
        <v>25</v>
      </c>
      <c r="AP8" s="744" t="s">
        <v>24</v>
      </c>
      <c r="AQ8" s="744" t="s">
        <v>25</v>
      </c>
      <c r="AR8" s="744" t="s">
        <v>24</v>
      </c>
      <c r="AS8" s="744" t="s">
        <v>25</v>
      </c>
      <c r="AT8" s="744" t="s">
        <v>24</v>
      </c>
      <c r="AU8" s="744" t="s">
        <v>25</v>
      </c>
      <c r="AV8" s="744" t="s">
        <v>24</v>
      </c>
      <c r="AW8" s="744" t="s">
        <v>25</v>
      </c>
      <c r="AX8" s="744" t="s">
        <v>24</v>
      </c>
      <c r="AY8" s="744" t="s">
        <v>25</v>
      </c>
      <c r="AZ8" s="744" t="s">
        <v>24</v>
      </c>
      <c r="BA8" s="744" t="s">
        <v>25</v>
      </c>
      <c r="BB8" s="744" t="s">
        <v>24</v>
      </c>
      <c r="BC8" s="744" t="s">
        <v>25</v>
      </c>
      <c r="BD8" s="744" t="s">
        <v>24</v>
      </c>
      <c r="BE8" s="744" t="s">
        <v>25</v>
      </c>
      <c r="BF8" s="744" t="s">
        <v>24</v>
      </c>
      <c r="BG8" s="744" t="s">
        <v>25</v>
      </c>
      <c r="BH8" s="744" t="s">
        <v>24</v>
      </c>
      <c r="BI8" s="744" t="s">
        <v>25</v>
      </c>
      <c r="BJ8" s="744" t="s">
        <v>24</v>
      </c>
      <c r="BK8" s="744" t="s">
        <v>25</v>
      </c>
      <c r="BL8" s="744" t="s">
        <v>24</v>
      </c>
      <c r="BM8" s="744" t="s">
        <v>25</v>
      </c>
      <c r="BN8" s="744" t="s">
        <v>24</v>
      </c>
      <c r="BO8" s="744" t="s">
        <v>25</v>
      </c>
      <c r="BP8" s="744" t="s">
        <v>24</v>
      </c>
      <c r="BQ8" s="744" t="s">
        <v>25</v>
      </c>
      <c r="BR8" s="744" t="s">
        <v>24</v>
      </c>
      <c r="BS8" s="744" t="s">
        <v>25</v>
      </c>
      <c r="BT8" s="744" t="s">
        <v>24</v>
      </c>
      <c r="BU8" s="744" t="s">
        <v>25</v>
      </c>
      <c r="BV8" s="744" t="s">
        <v>24</v>
      </c>
      <c r="BW8" s="744" t="s">
        <v>25</v>
      </c>
      <c r="BX8" s="744" t="s">
        <v>24</v>
      </c>
      <c r="BY8" s="744" t="s">
        <v>25</v>
      </c>
      <c r="BZ8" s="744" t="s">
        <v>24</v>
      </c>
      <c r="CA8" s="744" t="s">
        <v>25</v>
      </c>
      <c r="CB8" s="744" t="s">
        <v>24</v>
      </c>
      <c r="CC8" s="744" t="s">
        <v>25</v>
      </c>
      <c r="CD8" s="744" t="s">
        <v>24</v>
      </c>
      <c r="CE8" s="744" t="s">
        <v>25</v>
      </c>
      <c r="CF8" s="744" t="s">
        <v>24</v>
      </c>
      <c r="CG8" s="744" t="s">
        <v>25</v>
      </c>
      <c r="CH8" s="744" t="s">
        <v>24</v>
      </c>
      <c r="CI8" s="744" t="s">
        <v>25</v>
      </c>
      <c r="CJ8" s="744" t="s">
        <v>24</v>
      </c>
      <c r="CK8" s="744" t="s">
        <v>25</v>
      </c>
      <c r="CL8" s="744" t="s">
        <v>24</v>
      </c>
      <c r="CM8" s="744" t="s">
        <v>25</v>
      </c>
      <c r="CN8" s="744" t="s">
        <v>24</v>
      </c>
      <c r="CO8" s="744" t="s">
        <v>25</v>
      </c>
      <c r="CP8" s="744" t="s">
        <v>24</v>
      </c>
      <c r="CQ8" s="744" t="s">
        <v>25</v>
      </c>
      <c r="CR8" s="744" t="s">
        <v>24</v>
      </c>
      <c r="CS8" s="744" t="s">
        <v>25</v>
      </c>
      <c r="CT8" s="744" t="s">
        <v>24</v>
      </c>
      <c r="CU8" s="744" t="s">
        <v>25</v>
      </c>
      <c r="CV8" s="744" t="s">
        <v>24</v>
      </c>
      <c r="CW8" s="744" t="s">
        <v>25</v>
      </c>
      <c r="CX8" s="744" t="s">
        <v>24</v>
      </c>
      <c r="CY8" s="744" t="s">
        <v>25</v>
      </c>
      <c r="CZ8" s="744" t="s">
        <v>24</v>
      </c>
      <c r="DA8" s="744" t="s">
        <v>25</v>
      </c>
    </row>
    <row r="9" spans="1:105" s="240" customFormat="1" ht="8.25" customHeight="1">
      <c r="A9" s="239">
        <v>1</v>
      </c>
      <c r="B9" s="239">
        <v>2</v>
      </c>
      <c r="C9" s="239">
        <v>3</v>
      </c>
      <c r="D9" s="239">
        <v>4</v>
      </c>
      <c r="E9" s="239">
        <v>5</v>
      </c>
      <c r="F9" s="239">
        <v>6</v>
      </c>
      <c r="G9" s="239">
        <v>7</v>
      </c>
      <c r="H9" s="239">
        <v>8</v>
      </c>
      <c r="I9" s="239">
        <v>9</v>
      </c>
      <c r="J9" s="239">
        <v>10</v>
      </c>
      <c r="K9" s="239">
        <v>11</v>
      </c>
      <c r="L9" s="239">
        <v>12</v>
      </c>
      <c r="M9" s="239">
        <v>13</v>
      </c>
      <c r="N9" s="239">
        <v>14</v>
      </c>
      <c r="O9" s="239">
        <v>15</v>
      </c>
      <c r="P9" s="239">
        <v>16</v>
      </c>
      <c r="Q9" s="239">
        <v>17</v>
      </c>
      <c r="R9" s="239">
        <v>18</v>
      </c>
      <c r="S9" s="239">
        <v>19</v>
      </c>
      <c r="T9" s="239">
        <v>20</v>
      </c>
      <c r="U9" s="239">
        <v>21</v>
      </c>
      <c r="V9" s="239">
        <v>22</v>
      </c>
      <c r="W9" s="239">
        <v>23</v>
      </c>
      <c r="X9" s="239">
        <v>24</v>
      </c>
      <c r="Y9" s="239">
        <v>25</v>
      </c>
      <c r="Z9" s="239">
        <v>26</v>
      </c>
      <c r="AA9" s="239">
        <v>27</v>
      </c>
      <c r="AB9" s="239">
        <v>28</v>
      </c>
      <c r="AC9" s="239">
        <v>29</v>
      </c>
      <c r="AD9" s="239">
        <v>30</v>
      </c>
      <c r="AE9" s="239">
        <v>31</v>
      </c>
      <c r="AF9" s="239">
        <v>32</v>
      </c>
      <c r="AG9" s="239">
        <v>33</v>
      </c>
      <c r="AH9" s="239">
        <v>34</v>
      </c>
      <c r="AI9" s="239">
        <v>35</v>
      </c>
      <c r="AJ9" s="239">
        <v>36</v>
      </c>
      <c r="AK9" s="239">
        <v>37</v>
      </c>
      <c r="AL9" s="239">
        <v>38</v>
      </c>
      <c r="AM9" s="239">
        <v>39</v>
      </c>
      <c r="AN9" s="239">
        <v>40</v>
      </c>
      <c r="AO9" s="239">
        <v>41</v>
      </c>
      <c r="AP9" s="239">
        <v>42</v>
      </c>
      <c r="AQ9" s="239">
        <v>43</v>
      </c>
      <c r="AR9" s="239">
        <v>44</v>
      </c>
      <c r="AS9" s="239">
        <v>45</v>
      </c>
      <c r="AT9" s="239">
        <v>46</v>
      </c>
      <c r="AU9" s="239">
        <v>47</v>
      </c>
      <c r="AV9" s="239">
        <v>48</v>
      </c>
      <c r="AW9" s="239">
        <v>49</v>
      </c>
      <c r="AX9" s="239">
        <v>50</v>
      </c>
      <c r="AY9" s="239">
        <v>51</v>
      </c>
      <c r="AZ9" s="239">
        <v>52</v>
      </c>
      <c r="BA9" s="239">
        <v>53</v>
      </c>
      <c r="BB9" s="239">
        <v>54</v>
      </c>
      <c r="BC9" s="239">
        <v>55</v>
      </c>
      <c r="BD9" s="239">
        <v>56</v>
      </c>
      <c r="BE9" s="239">
        <v>57</v>
      </c>
      <c r="BF9" s="239">
        <v>58</v>
      </c>
      <c r="BG9" s="239">
        <v>59</v>
      </c>
      <c r="BH9" s="239">
        <v>60</v>
      </c>
      <c r="BI9" s="239">
        <v>61</v>
      </c>
      <c r="BJ9" s="239">
        <v>62</v>
      </c>
      <c r="BK9" s="239">
        <v>63</v>
      </c>
      <c r="BL9" s="239">
        <v>64</v>
      </c>
      <c r="BM9" s="239">
        <v>65</v>
      </c>
      <c r="BN9" s="239">
        <v>66</v>
      </c>
      <c r="BO9" s="239">
        <v>67</v>
      </c>
      <c r="BP9" s="239">
        <v>68</v>
      </c>
      <c r="BQ9" s="239">
        <v>69</v>
      </c>
      <c r="BR9" s="239">
        <v>70</v>
      </c>
      <c r="BS9" s="239">
        <v>71</v>
      </c>
      <c r="BT9" s="239">
        <v>72</v>
      </c>
      <c r="BU9" s="239">
        <v>73</v>
      </c>
      <c r="BV9" s="239">
        <v>72</v>
      </c>
      <c r="BW9" s="239">
        <v>73</v>
      </c>
      <c r="BX9" s="239">
        <v>74</v>
      </c>
      <c r="BY9" s="239">
        <v>75</v>
      </c>
      <c r="BZ9" s="239">
        <v>76</v>
      </c>
      <c r="CA9" s="239">
        <v>77</v>
      </c>
      <c r="CB9" s="239">
        <v>78</v>
      </c>
      <c r="CC9" s="239">
        <v>79</v>
      </c>
      <c r="CD9" s="239">
        <v>80</v>
      </c>
      <c r="CE9" s="239">
        <v>81</v>
      </c>
      <c r="CF9" s="239">
        <v>82</v>
      </c>
      <c r="CG9" s="239">
        <v>83</v>
      </c>
      <c r="CH9" s="239">
        <v>84</v>
      </c>
      <c r="CI9" s="239">
        <v>85</v>
      </c>
      <c r="CJ9" s="239">
        <v>86</v>
      </c>
      <c r="CK9" s="239">
        <v>87</v>
      </c>
      <c r="CL9" s="239">
        <v>88</v>
      </c>
      <c r="CM9" s="239">
        <v>89</v>
      </c>
      <c r="CN9" s="239">
        <v>90</v>
      </c>
      <c r="CO9" s="239">
        <v>91</v>
      </c>
      <c r="CP9" s="239">
        <v>92</v>
      </c>
      <c r="CQ9" s="239">
        <v>93</v>
      </c>
      <c r="CR9" s="239">
        <v>94</v>
      </c>
      <c r="CS9" s="239">
        <v>95</v>
      </c>
      <c r="CT9" s="239">
        <v>96</v>
      </c>
      <c r="CU9" s="239">
        <v>97</v>
      </c>
      <c r="CV9" s="239">
        <v>98</v>
      </c>
      <c r="CW9" s="239">
        <v>99</v>
      </c>
      <c r="CX9" s="239">
        <v>100</v>
      </c>
      <c r="CY9" s="239">
        <v>101</v>
      </c>
      <c r="CZ9" s="239">
        <v>102</v>
      </c>
      <c r="DA9" s="239">
        <v>103</v>
      </c>
    </row>
    <row r="10" spans="1:105" s="248" customFormat="1" ht="12.75" customHeight="1">
      <c r="A10" s="58" t="str">
        <f t="array" ref="A10">IF(C10&lt;&gt;0,SUM(($C10:C$16&lt;&gt;0)*1),"")</f>
        <v/>
      </c>
      <c r="B10" s="241"/>
      <c r="C10" s="242"/>
      <c r="D10" s="241"/>
      <c r="E10" s="243" t="s">
        <v>209</v>
      </c>
      <c r="F10" s="244"/>
      <c r="G10" s="245"/>
      <c r="H10" s="245"/>
      <c r="I10" s="246"/>
      <c r="J10" s="247">
        <f ca="1">'SC-I'!J53</f>
        <v>667384522</v>
      </c>
      <c r="K10" s="247">
        <f ca="1">'SC-I'!K53</f>
        <v>0</v>
      </c>
      <c r="L10" s="247">
        <f ca="1">'SC-I'!L53</f>
        <v>9382419</v>
      </c>
      <c r="M10" s="247">
        <f ca="1">'SC-I'!M53</f>
        <v>0</v>
      </c>
      <c r="N10" s="247">
        <f ca="1">'SC-I'!N53</f>
        <v>5679984</v>
      </c>
      <c r="O10" s="247">
        <f ca="1">'SC-I'!O53</f>
        <v>0</v>
      </c>
      <c r="P10" s="247">
        <f ca="1">'SC-I'!P53</f>
        <v>57038792896</v>
      </c>
      <c r="Q10" s="247">
        <f ca="1">'SC-I'!Q53</f>
        <v>0</v>
      </c>
      <c r="R10" s="247">
        <f ca="1">'SC-I'!R53</f>
        <v>518470991</v>
      </c>
      <c r="S10" s="247">
        <f ca="1">'SC-I'!S53</f>
        <v>0</v>
      </c>
      <c r="T10" s="247">
        <f ca="1">'SC-I'!T53</f>
        <v>0</v>
      </c>
      <c r="U10" s="247">
        <f ca="1">'SC-I'!U53</f>
        <v>0</v>
      </c>
      <c r="V10" s="247">
        <f ca="1">'SC-I'!V53</f>
        <v>0</v>
      </c>
      <c r="W10" s="247">
        <f ca="1">'SC-I'!W53</f>
        <v>0</v>
      </c>
      <c r="X10" s="247">
        <f ca="1">'SC-I'!X53</f>
        <v>0</v>
      </c>
      <c r="Y10" s="247">
        <f ca="1">'SC-I'!Y53</f>
        <v>0</v>
      </c>
      <c r="Z10" s="247">
        <f ca="1">'SC-I'!Z53</f>
        <v>351991443</v>
      </c>
      <c r="AA10" s="247">
        <f ca="1">'SC-I'!AA53</f>
        <v>0</v>
      </c>
      <c r="AB10" s="247">
        <f ca="1">'SC-I'!AB53</f>
        <v>49990909</v>
      </c>
      <c r="AC10" s="247">
        <f ca="1">'SC-I'!AC53</f>
        <v>0</v>
      </c>
      <c r="AD10" s="247">
        <f ca="1">'SC-I'!AD53</f>
        <v>1450841000</v>
      </c>
      <c r="AE10" s="247">
        <f ca="1">'SC-I'!AE53</f>
        <v>0</v>
      </c>
      <c r="AF10" s="247">
        <f ca="1">'SC-I'!AF53</f>
        <v>3468509299</v>
      </c>
      <c r="AG10" s="247">
        <f ca="1">'SC-I'!AG53</f>
        <v>0</v>
      </c>
      <c r="AH10" s="247">
        <f ca="1">'SC-I'!AH53</f>
        <v>7770361541</v>
      </c>
      <c r="AI10" s="247">
        <f ca="1">'SC-I'!AI53</f>
        <v>0</v>
      </c>
      <c r="AJ10" s="247">
        <f ca="1">'SC-I'!AJ53</f>
        <v>3807898863</v>
      </c>
      <c r="AK10" s="247">
        <f ca="1">'SC-I'!AK53</f>
        <v>0</v>
      </c>
      <c r="AL10" s="247">
        <f ca="1">'SC-I'!AL53</f>
        <v>3790918485</v>
      </c>
      <c r="AM10" s="247">
        <f ca="1">'SC-I'!AM53</f>
        <v>0</v>
      </c>
      <c r="AN10" s="247">
        <f ca="1">'SC-I'!AN53</f>
        <v>5405781300</v>
      </c>
      <c r="AO10" s="247">
        <f ca="1">'SC-I'!AO53</f>
        <v>0</v>
      </c>
      <c r="AP10" s="247">
        <f ca="1">'SC-I'!AP53</f>
        <v>0</v>
      </c>
      <c r="AQ10" s="247">
        <f ca="1">'SC-I'!AQ53</f>
        <v>9758261933</v>
      </c>
      <c r="AR10" s="247">
        <f ca="1">'SC-I'!AR53</f>
        <v>0</v>
      </c>
      <c r="AS10" s="247">
        <f ca="1">'SC-I'!AS53</f>
        <v>720770838</v>
      </c>
      <c r="AT10" s="247">
        <f ca="1">'SC-I'!AT53</f>
        <v>0</v>
      </c>
      <c r="AU10" s="247">
        <f ca="1">'SC-I'!AU53</f>
        <v>0</v>
      </c>
      <c r="AV10" s="247">
        <f ca="1">'SC-I'!AV53</f>
        <v>0</v>
      </c>
      <c r="AW10" s="247">
        <f ca="1">'SC-I'!AW53</f>
        <v>35725221599</v>
      </c>
      <c r="AX10" s="247">
        <f ca="1">'SC-I'!AX53</f>
        <v>0</v>
      </c>
      <c r="AY10" s="247">
        <f ca="1">'SC-I'!AY53</f>
        <v>0</v>
      </c>
      <c r="AZ10" s="247">
        <f ca="1">'SC-I'!AZ53</f>
        <v>0</v>
      </c>
      <c r="BA10" s="247">
        <f ca="1">'SC-I'!BA53</f>
        <v>0</v>
      </c>
      <c r="BB10" s="247">
        <f ca="1">'SC-I'!BB53</f>
        <v>0</v>
      </c>
      <c r="BC10" s="247">
        <f ca="1">'SC-I'!BC53</f>
        <v>0</v>
      </c>
      <c r="BD10" s="247">
        <f ca="1">'SC-I'!BD53</f>
        <v>6386869</v>
      </c>
      <c r="BE10" s="247">
        <f ca="1">'SC-I'!BE53</f>
        <v>0</v>
      </c>
      <c r="BF10" s="247">
        <f ca="1">'SC-I'!BF53</f>
        <v>3389804</v>
      </c>
      <c r="BG10" s="247">
        <f ca="1">'SC-I'!BG53</f>
        <v>0</v>
      </c>
      <c r="BH10" s="247">
        <f ca="1">'SC-I'!BH53</f>
        <v>0</v>
      </c>
      <c r="BI10" s="247">
        <f ca="1">'SC-I'!BI53</f>
        <v>0</v>
      </c>
      <c r="BJ10" s="247">
        <f ca="1">'SC-I'!BJ53</f>
        <v>0</v>
      </c>
      <c r="BK10" s="247">
        <f ca="1">'SC-I'!BK53</f>
        <v>0</v>
      </c>
      <c r="BL10" s="247">
        <f ca="1">'SC-I'!BL53</f>
        <v>0</v>
      </c>
      <c r="BM10" s="247">
        <f ca="1">'SC-I'!BM53</f>
        <v>106628549</v>
      </c>
      <c r="BN10" s="247">
        <f ca="1">'SC-I'!BN53</f>
        <v>0</v>
      </c>
      <c r="BO10" s="247">
        <f ca="1">'SC-I'!BO53</f>
        <v>4469220</v>
      </c>
      <c r="BP10" s="247">
        <f ca="1">'SC-I'!BP53</f>
        <v>0</v>
      </c>
      <c r="BQ10" s="247">
        <f ca="1">'SC-I'!BQ53</f>
        <v>1986320</v>
      </c>
      <c r="BR10" s="247">
        <f ca="1">'SC-I'!BR53</f>
        <v>0</v>
      </c>
      <c r="BS10" s="247">
        <f ca="1">'SC-I'!BS53</f>
        <v>0</v>
      </c>
      <c r="BT10" s="247">
        <f ca="1">'SC-I'!BT53</f>
        <v>0</v>
      </c>
      <c r="BU10" s="247">
        <f ca="1">'SC-I'!BU53</f>
        <v>0</v>
      </c>
      <c r="BV10" s="247">
        <f ca="1">'SC-I'!BV53</f>
        <v>0</v>
      </c>
      <c r="BW10" s="247">
        <f ca="1">'SC-I'!BW53</f>
        <v>27471593800</v>
      </c>
      <c r="BX10" s="247">
        <f ca="1">'SC-I'!BX53</f>
        <v>0</v>
      </c>
      <c r="BY10" s="247">
        <f ca="1">'SC-I'!BY53</f>
        <v>10000000000</v>
      </c>
      <c r="BZ10" s="247">
        <f ca="1">'SC-I'!BZ53</f>
        <v>0</v>
      </c>
      <c r="CA10" s="247">
        <f ca="1">'SC-I'!CA53</f>
        <v>635107905.00000095</v>
      </c>
      <c r="CB10" s="247">
        <f ca="1">'SC-I'!CB53</f>
        <v>78259839.000000477</v>
      </c>
      <c r="CC10" s="247">
        <f ca="1">'SC-I'!CC53</f>
        <v>0</v>
      </c>
      <c r="CD10" s="247">
        <f ca="1">'SC-I'!CD53</f>
        <v>0</v>
      </c>
      <c r="CE10" s="247">
        <f ca="1">'SC-I'!CE53</f>
        <v>0</v>
      </c>
      <c r="CF10" s="247">
        <f ca="1">'SC-I'!CF53</f>
        <v>0</v>
      </c>
      <c r="CG10" s="247">
        <f ca="1">'SC-I'!CG53</f>
        <v>0</v>
      </c>
      <c r="CH10" s="247">
        <f ca="1">'SC-I'!CH53</f>
        <v>0</v>
      </c>
      <c r="CI10" s="247">
        <f ca="1">'SC-I'!CI53</f>
        <v>0</v>
      </c>
      <c r="CJ10" s="247">
        <f ca="1">'SC-I'!CJ53</f>
        <v>0</v>
      </c>
      <c r="CK10" s="247">
        <f ca="1">'SC-I'!CK53</f>
        <v>0</v>
      </c>
      <c r="CL10" s="247">
        <f ca="1">'SC-I'!CL53</f>
        <v>0</v>
      </c>
      <c r="CM10" s="247">
        <f ca="1">'SC-I'!CM53</f>
        <v>0</v>
      </c>
      <c r="CN10" s="247">
        <f ca="1">'SC-I'!CN53</f>
        <v>0</v>
      </c>
      <c r="CO10" s="247">
        <f ca="1">'SC-I'!CO53</f>
        <v>0</v>
      </c>
      <c r="CP10" s="247">
        <f ca="1">'SC-I'!CP53</f>
        <v>0</v>
      </c>
      <c r="CQ10" s="247">
        <f ca="1">'SC-I'!CQ53</f>
        <v>0</v>
      </c>
      <c r="CR10" s="247">
        <f ca="1">'SC-I'!CR53</f>
        <v>0</v>
      </c>
      <c r="CS10" s="247">
        <f ca="1">'SC-I'!CS53</f>
        <v>0</v>
      </c>
      <c r="CT10" s="247">
        <f ca="1">'SC-I'!CT53</f>
        <v>0</v>
      </c>
      <c r="CU10" s="247">
        <f ca="1">'SC-I'!CU53</f>
        <v>0</v>
      </c>
      <c r="CV10" s="247">
        <f ca="1">'SC-I'!CV53</f>
        <v>0</v>
      </c>
      <c r="CW10" s="247">
        <f ca="1">'SC-I'!CW53</f>
        <v>0</v>
      </c>
      <c r="CX10" s="247">
        <f ca="1">'SC-I'!CX53</f>
        <v>0</v>
      </c>
      <c r="CY10" s="247">
        <f ca="1">'SC-I'!CY53</f>
        <v>0</v>
      </c>
      <c r="CZ10" s="247">
        <f ca="1">'SC-I'!CZ53</f>
        <v>0</v>
      </c>
      <c r="DA10" s="247">
        <f ca="1">'SC-I'!DA53</f>
        <v>0</v>
      </c>
    </row>
    <row r="11" spans="1:105" s="248" customFormat="1" ht="15" customHeight="1">
      <c r="A11" s="58">
        <f t="array" aca="1" ref="A11" ca="1">IF(C11&lt;&gt;0,SUM(($C$11:C11&lt;&gt;0)*1),"")</f>
        <v>1</v>
      </c>
      <c r="B11" s="249" t="str">
        <f ca="1">IF(ROWS($1:1)&gt;COUNT(Dong7),"",OFFSET(TH!C$1,SMALL(Dong7,ROWS($1:1)),))</f>
        <v/>
      </c>
      <c r="C11" s="249" t="str">
        <f ca="1">IF(ROWS($1:1)&gt;COUNT(Dong7),"",OFFSET(TH!D$1,SMALL(Dong7,ROWS($1:1)),))</f>
        <v/>
      </c>
      <c r="D11" s="249" t="str">
        <f ca="1">IF(ROWS($1:1)&gt;COUNT(Dong7),"",OFFSET(TH!E$1,SMALL(Dong7,ROWS($1:1)),))</f>
        <v/>
      </c>
      <c r="E11" s="326" t="str">
        <f ca="1">IF(ROWS($1:1)&gt;COUNT(Dong7),"",OFFSET(TH!F$1,SMALL(Dong7,ROWS($1:1)),))</f>
        <v/>
      </c>
      <c r="F11" s="300" t="str">
        <f ca="1">IF(ROWS($1:1)&gt;COUNT(Dong7),"",OFFSET(TH!M$1,SMALL(Dong7,ROWS($1:1)),))</f>
        <v/>
      </c>
      <c r="G11" s="302" t="str">
        <f ca="1">IF(ROWS($1:1)&gt;COUNT(Dong7),"",OFFSET(TH!N$1,SMALL(Dong7,ROWS($1:1)),))</f>
        <v/>
      </c>
      <c r="H11" s="302" t="str">
        <f ca="1">IF(ROWS($1:1)&gt;COUNT(Dong7),"",OFFSET(TH!O$1,SMALL(Dong7,ROWS($1:1)),))</f>
        <v/>
      </c>
      <c r="I11" s="58">
        <f t="shared" ref="I11:I21" ca="1" si="0">A11</f>
        <v>1</v>
      </c>
      <c r="J11" s="251">
        <f ca="1">IF($G11="1111",$F11,0)</f>
        <v>0</v>
      </c>
      <c r="K11" s="251">
        <f ca="1">IF($H11="1111",$F11,0)</f>
        <v>0</v>
      </c>
      <c r="L11" s="251">
        <f t="shared" ref="L11:L50" ca="1" si="1">IF($G11="1121",$F11,0)</f>
        <v>0</v>
      </c>
      <c r="M11" s="251">
        <f t="shared" ref="M11:M50" ca="1" si="2">IF($H11="1121",$F11,0)</f>
        <v>0</v>
      </c>
      <c r="N11" s="251">
        <f t="shared" ref="N11:N50" ca="1" si="3">IF($G11="1122",$F11,0)</f>
        <v>0</v>
      </c>
      <c r="O11" s="251">
        <f t="shared" ref="O11:O50" ca="1" si="4">IF($H11="1122",$F11,0)</f>
        <v>0</v>
      </c>
      <c r="P11" s="251">
        <f t="shared" ref="P11:P50" ca="1" si="5">IF($G11="131",$F11,0)</f>
        <v>0</v>
      </c>
      <c r="Q11" s="251">
        <f t="shared" ref="Q11:Q50" ca="1" si="6">IF($H11="131",$F11,0)</f>
        <v>0</v>
      </c>
      <c r="R11" s="251">
        <f t="shared" ref="R11:R50" ca="1" si="7">IF($G11="1331",$F11,0)</f>
        <v>0</v>
      </c>
      <c r="S11" s="251">
        <f t="shared" ref="S11:S50" ca="1" si="8">IF($H11="1331",$F11,0)</f>
        <v>0</v>
      </c>
      <c r="T11" s="251">
        <f t="shared" ref="T11:T50" ca="1" si="9">IF($G11="1388",$F11,0)</f>
        <v>0</v>
      </c>
      <c r="U11" s="251">
        <f t="shared" ref="U11:U50" ca="1" si="10">IF($H11="1388",$F11,0)</f>
        <v>0</v>
      </c>
      <c r="V11" s="251">
        <f t="shared" ref="V11:V50" ca="1" si="11">IF($G11="141",$F11,0)</f>
        <v>0</v>
      </c>
      <c r="W11" s="251">
        <f t="shared" ref="W11:W50" ca="1" si="12">IF($H11="141",$F11,0)</f>
        <v>0</v>
      </c>
      <c r="X11" s="251">
        <f t="shared" ref="X11:X50" ca="1" si="13">IF($G11="1521",$F11,0)</f>
        <v>0</v>
      </c>
      <c r="Y11" s="251">
        <f t="shared" ref="Y11:Y50" ca="1" si="14">IF($H11="1521",$F11,0)</f>
        <v>0</v>
      </c>
      <c r="Z11" s="251">
        <f t="shared" ref="Z11:Z50" ca="1" si="15">IF($G11="1522",$F11,0)</f>
        <v>0</v>
      </c>
      <c r="AA11" s="251">
        <f t="shared" ref="AA11:AA50" ca="1" si="16">IF($H11="1522",$F11,0)</f>
        <v>0</v>
      </c>
      <c r="AB11" s="251">
        <f ca="1">IF($G11="153",$F11,0)</f>
        <v>0</v>
      </c>
      <c r="AC11" s="251">
        <f ca="1">IF($H11="153",$F11,0)</f>
        <v>0</v>
      </c>
      <c r="AD11" s="251">
        <f t="shared" ref="AD11:AD50" ca="1" si="17">IF($G11="154",$F11,0)</f>
        <v>0</v>
      </c>
      <c r="AE11" s="251">
        <f t="shared" ref="AE11:AE50" ca="1" si="18">IF($H11="154",$F11,0)</f>
        <v>0</v>
      </c>
      <c r="AF11" s="251">
        <f t="shared" ref="AF11:AF50" ca="1" si="19">IF($G11="155",$F11,0)</f>
        <v>0</v>
      </c>
      <c r="AG11" s="251">
        <f t="shared" ref="AG11:AG50" ca="1" si="20">IF($H11="155",$F11,0)</f>
        <v>0</v>
      </c>
      <c r="AH11" s="251">
        <f ca="1">IF($G11="2111",$F11,0)</f>
        <v>0</v>
      </c>
      <c r="AI11" s="251">
        <f ca="1">IF($H11="2111",$F11,0)</f>
        <v>0</v>
      </c>
      <c r="AJ11" s="251">
        <f ca="1">IF($G11="2112",$F11,0)</f>
        <v>0</v>
      </c>
      <c r="AK11" s="251">
        <f ca="1">IF($H11="2112",$F11,0)</f>
        <v>0</v>
      </c>
      <c r="AL11" s="251">
        <f ca="1">IF($G11="2113",$F11,0)</f>
        <v>0</v>
      </c>
      <c r="AM11" s="251">
        <f ca="1">IF($H11="2113",$F11,0)</f>
        <v>0</v>
      </c>
      <c r="AN11" s="251">
        <f ca="1">IF($G11="2131",$F11,0)</f>
        <v>0</v>
      </c>
      <c r="AO11" s="251">
        <f ca="1">IF($H11="2131",$F11,0)</f>
        <v>0</v>
      </c>
      <c r="AP11" s="251">
        <f t="shared" ref="AP11:AP50" ca="1" si="21">IF($G11="2141",$F11,0)</f>
        <v>0</v>
      </c>
      <c r="AQ11" s="251">
        <f t="shared" ref="AQ11:AQ50" ca="1" si="22">IF($H11="2141",$F11,0)</f>
        <v>0</v>
      </c>
      <c r="AR11" s="251">
        <f t="shared" ref="AR11:AR50" ca="1" si="23">IF($G11="2143",$F11,0)</f>
        <v>0</v>
      </c>
      <c r="AS11" s="251">
        <f t="shared" ref="AS11:AS50" ca="1" si="24">IF($H11="2143",$F11,0)</f>
        <v>0</v>
      </c>
      <c r="AT11" s="251">
        <f ca="1">IF($G11="2412",$F11,0)</f>
        <v>0</v>
      </c>
      <c r="AU11" s="251">
        <f ca="1">IF($H11="2412",$F11,0)</f>
        <v>0</v>
      </c>
      <c r="AV11" s="251">
        <f t="shared" ref="AV11:AV50" ca="1" si="25">IF($G11="331",$F11,0)</f>
        <v>0</v>
      </c>
      <c r="AW11" s="251">
        <f t="shared" ref="AW11:AW50" ca="1" si="26">IF($H11="331",$F11,0)</f>
        <v>0</v>
      </c>
      <c r="AX11" s="251">
        <f t="shared" ref="AX11:AX50" ca="1" si="27">IF($G11="33311",$F11,0)</f>
        <v>0</v>
      </c>
      <c r="AY11" s="251">
        <f t="shared" ref="AY11:AY50" ca="1" si="28">IF($H11="33311",$F11,0)</f>
        <v>0</v>
      </c>
      <c r="AZ11" s="251">
        <f t="shared" ref="AZ11:AZ50" ca="1" si="29">IF($G11="33312",$F11,0)</f>
        <v>0</v>
      </c>
      <c r="BA11" s="251">
        <f t="shared" ref="BA11:BA50" ca="1" si="30">IF($H11="33312",$F11,0)</f>
        <v>0</v>
      </c>
      <c r="BB11" s="251">
        <f t="shared" ref="BB11:BB50" ca="1" si="31">IF($G11="3333",$F11,0)</f>
        <v>0</v>
      </c>
      <c r="BC11" s="251">
        <f t="shared" ref="BC11:BC50" ca="1" si="32">IF($H11="3333",$F11,0)</f>
        <v>0</v>
      </c>
      <c r="BD11" s="251">
        <f t="shared" ref="BD11:BD50" ca="1" si="33">IF($G11="3334",$F11,0)</f>
        <v>0</v>
      </c>
      <c r="BE11" s="251">
        <f t="shared" ref="BE11:BE50" ca="1" si="34">IF($H11="3334",$F11,0)</f>
        <v>0</v>
      </c>
      <c r="BF11" s="251">
        <f t="shared" ref="BF11:BF50" ca="1" si="35">IF($G11="3335",$F11,0)</f>
        <v>0</v>
      </c>
      <c r="BG11" s="251">
        <f t="shared" ref="BG11:BG50" ca="1" si="36">IF($H11="3335",$F11,0)</f>
        <v>0</v>
      </c>
      <c r="BH11" s="251">
        <f ca="1">IF($G11="33382",$F11,0)</f>
        <v>0</v>
      </c>
      <c r="BI11" s="251">
        <f ca="1">IF($H11="33382",$F11,0)</f>
        <v>0</v>
      </c>
      <c r="BJ11" s="251">
        <f t="shared" ref="BJ11:BJ50" ca="1" si="37">IF($G11="3341",$F11,0)</f>
        <v>0</v>
      </c>
      <c r="BK11" s="251">
        <f t="shared" ref="BK11:BK50" ca="1" si="38">IF($H11="3341",$F11,0)</f>
        <v>0</v>
      </c>
      <c r="BL11" s="251">
        <f t="shared" ref="BL11:BL50" ca="1" si="39">IF($G11="3383",$F11,0)</f>
        <v>0</v>
      </c>
      <c r="BM11" s="251">
        <f t="shared" ref="BM11:BM50" ca="1" si="40">IF($H11="3383",$F11,0)</f>
        <v>0</v>
      </c>
      <c r="BN11" s="251">
        <f t="shared" ref="BN11:BN50" ca="1" si="41">IF($G11="3384",$F11,0)</f>
        <v>0</v>
      </c>
      <c r="BO11" s="251">
        <f t="shared" ref="BO11:BO50" ca="1" si="42">IF($H11="3384",$F11,0)</f>
        <v>0</v>
      </c>
      <c r="BP11" s="251">
        <f ca="1">IF($G11="3386",$F11,0)</f>
        <v>0</v>
      </c>
      <c r="BQ11" s="251">
        <f ca="1">IF($H11="3386",$F11,0)</f>
        <v>0</v>
      </c>
      <c r="BR11" s="251">
        <f t="shared" ref="BR11:BR50" ca="1" si="43">IF($G11="3388",$F11,0)</f>
        <v>0</v>
      </c>
      <c r="BS11" s="251">
        <f t="shared" ref="BS11:BS50" ca="1" si="44">IF($H11="3388",$F11,0)</f>
        <v>0</v>
      </c>
      <c r="BT11" s="251">
        <f ca="1">IF($G11="3411",$F11,0)</f>
        <v>0</v>
      </c>
      <c r="BU11" s="251">
        <f ca="1">IF($H11="3411",$F11,0)</f>
        <v>0</v>
      </c>
      <c r="BV11" s="251">
        <f ca="1">IF($G11="3412",$F11,0)</f>
        <v>0</v>
      </c>
      <c r="BW11" s="251">
        <f ca="1">IF($H11="3412",$F11,0)</f>
        <v>0</v>
      </c>
      <c r="BX11" s="251">
        <f t="shared" ref="BX11:BX50" ca="1" si="45">IF($G11="4111",$F11,0)</f>
        <v>0</v>
      </c>
      <c r="BY11" s="251">
        <f t="shared" ref="BY11:BY50" ca="1" si="46">IF($H11="4111",$F11,0)</f>
        <v>0</v>
      </c>
      <c r="BZ11" s="251">
        <f t="shared" ref="BZ11:BZ50" ca="1" si="47">IF($G11="4211",$F11,0)</f>
        <v>0</v>
      </c>
      <c r="CA11" s="251">
        <f t="shared" ref="CA11:CA50" ca="1" si="48">IF($H11="4211",$F11,0)</f>
        <v>0</v>
      </c>
      <c r="CB11" s="251">
        <f t="shared" ref="CB11:CB50" ca="1" si="49">IF($G11="4212",$F11,0)</f>
        <v>0</v>
      </c>
      <c r="CC11" s="251">
        <f t="shared" ref="CC11:CC50" ca="1" si="50">IF($H11="4212",$F11,0)</f>
        <v>0</v>
      </c>
      <c r="CD11" s="251">
        <f ca="1">IF($G11="5112N",$F11,0)</f>
        <v>0</v>
      </c>
      <c r="CE11" s="251">
        <f ca="1">IF($H11="5112N",$F11,0)</f>
        <v>0</v>
      </c>
      <c r="CF11" s="251">
        <f ca="1">IF($G11="5112X",$F11,0)</f>
        <v>0</v>
      </c>
      <c r="CG11" s="251">
        <f ca="1">IF($H11="5112X",$F11,0)</f>
        <v>0</v>
      </c>
      <c r="CH11" s="251">
        <f t="shared" ref="CH11:CH50" ca="1" si="51">IF($G11="515",$F11,0)</f>
        <v>0</v>
      </c>
      <c r="CI11" s="251">
        <f t="shared" ref="CI11:CI50" ca="1" si="52">IF($H11="515",$F11,0)</f>
        <v>0</v>
      </c>
      <c r="CJ11" s="251">
        <f ca="1">IF($G11="5213",$F11,0)</f>
        <v>0</v>
      </c>
      <c r="CK11" s="251">
        <f ca="1">IF($H11="5213",$F11,0)</f>
        <v>0</v>
      </c>
      <c r="CL11" s="251">
        <f t="shared" ref="CL11:CL50" ca="1" si="53">IF($G11="632",$F11,0)</f>
        <v>0</v>
      </c>
      <c r="CM11" s="251">
        <f t="shared" ref="CM11:CM50" ca="1" si="54">IF($H11="632",$F11,0)</f>
        <v>0</v>
      </c>
      <c r="CN11" s="251">
        <f t="shared" ref="CN11:CN50" ca="1" si="55">IF($G11="635",$F11,0)</f>
        <v>0</v>
      </c>
      <c r="CO11" s="251">
        <f t="shared" ref="CO11:CO50" ca="1" si="56">IF($H11="635",$F11,0)</f>
        <v>0</v>
      </c>
      <c r="CP11" s="251">
        <f ca="1">IF($G11="641",$F11,0)</f>
        <v>0</v>
      </c>
      <c r="CQ11" s="251">
        <f ca="1">IF($H11="641",$F11,0)</f>
        <v>0</v>
      </c>
      <c r="CR11" s="251">
        <f ca="1">IF($G11="642",$F11,0)</f>
        <v>0</v>
      </c>
      <c r="CS11" s="251">
        <f ca="1">IF($H11="642",$F11,0)</f>
        <v>0</v>
      </c>
      <c r="CT11" s="251">
        <f t="shared" ref="CT11:CT50" ca="1" si="57">IF($G11="711",$F11,0)</f>
        <v>0</v>
      </c>
      <c r="CU11" s="251">
        <f t="shared" ref="CU11:CU50" ca="1" si="58">IF($H11="711",$F11,0)</f>
        <v>0</v>
      </c>
      <c r="CV11" s="251">
        <f t="shared" ref="CV11:CV50" ca="1" si="59">IF($G11="811",$F11,0)</f>
        <v>0</v>
      </c>
      <c r="CW11" s="251">
        <f t="shared" ref="CW11:CW50" ca="1" si="60">IF($H11="811",$F11,0)</f>
        <v>0</v>
      </c>
      <c r="CX11" s="251">
        <f ca="1">IF($G11="821",$F11,0)</f>
        <v>0</v>
      </c>
      <c r="CY11" s="251">
        <f ca="1">IF($H11="821",$F11,0)</f>
        <v>0</v>
      </c>
      <c r="CZ11" s="251">
        <f ca="1">IF($G11="911",$F11,0)</f>
        <v>0</v>
      </c>
      <c r="DA11" s="251">
        <f ca="1">IF($H11="911",$F11,0)</f>
        <v>0</v>
      </c>
    </row>
    <row r="12" spans="1:105" s="248" customFormat="1" ht="15" customHeight="1">
      <c r="A12" s="58" t="str">
        <f t="array" ref="A12">IF(C12&lt;&gt;0,SUM(($C$11:C12&lt;&gt;0)*1),"")</f>
        <v/>
      </c>
      <c r="B12" s="249"/>
      <c r="C12" s="249"/>
      <c r="D12" s="249"/>
      <c r="E12" s="326"/>
      <c r="F12" s="300"/>
      <c r="G12" s="302"/>
      <c r="H12" s="302"/>
      <c r="I12" s="58" t="str">
        <f t="shared" si="0"/>
        <v/>
      </c>
      <c r="J12" s="251">
        <f t="shared" ref="J12:J50" si="61">IF($G12="1111",$F12,0)</f>
        <v>0</v>
      </c>
      <c r="K12" s="251">
        <f t="shared" ref="K12:K50" si="62">IF($H12="1111",$F12,0)</f>
        <v>0</v>
      </c>
      <c r="L12" s="251">
        <f t="shared" si="1"/>
        <v>0</v>
      </c>
      <c r="M12" s="251">
        <f t="shared" si="2"/>
        <v>0</v>
      </c>
      <c r="N12" s="251">
        <f t="shared" si="3"/>
        <v>0</v>
      </c>
      <c r="O12" s="251">
        <f t="shared" si="4"/>
        <v>0</v>
      </c>
      <c r="P12" s="251">
        <f t="shared" si="5"/>
        <v>0</v>
      </c>
      <c r="Q12" s="251">
        <f t="shared" si="6"/>
        <v>0</v>
      </c>
      <c r="R12" s="251">
        <f t="shared" si="7"/>
        <v>0</v>
      </c>
      <c r="S12" s="251">
        <f t="shared" si="8"/>
        <v>0</v>
      </c>
      <c r="T12" s="251">
        <f t="shared" si="9"/>
        <v>0</v>
      </c>
      <c r="U12" s="251">
        <f t="shared" si="10"/>
        <v>0</v>
      </c>
      <c r="V12" s="251">
        <f t="shared" si="11"/>
        <v>0</v>
      </c>
      <c r="W12" s="251">
        <f t="shared" si="12"/>
        <v>0</v>
      </c>
      <c r="X12" s="251">
        <f t="shared" si="13"/>
        <v>0</v>
      </c>
      <c r="Y12" s="251">
        <f t="shared" si="14"/>
        <v>0</v>
      </c>
      <c r="Z12" s="251">
        <f t="shared" si="15"/>
        <v>0</v>
      </c>
      <c r="AA12" s="251">
        <f t="shared" si="16"/>
        <v>0</v>
      </c>
      <c r="AB12" s="251">
        <f t="shared" ref="AB12:AB50" si="63">IF($G12="153",$F12,0)</f>
        <v>0</v>
      </c>
      <c r="AC12" s="251">
        <f t="shared" ref="AC12:AC50" si="64">IF($H12="153",$F12,0)</f>
        <v>0</v>
      </c>
      <c r="AD12" s="251">
        <f t="shared" si="17"/>
        <v>0</v>
      </c>
      <c r="AE12" s="251">
        <f t="shared" si="18"/>
        <v>0</v>
      </c>
      <c r="AF12" s="251">
        <f t="shared" si="19"/>
        <v>0</v>
      </c>
      <c r="AG12" s="251">
        <f t="shared" si="20"/>
        <v>0</v>
      </c>
      <c r="AH12" s="251">
        <f t="shared" ref="AH12:AH50" si="65">IF($G12="2111",$F12,0)</f>
        <v>0</v>
      </c>
      <c r="AI12" s="251">
        <f t="shared" ref="AI12:AI50" si="66">IF($H12="2111",$F12,0)</f>
        <v>0</v>
      </c>
      <c r="AJ12" s="251">
        <f t="shared" ref="AJ12:AJ50" si="67">IF($G12="2112",$F12,0)</f>
        <v>0</v>
      </c>
      <c r="AK12" s="251">
        <f t="shared" ref="AK12:AK50" si="68">IF($H12="2112",$F12,0)</f>
        <v>0</v>
      </c>
      <c r="AL12" s="251">
        <f t="shared" ref="AL12:AL50" si="69">IF($G12="2113",$F12,0)</f>
        <v>0</v>
      </c>
      <c r="AM12" s="251">
        <f t="shared" ref="AM12:AM50" si="70">IF($H12="2113",$F12,0)</f>
        <v>0</v>
      </c>
      <c r="AN12" s="251">
        <f t="shared" ref="AN12:AN50" si="71">IF($G12="2131",$F12,0)</f>
        <v>0</v>
      </c>
      <c r="AO12" s="251">
        <f t="shared" ref="AO12:AO50" si="72">IF($H12="2131",$F12,0)</f>
        <v>0</v>
      </c>
      <c r="AP12" s="251">
        <f t="shared" si="21"/>
        <v>0</v>
      </c>
      <c r="AQ12" s="251">
        <f t="shared" si="22"/>
        <v>0</v>
      </c>
      <c r="AR12" s="251">
        <f t="shared" si="23"/>
        <v>0</v>
      </c>
      <c r="AS12" s="251">
        <f t="shared" si="24"/>
        <v>0</v>
      </c>
      <c r="AT12" s="251">
        <f t="shared" ref="AT12:AT50" si="73">IF($G12="2412",$F12,0)</f>
        <v>0</v>
      </c>
      <c r="AU12" s="251">
        <f t="shared" ref="AU12:AU50" si="74">IF($H12="2412",$F12,0)</f>
        <v>0</v>
      </c>
      <c r="AV12" s="251">
        <f t="shared" si="25"/>
        <v>0</v>
      </c>
      <c r="AW12" s="251">
        <f t="shared" si="26"/>
        <v>0</v>
      </c>
      <c r="AX12" s="251">
        <f t="shared" si="27"/>
        <v>0</v>
      </c>
      <c r="AY12" s="251">
        <f t="shared" si="28"/>
        <v>0</v>
      </c>
      <c r="AZ12" s="251">
        <f t="shared" si="29"/>
        <v>0</v>
      </c>
      <c r="BA12" s="251">
        <f t="shared" si="30"/>
        <v>0</v>
      </c>
      <c r="BB12" s="251">
        <f t="shared" si="31"/>
        <v>0</v>
      </c>
      <c r="BC12" s="251">
        <f t="shared" si="32"/>
        <v>0</v>
      </c>
      <c r="BD12" s="251">
        <f t="shared" si="33"/>
        <v>0</v>
      </c>
      <c r="BE12" s="251">
        <f t="shared" si="34"/>
        <v>0</v>
      </c>
      <c r="BF12" s="251">
        <f t="shared" si="35"/>
        <v>0</v>
      </c>
      <c r="BG12" s="251">
        <f t="shared" si="36"/>
        <v>0</v>
      </c>
      <c r="BH12" s="251">
        <f t="shared" ref="BH12:BH50" si="75">IF($G12="33382",$F12,0)</f>
        <v>0</v>
      </c>
      <c r="BI12" s="251">
        <f t="shared" ref="BI12:BI50" si="76">IF($H12="33382",$F12,0)</f>
        <v>0</v>
      </c>
      <c r="BJ12" s="251">
        <f t="shared" si="37"/>
        <v>0</v>
      </c>
      <c r="BK12" s="251">
        <f t="shared" si="38"/>
        <v>0</v>
      </c>
      <c r="BL12" s="251">
        <f t="shared" si="39"/>
        <v>0</v>
      </c>
      <c r="BM12" s="251">
        <f t="shared" si="40"/>
        <v>0</v>
      </c>
      <c r="BN12" s="251">
        <f t="shared" si="41"/>
        <v>0</v>
      </c>
      <c r="BO12" s="251">
        <f t="shared" si="42"/>
        <v>0</v>
      </c>
      <c r="BP12" s="251">
        <f t="shared" ref="BP12:BP50" si="77">IF($G12="3386",$F12,0)</f>
        <v>0</v>
      </c>
      <c r="BQ12" s="251">
        <f t="shared" ref="BQ12:BQ50" si="78">IF($H12="3386",$F12,0)</f>
        <v>0</v>
      </c>
      <c r="BR12" s="251">
        <f t="shared" si="43"/>
        <v>0</v>
      </c>
      <c r="BS12" s="251">
        <f t="shared" si="44"/>
        <v>0</v>
      </c>
      <c r="BT12" s="251">
        <f t="shared" ref="BT12:BT50" si="79">IF($G12="3411",$F12,0)</f>
        <v>0</v>
      </c>
      <c r="BU12" s="251">
        <f t="shared" ref="BU12:BU50" si="80">IF($H12="3411",$F12,0)</f>
        <v>0</v>
      </c>
      <c r="BV12" s="251">
        <f t="shared" ref="BV12:BV50" si="81">IF($G12="3412",$F12,0)</f>
        <v>0</v>
      </c>
      <c r="BW12" s="251">
        <f t="shared" ref="BW12:BW50" si="82">IF($H12="3412",$F12,0)</f>
        <v>0</v>
      </c>
      <c r="BX12" s="251">
        <f t="shared" si="45"/>
        <v>0</v>
      </c>
      <c r="BY12" s="251">
        <f t="shared" si="46"/>
        <v>0</v>
      </c>
      <c r="BZ12" s="251">
        <f t="shared" si="47"/>
        <v>0</v>
      </c>
      <c r="CA12" s="251">
        <f t="shared" si="48"/>
        <v>0</v>
      </c>
      <c r="CB12" s="251">
        <f t="shared" si="49"/>
        <v>0</v>
      </c>
      <c r="CC12" s="251">
        <f t="shared" si="50"/>
        <v>0</v>
      </c>
      <c r="CD12" s="251">
        <f t="shared" ref="CD12:CD50" si="83">IF($G12="5112N",$F12,0)</f>
        <v>0</v>
      </c>
      <c r="CE12" s="251">
        <f t="shared" ref="CE12:CE50" si="84">IF($H12="5112N",$F12,0)</f>
        <v>0</v>
      </c>
      <c r="CF12" s="251">
        <f t="shared" ref="CF12:CF50" si="85">IF($G12="5112X",$F12,0)</f>
        <v>0</v>
      </c>
      <c r="CG12" s="251">
        <f t="shared" ref="CG12:CG50" si="86">IF($H12="5112X",$F12,0)</f>
        <v>0</v>
      </c>
      <c r="CH12" s="251">
        <f t="shared" si="51"/>
        <v>0</v>
      </c>
      <c r="CI12" s="251">
        <f t="shared" si="52"/>
        <v>0</v>
      </c>
      <c r="CJ12" s="251">
        <f t="shared" ref="CJ12:CJ50" si="87">IF($G12="5213",$F12,0)</f>
        <v>0</v>
      </c>
      <c r="CK12" s="251">
        <f t="shared" ref="CK12:CK50" si="88">IF($H12="5213",$F12,0)</f>
        <v>0</v>
      </c>
      <c r="CL12" s="251">
        <f t="shared" si="53"/>
        <v>0</v>
      </c>
      <c r="CM12" s="251">
        <f t="shared" si="54"/>
        <v>0</v>
      </c>
      <c r="CN12" s="251">
        <f t="shared" si="55"/>
        <v>0</v>
      </c>
      <c r="CO12" s="251">
        <f t="shared" si="56"/>
        <v>0</v>
      </c>
      <c r="CP12" s="251">
        <f t="shared" ref="CP12:CP50" si="89">IF($G12="641",$F12,0)</f>
        <v>0</v>
      </c>
      <c r="CQ12" s="251">
        <f t="shared" ref="CQ12:CQ50" si="90">IF($H12="641",$F12,0)</f>
        <v>0</v>
      </c>
      <c r="CR12" s="251">
        <f t="shared" ref="CR12:CR50" si="91">IF($G12="642",$F12,0)</f>
        <v>0</v>
      </c>
      <c r="CS12" s="251">
        <f t="shared" ref="CS12:CS50" si="92">IF($H12="642",$F12,0)</f>
        <v>0</v>
      </c>
      <c r="CT12" s="251">
        <f t="shared" si="57"/>
        <v>0</v>
      </c>
      <c r="CU12" s="251">
        <f t="shared" si="58"/>
        <v>0</v>
      </c>
      <c r="CV12" s="251">
        <f t="shared" si="59"/>
        <v>0</v>
      </c>
      <c r="CW12" s="251">
        <f t="shared" si="60"/>
        <v>0</v>
      </c>
      <c r="CX12" s="251">
        <f t="shared" ref="CX12:CX50" si="93">IF($G12="821",$F12,0)</f>
        <v>0</v>
      </c>
      <c r="CY12" s="251">
        <f t="shared" ref="CY12:CY50" si="94">IF($H12="821",$F12,0)</f>
        <v>0</v>
      </c>
      <c r="CZ12" s="251">
        <f t="shared" ref="CZ12:CZ50" si="95">IF($G12="911",$F12,0)</f>
        <v>0</v>
      </c>
      <c r="DA12" s="251">
        <f t="shared" ref="DA12:DA50" si="96">IF($H12="911",$F12,0)</f>
        <v>0</v>
      </c>
    </row>
    <row r="13" spans="1:105" s="248" customFormat="1" ht="15" customHeight="1">
      <c r="A13" s="58" t="str">
        <f t="array" ref="A13">IF(C13&lt;&gt;0,SUM(($C$11:C13&lt;&gt;0)*1),"")</f>
        <v/>
      </c>
      <c r="B13" s="249"/>
      <c r="C13" s="249"/>
      <c r="D13" s="249"/>
      <c r="E13" s="326"/>
      <c r="F13" s="300"/>
      <c r="G13" s="302"/>
      <c r="H13" s="302"/>
      <c r="I13" s="58" t="str">
        <f t="shared" si="0"/>
        <v/>
      </c>
      <c r="J13" s="251">
        <f t="shared" si="61"/>
        <v>0</v>
      </c>
      <c r="K13" s="251">
        <f t="shared" si="62"/>
        <v>0</v>
      </c>
      <c r="L13" s="251">
        <f t="shared" si="1"/>
        <v>0</v>
      </c>
      <c r="M13" s="251">
        <f t="shared" si="2"/>
        <v>0</v>
      </c>
      <c r="N13" s="251">
        <f t="shared" si="3"/>
        <v>0</v>
      </c>
      <c r="O13" s="251">
        <f t="shared" si="4"/>
        <v>0</v>
      </c>
      <c r="P13" s="251">
        <f t="shared" si="5"/>
        <v>0</v>
      </c>
      <c r="Q13" s="251">
        <f t="shared" si="6"/>
        <v>0</v>
      </c>
      <c r="R13" s="251">
        <f t="shared" si="7"/>
        <v>0</v>
      </c>
      <c r="S13" s="251">
        <f t="shared" si="8"/>
        <v>0</v>
      </c>
      <c r="T13" s="251">
        <f t="shared" si="9"/>
        <v>0</v>
      </c>
      <c r="U13" s="251">
        <f t="shared" si="10"/>
        <v>0</v>
      </c>
      <c r="V13" s="251">
        <f t="shared" si="11"/>
        <v>0</v>
      </c>
      <c r="W13" s="251">
        <f t="shared" si="12"/>
        <v>0</v>
      </c>
      <c r="X13" s="251">
        <f t="shared" si="13"/>
        <v>0</v>
      </c>
      <c r="Y13" s="251">
        <f t="shared" si="14"/>
        <v>0</v>
      </c>
      <c r="Z13" s="251">
        <f t="shared" si="15"/>
        <v>0</v>
      </c>
      <c r="AA13" s="251">
        <f t="shared" si="16"/>
        <v>0</v>
      </c>
      <c r="AB13" s="251">
        <f t="shared" si="63"/>
        <v>0</v>
      </c>
      <c r="AC13" s="251">
        <f t="shared" si="64"/>
        <v>0</v>
      </c>
      <c r="AD13" s="251">
        <f t="shared" si="17"/>
        <v>0</v>
      </c>
      <c r="AE13" s="251">
        <f t="shared" si="18"/>
        <v>0</v>
      </c>
      <c r="AF13" s="251">
        <f t="shared" si="19"/>
        <v>0</v>
      </c>
      <c r="AG13" s="251">
        <f t="shared" si="20"/>
        <v>0</v>
      </c>
      <c r="AH13" s="251">
        <f t="shared" si="65"/>
        <v>0</v>
      </c>
      <c r="AI13" s="251">
        <f t="shared" si="66"/>
        <v>0</v>
      </c>
      <c r="AJ13" s="251">
        <f t="shared" si="67"/>
        <v>0</v>
      </c>
      <c r="AK13" s="251">
        <f t="shared" si="68"/>
        <v>0</v>
      </c>
      <c r="AL13" s="251">
        <f t="shared" si="69"/>
        <v>0</v>
      </c>
      <c r="AM13" s="251">
        <f t="shared" si="70"/>
        <v>0</v>
      </c>
      <c r="AN13" s="251">
        <f t="shared" si="71"/>
        <v>0</v>
      </c>
      <c r="AO13" s="251">
        <f t="shared" si="72"/>
        <v>0</v>
      </c>
      <c r="AP13" s="251">
        <f t="shared" si="21"/>
        <v>0</v>
      </c>
      <c r="AQ13" s="251">
        <f t="shared" si="22"/>
        <v>0</v>
      </c>
      <c r="AR13" s="251">
        <f t="shared" si="23"/>
        <v>0</v>
      </c>
      <c r="AS13" s="251">
        <f t="shared" si="24"/>
        <v>0</v>
      </c>
      <c r="AT13" s="251">
        <f t="shared" si="73"/>
        <v>0</v>
      </c>
      <c r="AU13" s="251">
        <f t="shared" si="74"/>
        <v>0</v>
      </c>
      <c r="AV13" s="251">
        <f t="shared" si="25"/>
        <v>0</v>
      </c>
      <c r="AW13" s="251">
        <f t="shared" si="26"/>
        <v>0</v>
      </c>
      <c r="AX13" s="251">
        <f t="shared" si="27"/>
        <v>0</v>
      </c>
      <c r="AY13" s="251">
        <f t="shared" si="28"/>
        <v>0</v>
      </c>
      <c r="AZ13" s="251">
        <f t="shared" si="29"/>
        <v>0</v>
      </c>
      <c r="BA13" s="251">
        <f t="shared" si="30"/>
        <v>0</v>
      </c>
      <c r="BB13" s="251">
        <f t="shared" si="31"/>
        <v>0</v>
      </c>
      <c r="BC13" s="251">
        <f t="shared" si="32"/>
        <v>0</v>
      </c>
      <c r="BD13" s="251">
        <f t="shared" si="33"/>
        <v>0</v>
      </c>
      <c r="BE13" s="251">
        <f t="shared" si="34"/>
        <v>0</v>
      </c>
      <c r="BF13" s="251">
        <f t="shared" si="35"/>
        <v>0</v>
      </c>
      <c r="BG13" s="251">
        <f t="shared" si="36"/>
        <v>0</v>
      </c>
      <c r="BH13" s="251">
        <f t="shared" si="75"/>
        <v>0</v>
      </c>
      <c r="BI13" s="251">
        <f t="shared" si="76"/>
        <v>0</v>
      </c>
      <c r="BJ13" s="251">
        <f t="shared" si="37"/>
        <v>0</v>
      </c>
      <c r="BK13" s="251">
        <f t="shared" si="38"/>
        <v>0</v>
      </c>
      <c r="BL13" s="251">
        <f t="shared" si="39"/>
        <v>0</v>
      </c>
      <c r="BM13" s="251">
        <f t="shared" si="40"/>
        <v>0</v>
      </c>
      <c r="BN13" s="251">
        <f t="shared" si="41"/>
        <v>0</v>
      </c>
      <c r="BO13" s="251">
        <f t="shared" si="42"/>
        <v>0</v>
      </c>
      <c r="BP13" s="251">
        <f t="shared" si="77"/>
        <v>0</v>
      </c>
      <c r="BQ13" s="251">
        <f t="shared" si="78"/>
        <v>0</v>
      </c>
      <c r="BR13" s="251">
        <f t="shared" si="43"/>
        <v>0</v>
      </c>
      <c r="BS13" s="251">
        <f t="shared" si="44"/>
        <v>0</v>
      </c>
      <c r="BT13" s="251">
        <f t="shared" si="79"/>
        <v>0</v>
      </c>
      <c r="BU13" s="251">
        <f t="shared" si="80"/>
        <v>0</v>
      </c>
      <c r="BV13" s="251">
        <f t="shared" si="81"/>
        <v>0</v>
      </c>
      <c r="BW13" s="251">
        <f t="shared" si="82"/>
        <v>0</v>
      </c>
      <c r="BX13" s="251">
        <f t="shared" si="45"/>
        <v>0</v>
      </c>
      <c r="BY13" s="251">
        <f t="shared" si="46"/>
        <v>0</v>
      </c>
      <c r="BZ13" s="251">
        <f t="shared" si="47"/>
        <v>0</v>
      </c>
      <c r="CA13" s="251">
        <f t="shared" si="48"/>
        <v>0</v>
      </c>
      <c r="CB13" s="251">
        <f t="shared" si="49"/>
        <v>0</v>
      </c>
      <c r="CC13" s="251">
        <f t="shared" si="50"/>
        <v>0</v>
      </c>
      <c r="CD13" s="251">
        <f t="shared" si="83"/>
        <v>0</v>
      </c>
      <c r="CE13" s="251">
        <f t="shared" si="84"/>
        <v>0</v>
      </c>
      <c r="CF13" s="251">
        <f t="shared" si="85"/>
        <v>0</v>
      </c>
      <c r="CG13" s="251">
        <f t="shared" si="86"/>
        <v>0</v>
      </c>
      <c r="CH13" s="251">
        <f t="shared" si="51"/>
        <v>0</v>
      </c>
      <c r="CI13" s="251">
        <f t="shared" si="52"/>
        <v>0</v>
      </c>
      <c r="CJ13" s="251">
        <f t="shared" si="87"/>
        <v>0</v>
      </c>
      <c r="CK13" s="251">
        <f t="shared" si="88"/>
        <v>0</v>
      </c>
      <c r="CL13" s="251">
        <f t="shared" si="53"/>
        <v>0</v>
      </c>
      <c r="CM13" s="251">
        <f t="shared" si="54"/>
        <v>0</v>
      </c>
      <c r="CN13" s="251">
        <f t="shared" si="55"/>
        <v>0</v>
      </c>
      <c r="CO13" s="251">
        <f t="shared" si="56"/>
        <v>0</v>
      </c>
      <c r="CP13" s="251">
        <f t="shared" si="89"/>
        <v>0</v>
      </c>
      <c r="CQ13" s="251">
        <f t="shared" si="90"/>
        <v>0</v>
      </c>
      <c r="CR13" s="251">
        <f t="shared" si="91"/>
        <v>0</v>
      </c>
      <c r="CS13" s="251">
        <f t="shared" si="92"/>
        <v>0</v>
      </c>
      <c r="CT13" s="251">
        <f t="shared" si="57"/>
        <v>0</v>
      </c>
      <c r="CU13" s="251">
        <f t="shared" si="58"/>
        <v>0</v>
      </c>
      <c r="CV13" s="251">
        <f t="shared" si="59"/>
        <v>0</v>
      </c>
      <c r="CW13" s="251">
        <f t="shared" si="60"/>
        <v>0</v>
      </c>
      <c r="CX13" s="251">
        <f t="shared" si="93"/>
        <v>0</v>
      </c>
      <c r="CY13" s="251">
        <f t="shared" si="94"/>
        <v>0</v>
      </c>
      <c r="CZ13" s="251">
        <f t="shared" si="95"/>
        <v>0</v>
      </c>
      <c r="DA13" s="251">
        <f t="shared" si="96"/>
        <v>0</v>
      </c>
    </row>
    <row r="14" spans="1:105" s="248" customFormat="1" ht="15" customHeight="1">
      <c r="A14" s="58" t="str">
        <f t="array" ref="A14">IF(C14&lt;&gt;0,SUM(($C$11:C14&lt;&gt;0)*1),"")</f>
        <v/>
      </c>
      <c r="B14" s="249"/>
      <c r="C14" s="249"/>
      <c r="D14" s="249"/>
      <c r="E14" s="326"/>
      <c r="F14" s="300"/>
      <c r="G14" s="302"/>
      <c r="H14" s="302"/>
      <c r="I14" s="58" t="str">
        <f t="shared" si="0"/>
        <v/>
      </c>
      <c r="J14" s="251">
        <f t="shared" si="61"/>
        <v>0</v>
      </c>
      <c r="K14" s="251">
        <f t="shared" si="62"/>
        <v>0</v>
      </c>
      <c r="L14" s="251">
        <f t="shared" si="1"/>
        <v>0</v>
      </c>
      <c r="M14" s="251">
        <f t="shared" si="2"/>
        <v>0</v>
      </c>
      <c r="N14" s="251">
        <f t="shared" si="3"/>
        <v>0</v>
      </c>
      <c r="O14" s="251">
        <f t="shared" si="4"/>
        <v>0</v>
      </c>
      <c r="P14" s="251">
        <f t="shared" si="5"/>
        <v>0</v>
      </c>
      <c r="Q14" s="251">
        <f t="shared" si="6"/>
        <v>0</v>
      </c>
      <c r="R14" s="251">
        <f t="shared" si="7"/>
        <v>0</v>
      </c>
      <c r="S14" s="251">
        <f t="shared" si="8"/>
        <v>0</v>
      </c>
      <c r="T14" s="251">
        <f t="shared" si="9"/>
        <v>0</v>
      </c>
      <c r="U14" s="251">
        <f t="shared" si="10"/>
        <v>0</v>
      </c>
      <c r="V14" s="251">
        <f t="shared" si="11"/>
        <v>0</v>
      </c>
      <c r="W14" s="251">
        <f t="shared" si="12"/>
        <v>0</v>
      </c>
      <c r="X14" s="251">
        <f t="shared" si="13"/>
        <v>0</v>
      </c>
      <c r="Y14" s="251">
        <f t="shared" si="14"/>
        <v>0</v>
      </c>
      <c r="Z14" s="251">
        <f t="shared" si="15"/>
        <v>0</v>
      </c>
      <c r="AA14" s="251">
        <f t="shared" si="16"/>
        <v>0</v>
      </c>
      <c r="AB14" s="251">
        <f t="shared" si="63"/>
        <v>0</v>
      </c>
      <c r="AC14" s="251">
        <f t="shared" si="64"/>
        <v>0</v>
      </c>
      <c r="AD14" s="251">
        <f t="shared" si="17"/>
        <v>0</v>
      </c>
      <c r="AE14" s="251">
        <f t="shared" si="18"/>
        <v>0</v>
      </c>
      <c r="AF14" s="251">
        <f t="shared" si="19"/>
        <v>0</v>
      </c>
      <c r="AG14" s="251">
        <f t="shared" si="20"/>
        <v>0</v>
      </c>
      <c r="AH14" s="251">
        <f t="shared" si="65"/>
        <v>0</v>
      </c>
      <c r="AI14" s="251">
        <f t="shared" si="66"/>
        <v>0</v>
      </c>
      <c r="AJ14" s="251">
        <f t="shared" si="67"/>
        <v>0</v>
      </c>
      <c r="AK14" s="251">
        <f t="shared" si="68"/>
        <v>0</v>
      </c>
      <c r="AL14" s="251">
        <f t="shared" si="69"/>
        <v>0</v>
      </c>
      <c r="AM14" s="251">
        <f t="shared" si="70"/>
        <v>0</v>
      </c>
      <c r="AN14" s="251">
        <f t="shared" si="71"/>
        <v>0</v>
      </c>
      <c r="AO14" s="251">
        <f t="shared" si="72"/>
        <v>0</v>
      </c>
      <c r="AP14" s="251">
        <f t="shared" si="21"/>
        <v>0</v>
      </c>
      <c r="AQ14" s="251">
        <f t="shared" si="22"/>
        <v>0</v>
      </c>
      <c r="AR14" s="251">
        <f t="shared" si="23"/>
        <v>0</v>
      </c>
      <c r="AS14" s="251">
        <f t="shared" si="24"/>
        <v>0</v>
      </c>
      <c r="AT14" s="251">
        <f t="shared" si="73"/>
        <v>0</v>
      </c>
      <c r="AU14" s="251">
        <f t="shared" si="74"/>
        <v>0</v>
      </c>
      <c r="AV14" s="251">
        <f t="shared" si="25"/>
        <v>0</v>
      </c>
      <c r="AW14" s="251">
        <f t="shared" si="26"/>
        <v>0</v>
      </c>
      <c r="AX14" s="251">
        <f t="shared" si="27"/>
        <v>0</v>
      </c>
      <c r="AY14" s="251">
        <f t="shared" si="28"/>
        <v>0</v>
      </c>
      <c r="AZ14" s="251">
        <f t="shared" si="29"/>
        <v>0</v>
      </c>
      <c r="BA14" s="251">
        <f t="shared" si="30"/>
        <v>0</v>
      </c>
      <c r="BB14" s="251">
        <f t="shared" si="31"/>
        <v>0</v>
      </c>
      <c r="BC14" s="251">
        <f t="shared" si="32"/>
        <v>0</v>
      </c>
      <c r="BD14" s="251">
        <f t="shared" si="33"/>
        <v>0</v>
      </c>
      <c r="BE14" s="251">
        <f t="shared" si="34"/>
        <v>0</v>
      </c>
      <c r="BF14" s="251">
        <f t="shared" si="35"/>
        <v>0</v>
      </c>
      <c r="BG14" s="251">
        <f t="shared" si="36"/>
        <v>0</v>
      </c>
      <c r="BH14" s="251">
        <f t="shared" si="75"/>
        <v>0</v>
      </c>
      <c r="BI14" s="251">
        <f t="shared" si="76"/>
        <v>0</v>
      </c>
      <c r="BJ14" s="251">
        <f t="shared" si="37"/>
        <v>0</v>
      </c>
      <c r="BK14" s="251">
        <f t="shared" si="38"/>
        <v>0</v>
      </c>
      <c r="BL14" s="251">
        <f t="shared" si="39"/>
        <v>0</v>
      </c>
      <c r="BM14" s="251">
        <f t="shared" si="40"/>
        <v>0</v>
      </c>
      <c r="BN14" s="251">
        <f t="shared" si="41"/>
        <v>0</v>
      </c>
      <c r="BO14" s="251">
        <f t="shared" si="42"/>
        <v>0</v>
      </c>
      <c r="BP14" s="251">
        <f t="shared" si="77"/>
        <v>0</v>
      </c>
      <c r="BQ14" s="251">
        <f t="shared" si="78"/>
        <v>0</v>
      </c>
      <c r="BR14" s="251">
        <f t="shared" si="43"/>
        <v>0</v>
      </c>
      <c r="BS14" s="251">
        <f t="shared" si="44"/>
        <v>0</v>
      </c>
      <c r="BT14" s="251">
        <f t="shared" si="79"/>
        <v>0</v>
      </c>
      <c r="BU14" s="251">
        <f t="shared" si="80"/>
        <v>0</v>
      </c>
      <c r="BV14" s="251">
        <f t="shared" si="81"/>
        <v>0</v>
      </c>
      <c r="BW14" s="251">
        <f t="shared" si="82"/>
        <v>0</v>
      </c>
      <c r="BX14" s="251">
        <f t="shared" si="45"/>
        <v>0</v>
      </c>
      <c r="BY14" s="251">
        <f t="shared" si="46"/>
        <v>0</v>
      </c>
      <c r="BZ14" s="251">
        <f t="shared" si="47"/>
        <v>0</v>
      </c>
      <c r="CA14" s="251">
        <f t="shared" si="48"/>
        <v>0</v>
      </c>
      <c r="CB14" s="251">
        <f t="shared" si="49"/>
        <v>0</v>
      </c>
      <c r="CC14" s="251">
        <f t="shared" si="50"/>
        <v>0</v>
      </c>
      <c r="CD14" s="251">
        <f t="shared" si="83"/>
        <v>0</v>
      </c>
      <c r="CE14" s="251">
        <f t="shared" si="84"/>
        <v>0</v>
      </c>
      <c r="CF14" s="251">
        <f t="shared" si="85"/>
        <v>0</v>
      </c>
      <c r="CG14" s="251">
        <f t="shared" si="86"/>
        <v>0</v>
      </c>
      <c r="CH14" s="251">
        <f t="shared" si="51"/>
        <v>0</v>
      </c>
      <c r="CI14" s="251">
        <f t="shared" si="52"/>
        <v>0</v>
      </c>
      <c r="CJ14" s="251">
        <f t="shared" si="87"/>
        <v>0</v>
      </c>
      <c r="CK14" s="251">
        <f t="shared" si="88"/>
        <v>0</v>
      </c>
      <c r="CL14" s="251">
        <f t="shared" si="53"/>
        <v>0</v>
      </c>
      <c r="CM14" s="251">
        <f t="shared" si="54"/>
        <v>0</v>
      </c>
      <c r="CN14" s="251">
        <f t="shared" si="55"/>
        <v>0</v>
      </c>
      <c r="CO14" s="251">
        <f t="shared" si="56"/>
        <v>0</v>
      </c>
      <c r="CP14" s="251">
        <f t="shared" si="89"/>
        <v>0</v>
      </c>
      <c r="CQ14" s="251">
        <f t="shared" si="90"/>
        <v>0</v>
      </c>
      <c r="CR14" s="251">
        <f t="shared" si="91"/>
        <v>0</v>
      </c>
      <c r="CS14" s="251">
        <f t="shared" si="92"/>
        <v>0</v>
      </c>
      <c r="CT14" s="251">
        <f t="shared" si="57"/>
        <v>0</v>
      </c>
      <c r="CU14" s="251">
        <f t="shared" si="58"/>
        <v>0</v>
      </c>
      <c r="CV14" s="251">
        <f t="shared" si="59"/>
        <v>0</v>
      </c>
      <c r="CW14" s="251">
        <f t="shared" si="60"/>
        <v>0</v>
      </c>
      <c r="CX14" s="251">
        <f t="shared" si="93"/>
        <v>0</v>
      </c>
      <c r="CY14" s="251">
        <f t="shared" si="94"/>
        <v>0</v>
      </c>
      <c r="CZ14" s="251">
        <f t="shared" si="95"/>
        <v>0</v>
      </c>
      <c r="DA14" s="251">
        <f t="shared" si="96"/>
        <v>0</v>
      </c>
    </row>
    <row r="15" spans="1:105" s="248" customFormat="1" ht="15" customHeight="1">
      <c r="A15" s="58" t="str">
        <f t="array" ref="A15">IF(C15&lt;&gt;0,SUM(($C$11:C15&lt;&gt;0)*1),"")</f>
        <v/>
      </c>
      <c r="B15" s="249"/>
      <c r="C15" s="249"/>
      <c r="D15" s="249"/>
      <c r="E15" s="326"/>
      <c r="F15" s="300"/>
      <c r="G15" s="302"/>
      <c r="H15" s="302"/>
      <c r="I15" s="58" t="str">
        <f t="shared" si="0"/>
        <v/>
      </c>
      <c r="J15" s="251">
        <f t="shared" si="61"/>
        <v>0</v>
      </c>
      <c r="K15" s="251">
        <f t="shared" si="62"/>
        <v>0</v>
      </c>
      <c r="L15" s="251">
        <f t="shared" si="1"/>
        <v>0</v>
      </c>
      <c r="M15" s="251">
        <f t="shared" si="2"/>
        <v>0</v>
      </c>
      <c r="N15" s="251">
        <f t="shared" si="3"/>
        <v>0</v>
      </c>
      <c r="O15" s="251">
        <f t="shared" si="4"/>
        <v>0</v>
      </c>
      <c r="P15" s="251">
        <f t="shared" si="5"/>
        <v>0</v>
      </c>
      <c r="Q15" s="251">
        <f t="shared" si="6"/>
        <v>0</v>
      </c>
      <c r="R15" s="251">
        <f t="shared" si="7"/>
        <v>0</v>
      </c>
      <c r="S15" s="251">
        <f t="shared" si="8"/>
        <v>0</v>
      </c>
      <c r="T15" s="251">
        <f t="shared" si="9"/>
        <v>0</v>
      </c>
      <c r="U15" s="251">
        <f t="shared" si="10"/>
        <v>0</v>
      </c>
      <c r="V15" s="251">
        <f t="shared" si="11"/>
        <v>0</v>
      </c>
      <c r="W15" s="251">
        <f t="shared" si="12"/>
        <v>0</v>
      </c>
      <c r="X15" s="251">
        <f t="shared" si="13"/>
        <v>0</v>
      </c>
      <c r="Y15" s="251">
        <f t="shared" si="14"/>
        <v>0</v>
      </c>
      <c r="Z15" s="251">
        <f t="shared" si="15"/>
        <v>0</v>
      </c>
      <c r="AA15" s="251">
        <f t="shared" si="16"/>
        <v>0</v>
      </c>
      <c r="AB15" s="251">
        <f t="shared" si="63"/>
        <v>0</v>
      </c>
      <c r="AC15" s="251">
        <f t="shared" si="64"/>
        <v>0</v>
      </c>
      <c r="AD15" s="251">
        <f t="shared" si="17"/>
        <v>0</v>
      </c>
      <c r="AE15" s="251">
        <f t="shared" si="18"/>
        <v>0</v>
      </c>
      <c r="AF15" s="251">
        <f t="shared" si="19"/>
        <v>0</v>
      </c>
      <c r="AG15" s="251">
        <f t="shared" si="20"/>
        <v>0</v>
      </c>
      <c r="AH15" s="251">
        <f t="shared" si="65"/>
        <v>0</v>
      </c>
      <c r="AI15" s="251">
        <f t="shared" si="66"/>
        <v>0</v>
      </c>
      <c r="AJ15" s="251">
        <f t="shared" si="67"/>
        <v>0</v>
      </c>
      <c r="AK15" s="251">
        <f t="shared" si="68"/>
        <v>0</v>
      </c>
      <c r="AL15" s="251">
        <f t="shared" si="69"/>
        <v>0</v>
      </c>
      <c r="AM15" s="251">
        <f t="shared" si="70"/>
        <v>0</v>
      </c>
      <c r="AN15" s="251">
        <f t="shared" si="71"/>
        <v>0</v>
      </c>
      <c r="AO15" s="251">
        <f t="shared" si="72"/>
        <v>0</v>
      </c>
      <c r="AP15" s="251">
        <f t="shared" si="21"/>
        <v>0</v>
      </c>
      <c r="AQ15" s="251">
        <f t="shared" si="22"/>
        <v>0</v>
      </c>
      <c r="AR15" s="251">
        <f t="shared" si="23"/>
        <v>0</v>
      </c>
      <c r="AS15" s="251">
        <f t="shared" si="24"/>
        <v>0</v>
      </c>
      <c r="AT15" s="251">
        <f t="shared" si="73"/>
        <v>0</v>
      </c>
      <c r="AU15" s="251">
        <f t="shared" si="74"/>
        <v>0</v>
      </c>
      <c r="AV15" s="251">
        <f t="shared" si="25"/>
        <v>0</v>
      </c>
      <c r="AW15" s="251">
        <f t="shared" si="26"/>
        <v>0</v>
      </c>
      <c r="AX15" s="251">
        <f t="shared" si="27"/>
        <v>0</v>
      </c>
      <c r="AY15" s="251">
        <f t="shared" si="28"/>
        <v>0</v>
      </c>
      <c r="AZ15" s="251">
        <f t="shared" si="29"/>
        <v>0</v>
      </c>
      <c r="BA15" s="251">
        <f t="shared" si="30"/>
        <v>0</v>
      </c>
      <c r="BB15" s="251">
        <f t="shared" si="31"/>
        <v>0</v>
      </c>
      <c r="BC15" s="251">
        <f t="shared" si="32"/>
        <v>0</v>
      </c>
      <c r="BD15" s="251">
        <f t="shared" si="33"/>
        <v>0</v>
      </c>
      <c r="BE15" s="251">
        <f t="shared" si="34"/>
        <v>0</v>
      </c>
      <c r="BF15" s="251">
        <f t="shared" si="35"/>
        <v>0</v>
      </c>
      <c r="BG15" s="251">
        <f t="shared" si="36"/>
        <v>0</v>
      </c>
      <c r="BH15" s="251">
        <f t="shared" si="75"/>
        <v>0</v>
      </c>
      <c r="BI15" s="251">
        <f t="shared" si="76"/>
        <v>0</v>
      </c>
      <c r="BJ15" s="251">
        <f t="shared" si="37"/>
        <v>0</v>
      </c>
      <c r="BK15" s="251">
        <f t="shared" si="38"/>
        <v>0</v>
      </c>
      <c r="BL15" s="251">
        <f t="shared" si="39"/>
        <v>0</v>
      </c>
      <c r="BM15" s="251">
        <f t="shared" si="40"/>
        <v>0</v>
      </c>
      <c r="BN15" s="251">
        <f t="shared" si="41"/>
        <v>0</v>
      </c>
      <c r="BO15" s="251">
        <f t="shared" si="42"/>
        <v>0</v>
      </c>
      <c r="BP15" s="251">
        <f t="shared" si="77"/>
        <v>0</v>
      </c>
      <c r="BQ15" s="251">
        <f t="shared" si="78"/>
        <v>0</v>
      </c>
      <c r="BR15" s="251">
        <f t="shared" si="43"/>
        <v>0</v>
      </c>
      <c r="BS15" s="251">
        <f t="shared" si="44"/>
        <v>0</v>
      </c>
      <c r="BT15" s="251">
        <f t="shared" si="79"/>
        <v>0</v>
      </c>
      <c r="BU15" s="251">
        <f t="shared" si="80"/>
        <v>0</v>
      </c>
      <c r="BV15" s="251">
        <f t="shared" si="81"/>
        <v>0</v>
      </c>
      <c r="BW15" s="251">
        <f t="shared" si="82"/>
        <v>0</v>
      </c>
      <c r="BX15" s="251">
        <f t="shared" si="45"/>
        <v>0</v>
      </c>
      <c r="BY15" s="251">
        <f t="shared" si="46"/>
        <v>0</v>
      </c>
      <c r="BZ15" s="251">
        <f t="shared" si="47"/>
        <v>0</v>
      </c>
      <c r="CA15" s="251">
        <f t="shared" si="48"/>
        <v>0</v>
      </c>
      <c r="CB15" s="251">
        <f t="shared" si="49"/>
        <v>0</v>
      </c>
      <c r="CC15" s="251">
        <f t="shared" si="50"/>
        <v>0</v>
      </c>
      <c r="CD15" s="251">
        <f t="shared" si="83"/>
        <v>0</v>
      </c>
      <c r="CE15" s="251">
        <f t="shared" si="84"/>
        <v>0</v>
      </c>
      <c r="CF15" s="251">
        <f t="shared" si="85"/>
        <v>0</v>
      </c>
      <c r="CG15" s="251">
        <f t="shared" si="86"/>
        <v>0</v>
      </c>
      <c r="CH15" s="251">
        <f t="shared" si="51"/>
        <v>0</v>
      </c>
      <c r="CI15" s="251">
        <f t="shared" si="52"/>
        <v>0</v>
      </c>
      <c r="CJ15" s="251">
        <f t="shared" si="87"/>
        <v>0</v>
      </c>
      <c r="CK15" s="251">
        <f t="shared" si="88"/>
        <v>0</v>
      </c>
      <c r="CL15" s="251">
        <f t="shared" si="53"/>
        <v>0</v>
      </c>
      <c r="CM15" s="251">
        <f t="shared" si="54"/>
        <v>0</v>
      </c>
      <c r="CN15" s="251">
        <f t="shared" si="55"/>
        <v>0</v>
      </c>
      <c r="CO15" s="251">
        <f t="shared" si="56"/>
        <v>0</v>
      </c>
      <c r="CP15" s="251">
        <f t="shared" si="89"/>
        <v>0</v>
      </c>
      <c r="CQ15" s="251">
        <f t="shared" si="90"/>
        <v>0</v>
      </c>
      <c r="CR15" s="251">
        <f t="shared" si="91"/>
        <v>0</v>
      </c>
      <c r="CS15" s="251">
        <f t="shared" si="92"/>
        <v>0</v>
      </c>
      <c r="CT15" s="251">
        <f t="shared" si="57"/>
        <v>0</v>
      </c>
      <c r="CU15" s="251">
        <f t="shared" si="58"/>
        <v>0</v>
      </c>
      <c r="CV15" s="251">
        <f t="shared" si="59"/>
        <v>0</v>
      </c>
      <c r="CW15" s="251">
        <f t="shared" si="60"/>
        <v>0</v>
      </c>
      <c r="CX15" s="251">
        <f t="shared" si="93"/>
        <v>0</v>
      </c>
      <c r="CY15" s="251">
        <f t="shared" si="94"/>
        <v>0</v>
      </c>
      <c r="CZ15" s="251">
        <f t="shared" si="95"/>
        <v>0</v>
      </c>
      <c r="DA15" s="251">
        <f t="shared" si="96"/>
        <v>0</v>
      </c>
    </row>
    <row r="16" spans="1:105" s="248" customFormat="1" ht="15" customHeight="1">
      <c r="A16" s="58" t="str">
        <f t="array" ref="A16">IF(C16&lt;&gt;0,SUM(($C$11:C16&lt;&gt;0)*1),"")</f>
        <v/>
      </c>
      <c r="B16" s="249"/>
      <c r="C16" s="249"/>
      <c r="D16" s="249"/>
      <c r="E16" s="326"/>
      <c r="F16" s="300"/>
      <c r="G16" s="302"/>
      <c r="H16" s="302"/>
      <c r="I16" s="58" t="str">
        <f t="shared" si="0"/>
        <v/>
      </c>
      <c r="J16" s="251">
        <f t="shared" si="61"/>
        <v>0</v>
      </c>
      <c r="K16" s="251">
        <f t="shared" si="62"/>
        <v>0</v>
      </c>
      <c r="L16" s="251">
        <f t="shared" si="1"/>
        <v>0</v>
      </c>
      <c r="M16" s="251">
        <f t="shared" si="2"/>
        <v>0</v>
      </c>
      <c r="N16" s="251">
        <f t="shared" si="3"/>
        <v>0</v>
      </c>
      <c r="O16" s="251">
        <f t="shared" si="4"/>
        <v>0</v>
      </c>
      <c r="P16" s="251">
        <f t="shared" si="5"/>
        <v>0</v>
      </c>
      <c r="Q16" s="251">
        <f t="shared" si="6"/>
        <v>0</v>
      </c>
      <c r="R16" s="251">
        <f t="shared" si="7"/>
        <v>0</v>
      </c>
      <c r="S16" s="251">
        <f t="shared" si="8"/>
        <v>0</v>
      </c>
      <c r="T16" s="251">
        <f t="shared" si="9"/>
        <v>0</v>
      </c>
      <c r="U16" s="251">
        <f t="shared" si="10"/>
        <v>0</v>
      </c>
      <c r="V16" s="251">
        <f t="shared" si="11"/>
        <v>0</v>
      </c>
      <c r="W16" s="251">
        <f t="shared" si="12"/>
        <v>0</v>
      </c>
      <c r="X16" s="251">
        <f t="shared" si="13"/>
        <v>0</v>
      </c>
      <c r="Y16" s="251">
        <f t="shared" si="14"/>
        <v>0</v>
      </c>
      <c r="Z16" s="251">
        <f t="shared" si="15"/>
        <v>0</v>
      </c>
      <c r="AA16" s="251">
        <f t="shared" si="16"/>
        <v>0</v>
      </c>
      <c r="AB16" s="251">
        <f t="shared" si="63"/>
        <v>0</v>
      </c>
      <c r="AC16" s="251">
        <f t="shared" si="64"/>
        <v>0</v>
      </c>
      <c r="AD16" s="251">
        <f t="shared" si="17"/>
        <v>0</v>
      </c>
      <c r="AE16" s="251">
        <f t="shared" si="18"/>
        <v>0</v>
      </c>
      <c r="AF16" s="251">
        <f t="shared" si="19"/>
        <v>0</v>
      </c>
      <c r="AG16" s="251">
        <f t="shared" si="20"/>
        <v>0</v>
      </c>
      <c r="AH16" s="251">
        <f t="shared" si="65"/>
        <v>0</v>
      </c>
      <c r="AI16" s="251">
        <f t="shared" si="66"/>
        <v>0</v>
      </c>
      <c r="AJ16" s="251">
        <f t="shared" si="67"/>
        <v>0</v>
      </c>
      <c r="AK16" s="251">
        <f t="shared" si="68"/>
        <v>0</v>
      </c>
      <c r="AL16" s="251">
        <f t="shared" si="69"/>
        <v>0</v>
      </c>
      <c r="AM16" s="251">
        <f t="shared" si="70"/>
        <v>0</v>
      </c>
      <c r="AN16" s="251">
        <f t="shared" si="71"/>
        <v>0</v>
      </c>
      <c r="AO16" s="251">
        <f t="shared" si="72"/>
        <v>0</v>
      </c>
      <c r="AP16" s="251">
        <f t="shared" si="21"/>
        <v>0</v>
      </c>
      <c r="AQ16" s="251">
        <f t="shared" si="22"/>
        <v>0</v>
      </c>
      <c r="AR16" s="251">
        <f t="shared" si="23"/>
        <v>0</v>
      </c>
      <c r="AS16" s="251">
        <f t="shared" si="24"/>
        <v>0</v>
      </c>
      <c r="AT16" s="251">
        <f t="shared" si="73"/>
        <v>0</v>
      </c>
      <c r="AU16" s="251">
        <f t="shared" si="74"/>
        <v>0</v>
      </c>
      <c r="AV16" s="251">
        <f t="shared" si="25"/>
        <v>0</v>
      </c>
      <c r="AW16" s="251">
        <f t="shared" si="26"/>
        <v>0</v>
      </c>
      <c r="AX16" s="251">
        <f t="shared" si="27"/>
        <v>0</v>
      </c>
      <c r="AY16" s="251">
        <f t="shared" si="28"/>
        <v>0</v>
      </c>
      <c r="AZ16" s="251">
        <f t="shared" si="29"/>
        <v>0</v>
      </c>
      <c r="BA16" s="251">
        <f t="shared" si="30"/>
        <v>0</v>
      </c>
      <c r="BB16" s="251">
        <f t="shared" si="31"/>
        <v>0</v>
      </c>
      <c r="BC16" s="251">
        <f t="shared" si="32"/>
        <v>0</v>
      </c>
      <c r="BD16" s="251">
        <f t="shared" si="33"/>
        <v>0</v>
      </c>
      <c r="BE16" s="251">
        <f t="shared" si="34"/>
        <v>0</v>
      </c>
      <c r="BF16" s="251">
        <f t="shared" si="35"/>
        <v>0</v>
      </c>
      <c r="BG16" s="251">
        <f t="shared" si="36"/>
        <v>0</v>
      </c>
      <c r="BH16" s="251">
        <f t="shared" si="75"/>
        <v>0</v>
      </c>
      <c r="BI16" s="251">
        <f t="shared" si="76"/>
        <v>0</v>
      </c>
      <c r="BJ16" s="251">
        <f t="shared" si="37"/>
        <v>0</v>
      </c>
      <c r="BK16" s="251">
        <f t="shared" si="38"/>
        <v>0</v>
      </c>
      <c r="BL16" s="251">
        <f t="shared" si="39"/>
        <v>0</v>
      </c>
      <c r="BM16" s="251">
        <f t="shared" si="40"/>
        <v>0</v>
      </c>
      <c r="BN16" s="251">
        <f t="shared" si="41"/>
        <v>0</v>
      </c>
      <c r="BO16" s="251">
        <f t="shared" si="42"/>
        <v>0</v>
      </c>
      <c r="BP16" s="251">
        <f t="shared" si="77"/>
        <v>0</v>
      </c>
      <c r="BQ16" s="251">
        <f t="shared" si="78"/>
        <v>0</v>
      </c>
      <c r="BR16" s="251">
        <f t="shared" si="43"/>
        <v>0</v>
      </c>
      <c r="BS16" s="251">
        <f t="shared" si="44"/>
        <v>0</v>
      </c>
      <c r="BT16" s="251">
        <f t="shared" si="79"/>
        <v>0</v>
      </c>
      <c r="BU16" s="251">
        <f t="shared" si="80"/>
        <v>0</v>
      </c>
      <c r="BV16" s="251">
        <f t="shared" si="81"/>
        <v>0</v>
      </c>
      <c r="BW16" s="251">
        <f t="shared" si="82"/>
        <v>0</v>
      </c>
      <c r="BX16" s="251">
        <f t="shared" si="45"/>
        <v>0</v>
      </c>
      <c r="BY16" s="251">
        <f t="shared" si="46"/>
        <v>0</v>
      </c>
      <c r="BZ16" s="251">
        <f t="shared" si="47"/>
        <v>0</v>
      </c>
      <c r="CA16" s="251">
        <f t="shared" si="48"/>
        <v>0</v>
      </c>
      <c r="CB16" s="251">
        <f t="shared" si="49"/>
        <v>0</v>
      </c>
      <c r="CC16" s="251">
        <f t="shared" si="50"/>
        <v>0</v>
      </c>
      <c r="CD16" s="251">
        <f t="shared" si="83"/>
        <v>0</v>
      </c>
      <c r="CE16" s="251">
        <f t="shared" si="84"/>
        <v>0</v>
      </c>
      <c r="CF16" s="251">
        <f t="shared" si="85"/>
        <v>0</v>
      </c>
      <c r="CG16" s="251">
        <f t="shared" si="86"/>
        <v>0</v>
      </c>
      <c r="CH16" s="251">
        <f t="shared" si="51"/>
        <v>0</v>
      </c>
      <c r="CI16" s="251">
        <f t="shared" si="52"/>
        <v>0</v>
      </c>
      <c r="CJ16" s="251">
        <f t="shared" si="87"/>
        <v>0</v>
      </c>
      <c r="CK16" s="251">
        <f t="shared" si="88"/>
        <v>0</v>
      </c>
      <c r="CL16" s="251">
        <f t="shared" si="53"/>
        <v>0</v>
      </c>
      <c r="CM16" s="251">
        <f t="shared" si="54"/>
        <v>0</v>
      </c>
      <c r="CN16" s="251">
        <f t="shared" si="55"/>
        <v>0</v>
      </c>
      <c r="CO16" s="251">
        <f t="shared" si="56"/>
        <v>0</v>
      </c>
      <c r="CP16" s="251">
        <f t="shared" si="89"/>
        <v>0</v>
      </c>
      <c r="CQ16" s="251">
        <f t="shared" si="90"/>
        <v>0</v>
      </c>
      <c r="CR16" s="251">
        <f t="shared" si="91"/>
        <v>0</v>
      </c>
      <c r="CS16" s="251">
        <f t="shared" si="92"/>
        <v>0</v>
      </c>
      <c r="CT16" s="251">
        <f t="shared" si="57"/>
        <v>0</v>
      </c>
      <c r="CU16" s="251">
        <f t="shared" si="58"/>
        <v>0</v>
      </c>
      <c r="CV16" s="251">
        <f t="shared" si="59"/>
        <v>0</v>
      </c>
      <c r="CW16" s="251">
        <f t="shared" si="60"/>
        <v>0</v>
      </c>
      <c r="CX16" s="251">
        <f t="shared" si="93"/>
        <v>0</v>
      </c>
      <c r="CY16" s="251">
        <f t="shared" si="94"/>
        <v>0</v>
      </c>
      <c r="CZ16" s="251">
        <f t="shared" si="95"/>
        <v>0</v>
      </c>
      <c r="DA16" s="251">
        <f t="shared" si="96"/>
        <v>0</v>
      </c>
    </row>
    <row r="17" spans="1:105" s="248" customFormat="1" ht="15" customHeight="1">
      <c r="A17" s="58" t="str">
        <f t="array" ref="A17">IF(C17&lt;&gt;0,SUM(($C$11:C17&lt;&gt;0)*1),"")</f>
        <v/>
      </c>
      <c r="B17" s="249"/>
      <c r="C17" s="249"/>
      <c r="D17" s="249"/>
      <c r="E17" s="326"/>
      <c r="F17" s="300"/>
      <c r="G17" s="302"/>
      <c r="H17" s="302"/>
      <c r="I17" s="58" t="str">
        <f t="shared" si="0"/>
        <v/>
      </c>
      <c r="J17" s="251">
        <f t="shared" si="61"/>
        <v>0</v>
      </c>
      <c r="K17" s="251">
        <f t="shared" si="62"/>
        <v>0</v>
      </c>
      <c r="L17" s="251">
        <f t="shared" si="1"/>
        <v>0</v>
      </c>
      <c r="M17" s="251">
        <f t="shared" si="2"/>
        <v>0</v>
      </c>
      <c r="N17" s="251">
        <f t="shared" si="3"/>
        <v>0</v>
      </c>
      <c r="O17" s="251">
        <f t="shared" si="4"/>
        <v>0</v>
      </c>
      <c r="P17" s="251">
        <f t="shared" si="5"/>
        <v>0</v>
      </c>
      <c r="Q17" s="251">
        <f t="shared" si="6"/>
        <v>0</v>
      </c>
      <c r="R17" s="251">
        <f t="shared" si="7"/>
        <v>0</v>
      </c>
      <c r="S17" s="251">
        <f t="shared" si="8"/>
        <v>0</v>
      </c>
      <c r="T17" s="251">
        <f t="shared" si="9"/>
        <v>0</v>
      </c>
      <c r="U17" s="251">
        <f t="shared" si="10"/>
        <v>0</v>
      </c>
      <c r="V17" s="251">
        <f t="shared" si="11"/>
        <v>0</v>
      </c>
      <c r="W17" s="251">
        <f t="shared" si="12"/>
        <v>0</v>
      </c>
      <c r="X17" s="251">
        <f t="shared" si="13"/>
        <v>0</v>
      </c>
      <c r="Y17" s="251">
        <f t="shared" si="14"/>
        <v>0</v>
      </c>
      <c r="Z17" s="251">
        <f t="shared" si="15"/>
        <v>0</v>
      </c>
      <c r="AA17" s="251">
        <f t="shared" si="16"/>
        <v>0</v>
      </c>
      <c r="AB17" s="251">
        <f t="shared" si="63"/>
        <v>0</v>
      </c>
      <c r="AC17" s="251">
        <f t="shared" si="64"/>
        <v>0</v>
      </c>
      <c r="AD17" s="251">
        <f t="shared" si="17"/>
        <v>0</v>
      </c>
      <c r="AE17" s="251">
        <f t="shared" si="18"/>
        <v>0</v>
      </c>
      <c r="AF17" s="251">
        <f t="shared" si="19"/>
        <v>0</v>
      </c>
      <c r="AG17" s="251">
        <f t="shared" si="20"/>
        <v>0</v>
      </c>
      <c r="AH17" s="251">
        <f t="shared" si="65"/>
        <v>0</v>
      </c>
      <c r="AI17" s="251">
        <f t="shared" si="66"/>
        <v>0</v>
      </c>
      <c r="AJ17" s="251">
        <f t="shared" si="67"/>
        <v>0</v>
      </c>
      <c r="AK17" s="251">
        <f t="shared" si="68"/>
        <v>0</v>
      </c>
      <c r="AL17" s="251">
        <f t="shared" si="69"/>
        <v>0</v>
      </c>
      <c r="AM17" s="251">
        <f t="shared" si="70"/>
        <v>0</v>
      </c>
      <c r="AN17" s="251">
        <f t="shared" si="71"/>
        <v>0</v>
      </c>
      <c r="AO17" s="251">
        <f t="shared" si="72"/>
        <v>0</v>
      </c>
      <c r="AP17" s="251">
        <f t="shared" si="21"/>
        <v>0</v>
      </c>
      <c r="AQ17" s="251">
        <f t="shared" si="22"/>
        <v>0</v>
      </c>
      <c r="AR17" s="251">
        <f t="shared" si="23"/>
        <v>0</v>
      </c>
      <c r="AS17" s="251">
        <f t="shared" si="24"/>
        <v>0</v>
      </c>
      <c r="AT17" s="251">
        <f t="shared" si="73"/>
        <v>0</v>
      </c>
      <c r="AU17" s="251">
        <f t="shared" si="74"/>
        <v>0</v>
      </c>
      <c r="AV17" s="251">
        <f t="shared" si="25"/>
        <v>0</v>
      </c>
      <c r="AW17" s="251">
        <f t="shared" si="26"/>
        <v>0</v>
      </c>
      <c r="AX17" s="251">
        <f t="shared" si="27"/>
        <v>0</v>
      </c>
      <c r="AY17" s="251">
        <f t="shared" si="28"/>
        <v>0</v>
      </c>
      <c r="AZ17" s="251">
        <f t="shared" si="29"/>
        <v>0</v>
      </c>
      <c r="BA17" s="251">
        <f t="shared" si="30"/>
        <v>0</v>
      </c>
      <c r="BB17" s="251">
        <f t="shared" si="31"/>
        <v>0</v>
      </c>
      <c r="BC17" s="251">
        <f t="shared" si="32"/>
        <v>0</v>
      </c>
      <c r="BD17" s="251">
        <f t="shared" si="33"/>
        <v>0</v>
      </c>
      <c r="BE17" s="251">
        <f t="shared" si="34"/>
        <v>0</v>
      </c>
      <c r="BF17" s="251">
        <f t="shared" si="35"/>
        <v>0</v>
      </c>
      <c r="BG17" s="251">
        <f t="shared" si="36"/>
        <v>0</v>
      </c>
      <c r="BH17" s="251">
        <f t="shared" si="75"/>
        <v>0</v>
      </c>
      <c r="BI17" s="251">
        <f t="shared" si="76"/>
        <v>0</v>
      </c>
      <c r="BJ17" s="251">
        <f t="shared" si="37"/>
        <v>0</v>
      </c>
      <c r="BK17" s="251">
        <f t="shared" si="38"/>
        <v>0</v>
      </c>
      <c r="BL17" s="251">
        <f t="shared" si="39"/>
        <v>0</v>
      </c>
      <c r="BM17" s="251">
        <f t="shared" si="40"/>
        <v>0</v>
      </c>
      <c r="BN17" s="251">
        <f t="shared" si="41"/>
        <v>0</v>
      </c>
      <c r="BO17" s="251">
        <f t="shared" si="42"/>
        <v>0</v>
      </c>
      <c r="BP17" s="251">
        <f t="shared" si="77"/>
        <v>0</v>
      </c>
      <c r="BQ17" s="251">
        <f t="shared" si="78"/>
        <v>0</v>
      </c>
      <c r="BR17" s="251">
        <f t="shared" si="43"/>
        <v>0</v>
      </c>
      <c r="BS17" s="251">
        <f t="shared" si="44"/>
        <v>0</v>
      </c>
      <c r="BT17" s="251">
        <f t="shared" si="79"/>
        <v>0</v>
      </c>
      <c r="BU17" s="251">
        <f t="shared" si="80"/>
        <v>0</v>
      </c>
      <c r="BV17" s="251">
        <f t="shared" si="81"/>
        <v>0</v>
      </c>
      <c r="BW17" s="251">
        <f t="shared" si="82"/>
        <v>0</v>
      </c>
      <c r="BX17" s="251">
        <f t="shared" si="45"/>
        <v>0</v>
      </c>
      <c r="BY17" s="251">
        <f t="shared" si="46"/>
        <v>0</v>
      </c>
      <c r="BZ17" s="251">
        <f t="shared" si="47"/>
        <v>0</v>
      </c>
      <c r="CA17" s="251">
        <f t="shared" si="48"/>
        <v>0</v>
      </c>
      <c r="CB17" s="251">
        <f t="shared" si="49"/>
        <v>0</v>
      </c>
      <c r="CC17" s="251">
        <f t="shared" si="50"/>
        <v>0</v>
      </c>
      <c r="CD17" s="251">
        <f t="shared" si="83"/>
        <v>0</v>
      </c>
      <c r="CE17" s="251">
        <f t="shared" si="84"/>
        <v>0</v>
      </c>
      <c r="CF17" s="251">
        <f t="shared" si="85"/>
        <v>0</v>
      </c>
      <c r="CG17" s="251">
        <f t="shared" si="86"/>
        <v>0</v>
      </c>
      <c r="CH17" s="251">
        <f t="shared" si="51"/>
        <v>0</v>
      </c>
      <c r="CI17" s="251">
        <f t="shared" si="52"/>
        <v>0</v>
      </c>
      <c r="CJ17" s="251">
        <f t="shared" si="87"/>
        <v>0</v>
      </c>
      <c r="CK17" s="251">
        <f t="shared" si="88"/>
        <v>0</v>
      </c>
      <c r="CL17" s="251">
        <f t="shared" si="53"/>
        <v>0</v>
      </c>
      <c r="CM17" s="251">
        <f t="shared" si="54"/>
        <v>0</v>
      </c>
      <c r="CN17" s="251">
        <f t="shared" si="55"/>
        <v>0</v>
      </c>
      <c r="CO17" s="251">
        <f t="shared" si="56"/>
        <v>0</v>
      </c>
      <c r="CP17" s="251">
        <f t="shared" si="89"/>
        <v>0</v>
      </c>
      <c r="CQ17" s="251">
        <f t="shared" si="90"/>
        <v>0</v>
      </c>
      <c r="CR17" s="251">
        <f t="shared" si="91"/>
        <v>0</v>
      </c>
      <c r="CS17" s="251">
        <f t="shared" si="92"/>
        <v>0</v>
      </c>
      <c r="CT17" s="251">
        <f t="shared" si="57"/>
        <v>0</v>
      </c>
      <c r="CU17" s="251">
        <f t="shared" si="58"/>
        <v>0</v>
      </c>
      <c r="CV17" s="251">
        <f t="shared" si="59"/>
        <v>0</v>
      </c>
      <c r="CW17" s="251">
        <f t="shared" si="60"/>
        <v>0</v>
      </c>
      <c r="CX17" s="251">
        <f t="shared" si="93"/>
        <v>0</v>
      </c>
      <c r="CY17" s="251">
        <f t="shared" si="94"/>
        <v>0</v>
      </c>
      <c r="CZ17" s="251">
        <f t="shared" si="95"/>
        <v>0</v>
      </c>
      <c r="DA17" s="251">
        <f t="shared" si="96"/>
        <v>0</v>
      </c>
    </row>
    <row r="18" spans="1:105" s="248" customFormat="1" ht="15" customHeight="1">
      <c r="A18" s="58" t="str">
        <f t="array" ref="A18">IF(C18&lt;&gt;0,SUM(($C$11:C18&lt;&gt;0)*1),"")</f>
        <v/>
      </c>
      <c r="B18" s="249"/>
      <c r="C18" s="249"/>
      <c r="D18" s="249"/>
      <c r="E18" s="326"/>
      <c r="F18" s="300"/>
      <c r="G18" s="302"/>
      <c r="H18" s="302"/>
      <c r="I18" s="58" t="str">
        <f t="shared" si="0"/>
        <v/>
      </c>
      <c r="J18" s="251">
        <f t="shared" si="61"/>
        <v>0</v>
      </c>
      <c r="K18" s="251">
        <f t="shared" si="62"/>
        <v>0</v>
      </c>
      <c r="L18" s="251">
        <f t="shared" si="1"/>
        <v>0</v>
      </c>
      <c r="M18" s="251">
        <f t="shared" si="2"/>
        <v>0</v>
      </c>
      <c r="N18" s="251">
        <f t="shared" si="3"/>
        <v>0</v>
      </c>
      <c r="O18" s="251">
        <f t="shared" si="4"/>
        <v>0</v>
      </c>
      <c r="P18" s="251">
        <f t="shared" si="5"/>
        <v>0</v>
      </c>
      <c r="Q18" s="251">
        <f t="shared" si="6"/>
        <v>0</v>
      </c>
      <c r="R18" s="251">
        <f t="shared" si="7"/>
        <v>0</v>
      </c>
      <c r="S18" s="251">
        <f t="shared" si="8"/>
        <v>0</v>
      </c>
      <c r="T18" s="251">
        <f t="shared" si="9"/>
        <v>0</v>
      </c>
      <c r="U18" s="251">
        <f t="shared" si="10"/>
        <v>0</v>
      </c>
      <c r="V18" s="251">
        <f t="shared" si="11"/>
        <v>0</v>
      </c>
      <c r="W18" s="251">
        <f t="shared" si="12"/>
        <v>0</v>
      </c>
      <c r="X18" s="251">
        <f t="shared" si="13"/>
        <v>0</v>
      </c>
      <c r="Y18" s="251">
        <f t="shared" si="14"/>
        <v>0</v>
      </c>
      <c r="Z18" s="251">
        <f t="shared" si="15"/>
        <v>0</v>
      </c>
      <c r="AA18" s="251">
        <f t="shared" si="16"/>
        <v>0</v>
      </c>
      <c r="AB18" s="251">
        <f t="shared" si="63"/>
        <v>0</v>
      </c>
      <c r="AC18" s="251">
        <f t="shared" si="64"/>
        <v>0</v>
      </c>
      <c r="AD18" s="251">
        <f t="shared" si="17"/>
        <v>0</v>
      </c>
      <c r="AE18" s="251">
        <f t="shared" si="18"/>
        <v>0</v>
      </c>
      <c r="AF18" s="251">
        <f t="shared" si="19"/>
        <v>0</v>
      </c>
      <c r="AG18" s="251">
        <f t="shared" si="20"/>
        <v>0</v>
      </c>
      <c r="AH18" s="251">
        <f t="shared" si="65"/>
        <v>0</v>
      </c>
      <c r="AI18" s="251">
        <f t="shared" si="66"/>
        <v>0</v>
      </c>
      <c r="AJ18" s="251">
        <f t="shared" si="67"/>
        <v>0</v>
      </c>
      <c r="AK18" s="251">
        <f t="shared" si="68"/>
        <v>0</v>
      </c>
      <c r="AL18" s="251">
        <f t="shared" si="69"/>
        <v>0</v>
      </c>
      <c r="AM18" s="251">
        <f t="shared" si="70"/>
        <v>0</v>
      </c>
      <c r="AN18" s="251">
        <f t="shared" si="71"/>
        <v>0</v>
      </c>
      <c r="AO18" s="251">
        <f t="shared" si="72"/>
        <v>0</v>
      </c>
      <c r="AP18" s="251">
        <f t="shared" si="21"/>
        <v>0</v>
      </c>
      <c r="AQ18" s="251">
        <f t="shared" si="22"/>
        <v>0</v>
      </c>
      <c r="AR18" s="251">
        <f t="shared" si="23"/>
        <v>0</v>
      </c>
      <c r="AS18" s="251">
        <f t="shared" si="24"/>
        <v>0</v>
      </c>
      <c r="AT18" s="251">
        <f t="shared" si="73"/>
        <v>0</v>
      </c>
      <c r="AU18" s="251">
        <f t="shared" si="74"/>
        <v>0</v>
      </c>
      <c r="AV18" s="251">
        <f t="shared" si="25"/>
        <v>0</v>
      </c>
      <c r="AW18" s="251">
        <f t="shared" si="26"/>
        <v>0</v>
      </c>
      <c r="AX18" s="251">
        <f t="shared" si="27"/>
        <v>0</v>
      </c>
      <c r="AY18" s="251">
        <f t="shared" si="28"/>
        <v>0</v>
      </c>
      <c r="AZ18" s="251">
        <f t="shared" si="29"/>
        <v>0</v>
      </c>
      <c r="BA18" s="251">
        <f t="shared" si="30"/>
        <v>0</v>
      </c>
      <c r="BB18" s="251">
        <f t="shared" si="31"/>
        <v>0</v>
      </c>
      <c r="BC18" s="251">
        <f t="shared" si="32"/>
        <v>0</v>
      </c>
      <c r="BD18" s="251">
        <f t="shared" si="33"/>
        <v>0</v>
      </c>
      <c r="BE18" s="251">
        <f t="shared" si="34"/>
        <v>0</v>
      </c>
      <c r="BF18" s="251">
        <f t="shared" si="35"/>
        <v>0</v>
      </c>
      <c r="BG18" s="251">
        <f t="shared" si="36"/>
        <v>0</v>
      </c>
      <c r="BH18" s="251">
        <f t="shared" si="75"/>
        <v>0</v>
      </c>
      <c r="BI18" s="251">
        <f t="shared" si="76"/>
        <v>0</v>
      </c>
      <c r="BJ18" s="251">
        <f t="shared" si="37"/>
        <v>0</v>
      </c>
      <c r="BK18" s="251">
        <f t="shared" si="38"/>
        <v>0</v>
      </c>
      <c r="BL18" s="251">
        <f t="shared" si="39"/>
        <v>0</v>
      </c>
      <c r="BM18" s="251">
        <f t="shared" si="40"/>
        <v>0</v>
      </c>
      <c r="BN18" s="251">
        <f t="shared" si="41"/>
        <v>0</v>
      </c>
      <c r="BO18" s="251">
        <f t="shared" si="42"/>
        <v>0</v>
      </c>
      <c r="BP18" s="251">
        <f t="shared" si="77"/>
        <v>0</v>
      </c>
      <c r="BQ18" s="251">
        <f t="shared" si="78"/>
        <v>0</v>
      </c>
      <c r="BR18" s="251">
        <f t="shared" si="43"/>
        <v>0</v>
      </c>
      <c r="BS18" s="251">
        <f t="shared" si="44"/>
        <v>0</v>
      </c>
      <c r="BT18" s="251">
        <f t="shared" si="79"/>
        <v>0</v>
      </c>
      <c r="BU18" s="251">
        <f t="shared" si="80"/>
        <v>0</v>
      </c>
      <c r="BV18" s="251">
        <f t="shared" si="81"/>
        <v>0</v>
      </c>
      <c r="BW18" s="251">
        <f t="shared" si="82"/>
        <v>0</v>
      </c>
      <c r="BX18" s="251">
        <f t="shared" si="45"/>
        <v>0</v>
      </c>
      <c r="BY18" s="251">
        <f t="shared" si="46"/>
        <v>0</v>
      </c>
      <c r="BZ18" s="251">
        <f t="shared" si="47"/>
        <v>0</v>
      </c>
      <c r="CA18" s="251">
        <f t="shared" si="48"/>
        <v>0</v>
      </c>
      <c r="CB18" s="251">
        <f t="shared" si="49"/>
        <v>0</v>
      </c>
      <c r="CC18" s="251">
        <f t="shared" si="50"/>
        <v>0</v>
      </c>
      <c r="CD18" s="251">
        <f t="shared" si="83"/>
        <v>0</v>
      </c>
      <c r="CE18" s="251">
        <f t="shared" si="84"/>
        <v>0</v>
      </c>
      <c r="CF18" s="251">
        <f t="shared" si="85"/>
        <v>0</v>
      </c>
      <c r="CG18" s="251">
        <f t="shared" si="86"/>
        <v>0</v>
      </c>
      <c r="CH18" s="251">
        <f t="shared" si="51"/>
        <v>0</v>
      </c>
      <c r="CI18" s="251">
        <f t="shared" si="52"/>
        <v>0</v>
      </c>
      <c r="CJ18" s="251">
        <f t="shared" si="87"/>
        <v>0</v>
      </c>
      <c r="CK18" s="251">
        <f t="shared" si="88"/>
        <v>0</v>
      </c>
      <c r="CL18" s="251">
        <f t="shared" si="53"/>
        <v>0</v>
      </c>
      <c r="CM18" s="251">
        <f t="shared" si="54"/>
        <v>0</v>
      </c>
      <c r="CN18" s="251">
        <f t="shared" si="55"/>
        <v>0</v>
      </c>
      <c r="CO18" s="251">
        <f t="shared" si="56"/>
        <v>0</v>
      </c>
      <c r="CP18" s="251">
        <f t="shared" si="89"/>
        <v>0</v>
      </c>
      <c r="CQ18" s="251">
        <f t="shared" si="90"/>
        <v>0</v>
      </c>
      <c r="CR18" s="251">
        <f t="shared" si="91"/>
        <v>0</v>
      </c>
      <c r="CS18" s="251">
        <f t="shared" si="92"/>
        <v>0</v>
      </c>
      <c r="CT18" s="251">
        <f t="shared" si="57"/>
        <v>0</v>
      </c>
      <c r="CU18" s="251">
        <f t="shared" si="58"/>
        <v>0</v>
      </c>
      <c r="CV18" s="251">
        <f t="shared" si="59"/>
        <v>0</v>
      </c>
      <c r="CW18" s="251">
        <f t="shared" si="60"/>
        <v>0</v>
      </c>
      <c r="CX18" s="251">
        <f t="shared" si="93"/>
        <v>0</v>
      </c>
      <c r="CY18" s="251">
        <f t="shared" si="94"/>
        <v>0</v>
      </c>
      <c r="CZ18" s="251">
        <f t="shared" si="95"/>
        <v>0</v>
      </c>
      <c r="DA18" s="251">
        <f t="shared" si="96"/>
        <v>0</v>
      </c>
    </row>
    <row r="19" spans="1:105" s="248" customFormat="1" ht="15" customHeight="1">
      <c r="A19" s="58" t="str">
        <f t="array" ref="A19">IF(C19&lt;&gt;0,SUM(($C$11:C19&lt;&gt;0)*1),"")</f>
        <v/>
      </c>
      <c r="B19" s="249"/>
      <c r="C19" s="249"/>
      <c r="D19" s="249"/>
      <c r="E19" s="326"/>
      <c r="F19" s="300"/>
      <c r="G19" s="302"/>
      <c r="H19" s="302"/>
      <c r="I19" s="58" t="str">
        <f t="shared" si="0"/>
        <v/>
      </c>
      <c r="J19" s="251">
        <f t="shared" si="61"/>
        <v>0</v>
      </c>
      <c r="K19" s="251">
        <f t="shared" si="62"/>
        <v>0</v>
      </c>
      <c r="L19" s="251">
        <f t="shared" si="1"/>
        <v>0</v>
      </c>
      <c r="M19" s="251">
        <f t="shared" si="2"/>
        <v>0</v>
      </c>
      <c r="N19" s="251">
        <f t="shared" si="3"/>
        <v>0</v>
      </c>
      <c r="O19" s="251">
        <f t="shared" si="4"/>
        <v>0</v>
      </c>
      <c r="P19" s="251">
        <f t="shared" si="5"/>
        <v>0</v>
      </c>
      <c r="Q19" s="251">
        <f t="shared" si="6"/>
        <v>0</v>
      </c>
      <c r="R19" s="251">
        <f t="shared" si="7"/>
        <v>0</v>
      </c>
      <c r="S19" s="251">
        <f t="shared" si="8"/>
        <v>0</v>
      </c>
      <c r="T19" s="251">
        <f t="shared" si="9"/>
        <v>0</v>
      </c>
      <c r="U19" s="251">
        <f t="shared" si="10"/>
        <v>0</v>
      </c>
      <c r="V19" s="251">
        <f t="shared" si="11"/>
        <v>0</v>
      </c>
      <c r="W19" s="251">
        <f t="shared" si="12"/>
        <v>0</v>
      </c>
      <c r="X19" s="251">
        <f t="shared" si="13"/>
        <v>0</v>
      </c>
      <c r="Y19" s="251">
        <f t="shared" si="14"/>
        <v>0</v>
      </c>
      <c r="Z19" s="251">
        <f t="shared" si="15"/>
        <v>0</v>
      </c>
      <c r="AA19" s="251">
        <f t="shared" si="16"/>
        <v>0</v>
      </c>
      <c r="AB19" s="251">
        <f t="shared" si="63"/>
        <v>0</v>
      </c>
      <c r="AC19" s="251">
        <f t="shared" si="64"/>
        <v>0</v>
      </c>
      <c r="AD19" s="251">
        <f t="shared" si="17"/>
        <v>0</v>
      </c>
      <c r="AE19" s="251">
        <f t="shared" si="18"/>
        <v>0</v>
      </c>
      <c r="AF19" s="251">
        <f t="shared" si="19"/>
        <v>0</v>
      </c>
      <c r="AG19" s="251">
        <f t="shared" si="20"/>
        <v>0</v>
      </c>
      <c r="AH19" s="251">
        <f t="shared" si="65"/>
        <v>0</v>
      </c>
      <c r="AI19" s="251">
        <f t="shared" si="66"/>
        <v>0</v>
      </c>
      <c r="AJ19" s="251">
        <f t="shared" si="67"/>
        <v>0</v>
      </c>
      <c r="AK19" s="251">
        <f t="shared" si="68"/>
        <v>0</v>
      </c>
      <c r="AL19" s="251">
        <f t="shared" si="69"/>
        <v>0</v>
      </c>
      <c r="AM19" s="251">
        <f t="shared" si="70"/>
        <v>0</v>
      </c>
      <c r="AN19" s="251">
        <f t="shared" si="71"/>
        <v>0</v>
      </c>
      <c r="AO19" s="251">
        <f t="shared" si="72"/>
        <v>0</v>
      </c>
      <c r="AP19" s="251">
        <f t="shared" si="21"/>
        <v>0</v>
      </c>
      <c r="AQ19" s="251">
        <f t="shared" si="22"/>
        <v>0</v>
      </c>
      <c r="AR19" s="251">
        <f t="shared" si="23"/>
        <v>0</v>
      </c>
      <c r="AS19" s="251">
        <f t="shared" si="24"/>
        <v>0</v>
      </c>
      <c r="AT19" s="251">
        <f t="shared" si="73"/>
        <v>0</v>
      </c>
      <c r="AU19" s="251">
        <f t="shared" si="74"/>
        <v>0</v>
      </c>
      <c r="AV19" s="251">
        <f t="shared" si="25"/>
        <v>0</v>
      </c>
      <c r="AW19" s="251">
        <f t="shared" si="26"/>
        <v>0</v>
      </c>
      <c r="AX19" s="251">
        <f t="shared" si="27"/>
        <v>0</v>
      </c>
      <c r="AY19" s="251">
        <f t="shared" si="28"/>
        <v>0</v>
      </c>
      <c r="AZ19" s="251">
        <f t="shared" si="29"/>
        <v>0</v>
      </c>
      <c r="BA19" s="251">
        <f t="shared" si="30"/>
        <v>0</v>
      </c>
      <c r="BB19" s="251">
        <f t="shared" si="31"/>
        <v>0</v>
      </c>
      <c r="BC19" s="251">
        <f t="shared" si="32"/>
        <v>0</v>
      </c>
      <c r="BD19" s="251">
        <f t="shared" si="33"/>
        <v>0</v>
      </c>
      <c r="BE19" s="251">
        <f t="shared" si="34"/>
        <v>0</v>
      </c>
      <c r="BF19" s="251">
        <f t="shared" si="35"/>
        <v>0</v>
      </c>
      <c r="BG19" s="251">
        <f t="shared" si="36"/>
        <v>0</v>
      </c>
      <c r="BH19" s="251">
        <f t="shared" si="75"/>
        <v>0</v>
      </c>
      <c r="BI19" s="251">
        <f t="shared" si="76"/>
        <v>0</v>
      </c>
      <c r="BJ19" s="251">
        <f t="shared" si="37"/>
        <v>0</v>
      </c>
      <c r="BK19" s="251">
        <f t="shared" si="38"/>
        <v>0</v>
      </c>
      <c r="BL19" s="251">
        <f t="shared" si="39"/>
        <v>0</v>
      </c>
      <c r="BM19" s="251">
        <f t="shared" si="40"/>
        <v>0</v>
      </c>
      <c r="BN19" s="251">
        <f t="shared" si="41"/>
        <v>0</v>
      </c>
      <c r="BO19" s="251">
        <f t="shared" si="42"/>
        <v>0</v>
      </c>
      <c r="BP19" s="251">
        <f t="shared" si="77"/>
        <v>0</v>
      </c>
      <c r="BQ19" s="251">
        <f t="shared" si="78"/>
        <v>0</v>
      </c>
      <c r="BR19" s="251">
        <f t="shared" si="43"/>
        <v>0</v>
      </c>
      <c r="BS19" s="251">
        <f t="shared" si="44"/>
        <v>0</v>
      </c>
      <c r="BT19" s="251">
        <f t="shared" si="79"/>
        <v>0</v>
      </c>
      <c r="BU19" s="251">
        <f t="shared" si="80"/>
        <v>0</v>
      </c>
      <c r="BV19" s="251">
        <f t="shared" si="81"/>
        <v>0</v>
      </c>
      <c r="BW19" s="251">
        <f t="shared" si="82"/>
        <v>0</v>
      </c>
      <c r="BX19" s="251">
        <f t="shared" si="45"/>
        <v>0</v>
      </c>
      <c r="BY19" s="251">
        <f t="shared" si="46"/>
        <v>0</v>
      </c>
      <c r="BZ19" s="251">
        <f t="shared" si="47"/>
        <v>0</v>
      </c>
      <c r="CA19" s="251">
        <f t="shared" si="48"/>
        <v>0</v>
      </c>
      <c r="CB19" s="251">
        <f t="shared" si="49"/>
        <v>0</v>
      </c>
      <c r="CC19" s="251">
        <f t="shared" si="50"/>
        <v>0</v>
      </c>
      <c r="CD19" s="251">
        <f t="shared" si="83"/>
        <v>0</v>
      </c>
      <c r="CE19" s="251">
        <f t="shared" si="84"/>
        <v>0</v>
      </c>
      <c r="CF19" s="251">
        <f t="shared" si="85"/>
        <v>0</v>
      </c>
      <c r="CG19" s="251">
        <f t="shared" si="86"/>
        <v>0</v>
      </c>
      <c r="CH19" s="251">
        <f t="shared" si="51"/>
        <v>0</v>
      </c>
      <c r="CI19" s="251">
        <f t="shared" si="52"/>
        <v>0</v>
      </c>
      <c r="CJ19" s="251">
        <f t="shared" si="87"/>
        <v>0</v>
      </c>
      <c r="CK19" s="251">
        <f t="shared" si="88"/>
        <v>0</v>
      </c>
      <c r="CL19" s="251">
        <f t="shared" si="53"/>
        <v>0</v>
      </c>
      <c r="CM19" s="251">
        <f t="shared" si="54"/>
        <v>0</v>
      </c>
      <c r="CN19" s="251">
        <f t="shared" si="55"/>
        <v>0</v>
      </c>
      <c r="CO19" s="251">
        <f t="shared" si="56"/>
        <v>0</v>
      </c>
      <c r="CP19" s="251">
        <f t="shared" si="89"/>
        <v>0</v>
      </c>
      <c r="CQ19" s="251">
        <f t="shared" si="90"/>
        <v>0</v>
      </c>
      <c r="CR19" s="251">
        <f t="shared" si="91"/>
        <v>0</v>
      </c>
      <c r="CS19" s="251">
        <f t="shared" si="92"/>
        <v>0</v>
      </c>
      <c r="CT19" s="251">
        <f t="shared" si="57"/>
        <v>0</v>
      </c>
      <c r="CU19" s="251">
        <f t="shared" si="58"/>
        <v>0</v>
      </c>
      <c r="CV19" s="251">
        <f t="shared" si="59"/>
        <v>0</v>
      </c>
      <c r="CW19" s="251">
        <f t="shared" si="60"/>
        <v>0</v>
      </c>
      <c r="CX19" s="251">
        <f t="shared" si="93"/>
        <v>0</v>
      </c>
      <c r="CY19" s="251">
        <f t="shared" si="94"/>
        <v>0</v>
      </c>
      <c r="CZ19" s="251">
        <f t="shared" si="95"/>
        <v>0</v>
      </c>
      <c r="DA19" s="251">
        <f t="shared" si="96"/>
        <v>0</v>
      </c>
    </row>
    <row r="20" spans="1:105" s="248" customFormat="1" ht="15" customHeight="1">
      <c r="A20" s="58" t="str">
        <f t="array" ref="A20">IF(C20&lt;&gt;0,SUM(($C$11:C20&lt;&gt;0)*1),"")</f>
        <v/>
      </c>
      <c r="B20" s="249"/>
      <c r="C20" s="249"/>
      <c r="D20" s="249"/>
      <c r="E20" s="326"/>
      <c r="F20" s="300"/>
      <c r="G20" s="302"/>
      <c r="H20" s="302"/>
      <c r="I20" s="58" t="str">
        <f t="shared" si="0"/>
        <v/>
      </c>
      <c r="J20" s="251">
        <f t="shared" si="61"/>
        <v>0</v>
      </c>
      <c r="K20" s="251">
        <f t="shared" si="62"/>
        <v>0</v>
      </c>
      <c r="L20" s="251">
        <f t="shared" si="1"/>
        <v>0</v>
      </c>
      <c r="M20" s="251">
        <f t="shared" si="2"/>
        <v>0</v>
      </c>
      <c r="N20" s="251">
        <f t="shared" si="3"/>
        <v>0</v>
      </c>
      <c r="O20" s="251">
        <f t="shared" si="4"/>
        <v>0</v>
      </c>
      <c r="P20" s="251">
        <f t="shared" si="5"/>
        <v>0</v>
      </c>
      <c r="Q20" s="251">
        <f t="shared" si="6"/>
        <v>0</v>
      </c>
      <c r="R20" s="251">
        <f t="shared" si="7"/>
        <v>0</v>
      </c>
      <c r="S20" s="251">
        <f t="shared" si="8"/>
        <v>0</v>
      </c>
      <c r="T20" s="251">
        <f t="shared" si="9"/>
        <v>0</v>
      </c>
      <c r="U20" s="251">
        <f t="shared" si="10"/>
        <v>0</v>
      </c>
      <c r="V20" s="251">
        <f t="shared" si="11"/>
        <v>0</v>
      </c>
      <c r="W20" s="251">
        <f t="shared" si="12"/>
        <v>0</v>
      </c>
      <c r="X20" s="251">
        <f t="shared" si="13"/>
        <v>0</v>
      </c>
      <c r="Y20" s="251">
        <f t="shared" si="14"/>
        <v>0</v>
      </c>
      <c r="Z20" s="251">
        <f t="shared" si="15"/>
        <v>0</v>
      </c>
      <c r="AA20" s="251">
        <f t="shared" si="16"/>
        <v>0</v>
      </c>
      <c r="AB20" s="251">
        <f t="shared" si="63"/>
        <v>0</v>
      </c>
      <c r="AC20" s="251">
        <f t="shared" si="64"/>
        <v>0</v>
      </c>
      <c r="AD20" s="251">
        <f t="shared" si="17"/>
        <v>0</v>
      </c>
      <c r="AE20" s="251">
        <f t="shared" si="18"/>
        <v>0</v>
      </c>
      <c r="AF20" s="251">
        <f t="shared" si="19"/>
        <v>0</v>
      </c>
      <c r="AG20" s="251">
        <f t="shared" si="20"/>
        <v>0</v>
      </c>
      <c r="AH20" s="251">
        <f t="shared" si="65"/>
        <v>0</v>
      </c>
      <c r="AI20" s="251">
        <f t="shared" si="66"/>
        <v>0</v>
      </c>
      <c r="AJ20" s="251">
        <f t="shared" si="67"/>
        <v>0</v>
      </c>
      <c r="AK20" s="251">
        <f t="shared" si="68"/>
        <v>0</v>
      </c>
      <c r="AL20" s="251">
        <f t="shared" si="69"/>
        <v>0</v>
      </c>
      <c r="AM20" s="251">
        <f t="shared" si="70"/>
        <v>0</v>
      </c>
      <c r="AN20" s="251">
        <f t="shared" si="71"/>
        <v>0</v>
      </c>
      <c r="AO20" s="251">
        <f t="shared" si="72"/>
        <v>0</v>
      </c>
      <c r="AP20" s="251">
        <f t="shared" si="21"/>
        <v>0</v>
      </c>
      <c r="AQ20" s="251">
        <f t="shared" si="22"/>
        <v>0</v>
      </c>
      <c r="AR20" s="251">
        <f t="shared" si="23"/>
        <v>0</v>
      </c>
      <c r="AS20" s="251">
        <f t="shared" si="24"/>
        <v>0</v>
      </c>
      <c r="AT20" s="251">
        <f t="shared" si="73"/>
        <v>0</v>
      </c>
      <c r="AU20" s="251">
        <f t="shared" si="74"/>
        <v>0</v>
      </c>
      <c r="AV20" s="251">
        <f t="shared" si="25"/>
        <v>0</v>
      </c>
      <c r="AW20" s="251">
        <f t="shared" si="26"/>
        <v>0</v>
      </c>
      <c r="AX20" s="251">
        <f t="shared" si="27"/>
        <v>0</v>
      </c>
      <c r="AY20" s="251">
        <f t="shared" si="28"/>
        <v>0</v>
      </c>
      <c r="AZ20" s="251">
        <f t="shared" si="29"/>
        <v>0</v>
      </c>
      <c r="BA20" s="251">
        <f t="shared" si="30"/>
        <v>0</v>
      </c>
      <c r="BB20" s="251">
        <f t="shared" si="31"/>
        <v>0</v>
      </c>
      <c r="BC20" s="251">
        <f t="shared" si="32"/>
        <v>0</v>
      </c>
      <c r="BD20" s="251">
        <f t="shared" si="33"/>
        <v>0</v>
      </c>
      <c r="BE20" s="251">
        <f t="shared" si="34"/>
        <v>0</v>
      </c>
      <c r="BF20" s="251">
        <f t="shared" si="35"/>
        <v>0</v>
      </c>
      <c r="BG20" s="251">
        <f t="shared" si="36"/>
        <v>0</v>
      </c>
      <c r="BH20" s="251">
        <f t="shared" si="75"/>
        <v>0</v>
      </c>
      <c r="BI20" s="251">
        <f t="shared" si="76"/>
        <v>0</v>
      </c>
      <c r="BJ20" s="251">
        <f t="shared" si="37"/>
        <v>0</v>
      </c>
      <c r="BK20" s="251">
        <f t="shared" si="38"/>
        <v>0</v>
      </c>
      <c r="BL20" s="251">
        <f t="shared" si="39"/>
        <v>0</v>
      </c>
      <c r="BM20" s="251">
        <f t="shared" si="40"/>
        <v>0</v>
      </c>
      <c r="BN20" s="251">
        <f t="shared" si="41"/>
        <v>0</v>
      </c>
      <c r="BO20" s="251">
        <f t="shared" si="42"/>
        <v>0</v>
      </c>
      <c r="BP20" s="251">
        <f t="shared" si="77"/>
        <v>0</v>
      </c>
      <c r="BQ20" s="251">
        <f t="shared" si="78"/>
        <v>0</v>
      </c>
      <c r="BR20" s="251">
        <f t="shared" si="43"/>
        <v>0</v>
      </c>
      <c r="BS20" s="251">
        <f t="shared" si="44"/>
        <v>0</v>
      </c>
      <c r="BT20" s="251">
        <f t="shared" si="79"/>
        <v>0</v>
      </c>
      <c r="BU20" s="251">
        <f t="shared" si="80"/>
        <v>0</v>
      </c>
      <c r="BV20" s="251">
        <f t="shared" si="81"/>
        <v>0</v>
      </c>
      <c r="BW20" s="251">
        <f t="shared" si="82"/>
        <v>0</v>
      </c>
      <c r="BX20" s="251">
        <f t="shared" si="45"/>
        <v>0</v>
      </c>
      <c r="BY20" s="251">
        <f t="shared" si="46"/>
        <v>0</v>
      </c>
      <c r="BZ20" s="251">
        <f t="shared" si="47"/>
        <v>0</v>
      </c>
      <c r="CA20" s="251">
        <f t="shared" si="48"/>
        <v>0</v>
      </c>
      <c r="CB20" s="251">
        <f t="shared" si="49"/>
        <v>0</v>
      </c>
      <c r="CC20" s="251">
        <f t="shared" si="50"/>
        <v>0</v>
      </c>
      <c r="CD20" s="251">
        <f t="shared" si="83"/>
        <v>0</v>
      </c>
      <c r="CE20" s="251">
        <f t="shared" si="84"/>
        <v>0</v>
      </c>
      <c r="CF20" s="251">
        <f t="shared" si="85"/>
        <v>0</v>
      </c>
      <c r="CG20" s="251">
        <f t="shared" si="86"/>
        <v>0</v>
      </c>
      <c r="CH20" s="251">
        <f t="shared" si="51"/>
        <v>0</v>
      </c>
      <c r="CI20" s="251">
        <f t="shared" si="52"/>
        <v>0</v>
      </c>
      <c r="CJ20" s="251">
        <f t="shared" si="87"/>
        <v>0</v>
      </c>
      <c r="CK20" s="251">
        <f t="shared" si="88"/>
        <v>0</v>
      </c>
      <c r="CL20" s="251">
        <f t="shared" si="53"/>
        <v>0</v>
      </c>
      <c r="CM20" s="251">
        <f t="shared" si="54"/>
        <v>0</v>
      </c>
      <c r="CN20" s="251">
        <f t="shared" si="55"/>
        <v>0</v>
      </c>
      <c r="CO20" s="251">
        <f t="shared" si="56"/>
        <v>0</v>
      </c>
      <c r="CP20" s="251">
        <f t="shared" si="89"/>
        <v>0</v>
      </c>
      <c r="CQ20" s="251">
        <f t="shared" si="90"/>
        <v>0</v>
      </c>
      <c r="CR20" s="251">
        <f t="shared" si="91"/>
        <v>0</v>
      </c>
      <c r="CS20" s="251">
        <f t="shared" si="92"/>
        <v>0</v>
      </c>
      <c r="CT20" s="251">
        <f t="shared" si="57"/>
        <v>0</v>
      </c>
      <c r="CU20" s="251">
        <f t="shared" si="58"/>
        <v>0</v>
      </c>
      <c r="CV20" s="251">
        <f t="shared" si="59"/>
        <v>0</v>
      </c>
      <c r="CW20" s="251">
        <f t="shared" si="60"/>
        <v>0</v>
      </c>
      <c r="CX20" s="251">
        <f t="shared" si="93"/>
        <v>0</v>
      </c>
      <c r="CY20" s="251">
        <f t="shared" si="94"/>
        <v>0</v>
      </c>
      <c r="CZ20" s="251">
        <f t="shared" si="95"/>
        <v>0</v>
      </c>
      <c r="DA20" s="251">
        <f t="shared" si="96"/>
        <v>0</v>
      </c>
    </row>
    <row r="21" spans="1:105" s="248" customFormat="1" ht="15" customHeight="1">
      <c r="A21" s="58" t="str">
        <f t="array" ref="A21">IF(C21&lt;&gt;0,SUM(($C$11:C21&lt;&gt;0)*1),"")</f>
        <v/>
      </c>
      <c r="B21" s="249"/>
      <c r="C21" s="249"/>
      <c r="D21" s="249"/>
      <c r="E21" s="326"/>
      <c r="F21" s="300"/>
      <c r="G21" s="302"/>
      <c r="H21" s="302"/>
      <c r="I21" s="58" t="str">
        <f t="shared" si="0"/>
        <v/>
      </c>
      <c r="J21" s="251">
        <f t="shared" si="61"/>
        <v>0</v>
      </c>
      <c r="K21" s="251">
        <f t="shared" si="62"/>
        <v>0</v>
      </c>
      <c r="L21" s="251">
        <f t="shared" si="1"/>
        <v>0</v>
      </c>
      <c r="M21" s="251">
        <f t="shared" si="2"/>
        <v>0</v>
      </c>
      <c r="N21" s="251">
        <f t="shared" si="3"/>
        <v>0</v>
      </c>
      <c r="O21" s="251">
        <f t="shared" si="4"/>
        <v>0</v>
      </c>
      <c r="P21" s="251">
        <f t="shared" si="5"/>
        <v>0</v>
      </c>
      <c r="Q21" s="251">
        <f t="shared" si="6"/>
        <v>0</v>
      </c>
      <c r="R21" s="251">
        <f t="shared" si="7"/>
        <v>0</v>
      </c>
      <c r="S21" s="251">
        <f t="shared" si="8"/>
        <v>0</v>
      </c>
      <c r="T21" s="251">
        <f t="shared" si="9"/>
        <v>0</v>
      </c>
      <c r="U21" s="251">
        <f t="shared" si="10"/>
        <v>0</v>
      </c>
      <c r="V21" s="251">
        <f t="shared" si="11"/>
        <v>0</v>
      </c>
      <c r="W21" s="251">
        <f t="shared" si="12"/>
        <v>0</v>
      </c>
      <c r="X21" s="251">
        <f t="shared" si="13"/>
        <v>0</v>
      </c>
      <c r="Y21" s="251">
        <f t="shared" si="14"/>
        <v>0</v>
      </c>
      <c r="Z21" s="251">
        <f t="shared" si="15"/>
        <v>0</v>
      </c>
      <c r="AA21" s="251">
        <f t="shared" si="16"/>
        <v>0</v>
      </c>
      <c r="AB21" s="251">
        <f t="shared" si="63"/>
        <v>0</v>
      </c>
      <c r="AC21" s="251">
        <f t="shared" si="64"/>
        <v>0</v>
      </c>
      <c r="AD21" s="251">
        <f t="shared" si="17"/>
        <v>0</v>
      </c>
      <c r="AE21" s="251">
        <f t="shared" si="18"/>
        <v>0</v>
      </c>
      <c r="AF21" s="251">
        <f t="shared" si="19"/>
        <v>0</v>
      </c>
      <c r="AG21" s="251">
        <f t="shared" si="20"/>
        <v>0</v>
      </c>
      <c r="AH21" s="251">
        <f t="shared" si="65"/>
        <v>0</v>
      </c>
      <c r="AI21" s="251">
        <f t="shared" si="66"/>
        <v>0</v>
      </c>
      <c r="AJ21" s="251">
        <f t="shared" si="67"/>
        <v>0</v>
      </c>
      <c r="AK21" s="251">
        <f t="shared" si="68"/>
        <v>0</v>
      </c>
      <c r="AL21" s="251">
        <f t="shared" si="69"/>
        <v>0</v>
      </c>
      <c r="AM21" s="251">
        <f t="shared" si="70"/>
        <v>0</v>
      </c>
      <c r="AN21" s="251">
        <f t="shared" si="71"/>
        <v>0</v>
      </c>
      <c r="AO21" s="251">
        <f t="shared" si="72"/>
        <v>0</v>
      </c>
      <c r="AP21" s="251">
        <f t="shared" si="21"/>
        <v>0</v>
      </c>
      <c r="AQ21" s="251">
        <f t="shared" si="22"/>
        <v>0</v>
      </c>
      <c r="AR21" s="251">
        <f t="shared" si="23"/>
        <v>0</v>
      </c>
      <c r="AS21" s="251">
        <f t="shared" si="24"/>
        <v>0</v>
      </c>
      <c r="AT21" s="251">
        <f t="shared" si="73"/>
        <v>0</v>
      </c>
      <c r="AU21" s="251">
        <f t="shared" si="74"/>
        <v>0</v>
      </c>
      <c r="AV21" s="251">
        <f t="shared" si="25"/>
        <v>0</v>
      </c>
      <c r="AW21" s="251">
        <f t="shared" si="26"/>
        <v>0</v>
      </c>
      <c r="AX21" s="251">
        <f t="shared" si="27"/>
        <v>0</v>
      </c>
      <c r="AY21" s="251">
        <f t="shared" si="28"/>
        <v>0</v>
      </c>
      <c r="AZ21" s="251">
        <f t="shared" si="29"/>
        <v>0</v>
      </c>
      <c r="BA21" s="251">
        <f t="shared" si="30"/>
        <v>0</v>
      </c>
      <c r="BB21" s="251">
        <f t="shared" si="31"/>
        <v>0</v>
      </c>
      <c r="BC21" s="251">
        <f t="shared" si="32"/>
        <v>0</v>
      </c>
      <c r="BD21" s="251">
        <f t="shared" si="33"/>
        <v>0</v>
      </c>
      <c r="BE21" s="251">
        <f t="shared" si="34"/>
        <v>0</v>
      </c>
      <c r="BF21" s="251">
        <f t="shared" si="35"/>
        <v>0</v>
      </c>
      <c r="BG21" s="251">
        <f t="shared" si="36"/>
        <v>0</v>
      </c>
      <c r="BH21" s="251">
        <f t="shared" si="75"/>
        <v>0</v>
      </c>
      <c r="BI21" s="251">
        <f t="shared" si="76"/>
        <v>0</v>
      </c>
      <c r="BJ21" s="251">
        <f t="shared" si="37"/>
        <v>0</v>
      </c>
      <c r="BK21" s="251">
        <f t="shared" si="38"/>
        <v>0</v>
      </c>
      <c r="BL21" s="251">
        <f t="shared" si="39"/>
        <v>0</v>
      </c>
      <c r="BM21" s="251">
        <f t="shared" si="40"/>
        <v>0</v>
      </c>
      <c r="BN21" s="251">
        <f t="shared" si="41"/>
        <v>0</v>
      </c>
      <c r="BO21" s="251">
        <f t="shared" si="42"/>
        <v>0</v>
      </c>
      <c r="BP21" s="251">
        <f t="shared" si="77"/>
        <v>0</v>
      </c>
      <c r="BQ21" s="251">
        <f t="shared" si="78"/>
        <v>0</v>
      </c>
      <c r="BR21" s="251">
        <f t="shared" si="43"/>
        <v>0</v>
      </c>
      <c r="BS21" s="251">
        <f t="shared" si="44"/>
        <v>0</v>
      </c>
      <c r="BT21" s="251">
        <f t="shared" si="79"/>
        <v>0</v>
      </c>
      <c r="BU21" s="251">
        <f t="shared" si="80"/>
        <v>0</v>
      </c>
      <c r="BV21" s="251">
        <f t="shared" si="81"/>
        <v>0</v>
      </c>
      <c r="BW21" s="251">
        <f t="shared" si="82"/>
        <v>0</v>
      </c>
      <c r="BX21" s="251">
        <f t="shared" si="45"/>
        <v>0</v>
      </c>
      <c r="BY21" s="251">
        <f t="shared" si="46"/>
        <v>0</v>
      </c>
      <c r="BZ21" s="251">
        <f t="shared" si="47"/>
        <v>0</v>
      </c>
      <c r="CA21" s="251">
        <f t="shared" si="48"/>
        <v>0</v>
      </c>
      <c r="CB21" s="251">
        <f t="shared" si="49"/>
        <v>0</v>
      </c>
      <c r="CC21" s="251">
        <f t="shared" si="50"/>
        <v>0</v>
      </c>
      <c r="CD21" s="251">
        <f t="shared" si="83"/>
        <v>0</v>
      </c>
      <c r="CE21" s="251">
        <f t="shared" si="84"/>
        <v>0</v>
      </c>
      <c r="CF21" s="251">
        <f t="shared" si="85"/>
        <v>0</v>
      </c>
      <c r="CG21" s="251">
        <f t="shared" si="86"/>
        <v>0</v>
      </c>
      <c r="CH21" s="251">
        <f t="shared" si="51"/>
        <v>0</v>
      </c>
      <c r="CI21" s="251">
        <f t="shared" si="52"/>
        <v>0</v>
      </c>
      <c r="CJ21" s="251">
        <f t="shared" si="87"/>
        <v>0</v>
      </c>
      <c r="CK21" s="251">
        <f t="shared" si="88"/>
        <v>0</v>
      </c>
      <c r="CL21" s="251">
        <f t="shared" si="53"/>
        <v>0</v>
      </c>
      <c r="CM21" s="251">
        <f t="shared" si="54"/>
        <v>0</v>
      </c>
      <c r="CN21" s="251">
        <f t="shared" si="55"/>
        <v>0</v>
      </c>
      <c r="CO21" s="251">
        <f t="shared" si="56"/>
        <v>0</v>
      </c>
      <c r="CP21" s="251">
        <f t="shared" si="89"/>
        <v>0</v>
      </c>
      <c r="CQ21" s="251">
        <f t="shared" si="90"/>
        <v>0</v>
      </c>
      <c r="CR21" s="251">
        <f t="shared" si="91"/>
        <v>0</v>
      </c>
      <c r="CS21" s="251">
        <f t="shared" si="92"/>
        <v>0</v>
      </c>
      <c r="CT21" s="251">
        <f t="shared" si="57"/>
        <v>0</v>
      </c>
      <c r="CU21" s="251">
        <f t="shared" si="58"/>
        <v>0</v>
      </c>
      <c r="CV21" s="251">
        <f t="shared" si="59"/>
        <v>0</v>
      </c>
      <c r="CW21" s="251">
        <f t="shared" si="60"/>
        <v>0</v>
      </c>
      <c r="CX21" s="251">
        <f t="shared" si="93"/>
        <v>0</v>
      </c>
      <c r="CY21" s="251">
        <f t="shared" si="94"/>
        <v>0</v>
      </c>
      <c r="CZ21" s="251">
        <f t="shared" si="95"/>
        <v>0</v>
      </c>
      <c r="DA21" s="251">
        <f t="shared" si="96"/>
        <v>0</v>
      </c>
    </row>
    <row r="22" spans="1:105" s="248" customFormat="1" ht="15" customHeight="1">
      <c r="A22" s="58" t="str">
        <f t="array" ref="A22">IF(C22&lt;&gt;0,SUM(($C$11:C22&lt;&gt;0)*1),"")</f>
        <v/>
      </c>
      <c r="B22" s="249"/>
      <c r="C22" s="249"/>
      <c r="D22" s="249"/>
      <c r="E22" s="326"/>
      <c r="F22" s="300"/>
      <c r="G22" s="302"/>
      <c r="H22" s="302"/>
      <c r="I22" s="58" t="str">
        <f t="shared" ref="I22:I50" si="97">A22</f>
        <v/>
      </c>
      <c r="J22" s="251">
        <f t="shared" si="61"/>
        <v>0</v>
      </c>
      <c r="K22" s="251">
        <f t="shared" si="62"/>
        <v>0</v>
      </c>
      <c r="L22" s="251">
        <f t="shared" si="1"/>
        <v>0</v>
      </c>
      <c r="M22" s="251">
        <f t="shared" si="2"/>
        <v>0</v>
      </c>
      <c r="N22" s="251">
        <f t="shared" si="3"/>
        <v>0</v>
      </c>
      <c r="O22" s="251">
        <f t="shared" si="4"/>
        <v>0</v>
      </c>
      <c r="P22" s="251">
        <f t="shared" si="5"/>
        <v>0</v>
      </c>
      <c r="Q22" s="251">
        <f t="shared" si="6"/>
        <v>0</v>
      </c>
      <c r="R22" s="251">
        <f t="shared" si="7"/>
        <v>0</v>
      </c>
      <c r="S22" s="251">
        <f t="shared" si="8"/>
        <v>0</v>
      </c>
      <c r="T22" s="251">
        <f t="shared" si="9"/>
        <v>0</v>
      </c>
      <c r="U22" s="251">
        <f t="shared" si="10"/>
        <v>0</v>
      </c>
      <c r="V22" s="251">
        <f t="shared" si="11"/>
        <v>0</v>
      </c>
      <c r="W22" s="251">
        <f t="shared" si="12"/>
        <v>0</v>
      </c>
      <c r="X22" s="251">
        <f t="shared" si="13"/>
        <v>0</v>
      </c>
      <c r="Y22" s="251">
        <f t="shared" si="14"/>
        <v>0</v>
      </c>
      <c r="Z22" s="251">
        <f t="shared" si="15"/>
        <v>0</v>
      </c>
      <c r="AA22" s="251">
        <f t="shared" si="16"/>
        <v>0</v>
      </c>
      <c r="AB22" s="251">
        <f t="shared" si="63"/>
        <v>0</v>
      </c>
      <c r="AC22" s="251">
        <f t="shared" si="64"/>
        <v>0</v>
      </c>
      <c r="AD22" s="251">
        <f t="shared" si="17"/>
        <v>0</v>
      </c>
      <c r="AE22" s="251">
        <f t="shared" si="18"/>
        <v>0</v>
      </c>
      <c r="AF22" s="251">
        <f t="shared" si="19"/>
        <v>0</v>
      </c>
      <c r="AG22" s="251">
        <f t="shared" si="20"/>
        <v>0</v>
      </c>
      <c r="AH22" s="251">
        <f t="shared" si="65"/>
        <v>0</v>
      </c>
      <c r="AI22" s="251">
        <f t="shared" si="66"/>
        <v>0</v>
      </c>
      <c r="AJ22" s="251">
        <f t="shared" si="67"/>
        <v>0</v>
      </c>
      <c r="AK22" s="251">
        <f t="shared" si="68"/>
        <v>0</v>
      </c>
      <c r="AL22" s="251">
        <f t="shared" si="69"/>
        <v>0</v>
      </c>
      <c r="AM22" s="251">
        <f t="shared" si="70"/>
        <v>0</v>
      </c>
      <c r="AN22" s="251">
        <f t="shared" si="71"/>
        <v>0</v>
      </c>
      <c r="AO22" s="251">
        <f t="shared" si="72"/>
        <v>0</v>
      </c>
      <c r="AP22" s="251">
        <f t="shared" si="21"/>
        <v>0</v>
      </c>
      <c r="AQ22" s="251">
        <f t="shared" si="22"/>
        <v>0</v>
      </c>
      <c r="AR22" s="251">
        <f t="shared" si="23"/>
        <v>0</v>
      </c>
      <c r="AS22" s="251">
        <f t="shared" si="24"/>
        <v>0</v>
      </c>
      <c r="AT22" s="251">
        <f t="shared" si="73"/>
        <v>0</v>
      </c>
      <c r="AU22" s="251">
        <f t="shared" si="74"/>
        <v>0</v>
      </c>
      <c r="AV22" s="251">
        <f t="shared" si="25"/>
        <v>0</v>
      </c>
      <c r="AW22" s="251">
        <f t="shared" si="26"/>
        <v>0</v>
      </c>
      <c r="AX22" s="251">
        <f t="shared" si="27"/>
        <v>0</v>
      </c>
      <c r="AY22" s="251">
        <f t="shared" si="28"/>
        <v>0</v>
      </c>
      <c r="AZ22" s="251">
        <f t="shared" si="29"/>
        <v>0</v>
      </c>
      <c r="BA22" s="251">
        <f t="shared" si="30"/>
        <v>0</v>
      </c>
      <c r="BB22" s="251">
        <f t="shared" si="31"/>
        <v>0</v>
      </c>
      <c r="BC22" s="251">
        <f t="shared" si="32"/>
        <v>0</v>
      </c>
      <c r="BD22" s="251">
        <f t="shared" si="33"/>
        <v>0</v>
      </c>
      <c r="BE22" s="251">
        <f t="shared" si="34"/>
        <v>0</v>
      </c>
      <c r="BF22" s="251">
        <f t="shared" si="35"/>
        <v>0</v>
      </c>
      <c r="BG22" s="251">
        <f t="shared" si="36"/>
        <v>0</v>
      </c>
      <c r="BH22" s="251">
        <f t="shared" si="75"/>
        <v>0</v>
      </c>
      <c r="BI22" s="251">
        <f t="shared" si="76"/>
        <v>0</v>
      </c>
      <c r="BJ22" s="251">
        <f t="shared" si="37"/>
        <v>0</v>
      </c>
      <c r="BK22" s="251">
        <f t="shared" si="38"/>
        <v>0</v>
      </c>
      <c r="BL22" s="251">
        <f t="shared" si="39"/>
        <v>0</v>
      </c>
      <c r="BM22" s="251">
        <f t="shared" si="40"/>
        <v>0</v>
      </c>
      <c r="BN22" s="251">
        <f t="shared" si="41"/>
        <v>0</v>
      </c>
      <c r="BO22" s="251">
        <f t="shared" si="42"/>
        <v>0</v>
      </c>
      <c r="BP22" s="251">
        <f t="shared" si="77"/>
        <v>0</v>
      </c>
      <c r="BQ22" s="251">
        <f t="shared" si="78"/>
        <v>0</v>
      </c>
      <c r="BR22" s="251">
        <f t="shared" si="43"/>
        <v>0</v>
      </c>
      <c r="BS22" s="251">
        <f t="shared" si="44"/>
        <v>0</v>
      </c>
      <c r="BT22" s="251">
        <f t="shared" si="79"/>
        <v>0</v>
      </c>
      <c r="BU22" s="251">
        <f t="shared" si="80"/>
        <v>0</v>
      </c>
      <c r="BV22" s="251">
        <f t="shared" si="81"/>
        <v>0</v>
      </c>
      <c r="BW22" s="251">
        <f t="shared" si="82"/>
        <v>0</v>
      </c>
      <c r="BX22" s="251">
        <f t="shared" si="45"/>
        <v>0</v>
      </c>
      <c r="BY22" s="251">
        <f t="shared" si="46"/>
        <v>0</v>
      </c>
      <c r="BZ22" s="251">
        <f t="shared" si="47"/>
        <v>0</v>
      </c>
      <c r="CA22" s="251">
        <f t="shared" si="48"/>
        <v>0</v>
      </c>
      <c r="CB22" s="251">
        <f t="shared" si="49"/>
        <v>0</v>
      </c>
      <c r="CC22" s="251">
        <f t="shared" si="50"/>
        <v>0</v>
      </c>
      <c r="CD22" s="251">
        <f t="shared" si="83"/>
        <v>0</v>
      </c>
      <c r="CE22" s="251">
        <f t="shared" si="84"/>
        <v>0</v>
      </c>
      <c r="CF22" s="251">
        <f t="shared" si="85"/>
        <v>0</v>
      </c>
      <c r="CG22" s="251">
        <f t="shared" si="86"/>
        <v>0</v>
      </c>
      <c r="CH22" s="251">
        <f t="shared" si="51"/>
        <v>0</v>
      </c>
      <c r="CI22" s="251">
        <f t="shared" si="52"/>
        <v>0</v>
      </c>
      <c r="CJ22" s="251">
        <f t="shared" si="87"/>
        <v>0</v>
      </c>
      <c r="CK22" s="251">
        <f t="shared" si="88"/>
        <v>0</v>
      </c>
      <c r="CL22" s="251">
        <f t="shared" si="53"/>
        <v>0</v>
      </c>
      <c r="CM22" s="251">
        <f t="shared" si="54"/>
        <v>0</v>
      </c>
      <c r="CN22" s="251">
        <f t="shared" si="55"/>
        <v>0</v>
      </c>
      <c r="CO22" s="251">
        <f t="shared" si="56"/>
        <v>0</v>
      </c>
      <c r="CP22" s="251">
        <f t="shared" si="89"/>
        <v>0</v>
      </c>
      <c r="CQ22" s="251">
        <f t="shared" si="90"/>
        <v>0</v>
      </c>
      <c r="CR22" s="251">
        <f t="shared" si="91"/>
        <v>0</v>
      </c>
      <c r="CS22" s="251">
        <f t="shared" si="92"/>
        <v>0</v>
      </c>
      <c r="CT22" s="251">
        <f t="shared" si="57"/>
        <v>0</v>
      </c>
      <c r="CU22" s="251">
        <f t="shared" si="58"/>
        <v>0</v>
      </c>
      <c r="CV22" s="251">
        <f t="shared" si="59"/>
        <v>0</v>
      </c>
      <c r="CW22" s="251">
        <f t="shared" si="60"/>
        <v>0</v>
      </c>
      <c r="CX22" s="251">
        <f t="shared" si="93"/>
        <v>0</v>
      </c>
      <c r="CY22" s="251">
        <f t="shared" si="94"/>
        <v>0</v>
      </c>
      <c r="CZ22" s="251">
        <f t="shared" si="95"/>
        <v>0</v>
      </c>
      <c r="DA22" s="251">
        <f t="shared" si="96"/>
        <v>0</v>
      </c>
    </row>
    <row r="23" spans="1:105" s="248" customFormat="1" ht="15" customHeight="1">
      <c r="A23" s="58" t="str">
        <f t="array" ref="A23">IF(C23&lt;&gt;0,SUM(($C$11:C23&lt;&gt;0)*1),"")</f>
        <v/>
      </c>
      <c r="B23" s="249"/>
      <c r="C23" s="249"/>
      <c r="D23" s="249"/>
      <c r="E23" s="326"/>
      <c r="F23" s="300"/>
      <c r="G23" s="302"/>
      <c r="H23" s="302"/>
      <c r="I23" s="58" t="str">
        <f t="shared" si="97"/>
        <v/>
      </c>
      <c r="J23" s="251">
        <f t="shared" si="61"/>
        <v>0</v>
      </c>
      <c r="K23" s="251">
        <f t="shared" si="62"/>
        <v>0</v>
      </c>
      <c r="L23" s="251">
        <f t="shared" si="1"/>
        <v>0</v>
      </c>
      <c r="M23" s="251">
        <f t="shared" si="2"/>
        <v>0</v>
      </c>
      <c r="N23" s="251">
        <f t="shared" si="3"/>
        <v>0</v>
      </c>
      <c r="O23" s="251">
        <f t="shared" si="4"/>
        <v>0</v>
      </c>
      <c r="P23" s="251">
        <f t="shared" si="5"/>
        <v>0</v>
      </c>
      <c r="Q23" s="251">
        <f t="shared" si="6"/>
        <v>0</v>
      </c>
      <c r="R23" s="251">
        <f t="shared" si="7"/>
        <v>0</v>
      </c>
      <c r="S23" s="251">
        <f t="shared" si="8"/>
        <v>0</v>
      </c>
      <c r="T23" s="251">
        <f t="shared" si="9"/>
        <v>0</v>
      </c>
      <c r="U23" s="251">
        <f t="shared" si="10"/>
        <v>0</v>
      </c>
      <c r="V23" s="251">
        <f t="shared" si="11"/>
        <v>0</v>
      </c>
      <c r="W23" s="251">
        <f t="shared" si="12"/>
        <v>0</v>
      </c>
      <c r="X23" s="251">
        <f t="shared" si="13"/>
        <v>0</v>
      </c>
      <c r="Y23" s="251">
        <f t="shared" si="14"/>
        <v>0</v>
      </c>
      <c r="Z23" s="251">
        <f t="shared" si="15"/>
        <v>0</v>
      </c>
      <c r="AA23" s="251">
        <f t="shared" si="16"/>
        <v>0</v>
      </c>
      <c r="AB23" s="251">
        <f t="shared" si="63"/>
        <v>0</v>
      </c>
      <c r="AC23" s="251">
        <f t="shared" si="64"/>
        <v>0</v>
      </c>
      <c r="AD23" s="251">
        <f t="shared" si="17"/>
        <v>0</v>
      </c>
      <c r="AE23" s="251">
        <f t="shared" si="18"/>
        <v>0</v>
      </c>
      <c r="AF23" s="251">
        <f t="shared" si="19"/>
        <v>0</v>
      </c>
      <c r="AG23" s="251">
        <f t="shared" si="20"/>
        <v>0</v>
      </c>
      <c r="AH23" s="251">
        <f t="shared" si="65"/>
        <v>0</v>
      </c>
      <c r="AI23" s="251">
        <f t="shared" si="66"/>
        <v>0</v>
      </c>
      <c r="AJ23" s="251">
        <f t="shared" si="67"/>
        <v>0</v>
      </c>
      <c r="AK23" s="251">
        <f t="shared" si="68"/>
        <v>0</v>
      </c>
      <c r="AL23" s="251">
        <f t="shared" si="69"/>
        <v>0</v>
      </c>
      <c r="AM23" s="251">
        <f t="shared" si="70"/>
        <v>0</v>
      </c>
      <c r="AN23" s="251">
        <f t="shared" si="71"/>
        <v>0</v>
      </c>
      <c r="AO23" s="251">
        <f t="shared" si="72"/>
        <v>0</v>
      </c>
      <c r="AP23" s="251">
        <f t="shared" si="21"/>
        <v>0</v>
      </c>
      <c r="AQ23" s="251">
        <f t="shared" si="22"/>
        <v>0</v>
      </c>
      <c r="AR23" s="251">
        <f t="shared" si="23"/>
        <v>0</v>
      </c>
      <c r="AS23" s="251">
        <f t="shared" si="24"/>
        <v>0</v>
      </c>
      <c r="AT23" s="251">
        <f t="shared" si="73"/>
        <v>0</v>
      </c>
      <c r="AU23" s="251">
        <f t="shared" si="74"/>
        <v>0</v>
      </c>
      <c r="AV23" s="251">
        <f t="shared" si="25"/>
        <v>0</v>
      </c>
      <c r="AW23" s="251">
        <f t="shared" si="26"/>
        <v>0</v>
      </c>
      <c r="AX23" s="251">
        <f t="shared" si="27"/>
        <v>0</v>
      </c>
      <c r="AY23" s="251">
        <f t="shared" si="28"/>
        <v>0</v>
      </c>
      <c r="AZ23" s="251">
        <f t="shared" si="29"/>
        <v>0</v>
      </c>
      <c r="BA23" s="251">
        <f t="shared" si="30"/>
        <v>0</v>
      </c>
      <c r="BB23" s="251">
        <f t="shared" si="31"/>
        <v>0</v>
      </c>
      <c r="BC23" s="251">
        <f t="shared" si="32"/>
        <v>0</v>
      </c>
      <c r="BD23" s="251">
        <f t="shared" si="33"/>
        <v>0</v>
      </c>
      <c r="BE23" s="251">
        <f t="shared" si="34"/>
        <v>0</v>
      </c>
      <c r="BF23" s="251">
        <f t="shared" si="35"/>
        <v>0</v>
      </c>
      <c r="BG23" s="251">
        <f t="shared" si="36"/>
        <v>0</v>
      </c>
      <c r="BH23" s="251">
        <f t="shared" si="75"/>
        <v>0</v>
      </c>
      <c r="BI23" s="251">
        <f t="shared" si="76"/>
        <v>0</v>
      </c>
      <c r="BJ23" s="251">
        <f t="shared" si="37"/>
        <v>0</v>
      </c>
      <c r="BK23" s="251">
        <f t="shared" si="38"/>
        <v>0</v>
      </c>
      <c r="BL23" s="251">
        <f t="shared" si="39"/>
        <v>0</v>
      </c>
      <c r="BM23" s="251">
        <f t="shared" si="40"/>
        <v>0</v>
      </c>
      <c r="BN23" s="251">
        <f t="shared" si="41"/>
        <v>0</v>
      </c>
      <c r="BO23" s="251">
        <f t="shared" si="42"/>
        <v>0</v>
      </c>
      <c r="BP23" s="251">
        <f t="shared" si="77"/>
        <v>0</v>
      </c>
      <c r="BQ23" s="251">
        <f t="shared" si="78"/>
        <v>0</v>
      </c>
      <c r="BR23" s="251">
        <f t="shared" si="43"/>
        <v>0</v>
      </c>
      <c r="BS23" s="251">
        <f t="shared" si="44"/>
        <v>0</v>
      </c>
      <c r="BT23" s="251">
        <f t="shared" si="79"/>
        <v>0</v>
      </c>
      <c r="BU23" s="251">
        <f t="shared" si="80"/>
        <v>0</v>
      </c>
      <c r="BV23" s="251">
        <f t="shared" si="81"/>
        <v>0</v>
      </c>
      <c r="BW23" s="251">
        <f t="shared" si="82"/>
        <v>0</v>
      </c>
      <c r="BX23" s="251">
        <f t="shared" si="45"/>
        <v>0</v>
      </c>
      <c r="BY23" s="251">
        <f t="shared" si="46"/>
        <v>0</v>
      </c>
      <c r="BZ23" s="251">
        <f t="shared" si="47"/>
        <v>0</v>
      </c>
      <c r="CA23" s="251">
        <f t="shared" si="48"/>
        <v>0</v>
      </c>
      <c r="CB23" s="251">
        <f t="shared" si="49"/>
        <v>0</v>
      </c>
      <c r="CC23" s="251">
        <f t="shared" si="50"/>
        <v>0</v>
      </c>
      <c r="CD23" s="251">
        <f t="shared" si="83"/>
        <v>0</v>
      </c>
      <c r="CE23" s="251">
        <f t="shared" si="84"/>
        <v>0</v>
      </c>
      <c r="CF23" s="251">
        <f t="shared" si="85"/>
        <v>0</v>
      </c>
      <c r="CG23" s="251">
        <f t="shared" si="86"/>
        <v>0</v>
      </c>
      <c r="CH23" s="251">
        <f t="shared" si="51"/>
        <v>0</v>
      </c>
      <c r="CI23" s="251">
        <f t="shared" si="52"/>
        <v>0</v>
      </c>
      <c r="CJ23" s="251">
        <f t="shared" si="87"/>
        <v>0</v>
      </c>
      <c r="CK23" s="251">
        <f t="shared" si="88"/>
        <v>0</v>
      </c>
      <c r="CL23" s="251">
        <f t="shared" si="53"/>
        <v>0</v>
      </c>
      <c r="CM23" s="251">
        <f t="shared" si="54"/>
        <v>0</v>
      </c>
      <c r="CN23" s="251">
        <f t="shared" si="55"/>
        <v>0</v>
      </c>
      <c r="CO23" s="251">
        <f t="shared" si="56"/>
        <v>0</v>
      </c>
      <c r="CP23" s="251">
        <f t="shared" si="89"/>
        <v>0</v>
      </c>
      <c r="CQ23" s="251">
        <f t="shared" si="90"/>
        <v>0</v>
      </c>
      <c r="CR23" s="251">
        <f t="shared" si="91"/>
        <v>0</v>
      </c>
      <c r="CS23" s="251">
        <f t="shared" si="92"/>
        <v>0</v>
      </c>
      <c r="CT23" s="251">
        <f t="shared" si="57"/>
        <v>0</v>
      </c>
      <c r="CU23" s="251">
        <f t="shared" si="58"/>
        <v>0</v>
      </c>
      <c r="CV23" s="251">
        <f t="shared" si="59"/>
        <v>0</v>
      </c>
      <c r="CW23" s="251">
        <f t="shared" si="60"/>
        <v>0</v>
      </c>
      <c r="CX23" s="251">
        <f t="shared" si="93"/>
        <v>0</v>
      </c>
      <c r="CY23" s="251">
        <f t="shared" si="94"/>
        <v>0</v>
      </c>
      <c r="CZ23" s="251">
        <f t="shared" si="95"/>
        <v>0</v>
      </c>
      <c r="DA23" s="251">
        <f t="shared" si="96"/>
        <v>0</v>
      </c>
    </row>
    <row r="24" spans="1:105" s="248" customFormat="1" ht="15" customHeight="1">
      <c r="A24" s="58" t="str">
        <f t="array" ref="A24">IF(C24&lt;&gt;0,SUM(($C$11:C24&lt;&gt;0)*1),"")</f>
        <v/>
      </c>
      <c r="B24" s="249"/>
      <c r="C24" s="249"/>
      <c r="D24" s="249"/>
      <c r="E24" s="326"/>
      <c r="F24" s="300"/>
      <c r="G24" s="302"/>
      <c r="H24" s="302"/>
      <c r="I24" s="58" t="str">
        <f t="shared" si="97"/>
        <v/>
      </c>
      <c r="J24" s="251">
        <f t="shared" si="61"/>
        <v>0</v>
      </c>
      <c r="K24" s="251">
        <f t="shared" si="62"/>
        <v>0</v>
      </c>
      <c r="L24" s="251">
        <f t="shared" si="1"/>
        <v>0</v>
      </c>
      <c r="M24" s="251">
        <f t="shared" si="2"/>
        <v>0</v>
      </c>
      <c r="N24" s="251">
        <f t="shared" si="3"/>
        <v>0</v>
      </c>
      <c r="O24" s="251">
        <f t="shared" si="4"/>
        <v>0</v>
      </c>
      <c r="P24" s="251">
        <f t="shared" si="5"/>
        <v>0</v>
      </c>
      <c r="Q24" s="251">
        <f t="shared" si="6"/>
        <v>0</v>
      </c>
      <c r="R24" s="251">
        <f t="shared" si="7"/>
        <v>0</v>
      </c>
      <c r="S24" s="251">
        <f t="shared" si="8"/>
        <v>0</v>
      </c>
      <c r="T24" s="251">
        <f t="shared" si="9"/>
        <v>0</v>
      </c>
      <c r="U24" s="251">
        <f t="shared" si="10"/>
        <v>0</v>
      </c>
      <c r="V24" s="251">
        <f t="shared" si="11"/>
        <v>0</v>
      </c>
      <c r="W24" s="251">
        <f t="shared" si="12"/>
        <v>0</v>
      </c>
      <c r="X24" s="251">
        <f t="shared" si="13"/>
        <v>0</v>
      </c>
      <c r="Y24" s="251">
        <f t="shared" si="14"/>
        <v>0</v>
      </c>
      <c r="Z24" s="251">
        <f t="shared" si="15"/>
        <v>0</v>
      </c>
      <c r="AA24" s="251">
        <f t="shared" si="16"/>
        <v>0</v>
      </c>
      <c r="AB24" s="251">
        <f t="shared" si="63"/>
        <v>0</v>
      </c>
      <c r="AC24" s="251">
        <f t="shared" si="64"/>
        <v>0</v>
      </c>
      <c r="AD24" s="251">
        <f t="shared" si="17"/>
        <v>0</v>
      </c>
      <c r="AE24" s="251">
        <f t="shared" si="18"/>
        <v>0</v>
      </c>
      <c r="AF24" s="251">
        <f t="shared" si="19"/>
        <v>0</v>
      </c>
      <c r="AG24" s="251">
        <f t="shared" si="20"/>
        <v>0</v>
      </c>
      <c r="AH24" s="251">
        <f t="shared" si="65"/>
        <v>0</v>
      </c>
      <c r="AI24" s="251">
        <f t="shared" si="66"/>
        <v>0</v>
      </c>
      <c r="AJ24" s="251">
        <f t="shared" si="67"/>
        <v>0</v>
      </c>
      <c r="AK24" s="251">
        <f t="shared" si="68"/>
        <v>0</v>
      </c>
      <c r="AL24" s="251">
        <f t="shared" si="69"/>
        <v>0</v>
      </c>
      <c r="AM24" s="251">
        <f t="shared" si="70"/>
        <v>0</v>
      </c>
      <c r="AN24" s="251">
        <f t="shared" si="71"/>
        <v>0</v>
      </c>
      <c r="AO24" s="251">
        <f t="shared" si="72"/>
        <v>0</v>
      </c>
      <c r="AP24" s="251">
        <f t="shared" si="21"/>
        <v>0</v>
      </c>
      <c r="AQ24" s="251">
        <f t="shared" si="22"/>
        <v>0</v>
      </c>
      <c r="AR24" s="251">
        <f t="shared" si="23"/>
        <v>0</v>
      </c>
      <c r="AS24" s="251">
        <f t="shared" si="24"/>
        <v>0</v>
      </c>
      <c r="AT24" s="251">
        <f t="shared" si="73"/>
        <v>0</v>
      </c>
      <c r="AU24" s="251">
        <f t="shared" si="74"/>
        <v>0</v>
      </c>
      <c r="AV24" s="251">
        <f t="shared" si="25"/>
        <v>0</v>
      </c>
      <c r="AW24" s="251">
        <f t="shared" si="26"/>
        <v>0</v>
      </c>
      <c r="AX24" s="251">
        <f t="shared" si="27"/>
        <v>0</v>
      </c>
      <c r="AY24" s="251">
        <f t="shared" si="28"/>
        <v>0</v>
      </c>
      <c r="AZ24" s="251">
        <f t="shared" si="29"/>
        <v>0</v>
      </c>
      <c r="BA24" s="251">
        <f t="shared" si="30"/>
        <v>0</v>
      </c>
      <c r="BB24" s="251">
        <f t="shared" si="31"/>
        <v>0</v>
      </c>
      <c r="BC24" s="251">
        <f t="shared" si="32"/>
        <v>0</v>
      </c>
      <c r="BD24" s="251">
        <f t="shared" si="33"/>
        <v>0</v>
      </c>
      <c r="BE24" s="251">
        <f t="shared" si="34"/>
        <v>0</v>
      </c>
      <c r="BF24" s="251">
        <f t="shared" si="35"/>
        <v>0</v>
      </c>
      <c r="BG24" s="251">
        <f t="shared" si="36"/>
        <v>0</v>
      </c>
      <c r="BH24" s="251">
        <f t="shared" si="75"/>
        <v>0</v>
      </c>
      <c r="BI24" s="251">
        <f t="shared" si="76"/>
        <v>0</v>
      </c>
      <c r="BJ24" s="251">
        <f t="shared" si="37"/>
        <v>0</v>
      </c>
      <c r="BK24" s="251">
        <f t="shared" si="38"/>
        <v>0</v>
      </c>
      <c r="BL24" s="251">
        <f t="shared" si="39"/>
        <v>0</v>
      </c>
      <c r="BM24" s="251">
        <f t="shared" si="40"/>
        <v>0</v>
      </c>
      <c r="BN24" s="251">
        <f t="shared" si="41"/>
        <v>0</v>
      </c>
      <c r="BO24" s="251">
        <f t="shared" si="42"/>
        <v>0</v>
      </c>
      <c r="BP24" s="251">
        <f t="shared" si="77"/>
        <v>0</v>
      </c>
      <c r="BQ24" s="251">
        <f t="shared" si="78"/>
        <v>0</v>
      </c>
      <c r="BR24" s="251">
        <f t="shared" si="43"/>
        <v>0</v>
      </c>
      <c r="BS24" s="251">
        <f t="shared" si="44"/>
        <v>0</v>
      </c>
      <c r="BT24" s="251">
        <f t="shared" si="79"/>
        <v>0</v>
      </c>
      <c r="BU24" s="251">
        <f t="shared" si="80"/>
        <v>0</v>
      </c>
      <c r="BV24" s="251">
        <f t="shared" si="81"/>
        <v>0</v>
      </c>
      <c r="BW24" s="251">
        <f t="shared" si="82"/>
        <v>0</v>
      </c>
      <c r="BX24" s="251">
        <f t="shared" si="45"/>
        <v>0</v>
      </c>
      <c r="BY24" s="251">
        <f t="shared" si="46"/>
        <v>0</v>
      </c>
      <c r="BZ24" s="251">
        <f t="shared" si="47"/>
        <v>0</v>
      </c>
      <c r="CA24" s="251">
        <f t="shared" si="48"/>
        <v>0</v>
      </c>
      <c r="CB24" s="251">
        <f t="shared" si="49"/>
        <v>0</v>
      </c>
      <c r="CC24" s="251">
        <f t="shared" si="50"/>
        <v>0</v>
      </c>
      <c r="CD24" s="251">
        <f t="shared" si="83"/>
        <v>0</v>
      </c>
      <c r="CE24" s="251">
        <f t="shared" si="84"/>
        <v>0</v>
      </c>
      <c r="CF24" s="251">
        <f t="shared" si="85"/>
        <v>0</v>
      </c>
      <c r="CG24" s="251">
        <f t="shared" si="86"/>
        <v>0</v>
      </c>
      <c r="CH24" s="251">
        <f t="shared" si="51"/>
        <v>0</v>
      </c>
      <c r="CI24" s="251">
        <f t="shared" si="52"/>
        <v>0</v>
      </c>
      <c r="CJ24" s="251">
        <f t="shared" si="87"/>
        <v>0</v>
      </c>
      <c r="CK24" s="251">
        <f t="shared" si="88"/>
        <v>0</v>
      </c>
      <c r="CL24" s="251">
        <f t="shared" si="53"/>
        <v>0</v>
      </c>
      <c r="CM24" s="251">
        <f t="shared" si="54"/>
        <v>0</v>
      </c>
      <c r="CN24" s="251">
        <f t="shared" si="55"/>
        <v>0</v>
      </c>
      <c r="CO24" s="251">
        <f t="shared" si="56"/>
        <v>0</v>
      </c>
      <c r="CP24" s="251">
        <f t="shared" si="89"/>
        <v>0</v>
      </c>
      <c r="CQ24" s="251">
        <f t="shared" si="90"/>
        <v>0</v>
      </c>
      <c r="CR24" s="251">
        <f t="shared" si="91"/>
        <v>0</v>
      </c>
      <c r="CS24" s="251">
        <f t="shared" si="92"/>
        <v>0</v>
      </c>
      <c r="CT24" s="251">
        <f t="shared" si="57"/>
        <v>0</v>
      </c>
      <c r="CU24" s="251">
        <f t="shared" si="58"/>
        <v>0</v>
      </c>
      <c r="CV24" s="251">
        <f t="shared" si="59"/>
        <v>0</v>
      </c>
      <c r="CW24" s="251">
        <f t="shared" si="60"/>
        <v>0</v>
      </c>
      <c r="CX24" s="251">
        <f t="shared" si="93"/>
        <v>0</v>
      </c>
      <c r="CY24" s="251">
        <f t="shared" si="94"/>
        <v>0</v>
      </c>
      <c r="CZ24" s="251">
        <f t="shared" si="95"/>
        <v>0</v>
      </c>
      <c r="DA24" s="251">
        <f t="shared" si="96"/>
        <v>0</v>
      </c>
    </row>
    <row r="25" spans="1:105" s="248" customFormat="1" ht="15" customHeight="1">
      <c r="A25" s="58" t="str">
        <f t="array" ref="A25">IF(C25&lt;&gt;0,SUM(($C$11:C25&lt;&gt;0)*1),"")</f>
        <v/>
      </c>
      <c r="B25" s="249"/>
      <c r="C25" s="249"/>
      <c r="D25" s="249"/>
      <c r="E25" s="326"/>
      <c r="F25" s="300"/>
      <c r="G25" s="302"/>
      <c r="H25" s="302"/>
      <c r="I25" s="58" t="str">
        <f t="shared" si="97"/>
        <v/>
      </c>
      <c r="J25" s="251">
        <f t="shared" si="61"/>
        <v>0</v>
      </c>
      <c r="K25" s="251">
        <f t="shared" si="62"/>
        <v>0</v>
      </c>
      <c r="L25" s="251">
        <f t="shared" si="1"/>
        <v>0</v>
      </c>
      <c r="M25" s="251">
        <f t="shared" si="2"/>
        <v>0</v>
      </c>
      <c r="N25" s="251">
        <f t="shared" si="3"/>
        <v>0</v>
      </c>
      <c r="O25" s="251">
        <f t="shared" si="4"/>
        <v>0</v>
      </c>
      <c r="P25" s="251">
        <f t="shared" si="5"/>
        <v>0</v>
      </c>
      <c r="Q25" s="251">
        <f t="shared" si="6"/>
        <v>0</v>
      </c>
      <c r="R25" s="251">
        <f t="shared" si="7"/>
        <v>0</v>
      </c>
      <c r="S25" s="251">
        <f t="shared" si="8"/>
        <v>0</v>
      </c>
      <c r="T25" s="251">
        <f t="shared" si="9"/>
        <v>0</v>
      </c>
      <c r="U25" s="251">
        <f t="shared" si="10"/>
        <v>0</v>
      </c>
      <c r="V25" s="251">
        <f t="shared" si="11"/>
        <v>0</v>
      </c>
      <c r="W25" s="251">
        <f t="shared" si="12"/>
        <v>0</v>
      </c>
      <c r="X25" s="251">
        <f t="shared" si="13"/>
        <v>0</v>
      </c>
      <c r="Y25" s="251">
        <f t="shared" si="14"/>
        <v>0</v>
      </c>
      <c r="Z25" s="251">
        <f t="shared" si="15"/>
        <v>0</v>
      </c>
      <c r="AA25" s="251">
        <f t="shared" si="16"/>
        <v>0</v>
      </c>
      <c r="AB25" s="251">
        <f t="shared" si="63"/>
        <v>0</v>
      </c>
      <c r="AC25" s="251">
        <f t="shared" si="64"/>
        <v>0</v>
      </c>
      <c r="AD25" s="251">
        <f t="shared" si="17"/>
        <v>0</v>
      </c>
      <c r="AE25" s="251">
        <f t="shared" si="18"/>
        <v>0</v>
      </c>
      <c r="AF25" s="251">
        <f t="shared" si="19"/>
        <v>0</v>
      </c>
      <c r="AG25" s="251">
        <f t="shared" si="20"/>
        <v>0</v>
      </c>
      <c r="AH25" s="251">
        <f t="shared" si="65"/>
        <v>0</v>
      </c>
      <c r="AI25" s="251">
        <f t="shared" si="66"/>
        <v>0</v>
      </c>
      <c r="AJ25" s="251">
        <f t="shared" si="67"/>
        <v>0</v>
      </c>
      <c r="AK25" s="251">
        <f t="shared" si="68"/>
        <v>0</v>
      </c>
      <c r="AL25" s="251">
        <f t="shared" si="69"/>
        <v>0</v>
      </c>
      <c r="AM25" s="251">
        <f t="shared" si="70"/>
        <v>0</v>
      </c>
      <c r="AN25" s="251">
        <f t="shared" si="71"/>
        <v>0</v>
      </c>
      <c r="AO25" s="251">
        <f t="shared" si="72"/>
        <v>0</v>
      </c>
      <c r="AP25" s="251">
        <f t="shared" si="21"/>
        <v>0</v>
      </c>
      <c r="AQ25" s="251">
        <f t="shared" si="22"/>
        <v>0</v>
      </c>
      <c r="AR25" s="251">
        <f t="shared" si="23"/>
        <v>0</v>
      </c>
      <c r="AS25" s="251">
        <f t="shared" si="24"/>
        <v>0</v>
      </c>
      <c r="AT25" s="251">
        <f t="shared" si="73"/>
        <v>0</v>
      </c>
      <c r="AU25" s="251">
        <f t="shared" si="74"/>
        <v>0</v>
      </c>
      <c r="AV25" s="251">
        <f t="shared" si="25"/>
        <v>0</v>
      </c>
      <c r="AW25" s="251">
        <f t="shared" si="26"/>
        <v>0</v>
      </c>
      <c r="AX25" s="251">
        <f t="shared" si="27"/>
        <v>0</v>
      </c>
      <c r="AY25" s="251">
        <f t="shared" si="28"/>
        <v>0</v>
      </c>
      <c r="AZ25" s="251">
        <f t="shared" si="29"/>
        <v>0</v>
      </c>
      <c r="BA25" s="251">
        <f t="shared" si="30"/>
        <v>0</v>
      </c>
      <c r="BB25" s="251">
        <f t="shared" si="31"/>
        <v>0</v>
      </c>
      <c r="BC25" s="251">
        <f t="shared" si="32"/>
        <v>0</v>
      </c>
      <c r="BD25" s="251">
        <f t="shared" si="33"/>
        <v>0</v>
      </c>
      <c r="BE25" s="251">
        <f t="shared" si="34"/>
        <v>0</v>
      </c>
      <c r="BF25" s="251">
        <f t="shared" si="35"/>
        <v>0</v>
      </c>
      <c r="BG25" s="251">
        <f t="shared" si="36"/>
        <v>0</v>
      </c>
      <c r="BH25" s="251">
        <f t="shared" si="75"/>
        <v>0</v>
      </c>
      <c r="BI25" s="251">
        <f t="shared" si="76"/>
        <v>0</v>
      </c>
      <c r="BJ25" s="251">
        <f t="shared" si="37"/>
        <v>0</v>
      </c>
      <c r="BK25" s="251">
        <f t="shared" si="38"/>
        <v>0</v>
      </c>
      <c r="BL25" s="251">
        <f t="shared" si="39"/>
        <v>0</v>
      </c>
      <c r="BM25" s="251">
        <f t="shared" si="40"/>
        <v>0</v>
      </c>
      <c r="BN25" s="251">
        <f t="shared" si="41"/>
        <v>0</v>
      </c>
      <c r="BO25" s="251">
        <f t="shared" si="42"/>
        <v>0</v>
      </c>
      <c r="BP25" s="251">
        <f t="shared" si="77"/>
        <v>0</v>
      </c>
      <c r="BQ25" s="251">
        <f t="shared" si="78"/>
        <v>0</v>
      </c>
      <c r="BR25" s="251">
        <f t="shared" si="43"/>
        <v>0</v>
      </c>
      <c r="BS25" s="251">
        <f t="shared" si="44"/>
        <v>0</v>
      </c>
      <c r="BT25" s="251">
        <f t="shared" si="79"/>
        <v>0</v>
      </c>
      <c r="BU25" s="251">
        <f t="shared" si="80"/>
        <v>0</v>
      </c>
      <c r="BV25" s="251">
        <f t="shared" si="81"/>
        <v>0</v>
      </c>
      <c r="BW25" s="251">
        <f t="shared" si="82"/>
        <v>0</v>
      </c>
      <c r="BX25" s="251">
        <f t="shared" si="45"/>
        <v>0</v>
      </c>
      <c r="BY25" s="251">
        <f t="shared" si="46"/>
        <v>0</v>
      </c>
      <c r="BZ25" s="251">
        <f t="shared" si="47"/>
        <v>0</v>
      </c>
      <c r="CA25" s="251">
        <f t="shared" si="48"/>
        <v>0</v>
      </c>
      <c r="CB25" s="251">
        <f t="shared" si="49"/>
        <v>0</v>
      </c>
      <c r="CC25" s="251">
        <f t="shared" si="50"/>
        <v>0</v>
      </c>
      <c r="CD25" s="251">
        <f t="shared" si="83"/>
        <v>0</v>
      </c>
      <c r="CE25" s="251">
        <f t="shared" si="84"/>
        <v>0</v>
      </c>
      <c r="CF25" s="251">
        <f t="shared" si="85"/>
        <v>0</v>
      </c>
      <c r="CG25" s="251">
        <f t="shared" si="86"/>
        <v>0</v>
      </c>
      <c r="CH25" s="251">
        <f t="shared" si="51"/>
        <v>0</v>
      </c>
      <c r="CI25" s="251">
        <f t="shared" si="52"/>
        <v>0</v>
      </c>
      <c r="CJ25" s="251">
        <f t="shared" si="87"/>
        <v>0</v>
      </c>
      <c r="CK25" s="251">
        <f t="shared" si="88"/>
        <v>0</v>
      </c>
      <c r="CL25" s="251">
        <f t="shared" si="53"/>
        <v>0</v>
      </c>
      <c r="CM25" s="251">
        <f t="shared" si="54"/>
        <v>0</v>
      </c>
      <c r="CN25" s="251">
        <f t="shared" si="55"/>
        <v>0</v>
      </c>
      <c r="CO25" s="251">
        <f t="shared" si="56"/>
        <v>0</v>
      </c>
      <c r="CP25" s="251">
        <f t="shared" si="89"/>
        <v>0</v>
      </c>
      <c r="CQ25" s="251">
        <f t="shared" si="90"/>
        <v>0</v>
      </c>
      <c r="CR25" s="251">
        <f t="shared" si="91"/>
        <v>0</v>
      </c>
      <c r="CS25" s="251">
        <f t="shared" si="92"/>
        <v>0</v>
      </c>
      <c r="CT25" s="251">
        <f t="shared" si="57"/>
        <v>0</v>
      </c>
      <c r="CU25" s="251">
        <f t="shared" si="58"/>
        <v>0</v>
      </c>
      <c r="CV25" s="251">
        <f t="shared" si="59"/>
        <v>0</v>
      </c>
      <c r="CW25" s="251">
        <f t="shared" si="60"/>
        <v>0</v>
      </c>
      <c r="CX25" s="251">
        <f t="shared" si="93"/>
        <v>0</v>
      </c>
      <c r="CY25" s="251">
        <f t="shared" si="94"/>
        <v>0</v>
      </c>
      <c r="CZ25" s="251">
        <f t="shared" si="95"/>
        <v>0</v>
      </c>
      <c r="DA25" s="251">
        <f t="shared" si="96"/>
        <v>0</v>
      </c>
    </row>
    <row r="26" spans="1:105" s="248" customFormat="1" ht="15" customHeight="1">
      <c r="A26" s="58" t="str">
        <f t="array" ref="A26">IF(C26&lt;&gt;0,SUM(($C$11:C26&lt;&gt;0)*1),"")</f>
        <v/>
      </c>
      <c r="B26" s="249"/>
      <c r="C26" s="249"/>
      <c r="D26" s="249"/>
      <c r="E26" s="326"/>
      <c r="F26" s="300"/>
      <c r="G26" s="302"/>
      <c r="H26" s="302"/>
      <c r="I26" s="58" t="str">
        <f t="shared" si="97"/>
        <v/>
      </c>
      <c r="J26" s="251">
        <f t="shared" si="61"/>
        <v>0</v>
      </c>
      <c r="K26" s="251">
        <f t="shared" si="62"/>
        <v>0</v>
      </c>
      <c r="L26" s="251">
        <f t="shared" si="1"/>
        <v>0</v>
      </c>
      <c r="M26" s="251">
        <f t="shared" si="2"/>
        <v>0</v>
      </c>
      <c r="N26" s="251">
        <f t="shared" si="3"/>
        <v>0</v>
      </c>
      <c r="O26" s="251">
        <f t="shared" si="4"/>
        <v>0</v>
      </c>
      <c r="P26" s="251">
        <f t="shared" si="5"/>
        <v>0</v>
      </c>
      <c r="Q26" s="251">
        <f t="shared" si="6"/>
        <v>0</v>
      </c>
      <c r="R26" s="251">
        <f t="shared" si="7"/>
        <v>0</v>
      </c>
      <c r="S26" s="251">
        <f t="shared" si="8"/>
        <v>0</v>
      </c>
      <c r="T26" s="251">
        <f t="shared" si="9"/>
        <v>0</v>
      </c>
      <c r="U26" s="251">
        <f t="shared" si="10"/>
        <v>0</v>
      </c>
      <c r="V26" s="251">
        <f t="shared" si="11"/>
        <v>0</v>
      </c>
      <c r="W26" s="251">
        <f t="shared" si="12"/>
        <v>0</v>
      </c>
      <c r="X26" s="251">
        <f t="shared" si="13"/>
        <v>0</v>
      </c>
      <c r="Y26" s="251">
        <f t="shared" si="14"/>
        <v>0</v>
      </c>
      <c r="Z26" s="251">
        <f t="shared" si="15"/>
        <v>0</v>
      </c>
      <c r="AA26" s="251">
        <f t="shared" si="16"/>
        <v>0</v>
      </c>
      <c r="AB26" s="251">
        <f t="shared" si="63"/>
        <v>0</v>
      </c>
      <c r="AC26" s="251">
        <f t="shared" si="64"/>
        <v>0</v>
      </c>
      <c r="AD26" s="251">
        <f t="shared" si="17"/>
        <v>0</v>
      </c>
      <c r="AE26" s="251">
        <f t="shared" si="18"/>
        <v>0</v>
      </c>
      <c r="AF26" s="251">
        <f t="shared" si="19"/>
        <v>0</v>
      </c>
      <c r="AG26" s="251">
        <f t="shared" si="20"/>
        <v>0</v>
      </c>
      <c r="AH26" s="251">
        <f t="shared" si="65"/>
        <v>0</v>
      </c>
      <c r="AI26" s="251">
        <f t="shared" si="66"/>
        <v>0</v>
      </c>
      <c r="AJ26" s="251">
        <f t="shared" si="67"/>
        <v>0</v>
      </c>
      <c r="AK26" s="251">
        <f t="shared" si="68"/>
        <v>0</v>
      </c>
      <c r="AL26" s="251">
        <f t="shared" si="69"/>
        <v>0</v>
      </c>
      <c r="AM26" s="251">
        <f t="shared" si="70"/>
        <v>0</v>
      </c>
      <c r="AN26" s="251">
        <f t="shared" si="71"/>
        <v>0</v>
      </c>
      <c r="AO26" s="251">
        <f t="shared" si="72"/>
        <v>0</v>
      </c>
      <c r="AP26" s="251">
        <f t="shared" si="21"/>
        <v>0</v>
      </c>
      <c r="AQ26" s="251">
        <f t="shared" si="22"/>
        <v>0</v>
      </c>
      <c r="AR26" s="251">
        <f t="shared" si="23"/>
        <v>0</v>
      </c>
      <c r="AS26" s="251">
        <f t="shared" si="24"/>
        <v>0</v>
      </c>
      <c r="AT26" s="251">
        <f t="shared" si="73"/>
        <v>0</v>
      </c>
      <c r="AU26" s="251">
        <f t="shared" si="74"/>
        <v>0</v>
      </c>
      <c r="AV26" s="251">
        <f t="shared" si="25"/>
        <v>0</v>
      </c>
      <c r="AW26" s="251">
        <f t="shared" si="26"/>
        <v>0</v>
      </c>
      <c r="AX26" s="251">
        <f t="shared" si="27"/>
        <v>0</v>
      </c>
      <c r="AY26" s="251">
        <f t="shared" si="28"/>
        <v>0</v>
      </c>
      <c r="AZ26" s="251">
        <f t="shared" si="29"/>
        <v>0</v>
      </c>
      <c r="BA26" s="251">
        <f t="shared" si="30"/>
        <v>0</v>
      </c>
      <c r="BB26" s="251">
        <f t="shared" si="31"/>
        <v>0</v>
      </c>
      <c r="BC26" s="251">
        <f t="shared" si="32"/>
        <v>0</v>
      </c>
      <c r="BD26" s="251">
        <f t="shared" si="33"/>
        <v>0</v>
      </c>
      <c r="BE26" s="251">
        <f t="shared" si="34"/>
        <v>0</v>
      </c>
      <c r="BF26" s="251">
        <f t="shared" si="35"/>
        <v>0</v>
      </c>
      <c r="BG26" s="251">
        <f t="shared" si="36"/>
        <v>0</v>
      </c>
      <c r="BH26" s="251">
        <f t="shared" si="75"/>
        <v>0</v>
      </c>
      <c r="BI26" s="251">
        <f t="shared" si="76"/>
        <v>0</v>
      </c>
      <c r="BJ26" s="251">
        <f t="shared" si="37"/>
        <v>0</v>
      </c>
      <c r="BK26" s="251">
        <f t="shared" si="38"/>
        <v>0</v>
      </c>
      <c r="BL26" s="251">
        <f t="shared" si="39"/>
        <v>0</v>
      </c>
      <c r="BM26" s="251">
        <f t="shared" si="40"/>
        <v>0</v>
      </c>
      <c r="BN26" s="251">
        <f t="shared" si="41"/>
        <v>0</v>
      </c>
      <c r="BO26" s="251">
        <f t="shared" si="42"/>
        <v>0</v>
      </c>
      <c r="BP26" s="251">
        <f t="shared" si="77"/>
        <v>0</v>
      </c>
      <c r="BQ26" s="251">
        <f t="shared" si="78"/>
        <v>0</v>
      </c>
      <c r="BR26" s="251">
        <f t="shared" si="43"/>
        <v>0</v>
      </c>
      <c r="BS26" s="251">
        <f t="shared" si="44"/>
        <v>0</v>
      </c>
      <c r="BT26" s="251">
        <f t="shared" si="79"/>
        <v>0</v>
      </c>
      <c r="BU26" s="251">
        <f t="shared" si="80"/>
        <v>0</v>
      </c>
      <c r="BV26" s="251">
        <f t="shared" si="81"/>
        <v>0</v>
      </c>
      <c r="BW26" s="251">
        <f t="shared" si="82"/>
        <v>0</v>
      </c>
      <c r="BX26" s="251">
        <f t="shared" si="45"/>
        <v>0</v>
      </c>
      <c r="BY26" s="251">
        <f t="shared" si="46"/>
        <v>0</v>
      </c>
      <c r="BZ26" s="251">
        <f t="shared" si="47"/>
        <v>0</v>
      </c>
      <c r="CA26" s="251">
        <f t="shared" si="48"/>
        <v>0</v>
      </c>
      <c r="CB26" s="251">
        <f t="shared" si="49"/>
        <v>0</v>
      </c>
      <c r="CC26" s="251">
        <f t="shared" si="50"/>
        <v>0</v>
      </c>
      <c r="CD26" s="251">
        <f t="shared" si="83"/>
        <v>0</v>
      </c>
      <c r="CE26" s="251">
        <f t="shared" si="84"/>
        <v>0</v>
      </c>
      <c r="CF26" s="251">
        <f t="shared" si="85"/>
        <v>0</v>
      </c>
      <c r="CG26" s="251">
        <f t="shared" si="86"/>
        <v>0</v>
      </c>
      <c r="CH26" s="251">
        <f t="shared" si="51"/>
        <v>0</v>
      </c>
      <c r="CI26" s="251">
        <f t="shared" si="52"/>
        <v>0</v>
      </c>
      <c r="CJ26" s="251">
        <f t="shared" si="87"/>
        <v>0</v>
      </c>
      <c r="CK26" s="251">
        <f t="shared" si="88"/>
        <v>0</v>
      </c>
      <c r="CL26" s="251">
        <f t="shared" si="53"/>
        <v>0</v>
      </c>
      <c r="CM26" s="251">
        <f t="shared" si="54"/>
        <v>0</v>
      </c>
      <c r="CN26" s="251">
        <f t="shared" si="55"/>
        <v>0</v>
      </c>
      <c r="CO26" s="251">
        <f t="shared" si="56"/>
        <v>0</v>
      </c>
      <c r="CP26" s="251">
        <f t="shared" si="89"/>
        <v>0</v>
      </c>
      <c r="CQ26" s="251">
        <f t="shared" si="90"/>
        <v>0</v>
      </c>
      <c r="CR26" s="251">
        <f t="shared" si="91"/>
        <v>0</v>
      </c>
      <c r="CS26" s="251">
        <f t="shared" si="92"/>
        <v>0</v>
      </c>
      <c r="CT26" s="251">
        <f t="shared" si="57"/>
        <v>0</v>
      </c>
      <c r="CU26" s="251">
        <f t="shared" si="58"/>
        <v>0</v>
      </c>
      <c r="CV26" s="251">
        <f t="shared" si="59"/>
        <v>0</v>
      </c>
      <c r="CW26" s="251">
        <f t="shared" si="60"/>
        <v>0</v>
      </c>
      <c r="CX26" s="251">
        <f t="shared" si="93"/>
        <v>0</v>
      </c>
      <c r="CY26" s="251">
        <f t="shared" si="94"/>
        <v>0</v>
      </c>
      <c r="CZ26" s="251">
        <f t="shared" si="95"/>
        <v>0</v>
      </c>
      <c r="DA26" s="251">
        <f t="shared" si="96"/>
        <v>0</v>
      </c>
    </row>
    <row r="27" spans="1:105" s="248" customFormat="1" ht="15" customHeight="1">
      <c r="A27" s="58" t="str">
        <f t="array" ref="A27">IF(C27&lt;&gt;0,SUM(($C$11:C27&lt;&gt;0)*1),"")</f>
        <v/>
      </c>
      <c r="B27" s="249"/>
      <c r="C27" s="249"/>
      <c r="D27" s="249"/>
      <c r="E27" s="326"/>
      <c r="F27" s="300"/>
      <c r="G27" s="302"/>
      <c r="H27" s="302"/>
      <c r="I27" s="58" t="str">
        <f t="shared" si="97"/>
        <v/>
      </c>
      <c r="J27" s="251">
        <f t="shared" si="61"/>
        <v>0</v>
      </c>
      <c r="K27" s="251">
        <f t="shared" si="62"/>
        <v>0</v>
      </c>
      <c r="L27" s="251">
        <f t="shared" si="1"/>
        <v>0</v>
      </c>
      <c r="M27" s="251">
        <f t="shared" si="2"/>
        <v>0</v>
      </c>
      <c r="N27" s="251">
        <f t="shared" si="3"/>
        <v>0</v>
      </c>
      <c r="O27" s="251">
        <f t="shared" si="4"/>
        <v>0</v>
      </c>
      <c r="P27" s="251">
        <f t="shared" si="5"/>
        <v>0</v>
      </c>
      <c r="Q27" s="251">
        <f t="shared" si="6"/>
        <v>0</v>
      </c>
      <c r="R27" s="251">
        <f t="shared" si="7"/>
        <v>0</v>
      </c>
      <c r="S27" s="251">
        <f t="shared" si="8"/>
        <v>0</v>
      </c>
      <c r="T27" s="251">
        <f t="shared" si="9"/>
        <v>0</v>
      </c>
      <c r="U27" s="251">
        <f t="shared" si="10"/>
        <v>0</v>
      </c>
      <c r="V27" s="251">
        <f t="shared" si="11"/>
        <v>0</v>
      </c>
      <c r="W27" s="251">
        <f t="shared" si="12"/>
        <v>0</v>
      </c>
      <c r="X27" s="251">
        <f t="shared" si="13"/>
        <v>0</v>
      </c>
      <c r="Y27" s="251">
        <f t="shared" si="14"/>
        <v>0</v>
      </c>
      <c r="Z27" s="251">
        <f t="shared" si="15"/>
        <v>0</v>
      </c>
      <c r="AA27" s="251">
        <f t="shared" si="16"/>
        <v>0</v>
      </c>
      <c r="AB27" s="251">
        <f t="shared" si="63"/>
        <v>0</v>
      </c>
      <c r="AC27" s="251">
        <f t="shared" si="64"/>
        <v>0</v>
      </c>
      <c r="AD27" s="251">
        <f t="shared" si="17"/>
        <v>0</v>
      </c>
      <c r="AE27" s="251">
        <f t="shared" si="18"/>
        <v>0</v>
      </c>
      <c r="AF27" s="251">
        <f t="shared" si="19"/>
        <v>0</v>
      </c>
      <c r="AG27" s="251">
        <f t="shared" si="20"/>
        <v>0</v>
      </c>
      <c r="AH27" s="251">
        <f t="shared" si="65"/>
        <v>0</v>
      </c>
      <c r="AI27" s="251">
        <f t="shared" si="66"/>
        <v>0</v>
      </c>
      <c r="AJ27" s="251">
        <f t="shared" si="67"/>
        <v>0</v>
      </c>
      <c r="AK27" s="251">
        <f t="shared" si="68"/>
        <v>0</v>
      </c>
      <c r="AL27" s="251">
        <f t="shared" si="69"/>
        <v>0</v>
      </c>
      <c r="AM27" s="251">
        <f t="shared" si="70"/>
        <v>0</v>
      </c>
      <c r="AN27" s="251">
        <f t="shared" si="71"/>
        <v>0</v>
      </c>
      <c r="AO27" s="251">
        <f t="shared" si="72"/>
        <v>0</v>
      </c>
      <c r="AP27" s="251">
        <f t="shared" si="21"/>
        <v>0</v>
      </c>
      <c r="AQ27" s="251">
        <f t="shared" si="22"/>
        <v>0</v>
      </c>
      <c r="AR27" s="251">
        <f t="shared" si="23"/>
        <v>0</v>
      </c>
      <c r="AS27" s="251">
        <f t="shared" si="24"/>
        <v>0</v>
      </c>
      <c r="AT27" s="251">
        <f t="shared" si="73"/>
        <v>0</v>
      </c>
      <c r="AU27" s="251">
        <f t="shared" si="74"/>
        <v>0</v>
      </c>
      <c r="AV27" s="251">
        <f t="shared" si="25"/>
        <v>0</v>
      </c>
      <c r="AW27" s="251">
        <f t="shared" si="26"/>
        <v>0</v>
      </c>
      <c r="AX27" s="251">
        <f t="shared" si="27"/>
        <v>0</v>
      </c>
      <c r="AY27" s="251">
        <f t="shared" si="28"/>
        <v>0</v>
      </c>
      <c r="AZ27" s="251">
        <f t="shared" si="29"/>
        <v>0</v>
      </c>
      <c r="BA27" s="251">
        <f t="shared" si="30"/>
        <v>0</v>
      </c>
      <c r="BB27" s="251">
        <f t="shared" si="31"/>
        <v>0</v>
      </c>
      <c r="BC27" s="251">
        <f t="shared" si="32"/>
        <v>0</v>
      </c>
      <c r="BD27" s="251">
        <f t="shared" si="33"/>
        <v>0</v>
      </c>
      <c r="BE27" s="251">
        <f t="shared" si="34"/>
        <v>0</v>
      </c>
      <c r="BF27" s="251">
        <f t="shared" si="35"/>
        <v>0</v>
      </c>
      <c r="BG27" s="251">
        <f t="shared" si="36"/>
        <v>0</v>
      </c>
      <c r="BH27" s="251">
        <f t="shared" si="75"/>
        <v>0</v>
      </c>
      <c r="BI27" s="251">
        <f t="shared" si="76"/>
        <v>0</v>
      </c>
      <c r="BJ27" s="251">
        <f t="shared" si="37"/>
        <v>0</v>
      </c>
      <c r="BK27" s="251">
        <f t="shared" si="38"/>
        <v>0</v>
      </c>
      <c r="BL27" s="251">
        <f t="shared" si="39"/>
        <v>0</v>
      </c>
      <c r="BM27" s="251">
        <f t="shared" si="40"/>
        <v>0</v>
      </c>
      <c r="BN27" s="251">
        <f t="shared" si="41"/>
        <v>0</v>
      </c>
      <c r="BO27" s="251">
        <f t="shared" si="42"/>
        <v>0</v>
      </c>
      <c r="BP27" s="251">
        <f t="shared" si="77"/>
        <v>0</v>
      </c>
      <c r="BQ27" s="251">
        <f t="shared" si="78"/>
        <v>0</v>
      </c>
      <c r="BR27" s="251">
        <f t="shared" si="43"/>
        <v>0</v>
      </c>
      <c r="BS27" s="251">
        <f t="shared" si="44"/>
        <v>0</v>
      </c>
      <c r="BT27" s="251">
        <f t="shared" si="79"/>
        <v>0</v>
      </c>
      <c r="BU27" s="251">
        <f t="shared" si="80"/>
        <v>0</v>
      </c>
      <c r="BV27" s="251">
        <f t="shared" si="81"/>
        <v>0</v>
      </c>
      <c r="BW27" s="251">
        <f t="shared" si="82"/>
        <v>0</v>
      </c>
      <c r="BX27" s="251">
        <f t="shared" si="45"/>
        <v>0</v>
      </c>
      <c r="BY27" s="251">
        <f t="shared" si="46"/>
        <v>0</v>
      </c>
      <c r="BZ27" s="251">
        <f t="shared" si="47"/>
        <v>0</v>
      </c>
      <c r="CA27" s="251">
        <f t="shared" si="48"/>
        <v>0</v>
      </c>
      <c r="CB27" s="251">
        <f t="shared" si="49"/>
        <v>0</v>
      </c>
      <c r="CC27" s="251">
        <f t="shared" si="50"/>
        <v>0</v>
      </c>
      <c r="CD27" s="251">
        <f t="shared" si="83"/>
        <v>0</v>
      </c>
      <c r="CE27" s="251">
        <f t="shared" si="84"/>
        <v>0</v>
      </c>
      <c r="CF27" s="251">
        <f t="shared" si="85"/>
        <v>0</v>
      </c>
      <c r="CG27" s="251">
        <f t="shared" si="86"/>
        <v>0</v>
      </c>
      <c r="CH27" s="251">
        <f t="shared" si="51"/>
        <v>0</v>
      </c>
      <c r="CI27" s="251">
        <f t="shared" si="52"/>
        <v>0</v>
      </c>
      <c r="CJ27" s="251">
        <f t="shared" si="87"/>
        <v>0</v>
      </c>
      <c r="CK27" s="251">
        <f t="shared" si="88"/>
        <v>0</v>
      </c>
      <c r="CL27" s="251">
        <f t="shared" si="53"/>
        <v>0</v>
      </c>
      <c r="CM27" s="251">
        <f t="shared" si="54"/>
        <v>0</v>
      </c>
      <c r="CN27" s="251">
        <f t="shared" si="55"/>
        <v>0</v>
      </c>
      <c r="CO27" s="251">
        <f t="shared" si="56"/>
        <v>0</v>
      </c>
      <c r="CP27" s="251">
        <f t="shared" si="89"/>
        <v>0</v>
      </c>
      <c r="CQ27" s="251">
        <f t="shared" si="90"/>
        <v>0</v>
      </c>
      <c r="CR27" s="251">
        <f t="shared" si="91"/>
        <v>0</v>
      </c>
      <c r="CS27" s="251">
        <f t="shared" si="92"/>
        <v>0</v>
      </c>
      <c r="CT27" s="251">
        <f t="shared" si="57"/>
        <v>0</v>
      </c>
      <c r="CU27" s="251">
        <f t="shared" si="58"/>
        <v>0</v>
      </c>
      <c r="CV27" s="251">
        <f t="shared" si="59"/>
        <v>0</v>
      </c>
      <c r="CW27" s="251">
        <f t="shared" si="60"/>
        <v>0</v>
      </c>
      <c r="CX27" s="251">
        <f t="shared" si="93"/>
        <v>0</v>
      </c>
      <c r="CY27" s="251">
        <f t="shared" si="94"/>
        <v>0</v>
      </c>
      <c r="CZ27" s="251">
        <f t="shared" si="95"/>
        <v>0</v>
      </c>
      <c r="DA27" s="251">
        <f t="shared" si="96"/>
        <v>0</v>
      </c>
    </row>
    <row r="28" spans="1:105" s="248" customFormat="1" ht="15" customHeight="1">
      <c r="A28" s="58" t="str">
        <f t="array" ref="A28">IF(C28&lt;&gt;0,SUM(($C$11:C28&lt;&gt;0)*1),"")</f>
        <v/>
      </c>
      <c r="B28" s="249"/>
      <c r="C28" s="249"/>
      <c r="D28" s="249"/>
      <c r="E28" s="326"/>
      <c r="F28" s="300"/>
      <c r="G28" s="302"/>
      <c r="H28" s="302"/>
      <c r="I28" s="58" t="str">
        <f t="shared" si="97"/>
        <v/>
      </c>
      <c r="J28" s="251">
        <f t="shared" si="61"/>
        <v>0</v>
      </c>
      <c r="K28" s="251">
        <f t="shared" si="62"/>
        <v>0</v>
      </c>
      <c r="L28" s="251">
        <f t="shared" si="1"/>
        <v>0</v>
      </c>
      <c r="M28" s="251">
        <f t="shared" si="2"/>
        <v>0</v>
      </c>
      <c r="N28" s="251">
        <f t="shared" si="3"/>
        <v>0</v>
      </c>
      <c r="O28" s="251">
        <f t="shared" si="4"/>
        <v>0</v>
      </c>
      <c r="P28" s="251">
        <f t="shared" si="5"/>
        <v>0</v>
      </c>
      <c r="Q28" s="251">
        <f t="shared" si="6"/>
        <v>0</v>
      </c>
      <c r="R28" s="251">
        <f t="shared" si="7"/>
        <v>0</v>
      </c>
      <c r="S28" s="251">
        <f t="shared" si="8"/>
        <v>0</v>
      </c>
      <c r="T28" s="251">
        <f t="shared" si="9"/>
        <v>0</v>
      </c>
      <c r="U28" s="251">
        <f t="shared" si="10"/>
        <v>0</v>
      </c>
      <c r="V28" s="251">
        <f t="shared" si="11"/>
        <v>0</v>
      </c>
      <c r="W28" s="251">
        <f t="shared" si="12"/>
        <v>0</v>
      </c>
      <c r="X28" s="251">
        <f t="shared" si="13"/>
        <v>0</v>
      </c>
      <c r="Y28" s="251">
        <f t="shared" si="14"/>
        <v>0</v>
      </c>
      <c r="Z28" s="251">
        <f t="shared" si="15"/>
        <v>0</v>
      </c>
      <c r="AA28" s="251">
        <f t="shared" si="16"/>
        <v>0</v>
      </c>
      <c r="AB28" s="251">
        <f t="shared" si="63"/>
        <v>0</v>
      </c>
      <c r="AC28" s="251">
        <f t="shared" si="64"/>
        <v>0</v>
      </c>
      <c r="AD28" s="251">
        <f t="shared" si="17"/>
        <v>0</v>
      </c>
      <c r="AE28" s="251">
        <f t="shared" si="18"/>
        <v>0</v>
      </c>
      <c r="AF28" s="251">
        <f t="shared" si="19"/>
        <v>0</v>
      </c>
      <c r="AG28" s="251">
        <f t="shared" si="20"/>
        <v>0</v>
      </c>
      <c r="AH28" s="251">
        <f t="shared" si="65"/>
        <v>0</v>
      </c>
      <c r="AI28" s="251">
        <f t="shared" si="66"/>
        <v>0</v>
      </c>
      <c r="AJ28" s="251">
        <f t="shared" si="67"/>
        <v>0</v>
      </c>
      <c r="AK28" s="251">
        <f t="shared" si="68"/>
        <v>0</v>
      </c>
      <c r="AL28" s="251">
        <f t="shared" si="69"/>
        <v>0</v>
      </c>
      <c r="AM28" s="251">
        <f t="shared" si="70"/>
        <v>0</v>
      </c>
      <c r="AN28" s="251">
        <f t="shared" si="71"/>
        <v>0</v>
      </c>
      <c r="AO28" s="251">
        <f t="shared" si="72"/>
        <v>0</v>
      </c>
      <c r="AP28" s="251">
        <f t="shared" si="21"/>
        <v>0</v>
      </c>
      <c r="AQ28" s="251">
        <f t="shared" si="22"/>
        <v>0</v>
      </c>
      <c r="AR28" s="251">
        <f t="shared" si="23"/>
        <v>0</v>
      </c>
      <c r="AS28" s="251">
        <f t="shared" si="24"/>
        <v>0</v>
      </c>
      <c r="AT28" s="251">
        <f t="shared" si="73"/>
        <v>0</v>
      </c>
      <c r="AU28" s="251">
        <f t="shared" si="74"/>
        <v>0</v>
      </c>
      <c r="AV28" s="251">
        <f t="shared" si="25"/>
        <v>0</v>
      </c>
      <c r="AW28" s="251">
        <f t="shared" si="26"/>
        <v>0</v>
      </c>
      <c r="AX28" s="251">
        <f t="shared" si="27"/>
        <v>0</v>
      </c>
      <c r="AY28" s="251">
        <f t="shared" si="28"/>
        <v>0</v>
      </c>
      <c r="AZ28" s="251">
        <f t="shared" si="29"/>
        <v>0</v>
      </c>
      <c r="BA28" s="251">
        <f t="shared" si="30"/>
        <v>0</v>
      </c>
      <c r="BB28" s="251">
        <f t="shared" si="31"/>
        <v>0</v>
      </c>
      <c r="BC28" s="251">
        <f t="shared" si="32"/>
        <v>0</v>
      </c>
      <c r="BD28" s="251">
        <f t="shared" si="33"/>
        <v>0</v>
      </c>
      <c r="BE28" s="251">
        <f t="shared" si="34"/>
        <v>0</v>
      </c>
      <c r="BF28" s="251">
        <f t="shared" si="35"/>
        <v>0</v>
      </c>
      <c r="BG28" s="251">
        <f t="shared" si="36"/>
        <v>0</v>
      </c>
      <c r="BH28" s="251">
        <f t="shared" si="75"/>
        <v>0</v>
      </c>
      <c r="BI28" s="251">
        <f t="shared" si="76"/>
        <v>0</v>
      </c>
      <c r="BJ28" s="251">
        <f t="shared" si="37"/>
        <v>0</v>
      </c>
      <c r="BK28" s="251">
        <f t="shared" si="38"/>
        <v>0</v>
      </c>
      <c r="BL28" s="251">
        <f t="shared" si="39"/>
        <v>0</v>
      </c>
      <c r="BM28" s="251">
        <f t="shared" si="40"/>
        <v>0</v>
      </c>
      <c r="BN28" s="251">
        <f t="shared" si="41"/>
        <v>0</v>
      </c>
      <c r="BO28" s="251">
        <f t="shared" si="42"/>
        <v>0</v>
      </c>
      <c r="BP28" s="251">
        <f t="shared" si="77"/>
        <v>0</v>
      </c>
      <c r="BQ28" s="251">
        <f t="shared" si="78"/>
        <v>0</v>
      </c>
      <c r="BR28" s="251">
        <f t="shared" si="43"/>
        <v>0</v>
      </c>
      <c r="BS28" s="251">
        <f t="shared" si="44"/>
        <v>0</v>
      </c>
      <c r="BT28" s="251">
        <f t="shared" si="79"/>
        <v>0</v>
      </c>
      <c r="BU28" s="251">
        <f t="shared" si="80"/>
        <v>0</v>
      </c>
      <c r="BV28" s="251">
        <f t="shared" si="81"/>
        <v>0</v>
      </c>
      <c r="BW28" s="251">
        <f t="shared" si="82"/>
        <v>0</v>
      </c>
      <c r="BX28" s="251">
        <f t="shared" si="45"/>
        <v>0</v>
      </c>
      <c r="BY28" s="251">
        <f t="shared" si="46"/>
        <v>0</v>
      </c>
      <c r="BZ28" s="251">
        <f t="shared" si="47"/>
        <v>0</v>
      </c>
      <c r="CA28" s="251">
        <f t="shared" si="48"/>
        <v>0</v>
      </c>
      <c r="CB28" s="251">
        <f t="shared" si="49"/>
        <v>0</v>
      </c>
      <c r="CC28" s="251">
        <f t="shared" si="50"/>
        <v>0</v>
      </c>
      <c r="CD28" s="251">
        <f t="shared" si="83"/>
        <v>0</v>
      </c>
      <c r="CE28" s="251">
        <f t="shared" si="84"/>
        <v>0</v>
      </c>
      <c r="CF28" s="251">
        <f t="shared" si="85"/>
        <v>0</v>
      </c>
      <c r="CG28" s="251">
        <f t="shared" si="86"/>
        <v>0</v>
      </c>
      <c r="CH28" s="251">
        <f t="shared" si="51"/>
        <v>0</v>
      </c>
      <c r="CI28" s="251">
        <f t="shared" si="52"/>
        <v>0</v>
      </c>
      <c r="CJ28" s="251">
        <f t="shared" si="87"/>
        <v>0</v>
      </c>
      <c r="CK28" s="251">
        <f t="shared" si="88"/>
        <v>0</v>
      </c>
      <c r="CL28" s="251">
        <f t="shared" si="53"/>
        <v>0</v>
      </c>
      <c r="CM28" s="251">
        <f t="shared" si="54"/>
        <v>0</v>
      </c>
      <c r="CN28" s="251">
        <f t="shared" si="55"/>
        <v>0</v>
      </c>
      <c r="CO28" s="251">
        <f t="shared" si="56"/>
        <v>0</v>
      </c>
      <c r="CP28" s="251">
        <f t="shared" si="89"/>
        <v>0</v>
      </c>
      <c r="CQ28" s="251">
        <f t="shared" si="90"/>
        <v>0</v>
      </c>
      <c r="CR28" s="251">
        <f t="shared" si="91"/>
        <v>0</v>
      </c>
      <c r="CS28" s="251">
        <f t="shared" si="92"/>
        <v>0</v>
      </c>
      <c r="CT28" s="251">
        <f t="shared" si="57"/>
        <v>0</v>
      </c>
      <c r="CU28" s="251">
        <f t="shared" si="58"/>
        <v>0</v>
      </c>
      <c r="CV28" s="251">
        <f t="shared" si="59"/>
        <v>0</v>
      </c>
      <c r="CW28" s="251">
        <f t="shared" si="60"/>
        <v>0</v>
      </c>
      <c r="CX28" s="251">
        <f t="shared" si="93"/>
        <v>0</v>
      </c>
      <c r="CY28" s="251">
        <f t="shared" si="94"/>
        <v>0</v>
      </c>
      <c r="CZ28" s="251">
        <f t="shared" si="95"/>
        <v>0</v>
      </c>
      <c r="DA28" s="251">
        <f t="shared" si="96"/>
        <v>0</v>
      </c>
    </row>
    <row r="29" spans="1:105" s="248" customFormat="1" ht="15" customHeight="1">
      <c r="A29" s="58" t="str">
        <f t="array" ref="A29">IF(C29&lt;&gt;0,SUM(($C$11:C29&lt;&gt;0)*1),"")</f>
        <v/>
      </c>
      <c r="B29" s="249"/>
      <c r="C29" s="249"/>
      <c r="D29" s="249"/>
      <c r="E29" s="326"/>
      <c r="F29" s="300"/>
      <c r="G29" s="302"/>
      <c r="H29" s="302"/>
      <c r="I29" s="58" t="str">
        <f t="shared" si="97"/>
        <v/>
      </c>
      <c r="J29" s="251">
        <f t="shared" si="61"/>
        <v>0</v>
      </c>
      <c r="K29" s="251">
        <f t="shared" si="62"/>
        <v>0</v>
      </c>
      <c r="L29" s="251">
        <f t="shared" si="1"/>
        <v>0</v>
      </c>
      <c r="M29" s="251">
        <f t="shared" si="2"/>
        <v>0</v>
      </c>
      <c r="N29" s="251">
        <f t="shared" si="3"/>
        <v>0</v>
      </c>
      <c r="O29" s="251">
        <f t="shared" si="4"/>
        <v>0</v>
      </c>
      <c r="P29" s="251">
        <f t="shared" si="5"/>
        <v>0</v>
      </c>
      <c r="Q29" s="251">
        <f t="shared" si="6"/>
        <v>0</v>
      </c>
      <c r="R29" s="251">
        <f t="shared" si="7"/>
        <v>0</v>
      </c>
      <c r="S29" s="251">
        <f t="shared" si="8"/>
        <v>0</v>
      </c>
      <c r="T29" s="251">
        <f t="shared" si="9"/>
        <v>0</v>
      </c>
      <c r="U29" s="251">
        <f t="shared" si="10"/>
        <v>0</v>
      </c>
      <c r="V29" s="251">
        <f t="shared" si="11"/>
        <v>0</v>
      </c>
      <c r="W29" s="251">
        <f t="shared" si="12"/>
        <v>0</v>
      </c>
      <c r="X29" s="251">
        <f t="shared" si="13"/>
        <v>0</v>
      </c>
      <c r="Y29" s="251">
        <f t="shared" si="14"/>
        <v>0</v>
      </c>
      <c r="Z29" s="251">
        <f t="shared" si="15"/>
        <v>0</v>
      </c>
      <c r="AA29" s="251">
        <f t="shared" si="16"/>
        <v>0</v>
      </c>
      <c r="AB29" s="251">
        <f t="shared" si="63"/>
        <v>0</v>
      </c>
      <c r="AC29" s="251">
        <f t="shared" si="64"/>
        <v>0</v>
      </c>
      <c r="AD29" s="251">
        <f t="shared" si="17"/>
        <v>0</v>
      </c>
      <c r="AE29" s="251">
        <f t="shared" si="18"/>
        <v>0</v>
      </c>
      <c r="AF29" s="251">
        <f t="shared" si="19"/>
        <v>0</v>
      </c>
      <c r="AG29" s="251">
        <f t="shared" si="20"/>
        <v>0</v>
      </c>
      <c r="AH29" s="251">
        <f t="shared" si="65"/>
        <v>0</v>
      </c>
      <c r="AI29" s="251">
        <f t="shared" si="66"/>
        <v>0</v>
      </c>
      <c r="AJ29" s="251">
        <f t="shared" si="67"/>
        <v>0</v>
      </c>
      <c r="AK29" s="251">
        <f t="shared" si="68"/>
        <v>0</v>
      </c>
      <c r="AL29" s="251">
        <f t="shared" si="69"/>
        <v>0</v>
      </c>
      <c r="AM29" s="251">
        <f t="shared" si="70"/>
        <v>0</v>
      </c>
      <c r="AN29" s="251">
        <f t="shared" si="71"/>
        <v>0</v>
      </c>
      <c r="AO29" s="251">
        <f t="shared" si="72"/>
        <v>0</v>
      </c>
      <c r="AP29" s="251">
        <f t="shared" si="21"/>
        <v>0</v>
      </c>
      <c r="AQ29" s="251">
        <f t="shared" si="22"/>
        <v>0</v>
      </c>
      <c r="AR29" s="251">
        <f t="shared" si="23"/>
        <v>0</v>
      </c>
      <c r="AS29" s="251">
        <f t="shared" si="24"/>
        <v>0</v>
      </c>
      <c r="AT29" s="251">
        <f t="shared" si="73"/>
        <v>0</v>
      </c>
      <c r="AU29" s="251">
        <f t="shared" si="74"/>
        <v>0</v>
      </c>
      <c r="AV29" s="251">
        <f t="shared" si="25"/>
        <v>0</v>
      </c>
      <c r="AW29" s="251">
        <f t="shared" si="26"/>
        <v>0</v>
      </c>
      <c r="AX29" s="251">
        <f t="shared" si="27"/>
        <v>0</v>
      </c>
      <c r="AY29" s="251">
        <f t="shared" si="28"/>
        <v>0</v>
      </c>
      <c r="AZ29" s="251">
        <f t="shared" si="29"/>
        <v>0</v>
      </c>
      <c r="BA29" s="251">
        <f t="shared" si="30"/>
        <v>0</v>
      </c>
      <c r="BB29" s="251">
        <f t="shared" si="31"/>
        <v>0</v>
      </c>
      <c r="BC29" s="251">
        <f t="shared" si="32"/>
        <v>0</v>
      </c>
      <c r="BD29" s="251">
        <f t="shared" si="33"/>
        <v>0</v>
      </c>
      <c r="BE29" s="251">
        <f t="shared" si="34"/>
        <v>0</v>
      </c>
      <c r="BF29" s="251">
        <f t="shared" si="35"/>
        <v>0</v>
      </c>
      <c r="BG29" s="251">
        <f t="shared" si="36"/>
        <v>0</v>
      </c>
      <c r="BH29" s="251">
        <f t="shared" si="75"/>
        <v>0</v>
      </c>
      <c r="BI29" s="251">
        <f t="shared" si="76"/>
        <v>0</v>
      </c>
      <c r="BJ29" s="251">
        <f t="shared" si="37"/>
        <v>0</v>
      </c>
      <c r="BK29" s="251">
        <f t="shared" si="38"/>
        <v>0</v>
      </c>
      <c r="BL29" s="251">
        <f t="shared" si="39"/>
        <v>0</v>
      </c>
      <c r="BM29" s="251">
        <f t="shared" si="40"/>
        <v>0</v>
      </c>
      <c r="BN29" s="251">
        <f t="shared" si="41"/>
        <v>0</v>
      </c>
      <c r="BO29" s="251">
        <f t="shared" si="42"/>
        <v>0</v>
      </c>
      <c r="BP29" s="251">
        <f t="shared" si="77"/>
        <v>0</v>
      </c>
      <c r="BQ29" s="251">
        <f t="shared" si="78"/>
        <v>0</v>
      </c>
      <c r="BR29" s="251">
        <f t="shared" si="43"/>
        <v>0</v>
      </c>
      <c r="BS29" s="251">
        <f t="shared" si="44"/>
        <v>0</v>
      </c>
      <c r="BT29" s="251">
        <f t="shared" si="79"/>
        <v>0</v>
      </c>
      <c r="BU29" s="251">
        <f t="shared" si="80"/>
        <v>0</v>
      </c>
      <c r="BV29" s="251">
        <f t="shared" si="81"/>
        <v>0</v>
      </c>
      <c r="BW29" s="251">
        <f t="shared" si="82"/>
        <v>0</v>
      </c>
      <c r="BX29" s="251">
        <f t="shared" si="45"/>
        <v>0</v>
      </c>
      <c r="BY29" s="251">
        <f t="shared" si="46"/>
        <v>0</v>
      </c>
      <c r="BZ29" s="251">
        <f t="shared" si="47"/>
        <v>0</v>
      </c>
      <c r="CA29" s="251">
        <f t="shared" si="48"/>
        <v>0</v>
      </c>
      <c r="CB29" s="251">
        <f t="shared" si="49"/>
        <v>0</v>
      </c>
      <c r="CC29" s="251">
        <f t="shared" si="50"/>
        <v>0</v>
      </c>
      <c r="CD29" s="251">
        <f t="shared" si="83"/>
        <v>0</v>
      </c>
      <c r="CE29" s="251">
        <f t="shared" si="84"/>
        <v>0</v>
      </c>
      <c r="CF29" s="251">
        <f t="shared" si="85"/>
        <v>0</v>
      </c>
      <c r="CG29" s="251">
        <f t="shared" si="86"/>
        <v>0</v>
      </c>
      <c r="CH29" s="251">
        <f t="shared" si="51"/>
        <v>0</v>
      </c>
      <c r="CI29" s="251">
        <f t="shared" si="52"/>
        <v>0</v>
      </c>
      <c r="CJ29" s="251">
        <f t="shared" si="87"/>
        <v>0</v>
      </c>
      <c r="CK29" s="251">
        <f t="shared" si="88"/>
        <v>0</v>
      </c>
      <c r="CL29" s="251">
        <f t="shared" si="53"/>
        <v>0</v>
      </c>
      <c r="CM29" s="251">
        <f t="shared" si="54"/>
        <v>0</v>
      </c>
      <c r="CN29" s="251">
        <f t="shared" si="55"/>
        <v>0</v>
      </c>
      <c r="CO29" s="251">
        <f t="shared" si="56"/>
        <v>0</v>
      </c>
      <c r="CP29" s="251">
        <f t="shared" si="89"/>
        <v>0</v>
      </c>
      <c r="CQ29" s="251">
        <f t="shared" si="90"/>
        <v>0</v>
      </c>
      <c r="CR29" s="251">
        <f t="shared" si="91"/>
        <v>0</v>
      </c>
      <c r="CS29" s="251">
        <f t="shared" si="92"/>
        <v>0</v>
      </c>
      <c r="CT29" s="251">
        <f t="shared" si="57"/>
        <v>0</v>
      </c>
      <c r="CU29" s="251">
        <f t="shared" si="58"/>
        <v>0</v>
      </c>
      <c r="CV29" s="251">
        <f t="shared" si="59"/>
        <v>0</v>
      </c>
      <c r="CW29" s="251">
        <f t="shared" si="60"/>
        <v>0</v>
      </c>
      <c r="CX29" s="251">
        <f t="shared" si="93"/>
        <v>0</v>
      </c>
      <c r="CY29" s="251">
        <f t="shared" si="94"/>
        <v>0</v>
      </c>
      <c r="CZ29" s="251">
        <f t="shared" si="95"/>
        <v>0</v>
      </c>
      <c r="DA29" s="251">
        <f t="shared" si="96"/>
        <v>0</v>
      </c>
    </row>
    <row r="30" spans="1:105" s="248" customFormat="1" ht="15" customHeight="1">
      <c r="A30" s="58" t="str">
        <f t="array" ref="A30">IF(C30&lt;&gt;0,SUM(($C$11:C30&lt;&gt;0)*1),"")</f>
        <v/>
      </c>
      <c r="B30" s="249"/>
      <c r="C30" s="249"/>
      <c r="D30" s="249"/>
      <c r="E30" s="326"/>
      <c r="F30" s="300"/>
      <c r="G30" s="302"/>
      <c r="H30" s="302"/>
      <c r="I30" s="58" t="str">
        <f t="shared" si="97"/>
        <v/>
      </c>
      <c r="J30" s="251">
        <f t="shared" si="61"/>
        <v>0</v>
      </c>
      <c r="K30" s="251">
        <f t="shared" si="62"/>
        <v>0</v>
      </c>
      <c r="L30" s="251">
        <f t="shared" si="1"/>
        <v>0</v>
      </c>
      <c r="M30" s="251">
        <f t="shared" si="2"/>
        <v>0</v>
      </c>
      <c r="N30" s="251">
        <f t="shared" si="3"/>
        <v>0</v>
      </c>
      <c r="O30" s="251">
        <f t="shared" si="4"/>
        <v>0</v>
      </c>
      <c r="P30" s="251">
        <f t="shared" si="5"/>
        <v>0</v>
      </c>
      <c r="Q30" s="251">
        <f t="shared" si="6"/>
        <v>0</v>
      </c>
      <c r="R30" s="251">
        <f t="shared" si="7"/>
        <v>0</v>
      </c>
      <c r="S30" s="251">
        <f t="shared" si="8"/>
        <v>0</v>
      </c>
      <c r="T30" s="251">
        <f t="shared" si="9"/>
        <v>0</v>
      </c>
      <c r="U30" s="251">
        <f t="shared" si="10"/>
        <v>0</v>
      </c>
      <c r="V30" s="251">
        <f t="shared" si="11"/>
        <v>0</v>
      </c>
      <c r="W30" s="251">
        <f t="shared" si="12"/>
        <v>0</v>
      </c>
      <c r="X30" s="251">
        <f t="shared" si="13"/>
        <v>0</v>
      </c>
      <c r="Y30" s="251">
        <f t="shared" si="14"/>
        <v>0</v>
      </c>
      <c r="Z30" s="251">
        <f t="shared" si="15"/>
        <v>0</v>
      </c>
      <c r="AA30" s="251">
        <f t="shared" si="16"/>
        <v>0</v>
      </c>
      <c r="AB30" s="251">
        <f t="shared" si="63"/>
        <v>0</v>
      </c>
      <c r="AC30" s="251">
        <f t="shared" si="64"/>
        <v>0</v>
      </c>
      <c r="AD30" s="251">
        <f t="shared" si="17"/>
        <v>0</v>
      </c>
      <c r="AE30" s="251">
        <f t="shared" si="18"/>
        <v>0</v>
      </c>
      <c r="AF30" s="251">
        <f t="shared" si="19"/>
        <v>0</v>
      </c>
      <c r="AG30" s="251">
        <f t="shared" si="20"/>
        <v>0</v>
      </c>
      <c r="AH30" s="251">
        <f t="shared" si="65"/>
        <v>0</v>
      </c>
      <c r="AI30" s="251">
        <f t="shared" si="66"/>
        <v>0</v>
      </c>
      <c r="AJ30" s="251">
        <f t="shared" si="67"/>
        <v>0</v>
      </c>
      <c r="AK30" s="251">
        <f t="shared" si="68"/>
        <v>0</v>
      </c>
      <c r="AL30" s="251">
        <f t="shared" si="69"/>
        <v>0</v>
      </c>
      <c r="AM30" s="251">
        <f t="shared" si="70"/>
        <v>0</v>
      </c>
      <c r="AN30" s="251">
        <f t="shared" si="71"/>
        <v>0</v>
      </c>
      <c r="AO30" s="251">
        <f t="shared" si="72"/>
        <v>0</v>
      </c>
      <c r="AP30" s="251">
        <f t="shared" si="21"/>
        <v>0</v>
      </c>
      <c r="AQ30" s="251">
        <f t="shared" si="22"/>
        <v>0</v>
      </c>
      <c r="AR30" s="251">
        <f t="shared" si="23"/>
        <v>0</v>
      </c>
      <c r="AS30" s="251">
        <f t="shared" si="24"/>
        <v>0</v>
      </c>
      <c r="AT30" s="251">
        <f t="shared" si="73"/>
        <v>0</v>
      </c>
      <c r="AU30" s="251">
        <f t="shared" si="74"/>
        <v>0</v>
      </c>
      <c r="AV30" s="251">
        <f t="shared" si="25"/>
        <v>0</v>
      </c>
      <c r="AW30" s="251">
        <f t="shared" si="26"/>
        <v>0</v>
      </c>
      <c r="AX30" s="251">
        <f t="shared" si="27"/>
        <v>0</v>
      </c>
      <c r="AY30" s="251">
        <f t="shared" si="28"/>
        <v>0</v>
      </c>
      <c r="AZ30" s="251">
        <f t="shared" si="29"/>
        <v>0</v>
      </c>
      <c r="BA30" s="251">
        <f t="shared" si="30"/>
        <v>0</v>
      </c>
      <c r="BB30" s="251">
        <f t="shared" si="31"/>
        <v>0</v>
      </c>
      <c r="BC30" s="251">
        <f t="shared" si="32"/>
        <v>0</v>
      </c>
      <c r="BD30" s="251">
        <f t="shared" si="33"/>
        <v>0</v>
      </c>
      <c r="BE30" s="251">
        <f t="shared" si="34"/>
        <v>0</v>
      </c>
      <c r="BF30" s="251">
        <f t="shared" si="35"/>
        <v>0</v>
      </c>
      <c r="BG30" s="251">
        <f t="shared" si="36"/>
        <v>0</v>
      </c>
      <c r="BH30" s="251">
        <f t="shared" si="75"/>
        <v>0</v>
      </c>
      <c r="BI30" s="251">
        <f t="shared" si="76"/>
        <v>0</v>
      </c>
      <c r="BJ30" s="251">
        <f t="shared" si="37"/>
        <v>0</v>
      </c>
      <c r="BK30" s="251">
        <f t="shared" si="38"/>
        <v>0</v>
      </c>
      <c r="BL30" s="251">
        <f t="shared" si="39"/>
        <v>0</v>
      </c>
      <c r="BM30" s="251">
        <f t="shared" si="40"/>
        <v>0</v>
      </c>
      <c r="BN30" s="251">
        <f t="shared" si="41"/>
        <v>0</v>
      </c>
      <c r="BO30" s="251">
        <f t="shared" si="42"/>
        <v>0</v>
      </c>
      <c r="BP30" s="251">
        <f t="shared" si="77"/>
        <v>0</v>
      </c>
      <c r="BQ30" s="251">
        <f t="shared" si="78"/>
        <v>0</v>
      </c>
      <c r="BR30" s="251">
        <f t="shared" si="43"/>
        <v>0</v>
      </c>
      <c r="BS30" s="251">
        <f t="shared" si="44"/>
        <v>0</v>
      </c>
      <c r="BT30" s="251">
        <f t="shared" si="79"/>
        <v>0</v>
      </c>
      <c r="BU30" s="251">
        <f t="shared" si="80"/>
        <v>0</v>
      </c>
      <c r="BV30" s="251">
        <f t="shared" si="81"/>
        <v>0</v>
      </c>
      <c r="BW30" s="251">
        <f t="shared" si="82"/>
        <v>0</v>
      </c>
      <c r="BX30" s="251">
        <f t="shared" si="45"/>
        <v>0</v>
      </c>
      <c r="BY30" s="251">
        <f t="shared" si="46"/>
        <v>0</v>
      </c>
      <c r="BZ30" s="251">
        <f t="shared" si="47"/>
        <v>0</v>
      </c>
      <c r="CA30" s="251">
        <f t="shared" si="48"/>
        <v>0</v>
      </c>
      <c r="CB30" s="251">
        <f t="shared" si="49"/>
        <v>0</v>
      </c>
      <c r="CC30" s="251">
        <f t="shared" si="50"/>
        <v>0</v>
      </c>
      <c r="CD30" s="251">
        <f t="shared" si="83"/>
        <v>0</v>
      </c>
      <c r="CE30" s="251">
        <f t="shared" si="84"/>
        <v>0</v>
      </c>
      <c r="CF30" s="251">
        <f t="shared" si="85"/>
        <v>0</v>
      </c>
      <c r="CG30" s="251">
        <f t="shared" si="86"/>
        <v>0</v>
      </c>
      <c r="CH30" s="251">
        <f t="shared" si="51"/>
        <v>0</v>
      </c>
      <c r="CI30" s="251">
        <f t="shared" si="52"/>
        <v>0</v>
      </c>
      <c r="CJ30" s="251">
        <f t="shared" si="87"/>
        <v>0</v>
      </c>
      <c r="CK30" s="251">
        <f t="shared" si="88"/>
        <v>0</v>
      </c>
      <c r="CL30" s="251">
        <f t="shared" si="53"/>
        <v>0</v>
      </c>
      <c r="CM30" s="251">
        <f t="shared" si="54"/>
        <v>0</v>
      </c>
      <c r="CN30" s="251">
        <f t="shared" si="55"/>
        <v>0</v>
      </c>
      <c r="CO30" s="251">
        <f t="shared" si="56"/>
        <v>0</v>
      </c>
      <c r="CP30" s="251">
        <f t="shared" si="89"/>
        <v>0</v>
      </c>
      <c r="CQ30" s="251">
        <f t="shared" si="90"/>
        <v>0</v>
      </c>
      <c r="CR30" s="251">
        <f t="shared" si="91"/>
        <v>0</v>
      </c>
      <c r="CS30" s="251">
        <f t="shared" si="92"/>
        <v>0</v>
      </c>
      <c r="CT30" s="251">
        <f t="shared" si="57"/>
        <v>0</v>
      </c>
      <c r="CU30" s="251">
        <f t="shared" si="58"/>
        <v>0</v>
      </c>
      <c r="CV30" s="251">
        <f t="shared" si="59"/>
        <v>0</v>
      </c>
      <c r="CW30" s="251">
        <f t="shared" si="60"/>
        <v>0</v>
      </c>
      <c r="CX30" s="251">
        <f t="shared" si="93"/>
        <v>0</v>
      </c>
      <c r="CY30" s="251">
        <f t="shared" si="94"/>
        <v>0</v>
      </c>
      <c r="CZ30" s="251">
        <f t="shared" si="95"/>
        <v>0</v>
      </c>
      <c r="DA30" s="251">
        <f t="shared" si="96"/>
        <v>0</v>
      </c>
    </row>
    <row r="31" spans="1:105" s="248" customFormat="1" ht="15" customHeight="1">
      <c r="A31" s="58" t="str">
        <f t="array" ref="A31">IF(C31&lt;&gt;0,SUM(($C$11:C31&lt;&gt;0)*1),"")</f>
        <v/>
      </c>
      <c r="B31" s="249"/>
      <c r="C31" s="249"/>
      <c r="D31" s="249"/>
      <c r="E31" s="326"/>
      <c r="F31" s="300"/>
      <c r="G31" s="302"/>
      <c r="H31" s="302"/>
      <c r="I31" s="58" t="str">
        <f t="shared" si="97"/>
        <v/>
      </c>
      <c r="J31" s="251">
        <f t="shared" si="61"/>
        <v>0</v>
      </c>
      <c r="K31" s="251">
        <f t="shared" si="62"/>
        <v>0</v>
      </c>
      <c r="L31" s="251">
        <f t="shared" si="1"/>
        <v>0</v>
      </c>
      <c r="M31" s="251">
        <f t="shared" si="2"/>
        <v>0</v>
      </c>
      <c r="N31" s="251">
        <f t="shared" si="3"/>
        <v>0</v>
      </c>
      <c r="O31" s="251">
        <f t="shared" si="4"/>
        <v>0</v>
      </c>
      <c r="P31" s="251">
        <f t="shared" si="5"/>
        <v>0</v>
      </c>
      <c r="Q31" s="251">
        <f t="shared" si="6"/>
        <v>0</v>
      </c>
      <c r="R31" s="251">
        <f t="shared" si="7"/>
        <v>0</v>
      </c>
      <c r="S31" s="251">
        <f t="shared" si="8"/>
        <v>0</v>
      </c>
      <c r="T31" s="251">
        <f t="shared" si="9"/>
        <v>0</v>
      </c>
      <c r="U31" s="251">
        <f t="shared" si="10"/>
        <v>0</v>
      </c>
      <c r="V31" s="251">
        <f t="shared" si="11"/>
        <v>0</v>
      </c>
      <c r="W31" s="251">
        <f t="shared" si="12"/>
        <v>0</v>
      </c>
      <c r="X31" s="251">
        <f t="shared" si="13"/>
        <v>0</v>
      </c>
      <c r="Y31" s="251">
        <f t="shared" si="14"/>
        <v>0</v>
      </c>
      <c r="Z31" s="251">
        <f t="shared" si="15"/>
        <v>0</v>
      </c>
      <c r="AA31" s="251">
        <f t="shared" si="16"/>
        <v>0</v>
      </c>
      <c r="AB31" s="251">
        <f t="shared" si="63"/>
        <v>0</v>
      </c>
      <c r="AC31" s="251">
        <f t="shared" si="64"/>
        <v>0</v>
      </c>
      <c r="AD31" s="251">
        <f t="shared" si="17"/>
        <v>0</v>
      </c>
      <c r="AE31" s="251">
        <f t="shared" si="18"/>
        <v>0</v>
      </c>
      <c r="AF31" s="251">
        <f t="shared" si="19"/>
        <v>0</v>
      </c>
      <c r="AG31" s="251">
        <f t="shared" si="20"/>
        <v>0</v>
      </c>
      <c r="AH31" s="251">
        <f t="shared" si="65"/>
        <v>0</v>
      </c>
      <c r="AI31" s="251">
        <f t="shared" si="66"/>
        <v>0</v>
      </c>
      <c r="AJ31" s="251">
        <f t="shared" si="67"/>
        <v>0</v>
      </c>
      <c r="AK31" s="251">
        <f t="shared" si="68"/>
        <v>0</v>
      </c>
      <c r="AL31" s="251">
        <f t="shared" si="69"/>
        <v>0</v>
      </c>
      <c r="AM31" s="251">
        <f t="shared" si="70"/>
        <v>0</v>
      </c>
      <c r="AN31" s="251">
        <f t="shared" si="71"/>
        <v>0</v>
      </c>
      <c r="AO31" s="251">
        <f t="shared" si="72"/>
        <v>0</v>
      </c>
      <c r="AP31" s="251">
        <f t="shared" si="21"/>
        <v>0</v>
      </c>
      <c r="AQ31" s="251">
        <f t="shared" si="22"/>
        <v>0</v>
      </c>
      <c r="AR31" s="251">
        <f t="shared" si="23"/>
        <v>0</v>
      </c>
      <c r="AS31" s="251">
        <f t="shared" si="24"/>
        <v>0</v>
      </c>
      <c r="AT31" s="251">
        <f t="shared" si="73"/>
        <v>0</v>
      </c>
      <c r="AU31" s="251">
        <f t="shared" si="74"/>
        <v>0</v>
      </c>
      <c r="AV31" s="251">
        <f t="shared" si="25"/>
        <v>0</v>
      </c>
      <c r="AW31" s="251">
        <f t="shared" si="26"/>
        <v>0</v>
      </c>
      <c r="AX31" s="251">
        <f t="shared" si="27"/>
        <v>0</v>
      </c>
      <c r="AY31" s="251">
        <f t="shared" si="28"/>
        <v>0</v>
      </c>
      <c r="AZ31" s="251">
        <f t="shared" si="29"/>
        <v>0</v>
      </c>
      <c r="BA31" s="251">
        <f t="shared" si="30"/>
        <v>0</v>
      </c>
      <c r="BB31" s="251">
        <f t="shared" si="31"/>
        <v>0</v>
      </c>
      <c r="BC31" s="251">
        <f t="shared" si="32"/>
        <v>0</v>
      </c>
      <c r="BD31" s="251">
        <f t="shared" si="33"/>
        <v>0</v>
      </c>
      <c r="BE31" s="251">
        <f t="shared" si="34"/>
        <v>0</v>
      </c>
      <c r="BF31" s="251">
        <f t="shared" si="35"/>
        <v>0</v>
      </c>
      <c r="BG31" s="251">
        <f t="shared" si="36"/>
        <v>0</v>
      </c>
      <c r="BH31" s="251">
        <f t="shared" si="75"/>
        <v>0</v>
      </c>
      <c r="BI31" s="251">
        <f t="shared" si="76"/>
        <v>0</v>
      </c>
      <c r="BJ31" s="251">
        <f t="shared" si="37"/>
        <v>0</v>
      </c>
      <c r="BK31" s="251">
        <f t="shared" si="38"/>
        <v>0</v>
      </c>
      <c r="BL31" s="251">
        <f t="shared" si="39"/>
        <v>0</v>
      </c>
      <c r="BM31" s="251">
        <f t="shared" si="40"/>
        <v>0</v>
      </c>
      <c r="BN31" s="251">
        <f t="shared" si="41"/>
        <v>0</v>
      </c>
      <c r="BO31" s="251">
        <f t="shared" si="42"/>
        <v>0</v>
      </c>
      <c r="BP31" s="251">
        <f t="shared" si="77"/>
        <v>0</v>
      </c>
      <c r="BQ31" s="251">
        <f t="shared" si="78"/>
        <v>0</v>
      </c>
      <c r="BR31" s="251">
        <f t="shared" si="43"/>
        <v>0</v>
      </c>
      <c r="BS31" s="251">
        <f t="shared" si="44"/>
        <v>0</v>
      </c>
      <c r="BT31" s="251">
        <f t="shared" si="79"/>
        <v>0</v>
      </c>
      <c r="BU31" s="251">
        <f t="shared" si="80"/>
        <v>0</v>
      </c>
      <c r="BV31" s="251">
        <f t="shared" si="81"/>
        <v>0</v>
      </c>
      <c r="BW31" s="251">
        <f t="shared" si="82"/>
        <v>0</v>
      </c>
      <c r="BX31" s="251">
        <f t="shared" si="45"/>
        <v>0</v>
      </c>
      <c r="BY31" s="251">
        <f t="shared" si="46"/>
        <v>0</v>
      </c>
      <c r="BZ31" s="251">
        <f t="shared" si="47"/>
        <v>0</v>
      </c>
      <c r="CA31" s="251">
        <f t="shared" si="48"/>
        <v>0</v>
      </c>
      <c r="CB31" s="251">
        <f t="shared" si="49"/>
        <v>0</v>
      </c>
      <c r="CC31" s="251">
        <f t="shared" si="50"/>
        <v>0</v>
      </c>
      <c r="CD31" s="251">
        <f t="shared" si="83"/>
        <v>0</v>
      </c>
      <c r="CE31" s="251">
        <f t="shared" si="84"/>
        <v>0</v>
      </c>
      <c r="CF31" s="251">
        <f t="shared" si="85"/>
        <v>0</v>
      </c>
      <c r="CG31" s="251">
        <f t="shared" si="86"/>
        <v>0</v>
      </c>
      <c r="CH31" s="251">
        <f t="shared" si="51"/>
        <v>0</v>
      </c>
      <c r="CI31" s="251">
        <f t="shared" si="52"/>
        <v>0</v>
      </c>
      <c r="CJ31" s="251">
        <f t="shared" si="87"/>
        <v>0</v>
      </c>
      <c r="CK31" s="251">
        <f t="shared" si="88"/>
        <v>0</v>
      </c>
      <c r="CL31" s="251">
        <f t="shared" si="53"/>
        <v>0</v>
      </c>
      <c r="CM31" s="251">
        <f t="shared" si="54"/>
        <v>0</v>
      </c>
      <c r="CN31" s="251">
        <f t="shared" si="55"/>
        <v>0</v>
      </c>
      <c r="CO31" s="251">
        <f t="shared" si="56"/>
        <v>0</v>
      </c>
      <c r="CP31" s="251">
        <f t="shared" si="89"/>
        <v>0</v>
      </c>
      <c r="CQ31" s="251">
        <f t="shared" si="90"/>
        <v>0</v>
      </c>
      <c r="CR31" s="251">
        <f t="shared" si="91"/>
        <v>0</v>
      </c>
      <c r="CS31" s="251">
        <f t="shared" si="92"/>
        <v>0</v>
      </c>
      <c r="CT31" s="251">
        <f t="shared" si="57"/>
        <v>0</v>
      </c>
      <c r="CU31" s="251">
        <f t="shared" si="58"/>
        <v>0</v>
      </c>
      <c r="CV31" s="251">
        <f t="shared" si="59"/>
        <v>0</v>
      </c>
      <c r="CW31" s="251">
        <f t="shared" si="60"/>
        <v>0</v>
      </c>
      <c r="CX31" s="251">
        <f t="shared" si="93"/>
        <v>0</v>
      </c>
      <c r="CY31" s="251">
        <f t="shared" si="94"/>
        <v>0</v>
      </c>
      <c r="CZ31" s="251">
        <f t="shared" si="95"/>
        <v>0</v>
      </c>
      <c r="DA31" s="251">
        <f t="shared" si="96"/>
        <v>0</v>
      </c>
    </row>
    <row r="32" spans="1:105" s="248" customFormat="1" ht="15" customHeight="1">
      <c r="A32" s="58" t="str">
        <f t="array" ref="A32">IF(C32&lt;&gt;0,SUM(($C$11:C32&lt;&gt;0)*1),"")</f>
        <v/>
      </c>
      <c r="B32" s="249"/>
      <c r="C32" s="249"/>
      <c r="D32" s="249"/>
      <c r="E32" s="326"/>
      <c r="F32" s="300"/>
      <c r="G32" s="302"/>
      <c r="H32" s="302"/>
      <c r="I32" s="58" t="str">
        <f t="shared" si="97"/>
        <v/>
      </c>
      <c r="J32" s="251">
        <f t="shared" si="61"/>
        <v>0</v>
      </c>
      <c r="K32" s="251">
        <f t="shared" si="62"/>
        <v>0</v>
      </c>
      <c r="L32" s="251">
        <f t="shared" si="1"/>
        <v>0</v>
      </c>
      <c r="M32" s="251">
        <f t="shared" si="2"/>
        <v>0</v>
      </c>
      <c r="N32" s="251">
        <f t="shared" si="3"/>
        <v>0</v>
      </c>
      <c r="O32" s="251">
        <f t="shared" si="4"/>
        <v>0</v>
      </c>
      <c r="P32" s="251">
        <f t="shared" si="5"/>
        <v>0</v>
      </c>
      <c r="Q32" s="251">
        <f t="shared" si="6"/>
        <v>0</v>
      </c>
      <c r="R32" s="251">
        <f t="shared" si="7"/>
        <v>0</v>
      </c>
      <c r="S32" s="251">
        <f t="shared" si="8"/>
        <v>0</v>
      </c>
      <c r="T32" s="251">
        <f t="shared" si="9"/>
        <v>0</v>
      </c>
      <c r="U32" s="251">
        <f t="shared" si="10"/>
        <v>0</v>
      </c>
      <c r="V32" s="251">
        <f t="shared" si="11"/>
        <v>0</v>
      </c>
      <c r="W32" s="251">
        <f t="shared" si="12"/>
        <v>0</v>
      </c>
      <c r="X32" s="251">
        <f t="shared" si="13"/>
        <v>0</v>
      </c>
      <c r="Y32" s="251">
        <f t="shared" si="14"/>
        <v>0</v>
      </c>
      <c r="Z32" s="251">
        <f t="shared" si="15"/>
        <v>0</v>
      </c>
      <c r="AA32" s="251">
        <f t="shared" si="16"/>
        <v>0</v>
      </c>
      <c r="AB32" s="251">
        <f t="shared" si="63"/>
        <v>0</v>
      </c>
      <c r="AC32" s="251">
        <f t="shared" si="64"/>
        <v>0</v>
      </c>
      <c r="AD32" s="251">
        <f t="shared" si="17"/>
        <v>0</v>
      </c>
      <c r="AE32" s="251">
        <f t="shared" si="18"/>
        <v>0</v>
      </c>
      <c r="AF32" s="251">
        <f t="shared" si="19"/>
        <v>0</v>
      </c>
      <c r="AG32" s="251">
        <f t="shared" si="20"/>
        <v>0</v>
      </c>
      <c r="AH32" s="251">
        <f t="shared" si="65"/>
        <v>0</v>
      </c>
      <c r="AI32" s="251">
        <f t="shared" si="66"/>
        <v>0</v>
      </c>
      <c r="AJ32" s="251">
        <f t="shared" si="67"/>
        <v>0</v>
      </c>
      <c r="AK32" s="251">
        <f t="shared" si="68"/>
        <v>0</v>
      </c>
      <c r="AL32" s="251">
        <f t="shared" si="69"/>
        <v>0</v>
      </c>
      <c r="AM32" s="251">
        <f t="shared" si="70"/>
        <v>0</v>
      </c>
      <c r="AN32" s="251">
        <f t="shared" si="71"/>
        <v>0</v>
      </c>
      <c r="AO32" s="251">
        <f t="shared" si="72"/>
        <v>0</v>
      </c>
      <c r="AP32" s="251">
        <f t="shared" si="21"/>
        <v>0</v>
      </c>
      <c r="AQ32" s="251">
        <f t="shared" si="22"/>
        <v>0</v>
      </c>
      <c r="AR32" s="251">
        <f t="shared" si="23"/>
        <v>0</v>
      </c>
      <c r="AS32" s="251">
        <f t="shared" si="24"/>
        <v>0</v>
      </c>
      <c r="AT32" s="251">
        <f t="shared" si="73"/>
        <v>0</v>
      </c>
      <c r="AU32" s="251">
        <f t="shared" si="74"/>
        <v>0</v>
      </c>
      <c r="AV32" s="251">
        <f t="shared" si="25"/>
        <v>0</v>
      </c>
      <c r="AW32" s="251">
        <f t="shared" si="26"/>
        <v>0</v>
      </c>
      <c r="AX32" s="251">
        <f t="shared" si="27"/>
        <v>0</v>
      </c>
      <c r="AY32" s="251">
        <f t="shared" si="28"/>
        <v>0</v>
      </c>
      <c r="AZ32" s="251">
        <f t="shared" si="29"/>
        <v>0</v>
      </c>
      <c r="BA32" s="251">
        <f t="shared" si="30"/>
        <v>0</v>
      </c>
      <c r="BB32" s="251">
        <f t="shared" si="31"/>
        <v>0</v>
      </c>
      <c r="BC32" s="251">
        <f t="shared" si="32"/>
        <v>0</v>
      </c>
      <c r="BD32" s="251">
        <f t="shared" si="33"/>
        <v>0</v>
      </c>
      <c r="BE32" s="251">
        <f t="shared" si="34"/>
        <v>0</v>
      </c>
      <c r="BF32" s="251">
        <f t="shared" si="35"/>
        <v>0</v>
      </c>
      <c r="BG32" s="251">
        <f t="shared" si="36"/>
        <v>0</v>
      </c>
      <c r="BH32" s="251">
        <f t="shared" si="75"/>
        <v>0</v>
      </c>
      <c r="BI32" s="251">
        <f t="shared" si="76"/>
        <v>0</v>
      </c>
      <c r="BJ32" s="251">
        <f t="shared" si="37"/>
        <v>0</v>
      </c>
      <c r="BK32" s="251">
        <f t="shared" si="38"/>
        <v>0</v>
      </c>
      <c r="BL32" s="251">
        <f t="shared" si="39"/>
        <v>0</v>
      </c>
      <c r="BM32" s="251">
        <f t="shared" si="40"/>
        <v>0</v>
      </c>
      <c r="BN32" s="251">
        <f t="shared" si="41"/>
        <v>0</v>
      </c>
      <c r="BO32" s="251">
        <f t="shared" si="42"/>
        <v>0</v>
      </c>
      <c r="BP32" s="251">
        <f t="shared" si="77"/>
        <v>0</v>
      </c>
      <c r="BQ32" s="251">
        <f t="shared" si="78"/>
        <v>0</v>
      </c>
      <c r="BR32" s="251">
        <f t="shared" si="43"/>
        <v>0</v>
      </c>
      <c r="BS32" s="251">
        <f t="shared" si="44"/>
        <v>0</v>
      </c>
      <c r="BT32" s="251">
        <f t="shared" si="79"/>
        <v>0</v>
      </c>
      <c r="BU32" s="251">
        <f t="shared" si="80"/>
        <v>0</v>
      </c>
      <c r="BV32" s="251">
        <f t="shared" si="81"/>
        <v>0</v>
      </c>
      <c r="BW32" s="251">
        <f t="shared" si="82"/>
        <v>0</v>
      </c>
      <c r="BX32" s="251">
        <f t="shared" si="45"/>
        <v>0</v>
      </c>
      <c r="BY32" s="251">
        <f t="shared" si="46"/>
        <v>0</v>
      </c>
      <c r="BZ32" s="251">
        <f t="shared" si="47"/>
        <v>0</v>
      </c>
      <c r="CA32" s="251">
        <f t="shared" si="48"/>
        <v>0</v>
      </c>
      <c r="CB32" s="251">
        <f t="shared" si="49"/>
        <v>0</v>
      </c>
      <c r="CC32" s="251">
        <f t="shared" si="50"/>
        <v>0</v>
      </c>
      <c r="CD32" s="251">
        <f t="shared" si="83"/>
        <v>0</v>
      </c>
      <c r="CE32" s="251">
        <f t="shared" si="84"/>
        <v>0</v>
      </c>
      <c r="CF32" s="251">
        <f t="shared" si="85"/>
        <v>0</v>
      </c>
      <c r="CG32" s="251">
        <f t="shared" si="86"/>
        <v>0</v>
      </c>
      <c r="CH32" s="251">
        <f t="shared" si="51"/>
        <v>0</v>
      </c>
      <c r="CI32" s="251">
        <f t="shared" si="52"/>
        <v>0</v>
      </c>
      <c r="CJ32" s="251">
        <f t="shared" si="87"/>
        <v>0</v>
      </c>
      <c r="CK32" s="251">
        <f t="shared" si="88"/>
        <v>0</v>
      </c>
      <c r="CL32" s="251">
        <f t="shared" si="53"/>
        <v>0</v>
      </c>
      <c r="CM32" s="251">
        <f t="shared" si="54"/>
        <v>0</v>
      </c>
      <c r="CN32" s="251">
        <f t="shared" si="55"/>
        <v>0</v>
      </c>
      <c r="CO32" s="251">
        <f t="shared" si="56"/>
        <v>0</v>
      </c>
      <c r="CP32" s="251">
        <f t="shared" si="89"/>
        <v>0</v>
      </c>
      <c r="CQ32" s="251">
        <f t="shared" si="90"/>
        <v>0</v>
      </c>
      <c r="CR32" s="251">
        <f t="shared" si="91"/>
        <v>0</v>
      </c>
      <c r="CS32" s="251">
        <f t="shared" si="92"/>
        <v>0</v>
      </c>
      <c r="CT32" s="251">
        <f t="shared" si="57"/>
        <v>0</v>
      </c>
      <c r="CU32" s="251">
        <f t="shared" si="58"/>
        <v>0</v>
      </c>
      <c r="CV32" s="251">
        <f t="shared" si="59"/>
        <v>0</v>
      </c>
      <c r="CW32" s="251">
        <f t="shared" si="60"/>
        <v>0</v>
      </c>
      <c r="CX32" s="251">
        <f t="shared" si="93"/>
        <v>0</v>
      </c>
      <c r="CY32" s="251">
        <f t="shared" si="94"/>
        <v>0</v>
      </c>
      <c r="CZ32" s="251">
        <f t="shared" si="95"/>
        <v>0</v>
      </c>
      <c r="DA32" s="251">
        <f t="shared" si="96"/>
        <v>0</v>
      </c>
    </row>
    <row r="33" spans="1:105" s="248" customFormat="1" ht="15" customHeight="1">
      <c r="A33" s="58" t="str">
        <f t="array" ref="A33">IF(C33&lt;&gt;0,SUM(($C$11:C33&lt;&gt;0)*1),"")</f>
        <v/>
      </c>
      <c r="B33" s="249"/>
      <c r="C33" s="249"/>
      <c r="D33" s="249"/>
      <c r="E33" s="326"/>
      <c r="F33" s="300"/>
      <c r="G33" s="302"/>
      <c r="H33" s="302"/>
      <c r="I33" s="58" t="str">
        <f t="shared" si="97"/>
        <v/>
      </c>
      <c r="J33" s="251">
        <f t="shared" si="61"/>
        <v>0</v>
      </c>
      <c r="K33" s="251">
        <f t="shared" si="62"/>
        <v>0</v>
      </c>
      <c r="L33" s="251">
        <f t="shared" si="1"/>
        <v>0</v>
      </c>
      <c r="M33" s="251">
        <f t="shared" si="2"/>
        <v>0</v>
      </c>
      <c r="N33" s="251">
        <f t="shared" si="3"/>
        <v>0</v>
      </c>
      <c r="O33" s="251">
        <f t="shared" si="4"/>
        <v>0</v>
      </c>
      <c r="P33" s="251">
        <f t="shared" si="5"/>
        <v>0</v>
      </c>
      <c r="Q33" s="251">
        <f t="shared" si="6"/>
        <v>0</v>
      </c>
      <c r="R33" s="251">
        <f t="shared" si="7"/>
        <v>0</v>
      </c>
      <c r="S33" s="251">
        <f t="shared" si="8"/>
        <v>0</v>
      </c>
      <c r="T33" s="251">
        <f t="shared" si="9"/>
        <v>0</v>
      </c>
      <c r="U33" s="251">
        <f t="shared" si="10"/>
        <v>0</v>
      </c>
      <c r="V33" s="251">
        <f t="shared" si="11"/>
        <v>0</v>
      </c>
      <c r="W33" s="251">
        <f t="shared" si="12"/>
        <v>0</v>
      </c>
      <c r="X33" s="251">
        <f t="shared" si="13"/>
        <v>0</v>
      </c>
      <c r="Y33" s="251">
        <f t="shared" si="14"/>
        <v>0</v>
      </c>
      <c r="Z33" s="251">
        <f t="shared" si="15"/>
        <v>0</v>
      </c>
      <c r="AA33" s="251">
        <f t="shared" si="16"/>
        <v>0</v>
      </c>
      <c r="AB33" s="251">
        <f t="shared" si="63"/>
        <v>0</v>
      </c>
      <c r="AC33" s="251">
        <f t="shared" si="64"/>
        <v>0</v>
      </c>
      <c r="AD33" s="251">
        <f t="shared" si="17"/>
        <v>0</v>
      </c>
      <c r="AE33" s="251">
        <f t="shared" si="18"/>
        <v>0</v>
      </c>
      <c r="AF33" s="251">
        <f t="shared" si="19"/>
        <v>0</v>
      </c>
      <c r="AG33" s="251">
        <f t="shared" si="20"/>
        <v>0</v>
      </c>
      <c r="AH33" s="251">
        <f t="shared" si="65"/>
        <v>0</v>
      </c>
      <c r="AI33" s="251">
        <f t="shared" si="66"/>
        <v>0</v>
      </c>
      <c r="AJ33" s="251">
        <f t="shared" si="67"/>
        <v>0</v>
      </c>
      <c r="AK33" s="251">
        <f t="shared" si="68"/>
        <v>0</v>
      </c>
      <c r="AL33" s="251">
        <f t="shared" si="69"/>
        <v>0</v>
      </c>
      <c r="AM33" s="251">
        <f t="shared" si="70"/>
        <v>0</v>
      </c>
      <c r="AN33" s="251">
        <f t="shared" si="71"/>
        <v>0</v>
      </c>
      <c r="AO33" s="251">
        <f t="shared" si="72"/>
        <v>0</v>
      </c>
      <c r="AP33" s="251">
        <f t="shared" si="21"/>
        <v>0</v>
      </c>
      <c r="AQ33" s="251">
        <f t="shared" si="22"/>
        <v>0</v>
      </c>
      <c r="AR33" s="251">
        <f t="shared" si="23"/>
        <v>0</v>
      </c>
      <c r="AS33" s="251">
        <f t="shared" si="24"/>
        <v>0</v>
      </c>
      <c r="AT33" s="251">
        <f t="shared" si="73"/>
        <v>0</v>
      </c>
      <c r="AU33" s="251">
        <f t="shared" si="74"/>
        <v>0</v>
      </c>
      <c r="AV33" s="251">
        <f t="shared" si="25"/>
        <v>0</v>
      </c>
      <c r="AW33" s="251">
        <f t="shared" si="26"/>
        <v>0</v>
      </c>
      <c r="AX33" s="251">
        <f t="shared" si="27"/>
        <v>0</v>
      </c>
      <c r="AY33" s="251">
        <f t="shared" si="28"/>
        <v>0</v>
      </c>
      <c r="AZ33" s="251">
        <f t="shared" si="29"/>
        <v>0</v>
      </c>
      <c r="BA33" s="251">
        <f t="shared" si="30"/>
        <v>0</v>
      </c>
      <c r="BB33" s="251">
        <f t="shared" si="31"/>
        <v>0</v>
      </c>
      <c r="BC33" s="251">
        <f t="shared" si="32"/>
        <v>0</v>
      </c>
      <c r="BD33" s="251">
        <f t="shared" si="33"/>
        <v>0</v>
      </c>
      <c r="BE33" s="251">
        <f t="shared" si="34"/>
        <v>0</v>
      </c>
      <c r="BF33" s="251">
        <f t="shared" si="35"/>
        <v>0</v>
      </c>
      <c r="BG33" s="251">
        <f t="shared" si="36"/>
        <v>0</v>
      </c>
      <c r="BH33" s="251">
        <f t="shared" si="75"/>
        <v>0</v>
      </c>
      <c r="BI33" s="251">
        <f t="shared" si="76"/>
        <v>0</v>
      </c>
      <c r="BJ33" s="251">
        <f t="shared" si="37"/>
        <v>0</v>
      </c>
      <c r="BK33" s="251">
        <f t="shared" si="38"/>
        <v>0</v>
      </c>
      <c r="BL33" s="251">
        <f t="shared" si="39"/>
        <v>0</v>
      </c>
      <c r="BM33" s="251">
        <f t="shared" si="40"/>
        <v>0</v>
      </c>
      <c r="BN33" s="251">
        <f t="shared" si="41"/>
        <v>0</v>
      </c>
      <c r="BO33" s="251">
        <f t="shared" si="42"/>
        <v>0</v>
      </c>
      <c r="BP33" s="251">
        <f t="shared" si="77"/>
        <v>0</v>
      </c>
      <c r="BQ33" s="251">
        <f t="shared" si="78"/>
        <v>0</v>
      </c>
      <c r="BR33" s="251">
        <f t="shared" si="43"/>
        <v>0</v>
      </c>
      <c r="BS33" s="251">
        <f t="shared" si="44"/>
        <v>0</v>
      </c>
      <c r="BT33" s="251">
        <f t="shared" si="79"/>
        <v>0</v>
      </c>
      <c r="BU33" s="251">
        <f t="shared" si="80"/>
        <v>0</v>
      </c>
      <c r="BV33" s="251">
        <f t="shared" si="81"/>
        <v>0</v>
      </c>
      <c r="BW33" s="251">
        <f t="shared" si="82"/>
        <v>0</v>
      </c>
      <c r="BX33" s="251">
        <f t="shared" si="45"/>
        <v>0</v>
      </c>
      <c r="BY33" s="251">
        <f t="shared" si="46"/>
        <v>0</v>
      </c>
      <c r="BZ33" s="251">
        <f t="shared" si="47"/>
        <v>0</v>
      </c>
      <c r="CA33" s="251">
        <f t="shared" si="48"/>
        <v>0</v>
      </c>
      <c r="CB33" s="251">
        <f t="shared" si="49"/>
        <v>0</v>
      </c>
      <c r="CC33" s="251">
        <f t="shared" si="50"/>
        <v>0</v>
      </c>
      <c r="CD33" s="251">
        <f t="shared" si="83"/>
        <v>0</v>
      </c>
      <c r="CE33" s="251">
        <f t="shared" si="84"/>
        <v>0</v>
      </c>
      <c r="CF33" s="251">
        <f t="shared" si="85"/>
        <v>0</v>
      </c>
      <c r="CG33" s="251">
        <f t="shared" si="86"/>
        <v>0</v>
      </c>
      <c r="CH33" s="251">
        <f t="shared" si="51"/>
        <v>0</v>
      </c>
      <c r="CI33" s="251">
        <f t="shared" si="52"/>
        <v>0</v>
      </c>
      <c r="CJ33" s="251">
        <f t="shared" si="87"/>
        <v>0</v>
      </c>
      <c r="CK33" s="251">
        <f t="shared" si="88"/>
        <v>0</v>
      </c>
      <c r="CL33" s="251">
        <f t="shared" si="53"/>
        <v>0</v>
      </c>
      <c r="CM33" s="251">
        <f t="shared" si="54"/>
        <v>0</v>
      </c>
      <c r="CN33" s="251">
        <f t="shared" si="55"/>
        <v>0</v>
      </c>
      <c r="CO33" s="251">
        <f t="shared" si="56"/>
        <v>0</v>
      </c>
      <c r="CP33" s="251">
        <f t="shared" si="89"/>
        <v>0</v>
      </c>
      <c r="CQ33" s="251">
        <f t="shared" si="90"/>
        <v>0</v>
      </c>
      <c r="CR33" s="251">
        <f t="shared" si="91"/>
        <v>0</v>
      </c>
      <c r="CS33" s="251">
        <f t="shared" si="92"/>
        <v>0</v>
      </c>
      <c r="CT33" s="251">
        <f t="shared" si="57"/>
        <v>0</v>
      </c>
      <c r="CU33" s="251">
        <f t="shared" si="58"/>
        <v>0</v>
      </c>
      <c r="CV33" s="251">
        <f t="shared" si="59"/>
        <v>0</v>
      </c>
      <c r="CW33" s="251">
        <f t="shared" si="60"/>
        <v>0</v>
      </c>
      <c r="CX33" s="251">
        <f t="shared" si="93"/>
        <v>0</v>
      </c>
      <c r="CY33" s="251">
        <f t="shared" si="94"/>
        <v>0</v>
      </c>
      <c r="CZ33" s="251">
        <f t="shared" si="95"/>
        <v>0</v>
      </c>
      <c r="DA33" s="251">
        <f t="shared" si="96"/>
        <v>0</v>
      </c>
    </row>
    <row r="34" spans="1:105" s="248" customFormat="1" ht="15" customHeight="1">
      <c r="A34" s="58" t="str">
        <f t="array" ref="A34">IF(C34&lt;&gt;0,SUM(($C$11:C34&lt;&gt;0)*1),"")</f>
        <v/>
      </c>
      <c r="B34" s="249"/>
      <c r="C34" s="249"/>
      <c r="D34" s="249"/>
      <c r="E34" s="326"/>
      <c r="F34" s="300"/>
      <c r="G34" s="302"/>
      <c r="H34" s="302"/>
      <c r="I34" s="58" t="str">
        <f t="shared" si="97"/>
        <v/>
      </c>
      <c r="J34" s="251">
        <f t="shared" si="61"/>
        <v>0</v>
      </c>
      <c r="K34" s="251">
        <f t="shared" si="62"/>
        <v>0</v>
      </c>
      <c r="L34" s="251">
        <f t="shared" si="1"/>
        <v>0</v>
      </c>
      <c r="M34" s="251">
        <f t="shared" si="2"/>
        <v>0</v>
      </c>
      <c r="N34" s="251">
        <f t="shared" si="3"/>
        <v>0</v>
      </c>
      <c r="O34" s="251">
        <f t="shared" si="4"/>
        <v>0</v>
      </c>
      <c r="P34" s="251">
        <f t="shared" si="5"/>
        <v>0</v>
      </c>
      <c r="Q34" s="251">
        <f t="shared" si="6"/>
        <v>0</v>
      </c>
      <c r="R34" s="251">
        <f t="shared" si="7"/>
        <v>0</v>
      </c>
      <c r="S34" s="251">
        <f t="shared" si="8"/>
        <v>0</v>
      </c>
      <c r="T34" s="251">
        <f t="shared" si="9"/>
        <v>0</v>
      </c>
      <c r="U34" s="251">
        <f t="shared" si="10"/>
        <v>0</v>
      </c>
      <c r="V34" s="251">
        <f t="shared" si="11"/>
        <v>0</v>
      </c>
      <c r="W34" s="251">
        <f t="shared" si="12"/>
        <v>0</v>
      </c>
      <c r="X34" s="251">
        <f t="shared" si="13"/>
        <v>0</v>
      </c>
      <c r="Y34" s="251">
        <f t="shared" si="14"/>
        <v>0</v>
      </c>
      <c r="Z34" s="251">
        <f t="shared" si="15"/>
        <v>0</v>
      </c>
      <c r="AA34" s="251">
        <f t="shared" si="16"/>
        <v>0</v>
      </c>
      <c r="AB34" s="251">
        <f t="shared" si="63"/>
        <v>0</v>
      </c>
      <c r="AC34" s="251">
        <f t="shared" si="64"/>
        <v>0</v>
      </c>
      <c r="AD34" s="251">
        <f t="shared" si="17"/>
        <v>0</v>
      </c>
      <c r="AE34" s="251">
        <f t="shared" si="18"/>
        <v>0</v>
      </c>
      <c r="AF34" s="251">
        <f t="shared" si="19"/>
        <v>0</v>
      </c>
      <c r="AG34" s="251">
        <f t="shared" si="20"/>
        <v>0</v>
      </c>
      <c r="AH34" s="251">
        <f t="shared" si="65"/>
        <v>0</v>
      </c>
      <c r="AI34" s="251">
        <f t="shared" si="66"/>
        <v>0</v>
      </c>
      <c r="AJ34" s="251">
        <f t="shared" si="67"/>
        <v>0</v>
      </c>
      <c r="AK34" s="251">
        <f t="shared" si="68"/>
        <v>0</v>
      </c>
      <c r="AL34" s="251">
        <f t="shared" si="69"/>
        <v>0</v>
      </c>
      <c r="AM34" s="251">
        <f t="shared" si="70"/>
        <v>0</v>
      </c>
      <c r="AN34" s="251">
        <f t="shared" si="71"/>
        <v>0</v>
      </c>
      <c r="AO34" s="251">
        <f t="shared" si="72"/>
        <v>0</v>
      </c>
      <c r="AP34" s="251">
        <f t="shared" si="21"/>
        <v>0</v>
      </c>
      <c r="AQ34" s="251">
        <f t="shared" si="22"/>
        <v>0</v>
      </c>
      <c r="AR34" s="251">
        <f t="shared" si="23"/>
        <v>0</v>
      </c>
      <c r="AS34" s="251">
        <f t="shared" si="24"/>
        <v>0</v>
      </c>
      <c r="AT34" s="251">
        <f t="shared" si="73"/>
        <v>0</v>
      </c>
      <c r="AU34" s="251">
        <f t="shared" si="74"/>
        <v>0</v>
      </c>
      <c r="AV34" s="251">
        <f t="shared" si="25"/>
        <v>0</v>
      </c>
      <c r="AW34" s="251">
        <f t="shared" si="26"/>
        <v>0</v>
      </c>
      <c r="AX34" s="251">
        <f t="shared" si="27"/>
        <v>0</v>
      </c>
      <c r="AY34" s="251">
        <f t="shared" si="28"/>
        <v>0</v>
      </c>
      <c r="AZ34" s="251">
        <f t="shared" si="29"/>
        <v>0</v>
      </c>
      <c r="BA34" s="251">
        <f t="shared" si="30"/>
        <v>0</v>
      </c>
      <c r="BB34" s="251">
        <f t="shared" si="31"/>
        <v>0</v>
      </c>
      <c r="BC34" s="251">
        <f t="shared" si="32"/>
        <v>0</v>
      </c>
      <c r="BD34" s="251">
        <f t="shared" si="33"/>
        <v>0</v>
      </c>
      <c r="BE34" s="251">
        <f t="shared" si="34"/>
        <v>0</v>
      </c>
      <c r="BF34" s="251">
        <f t="shared" si="35"/>
        <v>0</v>
      </c>
      <c r="BG34" s="251">
        <f t="shared" si="36"/>
        <v>0</v>
      </c>
      <c r="BH34" s="251">
        <f t="shared" si="75"/>
        <v>0</v>
      </c>
      <c r="BI34" s="251">
        <f t="shared" si="76"/>
        <v>0</v>
      </c>
      <c r="BJ34" s="251">
        <f t="shared" si="37"/>
        <v>0</v>
      </c>
      <c r="BK34" s="251">
        <f t="shared" si="38"/>
        <v>0</v>
      </c>
      <c r="BL34" s="251">
        <f t="shared" si="39"/>
        <v>0</v>
      </c>
      <c r="BM34" s="251">
        <f t="shared" si="40"/>
        <v>0</v>
      </c>
      <c r="BN34" s="251">
        <f t="shared" si="41"/>
        <v>0</v>
      </c>
      <c r="BO34" s="251">
        <f t="shared" si="42"/>
        <v>0</v>
      </c>
      <c r="BP34" s="251">
        <f t="shared" si="77"/>
        <v>0</v>
      </c>
      <c r="BQ34" s="251">
        <f t="shared" si="78"/>
        <v>0</v>
      </c>
      <c r="BR34" s="251">
        <f t="shared" si="43"/>
        <v>0</v>
      </c>
      <c r="BS34" s="251">
        <f t="shared" si="44"/>
        <v>0</v>
      </c>
      <c r="BT34" s="251">
        <f t="shared" si="79"/>
        <v>0</v>
      </c>
      <c r="BU34" s="251">
        <f t="shared" si="80"/>
        <v>0</v>
      </c>
      <c r="BV34" s="251">
        <f t="shared" si="81"/>
        <v>0</v>
      </c>
      <c r="BW34" s="251">
        <f t="shared" si="82"/>
        <v>0</v>
      </c>
      <c r="BX34" s="251">
        <f t="shared" si="45"/>
        <v>0</v>
      </c>
      <c r="BY34" s="251">
        <f t="shared" si="46"/>
        <v>0</v>
      </c>
      <c r="BZ34" s="251">
        <f t="shared" si="47"/>
        <v>0</v>
      </c>
      <c r="CA34" s="251">
        <f t="shared" si="48"/>
        <v>0</v>
      </c>
      <c r="CB34" s="251">
        <f t="shared" si="49"/>
        <v>0</v>
      </c>
      <c r="CC34" s="251">
        <f t="shared" si="50"/>
        <v>0</v>
      </c>
      <c r="CD34" s="251">
        <f t="shared" si="83"/>
        <v>0</v>
      </c>
      <c r="CE34" s="251">
        <f t="shared" si="84"/>
        <v>0</v>
      </c>
      <c r="CF34" s="251">
        <f t="shared" si="85"/>
        <v>0</v>
      </c>
      <c r="CG34" s="251">
        <f t="shared" si="86"/>
        <v>0</v>
      </c>
      <c r="CH34" s="251">
        <f t="shared" si="51"/>
        <v>0</v>
      </c>
      <c r="CI34" s="251">
        <f t="shared" si="52"/>
        <v>0</v>
      </c>
      <c r="CJ34" s="251">
        <f t="shared" si="87"/>
        <v>0</v>
      </c>
      <c r="CK34" s="251">
        <f t="shared" si="88"/>
        <v>0</v>
      </c>
      <c r="CL34" s="251">
        <f t="shared" si="53"/>
        <v>0</v>
      </c>
      <c r="CM34" s="251">
        <f t="shared" si="54"/>
        <v>0</v>
      </c>
      <c r="CN34" s="251">
        <f t="shared" si="55"/>
        <v>0</v>
      </c>
      <c r="CO34" s="251">
        <f t="shared" si="56"/>
        <v>0</v>
      </c>
      <c r="CP34" s="251">
        <f t="shared" si="89"/>
        <v>0</v>
      </c>
      <c r="CQ34" s="251">
        <f t="shared" si="90"/>
        <v>0</v>
      </c>
      <c r="CR34" s="251">
        <f t="shared" si="91"/>
        <v>0</v>
      </c>
      <c r="CS34" s="251">
        <f t="shared" si="92"/>
        <v>0</v>
      </c>
      <c r="CT34" s="251">
        <f t="shared" si="57"/>
        <v>0</v>
      </c>
      <c r="CU34" s="251">
        <f t="shared" si="58"/>
        <v>0</v>
      </c>
      <c r="CV34" s="251">
        <f t="shared" si="59"/>
        <v>0</v>
      </c>
      <c r="CW34" s="251">
        <f t="shared" si="60"/>
        <v>0</v>
      </c>
      <c r="CX34" s="251">
        <f t="shared" si="93"/>
        <v>0</v>
      </c>
      <c r="CY34" s="251">
        <f t="shared" si="94"/>
        <v>0</v>
      </c>
      <c r="CZ34" s="251">
        <f t="shared" si="95"/>
        <v>0</v>
      </c>
      <c r="DA34" s="251">
        <f t="shared" si="96"/>
        <v>0</v>
      </c>
    </row>
    <row r="35" spans="1:105" s="248" customFormat="1" ht="15" customHeight="1">
      <c r="A35" s="58" t="str">
        <f t="array" ref="A35">IF(C35&lt;&gt;0,SUM(($C$11:C35&lt;&gt;0)*1),"")</f>
        <v/>
      </c>
      <c r="B35" s="249"/>
      <c r="C35" s="249"/>
      <c r="D35" s="249"/>
      <c r="E35" s="326"/>
      <c r="F35" s="300"/>
      <c r="G35" s="302"/>
      <c r="H35" s="302"/>
      <c r="I35" s="58" t="str">
        <f t="shared" si="97"/>
        <v/>
      </c>
      <c r="J35" s="251">
        <f t="shared" si="61"/>
        <v>0</v>
      </c>
      <c r="K35" s="251">
        <f t="shared" si="62"/>
        <v>0</v>
      </c>
      <c r="L35" s="251">
        <f t="shared" si="1"/>
        <v>0</v>
      </c>
      <c r="M35" s="251">
        <f t="shared" si="2"/>
        <v>0</v>
      </c>
      <c r="N35" s="251">
        <f t="shared" si="3"/>
        <v>0</v>
      </c>
      <c r="O35" s="251">
        <f t="shared" si="4"/>
        <v>0</v>
      </c>
      <c r="P35" s="251">
        <f t="shared" si="5"/>
        <v>0</v>
      </c>
      <c r="Q35" s="251">
        <f t="shared" si="6"/>
        <v>0</v>
      </c>
      <c r="R35" s="251">
        <f t="shared" si="7"/>
        <v>0</v>
      </c>
      <c r="S35" s="251">
        <f t="shared" si="8"/>
        <v>0</v>
      </c>
      <c r="T35" s="251">
        <f t="shared" si="9"/>
        <v>0</v>
      </c>
      <c r="U35" s="251">
        <f t="shared" si="10"/>
        <v>0</v>
      </c>
      <c r="V35" s="251">
        <f t="shared" si="11"/>
        <v>0</v>
      </c>
      <c r="W35" s="251">
        <f t="shared" si="12"/>
        <v>0</v>
      </c>
      <c r="X35" s="251">
        <f t="shared" si="13"/>
        <v>0</v>
      </c>
      <c r="Y35" s="251">
        <f t="shared" si="14"/>
        <v>0</v>
      </c>
      <c r="Z35" s="251">
        <f t="shared" si="15"/>
        <v>0</v>
      </c>
      <c r="AA35" s="251">
        <f t="shared" si="16"/>
        <v>0</v>
      </c>
      <c r="AB35" s="251">
        <f t="shared" si="63"/>
        <v>0</v>
      </c>
      <c r="AC35" s="251">
        <f t="shared" si="64"/>
        <v>0</v>
      </c>
      <c r="AD35" s="251">
        <f t="shared" si="17"/>
        <v>0</v>
      </c>
      <c r="AE35" s="251">
        <f t="shared" si="18"/>
        <v>0</v>
      </c>
      <c r="AF35" s="251">
        <f t="shared" si="19"/>
        <v>0</v>
      </c>
      <c r="AG35" s="251">
        <f t="shared" si="20"/>
        <v>0</v>
      </c>
      <c r="AH35" s="251">
        <f t="shared" si="65"/>
        <v>0</v>
      </c>
      <c r="AI35" s="251">
        <f t="shared" si="66"/>
        <v>0</v>
      </c>
      <c r="AJ35" s="251">
        <f t="shared" si="67"/>
        <v>0</v>
      </c>
      <c r="AK35" s="251">
        <f t="shared" si="68"/>
        <v>0</v>
      </c>
      <c r="AL35" s="251">
        <f t="shared" si="69"/>
        <v>0</v>
      </c>
      <c r="AM35" s="251">
        <f t="shared" si="70"/>
        <v>0</v>
      </c>
      <c r="AN35" s="251">
        <f t="shared" si="71"/>
        <v>0</v>
      </c>
      <c r="AO35" s="251">
        <f t="shared" si="72"/>
        <v>0</v>
      </c>
      <c r="AP35" s="251">
        <f t="shared" si="21"/>
        <v>0</v>
      </c>
      <c r="AQ35" s="251">
        <f t="shared" si="22"/>
        <v>0</v>
      </c>
      <c r="AR35" s="251">
        <f t="shared" si="23"/>
        <v>0</v>
      </c>
      <c r="AS35" s="251">
        <f t="shared" si="24"/>
        <v>0</v>
      </c>
      <c r="AT35" s="251">
        <f t="shared" si="73"/>
        <v>0</v>
      </c>
      <c r="AU35" s="251">
        <f t="shared" si="74"/>
        <v>0</v>
      </c>
      <c r="AV35" s="251">
        <f t="shared" si="25"/>
        <v>0</v>
      </c>
      <c r="AW35" s="251">
        <f t="shared" si="26"/>
        <v>0</v>
      </c>
      <c r="AX35" s="251">
        <f t="shared" si="27"/>
        <v>0</v>
      </c>
      <c r="AY35" s="251">
        <f t="shared" si="28"/>
        <v>0</v>
      </c>
      <c r="AZ35" s="251">
        <f t="shared" si="29"/>
        <v>0</v>
      </c>
      <c r="BA35" s="251">
        <f t="shared" si="30"/>
        <v>0</v>
      </c>
      <c r="BB35" s="251">
        <f t="shared" si="31"/>
        <v>0</v>
      </c>
      <c r="BC35" s="251">
        <f t="shared" si="32"/>
        <v>0</v>
      </c>
      <c r="BD35" s="251">
        <f t="shared" si="33"/>
        <v>0</v>
      </c>
      <c r="BE35" s="251">
        <f t="shared" si="34"/>
        <v>0</v>
      </c>
      <c r="BF35" s="251">
        <f t="shared" si="35"/>
        <v>0</v>
      </c>
      <c r="BG35" s="251">
        <f t="shared" si="36"/>
        <v>0</v>
      </c>
      <c r="BH35" s="251">
        <f t="shared" si="75"/>
        <v>0</v>
      </c>
      <c r="BI35" s="251">
        <f t="shared" si="76"/>
        <v>0</v>
      </c>
      <c r="BJ35" s="251">
        <f t="shared" si="37"/>
        <v>0</v>
      </c>
      <c r="BK35" s="251">
        <f t="shared" si="38"/>
        <v>0</v>
      </c>
      <c r="BL35" s="251">
        <f t="shared" si="39"/>
        <v>0</v>
      </c>
      <c r="BM35" s="251">
        <f t="shared" si="40"/>
        <v>0</v>
      </c>
      <c r="BN35" s="251">
        <f t="shared" si="41"/>
        <v>0</v>
      </c>
      <c r="BO35" s="251">
        <f t="shared" si="42"/>
        <v>0</v>
      </c>
      <c r="BP35" s="251">
        <f t="shared" si="77"/>
        <v>0</v>
      </c>
      <c r="BQ35" s="251">
        <f t="shared" si="78"/>
        <v>0</v>
      </c>
      <c r="BR35" s="251">
        <f t="shared" si="43"/>
        <v>0</v>
      </c>
      <c r="BS35" s="251">
        <f t="shared" si="44"/>
        <v>0</v>
      </c>
      <c r="BT35" s="251">
        <f t="shared" si="79"/>
        <v>0</v>
      </c>
      <c r="BU35" s="251">
        <f t="shared" si="80"/>
        <v>0</v>
      </c>
      <c r="BV35" s="251">
        <f t="shared" si="81"/>
        <v>0</v>
      </c>
      <c r="BW35" s="251">
        <f t="shared" si="82"/>
        <v>0</v>
      </c>
      <c r="BX35" s="251">
        <f t="shared" si="45"/>
        <v>0</v>
      </c>
      <c r="BY35" s="251">
        <f t="shared" si="46"/>
        <v>0</v>
      </c>
      <c r="BZ35" s="251">
        <f t="shared" si="47"/>
        <v>0</v>
      </c>
      <c r="CA35" s="251">
        <f t="shared" si="48"/>
        <v>0</v>
      </c>
      <c r="CB35" s="251">
        <f t="shared" si="49"/>
        <v>0</v>
      </c>
      <c r="CC35" s="251">
        <f t="shared" si="50"/>
        <v>0</v>
      </c>
      <c r="CD35" s="251">
        <f t="shared" si="83"/>
        <v>0</v>
      </c>
      <c r="CE35" s="251">
        <f t="shared" si="84"/>
        <v>0</v>
      </c>
      <c r="CF35" s="251">
        <f t="shared" si="85"/>
        <v>0</v>
      </c>
      <c r="CG35" s="251">
        <f t="shared" si="86"/>
        <v>0</v>
      </c>
      <c r="CH35" s="251">
        <f t="shared" si="51"/>
        <v>0</v>
      </c>
      <c r="CI35" s="251">
        <f t="shared" si="52"/>
        <v>0</v>
      </c>
      <c r="CJ35" s="251">
        <f t="shared" si="87"/>
        <v>0</v>
      </c>
      <c r="CK35" s="251">
        <f t="shared" si="88"/>
        <v>0</v>
      </c>
      <c r="CL35" s="251">
        <f t="shared" si="53"/>
        <v>0</v>
      </c>
      <c r="CM35" s="251">
        <f t="shared" si="54"/>
        <v>0</v>
      </c>
      <c r="CN35" s="251">
        <f t="shared" si="55"/>
        <v>0</v>
      </c>
      <c r="CO35" s="251">
        <f t="shared" si="56"/>
        <v>0</v>
      </c>
      <c r="CP35" s="251">
        <f t="shared" si="89"/>
        <v>0</v>
      </c>
      <c r="CQ35" s="251">
        <f t="shared" si="90"/>
        <v>0</v>
      </c>
      <c r="CR35" s="251">
        <f t="shared" si="91"/>
        <v>0</v>
      </c>
      <c r="CS35" s="251">
        <f t="shared" si="92"/>
        <v>0</v>
      </c>
      <c r="CT35" s="251">
        <f t="shared" si="57"/>
        <v>0</v>
      </c>
      <c r="CU35" s="251">
        <f t="shared" si="58"/>
        <v>0</v>
      </c>
      <c r="CV35" s="251">
        <f t="shared" si="59"/>
        <v>0</v>
      </c>
      <c r="CW35" s="251">
        <f t="shared" si="60"/>
        <v>0</v>
      </c>
      <c r="CX35" s="251">
        <f t="shared" si="93"/>
        <v>0</v>
      </c>
      <c r="CY35" s="251">
        <f t="shared" si="94"/>
        <v>0</v>
      </c>
      <c r="CZ35" s="251">
        <f t="shared" si="95"/>
        <v>0</v>
      </c>
      <c r="DA35" s="251">
        <f t="shared" si="96"/>
        <v>0</v>
      </c>
    </row>
    <row r="36" spans="1:105" s="248" customFormat="1" ht="15" customHeight="1">
      <c r="A36" s="58" t="str">
        <f t="array" ref="A36">IF(C36&lt;&gt;0,SUM(($C$11:C36&lt;&gt;0)*1),"")</f>
        <v/>
      </c>
      <c r="B36" s="249"/>
      <c r="C36" s="249"/>
      <c r="D36" s="249"/>
      <c r="E36" s="326"/>
      <c r="F36" s="300"/>
      <c r="G36" s="302"/>
      <c r="H36" s="302"/>
      <c r="I36" s="58" t="str">
        <f t="shared" si="97"/>
        <v/>
      </c>
      <c r="J36" s="251">
        <f t="shared" si="61"/>
        <v>0</v>
      </c>
      <c r="K36" s="251">
        <f t="shared" si="62"/>
        <v>0</v>
      </c>
      <c r="L36" s="251">
        <f t="shared" si="1"/>
        <v>0</v>
      </c>
      <c r="M36" s="251">
        <f t="shared" si="2"/>
        <v>0</v>
      </c>
      <c r="N36" s="251">
        <f t="shared" si="3"/>
        <v>0</v>
      </c>
      <c r="O36" s="251">
        <f t="shared" si="4"/>
        <v>0</v>
      </c>
      <c r="P36" s="251">
        <f t="shared" si="5"/>
        <v>0</v>
      </c>
      <c r="Q36" s="251">
        <f t="shared" si="6"/>
        <v>0</v>
      </c>
      <c r="R36" s="251">
        <f t="shared" si="7"/>
        <v>0</v>
      </c>
      <c r="S36" s="251">
        <f t="shared" si="8"/>
        <v>0</v>
      </c>
      <c r="T36" s="251">
        <f t="shared" si="9"/>
        <v>0</v>
      </c>
      <c r="U36" s="251">
        <f t="shared" si="10"/>
        <v>0</v>
      </c>
      <c r="V36" s="251">
        <f t="shared" si="11"/>
        <v>0</v>
      </c>
      <c r="W36" s="251">
        <f t="shared" si="12"/>
        <v>0</v>
      </c>
      <c r="X36" s="251">
        <f t="shared" si="13"/>
        <v>0</v>
      </c>
      <c r="Y36" s="251">
        <f t="shared" si="14"/>
        <v>0</v>
      </c>
      <c r="Z36" s="251">
        <f t="shared" si="15"/>
        <v>0</v>
      </c>
      <c r="AA36" s="251">
        <f t="shared" si="16"/>
        <v>0</v>
      </c>
      <c r="AB36" s="251">
        <f t="shared" si="63"/>
        <v>0</v>
      </c>
      <c r="AC36" s="251">
        <f t="shared" si="64"/>
        <v>0</v>
      </c>
      <c r="AD36" s="251">
        <f t="shared" si="17"/>
        <v>0</v>
      </c>
      <c r="AE36" s="251">
        <f t="shared" si="18"/>
        <v>0</v>
      </c>
      <c r="AF36" s="251">
        <f t="shared" si="19"/>
        <v>0</v>
      </c>
      <c r="AG36" s="251">
        <f t="shared" si="20"/>
        <v>0</v>
      </c>
      <c r="AH36" s="251">
        <f t="shared" si="65"/>
        <v>0</v>
      </c>
      <c r="AI36" s="251">
        <f t="shared" si="66"/>
        <v>0</v>
      </c>
      <c r="AJ36" s="251">
        <f t="shared" si="67"/>
        <v>0</v>
      </c>
      <c r="AK36" s="251">
        <f t="shared" si="68"/>
        <v>0</v>
      </c>
      <c r="AL36" s="251">
        <f t="shared" si="69"/>
        <v>0</v>
      </c>
      <c r="AM36" s="251">
        <f t="shared" si="70"/>
        <v>0</v>
      </c>
      <c r="AN36" s="251">
        <f t="shared" si="71"/>
        <v>0</v>
      </c>
      <c r="AO36" s="251">
        <f t="shared" si="72"/>
        <v>0</v>
      </c>
      <c r="AP36" s="251">
        <f t="shared" si="21"/>
        <v>0</v>
      </c>
      <c r="AQ36" s="251">
        <f t="shared" si="22"/>
        <v>0</v>
      </c>
      <c r="AR36" s="251">
        <f t="shared" si="23"/>
        <v>0</v>
      </c>
      <c r="AS36" s="251">
        <f t="shared" si="24"/>
        <v>0</v>
      </c>
      <c r="AT36" s="251">
        <f t="shared" si="73"/>
        <v>0</v>
      </c>
      <c r="AU36" s="251">
        <f t="shared" si="74"/>
        <v>0</v>
      </c>
      <c r="AV36" s="251">
        <f t="shared" si="25"/>
        <v>0</v>
      </c>
      <c r="AW36" s="251">
        <f t="shared" si="26"/>
        <v>0</v>
      </c>
      <c r="AX36" s="251">
        <f t="shared" si="27"/>
        <v>0</v>
      </c>
      <c r="AY36" s="251">
        <f t="shared" si="28"/>
        <v>0</v>
      </c>
      <c r="AZ36" s="251">
        <f t="shared" si="29"/>
        <v>0</v>
      </c>
      <c r="BA36" s="251">
        <f t="shared" si="30"/>
        <v>0</v>
      </c>
      <c r="BB36" s="251">
        <f t="shared" si="31"/>
        <v>0</v>
      </c>
      <c r="BC36" s="251">
        <f t="shared" si="32"/>
        <v>0</v>
      </c>
      <c r="BD36" s="251">
        <f t="shared" si="33"/>
        <v>0</v>
      </c>
      <c r="BE36" s="251">
        <f t="shared" si="34"/>
        <v>0</v>
      </c>
      <c r="BF36" s="251">
        <f t="shared" si="35"/>
        <v>0</v>
      </c>
      <c r="BG36" s="251">
        <f t="shared" si="36"/>
        <v>0</v>
      </c>
      <c r="BH36" s="251">
        <f t="shared" si="75"/>
        <v>0</v>
      </c>
      <c r="BI36" s="251">
        <f t="shared" si="76"/>
        <v>0</v>
      </c>
      <c r="BJ36" s="251">
        <f t="shared" si="37"/>
        <v>0</v>
      </c>
      <c r="BK36" s="251">
        <f t="shared" si="38"/>
        <v>0</v>
      </c>
      <c r="BL36" s="251">
        <f t="shared" si="39"/>
        <v>0</v>
      </c>
      <c r="BM36" s="251">
        <f t="shared" si="40"/>
        <v>0</v>
      </c>
      <c r="BN36" s="251">
        <f t="shared" si="41"/>
        <v>0</v>
      </c>
      <c r="BO36" s="251">
        <f t="shared" si="42"/>
        <v>0</v>
      </c>
      <c r="BP36" s="251">
        <f t="shared" si="77"/>
        <v>0</v>
      </c>
      <c r="BQ36" s="251">
        <f t="shared" si="78"/>
        <v>0</v>
      </c>
      <c r="BR36" s="251">
        <f t="shared" si="43"/>
        <v>0</v>
      </c>
      <c r="BS36" s="251">
        <f t="shared" si="44"/>
        <v>0</v>
      </c>
      <c r="BT36" s="251">
        <f t="shared" si="79"/>
        <v>0</v>
      </c>
      <c r="BU36" s="251">
        <f t="shared" si="80"/>
        <v>0</v>
      </c>
      <c r="BV36" s="251">
        <f t="shared" si="81"/>
        <v>0</v>
      </c>
      <c r="BW36" s="251">
        <f t="shared" si="82"/>
        <v>0</v>
      </c>
      <c r="BX36" s="251">
        <f t="shared" si="45"/>
        <v>0</v>
      </c>
      <c r="BY36" s="251">
        <f t="shared" si="46"/>
        <v>0</v>
      </c>
      <c r="BZ36" s="251">
        <f t="shared" si="47"/>
        <v>0</v>
      </c>
      <c r="CA36" s="251">
        <f t="shared" si="48"/>
        <v>0</v>
      </c>
      <c r="CB36" s="251">
        <f t="shared" si="49"/>
        <v>0</v>
      </c>
      <c r="CC36" s="251">
        <f t="shared" si="50"/>
        <v>0</v>
      </c>
      <c r="CD36" s="251">
        <f t="shared" si="83"/>
        <v>0</v>
      </c>
      <c r="CE36" s="251">
        <f t="shared" si="84"/>
        <v>0</v>
      </c>
      <c r="CF36" s="251">
        <f t="shared" si="85"/>
        <v>0</v>
      </c>
      <c r="CG36" s="251">
        <f t="shared" si="86"/>
        <v>0</v>
      </c>
      <c r="CH36" s="251">
        <f t="shared" si="51"/>
        <v>0</v>
      </c>
      <c r="CI36" s="251">
        <f t="shared" si="52"/>
        <v>0</v>
      </c>
      <c r="CJ36" s="251">
        <f t="shared" si="87"/>
        <v>0</v>
      </c>
      <c r="CK36" s="251">
        <f t="shared" si="88"/>
        <v>0</v>
      </c>
      <c r="CL36" s="251">
        <f t="shared" si="53"/>
        <v>0</v>
      </c>
      <c r="CM36" s="251">
        <f t="shared" si="54"/>
        <v>0</v>
      </c>
      <c r="CN36" s="251">
        <f t="shared" si="55"/>
        <v>0</v>
      </c>
      <c r="CO36" s="251">
        <f t="shared" si="56"/>
        <v>0</v>
      </c>
      <c r="CP36" s="251">
        <f t="shared" si="89"/>
        <v>0</v>
      </c>
      <c r="CQ36" s="251">
        <f t="shared" si="90"/>
        <v>0</v>
      </c>
      <c r="CR36" s="251">
        <f t="shared" si="91"/>
        <v>0</v>
      </c>
      <c r="CS36" s="251">
        <f t="shared" si="92"/>
        <v>0</v>
      </c>
      <c r="CT36" s="251">
        <f t="shared" si="57"/>
        <v>0</v>
      </c>
      <c r="CU36" s="251">
        <f t="shared" si="58"/>
        <v>0</v>
      </c>
      <c r="CV36" s="251">
        <f t="shared" si="59"/>
        <v>0</v>
      </c>
      <c r="CW36" s="251">
        <f t="shared" si="60"/>
        <v>0</v>
      </c>
      <c r="CX36" s="251">
        <f t="shared" si="93"/>
        <v>0</v>
      </c>
      <c r="CY36" s="251">
        <f t="shared" si="94"/>
        <v>0</v>
      </c>
      <c r="CZ36" s="251">
        <f t="shared" si="95"/>
        <v>0</v>
      </c>
      <c r="DA36" s="251">
        <f t="shared" si="96"/>
        <v>0</v>
      </c>
    </row>
    <row r="37" spans="1:105" s="248" customFormat="1" ht="15" customHeight="1">
      <c r="A37" s="58" t="str">
        <f t="array" ref="A37">IF(C37&lt;&gt;0,SUM(($C$11:C37&lt;&gt;0)*1),"")</f>
        <v/>
      </c>
      <c r="B37" s="249"/>
      <c r="C37" s="249"/>
      <c r="D37" s="249"/>
      <c r="E37" s="326"/>
      <c r="F37" s="300"/>
      <c r="G37" s="302"/>
      <c r="H37" s="302"/>
      <c r="I37" s="58" t="str">
        <f t="shared" si="97"/>
        <v/>
      </c>
      <c r="J37" s="251">
        <f t="shared" si="61"/>
        <v>0</v>
      </c>
      <c r="K37" s="251">
        <f t="shared" si="62"/>
        <v>0</v>
      </c>
      <c r="L37" s="251">
        <f t="shared" si="1"/>
        <v>0</v>
      </c>
      <c r="M37" s="251">
        <f t="shared" si="2"/>
        <v>0</v>
      </c>
      <c r="N37" s="251">
        <f t="shared" si="3"/>
        <v>0</v>
      </c>
      <c r="O37" s="251">
        <f t="shared" si="4"/>
        <v>0</v>
      </c>
      <c r="P37" s="251">
        <f t="shared" si="5"/>
        <v>0</v>
      </c>
      <c r="Q37" s="251">
        <f t="shared" si="6"/>
        <v>0</v>
      </c>
      <c r="R37" s="251">
        <f t="shared" si="7"/>
        <v>0</v>
      </c>
      <c r="S37" s="251">
        <f t="shared" si="8"/>
        <v>0</v>
      </c>
      <c r="T37" s="251">
        <f t="shared" si="9"/>
        <v>0</v>
      </c>
      <c r="U37" s="251">
        <f t="shared" si="10"/>
        <v>0</v>
      </c>
      <c r="V37" s="251">
        <f t="shared" si="11"/>
        <v>0</v>
      </c>
      <c r="W37" s="251">
        <f t="shared" si="12"/>
        <v>0</v>
      </c>
      <c r="X37" s="251">
        <f t="shared" si="13"/>
        <v>0</v>
      </c>
      <c r="Y37" s="251">
        <f t="shared" si="14"/>
        <v>0</v>
      </c>
      <c r="Z37" s="251">
        <f t="shared" si="15"/>
        <v>0</v>
      </c>
      <c r="AA37" s="251">
        <f t="shared" si="16"/>
        <v>0</v>
      </c>
      <c r="AB37" s="251">
        <f t="shared" si="63"/>
        <v>0</v>
      </c>
      <c r="AC37" s="251">
        <f t="shared" si="64"/>
        <v>0</v>
      </c>
      <c r="AD37" s="251">
        <f t="shared" si="17"/>
        <v>0</v>
      </c>
      <c r="AE37" s="251">
        <f t="shared" si="18"/>
        <v>0</v>
      </c>
      <c r="AF37" s="251">
        <f t="shared" si="19"/>
        <v>0</v>
      </c>
      <c r="AG37" s="251">
        <f t="shared" si="20"/>
        <v>0</v>
      </c>
      <c r="AH37" s="251">
        <f t="shared" si="65"/>
        <v>0</v>
      </c>
      <c r="AI37" s="251">
        <f t="shared" si="66"/>
        <v>0</v>
      </c>
      <c r="AJ37" s="251">
        <f t="shared" si="67"/>
        <v>0</v>
      </c>
      <c r="AK37" s="251">
        <f t="shared" si="68"/>
        <v>0</v>
      </c>
      <c r="AL37" s="251">
        <f t="shared" si="69"/>
        <v>0</v>
      </c>
      <c r="AM37" s="251">
        <f t="shared" si="70"/>
        <v>0</v>
      </c>
      <c r="AN37" s="251">
        <f t="shared" si="71"/>
        <v>0</v>
      </c>
      <c r="AO37" s="251">
        <f t="shared" si="72"/>
        <v>0</v>
      </c>
      <c r="AP37" s="251">
        <f t="shared" si="21"/>
        <v>0</v>
      </c>
      <c r="AQ37" s="251">
        <f t="shared" si="22"/>
        <v>0</v>
      </c>
      <c r="AR37" s="251">
        <f t="shared" si="23"/>
        <v>0</v>
      </c>
      <c r="AS37" s="251">
        <f t="shared" si="24"/>
        <v>0</v>
      </c>
      <c r="AT37" s="251">
        <f t="shared" si="73"/>
        <v>0</v>
      </c>
      <c r="AU37" s="251">
        <f t="shared" si="74"/>
        <v>0</v>
      </c>
      <c r="AV37" s="251">
        <f t="shared" si="25"/>
        <v>0</v>
      </c>
      <c r="AW37" s="251">
        <f t="shared" si="26"/>
        <v>0</v>
      </c>
      <c r="AX37" s="251">
        <f t="shared" si="27"/>
        <v>0</v>
      </c>
      <c r="AY37" s="251">
        <f t="shared" si="28"/>
        <v>0</v>
      </c>
      <c r="AZ37" s="251">
        <f t="shared" si="29"/>
        <v>0</v>
      </c>
      <c r="BA37" s="251">
        <f t="shared" si="30"/>
        <v>0</v>
      </c>
      <c r="BB37" s="251">
        <f t="shared" si="31"/>
        <v>0</v>
      </c>
      <c r="BC37" s="251">
        <f t="shared" si="32"/>
        <v>0</v>
      </c>
      <c r="BD37" s="251">
        <f t="shared" si="33"/>
        <v>0</v>
      </c>
      <c r="BE37" s="251">
        <f t="shared" si="34"/>
        <v>0</v>
      </c>
      <c r="BF37" s="251">
        <f t="shared" si="35"/>
        <v>0</v>
      </c>
      <c r="BG37" s="251">
        <f t="shared" si="36"/>
        <v>0</v>
      </c>
      <c r="BH37" s="251">
        <f t="shared" si="75"/>
        <v>0</v>
      </c>
      <c r="BI37" s="251">
        <f t="shared" si="76"/>
        <v>0</v>
      </c>
      <c r="BJ37" s="251">
        <f t="shared" si="37"/>
        <v>0</v>
      </c>
      <c r="BK37" s="251">
        <f t="shared" si="38"/>
        <v>0</v>
      </c>
      <c r="BL37" s="251">
        <f t="shared" si="39"/>
        <v>0</v>
      </c>
      <c r="BM37" s="251">
        <f t="shared" si="40"/>
        <v>0</v>
      </c>
      <c r="BN37" s="251">
        <f t="shared" si="41"/>
        <v>0</v>
      </c>
      <c r="BO37" s="251">
        <f t="shared" si="42"/>
        <v>0</v>
      </c>
      <c r="BP37" s="251">
        <f t="shared" si="77"/>
        <v>0</v>
      </c>
      <c r="BQ37" s="251">
        <f t="shared" si="78"/>
        <v>0</v>
      </c>
      <c r="BR37" s="251">
        <f t="shared" si="43"/>
        <v>0</v>
      </c>
      <c r="BS37" s="251">
        <f t="shared" si="44"/>
        <v>0</v>
      </c>
      <c r="BT37" s="251">
        <f t="shared" si="79"/>
        <v>0</v>
      </c>
      <c r="BU37" s="251">
        <f t="shared" si="80"/>
        <v>0</v>
      </c>
      <c r="BV37" s="251">
        <f t="shared" si="81"/>
        <v>0</v>
      </c>
      <c r="BW37" s="251">
        <f t="shared" si="82"/>
        <v>0</v>
      </c>
      <c r="BX37" s="251">
        <f t="shared" si="45"/>
        <v>0</v>
      </c>
      <c r="BY37" s="251">
        <f t="shared" si="46"/>
        <v>0</v>
      </c>
      <c r="BZ37" s="251">
        <f t="shared" si="47"/>
        <v>0</v>
      </c>
      <c r="CA37" s="251">
        <f t="shared" si="48"/>
        <v>0</v>
      </c>
      <c r="CB37" s="251">
        <f t="shared" si="49"/>
        <v>0</v>
      </c>
      <c r="CC37" s="251">
        <f t="shared" si="50"/>
        <v>0</v>
      </c>
      <c r="CD37" s="251">
        <f t="shared" si="83"/>
        <v>0</v>
      </c>
      <c r="CE37" s="251">
        <f t="shared" si="84"/>
        <v>0</v>
      </c>
      <c r="CF37" s="251">
        <f t="shared" si="85"/>
        <v>0</v>
      </c>
      <c r="CG37" s="251">
        <f t="shared" si="86"/>
        <v>0</v>
      </c>
      <c r="CH37" s="251">
        <f t="shared" si="51"/>
        <v>0</v>
      </c>
      <c r="CI37" s="251">
        <f t="shared" si="52"/>
        <v>0</v>
      </c>
      <c r="CJ37" s="251">
        <f t="shared" si="87"/>
        <v>0</v>
      </c>
      <c r="CK37" s="251">
        <f t="shared" si="88"/>
        <v>0</v>
      </c>
      <c r="CL37" s="251">
        <f t="shared" si="53"/>
        <v>0</v>
      </c>
      <c r="CM37" s="251">
        <f t="shared" si="54"/>
        <v>0</v>
      </c>
      <c r="CN37" s="251">
        <f t="shared" si="55"/>
        <v>0</v>
      </c>
      <c r="CO37" s="251">
        <f t="shared" si="56"/>
        <v>0</v>
      </c>
      <c r="CP37" s="251">
        <f t="shared" si="89"/>
        <v>0</v>
      </c>
      <c r="CQ37" s="251">
        <f t="shared" si="90"/>
        <v>0</v>
      </c>
      <c r="CR37" s="251">
        <f t="shared" si="91"/>
        <v>0</v>
      </c>
      <c r="CS37" s="251">
        <f t="shared" si="92"/>
        <v>0</v>
      </c>
      <c r="CT37" s="251">
        <f t="shared" si="57"/>
        <v>0</v>
      </c>
      <c r="CU37" s="251">
        <f t="shared" si="58"/>
        <v>0</v>
      </c>
      <c r="CV37" s="251">
        <f t="shared" si="59"/>
        <v>0</v>
      </c>
      <c r="CW37" s="251">
        <f t="shared" si="60"/>
        <v>0</v>
      </c>
      <c r="CX37" s="251">
        <f t="shared" si="93"/>
        <v>0</v>
      </c>
      <c r="CY37" s="251">
        <f t="shared" si="94"/>
        <v>0</v>
      </c>
      <c r="CZ37" s="251">
        <f t="shared" si="95"/>
        <v>0</v>
      </c>
      <c r="DA37" s="251">
        <f t="shared" si="96"/>
        <v>0</v>
      </c>
    </row>
    <row r="38" spans="1:105" s="248" customFormat="1" ht="15" customHeight="1">
      <c r="A38" s="58" t="str">
        <f t="array" ref="A38">IF(C38&lt;&gt;0,SUM(($C$11:C38&lt;&gt;0)*1),"")</f>
        <v/>
      </c>
      <c r="B38" s="249"/>
      <c r="C38" s="249"/>
      <c r="D38" s="249"/>
      <c r="E38" s="326"/>
      <c r="F38" s="300"/>
      <c r="G38" s="302"/>
      <c r="H38" s="302"/>
      <c r="I38" s="58" t="str">
        <f t="shared" si="97"/>
        <v/>
      </c>
      <c r="J38" s="251">
        <f t="shared" si="61"/>
        <v>0</v>
      </c>
      <c r="K38" s="251">
        <f t="shared" si="62"/>
        <v>0</v>
      </c>
      <c r="L38" s="251">
        <f t="shared" si="1"/>
        <v>0</v>
      </c>
      <c r="M38" s="251">
        <f t="shared" si="2"/>
        <v>0</v>
      </c>
      <c r="N38" s="251">
        <f t="shared" si="3"/>
        <v>0</v>
      </c>
      <c r="O38" s="251">
        <f t="shared" si="4"/>
        <v>0</v>
      </c>
      <c r="P38" s="251">
        <f t="shared" si="5"/>
        <v>0</v>
      </c>
      <c r="Q38" s="251">
        <f t="shared" si="6"/>
        <v>0</v>
      </c>
      <c r="R38" s="251">
        <f t="shared" si="7"/>
        <v>0</v>
      </c>
      <c r="S38" s="251">
        <f t="shared" si="8"/>
        <v>0</v>
      </c>
      <c r="T38" s="251">
        <f t="shared" si="9"/>
        <v>0</v>
      </c>
      <c r="U38" s="251">
        <f t="shared" si="10"/>
        <v>0</v>
      </c>
      <c r="V38" s="251">
        <f t="shared" si="11"/>
        <v>0</v>
      </c>
      <c r="W38" s="251">
        <f t="shared" si="12"/>
        <v>0</v>
      </c>
      <c r="X38" s="251">
        <f t="shared" si="13"/>
        <v>0</v>
      </c>
      <c r="Y38" s="251">
        <f t="shared" si="14"/>
        <v>0</v>
      </c>
      <c r="Z38" s="251">
        <f t="shared" si="15"/>
        <v>0</v>
      </c>
      <c r="AA38" s="251">
        <f t="shared" si="16"/>
        <v>0</v>
      </c>
      <c r="AB38" s="251">
        <f t="shared" si="63"/>
        <v>0</v>
      </c>
      <c r="AC38" s="251">
        <f t="shared" si="64"/>
        <v>0</v>
      </c>
      <c r="AD38" s="251">
        <f t="shared" si="17"/>
        <v>0</v>
      </c>
      <c r="AE38" s="251">
        <f t="shared" si="18"/>
        <v>0</v>
      </c>
      <c r="AF38" s="251">
        <f t="shared" si="19"/>
        <v>0</v>
      </c>
      <c r="AG38" s="251">
        <f t="shared" si="20"/>
        <v>0</v>
      </c>
      <c r="AH38" s="251">
        <f t="shared" si="65"/>
        <v>0</v>
      </c>
      <c r="AI38" s="251">
        <f t="shared" si="66"/>
        <v>0</v>
      </c>
      <c r="AJ38" s="251">
        <f t="shared" si="67"/>
        <v>0</v>
      </c>
      <c r="AK38" s="251">
        <f t="shared" si="68"/>
        <v>0</v>
      </c>
      <c r="AL38" s="251">
        <f t="shared" si="69"/>
        <v>0</v>
      </c>
      <c r="AM38" s="251">
        <f t="shared" si="70"/>
        <v>0</v>
      </c>
      <c r="AN38" s="251">
        <f t="shared" si="71"/>
        <v>0</v>
      </c>
      <c r="AO38" s="251">
        <f t="shared" si="72"/>
        <v>0</v>
      </c>
      <c r="AP38" s="251">
        <f t="shared" si="21"/>
        <v>0</v>
      </c>
      <c r="AQ38" s="251">
        <f t="shared" si="22"/>
        <v>0</v>
      </c>
      <c r="AR38" s="251">
        <f t="shared" si="23"/>
        <v>0</v>
      </c>
      <c r="AS38" s="251">
        <f t="shared" si="24"/>
        <v>0</v>
      </c>
      <c r="AT38" s="251">
        <f t="shared" si="73"/>
        <v>0</v>
      </c>
      <c r="AU38" s="251">
        <f t="shared" si="74"/>
        <v>0</v>
      </c>
      <c r="AV38" s="251">
        <f t="shared" si="25"/>
        <v>0</v>
      </c>
      <c r="AW38" s="251">
        <f t="shared" si="26"/>
        <v>0</v>
      </c>
      <c r="AX38" s="251">
        <f t="shared" si="27"/>
        <v>0</v>
      </c>
      <c r="AY38" s="251">
        <f t="shared" si="28"/>
        <v>0</v>
      </c>
      <c r="AZ38" s="251">
        <f t="shared" si="29"/>
        <v>0</v>
      </c>
      <c r="BA38" s="251">
        <f t="shared" si="30"/>
        <v>0</v>
      </c>
      <c r="BB38" s="251">
        <f t="shared" si="31"/>
        <v>0</v>
      </c>
      <c r="BC38" s="251">
        <f t="shared" si="32"/>
        <v>0</v>
      </c>
      <c r="BD38" s="251">
        <f t="shared" si="33"/>
        <v>0</v>
      </c>
      <c r="BE38" s="251">
        <f t="shared" si="34"/>
        <v>0</v>
      </c>
      <c r="BF38" s="251">
        <f t="shared" si="35"/>
        <v>0</v>
      </c>
      <c r="BG38" s="251">
        <f t="shared" si="36"/>
        <v>0</v>
      </c>
      <c r="BH38" s="251">
        <f t="shared" si="75"/>
        <v>0</v>
      </c>
      <c r="BI38" s="251">
        <f t="shared" si="76"/>
        <v>0</v>
      </c>
      <c r="BJ38" s="251">
        <f t="shared" si="37"/>
        <v>0</v>
      </c>
      <c r="BK38" s="251">
        <f t="shared" si="38"/>
        <v>0</v>
      </c>
      <c r="BL38" s="251">
        <f t="shared" si="39"/>
        <v>0</v>
      </c>
      <c r="BM38" s="251">
        <f t="shared" si="40"/>
        <v>0</v>
      </c>
      <c r="BN38" s="251">
        <f t="shared" si="41"/>
        <v>0</v>
      </c>
      <c r="BO38" s="251">
        <f t="shared" si="42"/>
        <v>0</v>
      </c>
      <c r="BP38" s="251">
        <f t="shared" si="77"/>
        <v>0</v>
      </c>
      <c r="BQ38" s="251">
        <f t="shared" si="78"/>
        <v>0</v>
      </c>
      <c r="BR38" s="251">
        <f t="shared" si="43"/>
        <v>0</v>
      </c>
      <c r="BS38" s="251">
        <f t="shared" si="44"/>
        <v>0</v>
      </c>
      <c r="BT38" s="251">
        <f t="shared" si="79"/>
        <v>0</v>
      </c>
      <c r="BU38" s="251">
        <f t="shared" si="80"/>
        <v>0</v>
      </c>
      <c r="BV38" s="251">
        <f t="shared" si="81"/>
        <v>0</v>
      </c>
      <c r="BW38" s="251">
        <f t="shared" si="82"/>
        <v>0</v>
      </c>
      <c r="BX38" s="251">
        <f t="shared" si="45"/>
        <v>0</v>
      </c>
      <c r="BY38" s="251">
        <f t="shared" si="46"/>
        <v>0</v>
      </c>
      <c r="BZ38" s="251">
        <f t="shared" si="47"/>
        <v>0</v>
      </c>
      <c r="CA38" s="251">
        <f t="shared" si="48"/>
        <v>0</v>
      </c>
      <c r="CB38" s="251">
        <f t="shared" si="49"/>
        <v>0</v>
      </c>
      <c r="CC38" s="251">
        <f t="shared" si="50"/>
        <v>0</v>
      </c>
      <c r="CD38" s="251">
        <f t="shared" si="83"/>
        <v>0</v>
      </c>
      <c r="CE38" s="251">
        <f t="shared" si="84"/>
        <v>0</v>
      </c>
      <c r="CF38" s="251">
        <f t="shared" si="85"/>
        <v>0</v>
      </c>
      <c r="CG38" s="251">
        <f t="shared" si="86"/>
        <v>0</v>
      </c>
      <c r="CH38" s="251">
        <f t="shared" si="51"/>
        <v>0</v>
      </c>
      <c r="CI38" s="251">
        <f t="shared" si="52"/>
        <v>0</v>
      </c>
      <c r="CJ38" s="251">
        <f t="shared" si="87"/>
        <v>0</v>
      </c>
      <c r="CK38" s="251">
        <f t="shared" si="88"/>
        <v>0</v>
      </c>
      <c r="CL38" s="251">
        <f t="shared" si="53"/>
        <v>0</v>
      </c>
      <c r="CM38" s="251">
        <f t="shared" si="54"/>
        <v>0</v>
      </c>
      <c r="CN38" s="251">
        <f t="shared" si="55"/>
        <v>0</v>
      </c>
      <c r="CO38" s="251">
        <f t="shared" si="56"/>
        <v>0</v>
      </c>
      <c r="CP38" s="251">
        <f t="shared" si="89"/>
        <v>0</v>
      </c>
      <c r="CQ38" s="251">
        <f t="shared" si="90"/>
        <v>0</v>
      </c>
      <c r="CR38" s="251">
        <f t="shared" si="91"/>
        <v>0</v>
      </c>
      <c r="CS38" s="251">
        <f t="shared" si="92"/>
        <v>0</v>
      </c>
      <c r="CT38" s="251">
        <f t="shared" si="57"/>
        <v>0</v>
      </c>
      <c r="CU38" s="251">
        <f t="shared" si="58"/>
        <v>0</v>
      </c>
      <c r="CV38" s="251">
        <f t="shared" si="59"/>
        <v>0</v>
      </c>
      <c r="CW38" s="251">
        <f t="shared" si="60"/>
        <v>0</v>
      </c>
      <c r="CX38" s="251">
        <f t="shared" si="93"/>
        <v>0</v>
      </c>
      <c r="CY38" s="251">
        <f t="shared" si="94"/>
        <v>0</v>
      </c>
      <c r="CZ38" s="251">
        <f t="shared" si="95"/>
        <v>0</v>
      </c>
      <c r="DA38" s="251">
        <f t="shared" si="96"/>
        <v>0</v>
      </c>
    </row>
    <row r="39" spans="1:105" s="248" customFormat="1" ht="15" customHeight="1">
      <c r="A39" s="58" t="str">
        <f t="array" ref="A39">IF(C39&lt;&gt;0,SUM(($C$11:C39&lt;&gt;0)*1),"")</f>
        <v/>
      </c>
      <c r="B39" s="249"/>
      <c r="C39" s="249"/>
      <c r="D39" s="249"/>
      <c r="E39" s="326"/>
      <c r="F39" s="300"/>
      <c r="G39" s="302"/>
      <c r="H39" s="302"/>
      <c r="I39" s="58" t="str">
        <f t="shared" si="97"/>
        <v/>
      </c>
      <c r="J39" s="251">
        <f t="shared" si="61"/>
        <v>0</v>
      </c>
      <c r="K39" s="251">
        <f t="shared" si="62"/>
        <v>0</v>
      </c>
      <c r="L39" s="251">
        <f t="shared" si="1"/>
        <v>0</v>
      </c>
      <c r="M39" s="251">
        <f t="shared" si="2"/>
        <v>0</v>
      </c>
      <c r="N39" s="251">
        <f t="shared" si="3"/>
        <v>0</v>
      </c>
      <c r="O39" s="251">
        <f t="shared" si="4"/>
        <v>0</v>
      </c>
      <c r="P39" s="251">
        <f t="shared" si="5"/>
        <v>0</v>
      </c>
      <c r="Q39" s="251">
        <f t="shared" si="6"/>
        <v>0</v>
      </c>
      <c r="R39" s="251">
        <f t="shared" si="7"/>
        <v>0</v>
      </c>
      <c r="S39" s="251">
        <f t="shared" si="8"/>
        <v>0</v>
      </c>
      <c r="T39" s="251">
        <f t="shared" si="9"/>
        <v>0</v>
      </c>
      <c r="U39" s="251">
        <f t="shared" si="10"/>
        <v>0</v>
      </c>
      <c r="V39" s="251">
        <f t="shared" si="11"/>
        <v>0</v>
      </c>
      <c r="W39" s="251">
        <f t="shared" si="12"/>
        <v>0</v>
      </c>
      <c r="X39" s="251">
        <f t="shared" si="13"/>
        <v>0</v>
      </c>
      <c r="Y39" s="251">
        <f t="shared" si="14"/>
        <v>0</v>
      </c>
      <c r="Z39" s="251">
        <f t="shared" si="15"/>
        <v>0</v>
      </c>
      <c r="AA39" s="251">
        <f t="shared" si="16"/>
        <v>0</v>
      </c>
      <c r="AB39" s="251">
        <f t="shared" si="63"/>
        <v>0</v>
      </c>
      <c r="AC39" s="251">
        <f t="shared" si="64"/>
        <v>0</v>
      </c>
      <c r="AD39" s="251">
        <f t="shared" si="17"/>
        <v>0</v>
      </c>
      <c r="AE39" s="251">
        <f t="shared" si="18"/>
        <v>0</v>
      </c>
      <c r="AF39" s="251">
        <f t="shared" si="19"/>
        <v>0</v>
      </c>
      <c r="AG39" s="251">
        <f t="shared" si="20"/>
        <v>0</v>
      </c>
      <c r="AH39" s="251">
        <f t="shared" si="65"/>
        <v>0</v>
      </c>
      <c r="AI39" s="251">
        <f t="shared" si="66"/>
        <v>0</v>
      </c>
      <c r="AJ39" s="251">
        <f t="shared" si="67"/>
        <v>0</v>
      </c>
      <c r="AK39" s="251">
        <f t="shared" si="68"/>
        <v>0</v>
      </c>
      <c r="AL39" s="251">
        <f t="shared" si="69"/>
        <v>0</v>
      </c>
      <c r="AM39" s="251">
        <f t="shared" si="70"/>
        <v>0</v>
      </c>
      <c r="AN39" s="251">
        <f t="shared" si="71"/>
        <v>0</v>
      </c>
      <c r="AO39" s="251">
        <f t="shared" si="72"/>
        <v>0</v>
      </c>
      <c r="AP39" s="251">
        <f t="shared" si="21"/>
        <v>0</v>
      </c>
      <c r="AQ39" s="251">
        <f t="shared" si="22"/>
        <v>0</v>
      </c>
      <c r="AR39" s="251">
        <f t="shared" si="23"/>
        <v>0</v>
      </c>
      <c r="AS39" s="251">
        <f t="shared" si="24"/>
        <v>0</v>
      </c>
      <c r="AT39" s="251">
        <f t="shared" si="73"/>
        <v>0</v>
      </c>
      <c r="AU39" s="251">
        <f t="shared" si="74"/>
        <v>0</v>
      </c>
      <c r="AV39" s="251">
        <f t="shared" si="25"/>
        <v>0</v>
      </c>
      <c r="AW39" s="251">
        <f t="shared" si="26"/>
        <v>0</v>
      </c>
      <c r="AX39" s="251">
        <f t="shared" si="27"/>
        <v>0</v>
      </c>
      <c r="AY39" s="251">
        <f t="shared" si="28"/>
        <v>0</v>
      </c>
      <c r="AZ39" s="251">
        <f t="shared" si="29"/>
        <v>0</v>
      </c>
      <c r="BA39" s="251">
        <f t="shared" si="30"/>
        <v>0</v>
      </c>
      <c r="BB39" s="251">
        <f t="shared" si="31"/>
        <v>0</v>
      </c>
      <c r="BC39" s="251">
        <f t="shared" si="32"/>
        <v>0</v>
      </c>
      <c r="BD39" s="251">
        <f t="shared" si="33"/>
        <v>0</v>
      </c>
      <c r="BE39" s="251">
        <f t="shared" si="34"/>
        <v>0</v>
      </c>
      <c r="BF39" s="251">
        <f t="shared" si="35"/>
        <v>0</v>
      </c>
      <c r="BG39" s="251">
        <f t="shared" si="36"/>
        <v>0</v>
      </c>
      <c r="BH39" s="251">
        <f t="shared" si="75"/>
        <v>0</v>
      </c>
      <c r="BI39" s="251">
        <f t="shared" si="76"/>
        <v>0</v>
      </c>
      <c r="BJ39" s="251">
        <f t="shared" si="37"/>
        <v>0</v>
      </c>
      <c r="BK39" s="251">
        <f t="shared" si="38"/>
        <v>0</v>
      </c>
      <c r="BL39" s="251">
        <f t="shared" si="39"/>
        <v>0</v>
      </c>
      <c r="BM39" s="251">
        <f t="shared" si="40"/>
        <v>0</v>
      </c>
      <c r="BN39" s="251">
        <f t="shared" si="41"/>
        <v>0</v>
      </c>
      <c r="BO39" s="251">
        <f t="shared" si="42"/>
        <v>0</v>
      </c>
      <c r="BP39" s="251">
        <f t="shared" si="77"/>
        <v>0</v>
      </c>
      <c r="BQ39" s="251">
        <f t="shared" si="78"/>
        <v>0</v>
      </c>
      <c r="BR39" s="251">
        <f t="shared" si="43"/>
        <v>0</v>
      </c>
      <c r="BS39" s="251">
        <f t="shared" si="44"/>
        <v>0</v>
      </c>
      <c r="BT39" s="251">
        <f t="shared" si="79"/>
        <v>0</v>
      </c>
      <c r="BU39" s="251">
        <f t="shared" si="80"/>
        <v>0</v>
      </c>
      <c r="BV39" s="251">
        <f t="shared" si="81"/>
        <v>0</v>
      </c>
      <c r="BW39" s="251">
        <f t="shared" si="82"/>
        <v>0</v>
      </c>
      <c r="BX39" s="251">
        <f t="shared" si="45"/>
        <v>0</v>
      </c>
      <c r="BY39" s="251">
        <f t="shared" si="46"/>
        <v>0</v>
      </c>
      <c r="BZ39" s="251">
        <f t="shared" si="47"/>
        <v>0</v>
      </c>
      <c r="CA39" s="251">
        <f t="shared" si="48"/>
        <v>0</v>
      </c>
      <c r="CB39" s="251">
        <f t="shared" si="49"/>
        <v>0</v>
      </c>
      <c r="CC39" s="251">
        <f t="shared" si="50"/>
        <v>0</v>
      </c>
      <c r="CD39" s="251">
        <f t="shared" si="83"/>
        <v>0</v>
      </c>
      <c r="CE39" s="251">
        <f t="shared" si="84"/>
        <v>0</v>
      </c>
      <c r="CF39" s="251">
        <f t="shared" si="85"/>
        <v>0</v>
      </c>
      <c r="CG39" s="251">
        <f t="shared" si="86"/>
        <v>0</v>
      </c>
      <c r="CH39" s="251">
        <f t="shared" si="51"/>
        <v>0</v>
      </c>
      <c r="CI39" s="251">
        <f t="shared" si="52"/>
        <v>0</v>
      </c>
      <c r="CJ39" s="251">
        <f t="shared" si="87"/>
        <v>0</v>
      </c>
      <c r="CK39" s="251">
        <f t="shared" si="88"/>
        <v>0</v>
      </c>
      <c r="CL39" s="251">
        <f t="shared" si="53"/>
        <v>0</v>
      </c>
      <c r="CM39" s="251">
        <f t="shared" si="54"/>
        <v>0</v>
      </c>
      <c r="CN39" s="251">
        <f t="shared" si="55"/>
        <v>0</v>
      </c>
      <c r="CO39" s="251">
        <f t="shared" si="56"/>
        <v>0</v>
      </c>
      <c r="CP39" s="251">
        <f t="shared" si="89"/>
        <v>0</v>
      </c>
      <c r="CQ39" s="251">
        <f t="shared" si="90"/>
        <v>0</v>
      </c>
      <c r="CR39" s="251">
        <f t="shared" si="91"/>
        <v>0</v>
      </c>
      <c r="CS39" s="251">
        <f t="shared" si="92"/>
        <v>0</v>
      </c>
      <c r="CT39" s="251">
        <f t="shared" si="57"/>
        <v>0</v>
      </c>
      <c r="CU39" s="251">
        <f t="shared" si="58"/>
        <v>0</v>
      </c>
      <c r="CV39" s="251">
        <f t="shared" si="59"/>
        <v>0</v>
      </c>
      <c r="CW39" s="251">
        <f t="shared" si="60"/>
        <v>0</v>
      </c>
      <c r="CX39" s="251">
        <f t="shared" si="93"/>
        <v>0</v>
      </c>
      <c r="CY39" s="251">
        <f t="shared" si="94"/>
        <v>0</v>
      </c>
      <c r="CZ39" s="251">
        <f t="shared" si="95"/>
        <v>0</v>
      </c>
      <c r="DA39" s="251">
        <f t="shared" si="96"/>
        <v>0</v>
      </c>
    </row>
    <row r="40" spans="1:105" s="248" customFormat="1" ht="15" customHeight="1">
      <c r="A40" s="58">
        <f t="array" aca="1" ref="A40" ca="1">IF(C40&lt;&gt;0,SUM(($C$11:C40&lt;&gt;0)*1),"")</f>
        <v>2</v>
      </c>
      <c r="B40" s="249">
        <v>42551</v>
      </c>
      <c r="C40" s="252" t="s">
        <v>115</v>
      </c>
      <c r="D40" s="252">
        <f t="shared" ref="D40:D50" si="98">B40</f>
        <v>42551</v>
      </c>
      <c r="E40" s="736" t="s">
        <v>590</v>
      </c>
      <c r="F40" s="737">
        <f ca="1">AY52</f>
        <v>0</v>
      </c>
      <c r="G40" s="738" t="s">
        <v>595</v>
      </c>
      <c r="H40" s="738" t="s">
        <v>9</v>
      </c>
      <c r="I40" s="58">
        <f t="shared" ca="1" si="97"/>
        <v>2</v>
      </c>
      <c r="J40" s="251">
        <f t="shared" si="61"/>
        <v>0</v>
      </c>
      <c r="K40" s="251">
        <f t="shared" si="62"/>
        <v>0</v>
      </c>
      <c r="L40" s="251">
        <f t="shared" si="1"/>
        <v>0</v>
      </c>
      <c r="M40" s="251">
        <f t="shared" si="2"/>
        <v>0</v>
      </c>
      <c r="N40" s="251">
        <f t="shared" si="3"/>
        <v>0</v>
      </c>
      <c r="O40" s="251">
        <f t="shared" si="4"/>
        <v>0</v>
      </c>
      <c r="P40" s="251">
        <f t="shared" si="5"/>
        <v>0</v>
      </c>
      <c r="Q40" s="251">
        <f t="shared" si="6"/>
        <v>0</v>
      </c>
      <c r="R40" s="251">
        <f t="shared" si="7"/>
        <v>0</v>
      </c>
      <c r="S40" s="251">
        <f t="shared" ca="1" si="8"/>
        <v>0</v>
      </c>
      <c r="T40" s="251">
        <f t="shared" si="9"/>
        <v>0</v>
      </c>
      <c r="U40" s="251">
        <f t="shared" si="10"/>
        <v>0</v>
      </c>
      <c r="V40" s="251">
        <f t="shared" si="11"/>
        <v>0</v>
      </c>
      <c r="W40" s="251">
        <f t="shared" si="12"/>
        <v>0</v>
      </c>
      <c r="X40" s="251">
        <f t="shared" si="13"/>
        <v>0</v>
      </c>
      <c r="Y40" s="251">
        <f t="shared" si="14"/>
        <v>0</v>
      </c>
      <c r="Z40" s="251">
        <f t="shared" si="15"/>
        <v>0</v>
      </c>
      <c r="AA40" s="251">
        <f t="shared" si="16"/>
        <v>0</v>
      </c>
      <c r="AB40" s="251">
        <f t="shared" si="63"/>
        <v>0</v>
      </c>
      <c r="AC40" s="251">
        <f t="shared" si="64"/>
        <v>0</v>
      </c>
      <c r="AD40" s="251">
        <f t="shared" si="17"/>
        <v>0</v>
      </c>
      <c r="AE40" s="251">
        <f t="shared" si="18"/>
        <v>0</v>
      </c>
      <c r="AF40" s="251">
        <f t="shared" si="19"/>
        <v>0</v>
      </c>
      <c r="AG40" s="251">
        <f t="shared" si="20"/>
        <v>0</v>
      </c>
      <c r="AH40" s="251">
        <f t="shared" si="65"/>
        <v>0</v>
      </c>
      <c r="AI40" s="251">
        <f t="shared" si="66"/>
        <v>0</v>
      </c>
      <c r="AJ40" s="251">
        <f t="shared" si="67"/>
        <v>0</v>
      </c>
      <c r="AK40" s="251">
        <f t="shared" si="68"/>
        <v>0</v>
      </c>
      <c r="AL40" s="251">
        <f t="shared" si="69"/>
        <v>0</v>
      </c>
      <c r="AM40" s="251">
        <f t="shared" si="70"/>
        <v>0</v>
      </c>
      <c r="AN40" s="251">
        <f t="shared" si="71"/>
        <v>0</v>
      </c>
      <c r="AO40" s="251">
        <f t="shared" si="72"/>
        <v>0</v>
      </c>
      <c r="AP40" s="251">
        <f t="shared" si="21"/>
        <v>0</v>
      </c>
      <c r="AQ40" s="251">
        <f t="shared" si="22"/>
        <v>0</v>
      </c>
      <c r="AR40" s="251">
        <f t="shared" si="23"/>
        <v>0</v>
      </c>
      <c r="AS40" s="251">
        <f t="shared" si="24"/>
        <v>0</v>
      </c>
      <c r="AT40" s="251">
        <f t="shared" si="73"/>
        <v>0</v>
      </c>
      <c r="AU40" s="251">
        <f t="shared" si="74"/>
        <v>0</v>
      </c>
      <c r="AV40" s="251">
        <f t="shared" si="25"/>
        <v>0</v>
      </c>
      <c r="AW40" s="251">
        <f t="shared" si="26"/>
        <v>0</v>
      </c>
      <c r="AX40" s="251">
        <f t="shared" ca="1" si="27"/>
        <v>0</v>
      </c>
      <c r="AY40" s="251">
        <f t="shared" si="28"/>
        <v>0</v>
      </c>
      <c r="AZ40" s="251">
        <f t="shared" si="29"/>
        <v>0</v>
      </c>
      <c r="BA40" s="251">
        <f t="shared" si="30"/>
        <v>0</v>
      </c>
      <c r="BB40" s="251">
        <f t="shared" si="31"/>
        <v>0</v>
      </c>
      <c r="BC40" s="251">
        <f t="shared" si="32"/>
        <v>0</v>
      </c>
      <c r="BD40" s="251">
        <f t="shared" si="33"/>
        <v>0</v>
      </c>
      <c r="BE40" s="251">
        <f t="shared" si="34"/>
        <v>0</v>
      </c>
      <c r="BF40" s="251">
        <f t="shared" si="35"/>
        <v>0</v>
      </c>
      <c r="BG40" s="251">
        <f t="shared" si="36"/>
        <v>0</v>
      </c>
      <c r="BH40" s="251">
        <f t="shared" si="75"/>
        <v>0</v>
      </c>
      <c r="BI40" s="251">
        <f t="shared" si="76"/>
        <v>0</v>
      </c>
      <c r="BJ40" s="251">
        <f t="shared" si="37"/>
        <v>0</v>
      </c>
      <c r="BK40" s="251">
        <f t="shared" si="38"/>
        <v>0</v>
      </c>
      <c r="BL40" s="251">
        <f t="shared" si="39"/>
        <v>0</v>
      </c>
      <c r="BM40" s="251">
        <f t="shared" si="40"/>
        <v>0</v>
      </c>
      <c r="BN40" s="251">
        <f t="shared" si="41"/>
        <v>0</v>
      </c>
      <c r="BO40" s="251">
        <f t="shared" si="42"/>
        <v>0</v>
      </c>
      <c r="BP40" s="251">
        <f t="shared" si="77"/>
        <v>0</v>
      </c>
      <c r="BQ40" s="251">
        <f t="shared" si="78"/>
        <v>0</v>
      </c>
      <c r="BR40" s="251">
        <f t="shared" si="43"/>
        <v>0</v>
      </c>
      <c r="BS40" s="251">
        <f t="shared" si="44"/>
        <v>0</v>
      </c>
      <c r="BT40" s="251">
        <f t="shared" si="79"/>
        <v>0</v>
      </c>
      <c r="BU40" s="251">
        <f t="shared" si="80"/>
        <v>0</v>
      </c>
      <c r="BV40" s="251">
        <f t="shared" si="81"/>
        <v>0</v>
      </c>
      <c r="BW40" s="251">
        <f t="shared" si="82"/>
        <v>0</v>
      </c>
      <c r="BX40" s="251">
        <f t="shared" si="45"/>
        <v>0</v>
      </c>
      <c r="BY40" s="251">
        <f t="shared" si="46"/>
        <v>0</v>
      </c>
      <c r="BZ40" s="251">
        <f t="shared" si="47"/>
        <v>0</v>
      </c>
      <c r="CA40" s="251">
        <f t="shared" si="48"/>
        <v>0</v>
      </c>
      <c r="CB40" s="251">
        <f t="shared" si="49"/>
        <v>0</v>
      </c>
      <c r="CC40" s="251">
        <f t="shared" si="50"/>
        <v>0</v>
      </c>
      <c r="CD40" s="251">
        <f t="shared" si="83"/>
        <v>0</v>
      </c>
      <c r="CE40" s="251">
        <f t="shared" si="84"/>
        <v>0</v>
      </c>
      <c r="CF40" s="251">
        <f t="shared" si="85"/>
        <v>0</v>
      </c>
      <c r="CG40" s="251">
        <f t="shared" si="86"/>
        <v>0</v>
      </c>
      <c r="CH40" s="251">
        <f t="shared" si="51"/>
        <v>0</v>
      </c>
      <c r="CI40" s="251">
        <f t="shared" si="52"/>
        <v>0</v>
      </c>
      <c r="CJ40" s="251">
        <f t="shared" si="87"/>
        <v>0</v>
      </c>
      <c r="CK40" s="251">
        <f t="shared" si="88"/>
        <v>0</v>
      </c>
      <c r="CL40" s="251">
        <f t="shared" si="53"/>
        <v>0</v>
      </c>
      <c r="CM40" s="251">
        <f t="shared" si="54"/>
        <v>0</v>
      </c>
      <c r="CN40" s="251">
        <f t="shared" si="55"/>
        <v>0</v>
      </c>
      <c r="CO40" s="251">
        <f t="shared" si="56"/>
        <v>0</v>
      </c>
      <c r="CP40" s="251">
        <f t="shared" si="89"/>
        <v>0</v>
      </c>
      <c r="CQ40" s="251">
        <f t="shared" si="90"/>
        <v>0</v>
      </c>
      <c r="CR40" s="251">
        <f t="shared" si="91"/>
        <v>0</v>
      </c>
      <c r="CS40" s="251">
        <f t="shared" si="92"/>
        <v>0</v>
      </c>
      <c r="CT40" s="251">
        <f t="shared" si="57"/>
        <v>0</v>
      </c>
      <c r="CU40" s="251">
        <f t="shared" si="58"/>
        <v>0</v>
      </c>
      <c r="CV40" s="251">
        <f t="shared" si="59"/>
        <v>0</v>
      </c>
      <c r="CW40" s="251">
        <f t="shared" si="60"/>
        <v>0</v>
      </c>
      <c r="CX40" s="251">
        <f t="shared" si="93"/>
        <v>0</v>
      </c>
      <c r="CY40" s="251">
        <f t="shared" si="94"/>
        <v>0</v>
      </c>
      <c r="CZ40" s="251">
        <f t="shared" si="95"/>
        <v>0</v>
      </c>
      <c r="DA40" s="251">
        <f t="shared" si="96"/>
        <v>0</v>
      </c>
    </row>
    <row r="41" spans="1:105" s="248" customFormat="1" ht="15" customHeight="1">
      <c r="A41" s="58">
        <f t="array" aca="1" ref="A41" ca="1">IF(C41&lt;&gt;0,SUM(($C$11:C41&lt;&gt;0)*1),"")</f>
        <v>3</v>
      </c>
      <c r="B41" s="249">
        <v>42551</v>
      </c>
      <c r="C41" s="252" t="s">
        <v>115</v>
      </c>
      <c r="D41" s="252">
        <f t="shared" si="98"/>
        <v>42551</v>
      </c>
      <c r="E41" s="736" t="s">
        <v>591</v>
      </c>
      <c r="F41" s="737">
        <f ca="1">CL52</f>
        <v>0</v>
      </c>
      <c r="G41" s="738" t="s">
        <v>109</v>
      </c>
      <c r="H41" s="738" t="s">
        <v>284</v>
      </c>
      <c r="I41" s="58">
        <f t="shared" ca="1" si="97"/>
        <v>3</v>
      </c>
      <c r="J41" s="251">
        <f t="shared" si="61"/>
        <v>0</v>
      </c>
      <c r="K41" s="251">
        <f t="shared" si="62"/>
        <v>0</v>
      </c>
      <c r="L41" s="251">
        <f t="shared" si="1"/>
        <v>0</v>
      </c>
      <c r="M41" s="251">
        <f t="shared" si="2"/>
        <v>0</v>
      </c>
      <c r="N41" s="251">
        <f t="shared" si="3"/>
        <v>0</v>
      </c>
      <c r="O41" s="251">
        <f t="shared" si="4"/>
        <v>0</v>
      </c>
      <c r="P41" s="251">
        <f t="shared" si="5"/>
        <v>0</v>
      </c>
      <c r="Q41" s="251">
        <f t="shared" si="6"/>
        <v>0</v>
      </c>
      <c r="R41" s="251">
        <f t="shared" si="7"/>
        <v>0</v>
      </c>
      <c r="S41" s="251">
        <f t="shared" si="8"/>
        <v>0</v>
      </c>
      <c r="T41" s="251">
        <f t="shared" si="9"/>
        <v>0</v>
      </c>
      <c r="U41" s="251">
        <f t="shared" si="10"/>
        <v>0</v>
      </c>
      <c r="V41" s="251">
        <f t="shared" si="11"/>
        <v>0</v>
      </c>
      <c r="W41" s="251">
        <f t="shared" si="12"/>
        <v>0</v>
      </c>
      <c r="X41" s="251">
        <f t="shared" si="13"/>
        <v>0</v>
      </c>
      <c r="Y41" s="251">
        <f t="shared" si="14"/>
        <v>0</v>
      </c>
      <c r="Z41" s="251">
        <f t="shared" si="15"/>
        <v>0</v>
      </c>
      <c r="AA41" s="251">
        <f t="shared" si="16"/>
        <v>0</v>
      </c>
      <c r="AB41" s="251">
        <f t="shared" si="63"/>
        <v>0</v>
      </c>
      <c r="AC41" s="251">
        <f t="shared" si="64"/>
        <v>0</v>
      </c>
      <c r="AD41" s="251">
        <f t="shared" si="17"/>
        <v>0</v>
      </c>
      <c r="AE41" s="251">
        <f t="shared" si="18"/>
        <v>0</v>
      </c>
      <c r="AF41" s="251">
        <f t="shared" si="19"/>
        <v>0</v>
      </c>
      <c r="AG41" s="251">
        <f t="shared" si="20"/>
        <v>0</v>
      </c>
      <c r="AH41" s="251">
        <f t="shared" si="65"/>
        <v>0</v>
      </c>
      <c r="AI41" s="251">
        <f t="shared" si="66"/>
        <v>0</v>
      </c>
      <c r="AJ41" s="251">
        <f t="shared" si="67"/>
        <v>0</v>
      </c>
      <c r="AK41" s="251">
        <f t="shared" si="68"/>
        <v>0</v>
      </c>
      <c r="AL41" s="251">
        <f t="shared" si="69"/>
        <v>0</v>
      </c>
      <c r="AM41" s="251">
        <f t="shared" si="70"/>
        <v>0</v>
      </c>
      <c r="AN41" s="251">
        <f t="shared" si="71"/>
        <v>0</v>
      </c>
      <c r="AO41" s="251">
        <f t="shared" si="72"/>
        <v>0</v>
      </c>
      <c r="AP41" s="251">
        <f t="shared" si="21"/>
        <v>0</v>
      </c>
      <c r="AQ41" s="251">
        <f t="shared" si="22"/>
        <v>0</v>
      </c>
      <c r="AR41" s="251">
        <f t="shared" si="23"/>
        <v>0</v>
      </c>
      <c r="AS41" s="251">
        <f t="shared" si="24"/>
        <v>0</v>
      </c>
      <c r="AT41" s="251">
        <f t="shared" si="73"/>
        <v>0</v>
      </c>
      <c r="AU41" s="251">
        <f t="shared" si="74"/>
        <v>0</v>
      </c>
      <c r="AV41" s="251">
        <f t="shared" si="25"/>
        <v>0</v>
      </c>
      <c r="AW41" s="251">
        <f t="shared" si="26"/>
        <v>0</v>
      </c>
      <c r="AX41" s="251">
        <f t="shared" si="27"/>
        <v>0</v>
      </c>
      <c r="AY41" s="251">
        <f t="shared" si="28"/>
        <v>0</v>
      </c>
      <c r="AZ41" s="251">
        <f t="shared" si="29"/>
        <v>0</v>
      </c>
      <c r="BA41" s="251">
        <f t="shared" si="30"/>
        <v>0</v>
      </c>
      <c r="BB41" s="251">
        <f t="shared" si="31"/>
        <v>0</v>
      </c>
      <c r="BC41" s="251">
        <f t="shared" si="32"/>
        <v>0</v>
      </c>
      <c r="BD41" s="251">
        <f t="shared" si="33"/>
        <v>0</v>
      </c>
      <c r="BE41" s="251">
        <f t="shared" si="34"/>
        <v>0</v>
      </c>
      <c r="BF41" s="251">
        <f t="shared" si="35"/>
        <v>0</v>
      </c>
      <c r="BG41" s="251">
        <f t="shared" si="36"/>
        <v>0</v>
      </c>
      <c r="BH41" s="251">
        <f t="shared" si="75"/>
        <v>0</v>
      </c>
      <c r="BI41" s="251">
        <f t="shared" si="76"/>
        <v>0</v>
      </c>
      <c r="BJ41" s="251">
        <f t="shared" si="37"/>
        <v>0</v>
      </c>
      <c r="BK41" s="251">
        <f t="shared" si="38"/>
        <v>0</v>
      </c>
      <c r="BL41" s="251">
        <f t="shared" si="39"/>
        <v>0</v>
      </c>
      <c r="BM41" s="251">
        <f t="shared" si="40"/>
        <v>0</v>
      </c>
      <c r="BN41" s="251">
        <f t="shared" si="41"/>
        <v>0</v>
      </c>
      <c r="BO41" s="251">
        <f t="shared" si="42"/>
        <v>0</v>
      </c>
      <c r="BP41" s="251">
        <f t="shared" si="77"/>
        <v>0</v>
      </c>
      <c r="BQ41" s="251">
        <f t="shared" si="78"/>
        <v>0</v>
      </c>
      <c r="BR41" s="251">
        <f t="shared" si="43"/>
        <v>0</v>
      </c>
      <c r="BS41" s="251">
        <f t="shared" si="44"/>
        <v>0</v>
      </c>
      <c r="BT41" s="251">
        <f t="shared" si="79"/>
        <v>0</v>
      </c>
      <c r="BU41" s="251">
        <f t="shared" si="80"/>
        <v>0</v>
      </c>
      <c r="BV41" s="251">
        <f t="shared" si="81"/>
        <v>0</v>
      </c>
      <c r="BW41" s="251">
        <f t="shared" si="82"/>
        <v>0</v>
      </c>
      <c r="BX41" s="251">
        <f t="shared" si="45"/>
        <v>0</v>
      </c>
      <c r="BY41" s="251">
        <f t="shared" si="46"/>
        <v>0</v>
      </c>
      <c r="BZ41" s="251">
        <f t="shared" si="47"/>
        <v>0</v>
      </c>
      <c r="CA41" s="251">
        <f t="shared" si="48"/>
        <v>0</v>
      </c>
      <c r="CB41" s="251">
        <f t="shared" si="49"/>
        <v>0</v>
      </c>
      <c r="CC41" s="251">
        <f t="shared" si="50"/>
        <v>0</v>
      </c>
      <c r="CD41" s="251">
        <f t="shared" si="83"/>
        <v>0</v>
      </c>
      <c r="CE41" s="251">
        <f t="shared" si="84"/>
        <v>0</v>
      </c>
      <c r="CF41" s="251">
        <f t="shared" si="85"/>
        <v>0</v>
      </c>
      <c r="CG41" s="251">
        <f t="shared" si="86"/>
        <v>0</v>
      </c>
      <c r="CH41" s="251">
        <f t="shared" si="51"/>
        <v>0</v>
      </c>
      <c r="CI41" s="251">
        <f t="shared" si="52"/>
        <v>0</v>
      </c>
      <c r="CJ41" s="251">
        <f t="shared" si="87"/>
        <v>0</v>
      </c>
      <c r="CK41" s="251">
        <f t="shared" si="88"/>
        <v>0</v>
      </c>
      <c r="CL41" s="251">
        <f t="shared" si="53"/>
        <v>0</v>
      </c>
      <c r="CM41" s="251">
        <f t="shared" ca="1" si="54"/>
        <v>0</v>
      </c>
      <c r="CN41" s="251">
        <f t="shared" si="55"/>
        <v>0</v>
      </c>
      <c r="CO41" s="251">
        <f t="shared" si="56"/>
        <v>0</v>
      </c>
      <c r="CP41" s="251">
        <f t="shared" si="89"/>
        <v>0</v>
      </c>
      <c r="CQ41" s="251">
        <f t="shared" si="90"/>
        <v>0</v>
      </c>
      <c r="CR41" s="251">
        <f t="shared" si="91"/>
        <v>0</v>
      </c>
      <c r="CS41" s="251">
        <f t="shared" si="92"/>
        <v>0</v>
      </c>
      <c r="CT41" s="251">
        <f t="shared" si="57"/>
        <v>0</v>
      </c>
      <c r="CU41" s="251">
        <f t="shared" si="58"/>
        <v>0</v>
      </c>
      <c r="CV41" s="251">
        <f t="shared" si="59"/>
        <v>0</v>
      </c>
      <c r="CW41" s="251">
        <f t="shared" si="60"/>
        <v>0</v>
      </c>
      <c r="CX41" s="251">
        <f t="shared" si="93"/>
        <v>0</v>
      </c>
      <c r="CY41" s="251">
        <f t="shared" si="94"/>
        <v>0</v>
      </c>
      <c r="CZ41" s="251">
        <f t="shared" ca="1" si="95"/>
        <v>0</v>
      </c>
      <c r="DA41" s="251">
        <f t="shared" si="96"/>
        <v>0</v>
      </c>
    </row>
    <row r="42" spans="1:105" s="248" customFormat="1" ht="15" customHeight="1">
      <c r="A42" s="58">
        <f t="array" aca="1" ref="A42" ca="1">IF(C42&lt;&gt;0,SUM(($C$11:C42&lt;&gt;0)*1),"")</f>
        <v>4</v>
      </c>
      <c r="B42" s="249">
        <v>42551</v>
      </c>
      <c r="C42" s="252" t="s">
        <v>115</v>
      </c>
      <c r="D42" s="252">
        <f t="shared" si="98"/>
        <v>42551</v>
      </c>
      <c r="E42" s="736" t="s">
        <v>116</v>
      </c>
      <c r="F42" s="737">
        <f ca="1">CN52</f>
        <v>0</v>
      </c>
      <c r="G42" s="738" t="s">
        <v>109</v>
      </c>
      <c r="H42" s="738" t="s">
        <v>99</v>
      </c>
      <c r="I42" s="58">
        <f t="shared" ca="1" si="97"/>
        <v>4</v>
      </c>
      <c r="J42" s="251">
        <f t="shared" si="61"/>
        <v>0</v>
      </c>
      <c r="K42" s="251">
        <f t="shared" si="62"/>
        <v>0</v>
      </c>
      <c r="L42" s="251">
        <f t="shared" si="1"/>
        <v>0</v>
      </c>
      <c r="M42" s="251">
        <f t="shared" si="2"/>
        <v>0</v>
      </c>
      <c r="N42" s="251">
        <f t="shared" si="3"/>
        <v>0</v>
      </c>
      <c r="O42" s="251">
        <f t="shared" si="4"/>
        <v>0</v>
      </c>
      <c r="P42" s="251">
        <f t="shared" si="5"/>
        <v>0</v>
      </c>
      <c r="Q42" s="251">
        <f t="shared" si="6"/>
        <v>0</v>
      </c>
      <c r="R42" s="251">
        <f t="shared" si="7"/>
        <v>0</v>
      </c>
      <c r="S42" s="251">
        <f t="shared" si="8"/>
        <v>0</v>
      </c>
      <c r="T42" s="251">
        <f t="shared" si="9"/>
        <v>0</v>
      </c>
      <c r="U42" s="251">
        <f t="shared" si="10"/>
        <v>0</v>
      </c>
      <c r="V42" s="251">
        <f t="shared" si="11"/>
        <v>0</v>
      </c>
      <c r="W42" s="251">
        <f t="shared" si="12"/>
        <v>0</v>
      </c>
      <c r="X42" s="251">
        <f t="shared" si="13"/>
        <v>0</v>
      </c>
      <c r="Y42" s="251">
        <f t="shared" si="14"/>
        <v>0</v>
      </c>
      <c r="Z42" s="251">
        <f t="shared" si="15"/>
        <v>0</v>
      </c>
      <c r="AA42" s="251">
        <f t="shared" si="16"/>
        <v>0</v>
      </c>
      <c r="AB42" s="251">
        <f t="shared" si="63"/>
        <v>0</v>
      </c>
      <c r="AC42" s="251">
        <f t="shared" si="64"/>
        <v>0</v>
      </c>
      <c r="AD42" s="251">
        <f t="shared" si="17"/>
        <v>0</v>
      </c>
      <c r="AE42" s="251">
        <f t="shared" si="18"/>
        <v>0</v>
      </c>
      <c r="AF42" s="251">
        <f t="shared" si="19"/>
        <v>0</v>
      </c>
      <c r="AG42" s="251">
        <f t="shared" si="20"/>
        <v>0</v>
      </c>
      <c r="AH42" s="251">
        <f t="shared" si="65"/>
        <v>0</v>
      </c>
      <c r="AI42" s="251">
        <f t="shared" si="66"/>
        <v>0</v>
      </c>
      <c r="AJ42" s="251">
        <f t="shared" si="67"/>
        <v>0</v>
      </c>
      <c r="AK42" s="251">
        <f t="shared" si="68"/>
        <v>0</v>
      </c>
      <c r="AL42" s="251">
        <f t="shared" si="69"/>
        <v>0</v>
      </c>
      <c r="AM42" s="251">
        <f t="shared" si="70"/>
        <v>0</v>
      </c>
      <c r="AN42" s="251">
        <f t="shared" si="71"/>
        <v>0</v>
      </c>
      <c r="AO42" s="251">
        <f t="shared" si="72"/>
        <v>0</v>
      </c>
      <c r="AP42" s="251">
        <f t="shared" si="21"/>
        <v>0</v>
      </c>
      <c r="AQ42" s="251">
        <f t="shared" si="22"/>
        <v>0</v>
      </c>
      <c r="AR42" s="251">
        <f t="shared" si="23"/>
        <v>0</v>
      </c>
      <c r="AS42" s="251">
        <f t="shared" si="24"/>
        <v>0</v>
      </c>
      <c r="AT42" s="251">
        <f t="shared" si="73"/>
        <v>0</v>
      </c>
      <c r="AU42" s="251">
        <f t="shared" si="74"/>
        <v>0</v>
      </c>
      <c r="AV42" s="251">
        <f t="shared" si="25"/>
        <v>0</v>
      </c>
      <c r="AW42" s="251">
        <f t="shared" si="26"/>
        <v>0</v>
      </c>
      <c r="AX42" s="251">
        <f t="shared" si="27"/>
        <v>0</v>
      </c>
      <c r="AY42" s="251">
        <f t="shared" si="28"/>
        <v>0</v>
      </c>
      <c r="AZ42" s="251">
        <f t="shared" si="29"/>
        <v>0</v>
      </c>
      <c r="BA42" s="251">
        <f t="shared" si="30"/>
        <v>0</v>
      </c>
      <c r="BB42" s="251">
        <f t="shared" si="31"/>
        <v>0</v>
      </c>
      <c r="BC42" s="251">
        <f t="shared" si="32"/>
        <v>0</v>
      </c>
      <c r="BD42" s="251">
        <f t="shared" si="33"/>
        <v>0</v>
      </c>
      <c r="BE42" s="251">
        <f t="shared" si="34"/>
        <v>0</v>
      </c>
      <c r="BF42" s="251">
        <f t="shared" si="35"/>
        <v>0</v>
      </c>
      <c r="BG42" s="251">
        <f t="shared" si="36"/>
        <v>0</v>
      </c>
      <c r="BH42" s="251">
        <f t="shared" si="75"/>
        <v>0</v>
      </c>
      <c r="BI42" s="251">
        <f t="shared" si="76"/>
        <v>0</v>
      </c>
      <c r="BJ42" s="251">
        <f t="shared" si="37"/>
        <v>0</v>
      </c>
      <c r="BK42" s="251">
        <f t="shared" si="38"/>
        <v>0</v>
      </c>
      <c r="BL42" s="251">
        <f t="shared" si="39"/>
        <v>0</v>
      </c>
      <c r="BM42" s="251">
        <f t="shared" si="40"/>
        <v>0</v>
      </c>
      <c r="BN42" s="251">
        <f t="shared" si="41"/>
        <v>0</v>
      </c>
      <c r="BO42" s="251">
        <f t="shared" si="42"/>
        <v>0</v>
      </c>
      <c r="BP42" s="251">
        <f t="shared" si="77"/>
        <v>0</v>
      </c>
      <c r="BQ42" s="251">
        <f t="shared" si="78"/>
        <v>0</v>
      </c>
      <c r="BR42" s="251">
        <f t="shared" si="43"/>
        <v>0</v>
      </c>
      <c r="BS42" s="251">
        <f t="shared" si="44"/>
        <v>0</v>
      </c>
      <c r="BT42" s="251">
        <f t="shared" si="79"/>
        <v>0</v>
      </c>
      <c r="BU42" s="251">
        <f t="shared" si="80"/>
        <v>0</v>
      </c>
      <c r="BV42" s="251">
        <f t="shared" si="81"/>
        <v>0</v>
      </c>
      <c r="BW42" s="251">
        <f t="shared" si="82"/>
        <v>0</v>
      </c>
      <c r="BX42" s="251">
        <f t="shared" si="45"/>
        <v>0</v>
      </c>
      <c r="BY42" s="251">
        <f t="shared" si="46"/>
        <v>0</v>
      </c>
      <c r="BZ42" s="251">
        <f t="shared" si="47"/>
        <v>0</v>
      </c>
      <c r="CA42" s="251">
        <f t="shared" si="48"/>
        <v>0</v>
      </c>
      <c r="CB42" s="251">
        <f t="shared" si="49"/>
        <v>0</v>
      </c>
      <c r="CC42" s="251">
        <f t="shared" si="50"/>
        <v>0</v>
      </c>
      <c r="CD42" s="251">
        <f t="shared" si="83"/>
        <v>0</v>
      </c>
      <c r="CE42" s="251">
        <f t="shared" si="84"/>
        <v>0</v>
      </c>
      <c r="CF42" s="251">
        <f t="shared" si="85"/>
        <v>0</v>
      </c>
      <c r="CG42" s="251">
        <f t="shared" si="86"/>
        <v>0</v>
      </c>
      <c r="CH42" s="251">
        <f t="shared" si="51"/>
        <v>0</v>
      </c>
      <c r="CI42" s="251">
        <f t="shared" si="52"/>
        <v>0</v>
      </c>
      <c r="CJ42" s="251">
        <f t="shared" si="87"/>
        <v>0</v>
      </c>
      <c r="CK42" s="251">
        <f t="shared" si="88"/>
        <v>0</v>
      </c>
      <c r="CL42" s="251">
        <f t="shared" si="53"/>
        <v>0</v>
      </c>
      <c r="CM42" s="251">
        <f t="shared" si="54"/>
        <v>0</v>
      </c>
      <c r="CN42" s="251">
        <f t="shared" si="55"/>
        <v>0</v>
      </c>
      <c r="CO42" s="251">
        <f t="shared" ca="1" si="56"/>
        <v>0</v>
      </c>
      <c r="CP42" s="251">
        <f t="shared" si="89"/>
        <v>0</v>
      </c>
      <c r="CQ42" s="251">
        <f t="shared" si="90"/>
        <v>0</v>
      </c>
      <c r="CR42" s="251">
        <f t="shared" si="91"/>
        <v>0</v>
      </c>
      <c r="CS42" s="251">
        <f t="shared" si="92"/>
        <v>0</v>
      </c>
      <c r="CT42" s="251">
        <f t="shared" si="57"/>
        <v>0</v>
      </c>
      <c r="CU42" s="251">
        <f t="shared" si="58"/>
        <v>0</v>
      </c>
      <c r="CV42" s="251">
        <f t="shared" si="59"/>
        <v>0</v>
      </c>
      <c r="CW42" s="251">
        <f t="shared" si="60"/>
        <v>0</v>
      </c>
      <c r="CX42" s="251">
        <f t="shared" si="93"/>
        <v>0</v>
      </c>
      <c r="CY42" s="251">
        <f t="shared" si="94"/>
        <v>0</v>
      </c>
      <c r="CZ42" s="251">
        <f t="shared" ca="1" si="95"/>
        <v>0</v>
      </c>
      <c r="DA42" s="251">
        <f t="shared" si="96"/>
        <v>0</v>
      </c>
    </row>
    <row r="43" spans="1:105" s="248" customFormat="1" ht="15" customHeight="1">
      <c r="A43" s="58">
        <f t="array" aca="1" ref="A43" ca="1">IF(C43&lt;&gt;0,SUM(($C$11:C43&lt;&gt;0)*1),"")</f>
        <v>5</v>
      </c>
      <c r="B43" s="249">
        <v>42551</v>
      </c>
      <c r="C43" s="252" t="s">
        <v>115</v>
      </c>
      <c r="D43" s="252">
        <f t="shared" si="98"/>
        <v>42551</v>
      </c>
      <c r="E43" s="736" t="s">
        <v>592</v>
      </c>
      <c r="F43" s="737">
        <f ca="1">CP52</f>
        <v>0</v>
      </c>
      <c r="G43" s="738" t="s">
        <v>109</v>
      </c>
      <c r="H43" s="738" t="s">
        <v>539</v>
      </c>
      <c r="I43" s="58">
        <f t="shared" ca="1" si="97"/>
        <v>5</v>
      </c>
      <c r="J43" s="251">
        <f t="shared" si="61"/>
        <v>0</v>
      </c>
      <c r="K43" s="251">
        <f t="shared" si="62"/>
        <v>0</v>
      </c>
      <c r="L43" s="251">
        <f t="shared" si="1"/>
        <v>0</v>
      </c>
      <c r="M43" s="251">
        <f t="shared" si="2"/>
        <v>0</v>
      </c>
      <c r="N43" s="251">
        <f t="shared" si="3"/>
        <v>0</v>
      </c>
      <c r="O43" s="251">
        <f t="shared" si="4"/>
        <v>0</v>
      </c>
      <c r="P43" s="251">
        <f t="shared" si="5"/>
        <v>0</v>
      </c>
      <c r="Q43" s="251">
        <f t="shared" si="6"/>
        <v>0</v>
      </c>
      <c r="R43" s="251">
        <f t="shared" si="7"/>
        <v>0</v>
      </c>
      <c r="S43" s="251">
        <f t="shared" si="8"/>
        <v>0</v>
      </c>
      <c r="T43" s="251">
        <f t="shared" si="9"/>
        <v>0</v>
      </c>
      <c r="U43" s="251">
        <f t="shared" si="10"/>
        <v>0</v>
      </c>
      <c r="V43" s="251">
        <f t="shared" si="11"/>
        <v>0</v>
      </c>
      <c r="W43" s="251">
        <f t="shared" si="12"/>
        <v>0</v>
      </c>
      <c r="X43" s="251">
        <f t="shared" si="13"/>
        <v>0</v>
      </c>
      <c r="Y43" s="251">
        <f t="shared" si="14"/>
        <v>0</v>
      </c>
      <c r="Z43" s="251">
        <f t="shared" si="15"/>
        <v>0</v>
      </c>
      <c r="AA43" s="251">
        <f t="shared" si="16"/>
        <v>0</v>
      </c>
      <c r="AB43" s="251">
        <f t="shared" si="63"/>
        <v>0</v>
      </c>
      <c r="AC43" s="251">
        <f t="shared" si="64"/>
        <v>0</v>
      </c>
      <c r="AD43" s="251">
        <f t="shared" si="17"/>
        <v>0</v>
      </c>
      <c r="AE43" s="251">
        <f t="shared" si="18"/>
        <v>0</v>
      </c>
      <c r="AF43" s="251">
        <f t="shared" si="19"/>
        <v>0</v>
      </c>
      <c r="AG43" s="251">
        <f t="shared" si="20"/>
        <v>0</v>
      </c>
      <c r="AH43" s="251">
        <f t="shared" si="65"/>
        <v>0</v>
      </c>
      <c r="AI43" s="251">
        <f t="shared" si="66"/>
        <v>0</v>
      </c>
      <c r="AJ43" s="251">
        <f t="shared" si="67"/>
        <v>0</v>
      </c>
      <c r="AK43" s="251">
        <f t="shared" si="68"/>
        <v>0</v>
      </c>
      <c r="AL43" s="251">
        <f t="shared" si="69"/>
        <v>0</v>
      </c>
      <c r="AM43" s="251">
        <f t="shared" si="70"/>
        <v>0</v>
      </c>
      <c r="AN43" s="251">
        <f t="shared" si="71"/>
        <v>0</v>
      </c>
      <c r="AO43" s="251">
        <f t="shared" si="72"/>
        <v>0</v>
      </c>
      <c r="AP43" s="251">
        <f t="shared" si="21"/>
        <v>0</v>
      </c>
      <c r="AQ43" s="251">
        <f t="shared" si="22"/>
        <v>0</v>
      </c>
      <c r="AR43" s="251">
        <f t="shared" si="23"/>
        <v>0</v>
      </c>
      <c r="AS43" s="251">
        <f t="shared" si="24"/>
        <v>0</v>
      </c>
      <c r="AT43" s="251">
        <f t="shared" si="73"/>
        <v>0</v>
      </c>
      <c r="AU43" s="251">
        <f t="shared" si="74"/>
        <v>0</v>
      </c>
      <c r="AV43" s="251">
        <f t="shared" si="25"/>
        <v>0</v>
      </c>
      <c r="AW43" s="251">
        <f t="shared" si="26"/>
        <v>0</v>
      </c>
      <c r="AX43" s="251">
        <f t="shared" si="27"/>
        <v>0</v>
      </c>
      <c r="AY43" s="251">
        <f t="shared" si="28"/>
        <v>0</v>
      </c>
      <c r="AZ43" s="251">
        <f t="shared" si="29"/>
        <v>0</v>
      </c>
      <c r="BA43" s="251">
        <f t="shared" si="30"/>
        <v>0</v>
      </c>
      <c r="BB43" s="251">
        <f t="shared" si="31"/>
        <v>0</v>
      </c>
      <c r="BC43" s="251">
        <f t="shared" si="32"/>
        <v>0</v>
      </c>
      <c r="BD43" s="251">
        <f t="shared" si="33"/>
        <v>0</v>
      </c>
      <c r="BE43" s="251">
        <f t="shared" si="34"/>
        <v>0</v>
      </c>
      <c r="BF43" s="251">
        <f t="shared" si="35"/>
        <v>0</v>
      </c>
      <c r="BG43" s="251">
        <f t="shared" si="36"/>
        <v>0</v>
      </c>
      <c r="BH43" s="251">
        <f t="shared" si="75"/>
        <v>0</v>
      </c>
      <c r="BI43" s="251">
        <f t="shared" si="76"/>
        <v>0</v>
      </c>
      <c r="BJ43" s="251">
        <f t="shared" si="37"/>
        <v>0</v>
      </c>
      <c r="BK43" s="251">
        <f t="shared" si="38"/>
        <v>0</v>
      </c>
      <c r="BL43" s="251">
        <f t="shared" si="39"/>
        <v>0</v>
      </c>
      <c r="BM43" s="251">
        <f t="shared" si="40"/>
        <v>0</v>
      </c>
      <c r="BN43" s="251">
        <f t="shared" si="41"/>
        <v>0</v>
      </c>
      <c r="BO43" s="251">
        <f t="shared" si="42"/>
        <v>0</v>
      </c>
      <c r="BP43" s="251">
        <f t="shared" si="77"/>
        <v>0</v>
      </c>
      <c r="BQ43" s="251">
        <f t="shared" si="78"/>
        <v>0</v>
      </c>
      <c r="BR43" s="251">
        <f t="shared" si="43"/>
        <v>0</v>
      </c>
      <c r="BS43" s="251">
        <f t="shared" si="44"/>
        <v>0</v>
      </c>
      <c r="BT43" s="251">
        <f t="shared" si="79"/>
        <v>0</v>
      </c>
      <c r="BU43" s="251">
        <f t="shared" si="80"/>
        <v>0</v>
      </c>
      <c r="BV43" s="251">
        <f t="shared" si="81"/>
        <v>0</v>
      </c>
      <c r="BW43" s="251">
        <f t="shared" si="82"/>
        <v>0</v>
      </c>
      <c r="BX43" s="251">
        <f t="shared" si="45"/>
        <v>0</v>
      </c>
      <c r="BY43" s="251">
        <f t="shared" si="46"/>
        <v>0</v>
      </c>
      <c r="BZ43" s="251">
        <f t="shared" si="47"/>
        <v>0</v>
      </c>
      <c r="CA43" s="251">
        <f t="shared" si="48"/>
        <v>0</v>
      </c>
      <c r="CB43" s="251">
        <f t="shared" si="49"/>
        <v>0</v>
      </c>
      <c r="CC43" s="251">
        <f t="shared" si="50"/>
        <v>0</v>
      </c>
      <c r="CD43" s="251">
        <f t="shared" si="83"/>
        <v>0</v>
      </c>
      <c r="CE43" s="251">
        <f t="shared" si="84"/>
        <v>0</v>
      </c>
      <c r="CF43" s="251">
        <f t="shared" si="85"/>
        <v>0</v>
      </c>
      <c r="CG43" s="251">
        <f t="shared" si="86"/>
        <v>0</v>
      </c>
      <c r="CH43" s="251">
        <f t="shared" si="51"/>
        <v>0</v>
      </c>
      <c r="CI43" s="251">
        <f t="shared" si="52"/>
        <v>0</v>
      </c>
      <c r="CJ43" s="251">
        <f t="shared" si="87"/>
        <v>0</v>
      </c>
      <c r="CK43" s="251">
        <f t="shared" si="88"/>
        <v>0</v>
      </c>
      <c r="CL43" s="251">
        <f t="shared" si="53"/>
        <v>0</v>
      </c>
      <c r="CM43" s="251">
        <f t="shared" si="54"/>
        <v>0</v>
      </c>
      <c r="CN43" s="251">
        <f t="shared" si="55"/>
        <v>0</v>
      </c>
      <c r="CO43" s="251">
        <f t="shared" si="56"/>
        <v>0</v>
      </c>
      <c r="CP43" s="251">
        <f t="shared" si="89"/>
        <v>0</v>
      </c>
      <c r="CQ43" s="251">
        <f t="shared" ca="1" si="90"/>
        <v>0</v>
      </c>
      <c r="CR43" s="251">
        <f t="shared" si="91"/>
        <v>0</v>
      </c>
      <c r="CS43" s="251">
        <f t="shared" si="92"/>
        <v>0</v>
      </c>
      <c r="CT43" s="251">
        <f t="shared" si="57"/>
        <v>0</v>
      </c>
      <c r="CU43" s="251">
        <f t="shared" si="58"/>
        <v>0</v>
      </c>
      <c r="CV43" s="251">
        <f t="shared" si="59"/>
        <v>0</v>
      </c>
      <c r="CW43" s="251">
        <f t="shared" si="60"/>
        <v>0</v>
      </c>
      <c r="CX43" s="251">
        <f t="shared" si="93"/>
        <v>0</v>
      </c>
      <c r="CY43" s="251">
        <f t="shared" si="94"/>
        <v>0</v>
      </c>
      <c r="CZ43" s="251">
        <f t="shared" ca="1" si="95"/>
        <v>0</v>
      </c>
      <c r="DA43" s="251">
        <f t="shared" si="96"/>
        <v>0</v>
      </c>
    </row>
    <row r="44" spans="1:105" s="248" customFormat="1" ht="15" customHeight="1">
      <c r="A44" s="58">
        <f t="array" aca="1" ref="A44" ca="1">IF(C44&lt;&gt;0,SUM(($C$11:C44&lt;&gt;0)*1),"")</f>
        <v>6</v>
      </c>
      <c r="B44" s="249">
        <v>42551</v>
      </c>
      <c r="C44" s="252" t="s">
        <v>115</v>
      </c>
      <c r="D44" s="252">
        <f t="shared" si="98"/>
        <v>42551</v>
      </c>
      <c r="E44" s="736" t="s">
        <v>117</v>
      </c>
      <c r="F44" s="737">
        <f ca="1">CR52</f>
        <v>0</v>
      </c>
      <c r="G44" s="738" t="s">
        <v>109</v>
      </c>
      <c r="H44" s="738" t="s">
        <v>101</v>
      </c>
      <c r="I44" s="58">
        <f t="shared" ca="1" si="97"/>
        <v>6</v>
      </c>
      <c r="J44" s="251">
        <f t="shared" si="61"/>
        <v>0</v>
      </c>
      <c r="K44" s="251">
        <f t="shared" si="62"/>
        <v>0</v>
      </c>
      <c r="L44" s="251">
        <f t="shared" si="1"/>
        <v>0</v>
      </c>
      <c r="M44" s="251">
        <f t="shared" si="2"/>
        <v>0</v>
      </c>
      <c r="N44" s="251">
        <f t="shared" si="3"/>
        <v>0</v>
      </c>
      <c r="O44" s="251">
        <f t="shared" si="4"/>
        <v>0</v>
      </c>
      <c r="P44" s="251">
        <f t="shared" si="5"/>
        <v>0</v>
      </c>
      <c r="Q44" s="251">
        <f t="shared" si="6"/>
        <v>0</v>
      </c>
      <c r="R44" s="251">
        <f t="shared" si="7"/>
        <v>0</v>
      </c>
      <c r="S44" s="251">
        <f t="shared" si="8"/>
        <v>0</v>
      </c>
      <c r="T44" s="251">
        <f t="shared" si="9"/>
        <v>0</v>
      </c>
      <c r="U44" s="251">
        <f t="shared" si="10"/>
        <v>0</v>
      </c>
      <c r="V44" s="251">
        <f t="shared" si="11"/>
        <v>0</v>
      </c>
      <c r="W44" s="251">
        <f t="shared" si="12"/>
        <v>0</v>
      </c>
      <c r="X44" s="251">
        <f t="shared" si="13"/>
        <v>0</v>
      </c>
      <c r="Y44" s="251">
        <f t="shared" si="14"/>
        <v>0</v>
      </c>
      <c r="Z44" s="251">
        <f t="shared" si="15"/>
        <v>0</v>
      </c>
      <c r="AA44" s="251">
        <f t="shared" si="16"/>
        <v>0</v>
      </c>
      <c r="AB44" s="251">
        <f t="shared" si="63"/>
        <v>0</v>
      </c>
      <c r="AC44" s="251">
        <f t="shared" si="64"/>
        <v>0</v>
      </c>
      <c r="AD44" s="251">
        <f t="shared" si="17"/>
        <v>0</v>
      </c>
      <c r="AE44" s="251">
        <f t="shared" si="18"/>
        <v>0</v>
      </c>
      <c r="AF44" s="251">
        <f t="shared" si="19"/>
        <v>0</v>
      </c>
      <c r="AG44" s="251">
        <f t="shared" si="20"/>
        <v>0</v>
      </c>
      <c r="AH44" s="251">
        <f t="shared" si="65"/>
        <v>0</v>
      </c>
      <c r="AI44" s="251">
        <f t="shared" si="66"/>
        <v>0</v>
      </c>
      <c r="AJ44" s="251">
        <f t="shared" si="67"/>
        <v>0</v>
      </c>
      <c r="AK44" s="251">
        <f t="shared" si="68"/>
        <v>0</v>
      </c>
      <c r="AL44" s="251">
        <f t="shared" si="69"/>
        <v>0</v>
      </c>
      <c r="AM44" s="251">
        <f t="shared" si="70"/>
        <v>0</v>
      </c>
      <c r="AN44" s="251">
        <f t="shared" si="71"/>
        <v>0</v>
      </c>
      <c r="AO44" s="251">
        <f t="shared" si="72"/>
        <v>0</v>
      </c>
      <c r="AP44" s="251">
        <f t="shared" si="21"/>
        <v>0</v>
      </c>
      <c r="AQ44" s="251">
        <f t="shared" si="22"/>
        <v>0</v>
      </c>
      <c r="AR44" s="251">
        <f t="shared" si="23"/>
        <v>0</v>
      </c>
      <c r="AS44" s="251">
        <f t="shared" si="24"/>
        <v>0</v>
      </c>
      <c r="AT44" s="251">
        <f t="shared" si="73"/>
        <v>0</v>
      </c>
      <c r="AU44" s="251">
        <f t="shared" si="74"/>
        <v>0</v>
      </c>
      <c r="AV44" s="251">
        <f t="shared" si="25"/>
        <v>0</v>
      </c>
      <c r="AW44" s="251">
        <f t="shared" si="26"/>
        <v>0</v>
      </c>
      <c r="AX44" s="251">
        <f t="shared" si="27"/>
        <v>0</v>
      </c>
      <c r="AY44" s="251">
        <f t="shared" si="28"/>
        <v>0</v>
      </c>
      <c r="AZ44" s="251">
        <f t="shared" si="29"/>
        <v>0</v>
      </c>
      <c r="BA44" s="251">
        <f t="shared" si="30"/>
        <v>0</v>
      </c>
      <c r="BB44" s="251">
        <f t="shared" si="31"/>
        <v>0</v>
      </c>
      <c r="BC44" s="251">
        <f t="shared" si="32"/>
        <v>0</v>
      </c>
      <c r="BD44" s="251">
        <f t="shared" si="33"/>
        <v>0</v>
      </c>
      <c r="BE44" s="251">
        <f t="shared" si="34"/>
        <v>0</v>
      </c>
      <c r="BF44" s="251">
        <f t="shared" si="35"/>
        <v>0</v>
      </c>
      <c r="BG44" s="251">
        <f t="shared" si="36"/>
        <v>0</v>
      </c>
      <c r="BH44" s="251">
        <f t="shared" si="75"/>
        <v>0</v>
      </c>
      <c r="BI44" s="251">
        <f t="shared" si="76"/>
        <v>0</v>
      </c>
      <c r="BJ44" s="251">
        <f t="shared" si="37"/>
        <v>0</v>
      </c>
      <c r="BK44" s="251">
        <f t="shared" si="38"/>
        <v>0</v>
      </c>
      <c r="BL44" s="251">
        <f t="shared" si="39"/>
        <v>0</v>
      </c>
      <c r="BM44" s="251">
        <f t="shared" si="40"/>
        <v>0</v>
      </c>
      <c r="BN44" s="251">
        <f t="shared" si="41"/>
        <v>0</v>
      </c>
      <c r="BO44" s="251">
        <f t="shared" si="42"/>
        <v>0</v>
      </c>
      <c r="BP44" s="251">
        <f t="shared" si="77"/>
        <v>0</v>
      </c>
      <c r="BQ44" s="251">
        <f t="shared" si="78"/>
        <v>0</v>
      </c>
      <c r="BR44" s="251">
        <f t="shared" si="43"/>
        <v>0</v>
      </c>
      <c r="BS44" s="251">
        <f t="shared" si="44"/>
        <v>0</v>
      </c>
      <c r="BT44" s="251">
        <f t="shared" si="79"/>
        <v>0</v>
      </c>
      <c r="BU44" s="251">
        <f t="shared" si="80"/>
        <v>0</v>
      </c>
      <c r="BV44" s="251">
        <f t="shared" si="81"/>
        <v>0</v>
      </c>
      <c r="BW44" s="251">
        <f t="shared" si="82"/>
        <v>0</v>
      </c>
      <c r="BX44" s="251">
        <f t="shared" si="45"/>
        <v>0</v>
      </c>
      <c r="BY44" s="251">
        <f t="shared" si="46"/>
        <v>0</v>
      </c>
      <c r="BZ44" s="251">
        <f t="shared" si="47"/>
        <v>0</v>
      </c>
      <c r="CA44" s="251">
        <f t="shared" si="48"/>
        <v>0</v>
      </c>
      <c r="CB44" s="251">
        <f t="shared" si="49"/>
        <v>0</v>
      </c>
      <c r="CC44" s="251">
        <f t="shared" si="50"/>
        <v>0</v>
      </c>
      <c r="CD44" s="251">
        <f t="shared" si="83"/>
        <v>0</v>
      </c>
      <c r="CE44" s="251">
        <f t="shared" si="84"/>
        <v>0</v>
      </c>
      <c r="CF44" s="251">
        <f t="shared" si="85"/>
        <v>0</v>
      </c>
      <c r="CG44" s="251">
        <f t="shared" si="86"/>
        <v>0</v>
      </c>
      <c r="CH44" s="251">
        <f t="shared" si="51"/>
        <v>0</v>
      </c>
      <c r="CI44" s="251">
        <f t="shared" si="52"/>
        <v>0</v>
      </c>
      <c r="CJ44" s="251">
        <f t="shared" si="87"/>
        <v>0</v>
      </c>
      <c r="CK44" s="251">
        <f t="shared" si="88"/>
        <v>0</v>
      </c>
      <c r="CL44" s="251">
        <f t="shared" si="53"/>
        <v>0</v>
      </c>
      <c r="CM44" s="251">
        <f t="shared" si="54"/>
        <v>0</v>
      </c>
      <c r="CN44" s="251">
        <f t="shared" si="55"/>
        <v>0</v>
      </c>
      <c r="CO44" s="251">
        <f t="shared" si="56"/>
        <v>0</v>
      </c>
      <c r="CP44" s="251">
        <f t="shared" si="89"/>
        <v>0</v>
      </c>
      <c r="CQ44" s="251">
        <f t="shared" si="90"/>
        <v>0</v>
      </c>
      <c r="CR44" s="251">
        <f t="shared" si="91"/>
        <v>0</v>
      </c>
      <c r="CS44" s="251">
        <f t="shared" ca="1" si="92"/>
        <v>0</v>
      </c>
      <c r="CT44" s="251">
        <f t="shared" si="57"/>
        <v>0</v>
      </c>
      <c r="CU44" s="251">
        <f t="shared" si="58"/>
        <v>0</v>
      </c>
      <c r="CV44" s="251">
        <f t="shared" si="59"/>
        <v>0</v>
      </c>
      <c r="CW44" s="251">
        <f t="shared" si="60"/>
        <v>0</v>
      </c>
      <c r="CX44" s="251">
        <f t="shared" si="93"/>
        <v>0</v>
      </c>
      <c r="CY44" s="251">
        <f t="shared" si="94"/>
        <v>0</v>
      </c>
      <c r="CZ44" s="251">
        <f t="shared" ca="1" si="95"/>
        <v>0</v>
      </c>
      <c r="DA44" s="251">
        <f t="shared" si="96"/>
        <v>0</v>
      </c>
    </row>
    <row r="45" spans="1:105" s="248" customFormat="1" ht="15" customHeight="1">
      <c r="A45" s="58">
        <f t="array" aca="1" ref="A45" ca="1">IF(C45&lt;&gt;0,SUM(($C$11:C45&lt;&gt;0)*1),"")</f>
        <v>7</v>
      </c>
      <c r="B45" s="249">
        <v>42551</v>
      </c>
      <c r="C45" s="252" t="s">
        <v>115</v>
      </c>
      <c r="D45" s="252">
        <f t="shared" si="98"/>
        <v>42551</v>
      </c>
      <c r="E45" s="736" t="s">
        <v>211</v>
      </c>
      <c r="F45" s="737"/>
      <c r="G45" s="738" t="s">
        <v>109</v>
      </c>
      <c r="H45" s="738" t="s">
        <v>94</v>
      </c>
      <c r="I45" s="58">
        <f t="shared" ca="1" si="97"/>
        <v>7</v>
      </c>
      <c r="J45" s="251">
        <f t="shared" si="61"/>
        <v>0</v>
      </c>
      <c r="K45" s="251">
        <f t="shared" si="62"/>
        <v>0</v>
      </c>
      <c r="L45" s="251">
        <f t="shared" si="1"/>
        <v>0</v>
      </c>
      <c r="M45" s="251">
        <f t="shared" si="2"/>
        <v>0</v>
      </c>
      <c r="N45" s="251">
        <f t="shared" si="3"/>
        <v>0</v>
      </c>
      <c r="O45" s="251">
        <f t="shared" si="4"/>
        <v>0</v>
      </c>
      <c r="P45" s="251">
        <f t="shared" si="5"/>
        <v>0</v>
      </c>
      <c r="Q45" s="251">
        <f t="shared" si="6"/>
        <v>0</v>
      </c>
      <c r="R45" s="251">
        <f t="shared" si="7"/>
        <v>0</v>
      </c>
      <c r="S45" s="251">
        <f t="shared" si="8"/>
        <v>0</v>
      </c>
      <c r="T45" s="251">
        <f t="shared" si="9"/>
        <v>0</v>
      </c>
      <c r="U45" s="251">
        <f t="shared" si="10"/>
        <v>0</v>
      </c>
      <c r="V45" s="251">
        <f t="shared" si="11"/>
        <v>0</v>
      </c>
      <c r="W45" s="251">
        <f t="shared" si="12"/>
        <v>0</v>
      </c>
      <c r="X45" s="251">
        <f t="shared" si="13"/>
        <v>0</v>
      </c>
      <c r="Y45" s="251">
        <f t="shared" si="14"/>
        <v>0</v>
      </c>
      <c r="Z45" s="251">
        <f t="shared" si="15"/>
        <v>0</v>
      </c>
      <c r="AA45" s="251">
        <f t="shared" si="16"/>
        <v>0</v>
      </c>
      <c r="AB45" s="251">
        <f t="shared" si="63"/>
        <v>0</v>
      </c>
      <c r="AC45" s="251">
        <f t="shared" si="64"/>
        <v>0</v>
      </c>
      <c r="AD45" s="251">
        <f t="shared" si="17"/>
        <v>0</v>
      </c>
      <c r="AE45" s="251">
        <f t="shared" si="18"/>
        <v>0</v>
      </c>
      <c r="AF45" s="251">
        <f t="shared" si="19"/>
        <v>0</v>
      </c>
      <c r="AG45" s="251">
        <f t="shared" si="20"/>
        <v>0</v>
      </c>
      <c r="AH45" s="251">
        <f t="shared" si="65"/>
        <v>0</v>
      </c>
      <c r="AI45" s="251">
        <f t="shared" si="66"/>
        <v>0</v>
      </c>
      <c r="AJ45" s="251">
        <f t="shared" si="67"/>
        <v>0</v>
      </c>
      <c r="AK45" s="251">
        <f t="shared" si="68"/>
        <v>0</v>
      </c>
      <c r="AL45" s="251">
        <f t="shared" si="69"/>
        <v>0</v>
      </c>
      <c r="AM45" s="251">
        <f t="shared" si="70"/>
        <v>0</v>
      </c>
      <c r="AN45" s="251">
        <f t="shared" si="71"/>
        <v>0</v>
      </c>
      <c r="AO45" s="251">
        <f t="shared" si="72"/>
        <v>0</v>
      </c>
      <c r="AP45" s="251">
        <f t="shared" si="21"/>
        <v>0</v>
      </c>
      <c r="AQ45" s="251">
        <f t="shared" si="22"/>
        <v>0</v>
      </c>
      <c r="AR45" s="251">
        <f t="shared" si="23"/>
        <v>0</v>
      </c>
      <c r="AS45" s="251">
        <f t="shared" si="24"/>
        <v>0</v>
      </c>
      <c r="AT45" s="251">
        <f t="shared" si="73"/>
        <v>0</v>
      </c>
      <c r="AU45" s="251">
        <f t="shared" si="74"/>
        <v>0</v>
      </c>
      <c r="AV45" s="251">
        <f t="shared" si="25"/>
        <v>0</v>
      </c>
      <c r="AW45" s="251">
        <f t="shared" si="26"/>
        <v>0</v>
      </c>
      <c r="AX45" s="251">
        <f t="shared" si="27"/>
        <v>0</v>
      </c>
      <c r="AY45" s="251">
        <f t="shared" si="28"/>
        <v>0</v>
      </c>
      <c r="AZ45" s="251">
        <f t="shared" si="29"/>
        <v>0</v>
      </c>
      <c r="BA45" s="251">
        <f t="shared" si="30"/>
        <v>0</v>
      </c>
      <c r="BB45" s="251">
        <f t="shared" si="31"/>
        <v>0</v>
      </c>
      <c r="BC45" s="251">
        <f t="shared" si="32"/>
        <v>0</v>
      </c>
      <c r="BD45" s="251">
        <f t="shared" si="33"/>
        <v>0</v>
      </c>
      <c r="BE45" s="251">
        <f t="shared" si="34"/>
        <v>0</v>
      </c>
      <c r="BF45" s="251">
        <f t="shared" si="35"/>
        <v>0</v>
      </c>
      <c r="BG45" s="251">
        <f t="shared" si="36"/>
        <v>0</v>
      </c>
      <c r="BH45" s="251">
        <f t="shared" si="75"/>
        <v>0</v>
      </c>
      <c r="BI45" s="251">
        <f t="shared" si="76"/>
        <v>0</v>
      </c>
      <c r="BJ45" s="251">
        <f t="shared" si="37"/>
        <v>0</v>
      </c>
      <c r="BK45" s="251">
        <f t="shared" si="38"/>
        <v>0</v>
      </c>
      <c r="BL45" s="251">
        <f t="shared" si="39"/>
        <v>0</v>
      </c>
      <c r="BM45" s="251">
        <f t="shared" si="40"/>
        <v>0</v>
      </c>
      <c r="BN45" s="251">
        <f t="shared" si="41"/>
        <v>0</v>
      </c>
      <c r="BO45" s="251">
        <f t="shared" si="42"/>
        <v>0</v>
      </c>
      <c r="BP45" s="251">
        <f t="shared" si="77"/>
        <v>0</v>
      </c>
      <c r="BQ45" s="251">
        <f t="shared" si="78"/>
        <v>0</v>
      </c>
      <c r="BR45" s="251">
        <f t="shared" si="43"/>
        <v>0</v>
      </c>
      <c r="BS45" s="251">
        <f t="shared" si="44"/>
        <v>0</v>
      </c>
      <c r="BT45" s="251">
        <f t="shared" si="79"/>
        <v>0</v>
      </c>
      <c r="BU45" s="251">
        <f t="shared" si="80"/>
        <v>0</v>
      </c>
      <c r="BV45" s="251">
        <f t="shared" si="81"/>
        <v>0</v>
      </c>
      <c r="BW45" s="251">
        <f t="shared" si="82"/>
        <v>0</v>
      </c>
      <c r="BX45" s="251">
        <f t="shared" si="45"/>
        <v>0</v>
      </c>
      <c r="BY45" s="251">
        <f t="shared" si="46"/>
        <v>0</v>
      </c>
      <c r="BZ45" s="251">
        <f t="shared" si="47"/>
        <v>0</v>
      </c>
      <c r="CA45" s="251">
        <f t="shared" si="48"/>
        <v>0</v>
      </c>
      <c r="CB45" s="251">
        <f t="shared" si="49"/>
        <v>0</v>
      </c>
      <c r="CC45" s="251">
        <f t="shared" si="50"/>
        <v>0</v>
      </c>
      <c r="CD45" s="251">
        <f t="shared" si="83"/>
        <v>0</v>
      </c>
      <c r="CE45" s="251">
        <f t="shared" si="84"/>
        <v>0</v>
      </c>
      <c r="CF45" s="251">
        <f t="shared" si="85"/>
        <v>0</v>
      </c>
      <c r="CG45" s="251">
        <f t="shared" si="86"/>
        <v>0</v>
      </c>
      <c r="CH45" s="251">
        <f t="shared" si="51"/>
        <v>0</v>
      </c>
      <c r="CI45" s="251">
        <f t="shared" si="52"/>
        <v>0</v>
      </c>
      <c r="CJ45" s="251">
        <f t="shared" si="87"/>
        <v>0</v>
      </c>
      <c r="CK45" s="251">
        <f t="shared" si="88"/>
        <v>0</v>
      </c>
      <c r="CL45" s="251">
        <f t="shared" si="53"/>
        <v>0</v>
      </c>
      <c r="CM45" s="251">
        <f t="shared" si="54"/>
        <v>0</v>
      </c>
      <c r="CN45" s="251">
        <f t="shared" si="55"/>
        <v>0</v>
      </c>
      <c r="CO45" s="251">
        <f t="shared" si="56"/>
        <v>0</v>
      </c>
      <c r="CP45" s="251">
        <f t="shared" si="89"/>
        <v>0</v>
      </c>
      <c r="CQ45" s="251">
        <f t="shared" si="90"/>
        <v>0</v>
      </c>
      <c r="CR45" s="251">
        <f t="shared" si="91"/>
        <v>0</v>
      </c>
      <c r="CS45" s="251">
        <f t="shared" si="92"/>
        <v>0</v>
      </c>
      <c r="CT45" s="251">
        <f t="shared" si="57"/>
        <v>0</v>
      </c>
      <c r="CU45" s="251">
        <f t="shared" si="58"/>
        <v>0</v>
      </c>
      <c r="CV45" s="251">
        <f t="shared" si="59"/>
        <v>0</v>
      </c>
      <c r="CW45" s="251">
        <f t="shared" si="60"/>
        <v>0</v>
      </c>
      <c r="CX45" s="251">
        <f t="shared" si="93"/>
        <v>0</v>
      </c>
      <c r="CY45" s="251">
        <f t="shared" si="94"/>
        <v>0</v>
      </c>
      <c r="CZ45" s="251">
        <f t="shared" si="95"/>
        <v>0</v>
      </c>
      <c r="DA45" s="251">
        <f t="shared" si="96"/>
        <v>0</v>
      </c>
    </row>
    <row r="46" spans="1:105" s="248" customFormat="1" ht="15" customHeight="1">
      <c r="A46" s="58">
        <f t="array" aca="1" ref="A46" ca="1">IF(C46&lt;&gt;0,SUM(($C$11:C46&lt;&gt;0)*1),"")</f>
        <v>8</v>
      </c>
      <c r="B46" s="249">
        <v>42551</v>
      </c>
      <c r="C46" s="252" t="s">
        <v>115</v>
      </c>
      <c r="D46" s="252">
        <f t="shared" si="98"/>
        <v>42551</v>
      </c>
      <c r="E46" s="736" t="s">
        <v>118</v>
      </c>
      <c r="F46" s="737">
        <f ca="1">CI52</f>
        <v>0</v>
      </c>
      <c r="G46" s="738" t="s">
        <v>43</v>
      </c>
      <c r="H46" s="738" t="s">
        <v>109</v>
      </c>
      <c r="I46" s="58">
        <f t="shared" ca="1" si="97"/>
        <v>8</v>
      </c>
      <c r="J46" s="251">
        <f t="shared" si="61"/>
        <v>0</v>
      </c>
      <c r="K46" s="251">
        <f t="shared" si="62"/>
        <v>0</v>
      </c>
      <c r="L46" s="251">
        <f t="shared" si="1"/>
        <v>0</v>
      </c>
      <c r="M46" s="251">
        <f t="shared" si="2"/>
        <v>0</v>
      </c>
      <c r="N46" s="251">
        <f t="shared" si="3"/>
        <v>0</v>
      </c>
      <c r="O46" s="251">
        <f t="shared" si="4"/>
        <v>0</v>
      </c>
      <c r="P46" s="251">
        <f t="shared" si="5"/>
        <v>0</v>
      </c>
      <c r="Q46" s="251">
        <f t="shared" si="6"/>
        <v>0</v>
      </c>
      <c r="R46" s="251">
        <f t="shared" si="7"/>
        <v>0</v>
      </c>
      <c r="S46" s="251">
        <f t="shared" si="8"/>
        <v>0</v>
      </c>
      <c r="T46" s="251">
        <f t="shared" si="9"/>
        <v>0</v>
      </c>
      <c r="U46" s="251">
        <f t="shared" si="10"/>
        <v>0</v>
      </c>
      <c r="V46" s="251">
        <f t="shared" si="11"/>
        <v>0</v>
      </c>
      <c r="W46" s="251">
        <f t="shared" si="12"/>
        <v>0</v>
      </c>
      <c r="X46" s="251">
        <f t="shared" si="13"/>
        <v>0</v>
      </c>
      <c r="Y46" s="251">
        <f t="shared" si="14"/>
        <v>0</v>
      </c>
      <c r="Z46" s="251">
        <f t="shared" si="15"/>
        <v>0</v>
      </c>
      <c r="AA46" s="251">
        <f t="shared" si="16"/>
        <v>0</v>
      </c>
      <c r="AB46" s="251">
        <f t="shared" si="63"/>
        <v>0</v>
      </c>
      <c r="AC46" s="251">
        <f t="shared" si="64"/>
        <v>0</v>
      </c>
      <c r="AD46" s="251">
        <f t="shared" si="17"/>
        <v>0</v>
      </c>
      <c r="AE46" s="251">
        <f t="shared" si="18"/>
        <v>0</v>
      </c>
      <c r="AF46" s="251">
        <f t="shared" si="19"/>
        <v>0</v>
      </c>
      <c r="AG46" s="251">
        <f t="shared" si="20"/>
        <v>0</v>
      </c>
      <c r="AH46" s="251">
        <f t="shared" si="65"/>
        <v>0</v>
      </c>
      <c r="AI46" s="251">
        <f t="shared" si="66"/>
        <v>0</v>
      </c>
      <c r="AJ46" s="251">
        <f t="shared" si="67"/>
        <v>0</v>
      </c>
      <c r="AK46" s="251">
        <f t="shared" si="68"/>
        <v>0</v>
      </c>
      <c r="AL46" s="251">
        <f t="shared" si="69"/>
        <v>0</v>
      </c>
      <c r="AM46" s="251">
        <f t="shared" si="70"/>
        <v>0</v>
      </c>
      <c r="AN46" s="251">
        <f t="shared" si="71"/>
        <v>0</v>
      </c>
      <c r="AO46" s="251">
        <f t="shared" si="72"/>
        <v>0</v>
      </c>
      <c r="AP46" s="251">
        <f t="shared" si="21"/>
        <v>0</v>
      </c>
      <c r="AQ46" s="251">
        <f t="shared" si="22"/>
        <v>0</v>
      </c>
      <c r="AR46" s="251">
        <f t="shared" si="23"/>
        <v>0</v>
      </c>
      <c r="AS46" s="251">
        <f t="shared" si="24"/>
        <v>0</v>
      </c>
      <c r="AT46" s="251">
        <f t="shared" si="73"/>
        <v>0</v>
      </c>
      <c r="AU46" s="251">
        <f t="shared" si="74"/>
        <v>0</v>
      </c>
      <c r="AV46" s="251">
        <f t="shared" si="25"/>
        <v>0</v>
      </c>
      <c r="AW46" s="251">
        <f t="shared" si="26"/>
        <v>0</v>
      </c>
      <c r="AX46" s="251">
        <f t="shared" si="27"/>
        <v>0</v>
      </c>
      <c r="AY46" s="251">
        <f t="shared" si="28"/>
        <v>0</v>
      </c>
      <c r="AZ46" s="251">
        <f t="shared" si="29"/>
        <v>0</v>
      </c>
      <c r="BA46" s="251">
        <f t="shared" si="30"/>
        <v>0</v>
      </c>
      <c r="BB46" s="251">
        <f t="shared" si="31"/>
        <v>0</v>
      </c>
      <c r="BC46" s="251">
        <f t="shared" si="32"/>
        <v>0</v>
      </c>
      <c r="BD46" s="251">
        <f t="shared" si="33"/>
        <v>0</v>
      </c>
      <c r="BE46" s="251">
        <f t="shared" si="34"/>
        <v>0</v>
      </c>
      <c r="BF46" s="251">
        <f t="shared" si="35"/>
        <v>0</v>
      </c>
      <c r="BG46" s="251">
        <f t="shared" si="36"/>
        <v>0</v>
      </c>
      <c r="BH46" s="251">
        <f t="shared" si="75"/>
        <v>0</v>
      </c>
      <c r="BI46" s="251">
        <f t="shared" si="76"/>
        <v>0</v>
      </c>
      <c r="BJ46" s="251">
        <f t="shared" si="37"/>
        <v>0</v>
      </c>
      <c r="BK46" s="251">
        <f t="shared" si="38"/>
        <v>0</v>
      </c>
      <c r="BL46" s="251">
        <f t="shared" si="39"/>
        <v>0</v>
      </c>
      <c r="BM46" s="251">
        <f t="shared" si="40"/>
        <v>0</v>
      </c>
      <c r="BN46" s="251">
        <f t="shared" si="41"/>
        <v>0</v>
      </c>
      <c r="BO46" s="251">
        <f t="shared" si="42"/>
        <v>0</v>
      </c>
      <c r="BP46" s="251">
        <f t="shared" si="77"/>
        <v>0</v>
      </c>
      <c r="BQ46" s="251">
        <f t="shared" si="78"/>
        <v>0</v>
      </c>
      <c r="BR46" s="251">
        <f t="shared" si="43"/>
        <v>0</v>
      </c>
      <c r="BS46" s="251">
        <f t="shared" si="44"/>
        <v>0</v>
      </c>
      <c r="BT46" s="251">
        <f t="shared" si="79"/>
        <v>0</v>
      </c>
      <c r="BU46" s="251">
        <f t="shared" si="80"/>
        <v>0</v>
      </c>
      <c r="BV46" s="251">
        <f t="shared" si="81"/>
        <v>0</v>
      </c>
      <c r="BW46" s="251">
        <f t="shared" si="82"/>
        <v>0</v>
      </c>
      <c r="BX46" s="251">
        <f t="shared" si="45"/>
        <v>0</v>
      </c>
      <c r="BY46" s="251">
        <f t="shared" si="46"/>
        <v>0</v>
      </c>
      <c r="BZ46" s="251">
        <f t="shared" si="47"/>
        <v>0</v>
      </c>
      <c r="CA46" s="251">
        <f t="shared" si="48"/>
        <v>0</v>
      </c>
      <c r="CB46" s="251">
        <f t="shared" si="49"/>
        <v>0</v>
      </c>
      <c r="CC46" s="251">
        <f t="shared" si="50"/>
        <v>0</v>
      </c>
      <c r="CD46" s="251">
        <f t="shared" si="83"/>
        <v>0</v>
      </c>
      <c r="CE46" s="251">
        <f t="shared" si="84"/>
        <v>0</v>
      </c>
      <c r="CF46" s="251">
        <f t="shared" si="85"/>
        <v>0</v>
      </c>
      <c r="CG46" s="251">
        <f t="shared" si="86"/>
        <v>0</v>
      </c>
      <c r="CH46" s="251">
        <f t="shared" ca="1" si="51"/>
        <v>0</v>
      </c>
      <c r="CI46" s="251">
        <f t="shared" si="52"/>
        <v>0</v>
      </c>
      <c r="CJ46" s="251">
        <f t="shared" si="87"/>
        <v>0</v>
      </c>
      <c r="CK46" s="251">
        <f t="shared" si="88"/>
        <v>0</v>
      </c>
      <c r="CL46" s="251">
        <f t="shared" si="53"/>
        <v>0</v>
      </c>
      <c r="CM46" s="251">
        <f t="shared" si="54"/>
        <v>0</v>
      </c>
      <c r="CN46" s="251">
        <f t="shared" si="55"/>
        <v>0</v>
      </c>
      <c r="CO46" s="251">
        <f t="shared" si="56"/>
        <v>0</v>
      </c>
      <c r="CP46" s="251">
        <f t="shared" si="89"/>
        <v>0</v>
      </c>
      <c r="CQ46" s="251">
        <f t="shared" si="90"/>
        <v>0</v>
      </c>
      <c r="CR46" s="251">
        <f t="shared" si="91"/>
        <v>0</v>
      </c>
      <c r="CS46" s="251">
        <f t="shared" si="92"/>
        <v>0</v>
      </c>
      <c r="CT46" s="251">
        <f t="shared" si="57"/>
        <v>0</v>
      </c>
      <c r="CU46" s="251">
        <f t="shared" si="58"/>
        <v>0</v>
      </c>
      <c r="CV46" s="251">
        <f t="shared" si="59"/>
        <v>0</v>
      </c>
      <c r="CW46" s="251">
        <f t="shared" si="60"/>
        <v>0</v>
      </c>
      <c r="CX46" s="251">
        <f t="shared" si="93"/>
        <v>0</v>
      </c>
      <c r="CY46" s="251">
        <f t="shared" si="94"/>
        <v>0</v>
      </c>
      <c r="CZ46" s="251">
        <f t="shared" si="95"/>
        <v>0</v>
      </c>
      <c r="DA46" s="251">
        <f t="shared" ca="1" si="96"/>
        <v>0</v>
      </c>
    </row>
    <row r="47" spans="1:105" s="248" customFormat="1" ht="15" customHeight="1">
      <c r="A47" s="58">
        <f t="array" aca="1" ref="A47" ca="1">IF(C47&lt;&gt;0,SUM(($C$11:C47&lt;&gt;0)*1),"")</f>
        <v>9</v>
      </c>
      <c r="B47" s="249">
        <v>42551</v>
      </c>
      <c r="C47" s="252" t="s">
        <v>115</v>
      </c>
      <c r="D47" s="252">
        <f t="shared" si="98"/>
        <v>42551</v>
      </c>
      <c r="E47" s="736" t="s">
        <v>593</v>
      </c>
      <c r="F47" s="737">
        <f ca="1">CE52</f>
        <v>0</v>
      </c>
      <c r="G47" s="738" t="s">
        <v>286</v>
      </c>
      <c r="H47" s="738" t="s">
        <v>109</v>
      </c>
      <c r="I47" s="58">
        <f t="shared" ca="1" si="97"/>
        <v>9</v>
      </c>
      <c r="J47" s="251">
        <f t="shared" si="61"/>
        <v>0</v>
      </c>
      <c r="K47" s="251">
        <f t="shared" si="62"/>
        <v>0</v>
      </c>
      <c r="L47" s="251">
        <f t="shared" si="1"/>
        <v>0</v>
      </c>
      <c r="M47" s="251">
        <f t="shared" si="2"/>
        <v>0</v>
      </c>
      <c r="N47" s="251">
        <f t="shared" si="3"/>
        <v>0</v>
      </c>
      <c r="O47" s="251">
        <f t="shared" si="4"/>
        <v>0</v>
      </c>
      <c r="P47" s="251">
        <f t="shared" si="5"/>
        <v>0</v>
      </c>
      <c r="Q47" s="251">
        <f t="shared" si="6"/>
        <v>0</v>
      </c>
      <c r="R47" s="251">
        <f t="shared" si="7"/>
        <v>0</v>
      </c>
      <c r="S47" s="251">
        <f t="shared" si="8"/>
        <v>0</v>
      </c>
      <c r="T47" s="251">
        <f t="shared" si="9"/>
        <v>0</v>
      </c>
      <c r="U47" s="251">
        <f t="shared" si="10"/>
        <v>0</v>
      </c>
      <c r="V47" s="251">
        <f t="shared" si="11"/>
        <v>0</v>
      </c>
      <c r="W47" s="251">
        <f t="shared" si="12"/>
        <v>0</v>
      </c>
      <c r="X47" s="251">
        <f t="shared" si="13"/>
        <v>0</v>
      </c>
      <c r="Y47" s="251">
        <f t="shared" si="14"/>
        <v>0</v>
      </c>
      <c r="Z47" s="251">
        <f t="shared" si="15"/>
        <v>0</v>
      </c>
      <c r="AA47" s="251">
        <f t="shared" si="16"/>
        <v>0</v>
      </c>
      <c r="AB47" s="251">
        <f t="shared" si="63"/>
        <v>0</v>
      </c>
      <c r="AC47" s="251">
        <f t="shared" si="64"/>
        <v>0</v>
      </c>
      <c r="AD47" s="251">
        <f t="shared" si="17"/>
        <v>0</v>
      </c>
      <c r="AE47" s="251">
        <f t="shared" si="18"/>
        <v>0</v>
      </c>
      <c r="AF47" s="251">
        <f t="shared" si="19"/>
        <v>0</v>
      </c>
      <c r="AG47" s="251">
        <f t="shared" si="20"/>
        <v>0</v>
      </c>
      <c r="AH47" s="251">
        <f t="shared" si="65"/>
        <v>0</v>
      </c>
      <c r="AI47" s="251">
        <f t="shared" si="66"/>
        <v>0</v>
      </c>
      <c r="AJ47" s="251">
        <f t="shared" si="67"/>
        <v>0</v>
      </c>
      <c r="AK47" s="251">
        <f t="shared" si="68"/>
        <v>0</v>
      </c>
      <c r="AL47" s="251">
        <f t="shared" si="69"/>
        <v>0</v>
      </c>
      <c r="AM47" s="251">
        <f t="shared" si="70"/>
        <v>0</v>
      </c>
      <c r="AN47" s="251">
        <f t="shared" si="71"/>
        <v>0</v>
      </c>
      <c r="AO47" s="251">
        <f t="shared" si="72"/>
        <v>0</v>
      </c>
      <c r="AP47" s="251">
        <f t="shared" si="21"/>
        <v>0</v>
      </c>
      <c r="AQ47" s="251">
        <f t="shared" si="22"/>
        <v>0</v>
      </c>
      <c r="AR47" s="251">
        <f t="shared" si="23"/>
        <v>0</v>
      </c>
      <c r="AS47" s="251">
        <f t="shared" si="24"/>
        <v>0</v>
      </c>
      <c r="AT47" s="251">
        <f t="shared" si="73"/>
        <v>0</v>
      </c>
      <c r="AU47" s="251">
        <f t="shared" si="74"/>
        <v>0</v>
      </c>
      <c r="AV47" s="251">
        <f t="shared" si="25"/>
        <v>0</v>
      </c>
      <c r="AW47" s="251">
        <f t="shared" si="26"/>
        <v>0</v>
      </c>
      <c r="AX47" s="251">
        <f t="shared" si="27"/>
        <v>0</v>
      </c>
      <c r="AY47" s="251">
        <f t="shared" si="28"/>
        <v>0</v>
      </c>
      <c r="AZ47" s="251">
        <f t="shared" si="29"/>
        <v>0</v>
      </c>
      <c r="BA47" s="251">
        <f t="shared" si="30"/>
        <v>0</v>
      </c>
      <c r="BB47" s="251">
        <f t="shared" si="31"/>
        <v>0</v>
      </c>
      <c r="BC47" s="251">
        <f t="shared" si="32"/>
        <v>0</v>
      </c>
      <c r="BD47" s="251">
        <f t="shared" si="33"/>
        <v>0</v>
      </c>
      <c r="BE47" s="251">
        <f t="shared" si="34"/>
        <v>0</v>
      </c>
      <c r="BF47" s="251">
        <f t="shared" si="35"/>
        <v>0</v>
      </c>
      <c r="BG47" s="251">
        <f t="shared" si="36"/>
        <v>0</v>
      </c>
      <c r="BH47" s="251">
        <f t="shared" si="75"/>
        <v>0</v>
      </c>
      <c r="BI47" s="251">
        <f t="shared" si="76"/>
        <v>0</v>
      </c>
      <c r="BJ47" s="251">
        <f t="shared" si="37"/>
        <v>0</v>
      </c>
      <c r="BK47" s="251">
        <f t="shared" si="38"/>
        <v>0</v>
      </c>
      <c r="BL47" s="251">
        <f t="shared" si="39"/>
        <v>0</v>
      </c>
      <c r="BM47" s="251">
        <f t="shared" si="40"/>
        <v>0</v>
      </c>
      <c r="BN47" s="251">
        <f t="shared" si="41"/>
        <v>0</v>
      </c>
      <c r="BO47" s="251">
        <f t="shared" si="42"/>
        <v>0</v>
      </c>
      <c r="BP47" s="251">
        <f t="shared" si="77"/>
        <v>0</v>
      </c>
      <c r="BQ47" s="251">
        <f t="shared" si="78"/>
        <v>0</v>
      </c>
      <c r="BR47" s="251">
        <f t="shared" si="43"/>
        <v>0</v>
      </c>
      <c r="BS47" s="251">
        <f t="shared" si="44"/>
        <v>0</v>
      </c>
      <c r="BT47" s="251">
        <f t="shared" si="79"/>
        <v>0</v>
      </c>
      <c r="BU47" s="251">
        <f t="shared" si="80"/>
        <v>0</v>
      </c>
      <c r="BV47" s="251">
        <f t="shared" si="81"/>
        <v>0</v>
      </c>
      <c r="BW47" s="251">
        <f t="shared" si="82"/>
        <v>0</v>
      </c>
      <c r="BX47" s="251">
        <f t="shared" si="45"/>
        <v>0</v>
      </c>
      <c r="BY47" s="251">
        <f t="shared" si="46"/>
        <v>0</v>
      </c>
      <c r="BZ47" s="251">
        <f t="shared" si="47"/>
        <v>0</v>
      </c>
      <c r="CA47" s="251">
        <f t="shared" si="48"/>
        <v>0</v>
      </c>
      <c r="CB47" s="251">
        <f t="shared" si="49"/>
        <v>0</v>
      </c>
      <c r="CC47" s="251">
        <f t="shared" si="50"/>
        <v>0</v>
      </c>
      <c r="CD47" s="251">
        <f t="shared" ca="1" si="83"/>
        <v>0</v>
      </c>
      <c r="CE47" s="251">
        <f t="shared" si="84"/>
        <v>0</v>
      </c>
      <c r="CF47" s="251">
        <f t="shared" si="85"/>
        <v>0</v>
      </c>
      <c r="CG47" s="251">
        <f t="shared" si="86"/>
        <v>0</v>
      </c>
      <c r="CH47" s="251">
        <f t="shared" si="51"/>
        <v>0</v>
      </c>
      <c r="CI47" s="251">
        <f t="shared" si="52"/>
        <v>0</v>
      </c>
      <c r="CJ47" s="251">
        <f t="shared" si="87"/>
        <v>0</v>
      </c>
      <c r="CK47" s="251">
        <f t="shared" si="88"/>
        <v>0</v>
      </c>
      <c r="CL47" s="251">
        <f t="shared" si="53"/>
        <v>0</v>
      </c>
      <c r="CM47" s="251">
        <f t="shared" si="54"/>
        <v>0</v>
      </c>
      <c r="CN47" s="251">
        <f t="shared" si="55"/>
        <v>0</v>
      </c>
      <c r="CO47" s="251">
        <f t="shared" si="56"/>
        <v>0</v>
      </c>
      <c r="CP47" s="251">
        <f t="shared" si="89"/>
        <v>0</v>
      </c>
      <c r="CQ47" s="251">
        <f t="shared" si="90"/>
        <v>0</v>
      </c>
      <c r="CR47" s="251">
        <f t="shared" si="91"/>
        <v>0</v>
      </c>
      <c r="CS47" s="251">
        <f t="shared" si="92"/>
        <v>0</v>
      </c>
      <c r="CT47" s="251">
        <f t="shared" si="57"/>
        <v>0</v>
      </c>
      <c r="CU47" s="251">
        <f t="shared" si="58"/>
        <v>0</v>
      </c>
      <c r="CV47" s="251">
        <f t="shared" si="59"/>
        <v>0</v>
      </c>
      <c r="CW47" s="251">
        <f t="shared" si="60"/>
        <v>0</v>
      </c>
      <c r="CX47" s="251">
        <f t="shared" si="93"/>
        <v>0</v>
      </c>
      <c r="CY47" s="251">
        <f t="shared" si="94"/>
        <v>0</v>
      </c>
      <c r="CZ47" s="251">
        <f t="shared" si="95"/>
        <v>0</v>
      </c>
      <c r="DA47" s="251">
        <f t="shared" ca="1" si="96"/>
        <v>0</v>
      </c>
    </row>
    <row r="48" spans="1:105" s="248" customFormat="1" ht="15" customHeight="1">
      <c r="A48" s="58">
        <f t="array" aca="1" ref="A48" ca="1">IF(C48&lt;&gt;0,SUM(($C$11:C48&lt;&gt;0)*1),"")</f>
        <v>10</v>
      </c>
      <c r="B48" s="249">
        <v>42551</v>
      </c>
      <c r="C48" s="252" t="s">
        <v>115</v>
      </c>
      <c r="D48" s="252">
        <f t="shared" si="98"/>
        <v>42551</v>
      </c>
      <c r="E48" s="736" t="s">
        <v>594</v>
      </c>
      <c r="F48" s="737">
        <f ca="1">CG52</f>
        <v>0</v>
      </c>
      <c r="G48" s="738" t="s">
        <v>288</v>
      </c>
      <c r="H48" s="738" t="s">
        <v>109</v>
      </c>
      <c r="I48" s="58">
        <f t="shared" ca="1" si="97"/>
        <v>10</v>
      </c>
      <c r="J48" s="251">
        <f t="shared" si="61"/>
        <v>0</v>
      </c>
      <c r="K48" s="251">
        <f t="shared" si="62"/>
        <v>0</v>
      </c>
      <c r="L48" s="251">
        <f t="shared" si="1"/>
        <v>0</v>
      </c>
      <c r="M48" s="251">
        <f t="shared" si="2"/>
        <v>0</v>
      </c>
      <c r="N48" s="251">
        <f t="shared" si="3"/>
        <v>0</v>
      </c>
      <c r="O48" s="251">
        <f t="shared" si="4"/>
        <v>0</v>
      </c>
      <c r="P48" s="251">
        <f t="shared" si="5"/>
        <v>0</v>
      </c>
      <c r="Q48" s="251">
        <f t="shared" si="6"/>
        <v>0</v>
      </c>
      <c r="R48" s="251">
        <f t="shared" si="7"/>
        <v>0</v>
      </c>
      <c r="S48" s="251">
        <f t="shared" si="8"/>
        <v>0</v>
      </c>
      <c r="T48" s="251">
        <f t="shared" si="9"/>
        <v>0</v>
      </c>
      <c r="U48" s="251">
        <f t="shared" si="10"/>
        <v>0</v>
      </c>
      <c r="V48" s="251">
        <f t="shared" si="11"/>
        <v>0</v>
      </c>
      <c r="W48" s="251">
        <f t="shared" si="12"/>
        <v>0</v>
      </c>
      <c r="X48" s="251">
        <f t="shared" si="13"/>
        <v>0</v>
      </c>
      <c r="Y48" s="251">
        <f t="shared" si="14"/>
        <v>0</v>
      </c>
      <c r="Z48" s="251">
        <f t="shared" si="15"/>
        <v>0</v>
      </c>
      <c r="AA48" s="251">
        <f t="shared" si="16"/>
        <v>0</v>
      </c>
      <c r="AB48" s="251">
        <f t="shared" si="63"/>
        <v>0</v>
      </c>
      <c r="AC48" s="251">
        <f t="shared" si="64"/>
        <v>0</v>
      </c>
      <c r="AD48" s="251">
        <f t="shared" si="17"/>
        <v>0</v>
      </c>
      <c r="AE48" s="251">
        <f t="shared" si="18"/>
        <v>0</v>
      </c>
      <c r="AF48" s="251">
        <f t="shared" si="19"/>
        <v>0</v>
      </c>
      <c r="AG48" s="251">
        <f t="shared" si="20"/>
        <v>0</v>
      </c>
      <c r="AH48" s="251">
        <f t="shared" si="65"/>
        <v>0</v>
      </c>
      <c r="AI48" s="251">
        <f t="shared" si="66"/>
        <v>0</v>
      </c>
      <c r="AJ48" s="251">
        <f t="shared" si="67"/>
        <v>0</v>
      </c>
      <c r="AK48" s="251">
        <f t="shared" si="68"/>
        <v>0</v>
      </c>
      <c r="AL48" s="251">
        <f t="shared" si="69"/>
        <v>0</v>
      </c>
      <c r="AM48" s="251">
        <f t="shared" si="70"/>
        <v>0</v>
      </c>
      <c r="AN48" s="251">
        <f t="shared" si="71"/>
        <v>0</v>
      </c>
      <c r="AO48" s="251">
        <f t="shared" si="72"/>
        <v>0</v>
      </c>
      <c r="AP48" s="251">
        <f t="shared" si="21"/>
        <v>0</v>
      </c>
      <c r="AQ48" s="251">
        <f t="shared" si="22"/>
        <v>0</v>
      </c>
      <c r="AR48" s="251">
        <f t="shared" si="23"/>
        <v>0</v>
      </c>
      <c r="AS48" s="251">
        <f t="shared" si="24"/>
        <v>0</v>
      </c>
      <c r="AT48" s="251">
        <f t="shared" si="73"/>
        <v>0</v>
      </c>
      <c r="AU48" s="251">
        <f t="shared" si="74"/>
        <v>0</v>
      </c>
      <c r="AV48" s="251">
        <f t="shared" si="25"/>
        <v>0</v>
      </c>
      <c r="AW48" s="251">
        <f t="shared" si="26"/>
        <v>0</v>
      </c>
      <c r="AX48" s="251">
        <f t="shared" si="27"/>
        <v>0</v>
      </c>
      <c r="AY48" s="251">
        <f t="shared" si="28"/>
        <v>0</v>
      </c>
      <c r="AZ48" s="251">
        <f t="shared" si="29"/>
        <v>0</v>
      </c>
      <c r="BA48" s="251">
        <f t="shared" si="30"/>
        <v>0</v>
      </c>
      <c r="BB48" s="251">
        <f t="shared" si="31"/>
        <v>0</v>
      </c>
      <c r="BC48" s="251">
        <f t="shared" si="32"/>
        <v>0</v>
      </c>
      <c r="BD48" s="251">
        <f t="shared" si="33"/>
        <v>0</v>
      </c>
      <c r="BE48" s="251">
        <f t="shared" si="34"/>
        <v>0</v>
      </c>
      <c r="BF48" s="251">
        <f t="shared" si="35"/>
        <v>0</v>
      </c>
      <c r="BG48" s="251">
        <f t="shared" si="36"/>
        <v>0</v>
      </c>
      <c r="BH48" s="251">
        <f t="shared" si="75"/>
        <v>0</v>
      </c>
      <c r="BI48" s="251">
        <f t="shared" si="76"/>
        <v>0</v>
      </c>
      <c r="BJ48" s="251">
        <f t="shared" si="37"/>
        <v>0</v>
      </c>
      <c r="BK48" s="251">
        <f t="shared" si="38"/>
        <v>0</v>
      </c>
      <c r="BL48" s="251">
        <f t="shared" si="39"/>
        <v>0</v>
      </c>
      <c r="BM48" s="251">
        <f t="shared" si="40"/>
        <v>0</v>
      </c>
      <c r="BN48" s="251">
        <f t="shared" si="41"/>
        <v>0</v>
      </c>
      <c r="BO48" s="251">
        <f t="shared" si="42"/>
        <v>0</v>
      </c>
      <c r="BP48" s="251">
        <f t="shared" si="77"/>
        <v>0</v>
      </c>
      <c r="BQ48" s="251">
        <f t="shared" si="78"/>
        <v>0</v>
      </c>
      <c r="BR48" s="251">
        <f t="shared" si="43"/>
        <v>0</v>
      </c>
      <c r="BS48" s="251">
        <f t="shared" si="44"/>
        <v>0</v>
      </c>
      <c r="BT48" s="251">
        <f t="shared" si="79"/>
        <v>0</v>
      </c>
      <c r="BU48" s="251">
        <f t="shared" si="80"/>
        <v>0</v>
      </c>
      <c r="BV48" s="251">
        <f t="shared" si="81"/>
        <v>0</v>
      </c>
      <c r="BW48" s="251">
        <f t="shared" si="82"/>
        <v>0</v>
      </c>
      <c r="BX48" s="251">
        <f t="shared" si="45"/>
        <v>0</v>
      </c>
      <c r="BY48" s="251">
        <f t="shared" si="46"/>
        <v>0</v>
      </c>
      <c r="BZ48" s="251">
        <f t="shared" si="47"/>
        <v>0</v>
      </c>
      <c r="CA48" s="251">
        <f t="shared" si="48"/>
        <v>0</v>
      </c>
      <c r="CB48" s="251">
        <f t="shared" si="49"/>
        <v>0</v>
      </c>
      <c r="CC48" s="251">
        <f t="shared" si="50"/>
        <v>0</v>
      </c>
      <c r="CD48" s="251">
        <f t="shared" si="83"/>
        <v>0</v>
      </c>
      <c r="CE48" s="251">
        <f t="shared" si="84"/>
        <v>0</v>
      </c>
      <c r="CF48" s="251">
        <f t="shared" ca="1" si="85"/>
        <v>0</v>
      </c>
      <c r="CG48" s="251">
        <f t="shared" si="86"/>
        <v>0</v>
      </c>
      <c r="CH48" s="251">
        <f t="shared" si="51"/>
        <v>0</v>
      </c>
      <c r="CI48" s="251">
        <f t="shared" si="52"/>
        <v>0</v>
      </c>
      <c r="CJ48" s="251">
        <f t="shared" si="87"/>
        <v>0</v>
      </c>
      <c r="CK48" s="251">
        <f t="shared" si="88"/>
        <v>0</v>
      </c>
      <c r="CL48" s="251">
        <f t="shared" si="53"/>
        <v>0</v>
      </c>
      <c r="CM48" s="251">
        <f t="shared" si="54"/>
        <v>0</v>
      </c>
      <c r="CN48" s="251">
        <f t="shared" si="55"/>
        <v>0</v>
      </c>
      <c r="CO48" s="251">
        <f t="shared" si="56"/>
        <v>0</v>
      </c>
      <c r="CP48" s="251">
        <f t="shared" si="89"/>
        <v>0</v>
      </c>
      <c r="CQ48" s="251">
        <f t="shared" si="90"/>
        <v>0</v>
      </c>
      <c r="CR48" s="251">
        <f t="shared" si="91"/>
        <v>0</v>
      </c>
      <c r="CS48" s="251">
        <f t="shared" si="92"/>
        <v>0</v>
      </c>
      <c r="CT48" s="251">
        <f t="shared" si="57"/>
        <v>0</v>
      </c>
      <c r="CU48" s="251">
        <f t="shared" si="58"/>
        <v>0</v>
      </c>
      <c r="CV48" s="251">
        <f t="shared" si="59"/>
        <v>0</v>
      </c>
      <c r="CW48" s="251">
        <f t="shared" si="60"/>
        <v>0</v>
      </c>
      <c r="CX48" s="251">
        <f t="shared" si="93"/>
        <v>0</v>
      </c>
      <c r="CY48" s="251">
        <f t="shared" si="94"/>
        <v>0</v>
      </c>
      <c r="CZ48" s="251">
        <f t="shared" si="95"/>
        <v>0</v>
      </c>
      <c r="DA48" s="251">
        <f t="shared" ca="1" si="96"/>
        <v>0</v>
      </c>
    </row>
    <row r="49" spans="1:105" s="248" customFormat="1" ht="15" customHeight="1">
      <c r="A49" s="58">
        <f t="array" aca="1" ref="A49" ca="1">IF(C49&lt;&gt;0,SUM(($C$11:C49&lt;&gt;0)*1),"")</f>
        <v>11</v>
      </c>
      <c r="B49" s="249">
        <v>42551</v>
      </c>
      <c r="C49" s="252" t="s">
        <v>115</v>
      </c>
      <c r="D49" s="252">
        <f t="shared" si="98"/>
        <v>42551</v>
      </c>
      <c r="E49" s="736" t="s">
        <v>119</v>
      </c>
      <c r="F49" s="737">
        <f ca="1">CU52</f>
        <v>0</v>
      </c>
      <c r="G49" s="738" t="s">
        <v>103</v>
      </c>
      <c r="H49" s="738" t="s">
        <v>109</v>
      </c>
      <c r="I49" s="58">
        <f t="shared" ca="1" si="97"/>
        <v>11</v>
      </c>
      <c r="J49" s="251">
        <f t="shared" si="61"/>
        <v>0</v>
      </c>
      <c r="K49" s="251">
        <f t="shared" si="62"/>
        <v>0</v>
      </c>
      <c r="L49" s="251">
        <f t="shared" si="1"/>
        <v>0</v>
      </c>
      <c r="M49" s="251">
        <f t="shared" si="2"/>
        <v>0</v>
      </c>
      <c r="N49" s="251">
        <f t="shared" si="3"/>
        <v>0</v>
      </c>
      <c r="O49" s="251">
        <f t="shared" si="4"/>
        <v>0</v>
      </c>
      <c r="P49" s="251">
        <f t="shared" si="5"/>
        <v>0</v>
      </c>
      <c r="Q49" s="251">
        <f t="shared" si="6"/>
        <v>0</v>
      </c>
      <c r="R49" s="251">
        <f t="shared" si="7"/>
        <v>0</v>
      </c>
      <c r="S49" s="251">
        <f t="shared" si="8"/>
        <v>0</v>
      </c>
      <c r="T49" s="251">
        <f t="shared" si="9"/>
        <v>0</v>
      </c>
      <c r="U49" s="251">
        <f t="shared" si="10"/>
        <v>0</v>
      </c>
      <c r="V49" s="251">
        <f t="shared" si="11"/>
        <v>0</v>
      </c>
      <c r="W49" s="251">
        <f t="shared" si="12"/>
        <v>0</v>
      </c>
      <c r="X49" s="251">
        <f t="shared" si="13"/>
        <v>0</v>
      </c>
      <c r="Y49" s="251">
        <f t="shared" si="14"/>
        <v>0</v>
      </c>
      <c r="Z49" s="251">
        <f t="shared" si="15"/>
        <v>0</v>
      </c>
      <c r="AA49" s="251">
        <f t="shared" si="16"/>
        <v>0</v>
      </c>
      <c r="AB49" s="251">
        <f t="shared" si="63"/>
        <v>0</v>
      </c>
      <c r="AC49" s="251">
        <f t="shared" si="64"/>
        <v>0</v>
      </c>
      <c r="AD49" s="251">
        <f t="shared" si="17"/>
        <v>0</v>
      </c>
      <c r="AE49" s="251">
        <f t="shared" si="18"/>
        <v>0</v>
      </c>
      <c r="AF49" s="251">
        <f t="shared" si="19"/>
        <v>0</v>
      </c>
      <c r="AG49" s="251">
        <f t="shared" si="20"/>
        <v>0</v>
      </c>
      <c r="AH49" s="251">
        <f t="shared" si="65"/>
        <v>0</v>
      </c>
      <c r="AI49" s="251">
        <f t="shared" si="66"/>
        <v>0</v>
      </c>
      <c r="AJ49" s="251">
        <f t="shared" si="67"/>
        <v>0</v>
      </c>
      <c r="AK49" s="251">
        <f t="shared" si="68"/>
        <v>0</v>
      </c>
      <c r="AL49" s="251">
        <f t="shared" si="69"/>
        <v>0</v>
      </c>
      <c r="AM49" s="251">
        <f t="shared" si="70"/>
        <v>0</v>
      </c>
      <c r="AN49" s="251">
        <f t="shared" si="71"/>
        <v>0</v>
      </c>
      <c r="AO49" s="251">
        <f t="shared" si="72"/>
        <v>0</v>
      </c>
      <c r="AP49" s="251">
        <f t="shared" si="21"/>
        <v>0</v>
      </c>
      <c r="AQ49" s="251">
        <f t="shared" si="22"/>
        <v>0</v>
      </c>
      <c r="AR49" s="251">
        <f t="shared" si="23"/>
        <v>0</v>
      </c>
      <c r="AS49" s="251">
        <f t="shared" si="24"/>
        <v>0</v>
      </c>
      <c r="AT49" s="251">
        <f t="shared" si="73"/>
        <v>0</v>
      </c>
      <c r="AU49" s="251">
        <f t="shared" si="74"/>
        <v>0</v>
      </c>
      <c r="AV49" s="251">
        <f t="shared" si="25"/>
        <v>0</v>
      </c>
      <c r="AW49" s="251">
        <f t="shared" si="26"/>
        <v>0</v>
      </c>
      <c r="AX49" s="251">
        <f t="shared" si="27"/>
        <v>0</v>
      </c>
      <c r="AY49" s="251">
        <f t="shared" si="28"/>
        <v>0</v>
      </c>
      <c r="AZ49" s="251">
        <f t="shared" si="29"/>
        <v>0</v>
      </c>
      <c r="BA49" s="251">
        <f t="shared" si="30"/>
        <v>0</v>
      </c>
      <c r="BB49" s="251">
        <f t="shared" si="31"/>
        <v>0</v>
      </c>
      <c r="BC49" s="251">
        <f t="shared" si="32"/>
        <v>0</v>
      </c>
      <c r="BD49" s="251">
        <f t="shared" si="33"/>
        <v>0</v>
      </c>
      <c r="BE49" s="251">
        <f t="shared" si="34"/>
        <v>0</v>
      </c>
      <c r="BF49" s="251">
        <f t="shared" si="35"/>
        <v>0</v>
      </c>
      <c r="BG49" s="251">
        <f t="shared" si="36"/>
        <v>0</v>
      </c>
      <c r="BH49" s="251">
        <f t="shared" si="75"/>
        <v>0</v>
      </c>
      <c r="BI49" s="251">
        <f t="shared" si="76"/>
        <v>0</v>
      </c>
      <c r="BJ49" s="251">
        <f t="shared" si="37"/>
        <v>0</v>
      </c>
      <c r="BK49" s="251">
        <f t="shared" si="38"/>
        <v>0</v>
      </c>
      <c r="BL49" s="251">
        <f t="shared" si="39"/>
        <v>0</v>
      </c>
      <c r="BM49" s="251">
        <f t="shared" si="40"/>
        <v>0</v>
      </c>
      <c r="BN49" s="251">
        <f t="shared" si="41"/>
        <v>0</v>
      </c>
      <c r="BO49" s="251">
        <f t="shared" si="42"/>
        <v>0</v>
      </c>
      <c r="BP49" s="251">
        <f t="shared" si="77"/>
        <v>0</v>
      </c>
      <c r="BQ49" s="251">
        <f t="shared" si="78"/>
        <v>0</v>
      </c>
      <c r="BR49" s="251">
        <f t="shared" si="43"/>
        <v>0</v>
      </c>
      <c r="BS49" s="251">
        <f t="shared" si="44"/>
        <v>0</v>
      </c>
      <c r="BT49" s="251">
        <f t="shared" si="79"/>
        <v>0</v>
      </c>
      <c r="BU49" s="251">
        <f t="shared" si="80"/>
        <v>0</v>
      </c>
      <c r="BV49" s="251">
        <f t="shared" si="81"/>
        <v>0</v>
      </c>
      <c r="BW49" s="251">
        <f t="shared" si="82"/>
        <v>0</v>
      </c>
      <c r="BX49" s="251">
        <f t="shared" si="45"/>
        <v>0</v>
      </c>
      <c r="BY49" s="251">
        <f t="shared" si="46"/>
        <v>0</v>
      </c>
      <c r="BZ49" s="251">
        <f t="shared" si="47"/>
        <v>0</v>
      </c>
      <c r="CA49" s="251">
        <f t="shared" si="48"/>
        <v>0</v>
      </c>
      <c r="CB49" s="251">
        <f t="shared" si="49"/>
        <v>0</v>
      </c>
      <c r="CC49" s="251">
        <f t="shared" si="50"/>
        <v>0</v>
      </c>
      <c r="CD49" s="251">
        <f t="shared" si="83"/>
        <v>0</v>
      </c>
      <c r="CE49" s="251">
        <f t="shared" si="84"/>
        <v>0</v>
      </c>
      <c r="CF49" s="251">
        <f t="shared" si="85"/>
        <v>0</v>
      </c>
      <c r="CG49" s="251">
        <f t="shared" si="86"/>
        <v>0</v>
      </c>
      <c r="CH49" s="251">
        <f t="shared" si="51"/>
        <v>0</v>
      </c>
      <c r="CI49" s="251">
        <f t="shared" si="52"/>
        <v>0</v>
      </c>
      <c r="CJ49" s="251">
        <f t="shared" si="87"/>
        <v>0</v>
      </c>
      <c r="CK49" s="251">
        <f t="shared" si="88"/>
        <v>0</v>
      </c>
      <c r="CL49" s="251">
        <f t="shared" si="53"/>
        <v>0</v>
      </c>
      <c r="CM49" s="251">
        <f t="shared" si="54"/>
        <v>0</v>
      </c>
      <c r="CN49" s="251">
        <f t="shared" si="55"/>
        <v>0</v>
      </c>
      <c r="CO49" s="251">
        <f t="shared" si="56"/>
        <v>0</v>
      </c>
      <c r="CP49" s="251">
        <f t="shared" si="89"/>
        <v>0</v>
      </c>
      <c r="CQ49" s="251">
        <f t="shared" si="90"/>
        <v>0</v>
      </c>
      <c r="CR49" s="251">
        <f t="shared" si="91"/>
        <v>0</v>
      </c>
      <c r="CS49" s="251">
        <f t="shared" si="92"/>
        <v>0</v>
      </c>
      <c r="CT49" s="251">
        <f t="shared" ca="1" si="57"/>
        <v>0</v>
      </c>
      <c r="CU49" s="251">
        <f t="shared" si="58"/>
        <v>0</v>
      </c>
      <c r="CV49" s="251">
        <f t="shared" si="59"/>
        <v>0</v>
      </c>
      <c r="CW49" s="251">
        <f t="shared" si="60"/>
        <v>0</v>
      </c>
      <c r="CX49" s="251">
        <f t="shared" si="93"/>
        <v>0</v>
      </c>
      <c r="CY49" s="251">
        <f t="shared" si="94"/>
        <v>0</v>
      </c>
      <c r="CZ49" s="251">
        <f t="shared" si="95"/>
        <v>0</v>
      </c>
      <c r="DA49" s="251">
        <f t="shared" ca="1" si="96"/>
        <v>0</v>
      </c>
    </row>
    <row r="50" spans="1:105" s="248" customFormat="1" ht="15" customHeight="1">
      <c r="A50" s="58">
        <f t="array" aca="1" ref="A50" ca="1">IF(C50&lt;&gt;0,SUM(($C$11:C50&lt;&gt;0)*1),"")</f>
        <v>12</v>
      </c>
      <c r="B50" s="249">
        <v>42551</v>
      </c>
      <c r="C50" s="252" t="s">
        <v>115</v>
      </c>
      <c r="D50" s="252">
        <f t="shared" si="98"/>
        <v>42551</v>
      </c>
      <c r="E50" s="736" t="s">
        <v>120</v>
      </c>
      <c r="F50" s="737">
        <f ca="1">CV52</f>
        <v>0</v>
      </c>
      <c r="G50" s="738" t="s">
        <v>109</v>
      </c>
      <c r="H50" s="738" t="s">
        <v>105</v>
      </c>
      <c r="I50" s="58">
        <f t="shared" ca="1" si="97"/>
        <v>12</v>
      </c>
      <c r="J50" s="251">
        <f t="shared" si="61"/>
        <v>0</v>
      </c>
      <c r="K50" s="251">
        <f t="shared" si="62"/>
        <v>0</v>
      </c>
      <c r="L50" s="251">
        <f t="shared" si="1"/>
        <v>0</v>
      </c>
      <c r="M50" s="251">
        <f t="shared" si="2"/>
        <v>0</v>
      </c>
      <c r="N50" s="251">
        <f t="shared" si="3"/>
        <v>0</v>
      </c>
      <c r="O50" s="251">
        <f t="shared" si="4"/>
        <v>0</v>
      </c>
      <c r="P50" s="251">
        <f t="shared" si="5"/>
        <v>0</v>
      </c>
      <c r="Q50" s="251">
        <f t="shared" si="6"/>
        <v>0</v>
      </c>
      <c r="R50" s="251">
        <f t="shared" si="7"/>
        <v>0</v>
      </c>
      <c r="S50" s="251">
        <f t="shared" si="8"/>
        <v>0</v>
      </c>
      <c r="T50" s="251">
        <f t="shared" si="9"/>
        <v>0</v>
      </c>
      <c r="U50" s="251">
        <f t="shared" si="10"/>
        <v>0</v>
      </c>
      <c r="V50" s="251">
        <f t="shared" si="11"/>
        <v>0</v>
      </c>
      <c r="W50" s="251">
        <f t="shared" si="12"/>
        <v>0</v>
      </c>
      <c r="X50" s="251">
        <f t="shared" si="13"/>
        <v>0</v>
      </c>
      <c r="Y50" s="251">
        <f t="shared" si="14"/>
        <v>0</v>
      </c>
      <c r="Z50" s="251">
        <f t="shared" si="15"/>
        <v>0</v>
      </c>
      <c r="AA50" s="251">
        <f t="shared" si="16"/>
        <v>0</v>
      </c>
      <c r="AB50" s="251">
        <f t="shared" si="63"/>
        <v>0</v>
      </c>
      <c r="AC50" s="251">
        <f t="shared" si="64"/>
        <v>0</v>
      </c>
      <c r="AD50" s="251">
        <f t="shared" si="17"/>
        <v>0</v>
      </c>
      <c r="AE50" s="251">
        <f t="shared" si="18"/>
        <v>0</v>
      </c>
      <c r="AF50" s="251">
        <f t="shared" si="19"/>
        <v>0</v>
      </c>
      <c r="AG50" s="251">
        <f t="shared" si="20"/>
        <v>0</v>
      </c>
      <c r="AH50" s="251">
        <f t="shared" si="65"/>
        <v>0</v>
      </c>
      <c r="AI50" s="251">
        <f t="shared" si="66"/>
        <v>0</v>
      </c>
      <c r="AJ50" s="251">
        <f t="shared" si="67"/>
        <v>0</v>
      </c>
      <c r="AK50" s="251">
        <f t="shared" si="68"/>
        <v>0</v>
      </c>
      <c r="AL50" s="251">
        <f t="shared" si="69"/>
        <v>0</v>
      </c>
      <c r="AM50" s="251">
        <f t="shared" si="70"/>
        <v>0</v>
      </c>
      <c r="AN50" s="251">
        <f t="shared" si="71"/>
        <v>0</v>
      </c>
      <c r="AO50" s="251">
        <f t="shared" si="72"/>
        <v>0</v>
      </c>
      <c r="AP50" s="251">
        <f t="shared" si="21"/>
        <v>0</v>
      </c>
      <c r="AQ50" s="251">
        <f t="shared" si="22"/>
        <v>0</v>
      </c>
      <c r="AR50" s="251">
        <f t="shared" si="23"/>
        <v>0</v>
      </c>
      <c r="AS50" s="251">
        <f t="shared" si="24"/>
        <v>0</v>
      </c>
      <c r="AT50" s="251">
        <f t="shared" si="73"/>
        <v>0</v>
      </c>
      <c r="AU50" s="251">
        <f t="shared" si="74"/>
        <v>0</v>
      </c>
      <c r="AV50" s="251">
        <f t="shared" si="25"/>
        <v>0</v>
      </c>
      <c r="AW50" s="251">
        <f t="shared" si="26"/>
        <v>0</v>
      </c>
      <c r="AX50" s="251">
        <f t="shared" si="27"/>
        <v>0</v>
      </c>
      <c r="AY50" s="251">
        <f t="shared" si="28"/>
        <v>0</v>
      </c>
      <c r="AZ50" s="251">
        <f t="shared" si="29"/>
        <v>0</v>
      </c>
      <c r="BA50" s="251">
        <f t="shared" si="30"/>
        <v>0</v>
      </c>
      <c r="BB50" s="251">
        <f t="shared" si="31"/>
        <v>0</v>
      </c>
      <c r="BC50" s="251">
        <f t="shared" si="32"/>
        <v>0</v>
      </c>
      <c r="BD50" s="251">
        <f t="shared" si="33"/>
        <v>0</v>
      </c>
      <c r="BE50" s="251">
        <f t="shared" si="34"/>
        <v>0</v>
      </c>
      <c r="BF50" s="251">
        <f t="shared" si="35"/>
        <v>0</v>
      </c>
      <c r="BG50" s="251">
        <f t="shared" si="36"/>
        <v>0</v>
      </c>
      <c r="BH50" s="251">
        <f t="shared" si="75"/>
        <v>0</v>
      </c>
      <c r="BI50" s="251">
        <f t="shared" si="76"/>
        <v>0</v>
      </c>
      <c r="BJ50" s="251">
        <f t="shared" si="37"/>
        <v>0</v>
      </c>
      <c r="BK50" s="251">
        <f t="shared" si="38"/>
        <v>0</v>
      </c>
      <c r="BL50" s="251">
        <f t="shared" si="39"/>
        <v>0</v>
      </c>
      <c r="BM50" s="251">
        <f t="shared" si="40"/>
        <v>0</v>
      </c>
      <c r="BN50" s="251">
        <f t="shared" si="41"/>
        <v>0</v>
      </c>
      <c r="BO50" s="251">
        <f t="shared" si="42"/>
        <v>0</v>
      </c>
      <c r="BP50" s="251">
        <f t="shared" si="77"/>
        <v>0</v>
      </c>
      <c r="BQ50" s="251">
        <f t="shared" si="78"/>
        <v>0</v>
      </c>
      <c r="BR50" s="251">
        <f t="shared" si="43"/>
        <v>0</v>
      </c>
      <c r="BS50" s="251">
        <f t="shared" si="44"/>
        <v>0</v>
      </c>
      <c r="BT50" s="251">
        <f t="shared" si="79"/>
        <v>0</v>
      </c>
      <c r="BU50" s="251">
        <f t="shared" si="80"/>
        <v>0</v>
      </c>
      <c r="BV50" s="251">
        <f t="shared" si="81"/>
        <v>0</v>
      </c>
      <c r="BW50" s="251">
        <f t="shared" si="82"/>
        <v>0</v>
      </c>
      <c r="BX50" s="251">
        <f t="shared" si="45"/>
        <v>0</v>
      </c>
      <c r="BY50" s="251">
        <f t="shared" si="46"/>
        <v>0</v>
      </c>
      <c r="BZ50" s="251">
        <f t="shared" si="47"/>
        <v>0</v>
      </c>
      <c r="CA50" s="251">
        <f t="shared" si="48"/>
        <v>0</v>
      </c>
      <c r="CB50" s="251">
        <f t="shared" si="49"/>
        <v>0</v>
      </c>
      <c r="CC50" s="251">
        <f t="shared" si="50"/>
        <v>0</v>
      </c>
      <c r="CD50" s="251">
        <f t="shared" si="83"/>
        <v>0</v>
      </c>
      <c r="CE50" s="251">
        <f t="shared" si="84"/>
        <v>0</v>
      </c>
      <c r="CF50" s="251">
        <f t="shared" si="85"/>
        <v>0</v>
      </c>
      <c r="CG50" s="251">
        <f t="shared" si="86"/>
        <v>0</v>
      </c>
      <c r="CH50" s="251">
        <f t="shared" si="51"/>
        <v>0</v>
      </c>
      <c r="CI50" s="251">
        <f t="shared" si="52"/>
        <v>0</v>
      </c>
      <c r="CJ50" s="251">
        <f t="shared" si="87"/>
        <v>0</v>
      </c>
      <c r="CK50" s="251">
        <f t="shared" si="88"/>
        <v>0</v>
      </c>
      <c r="CL50" s="251">
        <f t="shared" si="53"/>
        <v>0</v>
      </c>
      <c r="CM50" s="251">
        <f t="shared" si="54"/>
        <v>0</v>
      </c>
      <c r="CN50" s="251">
        <f t="shared" si="55"/>
        <v>0</v>
      </c>
      <c r="CO50" s="251">
        <f t="shared" si="56"/>
        <v>0</v>
      </c>
      <c r="CP50" s="251">
        <f t="shared" si="89"/>
        <v>0</v>
      </c>
      <c r="CQ50" s="251">
        <f t="shared" si="90"/>
        <v>0</v>
      </c>
      <c r="CR50" s="251">
        <f t="shared" si="91"/>
        <v>0</v>
      </c>
      <c r="CS50" s="251">
        <f t="shared" si="92"/>
        <v>0</v>
      </c>
      <c r="CT50" s="251">
        <f t="shared" si="57"/>
        <v>0</v>
      </c>
      <c r="CU50" s="251">
        <f t="shared" si="58"/>
        <v>0</v>
      </c>
      <c r="CV50" s="251">
        <f t="shared" si="59"/>
        <v>0</v>
      </c>
      <c r="CW50" s="251">
        <f t="shared" ca="1" si="60"/>
        <v>0</v>
      </c>
      <c r="CX50" s="251">
        <f t="shared" si="93"/>
        <v>0</v>
      </c>
      <c r="CY50" s="251">
        <f t="shared" si="94"/>
        <v>0</v>
      </c>
      <c r="CZ50" s="251">
        <f t="shared" ca="1" si="95"/>
        <v>0</v>
      </c>
      <c r="DA50" s="251">
        <f t="shared" si="96"/>
        <v>0</v>
      </c>
    </row>
    <row r="51" spans="1:105" s="248" customFormat="1" ht="15" customHeight="1">
      <c r="A51" s="58" t="str">
        <f t="array" ref="A51">IF(C51&lt;&gt;0,SUM(($C$11:C51&lt;&gt;0)*1),"")</f>
        <v/>
      </c>
      <c r="B51" s="217"/>
      <c r="C51" s="253"/>
      <c r="D51" s="217"/>
      <c r="E51" s="250"/>
      <c r="F51" s="60"/>
      <c r="G51" s="254"/>
      <c r="H51" s="254"/>
      <c r="I51" s="58" t="str">
        <f>A51</f>
        <v/>
      </c>
      <c r="J51" s="251">
        <f>IF($G51="1111",$F51,0)</f>
        <v>0</v>
      </c>
      <c r="K51" s="251">
        <f>IF($H51="1111",$F51,0)</f>
        <v>0</v>
      </c>
      <c r="L51" s="251">
        <f>IF($G51="1121",$F51,0)</f>
        <v>0</v>
      </c>
      <c r="M51" s="251">
        <f>IF($H51="1121",$F51,0)</f>
        <v>0</v>
      </c>
      <c r="N51" s="251">
        <f>IF($G51="1122",$F51,0)</f>
        <v>0</v>
      </c>
      <c r="O51" s="251">
        <f>IF($H51="1122",$F51,0)</f>
        <v>0</v>
      </c>
      <c r="P51" s="251">
        <f>IF($G51="131",$F51,0)</f>
        <v>0</v>
      </c>
      <c r="Q51" s="251">
        <f>IF($H51="131",$F51,0)</f>
        <v>0</v>
      </c>
      <c r="R51" s="251">
        <f>IF($G51="1331",$F51,0)</f>
        <v>0</v>
      </c>
      <c r="S51" s="251">
        <f>IF($H51="1331",$F51,0)</f>
        <v>0</v>
      </c>
      <c r="T51" s="251">
        <f>IF($G51="1388",$F51,0)</f>
        <v>0</v>
      </c>
      <c r="U51" s="251">
        <f>IF($H51="1388",$F51,0)</f>
        <v>0</v>
      </c>
      <c r="V51" s="251">
        <f>IF($G51="141",$F51,0)</f>
        <v>0</v>
      </c>
      <c r="W51" s="251">
        <f>IF($H51="141",$F51,0)</f>
        <v>0</v>
      </c>
      <c r="X51" s="251">
        <f>IF($G51="1521",$F51,0)</f>
        <v>0</v>
      </c>
      <c r="Y51" s="251">
        <f>IF($H51="1521",$F51,0)</f>
        <v>0</v>
      </c>
      <c r="Z51" s="251">
        <f>IF($G51="1522",$F51,0)</f>
        <v>0</v>
      </c>
      <c r="AA51" s="251">
        <f>IF($H51="1522",$F51,0)</f>
        <v>0</v>
      </c>
      <c r="AB51" s="251">
        <f>IF($G51="153",$F51,0)</f>
        <v>0</v>
      </c>
      <c r="AC51" s="251">
        <f>IF($H51="153",$F51,0)</f>
        <v>0</v>
      </c>
      <c r="AD51" s="251">
        <f>IF($G51="154",$F51,0)</f>
        <v>0</v>
      </c>
      <c r="AE51" s="251">
        <f>IF($H51="154",$F51,0)</f>
        <v>0</v>
      </c>
      <c r="AF51" s="251">
        <f>IF($G51="155",$F51,0)</f>
        <v>0</v>
      </c>
      <c r="AG51" s="251">
        <f>IF($H51="155",$F51,0)</f>
        <v>0</v>
      </c>
      <c r="AH51" s="251">
        <f>IF($G51="2111",$F51,0)</f>
        <v>0</v>
      </c>
      <c r="AI51" s="251">
        <f>IF($H51="2111",$F51,0)</f>
        <v>0</v>
      </c>
      <c r="AJ51" s="251">
        <f>IF($G51="2112",$F51,0)</f>
        <v>0</v>
      </c>
      <c r="AK51" s="251">
        <f>IF($H51="2112",$F51,0)</f>
        <v>0</v>
      </c>
      <c r="AL51" s="251">
        <f>IF($G51="2113",$F51,0)</f>
        <v>0</v>
      </c>
      <c r="AM51" s="251">
        <f>IF($H51="2113",$F51,0)</f>
        <v>0</v>
      </c>
      <c r="AN51" s="251">
        <f>IF($G51="2131",$F51,0)</f>
        <v>0</v>
      </c>
      <c r="AO51" s="251">
        <f>IF($H51="2131",$F51,0)</f>
        <v>0</v>
      </c>
      <c r="AP51" s="251">
        <f>IF($G51="2141",$F51,0)</f>
        <v>0</v>
      </c>
      <c r="AQ51" s="251">
        <f>IF($H51="2141",$F51,0)</f>
        <v>0</v>
      </c>
      <c r="AR51" s="251">
        <f>IF($G51="2143",$F51,0)</f>
        <v>0</v>
      </c>
      <c r="AS51" s="251">
        <f>IF($H51="2143",$F51,0)</f>
        <v>0</v>
      </c>
      <c r="AT51" s="251">
        <f>IF($G51="2412",$F51,0)</f>
        <v>0</v>
      </c>
      <c r="AU51" s="251">
        <f>IF($H51="2412",$F51,0)</f>
        <v>0</v>
      </c>
      <c r="AV51" s="251">
        <f>IF($G51="331",$F51,0)</f>
        <v>0</v>
      </c>
      <c r="AW51" s="251">
        <f>IF($H51="331",$F51,0)</f>
        <v>0</v>
      </c>
      <c r="AX51" s="251">
        <f>IF($G51="33311",$F51,0)</f>
        <v>0</v>
      </c>
      <c r="AY51" s="251">
        <f>IF($H51="33311",$F51,0)</f>
        <v>0</v>
      </c>
      <c r="AZ51" s="251">
        <f>IF($G51="33312",$F51,0)</f>
        <v>0</v>
      </c>
      <c r="BA51" s="251">
        <f>IF($H51="33312",$F51,0)</f>
        <v>0</v>
      </c>
      <c r="BB51" s="251">
        <f>IF($G51="3333",$F51,0)</f>
        <v>0</v>
      </c>
      <c r="BC51" s="251">
        <f>IF($H51="3333",$F51,0)</f>
        <v>0</v>
      </c>
      <c r="BD51" s="251">
        <f>IF($G51="3334",$F51,0)</f>
        <v>0</v>
      </c>
      <c r="BE51" s="251">
        <f>IF($H51="3334",$F51,0)</f>
        <v>0</v>
      </c>
      <c r="BF51" s="251">
        <f>IF($G51="3335",$F51,0)</f>
        <v>0</v>
      </c>
      <c r="BG51" s="251">
        <f>IF($H51="3335",$F51,0)</f>
        <v>0</v>
      </c>
      <c r="BH51" s="251">
        <f>IF($G51="33382",$F51,0)</f>
        <v>0</v>
      </c>
      <c r="BI51" s="251">
        <f>IF($H51="33382",$F51,0)</f>
        <v>0</v>
      </c>
      <c r="BJ51" s="251">
        <f>IF($G51="3341",$F51,0)</f>
        <v>0</v>
      </c>
      <c r="BK51" s="251">
        <f>IF($H51="3341",$F51,0)</f>
        <v>0</v>
      </c>
      <c r="BL51" s="251">
        <f>IF($G51="3383",$F51,0)</f>
        <v>0</v>
      </c>
      <c r="BM51" s="251">
        <f>IF($H51="3383",$F51,0)</f>
        <v>0</v>
      </c>
      <c r="BN51" s="251">
        <f>IF($G51="3384",$F51,0)</f>
        <v>0</v>
      </c>
      <c r="BO51" s="251">
        <f>IF($H51="3384",$F51,0)</f>
        <v>0</v>
      </c>
      <c r="BP51" s="251">
        <f>IF($G51="3386",$F51,0)</f>
        <v>0</v>
      </c>
      <c r="BQ51" s="251">
        <f>IF($H51="3386",$F51,0)</f>
        <v>0</v>
      </c>
      <c r="BR51" s="251">
        <f>IF($G51="3388",$F51,0)</f>
        <v>0</v>
      </c>
      <c r="BS51" s="251">
        <f>IF($H51="3388",$F51,0)</f>
        <v>0</v>
      </c>
      <c r="BT51" s="251">
        <f>IF($G51="3411",$F51,0)</f>
        <v>0</v>
      </c>
      <c r="BU51" s="251">
        <f>IF($H51="3411",$F51,0)</f>
        <v>0</v>
      </c>
      <c r="BV51" s="251">
        <f>IF($G51="3412",$F51,0)</f>
        <v>0</v>
      </c>
      <c r="BW51" s="251">
        <f>IF($H51="3412",$F51,0)</f>
        <v>0</v>
      </c>
      <c r="BX51" s="251">
        <f>IF($G51="4111",$F51,0)</f>
        <v>0</v>
      </c>
      <c r="BY51" s="251">
        <f>IF($H51="4111",$F51,0)</f>
        <v>0</v>
      </c>
      <c r="BZ51" s="251">
        <f>IF($G51="4211",$F51,0)</f>
        <v>0</v>
      </c>
      <c r="CA51" s="251">
        <f>IF($H51="4211",$F51,0)</f>
        <v>0</v>
      </c>
      <c r="CB51" s="251">
        <f>IF($G51="4212",$F51,0)</f>
        <v>0</v>
      </c>
      <c r="CC51" s="251">
        <f>IF($H51="4212",$F51,0)</f>
        <v>0</v>
      </c>
      <c r="CD51" s="251">
        <f>IF($G51="5112N",$F51,0)</f>
        <v>0</v>
      </c>
      <c r="CE51" s="251">
        <f>IF($H51="5112N",$F51,0)</f>
        <v>0</v>
      </c>
      <c r="CF51" s="251">
        <f>IF($G51="5112X",$F51,0)</f>
        <v>0</v>
      </c>
      <c r="CG51" s="251">
        <f>IF($H51="5112X",$F51,0)</f>
        <v>0</v>
      </c>
      <c r="CH51" s="251">
        <f>IF($G51="515",$F51,0)</f>
        <v>0</v>
      </c>
      <c r="CI51" s="251">
        <f>IF($H51="515",$F51,0)</f>
        <v>0</v>
      </c>
      <c r="CJ51" s="251">
        <f>IF($G51="5213",$F51,0)</f>
        <v>0</v>
      </c>
      <c r="CK51" s="251">
        <f>IF($H51="5213",$F51,0)</f>
        <v>0</v>
      </c>
      <c r="CL51" s="251">
        <f>IF($G51="632",$F51,0)</f>
        <v>0</v>
      </c>
      <c r="CM51" s="251">
        <f>IF($H51="632",$F51,0)</f>
        <v>0</v>
      </c>
      <c r="CN51" s="251">
        <f>IF($G51="635",$F51,0)</f>
        <v>0</v>
      </c>
      <c r="CO51" s="251">
        <f>IF($H51="635",$F51,0)</f>
        <v>0</v>
      </c>
      <c r="CP51" s="251">
        <f>IF($G51="641",$F51,0)</f>
        <v>0</v>
      </c>
      <c r="CQ51" s="251">
        <f>IF($H51="641",$F51,0)</f>
        <v>0</v>
      </c>
      <c r="CR51" s="251">
        <f>IF($G51="642",$F51,0)</f>
        <v>0</v>
      </c>
      <c r="CS51" s="251">
        <f>IF($H51="642",$F51,0)</f>
        <v>0</v>
      </c>
      <c r="CT51" s="251">
        <f>IF($G51="711",$F51,0)</f>
        <v>0</v>
      </c>
      <c r="CU51" s="251">
        <f>IF($H51="711",$F51,0)</f>
        <v>0</v>
      </c>
      <c r="CV51" s="251">
        <f>IF($G51="811",$F51,0)</f>
        <v>0</v>
      </c>
      <c r="CW51" s="251">
        <f>IF($H51="811",$F51,0)</f>
        <v>0</v>
      </c>
      <c r="CX51" s="251">
        <f>IF($G51="821",$F51,0)</f>
        <v>0</v>
      </c>
      <c r="CY51" s="251">
        <f>IF($H51="821",$F51,0)</f>
        <v>0</v>
      </c>
      <c r="CZ51" s="251">
        <f>IF($G51="911",$F51,0)</f>
        <v>0</v>
      </c>
      <c r="DA51" s="251">
        <f>IF($H51="911",$F51,0)</f>
        <v>0</v>
      </c>
    </row>
    <row r="52" spans="1:105" s="248" customFormat="1" ht="15" customHeight="1">
      <c r="A52" s="255"/>
      <c r="B52" s="255"/>
      <c r="C52" s="255"/>
      <c r="D52" s="255"/>
      <c r="E52" s="250" t="s">
        <v>173</v>
      </c>
      <c r="F52" s="255"/>
      <c r="G52" s="254"/>
      <c r="H52" s="254"/>
      <c r="I52" s="255"/>
      <c r="J52" s="255">
        <f t="shared" ref="J52:AO52" ca="1" si="99">SUM(J11:J51)</f>
        <v>0</v>
      </c>
      <c r="K52" s="255">
        <f t="shared" ca="1" si="99"/>
        <v>0</v>
      </c>
      <c r="L52" s="255">
        <f t="shared" ca="1" si="99"/>
        <v>0</v>
      </c>
      <c r="M52" s="255">
        <f t="shared" ca="1" si="99"/>
        <v>0</v>
      </c>
      <c r="N52" s="255">
        <f t="shared" ca="1" si="99"/>
        <v>0</v>
      </c>
      <c r="O52" s="255">
        <f t="shared" ca="1" si="99"/>
        <v>0</v>
      </c>
      <c r="P52" s="255">
        <f t="shared" ca="1" si="99"/>
        <v>0</v>
      </c>
      <c r="Q52" s="255">
        <f t="shared" ca="1" si="99"/>
        <v>0</v>
      </c>
      <c r="R52" s="255">
        <f t="shared" ca="1" si="99"/>
        <v>0</v>
      </c>
      <c r="S52" s="255">
        <f t="shared" ca="1" si="99"/>
        <v>0</v>
      </c>
      <c r="T52" s="255">
        <f t="shared" ca="1" si="99"/>
        <v>0</v>
      </c>
      <c r="U52" s="255">
        <f t="shared" ca="1" si="99"/>
        <v>0</v>
      </c>
      <c r="V52" s="255">
        <f t="shared" ca="1" si="99"/>
        <v>0</v>
      </c>
      <c r="W52" s="255">
        <f t="shared" ca="1" si="99"/>
        <v>0</v>
      </c>
      <c r="X52" s="255">
        <f t="shared" ca="1" si="99"/>
        <v>0</v>
      </c>
      <c r="Y52" s="255">
        <f t="shared" ca="1" si="99"/>
        <v>0</v>
      </c>
      <c r="Z52" s="255">
        <f t="shared" ca="1" si="99"/>
        <v>0</v>
      </c>
      <c r="AA52" s="255">
        <f t="shared" ca="1" si="99"/>
        <v>0</v>
      </c>
      <c r="AB52" s="255">
        <f t="shared" ca="1" si="99"/>
        <v>0</v>
      </c>
      <c r="AC52" s="255">
        <f t="shared" ca="1" si="99"/>
        <v>0</v>
      </c>
      <c r="AD52" s="255">
        <f t="shared" ca="1" si="99"/>
        <v>0</v>
      </c>
      <c r="AE52" s="255">
        <f t="shared" ca="1" si="99"/>
        <v>0</v>
      </c>
      <c r="AF52" s="255">
        <f t="shared" ca="1" si="99"/>
        <v>0</v>
      </c>
      <c r="AG52" s="255">
        <f t="shared" ca="1" si="99"/>
        <v>0</v>
      </c>
      <c r="AH52" s="255">
        <f t="shared" ca="1" si="99"/>
        <v>0</v>
      </c>
      <c r="AI52" s="255">
        <f t="shared" ca="1" si="99"/>
        <v>0</v>
      </c>
      <c r="AJ52" s="255">
        <f t="shared" ca="1" si="99"/>
        <v>0</v>
      </c>
      <c r="AK52" s="255">
        <f t="shared" ca="1" si="99"/>
        <v>0</v>
      </c>
      <c r="AL52" s="255">
        <f t="shared" ca="1" si="99"/>
        <v>0</v>
      </c>
      <c r="AM52" s="255">
        <f t="shared" ca="1" si="99"/>
        <v>0</v>
      </c>
      <c r="AN52" s="255">
        <f t="shared" ca="1" si="99"/>
        <v>0</v>
      </c>
      <c r="AO52" s="255">
        <f t="shared" ca="1" si="99"/>
        <v>0</v>
      </c>
      <c r="AP52" s="255">
        <f t="shared" ref="AP52:BU52" ca="1" si="100">SUM(AP11:AP51)</f>
        <v>0</v>
      </c>
      <c r="AQ52" s="255">
        <f t="shared" ca="1" si="100"/>
        <v>0</v>
      </c>
      <c r="AR52" s="255">
        <f t="shared" ca="1" si="100"/>
        <v>0</v>
      </c>
      <c r="AS52" s="255">
        <f t="shared" ca="1" si="100"/>
        <v>0</v>
      </c>
      <c r="AT52" s="255">
        <f t="shared" ca="1" si="100"/>
        <v>0</v>
      </c>
      <c r="AU52" s="255">
        <f t="shared" ca="1" si="100"/>
        <v>0</v>
      </c>
      <c r="AV52" s="255">
        <f t="shared" ca="1" si="100"/>
        <v>0</v>
      </c>
      <c r="AW52" s="255">
        <f t="shared" ca="1" si="100"/>
        <v>0</v>
      </c>
      <c r="AX52" s="255">
        <f t="shared" ca="1" si="100"/>
        <v>0</v>
      </c>
      <c r="AY52" s="255">
        <f t="shared" ca="1" si="100"/>
        <v>0</v>
      </c>
      <c r="AZ52" s="255">
        <f t="shared" ca="1" si="100"/>
        <v>0</v>
      </c>
      <c r="BA52" s="255">
        <f t="shared" ca="1" si="100"/>
        <v>0</v>
      </c>
      <c r="BB52" s="255">
        <f t="shared" ca="1" si="100"/>
        <v>0</v>
      </c>
      <c r="BC52" s="255">
        <f t="shared" ca="1" si="100"/>
        <v>0</v>
      </c>
      <c r="BD52" s="255">
        <f t="shared" ca="1" si="100"/>
        <v>0</v>
      </c>
      <c r="BE52" s="255">
        <f t="shared" ca="1" si="100"/>
        <v>0</v>
      </c>
      <c r="BF52" s="255">
        <f t="shared" ca="1" si="100"/>
        <v>0</v>
      </c>
      <c r="BG52" s="255">
        <f t="shared" ca="1" si="100"/>
        <v>0</v>
      </c>
      <c r="BH52" s="255">
        <f t="shared" ca="1" si="100"/>
        <v>0</v>
      </c>
      <c r="BI52" s="255">
        <f t="shared" ca="1" si="100"/>
        <v>0</v>
      </c>
      <c r="BJ52" s="255">
        <f t="shared" ca="1" si="100"/>
        <v>0</v>
      </c>
      <c r="BK52" s="255">
        <f t="shared" ca="1" si="100"/>
        <v>0</v>
      </c>
      <c r="BL52" s="255">
        <f t="shared" ca="1" si="100"/>
        <v>0</v>
      </c>
      <c r="BM52" s="255">
        <f t="shared" ca="1" si="100"/>
        <v>0</v>
      </c>
      <c r="BN52" s="255">
        <f t="shared" ca="1" si="100"/>
        <v>0</v>
      </c>
      <c r="BO52" s="255">
        <f t="shared" ca="1" si="100"/>
        <v>0</v>
      </c>
      <c r="BP52" s="255">
        <f t="shared" ca="1" si="100"/>
        <v>0</v>
      </c>
      <c r="BQ52" s="255">
        <f t="shared" ca="1" si="100"/>
        <v>0</v>
      </c>
      <c r="BR52" s="255">
        <f t="shared" ca="1" si="100"/>
        <v>0</v>
      </c>
      <c r="BS52" s="255">
        <f t="shared" ca="1" si="100"/>
        <v>0</v>
      </c>
      <c r="BT52" s="255">
        <f t="shared" ca="1" si="100"/>
        <v>0</v>
      </c>
      <c r="BU52" s="255">
        <f t="shared" ca="1" si="100"/>
        <v>0</v>
      </c>
      <c r="BV52" s="255">
        <f t="shared" ref="BV52:DA52" ca="1" si="101">SUM(BV11:BV51)</f>
        <v>0</v>
      </c>
      <c r="BW52" s="255">
        <f t="shared" ca="1" si="101"/>
        <v>0</v>
      </c>
      <c r="BX52" s="255">
        <f t="shared" ca="1" si="101"/>
        <v>0</v>
      </c>
      <c r="BY52" s="255">
        <f t="shared" ca="1" si="101"/>
        <v>0</v>
      </c>
      <c r="BZ52" s="255">
        <f t="shared" ca="1" si="101"/>
        <v>0</v>
      </c>
      <c r="CA52" s="255">
        <f t="shared" ca="1" si="101"/>
        <v>0</v>
      </c>
      <c r="CB52" s="255">
        <f t="shared" ca="1" si="101"/>
        <v>0</v>
      </c>
      <c r="CC52" s="255">
        <f t="shared" ca="1" si="101"/>
        <v>0</v>
      </c>
      <c r="CD52" s="255">
        <f t="shared" ca="1" si="101"/>
        <v>0</v>
      </c>
      <c r="CE52" s="255">
        <f t="shared" ca="1" si="101"/>
        <v>0</v>
      </c>
      <c r="CF52" s="255">
        <f t="shared" ca="1" si="101"/>
        <v>0</v>
      </c>
      <c r="CG52" s="255">
        <f t="shared" ca="1" si="101"/>
        <v>0</v>
      </c>
      <c r="CH52" s="255">
        <f t="shared" ca="1" si="101"/>
        <v>0</v>
      </c>
      <c r="CI52" s="255">
        <f t="shared" ca="1" si="101"/>
        <v>0</v>
      </c>
      <c r="CJ52" s="255">
        <f t="shared" ca="1" si="101"/>
        <v>0</v>
      </c>
      <c r="CK52" s="255">
        <f t="shared" ca="1" si="101"/>
        <v>0</v>
      </c>
      <c r="CL52" s="255">
        <f t="shared" ca="1" si="101"/>
        <v>0</v>
      </c>
      <c r="CM52" s="255">
        <f t="shared" ca="1" si="101"/>
        <v>0</v>
      </c>
      <c r="CN52" s="255">
        <f t="shared" ca="1" si="101"/>
        <v>0</v>
      </c>
      <c r="CO52" s="255">
        <f t="shared" ca="1" si="101"/>
        <v>0</v>
      </c>
      <c r="CP52" s="255">
        <f t="shared" ca="1" si="101"/>
        <v>0</v>
      </c>
      <c r="CQ52" s="255">
        <f t="shared" ca="1" si="101"/>
        <v>0</v>
      </c>
      <c r="CR52" s="255">
        <f t="shared" ca="1" si="101"/>
        <v>0</v>
      </c>
      <c r="CS52" s="255">
        <f t="shared" ca="1" si="101"/>
        <v>0</v>
      </c>
      <c r="CT52" s="255">
        <f t="shared" ca="1" si="101"/>
        <v>0</v>
      </c>
      <c r="CU52" s="255">
        <f t="shared" ca="1" si="101"/>
        <v>0</v>
      </c>
      <c r="CV52" s="255">
        <f t="shared" ca="1" si="101"/>
        <v>0</v>
      </c>
      <c r="CW52" s="255">
        <f t="shared" ca="1" si="101"/>
        <v>0</v>
      </c>
      <c r="CX52" s="255">
        <f t="shared" ca="1" si="101"/>
        <v>0</v>
      </c>
      <c r="CY52" s="255">
        <f t="shared" ca="1" si="101"/>
        <v>0</v>
      </c>
      <c r="CZ52" s="255">
        <f t="shared" ca="1" si="101"/>
        <v>0</v>
      </c>
      <c r="DA52" s="255">
        <f t="shared" ca="1" si="101"/>
        <v>0</v>
      </c>
    </row>
    <row r="53" spans="1:105" s="248" customFormat="1" ht="15" customHeight="1">
      <c r="A53" s="256"/>
      <c r="B53" s="256"/>
      <c r="C53" s="256"/>
      <c r="D53" s="256"/>
      <c r="E53" s="257" t="s">
        <v>212</v>
      </c>
      <c r="F53" s="256"/>
      <c r="G53" s="258"/>
      <c r="H53" s="258"/>
      <c r="I53" s="256"/>
      <c r="J53" s="278">
        <f ca="1">MAX(J10+J52-K10-K52,0)</f>
        <v>667384522</v>
      </c>
      <c r="K53" s="278">
        <f ca="1">MAX(K10+K52-J10-J52,0)</f>
        <v>0</v>
      </c>
      <c r="L53" s="278">
        <f ca="1">MAX(L10+L52-M10-M52,0)</f>
        <v>9382419</v>
      </c>
      <c r="M53" s="278">
        <f ca="1">MAX(M10+M52-L10-L52,0)</f>
        <v>0</v>
      </c>
      <c r="N53" s="278">
        <f ca="1">MAX(N10+N52-O10-O52,0)</f>
        <v>5679984</v>
      </c>
      <c r="O53" s="278">
        <f ca="1">MAX(O10+O52-N10-N52,0)</f>
        <v>0</v>
      </c>
      <c r="P53" s="278">
        <f ca="1">MAX(P10+P52-Q10-Q52,0)</f>
        <v>57038792896</v>
      </c>
      <c r="Q53" s="278">
        <f ca="1">MAX(Q10+Q52-P10-P52,0)</f>
        <v>0</v>
      </c>
      <c r="R53" s="278">
        <f ca="1">MAX(R10+R52-S10-S52,0)</f>
        <v>518470991</v>
      </c>
      <c r="S53" s="278">
        <f ca="1">MAX(S10+S52-R10-R52,0)</f>
        <v>0</v>
      </c>
      <c r="T53" s="278">
        <f ca="1">MAX(T10+T52-U10-U52,0)</f>
        <v>0</v>
      </c>
      <c r="U53" s="278">
        <f ca="1">MAX(U10+U52-T10-T52,0)</f>
        <v>0</v>
      </c>
      <c r="V53" s="278">
        <f ca="1">MAX(V10+V52-W10-W52,0)</f>
        <v>0</v>
      </c>
      <c r="W53" s="278">
        <f ca="1">MAX(W10+W52-V10-V52,0)</f>
        <v>0</v>
      </c>
      <c r="X53" s="278">
        <f ca="1">MAX(X10+X52-Y10-Y52,0)</f>
        <v>0</v>
      </c>
      <c r="Y53" s="278">
        <f ca="1">MAX(Y10+Y52-X10-X52,0)</f>
        <v>0</v>
      </c>
      <c r="Z53" s="278">
        <f ca="1">MAX(Z10+Z52-AA10-AA52,0)</f>
        <v>351991443</v>
      </c>
      <c r="AA53" s="278">
        <f ca="1">MAX(AA10+AA52-Z10-Z52,0)</f>
        <v>0</v>
      </c>
      <c r="AB53" s="278">
        <f ca="1">MAX(AB10+AB52-AC10-AC52,0)</f>
        <v>49990909</v>
      </c>
      <c r="AC53" s="278">
        <f ca="1">MAX(AC10+AC52-AB10-AB52,0)</f>
        <v>0</v>
      </c>
      <c r="AD53" s="278">
        <f ca="1">MAX(AD10+AD52-AE10-AE52,0)</f>
        <v>1450841000</v>
      </c>
      <c r="AE53" s="278">
        <f ca="1">MAX(AE10+AE52-AD10-AD52,0)</f>
        <v>0</v>
      </c>
      <c r="AF53" s="278">
        <f ca="1">MAX(AF10+AF52-AG10-AG52,0)</f>
        <v>3468509299</v>
      </c>
      <c r="AG53" s="278">
        <f ca="1">MAX(AG10+AG52-AF10-AF52,0)</f>
        <v>0</v>
      </c>
      <c r="AH53" s="278">
        <f ca="1">MAX(AH10+AH52-AI10-AI52,0)</f>
        <v>7770361541</v>
      </c>
      <c r="AI53" s="278">
        <f ca="1">MAX(AI10+AI52-AH10-AH52,0)</f>
        <v>0</v>
      </c>
      <c r="AJ53" s="278">
        <f ca="1">MAX(AJ10+AJ52-AK10-AK52,0)</f>
        <v>3807898863</v>
      </c>
      <c r="AK53" s="278">
        <f ca="1">MAX(AK10+AK52-AJ10-AJ52,0)</f>
        <v>0</v>
      </c>
      <c r="AL53" s="278">
        <f ca="1">MAX(AL10+AL52-AM10-AM52,0)</f>
        <v>3790918485</v>
      </c>
      <c r="AM53" s="278">
        <f ca="1">MAX(AM10+AM52-AL10-AL52,0)</f>
        <v>0</v>
      </c>
      <c r="AN53" s="278">
        <f ca="1">MAX(AN10+AN52-AO10-AO52,0)</f>
        <v>5405781300</v>
      </c>
      <c r="AO53" s="278">
        <f ca="1">MAX(AO10+AO52-AN10-AN52,0)</f>
        <v>0</v>
      </c>
      <c r="AP53" s="278">
        <f ca="1">MAX(AP10+AP52-AQ10-AQ52,0)</f>
        <v>0</v>
      </c>
      <c r="AQ53" s="278">
        <f ca="1">MAX(AQ10+AQ52-AP10-AP52,0)</f>
        <v>9758261933</v>
      </c>
      <c r="AR53" s="278">
        <f ca="1">MAX(AR10+AR52-AS10-AS52,0)</f>
        <v>0</v>
      </c>
      <c r="AS53" s="278">
        <f ca="1">MAX(AS10+AS52-AR10-AR52,0)</f>
        <v>720770838</v>
      </c>
      <c r="AT53" s="278">
        <f ca="1">MAX(AT10+AT52-AU10-AU52,0)</f>
        <v>0</v>
      </c>
      <c r="AU53" s="278">
        <f ca="1">MAX(AU10+AU52-AT10-AT52,0)</f>
        <v>0</v>
      </c>
      <c r="AV53" s="278">
        <f ca="1">MAX(AV10+AV52-AW10-AW52,0)</f>
        <v>0</v>
      </c>
      <c r="AW53" s="278">
        <f ca="1">MAX(AW10+AW52-AV10-AV52,0)</f>
        <v>35725221599</v>
      </c>
      <c r="AX53" s="278">
        <f ca="1">MAX(AX10+AX52-AY10-AY52,0)</f>
        <v>0</v>
      </c>
      <c r="AY53" s="278">
        <f ca="1">MAX(AY10+AY52-AX10-AX52,0)</f>
        <v>0</v>
      </c>
      <c r="AZ53" s="278">
        <f ca="1">MAX(AZ10+AZ52-BA10-BA52,0)</f>
        <v>0</v>
      </c>
      <c r="BA53" s="278">
        <f ca="1">MAX(BA10+BA52-AZ10-AZ52,0)</f>
        <v>0</v>
      </c>
      <c r="BB53" s="278">
        <f ca="1">MAX(BB10+BB52-BC10-BC52,0)</f>
        <v>0</v>
      </c>
      <c r="BC53" s="278">
        <f ca="1">MAX(BC10+BC52-BB10-BB52,0)</f>
        <v>0</v>
      </c>
      <c r="BD53" s="278">
        <f ca="1">MAX(BD10+BD52-BE10-BE52,0)</f>
        <v>6386869</v>
      </c>
      <c r="BE53" s="278">
        <f ca="1">MAX(BE10+BE52-BD10-BD52,0)</f>
        <v>0</v>
      </c>
      <c r="BF53" s="278">
        <f ca="1">MAX(BF10+BF52-BG10-BG52,0)</f>
        <v>3389804</v>
      </c>
      <c r="BG53" s="278">
        <f ca="1">MAX(BG10+BG52-BF10-BF52,0)</f>
        <v>0</v>
      </c>
      <c r="BH53" s="278">
        <f ca="1">MAX(BH10+BH52-BI10-BI52,0)</f>
        <v>0</v>
      </c>
      <c r="BI53" s="278">
        <f ca="1">MAX(BI10+BI52-BH10-BH52,0)</f>
        <v>0</v>
      </c>
      <c r="BJ53" s="278">
        <f ca="1">MAX(BJ10+BJ52-BK10-BK52,0)</f>
        <v>0</v>
      </c>
      <c r="BK53" s="278">
        <f ca="1">MAX(BK10+BK52-BJ10-BJ52,0)</f>
        <v>0</v>
      </c>
      <c r="BL53" s="278">
        <f ca="1">MAX(BL10+BL52-BM10-BM52,0)</f>
        <v>0</v>
      </c>
      <c r="BM53" s="278">
        <f ca="1">MAX(BM10+BM52-BL10-BL52,0)</f>
        <v>106628549</v>
      </c>
      <c r="BN53" s="278">
        <f ca="1">MAX(BN10+BN52-BO10-BO52,0)</f>
        <v>0</v>
      </c>
      <c r="BO53" s="278">
        <f ca="1">MAX(BO10+BO52-BN10-BN52,0)</f>
        <v>4469220</v>
      </c>
      <c r="BP53" s="278">
        <f ca="1">MAX(BP10+BP52-BQ10-BQ52,0)</f>
        <v>0</v>
      </c>
      <c r="BQ53" s="278">
        <f ca="1">MAX(BQ10+BQ52-BP10-BP52,0)</f>
        <v>1986320</v>
      </c>
      <c r="BR53" s="278">
        <f ca="1">MAX(BR10+BR52-BS10-BS52,0)</f>
        <v>0</v>
      </c>
      <c r="BS53" s="278">
        <f ca="1">MAX(BS10+BS52-BR10-BR52,0)</f>
        <v>0</v>
      </c>
      <c r="BT53" s="278">
        <f ca="1">MAX(BT10+BT52-BU10-BU52,0)</f>
        <v>0</v>
      </c>
      <c r="BU53" s="278">
        <f ca="1">MAX(BU10+BU52-BT10-BT52,0)</f>
        <v>0</v>
      </c>
      <c r="BV53" s="278">
        <f ca="1">MAX(BV10+BV52-BW10-BW52,0)</f>
        <v>0</v>
      </c>
      <c r="BW53" s="278">
        <f ca="1">MAX(BW10+BW52-BV10-BV52,0)</f>
        <v>27471593800</v>
      </c>
      <c r="BX53" s="278">
        <f ca="1">MAX(BX10+BX52-BY10-BY52,0)</f>
        <v>0</v>
      </c>
      <c r="BY53" s="278">
        <f ca="1">MAX(BY10+BY52-BX10-BX52,0)</f>
        <v>10000000000</v>
      </c>
      <c r="BZ53" s="278">
        <f ca="1">MAX(BZ10+BZ52-CA10-CA52,0)</f>
        <v>0</v>
      </c>
      <c r="CA53" s="278">
        <f ca="1">MAX(CA10+CA52-BZ10-BZ52,0)</f>
        <v>635107905.00000095</v>
      </c>
      <c r="CB53" s="278">
        <f ca="1">MAX(CB10+CB52-CC10-CC52,0)</f>
        <v>78259839.000000477</v>
      </c>
      <c r="CC53" s="278">
        <f ca="1">MAX(CC10+CC52-CB10-CB52,0)</f>
        <v>0</v>
      </c>
      <c r="CD53" s="278">
        <f ca="1">MAX(CD10+CD52-CE10-CE52,0)</f>
        <v>0</v>
      </c>
      <c r="CE53" s="278">
        <f ca="1">MAX(CE10+CE52-CD10-CD52,0)</f>
        <v>0</v>
      </c>
      <c r="CF53" s="278">
        <f ca="1">MAX(CF10+CF52-CG10-CG52,0)</f>
        <v>0</v>
      </c>
      <c r="CG53" s="278">
        <f ca="1">MAX(CG10+CG52-CF10-CF52,0)</f>
        <v>0</v>
      </c>
      <c r="CH53" s="278">
        <f ca="1">MAX(CH10+CH52-CI10-CI52,0)</f>
        <v>0</v>
      </c>
      <c r="CI53" s="278">
        <f ca="1">MAX(CI10+CI52-CH10-CH52,0)</f>
        <v>0</v>
      </c>
      <c r="CJ53" s="278">
        <f ca="1">MAX(CJ10+CJ52-CK10-CK52,0)</f>
        <v>0</v>
      </c>
      <c r="CK53" s="278">
        <f ca="1">MAX(CK10+CK52-CJ10-CJ52,0)</f>
        <v>0</v>
      </c>
      <c r="CL53" s="278">
        <f ca="1">MAX(CL10+CL52-CM10-CM52,0)</f>
        <v>0</v>
      </c>
      <c r="CM53" s="278">
        <f ca="1">MAX(CM10+CM52-CL10-CL52,0)</f>
        <v>0</v>
      </c>
      <c r="CN53" s="278">
        <f ca="1">MAX(CN10+CN52-CO10-CO52,0)</f>
        <v>0</v>
      </c>
      <c r="CO53" s="278">
        <f ca="1">MAX(CO10+CO52-CN10-CN52,0)</f>
        <v>0</v>
      </c>
      <c r="CP53" s="278">
        <f ca="1">MAX(CP10+CP52-CQ10-CQ52,0)</f>
        <v>0</v>
      </c>
      <c r="CQ53" s="278">
        <f ca="1">MAX(CQ10+CQ52-CP10-CP52,0)</f>
        <v>0</v>
      </c>
      <c r="CR53" s="278">
        <f ca="1">MAX(CR10+CR52-CS10-CS52,0)</f>
        <v>0</v>
      </c>
      <c r="CS53" s="278">
        <f ca="1">MAX(CS10+CS52-CR10-CR52,0)</f>
        <v>0</v>
      </c>
      <c r="CT53" s="278">
        <f ca="1">MAX(CT10+CT52-CU10-CU52,0)</f>
        <v>0</v>
      </c>
      <c r="CU53" s="278">
        <f ca="1">MAX(CU10+CU52-CT10-CT52,0)</f>
        <v>0</v>
      </c>
      <c r="CV53" s="278">
        <f ca="1">MAX(CV10+CV52-CW10-CW52,0)</f>
        <v>0</v>
      </c>
      <c r="CW53" s="278">
        <f ca="1">MAX(CW10+CW52-CV10-CV52,0)</f>
        <v>0</v>
      </c>
      <c r="CX53" s="278">
        <f ca="1">MAX(CX10+CX52-CY10-CY52,0)</f>
        <v>0</v>
      </c>
      <c r="CY53" s="278">
        <f ca="1">MAX(CY10+CY52-CX10-CX52,0)</f>
        <v>0</v>
      </c>
      <c r="CZ53" s="278">
        <f ca="1">MAX(CZ10+CZ52-DA10-DA52,0)</f>
        <v>0</v>
      </c>
      <c r="DA53" s="278">
        <f ca="1">MAX(DA10+DA52-CZ10-CZ52,0)</f>
        <v>0</v>
      </c>
    </row>
    <row r="54" spans="1:105" s="248" customFormat="1" ht="15" customHeight="1">
      <c r="A54" s="260"/>
      <c r="B54" s="260"/>
      <c r="C54" s="261"/>
      <c r="D54" s="260"/>
      <c r="E54" s="262" t="s">
        <v>213</v>
      </c>
      <c r="F54" s="260"/>
      <c r="G54" s="263"/>
      <c r="H54" s="263"/>
      <c r="I54" s="260"/>
      <c r="J54" s="260">
        <f ca="1">J52+'SC-I'!J54</f>
        <v>0</v>
      </c>
      <c r="K54" s="260">
        <f ca="1">K52+'SC-I'!K54</f>
        <v>0</v>
      </c>
      <c r="L54" s="260">
        <f ca="1">L52+'SC-I'!L54</f>
        <v>0</v>
      </c>
      <c r="M54" s="260">
        <f ca="1">M52+'SC-I'!M54</f>
        <v>0</v>
      </c>
      <c r="N54" s="260">
        <f ca="1">N52+'SC-I'!N54</f>
        <v>0</v>
      </c>
      <c r="O54" s="260">
        <f ca="1">O52+'SC-I'!O54</f>
        <v>0</v>
      </c>
      <c r="P54" s="260">
        <f ca="1">P52+'SC-I'!P54</f>
        <v>0</v>
      </c>
      <c r="Q54" s="260">
        <f ca="1">Q52+'SC-I'!Q54</f>
        <v>0</v>
      </c>
      <c r="R54" s="260">
        <f ca="1">R52+'SC-I'!R54</f>
        <v>0</v>
      </c>
      <c r="S54" s="260">
        <f ca="1">S52+'SC-I'!S54</f>
        <v>0</v>
      </c>
      <c r="T54" s="260">
        <f ca="1">T52+'SC-I'!T54</f>
        <v>0</v>
      </c>
      <c r="U54" s="260">
        <f ca="1">U52+'SC-I'!U54</f>
        <v>0</v>
      </c>
      <c r="V54" s="260">
        <f ca="1">V52+'SC-I'!V54</f>
        <v>0</v>
      </c>
      <c r="W54" s="260">
        <f ca="1">W52+'SC-I'!W54</f>
        <v>0</v>
      </c>
      <c r="X54" s="260">
        <f ca="1">X52+'SC-I'!X54</f>
        <v>0</v>
      </c>
      <c r="Y54" s="260">
        <f ca="1">Y52+'SC-I'!Y54</f>
        <v>0</v>
      </c>
      <c r="Z54" s="260">
        <f ca="1">Z52+'SC-I'!Z54</f>
        <v>0</v>
      </c>
      <c r="AA54" s="260">
        <f ca="1">AA52+'SC-I'!AA54</f>
        <v>0</v>
      </c>
      <c r="AB54" s="260">
        <f ca="1">AB52+'SC-I'!AB54</f>
        <v>0</v>
      </c>
      <c r="AC54" s="260">
        <f ca="1">AC52+'SC-I'!AC54</f>
        <v>0</v>
      </c>
      <c r="AD54" s="260">
        <f ca="1">AD52+'SC-I'!AD54</f>
        <v>0</v>
      </c>
      <c r="AE54" s="260">
        <f ca="1">AE52+'SC-I'!AE54</f>
        <v>0</v>
      </c>
      <c r="AF54" s="260">
        <f ca="1">AF52+'SC-I'!AF54</f>
        <v>0</v>
      </c>
      <c r="AG54" s="260">
        <f ca="1">AG52+'SC-I'!AG54</f>
        <v>0</v>
      </c>
      <c r="AH54" s="260">
        <f ca="1">AH52+'SC-I'!AH54</f>
        <v>0</v>
      </c>
      <c r="AI54" s="260">
        <f ca="1">AI52+'SC-I'!AI54</f>
        <v>0</v>
      </c>
      <c r="AJ54" s="260">
        <f ca="1">AJ52+'SC-I'!AJ54</f>
        <v>0</v>
      </c>
      <c r="AK54" s="260">
        <f ca="1">AK52+'SC-I'!AK54</f>
        <v>0</v>
      </c>
      <c r="AL54" s="260">
        <f ca="1">AL52+'SC-I'!AL54</f>
        <v>0</v>
      </c>
      <c r="AM54" s="260">
        <f ca="1">AM52+'SC-I'!AM54</f>
        <v>0</v>
      </c>
      <c r="AN54" s="260">
        <f ca="1">AN52+'SC-I'!AN54</f>
        <v>0</v>
      </c>
      <c r="AO54" s="260">
        <f ca="1">AO52+'SC-I'!AO54</f>
        <v>0</v>
      </c>
      <c r="AP54" s="260">
        <f ca="1">AP52+'SC-I'!AP54</f>
        <v>0</v>
      </c>
      <c r="AQ54" s="260">
        <f ca="1">AQ52+'SC-I'!AQ54</f>
        <v>0</v>
      </c>
      <c r="AR54" s="260">
        <f ca="1">AR52+'SC-I'!AR54</f>
        <v>0</v>
      </c>
      <c r="AS54" s="260">
        <f ca="1">AS52+'SC-I'!AS54</f>
        <v>0</v>
      </c>
      <c r="AT54" s="260">
        <f ca="1">AT52+'SC-I'!AT54</f>
        <v>0</v>
      </c>
      <c r="AU54" s="260">
        <f ca="1">AU52+'SC-I'!AU54</f>
        <v>0</v>
      </c>
      <c r="AV54" s="260">
        <f ca="1">AV52+'SC-I'!AV54</f>
        <v>0</v>
      </c>
      <c r="AW54" s="260">
        <f ca="1">AW52+'SC-I'!AW54</f>
        <v>0</v>
      </c>
      <c r="AX54" s="260">
        <f ca="1">AX52+'SC-I'!AX54</f>
        <v>0</v>
      </c>
      <c r="AY54" s="260">
        <f ca="1">AY52+'SC-I'!AY54</f>
        <v>0</v>
      </c>
      <c r="AZ54" s="260">
        <f ca="1">AZ52+'SC-I'!AZ54</f>
        <v>0</v>
      </c>
      <c r="BA54" s="260">
        <f ca="1">BA52+'SC-I'!BA54</f>
        <v>0</v>
      </c>
      <c r="BB54" s="260">
        <f ca="1">BB52+'SC-I'!BB54</f>
        <v>0</v>
      </c>
      <c r="BC54" s="260">
        <f ca="1">BC52+'SC-I'!BC54</f>
        <v>0</v>
      </c>
      <c r="BD54" s="260">
        <f ca="1">BD52+'SC-I'!BD54</f>
        <v>0</v>
      </c>
      <c r="BE54" s="260">
        <f ca="1">BE52+'SC-I'!BE54</f>
        <v>0</v>
      </c>
      <c r="BF54" s="260">
        <f ca="1">BF52+'SC-I'!BF54</f>
        <v>0</v>
      </c>
      <c r="BG54" s="260">
        <f ca="1">BG52+'SC-I'!BG54</f>
        <v>0</v>
      </c>
      <c r="BH54" s="260">
        <f ca="1">BH52+'SC-I'!BH54</f>
        <v>0</v>
      </c>
      <c r="BI54" s="260">
        <f ca="1">BI52+'SC-I'!BI54</f>
        <v>0</v>
      </c>
      <c r="BJ54" s="260">
        <f ca="1">BJ52+'SC-I'!BJ54</f>
        <v>0</v>
      </c>
      <c r="BK54" s="260">
        <f ca="1">BK52+'SC-I'!BK54</f>
        <v>0</v>
      </c>
      <c r="BL54" s="260">
        <f ca="1">BL52+'SC-I'!BL54</f>
        <v>0</v>
      </c>
      <c r="BM54" s="260">
        <f ca="1">BM52+'SC-I'!BM54</f>
        <v>0</v>
      </c>
      <c r="BN54" s="260">
        <f ca="1">BN52+'SC-I'!BN54</f>
        <v>0</v>
      </c>
      <c r="BO54" s="260">
        <f ca="1">BO52+'SC-I'!BO54</f>
        <v>0</v>
      </c>
      <c r="BP54" s="260">
        <f ca="1">BP52+'SC-I'!BP54</f>
        <v>0</v>
      </c>
      <c r="BQ54" s="260">
        <f ca="1">BQ52+'SC-I'!BQ54</f>
        <v>0</v>
      </c>
      <c r="BR54" s="260">
        <f ca="1">BR52+'SC-I'!BR54</f>
        <v>0</v>
      </c>
      <c r="BS54" s="260">
        <f ca="1">BS52+'SC-I'!BS54</f>
        <v>0</v>
      </c>
      <c r="BT54" s="260">
        <f ca="1">BT52+'SC-I'!BT54</f>
        <v>0</v>
      </c>
      <c r="BU54" s="260">
        <f ca="1">BU52+'SC-I'!BU54</f>
        <v>0</v>
      </c>
      <c r="BV54" s="260">
        <f ca="1">BV52+'SC-I'!BV54</f>
        <v>0</v>
      </c>
      <c r="BW54" s="260">
        <f ca="1">BW52+'SC-I'!BW54</f>
        <v>0</v>
      </c>
      <c r="BX54" s="260">
        <f ca="1">BX52+'SC-I'!BX54</f>
        <v>0</v>
      </c>
      <c r="BY54" s="260">
        <f ca="1">BY52+'SC-I'!BY54</f>
        <v>0</v>
      </c>
      <c r="BZ54" s="260">
        <f ca="1">BZ52+'SC-I'!BZ54</f>
        <v>0</v>
      </c>
      <c r="CA54" s="260">
        <f ca="1">CA52+'SC-I'!CA54</f>
        <v>107861885.00000048</v>
      </c>
      <c r="CB54" s="260">
        <f ca="1">CB52+'SC-I'!CB54</f>
        <v>107861885.00000048</v>
      </c>
      <c r="CC54" s="260">
        <f ca="1">CC52+'SC-I'!CC54</f>
        <v>0</v>
      </c>
      <c r="CD54" s="260">
        <f ca="1">CD52+'SC-I'!CD54</f>
        <v>0</v>
      </c>
      <c r="CE54" s="260">
        <f ca="1">CE52+'SC-I'!CE54</f>
        <v>0</v>
      </c>
      <c r="CF54" s="260">
        <f ca="1">CF52+'SC-I'!CF54</f>
        <v>0</v>
      </c>
      <c r="CG54" s="260">
        <f ca="1">CG52+'SC-I'!CG54</f>
        <v>0</v>
      </c>
      <c r="CH54" s="260">
        <f ca="1">CH52+'SC-I'!CH54</f>
        <v>0</v>
      </c>
      <c r="CI54" s="260">
        <f ca="1">CI52+'SC-I'!CI54</f>
        <v>0</v>
      </c>
      <c r="CJ54" s="260">
        <f ca="1">CJ52+'SC-I'!CJ54</f>
        <v>0</v>
      </c>
      <c r="CK54" s="260">
        <f ca="1">CK52+'SC-I'!CK54</f>
        <v>0</v>
      </c>
      <c r="CL54" s="260">
        <f ca="1">CL52+'SC-I'!CL54</f>
        <v>0</v>
      </c>
      <c r="CM54" s="260">
        <f ca="1">CM52+'SC-I'!CM54</f>
        <v>0</v>
      </c>
      <c r="CN54" s="260">
        <f ca="1">CN52+'SC-I'!CN54</f>
        <v>0</v>
      </c>
      <c r="CO54" s="260">
        <f ca="1">CO52+'SC-I'!CO54</f>
        <v>0</v>
      </c>
      <c r="CP54" s="260">
        <f ca="1">CP52+'SC-I'!CP54</f>
        <v>0</v>
      </c>
      <c r="CQ54" s="260">
        <f ca="1">CQ52+'SC-I'!CQ54</f>
        <v>0</v>
      </c>
      <c r="CR54" s="260">
        <f ca="1">CR52+'SC-I'!CR54</f>
        <v>0</v>
      </c>
      <c r="CS54" s="260">
        <f ca="1">CS52+'SC-I'!CS54</f>
        <v>0</v>
      </c>
      <c r="CT54" s="260">
        <f ca="1">CT52+'SC-I'!CT54</f>
        <v>0</v>
      </c>
      <c r="CU54" s="260">
        <f ca="1">CU52+'SC-I'!CU54</f>
        <v>0</v>
      </c>
      <c r="CV54" s="260">
        <f ca="1">CV52+'SC-I'!CV54</f>
        <v>0</v>
      </c>
      <c r="CW54" s="260">
        <f ca="1">CW52+'SC-I'!CW54</f>
        <v>0</v>
      </c>
      <c r="CX54" s="260">
        <f ca="1">CX52+'SC-I'!CX54</f>
        <v>0</v>
      </c>
      <c r="CY54" s="260">
        <f ca="1">CY52+'SC-I'!CY54</f>
        <v>0</v>
      </c>
      <c r="CZ54" s="260">
        <f ca="1">CZ52+'SC-I'!CZ54</f>
        <v>0</v>
      </c>
      <c r="DA54" s="260">
        <f ca="1">DA52+'SC-I'!DA54</f>
        <v>0</v>
      </c>
    </row>
    <row r="55" spans="1:105" ht="12" customHeight="1">
      <c r="B55" s="265"/>
      <c r="C55" s="266"/>
      <c r="D55" s="266"/>
      <c r="E55" s="266"/>
      <c r="F55" s="266"/>
      <c r="G55" s="267"/>
      <c r="H55" s="267"/>
      <c r="I55" s="266"/>
      <c r="J55" s="266"/>
      <c r="K55" s="266"/>
    </row>
    <row r="56" spans="1:105">
      <c r="M56" s="268"/>
      <c r="O56" s="268"/>
      <c r="Q56" s="268"/>
      <c r="R56" s="268"/>
      <c r="S56" s="268"/>
      <c r="T56" s="268"/>
      <c r="U56" s="268"/>
      <c r="V56" s="268"/>
      <c r="AM56" s="270"/>
      <c r="AN56" s="269" t="s">
        <v>227</v>
      </c>
      <c r="AO56" s="270"/>
      <c r="AP56" s="270"/>
      <c r="AQ56" s="270"/>
      <c r="AR56" s="271"/>
      <c r="AS56" s="271"/>
      <c r="AT56" s="270"/>
    </row>
    <row r="57" spans="1:105">
      <c r="M57" s="268"/>
      <c r="O57" s="268"/>
      <c r="Q57" s="268"/>
      <c r="R57" s="268"/>
      <c r="S57" s="268"/>
      <c r="T57" s="268"/>
      <c r="U57" s="268"/>
      <c r="V57" s="268"/>
      <c r="AM57" s="270"/>
      <c r="AN57" s="272" t="s">
        <v>217</v>
      </c>
      <c r="AO57" s="270"/>
      <c r="AP57" s="270"/>
      <c r="AQ57" s="270"/>
      <c r="AR57" s="271"/>
      <c r="AS57" s="271"/>
      <c r="AT57" s="270"/>
    </row>
    <row r="58" spans="1:105">
      <c r="M58" s="268"/>
      <c r="O58" s="268"/>
      <c r="Q58" s="268"/>
      <c r="R58" s="268"/>
      <c r="S58" s="268"/>
      <c r="T58" s="268"/>
      <c r="U58" s="268"/>
      <c r="V58" s="268"/>
      <c r="AL58" s="270"/>
      <c r="AM58" s="270"/>
      <c r="AN58" s="270"/>
      <c r="AO58" s="270"/>
      <c r="AP58" s="270"/>
      <c r="AQ58" s="270"/>
      <c r="AR58" s="270"/>
      <c r="AS58" s="270"/>
      <c r="AT58" s="271"/>
    </row>
    <row r="59" spans="1:105">
      <c r="M59" s="268"/>
      <c r="O59" s="268"/>
      <c r="Q59" s="268"/>
      <c r="R59" s="268"/>
      <c r="S59" s="268"/>
      <c r="T59" s="268"/>
      <c r="U59" s="268"/>
      <c r="V59" s="268"/>
      <c r="AL59" s="270"/>
      <c r="AM59" s="270"/>
      <c r="AN59" s="270"/>
      <c r="AO59" s="274" t="s">
        <v>11</v>
      </c>
      <c r="AQ59" s="270"/>
      <c r="AR59" s="270"/>
      <c r="AS59" s="270"/>
      <c r="AT59" s="271"/>
      <c r="AZ59" s="273" t="str">
        <f>"Ngày 30 tháng 06 năm 2015 "</f>
        <v xml:space="preserve">Ngày 30 tháng 06 năm 2015 </v>
      </c>
    </row>
    <row r="60" spans="1:105">
      <c r="M60" s="268"/>
      <c r="O60" s="268"/>
      <c r="Q60" s="268"/>
      <c r="R60" s="268"/>
      <c r="S60" s="268"/>
      <c r="T60" s="268"/>
      <c r="U60" s="268"/>
      <c r="V60" s="268"/>
      <c r="AL60" s="270"/>
      <c r="AN60" s="270"/>
      <c r="AO60" s="276" t="s">
        <v>13</v>
      </c>
      <c r="AQ60" s="270"/>
      <c r="AR60" s="270"/>
      <c r="AS60" s="275" t="s">
        <v>12</v>
      </c>
      <c r="AT60" s="271"/>
      <c r="AZ60" s="274" t="s">
        <v>130</v>
      </c>
    </row>
    <row r="61" spans="1:105">
      <c r="M61" s="268"/>
      <c r="O61" s="268"/>
      <c r="Q61" s="268"/>
      <c r="R61" s="268"/>
      <c r="S61" s="268"/>
      <c r="T61" s="268"/>
      <c r="U61" s="268"/>
      <c r="V61" s="268"/>
      <c r="AL61" s="270"/>
      <c r="AN61" s="270"/>
      <c r="AO61" s="270"/>
      <c r="AQ61" s="270"/>
      <c r="AR61" s="270"/>
      <c r="AS61" s="277" t="s">
        <v>13</v>
      </c>
      <c r="AT61" s="271"/>
      <c r="AZ61" s="276" t="s">
        <v>160</v>
      </c>
    </row>
    <row r="62" spans="1:105">
      <c r="M62" s="268"/>
      <c r="O62" s="268"/>
      <c r="Q62" s="268"/>
      <c r="R62" s="268"/>
      <c r="S62" s="268"/>
      <c r="T62" s="268"/>
      <c r="U62" s="268"/>
      <c r="V62" s="268"/>
      <c r="AL62" s="270"/>
      <c r="AN62" s="270"/>
      <c r="AO62" s="270"/>
      <c r="AP62" s="270"/>
      <c r="AQ62" s="270"/>
      <c r="AR62" s="270"/>
      <c r="AS62" s="270"/>
      <c r="AT62" s="271"/>
      <c r="AZ62" s="270"/>
    </row>
    <row r="63" spans="1:105">
      <c r="M63" s="268"/>
      <c r="O63" s="268"/>
      <c r="Q63" s="268"/>
      <c r="R63" s="268"/>
      <c r="S63" s="268"/>
      <c r="T63" s="268"/>
      <c r="U63" s="268"/>
      <c r="V63" s="268"/>
      <c r="AZ63" s="270"/>
    </row>
    <row r="64" spans="1:105">
      <c r="M64" s="268"/>
      <c r="O64" s="268"/>
      <c r="Q64" s="268"/>
      <c r="R64" s="268"/>
      <c r="S64" s="268"/>
      <c r="T64" s="268"/>
      <c r="U64" s="268"/>
      <c r="V64" s="268"/>
    </row>
    <row r="65" spans="13:22">
      <c r="M65" s="268"/>
      <c r="O65" s="268"/>
      <c r="Q65" s="268"/>
      <c r="R65" s="268"/>
      <c r="S65" s="268"/>
      <c r="T65" s="268"/>
      <c r="U65" s="268"/>
      <c r="V65" s="268"/>
    </row>
    <row r="66" spans="13:22">
      <c r="M66" s="268"/>
      <c r="O66" s="268"/>
      <c r="Q66" s="268"/>
      <c r="R66" s="268"/>
      <c r="S66" s="268"/>
      <c r="T66" s="268"/>
      <c r="U66" s="268"/>
      <c r="V66" s="268"/>
    </row>
    <row r="67" spans="13:22">
      <c r="M67" s="268"/>
      <c r="O67" s="268"/>
      <c r="Q67" s="268"/>
      <c r="R67" s="268"/>
      <c r="S67" s="268"/>
      <c r="T67" s="268"/>
      <c r="U67" s="268"/>
      <c r="V67" s="268"/>
    </row>
    <row r="68" spans="13:22">
      <c r="M68" s="268"/>
      <c r="O68" s="268"/>
      <c r="Q68" s="268"/>
      <c r="R68" s="268"/>
      <c r="S68" s="268"/>
      <c r="T68" s="268"/>
      <c r="U68" s="268"/>
      <c r="V68" s="268"/>
    </row>
    <row r="69" spans="13:22">
      <c r="M69" s="268"/>
      <c r="O69" s="268"/>
      <c r="Q69" s="268"/>
      <c r="R69" s="268"/>
      <c r="S69" s="268"/>
      <c r="T69" s="268"/>
      <c r="U69" s="268"/>
      <c r="V69" s="268"/>
    </row>
    <row r="70" spans="13:22">
      <c r="M70" s="268"/>
      <c r="O70" s="268"/>
      <c r="Q70" s="268"/>
      <c r="R70" s="268"/>
      <c r="S70" s="268"/>
      <c r="T70" s="268"/>
      <c r="U70" s="268"/>
      <c r="V70" s="268"/>
    </row>
    <row r="71" spans="13:22">
      <c r="M71" s="268"/>
      <c r="O71" s="268"/>
      <c r="Q71" s="268"/>
      <c r="R71" s="268"/>
      <c r="S71" s="268"/>
      <c r="T71" s="268"/>
      <c r="U71" s="268"/>
      <c r="V71" s="268"/>
    </row>
    <row r="72" spans="13:22">
      <c r="M72" s="268"/>
      <c r="O72" s="268"/>
      <c r="Q72" s="268"/>
      <c r="R72" s="268"/>
      <c r="S72" s="268"/>
      <c r="T72" s="268"/>
      <c r="U72" s="268"/>
      <c r="V72" s="268"/>
    </row>
    <row r="73" spans="13:22">
      <c r="M73" s="268"/>
      <c r="O73" s="268"/>
      <c r="Q73" s="268"/>
      <c r="R73" s="268"/>
      <c r="S73" s="268"/>
      <c r="T73" s="268"/>
      <c r="U73" s="268"/>
      <c r="V73" s="268"/>
    </row>
    <row r="74" spans="13:22">
      <c r="M74" s="268"/>
      <c r="O74" s="268"/>
      <c r="Q74" s="268"/>
      <c r="R74" s="268"/>
      <c r="S74" s="268"/>
      <c r="T74" s="268"/>
      <c r="U74" s="268"/>
      <c r="V74" s="268"/>
    </row>
    <row r="75" spans="13:22">
      <c r="M75" s="268"/>
      <c r="O75" s="268"/>
      <c r="Q75" s="268"/>
      <c r="R75" s="268"/>
      <c r="S75" s="268"/>
      <c r="T75" s="268"/>
      <c r="U75" s="268"/>
      <c r="V75" s="268"/>
    </row>
    <row r="76" spans="13:22">
      <c r="M76" s="268"/>
      <c r="O76" s="268"/>
      <c r="Q76" s="268"/>
      <c r="R76" s="268"/>
      <c r="S76" s="268"/>
      <c r="T76" s="268"/>
      <c r="U76" s="268"/>
      <c r="V76" s="268"/>
    </row>
    <row r="77" spans="13:22">
      <c r="M77" s="268"/>
      <c r="O77" s="268"/>
      <c r="Q77" s="268"/>
      <c r="R77" s="268"/>
      <c r="S77" s="268"/>
      <c r="T77" s="268"/>
      <c r="U77" s="268"/>
      <c r="V77" s="268"/>
    </row>
    <row r="78" spans="13:22">
      <c r="M78" s="268"/>
      <c r="O78" s="268"/>
      <c r="Q78" s="268"/>
      <c r="R78" s="268"/>
      <c r="S78" s="268"/>
      <c r="T78" s="268"/>
      <c r="U78" s="268"/>
      <c r="V78" s="268"/>
    </row>
    <row r="79" spans="13:22">
      <c r="M79" s="268"/>
      <c r="O79" s="268"/>
      <c r="Q79" s="268"/>
      <c r="R79" s="268"/>
      <c r="S79" s="268"/>
      <c r="T79" s="268"/>
      <c r="U79" s="268"/>
      <c r="V79" s="268"/>
    </row>
    <row r="80" spans="13:22">
      <c r="M80" s="268"/>
      <c r="O80" s="268"/>
      <c r="Q80" s="268"/>
      <c r="R80" s="268"/>
      <c r="S80" s="268"/>
      <c r="T80" s="268"/>
      <c r="U80" s="268"/>
      <c r="V80" s="268"/>
    </row>
    <row r="81" spans="13:22">
      <c r="M81" s="268"/>
      <c r="O81" s="268"/>
      <c r="Q81" s="268"/>
      <c r="R81" s="268"/>
      <c r="S81" s="268"/>
      <c r="T81" s="268"/>
      <c r="U81" s="268"/>
      <c r="V81" s="268"/>
    </row>
    <row r="82" spans="13:22">
      <c r="M82" s="268"/>
      <c r="O82" s="268"/>
      <c r="Q82" s="268"/>
      <c r="R82" s="268"/>
      <c r="S82" s="268"/>
      <c r="T82" s="268"/>
      <c r="U82" s="268"/>
      <c r="V82" s="268"/>
    </row>
    <row r="83" spans="13:22">
      <c r="M83" s="268"/>
      <c r="O83" s="268"/>
      <c r="Q83" s="268"/>
      <c r="R83" s="268"/>
      <c r="S83" s="268"/>
      <c r="T83" s="268"/>
      <c r="U83" s="268"/>
      <c r="V83" s="268"/>
    </row>
    <row r="84" spans="13:22">
      <c r="M84" s="268"/>
      <c r="O84" s="268"/>
      <c r="Q84" s="268"/>
      <c r="R84" s="268"/>
      <c r="S84" s="268"/>
      <c r="T84" s="268"/>
      <c r="U84" s="268"/>
      <c r="V84" s="268"/>
    </row>
    <row r="85" spans="13:22">
      <c r="M85" s="268"/>
      <c r="O85" s="268"/>
      <c r="Q85" s="268"/>
      <c r="R85" s="268"/>
      <c r="S85" s="268"/>
      <c r="T85" s="268"/>
      <c r="U85" s="268"/>
      <c r="V85" s="268"/>
    </row>
    <row r="86" spans="13:22">
      <c r="M86" s="268"/>
      <c r="O86" s="268"/>
      <c r="Q86" s="268"/>
      <c r="R86" s="268"/>
      <c r="S86" s="268"/>
      <c r="T86" s="268"/>
      <c r="U86" s="268"/>
      <c r="V86" s="268"/>
    </row>
    <row r="87" spans="13:22">
      <c r="M87" s="268"/>
      <c r="O87" s="268"/>
      <c r="Q87" s="268"/>
      <c r="R87" s="268"/>
      <c r="S87" s="268"/>
      <c r="T87" s="268"/>
      <c r="U87" s="268"/>
      <c r="V87" s="268"/>
    </row>
    <row r="88" spans="13:22">
      <c r="M88" s="268"/>
      <c r="O88" s="268"/>
      <c r="Q88" s="268"/>
      <c r="R88" s="268"/>
      <c r="S88" s="268"/>
      <c r="T88" s="268"/>
      <c r="U88" s="268"/>
      <c r="V88" s="268"/>
    </row>
    <row r="89" spans="13:22">
      <c r="M89" s="268"/>
      <c r="O89" s="268"/>
      <c r="Q89" s="268"/>
      <c r="R89" s="268"/>
      <c r="S89" s="268"/>
      <c r="T89" s="268"/>
      <c r="U89" s="268"/>
      <c r="V89" s="268"/>
    </row>
    <row r="90" spans="13:22">
      <c r="M90" s="268"/>
      <c r="O90" s="268"/>
      <c r="Q90" s="268"/>
      <c r="R90" s="268"/>
      <c r="S90" s="268"/>
      <c r="T90" s="268"/>
      <c r="U90" s="268"/>
      <c r="V90" s="268"/>
    </row>
    <row r="91" spans="13:22">
      <c r="M91" s="268"/>
      <c r="O91" s="268"/>
      <c r="Q91" s="268"/>
      <c r="R91" s="268"/>
      <c r="S91" s="268"/>
      <c r="T91" s="268"/>
      <c r="U91" s="268"/>
      <c r="V91" s="268"/>
    </row>
    <row r="92" spans="13:22">
      <c r="M92" s="268"/>
      <c r="O92" s="268"/>
      <c r="Q92" s="268"/>
      <c r="R92" s="268"/>
      <c r="S92" s="268"/>
      <c r="T92" s="268"/>
      <c r="U92" s="268"/>
      <c r="V92" s="268"/>
    </row>
    <row r="93" spans="13:22">
      <c r="M93" s="268"/>
      <c r="O93" s="268"/>
      <c r="Q93" s="268"/>
      <c r="R93" s="268"/>
      <c r="S93" s="268"/>
      <c r="T93" s="268"/>
      <c r="U93" s="268"/>
      <c r="V93" s="268"/>
    </row>
    <row r="94" spans="13:22">
      <c r="M94" s="268"/>
      <c r="O94" s="268"/>
      <c r="Q94" s="268"/>
      <c r="R94" s="268"/>
      <c r="S94" s="268"/>
      <c r="T94" s="268"/>
      <c r="U94" s="268"/>
      <c r="V94" s="268"/>
    </row>
    <row r="95" spans="13:22">
      <c r="M95" s="268"/>
      <c r="O95" s="268"/>
      <c r="Q95" s="268"/>
      <c r="R95" s="268"/>
      <c r="S95" s="268"/>
      <c r="T95" s="268"/>
      <c r="U95" s="268"/>
      <c r="V95" s="268"/>
    </row>
    <row r="96" spans="13:22">
      <c r="M96" s="268"/>
      <c r="O96" s="268"/>
      <c r="Q96" s="268"/>
      <c r="R96" s="268"/>
      <c r="S96" s="268"/>
      <c r="T96" s="268"/>
      <c r="U96" s="268"/>
      <c r="V96" s="268"/>
    </row>
    <row r="97" spans="13:22">
      <c r="M97" s="268"/>
      <c r="O97" s="268"/>
      <c r="Q97" s="268"/>
      <c r="R97" s="268"/>
      <c r="S97" s="268"/>
      <c r="T97" s="268"/>
      <c r="U97" s="268"/>
      <c r="V97" s="268"/>
    </row>
    <row r="98" spans="13:22">
      <c r="M98" s="268"/>
      <c r="O98" s="268"/>
      <c r="Q98" s="268"/>
      <c r="R98" s="268"/>
      <c r="S98" s="268"/>
      <c r="T98" s="268"/>
      <c r="U98" s="268"/>
      <c r="V98" s="268"/>
    </row>
    <row r="99" spans="13:22">
      <c r="M99" s="268"/>
      <c r="O99" s="268"/>
      <c r="Q99" s="268"/>
      <c r="R99" s="268"/>
      <c r="S99" s="268"/>
      <c r="T99" s="268"/>
      <c r="U99" s="268"/>
      <c r="V99" s="268"/>
    </row>
    <row r="100" spans="13:22">
      <c r="M100" s="268"/>
      <c r="O100" s="268"/>
      <c r="Q100" s="268"/>
      <c r="R100" s="268"/>
      <c r="S100" s="268"/>
      <c r="T100" s="268"/>
      <c r="U100" s="268"/>
      <c r="V100" s="268"/>
    </row>
    <row r="101" spans="13:22">
      <c r="M101" s="268"/>
      <c r="O101" s="268"/>
      <c r="Q101" s="268"/>
      <c r="R101" s="268"/>
      <c r="S101" s="268"/>
      <c r="T101" s="268"/>
      <c r="U101" s="268"/>
      <c r="V101" s="268"/>
    </row>
    <row r="102" spans="13:22">
      <c r="M102" s="268"/>
      <c r="O102" s="268"/>
      <c r="Q102" s="268"/>
      <c r="R102" s="268"/>
      <c r="S102" s="268"/>
      <c r="T102" s="268"/>
      <c r="U102" s="268"/>
      <c r="V102" s="268"/>
    </row>
    <row r="103" spans="13:22">
      <c r="M103" s="268"/>
      <c r="O103" s="268"/>
      <c r="Q103" s="268"/>
      <c r="R103" s="268"/>
      <c r="S103" s="268"/>
      <c r="T103" s="268"/>
      <c r="U103" s="268"/>
      <c r="V103" s="268"/>
    </row>
    <row r="104" spans="13:22">
      <c r="M104" s="268"/>
      <c r="O104" s="268"/>
      <c r="Q104" s="268"/>
      <c r="R104" s="268"/>
      <c r="S104" s="268"/>
      <c r="T104" s="268"/>
      <c r="U104" s="268"/>
      <c r="V104" s="268"/>
    </row>
    <row r="105" spans="13:22">
      <c r="M105" s="268"/>
      <c r="O105" s="268"/>
      <c r="Q105" s="268"/>
      <c r="R105" s="268"/>
      <c r="S105" s="268"/>
      <c r="T105" s="268"/>
      <c r="U105" s="268"/>
      <c r="V105" s="268"/>
    </row>
    <row r="106" spans="13:22">
      <c r="M106" s="268"/>
      <c r="O106" s="268"/>
      <c r="Q106" s="268"/>
      <c r="R106" s="268"/>
      <c r="S106" s="268"/>
      <c r="T106" s="268"/>
      <c r="U106" s="268"/>
      <c r="V106" s="268"/>
    </row>
    <row r="107" spans="13:22">
      <c r="M107" s="268"/>
      <c r="O107" s="268"/>
      <c r="Q107" s="268"/>
      <c r="R107" s="268"/>
      <c r="S107" s="268"/>
      <c r="T107" s="268"/>
      <c r="U107" s="268"/>
      <c r="V107" s="268"/>
    </row>
    <row r="108" spans="13:22">
      <c r="M108" s="268"/>
      <c r="O108" s="268"/>
      <c r="Q108" s="268"/>
      <c r="R108" s="268"/>
      <c r="S108" s="268"/>
      <c r="T108" s="268"/>
      <c r="U108" s="268"/>
      <c r="V108" s="268"/>
    </row>
    <row r="109" spans="13:22">
      <c r="M109" s="268"/>
      <c r="O109" s="268"/>
      <c r="Q109" s="268"/>
      <c r="R109" s="268"/>
      <c r="S109" s="268"/>
      <c r="T109" s="268"/>
      <c r="U109" s="268"/>
      <c r="V109" s="268"/>
    </row>
    <row r="110" spans="13:22">
      <c r="M110" s="268"/>
      <c r="O110" s="268"/>
      <c r="Q110" s="268"/>
      <c r="R110" s="268"/>
      <c r="S110" s="268"/>
      <c r="T110" s="268"/>
      <c r="U110" s="268"/>
      <c r="V110" s="268"/>
    </row>
    <row r="111" spans="13:22">
      <c r="M111" s="268"/>
      <c r="O111" s="268"/>
      <c r="Q111" s="268"/>
      <c r="R111" s="268"/>
      <c r="S111" s="268"/>
      <c r="T111" s="268"/>
      <c r="U111" s="268"/>
      <c r="V111" s="268"/>
    </row>
    <row r="112" spans="13:22">
      <c r="M112" s="268"/>
      <c r="O112" s="268"/>
      <c r="Q112" s="268"/>
      <c r="R112" s="268"/>
      <c r="S112" s="268"/>
      <c r="T112" s="268"/>
      <c r="U112" s="268"/>
      <c r="V112" s="268"/>
    </row>
    <row r="113" spans="13:22">
      <c r="M113" s="268"/>
      <c r="O113" s="268"/>
      <c r="Q113" s="268"/>
      <c r="R113" s="268"/>
      <c r="S113" s="268"/>
      <c r="T113" s="268"/>
      <c r="U113" s="268"/>
      <c r="V113" s="268"/>
    </row>
    <row r="114" spans="13:22">
      <c r="M114" s="268"/>
      <c r="O114" s="268"/>
      <c r="Q114" s="268"/>
      <c r="R114" s="268"/>
      <c r="S114" s="268"/>
      <c r="T114" s="268"/>
      <c r="U114" s="268"/>
      <c r="V114" s="268"/>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73"/>
  <sheetViews>
    <sheetView topLeftCell="A7" workbookViewId="0">
      <pane xSplit="8" ySplit="5" topLeftCell="CO3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29" customWidth="1"/>
    <col min="2" max="2" width="8.28515625" style="229" customWidth="1"/>
    <col min="3" max="3" width="7.85546875" style="229" customWidth="1"/>
    <col min="4" max="4" width="8.28515625" style="229" customWidth="1"/>
    <col min="5" max="5" width="44.7109375" style="229" customWidth="1"/>
    <col min="6" max="6" width="15.140625" style="279" customWidth="1"/>
    <col min="7" max="8" width="5.85546875" style="230" customWidth="1"/>
    <col min="9" max="9" width="4.85546875" style="229" customWidth="1"/>
    <col min="10" max="10" width="13.28515625" style="229" customWidth="1"/>
    <col min="11" max="11" width="12.85546875" style="229" customWidth="1"/>
    <col min="12" max="15" width="13.42578125" style="229" customWidth="1"/>
    <col min="16" max="16" width="13.5703125" style="229" customWidth="1"/>
    <col min="17" max="17" width="13.28515625" style="229" customWidth="1"/>
    <col min="18" max="18" width="13.5703125" style="229" customWidth="1"/>
    <col min="19" max="19" width="11.42578125" style="229" customWidth="1"/>
    <col min="20" max="20" width="13.7109375" style="229" customWidth="1"/>
    <col min="21" max="21" width="4.42578125" style="229" customWidth="1"/>
    <col min="22" max="22" width="14.140625" style="229" customWidth="1"/>
    <col min="23" max="23" width="13.85546875" style="229" customWidth="1"/>
    <col min="24" max="24" width="5.42578125" style="229" customWidth="1"/>
    <col min="25" max="25" width="6.140625" style="229" customWidth="1"/>
    <col min="26" max="26" width="9.5703125" style="229" customWidth="1"/>
    <col min="27" max="27" width="9.7109375" style="229" customWidth="1"/>
    <col min="28" max="28" width="13" style="229" customWidth="1"/>
    <col min="29" max="29" width="12.85546875" style="229" customWidth="1"/>
    <col min="30" max="30" width="4.5703125" style="229" customWidth="1"/>
    <col min="31" max="31" width="13.85546875" style="229" customWidth="1"/>
    <col min="32" max="32" width="4.5703125" style="229" customWidth="1"/>
    <col min="33" max="33" width="13.85546875" style="229" customWidth="1"/>
    <col min="34" max="34" width="4.7109375" style="229" customWidth="1"/>
    <col min="35" max="35" width="12.5703125" style="229" customWidth="1"/>
    <col min="36" max="36" width="11.7109375" style="229" customWidth="1"/>
    <col min="37" max="37" width="5.28515625" style="229" customWidth="1"/>
    <col min="38" max="38" width="11.140625" style="229" customWidth="1"/>
    <col min="39" max="39" width="10.28515625" style="229" customWidth="1"/>
    <col min="40" max="40" width="9.5703125" style="229" customWidth="1"/>
    <col min="41" max="41" width="9.140625" style="229" customWidth="1"/>
    <col min="42" max="42" width="12.7109375" style="229" customWidth="1"/>
    <col min="43" max="43" width="12.5703125" style="229" customWidth="1"/>
    <col min="44" max="44" width="15.140625" style="229" customWidth="1"/>
    <col min="45" max="45" width="15.5703125" style="229" customWidth="1"/>
    <col min="46" max="47" width="10.85546875" style="229" customWidth="1"/>
    <col min="48" max="48" width="7" style="229" customWidth="1"/>
    <col min="49" max="49" width="7.7109375" style="229" customWidth="1"/>
    <col min="50" max="50" width="7.140625" style="229" customWidth="1"/>
    <col min="51" max="51" width="6.7109375" style="229" customWidth="1"/>
    <col min="52" max="52" width="14.7109375" style="229" customWidth="1"/>
    <col min="53" max="53" width="15.140625" style="229" customWidth="1"/>
    <col min="54" max="16384" width="9.140625" style="229"/>
  </cols>
  <sheetData>
    <row r="1" spans="1:105" ht="12.75" customHeight="1">
      <c r="A1" s="225"/>
      <c r="B1" s="226" t="s">
        <v>121</v>
      </c>
      <c r="C1" s="227"/>
      <c r="D1" s="227"/>
      <c r="E1" s="228"/>
      <c r="I1" s="227"/>
      <c r="K1" s="1398" t="s">
        <v>187</v>
      </c>
      <c r="L1" s="1398"/>
      <c r="M1" s="1398"/>
      <c r="N1" s="1398"/>
      <c r="O1" s="1398"/>
      <c r="P1" s="1398"/>
      <c r="Q1" s="1398"/>
      <c r="R1" s="228"/>
      <c r="T1" s="227"/>
      <c r="U1" s="227"/>
      <c r="V1" s="227"/>
      <c r="W1" s="227"/>
      <c r="X1" s="227"/>
      <c r="Y1" s="227"/>
      <c r="Z1" s="227"/>
      <c r="AA1" s="227"/>
      <c r="AB1" s="227"/>
      <c r="AC1" s="227"/>
      <c r="AD1" s="227"/>
      <c r="AE1" s="227"/>
      <c r="AF1" s="368"/>
      <c r="AG1" s="368"/>
      <c r="AH1" s="227"/>
      <c r="AI1" s="227"/>
      <c r="AJ1" s="227"/>
      <c r="AK1" s="227"/>
      <c r="AL1" s="227"/>
      <c r="AM1" s="227"/>
      <c r="AN1" s="227"/>
      <c r="AO1" s="227"/>
      <c r="AP1" s="228"/>
      <c r="AQ1" s="228"/>
      <c r="AR1" s="227"/>
      <c r="AS1" s="227"/>
      <c r="AT1" s="227"/>
      <c r="AU1" s="227"/>
      <c r="AV1" s="227"/>
      <c r="AW1" s="227"/>
      <c r="AX1" s="227"/>
      <c r="AY1" s="227"/>
      <c r="AZ1" s="227"/>
      <c r="BA1" s="227"/>
    </row>
    <row r="2" spans="1:105" ht="12.75" customHeight="1">
      <c r="A2" s="225"/>
      <c r="B2" s="226" t="s">
        <v>176</v>
      </c>
      <c r="C2" s="227"/>
      <c r="D2" s="227"/>
      <c r="E2" s="227"/>
      <c r="I2" s="231"/>
      <c r="K2" s="1399" t="s">
        <v>143</v>
      </c>
      <c r="L2" s="1399"/>
      <c r="M2" s="1399"/>
      <c r="N2" s="1399"/>
      <c r="O2" s="1399"/>
      <c r="P2" s="1399"/>
      <c r="Q2" s="1399"/>
      <c r="R2" s="232"/>
      <c r="T2" s="231"/>
      <c r="U2" s="231"/>
      <c r="V2" s="231"/>
      <c r="W2" s="231"/>
      <c r="X2" s="231"/>
      <c r="Y2" s="231"/>
      <c r="Z2" s="231"/>
      <c r="AA2" s="231"/>
      <c r="AB2" s="231"/>
      <c r="AC2" s="231"/>
      <c r="AD2" s="231"/>
      <c r="AE2" s="231"/>
      <c r="AF2" s="369"/>
      <c r="AG2" s="369"/>
      <c r="AH2" s="231"/>
      <c r="AI2" s="231"/>
      <c r="AJ2" s="231"/>
      <c r="AK2" s="231"/>
      <c r="AL2" s="231"/>
      <c r="AM2" s="231"/>
      <c r="AN2" s="231"/>
      <c r="AO2" s="231"/>
      <c r="AP2" s="232"/>
      <c r="AQ2" s="232"/>
      <c r="AR2" s="231"/>
      <c r="AS2" s="231"/>
      <c r="AT2" s="231"/>
      <c r="AU2" s="231"/>
      <c r="AV2" s="231"/>
      <c r="AW2" s="231"/>
      <c r="AX2" s="231"/>
      <c r="AY2" s="231"/>
      <c r="AZ2" s="231"/>
      <c r="BA2" s="231"/>
    </row>
    <row r="3" spans="1:105" ht="10.5" customHeight="1">
      <c r="A3" s="227"/>
      <c r="B3" s="227"/>
      <c r="C3" s="227"/>
      <c r="D3" s="227"/>
      <c r="E3" s="227"/>
      <c r="F3" s="280"/>
      <c r="G3" s="233"/>
      <c r="H3" s="233"/>
      <c r="I3" s="231"/>
      <c r="K3" s="1399"/>
      <c r="L3" s="1399"/>
      <c r="M3" s="1399"/>
      <c r="N3" s="1399"/>
      <c r="O3" s="1399"/>
      <c r="P3" s="1399"/>
      <c r="Q3" s="1399"/>
      <c r="R3" s="232"/>
      <c r="T3" s="231"/>
      <c r="U3" s="231"/>
      <c r="V3" s="231"/>
      <c r="W3" s="231"/>
      <c r="X3" s="231"/>
      <c r="Y3" s="231"/>
      <c r="Z3" s="231"/>
      <c r="AA3" s="231"/>
      <c r="AB3" s="231"/>
      <c r="AC3" s="231"/>
      <c r="AD3" s="231"/>
      <c r="AE3" s="231"/>
      <c r="AF3" s="369"/>
      <c r="AG3" s="369"/>
      <c r="AH3" s="231"/>
      <c r="AI3" s="231"/>
      <c r="AJ3" s="231"/>
      <c r="AK3" s="231"/>
      <c r="AL3" s="231"/>
      <c r="AM3" s="231"/>
      <c r="AN3" s="231"/>
      <c r="AO3" s="231"/>
      <c r="AP3" s="232"/>
      <c r="AQ3" s="232"/>
      <c r="AR3" s="231"/>
      <c r="AS3" s="231"/>
      <c r="AT3" s="231"/>
      <c r="AU3" s="231"/>
      <c r="AV3" s="231"/>
      <c r="AW3" s="231"/>
      <c r="AX3" s="231"/>
      <c r="AY3" s="231"/>
      <c r="AZ3" s="231"/>
      <c r="BA3" s="231"/>
    </row>
    <row r="4" spans="1:105" ht="19.5" customHeight="1">
      <c r="B4" s="1400" t="s">
        <v>112</v>
      </c>
      <c r="C4" s="1400"/>
      <c r="D4" s="1400"/>
      <c r="E4" s="1400"/>
      <c r="F4" s="1400"/>
      <c r="G4" s="1400"/>
      <c r="H4" s="1400"/>
      <c r="I4" s="1400"/>
      <c r="J4" s="1400"/>
      <c r="K4" s="1400"/>
      <c r="L4" s="1400"/>
      <c r="M4" s="1400"/>
      <c r="N4" s="1400"/>
      <c r="O4" s="1400"/>
      <c r="P4" s="1400"/>
      <c r="Q4" s="1400"/>
      <c r="R4" s="1400"/>
      <c r="S4" s="234"/>
      <c r="T4" s="236"/>
      <c r="U4" s="236"/>
      <c r="V4" s="236"/>
      <c r="W4" s="236"/>
      <c r="X4" s="236"/>
      <c r="Y4" s="236"/>
      <c r="Z4" s="236"/>
      <c r="AA4" s="236"/>
      <c r="AB4" s="236"/>
      <c r="AC4" s="236"/>
      <c r="AD4" s="236"/>
      <c r="AE4" s="236"/>
      <c r="AF4" s="236"/>
      <c r="AG4" s="236"/>
      <c r="AH4" s="236"/>
      <c r="AI4" s="236"/>
      <c r="AJ4" s="236"/>
      <c r="AK4" s="236"/>
      <c r="AL4" s="236"/>
      <c r="AM4" s="236"/>
      <c r="AN4" s="236"/>
      <c r="AO4" s="236"/>
      <c r="AP4" s="281"/>
      <c r="AQ4" s="281"/>
      <c r="AR4" s="236"/>
      <c r="AS4" s="236"/>
      <c r="AT4" s="236"/>
      <c r="AU4" s="236"/>
      <c r="AV4" s="236"/>
      <c r="AW4" s="236"/>
      <c r="AX4" s="236"/>
      <c r="AY4" s="236"/>
      <c r="AZ4" s="236"/>
      <c r="BA4" s="236"/>
    </row>
    <row r="5" spans="1:105" ht="15">
      <c r="B5" s="1401" t="s">
        <v>218</v>
      </c>
      <c r="C5" s="1401"/>
      <c r="D5" s="1401"/>
      <c r="E5" s="1401"/>
      <c r="F5" s="1401"/>
      <c r="G5" s="1401"/>
      <c r="H5" s="1401"/>
      <c r="I5" s="1401"/>
      <c r="J5" s="1401"/>
      <c r="K5" s="1401"/>
      <c r="L5" s="1401"/>
      <c r="M5" s="1401"/>
      <c r="N5" s="1401"/>
      <c r="O5" s="1401"/>
      <c r="P5" s="1401"/>
      <c r="Q5" s="1401"/>
      <c r="R5" s="1401"/>
      <c r="S5" s="237"/>
      <c r="AP5" s="237"/>
      <c r="AQ5" s="237"/>
    </row>
    <row r="7" spans="1:105" ht="13.5" customHeight="1">
      <c r="A7" s="1402" t="s">
        <v>37</v>
      </c>
      <c r="B7" s="1397" t="s">
        <v>22</v>
      </c>
      <c r="C7" s="1404" t="s">
        <v>1</v>
      </c>
      <c r="D7" s="1405"/>
      <c r="E7" s="1397" t="s">
        <v>0</v>
      </c>
      <c r="F7" s="1397" t="s">
        <v>113</v>
      </c>
      <c r="G7" s="1406" t="s">
        <v>114</v>
      </c>
      <c r="H7" s="1406"/>
      <c r="I7" s="1407" t="s">
        <v>37</v>
      </c>
      <c r="J7" s="1397" t="s">
        <v>189</v>
      </c>
      <c r="K7" s="1397"/>
      <c r="L7" s="1397" t="s">
        <v>190</v>
      </c>
      <c r="M7" s="1397"/>
      <c r="N7" s="1397" t="s">
        <v>258</v>
      </c>
      <c r="O7" s="1397"/>
      <c r="P7" s="1397" t="s">
        <v>596</v>
      </c>
      <c r="Q7" s="1397"/>
      <c r="R7" s="1397" t="s">
        <v>191</v>
      </c>
      <c r="S7" s="1397"/>
      <c r="T7" s="1397" t="s">
        <v>192</v>
      </c>
      <c r="U7" s="1397"/>
      <c r="V7" s="1397" t="s">
        <v>597</v>
      </c>
      <c r="W7" s="1397"/>
      <c r="X7" s="1397" t="s">
        <v>598</v>
      </c>
      <c r="Y7" s="1397"/>
      <c r="Z7" s="1397" t="s">
        <v>599</v>
      </c>
      <c r="AA7" s="1397"/>
      <c r="AB7" s="1397" t="s">
        <v>600</v>
      </c>
      <c r="AC7" s="1397"/>
      <c r="AD7" s="1397" t="s">
        <v>601</v>
      </c>
      <c r="AE7" s="1397"/>
      <c r="AF7" s="1397" t="s">
        <v>602</v>
      </c>
      <c r="AG7" s="1397"/>
      <c r="AH7" s="1397" t="s">
        <v>603</v>
      </c>
      <c r="AI7" s="1397"/>
      <c r="AJ7" s="1397" t="s">
        <v>604</v>
      </c>
      <c r="AK7" s="1397"/>
      <c r="AL7" s="1397" t="s">
        <v>605</v>
      </c>
      <c r="AM7" s="1397"/>
      <c r="AN7" s="1397" t="s">
        <v>606</v>
      </c>
      <c r="AO7" s="1397"/>
      <c r="AP7" s="1397" t="s">
        <v>607</v>
      </c>
      <c r="AQ7" s="1397"/>
      <c r="AR7" s="1397" t="s">
        <v>608</v>
      </c>
      <c r="AS7" s="1397"/>
      <c r="AT7" s="1397" t="s">
        <v>193</v>
      </c>
      <c r="AU7" s="1397"/>
      <c r="AV7" s="1397" t="s">
        <v>194</v>
      </c>
      <c r="AW7" s="1397"/>
      <c r="AX7" s="1397" t="s">
        <v>609</v>
      </c>
      <c r="AY7" s="1397"/>
      <c r="AZ7" s="1397" t="s">
        <v>610</v>
      </c>
      <c r="BA7" s="1397"/>
      <c r="BB7" s="1397" t="s">
        <v>611</v>
      </c>
      <c r="BC7" s="1397"/>
      <c r="BD7" s="1397" t="s">
        <v>195</v>
      </c>
      <c r="BE7" s="1397"/>
      <c r="BF7" s="1397" t="s">
        <v>612</v>
      </c>
      <c r="BG7" s="1397"/>
      <c r="BH7" s="1397" t="s">
        <v>196</v>
      </c>
      <c r="BI7" s="1397"/>
      <c r="BJ7" s="1397" t="s">
        <v>613</v>
      </c>
      <c r="BK7" s="1397"/>
      <c r="BL7" s="1397" t="s">
        <v>614</v>
      </c>
      <c r="BM7" s="1397"/>
      <c r="BN7" s="1397" t="s">
        <v>615</v>
      </c>
      <c r="BO7" s="1397"/>
      <c r="BP7" s="1397" t="s">
        <v>616</v>
      </c>
      <c r="BQ7" s="1397"/>
      <c r="BR7" s="1397" t="s">
        <v>197</v>
      </c>
      <c r="BS7" s="1397"/>
      <c r="BT7" s="1397" t="s">
        <v>198</v>
      </c>
      <c r="BU7" s="1397"/>
      <c r="BV7" s="1397" t="s">
        <v>253</v>
      </c>
      <c r="BW7" s="1397"/>
      <c r="BX7" s="1397" t="s">
        <v>199</v>
      </c>
      <c r="BY7" s="1397"/>
      <c r="BZ7" s="1397" t="s">
        <v>200</v>
      </c>
      <c r="CA7" s="1397"/>
      <c r="CB7" s="1397" t="s">
        <v>201</v>
      </c>
      <c r="CC7" s="1397"/>
      <c r="CD7" s="1397" t="s">
        <v>617</v>
      </c>
      <c r="CE7" s="1397"/>
      <c r="CF7" s="1397" t="s">
        <v>618</v>
      </c>
      <c r="CG7" s="1397"/>
      <c r="CH7" s="1397" t="s">
        <v>202</v>
      </c>
      <c r="CI7" s="1397"/>
      <c r="CJ7" s="1397" t="s">
        <v>619</v>
      </c>
      <c r="CK7" s="1397"/>
      <c r="CL7" s="1397" t="s">
        <v>620</v>
      </c>
      <c r="CM7" s="1397"/>
      <c r="CN7" s="1397" t="s">
        <v>203</v>
      </c>
      <c r="CO7" s="1397"/>
      <c r="CP7" s="1397" t="s">
        <v>621</v>
      </c>
      <c r="CQ7" s="1397"/>
      <c r="CR7" s="1397" t="s">
        <v>204</v>
      </c>
      <c r="CS7" s="1397"/>
      <c r="CT7" s="1397" t="s">
        <v>205</v>
      </c>
      <c r="CU7" s="1397"/>
      <c r="CV7" s="1397" t="s">
        <v>206</v>
      </c>
      <c r="CW7" s="1397"/>
      <c r="CX7" s="1397" t="s">
        <v>207</v>
      </c>
      <c r="CY7" s="1397"/>
      <c r="CZ7" s="1397" t="s">
        <v>208</v>
      </c>
      <c r="DA7" s="1397"/>
    </row>
    <row r="8" spans="1:105" ht="22.5" customHeight="1">
      <c r="A8" s="1403"/>
      <c r="B8" s="1397"/>
      <c r="C8" s="745" t="s">
        <v>17</v>
      </c>
      <c r="D8" s="744" t="s">
        <v>34</v>
      </c>
      <c r="E8" s="1397"/>
      <c r="F8" s="1397"/>
      <c r="G8" s="746" t="s">
        <v>24</v>
      </c>
      <c r="H8" s="746" t="s">
        <v>25</v>
      </c>
      <c r="I8" s="1407"/>
      <c r="J8" s="744" t="s">
        <v>24</v>
      </c>
      <c r="K8" s="744" t="s">
        <v>25</v>
      </c>
      <c r="L8" s="744" t="s">
        <v>24</v>
      </c>
      <c r="M8" s="744" t="s">
        <v>25</v>
      </c>
      <c r="N8" s="744" t="s">
        <v>24</v>
      </c>
      <c r="O8" s="744" t="s">
        <v>25</v>
      </c>
      <c r="P8" s="744" t="s">
        <v>24</v>
      </c>
      <c r="Q8" s="744" t="s">
        <v>25</v>
      </c>
      <c r="R8" s="744" t="s">
        <v>24</v>
      </c>
      <c r="S8" s="744" t="s">
        <v>25</v>
      </c>
      <c r="T8" s="744" t="s">
        <v>24</v>
      </c>
      <c r="U8" s="744" t="s">
        <v>25</v>
      </c>
      <c r="V8" s="744" t="s">
        <v>24</v>
      </c>
      <c r="W8" s="744" t="s">
        <v>25</v>
      </c>
      <c r="X8" s="744" t="s">
        <v>24</v>
      </c>
      <c r="Y8" s="744" t="s">
        <v>25</v>
      </c>
      <c r="Z8" s="744" t="s">
        <v>24</v>
      </c>
      <c r="AA8" s="744" t="s">
        <v>25</v>
      </c>
      <c r="AB8" s="744" t="s">
        <v>24</v>
      </c>
      <c r="AC8" s="744" t="s">
        <v>25</v>
      </c>
      <c r="AD8" s="744" t="s">
        <v>24</v>
      </c>
      <c r="AE8" s="744" t="s">
        <v>25</v>
      </c>
      <c r="AF8" s="744" t="s">
        <v>24</v>
      </c>
      <c r="AG8" s="744" t="s">
        <v>25</v>
      </c>
      <c r="AH8" s="744" t="s">
        <v>24</v>
      </c>
      <c r="AI8" s="744" t="s">
        <v>25</v>
      </c>
      <c r="AJ8" s="744" t="s">
        <v>24</v>
      </c>
      <c r="AK8" s="744" t="s">
        <v>25</v>
      </c>
      <c r="AL8" s="744" t="s">
        <v>24</v>
      </c>
      <c r="AM8" s="744" t="s">
        <v>25</v>
      </c>
      <c r="AN8" s="744" t="s">
        <v>24</v>
      </c>
      <c r="AO8" s="744" t="s">
        <v>25</v>
      </c>
      <c r="AP8" s="744" t="s">
        <v>24</v>
      </c>
      <c r="AQ8" s="744" t="s">
        <v>25</v>
      </c>
      <c r="AR8" s="744" t="s">
        <v>24</v>
      </c>
      <c r="AS8" s="744" t="s">
        <v>25</v>
      </c>
      <c r="AT8" s="744" t="s">
        <v>24</v>
      </c>
      <c r="AU8" s="744" t="s">
        <v>25</v>
      </c>
      <c r="AV8" s="744" t="s">
        <v>24</v>
      </c>
      <c r="AW8" s="744" t="s">
        <v>25</v>
      </c>
      <c r="AX8" s="744" t="s">
        <v>24</v>
      </c>
      <c r="AY8" s="744" t="s">
        <v>25</v>
      </c>
      <c r="AZ8" s="744" t="s">
        <v>24</v>
      </c>
      <c r="BA8" s="744" t="s">
        <v>25</v>
      </c>
      <c r="BB8" s="744" t="s">
        <v>24</v>
      </c>
      <c r="BC8" s="744" t="s">
        <v>25</v>
      </c>
      <c r="BD8" s="744" t="s">
        <v>24</v>
      </c>
      <c r="BE8" s="744" t="s">
        <v>25</v>
      </c>
      <c r="BF8" s="744" t="s">
        <v>24</v>
      </c>
      <c r="BG8" s="744" t="s">
        <v>25</v>
      </c>
      <c r="BH8" s="744" t="s">
        <v>24</v>
      </c>
      <c r="BI8" s="744" t="s">
        <v>25</v>
      </c>
      <c r="BJ8" s="744" t="s">
        <v>24</v>
      </c>
      <c r="BK8" s="744" t="s">
        <v>25</v>
      </c>
      <c r="BL8" s="744" t="s">
        <v>24</v>
      </c>
      <c r="BM8" s="744" t="s">
        <v>25</v>
      </c>
      <c r="BN8" s="744" t="s">
        <v>24</v>
      </c>
      <c r="BO8" s="744" t="s">
        <v>25</v>
      </c>
      <c r="BP8" s="744" t="s">
        <v>24</v>
      </c>
      <c r="BQ8" s="744" t="s">
        <v>25</v>
      </c>
      <c r="BR8" s="744" t="s">
        <v>24</v>
      </c>
      <c r="BS8" s="744" t="s">
        <v>25</v>
      </c>
      <c r="BT8" s="744" t="s">
        <v>24</v>
      </c>
      <c r="BU8" s="744" t="s">
        <v>25</v>
      </c>
      <c r="BV8" s="744" t="s">
        <v>24</v>
      </c>
      <c r="BW8" s="744" t="s">
        <v>25</v>
      </c>
      <c r="BX8" s="744" t="s">
        <v>24</v>
      </c>
      <c r="BY8" s="744" t="s">
        <v>25</v>
      </c>
      <c r="BZ8" s="744" t="s">
        <v>24</v>
      </c>
      <c r="CA8" s="744" t="s">
        <v>25</v>
      </c>
      <c r="CB8" s="744" t="s">
        <v>24</v>
      </c>
      <c r="CC8" s="744" t="s">
        <v>25</v>
      </c>
      <c r="CD8" s="744" t="s">
        <v>24</v>
      </c>
      <c r="CE8" s="744" t="s">
        <v>25</v>
      </c>
      <c r="CF8" s="744" t="s">
        <v>24</v>
      </c>
      <c r="CG8" s="744" t="s">
        <v>25</v>
      </c>
      <c r="CH8" s="744" t="s">
        <v>24</v>
      </c>
      <c r="CI8" s="744" t="s">
        <v>25</v>
      </c>
      <c r="CJ8" s="744" t="s">
        <v>24</v>
      </c>
      <c r="CK8" s="744" t="s">
        <v>25</v>
      </c>
      <c r="CL8" s="744" t="s">
        <v>24</v>
      </c>
      <c r="CM8" s="744" t="s">
        <v>25</v>
      </c>
      <c r="CN8" s="744" t="s">
        <v>24</v>
      </c>
      <c r="CO8" s="744" t="s">
        <v>25</v>
      </c>
      <c r="CP8" s="744" t="s">
        <v>24</v>
      </c>
      <c r="CQ8" s="744" t="s">
        <v>25</v>
      </c>
      <c r="CR8" s="744" t="s">
        <v>24</v>
      </c>
      <c r="CS8" s="744" t="s">
        <v>25</v>
      </c>
      <c r="CT8" s="744" t="s">
        <v>24</v>
      </c>
      <c r="CU8" s="744" t="s">
        <v>25</v>
      </c>
      <c r="CV8" s="744" t="s">
        <v>24</v>
      </c>
      <c r="CW8" s="744" t="s">
        <v>25</v>
      </c>
      <c r="CX8" s="744" t="s">
        <v>24</v>
      </c>
      <c r="CY8" s="744" t="s">
        <v>25</v>
      </c>
      <c r="CZ8" s="744" t="s">
        <v>24</v>
      </c>
      <c r="DA8" s="744" t="s">
        <v>25</v>
      </c>
    </row>
    <row r="9" spans="1:105" s="240" customFormat="1" ht="8.25" customHeight="1">
      <c r="A9" s="239">
        <v>1</v>
      </c>
      <c r="B9" s="239">
        <v>2</v>
      </c>
      <c r="C9" s="239">
        <v>3</v>
      </c>
      <c r="D9" s="239">
        <v>4</v>
      </c>
      <c r="E9" s="239">
        <v>5</v>
      </c>
      <c r="F9" s="239">
        <v>6</v>
      </c>
      <c r="G9" s="239">
        <v>7</v>
      </c>
      <c r="H9" s="239">
        <v>8</v>
      </c>
      <c r="I9" s="239">
        <v>9</v>
      </c>
      <c r="J9" s="239">
        <v>10</v>
      </c>
      <c r="K9" s="239">
        <v>11</v>
      </c>
      <c r="L9" s="239">
        <v>12</v>
      </c>
      <c r="M9" s="239">
        <v>13</v>
      </c>
      <c r="N9" s="239">
        <v>14</v>
      </c>
      <c r="O9" s="239">
        <v>15</v>
      </c>
      <c r="P9" s="239">
        <v>16</v>
      </c>
      <c r="Q9" s="239">
        <v>17</v>
      </c>
      <c r="R9" s="239">
        <v>18</v>
      </c>
      <c r="S9" s="239">
        <v>19</v>
      </c>
      <c r="T9" s="239">
        <v>20</v>
      </c>
      <c r="U9" s="239">
        <v>21</v>
      </c>
      <c r="V9" s="239">
        <v>22</v>
      </c>
      <c r="W9" s="239">
        <v>23</v>
      </c>
      <c r="X9" s="239">
        <v>24</v>
      </c>
      <c r="Y9" s="239">
        <v>25</v>
      </c>
      <c r="Z9" s="239">
        <v>26</v>
      </c>
      <c r="AA9" s="239">
        <v>27</v>
      </c>
      <c r="AB9" s="239">
        <v>28</v>
      </c>
      <c r="AC9" s="239">
        <v>29</v>
      </c>
      <c r="AD9" s="239">
        <v>30</v>
      </c>
      <c r="AE9" s="239">
        <v>31</v>
      </c>
      <c r="AF9" s="239">
        <v>32</v>
      </c>
      <c r="AG9" s="239">
        <v>33</v>
      </c>
      <c r="AH9" s="239">
        <v>34</v>
      </c>
      <c r="AI9" s="239">
        <v>35</v>
      </c>
      <c r="AJ9" s="239">
        <v>36</v>
      </c>
      <c r="AK9" s="239">
        <v>37</v>
      </c>
      <c r="AL9" s="239">
        <v>38</v>
      </c>
      <c r="AM9" s="239">
        <v>39</v>
      </c>
      <c r="AN9" s="239">
        <v>40</v>
      </c>
      <c r="AO9" s="239">
        <v>41</v>
      </c>
      <c r="AP9" s="239">
        <v>42</v>
      </c>
      <c r="AQ9" s="239">
        <v>43</v>
      </c>
      <c r="AR9" s="239">
        <v>44</v>
      </c>
      <c r="AS9" s="239">
        <v>45</v>
      </c>
      <c r="AT9" s="239">
        <v>46</v>
      </c>
      <c r="AU9" s="239">
        <v>47</v>
      </c>
      <c r="AV9" s="239">
        <v>48</v>
      </c>
      <c r="AW9" s="239">
        <v>49</v>
      </c>
      <c r="AX9" s="239">
        <v>50</v>
      </c>
      <c r="AY9" s="239">
        <v>51</v>
      </c>
      <c r="AZ9" s="239">
        <v>52</v>
      </c>
      <c r="BA9" s="239">
        <v>53</v>
      </c>
      <c r="BB9" s="239">
        <v>54</v>
      </c>
      <c r="BC9" s="239">
        <v>55</v>
      </c>
      <c r="BD9" s="239">
        <v>56</v>
      </c>
      <c r="BE9" s="239">
        <v>57</v>
      </c>
      <c r="BF9" s="239">
        <v>58</v>
      </c>
      <c r="BG9" s="239">
        <v>59</v>
      </c>
      <c r="BH9" s="239">
        <v>60</v>
      </c>
      <c r="BI9" s="239">
        <v>61</v>
      </c>
      <c r="BJ9" s="239">
        <v>62</v>
      </c>
      <c r="BK9" s="239">
        <v>63</v>
      </c>
      <c r="BL9" s="239">
        <v>64</v>
      </c>
      <c r="BM9" s="239">
        <v>65</v>
      </c>
      <c r="BN9" s="239">
        <v>66</v>
      </c>
      <c r="BO9" s="239">
        <v>67</v>
      </c>
      <c r="BP9" s="239">
        <v>68</v>
      </c>
      <c r="BQ9" s="239">
        <v>69</v>
      </c>
      <c r="BR9" s="239">
        <v>70</v>
      </c>
      <c r="BS9" s="239">
        <v>71</v>
      </c>
      <c r="BT9" s="239">
        <v>72</v>
      </c>
      <c r="BU9" s="239">
        <v>73</v>
      </c>
      <c r="BV9" s="239">
        <v>72</v>
      </c>
      <c r="BW9" s="239">
        <v>73</v>
      </c>
      <c r="BX9" s="239">
        <v>74</v>
      </c>
      <c r="BY9" s="239">
        <v>75</v>
      </c>
      <c r="BZ9" s="239">
        <v>76</v>
      </c>
      <c r="CA9" s="239">
        <v>77</v>
      </c>
      <c r="CB9" s="239">
        <v>78</v>
      </c>
      <c r="CC9" s="239">
        <v>79</v>
      </c>
      <c r="CD9" s="239">
        <v>80</v>
      </c>
      <c r="CE9" s="239">
        <v>81</v>
      </c>
      <c r="CF9" s="239">
        <v>82</v>
      </c>
      <c r="CG9" s="239">
        <v>83</v>
      </c>
      <c r="CH9" s="239">
        <v>84</v>
      </c>
      <c r="CI9" s="239">
        <v>85</v>
      </c>
      <c r="CJ9" s="239">
        <v>86</v>
      </c>
      <c r="CK9" s="239">
        <v>87</v>
      </c>
      <c r="CL9" s="239">
        <v>88</v>
      </c>
      <c r="CM9" s="239">
        <v>89</v>
      </c>
      <c r="CN9" s="239">
        <v>90</v>
      </c>
      <c r="CO9" s="239">
        <v>91</v>
      </c>
      <c r="CP9" s="239">
        <v>92</v>
      </c>
      <c r="CQ9" s="239">
        <v>93</v>
      </c>
      <c r="CR9" s="239">
        <v>94</v>
      </c>
      <c r="CS9" s="239">
        <v>95</v>
      </c>
      <c r="CT9" s="239">
        <v>96</v>
      </c>
      <c r="CU9" s="239">
        <v>97</v>
      </c>
      <c r="CV9" s="239">
        <v>98</v>
      </c>
      <c r="CW9" s="239">
        <v>99</v>
      </c>
      <c r="CX9" s="239">
        <v>100</v>
      </c>
      <c r="CY9" s="239">
        <v>101</v>
      </c>
      <c r="CZ9" s="239">
        <v>102</v>
      </c>
      <c r="DA9" s="239">
        <v>103</v>
      </c>
    </row>
    <row r="10" spans="1:105" s="248" customFormat="1" ht="12.75" customHeight="1">
      <c r="A10" s="58" t="str">
        <f t="array" ref="A10">IF(C10&lt;&gt;0,SUM(($C10:C$16&lt;&gt;0)*1),"")</f>
        <v/>
      </c>
      <c r="B10" s="241"/>
      <c r="C10" s="242"/>
      <c r="D10" s="241"/>
      <c r="E10" s="243" t="s">
        <v>209</v>
      </c>
      <c r="F10" s="244"/>
      <c r="G10" s="245"/>
      <c r="H10" s="245"/>
      <c r="I10" s="246"/>
      <c r="J10" s="247">
        <f ca="1">'SC-II'!J53</f>
        <v>667384522</v>
      </c>
      <c r="K10" s="247">
        <f ca="1">'SC-II'!K53</f>
        <v>0</v>
      </c>
      <c r="L10" s="247">
        <f ca="1">'SC-II'!L53</f>
        <v>9382419</v>
      </c>
      <c r="M10" s="247">
        <f ca="1">'SC-II'!M53</f>
        <v>0</v>
      </c>
      <c r="N10" s="247">
        <f ca="1">'SC-II'!N53</f>
        <v>5679984</v>
      </c>
      <c r="O10" s="247">
        <f ca="1">'SC-II'!O53</f>
        <v>0</v>
      </c>
      <c r="P10" s="247">
        <f ca="1">'SC-II'!P53</f>
        <v>57038792896</v>
      </c>
      <c r="Q10" s="247">
        <f ca="1">'SC-II'!Q53</f>
        <v>0</v>
      </c>
      <c r="R10" s="247">
        <f ca="1">'SC-II'!R53</f>
        <v>518470991</v>
      </c>
      <c r="S10" s="247">
        <f ca="1">'SC-II'!S53</f>
        <v>0</v>
      </c>
      <c r="T10" s="247">
        <f ca="1">'SC-II'!T53</f>
        <v>0</v>
      </c>
      <c r="U10" s="247">
        <f ca="1">'SC-II'!U53</f>
        <v>0</v>
      </c>
      <c r="V10" s="247">
        <f ca="1">'SC-II'!V53</f>
        <v>0</v>
      </c>
      <c r="W10" s="247">
        <f ca="1">'SC-II'!W53</f>
        <v>0</v>
      </c>
      <c r="X10" s="247">
        <f ca="1">'SC-II'!X53</f>
        <v>0</v>
      </c>
      <c r="Y10" s="247">
        <f ca="1">'SC-II'!Y53</f>
        <v>0</v>
      </c>
      <c r="Z10" s="247">
        <f ca="1">'SC-II'!Z53</f>
        <v>351991443</v>
      </c>
      <c r="AA10" s="247">
        <f ca="1">'SC-II'!AA53</f>
        <v>0</v>
      </c>
      <c r="AB10" s="247">
        <f ca="1">'SC-II'!AB53</f>
        <v>49990909</v>
      </c>
      <c r="AC10" s="247">
        <f ca="1">'SC-II'!AC53</f>
        <v>0</v>
      </c>
      <c r="AD10" s="247">
        <f ca="1">'SC-II'!AD53</f>
        <v>1450841000</v>
      </c>
      <c r="AE10" s="247">
        <f ca="1">'SC-II'!AE53</f>
        <v>0</v>
      </c>
      <c r="AF10" s="247">
        <f ca="1">'SC-II'!AF53</f>
        <v>3468509299</v>
      </c>
      <c r="AG10" s="247">
        <f ca="1">'SC-II'!AG53</f>
        <v>0</v>
      </c>
      <c r="AH10" s="247">
        <f ca="1">'SC-II'!AH53</f>
        <v>7770361541</v>
      </c>
      <c r="AI10" s="247">
        <f ca="1">'SC-II'!AI53</f>
        <v>0</v>
      </c>
      <c r="AJ10" s="247">
        <f ca="1">'SC-II'!AJ53</f>
        <v>3807898863</v>
      </c>
      <c r="AK10" s="247">
        <f ca="1">'SC-II'!AK53</f>
        <v>0</v>
      </c>
      <c r="AL10" s="247">
        <f ca="1">'SC-II'!AL53</f>
        <v>3790918485</v>
      </c>
      <c r="AM10" s="247">
        <f ca="1">'SC-II'!AM53</f>
        <v>0</v>
      </c>
      <c r="AN10" s="247">
        <f ca="1">'SC-II'!AN53</f>
        <v>5405781300</v>
      </c>
      <c r="AO10" s="247">
        <f ca="1">'SC-II'!AO53</f>
        <v>0</v>
      </c>
      <c r="AP10" s="247">
        <f ca="1">'SC-II'!AP53</f>
        <v>0</v>
      </c>
      <c r="AQ10" s="247">
        <f ca="1">'SC-II'!AQ53</f>
        <v>9758261933</v>
      </c>
      <c r="AR10" s="247">
        <f ca="1">'SC-II'!AR53</f>
        <v>0</v>
      </c>
      <c r="AS10" s="247">
        <f ca="1">'SC-II'!AS53</f>
        <v>720770838</v>
      </c>
      <c r="AT10" s="247">
        <f ca="1">'SC-II'!AT53</f>
        <v>0</v>
      </c>
      <c r="AU10" s="247">
        <f ca="1">'SC-II'!AU53</f>
        <v>0</v>
      </c>
      <c r="AV10" s="247">
        <f ca="1">'SC-II'!AV53</f>
        <v>0</v>
      </c>
      <c r="AW10" s="247">
        <f ca="1">'SC-II'!AW53</f>
        <v>35725221599</v>
      </c>
      <c r="AX10" s="247">
        <f ca="1">'SC-II'!AX53</f>
        <v>0</v>
      </c>
      <c r="AY10" s="247">
        <f ca="1">'SC-II'!AY53</f>
        <v>0</v>
      </c>
      <c r="AZ10" s="247">
        <f ca="1">'SC-II'!AZ53</f>
        <v>0</v>
      </c>
      <c r="BA10" s="247">
        <f ca="1">'SC-II'!BA53</f>
        <v>0</v>
      </c>
      <c r="BB10" s="247">
        <f ca="1">'SC-II'!BB53</f>
        <v>0</v>
      </c>
      <c r="BC10" s="247">
        <f ca="1">'SC-II'!BC53</f>
        <v>0</v>
      </c>
      <c r="BD10" s="247">
        <f ca="1">'SC-II'!BD53</f>
        <v>6386869</v>
      </c>
      <c r="BE10" s="247">
        <f ca="1">'SC-II'!BE53</f>
        <v>0</v>
      </c>
      <c r="BF10" s="247">
        <f ca="1">'SC-II'!BF53</f>
        <v>3389804</v>
      </c>
      <c r="BG10" s="247">
        <f ca="1">'SC-II'!BG53</f>
        <v>0</v>
      </c>
      <c r="BH10" s="247">
        <f ca="1">'SC-II'!BH53</f>
        <v>0</v>
      </c>
      <c r="BI10" s="247">
        <f ca="1">'SC-II'!BI53</f>
        <v>0</v>
      </c>
      <c r="BJ10" s="247">
        <f ca="1">'SC-II'!BJ53</f>
        <v>0</v>
      </c>
      <c r="BK10" s="247">
        <f ca="1">'SC-II'!BK53</f>
        <v>0</v>
      </c>
      <c r="BL10" s="247">
        <f ca="1">'SC-II'!BL53</f>
        <v>0</v>
      </c>
      <c r="BM10" s="247">
        <f ca="1">'SC-II'!BM53</f>
        <v>106628549</v>
      </c>
      <c r="BN10" s="247">
        <f ca="1">'SC-II'!BN53</f>
        <v>0</v>
      </c>
      <c r="BO10" s="247">
        <f ca="1">'SC-II'!BO53</f>
        <v>4469220</v>
      </c>
      <c r="BP10" s="247">
        <f ca="1">'SC-II'!BP53</f>
        <v>0</v>
      </c>
      <c r="BQ10" s="247">
        <f ca="1">'SC-II'!BQ53</f>
        <v>1986320</v>
      </c>
      <c r="BR10" s="247">
        <f ca="1">'SC-II'!BR53</f>
        <v>0</v>
      </c>
      <c r="BS10" s="247">
        <f ca="1">'SC-II'!BS53</f>
        <v>0</v>
      </c>
      <c r="BT10" s="247">
        <f ca="1">'SC-II'!BT53</f>
        <v>0</v>
      </c>
      <c r="BU10" s="247">
        <f ca="1">'SC-II'!BU53</f>
        <v>0</v>
      </c>
      <c r="BV10" s="247">
        <f ca="1">'SC-II'!BV53</f>
        <v>0</v>
      </c>
      <c r="BW10" s="247">
        <f ca="1">'SC-II'!BW53</f>
        <v>27471593800</v>
      </c>
      <c r="BX10" s="247">
        <f ca="1">'SC-II'!BX53</f>
        <v>0</v>
      </c>
      <c r="BY10" s="247">
        <f ca="1">'SC-II'!BY53</f>
        <v>10000000000</v>
      </c>
      <c r="BZ10" s="247">
        <f ca="1">'SC-II'!BZ53</f>
        <v>0</v>
      </c>
      <c r="CA10" s="247">
        <f ca="1">'SC-II'!CA53</f>
        <v>635107905.00000095</v>
      </c>
      <c r="CB10" s="247">
        <f ca="1">'SC-II'!CB53</f>
        <v>78259839.000000477</v>
      </c>
      <c r="CC10" s="247">
        <f ca="1">'SC-II'!CC53</f>
        <v>0</v>
      </c>
      <c r="CD10" s="247">
        <f ca="1">'SC-II'!CD53</f>
        <v>0</v>
      </c>
      <c r="CE10" s="247">
        <f ca="1">'SC-II'!CE53</f>
        <v>0</v>
      </c>
      <c r="CF10" s="247">
        <f ca="1">'SC-II'!CF53</f>
        <v>0</v>
      </c>
      <c r="CG10" s="247">
        <f ca="1">'SC-II'!CG53</f>
        <v>0</v>
      </c>
      <c r="CH10" s="247">
        <f ca="1">'SC-II'!CH53</f>
        <v>0</v>
      </c>
      <c r="CI10" s="247">
        <f ca="1">'SC-II'!CI53</f>
        <v>0</v>
      </c>
      <c r="CJ10" s="247">
        <f ca="1">'SC-II'!CJ53</f>
        <v>0</v>
      </c>
      <c r="CK10" s="247">
        <f ca="1">'SC-II'!CK53</f>
        <v>0</v>
      </c>
      <c r="CL10" s="247">
        <f ca="1">'SC-II'!CL53</f>
        <v>0</v>
      </c>
      <c r="CM10" s="247">
        <f ca="1">'SC-II'!CM53</f>
        <v>0</v>
      </c>
      <c r="CN10" s="247">
        <f ca="1">'SC-II'!CN53</f>
        <v>0</v>
      </c>
      <c r="CO10" s="247">
        <f ca="1">'SC-II'!CO53</f>
        <v>0</v>
      </c>
      <c r="CP10" s="247">
        <f ca="1">'SC-II'!CP53</f>
        <v>0</v>
      </c>
      <c r="CQ10" s="247">
        <f ca="1">'SC-II'!CQ53</f>
        <v>0</v>
      </c>
      <c r="CR10" s="247">
        <f ca="1">'SC-II'!CR53</f>
        <v>0</v>
      </c>
      <c r="CS10" s="247">
        <f ca="1">'SC-II'!CS53</f>
        <v>0</v>
      </c>
      <c r="CT10" s="247">
        <f ca="1">'SC-II'!CT53</f>
        <v>0</v>
      </c>
      <c r="CU10" s="247">
        <f ca="1">'SC-II'!CU53</f>
        <v>0</v>
      </c>
      <c r="CV10" s="247">
        <f ca="1">'SC-II'!CV53</f>
        <v>0</v>
      </c>
      <c r="CW10" s="247">
        <f ca="1">'SC-II'!CW53</f>
        <v>0</v>
      </c>
      <c r="CX10" s="247">
        <f ca="1">'SC-II'!CX53</f>
        <v>0</v>
      </c>
      <c r="CY10" s="247">
        <f ca="1">'SC-II'!CY53</f>
        <v>0</v>
      </c>
      <c r="CZ10" s="247">
        <f ca="1">'SC-II'!CZ53</f>
        <v>0</v>
      </c>
      <c r="DA10" s="247">
        <f ca="1">'SC-II'!DA53</f>
        <v>0</v>
      </c>
    </row>
    <row r="11" spans="1:105" s="248" customFormat="1" ht="15.75" customHeight="1">
      <c r="A11" s="58">
        <f t="array" aca="1" ref="A11" ca="1">IF(C11&lt;&gt;0,SUM(($C$11:C11&lt;&gt;0)*1),"")</f>
        <v>1</v>
      </c>
      <c r="B11" s="249" t="str">
        <f ca="1">IF(ROWS($1:1)&gt;COUNT(Dong8),"",OFFSET(TH!C$1,SMALL(Dong8,ROWS($1:1)),))</f>
        <v/>
      </c>
      <c r="C11" s="249" t="str">
        <f ca="1">IF(ROWS($1:1)&gt;COUNT(Dong8),"",OFFSET(TH!D$1,SMALL(Dong8,ROWS($1:1)),))</f>
        <v/>
      </c>
      <c r="D11" s="249" t="str">
        <f ca="1">IF(ROWS($1:1)&gt;COUNT(Dong8),"",OFFSET(TH!E$1,SMALL(Dong8,ROWS($1:1)),))</f>
        <v/>
      </c>
      <c r="E11" s="326" t="str">
        <f ca="1">IF(ROWS($1:1)&gt;COUNT(Dong8),"",OFFSET(TH!F$1,SMALL(Dong8,ROWS($1:1)),))</f>
        <v/>
      </c>
      <c r="F11" s="300" t="str">
        <f ca="1">IF(ROWS($1:1)&gt;COUNT(Dong8),"",OFFSET(TH!M$1,SMALL(Dong8,ROWS($1:1)),))</f>
        <v/>
      </c>
      <c r="G11" s="302" t="str">
        <f ca="1">IF(ROWS($1:1)&gt;COUNT(Dong8),"",OFFSET(TH!N$1,SMALL(Dong8,ROWS($1:1)),))</f>
        <v/>
      </c>
      <c r="H11" s="302" t="str">
        <f ca="1">IF(ROWS($1:1)&gt;COUNT(Dong8),"",OFFSET(TH!O$1,SMALL(Dong8,ROWS($1:1)),))</f>
        <v/>
      </c>
      <c r="I11" s="58">
        <f t="shared" ref="I11:I26" ca="1" si="0">A11</f>
        <v>1</v>
      </c>
      <c r="J11" s="251">
        <f ca="1">IF($G11="1111",$F11,0)</f>
        <v>0</v>
      </c>
      <c r="K11" s="251">
        <f ca="1">IF($H11="1111",$F11,0)</f>
        <v>0</v>
      </c>
      <c r="L11" s="251">
        <f t="shared" ref="L11:L50" ca="1" si="1">IF($G11="1121",$F11,0)</f>
        <v>0</v>
      </c>
      <c r="M11" s="251">
        <f t="shared" ref="M11:M50" ca="1" si="2">IF($H11="1121",$F11,0)</f>
        <v>0</v>
      </c>
      <c r="N11" s="251">
        <f t="shared" ref="N11:N50" ca="1" si="3">IF($G11="1122",$F11,0)</f>
        <v>0</v>
      </c>
      <c r="O11" s="251">
        <f t="shared" ref="O11:O50" ca="1" si="4">IF($H11="1122",$F11,0)</f>
        <v>0</v>
      </c>
      <c r="P11" s="251">
        <f t="shared" ref="P11:P50" ca="1" si="5">IF($G11="131",$F11,0)</f>
        <v>0</v>
      </c>
      <c r="Q11" s="251">
        <f t="shared" ref="Q11:Q50" ca="1" si="6">IF($H11="131",$F11,0)</f>
        <v>0</v>
      </c>
      <c r="R11" s="251">
        <f t="shared" ref="R11:R50" ca="1" si="7">IF($G11="1331",$F11,0)</f>
        <v>0</v>
      </c>
      <c r="S11" s="251">
        <f t="shared" ref="S11:S50" ca="1" si="8">IF($H11="1331",$F11,0)</f>
        <v>0</v>
      </c>
      <c r="T11" s="251">
        <f t="shared" ref="T11:T50" ca="1" si="9">IF($G11="1388",$F11,0)</f>
        <v>0</v>
      </c>
      <c r="U11" s="251">
        <f t="shared" ref="U11:U50" ca="1" si="10">IF($H11="1388",$F11,0)</f>
        <v>0</v>
      </c>
      <c r="V11" s="251">
        <f t="shared" ref="V11:V50" ca="1" si="11">IF($G11="141",$F11,0)</f>
        <v>0</v>
      </c>
      <c r="W11" s="251">
        <f t="shared" ref="W11:W50" ca="1" si="12">IF($H11="141",$F11,0)</f>
        <v>0</v>
      </c>
      <c r="X11" s="251">
        <f t="shared" ref="X11:X50" ca="1" si="13">IF($G11="1521",$F11,0)</f>
        <v>0</v>
      </c>
      <c r="Y11" s="251">
        <f t="shared" ref="Y11:Y50" ca="1" si="14">IF($H11="1521",$F11,0)</f>
        <v>0</v>
      </c>
      <c r="Z11" s="251">
        <f t="shared" ref="Z11:Z50" ca="1" si="15">IF($G11="1522",$F11,0)</f>
        <v>0</v>
      </c>
      <c r="AA11" s="251">
        <f t="shared" ref="AA11:AA50" ca="1" si="16">IF($H11="1522",$F11,0)</f>
        <v>0</v>
      </c>
      <c r="AB11" s="251">
        <f ca="1">IF($G11="153",$F11,0)</f>
        <v>0</v>
      </c>
      <c r="AC11" s="251">
        <f ca="1">IF($H11="153",$F11,0)</f>
        <v>0</v>
      </c>
      <c r="AD11" s="251">
        <f t="shared" ref="AD11:AD50" ca="1" si="17">IF($G11="154",$F11,0)</f>
        <v>0</v>
      </c>
      <c r="AE11" s="251">
        <f t="shared" ref="AE11:AE50" ca="1" si="18">IF($H11="154",$F11,0)</f>
        <v>0</v>
      </c>
      <c r="AF11" s="251">
        <f t="shared" ref="AF11:AF50" ca="1" si="19">IF($G11="155",$F11,0)</f>
        <v>0</v>
      </c>
      <c r="AG11" s="251">
        <f t="shared" ref="AG11:AG50" ca="1" si="20">IF($H11="155",$F11,0)</f>
        <v>0</v>
      </c>
      <c r="AH11" s="251">
        <f ca="1">IF($G11="2111",$F11,0)</f>
        <v>0</v>
      </c>
      <c r="AI11" s="251">
        <f ca="1">IF($H11="2111",$F11,0)</f>
        <v>0</v>
      </c>
      <c r="AJ11" s="251">
        <f ca="1">IF($G11="2112",$F11,0)</f>
        <v>0</v>
      </c>
      <c r="AK11" s="251">
        <f ca="1">IF($H11="2112",$F11,0)</f>
        <v>0</v>
      </c>
      <c r="AL11" s="251">
        <f ca="1">IF($G11="2113",$F11,0)</f>
        <v>0</v>
      </c>
      <c r="AM11" s="251">
        <f ca="1">IF($H11="2113",$F11,0)</f>
        <v>0</v>
      </c>
      <c r="AN11" s="251">
        <f ca="1">IF($G11="2131",$F11,0)</f>
        <v>0</v>
      </c>
      <c r="AO11" s="251">
        <f ca="1">IF($H11="2131",$F11,0)</f>
        <v>0</v>
      </c>
      <c r="AP11" s="251">
        <f t="shared" ref="AP11:AP50" ca="1" si="21">IF($G11="2141",$F11,0)</f>
        <v>0</v>
      </c>
      <c r="AQ11" s="251">
        <f t="shared" ref="AQ11:AQ50" ca="1" si="22">IF($H11="2141",$F11,0)</f>
        <v>0</v>
      </c>
      <c r="AR11" s="251">
        <f t="shared" ref="AR11:AR50" ca="1" si="23">IF($G11="2143",$F11,0)</f>
        <v>0</v>
      </c>
      <c r="AS11" s="251">
        <f t="shared" ref="AS11:AS50" ca="1" si="24">IF($H11="2143",$F11,0)</f>
        <v>0</v>
      </c>
      <c r="AT11" s="251">
        <f ca="1">IF($G11="2412",$F11,0)</f>
        <v>0</v>
      </c>
      <c r="AU11" s="251">
        <f ca="1">IF($H11="2412",$F11,0)</f>
        <v>0</v>
      </c>
      <c r="AV11" s="251">
        <f t="shared" ref="AV11:AV50" ca="1" si="25">IF($G11="331",$F11,0)</f>
        <v>0</v>
      </c>
      <c r="AW11" s="251">
        <f t="shared" ref="AW11:AW50" ca="1" si="26">IF($H11="331",$F11,0)</f>
        <v>0</v>
      </c>
      <c r="AX11" s="251">
        <f t="shared" ref="AX11:AX50" ca="1" si="27">IF($G11="33311",$F11,0)</f>
        <v>0</v>
      </c>
      <c r="AY11" s="251">
        <f t="shared" ref="AY11:AY50" ca="1" si="28">IF($H11="33311",$F11,0)</f>
        <v>0</v>
      </c>
      <c r="AZ11" s="251">
        <f t="shared" ref="AZ11:AZ50" ca="1" si="29">IF($G11="33312",$F11,0)</f>
        <v>0</v>
      </c>
      <c r="BA11" s="251">
        <f t="shared" ref="BA11:BA50" ca="1" si="30">IF($H11="33312",$F11,0)</f>
        <v>0</v>
      </c>
      <c r="BB11" s="251">
        <f t="shared" ref="BB11:BB50" ca="1" si="31">IF($G11="3333",$F11,0)</f>
        <v>0</v>
      </c>
      <c r="BC11" s="251">
        <f t="shared" ref="BC11:BC50" ca="1" si="32">IF($H11="3333",$F11,0)</f>
        <v>0</v>
      </c>
      <c r="BD11" s="251">
        <f t="shared" ref="BD11:BD50" ca="1" si="33">IF($G11="3334",$F11,0)</f>
        <v>0</v>
      </c>
      <c r="BE11" s="251">
        <f t="shared" ref="BE11:BE50" ca="1" si="34">IF($H11="3334",$F11,0)</f>
        <v>0</v>
      </c>
      <c r="BF11" s="251">
        <f t="shared" ref="BF11:BF50" ca="1" si="35">IF($G11="3335",$F11,0)</f>
        <v>0</v>
      </c>
      <c r="BG11" s="251">
        <f t="shared" ref="BG11:BG50" ca="1" si="36">IF($H11="3335",$F11,0)</f>
        <v>0</v>
      </c>
      <c r="BH11" s="251">
        <f ca="1">IF($G11="33382",$F11,0)</f>
        <v>0</v>
      </c>
      <c r="BI11" s="251">
        <f ca="1">IF($H11="33382",$F11,0)</f>
        <v>0</v>
      </c>
      <c r="BJ11" s="251">
        <f t="shared" ref="BJ11:BJ50" ca="1" si="37">IF($G11="3341",$F11,0)</f>
        <v>0</v>
      </c>
      <c r="BK11" s="251">
        <f t="shared" ref="BK11:BK50" ca="1" si="38">IF($H11="3341",$F11,0)</f>
        <v>0</v>
      </c>
      <c r="BL11" s="251">
        <f t="shared" ref="BL11:BL50" ca="1" si="39">IF($G11="3383",$F11,0)</f>
        <v>0</v>
      </c>
      <c r="BM11" s="251">
        <f t="shared" ref="BM11:BM50" ca="1" si="40">IF($H11="3383",$F11,0)</f>
        <v>0</v>
      </c>
      <c r="BN11" s="251">
        <f t="shared" ref="BN11:BN50" ca="1" si="41">IF($G11="3384",$F11,0)</f>
        <v>0</v>
      </c>
      <c r="BO11" s="251">
        <f t="shared" ref="BO11:BO50" ca="1" si="42">IF($H11="3384",$F11,0)</f>
        <v>0</v>
      </c>
      <c r="BP11" s="251">
        <f ca="1">IF($G11="3386",$F11,0)</f>
        <v>0</v>
      </c>
      <c r="BQ11" s="251">
        <f ca="1">IF($H11="3386",$F11,0)</f>
        <v>0</v>
      </c>
      <c r="BR11" s="251">
        <f t="shared" ref="BR11:BR50" ca="1" si="43">IF($G11="3388",$F11,0)</f>
        <v>0</v>
      </c>
      <c r="BS11" s="251">
        <f t="shared" ref="BS11:BS50" ca="1" si="44">IF($H11="3388",$F11,0)</f>
        <v>0</v>
      </c>
      <c r="BT11" s="251">
        <f ca="1">IF($G11="3411",$F11,0)</f>
        <v>0</v>
      </c>
      <c r="BU11" s="251">
        <f ca="1">IF($H11="3411",$F11,0)</f>
        <v>0</v>
      </c>
      <c r="BV11" s="251">
        <f ca="1">IF($G11="3412",$F11,0)</f>
        <v>0</v>
      </c>
      <c r="BW11" s="251">
        <f ca="1">IF($H11="3412",$F11,0)</f>
        <v>0</v>
      </c>
      <c r="BX11" s="251">
        <f t="shared" ref="BX11:BX50" ca="1" si="45">IF($G11="4111",$F11,0)</f>
        <v>0</v>
      </c>
      <c r="BY11" s="251">
        <f t="shared" ref="BY11:BY50" ca="1" si="46">IF($H11="4111",$F11,0)</f>
        <v>0</v>
      </c>
      <c r="BZ11" s="251">
        <f t="shared" ref="BZ11:BZ50" ca="1" si="47">IF($G11="4211",$F11,0)</f>
        <v>0</v>
      </c>
      <c r="CA11" s="251">
        <f t="shared" ref="CA11:CA50" ca="1" si="48">IF($H11="4211",$F11,0)</f>
        <v>0</v>
      </c>
      <c r="CB11" s="251">
        <f t="shared" ref="CB11:CB50" ca="1" si="49">IF($G11="4212",$F11,0)</f>
        <v>0</v>
      </c>
      <c r="CC11" s="251">
        <f t="shared" ref="CC11:CC50" ca="1" si="50">IF($H11="4212",$F11,0)</f>
        <v>0</v>
      </c>
      <c r="CD11" s="251">
        <f ca="1">IF($G11="5112N",$F11,0)</f>
        <v>0</v>
      </c>
      <c r="CE11" s="251">
        <f ca="1">IF($H11="5112N",$F11,0)</f>
        <v>0</v>
      </c>
      <c r="CF11" s="251">
        <f ca="1">IF($G11="5112X",$F11,0)</f>
        <v>0</v>
      </c>
      <c r="CG11" s="251">
        <f ca="1">IF($H11="5112X",$F11,0)</f>
        <v>0</v>
      </c>
      <c r="CH11" s="251">
        <f t="shared" ref="CH11:CH50" ca="1" si="51">IF($G11="515",$F11,0)</f>
        <v>0</v>
      </c>
      <c r="CI11" s="251">
        <f t="shared" ref="CI11:CI50" ca="1" si="52">IF($H11="515",$F11,0)</f>
        <v>0</v>
      </c>
      <c r="CJ11" s="251">
        <f ca="1">IF($G11="5213",$F11,0)</f>
        <v>0</v>
      </c>
      <c r="CK11" s="251">
        <f ca="1">IF($H11="5213",$F11,0)</f>
        <v>0</v>
      </c>
      <c r="CL11" s="251">
        <f t="shared" ref="CL11:CL50" ca="1" si="53">IF($G11="632",$F11,0)</f>
        <v>0</v>
      </c>
      <c r="CM11" s="251">
        <f t="shared" ref="CM11:CM50" ca="1" si="54">IF($H11="632",$F11,0)</f>
        <v>0</v>
      </c>
      <c r="CN11" s="251">
        <f t="shared" ref="CN11:CN50" ca="1" si="55">IF($G11="635",$F11,0)</f>
        <v>0</v>
      </c>
      <c r="CO11" s="251">
        <f t="shared" ref="CO11:CO50" ca="1" si="56">IF($H11="635",$F11,0)</f>
        <v>0</v>
      </c>
      <c r="CP11" s="251">
        <f ca="1">IF($G11="641",$F11,0)</f>
        <v>0</v>
      </c>
      <c r="CQ11" s="251">
        <f ca="1">IF($H11="641",$F11,0)</f>
        <v>0</v>
      </c>
      <c r="CR11" s="251">
        <f ca="1">IF($G11="642",$F11,0)</f>
        <v>0</v>
      </c>
      <c r="CS11" s="251">
        <f ca="1">IF($H11="642",$F11,0)</f>
        <v>0</v>
      </c>
      <c r="CT11" s="251">
        <f t="shared" ref="CT11:CT50" ca="1" si="57">IF($G11="711",$F11,0)</f>
        <v>0</v>
      </c>
      <c r="CU11" s="251">
        <f t="shared" ref="CU11:CU50" ca="1" si="58">IF($H11="711",$F11,0)</f>
        <v>0</v>
      </c>
      <c r="CV11" s="251">
        <f t="shared" ref="CV11:CV50" ca="1" si="59">IF($G11="811",$F11,0)</f>
        <v>0</v>
      </c>
      <c r="CW11" s="251">
        <f t="shared" ref="CW11:CW50" ca="1" si="60">IF($H11="811",$F11,0)</f>
        <v>0</v>
      </c>
      <c r="CX11" s="251">
        <f ca="1">IF($G11="821",$F11,0)</f>
        <v>0</v>
      </c>
      <c r="CY11" s="251">
        <f ca="1">IF($H11="821",$F11,0)</f>
        <v>0</v>
      </c>
      <c r="CZ11" s="251">
        <f ca="1">IF($G11="911",$F11,0)</f>
        <v>0</v>
      </c>
      <c r="DA11" s="251">
        <f ca="1">IF($H11="911",$F11,0)</f>
        <v>0</v>
      </c>
    </row>
    <row r="12" spans="1:105" s="248" customFormat="1" ht="15.75" customHeight="1">
      <c r="A12" s="58" t="str">
        <f t="array" ref="A12">IF(C12&lt;&gt;0,SUM(($C$11:C12&lt;&gt;0)*1),"")</f>
        <v/>
      </c>
      <c r="B12" s="249"/>
      <c r="C12" s="249"/>
      <c r="D12" s="249"/>
      <c r="E12" s="326"/>
      <c r="F12" s="300"/>
      <c r="G12" s="302"/>
      <c r="H12" s="302"/>
      <c r="I12" s="58" t="str">
        <f t="shared" si="0"/>
        <v/>
      </c>
      <c r="J12" s="251">
        <f t="shared" ref="J12:J50" si="61">IF($G12="1111",$F12,0)</f>
        <v>0</v>
      </c>
      <c r="K12" s="251">
        <f t="shared" ref="K12:K50" si="62">IF($H12="1111",$F12,0)</f>
        <v>0</v>
      </c>
      <c r="L12" s="251">
        <f t="shared" si="1"/>
        <v>0</v>
      </c>
      <c r="M12" s="251">
        <f t="shared" si="2"/>
        <v>0</v>
      </c>
      <c r="N12" s="251">
        <f t="shared" si="3"/>
        <v>0</v>
      </c>
      <c r="O12" s="251">
        <f t="shared" si="4"/>
        <v>0</v>
      </c>
      <c r="P12" s="251">
        <f t="shared" si="5"/>
        <v>0</v>
      </c>
      <c r="Q12" s="251">
        <f t="shared" si="6"/>
        <v>0</v>
      </c>
      <c r="R12" s="251">
        <f t="shared" si="7"/>
        <v>0</v>
      </c>
      <c r="S12" s="251">
        <f t="shared" si="8"/>
        <v>0</v>
      </c>
      <c r="T12" s="251">
        <f t="shared" si="9"/>
        <v>0</v>
      </c>
      <c r="U12" s="251">
        <f t="shared" si="10"/>
        <v>0</v>
      </c>
      <c r="V12" s="251">
        <f t="shared" si="11"/>
        <v>0</v>
      </c>
      <c r="W12" s="251">
        <f t="shared" si="12"/>
        <v>0</v>
      </c>
      <c r="X12" s="251">
        <f t="shared" si="13"/>
        <v>0</v>
      </c>
      <c r="Y12" s="251">
        <f t="shared" si="14"/>
        <v>0</v>
      </c>
      <c r="Z12" s="251">
        <f t="shared" si="15"/>
        <v>0</v>
      </c>
      <c r="AA12" s="251">
        <f t="shared" si="16"/>
        <v>0</v>
      </c>
      <c r="AB12" s="251">
        <f t="shared" ref="AB12:AB50" si="63">IF($G12="153",$F12,0)</f>
        <v>0</v>
      </c>
      <c r="AC12" s="251">
        <f t="shared" ref="AC12:AC50" si="64">IF($H12="153",$F12,0)</f>
        <v>0</v>
      </c>
      <c r="AD12" s="251">
        <f t="shared" si="17"/>
        <v>0</v>
      </c>
      <c r="AE12" s="251">
        <f t="shared" si="18"/>
        <v>0</v>
      </c>
      <c r="AF12" s="251">
        <f t="shared" si="19"/>
        <v>0</v>
      </c>
      <c r="AG12" s="251">
        <f t="shared" si="20"/>
        <v>0</v>
      </c>
      <c r="AH12" s="251">
        <f t="shared" ref="AH12:AH50" si="65">IF($G12="2111",$F12,0)</f>
        <v>0</v>
      </c>
      <c r="AI12" s="251">
        <f t="shared" ref="AI12:AI50" si="66">IF($H12="2111",$F12,0)</f>
        <v>0</v>
      </c>
      <c r="AJ12" s="251">
        <f t="shared" ref="AJ12:AJ50" si="67">IF($G12="2112",$F12,0)</f>
        <v>0</v>
      </c>
      <c r="AK12" s="251">
        <f t="shared" ref="AK12:AK50" si="68">IF($H12="2112",$F12,0)</f>
        <v>0</v>
      </c>
      <c r="AL12" s="251">
        <f t="shared" ref="AL12:AL50" si="69">IF($G12="2113",$F12,0)</f>
        <v>0</v>
      </c>
      <c r="AM12" s="251">
        <f t="shared" ref="AM12:AM50" si="70">IF($H12="2113",$F12,0)</f>
        <v>0</v>
      </c>
      <c r="AN12" s="251">
        <f t="shared" ref="AN12:AN50" si="71">IF($G12="2131",$F12,0)</f>
        <v>0</v>
      </c>
      <c r="AO12" s="251">
        <f t="shared" ref="AO12:AO50" si="72">IF($H12="2131",$F12,0)</f>
        <v>0</v>
      </c>
      <c r="AP12" s="251">
        <f t="shared" si="21"/>
        <v>0</v>
      </c>
      <c r="AQ12" s="251">
        <f t="shared" si="22"/>
        <v>0</v>
      </c>
      <c r="AR12" s="251">
        <f t="shared" si="23"/>
        <v>0</v>
      </c>
      <c r="AS12" s="251">
        <f t="shared" si="24"/>
        <v>0</v>
      </c>
      <c r="AT12" s="251">
        <f t="shared" ref="AT12:AT50" si="73">IF($G12="2412",$F12,0)</f>
        <v>0</v>
      </c>
      <c r="AU12" s="251">
        <f t="shared" ref="AU12:AU50" si="74">IF($H12="2412",$F12,0)</f>
        <v>0</v>
      </c>
      <c r="AV12" s="251">
        <f t="shared" si="25"/>
        <v>0</v>
      </c>
      <c r="AW12" s="251">
        <f t="shared" si="26"/>
        <v>0</v>
      </c>
      <c r="AX12" s="251">
        <f t="shared" si="27"/>
        <v>0</v>
      </c>
      <c r="AY12" s="251">
        <f t="shared" si="28"/>
        <v>0</v>
      </c>
      <c r="AZ12" s="251">
        <f t="shared" si="29"/>
        <v>0</v>
      </c>
      <c r="BA12" s="251">
        <f t="shared" si="30"/>
        <v>0</v>
      </c>
      <c r="BB12" s="251">
        <f t="shared" si="31"/>
        <v>0</v>
      </c>
      <c r="BC12" s="251">
        <f t="shared" si="32"/>
        <v>0</v>
      </c>
      <c r="BD12" s="251">
        <f t="shared" si="33"/>
        <v>0</v>
      </c>
      <c r="BE12" s="251">
        <f t="shared" si="34"/>
        <v>0</v>
      </c>
      <c r="BF12" s="251">
        <f t="shared" si="35"/>
        <v>0</v>
      </c>
      <c r="BG12" s="251">
        <f t="shared" si="36"/>
        <v>0</v>
      </c>
      <c r="BH12" s="251">
        <f t="shared" ref="BH12:BH50" si="75">IF($G12="33382",$F12,0)</f>
        <v>0</v>
      </c>
      <c r="BI12" s="251">
        <f t="shared" ref="BI12:BI50" si="76">IF($H12="33382",$F12,0)</f>
        <v>0</v>
      </c>
      <c r="BJ12" s="251">
        <f t="shared" si="37"/>
        <v>0</v>
      </c>
      <c r="BK12" s="251">
        <f t="shared" si="38"/>
        <v>0</v>
      </c>
      <c r="BL12" s="251">
        <f t="shared" si="39"/>
        <v>0</v>
      </c>
      <c r="BM12" s="251">
        <f t="shared" si="40"/>
        <v>0</v>
      </c>
      <c r="BN12" s="251">
        <f t="shared" si="41"/>
        <v>0</v>
      </c>
      <c r="BO12" s="251">
        <f t="shared" si="42"/>
        <v>0</v>
      </c>
      <c r="BP12" s="251">
        <f t="shared" ref="BP12:BP50" si="77">IF($G12="3386",$F12,0)</f>
        <v>0</v>
      </c>
      <c r="BQ12" s="251">
        <f t="shared" ref="BQ12:BQ50" si="78">IF($H12="3386",$F12,0)</f>
        <v>0</v>
      </c>
      <c r="BR12" s="251">
        <f t="shared" si="43"/>
        <v>0</v>
      </c>
      <c r="BS12" s="251">
        <f t="shared" si="44"/>
        <v>0</v>
      </c>
      <c r="BT12" s="251">
        <f t="shared" ref="BT12:BT50" si="79">IF($G12="3411",$F12,0)</f>
        <v>0</v>
      </c>
      <c r="BU12" s="251">
        <f t="shared" ref="BU12:BU50" si="80">IF($H12="3411",$F12,0)</f>
        <v>0</v>
      </c>
      <c r="BV12" s="251">
        <f t="shared" ref="BV12:BV50" si="81">IF($G12="3412",$F12,0)</f>
        <v>0</v>
      </c>
      <c r="BW12" s="251">
        <f t="shared" ref="BW12:BW50" si="82">IF($H12="3412",$F12,0)</f>
        <v>0</v>
      </c>
      <c r="BX12" s="251">
        <f t="shared" si="45"/>
        <v>0</v>
      </c>
      <c r="BY12" s="251">
        <f t="shared" si="46"/>
        <v>0</v>
      </c>
      <c r="BZ12" s="251">
        <f t="shared" si="47"/>
        <v>0</v>
      </c>
      <c r="CA12" s="251">
        <f t="shared" si="48"/>
        <v>0</v>
      </c>
      <c r="CB12" s="251">
        <f t="shared" si="49"/>
        <v>0</v>
      </c>
      <c r="CC12" s="251">
        <f t="shared" si="50"/>
        <v>0</v>
      </c>
      <c r="CD12" s="251">
        <f t="shared" ref="CD12:CD50" si="83">IF($G12="5112N",$F12,0)</f>
        <v>0</v>
      </c>
      <c r="CE12" s="251">
        <f t="shared" ref="CE12:CE50" si="84">IF($H12="5112N",$F12,0)</f>
        <v>0</v>
      </c>
      <c r="CF12" s="251">
        <f t="shared" ref="CF12:CF50" si="85">IF($G12="5112X",$F12,0)</f>
        <v>0</v>
      </c>
      <c r="CG12" s="251">
        <f t="shared" ref="CG12:CG50" si="86">IF($H12="5112X",$F12,0)</f>
        <v>0</v>
      </c>
      <c r="CH12" s="251">
        <f t="shared" si="51"/>
        <v>0</v>
      </c>
      <c r="CI12" s="251">
        <f t="shared" si="52"/>
        <v>0</v>
      </c>
      <c r="CJ12" s="251">
        <f t="shared" ref="CJ12:CJ50" si="87">IF($G12="5213",$F12,0)</f>
        <v>0</v>
      </c>
      <c r="CK12" s="251">
        <f t="shared" ref="CK12:CK50" si="88">IF($H12="5213",$F12,0)</f>
        <v>0</v>
      </c>
      <c r="CL12" s="251">
        <f t="shared" si="53"/>
        <v>0</v>
      </c>
      <c r="CM12" s="251">
        <f t="shared" si="54"/>
        <v>0</v>
      </c>
      <c r="CN12" s="251">
        <f t="shared" si="55"/>
        <v>0</v>
      </c>
      <c r="CO12" s="251">
        <f t="shared" si="56"/>
        <v>0</v>
      </c>
      <c r="CP12" s="251">
        <f t="shared" ref="CP12:CP50" si="89">IF($G12="641",$F12,0)</f>
        <v>0</v>
      </c>
      <c r="CQ12" s="251">
        <f t="shared" ref="CQ12:CQ50" si="90">IF($H12="641",$F12,0)</f>
        <v>0</v>
      </c>
      <c r="CR12" s="251">
        <f t="shared" ref="CR12:CR50" si="91">IF($G12="642",$F12,0)</f>
        <v>0</v>
      </c>
      <c r="CS12" s="251">
        <f t="shared" ref="CS12:CS50" si="92">IF($H12="642",$F12,0)</f>
        <v>0</v>
      </c>
      <c r="CT12" s="251">
        <f t="shared" si="57"/>
        <v>0</v>
      </c>
      <c r="CU12" s="251">
        <f t="shared" si="58"/>
        <v>0</v>
      </c>
      <c r="CV12" s="251">
        <f t="shared" si="59"/>
        <v>0</v>
      </c>
      <c r="CW12" s="251">
        <f t="shared" si="60"/>
        <v>0</v>
      </c>
      <c r="CX12" s="251">
        <f t="shared" ref="CX12:CX50" si="93">IF($G12="821",$F12,0)</f>
        <v>0</v>
      </c>
      <c r="CY12" s="251">
        <f t="shared" ref="CY12:CY50" si="94">IF($H12="821",$F12,0)</f>
        <v>0</v>
      </c>
      <c r="CZ12" s="251">
        <f t="shared" ref="CZ12:CZ50" si="95">IF($G12="911",$F12,0)</f>
        <v>0</v>
      </c>
      <c r="DA12" s="251">
        <f t="shared" ref="DA12:DA50" si="96">IF($H12="911",$F12,0)</f>
        <v>0</v>
      </c>
    </row>
    <row r="13" spans="1:105" s="248" customFormat="1" ht="15.75" customHeight="1">
      <c r="A13" s="58" t="str">
        <f t="array" ref="A13">IF(C13&lt;&gt;0,SUM(($C$11:C13&lt;&gt;0)*1),"")</f>
        <v/>
      </c>
      <c r="B13" s="249"/>
      <c r="C13" s="249"/>
      <c r="D13" s="249"/>
      <c r="E13" s="326"/>
      <c r="F13" s="300"/>
      <c r="G13" s="302"/>
      <c r="H13" s="302"/>
      <c r="I13" s="58" t="str">
        <f t="shared" si="0"/>
        <v/>
      </c>
      <c r="J13" s="251">
        <f t="shared" si="61"/>
        <v>0</v>
      </c>
      <c r="K13" s="251">
        <f t="shared" si="62"/>
        <v>0</v>
      </c>
      <c r="L13" s="251">
        <f t="shared" si="1"/>
        <v>0</v>
      </c>
      <c r="M13" s="251">
        <f t="shared" si="2"/>
        <v>0</v>
      </c>
      <c r="N13" s="251">
        <f t="shared" si="3"/>
        <v>0</v>
      </c>
      <c r="O13" s="251">
        <f t="shared" si="4"/>
        <v>0</v>
      </c>
      <c r="P13" s="251">
        <f t="shared" si="5"/>
        <v>0</v>
      </c>
      <c r="Q13" s="251">
        <f t="shared" si="6"/>
        <v>0</v>
      </c>
      <c r="R13" s="251">
        <f t="shared" si="7"/>
        <v>0</v>
      </c>
      <c r="S13" s="251">
        <f t="shared" si="8"/>
        <v>0</v>
      </c>
      <c r="T13" s="251">
        <f t="shared" si="9"/>
        <v>0</v>
      </c>
      <c r="U13" s="251">
        <f t="shared" si="10"/>
        <v>0</v>
      </c>
      <c r="V13" s="251">
        <f t="shared" si="11"/>
        <v>0</v>
      </c>
      <c r="W13" s="251">
        <f t="shared" si="12"/>
        <v>0</v>
      </c>
      <c r="X13" s="251">
        <f t="shared" si="13"/>
        <v>0</v>
      </c>
      <c r="Y13" s="251">
        <f t="shared" si="14"/>
        <v>0</v>
      </c>
      <c r="Z13" s="251">
        <f t="shared" si="15"/>
        <v>0</v>
      </c>
      <c r="AA13" s="251">
        <f t="shared" si="16"/>
        <v>0</v>
      </c>
      <c r="AB13" s="251">
        <f t="shared" si="63"/>
        <v>0</v>
      </c>
      <c r="AC13" s="251">
        <f t="shared" si="64"/>
        <v>0</v>
      </c>
      <c r="AD13" s="251">
        <f t="shared" si="17"/>
        <v>0</v>
      </c>
      <c r="AE13" s="251">
        <f t="shared" si="18"/>
        <v>0</v>
      </c>
      <c r="AF13" s="251">
        <f t="shared" si="19"/>
        <v>0</v>
      </c>
      <c r="AG13" s="251">
        <f t="shared" si="20"/>
        <v>0</v>
      </c>
      <c r="AH13" s="251">
        <f t="shared" si="65"/>
        <v>0</v>
      </c>
      <c r="AI13" s="251">
        <f t="shared" si="66"/>
        <v>0</v>
      </c>
      <c r="AJ13" s="251">
        <f t="shared" si="67"/>
        <v>0</v>
      </c>
      <c r="AK13" s="251">
        <f t="shared" si="68"/>
        <v>0</v>
      </c>
      <c r="AL13" s="251">
        <f t="shared" si="69"/>
        <v>0</v>
      </c>
      <c r="AM13" s="251">
        <f t="shared" si="70"/>
        <v>0</v>
      </c>
      <c r="AN13" s="251">
        <f t="shared" si="71"/>
        <v>0</v>
      </c>
      <c r="AO13" s="251">
        <f t="shared" si="72"/>
        <v>0</v>
      </c>
      <c r="AP13" s="251">
        <f t="shared" si="21"/>
        <v>0</v>
      </c>
      <c r="AQ13" s="251">
        <f t="shared" si="22"/>
        <v>0</v>
      </c>
      <c r="AR13" s="251">
        <f t="shared" si="23"/>
        <v>0</v>
      </c>
      <c r="AS13" s="251">
        <f t="shared" si="24"/>
        <v>0</v>
      </c>
      <c r="AT13" s="251">
        <f t="shared" si="73"/>
        <v>0</v>
      </c>
      <c r="AU13" s="251">
        <f t="shared" si="74"/>
        <v>0</v>
      </c>
      <c r="AV13" s="251">
        <f t="shared" si="25"/>
        <v>0</v>
      </c>
      <c r="AW13" s="251">
        <f t="shared" si="26"/>
        <v>0</v>
      </c>
      <c r="AX13" s="251">
        <f t="shared" si="27"/>
        <v>0</v>
      </c>
      <c r="AY13" s="251">
        <f t="shared" si="28"/>
        <v>0</v>
      </c>
      <c r="AZ13" s="251">
        <f t="shared" si="29"/>
        <v>0</v>
      </c>
      <c r="BA13" s="251">
        <f t="shared" si="30"/>
        <v>0</v>
      </c>
      <c r="BB13" s="251">
        <f t="shared" si="31"/>
        <v>0</v>
      </c>
      <c r="BC13" s="251">
        <f t="shared" si="32"/>
        <v>0</v>
      </c>
      <c r="BD13" s="251">
        <f t="shared" si="33"/>
        <v>0</v>
      </c>
      <c r="BE13" s="251">
        <f t="shared" si="34"/>
        <v>0</v>
      </c>
      <c r="BF13" s="251">
        <f t="shared" si="35"/>
        <v>0</v>
      </c>
      <c r="BG13" s="251">
        <f t="shared" si="36"/>
        <v>0</v>
      </c>
      <c r="BH13" s="251">
        <f t="shared" si="75"/>
        <v>0</v>
      </c>
      <c r="BI13" s="251">
        <f t="shared" si="76"/>
        <v>0</v>
      </c>
      <c r="BJ13" s="251">
        <f t="shared" si="37"/>
        <v>0</v>
      </c>
      <c r="BK13" s="251">
        <f t="shared" si="38"/>
        <v>0</v>
      </c>
      <c r="BL13" s="251">
        <f t="shared" si="39"/>
        <v>0</v>
      </c>
      <c r="BM13" s="251">
        <f t="shared" si="40"/>
        <v>0</v>
      </c>
      <c r="BN13" s="251">
        <f t="shared" si="41"/>
        <v>0</v>
      </c>
      <c r="BO13" s="251">
        <f t="shared" si="42"/>
        <v>0</v>
      </c>
      <c r="BP13" s="251">
        <f t="shared" si="77"/>
        <v>0</v>
      </c>
      <c r="BQ13" s="251">
        <f t="shared" si="78"/>
        <v>0</v>
      </c>
      <c r="BR13" s="251">
        <f t="shared" si="43"/>
        <v>0</v>
      </c>
      <c r="BS13" s="251">
        <f t="shared" si="44"/>
        <v>0</v>
      </c>
      <c r="BT13" s="251">
        <f t="shared" si="79"/>
        <v>0</v>
      </c>
      <c r="BU13" s="251">
        <f t="shared" si="80"/>
        <v>0</v>
      </c>
      <c r="BV13" s="251">
        <f t="shared" si="81"/>
        <v>0</v>
      </c>
      <c r="BW13" s="251">
        <f t="shared" si="82"/>
        <v>0</v>
      </c>
      <c r="BX13" s="251">
        <f t="shared" si="45"/>
        <v>0</v>
      </c>
      <c r="BY13" s="251">
        <f t="shared" si="46"/>
        <v>0</v>
      </c>
      <c r="BZ13" s="251">
        <f t="shared" si="47"/>
        <v>0</v>
      </c>
      <c r="CA13" s="251">
        <f t="shared" si="48"/>
        <v>0</v>
      </c>
      <c r="CB13" s="251">
        <f t="shared" si="49"/>
        <v>0</v>
      </c>
      <c r="CC13" s="251">
        <f t="shared" si="50"/>
        <v>0</v>
      </c>
      <c r="CD13" s="251">
        <f t="shared" si="83"/>
        <v>0</v>
      </c>
      <c r="CE13" s="251">
        <f t="shared" si="84"/>
        <v>0</v>
      </c>
      <c r="CF13" s="251">
        <f t="shared" si="85"/>
        <v>0</v>
      </c>
      <c r="CG13" s="251">
        <f t="shared" si="86"/>
        <v>0</v>
      </c>
      <c r="CH13" s="251">
        <f t="shared" si="51"/>
        <v>0</v>
      </c>
      <c r="CI13" s="251">
        <f t="shared" si="52"/>
        <v>0</v>
      </c>
      <c r="CJ13" s="251">
        <f t="shared" si="87"/>
        <v>0</v>
      </c>
      <c r="CK13" s="251">
        <f t="shared" si="88"/>
        <v>0</v>
      </c>
      <c r="CL13" s="251">
        <f t="shared" si="53"/>
        <v>0</v>
      </c>
      <c r="CM13" s="251">
        <f t="shared" si="54"/>
        <v>0</v>
      </c>
      <c r="CN13" s="251">
        <f t="shared" si="55"/>
        <v>0</v>
      </c>
      <c r="CO13" s="251">
        <f t="shared" si="56"/>
        <v>0</v>
      </c>
      <c r="CP13" s="251">
        <f t="shared" si="89"/>
        <v>0</v>
      </c>
      <c r="CQ13" s="251">
        <f t="shared" si="90"/>
        <v>0</v>
      </c>
      <c r="CR13" s="251">
        <f t="shared" si="91"/>
        <v>0</v>
      </c>
      <c r="CS13" s="251">
        <f t="shared" si="92"/>
        <v>0</v>
      </c>
      <c r="CT13" s="251">
        <f t="shared" si="57"/>
        <v>0</v>
      </c>
      <c r="CU13" s="251">
        <f t="shared" si="58"/>
        <v>0</v>
      </c>
      <c r="CV13" s="251">
        <f t="shared" si="59"/>
        <v>0</v>
      </c>
      <c r="CW13" s="251">
        <f t="shared" si="60"/>
        <v>0</v>
      </c>
      <c r="CX13" s="251">
        <f t="shared" si="93"/>
        <v>0</v>
      </c>
      <c r="CY13" s="251">
        <f t="shared" si="94"/>
        <v>0</v>
      </c>
      <c r="CZ13" s="251">
        <f t="shared" si="95"/>
        <v>0</v>
      </c>
      <c r="DA13" s="251">
        <f t="shared" si="96"/>
        <v>0</v>
      </c>
    </row>
    <row r="14" spans="1:105" s="248" customFormat="1" ht="15.75" customHeight="1">
      <c r="A14" s="58" t="str">
        <f t="array" ref="A14">IF(C14&lt;&gt;0,SUM(($C$11:C14&lt;&gt;0)*1),"")</f>
        <v/>
      </c>
      <c r="B14" s="249"/>
      <c r="C14" s="249"/>
      <c r="D14" s="249"/>
      <c r="E14" s="326"/>
      <c r="F14" s="300"/>
      <c r="G14" s="302"/>
      <c r="H14" s="302"/>
      <c r="I14" s="58" t="str">
        <f t="shared" si="0"/>
        <v/>
      </c>
      <c r="J14" s="251">
        <f t="shared" si="61"/>
        <v>0</v>
      </c>
      <c r="K14" s="251">
        <f t="shared" si="62"/>
        <v>0</v>
      </c>
      <c r="L14" s="251">
        <f t="shared" si="1"/>
        <v>0</v>
      </c>
      <c r="M14" s="251">
        <f t="shared" si="2"/>
        <v>0</v>
      </c>
      <c r="N14" s="251">
        <f t="shared" si="3"/>
        <v>0</v>
      </c>
      <c r="O14" s="251">
        <f t="shared" si="4"/>
        <v>0</v>
      </c>
      <c r="P14" s="251">
        <f t="shared" si="5"/>
        <v>0</v>
      </c>
      <c r="Q14" s="251">
        <f t="shared" si="6"/>
        <v>0</v>
      </c>
      <c r="R14" s="251">
        <f t="shared" si="7"/>
        <v>0</v>
      </c>
      <c r="S14" s="251">
        <f t="shared" si="8"/>
        <v>0</v>
      </c>
      <c r="T14" s="251">
        <f t="shared" si="9"/>
        <v>0</v>
      </c>
      <c r="U14" s="251">
        <f t="shared" si="10"/>
        <v>0</v>
      </c>
      <c r="V14" s="251">
        <f t="shared" si="11"/>
        <v>0</v>
      </c>
      <c r="W14" s="251">
        <f t="shared" si="12"/>
        <v>0</v>
      </c>
      <c r="X14" s="251">
        <f t="shared" si="13"/>
        <v>0</v>
      </c>
      <c r="Y14" s="251">
        <f t="shared" si="14"/>
        <v>0</v>
      </c>
      <c r="Z14" s="251">
        <f t="shared" si="15"/>
        <v>0</v>
      </c>
      <c r="AA14" s="251">
        <f t="shared" si="16"/>
        <v>0</v>
      </c>
      <c r="AB14" s="251">
        <f t="shared" si="63"/>
        <v>0</v>
      </c>
      <c r="AC14" s="251">
        <f t="shared" si="64"/>
        <v>0</v>
      </c>
      <c r="AD14" s="251">
        <f t="shared" si="17"/>
        <v>0</v>
      </c>
      <c r="AE14" s="251">
        <f t="shared" si="18"/>
        <v>0</v>
      </c>
      <c r="AF14" s="251">
        <f t="shared" si="19"/>
        <v>0</v>
      </c>
      <c r="AG14" s="251">
        <f t="shared" si="20"/>
        <v>0</v>
      </c>
      <c r="AH14" s="251">
        <f t="shared" si="65"/>
        <v>0</v>
      </c>
      <c r="AI14" s="251">
        <f t="shared" si="66"/>
        <v>0</v>
      </c>
      <c r="AJ14" s="251">
        <f t="shared" si="67"/>
        <v>0</v>
      </c>
      <c r="AK14" s="251">
        <f t="shared" si="68"/>
        <v>0</v>
      </c>
      <c r="AL14" s="251">
        <f t="shared" si="69"/>
        <v>0</v>
      </c>
      <c r="AM14" s="251">
        <f t="shared" si="70"/>
        <v>0</v>
      </c>
      <c r="AN14" s="251">
        <f t="shared" si="71"/>
        <v>0</v>
      </c>
      <c r="AO14" s="251">
        <f t="shared" si="72"/>
        <v>0</v>
      </c>
      <c r="AP14" s="251">
        <f t="shared" si="21"/>
        <v>0</v>
      </c>
      <c r="AQ14" s="251">
        <f t="shared" si="22"/>
        <v>0</v>
      </c>
      <c r="AR14" s="251">
        <f t="shared" si="23"/>
        <v>0</v>
      </c>
      <c r="AS14" s="251">
        <f t="shared" si="24"/>
        <v>0</v>
      </c>
      <c r="AT14" s="251">
        <f t="shared" si="73"/>
        <v>0</v>
      </c>
      <c r="AU14" s="251">
        <f t="shared" si="74"/>
        <v>0</v>
      </c>
      <c r="AV14" s="251">
        <f t="shared" si="25"/>
        <v>0</v>
      </c>
      <c r="AW14" s="251">
        <f t="shared" si="26"/>
        <v>0</v>
      </c>
      <c r="AX14" s="251">
        <f t="shared" si="27"/>
        <v>0</v>
      </c>
      <c r="AY14" s="251">
        <f t="shared" si="28"/>
        <v>0</v>
      </c>
      <c r="AZ14" s="251">
        <f t="shared" si="29"/>
        <v>0</v>
      </c>
      <c r="BA14" s="251">
        <f t="shared" si="30"/>
        <v>0</v>
      </c>
      <c r="BB14" s="251">
        <f t="shared" si="31"/>
        <v>0</v>
      </c>
      <c r="BC14" s="251">
        <f t="shared" si="32"/>
        <v>0</v>
      </c>
      <c r="BD14" s="251">
        <f t="shared" si="33"/>
        <v>0</v>
      </c>
      <c r="BE14" s="251">
        <f t="shared" si="34"/>
        <v>0</v>
      </c>
      <c r="BF14" s="251">
        <f t="shared" si="35"/>
        <v>0</v>
      </c>
      <c r="BG14" s="251">
        <f t="shared" si="36"/>
        <v>0</v>
      </c>
      <c r="BH14" s="251">
        <f t="shared" si="75"/>
        <v>0</v>
      </c>
      <c r="BI14" s="251">
        <f t="shared" si="76"/>
        <v>0</v>
      </c>
      <c r="BJ14" s="251">
        <f t="shared" si="37"/>
        <v>0</v>
      </c>
      <c r="BK14" s="251">
        <f t="shared" si="38"/>
        <v>0</v>
      </c>
      <c r="BL14" s="251">
        <f t="shared" si="39"/>
        <v>0</v>
      </c>
      <c r="BM14" s="251">
        <f t="shared" si="40"/>
        <v>0</v>
      </c>
      <c r="BN14" s="251">
        <f t="shared" si="41"/>
        <v>0</v>
      </c>
      <c r="BO14" s="251">
        <f t="shared" si="42"/>
        <v>0</v>
      </c>
      <c r="BP14" s="251">
        <f t="shared" si="77"/>
        <v>0</v>
      </c>
      <c r="BQ14" s="251">
        <f t="shared" si="78"/>
        <v>0</v>
      </c>
      <c r="BR14" s="251">
        <f t="shared" si="43"/>
        <v>0</v>
      </c>
      <c r="BS14" s="251">
        <f t="shared" si="44"/>
        <v>0</v>
      </c>
      <c r="BT14" s="251">
        <f t="shared" si="79"/>
        <v>0</v>
      </c>
      <c r="BU14" s="251">
        <f t="shared" si="80"/>
        <v>0</v>
      </c>
      <c r="BV14" s="251">
        <f t="shared" si="81"/>
        <v>0</v>
      </c>
      <c r="BW14" s="251">
        <f t="shared" si="82"/>
        <v>0</v>
      </c>
      <c r="BX14" s="251">
        <f t="shared" si="45"/>
        <v>0</v>
      </c>
      <c r="BY14" s="251">
        <f t="shared" si="46"/>
        <v>0</v>
      </c>
      <c r="BZ14" s="251">
        <f t="shared" si="47"/>
        <v>0</v>
      </c>
      <c r="CA14" s="251">
        <f t="shared" si="48"/>
        <v>0</v>
      </c>
      <c r="CB14" s="251">
        <f t="shared" si="49"/>
        <v>0</v>
      </c>
      <c r="CC14" s="251">
        <f t="shared" si="50"/>
        <v>0</v>
      </c>
      <c r="CD14" s="251">
        <f t="shared" si="83"/>
        <v>0</v>
      </c>
      <c r="CE14" s="251">
        <f t="shared" si="84"/>
        <v>0</v>
      </c>
      <c r="CF14" s="251">
        <f t="shared" si="85"/>
        <v>0</v>
      </c>
      <c r="CG14" s="251">
        <f t="shared" si="86"/>
        <v>0</v>
      </c>
      <c r="CH14" s="251">
        <f t="shared" si="51"/>
        <v>0</v>
      </c>
      <c r="CI14" s="251">
        <f t="shared" si="52"/>
        <v>0</v>
      </c>
      <c r="CJ14" s="251">
        <f t="shared" si="87"/>
        <v>0</v>
      </c>
      <c r="CK14" s="251">
        <f t="shared" si="88"/>
        <v>0</v>
      </c>
      <c r="CL14" s="251">
        <f t="shared" si="53"/>
        <v>0</v>
      </c>
      <c r="CM14" s="251">
        <f t="shared" si="54"/>
        <v>0</v>
      </c>
      <c r="CN14" s="251">
        <f t="shared" si="55"/>
        <v>0</v>
      </c>
      <c r="CO14" s="251">
        <f t="shared" si="56"/>
        <v>0</v>
      </c>
      <c r="CP14" s="251">
        <f t="shared" si="89"/>
        <v>0</v>
      </c>
      <c r="CQ14" s="251">
        <f t="shared" si="90"/>
        <v>0</v>
      </c>
      <c r="CR14" s="251">
        <f t="shared" si="91"/>
        <v>0</v>
      </c>
      <c r="CS14" s="251">
        <f t="shared" si="92"/>
        <v>0</v>
      </c>
      <c r="CT14" s="251">
        <f t="shared" si="57"/>
        <v>0</v>
      </c>
      <c r="CU14" s="251">
        <f t="shared" si="58"/>
        <v>0</v>
      </c>
      <c r="CV14" s="251">
        <f t="shared" si="59"/>
        <v>0</v>
      </c>
      <c r="CW14" s="251">
        <f t="shared" si="60"/>
        <v>0</v>
      </c>
      <c r="CX14" s="251">
        <f t="shared" si="93"/>
        <v>0</v>
      </c>
      <c r="CY14" s="251">
        <f t="shared" si="94"/>
        <v>0</v>
      </c>
      <c r="CZ14" s="251">
        <f t="shared" si="95"/>
        <v>0</v>
      </c>
      <c r="DA14" s="251">
        <f t="shared" si="96"/>
        <v>0</v>
      </c>
    </row>
    <row r="15" spans="1:105" s="248" customFormat="1" ht="15.75" customHeight="1">
      <c r="A15" s="58" t="str">
        <f t="array" ref="A15">IF(C15&lt;&gt;0,SUM(($C$11:C15&lt;&gt;0)*1),"")</f>
        <v/>
      </c>
      <c r="B15" s="249"/>
      <c r="C15" s="249"/>
      <c r="D15" s="249"/>
      <c r="E15" s="326"/>
      <c r="F15" s="300"/>
      <c r="G15" s="302"/>
      <c r="H15" s="302"/>
      <c r="I15" s="58" t="str">
        <f t="shared" si="0"/>
        <v/>
      </c>
      <c r="J15" s="251">
        <f t="shared" si="61"/>
        <v>0</v>
      </c>
      <c r="K15" s="251">
        <f t="shared" si="62"/>
        <v>0</v>
      </c>
      <c r="L15" s="251">
        <f t="shared" si="1"/>
        <v>0</v>
      </c>
      <c r="M15" s="251">
        <f t="shared" si="2"/>
        <v>0</v>
      </c>
      <c r="N15" s="251">
        <f t="shared" si="3"/>
        <v>0</v>
      </c>
      <c r="O15" s="251">
        <f t="shared" si="4"/>
        <v>0</v>
      </c>
      <c r="P15" s="251">
        <f t="shared" si="5"/>
        <v>0</v>
      </c>
      <c r="Q15" s="251">
        <f t="shared" si="6"/>
        <v>0</v>
      </c>
      <c r="R15" s="251">
        <f t="shared" si="7"/>
        <v>0</v>
      </c>
      <c r="S15" s="251">
        <f t="shared" si="8"/>
        <v>0</v>
      </c>
      <c r="T15" s="251">
        <f t="shared" si="9"/>
        <v>0</v>
      </c>
      <c r="U15" s="251">
        <f t="shared" si="10"/>
        <v>0</v>
      </c>
      <c r="V15" s="251">
        <f t="shared" si="11"/>
        <v>0</v>
      </c>
      <c r="W15" s="251">
        <f t="shared" si="12"/>
        <v>0</v>
      </c>
      <c r="X15" s="251">
        <f t="shared" si="13"/>
        <v>0</v>
      </c>
      <c r="Y15" s="251">
        <f t="shared" si="14"/>
        <v>0</v>
      </c>
      <c r="Z15" s="251">
        <f t="shared" si="15"/>
        <v>0</v>
      </c>
      <c r="AA15" s="251">
        <f t="shared" si="16"/>
        <v>0</v>
      </c>
      <c r="AB15" s="251">
        <f t="shared" si="63"/>
        <v>0</v>
      </c>
      <c r="AC15" s="251">
        <f t="shared" si="64"/>
        <v>0</v>
      </c>
      <c r="AD15" s="251">
        <f t="shared" si="17"/>
        <v>0</v>
      </c>
      <c r="AE15" s="251">
        <f t="shared" si="18"/>
        <v>0</v>
      </c>
      <c r="AF15" s="251">
        <f t="shared" si="19"/>
        <v>0</v>
      </c>
      <c r="AG15" s="251">
        <f t="shared" si="20"/>
        <v>0</v>
      </c>
      <c r="AH15" s="251">
        <f t="shared" si="65"/>
        <v>0</v>
      </c>
      <c r="AI15" s="251">
        <f t="shared" si="66"/>
        <v>0</v>
      </c>
      <c r="AJ15" s="251">
        <f t="shared" si="67"/>
        <v>0</v>
      </c>
      <c r="AK15" s="251">
        <f t="shared" si="68"/>
        <v>0</v>
      </c>
      <c r="AL15" s="251">
        <f t="shared" si="69"/>
        <v>0</v>
      </c>
      <c r="AM15" s="251">
        <f t="shared" si="70"/>
        <v>0</v>
      </c>
      <c r="AN15" s="251">
        <f t="shared" si="71"/>
        <v>0</v>
      </c>
      <c r="AO15" s="251">
        <f t="shared" si="72"/>
        <v>0</v>
      </c>
      <c r="AP15" s="251">
        <f t="shared" si="21"/>
        <v>0</v>
      </c>
      <c r="AQ15" s="251">
        <f t="shared" si="22"/>
        <v>0</v>
      </c>
      <c r="AR15" s="251">
        <f t="shared" si="23"/>
        <v>0</v>
      </c>
      <c r="AS15" s="251">
        <f t="shared" si="24"/>
        <v>0</v>
      </c>
      <c r="AT15" s="251">
        <f t="shared" si="73"/>
        <v>0</v>
      </c>
      <c r="AU15" s="251">
        <f t="shared" si="74"/>
        <v>0</v>
      </c>
      <c r="AV15" s="251">
        <f t="shared" si="25"/>
        <v>0</v>
      </c>
      <c r="AW15" s="251">
        <f t="shared" si="26"/>
        <v>0</v>
      </c>
      <c r="AX15" s="251">
        <f t="shared" si="27"/>
        <v>0</v>
      </c>
      <c r="AY15" s="251">
        <f t="shared" si="28"/>
        <v>0</v>
      </c>
      <c r="AZ15" s="251">
        <f t="shared" si="29"/>
        <v>0</v>
      </c>
      <c r="BA15" s="251">
        <f t="shared" si="30"/>
        <v>0</v>
      </c>
      <c r="BB15" s="251">
        <f t="shared" si="31"/>
        <v>0</v>
      </c>
      <c r="BC15" s="251">
        <f t="shared" si="32"/>
        <v>0</v>
      </c>
      <c r="BD15" s="251">
        <f t="shared" si="33"/>
        <v>0</v>
      </c>
      <c r="BE15" s="251">
        <f t="shared" si="34"/>
        <v>0</v>
      </c>
      <c r="BF15" s="251">
        <f t="shared" si="35"/>
        <v>0</v>
      </c>
      <c r="BG15" s="251">
        <f t="shared" si="36"/>
        <v>0</v>
      </c>
      <c r="BH15" s="251">
        <f t="shared" si="75"/>
        <v>0</v>
      </c>
      <c r="BI15" s="251">
        <f t="shared" si="76"/>
        <v>0</v>
      </c>
      <c r="BJ15" s="251">
        <f t="shared" si="37"/>
        <v>0</v>
      </c>
      <c r="BK15" s="251">
        <f t="shared" si="38"/>
        <v>0</v>
      </c>
      <c r="BL15" s="251">
        <f t="shared" si="39"/>
        <v>0</v>
      </c>
      <c r="BM15" s="251">
        <f t="shared" si="40"/>
        <v>0</v>
      </c>
      <c r="BN15" s="251">
        <f t="shared" si="41"/>
        <v>0</v>
      </c>
      <c r="BO15" s="251">
        <f t="shared" si="42"/>
        <v>0</v>
      </c>
      <c r="BP15" s="251">
        <f t="shared" si="77"/>
        <v>0</v>
      </c>
      <c r="BQ15" s="251">
        <f t="shared" si="78"/>
        <v>0</v>
      </c>
      <c r="BR15" s="251">
        <f t="shared" si="43"/>
        <v>0</v>
      </c>
      <c r="BS15" s="251">
        <f t="shared" si="44"/>
        <v>0</v>
      </c>
      <c r="BT15" s="251">
        <f t="shared" si="79"/>
        <v>0</v>
      </c>
      <c r="BU15" s="251">
        <f t="shared" si="80"/>
        <v>0</v>
      </c>
      <c r="BV15" s="251">
        <f t="shared" si="81"/>
        <v>0</v>
      </c>
      <c r="BW15" s="251">
        <f t="shared" si="82"/>
        <v>0</v>
      </c>
      <c r="BX15" s="251">
        <f t="shared" si="45"/>
        <v>0</v>
      </c>
      <c r="BY15" s="251">
        <f t="shared" si="46"/>
        <v>0</v>
      </c>
      <c r="BZ15" s="251">
        <f t="shared" si="47"/>
        <v>0</v>
      </c>
      <c r="CA15" s="251">
        <f t="shared" si="48"/>
        <v>0</v>
      </c>
      <c r="CB15" s="251">
        <f t="shared" si="49"/>
        <v>0</v>
      </c>
      <c r="CC15" s="251">
        <f t="shared" si="50"/>
        <v>0</v>
      </c>
      <c r="CD15" s="251">
        <f t="shared" si="83"/>
        <v>0</v>
      </c>
      <c r="CE15" s="251">
        <f t="shared" si="84"/>
        <v>0</v>
      </c>
      <c r="CF15" s="251">
        <f t="shared" si="85"/>
        <v>0</v>
      </c>
      <c r="CG15" s="251">
        <f t="shared" si="86"/>
        <v>0</v>
      </c>
      <c r="CH15" s="251">
        <f t="shared" si="51"/>
        <v>0</v>
      </c>
      <c r="CI15" s="251">
        <f t="shared" si="52"/>
        <v>0</v>
      </c>
      <c r="CJ15" s="251">
        <f t="shared" si="87"/>
        <v>0</v>
      </c>
      <c r="CK15" s="251">
        <f t="shared" si="88"/>
        <v>0</v>
      </c>
      <c r="CL15" s="251">
        <f t="shared" si="53"/>
        <v>0</v>
      </c>
      <c r="CM15" s="251">
        <f t="shared" si="54"/>
        <v>0</v>
      </c>
      <c r="CN15" s="251">
        <f t="shared" si="55"/>
        <v>0</v>
      </c>
      <c r="CO15" s="251">
        <f t="shared" si="56"/>
        <v>0</v>
      </c>
      <c r="CP15" s="251">
        <f t="shared" si="89"/>
        <v>0</v>
      </c>
      <c r="CQ15" s="251">
        <f t="shared" si="90"/>
        <v>0</v>
      </c>
      <c r="CR15" s="251">
        <f t="shared" si="91"/>
        <v>0</v>
      </c>
      <c r="CS15" s="251">
        <f t="shared" si="92"/>
        <v>0</v>
      </c>
      <c r="CT15" s="251">
        <f t="shared" si="57"/>
        <v>0</v>
      </c>
      <c r="CU15" s="251">
        <f t="shared" si="58"/>
        <v>0</v>
      </c>
      <c r="CV15" s="251">
        <f t="shared" si="59"/>
        <v>0</v>
      </c>
      <c r="CW15" s="251">
        <f t="shared" si="60"/>
        <v>0</v>
      </c>
      <c r="CX15" s="251">
        <f t="shared" si="93"/>
        <v>0</v>
      </c>
      <c r="CY15" s="251">
        <f t="shared" si="94"/>
        <v>0</v>
      </c>
      <c r="CZ15" s="251">
        <f t="shared" si="95"/>
        <v>0</v>
      </c>
      <c r="DA15" s="251">
        <f t="shared" si="96"/>
        <v>0</v>
      </c>
    </row>
    <row r="16" spans="1:105" s="248" customFormat="1" ht="15.75" customHeight="1">
      <c r="A16" s="58" t="str">
        <f t="array" ref="A16">IF(C16&lt;&gt;0,SUM(($C$11:C16&lt;&gt;0)*1),"")</f>
        <v/>
      </c>
      <c r="B16" s="249"/>
      <c r="C16" s="249"/>
      <c r="D16" s="249"/>
      <c r="E16" s="326"/>
      <c r="F16" s="300"/>
      <c r="G16" s="302"/>
      <c r="H16" s="302"/>
      <c r="I16" s="58" t="str">
        <f t="shared" si="0"/>
        <v/>
      </c>
      <c r="J16" s="251">
        <f t="shared" si="61"/>
        <v>0</v>
      </c>
      <c r="K16" s="251">
        <f t="shared" si="62"/>
        <v>0</v>
      </c>
      <c r="L16" s="251">
        <f t="shared" si="1"/>
        <v>0</v>
      </c>
      <c r="M16" s="251">
        <f t="shared" si="2"/>
        <v>0</v>
      </c>
      <c r="N16" s="251">
        <f t="shared" si="3"/>
        <v>0</v>
      </c>
      <c r="O16" s="251">
        <f t="shared" si="4"/>
        <v>0</v>
      </c>
      <c r="P16" s="251">
        <f t="shared" si="5"/>
        <v>0</v>
      </c>
      <c r="Q16" s="251">
        <f t="shared" si="6"/>
        <v>0</v>
      </c>
      <c r="R16" s="251">
        <f t="shared" si="7"/>
        <v>0</v>
      </c>
      <c r="S16" s="251">
        <f t="shared" si="8"/>
        <v>0</v>
      </c>
      <c r="T16" s="251">
        <f t="shared" si="9"/>
        <v>0</v>
      </c>
      <c r="U16" s="251">
        <f t="shared" si="10"/>
        <v>0</v>
      </c>
      <c r="V16" s="251">
        <f t="shared" si="11"/>
        <v>0</v>
      </c>
      <c r="W16" s="251">
        <f t="shared" si="12"/>
        <v>0</v>
      </c>
      <c r="X16" s="251">
        <f t="shared" si="13"/>
        <v>0</v>
      </c>
      <c r="Y16" s="251">
        <f t="shared" si="14"/>
        <v>0</v>
      </c>
      <c r="Z16" s="251">
        <f t="shared" si="15"/>
        <v>0</v>
      </c>
      <c r="AA16" s="251">
        <f t="shared" si="16"/>
        <v>0</v>
      </c>
      <c r="AB16" s="251">
        <f t="shared" si="63"/>
        <v>0</v>
      </c>
      <c r="AC16" s="251">
        <f t="shared" si="64"/>
        <v>0</v>
      </c>
      <c r="AD16" s="251">
        <f t="shared" si="17"/>
        <v>0</v>
      </c>
      <c r="AE16" s="251">
        <f t="shared" si="18"/>
        <v>0</v>
      </c>
      <c r="AF16" s="251">
        <f t="shared" si="19"/>
        <v>0</v>
      </c>
      <c r="AG16" s="251">
        <f t="shared" si="20"/>
        <v>0</v>
      </c>
      <c r="AH16" s="251">
        <f t="shared" si="65"/>
        <v>0</v>
      </c>
      <c r="AI16" s="251">
        <f t="shared" si="66"/>
        <v>0</v>
      </c>
      <c r="AJ16" s="251">
        <f t="shared" si="67"/>
        <v>0</v>
      </c>
      <c r="AK16" s="251">
        <f t="shared" si="68"/>
        <v>0</v>
      </c>
      <c r="AL16" s="251">
        <f t="shared" si="69"/>
        <v>0</v>
      </c>
      <c r="AM16" s="251">
        <f t="shared" si="70"/>
        <v>0</v>
      </c>
      <c r="AN16" s="251">
        <f t="shared" si="71"/>
        <v>0</v>
      </c>
      <c r="AO16" s="251">
        <f t="shared" si="72"/>
        <v>0</v>
      </c>
      <c r="AP16" s="251">
        <f t="shared" si="21"/>
        <v>0</v>
      </c>
      <c r="AQ16" s="251">
        <f t="shared" si="22"/>
        <v>0</v>
      </c>
      <c r="AR16" s="251">
        <f t="shared" si="23"/>
        <v>0</v>
      </c>
      <c r="AS16" s="251">
        <f t="shared" si="24"/>
        <v>0</v>
      </c>
      <c r="AT16" s="251">
        <f t="shared" si="73"/>
        <v>0</v>
      </c>
      <c r="AU16" s="251">
        <f t="shared" si="74"/>
        <v>0</v>
      </c>
      <c r="AV16" s="251">
        <f t="shared" si="25"/>
        <v>0</v>
      </c>
      <c r="AW16" s="251">
        <f t="shared" si="26"/>
        <v>0</v>
      </c>
      <c r="AX16" s="251">
        <f t="shared" si="27"/>
        <v>0</v>
      </c>
      <c r="AY16" s="251">
        <f t="shared" si="28"/>
        <v>0</v>
      </c>
      <c r="AZ16" s="251">
        <f t="shared" si="29"/>
        <v>0</v>
      </c>
      <c r="BA16" s="251">
        <f t="shared" si="30"/>
        <v>0</v>
      </c>
      <c r="BB16" s="251">
        <f t="shared" si="31"/>
        <v>0</v>
      </c>
      <c r="BC16" s="251">
        <f t="shared" si="32"/>
        <v>0</v>
      </c>
      <c r="BD16" s="251">
        <f t="shared" si="33"/>
        <v>0</v>
      </c>
      <c r="BE16" s="251">
        <f t="shared" si="34"/>
        <v>0</v>
      </c>
      <c r="BF16" s="251">
        <f t="shared" si="35"/>
        <v>0</v>
      </c>
      <c r="BG16" s="251">
        <f t="shared" si="36"/>
        <v>0</v>
      </c>
      <c r="BH16" s="251">
        <f t="shared" si="75"/>
        <v>0</v>
      </c>
      <c r="BI16" s="251">
        <f t="shared" si="76"/>
        <v>0</v>
      </c>
      <c r="BJ16" s="251">
        <f t="shared" si="37"/>
        <v>0</v>
      </c>
      <c r="BK16" s="251">
        <f t="shared" si="38"/>
        <v>0</v>
      </c>
      <c r="BL16" s="251">
        <f t="shared" si="39"/>
        <v>0</v>
      </c>
      <c r="BM16" s="251">
        <f t="shared" si="40"/>
        <v>0</v>
      </c>
      <c r="BN16" s="251">
        <f t="shared" si="41"/>
        <v>0</v>
      </c>
      <c r="BO16" s="251">
        <f t="shared" si="42"/>
        <v>0</v>
      </c>
      <c r="BP16" s="251">
        <f t="shared" si="77"/>
        <v>0</v>
      </c>
      <c r="BQ16" s="251">
        <f t="shared" si="78"/>
        <v>0</v>
      </c>
      <c r="BR16" s="251">
        <f t="shared" si="43"/>
        <v>0</v>
      </c>
      <c r="BS16" s="251">
        <f t="shared" si="44"/>
        <v>0</v>
      </c>
      <c r="BT16" s="251">
        <f t="shared" si="79"/>
        <v>0</v>
      </c>
      <c r="BU16" s="251">
        <f t="shared" si="80"/>
        <v>0</v>
      </c>
      <c r="BV16" s="251">
        <f t="shared" si="81"/>
        <v>0</v>
      </c>
      <c r="BW16" s="251">
        <f t="shared" si="82"/>
        <v>0</v>
      </c>
      <c r="BX16" s="251">
        <f t="shared" si="45"/>
        <v>0</v>
      </c>
      <c r="BY16" s="251">
        <f t="shared" si="46"/>
        <v>0</v>
      </c>
      <c r="BZ16" s="251">
        <f t="shared" si="47"/>
        <v>0</v>
      </c>
      <c r="CA16" s="251">
        <f t="shared" si="48"/>
        <v>0</v>
      </c>
      <c r="CB16" s="251">
        <f t="shared" si="49"/>
        <v>0</v>
      </c>
      <c r="CC16" s="251">
        <f t="shared" si="50"/>
        <v>0</v>
      </c>
      <c r="CD16" s="251">
        <f t="shared" si="83"/>
        <v>0</v>
      </c>
      <c r="CE16" s="251">
        <f t="shared" si="84"/>
        <v>0</v>
      </c>
      <c r="CF16" s="251">
        <f t="shared" si="85"/>
        <v>0</v>
      </c>
      <c r="CG16" s="251">
        <f t="shared" si="86"/>
        <v>0</v>
      </c>
      <c r="CH16" s="251">
        <f t="shared" si="51"/>
        <v>0</v>
      </c>
      <c r="CI16" s="251">
        <f t="shared" si="52"/>
        <v>0</v>
      </c>
      <c r="CJ16" s="251">
        <f t="shared" si="87"/>
        <v>0</v>
      </c>
      <c r="CK16" s="251">
        <f t="shared" si="88"/>
        <v>0</v>
      </c>
      <c r="CL16" s="251">
        <f t="shared" si="53"/>
        <v>0</v>
      </c>
      <c r="CM16" s="251">
        <f t="shared" si="54"/>
        <v>0</v>
      </c>
      <c r="CN16" s="251">
        <f t="shared" si="55"/>
        <v>0</v>
      </c>
      <c r="CO16" s="251">
        <f t="shared" si="56"/>
        <v>0</v>
      </c>
      <c r="CP16" s="251">
        <f t="shared" si="89"/>
        <v>0</v>
      </c>
      <c r="CQ16" s="251">
        <f t="shared" si="90"/>
        <v>0</v>
      </c>
      <c r="CR16" s="251">
        <f t="shared" si="91"/>
        <v>0</v>
      </c>
      <c r="CS16" s="251">
        <f t="shared" si="92"/>
        <v>0</v>
      </c>
      <c r="CT16" s="251">
        <f t="shared" si="57"/>
        <v>0</v>
      </c>
      <c r="CU16" s="251">
        <f t="shared" si="58"/>
        <v>0</v>
      </c>
      <c r="CV16" s="251">
        <f t="shared" si="59"/>
        <v>0</v>
      </c>
      <c r="CW16" s="251">
        <f t="shared" si="60"/>
        <v>0</v>
      </c>
      <c r="CX16" s="251">
        <f t="shared" si="93"/>
        <v>0</v>
      </c>
      <c r="CY16" s="251">
        <f t="shared" si="94"/>
        <v>0</v>
      </c>
      <c r="CZ16" s="251">
        <f t="shared" si="95"/>
        <v>0</v>
      </c>
      <c r="DA16" s="251">
        <f t="shared" si="96"/>
        <v>0</v>
      </c>
    </row>
    <row r="17" spans="1:105" s="248" customFormat="1" ht="15.75" customHeight="1">
      <c r="A17" s="58" t="str">
        <f t="array" ref="A17">IF(C17&lt;&gt;0,SUM(($C$11:C17&lt;&gt;0)*1),"")</f>
        <v/>
      </c>
      <c r="B17" s="249"/>
      <c r="C17" s="249"/>
      <c r="D17" s="249"/>
      <c r="E17" s="326"/>
      <c r="F17" s="300"/>
      <c r="G17" s="302"/>
      <c r="H17" s="302"/>
      <c r="I17" s="58" t="str">
        <f t="shared" si="0"/>
        <v/>
      </c>
      <c r="J17" s="251">
        <f t="shared" si="61"/>
        <v>0</v>
      </c>
      <c r="K17" s="251">
        <f t="shared" si="62"/>
        <v>0</v>
      </c>
      <c r="L17" s="251">
        <f t="shared" si="1"/>
        <v>0</v>
      </c>
      <c r="M17" s="251">
        <f t="shared" si="2"/>
        <v>0</v>
      </c>
      <c r="N17" s="251">
        <f t="shared" si="3"/>
        <v>0</v>
      </c>
      <c r="O17" s="251">
        <f t="shared" si="4"/>
        <v>0</v>
      </c>
      <c r="P17" s="251">
        <f t="shared" si="5"/>
        <v>0</v>
      </c>
      <c r="Q17" s="251">
        <f t="shared" si="6"/>
        <v>0</v>
      </c>
      <c r="R17" s="251">
        <f t="shared" si="7"/>
        <v>0</v>
      </c>
      <c r="S17" s="251">
        <f t="shared" si="8"/>
        <v>0</v>
      </c>
      <c r="T17" s="251">
        <f t="shared" si="9"/>
        <v>0</v>
      </c>
      <c r="U17" s="251">
        <f t="shared" si="10"/>
        <v>0</v>
      </c>
      <c r="V17" s="251">
        <f t="shared" si="11"/>
        <v>0</v>
      </c>
      <c r="W17" s="251">
        <f t="shared" si="12"/>
        <v>0</v>
      </c>
      <c r="X17" s="251">
        <f t="shared" si="13"/>
        <v>0</v>
      </c>
      <c r="Y17" s="251">
        <f t="shared" si="14"/>
        <v>0</v>
      </c>
      <c r="Z17" s="251">
        <f t="shared" si="15"/>
        <v>0</v>
      </c>
      <c r="AA17" s="251">
        <f t="shared" si="16"/>
        <v>0</v>
      </c>
      <c r="AB17" s="251">
        <f t="shared" si="63"/>
        <v>0</v>
      </c>
      <c r="AC17" s="251">
        <f t="shared" si="64"/>
        <v>0</v>
      </c>
      <c r="AD17" s="251">
        <f t="shared" si="17"/>
        <v>0</v>
      </c>
      <c r="AE17" s="251">
        <f t="shared" si="18"/>
        <v>0</v>
      </c>
      <c r="AF17" s="251">
        <f t="shared" si="19"/>
        <v>0</v>
      </c>
      <c r="AG17" s="251">
        <f t="shared" si="20"/>
        <v>0</v>
      </c>
      <c r="AH17" s="251">
        <f t="shared" si="65"/>
        <v>0</v>
      </c>
      <c r="AI17" s="251">
        <f t="shared" si="66"/>
        <v>0</v>
      </c>
      <c r="AJ17" s="251">
        <f t="shared" si="67"/>
        <v>0</v>
      </c>
      <c r="AK17" s="251">
        <f t="shared" si="68"/>
        <v>0</v>
      </c>
      <c r="AL17" s="251">
        <f t="shared" si="69"/>
        <v>0</v>
      </c>
      <c r="AM17" s="251">
        <f t="shared" si="70"/>
        <v>0</v>
      </c>
      <c r="AN17" s="251">
        <f t="shared" si="71"/>
        <v>0</v>
      </c>
      <c r="AO17" s="251">
        <f t="shared" si="72"/>
        <v>0</v>
      </c>
      <c r="AP17" s="251">
        <f t="shared" si="21"/>
        <v>0</v>
      </c>
      <c r="AQ17" s="251">
        <f t="shared" si="22"/>
        <v>0</v>
      </c>
      <c r="AR17" s="251">
        <f t="shared" si="23"/>
        <v>0</v>
      </c>
      <c r="AS17" s="251">
        <f t="shared" si="24"/>
        <v>0</v>
      </c>
      <c r="AT17" s="251">
        <f t="shared" si="73"/>
        <v>0</v>
      </c>
      <c r="AU17" s="251">
        <f t="shared" si="74"/>
        <v>0</v>
      </c>
      <c r="AV17" s="251">
        <f t="shared" si="25"/>
        <v>0</v>
      </c>
      <c r="AW17" s="251">
        <f t="shared" si="26"/>
        <v>0</v>
      </c>
      <c r="AX17" s="251">
        <f t="shared" si="27"/>
        <v>0</v>
      </c>
      <c r="AY17" s="251">
        <f t="shared" si="28"/>
        <v>0</v>
      </c>
      <c r="AZ17" s="251">
        <f t="shared" si="29"/>
        <v>0</v>
      </c>
      <c r="BA17" s="251">
        <f t="shared" si="30"/>
        <v>0</v>
      </c>
      <c r="BB17" s="251">
        <f t="shared" si="31"/>
        <v>0</v>
      </c>
      <c r="BC17" s="251">
        <f t="shared" si="32"/>
        <v>0</v>
      </c>
      <c r="BD17" s="251">
        <f t="shared" si="33"/>
        <v>0</v>
      </c>
      <c r="BE17" s="251">
        <f t="shared" si="34"/>
        <v>0</v>
      </c>
      <c r="BF17" s="251">
        <f t="shared" si="35"/>
        <v>0</v>
      </c>
      <c r="BG17" s="251">
        <f t="shared" si="36"/>
        <v>0</v>
      </c>
      <c r="BH17" s="251">
        <f t="shared" si="75"/>
        <v>0</v>
      </c>
      <c r="BI17" s="251">
        <f t="shared" si="76"/>
        <v>0</v>
      </c>
      <c r="BJ17" s="251">
        <f t="shared" si="37"/>
        <v>0</v>
      </c>
      <c r="BK17" s="251">
        <f t="shared" si="38"/>
        <v>0</v>
      </c>
      <c r="BL17" s="251">
        <f t="shared" si="39"/>
        <v>0</v>
      </c>
      <c r="BM17" s="251">
        <f t="shared" si="40"/>
        <v>0</v>
      </c>
      <c r="BN17" s="251">
        <f t="shared" si="41"/>
        <v>0</v>
      </c>
      <c r="BO17" s="251">
        <f t="shared" si="42"/>
        <v>0</v>
      </c>
      <c r="BP17" s="251">
        <f t="shared" si="77"/>
        <v>0</v>
      </c>
      <c r="BQ17" s="251">
        <f t="shared" si="78"/>
        <v>0</v>
      </c>
      <c r="BR17" s="251">
        <f t="shared" si="43"/>
        <v>0</v>
      </c>
      <c r="BS17" s="251">
        <f t="shared" si="44"/>
        <v>0</v>
      </c>
      <c r="BT17" s="251">
        <f t="shared" si="79"/>
        <v>0</v>
      </c>
      <c r="BU17" s="251">
        <f t="shared" si="80"/>
        <v>0</v>
      </c>
      <c r="BV17" s="251">
        <f t="shared" si="81"/>
        <v>0</v>
      </c>
      <c r="BW17" s="251">
        <f t="shared" si="82"/>
        <v>0</v>
      </c>
      <c r="BX17" s="251">
        <f t="shared" si="45"/>
        <v>0</v>
      </c>
      <c r="BY17" s="251">
        <f t="shared" si="46"/>
        <v>0</v>
      </c>
      <c r="BZ17" s="251">
        <f t="shared" si="47"/>
        <v>0</v>
      </c>
      <c r="CA17" s="251">
        <f t="shared" si="48"/>
        <v>0</v>
      </c>
      <c r="CB17" s="251">
        <f t="shared" si="49"/>
        <v>0</v>
      </c>
      <c r="CC17" s="251">
        <f t="shared" si="50"/>
        <v>0</v>
      </c>
      <c r="CD17" s="251">
        <f t="shared" si="83"/>
        <v>0</v>
      </c>
      <c r="CE17" s="251">
        <f t="shared" si="84"/>
        <v>0</v>
      </c>
      <c r="CF17" s="251">
        <f t="shared" si="85"/>
        <v>0</v>
      </c>
      <c r="CG17" s="251">
        <f t="shared" si="86"/>
        <v>0</v>
      </c>
      <c r="CH17" s="251">
        <f t="shared" si="51"/>
        <v>0</v>
      </c>
      <c r="CI17" s="251">
        <f t="shared" si="52"/>
        <v>0</v>
      </c>
      <c r="CJ17" s="251">
        <f t="shared" si="87"/>
        <v>0</v>
      </c>
      <c r="CK17" s="251">
        <f t="shared" si="88"/>
        <v>0</v>
      </c>
      <c r="CL17" s="251">
        <f t="shared" si="53"/>
        <v>0</v>
      </c>
      <c r="CM17" s="251">
        <f t="shared" si="54"/>
        <v>0</v>
      </c>
      <c r="CN17" s="251">
        <f t="shared" si="55"/>
        <v>0</v>
      </c>
      <c r="CO17" s="251">
        <f t="shared" si="56"/>
        <v>0</v>
      </c>
      <c r="CP17" s="251">
        <f t="shared" si="89"/>
        <v>0</v>
      </c>
      <c r="CQ17" s="251">
        <f t="shared" si="90"/>
        <v>0</v>
      </c>
      <c r="CR17" s="251">
        <f t="shared" si="91"/>
        <v>0</v>
      </c>
      <c r="CS17" s="251">
        <f t="shared" si="92"/>
        <v>0</v>
      </c>
      <c r="CT17" s="251">
        <f t="shared" si="57"/>
        <v>0</v>
      </c>
      <c r="CU17" s="251">
        <f t="shared" si="58"/>
        <v>0</v>
      </c>
      <c r="CV17" s="251">
        <f t="shared" si="59"/>
        <v>0</v>
      </c>
      <c r="CW17" s="251">
        <f t="shared" si="60"/>
        <v>0</v>
      </c>
      <c r="CX17" s="251">
        <f t="shared" si="93"/>
        <v>0</v>
      </c>
      <c r="CY17" s="251">
        <f t="shared" si="94"/>
        <v>0</v>
      </c>
      <c r="CZ17" s="251">
        <f t="shared" si="95"/>
        <v>0</v>
      </c>
      <c r="DA17" s="251">
        <f t="shared" si="96"/>
        <v>0</v>
      </c>
    </row>
    <row r="18" spans="1:105" s="248" customFormat="1" ht="15.75" customHeight="1">
      <c r="A18" s="58" t="str">
        <f t="array" ref="A18">IF(C18&lt;&gt;0,SUM(($C$11:C18&lt;&gt;0)*1),"")</f>
        <v/>
      </c>
      <c r="B18" s="249"/>
      <c r="C18" s="249"/>
      <c r="D18" s="249"/>
      <c r="E18" s="326"/>
      <c r="F18" s="300"/>
      <c r="G18" s="302"/>
      <c r="H18" s="302"/>
      <c r="I18" s="58" t="str">
        <f t="shared" si="0"/>
        <v/>
      </c>
      <c r="J18" s="251">
        <f t="shared" si="61"/>
        <v>0</v>
      </c>
      <c r="K18" s="251">
        <f t="shared" si="62"/>
        <v>0</v>
      </c>
      <c r="L18" s="251">
        <f t="shared" si="1"/>
        <v>0</v>
      </c>
      <c r="M18" s="251">
        <f t="shared" si="2"/>
        <v>0</v>
      </c>
      <c r="N18" s="251">
        <f t="shared" si="3"/>
        <v>0</v>
      </c>
      <c r="O18" s="251">
        <f t="shared" si="4"/>
        <v>0</v>
      </c>
      <c r="P18" s="251">
        <f t="shared" si="5"/>
        <v>0</v>
      </c>
      <c r="Q18" s="251">
        <f t="shared" si="6"/>
        <v>0</v>
      </c>
      <c r="R18" s="251">
        <f t="shared" si="7"/>
        <v>0</v>
      </c>
      <c r="S18" s="251">
        <f t="shared" si="8"/>
        <v>0</v>
      </c>
      <c r="T18" s="251">
        <f t="shared" si="9"/>
        <v>0</v>
      </c>
      <c r="U18" s="251">
        <f t="shared" si="10"/>
        <v>0</v>
      </c>
      <c r="V18" s="251">
        <f t="shared" si="11"/>
        <v>0</v>
      </c>
      <c r="W18" s="251">
        <f t="shared" si="12"/>
        <v>0</v>
      </c>
      <c r="X18" s="251">
        <f t="shared" si="13"/>
        <v>0</v>
      </c>
      <c r="Y18" s="251">
        <f t="shared" si="14"/>
        <v>0</v>
      </c>
      <c r="Z18" s="251">
        <f t="shared" si="15"/>
        <v>0</v>
      </c>
      <c r="AA18" s="251">
        <f t="shared" si="16"/>
        <v>0</v>
      </c>
      <c r="AB18" s="251">
        <f t="shared" si="63"/>
        <v>0</v>
      </c>
      <c r="AC18" s="251">
        <f t="shared" si="64"/>
        <v>0</v>
      </c>
      <c r="AD18" s="251">
        <f t="shared" si="17"/>
        <v>0</v>
      </c>
      <c r="AE18" s="251">
        <f t="shared" si="18"/>
        <v>0</v>
      </c>
      <c r="AF18" s="251">
        <f t="shared" si="19"/>
        <v>0</v>
      </c>
      <c r="AG18" s="251">
        <f t="shared" si="20"/>
        <v>0</v>
      </c>
      <c r="AH18" s="251">
        <f t="shared" si="65"/>
        <v>0</v>
      </c>
      <c r="AI18" s="251">
        <f t="shared" si="66"/>
        <v>0</v>
      </c>
      <c r="AJ18" s="251">
        <f t="shared" si="67"/>
        <v>0</v>
      </c>
      <c r="AK18" s="251">
        <f t="shared" si="68"/>
        <v>0</v>
      </c>
      <c r="AL18" s="251">
        <f t="shared" si="69"/>
        <v>0</v>
      </c>
      <c r="AM18" s="251">
        <f t="shared" si="70"/>
        <v>0</v>
      </c>
      <c r="AN18" s="251">
        <f t="shared" si="71"/>
        <v>0</v>
      </c>
      <c r="AO18" s="251">
        <f t="shared" si="72"/>
        <v>0</v>
      </c>
      <c r="AP18" s="251">
        <f t="shared" si="21"/>
        <v>0</v>
      </c>
      <c r="AQ18" s="251">
        <f t="shared" si="22"/>
        <v>0</v>
      </c>
      <c r="AR18" s="251">
        <f t="shared" si="23"/>
        <v>0</v>
      </c>
      <c r="AS18" s="251">
        <f t="shared" si="24"/>
        <v>0</v>
      </c>
      <c r="AT18" s="251">
        <f t="shared" si="73"/>
        <v>0</v>
      </c>
      <c r="AU18" s="251">
        <f t="shared" si="74"/>
        <v>0</v>
      </c>
      <c r="AV18" s="251">
        <f t="shared" si="25"/>
        <v>0</v>
      </c>
      <c r="AW18" s="251">
        <f t="shared" si="26"/>
        <v>0</v>
      </c>
      <c r="AX18" s="251">
        <f t="shared" si="27"/>
        <v>0</v>
      </c>
      <c r="AY18" s="251">
        <f t="shared" si="28"/>
        <v>0</v>
      </c>
      <c r="AZ18" s="251">
        <f t="shared" si="29"/>
        <v>0</v>
      </c>
      <c r="BA18" s="251">
        <f t="shared" si="30"/>
        <v>0</v>
      </c>
      <c r="BB18" s="251">
        <f t="shared" si="31"/>
        <v>0</v>
      </c>
      <c r="BC18" s="251">
        <f t="shared" si="32"/>
        <v>0</v>
      </c>
      <c r="BD18" s="251">
        <f t="shared" si="33"/>
        <v>0</v>
      </c>
      <c r="BE18" s="251">
        <f t="shared" si="34"/>
        <v>0</v>
      </c>
      <c r="BF18" s="251">
        <f t="shared" si="35"/>
        <v>0</v>
      </c>
      <c r="BG18" s="251">
        <f t="shared" si="36"/>
        <v>0</v>
      </c>
      <c r="BH18" s="251">
        <f t="shared" si="75"/>
        <v>0</v>
      </c>
      <c r="BI18" s="251">
        <f t="shared" si="76"/>
        <v>0</v>
      </c>
      <c r="BJ18" s="251">
        <f t="shared" si="37"/>
        <v>0</v>
      </c>
      <c r="BK18" s="251">
        <f t="shared" si="38"/>
        <v>0</v>
      </c>
      <c r="BL18" s="251">
        <f t="shared" si="39"/>
        <v>0</v>
      </c>
      <c r="BM18" s="251">
        <f t="shared" si="40"/>
        <v>0</v>
      </c>
      <c r="BN18" s="251">
        <f t="shared" si="41"/>
        <v>0</v>
      </c>
      <c r="BO18" s="251">
        <f t="shared" si="42"/>
        <v>0</v>
      </c>
      <c r="BP18" s="251">
        <f t="shared" si="77"/>
        <v>0</v>
      </c>
      <c r="BQ18" s="251">
        <f t="shared" si="78"/>
        <v>0</v>
      </c>
      <c r="BR18" s="251">
        <f t="shared" si="43"/>
        <v>0</v>
      </c>
      <c r="BS18" s="251">
        <f t="shared" si="44"/>
        <v>0</v>
      </c>
      <c r="BT18" s="251">
        <f t="shared" si="79"/>
        <v>0</v>
      </c>
      <c r="BU18" s="251">
        <f t="shared" si="80"/>
        <v>0</v>
      </c>
      <c r="BV18" s="251">
        <f t="shared" si="81"/>
        <v>0</v>
      </c>
      <c r="BW18" s="251">
        <f t="shared" si="82"/>
        <v>0</v>
      </c>
      <c r="BX18" s="251">
        <f t="shared" si="45"/>
        <v>0</v>
      </c>
      <c r="BY18" s="251">
        <f t="shared" si="46"/>
        <v>0</v>
      </c>
      <c r="BZ18" s="251">
        <f t="shared" si="47"/>
        <v>0</v>
      </c>
      <c r="CA18" s="251">
        <f t="shared" si="48"/>
        <v>0</v>
      </c>
      <c r="CB18" s="251">
        <f t="shared" si="49"/>
        <v>0</v>
      </c>
      <c r="CC18" s="251">
        <f t="shared" si="50"/>
        <v>0</v>
      </c>
      <c r="CD18" s="251">
        <f t="shared" si="83"/>
        <v>0</v>
      </c>
      <c r="CE18" s="251">
        <f t="shared" si="84"/>
        <v>0</v>
      </c>
      <c r="CF18" s="251">
        <f t="shared" si="85"/>
        <v>0</v>
      </c>
      <c r="CG18" s="251">
        <f t="shared" si="86"/>
        <v>0</v>
      </c>
      <c r="CH18" s="251">
        <f t="shared" si="51"/>
        <v>0</v>
      </c>
      <c r="CI18" s="251">
        <f t="shared" si="52"/>
        <v>0</v>
      </c>
      <c r="CJ18" s="251">
        <f t="shared" si="87"/>
        <v>0</v>
      </c>
      <c r="CK18" s="251">
        <f t="shared" si="88"/>
        <v>0</v>
      </c>
      <c r="CL18" s="251">
        <f t="shared" si="53"/>
        <v>0</v>
      </c>
      <c r="CM18" s="251">
        <f t="shared" si="54"/>
        <v>0</v>
      </c>
      <c r="CN18" s="251">
        <f t="shared" si="55"/>
        <v>0</v>
      </c>
      <c r="CO18" s="251">
        <f t="shared" si="56"/>
        <v>0</v>
      </c>
      <c r="CP18" s="251">
        <f t="shared" si="89"/>
        <v>0</v>
      </c>
      <c r="CQ18" s="251">
        <f t="shared" si="90"/>
        <v>0</v>
      </c>
      <c r="CR18" s="251">
        <f t="shared" si="91"/>
        <v>0</v>
      </c>
      <c r="CS18" s="251">
        <f t="shared" si="92"/>
        <v>0</v>
      </c>
      <c r="CT18" s="251">
        <f t="shared" si="57"/>
        <v>0</v>
      </c>
      <c r="CU18" s="251">
        <f t="shared" si="58"/>
        <v>0</v>
      </c>
      <c r="CV18" s="251">
        <f t="shared" si="59"/>
        <v>0</v>
      </c>
      <c r="CW18" s="251">
        <f t="shared" si="60"/>
        <v>0</v>
      </c>
      <c r="CX18" s="251">
        <f t="shared" si="93"/>
        <v>0</v>
      </c>
      <c r="CY18" s="251">
        <f t="shared" si="94"/>
        <v>0</v>
      </c>
      <c r="CZ18" s="251">
        <f t="shared" si="95"/>
        <v>0</v>
      </c>
      <c r="DA18" s="251">
        <f t="shared" si="96"/>
        <v>0</v>
      </c>
    </row>
    <row r="19" spans="1:105" s="248" customFormat="1" ht="15.75" customHeight="1">
      <c r="A19" s="58" t="str">
        <f t="array" ref="A19">IF(C19&lt;&gt;0,SUM(($C$11:C19&lt;&gt;0)*1),"")</f>
        <v/>
      </c>
      <c r="B19" s="249"/>
      <c r="C19" s="249"/>
      <c r="D19" s="249"/>
      <c r="E19" s="326"/>
      <c r="F19" s="300"/>
      <c r="G19" s="302"/>
      <c r="H19" s="302"/>
      <c r="I19" s="58" t="str">
        <f t="shared" si="0"/>
        <v/>
      </c>
      <c r="J19" s="251">
        <f t="shared" si="61"/>
        <v>0</v>
      </c>
      <c r="K19" s="251">
        <f t="shared" si="62"/>
        <v>0</v>
      </c>
      <c r="L19" s="251">
        <f t="shared" si="1"/>
        <v>0</v>
      </c>
      <c r="M19" s="251">
        <f t="shared" si="2"/>
        <v>0</v>
      </c>
      <c r="N19" s="251">
        <f t="shared" si="3"/>
        <v>0</v>
      </c>
      <c r="O19" s="251">
        <f t="shared" si="4"/>
        <v>0</v>
      </c>
      <c r="P19" s="251">
        <f t="shared" si="5"/>
        <v>0</v>
      </c>
      <c r="Q19" s="251">
        <f t="shared" si="6"/>
        <v>0</v>
      </c>
      <c r="R19" s="251">
        <f t="shared" si="7"/>
        <v>0</v>
      </c>
      <c r="S19" s="251">
        <f t="shared" si="8"/>
        <v>0</v>
      </c>
      <c r="T19" s="251">
        <f t="shared" si="9"/>
        <v>0</v>
      </c>
      <c r="U19" s="251">
        <f t="shared" si="10"/>
        <v>0</v>
      </c>
      <c r="V19" s="251">
        <f t="shared" si="11"/>
        <v>0</v>
      </c>
      <c r="W19" s="251">
        <f t="shared" si="12"/>
        <v>0</v>
      </c>
      <c r="X19" s="251">
        <f t="shared" si="13"/>
        <v>0</v>
      </c>
      <c r="Y19" s="251">
        <f t="shared" si="14"/>
        <v>0</v>
      </c>
      <c r="Z19" s="251">
        <f t="shared" si="15"/>
        <v>0</v>
      </c>
      <c r="AA19" s="251">
        <f t="shared" si="16"/>
        <v>0</v>
      </c>
      <c r="AB19" s="251">
        <f t="shared" si="63"/>
        <v>0</v>
      </c>
      <c r="AC19" s="251">
        <f t="shared" si="64"/>
        <v>0</v>
      </c>
      <c r="AD19" s="251">
        <f t="shared" si="17"/>
        <v>0</v>
      </c>
      <c r="AE19" s="251">
        <f t="shared" si="18"/>
        <v>0</v>
      </c>
      <c r="AF19" s="251">
        <f t="shared" si="19"/>
        <v>0</v>
      </c>
      <c r="AG19" s="251">
        <f t="shared" si="20"/>
        <v>0</v>
      </c>
      <c r="AH19" s="251">
        <f t="shared" si="65"/>
        <v>0</v>
      </c>
      <c r="AI19" s="251">
        <f t="shared" si="66"/>
        <v>0</v>
      </c>
      <c r="AJ19" s="251">
        <f t="shared" si="67"/>
        <v>0</v>
      </c>
      <c r="AK19" s="251">
        <f t="shared" si="68"/>
        <v>0</v>
      </c>
      <c r="AL19" s="251">
        <f t="shared" si="69"/>
        <v>0</v>
      </c>
      <c r="AM19" s="251">
        <f t="shared" si="70"/>
        <v>0</v>
      </c>
      <c r="AN19" s="251">
        <f t="shared" si="71"/>
        <v>0</v>
      </c>
      <c r="AO19" s="251">
        <f t="shared" si="72"/>
        <v>0</v>
      </c>
      <c r="AP19" s="251">
        <f t="shared" si="21"/>
        <v>0</v>
      </c>
      <c r="AQ19" s="251">
        <f t="shared" si="22"/>
        <v>0</v>
      </c>
      <c r="AR19" s="251">
        <f t="shared" si="23"/>
        <v>0</v>
      </c>
      <c r="AS19" s="251">
        <f t="shared" si="24"/>
        <v>0</v>
      </c>
      <c r="AT19" s="251">
        <f t="shared" si="73"/>
        <v>0</v>
      </c>
      <c r="AU19" s="251">
        <f t="shared" si="74"/>
        <v>0</v>
      </c>
      <c r="AV19" s="251">
        <f t="shared" si="25"/>
        <v>0</v>
      </c>
      <c r="AW19" s="251">
        <f t="shared" si="26"/>
        <v>0</v>
      </c>
      <c r="AX19" s="251">
        <f t="shared" si="27"/>
        <v>0</v>
      </c>
      <c r="AY19" s="251">
        <f t="shared" si="28"/>
        <v>0</v>
      </c>
      <c r="AZ19" s="251">
        <f t="shared" si="29"/>
        <v>0</v>
      </c>
      <c r="BA19" s="251">
        <f t="shared" si="30"/>
        <v>0</v>
      </c>
      <c r="BB19" s="251">
        <f t="shared" si="31"/>
        <v>0</v>
      </c>
      <c r="BC19" s="251">
        <f t="shared" si="32"/>
        <v>0</v>
      </c>
      <c r="BD19" s="251">
        <f t="shared" si="33"/>
        <v>0</v>
      </c>
      <c r="BE19" s="251">
        <f t="shared" si="34"/>
        <v>0</v>
      </c>
      <c r="BF19" s="251">
        <f t="shared" si="35"/>
        <v>0</v>
      </c>
      <c r="BG19" s="251">
        <f t="shared" si="36"/>
        <v>0</v>
      </c>
      <c r="BH19" s="251">
        <f t="shared" si="75"/>
        <v>0</v>
      </c>
      <c r="BI19" s="251">
        <f t="shared" si="76"/>
        <v>0</v>
      </c>
      <c r="BJ19" s="251">
        <f t="shared" si="37"/>
        <v>0</v>
      </c>
      <c r="BK19" s="251">
        <f t="shared" si="38"/>
        <v>0</v>
      </c>
      <c r="BL19" s="251">
        <f t="shared" si="39"/>
        <v>0</v>
      </c>
      <c r="BM19" s="251">
        <f t="shared" si="40"/>
        <v>0</v>
      </c>
      <c r="BN19" s="251">
        <f t="shared" si="41"/>
        <v>0</v>
      </c>
      <c r="BO19" s="251">
        <f t="shared" si="42"/>
        <v>0</v>
      </c>
      <c r="BP19" s="251">
        <f t="shared" si="77"/>
        <v>0</v>
      </c>
      <c r="BQ19" s="251">
        <f t="shared" si="78"/>
        <v>0</v>
      </c>
      <c r="BR19" s="251">
        <f t="shared" si="43"/>
        <v>0</v>
      </c>
      <c r="BS19" s="251">
        <f t="shared" si="44"/>
        <v>0</v>
      </c>
      <c r="BT19" s="251">
        <f t="shared" si="79"/>
        <v>0</v>
      </c>
      <c r="BU19" s="251">
        <f t="shared" si="80"/>
        <v>0</v>
      </c>
      <c r="BV19" s="251">
        <f t="shared" si="81"/>
        <v>0</v>
      </c>
      <c r="BW19" s="251">
        <f t="shared" si="82"/>
        <v>0</v>
      </c>
      <c r="BX19" s="251">
        <f t="shared" si="45"/>
        <v>0</v>
      </c>
      <c r="BY19" s="251">
        <f t="shared" si="46"/>
        <v>0</v>
      </c>
      <c r="BZ19" s="251">
        <f t="shared" si="47"/>
        <v>0</v>
      </c>
      <c r="CA19" s="251">
        <f t="shared" si="48"/>
        <v>0</v>
      </c>
      <c r="CB19" s="251">
        <f t="shared" si="49"/>
        <v>0</v>
      </c>
      <c r="CC19" s="251">
        <f t="shared" si="50"/>
        <v>0</v>
      </c>
      <c r="CD19" s="251">
        <f t="shared" si="83"/>
        <v>0</v>
      </c>
      <c r="CE19" s="251">
        <f t="shared" si="84"/>
        <v>0</v>
      </c>
      <c r="CF19" s="251">
        <f t="shared" si="85"/>
        <v>0</v>
      </c>
      <c r="CG19" s="251">
        <f t="shared" si="86"/>
        <v>0</v>
      </c>
      <c r="CH19" s="251">
        <f t="shared" si="51"/>
        <v>0</v>
      </c>
      <c r="CI19" s="251">
        <f t="shared" si="52"/>
        <v>0</v>
      </c>
      <c r="CJ19" s="251">
        <f t="shared" si="87"/>
        <v>0</v>
      </c>
      <c r="CK19" s="251">
        <f t="shared" si="88"/>
        <v>0</v>
      </c>
      <c r="CL19" s="251">
        <f t="shared" si="53"/>
        <v>0</v>
      </c>
      <c r="CM19" s="251">
        <f t="shared" si="54"/>
        <v>0</v>
      </c>
      <c r="CN19" s="251">
        <f t="shared" si="55"/>
        <v>0</v>
      </c>
      <c r="CO19" s="251">
        <f t="shared" si="56"/>
        <v>0</v>
      </c>
      <c r="CP19" s="251">
        <f t="shared" si="89"/>
        <v>0</v>
      </c>
      <c r="CQ19" s="251">
        <f t="shared" si="90"/>
        <v>0</v>
      </c>
      <c r="CR19" s="251">
        <f t="shared" si="91"/>
        <v>0</v>
      </c>
      <c r="CS19" s="251">
        <f t="shared" si="92"/>
        <v>0</v>
      </c>
      <c r="CT19" s="251">
        <f t="shared" si="57"/>
        <v>0</v>
      </c>
      <c r="CU19" s="251">
        <f t="shared" si="58"/>
        <v>0</v>
      </c>
      <c r="CV19" s="251">
        <f t="shared" si="59"/>
        <v>0</v>
      </c>
      <c r="CW19" s="251">
        <f t="shared" si="60"/>
        <v>0</v>
      </c>
      <c r="CX19" s="251">
        <f t="shared" si="93"/>
        <v>0</v>
      </c>
      <c r="CY19" s="251">
        <f t="shared" si="94"/>
        <v>0</v>
      </c>
      <c r="CZ19" s="251">
        <f t="shared" si="95"/>
        <v>0</v>
      </c>
      <c r="DA19" s="251">
        <f t="shared" si="96"/>
        <v>0</v>
      </c>
    </row>
    <row r="20" spans="1:105" s="248" customFormat="1" ht="15.75" customHeight="1">
      <c r="A20" s="58" t="str">
        <f t="array" ref="A20">IF(C20&lt;&gt;0,SUM(($C$11:C20&lt;&gt;0)*1),"")</f>
        <v/>
      </c>
      <c r="B20" s="249"/>
      <c r="C20" s="249"/>
      <c r="D20" s="249"/>
      <c r="E20" s="326"/>
      <c r="F20" s="300"/>
      <c r="G20" s="302"/>
      <c r="H20" s="302"/>
      <c r="I20" s="58" t="str">
        <f t="shared" si="0"/>
        <v/>
      </c>
      <c r="J20" s="251">
        <f t="shared" si="61"/>
        <v>0</v>
      </c>
      <c r="K20" s="251">
        <f t="shared" si="62"/>
        <v>0</v>
      </c>
      <c r="L20" s="251">
        <f t="shared" si="1"/>
        <v>0</v>
      </c>
      <c r="M20" s="251">
        <f t="shared" si="2"/>
        <v>0</v>
      </c>
      <c r="N20" s="251">
        <f t="shared" si="3"/>
        <v>0</v>
      </c>
      <c r="O20" s="251">
        <f t="shared" si="4"/>
        <v>0</v>
      </c>
      <c r="P20" s="251">
        <f t="shared" si="5"/>
        <v>0</v>
      </c>
      <c r="Q20" s="251">
        <f t="shared" si="6"/>
        <v>0</v>
      </c>
      <c r="R20" s="251">
        <f t="shared" si="7"/>
        <v>0</v>
      </c>
      <c r="S20" s="251">
        <f t="shared" si="8"/>
        <v>0</v>
      </c>
      <c r="T20" s="251">
        <f t="shared" si="9"/>
        <v>0</v>
      </c>
      <c r="U20" s="251">
        <f t="shared" si="10"/>
        <v>0</v>
      </c>
      <c r="V20" s="251">
        <f t="shared" si="11"/>
        <v>0</v>
      </c>
      <c r="W20" s="251">
        <f t="shared" si="12"/>
        <v>0</v>
      </c>
      <c r="X20" s="251">
        <f t="shared" si="13"/>
        <v>0</v>
      </c>
      <c r="Y20" s="251">
        <f t="shared" si="14"/>
        <v>0</v>
      </c>
      <c r="Z20" s="251">
        <f t="shared" si="15"/>
        <v>0</v>
      </c>
      <c r="AA20" s="251">
        <f t="shared" si="16"/>
        <v>0</v>
      </c>
      <c r="AB20" s="251">
        <f t="shared" si="63"/>
        <v>0</v>
      </c>
      <c r="AC20" s="251">
        <f t="shared" si="64"/>
        <v>0</v>
      </c>
      <c r="AD20" s="251">
        <f t="shared" si="17"/>
        <v>0</v>
      </c>
      <c r="AE20" s="251">
        <f t="shared" si="18"/>
        <v>0</v>
      </c>
      <c r="AF20" s="251">
        <f t="shared" si="19"/>
        <v>0</v>
      </c>
      <c r="AG20" s="251">
        <f t="shared" si="20"/>
        <v>0</v>
      </c>
      <c r="AH20" s="251">
        <f t="shared" si="65"/>
        <v>0</v>
      </c>
      <c r="AI20" s="251">
        <f t="shared" si="66"/>
        <v>0</v>
      </c>
      <c r="AJ20" s="251">
        <f t="shared" si="67"/>
        <v>0</v>
      </c>
      <c r="AK20" s="251">
        <f t="shared" si="68"/>
        <v>0</v>
      </c>
      <c r="AL20" s="251">
        <f t="shared" si="69"/>
        <v>0</v>
      </c>
      <c r="AM20" s="251">
        <f t="shared" si="70"/>
        <v>0</v>
      </c>
      <c r="AN20" s="251">
        <f t="shared" si="71"/>
        <v>0</v>
      </c>
      <c r="AO20" s="251">
        <f t="shared" si="72"/>
        <v>0</v>
      </c>
      <c r="AP20" s="251">
        <f t="shared" si="21"/>
        <v>0</v>
      </c>
      <c r="AQ20" s="251">
        <f t="shared" si="22"/>
        <v>0</v>
      </c>
      <c r="AR20" s="251">
        <f t="shared" si="23"/>
        <v>0</v>
      </c>
      <c r="AS20" s="251">
        <f t="shared" si="24"/>
        <v>0</v>
      </c>
      <c r="AT20" s="251">
        <f t="shared" si="73"/>
        <v>0</v>
      </c>
      <c r="AU20" s="251">
        <f t="shared" si="74"/>
        <v>0</v>
      </c>
      <c r="AV20" s="251">
        <f t="shared" si="25"/>
        <v>0</v>
      </c>
      <c r="AW20" s="251">
        <f t="shared" si="26"/>
        <v>0</v>
      </c>
      <c r="AX20" s="251">
        <f t="shared" si="27"/>
        <v>0</v>
      </c>
      <c r="AY20" s="251">
        <f t="shared" si="28"/>
        <v>0</v>
      </c>
      <c r="AZ20" s="251">
        <f t="shared" si="29"/>
        <v>0</v>
      </c>
      <c r="BA20" s="251">
        <f t="shared" si="30"/>
        <v>0</v>
      </c>
      <c r="BB20" s="251">
        <f t="shared" si="31"/>
        <v>0</v>
      </c>
      <c r="BC20" s="251">
        <f t="shared" si="32"/>
        <v>0</v>
      </c>
      <c r="BD20" s="251">
        <f t="shared" si="33"/>
        <v>0</v>
      </c>
      <c r="BE20" s="251">
        <f t="shared" si="34"/>
        <v>0</v>
      </c>
      <c r="BF20" s="251">
        <f t="shared" si="35"/>
        <v>0</v>
      </c>
      <c r="BG20" s="251">
        <f t="shared" si="36"/>
        <v>0</v>
      </c>
      <c r="BH20" s="251">
        <f t="shared" si="75"/>
        <v>0</v>
      </c>
      <c r="BI20" s="251">
        <f t="shared" si="76"/>
        <v>0</v>
      </c>
      <c r="BJ20" s="251">
        <f t="shared" si="37"/>
        <v>0</v>
      </c>
      <c r="BK20" s="251">
        <f t="shared" si="38"/>
        <v>0</v>
      </c>
      <c r="BL20" s="251">
        <f t="shared" si="39"/>
        <v>0</v>
      </c>
      <c r="BM20" s="251">
        <f t="shared" si="40"/>
        <v>0</v>
      </c>
      <c r="BN20" s="251">
        <f t="shared" si="41"/>
        <v>0</v>
      </c>
      <c r="BO20" s="251">
        <f t="shared" si="42"/>
        <v>0</v>
      </c>
      <c r="BP20" s="251">
        <f t="shared" si="77"/>
        <v>0</v>
      </c>
      <c r="BQ20" s="251">
        <f t="shared" si="78"/>
        <v>0</v>
      </c>
      <c r="BR20" s="251">
        <f t="shared" si="43"/>
        <v>0</v>
      </c>
      <c r="BS20" s="251">
        <f t="shared" si="44"/>
        <v>0</v>
      </c>
      <c r="BT20" s="251">
        <f t="shared" si="79"/>
        <v>0</v>
      </c>
      <c r="BU20" s="251">
        <f t="shared" si="80"/>
        <v>0</v>
      </c>
      <c r="BV20" s="251">
        <f t="shared" si="81"/>
        <v>0</v>
      </c>
      <c r="BW20" s="251">
        <f t="shared" si="82"/>
        <v>0</v>
      </c>
      <c r="BX20" s="251">
        <f t="shared" si="45"/>
        <v>0</v>
      </c>
      <c r="BY20" s="251">
        <f t="shared" si="46"/>
        <v>0</v>
      </c>
      <c r="BZ20" s="251">
        <f t="shared" si="47"/>
        <v>0</v>
      </c>
      <c r="CA20" s="251">
        <f t="shared" si="48"/>
        <v>0</v>
      </c>
      <c r="CB20" s="251">
        <f t="shared" si="49"/>
        <v>0</v>
      </c>
      <c r="CC20" s="251">
        <f t="shared" si="50"/>
        <v>0</v>
      </c>
      <c r="CD20" s="251">
        <f t="shared" si="83"/>
        <v>0</v>
      </c>
      <c r="CE20" s="251">
        <f t="shared" si="84"/>
        <v>0</v>
      </c>
      <c r="CF20" s="251">
        <f t="shared" si="85"/>
        <v>0</v>
      </c>
      <c r="CG20" s="251">
        <f t="shared" si="86"/>
        <v>0</v>
      </c>
      <c r="CH20" s="251">
        <f t="shared" si="51"/>
        <v>0</v>
      </c>
      <c r="CI20" s="251">
        <f t="shared" si="52"/>
        <v>0</v>
      </c>
      <c r="CJ20" s="251">
        <f t="shared" si="87"/>
        <v>0</v>
      </c>
      <c r="CK20" s="251">
        <f t="shared" si="88"/>
        <v>0</v>
      </c>
      <c r="CL20" s="251">
        <f t="shared" si="53"/>
        <v>0</v>
      </c>
      <c r="CM20" s="251">
        <f t="shared" si="54"/>
        <v>0</v>
      </c>
      <c r="CN20" s="251">
        <f t="shared" si="55"/>
        <v>0</v>
      </c>
      <c r="CO20" s="251">
        <f t="shared" si="56"/>
        <v>0</v>
      </c>
      <c r="CP20" s="251">
        <f t="shared" si="89"/>
        <v>0</v>
      </c>
      <c r="CQ20" s="251">
        <f t="shared" si="90"/>
        <v>0</v>
      </c>
      <c r="CR20" s="251">
        <f t="shared" si="91"/>
        <v>0</v>
      </c>
      <c r="CS20" s="251">
        <f t="shared" si="92"/>
        <v>0</v>
      </c>
      <c r="CT20" s="251">
        <f t="shared" si="57"/>
        <v>0</v>
      </c>
      <c r="CU20" s="251">
        <f t="shared" si="58"/>
        <v>0</v>
      </c>
      <c r="CV20" s="251">
        <f t="shared" si="59"/>
        <v>0</v>
      </c>
      <c r="CW20" s="251">
        <f t="shared" si="60"/>
        <v>0</v>
      </c>
      <c r="CX20" s="251">
        <f t="shared" si="93"/>
        <v>0</v>
      </c>
      <c r="CY20" s="251">
        <f t="shared" si="94"/>
        <v>0</v>
      </c>
      <c r="CZ20" s="251">
        <f t="shared" si="95"/>
        <v>0</v>
      </c>
      <c r="DA20" s="251">
        <f t="shared" si="96"/>
        <v>0</v>
      </c>
    </row>
    <row r="21" spans="1:105" s="248" customFormat="1" ht="15.75" customHeight="1">
      <c r="A21" s="58" t="str">
        <f t="array" ref="A21">IF(C21&lt;&gt;0,SUM(($C$11:C21&lt;&gt;0)*1),"")</f>
        <v/>
      </c>
      <c r="B21" s="249"/>
      <c r="C21" s="249"/>
      <c r="D21" s="249"/>
      <c r="E21" s="326"/>
      <c r="F21" s="300"/>
      <c r="G21" s="302"/>
      <c r="H21" s="302"/>
      <c r="I21" s="58" t="str">
        <f t="shared" si="0"/>
        <v/>
      </c>
      <c r="J21" s="251">
        <f t="shared" si="61"/>
        <v>0</v>
      </c>
      <c r="K21" s="251">
        <f t="shared" si="62"/>
        <v>0</v>
      </c>
      <c r="L21" s="251">
        <f t="shared" si="1"/>
        <v>0</v>
      </c>
      <c r="M21" s="251">
        <f t="shared" si="2"/>
        <v>0</v>
      </c>
      <c r="N21" s="251">
        <f t="shared" si="3"/>
        <v>0</v>
      </c>
      <c r="O21" s="251">
        <f t="shared" si="4"/>
        <v>0</v>
      </c>
      <c r="P21" s="251">
        <f t="shared" si="5"/>
        <v>0</v>
      </c>
      <c r="Q21" s="251">
        <f t="shared" si="6"/>
        <v>0</v>
      </c>
      <c r="R21" s="251">
        <f t="shared" si="7"/>
        <v>0</v>
      </c>
      <c r="S21" s="251">
        <f t="shared" si="8"/>
        <v>0</v>
      </c>
      <c r="T21" s="251">
        <f t="shared" si="9"/>
        <v>0</v>
      </c>
      <c r="U21" s="251">
        <f t="shared" si="10"/>
        <v>0</v>
      </c>
      <c r="V21" s="251">
        <f t="shared" si="11"/>
        <v>0</v>
      </c>
      <c r="W21" s="251">
        <f t="shared" si="12"/>
        <v>0</v>
      </c>
      <c r="X21" s="251">
        <f t="shared" si="13"/>
        <v>0</v>
      </c>
      <c r="Y21" s="251">
        <f t="shared" si="14"/>
        <v>0</v>
      </c>
      <c r="Z21" s="251">
        <f t="shared" si="15"/>
        <v>0</v>
      </c>
      <c r="AA21" s="251">
        <f t="shared" si="16"/>
        <v>0</v>
      </c>
      <c r="AB21" s="251">
        <f t="shared" si="63"/>
        <v>0</v>
      </c>
      <c r="AC21" s="251">
        <f t="shared" si="64"/>
        <v>0</v>
      </c>
      <c r="AD21" s="251">
        <f t="shared" si="17"/>
        <v>0</v>
      </c>
      <c r="AE21" s="251">
        <f t="shared" si="18"/>
        <v>0</v>
      </c>
      <c r="AF21" s="251">
        <f t="shared" si="19"/>
        <v>0</v>
      </c>
      <c r="AG21" s="251">
        <f t="shared" si="20"/>
        <v>0</v>
      </c>
      <c r="AH21" s="251">
        <f t="shared" si="65"/>
        <v>0</v>
      </c>
      <c r="AI21" s="251">
        <f t="shared" si="66"/>
        <v>0</v>
      </c>
      <c r="AJ21" s="251">
        <f t="shared" si="67"/>
        <v>0</v>
      </c>
      <c r="AK21" s="251">
        <f t="shared" si="68"/>
        <v>0</v>
      </c>
      <c r="AL21" s="251">
        <f t="shared" si="69"/>
        <v>0</v>
      </c>
      <c r="AM21" s="251">
        <f t="shared" si="70"/>
        <v>0</v>
      </c>
      <c r="AN21" s="251">
        <f t="shared" si="71"/>
        <v>0</v>
      </c>
      <c r="AO21" s="251">
        <f t="shared" si="72"/>
        <v>0</v>
      </c>
      <c r="AP21" s="251">
        <f t="shared" si="21"/>
        <v>0</v>
      </c>
      <c r="AQ21" s="251">
        <f t="shared" si="22"/>
        <v>0</v>
      </c>
      <c r="AR21" s="251">
        <f t="shared" si="23"/>
        <v>0</v>
      </c>
      <c r="AS21" s="251">
        <f t="shared" si="24"/>
        <v>0</v>
      </c>
      <c r="AT21" s="251">
        <f t="shared" si="73"/>
        <v>0</v>
      </c>
      <c r="AU21" s="251">
        <f t="shared" si="74"/>
        <v>0</v>
      </c>
      <c r="AV21" s="251">
        <f t="shared" si="25"/>
        <v>0</v>
      </c>
      <c r="AW21" s="251">
        <f t="shared" si="26"/>
        <v>0</v>
      </c>
      <c r="AX21" s="251">
        <f t="shared" si="27"/>
        <v>0</v>
      </c>
      <c r="AY21" s="251">
        <f t="shared" si="28"/>
        <v>0</v>
      </c>
      <c r="AZ21" s="251">
        <f t="shared" si="29"/>
        <v>0</v>
      </c>
      <c r="BA21" s="251">
        <f t="shared" si="30"/>
        <v>0</v>
      </c>
      <c r="BB21" s="251">
        <f t="shared" si="31"/>
        <v>0</v>
      </c>
      <c r="BC21" s="251">
        <f t="shared" si="32"/>
        <v>0</v>
      </c>
      <c r="BD21" s="251">
        <f t="shared" si="33"/>
        <v>0</v>
      </c>
      <c r="BE21" s="251">
        <f t="shared" si="34"/>
        <v>0</v>
      </c>
      <c r="BF21" s="251">
        <f t="shared" si="35"/>
        <v>0</v>
      </c>
      <c r="BG21" s="251">
        <f t="shared" si="36"/>
        <v>0</v>
      </c>
      <c r="BH21" s="251">
        <f t="shared" si="75"/>
        <v>0</v>
      </c>
      <c r="BI21" s="251">
        <f t="shared" si="76"/>
        <v>0</v>
      </c>
      <c r="BJ21" s="251">
        <f t="shared" si="37"/>
        <v>0</v>
      </c>
      <c r="BK21" s="251">
        <f t="shared" si="38"/>
        <v>0</v>
      </c>
      <c r="BL21" s="251">
        <f t="shared" si="39"/>
        <v>0</v>
      </c>
      <c r="BM21" s="251">
        <f t="shared" si="40"/>
        <v>0</v>
      </c>
      <c r="BN21" s="251">
        <f t="shared" si="41"/>
        <v>0</v>
      </c>
      <c r="BO21" s="251">
        <f t="shared" si="42"/>
        <v>0</v>
      </c>
      <c r="BP21" s="251">
        <f t="shared" si="77"/>
        <v>0</v>
      </c>
      <c r="BQ21" s="251">
        <f t="shared" si="78"/>
        <v>0</v>
      </c>
      <c r="BR21" s="251">
        <f t="shared" si="43"/>
        <v>0</v>
      </c>
      <c r="BS21" s="251">
        <f t="shared" si="44"/>
        <v>0</v>
      </c>
      <c r="BT21" s="251">
        <f t="shared" si="79"/>
        <v>0</v>
      </c>
      <c r="BU21" s="251">
        <f t="shared" si="80"/>
        <v>0</v>
      </c>
      <c r="BV21" s="251">
        <f t="shared" si="81"/>
        <v>0</v>
      </c>
      <c r="BW21" s="251">
        <f t="shared" si="82"/>
        <v>0</v>
      </c>
      <c r="BX21" s="251">
        <f t="shared" si="45"/>
        <v>0</v>
      </c>
      <c r="BY21" s="251">
        <f t="shared" si="46"/>
        <v>0</v>
      </c>
      <c r="BZ21" s="251">
        <f t="shared" si="47"/>
        <v>0</v>
      </c>
      <c r="CA21" s="251">
        <f t="shared" si="48"/>
        <v>0</v>
      </c>
      <c r="CB21" s="251">
        <f t="shared" si="49"/>
        <v>0</v>
      </c>
      <c r="CC21" s="251">
        <f t="shared" si="50"/>
        <v>0</v>
      </c>
      <c r="CD21" s="251">
        <f t="shared" si="83"/>
        <v>0</v>
      </c>
      <c r="CE21" s="251">
        <f t="shared" si="84"/>
        <v>0</v>
      </c>
      <c r="CF21" s="251">
        <f t="shared" si="85"/>
        <v>0</v>
      </c>
      <c r="CG21" s="251">
        <f t="shared" si="86"/>
        <v>0</v>
      </c>
      <c r="CH21" s="251">
        <f t="shared" si="51"/>
        <v>0</v>
      </c>
      <c r="CI21" s="251">
        <f t="shared" si="52"/>
        <v>0</v>
      </c>
      <c r="CJ21" s="251">
        <f t="shared" si="87"/>
        <v>0</v>
      </c>
      <c r="CK21" s="251">
        <f t="shared" si="88"/>
        <v>0</v>
      </c>
      <c r="CL21" s="251">
        <f t="shared" si="53"/>
        <v>0</v>
      </c>
      <c r="CM21" s="251">
        <f t="shared" si="54"/>
        <v>0</v>
      </c>
      <c r="CN21" s="251">
        <f t="shared" si="55"/>
        <v>0</v>
      </c>
      <c r="CO21" s="251">
        <f t="shared" si="56"/>
        <v>0</v>
      </c>
      <c r="CP21" s="251">
        <f t="shared" si="89"/>
        <v>0</v>
      </c>
      <c r="CQ21" s="251">
        <f t="shared" si="90"/>
        <v>0</v>
      </c>
      <c r="CR21" s="251">
        <f t="shared" si="91"/>
        <v>0</v>
      </c>
      <c r="CS21" s="251">
        <f t="shared" si="92"/>
        <v>0</v>
      </c>
      <c r="CT21" s="251">
        <f t="shared" si="57"/>
        <v>0</v>
      </c>
      <c r="CU21" s="251">
        <f t="shared" si="58"/>
        <v>0</v>
      </c>
      <c r="CV21" s="251">
        <f t="shared" si="59"/>
        <v>0</v>
      </c>
      <c r="CW21" s="251">
        <f t="shared" si="60"/>
        <v>0</v>
      </c>
      <c r="CX21" s="251">
        <f t="shared" si="93"/>
        <v>0</v>
      </c>
      <c r="CY21" s="251">
        <f t="shared" si="94"/>
        <v>0</v>
      </c>
      <c r="CZ21" s="251">
        <f t="shared" si="95"/>
        <v>0</v>
      </c>
      <c r="DA21" s="251">
        <f t="shared" si="96"/>
        <v>0</v>
      </c>
    </row>
    <row r="22" spans="1:105" s="248" customFormat="1" ht="15.75" customHeight="1">
      <c r="A22" s="58" t="str">
        <f t="array" ref="A22">IF(C22&lt;&gt;0,SUM(($C$11:C22&lt;&gt;0)*1),"")</f>
        <v/>
      </c>
      <c r="B22" s="249"/>
      <c r="C22" s="249"/>
      <c r="D22" s="249"/>
      <c r="E22" s="326"/>
      <c r="F22" s="300"/>
      <c r="G22" s="302"/>
      <c r="H22" s="302"/>
      <c r="I22" s="58" t="str">
        <f t="shared" si="0"/>
        <v/>
      </c>
      <c r="J22" s="251">
        <f t="shared" si="61"/>
        <v>0</v>
      </c>
      <c r="K22" s="251">
        <f t="shared" si="62"/>
        <v>0</v>
      </c>
      <c r="L22" s="251">
        <f t="shared" si="1"/>
        <v>0</v>
      </c>
      <c r="M22" s="251">
        <f t="shared" si="2"/>
        <v>0</v>
      </c>
      <c r="N22" s="251">
        <f t="shared" si="3"/>
        <v>0</v>
      </c>
      <c r="O22" s="251">
        <f t="shared" si="4"/>
        <v>0</v>
      </c>
      <c r="P22" s="251">
        <f t="shared" si="5"/>
        <v>0</v>
      </c>
      <c r="Q22" s="251">
        <f t="shared" si="6"/>
        <v>0</v>
      </c>
      <c r="R22" s="251">
        <f t="shared" si="7"/>
        <v>0</v>
      </c>
      <c r="S22" s="251">
        <f t="shared" si="8"/>
        <v>0</v>
      </c>
      <c r="T22" s="251">
        <f t="shared" si="9"/>
        <v>0</v>
      </c>
      <c r="U22" s="251">
        <f t="shared" si="10"/>
        <v>0</v>
      </c>
      <c r="V22" s="251">
        <f t="shared" si="11"/>
        <v>0</v>
      </c>
      <c r="W22" s="251">
        <f t="shared" si="12"/>
        <v>0</v>
      </c>
      <c r="X22" s="251">
        <f t="shared" si="13"/>
        <v>0</v>
      </c>
      <c r="Y22" s="251">
        <f t="shared" si="14"/>
        <v>0</v>
      </c>
      <c r="Z22" s="251">
        <f t="shared" si="15"/>
        <v>0</v>
      </c>
      <c r="AA22" s="251">
        <f t="shared" si="16"/>
        <v>0</v>
      </c>
      <c r="AB22" s="251">
        <f t="shared" si="63"/>
        <v>0</v>
      </c>
      <c r="AC22" s="251">
        <f t="shared" si="64"/>
        <v>0</v>
      </c>
      <c r="AD22" s="251">
        <f t="shared" si="17"/>
        <v>0</v>
      </c>
      <c r="AE22" s="251">
        <f t="shared" si="18"/>
        <v>0</v>
      </c>
      <c r="AF22" s="251">
        <f t="shared" si="19"/>
        <v>0</v>
      </c>
      <c r="AG22" s="251">
        <f t="shared" si="20"/>
        <v>0</v>
      </c>
      <c r="AH22" s="251">
        <f t="shared" si="65"/>
        <v>0</v>
      </c>
      <c r="AI22" s="251">
        <f t="shared" si="66"/>
        <v>0</v>
      </c>
      <c r="AJ22" s="251">
        <f t="shared" si="67"/>
        <v>0</v>
      </c>
      <c r="AK22" s="251">
        <f t="shared" si="68"/>
        <v>0</v>
      </c>
      <c r="AL22" s="251">
        <f t="shared" si="69"/>
        <v>0</v>
      </c>
      <c r="AM22" s="251">
        <f t="shared" si="70"/>
        <v>0</v>
      </c>
      <c r="AN22" s="251">
        <f t="shared" si="71"/>
        <v>0</v>
      </c>
      <c r="AO22" s="251">
        <f t="shared" si="72"/>
        <v>0</v>
      </c>
      <c r="AP22" s="251">
        <f t="shared" si="21"/>
        <v>0</v>
      </c>
      <c r="AQ22" s="251">
        <f t="shared" si="22"/>
        <v>0</v>
      </c>
      <c r="AR22" s="251">
        <f t="shared" si="23"/>
        <v>0</v>
      </c>
      <c r="AS22" s="251">
        <f t="shared" si="24"/>
        <v>0</v>
      </c>
      <c r="AT22" s="251">
        <f t="shared" si="73"/>
        <v>0</v>
      </c>
      <c r="AU22" s="251">
        <f t="shared" si="74"/>
        <v>0</v>
      </c>
      <c r="AV22" s="251">
        <f t="shared" si="25"/>
        <v>0</v>
      </c>
      <c r="AW22" s="251">
        <f t="shared" si="26"/>
        <v>0</v>
      </c>
      <c r="AX22" s="251">
        <f t="shared" si="27"/>
        <v>0</v>
      </c>
      <c r="AY22" s="251">
        <f t="shared" si="28"/>
        <v>0</v>
      </c>
      <c r="AZ22" s="251">
        <f t="shared" si="29"/>
        <v>0</v>
      </c>
      <c r="BA22" s="251">
        <f t="shared" si="30"/>
        <v>0</v>
      </c>
      <c r="BB22" s="251">
        <f t="shared" si="31"/>
        <v>0</v>
      </c>
      <c r="BC22" s="251">
        <f t="shared" si="32"/>
        <v>0</v>
      </c>
      <c r="BD22" s="251">
        <f t="shared" si="33"/>
        <v>0</v>
      </c>
      <c r="BE22" s="251">
        <f t="shared" si="34"/>
        <v>0</v>
      </c>
      <c r="BF22" s="251">
        <f t="shared" si="35"/>
        <v>0</v>
      </c>
      <c r="BG22" s="251">
        <f t="shared" si="36"/>
        <v>0</v>
      </c>
      <c r="BH22" s="251">
        <f t="shared" si="75"/>
        <v>0</v>
      </c>
      <c r="BI22" s="251">
        <f t="shared" si="76"/>
        <v>0</v>
      </c>
      <c r="BJ22" s="251">
        <f t="shared" si="37"/>
        <v>0</v>
      </c>
      <c r="BK22" s="251">
        <f t="shared" si="38"/>
        <v>0</v>
      </c>
      <c r="BL22" s="251">
        <f t="shared" si="39"/>
        <v>0</v>
      </c>
      <c r="BM22" s="251">
        <f t="shared" si="40"/>
        <v>0</v>
      </c>
      <c r="BN22" s="251">
        <f t="shared" si="41"/>
        <v>0</v>
      </c>
      <c r="BO22" s="251">
        <f t="shared" si="42"/>
        <v>0</v>
      </c>
      <c r="BP22" s="251">
        <f t="shared" si="77"/>
        <v>0</v>
      </c>
      <c r="BQ22" s="251">
        <f t="shared" si="78"/>
        <v>0</v>
      </c>
      <c r="BR22" s="251">
        <f t="shared" si="43"/>
        <v>0</v>
      </c>
      <c r="BS22" s="251">
        <f t="shared" si="44"/>
        <v>0</v>
      </c>
      <c r="BT22" s="251">
        <f t="shared" si="79"/>
        <v>0</v>
      </c>
      <c r="BU22" s="251">
        <f t="shared" si="80"/>
        <v>0</v>
      </c>
      <c r="BV22" s="251">
        <f t="shared" si="81"/>
        <v>0</v>
      </c>
      <c r="BW22" s="251">
        <f t="shared" si="82"/>
        <v>0</v>
      </c>
      <c r="BX22" s="251">
        <f t="shared" si="45"/>
        <v>0</v>
      </c>
      <c r="BY22" s="251">
        <f t="shared" si="46"/>
        <v>0</v>
      </c>
      <c r="BZ22" s="251">
        <f t="shared" si="47"/>
        <v>0</v>
      </c>
      <c r="CA22" s="251">
        <f t="shared" si="48"/>
        <v>0</v>
      </c>
      <c r="CB22" s="251">
        <f t="shared" si="49"/>
        <v>0</v>
      </c>
      <c r="CC22" s="251">
        <f t="shared" si="50"/>
        <v>0</v>
      </c>
      <c r="CD22" s="251">
        <f t="shared" si="83"/>
        <v>0</v>
      </c>
      <c r="CE22" s="251">
        <f t="shared" si="84"/>
        <v>0</v>
      </c>
      <c r="CF22" s="251">
        <f t="shared" si="85"/>
        <v>0</v>
      </c>
      <c r="CG22" s="251">
        <f t="shared" si="86"/>
        <v>0</v>
      </c>
      <c r="CH22" s="251">
        <f t="shared" si="51"/>
        <v>0</v>
      </c>
      <c r="CI22" s="251">
        <f t="shared" si="52"/>
        <v>0</v>
      </c>
      <c r="CJ22" s="251">
        <f t="shared" si="87"/>
        <v>0</v>
      </c>
      <c r="CK22" s="251">
        <f t="shared" si="88"/>
        <v>0</v>
      </c>
      <c r="CL22" s="251">
        <f t="shared" si="53"/>
        <v>0</v>
      </c>
      <c r="CM22" s="251">
        <f t="shared" si="54"/>
        <v>0</v>
      </c>
      <c r="CN22" s="251">
        <f t="shared" si="55"/>
        <v>0</v>
      </c>
      <c r="CO22" s="251">
        <f t="shared" si="56"/>
        <v>0</v>
      </c>
      <c r="CP22" s="251">
        <f t="shared" si="89"/>
        <v>0</v>
      </c>
      <c r="CQ22" s="251">
        <f t="shared" si="90"/>
        <v>0</v>
      </c>
      <c r="CR22" s="251">
        <f t="shared" si="91"/>
        <v>0</v>
      </c>
      <c r="CS22" s="251">
        <f t="shared" si="92"/>
        <v>0</v>
      </c>
      <c r="CT22" s="251">
        <f t="shared" si="57"/>
        <v>0</v>
      </c>
      <c r="CU22" s="251">
        <f t="shared" si="58"/>
        <v>0</v>
      </c>
      <c r="CV22" s="251">
        <f t="shared" si="59"/>
        <v>0</v>
      </c>
      <c r="CW22" s="251">
        <f t="shared" si="60"/>
        <v>0</v>
      </c>
      <c r="CX22" s="251">
        <f t="shared" si="93"/>
        <v>0</v>
      </c>
      <c r="CY22" s="251">
        <f t="shared" si="94"/>
        <v>0</v>
      </c>
      <c r="CZ22" s="251">
        <f t="shared" si="95"/>
        <v>0</v>
      </c>
      <c r="DA22" s="251">
        <f t="shared" si="96"/>
        <v>0</v>
      </c>
    </row>
    <row r="23" spans="1:105" s="248" customFormat="1" ht="15.75" customHeight="1">
      <c r="A23" s="58" t="str">
        <f t="array" ref="A23">IF(C23&lt;&gt;0,SUM(($C$11:C23&lt;&gt;0)*1),"")</f>
        <v/>
      </c>
      <c r="B23" s="249"/>
      <c r="C23" s="249"/>
      <c r="D23" s="249"/>
      <c r="E23" s="326"/>
      <c r="F23" s="300"/>
      <c r="G23" s="302"/>
      <c r="H23" s="302"/>
      <c r="I23" s="58" t="str">
        <f t="shared" si="0"/>
        <v/>
      </c>
      <c r="J23" s="251">
        <f t="shared" si="61"/>
        <v>0</v>
      </c>
      <c r="K23" s="251">
        <f t="shared" si="62"/>
        <v>0</v>
      </c>
      <c r="L23" s="251">
        <f t="shared" si="1"/>
        <v>0</v>
      </c>
      <c r="M23" s="251">
        <f t="shared" si="2"/>
        <v>0</v>
      </c>
      <c r="N23" s="251">
        <f t="shared" si="3"/>
        <v>0</v>
      </c>
      <c r="O23" s="251">
        <f t="shared" si="4"/>
        <v>0</v>
      </c>
      <c r="P23" s="251">
        <f t="shared" si="5"/>
        <v>0</v>
      </c>
      <c r="Q23" s="251">
        <f t="shared" si="6"/>
        <v>0</v>
      </c>
      <c r="R23" s="251">
        <f t="shared" si="7"/>
        <v>0</v>
      </c>
      <c r="S23" s="251">
        <f t="shared" si="8"/>
        <v>0</v>
      </c>
      <c r="T23" s="251">
        <f t="shared" si="9"/>
        <v>0</v>
      </c>
      <c r="U23" s="251">
        <f t="shared" si="10"/>
        <v>0</v>
      </c>
      <c r="V23" s="251">
        <f t="shared" si="11"/>
        <v>0</v>
      </c>
      <c r="W23" s="251">
        <f t="shared" si="12"/>
        <v>0</v>
      </c>
      <c r="X23" s="251">
        <f t="shared" si="13"/>
        <v>0</v>
      </c>
      <c r="Y23" s="251">
        <f t="shared" si="14"/>
        <v>0</v>
      </c>
      <c r="Z23" s="251">
        <f t="shared" si="15"/>
        <v>0</v>
      </c>
      <c r="AA23" s="251">
        <f t="shared" si="16"/>
        <v>0</v>
      </c>
      <c r="AB23" s="251">
        <f t="shared" si="63"/>
        <v>0</v>
      </c>
      <c r="AC23" s="251">
        <f t="shared" si="64"/>
        <v>0</v>
      </c>
      <c r="AD23" s="251">
        <f t="shared" si="17"/>
        <v>0</v>
      </c>
      <c r="AE23" s="251">
        <f t="shared" si="18"/>
        <v>0</v>
      </c>
      <c r="AF23" s="251">
        <f t="shared" si="19"/>
        <v>0</v>
      </c>
      <c r="AG23" s="251">
        <f t="shared" si="20"/>
        <v>0</v>
      </c>
      <c r="AH23" s="251">
        <f t="shared" si="65"/>
        <v>0</v>
      </c>
      <c r="AI23" s="251">
        <f t="shared" si="66"/>
        <v>0</v>
      </c>
      <c r="AJ23" s="251">
        <f t="shared" si="67"/>
        <v>0</v>
      </c>
      <c r="AK23" s="251">
        <f t="shared" si="68"/>
        <v>0</v>
      </c>
      <c r="AL23" s="251">
        <f t="shared" si="69"/>
        <v>0</v>
      </c>
      <c r="AM23" s="251">
        <f t="shared" si="70"/>
        <v>0</v>
      </c>
      <c r="AN23" s="251">
        <f t="shared" si="71"/>
        <v>0</v>
      </c>
      <c r="AO23" s="251">
        <f t="shared" si="72"/>
        <v>0</v>
      </c>
      <c r="AP23" s="251">
        <f t="shared" si="21"/>
        <v>0</v>
      </c>
      <c r="AQ23" s="251">
        <f t="shared" si="22"/>
        <v>0</v>
      </c>
      <c r="AR23" s="251">
        <f t="shared" si="23"/>
        <v>0</v>
      </c>
      <c r="AS23" s="251">
        <f t="shared" si="24"/>
        <v>0</v>
      </c>
      <c r="AT23" s="251">
        <f t="shared" si="73"/>
        <v>0</v>
      </c>
      <c r="AU23" s="251">
        <f t="shared" si="74"/>
        <v>0</v>
      </c>
      <c r="AV23" s="251">
        <f t="shared" si="25"/>
        <v>0</v>
      </c>
      <c r="AW23" s="251">
        <f t="shared" si="26"/>
        <v>0</v>
      </c>
      <c r="AX23" s="251">
        <f t="shared" si="27"/>
        <v>0</v>
      </c>
      <c r="AY23" s="251">
        <f t="shared" si="28"/>
        <v>0</v>
      </c>
      <c r="AZ23" s="251">
        <f t="shared" si="29"/>
        <v>0</v>
      </c>
      <c r="BA23" s="251">
        <f t="shared" si="30"/>
        <v>0</v>
      </c>
      <c r="BB23" s="251">
        <f t="shared" si="31"/>
        <v>0</v>
      </c>
      <c r="BC23" s="251">
        <f t="shared" si="32"/>
        <v>0</v>
      </c>
      <c r="BD23" s="251">
        <f t="shared" si="33"/>
        <v>0</v>
      </c>
      <c r="BE23" s="251">
        <f t="shared" si="34"/>
        <v>0</v>
      </c>
      <c r="BF23" s="251">
        <f t="shared" si="35"/>
        <v>0</v>
      </c>
      <c r="BG23" s="251">
        <f t="shared" si="36"/>
        <v>0</v>
      </c>
      <c r="BH23" s="251">
        <f t="shared" si="75"/>
        <v>0</v>
      </c>
      <c r="BI23" s="251">
        <f t="shared" si="76"/>
        <v>0</v>
      </c>
      <c r="BJ23" s="251">
        <f t="shared" si="37"/>
        <v>0</v>
      </c>
      <c r="BK23" s="251">
        <f t="shared" si="38"/>
        <v>0</v>
      </c>
      <c r="BL23" s="251">
        <f t="shared" si="39"/>
        <v>0</v>
      </c>
      <c r="BM23" s="251">
        <f t="shared" si="40"/>
        <v>0</v>
      </c>
      <c r="BN23" s="251">
        <f t="shared" si="41"/>
        <v>0</v>
      </c>
      <c r="BO23" s="251">
        <f t="shared" si="42"/>
        <v>0</v>
      </c>
      <c r="BP23" s="251">
        <f t="shared" si="77"/>
        <v>0</v>
      </c>
      <c r="BQ23" s="251">
        <f t="shared" si="78"/>
        <v>0</v>
      </c>
      <c r="BR23" s="251">
        <f t="shared" si="43"/>
        <v>0</v>
      </c>
      <c r="BS23" s="251">
        <f t="shared" si="44"/>
        <v>0</v>
      </c>
      <c r="BT23" s="251">
        <f t="shared" si="79"/>
        <v>0</v>
      </c>
      <c r="BU23" s="251">
        <f t="shared" si="80"/>
        <v>0</v>
      </c>
      <c r="BV23" s="251">
        <f t="shared" si="81"/>
        <v>0</v>
      </c>
      <c r="BW23" s="251">
        <f t="shared" si="82"/>
        <v>0</v>
      </c>
      <c r="BX23" s="251">
        <f t="shared" si="45"/>
        <v>0</v>
      </c>
      <c r="BY23" s="251">
        <f t="shared" si="46"/>
        <v>0</v>
      </c>
      <c r="BZ23" s="251">
        <f t="shared" si="47"/>
        <v>0</v>
      </c>
      <c r="CA23" s="251">
        <f t="shared" si="48"/>
        <v>0</v>
      </c>
      <c r="CB23" s="251">
        <f t="shared" si="49"/>
        <v>0</v>
      </c>
      <c r="CC23" s="251">
        <f t="shared" si="50"/>
        <v>0</v>
      </c>
      <c r="CD23" s="251">
        <f t="shared" si="83"/>
        <v>0</v>
      </c>
      <c r="CE23" s="251">
        <f t="shared" si="84"/>
        <v>0</v>
      </c>
      <c r="CF23" s="251">
        <f t="shared" si="85"/>
        <v>0</v>
      </c>
      <c r="CG23" s="251">
        <f t="shared" si="86"/>
        <v>0</v>
      </c>
      <c r="CH23" s="251">
        <f t="shared" si="51"/>
        <v>0</v>
      </c>
      <c r="CI23" s="251">
        <f t="shared" si="52"/>
        <v>0</v>
      </c>
      <c r="CJ23" s="251">
        <f t="shared" si="87"/>
        <v>0</v>
      </c>
      <c r="CK23" s="251">
        <f t="shared" si="88"/>
        <v>0</v>
      </c>
      <c r="CL23" s="251">
        <f t="shared" si="53"/>
        <v>0</v>
      </c>
      <c r="CM23" s="251">
        <f t="shared" si="54"/>
        <v>0</v>
      </c>
      <c r="CN23" s="251">
        <f t="shared" si="55"/>
        <v>0</v>
      </c>
      <c r="CO23" s="251">
        <f t="shared" si="56"/>
        <v>0</v>
      </c>
      <c r="CP23" s="251">
        <f t="shared" si="89"/>
        <v>0</v>
      </c>
      <c r="CQ23" s="251">
        <f t="shared" si="90"/>
        <v>0</v>
      </c>
      <c r="CR23" s="251">
        <f t="shared" si="91"/>
        <v>0</v>
      </c>
      <c r="CS23" s="251">
        <f t="shared" si="92"/>
        <v>0</v>
      </c>
      <c r="CT23" s="251">
        <f t="shared" si="57"/>
        <v>0</v>
      </c>
      <c r="CU23" s="251">
        <f t="shared" si="58"/>
        <v>0</v>
      </c>
      <c r="CV23" s="251">
        <f t="shared" si="59"/>
        <v>0</v>
      </c>
      <c r="CW23" s="251">
        <f t="shared" si="60"/>
        <v>0</v>
      </c>
      <c r="CX23" s="251">
        <f t="shared" si="93"/>
        <v>0</v>
      </c>
      <c r="CY23" s="251">
        <f t="shared" si="94"/>
        <v>0</v>
      </c>
      <c r="CZ23" s="251">
        <f t="shared" si="95"/>
        <v>0</v>
      </c>
      <c r="DA23" s="251">
        <f t="shared" si="96"/>
        <v>0</v>
      </c>
    </row>
    <row r="24" spans="1:105" s="248" customFormat="1" ht="15.75" customHeight="1">
      <c r="A24" s="58" t="str">
        <f t="array" ref="A24">IF(C24&lt;&gt;0,SUM(($C$11:C24&lt;&gt;0)*1),"")</f>
        <v/>
      </c>
      <c r="B24" s="249"/>
      <c r="C24" s="249"/>
      <c r="D24" s="249"/>
      <c r="E24" s="326"/>
      <c r="F24" s="300"/>
      <c r="G24" s="302"/>
      <c r="H24" s="302"/>
      <c r="I24" s="58" t="str">
        <f t="shared" si="0"/>
        <v/>
      </c>
      <c r="J24" s="251">
        <f t="shared" si="61"/>
        <v>0</v>
      </c>
      <c r="K24" s="251">
        <f t="shared" si="62"/>
        <v>0</v>
      </c>
      <c r="L24" s="251">
        <f t="shared" si="1"/>
        <v>0</v>
      </c>
      <c r="M24" s="251">
        <f t="shared" si="2"/>
        <v>0</v>
      </c>
      <c r="N24" s="251">
        <f t="shared" si="3"/>
        <v>0</v>
      </c>
      <c r="O24" s="251">
        <f t="shared" si="4"/>
        <v>0</v>
      </c>
      <c r="P24" s="251">
        <f t="shared" si="5"/>
        <v>0</v>
      </c>
      <c r="Q24" s="251">
        <f t="shared" si="6"/>
        <v>0</v>
      </c>
      <c r="R24" s="251">
        <f t="shared" si="7"/>
        <v>0</v>
      </c>
      <c r="S24" s="251">
        <f t="shared" si="8"/>
        <v>0</v>
      </c>
      <c r="T24" s="251">
        <f t="shared" si="9"/>
        <v>0</v>
      </c>
      <c r="U24" s="251">
        <f t="shared" si="10"/>
        <v>0</v>
      </c>
      <c r="V24" s="251">
        <f t="shared" si="11"/>
        <v>0</v>
      </c>
      <c r="W24" s="251">
        <f t="shared" si="12"/>
        <v>0</v>
      </c>
      <c r="X24" s="251">
        <f t="shared" si="13"/>
        <v>0</v>
      </c>
      <c r="Y24" s="251">
        <f t="shared" si="14"/>
        <v>0</v>
      </c>
      <c r="Z24" s="251">
        <f t="shared" si="15"/>
        <v>0</v>
      </c>
      <c r="AA24" s="251">
        <f t="shared" si="16"/>
        <v>0</v>
      </c>
      <c r="AB24" s="251">
        <f t="shared" si="63"/>
        <v>0</v>
      </c>
      <c r="AC24" s="251">
        <f t="shared" si="64"/>
        <v>0</v>
      </c>
      <c r="AD24" s="251">
        <f t="shared" si="17"/>
        <v>0</v>
      </c>
      <c r="AE24" s="251">
        <f t="shared" si="18"/>
        <v>0</v>
      </c>
      <c r="AF24" s="251">
        <f t="shared" si="19"/>
        <v>0</v>
      </c>
      <c r="AG24" s="251">
        <f t="shared" si="20"/>
        <v>0</v>
      </c>
      <c r="AH24" s="251">
        <f t="shared" si="65"/>
        <v>0</v>
      </c>
      <c r="AI24" s="251">
        <f t="shared" si="66"/>
        <v>0</v>
      </c>
      <c r="AJ24" s="251">
        <f t="shared" si="67"/>
        <v>0</v>
      </c>
      <c r="AK24" s="251">
        <f t="shared" si="68"/>
        <v>0</v>
      </c>
      <c r="AL24" s="251">
        <f t="shared" si="69"/>
        <v>0</v>
      </c>
      <c r="AM24" s="251">
        <f t="shared" si="70"/>
        <v>0</v>
      </c>
      <c r="AN24" s="251">
        <f t="shared" si="71"/>
        <v>0</v>
      </c>
      <c r="AO24" s="251">
        <f t="shared" si="72"/>
        <v>0</v>
      </c>
      <c r="AP24" s="251">
        <f t="shared" si="21"/>
        <v>0</v>
      </c>
      <c r="AQ24" s="251">
        <f t="shared" si="22"/>
        <v>0</v>
      </c>
      <c r="AR24" s="251">
        <f t="shared" si="23"/>
        <v>0</v>
      </c>
      <c r="AS24" s="251">
        <f t="shared" si="24"/>
        <v>0</v>
      </c>
      <c r="AT24" s="251">
        <f t="shared" si="73"/>
        <v>0</v>
      </c>
      <c r="AU24" s="251">
        <f t="shared" si="74"/>
        <v>0</v>
      </c>
      <c r="AV24" s="251">
        <f t="shared" si="25"/>
        <v>0</v>
      </c>
      <c r="AW24" s="251">
        <f t="shared" si="26"/>
        <v>0</v>
      </c>
      <c r="AX24" s="251">
        <f t="shared" si="27"/>
        <v>0</v>
      </c>
      <c r="AY24" s="251">
        <f t="shared" si="28"/>
        <v>0</v>
      </c>
      <c r="AZ24" s="251">
        <f t="shared" si="29"/>
        <v>0</v>
      </c>
      <c r="BA24" s="251">
        <f t="shared" si="30"/>
        <v>0</v>
      </c>
      <c r="BB24" s="251">
        <f t="shared" si="31"/>
        <v>0</v>
      </c>
      <c r="BC24" s="251">
        <f t="shared" si="32"/>
        <v>0</v>
      </c>
      <c r="BD24" s="251">
        <f t="shared" si="33"/>
        <v>0</v>
      </c>
      <c r="BE24" s="251">
        <f t="shared" si="34"/>
        <v>0</v>
      </c>
      <c r="BF24" s="251">
        <f t="shared" si="35"/>
        <v>0</v>
      </c>
      <c r="BG24" s="251">
        <f t="shared" si="36"/>
        <v>0</v>
      </c>
      <c r="BH24" s="251">
        <f t="shared" si="75"/>
        <v>0</v>
      </c>
      <c r="BI24" s="251">
        <f t="shared" si="76"/>
        <v>0</v>
      </c>
      <c r="BJ24" s="251">
        <f t="shared" si="37"/>
        <v>0</v>
      </c>
      <c r="BK24" s="251">
        <f t="shared" si="38"/>
        <v>0</v>
      </c>
      <c r="BL24" s="251">
        <f t="shared" si="39"/>
        <v>0</v>
      </c>
      <c r="BM24" s="251">
        <f t="shared" si="40"/>
        <v>0</v>
      </c>
      <c r="BN24" s="251">
        <f t="shared" si="41"/>
        <v>0</v>
      </c>
      <c r="BO24" s="251">
        <f t="shared" si="42"/>
        <v>0</v>
      </c>
      <c r="BP24" s="251">
        <f t="shared" si="77"/>
        <v>0</v>
      </c>
      <c r="BQ24" s="251">
        <f t="shared" si="78"/>
        <v>0</v>
      </c>
      <c r="BR24" s="251">
        <f t="shared" si="43"/>
        <v>0</v>
      </c>
      <c r="BS24" s="251">
        <f t="shared" si="44"/>
        <v>0</v>
      </c>
      <c r="BT24" s="251">
        <f t="shared" si="79"/>
        <v>0</v>
      </c>
      <c r="BU24" s="251">
        <f t="shared" si="80"/>
        <v>0</v>
      </c>
      <c r="BV24" s="251">
        <f t="shared" si="81"/>
        <v>0</v>
      </c>
      <c r="BW24" s="251">
        <f t="shared" si="82"/>
        <v>0</v>
      </c>
      <c r="BX24" s="251">
        <f t="shared" si="45"/>
        <v>0</v>
      </c>
      <c r="BY24" s="251">
        <f t="shared" si="46"/>
        <v>0</v>
      </c>
      <c r="BZ24" s="251">
        <f t="shared" si="47"/>
        <v>0</v>
      </c>
      <c r="CA24" s="251">
        <f t="shared" si="48"/>
        <v>0</v>
      </c>
      <c r="CB24" s="251">
        <f t="shared" si="49"/>
        <v>0</v>
      </c>
      <c r="CC24" s="251">
        <f t="shared" si="50"/>
        <v>0</v>
      </c>
      <c r="CD24" s="251">
        <f t="shared" si="83"/>
        <v>0</v>
      </c>
      <c r="CE24" s="251">
        <f t="shared" si="84"/>
        <v>0</v>
      </c>
      <c r="CF24" s="251">
        <f t="shared" si="85"/>
        <v>0</v>
      </c>
      <c r="CG24" s="251">
        <f t="shared" si="86"/>
        <v>0</v>
      </c>
      <c r="CH24" s="251">
        <f t="shared" si="51"/>
        <v>0</v>
      </c>
      <c r="CI24" s="251">
        <f t="shared" si="52"/>
        <v>0</v>
      </c>
      <c r="CJ24" s="251">
        <f t="shared" si="87"/>
        <v>0</v>
      </c>
      <c r="CK24" s="251">
        <f t="shared" si="88"/>
        <v>0</v>
      </c>
      <c r="CL24" s="251">
        <f t="shared" si="53"/>
        <v>0</v>
      </c>
      <c r="CM24" s="251">
        <f t="shared" si="54"/>
        <v>0</v>
      </c>
      <c r="CN24" s="251">
        <f t="shared" si="55"/>
        <v>0</v>
      </c>
      <c r="CO24" s="251">
        <f t="shared" si="56"/>
        <v>0</v>
      </c>
      <c r="CP24" s="251">
        <f t="shared" si="89"/>
        <v>0</v>
      </c>
      <c r="CQ24" s="251">
        <f t="shared" si="90"/>
        <v>0</v>
      </c>
      <c r="CR24" s="251">
        <f t="shared" si="91"/>
        <v>0</v>
      </c>
      <c r="CS24" s="251">
        <f t="shared" si="92"/>
        <v>0</v>
      </c>
      <c r="CT24" s="251">
        <f t="shared" si="57"/>
        <v>0</v>
      </c>
      <c r="CU24" s="251">
        <f t="shared" si="58"/>
        <v>0</v>
      </c>
      <c r="CV24" s="251">
        <f t="shared" si="59"/>
        <v>0</v>
      </c>
      <c r="CW24" s="251">
        <f t="shared" si="60"/>
        <v>0</v>
      </c>
      <c r="CX24" s="251">
        <f t="shared" si="93"/>
        <v>0</v>
      </c>
      <c r="CY24" s="251">
        <f t="shared" si="94"/>
        <v>0</v>
      </c>
      <c r="CZ24" s="251">
        <f t="shared" si="95"/>
        <v>0</v>
      </c>
      <c r="DA24" s="251">
        <f t="shared" si="96"/>
        <v>0</v>
      </c>
    </row>
    <row r="25" spans="1:105" s="248" customFormat="1" ht="15.75" customHeight="1">
      <c r="A25" s="58" t="str">
        <f t="array" ref="A25">IF(C25&lt;&gt;0,SUM(($C$11:C25&lt;&gt;0)*1),"")</f>
        <v/>
      </c>
      <c r="B25" s="249"/>
      <c r="C25" s="249"/>
      <c r="D25" s="249"/>
      <c r="E25" s="326"/>
      <c r="F25" s="300"/>
      <c r="G25" s="302"/>
      <c r="H25" s="302"/>
      <c r="I25" s="58" t="str">
        <f t="shared" si="0"/>
        <v/>
      </c>
      <c r="J25" s="251">
        <f t="shared" si="61"/>
        <v>0</v>
      </c>
      <c r="K25" s="251">
        <f t="shared" si="62"/>
        <v>0</v>
      </c>
      <c r="L25" s="251">
        <f t="shared" si="1"/>
        <v>0</v>
      </c>
      <c r="M25" s="251">
        <f t="shared" si="2"/>
        <v>0</v>
      </c>
      <c r="N25" s="251">
        <f t="shared" si="3"/>
        <v>0</v>
      </c>
      <c r="O25" s="251">
        <f t="shared" si="4"/>
        <v>0</v>
      </c>
      <c r="P25" s="251">
        <f t="shared" si="5"/>
        <v>0</v>
      </c>
      <c r="Q25" s="251">
        <f t="shared" si="6"/>
        <v>0</v>
      </c>
      <c r="R25" s="251">
        <f t="shared" si="7"/>
        <v>0</v>
      </c>
      <c r="S25" s="251">
        <f t="shared" si="8"/>
        <v>0</v>
      </c>
      <c r="T25" s="251">
        <f t="shared" si="9"/>
        <v>0</v>
      </c>
      <c r="U25" s="251">
        <f t="shared" si="10"/>
        <v>0</v>
      </c>
      <c r="V25" s="251">
        <f t="shared" si="11"/>
        <v>0</v>
      </c>
      <c r="W25" s="251">
        <f t="shared" si="12"/>
        <v>0</v>
      </c>
      <c r="X25" s="251">
        <f t="shared" si="13"/>
        <v>0</v>
      </c>
      <c r="Y25" s="251">
        <f t="shared" si="14"/>
        <v>0</v>
      </c>
      <c r="Z25" s="251">
        <f t="shared" si="15"/>
        <v>0</v>
      </c>
      <c r="AA25" s="251">
        <f t="shared" si="16"/>
        <v>0</v>
      </c>
      <c r="AB25" s="251">
        <f t="shared" si="63"/>
        <v>0</v>
      </c>
      <c r="AC25" s="251">
        <f t="shared" si="64"/>
        <v>0</v>
      </c>
      <c r="AD25" s="251">
        <f t="shared" si="17"/>
        <v>0</v>
      </c>
      <c r="AE25" s="251">
        <f t="shared" si="18"/>
        <v>0</v>
      </c>
      <c r="AF25" s="251">
        <f t="shared" si="19"/>
        <v>0</v>
      </c>
      <c r="AG25" s="251">
        <f t="shared" si="20"/>
        <v>0</v>
      </c>
      <c r="AH25" s="251">
        <f t="shared" si="65"/>
        <v>0</v>
      </c>
      <c r="AI25" s="251">
        <f t="shared" si="66"/>
        <v>0</v>
      </c>
      <c r="AJ25" s="251">
        <f t="shared" si="67"/>
        <v>0</v>
      </c>
      <c r="AK25" s="251">
        <f t="shared" si="68"/>
        <v>0</v>
      </c>
      <c r="AL25" s="251">
        <f t="shared" si="69"/>
        <v>0</v>
      </c>
      <c r="AM25" s="251">
        <f t="shared" si="70"/>
        <v>0</v>
      </c>
      <c r="AN25" s="251">
        <f t="shared" si="71"/>
        <v>0</v>
      </c>
      <c r="AO25" s="251">
        <f t="shared" si="72"/>
        <v>0</v>
      </c>
      <c r="AP25" s="251">
        <f t="shared" si="21"/>
        <v>0</v>
      </c>
      <c r="AQ25" s="251">
        <f t="shared" si="22"/>
        <v>0</v>
      </c>
      <c r="AR25" s="251">
        <f t="shared" si="23"/>
        <v>0</v>
      </c>
      <c r="AS25" s="251">
        <f t="shared" si="24"/>
        <v>0</v>
      </c>
      <c r="AT25" s="251">
        <f t="shared" si="73"/>
        <v>0</v>
      </c>
      <c r="AU25" s="251">
        <f t="shared" si="74"/>
        <v>0</v>
      </c>
      <c r="AV25" s="251">
        <f t="shared" si="25"/>
        <v>0</v>
      </c>
      <c r="AW25" s="251">
        <f t="shared" si="26"/>
        <v>0</v>
      </c>
      <c r="AX25" s="251">
        <f t="shared" si="27"/>
        <v>0</v>
      </c>
      <c r="AY25" s="251">
        <f t="shared" si="28"/>
        <v>0</v>
      </c>
      <c r="AZ25" s="251">
        <f t="shared" si="29"/>
        <v>0</v>
      </c>
      <c r="BA25" s="251">
        <f t="shared" si="30"/>
        <v>0</v>
      </c>
      <c r="BB25" s="251">
        <f t="shared" si="31"/>
        <v>0</v>
      </c>
      <c r="BC25" s="251">
        <f t="shared" si="32"/>
        <v>0</v>
      </c>
      <c r="BD25" s="251">
        <f t="shared" si="33"/>
        <v>0</v>
      </c>
      <c r="BE25" s="251">
        <f t="shared" si="34"/>
        <v>0</v>
      </c>
      <c r="BF25" s="251">
        <f t="shared" si="35"/>
        <v>0</v>
      </c>
      <c r="BG25" s="251">
        <f t="shared" si="36"/>
        <v>0</v>
      </c>
      <c r="BH25" s="251">
        <f t="shared" si="75"/>
        <v>0</v>
      </c>
      <c r="BI25" s="251">
        <f t="shared" si="76"/>
        <v>0</v>
      </c>
      <c r="BJ25" s="251">
        <f t="shared" si="37"/>
        <v>0</v>
      </c>
      <c r="BK25" s="251">
        <f t="shared" si="38"/>
        <v>0</v>
      </c>
      <c r="BL25" s="251">
        <f t="shared" si="39"/>
        <v>0</v>
      </c>
      <c r="BM25" s="251">
        <f t="shared" si="40"/>
        <v>0</v>
      </c>
      <c r="BN25" s="251">
        <f t="shared" si="41"/>
        <v>0</v>
      </c>
      <c r="BO25" s="251">
        <f t="shared" si="42"/>
        <v>0</v>
      </c>
      <c r="BP25" s="251">
        <f t="shared" si="77"/>
        <v>0</v>
      </c>
      <c r="BQ25" s="251">
        <f t="shared" si="78"/>
        <v>0</v>
      </c>
      <c r="BR25" s="251">
        <f t="shared" si="43"/>
        <v>0</v>
      </c>
      <c r="BS25" s="251">
        <f t="shared" si="44"/>
        <v>0</v>
      </c>
      <c r="BT25" s="251">
        <f t="shared" si="79"/>
        <v>0</v>
      </c>
      <c r="BU25" s="251">
        <f t="shared" si="80"/>
        <v>0</v>
      </c>
      <c r="BV25" s="251">
        <f t="shared" si="81"/>
        <v>0</v>
      </c>
      <c r="BW25" s="251">
        <f t="shared" si="82"/>
        <v>0</v>
      </c>
      <c r="BX25" s="251">
        <f t="shared" si="45"/>
        <v>0</v>
      </c>
      <c r="BY25" s="251">
        <f t="shared" si="46"/>
        <v>0</v>
      </c>
      <c r="BZ25" s="251">
        <f t="shared" si="47"/>
        <v>0</v>
      </c>
      <c r="CA25" s="251">
        <f t="shared" si="48"/>
        <v>0</v>
      </c>
      <c r="CB25" s="251">
        <f t="shared" si="49"/>
        <v>0</v>
      </c>
      <c r="CC25" s="251">
        <f t="shared" si="50"/>
        <v>0</v>
      </c>
      <c r="CD25" s="251">
        <f t="shared" si="83"/>
        <v>0</v>
      </c>
      <c r="CE25" s="251">
        <f t="shared" si="84"/>
        <v>0</v>
      </c>
      <c r="CF25" s="251">
        <f t="shared" si="85"/>
        <v>0</v>
      </c>
      <c r="CG25" s="251">
        <f t="shared" si="86"/>
        <v>0</v>
      </c>
      <c r="CH25" s="251">
        <f t="shared" si="51"/>
        <v>0</v>
      </c>
      <c r="CI25" s="251">
        <f t="shared" si="52"/>
        <v>0</v>
      </c>
      <c r="CJ25" s="251">
        <f t="shared" si="87"/>
        <v>0</v>
      </c>
      <c r="CK25" s="251">
        <f t="shared" si="88"/>
        <v>0</v>
      </c>
      <c r="CL25" s="251">
        <f t="shared" si="53"/>
        <v>0</v>
      </c>
      <c r="CM25" s="251">
        <f t="shared" si="54"/>
        <v>0</v>
      </c>
      <c r="CN25" s="251">
        <f t="shared" si="55"/>
        <v>0</v>
      </c>
      <c r="CO25" s="251">
        <f t="shared" si="56"/>
        <v>0</v>
      </c>
      <c r="CP25" s="251">
        <f t="shared" si="89"/>
        <v>0</v>
      </c>
      <c r="CQ25" s="251">
        <f t="shared" si="90"/>
        <v>0</v>
      </c>
      <c r="CR25" s="251">
        <f t="shared" si="91"/>
        <v>0</v>
      </c>
      <c r="CS25" s="251">
        <f t="shared" si="92"/>
        <v>0</v>
      </c>
      <c r="CT25" s="251">
        <f t="shared" si="57"/>
        <v>0</v>
      </c>
      <c r="CU25" s="251">
        <f t="shared" si="58"/>
        <v>0</v>
      </c>
      <c r="CV25" s="251">
        <f t="shared" si="59"/>
        <v>0</v>
      </c>
      <c r="CW25" s="251">
        <f t="shared" si="60"/>
        <v>0</v>
      </c>
      <c r="CX25" s="251">
        <f t="shared" si="93"/>
        <v>0</v>
      </c>
      <c r="CY25" s="251">
        <f t="shared" si="94"/>
        <v>0</v>
      </c>
      <c r="CZ25" s="251">
        <f t="shared" si="95"/>
        <v>0</v>
      </c>
      <c r="DA25" s="251">
        <f t="shared" si="96"/>
        <v>0</v>
      </c>
    </row>
    <row r="26" spans="1:105" s="248" customFormat="1" ht="15.75" customHeight="1">
      <c r="A26" s="58" t="str">
        <f t="array" ref="A26">IF(C26&lt;&gt;0,SUM(($C$11:C26&lt;&gt;0)*1),"")</f>
        <v/>
      </c>
      <c r="B26" s="249"/>
      <c r="C26" s="249"/>
      <c r="D26" s="249"/>
      <c r="E26" s="326"/>
      <c r="F26" s="300"/>
      <c r="G26" s="302"/>
      <c r="H26" s="302"/>
      <c r="I26" s="58" t="str">
        <f t="shared" si="0"/>
        <v/>
      </c>
      <c r="J26" s="251">
        <f t="shared" si="61"/>
        <v>0</v>
      </c>
      <c r="K26" s="251">
        <f t="shared" si="62"/>
        <v>0</v>
      </c>
      <c r="L26" s="251">
        <f t="shared" si="1"/>
        <v>0</v>
      </c>
      <c r="M26" s="251">
        <f t="shared" si="2"/>
        <v>0</v>
      </c>
      <c r="N26" s="251">
        <f t="shared" si="3"/>
        <v>0</v>
      </c>
      <c r="O26" s="251">
        <f t="shared" si="4"/>
        <v>0</v>
      </c>
      <c r="P26" s="251">
        <f t="shared" si="5"/>
        <v>0</v>
      </c>
      <c r="Q26" s="251">
        <f t="shared" si="6"/>
        <v>0</v>
      </c>
      <c r="R26" s="251">
        <f t="shared" si="7"/>
        <v>0</v>
      </c>
      <c r="S26" s="251">
        <f t="shared" si="8"/>
        <v>0</v>
      </c>
      <c r="T26" s="251">
        <f t="shared" si="9"/>
        <v>0</v>
      </c>
      <c r="U26" s="251">
        <f t="shared" si="10"/>
        <v>0</v>
      </c>
      <c r="V26" s="251">
        <f t="shared" si="11"/>
        <v>0</v>
      </c>
      <c r="W26" s="251">
        <f t="shared" si="12"/>
        <v>0</v>
      </c>
      <c r="X26" s="251">
        <f t="shared" si="13"/>
        <v>0</v>
      </c>
      <c r="Y26" s="251">
        <f t="shared" si="14"/>
        <v>0</v>
      </c>
      <c r="Z26" s="251">
        <f t="shared" si="15"/>
        <v>0</v>
      </c>
      <c r="AA26" s="251">
        <f t="shared" si="16"/>
        <v>0</v>
      </c>
      <c r="AB26" s="251">
        <f t="shared" si="63"/>
        <v>0</v>
      </c>
      <c r="AC26" s="251">
        <f t="shared" si="64"/>
        <v>0</v>
      </c>
      <c r="AD26" s="251">
        <f t="shared" si="17"/>
        <v>0</v>
      </c>
      <c r="AE26" s="251">
        <f t="shared" si="18"/>
        <v>0</v>
      </c>
      <c r="AF26" s="251">
        <f t="shared" si="19"/>
        <v>0</v>
      </c>
      <c r="AG26" s="251">
        <f t="shared" si="20"/>
        <v>0</v>
      </c>
      <c r="AH26" s="251">
        <f t="shared" si="65"/>
        <v>0</v>
      </c>
      <c r="AI26" s="251">
        <f t="shared" si="66"/>
        <v>0</v>
      </c>
      <c r="AJ26" s="251">
        <f t="shared" si="67"/>
        <v>0</v>
      </c>
      <c r="AK26" s="251">
        <f t="shared" si="68"/>
        <v>0</v>
      </c>
      <c r="AL26" s="251">
        <f t="shared" si="69"/>
        <v>0</v>
      </c>
      <c r="AM26" s="251">
        <f t="shared" si="70"/>
        <v>0</v>
      </c>
      <c r="AN26" s="251">
        <f t="shared" si="71"/>
        <v>0</v>
      </c>
      <c r="AO26" s="251">
        <f t="shared" si="72"/>
        <v>0</v>
      </c>
      <c r="AP26" s="251">
        <f t="shared" si="21"/>
        <v>0</v>
      </c>
      <c r="AQ26" s="251">
        <f t="shared" si="22"/>
        <v>0</v>
      </c>
      <c r="AR26" s="251">
        <f t="shared" si="23"/>
        <v>0</v>
      </c>
      <c r="AS26" s="251">
        <f t="shared" si="24"/>
        <v>0</v>
      </c>
      <c r="AT26" s="251">
        <f t="shared" si="73"/>
        <v>0</v>
      </c>
      <c r="AU26" s="251">
        <f t="shared" si="74"/>
        <v>0</v>
      </c>
      <c r="AV26" s="251">
        <f t="shared" si="25"/>
        <v>0</v>
      </c>
      <c r="AW26" s="251">
        <f t="shared" si="26"/>
        <v>0</v>
      </c>
      <c r="AX26" s="251">
        <f t="shared" si="27"/>
        <v>0</v>
      </c>
      <c r="AY26" s="251">
        <f t="shared" si="28"/>
        <v>0</v>
      </c>
      <c r="AZ26" s="251">
        <f t="shared" si="29"/>
        <v>0</v>
      </c>
      <c r="BA26" s="251">
        <f t="shared" si="30"/>
        <v>0</v>
      </c>
      <c r="BB26" s="251">
        <f t="shared" si="31"/>
        <v>0</v>
      </c>
      <c r="BC26" s="251">
        <f t="shared" si="32"/>
        <v>0</v>
      </c>
      <c r="BD26" s="251">
        <f t="shared" si="33"/>
        <v>0</v>
      </c>
      <c r="BE26" s="251">
        <f t="shared" si="34"/>
        <v>0</v>
      </c>
      <c r="BF26" s="251">
        <f t="shared" si="35"/>
        <v>0</v>
      </c>
      <c r="BG26" s="251">
        <f t="shared" si="36"/>
        <v>0</v>
      </c>
      <c r="BH26" s="251">
        <f t="shared" si="75"/>
        <v>0</v>
      </c>
      <c r="BI26" s="251">
        <f t="shared" si="76"/>
        <v>0</v>
      </c>
      <c r="BJ26" s="251">
        <f t="shared" si="37"/>
        <v>0</v>
      </c>
      <c r="BK26" s="251">
        <f t="shared" si="38"/>
        <v>0</v>
      </c>
      <c r="BL26" s="251">
        <f t="shared" si="39"/>
        <v>0</v>
      </c>
      <c r="BM26" s="251">
        <f t="shared" si="40"/>
        <v>0</v>
      </c>
      <c r="BN26" s="251">
        <f t="shared" si="41"/>
        <v>0</v>
      </c>
      <c r="BO26" s="251">
        <f t="shared" si="42"/>
        <v>0</v>
      </c>
      <c r="BP26" s="251">
        <f t="shared" si="77"/>
        <v>0</v>
      </c>
      <c r="BQ26" s="251">
        <f t="shared" si="78"/>
        <v>0</v>
      </c>
      <c r="BR26" s="251">
        <f t="shared" si="43"/>
        <v>0</v>
      </c>
      <c r="BS26" s="251">
        <f t="shared" si="44"/>
        <v>0</v>
      </c>
      <c r="BT26" s="251">
        <f t="shared" si="79"/>
        <v>0</v>
      </c>
      <c r="BU26" s="251">
        <f t="shared" si="80"/>
        <v>0</v>
      </c>
      <c r="BV26" s="251">
        <f t="shared" si="81"/>
        <v>0</v>
      </c>
      <c r="BW26" s="251">
        <f t="shared" si="82"/>
        <v>0</v>
      </c>
      <c r="BX26" s="251">
        <f t="shared" si="45"/>
        <v>0</v>
      </c>
      <c r="BY26" s="251">
        <f t="shared" si="46"/>
        <v>0</v>
      </c>
      <c r="BZ26" s="251">
        <f t="shared" si="47"/>
        <v>0</v>
      </c>
      <c r="CA26" s="251">
        <f t="shared" si="48"/>
        <v>0</v>
      </c>
      <c r="CB26" s="251">
        <f t="shared" si="49"/>
        <v>0</v>
      </c>
      <c r="CC26" s="251">
        <f t="shared" si="50"/>
        <v>0</v>
      </c>
      <c r="CD26" s="251">
        <f t="shared" si="83"/>
        <v>0</v>
      </c>
      <c r="CE26" s="251">
        <f t="shared" si="84"/>
        <v>0</v>
      </c>
      <c r="CF26" s="251">
        <f t="shared" si="85"/>
        <v>0</v>
      </c>
      <c r="CG26" s="251">
        <f t="shared" si="86"/>
        <v>0</v>
      </c>
      <c r="CH26" s="251">
        <f t="shared" si="51"/>
        <v>0</v>
      </c>
      <c r="CI26" s="251">
        <f t="shared" si="52"/>
        <v>0</v>
      </c>
      <c r="CJ26" s="251">
        <f t="shared" si="87"/>
        <v>0</v>
      </c>
      <c r="CK26" s="251">
        <f t="shared" si="88"/>
        <v>0</v>
      </c>
      <c r="CL26" s="251">
        <f t="shared" si="53"/>
        <v>0</v>
      </c>
      <c r="CM26" s="251">
        <f t="shared" si="54"/>
        <v>0</v>
      </c>
      <c r="CN26" s="251">
        <f t="shared" si="55"/>
        <v>0</v>
      </c>
      <c r="CO26" s="251">
        <f t="shared" si="56"/>
        <v>0</v>
      </c>
      <c r="CP26" s="251">
        <f t="shared" si="89"/>
        <v>0</v>
      </c>
      <c r="CQ26" s="251">
        <f t="shared" si="90"/>
        <v>0</v>
      </c>
      <c r="CR26" s="251">
        <f t="shared" si="91"/>
        <v>0</v>
      </c>
      <c r="CS26" s="251">
        <f t="shared" si="92"/>
        <v>0</v>
      </c>
      <c r="CT26" s="251">
        <f t="shared" si="57"/>
        <v>0</v>
      </c>
      <c r="CU26" s="251">
        <f t="shared" si="58"/>
        <v>0</v>
      </c>
      <c r="CV26" s="251">
        <f t="shared" si="59"/>
        <v>0</v>
      </c>
      <c r="CW26" s="251">
        <f t="shared" si="60"/>
        <v>0</v>
      </c>
      <c r="CX26" s="251">
        <f t="shared" si="93"/>
        <v>0</v>
      </c>
      <c r="CY26" s="251">
        <f t="shared" si="94"/>
        <v>0</v>
      </c>
      <c r="CZ26" s="251">
        <f t="shared" si="95"/>
        <v>0</v>
      </c>
      <c r="DA26" s="251">
        <f t="shared" si="96"/>
        <v>0</v>
      </c>
    </row>
    <row r="27" spans="1:105" s="248" customFormat="1" ht="15.75" customHeight="1">
      <c r="A27" s="58" t="str">
        <f t="array" ref="A27">IF(C27&lt;&gt;0,SUM(($C$11:C27&lt;&gt;0)*1),"")</f>
        <v/>
      </c>
      <c r="B27" s="249"/>
      <c r="C27" s="249"/>
      <c r="D27" s="249"/>
      <c r="E27" s="326"/>
      <c r="F27" s="300"/>
      <c r="G27" s="302"/>
      <c r="H27" s="302"/>
      <c r="I27" s="58" t="str">
        <f>A27</f>
        <v/>
      </c>
      <c r="J27" s="251">
        <f t="shared" si="61"/>
        <v>0</v>
      </c>
      <c r="K27" s="251">
        <f t="shared" si="62"/>
        <v>0</v>
      </c>
      <c r="L27" s="251">
        <f t="shared" si="1"/>
        <v>0</v>
      </c>
      <c r="M27" s="251">
        <f t="shared" si="2"/>
        <v>0</v>
      </c>
      <c r="N27" s="251">
        <f t="shared" si="3"/>
        <v>0</v>
      </c>
      <c r="O27" s="251">
        <f t="shared" si="4"/>
        <v>0</v>
      </c>
      <c r="P27" s="251">
        <f t="shared" si="5"/>
        <v>0</v>
      </c>
      <c r="Q27" s="251">
        <f t="shared" si="6"/>
        <v>0</v>
      </c>
      <c r="R27" s="251">
        <f t="shared" si="7"/>
        <v>0</v>
      </c>
      <c r="S27" s="251">
        <f t="shared" si="8"/>
        <v>0</v>
      </c>
      <c r="T27" s="251">
        <f t="shared" si="9"/>
        <v>0</v>
      </c>
      <c r="U27" s="251">
        <f t="shared" si="10"/>
        <v>0</v>
      </c>
      <c r="V27" s="251">
        <f t="shared" si="11"/>
        <v>0</v>
      </c>
      <c r="W27" s="251">
        <f t="shared" si="12"/>
        <v>0</v>
      </c>
      <c r="X27" s="251">
        <f t="shared" si="13"/>
        <v>0</v>
      </c>
      <c r="Y27" s="251">
        <f t="shared" si="14"/>
        <v>0</v>
      </c>
      <c r="Z27" s="251">
        <f t="shared" si="15"/>
        <v>0</v>
      </c>
      <c r="AA27" s="251">
        <f t="shared" si="16"/>
        <v>0</v>
      </c>
      <c r="AB27" s="251">
        <f t="shared" si="63"/>
        <v>0</v>
      </c>
      <c r="AC27" s="251">
        <f t="shared" si="64"/>
        <v>0</v>
      </c>
      <c r="AD27" s="251">
        <f t="shared" si="17"/>
        <v>0</v>
      </c>
      <c r="AE27" s="251">
        <f t="shared" si="18"/>
        <v>0</v>
      </c>
      <c r="AF27" s="251">
        <f t="shared" si="19"/>
        <v>0</v>
      </c>
      <c r="AG27" s="251">
        <f t="shared" si="20"/>
        <v>0</v>
      </c>
      <c r="AH27" s="251">
        <f t="shared" si="65"/>
        <v>0</v>
      </c>
      <c r="AI27" s="251">
        <f t="shared" si="66"/>
        <v>0</v>
      </c>
      <c r="AJ27" s="251">
        <f t="shared" si="67"/>
        <v>0</v>
      </c>
      <c r="AK27" s="251">
        <f t="shared" si="68"/>
        <v>0</v>
      </c>
      <c r="AL27" s="251">
        <f t="shared" si="69"/>
        <v>0</v>
      </c>
      <c r="AM27" s="251">
        <f t="shared" si="70"/>
        <v>0</v>
      </c>
      <c r="AN27" s="251">
        <f t="shared" si="71"/>
        <v>0</v>
      </c>
      <c r="AO27" s="251">
        <f t="shared" si="72"/>
        <v>0</v>
      </c>
      <c r="AP27" s="251">
        <f t="shared" si="21"/>
        <v>0</v>
      </c>
      <c r="AQ27" s="251">
        <f t="shared" si="22"/>
        <v>0</v>
      </c>
      <c r="AR27" s="251">
        <f t="shared" si="23"/>
        <v>0</v>
      </c>
      <c r="AS27" s="251">
        <f t="shared" si="24"/>
        <v>0</v>
      </c>
      <c r="AT27" s="251">
        <f t="shared" si="73"/>
        <v>0</v>
      </c>
      <c r="AU27" s="251">
        <f t="shared" si="74"/>
        <v>0</v>
      </c>
      <c r="AV27" s="251">
        <f t="shared" si="25"/>
        <v>0</v>
      </c>
      <c r="AW27" s="251">
        <f t="shared" si="26"/>
        <v>0</v>
      </c>
      <c r="AX27" s="251">
        <f t="shared" si="27"/>
        <v>0</v>
      </c>
      <c r="AY27" s="251">
        <f t="shared" si="28"/>
        <v>0</v>
      </c>
      <c r="AZ27" s="251">
        <f t="shared" si="29"/>
        <v>0</v>
      </c>
      <c r="BA27" s="251">
        <f t="shared" si="30"/>
        <v>0</v>
      </c>
      <c r="BB27" s="251">
        <f t="shared" si="31"/>
        <v>0</v>
      </c>
      <c r="BC27" s="251">
        <f t="shared" si="32"/>
        <v>0</v>
      </c>
      <c r="BD27" s="251">
        <f t="shared" si="33"/>
        <v>0</v>
      </c>
      <c r="BE27" s="251">
        <f t="shared" si="34"/>
        <v>0</v>
      </c>
      <c r="BF27" s="251">
        <f t="shared" si="35"/>
        <v>0</v>
      </c>
      <c r="BG27" s="251">
        <f t="shared" si="36"/>
        <v>0</v>
      </c>
      <c r="BH27" s="251">
        <f t="shared" si="75"/>
        <v>0</v>
      </c>
      <c r="BI27" s="251">
        <f t="shared" si="76"/>
        <v>0</v>
      </c>
      <c r="BJ27" s="251">
        <f t="shared" si="37"/>
        <v>0</v>
      </c>
      <c r="BK27" s="251">
        <f t="shared" si="38"/>
        <v>0</v>
      </c>
      <c r="BL27" s="251">
        <f t="shared" si="39"/>
        <v>0</v>
      </c>
      <c r="BM27" s="251">
        <f t="shared" si="40"/>
        <v>0</v>
      </c>
      <c r="BN27" s="251">
        <f t="shared" si="41"/>
        <v>0</v>
      </c>
      <c r="BO27" s="251">
        <f t="shared" si="42"/>
        <v>0</v>
      </c>
      <c r="BP27" s="251">
        <f t="shared" si="77"/>
        <v>0</v>
      </c>
      <c r="BQ27" s="251">
        <f t="shared" si="78"/>
        <v>0</v>
      </c>
      <c r="BR27" s="251">
        <f t="shared" si="43"/>
        <v>0</v>
      </c>
      <c r="BS27" s="251">
        <f t="shared" si="44"/>
        <v>0</v>
      </c>
      <c r="BT27" s="251">
        <f t="shared" si="79"/>
        <v>0</v>
      </c>
      <c r="BU27" s="251">
        <f t="shared" si="80"/>
        <v>0</v>
      </c>
      <c r="BV27" s="251">
        <f t="shared" si="81"/>
        <v>0</v>
      </c>
      <c r="BW27" s="251">
        <f t="shared" si="82"/>
        <v>0</v>
      </c>
      <c r="BX27" s="251">
        <f t="shared" si="45"/>
        <v>0</v>
      </c>
      <c r="BY27" s="251">
        <f t="shared" si="46"/>
        <v>0</v>
      </c>
      <c r="BZ27" s="251">
        <f t="shared" si="47"/>
        <v>0</v>
      </c>
      <c r="CA27" s="251">
        <f t="shared" si="48"/>
        <v>0</v>
      </c>
      <c r="CB27" s="251">
        <f t="shared" si="49"/>
        <v>0</v>
      </c>
      <c r="CC27" s="251">
        <f t="shared" si="50"/>
        <v>0</v>
      </c>
      <c r="CD27" s="251">
        <f t="shared" si="83"/>
        <v>0</v>
      </c>
      <c r="CE27" s="251">
        <f t="shared" si="84"/>
        <v>0</v>
      </c>
      <c r="CF27" s="251">
        <f t="shared" si="85"/>
        <v>0</v>
      </c>
      <c r="CG27" s="251">
        <f t="shared" si="86"/>
        <v>0</v>
      </c>
      <c r="CH27" s="251">
        <f t="shared" si="51"/>
        <v>0</v>
      </c>
      <c r="CI27" s="251">
        <f t="shared" si="52"/>
        <v>0</v>
      </c>
      <c r="CJ27" s="251">
        <f t="shared" si="87"/>
        <v>0</v>
      </c>
      <c r="CK27" s="251">
        <f t="shared" si="88"/>
        <v>0</v>
      </c>
      <c r="CL27" s="251">
        <f t="shared" si="53"/>
        <v>0</v>
      </c>
      <c r="CM27" s="251">
        <f t="shared" si="54"/>
        <v>0</v>
      </c>
      <c r="CN27" s="251">
        <f t="shared" si="55"/>
        <v>0</v>
      </c>
      <c r="CO27" s="251">
        <f t="shared" si="56"/>
        <v>0</v>
      </c>
      <c r="CP27" s="251">
        <f t="shared" si="89"/>
        <v>0</v>
      </c>
      <c r="CQ27" s="251">
        <f t="shared" si="90"/>
        <v>0</v>
      </c>
      <c r="CR27" s="251">
        <f t="shared" si="91"/>
        <v>0</v>
      </c>
      <c r="CS27" s="251">
        <f t="shared" si="92"/>
        <v>0</v>
      </c>
      <c r="CT27" s="251">
        <f t="shared" si="57"/>
        <v>0</v>
      </c>
      <c r="CU27" s="251">
        <f t="shared" si="58"/>
        <v>0</v>
      </c>
      <c r="CV27" s="251">
        <f t="shared" si="59"/>
        <v>0</v>
      </c>
      <c r="CW27" s="251">
        <f t="shared" si="60"/>
        <v>0</v>
      </c>
      <c r="CX27" s="251">
        <f t="shared" si="93"/>
        <v>0</v>
      </c>
      <c r="CY27" s="251">
        <f t="shared" si="94"/>
        <v>0</v>
      </c>
      <c r="CZ27" s="251">
        <f t="shared" si="95"/>
        <v>0</v>
      </c>
      <c r="DA27" s="251">
        <f t="shared" si="96"/>
        <v>0</v>
      </c>
    </row>
    <row r="28" spans="1:105" s="248" customFormat="1" ht="15.75" customHeight="1">
      <c r="A28" s="58" t="str">
        <f t="array" ref="A28">IF(C28&lt;&gt;0,SUM(($C$11:C28&lt;&gt;0)*1),"")</f>
        <v/>
      </c>
      <c r="B28" s="249"/>
      <c r="C28" s="249"/>
      <c r="D28" s="249"/>
      <c r="E28" s="326"/>
      <c r="F28" s="300"/>
      <c r="G28" s="302"/>
      <c r="H28" s="302"/>
      <c r="I28" s="58" t="str">
        <f t="shared" ref="I28:I50" si="97">A28</f>
        <v/>
      </c>
      <c r="J28" s="251">
        <f t="shared" si="61"/>
        <v>0</v>
      </c>
      <c r="K28" s="251">
        <f t="shared" si="62"/>
        <v>0</v>
      </c>
      <c r="L28" s="251">
        <f t="shared" si="1"/>
        <v>0</v>
      </c>
      <c r="M28" s="251">
        <f t="shared" si="2"/>
        <v>0</v>
      </c>
      <c r="N28" s="251">
        <f t="shared" si="3"/>
        <v>0</v>
      </c>
      <c r="O28" s="251">
        <f t="shared" si="4"/>
        <v>0</v>
      </c>
      <c r="P28" s="251">
        <f t="shared" si="5"/>
        <v>0</v>
      </c>
      <c r="Q28" s="251">
        <f t="shared" si="6"/>
        <v>0</v>
      </c>
      <c r="R28" s="251">
        <f t="shared" si="7"/>
        <v>0</v>
      </c>
      <c r="S28" s="251">
        <f t="shared" si="8"/>
        <v>0</v>
      </c>
      <c r="T28" s="251">
        <f t="shared" si="9"/>
        <v>0</v>
      </c>
      <c r="U28" s="251">
        <f t="shared" si="10"/>
        <v>0</v>
      </c>
      <c r="V28" s="251">
        <f t="shared" si="11"/>
        <v>0</v>
      </c>
      <c r="W28" s="251">
        <f t="shared" si="12"/>
        <v>0</v>
      </c>
      <c r="X28" s="251">
        <f t="shared" si="13"/>
        <v>0</v>
      </c>
      <c r="Y28" s="251">
        <f t="shared" si="14"/>
        <v>0</v>
      </c>
      <c r="Z28" s="251">
        <f t="shared" si="15"/>
        <v>0</v>
      </c>
      <c r="AA28" s="251">
        <f t="shared" si="16"/>
        <v>0</v>
      </c>
      <c r="AB28" s="251">
        <f t="shared" si="63"/>
        <v>0</v>
      </c>
      <c r="AC28" s="251">
        <f t="shared" si="64"/>
        <v>0</v>
      </c>
      <c r="AD28" s="251">
        <f t="shared" si="17"/>
        <v>0</v>
      </c>
      <c r="AE28" s="251">
        <f t="shared" si="18"/>
        <v>0</v>
      </c>
      <c r="AF28" s="251">
        <f t="shared" si="19"/>
        <v>0</v>
      </c>
      <c r="AG28" s="251">
        <f t="shared" si="20"/>
        <v>0</v>
      </c>
      <c r="AH28" s="251">
        <f t="shared" si="65"/>
        <v>0</v>
      </c>
      <c r="AI28" s="251">
        <f t="shared" si="66"/>
        <v>0</v>
      </c>
      <c r="AJ28" s="251">
        <f t="shared" si="67"/>
        <v>0</v>
      </c>
      <c r="AK28" s="251">
        <f t="shared" si="68"/>
        <v>0</v>
      </c>
      <c r="AL28" s="251">
        <f t="shared" si="69"/>
        <v>0</v>
      </c>
      <c r="AM28" s="251">
        <f t="shared" si="70"/>
        <v>0</v>
      </c>
      <c r="AN28" s="251">
        <f t="shared" si="71"/>
        <v>0</v>
      </c>
      <c r="AO28" s="251">
        <f t="shared" si="72"/>
        <v>0</v>
      </c>
      <c r="AP28" s="251">
        <f t="shared" si="21"/>
        <v>0</v>
      </c>
      <c r="AQ28" s="251">
        <f t="shared" si="22"/>
        <v>0</v>
      </c>
      <c r="AR28" s="251">
        <f t="shared" si="23"/>
        <v>0</v>
      </c>
      <c r="AS28" s="251">
        <f t="shared" si="24"/>
        <v>0</v>
      </c>
      <c r="AT28" s="251">
        <f t="shared" si="73"/>
        <v>0</v>
      </c>
      <c r="AU28" s="251">
        <f t="shared" si="74"/>
        <v>0</v>
      </c>
      <c r="AV28" s="251">
        <f t="shared" si="25"/>
        <v>0</v>
      </c>
      <c r="AW28" s="251">
        <f t="shared" si="26"/>
        <v>0</v>
      </c>
      <c r="AX28" s="251">
        <f t="shared" si="27"/>
        <v>0</v>
      </c>
      <c r="AY28" s="251">
        <f t="shared" si="28"/>
        <v>0</v>
      </c>
      <c r="AZ28" s="251">
        <f t="shared" si="29"/>
        <v>0</v>
      </c>
      <c r="BA28" s="251">
        <f t="shared" si="30"/>
        <v>0</v>
      </c>
      <c r="BB28" s="251">
        <f t="shared" si="31"/>
        <v>0</v>
      </c>
      <c r="BC28" s="251">
        <f t="shared" si="32"/>
        <v>0</v>
      </c>
      <c r="BD28" s="251">
        <f t="shared" si="33"/>
        <v>0</v>
      </c>
      <c r="BE28" s="251">
        <f t="shared" si="34"/>
        <v>0</v>
      </c>
      <c r="BF28" s="251">
        <f t="shared" si="35"/>
        <v>0</v>
      </c>
      <c r="BG28" s="251">
        <f t="shared" si="36"/>
        <v>0</v>
      </c>
      <c r="BH28" s="251">
        <f t="shared" si="75"/>
        <v>0</v>
      </c>
      <c r="BI28" s="251">
        <f t="shared" si="76"/>
        <v>0</v>
      </c>
      <c r="BJ28" s="251">
        <f t="shared" si="37"/>
        <v>0</v>
      </c>
      <c r="BK28" s="251">
        <f t="shared" si="38"/>
        <v>0</v>
      </c>
      <c r="BL28" s="251">
        <f t="shared" si="39"/>
        <v>0</v>
      </c>
      <c r="BM28" s="251">
        <f t="shared" si="40"/>
        <v>0</v>
      </c>
      <c r="BN28" s="251">
        <f t="shared" si="41"/>
        <v>0</v>
      </c>
      <c r="BO28" s="251">
        <f t="shared" si="42"/>
        <v>0</v>
      </c>
      <c r="BP28" s="251">
        <f t="shared" si="77"/>
        <v>0</v>
      </c>
      <c r="BQ28" s="251">
        <f t="shared" si="78"/>
        <v>0</v>
      </c>
      <c r="BR28" s="251">
        <f t="shared" si="43"/>
        <v>0</v>
      </c>
      <c r="BS28" s="251">
        <f t="shared" si="44"/>
        <v>0</v>
      </c>
      <c r="BT28" s="251">
        <f t="shared" si="79"/>
        <v>0</v>
      </c>
      <c r="BU28" s="251">
        <f t="shared" si="80"/>
        <v>0</v>
      </c>
      <c r="BV28" s="251">
        <f t="shared" si="81"/>
        <v>0</v>
      </c>
      <c r="BW28" s="251">
        <f t="shared" si="82"/>
        <v>0</v>
      </c>
      <c r="BX28" s="251">
        <f t="shared" si="45"/>
        <v>0</v>
      </c>
      <c r="BY28" s="251">
        <f t="shared" si="46"/>
        <v>0</v>
      </c>
      <c r="BZ28" s="251">
        <f t="shared" si="47"/>
        <v>0</v>
      </c>
      <c r="CA28" s="251">
        <f t="shared" si="48"/>
        <v>0</v>
      </c>
      <c r="CB28" s="251">
        <f t="shared" si="49"/>
        <v>0</v>
      </c>
      <c r="CC28" s="251">
        <f t="shared" si="50"/>
        <v>0</v>
      </c>
      <c r="CD28" s="251">
        <f t="shared" si="83"/>
        <v>0</v>
      </c>
      <c r="CE28" s="251">
        <f t="shared" si="84"/>
        <v>0</v>
      </c>
      <c r="CF28" s="251">
        <f t="shared" si="85"/>
        <v>0</v>
      </c>
      <c r="CG28" s="251">
        <f t="shared" si="86"/>
        <v>0</v>
      </c>
      <c r="CH28" s="251">
        <f t="shared" si="51"/>
        <v>0</v>
      </c>
      <c r="CI28" s="251">
        <f t="shared" si="52"/>
        <v>0</v>
      </c>
      <c r="CJ28" s="251">
        <f t="shared" si="87"/>
        <v>0</v>
      </c>
      <c r="CK28" s="251">
        <f t="shared" si="88"/>
        <v>0</v>
      </c>
      <c r="CL28" s="251">
        <f t="shared" si="53"/>
        <v>0</v>
      </c>
      <c r="CM28" s="251">
        <f t="shared" si="54"/>
        <v>0</v>
      </c>
      <c r="CN28" s="251">
        <f t="shared" si="55"/>
        <v>0</v>
      </c>
      <c r="CO28" s="251">
        <f t="shared" si="56"/>
        <v>0</v>
      </c>
      <c r="CP28" s="251">
        <f t="shared" si="89"/>
        <v>0</v>
      </c>
      <c r="CQ28" s="251">
        <f t="shared" si="90"/>
        <v>0</v>
      </c>
      <c r="CR28" s="251">
        <f t="shared" si="91"/>
        <v>0</v>
      </c>
      <c r="CS28" s="251">
        <f t="shared" si="92"/>
        <v>0</v>
      </c>
      <c r="CT28" s="251">
        <f t="shared" si="57"/>
        <v>0</v>
      </c>
      <c r="CU28" s="251">
        <f t="shared" si="58"/>
        <v>0</v>
      </c>
      <c r="CV28" s="251">
        <f t="shared" si="59"/>
        <v>0</v>
      </c>
      <c r="CW28" s="251">
        <f t="shared" si="60"/>
        <v>0</v>
      </c>
      <c r="CX28" s="251">
        <f t="shared" si="93"/>
        <v>0</v>
      </c>
      <c r="CY28" s="251">
        <f t="shared" si="94"/>
        <v>0</v>
      </c>
      <c r="CZ28" s="251">
        <f t="shared" si="95"/>
        <v>0</v>
      </c>
      <c r="DA28" s="251">
        <f t="shared" si="96"/>
        <v>0</v>
      </c>
    </row>
    <row r="29" spans="1:105" s="248" customFormat="1" ht="15.75" customHeight="1">
      <c r="A29" s="58" t="str">
        <f t="array" ref="A29">IF(C29&lt;&gt;0,SUM(($C$11:C29&lt;&gt;0)*1),"")</f>
        <v/>
      </c>
      <c r="B29" s="249"/>
      <c r="C29" s="249"/>
      <c r="D29" s="249"/>
      <c r="E29" s="326"/>
      <c r="F29" s="300"/>
      <c r="G29" s="302"/>
      <c r="H29" s="302"/>
      <c r="I29" s="58" t="str">
        <f t="shared" si="97"/>
        <v/>
      </c>
      <c r="J29" s="251">
        <f t="shared" si="61"/>
        <v>0</v>
      </c>
      <c r="K29" s="251">
        <f t="shared" si="62"/>
        <v>0</v>
      </c>
      <c r="L29" s="251">
        <f t="shared" si="1"/>
        <v>0</v>
      </c>
      <c r="M29" s="251">
        <f t="shared" si="2"/>
        <v>0</v>
      </c>
      <c r="N29" s="251">
        <f t="shared" si="3"/>
        <v>0</v>
      </c>
      <c r="O29" s="251">
        <f t="shared" si="4"/>
        <v>0</v>
      </c>
      <c r="P29" s="251">
        <f t="shared" si="5"/>
        <v>0</v>
      </c>
      <c r="Q29" s="251">
        <f t="shared" si="6"/>
        <v>0</v>
      </c>
      <c r="R29" s="251">
        <f t="shared" si="7"/>
        <v>0</v>
      </c>
      <c r="S29" s="251">
        <f t="shared" si="8"/>
        <v>0</v>
      </c>
      <c r="T29" s="251">
        <f t="shared" si="9"/>
        <v>0</v>
      </c>
      <c r="U29" s="251">
        <f t="shared" si="10"/>
        <v>0</v>
      </c>
      <c r="V29" s="251">
        <f t="shared" si="11"/>
        <v>0</v>
      </c>
      <c r="W29" s="251">
        <f t="shared" si="12"/>
        <v>0</v>
      </c>
      <c r="X29" s="251">
        <f t="shared" si="13"/>
        <v>0</v>
      </c>
      <c r="Y29" s="251">
        <f t="shared" si="14"/>
        <v>0</v>
      </c>
      <c r="Z29" s="251">
        <f t="shared" si="15"/>
        <v>0</v>
      </c>
      <c r="AA29" s="251">
        <f t="shared" si="16"/>
        <v>0</v>
      </c>
      <c r="AB29" s="251">
        <f t="shared" si="63"/>
        <v>0</v>
      </c>
      <c r="AC29" s="251">
        <f t="shared" si="64"/>
        <v>0</v>
      </c>
      <c r="AD29" s="251">
        <f t="shared" si="17"/>
        <v>0</v>
      </c>
      <c r="AE29" s="251">
        <f t="shared" si="18"/>
        <v>0</v>
      </c>
      <c r="AF29" s="251">
        <f t="shared" si="19"/>
        <v>0</v>
      </c>
      <c r="AG29" s="251">
        <f t="shared" si="20"/>
        <v>0</v>
      </c>
      <c r="AH29" s="251">
        <f t="shared" si="65"/>
        <v>0</v>
      </c>
      <c r="AI29" s="251">
        <f t="shared" si="66"/>
        <v>0</v>
      </c>
      <c r="AJ29" s="251">
        <f t="shared" si="67"/>
        <v>0</v>
      </c>
      <c r="AK29" s="251">
        <f t="shared" si="68"/>
        <v>0</v>
      </c>
      <c r="AL29" s="251">
        <f t="shared" si="69"/>
        <v>0</v>
      </c>
      <c r="AM29" s="251">
        <f t="shared" si="70"/>
        <v>0</v>
      </c>
      <c r="AN29" s="251">
        <f t="shared" si="71"/>
        <v>0</v>
      </c>
      <c r="AO29" s="251">
        <f t="shared" si="72"/>
        <v>0</v>
      </c>
      <c r="AP29" s="251">
        <f t="shared" si="21"/>
        <v>0</v>
      </c>
      <c r="AQ29" s="251">
        <f t="shared" si="22"/>
        <v>0</v>
      </c>
      <c r="AR29" s="251">
        <f t="shared" si="23"/>
        <v>0</v>
      </c>
      <c r="AS29" s="251">
        <f t="shared" si="24"/>
        <v>0</v>
      </c>
      <c r="AT29" s="251">
        <f t="shared" si="73"/>
        <v>0</v>
      </c>
      <c r="AU29" s="251">
        <f t="shared" si="74"/>
        <v>0</v>
      </c>
      <c r="AV29" s="251">
        <f t="shared" si="25"/>
        <v>0</v>
      </c>
      <c r="AW29" s="251">
        <f t="shared" si="26"/>
        <v>0</v>
      </c>
      <c r="AX29" s="251">
        <f t="shared" si="27"/>
        <v>0</v>
      </c>
      <c r="AY29" s="251">
        <f t="shared" si="28"/>
        <v>0</v>
      </c>
      <c r="AZ29" s="251">
        <f t="shared" si="29"/>
        <v>0</v>
      </c>
      <c r="BA29" s="251">
        <f t="shared" si="30"/>
        <v>0</v>
      </c>
      <c r="BB29" s="251">
        <f t="shared" si="31"/>
        <v>0</v>
      </c>
      <c r="BC29" s="251">
        <f t="shared" si="32"/>
        <v>0</v>
      </c>
      <c r="BD29" s="251">
        <f t="shared" si="33"/>
        <v>0</v>
      </c>
      <c r="BE29" s="251">
        <f t="shared" si="34"/>
        <v>0</v>
      </c>
      <c r="BF29" s="251">
        <f t="shared" si="35"/>
        <v>0</v>
      </c>
      <c r="BG29" s="251">
        <f t="shared" si="36"/>
        <v>0</v>
      </c>
      <c r="BH29" s="251">
        <f t="shared" si="75"/>
        <v>0</v>
      </c>
      <c r="BI29" s="251">
        <f t="shared" si="76"/>
        <v>0</v>
      </c>
      <c r="BJ29" s="251">
        <f t="shared" si="37"/>
        <v>0</v>
      </c>
      <c r="BK29" s="251">
        <f t="shared" si="38"/>
        <v>0</v>
      </c>
      <c r="BL29" s="251">
        <f t="shared" si="39"/>
        <v>0</v>
      </c>
      <c r="BM29" s="251">
        <f t="shared" si="40"/>
        <v>0</v>
      </c>
      <c r="BN29" s="251">
        <f t="shared" si="41"/>
        <v>0</v>
      </c>
      <c r="BO29" s="251">
        <f t="shared" si="42"/>
        <v>0</v>
      </c>
      <c r="BP29" s="251">
        <f t="shared" si="77"/>
        <v>0</v>
      </c>
      <c r="BQ29" s="251">
        <f t="shared" si="78"/>
        <v>0</v>
      </c>
      <c r="BR29" s="251">
        <f t="shared" si="43"/>
        <v>0</v>
      </c>
      <c r="BS29" s="251">
        <f t="shared" si="44"/>
        <v>0</v>
      </c>
      <c r="BT29" s="251">
        <f t="shared" si="79"/>
        <v>0</v>
      </c>
      <c r="BU29" s="251">
        <f t="shared" si="80"/>
        <v>0</v>
      </c>
      <c r="BV29" s="251">
        <f t="shared" si="81"/>
        <v>0</v>
      </c>
      <c r="BW29" s="251">
        <f t="shared" si="82"/>
        <v>0</v>
      </c>
      <c r="BX29" s="251">
        <f t="shared" si="45"/>
        <v>0</v>
      </c>
      <c r="BY29" s="251">
        <f t="shared" si="46"/>
        <v>0</v>
      </c>
      <c r="BZ29" s="251">
        <f t="shared" si="47"/>
        <v>0</v>
      </c>
      <c r="CA29" s="251">
        <f t="shared" si="48"/>
        <v>0</v>
      </c>
      <c r="CB29" s="251">
        <f t="shared" si="49"/>
        <v>0</v>
      </c>
      <c r="CC29" s="251">
        <f t="shared" si="50"/>
        <v>0</v>
      </c>
      <c r="CD29" s="251">
        <f t="shared" si="83"/>
        <v>0</v>
      </c>
      <c r="CE29" s="251">
        <f t="shared" si="84"/>
        <v>0</v>
      </c>
      <c r="CF29" s="251">
        <f t="shared" si="85"/>
        <v>0</v>
      </c>
      <c r="CG29" s="251">
        <f t="shared" si="86"/>
        <v>0</v>
      </c>
      <c r="CH29" s="251">
        <f t="shared" si="51"/>
        <v>0</v>
      </c>
      <c r="CI29" s="251">
        <f t="shared" si="52"/>
        <v>0</v>
      </c>
      <c r="CJ29" s="251">
        <f t="shared" si="87"/>
        <v>0</v>
      </c>
      <c r="CK29" s="251">
        <f t="shared" si="88"/>
        <v>0</v>
      </c>
      <c r="CL29" s="251">
        <f t="shared" si="53"/>
        <v>0</v>
      </c>
      <c r="CM29" s="251">
        <f t="shared" si="54"/>
        <v>0</v>
      </c>
      <c r="CN29" s="251">
        <f t="shared" si="55"/>
        <v>0</v>
      </c>
      <c r="CO29" s="251">
        <f t="shared" si="56"/>
        <v>0</v>
      </c>
      <c r="CP29" s="251">
        <f t="shared" si="89"/>
        <v>0</v>
      </c>
      <c r="CQ29" s="251">
        <f t="shared" si="90"/>
        <v>0</v>
      </c>
      <c r="CR29" s="251">
        <f t="shared" si="91"/>
        <v>0</v>
      </c>
      <c r="CS29" s="251">
        <f t="shared" si="92"/>
        <v>0</v>
      </c>
      <c r="CT29" s="251">
        <f t="shared" si="57"/>
        <v>0</v>
      </c>
      <c r="CU29" s="251">
        <f t="shared" si="58"/>
        <v>0</v>
      </c>
      <c r="CV29" s="251">
        <f t="shared" si="59"/>
        <v>0</v>
      </c>
      <c r="CW29" s="251">
        <f t="shared" si="60"/>
        <v>0</v>
      </c>
      <c r="CX29" s="251">
        <f t="shared" si="93"/>
        <v>0</v>
      </c>
      <c r="CY29" s="251">
        <f t="shared" si="94"/>
        <v>0</v>
      </c>
      <c r="CZ29" s="251">
        <f t="shared" si="95"/>
        <v>0</v>
      </c>
      <c r="DA29" s="251">
        <f t="shared" si="96"/>
        <v>0</v>
      </c>
    </row>
    <row r="30" spans="1:105" s="248" customFormat="1" ht="15.75" customHeight="1">
      <c r="A30" s="58" t="str">
        <f t="array" ref="A30">IF(C30&lt;&gt;0,SUM(($C$11:C30&lt;&gt;0)*1),"")</f>
        <v/>
      </c>
      <c r="B30" s="249"/>
      <c r="C30" s="249"/>
      <c r="D30" s="249"/>
      <c r="E30" s="326"/>
      <c r="F30" s="300"/>
      <c r="G30" s="302"/>
      <c r="H30" s="302"/>
      <c r="I30" s="58" t="str">
        <f t="shared" si="97"/>
        <v/>
      </c>
      <c r="J30" s="251">
        <f t="shared" si="61"/>
        <v>0</v>
      </c>
      <c r="K30" s="251">
        <f t="shared" si="62"/>
        <v>0</v>
      </c>
      <c r="L30" s="251">
        <f t="shared" si="1"/>
        <v>0</v>
      </c>
      <c r="M30" s="251">
        <f t="shared" si="2"/>
        <v>0</v>
      </c>
      <c r="N30" s="251">
        <f t="shared" si="3"/>
        <v>0</v>
      </c>
      <c r="O30" s="251">
        <f t="shared" si="4"/>
        <v>0</v>
      </c>
      <c r="P30" s="251">
        <f t="shared" si="5"/>
        <v>0</v>
      </c>
      <c r="Q30" s="251">
        <f t="shared" si="6"/>
        <v>0</v>
      </c>
      <c r="R30" s="251">
        <f t="shared" si="7"/>
        <v>0</v>
      </c>
      <c r="S30" s="251">
        <f t="shared" si="8"/>
        <v>0</v>
      </c>
      <c r="T30" s="251">
        <f t="shared" si="9"/>
        <v>0</v>
      </c>
      <c r="U30" s="251">
        <f t="shared" si="10"/>
        <v>0</v>
      </c>
      <c r="V30" s="251">
        <f t="shared" si="11"/>
        <v>0</v>
      </c>
      <c r="W30" s="251">
        <f t="shared" si="12"/>
        <v>0</v>
      </c>
      <c r="X30" s="251">
        <f t="shared" si="13"/>
        <v>0</v>
      </c>
      <c r="Y30" s="251">
        <f t="shared" si="14"/>
        <v>0</v>
      </c>
      <c r="Z30" s="251">
        <f t="shared" si="15"/>
        <v>0</v>
      </c>
      <c r="AA30" s="251">
        <f t="shared" si="16"/>
        <v>0</v>
      </c>
      <c r="AB30" s="251">
        <f t="shared" si="63"/>
        <v>0</v>
      </c>
      <c r="AC30" s="251">
        <f t="shared" si="64"/>
        <v>0</v>
      </c>
      <c r="AD30" s="251">
        <f t="shared" si="17"/>
        <v>0</v>
      </c>
      <c r="AE30" s="251">
        <f t="shared" si="18"/>
        <v>0</v>
      </c>
      <c r="AF30" s="251">
        <f t="shared" si="19"/>
        <v>0</v>
      </c>
      <c r="AG30" s="251">
        <f t="shared" si="20"/>
        <v>0</v>
      </c>
      <c r="AH30" s="251">
        <f t="shared" si="65"/>
        <v>0</v>
      </c>
      <c r="AI30" s="251">
        <f t="shared" si="66"/>
        <v>0</v>
      </c>
      <c r="AJ30" s="251">
        <f t="shared" si="67"/>
        <v>0</v>
      </c>
      <c r="AK30" s="251">
        <f t="shared" si="68"/>
        <v>0</v>
      </c>
      <c r="AL30" s="251">
        <f t="shared" si="69"/>
        <v>0</v>
      </c>
      <c r="AM30" s="251">
        <f t="shared" si="70"/>
        <v>0</v>
      </c>
      <c r="AN30" s="251">
        <f t="shared" si="71"/>
        <v>0</v>
      </c>
      <c r="AO30" s="251">
        <f t="shared" si="72"/>
        <v>0</v>
      </c>
      <c r="AP30" s="251">
        <f t="shared" si="21"/>
        <v>0</v>
      </c>
      <c r="AQ30" s="251">
        <f t="shared" si="22"/>
        <v>0</v>
      </c>
      <c r="AR30" s="251">
        <f t="shared" si="23"/>
        <v>0</v>
      </c>
      <c r="AS30" s="251">
        <f t="shared" si="24"/>
        <v>0</v>
      </c>
      <c r="AT30" s="251">
        <f t="shared" si="73"/>
        <v>0</v>
      </c>
      <c r="AU30" s="251">
        <f t="shared" si="74"/>
        <v>0</v>
      </c>
      <c r="AV30" s="251">
        <f t="shared" si="25"/>
        <v>0</v>
      </c>
      <c r="AW30" s="251">
        <f t="shared" si="26"/>
        <v>0</v>
      </c>
      <c r="AX30" s="251">
        <f t="shared" si="27"/>
        <v>0</v>
      </c>
      <c r="AY30" s="251">
        <f t="shared" si="28"/>
        <v>0</v>
      </c>
      <c r="AZ30" s="251">
        <f t="shared" si="29"/>
        <v>0</v>
      </c>
      <c r="BA30" s="251">
        <f t="shared" si="30"/>
        <v>0</v>
      </c>
      <c r="BB30" s="251">
        <f t="shared" si="31"/>
        <v>0</v>
      </c>
      <c r="BC30" s="251">
        <f t="shared" si="32"/>
        <v>0</v>
      </c>
      <c r="BD30" s="251">
        <f t="shared" si="33"/>
        <v>0</v>
      </c>
      <c r="BE30" s="251">
        <f t="shared" si="34"/>
        <v>0</v>
      </c>
      <c r="BF30" s="251">
        <f t="shared" si="35"/>
        <v>0</v>
      </c>
      <c r="BG30" s="251">
        <f t="shared" si="36"/>
        <v>0</v>
      </c>
      <c r="BH30" s="251">
        <f t="shared" si="75"/>
        <v>0</v>
      </c>
      <c r="BI30" s="251">
        <f t="shared" si="76"/>
        <v>0</v>
      </c>
      <c r="BJ30" s="251">
        <f t="shared" si="37"/>
        <v>0</v>
      </c>
      <c r="BK30" s="251">
        <f t="shared" si="38"/>
        <v>0</v>
      </c>
      <c r="BL30" s="251">
        <f t="shared" si="39"/>
        <v>0</v>
      </c>
      <c r="BM30" s="251">
        <f t="shared" si="40"/>
        <v>0</v>
      </c>
      <c r="BN30" s="251">
        <f t="shared" si="41"/>
        <v>0</v>
      </c>
      <c r="BO30" s="251">
        <f t="shared" si="42"/>
        <v>0</v>
      </c>
      <c r="BP30" s="251">
        <f t="shared" si="77"/>
        <v>0</v>
      </c>
      <c r="BQ30" s="251">
        <f t="shared" si="78"/>
        <v>0</v>
      </c>
      <c r="BR30" s="251">
        <f t="shared" si="43"/>
        <v>0</v>
      </c>
      <c r="BS30" s="251">
        <f t="shared" si="44"/>
        <v>0</v>
      </c>
      <c r="BT30" s="251">
        <f t="shared" si="79"/>
        <v>0</v>
      </c>
      <c r="BU30" s="251">
        <f t="shared" si="80"/>
        <v>0</v>
      </c>
      <c r="BV30" s="251">
        <f t="shared" si="81"/>
        <v>0</v>
      </c>
      <c r="BW30" s="251">
        <f t="shared" si="82"/>
        <v>0</v>
      </c>
      <c r="BX30" s="251">
        <f t="shared" si="45"/>
        <v>0</v>
      </c>
      <c r="BY30" s="251">
        <f t="shared" si="46"/>
        <v>0</v>
      </c>
      <c r="BZ30" s="251">
        <f t="shared" si="47"/>
        <v>0</v>
      </c>
      <c r="CA30" s="251">
        <f t="shared" si="48"/>
        <v>0</v>
      </c>
      <c r="CB30" s="251">
        <f t="shared" si="49"/>
        <v>0</v>
      </c>
      <c r="CC30" s="251">
        <f t="shared" si="50"/>
        <v>0</v>
      </c>
      <c r="CD30" s="251">
        <f t="shared" si="83"/>
        <v>0</v>
      </c>
      <c r="CE30" s="251">
        <f t="shared" si="84"/>
        <v>0</v>
      </c>
      <c r="CF30" s="251">
        <f t="shared" si="85"/>
        <v>0</v>
      </c>
      <c r="CG30" s="251">
        <f t="shared" si="86"/>
        <v>0</v>
      </c>
      <c r="CH30" s="251">
        <f t="shared" si="51"/>
        <v>0</v>
      </c>
      <c r="CI30" s="251">
        <f t="shared" si="52"/>
        <v>0</v>
      </c>
      <c r="CJ30" s="251">
        <f t="shared" si="87"/>
        <v>0</v>
      </c>
      <c r="CK30" s="251">
        <f t="shared" si="88"/>
        <v>0</v>
      </c>
      <c r="CL30" s="251">
        <f t="shared" si="53"/>
        <v>0</v>
      </c>
      <c r="CM30" s="251">
        <f t="shared" si="54"/>
        <v>0</v>
      </c>
      <c r="CN30" s="251">
        <f t="shared" si="55"/>
        <v>0</v>
      </c>
      <c r="CO30" s="251">
        <f t="shared" si="56"/>
        <v>0</v>
      </c>
      <c r="CP30" s="251">
        <f t="shared" si="89"/>
        <v>0</v>
      </c>
      <c r="CQ30" s="251">
        <f t="shared" si="90"/>
        <v>0</v>
      </c>
      <c r="CR30" s="251">
        <f t="shared" si="91"/>
        <v>0</v>
      </c>
      <c r="CS30" s="251">
        <f t="shared" si="92"/>
        <v>0</v>
      </c>
      <c r="CT30" s="251">
        <f t="shared" si="57"/>
        <v>0</v>
      </c>
      <c r="CU30" s="251">
        <f t="shared" si="58"/>
        <v>0</v>
      </c>
      <c r="CV30" s="251">
        <f t="shared" si="59"/>
        <v>0</v>
      </c>
      <c r="CW30" s="251">
        <f t="shared" si="60"/>
        <v>0</v>
      </c>
      <c r="CX30" s="251">
        <f t="shared" si="93"/>
        <v>0</v>
      </c>
      <c r="CY30" s="251">
        <f t="shared" si="94"/>
        <v>0</v>
      </c>
      <c r="CZ30" s="251">
        <f t="shared" si="95"/>
        <v>0</v>
      </c>
      <c r="DA30" s="251">
        <f t="shared" si="96"/>
        <v>0</v>
      </c>
    </row>
    <row r="31" spans="1:105" s="248" customFormat="1" ht="15.75" customHeight="1">
      <c r="A31" s="58" t="str">
        <f t="array" ref="A31">IF(C31&lt;&gt;0,SUM(($C$11:C31&lt;&gt;0)*1),"")</f>
        <v/>
      </c>
      <c r="B31" s="249"/>
      <c r="C31" s="249"/>
      <c r="D31" s="249"/>
      <c r="E31" s="326"/>
      <c r="F31" s="300"/>
      <c r="G31" s="302"/>
      <c r="H31" s="302"/>
      <c r="I31" s="58" t="str">
        <f t="shared" si="97"/>
        <v/>
      </c>
      <c r="J31" s="251">
        <f t="shared" si="61"/>
        <v>0</v>
      </c>
      <c r="K31" s="251">
        <f t="shared" si="62"/>
        <v>0</v>
      </c>
      <c r="L31" s="251">
        <f t="shared" si="1"/>
        <v>0</v>
      </c>
      <c r="M31" s="251">
        <f t="shared" si="2"/>
        <v>0</v>
      </c>
      <c r="N31" s="251">
        <f t="shared" si="3"/>
        <v>0</v>
      </c>
      <c r="O31" s="251">
        <f t="shared" si="4"/>
        <v>0</v>
      </c>
      <c r="P31" s="251">
        <f t="shared" si="5"/>
        <v>0</v>
      </c>
      <c r="Q31" s="251">
        <f t="shared" si="6"/>
        <v>0</v>
      </c>
      <c r="R31" s="251">
        <f t="shared" si="7"/>
        <v>0</v>
      </c>
      <c r="S31" s="251">
        <f t="shared" si="8"/>
        <v>0</v>
      </c>
      <c r="T31" s="251">
        <f t="shared" si="9"/>
        <v>0</v>
      </c>
      <c r="U31" s="251">
        <f t="shared" si="10"/>
        <v>0</v>
      </c>
      <c r="V31" s="251">
        <f t="shared" si="11"/>
        <v>0</v>
      </c>
      <c r="W31" s="251">
        <f t="shared" si="12"/>
        <v>0</v>
      </c>
      <c r="X31" s="251">
        <f t="shared" si="13"/>
        <v>0</v>
      </c>
      <c r="Y31" s="251">
        <f t="shared" si="14"/>
        <v>0</v>
      </c>
      <c r="Z31" s="251">
        <f t="shared" si="15"/>
        <v>0</v>
      </c>
      <c r="AA31" s="251">
        <f t="shared" si="16"/>
        <v>0</v>
      </c>
      <c r="AB31" s="251">
        <f t="shared" si="63"/>
        <v>0</v>
      </c>
      <c r="AC31" s="251">
        <f t="shared" si="64"/>
        <v>0</v>
      </c>
      <c r="AD31" s="251">
        <f t="shared" si="17"/>
        <v>0</v>
      </c>
      <c r="AE31" s="251">
        <f t="shared" si="18"/>
        <v>0</v>
      </c>
      <c r="AF31" s="251">
        <f t="shared" si="19"/>
        <v>0</v>
      </c>
      <c r="AG31" s="251">
        <f t="shared" si="20"/>
        <v>0</v>
      </c>
      <c r="AH31" s="251">
        <f t="shared" si="65"/>
        <v>0</v>
      </c>
      <c r="AI31" s="251">
        <f t="shared" si="66"/>
        <v>0</v>
      </c>
      <c r="AJ31" s="251">
        <f t="shared" si="67"/>
        <v>0</v>
      </c>
      <c r="AK31" s="251">
        <f t="shared" si="68"/>
        <v>0</v>
      </c>
      <c r="AL31" s="251">
        <f t="shared" si="69"/>
        <v>0</v>
      </c>
      <c r="AM31" s="251">
        <f t="shared" si="70"/>
        <v>0</v>
      </c>
      <c r="AN31" s="251">
        <f t="shared" si="71"/>
        <v>0</v>
      </c>
      <c r="AO31" s="251">
        <f t="shared" si="72"/>
        <v>0</v>
      </c>
      <c r="AP31" s="251">
        <f t="shared" si="21"/>
        <v>0</v>
      </c>
      <c r="AQ31" s="251">
        <f t="shared" si="22"/>
        <v>0</v>
      </c>
      <c r="AR31" s="251">
        <f t="shared" si="23"/>
        <v>0</v>
      </c>
      <c r="AS31" s="251">
        <f t="shared" si="24"/>
        <v>0</v>
      </c>
      <c r="AT31" s="251">
        <f t="shared" si="73"/>
        <v>0</v>
      </c>
      <c r="AU31" s="251">
        <f t="shared" si="74"/>
        <v>0</v>
      </c>
      <c r="AV31" s="251">
        <f t="shared" si="25"/>
        <v>0</v>
      </c>
      <c r="AW31" s="251">
        <f t="shared" si="26"/>
        <v>0</v>
      </c>
      <c r="AX31" s="251">
        <f t="shared" si="27"/>
        <v>0</v>
      </c>
      <c r="AY31" s="251">
        <f t="shared" si="28"/>
        <v>0</v>
      </c>
      <c r="AZ31" s="251">
        <f t="shared" si="29"/>
        <v>0</v>
      </c>
      <c r="BA31" s="251">
        <f t="shared" si="30"/>
        <v>0</v>
      </c>
      <c r="BB31" s="251">
        <f t="shared" si="31"/>
        <v>0</v>
      </c>
      <c r="BC31" s="251">
        <f t="shared" si="32"/>
        <v>0</v>
      </c>
      <c r="BD31" s="251">
        <f t="shared" si="33"/>
        <v>0</v>
      </c>
      <c r="BE31" s="251">
        <f t="shared" si="34"/>
        <v>0</v>
      </c>
      <c r="BF31" s="251">
        <f t="shared" si="35"/>
        <v>0</v>
      </c>
      <c r="BG31" s="251">
        <f t="shared" si="36"/>
        <v>0</v>
      </c>
      <c r="BH31" s="251">
        <f t="shared" si="75"/>
        <v>0</v>
      </c>
      <c r="BI31" s="251">
        <f t="shared" si="76"/>
        <v>0</v>
      </c>
      <c r="BJ31" s="251">
        <f t="shared" si="37"/>
        <v>0</v>
      </c>
      <c r="BK31" s="251">
        <f t="shared" si="38"/>
        <v>0</v>
      </c>
      <c r="BL31" s="251">
        <f t="shared" si="39"/>
        <v>0</v>
      </c>
      <c r="BM31" s="251">
        <f t="shared" si="40"/>
        <v>0</v>
      </c>
      <c r="BN31" s="251">
        <f t="shared" si="41"/>
        <v>0</v>
      </c>
      <c r="BO31" s="251">
        <f t="shared" si="42"/>
        <v>0</v>
      </c>
      <c r="BP31" s="251">
        <f t="shared" si="77"/>
        <v>0</v>
      </c>
      <c r="BQ31" s="251">
        <f t="shared" si="78"/>
        <v>0</v>
      </c>
      <c r="BR31" s="251">
        <f t="shared" si="43"/>
        <v>0</v>
      </c>
      <c r="BS31" s="251">
        <f t="shared" si="44"/>
        <v>0</v>
      </c>
      <c r="BT31" s="251">
        <f t="shared" si="79"/>
        <v>0</v>
      </c>
      <c r="BU31" s="251">
        <f t="shared" si="80"/>
        <v>0</v>
      </c>
      <c r="BV31" s="251">
        <f t="shared" si="81"/>
        <v>0</v>
      </c>
      <c r="BW31" s="251">
        <f t="shared" si="82"/>
        <v>0</v>
      </c>
      <c r="BX31" s="251">
        <f t="shared" si="45"/>
        <v>0</v>
      </c>
      <c r="BY31" s="251">
        <f t="shared" si="46"/>
        <v>0</v>
      </c>
      <c r="BZ31" s="251">
        <f t="shared" si="47"/>
        <v>0</v>
      </c>
      <c r="CA31" s="251">
        <f t="shared" si="48"/>
        <v>0</v>
      </c>
      <c r="CB31" s="251">
        <f t="shared" si="49"/>
        <v>0</v>
      </c>
      <c r="CC31" s="251">
        <f t="shared" si="50"/>
        <v>0</v>
      </c>
      <c r="CD31" s="251">
        <f t="shared" si="83"/>
        <v>0</v>
      </c>
      <c r="CE31" s="251">
        <f t="shared" si="84"/>
        <v>0</v>
      </c>
      <c r="CF31" s="251">
        <f t="shared" si="85"/>
        <v>0</v>
      </c>
      <c r="CG31" s="251">
        <f t="shared" si="86"/>
        <v>0</v>
      </c>
      <c r="CH31" s="251">
        <f t="shared" si="51"/>
        <v>0</v>
      </c>
      <c r="CI31" s="251">
        <f t="shared" si="52"/>
        <v>0</v>
      </c>
      <c r="CJ31" s="251">
        <f t="shared" si="87"/>
        <v>0</v>
      </c>
      <c r="CK31" s="251">
        <f t="shared" si="88"/>
        <v>0</v>
      </c>
      <c r="CL31" s="251">
        <f t="shared" si="53"/>
        <v>0</v>
      </c>
      <c r="CM31" s="251">
        <f t="shared" si="54"/>
        <v>0</v>
      </c>
      <c r="CN31" s="251">
        <f t="shared" si="55"/>
        <v>0</v>
      </c>
      <c r="CO31" s="251">
        <f t="shared" si="56"/>
        <v>0</v>
      </c>
      <c r="CP31" s="251">
        <f t="shared" si="89"/>
        <v>0</v>
      </c>
      <c r="CQ31" s="251">
        <f t="shared" si="90"/>
        <v>0</v>
      </c>
      <c r="CR31" s="251">
        <f t="shared" si="91"/>
        <v>0</v>
      </c>
      <c r="CS31" s="251">
        <f t="shared" si="92"/>
        <v>0</v>
      </c>
      <c r="CT31" s="251">
        <f t="shared" si="57"/>
        <v>0</v>
      </c>
      <c r="CU31" s="251">
        <f t="shared" si="58"/>
        <v>0</v>
      </c>
      <c r="CV31" s="251">
        <f t="shared" si="59"/>
        <v>0</v>
      </c>
      <c r="CW31" s="251">
        <f t="shared" si="60"/>
        <v>0</v>
      </c>
      <c r="CX31" s="251">
        <f t="shared" si="93"/>
        <v>0</v>
      </c>
      <c r="CY31" s="251">
        <f t="shared" si="94"/>
        <v>0</v>
      </c>
      <c r="CZ31" s="251">
        <f t="shared" si="95"/>
        <v>0</v>
      </c>
      <c r="DA31" s="251">
        <f t="shared" si="96"/>
        <v>0</v>
      </c>
    </row>
    <row r="32" spans="1:105" s="248" customFormat="1" ht="15.75" customHeight="1">
      <c r="A32" s="58" t="str">
        <f t="array" ref="A32">IF(C32&lt;&gt;0,SUM(($C$11:C32&lt;&gt;0)*1),"")</f>
        <v/>
      </c>
      <c r="B32" s="249"/>
      <c r="C32" s="249"/>
      <c r="D32" s="249"/>
      <c r="E32" s="326"/>
      <c r="F32" s="300"/>
      <c r="G32" s="302"/>
      <c r="H32" s="302"/>
      <c r="I32" s="58" t="str">
        <f t="shared" si="97"/>
        <v/>
      </c>
      <c r="J32" s="251">
        <f t="shared" si="61"/>
        <v>0</v>
      </c>
      <c r="K32" s="251">
        <f t="shared" si="62"/>
        <v>0</v>
      </c>
      <c r="L32" s="251">
        <f t="shared" si="1"/>
        <v>0</v>
      </c>
      <c r="M32" s="251">
        <f t="shared" si="2"/>
        <v>0</v>
      </c>
      <c r="N32" s="251">
        <f t="shared" si="3"/>
        <v>0</v>
      </c>
      <c r="O32" s="251">
        <f t="shared" si="4"/>
        <v>0</v>
      </c>
      <c r="P32" s="251">
        <f t="shared" si="5"/>
        <v>0</v>
      </c>
      <c r="Q32" s="251">
        <f t="shared" si="6"/>
        <v>0</v>
      </c>
      <c r="R32" s="251">
        <f t="shared" si="7"/>
        <v>0</v>
      </c>
      <c r="S32" s="251">
        <f t="shared" si="8"/>
        <v>0</v>
      </c>
      <c r="T32" s="251">
        <f t="shared" si="9"/>
        <v>0</v>
      </c>
      <c r="U32" s="251">
        <f t="shared" si="10"/>
        <v>0</v>
      </c>
      <c r="V32" s="251">
        <f t="shared" si="11"/>
        <v>0</v>
      </c>
      <c r="W32" s="251">
        <f t="shared" si="12"/>
        <v>0</v>
      </c>
      <c r="X32" s="251">
        <f t="shared" si="13"/>
        <v>0</v>
      </c>
      <c r="Y32" s="251">
        <f t="shared" si="14"/>
        <v>0</v>
      </c>
      <c r="Z32" s="251">
        <f t="shared" si="15"/>
        <v>0</v>
      </c>
      <c r="AA32" s="251">
        <f t="shared" si="16"/>
        <v>0</v>
      </c>
      <c r="AB32" s="251">
        <f t="shared" si="63"/>
        <v>0</v>
      </c>
      <c r="AC32" s="251">
        <f t="shared" si="64"/>
        <v>0</v>
      </c>
      <c r="AD32" s="251">
        <f t="shared" si="17"/>
        <v>0</v>
      </c>
      <c r="AE32" s="251">
        <f t="shared" si="18"/>
        <v>0</v>
      </c>
      <c r="AF32" s="251">
        <f t="shared" si="19"/>
        <v>0</v>
      </c>
      <c r="AG32" s="251">
        <f t="shared" si="20"/>
        <v>0</v>
      </c>
      <c r="AH32" s="251">
        <f t="shared" si="65"/>
        <v>0</v>
      </c>
      <c r="AI32" s="251">
        <f t="shared" si="66"/>
        <v>0</v>
      </c>
      <c r="AJ32" s="251">
        <f t="shared" si="67"/>
        <v>0</v>
      </c>
      <c r="AK32" s="251">
        <f t="shared" si="68"/>
        <v>0</v>
      </c>
      <c r="AL32" s="251">
        <f t="shared" si="69"/>
        <v>0</v>
      </c>
      <c r="AM32" s="251">
        <f t="shared" si="70"/>
        <v>0</v>
      </c>
      <c r="AN32" s="251">
        <f t="shared" si="71"/>
        <v>0</v>
      </c>
      <c r="AO32" s="251">
        <f t="shared" si="72"/>
        <v>0</v>
      </c>
      <c r="AP32" s="251">
        <f t="shared" si="21"/>
        <v>0</v>
      </c>
      <c r="AQ32" s="251">
        <f t="shared" si="22"/>
        <v>0</v>
      </c>
      <c r="AR32" s="251">
        <f t="shared" si="23"/>
        <v>0</v>
      </c>
      <c r="AS32" s="251">
        <f t="shared" si="24"/>
        <v>0</v>
      </c>
      <c r="AT32" s="251">
        <f t="shared" si="73"/>
        <v>0</v>
      </c>
      <c r="AU32" s="251">
        <f t="shared" si="74"/>
        <v>0</v>
      </c>
      <c r="AV32" s="251">
        <f t="shared" si="25"/>
        <v>0</v>
      </c>
      <c r="AW32" s="251">
        <f t="shared" si="26"/>
        <v>0</v>
      </c>
      <c r="AX32" s="251">
        <f t="shared" si="27"/>
        <v>0</v>
      </c>
      <c r="AY32" s="251">
        <f t="shared" si="28"/>
        <v>0</v>
      </c>
      <c r="AZ32" s="251">
        <f t="shared" si="29"/>
        <v>0</v>
      </c>
      <c r="BA32" s="251">
        <f t="shared" si="30"/>
        <v>0</v>
      </c>
      <c r="BB32" s="251">
        <f t="shared" si="31"/>
        <v>0</v>
      </c>
      <c r="BC32" s="251">
        <f t="shared" si="32"/>
        <v>0</v>
      </c>
      <c r="BD32" s="251">
        <f t="shared" si="33"/>
        <v>0</v>
      </c>
      <c r="BE32" s="251">
        <f t="shared" si="34"/>
        <v>0</v>
      </c>
      <c r="BF32" s="251">
        <f t="shared" si="35"/>
        <v>0</v>
      </c>
      <c r="BG32" s="251">
        <f t="shared" si="36"/>
        <v>0</v>
      </c>
      <c r="BH32" s="251">
        <f t="shared" si="75"/>
        <v>0</v>
      </c>
      <c r="BI32" s="251">
        <f t="shared" si="76"/>
        <v>0</v>
      </c>
      <c r="BJ32" s="251">
        <f t="shared" si="37"/>
        <v>0</v>
      </c>
      <c r="BK32" s="251">
        <f t="shared" si="38"/>
        <v>0</v>
      </c>
      <c r="BL32" s="251">
        <f t="shared" si="39"/>
        <v>0</v>
      </c>
      <c r="BM32" s="251">
        <f t="shared" si="40"/>
        <v>0</v>
      </c>
      <c r="BN32" s="251">
        <f t="shared" si="41"/>
        <v>0</v>
      </c>
      <c r="BO32" s="251">
        <f t="shared" si="42"/>
        <v>0</v>
      </c>
      <c r="BP32" s="251">
        <f t="shared" si="77"/>
        <v>0</v>
      </c>
      <c r="BQ32" s="251">
        <f t="shared" si="78"/>
        <v>0</v>
      </c>
      <c r="BR32" s="251">
        <f t="shared" si="43"/>
        <v>0</v>
      </c>
      <c r="BS32" s="251">
        <f t="shared" si="44"/>
        <v>0</v>
      </c>
      <c r="BT32" s="251">
        <f t="shared" si="79"/>
        <v>0</v>
      </c>
      <c r="BU32" s="251">
        <f t="shared" si="80"/>
        <v>0</v>
      </c>
      <c r="BV32" s="251">
        <f t="shared" si="81"/>
        <v>0</v>
      </c>
      <c r="BW32" s="251">
        <f t="shared" si="82"/>
        <v>0</v>
      </c>
      <c r="BX32" s="251">
        <f t="shared" si="45"/>
        <v>0</v>
      </c>
      <c r="BY32" s="251">
        <f t="shared" si="46"/>
        <v>0</v>
      </c>
      <c r="BZ32" s="251">
        <f t="shared" si="47"/>
        <v>0</v>
      </c>
      <c r="CA32" s="251">
        <f t="shared" si="48"/>
        <v>0</v>
      </c>
      <c r="CB32" s="251">
        <f t="shared" si="49"/>
        <v>0</v>
      </c>
      <c r="CC32" s="251">
        <f t="shared" si="50"/>
        <v>0</v>
      </c>
      <c r="CD32" s="251">
        <f t="shared" si="83"/>
        <v>0</v>
      </c>
      <c r="CE32" s="251">
        <f t="shared" si="84"/>
        <v>0</v>
      </c>
      <c r="CF32" s="251">
        <f t="shared" si="85"/>
        <v>0</v>
      </c>
      <c r="CG32" s="251">
        <f t="shared" si="86"/>
        <v>0</v>
      </c>
      <c r="CH32" s="251">
        <f t="shared" si="51"/>
        <v>0</v>
      </c>
      <c r="CI32" s="251">
        <f t="shared" si="52"/>
        <v>0</v>
      </c>
      <c r="CJ32" s="251">
        <f t="shared" si="87"/>
        <v>0</v>
      </c>
      <c r="CK32" s="251">
        <f t="shared" si="88"/>
        <v>0</v>
      </c>
      <c r="CL32" s="251">
        <f t="shared" si="53"/>
        <v>0</v>
      </c>
      <c r="CM32" s="251">
        <f t="shared" si="54"/>
        <v>0</v>
      </c>
      <c r="CN32" s="251">
        <f t="shared" si="55"/>
        <v>0</v>
      </c>
      <c r="CO32" s="251">
        <f t="shared" si="56"/>
        <v>0</v>
      </c>
      <c r="CP32" s="251">
        <f t="shared" si="89"/>
        <v>0</v>
      </c>
      <c r="CQ32" s="251">
        <f t="shared" si="90"/>
        <v>0</v>
      </c>
      <c r="CR32" s="251">
        <f t="shared" si="91"/>
        <v>0</v>
      </c>
      <c r="CS32" s="251">
        <f t="shared" si="92"/>
        <v>0</v>
      </c>
      <c r="CT32" s="251">
        <f t="shared" si="57"/>
        <v>0</v>
      </c>
      <c r="CU32" s="251">
        <f t="shared" si="58"/>
        <v>0</v>
      </c>
      <c r="CV32" s="251">
        <f t="shared" si="59"/>
        <v>0</v>
      </c>
      <c r="CW32" s="251">
        <f t="shared" si="60"/>
        <v>0</v>
      </c>
      <c r="CX32" s="251">
        <f t="shared" si="93"/>
        <v>0</v>
      </c>
      <c r="CY32" s="251">
        <f t="shared" si="94"/>
        <v>0</v>
      </c>
      <c r="CZ32" s="251">
        <f t="shared" si="95"/>
        <v>0</v>
      </c>
      <c r="DA32" s="251">
        <f t="shared" si="96"/>
        <v>0</v>
      </c>
    </row>
    <row r="33" spans="1:105" s="248" customFormat="1" ht="15.75" customHeight="1">
      <c r="A33" s="58" t="str">
        <f t="array" ref="A33">IF(C33&lt;&gt;0,SUM(($C$11:C33&lt;&gt;0)*1),"")</f>
        <v/>
      </c>
      <c r="B33" s="249"/>
      <c r="C33" s="249"/>
      <c r="D33" s="249"/>
      <c r="E33" s="326"/>
      <c r="F33" s="300"/>
      <c r="G33" s="302"/>
      <c r="H33" s="302"/>
      <c r="I33" s="58" t="str">
        <f t="shared" si="97"/>
        <v/>
      </c>
      <c r="J33" s="251">
        <f t="shared" si="61"/>
        <v>0</v>
      </c>
      <c r="K33" s="251">
        <f t="shared" si="62"/>
        <v>0</v>
      </c>
      <c r="L33" s="251">
        <f t="shared" si="1"/>
        <v>0</v>
      </c>
      <c r="M33" s="251">
        <f t="shared" si="2"/>
        <v>0</v>
      </c>
      <c r="N33" s="251">
        <f t="shared" si="3"/>
        <v>0</v>
      </c>
      <c r="O33" s="251">
        <f t="shared" si="4"/>
        <v>0</v>
      </c>
      <c r="P33" s="251">
        <f t="shared" si="5"/>
        <v>0</v>
      </c>
      <c r="Q33" s="251">
        <f t="shared" si="6"/>
        <v>0</v>
      </c>
      <c r="R33" s="251">
        <f t="shared" si="7"/>
        <v>0</v>
      </c>
      <c r="S33" s="251">
        <f t="shared" si="8"/>
        <v>0</v>
      </c>
      <c r="T33" s="251">
        <f t="shared" si="9"/>
        <v>0</v>
      </c>
      <c r="U33" s="251">
        <f t="shared" si="10"/>
        <v>0</v>
      </c>
      <c r="V33" s="251">
        <f t="shared" si="11"/>
        <v>0</v>
      </c>
      <c r="W33" s="251">
        <f t="shared" si="12"/>
        <v>0</v>
      </c>
      <c r="X33" s="251">
        <f t="shared" si="13"/>
        <v>0</v>
      </c>
      <c r="Y33" s="251">
        <f t="shared" si="14"/>
        <v>0</v>
      </c>
      <c r="Z33" s="251">
        <f t="shared" si="15"/>
        <v>0</v>
      </c>
      <c r="AA33" s="251">
        <f t="shared" si="16"/>
        <v>0</v>
      </c>
      <c r="AB33" s="251">
        <f t="shared" si="63"/>
        <v>0</v>
      </c>
      <c r="AC33" s="251">
        <f t="shared" si="64"/>
        <v>0</v>
      </c>
      <c r="AD33" s="251">
        <f t="shared" si="17"/>
        <v>0</v>
      </c>
      <c r="AE33" s="251">
        <f t="shared" si="18"/>
        <v>0</v>
      </c>
      <c r="AF33" s="251">
        <f t="shared" si="19"/>
        <v>0</v>
      </c>
      <c r="AG33" s="251">
        <f t="shared" si="20"/>
        <v>0</v>
      </c>
      <c r="AH33" s="251">
        <f t="shared" si="65"/>
        <v>0</v>
      </c>
      <c r="AI33" s="251">
        <f t="shared" si="66"/>
        <v>0</v>
      </c>
      <c r="AJ33" s="251">
        <f t="shared" si="67"/>
        <v>0</v>
      </c>
      <c r="AK33" s="251">
        <f t="shared" si="68"/>
        <v>0</v>
      </c>
      <c r="AL33" s="251">
        <f t="shared" si="69"/>
        <v>0</v>
      </c>
      <c r="AM33" s="251">
        <f t="shared" si="70"/>
        <v>0</v>
      </c>
      <c r="AN33" s="251">
        <f t="shared" si="71"/>
        <v>0</v>
      </c>
      <c r="AO33" s="251">
        <f t="shared" si="72"/>
        <v>0</v>
      </c>
      <c r="AP33" s="251">
        <f t="shared" si="21"/>
        <v>0</v>
      </c>
      <c r="AQ33" s="251">
        <f t="shared" si="22"/>
        <v>0</v>
      </c>
      <c r="AR33" s="251">
        <f t="shared" si="23"/>
        <v>0</v>
      </c>
      <c r="AS33" s="251">
        <f t="shared" si="24"/>
        <v>0</v>
      </c>
      <c r="AT33" s="251">
        <f t="shared" si="73"/>
        <v>0</v>
      </c>
      <c r="AU33" s="251">
        <f t="shared" si="74"/>
        <v>0</v>
      </c>
      <c r="AV33" s="251">
        <f t="shared" si="25"/>
        <v>0</v>
      </c>
      <c r="AW33" s="251">
        <f t="shared" si="26"/>
        <v>0</v>
      </c>
      <c r="AX33" s="251">
        <f t="shared" si="27"/>
        <v>0</v>
      </c>
      <c r="AY33" s="251">
        <f t="shared" si="28"/>
        <v>0</v>
      </c>
      <c r="AZ33" s="251">
        <f t="shared" si="29"/>
        <v>0</v>
      </c>
      <c r="BA33" s="251">
        <f t="shared" si="30"/>
        <v>0</v>
      </c>
      <c r="BB33" s="251">
        <f t="shared" si="31"/>
        <v>0</v>
      </c>
      <c r="BC33" s="251">
        <f t="shared" si="32"/>
        <v>0</v>
      </c>
      <c r="BD33" s="251">
        <f t="shared" si="33"/>
        <v>0</v>
      </c>
      <c r="BE33" s="251">
        <f t="shared" si="34"/>
        <v>0</v>
      </c>
      <c r="BF33" s="251">
        <f t="shared" si="35"/>
        <v>0</v>
      </c>
      <c r="BG33" s="251">
        <f t="shared" si="36"/>
        <v>0</v>
      </c>
      <c r="BH33" s="251">
        <f t="shared" si="75"/>
        <v>0</v>
      </c>
      <c r="BI33" s="251">
        <f t="shared" si="76"/>
        <v>0</v>
      </c>
      <c r="BJ33" s="251">
        <f t="shared" si="37"/>
        <v>0</v>
      </c>
      <c r="BK33" s="251">
        <f t="shared" si="38"/>
        <v>0</v>
      </c>
      <c r="BL33" s="251">
        <f t="shared" si="39"/>
        <v>0</v>
      </c>
      <c r="BM33" s="251">
        <f t="shared" si="40"/>
        <v>0</v>
      </c>
      <c r="BN33" s="251">
        <f t="shared" si="41"/>
        <v>0</v>
      </c>
      <c r="BO33" s="251">
        <f t="shared" si="42"/>
        <v>0</v>
      </c>
      <c r="BP33" s="251">
        <f t="shared" si="77"/>
        <v>0</v>
      </c>
      <c r="BQ33" s="251">
        <f t="shared" si="78"/>
        <v>0</v>
      </c>
      <c r="BR33" s="251">
        <f t="shared" si="43"/>
        <v>0</v>
      </c>
      <c r="BS33" s="251">
        <f t="shared" si="44"/>
        <v>0</v>
      </c>
      <c r="BT33" s="251">
        <f t="shared" si="79"/>
        <v>0</v>
      </c>
      <c r="BU33" s="251">
        <f t="shared" si="80"/>
        <v>0</v>
      </c>
      <c r="BV33" s="251">
        <f t="shared" si="81"/>
        <v>0</v>
      </c>
      <c r="BW33" s="251">
        <f t="shared" si="82"/>
        <v>0</v>
      </c>
      <c r="BX33" s="251">
        <f t="shared" si="45"/>
        <v>0</v>
      </c>
      <c r="BY33" s="251">
        <f t="shared" si="46"/>
        <v>0</v>
      </c>
      <c r="BZ33" s="251">
        <f t="shared" si="47"/>
        <v>0</v>
      </c>
      <c r="CA33" s="251">
        <f t="shared" si="48"/>
        <v>0</v>
      </c>
      <c r="CB33" s="251">
        <f t="shared" si="49"/>
        <v>0</v>
      </c>
      <c r="CC33" s="251">
        <f t="shared" si="50"/>
        <v>0</v>
      </c>
      <c r="CD33" s="251">
        <f t="shared" si="83"/>
        <v>0</v>
      </c>
      <c r="CE33" s="251">
        <f t="shared" si="84"/>
        <v>0</v>
      </c>
      <c r="CF33" s="251">
        <f t="shared" si="85"/>
        <v>0</v>
      </c>
      <c r="CG33" s="251">
        <f t="shared" si="86"/>
        <v>0</v>
      </c>
      <c r="CH33" s="251">
        <f t="shared" si="51"/>
        <v>0</v>
      </c>
      <c r="CI33" s="251">
        <f t="shared" si="52"/>
        <v>0</v>
      </c>
      <c r="CJ33" s="251">
        <f t="shared" si="87"/>
        <v>0</v>
      </c>
      <c r="CK33" s="251">
        <f t="shared" si="88"/>
        <v>0</v>
      </c>
      <c r="CL33" s="251">
        <f t="shared" si="53"/>
        <v>0</v>
      </c>
      <c r="CM33" s="251">
        <f t="shared" si="54"/>
        <v>0</v>
      </c>
      <c r="CN33" s="251">
        <f t="shared" si="55"/>
        <v>0</v>
      </c>
      <c r="CO33" s="251">
        <f t="shared" si="56"/>
        <v>0</v>
      </c>
      <c r="CP33" s="251">
        <f t="shared" si="89"/>
        <v>0</v>
      </c>
      <c r="CQ33" s="251">
        <f t="shared" si="90"/>
        <v>0</v>
      </c>
      <c r="CR33" s="251">
        <f t="shared" si="91"/>
        <v>0</v>
      </c>
      <c r="CS33" s="251">
        <f t="shared" si="92"/>
        <v>0</v>
      </c>
      <c r="CT33" s="251">
        <f t="shared" si="57"/>
        <v>0</v>
      </c>
      <c r="CU33" s="251">
        <f t="shared" si="58"/>
        <v>0</v>
      </c>
      <c r="CV33" s="251">
        <f t="shared" si="59"/>
        <v>0</v>
      </c>
      <c r="CW33" s="251">
        <f t="shared" si="60"/>
        <v>0</v>
      </c>
      <c r="CX33" s="251">
        <f t="shared" si="93"/>
        <v>0</v>
      </c>
      <c r="CY33" s="251">
        <f t="shared" si="94"/>
        <v>0</v>
      </c>
      <c r="CZ33" s="251">
        <f t="shared" si="95"/>
        <v>0</v>
      </c>
      <c r="DA33" s="251">
        <f t="shared" si="96"/>
        <v>0</v>
      </c>
    </row>
    <row r="34" spans="1:105" s="248" customFormat="1" ht="15.75" customHeight="1">
      <c r="A34" s="58" t="str">
        <f t="array" ref="A34">IF(C34&lt;&gt;0,SUM(($C$11:C34&lt;&gt;0)*1),"")</f>
        <v/>
      </c>
      <c r="B34" s="249"/>
      <c r="C34" s="249"/>
      <c r="D34" s="249"/>
      <c r="E34" s="326"/>
      <c r="F34" s="300"/>
      <c r="G34" s="302"/>
      <c r="H34" s="302"/>
      <c r="I34" s="58" t="str">
        <f t="shared" si="97"/>
        <v/>
      </c>
      <c r="J34" s="251">
        <f t="shared" si="61"/>
        <v>0</v>
      </c>
      <c r="K34" s="251">
        <f t="shared" si="62"/>
        <v>0</v>
      </c>
      <c r="L34" s="251">
        <f t="shared" si="1"/>
        <v>0</v>
      </c>
      <c r="M34" s="251">
        <f t="shared" si="2"/>
        <v>0</v>
      </c>
      <c r="N34" s="251">
        <f t="shared" si="3"/>
        <v>0</v>
      </c>
      <c r="O34" s="251">
        <f t="shared" si="4"/>
        <v>0</v>
      </c>
      <c r="P34" s="251">
        <f t="shared" si="5"/>
        <v>0</v>
      </c>
      <c r="Q34" s="251">
        <f t="shared" si="6"/>
        <v>0</v>
      </c>
      <c r="R34" s="251">
        <f t="shared" si="7"/>
        <v>0</v>
      </c>
      <c r="S34" s="251">
        <f t="shared" si="8"/>
        <v>0</v>
      </c>
      <c r="T34" s="251">
        <f t="shared" si="9"/>
        <v>0</v>
      </c>
      <c r="U34" s="251">
        <f t="shared" si="10"/>
        <v>0</v>
      </c>
      <c r="V34" s="251">
        <f t="shared" si="11"/>
        <v>0</v>
      </c>
      <c r="W34" s="251">
        <f t="shared" si="12"/>
        <v>0</v>
      </c>
      <c r="X34" s="251">
        <f t="shared" si="13"/>
        <v>0</v>
      </c>
      <c r="Y34" s="251">
        <f t="shared" si="14"/>
        <v>0</v>
      </c>
      <c r="Z34" s="251">
        <f t="shared" si="15"/>
        <v>0</v>
      </c>
      <c r="AA34" s="251">
        <f t="shared" si="16"/>
        <v>0</v>
      </c>
      <c r="AB34" s="251">
        <f t="shared" si="63"/>
        <v>0</v>
      </c>
      <c r="AC34" s="251">
        <f t="shared" si="64"/>
        <v>0</v>
      </c>
      <c r="AD34" s="251">
        <f t="shared" si="17"/>
        <v>0</v>
      </c>
      <c r="AE34" s="251">
        <f t="shared" si="18"/>
        <v>0</v>
      </c>
      <c r="AF34" s="251">
        <f t="shared" si="19"/>
        <v>0</v>
      </c>
      <c r="AG34" s="251">
        <f t="shared" si="20"/>
        <v>0</v>
      </c>
      <c r="AH34" s="251">
        <f t="shared" si="65"/>
        <v>0</v>
      </c>
      <c r="AI34" s="251">
        <f t="shared" si="66"/>
        <v>0</v>
      </c>
      <c r="AJ34" s="251">
        <f t="shared" si="67"/>
        <v>0</v>
      </c>
      <c r="AK34" s="251">
        <f t="shared" si="68"/>
        <v>0</v>
      </c>
      <c r="AL34" s="251">
        <f t="shared" si="69"/>
        <v>0</v>
      </c>
      <c r="AM34" s="251">
        <f t="shared" si="70"/>
        <v>0</v>
      </c>
      <c r="AN34" s="251">
        <f t="shared" si="71"/>
        <v>0</v>
      </c>
      <c r="AO34" s="251">
        <f t="shared" si="72"/>
        <v>0</v>
      </c>
      <c r="AP34" s="251">
        <f t="shared" si="21"/>
        <v>0</v>
      </c>
      <c r="AQ34" s="251">
        <f t="shared" si="22"/>
        <v>0</v>
      </c>
      <c r="AR34" s="251">
        <f t="shared" si="23"/>
        <v>0</v>
      </c>
      <c r="AS34" s="251">
        <f t="shared" si="24"/>
        <v>0</v>
      </c>
      <c r="AT34" s="251">
        <f t="shared" si="73"/>
        <v>0</v>
      </c>
      <c r="AU34" s="251">
        <f t="shared" si="74"/>
        <v>0</v>
      </c>
      <c r="AV34" s="251">
        <f t="shared" si="25"/>
        <v>0</v>
      </c>
      <c r="AW34" s="251">
        <f t="shared" si="26"/>
        <v>0</v>
      </c>
      <c r="AX34" s="251">
        <f t="shared" si="27"/>
        <v>0</v>
      </c>
      <c r="AY34" s="251">
        <f t="shared" si="28"/>
        <v>0</v>
      </c>
      <c r="AZ34" s="251">
        <f t="shared" si="29"/>
        <v>0</v>
      </c>
      <c r="BA34" s="251">
        <f t="shared" si="30"/>
        <v>0</v>
      </c>
      <c r="BB34" s="251">
        <f t="shared" si="31"/>
        <v>0</v>
      </c>
      <c r="BC34" s="251">
        <f t="shared" si="32"/>
        <v>0</v>
      </c>
      <c r="BD34" s="251">
        <f t="shared" si="33"/>
        <v>0</v>
      </c>
      <c r="BE34" s="251">
        <f t="shared" si="34"/>
        <v>0</v>
      </c>
      <c r="BF34" s="251">
        <f t="shared" si="35"/>
        <v>0</v>
      </c>
      <c r="BG34" s="251">
        <f t="shared" si="36"/>
        <v>0</v>
      </c>
      <c r="BH34" s="251">
        <f t="shared" si="75"/>
        <v>0</v>
      </c>
      <c r="BI34" s="251">
        <f t="shared" si="76"/>
        <v>0</v>
      </c>
      <c r="BJ34" s="251">
        <f t="shared" si="37"/>
        <v>0</v>
      </c>
      <c r="BK34" s="251">
        <f t="shared" si="38"/>
        <v>0</v>
      </c>
      <c r="BL34" s="251">
        <f t="shared" si="39"/>
        <v>0</v>
      </c>
      <c r="BM34" s="251">
        <f t="shared" si="40"/>
        <v>0</v>
      </c>
      <c r="BN34" s="251">
        <f t="shared" si="41"/>
        <v>0</v>
      </c>
      <c r="BO34" s="251">
        <f t="shared" si="42"/>
        <v>0</v>
      </c>
      <c r="BP34" s="251">
        <f t="shared" si="77"/>
        <v>0</v>
      </c>
      <c r="BQ34" s="251">
        <f t="shared" si="78"/>
        <v>0</v>
      </c>
      <c r="BR34" s="251">
        <f t="shared" si="43"/>
        <v>0</v>
      </c>
      <c r="BS34" s="251">
        <f t="shared" si="44"/>
        <v>0</v>
      </c>
      <c r="BT34" s="251">
        <f t="shared" si="79"/>
        <v>0</v>
      </c>
      <c r="BU34" s="251">
        <f t="shared" si="80"/>
        <v>0</v>
      </c>
      <c r="BV34" s="251">
        <f t="shared" si="81"/>
        <v>0</v>
      </c>
      <c r="BW34" s="251">
        <f t="shared" si="82"/>
        <v>0</v>
      </c>
      <c r="BX34" s="251">
        <f t="shared" si="45"/>
        <v>0</v>
      </c>
      <c r="BY34" s="251">
        <f t="shared" si="46"/>
        <v>0</v>
      </c>
      <c r="BZ34" s="251">
        <f t="shared" si="47"/>
        <v>0</v>
      </c>
      <c r="CA34" s="251">
        <f t="shared" si="48"/>
        <v>0</v>
      </c>
      <c r="CB34" s="251">
        <f t="shared" si="49"/>
        <v>0</v>
      </c>
      <c r="CC34" s="251">
        <f t="shared" si="50"/>
        <v>0</v>
      </c>
      <c r="CD34" s="251">
        <f t="shared" si="83"/>
        <v>0</v>
      </c>
      <c r="CE34" s="251">
        <f t="shared" si="84"/>
        <v>0</v>
      </c>
      <c r="CF34" s="251">
        <f t="shared" si="85"/>
        <v>0</v>
      </c>
      <c r="CG34" s="251">
        <f t="shared" si="86"/>
        <v>0</v>
      </c>
      <c r="CH34" s="251">
        <f t="shared" si="51"/>
        <v>0</v>
      </c>
      <c r="CI34" s="251">
        <f t="shared" si="52"/>
        <v>0</v>
      </c>
      <c r="CJ34" s="251">
        <f t="shared" si="87"/>
        <v>0</v>
      </c>
      <c r="CK34" s="251">
        <f t="shared" si="88"/>
        <v>0</v>
      </c>
      <c r="CL34" s="251">
        <f t="shared" si="53"/>
        <v>0</v>
      </c>
      <c r="CM34" s="251">
        <f t="shared" si="54"/>
        <v>0</v>
      </c>
      <c r="CN34" s="251">
        <f t="shared" si="55"/>
        <v>0</v>
      </c>
      <c r="CO34" s="251">
        <f t="shared" si="56"/>
        <v>0</v>
      </c>
      <c r="CP34" s="251">
        <f t="shared" si="89"/>
        <v>0</v>
      </c>
      <c r="CQ34" s="251">
        <f t="shared" si="90"/>
        <v>0</v>
      </c>
      <c r="CR34" s="251">
        <f t="shared" si="91"/>
        <v>0</v>
      </c>
      <c r="CS34" s="251">
        <f t="shared" si="92"/>
        <v>0</v>
      </c>
      <c r="CT34" s="251">
        <f t="shared" si="57"/>
        <v>0</v>
      </c>
      <c r="CU34" s="251">
        <f t="shared" si="58"/>
        <v>0</v>
      </c>
      <c r="CV34" s="251">
        <f t="shared" si="59"/>
        <v>0</v>
      </c>
      <c r="CW34" s="251">
        <f t="shared" si="60"/>
        <v>0</v>
      </c>
      <c r="CX34" s="251">
        <f t="shared" si="93"/>
        <v>0</v>
      </c>
      <c r="CY34" s="251">
        <f t="shared" si="94"/>
        <v>0</v>
      </c>
      <c r="CZ34" s="251">
        <f t="shared" si="95"/>
        <v>0</v>
      </c>
      <c r="DA34" s="251">
        <f t="shared" si="96"/>
        <v>0</v>
      </c>
    </row>
    <row r="35" spans="1:105" s="248" customFormat="1" ht="15.75" customHeight="1">
      <c r="A35" s="58" t="str">
        <f t="array" ref="A35">IF(C35&lt;&gt;0,SUM(($C$11:C35&lt;&gt;0)*1),"")</f>
        <v/>
      </c>
      <c r="B35" s="249"/>
      <c r="C35" s="249"/>
      <c r="D35" s="249"/>
      <c r="E35" s="326"/>
      <c r="F35" s="300"/>
      <c r="G35" s="302"/>
      <c r="H35" s="302"/>
      <c r="I35" s="58" t="str">
        <f t="shared" si="97"/>
        <v/>
      </c>
      <c r="J35" s="251">
        <f t="shared" si="61"/>
        <v>0</v>
      </c>
      <c r="K35" s="251">
        <f t="shared" si="62"/>
        <v>0</v>
      </c>
      <c r="L35" s="251">
        <f t="shared" si="1"/>
        <v>0</v>
      </c>
      <c r="M35" s="251">
        <f t="shared" si="2"/>
        <v>0</v>
      </c>
      <c r="N35" s="251">
        <f t="shared" si="3"/>
        <v>0</v>
      </c>
      <c r="O35" s="251">
        <f t="shared" si="4"/>
        <v>0</v>
      </c>
      <c r="P35" s="251">
        <f t="shared" si="5"/>
        <v>0</v>
      </c>
      <c r="Q35" s="251">
        <f t="shared" si="6"/>
        <v>0</v>
      </c>
      <c r="R35" s="251">
        <f t="shared" si="7"/>
        <v>0</v>
      </c>
      <c r="S35" s="251">
        <f t="shared" si="8"/>
        <v>0</v>
      </c>
      <c r="T35" s="251">
        <f t="shared" si="9"/>
        <v>0</v>
      </c>
      <c r="U35" s="251">
        <f t="shared" si="10"/>
        <v>0</v>
      </c>
      <c r="V35" s="251">
        <f t="shared" si="11"/>
        <v>0</v>
      </c>
      <c r="W35" s="251">
        <f t="shared" si="12"/>
        <v>0</v>
      </c>
      <c r="X35" s="251">
        <f t="shared" si="13"/>
        <v>0</v>
      </c>
      <c r="Y35" s="251">
        <f t="shared" si="14"/>
        <v>0</v>
      </c>
      <c r="Z35" s="251">
        <f t="shared" si="15"/>
        <v>0</v>
      </c>
      <c r="AA35" s="251">
        <f t="shared" si="16"/>
        <v>0</v>
      </c>
      <c r="AB35" s="251">
        <f t="shared" si="63"/>
        <v>0</v>
      </c>
      <c r="AC35" s="251">
        <f t="shared" si="64"/>
        <v>0</v>
      </c>
      <c r="AD35" s="251">
        <f t="shared" si="17"/>
        <v>0</v>
      </c>
      <c r="AE35" s="251">
        <f t="shared" si="18"/>
        <v>0</v>
      </c>
      <c r="AF35" s="251">
        <f t="shared" si="19"/>
        <v>0</v>
      </c>
      <c r="AG35" s="251">
        <f t="shared" si="20"/>
        <v>0</v>
      </c>
      <c r="AH35" s="251">
        <f t="shared" si="65"/>
        <v>0</v>
      </c>
      <c r="AI35" s="251">
        <f t="shared" si="66"/>
        <v>0</v>
      </c>
      <c r="AJ35" s="251">
        <f t="shared" si="67"/>
        <v>0</v>
      </c>
      <c r="AK35" s="251">
        <f t="shared" si="68"/>
        <v>0</v>
      </c>
      <c r="AL35" s="251">
        <f t="shared" si="69"/>
        <v>0</v>
      </c>
      <c r="AM35" s="251">
        <f t="shared" si="70"/>
        <v>0</v>
      </c>
      <c r="AN35" s="251">
        <f t="shared" si="71"/>
        <v>0</v>
      </c>
      <c r="AO35" s="251">
        <f t="shared" si="72"/>
        <v>0</v>
      </c>
      <c r="AP35" s="251">
        <f t="shared" si="21"/>
        <v>0</v>
      </c>
      <c r="AQ35" s="251">
        <f t="shared" si="22"/>
        <v>0</v>
      </c>
      <c r="AR35" s="251">
        <f t="shared" si="23"/>
        <v>0</v>
      </c>
      <c r="AS35" s="251">
        <f t="shared" si="24"/>
        <v>0</v>
      </c>
      <c r="AT35" s="251">
        <f t="shared" si="73"/>
        <v>0</v>
      </c>
      <c r="AU35" s="251">
        <f t="shared" si="74"/>
        <v>0</v>
      </c>
      <c r="AV35" s="251">
        <f t="shared" si="25"/>
        <v>0</v>
      </c>
      <c r="AW35" s="251">
        <f t="shared" si="26"/>
        <v>0</v>
      </c>
      <c r="AX35" s="251">
        <f t="shared" si="27"/>
        <v>0</v>
      </c>
      <c r="AY35" s="251">
        <f t="shared" si="28"/>
        <v>0</v>
      </c>
      <c r="AZ35" s="251">
        <f t="shared" si="29"/>
        <v>0</v>
      </c>
      <c r="BA35" s="251">
        <f t="shared" si="30"/>
        <v>0</v>
      </c>
      <c r="BB35" s="251">
        <f t="shared" si="31"/>
        <v>0</v>
      </c>
      <c r="BC35" s="251">
        <f t="shared" si="32"/>
        <v>0</v>
      </c>
      <c r="BD35" s="251">
        <f t="shared" si="33"/>
        <v>0</v>
      </c>
      <c r="BE35" s="251">
        <f t="shared" si="34"/>
        <v>0</v>
      </c>
      <c r="BF35" s="251">
        <f t="shared" si="35"/>
        <v>0</v>
      </c>
      <c r="BG35" s="251">
        <f t="shared" si="36"/>
        <v>0</v>
      </c>
      <c r="BH35" s="251">
        <f t="shared" si="75"/>
        <v>0</v>
      </c>
      <c r="BI35" s="251">
        <f t="shared" si="76"/>
        <v>0</v>
      </c>
      <c r="BJ35" s="251">
        <f t="shared" si="37"/>
        <v>0</v>
      </c>
      <c r="BK35" s="251">
        <f t="shared" si="38"/>
        <v>0</v>
      </c>
      <c r="BL35" s="251">
        <f t="shared" si="39"/>
        <v>0</v>
      </c>
      <c r="BM35" s="251">
        <f t="shared" si="40"/>
        <v>0</v>
      </c>
      <c r="BN35" s="251">
        <f t="shared" si="41"/>
        <v>0</v>
      </c>
      <c r="BO35" s="251">
        <f t="shared" si="42"/>
        <v>0</v>
      </c>
      <c r="BP35" s="251">
        <f t="shared" si="77"/>
        <v>0</v>
      </c>
      <c r="BQ35" s="251">
        <f t="shared" si="78"/>
        <v>0</v>
      </c>
      <c r="BR35" s="251">
        <f t="shared" si="43"/>
        <v>0</v>
      </c>
      <c r="BS35" s="251">
        <f t="shared" si="44"/>
        <v>0</v>
      </c>
      <c r="BT35" s="251">
        <f t="shared" si="79"/>
        <v>0</v>
      </c>
      <c r="BU35" s="251">
        <f t="shared" si="80"/>
        <v>0</v>
      </c>
      <c r="BV35" s="251">
        <f t="shared" si="81"/>
        <v>0</v>
      </c>
      <c r="BW35" s="251">
        <f t="shared" si="82"/>
        <v>0</v>
      </c>
      <c r="BX35" s="251">
        <f t="shared" si="45"/>
        <v>0</v>
      </c>
      <c r="BY35" s="251">
        <f t="shared" si="46"/>
        <v>0</v>
      </c>
      <c r="BZ35" s="251">
        <f t="shared" si="47"/>
        <v>0</v>
      </c>
      <c r="CA35" s="251">
        <f t="shared" si="48"/>
        <v>0</v>
      </c>
      <c r="CB35" s="251">
        <f t="shared" si="49"/>
        <v>0</v>
      </c>
      <c r="CC35" s="251">
        <f t="shared" si="50"/>
        <v>0</v>
      </c>
      <c r="CD35" s="251">
        <f t="shared" si="83"/>
        <v>0</v>
      </c>
      <c r="CE35" s="251">
        <f t="shared" si="84"/>
        <v>0</v>
      </c>
      <c r="CF35" s="251">
        <f t="shared" si="85"/>
        <v>0</v>
      </c>
      <c r="CG35" s="251">
        <f t="shared" si="86"/>
        <v>0</v>
      </c>
      <c r="CH35" s="251">
        <f t="shared" si="51"/>
        <v>0</v>
      </c>
      <c r="CI35" s="251">
        <f t="shared" si="52"/>
        <v>0</v>
      </c>
      <c r="CJ35" s="251">
        <f t="shared" si="87"/>
        <v>0</v>
      </c>
      <c r="CK35" s="251">
        <f t="shared" si="88"/>
        <v>0</v>
      </c>
      <c r="CL35" s="251">
        <f t="shared" si="53"/>
        <v>0</v>
      </c>
      <c r="CM35" s="251">
        <f t="shared" si="54"/>
        <v>0</v>
      </c>
      <c r="CN35" s="251">
        <f t="shared" si="55"/>
        <v>0</v>
      </c>
      <c r="CO35" s="251">
        <f t="shared" si="56"/>
        <v>0</v>
      </c>
      <c r="CP35" s="251">
        <f t="shared" si="89"/>
        <v>0</v>
      </c>
      <c r="CQ35" s="251">
        <f t="shared" si="90"/>
        <v>0</v>
      </c>
      <c r="CR35" s="251">
        <f t="shared" si="91"/>
        <v>0</v>
      </c>
      <c r="CS35" s="251">
        <f t="shared" si="92"/>
        <v>0</v>
      </c>
      <c r="CT35" s="251">
        <f t="shared" si="57"/>
        <v>0</v>
      </c>
      <c r="CU35" s="251">
        <f t="shared" si="58"/>
        <v>0</v>
      </c>
      <c r="CV35" s="251">
        <f t="shared" si="59"/>
        <v>0</v>
      </c>
      <c r="CW35" s="251">
        <f t="shared" si="60"/>
        <v>0</v>
      </c>
      <c r="CX35" s="251">
        <f t="shared" si="93"/>
        <v>0</v>
      </c>
      <c r="CY35" s="251">
        <f t="shared" si="94"/>
        <v>0</v>
      </c>
      <c r="CZ35" s="251">
        <f t="shared" si="95"/>
        <v>0</v>
      </c>
      <c r="DA35" s="251">
        <f t="shared" si="96"/>
        <v>0</v>
      </c>
    </row>
    <row r="36" spans="1:105" s="248" customFormat="1" ht="15.75" customHeight="1">
      <c r="A36" s="58" t="str">
        <f t="array" ref="A36">IF(C36&lt;&gt;0,SUM(($C$11:C36&lt;&gt;0)*1),"")</f>
        <v/>
      </c>
      <c r="B36" s="249"/>
      <c r="C36" s="249"/>
      <c r="D36" s="249"/>
      <c r="E36" s="326"/>
      <c r="F36" s="300"/>
      <c r="G36" s="302"/>
      <c r="H36" s="302"/>
      <c r="I36" s="58" t="str">
        <f t="shared" si="97"/>
        <v/>
      </c>
      <c r="J36" s="251">
        <f t="shared" si="61"/>
        <v>0</v>
      </c>
      <c r="K36" s="251">
        <f t="shared" si="62"/>
        <v>0</v>
      </c>
      <c r="L36" s="251">
        <f t="shared" si="1"/>
        <v>0</v>
      </c>
      <c r="M36" s="251">
        <f t="shared" si="2"/>
        <v>0</v>
      </c>
      <c r="N36" s="251">
        <f t="shared" si="3"/>
        <v>0</v>
      </c>
      <c r="O36" s="251">
        <f t="shared" si="4"/>
        <v>0</v>
      </c>
      <c r="P36" s="251">
        <f t="shared" si="5"/>
        <v>0</v>
      </c>
      <c r="Q36" s="251">
        <f t="shared" si="6"/>
        <v>0</v>
      </c>
      <c r="R36" s="251">
        <f t="shared" si="7"/>
        <v>0</v>
      </c>
      <c r="S36" s="251">
        <f t="shared" si="8"/>
        <v>0</v>
      </c>
      <c r="T36" s="251">
        <f t="shared" si="9"/>
        <v>0</v>
      </c>
      <c r="U36" s="251">
        <f t="shared" si="10"/>
        <v>0</v>
      </c>
      <c r="V36" s="251">
        <f t="shared" si="11"/>
        <v>0</v>
      </c>
      <c r="W36" s="251">
        <f t="shared" si="12"/>
        <v>0</v>
      </c>
      <c r="X36" s="251">
        <f t="shared" si="13"/>
        <v>0</v>
      </c>
      <c r="Y36" s="251">
        <f t="shared" si="14"/>
        <v>0</v>
      </c>
      <c r="Z36" s="251">
        <f t="shared" si="15"/>
        <v>0</v>
      </c>
      <c r="AA36" s="251">
        <f t="shared" si="16"/>
        <v>0</v>
      </c>
      <c r="AB36" s="251">
        <f t="shared" si="63"/>
        <v>0</v>
      </c>
      <c r="AC36" s="251">
        <f t="shared" si="64"/>
        <v>0</v>
      </c>
      <c r="AD36" s="251">
        <f t="shared" si="17"/>
        <v>0</v>
      </c>
      <c r="AE36" s="251">
        <f t="shared" si="18"/>
        <v>0</v>
      </c>
      <c r="AF36" s="251">
        <f t="shared" si="19"/>
        <v>0</v>
      </c>
      <c r="AG36" s="251">
        <f t="shared" si="20"/>
        <v>0</v>
      </c>
      <c r="AH36" s="251">
        <f t="shared" si="65"/>
        <v>0</v>
      </c>
      <c r="AI36" s="251">
        <f t="shared" si="66"/>
        <v>0</v>
      </c>
      <c r="AJ36" s="251">
        <f t="shared" si="67"/>
        <v>0</v>
      </c>
      <c r="AK36" s="251">
        <f t="shared" si="68"/>
        <v>0</v>
      </c>
      <c r="AL36" s="251">
        <f t="shared" si="69"/>
        <v>0</v>
      </c>
      <c r="AM36" s="251">
        <f t="shared" si="70"/>
        <v>0</v>
      </c>
      <c r="AN36" s="251">
        <f t="shared" si="71"/>
        <v>0</v>
      </c>
      <c r="AO36" s="251">
        <f t="shared" si="72"/>
        <v>0</v>
      </c>
      <c r="AP36" s="251">
        <f t="shared" si="21"/>
        <v>0</v>
      </c>
      <c r="AQ36" s="251">
        <f t="shared" si="22"/>
        <v>0</v>
      </c>
      <c r="AR36" s="251">
        <f t="shared" si="23"/>
        <v>0</v>
      </c>
      <c r="AS36" s="251">
        <f t="shared" si="24"/>
        <v>0</v>
      </c>
      <c r="AT36" s="251">
        <f t="shared" si="73"/>
        <v>0</v>
      </c>
      <c r="AU36" s="251">
        <f t="shared" si="74"/>
        <v>0</v>
      </c>
      <c r="AV36" s="251">
        <f t="shared" si="25"/>
        <v>0</v>
      </c>
      <c r="AW36" s="251">
        <f t="shared" si="26"/>
        <v>0</v>
      </c>
      <c r="AX36" s="251">
        <f t="shared" si="27"/>
        <v>0</v>
      </c>
      <c r="AY36" s="251">
        <f t="shared" si="28"/>
        <v>0</v>
      </c>
      <c r="AZ36" s="251">
        <f t="shared" si="29"/>
        <v>0</v>
      </c>
      <c r="BA36" s="251">
        <f t="shared" si="30"/>
        <v>0</v>
      </c>
      <c r="BB36" s="251">
        <f t="shared" si="31"/>
        <v>0</v>
      </c>
      <c r="BC36" s="251">
        <f t="shared" si="32"/>
        <v>0</v>
      </c>
      <c r="BD36" s="251">
        <f t="shared" si="33"/>
        <v>0</v>
      </c>
      <c r="BE36" s="251">
        <f t="shared" si="34"/>
        <v>0</v>
      </c>
      <c r="BF36" s="251">
        <f t="shared" si="35"/>
        <v>0</v>
      </c>
      <c r="BG36" s="251">
        <f t="shared" si="36"/>
        <v>0</v>
      </c>
      <c r="BH36" s="251">
        <f t="shared" si="75"/>
        <v>0</v>
      </c>
      <c r="BI36" s="251">
        <f t="shared" si="76"/>
        <v>0</v>
      </c>
      <c r="BJ36" s="251">
        <f t="shared" si="37"/>
        <v>0</v>
      </c>
      <c r="BK36" s="251">
        <f t="shared" si="38"/>
        <v>0</v>
      </c>
      <c r="BL36" s="251">
        <f t="shared" si="39"/>
        <v>0</v>
      </c>
      <c r="BM36" s="251">
        <f t="shared" si="40"/>
        <v>0</v>
      </c>
      <c r="BN36" s="251">
        <f t="shared" si="41"/>
        <v>0</v>
      </c>
      <c r="BO36" s="251">
        <f t="shared" si="42"/>
        <v>0</v>
      </c>
      <c r="BP36" s="251">
        <f t="shared" si="77"/>
        <v>0</v>
      </c>
      <c r="BQ36" s="251">
        <f t="shared" si="78"/>
        <v>0</v>
      </c>
      <c r="BR36" s="251">
        <f t="shared" si="43"/>
        <v>0</v>
      </c>
      <c r="BS36" s="251">
        <f t="shared" si="44"/>
        <v>0</v>
      </c>
      <c r="BT36" s="251">
        <f t="shared" si="79"/>
        <v>0</v>
      </c>
      <c r="BU36" s="251">
        <f t="shared" si="80"/>
        <v>0</v>
      </c>
      <c r="BV36" s="251">
        <f t="shared" si="81"/>
        <v>0</v>
      </c>
      <c r="BW36" s="251">
        <f t="shared" si="82"/>
        <v>0</v>
      </c>
      <c r="BX36" s="251">
        <f t="shared" si="45"/>
        <v>0</v>
      </c>
      <c r="BY36" s="251">
        <f t="shared" si="46"/>
        <v>0</v>
      </c>
      <c r="BZ36" s="251">
        <f t="shared" si="47"/>
        <v>0</v>
      </c>
      <c r="CA36" s="251">
        <f t="shared" si="48"/>
        <v>0</v>
      </c>
      <c r="CB36" s="251">
        <f t="shared" si="49"/>
        <v>0</v>
      </c>
      <c r="CC36" s="251">
        <f t="shared" si="50"/>
        <v>0</v>
      </c>
      <c r="CD36" s="251">
        <f t="shared" si="83"/>
        <v>0</v>
      </c>
      <c r="CE36" s="251">
        <f t="shared" si="84"/>
        <v>0</v>
      </c>
      <c r="CF36" s="251">
        <f t="shared" si="85"/>
        <v>0</v>
      </c>
      <c r="CG36" s="251">
        <f t="shared" si="86"/>
        <v>0</v>
      </c>
      <c r="CH36" s="251">
        <f t="shared" si="51"/>
        <v>0</v>
      </c>
      <c r="CI36" s="251">
        <f t="shared" si="52"/>
        <v>0</v>
      </c>
      <c r="CJ36" s="251">
        <f t="shared" si="87"/>
        <v>0</v>
      </c>
      <c r="CK36" s="251">
        <f t="shared" si="88"/>
        <v>0</v>
      </c>
      <c r="CL36" s="251">
        <f t="shared" si="53"/>
        <v>0</v>
      </c>
      <c r="CM36" s="251">
        <f t="shared" si="54"/>
        <v>0</v>
      </c>
      <c r="CN36" s="251">
        <f t="shared" si="55"/>
        <v>0</v>
      </c>
      <c r="CO36" s="251">
        <f t="shared" si="56"/>
        <v>0</v>
      </c>
      <c r="CP36" s="251">
        <f t="shared" si="89"/>
        <v>0</v>
      </c>
      <c r="CQ36" s="251">
        <f t="shared" si="90"/>
        <v>0</v>
      </c>
      <c r="CR36" s="251">
        <f t="shared" si="91"/>
        <v>0</v>
      </c>
      <c r="CS36" s="251">
        <f t="shared" si="92"/>
        <v>0</v>
      </c>
      <c r="CT36" s="251">
        <f t="shared" si="57"/>
        <v>0</v>
      </c>
      <c r="CU36" s="251">
        <f t="shared" si="58"/>
        <v>0</v>
      </c>
      <c r="CV36" s="251">
        <f t="shared" si="59"/>
        <v>0</v>
      </c>
      <c r="CW36" s="251">
        <f t="shared" si="60"/>
        <v>0</v>
      </c>
      <c r="CX36" s="251">
        <f t="shared" si="93"/>
        <v>0</v>
      </c>
      <c r="CY36" s="251">
        <f t="shared" si="94"/>
        <v>0</v>
      </c>
      <c r="CZ36" s="251">
        <f t="shared" si="95"/>
        <v>0</v>
      </c>
      <c r="DA36" s="251">
        <f t="shared" si="96"/>
        <v>0</v>
      </c>
    </row>
    <row r="37" spans="1:105" s="248" customFormat="1" ht="15.75" customHeight="1">
      <c r="A37" s="58" t="str">
        <f t="array" ref="A37">IF(C37&lt;&gt;0,SUM(($C$11:C37&lt;&gt;0)*1),"")</f>
        <v/>
      </c>
      <c r="B37" s="249"/>
      <c r="C37" s="249"/>
      <c r="D37" s="249"/>
      <c r="E37" s="326"/>
      <c r="F37" s="300"/>
      <c r="G37" s="302"/>
      <c r="H37" s="302"/>
      <c r="I37" s="58" t="str">
        <f t="shared" si="97"/>
        <v/>
      </c>
      <c r="J37" s="251">
        <f t="shared" si="61"/>
        <v>0</v>
      </c>
      <c r="K37" s="251">
        <f t="shared" si="62"/>
        <v>0</v>
      </c>
      <c r="L37" s="251">
        <f t="shared" si="1"/>
        <v>0</v>
      </c>
      <c r="M37" s="251">
        <f t="shared" si="2"/>
        <v>0</v>
      </c>
      <c r="N37" s="251">
        <f t="shared" si="3"/>
        <v>0</v>
      </c>
      <c r="O37" s="251">
        <f t="shared" si="4"/>
        <v>0</v>
      </c>
      <c r="P37" s="251">
        <f t="shared" si="5"/>
        <v>0</v>
      </c>
      <c r="Q37" s="251">
        <f t="shared" si="6"/>
        <v>0</v>
      </c>
      <c r="R37" s="251">
        <f t="shared" si="7"/>
        <v>0</v>
      </c>
      <c r="S37" s="251">
        <f t="shared" si="8"/>
        <v>0</v>
      </c>
      <c r="T37" s="251">
        <f t="shared" si="9"/>
        <v>0</v>
      </c>
      <c r="U37" s="251">
        <f t="shared" si="10"/>
        <v>0</v>
      </c>
      <c r="V37" s="251">
        <f t="shared" si="11"/>
        <v>0</v>
      </c>
      <c r="W37" s="251">
        <f t="shared" si="12"/>
        <v>0</v>
      </c>
      <c r="X37" s="251">
        <f t="shared" si="13"/>
        <v>0</v>
      </c>
      <c r="Y37" s="251">
        <f t="shared" si="14"/>
        <v>0</v>
      </c>
      <c r="Z37" s="251">
        <f t="shared" si="15"/>
        <v>0</v>
      </c>
      <c r="AA37" s="251">
        <f t="shared" si="16"/>
        <v>0</v>
      </c>
      <c r="AB37" s="251">
        <f t="shared" si="63"/>
        <v>0</v>
      </c>
      <c r="AC37" s="251">
        <f t="shared" si="64"/>
        <v>0</v>
      </c>
      <c r="AD37" s="251">
        <f t="shared" si="17"/>
        <v>0</v>
      </c>
      <c r="AE37" s="251">
        <f t="shared" si="18"/>
        <v>0</v>
      </c>
      <c r="AF37" s="251">
        <f t="shared" si="19"/>
        <v>0</v>
      </c>
      <c r="AG37" s="251">
        <f t="shared" si="20"/>
        <v>0</v>
      </c>
      <c r="AH37" s="251">
        <f t="shared" si="65"/>
        <v>0</v>
      </c>
      <c r="AI37" s="251">
        <f t="shared" si="66"/>
        <v>0</v>
      </c>
      <c r="AJ37" s="251">
        <f t="shared" si="67"/>
        <v>0</v>
      </c>
      <c r="AK37" s="251">
        <f t="shared" si="68"/>
        <v>0</v>
      </c>
      <c r="AL37" s="251">
        <f t="shared" si="69"/>
        <v>0</v>
      </c>
      <c r="AM37" s="251">
        <f t="shared" si="70"/>
        <v>0</v>
      </c>
      <c r="AN37" s="251">
        <f t="shared" si="71"/>
        <v>0</v>
      </c>
      <c r="AO37" s="251">
        <f t="shared" si="72"/>
        <v>0</v>
      </c>
      <c r="AP37" s="251">
        <f t="shared" si="21"/>
        <v>0</v>
      </c>
      <c r="AQ37" s="251">
        <f t="shared" si="22"/>
        <v>0</v>
      </c>
      <c r="AR37" s="251">
        <f t="shared" si="23"/>
        <v>0</v>
      </c>
      <c r="AS37" s="251">
        <f t="shared" si="24"/>
        <v>0</v>
      </c>
      <c r="AT37" s="251">
        <f t="shared" si="73"/>
        <v>0</v>
      </c>
      <c r="AU37" s="251">
        <f t="shared" si="74"/>
        <v>0</v>
      </c>
      <c r="AV37" s="251">
        <f t="shared" si="25"/>
        <v>0</v>
      </c>
      <c r="AW37" s="251">
        <f t="shared" si="26"/>
        <v>0</v>
      </c>
      <c r="AX37" s="251">
        <f t="shared" si="27"/>
        <v>0</v>
      </c>
      <c r="AY37" s="251">
        <f t="shared" si="28"/>
        <v>0</v>
      </c>
      <c r="AZ37" s="251">
        <f t="shared" si="29"/>
        <v>0</v>
      </c>
      <c r="BA37" s="251">
        <f t="shared" si="30"/>
        <v>0</v>
      </c>
      <c r="BB37" s="251">
        <f t="shared" si="31"/>
        <v>0</v>
      </c>
      <c r="BC37" s="251">
        <f t="shared" si="32"/>
        <v>0</v>
      </c>
      <c r="BD37" s="251">
        <f t="shared" si="33"/>
        <v>0</v>
      </c>
      <c r="BE37" s="251">
        <f t="shared" si="34"/>
        <v>0</v>
      </c>
      <c r="BF37" s="251">
        <f t="shared" si="35"/>
        <v>0</v>
      </c>
      <c r="BG37" s="251">
        <f t="shared" si="36"/>
        <v>0</v>
      </c>
      <c r="BH37" s="251">
        <f t="shared" si="75"/>
        <v>0</v>
      </c>
      <c r="BI37" s="251">
        <f t="shared" si="76"/>
        <v>0</v>
      </c>
      <c r="BJ37" s="251">
        <f t="shared" si="37"/>
        <v>0</v>
      </c>
      <c r="BK37" s="251">
        <f t="shared" si="38"/>
        <v>0</v>
      </c>
      <c r="BL37" s="251">
        <f t="shared" si="39"/>
        <v>0</v>
      </c>
      <c r="BM37" s="251">
        <f t="shared" si="40"/>
        <v>0</v>
      </c>
      <c r="BN37" s="251">
        <f t="shared" si="41"/>
        <v>0</v>
      </c>
      <c r="BO37" s="251">
        <f t="shared" si="42"/>
        <v>0</v>
      </c>
      <c r="BP37" s="251">
        <f t="shared" si="77"/>
        <v>0</v>
      </c>
      <c r="BQ37" s="251">
        <f t="shared" si="78"/>
        <v>0</v>
      </c>
      <c r="BR37" s="251">
        <f t="shared" si="43"/>
        <v>0</v>
      </c>
      <c r="BS37" s="251">
        <f t="shared" si="44"/>
        <v>0</v>
      </c>
      <c r="BT37" s="251">
        <f t="shared" si="79"/>
        <v>0</v>
      </c>
      <c r="BU37" s="251">
        <f t="shared" si="80"/>
        <v>0</v>
      </c>
      <c r="BV37" s="251">
        <f t="shared" si="81"/>
        <v>0</v>
      </c>
      <c r="BW37" s="251">
        <f t="shared" si="82"/>
        <v>0</v>
      </c>
      <c r="BX37" s="251">
        <f t="shared" si="45"/>
        <v>0</v>
      </c>
      <c r="BY37" s="251">
        <f t="shared" si="46"/>
        <v>0</v>
      </c>
      <c r="BZ37" s="251">
        <f t="shared" si="47"/>
        <v>0</v>
      </c>
      <c r="CA37" s="251">
        <f t="shared" si="48"/>
        <v>0</v>
      </c>
      <c r="CB37" s="251">
        <f t="shared" si="49"/>
        <v>0</v>
      </c>
      <c r="CC37" s="251">
        <f t="shared" si="50"/>
        <v>0</v>
      </c>
      <c r="CD37" s="251">
        <f t="shared" si="83"/>
        <v>0</v>
      </c>
      <c r="CE37" s="251">
        <f t="shared" si="84"/>
        <v>0</v>
      </c>
      <c r="CF37" s="251">
        <f t="shared" si="85"/>
        <v>0</v>
      </c>
      <c r="CG37" s="251">
        <f t="shared" si="86"/>
        <v>0</v>
      </c>
      <c r="CH37" s="251">
        <f t="shared" si="51"/>
        <v>0</v>
      </c>
      <c r="CI37" s="251">
        <f t="shared" si="52"/>
        <v>0</v>
      </c>
      <c r="CJ37" s="251">
        <f t="shared" si="87"/>
        <v>0</v>
      </c>
      <c r="CK37" s="251">
        <f t="shared" si="88"/>
        <v>0</v>
      </c>
      <c r="CL37" s="251">
        <f t="shared" si="53"/>
        <v>0</v>
      </c>
      <c r="CM37" s="251">
        <f t="shared" si="54"/>
        <v>0</v>
      </c>
      <c r="CN37" s="251">
        <f t="shared" si="55"/>
        <v>0</v>
      </c>
      <c r="CO37" s="251">
        <f t="shared" si="56"/>
        <v>0</v>
      </c>
      <c r="CP37" s="251">
        <f t="shared" si="89"/>
        <v>0</v>
      </c>
      <c r="CQ37" s="251">
        <f t="shared" si="90"/>
        <v>0</v>
      </c>
      <c r="CR37" s="251">
        <f t="shared" si="91"/>
        <v>0</v>
      </c>
      <c r="CS37" s="251">
        <f t="shared" si="92"/>
        <v>0</v>
      </c>
      <c r="CT37" s="251">
        <f t="shared" si="57"/>
        <v>0</v>
      </c>
      <c r="CU37" s="251">
        <f t="shared" si="58"/>
        <v>0</v>
      </c>
      <c r="CV37" s="251">
        <f t="shared" si="59"/>
        <v>0</v>
      </c>
      <c r="CW37" s="251">
        <f t="shared" si="60"/>
        <v>0</v>
      </c>
      <c r="CX37" s="251">
        <f t="shared" si="93"/>
        <v>0</v>
      </c>
      <c r="CY37" s="251">
        <f t="shared" si="94"/>
        <v>0</v>
      </c>
      <c r="CZ37" s="251">
        <f t="shared" si="95"/>
        <v>0</v>
      </c>
      <c r="DA37" s="251">
        <f t="shared" si="96"/>
        <v>0</v>
      </c>
    </row>
    <row r="38" spans="1:105" s="248" customFormat="1" ht="15.75" customHeight="1">
      <c r="A38" s="58" t="str">
        <f t="array" ref="A38">IF(C38&lt;&gt;0,SUM(($C$11:C38&lt;&gt;0)*1),"")</f>
        <v/>
      </c>
      <c r="B38" s="249"/>
      <c r="C38" s="249"/>
      <c r="D38" s="249"/>
      <c r="E38" s="326"/>
      <c r="F38" s="300"/>
      <c r="G38" s="302"/>
      <c r="H38" s="302"/>
      <c r="I38" s="58" t="str">
        <f t="shared" si="97"/>
        <v/>
      </c>
      <c r="J38" s="251">
        <f t="shared" si="61"/>
        <v>0</v>
      </c>
      <c r="K38" s="251">
        <f t="shared" si="62"/>
        <v>0</v>
      </c>
      <c r="L38" s="251">
        <f t="shared" si="1"/>
        <v>0</v>
      </c>
      <c r="M38" s="251">
        <f t="shared" si="2"/>
        <v>0</v>
      </c>
      <c r="N38" s="251">
        <f t="shared" si="3"/>
        <v>0</v>
      </c>
      <c r="O38" s="251">
        <f t="shared" si="4"/>
        <v>0</v>
      </c>
      <c r="P38" s="251">
        <f t="shared" si="5"/>
        <v>0</v>
      </c>
      <c r="Q38" s="251">
        <f t="shared" si="6"/>
        <v>0</v>
      </c>
      <c r="R38" s="251">
        <f t="shared" si="7"/>
        <v>0</v>
      </c>
      <c r="S38" s="251">
        <f t="shared" si="8"/>
        <v>0</v>
      </c>
      <c r="T38" s="251">
        <f t="shared" si="9"/>
        <v>0</v>
      </c>
      <c r="U38" s="251">
        <f t="shared" si="10"/>
        <v>0</v>
      </c>
      <c r="V38" s="251">
        <f t="shared" si="11"/>
        <v>0</v>
      </c>
      <c r="W38" s="251">
        <f t="shared" si="12"/>
        <v>0</v>
      </c>
      <c r="X38" s="251">
        <f t="shared" si="13"/>
        <v>0</v>
      </c>
      <c r="Y38" s="251">
        <f t="shared" si="14"/>
        <v>0</v>
      </c>
      <c r="Z38" s="251">
        <f t="shared" si="15"/>
        <v>0</v>
      </c>
      <c r="AA38" s="251">
        <f t="shared" si="16"/>
        <v>0</v>
      </c>
      <c r="AB38" s="251">
        <f t="shared" si="63"/>
        <v>0</v>
      </c>
      <c r="AC38" s="251">
        <f t="shared" si="64"/>
        <v>0</v>
      </c>
      <c r="AD38" s="251">
        <f t="shared" si="17"/>
        <v>0</v>
      </c>
      <c r="AE38" s="251">
        <f t="shared" si="18"/>
        <v>0</v>
      </c>
      <c r="AF38" s="251">
        <f t="shared" si="19"/>
        <v>0</v>
      </c>
      <c r="AG38" s="251">
        <f t="shared" si="20"/>
        <v>0</v>
      </c>
      <c r="AH38" s="251">
        <f t="shared" si="65"/>
        <v>0</v>
      </c>
      <c r="AI38" s="251">
        <f t="shared" si="66"/>
        <v>0</v>
      </c>
      <c r="AJ38" s="251">
        <f t="shared" si="67"/>
        <v>0</v>
      </c>
      <c r="AK38" s="251">
        <f t="shared" si="68"/>
        <v>0</v>
      </c>
      <c r="AL38" s="251">
        <f t="shared" si="69"/>
        <v>0</v>
      </c>
      <c r="AM38" s="251">
        <f t="shared" si="70"/>
        <v>0</v>
      </c>
      <c r="AN38" s="251">
        <f t="shared" si="71"/>
        <v>0</v>
      </c>
      <c r="AO38" s="251">
        <f t="shared" si="72"/>
        <v>0</v>
      </c>
      <c r="AP38" s="251">
        <f t="shared" si="21"/>
        <v>0</v>
      </c>
      <c r="AQ38" s="251">
        <f t="shared" si="22"/>
        <v>0</v>
      </c>
      <c r="AR38" s="251">
        <f t="shared" si="23"/>
        <v>0</v>
      </c>
      <c r="AS38" s="251">
        <f t="shared" si="24"/>
        <v>0</v>
      </c>
      <c r="AT38" s="251">
        <f t="shared" si="73"/>
        <v>0</v>
      </c>
      <c r="AU38" s="251">
        <f t="shared" si="74"/>
        <v>0</v>
      </c>
      <c r="AV38" s="251">
        <f t="shared" si="25"/>
        <v>0</v>
      </c>
      <c r="AW38" s="251">
        <f t="shared" si="26"/>
        <v>0</v>
      </c>
      <c r="AX38" s="251">
        <f t="shared" si="27"/>
        <v>0</v>
      </c>
      <c r="AY38" s="251">
        <f t="shared" si="28"/>
        <v>0</v>
      </c>
      <c r="AZ38" s="251">
        <f t="shared" si="29"/>
        <v>0</v>
      </c>
      <c r="BA38" s="251">
        <f t="shared" si="30"/>
        <v>0</v>
      </c>
      <c r="BB38" s="251">
        <f t="shared" si="31"/>
        <v>0</v>
      </c>
      <c r="BC38" s="251">
        <f t="shared" si="32"/>
        <v>0</v>
      </c>
      <c r="BD38" s="251">
        <f t="shared" si="33"/>
        <v>0</v>
      </c>
      <c r="BE38" s="251">
        <f t="shared" si="34"/>
        <v>0</v>
      </c>
      <c r="BF38" s="251">
        <f t="shared" si="35"/>
        <v>0</v>
      </c>
      <c r="BG38" s="251">
        <f t="shared" si="36"/>
        <v>0</v>
      </c>
      <c r="BH38" s="251">
        <f t="shared" si="75"/>
        <v>0</v>
      </c>
      <c r="BI38" s="251">
        <f t="shared" si="76"/>
        <v>0</v>
      </c>
      <c r="BJ38" s="251">
        <f t="shared" si="37"/>
        <v>0</v>
      </c>
      <c r="BK38" s="251">
        <f t="shared" si="38"/>
        <v>0</v>
      </c>
      <c r="BL38" s="251">
        <f t="shared" si="39"/>
        <v>0</v>
      </c>
      <c r="BM38" s="251">
        <f t="shared" si="40"/>
        <v>0</v>
      </c>
      <c r="BN38" s="251">
        <f t="shared" si="41"/>
        <v>0</v>
      </c>
      <c r="BO38" s="251">
        <f t="shared" si="42"/>
        <v>0</v>
      </c>
      <c r="BP38" s="251">
        <f t="shared" si="77"/>
        <v>0</v>
      </c>
      <c r="BQ38" s="251">
        <f t="shared" si="78"/>
        <v>0</v>
      </c>
      <c r="BR38" s="251">
        <f t="shared" si="43"/>
        <v>0</v>
      </c>
      <c r="BS38" s="251">
        <f t="shared" si="44"/>
        <v>0</v>
      </c>
      <c r="BT38" s="251">
        <f t="shared" si="79"/>
        <v>0</v>
      </c>
      <c r="BU38" s="251">
        <f t="shared" si="80"/>
        <v>0</v>
      </c>
      <c r="BV38" s="251">
        <f t="shared" si="81"/>
        <v>0</v>
      </c>
      <c r="BW38" s="251">
        <f t="shared" si="82"/>
        <v>0</v>
      </c>
      <c r="BX38" s="251">
        <f t="shared" si="45"/>
        <v>0</v>
      </c>
      <c r="BY38" s="251">
        <f t="shared" si="46"/>
        <v>0</v>
      </c>
      <c r="BZ38" s="251">
        <f t="shared" si="47"/>
        <v>0</v>
      </c>
      <c r="CA38" s="251">
        <f t="shared" si="48"/>
        <v>0</v>
      </c>
      <c r="CB38" s="251">
        <f t="shared" si="49"/>
        <v>0</v>
      </c>
      <c r="CC38" s="251">
        <f t="shared" si="50"/>
        <v>0</v>
      </c>
      <c r="CD38" s="251">
        <f t="shared" si="83"/>
        <v>0</v>
      </c>
      <c r="CE38" s="251">
        <f t="shared" si="84"/>
        <v>0</v>
      </c>
      <c r="CF38" s="251">
        <f t="shared" si="85"/>
        <v>0</v>
      </c>
      <c r="CG38" s="251">
        <f t="shared" si="86"/>
        <v>0</v>
      </c>
      <c r="CH38" s="251">
        <f t="shared" si="51"/>
        <v>0</v>
      </c>
      <c r="CI38" s="251">
        <f t="shared" si="52"/>
        <v>0</v>
      </c>
      <c r="CJ38" s="251">
        <f t="shared" si="87"/>
        <v>0</v>
      </c>
      <c r="CK38" s="251">
        <f t="shared" si="88"/>
        <v>0</v>
      </c>
      <c r="CL38" s="251">
        <f t="shared" si="53"/>
        <v>0</v>
      </c>
      <c r="CM38" s="251">
        <f t="shared" si="54"/>
        <v>0</v>
      </c>
      <c r="CN38" s="251">
        <f t="shared" si="55"/>
        <v>0</v>
      </c>
      <c r="CO38" s="251">
        <f t="shared" si="56"/>
        <v>0</v>
      </c>
      <c r="CP38" s="251">
        <f t="shared" si="89"/>
        <v>0</v>
      </c>
      <c r="CQ38" s="251">
        <f t="shared" si="90"/>
        <v>0</v>
      </c>
      <c r="CR38" s="251">
        <f t="shared" si="91"/>
        <v>0</v>
      </c>
      <c r="CS38" s="251">
        <f t="shared" si="92"/>
        <v>0</v>
      </c>
      <c r="CT38" s="251">
        <f t="shared" si="57"/>
        <v>0</v>
      </c>
      <c r="CU38" s="251">
        <f t="shared" si="58"/>
        <v>0</v>
      </c>
      <c r="CV38" s="251">
        <f t="shared" si="59"/>
        <v>0</v>
      </c>
      <c r="CW38" s="251">
        <f t="shared" si="60"/>
        <v>0</v>
      </c>
      <c r="CX38" s="251">
        <f t="shared" si="93"/>
        <v>0</v>
      </c>
      <c r="CY38" s="251">
        <f t="shared" si="94"/>
        <v>0</v>
      </c>
      <c r="CZ38" s="251">
        <f t="shared" si="95"/>
        <v>0</v>
      </c>
      <c r="DA38" s="251">
        <f t="shared" si="96"/>
        <v>0</v>
      </c>
    </row>
    <row r="39" spans="1:105" s="248" customFormat="1" ht="15.75" customHeight="1">
      <c r="A39" s="58" t="str">
        <f t="array" ref="A39">IF(C39&lt;&gt;0,SUM(($C$11:C39&lt;&gt;0)*1),"")</f>
        <v/>
      </c>
      <c r="B39" s="249"/>
      <c r="C39" s="249"/>
      <c r="D39" s="249"/>
      <c r="E39" s="326"/>
      <c r="F39" s="300"/>
      <c r="G39" s="302"/>
      <c r="H39" s="302"/>
      <c r="I39" s="58" t="str">
        <f t="shared" si="97"/>
        <v/>
      </c>
      <c r="J39" s="251">
        <f t="shared" si="61"/>
        <v>0</v>
      </c>
      <c r="K39" s="251">
        <f t="shared" si="62"/>
        <v>0</v>
      </c>
      <c r="L39" s="251">
        <f t="shared" si="1"/>
        <v>0</v>
      </c>
      <c r="M39" s="251">
        <f t="shared" si="2"/>
        <v>0</v>
      </c>
      <c r="N39" s="251">
        <f t="shared" si="3"/>
        <v>0</v>
      </c>
      <c r="O39" s="251">
        <f t="shared" si="4"/>
        <v>0</v>
      </c>
      <c r="P39" s="251">
        <f t="shared" si="5"/>
        <v>0</v>
      </c>
      <c r="Q39" s="251">
        <f t="shared" si="6"/>
        <v>0</v>
      </c>
      <c r="R39" s="251">
        <f t="shared" si="7"/>
        <v>0</v>
      </c>
      <c r="S39" s="251">
        <f t="shared" si="8"/>
        <v>0</v>
      </c>
      <c r="T39" s="251">
        <f t="shared" si="9"/>
        <v>0</v>
      </c>
      <c r="U39" s="251">
        <f t="shared" si="10"/>
        <v>0</v>
      </c>
      <c r="V39" s="251">
        <f t="shared" si="11"/>
        <v>0</v>
      </c>
      <c r="W39" s="251">
        <f t="shared" si="12"/>
        <v>0</v>
      </c>
      <c r="X39" s="251">
        <f t="shared" si="13"/>
        <v>0</v>
      </c>
      <c r="Y39" s="251">
        <f t="shared" si="14"/>
        <v>0</v>
      </c>
      <c r="Z39" s="251">
        <f t="shared" si="15"/>
        <v>0</v>
      </c>
      <c r="AA39" s="251">
        <f t="shared" si="16"/>
        <v>0</v>
      </c>
      <c r="AB39" s="251">
        <f t="shared" si="63"/>
        <v>0</v>
      </c>
      <c r="AC39" s="251">
        <f t="shared" si="64"/>
        <v>0</v>
      </c>
      <c r="AD39" s="251">
        <f t="shared" si="17"/>
        <v>0</v>
      </c>
      <c r="AE39" s="251">
        <f t="shared" si="18"/>
        <v>0</v>
      </c>
      <c r="AF39" s="251">
        <f t="shared" si="19"/>
        <v>0</v>
      </c>
      <c r="AG39" s="251">
        <f t="shared" si="20"/>
        <v>0</v>
      </c>
      <c r="AH39" s="251">
        <f t="shared" si="65"/>
        <v>0</v>
      </c>
      <c r="AI39" s="251">
        <f t="shared" si="66"/>
        <v>0</v>
      </c>
      <c r="AJ39" s="251">
        <f t="shared" si="67"/>
        <v>0</v>
      </c>
      <c r="AK39" s="251">
        <f t="shared" si="68"/>
        <v>0</v>
      </c>
      <c r="AL39" s="251">
        <f t="shared" si="69"/>
        <v>0</v>
      </c>
      <c r="AM39" s="251">
        <f t="shared" si="70"/>
        <v>0</v>
      </c>
      <c r="AN39" s="251">
        <f t="shared" si="71"/>
        <v>0</v>
      </c>
      <c r="AO39" s="251">
        <f t="shared" si="72"/>
        <v>0</v>
      </c>
      <c r="AP39" s="251">
        <f t="shared" si="21"/>
        <v>0</v>
      </c>
      <c r="AQ39" s="251">
        <f t="shared" si="22"/>
        <v>0</v>
      </c>
      <c r="AR39" s="251">
        <f t="shared" si="23"/>
        <v>0</v>
      </c>
      <c r="AS39" s="251">
        <f t="shared" si="24"/>
        <v>0</v>
      </c>
      <c r="AT39" s="251">
        <f t="shared" si="73"/>
        <v>0</v>
      </c>
      <c r="AU39" s="251">
        <f t="shared" si="74"/>
        <v>0</v>
      </c>
      <c r="AV39" s="251">
        <f t="shared" si="25"/>
        <v>0</v>
      </c>
      <c r="AW39" s="251">
        <f t="shared" si="26"/>
        <v>0</v>
      </c>
      <c r="AX39" s="251">
        <f t="shared" si="27"/>
        <v>0</v>
      </c>
      <c r="AY39" s="251">
        <f t="shared" si="28"/>
        <v>0</v>
      </c>
      <c r="AZ39" s="251">
        <f t="shared" si="29"/>
        <v>0</v>
      </c>
      <c r="BA39" s="251">
        <f t="shared" si="30"/>
        <v>0</v>
      </c>
      <c r="BB39" s="251">
        <f t="shared" si="31"/>
        <v>0</v>
      </c>
      <c r="BC39" s="251">
        <f t="shared" si="32"/>
        <v>0</v>
      </c>
      <c r="BD39" s="251">
        <f t="shared" si="33"/>
        <v>0</v>
      </c>
      <c r="BE39" s="251">
        <f t="shared" si="34"/>
        <v>0</v>
      </c>
      <c r="BF39" s="251">
        <f t="shared" si="35"/>
        <v>0</v>
      </c>
      <c r="BG39" s="251">
        <f t="shared" si="36"/>
        <v>0</v>
      </c>
      <c r="BH39" s="251">
        <f t="shared" si="75"/>
        <v>0</v>
      </c>
      <c r="BI39" s="251">
        <f t="shared" si="76"/>
        <v>0</v>
      </c>
      <c r="BJ39" s="251">
        <f t="shared" si="37"/>
        <v>0</v>
      </c>
      <c r="BK39" s="251">
        <f t="shared" si="38"/>
        <v>0</v>
      </c>
      <c r="BL39" s="251">
        <f t="shared" si="39"/>
        <v>0</v>
      </c>
      <c r="BM39" s="251">
        <f t="shared" si="40"/>
        <v>0</v>
      </c>
      <c r="BN39" s="251">
        <f t="shared" si="41"/>
        <v>0</v>
      </c>
      <c r="BO39" s="251">
        <f t="shared" si="42"/>
        <v>0</v>
      </c>
      <c r="BP39" s="251">
        <f t="shared" si="77"/>
        <v>0</v>
      </c>
      <c r="BQ39" s="251">
        <f t="shared" si="78"/>
        <v>0</v>
      </c>
      <c r="BR39" s="251">
        <f t="shared" si="43"/>
        <v>0</v>
      </c>
      <c r="BS39" s="251">
        <f t="shared" si="44"/>
        <v>0</v>
      </c>
      <c r="BT39" s="251">
        <f t="shared" si="79"/>
        <v>0</v>
      </c>
      <c r="BU39" s="251">
        <f t="shared" si="80"/>
        <v>0</v>
      </c>
      <c r="BV39" s="251">
        <f t="shared" si="81"/>
        <v>0</v>
      </c>
      <c r="BW39" s="251">
        <f t="shared" si="82"/>
        <v>0</v>
      </c>
      <c r="BX39" s="251">
        <f t="shared" si="45"/>
        <v>0</v>
      </c>
      <c r="BY39" s="251">
        <f t="shared" si="46"/>
        <v>0</v>
      </c>
      <c r="BZ39" s="251">
        <f t="shared" si="47"/>
        <v>0</v>
      </c>
      <c r="CA39" s="251">
        <f t="shared" si="48"/>
        <v>0</v>
      </c>
      <c r="CB39" s="251">
        <f t="shared" si="49"/>
        <v>0</v>
      </c>
      <c r="CC39" s="251">
        <f t="shared" si="50"/>
        <v>0</v>
      </c>
      <c r="CD39" s="251">
        <f t="shared" si="83"/>
        <v>0</v>
      </c>
      <c r="CE39" s="251">
        <f t="shared" si="84"/>
        <v>0</v>
      </c>
      <c r="CF39" s="251">
        <f t="shared" si="85"/>
        <v>0</v>
      </c>
      <c r="CG39" s="251">
        <f t="shared" si="86"/>
        <v>0</v>
      </c>
      <c r="CH39" s="251">
        <f t="shared" si="51"/>
        <v>0</v>
      </c>
      <c r="CI39" s="251">
        <f t="shared" si="52"/>
        <v>0</v>
      </c>
      <c r="CJ39" s="251">
        <f t="shared" si="87"/>
        <v>0</v>
      </c>
      <c r="CK39" s="251">
        <f t="shared" si="88"/>
        <v>0</v>
      </c>
      <c r="CL39" s="251">
        <f t="shared" si="53"/>
        <v>0</v>
      </c>
      <c r="CM39" s="251">
        <f t="shared" si="54"/>
        <v>0</v>
      </c>
      <c r="CN39" s="251">
        <f t="shared" si="55"/>
        <v>0</v>
      </c>
      <c r="CO39" s="251">
        <f t="shared" si="56"/>
        <v>0</v>
      </c>
      <c r="CP39" s="251">
        <f t="shared" si="89"/>
        <v>0</v>
      </c>
      <c r="CQ39" s="251">
        <f t="shared" si="90"/>
        <v>0</v>
      </c>
      <c r="CR39" s="251">
        <f t="shared" si="91"/>
        <v>0</v>
      </c>
      <c r="CS39" s="251">
        <f t="shared" si="92"/>
        <v>0</v>
      </c>
      <c r="CT39" s="251">
        <f t="shared" si="57"/>
        <v>0</v>
      </c>
      <c r="CU39" s="251">
        <f t="shared" si="58"/>
        <v>0</v>
      </c>
      <c r="CV39" s="251">
        <f t="shared" si="59"/>
        <v>0</v>
      </c>
      <c r="CW39" s="251">
        <f t="shared" si="60"/>
        <v>0</v>
      </c>
      <c r="CX39" s="251">
        <f t="shared" si="93"/>
        <v>0</v>
      </c>
      <c r="CY39" s="251">
        <f t="shared" si="94"/>
        <v>0</v>
      </c>
      <c r="CZ39" s="251">
        <f t="shared" si="95"/>
        <v>0</v>
      </c>
      <c r="DA39" s="251">
        <f t="shared" si="96"/>
        <v>0</v>
      </c>
    </row>
    <row r="40" spans="1:105" s="248" customFormat="1" ht="15.75" customHeight="1">
      <c r="A40" s="58">
        <f t="array" aca="1" ref="A40" ca="1">IF(C40&lt;&gt;0,SUM(($C$11:C40&lt;&gt;0)*1),"")</f>
        <v>2</v>
      </c>
      <c r="B40" s="249">
        <v>42643</v>
      </c>
      <c r="C40" s="252" t="s">
        <v>115</v>
      </c>
      <c r="D40" s="252">
        <f t="shared" ref="D40:D50" si="98">B40</f>
        <v>42643</v>
      </c>
      <c r="E40" s="736" t="s">
        <v>590</v>
      </c>
      <c r="F40" s="737">
        <f ca="1">AY52</f>
        <v>0</v>
      </c>
      <c r="G40" s="738" t="s">
        <v>595</v>
      </c>
      <c r="H40" s="738" t="s">
        <v>9</v>
      </c>
      <c r="I40" s="58">
        <f t="shared" ca="1" si="97"/>
        <v>2</v>
      </c>
      <c r="J40" s="251">
        <f t="shared" si="61"/>
        <v>0</v>
      </c>
      <c r="K40" s="251">
        <f t="shared" si="62"/>
        <v>0</v>
      </c>
      <c r="L40" s="251">
        <f t="shared" si="1"/>
        <v>0</v>
      </c>
      <c r="M40" s="251">
        <f t="shared" si="2"/>
        <v>0</v>
      </c>
      <c r="N40" s="251">
        <f t="shared" si="3"/>
        <v>0</v>
      </c>
      <c r="O40" s="251">
        <f t="shared" si="4"/>
        <v>0</v>
      </c>
      <c r="P40" s="251">
        <f t="shared" si="5"/>
        <v>0</v>
      </c>
      <c r="Q40" s="251">
        <f t="shared" si="6"/>
        <v>0</v>
      </c>
      <c r="R40" s="251">
        <f t="shared" si="7"/>
        <v>0</v>
      </c>
      <c r="S40" s="251">
        <f t="shared" ca="1" si="8"/>
        <v>0</v>
      </c>
      <c r="T40" s="251">
        <f t="shared" si="9"/>
        <v>0</v>
      </c>
      <c r="U40" s="251">
        <f t="shared" si="10"/>
        <v>0</v>
      </c>
      <c r="V40" s="251">
        <f t="shared" si="11"/>
        <v>0</v>
      </c>
      <c r="W40" s="251">
        <f t="shared" si="12"/>
        <v>0</v>
      </c>
      <c r="X40" s="251">
        <f t="shared" si="13"/>
        <v>0</v>
      </c>
      <c r="Y40" s="251">
        <f t="shared" si="14"/>
        <v>0</v>
      </c>
      <c r="Z40" s="251">
        <f t="shared" si="15"/>
        <v>0</v>
      </c>
      <c r="AA40" s="251">
        <f t="shared" si="16"/>
        <v>0</v>
      </c>
      <c r="AB40" s="251">
        <f t="shared" si="63"/>
        <v>0</v>
      </c>
      <c r="AC40" s="251">
        <f t="shared" si="64"/>
        <v>0</v>
      </c>
      <c r="AD40" s="251">
        <f t="shared" si="17"/>
        <v>0</v>
      </c>
      <c r="AE40" s="251">
        <f t="shared" si="18"/>
        <v>0</v>
      </c>
      <c r="AF40" s="251">
        <f t="shared" si="19"/>
        <v>0</v>
      </c>
      <c r="AG40" s="251">
        <f t="shared" si="20"/>
        <v>0</v>
      </c>
      <c r="AH40" s="251">
        <f t="shared" si="65"/>
        <v>0</v>
      </c>
      <c r="AI40" s="251">
        <f t="shared" si="66"/>
        <v>0</v>
      </c>
      <c r="AJ40" s="251">
        <f t="shared" si="67"/>
        <v>0</v>
      </c>
      <c r="AK40" s="251">
        <f t="shared" si="68"/>
        <v>0</v>
      </c>
      <c r="AL40" s="251">
        <f t="shared" si="69"/>
        <v>0</v>
      </c>
      <c r="AM40" s="251">
        <f t="shared" si="70"/>
        <v>0</v>
      </c>
      <c r="AN40" s="251">
        <f t="shared" si="71"/>
        <v>0</v>
      </c>
      <c r="AO40" s="251">
        <f t="shared" si="72"/>
        <v>0</v>
      </c>
      <c r="AP40" s="251">
        <f t="shared" si="21"/>
        <v>0</v>
      </c>
      <c r="AQ40" s="251">
        <f t="shared" si="22"/>
        <v>0</v>
      </c>
      <c r="AR40" s="251">
        <f t="shared" si="23"/>
        <v>0</v>
      </c>
      <c r="AS40" s="251">
        <f t="shared" si="24"/>
        <v>0</v>
      </c>
      <c r="AT40" s="251">
        <f t="shared" si="73"/>
        <v>0</v>
      </c>
      <c r="AU40" s="251">
        <f t="shared" si="74"/>
        <v>0</v>
      </c>
      <c r="AV40" s="251">
        <f t="shared" si="25"/>
        <v>0</v>
      </c>
      <c r="AW40" s="251">
        <f t="shared" si="26"/>
        <v>0</v>
      </c>
      <c r="AX40" s="251">
        <f t="shared" ca="1" si="27"/>
        <v>0</v>
      </c>
      <c r="AY40" s="251">
        <f t="shared" si="28"/>
        <v>0</v>
      </c>
      <c r="AZ40" s="251">
        <f t="shared" si="29"/>
        <v>0</v>
      </c>
      <c r="BA40" s="251">
        <f t="shared" si="30"/>
        <v>0</v>
      </c>
      <c r="BB40" s="251">
        <f t="shared" si="31"/>
        <v>0</v>
      </c>
      <c r="BC40" s="251">
        <f t="shared" si="32"/>
        <v>0</v>
      </c>
      <c r="BD40" s="251">
        <f t="shared" si="33"/>
        <v>0</v>
      </c>
      <c r="BE40" s="251">
        <f t="shared" si="34"/>
        <v>0</v>
      </c>
      <c r="BF40" s="251">
        <f t="shared" si="35"/>
        <v>0</v>
      </c>
      <c r="BG40" s="251">
        <f t="shared" si="36"/>
        <v>0</v>
      </c>
      <c r="BH40" s="251">
        <f t="shared" si="75"/>
        <v>0</v>
      </c>
      <c r="BI40" s="251">
        <f t="shared" si="76"/>
        <v>0</v>
      </c>
      <c r="BJ40" s="251">
        <f t="shared" si="37"/>
        <v>0</v>
      </c>
      <c r="BK40" s="251">
        <f t="shared" si="38"/>
        <v>0</v>
      </c>
      <c r="BL40" s="251">
        <f t="shared" si="39"/>
        <v>0</v>
      </c>
      <c r="BM40" s="251">
        <f t="shared" si="40"/>
        <v>0</v>
      </c>
      <c r="BN40" s="251">
        <f t="shared" si="41"/>
        <v>0</v>
      </c>
      <c r="BO40" s="251">
        <f t="shared" si="42"/>
        <v>0</v>
      </c>
      <c r="BP40" s="251">
        <f t="shared" si="77"/>
        <v>0</v>
      </c>
      <c r="BQ40" s="251">
        <f t="shared" si="78"/>
        <v>0</v>
      </c>
      <c r="BR40" s="251">
        <f t="shared" si="43"/>
        <v>0</v>
      </c>
      <c r="BS40" s="251">
        <f t="shared" si="44"/>
        <v>0</v>
      </c>
      <c r="BT40" s="251">
        <f t="shared" si="79"/>
        <v>0</v>
      </c>
      <c r="BU40" s="251">
        <f t="shared" si="80"/>
        <v>0</v>
      </c>
      <c r="BV40" s="251">
        <f t="shared" si="81"/>
        <v>0</v>
      </c>
      <c r="BW40" s="251">
        <f t="shared" si="82"/>
        <v>0</v>
      </c>
      <c r="BX40" s="251">
        <f t="shared" si="45"/>
        <v>0</v>
      </c>
      <c r="BY40" s="251">
        <f t="shared" si="46"/>
        <v>0</v>
      </c>
      <c r="BZ40" s="251">
        <f t="shared" si="47"/>
        <v>0</v>
      </c>
      <c r="CA40" s="251">
        <f t="shared" si="48"/>
        <v>0</v>
      </c>
      <c r="CB40" s="251">
        <f t="shared" si="49"/>
        <v>0</v>
      </c>
      <c r="CC40" s="251">
        <f t="shared" si="50"/>
        <v>0</v>
      </c>
      <c r="CD40" s="251">
        <f t="shared" si="83"/>
        <v>0</v>
      </c>
      <c r="CE40" s="251">
        <f t="shared" si="84"/>
        <v>0</v>
      </c>
      <c r="CF40" s="251">
        <f t="shared" si="85"/>
        <v>0</v>
      </c>
      <c r="CG40" s="251">
        <f t="shared" si="86"/>
        <v>0</v>
      </c>
      <c r="CH40" s="251">
        <f t="shared" si="51"/>
        <v>0</v>
      </c>
      <c r="CI40" s="251">
        <f t="shared" si="52"/>
        <v>0</v>
      </c>
      <c r="CJ40" s="251">
        <f t="shared" si="87"/>
        <v>0</v>
      </c>
      <c r="CK40" s="251">
        <f t="shared" si="88"/>
        <v>0</v>
      </c>
      <c r="CL40" s="251">
        <f t="shared" si="53"/>
        <v>0</v>
      </c>
      <c r="CM40" s="251">
        <f t="shared" si="54"/>
        <v>0</v>
      </c>
      <c r="CN40" s="251">
        <f t="shared" si="55"/>
        <v>0</v>
      </c>
      <c r="CO40" s="251">
        <f t="shared" si="56"/>
        <v>0</v>
      </c>
      <c r="CP40" s="251">
        <f t="shared" si="89"/>
        <v>0</v>
      </c>
      <c r="CQ40" s="251">
        <f t="shared" si="90"/>
        <v>0</v>
      </c>
      <c r="CR40" s="251">
        <f t="shared" si="91"/>
        <v>0</v>
      </c>
      <c r="CS40" s="251">
        <f t="shared" si="92"/>
        <v>0</v>
      </c>
      <c r="CT40" s="251">
        <f t="shared" si="57"/>
        <v>0</v>
      </c>
      <c r="CU40" s="251">
        <f t="shared" si="58"/>
        <v>0</v>
      </c>
      <c r="CV40" s="251">
        <f t="shared" si="59"/>
        <v>0</v>
      </c>
      <c r="CW40" s="251">
        <f t="shared" si="60"/>
        <v>0</v>
      </c>
      <c r="CX40" s="251">
        <f t="shared" si="93"/>
        <v>0</v>
      </c>
      <c r="CY40" s="251">
        <f t="shared" si="94"/>
        <v>0</v>
      </c>
      <c r="CZ40" s="251">
        <f t="shared" si="95"/>
        <v>0</v>
      </c>
      <c r="DA40" s="251">
        <f t="shared" si="96"/>
        <v>0</v>
      </c>
    </row>
    <row r="41" spans="1:105" s="248" customFormat="1" ht="15.75" customHeight="1">
      <c r="A41" s="58">
        <f t="array" aca="1" ref="A41" ca="1">IF(C41&lt;&gt;0,SUM(($C$11:C41&lt;&gt;0)*1),"")</f>
        <v>3</v>
      </c>
      <c r="B41" s="249">
        <v>42643</v>
      </c>
      <c r="C41" s="252" t="s">
        <v>115</v>
      </c>
      <c r="D41" s="252">
        <f t="shared" si="98"/>
        <v>42643</v>
      </c>
      <c r="E41" s="736" t="s">
        <v>591</v>
      </c>
      <c r="F41" s="737">
        <f ca="1">CL52</f>
        <v>0</v>
      </c>
      <c r="G41" s="738" t="s">
        <v>109</v>
      </c>
      <c r="H41" s="738" t="s">
        <v>284</v>
      </c>
      <c r="I41" s="58">
        <f t="shared" ca="1" si="97"/>
        <v>3</v>
      </c>
      <c r="J41" s="251">
        <f t="shared" si="61"/>
        <v>0</v>
      </c>
      <c r="K41" s="251">
        <f t="shared" si="62"/>
        <v>0</v>
      </c>
      <c r="L41" s="251">
        <f t="shared" si="1"/>
        <v>0</v>
      </c>
      <c r="M41" s="251">
        <f t="shared" si="2"/>
        <v>0</v>
      </c>
      <c r="N41" s="251">
        <f t="shared" si="3"/>
        <v>0</v>
      </c>
      <c r="O41" s="251">
        <f t="shared" si="4"/>
        <v>0</v>
      </c>
      <c r="P41" s="251">
        <f t="shared" si="5"/>
        <v>0</v>
      </c>
      <c r="Q41" s="251">
        <f t="shared" si="6"/>
        <v>0</v>
      </c>
      <c r="R41" s="251">
        <f t="shared" si="7"/>
        <v>0</v>
      </c>
      <c r="S41" s="251">
        <f t="shared" si="8"/>
        <v>0</v>
      </c>
      <c r="T41" s="251">
        <f t="shared" si="9"/>
        <v>0</v>
      </c>
      <c r="U41" s="251">
        <f t="shared" si="10"/>
        <v>0</v>
      </c>
      <c r="V41" s="251">
        <f t="shared" si="11"/>
        <v>0</v>
      </c>
      <c r="W41" s="251">
        <f t="shared" si="12"/>
        <v>0</v>
      </c>
      <c r="X41" s="251">
        <f t="shared" si="13"/>
        <v>0</v>
      </c>
      <c r="Y41" s="251">
        <f t="shared" si="14"/>
        <v>0</v>
      </c>
      <c r="Z41" s="251">
        <f t="shared" si="15"/>
        <v>0</v>
      </c>
      <c r="AA41" s="251">
        <f t="shared" si="16"/>
        <v>0</v>
      </c>
      <c r="AB41" s="251">
        <f t="shared" si="63"/>
        <v>0</v>
      </c>
      <c r="AC41" s="251">
        <f t="shared" si="64"/>
        <v>0</v>
      </c>
      <c r="AD41" s="251">
        <f t="shared" si="17"/>
        <v>0</v>
      </c>
      <c r="AE41" s="251">
        <f t="shared" si="18"/>
        <v>0</v>
      </c>
      <c r="AF41" s="251">
        <f t="shared" si="19"/>
        <v>0</v>
      </c>
      <c r="AG41" s="251">
        <f t="shared" si="20"/>
        <v>0</v>
      </c>
      <c r="AH41" s="251">
        <f t="shared" si="65"/>
        <v>0</v>
      </c>
      <c r="AI41" s="251">
        <f t="shared" si="66"/>
        <v>0</v>
      </c>
      <c r="AJ41" s="251">
        <f t="shared" si="67"/>
        <v>0</v>
      </c>
      <c r="AK41" s="251">
        <f t="shared" si="68"/>
        <v>0</v>
      </c>
      <c r="AL41" s="251">
        <f t="shared" si="69"/>
        <v>0</v>
      </c>
      <c r="AM41" s="251">
        <f t="shared" si="70"/>
        <v>0</v>
      </c>
      <c r="AN41" s="251">
        <f t="shared" si="71"/>
        <v>0</v>
      </c>
      <c r="AO41" s="251">
        <f t="shared" si="72"/>
        <v>0</v>
      </c>
      <c r="AP41" s="251">
        <f t="shared" si="21"/>
        <v>0</v>
      </c>
      <c r="AQ41" s="251">
        <f t="shared" si="22"/>
        <v>0</v>
      </c>
      <c r="AR41" s="251">
        <f t="shared" si="23"/>
        <v>0</v>
      </c>
      <c r="AS41" s="251">
        <f t="shared" si="24"/>
        <v>0</v>
      </c>
      <c r="AT41" s="251">
        <f t="shared" si="73"/>
        <v>0</v>
      </c>
      <c r="AU41" s="251">
        <f t="shared" si="74"/>
        <v>0</v>
      </c>
      <c r="AV41" s="251">
        <f t="shared" si="25"/>
        <v>0</v>
      </c>
      <c r="AW41" s="251">
        <f t="shared" si="26"/>
        <v>0</v>
      </c>
      <c r="AX41" s="251">
        <f t="shared" si="27"/>
        <v>0</v>
      </c>
      <c r="AY41" s="251">
        <f t="shared" si="28"/>
        <v>0</v>
      </c>
      <c r="AZ41" s="251">
        <f t="shared" si="29"/>
        <v>0</v>
      </c>
      <c r="BA41" s="251">
        <f t="shared" si="30"/>
        <v>0</v>
      </c>
      <c r="BB41" s="251">
        <f t="shared" si="31"/>
        <v>0</v>
      </c>
      <c r="BC41" s="251">
        <f t="shared" si="32"/>
        <v>0</v>
      </c>
      <c r="BD41" s="251">
        <f t="shared" si="33"/>
        <v>0</v>
      </c>
      <c r="BE41" s="251">
        <f t="shared" si="34"/>
        <v>0</v>
      </c>
      <c r="BF41" s="251">
        <f t="shared" si="35"/>
        <v>0</v>
      </c>
      <c r="BG41" s="251">
        <f t="shared" si="36"/>
        <v>0</v>
      </c>
      <c r="BH41" s="251">
        <f t="shared" si="75"/>
        <v>0</v>
      </c>
      <c r="BI41" s="251">
        <f t="shared" si="76"/>
        <v>0</v>
      </c>
      <c r="BJ41" s="251">
        <f t="shared" si="37"/>
        <v>0</v>
      </c>
      <c r="BK41" s="251">
        <f t="shared" si="38"/>
        <v>0</v>
      </c>
      <c r="BL41" s="251">
        <f t="shared" si="39"/>
        <v>0</v>
      </c>
      <c r="BM41" s="251">
        <f t="shared" si="40"/>
        <v>0</v>
      </c>
      <c r="BN41" s="251">
        <f t="shared" si="41"/>
        <v>0</v>
      </c>
      <c r="BO41" s="251">
        <f t="shared" si="42"/>
        <v>0</v>
      </c>
      <c r="BP41" s="251">
        <f t="shared" si="77"/>
        <v>0</v>
      </c>
      <c r="BQ41" s="251">
        <f t="shared" si="78"/>
        <v>0</v>
      </c>
      <c r="BR41" s="251">
        <f t="shared" si="43"/>
        <v>0</v>
      </c>
      <c r="BS41" s="251">
        <f t="shared" si="44"/>
        <v>0</v>
      </c>
      <c r="BT41" s="251">
        <f t="shared" si="79"/>
        <v>0</v>
      </c>
      <c r="BU41" s="251">
        <f t="shared" si="80"/>
        <v>0</v>
      </c>
      <c r="BV41" s="251">
        <f t="shared" si="81"/>
        <v>0</v>
      </c>
      <c r="BW41" s="251">
        <f t="shared" si="82"/>
        <v>0</v>
      </c>
      <c r="BX41" s="251">
        <f t="shared" si="45"/>
        <v>0</v>
      </c>
      <c r="BY41" s="251">
        <f t="shared" si="46"/>
        <v>0</v>
      </c>
      <c r="BZ41" s="251">
        <f t="shared" si="47"/>
        <v>0</v>
      </c>
      <c r="CA41" s="251">
        <f t="shared" si="48"/>
        <v>0</v>
      </c>
      <c r="CB41" s="251">
        <f t="shared" si="49"/>
        <v>0</v>
      </c>
      <c r="CC41" s="251">
        <f t="shared" si="50"/>
        <v>0</v>
      </c>
      <c r="CD41" s="251">
        <f t="shared" si="83"/>
        <v>0</v>
      </c>
      <c r="CE41" s="251">
        <f t="shared" si="84"/>
        <v>0</v>
      </c>
      <c r="CF41" s="251">
        <f t="shared" si="85"/>
        <v>0</v>
      </c>
      <c r="CG41" s="251">
        <f t="shared" si="86"/>
        <v>0</v>
      </c>
      <c r="CH41" s="251">
        <f t="shared" si="51"/>
        <v>0</v>
      </c>
      <c r="CI41" s="251">
        <f t="shared" si="52"/>
        <v>0</v>
      </c>
      <c r="CJ41" s="251">
        <f t="shared" si="87"/>
        <v>0</v>
      </c>
      <c r="CK41" s="251">
        <f t="shared" si="88"/>
        <v>0</v>
      </c>
      <c r="CL41" s="251">
        <f t="shared" si="53"/>
        <v>0</v>
      </c>
      <c r="CM41" s="251">
        <f t="shared" ca="1" si="54"/>
        <v>0</v>
      </c>
      <c r="CN41" s="251">
        <f t="shared" si="55"/>
        <v>0</v>
      </c>
      <c r="CO41" s="251">
        <f t="shared" si="56"/>
        <v>0</v>
      </c>
      <c r="CP41" s="251">
        <f t="shared" si="89"/>
        <v>0</v>
      </c>
      <c r="CQ41" s="251">
        <f t="shared" si="90"/>
        <v>0</v>
      </c>
      <c r="CR41" s="251">
        <f t="shared" si="91"/>
        <v>0</v>
      </c>
      <c r="CS41" s="251">
        <f t="shared" si="92"/>
        <v>0</v>
      </c>
      <c r="CT41" s="251">
        <f t="shared" si="57"/>
        <v>0</v>
      </c>
      <c r="CU41" s="251">
        <f t="shared" si="58"/>
        <v>0</v>
      </c>
      <c r="CV41" s="251">
        <f t="shared" si="59"/>
        <v>0</v>
      </c>
      <c r="CW41" s="251">
        <f t="shared" si="60"/>
        <v>0</v>
      </c>
      <c r="CX41" s="251">
        <f t="shared" si="93"/>
        <v>0</v>
      </c>
      <c r="CY41" s="251">
        <f t="shared" si="94"/>
        <v>0</v>
      </c>
      <c r="CZ41" s="251">
        <f t="shared" ca="1" si="95"/>
        <v>0</v>
      </c>
      <c r="DA41" s="251">
        <f t="shared" si="96"/>
        <v>0</v>
      </c>
    </row>
    <row r="42" spans="1:105" s="248" customFormat="1" ht="15.75" customHeight="1">
      <c r="A42" s="58">
        <f t="array" aca="1" ref="A42" ca="1">IF(C42&lt;&gt;0,SUM(($C$11:C42&lt;&gt;0)*1),"")</f>
        <v>4</v>
      </c>
      <c r="B42" s="249">
        <v>42643</v>
      </c>
      <c r="C42" s="252" t="s">
        <v>115</v>
      </c>
      <c r="D42" s="252">
        <f t="shared" si="98"/>
        <v>42643</v>
      </c>
      <c r="E42" s="736" t="s">
        <v>116</v>
      </c>
      <c r="F42" s="737">
        <f ca="1">CN52</f>
        <v>0</v>
      </c>
      <c r="G42" s="738" t="s">
        <v>109</v>
      </c>
      <c r="H42" s="738" t="s">
        <v>99</v>
      </c>
      <c r="I42" s="58">
        <f t="shared" ca="1" si="97"/>
        <v>4</v>
      </c>
      <c r="J42" s="251">
        <f t="shared" si="61"/>
        <v>0</v>
      </c>
      <c r="K42" s="251">
        <f t="shared" si="62"/>
        <v>0</v>
      </c>
      <c r="L42" s="251">
        <f t="shared" si="1"/>
        <v>0</v>
      </c>
      <c r="M42" s="251">
        <f t="shared" si="2"/>
        <v>0</v>
      </c>
      <c r="N42" s="251">
        <f t="shared" si="3"/>
        <v>0</v>
      </c>
      <c r="O42" s="251">
        <f t="shared" si="4"/>
        <v>0</v>
      </c>
      <c r="P42" s="251">
        <f t="shared" si="5"/>
        <v>0</v>
      </c>
      <c r="Q42" s="251">
        <f t="shared" si="6"/>
        <v>0</v>
      </c>
      <c r="R42" s="251">
        <f t="shared" si="7"/>
        <v>0</v>
      </c>
      <c r="S42" s="251">
        <f t="shared" si="8"/>
        <v>0</v>
      </c>
      <c r="T42" s="251">
        <f t="shared" si="9"/>
        <v>0</v>
      </c>
      <c r="U42" s="251">
        <f t="shared" si="10"/>
        <v>0</v>
      </c>
      <c r="V42" s="251">
        <f t="shared" si="11"/>
        <v>0</v>
      </c>
      <c r="W42" s="251">
        <f t="shared" si="12"/>
        <v>0</v>
      </c>
      <c r="X42" s="251">
        <f t="shared" si="13"/>
        <v>0</v>
      </c>
      <c r="Y42" s="251">
        <f t="shared" si="14"/>
        <v>0</v>
      </c>
      <c r="Z42" s="251">
        <f t="shared" si="15"/>
        <v>0</v>
      </c>
      <c r="AA42" s="251">
        <f t="shared" si="16"/>
        <v>0</v>
      </c>
      <c r="AB42" s="251">
        <f t="shared" si="63"/>
        <v>0</v>
      </c>
      <c r="AC42" s="251">
        <f t="shared" si="64"/>
        <v>0</v>
      </c>
      <c r="AD42" s="251">
        <f t="shared" si="17"/>
        <v>0</v>
      </c>
      <c r="AE42" s="251">
        <f t="shared" si="18"/>
        <v>0</v>
      </c>
      <c r="AF42" s="251">
        <f t="shared" si="19"/>
        <v>0</v>
      </c>
      <c r="AG42" s="251">
        <f t="shared" si="20"/>
        <v>0</v>
      </c>
      <c r="AH42" s="251">
        <f t="shared" si="65"/>
        <v>0</v>
      </c>
      <c r="AI42" s="251">
        <f t="shared" si="66"/>
        <v>0</v>
      </c>
      <c r="AJ42" s="251">
        <f t="shared" si="67"/>
        <v>0</v>
      </c>
      <c r="AK42" s="251">
        <f t="shared" si="68"/>
        <v>0</v>
      </c>
      <c r="AL42" s="251">
        <f t="shared" si="69"/>
        <v>0</v>
      </c>
      <c r="AM42" s="251">
        <f t="shared" si="70"/>
        <v>0</v>
      </c>
      <c r="AN42" s="251">
        <f t="shared" si="71"/>
        <v>0</v>
      </c>
      <c r="AO42" s="251">
        <f t="shared" si="72"/>
        <v>0</v>
      </c>
      <c r="AP42" s="251">
        <f t="shared" si="21"/>
        <v>0</v>
      </c>
      <c r="AQ42" s="251">
        <f t="shared" si="22"/>
        <v>0</v>
      </c>
      <c r="AR42" s="251">
        <f t="shared" si="23"/>
        <v>0</v>
      </c>
      <c r="AS42" s="251">
        <f t="shared" si="24"/>
        <v>0</v>
      </c>
      <c r="AT42" s="251">
        <f t="shared" si="73"/>
        <v>0</v>
      </c>
      <c r="AU42" s="251">
        <f t="shared" si="74"/>
        <v>0</v>
      </c>
      <c r="AV42" s="251">
        <f t="shared" si="25"/>
        <v>0</v>
      </c>
      <c r="AW42" s="251">
        <f t="shared" si="26"/>
        <v>0</v>
      </c>
      <c r="AX42" s="251">
        <f t="shared" si="27"/>
        <v>0</v>
      </c>
      <c r="AY42" s="251">
        <f t="shared" si="28"/>
        <v>0</v>
      </c>
      <c r="AZ42" s="251">
        <f t="shared" si="29"/>
        <v>0</v>
      </c>
      <c r="BA42" s="251">
        <f t="shared" si="30"/>
        <v>0</v>
      </c>
      <c r="BB42" s="251">
        <f t="shared" si="31"/>
        <v>0</v>
      </c>
      <c r="BC42" s="251">
        <f t="shared" si="32"/>
        <v>0</v>
      </c>
      <c r="BD42" s="251">
        <f t="shared" si="33"/>
        <v>0</v>
      </c>
      <c r="BE42" s="251">
        <f t="shared" si="34"/>
        <v>0</v>
      </c>
      <c r="BF42" s="251">
        <f t="shared" si="35"/>
        <v>0</v>
      </c>
      <c r="BG42" s="251">
        <f t="shared" si="36"/>
        <v>0</v>
      </c>
      <c r="BH42" s="251">
        <f t="shared" si="75"/>
        <v>0</v>
      </c>
      <c r="BI42" s="251">
        <f t="shared" si="76"/>
        <v>0</v>
      </c>
      <c r="BJ42" s="251">
        <f t="shared" si="37"/>
        <v>0</v>
      </c>
      <c r="BK42" s="251">
        <f t="shared" si="38"/>
        <v>0</v>
      </c>
      <c r="BL42" s="251">
        <f t="shared" si="39"/>
        <v>0</v>
      </c>
      <c r="BM42" s="251">
        <f t="shared" si="40"/>
        <v>0</v>
      </c>
      <c r="BN42" s="251">
        <f t="shared" si="41"/>
        <v>0</v>
      </c>
      <c r="BO42" s="251">
        <f t="shared" si="42"/>
        <v>0</v>
      </c>
      <c r="BP42" s="251">
        <f t="shared" si="77"/>
        <v>0</v>
      </c>
      <c r="BQ42" s="251">
        <f t="shared" si="78"/>
        <v>0</v>
      </c>
      <c r="BR42" s="251">
        <f t="shared" si="43"/>
        <v>0</v>
      </c>
      <c r="BS42" s="251">
        <f t="shared" si="44"/>
        <v>0</v>
      </c>
      <c r="BT42" s="251">
        <f t="shared" si="79"/>
        <v>0</v>
      </c>
      <c r="BU42" s="251">
        <f t="shared" si="80"/>
        <v>0</v>
      </c>
      <c r="BV42" s="251">
        <f t="shared" si="81"/>
        <v>0</v>
      </c>
      <c r="BW42" s="251">
        <f t="shared" si="82"/>
        <v>0</v>
      </c>
      <c r="BX42" s="251">
        <f t="shared" si="45"/>
        <v>0</v>
      </c>
      <c r="BY42" s="251">
        <f t="shared" si="46"/>
        <v>0</v>
      </c>
      <c r="BZ42" s="251">
        <f t="shared" si="47"/>
        <v>0</v>
      </c>
      <c r="CA42" s="251">
        <f t="shared" si="48"/>
        <v>0</v>
      </c>
      <c r="CB42" s="251">
        <f t="shared" si="49"/>
        <v>0</v>
      </c>
      <c r="CC42" s="251">
        <f t="shared" si="50"/>
        <v>0</v>
      </c>
      <c r="CD42" s="251">
        <f t="shared" si="83"/>
        <v>0</v>
      </c>
      <c r="CE42" s="251">
        <f t="shared" si="84"/>
        <v>0</v>
      </c>
      <c r="CF42" s="251">
        <f t="shared" si="85"/>
        <v>0</v>
      </c>
      <c r="CG42" s="251">
        <f t="shared" si="86"/>
        <v>0</v>
      </c>
      <c r="CH42" s="251">
        <f t="shared" si="51"/>
        <v>0</v>
      </c>
      <c r="CI42" s="251">
        <f t="shared" si="52"/>
        <v>0</v>
      </c>
      <c r="CJ42" s="251">
        <f t="shared" si="87"/>
        <v>0</v>
      </c>
      <c r="CK42" s="251">
        <f t="shared" si="88"/>
        <v>0</v>
      </c>
      <c r="CL42" s="251">
        <f t="shared" si="53"/>
        <v>0</v>
      </c>
      <c r="CM42" s="251">
        <f t="shared" si="54"/>
        <v>0</v>
      </c>
      <c r="CN42" s="251">
        <f t="shared" si="55"/>
        <v>0</v>
      </c>
      <c r="CO42" s="251">
        <f t="shared" ca="1" si="56"/>
        <v>0</v>
      </c>
      <c r="CP42" s="251">
        <f t="shared" si="89"/>
        <v>0</v>
      </c>
      <c r="CQ42" s="251">
        <f t="shared" si="90"/>
        <v>0</v>
      </c>
      <c r="CR42" s="251">
        <f t="shared" si="91"/>
        <v>0</v>
      </c>
      <c r="CS42" s="251">
        <f t="shared" si="92"/>
        <v>0</v>
      </c>
      <c r="CT42" s="251">
        <f t="shared" si="57"/>
        <v>0</v>
      </c>
      <c r="CU42" s="251">
        <f t="shared" si="58"/>
        <v>0</v>
      </c>
      <c r="CV42" s="251">
        <f t="shared" si="59"/>
        <v>0</v>
      </c>
      <c r="CW42" s="251">
        <f t="shared" si="60"/>
        <v>0</v>
      </c>
      <c r="CX42" s="251">
        <f t="shared" si="93"/>
        <v>0</v>
      </c>
      <c r="CY42" s="251">
        <f t="shared" si="94"/>
        <v>0</v>
      </c>
      <c r="CZ42" s="251">
        <f t="shared" ca="1" si="95"/>
        <v>0</v>
      </c>
      <c r="DA42" s="251">
        <f t="shared" si="96"/>
        <v>0</v>
      </c>
    </row>
    <row r="43" spans="1:105" s="248" customFormat="1" ht="15.75" customHeight="1">
      <c r="A43" s="58">
        <f t="array" aca="1" ref="A43" ca="1">IF(C43&lt;&gt;0,SUM(($C$11:C43&lt;&gt;0)*1),"")</f>
        <v>5</v>
      </c>
      <c r="B43" s="249">
        <v>42643</v>
      </c>
      <c r="C43" s="252" t="s">
        <v>115</v>
      </c>
      <c r="D43" s="252">
        <f t="shared" si="98"/>
        <v>42643</v>
      </c>
      <c r="E43" s="736" t="s">
        <v>592</v>
      </c>
      <c r="F43" s="737">
        <f ca="1">CP52</f>
        <v>0</v>
      </c>
      <c r="G43" s="738" t="s">
        <v>109</v>
      </c>
      <c r="H43" s="738" t="s">
        <v>539</v>
      </c>
      <c r="I43" s="58">
        <f t="shared" ca="1" si="97"/>
        <v>5</v>
      </c>
      <c r="J43" s="251">
        <f t="shared" si="61"/>
        <v>0</v>
      </c>
      <c r="K43" s="251">
        <f t="shared" si="62"/>
        <v>0</v>
      </c>
      <c r="L43" s="251">
        <f t="shared" si="1"/>
        <v>0</v>
      </c>
      <c r="M43" s="251">
        <f t="shared" si="2"/>
        <v>0</v>
      </c>
      <c r="N43" s="251">
        <f t="shared" si="3"/>
        <v>0</v>
      </c>
      <c r="O43" s="251">
        <f t="shared" si="4"/>
        <v>0</v>
      </c>
      <c r="P43" s="251">
        <f t="shared" si="5"/>
        <v>0</v>
      </c>
      <c r="Q43" s="251">
        <f t="shared" si="6"/>
        <v>0</v>
      </c>
      <c r="R43" s="251">
        <f t="shared" si="7"/>
        <v>0</v>
      </c>
      <c r="S43" s="251">
        <f t="shared" si="8"/>
        <v>0</v>
      </c>
      <c r="T43" s="251">
        <f t="shared" si="9"/>
        <v>0</v>
      </c>
      <c r="U43" s="251">
        <f t="shared" si="10"/>
        <v>0</v>
      </c>
      <c r="V43" s="251">
        <f t="shared" si="11"/>
        <v>0</v>
      </c>
      <c r="W43" s="251">
        <f t="shared" si="12"/>
        <v>0</v>
      </c>
      <c r="X43" s="251">
        <f t="shared" si="13"/>
        <v>0</v>
      </c>
      <c r="Y43" s="251">
        <f t="shared" si="14"/>
        <v>0</v>
      </c>
      <c r="Z43" s="251">
        <f t="shared" si="15"/>
        <v>0</v>
      </c>
      <c r="AA43" s="251">
        <f t="shared" si="16"/>
        <v>0</v>
      </c>
      <c r="AB43" s="251">
        <f t="shared" si="63"/>
        <v>0</v>
      </c>
      <c r="AC43" s="251">
        <f t="shared" si="64"/>
        <v>0</v>
      </c>
      <c r="AD43" s="251">
        <f t="shared" si="17"/>
        <v>0</v>
      </c>
      <c r="AE43" s="251">
        <f t="shared" si="18"/>
        <v>0</v>
      </c>
      <c r="AF43" s="251">
        <f t="shared" si="19"/>
        <v>0</v>
      </c>
      <c r="AG43" s="251">
        <f t="shared" si="20"/>
        <v>0</v>
      </c>
      <c r="AH43" s="251">
        <f t="shared" si="65"/>
        <v>0</v>
      </c>
      <c r="AI43" s="251">
        <f t="shared" si="66"/>
        <v>0</v>
      </c>
      <c r="AJ43" s="251">
        <f t="shared" si="67"/>
        <v>0</v>
      </c>
      <c r="AK43" s="251">
        <f t="shared" si="68"/>
        <v>0</v>
      </c>
      <c r="AL43" s="251">
        <f t="shared" si="69"/>
        <v>0</v>
      </c>
      <c r="AM43" s="251">
        <f t="shared" si="70"/>
        <v>0</v>
      </c>
      <c r="AN43" s="251">
        <f t="shared" si="71"/>
        <v>0</v>
      </c>
      <c r="AO43" s="251">
        <f t="shared" si="72"/>
        <v>0</v>
      </c>
      <c r="AP43" s="251">
        <f t="shared" si="21"/>
        <v>0</v>
      </c>
      <c r="AQ43" s="251">
        <f t="shared" si="22"/>
        <v>0</v>
      </c>
      <c r="AR43" s="251">
        <f t="shared" si="23"/>
        <v>0</v>
      </c>
      <c r="AS43" s="251">
        <f t="shared" si="24"/>
        <v>0</v>
      </c>
      <c r="AT43" s="251">
        <f t="shared" si="73"/>
        <v>0</v>
      </c>
      <c r="AU43" s="251">
        <f t="shared" si="74"/>
        <v>0</v>
      </c>
      <c r="AV43" s="251">
        <f t="shared" si="25"/>
        <v>0</v>
      </c>
      <c r="AW43" s="251">
        <f t="shared" si="26"/>
        <v>0</v>
      </c>
      <c r="AX43" s="251">
        <f t="shared" si="27"/>
        <v>0</v>
      </c>
      <c r="AY43" s="251">
        <f t="shared" si="28"/>
        <v>0</v>
      </c>
      <c r="AZ43" s="251">
        <f t="shared" si="29"/>
        <v>0</v>
      </c>
      <c r="BA43" s="251">
        <f t="shared" si="30"/>
        <v>0</v>
      </c>
      <c r="BB43" s="251">
        <f t="shared" si="31"/>
        <v>0</v>
      </c>
      <c r="BC43" s="251">
        <f t="shared" si="32"/>
        <v>0</v>
      </c>
      <c r="BD43" s="251">
        <f t="shared" si="33"/>
        <v>0</v>
      </c>
      <c r="BE43" s="251">
        <f t="shared" si="34"/>
        <v>0</v>
      </c>
      <c r="BF43" s="251">
        <f t="shared" si="35"/>
        <v>0</v>
      </c>
      <c r="BG43" s="251">
        <f t="shared" si="36"/>
        <v>0</v>
      </c>
      <c r="BH43" s="251">
        <f t="shared" si="75"/>
        <v>0</v>
      </c>
      <c r="BI43" s="251">
        <f t="shared" si="76"/>
        <v>0</v>
      </c>
      <c r="BJ43" s="251">
        <f t="shared" si="37"/>
        <v>0</v>
      </c>
      <c r="BK43" s="251">
        <f t="shared" si="38"/>
        <v>0</v>
      </c>
      <c r="BL43" s="251">
        <f t="shared" si="39"/>
        <v>0</v>
      </c>
      <c r="BM43" s="251">
        <f t="shared" si="40"/>
        <v>0</v>
      </c>
      <c r="BN43" s="251">
        <f t="shared" si="41"/>
        <v>0</v>
      </c>
      <c r="BO43" s="251">
        <f t="shared" si="42"/>
        <v>0</v>
      </c>
      <c r="BP43" s="251">
        <f t="shared" si="77"/>
        <v>0</v>
      </c>
      <c r="BQ43" s="251">
        <f t="shared" si="78"/>
        <v>0</v>
      </c>
      <c r="BR43" s="251">
        <f t="shared" si="43"/>
        <v>0</v>
      </c>
      <c r="BS43" s="251">
        <f t="shared" si="44"/>
        <v>0</v>
      </c>
      <c r="BT43" s="251">
        <f t="shared" si="79"/>
        <v>0</v>
      </c>
      <c r="BU43" s="251">
        <f t="shared" si="80"/>
        <v>0</v>
      </c>
      <c r="BV43" s="251">
        <f t="shared" si="81"/>
        <v>0</v>
      </c>
      <c r="BW43" s="251">
        <f t="shared" si="82"/>
        <v>0</v>
      </c>
      <c r="BX43" s="251">
        <f t="shared" si="45"/>
        <v>0</v>
      </c>
      <c r="BY43" s="251">
        <f t="shared" si="46"/>
        <v>0</v>
      </c>
      <c r="BZ43" s="251">
        <f t="shared" si="47"/>
        <v>0</v>
      </c>
      <c r="CA43" s="251">
        <f t="shared" si="48"/>
        <v>0</v>
      </c>
      <c r="CB43" s="251">
        <f t="shared" si="49"/>
        <v>0</v>
      </c>
      <c r="CC43" s="251">
        <f t="shared" si="50"/>
        <v>0</v>
      </c>
      <c r="CD43" s="251">
        <f t="shared" si="83"/>
        <v>0</v>
      </c>
      <c r="CE43" s="251">
        <f t="shared" si="84"/>
        <v>0</v>
      </c>
      <c r="CF43" s="251">
        <f t="shared" si="85"/>
        <v>0</v>
      </c>
      <c r="CG43" s="251">
        <f t="shared" si="86"/>
        <v>0</v>
      </c>
      <c r="CH43" s="251">
        <f t="shared" si="51"/>
        <v>0</v>
      </c>
      <c r="CI43" s="251">
        <f t="shared" si="52"/>
        <v>0</v>
      </c>
      <c r="CJ43" s="251">
        <f t="shared" si="87"/>
        <v>0</v>
      </c>
      <c r="CK43" s="251">
        <f t="shared" si="88"/>
        <v>0</v>
      </c>
      <c r="CL43" s="251">
        <f t="shared" si="53"/>
        <v>0</v>
      </c>
      <c r="CM43" s="251">
        <f t="shared" si="54"/>
        <v>0</v>
      </c>
      <c r="CN43" s="251">
        <f t="shared" si="55"/>
        <v>0</v>
      </c>
      <c r="CO43" s="251">
        <f t="shared" si="56"/>
        <v>0</v>
      </c>
      <c r="CP43" s="251">
        <f t="shared" si="89"/>
        <v>0</v>
      </c>
      <c r="CQ43" s="251">
        <f t="shared" ca="1" si="90"/>
        <v>0</v>
      </c>
      <c r="CR43" s="251">
        <f t="shared" si="91"/>
        <v>0</v>
      </c>
      <c r="CS43" s="251">
        <f t="shared" si="92"/>
        <v>0</v>
      </c>
      <c r="CT43" s="251">
        <f t="shared" si="57"/>
        <v>0</v>
      </c>
      <c r="CU43" s="251">
        <f t="shared" si="58"/>
        <v>0</v>
      </c>
      <c r="CV43" s="251">
        <f t="shared" si="59"/>
        <v>0</v>
      </c>
      <c r="CW43" s="251">
        <f t="shared" si="60"/>
        <v>0</v>
      </c>
      <c r="CX43" s="251">
        <f t="shared" si="93"/>
        <v>0</v>
      </c>
      <c r="CY43" s="251">
        <f t="shared" si="94"/>
        <v>0</v>
      </c>
      <c r="CZ43" s="251">
        <f t="shared" ca="1" si="95"/>
        <v>0</v>
      </c>
      <c r="DA43" s="251">
        <f t="shared" si="96"/>
        <v>0</v>
      </c>
    </row>
    <row r="44" spans="1:105" s="248" customFormat="1" ht="15.75" customHeight="1">
      <c r="A44" s="58">
        <f t="array" aca="1" ref="A44" ca="1">IF(C44&lt;&gt;0,SUM(($C$11:C44&lt;&gt;0)*1),"")</f>
        <v>6</v>
      </c>
      <c r="B44" s="249">
        <v>42643</v>
      </c>
      <c r="C44" s="252" t="s">
        <v>115</v>
      </c>
      <c r="D44" s="252">
        <f t="shared" si="98"/>
        <v>42643</v>
      </c>
      <c r="E44" s="736" t="s">
        <v>117</v>
      </c>
      <c r="F44" s="737">
        <f ca="1">CR52</f>
        <v>0</v>
      </c>
      <c r="G44" s="738" t="s">
        <v>109</v>
      </c>
      <c r="H44" s="738" t="s">
        <v>101</v>
      </c>
      <c r="I44" s="58">
        <f t="shared" ca="1" si="97"/>
        <v>6</v>
      </c>
      <c r="J44" s="251">
        <f t="shared" si="61"/>
        <v>0</v>
      </c>
      <c r="K44" s="251">
        <f t="shared" si="62"/>
        <v>0</v>
      </c>
      <c r="L44" s="251">
        <f t="shared" si="1"/>
        <v>0</v>
      </c>
      <c r="M44" s="251">
        <f t="shared" si="2"/>
        <v>0</v>
      </c>
      <c r="N44" s="251">
        <f t="shared" si="3"/>
        <v>0</v>
      </c>
      <c r="O44" s="251">
        <f t="shared" si="4"/>
        <v>0</v>
      </c>
      <c r="P44" s="251">
        <f t="shared" si="5"/>
        <v>0</v>
      </c>
      <c r="Q44" s="251">
        <f t="shared" si="6"/>
        <v>0</v>
      </c>
      <c r="R44" s="251">
        <f t="shared" si="7"/>
        <v>0</v>
      </c>
      <c r="S44" s="251">
        <f t="shared" si="8"/>
        <v>0</v>
      </c>
      <c r="T44" s="251">
        <f t="shared" si="9"/>
        <v>0</v>
      </c>
      <c r="U44" s="251">
        <f t="shared" si="10"/>
        <v>0</v>
      </c>
      <c r="V44" s="251">
        <f t="shared" si="11"/>
        <v>0</v>
      </c>
      <c r="W44" s="251">
        <f t="shared" si="12"/>
        <v>0</v>
      </c>
      <c r="X44" s="251">
        <f t="shared" si="13"/>
        <v>0</v>
      </c>
      <c r="Y44" s="251">
        <f t="shared" si="14"/>
        <v>0</v>
      </c>
      <c r="Z44" s="251">
        <f t="shared" si="15"/>
        <v>0</v>
      </c>
      <c r="AA44" s="251">
        <f t="shared" si="16"/>
        <v>0</v>
      </c>
      <c r="AB44" s="251">
        <f t="shared" si="63"/>
        <v>0</v>
      </c>
      <c r="AC44" s="251">
        <f t="shared" si="64"/>
        <v>0</v>
      </c>
      <c r="AD44" s="251">
        <f t="shared" si="17"/>
        <v>0</v>
      </c>
      <c r="AE44" s="251">
        <f t="shared" si="18"/>
        <v>0</v>
      </c>
      <c r="AF44" s="251">
        <f t="shared" si="19"/>
        <v>0</v>
      </c>
      <c r="AG44" s="251">
        <f t="shared" si="20"/>
        <v>0</v>
      </c>
      <c r="AH44" s="251">
        <f t="shared" si="65"/>
        <v>0</v>
      </c>
      <c r="AI44" s="251">
        <f t="shared" si="66"/>
        <v>0</v>
      </c>
      <c r="AJ44" s="251">
        <f t="shared" si="67"/>
        <v>0</v>
      </c>
      <c r="AK44" s="251">
        <f t="shared" si="68"/>
        <v>0</v>
      </c>
      <c r="AL44" s="251">
        <f t="shared" si="69"/>
        <v>0</v>
      </c>
      <c r="AM44" s="251">
        <f t="shared" si="70"/>
        <v>0</v>
      </c>
      <c r="AN44" s="251">
        <f t="shared" si="71"/>
        <v>0</v>
      </c>
      <c r="AO44" s="251">
        <f t="shared" si="72"/>
        <v>0</v>
      </c>
      <c r="AP44" s="251">
        <f t="shared" si="21"/>
        <v>0</v>
      </c>
      <c r="AQ44" s="251">
        <f t="shared" si="22"/>
        <v>0</v>
      </c>
      <c r="AR44" s="251">
        <f t="shared" si="23"/>
        <v>0</v>
      </c>
      <c r="AS44" s="251">
        <f t="shared" si="24"/>
        <v>0</v>
      </c>
      <c r="AT44" s="251">
        <f t="shared" si="73"/>
        <v>0</v>
      </c>
      <c r="AU44" s="251">
        <f t="shared" si="74"/>
        <v>0</v>
      </c>
      <c r="AV44" s="251">
        <f t="shared" si="25"/>
        <v>0</v>
      </c>
      <c r="AW44" s="251">
        <f t="shared" si="26"/>
        <v>0</v>
      </c>
      <c r="AX44" s="251">
        <f t="shared" si="27"/>
        <v>0</v>
      </c>
      <c r="AY44" s="251">
        <f t="shared" si="28"/>
        <v>0</v>
      </c>
      <c r="AZ44" s="251">
        <f t="shared" si="29"/>
        <v>0</v>
      </c>
      <c r="BA44" s="251">
        <f t="shared" si="30"/>
        <v>0</v>
      </c>
      <c r="BB44" s="251">
        <f t="shared" si="31"/>
        <v>0</v>
      </c>
      <c r="BC44" s="251">
        <f t="shared" si="32"/>
        <v>0</v>
      </c>
      <c r="BD44" s="251">
        <f t="shared" si="33"/>
        <v>0</v>
      </c>
      <c r="BE44" s="251">
        <f t="shared" si="34"/>
        <v>0</v>
      </c>
      <c r="BF44" s="251">
        <f t="shared" si="35"/>
        <v>0</v>
      </c>
      <c r="BG44" s="251">
        <f t="shared" si="36"/>
        <v>0</v>
      </c>
      <c r="BH44" s="251">
        <f t="shared" si="75"/>
        <v>0</v>
      </c>
      <c r="BI44" s="251">
        <f t="shared" si="76"/>
        <v>0</v>
      </c>
      <c r="BJ44" s="251">
        <f t="shared" si="37"/>
        <v>0</v>
      </c>
      <c r="BK44" s="251">
        <f t="shared" si="38"/>
        <v>0</v>
      </c>
      <c r="BL44" s="251">
        <f t="shared" si="39"/>
        <v>0</v>
      </c>
      <c r="BM44" s="251">
        <f t="shared" si="40"/>
        <v>0</v>
      </c>
      <c r="BN44" s="251">
        <f t="shared" si="41"/>
        <v>0</v>
      </c>
      <c r="BO44" s="251">
        <f t="shared" si="42"/>
        <v>0</v>
      </c>
      <c r="BP44" s="251">
        <f t="shared" si="77"/>
        <v>0</v>
      </c>
      <c r="BQ44" s="251">
        <f t="shared" si="78"/>
        <v>0</v>
      </c>
      <c r="BR44" s="251">
        <f t="shared" si="43"/>
        <v>0</v>
      </c>
      <c r="BS44" s="251">
        <f t="shared" si="44"/>
        <v>0</v>
      </c>
      <c r="BT44" s="251">
        <f t="shared" si="79"/>
        <v>0</v>
      </c>
      <c r="BU44" s="251">
        <f t="shared" si="80"/>
        <v>0</v>
      </c>
      <c r="BV44" s="251">
        <f t="shared" si="81"/>
        <v>0</v>
      </c>
      <c r="BW44" s="251">
        <f t="shared" si="82"/>
        <v>0</v>
      </c>
      <c r="BX44" s="251">
        <f t="shared" si="45"/>
        <v>0</v>
      </c>
      <c r="BY44" s="251">
        <f t="shared" si="46"/>
        <v>0</v>
      </c>
      <c r="BZ44" s="251">
        <f t="shared" si="47"/>
        <v>0</v>
      </c>
      <c r="CA44" s="251">
        <f t="shared" si="48"/>
        <v>0</v>
      </c>
      <c r="CB44" s="251">
        <f t="shared" si="49"/>
        <v>0</v>
      </c>
      <c r="CC44" s="251">
        <f t="shared" si="50"/>
        <v>0</v>
      </c>
      <c r="CD44" s="251">
        <f t="shared" si="83"/>
        <v>0</v>
      </c>
      <c r="CE44" s="251">
        <f t="shared" si="84"/>
        <v>0</v>
      </c>
      <c r="CF44" s="251">
        <f t="shared" si="85"/>
        <v>0</v>
      </c>
      <c r="CG44" s="251">
        <f t="shared" si="86"/>
        <v>0</v>
      </c>
      <c r="CH44" s="251">
        <f t="shared" si="51"/>
        <v>0</v>
      </c>
      <c r="CI44" s="251">
        <f t="shared" si="52"/>
        <v>0</v>
      </c>
      <c r="CJ44" s="251">
        <f t="shared" si="87"/>
        <v>0</v>
      </c>
      <c r="CK44" s="251">
        <f t="shared" si="88"/>
        <v>0</v>
      </c>
      <c r="CL44" s="251">
        <f t="shared" si="53"/>
        <v>0</v>
      </c>
      <c r="CM44" s="251">
        <f t="shared" si="54"/>
        <v>0</v>
      </c>
      <c r="CN44" s="251">
        <f t="shared" si="55"/>
        <v>0</v>
      </c>
      <c r="CO44" s="251">
        <f t="shared" si="56"/>
        <v>0</v>
      </c>
      <c r="CP44" s="251">
        <f t="shared" si="89"/>
        <v>0</v>
      </c>
      <c r="CQ44" s="251">
        <f t="shared" si="90"/>
        <v>0</v>
      </c>
      <c r="CR44" s="251">
        <f t="shared" si="91"/>
        <v>0</v>
      </c>
      <c r="CS44" s="251">
        <f t="shared" ca="1" si="92"/>
        <v>0</v>
      </c>
      <c r="CT44" s="251">
        <f t="shared" si="57"/>
        <v>0</v>
      </c>
      <c r="CU44" s="251">
        <f t="shared" si="58"/>
        <v>0</v>
      </c>
      <c r="CV44" s="251">
        <f t="shared" si="59"/>
        <v>0</v>
      </c>
      <c r="CW44" s="251">
        <f t="shared" si="60"/>
        <v>0</v>
      </c>
      <c r="CX44" s="251">
        <f t="shared" si="93"/>
        <v>0</v>
      </c>
      <c r="CY44" s="251">
        <f t="shared" si="94"/>
        <v>0</v>
      </c>
      <c r="CZ44" s="251">
        <f t="shared" ca="1" si="95"/>
        <v>0</v>
      </c>
      <c r="DA44" s="251">
        <f t="shared" si="96"/>
        <v>0</v>
      </c>
    </row>
    <row r="45" spans="1:105" s="248" customFormat="1" ht="15.75" customHeight="1">
      <c r="A45" s="58">
        <f t="array" aca="1" ref="A45" ca="1">IF(C45&lt;&gt;0,SUM(($C$11:C45&lt;&gt;0)*1),"")</f>
        <v>7</v>
      </c>
      <c r="B45" s="249">
        <v>42643</v>
      </c>
      <c r="C45" s="252" t="s">
        <v>115</v>
      </c>
      <c r="D45" s="252">
        <f t="shared" si="98"/>
        <v>42643</v>
      </c>
      <c r="E45" s="736" t="s">
        <v>211</v>
      </c>
      <c r="F45" s="737"/>
      <c r="G45" s="738" t="s">
        <v>109</v>
      </c>
      <c r="H45" s="738" t="s">
        <v>94</v>
      </c>
      <c r="I45" s="58">
        <f t="shared" ca="1" si="97"/>
        <v>7</v>
      </c>
      <c r="J45" s="251">
        <f t="shared" si="61"/>
        <v>0</v>
      </c>
      <c r="K45" s="251">
        <f t="shared" si="62"/>
        <v>0</v>
      </c>
      <c r="L45" s="251">
        <f t="shared" si="1"/>
        <v>0</v>
      </c>
      <c r="M45" s="251">
        <f t="shared" si="2"/>
        <v>0</v>
      </c>
      <c r="N45" s="251">
        <f t="shared" si="3"/>
        <v>0</v>
      </c>
      <c r="O45" s="251">
        <f t="shared" si="4"/>
        <v>0</v>
      </c>
      <c r="P45" s="251">
        <f t="shared" si="5"/>
        <v>0</v>
      </c>
      <c r="Q45" s="251">
        <f t="shared" si="6"/>
        <v>0</v>
      </c>
      <c r="R45" s="251">
        <f t="shared" si="7"/>
        <v>0</v>
      </c>
      <c r="S45" s="251">
        <f t="shared" si="8"/>
        <v>0</v>
      </c>
      <c r="T45" s="251">
        <f t="shared" si="9"/>
        <v>0</v>
      </c>
      <c r="U45" s="251">
        <f t="shared" si="10"/>
        <v>0</v>
      </c>
      <c r="V45" s="251">
        <f t="shared" si="11"/>
        <v>0</v>
      </c>
      <c r="W45" s="251">
        <f t="shared" si="12"/>
        <v>0</v>
      </c>
      <c r="X45" s="251">
        <f t="shared" si="13"/>
        <v>0</v>
      </c>
      <c r="Y45" s="251">
        <f t="shared" si="14"/>
        <v>0</v>
      </c>
      <c r="Z45" s="251">
        <f t="shared" si="15"/>
        <v>0</v>
      </c>
      <c r="AA45" s="251">
        <f t="shared" si="16"/>
        <v>0</v>
      </c>
      <c r="AB45" s="251">
        <f t="shared" si="63"/>
        <v>0</v>
      </c>
      <c r="AC45" s="251">
        <f t="shared" si="64"/>
        <v>0</v>
      </c>
      <c r="AD45" s="251">
        <f t="shared" si="17"/>
        <v>0</v>
      </c>
      <c r="AE45" s="251">
        <f t="shared" si="18"/>
        <v>0</v>
      </c>
      <c r="AF45" s="251">
        <f t="shared" si="19"/>
        <v>0</v>
      </c>
      <c r="AG45" s="251">
        <f t="shared" si="20"/>
        <v>0</v>
      </c>
      <c r="AH45" s="251">
        <f t="shared" si="65"/>
        <v>0</v>
      </c>
      <c r="AI45" s="251">
        <f t="shared" si="66"/>
        <v>0</v>
      </c>
      <c r="AJ45" s="251">
        <f t="shared" si="67"/>
        <v>0</v>
      </c>
      <c r="AK45" s="251">
        <f t="shared" si="68"/>
        <v>0</v>
      </c>
      <c r="AL45" s="251">
        <f t="shared" si="69"/>
        <v>0</v>
      </c>
      <c r="AM45" s="251">
        <f t="shared" si="70"/>
        <v>0</v>
      </c>
      <c r="AN45" s="251">
        <f t="shared" si="71"/>
        <v>0</v>
      </c>
      <c r="AO45" s="251">
        <f t="shared" si="72"/>
        <v>0</v>
      </c>
      <c r="AP45" s="251">
        <f t="shared" si="21"/>
        <v>0</v>
      </c>
      <c r="AQ45" s="251">
        <f t="shared" si="22"/>
        <v>0</v>
      </c>
      <c r="AR45" s="251">
        <f t="shared" si="23"/>
        <v>0</v>
      </c>
      <c r="AS45" s="251">
        <f t="shared" si="24"/>
        <v>0</v>
      </c>
      <c r="AT45" s="251">
        <f t="shared" si="73"/>
        <v>0</v>
      </c>
      <c r="AU45" s="251">
        <f t="shared" si="74"/>
        <v>0</v>
      </c>
      <c r="AV45" s="251">
        <f t="shared" si="25"/>
        <v>0</v>
      </c>
      <c r="AW45" s="251">
        <f t="shared" si="26"/>
        <v>0</v>
      </c>
      <c r="AX45" s="251">
        <f t="shared" si="27"/>
        <v>0</v>
      </c>
      <c r="AY45" s="251">
        <f t="shared" si="28"/>
        <v>0</v>
      </c>
      <c r="AZ45" s="251">
        <f t="shared" si="29"/>
        <v>0</v>
      </c>
      <c r="BA45" s="251">
        <f t="shared" si="30"/>
        <v>0</v>
      </c>
      <c r="BB45" s="251">
        <f t="shared" si="31"/>
        <v>0</v>
      </c>
      <c r="BC45" s="251">
        <f t="shared" si="32"/>
        <v>0</v>
      </c>
      <c r="BD45" s="251">
        <f t="shared" si="33"/>
        <v>0</v>
      </c>
      <c r="BE45" s="251">
        <f t="shared" si="34"/>
        <v>0</v>
      </c>
      <c r="BF45" s="251">
        <f t="shared" si="35"/>
        <v>0</v>
      </c>
      <c r="BG45" s="251">
        <f t="shared" si="36"/>
        <v>0</v>
      </c>
      <c r="BH45" s="251">
        <f t="shared" si="75"/>
        <v>0</v>
      </c>
      <c r="BI45" s="251">
        <f t="shared" si="76"/>
        <v>0</v>
      </c>
      <c r="BJ45" s="251">
        <f t="shared" si="37"/>
        <v>0</v>
      </c>
      <c r="BK45" s="251">
        <f t="shared" si="38"/>
        <v>0</v>
      </c>
      <c r="BL45" s="251">
        <f t="shared" si="39"/>
        <v>0</v>
      </c>
      <c r="BM45" s="251">
        <f t="shared" si="40"/>
        <v>0</v>
      </c>
      <c r="BN45" s="251">
        <f t="shared" si="41"/>
        <v>0</v>
      </c>
      <c r="BO45" s="251">
        <f t="shared" si="42"/>
        <v>0</v>
      </c>
      <c r="BP45" s="251">
        <f t="shared" si="77"/>
        <v>0</v>
      </c>
      <c r="BQ45" s="251">
        <f t="shared" si="78"/>
        <v>0</v>
      </c>
      <c r="BR45" s="251">
        <f t="shared" si="43"/>
        <v>0</v>
      </c>
      <c r="BS45" s="251">
        <f t="shared" si="44"/>
        <v>0</v>
      </c>
      <c r="BT45" s="251">
        <f t="shared" si="79"/>
        <v>0</v>
      </c>
      <c r="BU45" s="251">
        <f t="shared" si="80"/>
        <v>0</v>
      </c>
      <c r="BV45" s="251">
        <f t="shared" si="81"/>
        <v>0</v>
      </c>
      <c r="BW45" s="251">
        <f t="shared" si="82"/>
        <v>0</v>
      </c>
      <c r="BX45" s="251">
        <f t="shared" si="45"/>
        <v>0</v>
      </c>
      <c r="BY45" s="251">
        <f t="shared" si="46"/>
        <v>0</v>
      </c>
      <c r="BZ45" s="251">
        <f t="shared" si="47"/>
        <v>0</v>
      </c>
      <c r="CA45" s="251">
        <f t="shared" si="48"/>
        <v>0</v>
      </c>
      <c r="CB45" s="251">
        <f t="shared" si="49"/>
        <v>0</v>
      </c>
      <c r="CC45" s="251">
        <f t="shared" si="50"/>
        <v>0</v>
      </c>
      <c r="CD45" s="251">
        <f t="shared" si="83"/>
        <v>0</v>
      </c>
      <c r="CE45" s="251">
        <f t="shared" si="84"/>
        <v>0</v>
      </c>
      <c r="CF45" s="251">
        <f t="shared" si="85"/>
        <v>0</v>
      </c>
      <c r="CG45" s="251">
        <f t="shared" si="86"/>
        <v>0</v>
      </c>
      <c r="CH45" s="251">
        <f t="shared" si="51"/>
        <v>0</v>
      </c>
      <c r="CI45" s="251">
        <f t="shared" si="52"/>
        <v>0</v>
      </c>
      <c r="CJ45" s="251">
        <f t="shared" si="87"/>
        <v>0</v>
      </c>
      <c r="CK45" s="251">
        <f t="shared" si="88"/>
        <v>0</v>
      </c>
      <c r="CL45" s="251">
        <f t="shared" si="53"/>
        <v>0</v>
      </c>
      <c r="CM45" s="251">
        <f t="shared" si="54"/>
        <v>0</v>
      </c>
      <c r="CN45" s="251">
        <f t="shared" si="55"/>
        <v>0</v>
      </c>
      <c r="CO45" s="251">
        <f t="shared" si="56"/>
        <v>0</v>
      </c>
      <c r="CP45" s="251">
        <f t="shared" si="89"/>
        <v>0</v>
      </c>
      <c r="CQ45" s="251">
        <f t="shared" si="90"/>
        <v>0</v>
      </c>
      <c r="CR45" s="251">
        <f t="shared" si="91"/>
        <v>0</v>
      </c>
      <c r="CS45" s="251">
        <f t="shared" si="92"/>
        <v>0</v>
      </c>
      <c r="CT45" s="251">
        <f t="shared" si="57"/>
        <v>0</v>
      </c>
      <c r="CU45" s="251">
        <f t="shared" si="58"/>
        <v>0</v>
      </c>
      <c r="CV45" s="251">
        <f t="shared" si="59"/>
        <v>0</v>
      </c>
      <c r="CW45" s="251">
        <f t="shared" si="60"/>
        <v>0</v>
      </c>
      <c r="CX45" s="251">
        <f t="shared" si="93"/>
        <v>0</v>
      </c>
      <c r="CY45" s="251">
        <f t="shared" si="94"/>
        <v>0</v>
      </c>
      <c r="CZ45" s="251">
        <f t="shared" si="95"/>
        <v>0</v>
      </c>
      <c r="DA45" s="251">
        <f t="shared" si="96"/>
        <v>0</v>
      </c>
    </row>
    <row r="46" spans="1:105" s="248" customFormat="1" ht="15.75" customHeight="1">
      <c r="A46" s="58">
        <f t="array" aca="1" ref="A46" ca="1">IF(C46&lt;&gt;0,SUM(($C$11:C46&lt;&gt;0)*1),"")</f>
        <v>8</v>
      </c>
      <c r="B46" s="249">
        <v>42643</v>
      </c>
      <c r="C46" s="252" t="s">
        <v>115</v>
      </c>
      <c r="D46" s="252">
        <f t="shared" si="98"/>
        <v>42643</v>
      </c>
      <c r="E46" s="736" t="s">
        <v>118</v>
      </c>
      <c r="F46" s="737">
        <f ca="1">CI52</f>
        <v>0</v>
      </c>
      <c r="G46" s="738" t="s">
        <v>43</v>
      </c>
      <c r="H46" s="738" t="s">
        <v>109</v>
      </c>
      <c r="I46" s="58">
        <f t="shared" ca="1" si="97"/>
        <v>8</v>
      </c>
      <c r="J46" s="251">
        <f t="shared" si="61"/>
        <v>0</v>
      </c>
      <c r="K46" s="251">
        <f t="shared" si="62"/>
        <v>0</v>
      </c>
      <c r="L46" s="251">
        <f t="shared" si="1"/>
        <v>0</v>
      </c>
      <c r="M46" s="251">
        <f t="shared" si="2"/>
        <v>0</v>
      </c>
      <c r="N46" s="251">
        <f t="shared" si="3"/>
        <v>0</v>
      </c>
      <c r="O46" s="251">
        <f t="shared" si="4"/>
        <v>0</v>
      </c>
      <c r="P46" s="251">
        <f t="shared" si="5"/>
        <v>0</v>
      </c>
      <c r="Q46" s="251">
        <f t="shared" si="6"/>
        <v>0</v>
      </c>
      <c r="R46" s="251">
        <f t="shared" si="7"/>
        <v>0</v>
      </c>
      <c r="S46" s="251">
        <f t="shared" si="8"/>
        <v>0</v>
      </c>
      <c r="T46" s="251">
        <f t="shared" si="9"/>
        <v>0</v>
      </c>
      <c r="U46" s="251">
        <f t="shared" si="10"/>
        <v>0</v>
      </c>
      <c r="V46" s="251">
        <f t="shared" si="11"/>
        <v>0</v>
      </c>
      <c r="W46" s="251">
        <f t="shared" si="12"/>
        <v>0</v>
      </c>
      <c r="X46" s="251">
        <f t="shared" si="13"/>
        <v>0</v>
      </c>
      <c r="Y46" s="251">
        <f t="shared" si="14"/>
        <v>0</v>
      </c>
      <c r="Z46" s="251">
        <f t="shared" si="15"/>
        <v>0</v>
      </c>
      <c r="AA46" s="251">
        <f t="shared" si="16"/>
        <v>0</v>
      </c>
      <c r="AB46" s="251">
        <f t="shared" si="63"/>
        <v>0</v>
      </c>
      <c r="AC46" s="251">
        <f t="shared" si="64"/>
        <v>0</v>
      </c>
      <c r="AD46" s="251">
        <f t="shared" si="17"/>
        <v>0</v>
      </c>
      <c r="AE46" s="251">
        <f t="shared" si="18"/>
        <v>0</v>
      </c>
      <c r="AF46" s="251">
        <f t="shared" si="19"/>
        <v>0</v>
      </c>
      <c r="AG46" s="251">
        <f t="shared" si="20"/>
        <v>0</v>
      </c>
      <c r="AH46" s="251">
        <f t="shared" si="65"/>
        <v>0</v>
      </c>
      <c r="AI46" s="251">
        <f t="shared" si="66"/>
        <v>0</v>
      </c>
      <c r="AJ46" s="251">
        <f t="shared" si="67"/>
        <v>0</v>
      </c>
      <c r="AK46" s="251">
        <f t="shared" si="68"/>
        <v>0</v>
      </c>
      <c r="AL46" s="251">
        <f t="shared" si="69"/>
        <v>0</v>
      </c>
      <c r="AM46" s="251">
        <f t="shared" si="70"/>
        <v>0</v>
      </c>
      <c r="AN46" s="251">
        <f t="shared" si="71"/>
        <v>0</v>
      </c>
      <c r="AO46" s="251">
        <f t="shared" si="72"/>
        <v>0</v>
      </c>
      <c r="AP46" s="251">
        <f t="shared" si="21"/>
        <v>0</v>
      </c>
      <c r="AQ46" s="251">
        <f t="shared" si="22"/>
        <v>0</v>
      </c>
      <c r="AR46" s="251">
        <f t="shared" si="23"/>
        <v>0</v>
      </c>
      <c r="AS46" s="251">
        <f t="shared" si="24"/>
        <v>0</v>
      </c>
      <c r="AT46" s="251">
        <f t="shared" si="73"/>
        <v>0</v>
      </c>
      <c r="AU46" s="251">
        <f t="shared" si="74"/>
        <v>0</v>
      </c>
      <c r="AV46" s="251">
        <f t="shared" si="25"/>
        <v>0</v>
      </c>
      <c r="AW46" s="251">
        <f t="shared" si="26"/>
        <v>0</v>
      </c>
      <c r="AX46" s="251">
        <f t="shared" si="27"/>
        <v>0</v>
      </c>
      <c r="AY46" s="251">
        <f t="shared" si="28"/>
        <v>0</v>
      </c>
      <c r="AZ46" s="251">
        <f t="shared" si="29"/>
        <v>0</v>
      </c>
      <c r="BA46" s="251">
        <f t="shared" si="30"/>
        <v>0</v>
      </c>
      <c r="BB46" s="251">
        <f t="shared" si="31"/>
        <v>0</v>
      </c>
      <c r="BC46" s="251">
        <f t="shared" si="32"/>
        <v>0</v>
      </c>
      <c r="BD46" s="251">
        <f t="shared" si="33"/>
        <v>0</v>
      </c>
      <c r="BE46" s="251">
        <f t="shared" si="34"/>
        <v>0</v>
      </c>
      <c r="BF46" s="251">
        <f t="shared" si="35"/>
        <v>0</v>
      </c>
      <c r="BG46" s="251">
        <f t="shared" si="36"/>
        <v>0</v>
      </c>
      <c r="BH46" s="251">
        <f t="shared" si="75"/>
        <v>0</v>
      </c>
      <c r="BI46" s="251">
        <f t="shared" si="76"/>
        <v>0</v>
      </c>
      <c r="BJ46" s="251">
        <f t="shared" si="37"/>
        <v>0</v>
      </c>
      <c r="BK46" s="251">
        <f t="shared" si="38"/>
        <v>0</v>
      </c>
      <c r="BL46" s="251">
        <f t="shared" si="39"/>
        <v>0</v>
      </c>
      <c r="BM46" s="251">
        <f t="shared" si="40"/>
        <v>0</v>
      </c>
      <c r="BN46" s="251">
        <f t="shared" si="41"/>
        <v>0</v>
      </c>
      <c r="BO46" s="251">
        <f t="shared" si="42"/>
        <v>0</v>
      </c>
      <c r="BP46" s="251">
        <f t="shared" si="77"/>
        <v>0</v>
      </c>
      <c r="BQ46" s="251">
        <f t="shared" si="78"/>
        <v>0</v>
      </c>
      <c r="BR46" s="251">
        <f t="shared" si="43"/>
        <v>0</v>
      </c>
      <c r="BS46" s="251">
        <f t="shared" si="44"/>
        <v>0</v>
      </c>
      <c r="BT46" s="251">
        <f t="shared" si="79"/>
        <v>0</v>
      </c>
      <c r="BU46" s="251">
        <f t="shared" si="80"/>
        <v>0</v>
      </c>
      <c r="BV46" s="251">
        <f t="shared" si="81"/>
        <v>0</v>
      </c>
      <c r="BW46" s="251">
        <f t="shared" si="82"/>
        <v>0</v>
      </c>
      <c r="BX46" s="251">
        <f t="shared" si="45"/>
        <v>0</v>
      </c>
      <c r="BY46" s="251">
        <f t="shared" si="46"/>
        <v>0</v>
      </c>
      <c r="BZ46" s="251">
        <f t="shared" si="47"/>
        <v>0</v>
      </c>
      <c r="CA46" s="251">
        <f t="shared" si="48"/>
        <v>0</v>
      </c>
      <c r="CB46" s="251">
        <f t="shared" si="49"/>
        <v>0</v>
      </c>
      <c r="CC46" s="251">
        <f t="shared" si="50"/>
        <v>0</v>
      </c>
      <c r="CD46" s="251">
        <f t="shared" si="83"/>
        <v>0</v>
      </c>
      <c r="CE46" s="251">
        <f t="shared" si="84"/>
        <v>0</v>
      </c>
      <c r="CF46" s="251">
        <f t="shared" si="85"/>
        <v>0</v>
      </c>
      <c r="CG46" s="251">
        <f t="shared" si="86"/>
        <v>0</v>
      </c>
      <c r="CH46" s="251">
        <f t="shared" ca="1" si="51"/>
        <v>0</v>
      </c>
      <c r="CI46" s="251">
        <f t="shared" si="52"/>
        <v>0</v>
      </c>
      <c r="CJ46" s="251">
        <f t="shared" si="87"/>
        <v>0</v>
      </c>
      <c r="CK46" s="251">
        <f t="shared" si="88"/>
        <v>0</v>
      </c>
      <c r="CL46" s="251">
        <f t="shared" si="53"/>
        <v>0</v>
      </c>
      <c r="CM46" s="251">
        <f t="shared" si="54"/>
        <v>0</v>
      </c>
      <c r="CN46" s="251">
        <f t="shared" si="55"/>
        <v>0</v>
      </c>
      <c r="CO46" s="251">
        <f t="shared" si="56"/>
        <v>0</v>
      </c>
      <c r="CP46" s="251">
        <f t="shared" si="89"/>
        <v>0</v>
      </c>
      <c r="CQ46" s="251">
        <f t="shared" si="90"/>
        <v>0</v>
      </c>
      <c r="CR46" s="251">
        <f t="shared" si="91"/>
        <v>0</v>
      </c>
      <c r="CS46" s="251">
        <f t="shared" si="92"/>
        <v>0</v>
      </c>
      <c r="CT46" s="251">
        <f t="shared" si="57"/>
        <v>0</v>
      </c>
      <c r="CU46" s="251">
        <f t="shared" si="58"/>
        <v>0</v>
      </c>
      <c r="CV46" s="251">
        <f t="shared" si="59"/>
        <v>0</v>
      </c>
      <c r="CW46" s="251">
        <f t="shared" si="60"/>
        <v>0</v>
      </c>
      <c r="CX46" s="251">
        <f t="shared" si="93"/>
        <v>0</v>
      </c>
      <c r="CY46" s="251">
        <f t="shared" si="94"/>
        <v>0</v>
      </c>
      <c r="CZ46" s="251">
        <f t="shared" si="95"/>
        <v>0</v>
      </c>
      <c r="DA46" s="251">
        <f t="shared" ca="1" si="96"/>
        <v>0</v>
      </c>
    </row>
    <row r="47" spans="1:105" s="248" customFormat="1" ht="15.75" customHeight="1">
      <c r="A47" s="58">
        <f t="array" aca="1" ref="A47" ca="1">IF(C47&lt;&gt;0,SUM(($C$11:C47&lt;&gt;0)*1),"")</f>
        <v>9</v>
      </c>
      <c r="B47" s="249">
        <v>42643</v>
      </c>
      <c r="C47" s="252" t="s">
        <v>115</v>
      </c>
      <c r="D47" s="252">
        <f t="shared" si="98"/>
        <v>42643</v>
      </c>
      <c r="E47" s="736" t="s">
        <v>593</v>
      </c>
      <c r="F47" s="737">
        <f ca="1">CE52</f>
        <v>0</v>
      </c>
      <c r="G47" s="738" t="s">
        <v>286</v>
      </c>
      <c r="H47" s="738" t="s">
        <v>109</v>
      </c>
      <c r="I47" s="58">
        <f t="shared" ca="1" si="97"/>
        <v>9</v>
      </c>
      <c r="J47" s="251">
        <f t="shared" si="61"/>
        <v>0</v>
      </c>
      <c r="K47" s="251">
        <f t="shared" si="62"/>
        <v>0</v>
      </c>
      <c r="L47" s="251">
        <f t="shared" si="1"/>
        <v>0</v>
      </c>
      <c r="M47" s="251">
        <f t="shared" si="2"/>
        <v>0</v>
      </c>
      <c r="N47" s="251">
        <f t="shared" si="3"/>
        <v>0</v>
      </c>
      <c r="O47" s="251">
        <f t="shared" si="4"/>
        <v>0</v>
      </c>
      <c r="P47" s="251">
        <f t="shared" si="5"/>
        <v>0</v>
      </c>
      <c r="Q47" s="251">
        <f t="shared" si="6"/>
        <v>0</v>
      </c>
      <c r="R47" s="251">
        <f t="shared" si="7"/>
        <v>0</v>
      </c>
      <c r="S47" s="251">
        <f t="shared" si="8"/>
        <v>0</v>
      </c>
      <c r="T47" s="251">
        <f t="shared" si="9"/>
        <v>0</v>
      </c>
      <c r="U47" s="251">
        <f t="shared" si="10"/>
        <v>0</v>
      </c>
      <c r="V47" s="251">
        <f t="shared" si="11"/>
        <v>0</v>
      </c>
      <c r="W47" s="251">
        <f t="shared" si="12"/>
        <v>0</v>
      </c>
      <c r="X47" s="251">
        <f t="shared" si="13"/>
        <v>0</v>
      </c>
      <c r="Y47" s="251">
        <f t="shared" si="14"/>
        <v>0</v>
      </c>
      <c r="Z47" s="251">
        <f t="shared" si="15"/>
        <v>0</v>
      </c>
      <c r="AA47" s="251">
        <f t="shared" si="16"/>
        <v>0</v>
      </c>
      <c r="AB47" s="251">
        <f t="shared" si="63"/>
        <v>0</v>
      </c>
      <c r="AC47" s="251">
        <f t="shared" si="64"/>
        <v>0</v>
      </c>
      <c r="AD47" s="251">
        <f t="shared" si="17"/>
        <v>0</v>
      </c>
      <c r="AE47" s="251">
        <f t="shared" si="18"/>
        <v>0</v>
      </c>
      <c r="AF47" s="251">
        <f t="shared" si="19"/>
        <v>0</v>
      </c>
      <c r="AG47" s="251">
        <f t="shared" si="20"/>
        <v>0</v>
      </c>
      <c r="AH47" s="251">
        <f t="shared" si="65"/>
        <v>0</v>
      </c>
      <c r="AI47" s="251">
        <f t="shared" si="66"/>
        <v>0</v>
      </c>
      <c r="AJ47" s="251">
        <f t="shared" si="67"/>
        <v>0</v>
      </c>
      <c r="AK47" s="251">
        <f t="shared" si="68"/>
        <v>0</v>
      </c>
      <c r="AL47" s="251">
        <f t="shared" si="69"/>
        <v>0</v>
      </c>
      <c r="AM47" s="251">
        <f t="shared" si="70"/>
        <v>0</v>
      </c>
      <c r="AN47" s="251">
        <f t="shared" si="71"/>
        <v>0</v>
      </c>
      <c r="AO47" s="251">
        <f t="shared" si="72"/>
        <v>0</v>
      </c>
      <c r="AP47" s="251">
        <f t="shared" si="21"/>
        <v>0</v>
      </c>
      <c r="AQ47" s="251">
        <f t="shared" si="22"/>
        <v>0</v>
      </c>
      <c r="AR47" s="251">
        <f t="shared" si="23"/>
        <v>0</v>
      </c>
      <c r="AS47" s="251">
        <f t="shared" si="24"/>
        <v>0</v>
      </c>
      <c r="AT47" s="251">
        <f t="shared" si="73"/>
        <v>0</v>
      </c>
      <c r="AU47" s="251">
        <f t="shared" si="74"/>
        <v>0</v>
      </c>
      <c r="AV47" s="251">
        <f t="shared" si="25"/>
        <v>0</v>
      </c>
      <c r="AW47" s="251">
        <f t="shared" si="26"/>
        <v>0</v>
      </c>
      <c r="AX47" s="251">
        <f t="shared" si="27"/>
        <v>0</v>
      </c>
      <c r="AY47" s="251">
        <f t="shared" si="28"/>
        <v>0</v>
      </c>
      <c r="AZ47" s="251">
        <f t="shared" si="29"/>
        <v>0</v>
      </c>
      <c r="BA47" s="251">
        <f t="shared" si="30"/>
        <v>0</v>
      </c>
      <c r="BB47" s="251">
        <f t="shared" si="31"/>
        <v>0</v>
      </c>
      <c r="BC47" s="251">
        <f t="shared" si="32"/>
        <v>0</v>
      </c>
      <c r="BD47" s="251">
        <f t="shared" si="33"/>
        <v>0</v>
      </c>
      <c r="BE47" s="251">
        <f t="shared" si="34"/>
        <v>0</v>
      </c>
      <c r="BF47" s="251">
        <f t="shared" si="35"/>
        <v>0</v>
      </c>
      <c r="BG47" s="251">
        <f t="shared" si="36"/>
        <v>0</v>
      </c>
      <c r="BH47" s="251">
        <f t="shared" si="75"/>
        <v>0</v>
      </c>
      <c r="BI47" s="251">
        <f t="shared" si="76"/>
        <v>0</v>
      </c>
      <c r="BJ47" s="251">
        <f t="shared" si="37"/>
        <v>0</v>
      </c>
      <c r="BK47" s="251">
        <f t="shared" si="38"/>
        <v>0</v>
      </c>
      <c r="BL47" s="251">
        <f t="shared" si="39"/>
        <v>0</v>
      </c>
      <c r="BM47" s="251">
        <f t="shared" si="40"/>
        <v>0</v>
      </c>
      <c r="BN47" s="251">
        <f t="shared" si="41"/>
        <v>0</v>
      </c>
      <c r="BO47" s="251">
        <f t="shared" si="42"/>
        <v>0</v>
      </c>
      <c r="BP47" s="251">
        <f t="shared" si="77"/>
        <v>0</v>
      </c>
      <c r="BQ47" s="251">
        <f t="shared" si="78"/>
        <v>0</v>
      </c>
      <c r="BR47" s="251">
        <f t="shared" si="43"/>
        <v>0</v>
      </c>
      <c r="BS47" s="251">
        <f t="shared" si="44"/>
        <v>0</v>
      </c>
      <c r="BT47" s="251">
        <f t="shared" si="79"/>
        <v>0</v>
      </c>
      <c r="BU47" s="251">
        <f t="shared" si="80"/>
        <v>0</v>
      </c>
      <c r="BV47" s="251">
        <f t="shared" si="81"/>
        <v>0</v>
      </c>
      <c r="BW47" s="251">
        <f t="shared" si="82"/>
        <v>0</v>
      </c>
      <c r="BX47" s="251">
        <f t="shared" si="45"/>
        <v>0</v>
      </c>
      <c r="BY47" s="251">
        <f t="shared" si="46"/>
        <v>0</v>
      </c>
      <c r="BZ47" s="251">
        <f t="shared" si="47"/>
        <v>0</v>
      </c>
      <c r="CA47" s="251">
        <f t="shared" si="48"/>
        <v>0</v>
      </c>
      <c r="CB47" s="251">
        <f t="shared" si="49"/>
        <v>0</v>
      </c>
      <c r="CC47" s="251">
        <f t="shared" si="50"/>
        <v>0</v>
      </c>
      <c r="CD47" s="251">
        <f t="shared" ca="1" si="83"/>
        <v>0</v>
      </c>
      <c r="CE47" s="251">
        <f t="shared" si="84"/>
        <v>0</v>
      </c>
      <c r="CF47" s="251">
        <f t="shared" si="85"/>
        <v>0</v>
      </c>
      <c r="CG47" s="251">
        <f t="shared" si="86"/>
        <v>0</v>
      </c>
      <c r="CH47" s="251">
        <f t="shared" si="51"/>
        <v>0</v>
      </c>
      <c r="CI47" s="251">
        <f t="shared" si="52"/>
        <v>0</v>
      </c>
      <c r="CJ47" s="251">
        <f t="shared" si="87"/>
        <v>0</v>
      </c>
      <c r="CK47" s="251">
        <f t="shared" si="88"/>
        <v>0</v>
      </c>
      <c r="CL47" s="251">
        <f t="shared" si="53"/>
        <v>0</v>
      </c>
      <c r="CM47" s="251">
        <f t="shared" si="54"/>
        <v>0</v>
      </c>
      <c r="CN47" s="251">
        <f t="shared" si="55"/>
        <v>0</v>
      </c>
      <c r="CO47" s="251">
        <f t="shared" si="56"/>
        <v>0</v>
      </c>
      <c r="CP47" s="251">
        <f t="shared" si="89"/>
        <v>0</v>
      </c>
      <c r="CQ47" s="251">
        <f t="shared" si="90"/>
        <v>0</v>
      </c>
      <c r="CR47" s="251">
        <f t="shared" si="91"/>
        <v>0</v>
      </c>
      <c r="CS47" s="251">
        <f t="shared" si="92"/>
        <v>0</v>
      </c>
      <c r="CT47" s="251">
        <f t="shared" si="57"/>
        <v>0</v>
      </c>
      <c r="CU47" s="251">
        <f t="shared" si="58"/>
        <v>0</v>
      </c>
      <c r="CV47" s="251">
        <f t="shared" si="59"/>
        <v>0</v>
      </c>
      <c r="CW47" s="251">
        <f t="shared" si="60"/>
        <v>0</v>
      </c>
      <c r="CX47" s="251">
        <f t="shared" si="93"/>
        <v>0</v>
      </c>
      <c r="CY47" s="251">
        <f t="shared" si="94"/>
        <v>0</v>
      </c>
      <c r="CZ47" s="251">
        <f t="shared" si="95"/>
        <v>0</v>
      </c>
      <c r="DA47" s="251">
        <f t="shared" ca="1" si="96"/>
        <v>0</v>
      </c>
    </row>
    <row r="48" spans="1:105" s="248" customFormat="1" ht="15.75" customHeight="1">
      <c r="A48" s="58">
        <f t="array" aca="1" ref="A48" ca="1">IF(C48&lt;&gt;0,SUM(($C$11:C48&lt;&gt;0)*1),"")</f>
        <v>10</v>
      </c>
      <c r="B48" s="249">
        <v>42643</v>
      </c>
      <c r="C48" s="252" t="s">
        <v>115</v>
      </c>
      <c r="D48" s="252">
        <f t="shared" si="98"/>
        <v>42643</v>
      </c>
      <c r="E48" s="736" t="s">
        <v>594</v>
      </c>
      <c r="F48" s="737">
        <f ca="1">CG52</f>
        <v>0</v>
      </c>
      <c r="G48" s="738" t="s">
        <v>288</v>
      </c>
      <c r="H48" s="738" t="s">
        <v>109</v>
      </c>
      <c r="I48" s="58">
        <f t="shared" ca="1" si="97"/>
        <v>10</v>
      </c>
      <c r="J48" s="251">
        <f t="shared" si="61"/>
        <v>0</v>
      </c>
      <c r="K48" s="251">
        <f t="shared" si="62"/>
        <v>0</v>
      </c>
      <c r="L48" s="251">
        <f t="shared" si="1"/>
        <v>0</v>
      </c>
      <c r="M48" s="251">
        <f t="shared" si="2"/>
        <v>0</v>
      </c>
      <c r="N48" s="251">
        <f t="shared" si="3"/>
        <v>0</v>
      </c>
      <c r="O48" s="251">
        <f t="shared" si="4"/>
        <v>0</v>
      </c>
      <c r="P48" s="251">
        <f t="shared" si="5"/>
        <v>0</v>
      </c>
      <c r="Q48" s="251">
        <f t="shared" si="6"/>
        <v>0</v>
      </c>
      <c r="R48" s="251">
        <f t="shared" si="7"/>
        <v>0</v>
      </c>
      <c r="S48" s="251">
        <f t="shared" si="8"/>
        <v>0</v>
      </c>
      <c r="T48" s="251">
        <f t="shared" si="9"/>
        <v>0</v>
      </c>
      <c r="U48" s="251">
        <f t="shared" si="10"/>
        <v>0</v>
      </c>
      <c r="V48" s="251">
        <f t="shared" si="11"/>
        <v>0</v>
      </c>
      <c r="W48" s="251">
        <f t="shared" si="12"/>
        <v>0</v>
      </c>
      <c r="X48" s="251">
        <f t="shared" si="13"/>
        <v>0</v>
      </c>
      <c r="Y48" s="251">
        <f t="shared" si="14"/>
        <v>0</v>
      </c>
      <c r="Z48" s="251">
        <f t="shared" si="15"/>
        <v>0</v>
      </c>
      <c r="AA48" s="251">
        <f t="shared" si="16"/>
        <v>0</v>
      </c>
      <c r="AB48" s="251">
        <f t="shared" si="63"/>
        <v>0</v>
      </c>
      <c r="AC48" s="251">
        <f t="shared" si="64"/>
        <v>0</v>
      </c>
      <c r="AD48" s="251">
        <f t="shared" si="17"/>
        <v>0</v>
      </c>
      <c r="AE48" s="251">
        <f t="shared" si="18"/>
        <v>0</v>
      </c>
      <c r="AF48" s="251">
        <f t="shared" si="19"/>
        <v>0</v>
      </c>
      <c r="AG48" s="251">
        <f t="shared" si="20"/>
        <v>0</v>
      </c>
      <c r="AH48" s="251">
        <f t="shared" si="65"/>
        <v>0</v>
      </c>
      <c r="AI48" s="251">
        <f t="shared" si="66"/>
        <v>0</v>
      </c>
      <c r="AJ48" s="251">
        <f t="shared" si="67"/>
        <v>0</v>
      </c>
      <c r="AK48" s="251">
        <f t="shared" si="68"/>
        <v>0</v>
      </c>
      <c r="AL48" s="251">
        <f t="shared" si="69"/>
        <v>0</v>
      </c>
      <c r="AM48" s="251">
        <f t="shared" si="70"/>
        <v>0</v>
      </c>
      <c r="AN48" s="251">
        <f t="shared" si="71"/>
        <v>0</v>
      </c>
      <c r="AO48" s="251">
        <f t="shared" si="72"/>
        <v>0</v>
      </c>
      <c r="AP48" s="251">
        <f t="shared" si="21"/>
        <v>0</v>
      </c>
      <c r="AQ48" s="251">
        <f t="shared" si="22"/>
        <v>0</v>
      </c>
      <c r="AR48" s="251">
        <f t="shared" si="23"/>
        <v>0</v>
      </c>
      <c r="AS48" s="251">
        <f t="shared" si="24"/>
        <v>0</v>
      </c>
      <c r="AT48" s="251">
        <f t="shared" si="73"/>
        <v>0</v>
      </c>
      <c r="AU48" s="251">
        <f t="shared" si="74"/>
        <v>0</v>
      </c>
      <c r="AV48" s="251">
        <f t="shared" si="25"/>
        <v>0</v>
      </c>
      <c r="AW48" s="251">
        <f t="shared" si="26"/>
        <v>0</v>
      </c>
      <c r="AX48" s="251">
        <f t="shared" si="27"/>
        <v>0</v>
      </c>
      <c r="AY48" s="251">
        <f t="shared" si="28"/>
        <v>0</v>
      </c>
      <c r="AZ48" s="251">
        <f t="shared" si="29"/>
        <v>0</v>
      </c>
      <c r="BA48" s="251">
        <f t="shared" si="30"/>
        <v>0</v>
      </c>
      <c r="BB48" s="251">
        <f t="shared" si="31"/>
        <v>0</v>
      </c>
      <c r="BC48" s="251">
        <f t="shared" si="32"/>
        <v>0</v>
      </c>
      <c r="BD48" s="251">
        <f t="shared" si="33"/>
        <v>0</v>
      </c>
      <c r="BE48" s="251">
        <f t="shared" si="34"/>
        <v>0</v>
      </c>
      <c r="BF48" s="251">
        <f t="shared" si="35"/>
        <v>0</v>
      </c>
      <c r="BG48" s="251">
        <f t="shared" si="36"/>
        <v>0</v>
      </c>
      <c r="BH48" s="251">
        <f t="shared" si="75"/>
        <v>0</v>
      </c>
      <c r="BI48" s="251">
        <f t="shared" si="76"/>
        <v>0</v>
      </c>
      <c r="BJ48" s="251">
        <f t="shared" si="37"/>
        <v>0</v>
      </c>
      <c r="BK48" s="251">
        <f t="shared" si="38"/>
        <v>0</v>
      </c>
      <c r="BL48" s="251">
        <f t="shared" si="39"/>
        <v>0</v>
      </c>
      <c r="BM48" s="251">
        <f t="shared" si="40"/>
        <v>0</v>
      </c>
      <c r="BN48" s="251">
        <f t="shared" si="41"/>
        <v>0</v>
      </c>
      <c r="BO48" s="251">
        <f t="shared" si="42"/>
        <v>0</v>
      </c>
      <c r="BP48" s="251">
        <f t="shared" si="77"/>
        <v>0</v>
      </c>
      <c r="BQ48" s="251">
        <f t="shared" si="78"/>
        <v>0</v>
      </c>
      <c r="BR48" s="251">
        <f t="shared" si="43"/>
        <v>0</v>
      </c>
      <c r="BS48" s="251">
        <f t="shared" si="44"/>
        <v>0</v>
      </c>
      <c r="BT48" s="251">
        <f t="shared" si="79"/>
        <v>0</v>
      </c>
      <c r="BU48" s="251">
        <f t="shared" si="80"/>
        <v>0</v>
      </c>
      <c r="BV48" s="251">
        <f t="shared" si="81"/>
        <v>0</v>
      </c>
      <c r="BW48" s="251">
        <f t="shared" si="82"/>
        <v>0</v>
      </c>
      <c r="BX48" s="251">
        <f t="shared" si="45"/>
        <v>0</v>
      </c>
      <c r="BY48" s="251">
        <f t="shared" si="46"/>
        <v>0</v>
      </c>
      <c r="BZ48" s="251">
        <f t="shared" si="47"/>
        <v>0</v>
      </c>
      <c r="CA48" s="251">
        <f t="shared" si="48"/>
        <v>0</v>
      </c>
      <c r="CB48" s="251">
        <f t="shared" si="49"/>
        <v>0</v>
      </c>
      <c r="CC48" s="251">
        <f t="shared" si="50"/>
        <v>0</v>
      </c>
      <c r="CD48" s="251">
        <f t="shared" si="83"/>
        <v>0</v>
      </c>
      <c r="CE48" s="251">
        <f t="shared" si="84"/>
        <v>0</v>
      </c>
      <c r="CF48" s="251">
        <f t="shared" ca="1" si="85"/>
        <v>0</v>
      </c>
      <c r="CG48" s="251">
        <f t="shared" si="86"/>
        <v>0</v>
      </c>
      <c r="CH48" s="251">
        <f t="shared" si="51"/>
        <v>0</v>
      </c>
      <c r="CI48" s="251">
        <f t="shared" si="52"/>
        <v>0</v>
      </c>
      <c r="CJ48" s="251">
        <f t="shared" si="87"/>
        <v>0</v>
      </c>
      <c r="CK48" s="251">
        <f t="shared" si="88"/>
        <v>0</v>
      </c>
      <c r="CL48" s="251">
        <f t="shared" si="53"/>
        <v>0</v>
      </c>
      <c r="CM48" s="251">
        <f t="shared" si="54"/>
        <v>0</v>
      </c>
      <c r="CN48" s="251">
        <f t="shared" si="55"/>
        <v>0</v>
      </c>
      <c r="CO48" s="251">
        <f t="shared" si="56"/>
        <v>0</v>
      </c>
      <c r="CP48" s="251">
        <f t="shared" si="89"/>
        <v>0</v>
      </c>
      <c r="CQ48" s="251">
        <f t="shared" si="90"/>
        <v>0</v>
      </c>
      <c r="CR48" s="251">
        <f t="shared" si="91"/>
        <v>0</v>
      </c>
      <c r="CS48" s="251">
        <f t="shared" si="92"/>
        <v>0</v>
      </c>
      <c r="CT48" s="251">
        <f t="shared" si="57"/>
        <v>0</v>
      </c>
      <c r="CU48" s="251">
        <f t="shared" si="58"/>
        <v>0</v>
      </c>
      <c r="CV48" s="251">
        <f t="shared" si="59"/>
        <v>0</v>
      </c>
      <c r="CW48" s="251">
        <f t="shared" si="60"/>
        <v>0</v>
      </c>
      <c r="CX48" s="251">
        <f t="shared" si="93"/>
        <v>0</v>
      </c>
      <c r="CY48" s="251">
        <f t="shared" si="94"/>
        <v>0</v>
      </c>
      <c r="CZ48" s="251">
        <f t="shared" si="95"/>
        <v>0</v>
      </c>
      <c r="DA48" s="251">
        <f t="shared" ca="1" si="96"/>
        <v>0</v>
      </c>
    </row>
    <row r="49" spans="1:105" s="248" customFormat="1" ht="15.75" customHeight="1">
      <c r="A49" s="58">
        <f t="array" aca="1" ref="A49" ca="1">IF(C49&lt;&gt;0,SUM(($C$11:C49&lt;&gt;0)*1),"")</f>
        <v>11</v>
      </c>
      <c r="B49" s="249">
        <v>42643</v>
      </c>
      <c r="C49" s="252" t="s">
        <v>115</v>
      </c>
      <c r="D49" s="252">
        <f t="shared" si="98"/>
        <v>42643</v>
      </c>
      <c r="E49" s="736" t="s">
        <v>119</v>
      </c>
      <c r="F49" s="737">
        <f ca="1">CU52</f>
        <v>0</v>
      </c>
      <c r="G49" s="738" t="s">
        <v>103</v>
      </c>
      <c r="H49" s="738" t="s">
        <v>109</v>
      </c>
      <c r="I49" s="58">
        <f t="shared" ca="1" si="97"/>
        <v>11</v>
      </c>
      <c r="J49" s="251">
        <f t="shared" si="61"/>
        <v>0</v>
      </c>
      <c r="K49" s="251">
        <f t="shared" si="62"/>
        <v>0</v>
      </c>
      <c r="L49" s="251">
        <f t="shared" si="1"/>
        <v>0</v>
      </c>
      <c r="M49" s="251">
        <f t="shared" si="2"/>
        <v>0</v>
      </c>
      <c r="N49" s="251">
        <f t="shared" si="3"/>
        <v>0</v>
      </c>
      <c r="O49" s="251">
        <f t="shared" si="4"/>
        <v>0</v>
      </c>
      <c r="P49" s="251">
        <f t="shared" si="5"/>
        <v>0</v>
      </c>
      <c r="Q49" s="251">
        <f t="shared" si="6"/>
        <v>0</v>
      </c>
      <c r="R49" s="251">
        <f t="shared" si="7"/>
        <v>0</v>
      </c>
      <c r="S49" s="251">
        <f t="shared" si="8"/>
        <v>0</v>
      </c>
      <c r="T49" s="251">
        <f t="shared" si="9"/>
        <v>0</v>
      </c>
      <c r="U49" s="251">
        <f t="shared" si="10"/>
        <v>0</v>
      </c>
      <c r="V49" s="251">
        <f t="shared" si="11"/>
        <v>0</v>
      </c>
      <c r="W49" s="251">
        <f t="shared" si="12"/>
        <v>0</v>
      </c>
      <c r="X49" s="251">
        <f t="shared" si="13"/>
        <v>0</v>
      </c>
      <c r="Y49" s="251">
        <f t="shared" si="14"/>
        <v>0</v>
      </c>
      <c r="Z49" s="251">
        <f t="shared" si="15"/>
        <v>0</v>
      </c>
      <c r="AA49" s="251">
        <f t="shared" si="16"/>
        <v>0</v>
      </c>
      <c r="AB49" s="251">
        <f t="shared" si="63"/>
        <v>0</v>
      </c>
      <c r="AC49" s="251">
        <f t="shared" si="64"/>
        <v>0</v>
      </c>
      <c r="AD49" s="251">
        <f t="shared" si="17"/>
        <v>0</v>
      </c>
      <c r="AE49" s="251">
        <f t="shared" si="18"/>
        <v>0</v>
      </c>
      <c r="AF49" s="251">
        <f t="shared" si="19"/>
        <v>0</v>
      </c>
      <c r="AG49" s="251">
        <f t="shared" si="20"/>
        <v>0</v>
      </c>
      <c r="AH49" s="251">
        <f t="shared" si="65"/>
        <v>0</v>
      </c>
      <c r="AI49" s="251">
        <f t="shared" si="66"/>
        <v>0</v>
      </c>
      <c r="AJ49" s="251">
        <f t="shared" si="67"/>
        <v>0</v>
      </c>
      <c r="AK49" s="251">
        <f t="shared" si="68"/>
        <v>0</v>
      </c>
      <c r="AL49" s="251">
        <f t="shared" si="69"/>
        <v>0</v>
      </c>
      <c r="AM49" s="251">
        <f t="shared" si="70"/>
        <v>0</v>
      </c>
      <c r="AN49" s="251">
        <f t="shared" si="71"/>
        <v>0</v>
      </c>
      <c r="AO49" s="251">
        <f t="shared" si="72"/>
        <v>0</v>
      </c>
      <c r="AP49" s="251">
        <f t="shared" si="21"/>
        <v>0</v>
      </c>
      <c r="AQ49" s="251">
        <f t="shared" si="22"/>
        <v>0</v>
      </c>
      <c r="AR49" s="251">
        <f t="shared" si="23"/>
        <v>0</v>
      </c>
      <c r="AS49" s="251">
        <f t="shared" si="24"/>
        <v>0</v>
      </c>
      <c r="AT49" s="251">
        <f t="shared" si="73"/>
        <v>0</v>
      </c>
      <c r="AU49" s="251">
        <f t="shared" si="74"/>
        <v>0</v>
      </c>
      <c r="AV49" s="251">
        <f t="shared" si="25"/>
        <v>0</v>
      </c>
      <c r="AW49" s="251">
        <f t="shared" si="26"/>
        <v>0</v>
      </c>
      <c r="AX49" s="251">
        <f t="shared" si="27"/>
        <v>0</v>
      </c>
      <c r="AY49" s="251">
        <f t="shared" si="28"/>
        <v>0</v>
      </c>
      <c r="AZ49" s="251">
        <f t="shared" si="29"/>
        <v>0</v>
      </c>
      <c r="BA49" s="251">
        <f t="shared" si="30"/>
        <v>0</v>
      </c>
      <c r="BB49" s="251">
        <f t="shared" si="31"/>
        <v>0</v>
      </c>
      <c r="BC49" s="251">
        <f t="shared" si="32"/>
        <v>0</v>
      </c>
      <c r="BD49" s="251">
        <f t="shared" si="33"/>
        <v>0</v>
      </c>
      <c r="BE49" s="251">
        <f t="shared" si="34"/>
        <v>0</v>
      </c>
      <c r="BF49" s="251">
        <f t="shared" si="35"/>
        <v>0</v>
      </c>
      <c r="BG49" s="251">
        <f t="shared" si="36"/>
        <v>0</v>
      </c>
      <c r="BH49" s="251">
        <f t="shared" si="75"/>
        <v>0</v>
      </c>
      <c r="BI49" s="251">
        <f t="shared" si="76"/>
        <v>0</v>
      </c>
      <c r="BJ49" s="251">
        <f t="shared" si="37"/>
        <v>0</v>
      </c>
      <c r="BK49" s="251">
        <f t="shared" si="38"/>
        <v>0</v>
      </c>
      <c r="BL49" s="251">
        <f t="shared" si="39"/>
        <v>0</v>
      </c>
      <c r="BM49" s="251">
        <f t="shared" si="40"/>
        <v>0</v>
      </c>
      <c r="BN49" s="251">
        <f t="shared" si="41"/>
        <v>0</v>
      </c>
      <c r="BO49" s="251">
        <f t="shared" si="42"/>
        <v>0</v>
      </c>
      <c r="BP49" s="251">
        <f t="shared" si="77"/>
        <v>0</v>
      </c>
      <c r="BQ49" s="251">
        <f t="shared" si="78"/>
        <v>0</v>
      </c>
      <c r="BR49" s="251">
        <f t="shared" si="43"/>
        <v>0</v>
      </c>
      <c r="BS49" s="251">
        <f t="shared" si="44"/>
        <v>0</v>
      </c>
      <c r="BT49" s="251">
        <f t="shared" si="79"/>
        <v>0</v>
      </c>
      <c r="BU49" s="251">
        <f t="shared" si="80"/>
        <v>0</v>
      </c>
      <c r="BV49" s="251">
        <f t="shared" si="81"/>
        <v>0</v>
      </c>
      <c r="BW49" s="251">
        <f t="shared" si="82"/>
        <v>0</v>
      </c>
      <c r="BX49" s="251">
        <f t="shared" si="45"/>
        <v>0</v>
      </c>
      <c r="BY49" s="251">
        <f t="shared" si="46"/>
        <v>0</v>
      </c>
      <c r="BZ49" s="251">
        <f t="shared" si="47"/>
        <v>0</v>
      </c>
      <c r="CA49" s="251">
        <f t="shared" si="48"/>
        <v>0</v>
      </c>
      <c r="CB49" s="251">
        <f t="shared" si="49"/>
        <v>0</v>
      </c>
      <c r="CC49" s="251">
        <f t="shared" si="50"/>
        <v>0</v>
      </c>
      <c r="CD49" s="251">
        <f t="shared" si="83"/>
        <v>0</v>
      </c>
      <c r="CE49" s="251">
        <f t="shared" si="84"/>
        <v>0</v>
      </c>
      <c r="CF49" s="251">
        <f t="shared" si="85"/>
        <v>0</v>
      </c>
      <c r="CG49" s="251">
        <f t="shared" si="86"/>
        <v>0</v>
      </c>
      <c r="CH49" s="251">
        <f t="shared" si="51"/>
        <v>0</v>
      </c>
      <c r="CI49" s="251">
        <f t="shared" si="52"/>
        <v>0</v>
      </c>
      <c r="CJ49" s="251">
        <f t="shared" si="87"/>
        <v>0</v>
      </c>
      <c r="CK49" s="251">
        <f t="shared" si="88"/>
        <v>0</v>
      </c>
      <c r="CL49" s="251">
        <f t="shared" si="53"/>
        <v>0</v>
      </c>
      <c r="CM49" s="251">
        <f t="shared" si="54"/>
        <v>0</v>
      </c>
      <c r="CN49" s="251">
        <f t="shared" si="55"/>
        <v>0</v>
      </c>
      <c r="CO49" s="251">
        <f t="shared" si="56"/>
        <v>0</v>
      </c>
      <c r="CP49" s="251">
        <f t="shared" si="89"/>
        <v>0</v>
      </c>
      <c r="CQ49" s="251">
        <f t="shared" si="90"/>
        <v>0</v>
      </c>
      <c r="CR49" s="251">
        <f t="shared" si="91"/>
        <v>0</v>
      </c>
      <c r="CS49" s="251">
        <f t="shared" si="92"/>
        <v>0</v>
      </c>
      <c r="CT49" s="251">
        <f t="shared" ca="1" si="57"/>
        <v>0</v>
      </c>
      <c r="CU49" s="251">
        <f t="shared" si="58"/>
        <v>0</v>
      </c>
      <c r="CV49" s="251">
        <f t="shared" si="59"/>
        <v>0</v>
      </c>
      <c r="CW49" s="251">
        <f t="shared" si="60"/>
        <v>0</v>
      </c>
      <c r="CX49" s="251">
        <f t="shared" si="93"/>
        <v>0</v>
      </c>
      <c r="CY49" s="251">
        <f t="shared" si="94"/>
        <v>0</v>
      </c>
      <c r="CZ49" s="251">
        <f t="shared" si="95"/>
        <v>0</v>
      </c>
      <c r="DA49" s="251">
        <f t="shared" ca="1" si="96"/>
        <v>0</v>
      </c>
    </row>
    <row r="50" spans="1:105" s="248" customFormat="1" ht="15.75" customHeight="1">
      <c r="A50" s="58">
        <f t="array" aca="1" ref="A50" ca="1">IF(C50&lt;&gt;0,SUM(($C$11:C50&lt;&gt;0)*1),"")</f>
        <v>12</v>
      </c>
      <c r="B50" s="249">
        <v>42643</v>
      </c>
      <c r="C50" s="252" t="s">
        <v>115</v>
      </c>
      <c r="D50" s="252">
        <f t="shared" si="98"/>
        <v>42643</v>
      </c>
      <c r="E50" s="736" t="s">
        <v>120</v>
      </c>
      <c r="F50" s="737">
        <f ca="1">CV52</f>
        <v>0</v>
      </c>
      <c r="G50" s="738" t="s">
        <v>109</v>
      </c>
      <c r="H50" s="738" t="s">
        <v>105</v>
      </c>
      <c r="I50" s="58">
        <f t="shared" ca="1" si="97"/>
        <v>12</v>
      </c>
      <c r="J50" s="251">
        <f t="shared" si="61"/>
        <v>0</v>
      </c>
      <c r="K50" s="251">
        <f t="shared" si="62"/>
        <v>0</v>
      </c>
      <c r="L50" s="251">
        <f t="shared" si="1"/>
        <v>0</v>
      </c>
      <c r="M50" s="251">
        <f t="shared" si="2"/>
        <v>0</v>
      </c>
      <c r="N50" s="251">
        <f t="shared" si="3"/>
        <v>0</v>
      </c>
      <c r="O50" s="251">
        <f t="shared" si="4"/>
        <v>0</v>
      </c>
      <c r="P50" s="251">
        <f t="shared" si="5"/>
        <v>0</v>
      </c>
      <c r="Q50" s="251">
        <f t="shared" si="6"/>
        <v>0</v>
      </c>
      <c r="R50" s="251">
        <f t="shared" si="7"/>
        <v>0</v>
      </c>
      <c r="S50" s="251">
        <f t="shared" si="8"/>
        <v>0</v>
      </c>
      <c r="T50" s="251">
        <f t="shared" si="9"/>
        <v>0</v>
      </c>
      <c r="U50" s="251">
        <f t="shared" si="10"/>
        <v>0</v>
      </c>
      <c r="V50" s="251">
        <f t="shared" si="11"/>
        <v>0</v>
      </c>
      <c r="W50" s="251">
        <f t="shared" si="12"/>
        <v>0</v>
      </c>
      <c r="X50" s="251">
        <f t="shared" si="13"/>
        <v>0</v>
      </c>
      <c r="Y50" s="251">
        <f t="shared" si="14"/>
        <v>0</v>
      </c>
      <c r="Z50" s="251">
        <f t="shared" si="15"/>
        <v>0</v>
      </c>
      <c r="AA50" s="251">
        <f t="shared" si="16"/>
        <v>0</v>
      </c>
      <c r="AB50" s="251">
        <f t="shared" si="63"/>
        <v>0</v>
      </c>
      <c r="AC50" s="251">
        <f t="shared" si="64"/>
        <v>0</v>
      </c>
      <c r="AD50" s="251">
        <f t="shared" si="17"/>
        <v>0</v>
      </c>
      <c r="AE50" s="251">
        <f t="shared" si="18"/>
        <v>0</v>
      </c>
      <c r="AF50" s="251">
        <f t="shared" si="19"/>
        <v>0</v>
      </c>
      <c r="AG50" s="251">
        <f t="shared" si="20"/>
        <v>0</v>
      </c>
      <c r="AH50" s="251">
        <f t="shared" si="65"/>
        <v>0</v>
      </c>
      <c r="AI50" s="251">
        <f t="shared" si="66"/>
        <v>0</v>
      </c>
      <c r="AJ50" s="251">
        <f t="shared" si="67"/>
        <v>0</v>
      </c>
      <c r="AK50" s="251">
        <f t="shared" si="68"/>
        <v>0</v>
      </c>
      <c r="AL50" s="251">
        <f t="shared" si="69"/>
        <v>0</v>
      </c>
      <c r="AM50" s="251">
        <f t="shared" si="70"/>
        <v>0</v>
      </c>
      <c r="AN50" s="251">
        <f t="shared" si="71"/>
        <v>0</v>
      </c>
      <c r="AO50" s="251">
        <f t="shared" si="72"/>
        <v>0</v>
      </c>
      <c r="AP50" s="251">
        <f t="shared" si="21"/>
        <v>0</v>
      </c>
      <c r="AQ50" s="251">
        <f t="shared" si="22"/>
        <v>0</v>
      </c>
      <c r="AR50" s="251">
        <f t="shared" si="23"/>
        <v>0</v>
      </c>
      <c r="AS50" s="251">
        <f t="shared" si="24"/>
        <v>0</v>
      </c>
      <c r="AT50" s="251">
        <f t="shared" si="73"/>
        <v>0</v>
      </c>
      <c r="AU50" s="251">
        <f t="shared" si="74"/>
        <v>0</v>
      </c>
      <c r="AV50" s="251">
        <f t="shared" si="25"/>
        <v>0</v>
      </c>
      <c r="AW50" s="251">
        <f t="shared" si="26"/>
        <v>0</v>
      </c>
      <c r="AX50" s="251">
        <f t="shared" si="27"/>
        <v>0</v>
      </c>
      <c r="AY50" s="251">
        <f t="shared" si="28"/>
        <v>0</v>
      </c>
      <c r="AZ50" s="251">
        <f t="shared" si="29"/>
        <v>0</v>
      </c>
      <c r="BA50" s="251">
        <f t="shared" si="30"/>
        <v>0</v>
      </c>
      <c r="BB50" s="251">
        <f t="shared" si="31"/>
        <v>0</v>
      </c>
      <c r="BC50" s="251">
        <f t="shared" si="32"/>
        <v>0</v>
      </c>
      <c r="BD50" s="251">
        <f t="shared" si="33"/>
        <v>0</v>
      </c>
      <c r="BE50" s="251">
        <f t="shared" si="34"/>
        <v>0</v>
      </c>
      <c r="BF50" s="251">
        <f t="shared" si="35"/>
        <v>0</v>
      </c>
      <c r="BG50" s="251">
        <f t="shared" si="36"/>
        <v>0</v>
      </c>
      <c r="BH50" s="251">
        <f t="shared" si="75"/>
        <v>0</v>
      </c>
      <c r="BI50" s="251">
        <f t="shared" si="76"/>
        <v>0</v>
      </c>
      <c r="BJ50" s="251">
        <f t="shared" si="37"/>
        <v>0</v>
      </c>
      <c r="BK50" s="251">
        <f t="shared" si="38"/>
        <v>0</v>
      </c>
      <c r="BL50" s="251">
        <f t="shared" si="39"/>
        <v>0</v>
      </c>
      <c r="BM50" s="251">
        <f t="shared" si="40"/>
        <v>0</v>
      </c>
      <c r="BN50" s="251">
        <f t="shared" si="41"/>
        <v>0</v>
      </c>
      <c r="BO50" s="251">
        <f t="shared" si="42"/>
        <v>0</v>
      </c>
      <c r="BP50" s="251">
        <f t="shared" si="77"/>
        <v>0</v>
      </c>
      <c r="BQ50" s="251">
        <f t="shared" si="78"/>
        <v>0</v>
      </c>
      <c r="BR50" s="251">
        <f t="shared" si="43"/>
        <v>0</v>
      </c>
      <c r="BS50" s="251">
        <f t="shared" si="44"/>
        <v>0</v>
      </c>
      <c r="BT50" s="251">
        <f t="shared" si="79"/>
        <v>0</v>
      </c>
      <c r="BU50" s="251">
        <f t="shared" si="80"/>
        <v>0</v>
      </c>
      <c r="BV50" s="251">
        <f t="shared" si="81"/>
        <v>0</v>
      </c>
      <c r="BW50" s="251">
        <f t="shared" si="82"/>
        <v>0</v>
      </c>
      <c r="BX50" s="251">
        <f t="shared" si="45"/>
        <v>0</v>
      </c>
      <c r="BY50" s="251">
        <f t="shared" si="46"/>
        <v>0</v>
      </c>
      <c r="BZ50" s="251">
        <f t="shared" si="47"/>
        <v>0</v>
      </c>
      <c r="CA50" s="251">
        <f t="shared" si="48"/>
        <v>0</v>
      </c>
      <c r="CB50" s="251">
        <f t="shared" si="49"/>
        <v>0</v>
      </c>
      <c r="CC50" s="251">
        <f t="shared" si="50"/>
        <v>0</v>
      </c>
      <c r="CD50" s="251">
        <f t="shared" si="83"/>
        <v>0</v>
      </c>
      <c r="CE50" s="251">
        <f t="shared" si="84"/>
        <v>0</v>
      </c>
      <c r="CF50" s="251">
        <f t="shared" si="85"/>
        <v>0</v>
      </c>
      <c r="CG50" s="251">
        <f t="shared" si="86"/>
        <v>0</v>
      </c>
      <c r="CH50" s="251">
        <f t="shared" si="51"/>
        <v>0</v>
      </c>
      <c r="CI50" s="251">
        <f t="shared" si="52"/>
        <v>0</v>
      </c>
      <c r="CJ50" s="251">
        <f t="shared" si="87"/>
        <v>0</v>
      </c>
      <c r="CK50" s="251">
        <f t="shared" si="88"/>
        <v>0</v>
      </c>
      <c r="CL50" s="251">
        <f t="shared" si="53"/>
        <v>0</v>
      </c>
      <c r="CM50" s="251">
        <f t="shared" si="54"/>
        <v>0</v>
      </c>
      <c r="CN50" s="251">
        <f t="shared" si="55"/>
        <v>0</v>
      </c>
      <c r="CO50" s="251">
        <f t="shared" si="56"/>
        <v>0</v>
      </c>
      <c r="CP50" s="251">
        <f t="shared" si="89"/>
        <v>0</v>
      </c>
      <c r="CQ50" s="251">
        <f t="shared" si="90"/>
        <v>0</v>
      </c>
      <c r="CR50" s="251">
        <f t="shared" si="91"/>
        <v>0</v>
      </c>
      <c r="CS50" s="251">
        <f t="shared" si="92"/>
        <v>0</v>
      </c>
      <c r="CT50" s="251">
        <f t="shared" si="57"/>
        <v>0</v>
      </c>
      <c r="CU50" s="251">
        <f t="shared" si="58"/>
        <v>0</v>
      </c>
      <c r="CV50" s="251">
        <f t="shared" si="59"/>
        <v>0</v>
      </c>
      <c r="CW50" s="251">
        <f t="shared" ca="1" si="60"/>
        <v>0</v>
      </c>
      <c r="CX50" s="251">
        <f t="shared" si="93"/>
        <v>0</v>
      </c>
      <c r="CY50" s="251">
        <f t="shared" si="94"/>
        <v>0</v>
      </c>
      <c r="CZ50" s="251">
        <f t="shared" ca="1" si="95"/>
        <v>0</v>
      </c>
      <c r="DA50" s="251">
        <f t="shared" si="96"/>
        <v>0</v>
      </c>
    </row>
    <row r="51" spans="1:105" s="248" customFormat="1" ht="15.75" customHeight="1">
      <c r="A51" s="58" t="str">
        <f t="array" ref="A51">IF(C51&lt;&gt;0,SUM(($C$11:C51&lt;&gt;0)*1),"")</f>
        <v/>
      </c>
      <c r="B51" s="217"/>
      <c r="C51" s="253"/>
      <c r="D51" s="217"/>
      <c r="E51" s="250"/>
      <c r="F51" s="60"/>
      <c r="G51" s="254"/>
      <c r="H51" s="254"/>
      <c r="I51" s="58" t="str">
        <f>A51</f>
        <v/>
      </c>
      <c r="J51" s="251">
        <f>IF($G51="1111",$F51,0)</f>
        <v>0</v>
      </c>
      <c r="K51" s="251">
        <f>IF($H51="1111",$F51,0)</f>
        <v>0</v>
      </c>
      <c r="L51" s="251">
        <f>IF($G51="1121",$F51,0)</f>
        <v>0</v>
      </c>
      <c r="M51" s="251">
        <f>IF($H51="1121",$F51,0)</f>
        <v>0</v>
      </c>
      <c r="N51" s="251">
        <f>IF($G51="1122",$F51,0)</f>
        <v>0</v>
      </c>
      <c r="O51" s="251">
        <f>IF($H51="1122",$F51,0)</f>
        <v>0</v>
      </c>
      <c r="P51" s="251">
        <f>IF($G51="131",$F51,0)</f>
        <v>0</v>
      </c>
      <c r="Q51" s="251">
        <f>IF($H51="131",$F51,0)</f>
        <v>0</v>
      </c>
      <c r="R51" s="251">
        <f>IF($G51="1331",$F51,0)</f>
        <v>0</v>
      </c>
      <c r="S51" s="251">
        <f>IF($H51="1331",$F51,0)</f>
        <v>0</v>
      </c>
      <c r="T51" s="251">
        <f>IF($G51="1388",$F51,0)</f>
        <v>0</v>
      </c>
      <c r="U51" s="251">
        <f>IF($H51="1388",$F51,0)</f>
        <v>0</v>
      </c>
      <c r="V51" s="251">
        <f>IF($G51="141",$F51,0)</f>
        <v>0</v>
      </c>
      <c r="W51" s="251">
        <f>IF($H51="141",$F51,0)</f>
        <v>0</v>
      </c>
      <c r="X51" s="251">
        <f>IF($G51="1521",$F51,0)</f>
        <v>0</v>
      </c>
      <c r="Y51" s="251">
        <f>IF($H51="1521",$F51,0)</f>
        <v>0</v>
      </c>
      <c r="Z51" s="251">
        <f>IF($G51="1522",$F51,0)</f>
        <v>0</v>
      </c>
      <c r="AA51" s="251">
        <f>IF($H51="1522",$F51,0)</f>
        <v>0</v>
      </c>
      <c r="AB51" s="251">
        <f>IF($G51="153",$F51,0)</f>
        <v>0</v>
      </c>
      <c r="AC51" s="251">
        <f>IF($H51="153",$F51,0)</f>
        <v>0</v>
      </c>
      <c r="AD51" s="251">
        <f>IF($G51="154",$F51,0)</f>
        <v>0</v>
      </c>
      <c r="AE51" s="251">
        <f>IF($H51="154",$F51,0)</f>
        <v>0</v>
      </c>
      <c r="AF51" s="251">
        <f>IF($G51="155",$F51,0)</f>
        <v>0</v>
      </c>
      <c r="AG51" s="251">
        <f>IF($H51="155",$F51,0)</f>
        <v>0</v>
      </c>
      <c r="AH51" s="251">
        <f>IF($G51="2111",$F51,0)</f>
        <v>0</v>
      </c>
      <c r="AI51" s="251">
        <f>IF($H51="2111",$F51,0)</f>
        <v>0</v>
      </c>
      <c r="AJ51" s="251">
        <f>IF($G51="2112",$F51,0)</f>
        <v>0</v>
      </c>
      <c r="AK51" s="251">
        <f>IF($H51="2112",$F51,0)</f>
        <v>0</v>
      </c>
      <c r="AL51" s="251">
        <f>IF($G51="2113",$F51,0)</f>
        <v>0</v>
      </c>
      <c r="AM51" s="251">
        <f>IF($H51="2113",$F51,0)</f>
        <v>0</v>
      </c>
      <c r="AN51" s="251">
        <f>IF($G51="2131",$F51,0)</f>
        <v>0</v>
      </c>
      <c r="AO51" s="251">
        <f>IF($H51="2131",$F51,0)</f>
        <v>0</v>
      </c>
      <c r="AP51" s="251">
        <f>IF($G51="2141",$F51,0)</f>
        <v>0</v>
      </c>
      <c r="AQ51" s="251">
        <f>IF($H51="2141",$F51,0)</f>
        <v>0</v>
      </c>
      <c r="AR51" s="251">
        <f>IF($G51="2143",$F51,0)</f>
        <v>0</v>
      </c>
      <c r="AS51" s="251">
        <f>IF($H51="2143",$F51,0)</f>
        <v>0</v>
      </c>
      <c r="AT51" s="251">
        <f>IF($G51="2412",$F51,0)</f>
        <v>0</v>
      </c>
      <c r="AU51" s="251">
        <f>IF($H51="2412",$F51,0)</f>
        <v>0</v>
      </c>
      <c r="AV51" s="251">
        <f>IF($G51="331",$F51,0)</f>
        <v>0</v>
      </c>
      <c r="AW51" s="251">
        <f>IF($H51="331",$F51,0)</f>
        <v>0</v>
      </c>
      <c r="AX51" s="251">
        <f>IF($G51="33311",$F51,0)</f>
        <v>0</v>
      </c>
      <c r="AY51" s="251">
        <f>IF($H51="33311",$F51,0)</f>
        <v>0</v>
      </c>
      <c r="AZ51" s="251">
        <f>IF($G51="33312",$F51,0)</f>
        <v>0</v>
      </c>
      <c r="BA51" s="251">
        <f>IF($H51="33312",$F51,0)</f>
        <v>0</v>
      </c>
      <c r="BB51" s="251">
        <f>IF($G51="3333",$F51,0)</f>
        <v>0</v>
      </c>
      <c r="BC51" s="251">
        <f>IF($H51="3333",$F51,0)</f>
        <v>0</v>
      </c>
      <c r="BD51" s="251">
        <f>IF($G51="3334",$F51,0)</f>
        <v>0</v>
      </c>
      <c r="BE51" s="251">
        <f>IF($H51="3334",$F51,0)</f>
        <v>0</v>
      </c>
      <c r="BF51" s="251">
        <f>IF($G51="3335",$F51,0)</f>
        <v>0</v>
      </c>
      <c r="BG51" s="251">
        <f>IF($H51="3335",$F51,0)</f>
        <v>0</v>
      </c>
      <c r="BH51" s="251">
        <f>IF($G51="33382",$F51,0)</f>
        <v>0</v>
      </c>
      <c r="BI51" s="251">
        <f>IF($H51="33382",$F51,0)</f>
        <v>0</v>
      </c>
      <c r="BJ51" s="251">
        <f>IF($G51="3341",$F51,0)</f>
        <v>0</v>
      </c>
      <c r="BK51" s="251">
        <f>IF($H51="3341",$F51,0)</f>
        <v>0</v>
      </c>
      <c r="BL51" s="251">
        <f>IF($G51="3383",$F51,0)</f>
        <v>0</v>
      </c>
      <c r="BM51" s="251">
        <f>IF($H51="3383",$F51,0)</f>
        <v>0</v>
      </c>
      <c r="BN51" s="251">
        <f>IF($G51="3384",$F51,0)</f>
        <v>0</v>
      </c>
      <c r="BO51" s="251">
        <f>IF($H51="3384",$F51,0)</f>
        <v>0</v>
      </c>
      <c r="BP51" s="251">
        <f>IF($G51="3386",$F51,0)</f>
        <v>0</v>
      </c>
      <c r="BQ51" s="251">
        <f>IF($H51="3386",$F51,0)</f>
        <v>0</v>
      </c>
      <c r="BR51" s="251">
        <f>IF($G51="3388",$F51,0)</f>
        <v>0</v>
      </c>
      <c r="BS51" s="251">
        <f>IF($H51="3388",$F51,0)</f>
        <v>0</v>
      </c>
      <c r="BT51" s="251">
        <f>IF($G51="3411",$F51,0)</f>
        <v>0</v>
      </c>
      <c r="BU51" s="251">
        <f>IF($H51="3411",$F51,0)</f>
        <v>0</v>
      </c>
      <c r="BV51" s="251">
        <f>IF($G51="3412",$F51,0)</f>
        <v>0</v>
      </c>
      <c r="BW51" s="251">
        <f>IF($H51="3412",$F51,0)</f>
        <v>0</v>
      </c>
      <c r="BX51" s="251">
        <f>IF($G51="4111",$F51,0)</f>
        <v>0</v>
      </c>
      <c r="BY51" s="251">
        <f>IF($H51="4111",$F51,0)</f>
        <v>0</v>
      </c>
      <c r="BZ51" s="251">
        <f>IF($G51="4211",$F51,0)</f>
        <v>0</v>
      </c>
      <c r="CA51" s="251">
        <f>IF($H51="4211",$F51,0)</f>
        <v>0</v>
      </c>
      <c r="CB51" s="251">
        <f>IF($G51="4212",$F51,0)</f>
        <v>0</v>
      </c>
      <c r="CC51" s="251">
        <f>IF($H51="4212",$F51,0)</f>
        <v>0</v>
      </c>
      <c r="CD51" s="251">
        <f>IF($G51="5112N",$F51,0)</f>
        <v>0</v>
      </c>
      <c r="CE51" s="251">
        <f>IF($H51="5112N",$F51,0)</f>
        <v>0</v>
      </c>
      <c r="CF51" s="251">
        <f>IF($G51="5112X",$F51,0)</f>
        <v>0</v>
      </c>
      <c r="CG51" s="251">
        <f>IF($H51="5112X",$F51,0)</f>
        <v>0</v>
      </c>
      <c r="CH51" s="251">
        <f>IF($G51="515",$F51,0)</f>
        <v>0</v>
      </c>
      <c r="CI51" s="251">
        <f>IF($H51="515",$F51,0)</f>
        <v>0</v>
      </c>
      <c r="CJ51" s="251">
        <f>IF($G51="5213",$F51,0)</f>
        <v>0</v>
      </c>
      <c r="CK51" s="251">
        <f>IF($H51="5213",$F51,0)</f>
        <v>0</v>
      </c>
      <c r="CL51" s="251">
        <f>IF($G51="632",$F51,0)</f>
        <v>0</v>
      </c>
      <c r="CM51" s="251">
        <f>IF($H51="632",$F51,0)</f>
        <v>0</v>
      </c>
      <c r="CN51" s="251">
        <f>IF($G51="635",$F51,0)</f>
        <v>0</v>
      </c>
      <c r="CO51" s="251">
        <f>IF($H51="635",$F51,0)</f>
        <v>0</v>
      </c>
      <c r="CP51" s="251">
        <f>IF($G51="641",$F51,0)</f>
        <v>0</v>
      </c>
      <c r="CQ51" s="251">
        <f>IF($H51="641",$F51,0)</f>
        <v>0</v>
      </c>
      <c r="CR51" s="251">
        <f>IF($G51="642",$F51,0)</f>
        <v>0</v>
      </c>
      <c r="CS51" s="251">
        <f>IF($H51="642",$F51,0)</f>
        <v>0</v>
      </c>
      <c r="CT51" s="251">
        <f>IF($G51="711",$F51,0)</f>
        <v>0</v>
      </c>
      <c r="CU51" s="251">
        <f>IF($H51="711",$F51,0)</f>
        <v>0</v>
      </c>
      <c r="CV51" s="251">
        <f>IF($G51="811",$F51,0)</f>
        <v>0</v>
      </c>
      <c r="CW51" s="251">
        <f>IF($H51="811",$F51,0)</f>
        <v>0</v>
      </c>
      <c r="CX51" s="251">
        <f>IF($G51="821",$F51,0)</f>
        <v>0</v>
      </c>
      <c r="CY51" s="251">
        <f>IF($H51="821",$F51,0)</f>
        <v>0</v>
      </c>
      <c r="CZ51" s="251">
        <f>IF($G51="911",$F51,0)</f>
        <v>0</v>
      </c>
      <c r="DA51" s="251">
        <f>IF($H51="911",$F51,0)</f>
        <v>0</v>
      </c>
    </row>
    <row r="52" spans="1:105" s="248" customFormat="1" ht="15.75" customHeight="1">
      <c r="A52" s="255"/>
      <c r="B52" s="255"/>
      <c r="C52" s="282"/>
      <c r="D52" s="255"/>
      <c r="E52" s="250" t="s">
        <v>173</v>
      </c>
      <c r="F52" s="255"/>
      <c r="G52" s="254"/>
      <c r="H52" s="254"/>
      <c r="I52" s="255"/>
      <c r="J52" s="255">
        <f t="shared" ref="J52:AO52" ca="1" si="99">SUM(J11:J51)</f>
        <v>0</v>
      </c>
      <c r="K52" s="255">
        <f t="shared" ca="1" si="99"/>
        <v>0</v>
      </c>
      <c r="L52" s="255">
        <f t="shared" ca="1" si="99"/>
        <v>0</v>
      </c>
      <c r="M52" s="255">
        <f t="shared" ca="1" si="99"/>
        <v>0</v>
      </c>
      <c r="N52" s="255">
        <f t="shared" ca="1" si="99"/>
        <v>0</v>
      </c>
      <c r="O52" s="255">
        <f t="shared" ca="1" si="99"/>
        <v>0</v>
      </c>
      <c r="P52" s="255">
        <f t="shared" ca="1" si="99"/>
        <v>0</v>
      </c>
      <c r="Q52" s="255">
        <f t="shared" ca="1" si="99"/>
        <v>0</v>
      </c>
      <c r="R52" s="255">
        <f t="shared" ca="1" si="99"/>
        <v>0</v>
      </c>
      <c r="S52" s="255">
        <f t="shared" ca="1" si="99"/>
        <v>0</v>
      </c>
      <c r="T52" s="255">
        <f t="shared" ca="1" si="99"/>
        <v>0</v>
      </c>
      <c r="U52" s="255">
        <f t="shared" ca="1" si="99"/>
        <v>0</v>
      </c>
      <c r="V52" s="255">
        <f t="shared" ca="1" si="99"/>
        <v>0</v>
      </c>
      <c r="W52" s="255">
        <f t="shared" ca="1" si="99"/>
        <v>0</v>
      </c>
      <c r="X52" s="255">
        <f t="shared" ca="1" si="99"/>
        <v>0</v>
      </c>
      <c r="Y52" s="255">
        <f t="shared" ca="1" si="99"/>
        <v>0</v>
      </c>
      <c r="Z52" s="255">
        <f t="shared" ca="1" si="99"/>
        <v>0</v>
      </c>
      <c r="AA52" s="255">
        <f t="shared" ca="1" si="99"/>
        <v>0</v>
      </c>
      <c r="AB52" s="255">
        <f t="shared" ca="1" si="99"/>
        <v>0</v>
      </c>
      <c r="AC52" s="255">
        <f t="shared" ca="1" si="99"/>
        <v>0</v>
      </c>
      <c r="AD52" s="255">
        <f t="shared" ca="1" si="99"/>
        <v>0</v>
      </c>
      <c r="AE52" s="255">
        <f t="shared" ca="1" si="99"/>
        <v>0</v>
      </c>
      <c r="AF52" s="255">
        <f t="shared" ca="1" si="99"/>
        <v>0</v>
      </c>
      <c r="AG52" s="255">
        <f t="shared" ca="1" si="99"/>
        <v>0</v>
      </c>
      <c r="AH52" s="255">
        <f t="shared" ca="1" si="99"/>
        <v>0</v>
      </c>
      <c r="AI52" s="255">
        <f t="shared" ca="1" si="99"/>
        <v>0</v>
      </c>
      <c r="AJ52" s="255">
        <f t="shared" ca="1" si="99"/>
        <v>0</v>
      </c>
      <c r="AK52" s="255">
        <f t="shared" ca="1" si="99"/>
        <v>0</v>
      </c>
      <c r="AL52" s="255">
        <f t="shared" ca="1" si="99"/>
        <v>0</v>
      </c>
      <c r="AM52" s="255">
        <f t="shared" ca="1" si="99"/>
        <v>0</v>
      </c>
      <c r="AN52" s="255">
        <f t="shared" ca="1" si="99"/>
        <v>0</v>
      </c>
      <c r="AO52" s="255">
        <f t="shared" ca="1" si="99"/>
        <v>0</v>
      </c>
      <c r="AP52" s="255">
        <f t="shared" ref="AP52:BU52" ca="1" si="100">SUM(AP11:AP51)</f>
        <v>0</v>
      </c>
      <c r="AQ52" s="255">
        <f t="shared" ca="1" si="100"/>
        <v>0</v>
      </c>
      <c r="AR52" s="255">
        <f t="shared" ca="1" si="100"/>
        <v>0</v>
      </c>
      <c r="AS52" s="255">
        <f t="shared" ca="1" si="100"/>
        <v>0</v>
      </c>
      <c r="AT52" s="255">
        <f t="shared" ca="1" si="100"/>
        <v>0</v>
      </c>
      <c r="AU52" s="255">
        <f t="shared" ca="1" si="100"/>
        <v>0</v>
      </c>
      <c r="AV52" s="255">
        <f t="shared" ca="1" si="100"/>
        <v>0</v>
      </c>
      <c r="AW52" s="255">
        <f t="shared" ca="1" si="100"/>
        <v>0</v>
      </c>
      <c r="AX52" s="255">
        <f t="shared" ca="1" si="100"/>
        <v>0</v>
      </c>
      <c r="AY52" s="255">
        <f t="shared" ca="1" si="100"/>
        <v>0</v>
      </c>
      <c r="AZ52" s="255">
        <f t="shared" ca="1" si="100"/>
        <v>0</v>
      </c>
      <c r="BA52" s="255">
        <f t="shared" ca="1" si="100"/>
        <v>0</v>
      </c>
      <c r="BB52" s="255">
        <f t="shared" ca="1" si="100"/>
        <v>0</v>
      </c>
      <c r="BC52" s="255">
        <f t="shared" ca="1" si="100"/>
        <v>0</v>
      </c>
      <c r="BD52" s="255">
        <f t="shared" ca="1" si="100"/>
        <v>0</v>
      </c>
      <c r="BE52" s="255">
        <f t="shared" ca="1" si="100"/>
        <v>0</v>
      </c>
      <c r="BF52" s="255">
        <f t="shared" ca="1" si="100"/>
        <v>0</v>
      </c>
      <c r="BG52" s="255">
        <f t="shared" ca="1" si="100"/>
        <v>0</v>
      </c>
      <c r="BH52" s="255">
        <f t="shared" ca="1" si="100"/>
        <v>0</v>
      </c>
      <c r="BI52" s="255">
        <f t="shared" ca="1" si="100"/>
        <v>0</v>
      </c>
      <c r="BJ52" s="255">
        <f t="shared" ca="1" si="100"/>
        <v>0</v>
      </c>
      <c r="BK52" s="255">
        <f t="shared" ca="1" si="100"/>
        <v>0</v>
      </c>
      <c r="BL52" s="255">
        <f t="shared" ca="1" si="100"/>
        <v>0</v>
      </c>
      <c r="BM52" s="255">
        <f t="shared" ca="1" si="100"/>
        <v>0</v>
      </c>
      <c r="BN52" s="255">
        <f t="shared" ca="1" si="100"/>
        <v>0</v>
      </c>
      <c r="BO52" s="255">
        <f t="shared" ca="1" si="100"/>
        <v>0</v>
      </c>
      <c r="BP52" s="255">
        <f t="shared" ca="1" si="100"/>
        <v>0</v>
      </c>
      <c r="BQ52" s="255">
        <f t="shared" ca="1" si="100"/>
        <v>0</v>
      </c>
      <c r="BR52" s="255">
        <f t="shared" ca="1" si="100"/>
        <v>0</v>
      </c>
      <c r="BS52" s="255">
        <f t="shared" ca="1" si="100"/>
        <v>0</v>
      </c>
      <c r="BT52" s="255">
        <f t="shared" ca="1" si="100"/>
        <v>0</v>
      </c>
      <c r="BU52" s="255">
        <f t="shared" ca="1" si="100"/>
        <v>0</v>
      </c>
      <c r="BV52" s="255">
        <f t="shared" ref="BV52:DA52" ca="1" si="101">SUM(BV11:BV51)</f>
        <v>0</v>
      </c>
      <c r="BW52" s="255">
        <f t="shared" ca="1" si="101"/>
        <v>0</v>
      </c>
      <c r="BX52" s="255">
        <f t="shared" ca="1" si="101"/>
        <v>0</v>
      </c>
      <c r="BY52" s="255">
        <f t="shared" ca="1" si="101"/>
        <v>0</v>
      </c>
      <c r="BZ52" s="255">
        <f t="shared" ca="1" si="101"/>
        <v>0</v>
      </c>
      <c r="CA52" s="255">
        <f t="shared" ca="1" si="101"/>
        <v>0</v>
      </c>
      <c r="CB52" s="255">
        <f t="shared" ca="1" si="101"/>
        <v>0</v>
      </c>
      <c r="CC52" s="255">
        <f t="shared" ca="1" si="101"/>
        <v>0</v>
      </c>
      <c r="CD52" s="255">
        <f t="shared" ca="1" si="101"/>
        <v>0</v>
      </c>
      <c r="CE52" s="255">
        <f t="shared" ca="1" si="101"/>
        <v>0</v>
      </c>
      <c r="CF52" s="255">
        <f t="shared" ca="1" si="101"/>
        <v>0</v>
      </c>
      <c r="CG52" s="255">
        <f t="shared" ca="1" si="101"/>
        <v>0</v>
      </c>
      <c r="CH52" s="255">
        <f t="shared" ca="1" si="101"/>
        <v>0</v>
      </c>
      <c r="CI52" s="255">
        <f t="shared" ca="1" si="101"/>
        <v>0</v>
      </c>
      <c r="CJ52" s="255">
        <f t="shared" ca="1" si="101"/>
        <v>0</v>
      </c>
      <c r="CK52" s="255">
        <f t="shared" ca="1" si="101"/>
        <v>0</v>
      </c>
      <c r="CL52" s="255">
        <f t="shared" ca="1" si="101"/>
        <v>0</v>
      </c>
      <c r="CM52" s="255">
        <f t="shared" ca="1" si="101"/>
        <v>0</v>
      </c>
      <c r="CN52" s="255">
        <f t="shared" ca="1" si="101"/>
        <v>0</v>
      </c>
      <c r="CO52" s="255">
        <f t="shared" ca="1" si="101"/>
        <v>0</v>
      </c>
      <c r="CP52" s="255">
        <f t="shared" ca="1" si="101"/>
        <v>0</v>
      </c>
      <c r="CQ52" s="255">
        <f t="shared" ca="1" si="101"/>
        <v>0</v>
      </c>
      <c r="CR52" s="255">
        <f t="shared" ca="1" si="101"/>
        <v>0</v>
      </c>
      <c r="CS52" s="255">
        <f t="shared" ca="1" si="101"/>
        <v>0</v>
      </c>
      <c r="CT52" s="255">
        <f t="shared" ca="1" si="101"/>
        <v>0</v>
      </c>
      <c r="CU52" s="255">
        <f t="shared" ca="1" si="101"/>
        <v>0</v>
      </c>
      <c r="CV52" s="255">
        <f t="shared" ca="1" si="101"/>
        <v>0</v>
      </c>
      <c r="CW52" s="255">
        <f t="shared" ca="1" si="101"/>
        <v>0</v>
      </c>
      <c r="CX52" s="255">
        <f t="shared" ca="1" si="101"/>
        <v>0</v>
      </c>
      <c r="CY52" s="255">
        <f t="shared" ca="1" si="101"/>
        <v>0</v>
      </c>
      <c r="CZ52" s="255">
        <f t="shared" ca="1" si="101"/>
        <v>0</v>
      </c>
      <c r="DA52" s="255">
        <f t="shared" ca="1" si="101"/>
        <v>0</v>
      </c>
    </row>
    <row r="53" spans="1:105" s="248" customFormat="1" ht="15.75" customHeight="1">
      <c r="A53" s="256"/>
      <c r="B53" s="256"/>
      <c r="C53" s="256"/>
      <c r="D53" s="256"/>
      <c r="E53" s="257" t="s">
        <v>212</v>
      </c>
      <c r="F53" s="256"/>
      <c r="G53" s="258"/>
      <c r="H53" s="258"/>
      <c r="I53" s="256"/>
      <c r="J53" s="278">
        <f ca="1">MAX(J10+J52-K10-K52,0)</f>
        <v>667384522</v>
      </c>
      <c r="K53" s="278">
        <f ca="1">MAX(K10+K52-J10-J52,0)</f>
        <v>0</v>
      </c>
      <c r="L53" s="278">
        <f ca="1">MAX(L10+L52-M10-M52,0)</f>
        <v>9382419</v>
      </c>
      <c r="M53" s="278">
        <f ca="1">MAX(M10+M52-L10-L52,0)</f>
        <v>0</v>
      </c>
      <c r="N53" s="278">
        <f ca="1">MAX(N10+N52-O10-O52,0)</f>
        <v>5679984</v>
      </c>
      <c r="O53" s="278">
        <f ca="1">MAX(O10+O52-N10-N52,0)</f>
        <v>0</v>
      </c>
      <c r="P53" s="278">
        <f ca="1">MAX(P10+P52-Q10-Q52,0)</f>
        <v>57038792896</v>
      </c>
      <c r="Q53" s="278">
        <f ca="1">MAX(Q10+Q52-P10-P52,0)</f>
        <v>0</v>
      </c>
      <c r="R53" s="278">
        <f ca="1">MAX(R10+R52-S10-S52,0)</f>
        <v>518470991</v>
      </c>
      <c r="S53" s="278">
        <f ca="1">MAX(S10+S52-R10-R52,0)</f>
        <v>0</v>
      </c>
      <c r="T53" s="278">
        <f ca="1">MAX(T10+T52-U10-U52,0)</f>
        <v>0</v>
      </c>
      <c r="U53" s="278">
        <f ca="1">MAX(U10+U52-T10-T52,0)</f>
        <v>0</v>
      </c>
      <c r="V53" s="278">
        <f ca="1">MAX(V10+V52-W10-W52,0)</f>
        <v>0</v>
      </c>
      <c r="W53" s="278">
        <f ca="1">MAX(W10+W52-V10-V52,0)</f>
        <v>0</v>
      </c>
      <c r="X53" s="278">
        <f ca="1">MAX(X10+X52-Y10-Y52,0)</f>
        <v>0</v>
      </c>
      <c r="Y53" s="278">
        <f ca="1">MAX(Y10+Y52-X10-X52,0)</f>
        <v>0</v>
      </c>
      <c r="Z53" s="278">
        <f ca="1">MAX(Z10+Z52-AA10-AA52,0)</f>
        <v>351991443</v>
      </c>
      <c r="AA53" s="278">
        <f ca="1">MAX(AA10+AA52-Z10-Z52,0)</f>
        <v>0</v>
      </c>
      <c r="AB53" s="278">
        <f ca="1">MAX(AB10+AB52-AC10-AC52,0)</f>
        <v>49990909</v>
      </c>
      <c r="AC53" s="278">
        <f ca="1">MAX(AC10+AC52-AB10-AB52,0)</f>
        <v>0</v>
      </c>
      <c r="AD53" s="278">
        <f ca="1">MAX(AD10+AD52-AE10-AE52,0)</f>
        <v>1450841000</v>
      </c>
      <c r="AE53" s="278">
        <f ca="1">MAX(AE10+AE52-AD10-AD52,0)</f>
        <v>0</v>
      </c>
      <c r="AF53" s="278">
        <f ca="1">MAX(AF10+AF52-AG10-AG52,0)</f>
        <v>3468509299</v>
      </c>
      <c r="AG53" s="278">
        <f ca="1">MAX(AG10+AG52-AF10-AF52,0)</f>
        <v>0</v>
      </c>
      <c r="AH53" s="278">
        <f ca="1">MAX(AH10+AH52-AI10-AI52,0)</f>
        <v>7770361541</v>
      </c>
      <c r="AI53" s="278">
        <f ca="1">MAX(AI10+AI52-AH10-AH52,0)</f>
        <v>0</v>
      </c>
      <c r="AJ53" s="278">
        <f ca="1">MAX(AJ10+AJ52-AK10-AK52,0)</f>
        <v>3807898863</v>
      </c>
      <c r="AK53" s="278">
        <f ca="1">MAX(AK10+AK52-AJ10-AJ52,0)</f>
        <v>0</v>
      </c>
      <c r="AL53" s="278">
        <f ca="1">MAX(AL10+AL52-AM10-AM52,0)</f>
        <v>3790918485</v>
      </c>
      <c r="AM53" s="278">
        <f ca="1">MAX(AM10+AM52-AL10-AL52,0)</f>
        <v>0</v>
      </c>
      <c r="AN53" s="278">
        <f ca="1">MAX(AN10+AN52-AO10-AO52,0)</f>
        <v>5405781300</v>
      </c>
      <c r="AO53" s="278">
        <f ca="1">MAX(AO10+AO52-AN10-AN52,0)</f>
        <v>0</v>
      </c>
      <c r="AP53" s="278">
        <f ca="1">MAX(AP10+AP52-AQ10-AQ52,0)</f>
        <v>0</v>
      </c>
      <c r="AQ53" s="278">
        <f ca="1">MAX(AQ10+AQ52-AP10-AP52,0)</f>
        <v>9758261933</v>
      </c>
      <c r="AR53" s="278">
        <f ca="1">MAX(AR10+AR52-AS10-AS52,0)</f>
        <v>0</v>
      </c>
      <c r="AS53" s="278">
        <f ca="1">MAX(AS10+AS52-AR10-AR52,0)</f>
        <v>720770838</v>
      </c>
      <c r="AT53" s="278">
        <f ca="1">MAX(AT10+AT52-AU10-AU52,0)</f>
        <v>0</v>
      </c>
      <c r="AU53" s="278">
        <f ca="1">MAX(AU10+AU52-AT10-AT52,0)</f>
        <v>0</v>
      </c>
      <c r="AV53" s="278">
        <f ca="1">MAX(AV10+AV52-AW10-AW52,0)</f>
        <v>0</v>
      </c>
      <c r="AW53" s="278">
        <f ca="1">MAX(AW10+AW52-AV10-AV52,0)</f>
        <v>35725221599</v>
      </c>
      <c r="AX53" s="278">
        <f ca="1">MAX(AX10+AX52-AY10-AY52,0)</f>
        <v>0</v>
      </c>
      <c r="AY53" s="278">
        <f ca="1">MAX(AY10+AY52-AX10-AX52,0)</f>
        <v>0</v>
      </c>
      <c r="AZ53" s="278">
        <f ca="1">MAX(AZ10+AZ52-BA10-BA52,0)</f>
        <v>0</v>
      </c>
      <c r="BA53" s="278">
        <f ca="1">MAX(BA10+BA52-AZ10-AZ52,0)</f>
        <v>0</v>
      </c>
      <c r="BB53" s="278">
        <f ca="1">MAX(BB10+BB52-BC10-BC52,0)</f>
        <v>0</v>
      </c>
      <c r="BC53" s="278">
        <f ca="1">MAX(BC10+BC52-BB10-BB52,0)</f>
        <v>0</v>
      </c>
      <c r="BD53" s="278">
        <f ca="1">MAX(BD10+BD52-BE10-BE52,0)</f>
        <v>6386869</v>
      </c>
      <c r="BE53" s="278">
        <f ca="1">MAX(BE10+BE52-BD10-BD52,0)</f>
        <v>0</v>
      </c>
      <c r="BF53" s="278">
        <f ca="1">MAX(BF10+BF52-BG10-BG52,0)</f>
        <v>3389804</v>
      </c>
      <c r="BG53" s="278">
        <f ca="1">MAX(BG10+BG52-BF10-BF52,0)</f>
        <v>0</v>
      </c>
      <c r="BH53" s="278">
        <f ca="1">MAX(BH10+BH52-BI10-BI52,0)</f>
        <v>0</v>
      </c>
      <c r="BI53" s="278">
        <f ca="1">MAX(BI10+BI52-BH10-BH52,0)</f>
        <v>0</v>
      </c>
      <c r="BJ53" s="278">
        <f ca="1">MAX(BJ10+BJ52-BK10-BK52,0)</f>
        <v>0</v>
      </c>
      <c r="BK53" s="278">
        <f ca="1">MAX(BK10+BK52-BJ10-BJ52,0)</f>
        <v>0</v>
      </c>
      <c r="BL53" s="278">
        <f ca="1">MAX(BL10+BL52-BM10-BM52,0)</f>
        <v>0</v>
      </c>
      <c r="BM53" s="278">
        <f ca="1">MAX(BM10+BM52-BL10-BL52,0)</f>
        <v>106628549</v>
      </c>
      <c r="BN53" s="278">
        <f ca="1">MAX(BN10+BN52-BO10-BO52,0)</f>
        <v>0</v>
      </c>
      <c r="BO53" s="278">
        <f ca="1">MAX(BO10+BO52-BN10-BN52,0)</f>
        <v>4469220</v>
      </c>
      <c r="BP53" s="278">
        <f ca="1">MAX(BP10+BP52-BQ10-BQ52,0)</f>
        <v>0</v>
      </c>
      <c r="BQ53" s="278">
        <f ca="1">MAX(BQ10+BQ52-BP10-BP52,0)</f>
        <v>1986320</v>
      </c>
      <c r="BR53" s="278">
        <f ca="1">MAX(BR10+BR52-BS10-BS52,0)</f>
        <v>0</v>
      </c>
      <c r="BS53" s="278">
        <f ca="1">MAX(BS10+BS52-BR10-BR52,0)</f>
        <v>0</v>
      </c>
      <c r="BT53" s="278">
        <f ca="1">MAX(BT10+BT52-BU10-BU52,0)</f>
        <v>0</v>
      </c>
      <c r="BU53" s="278">
        <f ca="1">MAX(BU10+BU52-BT10-BT52,0)</f>
        <v>0</v>
      </c>
      <c r="BV53" s="278">
        <f ca="1">MAX(BV10+BV52-BW10-BW52,0)</f>
        <v>0</v>
      </c>
      <c r="BW53" s="278">
        <f ca="1">MAX(BW10+BW52-BV10-BV52,0)</f>
        <v>27471593800</v>
      </c>
      <c r="BX53" s="278">
        <f ca="1">MAX(BX10+BX52-BY10-BY52,0)</f>
        <v>0</v>
      </c>
      <c r="BY53" s="278">
        <f ca="1">MAX(BY10+BY52-BX10-BX52,0)</f>
        <v>10000000000</v>
      </c>
      <c r="BZ53" s="278">
        <f ca="1">MAX(BZ10+BZ52-CA10-CA52,0)</f>
        <v>0</v>
      </c>
      <c r="CA53" s="278">
        <f ca="1">MAX(CA10+CA52-BZ10-BZ52,0)</f>
        <v>635107905.00000095</v>
      </c>
      <c r="CB53" s="278">
        <f ca="1">MAX(CB10+CB52-CC10-CC52,0)</f>
        <v>78259839.000000477</v>
      </c>
      <c r="CC53" s="278">
        <f ca="1">MAX(CC10+CC52-CB10-CB52,0)</f>
        <v>0</v>
      </c>
      <c r="CD53" s="278">
        <f ca="1">MAX(CD10+CD52-CE10-CE52,0)</f>
        <v>0</v>
      </c>
      <c r="CE53" s="278">
        <f ca="1">MAX(CE10+CE52-CD10-CD52,0)</f>
        <v>0</v>
      </c>
      <c r="CF53" s="278">
        <f ca="1">MAX(CF10+CF52-CG10-CG52,0)</f>
        <v>0</v>
      </c>
      <c r="CG53" s="278">
        <f ca="1">MAX(CG10+CG52-CF10-CF52,0)</f>
        <v>0</v>
      </c>
      <c r="CH53" s="278">
        <f ca="1">MAX(CH10+CH52-CI10-CI52,0)</f>
        <v>0</v>
      </c>
      <c r="CI53" s="278">
        <f ca="1">MAX(CI10+CI52-CH10-CH52,0)</f>
        <v>0</v>
      </c>
      <c r="CJ53" s="278">
        <f ca="1">MAX(CJ10+CJ52-CK10-CK52,0)</f>
        <v>0</v>
      </c>
      <c r="CK53" s="278">
        <f ca="1">MAX(CK10+CK52-CJ10-CJ52,0)</f>
        <v>0</v>
      </c>
      <c r="CL53" s="278">
        <f ca="1">MAX(CL10+CL52-CM10-CM52,0)</f>
        <v>0</v>
      </c>
      <c r="CM53" s="278">
        <f ca="1">MAX(CM10+CM52-CL10-CL52,0)</f>
        <v>0</v>
      </c>
      <c r="CN53" s="278">
        <f ca="1">MAX(CN10+CN52-CO10-CO52,0)</f>
        <v>0</v>
      </c>
      <c r="CO53" s="278">
        <f ca="1">MAX(CO10+CO52-CN10-CN52,0)</f>
        <v>0</v>
      </c>
      <c r="CP53" s="278">
        <f ca="1">MAX(CP10+CP52-CQ10-CQ52,0)</f>
        <v>0</v>
      </c>
      <c r="CQ53" s="278">
        <f ca="1">MAX(CQ10+CQ52-CP10-CP52,0)</f>
        <v>0</v>
      </c>
      <c r="CR53" s="278">
        <f ca="1">MAX(CR10+CR52-CS10-CS52,0)</f>
        <v>0</v>
      </c>
      <c r="CS53" s="278">
        <f ca="1">MAX(CS10+CS52-CR10-CR52,0)</f>
        <v>0</v>
      </c>
      <c r="CT53" s="278">
        <f ca="1">MAX(CT10+CT52-CU10-CU52,0)</f>
        <v>0</v>
      </c>
      <c r="CU53" s="278">
        <f ca="1">MAX(CU10+CU52-CT10-CT52,0)</f>
        <v>0</v>
      </c>
      <c r="CV53" s="278">
        <f ca="1">MAX(CV10+CV52-CW10-CW52,0)</f>
        <v>0</v>
      </c>
      <c r="CW53" s="278">
        <f ca="1">MAX(CW10+CW52-CV10-CV52,0)</f>
        <v>0</v>
      </c>
      <c r="CX53" s="278">
        <f ca="1">MAX(CX10+CX52-CY10-CY52,0)</f>
        <v>0</v>
      </c>
      <c r="CY53" s="278">
        <f ca="1">MAX(CY10+CY52-CX10-CX52,0)</f>
        <v>0</v>
      </c>
      <c r="CZ53" s="278">
        <f ca="1">MAX(CZ10+CZ52-DA10-DA52,0)</f>
        <v>0</v>
      </c>
      <c r="DA53" s="278">
        <f ca="1">MAX(DA10+DA52-CZ10-CZ52,0)</f>
        <v>0</v>
      </c>
    </row>
    <row r="54" spans="1:105" s="248" customFormat="1" ht="15.75" customHeight="1">
      <c r="A54" s="260"/>
      <c r="B54" s="260"/>
      <c r="C54" s="261"/>
      <c r="D54" s="260"/>
      <c r="E54" s="262" t="s">
        <v>213</v>
      </c>
      <c r="F54" s="260"/>
      <c r="G54" s="263"/>
      <c r="H54" s="263"/>
      <c r="I54" s="260"/>
      <c r="J54" s="260">
        <f ca="1">J52+'SC-II'!J54</f>
        <v>0</v>
      </c>
      <c r="K54" s="260">
        <f ca="1">K52+'SC-II'!K54</f>
        <v>0</v>
      </c>
      <c r="L54" s="260">
        <f ca="1">L52+'SC-II'!L54</f>
        <v>0</v>
      </c>
      <c r="M54" s="260">
        <f ca="1">M52+'SC-II'!M54</f>
        <v>0</v>
      </c>
      <c r="N54" s="260">
        <f ca="1">N52+'SC-II'!N54</f>
        <v>0</v>
      </c>
      <c r="O54" s="260">
        <f ca="1">O52+'SC-II'!O54</f>
        <v>0</v>
      </c>
      <c r="P54" s="260">
        <f ca="1">P52+'SC-II'!P54</f>
        <v>0</v>
      </c>
      <c r="Q54" s="260">
        <f ca="1">Q52+'SC-II'!Q54</f>
        <v>0</v>
      </c>
      <c r="R54" s="260">
        <f ca="1">R52+'SC-II'!R54</f>
        <v>0</v>
      </c>
      <c r="S54" s="260">
        <f ca="1">S52+'SC-II'!S54</f>
        <v>0</v>
      </c>
      <c r="T54" s="260">
        <f ca="1">T52+'SC-II'!T54</f>
        <v>0</v>
      </c>
      <c r="U54" s="260">
        <f ca="1">U52+'SC-II'!U54</f>
        <v>0</v>
      </c>
      <c r="V54" s="260">
        <f ca="1">V52+'SC-II'!V54</f>
        <v>0</v>
      </c>
      <c r="W54" s="260">
        <f ca="1">W52+'SC-II'!W54</f>
        <v>0</v>
      </c>
      <c r="X54" s="260">
        <f ca="1">X52+'SC-II'!X54</f>
        <v>0</v>
      </c>
      <c r="Y54" s="260">
        <f ca="1">Y52+'SC-II'!Y54</f>
        <v>0</v>
      </c>
      <c r="Z54" s="260">
        <f ca="1">Z52+'SC-II'!Z54</f>
        <v>0</v>
      </c>
      <c r="AA54" s="260">
        <f ca="1">AA52+'SC-II'!AA54</f>
        <v>0</v>
      </c>
      <c r="AB54" s="260">
        <f ca="1">AB52+'SC-II'!AB54</f>
        <v>0</v>
      </c>
      <c r="AC54" s="260">
        <f ca="1">AC52+'SC-II'!AC54</f>
        <v>0</v>
      </c>
      <c r="AD54" s="260">
        <f ca="1">AD52+'SC-II'!AD54</f>
        <v>0</v>
      </c>
      <c r="AE54" s="260">
        <f ca="1">AE52+'SC-II'!AE54</f>
        <v>0</v>
      </c>
      <c r="AF54" s="260">
        <f ca="1">AF52+'SC-II'!AF54</f>
        <v>0</v>
      </c>
      <c r="AG54" s="260">
        <f ca="1">AG52+'SC-II'!AG54</f>
        <v>0</v>
      </c>
      <c r="AH54" s="260">
        <f ca="1">AH52+'SC-II'!AH54</f>
        <v>0</v>
      </c>
      <c r="AI54" s="260">
        <f ca="1">AI52+'SC-II'!AI54</f>
        <v>0</v>
      </c>
      <c r="AJ54" s="260">
        <f ca="1">AJ52+'SC-II'!AJ54</f>
        <v>0</v>
      </c>
      <c r="AK54" s="260">
        <f ca="1">AK52+'SC-II'!AK54</f>
        <v>0</v>
      </c>
      <c r="AL54" s="260">
        <f ca="1">AL52+'SC-II'!AL54</f>
        <v>0</v>
      </c>
      <c r="AM54" s="260">
        <f ca="1">AM52+'SC-II'!AM54</f>
        <v>0</v>
      </c>
      <c r="AN54" s="260">
        <f ca="1">AN52+'SC-II'!AN54</f>
        <v>0</v>
      </c>
      <c r="AO54" s="260">
        <f ca="1">AO52+'SC-II'!AO54</f>
        <v>0</v>
      </c>
      <c r="AP54" s="260">
        <f ca="1">AP52+'SC-II'!AP54</f>
        <v>0</v>
      </c>
      <c r="AQ54" s="260">
        <f ca="1">AQ52+'SC-II'!AQ54</f>
        <v>0</v>
      </c>
      <c r="AR54" s="260">
        <f ca="1">AR52+'SC-II'!AR54</f>
        <v>0</v>
      </c>
      <c r="AS54" s="260">
        <f ca="1">AS52+'SC-II'!AS54</f>
        <v>0</v>
      </c>
      <c r="AT54" s="260">
        <f ca="1">AT52+'SC-II'!AT54</f>
        <v>0</v>
      </c>
      <c r="AU54" s="260">
        <f ca="1">AU52+'SC-II'!AU54</f>
        <v>0</v>
      </c>
      <c r="AV54" s="260">
        <f ca="1">AV52+'SC-II'!AV54</f>
        <v>0</v>
      </c>
      <c r="AW54" s="260">
        <f ca="1">AW52+'SC-II'!AW54</f>
        <v>0</v>
      </c>
      <c r="AX54" s="260">
        <f ca="1">AX52+'SC-II'!AX54</f>
        <v>0</v>
      </c>
      <c r="AY54" s="260">
        <f ca="1">AY52+'SC-II'!AY54</f>
        <v>0</v>
      </c>
      <c r="AZ54" s="260">
        <f ca="1">AZ52+'SC-II'!AZ54</f>
        <v>0</v>
      </c>
      <c r="BA54" s="260">
        <f ca="1">BA52+'SC-II'!BA54</f>
        <v>0</v>
      </c>
      <c r="BB54" s="260">
        <f ca="1">BB52+'SC-II'!BB54</f>
        <v>0</v>
      </c>
      <c r="BC54" s="260">
        <f ca="1">BC52+'SC-II'!BC54</f>
        <v>0</v>
      </c>
      <c r="BD54" s="260">
        <f ca="1">BD52+'SC-II'!BD54</f>
        <v>0</v>
      </c>
      <c r="BE54" s="260">
        <f ca="1">BE52+'SC-II'!BE54</f>
        <v>0</v>
      </c>
      <c r="BF54" s="260">
        <f ca="1">BF52+'SC-II'!BF54</f>
        <v>0</v>
      </c>
      <c r="BG54" s="260">
        <f ca="1">BG52+'SC-II'!BG54</f>
        <v>0</v>
      </c>
      <c r="BH54" s="260">
        <f ca="1">BH52+'SC-II'!BH54</f>
        <v>0</v>
      </c>
      <c r="BI54" s="260">
        <f ca="1">BI52+'SC-II'!BI54</f>
        <v>0</v>
      </c>
      <c r="BJ54" s="260">
        <f ca="1">BJ52+'SC-II'!BJ54</f>
        <v>0</v>
      </c>
      <c r="BK54" s="260">
        <f ca="1">BK52+'SC-II'!BK54</f>
        <v>0</v>
      </c>
      <c r="BL54" s="260">
        <f ca="1">BL52+'SC-II'!BL54</f>
        <v>0</v>
      </c>
      <c r="BM54" s="260">
        <f ca="1">BM52+'SC-II'!BM54</f>
        <v>0</v>
      </c>
      <c r="BN54" s="260">
        <f ca="1">BN52+'SC-II'!BN54</f>
        <v>0</v>
      </c>
      <c r="BO54" s="260">
        <f ca="1">BO52+'SC-II'!BO54</f>
        <v>0</v>
      </c>
      <c r="BP54" s="260">
        <f ca="1">BP52+'SC-II'!BP54</f>
        <v>0</v>
      </c>
      <c r="BQ54" s="260">
        <f ca="1">BQ52+'SC-II'!BQ54</f>
        <v>0</v>
      </c>
      <c r="BR54" s="260">
        <f ca="1">BR52+'SC-II'!BR54</f>
        <v>0</v>
      </c>
      <c r="BS54" s="260">
        <f ca="1">BS52+'SC-II'!BS54</f>
        <v>0</v>
      </c>
      <c r="BT54" s="260">
        <f ca="1">BT52+'SC-II'!BT54</f>
        <v>0</v>
      </c>
      <c r="BU54" s="260">
        <f ca="1">BU52+'SC-II'!BU54</f>
        <v>0</v>
      </c>
      <c r="BV54" s="260">
        <f ca="1">BV52+'SC-II'!BV54</f>
        <v>0</v>
      </c>
      <c r="BW54" s="260">
        <f ca="1">BW52+'SC-II'!BW54</f>
        <v>0</v>
      </c>
      <c r="BX54" s="260">
        <f ca="1">BX52+'SC-II'!BX54</f>
        <v>0</v>
      </c>
      <c r="BY54" s="260">
        <f ca="1">BY52+'SC-II'!BY54</f>
        <v>0</v>
      </c>
      <c r="BZ54" s="260">
        <f ca="1">BZ52+'SC-II'!BZ54</f>
        <v>0</v>
      </c>
      <c r="CA54" s="260">
        <f ca="1">CA52+'SC-II'!CA54</f>
        <v>107861885.00000048</v>
      </c>
      <c r="CB54" s="260">
        <f ca="1">CB52+'SC-II'!CB54</f>
        <v>107861885.00000048</v>
      </c>
      <c r="CC54" s="260">
        <f ca="1">CC52+'SC-II'!CC54</f>
        <v>0</v>
      </c>
      <c r="CD54" s="260">
        <f ca="1">CD52+'SC-II'!CD54</f>
        <v>0</v>
      </c>
      <c r="CE54" s="260">
        <f ca="1">CE52+'SC-II'!CE54</f>
        <v>0</v>
      </c>
      <c r="CF54" s="260">
        <f ca="1">CF52+'SC-II'!CF54</f>
        <v>0</v>
      </c>
      <c r="CG54" s="260">
        <f ca="1">CG52+'SC-II'!CG54</f>
        <v>0</v>
      </c>
      <c r="CH54" s="260">
        <f ca="1">CH52+'SC-II'!CH54</f>
        <v>0</v>
      </c>
      <c r="CI54" s="260">
        <f ca="1">CI52+'SC-II'!CI54</f>
        <v>0</v>
      </c>
      <c r="CJ54" s="260">
        <f ca="1">CJ52+'SC-II'!CJ54</f>
        <v>0</v>
      </c>
      <c r="CK54" s="260">
        <f ca="1">CK52+'SC-II'!CK54</f>
        <v>0</v>
      </c>
      <c r="CL54" s="260">
        <f ca="1">CL52+'SC-II'!CL54</f>
        <v>0</v>
      </c>
      <c r="CM54" s="260">
        <f ca="1">CM52+'SC-II'!CM54</f>
        <v>0</v>
      </c>
      <c r="CN54" s="260">
        <f ca="1">CN52+'SC-II'!CN54</f>
        <v>0</v>
      </c>
      <c r="CO54" s="260">
        <f ca="1">CO52+'SC-II'!CO54</f>
        <v>0</v>
      </c>
      <c r="CP54" s="260">
        <f ca="1">CP52+'SC-II'!CP54</f>
        <v>0</v>
      </c>
      <c r="CQ54" s="260">
        <f ca="1">CQ52+'SC-II'!CQ54</f>
        <v>0</v>
      </c>
      <c r="CR54" s="260">
        <f ca="1">CR52+'SC-II'!CR54</f>
        <v>0</v>
      </c>
      <c r="CS54" s="260">
        <f ca="1">CS52+'SC-II'!CS54</f>
        <v>0</v>
      </c>
      <c r="CT54" s="260">
        <f ca="1">CT52+'SC-II'!CT54</f>
        <v>0</v>
      </c>
      <c r="CU54" s="260">
        <f ca="1">CU52+'SC-II'!CU54</f>
        <v>0</v>
      </c>
      <c r="CV54" s="260">
        <f ca="1">CV52+'SC-II'!CV54</f>
        <v>0</v>
      </c>
      <c r="CW54" s="260">
        <f ca="1">CW52+'SC-II'!CW54</f>
        <v>0</v>
      </c>
      <c r="CX54" s="260">
        <f ca="1">CX52+'SC-II'!CX54</f>
        <v>0</v>
      </c>
      <c r="CY54" s="260">
        <f ca="1">CY52+'SC-II'!CY54</f>
        <v>0</v>
      </c>
      <c r="CZ54" s="260">
        <f ca="1">CZ52+'SC-II'!CZ54</f>
        <v>0</v>
      </c>
      <c r="DA54" s="260">
        <f ca="1">DA52+'SC-II'!DA54</f>
        <v>0</v>
      </c>
    </row>
    <row r="55" spans="1:105" ht="12" customHeight="1">
      <c r="B55" s="265"/>
      <c r="C55" s="266"/>
      <c r="D55" s="266"/>
      <c r="E55" s="266"/>
      <c r="F55" s="266"/>
      <c r="G55" s="267"/>
      <c r="H55" s="267"/>
      <c r="I55" s="266"/>
      <c r="J55" s="266"/>
      <c r="K55" s="266"/>
      <c r="AR55" s="265"/>
      <c r="AS55" s="265"/>
      <c r="AT55" s="266"/>
      <c r="AU55" s="266"/>
      <c r="AV55" s="266"/>
      <c r="AW55" s="267"/>
      <c r="AX55" s="267"/>
      <c r="AY55" s="267"/>
      <c r="AZ55" s="267"/>
      <c r="BA55" s="283"/>
    </row>
    <row r="56" spans="1:105">
      <c r="F56" s="229"/>
      <c r="M56" s="268"/>
      <c r="O56" s="268"/>
      <c r="Q56" s="268"/>
      <c r="R56" s="268"/>
      <c r="S56" s="268"/>
      <c r="T56" s="268"/>
      <c r="U56" s="268"/>
      <c r="V56" s="268"/>
      <c r="AL56" s="269" t="s">
        <v>228</v>
      </c>
      <c r="AM56" s="270"/>
      <c r="AN56" s="270"/>
      <c r="AO56" s="270"/>
      <c r="AP56" s="270"/>
      <c r="AQ56" s="270"/>
      <c r="AR56" s="271"/>
      <c r="AS56" s="271"/>
      <c r="AT56" s="270"/>
    </row>
    <row r="57" spans="1:105">
      <c r="F57" s="229"/>
      <c r="M57" s="268"/>
      <c r="O57" s="268"/>
      <c r="Q57" s="268"/>
      <c r="R57" s="268"/>
      <c r="S57" s="268"/>
      <c r="T57" s="268"/>
      <c r="U57" s="268"/>
      <c r="V57" s="268"/>
      <c r="AL57" s="272" t="s">
        <v>219</v>
      </c>
      <c r="AM57" s="270"/>
      <c r="AN57" s="270"/>
      <c r="AO57" s="270"/>
      <c r="AP57" s="270"/>
      <c r="AQ57" s="270"/>
      <c r="AR57" s="271"/>
      <c r="AS57" s="271"/>
      <c r="AT57" s="270"/>
    </row>
    <row r="58" spans="1:105">
      <c r="F58" s="229"/>
      <c r="M58" s="268"/>
      <c r="O58" s="268"/>
      <c r="Q58" s="268"/>
      <c r="R58" s="268"/>
      <c r="S58" s="268"/>
      <c r="T58" s="268"/>
      <c r="U58" s="268"/>
      <c r="V58" s="268"/>
      <c r="AL58" s="270"/>
      <c r="AM58" s="270"/>
      <c r="AN58" s="270"/>
      <c r="AO58" s="270"/>
      <c r="AP58" s="270"/>
      <c r="AQ58" s="270"/>
      <c r="AR58" s="270"/>
      <c r="AS58" s="270"/>
      <c r="AT58" s="271"/>
    </row>
    <row r="59" spans="1:105">
      <c r="F59" s="229"/>
      <c r="M59" s="268"/>
      <c r="O59" s="268"/>
      <c r="Q59" s="268"/>
      <c r="R59" s="268"/>
      <c r="S59" s="268"/>
      <c r="T59" s="268"/>
      <c r="U59" s="268"/>
      <c r="V59" s="268"/>
      <c r="AL59" s="270"/>
      <c r="AM59" s="270"/>
      <c r="AN59" s="270"/>
      <c r="AO59" s="270"/>
      <c r="AP59" s="270"/>
      <c r="AQ59" s="270"/>
      <c r="AR59" s="270"/>
      <c r="AS59" s="270"/>
      <c r="AT59" s="271"/>
      <c r="AZ59" s="273" t="str">
        <f>"Ngày 30 tháng 09 năm 2015 "</f>
        <v xml:space="preserve">Ngày 30 tháng 09 năm 2015 </v>
      </c>
    </row>
    <row r="60" spans="1:105">
      <c r="F60" s="229"/>
      <c r="M60" s="268"/>
      <c r="O60" s="268"/>
      <c r="Q60" s="268"/>
      <c r="R60" s="268"/>
      <c r="S60" s="268"/>
      <c r="T60" s="268"/>
      <c r="U60" s="268"/>
      <c r="V60" s="268"/>
      <c r="AL60" s="270"/>
      <c r="AM60" s="274" t="s">
        <v>11</v>
      </c>
      <c r="AN60" s="270"/>
      <c r="AO60" s="270"/>
      <c r="AP60" s="270"/>
      <c r="AQ60" s="270"/>
      <c r="AR60" s="270"/>
      <c r="AS60" s="275" t="s">
        <v>12</v>
      </c>
      <c r="AT60" s="271"/>
      <c r="AZ60" s="274" t="s">
        <v>130</v>
      </c>
    </row>
    <row r="61" spans="1:105">
      <c r="F61" s="229"/>
      <c r="M61" s="268"/>
      <c r="O61" s="268"/>
      <c r="Q61" s="268"/>
      <c r="R61" s="268"/>
      <c r="S61" s="268"/>
      <c r="T61" s="268"/>
      <c r="U61" s="268"/>
      <c r="V61" s="268"/>
      <c r="AL61" s="270"/>
      <c r="AM61" s="276" t="s">
        <v>13</v>
      </c>
      <c r="AN61" s="270"/>
      <c r="AO61" s="270"/>
      <c r="AP61" s="270"/>
      <c r="AQ61" s="270"/>
      <c r="AR61" s="270"/>
      <c r="AS61" s="277" t="s">
        <v>13</v>
      </c>
      <c r="AT61" s="271"/>
      <c r="AZ61" s="276" t="s">
        <v>160</v>
      </c>
    </row>
    <row r="62" spans="1:105">
      <c r="F62" s="229"/>
      <c r="M62" s="268"/>
      <c r="O62" s="268"/>
      <c r="Q62" s="268"/>
      <c r="R62" s="268"/>
      <c r="S62" s="268"/>
      <c r="T62" s="268"/>
      <c r="U62" s="268"/>
      <c r="V62" s="268"/>
      <c r="AL62" s="270"/>
      <c r="AM62" s="270"/>
      <c r="AN62" s="270"/>
      <c r="AO62" s="270"/>
      <c r="AP62" s="270"/>
      <c r="AQ62" s="270"/>
      <c r="AR62" s="270"/>
      <c r="AS62" s="270"/>
      <c r="AT62" s="271"/>
      <c r="AZ62" s="270"/>
    </row>
    <row r="63" spans="1:105">
      <c r="F63" s="229"/>
      <c r="M63" s="268"/>
      <c r="O63" s="268"/>
      <c r="Q63" s="268"/>
      <c r="R63" s="268"/>
      <c r="S63" s="268"/>
      <c r="T63" s="268"/>
      <c r="U63" s="268"/>
      <c r="V63" s="268"/>
      <c r="AZ63" s="270"/>
    </row>
    <row r="64" spans="1:105">
      <c r="F64" s="229"/>
      <c r="M64" s="268"/>
      <c r="O64" s="268"/>
      <c r="Q64" s="268"/>
      <c r="R64" s="268"/>
      <c r="S64" s="268"/>
      <c r="T64" s="268"/>
      <c r="U64" s="268"/>
      <c r="V64" s="268"/>
    </row>
    <row r="65" spans="6:22">
      <c r="F65" s="229"/>
      <c r="M65" s="268"/>
      <c r="O65" s="268"/>
      <c r="Q65" s="268"/>
      <c r="R65" s="268"/>
      <c r="S65" s="268"/>
      <c r="T65" s="268"/>
      <c r="U65" s="268"/>
      <c r="V65" s="268"/>
    </row>
    <row r="66" spans="6:22">
      <c r="F66" s="229"/>
      <c r="M66" s="268"/>
      <c r="O66" s="268"/>
      <c r="Q66" s="268"/>
      <c r="R66" s="268"/>
      <c r="S66" s="268"/>
      <c r="T66" s="268"/>
      <c r="U66" s="268"/>
      <c r="V66" s="268"/>
    </row>
    <row r="67" spans="6:22">
      <c r="F67" s="229"/>
      <c r="M67" s="268"/>
      <c r="O67" s="268"/>
      <c r="Q67" s="268"/>
      <c r="R67" s="268"/>
      <c r="S67" s="268"/>
      <c r="T67" s="268"/>
      <c r="U67" s="268"/>
      <c r="V67" s="268"/>
    </row>
    <row r="68" spans="6:22">
      <c r="F68" s="229"/>
      <c r="M68" s="268"/>
      <c r="O68" s="268"/>
      <c r="Q68" s="268"/>
      <c r="R68" s="268"/>
      <c r="S68" s="268"/>
      <c r="T68" s="268"/>
      <c r="U68" s="268"/>
      <c r="V68" s="268"/>
    </row>
    <row r="69" spans="6:22">
      <c r="F69" s="229"/>
      <c r="M69" s="268"/>
      <c r="O69" s="268"/>
      <c r="Q69" s="268"/>
      <c r="R69" s="268"/>
      <c r="S69" s="268"/>
      <c r="T69" s="268"/>
      <c r="U69" s="268"/>
      <c r="V69" s="268"/>
    </row>
    <row r="78" spans="6:22">
      <c r="R78" s="268"/>
    </row>
    <row r="79" spans="6:22">
      <c r="R79" s="268"/>
    </row>
    <row r="80" spans="6:22">
      <c r="M80" s="268"/>
      <c r="O80" s="268"/>
      <c r="P80" s="268"/>
      <c r="Q80" s="268"/>
      <c r="R80" s="268"/>
    </row>
    <row r="81" spans="13:18">
      <c r="M81" s="268"/>
      <c r="O81" s="268"/>
      <c r="P81" s="268"/>
      <c r="Q81" s="268"/>
      <c r="R81" s="268"/>
    </row>
    <row r="82" spans="13:18">
      <c r="M82" s="268"/>
      <c r="O82" s="268"/>
      <c r="P82" s="268"/>
      <c r="Q82" s="268"/>
    </row>
    <row r="83" spans="13:18">
      <c r="M83" s="268"/>
      <c r="O83" s="268"/>
      <c r="P83" s="268"/>
      <c r="Q83" s="268"/>
    </row>
    <row r="85" spans="13:18">
      <c r="M85" s="268"/>
      <c r="O85" s="268"/>
      <c r="P85" s="268"/>
      <c r="Q85" s="268"/>
      <c r="R85" s="268"/>
    </row>
    <row r="86" spans="13:18">
      <c r="M86" s="268"/>
      <c r="O86" s="268"/>
      <c r="P86" s="268"/>
      <c r="Q86" s="268"/>
      <c r="R86" s="268"/>
    </row>
    <row r="93" spans="13:18">
      <c r="M93" s="268"/>
      <c r="O93" s="268"/>
      <c r="P93" s="268"/>
      <c r="Q93" s="268"/>
      <c r="R93" s="268"/>
    </row>
    <row r="94" spans="13:18">
      <c r="M94" s="268"/>
      <c r="O94" s="268"/>
      <c r="P94" s="268"/>
      <c r="Q94" s="268"/>
      <c r="R94" s="268"/>
    </row>
    <row r="95" spans="13:18">
      <c r="M95" s="268"/>
      <c r="O95" s="268"/>
      <c r="P95" s="268"/>
      <c r="Q95" s="268"/>
      <c r="R95" s="268"/>
    </row>
    <row r="99" spans="13:18">
      <c r="M99" s="268"/>
      <c r="O99" s="268"/>
      <c r="P99" s="268"/>
      <c r="Q99" s="268"/>
      <c r="R99" s="268"/>
    </row>
    <row r="100" spans="13:18">
      <c r="M100" s="268"/>
      <c r="O100" s="268"/>
      <c r="P100" s="268"/>
      <c r="Q100" s="268"/>
      <c r="R100" s="268"/>
    </row>
    <row r="101" spans="13:18">
      <c r="M101" s="268"/>
      <c r="O101" s="268"/>
      <c r="P101" s="268"/>
      <c r="Q101" s="268"/>
      <c r="R101" s="268"/>
    </row>
    <row r="102" spans="13:18">
      <c r="M102" s="268"/>
      <c r="O102" s="268"/>
      <c r="P102" s="268"/>
      <c r="Q102" s="268"/>
      <c r="R102" s="268"/>
    </row>
    <row r="103" spans="13:18">
      <c r="M103" s="268"/>
      <c r="O103" s="268"/>
      <c r="P103" s="268"/>
      <c r="Q103" s="268"/>
      <c r="R103" s="268"/>
    </row>
    <row r="104" spans="13:18">
      <c r="M104" s="268"/>
      <c r="O104" s="268"/>
      <c r="P104" s="268"/>
      <c r="Q104" s="268"/>
      <c r="R104" s="268"/>
    </row>
    <row r="105" spans="13:18">
      <c r="M105" s="268"/>
      <c r="O105" s="268"/>
      <c r="P105" s="268"/>
      <c r="Q105" s="268"/>
      <c r="R105" s="268"/>
    </row>
    <row r="106" spans="13:18">
      <c r="M106" s="268"/>
      <c r="O106" s="268"/>
      <c r="P106" s="268"/>
      <c r="Q106" s="268"/>
      <c r="R106" s="268"/>
    </row>
    <row r="107" spans="13:18">
      <c r="M107" s="268"/>
      <c r="O107" s="268"/>
      <c r="P107" s="268"/>
      <c r="Q107" s="268"/>
      <c r="R107" s="268"/>
    </row>
    <row r="108" spans="13:18">
      <c r="M108" s="268"/>
      <c r="O108" s="268"/>
      <c r="P108" s="268"/>
      <c r="Q108" s="268"/>
      <c r="R108" s="268"/>
    </row>
    <row r="109" spans="13:18">
      <c r="M109" s="268"/>
      <c r="O109" s="268"/>
      <c r="P109" s="268"/>
      <c r="Q109" s="268"/>
      <c r="R109" s="268"/>
    </row>
    <row r="110" spans="13:18">
      <c r="M110" s="268"/>
      <c r="O110" s="268"/>
      <c r="P110" s="268"/>
      <c r="Q110" s="268"/>
      <c r="R110" s="268"/>
    </row>
    <row r="111" spans="13:18">
      <c r="M111" s="268"/>
      <c r="O111" s="268"/>
      <c r="P111" s="268"/>
      <c r="Q111" s="268"/>
      <c r="R111" s="268"/>
    </row>
    <row r="112" spans="13:18">
      <c r="M112" s="268"/>
      <c r="O112" s="268"/>
      <c r="P112" s="268"/>
      <c r="Q112" s="268"/>
      <c r="R112" s="268"/>
    </row>
    <row r="113" spans="13:18">
      <c r="M113" s="268"/>
      <c r="O113" s="268"/>
      <c r="P113" s="268"/>
      <c r="Q113" s="268"/>
      <c r="R113" s="268"/>
    </row>
    <row r="114" spans="13:18">
      <c r="M114" s="268"/>
      <c r="O114" s="268"/>
      <c r="P114" s="268"/>
      <c r="Q114" s="268"/>
      <c r="R114" s="268"/>
    </row>
    <row r="115" spans="13:18">
      <c r="M115" s="268"/>
      <c r="O115" s="268"/>
      <c r="P115" s="268"/>
      <c r="Q115" s="268"/>
      <c r="R115" s="268"/>
    </row>
    <row r="116" spans="13:18">
      <c r="M116" s="268"/>
      <c r="O116" s="268"/>
      <c r="P116" s="268"/>
      <c r="Q116" s="268"/>
      <c r="R116" s="268"/>
    </row>
    <row r="117" spans="13:18">
      <c r="M117" s="268"/>
      <c r="O117" s="268"/>
      <c r="P117" s="268"/>
      <c r="Q117" s="268"/>
      <c r="R117" s="268"/>
    </row>
    <row r="118" spans="13:18">
      <c r="M118" s="268"/>
      <c r="O118" s="268"/>
      <c r="P118" s="268"/>
      <c r="Q118" s="268"/>
      <c r="R118" s="268"/>
    </row>
    <row r="119" spans="13:18">
      <c r="M119" s="268"/>
      <c r="O119" s="268"/>
      <c r="P119" s="268"/>
      <c r="Q119" s="268"/>
      <c r="R119" s="268"/>
    </row>
    <row r="120" spans="13:18">
      <c r="M120" s="268"/>
      <c r="O120" s="268"/>
      <c r="P120" s="268"/>
      <c r="Q120" s="268"/>
      <c r="R120" s="268"/>
    </row>
    <row r="121" spans="13:18">
      <c r="M121" s="268"/>
      <c r="O121" s="268"/>
      <c r="P121" s="268"/>
      <c r="Q121" s="268"/>
      <c r="R121" s="268"/>
    </row>
    <row r="122" spans="13:18">
      <c r="M122" s="268"/>
      <c r="O122" s="268"/>
      <c r="P122" s="268"/>
      <c r="Q122" s="268"/>
      <c r="R122" s="268"/>
    </row>
    <row r="123" spans="13:18">
      <c r="M123" s="268"/>
      <c r="O123" s="268"/>
      <c r="P123" s="268"/>
      <c r="Q123" s="268"/>
      <c r="R123" s="268"/>
    </row>
    <row r="124" spans="13:18">
      <c r="M124" s="268"/>
      <c r="O124" s="268"/>
      <c r="P124" s="268"/>
      <c r="Q124" s="268"/>
      <c r="R124" s="268"/>
    </row>
    <row r="125" spans="13:18">
      <c r="M125" s="268"/>
      <c r="O125" s="268"/>
      <c r="P125" s="268"/>
      <c r="Q125" s="268"/>
      <c r="R125" s="268"/>
    </row>
    <row r="126" spans="13:18">
      <c r="M126" s="268"/>
      <c r="O126" s="268"/>
      <c r="P126" s="268"/>
      <c r="Q126" s="268"/>
      <c r="R126" s="268"/>
    </row>
    <row r="127" spans="13:18">
      <c r="M127" s="268"/>
      <c r="O127" s="268"/>
      <c r="P127" s="268"/>
      <c r="Q127" s="268"/>
      <c r="R127" s="268"/>
    </row>
    <row r="128" spans="13:18">
      <c r="M128" s="268"/>
      <c r="O128" s="268"/>
      <c r="P128" s="268"/>
      <c r="Q128" s="268"/>
      <c r="R128" s="268"/>
    </row>
    <row r="129" spans="13:18">
      <c r="M129" s="268"/>
      <c r="O129" s="268"/>
      <c r="P129" s="268"/>
      <c r="Q129" s="268"/>
      <c r="R129" s="268"/>
    </row>
    <row r="130" spans="13:18">
      <c r="M130" s="268"/>
      <c r="O130" s="268"/>
      <c r="P130" s="268"/>
      <c r="Q130" s="268"/>
      <c r="R130" s="268"/>
    </row>
    <row r="131" spans="13:18">
      <c r="M131" s="268"/>
      <c r="O131" s="268"/>
      <c r="P131" s="268"/>
      <c r="Q131" s="268"/>
      <c r="R131" s="268"/>
    </row>
    <row r="132" spans="13:18">
      <c r="M132" s="268"/>
      <c r="O132" s="268"/>
      <c r="P132" s="268"/>
      <c r="Q132" s="268"/>
      <c r="R132" s="268"/>
    </row>
    <row r="133" spans="13:18">
      <c r="M133" s="268"/>
      <c r="O133" s="268"/>
      <c r="P133" s="268"/>
      <c r="Q133" s="268"/>
      <c r="R133" s="268"/>
    </row>
    <row r="134" spans="13:18">
      <c r="M134" s="268"/>
      <c r="O134" s="268"/>
      <c r="P134" s="268"/>
      <c r="Q134" s="268"/>
      <c r="R134" s="268"/>
    </row>
    <row r="135" spans="13:18">
      <c r="M135" s="268"/>
      <c r="O135" s="268"/>
      <c r="P135" s="268"/>
      <c r="Q135" s="268"/>
      <c r="R135" s="268"/>
    </row>
    <row r="136" spans="13:18">
      <c r="M136" s="268"/>
      <c r="O136" s="268"/>
      <c r="P136" s="268"/>
      <c r="Q136" s="268"/>
      <c r="R136" s="268"/>
    </row>
    <row r="137" spans="13:18">
      <c r="M137" s="268"/>
      <c r="O137" s="268"/>
      <c r="P137" s="268"/>
      <c r="Q137" s="268"/>
      <c r="R137" s="268"/>
    </row>
    <row r="138" spans="13:18">
      <c r="M138" s="268"/>
      <c r="O138" s="268"/>
      <c r="P138" s="268"/>
      <c r="Q138" s="268"/>
      <c r="R138" s="268"/>
    </row>
    <row r="139" spans="13:18">
      <c r="M139" s="268"/>
      <c r="O139" s="268"/>
      <c r="P139" s="268"/>
      <c r="Q139" s="268"/>
      <c r="R139" s="268"/>
    </row>
    <row r="140" spans="13:18">
      <c r="M140" s="268"/>
      <c r="O140" s="268"/>
      <c r="P140" s="268"/>
      <c r="Q140" s="268"/>
      <c r="R140" s="268"/>
    </row>
    <row r="141" spans="13:18">
      <c r="M141" s="268"/>
      <c r="O141" s="268"/>
      <c r="P141" s="268"/>
      <c r="Q141" s="268"/>
      <c r="R141" s="268"/>
    </row>
    <row r="142" spans="13:18">
      <c r="M142" s="268"/>
      <c r="O142" s="268"/>
      <c r="P142" s="268"/>
      <c r="Q142" s="268"/>
      <c r="R142" s="268"/>
    </row>
    <row r="143" spans="13:18">
      <c r="M143" s="268"/>
      <c r="O143" s="268"/>
      <c r="P143" s="268"/>
      <c r="Q143" s="268"/>
      <c r="R143" s="268"/>
    </row>
    <row r="144" spans="13:18">
      <c r="M144" s="268"/>
      <c r="O144" s="268"/>
      <c r="P144" s="268"/>
      <c r="Q144" s="268"/>
      <c r="R144" s="268"/>
    </row>
    <row r="145" spans="13:18">
      <c r="M145" s="268"/>
      <c r="O145" s="268"/>
      <c r="P145" s="268"/>
      <c r="Q145" s="268"/>
      <c r="R145" s="268"/>
    </row>
    <row r="146" spans="13:18">
      <c r="M146" s="268"/>
      <c r="O146" s="268"/>
      <c r="P146" s="268"/>
      <c r="Q146" s="268"/>
      <c r="R146" s="268"/>
    </row>
    <row r="147" spans="13:18">
      <c r="M147" s="268"/>
      <c r="O147" s="268"/>
      <c r="P147" s="268"/>
      <c r="Q147" s="268"/>
      <c r="R147" s="268"/>
    </row>
    <row r="148" spans="13:18">
      <c r="M148" s="268"/>
      <c r="O148" s="268"/>
      <c r="P148" s="268"/>
      <c r="Q148" s="268"/>
      <c r="R148" s="268"/>
    </row>
    <row r="149" spans="13:18">
      <c r="M149" s="268"/>
      <c r="O149" s="268"/>
      <c r="P149" s="268"/>
      <c r="Q149" s="268"/>
      <c r="R149" s="268"/>
    </row>
    <row r="150" spans="13:18">
      <c r="M150" s="268"/>
      <c r="O150" s="268"/>
      <c r="P150" s="268"/>
      <c r="Q150" s="268"/>
      <c r="R150" s="268"/>
    </row>
    <row r="151" spans="13:18">
      <c r="M151" s="268"/>
      <c r="O151" s="268"/>
      <c r="P151" s="268"/>
      <c r="Q151" s="268"/>
      <c r="R151" s="268"/>
    </row>
    <row r="152" spans="13:18">
      <c r="M152" s="268"/>
      <c r="O152" s="268"/>
      <c r="P152" s="268"/>
      <c r="Q152" s="268"/>
      <c r="R152" s="268"/>
    </row>
    <row r="153" spans="13:18">
      <c r="M153" s="268"/>
      <c r="O153" s="268"/>
      <c r="P153" s="268"/>
      <c r="Q153" s="268"/>
      <c r="R153" s="268"/>
    </row>
    <row r="154" spans="13:18">
      <c r="M154" s="268"/>
      <c r="O154" s="268"/>
      <c r="P154" s="268"/>
      <c r="Q154" s="268"/>
      <c r="R154" s="268"/>
    </row>
    <row r="155" spans="13:18">
      <c r="M155" s="268"/>
      <c r="O155" s="268"/>
      <c r="P155" s="268"/>
      <c r="Q155" s="268"/>
      <c r="R155" s="268"/>
    </row>
    <row r="156" spans="13:18">
      <c r="M156" s="268"/>
      <c r="O156" s="268"/>
      <c r="P156" s="268"/>
      <c r="Q156" s="268"/>
      <c r="R156" s="268"/>
    </row>
    <row r="157" spans="13:18">
      <c r="M157" s="268"/>
      <c r="O157" s="268"/>
      <c r="P157" s="268"/>
      <c r="Q157" s="268"/>
      <c r="R157" s="268"/>
    </row>
    <row r="158" spans="13:18">
      <c r="M158" s="268"/>
      <c r="O158" s="268"/>
      <c r="P158" s="268"/>
      <c r="Q158" s="268"/>
      <c r="R158" s="268"/>
    </row>
    <row r="159" spans="13:18">
      <c r="M159" s="268"/>
      <c r="O159" s="268"/>
      <c r="P159" s="268"/>
      <c r="Q159" s="268"/>
      <c r="R159" s="268"/>
    </row>
    <row r="160" spans="13:18">
      <c r="M160" s="268"/>
      <c r="O160" s="268"/>
      <c r="P160" s="268"/>
      <c r="Q160" s="268"/>
      <c r="R160" s="268"/>
    </row>
    <row r="161" spans="13:18">
      <c r="M161" s="268"/>
      <c r="O161" s="268"/>
      <c r="P161" s="268"/>
      <c r="Q161" s="268"/>
      <c r="R161" s="268"/>
    </row>
    <row r="162" spans="13:18">
      <c r="M162" s="268"/>
      <c r="O162" s="268"/>
      <c r="P162" s="268"/>
      <c r="Q162" s="268"/>
      <c r="R162" s="268"/>
    </row>
    <row r="163" spans="13:18">
      <c r="M163" s="268"/>
      <c r="O163" s="268"/>
      <c r="P163" s="268"/>
      <c r="Q163" s="268"/>
      <c r="R163" s="268"/>
    </row>
    <row r="164" spans="13:18">
      <c r="M164" s="268"/>
      <c r="O164" s="268"/>
      <c r="P164" s="268"/>
      <c r="Q164" s="268"/>
      <c r="R164" s="268"/>
    </row>
    <row r="165" spans="13:18">
      <c r="M165" s="268"/>
      <c r="O165" s="268"/>
      <c r="P165" s="268"/>
      <c r="Q165" s="268"/>
      <c r="R165" s="268"/>
    </row>
    <row r="166" spans="13:18">
      <c r="M166" s="268"/>
      <c r="O166" s="268"/>
      <c r="P166" s="268"/>
      <c r="Q166" s="268"/>
      <c r="R166" s="268"/>
    </row>
    <row r="167" spans="13:18">
      <c r="M167" s="268"/>
      <c r="O167" s="268"/>
      <c r="P167" s="268"/>
      <c r="Q167" s="268"/>
      <c r="R167" s="268"/>
    </row>
    <row r="168" spans="13:18">
      <c r="M168" s="268"/>
      <c r="O168" s="268"/>
      <c r="P168" s="268"/>
      <c r="Q168" s="268"/>
      <c r="R168" s="268"/>
    </row>
    <row r="169" spans="13:18">
      <c r="M169" s="268"/>
      <c r="O169" s="268"/>
      <c r="P169" s="268"/>
      <c r="Q169" s="268"/>
      <c r="R169" s="268"/>
    </row>
    <row r="170" spans="13:18">
      <c r="M170" s="268"/>
      <c r="O170" s="268"/>
      <c r="P170" s="268"/>
      <c r="Q170" s="268"/>
      <c r="R170" s="268"/>
    </row>
    <row r="171" spans="13:18">
      <c r="M171" s="268"/>
      <c r="O171" s="268"/>
      <c r="P171" s="268"/>
      <c r="Q171" s="268"/>
      <c r="R171" s="268"/>
    </row>
    <row r="172" spans="13:18">
      <c r="M172" s="268"/>
      <c r="O172" s="268"/>
      <c r="P172" s="268"/>
      <c r="Q172" s="268"/>
      <c r="R172" s="268"/>
    </row>
    <row r="173" spans="13:18">
      <c r="M173" s="268"/>
      <c r="O173" s="268"/>
      <c r="P173" s="268"/>
      <c r="Q173" s="268"/>
      <c r="R173" s="268"/>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215"/>
  <sheetViews>
    <sheetView topLeftCell="A7" workbookViewId="0">
      <pane xSplit="8" ySplit="5" topLeftCell="I1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29" customWidth="1"/>
    <col min="2" max="2" width="8.42578125" style="229" customWidth="1"/>
    <col min="3" max="3" width="7.85546875" style="229" customWidth="1"/>
    <col min="4" max="4" width="8.7109375" style="229" customWidth="1"/>
    <col min="5" max="5" width="44" style="229" customWidth="1"/>
    <col min="6" max="6" width="13.5703125" style="229" customWidth="1"/>
    <col min="7" max="8" width="5.85546875" style="230" customWidth="1"/>
    <col min="9" max="9" width="4.85546875" style="229" customWidth="1"/>
    <col min="10" max="10" width="13.140625" style="229" customWidth="1"/>
    <col min="11" max="11" width="13.28515625" style="229" customWidth="1"/>
    <col min="12" max="12" width="13.7109375" style="229" customWidth="1"/>
    <col min="13" max="13" width="14" style="229" customWidth="1"/>
    <col min="14" max="14" width="13.7109375" style="229" customWidth="1"/>
    <col min="15" max="15" width="14" style="229" customWidth="1"/>
    <col min="16" max="16" width="12.7109375" style="229" customWidth="1"/>
    <col min="17" max="17" width="14.5703125" style="229" customWidth="1"/>
    <col min="18" max="18" width="13.28515625" style="229" customWidth="1"/>
    <col min="19" max="19" width="13" style="229" customWidth="1"/>
    <col min="20" max="20" width="14" style="229" customWidth="1"/>
    <col min="21" max="21" width="5" style="229" customWidth="1"/>
    <col min="22" max="22" width="13.7109375" style="229" customWidth="1"/>
    <col min="23" max="23" width="13.42578125" style="229" customWidth="1"/>
    <col min="24" max="24" width="6.140625" style="229" customWidth="1"/>
    <col min="25" max="25" width="7.140625" style="229" customWidth="1"/>
    <col min="26" max="27" width="9.42578125" style="229" customWidth="1"/>
    <col min="28" max="28" width="11.140625" style="229" customWidth="1"/>
    <col min="29" max="29" width="13" style="229" customWidth="1"/>
    <col min="30" max="30" width="4.5703125" style="229" customWidth="1"/>
    <col min="31" max="31" width="13.5703125" style="229" customWidth="1"/>
    <col min="32" max="32" width="4.5703125" style="229" customWidth="1"/>
    <col min="33" max="33" width="13.5703125" style="229" customWidth="1"/>
    <col min="34" max="34" width="4.42578125" style="229" customWidth="1"/>
    <col min="35" max="35" width="12.7109375" style="229" customWidth="1"/>
    <col min="36" max="36" width="11.140625" style="229" customWidth="1"/>
    <col min="37" max="37" width="4.7109375" style="229" customWidth="1"/>
    <col min="38" max="38" width="12.28515625" style="229" customWidth="1"/>
    <col min="39" max="39" width="11.42578125" style="229" customWidth="1"/>
    <col min="40" max="40" width="11.28515625" style="229" customWidth="1"/>
    <col min="41" max="41" width="11.140625" style="229" customWidth="1"/>
    <col min="42" max="43" width="12.5703125" style="229" customWidth="1"/>
    <col min="44" max="44" width="13.42578125" style="229" customWidth="1"/>
    <col min="45" max="45" width="12.7109375" style="229" customWidth="1"/>
    <col min="46" max="46" width="11.85546875" style="229" customWidth="1"/>
    <col min="47" max="47" width="11.5703125" style="229" customWidth="1"/>
    <col min="48" max="48" width="7.5703125" style="229" customWidth="1"/>
    <col min="49" max="49" width="8.140625" style="229" customWidth="1"/>
    <col min="50" max="50" width="7.5703125" style="229" customWidth="1"/>
    <col min="51" max="51" width="7.42578125" style="229" customWidth="1"/>
    <col min="52" max="53" width="13.140625" style="229" customWidth="1"/>
    <col min="54" max="16384" width="9.140625" style="229"/>
  </cols>
  <sheetData>
    <row r="1" spans="1:105" ht="12.75" customHeight="1">
      <c r="A1" s="225"/>
      <c r="B1" s="226" t="s">
        <v>121</v>
      </c>
      <c r="C1" s="227"/>
      <c r="D1" s="227"/>
      <c r="E1" s="228"/>
      <c r="I1" s="227"/>
      <c r="L1" s="1398" t="s">
        <v>187</v>
      </c>
      <c r="M1" s="1398"/>
      <c r="N1" s="1398"/>
      <c r="O1" s="1398"/>
      <c r="P1" s="1398"/>
      <c r="Q1" s="1398"/>
      <c r="R1" s="315"/>
      <c r="T1" s="227"/>
      <c r="U1" s="227"/>
      <c r="V1" s="227"/>
      <c r="W1" s="227"/>
      <c r="X1" s="227"/>
      <c r="Y1" s="227"/>
      <c r="Z1" s="227"/>
      <c r="AA1" s="227"/>
      <c r="AB1" s="227"/>
      <c r="AC1" s="227"/>
      <c r="AD1" s="227"/>
      <c r="AE1" s="227"/>
      <c r="AF1" s="368"/>
      <c r="AG1" s="368"/>
      <c r="AH1" s="227"/>
      <c r="AI1" s="227"/>
      <c r="AJ1" s="227"/>
      <c r="AK1" s="227"/>
      <c r="AL1" s="227"/>
      <c r="AM1" s="227"/>
      <c r="AN1" s="227"/>
      <c r="AO1" s="227"/>
      <c r="AP1" s="227"/>
      <c r="AQ1" s="227"/>
      <c r="AR1" s="227"/>
      <c r="AS1" s="227"/>
      <c r="AT1" s="227"/>
      <c r="AU1" s="227"/>
      <c r="AV1" s="227"/>
      <c r="AW1" s="227"/>
      <c r="AX1" s="227"/>
      <c r="AY1" s="227"/>
      <c r="AZ1" s="227"/>
      <c r="BA1" s="227"/>
    </row>
    <row r="2" spans="1:105" ht="12.75" customHeight="1">
      <c r="A2" s="225"/>
      <c r="B2" s="226" t="s">
        <v>176</v>
      </c>
      <c r="C2" s="227"/>
      <c r="D2" s="227"/>
      <c r="E2" s="227"/>
      <c r="I2" s="231"/>
      <c r="L2" s="1399" t="s">
        <v>143</v>
      </c>
      <c r="M2" s="1399"/>
      <c r="N2" s="1399"/>
      <c r="O2" s="1399"/>
      <c r="P2" s="1399"/>
      <c r="Q2" s="1399"/>
      <c r="R2" s="316"/>
      <c r="T2" s="231"/>
      <c r="U2" s="231"/>
      <c r="V2" s="231"/>
      <c r="W2" s="231"/>
      <c r="X2" s="231"/>
      <c r="Y2" s="231"/>
      <c r="Z2" s="231"/>
      <c r="AA2" s="231"/>
      <c r="AB2" s="231"/>
      <c r="AC2" s="231"/>
      <c r="AD2" s="231"/>
      <c r="AE2" s="231"/>
      <c r="AF2" s="369"/>
      <c r="AG2" s="369"/>
      <c r="AH2" s="231"/>
      <c r="AI2" s="231"/>
      <c r="AJ2" s="231"/>
      <c r="AK2" s="231"/>
      <c r="AL2" s="231"/>
      <c r="AM2" s="231"/>
      <c r="AN2" s="231"/>
      <c r="AO2" s="231"/>
      <c r="AP2" s="231"/>
      <c r="AQ2" s="231"/>
      <c r="AR2" s="231"/>
      <c r="AS2" s="231"/>
      <c r="AT2" s="231"/>
      <c r="AU2" s="231"/>
      <c r="AV2" s="231"/>
      <c r="AW2" s="231"/>
      <c r="AX2" s="231"/>
      <c r="AY2" s="231"/>
      <c r="AZ2" s="231"/>
      <c r="BA2" s="231"/>
    </row>
    <row r="3" spans="1:105" ht="10.5" customHeight="1">
      <c r="A3" s="227"/>
      <c r="B3" s="227"/>
      <c r="C3" s="227"/>
      <c r="D3" s="227"/>
      <c r="E3" s="227"/>
      <c r="F3" s="231"/>
      <c r="G3" s="233"/>
      <c r="H3" s="233"/>
      <c r="I3" s="231"/>
      <c r="L3" s="1399"/>
      <c r="M3" s="1399"/>
      <c r="N3" s="1399"/>
      <c r="O3" s="1399"/>
      <c r="P3" s="1399"/>
      <c r="Q3" s="1399"/>
      <c r="R3" s="316"/>
      <c r="T3" s="231"/>
      <c r="U3" s="231"/>
      <c r="V3" s="231"/>
      <c r="W3" s="231"/>
      <c r="X3" s="231"/>
      <c r="Y3" s="231"/>
      <c r="Z3" s="231"/>
      <c r="AA3" s="231"/>
      <c r="AB3" s="231"/>
      <c r="AC3" s="231"/>
      <c r="AD3" s="231"/>
      <c r="AE3" s="231"/>
      <c r="AF3" s="369"/>
      <c r="AG3" s="369"/>
      <c r="AH3" s="231"/>
      <c r="AI3" s="231"/>
      <c r="AJ3" s="231"/>
      <c r="AK3" s="231"/>
      <c r="AL3" s="231"/>
      <c r="AM3" s="231"/>
      <c r="AN3" s="231"/>
      <c r="AO3" s="231"/>
      <c r="AP3" s="231"/>
      <c r="AQ3" s="231"/>
      <c r="AR3" s="231"/>
      <c r="AS3" s="231"/>
      <c r="AT3" s="231"/>
      <c r="AU3" s="231"/>
      <c r="AV3" s="231"/>
      <c r="AW3" s="231"/>
      <c r="AX3" s="231"/>
      <c r="AY3" s="231"/>
      <c r="AZ3" s="231"/>
      <c r="BA3" s="231"/>
    </row>
    <row r="4" spans="1:105" ht="19.5" customHeight="1">
      <c r="B4" s="1400" t="s">
        <v>112</v>
      </c>
      <c r="C4" s="1400"/>
      <c r="D4" s="1400"/>
      <c r="E4" s="1400"/>
      <c r="F4" s="1400"/>
      <c r="G4" s="1400"/>
      <c r="H4" s="1400"/>
      <c r="I4" s="1400"/>
      <c r="J4" s="1400"/>
      <c r="K4" s="1400"/>
      <c r="L4" s="1400"/>
      <c r="M4" s="1400"/>
      <c r="N4" s="1400"/>
      <c r="O4" s="1400"/>
      <c r="P4" s="1400"/>
      <c r="Q4" s="1400"/>
      <c r="R4" s="1400"/>
      <c r="S4" s="234"/>
      <c r="T4" s="236"/>
      <c r="U4" s="236"/>
      <c r="V4" s="236"/>
      <c r="W4" s="236"/>
      <c r="X4" s="236"/>
      <c r="Y4" s="236"/>
      <c r="Z4" s="236"/>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row>
    <row r="5" spans="1:105" ht="15">
      <c r="B5" s="1401" t="s">
        <v>220</v>
      </c>
      <c r="C5" s="1401"/>
      <c r="D5" s="1401"/>
      <c r="E5" s="1401"/>
      <c r="F5" s="1401"/>
      <c r="G5" s="1401"/>
      <c r="H5" s="1401"/>
      <c r="I5" s="1401"/>
      <c r="J5" s="1401"/>
      <c r="K5" s="1401"/>
      <c r="L5" s="1401"/>
      <c r="M5" s="1401"/>
      <c r="N5" s="1401"/>
      <c r="O5" s="1401"/>
      <c r="P5" s="1401"/>
      <c r="Q5" s="1401"/>
      <c r="R5" s="1401"/>
      <c r="S5" s="237"/>
    </row>
    <row r="7" spans="1:105" ht="13.5" customHeight="1">
      <c r="A7" s="1402" t="s">
        <v>37</v>
      </c>
      <c r="B7" s="1397" t="s">
        <v>22</v>
      </c>
      <c r="C7" s="1404" t="s">
        <v>1</v>
      </c>
      <c r="D7" s="1405"/>
      <c r="E7" s="1397" t="s">
        <v>0</v>
      </c>
      <c r="F7" s="1397" t="s">
        <v>113</v>
      </c>
      <c r="G7" s="1406" t="s">
        <v>114</v>
      </c>
      <c r="H7" s="1406"/>
      <c r="I7" s="1407" t="s">
        <v>37</v>
      </c>
      <c r="J7" s="1397" t="s">
        <v>189</v>
      </c>
      <c r="K7" s="1397"/>
      <c r="L7" s="1397" t="s">
        <v>190</v>
      </c>
      <c r="M7" s="1397"/>
      <c r="N7" s="1397" t="s">
        <v>258</v>
      </c>
      <c r="O7" s="1397"/>
      <c r="P7" s="1397" t="s">
        <v>596</v>
      </c>
      <c r="Q7" s="1397"/>
      <c r="R7" s="1397" t="s">
        <v>191</v>
      </c>
      <c r="S7" s="1397"/>
      <c r="T7" s="1397" t="s">
        <v>192</v>
      </c>
      <c r="U7" s="1397"/>
      <c r="V7" s="1397" t="s">
        <v>597</v>
      </c>
      <c r="W7" s="1397"/>
      <c r="X7" s="1397" t="s">
        <v>598</v>
      </c>
      <c r="Y7" s="1397"/>
      <c r="Z7" s="1397" t="s">
        <v>599</v>
      </c>
      <c r="AA7" s="1397"/>
      <c r="AB7" s="1397" t="s">
        <v>600</v>
      </c>
      <c r="AC7" s="1397"/>
      <c r="AD7" s="1397" t="s">
        <v>601</v>
      </c>
      <c r="AE7" s="1397"/>
      <c r="AF7" s="1397" t="s">
        <v>602</v>
      </c>
      <c r="AG7" s="1397"/>
      <c r="AH7" s="1397" t="s">
        <v>603</v>
      </c>
      <c r="AI7" s="1397"/>
      <c r="AJ7" s="1397" t="s">
        <v>604</v>
      </c>
      <c r="AK7" s="1397"/>
      <c r="AL7" s="1397" t="s">
        <v>605</v>
      </c>
      <c r="AM7" s="1397"/>
      <c r="AN7" s="1397" t="s">
        <v>606</v>
      </c>
      <c r="AO7" s="1397"/>
      <c r="AP7" s="1397" t="s">
        <v>607</v>
      </c>
      <c r="AQ7" s="1397"/>
      <c r="AR7" s="1397" t="s">
        <v>608</v>
      </c>
      <c r="AS7" s="1397"/>
      <c r="AT7" s="1397" t="s">
        <v>193</v>
      </c>
      <c r="AU7" s="1397"/>
      <c r="AV7" s="1397" t="s">
        <v>194</v>
      </c>
      <c r="AW7" s="1397"/>
      <c r="AX7" s="1397" t="s">
        <v>609</v>
      </c>
      <c r="AY7" s="1397"/>
      <c r="AZ7" s="1397" t="s">
        <v>610</v>
      </c>
      <c r="BA7" s="1397"/>
      <c r="BB7" s="1397" t="s">
        <v>611</v>
      </c>
      <c r="BC7" s="1397"/>
      <c r="BD7" s="1397" t="s">
        <v>195</v>
      </c>
      <c r="BE7" s="1397"/>
      <c r="BF7" s="1397" t="s">
        <v>612</v>
      </c>
      <c r="BG7" s="1397"/>
      <c r="BH7" s="1397" t="s">
        <v>196</v>
      </c>
      <c r="BI7" s="1397"/>
      <c r="BJ7" s="1397" t="s">
        <v>613</v>
      </c>
      <c r="BK7" s="1397"/>
      <c r="BL7" s="1397" t="s">
        <v>614</v>
      </c>
      <c r="BM7" s="1397"/>
      <c r="BN7" s="1397" t="s">
        <v>615</v>
      </c>
      <c r="BO7" s="1397"/>
      <c r="BP7" s="1397" t="s">
        <v>616</v>
      </c>
      <c r="BQ7" s="1397"/>
      <c r="BR7" s="1397" t="s">
        <v>197</v>
      </c>
      <c r="BS7" s="1397"/>
      <c r="BT7" s="1397" t="s">
        <v>198</v>
      </c>
      <c r="BU7" s="1397"/>
      <c r="BV7" s="1397" t="s">
        <v>253</v>
      </c>
      <c r="BW7" s="1397"/>
      <c r="BX7" s="1397" t="s">
        <v>199</v>
      </c>
      <c r="BY7" s="1397"/>
      <c r="BZ7" s="1397" t="s">
        <v>200</v>
      </c>
      <c r="CA7" s="1397"/>
      <c r="CB7" s="1397" t="s">
        <v>201</v>
      </c>
      <c r="CC7" s="1397"/>
      <c r="CD7" s="1397" t="s">
        <v>617</v>
      </c>
      <c r="CE7" s="1397"/>
      <c r="CF7" s="1397" t="s">
        <v>618</v>
      </c>
      <c r="CG7" s="1397"/>
      <c r="CH7" s="1397" t="s">
        <v>202</v>
      </c>
      <c r="CI7" s="1397"/>
      <c r="CJ7" s="1397" t="s">
        <v>619</v>
      </c>
      <c r="CK7" s="1397"/>
      <c r="CL7" s="1397" t="s">
        <v>620</v>
      </c>
      <c r="CM7" s="1397"/>
      <c r="CN7" s="1397" t="s">
        <v>203</v>
      </c>
      <c r="CO7" s="1397"/>
      <c r="CP7" s="1397" t="s">
        <v>621</v>
      </c>
      <c r="CQ7" s="1397"/>
      <c r="CR7" s="1397" t="s">
        <v>204</v>
      </c>
      <c r="CS7" s="1397"/>
      <c r="CT7" s="1397" t="s">
        <v>205</v>
      </c>
      <c r="CU7" s="1397"/>
      <c r="CV7" s="1397" t="s">
        <v>206</v>
      </c>
      <c r="CW7" s="1397"/>
      <c r="CX7" s="1397" t="s">
        <v>207</v>
      </c>
      <c r="CY7" s="1397"/>
      <c r="CZ7" s="1397" t="s">
        <v>208</v>
      </c>
      <c r="DA7" s="1397"/>
    </row>
    <row r="8" spans="1:105" ht="22.5" customHeight="1">
      <c r="A8" s="1403"/>
      <c r="B8" s="1397"/>
      <c r="C8" s="745" t="s">
        <v>17</v>
      </c>
      <c r="D8" s="744" t="s">
        <v>34</v>
      </c>
      <c r="E8" s="1397"/>
      <c r="F8" s="1397"/>
      <c r="G8" s="746" t="s">
        <v>24</v>
      </c>
      <c r="H8" s="746" t="s">
        <v>25</v>
      </c>
      <c r="I8" s="1407"/>
      <c r="J8" s="744" t="s">
        <v>24</v>
      </c>
      <c r="K8" s="744" t="s">
        <v>25</v>
      </c>
      <c r="L8" s="744" t="s">
        <v>24</v>
      </c>
      <c r="M8" s="744" t="s">
        <v>25</v>
      </c>
      <c r="N8" s="744" t="s">
        <v>24</v>
      </c>
      <c r="O8" s="744" t="s">
        <v>25</v>
      </c>
      <c r="P8" s="744" t="s">
        <v>24</v>
      </c>
      <c r="Q8" s="744" t="s">
        <v>25</v>
      </c>
      <c r="R8" s="744" t="s">
        <v>24</v>
      </c>
      <c r="S8" s="744" t="s">
        <v>25</v>
      </c>
      <c r="T8" s="744" t="s">
        <v>24</v>
      </c>
      <c r="U8" s="744" t="s">
        <v>25</v>
      </c>
      <c r="V8" s="744" t="s">
        <v>24</v>
      </c>
      <c r="W8" s="744" t="s">
        <v>25</v>
      </c>
      <c r="X8" s="744" t="s">
        <v>24</v>
      </c>
      <c r="Y8" s="744" t="s">
        <v>25</v>
      </c>
      <c r="Z8" s="744" t="s">
        <v>24</v>
      </c>
      <c r="AA8" s="744" t="s">
        <v>25</v>
      </c>
      <c r="AB8" s="744" t="s">
        <v>24</v>
      </c>
      <c r="AC8" s="744" t="s">
        <v>25</v>
      </c>
      <c r="AD8" s="744" t="s">
        <v>24</v>
      </c>
      <c r="AE8" s="744" t="s">
        <v>25</v>
      </c>
      <c r="AF8" s="744" t="s">
        <v>24</v>
      </c>
      <c r="AG8" s="744" t="s">
        <v>25</v>
      </c>
      <c r="AH8" s="744" t="s">
        <v>24</v>
      </c>
      <c r="AI8" s="744" t="s">
        <v>25</v>
      </c>
      <c r="AJ8" s="744" t="s">
        <v>24</v>
      </c>
      <c r="AK8" s="744" t="s">
        <v>25</v>
      </c>
      <c r="AL8" s="744" t="s">
        <v>24</v>
      </c>
      <c r="AM8" s="744" t="s">
        <v>25</v>
      </c>
      <c r="AN8" s="744" t="s">
        <v>24</v>
      </c>
      <c r="AO8" s="744" t="s">
        <v>25</v>
      </c>
      <c r="AP8" s="744" t="s">
        <v>24</v>
      </c>
      <c r="AQ8" s="744" t="s">
        <v>25</v>
      </c>
      <c r="AR8" s="744" t="s">
        <v>24</v>
      </c>
      <c r="AS8" s="744" t="s">
        <v>25</v>
      </c>
      <c r="AT8" s="744" t="s">
        <v>24</v>
      </c>
      <c r="AU8" s="744" t="s">
        <v>25</v>
      </c>
      <c r="AV8" s="744" t="s">
        <v>24</v>
      </c>
      <c r="AW8" s="744" t="s">
        <v>25</v>
      </c>
      <c r="AX8" s="744" t="s">
        <v>24</v>
      </c>
      <c r="AY8" s="744" t="s">
        <v>25</v>
      </c>
      <c r="AZ8" s="744" t="s">
        <v>24</v>
      </c>
      <c r="BA8" s="744" t="s">
        <v>25</v>
      </c>
      <c r="BB8" s="744" t="s">
        <v>24</v>
      </c>
      <c r="BC8" s="744" t="s">
        <v>25</v>
      </c>
      <c r="BD8" s="744" t="s">
        <v>24</v>
      </c>
      <c r="BE8" s="744" t="s">
        <v>25</v>
      </c>
      <c r="BF8" s="744" t="s">
        <v>24</v>
      </c>
      <c r="BG8" s="744" t="s">
        <v>25</v>
      </c>
      <c r="BH8" s="744" t="s">
        <v>24</v>
      </c>
      <c r="BI8" s="744" t="s">
        <v>25</v>
      </c>
      <c r="BJ8" s="744" t="s">
        <v>24</v>
      </c>
      <c r="BK8" s="744" t="s">
        <v>25</v>
      </c>
      <c r="BL8" s="744" t="s">
        <v>24</v>
      </c>
      <c r="BM8" s="744" t="s">
        <v>25</v>
      </c>
      <c r="BN8" s="744" t="s">
        <v>24</v>
      </c>
      <c r="BO8" s="744" t="s">
        <v>25</v>
      </c>
      <c r="BP8" s="744" t="s">
        <v>24</v>
      </c>
      <c r="BQ8" s="744" t="s">
        <v>25</v>
      </c>
      <c r="BR8" s="744" t="s">
        <v>24</v>
      </c>
      <c r="BS8" s="744" t="s">
        <v>25</v>
      </c>
      <c r="BT8" s="744" t="s">
        <v>24</v>
      </c>
      <c r="BU8" s="744" t="s">
        <v>25</v>
      </c>
      <c r="BV8" s="744" t="s">
        <v>24</v>
      </c>
      <c r="BW8" s="744" t="s">
        <v>25</v>
      </c>
      <c r="BX8" s="744" t="s">
        <v>24</v>
      </c>
      <c r="BY8" s="744" t="s">
        <v>25</v>
      </c>
      <c r="BZ8" s="744" t="s">
        <v>24</v>
      </c>
      <c r="CA8" s="744" t="s">
        <v>25</v>
      </c>
      <c r="CB8" s="744" t="s">
        <v>24</v>
      </c>
      <c r="CC8" s="744" t="s">
        <v>25</v>
      </c>
      <c r="CD8" s="744" t="s">
        <v>24</v>
      </c>
      <c r="CE8" s="744" t="s">
        <v>25</v>
      </c>
      <c r="CF8" s="744" t="s">
        <v>24</v>
      </c>
      <c r="CG8" s="744" t="s">
        <v>25</v>
      </c>
      <c r="CH8" s="744" t="s">
        <v>24</v>
      </c>
      <c r="CI8" s="744" t="s">
        <v>25</v>
      </c>
      <c r="CJ8" s="744" t="s">
        <v>24</v>
      </c>
      <c r="CK8" s="744" t="s">
        <v>25</v>
      </c>
      <c r="CL8" s="744" t="s">
        <v>24</v>
      </c>
      <c r="CM8" s="744" t="s">
        <v>25</v>
      </c>
      <c r="CN8" s="744" t="s">
        <v>24</v>
      </c>
      <c r="CO8" s="744" t="s">
        <v>25</v>
      </c>
      <c r="CP8" s="744" t="s">
        <v>24</v>
      </c>
      <c r="CQ8" s="744" t="s">
        <v>25</v>
      </c>
      <c r="CR8" s="744" t="s">
        <v>24</v>
      </c>
      <c r="CS8" s="744" t="s">
        <v>25</v>
      </c>
      <c r="CT8" s="744" t="s">
        <v>24</v>
      </c>
      <c r="CU8" s="744" t="s">
        <v>25</v>
      </c>
      <c r="CV8" s="744" t="s">
        <v>24</v>
      </c>
      <c r="CW8" s="744" t="s">
        <v>25</v>
      </c>
      <c r="CX8" s="744" t="s">
        <v>24</v>
      </c>
      <c r="CY8" s="744" t="s">
        <v>25</v>
      </c>
      <c r="CZ8" s="744" t="s">
        <v>24</v>
      </c>
      <c r="DA8" s="744" t="s">
        <v>25</v>
      </c>
    </row>
    <row r="9" spans="1:105" s="240" customFormat="1" ht="8.25" customHeight="1">
      <c r="A9" s="239">
        <v>1</v>
      </c>
      <c r="B9" s="239">
        <v>2</v>
      </c>
      <c r="C9" s="239">
        <v>3</v>
      </c>
      <c r="D9" s="239">
        <v>4</v>
      </c>
      <c r="E9" s="239">
        <v>5</v>
      </c>
      <c r="F9" s="239">
        <v>6</v>
      </c>
      <c r="G9" s="239">
        <v>7</v>
      </c>
      <c r="H9" s="239">
        <v>8</v>
      </c>
      <c r="I9" s="239">
        <v>9</v>
      </c>
      <c r="J9" s="239">
        <v>10</v>
      </c>
      <c r="K9" s="239">
        <v>11</v>
      </c>
      <c r="L9" s="239">
        <v>12</v>
      </c>
      <c r="M9" s="239">
        <v>13</v>
      </c>
      <c r="N9" s="239">
        <v>14</v>
      </c>
      <c r="O9" s="239">
        <v>15</v>
      </c>
      <c r="P9" s="239">
        <v>16</v>
      </c>
      <c r="Q9" s="239">
        <v>17</v>
      </c>
      <c r="R9" s="239">
        <v>18</v>
      </c>
      <c r="S9" s="239">
        <v>19</v>
      </c>
      <c r="T9" s="239">
        <v>20</v>
      </c>
      <c r="U9" s="239">
        <v>21</v>
      </c>
      <c r="V9" s="239">
        <v>22</v>
      </c>
      <c r="W9" s="239">
        <v>23</v>
      </c>
      <c r="X9" s="239">
        <v>24</v>
      </c>
      <c r="Y9" s="239">
        <v>25</v>
      </c>
      <c r="Z9" s="239">
        <v>26</v>
      </c>
      <c r="AA9" s="239">
        <v>27</v>
      </c>
      <c r="AB9" s="239">
        <v>28</v>
      </c>
      <c r="AC9" s="239">
        <v>29</v>
      </c>
      <c r="AD9" s="239">
        <v>30</v>
      </c>
      <c r="AE9" s="239">
        <v>31</v>
      </c>
      <c r="AF9" s="239">
        <v>32</v>
      </c>
      <c r="AG9" s="239">
        <v>33</v>
      </c>
      <c r="AH9" s="239">
        <v>34</v>
      </c>
      <c r="AI9" s="239">
        <v>35</v>
      </c>
      <c r="AJ9" s="239">
        <v>36</v>
      </c>
      <c r="AK9" s="239">
        <v>37</v>
      </c>
      <c r="AL9" s="239">
        <v>38</v>
      </c>
      <c r="AM9" s="239">
        <v>39</v>
      </c>
      <c r="AN9" s="239">
        <v>40</v>
      </c>
      <c r="AO9" s="239">
        <v>41</v>
      </c>
      <c r="AP9" s="239">
        <v>42</v>
      </c>
      <c r="AQ9" s="239">
        <v>43</v>
      </c>
      <c r="AR9" s="239">
        <v>44</v>
      </c>
      <c r="AS9" s="239">
        <v>45</v>
      </c>
      <c r="AT9" s="239">
        <v>46</v>
      </c>
      <c r="AU9" s="239">
        <v>47</v>
      </c>
      <c r="AV9" s="239">
        <v>48</v>
      </c>
      <c r="AW9" s="239">
        <v>49</v>
      </c>
      <c r="AX9" s="239">
        <v>50</v>
      </c>
      <c r="AY9" s="239">
        <v>51</v>
      </c>
      <c r="AZ9" s="239">
        <v>52</v>
      </c>
      <c r="BA9" s="239">
        <v>53</v>
      </c>
      <c r="BB9" s="239">
        <v>54</v>
      </c>
      <c r="BC9" s="239">
        <v>55</v>
      </c>
      <c r="BD9" s="239">
        <v>56</v>
      </c>
      <c r="BE9" s="239">
        <v>57</v>
      </c>
      <c r="BF9" s="239">
        <v>58</v>
      </c>
      <c r="BG9" s="239">
        <v>59</v>
      </c>
      <c r="BH9" s="239">
        <v>60</v>
      </c>
      <c r="BI9" s="239">
        <v>61</v>
      </c>
      <c r="BJ9" s="239">
        <v>62</v>
      </c>
      <c r="BK9" s="239">
        <v>63</v>
      </c>
      <c r="BL9" s="239">
        <v>64</v>
      </c>
      <c r="BM9" s="239">
        <v>65</v>
      </c>
      <c r="BN9" s="239">
        <v>66</v>
      </c>
      <c r="BO9" s="239">
        <v>67</v>
      </c>
      <c r="BP9" s="239">
        <v>68</v>
      </c>
      <c r="BQ9" s="239">
        <v>69</v>
      </c>
      <c r="BR9" s="239">
        <v>70</v>
      </c>
      <c r="BS9" s="239">
        <v>71</v>
      </c>
      <c r="BT9" s="239">
        <v>72</v>
      </c>
      <c r="BU9" s="239">
        <v>73</v>
      </c>
      <c r="BV9" s="239">
        <v>72</v>
      </c>
      <c r="BW9" s="239">
        <v>73</v>
      </c>
      <c r="BX9" s="239">
        <v>74</v>
      </c>
      <c r="BY9" s="239">
        <v>75</v>
      </c>
      <c r="BZ9" s="239">
        <v>76</v>
      </c>
      <c r="CA9" s="239">
        <v>77</v>
      </c>
      <c r="CB9" s="239">
        <v>78</v>
      </c>
      <c r="CC9" s="239">
        <v>79</v>
      </c>
      <c r="CD9" s="239">
        <v>80</v>
      </c>
      <c r="CE9" s="239">
        <v>81</v>
      </c>
      <c r="CF9" s="239">
        <v>82</v>
      </c>
      <c r="CG9" s="239">
        <v>83</v>
      </c>
      <c r="CH9" s="239">
        <v>84</v>
      </c>
      <c r="CI9" s="239">
        <v>85</v>
      </c>
      <c r="CJ9" s="239">
        <v>86</v>
      </c>
      <c r="CK9" s="239">
        <v>87</v>
      </c>
      <c r="CL9" s="239">
        <v>88</v>
      </c>
      <c r="CM9" s="239">
        <v>89</v>
      </c>
      <c r="CN9" s="239">
        <v>90</v>
      </c>
      <c r="CO9" s="239">
        <v>91</v>
      </c>
      <c r="CP9" s="239">
        <v>92</v>
      </c>
      <c r="CQ9" s="239">
        <v>93</v>
      </c>
      <c r="CR9" s="239">
        <v>94</v>
      </c>
      <c r="CS9" s="239">
        <v>95</v>
      </c>
      <c r="CT9" s="239">
        <v>96</v>
      </c>
      <c r="CU9" s="239">
        <v>97</v>
      </c>
      <c r="CV9" s="239">
        <v>98</v>
      </c>
      <c r="CW9" s="239">
        <v>99</v>
      </c>
      <c r="CX9" s="239">
        <v>100</v>
      </c>
      <c r="CY9" s="239">
        <v>101</v>
      </c>
      <c r="CZ9" s="239">
        <v>102</v>
      </c>
      <c r="DA9" s="239">
        <v>103</v>
      </c>
    </row>
    <row r="10" spans="1:105" s="248" customFormat="1" ht="12.75" customHeight="1">
      <c r="A10" s="58" t="str">
        <f t="array" ref="A10">IF(C10&lt;&gt;0,SUM(($C10:C$16&lt;&gt;0)*1),"")</f>
        <v/>
      </c>
      <c r="B10" s="241"/>
      <c r="C10" s="242"/>
      <c r="D10" s="241"/>
      <c r="E10" s="243" t="s">
        <v>209</v>
      </c>
      <c r="F10" s="244"/>
      <c r="G10" s="245"/>
      <c r="H10" s="245"/>
      <c r="I10" s="246"/>
      <c r="J10" s="247">
        <f ca="1">'SC-III'!J53</f>
        <v>667384522</v>
      </c>
      <c r="K10" s="247">
        <f ca="1">'SC-III'!K53</f>
        <v>0</v>
      </c>
      <c r="L10" s="247">
        <f ca="1">'SC-III'!L53</f>
        <v>9382419</v>
      </c>
      <c r="M10" s="247">
        <f ca="1">'SC-III'!M53</f>
        <v>0</v>
      </c>
      <c r="N10" s="247">
        <f ca="1">'SC-III'!N53</f>
        <v>5679984</v>
      </c>
      <c r="O10" s="247">
        <f ca="1">'SC-III'!O53</f>
        <v>0</v>
      </c>
      <c r="P10" s="247">
        <f ca="1">'SC-III'!P53</f>
        <v>57038792896</v>
      </c>
      <c r="Q10" s="247">
        <f ca="1">'SC-III'!Q53</f>
        <v>0</v>
      </c>
      <c r="R10" s="247">
        <f ca="1">'SC-III'!R53</f>
        <v>518470991</v>
      </c>
      <c r="S10" s="247">
        <f ca="1">'SC-III'!S53</f>
        <v>0</v>
      </c>
      <c r="T10" s="247">
        <f ca="1">'SC-III'!T53</f>
        <v>0</v>
      </c>
      <c r="U10" s="247">
        <f ca="1">'SC-III'!U53</f>
        <v>0</v>
      </c>
      <c r="V10" s="247">
        <f ca="1">'SC-III'!V53</f>
        <v>0</v>
      </c>
      <c r="W10" s="247">
        <f ca="1">'SC-III'!W53</f>
        <v>0</v>
      </c>
      <c r="X10" s="247">
        <f ca="1">'SC-III'!X53</f>
        <v>0</v>
      </c>
      <c r="Y10" s="247">
        <f ca="1">'SC-III'!Y53</f>
        <v>0</v>
      </c>
      <c r="Z10" s="247">
        <f ca="1">'SC-III'!Z53</f>
        <v>351991443</v>
      </c>
      <c r="AA10" s="247">
        <f ca="1">'SC-III'!AA53</f>
        <v>0</v>
      </c>
      <c r="AB10" s="247">
        <f ca="1">'SC-III'!AB53</f>
        <v>49990909</v>
      </c>
      <c r="AC10" s="247">
        <f ca="1">'SC-III'!AC53</f>
        <v>0</v>
      </c>
      <c r="AD10" s="247">
        <f ca="1">'SC-III'!AD53</f>
        <v>1450841000</v>
      </c>
      <c r="AE10" s="247">
        <f ca="1">'SC-III'!AE53</f>
        <v>0</v>
      </c>
      <c r="AF10" s="247">
        <f ca="1">'SC-III'!AF53</f>
        <v>3468509299</v>
      </c>
      <c r="AG10" s="247">
        <f ca="1">'SC-III'!AG53</f>
        <v>0</v>
      </c>
      <c r="AH10" s="247">
        <f ca="1">'SC-III'!AH53</f>
        <v>7770361541</v>
      </c>
      <c r="AI10" s="247">
        <f ca="1">'SC-III'!AI53</f>
        <v>0</v>
      </c>
      <c r="AJ10" s="247">
        <f ca="1">'SC-III'!AJ53</f>
        <v>3807898863</v>
      </c>
      <c r="AK10" s="247">
        <f ca="1">'SC-III'!AK53</f>
        <v>0</v>
      </c>
      <c r="AL10" s="247">
        <f ca="1">'SC-III'!AL53</f>
        <v>3790918485</v>
      </c>
      <c r="AM10" s="247">
        <f ca="1">'SC-III'!AM53</f>
        <v>0</v>
      </c>
      <c r="AN10" s="247">
        <f ca="1">'SC-III'!AN53</f>
        <v>5405781300</v>
      </c>
      <c r="AO10" s="247">
        <f ca="1">'SC-III'!AO53</f>
        <v>0</v>
      </c>
      <c r="AP10" s="247">
        <f ca="1">'SC-III'!AP53</f>
        <v>0</v>
      </c>
      <c r="AQ10" s="247">
        <f ca="1">'SC-III'!AQ53</f>
        <v>9758261933</v>
      </c>
      <c r="AR10" s="247">
        <f ca="1">'SC-III'!AR53</f>
        <v>0</v>
      </c>
      <c r="AS10" s="247">
        <f ca="1">'SC-III'!AS53</f>
        <v>720770838</v>
      </c>
      <c r="AT10" s="247">
        <f ca="1">'SC-III'!AT53</f>
        <v>0</v>
      </c>
      <c r="AU10" s="247">
        <f ca="1">'SC-III'!AU53</f>
        <v>0</v>
      </c>
      <c r="AV10" s="247">
        <f ca="1">'SC-III'!AV53</f>
        <v>0</v>
      </c>
      <c r="AW10" s="247">
        <f ca="1">'SC-III'!AW53</f>
        <v>35725221599</v>
      </c>
      <c r="AX10" s="247">
        <f ca="1">'SC-III'!AX53</f>
        <v>0</v>
      </c>
      <c r="AY10" s="247">
        <f ca="1">'SC-III'!AY53</f>
        <v>0</v>
      </c>
      <c r="AZ10" s="247">
        <f ca="1">'SC-III'!AZ53</f>
        <v>0</v>
      </c>
      <c r="BA10" s="247">
        <f ca="1">'SC-III'!BA53</f>
        <v>0</v>
      </c>
      <c r="BB10" s="247">
        <f ca="1">'SC-III'!BB53</f>
        <v>0</v>
      </c>
      <c r="BC10" s="247">
        <f ca="1">'SC-III'!BC53</f>
        <v>0</v>
      </c>
      <c r="BD10" s="247">
        <f ca="1">'SC-III'!BD53</f>
        <v>6386869</v>
      </c>
      <c r="BE10" s="247">
        <f ca="1">'SC-III'!BE53</f>
        <v>0</v>
      </c>
      <c r="BF10" s="247">
        <f ca="1">'SC-III'!BF53</f>
        <v>3389804</v>
      </c>
      <c r="BG10" s="247">
        <f ca="1">'SC-III'!BG53</f>
        <v>0</v>
      </c>
      <c r="BH10" s="247">
        <f ca="1">'SC-III'!BH53</f>
        <v>0</v>
      </c>
      <c r="BI10" s="247">
        <f ca="1">'SC-III'!BI53</f>
        <v>0</v>
      </c>
      <c r="BJ10" s="247">
        <f ca="1">'SC-III'!BJ53</f>
        <v>0</v>
      </c>
      <c r="BK10" s="247">
        <f ca="1">'SC-III'!BK53</f>
        <v>0</v>
      </c>
      <c r="BL10" s="247">
        <f ca="1">'SC-III'!BL53</f>
        <v>0</v>
      </c>
      <c r="BM10" s="247">
        <f ca="1">'SC-III'!BM53</f>
        <v>106628549</v>
      </c>
      <c r="BN10" s="247">
        <f ca="1">'SC-III'!BN53</f>
        <v>0</v>
      </c>
      <c r="BO10" s="247">
        <f ca="1">'SC-III'!BO53</f>
        <v>4469220</v>
      </c>
      <c r="BP10" s="247">
        <f ca="1">'SC-III'!BP53</f>
        <v>0</v>
      </c>
      <c r="BQ10" s="247">
        <f ca="1">'SC-III'!BQ53</f>
        <v>1986320</v>
      </c>
      <c r="BR10" s="247">
        <f ca="1">'SC-III'!BR53</f>
        <v>0</v>
      </c>
      <c r="BS10" s="247">
        <f ca="1">'SC-III'!BS53</f>
        <v>0</v>
      </c>
      <c r="BT10" s="247">
        <f ca="1">'SC-III'!BT53</f>
        <v>0</v>
      </c>
      <c r="BU10" s="247">
        <f ca="1">'SC-III'!BU53</f>
        <v>0</v>
      </c>
      <c r="BV10" s="247">
        <f ca="1">'SC-III'!BV53</f>
        <v>0</v>
      </c>
      <c r="BW10" s="247">
        <f ca="1">'SC-III'!BW53</f>
        <v>27471593800</v>
      </c>
      <c r="BX10" s="247">
        <f ca="1">'SC-III'!BX53</f>
        <v>0</v>
      </c>
      <c r="BY10" s="247">
        <f ca="1">'SC-III'!BY53</f>
        <v>10000000000</v>
      </c>
      <c r="BZ10" s="247">
        <f ca="1">'SC-III'!BZ53</f>
        <v>0</v>
      </c>
      <c r="CA10" s="247">
        <f ca="1">'SC-III'!CA53</f>
        <v>635107905.00000095</v>
      </c>
      <c r="CB10" s="247">
        <f ca="1">'SC-III'!CB53</f>
        <v>78259839.000000477</v>
      </c>
      <c r="CC10" s="247">
        <f ca="1">'SC-III'!CC53</f>
        <v>0</v>
      </c>
      <c r="CD10" s="247">
        <f ca="1">'SC-III'!CD53</f>
        <v>0</v>
      </c>
      <c r="CE10" s="247">
        <f ca="1">'SC-III'!CE53</f>
        <v>0</v>
      </c>
      <c r="CF10" s="247">
        <f ca="1">'SC-III'!CF53</f>
        <v>0</v>
      </c>
      <c r="CG10" s="247">
        <f ca="1">'SC-III'!CG53</f>
        <v>0</v>
      </c>
      <c r="CH10" s="247">
        <f ca="1">'SC-III'!CH53</f>
        <v>0</v>
      </c>
      <c r="CI10" s="247">
        <f ca="1">'SC-III'!CI53</f>
        <v>0</v>
      </c>
      <c r="CJ10" s="247">
        <f ca="1">'SC-III'!CJ53</f>
        <v>0</v>
      </c>
      <c r="CK10" s="247">
        <f ca="1">'SC-III'!CK53</f>
        <v>0</v>
      </c>
      <c r="CL10" s="247">
        <f ca="1">'SC-III'!CL53</f>
        <v>0</v>
      </c>
      <c r="CM10" s="247">
        <f ca="1">'SC-III'!CM53</f>
        <v>0</v>
      </c>
      <c r="CN10" s="247">
        <f ca="1">'SC-III'!CN53</f>
        <v>0</v>
      </c>
      <c r="CO10" s="247">
        <f ca="1">'SC-III'!CO53</f>
        <v>0</v>
      </c>
      <c r="CP10" s="247">
        <f ca="1">'SC-III'!CP53</f>
        <v>0</v>
      </c>
      <c r="CQ10" s="247">
        <f ca="1">'SC-III'!CQ53</f>
        <v>0</v>
      </c>
      <c r="CR10" s="247">
        <f ca="1">'SC-III'!CR53</f>
        <v>0</v>
      </c>
      <c r="CS10" s="247">
        <f ca="1">'SC-III'!CS53</f>
        <v>0</v>
      </c>
      <c r="CT10" s="247">
        <f ca="1">'SC-III'!CT53</f>
        <v>0</v>
      </c>
      <c r="CU10" s="247">
        <f ca="1">'SC-III'!CU53</f>
        <v>0</v>
      </c>
      <c r="CV10" s="247">
        <f ca="1">'SC-III'!CV53</f>
        <v>0</v>
      </c>
      <c r="CW10" s="247">
        <f ca="1">'SC-III'!CW53</f>
        <v>0</v>
      </c>
      <c r="CX10" s="247">
        <f ca="1">'SC-III'!CX53</f>
        <v>0</v>
      </c>
      <c r="CY10" s="247">
        <f ca="1">'SC-III'!CY53</f>
        <v>0</v>
      </c>
      <c r="CZ10" s="247">
        <f ca="1">'SC-III'!CZ53</f>
        <v>0</v>
      </c>
      <c r="DA10" s="247">
        <f ca="1">'SC-III'!DA53</f>
        <v>0</v>
      </c>
    </row>
    <row r="11" spans="1:105" s="248" customFormat="1" ht="16.5" customHeight="1">
      <c r="A11" s="58">
        <f t="array" aca="1" ref="A11" ca="1">IF(C11&lt;&gt;0,SUM(($C$11:C11&lt;&gt;0)*1),"")</f>
        <v>1</v>
      </c>
      <c r="B11" s="249" t="str">
        <f ca="1">IF(ROWS($1:1)&gt;COUNT(Dong9),"",OFFSET(TH!C$1,SMALL(Dong9,ROWS($1:1)),))</f>
        <v/>
      </c>
      <c r="C11" s="249" t="str">
        <f ca="1">IF(ROWS($1:1)&gt;COUNT(Dong9),"",OFFSET(TH!D$1,SMALL(Dong9,ROWS($1:1)),))</f>
        <v/>
      </c>
      <c r="D11" s="249" t="str">
        <f ca="1">IF(ROWS($1:1)&gt;COUNT(Dong9),"",OFFSET(TH!E$1,SMALL(Dong9,ROWS($1:1)),))</f>
        <v/>
      </c>
      <c r="E11" s="326" t="str">
        <f ca="1">IF(ROWS($1:1)&gt;COUNT(Dong9),"",OFFSET(TH!F$1,SMALL(Dong9,ROWS($1:1)),))</f>
        <v/>
      </c>
      <c r="F11" s="300" t="str">
        <f ca="1">IF(ROWS($1:1)&gt;COUNT(Dong9),"",OFFSET(TH!M$1,SMALL(Dong9,ROWS($1:1)),))</f>
        <v/>
      </c>
      <c r="G11" s="302" t="str">
        <f ca="1">IF(ROWS($1:1)&gt;COUNT(Dong9),"",OFFSET(TH!N$1,SMALL(Dong9,ROWS($1:1)),))</f>
        <v/>
      </c>
      <c r="H11" s="302" t="str">
        <f ca="1">IF(ROWS($1:1)&gt;COUNT(Dong9),"",OFFSET(TH!O$1,SMALL(Dong9,ROWS($1:1)),))</f>
        <v/>
      </c>
      <c r="I11" s="58">
        <f t="shared" ref="I11:I50" ca="1" si="0">A11</f>
        <v>1</v>
      </c>
      <c r="J11" s="251">
        <f ca="1">IF($G11="1111",$F11,0)</f>
        <v>0</v>
      </c>
      <c r="K11" s="251">
        <f ca="1">IF($H11="1111",$F11,0)</f>
        <v>0</v>
      </c>
      <c r="L11" s="251">
        <f t="shared" ref="L11:L50" ca="1" si="1">IF($G11="1121",$F11,0)</f>
        <v>0</v>
      </c>
      <c r="M11" s="251">
        <f t="shared" ref="M11:M50" ca="1" si="2">IF($H11="1121",$F11,0)</f>
        <v>0</v>
      </c>
      <c r="N11" s="251">
        <f t="shared" ref="N11:N50" ca="1" si="3">IF($G11="1122",$F11,0)</f>
        <v>0</v>
      </c>
      <c r="O11" s="251">
        <f t="shared" ref="O11:O50" ca="1" si="4">IF($H11="1122",$F11,0)</f>
        <v>0</v>
      </c>
      <c r="P11" s="251">
        <f t="shared" ref="P11:P50" ca="1" si="5">IF($G11="131",$F11,0)</f>
        <v>0</v>
      </c>
      <c r="Q11" s="251">
        <f t="shared" ref="Q11:Q50" ca="1" si="6">IF($H11="131",$F11,0)</f>
        <v>0</v>
      </c>
      <c r="R11" s="251">
        <f t="shared" ref="R11:R50" ca="1" si="7">IF($G11="1331",$F11,0)</f>
        <v>0</v>
      </c>
      <c r="S11" s="251">
        <f t="shared" ref="S11:S50" ca="1" si="8">IF($H11="1331",$F11,0)</f>
        <v>0</v>
      </c>
      <c r="T11" s="251">
        <f t="shared" ref="T11:T50" ca="1" si="9">IF($G11="1388",$F11,0)</f>
        <v>0</v>
      </c>
      <c r="U11" s="251">
        <f t="shared" ref="U11:U50" ca="1" si="10">IF($H11="1388",$F11,0)</f>
        <v>0</v>
      </c>
      <c r="V11" s="251">
        <f t="shared" ref="V11:V50" ca="1" si="11">IF($G11="141",$F11,0)</f>
        <v>0</v>
      </c>
      <c r="W11" s="251">
        <f t="shared" ref="W11:W50" ca="1" si="12">IF($H11="141",$F11,0)</f>
        <v>0</v>
      </c>
      <c r="X11" s="251">
        <f t="shared" ref="X11:X50" ca="1" si="13">IF($G11="1521",$F11,0)</f>
        <v>0</v>
      </c>
      <c r="Y11" s="251">
        <f t="shared" ref="Y11:Y50" ca="1" si="14">IF($H11="1521",$F11,0)</f>
        <v>0</v>
      </c>
      <c r="Z11" s="251">
        <f t="shared" ref="Z11:Z50" ca="1" si="15">IF($G11="1522",$F11,0)</f>
        <v>0</v>
      </c>
      <c r="AA11" s="251">
        <f t="shared" ref="AA11:AA50" ca="1" si="16">IF($H11="1522",$F11,0)</f>
        <v>0</v>
      </c>
      <c r="AB11" s="251">
        <f ca="1">IF($G11="153",$F11,0)</f>
        <v>0</v>
      </c>
      <c r="AC11" s="251">
        <f ca="1">IF($H11="153",$F11,0)</f>
        <v>0</v>
      </c>
      <c r="AD11" s="251">
        <f t="shared" ref="AD11:AD50" ca="1" si="17">IF($G11="154",$F11,0)</f>
        <v>0</v>
      </c>
      <c r="AE11" s="251">
        <f t="shared" ref="AE11:AE50" ca="1" si="18">IF($H11="154",$F11,0)</f>
        <v>0</v>
      </c>
      <c r="AF11" s="251">
        <f t="shared" ref="AF11:AF50" ca="1" si="19">IF($G11="155",$F11,0)</f>
        <v>0</v>
      </c>
      <c r="AG11" s="251">
        <f t="shared" ref="AG11:AG50" ca="1" si="20">IF($H11="155",$F11,0)</f>
        <v>0</v>
      </c>
      <c r="AH11" s="251">
        <f ca="1">IF($G11="2111",$F11,0)</f>
        <v>0</v>
      </c>
      <c r="AI11" s="251">
        <f ca="1">IF($H11="2111",$F11,0)</f>
        <v>0</v>
      </c>
      <c r="AJ11" s="251">
        <f ca="1">IF($G11="2112",$F11,0)</f>
        <v>0</v>
      </c>
      <c r="AK11" s="251">
        <f ca="1">IF($H11="2112",$F11,0)</f>
        <v>0</v>
      </c>
      <c r="AL11" s="251">
        <f ca="1">IF($G11="2113",$F11,0)</f>
        <v>0</v>
      </c>
      <c r="AM11" s="251">
        <f ca="1">IF($H11="2113",$F11,0)</f>
        <v>0</v>
      </c>
      <c r="AN11" s="251">
        <f ca="1">IF($G11="2131",$F11,0)</f>
        <v>0</v>
      </c>
      <c r="AO11" s="251">
        <f ca="1">IF($H11="2131",$F11,0)</f>
        <v>0</v>
      </c>
      <c r="AP11" s="251">
        <f t="shared" ref="AP11:AP50" ca="1" si="21">IF($G11="2141",$F11,0)</f>
        <v>0</v>
      </c>
      <c r="AQ11" s="251">
        <f t="shared" ref="AQ11:AQ50" ca="1" si="22">IF($H11="2141",$F11,0)</f>
        <v>0</v>
      </c>
      <c r="AR11" s="251">
        <f t="shared" ref="AR11:AR50" ca="1" si="23">IF($G11="2143",$F11,0)</f>
        <v>0</v>
      </c>
      <c r="AS11" s="251">
        <f t="shared" ref="AS11:AS50" ca="1" si="24">IF($H11="2143",$F11,0)</f>
        <v>0</v>
      </c>
      <c r="AT11" s="251">
        <f ca="1">IF($G11="2412",$F11,0)</f>
        <v>0</v>
      </c>
      <c r="AU11" s="251">
        <f ca="1">IF($H11="2412",$F11,0)</f>
        <v>0</v>
      </c>
      <c r="AV11" s="251">
        <f t="shared" ref="AV11:AV50" ca="1" si="25">IF($G11="331",$F11,0)</f>
        <v>0</v>
      </c>
      <c r="AW11" s="251">
        <f t="shared" ref="AW11:AW50" ca="1" si="26">IF($H11="331",$F11,0)</f>
        <v>0</v>
      </c>
      <c r="AX11" s="251">
        <f t="shared" ref="AX11:AX50" ca="1" si="27">IF($G11="33311",$F11,0)</f>
        <v>0</v>
      </c>
      <c r="AY11" s="251">
        <f t="shared" ref="AY11:AY50" ca="1" si="28">IF($H11="33311",$F11,0)</f>
        <v>0</v>
      </c>
      <c r="AZ11" s="251">
        <f t="shared" ref="AZ11:AZ50" ca="1" si="29">IF($G11="33312",$F11,0)</f>
        <v>0</v>
      </c>
      <c r="BA11" s="251">
        <f t="shared" ref="BA11:BA50" ca="1" si="30">IF($H11="33312",$F11,0)</f>
        <v>0</v>
      </c>
      <c r="BB11" s="251">
        <f t="shared" ref="BB11:BB50" ca="1" si="31">IF($G11="3333",$F11,0)</f>
        <v>0</v>
      </c>
      <c r="BC11" s="251">
        <f t="shared" ref="BC11:BC50" ca="1" si="32">IF($H11="3333",$F11,0)</f>
        <v>0</v>
      </c>
      <c r="BD11" s="251">
        <f t="shared" ref="BD11:BD50" ca="1" si="33">IF($G11="3334",$F11,0)</f>
        <v>0</v>
      </c>
      <c r="BE11" s="251">
        <f t="shared" ref="BE11:BE50" ca="1" si="34">IF($H11="3334",$F11,0)</f>
        <v>0</v>
      </c>
      <c r="BF11" s="251">
        <f t="shared" ref="BF11:BF50" ca="1" si="35">IF($G11="3335",$F11,0)</f>
        <v>0</v>
      </c>
      <c r="BG11" s="251">
        <f t="shared" ref="BG11:BG50" ca="1" si="36">IF($H11="3335",$F11,0)</f>
        <v>0</v>
      </c>
      <c r="BH11" s="251">
        <f ca="1">IF($G11="33382",$F11,0)</f>
        <v>0</v>
      </c>
      <c r="BI11" s="251">
        <f ca="1">IF($H11="33382",$F11,0)</f>
        <v>0</v>
      </c>
      <c r="BJ11" s="251">
        <f t="shared" ref="BJ11:BJ50" ca="1" si="37">IF($G11="3341",$F11,0)</f>
        <v>0</v>
      </c>
      <c r="BK11" s="251">
        <f t="shared" ref="BK11:BK50" ca="1" si="38">IF($H11="3341",$F11,0)</f>
        <v>0</v>
      </c>
      <c r="BL11" s="251">
        <f t="shared" ref="BL11:BL50" ca="1" si="39">IF($G11="3383",$F11,0)</f>
        <v>0</v>
      </c>
      <c r="BM11" s="251">
        <f t="shared" ref="BM11:BM50" ca="1" si="40">IF($H11="3383",$F11,0)</f>
        <v>0</v>
      </c>
      <c r="BN11" s="251">
        <f t="shared" ref="BN11:BN50" ca="1" si="41">IF($G11="3384",$F11,0)</f>
        <v>0</v>
      </c>
      <c r="BO11" s="251">
        <f t="shared" ref="BO11:BO50" ca="1" si="42">IF($H11="3384",$F11,0)</f>
        <v>0</v>
      </c>
      <c r="BP11" s="251">
        <f ca="1">IF($G11="3386",$F11,0)</f>
        <v>0</v>
      </c>
      <c r="BQ11" s="251">
        <f ca="1">IF($H11="3386",$F11,0)</f>
        <v>0</v>
      </c>
      <c r="BR11" s="251">
        <f t="shared" ref="BR11:BR50" ca="1" si="43">IF($G11="3388",$F11,0)</f>
        <v>0</v>
      </c>
      <c r="BS11" s="251">
        <f t="shared" ref="BS11:BS50" ca="1" si="44">IF($H11="3388",$F11,0)</f>
        <v>0</v>
      </c>
      <c r="BT11" s="251">
        <f ca="1">IF($G11="3411",$F11,0)</f>
        <v>0</v>
      </c>
      <c r="BU11" s="251">
        <f ca="1">IF($H11="3411",$F11,0)</f>
        <v>0</v>
      </c>
      <c r="BV11" s="251">
        <f ca="1">IF($G11="3412",$F11,0)</f>
        <v>0</v>
      </c>
      <c r="BW11" s="251">
        <f ca="1">IF($H11="3412",$F11,0)</f>
        <v>0</v>
      </c>
      <c r="BX11" s="251">
        <f t="shared" ref="BX11:BX50" ca="1" si="45">IF($G11="4111",$F11,0)</f>
        <v>0</v>
      </c>
      <c r="BY11" s="251">
        <f t="shared" ref="BY11:BY50" ca="1" si="46">IF($H11="4111",$F11,0)</f>
        <v>0</v>
      </c>
      <c r="BZ11" s="251">
        <f t="shared" ref="BZ11:BZ50" ca="1" si="47">IF($G11="4211",$F11,0)</f>
        <v>0</v>
      </c>
      <c r="CA11" s="251">
        <f t="shared" ref="CA11:CA50" ca="1" si="48">IF($H11="4211",$F11,0)</f>
        <v>0</v>
      </c>
      <c r="CB11" s="251">
        <f t="shared" ref="CB11:CB50" ca="1" si="49">IF($G11="4212",$F11,0)</f>
        <v>0</v>
      </c>
      <c r="CC11" s="251">
        <f t="shared" ref="CC11:CC50" ca="1" si="50">IF($H11="4212",$F11,0)</f>
        <v>0</v>
      </c>
      <c r="CD11" s="251">
        <f ca="1">IF($G11="5112N",$F11,0)</f>
        <v>0</v>
      </c>
      <c r="CE11" s="251">
        <f ca="1">IF($H11="5112N",$F11,0)</f>
        <v>0</v>
      </c>
      <c r="CF11" s="251">
        <f ca="1">IF($G11="5112X",$F11,0)</f>
        <v>0</v>
      </c>
      <c r="CG11" s="251">
        <f ca="1">IF($H11="5112X",$F11,0)</f>
        <v>0</v>
      </c>
      <c r="CH11" s="251">
        <f t="shared" ref="CH11:CH50" ca="1" si="51">IF($G11="515",$F11,0)</f>
        <v>0</v>
      </c>
      <c r="CI11" s="251">
        <f t="shared" ref="CI11:CI50" ca="1" si="52">IF($H11="515",$F11,0)</f>
        <v>0</v>
      </c>
      <c r="CJ11" s="251">
        <f ca="1">IF($G11="5213",$F11,0)</f>
        <v>0</v>
      </c>
      <c r="CK11" s="251">
        <f ca="1">IF($H11="5213",$F11,0)</f>
        <v>0</v>
      </c>
      <c r="CL11" s="251">
        <f t="shared" ref="CL11:CL50" ca="1" si="53">IF($G11="632",$F11,0)</f>
        <v>0</v>
      </c>
      <c r="CM11" s="251">
        <f t="shared" ref="CM11:CM50" ca="1" si="54">IF($H11="632",$F11,0)</f>
        <v>0</v>
      </c>
      <c r="CN11" s="251">
        <f t="shared" ref="CN11:CN50" ca="1" si="55">IF($G11="635",$F11,0)</f>
        <v>0</v>
      </c>
      <c r="CO11" s="251">
        <f t="shared" ref="CO11:CO50" ca="1" si="56">IF($H11="635",$F11,0)</f>
        <v>0</v>
      </c>
      <c r="CP11" s="251">
        <f ca="1">IF($G11="641",$F11,0)</f>
        <v>0</v>
      </c>
      <c r="CQ11" s="251">
        <f ca="1">IF($H11="641",$F11,0)</f>
        <v>0</v>
      </c>
      <c r="CR11" s="251">
        <f ca="1">IF($G11="642",$F11,0)</f>
        <v>0</v>
      </c>
      <c r="CS11" s="251">
        <f ca="1">IF($H11="642",$F11,0)</f>
        <v>0</v>
      </c>
      <c r="CT11" s="251">
        <f t="shared" ref="CT11:CT50" ca="1" si="57">IF($G11="711",$F11,0)</f>
        <v>0</v>
      </c>
      <c r="CU11" s="251">
        <f t="shared" ref="CU11:CU50" ca="1" si="58">IF($H11="711",$F11,0)</f>
        <v>0</v>
      </c>
      <c r="CV11" s="251">
        <f t="shared" ref="CV11:CV50" ca="1" si="59">IF($G11="811",$F11,0)</f>
        <v>0</v>
      </c>
      <c r="CW11" s="251">
        <f t="shared" ref="CW11:CW50" ca="1" si="60">IF($H11="811",$F11,0)</f>
        <v>0</v>
      </c>
      <c r="CX11" s="251">
        <f ca="1">IF($G11="821",$F11,0)</f>
        <v>0</v>
      </c>
      <c r="CY11" s="251">
        <f ca="1">IF($H11="821",$F11,0)</f>
        <v>0</v>
      </c>
      <c r="CZ11" s="251">
        <f ca="1">IF($G11="911",$F11,0)</f>
        <v>0</v>
      </c>
      <c r="DA11" s="251">
        <f ca="1">IF($H11="911",$F11,0)</f>
        <v>0</v>
      </c>
    </row>
    <row r="12" spans="1:105" s="248" customFormat="1" ht="16.5" customHeight="1">
      <c r="A12" s="58" t="str">
        <f t="array" ref="A12">IF(C12&lt;&gt;0,SUM(($C$11:C12&lt;&gt;0)*1),"")</f>
        <v/>
      </c>
      <c r="B12" s="249"/>
      <c r="C12" s="249"/>
      <c r="D12" s="249"/>
      <c r="E12" s="326"/>
      <c r="F12" s="300"/>
      <c r="G12" s="302"/>
      <c r="H12" s="302"/>
      <c r="I12" s="58" t="str">
        <f t="shared" si="0"/>
        <v/>
      </c>
      <c r="J12" s="251">
        <f t="shared" ref="J12:J50" si="61">IF($G12="1111",$F12,0)</f>
        <v>0</v>
      </c>
      <c r="K12" s="251">
        <f t="shared" ref="K12:K50" si="62">IF($H12="1111",$F12,0)</f>
        <v>0</v>
      </c>
      <c r="L12" s="251">
        <f t="shared" si="1"/>
        <v>0</v>
      </c>
      <c r="M12" s="251">
        <f t="shared" si="2"/>
        <v>0</v>
      </c>
      <c r="N12" s="251">
        <f t="shared" si="3"/>
        <v>0</v>
      </c>
      <c r="O12" s="251">
        <f t="shared" si="4"/>
        <v>0</v>
      </c>
      <c r="P12" s="251">
        <f t="shared" si="5"/>
        <v>0</v>
      </c>
      <c r="Q12" s="251">
        <f t="shared" si="6"/>
        <v>0</v>
      </c>
      <c r="R12" s="251">
        <f t="shared" si="7"/>
        <v>0</v>
      </c>
      <c r="S12" s="251">
        <f t="shared" si="8"/>
        <v>0</v>
      </c>
      <c r="T12" s="251">
        <f t="shared" si="9"/>
        <v>0</v>
      </c>
      <c r="U12" s="251">
        <f t="shared" si="10"/>
        <v>0</v>
      </c>
      <c r="V12" s="251">
        <f t="shared" si="11"/>
        <v>0</v>
      </c>
      <c r="W12" s="251">
        <f t="shared" si="12"/>
        <v>0</v>
      </c>
      <c r="X12" s="251">
        <f t="shared" si="13"/>
        <v>0</v>
      </c>
      <c r="Y12" s="251">
        <f t="shared" si="14"/>
        <v>0</v>
      </c>
      <c r="Z12" s="251">
        <f t="shared" si="15"/>
        <v>0</v>
      </c>
      <c r="AA12" s="251">
        <f t="shared" si="16"/>
        <v>0</v>
      </c>
      <c r="AB12" s="251">
        <f t="shared" ref="AB12:AB50" si="63">IF($G12="153",$F12,0)</f>
        <v>0</v>
      </c>
      <c r="AC12" s="251">
        <f t="shared" ref="AC12:AC50" si="64">IF($H12="153",$F12,0)</f>
        <v>0</v>
      </c>
      <c r="AD12" s="251">
        <f t="shared" si="17"/>
        <v>0</v>
      </c>
      <c r="AE12" s="251">
        <f t="shared" si="18"/>
        <v>0</v>
      </c>
      <c r="AF12" s="251">
        <f t="shared" si="19"/>
        <v>0</v>
      </c>
      <c r="AG12" s="251">
        <f t="shared" si="20"/>
        <v>0</v>
      </c>
      <c r="AH12" s="251">
        <f t="shared" ref="AH12:AH50" si="65">IF($G12="2111",$F12,0)</f>
        <v>0</v>
      </c>
      <c r="AI12" s="251">
        <f t="shared" ref="AI12:AI50" si="66">IF($H12="2111",$F12,0)</f>
        <v>0</v>
      </c>
      <c r="AJ12" s="251">
        <f t="shared" ref="AJ12:AJ50" si="67">IF($G12="2112",$F12,0)</f>
        <v>0</v>
      </c>
      <c r="AK12" s="251">
        <f t="shared" ref="AK12:AK50" si="68">IF($H12="2112",$F12,0)</f>
        <v>0</v>
      </c>
      <c r="AL12" s="251">
        <f t="shared" ref="AL12:AL50" si="69">IF($G12="2113",$F12,0)</f>
        <v>0</v>
      </c>
      <c r="AM12" s="251">
        <f t="shared" ref="AM12:AM50" si="70">IF($H12="2113",$F12,0)</f>
        <v>0</v>
      </c>
      <c r="AN12" s="251">
        <f t="shared" ref="AN12:AN50" si="71">IF($G12="2131",$F12,0)</f>
        <v>0</v>
      </c>
      <c r="AO12" s="251">
        <f t="shared" ref="AO12:AO50" si="72">IF($H12="2131",$F12,0)</f>
        <v>0</v>
      </c>
      <c r="AP12" s="251">
        <f t="shared" si="21"/>
        <v>0</v>
      </c>
      <c r="AQ12" s="251">
        <f t="shared" si="22"/>
        <v>0</v>
      </c>
      <c r="AR12" s="251">
        <f t="shared" si="23"/>
        <v>0</v>
      </c>
      <c r="AS12" s="251">
        <f t="shared" si="24"/>
        <v>0</v>
      </c>
      <c r="AT12" s="251">
        <f t="shared" ref="AT12:AT50" si="73">IF($G12="2412",$F12,0)</f>
        <v>0</v>
      </c>
      <c r="AU12" s="251">
        <f t="shared" ref="AU12:AU50" si="74">IF($H12="2412",$F12,0)</f>
        <v>0</v>
      </c>
      <c r="AV12" s="251">
        <f t="shared" si="25"/>
        <v>0</v>
      </c>
      <c r="AW12" s="251">
        <f t="shared" si="26"/>
        <v>0</v>
      </c>
      <c r="AX12" s="251">
        <f t="shared" si="27"/>
        <v>0</v>
      </c>
      <c r="AY12" s="251">
        <f t="shared" si="28"/>
        <v>0</v>
      </c>
      <c r="AZ12" s="251">
        <f t="shared" si="29"/>
        <v>0</v>
      </c>
      <c r="BA12" s="251">
        <f t="shared" si="30"/>
        <v>0</v>
      </c>
      <c r="BB12" s="251">
        <f t="shared" si="31"/>
        <v>0</v>
      </c>
      <c r="BC12" s="251">
        <f t="shared" si="32"/>
        <v>0</v>
      </c>
      <c r="BD12" s="251">
        <f t="shared" si="33"/>
        <v>0</v>
      </c>
      <c r="BE12" s="251">
        <f t="shared" si="34"/>
        <v>0</v>
      </c>
      <c r="BF12" s="251">
        <f t="shared" si="35"/>
        <v>0</v>
      </c>
      <c r="BG12" s="251">
        <f t="shared" si="36"/>
        <v>0</v>
      </c>
      <c r="BH12" s="251">
        <f t="shared" ref="BH12:BH50" si="75">IF($G12="33382",$F12,0)</f>
        <v>0</v>
      </c>
      <c r="BI12" s="251">
        <f t="shared" ref="BI12:BI50" si="76">IF($H12="33382",$F12,0)</f>
        <v>0</v>
      </c>
      <c r="BJ12" s="251">
        <f t="shared" si="37"/>
        <v>0</v>
      </c>
      <c r="BK12" s="251">
        <f t="shared" si="38"/>
        <v>0</v>
      </c>
      <c r="BL12" s="251">
        <f t="shared" si="39"/>
        <v>0</v>
      </c>
      <c r="BM12" s="251">
        <f t="shared" si="40"/>
        <v>0</v>
      </c>
      <c r="BN12" s="251">
        <f t="shared" si="41"/>
        <v>0</v>
      </c>
      <c r="BO12" s="251">
        <f t="shared" si="42"/>
        <v>0</v>
      </c>
      <c r="BP12" s="251">
        <f t="shared" ref="BP12:BP50" si="77">IF($G12="3386",$F12,0)</f>
        <v>0</v>
      </c>
      <c r="BQ12" s="251">
        <f t="shared" ref="BQ12:BQ50" si="78">IF($H12="3386",$F12,0)</f>
        <v>0</v>
      </c>
      <c r="BR12" s="251">
        <f t="shared" si="43"/>
        <v>0</v>
      </c>
      <c r="BS12" s="251">
        <f t="shared" si="44"/>
        <v>0</v>
      </c>
      <c r="BT12" s="251">
        <f t="shared" ref="BT12:BT50" si="79">IF($G12="3411",$F12,0)</f>
        <v>0</v>
      </c>
      <c r="BU12" s="251">
        <f t="shared" ref="BU12:BU50" si="80">IF($H12="3411",$F12,0)</f>
        <v>0</v>
      </c>
      <c r="BV12" s="251">
        <f t="shared" ref="BV12:BV50" si="81">IF($G12="3412",$F12,0)</f>
        <v>0</v>
      </c>
      <c r="BW12" s="251">
        <f t="shared" ref="BW12:BW50" si="82">IF($H12="3412",$F12,0)</f>
        <v>0</v>
      </c>
      <c r="BX12" s="251">
        <f t="shared" si="45"/>
        <v>0</v>
      </c>
      <c r="BY12" s="251">
        <f t="shared" si="46"/>
        <v>0</v>
      </c>
      <c r="BZ12" s="251">
        <f t="shared" si="47"/>
        <v>0</v>
      </c>
      <c r="CA12" s="251">
        <f t="shared" si="48"/>
        <v>0</v>
      </c>
      <c r="CB12" s="251">
        <f t="shared" si="49"/>
        <v>0</v>
      </c>
      <c r="CC12" s="251">
        <f t="shared" si="50"/>
        <v>0</v>
      </c>
      <c r="CD12" s="251">
        <f t="shared" ref="CD12:CD50" si="83">IF($G12="5112N",$F12,0)</f>
        <v>0</v>
      </c>
      <c r="CE12" s="251">
        <f t="shared" ref="CE12:CE50" si="84">IF($H12="5112N",$F12,0)</f>
        <v>0</v>
      </c>
      <c r="CF12" s="251">
        <f t="shared" ref="CF12:CF50" si="85">IF($G12="5112X",$F12,0)</f>
        <v>0</v>
      </c>
      <c r="CG12" s="251">
        <f t="shared" ref="CG12:CG50" si="86">IF($H12="5112X",$F12,0)</f>
        <v>0</v>
      </c>
      <c r="CH12" s="251">
        <f t="shared" si="51"/>
        <v>0</v>
      </c>
      <c r="CI12" s="251">
        <f t="shared" si="52"/>
        <v>0</v>
      </c>
      <c r="CJ12" s="251">
        <f t="shared" ref="CJ12:CJ50" si="87">IF($G12="5213",$F12,0)</f>
        <v>0</v>
      </c>
      <c r="CK12" s="251">
        <f t="shared" ref="CK12:CK50" si="88">IF($H12="5213",$F12,0)</f>
        <v>0</v>
      </c>
      <c r="CL12" s="251">
        <f t="shared" si="53"/>
        <v>0</v>
      </c>
      <c r="CM12" s="251">
        <f t="shared" si="54"/>
        <v>0</v>
      </c>
      <c r="CN12" s="251">
        <f t="shared" si="55"/>
        <v>0</v>
      </c>
      <c r="CO12" s="251">
        <f t="shared" si="56"/>
        <v>0</v>
      </c>
      <c r="CP12" s="251">
        <f t="shared" ref="CP12:CP50" si="89">IF($G12="641",$F12,0)</f>
        <v>0</v>
      </c>
      <c r="CQ12" s="251">
        <f t="shared" ref="CQ12:CQ50" si="90">IF($H12="641",$F12,0)</f>
        <v>0</v>
      </c>
      <c r="CR12" s="251">
        <f t="shared" ref="CR12:CR50" si="91">IF($G12="642",$F12,0)</f>
        <v>0</v>
      </c>
      <c r="CS12" s="251">
        <f t="shared" ref="CS12:CS50" si="92">IF($H12="642",$F12,0)</f>
        <v>0</v>
      </c>
      <c r="CT12" s="251">
        <f t="shared" si="57"/>
        <v>0</v>
      </c>
      <c r="CU12" s="251">
        <f t="shared" si="58"/>
        <v>0</v>
      </c>
      <c r="CV12" s="251">
        <f t="shared" si="59"/>
        <v>0</v>
      </c>
      <c r="CW12" s="251">
        <f t="shared" si="60"/>
        <v>0</v>
      </c>
      <c r="CX12" s="251">
        <f t="shared" ref="CX12:CX50" si="93">IF($G12="821",$F12,0)</f>
        <v>0</v>
      </c>
      <c r="CY12" s="251">
        <f t="shared" ref="CY12:CY50" si="94">IF($H12="821",$F12,0)</f>
        <v>0</v>
      </c>
      <c r="CZ12" s="251">
        <f t="shared" ref="CZ12:CZ50" si="95">IF($G12="911",$F12,0)</f>
        <v>0</v>
      </c>
      <c r="DA12" s="251">
        <f t="shared" ref="DA12:DA50" si="96">IF($H12="911",$F12,0)</f>
        <v>0</v>
      </c>
    </row>
    <row r="13" spans="1:105" s="248" customFormat="1" ht="16.5" customHeight="1">
      <c r="A13" s="58" t="str">
        <f t="array" ref="A13">IF(C13&lt;&gt;0,SUM(($C$11:C13&lt;&gt;0)*1),"")</f>
        <v/>
      </c>
      <c r="B13" s="249"/>
      <c r="C13" s="249"/>
      <c r="D13" s="249"/>
      <c r="E13" s="326"/>
      <c r="F13" s="300"/>
      <c r="G13" s="302"/>
      <c r="H13" s="302"/>
      <c r="I13" s="58" t="str">
        <f t="shared" si="0"/>
        <v/>
      </c>
      <c r="J13" s="251">
        <f t="shared" si="61"/>
        <v>0</v>
      </c>
      <c r="K13" s="251">
        <f t="shared" si="62"/>
        <v>0</v>
      </c>
      <c r="L13" s="251">
        <f t="shared" si="1"/>
        <v>0</v>
      </c>
      <c r="M13" s="251">
        <f t="shared" si="2"/>
        <v>0</v>
      </c>
      <c r="N13" s="251">
        <f t="shared" si="3"/>
        <v>0</v>
      </c>
      <c r="O13" s="251">
        <f t="shared" si="4"/>
        <v>0</v>
      </c>
      <c r="P13" s="251">
        <f t="shared" si="5"/>
        <v>0</v>
      </c>
      <c r="Q13" s="251">
        <f t="shared" si="6"/>
        <v>0</v>
      </c>
      <c r="R13" s="251">
        <f t="shared" si="7"/>
        <v>0</v>
      </c>
      <c r="S13" s="251">
        <f t="shared" si="8"/>
        <v>0</v>
      </c>
      <c r="T13" s="251">
        <f t="shared" si="9"/>
        <v>0</v>
      </c>
      <c r="U13" s="251">
        <f t="shared" si="10"/>
        <v>0</v>
      </c>
      <c r="V13" s="251">
        <f t="shared" si="11"/>
        <v>0</v>
      </c>
      <c r="W13" s="251">
        <f t="shared" si="12"/>
        <v>0</v>
      </c>
      <c r="X13" s="251">
        <f t="shared" si="13"/>
        <v>0</v>
      </c>
      <c r="Y13" s="251">
        <f t="shared" si="14"/>
        <v>0</v>
      </c>
      <c r="Z13" s="251">
        <f t="shared" si="15"/>
        <v>0</v>
      </c>
      <c r="AA13" s="251">
        <f t="shared" si="16"/>
        <v>0</v>
      </c>
      <c r="AB13" s="251">
        <f t="shared" si="63"/>
        <v>0</v>
      </c>
      <c r="AC13" s="251">
        <f t="shared" si="64"/>
        <v>0</v>
      </c>
      <c r="AD13" s="251">
        <f t="shared" si="17"/>
        <v>0</v>
      </c>
      <c r="AE13" s="251">
        <f t="shared" si="18"/>
        <v>0</v>
      </c>
      <c r="AF13" s="251">
        <f t="shared" si="19"/>
        <v>0</v>
      </c>
      <c r="AG13" s="251">
        <f t="shared" si="20"/>
        <v>0</v>
      </c>
      <c r="AH13" s="251">
        <f t="shared" si="65"/>
        <v>0</v>
      </c>
      <c r="AI13" s="251">
        <f t="shared" si="66"/>
        <v>0</v>
      </c>
      <c r="AJ13" s="251">
        <f t="shared" si="67"/>
        <v>0</v>
      </c>
      <c r="AK13" s="251">
        <f t="shared" si="68"/>
        <v>0</v>
      </c>
      <c r="AL13" s="251">
        <f t="shared" si="69"/>
        <v>0</v>
      </c>
      <c r="AM13" s="251">
        <f t="shared" si="70"/>
        <v>0</v>
      </c>
      <c r="AN13" s="251">
        <f t="shared" si="71"/>
        <v>0</v>
      </c>
      <c r="AO13" s="251">
        <f t="shared" si="72"/>
        <v>0</v>
      </c>
      <c r="AP13" s="251">
        <f t="shared" si="21"/>
        <v>0</v>
      </c>
      <c r="AQ13" s="251">
        <f t="shared" si="22"/>
        <v>0</v>
      </c>
      <c r="AR13" s="251">
        <f t="shared" si="23"/>
        <v>0</v>
      </c>
      <c r="AS13" s="251">
        <f t="shared" si="24"/>
        <v>0</v>
      </c>
      <c r="AT13" s="251">
        <f t="shared" si="73"/>
        <v>0</v>
      </c>
      <c r="AU13" s="251">
        <f t="shared" si="74"/>
        <v>0</v>
      </c>
      <c r="AV13" s="251">
        <f t="shared" si="25"/>
        <v>0</v>
      </c>
      <c r="AW13" s="251">
        <f t="shared" si="26"/>
        <v>0</v>
      </c>
      <c r="AX13" s="251">
        <f t="shared" si="27"/>
        <v>0</v>
      </c>
      <c r="AY13" s="251">
        <f t="shared" si="28"/>
        <v>0</v>
      </c>
      <c r="AZ13" s="251">
        <f t="shared" si="29"/>
        <v>0</v>
      </c>
      <c r="BA13" s="251">
        <f t="shared" si="30"/>
        <v>0</v>
      </c>
      <c r="BB13" s="251">
        <f t="shared" si="31"/>
        <v>0</v>
      </c>
      <c r="BC13" s="251">
        <f t="shared" si="32"/>
        <v>0</v>
      </c>
      <c r="BD13" s="251">
        <f t="shared" si="33"/>
        <v>0</v>
      </c>
      <c r="BE13" s="251">
        <f t="shared" si="34"/>
        <v>0</v>
      </c>
      <c r="BF13" s="251">
        <f t="shared" si="35"/>
        <v>0</v>
      </c>
      <c r="BG13" s="251">
        <f t="shared" si="36"/>
        <v>0</v>
      </c>
      <c r="BH13" s="251">
        <f t="shared" si="75"/>
        <v>0</v>
      </c>
      <c r="BI13" s="251">
        <f t="shared" si="76"/>
        <v>0</v>
      </c>
      <c r="BJ13" s="251">
        <f t="shared" si="37"/>
        <v>0</v>
      </c>
      <c r="BK13" s="251">
        <f t="shared" si="38"/>
        <v>0</v>
      </c>
      <c r="BL13" s="251">
        <f t="shared" si="39"/>
        <v>0</v>
      </c>
      <c r="BM13" s="251">
        <f t="shared" si="40"/>
        <v>0</v>
      </c>
      <c r="BN13" s="251">
        <f t="shared" si="41"/>
        <v>0</v>
      </c>
      <c r="BO13" s="251">
        <f t="shared" si="42"/>
        <v>0</v>
      </c>
      <c r="BP13" s="251">
        <f t="shared" si="77"/>
        <v>0</v>
      </c>
      <c r="BQ13" s="251">
        <f t="shared" si="78"/>
        <v>0</v>
      </c>
      <c r="BR13" s="251">
        <f t="shared" si="43"/>
        <v>0</v>
      </c>
      <c r="BS13" s="251">
        <f t="shared" si="44"/>
        <v>0</v>
      </c>
      <c r="BT13" s="251">
        <f t="shared" si="79"/>
        <v>0</v>
      </c>
      <c r="BU13" s="251">
        <f t="shared" si="80"/>
        <v>0</v>
      </c>
      <c r="BV13" s="251">
        <f t="shared" si="81"/>
        <v>0</v>
      </c>
      <c r="BW13" s="251">
        <f t="shared" si="82"/>
        <v>0</v>
      </c>
      <c r="BX13" s="251">
        <f t="shared" si="45"/>
        <v>0</v>
      </c>
      <c r="BY13" s="251">
        <f t="shared" si="46"/>
        <v>0</v>
      </c>
      <c r="BZ13" s="251">
        <f t="shared" si="47"/>
        <v>0</v>
      </c>
      <c r="CA13" s="251">
        <f t="shared" si="48"/>
        <v>0</v>
      </c>
      <c r="CB13" s="251">
        <f t="shared" si="49"/>
        <v>0</v>
      </c>
      <c r="CC13" s="251">
        <f t="shared" si="50"/>
        <v>0</v>
      </c>
      <c r="CD13" s="251">
        <f t="shared" si="83"/>
        <v>0</v>
      </c>
      <c r="CE13" s="251">
        <f t="shared" si="84"/>
        <v>0</v>
      </c>
      <c r="CF13" s="251">
        <f t="shared" si="85"/>
        <v>0</v>
      </c>
      <c r="CG13" s="251">
        <f t="shared" si="86"/>
        <v>0</v>
      </c>
      <c r="CH13" s="251">
        <f t="shared" si="51"/>
        <v>0</v>
      </c>
      <c r="CI13" s="251">
        <f t="shared" si="52"/>
        <v>0</v>
      </c>
      <c r="CJ13" s="251">
        <f t="shared" si="87"/>
        <v>0</v>
      </c>
      <c r="CK13" s="251">
        <f t="shared" si="88"/>
        <v>0</v>
      </c>
      <c r="CL13" s="251">
        <f t="shared" si="53"/>
        <v>0</v>
      </c>
      <c r="CM13" s="251">
        <f t="shared" si="54"/>
        <v>0</v>
      </c>
      <c r="CN13" s="251">
        <f t="shared" si="55"/>
        <v>0</v>
      </c>
      <c r="CO13" s="251">
        <f t="shared" si="56"/>
        <v>0</v>
      </c>
      <c r="CP13" s="251">
        <f t="shared" si="89"/>
        <v>0</v>
      </c>
      <c r="CQ13" s="251">
        <f t="shared" si="90"/>
        <v>0</v>
      </c>
      <c r="CR13" s="251">
        <f t="shared" si="91"/>
        <v>0</v>
      </c>
      <c r="CS13" s="251">
        <f t="shared" si="92"/>
        <v>0</v>
      </c>
      <c r="CT13" s="251">
        <f t="shared" si="57"/>
        <v>0</v>
      </c>
      <c r="CU13" s="251">
        <f t="shared" si="58"/>
        <v>0</v>
      </c>
      <c r="CV13" s="251">
        <f t="shared" si="59"/>
        <v>0</v>
      </c>
      <c r="CW13" s="251">
        <f t="shared" si="60"/>
        <v>0</v>
      </c>
      <c r="CX13" s="251">
        <f t="shared" si="93"/>
        <v>0</v>
      </c>
      <c r="CY13" s="251">
        <f t="shared" si="94"/>
        <v>0</v>
      </c>
      <c r="CZ13" s="251">
        <f t="shared" si="95"/>
        <v>0</v>
      </c>
      <c r="DA13" s="251">
        <f t="shared" si="96"/>
        <v>0</v>
      </c>
    </row>
    <row r="14" spans="1:105" s="248" customFormat="1" ht="16.5" customHeight="1">
      <c r="A14" s="58" t="str">
        <f t="array" ref="A14">IF(C14&lt;&gt;0,SUM(($C$11:C14&lt;&gt;0)*1),"")</f>
        <v/>
      </c>
      <c r="B14" s="249"/>
      <c r="C14" s="249"/>
      <c r="D14" s="249"/>
      <c r="E14" s="326"/>
      <c r="F14" s="300"/>
      <c r="G14" s="302"/>
      <c r="H14" s="302"/>
      <c r="I14" s="58" t="str">
        <f t="shared" si="0"/>
        <v/>
      </c>
      <c r="J14" s="251">
        <f t="shared" si="61"/>
        <v>0</v>
      </c>
      <c r="K14" s="251">
        <f t="shared" si="62"/>
        <v>0</v>
      </c>
      <c r="L14" s="251">
        <f t="shared" si="1"/>
        <v>0</v>
      </c>
      <c r="M14" s="251">
        <f t="shared" si="2"/>
        <v>0</v>
      </c>
      <c r="N14" s="251">
        <f t="shared" si="3"/>
        <v>0</v>
      </c>
      <c r="O14" s="251">
        <f t="shared" si="4"/>
        <v>0</v>
      </c>
      <c r="P14" s="251">
        <f t="shared" si="5"/>
        <v>0</v>
      </c>
      <c r="Q14" s="251">
        <f t="shared" si="6"/>
        <v>0</v>
      </c>
      <c r="R14" s="251">
        <f t="shared" si="7"/>
        <v>0</v>
      </c>
      <c r="S14" s="251">
        <f t="shared" si="8"/>
        <v>0</v>
      </c>
      <c r="T14" s="251">
        <f t="shared" si="9"/>
        <v>0</v>
      </c>
      <c r="U14" s="251">
        <f t="shared" si="10"/>
        <v>0</v>
      </c>
      <c r="V14" s="251">
        <f t="shared" si="11"/>
        <v>0</v>
      </c>
      <c r="W14" s="251">
        <f t="shared" si="12"/>
        <v>0</v>
      </c>
      <c r="X14" s="251">
        <f t="shared" si="13"/>
        <v>0</v>
      </c>
      <c r="Y14" s="251">
        <f t="shared" si="14"/>
        <v>0</v>
      </c>
      <c r="Z14" s="251">
        <f t="shared" si="15"/>
        <v>0</v>
      </c>
      <c r="AA14" s="251">
        <f t="shared" si="16"/>
        <v>0</v>
      </c>
      <c r="AB14" s="251">
        <f t="shared" si="63"/>
        <v>0</v>
      </c>
      <c r="AC14" s="251">
        <f t="shared" si="64"/>
        <v>0</v>
      </c>
      <c r="AD14" s="251">
        <f t="shared" si="17"/>
        <v>0</v>
      </c>
      <c r="AE14" s="251">
        <f t="shared" si="18"/>
        <v>0</v>
      </c>
      <c r="AF14" s="251">
        <f t="shared" si="19"/>
        <v>0</v>
      </c>
      <c r="AG14" s="251">
        <f t="shared" si="20"/>
        <v>0</v>
      </c>
      <c r="AH14" s="251">
        <f t="shared" si="65"/>
        <v>0</v>
      </c>
      <c r="AI14" s="251">
        <f t="shared" si="66"/>
        <v>0</v>
      </c>
      <c r="AJ14" s="251">
        <f t="shared" si="67"/>
        <v>0</v>
      </c>
      <c r="AK14" s="251">
        <f t="shared" si="68"/>
        <v>0</v>
      </c>
      <c r="AL14" s="251">
        <f t="shared" si="69"/>
        <v>0</v>
      </c>
      <c r="AM14" s="251">
        <f t="shared" si="70"/>
        <v>0</v>
      </c>
      <c r="AN14" s="251">
        <f t="shared" si="71"/>
        <v>0</v>
      </c>
      <c r="AO14" s="251">
        <f t="shared" si="72"/>
        <v>0</v>
      </c>
      <c r="AP14" s="251">
        <f t="shared" si="21"/>
        <v>0</v>
      </c>
      <c r="AQ14" s="251">
        <f t="shared" si="22"/>
        <v>0</v>
      </c>
      <c r="AR14" s="251">
        <f t="shared" si="23"/>
        <v>0</v>
      </c>
      <c r="AS14" s="251">
        <f t="shared" si="24"/>
        <v>0</v>
      </c>
      <c r="AT14" s="251">
        <f t="shared" si="73"/>
        <v>0</v>
      </c>
      <c r="AU14" s="251">
        <f t="shared" si="74"/>
        <v>0</v>
      </c>
      <c r="AV14" s="251">
        <f t="shared" si="25"/>
        <v>0</v>
      </c>
      <c r="AW14" s="251">
        <f t="shared" si="26"/>
        <v>0</v>
      </c>
      <c r="AX14" s="251">
        <f t="shared" si="27"/>
        <v>0</v>
      </c>
      <c r="AY14" s="251">
        <f t="shared" si="28"/>
        <v>0</v>
      </c>
      <c r="AZ14" s="251">
        <f t="shared" si="29"/>
        <v>0</v>
      </c>
      <c r="BA14" s="251">
        <f t="shared" si="30"/>
        <v>0</v>
      </c>
      <c r="BB14" s="251">
        <f t="shared" si="31"/>
        <v>0</v>
      </c>
      <c r="BC14" s="251">
        <f t="shared" si="32"/>
        <v>0</v>
      </c>
      <c r="BD14" s="251">
        <f t="shared" si="33"/>
        <v>0</v>
      </c>
      <c r="BE14" s="251">
        <f t="shared" si="34"/>
        <v>0</v>
      </c>
      <c r="BF14" s="251">
        <f t="shared" si="35"/>
        <v>0</v>
      </c>
      <c r="BG14" s="251">
        <f t="shared" si="36"/>
        <v>0</v>
      </c>
      <c r="BH14" s="251">
        <f t="shared" si="75"/>
        <v>0</v>
      </c>
      <c r="BI14" s="251">
        <f t="shared" si="76"/>
        <v>0</v>
      </c>
      <c r="BJ14" s="251">
        <f t="shared" si="37"/>
        <v>0</v>
      </c>
      <c r="BK14" s="251">
        <f t="shared" si="38"/>
        <v>0</v>
      </c>
      <c r="BL14" s="251">
        <f t="shared" si="39"/>
        <v>0</v>
      </c>
      <c r="BM14" s="251">
        <f t="shared" si="40"/>
        <v>0</v>
      </c>
      <c r="BN14" s="251">
        <f t="shared" si="41"/>
        <v>0</v>
      </c>
      <c r="BO14" s="251">
        <f t="shared" si="42"/>
        <v>0</v>
      </c>
      <c r="BP14" s="251">
        <f t="shared" si="77"/>
        <v>0</v>
      </c>
      <c r="BQ14" s="251">
        <f t="shared" si="78"/>
        <v>0</v>
      </c>
      <c r="BR14" s="251">
        <f t="shared" si="43"/>
        <v>0</v>
      </c>
      <c r="BS14" s="251">
        <f t="shared" si="44"/>
        <v>0</v>
      </c>
      <c r="BT14" s="251">
        <f t="shared" si="79"/>
        <v>0</v>
      </c>
      <c r="BU14" s="251">
        <f t="shared" si="80"/>
        <v>0</v>
      </c>
      <c r="BV14" s="251">
        <f t="shared" si="81"/>
        <v>0</v>
      </c>
      <c r="BW14" s="251">
        <f t="shared" si="82"/>
        <v>0</v>
      </c>
      <c r="BX14" s="251">
        <f t="shared" si="45"/>
        <v>0</v>
      </c>
      <c r="BY14" s="251">
        <f t="shared" si="46"/>
        <v>0</v>
      </c>
      <c r="BZ14" s="251">
        <f t="shared" si="47"/>
        <v>0</v>
      </c>
      <c r="CA14" s="251">
        <f t="shared" si="48"/>
        <v>0</v>
      </c>
      <c r="CB14" s="251">
        <f t="shared" si="49"/>
        <v>0</v>
      </c>
      <c r="CC14" s="251">
        <f t="shared" si="50"/>
        <v>0</v>
      </c>
      <c r="CD14" s="251">
        <f t="shared" si="83"/>
        <v>0</v>
      </c>
      <c r="CE14" s="251">
        <f t="shared" si="84"/>
        <v>0</v>
      </c>
      <c r="CF14" s="251">
        <f t="shared" si="85"/>
        <v>0</v>
      </c>
      <c r="CG14" s="251">
        <f t="shared" si="86"/>
        <v>0</v>
      </c>
      <c r="CH14" s="251">
        <f t="shared" si="51"/>
        <v>0</v>
      </c>
      <c r="CI14" s="251">
        <f t="shared" si="52"/>
        <v>0</v>
      </c>
      <c r="CJ14" s="251">
        <f t="shared" si="87"/>
        <v>0</v>
      </c>
      <c r="CK14" s="251">
        <f t="shared" si="88"/>
        <v>0</v>
      </c>
      <c r="CL14" s="251">
        <f t="shared" si="53"/>
        <v>0</v>
      </c>
      <c r="CM14" s="251">
        <f t="shared" si="54"/>
        <v>0</v>
      </c>
      <c r="CN14" s="251">
        <f t="shared" si="55"/>
        <v>0</v>
      </c>
      <c r="CO14" s="251">
        <f t="shared" si="56"/>
        <v>0</v>
      </c>
      <c r="CP14" s="251">
        <f t="shared" si="89"/>
        <v>0</v>
      </c>
      <c r="CQ14" s="251">
        <f t="shared" si="90"/>
        <v>0</v>
      </c>
      <c r="CR14" s="251">
        <f t="shared" si="91"/>
        <v>0</v>
      </c>
      <c r="CS14" s="251">
        <f t="shared" si="92"/>
        <v>0</v>
      </c>
      <c r="CT14" s="251">
        <f t="shared" si="57"/>
        <v>0</v>
      </c>
      <c r="CU14" s="251">
        <f t="shared" si="58"/>
        <v>0</v>
      </c>
      <c r="CV14" s="251">
        <f t="shared" si="59"/>
        <v>0</v>
      </c>
      <c r="CW14" s="251">
        <f t="shared" si="60"/>
        <v>0</v>
      </c>
      <c r="CX14" s="251">
        <f t="shared" si="93"/>
        <v>0</v>
      </c>
      <c r="CY14" s="251">
        <f t="shared" si="94"/>
        <v>0</v>
      </c>
      <c r="CZ14" s="251">
        <f t="shared" si="95"/>
        <v>0</v>
      </c>
      <c r="DA14" s="251">
        <f t="shared" si="96"/>
        <v>0</v>
      </c>
    </row>
    <row r="15" spans="1:105" s="248" customFormat="1" ht="16.5" customHeight="1">
      <c r="A15" s="58" t="str">
        <f t="array" ref="A15">IF(C15&lt;&gt;0,SUM(($C$11:C15&lt;&gt;0)*1),"")</f>
        <v/>
      </c>
      <c r="B15" s="249"/>
      <c r="C15" s="249"/>
      <c r="D15" s="249"/>
      <c r="E15" s="326"/>
      <c r="F15" s="300"/>
      <c r="G15" s="302"/>
      <c r="H15" s="302"/>
      <c r="I15" s="58" t="str">
        <f t="shared" si="0"/>
        <v/>
      </c>
      <c r="J15" s="251">
        <f t="shared" si="61"/>
        <v>0</v>
      </c>
      <c r="K15" s="251">
        <f t="shared" si="62"/>
        <v>0</v>
      </c>
      <c r="L15" s="251">
        <f t="shared" si="1"/>
        <v>0</v>
      </c>
      <c r="M15" s="251">
        <f t="shared" si="2"/>
        <v>0</v>
      </c>
      <c r="N15" s="251">
        <f t="shared" si="3"/>
        <v>0</v>
      </c>
      <c r="O15" s="251">
        <f t="shared" si="4"/>
        <v>0</v>
      </c>
      <c r="P15" s="251">
        <f t="shared" si="5"/>
        <v>0</v>
      </c>
      <c r="Q15" s="251">
        <f t="shared" si="6"/>
        <v>0</v>
      </c>
      <c r="R15" s="251">
        <f t="shared" si="7"/>
        <v>0</v>
      </c>
      <c r="S15" s="251">
        <f t="shared" si="8"/>
        <v>0</v>
      </c>
      <c r="T15" s="251">
        <f t="shared" si="9"/>
        <v>0</v>
      </c>
      <c r="U15" s="251">
        <f t="shared" si="10"/>
        <v>0</v>
      </c>
      <c r="V15" s="251">
        <f t="shared" si="11"/>
        <v>0</v>
      </c>
      <c r="W15" s="251">
        <f t="shared" si="12"/>
        <v>0</v>
      </c>
      <c r="X15" s="251">
        <f t="shared" si="13"/>
        <v>0</v>
      </c>
      <c r="Y15" s="251">
        <f t="shared" si="14"/>
        <v>0</v>
      </c>
      <c r="Z15" s="251">
        <f t="shared" si="15"/>
        <v>0</v>
      </c>
      <c r="AA15" s="251">
        <f t="shared" si="16"/>
        <v>0</v>
      </c>
      <c r="AB15" s="251">
        <f t="shared" si="63"/>
        <v>0</v>
      </c>
      <c r="AC15" s="251">
        <f t="shared" si="64"/>
        <v>0</v>
      </c>
      <c r="AD15" s="251">
        <f t="shared" si="17"/>
        <v>0</v>
      </c>
      <c r="AE15" s="251">
        <f t="shared" si="18"/>
        <v>0</v>
      </c>
      <c r="AF15" s="251">
        <f t="shared" si="19"/>
        <v>0</v>
      </c>
      <c r="AG15" s="251">
        <f t="shared" si="20"/>
        <v>0</v>
      </c>
      <c r="AH15" s="251">
        <f t="shared" si="65"/>
        <v>0</v>
      </c>
      <c r="AI15" s="251">
        <f t="shared" si="66"/>
        <v>0</v>
      </c>
      <c r="AJ15" s="251">
        <f t="shared" si="67"/>
        <v>0</v>
      </c>
      <c r="AK15" s="251">
        <f t="shared" si="68"/>
        <v>0</v>
      </c>
      <c r="AL15" s="251">
        <f t="shared" si="69"/>
        <v>0</v>
      </c>
      <c r="AM15" s="251">
        <f t="shared" si="70"/>
        <v>0</v>
      </c>
      <c r="AN15" s="251">
        <f t="shared" si="71"/>
        <v>0</v>
      </c>
      <c r="AO15" s="251">
        <f t="shared" si="72"/>
        <v>0</v>
      </c>
      <c r="AP15" s="251">
        <f t="shared" si="21"/>
        <v>0</v>
      </c>
      <c r="AQ15" s="251">
        <f t="shared" si="22"/>
        <v>0</v>
      </c>
      <c r="AR15" s="251">
        <f t="shared" si="23"/>
        <v>0</v>
      </c>
      <c r="AS15" s="251">
        <f t="shared" si="24"/>
        <v>0</v>
      </c>
      <c r="AT15" s="251">
        <f t="shared" si="73"/>
        <v>0</v>
      </c>
      <c r="AU15" s="251">
        <f t="shared" si="74"/>
        <v>0</v>
      </c>
      <c r="AV15" s="251">
        <f t="shared" si="25"/>
        <v>0</v>
      </c>
      <c r="AW15" s="251">
        <f t="shared" si="26"/>
        <v>0</v>
      </c>
      <c r="AX15" s="251">
        <f t="shared" si="27"/>
        <v>0</v>
      </c>
      <c r="AY15" s="251">
        <f t="shared" si="28"/>
        <v>0</v>
      </c>
      <c r="AZ15" s="251">
        <f t="shared" si="29"/>
        <v>0</v>
      </c>
      <c r="BA15" s="251">
        <f t="shared" si="30"/>
        <v>0</v>
      </c>
      <c r="BB15" s="251">
        <f t="shared" si="31"/>
        <v>0</v>
      </c>
      <c r="BC15" s="251">
        <f t="shared" si="32"/>
        <v>0</v>
      </c>
      <c r="BD15" s="251">
        <f t="shared" si="33"/>
        <v>0</v>
      </c>
      <c r="BE15" s="251">
        <f t="shared" si="34"/>
        <v>0</v>
      </c>
      <c r="BF15" s="251">
        <f t="shared" si="35"/>
        <v>0</v>
      </c>
      <c r="BG15" s="251">
        <f t="shared" si="36"/>
        <v>0</v>
      </c>
      <c r="BH15" s="251">
        <f t="shared" si="75"/>
        <v>0</v>
      </c>
      <c r="BI15" s="251">
        <f t="shared" si="76"/>
        <v>0</v>
      </c>
      <c r="BJ15" s="251">
        <f t="shared" si="37"/>
        <v>0</v>
      </c>
      <c r="BK15" s="251">
        <f t="shared" si="38"/>
        <v>0</v>
      </c>
      <c r="BL15" s="251">
        <f t="shared" si="39"/>
        <v>0</v>
      </c>
      <c r="BM15" s="251">
        <f t="shared" si="40"/>
        <v>0</v>
      </c>
      <c r="BN15" s="251">
        <f t="shared" si="41"/>
        <v>0</v>
      </c>
      <c r="BO15" s="251">
        <f t="shared" si="42"/>
        <v>0</v>
      </c>
      <c r="BP15" s="251">
        <f t="shared" si="77"/>
        <v>0</v>
      </c>
      <c r="BQ15" s="251">
        <f t="shared" si="78"/>
        <v>0</v>
      </c>
      <c r="BR15" s="251">
        <f t="shared" si="43"/>
        <v>0</v>
      </c>
      <c r="BS15" s="251">
        <f t="shared" si="44"/>
        <v>0</v>
      </c>
      <c r="BT15" s="251">
        <f t="shared" si="79"/>
        <v>0</v>
      </c>
      <c r="BU15" s="251">
        <f t="shared" si="80"/>
        <v>0</v>
      </c>
      <c r="BV15" s="251">
        <f t="shared" si="81"/>
        <v>0</v>
      </c>
      <c r="BW15" s="251">
        <f t="shared" si="82"/>
        <v>0</v>
      </c>
      <c r="BX15" s="251">
        <f t="shared" si="45"/>
        <v>0</v>
      </c>
      <c r="BY15" s="251">
        <f t="shared" si="46"/>
        <v>0</v>
      </c>
      <c r="BZ15" s="251">
        <f t="shared" si="47"/>
        <v>0</v>
      </c>
      <c r="CA15" s="251">
        <f t="shared" si="48"/>
        <v>0</v>
      </c>
      <c r="CB15" s="251">
        <f t="shared" si="49"/>
        <v>0</v>
      </c>
      <c r="CC15" s="251">
        <f t="shared" si="50"/>
        <v>0</v>
      </c>
      <c r="CD15" s="251">
        <f t="shared" si="83"/>
        <v>0</v>
      </c>
      <c r="CE15" s="251">
        <f t="shared" si="84"/>
        <v>0</v>
      </c>
      <c r="CF15" s="251">
        <f t="shared" si="85"/>
        <v>0</v>
      </c>
      <c r="CG15" s="251">
        <f t="shared" si="86"/>
        <v>0</v>
      </c>
      <c r="CH15" s="251">
        <f t="shared" si="51"/>
        <v>0</v>
      </c>
      <c r="CI15" s="251">
        <f t="shared" si="52"/>
        <v>0</v>
      </c>
      <c r="CJ15" s="251">
        <f t="shared" si="87"/>
        <v>0</v>
      </c>
      <c r="CK15" s="251">
        <f t="shared" si="88"/>
        <v>0</v>
      </c>
      <c r="CL15" s="251">
        <f t="shared" si="53"/>
        <v>0</v>
      </c>
      <c r="CM15" s="251">
        <f t="shared" si="54"/>
        <v>0</v>
      </c>
      <c r="CN15" s="251">
        <f t="shared" si="55"/>
        <v>0</v>
      </c>
      <c r="CO15" s="251">
        <f t="shared" si="56"/>
        <v>0</v>
      </c>
      <c r="CP15" s="251">
        <f t="shared" si="89"/>
        <v>0</v>
      </c>
      <c r="CQ15" s="251">
        <f t="shared" si="90"/>
        <v>0</v>
      </c>
      <c r="CR15" s="251">
        <f t="shared" si="91"/>
        <v>0</v>
      </c>
      <c r="CS15" s="251">
        <f t="shared" si="92"/>
        <v>0</v>
      </c>
      <c r="CT15" s="251">
        <f t="shared" si="57"/>
        <v>0</v>
      </c>
      <c r="CU15" s="251">
        <f t="shared" si="58"/>
        <v>0</v>
      </c>
      <c r="CV15" s="251">
        <f t="shared" si="59"/>
        <v>0</v>
      </c>
      <c r="CW15" s="251">
        <f t="shared" si="60"/>
        <v>0</v>
      </c>
      <c r="CX15" s="251">
        <f t="shared" si="93"/>
        <v>0</v>
      </c>
      <c r="CY15" s="251">
        <f t="shared" si="94"/>
        <v>0</v>
      </c>
      <c r="CZ15" s="251">
        <f t="shared" si="95"/>
        <v>0</v>
      </c>
      <c r="DA15" s="251">
        <f t="shared" si="96"/>
        <v>0</v>
      </c>
    </row>
    <row r="16" spans="1:105" s="248" customFormat="1" ht="16.5" customHeight="1">
      <c r="A16" s="58" t="str">
        <f t="array" ref="A16">IF(C16&lt;&gt;0,SUM(($C$11:C16&lt;&gt;0)*1),"")</f>
        <v/>
      </c>
      <c r="B16" s="249"/>
      <c r="C16" s="249"/>
      <c r="D16" s="249"/>
      <c r="E16" s="326"/>
      <c r="F16" s="300"/>
      <c r="G16" s="302"/>
      <c r="H16" s="302"/>
      <c r="I16" s="58" t="str">
        <f t="shared" si="0"/>
        <v/>
      </c>
      <c r="J16" s="251">
        <f t="shared" si="61"/>
        <v>0</v>
      </c>
      <c r="K16" s="251">
        <f t="shared" si="62"/>
        <v>0</v>
      </c>
      <c r="L16" s="251">
        <f t="shared" si="1"/>
        <v>0</v>
      </c>
      <c r="M16" s="251">
        <f t="shared" si="2"/>
        <v>0</v>
      </c>
      <c r="N16" s="251">
        <f t="shared" si="3"/>
        <v>0</v>
      </c>
      <c r="O16" s="251">
        <f t="shared" si="4"/>
        <v>0</v>
      </c>
      <c r="P16" s="251">
        <f t="shared" si="5"/>
        <v>0</v>
      </c>
      <c r="Q16" s="251">
        <f t="shared" si="6"/>
        <v>0</v>
      </c>
      <c r="R16" s="251">
        <f t="shared" si="7"/>
        <v>0</v>
      </c>
      <c r="S16" s="251">
        <f t="shared" si="8"/>
        <v>0</v>
      </c>
      <c r="T16" s="251">
        <f t="shared" si="9"/>
        <v>0</v>
      </c>
      <c r="U16" s="251">
        <f t="shared" si="10"/>
        <v>0</v>
      </c>
      <c r="V16" s="251">
        <f t="shared" si="11"/>
        <v>0</v>
      </c>
      <c r="W16" s="251">
        <f t="shared" si="12"/>
        <v>0</v>
      </c>
      <c r="X16" s="251">
        <f t="shared" si="13"/>
        <v>0</v>
      </c>
      <c r="Y16" s="251">
        <f t="shared" si="14"/>
        <v>0</v>
      </c>
      <c r="Z16" s="251">
        <f t="shared" si="15"/>
        <v>0</v>
      </c>
      <c r="AA16" s="251">
        <f t="shared" si="16"/>
        <v>0</v>
      </c>
      <c r="AB16" s="251">
        <f t="shared" si="63"/>
        <v>0</v>
      </c>
      <c r="AC16" s="251">
        <f t="shared" si="64"/>
        <v>0</v>
      </c>
      <c r="AD16" s="251">
        <f t="shared" si="17"/>
        <v>0</v>
      </c>
      <c r="AE16" s="251">
        <f t="shared" si="18"/>
        <v>0</v>
      </c>
      <c r="AF16" s="251">
        <f t="shared" si="19"/>
        <v>0</v>
      </c>
      <c r="AG16" s="251">
        <f t="shared" si="20"/>
        <v>0</v>
      </c>
      <c r="AH16" s="251">
        <f t="shared" si="65"/>
        <v>0</v>
      </c>
      <c r="AI16" s="251">
        <f t="shared" si="66"/>
        <v>0</v>
      </c>
      <c r="AJ16" s="251">
        <f t="shared" si="67"/>
        <v>0</v>
      </c>
      <c r="AK16" s="251">
        <f t="shared" si="68"/>
        <v>0</v>
      </c>
      <c r="AL16" s="251">
        <f t="shared" si="69"/>
        <v>0</v>
      </c>
      <c r="AM16" s="251">
        <f t="shared" si="70"/>
        <v>0</v>
      </c>
      <c r="AN16" s="251">
        <f t="shared" si="71"/>
        <v>0</v>
      </c>
      <c r="AO16" s="251">
        <f t="shared" si="72"/>
        <v>0</v>
      </c>
      <c r="AP16" s="251">
        <f t="shared" si="21"/>
        <v>0</v>
      </c>
      <c r="AQ16" s="251">
        <f t="shared" si="22"/>
        <v>0</v>
      </c>
      <c r="AR16" s="251">
        <f t="shared" si="23"/>
        <v>0</v>
      </c>
      <c r="AS16" s="251">
        <f t="shared" si="24"/>
        <v>0</v>
      </c>
      <c r="AT16" s="251">
        <f t="shared" si="73"/>
        <v>0</v>
      </c>
      <c r="AU16" s="251">
        <f t="shared" si="74"/>
        <v>0</v>
      </c>
      <c r="AV16" s="251">
        <f t="shared" si="25"/>
        <v>0</v>
      </c>
      <c r="AW16" s="251">
        <f t="shared" si="26"/>
        <v>0</v>
      </c>
      <c r="AX16" s="251">
        <f t="shared" si="27"/>
        <v>0</v>
      </c>
      <c r="AY16" s="251">
        <f t="shared" si="28"/>
        <v>0</v>
      </c>
      <c r="AZ16" s="251">
        <f t="shared" si="29"/>
        <v>0</v>
      </c>
      <c r="BA16" s="251">
        <f t="shared" si="30"/>
        <v>0</v>
      </c>
      <c r="BB16" s="251">
        <f t="shared" si="31"/>
        <v>0</v>
      </c>
      <c r="BC16" s="251">
        <f t="shared" si="32"/>
        <v>0</v>
      </c>
      <c r="BD16" s="251">
        <f t="shared" si="33"/>
        <v>0</v>
      </c>
      <c r="BE16" s="251">
        <f t="shared" si="34"/>
        <v>0</v>
      </c>
      <c r="BF16" s="251">
        <f t="shared" si="35"/>
        <v>0</v>
      </c>
      <c r="BG16" s="251">
        <f t="shared" si="36"/>
        <v>0</v>
      </c>
      <c r="BH16" s="251">
        <f t="shared" si="75"/>
        <v>0</v>
      </c>
      <c r="BI16" s="251">
        <f t="shared" si="76"/>
        <v>0</v>
      </c>
      <c r="BJ16" s="251">
        <f t="shared" si="37"/>
        <v>0</v>
      </c>
      <c r="BK16" s="251">
        <f t="shared" si="38"/>
        <v>0</v>
      </c>
      <c r="BL16" s="251">
        <f t="shared" si="39"/>
        <v>0</v>
      </c>
      <c r="BM16" s="251">
        <f t="shared" si="40"/>
        <v>0</v>
      </c>
      <c r="BN16" s="251">
        <f t="shared" si="41"/>
        <v>0</v>
      </c>
      <c r="BO16" s="251">
        <f t="shared" si="42"/>
        <v>0</v>
      </c>
      <c r="BP16" s="251">
        <f t="shared" si="77"/>
        <v>0</v>
      </c>
      <c r="BQ16" s="251">
        <f t="shared" si="78"/>
        <v>0</v>
      </c>
      <c r="BR16" s="251">
        <f t="shared" si="43"/>
        <v>0</v>
      </c>
      <c r="BS16" s="251">
        <f t="shared" si="44"/>
        <v>0</v>
      </c>
      <c r="BT16" s="251">
        <f t="shared" si="79"/>
        <v>0</v>
      </c>
      <c r="BU16" s="251">
        <f t="shared" si="80"/>
        <v>0</v>
      </c>
      <c r="BV16" s="251">
        <f t="shared" si="81"/>
        <v>0</v>
      </c>
      <c r="BW16" s="251">
        <f t="shared" si="82"/>
        <v>0</v>
      </c>
      <c r="BX16" s="251">
        <f t="shared" si="45"/>
        <v>0</v>
      </c>
      <c r="BY16" s="251">
        <f t="shared" si="46"/>
        <v>0</v>
      </c>
      <c r="BZ16" s="251">
        <f t="shared" si="47"/>
        <v>0</v>
      </c>
      <c r="CA16" s="251">
        <f t="shared" si="48"/>
        <v>0</v>
      </c>
      <c r="CB16" s="251">
        <f t="shared" si="49"/>
        <v>0</v>
      </c>
      <c r="CC16" s="251">
        <f t="shared" si="50"/>
        <v>0</v>
      </c>
      <c r="CD16" s="251">
        <f t="shared" si="83"/>
        <v>0</v>
      </c>
      <c r="CE16" s="251">
        <f t="shared" si="84"/>
        <v>0</v>
      </c>
      <c r="CF16" s="251">
        <f t="shared" si="85"/>
        <v>0</v>
      </c>
      <c r="CG16" s="251">
        <f t="shared" si="86"/>
        <v>0</v>
      </c>
      <c r="CH16" s="251">
        <f t="shared" si="51"/>
        <v>0</v>
      </c>
      <c r="CI16" s="251">
        <f t="shared" si="52"/>
        <v>0</v>
      </c>
      <c r="CJ16" s="251">
        <f t="shared" si="87"/>
        <v>0</v>
      </c>
      <c r="CK16" s="251">
        <f t="shared" si="88"/>
        <v>0</v>
      </c>
      <c r="CL16" s="251">
        <f t="shared" si="53"/>
        <v>0</v>
      </c>
      <c r="CM16" s="251">
        <f t="shared" si="54"/>
        <v>0</v>
      </c>
      <c r="CN16" s="251">
        <f t="shared" si="55"/>
        <v>0</v>
      </c>
      <c r="CO16" s="251">
        <f t="shared" si="56"/>
        <v>0</v>
      </c>
      <c r="CP16" s="251">
        <f t="shared" si="89"/>
        <v>0</v>
      </c>
      <c r="CQ16" s="251">
        <f t="shared" si="90"/>
        <v>0</v>
      </c>
      <c r="CR16" s="251">
        <f t="shared" si="91"/>
        <v>0</v>
      </c>
      <c r="CS16" s="251">
        <f t="shared" si="92"/>
        <v>0</v>
      </c>
      <c r="CT16" s="251">
        <f t="shared" si="57"/>
        <v>0</v>
      </c>
      <c r="CU16" s="251">
        <f t="shared" si="58"/>
        <v>0</v>
      </c>
      <c r="CV16" s="251">
        <f t="shared" si="59"/>
        <v>0</v>
      </c>
      <c r="CW16" s="251">
        <f t="shared" si="60"/>
        <v>0</v>
      </c>
      <c r="CX16" s="251">
        <f t="shared" si="93"/>
        <v>0</v>
      </c>
      <c r="CY16" s="251">
        <f t="shared" si="94"/>
        <v>0</v>
      </c>
      <c r="CZ16" s="251">
        <f t="shared" si="95"/>
        <v>0</v>
      </c>
      <c r="DA16" s="251">
        <f t="shared" si="96"/>
        <v>0</v>
      </c>
    </row>
    <row r="17" spans="1:105" s="248" customFormat="1" ht="16.5" customHeight="1">
      <c r="A17" s="58" t="str">
        <f t="array" ref="A17">IF(C17&lt;&gt;0,SUM(($C$11:C17&lt;&gt;0)*1),"")</f>
        <v/>
      </c>
      <c r="B17" s="249"/>
      <c r="C17" s="249"/>
      <c r="D17" s="249"/>
      <c r="E17" s="326"/>
      <c r="F17" s="300"/>
      <c r="G17" s="302"/>
      <c r="H17" s="302"/>
      <c r="I17" s="58" t="str">
        <f t="shared" si="0"/>
        <v/>
      </c>
      <c r="J17" s="251">
        <f t="shared" si="61"/>
        <v>0</v>
      </c>
      <c r="K17" s="251">
        <f t="shared" si="62"/>
        <v>0</v>
      </c>
      <c r="L17" s="251">
        <f t="shared" si="1"/>
        <v>0</v>
      </c>
      <c r="M17" s="251">
        <f t="shared" si="2"/>
        <v>0</v>
      </c>
      <c r="N17" s="251">
        <f t="shared" si="3"/>
        <v>0</v>
      </c>
      <c r="O17" s="251">
        <f t="shared" si="4"/>
        <v>0</v>
      </c>
      <c r="P17" s="251">
        <f t="shared" si="5"/>
        <v>0</v>
      </c>
      <c r="Q17" s="251">
        <f t="shared" si="6"/>
        <v>0</v>
      </c>
      <c r="R17" s="251">
        <f t="shared" si="7"/>
        <v>0</v>
      </c>
      <c r="S17" s="251">
        <f t="shared" si="8"/>
        <v>0</v>
      </c>
      <c r="T17" s="251">
        <f t="shared" si="9"/>
        <v>0</v>
      </c>
      <c r="U17" s="251">
        <f t="shared" si="10"/>
        <v>0</v>
      </c>
      <c r="V17" s="251">
        <f t="shared" si="11"/>
        <v>0</v>
      </c>
      <c r="W17" s="251">
        <f t="shared" si="12"/>
        <v>0</v>
      </c>
      <c r="X17" s="251">
        <f t="shared" si="13"/>
        <v>0</v>
      </c>
      <c r="Y17" s="251">
        <f t="shared" si="14"/>
        <v>0</v>
      </c>
      <c r="Z17" s="251">
        <f t="shared" si="15"/>
        <v>0</v>
      </c>
      <c r="AA17" s="251">
        <f t="shared" si="16"/>
        <v>0</v>
      </c>
      <c r="AB17" s="251">
        <f t="shared" si="63"/>
        <v>0</v>
      </c>
      <c r="AC17" s="251">
        <f t="shared" si="64"/>
        <v>0</v>
      </c>
      <c r="AD17" s="251">
        <f t="shared" si="17"/>
        <v>0</v>
      </c>
      <c r="AE17" s="251">
        <f t="shared" si="18"/>
        <v>0</v>
      </c>
      <c r="AF17" s="251">
        <f t="shared" si="19"/>
        <v>0</v>
      </c>
      <c r="AG17" s="251">
        <f t="shared" si="20"/>
        <v>0</v>
      </c>
      <c r="AH17" s="251">
        <f t="shared" si="65"/>
        <v>0</v>
      </c>
      <c r="AI17" s="251">
        <f t="shared" si="66"/>
        <v>0</v>
      </c>
      <c r="AJ17" s="251">
        <f t="shared" si="67"/>
        <v>0</v>
      </c>
      <c r="AK17" s="251">
        <f t="shared" si="68"/>
        <v>0</v>
      </c>
      <c r="AL17" s="251">
        <f t="shared" si="69"/>
        <v>0</v>
      </c>
      <c r="AM17" s="251">
        <f t="shared" si="70"/>
        <v>0</v>
      </c>
      <c r="AN17" s="251">
        <f t="shared" si="71"/>
        <v>0</v>
      </c>
      <c r="AO17" s="251">
        <f t="shared" si="72"/>
        <v>0</v>
      </c>
      <c r="AP17" s="251">
        <f t="shared" si="21"/>
        <v>0</v>
      </c>
      <c r="AQ17" s="251">
        <f t="shared" si="22"/>
        <v>0</v>
      </c>
      <c r="AR17" s="251">
        <f t="shared" si="23"/>
        <v>0</v>
      </c>
      <c r="AS17" s="251">
        <f t="shared" si="24"/>
        <v>0</v>
      </c>
      <c r="AT17" s="251">
        <f t="shared" si="73"/>
        <v>0</v>
      </c>
      <c r="AU17" s="251">
        <f t="shared" si="74"/>
        <v>0</v>
      </c>
      <c r="AV17" s="251">
        <f t="shared" si="25"/>
        <v>0</v>
      </c>
      <c r="AW17" s="251">
        <f t="shared" si="26"/>
        <v>0</v>
      </c>
      <c r="AX17" s="251">
        <f t="shared" si="27"/>
        <v>0</v>
      </c>
      <c r="AY17" s="251">
        <f t="shared" si="28"/>
        <v>0</v>
      </c>
      <c r="AZ17" s="251">
        <f t="shared" si="29"/>
        <v>0</v>
      </c>
      <c r="BA17" s="251">
        <f t="shared" si="30"/>
        <v>0</v>
      </c>
      <c r="BB17" s="251">
        <f t="shared" si="31"/>
        <v>0</v>
      </c>
      <c r="BC17" s="251">
        <f t="shared" si="32"/>
        <v>0</v>
      </c>
      <c r="BD17" s="251">
        <f t="shared" si="33"/>
        <v>0</v>
      </c>
      <c r="BE17" s="251">
        <f t="shared" si="34"/>
        <v>0</v>
      </c>
      <c r="BF17" s="251">
        <f t="shared" si="35"/>
        <v>0</v>
      </c>
      <c r="BG17" s="251">
        <f t="shared" si="36"/>
        <v>0</v>
      </c>
      <c r="BH17" s="251">
        <f t="shared" si="75"/>
        <v>0</v>
      </c>
      <c r="BI17" s="251">
        <f t="shared" si="76"/>
        <v>0</v>
      </c>
      <c r="BJ17" s="251">
        <f t="shared" si="37"/>
        <v>0</v>
      </c>
      <c r="BK17" s="251">
        <f t="shared" si="38"/>
        <v>0</v>
      </c>
      <c r="BL17" s="251">
        <f t="shared" si="39"/>
        <v>0</v>
      </c>
      <c r="BM17" s="251">
        <f t="shared" si="40"/>
        <v>0</v>
      </c>
      <c r="BN17" s="251">
        <f t="shared" si="41"/>
        <v>0</v>
      </c>
      <c r="BO17" s="251">
        <f t="shared" si="42"/>
        <v>0</v>
      </c>
      <c r="BP17" s="251">
        <f t="shared" si="77"/>
        <v>0</v>
      </c>
      <c r="BQ17" s="251">
        <f t="shared" si="78"/>
        <v>0</v>
      </c>
      <c r="BR17" s="251">
        <f t="shared" si="43"/>
        <v>0</v>
      </c>
      <c r="BS17" s="251">
        <f t="shared" si="44"/>
        <v>0</v>
      </c>
      <c r="BT17" s="251">
        <f t="shared" si="79"/>
        <v>0</v>
      </c>
      <c r="BU17" s="251">
        <f t="shared" si="80"/>
        <v>0</v>
      </c>
      <c r="BV17" s="251">
        <f t="shared" si="81"/>
        <v>0</v>
      </c>
      <c r="BW17" s="251">
        <f t="shared" si="82"/>
        <v>0</v>
      </c>
      <c r="BX17" s="251">
        <f t="shared" si="45"/>
        <v>0</v>
      </c>
      <c r="BY17" s="251">
        <f t="shared" si="46"/>
        <v>0</v>
      </c>
      <c r="BZ17" s="251">
        <f t="shared" si="47"/>
        <v>0</v>
      </c>
      <c r="CA17" s="251">
        <f t="shared" si="48"/>
        <v>0</v>
      </c>
      <c r="CB17" s="251">
        <f t="shared" si="49"/>
        <v>0</v>
      </c>
      <c r="CC17" s="251">
        <f t="shared" si="50"/>
        <v>0</v>
      </c>
      <c r="CD17" s="251">
        <f t="shared" si="83"/>
        <v>0</v>
      </c>
      <c r="CE17" s="251">
        <f t="shared" si="84"/>
        <v>0</v>
      </c>
      <c r="CF17" s="251">
        <f t="shared" si="85"/>
        <v>0</v>
      </c>
      <c r="CG17" s="251">
        <f t="shared" si="86"/>
        <v>0</v>
      </c>
      <c r="CH17" s="251">
        <f t="shared" si="51"/>
        <v>0</v>
      </c>
      <c r="CI17" s="251">
        <f t="shared" si="52"/>
        <v>0</v>
      </c>
      <c r="CJ17" s="251">
        <f t="shared" si="87"/>
        <v>0</v>
      </c>
      <c r="CK17" s="251">
        <f t="shared" si="88"/>
        <v>0</v>
      </c>
      <c r="CL17" s="251">
        <f t="shared" si="53"/>
        <v>0</v>
      </c>
      <c r="CM17" s="251">
        <f t="shared" si="54"/>
        <v>0</v>
      </c>
      <c r="CN17" s="251">
        <f t="shared" si="55"/>
        <v>0</v>
      </c>
      <c r="CO17" s="251">
        <f t="shared" si="56"/>
        <v>0</v>
      </c>
      <c r="CP17" s="251">
        <f t="shared" si="89"/>
        <v>0</v>
      </c>
      <c r="CQ17" s="251">
        <f t="shared" si="90"/>
        <v>0</v>
      </c>
      <c r="CR17" s="251">
        <f t="shared" si="91"/>
        <v>0</v>
      </c>
      <c r="CS17" s="251">
        <f t="shared" si="92"/>
        <v>0</v>
      </c>
      <c r="CT17" s="251">
        <f t="shared" si="57"/>
        <v>0</v>
      </c>
      <c r="CU17" s="251">
        <f t="shared" si="58"/>
        <v>0</v>
      </c>
      <c r="CV17" s="251">
        <f t="shared" si="59"/>
        <v>0</v>
      </c>
      <c r="CW17" s="251">
        <f t="shared" si="60"/>
        <v>0</v>
      </c>
      <c r="CX17" s="251">
        <f t="shared" si="93"/>
        <v>0</v>
      </c>
      <c r="CY17" s="251">
        <f t="shared" si="94"/>
        <v>0</v>
      </c>
      <c r="CZ17" s="251">
        <f t="shared" si="95"/>
        <v>0</v>
      </c>
      <c r="DA17" s="251">
        <f t="shared" si="96"/>
        <v>0</v>
      </c>
    </row>
    <row r="18" spans="1:105" s="248" customFormat="1" ht="16.5" customHeight="1">
      <c r="A18" s="58" t="str">
        <f t="array" ref="A18">IF(C18&lt;&gt;0,SUM(($C$11:C18&lt;&gt;0)*1),"")</f>
        <v/>
      </c>
      <c r="B18" s="249"/>
      <c r="C18" s="249"/>
      <c r="D18" s="249"/>
      <c r="E18" s="326"/>
      <c r="F18" s="300"/>
      <c r="G18" s="302"/>
      <c r="H18" s="302"/>
      <c r="I18" s="58" t="str">
        <f t="shared" si="0"/>
        <v/>
      </c>
      <c r="J18" s="251">
        <f t="shared" si="61"/>
        <v>0</v>
      </c>
      <c r="K18" s="251">
        <f t="shared" si="62"/>
        <v>0</v>
      </c>
      <c r="L18" s="251">
        <f t="shared" si="1"/>
        <v>0</v>
      </c>
      <c r="M18" s="251">
        <f t="shared" si="2"/>
        <v>0</v>
      </c>
      <c r="N18" s="251">
        <f t="shared" si="3"/>
        <v>0</v>
      </c>
      <c r="O18" s="251">
        <f t="shared" si="4"/>
        <v>0</v>
      </c>
      <c r="P18" s="251">
        <f t="shared" si="5"/>
        <v>0</v>
      </c>
      <c r="Q18" s="251">
        <f t="shared" si="6"/>
        <v>0</v>
      </c>
      <c r="R18" s="251">
        <f t="shared" si="7"/>
        <v>0</v>
      </c>
      <c r="S18" s="251">
        <f t="shared" si="8"/>
        <v>0</v>
      </c>
      <c r="T18" s="251">
        <f t="shared" si="9"/>
        <v>0</v>
      </c>
      <c r="U18" s="251">
        <f t="shared" si="10"/>
        <v>0</v>
      </c>
      <c r="V18" s="251">
        <f t="shared" si="11"/>
        <v>0</v>
      </c>
      <c r="W18" s="251">
        <f t="shared" si="12"/>
        <v>0</v>
      </c>
      <c r="X18" s="251">
        <f t="shared" si="13"/>
        <v>0</v>
      </c>
      <c r="Y18" s="251">
        <f t="shared" si="14"/>
        <v>0</v>
      </c>
      <c r="Z18" s="251">
        <f t="shared" si="15"/>
        <v>0</v>
      </c>
      <c r="AA18" s="251">
        <f t="shared" si="16"/>
        <v>0</v>
      </c>
      <c r="AB18" s="251">
        <f t="shared" si="63"/>
        <v>0</v>
      </c>
      <c r="AC18" s="251">
        <f t="shared" si="64"/>
        <v>0</v>
      </c>
      <c r="AD18" s="251">
        <f t="shared" si="17"/>
        <v>0</v>
      </c>
      <c r="AE18" s="251">
        <f t="shared" si="18"/>
        <v>0</v>
      </c>
      <c r="AF18" s="251">
        <f t="shared" si="19"/>
        <v>0</v>
      </c>
      <c r="AG18" s="251">
        <f t="shared" si="20"/>
        <v>0</v>
      </c>
      <c r="AH18" s="251">
        <f t="shared" si="65"/>
        <v>0</v>
      </c>
      <c r="AI18" s="251">
        <f t="shared" si="66"/>
        <v>0</v>
      </c>
      <c r="AJ18" s="251">
        <f t="shared" si="67"/>
        <v>0</v>
      </c>
      <c r="AK18" s="251">
        <f t="shared" si="68"/>
        <v>0</v>
      </c>
      <c r="AL18" s="251">
        <f t="shared" si="69"/>
        <v>0</v>
      </c>
      <c r="AM18" s="251">
        <f t="shared" si="70"/>
        <v>0</v>
      </c>
      <c r="AN18" s="251">
        <f t="shared" si="71"/>
        <v>0</v>
      </c>
      <c r="AO18" s="251">
        <f t="shared" si="72"/>
        <v>0</v>
      </c>
      <c r="AP18" s="251">
        <f t="shared" si="21"/>
        <v>0</v>
      </c>
      <c r="AQ18" s="251">
        <f t="shared" si="22"/>
        <v>0</v>
      </c>
      <c r="AR18" s="251">
        <f t="shared" si="23"/>
        <v>0</v>
      </c>
      <c r="AS18" s="251">
        <f t="shared" si="24"/>
        <v>0</v>
      </c>
      <c r="AT18" s="251">
        <f t="shared" si="73"/>
        <v>0</v>
      </c>
      <c r="AU18" s="251">
        <f t="shared" si="74"/>
        <v>0</v>
      </c>
      <c r="AV18" s="251">
        <f t="shared" si="25"/>
        <v>0</v>
      </c>
      <c r="AW18" s="251">
        <f t="shared" si="26"/>
        <v>0</v>
      </c>
      <c r="AX18" s="251">
        <f t="shared" si="27"/>
        <v>0</v>
      </c>
      <c r="AY18" s="251">
        <f t="shared" si="28"/>
        <v>0</v>
      </c>
      <c r="AZ18" s="251">
        <f t="shared" si="29"/>
        <v>0</v>
      </c>
      <c r="BA18" s="251">
        <f t="shared" si="30"/>
        <v>0</v>
      </c>
      <c r="BB18" s="251">
        <f t="shared" si="31"/>
        <v>0</v>
      </c>
      <c r="BC18" s="251">
        <f t="shared" si="32"/>
        <v>0</v>
      </c>
      <c r="BD18" s="251">
        <f t="shared" si="33"/>
        <v>0</v>
      </c>
      <c r="BE18" s="251">
        <f t="shared" si="34"/>
        <v>0</v>
      </c>
      <c r="BF18" s="251">
        <f t="shared" si="35"/>
        <v>0</v>
      </c>
      <c r="BG18" s="251">
        <f t="shared" si="36"/>
        <v>0</v>
      </c>
      <c r="BH18" s="251">
        <f t="shared" si="75"/>
        <v>0</v>
      </c>
      <c r="BI18" s="251">
        <f t="shared" si="76"/>
        <v>0</v>
      </c>
      <c r="BJ18" s="251">
        <f t="shared" si="37"/>
        <v>0</v>
      </c>
      <c r="BK18" s="251">
        <f t="shared" si="38"/>
        <v>0</v>
      </c>
      <c r="BL18" s="251">
        <f t="shared" si="39"/>
        <v>0</v>
      </c>
      <c r="BM18" s="251">
        <f t="shared" si="40"/>
        <v>0</v>
      </c>
      <c r="BN18" s="251">
        <f t="shared" si="41"/>
        <v>0</v>
      </c>
      <c r="BO18" s="251">
        <f t="shared" si="42"/>
        <v>0</v>
      </c>
      <c r="BP18" s="251">
        <f t="shared" si="77"/>
        <v>0</v>
      </c>
      <c r="BQ18" s="251">
        <f t="shared" si="78"/>
        <v>0</v>
      </c>
      <c r="BR18" s="251">
        <f t="shared" si="43"/>
        <v>0</v>
      </c>
      <c r="BS18" s="251">
        <f t="shared" si="44"/>
        <v>0</v>
      </c>
      <c r="BT18" s="251">
        <f t="shared" si="79"/>
        <v>0</v>
      </c>
      <c r="BU18" s="251">
        <f t="shared" si="80"/>
        <v>0</v>
      </c>
      <c r="BV18" s="251">
        <f t="shared" si="81"/>
        <v>0</v>
      </c>
      <c r="BW18" s="251">
        <f t="shared" si="82"/>
        <v>0</v>
      </c>
      <c r="BX18" s="251">
        <f t="shared" si="45"/>
        <v>0</v>
      </c>
      <c r="BY18" s="251">
        <f t="shared" si="46"/>
        <v>0</v>
      </c>
      <c r="BZ18" s="251">
        <f t="shared" si="47"/>
        <v>0</v>
      </c>
      <c r="CA18" s="251">
        <f t="shared" si="48"/>
        <v>0</v>
      </c>
      <c r="CB18" s="251">
        <f t="shared" si="49"/>
        <v>0</v>
      </c>
      <c r="CC18" s="251">
        <f t="shared" si="50"/>
        <v>0</v>
      </c>
      <c r="CD18" s="251">
        <f t="shared" si="83"/>
        <v>0</v>
      </c>
      <c r="CE18" s="251">
        <f t="shared" si="84"/>
        <v>0</v>
      </c>
      <c r="CF18" s="251">
        <f t="shared" si="85"/>
        <v>0</v>
      </c>
      <c r="CG18" s="251">
        <f t="shared" si="86"/>
        <v>0</v>
      </c>
      <c r="CH18" s="251">
        <f t="shared" si="51"/>
        <v>0</v>
      </c>
      <c r="CI18" s="251">
        <f t="shared" si="52"/>
        <v>0</v>
      </c>
      <c r="CJ18" s="251">
        <f t="shared" si="87"/>
        <v>0</v>
      </c>
      <c r="CK18" s="251">
        <f t="shared" si="88"/>
        <v>0</v>
      </c>
      <c r="CL18" s="251">
        <f t="shared" si="53"/>
        <v>0</v>
      </c>
      <c r="CM18" s="251">
        <f t="shared" si="54"/>
        <v>0</v>
      </c>
      <c r="CN18" s="251">
        <f t="shared" si="55"/>
        <v>0</v>
      </c>
      <c r="CO18" s="251">
        <f t="shared" si="56"/>
        <v>0</v>
      </c>
      <c r="CP18" s="251">
        <f t="shared" si="89"/>
        <v>0</v>
      </c>
      <c r="CQ18" s="251">
        <f t="shared" si="90"/>
        <v>0</v>
      </c>
      <c r="CR18" s="251">
        <f t="shared" si="91"/>
        <v>0</v>
      </c>
      <c r="CS18" s="251">
        <f t="shared" si="92"/>
        <v>0</v>
      </c>
      <c r="CT18" s="251">
        <f t="shared" si="57"/>
        <v>0</v>
      </c>
      <c r="CU18" s="251">
        <f t="shared" si="58"/>
        <v>0</v>
      </c>
      <c r="CV18" s="251">
        <f t="shared" si="59"/>
        <v>0</v>
      </c>
      <c r="CW18" s="251">
        <f t="shared" si="60"/>
        <v>0</v>
      </c>
      <c r="CX18" s="251">
        <f t="shared" si="93"/>
        <v>0</v>
      </c>
      <c r="CY18" s="251">
        <f t="shared" si="94"/>
        <v>0</v>
      </c>
      <c r="CZ18" s="251">
        <f t="shared" si="95"/>
        <v>0</v>
      </c>
      <c r="DA18" s="251">
        <f t="shared" si="96"/>
        <v>0</v>
      </c>
    </row>
    <row r="19" spans="1:105" s="248" customFormat="1" ht="16.5" customHeight="1">
      <c r="A19" s="58" t="str">
        <f t="array" ref="A19">IF(C19&lt;&gt;0,SUM(($C$11:C19&lt;&gt;0)*1),"")</f>
        <v/>
      </c>
      <c r="B19" s="249"/>
      <c r="C19" s="249"/>
      <c r="D19" s="249"/>
      <c r="E19" s="326"/>
      <c r="F19" s="300"/>
      <c r="G19" s="302"/>
      <c r="H19" s="302"/>
      <c r="I19" s="58" t="str">
        <f t="shared" si="0"/>
        <v/>
      </c>
      <c r="J19" s="251">
        <f t="shared" si="61"/>
        <v>0</v>
      </c>
      <c r="K19" s="251">
        <f t="shared" si="62"/>
        <v>0</v>
      </c>
      <c r="L19" s="251">
        <f t="shared" si="1"/>
        <v>0</v>
      </c>
      <c r="M19" s="251">
        <f t="shared" si="2"/>
        <v>0</v>
      </c>
      <c r="N19" s="251">
        <f t="shared" si="3"/>
        <v>0</v>
      </c>
      <c r="O19" s="251">
        <f t="shared" si="4"/>
        <v>0</v>
      </c>
      <c r="P19" s="251">
        <f t="shared" si="5"/>
        <v>0</v>
      </c>
      <c r="Q19" s="251">
        <f t="shared" si="6"/>
        <v>0</v>
      </c>
      <c r="R19" s="251">
        <f t="shared" si="7"/>
        <v>0</v>
      </c>
      <c r="S19" s="251">
        <f t="shared" si="8"/>
        <v>0</v>
      </c>
      <c r="T19" s="251">
        <f t="shared" si="9"/>
        <v>0</v>
      </c>
      <c r="U19" s="251">
        <f t="shared" si="10"/>
        <v>0</v>
      </c>
      <c r="V19" s="251">
        <f t="shared" si="11"/>
        <v>0</v>
      </c>
      <c r="W19" s="251">
        <f t="shared" si="12"/>
        <v>0</v>
      </c>
      <c r="X19" s="251">
        <f t="shared" si="13"/>
        <v>0</v>
      </c>
      <c r="Y19" s="251">
        <f t="shared" si="14"/>
        <v>0</v>
      </c>
      <c r="Z19" s="251">
        <f t="shared" si="15"/>
        <v>0</v>
      </c>
      <c r="AA19" s="251">
        <f t="shared" si="16"/>
        <v>0</v>
      </c>
      <c r="AB19" s="251">
        <f t="shared" si="63"/>
        <v>0</v>
      </c>
      <c r="AC19" s="251">
        <f t="shared" si="64"/>
        <v>0</v>
      </c>
      <c r="AD19" s="251">
        <f t="shared" si="17"/>
        <v>0</v>
      </c>
      <c r="AE19" s="251">
        <f t="shared" si="18"/>
        <v>0</v>
      </c>
      <c r="AF19" s="251">
        <f t="shared" si="19"/>
        <v>0</v>
      </c>
      <c r="AG19" s="251">
        <f t="shared" si="20"/>
        <v>0</v>
      </c>
      <c r="AH19" s="251">
        <f t="shared" si="65"/>
        <v>0</v>
      </c>
      <c r="AI19" s="251">
        <f t="shared" si="66"/>
        <v>0</v>
      </c>
      <c r="AJ19" s="251">
        <f t="shared" si="67"/>
        <v>0</v>
      </c>
      <c r="AK19" s="251">
        <f t="shared" si="68"/>
        <v>0</v>
      </c>
      <c r="AL19" s="251">
        <f t="shared" si="69"/>
        <v>0</v>
      </c>
      <c r="AM19" s="251">
        <f t="shared" si="70"/>
        <v>0</v>
      </c>
      <c r="AN19" s="251">
        <f t="shared" si="71"/>
        <v>0</v>
      </c>
      <c r="AO19" s="251">
        <f t="shared" si="72"/>
        <v>0</v>
      </c>
      <c r="AP19" s="251">
        <f t="shared" si="21"/>
        <v>0</v>
      </c>
      <c r="AQ19" s="251">
        <f t="shared" si="22"/>
        <v>0</v>
      </c>
      <c r="AR19" s="251">
        <f t="shared" si="23"/>
        <v>0</v>
      </c>
      <c r="AS19" s="251">
        <f t="shared" si="24"/>
        <v>0</v>
      </c>
      <c r="AT19" s="251">
        <f t="shared" si="73"/>
        <v>0</v>
      </c>
      <c r="AU19" s="251">
        <f t="shared" si="74"/>
        <v>0</v>
      </c>
      <c r="AV19" s="251">
        <f t="shared" si="25"/>
        <v>0</v>
      </c>
      <c r="AW19" s="251">
        <f t="shared" si="26"/>
        <v>0</v>
      </c>
      <c r="AX19" s="251">
        <f t="shared" si="27"/>
        <v>0</v>
      </c>
      <c r="AY19" s="251">
        <f t="shared" si="28"/>
        <v>0</v>
      </c>
      <c r="AZ19" s="251">
        <f t="shared" si="29"/>
        <v>0</v>
      </c>
      <c r="BA19" s="251">
        <f t="shared" si="30"/>
        <v>0</v>
      </c>
      <c r="BB19" s="251">
        <f t="shared" si="31"/>
        <v>0</v>
      </c>
      <c r="BC19" s="251">
        <f t="shared" si="32"/>
        <v>0</v>
      </c>
      <c r="BD19" s="251">
        <f t="shared" si="33"/>
        <v>0</v>
      </c>
      <c r="BE19" s="251">
        <f t="shared" si="34"/>
        <v>0</v>
      </c>
      <c r="BF19" s="251">
        <f t="shared" si="35"/>
        <v>0</v>
      </c>
      <c r="BG19" s="251">
        <f t="shared" si="36"/>
        <v>0</v>
      </c>
      <c r="BH19" s="251">
        <f t="shared" si="75"/>
        <v>0</v>
      </c>
      <c r="BI19" s="251">
        <f t="shared" si="76"/>
        <v>0</v>
      </c>
      <c r="BJ19" s="251">
        <f t="shared" si="37"/>
        <v>0</v>
      </c>
      <c r="BK19" s="251">
        <f t="shared" si="38"/>
        <v>0</v>
      </c>
      <c r="BL19" s="251">
        <f t="shared" si="39"/>
        <v>0</v>
      </c>
      <c r="BM19" s="251">
        <f t="shared" si="40"/>
        <v>0</v>
      </c>
      <c r="BN19" s="251">
        <f t="shared" si="41"/>
        <v>0</v>
      </c>
      <c r="BO19" s="251">
        <f t="shared" si="42"/>
        <v>0</v>
      </c>
      <c r="BP19" s="251">
        <f t="shared" si="77"/>
        <v>0</v>
      </c>
      <c r="BQ19" s="251">
        <f t="shared" si="78"/>
        <v>0</v>
      </c>
      <c r="BR19" s="251">
        <f t="shared" si="43"/>
        <v>0</v>
      </c>
      <c r="BS19" s="251">
        <f t="shared" si="44"/>
        <v>0</v>
      </c>
      <c r="BT19" s="251">
        <f t="shared" si="79"/>
        <v>0</v>
      </c>
      <c r="BU19" s="251">
        <f t="shared" si="80"/>
        <v>0</v>
      </c>
      <c r="BV19" s="251">
        <f t="shared" si="81"/>
        <v>0</v>
      </c>
      <c r="BW19" s="251">
        <f t="shared" si="82"/>
        <v>0</v>
      </c>
      <c r="BX19" s="251">
        <f t="shared" si="45"/>
        <v>0</v>
      </c>
      <c r="BY19" s="251">
        <f t="shared" si="46"/>
        <v>0</v>
      </c>
      <c r="BZ19" s="251">
        <f t="shared" si="47"/>
        <v>0</v>
      </c>
      <c r="CA19" s="251">
        <f t="shared" si="48"/>
        <v>0</v>
      </c>
      <c r="CB19" s="251">
        <f t="shared" si="49"/>
        <v>0</v>
      </c>
      <c r="CC19" s="251">
        <f t="shared" si="50"/>
        <v>0</v>
      </c>
      <c r="CD19" s="251">
        <f t="shared" si="83"/>
        <v>0</v>
      </c>
      <c r="CE19" s="251">
        <f t="shared" si="84"/>
        <v>0</v>
      </c>
      <c r="CF19" s="251">
        <f t="shared" si="85"/>
        <v>0</v>
      </c>
      <c r="CG19" s="251">
        <f t="shared" si="86"/>
        <v>0</v>
      </c>
      <c r="CH19" s="251">
        <f t="shared" si="51"/>
        <v>0</v>
      </c>
      <c r="CI19" s="251">
        <f t="shared" si="52"/>
        <v>0</v>
      </c>
      <c r="CJ19" s="251">
        <f t="shared" si="87"/>
        <v>0</v>
      </c>
      <c r="CK19" s="251">
        <f t="shared" si="88"/>
        <v>0</v>
      </c>
      <c r="CL19" s="251">
        <f t="shared" si="53"/>
        <v>0</v>
      </c>
      <c r="CM19" s="251">
        <f t="shared" si="54"/>
        <v>0</v>
      </c>
      <c r="CN19" s="251">
        <f t="shared" si="55"/>
        <v>0</v>
      </c>
      <c r="CO19" s="251">
        <f t="shared" si="56"/>
        <v>0</v>
      </c>
      <c r="CP19" s="251">
        <f t="shared" si="89"/>
        <v>0</v>
      </c>
      <c r="CQ19" s="251">
        <f t="shared" si="90"/>
        <v>0</v>
      </c>
      <c r="CR19" s="251">
        <f t="shared" si="91"/>
        <v>0</v>
      </c>
      <c r="CS19" s="251">
        <f t="shared" si="92"/>
        <v>0</v>
      </c>
      <c r="CT19" s="251">
        <f t="shared" si="57"/>
        <v>0</v>
      </c>
      <c r="CU19" s="251">
        <f t="shared" si="58"/>
        <v>0</v>
      </c>
      <c r="CV19" s="251">
        <f t="shared" si="59"/>
        <v>0</v>
      </c>
      <c r="CW19" s="251">
        <f t="shared" si="60"/>
        <v>0</v>
      </c>
      <c r="CX19" s="251">
        <f t="shared" si="93"/>
        <v>0</v>
      </c>
      <c r="CY19" s="251">
        <f t="shared" si="94"/>
        <v>0</v>
      </c>
      <c r="CZ19" s="251">
        <f t="shared" si="95"/>
        <v>0</v>
      </c>
      <c r="DA19" s="251">
        <f t="shared" si="96"/>
        <v>0</v>
      </c>
    </row>
    <row r="20" spans="1:105" s="248" customFormat="1" ht="16.5" customHeight="1">
      <c r="A20" s="58" t="str">
        <f t="array" ref="A20">IF(C20&lt;&gt;0,SUM(($C$11:C20&lt;&gt;0)*1),"")</f>
        <v/>
      </c>
      <c r="B20" s="249"/>
      <c r="C20" s="249"/>
      <c r="D20" s="249"/>
      <c r="E20" s="326"/>
      <c r="F20" s="300"/>
      <c r="G20" s="302"/>
      <c r="H20" s="302"/>
      <c r="I20" s="58" t="str">
        <f t="shared" si="0"/>
        <v/>
      </c>
      <c r="J20" s="251">
        <f t="shared" si="61"/>
        <v>0</v>
      </c>
      <c r="K20" s="251">
        <f t="shared" si="62"/>
        <v>0</v>
      </c>
      <c r="L20" s="251">
        <f t="shared" si="1"/>
        <v>0</v>
      </c>
      <c r="M20" s="251">
        <f t="shared" si="2"/>
        <v>0</v>
      </c>
      <c r="N20" s="251">
        <f t="shared" si="3"/>
        <v>0</v>
      </c>
      <c r="O20" s="251">
        <f t="shared" si="4"/>
        <v>0</v>
      </c>
      <c r="P20" s="251">
        <f t="shared" si="5"/>
        <v>0</v>
      </c>
      <c r="Q20" s="251">
        <f t="shared" si="6"/>
        <v>0</v>
      </c>
      <c r="R20" s="251">
        <f t="shared" si="7"/>
        <v>0</v>
      </c>
      <c r="S20" s="251">
        <f t="shared" si="8"/>
        <v>0</v>
      </c>
      <c r="T20" s="251">
        <f t="shared" si="9"/>
        <v>0</v>
      </c>
      <c r="U20" s="251">
        <f t="shared" si="10"/>
        <v>0</v>
      </c>
      <c r="V20" s="251">
        <f t="shared" si="11"/>
        <v>0</v>
      </c>
      <c r="W20" s="251">
        <f t="shared" si="12"/>
        <v>0</v>
      </c>
      <c r="X20" s="251">
        <f t="shared" si="13"/>
        <v>0</v>
      </c>
      <c r="Y20" s="251">
        <f t="shared" si="14"/>
        <v>0</v>
      </c>
      <c r="Z20" s="251">
        <f t="shared" si="15"/>
        <v>0</v>
      </c>
      <c r="AA20" s="251">
        <f t="shared" si="16"/>
        <v>0</v>
      </c>
      <c r="AB20" s="251">
        <f t="shared" si="63"/>
        <v>0</v>
      </c>
      <c r="AC20" s="251">
        <f t="shared" si="64"/>
        <v>0</v>
      </c>
      <c r="AD20" s="251">
        <f t="shared" si="17"/>
        <v>0</v>
      </c>
      <c r="AE20" s="251">
        <f t="shared" si="18"/>
        <v>0</v>
      </c>
      <c r="AF20" s="251">
        <f t="shared" si="19"/>
        <v>0</v>
      </c>
      <c r="AG20" s="251">
        <f t="shared" si="20"/>
        <v>0</v>
      </c>
      <c r="AH20" s="251">
        <f t="shared" si="65"/>
        <v>0</v>
      </c>
      <c r="AI20" s="251">
        <f t="shared" si="66"/>
        <v>0</v>
      </c>
      <c r="AJ20" s="251">
        <f t="shared" si="67"/>
        <v>0</v>
      </c>
      <c r="AK20" s="251">
        <f t="shared" si="68"/>
        <v>0</v>
      </c>
      <c r="AL20" s="251">
        <f t="shared" si="69"/>
        <v>0</v>
      </c>
      <c r="AM20" s="251">
        <f t="shared" si="70"/>
        <v>0</v>
      </c>
      <c r="AN20" s="251">
        <f t="shared" si="71"/>
        <v>0</v>
      </c>
      <c r="AO20" s="251">
        <f t="shared" si="72"/>
        <v>0</v>
      </c>
      <c r="AP20" s="251">
        <f t="shared" si="21"/>
        <v>0</v>
      </c>
      <c r="AQ20" s="251">
        <f t="shared" si="22"/>
        <v>0</v>
      </c>
      <c r="AR20" s="251">
        <f t="shared" si="23"/>
        <v>0</v>
      </c>
      <c r="AS20" s="251">
        <f t="shared" si="24"/>
        <v>0</v>
      </c>
      <c r="AT20" s="251">
        <f t="shared" si="73"/>
        <v>0</v>
      </c>
      <c r="AU20" s="251">
        <f t="shared" si="74"/>
        <v>0</v>
      </c>
      <c r="AV20" s="251">
        <f t="shared" si="25"/>
        <v>0</v>
      </c>
      <c r="AW20" s="251">
        <f t="shared" si="26"/>
        <v>0</v>
      </c>
      <c r="AX20" s="251">
        <f t="shared" si="27"/>
        <v>0</v>
      </c>
      <c r="AY20" s="251">
        <f t="shared" si="28"/>
        <v>0</v>
      </c>
      <c r="AZ20" s="251">
        <f t="shared" si="29"/>
        <v>0</v>
      </c>
      <c r="BA20" s="251">
        <f t="shared" si="30"/>
        <v>0</v>
      </c>
      <c r="BB20" s="251">
        <f t="shared" si="31"/>
        <v>0</v>
      </c>
      <c r="BC20" s="251">
        <f t="shared" si="32"/>
        <v>0</v>
      </c>
      <c r="BD20" s="251">
        <f t="shared" si="33"/>
        <v>0</v>
      </c>
      <c r="BE20" s="251">
        <f t="shared" si="34"/>
        <v>0</v>
      </c>
      <c r="BF20" s="251">
        <f t="shared" si="35"/>
        <v>0</v>
      </c>
      <c r="BG20" s="251">
        <f t="shared" si="36"/>
        <v>0</v>
      </c>
      <c r="BH20" s="251">
        <f t="shared" si="75"/>
        <v>0</v>
      </c>
      <c r="BI20" s="251">
        <f t="shared" si="76"/>
        <v>0</v>
      </c>
      <c r="BJ20" s="251">
        <f t="shared" si="37"/>
        <v>0</v>
      </c>
      <c r="BK20" s="251">
        <f t="shared" si="38"/>
        <v>0</v>
      </c>
      <c r="BL20" s="251">
        <f t="shared" si="39"/>
        <v>0</v>
      </c>
      <c r="BM20" s="251">
        <f t="shared" si="40"/>
        <v>0</v>
      </c>
      <c r="BN20" s="251">
        <f t="shared" si="41"/>
        <v>0</v>
      </c>
      <c r="BO20" s="251">
        <f t="shared" si="42"/>
        <v>0</v>
      </c>
      <c r="BP20" s="251">
        <f t="shared" si="77"/>
        <v>0</v>
      </c>
      <c r="BQ20" s="251">
        <f t="shared" si="78"/>
        <v>0</v>
      </c>
      <c r="BR20" s="251">
        <f t="shared" si="43"/>
        <v>0</v>
      </c>
      <c r="BS20" s="251">
        <f t="shared" si="44"/>
        <v>0</v>
      </c>
      <c r="BT20" s="251">
        <f t="shared" si="79"/>
        <v>0</v>
      </c>
      <c r="BU20" s="251">
        <f t="shared" si="80"/>
        <v>0</v>
      </c>
      <c r="BV20" s="251">
        <f t="shared" si="81"/>
        <v>0</v>
      </c>
      <c r="BW20" s="251">
        <f t="shared" si="82"/>
        <v>0</v>
      </c>
      <c r="BX20" s="251">
        <f t="shared" si="45"/>
        <v>0</v>
      </c>
      <c r="BY20" s="251">
        <f t="shared" si="46"/>
        <v>0</v>
      </c>
      <c r="BZ20" s="251">
        <f t="shared" si="47"/>
        <v>0</v>
      </c>
      <c r="CA20" s="251">
        <f t="shared" si="48"/>
        <v>0</v>
      </c>
      <c r="CB20" s="251">
        <f t="shared" si="49"/>
        <v>0</v>
      </c>
      <c r="CC20" s="251">
        <f t="shared" si="50"/>
        <v>0</v>
      </c>
      <c r="CD20" s="251">
        <f t="shared" si="83"/>
        <v>0</v>
      </c>
      <c r="CE20" s="251">
        <f t="shared" si="84"/>
        <v>0</v>
      </c>
      <c r="CF20" s="251">
        <f t="shared" si="85"/>
        <v>0</v>
      </c>
      <c r="CG20" s="251">
        <f t="shared" si="86"/>
        <v>0</v>
      </c>
      <c r="CH20" s="251">
        <f t="shared" si="51"/>
        <v>0</v>
      </c>
      <c r="CI20" s="251">
        <f t="shared" si="52"/>
        <v>0</v>
      </c>
      <c r="CJ20" s="251">
        <f t="shared" si="87"/>
        <v>0</v>
      </c>
      <c r="CK20" s="251">
        <f t="shared" si="88"/>
        <v>0</v>
      </c>
      <c r="CL20" s="251">
        <f t="shared" si="53"/>
        <v>0</v>
      </c>
      <c r="CM20" s="251">
        <f t="shared" si="54"/>
        <v>0</v>
      </c>
      <c r="CN20" s="251">
        <f t="shared" si="55"/>
        <v>0</v>
      </c>
      <c r="CO20" s="251">
        <f t="shared" si="56"/>
        <v>0</v>
      </c>
      <c r="CP20" s="251">
        <f t="shared" si="89"/>
        <v>0</v>
      </c>
      <c r="CQ20" s="251">
        <f t="shared" si="90"/>
        <v>0</v>
      </c>
      <c r="CR20" s="251">
        <f t="shared" si="91"/>
        <v>0</v>
      </c>
      <c r="CS20" s="251">
        <f t="shared" si="92"/>
        <v>0</v>
      </c>
      <c r="CT20" s="251">
        <f t="shared" si="57"/>
        <v>0</v>
      </c>
      <c r="CU20" s="251">
        <f t="shared" si="58"/>
        <v>0</v>
      </c>
      <c r="CV20" s="251">
        <f t="shared" si="59"/>
        <v>0</v>
      </c>
      <c r="CW20" s="251">
        <f t="shared" si="60"/>
        <v>0</v>
      </c>
      <c r="CX20" s="251">
        <f t="shared" si="93"/>
        <v>0</v>
      </c>
      <c r="CY20" s="251">
        <f t="shared" si="94"/>
        <v>0</v>
      </c>
      <c r="CZ20" s="251">
        <f t="shared" si="95"/>
        <v>0</v>
      </c>
      <c r="DA20" s="251">
        <f t="shared" si="96"/>
        <v>0</v>
      </c>
    </row>
    <row r="21" spans="1:105" s="248" customFormat="1" ht="16.5" customHeight="1">
      <c r="A21" s="58" t="str">
        <f t="array" ref="A21">IF(C21&lt;&gt;0,SUM(($C$11:C21&lt;&gt;0)*1),"")</f>
        <v/>
      </c>
      <c r="B21" s="249"/>
      <c r="C21" s="249"/>
      <c r="D21" s="249"/>
      <c r="E21" s="326"/>
      <c r="F21" s="300"/>
      <c r="G21" s="302"/>
      <c r="H21" s="302"/>
      <c r="I21" s="58" t="str">
        <f t="shared" si="0"/>
        <v/>
      </c>
      <c r="J21" s="251">
        <f t="shared" si="61"/>
        <v>0</v>
      </c>
      <c r="K21" s="251">
        <f t="shared" si="62"/>
        <v>0</v>
      </c>
      <c r="L21" s="251">
        <f t="shared" si="1"/>
        <v>0</v>
      </c>
      <c r="M21" s="251">
        <f t="shared" si="2"/>
        <v>0</v>
      </c>
      <c r="N21" s="251">
        <f t="shared" si="3"/>
        <v>0</v>
      </c>
      <c r="O21" s="251">
        <f t="shared" si="4"/>
        <v>0</v>
      </c>
      <c r="P21" s="251">
        <f t="shared" si="5"/>
        <v>0</v>
      </c>
      <c r="Q21" s="251">
        <f t="shared" si="6"/>
        <v>0</v>
      </c>
      <c r="R21" s="251">
        <f t="shared" si="7"/>
        <v>0</v>
      </c>
      <c r="S21" s="251">
        <f t="shared" si="8"/>
        <v>0</v>
      </c>
      <c r="T21" s="251">
        <f t="shared" si="9"/>
        <v>0</v>
      </c>
      <c r="U21" s="251">
        <f t="shared" si="10"/>
        <v>0</v>
      </c>
      <c r="V21" s="251">
        <f t="shared" si="11"/>
        <v>0</v>
      </c>
      <c r="W21" s="251">
        <f t="shared" si="12"/>
        <v>0</v>
      </c>
      <c r="X21" s="251">
        <f t="shared" si="13"/>
        <v>0</v>
      </c>
      <c r="Y21" s="251">
        <f t="shared" si="14"/>
        <v>0</v>
      </c>
      <c r="Z21" s="251">
        <f t="shared" si="15"/>
        <v>0</v>
      </c>
      <c r="AA21" s="251">
        <f t="shared" si="16"/>
        <v>0</v>
      </c>
      <c r="AB21" s="251">
        <f t="shared" si="63"/>
        <v>0</v>
      </c>
      <c r="AC21" s="251">
        <f t="shared" si="64"/>
        <v>0</v>
      </c>
      <c r="AD21" s="251">
        <f t="shared" si="17"/>
        <v>0</v>
      </c>
      <c r="AE21" s="251">
        <f t="shared" si="18"/>
        <v>0</v>
      </c>
      <c r="AF21" s="251">
        <f t="shared" si="19"/>
        <v>0</v>
      </c>
      <c r="AG21" s="251">
        <f t="shared" si="20"/>
        <v>0</v>
      </c>
      <c r="AH21" s="251">
        <f t="shared" si="65"/>
        <v>0</v>
      </c>
      <c r="AI21" s="251">
        <f t="shared" si="66"/>
        <v>0</v>
      </c>
      <c r="AJ21" s="251">
        <f t="shared" si="67"/>
        <v>0</v>
      </c>
      <c r="AK21" s="251">
        <f t="shared" si="68"/>
        <v>0</v>
      </c>
      <c r="AL21" s="251">
        <f t="shared" si="69"/>
        <v>0</v>
      </c>
      <c r="AM21" s="251">
        <f t="shared" si="70"/>
        <v>0</v>
      </c>
      <c r="AN21" s="251">
        <f t="shared" si="71"/>
        <v>0</v>
      </c>
      <c r="AO21" s="251">
        <f t="shared" si="72"/>
        <v>0</v>
      </c>
      <c r="AP21" s="251">
        <f t="shared" si="21"/>
        <v>0</v>
      </c>
      <c r="AQ21" s="251">
        <f t="shared" si="22"/>
        <v>0</v>
      </c>
      <c r="AR21" s="251">
        <f t="shared" si="23"/>
        <v>0</v>
      </c>
      <c r="AS21" s="251">
        <f t="shared" si="24"/>
        <v>0</v>
      </c>
      <c r="AT21" s="251">
        <f t="shared" si="73"/>
        <v>0</v>
      </c>
      <c r="AU21" s="251">
        <f t="shared" si="74"/>
        <v>0</v>
      </c>
      <c r="AV21" s="251">
        <f t="shared" si="25"/>
        <v>0</v>
      </c>
      <c r="AW21" s="251">
        <f t="shared" si="26"/>
        <v>0</v>
      </c>
      <c r="AX21" s="251">
        <f t="shared" si="27"/>
        <v>0</v>
      </c>
      <c r="AY21" s="251">
        <f t="shared" si="28"/>
        <v>0</v>
      </c>
      <c r="AZ21" s="251">
        <f t="shared" si="29"/>
        <v>0</v>
      </c>
      <c r="BA21" s="251">
        <f t="shared" si="30"/>
        <v>0</v>
      </c>
      <c r="BB21" s="251">
        <f t="shared" si="31"/>
        <v>0</v>
      </c>
      <c r="BC21" s="251">
        <f t="shared" si="32"/>
        <v>0</v>
      </c>
      <c r="BD21" s="251">
        <f t="shared" si="33"/>
        <v>0</v>
      </c>
      <c r="BE21" s="251">
        <f t="shared" si="34"/>
        <v>0</v>
      </c>
      <c r="BF21" s="251">
        <f t="shared" si="35"/>
        <v>0</v>
      </c>
      <c r="BG21" s="251">
        <f t="shared" si="36"/>
        <v>0</v>
      </c>
      <c r="BH21" s="251">
        <f t="shared" si="75"/>
        <v>0</v>
      </c>
      <c r="BI21" s="251">
        <f t="shared" si="76"/>
        <v>0</v>
      </c>
      <c r="BJ21" s="251">
        <f t="shared" si="37"/>
        <v>0</v>
      </c>
      <c r="BK21" s="251">
        <f t="shared" si="38"/>
        <v>0</v>
      </c>
      <c r="BL21" s="251">
        <f t="shared" si="39"/>
        <v>0</v>
      </c>
      <c r="BM21" s="251">
        <f t="shared" si="40"/>
        <v>0</v>
      </c>
      <c r="BN21" s="251">
        <f t="shared" si="41"/>
        <v>0</v>
      </c>
      <c r="BO21" s="251">
        <f t="shared" si="42"/>
        <v>0</v>
      </c>
      <c r="BP21" s="251">
        <f t="shared" si="77"/>
        <v>0</v>
      </c>
      <c r="BQ21" s="251">
        <f t="shared" si="78"/>
        <v>0</v>
      </c>
      <c r="BR21" s="251">
        <f t="shared" si="43"/>
        <v>0</v>
      </c>
      <c r="BS21" s="251">
        <f t="shared" si="44"/>
        <v>0</v>
      </c>
      <c r="BT21" s="251">
        <f t="shared" si="79"/>
        <v>0</v>
      </c>
      <c r="BU21" s="251">
        <f t="shared" si="80"/>
        <v>0</v>
      </c>
      <c r="BV21" s="251">
        <f t="shared" si="81"/>
        <v>0</v>
      </c>
      <c r="BW21" s="251">
        <f t="shared" si="82"/>
        <v>0</v>
      </c>
      <c r="BX21" s="251">
        <f t="shared" si="45"/>
        <v>0</v>
      </c>
      <c r="BY21" s="251">
        <f t="shared" si="46"/>
        <v>0</v>
      </c>
      <c r="BZ21" s="251">
        <f t="shared" si="47"/>
        <v>0</v>
      </c>
      <c r="CA21" s="251">
        <f t="shared" si="48"/>
        <v>0</v>
      </c>
      <c r="CB21" s="251">
        <f t="shared" si="49"/>
        <v>0</v>
      </c>
      <c r="CC21" s="251">
        <f t="shared" si="50"/>
        <v>0</v>
      </c>
      <c r="CD21" s="251">
        <f t="shared" si="83"/>
        <v>0</v>
      </c>
      <c r="CE21" s="251">
        <f t="shared" si="84"/>
        <v>0</v>
      </c>
      <c r="CF21" s="251">
        <f t="shared" si="85"/>
        <v>0</v>
      </c>
      <c r="CG21" s="251">
        <f t="shared" si="86"/>
        <v>0</v>
      </c>
      <c r="CH21" s="251">
        <f t="shared" si="51"/>
        <v>0</v>
      </c>
      <c r="CI21" s="251">
        <f t="shared" si="52"/>
        <v>0</v>
      </c>
      <c r="CJ21" s="251">
        <f t="shared" si="87"/>
        <v>0</v>
      </c>
      <c r="CK21" s="251">
        <f t="shared" si="88"/>
        <v>0</v>
      </c>
      <c r="CL21" s="251">
        <f t="shared" si="53"/>
        <v>0</v>
      </c>
      <c r="CM21" s="251">
        <f t="shared" si="54"/>
        <v>0</v>
      </c>
      <c r="CN21" s="251">
        <f t="shared" si="55"/>
        <v>0</v>
      </c>
      <c r="CO21" s="251">
        <f t="shared" si="56"/>
        <v>0</v>
      </c>
      <c r="CP21" s="251">
        <f t="shared" si="89"/>
        <v>0</v>
      </c>
      <c r="CQ21" s="251">
        <f t="shared" si="90"/>
        <v>0</v>
      </c>
      <c r="CR21" s="251">
        <f t="shared" si="91"/>
        <v>0</v>
      </c>
      <c r="CS21" s="251">
        <f t="shared" si="92"/>
        <v>0</v>
      </c>
      <c r="CT21" s="251">
        <f t="shared" si="57"/>
        <v>0</v>
      </c>
      <c r="CU21" s="251">
        <f t="shared" si="58"/>
        <v>0</v>
      </c>
      <c r="CV21" s="251">
        <f t="shared" si="59"/>
        <v>0</v>
      </c>
      <c r="CW21" s="251">
        <f t="shared" si="60"/>
        <v>0</v>
      </c>
      <c r="CX21" s="251">
        <f t="shared" si="93"/>
        <v>0</v>
      </c>
      <c r="CY21" s="251">
        <f t="shared" si="94"/>
        <v>0</v>
      </c>
      <c r="CZ21" s="251">
        <f t="shared" si="95"/>
        <v>0</v>
      </c>
      <c r="DA21" s="251">
        <f t="shared" si="96"/>
        <v>0</v>
      </c>
    </row>
    <row r="22" spans="1:105" s="248" customFormat="1" ht="16.5" customHeight="1">
      <c r="A22" s="58" t="str">
        <f t="array" ref="A22">IF(C22&lt;&gt;0,SUM(($C$11:C22&lt;&gt;0)*1),"")</f>
        <v/>
      </c>
      <c r="B22" s="249"/>
      <c r="C22" s="249"/>
      <c r="D22" s="249"/>
      <c r="E22" s="326"/>
      <c r="F22" s="300"/>
      <c r="G22" s="302"/>
      <c r="H22" s="302"/>
      <c r="I22" s="58" t="str">
        <f t="shared" si="0"/>
        <v/>
      </c>
      <c r="J22" s="251">
        <f t="shared" si="61"/>
        <v>0</v>
      </c>
      <c r="K22" s="251">
        <f t="shared" si="62"/>
        <v>0</v>
      </c>
      <c r="L22" s="251">
        <f t="shared" si="1"/>
        <v>0</v>
      </c>
      <c r="M22" s="251">
        <f t="shared" si="2"/>
        <v>0</v>
      </c>
      <c r="N22" s="251">
        <f t="shared" si="3"/>
        <v>0</v>
      </c>
      <c r="O22" s="251">
        <f t="shared" si="4"/>
        <v>0</v>
      </c>
      <c r="P22" s="251">
        <f t="shared" si="5"/>
        <v>0</v>
      </c>
      <c r="Q22" s="251">
        <f t="shared" si="6"/>
        <v>0</v>
      </c>
      <c r="R22" s="251">
        <f t="shared" si="7"/>
        <v>0</v>
      </c>
      <c r="S22" s="251">
        <f t="shared" si="8"/>
        <v>0</v>
      </c>
      <c r="T22" s="251">
        <f t="shared" si="9"/>
        <v>0</v>
      </c>
      <c r="U22" s="251">
        <f t="shared" si="10"/>
        <v>0</v>
      </c>
      <c r="V22" s="251">
        <f t="shared" si="11"/>
        <v>0</v>
      </c>
      <c r="W22" s="251">
        <f t="shared" si="12"/>
        <v>0</v>
      </c>
      <c r="X22" s="251">
        <f t="shared" si="13"/>
        <v>0</v>
      </c>
      <c r="Y22" s="251">
        <f t="shared" si="14"/>
        <v>0</v>
      </c>
      <c r="Z22" s="251">
        <f t="shared" si="15"/>
        <v>0</v>
      </c>
      <c r="AA22" s="251">
        <f t="shared" si="16"/>
        <v>0</v>
      </c>
      <c r="AB22" s="251">
        <f t="shared" si="63"/>
        <v>0</v>
      </c>
      <c r="AC22" s="251">
        <f t="shared" si="64"/>
        <v>0</v>
      </c>
      <c r="AD22" s="251">
        <f t="shared" si="17"/>
        <v>0</v>
      </c>
      <c r="AE22" s="251">
        <f t="shared" si="18"/>
        <v>0</v>
      </c>
      <c r="AF22" s="251">
        <f t="shared" si="19"/>
        <v>0</v>
      </c>
      <c r="AG22" s="251">
        <f t="shared" si="20"/>
        <v>0</v>
      </c>
      <c r="AH22" s="251">
        <f t="shared" si="65"/>
        <v>0</v>
      </c>
      <c r="AI22" s="251">
        <f t="shared" si="66"/>
        <v>0</v>
      </c>
      <c r="AJ22" s="251">
        <f t="shared" si="67"/>
        <v>0</v>
      </c>
      <c r="AK22" s="251">
        <f t="shared" si="68"/>
        <v>0</v>
      </c>
      <c r="AL22" s="251">
        <f t="shared" si="69"/>
        <v>0</v>
      </c>
      <c r="AM22" s="251">
        <f t="shared" si="70"/>
        <v>0</v>
      </c>
      <c r="AN22" s="251">
        <f t="shared" si="71"/>
        <v>0</v>
      </c>
      <c r="AO22" s="251">
        <f t="shared" si="72"/>
        <v>0</v>
      </c>
      <c r="AP22" s="251">
        <f t="shared" si="21"/>
        <v>0</v>
      </c>
      <c r="AQ22" s="251">
        <f t="shared" si="22"/>
        <v>0</v>
      </c>
      <c r="AR22" s="251">
        <f t="shared" si="23"/>
        <v>0</v>
      </c>
      <c r="AS22" s="251">
        <f t="shared" si="24"/>
        <v>0</v>
      </c>
      <c r="AT22" s="251">
        <f t="shared" si="73"/>
        <v>0</v>
      </c>
      <c r="AU22" s="251">
        <f t="shared" si="74"/>
        <v>0</v>
      </c>
      <c r="AV22" s="251">
        <f t="shared" si="25"/>
        <v>0</v>
      </c>
      <c r="AW22" s="251">
        <f t="shared" si="26"/>
        <v>0</v>
      </c>
      <c r="AX22" s="251">
        <f t="shared" si="27"/>
        <v>0</v>
      </c>
      <c r="AY22" s="251">
        <f t="shared" si="28"/>
        <v>0</v>
      </c>
      <c r="AZ22" s="251">
        <f t="shared" si="29"/>
        <v>0</v>
      </c>
      <c r="BA22" s="251">
        <f t="shared" si="30"/>
        <v>0</v>
      </c>
      <c r="BB22" s="251">
        <f t="shared" si="31"/>
        <v>0</v>
      </c>
      <c r="BC22" s="251">
        <f t="shared" si="32"/>
        <v>0</v>
      </c>
      <c r="BD22" s="251">
        <f t="shared" si="33"/>
        <v>0</v>
      </c>
      <c r="BE22" s="251">
        <f t="shared" si="34"/>
        <v>0</v>
      </c>
      <c r="BF22" s="251">
        <f t="shared" si="35"/>
        <v>0</v>
      </c>
      <c r="BG22" s="251">
        <f t="shared" si="36"/>
        <v>0</v>
      </c>
      <c r="BH22" s="251">
        <f t="shared" si="75"/>
        <v>0</v>
      </c>
      <c r="BI22" s="251">
        <f t="shared" si="76"/>
        <v>0</v>
      </c>
      <c r="BJ22" s="251">
        <f t="shared" si="37"/>
        <v>0</v>
      </c>
      <c r="BK22" s="251">
        <f t="shared" si="38"/>
        <v>0</v>
      </c>
      <c r="BL22" s="251">
        <f t="shared" si="39"/>
        <v>0</v>
      </c>
      <c r="BM22" s="251">
        <f t="shared" si="40"/>
        <v>0</v>
      </c>
      <c r="BN22" s="251">
        <f t="shared" si="41"/>
        <v>0</v>
      </c>
      <c r="BO22" s="251">
        <f t="shared" si="42"/>
        <v>0</v>
      </c>
      <c r="BP22" s="251">
        <f t="shared" si="77"/>
        <v>0</v>
      </c>
      <c r="BQ22" s="251">
        <f t="shared" si="78"/>
        <v>0</v>
      </c>
      <c r="BR22" s="251">
        <f t="shared" si="43"/>
        <v>0</v>
      </c>
      <c r="BS22" s="251">
        <f t="shared" si="44"/>
        <v>0</v>
      </c>
      <c r="BT22" s="251">
        <f t="shared" si="79"/>
        <v>0</v>
      </c>
      <c r="BU22" s="251">
        <f t="shared" si="80"/>
        <v>0</v>
      </c>
      <c r="BV22" s="251">
        <f t="shared" si="81"/>
        <v>0</v>
      </c>
      <c r="BW22" s="251">
        <f t="shared" si="82"/>
        <v>0</v>
      </c>
      <c r="BX22" s="251">
        <f t="shared" si="45"/>
        <v>0</v>
      </c>
      <c r="BY22" s="251">
        <f t="shared" si="46"/>
        <v>0</v>
      </c>
      <c r="BZ22" s="251">
        <f t="shared" si="47"/>
        <v>0</v>
      </c>
      <c r="CA22" s="251">
        <f t="shared" si="48"/>
        <v>0</v>
      </c>
      <c r="CB22" s="251">
        <f t="shared" si="49"/>
        <v>0</v>
      </c>
      <c r="CC22" s="251">
        <f t="shared" si="50"/>
        <v>0</v>
      </c>
      <c r="CD22" s="251">
        <f t="shared" si="83"/>
        <v>0</v>
      </c>
      <c r="CE22" s="251">
        <f t="shared" si="84"/>
        <v>0</v>
      </c>
      <c r="CF22" s="251">
        <f t="shared" si="85"/>
        <v>0</v>
      </c>
      <c r="CG22" s="251">
        <f t="shared" si="86"/>
        <v>0</v>
      </c>
      <c r="CH22" s="251">
        <f t="shared" si="51"/>
        <v>0</v>
      </c>
      <c r="CI22" s="251">
        <f t="shared" si="52"/>
        <v>0</v>
      </c>
      <c r="CJ22" s="251">
        <f t="shared" si="87"/>
        <v>0</v>
      </c>
      <c r="CK22" s="251">
        <f t="shared" si="88"/>
        <v>0</v>
      </c>
      <c r="CL22" s="251">
        <f t="shared" si="53"/>
        <v>0</v>
      </c>
      <c r="CM22" s="251">
        <f t="shared" si="54"/>
        <v>0</v>
      </c>
      <c r="CN22" s="251">
        <f t="shared" si="55"/>
        <v>0</v>
      </c>
      <c r="CO22" s="251">
        <f t="shared" si="56"/>
        <v>0</v>
      </c>
      <c r="CP22" s="251">
        <f t="shared" si="89"/>
        <v>0</v>
      </c>
      <c r="CQ22" s="251">
        <f t="shared" si="90"/>
        <v>0</v>
      </c>
      <c r="CR22" s="251">
        <f t="shared" si="91"/>
        <v>0</v>
      </c>
      <c r="CS22" s="251">
        <f t="shared" si="92"/>
        <v>0</v>
      </c>
      <c r="CT22" s="251">
        <f t="shared" si="57"/>
        <v>0</v>
      </c>
      <c r="CU22" s="251">
        <f t="shared" si="58"/>
        <v>0</v>
      </c>
      <c r="CV22" s="251">
        <f t="shared" si="59"/>
        <v>0</v>
      </c>
      <c r="CW22" s="251">
        <f t="shared" si="60"/>
        <v>0</v>
      </c>
      <c r="CX22" s="251">
        <f t="shared" si="93"/>
        <v>0</v>
      </c>
      <c r="CY22" s="251">
        <f t="shared" si="94"/>
        <v>0</v>
      </c>
      <c r="CZ22" s="251">
        <f t="shared" si="95"/>
        <v>0</v>
      </c>
      <c r="DA22" s="251">
        <f t="shared" si="96"/>
        <v>0</v>
      </c>
    </row>
    <row r="23" spans="1:105" s="248" customFormat="1" ht="16.5" customHeight="1">
      <c r="A23" s="58" t="str">
        <f t="array" ref="A23">IF(C23&lt;&gt;0,SUM(($C$11:C23&lt;&gt;0)*1),"")</f>
        <v/>
      </c>
      <c r="B23" s="249"/>
      <c r="C23" s="249"/>
      <c r="D23" s="249"/>
      <c r="E23" s="326"/>
      <c r="F23" s="300"/>
      <c r="G23" s="302"/>
      <c r="H23" s="302"/>
      <c r="I23" s="58" t="str">
        <f t="shared" si="0"/>
        <v/>
      </c>
      <c r="J23" s="251">
        <f t="shared" si="61"/>
        <v>0</v>
      </c>
      <c r="K23" s="251">
        <f t="shared" si="62"/>
        <v>0</v>
      </c>
      <c r="L23" s="251">
        <f t="shared" si="1"/>
        <v>0</v>
      </c>
      <c r="M23" s="251">
        <f t="shared" si="2"/>
        <v>0</v>
      </c>
      <c r="N23" s="251">
        <f t="shared" si="3"/>
        <v>0</v>
      </c>
      <c r="O23" s="251">
        <f t="shared" si="4"/>
        <v>0</v>
      </c>
      <c r="P23" s="251">
        <f t="shared" si="5"/>
        <v>0</v>
      </c>
      <c r="Q23" s="251">
        <f t="shared" si="6"/>
        <v>0</v>
      </c>
      <c r="R23" s="251">
        <f t="shared" si="7"/>
        <v>0</v>
      </c>
      <c r="S23" s="251">
        <f t="shared" si="8"/>
        <v>0</v>
      </c>
      <c r="T23" s="251">
        <f t="shared" si="9"/>
        <v>0</v>
      </c>
      <c r="U23" s="251">
        <f t="shared" si="10"/>
        <v>0</v>
      </c>
      <c r="V23" s="251">
        <f t="shared" si="11"/>
        <v>0</v>
      </c>
      <c r="W23" s="251">
        <f t="shared" si="12"/>
        <v>0</v>
      </c>
      <c r="X23" s="251">
        <f t="shared" si="13"/>
        <v>0</v>
      </c>
      <c r="Y23" s="251">
        <f t="shared" si="14"/>
        <v>0</v>
      </c>
      <c r="Z23" s="251">
        <f t="shared" si="15"/>
        <v>0</v>
      </c>
      <c r="AA23" s="251">
        <f t="shared" si="16"/>
        <v>0</v>
      </c>
      <c r="AB23" s="251">
        <f t="shared" si="63"/>
        <v>0</v>
      </c>
      <c r="AC23" s="251">
        <f t="shared" si="64"/>
        <v>0</v>
      </c>
      <c r="AD23" s="251">
        <f t="shared" si="17"/>
        <v>0</v>
      </c>
      <c r="AE23" s="251">
        <f t="shared" si="18"/>
        <v>0</v>
      </c>
      <c r="AF23" s="251">
        <f t="shared" si="19"/>
        <v>0</v>
      </c>
      <c r="AG23" s="251">
        <f t="shared" si="20"/>
        <v>0</v>
      </c>
      <c r="AH23" s="251">
        <f t="shared" si="65"/>
        <v>0</v>
      </c>
      <c r="AI23" s="251">
        <f t="shared" si="66"/>
        <v>0</v>
      </c>
      <c r="AJ23" s="251">
        <f t="shared" si="67"/>
        <v>0</v>
      </c>
      <c r="AK23" s="251">
        <f t="shared" si="68"/>
        <v>0</v>
      </c>
      <c r="AL23" s="251">
        <f t="shared" si="69"/>
        <v>0</v>
      </c>
      <c r="AM23" s="251">
        <f t="shared" si="70"/>
        <v>0</v>
      </c>
      <c r="AN23" s="251">
        <f t="shared" si="71"/>
        <v>0</v>
      </c>
      <c r="AO23" s="251">
        <f t="shared" si="72"/>
        <v>0</v>
      </c>
      <c r="AP23" s="251">
        <f t="shared" si="21"/>
        <v>0</v>
      </c>
      <c r="AQ23" s="251">
        <f t="shared" si="22"/>
        <v>0</v>
      </c>
      <c r="AR23" s="251">
        <f t="shared" si="23"/>
        <v>0</v>
      </c>
      <c r="AS23" s="251">
        <f t="shared" si="24"/>
        <v>0</v>
      </c>
      <c r="AT23" s="251">
        <f t="shared" si="73"/>
        <v>0</v>
      </c>
      <c r="AU23" s="251">
        <f t="shared" si="74"/>
        <v>0</v>
      </c>
      <c r="AV23" s="251">
        <f t="shared" si="25"/>
        <v>0</v>
      </c>
      <c r="AW23" s="251">
        <f t="shared" si="26"/>
        <v>0</v>
      </c>
      <c r="AX23" s="251">
        <f t="shared" si="27"/>
        <v>0</v>
      </c>
      <c r="AY23" s="251">
        <f t="shared" si="28"/>
        <v>0</v>
      </c>
      <c r="AZ23" s="251">
        <f t="shared" si="29"/>
        <v>0</v>
      </c>
      <c r="BA23" s="251">
        <f t="shared" si="30"/>
        <v>0</v>
      </c>
      <c r="BB23" s="251">
        <f t="shared" si="31"/>
        <v>0</v>
      </c>
      <c r="BC23" s="251">
        <f t="shared" si="32"/>
        <v>0</v>
      </c>
      <c r="BD23" s="251">
        <f t="shared" si="33"/>
        <v>0</v>
      </c>
      <c r="BE23" s="251">
        <f t="shared" si="34"/>
        <v>0</v>
      </c>
      <c r="BF23" s="251">
        <f t="shared" si="35"/>
        <v>0</v>
      </c>
      <c r="BG23" s="251">
        <f t="shared" si="36"/>
        <v>0</v>
      </c>
      <c r="BH23" s="251">
        <f t="shared" si="75"/>
        <v>0</v>
      </c>
      <c r="BI23" s="251">
        <f t="shared" si="76"/>
        <v>0</v>
      </c>
      <c r="BJ23" s="251">
        <f t="shared" si="37"/>
        <v>0</v>
      </c>
      <c r="BK23" s="251">
        <f t="shared" si="38"/>
        <v>0</v>
      </c>
      <c r="BL23" s="251">
        <f t="shared" si="39"/>
        <v>0</v>
      </c>
      <c r="BM23" s="251">
        <f t="shared" si="40"/>
        <v>0</v>
      </c>
      <c r="BN23" s="251">
        <f t="shared" si="41"/>
        <v>0</v>
      </c>
      <c r="BO23" s="251">
        <f t="shared" si="42"/>
        <v>0</v>
      </c>
      <c r="BP23" s="251">
        <f t="shared" si="77"/>
        <v>0</v>
      </c>
      <c r="BQ23" s="251">
        <f t="shared" si="78"/>
        <v>0</v>
      </c>
      <c r="BR23" s="251">
        <f t="shared" si="43"/>
        <v>0</v>
      </c>
      <c r="BS23" s="251">
        <f t="shared" si="44"/>
        <v>0</v>
      </c>
      <c r="BT23" s="251">
        <f t="shared" si="79"/>
        <v>0</v>
      </c>
      <c r="BU23" s="251">
        <f t="shared" si="80"/>
        <v>0</v>
      </c>
      <c r="BV23" s="251">
        <f t="shared" si="81"/>
        <v>0</v>
      </c>
      <c r="BW23" s="251">
        <f t="shared" si="82"/>
        <v>0</v>
      </c>
      <c r="BX23" s="251">
        <f t="shared" si="45"/>
        <v>0</v>
      </c>
      <c r="BY23" s="251">
        <f t="shared" si="46"/>
        <v>0</v>
      </c>
      <c r="BZ23" s="251">
        <f t="shared" si="47"/>
        <v>0</v>
      </c>
      <c r="CA23" s="251">
        <f t="shared" si="48"/>
        <v>0</v>
      </c>
      <c r="CB23" s="251">
        <f t="shared" si="49"/>
        <v>0</v>
      </c>
      <c r="CC23" s="251">
        <f t="shared" si="50"/>
        <v>0</v>
      </c>
      <c r="CD23" s="251">
        <f t="shared" si="83"/>
        <v>0</v>
      </c>
      <c r="CE23" s="251">
        <f t="shared" si="84"/>
        <v>0</v>
      </c>
      <c r="CF23" s="251">
        <f t="shared" si="85"/>
        <v>0</v>
      </c>
      <c r="CG23" s="251">
        <f t="shared" si="86"/>
        <v>0</v>
      </c>
      <c r="CH23" s="251">
        <f t="shared" si="51"/>
        <v>0</v>
      </c>
      <c r="CI23" s="251">
        <f t="shared" si="52"/>
        <v>0</v>
      </c>
      <c r="CJ23" s="251">
        <f t="shared" si="87"/>
        <v>0</v>
      </c>
      <c r="CK23" s="251">
        <f t="shared" si="88"/>
        <v>0</v>
      </c>
      <c r="CL23" s="251">
        <f t="shared" si="53"/>
        <v>0</v>
      </c>
      <c r="CM23" s="251">
        <f t="shared" si="54"/>
        <v>0</v>
      </c>
      <c r="CN23" s="251">
        <f t="shared" si="55"/>
        <v>0</v>
      </c>
      <c r="CO23" s="251">
        <f t="shared" si="56"/>
        <v>0</v>
      </c>
      <c r="CP23" s="251">
        <f t="shared" si="89"/>
        <v>0</v>
      </c>
      <c r="CQ23" s="251">
        <f t="shared" si="90"/>
        <v>0</v>
      </c>
      <c r="CR23" s="251">
        <f t="shared" si="91"/>
        <v>0</v>
      </c>
      <c r="CS23" s="251">
        <f t="shared" si="92"/>
        <v>0</v>
      </c>
      <c r="CT23" s="251">
        <f t="shared" si="57"/>
        <v>0</v>
      </c>
      <c r="CU23" s="251">
        <f t="shared" si="58"/>
        <v>0</v>
      </c>
      <c r="CV23" s="251">
        <f t="shared" si="59"/>
        <v>0</v>
      </c>
      <c r="CW23" s="251">
        <f t="shared" si="60"/>
        <v>0</v>
      </c>
      <c r="CX23" s="251">
        <f t="shared" si="93"/>
        <v>0</v>
      </c>
      <c r="CY23" s="251">
        <f t="shared" si="94"/>
        <v>0</v>
      </c>
      <c r="CZ23" s="251">
        <f t="shared" si="95"/>
        <v>0</v>
      </c>
      <c r="DA23" s="251">
        <f t="shared" si="96"/>
        <v>0</v>
      </c>
    </row>
    <row r="24" spans="1:105" s="248" customFormat="1" ht="16.5" customHeight="1">
      <c r="A24" s="58" t="str">
        <f t="array" ref="A24">IF(C24&lt;&gt;0,SUM(($C$11:C24&lt;&gt;0)*1),"")</f>
        <v/>
      </c>
      <c r="B24" s="249"/>
      <c r="C24" s="249"/>
      <c r="D24" s="249"/>
      <c r="E24" s="326"/>
      <c r="F24" s="300"/>
      <c r="G24" s="302"/>
      <c r="H24" s="302"/>
      <c r="I24" s="58" t="str">
        <f t="shared" si="0"/>
        <v/>
      </c>
      <c r="J24" s="251">
        <f t="shared" si="61"/>
        <v>0</v>
      </c>
      <c r="K24" s="251">
        <f t="shared" si="62"/>
        <v>0</v>
      </c>
      <c r="L24" s="251">
        <f t="shared" si="1"/>
        <v>0</v>
      </c>
      <c r="M24" s="251">
        <f t="shared" si="2"/>
        <v>0</v>
      </c>
      <c r="N24" s="251">
        <f t="shared" si="3"/>
        <v>0</v>
      </c>
      <c r="O24" s="251">
        <f t="shared" si="4"/>
        <v>0</v>
      </c>
      <c r="P24" s="251">
        <f t="shared" si="5"/>
        <v>0</v>
      </c>
      <c r="Q24" s="251">
        <f t="shared" si="6"/>
        <v>0</v>
      </c>
      <c r="R24" s="251">
        <f t="shared" si="7"/>
        <v>0</v>
      </c>
      <c r="S24" s="251">
        <f t="shared" si="8"/>
        <v>0</v>
      </c>
      <c r="T24" s="251">
        <f t="shared" si="9"/>
        <v>0</v>
      </c>
      <c r="U24" s="251">
        <f t="shared" si="10"/>
        <v>0</v>
      </c>
      <c r="V24" s="251">
        <f t="shared" si="11"/>
        <v>0</v>
      </c>
      <c r="W24" s="251">
        <f t="shared" si="12"/>
        <v>0</v>
      </c>
      <c r="X24" s="251">
        <f t="shared" si="13"/>
        <v>0</v>
      </c>
      <c r="Y24" s="251">
        <f t="shared" si="14"/>
        <v>0</v>
      </c>
      <c r="Z24" s="251">
        <f t="shared" si="15"/>
        <v>0</v>
      </c>
      <c r="AA24" s="251">
        <f t="shared" si="16"/>
        <v>0</v>
      </c>
      <c r="AB24" s="251">
        <f t="shared" si="63"/>
        <v>0</v>
      </c>
      <c r="AC24" s="251">
        <f t="shared" si="64"/>
        <v>0</v>
      </c>
      <c r="AD24" s="251">
        <f t="shared" si="17"/>
        <v>0</v>
      </c>
      <c r="AE24" s="251">
        <f t="shared" si="18"/>
        <v>0</v>
      </c>
      <c r="AF24" s="251">
        <f t="shared" si="19"/>
        <v>0</v>
      </c>
      <c r="AG24" s="251">
        <f t="shared" si="20"/>
        <v>0</v>
      </c>
      <c r="AH24" s="251">
        <f t="shared" si="65"/>
        <v>0</v>
      </c>
      <c r="AI24" s="251">
        <f t="shared" si="66"/>
        <v>0</v>
      </c>
      <c r="AJ24" s="251">
        <f t="shared" si="67"/>
        <v>0</v>
      </c>
      <c r="AK24" s="251">
        <f t="shared" si="68"/>
        <v>0</v>
      </c>
      <c r="AL24" s="251">
        <f t="shared" si="69"/>
        <v>0</v>
      </c>
      <c r="AM24" s="251">
        <f t="shared" si="70"/>
        <v>0</v>
      </c>
      <c r="AN24" s="251">
        <f t="shared" si="71"/>
        <v>0</v>
      </c>
      <c r="AO24" s="251">
        <f t="shared" si="72"/>
        <v>0</v>
      </c>
      <c r="AP24" s="251">
        <f t="shared" si="21"/>
        <v>0</v>
      </c>
      <c r="AQ24" s="251">
        <f t="shared" si="22"/>
        <v>0</v>
      </c>
      <c r="AR24" s="251">
        <f t="shared" si="23"/>
        <v>0</v>
      </c>
      <c r="AS24" s="251">
        <f t="shared" si="24"/>
        <v>0</v>
      </c>
      <c r="AT24" s="251">
        <f t="shared" si="73"/>
        <v>0</v>
      </c>
      <c r="AU24" s="251">
        <f t="shared" si="74"/>
        <v>0</v>
      </c>
      <c r="AV24" s="251">
        <f t="shared" si="25"/>
        <v>0</v>
      </c>
      <c r="AW24" s="251">
        <f t="shared" si="26"/>
        <v>0</v>
      </c>
      <c r="AX24" s="251">
        <f t="shared" si="27"/>
        <v>0</v>
      </c>
      <c r="AY24" s="251">
        <f t="shared" si="28"/>
        <v>0</v>
      </c>
      <c r="AZ24" s="251">
        <f t="shared" si="29"/>
        <v>0</v>
      </c>
      <c r="BA24" s="251">
        <f t="shared" si="30"/>
        <v>0</v>
      </c>
      <c r="BB24" s="251">
        <f t="shared" si="31"/>
        <v>0</v>
      </c>
      <c r="BC24" s="251">
        <f t="shared" si="32"/>
        <v>0</v>
      </c>
      <c r="BD24" s="251">
        <f t="shared" si="33"/>
        <v>0</v>
      </c>
      <c r="BE24" s="251">
        <f t="shared" si="34"/>
        <v>0</v>
      </c>
      <c r="BF24" s="251">
        <f t="shared" si="35"/>
        <v>0</v>
      </c>
      <c r="BG24" s="251">
        <f t="shared" si="36"/>
        <v>0</v>
      </c>
      <c r="BH24" s="251">
        <f t="shared" si="75"/>
        <v>0</v>
      </c>
      <c r="BI24" s="251">
        <f t="shared" si="76"/>
        <v>0</v>
      </c>
      <c r="BJ24" s="251">
        <f t="shared" si="37"/>
        <v>0</v>
      </c>
      <c r="BK24" s="251">
        <f t="shared" si="38"/>
        <v>0</v>
      </c>
      <c r="BL24" s="251">
        <f t="shared" si="39"/>
        <v>0</v>
      </c>
      <c r="BM24" s="251">
        <f t="shared" si="40"/>
        <v>0</v>
      </c>
      <c r="BN24" s="251">
        <f t="shared" si="41"/>
        <v>0</v>
      </c>
      <c r="BO24" s="251">
        <f t="shared" si="42"/>
        <v>0</v>
      </c>
      <c r="BP24" s="251">
        <f t="shared" si="77"/>
        <v>0</v>
      </c>
      <c r="BQ24" s="251">
        <f t="shared" si="78"/>
        <v>0</v>
      </c>
      <c r="BR24" s="251">
        <f t="shared" si="43"/>
        <v>0</v>
      </c>
      <c r="BS24" s="251">
        <f t="shared" si="44"/>
        <v>0</v>
      </c>
      <c r="BT24" s="251">
        <f t="shared" si="79"/>
        <v>0</v>
      </c>
      <c r="BU24" s="251">
        <f t="shared" si="80"/>
        <v>0</v>
      </c>
      <c r="BV24" s="251">
        <f t="shared" si="81"/>
        <v>0</v>
      </c>
      <c r="BW24" s="251">
        <f t="shared" si="82"/>
        <v>0</v>
      </c>
      <c r="BX24" s="251">
        <f t="shared" si="45"/>
        <v>0</v>
      </c>
      <c r="BY24" s="251">
        <f t="shared" si="46"/>
        <v>0</v>
      </c>
      <c r="BZ24" s="251">
        <f t="shared" si="47"/>
        <v>0</v>
      </c>
      <c r="CA24" s="251">
        <f t="shared" si="48"/>
        <v>0</v>
      </c>
      <c r="CB24" s="251">
        <f t="shared" si="49"/>
        <v>0</v>
      </c>
      <c r="CC24" s="251">
        <f t="shared" si="50"/>
        <v>0</v>
      </c>
      <c r="CD24" s="251">
        <f t="shared" si="83"/>
        <v>0</v>
      </c>
      <c r="CE24" s="251">
        <f t="shared" si="84"/>
        <v>0</v>
      </c>
      <c r="CF24" s="251">
        <f t="shared" si="85"/>
        <v>0</v>
      </c>
      <c r="CG24" s="251">
        <f t="shared" si="86"/>
        <v>0</v>
      </c>
      <c r="CH24" s="251">
        <f t="shared" si="51"/>
        <v>0</v>
      </c>
      <c r="CI24" s="251">
        <f t="shared" si="52"/>
        <v>0</v>
      </c>
      <c r="CJ24" s="251">
        <f t="shared" si="87"/>
        <v>0</v>
      </c>
      <c r="CK24" s="251">
        <f t="shared" si="88"/>
        <v>0</v>
      </c>
      <c r="CL24" s="251">
        <f t="shared" si="53"/>
        <v>0</v>
      </c>
      <c r="CM24" s="251">
        <f t="shared" si="54"/>
        <v>0</v>
      </c>
      <c r="CN24" s="251">
        <f t="shared" si="55"/>
        <v>0</v>
      </c>
      <c r="CO24" s="251">
        <f t="shared" si="56"/>
        <v>0</v>
      </c>
      <c r="CP24" s="251">
        <f t="shared" si="89"/>
        <v>0</v>
      </c>
      <c r="CQ24" s="251">
        <f t="shared" si="90"/>
        <v>0</v>
      </c>
      <c r="CR24" s="251">
        <f t="shared" si="91"/>
        <v>0</v>
      </c>
      <c r="CS24" s="251">
        <f t="shared" si="92"/>
        <v>0</v>
      </c>
      <c r="CT24" s="251">
        <f t="shared" si="57"/>
        <v>0</v>
      </c>
      <c r="CU24" s="251">
        <f t="shared" si="58"/>
        <v>0</v>
      </c>
      <c r="CV24" s="251">
        <f t="shared" si="59"/>
        <v>0</v>
      </c>
      <c r="CW24" s="251">
        <f t="shared" si="60"/>
        <v>0</v>
      </c>
      <c r="CX24" s="251">
        <f t="shared" si="93"/>
        <v>0</v>
      </c>
      <c r="CY24" s="251">
        <f t="shared" si="94"/>
        <v>0</v>
      </c>
      <c r="CZ24" s="251">
        <f t="shared" si="95"/>
        <v>0</v>
      </c>
      <c r="DA24" s="251">
        <f t="shared" si="96"/>
        <v>0</v>
      </c>
    </row>
    <row r="25" spans="1:105" s="248" customFormat="1" ht="16.5" customHeight="1">
      <c r="A25" s="58" t="str">
        <f t="array" ref="A25">IF(C25&lt;&gt;0,SUM(($C$11:C25&lt;&gt;0)*1),"")</f>
        <v/>
      </c>
      <c r="B25" s="249"/>
      <c r="C25" s="249"/>
      <c r="D25" s="249"/>
      <c r="E25" s="326"/>
      <c r="F25" s="300"/>
      <c r="G25" s="302"/>
      <c r="H25" s="302"/>
      <c r="I25" s="58" t="str">
        <f t="shared" si="0"/>
        <v/>
      </c>
      <c r="J25" s="251">
        <f t="shared" si="61"/>
        <v>0</v>
      </c>
      <c r="K25" s="251">
        <f t="shared" si="62"/>
        <v>0</v>
      </c>
      <c r="L25" s="251">
        <f t="shared" si="1"/>
        <v>0</v>
      </c>
      <c r="M25" s="251">
        <f t="shared" si="2"/>
        <v>0</v>
      </c>
      <c r="N25" s="251">
        <f t="shared" si="3"/>
        <v>0</v>
      </c>
      <c r="O25" s="251">
        <f t="shared" si="4"/>
        <v>0</v>
      </c>
      <c r="P25" s="251">
        <f t="shared" si="5"/>
        <v>0</v>
      </c>
      <c r="Q25" s="251">
        <f t="shared" si="6"/>
        <v>0</v>
      </c>
      <c r="R25" s="251">
        <f t="shared" si="7"/>
        <v>0</v>
      </c>
      <c r="S25" s="251">
        <f t="shared" si="8"/>
        <v>0</v>
      </c>
      <c r="T25" s="251">
        <f t="shared" si="9"/>
        <v>0</v>
      </c>
      <c r="U25" s="251">
        <f t="shared" si="10"/>
        <v>0</v>
      </c>
      <c r="V25" s="251">
        <f t="shared" si="11"/>
        <v>0</v>
      </c>
      <c r="W25" s="251">
        <f t="shared" si="12"/>
        <v>0</v>
      </c>
      <c r="X25" s="251">
        <f t="shared" si="13"/>
        <v>0</v>
      </c>
      <c r="Y25" s="251">
        <f t="shared" si="14"/>
        <v>0</v>
      </c>
      <c r="Z25" s="251">
        <f t="shared" si="15"/>
        <v>0</v>
      </c>
      <c r="AA25" s="251">
        <f t="shared" si="16"/>
        <v>0</v>
      </c>
      <c r="AB25" s="251">
        <f t="shared" si="63"/>
        <v>0</v>
      </c>
      <c r="AC25" s="251">
        <f t="shared" si="64"/>
        <v>0</v>
      </c>
      <c r="AD25" s="251">
        <f t="shared" si="17"/>
        <v>0</v>
      </c>
      <c r="AE25" s="251">
        <f t="shared" si="18"/>
        <v>0</v>
      </c>
      <c r="AF25" s="251">
        <f t="shared" si="19"/>
        <v>0</v>
      </c>
      <c r="AG25" s="251">
        <f t="shared" si="20"/>
        <v>0</v>
      </c>
      <c r="AH25" s="251">
        <f t="shared" si="65"/>
        <v>0</v>
      </c>
      <c r="AI25" s="251">
        <f t="shared" si="66"/>
        <v>0</v>
      </c>
      <c r="AJ25" s="251">
        <f t="shared" si="67"/>
        <v>0</v>
      </c>
      <c r="AK25" s="251">
        <f t="shared" si="68"/>
        <v>0</v>
      </c>
      <c r="AL25" s="251">
        <f t="shared" si="69"/>
        <v>0</v>
      </c>
      <c r="AM25" s="251">
        <f t="shared" si="70"/>
        <v>0</v>
      </c>
      <c r="AN25" s="251">
        <f t="shared" si="71"/>
        <v>0</v>
      </c>
      <c r="AO25" s="251">
        <f t="shared" si="72"/>
        <v>0</v>
      </c>
      <c r="AP25" s="251">
        <f t="shared" si="21"/>
        <v>0</v>
      </c>
      <c r="AQ25" s="251">
        <f t="shared" si="22"/>
        <v>0</v>
      </c>
      <c r="AR25" s="251">
        <f t="shared" si="23"/>
        <v>0</v>
      </c>
      <c r="AS25" s="251">
        <f t="shared" si="24"/>
        <v>0</v>
      </c>
      <c r="AT25" s="251">
        <f t="shared" si="73"/>
        <v>0</v>
      </c>
      <c r="AU25" s="251">
        <f t="shared" si="74"/>
        <v>0</v>
      </c>
      <c r="AV25" s="251">
        <f t="shared" si="25"/>
        <v>0</v>
      </c>
      <c r="AW25" s="251">
        <f t="shared" si="26"/>
        <v>0</v>
      </c>
      <c r="AX25" s="251">
        <f t="shared" si="27"/>
        <v>0</v>
      </c>
      <c r="AY25" s="251">
        <f t="shared" si="28"/>
        <v>0</v>
      </c>
      <c r="AZ25" s="251">
        <f t="shared" si="29"/>
        <v>0</v>
      </c>
      <c r="BA25" s="251">
        <f t="shared" si="30"/>
        <v>0</v>
      </c>
      <c r="BB25" s="251">
        <f t="shared" si="31"/>
        <v>0</v>
      </c>
      <c r="BC25" s="251">
        <f t="shared" si="32"/>
        <v>0</v>
      </c>
      <c r="BD25" s="251">
        <f t="shared" si="33"/>
        <v>0</v>
      </c>
      <c r="BE25" s="251">
        <f t="shared" si="34"/>
        <v>0</v>
      </c>
      <c r="BF25" s="251">
        <f t="shared" si="35"/>
        <v>0</v>
      </c>
      <c r="BG25" s="251">
        <f t="shared" si="36"/>
        <v>0</v>
      </c>
      <c r="BH25" s="251">
        <f t="shared" si="75"/>
        <v>0</v>
      </c>
      <c r="BI25" s="251">
        <f t="shared" si="76"/>
        <v>0</v>
      </c>
      <c r="BJ25" s="251">
        <f t="shared" si="37"/>
        <v>0</v>
      </c>
      <c r="BK25" s="251">
        <f t="shared" si="38"/>
        <v>0</v>
      </c>
      <c r="BL25" s="251">
        <f t="shared" si="39"/>
        <v>0</v>
      </c>
      <c r="BM25" s="251">
        <f t="shared" si="40"/>
        <v>0</v>
      </c>
      <c r="BN25" s="251">
        <f t="shared" si="41"/>
        <v>0</v>
      </c>
      <c r="BO25" s="251">
        <f t="shared" si="42"/>
        <v>0</v>
      </c>
      <c r="BP25" s="251">
        <f t="shared" si="77"/>
        <v>0</v>
      </c>
      <c r="BQ25" s="251">
        <f t="shared" si="78"/>
        <v>0</v>
      </c>
      <c r="BR25" s="251">
        <f t="shared" si="43"/>
        <v>0</v>
      </c>
      <c r="BS25" s="251">
        <f t="shared" si="44"/>
        <v>0</v>
      </c>
      <c r="BT25" s="251">
        <f t="shared" si="79"/>
        <v>0</v>
      </c>
      <c r="BU25" s="251">
        <f t="shared" si="80"/>
        <v>0</v>
      </c>
      <c r="BV25" s="251">
        <f t="shared" si="81"/>
        <v>0</v>
      </c>
      <c r="BW25" s="251">
        <f t="shared" si="82"/>
        <v>0</v>
      </c>
      <c r="BX25" s="251">
        <f t="shared" si="45"/>
        <v>0</v>
      </c>
      <c r="BY25" s="251">
        <f t="shared" si="46"/>
        <v>0</v>
      </c>
      <c r="BZ25" s="251">
        <f t="shared" si="47"/>
        <v>0</v>
      </c>
      <c r="CA25" s="251">
        <f t="shared" si="48"/>
        <v>0</v>
      </c>
      <c r="CB25" s="251">
        <f t="shared" si="49"/>
        <v>0</v>
      </c>
      <c r="CC25" s="251">
        <f t="shared" si="50"/>
        <v>0</v>
      </c>
      <c r="CD25" s="251">
        <f t="shared" si="83"/>
        <v>0</v>
      </c>
      <c r="CE25" s="251">
        <f t="shared" si="84"/>
        <v>0</v>
      </c>
      <c r="CF25" s="251">
        <f t="shared" si="85"/>
        <v>0</v>
      </c>
      <c r="CG25" s="251">
        <f t="shared" si="86"/>
        <v>0</v>
      </c>
      <c r="CH25" s="251">
        <f t="shared" si="51"/>
        <v>0</v>
      </c>
      <c r="CI25" s="251">
        <f t="shared" si="52"/>
        <v>0</v>
      </c>
      <c r="CJ25" s="251">
        <f t="shared" si="87"/>
        <v>0</v>
      </c>
      <c r="CK25" s="251">
        <f t="shared" si="88"/>
        <v>0</v>
      </c>
      <c r="CL25" s="251">
        <f t="shared" si="53"/>
        <v>0</v>
      </c>
      <c r="CM25" s="251">
        <f t="shared" si="54"/>
        <v>0</v>
      </c>
      <c r="CN25" s="251">
        <f t="shared" si="55"/>
        <v>0</v>
      </c>
      <c r="CO25" s="251">
        <f t="shared" si="56"/>
        <v>0</v>
      </c>
      <c r="CP25" s="251">
        <f t="shared" si="89"/>
        <v>0</v>
      </c>
      <c r="CQ25" s="251">
        <f t="shared" si="90"/>
        <v>0</v>
      </c>
      <c r="CR25" s="251">
        <f t="shared" si="91"/>
        <v>0</v>
      </c>
      <c r="CS25" s="251">
        <f t="shared" si="92"/>
        <v>0</v>
      </c>
      <c r="CT25" s="251">
        <f t="shared" si="57"/>
        <v>0</v>
      </c>
      <c r="CU25" s="251">
        <f t="shared" si="58"/>
        <v>0</v>
      </c>
      <c r="CV25" s="251">
        <f t="shared" si="59"/>
        <v>0</v>
      </c>
      <c r="CW25" s="251">
        <f t="shared" si="60"/>
        <v>0</v>
      </c>
      <c r="CX25" s="251">
        <f t="shared" si="93"/>
        <v>0</v>
      </c>
      <c r="CY25" s="251">
        <f t="shared" si="94"/>
        <v>0</v>
      </c>
      <c r="CZ25" s="251">
        <f t="shared" si="95"/>
        <v>0</v>
      </c>
      <c r="DA25" s="251">
        <f t="shared" si="96"/>
        <v>0</v>
      </c>
    </row>
    <row r="26" spans="1:105" s="248" customFormat="1" ht="16.5" customHeight="1">
      <c r="A26" s="58" t="str">
        <f t="array" ref="A26">IF(C26&lt;&gt;0,SUM(($C$11:C26&lt;&gt;0)*1),"")</f>
        <v/>
      </c>
      <c r="B26" s="249"/>
      <c r="C26" s="249"/>
      <c r="D26" s="249"/>
      <c r="E26" s="326"/>
      <c r="F26" s="300"/>
      <c r="G26" s="302"/>
      <c r="H26" s="302"/>
      <c r="I26" s="58" t="str">
        <f t="shared" si="0"/>
        <v/>
      </c>
      <c r="J26" s="251">
        <f t="shared" si="61"/>
        <v>0</v>
      </c>
      <c r="K26" s="251">
        <f t="shared" si="62"/>
        <v>0</v>
      </c>
      <c r="L26" s="251">
        <f t="shared" si="1"/>
        <v>0</v>
      </c>
      <c r="M26" s="251">
        <f t="shared" si="2"/>
        <v>0</v>
      </c>
      <c r="N26" s="251">
        <f t="shared" si="3"/>
        <v>0</v>
      </c>
      <c r="O26" s="251">
        <f t="shared" si="4"/>
        <v>0</v>
      </c>
      <c r="P26" s="251">
        <f t="shared" si="5"/>
        <v>0</v>
      </c>
      <c r="Q26" s="251">
        <f t="shared" si="6"/>
        <v>0</v>
      </c>
      <c r="R26" s="251">
        <f t="shared" si="7"/>
        <v>0</v>
      </c>
      <c r="S26" s="251">
        <f t="shared" si="8"/>
        <v>0</v>
      </c>
      <c r="T26" s="251">
        <f t="shared" si="9"/>
        <v>0</v>
      </c>
      <c r="U26" s="251">
        <f t="shared" si="10"/>
        <v>0</v>
      </c>
      <c r="V26" s="251">
        <f t="shared" si="11"/>
        <v>0</v>
      </c>
      <c r="W26" s="251">
        <f t="shared" si="12"/>
        <v>0</v>
      </c>
      <c r="X26" s="251">
        <f t="shared" si="13"/>
        <v>0</v>
      </c>
      <c r="Y26" s="251">
        <f t="shared" si="14"/>
        <v>0</v>
      </c>
      <c r="Z26" s="251">
        <f t="shared" si="15"/>
        <v>0</v>
      </c>
      <c r="AA26" s="251">
        <f t="shared" si="16"/>
        <v>0</v>
      </c>
      <c r="AB26" s="251">
        <f t="shared" si="63"/>
        <v>0</v>
      </c>
      <c r="AC26" s="251">
        <f t="shared" si="64"/>
        <v>0</v>
      </c>
      <c r="AD26" s="251">
        <f t="shared" si="17"/>
        <v>0</v>
      </c>
      <c r="AE26" s="251">
        <f t="shared" si="18"/>
        <v>0</v>
      </c>
      <c r="AF26" s="251">
        <f t="shared" si="19"/>
        <v>0</v>
      </c>
      <c r="AG26" s="251">
        <f t="shared" si="20"/>
        <v>0</v>
      </c>
      <c r="AH26" s="251">
        <f t="shared" si="65"/>
        <v>0</v>
      </c>
      <c r="AI26" s="251">
        <f t="shared" si="66"/>
        <v>0</v>
      </c>
      <c r="AJ26" s="251">
        <f t="shared" si="67"/>
        <v>0</v>
      </c>
      <c r="AK26" s="251">
        <f t="shared" si="68"/>
        <v>0</v>
      </c>
      <c r="AL26" s="251">
        <f t="shared" si="69"/>
        <v>0</v>
      </c>
      <c r="AM26" s="251">
        <f t="shared" si="70"/>
        <v>0</v>
      </c>
      <c r="AN26" s="251">
        <f t="shared" si="71"/>
        <v>0</v>
      </c>
      <c r="AO26" s="251">
        <f t="shared" si="72"/>
        <v>0</v>
      </c>
      <c r="AP26" s="251">
        <f t="shared" si="21"/>
        <v>0</v>
      </c>
      <c r="AQ26" s="251">
        <f t="shared" si="22"/>
        <v>0</v>
      </c>
      <c r="AR26" s="251">
        <f t="shared" si="23"/>
        <v>0</v>
      </c>
      <c r="AS26" s="251">
        <f t="shared" si="24"/>
        <v>0</v>
      </c>
      <c r="AT26" s="251">
        <f t="shared" si="73"/>
        <v>0</v>
      </c>
      <c r="AU26" s="251">
        <f t="shared" si="74"/>
        <v>0</v>
      </c>
      <c r="AV26" s="251">
        <f t="shared" si="25"/>
        <v>0</v>
      </c>
      <c r="AW26" s="251">
        <f t="shared" si="26"/>
        <v>0</v>
      </c>
      <c r="AX26" s="251">
        <f t="shared" si="27"/>
        <v>0</v>
      </c>
      <c r="AY26" s="251">
        <f t="shared" si="28"/>
        <v>0</v>
      </c>
      <c r="AZ26" s="251">
        <f t="shared" si="29"/>
        <v>0</v>
      </c>
      <c r="BA26" s="251">
        <f t="shared" si="30"/>
        <v>0</v>
      </c>
      <c r="BB26" s="251">
        <f t="shared" si="31"/>
        <v>0</v>
      </c>
      <c r="BC26" s="251">
        <f t="shared" si="32"/>
        <v>0</v>
      </c>
      <c r="BD26" s="251">
        <f t="shared" si="33"/>
        <v>0</v>
      </c>
      <c r="BE26" s="251">
        <f t="shared" si="34"/>
        <v>0</v>
      </c>
      <c r="BF26" s="251">
        <f t="shared" si="35"/>
        <v>0</v>
      </c>
      <c r="BG26" s="251">
        <f t="shared" si="36"/>
        <v>0</v>
      </c>
      <c r="BH26" s="251">
        <f t="shared" si="75"/>
        <v>0</v>
      </c>
      <c r="BI26" s="251">
        <f t="shared" si="76"/>
        <v>0</v>
      </c>
      <c r="BJ26" s="251">
        <f t="shared" si="37"/>
        <v>0</v>
      </c>
      <c r="BK26" s="251">
        <f t="shared" si="38"/>
        <v>0</v>
      </c>
      <c r="BL26" s="251">
        <f t="shared" si="39"/>
        <v>0</v>
      </c>
      <c r="BM26" s="251">
        <f t="shared" si="40"/>
        <v>0</v>
      </c>
      <c r="BN26" s="251">
        <f t="shared" si="41"/>
        <v>0</v>
      </c>
      <c r="BO26" s="251">
        <f t="shared" si="42"/>
        <v>0</v>
      </c>
      <c r="BP26" s="251">
        <f t="shared" si="77"/>
        <v>0</v>
      </c>
      <c r="BQ26" s="251">
        <f t="shared" si="78"/>
        <v>0</v>
      </c>
      <c r="BR26" s="251">
        <f t="shared" si="43"/>
        <v>0</v>
      </c>
      <c r="BS26" s="251">
        <f t="shared" si="44"/>
        <v>0</v>
      </c>
      <c r="BT26" s="251">
        <f t="shared" si="79"/>
        <v>0</v>
      </c>
      <c r="BU26" s="251">
        <f t="shared" si="80"/>
        <v>0</v>
      </c>
      <c r="BV26" s="251">
        <f t="shared" si="81"/>
        <v>0</v>
      </c>
      <c r="BW26" s="251">
        <f t="shared" si="82"/>
        <v>0</v>
      </c>
      <c r="BX26" s="251">
        <f t="shared" si="45"/>
        <v>0</v>
      </c>
      <c r="BY26" s="251">
        <f t="shared" si="46"/>
        <v>0</v>
      </c>
      <c r="BZ26" s="251">
        <f t="shared" si="47"/>
        <v>0</v>
      </c>
      <c r="CA26" s="251">
        <f t="shared" si="48"/>
        <v>0</v>
      </c>
      <c r="CB26" s="251">
        <f t="shared" si="49"/>
        <v>0</v>
      </c>
      <c r="CC26" s="251">
        <f t="shared" si="50"/>
        <v>0</v>
      </c>
      <c r="CD26" s="251">
        <f t="shared" si="83"/>
        <v>0</v>
      </c>
      <c r="CE26" s="251">
        <f t="shared" si="84"/>
        <v>0</v>
      </c>
      <c r="CF26" s="251">
        <f t="shared" si="85"/>
        <v>0</v>
      </c>
      <c r="CG26" s="251">
        <f t="shared" si="86"/>
        <v>0</v>
      </c>
      <c r="CH26" s="251">
        <f t="shared" si="51"/>
        <v>0</v>
      </c>
      <c r="CI26" s="251">
        <f t="shared" si="52"/>
        <v>0</v>
      </c>
      <c r="CJ26" s="251">
        <f t="shared" si="87"/>
        <v>0</v>
      </c>
      <c r="CK26" s="251">
        <f t="shared" si="88"/>
        <v>0</v>
      </c>
      <c r="CL26" s="251">
        <f t="shared" si="53"/>
        <v>0</v>
      </c>
      <c r="CM26" s="251">
        <f t="shared" si="54"/>
        <v>0</v>
      </c>
      <c r="CN26" s="251">
        <f t="shared" si="55"/>
        <v>0</v>
      </c>
      <c r="CO26" s="251">
        <f t="shared" si="56"/>
        <v>0</v>
      </c>
      <c r="CP26" s="251">
        <f t="shared" si="89"/>
        <v>0</v>
      </c>
      <c r="CQ26" s="251">
        <f t="shared" si="90"/>
        <v>0</v>
      </c>
      <c r="CR26" s="251">
        <f t="shared" si="91"/>
        <v>0</v>
      </c>
      <c r="CS26" s="251">
        <f t="shared" si="92"/>
        <v>0</v>
      </c>
      <c r="CT26" s="251">
        <f t="shared" si="57"/>
        <v>0</v>
      </c>
      <c r="CU26" s="251">
        <f t="shared" si="58"/>
        <v>0</v>
      </c>
      <c r="CV26" s="251">
        <f t="shared" si="59"/>
        <v>0</v>
      </c>
      <c r="CW26" s="251">
        <f t="shared" si="60"/>
        <v>0</v>
      </c>
      <c r="CX26" s="251">
        <f t="shared" si="93"/>
        <v>0</v>
      </c>
      <c r="CY26" s="251">
        <f t="shared" si="94"/>
        <v>0</v>
      </c>
      <c r="CZ26" s="251">
        <f t="shared" si="95"/>
        <v>0</v>
      </c>
      <c r="DA26" s="251">
        <f t="shared" si="96"/>
        <v>0</v>
      </c>
    </row>
    <row r="27" spans="1:105" s="248" customFormat="1" ht="16.5" customHeight="1">
      <c r="A27" s="58" t="str">
        <f t="array" ref="A27">IF(C27&lt;&gt;0,SUM(($C$11:C27&lt;&gt;0)*1),"")</f>
        <v/>
      </c>
      <c r="B27" s="249"/>
      <c r="C27" s="249"/>
      <c r="D27" s="249"/>
      <c r="E27" s="326"/>
      <c r="F27" s="300"/>
      <c r="G27" s="302"/>
      <c r="H27" s="302"/>
      <c r="I27" s="58" t="str">
        <f t="shared" si="0"/>
        <v/>
      </c>
      <c r="J27" s="251">
        <f t="shared" si="61"/>
        <v>0</v>
      </c>
      <c r="K27" s="251">
        <f t="shared" si="62"/>
        <v>0</v>
      </c>
      <c r="L27" s="251">
        <f t="shared" si="1"/>
        <v>0</v>
      </c>
      <c r="M27" s="251">
        <f t="shared" si="2"/>
        <v>0</v>
      </c>
      <c r="N27" s="251">
        <f t="shared" si="3"/>
        <v>0</v>
      </c>
      <c r="O27" s="251">
        <f t="shared" si="4"/>
        <v>0</v>
      </c>
      <c r="P27" s="251">
        <f t="shared" si="5"/>
        <v>0</v>
      </c>
      <c r="Q27" s="251">
        <f t="shared" si="6"/>
        <v>0</v>
      </c>
      <c r="R27" s="251">
        <f t="shared" si="7"/>
        <v>0</v>
      </c>
      <c r="S27" s="251">
        <f t="shared" si="8"/>
        <v>0</v>
      </c>
      <c r="T27" s="251">
        <f t="shared" si="9"/>
        <v>0</v>
      </c>
      <c r="U27" s="251">
        <f t="shared" si="10"/>
        <v>0</v>
      </c>
      <c r="V27" s="251">
        <f t="shared" si="11"/>
        <v>0</v>
      </c>
      <c r="W27" s="251">
        <f t="shared" si="12"/>
        <v>0</v>
      </c>
      <c r="X27" s="251">
        <f t="shared" si="13"/>
        <v>0</v>
      </c>
      <c r="Y27" s="251">
        <f t="shared" si="14"/>
        <v>0</v>
      </c>
      <c r="Z27" s="251">
        <f t="shared" si="15"/>
        <v>0</v>
      </c>
      <c r="AA27" s="251">
        <f t="shared" si="16"/>
        <v>0</v>
      </c>
      <c r="AB27" s="251">
        <f t="shared" si="63"/>
        <v>0</v>
      </c>
      <c r="AC27" s="251">
        <f t="shared" si="64"/>
        <v>0</v>
      </c>
      <c r="AD27" s="251">
        <f t="shared" si="17"/>
        <v>0</v>
      </c>
      <c r="AE27" s="251">
        <f t="shared" si="18"/>
        <v>0</v>
      </c>
      <c r="AF27" s="251">
        <f t="shared" si="19"/>
        <v>0</v>
      </c>
      <c r="AG27" s="251">
        <f t="shared" si="20"/>
        <v>0</v>
      </c>
      <c r="AH27" s="251">
        <f t="shared" si="65"/>
        <v>0</v>
      </c>
      <c r="AI27" s="251">
        <f t="shared" si="66"/>
        <v>0</v>
      </c>
      <c r="AJ27" s="251">
        <f t="shared" si="67"/>
        <v>0</v>
      </c>
      <c r="AK27" s="251">
        <f t="shared" si="68"/>
        <v>0</v>
      </c>
      <c r="AL27" s="251">
        <f t="shared" si="69"/>
        <v>0</v>
      </c>
      <c r="AM27" s="251">
        <f t="shared" si="70"/>
        <v>0</v>
      </c>
      <c r="AN27" s="251">
        <f t="shared" si="71"/>
        <v>0</v>
      </c>
      <c r="AO27" s="251">
        <f t="shared" si="72"/>
        <v>0</v>
      </c>
      <c r="AP27" s="251">
        <f t="shared" si="21"/>
        <v>0</v>
      </c>
      <c r="AQ27" s="251">
        <f t="shared" si="22"/>
        <v>0</v>
      </c>
      <c r="AR27" s="251">
        <f t="shared" si="23"/>
        <v>0</v>
      </c>
      <c r="AS27" s="251">
        <f t="shared" si="24"/>
        <v>0</v>
      </c>
      <c r="AT27" s="251">
        <f t="shared" si="73"/>
        <v>0</v>
      </c>
      <c r="AU27" s="251">
        <f t="shared" si="74"/>
        <v>0</v>
      </c>
      <c r="AV27" s="251">
        <f t="shared" si="25"/>
        <v>0</v>
      </c>
      <c r="AW27" s="251">
        <f t="shared" si="26"/>
        <v>0</v>
      </c>
      <c r="AX27" s="251">
        <f t="shared" si="27"/>
        <v>0</v>
      </c>
      <c r="AY27" s="251">
        <f t="shared" si="28"/>
        <v>0</v>
      </c>
      <c r="AZ27" s="251">
        <f t="shared" si="29"/>
        <v>0</v>
      </c>
      <c r="BA27" s="251">
        <f t="shared" si="30"/>
        <v>0</v>
      </c>
      <c r="BB27" s="251">
        <f t="shared" si="31"/>
        <v>0</v>
      </c>
      <c r="BC27" s="251">
        <f t="shared" si="32"/>
        <v>0</v>
      </c>
      <c r="BD27" s="251">
        <f t="shared" si="33"/>
        <v>0</v>
      </c>
      <c r="BE27" s="251">
        <f t="shared" si="34"/>
        <v>0</v>
      </c>
      <c r="BF27" s="251">
        <f t="shared" si="35"/>
        <v>0</v>
      </c>
      <c r="BG27" s="251">
        <f t="shared" si="36"/>
        <v>0</v>
      </c>
      <c r="BH27" s="251">
        <f t="shared" si="75"/>
        <v>0</v>
      </c>
      <c r="BI27" s="251">
        <f t="shared" si="76"/>
        <v>0</v>
      </c>
      <c r="BJ27" s="251">
        <f t="shared" si="37"/>
        <v>0</v>
      </c>
      <c r="BK27" s="251">
        <f t="shared" si="38"/>
        <v>0</v>
      </c>
      <c r="BL27" s="251">
        <f t="shared" si="39"/>
        <v>0</v>
      </c>
      <c r="BM27" s="251">
        <f t="shared" si="40"/>
        <v>0</v>
      </c>
      <c r="BN27" s="251">
        <f t="shared" si="41"/>
        <v>0</v>
      </c>
      <c r="BO27" s="251">
        <f t="shared" si="42"/>
        <v>0</v>
      </c>
      <c r="BP27" s="251">
        <f t="shared" si="77"/>
        <v>0</v>
      </c>
      <c r="BQ27" s="251">
        <f t="shared" si="78"/>
        <v>0</v>
      </c>
      <c r="BR27" s="251">
        <f t="shared" si="43"/>
        <v>0</v>
      </c>
      <c r="BS27" s="251">
        <f t="shared" si="44"/>
        <v>0</v>
      </c>
      <c r="BT27" s="251">
        <f t="shared" si="79"/>
        <v>0</v>
      </c>
      <c r="BU27" s="251">
        <f t="shared" si="80"/>
        <v>0</v>
      </c>
      <c r="BV27" s="251">
        <f t="shared" si="81"/>
        <v>0</v>
      </c>
      <c r="BW27" s="251">
        <f t="shared" si="82"/>
        <v>0</v>
      </c>
      <c r="BX27" s="251">
        <f t="shared" si="45"/>
        <v>0</v>
      </c>
      <c r="BY27" s="251">
        <f t="shared" si="46"/>
        <v>0</v>
      </c>
      <c r="BZ27" s="251">
        <f t="shared" si="47"/>
        <v>0</v>
      </c>
      <c r="CA27" s="251">
        <f t="shared" si="48"/>
        <v>0</v>
      </c>
      <c r="CB27" s="251">
        <f t="shared" si="49"/>
        <v>0</v>
      </c>
      <c r="CC27" s="251">
        <f t="shared" si="50"/>
        <v>0</v>
      </c>
      <c r="CD27" s="251">
        <f t="shared" si="83"/>
        <v>0</v>
      </c>
      <c r="CE27" s="251">
        <f t="shared" si="84"/>
        <v>0</v>
      </c>
      <c r="CF27" s="251">
        <f t="shared" si="85"/>
        <v>0</v>
      </c>
      <c r="CG27" s="251">
        <f t="shared" si="86"/>
        <v>0</v>
      </c>
      <c r="CH27" s="251">
        <f t="shared" si="51"/>
        <v>0</v>
      </c>
      <c r="CI27" s="251">
        <f t="shared" si="52"/>
        <v>0</v>
      </c>
      <c r="CJ27" s="251">
        <f t="shared" si="87"/>
        <v>0</v>
      </c>
      <c r="CK27" s="251">
        <f t="shared" si="88"/>
        <v>0</v>
      </c>
      <c r="CL27" s="251">
        <f t="shared" si="53"/>
        <v>0</v>
      </c>
      <c r="CM27" s="251">
        <f t="shared" si="54"/>
        <v>0</v>
      </c>
      <c r="CN27" s="251">
        <f t="shared" si="55"/>
        <v>0</v>
      </c>
      <c r="CO27" s="251">
        <f t="shared" si="56"/>
        <v>0</v>
      </c>
      <c r="CP27" s="251">
        <f t="shared" si="89"/>
        <v>0</v>
      </c>
      <c r="CQ27" s="251">
        <f t="shared" si="90"/>
        <v>0</v>
      </c>
      <c r="CR27" s="251">
        <f t="shared" si="91"/>
        <v>0</v>
      </c>
      <c r="CS27" s="251">
        <f t="shared" si="92"/>
        <v>0</v>
      </c>
      <c r="CT27" s="251">
        <f t="shared" si="57"/>
        <v>0</v>
      </c>
      <c r="CU27" s="251">
        <f t="shared" si="58"/>
        <v>0</v>
      </c>
      <c r="CV27" s="251">
        <f t="shared" si="59"/>
        <v>0</v>
      </c>
      <c r="CW27" s="251">
        <f t="shared" si="60"/>
        <v>0</v>
      </c>
      <c r="CX27" s="251">
        <f t="shared" si="93"/>
        <v>0</v>
      </c>
      <c r="CY27" s="251">
        <f t="shared" si="94"/>
        <v>0</v>
      </c>
      <c r="CZ27" s="251">
        <f t="shared" si="95"/>
        <v>0</v>
      </c>
      <c r="DA27" s="251">
        <f t="shared" si="96"/>
        <v>0</v>
      </c>
    </row>
    <row r="28" spans="1:105" s="248" customFormat="1" ht="16.5" customHeight="1">
      <c r="A28" s="58" t="str">
        <f t="array" ref="A28">IF(C28&lt;&gt;0,SUM(($C$11:C28&lt;&gt;0)*1),"")</f>
        <v/>
      </c>
      <c r="B28" s="249"/>
      <c r="C28" s="249"/>
      <c r="D28" s="249"/>
      <c r="E28" s="326"/>
      <c r="F28" s="300"/>
      <c r="G28" s="302"/>
      <c r="H28" s="302"/>
      <c r="I28" s="58" t="str">
        <f t="shared" si="0"/>
        <v/>
      </c>
      <c r="J28" s="251">
        <f t="shared" si="61"/>
        <v>0</v>
      </c>
      <c r="K28" s="251">
        <f t="shared" si="62"/>
        <v>0</v>
      </c>
      <c r="L28" s="251">
        <f t="shared" si="1"/>
        <v>0</v>
      </c>
      <c r="M28" s="251">
        <f t="shared" si="2"/>
        <v>0</v>
      </c>
      <c r="N28" s="251">
        <f t="shared" si="3"/>
        <v>0</v>
      </c>
      <c r="O28" s="251">
        <f t="shared" si="4"/>
        <v>0</v>
      </c>
      <c r="P28" s="251">
        <f t="shared" si="5"/>
        <v>0</v>
      </c>
      <c r="Q28" s="251">
        <f t="shared" si="6"/>
        <v>0</v>
      </c>
      <c r="R28" s="251">
        <f t="shared" si="7"/>
        <v>0</v>
      </c>
      <c r="S28" s="251">
        <f t="shared" si="8"/>
        <v>0</v>
      </c>
      <c r="T28" s="251">
        <f t="shared" si="9"/>
        <v>0</v>
      </c>
      <c r="U28" s="251">
        <f t="shared" si="10"/>
        <v>0</v>
      </c>
      <c r="V28" s="251">
        <f t="shared" si="11"/>
        <v>0</v>
      </c>
      <c r="W28" s="251">
        <f t="shared" si="12"/>
        <v>0</v>
      </c>
      <c r="X28" s="251">
        <f t="shared" si="13"/>
        <v>0</v>
      </c>
      <c r="Y28" s="251">
        <f t="shared" si="14"/>
        <v>0</v>
      </c>
      <c r="Z28" s="251">
        <f t="shared" si="15"/>
        <v>0</v>
      </c>
      <c r="AA28" s="251">
        <f t="shared" si="16"/>
        <v>0</v>
      </c>
      <c r="AB28" s="251">
        <f t="shared" si="63"/>
        <v>0</v>
      </c>
      <c r="AC28" s="251">
        <f t="shared" si="64"/>
        <v>0</v>
      </c>
      <c r="AD28" s="251">
        <f t="shared" si="17"/>
        <v>0</v>
      </c>
      <c r="AE28" s="251">
        <f t="shared" si="18"/>
        <v>0</v>
      </c>
      <c r="AF28" s="251">
        <f t="shared" si="19"/>
        <v>0</v>
      </c>
      <c r="AG28" s="251">
        <f t="shared" si="20"/>
        <v>0</v>
      </c>
      <c r="AH28" s="251">
        <f t="shared" si="65"/>
        <v>0</v>
      </c>
      <c r="AI28" s="251">
        <f t="shared" si="66"/>
        <v>0</v>
      </c>
      <c r="AJ28" s="251">
        <f t="shared" si="67"/>
        <v>0</v>
      </c>
      <c r="AK28" s="251">
        <f t="shared" si="68"/>
        <v>0</v>
      </c>
      <c r="AL28" s="251">
        <f t="shared" si="69"/>
        <v>0</v>
      </c>
      <c r="AM28" s="251">
        <f t="shared" si="70"/>
        <v>0</v>
      </c>
      <c r="AN28" s="251">
        <f t="shared" si="71"/>
        <v>0</v>
      </c>
      <c r="AO28" s="251">
        <f t="shared" si="72"/>
        <v>0</v>
      </c>
      <c r="AP28" s="251">
        <f t="shared" si="21"/>
        <v>0</v>
      </c>
      <c r="AQ28" s="251">
        <f t="shared" si="22"/>
        <v>0</v>
      </c>
      <c r="AR28" s="251">
        <f t="shared" si="23"/>
        <v>0</v>
      </c>
      <c r="AS28" s="251">
        <f t="shared" si="24"/>
        <v>0</v>
      </c>
      <c r="AT28" s="251">
        <f t="shared" si="73"/>
        <v>0</v>
      </c>
      <c r="AU28" s="251">
        <f t="shared" si="74"/>
        <v>0</v>
      </c>
      <c r="AV28" s="251">
        <f t="shared" si="25"/>
        <v>0</v>
      </c>
      <c r="AW28" s="251">
        <f t="shared" si="26"/>
        <v>0</v>
      </c>
      <c r="AX28" s="251">
        <f t="shared" si="27"/>
        <v>0</v>
      </c>
      <c r="AY28" s="251">
        <f t="shared" si="28"/>
        <v>0</v>
      </c>
      <c r="AZ28" s="251">
        <f t="shared" si="29"/>
        <v>0</v>
      </c>
      <c r="BA28" s="251">
        <f t="shared" si="30"/>
        <v>0</v>
      </c>
      <c r="BB28" s="251">
        <f t="shared" si="31"/>
        <v>0</v>
      </c>
      <c r="BC28" s="251">
        <f t="shared" si="32"/>
        <v>0</v>
      </c>
      <c r="BD28" s="251">
        <f t="shared" si="33"/>
        <v>0</v>
      </c>
      <c r="BE28" s="251">
        <f t="shared" si="34"/>
        <v>0</v>
      </c>
      <c r="BF28" s="251">
        <f t="shared" si="35"/>
        <v>0</v>
      </c>
      <c r="BG28" s="251">
        <f t="shared" si="36"/>
        <v>0</v>
      </c>
      <c r="BH28" s="251">
        <f t="shared" si="75"/>
        <v>0</v>
      </c>
      <c r="BI28" s="251">
        <f t="shared" si="76"/>
        <v>0</v>
      </c>
      <c r="BJ28" s="251">
        <f t="shared" si="37"/>
        <v>0</v>
      </c>
      <c r="BK28" s="251">
        <f t="shared" si="38"/>
        <v>0</v>
      </c>
      <c r="BL28" s="251">
        <f t="shared" si="39"/>
        <v>0</v>
      </c>
      <c r="BM28" s="251">
        <f t="shared" si="40"/>
        <v>0</v>
      </c>
      <c r="BN28" s="251">
        <f t="shared" si="41"/>
        <v>0</v>
      </c>
      <c r="BO28" s="251">
        <f t="shared" si="42"/>
        <v>0</v>
      </c>
      <c r="BP28" s="251">
        <f t="shared" si="77"/>
        <v>0</v>
      </c>
      <c r="BQ28" s="251">
        <f t="shared" si="78"/>
        <v>0</v>
      </c>
      <c r="BR28" s="251">
        <f t="shared" si="43"/>
        <v>0</v>
      </c>
      <c r="BS28" s="251">
        <f t="shared" si="44"/>
        <v>0</v>
      </c>
      <c r="BT28" s="251">
        <f t="shared" si="79"/>
        <v>0</v>
      </c>
      <c r="BU28" s="251">
        <f t="shared" si="80"/>
        <v>0</v>
      </c>
      <c r="BV28" s="251">
        <f t="shared" si="81"/>
        <v>0</v>
      </c>
      <c r="BW28" s="251">
        <f t="shared" si="82"/>
        <v>0</v>
      </c>
      <c r="BX28" s="251">
        <f t="shared" si="45"/>
        <v>0</v>
      </c>
      <c r="BY28" s="251">
        <f t="shared" si="46"/>
        <v>0</v>
      </c>
      <c r="BZ28" s="251">
        <f t="shared" si="47"/>
        <v>0</v>
      </c>
      <c r="CA28" s="251">
        <f t="shared" si="48"/>
        <v>0</v>
      </c>
      <c r="CB28" s="251">
        <f t="shared" si="49"/>
        <v>0</v>
      </c>
      <c r="CC28" s="251">
        <f t="shared" si="50"/>
        <v>0</v>
      </c>
      <c r="CD28" s="251">
        <f t="shared" si="83"/>
        <v>0</v>
      </c>
      <c r="CE28" s="251">
        <f t="shared" si="84"/>
        <v>0</v>
      </c>
      <c r="CF28" s="251">
        <f t="shared" si="85"/>
        <v>0</v>
      </c>
      <c r="CG28" s="251">
        <f t="shared" si="86"/>
        <v>0</v>
      </c>
      <c r="CH28" s="251">
        <f t="shared" si="51"/>
        <v>0</v>
      </c>
      <c r="CI28" s="251">
        <f t="shared" si="52"/>
        <v>0</v>
      </c>
      <c r="CJ28" s="251">
        <f t="shared" si="87"/>
        <v>0</v>
      </c>
      <c r="CK28" s="251">
        <f t="shared" si="88"/>
        <v>0</v>
      </c>
      <c r="CL28" s="251">
        <f t="shared" si="53"/>
        <v>0</v>
      </c>
      <c r="CM28" s="251">
        <f t="shared" si="54"/>
        <v>0</v>
      </c>
      <c r="CN28" s="251">
        <f t="shared" si="55"/>
        <v>0</v>
      </c>
      <c r="CO28" s="251">
        <f t="shared" si="56"/>
        <v>0</v>
      </c>
      <c r="CP28" s="251">
        <f t="shared" si="89"/>
        <v>0</v>
      </c>
      <c r="CQ28" s="251">
        <f t="shared" si="90"/>
        <v>0</v>
      </c>
      <c r="CR28" s="251">
        <f t="shared" si="91"/>
        <v>0</v>
      </c>
      <c r="CS28" s="251">
        <f t="shared" si="92"/>
        <v>0</v>
      </c>
      <c r="CT28" s="251">
        <f t="shared" si="57"/>
        <v>0</v>
      </c>
      <c r="CU28" s="251">
        <f t="shared" si="58"/>
        <v>0</v>
      </c>
      <c r="CV28" s="251">
        <f t="shared" si="59"/>
        <v>0</v>
      </c>
      <c r="CW28" s="251">
        <f t="shared" si="60"/>
        <v>0</v>
      </c>
      <c r="CX28" s="251">
        <f t="shared" si="93"/>
        <v>0</v>
      </c>
      <c r="CY28" s="251">
        <f t="shared" si="94"/>
        <v>0</v>
      </c>
      <c r="CZ28" s="251">
        <f t="shared" si="95"/>
        <v>0</v>
      </c>
      <c r="DA28" s="251">
        <f t="shared" si="96"/>
        <v>0</v>
      </c>
    </row>
    <row r="29" spans="1:105" s="248" customFormat="1" ht="16.5" customHeight="1">
      <c r="A29" s="58" t="str">
        <f t="array" ref="A29">IF(C29&lt;&gt;0,SUM(($C$11:C29&lt;&gt;0)*1),"")</f>
        <v/>
      </c>
      <c r="B29" s="249"/>
      <c r="C29" s="249"/>
      <c r="D29" s="249"/>
      <c r="E29" s="326"/>
      <c r="F29" s="300"/>
      <c r="G29" s="302"/>
      <c r="H29" s="302"/>
      <c r="I29" s="58" t="str">
        <f t="shared" si="0"/>
        <v/>
      </c>
      <c r="J29" s="251">
        <f t="shared" si="61"/>
        <v>0</v>
      </c>
      <c r="K29" s="251">
        <f t="shared" si="62"/>
        <v>0</v>
      </c>
      <c r="L29" s="251">
        <f t="shared" si="1"/>
        <v>0</v>
      </c>
      <c r="M29" s="251">
        <f t="shared" si="2"/>
        <v>0</v>
      </c>
      <c r="N29" s="251">
        <f t="shared" si="3"/>
        <v>0</v>
      </c>
      <c r="O29" s="251">
        <f t="shared" si="4"/>
        <v>0</v>
      </c>
      <c r="P29" s="251">
        <f t="shared" si="5"/>
        <v>0</v>
      </c>
      <c r="Q29" s="251">
        <f t="shared" si="6"/>
        <v>0</v>
      </c>
      <c r="R29" s="251">
        <f t="shared" si="7"/>
        <v>0</v>
      </c>
      <c r="S29" s="251">
        <f t="shared" si="8"/>
        <v>0</v>
      </c>
      <c r="T29" s="251">
        <f t="shared" si="9"/>
        <v>0</v>
      </c>
      <c r="U29" s="251">
        <f t="shared" si="10"/>
        <v>0</v>
      </c>
      <c r="V29" s="251">
        <f t="shared" si="11"/>
        <v>0</v>
      </c>
      <c r="W29" s="251">
        <f t="shared" si="12"/>
        <v>0</v>
      </c>
      <c r="X29" s="251">
        <f t="shared" si="13"/>
        <v>0</v>
      </c>
      <c r="Y29" s="251">
        <f t="shared" si="14"/>
        <v>0</v>
      </c>
      <c r="Z29" s="251">
        <f t="shared" si="15"/>
        <v>0</v>
      </c>
      <c r="AA29" s="251">
        <f t="shared" si="16"/>
        <v>0</v>
      </c>
      <c r="AB29" s="251">
        <f t="shared" si="63"/>
        <v>0</v>
      </c>
      <c r="AC29" s="251">
        <f t="shared" si="64"/>
        <v>0</v>
      </c>
      <c r="AD29" s="251">
        <f t="shared" si="17"/>
        <v>0</v>
      </c>
      <c r="AE29" s="251">
        <f t="shared" si="18"/>
        <v>0</v>
      </c>
      <c r="AF29" s="251">
        <f t="shared" si="19"/>
        <v>0</v>
      </c>
      <c r="AG29" s="251">
        <f t="shared" si="20"/>
        <v>0</v>
      </c>
      <c r="AH29" s="251">
        <f t="shared" si="65"/>
        <v>0</v>
      </c>
      <c r="AI29" s="251">
        <f t="shared" si="66"/>
        <v>0</v>
      </c>
      <c r="AJ29" s="251">
        <f t="shared" si="67"/>
        <v>0</v>
      </c>
      <c r="AK29" s="251">
        <f t="shared" si="68"/>
        <v>0</v>
      </c>
      <c r="AL29" s="251">
        <f t="shared" si="69"/>
        <v>0</v>
      </c>
      <c r="AM29" s="251">
        <f t="shared" si="70"/>
        <v>0</v>
      </c>
      <c r="AN29" s="251">
        <f t="shared" si="71"/>
        <v>0</v>
      </c>
      <c r="AO29" s="251">
        <f t="shared" si="72"/>
        <v>0</v>
      </c>
      <c r="AP29" s="251">
        <f t="shared" si="21"/>
        <v>0</v>
      </c>
      <c r="AQ29" s="251">
        <f t="shared" si="22"/>
        <v>0</v>
      </c>
      <c r="AR29" s="251">
        <f t="shared" si="23"/>
        <v>0</v>
      </c>
      <c r="AS29" s="251">
        <f t="shared" si="24"/>
        <v>0</v>
      </c>
      <c r="AT29" s="251">
        <f t="shared" si="73"/>
        <v>0</v>
      </c>
      <c r="AU29" s="251">
        <f t="shared" si="74"/>
        <v>0</v>
      </c>
      <c r="AV29" s="251">
        <f t="shared" si="25"/>
        <v>0</v>
      </c>
      <c r="AW29" s="251">
        <f t="shared" si="26"/>
        <v>0</v>
      </c>
      <c r="AX29" s="251">
        <f t="shared" si="27"/>
        <v>0</v>
      </c>
      <c r="AY29" s="251">
        <f t="shared" si="28"/>
        <v>0</v>
      </c>
      <c r="AZ29" s="251">
        <f t="shared" si="29"/>
        <v>0</v>
      </c>
      <c r="BA29" s="251">
        <f t="shared" si="30"/>
        <v>0</v>
      </c>
      <c r="BB29" s="251">
        <f t="shared" si="31"/>
        <v>0</v>
      </c>
      <c r="BC29" s="251">
        <f t="shared" si="32"/>
        <v>0</v>
      </c>
      <c r="BD29" s="251">
        <f t="shared" si="33"/>
        <v>0</v>
      </c>
      <c r="BE29" s="251">
        <f t="shared" si="34"/>
        <v>0</v>
      </c>
      <c r="BF29" s="251">
        <f t="shared" si="35"/>
        <v>0</v>
      </c>
      <c r="BG29" s="251">
        <f t="shared" si="36"/>
        <v>0</v>
      </c>
      <c r="BH29" s="251">
        <f t="shared" si="75"/>
        <v>0</v>
      </c>
      <c r="BI29" s="251">
        <f t="shared" si="76"/>
        <v>0</v>
      </c>
      <c r="BJ29" s="251">
        <f t="shared" si="37"/>
        <v>0</v>
      </c>
      <c r="BK29" s="251">
        <f t="shared" si="38"/>
        <v>0</v>
      </c>
      <c r="BL29" s="251">
        <f t="shared" si="39"/>
        <v>0</v>
      </c>
      <c r="BM29" s="251">
        <f t="shared" si="40"/>
        <v>0</v>
      </c>
      <c r="BN29" s="251">
        <f t="shared" si="41"/>
        <v>0</v>
      </c>
      <c r="BO29" s="251">
        <f t="shared" si="42"/>
        <v>0</v>
      </c>
      <c r="BP29" s="251">
        <f t="shared" si="77"/>
        <v>0</v>
      </c>
      <c r="BQ29" s="251">
        <f t="shared" si="78"/>
        <v>0</v>
      </c>
      <c r="BR29" s="251">
        <f t="shared" si="43"/>
        <v>0</v>
      </c>
      <c r="BS29" s="251">
        <f t="shared" si="44"/>
        <v>0</v>
      </c>
      <c r="BT29" s="251">
        <f t="shared" si="79"/>
        <v>0</v>
      </c>
      <c r="BU29" s="251">
        <f t="shared" si="80"/>
        <v>0</v>
      </c>
      <c r="BV29" s="251">
        <f t="shared" si="81"/>
        <v>0</v>
      </c>
      <c r="BW29" s="251">
        <f t="shared" si="82"/>
        <v>0</v>
      </c>
      <c r="BX29" s="251">
        <f t="shared" si="45"/>
        <v>0</v>
      </c>
      <c r="BY29" s="251">
        <f t="shared" si="46"/>
        <v>0</v>
      </c>
      <c r="BZ29" s="251">
        <f t="shared" si="47"/>
        <v>0</v>
      </c>
      <c r="CA29" s="251">
        <f t="shared" si="48"/>
        <v>0</v>
      </c>
      <c r="CB29" s="251">
        <f t="shared" si="49"/>
        <v>0</v>
      </c>
      <c r="CC29" s="251">
        <f t="shared" si="50"/>
        <v>0</v>
      </c>
      <c r="CD29" s="251">
        <f t="shared" si="83"/>
        <v>0</v>
      </c>
      <c r="CE29" s="251">
        <f t="shared" si="84"/>
        <v>0</v>
      </c>
      <c r="CF29" s="251">
        <f t="shared" si="85"/>
        <v>0</v>
      </c>
      <c r="CG29" s="251">
        <f t="shared" si="86"/>
        <v>0</v>
      </c>
      <c r="CH29" s="251">
        <f t="shared" si="51"/>
        <v>0</v>
      </c>
      <c r="CI29" s="251">
        <f t="shared" si="52"/>
        <v>0</v>
      </c>
      <c r="CJ29" s="251">
        <f t="shared" si="87"/>
        <v>0</v>
      </c>
      <c r="CK29" s="251">
        <f t="shared" si="88"/>
        <v>0</v>
      </c>
      <c r="CL29" s="251">
        <f t="shared" si="53"/>
        <v>0</v>
      </c>
      <c r="CM29" s="251">
        <f t="shared" si="54"/>
        <v>0</v>
      </c>
      <c r="CN29" s="251">
        <f t="shared" si="55"/>
        <v>0</v>
      </c>
      <c r="CO29" s="251">
        <f t="shared" si="56"/>
        <v>0</v>
      </c>
      <c r="CP29" s="251">
        <f t="shared" si="89"/>
        <v>0</v>
      </c>
      <c r="CQ29" s="251">
        <f t="shared" si="90"/>
        <v>0</v>
      </c>
      <c r="CR29" s="251">
        <f t="shared" si="91"/>
        <v>0</v>
      </c>
      <c r="CS29" s="251">
        <f t="shared" si="92"/>
        <v>0</v>
      </c>
      <c r="CT29" s="251">
        <f t="shared" si="57"/>
        <v>0</v>
      </c>
      <c r="CU29" s="251">
        <f t="shared" si="58"/>
        <v>0</v>
      </c>
      <c r="CV29" s="251">
        <f t="shared" si="59"/>
        <v>0</v>
      </c>
      <c r="CW29" s="251">
        <f t="shared" si="60"/>
        <v>0</v>
      </c>
      <c r="CX29" s="251">
        <f t="shared" si="93"/>
        <v>0</v>
      </c>
      <c r="CY29" s="251">
        <f t="shared" si="94"/>
        <v>0</v>
      </c>
      <c r="CZ29" s="251">
        <f t="shared" si="95"/>
        <v>0</v>
      </c>
      <c r="DA29" s="251">
        <f t="shared" si="96"/>
        <v>0</v>
      </c>
    </row>
    <row r="30" spans="1:105" s="248" customFormat="1" ht="16.5" customHeight="1">
      <c r="A30" s="58" t="str">
        <f t="array" ref="A30">IF(C30&lt;&gt;0,SUM(($C$11:C30&lt;&gt;0)*1),"")</f>
        <v/>
      </c>
      <c r="B30" s="249"/>
      <c r="C30" s="249"/>
      <c r="D30" s="249"/>
      <c r="E30" s="326"/>
      <c r="F30" s="300"/>
      <c r="G30" s="302"/>
      <c r="H30" s="302"/>
      <c r="I30" s="58" t="str">
        <f t="shared" si="0"/>
        <v/>
      </c>
      <c r="J30" s="251">
        <f t="shared" si="61"/>
        <v>0</v>
      </c>
      <c r="K30" s="251">
        <f t="shared" si="62"/>
        <v>0</v>
      </c>
      <c r="L30" s="251">
        <f t="shared" si="1"/>
        <v>0</v>
      </c>
      <c r="M30" s="251">
        <f t="shared" si="2"/>
        <v>0</v>
      </c>
      <c r="N30" s="251">
        <f t="shared" si="3"/>
        <v>0</v>
      </c>
      <c r="O30" s="251">
        <f t="shared" si="4"/>
        <v>0</v>
      </c>
      <c r="P30" s="251">
        <f t="shared" si="5"/>
        <v>0</v>
      </c>
      <c r="Q30" s="251">
        <f t="shared" si="6"/>
        <v>0</v>
      </c>
      <c r="R30" s="251">
        <f t="shared" si="7"/>
        <v>0</v>
      </c>
      <c r="S30" s="251">
        <f t="shared" si="8"/>
        <v>0</v>
      </c>
      <c r="T30" s="251">
        <f t="shared" si="9"/>
        <v>0</v>
      </c>
      <c r="U30" s="251">
        <f t="shared" si="10"/>
        <v>0</v>
      </c>
      <c r="V30" s="251">
        <f t="shared" si="11"/>
        <v>0</v>
      </c>
      <c r="W30" s="251">
        <f t="shared" si="12"/>
        <v>0</v>
      </c>
      <c r="X30" s="251">
        <f t="shared" si="13"/>
        <v>0</v>
      </c>
      <c r="Y30" s="251">
        <f t="shared" si="14"/>
        <v>0</v>
      </c>
      <c r="Z30" s="251">
        <f t="shared" si="15"/>
        <v>0</v>
      </c>
      <c r="AA30" s="251">
        <f t="shared" si="16"/>
        <v>0</v>
      </c>
      <c r="AB30" s="251">
        <f t="shared" si="63"/>
        <v>0</v>
      </c>
      <c r="AC30" s="251">
        <f t="shared" si="64"/>
        <v>0</v>
      </c>
      <c r="AD30" s="251">
        <f t="shared" si="17"/>
        <v>0</v>
      </c>
      <c r="AE30" s="251">
        <f t="shared" si="18"/>
        <v>0</v>
      </c>
      <c r="AF30" s="251">
        <f t="shared" si="19"/>
        <v>0</v>
      </c>
      <c r="AG30" s="251">
        <f t="shared" si="20"/>
        <v>0</v>
      </c>
      <c r="AH30" s="251">
        <f t="shared" si="65"/>
        <v>0</v>
      </c>
      <c r="AI30" s="251">
        <f t="shared" si="66"/>
        <v>0</v>
      </c>
      <c r="AJ30" s="251">
        <f t="shared" si="67"/>
        <v>0</v>
      </c>
      <c r="AK30" s="251">
        <f t="shared" si="68"/>
        <v>0</v>
      </c>
      <c r="AL30" s="251">
        <f t="shared" si="69"/>
        <v>0</v>
      </c>
      <c r="AM30" s="251">
        <f t="shared" si="70"/>
        <v>0</v>
      </c>
      <c r="AN30" s="251">
        <f t="shared" si="71"/>
        <v>0</v>
      </c>
      <c r="AO30" s="251">
        <f t="shared" si="72"/>
        <v>0</v>
      </c>
      <c r="AP30" s="251">
        <f t="shared" si="21"/>
        <v>0</v>
      </c>
      <c r="AQ30" s="251">
        <f t="shared" si="22"/>
        <v>0</v>
      </c>
      <c r="AR30" s="251">
        <f t="shared" si="23"/>
        <v>0</v>
      </c>
      <c r="AS30" s="251">
        <f t="shared" si="24"/>
        <v>0</v>
      </c>
      <c r="AT30" s="251">
        <f t="shared" si="73"/>
        <v>0</v>
      </c>
      <c r="AU30" s="251">
        <f t="shared" si="74"/>
        <v>0</v>
      </c>
      <c r="AV30" s="251">
        <f t="shared" si="25"/>
        <v>0</v>
      </c>
      <c r="AW30" s="251">
        <f t="shared" si="26"/>
        <v>0</v>
      </c>
      <c r="AX30" s="251">
        <f t="shared" si="27"/>
        <v>0</v>
      </c>
      <c r="AY30" s="251">
        <f t="shared" si="28"/>
        <v>0</v>
      </c>
      <c r="AZ30" s="251">
        <f t="shared" si="29"/>
        <v>0</v>
      </c>
      <c r="BA30" s="251">
        <f t="shared" si="30"/>
        <v>0</v>
      </c>
      <c r="BB30" s="251">
        <f t="shared" si="31"/>
        <v>0</v>
      </c>
      <c r="BC30" s="251">
        <f t="shared" si="32"/>
        <v>0</v>
      </c>
      <c r="BD30" s="251">
        <f t="shared" si="33"/>
        <v>0</v>
      </c>
      <c r="BE30" s="251">
        <f t="shared" si="34"/>
        <v>0</v>
      </c>
      <c r="BF30" s="251">
        <f t="shared" si="35"/>
        <v>0</v>
      </c>
      <c r="BG30" s="251">
        <f t="shared" si="36"/>
        <v>0</v>
      </c>
      <c r="BH30" s="251">
        <f t="shared" si="75"/>
        <v>0</v>
      </c>
      <c r="BI30" s="251">
        <f t="shared" si="76"/>
        <v>0</v>
      </c>
      <c r="BJ30" s="251">
        <f t="shared" si="37"/>
        <v>0</v>
      </c>
      <c r="BK30" s="251">
        <f t="shared" si="38"/>
        <v>0</v>
      </c>
      <c r="BL30" s="251">
        <f t="shared" si="39"/>
        <v>0</v>
      </c>
      <c r="BM30" s="251">
        <f t="shared" si="40"/>
        <v>0</v>
      </c>
      <c r="BN30" s="251">
        <f t="shared" si="41"/>
        <v>0</v>
      </c>
      <c r="BO30" s="251">
        <f t="shared" si="42"/>
        <v>0</v>
      </c>
      <c r="BP30" s="251">
        <f t="shared" si="77"/>
        <v>0</v>
      </c>
      <c r="BQ30" s="251">
        <f t="shared" si="78"/>
        <v>0</v>
      </c>
      <c r="BR30" s="251">
        <f t="shared" si="43"/>
        <v>0</v>
      </c>
      <c r="BS30" s="251">
        <f t="shared" si="44"/>
        <v>0</v>
      </c>
      <c r="BT30" s="251">
        <f t="shared" si="79"/>
        <v>0</v>
      </c>
      <c r="BU30" s="251">
        <f t="shared" si="80"/>
        <v>0</v>
      </c>
      <c r="BV30" s="251">
        <f t="shared" si="81"/>
        <v>0</v>
      </c>
      <c r="BW30" s="251">
        <f t="shared" si="82"/>
        <v>0</v>
      </c>
      <c r="BX30" s="251">
        <f t="shared" si="45"/>
        <v>0</v>
      </c>
      <c r="BY30" s="251">
        <f t="shared" si="46"/>
        <v>0</v>
      </c>
      <c r="BZ30" s="251">
        <f t="shared" si="47"/>
        <v>0</v>
      </c>
      <c r="CA30" s="251">
        <f t="shared" si="48"/>
        <v>0</v>
      </c>
      <c r="CB30" s="251">
        <f t="shared" si="49"/>
        <v>0</v>
      </c>
      <c r="CC30" s="251">
        <f t="shared" si="50"/>
        <v>0</v>
      </c>
      <c r="CD30" s="251">
        <f t="shared" si="83"/>
        <v>0</v>
      </c>
      <c r="CE30" s="251">
        <f t="shared" si="84"/>
        <v>0</v>
      </c>
      <c r="CF30" s="251">
        <f t="shared" si="85"/>
        <v>0</v>
      </c>
      <c r="CG30" s="251">
        <f t="shared" si="86"/>
        <v>0</v>
      </c>
      <c r="CH30" s="251">
        <f t="shared" si="51"/>
        <v>0</v>
      </c>
      <c r="CI30" s="251">
        <f t="shared" si="52"/>
        <v>0</v>
      </c>
      <c r="CJ30" s="251">
        <f t="shared" si="87"/>
        <v>0</v>
      </c>
      <c r="CK30" s="251">
        <f t="shared" si="88"/>
        <v>0</v>
      </c>
      <c r="CL30" s="251">
        <f t="shared" si="53"/>
        <v>0</v>
      </c>
      <c r="CM30" s="251">
        <f t="shared" si="54"/>
        <v>0</v>
      </c>
      <c r="CN30" s="251">
        <f t="shared" si="55"/>
        <v>0</v>
      </c>
      <c r="CO30" s="251">
        <f t="shared" si="56"/>
        <v>0</v>
      </c>
      <c r="CP30" s="251">
        <f t="shared" si="89"/>
        <v>0</v>
      </c>
      <c r="CQ30" s="251">
        <f t="shared" si="90"/>
        <v>0</v>
      </c>
      <c r="CR30" s="251">
        <f t="shared" si="91"/>
        <v>0</v>
      </c>
      <c r="CS30" s="251">
        <f t="shared" si="92"/>
        <v>0</v>
      </c>
      <c r="CT30" s="251">
        <f t="shared" si="57"/>
        <v>0</v>
      </c>
      <c r="CU30" s="251">
        <f t="shared" si="58"/>
        <v>0</v>
      </c>
      <c r="CV30" s="251">
        <f t="shared" si="59"/>
        <v>0</v>
      </c>
      <c r="CW30" s="251">
        <f t="shared" si="60"/>
        <v>0</v>
      </c>
      <c r="CX30" s="251">
        <f t="shared" si="93"/>
        <v>0</v>
      </c>
      <c r="CY30" s="251">
        <f t="shared" si="94"/>
        <v>0</v>
      </c>
      <c r="CZ30" s="251">
        <f t="shared" si="95"/>
        <v>0</v>
      </c>
      <c r="DA30" s="251">
        <f t="shared" si="96"/>
        <v>0</v>
      </c>
    </row>
    <row r="31" spans="1:105" s="248" customFormat="1" ht="16.5" customHeight="1">
      <c r="A31" s="58" t="str">
        <f t="array" ref="A31">IF(C31&lt;&gt;0,SUM(($C$11:C31&lt;&gt;0)*1),"")</f>
        <v/>
      </c>
      <c r="B31" s="249"/>
      <c r="C31" s="249"/>
      <c r="D31" s="249"/>
      <c r="E31" s="326"/>
      <c r="F31" s="300"/>
      <c r="G31" s="302"/>
      <c r="H31" s="302"/>
      <c r="I31" s="58" t="str">
        <f t="shared" si="0"/>
        <v/>
      </c>
      <c r="J31" s="251">
        <f t="shared" si="61"/>
        <v>0</v>
      </c>
      <c r="K31" s="251">
        <f t="shared" si="62"/>
        <v>0</v>
      </c>
      <c r="L31" s="251">
        <f t="shared" si="1"/>
        <v>0</v>
      </c>
      <c r="M31" s="251">
        <f t="shared" si="2"/>
        <v>0</v>
      </c>
      <c r="N31" s="251">
        <f t="shared" si="3"/>
        <v>0</v>
      </c>
      <c r="O31" s="251">
        <f t="shared" si="4"/>
        <v>0</v>
      </c>
      <c r="P31" s="251">
        <f t="shared" si="5"/>
        <v>0</v>
      </c>
      <c r="Q31" s="251">
        <f t="shared" si="6"/>
        <v>0</v>
      </c>
      <c r="R31" s="251">
        <f t="shared" si="7"/>
        <v>0</v>
      </c>
      <c r="S31" s="251">
        <f t="shared" si="8"/>
        <v>0</v>
      </c>
      <c r="T31" s="251">
        <f t="shared" si="9"/>
        <v>0</v>
      </c>
      <c r="U31" s="251">
        <f t="shared" si="10"/>
        <v>0</v>
      </c>
      <c r="V31" s="251">
        <f t="shared" si="11"/>
        <v>0</v>
      </c>
      <c r="W31" s="251">
        <f t="shared" si="12"/>
        <v>0</v>
      </c>
      <c r="X31" s="251">
        <f t="shared" si="13"/>
        <v>0</v>
      </c>
      <c r="Y31" s="251">
        <f t="shared" si="14"/>
        <v>0</v>
      </c>
      <c r="Z31" s="251">
        <f t="shared" si="15"/>
        <v>0</v>
      </c>
      <c r="AA31" s="251">
        <f t="shared" si="16"/>
        <v>0</v>
      </c>
      <c r="AB31" s="251">
        <f t="shared" si="63"/>
        <v>0</v>
      </c>
      <c r="AC31" s="251">
        <f t="shared" si="64"/>
        <v>0</v>
      </c>
      <c r="AD31" s="251">
        <f t="shared" si="17"/>
        <v>0</v>
      </c>
      <c r="AE31" s="251">
        <f t="shared" si="18"/>
        <v>0</v>
      </c>
      <c r="AF31" s="251">
        <f t="shared" si="19"/>
        <v>0</v>
      </c>
      <c r="AG31" s="251">
        <f t="shared" si="20"/>
        <v>0</v>
      </c>
      <c r="AH31" s="251">
        <f t="shared" si="65"/>
        <v>0</v>
      </c>
      <c r="AI31" s="251">
        <f t="shared" si="66"/>
        <v>0</v>
      </c>
      <c r="AJ31" s="251">
        <f t="shared" si="67"/>
        <v>0</v>
      </c>
      <c r="AK31" s="251">
        <f t="shared" si="68"/>
        <v>0</v>
      </c>
      <c r="AL31" s="251">
        <f t="shared" si="69"/>
        <v>0</v>
      </c>
      <c r="AM31" s="251">
        <f t="shared" si="70"/>
        <v>0</v>
      </c>
      <c r="AN31" s="251">
        <f t="shared" si="71"/>
        <v>0</v>
      </c>
      <c r="AO31" s="251">
        <f t="shared" si="72"/>
        <v>0</v>
      </c>
      <c r="AP31" s="251">
        <f t="shared" si="21"/>
        <v>0</v>
      </c>
      <c r="AQ31" s="251">
        <f t="shared" si="22"/>
        <v>0</v>
      </c>
      <c r="AR31" s="251">
        <f t="shared" si="23"/>
        <v>0</v>
      </c>
      <c r="AS31" s="251">
        <f t="shared" si="24"/>
        <v>0</v>
      </c>
      <c r="AT31" s="251">
        <f t="shared" si="73"/>
        <v>0</v>
      </c>
      <c r="AU31" s="251">
        <f t="shared" si="74"/>
        <v>0</v>
      </c>
      <c r="AV31" s="251">
        <f t="shared" si="25"/>
        <v>0</v>
      </c>
      <c r="AW31" s="251">
        <f t="shared" si="26"/>
        <v>0</v>
      </c>
      <c r="AX31" s="251">
        <f t="shared" si="27"/>
        <v>0</v>
      </c>
      <c r="AY31" s="251">
        <f t="shared" si="28"/>
        <v>0</v>
      </c>
      <c r="AZ31" s="251">
        <f t="shared" si="29"/>
        <v>0</v>
      </c>
      <c r="BA31" s="251">
        <f t="shared" si="30"/>
        <v>0</v>
      </c>
      <c r="BB31" s="251">
        <f t="shared" si="31"/>
        <v>0</v>
      </c>
      <c r="BC31" s="251">
        <f t="shared" si="32"/>
        <v>0</v>
      </c>
      <c r="BD31" s="251">
        <f t="shared" si="33"/>
        <v>0</v>
      </c>
      <c r="BE31" s="251">
        <f t="shared" si="34"/>
        <v>0</v>
      </c>
      <c r="BF31" s="251">
        <f t="shared" si="35"/>
        <v>0</v>
      </c>
      <c r="BG31" s="251">
        <f t="shared" si="36"/>
        <v>0</v>
      </c>
      <c r="BH31" s="251">
        <f t="shared" si="75"/>
        <v>0</v>
      </c>
      <c r="BI31" s="251">
        <f t="shared" si="76"/>
        <v>0</v>
      </c>
      <c r="BJ31" s="251">
        <f t="shared" si="37"/>
        <v>0</v>
      </c>
      <c r="BK31" s="251">
        <f t="shared" si="38"/>
        <v>0</v>
      </c>
      <c r="BL31" s="251">
        <f t="shared" si="39"/>
        <v>0</v>
      </c>
      <c r="BM31" s="251">
        <f t="shared" si="40"/>
        <v>0</v>
      </c>
      <c r="BN31" s="251">
        <f t="shared" si="41"/>
        <v>0</v>
      </c>
      <c r="BO31" s="251">
        <f t="shared" si="42"/>
        <v>0</v>
      </c>
      <c r="BP31" s="251">
        <f t="shared" si="77"/>
        <v>0</v>
      </c>
      <c r="BQ31" s="251">
        <f t="shared" si="78"/>
        <v>0</v>
      </c>
      <c r="BR31" s="251">
        <f t="shared" si="43"/>
        <v>0</v>
      </c>
      <c r="BS31" s="251">
        <f t="shared" si="44"/>
        <v>0</v>
      </c>
      <c r="BT31" s="251">
        <f t="shared" si="79"/>
        <v>0</v>
      </c>
      <c r="BU31" s="251">
        <f t="shared" si="80"/>
        <v>0</v>
      </c>
      <c r="BV31" s="251">
        <f t="shared" si="81"/>
        <v>0</v>
      </c>
      <c r="BW31" s="251">
        <f t="shared" si="82"/>
        <v>0</v>
      </c>
      <c r="BX31" s="251">
        <f t="shared" si="45"/>
        <v>0</v>
      </c>
      <c r="BY31" s="251">
        <f t="shared" si="46"/>
        <v>0</v>
      </c>
      <c r="BZ31" s="251">
        <f t="shared" si="47"/>
        <v>0</v>
      </c>
      <c r="CA31" s="251">
        <f t="shared" si="48"/>
        <v>0</v>
      </c>
      <c r="CB31" s="251">
        <f t="shared" si="49"/>
        <v>0</v>
      </c>
      <c r="CC31" s="251">
        <f t="shared" si="50"/>
        <v>0</v>
      </c>
      <c r="CD31" s="251">
        <f t="shared" si="83"/>
        <v>0</v>
      </c>
      <c r="CE31" s="251">
        <f t="shared" si="84"/>
        <v>0</v>
      </c>
      <c r="CF31" s="251">
        <f t="shared" si="85"/>
        <v>0</v>
      </c>
      <c r="CG31" s="251">
        <f t="shared" si="86"/>
        <v>0</v>
      </c>
      <c r="CH31" s="251">
        <f t="shared" si="51"/>
        <v>0</v>
      </c>
      <c r="CI31" s="251">
        <f t="shared" si="52"/>
        <v>0</v>
      </c>
      <c r="CJ31" s="251">
        <f t="shared" si="87"/>
        <v>0</v>
      </c>
      <c r="CK31" s="251">
        <f t="shared" si="88"/>
        <v>0</v>
      </c>
      <c r="CL31" s="251">
        <f t="shared" si="53"/>
        <v>0</v>
      </c>
      <c r="CM31" s="251">
        <f t="shared" si="54"/>
        <v>0</v>
      </c>
      <c r="CN31" s="251">
        <f t="shared" si="55"/>
        <v>0</v>
      </c>
      <c r="CO31" s="251">
        <f t="shared" si="56"/>
        <v>0</v>
      </c>
      <c r="CP31" s="251">
        <f t="shared" si="89"/>
        <v>0</v>
      </c>
      <c r="CQ31" s="251">
        <f t="shared" si="90"/>
        <v>0</v>
      </c>
      <c r="CR31" s="251">
        <f t="shared" si="91"/>
        <v>0</v>
      </c>
      <c r="CS31" s="251">
        <f t="shared" si="92"/>
        <v>0</v>
      </c>
      <c r="CT31" s="251">
        <f t="shared" si="57"/>
        <v>0</v>
      </c>
      <c r="CU31" s="251">
        <f t="shared" si="58"/>
        <v>0</v>
      </c>
      <c r="CV31" s="251">
        <f t="shared" si="59"/>
        <v>0</v>
      </c>
      <c r="CW31" s="251">
        <f t="shared" si="60"/>
        <v>0</v>
      </c>
      <c r="CX31" s="251">
        <f t="shared" si="93"/>
        <v>0</v>
      </c>
      <c r="CY31" s="251">
        <f t="shared" si="94"/>
        <v>0</v>
      </c>
      <c r="CZ31" s="251">
        <f t="shared" si="95"/>
        <v>0</v>
      </c>
      <c r="DA31" s="251">
        <f t="shared" si="96"/>
        <v>0</v>
      </c>
    </row>
    <row r="32" spans="1:105" s="248" customFormat="1" ht="16.5" customHeight="1">
      <c r="A32" s="58" t="str">
        <f t="array" ref="A32">IF(C32&lt;&gt;0,SUM(($C$11:C32&lt;&gt;0)*1),"")</f>
        <v/>
      </c>
      <c r="B32" s="249"/>
      <c r="C32" s="249"/>
      <c r="D32" s="249"/>
      <c r="E32" s="326"/>
      <c r="F32" s="300"/>
      <c r="G32" s="302"/>
      <c r="H32" s="302"/>
      <c r="I32" s="58" t="str">
        <f t="shared" si="0"/>
        <v/>
      </c>
      <c r="J32" s="251">
        <f t="shared" si="61"/>
        <v>0</v>
      </c>
      <c r="K32" s="251">
        <f t="shared" si="62"/>
        <v>0</v>
      </c>
      <c r="L32" s="251">
        <f t="shared" si="1"/>
        <v>0</v>
      </c>
      <c r="M32" s="251">
        <f t="shared" si="2"/>
        <v>0</v>
      </c>
      <c r="N32" s="251">
        <f t="shared" si="3"/>
        <v>0</v>
      </c>
      <c r="O32" s="251">
        <f t="shared" si="4"/>
        <v>0</v>
      </c>
      <c r="P32" s="251">
        <f t="shared" si="5"/>
        <v>0</v>
      </c>
      <c r="Q32" s="251">
        <f t="shared" si="6"/>
        <v>0</v>
      </c>
      <c r="R32" s="251">
        <f t="shared" si="7"/>
        <v>0</v>
      </c>
      <c r="S32" s="251">
        <f t="shared" si="8"/>
        <v>0</v>
      </c>
      <c r="T32" s="251">
        <f t="shared" si="9"/>
        <v>0</v>
      </c>
      <c r="U32" s="251">
        <f t="shared" si="10"/>
        <v>0</v>
      </c>
      <c r="V32" s="251">
        <f t="shared" si="11"/>
        <v>0</v>
      </c>
      <c r="W32" s="251">
        <f t="shared" si="12"/>
        <v>0</v>
      </c>
      <c r="X32" s="251">
        <f t="shared" si="13"/>
        <v>0</v>
      </c>
      <c r="Y32" s="251">
        <f t="shared" si="14"/>
        <v>0</v>
      </c>
      <c r="Z32" s="251">
        <f t="shared" si="15"/>
        <v>0</v>
      </c>
      <c r="AA32" s="251">
        <f t="shared" si="16"/>
        <v>0</v>
      </c>
      <c r="AB32" s="251">
        <f t="shared" si="63"/>
        <v>0</v>
      </c>
      <c r="AC32" s="251">
        <f t="shared" si="64"/>
        <v>0</v>
      </c>
      <c r="AD32" s="251">
        <f t="shared" si="17"/>
        <v>0</v>
      </c>
      <c r="AE32" s="251">
        <f t="shared" si="18"/>
        <v>0</v>
      </c>
      <c r="AF32" s="251">
        <f t="shared" si="19"/>
        <v>0</v>
      </c>
      <c r="AG32" s="251">
        <f t="shared" si="20"/>
        <v>0</v>
      </c>
      <c r="AH32" s="251">
        <f t="shared" si="65"/>
        <v>0</v>
      </c>
      <c r="AI32" s="251">
        <f t="shared" si="66"/>
        <v>0</v>
      </c>
      <c r="AJ32" s="251">
        <f t="shared" si="67"/>
        <v>0</v>
      </c>
      <c r="AK32" s="251">
        <f t="shared" si="68"/>
        <v>0</v>
      </c>
      <c r="AL32" s="251">
        <f t="shared" si="69"/>
        <v>0</v>
      </c>
      <c r="AM32" s="251">
        <f t="shared" si="70"/>
        <v>0</v>
      </c>
      <c r="AN32" s="251">
        <f t="shared" si="71"/>
        <v>0</v>
      </c>
      <c r="AO32" s="251">
        <f t="shared" si="72"/>
        <v>0</v>
      </c>
      <c r="AP32" s="251">
        <f t="shared" si="21"/>
        <v>0</v>
      </c>
      <c r="AQ32" s="251">
        <f t="shared" si="22"/>
        <v>0</v>
      </c>
      <c r="AR32" s="251">
        <f t="shared" si="23"/>
        <v>0</v>
      </c>
      <c r="AS32" s="251">
        <f t="shared" si="24"/>
        <v>0</v>
      </c>
      <c r="AT32" s="251">
        <f t="shared" si="73"/>
        <v>0</v>
      </c>
      <c r="AU32" s="251">
        <f t="shared" si="74"/>
        <v>0</v>
      </c>
      <c r="AV32" s="251">
        <f t="shared" si="25"/>
        <v>0</v>
      </c>
      <c r="AW32" s="251">
        <f t="shared" si="26"/>
        <v>0</v>
      </c>
      <c r="AX32" s="251">
        <f t="shared" si="27"/>
        <v>0</v>
      </c>
      <c r="AY32" s="251">
        <f t="shared" si="28"/>
        <v>0</v>
      </c>
      <c r="AZ32" s="251">
        <f t="shared" si="29"/>
        <v>0</v>
      </c>
      <c r="BA32" s="251">
        <f t="shared" si="30"/>
        <v>0</v>
      </c>
      <c r="BB32" s="251">
        <f t="shared" si="31"/>
        <v>0</v>
      </c>
      <c r="BC32" s="251">
        <f t="shared" si="32"/>
        <v>0</v>
      </c>
      <c r="BD32" s="251">
        <f t="shared" si="33"/>
        <v>0</v>
      </c>
      <c r="BE32" s="251">
        <f t="shared" si="34"/>
        <v>0</v>
      </c>
      <c r="BF32" s="251">
        <f t="shared" si="35"/>
        <v>0</v>
      </c>
      <c r="BG32" s="251">
        <f t="shared" si="36"/>
        <v>0</v>
      </c>
      <c r="BH32" s="251">
        <f t="shared" si="75"/>
        <v>0</v>
      </c>
      <c r="BI32" s="251">
        <f t="shared" si="76"/>
        <v>0</v>
      </c>
      <c r="BJ32" s="251">
        <f t="shared" si="37"/>
        <v>0</v>
      </c>
      <c r="BK32" s="251">
        <f t="shared" si="38"/>
        <v>0</v>
      </c>
      <c r="BL32" s="251">
        <f t="shared" si="39"/>
        <v>0</v>
      </c>
      <c r="BM32" s="251">
        <f t="shared" si="40"/>
        <v>0</v>
      </c>
      <c r="BN32" s="251">
        <f t="shared" si="41"/>
        <v>0</v>
      </c>
      <c r="BO32" s="251">
        <f t="shared" si="42"/>
        <v>0</v>
      </c>
      <c r="BP32" s="251">
        <f t="shared" si="77"/>
        <v>0</v>
      </c>
      <c r="BQ32" s="251">
        <f t="shared" si="78"/>
        <v>0</v>
      </c>
      <c r="BR32" s="251">
        <f t="shared" si="43"/>
        <v>0</v>
      </c>
      <c r="BS32" s="251">
        <f t="shared" si="44"/>
        <v>0</v>
      </c>
      <c r="BT32" s="251">
        <f t="shared" si="79"/>
        <v>0</v>
      </c>
      <c r="BU32" s="251">
        <f t="shared" si="80"/>
        <v>0</v>
      </c>
      <c r="BV32" s="251">
        <f t="shared" si="81"/>
        <v>0</v>
      </c>
      <c r="BW32" s="251">
        <f t="shared" si="82"/>
        <v>0</v>
      </c>
      <c r="BX32" s="251">
        <f t="shared" si="45"/>
        <v>0</v>
      </c>
      <c r="BY32" s="251">
        <f t="shared" si="46"/>
        <v>0</v>
      </c>
      <c r="BZ32" s="251">
        <f t="shared" si="47"/>
        <v>0</v>
      </c>
      <c r="CA32" s="251">
        <f t="shared" si="48"/>
        <v>0</v>
      </c>
      <c r="CB32" s="251">
        <f t="shared" si="49"/>
        <v>0</v>
      </c>
      <c r="CC32" s="251">
        <f t="shared" si="50"/>
        <v>0</v>
      </c>
      <c r="CD32" s="251">
        <f t="shared" si="83"/>
        <v>0</v>
      </c>
      <c r="CE32" s="251">
        <f t="shared" si="84"/>
        <v>0</v>
      </c>
      <c r="CF32" s="251">
        <f t="shared" si="85"/>
        <v>0</v>
      </c>
      <c r="CG32" s="251">
        <f t="shared" si="86"/>
        <v>0</v>
      </c>
      <c r="CH32" s="251">
        <f t="shared" si="51"/>
        <v>0</v>
      </c>
      <c r="CI32" s="251">
        <f t="shared" si="52"/>
        <v>0</v>
      </c>
      <c r="CJ32" s="251">
        <f t="shared" si="87"/>
        <v>0</v>
      </c>
      <c r="CK32" s="251">
        <f t="shared" si="88"/>
        <v>0</v>
      </c>
      <c r="CL32" s="251">
        <f t="shared" si="53"/>
        <v>0</v>
      </c>
      <c r="CM32" s="251">
        <f t="shared" si="54"/>
        <v>0</v>
      </c>
      <c r="CN32" s="251">
        <f t="shared" si="55"/>
        <v>0</v>
      </c>
      <c r="CO32" s="251">
        <f t="shared" si="56"/>
        <v>0</v>
      </c>
      <c r="CP32" s="251">
        <f t="shared" si="89"/>
        <v>0</v>
      </c>
      <c r="CQ32" s="251">
        <f t="shared" si="90"/>
        <v>0</v>
      </c>
      <c r="CR32" s="251">
        <f t="shared" si="91"/>
        <v>0</v>
      </c>
      <c r="CS32" s="251">
        <f t="shared" si="92"/>
        <v>0</v>
      </c>
      <c r="CT32" s="251">
        <f t="shared" si="57"/>
        <v>0</v>
      </c>
      <c r="CU32" s="251">
        <f t="shared" si="58"/>
        <v>0</v>
      </c>
      <c r="CV32" s="251">
        <f t="shared" si="59"/>
        <v>0</v>
      </c>
      <c r="CW32" s="251">
        <f t="shared" si="60"/>
        <v>0</v>
      </c>
      <c r="CX32" s="251">
        <f t="shared" si="93"/>
        <v>0</v>
      </c>
      <c r="CY32" s="251">
        <f t="shared" si="94"/>
        <v>0</v>
      </c>
      <c r="CZ32" s="251">
        <f t="shared" si="95"/>
        <v>0</v>
      </c>
      <c r="DA32" s="251">
        <f t="shared" si="96"/>
        <v>0</v>
      </c>
    </row>
    <row r="33" spans="1:105" s="248" customFormat="1" ht="16.5" customHeight="1">
      <c r="A33" s="58" t="str">
        <f t="array" ref="A33">IF(C33&lt;&gt;0,SUM(($C$11:C33&lt;&gt;0)*1),"")</f>
        <v/>
      </c>
      <c r="B33" s="249"/>
      <c r="C33" s="249"/>
      <c r="D33" s="249"/>
      <c r="E33" s="326"/>
      <c r="F33" s="300"/>
      <c r="G33" s="302"/>
      <c r="H33" s="302"/>
      <c r="I33" s="58" t="str">
        <f t="shared" si="0"/>
        <v/>
      </c>
      <c r="J33" s="251">
        <f t="shared" si="61"/>
        <v>0</v>
      </c>
      <c r="K33" s="251">
        <f t="shared" si="62"/>
        <v>0</v>
      </c>
      <c r="L33" s="251">
        <f t="shared" si="1"/>
        <v>0</v>
      </c>
      <c r="M33" s="251">
        <f t="shared" si="2"/>
        <v>0</v>
      </c>
      <c r="N33" s="251">
        <f t="shared" si="3"/>
        <v>0</v>
      </c>
      <c r="O33" s="251">
        <f t="shared" si="4"/>
        <v>0</v>
      </c>
      <c r="P33" s="251">
        <f t="shared" si="5"/>
        <v>0</v>
      </c>
      <c r="Q33" s="251">
        <f t="shared" si="6"/>
        <v>0</v>
      </c>
      <c r="R33" s="251">
        <f t="shared" si="7"/>
        <v>0</v>
      </c>
      <c r="S33" s="251">
        <f t="shared" si="8"/>
        <v>0</v>
      </c>
      <c r="T33" s="251">
        <f t="shared" si="9"/>
        <v>0</v>
      </c>
      <c r="U33" s="251">
        <f t="shared" si="10"/>
        <v>0</v>
      </c>
      <c r="V33" s="251">
        <f t="shared" si="11"/>
        <v>0</v>
      </c>
      <c r="W33" s="251">
        <f t="shared" si="12"/>
        <v>0</v>
      </c>
      <c r="X33" s="251">
        <f t="shared" si="13"/>
        <v>0</v>
      </c>
      <c r="Y33" s="251">
        <f t="shared" si="14"/>
        <v>0</v>
      </c>
      <c r="Z33" s="251">
        <f t="shared" si="15"/>
        <v>0</v>
      </c>
      <c r="AA33" s="251">
        <f t="shared" si="16"/>
        <v>0</v>
      </c>
      <c r="AB33" s="251">
        <f t="shared" si="63"/>
        <v>0</v>
      </c>
      <c r="AC33" s="251">
        <f t="shared" si="64"/>
        <v>0</v>
      </c>
      <c r="AD33" s="251">
        <f t="shared" si="17"/>
        <v>0</v>
      </c>
      <c r="AE33" s="251">
        <f t="shared" si="18"/>
        <v>0</v>
      </c>
      <c r="AF33" s="251">
        <f t="shared" si="19"/>
        <v>0</v>
      </c>
      <c r="AG33" s="251">
        <f t="shared" si="20"/>
        <v>0</v>
      </c>
      <c r="AH33" s="251">
        <f t="shared" si="65"/>
        <v>0</v>
      </c>
      <c r="AI33" s="251">
        <f t="shared" si="66"/>
        <v>0</v>
      </c>
      <c r="AJ33" s="251">
        <f t="shared" si="67"/>
        <v>0</v>
      </c>
      <c r="AK33" s="251">
        <f t="shared" si="68"/>
        <v>0</v>
      </c>
      <c r="AL33" s="251">
        <f t="shared" si="69"/>
        <v>0</v>
      </c>
      <c r="AM33" s="251">
        <f t="shared" si="70"/>
        <v>0</v>
      </c>
      <c r="AN33" s="251">
        <f t="shared" si="71"/>
        <v>0</v>
      </c>
      <c r="AO33" s="251">
        <f t="shared" si="72"/>
        <v>0</v>
      </c>
      <c r="AP33" s="251">
        <f t="shared" si="21"/>
        <v>0</v>
      </c>
      <c r="AQ33" s="251">
        <f t="shared" si="22"/>
        <v>0</v>
      </c>
      <c r="AR33" s="251">
        <f t="shared" si="23"/>
        <v>0</v>
      </c>
      <c r="AS33" s="251">
        <f t="shared" si="24"/>
        <v>0</v>
      </c>
      <c r="AT33" s="251">
        <f t="shared" si="73"/>
        <v>0</v>
      </c>
      <c r="AU33" s="251">
        <f t="shared" si="74"/>
        <v>0</v>
      </c>
      <c r="AV33" s="251">
        <f t="shared" si="25"/>
        <v>0</v>
      </c>
      <c r="AW33" s="251">
        <f t="shared" si="26"/>
        <v>0</v>
      </c>
      <c r="AX33" s="251">
        <f t="shared" si="27"/>
        <v>0</v>
      </c>
      <c r="AY33" s="251">
        <f t="shared" si="28"/>
        <v>0</v>
      </c>
      <c r="AZ33" s="251">
        <f t="shared" si="29"/>
        <v>0</v>
      </c>
      <c r="BA33" s="251">
        <f t="shared" si="30"/>
        <v>0</v>
      </c>
      <c r="BB33" s="251">
        <f t="shared" si="31"/>
        <v>0</v>
      </c>
      <c r="BC33" s="251">
        <f t="shared" si="32"/>
        <v>0</v>
      </c>
      <c r="BD33" s="251">
        <f t="shared" si="33"/>
        <v>0</v>
      </c>
      <c r="BE33" s="251">
        <f t="shared" si="34"/>
        <v>0</v>
      </c>
      <c r="BF33" s="251">
        <f t="shared" si="35"/>
        <v>0</v>
      </c>
      <c r="BG33" s="251">
        <f t="shared" si="36"/>
        <v>0</v>
      </c>
      <c r="BH33" s="251">
        <f t="shared" si="75"/>
        <v>0</v>
      </c>
      <c r="BI33" s="251">
        <f t="shared" si="76"/>
        <v>0</v>
      </c>
      <c r="BJ33" s="251">
        <f t="shared" si="37"/>
        <v>0</v>
      </c>
      <c r="BK33" s="251">
        <f t="shared" si="38"/>
        <v>0</v>
      </c>
      <c r="BL33" s="251">
        <f t="shared" si="39"/>
        <v>0</v>
      </c>
      <c r="BM33" s="251">
        <f t="shared" si="40"/>
        <v>0</v>
      </c>
      <c r="BN33" s="251">
        <f t="shared" si="41"/>
        <v>0</v>
      </c>
      <c r="BO33" s="251">
        <f t="shared" si="42"/>
        <v>0</v>
      </c>
      <c r="BP33" s="251">
        <f t="shared" si="77"/>
        <v>0</v>
      </c>
      <c r="BQ33" s="251">
        <f t="shared" si="78"/>
        <v>0</v>
      </c>
      <c r="BR33" s="251">
        <f t="shared" si="43"/>
        <v>0</v>
      </c>
      <c r="BS33" s="251">
        <f t="shared" si="44"/>
        <v>0</v>
      </c>
      <c r="BT33" s="251">
        <f t="shared" si="79"/>
        <v>0</v>
      </c>
      <c r="BU33" s="251">
        <f t="shared" si="80"/>
        <v>0</v>
      </c>
      <c r="BV33" s="251">
        <f t="shared" si="81"/>
        <v>0</v>
      </c>
      <c r="BW33" s="251">
        <f t="shared" si="82"/>
        <v>0</v>
      </c>
      <c r="BX33" s="251">
        <f t="shared" si="45"/>
        <v>0</v>
      </c>
      <c r="BY33" s="251">
        <f t="shared" si="46"/>
        <v>0</v>
      </c>
      <c r="BZ33" s="251">
        <f t="shared" si="47"/>
        <v>0</v>
      </c>
      <c r="CA33" s="251">
        <f t="shared" si="48"/>
        <v>0</v>
      </c>
      <c r="CB33" s="251">
        <f t="shared" si="49"/>
        <v>0</v>
      </c>
      <c r="CC33" s="251">
        <f t="shared" si="50"/>
        <v>0</v>
      </c>
      <c r="CD33" s="251">
        <f t="shared" si="83"/>
        <v>0</v>
      </c>
      <c r="CE33" s="251">
        <f t="shared" si="84"/>
        <v>0</v>
      </c>
      <c r="CF33" s="251">
        <f t="shared" si="85"/>
        <v>0</v>
      </c>
      <c r="CG33" s="251">
        <f t="shared" si="86"/>
        <v>0</v>
      </c>
      <c r="CH33" s="251">
        <f t="shared" si="51"/>
        <v>0</v>
      </c>
      <c r="CI33" s="251">
        <f t="shared" si="52"/>
        <v>0</v>
      </c>
      <c r="CJ33" s="251">
        <f t="shared" si="87"/>
        <v>0</v>
      </c>
      <c r="CK33" s="251">
        <f t="shared" si="88"/>
        <v>0</v>
      </c>
      <c r="CL33" s="251">
        <f t="shared" si="53"/>
        <v>0</v>
      </c>
      <c r="CM33" s="251">
        <f t="shared" si="54"/>
        <v>0</v>
      </c>
      <c r="CN33" s="251">
        <f t="shared" si="55"/>
        <v>0</v>
      </c>
      <c r="CO33" s="251">
        <f t="shared" si="56"/>
        <v>0</v>
      </c>
      <c r="CP33" s="251">
        <f t="shared" si="89"/>
        <v>0</v>
      </c>
      <c r="CQ33" s="251">
        <f t="shared" si="90"/>
        <v>0</v>
      </c>
      <c r="CR33" s="251">
        <f t="shared" si="91"/>
        <v>0</v>
      </c>
      <c r="CS33" s="251">
        <f t="shared" si="92"/>
        <v>0</v>
      </c>
      <c r="CT33" s="251">
        <f t="shared" si="57"/>
        <v>0</v>
      </c>
      <c r="CU33" s="251">
        <f t="shared" si="58"/>
        <v>0</v>
      </c>
      <c r="CV33" s="251">
        <f t="shared" si="59"/>
        <v>0</v>
      </c>
      <c r="CW33" s="251">
        <f t="shared" si="60"/>
        <v>0</v>
      </c>
      <c r="CX33" s="251">
        <f t="shared" si="93"/>
        <v>0</v>
      </c>
      <c r="CY33" s="251">
        <f t="shared" si="94"/>
        <v>0</v>
      </c>
      <c r="CZ33" s="251">
        <f t="shared" si="95"/>
        <v>0</v>
      </c>
      <c r="DA33" s="251">
        <f t="shared" si="96"/>
        <v>0</v>
      </c>
    </row>
    <row r="34" spans="1:105" s="248" customFormat="1" ht="16.5" customHeight="1">
      <c r="A34" s="58" t="str">
        <f t="array" ref="A34">IF(C34&lt;&gt;0,SUM(($C$11:C34&lt;&gt;0)*1),"")</f>
        <v/>
      </c>
      <c r="B34" s="249"/>
      <c r="C34" s="249"/>
      <c r="D34" s="249"/>
      <c r="E34" s="326"/>
      <c r="F34" s="300"/>
      <c r="G34" s="302"/>
      <c r="H34" s="302"/>
      <c r="I34" s="58" t="str">
        <f t="shared" si="0"/>
        <v/>
      </c>
      <c r="J34" s="251">
        <f t="shared" si="61"/>
        <v>0</v>
      </c>
      <c r="K34" s="251">
        <f t="shared" si="62"/>
        <v>0</v>
      </c>
      <c r="L34" s="251">
        <f t="shared" si="1"/>
        <v>0</v>
      </c>
      <c r="M34" s="251">
        <f t="shared" si="2"/>
        <v>0</v>
      </c>
      <c r="N34" s="251">
        <f t="shared" si="3"/>
        <v>0</v>
      </c>
      <c r="O34" s="251">
        <f t="shared" si="4"/>
        <v>0</v>
      </c>
      <c r="P34" s="251">
        <f t="shared" si="5"/>
        <v>0</v>
      </c>
      <c r="Q34" s="251">
        <f t="shared" si="6"/>
        <v>0</v>
      </c>
      <c r="R34" s="251">
        <f t="shared" si="7"/>
        <v>0</v>
      </c>
      <c r="S34" s="251">
        <f t="shared" si="8"/>
        <v>0</v>
      </c>
      <c r="T34" s="251">
        <f t="shared" si="9"/>
        <v>0</v>
      </c>
      <c r="U34" s="251">
        <f t="shared" si="10"/>
        <v>0</v>
      </c>
      <c r="V34" s="251">
        <f t="shared" si="11"/>
        <v>0</v>
      </c>
      <c r="W34" s="251">
        <f t="shared" si="12"/>
        <v>0</v>
      </c>
      <c r="X34" s="251">
        <f t="shared" si="13"/>
        <v>0</v>
      </c>
      <c r="Y34" s="251">
        <f t="shared" si="14"/>
        <v>0</v>
      </c>
      <c r="Z34" s="251">
        <f t="shared" si="15"/>
        <v>0</v>
      </c>
      <c r="AA34" s="251">
        <f t="shared" si="16"/>
        <v>0</v>
      </c>
      <c r="AB34" s="251">
        <f t="shared" si="63"/>
        <v>0</v>
      </c>
      <c r="AC34" s="251">
        <f t="shared" si="64"/>
        <v>0</v>
      </c>
      <c r="AD34" s="251">
        <f t="shared" si="17"/>
        <v>0</v>
      </c>
      <c r="AE34" s="251">
        <f t="shared" si="18"/>
        <v>0</v>
      </c>
      <c r="AF34" s="251">
        <f t="shared" si="19"/>
        <v>0</v>
      </c>
      <c r="AG34" s="251">
        <f t="shared" si="20"/>
        <v>0</v>
      </c>
      <c r="AH34" s="251">
        <f t="shared" si="65"/>
        <v>0</v>
      </c>
      <c r="AI34" s="251">
        <f t="shared" si="66"/>
        <v>0</v>
      </c>
      <c r="AJ34" s="251">
        <f t="shared" si="67"/>
        <v>0</v>
      </c>
      <c r="AK34" s="251">
        <f t="shared" si="68"/>
        <v>0</v>
      </c>
      <c r="AL34" s="251">
        <f t="shared" si="69"/>
        <v>0</v>
      </c>
      <c r="AM34" s="251">
        <f t="shared" si="70"/>
        <v>0</v>
      </c>
      <c r="AN34" s="251">
        <f t="shared" si="71"/>
        <v>0</v>
      </c>
      <c r="AO34" s="251">
        <f t="shared" si="72"/>
        <v>0</v>
      </c>
      <c r="AP34" s="251">
        <f t="shared" si="21"/>
        <v>0</v>
      </c>
      <c r="AQ34" s="251">
        <f t="shared" si="22"/>
        <v>0</v>
      </c>
      <c r="AR34" s="251">
        <f t="shared" si="23"/>
        <v>0</v>
      </c>
      <c r="AS34" s="251">
        <f t="shared" si="24"/>
        <v>0</v>
      </c>
      <c r="AT34" s="251">
        <f t="shared" si="73"/>
        <v>0</v>
      </c>
      <c r="AU34" s="251">
        <f t="shared" si="74"/>
        <v>0</v>
      </c>
      <c r="AV34" s="251">
        <f t="shared" si="25"/>
        <v>0</v>
      </c>
      <c r="AW34" s="251">
        <f t="shared" si="26"/>
        <v>0</v>
      </c>
      <c r="AX34" s="251">
        <f t="shared" si="27"/>
        <v>0</v>
      </c>
      <c r="AY34" s="251">
        <f t="shared" si="28"/>
        <v>0</v>
      </c>
      <c r="AZ34" s="251">
        <f t="shared" si="29"/>
        <v>0</v>
      </c>
      <c r="BA34" s="251">
        <f t="shared" si="30"/>
        <v>0</v>
      </c>
      <c r="BB34" s="251">
        <f t="shared" si="31"/>
        <v>0</v>
      </c>
      <c r="BC34" s="251">
        <f t="shared" si="32"/>
        <v>0</v>
      </c>
      <c r="BD34" s="251">
        <f t="shared" si="33"/>
        <v>0</v>
      </c>
      <c r="BE34" s="251">
        <f t="shared" si="34"/>
        <v>0</v>
      </c>
      <c r="BF34" s="251">
        <f t="shared" si="35"/>
        <v>0</v>
      </c>
      <c r="BG34" s="251">
        <f t="shared" si="36"/>
        <v>0</v>
      </c>
      <c r="BH34" s="251">
        <f t="shared" si="75"/>
        <v>0</v>
      </c>
      <c r="BI34" s="251">
        <f t="shared" si="76"/>
        <v>0</v>
      </c>
      <c r="BJ34" s="251">
        <f t="shared" si="37"/>
        <v>0</v>
      </c>
      <c r="BK34" s="251">
        <f t="shared" si="38"/>
        <v>0</v>
      </c>
      <c r="BL34" s="251">
        <f t="shared" si="39"/>
        <v>0</v>
      </c>
      <c r="BM34" s="251">
        <f t="shared" si="40"/>
        <v>0</v>
      </c>
      <c r="BN34" s="251">
        <f t="shared" si="41"/>
        <v>0</v>
      </c>
      <c r="BO34" s="251">
        <f t="shared" si="42"/>
        <v>0</v>
      </c>
      <c r="BP34" s="251">
        <f t="shared" si="77"/>
        <v>0</v>
      </c>
      <c r="BQ34" s="251">
        <f t="shared" si="78"/>
        <v>0</v>
      </c>
      <c r="BR34" s="251">
        <f t="shared" si="43"/>
        <v>0</v>
      </c>
      <c r="BS34" s="251">
        <f t="shared" si="44"/>
        <v>0</v>
      </c>
      <c r="BT34" s="251">
        <f t="shared" si="79"/>
        <v>0</v>
      </c>
      <c r="BU34" s="251">
        <f t="shared" si="80"/>
        <v>0</v>
      </c>
      <c r="BV34" s="251">
        <f t="shared" si="81"/>
        <v>0</v>
      </c>
      <c r="BW34" s="251">
        <f t="shared" si="82"/>
        <v>0</v>
      </c>
      <c r="BX34" s="251">
        <f t="shared" si="45"/>
        <v>0</v>
      </c>
      <c r="BY34" s="251">
        <f t="shared" si="46"/>
        <v>0</v>
      </c>
      <c r="BZ34" s="251">
        <f t="shared" si="47"/>
        <v>0</v>
      </c>
      <c r="CA34" s="251">
        <f t="shared" si="48"/>
        <v>0</v>
      </c>
      <c r="CB34" s="251">
        <f t="shared" si="49"/>
        <v>0</v>
      </c>
      <c r="CC34" s="251">
        <f t="shared" si="50"/>
        <v>0</v>
      </c>
      <c r="CD34" s="251">
        <f t="shared" si="83"/>
        <v>0</v>
      </c>
      <c r="CE34" s="251">
        <f t="shared" si="84"/>
        <v>0</v>
      </c>
      <c r="CF34" s="251">
        <f t="shared" si="85"/>
        <v>0</v>
      </c>
      <c r="CG34" s="251">
        <f t="shared" si="86"/>
        <v>0</v>
      </c>
      <c r="CH34" s="251">
        <f t="shared" si="51"/>
        <v>0</v>
      </c>
      <c r="CI34" s="251">
        <f t="shared" si="52"/>
        <v>0</v>
      </c>
      <c r="CJ34" s="251">
        <f t="shared" si="87"/>
        <v>0</v>
      </c>
      <c r="CK34" s="251">
        <f t="shared" si="88"/>
        <v>0</v>
      </c>
      <c r="CL34" s="251">
        <f t="shared" si="53"/>
        <v>0</v>
      </c>
      <c r="CM34" s="251">
        <f t="shared" si="54"/>
        <v>0</v>
      </c>
      <c r="CN34" s="251">
        <f t="shared" si="55"/>
        <v>0</v>
      </c>
      <c r="CO34" s="251">
        <f t="shared" si="56"/>
        <v>0</v>
      </c>
      <c r="CP34" s="251">
        <f t="shared" si="89"/>
        <v>0</v>
      </c>
      <c r="CQ34" s="251">
        <f t="shared" si="90"/>
        <v>0</v>
      </c>
      <c r="CR34" s="251">
        <f t="shared" si="91"/>
        <v>0</v>
      </c>
      <c r="CS34" s="251">
        <f t="shared" si="92"/>
        <v>0</v>
      </c>
      <c r="CT34" s="251">
        <f t="shared" si="57"/>
        <v>0</v>
      </c>
      <c r="CU34" s="251">
        <f t="shared" si="58"/>
        <v>0</v>
      </c>
      <c r="CV34" s="251">
        <f t="shared" si="59"/>
        <v>0</v>
      </c>
      <c r="CW34" s="251">
        <f t="shared" si="60"/>
        <v>0</v>
      </c>
      <c r="CX34" s="251">
        <f t="shared" si="93"/>
        <v>0</v>
      </c>
      <c r="CY34" s="251">
        <f t="shared" si="94"/>
        <v>0</v>
      </c>
      <c r="CZ34" s="251">
        <f t="shared" si="95"/>
        <v>0</v>
      </c>
      <c r="DA34" s="251">
        <f t="shared" si="96"/>
        <v>0</v>
      </c>
    </row>
    <row r="35" spans="1:105" s="248" customFormat="1" ht="16.5" customHeight="1">
      <c r="A35" s="58" t="str">
        <f t="array" ref="A35">IF(C35&lt;&gt;0,SUM(($C$11:C35&lt;&gt;0)*1),"")</f>
        <v/>
      </c>
      <c r="B35" s="249"/>
      <c r="C35" s="249"/>
      <c r="D35" s="249"/>
      <c r="E35" s="326"/>
      <c r="F35" s="300"/>
      <c r="G35" s="302"/>
      <c r="H35" s="302"/>
      <c r="I35" s="58" t="str">
        <f t="shared" si="0"/>
        <v/>
      </c>
      <c r="J35" s="251">
        <f t="shared" si="61"/>
        <v>0</v>
      </c>
      <c r="K35" s="251">
        <f t="shared" si="62"/>
        <v>0</v>
      </c>
      <c r="L35" s="251">
        <f t="shared" si="1"/>
        <v>0</v>
      </c>
      <c r="M35" s="251">
        <f t="shared" si="2"/>
        <v>0</v>
      </c>
      <c r="N35" s="251">
        <f t="shared" si="3"/>
        <v>0</v>
      </c>
      <c r="O35" s="251">
        <f t="shared" si="4"/>
        <v>0</v>
      </c>
      <c r="P35" s="251">
        <f t="shared" si="5"/>
        <v>0</v>
      </c>
      <c r="Q35" s="251">
        <f t="shared" si="6"/>
        <v>0</v>
      </c>
      <c r="R35" s="251">
        <f t="shared" si="7"/>
        <v>0</v>
      </c>
      <c r="S35" s="251">
        <f t="shared" si="8"/>
        <v>0</v>
      </c>
      <c r="T35" s="251">
        <f t="shared" si="9"/>
        <v>0</v>
      </c>
      <c r="U35" s="251">
        <f t="shared" si="10"/>
        <v>0</v>
      </c>
      <c r="V35" s="251">
        <f t="shared" si="11"/>
        <v>0</v>
      </c>
      <c r="W35" s="251">
        <f t="shared" si="12"/>
        <v>0</v>
      </c>
      <c r="X35" s="251">
        <f t="shared" si="13"/>
        <v>0</v>
      </c>
      <c r="Y35" s="251">
        <f t="shared" si="14"/>
        <v>0</v>
      </c>
      <c r="Z35" s="251">
        <f t="shared" si="15"/>
        <v>0</v>
      </c>
      <c r="AA35" s="251">
        <f t="shared" si="16"/>
        <v>0</v>
      </c>
      <c r="AB35" s="251">
        <f t="shared" si="63"/>
        <v>0</v>
      </c>
      <c r="AC35" s="251">
        <f t="shared" si="64"/>
        <v>0</v>
      </c>
      <c r="AD35" s="251">
        <f t="shared" si="17"/>
        <v>0</v>
      </c>
      <c r="AE35" s="251">
        <f t="shared" si="18"/>
        <v>0</v>
      </c>
      <c r="AF35" s="251">
        <f t="shared" si="19"/>
        <v>0</v>
      </c>
      <c r="AG35" s="251">
        <f t="shared" si="20"/>
        <v>0</v>
      </c>
      <c r="AH35" s="251">
        <f t="shared" si="65"/>
        <v>0</v>
      </c>
      <c r="AI35" s="251">
        <f t="shared" si="66"/>
        <v>0</v>
      </c>
      <c r="AJ35" s="251">
        <f t="shared" si="67"/>
        <v>0</v>
      </c>
      <c r="AK35" s="251">
        <f t="shared" si="68"/>
        <v>0</v>
      </c>
      <c r="AL35" s="251">
        <f t="shared" si="69"/>
        <v>0</v>
      </c>
      <c r="AM35" s="251">
        <f t="shared" si="70"/>
        <v>0</v>
      </c>
      <c r="AN35" s="251">
        <f t="shared" si="71"/>
        <v>0</v>
      </c>
      <c r="AO35" s="251">
        <f t="shared" si="72"/>
        <v>0</v>
      </c>
      <c r="AP35" s="251">
        <f t="shared" si="21"/>
        <v>0</v>
      </c>
      <c r="AQ35" s="251">
        <f t="shared" si="22"/>
        <v>0</v>
      </c>
      <c r="AR35" s="251">
        <f t="shared" si="23"/>
        <v>0</v>
      </c>
      <c r="AS35" s="251">
        <f t="shared" si="24"/>
        <v>0</v>
      </c>
      <c r="AT35" s="251">
        <f t="shared" si="73"/>
        <v>0</v>
      </c>
      <c r="AU35" s="251">
        <f t="shared" si="74"/>
        <v>0</v>
      </c>
      <c r="AV35" s="251">
        <f t="shared" si="25"/>
        <v>0</v>
      </c>
      <c r="AW35" s="251">
        <f t="shared" si="26"/>
        <v>0</v>
      </c>
      <c r="AX35" s="251">
        <f t="shared" si="27"/>
        <v>0</v>
      </c>
      <c r="AY35" s="251">
        <f t="shared" si="28"/>
        <v>0</v>
      </c>
      <c r="AZ35" s="251">
        <f t="shared" si="29"/>
        <v>0</v>
      </c>
      <c r="BA35" s="251">
        <f t="shared" si="30"/>
        <v>0</v>
      </c>
      <c r="BB35" s="251">
        <f t="shared" si="31"/>
        <v>0</v>
      </c>
      <c r="BC35" s="251">
        <f t="shared" si="32"/>
        <v>0</v>
      </c>
      <c r="BD35" s="251">
        <f t="shared" si="33"/>
        <v>0</v>
      </c>
      <c r="BE35" s="251">
        <f t="shared" si="34"/>
        <v>0</v>
      </c>
      <c r="BF35" s="251">
        <f t="shared" si="35"/>
        <v>0</v>
      </c>
      <c r="BG35" s="251">
        <f t="shared" si="36"/>
        <v>0</v>
      </c>
      <c r="BH35" s="251">
        <f t="shared" si="75"/>
        <v>0</v>
      </c>
      <c r="BI35" s="251">
        <f t="shared" si="76"/>
        <v>0</v>
      </c>
      <c r="BJ35" s="251">
        <f t="shared" si="37"/>
        <v>0</v>
      </c>
      <c r="BK35" s="251">
        <f t="shared" si="38"/>
        <v>0</v>
      </c>
      <c r="BL35" s="251">
        <f t="shared" si="39"/>
        <v>0</v>
      </c>
      <c r="BM35" s="251">
        <f t="shared" si="40"/>
        <v>0</v>
      </c>
      <c r="BN35" s="251">
        <f t="shared" si="41"/>
        <v>0</v>
      </c>
      <c r="BO35" s="251">
        <f t="shared" si="42"/>
        <v>0</v>
      </c>
      <c r="BP35" s="251">
        <f t="shared" si="77"/>
        <v>0</v>
      </c>
      <c r="BQ35" s="251">
        <f t="shared" si="78"/>
        <v>0</v>
      </c>
      <c r="BR35" s="251">
        <f t="shared" si="43"/>
        <v>0</v>
      </c>
      <c r="BS35" s="251">
        <f t="shared" si="44"/>
        <v>0</v>
      </c>
      <c r="BT35" s="251">
        <f t="shared" si="79"/>
        <v>0</v>
      </c>
      <c r="BU35" s="251">
        <f t="shared" si="80"/>
        <v>0</v>
      </c>
      <c r="BV35" s="251">
        <f t="shared" si="81"/>
        <v>0</v>
      </c>
      <c r="BW35" s="251">
        <f t="shared" si="82"/>
        <v>0</v>
      </c>
      <c r="BX35" s="251">
        <f t="shared" si="45"/>
        <v>0</v>
      </c>
      <c r="BY35" s="251">
        <f t="shared" si="46"/>
        <v>0</v>
      </c>
      <c r="BZ35" s="251">
        <f t="shared" si="47"/>
        <v>0</v>
      </c>
      <c r="CA35" s="251">
        <f t="shared" si="48"/>
        <v>0</v>
      </c>
      <c r="CB35" s="251">
        <f t="shared" si="49"/>
        <v>0</v>
      </c>
      <c r="CC35" s="251">
        <f t="shared" si="50"/>
        <v>0</v>
      </c>
      <c r="CD35" s="251">
        <f t="shared" si="83"/>
        <v>0</v>
      </c>
      <c r="CE35" s="251">
        <f t="shared" si="84"/>
        <v>0</v>
      </c>
      <c r="CF35" s="251">
        <f t="shared" si="85"/>
        <v>0</v>
      </c>
      <c r="CG35" s="251">
        <f t="shared" si="86"/>
        <v>0</v>
      </c>
      <c r="CH35" s="251">
        <f t="shared" si="51"/>
        <v>0</v>
      </c>
      <c r="CI35" s="251">
        <f t="shared" si="52"/>
        <v>0</v>
      </c>
      <c r="CJ35" s="251">
        <f t="shared" si="87"/>
        <v>0</v>
      </c>
      <c r="CK35" s="251">
        <f t="shared" si="88"/>
        <v>0</v>
      </c>
      <c r="CL35" s="251">
        <f t="shared" si="53"/>
        <v>0</v>
      </c>
      <c r="CM35" s="251">
        <f t="shared" si="54"/>
        <v>0</v>
      </c>
      <c r="CN35" s="251">
        <f t="shared" si="55"/>
        <v>0</v>
      </c>
      <c r="CO35" s="251">
        <f t="shared" si="56"/>
        <v>0</v>
      </c>
      <c r="CP35" s="251">
        <f t="shared" si="89"/>
        <v>0</v>
      </c>
      <c r="CQ35" s="251">
        <f t="shared" si="90"/>
        <v>0</v>
      </c>
      <c r="CR35" s="251">
        <f t="shared" si="91"/>
        <v>0</v>
      </c>
      <c r="CS35" s="251">
        <f t="shared" si="92"/>
        <v>0</v>
      </c>
      <c r="CT35" s="251">
        <f t="shared" si="57"/>
        <v>0</v>
      </c>
      <c r="CU35" s="251">
        <f t="shared" si="58"/>
        <v>0</v>
      </c>
      <c r="CV35" s="251">
        <f t="shared" si="59"/>
        <v>0</v>
      </c>
      <c r="CW35" s="251">
        <f t="shared" si="60"/>
        <v>0</v>
      </c>
      <c r="CX35" s="251">
        <f t="shared" si="93"/>
        <v>0</v>
      </c>
      <c r="CY35" s="251">
        <f t="shared" si="94"/>
        <v>0</v>
      </c>
      <c r="CZ35" s="251">
        <f t="shared" si="95"/>
        <v>0</v>
      </c>
      <c r="DA35" s="251">
        <f t="shared" si="96"/>
        <v>0</v>
      </c>
    </row>
    <row r="36" spans="1:105" s="248" customFormat="1" ht="16.5" customHeight="1">
      <c r="A36" s="58" t="str">
        <f t="array" ref="A36">IF(C36&lt;&gt;0,SUM(($C$11:C36&lt;&gt;0)*1),"")</f>
        <v/>
      </c>
      <c r="B36" s="249"/>
      <c r="C36" s="249"/>
      <c r="D36" s="249"/>
      <c r="E36" s="326"/>
      <c r="F36" s="300"/>
      <c r="G36" s="302"/>
      <c r="H36" s="302"/>
      <c r="I36" s="58" t="str">
        <f t="shared" si="0"/>
        <v/>
      </c>
      <c r="J36" s="251">
        <f t="shared" si="61"/>
        <v>0</v>
      </c>
      <c r="K36" s="251">
        <f t="shared" si="62"/>
        <v>0</v>
      </c>
      <c r="L36" s="251">
        <f t="shared" si="1"/>
        <v>0</v>
      </c>
      <c r="M36" s="251">
        <f t="shared" si="2"/>
        <v>0</v>
      </c>
      <c r="N36" s="251">
        <f t="shared" si="3"/>
        <v>0</v>
      </c>
      <c r="O36" s="251">
        <f t="shared" si="4"/>
        <v>0</v>
      </c>
      <c r="P36" s="251">
        <f t="shared" si="5"/>
        <v>0</v>
      </c>
      <c r="Q36" s="251">
        <f t="shared" si="6"/>
        <v>0</v>
      </c>
      <c r="R36" s="251">
        <f t="shared" si="7"/>
        <v>0</v>
      </c>
      <c r="S36" s="251">
        <f t="shared" si="8"/>
        <v>0</v>
      </c>
      <c r="T36" s="251">
        <f t="shared" si="9"/>
        <v>0</v>
      </c>
      <c r="U36" s="251">
        <f t="shared" si="10"/>
        <v>0</v>
      </c>
      <c r="V36" s="251">
        <f t="shared" si="11"/>
        <v>0</v>
      </c>
      <c r="W36" s="251">
        <f t="shared" si="12"/>
        <v>0</v>
      </c>
      <c r="X36" s="251">
        <f t="shared" si="13"/>
        <v>0</v>
      </c>
      <c r="Y36" s="251">
        <f t="shared" si="14"/>
        <v>0</v>
      </c>
      <c r="Z36" s="251">
        <f t="shared" si="15"/>
        <v>0</v>
      </c>
      <c r="AA36" s="251">
        <f t="shared" si="16"/>
        <v>0</v>
      </c>
      <c r="AB36" s="251">
        <f t="shared" si="63"/>
        <v>0</v>
      </c>
      <c r="AC36" s="251">
        <f t="shared" si="64"/>
        <v>0</v>
      </c>
      <c r="AD36" s="251">
        <f t="shared" si="17"/>
        <v>0</v>
      </c>
      <c r="AE36" s="251">
        <f t="shared" si="18"/>
        <v>0</v>
      </c>
      <c r="AF36" s="251">
        <f t="shared" si="19"/>
        <v>0</v>
      </c>
      <c r="AG36" s="251">
        <f t="shared" si="20"/>
        <v>0</v>
      </c>
      <c r="AH36" s="251">
        <f t="shared" si="65"/>
        <v>0</v>
      </c>
      <c r="AI36" s="251">
        <f t="shared" si="66"/>
        <v>0</v>
      </c>
      <c r="AJ36" s="251">
        <f t="shared" si="67"/>
        <v>0</v>
      </c>
      <c r="AK36" s="251">
        <f t="shared" si="68"/>
        <v>0</v>
      </c>
      <c r="AL36" s="251">
        <f t="shared" si="69"/>
        <v>0</v>
      </c>
      <c r="AM36" s="251">
        <f t="shared" si="70"/>
        <v>0</v>
      </c>
      <c r="AN36" s="251">
        <f t="shared" si="71"/>
        <v>0</v>
      </c>
      <c r="AO36" s="251">
        <f t="shared" si="72"/>
        <v>0</v>
      </c>
      <c r="AP36" s="251">
        <f t="shared" si="21"/>
        <v>0</v>
      </c>
      <c r="AQ36" s="251">
        <f t="shared" si="22"/>
        <v>0</v>
      </c>
      <c r="AR36" s="251">
        <f t="shared" si="23"/>
        <v>0</v>
      </c>
      <c r="AS36" s="251">
        <f t="shared" si="24"/>
        <v>0</v>
      </c>
      <c r="AT36" s="251">
        <f t="shared" si="73"/>
        <v>0</v>
      </c>
      <c r="AU36" s="251">
        <f t="shared" si="74"/>
        <v>0</v>
      </c>
      <c r="AV36" s="251">
        <f t="shared" si="25"/>
        <v>0</v>
      </c>
      <c r="AW36" s="251">
        <f t="shared" si="26"/>
        <v>0</v>
      </c>
      <c r="AX36" s="251">
        <f t="shared" si="27"/>
        <v>0</v>
      </c>
      <c r="AY36" s="251">
        <f t="shared" si="28"/>
        <v>0</v>
      </c>
      <c r="AZ36" s="251">
        <f t="shared" si="29"/>
        <v>0</v>
      </c>
      <c r="BA36" s="251">
        <f t="shared" si="30"/>
        <v>0</v>
      </c>
      <c r="BB36" s="251">
        <f t="shared" si="31"/>
        <v>0</v>
      </c>
      <c r="BC36" s="251">
        <f t="shared" si="32"/>
        <v>0</v>
      </c>
      <c r="BD36" s="251">
        <f t="shared" si="33"/>
        <v>0</v>
      </c>
      <c r="BE36" s="251">
        <f t="shared" si="34"/>
        <v>0</v>
      </c>
      <c r="BF36" s="251">
        <f t="shared" si="35"/>
        <v>0</v>
      </c>
      <c r="BG36" s="251">
        <f t="shared" si="36"/>
        <v>0</v>
      </c>
      <c r="BH36" s="251">
        <f t="shared" si="75"/>
        <v>0</v>
      </c>
      <c r="BI36" s="251">
        <f t="shared" si="76"/>
        <v>0</v>
      </c>
      <c r="BJ36" s="251">
        <f t="shared" si="37"/>
        <v>0</v>
      </c>
      <c r="BK36" s="251">
        <f t="shared" si="38"/>
        <v>0</v>
      </c>
      <c r="BL36" s="251">
        <f t="shared" si="39"/>
        <v>0</v>
      </c>
      <c r="BM36" s="251">
        <f t="shared" si="40"/>
        <v>0</v>
      </c>
      <c r="BN36" s="251">
        <f t="shared" si="41"/>
        <v>0</v>
      </c>
      <c r="BO36" s="251">
        <f t="shared" si="42"/>
        <v>0</v>
      </c>
      <c r="BP36" s="251">
        <f t="shared" si="77"/>
        <v>0</v>
      </c>
      <c r="BQ36" s="251">
        <f t="shared" si="78"/>
        <v>0</v>
      </c>
      <c r="BR36" s="251">
        <f t="shared" si="43"/>
        <v>0</v>
      </c>
      <c r="BS36" s="251">
        <f t="shared" si="44"/>
        <v>0</v>
      </c>
      <c r="BT36" s="251">
        <f t="shared" si="79"/>
        <v>0</v>
      </c>
      <c r="BU36" s="251">
        <f t="shared" si="80"/>
        <v>0</v>
      </c>
      <c r="BV36" s="251">
        <f t="shared" si="81"/>
        <v>0</v>
      </c>
      <c r="BW36" s="251">
        <f t="shared" si="82"/>
        <v>0</v>
      </c>
      <c r="BX36" s="251">
        <f t="shared" si="45"/>
        <v>0</v>
      </c>
      <c r="BY36" s="251">
        <f t="shared" si="46"/>
        <v>0</v>
      </c>
      <c r="BZ36" s="251">
        <f t="shared" si="47"/>
        <v>0</v>
      </c>
      <c r="CA36" s="251">
        <f t="shared" si="48"/>
        <v>0</v>
      </c>
      <c r="CB36" s="251">
        <f t="shared" si="49"/>
        <v>0</v>
      </c>
      <c r="CC36" s="251">
        <f t="shared" si="50"/>
        <v>0</v>
      </c>
      <c r="CD36" s="251">
        <f t="shared" si="83"/>
        <v>0</v>
      </c>
      <c r="CE36" s="251">
        <f t="shared" si="84"/>
        <v>0</v>
      </c>
      <c r="CF36" s="251">
        <f t="shared" si="85"/>
        <v>0</v>
      </c>
      <c r="CG36" s="251">
        <f t="shared" si="86"/>
        <v>0</v>
      </c>
      <c r="CH36" s="251">
        <f t="shared" si="51"/>
        <v>0</v>
      </c>
      <c r="CI36" s="251">
        <f t="shared" si="52"/>
        <v>0</v>
      </c>
      <c r="CJ36" s="251">
        <f t="shared" si="87"/>
        <v>0</v>
      </c>
      <c r="CK36" s="251">
        <f t="shared" si="88"/>
        <v>0</v>
      </c>
      <c r="CL36" s="251">
        <f t="shared" si="53"/>
        <v>0</v>
      </c>
      <c r="CM36" s="251">
        <f t="shared" si="54"/>
        <v>0</v>
      </c>
      <c r="CN36" s="251">
        <f t="shared" si="55"/>
        <v>0</v>
      </c>
      <c r="CO36" s="251">
        <f t="shared" si="56"/>
        <v>0</v>
      </c>
      <c r="CP36" s="251">
        <f t="shared" si="89"/>
        <v>0</v>
      </c>
      <c r="CQ36" s="251">
        <f t="shared" si="90"/>
        <v>0</v>
      </c>
      <c r="CR36" s="251">
        <f t="shared" si="91"/>
        <v>0</v>
      </c>
      <c r="CS36" s="251">
        <f t="shared" si="92"/>
        <v>0</v>
      </c>
      <c r="CT36" s="251">
        <f t="shared" si="57"/>
        <v>0</v>
      </c>
      <c r="CU36" s="251">
        <f t="shared" si="58"/>
        <v>0</v>
      </c>
      <c r="CV36" s="251">
        <f t="shared" si="59"/>
        <v>0</v>
      </c>
      <c r="CW36" s="251">
        <f t="shared" si="60"/>
        <v>0</v>
      </c>
      <c r="CX36" s="251">
        <f t="shared" si="93"/>
        <v>0</v>
      </c>
      <c r="CY36" s="251">
        <f t="shared" si="94"/>
        <v>0</v>
      </c>
      <c r="CZ36" s="251">
        <f t="shared" si="95"/>
        <v>0</v>
      </c>
      <c r="DA36" s="251">
        <f t="shared" si="96"/>
        <v>0</v>
      </c>
    </row>
    <row r="37" spans="1:105" s="248" customFormat="1" ht="16.5" customHeight="1">
      <c r="A37" s="58" t="str">
        <f t="array" ref="A37">IF(C37&lt;&gt;0,SUM(($C$11:C37&lt;&gt;0)*1),"")</f>
        <v/>
      </c>
      <c r="B37" s="249"/>
      <c r="C37" s="249"/>
      <c r="D37" s="249"/>
      <c r="E37" s="326"/>
      <c r="F37" s="300"/>
      <c r="G37" s="302"/>
      <c r="H37" s="302"/>
      <c r="I37" s="58" t="str">
        <f t="shared" si="0"/>
        <v/>
      </c>
      <c r="J37" s="251">
        <f t="shared" si="61"/>
        <v>0</v>
      </c>
      <c r="K37" s="251">
        <f t="shared" si="62"/>
        <v>0</v>
      </c>
      <c r="L37" s="251">
        <f t="shared" si="1"/>
        <v>0</v>
      </c>
      <c r="M37" s="251">
        <f t="shared" si="2"/>
        <v>0</v>
      </c>
      <c r="N37" s="251">
        <f t="shared" si="3"/>
        <v>0</v>
      </c>
      <c r="O37" s="251">
        <f t="shared" si="4"/>
        <v>0</v>
      </c>
      <c r="P37" s="251">
        <f t="shared" si="5"/>
        <v>0</v>
      </c>
      <c r="Q37" s="251">
        <f t="shared" si="6"/>
        <v>0</v>
      </c>
      <c r="R37" s="251">
        <f t="shared" si="7"/>
        <v>0</v>
      </c>
      <c r="S37" s="251">
        <f t="shared" si="8"/>
        <v>0</v>
      </c>
      <c r="T37" s="251">
        <f t="shared" si="9"/>
        <v>0</v>
      </c>
      <c r="U37" s="251">
        <f t="shared" si="10"/>
        <v>0</v>
      </c>
      <c r="V37" s="251">
        <f t="shared" si="11"/>
        <v>0</v>
      </c>
      <c r="W37" s="251">
        <f t="shared" si="12"/>
        <v>0</v>
      </c>
      <c r="X37" s="251">
        <f t="shared" si="13"/>
        <v>0</v>
      </c>
      <c r="Y37" s="251">
        <f t="shared" si="14"/>
        <v>0</v>
      </c>
      <c r="Z37" s="251">
        <f t="shared" si="15"/>
        <v>0</v>
      </c>
      <c r="AA37" s="251">
        <f t="shared" si="16"/>
        <v>0</v>
      </c>
      <c r="AB37" s="251">
        <f t="shared" si="63"/>
        <v>0</v>
      </c>
      <c r="AC37" s="251">
        <f t="shared" si="64"/>
        <v>0</v>
      </c>
      <c r="AD37" s="251">
        <f t="shared" si="17"/>
        <v>0</v>
      </c>
      <c r="AE37" s="251">
        <f t="shared" si="18"/>
        <v>0</v>
      </c>
      <c r="AF37" s="251">
        <f t="shared" si="19"/>
        <v>0</v>
      </c>
      <c r="AG37" s="251">
        <f t="shared" si="20"/>
        <v>0</v>
      </c>
      <c r="AH37" s="251">
        <f t="shared" si="65"/>
        <v>0</v>
      </c>
      <c r="AI37" s="251">
        <f t="shared" si="66"/>
        <v>0</v>
      </c>
      <c r="AJ37" s="251">
        <f t="shared" si="67"/>
        <v>0</v>
      </c>
      <c r="AK37" s="251">
        <f t="shared" si="68"/>
        <v>0</v>
      </c>
      <c r="AL37" s="251">
        <f t="shared" si="69"/>
        <v>0</v>
      </c>
      <c r="AM37" s="251">
        <f t="shared" si="70"/>
        <v>0</v>
      </c>
      <c r="AN37" s="251">
        <f t="shared" si="71"/>
        <v>0</v>
      </c>
      <c r="AO37" s="251">
        <f t="shared" si="72"/>
        <v>0</v>
      </c>
      <c r="AP37" s="251">
        <f t="shared" si="21"/>
        <v>0</v>
      </c>
      <c r="AQ37" s="251">
        <f t="shared" si="22"/>
        <v>0</v>
      </c>
      <c r="AR37" s="251">
        <f t="shared" si="23"/>
        <v>0</v>
      </c>
      <c r="AS37" s="251">
        <f t="shared" si="24"/>
        <v>0</v>
      </c>
      <c r="AT37" s="251">
        <f t="shared" si="73"/>
        <v>0</v>
      </c>
      <c r="AU37" s="251">
        <f t="shared" si="74"/>
        <v>0</v>
      </c>
      <c r="AV37" s="251">
        <f t="shared" si="25"/>
        <v>0</v>
      </c>
      <c r="AW37" s="251">
        <f t="shared" si="26"/>
        <v>0</v>
      </c>
      <c r="AX37" s="251">
        <f t="shared" si="27"/>
        <v>0</v>
      </c>
      <c r="AY37" s="251">
        <f t="shared" si="28"/>
        <v>0</v>
      </c>
      <c r="AZ37" s="251">
        <f t="shared" si="29"/>
        <v>0</v>
      </c>
      <c r="BA37" s="251">
        <f t="shared" si="30"/>
        <v>0</v>
      </c>
      <c r="BB37" s="251">
        <f t="shared" si="31"/>
        <v>0</v>
      </c>
      <c r="BC37" s="251">
        <f t="shared" si="32"/>
        <v>0</v>
      </c>
      <c r="BD37" s="251">
        <f t="shared" si="33"/>
        <v>0</v>
      </c>
      <c r="BE37" s="251">
        <f t="shared" si="34"/>
        <v>0</v>
      </c>
      <c r="BF37" s="251">
        <f t="shared" si="35"/>
        <v>0</v>
      </c>
      <c r="BG37" s="251">
        <f t="shared" si="36"/>
        <v>0</v>
      </c>
      <c r="BH37" s="251">
        <f t="shared" si="75"/>
        <v>0</v>
      </c>
      <c r="BI37" s="251">
        <f t="shared" si="76"/>
        <v>0</v>
      </c>
      <c r="BJ37" s="251">
        <f t="shared" si="37"/>
        <v>0</v>
      </c>
      <c r="BK37" s="251">
        <f t="shared" si="38"/>
        <v>0</v>
      </c>
      <c r="BL37" s="251">
        <f t="shared" si="39"/>
        <v>0</v>
      </c>
      <c r="BM37" s="251">
        <f t="shared" si="40"/>
        <v>0</v>
      </c>
      <c r="BN37" s="251">
        <f t="shared" si="41"/>
        <v>0</v>
      </c>
      <c r="BO37" s="251">
        <f t="shared" si="42"/>
        <v>0</v>
      </c>
      <c r="BP37" s="251">
        <f t="shared" si="77"/>
        <v>0</v>
      </c>
      <c r="BQ37" s="251">
        <f t="shared" si="78"/>
        <v>0</v>
      </c>
      <c r="BR37" s="251">
        <f t="shared" si="43"/>
        <v>0</v>
      </c>
      <c r="BS37" s="251">
        <f t="shared" si="44"/>
        <v>0</v>
      </c>
      <c r="BT37" s="251">
        <f t="shared" si="79"/>
        <v>0</v>
      </c>
      <c r="BU37" s="251">
        <f t="shared" si="80"/>
        <v>0</v>
      </c>
      <c r="BV37" s="251">
        <f t="shared" si="81"/>
        <v>0</v>
      </c>
      <c r="BW37" s="251">
        <f t="shared" si="82"/>
        <v>0</v>
      </c>
      <c r="BX37" s="251">
        <f t="shared" si="45"/>
        <v>0</v>
      </c>
      <c r="BY37" s="251">
        <f t="shared" si="46"/>
        <v>0</v>
      </c>
      <c r="BZ37" s="251">
        <f t="shared" si="47"/>
        <v>0</v>
      </c>
      <c r="CA37" s="251">
        <f t="shared" si="48"/>
        <v>0</v>
      </c>
      <c r="CB37" s="251">
        <f t="shared" si="49"/>
        <v>0</v>
      </c>
      <c r="CC37" s="251">
        <f t="shared" si="50"/>
        <v>0</v>
      </c>
      <c r="CD37" s="251">
        <f t="shared" si="83"/>
        <v>0</v>
      </c>
      <c r="CE37" s="251">
        <f t="shared" si="84"/>
        <v>0</v>
      </c>
      <c r="CF37" s="251">
        <f t="shared" si="85"/>
        <v>0</v>
      </c>
      <c r="CG37" s="251">
        <f t="shared" si="86"/>
        <v>0</v>
      </c>
      <c r="CH37" s="251">
        <f t="shared" si="51"/>
        <v>0</v>
      </c>
      <c r="CI37" s="251">
        <f t="shared" si="52"/>
        <v>0</v>
      </c>
      <c r="CJ37" s="251">
        <f t="shared" si="87"/>
        <v>0</v>
      </c>
      <c r="CK37" s="251">
        <f t="shared" si="88"/>
        <v>0</v>
      </c>
      <c r="CL37" s="251">
        <f t="shared" si="53"/>
        <v>0</v>
      </c>
      <c r="CM37" s="251">
        <f t="shared" si="54"/>
        <v>0</v>
      </c>
      <c r="CN37" s="251">
        <f t="shared" si="55"/>
        <v>0</v>
      </c>
      <c r="CO37" s="251">
        <f t="shared" si="56"/>
        <v>0</v>
      </c>
      <c r="CP37" s="251">
        <f t="shared" si="89"/>
        <v>0</v>
      </c>
      <c r="CQ37" s="251">
        <f t="shared" si="90"/>
        <v>0</v>
      </c>
      <c r="CR37" s="251">
        <f t="shared" si="91"/>
        <v>0</v>
      </c>
      <c r="CS37" s="251">
        <f t="shared" si="92"/>
        <v>0</v>
      </c>
      <c r="CT37" s="251">
        <f t="shared" si="57"/>
        <v>0</v>
      </c>
      <c r="CU37" s="251">
        <f t="shared" si="58"/>
        <v>0</v>
      </c>
      <c r="CV37" s="251">
        <f t="shared" si="59"/>
        <v>0</v>
      </c>
      <c r="CW37" s="251">
        <f t="shared" si="60"/>
        <v>0</v>
      </c>
      <c r="CX37" s="251">
        <f t="shared" si="93"/>
        <v>0</v>
      </c>
      <c r="CY37" s="251">
        <f t="shared" si="94"/>
        <v>0</v>
      </c>
      <c r="CZ37" s="251">
        <f t="shared" si="95"/>
        <v>0</v>
      </c>
      <c r="DA37" s="251">
        <f t="shared" si="96"/>
        <v>0</v>
      </c>
    </row>
    <row r="38" spans="1:105" s="248" customFormat="1" ht="16.5" customHeight="1">
      <c r="A38" s="58" t="str">
        <f t="array" ref="A38">IF(C38&lt;&gt;0,SUM(($C$11:C38&lt;&gt;0)*1),"")</f>
        <v/>
      </c>
      <c r="B38" s="249"/>
      <c r="C38" s="249"/>
      <c r="D38" s="249"/>
      <c r="E38" s="326"/>
      <c r="F38" s="300"/>
      <c r="G38" s="302"/>
      <c r="H38" s="302"/>
      <c r="I38" s="58" t="str">
        <f t="shared" si="0"/>
        <v/>
      </c>
      <c r="J38" s="251">
        <f t="shared" si="61"/>
        <v>0</v>
      </c>
      <c r="K38" s="251">
        <f t="shared" si="62"/>
        <v>0</v>
      </c>
      <c r="L38" s="251">
        <f t="shared" si="1"/>
        <v>0</v>
      </c>
      <c r="M38" s="251">
        <f t="shared" si="2"/>
        <v>0</v>
      </c>
      <c r="N38" s="251">
        <f t="shared" si="3"/>
        <v>0</v>
      </c>
      <c r="O38" s="251">
        <f t="shared" si="4"/>
        <v>0</v>
      </c>
      <c r="P38" s="251">
        <f t="shared" si="5"/>
        <v>0</v>
      </c>
      <c r="Q38" s="251">
        <f t="shared" si="6"/>
        <v>0</v>
      </c>
      <c r="R38" s="251">
        <f t="shared" si="7"/>
        <v>0</v>
      </c>
      <c r="S38" s="251">
        <f t="shared" si="8"/>
        <v>0</v>
      </c>
      <c r="T38" s="251">
        <f t="shared" si="9"/>
        <v>0</v>
      </c>
      <c r="U38" s="251">
        <f t="shared" si="10"/>
        <v>0</v>
      </c>
      <c r="V38" s="251">
        <f t="shared" si="11"/>
        <v>0</v>
      </c>
      <c r="W38" s="251">
        <f t="shared" si="12"/>
        <v>0</v>
      </c>
      <c r="X38" s="251">
        <f t="shared" si="13"/>
        <v>0</v>
      </c>
      <c r="Y38" s="251">
        <f t="shared" si="14"/>
        <v>0</v>
      </c>
      <c r="Z38" s="251">
        <f t="shared" si="15"/>
        <v>0</v>
      </c>
      <c r="AA38" s="251">
        <f t="shared" si="16"/>
        <v>0</v>
      </c>
      <c r="AB38" s="251">
        <f t="shared" si="63"/>
        <v>0</v>
      </c>
      <c r="AC38" s="251">
        <f t="shared" si="64"/>
        <v>0</v>
      </c>
      <c r="AD38" s="251">
        <f t="shared" si="17"/>
        <v>0</v>
      </c>
      <c r="AE38" s="251">
        <f t="shared" si="18"/>
        <v>0</v>
      </c>
      <c r="AF38" s="251">
        <f t="shared" si="19"/>
        <v>0</v>
      </c>
      <c r="AG38" s="251">
        <f t="shared" si="20"/>
        <v>0</v>
      </c>
      <c r="AH38" s="251">
        <f t="shared" si="65"/>
        <v>0</v>
      </c>
      <c r="AI38" s="251">
        <f t="shared" si="66"/>
        <v>0</v>
      </c>
      <c r="AJ38" s="251">
        <f t="shared" si="67"/>
        <v>0</v>
      </c>
      <c r="AK38" s="251">
        <f t="shared" si="68"/>
        <v>0</v>
      </c>
      <c r="AL38" s="251">
        <f t="shared" si="69"/>
        <v>0</v>
      </c>
      <c r="AM38" s="251">
        <f t="shared" si="70"/>
        <v>0</v>
      </c>
      <c r="AN38" s="251">
        <f t="shared" si="71"/>
        <v>0</v>
      </c>
      <c r="AO38" s="251">
        <f t="shared" si="72"/>
        <v>0</v>
      </c>
      <c r="AP38" s="251">
        <f t="shared" si="21"/>
        <v>0</v>
      </c>
      <c r="AQ38" s="251">
        <f t="shared" si="22"/>
        <v>0</v>
      </c>
      <c r="AR38" s="251">
        <f t="shared" si="23"/>
        <v>0</v>
      </c>
      <c r="AS38" s="251">
        <f t="shared" si="24"/>
        <v>0</v>
      </c>
      <c r="AT38" s="251">
        <f t="shared" si="73"/>
        <v>0</v>
      </c>
      <c r="AU38" s="251">
        <f t="shared" si="74"/>
        <v>0</v>
      </c>
      <c r="AV38" s="251">
        <f t="shared" si="25"/>
        <v>0</v>
      </c>
      <c r="AW38" s="251">
        <f t="shared" si="26"/>
        <v>0</v>
      </c>
      <c r="AX38" s="251">
        <f t="shared" si="27"/>
        <v>0</v>
      </c>
      <c r="AY38" s="251">
        <f t="shared" si="28"/>
        <v>0</v>
      </c>
      <c r="AZ38" s="251">
        <f t="shared" si="29"/>
        <v>0</v>
      </c>
      <c r="BA38" s="251">
        <f t="shared" si="30"/>
        <v>0</v>
      </c>
      <c r="BB38" s="251">
        <f t="shared" si="31"/>
        <v>0</v>
      </c>
      <c r="BC38" s="251">
        <f t="shared" si="32"/>
        <v>0</v>
      </c>
      <c r="BD38" s="251">
        <f t="shared" si="33"/>
        <v>0</v>
      </c>
      <c r="BE38" s="251">
        <f t="shared" si="34"/>
        <v>0</v>
      </c>
      <c r="BF38" s="251">
        <f t="shared" si="35"/>
        <v>0</v>
      </c>
      <c r="BG38" s="251">
        <f t="shared" si="36"/>
        <v>0</v>
      </c>
      <c r="BH38" s="251">
        <f t="shared" si="75"/>
        <v>0</v>
      </c>
      <c r="BI38" s="251">
        <f t="shared" si="76"/>
        <v>0</v>
      </c>
      <c r="BJ38" s="251">
        <f t="shared" si="37"/>
        <v>0</v>
      </c>
      <c r="BK38" s="251">
        <f t="shared" si="38"/>
        <v>0</v>
      </c>
      <c r="BL38" s="251">
        <f t="shared" si="39"/>
        <v>0</v>
      </c>
      <c r="BM38" s="251">
        <f t="shared" si="40"/>
        <v>0</v>
      </c>
      <c r="BN38" s="251">
        <f t="shared" si="41"/>
        <v>0</v>
      </c>
      <c r="BO38" s="251">
        <f t="shared" si="42"/>
        <v>0</v>
      </c>
      <c r="BP38" s="251">
        <f t="shared" si="77"/>
        <v>0</v>
      </c>
      <c r="BQ38" s="251">
        <f t="shared" si="78"/>
        <v>0</v>
      </c>
      <c r="BR38" s="251">
        <f t="shared" si="43"/>
        <v>0</v>
      </c>
      <c r="BS38" s="251">
        <f t="shared" si="44"/>
        <v>0</v>
      </c>
      <c r="BT38" s="251">
        <f t="shared" si="79"/>
        <v>0</v>
      </c>
      <c r="BU38" s="251">
        <f t="shared" si="80"/>
        <v>0</v>
      </c>
      <c r="BV38" s="251">
        <f t="shared" si="81"/>
        <v>0</v>
      </c>
      <c r="BW38" s="251">
        <f t="shared" si="82"/>
        <v>0</v>
      </c>
      <c r="BX38" s="251">
        <f t="shared" si="45"/>
        <v>0</v>
      </c>
      <c r="BY38" s="251">
        <f t="shared" si="46"/>
        <v>0</v>
      </c>
      <c r="BZ38" s="251">
        <f t="shared" si="47"/>
        <v>0</v>
      </c>
      <c r="CA38" s="251">
        <f t="shared" si="48"/>
        <v>0</v>
      </c>
      <c r="CB38" s="251">
        <f t="shared" si="49"/>
        <v>0</v>
      </c>
      <c r="CC38" s="251">
        <f t="shared" si="50"/>
        <v>0</v>
      </c>
      <c r="CD38" s="251">
        <f t="shared" si="83"/>
        <v>0</v>
      </c>
      <c r="CE38" s="251">
        <f t="shared" si="84"/>
        <v>0</v>
      </c>
      <c r="CF38" s="251">
        <f t="shared" si="85"/>
        <v>0</v>
      </c>
      <c r="CG38" s="251">
        <f t="shared" si="86"/>
        <v>0</v>
      </c>
      <c r="CH38" s="251">
        <f t="shared" si="51"/>
        <v>0</v>
      </c>
      <c r="CI38" s="251">
        <f t="shared" si="52"/>
        <v>0</v>
      </c>
      <c r="CJ38" s="251">
        <f t="shared" si="87"/>
        <v>0</v>
      </c>
      <c r="CK38" s="251">
        <f t="shared" si="88"/>
        <v>0</v>
      </c>
      <c r="CL38" s="251">
        <f t="shared" si="53"/>
        <v>0</v>
      </c>
      <c r="CM38" s="251">
        <f t="shared" si="54"/>
        <v>0</v>
      </c>
      <c r="CN38" s="251">
        <f t="shared" si="55"/>
        <v>0</v>
      </c>
      <c r="CO38" s="251">
        <f t="shared" si="56"/>
        <v>0</v>
      </c>
      <c r="CP38" s="251">
        <f t="shared" si="89"/>
        <v>0</v>
      </c>
      <c r="CQ38" s="251">
        <f t="shared" si="90"/>
        <v>0</v>
      </c>
      <c r="CR38" s="251">
        <f t="shared" si="91"/>
        <v>0</v>
      </c>
      <c r="CS38" s="251">
        <f t="shared" si="92"/>
        <v>0</v>
      </c>
      <c r="CT38" s="251">
        <f t="shared" si="57"/>
        <v>0</v>
      </c>
      <c r="CU38" s="251">
        <f t="shared" si="58"/>
        <v>0</v>
      </c>
      <c r="CV38" s="251">
        <f t="shared" si="59"/>
        <v>0</v>
      </c>
      <c r="CW38" s="251">
        <f t="shared" si="60"/>
        <v>0</v>
      </c>
      <c r="CX38" s="251">
        <f t="shared" si="93"/>
        <v>0</v>
      </c>
      <c r="CY38" s="251">
        <f t="shared" si="94"/>
        <v>0</v>
      </c>
      <c r="CZ38" s="251">
        <f t="shared" si="95"/>
        <v>0</v>
      </c>
      <c r="DA38" s="251">
        <f t="shared" si="96"/>
        <v>0</v>
      </c>
    </row>
    <row r="39" spans="1:105" s="248" customFormat="1" ht="16.5" customHeight="1">
      <c r="A39" s="58" t="str">
        <f t="array" ref="A39">IF(C39&lt;&gt;0,SUM(($C$11:C39&lt;&gt;0)*1),"")</f>
        <v/>
      </c>
      <c r="B39" s="249"/>
      <c r="C39" s="249"/>
      <c r="D39" s="249"/>
      <c r="E39" s="326"/>
      <c r="F39" s="300"/>
      <c r="G39" s="302"/>
      <c r="H39" s="302"/>
      <c r="I39" s="58" t="str">
        <f t="shared" si="0"/>
        <v/>
      </c>
      <c r="J39" s="251">
        <f t="shared" si="61"/>
        <v>0</v>
      </c>
      <c r="K39" s="251">
        <f t="shared" si="62"/>
        <v>0</v>
      </c>
      <c r="L39" s="251">
        <f t="shared" si="1"/>
        <v>0</v>
      </c>
      <c r="M39" s="251">
        <f t="shared" si="2"/>
        <v>0</v>
      </c>
      <c r="N39" s="251">
        <f t="shared" si="3"/>
        <v>0</v>
      </c>
      <c r="O39" s="251">
        <f t="shared" si="4"/>
        <v>0</v>
      </c>
      <c r="P39" s="251">
        <f t="shared" si="5"/>
        <v>0</v>
      </c>
      <c r="Q39" s="251">
        <f t="shared" si="6"/>
        <v>0</v>
      </c>
      <c r="R39" s="251">
        <f t="shared" si="7"/>
        <v>0</v>
      </c>
      <c r="S39" s="251">
        <f t="shared" si="8"/>
        <v>0</v>
      </c>
      <c r="T39" s="251">
        <f t="shared" si="9"/>
        <v>0</v>
      </c>
      <c r="U39" s="251">
        <f t="shared" si="10"/>
        <v>0</v>
      </c>
      <c r="V39" s="251">
        <f t="shared" si="11"/>
        <v>0</v>
      </c>
      <c r="W39" s="251">
        <f t="shared" si="12"/>
        <v>0</v>
      </c>
      <c r="X39" s="251">
        <f t="shared" si="13"/>
        <v>0</v>
      </c>
      <c r="Y39" s="251">
        <f t="shared" si="14"/>
        <v>0</v>
      </c>
      <c r="Z39" s="251">
        <f t="shared" si="15"/>
        <v>0</v>
      </c>
      <c r="AA39" s="251">
        <f t="shared" si="16"/>
        <v>0</v>
      </c>
      <c r="AB39" s="251">
        <f t="shared" si="63"/>
        <v>0</v>
      </c>
      <c r="AC39" s="251">
        <f t="shared" si="64"/>
        <v>0</v>
      </c>
      <c r="AD39" s="251">
        <f t="shared" si="17"/>
        <v>0</v>
      </c>
      <c r="AE39" s="251">
        <f t="shared" si="18"/>
        <v>0</v>
      </c>
      <c r="AF39" s="251">
        <f t="shared" si="19"/>
        <v>0</v>
      </c>
      <c r="AG39" s="251">
        <f t="shared" si="20"/>
        <v>0</v>
      </c>
      <c r="AH39" s="251">
        <f t="shared" si="65"/>
        <v>0</v>
      </c>
      <c r="AI39" s="251">
        <f t="shared" si="66"/>
        <v>0</v>
      </c>
      <c r="AJ39" s="251">
        <f t="shared" si="67"/>
        <v>0</v>
      </c>
      <c r="AK39" s="251">
        <f t="shared" si="68"/>
        <v>0</v>
      </c>
      <c r="AL39" s="251">
        <f t="shared" si="69"/>
        <v>0</v>
      </c>
      <c r="AM39" s="251">
        <f t="shared" si="70"/>
        <v>0</v>
      </c>
      <c r="AN39" s="251">
        <f t="shared" si="71"/>
        <v>0</v>
      </c>
      <c r="AO39" s="251">
        <f t="shared" si="72"/>
        <v>0</v>
      </c>
      <c r="AP39" s="251">
        <f t="shared" si="21"/>
        <v>0</v>
      </c>
      <c r="AQ39" s="251">
        <f t="shared" si="22"/>
        <v>0</v>
      </c>
      <c r="AR39" s="251">
        <f t="shared" si="23"/>
        <v>0</v>
      </c>
      <c r="AS39" s="251">
        <f t="shared" si="24"/>
        <v>0</v>
      </c>
      <c r="AT39" s="251">
        <f t="shared" si="73"/>
        <v>0</v>
      </c>
      <c r="AU39" s="251">
        <f t="shared" si="74"/>
        <v>0</v>
      </c>
      <c r="AV39" s="251">
        <f t="shared" si="25"/>
        <v>0</v>
      </c>
      <c r="AW39" s="251">
        <f t="shared" si="26"/>
        <v>0</v>
      </c>
      <c r="AX39" s="251">
        <f t="shared" si="27"/>
        <v>0</v>
      </c>
      <c r="AY39" s="251">
        <f t="shared" si="28"/>
        <v>0</v>
      </c>
      <c r="AZ39" s="251">
        <f t="shared" si="29"/>
        <v>0</v>
      </c>
      <c r="BA39" s="251">
        <f t="shared" si="30"/>
        <v>0</v>
      </c>
      <c r="BB39" s="251">
        <f t="shared" si="31"/>
        <v>0</v>
      </c>
      <c r="BC39" s="251">
        <f t="shared" si="32"/>
        <v>0</v>
      </c>
      <c r="BD39" s="251">
        <f t="shared" si="33"/>
        <v>0</v>
      </c>
      <c r="BE39" s="251">
        <f t="shared" si="34"/>
        <v>0</v>
      </c>
      <c r="BF39" s="251">
        <f t="shared" si="35"/>
        <v>0</v>
      </c>
      <c r="BG39" s="251">
        <f t="shared" si="36"/>
        <v>0</v>
      </c>
      <c r="BH39" s="251">
        <f t="shared" si="75"/>
        <v>0</v>
      </c>
      <c r="BI39" s="251">
        <f t="shared" si="76"/>
        <v>0</v>
      </c>
      <c r="BJ39" s="251">
        <f t="shared" si="37"/>
        <v>0</v>
      </c>
      <c r="BK39" s="251">
        <f t="shared" si="38"/>
        <v>0</v>
      </c>
      <c r="BL39" s="251">
        <f t="shared" si="39"/>
        <v>0</v>
      </c>
      <c r="BM39" s="251">
        <f t="shared" si="40"/>
        <v>0</v>
      </c>
      <c r="BN39" s="251">
        <f t="shared" si="41"/>
        <v>0</v>
      </c>
      <c r="BO39" s="251">
        <f t="shared" si="42"/>
        <v>0</v>
      </c>
      <c r="BP39" s="251">
        <f t="shared" si="77"/>
        <v>0</v>
      </c>
      <c r="BQ39" s="251">
        <f t="shared" si="78"/>
        <v>0</v>
      </c>
      <c r="BR39" s="251">
        <f t="shared" si="43"/>
        <v>0</v>
      </c>
      <c r="BS39" s="251">
        <f t="shared" si="44"/>
        <v>0</v>
      </c>
      <c r="BT39" s="251">
        <f t="shared" si="79"/>
        <v>0</v>
      </c>
      <c r="BU39" s="251">
        <f t="shared" si="80"/>
        <v>0</v>
      </c>
      <c r="BV39" s="251">
        <f t="shared" si="81"/>
        <v>0</v>
      </c>
      <c r="BW39" s="251">
        <f t="shared" si="82"/>
        <v>0</v>
      </c>
      <c r="BX39" s="251">
        <f t="shared" si="45"/>
        <v>0</v>
      </c>
      <c r="BY39" s="251">
        <f t="shared" si="46"/>
        <v>0</v>
      </c>
      <c r="BZ39" s="251">
        <f t="shared" si="47"/>
        <v>0</v>
      </c>
      <c r="CA39" s="251">
        <f t="shared" si="48"/>
        <v>0</v>
      </c>
      <c r="CB39" s="251">
        <f t="shared" si="49"/>
        <v>0</v>
      </c>
      <c r="CC39" s="251">
        <f t="shared" si="50"/>
        <v>0</v>
      </c>
      <c r="CD39" s="251">
        <f t="shared" si="83"/>
        <v>0</v>
      </c>
      <c r="CE39" s="251">
        <f t="shared" si="84"/>
        <v>0</v>
      </c>
      <c r="CF39" s="251">
        <f t="shared" si="85"/>
        <v>0</v>
      </c>
      <c r="CG39" s="251">
        <f t="shared" si="86"/>
        <v>0</v>
      </c>
      <c r="CH39" s="251">
        <f t="shared" si="51"/>
        <v>0</v>
      </c>
      <c r="CI39" s="251">
        <f t="shared" si="52"/>
        <v>0</v>
      </c>
      <c r="CJ39" s="251">
        <f t="shared" si="87"/>
        <v>0</v>
      </c>
      <c r="CK39" s="251">
        <f t="shared" si="88"/>
        <v>0</v>
      </c>
      <c r="CL39" s="251">
        <f t="shared" si="53"/>
        <v>0</v>
      </c>
      <c r="CM39" s="251">
        <f t="shared" si="54"/>
        <v>0</v>
      </c>
      <c r="CN39" s="251">
        <f t="shared" si="55"/>
        <v>0</v>
      </c>
      <c r="CO39" s="251">
        <f t="shared" si="56"/>
        <v>0</v>
      </c>
      <c r="CP39" s="251">
        <f t="shared" si="89"/>
        <v>0</v>
      </c>
      <c r="CQ39" s="251">
        <f t="shared" si="90"/>
        <v>0</v>
      </c>
      <c r="CR39" s="251">
        <f t="shared" si="91"/>
        <v>0</v>
      </c>
      <c r="CS39" s="251">
        <f t="shared" si="92"/>
        <v>0</v>
      </c>
      <c r="CT39" s="251">
        <f t="shared" si="57"/>
        <v>0</v>
      </c>
      <c r="CU39" s="251">
        <f t="shared" si="58"/>
        <v>0</v>
      </c>
      <c r="CV39" s="251">
        <f t="shared" si="59"/>
        <v>0</v>
      </c>
      <c r="CW39" s="251">
        <f t="shared" si="60"/>
        <v>0</v>
      </c>
      <c r="CX39" s="251">
        <f t="shared" si="93"/>
        <v>0</v>
      </c>
      <c r="CY39" s="251">
        <f t="shared" si="94"/>
        <v>0</v>
      </c>
      <c r="CZ39" s="251">
        <f t="shared" si="95"/>
        <v>0</v>
      </c>
      <c r="DA39" s="251">
        <f t="shared" si="96"/>
        <v>0</v>
      </c>
    </row>
    <row r="40" spans="1:105" s="248" customFormat="1" ht="16.5" customHeight="1">
      <c r="A40" s="58">
        <f t="array" aca="1" ref="A40" ca="1">IF(C40&lt;&gt;0,SUM(($C$11:C40&lt;&gt;0)*1),"")</f>
        <v>2</v>
      </c>
      <c r="B40" s="249">
        <v>42735</v>
      </c>
      <c r="C40" s="252" t="s">
        <v>115</v>
      </c>
      <c r="D40" s="252">
        <f t="shared" ref="D40:D50" si="97">B40</f>
        <v>42735</v>
      </c>
      <c r="E40" s="736" t="s">
        <v>590</v>
      </c>
      <c r="F40" s="737">
        <f ca="1">AY52</f>
        <v>0</v>
      </c>
      <c r="G40" s="738" t="s">
        <v>595</v>
      </c>
      <c r="H40" s="738" t="s">
        <v>9</v>
      </c>
      <c r="I40" s="58">
        <f t="shared" ca="1" si="0"/>
        <v>2</v>
      </c>
      <c r="J40" s="251">
        <f t="shared" si="61"/>
        <v>0</v>
      </c>
      <c r="K40" s="251">
        <f t="shared" si="62"/>
        <v>0</v>
      </c>
      <c r="L40" s="251">
        <f t="shared" si="1"/>
        <v>0</v>
      </c>
      <c r="M40" s="251">
        <f t="shared" si="2"/>
        <v>0</v>
      </c>
      <c r="N40" s="251">
        <f t="shared" si="3"/>
        <v>0</v>
      </c>
      <c r="O40" s="251">
        <f t="shared" si="4"/>
        <v>0</v>
      </c>
      <c r="P40" s="251">
        <f t="shared" si="5"/>
        <v>0</v>
      </c>
      <c r="Q40" s="251">
        <f t="shared" si="6"/>
        <v>0</v>
      </c>
      <c r="R40" s="251">
        <f t="shared" si="7"/>
        <v>0</v>
      </c>
      <c r="S40" s="251">
        <f t="shared" ca="1" si="8"/>
        <v>0</v>
      </c>
      <c r="T40" s="251">
        <f t="shared" si="9"/>
        <v>0</v>
      </c>
      <c r="U40" s="251">
        <f t="shared" si="10"/>
        <v>0</v>
      </c>
      <c r="V40" s="251">
        <f t="shared" si="11"/>
        <v>0</v>
      </c>
      <c r="W40" s="251">
        <f t="shared" si="12"/>
        <v>0</v>
      </c>
      <c r="X40" s="251">
        <f t="shared" si="13"/>
        <v>0</v>
      </c>
      <c r="Y40" s="251">
        <f t="shared" si="14"/>
        <v>0</v>
      </c>
      <c r="Z40" s="251">
        <f t="shared" si="15"/>
        <v>0</v>
      </c>
      <c r="AA40" s="251">
        <f t="shared" si="16"/>
        <v>0</v>
      </c>
      <c r="AB40" s="251">
        <f t="shared" si="63"/>
        <v>0</v>
      </c>
      <c r="AC40" s="251">
        <f t="shared" si="64"/>
        <v>0</v>
      </c>
      <c r="AD40" s="251">
        <f t="shared" si="17"/>
        <v>0</v>
      </c>
      <c r="AE40" s="251">
        <f t="shared" si="18"/>
        <v>0</v>
      </c>
      <c r="AF40" s="251">
        <f t="shared" si="19"/>
        <v>0</v>
      </c>
      <c r="AG40" s="251">
        <f t="shared" si="20"/>
        <v>0</v>
      </c>
      <c r="AH40" s="251">
        <f t="shared" si="65"/>
        <v>0</v>
      </c>
      <c r="AI40" s="251">
        <f t="shared" si="66"/>
        <v>0</v>
      </c>
      <c r="AJ40" s="251">
        <f t="shared" si="67"/>
        <v>0</v>
      </c>
      <c r="AK40" s="251">
        <f t="shared" si="68"/>
        <v>0</v>
      </c>
      <c r="AL40" s="251">
        <f t="shared" si="69"/>
        <v>0</v>
      </c>
      <c r="AM40" s="251">
        <f t="shared" si="70"/>
        <v>0</v>
      </c>
      <c r="AN40" s="251">
        <f t="shared" si="71"/>
        <v>0</v>
      </c>
      <c r="AO40" s="251">
        <f t="shared" si="72"/>
        <v>0</v>
      </c>
      <c r="AP40" s="251">
        <f t="shared" si="21"/>
        <v>0</v>
      </c>
      <c r="AQ40" s="251">
        <f t="shared" si="22"/>
        <v>0</v>
      </c>
      <c r="AR40" s="251">
        <f t="shared" si="23"/>
        <v>0</v>
      </c>
      <c r="AS40" s="251">
        <f t="shared" si="24"/>
        <v>0</v>
      </c>
      <c r="AT40" s="251">
        <f t="shared" si="73"/>
        <v>0</v>
      </c>
      <c r="AU40" s="251">
        <f t="shared" si="74"/>
        <v>0</v>
      </c>
      <c r="AV40" s="251">
        <f t="shared" si="25"/>
        <v>0</v>
      </c>
      <c r="AW40" s="251">
        <f t="shared" si="26"/>
        <v>0</v>
      </c>
      <c r="AX40" s="251">
        <f t="shared" ca="1" si="27"/>
        <v>0</v>
      </c>
      <c r="AY40" s="251">
        <f t="shared" si="28"/>
        <v>0</v>
      </c>
      <c r="AZ40" s="251">
        <f t="shared" si="29"/>
        <v>0</v>
      </c>
      <c r="BA40" s="251">
        <f t="shared" si="30"/>
        <v>0</v>
      </c>
      <c r="BB40" s="251">
        <f t="shared" si="31"/>
        <v>0</v>
      </c>
      <c r="BC40" s="251">
        <f t="shared" si="32"/>
        <v>0</v>
      </c>
      <c r="BD40" s="251">
        <f t="shared" si="33"/>
        <v>0</v>
      </c>
      <c r="BE40" s="251">
        <f t="shared" si="34"/>
        <v>0</v>
      </c>
      <c r="BF40" s="251">
        <f t="shared" si="35"/>
        <v>0</v>
      </c>
      <c r="BG40" s="251">
        <f t="shared" si="36"/>
        <v>0</v>
      </c>
      <c r="BH40" s="251">
        <f t="shared" si="75"/>
        <v>0</v>
      </c>
      <c r="BI40" s="251">
        <f t="shared" si="76"/>
        <v>0</v>
      </c>
      <c r="BJ40" s="251">
        <f t="shared" si="37"/>
        <v>0</v>
      </c>
      <c r="BK40" s="251">
        <f t="shared" si="38"/>
        <v>0</v>
      </c>
      <c r="BL40" s="251">
        <f t="shared" si="39"/>
        <v>0</v>
      </c>
      <c r="BM40" s="251">
        <f t="shared" si="40"/>
        <v>0</v>
      </c>
      <c r="BN40" s="251">
        <f t="shared" si="41"/>
        <v>0</v>
      </c>
      <c r="BO40" s="251">
        <f t="shared" si="42"/>
        <v>0</v>
      </c>
      <c r="BP40" s="251">
        <f t="shared" si="77"/>
        <v>0</v>
      </c>
      <c r="BQ40" s="251">
        <f t="shared" si="78"/>
        <v>0</v>
      </c>
      <c r="BR40" s="251">
        <f t="shared" si="43"/>
        <v>0</v>
      </c>
      <c r="BS40" s="251">
        <f t="shared" si="44"/>
        <v>0</v>
      </c>
      <c r="BT40" s="251">
        <f t="shared" si="79"/>
        <v>0</v>
      </c>
      <c r="BU40" s="251">
        <f t="shared" si="80"/>
        <v>0</v>
      </c>
      <c r="BV40" s="251">
        <f t="shared" si="81"/>
        <v>0</v>
      </c>
      <c r="BW40" s="251">
        <f t="shared" si="82"/>
        <v>0</v>
      </c>
      <c r="BX40" s="251">
        <f t="shared" si="45"/>
        <v>0</v>
      </c>
      <c r="BY40" s="251">
        <f t="shared" si="46"/>
        <v>0</v>
      </c>
      <c r="BZ40" s="251">
        <f t="shared" si="47"/>
        <v>0</v>
      </c>
      <c r="CA40" s="251">
        <f t="shared" si="48"/>
        <v>0</v>
      </c>
      <c r="CB40" s="251">
        <f t="shared" si="49"/>
        <v>0</v>
      </c>
      <c r="CC40" s="251">
        <f t="shared" si="50"/>
        <v>0</v>
      </c>
      <c r="CD40" s="251">
        <f t="shared" si="83"/>
        <v>0</v>
      </c>
      <c r="CE40" s="251">
        <f t="shared" si="84"/>
        <v>0</v>
      </c>
      <c r="CF40" s="251">
        <f t="shared" si="85"/>
        <v>0</v>
      </c>
      <c r="CG40" s="251">
        <f t="shared" si="86"/>
        <v>0</v>
      </c>
      <c r="CH40" s="251">
        <f t="shared" si="51"/>
        <v>0</v>
      </c>
      <c r="CI40" s="251">
        <f t="shared" si="52"/>
        <v>0</v>
      </c>
      <c r="CJ40" s="251">
        <f t="shared" si="87"/>
        <v>0</v>
      </c>
      <c r="CK40" s="251">
        <f t="shared" si="88"/>
        <v>0</v>
      </c>
      <c r="CL40" s="251">
        <f t="shared" si="53"/>
        <v>0</v>
      </c>
      <c r="CM40" s="251">
        <f t="shared" si="54"/>
        <v>0</v>
      </c>
      <c r="CN40" s="251">
        <f t="shared" si="55"/>
        <v>0</v>
      </c>
      <c r="CO40" s="251">
        <f t="shared" si="56"/>
        <v>0</v>
      </c>
      <c r="CP40" s="251">
        <f t="shared" si="89"/>
        <v>0</v>
      </c>
      <c r="CQ40" s="251">
        <f t="shared" si="90"/>
        <v>0</v>
      </c>
      <c r="CR40" s="251">
        <f t="shared" si="91"/>
        <v>0</v>
      </c>
      <c r="CS40" s="251">
        <f t="shared" si="92"/>
        <v>0</v>
      </c>
      <c r="CT40" s="251">
        <f t="shared" si="57"/>
        <v>0</v>
      </c>
      <c r="CU40" s="251">
        <f t="shared" si="58"/>
        <v>0</v>
      </c>
      <c r="CV40" s="251">
        <f t="shared" si="59"/>
        <v>0</v>
      </c>
      <c r="CW40" s="251">
        <f t="shared" si="60"/>
        <v>0</v>
      </c>
      <c r="CX40" s="251">
        <f t="shared" si="93"/>
        <v>0</v>
      </c>
      <c r="CY40" s="251">
        <f t="shared" si="94"/>
        <v>0</v>
      </c>
      <c r="CZ40" s="251">
        <f t="shared" si="95"/>
        <v>0</v>
      </c>
      <c r="DA40" s="251">
        <f t="shared" si="96"/>
        <v>0</v>
      </c>
    </row>
    <row r="41" spans="1:105" s="248" customFormat="1" ht="16.5" customHeight="1">
      <c r="A41" s="58">
        <f t="array" aca="1" ref="A41" ca="1">IF(C41&lt;&gt;0,SUM(($C$11:C41&lt;&gt;0)*1),"")</f>
        <v>3</v>
      </c>
      <c r="B41" s="249">
        <v>42735</v>
      </c>
      <c r="C41" s="252" t="s">
        <v>115</v>
      </c>
      <c r="D41" s="252">
        <f t="shared" si="97"/>
        <v>42735</v>
      </c>
      <c r="E41" s="736" t="s">
        <v>591</v>
      </c>
      <c r="F41" s="737">
        <f ca="1">CL52</f>
        <v>0</v>
      </c>
      <c r="G41" s="738" t="s">
        <v>109</v>
      </c>
      <c r="H41" s="738" t="s">
        <v>284</v>
      </c>
      <c r="I41" s="58">
        <f t="shared" ca="1" si="0"/>
        <v>3</v>
      </c>
      <c r="J41" s="251">
        <f t="shared" si="61"/>
        <v>0</v>
      </c>
      <c r="K41" s="251">
        <f t="shared" si="62"/>
        <v>0</v>
      </c>
      <c r="L41" s="251">
        <f t="shared" si="1"/>
        <v>0</v>
      </c>
      <c r="M41" s="251">
        <f t="shared" si="2"/>
        <v>0</v>
      </c>
      <c r="N41" s="251">
        <f t="shared" si="3"/>
        <v>0</v>
      </c>
      <c r="O41" s="251">
        <f t="shared" si="4"/>
        <v>0</v>
      </c>
      <c r="P41" s="251">
        <f t="shared" si="5"/>
        <v>0</v>
      </c>
      <c r="Q41" s="251">
        <f t="shared" si="6"/>
        <v>0</v>
      </c>
      <c r="R41" s="251">
        <f t="shared" si="7"/>
        <v>0</v>
      </c>
      <c r="S41" s="251">
        <f t="shared" si="8"/>
        <v>0</v>
      </c>
      <c r="T41" s="251">
        <f t="shared" si="9"/>
        <v>0</v>
      </c>
      <c r="U41" s="251">
        <f t="shared" si="10"/>
        <v>0</v>
      </c>
      <c r="V41" s="251">
        <f t="shared" si="11"/>
        <v>0</v>
      </c>
      <c r="W41" s="251">
        <f t="shared" si="12"/>
        <v>0</v>
      </c>
      <c r="X41" s="251">
        <f t="shared" si="13"/>
        <v>0</v>
      </c>
      <c r="Y41" s="251">
        <f t="shared" si="14"/>
        <v>0</v>
      </c>
      <c r="Z41" s="251">
        <f t="shared" si="15"/>
        <v>0</v>
      </c>
      <c r="AA41" s="251">
        <f t="shared" si="16"/>
        <v>0</v>
      </c>
      <c r="AB41" s="251">
        <f t="shared" si="63"/>
        <v>0</v>
      </c>
      <c r="AC41" s="251">
        <f t="shared" si="64"/>
        <v>0</v>
      </c>
      <c r="AD41" s="251">
        <f t="shared" si="17"/>
        <v>0</v>
      </c>
      <c r="AE41" s="251">
        <f t="shared" si="18"/>
        <v>0</v>
      </c>
      <c r="AF41" s="251">
        <f t="shared" si="19"/>
        <v>0</v>
      </c>
      <c r="AG41" s="251">
        <f t="shared" si="20"/>
        <v>0</v>
      </c>
      <c r="AH41" s="251">
        <f t="shared" si="65"/>
        <v>0</v>
      </c>
      <c r="AI41" s="251">
        <f t="shared" si="66"/>
        <v>0</v>
      </c>
      <c r="AJ41" s="251">
        <f t="shared" si="67"/>
        <v>0</v>
      </c>
      <c r="AK41" s="251">
        <f t="shared" si="68"/>
        <v>0</v>
      </c>
      <c r="AL41" s="251">
        <f t="shared" si="69"/>
        <v>0</v>
      </c>
      <c r="AM41" s="251">
        <f t="shared" si="70"/>
        <v>0</v>
      </c>
      <c r="AN41" s="251">
        <f t="shared" si="71"/>
        <v>0</v>
      </c>
      <c r="AO41" s="251">
        <f t="shared" si="72"/>
        <v>0</v>
      </c>
      <c r="AP41" s="251">
        <f t="shared" si="21"/>
        <v>0</v>
      </c>
      <c r="AQ41" s="251">
        <f t="shared" si="22"/>
        <v>0</v>
      </c>
      <c r="AR41" s="251">
        <f t="shared" si="23"/>
        <v>0</v>
      </c>
      <c r="AS41" s="251">
        <f t="shared" si="24"/>
        <v>0</v>
      </c>
      <c r="AT41" s="251">
        <f t="shared" si="73"/>
        <v>0</v>
      </c>
      <c r="AU41" s="251">
        <f t="shared" si="74"/>
        <v>0</v>
      </c>
      <c r="AV41" s="251">
        <f t="shared" si="25"/>
        <v>0</v>
      </c>
      <c r="AW41" s="251">
        <f t="shared" si="26"/>
        <v>0</v>
      </c>
      <c r="AX41" s="251">
        <f t="shared" si="27"/>
        <v>0</v>
      </c>
      <c r="AY41" s="251">
        <f t="shared" si="28"/>
        <v>0</v>
      </c>
      <c r="AZ41" s="251">
        <f t="shared" si="29"/>
        <v>0</v>
      </c>
      <c r="BA41" s="251">
        <f t="shared" si="30"/>
        <v>0</v>
      </c>
      <c r="BB41" s="251">
        <f t="shared" si="31"/>
        <v>0</v>
      </c>
      <c r="BC41" s="251">
        <f t="shared" si="32"/>
        <v>0</v>
      </c>
      <c r="BD41" s="251">
        <f t="shared" si="33"/>
        <v>0</v>
      </c>
      <c r="BE41" s="251">
        <f t="shared" si="34"/>
        <v>0</v>
      </c>
      <c r="BF41" s="251">
        <f t="shared" si="35"/>
        <v>0</v>
      </c>
      <c r="BG41" s="251">
        <f t="shared" si="36"/>
        <v>0</v>
      </c>
      <c r="BH41" s="251">
        <f t="shared" si="75"/>
        <v>0</v>
      </c>
      <c r="BI41" s="251">
        <f t="shared" si="76"/>
        <v>0</v>
      </c>
      <c r="BJ41" s="251">
        <f t="shared" si="37"/>
        <v>0</v>
      </c>
      <c r="BK41" s="251">
        <f t="shared" si="38"/>
        <v>0</v>
      </c>
      <c r="BL41" s="251">
        <f t="shared" si="39"/>
        <v>0</v>
      </c>
      <c r="BM41" s="251">
        <f t="shared" si="40"/>
        <v>0</v>
      </c>
      <c r="BN41" s="251">
        <f t="shared" si="41"/>
        <v>0</v>
      </c>
      <c r="BO41" s="251">
        <f t="shared" si="42"/>
        <v>0</v>
      </c>
      <c r="BP41" s="251">
        <f t="shared" si="77"/>
        <v>0</v>
      </c>
      <c r="BQ41" s="251">
        <f t="shared" si="78"/>
        <v>0</v>
      </c>
      <c r="BR41" s="251">
        <f t="shared" si="43"/>
        <v>0</v>
      </c>
      <c r="BS41" s="251">
        <f t="shared" si="44"/>
        <v>0</v>
      </c>
      <c r="BT41" s="251">
        <f t="shared" si="79"/>
        <v>0</v>
      </c>
      <c r="BU41" s="251">
        <f t="shared" si="80"/>
        <v>0</v>
      </c>
      <c r="BV41" s="251">
        <f t="shared" si="81"/>
        <v>0</v>
      </c>
      <c r="BW41" s="251">
        <f t="shared" si="82"/>
        <v>0</v>
      </c>
      <c r="BX41" s="251">
        <f t="shared" si="45"/>
        <v>0</v>
      </c>
      <c r="BY41" s="251">
        <f t="shared" si="46"/>
        <v>0</v>
      </c>
      <c r="BZ41" s="251">
        <f t="shared" si="47"/>
        <v>0</v>
      </c>
      <c r="CA41" s="251">
        <f t="shared" si="48"/>
        <v>0</v>
      </c>
      <c r="CB41" s="251">
        <f t="shared" si="49"/>
        <v>0</v>
      </c>
      <c r="CC41" s="251">
        <f t="shared" si="50"/>
        <v>0</v>
      </c>
      <c r="CD41" s="251">
        <f t="shared" si="83"/>
        <v>0</v>
      </c>
      <c r="CE41" s="251">
        <f t="shared" si="84"/>
        <v>0</v>
      </c>
      <c r="CF41" s="251">
        <f t="shared" si="85"/>
        <v>0</v>
      </c>
      <c r="CG41" s="251">
        <f t="shared" si="86"/>
        <v>0</v>
      </c>
      <c r="CH41" s="251">
        <f t="shared" si="51"/>
        <v>0</v>
      </c>
      <c r="CI41" s="251">
        <f t="shared" si="52"/>
        <v>0</v>
      </c>
      <c r="CJ41" s="251">
        <f t="shared" si="87"/>
        <v>0</v>
      </c>
      <c r="CK41" s="251">
        <f t="shared" si="88"/>
        <v>0</v>
      </c>
      <c r="CL41" s="251">
        <f t="shared" si="53"/>
        <v>0</v>
      </c>
      <c r="CM41" s="251">
        <f t="shared" ca="1" si="54"/>
        <v>0</v>
      </c>
      <c r="CN41" s="251">
        <f t="shared" si="55"/>
        <v>0</v>
      </c>
      <c r="CO41" s="251">
        <f t="shared" si="56"/>
        <v>0</v>
      </c>
      <c r="CP41" s="251">
        <f t="shared" si="89"/>
        <v>0</v>
      </c>
      <c r="CQ41" s="251">
        <f t="shared" si="90"/>
        <v>0</v>
      </c>
      <c r="CR41" s="251">
        <f t="shared" si="91"/>
        <v>0</v>
      </c>
      <c r="CS41" s="251">
        <f t="shared" si="92"/>
        <v>0</v>
      </c>
      <c r="CT41" s="251">
        <f t="shared" si="57"/>
        <v>0</v>
      </c>
      <c r="CU41" s="251">
        <f t="shared" si="58"/>
        <v>0</v>
      </c>
      <c r="CV41" s="251">
        <f t="shared" si="59"/>
        <v>0</v>
      </c>
      <c r="CW41" s="251">
        <f t="shared" si="60"/>
        <v>0</v>
      </c>
      <c r="CX41" s="251">
        <f t="shared" si="93"/>
        <v>0</v>
      </c>
      <c r="CY41" s="251">
        <f t="shared" si="94"/>
        <v>0</v>
      </c>
      <c r="CZ41" s="251">
        <f t="shared" ca="1" si="95"/>
        <v>0</v>
      </c>
      <c r="DA41" s="251">
        <f t="shared" si="96"/>
        <v>0</v>
      </c>
    </row>
    <row r="42" spans="1:105" s="248" customFormat="1" ht="16.5" customHeight="1">
      <c r="A42" s="58">
        <f t="array" aca="1" ref="A42" ca="1">IF(C42&lt;&gt;0,SUM(($C$11:C42&lt;&gt;0)*1),"")</f>
        <v>4</v>
      </c>
      <c r="B42" s="249">
        <v>42735</v>
      </c>
      <c r="C42" s="252" t="s">
        <v>115</v>
      </c>
      <c r="D42" s="252">
        <f t="shared" si="97"/>
        <v>42735</v>
      </c>
      <c r="E42" s="736" t="s">
        <v>116</v>
      </c>
      <c r="F42" s="737">
        <f ca="1">CN52</f>
        <v>0</v>
      </c>
      <c r="G42" s="738" t="s">
        <v>109</v>
      </c>
      <c r="H42" s="738" t="s">
        <v>99</v>
      </c>
      <c r="I42" s="58">
        <f t="shared" ca="1" si="0"/>
        <v>4</v>
      </c>
      <c r="J42" s="251">
        <f t="shared" si="61"/>
        <v>0</v>
      </c>
      <c r="K42" s="251">
        <f t="shared" si="62"/>
        <v>0</v>
      </c>
      <c r="L42" s="251">
        <f t="shared" si="1"/>
        <v>0</v>
      </c>
      <c r="M42" s="251">
        <f t="shared" si="2"/>
        <v>0</v>
      </c>
      <c r="N42" s="251">
        <f t="shared" si="3"/>
        <v>0</v>
      </c>
      <c r="O42" s="251">
        <f t="shared" si="4"/>
        <v>0</v>
      </c>
      <c r="P42" s="251">
        <f t="shared" si="5"/>
        <v>0</v>
      </c>
      <c r="Q42" s="251">
        <f t="shared" si="6"/>
        <v>0</v>
      </c>
      <c r="R42" s="251">
        <f t="shared" si="7"/>
        <v>0</v>
      </c>
      <c r="S42" s="251">
        <f t="shared" si="8"/>
        <v>0</v>
      </c>
      <c r="T42" s="251">
        <f t="shared" si="9"/>
        <v>0</v>
      </c>
      <c r="U42" s="251">
        <f t="shared" si="10"/>
        <v>0</v>
      </c>
      <c r="V42" s="251">
        <f t="shared" si="11"/>
        <v>0</v>
      </c>
      <c r="W42" s="251">
        <f t="shared" si="12"/>
        <v>0</v>
      </c>
      <c r="X42" s="251">
        <f t="shared" si="13"/>
        <v>0</v>
      </c>
      <c r="Y42" s="251">
        <f t="shared" si="14"/>
        <v>0</v>
      </c>
      <c r="Z42" s="251">
        <f t="shared" si="15"/>
        <v>0</v>
      </c>
      <c r="AA42" s="251">
        <f t="shared" si="16"/>
        <v>0</v>
      </c>
      <c r="AB42" s="251">
        <f t="shared" si="63"/>
        <v>0</v>
      </c>
      <c r="AC42" s="251">
        <f t="shared" si="64"/>
        <v>0</v>
      </c>
      <c r="AD42" s="251">
        <f t="shared" si="17"/>
        <v>0</v>
      </c>
      <c r="AE42" s="251">
        <f t="shared" si="18"/>
        <v>0</v>
      </c>
      <c r="AF42" s="251">
        <f t="shared" si="19"/>
        <v>0</v>
      </c>
      <c r="AG42" s="251">
        <f t="shared" si="20"/>
        <v>0</v>
      </c>
      <c r="AH42" s="251">
        <f t="shared" si="65"/>
        <v>0</v>
      </c>
      <c r="AI42" s="251">
        <f t="shared" si="66"/>
        <v>0</v>
      </c>
      <c r="AJ42" s="251">
        <f t="shared" si="67"/>
        <v>0</v>
      </c>
      <c r="AK42" s="251">
        <f t="shared" si="68"/>
        <v>0</v>
      </c>
      <c r="AL42" s="251">
        <f t="shared" si="69"/>
        <v>0</v>
      </c>
      <c r="AM42" s="251">
        <f t="shared" si="70"/>
        <v>0</v>
      </c>
      <c r="AN42" s="251">
        <f t="shared" si="71"/>
        <v>0</v>
      </c>
      <c r="AO42" s="251">
        <f t="shared" si="72"/>
        <v>0</v>
      </c>
      <c r="AP42" s="251">
        <f t="shared" si="21"/>
        <v>0</v>
      </c>
      <c r="AQ42" s="251">
        <f t="shared" si="22"/>
        <v>0</v>
      </c>
      <c r="AR42" s="251">
        <f t="shared" si="23"/>
        <v>0</v>
      </c>
      <c r="AS42" s="251">
        <f t="shared" si="24"/>
        <v>0</v>
      </c>
      <c r="AT42" s="251">
        <f t="shared" si="73"/>
        <v>0</v>
      </c>
      <c r="AU42" s="251">
        <f t="shared" si="74"/>
        <v>0</v>
      </c>
      <c r="AV42" s="251">
        <f t="shared" si="25"/>
        <v>0</v>
      </c>
      <c r="AW42" s="251">
        <f t="shared" si="26"/>
        <v>0</v>
      </c>
      <c r="AX42" s="251">
        <f t="shared" si="27"/>
        <v>0</v>
      </c>
      <c r="AY42" s="251">
        <f t="shared" si="28"/>
        <v>0</v>
      </c>
      <c r="AZ42" s="251">
        <f t="shared" si="29"/>
        <v>0</v>
      </c>
      <c r="BA42" s="251">
        <f t="shared" si="30"/>
        <v>0</v>
      </c>
      <c r="BB42" s="251">
        <f t="shared" si="31"/>
        <v>0</v>
      </c>
      <c r="BC42" s="251">
        <f t="shared" si="32"/>
        <v>0</v>
      </c>
      <c r="BD42" s="251">
        <f t="shared" si="33"/>
        <v>0</v>
      </c>
      <c r="BE42" s="251">
        <f t="shared" si="34"/>
        <v>0</v>
      </c>
      <c r="BF42" s="251">
        <f t="shared" si="35"/>
        <v>0</v>
      </c>
      <c r="BG42" s="251">
        <f t="shared" si="36"/>
        <v>0</v>
      </c>
      <c r="BH42" s="251">
        <f t="shared" si="75"/>
        <v>0</v>
      </c>
      <c r="BI42" s="251">
        <f t="shared" si="76"/>
        <v>0</v>
      </c>
      <c r="BJ42" s="251">
        <f t="shared" si="37"/>
        <v>0</v>
      </c>
      <c r="BK42" s="251">
        <f t="shared" si="38"/>
        <v>0</v>
      </c>
      <c r="BL42" s="251">
        <f t="shared" si="39"/>
        <v>0</v>
      </c>
      <c r="BM42" s="251">
        <f t="shared" si="40"/>
        <v>0</v>
      </c>
      <c r="BN42" s="251">
        <f t="shared" si="41"/>
        <v>0</v>
      </c>
      <c r="BO42" s="251">
        <f t="shared" si="42"/>
        <v>0</v>
      </c>
      <c r="BP42" s="251">
        <f t="shared" si="77"/>
        <v>0</v>
      </c>
      <c r="BQ42" s="251">
        <f t="shared" si="78"/>
        <v>0</v>
      </c>
      <c r="BR42" s="251">
        <f t="shared" si="43"/>
        <v>0</v>
      </c>
      <c r="BS42" s="251">
        <f t="shared" si="44"/>
        <v>0</v>
      </c>
      <c r="BT42" s="251">
        <f t="shared" si="79"/>
        <v>0</v>
      </c>
      <c r="BU42" s="251">
        <f t="shared" si="80"/>
        <v>0</v>
      </c>
      <c r="BV42" s="251">
        <f t="shared" si="81"/>
        <v>0</v>
      </c>
      <c r="BW42" s="251">
        <f t="shared" si="82"/>
        <v>0</v>
      </c>
      <c r="BX42" s="251">
        <f t="shared" si="45"/>
        <v>0</v>
      </c>
      <c r="BY42" s="251">
        <f t="shared" si="46"/>
        <v>0</v>
      </c>
      <c r="BZ42" s="251">
        <f t="shared" si="47"/>
        <v>0</v>
      </c>
      <c r="CA42" s="251">
        <f t="shared" si="48"/>
        <v>0</v>
      </c>
      <c r="CB42" s="251">
        <f t="shared" si="49"/>
        <v>0</v>
      </c>
      <c r="CC42" s="251">
        <f t="shared" si="50"/>
        <v>0</v>
      </c>
      <c r="CD42" s="251">
        <f t="shared" si="83"/>
        <v>0</v>
      </c>
      <c r="CE42" s="251">
        <f t="shared" si="84"/>
        <v>0</v>
      </c>
      <c r="CF42" s="251">
        <f t="shared" si="85"/>
        <v>0</v>
      </c>
      <c r="CG42" s="251">
        <f t="shared" si="86"/>
        <v>0</v>
      </c>
      <c r="CH42" s="251">
        <f t="shared" si="51"/>
        <v>0</v>
      </c>
      <c r="CI42" s="251">
        <f t="shared" si="52"/>
        <v>0</v>
      </c>
      <c r="CJ42" s="251">
        <f t="shared" si="87"/>
        <v>0</v>
      </c>
      <c r="CK42" s="251">
        <f t="shared" si="88"/>
        <v>0</v>
      </c>
      <c r="CL42" s="251">
        <f t="shared" si="53"/>
        <v>0</v>
      </c>
      <c r="CM42" s="251">
        <f t="shared" si="54"/>
        <v>0</v>
      </c>
      <c r="CN42" s="251">
        <f t="shared" si="55"/>
        <v>0</v>
      </c>
      <c r="CO42" s="251">
        <f t="shared" ca="1" si="56"/>
        <v>0</v>
      </c>
      <c r="CP42" s="251">
        <f t="shared" si="89"/>
        <v>0</v>
      </c>
      <c r="CQ42" s="251">
        <f t="shared" si="90"/>
        <v>0</v>
      </c>
      <c r="CR42" s="251">
        <f t="shared" si="91"/>
        <v>0</v>
      </c>
      <c r="CS42" s="251">
        <f t="shared" si="92"/>
        <v>0</v>
      </c>
      <c r="CT42" s="251">
        <f t="shared" si="57"/>
        <v>0</v>
      </c>
      <c r="CU42" s="251">
        <f t="shared" si="58"/>
        <v>0</v>
      </c>
      <c r="CV42" s="251">
        <f t="shared" si="59"/>
        <v>0</v>
      </c>
      <c r="CW42" s="251">
        <f t="shared" si="60"/>
        <v>0</v>
      </c>
      <c r="CX42" s="251">
        <f t="shared" si="93"/>
        <v>0</v>
      </c>
      <c r="CY42" s="251">
        <f t="shared" si="94"/>
        <v>0</v>
      </c>
      <c r="CZ42" s="251">
        <f t="shared" ca="1" si="95"/>
        <v>0</v>
      </c>
      <c r="DA42" s="251">
        <f t="shared" si="96"/>
        <v>0</v>
      </c>
    </row>
    <row r="43" spans="1:105" s="248" customFormat="1" ht="16.5" customHeight="1">
      <c r="A43" s="58">
        <f t="array" aca="1" ref="A43" ca="1">IF(C43&lt;&gt;0,SUM(($C$11:C43&lt;&gt;0)*1),"")</f>
        <v>5</v>
      </c>
      <c r="B43" s="249">
        <v>42735</v>
      </c>
      <c r="C43" s="252" t="s">
        <v>115</v>
      </c>
      <c r="D43" s="252">
        <f t="shared" si="97"/>
        <v>42735</v>
      </c>
      <c r="E43" s="736" t="s">
        <v>592</v>
      </c>
      <c r="F43" s="737">
        <f ca="1">CP52</f>
        <v>0</v>
      </c>
      <c r="G43" s="738" t="s">
        <v>109</v>
      </c>
      <c r="H43" s="738" t="s">
        <v>539</v>
      </c>
      <c r="I43" s="58">
        <f t="shared" ca="1" si="0"/>
        <v>5</v>
      </c>
      <c r="J43" s="251">
        <f t="shared" si="61"/>
        <v>0</v>
      </c>
      <c r="K43" s="251">
        <f t="shared" si="62"/>
        <v>0</v>
      </c>
      <c r="L43" s="251">
        <f t="shared" si="1"/>
        <v>0</v>
      </c>
      <c r="M43" s="251">
        <f t="shared" si="2"/>
        <v>0</v>
      </c>
      <c r="N43" s="251">
        <f t="shared" si="3"/>
        <v>0</v>
      </c>
      <c r="O43" s="251">
        <f t="shared" si="4"/>
        <v>0</v>
      </c>
      <c r="P43" s="251">
        <f t="shared" si="5"/>
        <v>0</v>
      </c>
      <c r="Q43" s="251">
        <f t="shared" si="6"/>
        <v>0</v>
      </c>
      <c r="R43" s="251">
        <f t="shared" si="7"/>
        <v>0</v>
      </c>
      <c r="S43" s="251">
        <f t="shared" si="8"/>
        <v>0</v>
      </c>
      <c r="T43" s="251">
        <f t="shared" si="9"/>
        <v>0</v>
      </c>
      <c r="U43" s="251">
        <f t="shared" si="10"/>
        <v>0</v>
      </c>
      <c r="V43" s="251">
        <f t="shared" si="11"/>
        <v>0</v>
      </c>
      <c r="W43" s="251">
        <f t="shared" si="12"/>
        <v>0</v>
      </c>
      <c r="X43" s="251">
        <f t="shared" si="13"/>
        <v>0</v>
      </c>
      <c r="Y43" s="251">
        <f t="shared" si="14"/>
        <v>0</v>
      </c>
      <c r="Z43" s="251">
        <f t="shared" si="15"/>
        <v>0</v>
      </c>
      <c r="AA43" s="251">
        <f t="shared" si="16"/>
        <v>0</v>
      </c>
      <c r="AB43" s="251">
        <f t="shared" si="63"/>
        <v>0</v>
      </c>
      <c r="AC43" s="251">
        <f t="shared" si="64"/>
        <v>0</v>
      </c>
      <c r="AD43" s="251">
        <f t="shared" si="17"/>
        <v>0</v>
      </c>
      <c r="AE43" s="251">
        <f t="shared" si="18"/>
        <v>0</v>
      </c>
      <c r="AF43" s="251">
        <f t="shared" si="19"/>
        <v>0</v>
      </c>
      <c r="AG43" s="251">
        <f t="shared" si="20"/>
        <v>0</v>
      </c>
      <c r="AH43" s="251">
        <f t="shared" si="65"/>
        <v>0</v>
      </c>
      <c r="AI43" s="251">
        <f t="shared" si="66"/>
        <v>0</v>
      </c>
      <c r="AJ43" s="251">
        <f t="shared" si="67"/>
        <v>0</v>
      </c>
      <c r="AK43" s="251">
        <f t="shared" si="68"/>
        <v>0</v>
      </c>
      <c r="AL43" s="251">
        <f t="shared" si="69"/>
        <v>0</v>
      </c>
      <c r="AM43" s="251">
        <f t="shared" si="70"/>
        <v>0</v>
      </c>
      <c r="AN43" s="251">
        <f t="shared" si="71"/>
        <v>0</v>
      </c>
      <c r="AO43" s="251">
        <f t="shared" si="72"/>
        <v>0</v>
      </c>
      <c r="AP43" s="251">
        <f t="shared" si="21"/>
        <v>0</v>
      </c>
      <c r="AQ43" s="251">
        <f t="shared" si="22"/>
        <v>0</v>
      </c>
      <c r="AR43" s="251">
        <f t="shared" si="23"/>
        <v>0</v>
      </c>
      <c r="AS43" s="251">
        <f t="shared" si="24"/>
        <v>0</v>
      </c>
      <c r="AT43" s="251">
        <f t="shared" si="73"/>
        <v>0</v>
      </c>
      <c r="AU43" s="251">
        <f t="shared" si="74"/>
        <v>0</v>
      </c>
      <c r="AV43" s="251">
        <f t="shared" si="25"/>
        <v>0</v>
      </c>
      <c r="AW43" s="251">
        <f t="shared" si="26"/>
        <v>0</v>
      </c>
      <c r="AX43" s="251">
        <f t="shared" si="27"/>
        <v>0</v>
      </c>
      <c r="AY43" s="251">
        <f t="shared" si="28"/>
        <v>0</v>
      </c>
      <c r="AZ43" s="251">
        <f t="shared" si="29"/>
        <v>0</v>
      </c>
      <c r="BA43" s="251">
        <f t="shared" si="30"/>
        <v>0</v>
      </c>
      <c r="BB43" s="251">
        <f t="shared" si="31"/>
        <v>0</v>
      </c>
      <c r="BC43" s="251">
        <f t="shared" si="32"/>
        <v>0</v>
      </c>
      <c r="BD43" s="251">
        <f t="shared" si="33"/>
        <v>0</v>
      </c>
      <c r="BE43" s="251">
        <f t="shared" si="34"/>
        <v>0</v>
      </c>
      <c r="BF43" s="251">
        <f t="shared" si="35"/>
        <v>0</v>
      </c>
      <c r="BG43" s="251">
        <f t="shared" si="36"/>
        <v>0</v>
      </c>
      <c r="BH43" s="251">
        <f t="shared" si="75"/>
        <v>0</v>
      </c>
      <c r="BI43" s="251">
        <f t="shared" si="76"/>
        <v>0</v>
      </c>
      <c r="BJ43" s="251">
        <f t="shared" si="37"/>
        <v>0</v>
      </c>
      <c r="BK43" s="251">
        <f t="shared" si="38"/>
        <v>0</v>
      </c>
      <c r="BL43" s="251">
        <f t="shared" si="39"/>
        <v>0</v>
      </c>
      <c r="BM43" s="251">
        <f t="shared" si="40"/>
        <v>0</v>
      </c>
      <c r="BN43" s="251">
        <f t="shared" si="41"/>
        <v>0</v>
      </c>
      <c r="BO43" s="251">
        <f t="shared" si="42"/>
        <v>0</v>
      </c>
      <c r="BP43" s="251">
        <f t="shared" si="77"/>
        <v>0</v>
      </c>
      <c r="BQ43" s="251">
        <f t="shared" si="78"/>
        <v>0</v>
      </c>
      <c r="BR43" s="251">
        <f t="shared" si="43"/>
        <v>0</v>
      </c>
      <c r="BS43" s="251">
        <f t="shared" si="44"/>
        <v>0</v>
      </c>
      <c r="BT43" s="251">
        <f t="shared" si="79"/>
        <v>0</v>
      </c>
      <c r="BU43" s="251">
        <f t="shared" si="80"/>
        <v>0</v>
      </c>
      <c r="BV43" s="251">
        <f t="shared" si="81"/>
        <v>0</v>
      </c>
      <c r="BW43" s="251">
        <f t="shared" si="82"/>
        <v>0</v>
      </c>
      <c r="BX43" s="251">
        <f t="shared" si="45"/>
        <v>0</v>
      </c>
      <c r="BY43" s="251">
        <f t="shared" si="46"/>
        <v>0</v>
      </c>
      <c r="BZ43" s="251">
        <f t="shared" si="47"/>
        <v>0</v>
      </c>
      <c r="CA43" s="251">
        <f t="shared" si="48"/>
        <v>0</v>
      </c>
      <c r="CB43" s="251">
        <f t="shared" si="49"/>
        <v>0</v>
      </c>
      <c r="CC43" s="251">
        <f t="shared" si="50"/>
        <v>0</v>
      </c>
      <c r="CD43" s="251">
        <f t="shared" si="83"/>
        <v>0</v>
      </c>
      <c r="CE43" s="251">
        <f t="shared" si="84"/>
        <v>0</v>
      </c>
      <c r="CF43" s="251">
        <f t="shared" si="85"/>
        <v>0</v>
      </c>
      <c r="CG43" s="251">
        <f t="shared" si="86"/>
        <v>0</v>
      </c>
      <c r="CH43" s="251">
        <f t="shared" si="51"/>
        <v>0</v>
      </c>
      <c r="CI43" s="251">
        <f t="shared" si="52"/>
        <v>0</v>
      </c>
      <c r="CJ43" s="251">
        <f t="shared" si="87"/>
        <v>0</v>
      </c>
      <c r="CK43" s="251">
        <f t="shared" si="88"/>
        <v>0</v>
      </c>
      <c r="CL43" s="251">
        <f t="shared" si="53"/>
        <v>0</v>
      </c>
      <c r="CM43" s="251">
        <f t="shared" si="54"/>
        <v>0</v>
      </c>
      <c r="CN43" s="251">
        <f t="shared" si="55"/>
        <v>0</v>
      </c>
      <c r="CO43" s="251">
        <f t="shared" si="56"/>
        <v>0</v>
      </c>
      <c r="CP43" s="251">
        <f t="shared" si="89"/>
        <v>0</v>
      </c>
      <c r="CQ43" s="251">
        <f t="shared" ca="1" si="90"/>
        <v>0</v>
      </c>
      <c r="CR43" s="251">
        <f t="shared" si="91"/>
        <v>0</v>
      </c>
      <c r="CS43" s="251">
        <f t="shared" si="92"/>
        <v>0</v>
      </c>
      <c r="CT43" s="251">
        <f t="shared" si="57"/>
        <v>0</v>
      </c>
      <c r="CU43" s="251">
        <f t="shared" si="58"/>
        <v>0</v>
      </c>
      <c r="CV43" s="251">
        <f t="shared" si="59"/>
        <v>0</v>
      </c>
      <c r="CW43" s="251">
        <f t="shared" si="60"/>
        <v>0</v>
      </c>
      <c r="CX43" s="251">
        <f t="shared" si="93"/>
        <v>0</v>
      </c>
      <c r="CY43" s="251">
        <f t="shared" si="94"/>
        <v>0</v>
      </c>
      <c r="CZ43" s="251">
        <f t="shared" ca="1" si="95"/>
        <v>0</v>
      </c>
      <c r="DA43" s="251">
        <f t="shared" si="96"/>
        <v>0</v>
      </c>
    </row>
    <row r="44" spans="1:105" s="248" customFormat="1" ht="16.5" customHeight="1">
      <c r="A44" s="58">
        <f t="array" aca="1" ref="A44" ca="1">IF(C44&lt;&gt;0,SUM(($C$11:C44&lt;&gt;0)*1),"")</f>
        <v>6</v>
      </c>
      <c r="B44" s="249">
        <v>42735</v>
      </c>
      <c r="C44" s="252" t="s">
        <v>115</v>
      </c>
      <c r="D44" s="252">
        <f t="shared" si="97"/>
        <v>42735</v>
      </c>
      <c r="E44" s="736" t="s">
        <v>117</v>
      </c>
      <c r="F44" s="737">
        <f ca="1">CR52</f>
        <v>0</v>
      </c>
      <c r="G44" s="738" t="s">
        <v>109</v>
      </c>
      <c r="H44" s="738" t="s">
        <v>101</v>
      </c>
      <c r="I44" s="58">
        <f t="shared" ca="1" si="0"/>
        <v>6</v>
      </c>
      <c r="J44" s="251">
        <f t="shared" si="61"/>
        <v>0</v>
      </c>
      <c r="K44" s="251">
        <f t="shared" si="62"/>
        <v>0</v>
      </c>
      <c r="L44" s="251">
        <f t="shared" si="1"/>
        <v>0</v>
      </c>
      <c r="M44" s="251">
        <f t="shared" si="2"/>
        <v>0</v>
      </c>
      <c r="N44" s="251">
        <f t="shared" si="3"/>
        <v>0</v>
      </c>
      <c r="O44" s="251">
        <f t="shared" si="4"/>
        <v>0</v>
      </c>
      <c r="P44" s="251">
        <f t="shared" si="5"/>
        <v>0</v>
      </c>
      <c r="Q44" s="251">
        <f t="shared" si="6"/>
        <v>0</v>
      </c>
      <c r="R44" s="251">
        <f t="shared" si="7"/>
        <v>0</v>
      </c>
      <c r="S44" s="251">
        <f t="shared" si="8"/>
        <v>0</v>
      </c>
      <c r="T44" s="251">
        <f t="shared" si="9"/>
        <v>0</v>
      </c>
      <c r="U44" s="251">
        <f t="shared" si="10"/>
        <v>0</v>
      </c>
      <c r="V44" s="251">
        <f t="shared" si="11"/>
        <v>0</v>
      </c>
      <c r="W44" s="251">
        <f t="shared" si="12"/>
        <v>0</v>
      </c>
      <c r="X44" s="251">
        <f t="shared" si="13"/>
        <v>0</v>
      </c>
      <c r="Y44" s="251">
        <f t="shared" si="14"/>
        <v>0</v>
      </c>
      <c r="Z44" s="251">
        <f t="shared" si="15"/>
        <v>0</v>
      </c>
      <c r="AA44" s="251">
        <f t="shared" si="16"/>
        <v>0</v>
      </c>
      <c r="AB44" s="251">
        <f t="shared" si="63"/>
        <v>0</v>
      </c>
      <c r="AC44" s="251">
        <f t="shared" si="64"/>
        <v>0</v>
      </c>
      <c r="AD44" s="251">
        <f t="shared" si="17"/>
        <v>0</v>
      </c>
      <c r="AE44" s="251">
        <f t="shared" si="18"/>
        <v>0</v>
      </c>
      <c r="AF44" s="251">
        <f t="shared" si="19"/>
        <v>0</v>
      </c>
      <c r="AG44" s="251">
        <f t="shared" si="20"/>
        <v>0</v>
      </c>
      <c r="AH44" s="251">
        <f t="shared" si="65"/>
        <v>0</v>
      </c>
      <c r="AI44" s="251">
        <f t="shared" si="66"/>
        <v>0</v>
      </c>
      <c r="AJ44" s="251">
        <f t="shared" si="67"/>
        <v>0</v>
      </c>
      <c r="AK44" s="251">
        <f t="shared" si="68"/>
        <v>0</v>
      </c>
      <c r="AL44" s="251">
        <f t="shared" si="69"/>
        <v>0</v>
      </c>
      <c r="AM44" s="251">
        <f t="shared" si="70"/>
        <v>0</v>
      </c>
      <c r="AN44" s="251">
        <f t="shared" si="71"/>
        <v>0</v>
      </c>
      <c r="AO44" s="251">
        <f t="shared" si="72"/>
        <v>0</v>
      </c>
      <c r="AP44" s="251">
        <f t="shared" si="21"/>
        <v>0</v>
      </c>
      <c r="AQ44" s="251">
        <f t="shared" si="22"/>
        <v>0</v>
      </c>
      <c r="AR44" s="251">
        <f t="shared" si="23"/>
        <v>0</v>
      </c>
      <c r="AS44" s="251">
        <f t="shared" si="24"/>
        <v>0</v>
      </c>
      <c r="AT44" s="251">
        <f t="shared" si="73"/>
        <v>0</v>
      </c>
      <c r="AU44" s="251">
        <f t="shared" si="74"/>
        <v>0</v>
      </c>
      <c r="AV44" s="251">
        <f t="shared" si="25"/>
        <v>0</v>
      </c>
      <c r="AW44" s="251">
        <f t="shared" si="26"/>
        <v>0</v>
      </c>
      <c r="AX44" s="251">
        <f t="shared" si="27"/>
        <v>0</v>
      </c>
      <c r="AY44" s="251">
        <f t="shared" si="28"/>
        <v>0</v>
      </c>
      <c r="AZ44" s="251">
        <f t="shared" si="29"/>
        <v>0</v>
      </c>
      <c r="BA44" s="251">
        <f t="shared" si="30"/>
        <v>0</v>
      </c>
      <c r="BB44" s="251">
        <f t="shared" si="31"/>
        <v>0</v>
      </c>
      <c r="BC44" s="251">
        <f t="shared" si="32"/>
        <v>0</v>
      </c>
      <c r="BD44" s="251">
        <f t="shared" si="33"/>
        <v>0</v>
      </c>
      <c r="BE44" s="251">
        <f t="shared" si="34"/>
        <v>0</v>
      </c>
      <c r="BF44" s="251">
        <f t="shared" si="35"/>
        <v>0</v>
      </c>
      <c r="BG44" s="251">
        <f t="shared" si="36"/>
        <v>0</v>
      </c>
      <c r="BH44" s="251">
        <f t="shared" si="75"/>
        <v>0</v>
      </c>
      <c r="BI44" s="251">
        <f t="shared" si="76"/>
        <v>0</v>
      </c>
      <c r="BJ44" s="251">
        <f t="shared" si="37"/>
        <v>0</v>
      </c>
      <c r="BK44" s="251">
        <f t="shared" si="38"/>
        <v>0</v>
      </c>
      <c r="BL44" s="251">
        <f t="shared" si="39"/>
        <v>0</v>
      </c>
      <c r="BM44" s="251">
        <f t="shared" si="40"/>
        <v>0</v>
      </c>
      <c r="BN44" s="251">
        <f t="shared" si="41"/>
        <v>0</v>
      </c>
      <c r="BO44" s="251">
        <f t="shared" si="42"/>
        <v>0</v>
      </c>
      <c r="BP44" s="251">
        <f t="shared" si="77"/>
        <v>0</v>
      </c>
      <c r="BQ44" s="251">
        <f t="shared" si="78"/>
        <v>0</v>
      </c>
      <c r="BR44" s="251">
        <f t="shared" si="43"/>
        <v>0</v>
      </c>
      <c r="BS44" s="251">
        <f t="shared" si="44"/>
        <v>0</v>
      </c>
      <c r="BT44" s="251">
        <f t="shared" si="79"/>
        <v>0</v>
      </c>
      <c r="BU44" s="251">
        <f t="shared" si="80"/>
        <v>0</v>
      </c>
      <c r="BV44" s="251">
        <f t="shared" si="81"/>
        <v>0</v>
      </c>
      <c r="BW44" s="251">
        <f t="shared" si="82"/>
        <v>0</v>
      </c>
      <c r="BX44" s="251">
        <f t="shared" si="45"/>
        <v>0</v>
      </c>
      <c r="BY44" s="251">
        <f t="shared" si="46"/>
        <v>0</v>
      </c>
      <c r="BZ44" s="251">
        <f t="shared" si="47"/>
        <v>0</v>
      </c>
      <c r="CA44" s="251">
        <f t="shared" si="48"/>
        <v>0</v>
      </c>
      <c r="CB44" s="251">
        <f t="shared" si="49"/>
        <v>0</v>
      </c>
      <c r="CC44" s="251">
        <f t="shared" si="50"/>
        <v>0</v>
      </c>
      <c r="CD44" s="251">
        <f t="shared" si="83"/>
        <v>0</v>
      </c>
      <c r="CE44" s="251">
        <f t="shared" si="84"/>
        <v>0</v>
      </c>
      <c r="CF44" s="251">
        <f t="shared" si="85"/>
        <v>0</v>
      </c>
      <c r="CG44" s="251">
        <f t="shared" si="86"/>
        <v>0</v>
      </c>
      <c r="CH44" s="251">
        <f t="shared" si="51"/>
        <v>0</v>
      </c>
      <c r="CI44" s="251">
        <f t="shared" si="52"/>
        <v>0</v>
      </c>
      <c r="CJ44" s="251">
        <f t="shared" si="87"/>
        <v>0</v>
      </c>
      <c r="CK44" s="251">
        <f t="shared" si="88"/>
        <v>0</v>
      </c>
      <c r="CL44" s="251">
        <f t="shared" si="53"/>
        <v>0</v>
      </c>
      <c r="CM44" s="251">
        <f t="shared" si="54"/>
        <v>0</v>
      </c>
      <c r="CN44" s="251">
        <f t="shared" si="55"/>
        <v>0</v>
      </c>
      <c r="CO44" s="251">
        <f t="shared" si="56"/>
        <v>0</v>
      </c>
      <c r="CP44" s="251">
        <f t="shared" si="89"/>
        <v>0</v>
      </c>
      <c r="CQ44" s="251">
        <f t="shared" si="90"/>
        <v>0</v>
      </c>
      <c r="CR44" s="251">
        <f t="shared" si="91"/>
        <v>0</v>
      </c>
      <c r="CS44" s="251">
        <f t="shared" ca="1" si="92"/>
        <v>0</v>
      </c>
      <c r="CT44" s="251">
        <f t="shared" si="57"/>
        <v>0</v>
      </c>
      <c r="CU44" s="251">
        <f t="shared" si="58"/>
        <v>0</v>
      </c>
      <c r="CV44" s="251">
        <f t="shared" si="59"/>
        <v>0</v>
      </c>
      <c r="CW44" s="251">
        <f t="shared" si="60"/>
        <v>0</v>
      </c>
      <c r="CX44" s="251">
        <f t="shared" si="93"/>
        <v>0</v>
      </c>
      <c r="CY44" s="251">
        <f t="shared" si="94"/>
        <v>0</v>
      </c>
      <c r="CZ44" s="251">
        <f t="shared" ca="1" si="95"/>
        <v>0</v>
      </c>
      <c r="DA44" s="251">
        <f t="shared" si="96"/>
        <v>0</v>
      </c>
    </row>
    <row r="45" spans="1:105" s="248" customFormat="1" ht="16.5" customHeight="1">
      <c r="A45" s="58">
        <f t="array" aca="1" ref="A45" ca="1">IF(C45&lt;&gt;0,SUM(($C$11:C45&lt;&gt;0)*1),"")</f>
        <v>7</v>
      </c>
      <c r="B45" s="249">
        <v>42735</v>
      </c>
      <c r="C45" s="252" t="s">
        <v>115</v>
      </c>
      <c r="D45" s="252">
        <f t="shared" si="97"/>
        <v>42735</v>
      </c>
      <c r="E45" s="736" t="s">
        <v>211</v>
      </c>
      <c r="F45" s="737"/>
      <c r="G45" s="738" t="s">
        <v>109</v>
      </c>
      <c r="H45" s="738" t="s">
        <v>94</v>
      </c>
      <c r="I45" s="58">
        <f t="shared" ca="1" si="0"/>
        <v>7</v>
      </c>
      <c r="J45" s="251">
        <f t="shared" si="61"/>
        <v>0</v>
      </c>
      <c r="K45" s="251">
        <f t="shared" si="62"/>
        <v>0</v>
      </c>
      <c r="L45" s="251">
        <f t="shared" si="1"/>
        <v>0</v>
      </c>
      <c r="M45" s="251">
        <f t="shared" si="2"/>
        <v>0</v>
      </c>
      <c r="N45" s="251">
        <f t="shared" si="3"/>
        <v>0</v>
      </c>
      <c r="O45" s="251">
        <f t="shared" si="4"/>
        <v>0</v>
      </c>
      <c r="P45" s="251">
        <f t="shared" si="5"/>
        <v>0</v>
      </c>
      <c r="Q45" s="251">
        <f t="shared" si="6"/>
        <v>0</v>
      </c>
      <c r="R45" s="251">
        <f t="shared" si="7"/>
        <v>0</v>
      </c>
      <c r="S45" s="251">
        <f t="shared" si="8"/>
        <v>0</v>
      </c>
      <c r="T45" s="251">
        <f t="shared" si="9"/>
        <v>0</v>
      </c>
      <c r="U45" s="251">
        <f t="shared" si="10"/>
        <v>0</v>
      </c>
      <c r="V45" s="251">
        <f t="shared" si="11"/>
        <v>0</v>
      </c>
      <c r="W45" s="251">
        <f t="shared" si="12"/>
        <v>0</v>
      </c>
      <c r="X45" s="251">
        <f t="shared" si="13"/>
        <v>0</v>
      </c>
      <c r="Y45" s="251">
        <f t="shared" si="14"/>
        <v>0</v>
      </c>
      <c r="Z45" s="251">
        <f t="shared" si="15"/>
        <v>0</v>
      </c>
      <c r="AA45" s="251">
        <f t="shared" si="16"/>
        <v>0</v>
      </c>
      <c r="AB45" s="251">
        <f t="shared" si="63"/>
        <v>0</v>
      </c>
      <c r="AC45" s="251">
        <f t="shared" si="64"/>
        <v>0</v>
      </c>
      <c r="AD45" s="251">
        <f t="shared" si="17"/>
        <v>0</v>
      </c>
      <c r="AE45" s="251">
        <f t="shared" si="18"/>
        <v>0</v>
      </c>
      <c r="AF45" s="251">
        <f t="shared" si="19"/>
        <v>0</v>
      </c>
      <c r="AG45" s="251">
        <f t="shared" si="20"/>
        <v>0</v>
      </c>
      <c r="AH45" s="251">
        <f t="shared" si="65"/>
        <v>0</v>
      </c>
      <c r="AI45" s="251">
        <f t="shared" si="66"/>
        <v>0</v>
      </c>
      <c r="AJ45" s="251">
        <f t="shared" si="67"/>
        <v>0</v>
      </c>
      <c r="AK45" s="251">
        <f t="shared" si="68"/>
        <v>0</v>
      </c>
      <c r="AL45" s="251">
        <f t="shared" si="69"/>
        <v>0</v>
      </c>
      <c r="AM45" s="251">
        <f t="shared" si="70"/>
        <v>0</v>
      </c>
      <c r="AN45" s="251">
        <f t="shared" si="71"/>
        <v>0</v>
      </c>
      <c r="AO45" s="251">
        <f t="shared" si="72"/>
        <v>0</v>
      </c>
      <c r="AP45" s="251">
        <f t="shared" si="21"/>
        <v>0</v>
      </c>
      <c r="AQ45" s="251">
        <f t="shared" si="22"/>
        <v>0</v>
      </c>
      <c r="AR45" s="251">
        <f t="shared" si="23"/>
        <v>0</v>
      </c>
      <c r="AS45" s="251">
        <f t="shared" si="24"/>
        <v>0</v>
      </c>
      <c r="AT45" s="251">
        <f t="shared" si="73"/>
        <v>0</v>
      </c>
      <c r="AU45" s="251">
        <f t="shared" si="74"/>
        <v>0</v>
      </c>
      <c r="AV45" s="251">
        <f t="shared" si="25"/>
        <v>0</v>
      </c>
      <c r="AW45" s="251">
        <f t="shared" si="26"/>
        <v>0</v>
      </c>
      <c r="AX45" s="251">
        <f t="shared" si="27"/>
        <v>0</v>
      </c>
      <c r="AY45" s="251">
        <f t="shared" si="28"/>
        <v>0</v>
      </c>
      <c r="AZ45" s="251">
        <f t="shared" si="29"/>
        <v>0</v>
      </c>
      <c r="BA45" s="251">
        <f t="shared" si="30"/>
        <v>0</v>
      </c>
      <c r="BB45" s="251">
        <f t="shared" si="31"/>
        <v>0</v>
      </c>
      <c r="BC45" s="251">
        <f t="shared" si="32"/>
        <v>0</v>
      </c>
      <c r="BD45" s="251">
        <f t="shared" si="33"/>
        <v>0</v>
      </c>
      <c r="BE45" s="251">
        <f t="shared" si="34"/>
        <v>0</v>
      </c>
      <c r="BF45" s="251">
        <f t="shared" si="35"/>
        <v>0</v>
      </c>
      <c r="BG45" s="251">
        <f t="shared" si="36"/>
        <v>0</v>
      </c>
      <c r="BH45" s="251">
        <f t="shared" si="75"/>
        <v>0</v>
      </c>
      <c r="BI45" s="251">
        <f t="shared" si="76"/>
        <v>0</v>
      </c>
      <c r="BJ45" s="251">
        <f t="shared" si="37"/>
        <v>0</v>
      </c>
      <c r="BK45" s="251">
        <f t="shared" si="38"/>
        <v>0</v>
      </c>
      <c r="BL45" s="251">
        <f t="shared" si="39"/>
        <v>0</v>
      </c>
      <c r="BM45" s="251">
        <f t="shared" si="40"/>
        <v>0</v>
      </c>
      <c r="BN45" s="251">
        <f t="shared" si="41"/>
        <v>0</v>
      </c>
      <c r="BO45" s="251">
        <f t="shared" si="42"/>
        <v>0</v>
      </c>
      <c r="BP45" s="251">
        <f t="shared" si="77"/>
        <v>0</v>
      </c>
      <c r="BQ45" s="251">
        <f t="shared" si="78"/>
        <v>0</v>
      </c>
      <c r="BR45" s="251">
        <f t="shared" si="43"/>
        <v>0</v>
      </c>
      <c r="BS45" s="251">
        <f t="shared" si="44"/>
        <v>0</v>
      </c>
      <c r="BT45" s="251">
        <f t="shared" si="79"/>
        <v>0</v>
      </c>
      <c r="BU45" s="251">
        <f t="shared" si="80"/>
        <v>0</v>
      </c>
      <c r="BV45" s="251">
        <f t="shared" si="81"/>
        <v>0</v>
      </c>
      <c r="BW45" s="251">
        <f t="shared" si="82"/>
        <v>0</v>
      </c>
      <c r="BX45" s="251">
        <f t="shared" si="45"/>
        <v>0</v>
      </c>
      <c r="BY45" s="251">
        <f t="shared" si="46"/>
        <v>0</v>
      </c>
      <c r="BZ45" s="251">
        <f t="shared" si="47"/>
        <v>0</v>
      </c>
      <c r="CA45" s="251">
        <f t="shared" si="48"/>
        <v>0</v>
      </c>
      <c r="CB45" s="251">
        <f t="shared" si="49"/>
        <v>0</v>
      </c>
      <c r="CC45" s="251">
        <f t="shared" si="50"/>
        <v>0</v>
      </c>
      <c r="CD45" s="251">
        <f t="shared" si="83"/>
        <v>0</v>
      </c>
      <c r="CE45" s="251">
        <f t="shared" si="84"/>
        <v>0</v>
      </c>
      <c r="CF45" s="251">
        <f t="shared" si="85"/>
        <v>0</v>
      </c>
      <c r="CG45" s="251">
        <f t="shared" si="86"/>
        <v>0</v>
      </c>
      <c r="CH45" s="251">
        <f t="shared" si="51"/>
        <v>0</v>
      </c>
      <c r="CI45" s="251">
        <f t="shared" si="52"/>
        <v>0</v>
      </c>
      <c r="CJ45" s="251">
        <f t="shared" si="87"/>
        <v>0</v>
      </c>
      <c r="CK45" s="251">
        <f t="shared" si="88"/>
        <v>0</v>
      </c>
      <c r="CL45" s="251">
        <f t="shared" si="53"/>
        <v>0</v>
      </c>
      <c r="CM45" s="251">
        <f t="shared" si="54"/>
        <v>0</v>
      </c>
      <c r="CN45" s="251">
        <f t="shared" si="55"/>
        <v>0</v>
      </c>
      <c r="CO45" s="251">
        <f t="shared" si="56"/>
        <v>0</v>
      </c>
      <c r="CP45" s="251">
        <f t="shared" si="89"/>
        <v>0</v>
      </c>
      <c r="CQ45" s="251">
        <f t="shared" si="90"/>
        <v>0</v>
      </c>
      <c r="CR45" s="251">
        <f t="shared" si="91"/>
        <v>0</v>
      </c>
      <c r="CS45" s="251">
        <f t="shared" si="92"/>
        <v>0</v>
      </c>
      <c r="CT45" s="251">
        <f t="shared" si="57"/>
        <v>0</v>
      </c>
      <c r="CU45" s="251">
        <f t="shared" si="58"/>
        <v>0</v>
      </c>
      <c r="CV45" s="251">
        <f t="shared" si="59"/>
        <v>0</v>
      </c>
      <c r="CW45" s="251">
        <f t="shared" si="60"/>
        <v>0</v>
      </c>
      <c r="CX45" s="251">
        <f t="shared" si="93"/>
        <v>0</v>
      </c>
      <c r="CY45" s="251">
        <f t="shared" si="94"/>
        <v>0</v>
      </c>
      <c r="CZ45" s="251">
        <f t="shared" si="95"/>
        <v>0</v>
      </c>
      <c r="DA45" s="251">
        <f t="shared" si="96"/>
        <v>0</v>
      </c>
    </row>
    <row r="46" spans="1:105" s="248" customFormat="1" ht="16.5" customHeight="1">
      <c r="A46" s="58">
        <f t="array" aca="1" ref="A46" ca="1">IF(C46&lt;&gt;0,SUM(($C$11:C46&lt;&gt;0)*1),"")</f>
        <v>8</v>
      </c>
      <c r="B46" s="249">
        <v>42735</v>
      </c>
      <c r="C46" s="252" t="s">
        <v>115</v>
      </c>
      <c r="D46" s="252">
        <f t="shared" si="97"/>
        <v>42735</v>
      </c>
      <c r="E46" s="736" t="s">
        <v>118</v>
      </c>
      <c r="F46" s="737">
        <f ca="1">CI52</f>
        <v>0</v>
      </c>
      <c r="G46" s="738" t="s">
        <v>43</v>
      </c>
      <c r="H46" s="738" t="s">
        <v>109</v>
      </c>
      <c r="I46" s="58">
        <f t="shared" ca="1" si="0"/>
        <v>8</v>
      </c>
      <c r="J46" s="251">
        <f t="shared" si="61"/>
        <v>0</v>
      </c>
      <c r="K46" s="251">
        <f t="shared" si="62"/>
        <v>0</v>
      </c>
      <c r="L46" s="251">
        <f t="shared" si="1"/>
        <v>0</v>
      </c>
      <c r="M46" s="251">
        <f t="shared" si="2"/>
        <v>0</v>
      </c>
      <c r="N46" s="251">
        <f t="shared" si="3"/>
        <v>0</v>
      </c>
      <c r="O46" s="251">
        <f t="shared" si="4"/>
        <v>0</v>
      </c>
      <c r="P46" s="251">
        <f t="shared" si="5"/>
        <v>0</v>
      </c>
      <c r="Q46" s="251">
        <f t="shared" si="6"/>
        <v>0</v>
      </c>
      <c r="R46" s="251">
        <f t="shared" si="7"/>
        <v>0</v>
      </c>
      <c r="S46" s="251">
        <f t="shared" si="8"/>
        <v>0</v>
      </c>
      <c r="T46" s="251">
        <f t="shared" si="9"/>
        <v>0</v>
      </c>
      <c r="U46" s="251">
        <f t="shared" si="10"/>
        <v>0</v>
      </c>
      <c r="V46" s="251">
        <f t="shared" si="11"/>
        <v>0</v>
      </c>
      <c r="W46" s="251">
        <f t="shared" si="12"/>
        <v>0</v>
      </c>
      <c r="X46" s="251">
        <f t="shared" si="13"/>
        <v>0</v>
      </c>
      <c r="Y46" s="251">
        <f t="shared" si="14"/>
        <v>0</v>
      </c>
      <c r="Z46" s="251">
        <f t="shared" si="15"/>
        <v>0</v>
      </c>
      <c r="AA46" s="251">
        <f t="shared" si="16"/>
        <v>0</v>
      </c>
      <c r="AB46" s="251">
        <f t="shared" si="63"/>
        <v>0</v>
      </c>
      <c r="AC46" s="251">
        <f t="shared" si="64"/>
        <v>0</v>
      </c>
      <c r="AD46" s="251">
        <f t="shared" si="17"/>
        <v>0</v>
      </c>
      <c r="AE46" s="251">
        <f t="shared" si="18"/>
        <v>0</v>
      </c>
      <c r="AF46" s="251">
        <f t="shared" si="19"/>
        <v>0</v>
      </c>
      <c r="AG46" s="251">
        <f t="shared" si="20"/>
        <v>0</v>
      </c>
      <c r="AH46" s="251">
        <f t="shared" si="65"/>
        <v>0</v>
      </c>
      <c r="AI46" s="251">
        <f t="shared" si="66"/>
        <v>0</v>
      </c>
      <c r="AJ46" s="251">
        <f t="shared" si="67"/>
        <v>0</v>
      </c>
      <c r="AK46" s="251">
        <f t="shared" si="68"/>
        <v>0</v>
      </c>
      <c r="AL46" s="251">
        <f t="shared" si="69"/>
        <v>0</v>
      </c>
      <c r="AM46" s="251">
        <f t="shared" si="70"/>
        <v>0</v>
      </c>
      <c r="AN46" s="251">
        <f t="shared" si="71"/>
        <v>0</v>
      </c>
      <c r="AO46" s="251">
        <f t="shared" si="72"/>
        <v>0</v>
      </c>
      <c r="AP46" s="251">
        <f t="shared" si="21"/>
        <v>0</v>
      </c>
      <c r="AQ46" s="251">
        <f t="shared" si="22"/>
        <v>0</v>
      </c>
      <c r="AR46" s="251">
        <f t="shared" si="23"/>
        <v>0</v>
      </c>
      <c r="AS46" s="251">
        <f t="shared" si="24"/>
        <v>0</v>
      </c>
      <c r="AT46" s="251">
        <f t="shared" si="73"/>
        <v>0</v>
      </c>
      <c r="AU46" s="251">
        <f t="shared" si="74"/>
        <v>0</v>
      </c>
      <c r="AV46" s="251">
        <f t="shared" si="25"/>
        <v>0</v>
      </c>
      <c r="AW46" s="251">
        <f t="shared" si="26"/>
        <v>0</v>
      </c>
      <c r="AX46" s="251">
        <f t="shared" si="27"/>
        <v>0</v>
      </c>
      <c r="AY46" s="251">
        <f t="shared" si="28"/>
        <v>0</v>
      </c>
      <c r="AZ46" s="251">
        <f t="shared" si="29"/>
        <v>0</v>
      </c>
      <c r="BA46" s="251">
        <f t="shared" si="30"/>
        <v>0</v>
      </c>
      <c r="BB46" s="251">
        <f t="shared" si="31"/>
        <v>0</v>
      </c>
      <c r="BC46" s="251">
        <f t="shared" si="32"/>
        <v>0</v>
      </c>
      <c r="BD46" s="251">
        <f t="shared" si="33"/>
        <v>0</v>
      </c>
      <c r="BE46" s="251">
        <f t="shared" si="34"/>
        <v>0</v>
      </c>
      <c r="BF46" s="251">
        <f t="shared" si="35"/>
        <v>0</v>
      </c>
      <c r="BG46" s="251">
        <f t="shared" si="36"/>
        <v>0</v>
      </c>
      <c r="BH46" s="251">
        <f t="shared" si="75"/>
        <v>0</v>
      </c>
      <c r="BI46" s="251">
        <f t="shared" si="76"/>
        <v>0</v>
      </c>
      <c r="BJ46" s="251">
        <f t="shared" si="37"/>
        <v>0</v>
      </c>
      <c r="BK46" s="251">
        <f t="shared" si="38"/>
        <v>0</v>
      </c>
      <c r="BL46" s="251">
        <f t="shared" si="39"/>
        <v>0</v>
      </c>
      <c r="BM46" s="251">
        <f t="shared" si="40"/>
        <v>0</v>
      </c>
      <c r="BN46" s="251">
        <f t="shared" si="41"/>
        <v>0</v>
      </c>
      <c r="BO46" s="251">
        <f t="shared" si="42"/>
        <v>0</v>
      </c>
      <c r="BP46" s="251">
        <f t="shared" si="77"/>
        <v>0</v>
      </c>
      <c r="BQ46" s="251">
        <f t="shared" si="78"/>
        <v>0</v>
      </c>
      <c r="BR46" s="251">
        <f t="shared" si="43"/>
        <v>0</v>
      </c>
      <c r="BS46" s="251">
        <f t="shared" si="44"/>
        <v>0</v>
      </c>
      <c r="BT46" s="251">
        <f t="shared" si="79"/>
        <v>0</v>
      </c>
      <c r="BU46" s="251">
        <f t="shared" si="80"/>
        <v>0</v>
      </c>
      <c r="BV46" s="251">
        <f t="shared" si="81"/>
        <v>0</v>
      </c>
      <c r="BW46" s="251">
        <f t="shared" si="82"/>
        <v>0</v>
      </c>
      <c r="BX46" s="251">
        <f t="shared" si="45"/>
        <v>0</v>
      </c>
      <c r="BY46" s="251">
        <f t="shared" si="46"/>
        <v>0</v>
      </c>
      <c r="BZ46" s="251">
        <f t="shared" si="47"/>
        <v>0</v>
      </c>
      <c r="CA46" s="251">
        <f t="shared" si="48"/>
        <v>0</v>
      </c>
      <c r="CB46" s="251">
        <f t="shared" si="49"/>
        <v>0</v>
      </c>
      <c r="CC46" s="251">
        <f t="shared" si="50"/>
        <v>0</v>
      </c>
      <c r="CD46" s="251">
        <f t="shared" si="83"/>
        <v>0</v>
      </c>
      <c r="CE46" s="251">
        <f t="shared" si="84"/>
        <v>0</v>
      </c>
      <c r="CF46" s="251">
        <f t="shared" si="85"/>
        <v>0</v>
      </c>
      <c r="CG46" s="251">
        <f t="shared" si="86"/>
        <v>0</v>
      </c>
      <c r="CH46" s="251">
        <f t="shared" ca="1" si="51"/>
        <v>0</v>
      </c>
      <c r="CI46" s="251">
        <f t="shared" si="52"/>
        <v>0</v>
      </c>
      <c r="CJ46" s="251">
        <f t="shared" si="87"/>
        <v>0</v>
      </c>
      <c r="CK46" s="251">
        <f t="shared" si="88"/>
        <v>0</v>
      </c>
      <c r="CL46" s="251">
        <f t="shared" si="53"/>
        <v>0</v>
      </c>
      <c r="CM46" s="251">
        <f t="shared" si="54"/>
        <v>0</v>
      </c>
      <c r="CN46" s="251">
        <f t="shared" si="55"/>
        <v>0</v>
      </c>
      <c r="CO46" s="251">
        <f t="shared" si="56"/>
        <v>0</v>
      </c>
      <c r="CP46" s="251">
        <f t="shared" si="89"/>
        <v>0</v>
      </c>
      <c r="CQ46" s="251">
        <f t="shared" si="90"/>
        <v>0</v>
      </c>
      <c r="CR46" s="251">
        <f t="shared" si="91"/>
        <v>0</v>
      </c>
      <c r="CS46" s="251">
        <f t="shared" si="92"/>
        <v>0</v>
      </c>
      <c r="CT46" s="251">
        <f t="shared" si="57"/>
        <v>0</v>
      </c>
      <c r="CU46" s="251">
        <f t="shared" si="58"/>
        <v>0</v>
      </c>
      <c r="CV46" s="251">
        <f t="shared" si="59"/>
        <v>0</v>
      </c>
      <c r="CW46" s="251">
        <f t="shared" si="60"/>
        <v>0</v>
      </c>
      <c r="CX46" s="251">
        <f t="shared" si="93"/>
        <v>0</v>
      </c>
      <c r="CY46" s="251">
        <f t="shared" si="94"/>
        <v>0</v>
      </c>
      <c r="CZ46" s="251">
        <f t="shared" si="95"/>
        <v>0</v>
      </c>
      <c r="DA46" s="251">
        <f t="shared" ca="1" si="96"/>
        <v>0</v>
      </c>
    </row>
    <row r="47" spans="1:105" s="248" customFormat="1" ht="16.5" customHeight="1">
      <c r="A47" s="58">
        <f t="array" aca="1" ref="A47" ca="1">IF(C47&lt;&gt;0,SUM(($C$11:C47&lt;&gt;0)*1),"")</f>
        <v>9</v>
      </c>
      <c r="B47" s="249">
        <v>42735</v>
      </c>
      <c r="C47" s="252" t="s">
        <v>115</v>
      </c>
      <c r="D47" s="252">
        <f t="shared" si="97"/>
        <v>42735</v>
      </c>
      <c r="E47" s="736" t="s">
        <v>593</v>
      </c>
      <c r="F47" s="737">
        <f ca="1">CE52</f>
        <v>0</v>
      </c>
      <c r="G47" s="738" t="s">
        <v>286</v>
      </c>
      <c r="H47" s="738" t="s">
        <v>109</v>
      </c>
      <c r="I47" s="58">
        <f t="shared" ca="1" si="0"/>
        <v>9</v>
      </c>
      <c r="J47" s="251">
        <f t="shared" si="61"/>
        <v>0</v>
      </c>
      <c r="K47" s="251">
        <f t="shared" si="62"/>
        <v>0</v>
      </c>
      <c r="L47" s="251">
        <f t="shared" si="1"/>
        <v>0</v>
      </c>
      <c r="M47" s="251">
        <f t="shared" si="2"/>
        <v>0</v>
      </c>
      <c r="N47" s="251">
        <f t="shared" si="3"/>
        <v>0</v>
      </c>
      <c r="O47" s="251">
        <f t="shared" si="4"/>
        <v>0</v>
      </c>
      <c r="P47" s="251">
        <f t="shared" si="5"/>
        <v>0</v>
      </c>
      <c r="Q47" s="251">
        <f t="shared" si="6"/>
        <v>0</v>
      </c>
      <c r="R47" s="251">
        <f t="shared" si="7"/>
        <v>0</v>
      </c>
      <c r="S47" s="251">
        <f t="shared" si="8"/>
        <v>0</v>
      </c>
      <c r="T47" s="251">
        <f t="shared" si="9"/>
        <v>0</v>
      </c>
      <c r="U47" s="251">
        <f t="shared" si="10"/>
        <v>0</v>
      </c>
      <c r="V47" s="251">
        <f t="shared" si="11"/>
        <v>0</v>
      </c>
      <c r="W47" s="251">
        <f t="shared" si="12"/>
        <v>0</v>
      </c>
      <c r="X47" s="251">
        <f t="shared" si="13"/>
        <v>0</v>
      </c>
      <c r="Y47" s="251">
        <f t="shared" si="14"/>
        <v>0</v>
      </c>
      <c r="Z47" s="251">
        <f t="shared" si="15"/>
        <v>0</v>
      </c>
      <c r="AA47" s="251">
        <f t="shared" si="16"/>
        <v>0</v>
      </c>
      <c r="AB47" s="251">
        <f t="shared" si="63"/>
        <v>0</v>
      </c>
      <c r="AC47" s="251">
        <f t="shared" si="64"/>
        <v>0</v>
      </c>
      <c r="AD47" s="251">
        <f t="shared" si="17"/>
        <v>0</v>
      </c>
      <c r="AE47" s="251">
        <f t="shared" si="18"/>
        <v>0</v>
      </c>
      <c r="AF47" s="251">
        <f t="shared" si="19"/>
        <v>0</v>
      </c>
      <c r="AG47" s="251">
        <f t="shared" si="20"/>
        <v>0</v>
      </c>
      <c r="AH47" s="251">
        <f t="shared" si="65"/>
        <v>0</v>
      </c>
      <c r="AI47" s="251">
        <f t="shared" si="66"/>
        <v>0</v>
      </c>
      <c r="AJ47" s="251">
        <f t="shared" si="67"/>
        <v>0</v>
      </c>
      <c r="AK47" s="251">
        <f t="shared" si="68"/>
        <v>0</v>
      </c>
      <c r="AL47" s="251">
        <f t="shared" si="69"/>
        <v>0</v>
      </c>
      <c r="AM47" s="251">
        <f t="shared" si="70"/>
        <v>0</v>
      </c>
      <c r="AN47" s="251">
        <f t="shared" si="71"/>
        <v>0</v>
      </c>
      <c r="AO47" s="251">
        <f t="shared" si="72"/>
        <v>0</v>
      </c>
      <c r="AP47" s="251">
        <f t="shared" si="21"/>
        <v>0</v>
      </c>
      <c r="AQ47" s="251">
        <f t="shared" si="22"/>
        <v>0</v>
      </c>
      <c r="AR47" s="251">
        <f t="shared" si="23"/>
        <v>0</v>
      </c>
      <c r="AS47" s="251">
        <f t="shared" si="24"/>
        <v>0</v>
      </c>
      <c r="AT47" s="251">
        <f t="shared" si="73"/>
        <v>0</v>
      </c>
      <c r="AU47" s="251">
        <f t="shared" si="74"/>
        <v>0</v>
      </c>
      <c r="AV47" s="251">
        <f t="shared" si="25"/>
        <v>0</v>
      </c>
      <c r="AW47" s="251">
        <f t="shared" si="26"/>
        <v>0</v>
      </c>
      <c r="AX47" s="251">
        <f t="shared" si="27"/>
        <v>0</v>
      </c>
      <c r="AY47" s="251">
        <f t="shared" si="28"/>
        <v>0</v>
      </c>
      <c r="AZ47" s="251">
        <f t="shared" si="29"/>
        <v>0</v>
      </c>
      <c r="BA47" s="251">
        <f t="shared" si="30"/>
        <v>0</v>
      </c>
      <c r="BB47" s="251">
        <f t="shared" si="31"/>
        <v>0</v>
      </c>
      <c r="BC47" s="251">
        <f t="shared" si="32"/>
        <v>0</v>
      </c>
      <c r="BD47" s="251">
        <f t="shared" si="33"/>
        <v>0</v>
      </c>
      <c r="BE47" s="251">
        <f t="shared" si="34"/>
        <v>0</v>
      </c>
      <c r="BF47" s="251">
        <f t="shared" si="35"/>
        <v>0</v>
      </c>
      <c r="BG47" s="251">
        <f t="shared" si="36"/>
        <v>0</v>
      </c>
      <c r="BH47" s="251">
        <f t="shared" si="75"/>
        <v>0</v>
      </c>
      <c r="BI47" s="251">
        <f t="shared" si="76"/>
        <v>0</v>
      </c>
      <c r="BJ47" s="251">
        <f t="shared" si="37"/>
        <v>0</v>
      </c>
      <c r="BK47" s="251">
        <f t="shared" si="38"/>
        <v>0</v>
      </c>
      <c r="BL47" s="251">
        <f t="shared" si="39"/>
        <v>0</v>
      </c>
      <c r="BM47" s="251">
        <f t="shared" si="40"/>
        <v>0</v>
      </c>
      <c r="BN47" s="251">
        <f t="shared" si="41"/>
        <v>0</v>
      </c>
      <c r="BO47" s="251">
        <f t="shared" si="42"/>
        <v>0</v>
      </c>
      <c r="BP47" s="251">
        <f t="shared" si="77"/>
        <v>0</v>
      </c>
      <c r="BQ47" s="251">
        <f t="shared" si="78"/>
        <v>0</v>
      </c>
      <c r="BR47" s="251">
        <f t="shared" si="43"/>
        <v>0</v>
      </c>
      <c r="BS47" s="251">
        <f t="shared" si="44"/>
        <v>0</v>
      </c>
      <c r="BT47" s="251">
        <f t="shared" si="79"/>
        <v>0</v>
      </c>
      <c r="BU47" s="251">
        <f t="shared" si="80"/>
        <v>0</v>
      </c>
      <c r="BV47" s="251">
        <f t="shared" si="81"/>
        <v>0</v>
      </c>
      <c r="BW47" s="251">
        <f t="shared" si="82"/>
        <v>0</v>
      </c>
      <c r="BX47" s="251">
        <f t="shared" si="45"/>
        <v>0</v>
      </c>
      <c r="BY47" s="251">
        <f t="shared" si="46"/>
        <v>0</v>
      </c>
      <c r="BZ47" s="251">
        <f t="shared" si="47"/>
        <v>0</v>
      </c>
      <c r="CA47" s="251">
        <f t="shared" si="48"/>
        <v>0</v>
      </c>
      <c r="CB47" s="251">
        <f t="shared" si="49"/>
        <v>0</v>
      </c>
      <c r="CC47" s="251">
        <f t="shared" si="50"/>
        <v>0</v>
      </c>
      <c r="CD47" s="251">
        <f t="shared" ca="1" si="83"/>
        <v>0</v>
      </c>
      <c r="CE47" s="251">
        <f t="shared" si="84"/>
        <v>0</v>
      </c>
      <c r="CF47" s="251">
        <f t="shared" si="85"/>
        <v>0</v>
      </c>
      <c r="CG47" s="251">
        <f t="shared" si="86"/>
        <v>0</v>
      </c>
      <c r="CH47" s="251">
        <f t="shared" si="51"/>
        <v>0</v>
      </c>
      <c r="CI47" s="251">
        <f t="shared" si="52"/>
        <v>0</v>
      </c>
      <c r="CJ47" s="251">
        <f t="shared" si="87"/>
        <v>0</v>
      </c>
      <c r="CK47" s="251">
        <f t="shared" si="88"/>
        <v>0</v>
      </c>
      <c r="CL47" s="251">
        <f t="shared" si="53"/>
        <v>0</v>
      </c>
      <c r="CM47" s="251">
        <f t="shared" si="54"/>
        <v>0</v>
      </c>
      <c r="CN47" s="251">
        <f t="shared" si="55"/>
        <v>0</v>
      </c>
      <c r="CO47" s="251">
        <f t="shared" si="56"/>
        <v>0</v>
      </c>
      <c r="CP47" s="251">
        <f t="shared" si="89"/>
        <v>0</v>
      </c>
      <c r="CQ47" s="251">
        <f t="shared" si="90"/>
        <v>0</v>
      </c>
      <c r="CR47" s="251">
        <f t="shared" si="91"/>
        <v>0</v>
      </c>
      <c r="CS47" s="251">
        <f t="shared" si="92"/>
        <v>0</v>
      </c>
      <c r="CT47" s="251">
        <f t="shared" si="57"/>
        <v>0</v>
      </c>
      <c r="CU47" s="251">
        <f t="shared" si="58"/>
        <v>0</v>
      </c>
      <c r="CV47" s="251">
        <f t="shared" si="59"/>
        <v>0</v>
      </c>
      <c r="CW47" s="251">
        <f t="shared" si="60"/>
        <v>0</v>
      </c>
      <c r="CX47" s="251">
        <f t="shared" si="93"/>
        <v>0</v>
      </c>
      <c r="CY47" s="251">
        <f t="shared" si="94"/>
        <v>0</v>
      </c>
      <c r="CZ47" s="251">
        <f t="shared" si="95"/>
        <v>0</v>
      </c>
      <c r="DA47" s="251">
        <f t="shared" ca="1" si="96"/>
        <v>0</v>
      </c>
    </row>
    <row r="48" spans="1:105" s="248" customFormat="1" ht="16.5" customHeight="1">
      <c r="A48" s="58">
        <f t="array" aca="1" ref="A48" ca="1">IF(C48&lt;&gt;0,SUM(($C$11:C48&lt;&gt;0)*1),"")</f>
        <v>10</v>
      </c>
      <c r="B48" s="249">
        <v>42735</v>
      </c>
      <c r="C48" s="252" t="s">
        <v>115</v>
      </c>
      <c r="D48" s="252">
        <f t="shared" si="97"/>
        <v>42735</v>
      </c>
      <c r="E48" s="736" t="s">
        <v>594</v>
      </c>
      <c r="F48" s="737">
        <f ca="1">CG52</f>
        <v>0</v>
      </c>
      <c r="G48" s="738" t="s">
        <v>288</v>
      </c>
      <c r="H48" s="738" t="s">
        <v>109</v>
      </c>
      <c r="I48" s="58">
        <f t="shared" ca="1" si="0"/>
        <v>10</v>
      </c>
      <c r="J48" s="251">
        <f t="shared" si="61"/>
        <v>0</v>
      </c>
      <c r="K48" s="251">
        <f t="shared" si="62"/>
        <v>0</v>
      </c>
      <c r="L48" s="251">
        <f t="shared" si="1"/>
        <v>0</v>
      </c>
      <c r="M48" s="251">
        <f t="shared" si="2"/>
        <v>0</v>
      </c>
      <c r="N48" s="251">
        <f t="shared" si="3"/>
        <v>0</v>
      </c>
      <c r="O48" s="251">
        <f t="shared" si="4"/>
        <v>0</v>
      </c>
      <c r="P48" s="251">
        <f t="shared" si="5"/>
        <v>0</v>
      </c>
      <c r="Q48" s="251">
        <f t="shared" si="6"/>
        <v>0</v>
      </c>
      <c r="R48" s="251">
        <f t="shared" si="7"/>
        <v>0</v>
      </c>
      <c r="S48" s="251">
        <f t="shared" si="8"/>
        <v>0</v>
      </c>
      <c r="T48" s="251">
        <f t="shared" si="9"/>
        <v>0</v>
      </c>
      <c r="U48" s="251">
        <f t="shared" si="10"/>
        <v>0</v>
      </c>
      <c r="V48" s="251">
        <f t="shared" si="11"/>
        <v>0</v>
      </c>
      <c r="W48" s="251">
        <f t="shared" si="12"/>
        <v>0</v>
      </c>
      <c r="X48" s="251">
        <f t="shared" si="13"/>
        <v>0</v>
      </c>
      <c r="Y48" s="251">
        <f t="shared" si="14"/>
        <v>0</v>
      </c>
      <c r="Z48" s="251">
        <f t="shared" si="15"/>
        <v>0</v>
      </c>
      <c r="AA48" s="251">
        <f t="shared" si="16"/>
        <v>0</v>
      </c>
      <c r="AB48" s="251">
        <f t="shared" si="63"/>
        <v>0</v>
      </c>
      <c r="AC48" s="251">
        <f t="shared" si="64"/>
        <v>0</v>
      </c>
      <c r="AD48" s="251">
        <f t="shared" si="17"/>
        <v>0</v>
      </c>
      <c r="AE48" s="251">
        <f t="shared" si="18"/>
        <v>0</v>
      </c>
      <c r="AF48" s="251">
        <f t="shared" si="19"/>
        <v>0</v>
      </c>
      <c r="AG48" s="251">
        <f t="shared" si="20"/>
        <v>0</v>
      </c>
      <c r="AH48" s="251">
        <f t="shared" si="65"/>
        <v>0</v>
      </c>
      <c r="AI48" s="251">
        <f t="shared" si="66"/>
        <v>0</v>
      </c>
      <c r="AJ48" s="251">
        <f t="shared" si="67"/>
        <v>0</v>
      </c>
      <c r="AK48" s="251">
        <f t="shared" si="68"/>
        <v>0</v>
      </c>
      <c r="AL48" s="251">
        <f t="shared" si="69"/>
        <v>0</v>
      </c>
      <c r="AM48" s="251">
        <f t="shared" si="70"/>
        <v>0</v>
      </c>
      <c r="AN48" s="251">
        <f t="shared" si="71"/>
        <v>0</v>
      </c>
      <c r="AO48" s="251">
        <f t="shared" si="72"/>
        <v>0</v>
      </c>
      <c r="AP48" s="251">
        <f t="shared" si="21"/>
        <v>0</v>
      </c>
      <c r="AQ48" s="251">
        <f t="shared" si="22"/>
        <v>0</v>
      </c>
      <c r="AR48" s="251">
        <f t="shared" si="23"/>
        <v>0</v>
      </c>
      <c r="AS48" s="251">
        <f t="shared" si="24"/>
        <v>0</v>
      </c>
      <c r="AT48" s="251">
        <f t="shared" si="73"/>
        <v>0</v>
      </c>
      <c r="AU48" s="251">
        <f t="shared" si="74"/>
        <v>0</v>
      </c>
      <c r="AV48" s="251">
        <f t="shared" si="25"/>
        <v>0</v>
      </c>
      <c r="AW48" s="251">
        <f t="shared" si="26"/>
        <v>0</v>
      </c>
      <c r="AX48" s="251">
        <f t="shared" si="27"/>
        <v>0</v>
      </c>
      <c r="AY48" s="251">
        <f t="shared" si="28"/>
        <v>0</v>
      </c>
      <c r="AZ48" s="251">
        <f t="shared" si="29"/>
        <v>0</v>
      </c>
      <c r="BA48" s="251">
        <f t="shared" si="30"/>
        <v>0</v>
      </c>
      <c r="BB48" s="251">
        <f t="shared" si="31"/>
        <v>0</v>
      </c>
      <c r="BC48" s="251">
        <f t="shared" si="32"/>
        <v>0</v>
      </c>
      <c r="BD48" s="251">
        <f t="shared" si="33"/>
        <v>0</v>
      </c>
      <c r="BE48" s="251">
        <f t="shared" si="34"/>
        <v>0</v>
      </c>
      <c r="BF48" s="251">
        <f t="shared" si="35"/>
        <v>0</v>
      </c>
      <c r="BG48" s="251">
        <f t="shared" si="36"/>
        <v>0</v>
      </c>
      <c r="BH48" s="251">
        <f t="shared" si="75"/>
        <v>0</v>
      </c>
      <c r="BI48" s="251">
        <f t="shared" si="76"/>
        <v>0</v>
      </c>
      <c r="BJ48" s="251">
        <f t="shared" si="37"/>
        <v>0</v>
      </c>
      <c r="BK48" s="251">
        <f t="shared" si="38"/>
        <v>0</v>
      </c>
      <c r="BL48" s="251">
        <f t="shared" si="39"/>
        <v>0</v>
      </c>
      <c r="BM48" s="251">
        <f t="shared" si="40"/>
        <v>0</v>
      </c>
      <c r="BN48" s="251">
        <f t="shared" si="41"/>
        <v>0</v>
      </c>
      <c r="BO48" s="251">
        <f t="shared" si="42"/>
        <v>0</v>
      </c>
      <c r="BP48" s="251">
        <f t="shared" si="77"/>
        <v>0</v>
      </c>
      <c r="BQ48" s="251">
        <f t="shared" si="78"/>
        <v>0</v>
      </c>
      <c r="BR48" s="251">
        <f t="shared" si="43"/>
        <v>0</v>
      </c>
      <c r="BS48" s="251">
        <f t="shared" si="44"/>
        <v>0</v>
      </c>
      <c r="BT48" s="251">
        <f t="shared" si="79"/>
        <v>0</v>
      </c>
      <c r="BU48" s="251">
        <f t="shared" si="80"/>
        <v>0</v>
      </c>
      <c r="BV48" s="251">
        <f t="shared" si="81"/>
        <v>0</v>
      </c>
      <c r="BW48" s="251">
        <f t="shared" si="82"/>
        <v>0</v>
      </c>
      <c r="BX48" s="251">
        <f t="shared" si="45"/>
        <v>0</v>
      </c>
      <c r="BY48" s="251">
        <f t="shared" si="46"/>
        <v>0</v>
      </c>
      <c r="BZ48" s="251">
        <f t="shared" si="47"/>
        <v>0</v>
      </c>
      <c r="CA48" s="251">
        <f t="shared" si="48"/>
        <v>0</v>
      </c>
      <c r="CB48" s="251">
        <f t="shared" si="49"/>
        <v>0</v>
      </c>
      <c r="CC48" s="251">
        <f t="shared" si="50"/>
        <v>0</v>
      </c>
      <c r="CD48" s="251">
        <f t="shared" si="83"/>
        <v>0</v>
      </c>
      <c r="CE48" s="251">
        <f t="shared" si="84"/>
        <v>0</v>
      </c>
      <c r="CF48" s="251">
        <f t="shared" ca="1" si="85"/>
        <v>0</v>
      </c>
      <c r="CG48" s="251">
        <f t="shared" si="86"/>
        <v>0</v>
      </c>
      <c r="CH48" s="251">
        <f t="shared" si="51"/>
        <v>0</v>
      </c>
      <c r="CI48" s="251">
        <f t="shared" si="52"/>
        <v>0</v>
      </c>
      <c r="CJ48" s="251">
        <f t="shared" si="87"/>
        <v>0</v>
      </c>
      <c r="CK48" s="251">
        <f t="shared" si="88"/>
        <v>0</v>
      </c>
      <c r="CL48" s="251">
        <f t="shared" si="53"/>
        <v>0</v>
      </c>
      <c r="CM48" s="251">
        <f t="shared" si="54"/>
        <v>0</v>
      </c>
      <c r="CN48" s="251">
        <f t="shared" si="55"/>
        <v>0</v>
      </c>
      <c r="CO48" s="251">
        <f t="shared" si="56"/>
        <v>0</v>
      </c>
      <c r="CP48" s="251">
        <f t="shared" si="89"/>
        <v>0</v>
      </c>
      <c r="CQ48" s="251">
        <f t="shared" si="90"/>
        <v>0</v>
      </c>
      <c r="CR48" s="251">
        <f t="shared" si="91"/>
        <v>0</v>
      </c>
      <c r="CS48" s="251">
        <f t="shared" si="92"/>
        <v>0</v>
      </c>
      <c r="CT48" s="251">
        <f t="shared" si="57"/>
        <v>0</v>
      </c>
      <c r="CU48" s="251">
        <f t="shared" si="58"/>
        <v>0</v>
      </c>
      <c r="CV48" s="251">
        <f t="shared" si="59"/>
        <v>0</v>
      </c>
      <c r="CW48" s="251">
        <f t="shared" si="60"/>
        <v>0</v>
      </c>
      <c r="CX48" s="251">
        <f t="shared" si="93"/>
        <v>0</v>
      </c>
      <c r="CY48" s="251">
        <f t="shared" si="94"/>
        <v>0</v>
      </c>
      <c r="CZ48" s="251">
        <f t="shared" si="95"/>
        <v>0</v>
      </c>
      <c r="DA48" s="251">
        <f t="shared" ca="1" si="96"/>
        <v>0</v>
      </c>
    </row>
    <row r="49" spans="1:105" s="248" customFormat="1" ht="16.5" customHeight="1">
      <c r="A49" s="58">
        <f t="array" aca="1" ref="A49" ca="1">IF(C49&lt;&gt;0,SUM(($C$11:C49&lt;&gt;0)*1),"")</f>
        <v>11</v>
      </c>
      <c r="B49" s="249">
        <v>42735</v>
      </c>
      <c r="C49" s="252" t="s">
        <v>115</v>
      </c>
      <c r="D49" s="252">
        <f t="shared" si="97"/>
        <v>42735</v>
      </c>
      <c r="E49" s="736" t="s">
        <v>119</v>
      </c>
      <c r="F49" s="737">
        <f ca="1">CU52</f>
        <v>0</v>
      </c>
      <c r="G49" s="738" t="s">
        <v>103</v>
      </c>
      <c r="H49" s="738" t="s">
        <v>109</v>
      </c>
      <c r="I49" s="58">
        <f t="shared" ca="1" si="0"/>
        <v>11</v>
      </c>
      <c r="J49" s="251">
        <f t="shared" si="61"/>
        <v>0</v>
      </c>
      <c r="K49" s="251">
        <f t="shared" si="62"/>
        <v>0</v>
      </c>
      <c r="L49" s="251">
        <f t="shared" si="1"/>
        <v>0</v>
      </c>
      <c r="M49" s="251">
        <f t="shared" si="2"/>
        <v>0</v>
      </c>
      <c r="N49" s="251">
        <f t="shared" si="3"/>
        <v>0</v>
      </c>
      <c r="O49" s="251">
        <f t="shared" si="4"/>
        <v>0</v>
      </c>
      <c r="P49" s="251">
        <f t="shared" si="5"/>
        <v>0</v>
      </c>
      <c r="Q49" s="251">
        <f t="shared" si="6"/>
        <v>0</v>
      </c>
      <c r="R49" s="251">
        <f t="shared" si="7"/>
        <v>0</v>
      </c>
      <c r="S49" s="251">
        <f t="shared" si="8"/>
        <v>0</v>
      </c>
      <c r="T49" s="251">
        <f t="shared" si="9"/>
        <v>0</v>
      </c>
      <c r="U49" s="251">
        <f t="shared" si="10"/>
        <v>0</v>
      </c>
      <c r="V49" s="251">
        <f t="shared" si="11"/>
        <v>0</v>
      </c>
      <c r="W49" s="251">
        <f t="shared" si="12"/>
        <v>0</v>
      </c>
      <c r="X49" s="251">
        <f t="shared" si="13"/>
        <v>0</v>
      </c>
      <c r="Y49" s="251">
        <f t="shared" si="14"/>
        <v>0</v>
      </c>
      <c r="Z49" s="251">
        <f t="shared" si="15"/>
        <v>0</v>
      </c>
      <c r="AA49" s="251">
        <f t="shared" si="16"/>
        <v>0</v>
      </c>
      <c r="AB49" s="251">
        <f t="shared" si="63"/>
        <v>0</v>
      </c>
      <c r="AC49" s="251">
        <f t="shared" si="64"/>
        <v>0</v>
      </c>
      <c r="AD49" s="251">
        <f t="shared" si="17"/>
        <v>0</v>
      </c>
      <c r="AE49" s="251">
        <f t="shared" si="18"/>
        <v>0</v>
      </c>
      <c r="AF49" s="251">
        <f t="shared" si="19"/>
        <v>0</v>
      </c>
      <c r="AG49" s="251">
        <f t="shared" si="20"/>
        <v>0</v>
      </c>
      <c r="AH49" s="251">
        <f t="shared" si="65"/>
        <v>0</v>
      </c>
      <c r="AI49" s="251">
        <f t="shared" si="66"/>
        <v>0</v>
      </c>
      <c r="AJ49" s="251">
        <f t="shared" si="67"/>
        <v>0</v>
      </c>
      <c r="AK49" s="251">
        <f t="shared" si="68"/>
        <v>0</v>
      </c>
      <c r="AL49" s="251">
        <f t="shared" si="69"/>
        <v>0</v>
      </c>
      <c r="AM49" s="251">
        <f t="shared" si="70"/>
        <v>0</v>
      </c>
      <c r="AN49" s="251">
        <f t="shared" si="71"/>
        <v>0</v>
      </c>
      <c r="AO49" s="251">
        <f t="shared" si="72"/>
        <v>0</v>
      </c>
      <c r="AP49" s="251">
        <f t="shared" si="21"/>
        <v>0</v>
      </c>
      <c r="AQ49" s="251">
        <f t="shared" si="22"/>
        <v>0</v>
      </c>
      <c r="AR49" s="251">
        <f t="shared" si="23"/>
        <v>0</v>
      </c>
      <c r="AS49" s="251">
        <f t="shared" si="24"/>
        <v>0</v>
      </c>
      <c r="AT49" s="251">
        <f t="shared" si="73"/>
        <v>0</v>
      </c>
      <c r="AU49" s="251">
        <f t="shared" si="74"/>
        <v>0</v>
      </c>
      <c r="AV49" s="251">
        <f t="shared" si="25"/>
        <v>0</v>
      </c>
      <c r="AW49" s="251">
        <f t="shared" si="26"/>
        <v>0</v>
      </c>
      <c r="AX49" s="251">
        <f t="shared" si="27"/>
        <v>0</v>
      </c>
      <c r="AY49" s="251">
        <f t="shared" si="28"/>
        <v>0</v>
      </c>
      <c r="AZ49" s="251">
        <f t="shared" si="29"/>
        <v>0</v>
      </c>
      <c r="BA49" s="251">
        <f t="shared" si="30"/>
        <v>0</v>
      </c>
      <c r="BB49" s="251">
        <f t="shared" si="31"/>
        <v>0</v>
      </c>
      <c r="BC49" s="251">
        <f t="shared" si="32"/>
        <v>0</v>
      </c>
      <c r="BD49" s="251">
        <f t="shared" si="33"/>
        <v>0</v>
      </c>
      <c r="BE49" s="251">
        <f t="shared" si="34"/>
        <v>0</v>
      </c>
      <c r="BF49" s="251">
        <f t="shared" si="35"/>
        <v>0</v>
      </c>
      <c r="BG49" s="251">
        <f t="shared" si="36"/>
        <v>0</v>
      </c>
      <c r="BH49" s="251">
        <f t="shared" si="75"/>
        <v>0</v>
      </c>
      <c r="BI49" s="251">
        <f t="shared" si="76"/>
        <v>0</v>
      </c>
      <c r="BJ49" s="251">
        <f t="shared" si="37"/>
        <v>0</v>
      </c>
      <c r="BK49" s="251">
        <f t="shared" si="38"/>
        <v>0</v>
      </c>
      <c r="BL49" s="251">
        <f t="shared" si="39"/>
        <v>0</v>
      </c>
      <c r="BM49" s="251">
        <f t="shared" si="40"/>
        <v>0</v>
      </c>
      <c r="BN49" s="251">
        <f t="shared" si="41"/>
        <v>0</v>
      </c>
      <c r="BO49" s="251">
        <f t="shared" si="42"/>
        <v>0</v>
      </c>
      <c r="BP49" s="251">
        <f t="shared" si="77"/>
        <v>0</v>
      </c>
      <c r="BQ49" s="251">
        <f t="shared" si="78"/>
        <v>0</v>
      </c>
      <c r="BR49" s="251">
        <f t="shared" si="43"/>
        <v>0</v>
      </c>
      <c r="BS49" s="251">
        <f t="shared" si="44"/>
        <v>0</v>
      </c>
      <c r="BT49" s="251">
        <f t="shared" si="79"/>
        <v>0</v>
      </c>
      <c r="BU49" s="251">
        <f t="shared" si="80"/>
        <v>0</v>
      </c>
      <c r="BV49" s="251">
        <f t="shared" si="81"/>
        <v>0</v>
      </c>
      <c r="BW49" s="251">
        <f t="shared" si="82"/>
        <v>0</v>
      </c>
      <c r="BX49" s="251">
        <f t="shared" si="45"/>
        <v>0</v>
      </c>
      <c r="BY49" s="251">
        <f t="shared" si="46"/>
        <v>0</v>
      </c>
      <c r="BZ49" s="251">
        <f t="shared" si="47"/>
        <v>0</v>
      </c>
      <c r="CA49" s="251">
        <f t="shared" si="48"/>
        <v>0</v>
      </c>
      <c r="CB49" s="251">
        <f t="shared" si="49"/>
        <v>0</v>
      </c>
      <c r="CC49" s="251">
        <f t="shared" si="50"/>
        <v>0</v>
      </c>
      <c r="CD49" s="251">
        <f t="shared" si="83"/>
        <v>0</v>
      </c>
      <c r="CE49" s="251">
        <f t="shared" si="84"/>
        <v>0</v>
      </c>
      <c r="CF49" s="251">
        <f t="shared" si="85"/>
        <v>0</v>
      </c>
      <c r="CG49" s="251">
        <f t="shared" si="86"/>
        <v>0</v>
      </c>
      <c r="CH49" s="251">
        <f t="shared" si="51"/>
        <v>0</v>
      </c>
      <c r="CI49" s="251">
        <f t="shared" si="52"/>
        <v>0</v>
      </c>
      <c r="CJ49" s="251">
        <f t="shared" si="87"/>
        <v>0</v>
      </c>
      <c r="CK49" s="251">
        <f t="shared" si="88"/>
        <v>0</v>
      </c>
      <c r="CL49" s="251">
        <f t="shared" si="53"/>
        <v>0</v>
      </c>
      <c r="CM49" s="251">
        <f t="shared" si="54"/>
        <v>0</v>
      </c>
      <c r="CN49" s="251">
        <f t="shared" si="55"/>
        <v>0</v>
      </c>
      <c r="CO49" s="251">
        <f t="shared" si="56"/>
        <v>0</v>
      </c>
      <c r="CP49" s="251">
        <f t="shared" si="89"/>
        <v>0</v>
      </c>
      <c r="CQ49" s="251">
        <f t="shared" si="90"/>
        <v>0</v>
      </c>
      <c r="CR49" s="251">
        <f t="shared" si="91"/>
        <v>0</v>
      </c>
      <c r="CS49" s="251">
        <f t="shared" si="92"/>
        <v>0</v>
      </c>
      <c r="CT49" s="251">
        <f t="shared" ca="1" si="57"/>
        <v>0</v>
      </c>
      <c r="CU49" s="251">
        <f t="shared" si="58"/>
        <v>0</v>
      </c>
      <c r="CV49" s="251">
        <f t="shared" si="59"/>
        <v>0</v>
      </c>
      <c r="CW49" s="251">
        <f t="shared" si="60"/>
        <v>0</v>
      </c>
      <c r="CX49" s="251">
        <f t="shared" si="93"/>
        <v>0</v>
      </c>
      <c r="CY49" s="251">
        <f t="shared" si="94"/>
        <v>0</v>
      </c>
      <c r="CZ49" s="251">
        <f t="shared" si="95"/>
        <v>0</v>
      </c>
      <c r="DA49" s="251">
        <f t="shared" ca="1" si="96"/>
        <v>0</v>
      </c>
    </row>
    <row r="50" spans="1:105" s="248" customFormat="1" ht="16.5" customHeight="1">
      <c r="A50" s="58">
        <f t="array" aca="1" ref="A50" ca="1">IF(C50&lt;&gt;0,SUM(($C$11:C50&lt;&gt;0)*1),"")</f>
        <v>12</v>
      </c>
      <c r="B50" s="249">
        <v>42735</v>
      </c>
      <c r="C50" s="252" t="s">
        <v>115</v>
      </c>
      <c r="D50" s="252">
        <f t="shared" si="97"/>
        <v>42735</v>
      </c>
      <c r="E50" s="736" t="s">
        <v>120</v>
      </c>
      <c r="F50" s="737">
        <f ca="1">CV52</f>
        <v>0</v>
      </c>
      <c r="G50" s="738" t="s">
        <v>109</v>
      </c>
      <c r="H50" s="738" t="s">
        <v>105</v>
      </c>
      <c r="I50" s="58">
        <f t="shared" ca="1" si="0"/>
        <v>12</v>
      </c>
      <c r="J50" s="251">
        <f t="shared" si="61"/>
        <v>0</v>
      </c>
      <c r="K50" s="251">
        <f t="shared" si="62"/>
        <v>0</v>
      </c>
      <c r="L50" s="251">
        <f t="shared" si="1"/>
        <v>0</v>
      </c>
      <c r="M50" s="251">
        <f t="shared" si="2"/>
        <v>0</v>
      </c>
      <c r="N50" s="251">
        <f t="shared" si="3"/>
        <v>0</v>
      </c>
      <c r="O50" s="251">
        <f t="shared" si="4"/>
        <v>0</v>
      </c>
      <c r="P50" s="251">
        <f t="shared" si="5"/>
        <v>0</v>
      </c>
      <c r="Q50" s="251">
        <f t="shared" si="6"/>
        <v>0</v>
      </c>
      <c r="R50" s="251">
        <f t="shared" si="7"/>
        <v>0</v>
      </c>
      <c r="S50" s="251">
        <f t="shared" si="8"/>
        <v>0</v>
      </c>
      <c r="T50" s="251">
        <f t="shared" si="9"/>
        <v>0</v>
      </c>
      <c r="U50" s="251">
        <f t="shared" si="10"/>
        <v>0</v>
      </c>
      <c r="V50" s="251">
        <f t="shared" si="11"/>
        <v>0</v>
      </c>
      <c r="W50" s="251">
        <f t="shared" si="12"/>
        <v>0</v>
      </c>
      <c r="X50" s="251">
        <f t="shared" si="13"/>
        <v>0</v>
      </c>
      <c r="Y50" s="251">
        <f t="shared" si="14"/>
        <v>0</v>
      </c>
      <c r="Z50" s="251">
        <f t="shared" si="15"/>
        <v>0</v>
      </c>
      <c r="AA50" s="251">
        <f t="shared" si="16"/>
        <v>0</v>
      </c>
      <c r="AB50" s="251">
        <f t="shared" si="63"/>
        <v>0</v>
      </c>
      <c r="AC50" s="251">
        <f t="shared" si="64"/>
        <v>0</v>
      </c>
      <c r="AD50" s="251">
        <f t="shared" si="17"/>
        <v>0</v>
      </c>
      <c r="AE50" s="251">
        <f t="shared" si="18"/>
        <v>0</v>
      </c>
      <c r="AF50" s="251">
        <f t="shared" si="19"/>
        <v>0</v>
      </c>
      <c r="AG50" s="251">
        <f t="shared" si="20"/>
        <v>0</v>
      </c>
      <c r="AH50" s="251">
        <f t="shared" si="65"/>
        <v>0</v>
      </c>
      <c r="AI50" s="251">
        <f t="shared" si="66"/>
        <v>0</v>
      </c>
      <c r="AJ50" s="251">
        <f t="shared" si="67"/>
        <v>0</v>
      </c>
      <c r="AK50" s="251">
        <f t="shared" si="68"/>
        <v>0</v>
      </c>
      <c r="AL50" s="251">
        <f t="shared" si="69"/>
        <v>0</v>
      </c>
      <c r="AM50" s="251">
        <f t="shared" si="70"/>
        <v>0</v>
      </c>
      <c r="AN50" s="251">
        <f t="shared" si="71"/>
        <v>0</v>
      </c>
      <c r="AO50" s="251">
        <f t="shared" si="72"/>
        <v>0</v>
      </c>
      <c r="AP50" s="251">
        <f t="shared" si="21"/>
        <v>0</v>
      </c>
      <c r="AQ50" s="251">
        <f t="shared" si="22"/>
        <v>0</v>
      </c>
      <c r="AR50" s="251">
        <f t="shared" si="23"/>
        <v>0</v>
      </c>
      <c r="AS50" s="251">
        <f t="shared" si="24"/>
        <v>0</v>
      </c>
      <c r="AT50" s="251">
        <f t="shared" si="73"/>
        <v>0</v>
      </c>
      <c r="AU50" s="251">
        <f t="shared" si="74"/>
        <v>0</v>
      </c>
      <c r="AV50" s="251">
        <f t="shared" si="25"/>
        <v>0</v>
      </c>
      <c r="AW50" s="251">
        <f t="shared" si="26"/>
        <v>0</v>
      </c>
      <c r="AX50" s="251">
        <f t="shared" si="27"/>
        <v>0</v>
      </c>
      <c r="AY50" s="251">
        <f t="shared" si="28"/>
        <v>0</v>
      </c>
      <c r="AZ50" s="251">
        <f t="shared" si="29"/>
        <v>0</v>
      </c>
      <c r="BA50" s="251">
        <f t="shared" si="30"/>
        <v>0</v>
      </c>
      <c r="BB50" s="251">
        <f t="shared" si="31"/>
        <v>0</v>
      </c>
      <c r="BC50" s="251">
        <f t="shared" si="32"/>
        <v>0</v>
      </c>
      <c r="BD50" s="251">
        <f t="shared" si="33"/>
        <v>0</v>
      </c>
      <c r="BE50" s="251">
        <f t="shared" si="34"/>
        <v>0</v>
      </c>
      <c r="BF50" s="251">
        <f t="shared" si="35"/>
        <v>0</v>
      </c>
      <c r="BG50" s="251">
        <f t="shared" si="36"/>
        <v>0</v>
      </c>
      <c r="BH50" s="251">
        <f t="shared" si="75"/>
        <v>0</v>
      </c>
      <c r="BI50" s="251">
        <f t="shared" si="76"/>
        <v>0</v>
      </c>
      <c r="BJ50" s="251">
        <f t="shared" si="37"/>
        <v>0</v>
      </c>
      <c r="BK50" s="251">
        <f t="shared" si="38"/>
        <v>0</v>
      </c>
      <c r="BL50" s="251">
        <f t="shared" si="39"/>
        <v>0</v>
      </c>
      <c r="BM50" s="251">
        <f t="shared" si="40"/>
        <v>0</v>
      </c>
      <c r="BN50" s="251">
        <f t="shared" si="41"/>
        <v>0</v>
      </c>
      <c r="BO50" s="251">
        <f t="shared" si="42"/>
        <v>0</v>
      </c>
      <c r="BP50" s="251">
        <f t="shared" si="77"/>
        <v>0</v>
      </c>
      <c r="BQ50" s="251">
        <f t="shared" si="78"/>
        <v>0</v>
      </c>
      <c r="BR50" s="251">
        <f t="shared" si="43"/>
        <v>0</v>
      </c>
      <c r="BS50" s="251">
        <f t="shared" si="44"/>
        <v>0</v>
      </c>
      <c r="BT50" s="251">
        <f t="shared" si="79"/>
        <v>0</v>
      </c>
      <c r="BU50" s="251">
        <f t="shared" si="80"/>
        <v>0</v>
      </c>
      <c r="BV50" s="251">
        <f t="shared" si="81"/>
        <v>0</v>
      </c>
      <c r="BW50" s="251">
        <f t="shared" si="82"/>
        <v>0</v>
      </c>
      <c r="BX50" s="251">
        <f t="shared" si="45"/>
        <v>0</v>
      </c>
      <c r="BY50" s="251">
        <f t="shared" si="46"/>
        <v>0</v>
      </c>
      <c r="BZ50" s="251">
        <f t="shared" si="47"/>
        <v>0</v>
      </c>
      <c r="CA50" s="251">
        <f t="shared" si="48"/>
        <v>0</v>
      </c>
      <c r="CB50" s="251">
        <f t="shared" si="49"/>
        <v>0</v>
      </c>
      <c r="CC50" s="251">
        <f t="shared" si="50"/>
        <v>0</v>
      </c>
      <c r="CD50" s="251">
        <f t="shared" si="83"/>
        <v>0</v>
      </c>
      <c r="CE50" s="251">
        <f t="shared" si="84"/>
        <v>0</v>
      </c>
      <c r="CF50" s="251">
        <f t="shared" si="85"/>
        <v>0</v>
      </c>
      <c r="CG50" s="251">
        <f t="shared" si="86"/>
        <v>0</v>
      </c>
      <c r="CH50" s="251">
        <f t="shared" si="51"/>
        <v>0</v>
      </c>
      <c r="CI50" s="251">
        <f t="shared" si="52"/>
        <v>0</v>
      </c>
      <c r="CJ50" s="251">
        <f t="shared" si="87"/>
        <v>0</v>
      </c>
      <c r="CK50" s="251">
        <f t="shared" si="88"/>
        <v>0</v>
      </c>
      <c r="CL50" s="251">
        <f t="shared" si="53"/>
        <v>0</v>
      </c>
      <c r="CM50" s="251">
        <f t="shared" si="54"/>
        <v>0</v>
      </c>
      <c r="CN50" s="251">
        <f t="shared" si="55"/>
        <v>0</v>
      </c>
      <c r="CO50" s="251">
        <f t="shared" si="56"/>
        <v>0</v>
      </c>
      <c r="CP50" s="251">
        <f t="shared" si="89"/>
        <v>0</v>
      </c>
      <c r="CQ50" s="251">
        <f t="shared" si="90"/>
        <v>0</v>
      </c>
      <c r="CR50" s="251">
        <f t="shared" si="91"/>
        <v>0</v>
      </c>
      <c r="CS50" s="251">
        <f t="shared" si="92"/>
        <v>0</v>
      </c>
      <c r="CT50" s="251">
        <f t="shared" si="57"/>
        <v>0</v>
      </c>
      <c r="CU50" s="251">
        <f t="shared" si="58"/>
        <v>0</v>
      </c>
      <c r="CV50" s="251">
        <f t="shared" si="59"/>
        <v>0</v>
      </c>
      <c r="CW50" s="251">
        <f t="shared" ca="1" si="60"/>
        <v>0</v>
      </c>
      <c r="CX50" s="251">
        <f t="shared" si="93"/>
        <v>0</v>
      </c>
      <c r="CY50" s="251">
        <f t="shared" si="94"/>
        <v>0</v>
      </c>
      <c r="CZ50" s="251">
        <f t="shared" ca="1" si="95"/>
        <v>0</v>
      </c>
      <c r="DA50" s="251">
        <f t="shared" si="96"/>
        <v>0</v>
      </c>
    </row>
    <row r="51" spans="1:105" s="248" customFormat="1" ht="16.5" customHeight="1">
      <c r="A51" s="58" t="str">
        <f t="array" ref="A51">IF(C51&lt;&gt;0,SUM(($C$11:C51&lt;&gt;0)*1),"")</f>
        <v/>
      </c>
      <c r="B51" s="217"/>
      <c r="C51" s="217"/>
      <c r="D51" s="217"/>
      <c r="E51" s="250"/>
      <c r="F51" s="60"/>
      <c r="G51" s="254"/>
      <c r="H51" s="254"/>
      <c r="I51" s="58" t="str">
        <f>A51</f>
        <v/>
      </c>
      <c r="J51" s="251">
        <f>IF($G51="1111",$F51,0)</f>
        <v>0</v>
      </c>
      <c r="K51" s="251">
        <f>IF($H51="1111",$F51,0)</f>
        <v>0</v>
      </c>
      <c r="L51" s="251">
        <f>IF($G51="1121",$F51,0)</f>
        <v>0</v>
      </c>
      <c r="M51" s="251">
        <f>IF($H51="1121",$F51,0)</f>
        <v>0</v>
      </c>
      <c r="N51" s="251">
        <f>IF($G51="1122",$F51,0)</f>
        <v>0</v>
      </c>
      <c r="O51" s="251">
        <f>IF($H51="1122",$F51,0)</f>
        <v>0</v>
      </c>
      <c r="P51" s="251">
        <f>IF($G51="131",$F51,0)</f>
        <v>0</v>
      </c>
      <c r="Q51" s="251">
        <f>IF($H51="131",$F51,0)</f>
        <v>0</v>
      </c>
      <c r="R51" s="251">
        <f>IF($G51="1331",$F51,0)</f>
        <v>0</v>
      </c>
      <c r="S51" s="251">
        <f>IF($H51="1331",$F51,0)</f>
        <v>0</v>
      </c>
      <c r="T51" s="251">
        <f>IF($G51="1388",$F51,0)</f>
        <v>0</v>
      </c>
      <c r="U51" s="251">
        <f>IF($H51="1388",$F51,0)</f>
        <v>0</v>
      </c>
      <c r="V51" s="251">
        <f>IF($G51="141",$F51,0)</f>
        <v>0</v>
      </c>
      <c r="W51" s="251">
        <f>IF($H51="141",$F51,0)</f>
        <v>0</v>
      </c>
      <c r="X51" s="251">
        <f>IF($G51="1521",$F51,0)</f>
        <v>0</v>
      </c>
      <c r="Y51" s="251">
        <f>IF($H51="1521",$F51,0)</f>
        <v>0</v>
      </c>
      <c r="Z51" s="251">
        <f>IF($G51="1522",$F51,0)</f>
        <v>0</v>
      </c>
      <c r="AA51" s="251">
        <f>IF($H51="1522",$F51,0)</f>
        <v>0</v>
      </c>
      <c r="AB51" s="251">
        <f>IF($G51="153",$F51,0)</f>
        <v>0</v>
      </c>
      <c r="AC51" s="251">
        <f>IF($H51="153",$F51,0)</f>
        <v>0</v>
      </c>
      <c r="AD51" s="251">
        <f>IF($G51="154",$F51,0)</f>
        <v>0</v>
      </c>
      <c r="AE51" s="251">
        <f>IF($H51="154",$F51,0)</f>
        <v>0</v>
      </c>
      <c r="AF51" s="251">
        <f>IF($G51="155",$F51,0)</f>
        <v>0</v>
      </c>
      <c r="AG51" s="251">
        <f>IF($H51="155",$F51,0)</f>
        <v>0</v>
      </c>
      <c r="AH51" s="251">
        <f>IF($G51="2111",$F51,0)</f>
        <v>0</v>
      </c>
      <c r="AI51" s="251">
        <f>IF($H51="2111",$F51,0)</f>
        <v>0</v>
      </c>
      <c r="AJ51" s="251">
        <f>IF($G51="2112",$F51,0)</f>
        <v>0</v>
      </c>
      <c r="AK51" s="251">
        <f>IF($H51="2112",$F51,0)</f>
        <v>0</v>
      </c>
      <c r="AL51" s="251">
        <f>IF($G51="2113",$F51,0)</f>
        <v>0</v>
      </c>
      <c r="AM51" s="251">
        <f>IF($H51="2113",$F51,0)</f>
        <v>0</v>
      </c>
      <c r="AN51" s="251">
        <f>IF($G51="2131",$F51,0)</f>
        <v>0</v>
      </c>
      <c r="AO51" s="251">
        <f>IF($H51="2131",$F51,0)</f>
        <v>0</v>
      </c>
      <c r="AP51" s="251">
        <f>IF($G51="2141",$F51,0)</f>
        <v>0</v>
      </c>
      <c r="AQ51" s="251">
        <f>IF($H51="2141",$F51,0)</f>
        <v>0</v>
      </c>
      <c r="AR51" s="251">
        <f>IF($G51="2143",$F51,0)</f>
        <v>0</v>
      </c>
      <c r="AS51" s="251">
        <f>IF($H51="2143",$F51,0)</f>
        <v>0</v>
      </c>
      <c r="AT51" s="251">
        <f>IF($G51="2412",$F51,0)</f>
        <v>0</v>
      </c>
      <c r="AU51" s="251">
        <f>IF($H51="2412",$F51,0)</f>
        <v>0</v>
      </c>
      <c r="AV51" s="251">
        <f>IF($G51="331",$F51,0)</f>
        <v>0</v>
      </c>
      <c r="AW51" s="251">
        <f>IF($H51="331",$F51,0)</f>
        <v>0</v>
      </c>
      <c r="AX51" s="251">
        <f>IF($G51="33311",$F51,0)</f>
        <v>0</v>
      </c>
      <c r="AY51" s="251">
        <f>IF($H51="33311",$F51,0)</f>
        <v>0</v>
      </c>
      <c r="AZ51" s="251">
        <f>IF($G51="33312",$F51,0)</f>
        <v>0</v>
      </c>
      <c r="BA51" s="251">
        <f>IF($H51="33312",$F51,0)</f>
        <v>0</v>
      </c>
      <c r="BB51" s="251">
        <f>IF($G51="3333",$F51,0)</f>
        <v>0</v>
      </c>
      <c r="BC51" s="251">
        <f>IF($H51="3333",$F51,0)</f>
        <v>0</v>
      </c>
      <c r="BD51" s="251">
        <f>IF($G51="3334",$F51,0)</f>
        <v>0</v>
      </c>
      <c r="BE51" s="251">
        <f>IF($H51="3334",$F51,0)</f>
        <v>0</v>
      </c>
      <c r="BF51" s="251">
        <f>IF($G51="3335",$F51,0)</f>
        <v>0</v>
      </c>
      <c r="BG51" s="251">
        <f>IF($H51="3335",$F51,0)</f>
        <v>0</v>
      </c>
      <c r="BH51" s="251">
        <f>IF($G51="33382",$F51,0)</f>
        <v>0</v>
      </c>
      <c r="BI51" s="251">
        <f>IF($H51="33382",$F51,0)</f>
        <v>0</v>
      </c>
      <c r="BJ51" s="251">
        <f>IF($G51="3341",$F51,0)</f>
        <v>0</v>
      </c>
      <c r="BK51" s="251">
        <f>IF($H51="3341",$F51,0)</f>
        <v>0</v>
      </c>
      <c r="BL51" s="251">
        <f>IF($G51="3383",$F51,0)</f>
        <v>0</v>
      </c>
      <c r="BM51" s="251">
        <f>IF($H51="3383",$F51,0)</f>
        <v>0</v>
      </c>
      <c r="BN51" s="251">
        <f>IF($G51="3384",$F51,0)</f>
        <v>0</v>
      </c>
      <c r="BO51" s="251">
        <f>IF($H51="3384",$F51,0)</f>
        <v>0</v>
      </c>
      <c r="BP51" s="251">
        <f>IF($G51="3386",$F51,0)</f>
        <v>0</v>
      </c>
      <c r="BQ51" s="251">
        <f>IF($H51="3386",$F51,0)</f>
        <v>0</v>
      </c>
      <c r="BR51" s="251">
        <f>IF($G51="3388",$F51,0)</f>
        <v>0</v>
      </c>
      <c r="BS51" s="251">
        <f>IF($H51="3388",$F51,0)</f>
        <v>0</v>
      </c>
      <c r="BT51" s="251">
        <f>IF($G51="3411",$F51,0)</f>
        <v>0</v>
      </c>
      <c r="BU51" s="251">
        <f>IF($H51="3411",$F51,0)</f>
        <v>0</v>
      </c>
      <c r="BV51" s="251">
        <f>IF($G51="3412",$F51,0)</f>
        <v>0</v>
      </c>
      <c r="BW51" s="251">
        <f>IF($H51="3412",$F51,0)</f>
        <v>0</v>
      </c>
      <c r="BX51" s="251">
        <f>IF($G51="4111",$F51,0)</f>
        <v>0</v>
      </c>
      <c r="BY51" s="251">
        <f>IF($H51="4111",$F51,0)</f>
        <v>0</v>
      </c>
      <c r="BZ51" s="251">
        <f>IF($G51="4211",$F51,0)</f>
        <v>0</v>
      </c>
      <c r="CA51" s="251">
        <f>IF($H51="4211",$F51,0)</f>
        <v>0</v>
      </c>
      <c r="CB51" s="251">
        <f>IF($G51="4212",$F51,0)</f>
        <v>0</v>
      </c>
      <c r="CC51" s="251">
        <f>IF($H51="4212",$F51,0)</f>
        <v>0</v>
      </c>
      <c r="CD51" s="251">
        <f>IF($G51="5112N",$F51,0)</f>
        <v>0</v>
      </c>
      <c r="CE51" s="251">
        <f>IF($H51="5112N",$F51,0)</f>
        <v>0</v>
      </c>
      <c r="CF51" s="251">
        <f>IF($G51="5112X",$F51,0)</f>
        <v>0</v>
      </c>
      <c r="CG51" s="251">
        <f>IF($H51="5112X",$F51,0)</f>
        <v>0</v>
      </c>
      <c r="CH51" s="251">
        <f>IF($G51="515",$F51,0)</f>
        <v>0</v>
      </c>
      <c r="CI51" s="251">
        <f>IF($H51="515",$F51,0)</f>
        <v>0</v>
      </c>
      <c r="CJ51" s="251">
        <f>IF($G51="5213",$F51,0)</f>
        <v>0</v>
      </c>
      <c r="CK51" s="251">
        <f>IF($H51="5213",$F51,0)</f>
        <v>0</v>
      </c>
      <c r="CL51" s="251">
        <f>IF($G51="632",$F51,0)</f>
        <v>0</v>
      </c>
      <c r="CM51" s="251">
        <f>IF($H51="632",$F51,0)</f>
        <v>0</v>
      </c>
      <c r="CN51" s="251">
        <f>IF($G51="635",$F51,0)</f>
        <v>0</v>
      </c>
      <c r="CO51" s="251">
        <f>IF($H51="635",$F51,0)</f>
        <v>0</v>
      </c>
      <c r="CP51" s="251">
        <f>IF($G51="641",$F51,0)</f>
        <v>0</v>
      </c>
      <c r="CQ51" s="251">
        <f>IF($H51="641",$F51,0)</f>
        <v>0</v>
      </c>
      <c r="CR51" s="251">
        <f>IF($G51="642",$F51,0)</f>
        <v>0</v>
      </c>
      <c r="CS51" s="251">
        <f>IF($H51="642",$F51,0)</f>
        <v>0</v>
      </c>
      <c r="CT51" s="251">
        <f>IF($G51="711",$F51,0)</f>
        <v>0</v>
      </c>
      <c r="CU51" s="251">
        <f>IF($H51="711",$F51,0)</f>
        <v>0</v>
      </c>
      <c r="CV51" s="251">
        <f>IF($G51="811",$F51,0)</f>
        <v>0</v>
      </c>
      <c r="CW51" s="251">
        <f>IF($H51="811",$F51,0)</f>
        <v>0</v>
      </c>
      <c r="CX51" s="251">
        <f>IF($G51="821",$F51,0)</f>
        <v>0</v>
      </c>
      <c r="CY51" s="251">
        <f>IF($H51="821",$F51,0)</f>
        <v>0</v>
      </c>
      <c r="CZ51" s="251">
        <f>IF($G51="911",$F51,0)</f>
        <v>0</v>
      </c>
      <c r="DA51" s="251">
        <f>IF($H51="911",$F51,0)</f>
        <v>0</v>
      </c>
    </row>
    <row r="52" spans="1:105" s="248" customFormat="1" ht="16.5" customHeight="1">
      <c r="A52" s="255"/>
      <c r="B52" s="217"/>
      <c r="C52" s="284"/>
      <c r="D52" s="217"/>
      <c r="E52" s="250" t="s">
        <v>173</v>
      </c>
      <c r="F52" s="255"/>
      <c r="G52" s="254"/>
      <c r="H52" s="254"/>
      <c r="I52" s="255"/>
      <c r="J52" s="255">
        <f t="shared" ref="J52:AO52" ca="1" si="98">SUM(J11:J51)</f>
        <v>0</v>
      </c>
      <c r="K52" s="255">
        <f t="shared" ca="1" si="98"/>
        <v>0</v>
      </c>
      <c r="L52" s="255">
        <f t="shared" ca="1" si="98"/>
        <v>0</v>
      </c>
      <c r="M52" s="255">
        <f t="shared" ca="1" si="98"/>
        <v>0</v>
      </c>
      <c r="N52" s="255">
        <f t="shared" ca="1" si="98"/>
        <v>0</v>
      </c>
      <c r="O52" s="255">
        <f t="shared" ca="1" si="98"/>
        <v>0</v>
      </c>
      <c r="P52" s="255">
        <f t="shared" ca="1" si="98"/>
        <v>0</v>
      </c>
      <c r="Q52" s="255">
        <f t="shared" ca="1" si="98"/>
        <v>0</v>
      </c>
      <c r="R52" s="255">
        <f t="shared" ca="1" si="98"/>
        <v>0</v>
      </c>
      <c r="S52" s="255">
        <f t="shared" ca="1" si="98"/>
        <v>0</v>
      </c>
      <c r="T52" s="255">
        <f t="shared" ca="1" si="98"/>
        <v>0</v>
      </c>
      <c r="U52" s="255">
        <f t="shared" ca="1" si="98"/>
        <v>0</v>
      </c>
      <c r="V52" s="255">
        <f t="shared" ca="1" si="98"/>
        <v>0</v>
      </c>
      <c r="W52" s="255">
        <f t="shared" ca="1" si="98"/>
        <v>0</v>
      </c>
      <c r="X52" s="255">
        <f t="shared" ca="1" si="98"/>
        <v>0</v>
      </c>
      <c r="Y52" s="255">
        <f t="shared" ca="1" si="98"/>
        <v>0</v>
      </c>
      <c r="Z52" s="255">
        <f t="shared" ca="1" si="98"/>
        <v>0</v>
      </c>
      <c r="AA52" s="255">
        <f t="shared" ca="1" si="98"/>
        <v>0</v>
      </c>
      <c r="AB52" s="255">
        <f t="shared" ca="1" si="98"/>
        <v>0</v>
      </c>
      <c r="AC52" s="255">
        <f t="shared" ca="1" si="98"/>
        <v>0</v>
      </c>
      <c r="AD52" s="255">
        <f t="shared" ca="1" si="98"/>
        <v>0</v>
      </c>
      <c r="AE52" s="255">
        <f t="shared" ca="1" si="98"/>
        <v>0</v>
      </c>
      <c r="AF52" s="255">
        <f t="shared" ca="1" si="98"/>
        <v>0</v>
      </c>
      <c r="AG52" s="255">
        <f t="shared" ca="1" si="98"/>
        <v>0</v>
      </c>
      <c r="AH52" s="255">
        <f t="shared" ca="1" si="98"/>
        <v>0</v>
      </c>
      <c r="AI52" s="255">
        <f t="shared" ca="1" si="98"/>
        <v>0</v>
      </c>
      <c r="AJ52" s="255">
        <f t="shared" ca="1" si="98"/>
        <v>0</v>
      </c>
      <c r="AK52" s="255">
        <f t="shared" ca="1" si="98"/>
        <v>0</v>
      </c>
      <c r="AL52" s="255">
        <f t="shared" ca="1" si="98"/>
        <v>0</v>
      </c>
      <c r="AM52" s="255">
        <f t="shared" ca="1" si="98"/>
        <v>0</v>
      </c>
      <c r="AN52" s="255">
        <f t="shared" ca="1" si="98"/>
        <v>0</v>
      </c>
      <c r="AO52" s="255">
        <f t="shared" ca="1" si="98"/>
        <v>0</v>
      </c>
      <c r="AP52" s="255">
        <f t="shared" ref="AP52:BU52" ca="1" si="99">SUM(AP11:AP51)</f>
        <v>0</v>
      </c>
      <c r="AQ52" s="255">
        <f t="shared" ca="1" si="99"/>
        <v>0</v>
      </c>
      <c r="AR52" s="255">
        <f t="shared" ca="1" si="99"/>
        <v>0</v>
      </c>
      <c r="AS52" s="255">
        <f t="shared" ca="1" si="99"/>
        <v>0</v>
      </c>
      <c r="AT52" s="255">
        <f t="shared" ca="1" si="99"/>
        <v>0</v>
      </c>
      <c r="AU52" s="255">
        <f t="shared" ca="1" si="99"/>
        <v>0</v>
      </c>
      <c r="AV52" s="255">
        <f t="shared" ca="1" si="99"/>
        <v>0</v>
      </c>
      <c r="AW52" s="255">
        <f t="shared" ca="1" si="99"/>
        <v>0</v>
      </c>
      <c r="AX52" s="255">
        <f t="shared" ca="1" si="99"/>
        <v>0</v>
      </c>
      <c r="AY52" s="255">
        <f t="shared" ca="1" si="99"/>
        <v>0</v>
      </c>
      <c r="AZ52" s="255">
        <f t="shared" ca="1" si="99"/>
        <v>0</v>
      </c>
      <c r="BA52" s="255">
        <f t="shared" ca="1" si="99"/>
        <v>0</v>
      </c>
      <c r="BB52" s="255">
        <f t="shared" ca="1" si="99"/>
        <v>0</v>
      </c>
      <c r="BC52" s="255">
        <f t="shared" ca="1" si="99"/>
        <v>0</v>
      </c>
      <c r="BD52" s="255">
        <f t="shared" ca="1" si="99"/>
        <v>0</v>
      </c>
      <c r="BE52" s="255">
        <f t="shared" ca="1" si="99"/>
        <v>0</v>
      </c>
      <c r="BF52" s="255">
        <f t="shared" ca="1" si="99"/>
        <v>0</v>
      </c>
      <c r="BG52" s="255">
        <f t="shared" ca="1" si="99"/>
        <v>0</v>
      </c>
      <c r="BH52" s="255">
        <f t="shared" ca="1" si="99"/>
        <v>0</v>
      </c>
      <c r="BI52" s="255">
        <f t="shared" ca="1" si="99"/>
        <v>0</v>
      </c>
      <c r="BJ52" s="255">
        <f t="shared" ca="1" si="99"/>
        <v>0</v>
      </c>
      <c r="BK52" s="255">
        <f t="shared" ca="1" si="99"/>
        <v>0</v>
      </c>
      <c r="BL52" s="255">
        <f t="shared" ca="1" si="99"/>
        <v>0</v>
      </c>
      <c r="BM52" s="255">
        <f t="shared" ca="1" si="99"/>
        <v>0</v>
      </c>
      <c r="BN52" s="255">
        <f t="shared" ca="1" si="99"/>
        <v>0</v>
      </c>
      <c r="BO52" s="255">
        <f t="shared" ca="1" si="99"/>
        <v>0</v>
      </c>
      <c r="BP52" s="255">
        <f t="shared" ca="1" si="99"/>
        <v>0</v>
      </c>
      <c r="BQ52" s="255">
        <f t="shared" ca="1" si="99"/>
        <v>0</v>
      </c>
      <c r="BR52" s="255">
        <f t="shared" ca="1" si="99"/>
        <v>0</v>
      </c>
      <c r="BS52" s="255">
        <f t="shared" ca="1" si="99"/>
        <v>0</v>
      </c>
      <c r="BT52" s="255">
        <f t="shared" ca="1" si="99"/>
        <v>0</v>
      </c>
      <c r="BU52" s="255">
        <f t="shared" ca="1" si="99"/>
        <v>0</v>
      </c>
      <c r="BV52" s="255">
        <f t="shared" ref="BV52:DA52" ca="1" si="100">SUM(BV11:BV51)</f>
        <v>0</v>
      </c>
      <c r="BW52" s="255">
        <f t="shared" ca="1" si="100"/>
        <v>0</v>
      </c>
      <c r="BX52" s="255">
        <f t="shared" ca="1" si="100"/>
        <v>0</v>
      </c>
      <c r="BY52" s="255">
        <f t="shared" ca="1" si="100"/>
        <v>0</v>
      </c>
      <c r="BZ52" s="255">
        <f t="shared" ca="1" si="100"/>
        <v>0</v>
      </c>
      <c r="CA52" s="255">
        <f t="shared" ca="1" si="100"/>
        <v>0</v>
      </c>
      <c r="CB52" s="255">
        <f t="shared" ca="1" si="100"/>
        <v>0</v>
      </c>
      <c r="CC52" s="255">
        <f t="shared" ca="1" si="100"/>
        <v>0</v>
      </c>
      <c r="CD52" s="255">
        <f t="shared" ca="1" si="100"/>
        <v>0</v>
      </c>
      <c r="CE52" s="255">
        <f t="shared" ca="1" si="100"/>
        <v>0</v>
      </c>
      <c r="CF52" s="255">
        <f t="shared" ca="1" si="100"/>
        <v>0</v>
      </c>
      <c r="CG52" s="255">
        <f t="shared" ca="1" si="100"/>
        <v>0</v>
      </c>
      <c r="CH52" s="255">
        <f t="shared" ca="1" si="100"/>
        <v>0</v>
      </c>
      <c r="CI52" s="255">
        <f t="shared" ca="1" si="100"/>
        <v>0</v>
      </c>
      <c r="CJ52" s="255">
        <f t="shared" ca="1" si="100"/>
        <v>0</v>
      </c>
      <c r="CK52" s="255">
        <f t="shared" ca="1" si="100"/>
        <v>0</v>
      </c>
      <c r="CL52" s="255">
        <f t="shared" ca="1" si="100"/>
        <v>0</v>
      </c>
      <c r="CM52" s="255">
        <f t="shared" ca="1" si="100"/>
        <v>0</v>
      </c>
      <c r="CN52" s="255">
        <f t="shared" ca="1" si="100"/>
        <v>0</v>
      </c>
      <c r="CO52" s="255">
        <f t="shared" ca="1" si="100"/>
        <v>0</v>
      </c>
      <c r="CP52" s="255">
        <f t="shared" ca="1" si="100"/>
        <v>0</v>
      </c>
      <c r="CQ52" s="255">
        <f t="shared" ca="1" si="100"/>
        <v>0</v>
      </c>
      <c r="CR52" s="255">
        <f t="shared" ca="1" si="100"/>
        <v>0</v>
      </c>
      <c r="CS52" s="255">
        <f t="shared" ca="1" si="100"/>
        <v>0</v>
      </c>
      <c r="CT52" s="255">
        <f t="shared" ca="1" si="100"/>
        <v>0</v>
      </c>
      <c r="CU52" s="255">
        <f t="shared" ca="1" si="100"/>
        <v>0</v>
      </c>
      <c r="CV52" s="255">
        <f t="shared" ca="1" si="100"/>
        <v>0</v>
      </c>
      <c r="CW52" s="255">
        <f t="shared" ca="1" si="100"/>
        <v>0</v>
      </c>
      <c r="CX52" s="255">
        <f t="shared" ca="1" si="100"/>
        <v>0</v>
      </c>
      <c r="CY52" s="255">
        <f t="shared" ca="1" si="100"/>
        <v>0</v>
      </c>
      <c r="CZ52" s="255">
        <f t="shared" ca="1" si="100"/>
        <v>0</v>
      </c>
      <c r="DA52" s="255">
        <f t="shared" ca="1" si="100"/>
        <v>0</v>
      </c>
    </row>
    <row r="53" spans="1:105" s="248" customFormat="1" ht="16.5" customHeight="1">
      <c r="A53" s="256"/>
      <c r="B53" s="256"/>
      <c r="C53" s="256"/>
      <c r="D53" s="256"/>
      <c r="E53" s="257" t="s">
        <v>212</v>
      </c>
      <c r="F53" s="256"/>
      <c r="G53" s="258"/>
      <c r="H53" s="258"/>
      <c r="I53" s="256"/>
      <c r="J53" s="278">
        <f ca="1">MAX(J10+J52-K10-K52,0)</f>
        <v>667384522</v>
      </c>
      <c r="K53" s="278">
        <f ca="1">MAX(K10+K52-J10-J52,0)</f>
        <v>0</v>
      </c>
      <c r="L53" s="278">
        <f ca="1">MAX(L10+L52-M10-M52,0)</f>
        <v>9382419</v>
      </c>
      <c r="M53" s="278">
        <f ca="1">MAX(M10+M52-L10-L52,0)</f>
        <v>0</v>
      </c>
      <c r="N53" s="278">
        <f ca="1">MAX(N10+N52-O10-O52,0)</f>
        <v>5679984</v>
      </c>
      <c r="O53" s="278">
        <f ca="1">MAX(O10+O52-N10-N52,0)</f>
        <v>0</v>
      </c>
      <c r="P53" s="278">
        <f ca="1">MAX(P10+P52-Q10-Q52,0)</f>
        <v>57038792896</v>
      </c>
      <c r="Q53" s="278">
        <f ca="1">MAX(Q10+Q52-P10-P52,0)</f>
        <v>0</v>
      </c>
      <c r="R53" s="278">
        <f ca="1">MAX(R10+R52-S10-S52,0)</f>
        <v>518470991</v>
      </c>
      <c r="S53" s="278">
        <f ca="1">MAX(S10+S52-R10-R52,0)</f>
        <v>0</v>
      </c>
      <c r="T53" s="278">
        <f ca="1">MAX(T10+T52-U10-U52,0)</f>
        <v>0</v>
      </c>
      <c r="U53" s="278">
        <f ca="1">MAX(U10+U52-T10-T52,0)</f>
        <v>0</v>
      </c>
      <c r="V53" s="278">
        <f ca="1">MAX(V10+V52-W10-W52,0)</f>
        <v>0</v>
      </c>
      <c r="W53" s="278">
        <f ca="1">MAX(W10+W52-V10-V52,0)</f>
        <v>0</v>
      </c>
      <c r="X53" s="278">
        <f ca="1">MAX(X10+X52-Y10-Y52,0)</f>
        <v>0</v>
      </c>
      <c r="Y53" s="278">
        <f ca="1">MAX(Y10+Y52-X10-X52,0)</f>
        <v>0</v>
      </c>
      <c r="Z53" s="278">
        <f ca="1">MAX(Z10+Z52-AA10-AA52,0)</f>
        <v>351991443</v>
      </c>
      <c r="AA53" s="278">
        <f ca="1">MAX(AA10+AA52-Z10-Z52,0)</f>
        <v>0</v>
      </c>
      <c r="AB53" s="278">
        <f ca="1">MAX(AB10+AB52-AC10-AC52,0)</f>
        <v>49990909</v>
      </c>
      <c r="AC53" s="278">
        <f ca="1">MAX(AC10+AC52-AB10-AB52,0)</f>
        <v>0</v>
      </c>
      <c r="AD53" s="278">
        <f ca="1">MAX(AD10+AD52-AE10-AE52,0)</f>
        <v>1450841000</v>
      </c>
      <c r="AE53" s="278">
        <f ca="1">MAX(AE10+AE52-AD10-AD52,0)</f>
        <v>0</v>
      </c>
      <c r="AF53" s="278">
        <f ca="1">MAX(AF10+AF52-AG10-AG52,0)</f>
        <v>3468509299</v>
      </c>
      <c r="AG53" s="278">
        <f ca="1">MAX(AG10+AG52-AF10-AF52,0)</f>
        <v>0</v>
      </c>
      <c r="AH53" s="278">
        <f ca="1">MAX(AH10+AH52-AI10-AI52,0)</f>
        <v>7770361541</v>
      </c>
      <c r="AI53" s="278">
        <f ca="1">MAX(AI10+AI52-AH10-AH52,0)</f>
        <v>0</v>
      </c>
      <c r="AJ53" s="278">
        <f ca="1">MAX(AJ10+AJ52-AK10-AK52,0)</f>
        <v>3807898863</v>
      </c>
      <c r="AK53" s="278">
        <f ca="1">MAX(AK10+AK52-AJ10-AJ52,0)</f>
        <v>0</v>
      </c>
      <c r="AL53" s="278">
        <f ca="1">MAX(AL10+AL52-AM10-AM52,0)</f>
        <v>3790918485</v>
      </c>
      <c r="AM53" s="278">
        <f ca="1">MAX(AM10+AM52-AL10-AL52,0)</f>
        <v>0</v>
      </c>
      <c r="AN53" s="278">
        <f ca="1">MAX(AN10+AN52-AO10-AO52,0)</f>
        <v>5405781300</v>
      </c>
      <c r="AO53" s="278">
        <f ca="1">MAX(AO10+AO52-AN10-AN52,0)</f>
        <v>0</v>
      </c>
      <c r="AP53" s="278">
        <f ca="1">MAX(AP10+AP52-AQ10-AQ52,0)</f>
        <v>0</v>
      </c>
      <c r="AQ53" s="278">
        <f ca="1">MAX(AQ10+AQ52-AP10-AP52,0)</f>
        <v>9758261933</v>
      </c>
      <c r="AR53" s="278">
        <f ca="1">MAX(AR10+AR52-AS10-AS52,0)</f>
        <v>0</v>
      </c>
      <c r="AS53" s="278">
        <f ca="1">MAX(AS10+AS52-AR10-AR52,0)</f>
        <v>720770838</v>
      </c>
      <c r="AT53" s="278">
        <f ca="1">MAX(AT10+AT52-AU10-AU52,0)</f>
        <v>0</v>
      </c>
      <c r="AU53" s="278">
        <f ca="1">MAX(AU10+AU52-AT10-AT52,0)</f>
        <v>0</v>
      </c>
      <c r="AV53" s="278">
        <f ca="1">MAX(AV10+AV52-AW10-AW52,0)</f>
        <v>0</v>
      </c>
      <c r="AW53" s="278">
        <f ca="1">MAX(AW10+AW52-AV10-AV52,0)</f>
        <v>35725221599</v>
      </c>
      <c r="AX53" s="278">
        <f ca="1">MAX(AX10+AX52-AY10-AY52,0)</f>
        <v>0</v>
      </c>
      <c r="AY53" s="278">
        <f ca="1">MAX(AY10+AY52-AX10-AX52,0)</f>
        <v>0</v>
      </c>
      <c r="AZ53" s="278">
        <f ca="1">MAX(AZ10+AZ52-BA10-BA52,0)</f>
        <v>0</v>
      </c>
      <c r="BA53" s="278">
        <f ca="1">MAX(BA10+BA52-AZ10-AZ52,0)</f>
        <v>0</v>
      </c>
      <c r="BB53" s="278">
        <f ca="1">MAX(BB10+BB52-BC10-BC52,0)</f>
        <v>0</v>
      </c>
      <c r="BC53" s="278">
        <f ca="1">MAX(BC10+BC52-BB10-BB52,0)</f>
        <v>0</v>
      </c>
      <c r="BD53" s="278">
        <f ca="1">MAX(BD10+BD52-BE10-BE52,0)</f>
        <v>6386869</v>
      </c>
      <c r="BE53" s="278">
        <f ca="1">MAX(BE10+BE52-BD10-BD52,0)</f>
        <v>0</v>
      </c>
      <c r="BF53" s="278">
        <f ca="1">MAX(BF10+BF52-BG10-BG52,0)</f>
        <v>3389804</v>
      </c>
      <c r="BG53" s="278">
        <f ca="1">MAX(BG10+BG52-BF10-BF52,0)</f>
        <v>0</v>
      </c>
      <c r="BH53" s="278">
        <f ca="1">MAX(BH10+BH52-BI10-BI52,0)</f>
        <v>0</v>
      </c>
      <c r="BI53" s="278">
        <f ca="1">MAX(BI10+BI52-BH10-BH52,0)</f>
        <v>0</v>
      </c>
      <c r="BJ53" s="278">
        <f ca="1">MAX(BJ10+BJ52-BK10-BK52,0)</f>
        <v>0</v>
      </c>
      <c r="BK53" s="278">
        <f ca="1">MAX(BK10+BK52-BJ10-BJ52,0)</f>
        <v>0</v>
      </c>
      <c r="BL53" s="278">
        <f ca="1">MAX(BL10+BL52-BM10-BM52,0)</f>
        <v>0</v>
      </c>
      <c r="BM53" s="278">
        <f ca="1">MAX(BM10+BM52-BL10-BL52,0)</f>
        <v>106628549</v>
      </c>
      <c r="BN53" s="278">
        <f ca="1">MAX(BN10+BN52-BO10-BO52,0)</f>
        <v>0</v>
      </c>
      <c r="BO53" s="278">
        <f ca="1">MAX(BO10+BO52-BN10-BN52,0)</f>
        <v>4469220</v>
      </c>
      <c r="BP53" s="278">
        <f ca="1">MAX(BP10+BP52-BQ10-BQ52,0)</f>
        <v>0</v>
      </c>
      <c r="BQ53" s="278">
        <f ca="1">MAX(BQ10+BQ52-BP10-BP52,0)</f>
        <v>1986320</v>
      </c>
      <c r="BR53" s="278">
        <f ca="1">MAX(BR10+BR52-BS10-BS52,0)</f>
        <v>0</v>
      </c>
      <c r="BS53" s="278">
        <f ca="1">MAX(BS10+BS52-BR10-BR52,0)</f>
        <v>0</v>
      </c>
      <c r="BT53" s="278">
        <f ca="1">MAX(BT10+BT52-BU10-BU52,0)</f>
        <v>0</v>
      </c>
      <c r="BU53" s="278">
        <f ca="1">MAX(BU10+BU52-BT10-BT52,0)</f>
        <v>0</v>
      </c>
      <c r="BV53" s="278">
        <f ca="1">MAX(BV10+BV52-BW10-BW52,0)</f>
        <v>0</v>
      </c>
      <c r="BW53" s="278">
        <f ca="1">MAX(BW10+BW52-BV10-BV52,0)</f>
        <v>27471593800</v>
      </c>
      <c r="BX53" s="278">
        <f ca="1">MAX(BX10+BX52-BY10-BY52,0)</f>
        <v>0</v>
      </c>
      <c r="BY53" s="278">
        <f ca="1">MAX(BY10+BY52-BX10-BX52,0)</f>
        <v>10000000000</v>
      </c>
      <c r="BZ53" s="278">
        <f ca="1">MAX(BZ10+BZ52-CA10-CA52,0)</f>
        <v>0</v>
      </c>
      <c r="CA53" s="278">
        <f ca="1">MAX(CA10+CA52-BZ10-BZ52,0)</f>
        <v>635107905.00000095</v>
      </c>
      <c r="CB53" s="278">
        <f ca="1">MAX(CB10+CB52-CC10-CC52,0)</f>
        <v>78259839.000000477</v>
      </c>
      <c r="CC53" s="278">
        <f ca="1">MAX(CC10+CC52-CB10-CB52,0)</f>
        <v>0</v>
      </c>
      <c r="CD53" s="278">
        <f ca="1">MAX(CD10+CD52-CE10-CE52,0)</f>
        <v>0</v>
      </c>
      <c r="CE53" s="278">
        <f ca="1">MAX(CE10+CE52-CD10-CD52,0)</f>
        <v>0</v>
      </c>
      <c r="CF53" s="278">
        <f ca="1">MAX(CF10+CF52-CG10-CG52,0)</f>
        <v>0</v>
      </c>
      <c r="CG53" s="278">
        <f ca="1">MAX(CG10+CG52-CF10-CF52,0)</f>
        <v>0</v>
      </c>
      <c r="CH53" s="278">
        <f ca="1">MAX(CH10+CH52-CI10-CI52,0)</f>
        <v>0</v>
      </c>
      <c r="CI53" s="278">
        <f ca="1">MAX(CI10+CI52-CH10-CH52,0)</f>
        <v>0</v>
      </c>
      <c r="CJ53" s="278">
        <f ca="1">MAX(CJ10+CJ52-CK10-CK52,0)</f>
        <v>0</v>
      </c>
      <c r="CK53" s="278">
        <f ca="1">MAX(CK10+CK52-CJ10-CJ52,0)</f>
        <v>0</v>
      </c>
      <c r="CL53" s="278">
        <f ca="1">MAX(CL10+CL52-CM10-CM52,0)</f>
        <v>0</v>
      </c>
      <c r="CM53" s="278">
        <f ca="1">MAX(CM10+CM52-CL10-CL52,0)</f>
        <v>0</v>
      </c>
      <c r="CN53" s="278">
        <f ca="1">MAX(CN10+CN52-CO10-CO52,0)</f>
        <v>0</v>
      </c>
      <c r="CO53" s="278">
        <f ca="1">MAX(CO10+CO52-CN10-CN52,0)</f>
        <v>0</v>
      </c>
      <c r="CP53" s="278">
        <f ca="1">MAX(CP10+CP52-CQ10-CQ52,0)</f>
        <v>0</v>
      </c>
      <c r="CQ53" s="278">
        <f ca="1">MAX(CQ10+CQ52-CP10-CP52,0)</f>
        <v>0</v>
      </c>
      <c r="CR53" s="278">
        <f ca="1">MAX(CR10+CR52-CS10-CS52,0)</f>
        <v>0</v>
      </c>
      <c r="CS53" s="278">
        <f ca="1">MAX(CS10+CS52-CR10-CR52,0)</f>
        <v>0</v>
      </c>
      <c r="CT53" s="278">
        <f ca="1">MAX(CT10+CT52-CU10-CU52,0)</f>
        <v>0</v>
      </c>
      <c r="CU53" s="278">
        <f ca="1">MAX(CU10+CU52-CT10-CT52,0)</f>
        <v>0</v>
      </c>
      <c r="CV53" s="278">
        <f ca="1">MAX(CV10+CV52-CW10-CW52,0)</f>
        <v>0</v>
      </c>
      <c r="CW53" s="278">
        <f ca="1">MAX(CW10+CW52-CV10-CV52,0)</f>
        <v>0</v>
      </c>
      <c r="CX53" s="278">
        <f ca="1">MAX(CX10+CX52-CY10-CY52,0)</f>
        <v>0</v>
      </c>
      <c r="CY53" s="278">
        <f ca="1">MAX(CY10+CY52-CX10-CX52,0)</f>
        <v>0</v>
      </c>
      <c r="CZ53" s="278">
        <f ca="1">MAX(CZ10+CZ52-DA10-DA52,0)</f>
        <v>0</v>
      </c>
      <c r="DA53" s="278">
        <f ca="1">MAX(DA10+DA52-CZ10-CZ52,0)</f>
        <v>0</v>
      </c>
    </row>
    <row r="54" spans="1:105" s="248" customFormat="1" ht="16.5" customHeight="1">
      <c r="A54" s="260"/>
      <c r="B54" s="260"/>
      <c r="C54" s="261"/>
      <c r="D54" s="260"/>
      <c r="E54" s="262" t="s">
        <v>213</v>
      </c>
      <c r="F54" s="260"/>
      <c r="G54" s="263"/>
      <c r="H54" s="263"/>
      <c r="I54" s="260"/>
      <c r="J54" s="260">
        <f ca="1">J52+'SC-III'!J54</f>
        <v>0</v>
      </c>
      <c r="K54" s="260">
        <f ca="1">K52+'SC-III'!K54</f>
        <v>0</v>
      </c>
      <c r="L54" s="260">
        <f ca="1">L52+'SC-III'!L54</f>
        <v>0</v>
      </c>
      <c r="M54" s="260">
        <f ca="1">M52+'SC-III'!M54</f>
        <v>0</v>
      </c>
      <c r="N54" s="260">
        <f ca="1">N52+'SC-III'!N54</f>
        <v>0</v>
      </c>
      <c r="O54" s="260">
        <f ca="1">O52+'SC-III'!O54</f>
        <v>0</v>
      </c>
      <c r="P54" s="260">
        <f ca="1">P52+'SC-III'!P54</f>
        <v>0</v>
      </c>
      <c r="Q54" s="260">
        <f ca="1">Q52+'SC-III'!Q54</f>
        <v>0</v>
      </c>
      <c r="R54" s="260">
        <f ca="1">R52+'SC-III'!R54</f>
        <v>0</v>
      </c>
      <c r="S54" s="260">
        <f ca="1">S52+'SC-III'!S54</f>
        <v>0</v>
      </c>
      <c r="T54" s="260">
        <f ca="1">T52+'SC-III'!T54</f>
        <v>0</v>
      </c>
      <c r="U54" s="260">
        <f ca="1">U52+'SC-III'!U54</f>
        <v>0</v>
      </c>
      <c r="V54" s="260">
        <f ca="1">V52+'SC-III'!V54</f>
        <v>0</v>
      </c>
      <c r="W54" s="260">
        <f ca="1">W52+'SC-III'!W54</f>
        <v>0</v>
      </c>
      <c r="X54" s="260">
        <f ca="1">X52+'SC-III'!X54</f>
        <v>0</v>
      </c>
      <c r="Y54" s="260">
        <f ca="1">Y52+'SC-III'!Y54</f>
        <v>0</v>
      </c>
      <c r="Z54" s="260">
        <f ca="1">Z52+'SC-III'!Z54</f>
        <v>0</v>
      </c>
      <c r="AA54" s="260">
        <f ca="1">AA52+'SC-III'!AA54</f>
        <v>0</v>
      </c>
      <c r="AB54" s="260">
        <f ca="1">AB52+'SC-III'!AB54</f>
        <v>0</v>
      </c>
      <c r="AC54" s="260">
        <f ca="1">AC52+'SC-III'!AC54</f>
        <v>0</v>
      </c>
      <c r="AD54" s="260">
        <f ca="1">AD52+'SC-III'!AD54</f>
        <v>0</v>
      </c>
      <c r="AE54" s="260">
        <f ca="1">AE52+'SC-III'!AE54</f>
        <v>0</v>
      </c>
      <c r="AF54" s="260">
        <f ca="1">AF52+'SC-III'!AF54</f>
        <v>0</v>
      </c>
      <c r="AG54" s="260">
        <f ca="1">AG52+'SC-III'!AG54</f>
        <v>0</v>
      </c>
      <c r="AH54" s="260">
        <f ca="1">AH52+'SC-III'!AH54</f>
        <v>0</v>
      </c>
      <c r="AI54" s="260">
        <f ca="1">AI52+'SC-III'!AI54</f>
        <v>0</v>
      </c>
      <c r="AJ54" s="260">
        <f ca="1">AJ52+'SC-III'!AJ54</f>
        <v>0</v>
      </c>
      <c r="AK54" s="260">
        <f ca="1">AK52+'SC-III'!AK54</f>
        <v>0</v>
      </c>
      <c r="AL54" s="260">
        <f ca="1">AL52+'SC-III'!AL54</f>
        <v>0</v>
      </c>
      <c r="AM54" s="260">
        <f ca="1">AM52+'SC-III'!AM54</f>
        <v>0</v>
      </c>
      <c r="AN54" s="260">
        <f ca="1">AN52+'SC-III'!AN54</f>
        <v>0</v>
      </c>
      <c r="AO54" s="260">
        <f ca="1">AO52+'SC-III'!AO54</f>
        <v>0</v>
      </c>
      <c r="AP54" s="260">
        <f ca="1">AP52+'SC-III'!AP54</f>
        <v>0</v>
      </c>
      <c r="AQ54" s="260">
        <f ca="1">AQ52+'SC-III'!AQ54</f>
        <v>0</v>
      </c>
      <c r="AR54" s="260">
        <f ca="1">AR52+'SC-III'!AR54</f>
        <v>0</v>
      </c>
      <c r="AS54" s="260">
        <f ca="1">AS52+'SC-III'!AS54</f>
        <v>0</v>
      </c>
      <c r="AT54" s="260">
        <f ca="1">AT52+'SC-III'!AT54</f>
        <v>0</v>
      </c>
      <c r="AU54" s="260">
        <f ca="1">AU52+'SC-III'!AU54</f>
        <v>0</v>
      </c>
      <c r="AV54" s="260">
        <f ca="1">AV52+'SC-III'!AV54</f>
        <v>0</v>
      </c>
      <c r="AW54" s="260">
        <f ca="1">AW52+'SC-III'!AW54</f>
        <v>0</v>
      </c>
      <c r="AX54" s="260">
        <f ca="1">AX52+'SC-III'!AX54</f>
        <v>0</v>
      </c>
      <c r="AY54" s="260">
        <f ca="1">AY52+'SC-III'!AY54</f>
        <v>0</v>
      </c>
      <c r="AZ54" s="260">
        <f ca="1">AZ52+'SC-III'!AZ54</f>
        <v>0</v>
      </c>
      <c r="BA54" s="260">
        <f ca="1">BA52+'SC-III'!BA54</f>
        <v>0</v>
      </c>
      <c r="BB54" s="260">
        <f ca="1">BB52+'SC-III'!BB54</f>
        <v>0</v>
      </c>
      <c r="BC54" s="260">
        <f ca="1">BC52+'SC-III'!BC54</f>
        <v>0</v>
      </c>
      <c r="BD54" s="260">
        <f ca="1">BD52+'SC-III'!BD54</f>
        <v>0</v>
      </c>
      <c r="BE54" s="260">
        <f ca="1">BE52+'SC-III'!BE54</f>
        <v>0</v>
      </c>
      <c r="BF54" s="260">
        <f ca="1">BF52+'SC-III'!BF54</f>
        <v>0</v>
      </c>
      <c r="BG54" s="260">
        <f ca="1">BG52+'SC-III'!BG54</f>
        <v>0</v>
      </c>
      <c r="BH54" s="260">
        <f ca="1">BH52+'SC-III'!BH54</f>
        <v>0</v>
      </c>
      <c r="BI54" s="260">
        <f ca="1">BI52+'SC-III'!BI54</f>
        <v>0</v>
      </c>
      <c r="BJ54" s="260">
        <f ca="1">BJ52+'SC-III'!BJ54</f>
        <v>0</v>
      </c>
      <c r="BK54" s="260">
        <f ca="1">BK52+'SC-III'!BK54</f>
        <v>0</v>
      </c>
      <c r="BL54" s="260">
        <f ca="1">BL52+'SC-III'!BL54</f>
        <v>0</v>
      </c>
      <c r="BM54" s="260">
        <f ca="1">BM52+'SC-III'!BM54</f>
        <v>0</v>
      </c>
      <c r="BN54" s="260">
        <f ca="1">BN52+'SC-III'!BN54</f>
        <v>0</v>
      </c>
      <c r="BO54" s="260">
        <f ca="1">BO52+'SC-III'!BO54</f>
        <v>0</v>
      </c>
      <c r="BP54" s="260">
        <f ca="1">BP52+'SC-III'!BP54</f>
        <v>0</v>
      </c>
      <c r="BQ54" s="260">
        <f ca="1">BQ52+'SC-III'!BQ54</f>
        <v>0</v>
      </c>
      <c r="BR54" s="260">
        <f ca="1">BR52+'SC-III'!BR54</f>
        <v>0</v>
      </c>
      <c r="BS54" s="260">
        <f ca="1">BS52+'SC-III'!BS54</f>
        <v>0</v>
      </c>
      <c r="BT54" s="260">
        <f ca="1">BT52+'SC-III'!BT54</f>
        <v>0</v>
      </c>
      <c r="BU54" s="260">
        <f ca="1">BU52+'SC-III'!BU54</f>
        <v>0</v>
      </c>
      <c r="BV54" s="260">
        <f ca="1">BV52+'SC-III'!BV54</f>
        <v>0</v>
      </c>
      <c r="BW54" s="260">
        <f ca="1">BW52+'SC-III'!BW54</f>
        <v>0</v>
      </c>
      <c r="BX54" s="260">
        <f ca="1">BX52+'SC-III'!BX54</f>
        <v>0</v>
      </c>
      <c r="BY54" s="260">
        <f ca="1">BY52+'SC-III'!BY54</f>
        <v>0</v>
      </c>
      <c r="BZ54" s="260">
        <f ca="1">BZ52+'SC-III'!BZ54</f>
        <v>0</v>
      </c>
      <c r="CA54" s="260">
        <f ca="1">CA52+'SC-III'!CA54</f>
        <v>107861885.00000048</v>
      </c>
      <c r="CB54" s="260">
        <f ca="1">CB52+'SC-III'!CB54</f>
        <v>107861885.00000048</v>
      </c>
      <c r="CC54" s="260">
        <f ca="1">CC52+'SC-III'!CC54</f>
        <v>0</v>
      </c>
      <c r="CD54" s="260">
        <f ca="1">CD52+'SC-III'!CD54</f>
        <v>0</v>
      </c>
      <c r="CE54" s="260">
        <f ca="1">CE52+'SC-III'!CE54</f>
        <v>0</v>
      </c>
      <c r="CF54" s="260">
        <f ca="1">CF52+'SC-III'!CF54</f>
        <v>0</v>
      </c>
      <c r="CG54" s="260">
        <f ca="1">CG52+'SC-III'!CG54</f>
        <v>0</v>
      </c>
      <c r="CH54" s="260">
        <f ca="1">CH52+'SC-III'!CH54</f>
        <v>0</v>
      </c>
      <c r="CI54" s="260">
        <f ca="1">CI52+'SC-III'!CI54</f>
        <v>0</v>
      </c>
      <c r="CJ54" s="260">
        <f ca="1">CJ52+'SC-III'!CJ54</f>
        <v>0</v>
      </c>
      <c r="CK54" s="260">
        <f ca="1">CK52+'SC-III'!CK54</f>
        <v>0</v>
      </c>
      <c r="CL54" s="260">
        <f ca="1">CL52+'SC-III'!CL54</f>
        <v>0</v>
      </c>
      <c r="CM54" s="260">
        <f ca="1">CM52+'SC-III'!CM54</f>
        <v>0</v>
      </c>
      <c r="CN54" s="260">
        <f ca="1">CN52+'SC-III'!CN54</f>
        <v>0</v>
      </c>
      <c r="CO54" s="260">
        <f ca="1">CO52+'SC-III'!CO54</f>
        <v>0</v>
      </c>
      <c r="CP54" s="260">
        <f ca="1">CP52+'SC-III'!CP54</f>
        <v>0</v>
      </c>
      <c r="CQ54" s="260">
        <f ca="1">CQ52+'SC-III'!CQ54</f>
        <v>0</v>
      </c>
      <c r="CR54" s="260">
        <f ca="1">CR52+'SC-III'!CR54</f>
        <v>0</v>
      </c>
      <c r="CS54" s="260">
        <f ca="1">CS52+'SC-III'!CS54</f>
        <v>0</v>
      </c>
      <c r="CT54" s="260">
        <f ca="1">CT52+'SC-III'!CT54</f>
        <v>0</v>
      </c>
      <c r="CU54" s="260">
        <f ca="1">CU52+'SC-III'!CU54</f>
        <v>0</v>
      </c>
      <c r="CV54" s="260">
        <f ca="1">CV52+'SC-III'!CV54</f>
        <v>0</v>
      </c>
      <c r="CW54" s="260">
        <f ca="1">CW52+'SC-III'!CW54</f>
        <v>0</v>
      </c>
      <c r="CX54" s="260">
        <f ca="1">CX52+'SC-III'!CX54</f>
        <v>0</v>
      </c>
      <c r="CY54" s="260">
        <f ca="1">CY52+'SC-III'!CY54</f>
        <v>0</v>
      </c>
      <c r="CZ54" s="260">
        <f ca="1">CZ52+'SC-III'!CZ54</f>
        <v>0</v>
      </c>
      <c r="DA54" s="260">
        <f ca="1">DA52+'SC-III'!DA54</f>
        <v>0</v>
      </c>
    </row>
    <row r="55" spans="1:105" ht="12" customHeight="1">
      <c r="B55" s="265"/>
      <c r="C55" s="266"/>
      <c r="D55" s="266"/>
      <c r="E55" s="266"/>
      <c r="F55" s="266"/>
      <c r="G55" s="267"/>
      <c r="H55" s="267"/>
      <c r="I55" s="266"/>
      <c r="J55" s="266"/>
      <c r="K55" s="266"/>
      <c r="AB55" s="266"/>
      <c r="AC55" s="266"/>
      <c r="AD55" s="266"/>
      <c r="AE55" s="267"/>
      <c r="AF55" s="266"/>
      <c r="AG55" s="267"/>
      <c r="AH55" s="267"/>
      <c r="AI55" s="267"/>
      <c r="AJ55" s="267"/>
      <c r="AK55" s="283"/>
      <c r="AL55" s="266"/>
      <c r="AM55" s="266"/>
      <c r="AN55" s="266"/>
      <c r="AO55" s="266"/>
      <c r="AR55" s="266"/>
      <c r="AS55" s="266"/>
      <c r="AT55" s="266"/>
      <c r="AU55" s="266"/>
      <c r="AV55" s="266"/>
      <c r="AW55" s="266"/>
      <c r="AZ55" s="266"/>
      <c r="BA55" s="266"/>
    </row>
    <row r="56" spans="1:105" ht="12" customHeight="1">
      <c r="B56" s="265"/>
      <c r="C56" s="266"/>
      <c r="D56" s="266"/>
      <c r="E56" s="266"/>
      <c r="F56" s="266"/>
      <c r="G56" s="267"/>
      <c r="H56" s="267"/>
      <c r="I56" s="266"/>
      <c r="J56" s="266"/>
      <c r="K56" s="266"/>
      <c r="AB56" s="266"/>
      <c r="AC56" s="266"/>
      <c r="AD56" s="266"/>
      <c r="AE56" s="267"/>
      <c r="AF56" s="266"/>
      <c r="AG56" s="267"/>
      <c r="AH56" s="267"/>
      <c r="AI56" s="267"/>
      <c r="AJ56" s="267"/>
      <c r="AK56" s="283"/>
      <c r="AL56" s="269" t="s">
        <v>246</v>
      </c>
      <c r="AM56" s="270"/>
      <c r="AN56" s="270"/>
      <c r="AO56" s="270"/>
      <c r="AP56" s="270"/>
      <c r="AQ56" s="270"/>
      <c r="AR56" s="271"/>
      <c r="AS56" s="271"/>
      <c r="AT56" s="270"/>
    </row>
    <row r="57" spans="1:105" ht="12" customHeight="1">
      <c r="J57" s="268"/>
      <c r="K57" s="268"/>
      <c r="L57" s="268"/>
      <c r="M57" s="285"/>
      <c r="N57" s="268"/>
      <c r="O57" s="285"/>
      <c r="P57" s="285"/>
      <c r="Q57" s="285"/>
      <c r="R57" s="268"/>
      <c r="AE57" s="230"/>
      <c r="AG57" s="230"/>
      <c r="AH57" s="230"/>
      <c r="AI57" s="230"/>
      <c r="AJ57" s="230"/>
      <c r="AK57" s="286"/>
      <c r="AL57" s="272" t="s">
        <v>229</v>
      </c>
      <c r="AM57" s="270"/>
      <c r="AN57" s="270"/>
      <c r="AO57" s="270"/>
      <c r="AP57" s="270"/>
      <c r="AQ57" s="270"/>
      <c r="AR57" s="271"/>
      <c r="AS57" s="271"/>
      <c r="AT57" s="270"/>
    </row>
    <row r="58" spans="1:105" s="236" customFormat="1" ht="12" customHeight="1">
      <c r="F58" s="287"/>
      <c r="G58" s="288"/>
      <c r="H58" s="288"/>
      <c r="R58" s="289"/>
      <c r="Z58" s="229"/>
      <c r="AA58" s="229"/>
      <c r="AE58" s="288"/>
      <c r="AG58" s="288"/>
      <c r="AH58" s="288"/>
      <c r="AI58" s="288"/>
      <c r="AJ58" s="288"/>
      <c r="AK58" s="290"/>
      <c r="AL58" s="270"/>
      <c r="AM58" s="270"/>
      <c r="AN58" s="270"/>
      <c r="AO58" s="270"/>
      <c r="AP58" s="270"/>
      <c r="AQ58" s="270"/>
      <c r="AR58" s="270"/>
      <c r="AS58" s="270"/>
      <c r="AT58" s="271"/>
      <c r="AU58" s="229"/>
      <c r="AV58" s="229"/>
      <c r="AW58" s="229"/>
      <c r="AX58" s="229"/>
      <c r="AY58" s="229"/>
      <c r="AZ58" s="229"/>
      <c r="BA58" s="229"/>
    </row>
    <row r="59" spans="1:105" ht="12" customHeight="1">
      <c r="L59" s="248"/>
      <c r="N59" s="248"/>
      <c r="AE59" s="230"/>
      <c r="AG59" s="230"/>
      <c r="AH59" s="230"/>
      <c r="AI59" s="230"/>
      <c r="AJ59" s="230"/>
      <c r="AK59" s="286"/>
      <c r="AL59" s="270"/>
      <c r="AM59" s="270"/>
      <c r="AN59" s="270"/>
      <c r="AO59" s="270"/>
      <c r="AP59" s="270"/>
      <c r="AQ59" s="270"/>
      <c r="AR59" s="270"/>
      <c r="AS59" s="270"/>
      <c r="AT59" s="271"/>
      <c r="AZ59" s="273" t="str">
        <f>"Ngày 31 tháng 12 năm 2015 "</f>
        <v xml:space="preserve">Ngày 31 tháng 12 năm 2015 </v>
      </c>
    </row>
    <row r="60" spans="1:105">
      <c r="J60" s="248"/>
      <c r="K60" s="248"/>
      <c r="AL60" s="270"/>
      <c r="AM60" s="274" t="s">
        <v>11</v>
      </c>
      <c r="AN60" s="270"/>
      <c r="AO60" s="270"/>
      <c r="AP60" s="270"/>
      <c r="AQ60" s="270"/>
      <c r="AR60" s="270"/>
      <c r="AS60" s="275" t="s">
        <v>12</v>
      </c>
      <c r="AT60" s="271"/>
      <c r="AZ60" s="274" t="s">
        <v>130</v>
      </c>
    </row>
    <row r="61" spans="1:105">
      <c r="T61" s="248"/>
      <c r="AL61" s="270"/>
      <c r="AM61" s="276" t="s">
        <v>13</v>
      </c>
      <c r="AN61" s="270"/>
      <c r="AO61" s="270"/>
      <c r="AP61" s="270"/>
      <c r="AQ61" s="270"/>
      <c r="AR61" s="270"/>
      <c r="AS61" s="277" t="s">
        <v>13</v>
      </c>
      <c r="AT61" s="271"/>
      <c r="AZ61" s="276" t="s">
        <v>160</v>
      </c>
    </row>
    <row r="62" spans="1:105">
      <c r="F62" s="248"/>
      <c r="T62" s="248"/>
      <c r="AL62" s="270"/>
      <c r="AM62" s="270"/>
      <c r="AN62" s="270"/>
      <c r="AO62" s="270"/>
      <c r="AP62" s="270"/>
      <c r="AQ62" s="270"/>
      <c r="AR62" s="270"/>
      <c r="AS62" s="270"/>
      <c r="AT62" s="271"/>
      <c r="AZ62" s="270"/>
    </row>
    <row r="63" spans="1:105">
      <c r="F63" s="248"/>
      <c r="T63" s="248"/>
      <c r="AZ63" s="270"/>
    </row>
    <row r="64" spans="1:105">
      <c r="F64" s="248"/>
      <c r="G64" s="248"/>
      <c r="T64" s="248"/>
    </row>
    <row r="65" spans="5:20">
      <c r="F65" s="248"/>
      <c r="T65" s="248"/>
    </row>
    <row r="66" spans="5:20">
      <c r="F66" s="248"/>
      <c r="T66" s="248"/>
    </row>
    <row r="67" spans="5:20">
      <c r="F67" s="248"/>
      <c r="M67" s="268"/>
      <c r="O67" s="268"/>
      <c r="P67" s="268"/>
      <c r="Q67" s="268"/>
      <c r="R67" s="268"/>
      <c r="T67" s="248"/>
    </row>
    <row r="68" spans="5:20">
      <c r="E68" s="279"/>
      <c r="F68" s="248"/>
      <c r="M68" s="268"/>
      <c r="O68" s="268"/>
      <c r="P68" s="268"/>
      <c r="Q68" s="268"/>
      <c r="R68" s="268"/>
    </row>
    <row r="69" spans="5:20">
      <c r="F69" s="268"/>
      <c r="M69" s="268"/>
      <c r="O69" s="268"/>
      <c r="P69" s="268"/>
      <c r="Q69" s="268"/>
      <c r="R69" s="268"/>
    </row>
    <row r="70" spans="5:20">
      <c r="F70" s="268"/>
      <c r="M70" s="268"/>
      <c r="O70" s="268"/>
      <c r="P70" s="268"/>
      <c r="Q70" s="268"/>
      <c r="R70" s="268"/>
    </row>
    <row r="71" spans="5:20">
      <c r="E71" s="268"/>
      <c r="F71" s="268"/>
      <c r="M71" s="268"/>
      <c r="O71" s="268"/>
      <c r="P71" s="268"/>
      <c r="Q71" s="268"/>
      <c r="R71" s="268"/>
    </row>
    <row r="72" spans="5:20">
      <c r="E72" s="268"/>
      <c r="F72" s="268"/>
      <c r="M72" s="268"/>
      <c r="O72" s="268"/>
      <c r="P72" s="268"/>
      <c r="Q72" s="268"/>
      <c r="R72" s="268"/>
    </row>
    <row r="73" spans="5:20">
      <c r="E73" s="268"/>
      <c r="F73" s="268"/>
      <c r="M73" s="268"/>
      <c r="O73" s="268"/>
      <c r="P73" s="268"/>
      <c r="Q73" s="268"/>
      <c r="R73" s="268"/>
    </row>
    <row r="74" spans="5:20">
      <c r="E74" s="268"/>
      <c r="F74" s="268"/>
      <c r="M74" s="268"/>
      <c r="O74" s="268"/>
      <c r="P74" s="268"/>
      <c r="Q74" s="268"/>
      <c r="R74" s="268"/>
    </row>
    <row r="75" spans="5:20">
      <c r="E75" s="268"/>
      <c r="F75" s="268"/>
      <c r="M75" s="268"/>
      <c r="O75" s="268"/>
      <c r="P75" s="268"/>
      <c r="Q75" s="268"/>
      <c r="R75" s="268"/>
    </row>
    <row r="76" spans="5:20">
      <c r="E76" s="268"/>
      <c r="F76" s="268"/>
      <c r="M76" s="268"/>
      <c r="O76" s="268"/>
      <c r="P76" s="268"/>
      <c r="Q76" s="268"/>
      <c r="R76" s="268"/>
    </row>
    <row r="77" spans="5:20">
      <c r="F77" s="268"/>
      <c r="M77" s="268"/>
      <c r="O77" s="268"/>
      <c r="P77" s="268"/>
      <c r="Q77" s="268"/>
      <c r="R77" s="268"/>
    </row>
    <row r="78" spans="5:20">
      <c r="F78" s="268"/>
      <c r="M78" s="268"/>
      <c r="O78" s="268"/>
      <c r="P78" s="268"/>
      <c r="Q78" s="268"/>
      <c r="R78" s="268"/>
    </row>
    <row r="79" spans="5:20">
      <c r="F79" s="268"/>
      <c r="M79" s="268"/>
      <c r="O79" s="268"/>
      <c r="P79" s="268"/>
      <c r="Q79" s="268"/>
      <c r="R79" s="268"/>
    </row>
    <row r="80" spans="5:20">
      <c r="F80" s="268"/>
      <c r="M80" s="268"/>
      <c r="O80" s="268"/>
      <c r="P80" s="268"/>
      <c r="Q80" s="268"/>
      <c r="R80" s="268"/>
    </row>
    <row r="81" spans="6:18">
      <c r="F81" s="268"/>
      <c r="M81" s="268"/>
      <c r="O81" s="268"/>
      <c r="P81" s="268"/>
      <c r="Q81" s="268"/>
      <c r="R81" s="268"/>
    </row>
    <row r="82" spans="6:18">
      <c r="F82" s="268"/>
      <c r="M82" s="268"/>
      <c r="O82" s="268"/>
      <c r="P82" s="268"/>
      <c r="Q82" s="268"/>
      <c r="R82" s="268"/>
    </row>
    <row r="83" spans="6:18">
      <c r="M83" s="268"/>
      <c r="O83" s="268"/>
      <c r="P83" s="268"/>
      <c r="Q83" s="268"/>
      <c r="R83" s="268"/>
    </row>
    <row r="85" spans="6:18">
      <c r="M85" s="268"/>
      <c r="O85" s="268"/>
      <c r="P85" s="268"/>
      <c r="Q85" s="268"/>
      <c r="R85" s="268"/>
    </row>
    <row r="86" spans="6:18">
      <c r="M86" s="268"/>
      <c r="O86" s="268"/>
      <c r="P86" s="268"/>
      <c r="Q86" s="268"/>
      <c r="R86" s="268"/>
    </row>
    <row r="87" spans="6:18">
      <c r="M87" s="268"/>
      <c r="O87" s="268"/>
      <c r="P87" s="268"/>
      <c r="Q87" s="268"/>
      <c r="R87" s="268"/>
    </row>
    <row r="88" spans="6:18">
      <c r="M88" s="268"/>
      <c r="O88" s="268"/>
      <c r="P88" s="268"/>
      <c r="Q88" s="268"/>
      <c r="R88" s="268"/>
    </row>
    <row r="89" spans="6:18">
      <c r="M89" s="268"/>
      <c r="O89" s="268"/>
      <c r="P89" s="268"/>
      <c r="Q89" s="268"/>
      <c r="R89" s="268"/>
    </row>
    <row r="90" spans="6:18">
      <c r="M90" s="268"/>
      <c r="O90" s="268"/>
      <c r="P90" s="268"/>
      <c r="Q90" s="268"/>
      <c r="R90" s="268"/>
    </row>
    <row r="103" spans="13:17">
      <c r="M103" s="268"/>
      <c r="O103" s="268"/>
      <c r="P103" s="268"/>
      <c r="Q103" s="268"/>
    </row>
    <row r="120" spans="13:18">
      <c r="R120" s="268"/>
    </row>
    <row r="121" spans="13:18">
      <c r="R121" s="268"/>
    </row>
    <row r="122" spans="13:18">
      <c r="M122" s="268"/>
      <c r="O122" s="268"/>
      <c r="P122" s="268"/>
      <c r="Q122" s="268"/>
      <c r="R122" s="268"/>
    </row>
    <row r="123" spans="13:18">
      <c r="M123" s="268"/>
      <c r="O123" s="268"/>
      <c r="P123" s="268"/>
      <c r="Q123" s="268"/>
      <c r="R123" s="268"/>
    </row>
    <row r="124" spans="13:18">
      <c r="M124" s="268"/>
      <c r="O124" s="268"/>
      <c r="P124" s="268"/>
      <c r="Q124" s="268"/>
    </row>
    <row r="125" spans="13:18">
      <c r="M125" s="268"/>
      <c r="O125" s="268"/>
      <c r="P125" s="268"/>
      <c r="Q125" s="268"/>
    </row>
    <row r="127" spans="13:18">
      <c r="M127" s="268"/>
      <c r="O127" s="268"/>
      <c r="P127" s="268"/>
      <c r="Q127" s="268"/>
      <c r="R127" s="268"/>
    </row>
    <row r="128" spans="13:18">
      <c r="M128" s="268"/>
      <c r="O128" s="268"/>
      <c r="P128" s="268"/>
      <c r="Q128" s="268"/>
      <c r="R128" s="268"/>
    </row>
    <row r="135" spans="13:18">
      <c r="M135" s="268"/>
      <c r="O135" s="268"/>
      <c r="P135" s="268"/>
      <c r="Q135" s="268"/>
      <c r="R135" s="268"/>
    </row>
    <row r="136" spans="13:18">
      <c r="M136" s="268"/>
      <c r="O136" s="268"/>
      <c r="P136" s="268"/>
      <c r="Q136" s="268"/>
      <c r="R136" s="268"/>
    </row>
    <row r="137" spans="13:18">
      <c r="M137" s="268"/>
      <c r="O137" s="268"/>
      <c r="P137" s="268"/>
      <c r="Q137" s="268"/>
      <c r="R137" s="268"/>
    </row>
    <row r="141" spans="13:18">
      <c r="M141" s="268"/>
      <c r="O141" s="268"/>
      <c r="P141" s="268"/>
      <c r="Q141" s="268"/>
      <c r="R141" s="268"/>
    </row>
    <row r="142" spans="13:18">
      <c r="M142" s="268"/>
      <c r="O142" s="268"/>
      <c r="P142" s="268"/>
      <c r="Q142" s="268"/>
      <c r="R142" s="268"/>
    </row>
    <row r="143" spans="13:18">
      <c r="M143" s="268"/>
      <c r="O143" s="268"/>
      <c r="P143" s="268"/>
      <c r="Q143" s="268"/>
      <c r="R143" s="268"/>
    </row>
    <row r="144" spans="13:18">
      <c r="M144" s="268"/>
      <c r="O144" s="268"/>
      <c r="P144" s="268"/>
      <c r="Q144" s="268"/>
      <c r="R144" s="268"/>
    </row>
    <row r="145" spans="13:18">
      <c r="M145" s="268"/>
      <c r="O145" s="268"/>
      <c r="P145" s="268"/>
      <c r="Q145" s="268"/>
      <c r="R145" s="268"/>
    </row>
    <row r="146" spans="13:18">
      <c r="M146" s="268"/>
      <c r="O146" s="268"/>
      <c r="P146" s="268"/>
      <c r="Q146" s="268"/>
      <c r="R146" s="268"/>
    </row>
    <row r="147" spans="13:18">
      <c r="M147" s="268"/>
      <c r="O147" s="268"/>
      <c r="P147" s="268"/>
      <c r="Q147" s="268"/>
      <c r="R147" s="268"/>
    </row>
    <row r="148" spans="13:18">
      <c r="M148" s="268"/>
      <c r="O148" s="268"/>
      <c r="P148" s="268"/>
      <c r="Q148" s="268"/>
      <c r="R148" s="268"/>
    </row>
    <row r="149" spans="13:18">
      <c r="M149" s="268"/>
      <c r="O149" s="268"/>
      <c r="P149" s="268"/>
      <c r="Q149" s="268"/>
      <c r="R149" s="268"/>
    </row>
    <row r="150" spans="13:18">
      <c r="M150" s="268"/>
      <c r="O150" s="268"/>
      <c r="P150" s="268"/>
      <c r="Q150" s="268"/>
      <c r="R150" s="268"/>
    </row>
    <row r="151" spans="13:18">
      <c r="M151" s="268"/>
      <c r="O151" s="268"/>
      <c r="P151" s="268"/>
      <c r="Q151" s="268"/>
      <c r="R151" s="268"/>
    </row>
    <row r="152" spans="13:18">
      <c r="M152" s="268"/>
      <c r="O152" s="268"/>
      <c r="P152" s="268"/>
      <c r="Q152" s="268"/>
      <c r="R152" s="268"/>
    </row>
    <row r="153" spans="13:18">
      <c r="M153" s="268"/>
      <c r="O153" s="268"/>
      <c r="P153" s="268"/>
      <c r="Q153" s="268"/>
      <c r="R153" s="268"/>
    </row>
    <row r="154" spans="13:18">
      <c r="M154" s="268"/>
      <c r="O154" s="268"/>
      <c r="P154" s="268"/>
      <c r="Q154" s="268"/>
      <c r="R154" s="268"/>
    </row>
    <row r="155" spans="13:18">
      <c r="M155" s="268"/>
      <c r="O155" s="268"/>
      <c r="P155" s="268"/>
      <c r="Q155" s="268"/>
      <c r="R155" s="268"/>
    </row>
    <row r="156" spans="13:18">
      <c r="M156" s="268"/>
      <c r="O156" s="268"/>
      <c r="P156" s="268"/>
      <c r="Q156" s="268"/>
      <c r="R156" s="268"/>
    </row>
    <row r="157" spans="13:18">
      <c r="M157" s="268"/>
      <c r="O157" s="268"/>
      <c r="P157" s="268"/>
      <c r="Q157" s="268"/>
      <c r="R157" s="268"/>
    </row>
    <row r="158" spans="13:18">
      <c r="M158" s="268"/>
      <c r="O158" s="268"/>
      <c r="P158" s="268"/>
      <c r="Q158" s="268"/>
      <c r="R158" s="268"/>
    </row>
    <row r="159" spans="13:18">
      <c r="M159" s="268"/>
      <c r="O159" s="268"/>
      <c r="P159" s="268"/>
      <c r="Q159" s="268"/>
      <c r="R159" s="268"/>
    </row>
    <row r="160" spans="13:18">
      <c r="M160" s="268"/>
      <c r="O160" s="268"/>
      <c r="P160" s="268"/>
      <c r="Q160" s="268"/>
      <c r="R160" s="268"/>
    </row>
    <row r="161" spans="13:18">
      <c r="M161" s="268"/>
      <c r="O161" s="268"/>
      <c r="P161" s="268"/>
      <c r="Q161" s="268"/>
      <c r="R161" s="268"/>
    </row>
    <row r="162" spans="13:18">
      <c r="M162" s="268"/>
      <c r="O162" s="268"/>
      <c r="P162" s="268"/>
      <c r="Q162" s="268"/>
      <c r="R162" s="268"/>
    </row>
    <row r="163" spans="13:18">
      <c r="M163" s="268"/>
      <c r="O163" s="268"/>
      <c r="P163" s="268"/>
      <c r="Q163" s="268"/>
      <c r="R163" s="268"/>
    </row>
    <row r="164" spans="13:18">
      <c r="M164" s="268"/>
      <c r="O164" s="268"/>
      <c r="P164" s="268"/>
      <c r="Q164" s="268"/>
      <c r="R164" s="268"/>
    </row>
    <row r="165" spans="13:18">
      <c r="M165" s="268"/>
      <c r="O165" s="268"/>
      <c r="P165" s="268"/>
      <c r="Q165" s="268"/>
      <c r="R165" s="268"/>
    </row>
    <row r="166" spans="13:18">
      <c r="M166" s="268"/>
      <c r="O166" s="268"/>
      <c r="P166" s="268"/>
      <c r="Q166" s="268"/>
      <c r="R166" s="268"/>
    </row>
    <row r="167" spans="13:18">
      <c r="M167" s="268"/>
      <c r="O167" s="268"/>
      <c r="P167" s="268"/>
      <c r="Q167" s="268"/>
      <c r="R167" s="268"/>
    </row>
    <row r="168" spans="13:18">
      <c r="M168" s="268"/>
      <c r="O168" s="268"/>
      <c r="P168" s="268"/>
      <c r="Q168" s="268"/>
      <c r="R168" s="268"/>
    </row>
    <row r="169" spans="13:18">
      <c r="M169" s="268"/>
      <c r="O169" s="268"/>
      <c r="P169" s="268"/>
      <c r="Q169" s="268"/>
      <c r="R169" s="268"/>
    </row>
    <row r="170" spans="13:18">
      <c r="M170" s="268"/>
      <c r="O170" s="268"/>
      <c r="P170" s="268"/>
      <c r="Q170" s="268"/>
      <c r="R170" s="268"/>
    </row>
    <row r="171" spans="13:18">
      <c r="M171" s="268"/>
      <c r="O171" s="268"/>
      <c r="P171" s="268"/>
      <c r="Q171" s="268"/>
      <c r="R171" s="268"/>
    </row>
    <row r="172" spans="13:18">
      <c r="M172" s="268"/>
      <c r="O172" s="268"/>
      <c r="P172" s="268"/>
      <c r="Q172" s="268"/>
      <c r="R172" s="268"/>
    </row>
    <row r="173" spans="13:18">
      <c r="M173" s="268"/>
      <c r="O173" s="268"/>
      <c r="P173" s="268"/>
      <c r="Q173" s="268"/>
      <c r="R173" s="268"/>
    </row>
    <row r="174" spans="13:18">
      <c r="M174" s="268"/>
      <c r="O174" s="268"/>
      <c r="P174" s="268"/>
      <c r="Q174" s="268"/>
      <c r="R174" s="268"/>
    </row>
    <row r="175" spans="13:18">
      <c r="M175" s="268"/>
      <c r="O175" s="268"/>
      <c r="P175" s="268"/>
      <c r="Q175" s="268"/>
      <c r="R175" s="268"/>
    </row>
    <row r="176" spans="13:18">
      <c r="M176" s="268"/>
      <c r="O176" s="268"/>
      <c r="P176" s="268"/>
      <c r="Q176" s="268"/>
      <c r="R176" s="268"/>
    </row>
    <row r="177" spans="13:18">
      <c r="M177" s="268"/>
      <c r="O177" s="268"/>
      <c r="P177" s="268"/>
      <c r="Q177" s="268"/>
      <c r="R177" s="268"/>
    </row>
    <row r="178" spans="13:18">
      <c r="M178" s="268"/>
      <c r="O178" s="268"/>
      <c r="P178" s="268"/>
      <c r="Q178" s="268"/>
      <c r="R178" s="268"/>
    </row>
    <row r="179" spans="13:18">
      <c r="M179" s="268"/>
      <c r="O179" s="268"/>
      <c r="P179" s="268"/>
      <c r="Q179" s="268"/>
      <c r="R179" s="268"/>
    </row>
    <row r="180" spans="13:18">
      <c r="M180" s="268"/>
      <c r="O180" s="268"/>
      <c r="P180" s="268"/>
      <c r="Q180" s="268"/>
      <c r="R180" s="268"/>
    </row>
    <row r="181" spans="13:18">
      <c r="M181" s="268"/>
      <c r="O181" s="268"/>
      <c r="P181" s="268"/>
      <c r="Q181" s="268"/>
      <c r="R181" s="268"/>
    </row>
    <row r="182" spans="13:18">
      <c r="M182" s="268"/>
      <c r="O182" s="268"/>
      <c r="P182" s="268"/>
      <c r="Q182" s="268"/>
      <c r="R182" s="268"/>
    </row>
    <row r="183" spans="13:18">
      <c r="M183" s="268"/>
      <c r="O183" s="268"/>
      <c r="P183" s="268"/>
      <c r="Q183" s="268"/>
      <c r="R183" s="268"/>
    </row>
    <row r="184" spans="13:18">
      <c r="M184" s="268"/>
      <c r="O184" s="268"/>
      <c r="P184" s="268"/>
      <c r="Q184" s="268"/>
      <c r="R184" s="268"/>
    </row>
    <row r="185" spans="13:18">
      <c r="M185" s="268"/>
      <c r="O185" s="268"/>
      <c r="P185" s="268"/>
      <c r="Q185" s="268"/>
      <c r="R185" s="268"/>
    </row>
    <row r="186" spans="13:18">
      <c r="M186" s="268"/>
      <c r="O186" s="268"/>
      <c r="P186" s="268"/>
      <c r="Q186" s="268"/>
      <c r="R186" s="268"/>
    </row>
    <row r="187" spans="13:18">
      <c r="M187" s="268"/>
      <c r="O187" s="268"/>
      <c r="P187" s="268"/>
      <c r="Q187" s="268"/>
      <c r="R187" s="268"/>
    </row>
    <row r="188" spans="13:18">
      <c r="M188" s="268"/>
      <c r="O188" s="268"/>
      <c r="P188" s="268"/>
      <c r="Q188" s="268"/>
      <c r="R188" s="268"/>
    </row>
    <row r="189" spans="13:18">
      <c r="M189" s="268"/>
      <c r="O189" s="268"/>
      <c r="P189" s="268"/>
      <c r="Q189" s="268"/>
      <c r="R189" s="268"/>
    </row>
    <row r="190" spans="13:18">
      <c r="M190" s="268"/>
      <c r="O190" s="268"/>
      <c r="P190" s="268"/>
      <c r="Q190" s="268"/>
      <c r="R190" s="268"/>
    </row>
    <row r="191" spans="13:18">
      <c r="M191" s="268"/>
      <c r="O191" s="268"/>
      <c r="P191" s="268"/>
      <c r="Q191" s="268"/>
      <c r="R191" s="268"/>
    </row>
    <row r="192" spans="13:18">
      <c r="M192" s="268"/>
      <c r="O192" s="268"/>
      <c r="P192" s="268"/>
      <c r="Q192" s="268"/>
      <c r="R192" s="268"/>
    </row>
    <row r="193" spans="13:18">
      <c r="M193" s="268"/>
      <c r="O193" s="268"/>
      <c r="P193" s="268"/>
      <c r="Q193" s="268"/>
      <c r="R193" s="268"/>
    </row>
    <row r="194" spans="13:18">
      <c r="M194" s="268"/>
      <c r="O194" s="268"/>
      <c r="P194" s="268"/>
      <c r="Q194" s="268"/>
      <c r="R194" s="268"/>
    </row>
    <row r="195" spans="13:18">
      <c r="M195" s="268"/>
      <c r="O195" s="268"/>
      <c r="P195" s="268"/>
      <c r="Q195" s="268"/>
      <c r="R195" s="268"/>
    </row>
    <row r="196" spans="13:18">
      <c r="M196" s="268"/>
      <c r="O196" s="268"/>
      <c r="P196" s="268"/>
      <c r="Q196" s="268"/>
      <c r="R196" s="268"/>
    </row>
    <row r="197" spans="13:18">
      <c r="M197" s="268"/>
      <c r="O197" s="268"/>
      <c r="P197" s="268"/>
      <c r="Q197" s="268"/>
      <c r="R197" s="268"/>
    </row>
    <row r="198" spans="13:18">
      <c r="M198" s="268"/>
      <c r="O198" s="268"/>
      <c r="P198" s="268"/>
      <c r="Q198" s="268"/>
      <c r="R198" s="268"/>
    </row>
    <row r="199" spans="13:18">
      <c r="M199" s="268"/>
      <c r="O199" s="268"/>
      <c r="P199" s="268"/>
      <c r="Q199" s="268"/>
      <c r="R199" s="268"/>
    </row>
    <row r="200" spans="13:18">
      <c r="M200" s="268"/>
      <c r="O200" s="268"/>
      <c r="P200" s="268"/>
      <c r="Q200" s="268"/>
      <c r="R200" s="268"/>
    </row>
    <row r="201" spans="13:18">
      <c r="M201" s="268"/>
      <c r="O201" s="268"/>
      <c r="P201" s="268"/>
      <c r="Q201" s="268"/>
      <c r="R201" s="268"/>
    </row>
    <row r="202" spans="13:18">
      <c r="M202" s="268"/>
      <c r="O202" s="268"/>
      <c r="P202" s="268"/>
      <c r="Q202" s="268"/>
      <c r="R202" s="268"/>
    </row>
    <row r="203" spans="13:18">
      <c r="M203" s="268"/>
      <c r="O203" s="268"/>
      <c r="P203" s="268"/>
      <c r="Q203" s="268"/>
      <c r="R203" s="268"/>
    </row>
    <row r="204" spans="13:18">
      <c r="M204" s="268"/>
      <c r="O204" s="268"/>
      <c r="P204" s="268"/>
      <c r="Q204" s="268"/>
      <c r="R204" s="268"/>
    </row>
    <row r="205" spans="13:18">
      <c r="M205" s="268"/>
      <c r="O205" s="268"/>
      <c r="P205" s="268"/>
      <c r="Q205" s="268"/>
      <c r="R205" s="268"/>
    </row>
    <row r="206" spans="13:18">
      <c r="M206" s="268"/>
      <c r="O206" s="268"/>
      <c r="P206" s="268"/>
      <c r="Q206" s="268"/>
      <c r="R206" s="268"/>
    </row>
    <row r="207" spans="13:18">
      <c r="M207" s="268"/>
      <c r="O207" s="268"/>
      <c r="P207" s="268"/>
      <c r="Q207" s="268"/>
      <c r="R207" s="268"/>
    </row>
    <row r="208" spans="13:18">
      <c r="M208" s="268"/>
      <c r="O208" s="268"/>
      <c r="P208" s="268"/>
      <c r="Q208" s="268"/>
      <c r="R208" s="268"/>
    </row>
    <row r="209" spans="13:18">
      <c r="M209" s="268"/>
      <c r="O209" s="268"/>
      <c r="P209" s="268"/>
      <c r="Q209" s="268"/>
      <c r="R209" s="268"/>
    </row>
    <row r="210" spans="13:18">
      <c r="M210" s="268"/>
      <c r="O210" s="268"/>
      <c r="P210" s="268"/>
      <c r="Q210" s="268"/>
      <c r="R210" s="268"/>
    </row>
    <row r="211" spans="13:18">
      <c r="M211" s="268"/>
      <c r="O211" s="268"/>
      <c r="P211" s="268"/>
      <c r="Q211" s="268"/>
      <c r="R211" s="268"/>
    </row>
    <row r="212" spans="13:18">
      <c r="M212" s="268"/>
      <c r="O212" s="268"/>
      <c r="P212" s="268"/>
      <c r="Q212" s="268"/>
      <c r="R212" s="268"/>
    </row>
    <row r="213" spans="13:18">
      <c r="M213" s="268"/>
      <c r="O213" s="268"/>
      <c r="P213" s="268"/>
      <c r="Q213" s="268"/>
      <c r="R213" s="268"/>
    </row>
    <row r="214" spans="13:18">
      <c r="M214" s="268"/>
      <c r="O214" s="268"/>
      <c r="P214" s="268"/>
      <c r="Q214" s="268"/>
      <c r="R214" s="268"/>
    </row>
    <row r="215" spans="13:18">
      <c r="M215" s="268"/>
      <c r="O215" s="268"/>
      <c r="P215" s="268"/>
      <c r="Q215" s="268"/>
      <c r="R215" s="268"/>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40"/>
  <sheetViews>
    <sheetView topLeftCell="A7" workbookViewId="0">
      <pane ySplit="8" topLeftCell="A15" activePane="bottomLeft" state="frozen"/>
      <selection activeCell="P41" sqref="P41"/>
      <selection pane="bottomLeft" activeCell="E7" sqref="E7"/>
    </sheetView>
  </sheetViews>
  <sheetFormatPr defaultRowHeight="12.75"/>
  <cols>
    <col min="1" max="1" width="7.7109375" customWidth="1"/>
    <col min="2" max="2" width="8.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ht="15">
      <c r="A1" s="202"/>
      <c r="B1" s="202"/>
      <c r="C1" s="202"/>
      <c r="D1" s="5"/>
      <c r="E1" s="202"/>
      <c r="F1" s="5"/>
      <c r="G1" s="5"/>
      <c r="H1" s="5"/>
      <c r="I1" s="5"/>
    </row>
    <row r="2" spans="1:9" ht="15.75" customHeight="1">
      <c r="A2" s="1" t="s">
        <v>178</v>
      </c>
      <c r="B2" s="202"/>
      <c r="C2" s="202"/>
      <c r="D2" s="5"/>
      <c r="E2" s="202"/>
      <c r="F2" s="5"/>
      <c r="G2" s="1410" t="s">
        <v>179</v>
      </c>
      <c r="H2" s="1410"/>
      <c r="I2" s="1410"/>
    </row>
    <row r="3" spans="1:9" ht="15.75" customHeight="1">
      <c r="A3" s="1" t="s">
        <v>180</v>
      </c>
      <c r="B3" s="202"/>
      <c r="C3" s="202"/>
      <c r="D3" s="5"/>
      <c r="E3" s="202"/>
      <c r="F3" s="5"/>
      <c r="G3" s="1411" t="s">
        <v>143</v>
      </c>
      <c r="H3" s="1411"/>
      <c r="I3" s="1411"/>
    </row>
    <row r="4" spans="1:9" ht="15">
      <c r="A4" s="202"/>
      <c r="B4" s="202"/>
      <c r="C4" s="202"/>
      <c r="D4" s="5"/>
      <c r="E4" s="202"/>
      <c r="F4" s="17"/>
      <c r="G4" s="1411"/>
      <c r="H4" s="1411"/>
      <c r="I4" s="1411"/>
    </row>
    <row r="5" spans="1:9" ht="17.25" customHeight="1">
      <c r="A5" s="1412" t="s">
        <v>181</v>
      </c>
      <c r="B5" s="1412"/>
      <c r="C5" s="1412"/>
      <c r="D5" s="1412"/>
      <c r="E5" s="1412"/>
      <c r="F5" s="1412"/>
      <c r="G5" s="1412"/>
      <c r="H5" s="1412"/>
      <c r="I5" s="1412"/>
    </row>
    <row r="6" spans="1:9" ht="15">
      <c r="A6" s="1413" t="s">
        <v>182</v>
      </c>
      <c r="B6" s="1414"/>
      <c r="C6" s="1414"/>
      <c r="D6" s="1414"/>
      <c r="E6" s="1414"/>
      <c r="F6" s="1414"/>
      <c r="G6" s="1414"/>
      <c r="H6" s="1414"/>
      <c r="I6" s="1414"/>
    </row>
    <row r="7" spans="1:9" ht="15">
      <c r="A7" s="202"/>
      <c r="B7" s="5"/>
      <c r="C7" s="5"/>
      <c r="D7" s="221" t="s">
        <v>183</v>
      </c>
      <c r="E7" s="222" t="s">
        <v>262</v>
      </c>
      <c r="F7" s="5"/>
      <c r="G7" s="5"/>
      <c r="H7" s="5"/>
      <c r="I7" s="5"/>
    </row>
    <row r="8" spans="1:9" ht="15">
      <c r="A8" s="202"/>
      <c r="B8" s="5"/>
      <c r="C8" s="5"/>
      <c r="D8" s="221" t="s">
        <v>184</v>
      </c>
      <c r="E8" s="5" t="str">
        <f>VLOOKUP($E$7,DSTK,2,0)</f>
        <v xml:space="preserve"> Tạm ứng </v>
      </c>
      <c r="F8" s="5"/>
      <c r="G8" s="5"/>
      <c r="H8" s="5"/>
      <c r="I8" s="5"/>
    </row>
    <row r="9" spans="1:9" ht="15">
      <c r="A9" s="1414" t="s">
        <v>31</v>
      </c>
      <c r="B9" s="1415"/>
      <c r="C9" s="1415"/>
      <c r="D9" s="1415"/>
      <c r="E9" s="1415"/>
      <c r="F9" s="1415"/>
      <c r="G9" s="1415"/>
      <c r="H9" s="1415"/>
      <c r="I9" s="1415"/>
    </row>
    <row r="10" spans="1:9" ht="9.75" customHeight="1">
      <c r="A10" s="202"/>
      <c r="B10" s="202"/>
      <c r="C10" s="1416"/>
      <c r="D10" s="1417"/>
      <c r="E10" s="1417"/>
      <c r="F10" s="1417"/>
      <c r="G10" s="1417"/>
      <c r="H10" s="1417"/>
      <c r="I10" s="1417"/>
    </row>
    <row r="11" spans="1:9" ht="19.5" customHeight="1">
      <c r="A11" s="1418" t="s">
        <v>22</v>
      </c>
      <c r="B11" s="1408" t="s">
        <v>1</v>
      </c>
      <c r="C11" s="1419"/>
      <c r="D11" s="1418" t="s">
        <v>0</v>
      </c>
      <c r="E11" s="1418" t="s">
        <v>16</v>
      </c>
      <c r="F11" s="1408" t="s">
        <v>23</v>
      </c>
      <c r="G11" s="1419"/>
      <c r="H11" s="1408" t="s">
        <v>33</v>
      </c>
      <c r="I11" s="1409"/>
    </row>
    <row r="12" spans="1:9" ht="32.25" customHeight="1">
      <c r="A12" s="1418"/>
      <c r="B12" s="357" t="s">
        <v>17</v>
      </c>
      <c r="C12" s="357" t="s">
        <v>34</v>
      </c>
      <c r="D12" s="1418"/>
      <c r="E12" s="1418"/>
      <c r="F12" s="357" t="s">
        <v>24</v>
      </c>
      <c r="G12" s="357" t="s">
        <v>25</v>
      </c>
      <c r="H12" s="357" t="s">
        <v>24</v>
      </c>
      <c r="I12" s="357" t="s">
        <v>25</v>
      </c>
    </row>
    <row r="13" spans="1:9" ht="11.25" customHeight="1">
      <c r="A13" s="321" t="s">
        <v>2</v>
      </c>
      <c r="B13" s="322" t="s">
        <v>3</v>
      </c>
      <c r="C13" s="321" t="s">
        <v>4</v>
      </c>
      <c r="D13" s="321" t="s">
        <v>5</v>
      </c>
      <c r="E13" s="321" t="s">
        <v>6</v>
      </c>
      <c r="F13" s="321">
        <v>1</v>
      </c>
      <c r="G13" s="321">
        <v>2</v>
      </c>
      <c r="H13" s="321">
        <v>3</v>
      </c>
      <c r="I13" s="321">
        <v>4</v>
      </c>
    </row>
    <row r="14" spans="1:9" ht="18" customHeight="1">
      <c r="A14" s="358"/>
      <c r="B14" s="342"/>
      <c r="C14" s="358"/>
      <c r="D14" s="341" t="s">
        <v>7</v>
      </c>
      <c r="E14" s="342"/>
      <c r="F14" s="359"/>
      <c r="G14" s="359"/>
      <c r="H14" s="359">
        <f>VLOOKUP($E$7,DSTK,3,0)</f>
        <v>0</v>
      </c>
      <c r="I14" s="359">
        <f>VLOOKUP($E$7,DSTK,4,0)</f>
        <v>0</v>
      </c>
    </row>
    <row r="15" spans="1:9" ht="18" customHeight="1">
      <c r="A15" s="305" t="e">
        <f ca="1">IF(ROWS($1:1)&gt;COUNT(Dong5),"",OFFSET(TH!C$1,SMALL(Dong5,ROWS($1:1)),))</f>
        <v>#REF!</v>
      </c>
      <c r="B15" s="305" t="e">
        <f ca="1">IF(ROWS($1:1)&gt;COUNT(Dong5),"",OFFSET(TH!D$1,SMALL(Dong5,ROWS($1:1)),))</f>
        <v>#REF!</v>
      </c>
      <c r="C15" s="305" t="e">
        <f ca="1">IF(ROWS($1:1)&gt;COUNT(Dong5),"",OFFSET(TH!E$1,SMALL(Dong5,ROWS($1:1)),))</f>
        <v>#REF!</v>
      </c>
      <c r="D15" s="360" t="e">
        <f ca="1">IF(ROWS($1:1)&gt;COUNT(Dong5),"",OFFSET(TH!F$1,SMALL(Dong5,ROWS($1:1)),))</f>
        <v>#REF!</v>
      </c>
      <c r="E15" s="305" t="e">
        <f ca="1">IF(ROWS($1:1)&gt;COUNT(Dong5),"",IF(OFFSET(TH!N$1,SMALL(Dong5,ROWS($1:1)),)=$E$7,OFFSET(TH!O$1,SMALL(Dong5,ROWS($1:1)),),OFFSET(TH!N$1,SMALL(Dong5,ROWS($1:1)),)))</f>
        <v>#REF!</v>
      </c>
      <c r="F15" s="361" t="e">
        <f ca="1">IF(ROWS($1:1)&gt;COUNT(Dong5),0,IF(OFFSET(TH!N$1,SMALL(Dong5,ROWS($1:1)),)=$E$7,OFFSET(TH!M$1,SMALL(Dong5,ROWS($1:1)),),0))</f>
        <v>#REF!</v>
      </c>
      <c r="G15" s="359" t="e">
        <f ca="1">IF(ROWS($1:1)&gt;COUNT(Dong5),0,IF(OFFSET(TH!O$1,SMALL(Dong5,ROWS($1:1)),)=$E$7,OFFSET(TH!M$1,SMALL(Dong5,ROWS($1:1)),),0))</f>
        <v>#REF!</v>
      </c>
      <c r="H15" s="362" t="e">
        <f t="shared" ref="H15:H30" ca="1" si="0">IF(D15&lt;&gt;"",MAX(H14+F15-G15-I14,0),0)</f>
        <v>#REF!</v>
      </c>
      <c r="I15" s="362" t="e">
        <f t="shared" ref="I15:I30" ca="1" si="1">IF(D15&lt;&gt;"",MAX(I14+G15-H14-F15,0),0)</f>
        <v>#REF!</v>
      </c>
    </row>
    <row r="16" spans="1:9" ht="18" customHeight="1">
      <c r="A16" s="305" t="e">
        <f ca="1">IF(ROWS($1:2)&gt;COUNT(Dong5),"",OFFSET(TH!C$1,SMALL(Dong5,ROWS($1:2)),))</f>
        <v>#REF!</v>
      </c>
      <c r="B16" s="305" t="e">
        <f ca="1">IF(ROWS($1:2)&gt;COUNT(Dong5),"",OFFSET(TH!D$1,SMALL(Dong5,ROWS($1:2)),))</f>
        <v>#REF!</v>
      </c>
      <c r="C16" s="305" t="e">
        <f ca="1">IF(ROWS($1:2)&gt;COUNT(Dong5),"",OFFSET(TH!E$1,SMALL(Dong5,ROWS($1:2)),))</f>
        <v>#REF!</v>
      </c>
      <c r="D16" s="360" t="e">
        <f ca="1">IF(ROWS($1:2)&gt;COUNT(Dong5),"",OFFSET(TH!F$1,SMALL(Dong5,ROWS($1:2)),))</f>
        <v>#REF!</v>
      </c>
      <c r="E16" s="305" t="e">
        <f ca="1">IF(ROWS($1:2)&gt;COUNT(Dong5),"",IF(OFFSET(TH!N$1,SMALL(Dong5,ROWS($1:2)),)=$E$7,OFFSET(TH!O$1,SMALL(Dong5,ROWS($1:2)),),OFFSET(TH!N$1,SMALL(Dong5,ROWS($1:2)),)))</f>
        <v>#REF!</v>
      </c>
      <c r="F16" s="361" t="e">
        <f ca="1">IF(ROWS($1:2)&gt;COUNT(Dong5),0,IF(OFFSET(TH!N$1,SMALL(Dong5,ROWS($1:2)),)=$E$7,OFFSET(TH!M$1,SMALL(Dong5,ROWS($1:2)),),0))</f>
        <v>#REF!</v>
      </c>
      <c r="G16" s="359" t="e">
        <f ca="1">IF(ROWS($1:2)&gt;COUNT(Dong5),0,IF(OFFSET(TH!O$1,SMALL(Dong5,ROWS($1:2)),)=$E$7,OFFSET(TH!M$1,SMALL(Dong5,ROWS($1:2)),),0))</f>
        <v>#REF!</v>
      </c>
      <c r="H16" s="362" t="e">
        <f t="shared" ca="1" si="0"/>
        <v>#REF!</v>
      </c>
      <c r="I16" s="362" t="e">
        <f t="shared" ca="1" si="1"/>
        <v>#REF!</v>
      </c>
    </row>
    <row r="17" spans="1:9" ht="18" customHeight="1">
      <c r="A17" s="305" t="e">
        <f ca="1">IF(ROWS($1:3)&gt;COUNT(Dong5),"",OFFSET(TH!C$1,SMALL(Dong5,ROWS($1:3)),))</f>
        <v>#REF!</v>
      </c>
      <c r="B17" s="305" t="e">
        <f ca="1">IF(ROWS($1:3)&gt;COUNT(Dong5),"",OFFSET(TH!D$1,SMALL(Dong5,ROWS($1:3)),))</f>
        <v>#REF!</v>
      </c>
      <c r="C17" s="305" t="e">
        <f ca="1">IF(ROWS($1:3)&gt;COUNT(Dong5),"",OFFSET(TH!E$1,SMALL(Dong5,ROWS($1:3)),))</f>
        <v>#REF!</v>
      </c>
      <c r="D17" s="360" t="e">
        <f ca="1">IF(ROWS($1:3)&gt;COUNT(Dong5),"",OFFSET(TH!F$1,SMALL(Dong5,ROWS($1:3)),))</f>
        <v>#REF!</v>
      </c>
      <c r="E17" s="305" t="e">
        <f ca="1">IF(ROWS($1:3)&gt;COUNT(Dong5),"",IF(OFFSET(TH!N$1,SMALL(Dong5,ROWS($1:3)),)=$E$7,OFFSET(TH!O$1,SMALL(Dong5,ROWS($1:3)),),OFFSET(TH!N$1,SMALL(Dong5,ROWS($1:3)),)))</f>
        <v>#REF!</v>
      </c>
      <c r="F17" s="361" t="e">
        <f ca="1">IF(ROWS($1:3)&gt;COUNT(Dong5),0,IF(OFFSET(TH!N$1,SMALL(Dong5,ROWS($1:3)),)=$E$7,OFFSET(TH!M$1,SMALL(Dong5,ROWS($1:3)),),0))</f>
        <v>#REF!</v>
      </c>
      <c r="G17" s="359" t="e">
        <f ca="1">IF(ROWS($1:3)&gt;COUNT(Dong5),0,IF(OFFSET(TH!O$1,SMALL(Dong5,ROWS($1:3)),)=$E$7,OFFSET(TH!M$1,SMALL(Dong5,ROWS($1:3)),),0))</f>
        <v>#REF!</v>
      </c>
      <c r="H17" s="362" t="e">
        <f t="shared" ca="1" si="0"/>
        <v>#REF!</v>
      </c>
      <c r="I17" s="362" t="e">
        <f t="shared" ca="1" si="1"/>
        <v>#REF!</v>
      </c>
    </row>
    <row r="18" spans="1:9" ht="18" customHeight="1">
      <c r="A18" s="305" t="e">
        <f ca="1">IF(ROWS($1:4)&gt;COUNT(Dong5),"",OFFSET(TH!C$1,SMALL(Dong5,ROWS($1:4)),))</f>
        <v>#REF!</v>
      </c>
      <c r="B18" s="305" t="e">
        <f ca="1">IF(ROWS($1:4)&gt;COUNT(Dong5),"",OFFSET(TH!D$1,SMALL(Dong5,ROWS($1:4)),))</f>
        <v>#REF!</v>
      </c>
      <c r="C18" s="305" t="e">
        <f ca="1">IF(ROWS($1:4)&gt;COUNT(Dong5),"",OFFSET(TH!E$1,SMALL(Dong5,ROWS($1:4)),))</f>
        <v>#REF!</v>
      </c>
      <c r="D18" s="360" t="e">
        <f ca="1">IF(ROWS($1:4)&gt;COUNT(Dong5),"",OFFSET(TH!F$1,SMALL(Dong5,ROWS($1:4)),))</f>
        <v>#REF!</v>
      </c>
      <c r="E18" s="305" t="e">
        <f ca="1">IF(ROWS($1:4)&gt;COUNT(Dong5),"",IF(OFFSET(TH!N$1,SMALL(Dong5,ROWS($1:4)),)=$E$7,OFFSET(TH!O$1,SMALL(Dong5,ROWS($1:4)),),OFFSET(TH!N$1,SMALL(Dong5,ROWS($1:4)),)))</f>
        <v>#REF!</v>
      </c>
      <c r="F18" s="361" t="e">
        <f ca="1">IF(ROWS($1:4)&gt;COUNT(Dong5),0,IF(OFFSET(TH!N$1,SMALL(Dong5,ROWS($1:4)),)=$E$7,OFFSET(TH!M$1,SMALL(Dong5,ROWS($1:4)),),0))</f>
        <v>#REF!</v>
      </c>
      <c r="G18" s="359" t="e">
        <f ca="1">IF(ROWS($1:4)&gt;COUNT(Dong5),0,IF(OFFSET(TH!O$1,SMALL(Dong5,ROWS($1:4)),)=$E$7,OFFSET(TH!M$1,SMALL(Dong5,ROWS($1:4)),),0))</f>
        <v>#REF!</v>
      </c>
      <c r="H18" s="362" t="e">
        <f t="shared" ca="1" si="0"/>
        <v>#REF!</v>
      </c>
      <c r="I18" s="362" t="e">
        <f t="shared" ca="1" si="1"/>
        <v>#REF!</v>
      </c>
    </row>
    <row r="19" spans="1:9" ht="18" customHeight="1">
      <c r="A19" s="305" t="e">
        <f ca="1">IF(ROWS($1:5)&gt;COUNT(Dong5),"",OFFSET(TH!C$1,SMALL(Dong5,ROWS($1:5)),))</f>
        <v>#REF!</v>
      </c>
      <c r="B19" s="305" t="e">
        <f ca="1">IF(ROWS($1:5)&gt;COUNT(Dong5),"",OFFSET(TH!D$1,SMALL(Dong5,ROWS($1:5)),))</f>
        <v>#REF!</v>
      </c>
      <c r="C19" s="305" t="e">
        <f ca="1">IF(ROWS($1:5)&gt;COUNT(Dong5),"",OFFSET(TH!E$1,SMALL(Dong5,ROWS($1:5)),))</f>
        <v>#REF!</v>
      </c>
      <c r="D19" s="360" t="e">
        <f ca="1">IF(ROWS($1:5)&gt;COUNT(Dong5),"",OFFSET(TH!F$1,SMALL(Dong5,ROWS($1:5)),))</f>
        <v>#REF!</v>
      </c>
      <c r="E19" s="305" t="e">
        <f ca="1">IF(ROWS($1:5)&gt;COUNT(Dong5),"",IF(OFFSET(TH!N$1,SMALL(Dong5,ROWS($1:5)),)=$E$7,OFFSET(TH!O$1,SMALL(Dong5,ROWS($1:5)),),OFFSET(TH!N$1,SMALL(Dong5,ROWS($1:5)),)))</f>
        <v>#REF!</v>
      </c>
      <c r="F19" s="361" t="e">
        <f ca="1">IF(ROWS($1:5)&gt;COUNT(Dong5),0,IF(OFFSET(TH!N$1,SMALL(Dong5,ROWS($1:5)),)=$E$7,OFFSET(TH!M$1,SMALL(Dong5,ROWS($1:5)),),0))</f>
        <v>#REF!</v>
      </c>
      <c r="G19" s="359" t="e">
        <f ca="1">IF(ROWS($1:5)&gt;COUNT(Dong5),0,IF(OFFSET(TH!O$1,SMALL(Dong5,ROWS($1:5)),)=$E$7,OFFSET(TH!M$1,SMALL(Dong5,ROWS($1:5)),),0))</f>
        <v>#REF!</v>
      </c>
      <c r="H19" s="362" t="e">
        <f t="shared" ca="1" si="0"/>
        <v>#REF!</v>
      </c>
      <c r="I19" s="362" t="e">
        <f t="shared" ca="1" si="1"/>
        <v>#REF!</v>
      </c>
    </row>
    <row r="20" spans="1:9" ht="18" customHeight="1">
      <c r="A20" s="305" t="e">
        <f ca="1">IF(ROWS($1:6)&gt;COUNT(Dong5),"",OFFSET(TH!C$1,SMALL(Dong5,ROWS($1:6)),))</f>
        <v>#REF!</v>
      </c>
      <c r="B20" s="305" t="e">
        <f ca="1">IF(ROWS($1:6)&gt;COUNT(Dong5),"",OFFSET(TH!D$1,SMALL(Dong5,ROWS($1:6)),))</f>
        <v>#REF!</v>
      </c>
      <c r="C20" s="305" t="e">
        <f ca="1">IF(ROWS($1:6)&gt;COUNT(Dong5),"",OFFSET(TH!E$1,SMALL(Dong5,ROWS($1:6)),))</f>
        <v>#REF!</v>
      </c>
      <c r="D20" s="360" t="e">
        <f ca="1">IF(ROWS($1:6)&gt;COUNT(Dong5),"",OFFSET(TH!F$1,SMALL(Dong5,ROWS($1:6)),))</f>
        <v>#REF!</v>
      </c>
      <c r="E20" s="305" t="e">
        <f ca="1">IF(ROWS($1:6)&gt;COUNT(Dong5),"",IF(OFFSET(TH!N$1,SMALL(Dong5,ROWS($1:6)),)=$E$7,OFFSET(TH!O$1,SMALL(Dong5,ROWS($1:6)),),OFFSET(TH!N$1,SMALL(Dong5,ROWS($1:6)),)))</f>
        <v>#REF!</v>
      </c>
      <c r="F20" s="361" t="e">
        <f ca="1">IF(ROWS($1:6)&gt;COUNT(Dong5),0,IF(OFFSET(TH!N$1,SMALL(Dong5,ROWS($1:6)),)=$E$7,OFFSET(TH!M$1,SMALL(Dong5,ROWS($1:6)),),0))</f>
        <v>#REF!</v>
      </c>
      <c r="G20" s="359" t="e">
        <f ca="1">IF(ROWS($1:6)&gt;COUNT(Dong5),0,IF(OFFSET(TH!O$1,SMALL(Dong5,ROWS($1:6)),)=$E$7,OFFSET(TH!M$1,SMALL(Dong5,ROWS($1:6)),),0))</f>
        <v>#REF!</v>
      </c>
      <c r="H20" s="362" t="e">
        <f t="shared" ca="1" si="0"/>
        <v>#REF!</v>
      </c>
      <c r="I20" s="362" t="e">
        <f t="shared" ca="1" si="1"/>
        <v>#REF!</v>
      </c>
    </row>
    <row r="21" spans="1:9" ht="18" customHeight="1">
      <c r="A21" s="305" t="e">
        <f ca="1">IF(ROWS($1:7)&gt;COUNT(Dong5),"",OFFSET(TH!C$1,SMALL(Dong5,ROWS($1:7)),))</f>
        <v>#REF!</v>
      </c>
      <c r="B21" s="305" t="e">
        <f ca="1">IF(ROWS($1:7)&gt;COUNT(Dong5),"",OFFSET(TH!D$1,SMALL(Dong5,ROWS($1:7)),))</f>
        <v>#REF!</v>
      </c>
      <c r="C21" s="305" t="e">
        <f ca="1">IF(ROWS($1:7)&gt;COUNT(Dong5),"",OFFSET(TH!E$1,SMALL(Dong5,ROWS($1:7)),))</f>
        <v>#REF!</v>
      </c>
      <c r="D21" s="360" t="e">
        <f ca="1">IF(ROWS($1:7)&gt;COUNT(Dong5),"",OFFSET(TH!F$1,SMALL(Dong5,ROWS($1:7)),))</f>
        <v>#REF!</v>
      </c>
      <c r="E21" s="305" t="e">
        <f ca="1">IF(ROWS($1:7)&gt;COUNT(Dong5),"",IF(OFFSET(TH!N$1,SMALL(Dong5,ROWS($1:7)),)=$E$7,OFFSET(TH!O$1,SMALL(Dong5,ROWS($1:7)),),OFFSET(TH!N$1,SMALL(Dong5,ROWS($1:7)),)))</f>
        <v>#REF!</v>
      </c>
      <c r="F21" s="361" t="e">
        <f ca="1">IF(ROWS($1:7)&gt;COUNT(Dong5),0,IF(OFFSET(TH!N$1,SMALL(Dong5,ROWS($1:7)),)=$E$7,OFFSET(TH!M$1,SMALL(Dong5,ROWS($1:7)),),0))</f>
        <v>#REF!</v>
      </c>
      <c r="G21" s="359" t="e">
        <f ca="1">IF(ROWS($1:7)&gt;COUNT(Dong5),0,IF(OFFSET(TH!O$1,SMALL(Dong5,ROWS($1:7)),)=$E$7,OFFSET(TH!M$1,SMALL(Dong5,ROWS($1:7)),),0))</f>
        <v>#REF!</v>
      </c>
      <c r="H21" s="362" t="e">
        <f t="shared" ca="1" si="0"/>
        <v>#REF!</v>
      </c>
      <c r="I21" s="362" t="e">
        <f t="shared" ca="1" si="1"/>
        <v>#REF!</v>
      </c>
    </row>
    <row r="22" spans="1:9" ht="18" customHeight="1">
      <c r="A22" s="305" t="e">
        <f ca="1">IF(ROWS($1:8)&gt;COUNT(Dong5),"",OFFSET(TH!C$1,SMALL(Dong5,ROWS($1:8)),))</f>
        <v>#REF!</v>
      </c>
      <c r="B22" s="305" t="e">
        <f ca="1">IF(ROWS($1:8)&gt;COUNT(Dong5),"",OFFSET(TH!D$1,SMALL(Dong5,ROWS($1:8)),))</f>
        <v>#REF!</v>
      </c>
      <c r="C22" s="305" t="e">
        <f ca="1">IF(ROWS($1:8)&gt;COUNT(Dong5),"",OFFSET(TH!E$1,SMALL(Dong5,ROWS($1:8)),))</f>
        <v>#REF!</v>
      </c>
      <c r="D22" s="360" t="e">
        <f ca="1">IF(ROWS($1:8)&gt;COUNT(Dong5),"",OFFSET(TH!F$1,SMALL(Dong5,ROWS($1:8)),))</f>
        <v>#REF!</v>
      </c>
      <c r="E22" s="305" t="e">
        <f ca="1">IF(ROWS($1:8)&gt;COUNT(Dong5),"",IF(OFFSET(TH!N$1,SMALL(Dong5,ROWS($1:8)),)=$E$7,OFFSET(TH!O$1,SMALL(Dong5,ROWS($1:8)),),OFFSET(TH!N$1,SMALL(Dong5,ROWS($1:8)),)))</f>
        <v>#REF!</v>
      </c>
      <c r="F22" s="361" t="e">
        <f ca="1">IF(ROWS($1:8)&gt;COUNT(Dong5),0,IF(OFFSET(TH!N$1,SMALL(Dong5,ROWS($1:8)),)=$E$7,OFFSET(TH!M$1,SMALL(Dong5,ROWS($1:8)),),0))</f>
        <v>#REF!</v>
      </c>
      <c r="G22" s="359" t="e">
        <f ca="1">IF(ROWS($1:8)&gt;COUNT(Dong5),0,IF(OFFSET(TH!O$1,SMALL(Dong5,ROWS($1:8)),)=$E$7,OFFSET(TH!M$1,SMALL(Dong5,ROWS($1:8)),),0))</f>
        <v>#REF!</v>
      </c>
      <c r="H22" s="362" t="e">
        <f t="shared" ref="H22:H25" ca="1" si="2">IF(D22&lt;&gt;"",MAX(H21+F22-G22-I21,0),0)</f>
        <v>#REF!</v>
      </c>
      <c r="I22" s="362" t="e">
        <f t="shared" ref="I22:I25" ca="1" si="3">IF(D22&lt;&gt;"",MAX(I21+G22-H21-F22,0),0)</f>
        <v>#REF!</v>
      </c>
    </row>
    <row r="23" spans="1:9" ht="18" customHeight="1">
      <c r="A23" s="305" t="e">
        <f ca="1">IF(ROWS($1:9)&gt;COUNT(Dong5),"",OFFSET(TH!C$1,SMALL(Dong5,ROWS($1:9)),))</f>
        <v>#REF!</v>
      </c>
      <c r="B23" s="305" t="e">
        <f ca="1">IF(ROWS($1:9)&gt;COUNT(Dong5),"",OFFSET(TH!D$1,SMALL(Dong5,ROWS($1:9)),))</f>
        <v>#REF!</v>
      </c>
      <c r="C23" s="305" t="e">
        <f ca="1">IF(ROWS($1:9)&gt;COUNT(Dong5),"",OFFSET(TH!E$1,SMALL(Dong5,ROWS($1:9)),))</f>
        <v>#REF!</v>
      </c>
      <c r="D23" s="360" t="e">
        <f ca="1">IF(ROWS($1:9)&gt;COUNT(Dong5),"",OFFSET(TH!F$1,SMALL(Dong5,ROWS($1:9)),))</f>
        <v>#REF!</v>
      </c>
      <c r="E23" s="305" t="e">
        <f ca="1">IF(ROWS($1:9)&gt;COUNT(Dong5),"",IF(OFFSET(TH!N$1,SMALL(Dong5,ROWS($1:9)),)=$E$7,OFFSET(TH!O$1,SMALL(Dong5,ROWS($1:9)),),OFFSET(TH!N$1,SMALL(Dong5,ROWS($1:9)),)))</f>
        <v>#REF!</v>
      </c>
      <c r="F23" s="361" t="e">
        <f ca="1">IF(ROWS($1:9)&gt;COUNT(Dong5),0,IF(OFFSET(TH!N$1,SMALL(Dong5,ROWS($1:9)),)=$E$7,OFFSET(TH!M$1,SMALL(Dong5,ROWS($1:9)),),0))</f>
        <v>#REF!</v>
      </c>
      <c r="G23" s="359" t="e">
        <f ca="1">IF(ROWS($1:9)&gt;COUNT(Dong5),0,IF(OFFSET(TH!O$1,SMALL(Dong5,ROWS($1:9)),)=$E$7,OFFSET(TH!M$1,SMALL(Dong5,ROWS($1:9)),),0))</f>
        <v>#REF!</v>
      </c>
      <c r="H23" s="362" t="e">
        <f t="shared" ca="1" si="2"/>
        <v>#REF!</v>
      </c>
      <c r="I23" s="362" t="e">
        <f t="shared" ca="1" si="3"/>
        <v>#REF!</v>
      </c>
    </row>
    <row r="24" spans="1:9" ht="18" customHeight="1">
      <c r="A24" s="305" t="e">
        <f ca="1">IF(ROWS($1:10)&gt;COUNT(Dong5),"",OFFSET(TH!C$1,SMALL(Dong5,ROWS($1:10)),))</f>
        <v>#REF!</v>
      </c>
      <c r="B24" s="305" t="e">
        <f ca="1">IF(ROWS($1:10)&gt;COUNT(Dong5),"",OFFSET(TH!D$1,SMALL(Dong5,ROWS($1:10)),))</f>
        <v>#REF!</v>
      </c>
      <c r="C24" s="305" t="e">
        <f ca="1">IF(ROWS($1:10)&gt;COUNT(Dong5),"",OFFSET(TH!E$1,SMALL(Dong5,ROWS($1:10)),))</f>
        <v>#REF!</v>
      </c>
      <c r="D24" s="360" t="e">
        <f ca="1">IF(ROWS($1:10)&gt;COUNT(Dong5),"",OFFSET(TH!F$1,SMALL(Dong5,ROWS($1:10)),))</f>
        <v>#REF!</v>
      </c>
      <c r="E24" s="305" t="e">
        <f ca="1">IF(ROWS($1:10)&gt;COUNT(Dong5),"",IF(OFFSET(TH!N$1,SMALL(Dong5,ROWS($1:10)),)=$E$7,OFFSET(TH!O$1,SMALL(Dong5,ROWS($1:10)),),OFFSET(TH!N$1,SMALL(Dong5,ROWS($1:10)),)))</f>
        <v>#REF!</v>
      </c>
      <c r="F24" s="361" t="e">
        <f ca="1">IF(ROWS($1:10)&gt;COUNT(Dong5),0,IF(OFFSET(TH!N$1,SMALL(Dong5,ROWS($1:10)),)=$E$7,OFFSET(TH!M$1,SMALL(Dong5,ROWS($1:10)),),0))</f>
        <v>#REF!</v>
      </c>
      <c r="G24" s="359" t="e">
        <f ca="1">IF(ROWS($1:10)&gt;COUNT(Dong5),0,IF(OFFSET(TH!O$1,SMALL(Dong5,ROWS($1:10)),)=$E$7,OFFSET(TH!M$1,SMALL(Dong5,ROWS($1:10)),),0))</f>
        <v>#REF!</v>
      </c>
      <c r="H24" s="362" t="e">
        <f t="shared" ca="1" si="2"/>
        <v>#REF!</v>
      </c>
      <c r="I24" s="362" t="e">
        <f t="shared" ca="1" si="3"/>
        <v>#REF!</v>
      </c>
    </row>
    <row r="25" spans="1:9" ht="18" customHeight="1">
      <c r="A25" s="305" t="e">
        <f ca="1">IF(ROWS($1:11)&gt;COUNT(Dong5),"",OFFSET(TH!C$1,SMALL(Dong5,ROWS($1:11)),))</f>
        <v>#REF!</v>
      </c>
      <c r="B25" s="305" t="e">
        <f ca="1">IF(ROWS($1:11)&gt;COUNT(Dong5),"",OFFSET(TH!D$1,SMALL(Dong5,ROWS($1:11)),))</f>
        <v>#REF!</v>
      </c>
      <c r="C25" s="305" t="e">
        <f ca="1">IF(ROWS($1:11)&gt;COUNT(Dong5),"",OFFSET(TH!E$1,SMALL(Dong5,ROWS($1:11)),))</f>
        <v>#REF!</v>
      </c>
      <c r="D25" s="360" t="e">
        <f ca="1">IF(ROWS($1:11)&gt;COUNT(Dong5),"",OFFSET(TH!F$1,SMALL(Dong5,ROWS($1:11)),))</f>
        <v>#REF!</v>
      </c>
      <c r="E25" s="305" t="e">
        <f ca="1">IF(ROWS($1:11)&gt;COUNT(Dong5),"",IF(OFFSET(TH!N$1,SMALL(Dong5,ROWS($1:11)),)=$E$7,OFFSET(TH!O$1,SMALL(Dong5,ROWS($1:11)),),OFFSET(TH!N$1,SMALL(Dong5,ROWS($1:11)),)))</f>
        <v>#REF!</v>
      </c>
      <c r="F25" s="361" t="e">
        <f ca="1">IF(ROWS($1:11)&gt;COUNT(Dong5),0,IF(OFFSET(TH!N$1,SMALL(Dong5,ROWS($1:11)),)=$E$7,OFFSET(TH!M$1,SMALL(Dong5,ROWS($1:11)),),0))</f>
        <v>#REF!</v>
      </c>
      <c r="G25" s="359" t="e">
        <f ca="1">IF(ROWS($1:11)&gt;COUNT(Dong5),0,IF(OFFSET(TH!O$1,SMALL(Dong5,ROWS($1:11)),)=$E$7,OFFSET(TH!M$1,SMALL(Dong5,ROWS($1:11)),),0))</f>
        <v>#REF!</v>
      </c>
      <c r="H25" s="362" t="e">
        <f t="shared" ca="1" si="2"/>
        <v>#REF!</v>
      </c>
      <c r="I25" s="362" t="e">
        <f t="shared" ca="1" si="3"/>
        <v>#REF!</v>
      </c>
    </row>
    <row r="26" spans="1:9" ht="18" customHeight="1">
      <c r="A26" s="305" t="e">
        <f ca="1">IF(ROWS($1:12)&gt;COUNT(Dong5),"",OFFSET(TH!C$1,SMALL(Dong5,ROWS($1:12)),))</f>
        <v>#REF!</v>
      </c>
      <c r="B26" s="305" t="e">
        <f ca="1">IF(ROWS($1:12)&gt;COUNT(Dong5),"",OFFSET(TH!D$1,SMALL(Dong5,ROWS($1:12)),))</f>
        <v>#REF!</v>
      </c>
      <c r="C26" s="305" t="e">
        <f ca="1">IF(ROWS($1:12)&gt;COUNT(Dong5),"",OFFSET(TH!E$1,SMALL(Dong5,ROWS($1:12)),))</f>
        <v>#REF!</v>
      </c>
      <c r="D26" s="360" t="e">
        <f ca="1">IF(ROWS($1:12)&gt;COUNT(Dong5),"",OFFSET(TH!F$1,SMALL(Dong5,ROWS($1:12)),))</f>
        <v>#REF!</v>
      </c>
      <c r="E26" s="305" t="e">
        <f ca="1">IF(ROWS($1:12)&gt;COUNT(Dong5),"",IF(OFFSET(TH!N$1,SMALL(Dong5,ROWS($1:12)),)=$E$7,OFFSET(TH!O$1,SMALL(Dong5,ROWS($1:12)),),OFFSET(TH!N$1,SMALL(Dong5,ROWS($1:12)),)))</f>
        <v>#REF!</v>
      </c>
      <c r="F26" s="361" t="e">
        <f ca="1">IF(ROWS($1:12)&gt;COUNT(Dong5),0,IF(OFFSET(TH!N$1,SMALL(Dong5,ROWS($1:12)),)=$E$7,OFFSET(TH!M$1,SMALL(Dong5,ROWS($1:12)),),0))</f>
        <v>#REF!</v>
      </c>
      <c r="G26" s="359" t="e">
        <f ca="1">IF(ROWS($1:12)&gt;COUNT(Dong5),0,IF(OFFSET(TH!O$1,SMALL(Dong5,ROWS($1:12)),)=$E$7,OFFSET(TH!M$1,SMALL(Dong5,ROWS($1:12)),),0))</f>
        <v>#REF!</v>
      </c>
      <c r="H26" s="362" t="e">
        <f t="shared" ca="1" si="0"/>
        <v>#REF!</v>
      </c>
      <c r="I26" s="362" t="e">
        <f t="shared" ca="1" si="1"/>
        <v>#REF!</v>
      </c>
    </row>
    <row r="27" spans="1:9" ht="18" customHeight="1">
      <c r="A27" s="305" t="e">
        <f ca="1">IF(ROWS($1:13)&gt;COUNT(Dong5),"",OFFSET(TH!C$1,SMALL(Dong5,ROWS($1:13)),))</f>
        <v>#REF!</v>
      </c>
      <c r="B27" s="305" t="e">
        <f ca="1">IF(ROWS($1:13)&gt;COUNT(Dong5),"",OFFSET(TH!D$1,SMALL(Dong5,ROWS($1:13)),))</f>
        <v>#REF!</v>
      </c>
      <c r="C27" s="305" t="e">
        <f ca="1">IF(ROWS($1:13)&gt;COUNT(Dong5),"",OFFSET(TH!E$1,SMALL(Dong5,ROWS($1:13)),))</f>
        <v>#REF!</v>
      </c>
      <c r="D27" s="360" t="e">
        <f ca="1">IF(ROWS($1:13)&gt;COUNT(Dong5),"",OFFSET(TH!F$1,SMALL(Dong5,ROWS($1:13)),))</f>
        <v>#REF!</v>
      </c>
      <c r="E27" s="305" t="e">
        <f ca="1">IF(ROWS($1:13)&gt;COUNT(Dong5),"",IF(OFFSET(TH!N$1,SMALL(Dong5,ROWS($1:13)),)=$E$7,OFFSET(TH!O$1,SMALL(Dong5,ROWS($1:13)),),OFFSET(TH!N$1,SMALL(Dong5,ROWS($1:13)),)))</f>
        <v>#REF!</v>
      </c>
      <c r="F27" s="361" t="e">
        <f ca="1">IF(ROWS($1:13)&gt;COUNT(Dong5),0,IF(OFFSET(TH!N$1,SMALL(Dong5,ROWS($1:13)),)=$E$7,OFFSET(TH!M$1,SMALL(Dong5,ROWS($1:13)),),0))</f>
        <v>#REF!</v>
      </c>
      <c r="G27" s="359" t="e">
        <f ca="1">IF(ROWS($1:13)&gt;COUNT(Dong5),0,IF(OFFSET(TH!O$1,SMALL(Dong5,ROWS($1:13)),)=$E$7,OFFSET(TH!M$1,SMALL(Dong5,ROWS($1:13)),),0))</f>
        <v>#REF!</v>
      </c>
      <c r="H27" s="362" t="e">
        <f t="shared" ca="1" si="0"/>
        <v>#REF!</v>
      </c>
      <c r="I27" s="362" t="e">
        <f t="shared" ca="1" si="1"/>
        <v>#REF!</v>
      </c>
    </row>
    <row r="28" spans="1:9" ht="18" customHeight="1">
      <c r="A28" s="305" t="e">
        <f ca="1">IF(ROWS($1:14)&gt;COUNT(Dong5),"",OFFSET(TH!C$1,SMALL(Dong5,ROWS($1:14)),))</f>
        <v>#REF!</v>
      </c>
      <c r="B28" s="305" t="e">
        <f ca="1">IF(ROWS($1:14)&gt;COUNT(Dong5),"",OFFSET(TH!D$1,SMALL(Dong5,ROWS($1:14)),))</f>
        <v>#REF!</v>
      </c>
      <c r="C28" s="305" t="e">
        <f ca="1">IF(ROWS($1:14)&gt;COUNT(Dong5),"",OFFSET(TH!E$1,SMALL(Dong5,ROWS($1:14)),))</f>
        <v>#REF!</v>
      </c>
      <c r="D28" s="360" t="e">
        <f ca="1">IF(ROWS($1:14)&gt;COUNT(Dong5),"",OFFSET(TH!F$1,SMALL(Dong5,ROWS($1:14)),))</f>
        <v>#REF!</v>
      </c>
      <c r="E28" s="305" t="e">
        <f ca="1">IF(ROWS($1:14)&gt;COUNT(Dong5),"",IF(OFFSET(TH!N$1,SMALL(Dong5,ROWS($1:14)),)=$E$7,OFFSET(TH!O$1,SMALL(Dong5,ROWS($1:14)),),OFFSET(TH!N$1,SMALL(Dong5,ROWS($1:14)),)))</f>
        <v>#REF!</v>
      </c>
      <c r="F28" s="361" t="e">
        <f ca="1">IF(ROWS($1:14)&gt;COUNT(Dong5),0,IF(OFFSET(TH!N$1,SMALL(Dong5,ROWS($1:14)),)=$E$7,OFFSET(TH!M$1,SMALL(Dong5,ROWS($1:14)),),0))</f>
        <v>#REF!</v>
      </c>
      <c r="G28" s="359" t="e">
        <f ca="1">IF(ROWS($1:14)&gt;COUNT(Dong5),0,IF(OFFSET(TH!O$1,SMALL(Dong5,ROWS($1:14)),)=$E$7,OFFSET(TH!M$1,SMALL(Dong5,ROWS($1:14)),),0))</f>
        <v>#REF!</v>
      </c>
      <c r="H28" s="362" t="e">
        <f t="shared" ca="1" si="0"/>
        <v>#REF!</v>
      </c>
      <c r="I28" s="362" t="e">
        <f t="shared" ca="1" si="1"/>
        <v>#REF!</v>
      </c>
    </row>
    <row r="29" spans="1:9" ht="18" customHeight="1">
      <c r="A29" s="305" t="e">
        <f ca="1">IF(ROWS($1:15)&gt;COUNT(Dong5),"",OFFSET(TH!C$1,SMALL(Dong5,ROWS($1:15)),))</f>
        <v>#REF!</v>
      </c>
      <c r="B29" s="305" t="e">
        <f ca="1">IF(ROWS($1:15)&gt;COUNT(Dong5),"",OFFSET(TH!D$1,SMALL(Dong5,ROWS($1:15)),))</f>
        <v>#REF!</v>
      </c>
      <c r="C29" s="305" t="e">
        <f ca="1">IF(ROWS($1:15)&gt;COUNT(Dong5),"",OFFSET(TH!E$1,SMALL(Dong5,ROWS($1:15)),))</f>
        <v>#REF!</v>
      </c>
      <c r="D29" s="360" t="e">
        <f ca="1">IF(ROWS($1:15)&gt;COUNT(Dong5),"",OFFSET(TH!F$1,SMALL(Dong5,ROWS($1:15)),))</f>
        <v>#REF!</v>
      </c>
      <c r="E29" s="305" t="e">
        <f ca="1">IF(ROWS($1:15)&gt;COUNT(Dong5),"",IF(OFFSET(TH!N$1,SMALL(Dong5,ROWS($1:15)),)=$E$7,OFFSET(TH!O$1,SMALL(Dong5,ROWS($1:15)),),OFFSET(TH!N$1,SMALL(Dong5,ROWS($1:15)),)))</f>
        <v>#REF!</v>
      </c>
      <c r="F29" s="361" t="e">
        <f ca="1">IF(ROWS($1:15)&gt;COUNT(Dong5),0,IF(OFFSET(TH!N$1,SMALL(Dong5,ROWS($1:15)),)=$E$7,OFFSET(TH!M$1,SMALL(Dong5,ROWS($1:15)),),0))</f>
        <v>#REF!</v>
      </c>
      <c r="G29" s="359" t="e">
        <f ca="1">IF(ROWS($1:15)&gt;COUNT(Dong5),0,IF(OFFSET(TH!O$1,SMALL(Dong5,ROWS($1:15)),)=$E$7,OFFSET(TH!M$1,SMALL(Dong5,ROWS($1:15)),),0))</f>
        <v>#REF!</v>
      </c>
      <c r="H29" s="362" t="e">
        <f t="shared" ca="1" si="0"/>
        <v>#REF!</v>
      </c>
      <c r="I29" s="362" t="e">
        <f t="shared" ca="1" si="1"/>
        <v>#REF!</v>
      </c>
    </row>
    <row r="30" spans="1:9" ht="18" customHeight="1">
      <c r="A30" s="305" t="e">
        <f ca="1">IF(ROWS($1:16)&gt;COUNT(Dong5),"",OFFSET(TH!C$1,SMALL(Dong5,ROWS($1:16)),))</f>
        <v>#REF!</v>
      </c>
      <c r="B30" s="305" t="e">
        <f ca="1">IF(ROWS($1:16)&gt;COUNT(Dong5),"",OFFSET(TH!D$1,SMALL(Dong5,ROWS($1:16)),))</f>
        <v>#REF!</v>
      </c>
      <c r="C30" s="305" t="e">
        <f ca="1">IF(ROWS($1:16)&gt;COUNT(Dong5),"",OFFSET(TH!E$1,SMALL(Dong5,ROWS($1:16)),))</f>
        <v>#REF!</v>
      </c>
      <c r="D30" s="360" t="e">
        <f ca="1">IF(ROWS($1:16)&gt;COUNT(Dong5),"",OFFSET(TH!F$1,SMALL(Dong5,ROWS($1:16)),))</f>
        <v>#REF!</v>
      </c>
      <c r="E30" s="305" t="e">
        <f ca="1">IF(ROWS($1:16)&gt;COUNT(Dong5),"",IF(OFFSET(TH!N$1,SMALL(Dong5,ROWS($1:16)),)=$E$7,OFFSET(TH!O$1,SMALL(Dong5,ROWS($1:16)),),OFFSET(TH!N$1,SMALL(Dong5,ROWS($1:16)),)))</f>
        <v>#REF!</v>
      </c>
      <c r="F30" s="361" t="e">
        <f ca="1">IF(ROWS($1:16)&gt;COUNT(Dong5),0,IF(OFFSET(TH!N$1,SMALL(Dong5,ROWS($1:16)),)=$E$7,OFFSET(TH!M$1,SMALL(Dong5,ROWS($1:16)),),0))</f>
        <v>#REF!</v>
      </c>
      <c r="G30" s="359" t="e">
        <f ca="1">IF(ROWS($1:16)&gt;COUNT(Dong5),0,IF(OFFSET(TH!O$1,SMALL(Dong5,ROWS($1:16)),)=$E$7,OFFSET(TH!M$1,SMALL(Dong5,ROWS($1:16)),),0))</f>
        <v>#REF!</v>
      </c>
      <c r="H30" s="362" t="e">
        <f t="shared" ca="1" si="0"/>
        <v>#REF!</v>
      </c>
      <c r="I30" s="362" t="e">
        <f t="shared" ca="1" si="1"/>
        <v>#REF!</v>
      </c>
    </row>
    <row r="31" spans="1:9" ht="18" customHeight="1">
      <c r="A31" s="305"/>
      <c r="B31" s="305"/>
      <c r="C31" s="305"/>
      <c r="D31" s="360"/>
      <c r="E31" s="305"/>
      <c r="F31" s="361"/>
      <c r="G31" s="359"/>
      <c r="H31" s="362"/>
      <c r="I31" s="362"/>
    </row>
    <row r="32" spans="1:9" ht="18" customHeight="1">
      <c r="A32" s="305"/>
      <c r="B32" s="306"/>
      <c r="C32" s="305"/>
      <c r="D32" s="349" t="s">
        <v>157</v>
      </c>
      <c r="E32" s="306" t="s">
        <v>21</v>
      </c>
      <c r="F32" s="363" t="e">
        <f ca="1">SUM(F15:F31)</f>
        <v>#REF!</v>
      </c>
      <c r="G32" s="363" t="e">
        <f ca="1">SUM(G15:G31)</f>
        <v>#REF!</v>
      </c>
      <c r="H32" s="363" t="s">
        <v>21</v>
      </c>
      <c r="I32" s="363" t="s">
        <v>21</v>
      </c>
    </row>
    <row r="33" spans="1:9" ht="18" customHeight="1">
      <c r="A33" s="364"/>
      <c r="B33" s="354"/>
      <c r="C33" s="364"/>
      <c r="D33" s="353" t="s">
        <v>10</v>
      </c>
      <c r="E33" s="354" t="s">
        <v>21</v>
      </c>
      <c r="F33" s="365" t="s">
        <v>21</v>
      </c>
      <c r="G33" s="365" t="s">
        <v>21</v>
      </c>
      <c r="H33" s="366" t="e">
        <f ca="1">MAX(H14+F32-G32-I14,0)</f>
        <v>#REF!</v>
      </c>
      <c r="I33" s="366" t="e">
        <f ca="1">MAX(I14+G32-F32-H14,0)</f>
        <v>#REF!</v>
      </c>
    </row>
    <row r="34" spans="1:9" ht="9.75" customHeight="1">
      <c r="A34" s="317"/>
      <c r="B34" s="317"/>
      <c r="C34" s="317"/>
      <c r="D34" s="18"/>
      <c r="E34" s="317"/>
      <c r="F34" s="18"/>
      <c r="G34" s="18"/>
      <c r="H34" s="18"/>
      <c r="I34" s="18"/>
    </row>
    <row r="35" spans="1:9">
      <c r="A35" s="317"/>
      <c r="B35" s="317"/>
      <c r="C35" s="367" t="s">
        <v>247</v>
      </c>
      <c r="D35" s="18"/>
      <c r="E35" s="317"/>
      <c r="F35" s="18"/>
      <c r="G35" s="18"/>
      <c r="H35" s="18"/>
      <c r="I35" s="18"/>
    </row>
    <row r="36" spans="1:9">
      <c r="A36" s="317"/>
      <c r="B36" s="317"/>
      <c r="C36" s="28" t="s">
        <v>185</v>
      </c>
      <c r="D36" s="18"/>
      <c r="E36" s="317"/>
      <c r="F36" s="18"/>
      <c r="G36" s="18"/>
      <c r="H36" s="18"/>
      <c r="I36" s="18"/>
    </row>
    <row r="37" spans="1:9" ht="13.5" customHeight="1">
      <c r="A37" s="317"/>
      <c r="B37" s="317"/>
      <c r="C37" s="317"/>
      <c r="D37" s="18"/>
      <c r="E37" s="1420" t="s">
        <v>186</v>
      </c>
      <c r="F37" s="1420"/>
      <c r="G37" s="1420"/>
      <c r="H37" s="1420"/>
      <c r="I37" s="1420"/>
    </row>
    <row r="38" spans="1:9">
      <c r="A38" s="1420" t="s">
        <v>11</v>
      </c>
      <c r="B38" s="1420"/>
      <c r="C38" s="1420"/>
      <c r="D38" s="1420"/>
      <c r="E38" s="1420" t="s">
        <v>12</v>
      </c>
      <c r="F38" s="1420"/>
      <c r="G38" s="1420"/>
      <c r="H38" s="1420"/>
      <c r="I38" s="1420"/>
    </row>
    <row r="39" spans="1:9">
      <c r="A39" s="1420" t="s">
        <v>13</v>
      </c>
      <c r="B39" s="1420"/>
      <c r="C39" s="1420"/>
      <c r="D39" s="1420"/>
      <c r="E39" s="1420" t="s">
        <v>13</v>
      </c>
      <c r="F39" s="1420"/>
      <c r="G39" s="1420"/>
      <c r="H39" s="1420"/>
      <c r="I39" s="1420"/>
    </row>
    <row r="40" spans="1:9">
      <c r="A40" s="317"/>
      <c r="B40" s="317"/>
      <c r="C40" s="317"/>
      <c r="D40" s="18"/>
      <c r="E40" s="317"/>
      <c r="F40" s="18"/>
      <c r="G40" s="18"/>
      <c r="H40" s="18"/>
      <c r="I40" s="18"/>
    </row>
  </sheetData>
  <autoFilter ref="A14:J33"/>
  <sortState ref="A15:I631">
    <sortCondition ref="A15:A631"/>
  </sortState>
  <mergeCells count="17">
    <mergeCell ref="A38:D38"/>
    <mergeCell ref="E38:I38"/>
    <mergeCell ref="A39:D39"/>
    <mergeCell ref="E39:I39"/>
    <mergeCell ref="E37:I37"/>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L193"/>
  <sheetViews>
    <sheetView topLeftCell="A10" zoomScale="90" workbookViewId="0">
      <pane ySplit="4" topLeftCell="A35" activePane="bottomLeft" state="frozen"/>
      <selection activeCell="P41" sqref="P41"/>
      <selection pane="bottomLeft" activeCell="L11" sqref="L11"/>
    </sheetView>
  </sheetViews>
  <sheetFormatPr defaultRowHeight="12.75"/>
  <cols>
    <col min="1" max="2" width="8.7109375" customWidth="1"/>
    <col min="3" max="4" width="6.5703125" customWidth="1"/>
    <col min="5" max="5" width="34.5703125" customWidth="1"/>
    <col min="6" max="6" width="6.28515625" customWidth="1"/>
    <col min="7" max="7" width="16.28515625" customWidth="1"/>
    <col min="8" max="8" width="14.42578125" customWidth="1"/>
    <col min="9" max="9" width="15.7109375" customWidth="1"/>
    <col min="10" max="10" width="6.28515625" customWidth="1"/>
    <col min="11" max="11" width="2.140625" customWidth="1"/>
    <col min="12" max="12" width="10" customWidth="1"/>
    <col min="13" max="13" width="3.28515625" customWidth="1"/>
    <col min="14" max="14" width="9.140625" customWidth="1"/>
  </cols>
  <sheetData>
    <row r="1" spans="1:12" s="3" customFormat="1" ht="16.5" customHeight="1">
      <c r="A1" s="159" t="s">
        <v>137</v>
      </c>
      <c r="B1" s="2"/>
      <c r="C1" s="2"/>
      <c r="D1" s="2"/>
      <c r="E1" s="2"/>
      <c r="G1" s="1410" t="s">
        <v>142</v>
      </c>
      <c r="H1" s="1410"/>
      <c r="I1" s="1410"/>
      <c r="J1" s="1410"/>
    </row>
    <row r="2" spans="1:12" s="3" customFormat="1" ht="16.5" customHeight="1">
      <c r="A2" s="119" t="s">
        <v>138</v>
      </c>
      <c r="B2" s="16"/>
      <c r="C2" s="16"/>
      <c r="D2" s="16"/>
      <c r="E2" s="16"/>
      <c r="G2" s="1411" t="s">
        <v>143</v>
      </c>
      <c r="H2" s="1411"/>
      <c r="I2" s="1411"/>
      <c r="J2" s="1411"/>
    </row>
    <row r="3" spans="1:12" s="3" customFormat="1" ht="16.5" customHeight="1">
      <c r="A3" s="4"/>
      <c r="B3" s="16"/>
      <c r="C3" s="133"/>
      <c r="D3" s="133"/>
      <c r="E3" s="16"/>
      <c r="G3" s="1411"/>
      <c r="H3" s="1411"/>
      <c r="I3" s="1411"/>
      <c r="J3" s="1411"/>
    </row>
    <row r="4" spans="1:12" s="3" customFormat="1" ht="6.75" customHeight="1">
      <c r="A4" s="16"/>
      <c r="B4" s="16"/>
      <c r="C4" s="16"/>
      <c r="D4" s="16"/>
      <c r="E4" s="16"/>
      <c r="G4" s="134"/>
      <c r="H4" s="134"/>
      <c r="I4" s="134"/>
      <c r="J4" s="134"/>
    </row>
    <row r="5" spans="1:12" s="135" customFormat="1" ht="24.75" customHeight="1">
      <c r="A5" s="1424" t="s">
        <v>144</v>
      </c>
      <c r="B5" s="1424"/>
      <c r="C5" s="1424"/>
      <c r="D5" s="1424"/>
      <c r="E5" s="1424"/>
      <c r="F5" s="1424"/>
      <c r="G5" s="1424"/>
      <c r="H5" s="1424"/>
      <c r="I5" s="1424"/>
      <c r="J5" s="1424"/>
    </row>
    <row r="6" spans="1:12" s="135" customFormat="1" ht="14.25" customHeight="1">
      <c r="A6" s="1426" t="str">
        <f>$L$11&amp;" / 2015"</f>
        <v>12 / 2015</v>
      </c>
      <c r="B6" s="1426"/>
      <c r="C6" s="1426"/>
      <c r="D6" s="1426"/>
      <c r="E6" s="1426"/>
      <c r="F6" s="1426"/>
      <c r="G6" s="1426"/>
      <c r="H6" s="1426"/>
      <c r="I6" s="1426"/>
      <c r="J6" s="1426"/>
    </row>
    <row r="7" spans="1:12" s="135" customFormat="1" ht="15">
      <c r="A7" s="1425" t="s">
        <v>145</v>
      </c>
      <c r="B7" s="1425"/>
      <c r="C7" s="1425"/>
      <c r="D7" s="1425"/>
      <c r="E7" s="1425"/>
      <c r="F7" s="1425"/>
      <c r="G7" s="1425"/>
      <c r="H7" s="1425"/>
      <c r="I7" s="1425"/>
      <c r="J7" s="1425"/>
    </row>
    <row r="8" spans="1:12" s="135" customFormat="1" ht="15">
      <c r="A8" s="1425" t="s">
        <v>146</v>
      </c>
      <c r="B8" s="1425"/>
      <c r="C8" s="1425"/>
      <c r="D8" s="1425"/>
      <c r="E8" s="1425"/>
      <c r="F8" s="1425"/>
      <c r="G8" s="1425"/>
      <c r="H8" s="1425"/>
      <c r="I8" s="1425"/>
      <c r="J8" s="1425"/>
    </row>
    <row r="9" spans="1:12" s="135" customFormat="1" ht="15">
      <c r="A9" s="136"/>
      <c r="I9" s="136" t="s">
        <v>147</v>
      </c>
    </row>
    <row r="10" spans="1:12" s="135" customFormat="1" ht="33" customHeight="1" thickBot="1">
      <c r="A10" s="1422" t="s">
        <v>22</v>
      </c>
      <c r="B10" s="1422" t="s">
        <v>148</v>
      </c>
      <c r="C10" s="1421" t="s">
        <v>149</v>
      </c>
      <c r="D10" s="1421"/>
      <c r="E10" s="1421" t="s">
        <v>0</v>
      </c>
      <c r="F10" s="1422" t="s">
        <v>16</v>
      </c>
      <c r="G10" s="1421" t="s">
        <v>23</v>
      </c>
      <c r="H10" s="1421"/>
      <c r="I10" s="1421" t="s">
        <v>150</v>
      </c>
      <c r="J10" s="1421" t="s">
        <v>151</v>
      </c>
      <c r="L10" s="160"/>
    </row>
    <row r="11" spans="1:12" s="135" customFormat="1" ht="24" customHeight="1" thickBot="1">
      <c r="A11" s="1423"/>
      <c r="B11" s="1423"/>
      <c r="C11" s="137" t="s">
        <v>152</v>
      </c>
      <c r="D11" s="137" t="s">
        <v>153</v>
      </c>
      <c r="E11" s="1421"/>
      <c r="F11" s="1423"/>
      <c r="G11" s="137" t="s">
        <v>24</v>
      </c>
      <c r="H11" s="137" t="s">
        <v>25</v>
      </c>
      <c r="I11" s="1421"/>
      <c r="J11" s="1421"/>
      <c r="L11" s="201">
        <v>12</v>
      </c>
    </row>
    <row r="12" spans="1:12" s="138" customFormat="1" ht="11.25" customHeight="1">
      <c r="A12" s="139" t="s">
        <v>2</v>
      </c>
      <c r="B12" s="139" t="s">
        <v>3</v>
      </c>
      <c r="C12" s="139" t="s">
        <v>4</v>
      </c>
      <c r="D12" s="139" t="s">
        <v>5</v>
      </c>
      <c r="E12" s="139" t="s">
        <v>6</v>
      </c>
      <c r="F12" s="139" t="s">
        <v>154</v>
      </c>
      <c r="G12" s="139">
        <v>1</v>
      </c>
      <c r="H12" s="139">
        <v>2</v>
      </c>
      <c r="I12" s="139">
        <v>3</v>
      </c>
      <c r="J12" s="139" t="s">
        <v>155</v>
      </c>
    </row>
    <row r="13" spans="1:12" s="140" customFormat="1" ht="19.5" customHeight="1">
      <c r="A13" s="141"/>
      <c r="B13" s="141"/>
      <c r="C13" s="141"/>
      <c r="D13" s="141"/>
      <c r="E13" s="141" t="s">
        <v>156</v>
      </c>
      <c r="F13" s="142"/>
      <c r="G13" s="143"/>
      <c r="H13" s="141"/>
      <c r="I13" s="161">
        <f>IF($L$11="All",CDPS!$C$10,CDPS!$C$10+SUMIF(_N111,"x",TH)-SUMIF(_C111,"x",TH))</f>
        <v>14282406440</v>
      </c>
      <c r="J13" s="141"/>
    </row>
    <row r="14" spans="1:12" s="135" customFormat="1" ht="19.5" customHeight="1">
      <c r="A14" s="144">
        <f ca="1">IF(ROWS($1:1)&gt;COUNT(Dong1),"",OFFSET(TH!C$1,SMALL(Dong1,ROWS($1:1)),))</f>
        <v>43070</v>
      </c>
      <c r="B14" s="144">
        <f ca="1">IF(ROWS($1:1)&gt;COUNT(Dong1),"",OFFSET(TH!E$1,SMALL(Dong1,ROWS($1:1)),))</f>
        <v>43070</v>
      </c>
      <c r="C14" s="145" t="str">
        <f ca="1">IF(ROWS($1:1)&gt;COUNT(Dong1),"",IF(OFFSET(TH!N$1,SMALL(Dong1,ROWS($1:1)),)="1111",OFFSET(TH!D$1,SMALL(Dong1,ROWS($1:1)),),""))</f>
        <v/>
      </c>
      <c r="D14" s="146">
        <f ca="1">IF(ROWS($1:1)&gt;COUNT(Dong1),"",IF(OFFSET(TH!O$1,SMALL(Dong1,ROWS($1:1)),)="1111",OFFSET(TH!D$1,SMALL(Dong1,ROWS($1:1)),),""))</f>
        <v>0</v>
      </c>
      <c r="E14" s="331" t="str">
        <f ca="1">IF(ROWS($1:1)&gt;COUNT(Dong1),"",OFFSET(TH!F$1,SMALL(Dong1,ROWS($1:1)),))</f>
        <v>Tạm ứng mua NL</v>
      </c>
      <c r="F14" s="148" t="str">
        <f ca="1">IF(ROWS($1:1)&gt;COUNT(Dong1),"",IF(OFFSET(TH!O$1,SMALL(Dong1,ROWS($1:1)),)="1111",OFFSET(TH!N$1,SMALL(Dong1,ROWS($1:1)),),OFFSET(TH!O$1,SMALL(Dong1,ROWS($1:1)),)))</f>
        <v>141</v>
      </c>
      <c r="G14" s="149">
        <f ca="1">IF(ROWS($1:1)&gt;COUNT(Dong1),"",IF(OFFSET(TH!N$1,SMALL(Dong1,ROWS($1:1)),)="1111",OFFSET(TH!M$1,SMALL(Dong1,ROWS($1:1)),),0))</f>
        <v>0</v>
      </c>
      <c r="H14" s="147">
        <f ca="1">IF(ROWS($1:1)&gt;COUNT(Dong1),"",IF(OFFSET(TH!O$1,SMALL(Dong1,ROWS($1:1)),)="1111",OFFSET(TH!M$1,SMALL(Dong1,ROWS($1:1)),),0))</f>
        <v>3100000000</v>
      </c>
      <c r="I14" s="145">
        <f t="shared" ref="I14:I29" ca="1" si="0">IF(E14&lt;&gt;"",I13+G14-H14,0)</f>
        <v>11182406440</v>
      </c>
      <c r="J14" s="150"/>
    </row>
    <row r="15" spans="1:12" s="135" customFormat="1" ht="19.5" customHeight="1">
      <c r="A15" s="144">
        <f ca="1">IF(ROWS($1:2)&gt;COUNT(Dong1),"",OFFSET(TH!C$1,SMALL(Dong1,ROWS($1:2)),))</f>
        <v>43070</v>
      </c>
      <c r="B15" s="144">
        <f ca="1">IF(ROWS($1:2)&gt;COUNT(Dong1),"",OFFSET(TH!E$1,SMALL(Dong1,ROWS($1:2)),))</f>
        <v>43070</v>
      </c>
      <c r="C15" s="145" t="str">
        <f ca="1">IF(ROWS($1:2)&gt;COUNT(Dong1),"",IF(OFFSET(TH!N$1,SMALL(Dong1,ROWS($1:2)),)="1111",OFFSET(TH!D$1,SMALL(Dong1,ROWS($1:2)),),""))</f>
        <v/>
      </c>
      <c r="D15" s="146">
        <f ca="1">IF(ROWS($1:2)&gt;COUNT(Dong1),"",IF(OFFSET(TH!O$1,SMALL(Dong1,ROWS($1:2)),)="1111",OFFSET(TH!D$1,SMALL(Dong1,ROWS($1:2)),),""))</f>
        <v>0</v>
      </c>
      <c r="E15" s="331" t="str">
        <f ca="1">IF(ROWS($1:2)&gt;COUNT(Dong1),"",OFFSET(TH!F$1,SMALL(Dong1,ROWS($1:2)),))</f>
        <v>Tạm ứng mua NL</v>
      </c>
      <c r="F15" s="148" t="str">
        <f ca="1">IF(ROWS($1:2)&gt;COUNT(Dong1),"",IF(OFFSET(TH!O$1,SMALL(Dong1,ROWS($1:2)),)="1111",OFFSET(TH!N$1,SMALL(Dong1,ROWS($1:2)),),OFFSET(TH!O$1,SMALL(Dong1,ROWS($1:2)),)))</f>
        <v>141</v>
      </c>
      <c r="G15" s="149">
        <f ca="1">IF(ROWS($1:2)&gt;COUNT(Dong1),"",IF(OFFSET(TH!N$1,SMALL(Dong1,ROWS($1:2)),)="1111",OFFSET(TH!M$1,SMALL(Dong1,ROWS($1:2)),),0))</f>
        <v>0</v>
      </c>
      <c r="H15" s="147">
        <f ca="1">IF(ROWS($1:2)&gt;COUNT(Dong1),"",IF(OFFSET(TH!O$1,SMALL(Dong1,ROWS($1:2)),)="1111",OFFSET(TH!M$1,SMALL(Dong1,ROWS($1:2)),),0))</f>
        <v>3100000000</v>
      </c>
      <c r="I15" s="145">
        <f t="shared" ca="1" si="0"/>
        <v>8082406440</v>
      </c>
      <c r="J15" s="150"/>
    </row>
    <row r="16" spans="1:12" s="135" customFormat="1" ht="19.5" customHeight="1">
      <c r="A16" s="144">
        <f ca="1">IF(ROWS($1:3)&gt;COUNT(Dong1),"",OFFSET(TH!C$1,SMALL(Dong1,ROWS($1:3)),))</f>
        <v>43070</v>
      </c>
      <c r="B16" s="144">
        <f ca="1">IF(ROWS($1:3)&gt;COUNT(Dong1),"",OFFSET(TH!E$1,SMALL(Dong1,ROWS($1:3)),))</f>
        <v>43070</v>
      </c>
      <c r="C16" s="145" t="str">
        <f ca="1">IF(ROWS($1:3)&gt;COUNT(Dong1),"",IF(OFFSET(TH!N$1,SMALL(Dong1,ROWS($1:3)),)="1111",OFFSET(TH!D$1,SMALL(Dong1,ROWS($1:3)),),""))</f>
        <v>T01</v>
      </c>
      <c r="D16" s="146" t="str">
        <f ca="1">IF(ROWS($1:3)&gt;COUNT(Dong1),"",IF(OFFSET(TH!O$1,SMALL(Dong1,ROWS($1:3)),)="1111",OFFSET(TH!D$1,SMALL(Dong1,ROWS($1:3)),),""))</f>
        <v/>
      </c>
      <c r="E16" s="331" t="str">
        <f ca="1">IF(ROWS($1:3)&gt;COUNT(Dong1),"",OFFSET(TH!F$1,SMALL(Dong1,ROWS($1:3)),))</f>
        <v>Rút tiền gửi NH nhập quỹ TM</v>
      </c>
      <c r="F16" s="148" t="str">
        <f ca="1">IF(ROWS($1:3)&gt;COUNT(Dong1),"",IF(OFFSET(TH!O$1,SMALL(Dong1,ROWS($1:3)),)="1111",OFFSET(TH!N$1,SMALL(Dong1,ROWS($1:3)),),OFFSET(TH!O$1,SMALL(Dong1,ROWS($1:3)),)))</f>
        <v>1121</v>
      </c>
      <c r="G16" s="149">
        <f ca="1">IF(ROWS($1:3)&gt;COUNT(Dong1),"",IF(OFFSET(TH!N$1,SMALL(Dong1,ROWS($1:3)),)="1111",OFFSET(TH!M$1,SMALL(Dong1,ROWS($1:3)),),0))</f>
        <v>10500000000</v>
      </c>
      <c r="H16" s="147">
        <f ca="1">IF(ROWS($1:3)&gt;COUNT(Dong1),"",IF(OFFSET(TH!O$1,SMALL(Dong1,ROWS($1:3)),)="1111",OFFSET(TH!M$1,SMALL(Dong1,ROWS($1:3)),),0))</f>
        <v>0</v>
      </c>
      <c r="I16" s="145">
        <f t="shared" ca="1" si="0"/>
        <v>18582406440</v>
      </c>
      <c r="J16" s="150"/>
    </row>
    <row r="17" spans="1:10" s="135" customFormat="1" ht="19.5" customHeight="1">
      <c r="A17" s="144">
        <f ca="1">IF(ROWS($1:4)&gt;COUNT(Dong1),"",OFFSET(TH!C$1,SMALL(Dong1,ROWS($1:4)),))</f>
        <v>43070</v>
      </c>
      <c r="B17" s="144">
        <f ca="1">IF(ROWS($1:4)&gt;COUNT(Dong1),"",OFFSET(TH!E$1,SMALL(Dong1,ROWS($1:4)),))</f>
        <v>43070</v>
      </c>
      <c r="C17" s="145" t="str">
        <f ca="1">IF(ROWS($1:4)&gt;COUNT(Dong1),"",IF(OFFSET(TH!N$1,SMALL(Dong1,ROWS($1:4)),)="1111",OFFSET(TH!D$1,SMALL(Dong1,ROWS($1:4)),),""))</f>
        <v/>
      </c>
      <c r="D17" s="146" t="str">
        <f ca="1">IF(ROWS($1:4)&gt;COUNT(Dong1),"",IF(OFFSET(TH!O$1,SMALL(Dong1,ROWS($1:4)),)="1111",OFFSET(TH!D$1,SMALL(Dong1,ROWS($1:4)),),""))</f>
        <v>CHI</v>
      </c>
      <c r="E17" s="331" t="str">
        <f ca="1">IF(ROWS($1:4)&gt;COUNT(Dong1),"",OFFSET(TH!F$1,SMALL(Dong1,ROWS($1:4)),))</f>
        <v>Nộp tiền mặt vào TK</v>
      </c>
      <c r="F17" s="148" t="str">
        <f ca="1">IF(ROWS($1:4)&gt;COUNT(Dong1),"",IF(OFFSET(TH!O$1,SMALL(Dong1,ROWS($1:4)),)="1111",OFFSET(TH!N$1,SMALL(Dong1,ROWS($1:4)),),OFFSET(TH!O$1,SMALL(Dong1,ROWS($1:4)),)))</f>
        <v>1121</v>
      </c>
      <c r="G17" s="149">
        <f ca="1">IF(ROWS($1:4)&gt;COUNT(Dong1),"",IF(OFFSET(TH!N$1,SMALL(Dong1,ROWS($1:4)),)="1111",OFFSET(TH!M$1,SMALL(Dong1,ROWS($1:4)),),0))</f>
        <v>0</v>
      </c>
      <c r="H17" s="147">
        <f ca="1">IF(ROWS($1:4)&gt;COUNT(Dong1),"",IF(OFFSET(TH!O$1,SMALL(Dong1,ROWS($1:4)),)="1111",OFFSET(TH!M$1,SMALL(Dong1,ROWS($1:4)),),0))</f>
        <v>10450000000</v>
      </c>
      <c r="I17" s="145">
        <f t="shared" ca="1" si="0"/>
        <v>8132406440</v>
      </c>
      <c r="J17" s="150"/>
    </row>
    <row r="18" spans="1:10" s="135" customFormat="1" ht="19.5" customHeight="1">
      <c r="A18" s="144">
        <f ca="1">IF(ROWS($1:5)&gt;COUNT(Dong1),"",OFFSET(TH!C$1,SMALL(Dong1,ROWS($1:5)),))</f>
        <v>43070</v>
      </c>
      <c r="B18" s="144">
        <f ca="1">IF(ROWS($1:5)&gt;COUNT(Dong1),"",OFFSET(TH!E$1,SMALL(Dong1,ROWS($1:5)),))</f>
        <v>43070</v>
      </c>
      <c r="C18" s="145" t="str">
        <f ca="1">IF(ROWS($1:5)&gt;COUNT(Dong1),"",IF(OFFSET(TH!N$1,SMALL(Dong1,ROWS($1:5)),)="1111",OFFSET(TH!D$1,SMALL(Dong1,ROWS($1:5)),),""))</f>
        <v>T02</v>
      </c>
      <c r="D18" s="146" t="str">
        <f ca="1">IF(ROWS($1:5)&gt;COUNT(Dong1),"",IF(OFFSET(TH!O$1,SMALL(Dong1,ROWS($1:5)),)="1111",OFFSET(TH!D$1,SMALL(Dong1,ROWS($1:5)),),""))</f>
        <v/>
      </c>
      <c r="E18" s="331" t="str">
        <f ca="1">IF(ROWS($1:5)&gt;COUNT(Dong1),"",OFFSET(TH!F$1,SMALL(Dong1,ROWS($1:5)),))</f>
        <v>Rút tiền gửi NH nhập quỹ TM</v>
      </c>
      <c r="F18" s="148" t="str">
        <f ca="1">IF(ROWS($1:5)&gt;COUNT(Dong1),"",IF(OFFSET(TH!O$1,SMALL(Dong1,ROWS($1:5)),)="1111",OFFSET(TH!N$1,SMALL(Dong1,ROWS($1:5)),),OFFSET(TH!O$1,SMALL(Dong1,ROWS($1:5)),)))</f>
        <v>1121</v>
      </c>
      <c r="G18" s="149">
        <f ca="1">IF(ROWS($1:5)&gt;COUNT(Dong1),"",IF(OFFSET(TH!N$1,SMALL(Dong1,ROWS($1:5)),)="1111",OFFSET(TH!M$1,SMALL(Dong1,ROWS($1:5)),),0))</f>
        <v>2900000000</v>
      </c>
      <c r="H18" s="147">
        <f ca="1">IF(ROWS($1:5)&gt;COUNT(Dong1),"",IF(OFFSET(TH!O$1,SMALL(Dong1,ROWS($1:5)),)="1111",OFFSET(TH!M$1,SMALL(Dong1,ROWS($1:5)),),0))</f>
        <v>0</v>
      </c>
      <c r="I18" s="145">
        <f t="shared" ca="1" si="0"/>
        <v>11032406440</v>
      </c>
      <c r="J18" s="150"/>
    </row>
    <row r="19" spans="1:10" s="135" customFormat="1" ht="19.5" customHeight="1">
      <c r="A19" s="144">
        <f ca="1">IF(ROWS($1:6)&gt;COUNT(Dong1),"",OFFSET(TH!C$1,SMALL(Dong1,ROWS($1:6)),))</f>
        <v>43073</v>
      </c>
      <c r="B19" s="144">
        <f ca="1">IF(ROWS($1:6)&gt;COUNT(Dong1),"",OFFSET(TH!E$1,SMALL(Dong1,ROWS($1:6)),))</f>
        <v>43073</v>
      </c>
      <c r="C19" s="145" t="str">
        <f ca="1">IF(ROWS($1:6)&gt;COUNT(Dong1),"",IF(OFFSET(TH!N$1,SMALL(Dong1,ROWS($1:6)),)="1111",OFFSET(TH!D$1,SMALL(Dong1,ROWS($1:6)),),""))</f>
        <v/>
      </c>
      <c r="D19" s="146">
        <f ca="1">IF(ROWS($1:6)&gt;COUNT(Dong1),"",IF(OFFSET(TH!O$1,SMALL(Dong1,ROWS($1:6)),)="1111",OFFSET(TH!D$1,SMALL(Dong1,ROWS($1:6)),),""))</f>
        <v>0</v>
      </c>
      <c r="E19" s="331" t="str">
        <f ca="1">IF(ROWS($1:6)&gt;COUNT(Dong1),"",OFFSET(TH!F$1,SMALL(Dong1,ROWS($1:6)),))</f>
        <v>Gas R22</v>
      </c>
      <c r="F19" s="148" t="str">
        <f ca="1">IF(ROWS($1:6)&gt;COUNT(Dong1),"",IF(OFFSET(TH!O$1,SMALL(Dong1,ROWS($1:6)),)="1111",OFFSET(TH!N$1,SMALL(Dong1,ROWS($1:6)),),OFFSET(TH!O$1,SMALL(Dong1,ROWS($1:6)),)))</f>
        <v>642</v>
      </c>
      <c r="G19" s="149">
        <f ca="1">IF(ROWS($1:6)&gt;COUNT(Dong1),"",IF(OFFSET(TH!N$1,SMALL(Dong1,ROWS($1:6)),)="1111",OFFSET(TH!M$1,SMALL(Dong1,ROWS($1:6)),),0))</f>
        <v>0</v>
      </c>
      <c r="H19" s="147">
        <f ca="1">IF(ROWS($1:6)&gt;COUNT(Dong1),"",IF(OFFSET(TH!O$1,SMALL(Dong1,ROWS($1:6)),)="1111",OFFSET(TH!M$1,SMALL(Dong1,ROWS($1:6)),),0))</f>
        <v>2550000</v>
      </c>
      <c r="I19" s="145">
        <f t="shared" ca="1" si="0"/>
        <v>11029856440</v>
      </c>
      <c r="J19" s="150"/>
    </row>
    <row r="20" spans="1:10" s="135" customFormat="1" ht="19.5" customHeight="1">
      <c r="A20" s="144">
        <f ca="1">IF(ROWS($1:7)&gt;COUNT(Dong1),"",OFFSET(TH!C$1,SMALL(Dong1,ROWS($1:7)),))</f>
        <v>43073</v>
      </c>
      <c r="B20" s="144">
        <f ca="1">IF(ROWS($1:7)&gt;COUNT(Dong1),"",OFFSET(TH!E$1,SMALL(Dong1,ROWS($1:7)),))</f>
        <v>43073</v>
      </c>
      <c r="C20" s="145" t="str">
        <f ca="1">IF(ROWS($1:7)&gt;COUNT(Dong1),"",IF(OFFSET(TH!N$1,SMALL(Dong1,ROWS($1:7)),)="1111",OFFSET(TH!D$1,SMALL(Dong1,ROWS($1:7)),),""))</f>
        <v/>
      </c>
      <c r="D20" s="146">
        <f ca="1">IF(ROWS($1:7)&gt;COUNT(Dong1),"",IF(OFFSET(TH!O$1,SMALL(Dong1,ROWS($1:7)),)="1111",OFFSET(TH!D$1,SMALL(Dong1,ROWS($1:7)),),""))</f>
        <v>0</v>
      </c>
      <c r="E20" s="331" t="str">
        <f ca="1">IF(ROWS($1:7)&gt;COUNT(Dong1),"",OFFSET(TH!F$1,SMALL(Dong1,ROWS($1:7)),))</f>
        <v>Phí xuất khẩu</v>
      </c>
      <c r="F20" s="148" t="str">
        <f ca="1">IF(ROWS($1:7)&gt;COUNT(Dong1),"",IF(OFFSET(TH!O$1,SMALL(Dong1,ROWS($1:7)),)="1111",OFFSET(TH!N$1,SMALL(Dong1,ROWS($1:7)),),OFFSET(TH!O$1,SMALL(Dong1,ROWS($1:7)),)))</f>
        <v>641</v>
      </c>
      <c r="G20" s="149">
        <f ca="1">IF(ROWS($1:7)&gt;COUNT(Dong1),"",IF(OFFSET(TH!N$1,SMALL(Dong1,ROWS($1:7)),)="1111",OFFSET(TH!M$1,SMALL(Dong1,ROWS($1:7)),),0))</f>
        <v>0</v>
      </c>
      <c r="H20" s="147">
        <f ca="1">IF(ROWS($1:7)&gt;COUNT(Dong1),"",IF(OFFSET(TH!O$1,SMALL(Dong1,ROWS($1:7)),)="1111",OFFSET(TH!M$1,SMALL(Dong1,ROWS($1:7)),),0))</f>
        <v>3770978</v>
      </c>
      <c r="I20" s="145">
        <f t="shared" ca="1" si="0"/>
        <v>11026085462</v>
      </c>
      <c r="J20" s="150"/>
    </row>
    <row r="21" spans="1:10" s="135" customFormat="1" ht="19.5" customHeight="1">
      <c r="A21" s="144">
        <f ca="1">IF(ROWS($1:8)&gt;COUNT(Dong1),"",OFFSET(TH!C$1,SMALL(Dong1,ROWS($1:8)),))</f>
        <v>43073</v>
      </c>
      <c r="B21" s="144">
        <f ca="1">IF(ROWS($1:8)&gt;COUNT(Dong1),"",OFFSET(TH!E$1,SMALL(Dong1,ROWS($1:8)),))</f>
        <v>43073</v>
      </c>
      <c r="C21" s="145" t="str">
        <f ca="1">IF(ROWS($1:8)&gt;COUNT(Dong1),"",IF(OFFSET(TH!N$1,SMALL(Dong1,ROWS($1:8)),)="1111",OFFSET(TH!D$1,SMALL(Dong1,ROWS($1:8)),),""))</f>
        <v/>
      </c>
      <c r="D21" s="146">
        <f ca="1">IF(ROWS($1:8)&gt;COUNT(Dong1),"",IF(OFFSET(TH!O$1,SMALL(Dong1,ROWS($1:8)),)="1111",OFFSET(TH!D$1,SMALL(Dong1,ROWS($1:8)),),""))</f>
        <v>0</v>
      </c>
      <c r="E21" s="331" t="str">
        <f ca="1">IF(ROWS($1:8)&gt;COUNT(Dong1),"",OFFSET(TH!F$1,SMALL(Dong1,ROWS($1:8)),))</f>
        <v>VAT Phí xuất khẩu</v>
      </c>
      <c r="F21" s="148" t="str">
        <f ca="1">IF(ROWS($1:8)&gt;COUNT(Dong1),"",IF(OFFSET(TH!O$1,SMALL(Dong1,ROWS($1:8)),)="1111",OFFSET(TH!N$1,SMALL(Dong1,ROWS($1:8)),),OFFSET(TH!O$1,SMALL(Dong1,ROWS($1:8)),)))</f>
        <v>1331</v>
      </c>
      <c r="G21" s="149">
        <f ca="1">IF(ROWS($1:8)&gt;COUNT(Dong1),"",IF(OFFSET(TH!N$1,SMALL(Dong1,ROWS($1:8)),)="1111",OFFSET(TH!M$1,SMALL(Dong1,ROWS($1:8)),),0))</f>
        <v>0</v>
      </c>
      <c r="H21" s="147">
        <f ca="1">IF(ROWS($1:8)&gt;COUNT(Dong1),"",IF(OFFSET(TH!O$1,SMALL(Dong1,ROWS($1:8)),)="1111",OFFSET(TH!M$1,SMALL(Dong1,ROWS($1:8)),),0))</f>
        <v>377098</v>
      </c>
      <c r="I21" s="145">
        <f t="shared" ca="1" si="0"/>
        <v>11025708364</v>
      </c>
      <c r="J21" s="150"/>
    </row>
    <row r="22" spans="1:10" s="135" customFormat="1" ht="19.5" customHeight="1">
      <c r="A22" s="144">
        <f ca="1">IF(ROWS($1:9)&gt;COUNT(Dong1),"",OFFSET(TH!C$1,SMALL(Dong1,ROWS($1:9)),))</f>
        <v>43073</v>
      </c>
      <c r="B22" s="144">
        <f ca="1">IF(ROWS($1:9)&gt;COUNT(Dong1),"",OFFSET(TH!E$1,SMALL(Dong1,ROWS($1:9)),))</f>
        <v>43073</v>
      </c>
      <c r="C22" s="145" t="str">
        <f ca="1">IF(ROWS($1:9)&gt;COUNT(Dong1),"",IF(OFFSET(TH!N$1,SMALL(Dong1,ROWS($1:9)),)="1111",OFFSET(TH!D$1,SMALL(Dong1,ROWS($1:9)),),""))</f>
        <v/>
      </c>
      <c r="D22" s="146">
        <f ca="1">IF(ROWS($1:9)&gt;COUNT(Dong1),"",IF(OFFSET(TH!O$1,SMALL(Dong1,ROWS($1:9)),)="1111",OFFSET(TH!D$1,SMALL(Dong1,ROWS($1:9)),),""))</f>
        <v>0</v>
      </c>
      <c r="E22" s="331" t="str">
        <f ca="1">IF(ROWS($1:9)&gt;COUNT(Dong1),"",OFFSET(TH!F$1,SMALL(Dong1,ROWS($1:9)),))</f>
        <v>Thanh toán tiền cá cơm NL</v>
      </c>
      <c r="F22" s="148" t="str">
        <f ca="1">IF(ROWS($1:9)&gt;COUNT(Dong1),"",IF(OFFSET(TH!O$1,SMALL(Dong1,ROWS($1:9)),)="1111",OFFSET(TH!N$1,SMALL(Dong1,ROWS($1:9)),),OFFSET(TH!O$1,SMALL(Dong1,ROWS($1:9)),)))</f>
        <v>331</v>
      </c>
      <c r="G22" s="149">
        <f ca="1">IF(ROWS($1:9)&gt;COUNT(Dong1),"",IF(OFFSET(TH!N$1,SMALL(Dong1,ROWS($1:9)),)="1111",OFFSET(TH!M$1,SMALL(Dong1,ROWS($1:9)),),0))</f>
        <v>0</v>
      </c>
      <c r="H22" s="147">
        <f ca="1">IF(ROWS($1:9)&gt;COUNT(Dong1),"",IF(OFFSET(TH!O$1,SMALL(Dong1,ROWS($1:9)),)="1111",OFFSET(TH!M$1,SMALL(Dong1,ROWS($1:9)),),0))</f>
        <v>3045930000</v>
      </c>
      <c r="I22" s="145">
        <f t="shared" ca="1" si="0"/>
        <v>7979778364</v>
      </c>
      <c r="J22" s="150"/>
    </row>
    <row r="23" spans="1:10" s="135" customFormat="1" ht="19.5" customHeight="1">
      <c r="A23" s="144">
        <f ca="1">IF(ROWS($1:10)&gt;COUNT(Dong1),"",OFFSET(TH!C$1,SMALL(Dong1,ROWS($1:10)),))</f>
        <v>43073</v>
      </c>
      <c r="B23" s="144">
        <f ca="1">IF(ROWS($1:10)&gt;COUNT(Dong1),"",OFFSET(TH!E$1,SMALL(Dong1,ROWS($1:10)),))</f>
        <v>43073</v>
      </c>
      <c r="C23" s="145" t="str">
        <f ca="1">IF(ROWS($1:10)&gt;COUNT(Dong1),"",IF(OFFSET(TH!N$1,SMALL(Dong1,ROWS($1:10)),)="1111",OFFSET(TH!D$1,SMALL(Dong1,ROWS($1:10)),),""))</f>
        <v/>
      </c>
      <c r="D23" s="146">
        <f ca="1">IF(ROWS($1:10)&gt;COUNT(Dong1),"",IF(OFFSET(TH!O$1,SMALL(Dong1,ROWS($1:10)),)="1111",OFFSET(TH!D$1,SMALL(Dong1,ROWS($1:10)),),""))</f>
        <v>0</v>
      </c>
      <c r="E23" s="331" t="str">
        <f ca="1">IF(ROWS($1:10)&gt;COUNT(Dong1),"",OFFSET(TH!F$1,SMALL(Dong1,ROWS($1:10)),))</f>
        <v>Phí chuyển tiền</v>
      </c>
      <c r="F23" s="148" t="str">
        <f ca="1">IF(ROWS($1:10)&gt;COUNT(Dong1),"",IF(OFFSET(TH!O$1,SMALL(Dong1,ROWS($1:10)),)="1111",OFFSET(TH!N$1,SMALL(Dong1,ROWS($1:10)),),OFFSET(TH!O$1,SMALL(Dong1,ROWS($1:10)),)))</f>
        <v>642</v>
      </c>
      <c r="G23" s="149">
        <f ca="1">IF(ROWS($1:10)&gt;COUNT(Dong1),"",IF(OFFSET(TH!N$1,SMALL(Dong1,ROWS($1:10)),)="1111",OFFSET(TH!M$1,SMALL(Dong1,ROWS($1:10)),),0))</f>
        <v>0</v>
      </c>
      <c r="H23" s="147">
        <f ca="1">IF(ROWS($1:10)&gt;COUNT(Dong1),"",IF(OFFSET(TH!O$1,SMALL(Dong1,ROWS($1:10)),)="1111",OFFSET(TH!M$1,SMALL(Dong1,ROWS($1:10)),),0))</f>
        <v>2200000</v>
      </c>
      <c r="I23" s="145">
        <f t="shared" ca="1" si="0"/>
        <v>7977578364</v>
      </c>
      <c r="J23" s="150"/>
    </row>
    <row r="24" spans="1:10" s="135" customFormat="1" ht="19.5" customHeight="1">
      <c r="A24" s="144">
        <f ca="1">IF(ROWS($1:11)&gt;COUNT(Dong1),"",OFFSET(TH!C$1,SMALL(Dong1,ROWS($1:11)),))</f>
        <v>43073</v>
      </c>
      <c r="B24" s="144">
        <f ca="1">IF(ROWS($1:11)&gt;COUNT(Dong1),"",OFFSET(TH!E$1,SMALL(Dong1,ROWS($1:11)),))</f>
        <v>43073</v>
      </c>
      <c r="C24" s="145" t="str">
        <f ca="1">IF(ROWS($1:11)&gt;COUNT(Dong1),"",IF(OFFSET(TH!N$1,SMALL(Dong1,ROWS($1:11)),)="1111",OFFSET(TH!D$1,SMALL(Dong1,ROWS($1:11)),),""))</f>
        <v>T03</v>
      </c>
      <c r="D24" s="146" t="str">
        <f ca="1">IF(ROWS($1:11)&gt;COUNT(Dong1),"",IF(OFFSET(TH!O$1,SMALL(Dong1,ROWS($1:11)),)="1111",OFFSET(TH!D$1,SMALL(Dong1,ROWS($1:11)),),""))</f>
        <v/>
      </c>
      <c r="E24" s="331" t="str">
        <f ca="1">IF(ROWS($1:11)&gt;COUNT(Dong1),"",OFFSET(TH!F$1,SMALL(Dong1,ROWS($1:11)),))</f>
        <v>Rút tiền gửi NH nhập quỹ TM</v>
      </c>
      <c r="F24" s="148" t="str">
        <f ca="1">IF(ROWS($1:11)&gt;COUNT(Dong1),"",IF(OFFSET(TH!O$1,SMALL(Dong1,ROWS($1:11)),)="1111",OFFSET(TH!N$1,SMALL(Dong1,ROWS($1:11)),),OFFSET(TH!O$1,SMALL(Dong1,ROWS($1:11)),)))</f>
        <v>1121</v>
      </c>
      <c r="G24" s="149">
        <f ca="1">IF(ROWS($1:11)&gt;COUNT(Dong1),"",IF(OFFSET(TH!N$1,SMALL(Dong1,ROWS($1:11)),)="1111",OFFSET(TH!M$1,SMALL(Dong1,ROWS($1:11)),),0))</f>
        <v>1050000000</v>
      </c>
      <c r="H24" s="147">
        <f ca="1">IF(ROWS($1:11)&gt;COUNT(Dong1),"",IF(OFFSET(TH!O$1,SMALL(Dong1,ROWS($1:11)),)="1111",OFFSET(TH!M$1,SMALL(Dong1,ROWS($1:11)),),0))</f>
        <v>0</v>
      </c>
      <c r="I24" s="145">
        <f t="shared" ca="1" si="0"/>
        <v>9027578364</v>
      </c>
      <c r="J24" s="150"/>
    </row>
    <row r="25" spans="1:10" s="135" customFormat="1" ht="19.5" customHeight="1">
      <c r="A25" s="144">
        <f ca="1">IF(ROWS($1:12)&gt;COUNT(Dong1),"",OFFSET(TH!C$1,SMALL(Dong1,ROWS($1:12)),))</f>
        <v>43073</v>
      </c>
      <c r="B25" s="144">
        <f ca="1">IF(ROWS($1:12)&gt;COUNT(Dong1),"",OFFSET(TH!E$1,SMALL(Dong1,ROWS($1:12)),))</f>
        <v>43073</v>
      </c>
      <c r="C25" s="145" t="str">
        <f ca="1">IF(ROWS($1:12)&gt;COUNT(Dong1),"",IF(OFFSET(TH!N$1,SMALL(Dong1,ROWS($1:12)),)="1111",OFFSET(TH!D$1,SMALL(Dong1,ROWS($1:12)),),""))</f>
        <v>T04</v>
      </c>
      <c r="D25" s="146" t="str">
        <f ca="1">IF(ROWS($1:12)&gt;COUNT(Dong1),"",IF(OFFSET(TH!O$1,SMALL(Dong1,ROWS($1:12)),)="1111",OFFSET(TH!D$1,SMALL(Dong1,ROWS($1:12)),),""))</f>
        <v/>
      </c>
      <c r="E25" s="331" t="str">
        <f ca="1">IF(ROWS($1:12)&gt;COUNT(Dong1),"",OFFSET(TH!F$1,SMALL(Dong1,ROWS($1:12)),))</f>
        <v>Rút tiền gửi NH nhập quỹ TM</v>
      </c>
      <c r="F25" s="148" t="str">
        <f ca="1">IF(ROWS($1:12)&gt;COUNT(Dong1),"",IF(OFFSET(TH!O$1,SMALL(Dong1,ROWS($1:12)),)="1111",OFFSET(TH!N$1,SMALL(Dong1,ROWS($1:12)),),OFFSET(TH!O$1,SMALL(Dong1,ROWS($1:12)),)))</f>
        <v>1121</v>
      </c>
      <c r="G25" s="149">
        <f ca="1">IF(ROWS($1:12)&gt;COUNT(Dong1),"",IF(OFFSET(TH!N$1,SMALL(Dong1,ROWS($1:12)),)="1111",OFFSET(TH!M$1,SMALL(Dong1,ROWS($1:12)),),0))</f>
        <v>1000000000</v>
      </c>
      <c r="H25" s="147">
        <f ca="1">IF(ROWS($1:12)&gt;COUNT(Dong1),"",IF(OFFSET(TH!O$1,SMALL(Dong1,ROWS($1:12)),)="1111",OFFSET(TH!M$1,SMALL(Dong1,ROWS($1:12)),),0))</f>
        <v>0</v>
      </c>
      <c r="I25" s="145">
        <f t="shared" ca="1" si="0"/>
        <v>10027578364</v>
      </c>
      <c r="J25" s="150"/>
    </row>
    <row r="26" spans="1:10" s="135" customFormat="1" ht="19.5" customHeight="1">
      <c r="A26" s="144">
        <f ca="1">IF(ROWS($1:13)&gt;COUNT(Dong1),"",OFFSET(TH!C$1,SMALL(Dong1,ROWS($1:13)),))</f>
        <v>43074</v>
      </c>
      <c r="B26" s="144">
        <f ca="1">IF(ROWS($1:13)&gt;COUNT(Dong1),"",OFFSET(TH!E$1,SMALL(Dong1,ROWS($1:13)),))</f>
        <v>43074</v>
      </c>
      <c r="C26" s="145" t="str">
        <f ca="1">IF(ROWS($1:13)&gt;COUNT(Dong1),"",IF(OFFSET(TH!N$1,SMALL(Dong1,ROWS($1:13)),)="1111",OFFSET(TH!D$1,SMALL(Dong1,ROWS($1:13)),),""))</f>
        <v>T05</v>
      </c>
      <c r="D26" s="146" t="str">
        <f ca="1">IF(ROWS($1:13)&gt;COUNT(Dong1),"",IF(OFFSET(TH!O$1,SMALL(Dong1,ROWS($1:13)),)="1111",OFFSET(TH!D$1,SMALL(Dong1,ROWS($1:13)),),""))</f>
        <v/>
      </c>
      <c r="E26" s="331" t="str">
        <f ca="1">IF(ROWS($1:13)&gt;COUNT(Dong1),"",OFFSET(TH!F$1,SMALL(Dong1,ROWS($1:13)),))</f>
        <v>Rút tiền gửi NH nhập quỹ TM</v>
      </c>
      <c r="F26" s="148" t="str">
        <f ca="1">IF(ROWS($1:13)&gt;COUNT(Dong1),"",IF(OFFSET(TH!O$1,SMALL(Dong1,ROWS($1:13)),)="1111",OFFSET(TH!N$1,SMALL(Dong1,ROWS($1:13)),),OFFSET(TH!O$1,SMALL(Dong1,ROWS($1:13)),)))</f>
        <v>1121</v>
      </c>
      <c r="G26" s="149">
        <f ca="1">IF(ROWS($1:13)&gt;COUNT(Dong1),"",IF(OFFSET(TH!N$1,SMALL(Dong1,ROWS($1:13)),)="1111",OFFSET(TH!M$1,SMALL(Dong1,ROWS($1:13)),),0))</f>
        <v>350000000</v>
      </c>
      <c r="H26" s="147">
        <f ca="1">IF(ROWS($1:13)&gt;COUNT(Dong1),"",IF(OFFSET(TH!O$1,SMALL(Dong1,ROWS($1:13)),)="1111",OFFSET(TH!M$1,SMALL(Dong1,ROWS($1:13)),),0))</f>
        <v>0</v>
      </c>
      <c r="I26" s="145">
        <f t="shared" ca="1" si="0"/>
        <v>10377578364</v>
      </c>
      <c r="J26" s="150"/>
    </row>
    <row r="27" spans="1:10" s="135" customFormat="1" ht="19.5" customHeight="1">
      <c r="A27" s="144">
        <f ca="1">IF(ROWS($1:14)&gt;COUNT(Dong1),"",OFFSET(TH!C$1,SMALL(Dong1,ROWS($1:14)),))</f>
        <v>43074</v>
      </c>
      <c r="B27" s="144">
        <f ca="1">IF(ROWS($1:14)&gt;COUNT(Dong1),"",OFFSET(TH!E$1,SMALL(Dong1,ROWS($1:14)),))</f>
        <v>43074</v>
      </c>
      <c r="C27" s="145" t="str">
        <f ca="1">IF(ROWS($1:14)&gt;COUNT(Dong1),"",IF(OFFSET(TH!N$1,SMALL(Dong1,ROWS($1:14)),)="1111",OFFSET(TH!D$1,SMALL(Dong1,ROWS($1:14)),),""))</f>
        <v>T06</v>
      </c>
      <c r="D27" s="146" t="str">
        <f ca="1">IF(ROWS($1:14)&gt;COUNT(Dong1),"",IF(OFFSET(TH!O$1,SMALL(Dong1,ROWS($1:14)),)="1111",OFFSET(TH!D$1,SMALL(Dong1,ROWS($1:14)),),""))</f>
        <v/>
      </c>
      <c r="E27" s="331" t="str">
        <f ca="1">IF(ROWS($1:14)&gt;COUNT(Dong1),"",OFFSET(TH!F$1,SMALL(Dong1,ROWS($1:14)),))</f>
        <v>Rút tiền gửi NH nhập quỹ TM</v>
      </c>
      <c r="F27" s="148" t="str">
        <f ca="1">IF(ROWS($1:14)&gt;COUNT(Dong1),"",IF(OFFSET(TH!O$1,SMALL(Dong1,ROWS($1:14)),)="1111",OFFSET(TH!N$1,SMALL(Dong1,ROWS($1:14)),),OFFSET(TH!O$1,SMALL(Dong1,ROWS($1:14)),)))</f>
        <v>1121</v>
      </c>
      <c r="G27" s="149">
        <f ca="1">IF(ROWS($1:14)&gt;COUNT(Dong1),"",IF(OFFSET(TH!N$1,SMALL(Dong1,ROWS($1:14)),)="1111",OFFSET(TH!M$1,SMALL(Dong1,ROWS($1:14)),),0))</f>
        <v>2000000000</v>
      </c>
      <c r="H27" s="147">
        <f ca="1">IF(ROWS($1:14)&gt;COUNT(Dong1),"",IF(OFFSET(TH!O$1,SMALL(Dong1,ROWS($1:14)),)="1111",OFFSET(TH!M$1,SMALL(Dong1,ROWS($1:14)),),0))</f>
        <v>0</v>
      </c>
      <c r="I27" s="145">
        <f t="shared" ca="1" si="0"/>
        <v>12377578364</v>
      </c>
      <c r="J27" s="150"/>
    </row>
    <row r="28" spans="1:10" s="135" customFormat="1" ht="19.5" customHeight="1">
      <c r="A28" s="144">
        <f ca="1">IF(ROWS($1:15)&gt;COUNT(Dong1),"",OFFSET(TH!C$1,SMALL(Dong1,ROWS($1:15)),))</f>
        <v>43074</v>
      </c>
      <c r="B28" s="144">
        <f ca="1">IF(ROWS($1:15)&gt;COUNT(Dong1),"",OFFSET(TH!E$1,SMALL(Dong1,ROWS($1:15)),))</f>
        <v>43074</v>
      </c>
      <c r="C28" s="145" t="str">
        <f ca="1">IF(ROWS($1:15)&gt;COUNT(Dong1),"",IF(OFFSET(TH!N$1,SMALL(Dong1,ROWS($1:15)),)="1111",OFFSET(TH!D$1,SMALL(Dong1,ROWS($1:15)),),""))</f>
        <v/>
      </c>
      <c r="D28" s="146">
        <f ca="1">IF(ROWS($1:15)&gt;COUNT(Dong1),"",IF(OFFSET(TH!O$1,SMALL(Dong1,ROWS($1:15)),)="1111",OFFSET(TH!D$1,SMALL(Dong1,ROWS($1:15)),),""))</f>
        <v>0</v>
      </c>
      <c r="E28" s="331" t="str">
        <f ca="1">IF(ROWS($1:15)&gt;COUNT(Dong1),"",OFFSET(TH!F$1,SMALL(Dong1,ROWS($1:15)),))</f>
        <v>Gas</v>
      </c>
      <c r="F28" s="148" t="str">
        <f ca="1">IF(ROWS($1:15)&gt;COUNT(Dong1),"",IF(OFFSET(TH!O$1,SMALL(Dong1,ROWS($1:15)),)="1111",OFFSET(TH!N$1,SMALL(Dong1,ROWS($1:15)),),OFFSET(TH!O$1,SMALL(Dong1,ROWS($1:15)),)))</f>
        <v>154</v>
      </c>
      <c r="G28" s="149">
        <f ca="1">IF(ROWS($1:15)&gt;COUNT(Dong1),"",IF(OFFSET(TH!N$1,SMALL(Dong1,ROWS($1:15)),)="1111",OFFSET(TH!M$1,SMALL(Dong1,ROWS($1:15)),),0))</f>
        <v>0</v>
      </c>
      <c r="H28" s="147">
        <f ca="1">IF(ROWS($1:15)&gt;COUNT(Dong1),"",IF(OFFSET(TH!O$1,SMALL(Dong1,ROWS($1:15)),)="1111",OFFSET(TH!M$1,SMALL(Dong1,ROWS($1:15)),),0))</f>
        <v>11422727</v>
      </c>
      <c r="I28" s="145">
        <f t="shared" ca="1" si="0"/>
        <v>12366155637</v>
      </c>
      <c r="J28" s="150"/>
    </row>
    <row r="29" spans="1:10" s="135" customFormat="1" ht="19.5" customHeight="1">
      <c r="A29" s="144">
        <f ca="1">IF(ROWS($1:16)&gt;COUNT(Dong1),"",OFFSET(TH!C$1,SMALL(Dong1,ROWS($1:16)),))</f>
        <v>43074</v>
      </c>
      <c r="B29" s="144">
        <f ca="1">IF(ROWS($1:16)&gt;COUNT(Dong1),"",OFFSET(TH!E$1,SMALL(Dong1,ROWS($1:16)),))</f>
        <v>43074</v>
      </c>
      <c r="C29" s="145" t="str">
        <f ca="1">IF(ROWS($1:16)&gt;COUNT(Dong1),"",IF(OFFSET(TH!N$1,SMALL(Dong1,ROWS($1:16)),)="1111",OFFSET(TH!D$1,SMALL(Dong1,ROWS($1:16)),),""))</f>
        <v/>
      </c>
      <c r="D29" s="146">
        <f ca="1">IF(ROWS($1:16)&gt;COUNT(Dong1),"",IF(OFFSET(TH!O$1,SMALL(Dong1,ROWS($1:16)),)="1111",OFFSET(TH!D$1,SMALL(Dong1,ROWS($1:16)),),""))</f>
        <v>0</v>
      </c>
      <c r="E29" s="331" t="str">
        <f ca="1">IF(ROWS($1:16)&gt;COUNT(Dong1),"",OFFSET(TH!F$1,SMALL(Dong1,ROWS($1:16)),))</f>
        <v>VAT Gas</v>
      </c>
      <c r="F29" s="148" t="str">
        <f ca="1">IF(ROWS($1:16)&gt;COUNT(Dong1),"",IF(OFFSET(TH!O$1,SMALL(Dong1,ROWS($1:16)),)="1111",OFFSET(TH!N$1,SMALL(Dong1,ROWS($1:16)),),OFFSET(TH!O$1,SMALL(Dong1,ROWS($1:16)),)))</f>
        <v>1331</v>
      </c>
      <c r="G29" s="149">
        <f ca="1">IF(ROWS($1:16)&gt;COUNT(Dong1),"",IF(OFFSET(TH!N$1,SMALL(Dong1,ROWS($1:16)),)="1111",OFFSET(TH!M$1,SMALL(Dong1,ROWS($1:16)),),0))</f>
        <v>0</v>
      </c>
      <c r="H29" s="147">
        <f ca="1">IF(ROWS($1:16)&gt;COUNT(Dong1),"",IF(OFFSET(TH!O$1,SMALL(Dong1,ROWS($1:16)),)="1111",OFFSET(TH!M$1,SMALL(Dong1,ROWS($1:16)),),0))</f>
        <v>1142273</v>
      </c>
      <c r="I29" s="145">
        <f t="shared" ca="1" si="0"/>
        <v>12365013364</v>
      </c>
      <c r="J29" s="150"/>
    </row>
    <row r="30" spans="1:10" s="135" customFormat="1" ht="19.5" customHeight="1">
      <c r="A30" s="144">
        <f ca="1">IF(ROWS($1:17)&gt;COUNT(Dong1),"",OFFSET(TH!C$1,SMALL(Dong1,ROWS($1:17)),))</f>
        <v>43074</v>
      </c>
      <c r="B30" s="144">
        <f ca="1">IF(ROWS($1:17)&gt;COUNT(Dong1),"",OFFSET(TH!E$1,SMALL(Dong1,ROWS($1:17)),))</f>
        <v>43074</v>
      </c>
      <c r="C30" s="145" t="str">
        <f ca="1">IF(ROWS($1:17)&gt;COUNT(Dong1),"",IF(OFFSET(TH!N$1,SMALL(Dong1,ROWS($1:17)),)="1111",OFFSET(TH!D$1,SMALL(Dong1,ROWS($1:17)),),""))</f>
        <v/>
      </c>
      <c r="D30" s="146">
        <f ca="1">IF(ROWS($1:17)&gt;COUNT(Dong1),"",IF(OFFSET(TH!O$1,SMALL(Dong1,ROWS($1:17)),)="1111",OFFSET(TH!D$1,SMALL(Dong1,ROWS($1:17)),),""))</f>
        <v>0</v>
      </c>
      <c r="E30" s="331" t="str">
        <f ca="1">IF(ROWS($1:17)&gt;COUNT(Dong1),"",OFFSET(TH!F$1,SMALL(Dong1,ROWS($1:17)),))</f>
        <v>Xăng, Dầu DO</v>
      </c>
      <c r="F30" s="148" t="str">
        <f ca="1">IF(ROWS($1:17)&gt;COUNT(Dong1),"",IF(OFFSET(TH!O$1,SMALL(Dong1,ROWS($1:17)),)="1111",OFFSET(TH!N$1,SMALL(Dong1,ROWS($1:17)),),OFFSET(TH!O$1,SMALL(Dong1,ROWS($1:17)),)))</f>
        <v>642</v>
      </c>
      <c r="G30" s="149">
        <f ca="1">IF(ROWS($1:17)&gt;COUNT(Dong1),"",IF(OFFSET(TH!N$1,SMALL(Dong1,ROWS($1:17)),)="1111",OFFSET(TH!M$1,SMALL(Dong1,ROWS($1:17)),),0))</f>
        <v>0</v>
      </c>
      <c r="H30" s="147">
        <f ca="1">IF(ROWS($1:17)&gt;COUNT(Dong1),"",IF(OFFSET(TH!O$1,SMALL(Dong1,ROWS($1:17)),)="1111",OFFSET(TH!M$1,SMALL(Dong1,ROWS($1:17)),),0))</f>
        <v>2756491</v>
      </c>
      <c r="I30" s="145">
        <f t="shared" ref="I30:I93" ca="1" si="1">IF(E30&lt;&gt;"",I29+G30-H30,0)</f>
        <v>12362256873</v>
      </c>
      <c r="J30" s="150"/>
    </row>
    <row r="31" spans="1:10" s="135" customFormat="1" ht="19.5" customHeight="1">
      <c r="A31" s="144">
        <f ca="1">IF(ROWS($1:18)&gt;COUNT(Dong1),"",OFFSET(TH!C$1,SMALL(Dong1,ROWS($1:18)),))</f>
        <v>43074</v>
      </c>
      <c r="B31" s="144">
        <f ca="1">IF(ROWS($1:18)&gt;COUNT(Dong1),"",OFFSET(TH!E$1,SMALL(Dong1,ROWS($1:18)),))</f>
        <v>43074</v>
      </c>
      <c r="C31" s="145" t="str">
        <f ca="1">IF(ROWS($1:18)&gt;COUNT(Dong1),"",IF(OFFSET(TH!N$1,SMALL(Dong1,ROWS($1:18)),)="1111",OFFSET(TH!D$1,SMALL(Dong1,ROWS($1:18)),),""))</f>
        <v/>
      </c>
      <c r="D31" s="146">
        <f ca="1">IF(ROWS($1:18)&gt;COUNT(Dong1),"",IF(OFFSET(TH!O$1,SMALL(Dong1,ROWS($1:18)),)="1111",OFFSET(TH!D$1,SMALL(Dong1,ROWS($1:18)),),""))</f>
        <v>0</v>
      </c>
      <c r="E31" s="331" t="str">
        <f ca="1">IF(ROWS($1:18)&gt;COUNT(Dong1),"",OFFSET(TH!F$1,SMALL(Dong1,ROWS($1:18)),))</f>
        <v>VAT Xăng, Dầu DO</v>
      </c>
      <c r="F31" s="148" t="str">
        <f ca="1">IF(ROWS($1:18)&gt;COUNT(Dong1),"",IF(OFFSET(TH!O$1,SMALL(Dong1,ROWS($1:18)),)="1111",OFFSET(TH!N$1,SMALL(Dong1,ROWS($1:18)),),OFFSET(TH!O$1,SMALL(Dong1,ROWS($1:18)),)))</f>
        <v>1331</v>
      </c>
      <c r="G31" s="149">
        <f ca="1">IF(ROWS($1:18)&gt;COUNT(Dong1),"",IF(OFFSET(TH!N$1,SMALL(Dong1,ROWS($1:18)),)="1111",OFFSET(TH!M$1,SMALL(Dong1,ROWS($1:18)),),0))</f>
        <v>0</v>
      </c>
      <c r="H31" s="147">
        <f ca="1">IF(ROWS($1:18)&gt;COUNT(Dong1),"",IF(OFFSET(TH!O$1,SMALL(Dong1,ROWS($1:18)),)="1111",OFFSET(TH!M$1,SMALL(Dong1,ROWS($1:18)),),0))</f>
        <v>275649</v>
      </c>
      <c r="I31" s="145">
        <f t="shared" ca="1" si="1"/>
        <v>12361981224</v>
      </c>
      <c r="J31" s="150"/>
    </row>
    <row r="32" spans="1:10" s="135" customFormat="1" ht="19.5" customHeight="1">
      <c r="A32" s="144">
        <f ca="1">IF(ROWS($1:19)&gt;COUNT(Dong1),"",OFFSET(TH!C$1,SMALL(Dong1,ROWS($1:19)),))</f>
        <v>43074</v>
      </c>
      <c r="B32" s="144">
        <f ca="1">IF(ROWS($1:19)&gt;COUNT(Dong1),"",OFFSET(TH!E$1,SMALL(Dong1,ROWS($1:19)),))</f>
        <v>43074</v>
      </c>
      <c r="C32" s="145" t="str">
        <f ca="1">IF(ROWS($1:19)&gt;COUNT(Dong1),"",IF(OFFSET(TH!N$1,SMALL(Dong1,ROWS($1:19)),)="1111",OFFSET(TH!D$1,SMALL(Dong1,ROWS($1:19)),),""))</f>
        <v/>
      </c>
      <c r="D32" s="146">
        <f ca="1">IF(ROWS($1:19)&gt;COUNT(Dong1),"",IF(OFFSET(TH!O$1,SMALL(Dong1,ROWS($1:19)),)="1111",OFFSET(TH!D$1,SMALL(Dong1,ROWS($1:19)),),""))</f>
        <v>0</v>
      </c>
      <c r="E32" s="331" t="str">
        <f ca="1">IF(ROWS($1:19)&gt;COUNT(Dong1),"",OFFSET(TH!F$1,SMALL(Dong1,ROWS($1:19)),))</f>
        <v>Thanh toán tiền cá cơm NL</v>
      </c>
      <c r="F32" s="148" t="str">
        <f ca="1">IF(ROWS($1:19)&gt;COUNT(Dong1),"",IF(OFFSET(TH!O$1,SMALL(Dong1,ROWS($1:19)),)="1111",OFFSET(TH!N$1,SMALL(Dong1,ROWS($1:19)),),OFFSET(TH!O$1,SMALL(Dong1,ROWS($1:19)),)))</f>
        <v>331</v>
      </c>
      <c r="G32" s="149">
        <f ca="1">IF(ROWS($1:19)&gt;COUNT(Dong1),"",IF(OFFSET(TH!N$1,SMALL(Dong1,ROWS($1:19)),)="1111",OFFSET(TH!M$1,SMALL(Dong1,ROWS($1:19)),),0))</f>
        <v>0</v>
      </c>
      <c r="H32" s="147">
        <f ca="1">IF(ROWS($1:19)&gt;COUNT(Dong1),"",IF(OFFSET(TH!O$1,SMALL(Dong1,ROWS($1:19)),)="1111",OFFSET(TH!M$1,SMALL(Dong1,ROWS($1:19)),),0))</f>
        <v>2000000000</v>
      </c>
      <c r="I32" s="145">
        <f t="shared" ca="1" si="1"/>
        <v>10361981224</v>
      </c>
      <c r="J32" s="150"/>
    </row>
    <row r="33" spans="1:10" s="135" customFormat="1" ht="19.5" customHeight="1">
      <c r="A33" s="144">
        <f ca="1">IF(ROWS($1:20)&gt;COUNT(Dong1),"",OFFSET(TH!C$1,SMALL(Dong1,ROWS($1:20)),))</f>
        <v>43074</v>
      </c>
      <c r="B33" s="144">
        <f ca="1">IF(ROWS($1:20)&gt;COUNT(Dong1),"",OFFSET(TH!E$1,SMALL(Dong1,ROWS($1:20)),))</f>
        <v>43074</v>
      </c>
      <c r="C33" s="145" t="str">
        <f ca="1">IF(ROWS($1:20)&gt;COUNT(Dong1),"",IF(OFFSET(TH!N$1,SMALL(Dong1,ROWS($1:20)),)="1111",OFFSET(TH!D$1,SMALL(Dong1,ROWS($1:20)),),""))</f>
        <v/>
      </c>
      <c r="D33" s="146">
        <f ca="1">IF(ROWS($1:20)&gt;COUNT(Dong1),"",IF(OFFSET(TH!O$1,SMALL(Dong1,ROWS($1:20)),)="1111",OFFSET(TH!D$1,SMALL(Dong1,ROWS($1:20)),),""))</f>
        <v>0</v>
      </c>
      <c r="E33" s="331" t="str">
        <f ca="1">IF(ROWS($1:20)&gt;COUNT(Dong1),"",OFFSET(TH!F$1,SMALL(Dong1,ROWS($1:20)),))</f>
        <v>Phí chuyển tiền</v>
      </c>
      <c r="F33" s="148" t="str">
        <f ca="1">IF(ROWS($1:20)&gt;COUNT(Dong1),"",IF(OFFSET(TH!O$1,SMALL(Dong1,ROWS($1:20)),)="1111",OFFSET(TH!N$1,SMALL(Dong1,ROWS($1:20)),),OFFSET(TH!O$1,SMALL(Dong1,ROWS($1:20)),)))</f>
        <v>642</v>
      </c>
      <c r="G33" s="149">
        <f ca="1">IF(ROWS($1:20)&gt;COUNT(Dong1),"",IF(OFFSET(TH!N$1,SMALL(Dong1,ROWS($1:20)),)="1111",OFFSET(TH!M$1,SMALL(Dong1,ROWS($1:20)),),0))</f>
        <v>0</v>
      </c>
      <c r="H33" s="147">
        <f ca="1">IF(ROWS($1:20)&gt;COUNT(Dong1),"",IF(OFFSET(TH!O$1,SMALL(Dong1,ROWS($1:20)),)="1111",OFFSET(TH!M$1,SMALL(Dong1,ROWS($1:20)),),0))</f>
        <v>550000</v>
      </c>
      <c r="I33" s="145">
        <f t="shared" ca="1" si="1"/>
        <v>10361431224</v>
      </c>
      <c r="J33" s="150"/>
    </row>
    <row r="34" spans="1:10" s="135" customFormat="1" ht="19.5" customHeight="1">
      <c r="A34" s="144">
        <f ca="1">IF(ROWS($1:21)&gt;COUNT(Dong1),"",OFFSET(TH!C$1,SMALL(Dong1,ROWS($1:21)),))</f>
        <v>43075</v>
      </c>
      <c r="B34" s="144">
        <f ca="1">IF(ROWS($1:21)&gt;COUNT(Dong1),"",OFFSET(TH!E$1,SMALL(Dong1,ROWS($1:21)),))</f>
        <v>43075</v>
      </c>
      <c r="C34" s="145" t="str">
        <f ca="1">IF(ROWS($1:21)&gt;COUNT(Dong1),"",IF(OFFSET(TH!N$1,SMALL(Dong1,ROWS($1:21)),)="1111",OFFSET(TH!D$1,SMALL(Dong1,ROWS($1:21)),),""))</f>
        <v/>
      </c>
      <c r="D34" s="146">
        <f ca="1">IF(ROWS($1:21)&gt;COUNT(Dong1),"",IF(OFFSET(TH!O$1,SMALL(Dong1,ROWS($1:21)),)="1111",OFFSET(TH!D$1,SMALL(Dong1,ROWS($1:21)),),""))</f>
        <v>0</v>
      </c>
      <c r="E34" s="331" t="str">
        <f ca="1">IF(ROWS($1:21)&gt;COUNT(Dong1),"",OFFSET(TH!F$1,SMALL(Dong1,ROWS($1:21)),))</f>
        <v>Sửa chữa xe 51A - 141.74</v>
      </c>
      <c r="F34" s="148" t="str">
        <f ca="1">IF(ROWS($1:21)&gt;COUNT(Dong1),"",IF(OFFSET(TH!O$1,SMALL(Dong1,ROWS($1:21)),)="1111",OFFSET(TH!N$1,SMALL(Dong1,ROWS($1:21)),),OFFSET(TH!O$1,SMALL(Dong1,ROWS($1:21)),)))</f>
        <v>642</v>
      </c>
      <c r="G34" s="149">
        <f ca="1">IF(ROWS($1:21)&gt;COUNT(Dong1),"",IF(OFFSET(TH!N$1,SMALL(Dong1,ROWS($1:21)),)="1111",OFFSET(TH!M$1,SMALL(Dong1,ROWS($1:21)),),0))</f>
        <v>0</v>
      </c>
      <c r="H34" s="147">
        <f ca="1">IF(ROWS($1:21)&gt;COUNT(Dong1),"",IF(OFFSET(TH!O$1,SMALL(Dong1,ROWS($1:21)),)="1111",OFFSET(TH!M$1,SMALL(Dong1,ROWS($1:21)),),0))</f>
        <v>3205000</v>
      </c>
      <c r="I34" s="145">
        <f t="shared" ca="1" si="1"/>
        <v>10358226224</v>
      </c>
      <c r="J34" s="150"/>
    </row>
    <row r="35" spans="1:10" s="135" customFormat="1" ht="19.5" customHeight="1">
      <c r="A35" s="144">
        <f ca="1">IF(ROWS($1:22)&gt;COUNT(Dong1),"",OFFSET(TH!C$1,SMALL(Dong1,ROWS($1:22)),))</f>
        <v>43075</v>
      </c>
      <c r="B35" s="144">
        <f ca="1">IF(ROWS($1:22)&gt;COUNT(Dong1),"",OFFSET(TH!E$1,SMALL(Dong1,ROWS($1:22)),))</f>
        <v>43075</v>
      </c>
      <c r="C35" s="145" t="str">
        <f ca="1">IF(ROWS($1:22)&gt;COUNT(Dong1),"",IF(OFFSET(TH!N$1,SMALL(Dong1,ROWS($1:22)),)="1111",OFFSET(TH!D$1,SMALL(Dong1,ROWS($1:22)),),""))</f>
        <v/>
      </c>
      <c r="D35" s="146">
        <f ca="1">IF(ROWS($1:22)&gt;COUNT(Dong1),"",IF(OFFSET(TH!O$1,SMALL(Dong1,ROWS($1:22)),)="1111",OFFSET(TH!D$1,SMALL(Dong1,ROWS($1:22)),),""))</f>
        <v>0</v>
      </c>
      <c r="E35" s="331" t="str">
        <f ca="1">IF(ROWS($1:22)&gt;COUNT(Dong1),"",OFFSET(TH!F$1,SMALL(Dong1,ROWS($1:22)),))</f>
        <v>VAT Sửa chữa xe 51A - 141.74</v>
      </c>
      <c r="F35" s="148" t="str">
        <f ca="1">IF(ROWS($1:22)&gt;COUNT(Dong1),"",IF(OFFSET(TH!O$1,SMALL(Dong1,ROWS($1:22)),)="1111",OFFSET(TH!N$1,SMALL(Dong1,ROWS($1:22)),),OFFSET(TH!O$1,SMALL(Dong1,ROWS($1:22)),)))</f>
        <v>1331</v>
      </c>
      <c r="G35" s="149">
        <f ca="1">IF(ROWS($1:22)&gt;COUNT(Dong1),"",IF(OFFSET(TH!N$1,SMALL(Dong1,ROWS($1:22)),)="1111",OFFSET(TH!M$1,SMALL(Dong1,ROWS($1:22)),),0))</f>
        <v>0</v>
      </c>
      <c r="H35" s="147">
        <f ca="1">IF(ROWS($1:22)&gt;COUNT(Dong1),"",IF(OFFSET(TH!O$1,SMALL(Dong1,ROWS($1:22)),)="1111",OFFSET(TH!M$1,SMALL(Dong1,ROWS($1:22)),),0))</f>
        <v>320500</v>
      </c>
      <c r="I35" s="145">
        <f t="shared" ca="1" si="1"/>
        <v>10357905724</v>
      </c>
      <c r="J35" s="150"/>
    </row>
    <row r="36" spans="1:10" s="135" customFormat="1" ht="19.5" customHeight="1">
      <c r="A36" s="144">
        <f ca="1">IF(ROWS($1:23)&gt;COUNT(Dong1),"",OFFSET(TH!C$1,SMALL(Dong1,ROWS($1:23)),))</f>
        <v>43075</v>
      </c>
      <c r="B36" s="144">
        <f ca="1">IF(ROWS($1:23)&gt;COUNT(Dong1),"",OFFSET(TH!E$1,SMALL(Dong1,ROWS($1:23)),))</f>
        <v>43075</v>
      </c>
      <c r="C36" s="145" t="str">
        <f ca="1">IF(ROWS($1:23)&gt;COUNT(Dong1),"",IF(OFFSET(TH!N$1,SMALL(Dong1,ROWS($1:23)),)="1111",OFFSET(TH!D$1,SMALL(Dong1,ROWS($1:23)),),""))</f>
        <v/>
      </c>
      <c r="D36" s="146">
        <f ca="1">IF(ROWS($1:23)&gt;COUNT(Dong1),"",IF(OFFSET(TH!O$1,SMALL(Dong1,ROWS($1:23)),)="1111",OFFSET(TH!D$1,SMALL(Dong1,ROWS($1:23)),),""))</f>
        <v>0</v>
      </c>
      <c r="E36" s="331" t="str">
        <f ca="1">IF(ROWS($1:23)&gt;COUNT(Dong1),"",OFFSET(TH!F$1,SMALL(Dong1,ROWS($1:23)),))</f>
        <v>Cước VT - CNTT T11/17</v>
      </c>
      <c r="F36" s="148" t="str">
        <f ca="1">IF(ROWS($1:23)&gt;COUNT(Dong1),"",IF(OFFSET(TH!O$1,SMALL(Dong1,ROWS($1:23)),)="1111",OFFSET(TH!N$1,SMALL(Dong1,ROWS($1:23)),),OFFSET(TH!O$1,SMALL(Dong1,ROWS($1:23)),)))</f>
        <v>642</v>
      </c>
      <c r="G36" s="149">
        <f ca="1">IF(ROWS($1:23)&gt;COUNT(Dong1),"",IF(OFFSET(TH!N$1,SMALL(Dong1,ROWS($1:23)),)="1111",OFFSET(TH!M$1,SMALL(Dong1,ROWS($1:23)),),0))</f>
        <v>0</v>
      </c>
      <c r="H36" s="147">
        <f ca="1">IF(ROWS($1:23)&gt;COUNT(Dong1),"",IF(OFFSET(TH!O$1,SMALL(Dong1,ROWS($1:23)),)="1111",OFFSET(TH!M$1,SMALL(Dong1,ROWS($1:23)),),0))</f>
        <v>1928035</v>
      </c>
      <c r="I36" s="145">
        <f t="shared" ca="1" si="1"/>
        <v>10355977689</v>
      </c>
      <c r="J36" s="150"/>
    </row>
    <row r="37" spans="1:10" s="135" customFormat="1" ht="19.5" customHeight="1">
      <c r="A37" s="144">
        <f ca="1">IF(ROWS($1:24)&gt;COUNT(Dong1),"",OFFSET(TH!C$1,SMALL(Dong1,ROWS($1:24)),))</f>
        <v>43075</v>
      </c>
      <c r="B37" s="144">
        <f ca="1">IF(ROWS($1:24)&gt;COUNT(Dong1),"",OFFSET(TH!E$1,SMALL(Dong1,ROWS($1:24)),))</f>
        <v>43075</v>
      </c>
      <c r="C37" s="145" t="str">
        <f ca="1">IF(ROWS($1:24)&gt;COUNT(Dong1),"",IF(OFFSET(TH!N$1,SMALL(Dong1,ROWS($1:24)),)="1111",OFFSET(TH!D$1,SMALL(Dong1,ROWS($1:24)),),""))</f>
        <v/>
      </c>
      <c r="D37" s="146">
        <f ca="1">IF(ROWS($1:24)&gt;COUNT(Dong1),"",IF(OFFSET(TH!O$1,SMALL(Dong1,ROWS($1:24)),)="1111",OFFSET(TH!D$1,SMALL(Dong1,ROWS($1:24)),),""))</f>
        <v>0</v>
      </c>
      <c r="E37" s="331" t="str">
        <f ca="1">IF(ROWS($1:24)&gt;COUNT(Dong1),"",OFFSET(TH!F$1,SMALL(Dong1,ROWS($1:24)),))</f>
        <v>VAT Cước VT - CNTT T11/17</v>
      </c>
      <c r="F37" s="148" t="str">
        <f ca="1">IF(ROWS($1:24)&gt;COUNT(Dong1),"",IF(OFFSET(TH!O$1,SMALL(Dong1,ROWS($1:24)),)="1111",OFFSET(TH!N$1,SMALL(Dong1,ROWS($1:24)),),OFFSET(TH!O$1,SMALL(Dong1,ROWS($1:24)),)))</f>
        <v>1331</v>
      </c>
      <c r="G37" s="149">
        <f ca="1">IF(ROWS($1:24)&gt;COUNT(Dong1),"",IF(OFFSET(TH!N$1,SMALL(Dong1,ROWS($1:24)),)="1111",OFFSET(TH!M$1,SMALL(Dong1,ROWS($1:24)),),0))</f>
        <v>0</v>
      </c>
      <c r="H37" s="147">
        <f ca="1">IF(ROWS($1:24)&gt;COUNT(Dong1),"",IF(OFFSET(TH!O$1,SMALL(Dong1,ROWS($1:24)),)="1111",OFFSET(TH!M$1,SMALL(Dong1,ROWS($1:24)),),0))</f>
        <v>192804</v>
      </c>
      <c r="I37" s="145">
        <f t="shared" ca="1" si="1"/>
        <v>10355784885</v>
      </c>
      <c r="J37" s="150"/>
    </row>
    <row r="38" spans="1:10" s="135" customFormat="1" ht="19.5" customHeight="1">
      <c r="A38" s="144">
        <f ca="1">IF(ROWS($1:25)&gt;COUNT(Dong1),"",OFFSET(TH!C$1,SMALL(Dong1,ROWS($1:25)),))</f>
        <v>43075</v>
      </c>
      <c r="B38" s="144">
        <f ca="1">IF(ROWS($1:25)&gt;COUNT(Dong1),"",OFFSET(TH!E$1,SMALL(Dong1,ROWS($1:25)),))</f>
        <v>43075</v>
      </c>
      <c r="C38" s="145" t="str">
        <f ca="1">IF(ROWS($1:25)&gt;COUNT(Dong1),"",IF(OFFSET(TH!N$1,SMALL(Dong1,ROWS($1:25)),)="1111",OFFSET(TH!D$1,SMALL(Dong1,ROWS($1:25)),),""))</f>
        <v/>
      </c>
      <c r="D38" s="146">
        <f ca="1">IF(ROWS($1:25)&gt;COUNT(Dong1),"",IF(OFFSET(TH!O$1,SMALL(Dong1,ROWS($1:25)),)="1111",OFFSET(TH!D$1,SMALL(Dong1,ROWS($1:25)),),""))</f>
        <v>0</v>
      </c>
      <c r="E38" s="331" t="str">
        <f ca="1">IF(ROWS($1:25)&gt;COUNT(Dong1),"",OFFSET(TH!F$1,SMALL(Dong1,ROWS($1:25)),))</f>
        <v>Cước VT - CNTT T11/17</v>
      </c>
      <c r="F38" s="148" t="str">
        <f ca="1">IF(ROWS($1:25)&gt;COUNT(Dong1),"",IF(OFFSET(TH!O$1,SMALL(Dong1,ROWS($1:25)),)="1111",OFFSET(TH!N$1,SMALL(Dong1,ROWS($1:25)),),OFFSET(TH!O$1,SMALL(Dong1,ROWS($1:25)),)))</f>
        <v>642</v>
      </c>
      <c r="G38" s="149">
        <f ca="1">IF(ROWS($1:25)&gt;COUNT(Dong1),"",IF(OFFSET(TH!N$1,SMALL(Dong1,ROWS($1:25)),)="1111",OFFSET(TH!M$1,SMALL(Dong1,ROWS($1:25)),),0))</f>
        <v>0</v>
      </c>
      <c r="H38" s="147">
        <f ca="1">IF(ROWS($1:25)&gt;COUNT(Dong1),"",IF(OFFSET(TH!O$1,SMALL(Dong1,ROWS($1:25)),)="1111",OFFSET(TH!M$1,SMALL(Dong1,ROWS($1:25)),),0))</f>
        <v>921848</v>
      </c>
      <c r="I38" s="145">
        <f t="shared" ca="1" si="1"/>
        <v>10354863037</v>
      </c>
      <c r="J38" s="150"/>
    </row>
    <row r="39" spans="1:10" s="135" customFormat="1" ht="19.5" customHeight="1">
      <c r="A39" s="144">
        <f ca="1">IF(ROWS($1:26)&gt;COUNT(Dong1),"",OFFSET(TH!C$1,SMALL(Dong1,ROWS($1:26)),))</f>
        <v>43075</v>
      </c>
      <c r="B39" s="144">
        <f ca="1">IF(ROWS($1:26)&gt;COUNT(Dong1),"",OFFSET(TH!E$1,SMALL(Dong1,ROWS($1:26)),))</f>
        <v>43075</v>
      </c>
      <c r="C39" s="145" t="str">
        <f ca="1">IF(ROWS($1:26)&gt;COUNT(Dong1),"",IF(OFFSET(TH!N$1,SMALL(Dong1,ROWS($1:26)),)="1111",OFFSET(TH!D$1,SMALL(Dong1,ROWS($1:26)),),""))</f>
        <v/>
      </c>
      <c r="D39" s="146">
        <f ca="1">IF(ROWS($1:26)&gt;COUNT(Dong1),"",IF(OFFSET(TH!O$1,SMALL(Dong1,ROWS($1:26)),)="1111",OFFSET(TH!D$1,SMALL(Dong1,ROWS($1:26)),),""))</f>
        <v>0</v>
      </c>
      <c r="E39" s="331" t="str">
        <f ca="1">IF(ROWS($1:26)&gt;COUNT(Dong1),"",OFFSET(TH!F$1,SMALL(Dong1,ROWS($1:26)),))</f>
        <v>VAT Cước VT - CNTT T11/17</v>
      </c>
      <c r="F39" s="148" t="str">
        <f ca="1">IF(ROWS($1:26)&gt;COUNT(Dong1),"",IF(OFFSET(TH!O$1,SMALL(Dong1,ROWS($1:26)),)="1111",OFFSET(TH!N$1,SMALL(Dong1,ROWS($1:26)),),OFFSET(TH!O$1,SMALL(Dong1,ROWS($1:26)),)))</f>
        <v>1331</v>
      </c>
      <c r="G39" s="149">
        <f ca="1">IF(ROWS($1:26)&gt;COUNT(Dong1),"",IF(OFFSET(TH!N$1,SMALL(Dong1,ROWS($1:26)),)="1111",OFFSET(TH!M$1,SMALL(Dong1,ROWS($1:26)),),0))</f>
        <v>0</v>
      </c>
      <c r="H39" s="147">
        <f ca="1">IF(ROWS($1:26)&gt;COUNT(Dong1),"",IF(OFFSET(TH!O$1,SMALL(Dong1,ROWS($1:26)),)="1111",OFFSET(TH!M$1,SMALL(Dong1,ROWS($1:26)),),0))</f>
        <v>92185</v>
      </c>
      <c r="I39" s="145">
        <f t="shared" ca="1" si="1"/>
        <v>10354770852</v>
      </c>
      <c r="J39" s="150"/>
    </row>
    <row r="40" spans="1:10" s="135" customFormat="1" ht="19.5" customHeight="1">
      <c r="A40" s="144">
        <f ca="1">IF(ROWS($1:27)&gt;COUNT(Dong1),"",OFFSET(TH!C$1,SMALL(Dong1,ROWS($1:27)),))</f>
        <v>43075</v>
      </c>
      <c r="B40" s="144">
        <f ca="1">IF(ROWS($1:27)&gt;COUNT(Dong1),"",OFFSET(TH!E$1,SMALL(Dong1,ROWS($1:27)),))</f>
        <v>43075</v>
      </c>
      <c r="C40" s="145" t="str">
        <f ca="1">IF(ROWS($1:27)&gt;COUNT(Dong1),"",IF(OFFSET(TH!N$1,SMALL(Dong1,ROWS($1:27)),)="1111",OFFSET(TH!D$1,SMALL(Dong1,ROWS($1:27)),),""))</f>
        <v/>
      </c>
      <c r="D40" s="146">
        <f ca="1">IF(ROWS($1:27)&gt;COUNT(Dong1),"",IF(OFFSET(TH!O$1,SMALL(Dong1,ROWS($1:27)),)="1111",OFFSET(TH!D$1,SMALL(Dong1,ROWS($1:27)),),""))</f>
        <v>0</v>
      </c>
      <c r="E40" s="331" t="str">
        <f ca="1">IF(ROWS($1:27)&gt;COUNT(Dong1),"",OFFSET(TH!F$1,SMALL(Dong1,ROWS($1:27)),))</f>
        <v>Phí hạ bãi chờ xuất</v>
      </c>
      <c r="F40" s="148" t="str">
        <f ca="1">IF(ROWS($1:27)&gt;COUNT(Dong1),"",IF(OFFSET(TH!O$1,SMALL(Dong1,ROWS($1:27)),)="1111",OFFSET(TH!N$1,SMALL(Dong1,ROWS($1:27)),),OFFSET(TH!O$1,SMALL(Dong1,ROWS($1:27)),)))</f>
        <v>641</v>
      </c>
      <c r="G40" s="149">
        <f ca="1">IF(ROWS($1:27)&gt;COUNT(Dong1),"",IF(OFFSET(TH!N$1,SMALL(Dong1,ROWS($1:27)),)="1111",OFFSET(TH!M$1,SMALL(Dong1,ROWS($1:27)),),0))</f>
        <v>0</v>
      </c>
      <c r="H40" s="147">
        <f ca="1">IF(ROWS($1:27)&gt;COUNT(Dong1),"",IF(OFFSET(TH!O$1,SMALL(Dong1,ROWS($1:27)),)="1111",OFFSET(TH!M$1,SMALL(Dong1,ROWS($1:27)),),0))</f>
        <v>463636</v>
      </c>
      <c r="I40" s="145">
        <f t="shared" ca="1" si="1"/>
        <v>10354307216</v>
      </c>
      <c r="J40" s="150"/>
    </row>
    <row r="41" spans="1:10" s="135" customFormat="1" ht="19.5" customHeight="1">
      <c r="A41" s="144">
        <f ca="1">IF(ROWS($1:28)&gt;COUNT(Dong1),"",OFFSET(TH!C$1,SMALL(Dong1,ROWS($1:28)),))</f>
        <v>43075</v>
      </c>
      <c r="B41" s="144">
        <f ca="1">IF(ROWS($1:28)&gt;COUNT(Dong1),"",OFFSET(TH!E$1,SMALL(Dong1,ROWS($1:28)),))</f>
        <v>43075</v>
      </c>
      <c r="C41" s="145" t="str">
        <f ca="1">IF(ROWS($1:28)&gt;COUNT(Dong1),"",IF(OFFSET(TH!N$1,SMALL(Dong1,ROWS($1:28)),)="1111",OFFSET(TH!D$1,SMALL(Dong1,ROWS($1:28)),),""))</f>
        <v/>
      </c>
      <c r="D41" s="146">
        <f ca="1">IF(ROWS($1:28)&gt;COUNT(Dong1),"",IF(OFFSET(TH!O$1,SMALL(Dong1,ROWS($1:28)),)="1111",OFFSET(TH!D$1,SMALL(Dong1,ROWS($1:28)),),""))</f>
        <v>0</v>
      </c>
      <c r="E41" s="331" t="str">
        <f ca="1">IF(ROWS($1:28)&gt;COUNT(Dong1),"",OFFSET(TH!F$1,SMALL(Dong1,ROWS($1:28)),))</f>
        <v>VAT Phí hạ bãi chờ xuất</v>
      </c>
      <c r="F41" s="148" t="str">
        <f ca="1">IF(ROWS($1:28)&gt;COUNT(Dong1),"",IF(OFFSET(TH!O$1,SMALL(Dong1,ROWS($1:28)),)="1111",OFFSET(TH!N$1,SMALL(Dong1,ROWS($1:28)),),OFFSET(TH!O$1,SMALL(Dong1,ROWS($1:28)),)))</f>
        <v>1331</v>
      </c>
      <c r="G41" s="149">
        <f ca="1">IF(ROWS($1:28)&gt;COUNT(Dong1),"",IF(OFFSET(TH!N$1,SMALL(Dong1,ROWS($1:28)),)="1111",OFFSET(TH!M$1,SMALL(Dong1,ROWS($1:28)),),0))</f>
        <v>0</v>
      </c>
      <c r="H41" s="147">
        <f ca="1">IF(ROWS($1:28)&gt;COUNT(Dong1),"",IF(OFFSET(TH!O$1,SMALL(Dong1,ROWS($1:28)),)="1111",OFFSET(TH!M$1,SMALL(Dong1,ROWS($1:28)),),0))</f>
        <v>46364</v>
      </c>
      <c r="I41" s="145">
        <f t="shared" ca="1" si="1"/>
        <v>10354260852</v>
      </c>
      <c r="J41" s="150"/>
    </row>
    <row r="42" spans="1:10" s="135" customFormat="1" ht="19.5" customHeight="1">
      <c r="A42" s="144">
        <f ca="1">IF(ROWS($1:29)&gt;COUNT(Dong1),"",OFFSET(TH!C$1,SMALL(Dong1,ROWS($1:29)),))</f>
        <v>43075</v>
      </c>
      <c r="B42" s="144">
        <f ca="1">IF(ROWS($1:29)&gt;COUNT(Dong1),"",OFFSET(TH!E$1,SMALL(Dong1,ROWS($1:29)),))</f>
        <v>43075</v>
      </c>
      <c r="C42" s="145" t="str">
        <f ca="1">IF(ROWS($1:29)&gt;COUNT(Dong1),"",IF(OFFSET(TH!N$1,SMALL(Dong1,ROWS($1:29)),)="1111",OFFSET(TH!D$1,SMALL(Dong1,ROWS($1:29)),),""))</f>
        <v/>
      </c>
      <c r="D42" s="146" t="str">
        <f ca="1">IF(ROWS($1:29)&gt;COUNT(Dong1),"",IF(OFFSET(TH!O$1,SMALL(Dong1,ROWS($1:29)),)="1111",OFFSET(TH!D$1,SMALL(Dong1,ROWS($1:29)),),""))</f>
        <v>CHI</v>
      </c>
      <c r="E42" s="331" t="str">
        <f ca="1">IF(ROWS($1:29)&gt;COUNT(Dong1),"",OFFSET(TH!F$1,SMALL(Dong1,ROWS($1:29)),))</f>
        <v>Nộp tiền mặt vào TK</v>
      </c>
      <c r="F42" s="148" t="str">
        <f ca="1">IF(ROWS($1:29)&gt;COUNT(Dong1),"",IF(OFFSET(TH!O$1,SMALL(Dong1,ROWS($1:29)),)="1111",OFFSET(TH!N$1,SMALL(Dong1,ROWS($1:29)),),OFFSET(TH!O$1,SMALL(Dong1,ROWS($1:29)),)))</f>
        <v>1121</v>
      </c>
      <c r="G42" s="149">
        <f ca="1">IF(ROWS($1:29)&gt;COUNT(Dong1),"",IF(OFFSET(TH!N$1,SMALL(Dong1,ROWS($1:29)),)="1111",OFFSET(TH!M$1,SMALL(Dong1,ROWS($1:29)),),0))</f>
        <v>0</v>
      </c>
      <c r="H42" s="147">
        <f ca="1">IF(ROWS($1:29)&gt;COUNT(Dong1),"",IF(OFFSET(TH!O$1,SMALL(Dong1,ROWS($1:29)),)="1111",OFFSET(TH!M$1,SMALL(Dong1,ROWS($1:29)),),0))</f>
        <v>30000000</v>
      </c>
      <c r="I42" s="145">
        <f t="shared" ca="1" si="1"/>
        <v>10324260852</v>
      </c>
      <c r="J42" s="150"/>
    </row>
    <row r="43" spans="1:10" s="135" customFormat="1" ht="19.5" customHeight="1">
      <c r="A43" s="144">
        <f ca="1">IF(ROWS($1:30)&gt;COUNT(Dong1),"",OFFSET(TH!C$1,SMALL(Dong1,ROWS($1:30)),))</f>
        <v>43076</v>
      </c>
      <c r="B43" s="144">
        <f ca="1">IF(ROWS($1:30)&gt;COUNT(Dong1),"",OFFSET(TH!E$1,SMALL(Dong1,ROWS($1:30)),))</f>
        <v>43076</v>
      </c>
      <c r="C43" s="145" t="str">
        <f ca="1">IF(ROWS($1:30)&gt;COUNT(Dong1),"",IF(OFFSET(TH!N$1,SMALL(Dong1,ROWS($1:30)),)="1111",OFFSET(TH!D$1,SMALL(Dong1,ROWS($1:30)),),""))</f>
        <v/>
      </c>
      <c r="D43" s="146">
        <f ca="1">IF(ROWS($1:30)&gt;COUNT(Dong1),"",IF(OFFSET(TH!O$1,SMALL(Dong1,ROWS($1:30)),)="1111",OFFSET(TH!D$1,SMALL(Dong1,ROWS($1:30)),),""))</f>
        <v>0</v>
      </c>
      <c r="E43" s="331" t="str">
        <f ca="1">IF(ROWS($1:30)&gt;COUNT(Dong1),"",OFFSET(TH!F$1,SMALL(Dong1,ROWS($1:30)),))</f>
        <v>Phí phân tích thí nghiệm</v>
      </c>
      <c r="F43" s="148" t="str">
        <f ca="1">IF(ROWS($1:30)&gt;COUNT(Dong1),"",IF(OFFSET(TH!O$1,SMALL(Dong1,ROWS($1:30)),)="1111",OFFSET(TH!N$1,SMALL(Dong1,ROWS($1:30)),),OFFSET(TH!O$1,SMALL(Dong1,ROWS($1:30)),)))</f>
        <v>642</v>
      </c>
      <c r="G43" s="149">
        <f ca="1">IF(ROWS($1:30)&gt;COUNT(Dong1),"",IF(OFFSET(TH!N$1,SMALL(Dong1,ROWS($1:30)),)="1111",OFFSET(TH!M$1,SMALL(Dong1,ROWS($1:30)),),0))</f>
        <v>0</v>
      </c>
      <c r="H43" s="147">
        <f ca="1">IF(ROWS($1:30)&gt;COUNT(Dong1),"",IF(OFFSET(TH!O$1,SMALL(Dong1,ROWS($1:30)),)="1111",OFFSET(TH!M$1,SMALL(Dong1,ROWS($1:30)),),0))</f>
        <v>3500000</v>
      </c>
      <c r="I43" s="145">
        <f t="shared" ca="1" si="1"/>
        <v>10320760852</v>
      </c>
      <c r="J43" s="150"/>
    </row>
    <row r="44" spans="1:10" s="135" customFormat="1" ht="19.5" customHeight="1">
      <c r="A44" s="144">
        <f ca="1">IF(ROWS($1:31)&gt;COUNT(Dong1),"",OFFSET(TH!C$1,SMALL(Dong1,ROWS($1:31)),))</f>
        <v>43076</v>
      </c>
      <c r="B44" s="144">
        <f ca="1">IF(ROWS($1:31)&gt;COUNT(Dong1),"",OFFSET(TH!E$1,SMALL(Dong1,ROWS($1:31)),))</f>
        <v>43076</v>
      </c>
      <c r="C44" s="145" t="str">
        <f ca="1">IF(ROWS($1:31)&gt;COUNT(Dong1),"",IF(OFFSET(TH!N$1,SMALL(Dong1,ROWS($1:31)),)="1111",OFFSET(TH!D$1,SMALL(Dong1,ROWS($1:31)),),""))</f>
        <v/>
      </c>
      <c r="D44" s="146">
        <f ca="1">IF(ROWS($1:31)&gt;COUNT(Dong1),"",IF(OFFSET(TH!O$1,SMALL(Dong1,ROWS($1:31)),)="1111",OFFSET(TH!D$1,SMALL(Dong1,ROWS($1:31)),),""))</f>
        <v>0</v>
      </c>
      <c r="E44" s="331" t="str">
        <f ca="1">IF(ROWS($1:31)&gt;COUNT(Dong1),"",OFFSET(TH!F$1,SMALL(Dong1,ROWS($1:31)),))</f>
        <v>VAT Phí phân tích thí nghiệm</v>
      </c>
      <c r="F44" s="148" t="str">
        <f ca="1">IF(ROWS($1:31)&gt;COUNT(Dong1),"",IF(OFFSET(TH!O$1,SMALL(Dong1,ROWS($1:31)),)="1111",OFFSET(TH!N$1,SMALL(Dong1,ROWS($1:31)),),OFFSET(TH!O$1,SMALL(Dong1,ROWS($1:31)),)))</f>
        <v>1331</v>
      </c>
      <c r="G44" s="149">
        <f ca="1">IF(ROWS($1:31)&gt;COUNT(Dong1),"",IF(OFFSET(TH!N$1,SMALL(Dong1,ROWS($1:31)),)="1111",OFFSET(TH!M$1,SMALL(Dong1,ROWS($1:31)),),0))</f>
        <v>0</v>
      </c>
      <c r="H44" s="147">
        <f ca="1">IF(ROWS($1:31)&gt;COUNT(Dong1),"",IF(OFFSET(TH!O$1,SMALL(Dong1,ROWS($1:31)),)="1111",OFFSET(TH!M$1,SMALL(Dong1,ROWS($1:31)),),0))</f>
        <v>175000</v>
      </c>
      <c r="I44" s="145">
        <f t="shared" ca="1" si="1"/>
        <v>10320585852</v>
      </c>
      <c r="J44" s="150"/>
    </row>
    <row r="45" spans="1:10" s="135" customFormat="1" ht="19.5" customHeight="1">
      <c r="A45" s="144">
        <f ca="1">IF(ROWS($1:32)&gt;COUNT(Dong1),"",OFFSET(TH!C$1,SMALL(Dong1,ROWS($1:32)),))</f>
        <v>43076</v>
      </c>
      <c r="B45" s="144">
        <f ca="1">IF(ROWS($1:32)&gt;COUNT(Dong1),"",OFFSET(TH!E$1,SMALL(Dong1,ROWS($1:32)),))</f>
        <v>43076</v>
      </c>
      <c r="C45" s="145" t="str">
        <f ca="1">IF(ROWS($1:32)&gt;COUNT(Dong1),"",IF(OFFSET(TH!N$1,SMALL(Dong1,ROWS($1:32)),)="1111",OFFSET(TH!D$1,SMALL(Dong1,ROWS($1:32)),),""))</f>
        <v/>
      </c>
      <c r="D45" s="146">
        <f ca="1">IF(ROWS($1:32)&gt;COUNT(Dong1),"",IF(OFFSET(TH!O$1,SMALL(Dong1,ROWS($1:32)),)="1111",OFFSET(TH!D$1,SMALL(Dong1,ROWS($1:32)),),""))</f>
        <v>0</v>
      </c>
      <c r="E45" s="331" t="str">
        <f ca="1">IF(ROWS($1:32)&gt;COUNT(Dong1),"",OFFSET(TH!F$1,SMALL(Dong1,ROWS($1:32)),))</f>
        <v>Phí phân tích thí nghiệm</v>
      </c>
      <c r="F45" s="148" t="str">
        <f ca="1">IF(ROWS($1:32)&gt;COUNT(Dong1),"",IF(OFFSET(TH!O$1,SMALL(Dong1,ROWS($1:32)),)="1111",OFFSET(TH!N$1,SMALL(Dong1,ROWS($1:32)),),OFFSET(TH!O$1,SMALL(Dong1,ROWS($1:32)),)))</f>
        <v>642</v>
      </c>
      <c r="G45" s="149">
        <f ca="1">IF(ROWS($1:32)&gt;COUNT(Dong1),"",IF(OFFSET(TH!N$1,SMALL(Dong1,ROWS($1:32)),)="1111",OFFSET(TH!M$1,SMALL(Dong1,ROWS($1:32)),),0))</f>
        <v>0</v>
      </c>
      <c r="H45" s="147">
        <f ca="1">IF(ROWS($1:32)&gt;COUNT(Dong1),"",IF(OFFSET(TH!O$1,SMALL(Dong1,ROWS($1:32)),)="1111",OFFSET(TH!M$1,SMALL(Dong1,ROWS($1:32)),),0))</f>
        <v>400000</v>
      </c>
      <c r="I45" s="145">
        <f t="shared" ca="1" si="1"/>
        <v>10320185852</v>
      </c>
      <c r="J45" s="150"/>
    </row>
    <row r="46" spans="1:10" s="135" customFormat="1" ht="19.5" customHeight="1">
      <c r="A46" s="144">
        <f ca="1">IF(ROWS($1:33)&gt;COUNT(Dong1),"",OFFSET(TH!C$1,SMALL(Dong1,ROWS($1:33)),))</f>
        <v>43076</v>
      </c>
      <c r="B46" s="144">
        <f ca="1">IF(ROWS($1:33)&gt;COUNT(Dong1),"",OFFSET(TH!E$1,SMALL(Dong1,ROWS($1:33)),))</f>
        <v>43076</v>
      </c>
      <c r="C46" s="145" t="str">
        <f ca="1">IF(ROWS($1:33)&gt;COUNT(Dong1),"",IF(OFFSET(TH!N$1,SMALL(Dong1,ROWS($1:33)),)="1111",OFFSET(TH!D$1,SMALL(Dong1,ROWS($1:33)),),""))</f>
        <v/>
      </c>
      <c r="D46" s="146">
        <f ca="1">IF(ROWS($1:33)&gt;COUNT(Dong1),"",IF(OFFSET(TH!O$1,SMALL(Dong1,ROWS($1:33)),)="1111",OFFSET(TH!D$1,SMALL(Dong1,ROWS($1:33)),),""))</f>
        <v>0</v>
      </c>
      <c r="E46" s="331" t="str">
        <f ca="1">IF(ROWS($1:33)&gt;COUNT(Dong1),"",OFFSET(TH!F$1,SMALL(Dong1,ROWS($1:33)),))</f>
        <v>VAT Phí phân tích thí nghiệm</v>
      </c>
      <c r="F46" s="148" t="str">
        <f ca="1">IF(ROWS($1:33)&gt;COUNT(Dong1),"",IF(OFFSET(TH!O$1,SMALL(Dong1,ROWS($1:33)),)="1111",OFFSET(TH!N$1,SMALL(Dong1,ROWS($1:33)),),OFFSET(TH!O$1,SMALL(Dong1,ROWS($1:33)),)))</f>
        <v>1331</v>
      </c>
      <c r="G46" s="149">
        <f ca="1">IF(ROWS($1:33)&gt;COUNT(Dong1),"",IF(OFFSET(TH!N$1,SMALL(Dong1,ROWS($1:33)),)="1111",OFFSET(TH!M$1,SMALL(Dong1,ROWS($1:33)),),0))</f>
        <v>0</v>
      </c>
      <c r="H46" s="147">
        <f ca="1">IF(ROWS($1:33)&gt;COUNT(Dong1),"",IF(OFFSET(TH!O$1,SMALL(Dong1,ROWS($1:33)),)="1111",OFFSET(TH!M$1,SMALL(Dong1,ROWS($1:33)),),0))</f>
        <v>20000</v>
      </c>
      <c r="I46" s="145">
        <f t="shared" ca="1" si="1"/>
        <v>10320165852</v>
      </c>
      <c r="J46" s="150"/>
    </row>
    <row r="47" spans="1:10" s="135" customFormat="1" ht="19.5" customHeight="1">
      <c r="A47" s="144">
        <f ca="1">IF(ROWS($1:34)&gt;COUNT(Dong1),"",OFFSET(TH!C$1,SMALL(Dong1,ROWS($1:34)),))</f>
        <v>43077</v>
      </c>
      <c r="B47" s="144">
        <f ca="1">IF(ROWS($1:34)&gt;COUNT(Dong1),"",OFFSET(TH!E$1,SMALL(Dong1,ROWS($1:34)),))</f>
        <v>43077</v>
      </c>
      <c r="C47" s="145" t="str">
        <f ca="1">IF(ROWS($1:34)&gt;COUNT(Dong1),"",IF(OFFSET(TH!N$1,SMALL(Dong1,ROWS($1:34)),)="1111",OFFSET(TH!D$1,SMALL(Dong1,ROWS($1:34)),),""))</f>
        <v/>
      </c>
      <c r="D47" s="146">
        <f ca="1">IF(ROWS($1:34)&gt;COUNT(Dong1),"",IF(OFFSET(TH!O$1,SMALL(Dong1,ROWS($1:34)),)="1111",OFFSET(TH!D$1,SMALL(Dong1,ROWS($1:34)),),""))</f>
        <v>0</v>
      </c>
      <c r="E47" s="331" t="str">
        <f ca="1">IF(ROWS($1:34)&gt;COUNT(Dong1),"",OFFSET(TH!F$1,SMALL(Dong1,ROWS($1:34)),))</f>
        <v>Phí xét nghiệm nước</v>
      </c>
      <c r="F47" s="148" t="str">
        <f ca="1">IF(ROWS($1:34)&gt;COUNT(Dong1),"",IF(OFFSET(TH!O$1,SMALL(Dong1,ROWS($1:34)),)="1111",OFFSET(TH!N$1,SMALL(Dong1,ROWS($1:34)),),OFFSET(TH!O$1,SMALL(Dong1,ROWS($1:34)),)))</f>
        <v>642</v>
      </c>
      <c r="G47" s="149">
        <f ca="1">IF(ROWS($1:34)&gt;COUNT(Dong1),"",IF(OFFSET(TH!N$1,SMALL(Dong1,ROWS($1:34)),)="1111",OFFSET(TH!M$1,SMALL(Dong1,ROWS($1:34)),),0))</f>
        <v>0</v>
      </c>
      <c r="H47" s="147">
        <f ca="1">IF(ROWS($1:34)&gt;COUNT(Dong1),"",IF(OFFSET(TH!O$1,SMALL(Dong1,ROWS($1:34)),)="1111",OFFSET(TH!M$1,SMALL(Dong1,ROWS($1:34)),),0))</f>
        <v>860000</v>
      </c>
      <c r="I47" s="145">
        <f t="shared" ca="1" si="1"/>
        <v>10319305852</v>
      </c>
      <c r="J47" s="150"/>
    </row>
    <row r="48" spans="1:10" s="135" customFormat="1" ht="19.5" customHeight="1">
      <c r="A48" s="144">
        <f ca="1">IF(ROWS($1:35)&gt;COUNT(Dong1),"",OFFSET(TH!C$1,SMALL(Dong1,ROWS($1:35)),))</f>
        <v>43077</v>
      </c>
      <c r="B48" s="144">
        <f ca="1">IF(ROWS($1:35)&gt;COUNT(Dong1),"",OFFSET(TH!E$1,SMALL(Dong1,ROWS($1:35)),))</f>
        <v>43077</v>
      </c>
      <c r="C48" s="145" t="str">
        <f ca="1">IF(ROWS($1:35)&gt;COUNT(Dong1),"",IF(OFFSET(TH!N$1,SMALL(Dong1,ROWS($1:35)),)="1111",OFFSET(TH!D$1,SMALL(Dong1,ROWS($1:35)),),""))</f>
        <v/>
      </c>
      <c r="D48" s="146">
        <f ca="1">IF(ROWS($1:35)&gt;COUNT(Dong1),"",IF(OFFSET(TH!O$1,SMALL(Dong1,ROWS($1:35)),)="1111",OFFSET(TH!D$1,SMALL(Dong1,ROWS($1:35)),),""))</f>
        <v>0</v>
      </c>
      <c r="E48" s="331" t="str">
        <f ca="1">IF(ROWS($1:35)&gt;COUNT(Dong1),"",OFFSET(TH!F$1,SMALL(Dong1,ROWS($1:35)),))</f>
        <v>VAT Phí xét nghiệm nước</v>
      </c>
      <c r="F48" s="148" t="str">
        <f ca="1">IF(ROWS($1:35)&gt;COUNT(Dong1),"",IF(OFFSET(TH!O$1,SMALL(Dong1,ROWS($1:35)),)="1111",OFFSET(TH!N$1,SMALL(Dong1,ROWS($1:35)),),OFFSET(TH!O$1,SMALL(Dong1,ROWS($1:35)),)))</f>
        <v>1331</v>
      </c>
      <c r="G48" s="149">
        <f ca="1">IF(ROWS($1:35)&gt;COUNT(Dong1),"",IF(OFFSET(TH!N$1,SMALL(Dong1,ROWS($1:35)),)="1111",OFFSET(TH!M$1,SMALL(Dong1,ROWS($1:35)),),0))</f>
        <v>0</v>
      </c>
      <c r="H48" s="147">
        <f ca="1">IF(ROWS($1:35)&gt;COUNT(Dong1),"",IF(OFFSET(TH!O$1,SMALL(Dong1,ROWS($1:35)),)="1111",OFFSET(TH!M$1,SMALL(Dong1,ROWS($1:35)),),0))</f>
        <v>86000</v>
      </c>
      <c r="I48" s="145">
        <f t="shared" ca="1" si="1"/>
        <v>10319219852</v>
      </c>
      <c r="J48" s="150"/>
    </row>
    <row r="49" spans="1:10" s="135" customFormat="1" ht="19.5" customHeight="1">
      <c r="A49" s="144">
        <f ca="1">IF(ROWS($1:36)&gt;COUNT(Dong1),"",OFFSET(TH!C$1,SMALL(Dong1,ROWS($1:36)),))</f>
        <v>43077</v>
      </c>
      <c r="B49" s="144">
        <f ca="1">IF(ROWS($1:36)&gt;COUNT(Dong1),"",OFFSET(TH!E$1,SMALL(Dong1,ROWS($1:36)),))</f>
        <v>43077</v>
      </c>
      <c r="C49" s="145" t="str">
        <f ca="1">IF(ROWS($1:36)&gt;COUNT(Dong1),"",IF(OFFSET(TH!N$1,SMALL(Dong1,ROWS($1:36)),)="1111",OFFSET(TH!D$1,SMALL(Dong1,ROWS($1:36)),),""))</f>
        <v/>
      </c>
      <c r="D49" s="146">
        <f ca="1">IF(ROWS($1:36)&gt;COUNT(Dong1),"",IF(OFFSET(TH!O$1,SMALL(Dong1,ROWS($1:36)),)="1111",OFFSET(TH!D$1,SMALL(Dong1,ROWS($1:36)),),""))</f>
        <v>0</v>
      </c>
      <c r="E49" s="331" t="str">
        <f ca="1">IF(ROWS($1:36)&gt;COUNT(Dong1),"",OFFSET(TH!F$1,SMALL(Dong1,ROWS($1:36)),))</f>
        <v>Thanh toán tiền cá cơm NL</v>
      </c>
      <c r="F49" s="148" t="str">
        <f ca="1">IF(ROWS($1:36)&gt;COUNT(Dong1),"",IF(OFFSET(TH!O$1,SMALL(Dong1,ROWS($1:36)),)="1111",OFFSET(TH!N$1,SMALL(Dong1,ROWS($1:36)),),OFFSET(TH!O$1,SMALL(Dong1,ROWS($1:36)),)))</f>
        <v>331</v>
      </c>
      <c r="G49" s="149">
        <f ca="1">IF(ROWS($1:36)&gt;COUNT(Dong1),"",IF(OFFSET(TH!N$1,SMALL(Dong1,ROWS($1:36)),)="1111",OFFSET(TH!M$1,SMALL(Dong1,ROWS($1:36)),),0))</f>
        <v>0</v>
      </c>
      <c r="H49" s="147">
        <f ca="1">IF(ROWS($1:36)&gt;COUNT(Dong1),"",IF(OFFSET(TH!O$1,SMALL(Dong1,ROWS($1:36)),)="1111",OFFSET(TH!M$1,SMALL(Dong1,ROWS($1:36)),),0))</f>
        <v>2036600000</v>
      </c>
      <c r="I49" s="145">
        <f t="shared" ca="1" si="1"/>
        <v>8282619852</v>
      </c>
      <c r="J49" s="150"/>
    </row>
    <row r="50" spans="1:10" s="135" customFormat="1" ht="19.5" customHeight="1">
      <c r="A50" s="144">
        <f ca="1">IF(ROWS($1:37)&gt;COUNT(Dong1),"",OFFSET(TH!C$1,SMALL(Dong1,ROWS($1:37)),))</f>
        <v>43077</v>
      </c>
      <c r="B50" s="144">
        <f ca="1">IF(ROWS($1:37)&gt;COUNT(Dong1),"",OFFSET(TH!E$1,SMALL(Dong1,ROWS($1:37)),))</f>
        <v>43077</v>
      </c>
      <c r="C50" s="145" t="str">
        <f ca="1">IF(ROWS($1:37)&gt;COUNT(Dong1),"",IF(OFFSET(TH!N$1,SMALL(Dong1,ROWS($1:37)),)="1111",OFFSET(TH!D$1,SMALL(Dong1,ROWS($1:37)),),""))</f>
        <v/>
      </c>
      <c r="D50" s="146">
        <f ca="1">IF(ROWS($1:37)&gt;COUNT(Dong1),"",IF(OFFSET(TH!O$1,SMALL(Dong1,ROWS($1:37)),)="1111",OFFSET(TH!D$1,SMALL(Dong1,ROWS($1:37)),),""))</f>
        <v>0</v>
      </c>
      <c r="E50" s="331" t="str">
        <f ca="1">IF(ROWS($1:37)&gt;COUNT(Dong1),"",OFFSET(TH!F$1,SMALL(Dong1,ROWS($1:37)),))</f>
        <v>Phí chuyển tiền</v>
      </c>
      <c r="F50" s="148" t="str">
        <f ca="1">IF(ROWS($1:37)&gt;COUNT(Dong1),"",IF(OFFSET(TH!O$1,SMALL(Dong1,ROWS($1:37)),)="1111",OFFSET(TH!N$1,SMALL(Dong1,ROWS($1:37)),),OFFSET(TH!O$1,SMALL(Dong1,ROWS($1:37)),)))</f>
        <v>642</v>
      </c>
      <c r="G50" s="149">
        <f ca="1">IF(ROWS($1:37)&gt;COUNT(Dong1),"",IF(OFFSET(TH!N$1,SMALL(Dong1,ROWS($1:37)),)="1111",OFFSET(TH!M$1,SMALL(Dong1,ROWS($1:37)),),0))</f>
        <v>0</v>
      </c>
      <c r="H50" s="147">
        <f ca="1">IF(ROWS($1:37)&gt;COUNT(Dong1),"",IF(OFFSET(TH!O$1,SMALL(Dong1,ROWS($1:37)),)="1111",OFFSET(TH!M$1,SMALL(Dong1,ROWS($1:37)),),0))</f>
        <v>1792208</v>
      </c>
      <c r="I50" s="145">
        <f t="shared" ca="1" si="1"/>
        <v>8280827644</v>
      </c>
      <c r="J50" s="150"/>
    </row>
    <row r="51" spans="1:10" s="135" customFormat="1" ht="19.5" customHeight="1">
      <c r="A51" s="144">
        <f ca="1">IF(ROWS($1:38)&gt;COUNT(Dong1),"",OFFSET(TH!C$1,SMALL(Dong1,ROWS($1:38)),))</f>
        <v>43077</v>
      </c>
      <c r="B51" s="144">
        <f ca="1">IF(ROWS($1:38)&gt;COUNT(Dong1),"",OFFSET(TH!E$1,SMALL(Dong1,ROWS($1:38)),))</f>
        <v>43077</v>
      </c>
      <c r="C51" s="145" t="str">
        <f ca="1">IF(ROWS($1:38)&gt;COUNT(Dong1),"",IF(OFFSET(TH!N$1,SMALL(Dong1,ROWS($1:38)),)="1111",OFFSET(TH!D$1,SMALL(Dong1,ROWS($1:38)),),""))</f>
        <v/>
      </c>
      <c r="D51" s="146">
        <f ca="1">IF(ROWS($1:38)&gt;COUNT(Dong1),"",IF(OFFSET(TH!O$1,SMALL(Dong1,ROWS($1:38)),)="1111",OFFSET(TH!D$1,SMALL(Dong1,ROWS($1:38)),),""))</f>
        <v>0</v>
      </c>
      <c r="E51" s="331" t="str">
        <f ca="1">IF(ROWS($1:38)&gt;COUNT(Dong1),"",OFFSET(TH!F$1,SMALL(Dong1,ROWS($1:38)),))</f>
        <v>Thanh toán tiền cá cơm NL</v>
      </c>
      <c r="F51" s="148" t="str">
        <f ca="1">IF(ROWS($1:38)&gt;COUNT(Dong1),"",IF(OFFSET(TH!O$1,SMALL(Dong1,ROWS($1:38)),)="1111",OFFSET(TH!N$1,SMALL(Dong1,ROWS($1:38)),),OFFSET(TH!O$1,SMALL(Dong1,ROWS($1:38)),)))</f>
        <v>331</v>
      </c>
      <c r="G51" s="149">
        <f ca="1">IF(ROWS($1:38)&gt;COUNT(Dong1),"",IF(OFFSET(TH!N$1,SMALL(Dong1,ROWS($1:38)),)="1111",OFFSET(TH!M$1,SMALL(Dong1,ROWS($1:38)),),0))</f>
        <v>0</v>
      </c>
      <c r="H51" s="147">
        <f ca="1">IF(ROWS($1:38)&gt;COUNT(Dong1),"",IF(OFFSET(TH!O$1,SMALL(Dong1,ROWS($1:38)),)="1111",OFFSET(TH!M$1,SMALL(Dong1,ROWS($1:38)),),0))</f>
        <v>2427880000</v>
      </c>
      <c r="I51" s="145">
        <f t="shared" ca="1" si="1"/>
        <v>5852947644</v>
      </c>
      <c r="J51" s="150"/>
    </row>
    <row r="52" spans="1:10" s="135" customFormat="1" ht="19.5" customHeight="1">
      <c r="A52" s="144">
        <f ca="1">IF(ROWS($1:39)&gt;COUNT(Dong1),"",OFFSET(TH!C$1,SMALL(Dong1,ROWS($1:39)),))</f>
        <v>43077</v>
      </c>
      <c r="B52" s="144">
        <f ca="1">IF(ROWS($1:39)&gt;COUNT(Dong1),"",OFFSET(TH!E$1,SMALL(Dong1,ROWS($1:39)),))</f>
        <v>43077</v>
      </c>
      <c r="C52" s="145" t="str">
        <f ca="1">IF(ROWS($1:39)&gt;COUNT(Dong1),"",IF(OFFSET(TH!N$1,SMALL(Dong1,ROWS($1:39)),)="1111",OFFSET(TH!D$1,SMALL(Dong1,ROWS($1:39)),),""))</f>
        <v/>
      </c>
      <c r="D52" s="146">
        <f ca="1">IF(ROWS($1:39)&gt;COUNT(Dong1),"",IF(OFFSET(TH!O$1,SMALL(Dong1,ROWS($1:39)),)="1111",OFFSET(TH!D$1,SMALL(Dong1,ROWS($1:39)),),""))</f>
        <v>0</v>
      </c>
      <c r="E52" s="331" t="str">
        <f ca="1">IF(ROWS($1:39)&gt;COUNT(Dong1),"",OFFSET(TH!F$1,SMALL(Dong1,ROWS($1:39)),))</f>
        <v>Phí chuyển tiền</v>
      </c>
      <c r="F52" s="148" t="str">
        <f ca="1">IF(ROWS($1:39)&gt;COUNT(Dong1),"",IF(OFFSET(TH!O$1,SMALL(Dong1,ROWS($1:39)),)="1111",OFFSET(TH!N$1,SMALL(Dong1,ROWS($1:39)),),OFFSET(TH!O$1,SMALL(Dong1,ROWS($1:39)),)))</f>
        <v>642</v>
      </c>
      <c r="G52" s="149">
        <f ca="1">IF(ROWS($1:39)&gt;COUNT(Dong1),"",IF(OFFSET(TH!N$1,SMALL(Dong1,ROWS($1:39)),)="1111",OFFSET(TH!M$1,SMALL(Dong1,ROWS($1:39)),),0))</f>
        <v>0</v>
      </c>
      <c r="H52" s="147">
        <f ca="1">IF(ROWS($1:39)&gt;COUNT(Dong1),"",IF(OFFSET(TH!O$1,SMALL(Dong1,ROWS($1:39)),)="1111",OFFSET(TH!M$1,SMALL(Dong1,ROWS($1:39)),),0))</f>
        <v>2136507</v>
      </c>
      <c r="I52" s="145">
        <f t="shared" ca="1" si="1"/>
        <v>5850811137</v>
      </c>
      <c r="J52" s="150"/>
    </row>
    <row r="53" spans="1:10" s="135" customFormat="1" ht="19.5" customHeight="1">
      <c r="A53" s="144">
        <f ca="1">IF(ROWS($1:40)&gt;COUNT(Dong1),"",OFFSET(TH!C$1,SMALL(Dong1,ROWS($1:40)),))</f>
        <v>43077</v>
      </c>
      <c r="B53" s="144">
        <f ca="1">IF(ROWS($1:40)&gt;COUNT(Dong1),"",OFFSET(TH!E$1,SMALL(Dong1,ROWS($1:40)),))</f>
        <v>43077</v>
      </c>
      <c r="C53" s="145" t="str">
        <f ca="1">IF(ROWS($1:40)&gt;COUNT(Dong1),"",IF(OFFSET(TH!N$1,SMALL(Dong1,ROWS($1:40)),)="1111",OFFSET(TH!D$1,SMALL(Dong1,ROWS($1:40)),),""))</f>
        <v>THU</v>
      </c>
      <c r="D53" s="146" t="str">
        <f ca="1">IF(ROWS($1:40)&gt;COUNT(Dong1),"",IF(OFFSET(TH!O$1,SMALL(Dong1,ROWS($1:40)),)="1111",OFFSET(TH!D$1,SMALL(Dong1,ROWS($1:40)),),""))</f>
        <v/>
      </c>
      <c r="E53" s="331" t="str">
        <f ca="1">IF(ROWS($1:40)&gt;COUNT(Dong1),"",OFFSET(TH!F$1,SMALL(Dong1,ROWS($1:40)),))</f>
        <v>Rút tiền gửi NH nhập quỹ TM</v>
      </c>
      <c r="F53" s="148" t="str">
        <f ca="1">IF(ROWS($1:40)&gt;COUNT(Dong1),"",IF(OFFSET(TH!O$1,SMALL(Dong1,ROWS($1:40)),)="1111",OFFSET(TH!N$1,SMALL(Dong1,ROWS($1:40)),),OFFSET(TH!O$1,SMALL(Dong1,ROWS($1:40)),)))</f>
        <v>1121</v>
      </c>
      <c r="G53" s="149">
        <f ca="1">IF(ROWS($1:40)&gt;COUNT(Dong1),"",IF(OFFSET(TH!N$1,SMALL(Dong1,ROWS($1:40)),)="1111",OFFSET(TH!M$1,SMALL(Dong1,ROWS($1:40)),),0))</f>
        <v>16390000000</v>
      </c>
      <c r="H53" s="147">
        <f ca="1">IF(ROWS($1:40)&gt;COUNT(Dong1),"",IF(OFFSET(TH!O$1,SMALL(Dong1,ROWS($1:40)),)="1111",OFFSET(TH!M$1,SMALL(Dong1,ROWS($1:40)),),0))</f>
        <v>0</v>
      </c>
      <c r="I53" s="145">
        <f t="shared" ca="1" si="1"/>
        <v>22240811137</v>
      </c>
      <c r="J53" s="150"/>
    </row>
    <row r="54" spans="1:10" s="135" customFormat="1" ht="19.5" customHeight="1">
      <c r="A54" s="144">
        <f ca="1">IF(ROWS($1:41)&gt;COUNT(Dong1),"",OFFSET(TH!C$1,SMALL(Dong1,ROWS($1:41)),))</f>
        <v>43077</v>
      </c>
      <c r="B54" s="144">
        <f ca="1">IF(ROWS($1:41)&gt;COUNT(Dong1),"",OFFSET(TH!E$1,SMALL(Dong1,ROWS($1:41)),))</f>
        <v>43077</v>
      </c>
      <c r="C54" s="145" t="str">
        <f ca="1">IF(ROWS($1:41)&gt;COUNT(Dong1),"",IF(OFFSET(TH!N$1,SMALL(Dong1,ROWS($1:41)),)="1111",OFFSET(TH!D$1,SMALL(Dong1,ROWS($1:41)),),""))</f>
        <v/>
      </c>
      <c r="D54" s="146" t="str">
        <f ca="1">IF(ROWS($1:41)&gt;COUNT(Dong1),"",IF(OFFSET(TH!O$1,SMALL(Dong1,ROWS($1:41)),)="1111",OFFSET(TH!D$1,SMALL(Dong1,ROWS($1:41)),),""))</f>
        <v>CHI</v>
      </c>
      <c r="E54" s="331" t="str">
        <f ca="1">IF(ROWS($1:41)&gt;COUNT(Dong1),"",OFFSET(TH!F$1,SMALL(Dong1,ROWS($1:41)),))</f>
        <v>Nộp tiền mặt vào TK</v>
      </c>
      <c r="F54" s="148" t="str">
        <f ca="1">IF(ROWS($1:41)&gt;COUNT(Dong1),"",IF(OFFSET(TH!O$1,SMALL(Dong1,ROWS($1:41)),)="1111",OFFSET(TH!N$1,SMALL(Dong1,ROWS($1:41)),),OFFSET(TH!O$1,SMALL(Dong1,ROWS($1:41)),)))</f>
        <v>1121</v>
      </c>
      <c r="G54" s="149">
        <f ca="1">IF(ROWS($1:41)&gt;COUNT(Dong1),"",IF(OFFSET(TH!N$1,SMALL(Dong1,ROWS($1:41)),)="1111",OFFSET(TH!M$1,SMALL(Dong1,ROWS($1:41)),),0))</f>
        <v>0</v>
      </c>
      <c r="H54" s="147">
        <f ca="1">IF(ROWS($1:41)&gt;COUNT(Dong1),"",IF(OFFSET(TH!O$1,SMALL(Dong1,ROWS($1:41)),)="1111",OFFSET(TH!M$1,SMALL(Dong1,ROWS($1:41)),),0))</f>
        <v>16090000000</v>
      </c>
      <c r="I54" s="145">
        <f t="shared" ca="1" si="1"/>
        <v>6150811137</v>
      </c>
      <c r="J54" s="150"/>
    </row>
    <row r="55" spans="1:10" s="135" customFormat="1" ht="19.5" customHeight="1">
      <c r="A55" s="144">
        <f ca="1">IF(ROWS($1:42)&gt;COUNT(Dong1),"",OFFSET(TH!C$1,SMALL(Dong1,ROWS($1:42)),))</f>
        <v>43082</v>
      </c>
      <c r="B55" s="144">
        <f ca="1">IF(ROWS($1:42)&gt;COUNT(Dong1),"",OFFSET(TH!E$1,SMALL(Dong1,ROWS($1:42)),))</f>
        <v>43082</v>
      </c>
      <c r="C55" s="145" t="str">
        <f ca="1">IF(ROWS($1:42)&gt;COUNT(Dong1),"",IF(OFFSET(TH!N$1,SMALL(Dong1,ROWS($1:42)),)="1111",OFFSET(TH!D$1,SMALL(Dong1,ROWS($1:42)),),""))</f>
        <v>GBN</v>
      </c>
      <c r="D55" s="146" t="str">
        <f ca="1">IF(ROWS($1:42)&gt;COUNT(Dong1),"",IF(OFFSET(TH!O$1,SMALL(Dong1,ROWS($1:42)),)="1111",OFFSET(TH!D$1,SMALL(Dong1,ROWS($1:42)),),""))</f>
        <v/>
      </c>
      <c r="E55" s="331" t="str">
        <f ca="1">IF(ROWS($1:42)&gt;COUNT(Dong1),"",OFFSET(TH!F$1,SMALL(Dong1,ROWS($1:42)),))</f>
        <v>Rút tiền gửi NH nhập quỹ TM</v>
      </c>
      <c r="F55" s="148" t="str">
        <f ca="1">IF(ROWS($1:42)&gt;COUNT(Dong1),"",IF(OFFSET(TH!O$1,SMALL(Dong1,ROWS($1:42)),)="1111",OFFSET(TH!N$1,SMALL(Dong1,ROWS($1:42)),),OFFSET(TH!O$1,SMALL(Dong1,ROWS($1:42)),)))</f>
        <v>1121</v>
      </c>
      <c r="G55" s="149">
        <f ca="1">IF(ROWS($1:42)&gt;COUNT(Dong1),"",IF(OFFSET(TH!N$1,SMALL(Dong1,ROWS($1:42)),)="1111",OFFSET(TH!M$1,SMALL(Dong1,ROWS($1:42)),),0))</f>
        <v>1700000000</v>
      </c>
      <c r="H55" s="147">
        <f ca="1">IF(ROWS($1:42)&gt;COUNT(Dong1),"",IF(OFFSET(TH!O$1,SMALL(Dong1,ROWS($1:42)),)="1111",OFFSET(TH!M$1,SMALL(Dong1,ROWS($1:42)),),0))</f>
        <v>0</v>
      </c>
      <c r="I55" s="145">
        <f t="shared" ca="1" si="1"/>
        <v>7850811137</v>
      </c>
      <c r="J55" s="150"/>
    </row>
    <row r="56" spans="1:10" s="135" customFormat="1" ht="19.5" customHeight="1">
      <c r="A56" s="144">
        <f ca="1">IF(ROWS($1:43)&gt;COUNT(Dong1),"",OFFSET(TH!C$1,SMALL(Dong1,ROWS($1:43)),))</f>
        <v>43082</v>
      </c>
      <c r="B56" s="144">
        <f ca="1">IF(ROWS($1:43)&gt;COUNT(Dong1),"",OFFSET(TH!E$1,SMALL(Dong1,ROWS($1:43)),))</f>
        <v>43082</v>
      </c>
      <c r="C56" s="145" t="str">
        <f ca="1">IF(ROWS($1:43)&gt;COUNT(Dong1),"",IF(OFFSET(TH!N$1,SMALL(Dong1,ROWS($1:43)),)="1111",OFFSET(TH!D$1,SMALL(Dong1,ROWS($1:43)),),""))</f>
        <v>GBN</v>
      </c>
      <c r="D56" s="146" t="str">
        <f ca="1">IF(ROWS($1:43)&gt;COUNT(Dong1),"",IF(OFFSET(TH!O$1,SMALL(Dong1,ROWS($1:43)),)="1111",OFFSET(TH!D$1,SMALL(Dong1,ROWS($1:43)),),""))</f>
        <v/>
      </c>
      <c r="E56" s="331" t="str">
        <f ca="1">IF(ROWS($1:43)&gt;COUNT(Dong1),"",OFFSET(TH!F$1,SMALL(Dong1,ROWS($1:43)),))</f>
        <v>Rút tiền gửi NH nhập quỹ TM</v>
      </c>
      <c r="F56" s="148" t="str">
        <f ca="1">IF(ROWS($1:43)&gt;COUNT(Dong1),"",IF(OFFSET(TH!O$1,SMALL(Dong1,ROWS($1:43)),)="1111",OFFSET(TH!N$1,SMALL(Dong1,ROWS($1:43)),),OFFSET(TH!O$1,SMALL(Dong1,ROWS($1:43)),)))</f>
        <v>1121</v>
      </c>
      <c r="G56" s="149">
        <f ca="1">IF(ROWS($1:43)&gt;COUNT(Dong1),"",IF(OFFSET(TH!N$1,SMALL(Dong1,ROWS($1:43)),)="1111",OFFSET(TH!M$1,SMALL(Dong1,ROWS($1:43)),),0))</f>
        <v>2800000000</v>
      </c>
      <c r="H56" s="147">
        <f ca="1">IF(ROWS($1:43)&gt;COUNT(Dong1),"",IF(OFFSET(TH!O$1,SMALL(Dong1,ROWS($1:43)),)="1111",OFFSET(TH!M$1,SMALL(Dong1,ROWS($1:43)),),0))</f>
        <v>0</v>
      </c>
      <c r="I56" s="145">
        <f t="shared" ca="1" si="1"/>
        <v>10650811137</v>
      </c>
      <c r="J56" s="150"/>
    </row>
    <row r="57" spans="1:10" s="135" customFormat="1" ht="19.5" customHeight="1">
      <c r="A57" s="144">
        <f ca="1">IF(ROWS($1:44)&gt;COUNT(Dong1),"",OFFSET(TH!C$1,SMALL(Dong1,ROWS($1:44)),))</f>
        <v>43083</v>
      </c>
      <c r="B57" s="144">
        <f ca="1">IF(ROWS($1:44)&gt;COUNT(Dong1),"",OFFSET(TH!E$1,SMALL(Dong1,ROWS($1:44)),))</f>
        <v>43083</v>
      </c>
      <c r="C57" s="145" t="str">
        <f ca="1">IF(ROWS($1:44)&gt;COUNT(Dong1),"",IF(OFFSET(TH!N$1,SMALL(Dong1,ROWS($1:44)),)="1111",OFFSET(TH!D$1,SMALL(Dong1,ROWS($1:44)),),""))</f>
        <v/>
      </c>
      <c r="D57" s="146">
        <f ca="1">IF(ROWS($1:44)&gt;COUNT(Dong1),"",IF(OFFSET(TH!O$1,SMALL(Dong1,ROWS($1:44)),)="1111",OFFSET(TH!D$1,SMALL(Dong1,ROWS($1:44)),),""))</f>
        <v>0</v>
      </c>
      <c r="E57" s="331" t="str">
        <f ca="1">IF(ROWS($1:44)&gt;COUNT(Dong1),"",OFFSET(TH!F$1,SMALL(Dong1,ROWS($1:44)),))</f>
        <v xml:space="preserve">Bình Ắc quy </v>
      </c>
      <c r="F57" s="148" t="str">
        <f ca="1">IF(ROWS($1:44)&gt;COUNT(Dong1),"",IF(OFFSET(TH!O$1,SMALL(Dong1,ROWS($1:44)),)="1111",OFFSET(TH!N$1,SMALL(Dong1,ROWS($1:44)),),OFFSET(TH!O$1,SMALL(Dong1,ROWS($1:44)),)))</f>
        <v>642</v>
      </c>
      <c r="G57" s="149">
        <f ca="1">IF(ROWS($1:44)&gt;COUNT(Dong1),"",IF(OFFSET(TH!N$1,SMALL(Dong1,ROWS($1:44)),)="1111",OFFSET(TH!M$1,SMALL(Dong1,ROWS($1:44)),),0))</f>
        <v>0</v>
      </c>
      <c r="H57" s="147">
        <f ca="1">IF(ROWS($1:44)&gt;COUNT(Dong1),"",IF(OFFSET(TH!O$1,SMALL(Dong1,ROWS($1:44)),)="1111",OFFSET(TH!M$1,SMALL(Dong1,ROWS($1:44)),),0))</f>
        <v>1800000</v>
      </c>
      <c r="I57" s="145">
        <f t="shared" ca="1" si="1"/>
        <v>10649011137</v>
      </c>
      <c r="J57" s="150"/>
    </row>
    <row r="58" spans="1:10" s="135" customFormat="1" ht="19.5" customHeight="1">
      <c r="A58" s="144">
        <f ca="1">IF(ROWS($1:45)&gt;COUNT(Dong1),"",OFFSET(TH!C$1,SMALL(Dong1,ROWS($1:45)),))</f>
        <v>43083</v>
      </c>
      <c r="B58" s="144">
        <f ca="1">IF(ROWS($1:45)&gt;COUNT(Dong1),"",OFFSET(TH!E$1,SMALL(Dong1,ROWS($1:45)),))</f>
        <v>43083</v>
      </c>
      <c r="C58" s="145" t="str">
        <f ca="1">IF(ROWS($1:45)&gt;COUNT(Dong1),"",IF(OFFSET(TH!N$1,SMALL(Dong1,ROWS($1:45)),)="1111",OFFSET(TH!D$1,SMALL(Dong1,ROWS($1:45)),),""))</f>
        <v/>
      </c>
      <c r="D58" s="146">
        <f ca="1">IF(ROWS($1:45)&gt;COUNT(Dong1),"",IF(OFFSET(TH!O$1,SMALL(Dong1,ROWS($1:45)),)="1111",OFFSET(TH!D$1,SMALL(Dong1,ROWS($1:45)),),""))</f>
        <v>0</v>
      </c>
      <c r="E58" s="331" t="str">
        <f ca="1">IF(ROWS($1:45)&gt;COUNT(Dong1),"",OFFSET(TH!F$1,SMALL(Dong1,ROWS($1:45)),))</f>
        <v xml:space="preserve">VAT Bình Ắc quy </v>
      </c>
      <c r="F58" s="148" t="str">
        <f ca="1">IF(ROWS($1:45)&gt;COUNT(Dong1),"",IF(OFFSET(TH!O$1,SMALL(Dong1,ROWS($1:45)),)="1111",OFFSET(TH!N$1,SMALL(Dong1,ROWS($1:45)),),OFFSET(TH!O$1,SMALL(Dong1,ROWS($1:45)),)))</f>
        <v>1331</v>
      </c>
      <c r="G58" s="149">
        <f ca="1">IF(ROWS($1:45)&gt;COUNT(Dong1),"",IF(OFFSET(TH!N$1,SMALL(Dong1,ROWS($1:45)),)="1111",OFFSET(TH!M$1,SMALL(Dong1,ROWS($1:45)),),0))</f>
        <v>0</v>
      </c>
      <c r="H58" s="147">
        <f ca="1">IF(ROWS($1:45)&gt;COUNT(Dong1),"",IF(OFFSET(TH!O$1,SMALL(Dong1,ROWS($1:45)),)="1111",OFFSET(TH!M$1,SMALL(Dong1,ROWS($1:45)),),0))</f>
        <v>180000</v>
      </c>
      <c r="I58" s="145">
        <f t="shared" ca="1" si="1"/>
        <v>10648831137</v>
      </c>
      <c r="J58" s="150"/>
    </row>
    <row r="59" spans="1:10" s="135" customFormat="1" ht="19.5" customHeight="1">
      <c r="A59" s="144">
        <f ca="1">IF(ROWS($1:46)&gt;COUNT(Dong1),"",OFFSET(TH!C$1,SMALL(Dong1,ROWS($1:46)),))</f>
        <v>43084</v>
      </c>
      <c r="B59" s="144">
        <f ca="1">IF(ROWS($1:46)&gt;COUNT(Dong1),"",OFFSET(TH!E$1,SMALL(Dong1,ROWS($1:46)),))</f>
        <v>43084</v>
      </c>
      <c r="C59" s="145" t="str">
        <f ca="1">IF(ROWS($1:46)&gt;COUNT(Dong1),"",IF(OFFSET(TH!N$1,SMALL(Dong1,ROWS($1:46)),)="1111",OFFSET(TH!D$1,SMALL(Dong1,ROWS($1:46)),),""))</f>
        <v/>
      </c>
      <c r="D59" s="146">
        <f ca="1">IF(ROWS($1:46)&gt;COUNT(Dong1),"",IF(OFFSET(TH!O$1,SMALL(Dong1,ROWS($1:46)),)="1111",OFFSET(TH!D$1,SMALL(Dong1,ROWS($1:46)),),""))</f>
        <v>0</v>
      </c>
      <c r="E59" s="331" t="str">
        <f ca="1">IF(ROWS($1:46)&gt;COUNT(Dong1),"",OFFSET(TH!F$1,SMALL(Dong1,ROWS($1:46)),))</f>
        <v>Gas</v>
      </c>
      <c r="F59" s="148" t="str">
        <f ca="1">IF(ROWS($1:46)&gt;COUNT(Dong1),"",IF(OFFSET(TH!O$1,SMALL(Dong1,ROWS($1:46)),)="1111",OFFSET(TH!N$1,SMALL(Dong1,ROWS($1:46)),),OFFSET(TH!O$1,SMALL(Dong1,ROWS($1:46)),)))</f>
        <v>154</v>
      </c>
      <c r="G59" s="149">
        <f ca="1">IF(ROWS($1:46)&gt;COUNT(Dong1),"",IF(OFFSET(TH!N$1,SMALL(Dong1,ROWS($1:46)),)="1111",OFFSET(TH!M$1,SMALL(Dong1,ROWS($1:46)),),0))</f>
        <v>0</v>
      </c>
      <c r="H59" s="147">
        <f ca="1">IF(ROWS($1:46)&gt;COUNT(Dong1),"",IF(OFFSET(TH!O$1,SMALL(Dong1,ROWS($1:46)),)="1111",OFFSET(TH!M$1,SMALL(Dong1,ROWS($1:46)),),0))</f>
        <v>11422727</v>
      </c>
      <c r="I59" s="145">
        <f t="shared" ca="1" si="1"/>
        <v>10637408410</v>
      </c>
      <c r="J59" s="150"/>
    </row>
    <row r="60" spans="1:10" s="135" customFormat="1" ht="19.5" customHeight="1">
      <c r="A60" s="144">
        <f ca="1">IF(ROWS($1:47)&gt;COUNT(Dong1),"",OFFSET(TH!C$1,SMALL(Dong1,ROWS($1:47)),))</f>
        <v>43084</v>
      </c>
      <c r="B60" s="144">
        <f ca="1">IF(ROWS($1:47)&gt;COUNT(Dong1),"",OFFSET(TH!E$1,SMALL(Dong1,ROWS($1:47)),))</f>
        <v>43084</v>
      </c>
      <c r="C60" s="145" t="str">
        <f ca="1">IF(ROWS($1:47)&gt;COUNT(Dong1),"",IF(OFFSET(TH!N$1,SMALL(Dong1,ROWS($1:47)),)="1111",OFFSET(TH!D$1,SMALL(Dong1,ROWS($1:47)),),""))</f>
        <v/>
      </c>
      <c r="D60" s="146">
        <f ca="1">IF(ROWS($1:47)&gt;COUNT(Dong1),"",IF(OFFSET(TH!O$1,SMALL(Dong1,ROWS($1:47)),)="1111",OFFSET(TH!D$1,SMALL(Dong1,ROWS($1:47)),),""))</f>
        <v>0</v>
      </c>
      <c r="E60" s="331" t="str">
        <f ca="1">IF(ROWS($1:47)&gt;COUNT(Dong1),"",OFFSET(TH!F$1,SMALL(Dong1,ROWS($1:47)),))</f>
        <v>VAT Gas</v>
      </c>
      <c r="F60" s="148" t="str">
        <f ca="1">IF(ROWS($1:47)&gt;COUNT(Dong1),"",IF(OFFSET(TH!O$1,SMALL(Dong1,ROWS($1:47)),)="1111",OFFSET(TH!N$1,SMALL(Dong1,ROWS($1:47)),),OFFSET(TH!O$1,SMALL(Dong1,ROWS($1:47)),)))</f>
        <v>1331</v>
      </c>
      <c r="G60" s="149">
        <f ca="1">IF(ROWS($1:47)&gt;COUNT(Dong1),"",IF(OFFSET(TH!N$1,SMALL(Dong1,ROWS($1:47)),)="1111",OFFSET(TH!M$1,SMALL(Dong1,ROWS($1:47)),),0))</f>
        <v>0</v>
      </c>
      <c r="H60" s="147">
        <f ca="1">IF(ROWS($1:47)&gt;COUNT(Dong1),"",IF(OFFSET(TH!O$1,SMALL(Dong1,ROWS($1:47)),)="1111",OFFSET(TH!M$1,SMALL(Dong1,ROWS($1:47)),),0))</f>
        <v>1142273</v>
      </c>
      <c r="I60" s="145">
        <f t="shared" ca="1" si="1"/>
        <v>10636266137</v>
      </c>
      <c r="J60" s="150"/>
    </row>
    <row r="61" spans="1:10" s="135" customFormat="1" ht="19.5" customHeight="1">
      <c r="A61" s="144">
        <f ca="1">IF(ROWS($1:48)&gt;COUNT(Dong1),"",OFFSET(TH!C$1,SMALL(Dong1,ROWS($1:48)),))</f>
        <v>43084</v>
      </c>
      <c r="B61" s="144">
        <f ca="1">IF(ROWS($1:48)&gt;COUNT(Dong1),"",OFFSET(TH!E$1,SMALL(Dong1,ROWS($1:48)),))</f>
        <v>43084</v>
      </c>
      <c r="C61" s="145" t="str">
        <f ca="1">IF(ROWS($1:48)&gt;COUNT(Dong1),"",IF(OFFSET(TH!N$1,SMALL(Dong1,ROWS($1:48)),)="1111",OFFSET(TH!D$1,SMALL(Dong1,ROWS($1:48)),),""))</f>
        <v/>
      </c>
      <c r="D61" s="146">
        <f ca="1">IF(ROWS($1:48)&gt;COUNT(Dong1),"",IF(OFFSET(TH!O$1,SMALL(Dong1,ROWS($1:48)),)="1111",OFFSET(TH!D$1,SMALL(Dong1,ROWS($1:48)),),""))</f>
        <v>0</v>
      </c>
      <c r="E61" s="331" t="str">
        <f ca="1">IF(ROWS($1:48)&gt;COUNT(Dong1),"",OFFSET(TH!F$1,SMALL(Dong1,ROWS($1:48)),))</f>
        <v>Xăng, Dầu DO</v>
      </c>
      <c r="F61" s="148" t="str">
        <f ca="1">IF(ROWS($1:48)&gt;COUNT(Dong1),"",IF(OFFSET(TH!O$1,SMALL(Dong1,ROWS($1:48)),)="1111",OFFSET(TH!N$1,SMALL(Dong1,ROWS($1:48)),),OFFSET(TH!O$1,SMALL(Dong1,ROWS($1:48)),)))</f>
        <v>642</v>
      </c>
      <c r="G61" s="149">
        <f ca="1">IF(ROWS($1:48)&gt;COUNT(Dong1),"",IF(OFFSET(TH!N$1,SMALL(Dong1,ROWS($1:48)),)="1111",OFFSET(TH!M$1,SMALL(Dong1,ROWS($1:48)),),0))</f>
        <v>0</v>
      </c>
      <c r="H61" s="147">
        <f ca="1">IF(ROWS($1:48)&gt;COUNT(Dong1),"",IF(OFFSET(TH!O$1,SMALL(Dong1,ROWS($1:48)),)="1111",OFFSET(TH!M$1,SMALL(Dong1,ROWS($1:48)),),0))</f>
        <v>2500072</v>
      </c>
      <c r="I61" s="145">
        <f t="shared" ca="1" si="1"/>
        <v>10633766065</v>
      </c>
      <c r="J61" s="150"/>
    </row>
    <row r="62" spans="1:10" s="135" customFormat="1" ht="19.5" customHeight="1">
      <c r="A62" s="144">
        <f ca="1">IF(ROWS($1:49)&gt;COUNT(Dong1),"",OFFSET(TH!C$1,SMALL(Dong1,ROWS($1:49)),))</f>
        <v>43084</v>
      </c>
      <c r="B62" s="144">
        <f ca="1">IF(ROWS($1:49)&gt;COUNT(Dong1),"",OFFSET(TH!E$1,SMALL(Dong1,ROWS($1:49)),))</f>
        <v>43084</v>
      </c>
      <c r="C62" s="145" t="str">
        <f ca="1">IF(ROWS($1:49)&gt;COUNT(Dong1),"",IF(OFFSET(TH!N$1,SMALL(Dong1,ROWS($1:49)),)="1111",OFFSET(TH!D$1,SMALL(Dong1,ROWS($1:49)),),""))</f>
        <v/>
      </c>
      <c r="D62" s="146">
        <f ca="1">IF(ROWS($1:49)&gt;COUNT(Dong1),"",IF(OFFSET(TH!O$1,SMALL(Dong1,ROWS($1:49)),)="1111",OFFSET(TH!D$1,SMALL(Dong1,ROWS($1:49)),),""))</f>
        <v>0</v>
      </c>
      <c r="E62" s="331" t="str">
        <f ca="1">IF(ROWS($1:49)&gt;COUNT(Dong1),"",OFFSET(TH!F$1,SMALL(Dong1,ROWS($1:49)),))</f>
        <v>VAT Xăng, Dầu DO</v>
      </c>
      <c r="F62" s="148" t="str">
        <f ca="1">IF(ROWS($1:49)&gt;COUNT(Dong1),"",IF(OFFSET(TH!O$1,SMALL(Dong1,ROWS($1:49)),)="1111",OFFSET(TH!N$1,SMALL(Dong1,ROWS($1:49)),),OFFSET(TH!O$1,SMALL(Dong1,ROWS($1:49)),)))</f>
        <v>1331</v>
      </c>
      <c r="G62" s="149">
        <f ca="1">IF(ROWS($1:49)&gt;COUNT(Dong1),"",IF(OFFSET(TH!N$1,SMALL(Dong1,ROWS($1:49)),)="1111",OFFSET(TH!M$1,SMALL(Dong1,ROWS($1:49)),),0))</f>
        <v>0</v>
      </c>
      <c r="H62" s="147">
        <f ca="1">IF(ROWS($1:49)&gt;COUNT(Dong1),"",IF(OFFSET(TH!O$1,SMALL(Dong1,ROWS($1:49)),)="1111",OFFSET(TH!M$1,SMALL(Dong1,ROWS($1:49)),),0))</f>
        <v>250008</v>
      </c>
      <c r="I62" s="145">
        <f t="shared" ca="1" si="1"/>
        <v>10633516057</v>
      </c>
      <c r="J62" s="150"/>
    </row>
    <row r="63" spans="1:10" s="135" customFormat="1" ht="19.5" customHeight="1">
      <c r="A63" s="144">
        <f ca="1">IF(ROWS($1:50)&gt;COUNT(Dong1),"",OFFSET(TH!C$1,SMALL(Dong1,ROWS($1:50)),))</f>
        <v>43085</v>
      </c>
      <c r="B63" s="144">
        <f ca="1">IF(ROWS($1:50)&gt;COUNT(Dong1),"",OFFSET(TH!E$1,SMALL(Dong1,ROWS($1:50)),))</f>
        <v>43085</v>
      </c>
      <c r="C63" s="145" t="str">
        <f ca="1">IF(ROWS($1:50)&gt;COUNT(Dong1),"",IF(OFFSET(TH!N$1,SMALL(Dong1,ROWS($1:50)),)="1111",OFFSET(TH!D$1,SMALL(Dong1,ROWS($1:50)),),""))</f>
        <v/>
      </c>
      <c r="D63" s="146">
        <f ca="1">IF(ROWS($1:50)&gt;COUNT(Dong1),"",IF(OFFSET(TH!O$1,SMALL(Dong1,ROWS($1:50)),)="1111",OFFSET(TH!D$1,SMALL(Dong1,ROWS($1:50)),),""))</f>
        <v>0</v>
      </c>
      <c r="E63" s="331" t="str">
        <f ca="1">IF(ROWS($1:50)&gt;COUNT(Dong1),"",OFFSET(TH!F$1,SMALL(Dong1,ROWS($1:50)),))</f>
        <v>Phí hạ bãi chờ xuất</v>
      </c>
      <c r="F63" s="148" t="str">
        <f ca="1">IF(ROWS($1:50)&gt;COUNT(Dong1),"",IF(OFFSET(TH!O$1,SMALL(Dong1,ROWS($1:50)),)="1111",OFFSET(TH!N$1,SMALL(Dong1,ROWS($1:50)),),OFFSET(TH!O$1,SMALL(Dong1,ROWS($1:50)),)))</f>
        <v>641</v>
      </c>
      <c r="G63" s="149">
        <f ca="1">IF(ROWS($1:50)&gt;COUNT(Dong1),"",IF(OFFSET(TH!N$1,SMALL(Dong1,ROWS($1:50)),)="1111",OFFSET(TH!M$1,SMALL(Dong1,ROWS($1:50)),),0))</f>
        <v>0</v>
      </c>
      <c r="H63" s="147">
        <f ca="1">IF(ROWS($1:50)&gt;COUNT(Dong1),"",IF(OFFSET(TH!O$1,SMALL(Dong1,ROWS($1:50)),)="1111",OFFSET(TH!M$1,SMALL(Dong1,ROWS($1:50)),),0))</f>
        <v>6754545</v>
      </c>
      <c r="I63" s="145">
        <f t="shared" ca="1" si="1"/>
        <v>10626761512</v>
      </c>
      <c r="J63" s="150"/>
    </row>
    <row r="64" spans="1:10" s="135" customFormat="1" ht="19.5" customHeight="1">
      <c r="A64" s="144">
        <f ca="1">IF(ROWS($1:51)&gt;COUNT(Dong1),"",OFFSET(TH!C$1,SMALL(Dong1,ROWS($1:51)),))</f>
        <v>43085</v>
      </c>
      <c r="B64" s="144">
        <f ca="1">IF(ROWS($1:51)&gt;COUNT(Dong1),"",OFFSET(TH!E$1,SMALL(Dong1,ROWS($1:51)),))</f>
        <v>43085</v>
      </c>
      <c r="C64" s="145" t="str">
        <f ca="1">IF(ROWS($1:51)&gt;COUNT(Dong1),"",IF(OFFSET(TH!N$1,SMALL(Dong1,ROWS($1:51)),)="1111",OFFSET(TH!D$1,SMALL(Dong1,ROWS($1:51)),),""))</f>
        <v/>
      </c>
      <c r="D64" s="146">
        <f ca="1">IF(ROWS($1:51)&gt;COUNT(Dong1),"",IF(OFFSET(TH!O$1,SMALL(Dong1,ROWS($1:51)),)="1111",OFFSET(TH!D$1,SMALL(Dong1,ROWS($1:51)),),""))</f>
        <v>0</v>
      </c>
      <c r="E64" s="331" t="str">
        <f ca="1">IF(ROWS($1:51)&gt;COUNT(Dong1),"",OFFSET(TH!F$1,SMALL(Dong1,ROWS($1:51)),))</f>
        <v>VAT Phí hạ bãi chờ xuất</v>
      </c>
      <c r="F64" s="148" t="str">
        <f ca="1">IF(ROWS($1:51)&gt;COUNT(Dong1),"",IF(OFFSET(TH!O$1,SMALL(Dong1,ROWS($1:51)),)="1111",OFFSET(TH!N$1,SMALL(Dong1,ROWS($1:51)),),OFFSET(TH!O$1,SMALL(Dong1,ROWS($1:51)),)))</f>
        <v>1331</v>
      </c>
      <c r="G64" s="149">
        <f ca="1">IF(ROWS($1:51)&gt;COUNT(Dong1),"",IF(OFFSET(TH!N$1,SMALL(Dong1,ROWS($1:51)),)="1111",OFFSET(TH!M$1,SMALL(Dong1,ROWS($1:51)),),0))</f>
        <v>0</v>
      </c>
      <c r="H64" s="147">
        <f ca="1">IF(ROWS($1:51)&gt;COUNT(Dong1),"",IF(OFFSET(TH!O$1,SMALL(Dong1,ROWS($1:51)),)="1111",OFFSET(TH!M$1,SMALL(Dong1,ROWS($1:51)),),0))</f>
        <v>675455</v>
      </c>
      <c r="I64" s="145">
        <f t="shared" ca="1" si="1"/>
        <v>10626086057</v>
      </c>
      <c r="J64" s="150"/>
    </row>
    <row r="65" spans="1:10" s="135" customFormat="1" ht="19.5" customHeight="1">
      <c r="A65" s="144">
        <f ca="1">IF(ROWS($1:52)&gt;COUNT(Dong1),"",OFFSET(TH!C$1,SMALL(Dong1,ROWS($1:52)),))</f>
        <v>43087</v>
      </c>
      <c r="B65" s="144">
        <f ca="1">IF(ROWS($1:52)&gt;COUNT(Dong1),"",OFFSET(TH!E$1,SMALL(Dong1,ROWS($1:52)),))</f>
        <v>43087</v>
      </c>
      <c r="C65" s="145" t="str">
        <f ca="1">IF(ROWS($1:52)&gt;COUNT(Dong1),"",IF(OFFSET(TH!N$1,SMALL(Dong1,ROWS($1:52)),)="1111",OFFSET(TH!D$1,SMALL(Dong1,ROWS($1:52)),),""))</f>
        <v>THU</v>
      </c>
      <c r="D65" s="146" t="str">
        <f ca="1">IF(ROWS($1:52)&gt;COUNT(Dong1),"",IF(OFFSET(TH!O$1,SMALL(Dong1,ROWS($1:52)),)="1111",OFFSET(TH!D$1,SMALL(Dong1,ROWS($1:52)),),""))</f>
        <v/>
      </c>
      <c r="E65" s="331" t="str">
        <f ca="1">IF(ROWS($1:52)&gt;COUNT(Dong1),"",OFFSET(TH!F$1,SMALL(Dong1,ROWS($1:52)),))</f>
        <v>Rút tiền gửi NH nhập quỹ TM</v>
      </c>
      <c r="F65" s="148" t="str">
        <f ca="1">IF(ROWS($1:52)&gt;COUNT(Dong1),"",IF(OFFSET(TH!O$1,SMALL(Dong1,ROWS($1:52)),)="1111",OFFSET(TH!N$1,SMALL(Dong1,ROWS($1:52)),),OFFSET(TH!O$1,SMALL(Dong1,ROWS($1:52)),)))</f>
        <v>1121</v>
      </c>
      <c r="G65" s="149">
        <f ca="1">IF(ROWS($1:52)&gt;COUNT(Dong1),"",IF(OFFSET(TH!N$1,SMALL(Dong1,ROWS($1:52)),)="1111",OFFSET(TH!M$1,SMALL(Dong1,ROWS($1:52)),),0))</f>
        <v>10540000000</v>
      </c>
      <c r="H65" s="147">
        <f ca="1">IF(ROWS($1:52)&gt;COUNT(Dong1),"",IF(OFFSET(TH!O$1,SMALL(Dong1,ROWS($1:52)),)="1111",OFFSET(TH!M$1,SMALL(Dong1,ROWS($1:52)),),0))</f>
        <v>0</v>
      </c>
      <c r="I65" s="145">
        <f t="shared" ca="1" si="1"/>
        <v>21166086057</v>
      </c>
      <c r="J65" s="150"/>
    </row>
    <row r="66" spans="1:10" s="135" customFormat="1" ht="19.5" customHeight="1">
      <c r="A66" s="144">
        <f ca="1">IF(ROWS($1:53)&gt;COUNT(Dong1),"",OFFSET(TH!C$1,SMALL(Dong1,ROWS($1:53)),))</f>
        <v>43088</v>
      </c>
      <c r="B66" s="144">
        <f ca="1">IF(ROWS($1:53)&gt;COUNT(Dong1),"",OFFSET(TH!E$1,SMALL(Dong1,ROWS($1:53)),))</f>
        <v>43088</v>
      </c>
      <c r="C66" s="145" t="str">
        <f ca="1">IF(ROWS($1:53)&gt;COUNT(Dong1),"",IF(OFFSET(TH!N$1,SMALL(Dong1,ROWS($1:53)),)="1111",OFFSET(TH!D$1,SMALL(Dong1,ROWS($1:53)),),""))</f>
        <v>GBN</v>
      </c>
      <c r="D66" s="146" t="str">
        <f ca="1">IF(ROWS($1:53)&gt;COUNT(Dong1),"",IF(OFFSET(TH!O$1,SMALL(Dong1,ROWS($1:53)),)="1111",OFFSET(TH!D$1,SMALL(Dong1,ROWS($1:53)),),""))</f>
        <v/>
      </c>
      <c r="E66" s="331" t="str">
        <f ca="1">IF(ROWS($1:53)&gt;COUNT(Dong1),"",OFFSET(TH!F$1,SMALL(Dong1,ROWS($1:53)),))</f>
        <v>Rút tiền gửi NH nhập quỹ TM</v>
      </c>
      <c r="F66" s="148" t="str">
        <f ca="1">IF(ROWS($1:53)&gt;COUNT(Dong1),"",IF(OFFSET(TH!O$1,SMALL(Dong1,ROWS($1:53)),)="1111",OFFSET(TH!N$1,SMALL(Dong1,ROWS($1:53)),),OFFSET(TH!O$1,SMALL(Dong1,ROWS($1:53)),)))</f>
        <v>1121</v>
      </c>
      <c r="G66" s="149">
        <f ca="1">IF(ROWS($1:53)&gt;COUNT(Dong1),"",IF(OFFSET(TH!N$1,SMALL(Dong1,ROWS($1:53)),)="1111",OFFSET(TH!M$1,SMALL(Dong1,ROWS($1:53)),),0))</f>
        <v>200000000</v>
      </c>
      <c r="H66" s="147">
        <f ca="1">IF(ROWS($1:53)&gt;COUNT(Dong1),"",IF(OFFSET(TH!O$1,SMALL(Dong1,ROWS($1:53)),)="1111",OFFSET(TH!M$1,SMALL(Dong1,ROWS($1:53)),),0))</f>
        <v>0</v>
      </c>
      <c r="I66" s="145">
        <f t="shared" ca="1" si="1"/>
        <v>21366086057</v>
      </c>
      <c r="J66" s="150"/>
    </row>
    <row r="67" spans="1:10" s="135" customFormat="1" ht="19.5" customHeight="1">
      <c r="A67" s="144">
        <f ca="1">IF(ROWS($1:54)&gt;COUNT(Dong1),"",OFFSET(TH!C$1,SMALL(Dong1,ROWS($1:54)),))</f>
        <v>43089</v>
      </c>
      <c r="B67" s="144">
        <f ca="1">IF(ROWS($1:54)&gt;COUNT(Dong1),"",OFFSET(TH!E$1,SMALL(Dong1,ROWS($1:54)),))</f>
        <v>43089</v>
      </c>
      <c r="C67" s="145" t="str">
        <f ca="1">IF(ROWS($1:54)&gt;COUNT(Dong1),"",IF(OFFSET(TH!N$1,SMALL(Dong1,ROWS($1:54)),)="1111",OFFSET(TH!D$1,SMALL(Dong1,ROWS($1:54)),),""))</f>
        <v/>
      </c>
      <c r="D67" s="146">
        <f ca="1">IF(ROWS($1:54)&gt;COUNT(Dong1),"",IF(OFFSET(TH!O$1,SMALL(Dong1,ROWS($1:54)),)="1111",OFFSET(TH!D$1,SMALL(Dong1,ROWS($1:54)),),""))</f>
        <v>0</v>
      </c>
      <c r="E67" s="331" t="str">
        <f ca="1">IF(ROWS($1:54)&gt;COUNT(Dong1),"",OFFSET(TH!F$1,SMALL(Dong1,ROWS($1:54)),))</f>
        <v>Xăng, Dầu DO</v>
      </c>
      <c r="F67" s="148" t="str">
        <f ca="1">IF(ROWS($1:54)&gt;COUNT(Dong1),"",IF(OFFSET(TH!O$1,SMALL(Dong1,ROWS($1:54)),)="1111",OFFSET(TH!N$1,SMALL(Dong1,ROWS($1:54)),),OFFSET(TH!O$1,SMALL(Dong1,ROWS($1:54)),)))</f>
        <v>642</v>
      </c>
      <c r="G67" s="149">
        <f ca="1">IF(ROWS($1:54)&gt;COUNT(Dong1),"",IF(OFFSET(TH!N$1,SMALL(Dong1,ROWS($1:54)),)="1111",OFFSET(TH!M$1,SMALL(Dong1,ROWS($1:54)),),0))</f>
        <v>0</v>
      </c>
      <c r="H67" s="147">
        <f ca="1">IF(ROWS($1:54)&gt;COUNT(Dong1),"",IF(OFFSET(TH!O$1,SMALL(Dong1,ROWS($1:54)),)="1111",OFFSET(TH!M$1,SMALL(Dong1,ROWS($1:54)),),0))</f>
        <v>1688291</v>
      </c>
      <c r="I67" s="145">
        <f t="shared" ca="1" si="1"/>
        <v>21364397766</v>
      </c>
      <c r="J67" s="150"/>
    </row>
    <row r="68" spans="1:10" s="135" customFormat="1" ht="19.5" customHeight="1">
      <c r="A68" s="144">
        <f ca="1">IF(ROWS($1:55)&gt;COUNT(Dong1),"",OFFSET(TH!C$1,SMALL(Dong1,ROWS($1:55)),))</f>
        <v>43089</v>
      </c>
      <c r="B68" s="144">
        <f ca="1">IF(ROWS($1:55)&gt;COUNT(Dong1),"",OFFSET(TH!E$1,SMALL(Dong1,ROWS($1:55)),))</f>
        <v>43089</v>
      </c>
      <c r="C68" s="145" t="str">
        <f ca="1">IF(ROWS($1:55)&gt;COUNT(Dong1),"",IF(OFFSET(TH!N$1,SMALL(Dong1,ROWS($1:55)),)="1111",OFFSET(TH!D$1,SMALL(Dong1,ROWS($1:55)),),""))</f>
        <v/>
      </c>
      <c r="D68" s="146">
        <f ca="1">IF(ROWS($1:55)&gt;COUNT(Dong1),"",IF(OFFSET(TH!O$1,SMALL(Dong1,ROWS($1:55)),)="1111",OFFSET(TH!D$1,SMALL(Dong1,ROWS($1:55)),),""))</f>
        <v>0</v>
      </c>
      <c r="E68" s="331" t="str">
        <f ca="1">IF(ROWS($1:55)&gt;COUNT(Dong1),"",OFFSET(TH!F$1,SMALL(Dong1,ROWS($1:55)),))</f>
        <v>VAT Xăng, Dầu DO</v>
      </c>
      <c r="F68" s="148" t="str">
        <f ca="1">IF(ROWS($1:55)&gt;COUNT(Dong1),"",IF(OFFSET(TH!O$1,SMALL(Dong1,ROWS($1:55)),)="1111",OFFSET(TH!N$1,SMALL(Dong1,ROWS($1:55)),),OFFSET(TH!O$1,SMALL(Dong1,ROWS($1:55)),)))</f>
        <v>1331</v>
      </c>
      <c r="G68" s="149">
        <f ca="1">IF(ROWS($1:55)&gt;COUNT(Dong1),"",IF(OFFSET(TH!N$1,SMALL(Dong1,ROWS($1:55)),)="1111",OFFSET(TH!M$1,SMALL(Dong1,ROWS($1:55)),),0))</f>
        <v>0</v>
      </c>
      <c r="H68" s="147">
        <f ca="1">IF(ROWS($1:55)&gt;COUNT(Dong1),"",IF(OFFSET(TH!O$1,SMALL(Dong1,ROWS($1:55)),)="1111",OFFSET(TH!M$1,SMALL(Dong1,ROWS($1:55)),),0))</f>
        <v>168829</v>
      </c>
      <c r="I68" s="145">
        <f t="shared" ca="1" si="1"/>
        <v>21364228937</v>
      </c>
      <c r="J68" s="150"/>
    </row>
    <row r="69" spans="1:10" s="135" customFormat="1" ht="19.5" customHeight="1">
      <c r="A69" s="144">
        <f ca="1">IF(ROWS($1:56)&gt;COUNT(Dong1),"",OFFSET(TH!C$1,SMALL(Dong1,ROWS($1:56)),))</f>
        <v>43090</v>
      </c>
      <c r="B69" s="144">
        <f ca="1">IF(ROWS($1:56)&gt;COUNT(Dong1),"",OFFSET(TH!E$1,SMALL(Dong1,ROWS($1:56)),))</f>
        <v>43090</v>
      </c>
      <c r="C69" s="145" t="str">
        <f ca="1">IF(ROWS($1:56)&gt;COUNT(Dong1),"",IF(OFFSET(TH!N$1,SMALL(Dong1,ROWS($1:56)),)="1111",OFFSET(TH!D$1,SMALL(Dong1,ROWS($1:56)),),""))</f>
        <v/>
      </c>
      <c r="D69" s="146">
        <f ca="1">IF(ROWS($1:56)&gt;COUNT(Dong1),"",IF(OFFSET(TH!O$1,SMALL(Dong1,ROWS($1:56)),)="1111",OFFSET(TH!D$1,SMALL(Dong1,ROWS($1:56)),),""))</f>
        <v>0</v>
      </c>
      <c r="E69" s="331" t="str">
        <f ca="1">IF(ROWS($1:56)&gt;COUNT(Dong1),"",OFFSET(TH!F$1,SMALL(Dong1,ROWS($1:56)),))</f>
        <v>Gas R22, nhớt</v>
      </c>
      <c r="F69" s="148" t="str">
        <f ca="1">IF(ROWS($1:56)&gt;COUNT(Dong1),"",IF(OFFSET(TH!O$1,SMALL(Dong1,ROWS($1:56)),)="1111",OFFSET(TH!N$1,SMALL(Dong1,ROWS($1:56)),),OFFSET(TH!O$1,SMALL(Dong1,ROWS($1:56)),)))</f>
        <v>642</v>
      </c>
      <c r="G69" s="149">
        <f ca="1">IF(ROWS($1:56)&gt;COUNT(Dong1),"",IF(OFFSET(TH!N$1,SMALL(Dong1,ROWS($1:56)),)="1111",OFFSET(TH!M$1,SMALL(Dong1,ROWS($1:56)),),0))</f>
        <v>0</v>
      </c>
      <c r="H69" s="147">
        <f ca="1">IF(ROWS($1:56)&gt;COUNT(Dong1),"",IF(OFFSET(TH!O$1,SMALL(Dong1,ROWS($1:56)),)="1111",OFFSET(TH!M$1,SMALL(Dong1,ROWS($1:56)),),0))</f>
        <v>5850000</v>
      </c>
      <c r="I69" s="145">
        <f t="shared" ca="1" si="1"/>
        <v>21358378937</v>
      </c>
      <c r="J69" s="150"/>
    </row>
    <row r="70" spans="1:10" s="135" customFormat="1" ht="19.5" customHeight="1">
      <c r="A70" s="144">
        <f ca="1">IF(ROWS($1:57)&gt;COUNT(Dong1),"",OFFSET(TH!C$1,SMALL(Dong1,ROWS($1:57)),))</f>
        <v>43092</v>
      </c>
      <c r="B70" s="144">
        <f ca="1">IF(ROWS($1:57)&gt;COUNT(Dong1),"",OFFSET(TH!E$1,SMALL(Dong1,ROWS($1:57)),))</f>
        <v>43092</v>
      </c>
      <c r="C70" s="145" t="str">
        <f ca="1">IF(ROWS($1:57)&gt;COUNT(Dong1),"",IF(OFFSET(TH!N$1,SMALL(Dong1,ROWS($1:57)),)="1111",OFFSET(TH!D$1,SMALL(Dong1,ROWS($1:57)),),""))</f>
        <v>THU</v>
      </c>
      <c r="D70" s="146" t="str">
        <f ca="1">IF(ROWS($1:57)&gt;COUNT(Dong1),"",IF(OFFSET(TH!O$1,SMALL(Dong1,ROWS($1:57)),)="1111",OFFSET(TH!D$1,SMALL(Dong1,ROWS($1:57)),),""))</f>
        <v/>
      </c>
      <c r="E70" s="331" t="str">
        <f ca="1">IF(ROWS($1:57)&gt;COUNT(Dong1),"",OFFSET(TH!F$1,SMALL(Dong1,ROWS($1:57)),))</f>
        <v>Rút tiền gửi NH nhập quỹ TM</v>
      </c>
      <c r="F70" s="148" t="str">
        <f ca="1">IF(ROWS($1:57)&gt;COUNT(Dong1),"",IF(OFFSET(TH!O$1,SMALL(Dong1,ROWS($1:57)),)="1111",OFFSET(TH!N$1,SMALL(Dong1,ROWS($1:57)),),OFFSET(TH!O$1,SMALL(Dong1,ROWS($1:57)),)))</f>
        <v>1121</v>
      </c>
      <c r="G70" s="149">
        <f ca="1">IF(ROWS($1:57)&gt;COUNT(Dong1),"",IF(OFFSET(TH!N$1,SMALL(Dong1,ROWS($1:57)),)="1111",OFFSET(TH!M$1,SMALL(Dong1,ROWS($1:57)),),0))</f>
        <v>2010000000</v>
      </c>
      <c r="H70" s="147">
        <f ca="1">IF(ROWS($1:57)&gt;COUNT(Dong1),"",IF(OFFSET(TH!O$1,SMALL(Dong1,ROWS($1:57)),)="1111",OFFSET(TH!M$1,SMALL(Dong1,ROWS($1:57)),),0))</f>
        <v>0</v>
      </c>
      <c r="I70" s="145">
        <f t="shared" ca="1" si="1"/>
        <v>23368378937</v>
      </c>
      <c r="J70" s="150"/>
    </row>
    <row r="71" spans="1:10" s="135" customFormat="1" ht="19.5" customHeight="1">
      <c r="A71" s="144">
        <f ca="1">IF(ROWS($1:58)&gt;COUNT(Dong1),"",OFFSET(TH!C$1,SMALL(Dong1,ROWS($1:58)),))</f>
        <v>43092</v>
      </c>
      <c r="B71" s="144">
        <f ca="1">IF(ROWS($1:58)&gt;COUNT(Dong1),"",OFFSET(TH!E$1,SMALL(Dong1,ROWS($1:58)),))</f>
        <v>43092</v>
      </c>
      <c r="C71" s="145" t="str">
        <f ca="1">IF(ROWS($1:58)&gt;COUNT(Dong1),"",IF(OFFSET(TH!N$1,SMALL(Dong1,ROWS($1:58)),)="1111",OFFSET(TH!D$1,SMALL(Dong1,ROWS($1:58)),),""))</f>
        <v/>
      </c>
      <c r="D71" s="146" t="str">
        <f ca="1">IF(ROWS($1:58)&gt;COUNT(Dong1),"",IF(OFFSET(TH!O$1,SMALL(Dong1,ROWS($1:58)),)="1111",OFFSET(TH!D$1,SMALL(Dong1,ROWS($1:58)),),""))</f>
        <v>CHI</v>
      </c>
      <c r="E71" s="331" t="str">
        <f ca="1">IF(ROWS($1:58)&gt;COUNT(Dong1),"",OFFSET(TH!F$1,SMALL(Dong1,ROWS($1:58)),))</f>
        <v>Nộp tiền mặt vào TK</v>
      </c>
      <c r="F71" s="148" t="str">
        <f ca="1">IF(ROWS($1:58)&gt;COUNT(Dong1),"",IF(OFFSET(TH!O$1,SMALL(Dong1,ROWS($1:58)),)="1111",OFFSET(TH!N$1,SMALL(Dong1,ROWS($1:58)),),OFFSET(TH!O$1,SMALL(Dong1,ROWS($1:58)),)))</f>
        <v>1121</v>
      </c>
      <c r="G71" s="149">
        <f ca="1">IF(ROWS($1:58)&gt;COUNT(Dong1),"",IF(OFFSET(TH!N$1,SMALL(Dong1,ROWS($1:58)),)="1111",OFFSET(TH!M$1,SMALL(Dong1,ROWS($1:58)),),0))</f>
        <v>0</v>
      </c>
      <c r="H71" s="147">
        <f ca="1">IF(ROWS($1:58)&gt;COUNT(Dong1),"",IF(OFFSET(TH!O$1,SMALL(Dong1,ROWS($1:58)),)="1111",OFFSET(TH!M$1,SMALL(Dong1,ROWS($1:58)),),0))</f>
        <v>1562817035</v>
      </c>
      <c r="I71" s="145">
        <f t="shared" ca="1" si="1"/>
        <v>21805561902</v>
      </c>
      <c r="J71" s="150"/>
    </row>
    <row r="72" spans="1:10" s="135" customFormat="1" ht="19.5" customHeight="1">
      <c r="A72" s="144">
        <f ca="1">IF(ROWS($1:59)&gt;COUNT(Dong1),"",OFFSET(TH!C$1,SMALL(Dong1,ROWS($1:59)),))</f>
        <v>43092</v>
      </c>
      <c r="B72" s="144">
        <f ca="1">IF(ROWS($1:59)&gt;COUNT(Dong1),"",OFFSET(TH!E$1,SMALL(Dong1,ROWS($1:59)),))</f>
        <v>43092</v>
      </c>
      <c r="C72" s="145" t="str">
        <f ca="1">IF(ROWS($1:59)&gt;COUNT(Dong1),"",IF(OFFSET(TH!N$1,SMALL(Dong1,ROWS($1:59)),)="1111",OFFSET(TH!D$1,SMALL(Dong1,ROWS($1:59)),),""))</f>
        <v/>
      </c>
      <c r="D72" s="146" t="str">
        <f ca="1">IF(ROWS($1:59)&gt;COUNT(Dong1),"",IF(OFFSET(TH!O$1,SMALL(Dong1,ROWS($1:59)),)="1111",OFFSET(TH!D$1,SMALL(Dong1,ROWS($1:59)),),""))</f>
        <v>CHI</v>
      </c>
      <c r="E72" s="331" t="str">
        <f ca="1">IF(ROWS($1:59)&gt;COUNT(Dong1),"",OFFSET(TH!F$1,SMALL(Dong1,ROWS($1:59)),))</f>
        <v>Nộp tiền mặt vào TK NH</v>
      </c>
      <c r="F72" s="148" t="str">
        <f ca="1">IF(ROWS($1:59)&gt;COUNT(Dong1),"",IF(OFFSET(TH!O$1,SMALL(Dong1,ROWS($1:59)),)="1111",OFFSET(TH!N$1,SMALL(Dong1,ROWS($1:59)),),OFFSET(TH!O$1,SMALL(Dong1,ROWS($1:59)),)))</f>
        <v>1121</v>
      </c>
      <c r="G72" s="149">
        <f ca="1">IF(ROWS($1:59)&gt;COUNT(Dong1),"",IF(OFFSET(TH!N$1,SMALL(Dong1,ROWS($1:59)),)="1111",OFFSET(TH!M$1,SMALL(Dong1,ROWS($1:59)),),0))</f>
        <v>0</v>
      </c>
      <c r="H72" s="147">
        <f ca="1">IF(ROWS($1:59)&gt;COUNT(Dong1),"",IF(OFFSET(TH!O$1,SMALL(Dong1,ROWS($1:59)),)="1111",OFFSET(TH!M$1,SMALL(Dong1,ROWS($1:59)),),0))</f>
        <v>2600000000</v>
      </c>
      <c r="I72" s="145">
        <f t="shared" ca="1" si="1"/>
        <v>19205561902</v>
      </c>
      <c r="J72" s="150"/>
    </row>
    <row r="73" spans="1:10" s="135" customFormat="1" ht="19.5" customHeight="1">
      <c r="A73" s="144">
        <f ca="1">IF(ROWS($1:60)&gt;COUNT(Dong1),"",OFFSET(TH!C$1,SMALL(Dong1,ROWS($1:60)),))</f>
        <v>43092</v>
      </c>
      <c r="B73" s="144">
        <f ca="1">IF(ROWS($1:60)&gt;COUNT(Dong1),"",OFFSET(TH!E$1,SMALL(Dong1,ROWS($1:60)),))</f>
        <v>43092</v>
      </c>
      <c r="C73" s="145" t="str">
        <f ca="1">IF(ROWS($1:60)&gt;COUNT(Dong1),"",IF(OFFSET(TH!N$1,SMALL(Dong1,ROWS($1:60)),)="1111",OFFSET(TH!D$1,SMALL(Dong1,ROWS($1:60)),),""))</f>
        <v>GBN</v>
      </c>
      <c r="D73" s="146" t="str">
        <f ca="1">IF(ROWS($1:60)&gt;COUNT(Dong1),"",IF(OFFSET(TH!O$1,SMALL(Dong1,ROWS($1:60)),)="1111",OFFSET(TH!D$1,SMALL(Dong1,ROWS($1:60)),),""))</f>
        <v/>
      </c>
      <c r="E73" s="331" t="str">
        <f ca="1">IF(ROWS($1:60)&gt;COUNT(Dong1),"",OFFSET(TH!F$1,SMALL(Dong1,ROWS($1:60)),))</f>
        <v>Rút tiền gửi NH nhập quỹ TM</v>
      </c>
      <c r="F73" s="148" t="str">
        <f ca="1">IF(ROWS($1:60)&gt;COUNT(Dong1),"",IF(OFFSET(TH!O$1,SMALL(Dong1,ROWS($1:60)),)="1111",OFFSET(TH!N$1,SMALL(Dong1,ROWS($1:60)),),OFFSET(TH!O$1,SMALL(Dong1,ROWS($1:60)),)))</f>
        <v>1121</v>
      </c>
      <c r="G73" s="149">
        <f ca="1">IF(ROWS($1:60)&gt;COUNT(Dong1),"",IF(OFFSET(TH!N$1,SMALL(Dong1,ROWS($1:60)),)="1111",OFFSET(TH!M$1,SMALL(Dong1,ROWS($1:60)),),0))</f>
        <v>2640000000</v>
      </c>
      <c r="H73" s="147">
        <f ca="1">IF(ROWS($1:60)&gt;COUNT(Dong1),"",IF(OFFSET(TH!O$1,SMALL(Dong1,ROWS($1:60)),)="1111",OFFSET(TH!M$1,SMALL(Dong1,ROWS($1:60)),),0))</f>
        <v>0</v>
      </c>
      <c r="I73" s="145">
        <f t="shared" ca="1" si="1"/>
        <v>21845561902</v>
      </c>
      <c r="J73" s="150"/>
    </row>
    <row r="74" spans="1:10" s="135" customFormat="1" ht="19.5" customHeight="1">
      <c r="A74" s="144">
        <f ca="1">IF(ROWS($1:61)&gt;COUNT(Dong1),"",OFFSET(TH!C$1,SMALL(Dong1,ROWS($1:61)),))</f>
        <v>43094</v>
      </c>
      <c r="B74" s="144">
        <f ca="1">IF(ROWS($1:61)&gt;COUNT(Dong1),"",OFFSET(TH!E$1,SMALL(Dong1,ROWS($1:61)),))</f>
        <v>43094</v>
      </c>
      <c r="C74" s="145" t="str">
        <f ca="1">IF(ROWS($1:61)&gt;COUNT(Dong1),"",IF(OFFSET(TH!N$1,SMALL(Dong1,ROWS($1:61)),)="1111",OFFSET(TH!D$1,SMALL(Dong1,ROWS($1:61)),),""))</f>
        <v/>
      </c>
      <c r="D74" s="146">
        <f ca="1">IF(ROWS($1:61)&gt;COUNT(Dong1),"",IF(OFFSET(TH!O$1,SMALL(Dong1,ROWS($1:61)),)="1111",OFFSET(TH!D$1,SMALL(Dong1,ROWS($1:61)),),""))</f>
        <v>0</v>
      </c>
      <c r="E74" s="331" t="str">
        <f ca="1">IF(ROWS($1:61)&gt;COUNT(Dong1),"",OFFSET(TH!F$1,SMALL(Dong1,ROWS($1:61)),))</f>
        <v>Phí CPN T12</v>
      </c>
      <c r="F74" s="148" t="str">
        <f ca="1">IF(ROWS($1:61)&gt;COUNT(Dong1),"",IF(OFFSET(TH!O$1,SMALL(Dong1,ROWS($1:61)),)="1111",OFFSET(TH!N$1,SMALL(Dong1,ROWS($1:61)),),OFFSET(TH!O$1,SMALL(Dong1,ROWS($1:61)),)))</f>
        <v>642</v>
      </c>
      <c r="G74" s="149">
        <f ca="1">IF(ROWS($1:61)&gt;COUNT(Dong1),"",IF(OFFSET(TH!N$1,SMALL(Dong1,ROWS($1:61)),)="1111",OFFSET(TH!M$1,SMALL(Dong1,ROWS($1:61)),),0))</f>
        <v>0</v>
      </c>
      <c r="H74" s="147">
        <f ca="1">IF(ROWS($1:61)&gt;COUNT(Dong1),"",IF(OFFSET(TH!O$1,SMALL(Dong1,ROWS($1:61)),)="1111",OFFSET(TH!M$1,SMALL(Dong1,ROWS($1:61)),),0))</f>
        <v>354533</v>
      </c>
      <c r="I74" s="145">
        <f t="shared" ca="1" si="1"/>
        <v>21845207369</v>
      </c>
      <c r="J74" s="150"/>
    </row>
    <row r="75" spans="1:10" s="135" customFormat="1" ht="19.5" customHeight="1">
      <c r="A75" s="144">
        <f ca="1">IF(ROWS($1:62)&gt;COUNT(Dong1),"",OFFSET(TH!C$1,SMALL(Dong1,ROWS($1:62)),))</f>
        <v>43094</v>
      </c>
      <c r="B75" s="144">
        <f ca="1">IF(ROWS($1:62)&gt;COUNT(Dong1),"",OFFSET(TH!E$1,SMALL(Dong1,ROWS($1:62)),))</f>
        <v>43094</v>
      </c>
      <c r="C75" s="145" t="str">
        <f ca="1">IF(ROWS($1:62)&gt;COUNT(Dong1),"",IF(OFFSET(TH!N$1,SMALL(Dong1,ROWS($1:62)),)="1111",OFFSET(TH!D$1,SMALL(Dong1,ROWS($1:62)),),""))</f>
        <v/>
      </c>
      <c r="D75" s="146">
        <f ca="1">IF(ROWS($1:62)&gt;COUNT(Dong1),"",IF(OFFSET(TH!O$1,SMALL(Dong1,ROWS($1:62)),)="1111",OFFSET(TH!D$1,SMALL(Dong1,ROWS($1:62)),),""))</f>
        <v>0</v>
      </c>
      <c r="E75" s="331" t="str">
        <f ca="1">IF(ROWS($1:62)&gt;COUNT(Dong1),"",OFFSET(TH!F$1,SMALL(Dong1,ROWS($1:62)),))</f>
        <v>VAT Phí CPN T12</v>
      </c>
      <c r="F75" s="148" t="str">
        <f ca="1">IF(ROWS($1:62)&gt;COUNT(Dong1),"",IF(OFFSET(TH!O$1,SMALL(Dong1,ROWS($1:62)),)="1111",OFFSET(TH!N$1,SMALL(Dong1,ROWS($1:62)),),OFFSET(TH!O$1,SMALL(Dong1,ROWS($1:62)),)))</f>
        <v>1331</v>
      </c>
      <c r="G75" s="149">
        <f ca="1">IF(ROWS($1:62)&gt;COUNT(Dong1),"",IF(OFFSET(TH!N$1,SMALL(Dong1,ROWS($1:62)),)="1111",OFFSET(TH!M$1,SMALL(Dong1,ROWS($1:62)),),0))</f>
        <v>0</v>
      </c>
      <c r="H75" s="147">
        <f ca="1">IF(ROWS($1:62)&gt;COUNT(Dong1),"",IF(OFFSET(TH!O$1,SMALL(Dong1,ROWS($1:62)),)="1111",OFFSET(TH!M$1,SMALL(Dong1,ROWS($1:62)),),0))</f>
        <v>35453</v>
      </c>
      <c r="I75" s="145">
        <f t="shared" ca="1" si="1"/>
        <v>21845171916</v>
      </c>
      <c r="J75" s="150"/>
    </row>
    <row r="76" spans="1:10" s="135" customFormat="1" ht="19.5" customHeight="1">
      <c r="A76" s="144">
        <f ca="1">IF(ROWS($1:63)&gt;COUNT(Dong1),"",OFFSET(TH!C$1,SMALL(Dong1,ROWS($1:63)),))</f>
        <v>43094</v>
      </c>
      <c r="B76" s="144">
        <f ca="1">IF(ROWS($1:63)&gt;COUNT(Dong1),"",OFFSET(TH!E$1,SMALL(Dong1,ROWS($1:63)),))</f>
        <v>43094</v>
      </c>
      <c r="C76" s="145" t="str">
        <f ca="1">IF(ROWS($1:63)&gt;COUNT(Dong1),"",IF(OFFSET(TH!N$1,SMALL(Dong1,ROWS($1:63)),)="1111",OFFSET(TH!D$1,SMALL(Dong1,ROWS($1:63)),),""))</f>
        <v/>
      </c>
      <c r="D76" s="146">
        <f ca="1">IF(ROWS($1:63)&gt;COUNT(Dong1),"",IF(OFFSET(TH!O$1,SMALL(Dong1,ROWS($1:63)),)="1111",OFFSET(TH!D$1,SMALL(Dong1,ROWS($1:63)),),""))</f>
        <v>0</v>
      </c>
      <c r="E76" s="331" t="str">
        <f ca="1">IF(ROWS($1:63)&gt;COUNT(Dong1),"",OFFSET(TH!F$1,SMALL(Dong1,ROWS($1:63)),))</f>
        <v>Thanh toán tiền cá cơm NL</v>
      </c>
      <c r="F76" s="148" t="str">
        <f ca="1">IF(ROWS($1:63)&gt;COUNT(Dong1),"",IF(OFFSET(TH!O$1,SMALL(Dong1,ROWS($1:63)),)="1111",OFFSET(TH!N$1,SMALL(Dong1,ROWS($1:63)),),OFFSET(TH!O$1,SMALL(Dong1,ROWS($1:63)),)))</f>
        <v>331</v>
      </c>
      <c r="G76" s="149">
        <f ca="1">IF(ROWS($1:63)&gt;COUNT(Dong1),"",IF(OFFSET(TH!N$1,SMALL(Dong1,ROWS($1:63)),)="1111",OFFSET(TH!M$1,SMALL(Dong1,ROWS($1:63)),),0))</f>
        <v>0</v>
      </c>
      <c r="H76" s="147">
        <f ca="1">IF(ROWS($1:63)&gt;COUNT(Dong1),"",IF(OFFSET(TH!O$1,SMALL(Dong1,ROWS($1:63)),)="1111",OFFSET(TH!M$1,SMALL(Dong1,ROWS($1:63)),),0))</f>
        <v>1204970000</v>
      </c>
      <c r="I76" s="145">
        <f t="shared" ca="1" si="1"/>
        <v>20640201916</v>
      </c>
      <c r="J76" s="150"/>
    </row>
    <row r="77" spans="1:10" s="135" customFormat="1" ht="19.5" customHeight="1">
      <c r="A77" s="144">
        <f ca="1">IF(ROWS($1:64)&gt;COUNT(Dong1),"",OFFSET(TH!C$1,SMALL(Dong1,ROWS($1:64)),))</f>
        <v>43094</v>
      </c>
      <c r="B77" s="144">
        <f ca="1">IF(ROWS($1:64)&gt;COUNT(Dong1),"",OFFSET(TH!E$1,SMALL(Dong1,ROWS($1:64)),))</f>
        <v>43094</v>
      </c>
      <c r="C77" s="145" t="str">
        <f ca="1">IF(ROWS($1:64)&gt;COUNT(Dong1),"",IF(OFFSET(TH!N$1,SMALL(Dong1,ROWS($1:64)),)="1111",OFFSET(TH!D$1,SMALL(Dong1,ROWS($1:64)),),""))</f>
        <v/>
      </c>
      <c r="D77" s="146">
        <f ca="1">IF(ROWS($1:64)&gt;COUNT(Dong1),"",IF(OFFSET(TH!O$1,SMALL(Dong1,ROWS($1:64)),)="1111",OFFSET(TH!D$1,SMALL(Dong1,ROWS($1:64)),),""))</f>
        <v>0</v>
      </c>
      <c r="E77" s="331" t="str">
        <f ca="1">IF(ROWS($1:64)&gt;COUNT(Dong1),"",OFFSET(TH!F$1,SMALL(Dong1,ROWS($1:64)),))</f>
        <v>Phí chuyển tiền</v>
      </c>
      <c r="F77" s="148" t="str">
        <f ca="1">IF(ROWS($1:64)&gt;COUNT(Dong1),"",IF(OFFSET(TH!O$1,SMALL(Dong1,ROWS($1:64)),)="1111",OFFSET(TH!N$1,SMALL(Dong1,ROWS($1:64)),),OFFSET(TH!O$1,SMALL(Dong1,ROWS($1:64)),)))</f>
        <v>642</v>
      </c>
      <c r="G77" s="149">
        <f ca="1">IF(ROWS($1:64)&gt;COUNT(Dong1),"",IF(OFFSET(TH!N$1,SMALL(Dong1,ROWS($1:64)),)="1111",OFFSET(TH!M$1,SMALL(Dong1,ROWS($1:64)),),0))</f>
        <v>0</v>
      </c>
      <c r="H77" s="147">
        <f ca="1">IF(ROWS($1:64)&gt;COUNT(Dong1),"",IF(OFFSET(TH!O$1,SMALL(Dong1,ROWS($1:64)),)="1111",OFFSET(TH!M$1,SMALL(Dong1,ROWS($1:64)),),0))</f>
        <v>928400</v>
      </c>
      <c r="I77" s="145">
        <f t="shared" ca="1" si="1"/>
        <v>20639273516</v>
      </c>
      <c r="J77" s="150"/>
    </row>
    <row r="78" spans="1:10" s="135" customFormat="1" ht="19.5" customHeight="1">
      <c r="A78" s="144">
        <f ca="1">IF(ROWS($1:65)&gt;COUNT(Dong1),"",OFFSET(TH!C$1,SMALL(Dong1,ROWS($1:65)),))</f>
        <v>43094</v>
      </c>
      <c r="B78" s="144">
        <f ca="1">IF(ROWS($1:65)&gt;COUNT(Dong1),"",OFFSET(TH!E$1,SMALL(Dong1,ROWS($1:65)),))</f>
        <v>43094</v>
      </c>
      <c r="C78" s="145" t="str">
        <f ca="1">IF(ROWS($1:65)&gt;COUNT(Dong1),"",IF(OFFSET(TH!N$1,SMALL(Dong1,ROWS($1:65)),)="1111",OFFSET(TH!D$1,SMALL(Dong1,ROWS($1:65)),),""))</f>
        <v>GBC</v>
      </c>
      <c r="D78" s="146" t="str">
        <f ca="1">IF(ROWS($1:65)&gt;COUNT(Dong1),"",IF(OFFSET(TH!O$1,SMALL(Dong1,ROWS($1:65)),)="1111",OFFSET(TH!D$1,SMALL(Dong1,ROWS($1:65)),),""))</f>
        <v/>
      </c>
      <c r="E78" s="331" t="str">
        <f ca="1">IF(ROWS($1:65)&gt;COUNT(Dong1),"",OFFSET(TH!F$1,SMALL(Dong1,ROWS($1:65)),))</f>
        <v>Rút tiền gửi NH nhập quỹ TM</v>
      </c>
      <c r="F78" s="148" t="str">
        <f ca="1">IF(ROWS($1:65)&gt;COUNT(Dong1),"",IF(OFFSET(TH!O$1,SMALL(Dong1,ROWS($1:65)),)="1111",OFFSET(TH!N$1,SMALL(Dong1,ROWS($1:65)),),OFFSET(TH!O$1,SMALL(Dong1,ROWS($1:65)),)))</f>
        <v>1121</v>
      </c>
      <c r="G78" s="149">
        <f ca="1">IF(ROWS($1:65)&gt;COUNT(Dong1),"",IF(OFFSET(TH!N$1,SMALL(Dong1,ROWS($1:65)),)="1111",OFFSET(TH!M$1,SMALL(Dong1,ROWS($1:65)),),0))</f>
        <v>2600000000</v>
      </c>
      <c r="H78" s="147">
        <f ca="1">IF(ROWS($1:65)&gt;COUNT(Dong1),"",IF(OFFSET(TH!O$1,SMALL(Dong1,ROWS($1:65)),)="1111",OFFSET(TH!M$1,SMALL(Dong1,ROWS($1:65)),),0))</f>
        <v>0</v>
      </c>
      <c r="I78" s="145">
        <f t="shared" ca="1" si="1"/>
        <v>23239273516</v>
      </c>
      <c r="J78" s="150"/>
    </row>
    <row r="79" spans="1:10" s="135" customFormat="1" ht="19.5" customHeight="1">
      <c r="A79" s="144">
        <f ca="1">IF(ROWS($1:66)&gt;COUNT(Dong1),"",OFFSET(TH!C$1,SMALL(Dong1,ROWS($1:66)),))</f>
        <v>43095</v>
      </c>
      <c r="B79" s="144">
        <f ca="1">IF(ROWS($1:66)&gt;COUNT(Dong1),"",OFFSET(TH!E$1,SMALL(Dong1,ROWS($1:66)),))</f>
        <v>43095</v>
      </c>
      <c r="C79" s="145" t="str">
        <f ca="1">IF(ROWS($1:66)&gt;COUNT(Dong1),"",IF(OFFSET(TH!N$1,SMALL(Dong1,ROWS($1:66)),)="1111",OFFSET(TH!D$1,SMALL(Dong1,ROWS($1:66)),),""))</f>
        <v/>
      </c>
      <c r="D79" s="146">
        <f ca="1">IF(ROWS($1:66)&gt;COUNT(Dong1),"",IF(OFFSET(TH!O$1,SMALL(Dong1,ROWS($1:66)),)="1111",OFFSET(TH!D$1,SMALL(Dong1,ROWS($1:66)),),""))</f>
        <v>0</v>
      </c>
      <c r="E79" s="331" t="str">
        <f ca="1">IF(ROWS($1:66)&gt;COUNT(Dong1),"",OFFSET(TH!F$1,SMALL(Dong1,ROWS($1:66)),))</f>
        <v>Sửa chữa xe 51A - 141.74</v>
      </c>
      <c r="F79" s="148" t="str">
        <f ca="1">IF(ROWS($1:66)&gt;COUNT(Dong1),"",IF(OFFSET(TH!O$1,SMALL(Dong1,ROWS($1:66)),)="1111",OFFSET(TH!N$1,SMALL(Dong1,ROWS($1:66)),),OFFSET(TH!O$1,SMALL(Dong1,ROWS($1:66)),)))</f>
        <v>642</v>
      </c>
      <c r="G79" s="149">
        <f ca="1">IF(ROWS($1:66)&gt;COUNT(Dong1),"",IF(OFFSET(TH!N$1,SMALL(Dong1,ROWS($1:66)),)="1111",OFFSET(TH!M$1,SMALL(Dong1,ROWS($1:66)),),0))</f>
        <v>0</v>
      </c>
      <c r="H79" s="147">
        <f ca="1">IF(ROWS($1:66)&gt;COUNT(Dong1),"",IF(OFFSET(TH!O$1,SMALL(Dong1,ROWS($1:66)),)="1111",OFFSET(TH!M$1,SMALL(Dong1,ROWS($1:66)),),0))</f>
        <v>4290000</v>
      </c>
      <c r="I79" s="145">
        <f t="shared" ca="1" si="1"/>
        <v>23234983516</v>
      </c>
      <c r="J79" s="150"/>
    </row>
    <row r="80" spans="1:10" s="135" customFormat="1" ht="19.5" customHeight="1">
      <c r="A80" s="144">
        <f ca="1">IF(ROWS($1:67)&gt;COUNT(Dong1),"",OFFSET(TH!C$1,SMALL(Dong1,ROWS($1:67)),))</f>
        <v>43095</v>
      </c>
      <c r="B80" s="144">
        <f ca="1">IF(ROWS($1:67)&gt;COUNT(Dong1),"",OFFSET(TH!E$1,SMALL(Dong1,ROWS($1:67)),))</f>
        <v>43095</v>
      </c>
      <c r="C80" s="145" t="str">
        <f ca="1">IF(ROWS($1:67)&gt;COUNT(Dong1),"",IF(OFFSET(TH!N$1,SMALL(Dong1,ROWS($1:67)),)="1111",OFFSET(TH!D$1,SMALL(Dong1,ROWS($1:67)),),""))</f>
        <v/>
      </c>
      <c r="D80" s="146">
        <f ca="1">IF(ROWS($1:67)&gt;COUNT(Dong1),"",IF(OFFSET(TH!O$1,SMALL(Dong1,ROWS($1:67)),)="1111",OFFSET(TH!D$1,SMALL(Dong1,ROWS($1:67)),),""))</f>
        <v>0</v>
      </c>
      <c r="E80" s="331" t="str">
        <f ca="1">IF(ROWS($1:67)&gt;COUNT(Dong1),"",OFFSET(TH!F$1,SMALL(Dong1,ROWS($1:67)),))</f>
        <v>VAT Sửa chữa xe 51A - 141.74</v>
      </c>
      <c r="F80" s="148" t="str">
        <f ca="1">IF(ROWS($1:67)&gt;COUNT(Dong1),"",IF(OFFSET(TH!O$1,SMALL(Dong1,ROWS($1:67)),)="1111",OFFSET(TH!N$1,SMALL(Dong1,ROWS($1:67)),),OFFSET(TH!O$1,SMALL(Dong1,ROWS($1:67)),)))</f>
        <v>1331</v>
      </c>
      <c r="G80" s="149">
        <f ca="1">IF(ROWS($1:67)&gt;COUNT(Dong1),"",IF(OFFSET(TH!N$1,SMALL(Dong1,ROWS($1:67)),)="1111",OFFSET(TH!M$1,SMALL(Dong1,ROWS($1:67)),),0))</f>
        <v>0</v>
      </c>
      <c r="H80" s="147">
        <f ca="1">IF(ROWS($1:67)&gt;COUNT(Dong1),"",IF(OFFSET(TH!O$1,SMALL(Dong1,ROWS($1:67)),)="1111",OFFSET(TH!M$1,SMALL(Dong1,ROWS($1:67)),),0))</f>
        <v>429000</v>
      </c>
      <c r="I80" s="145">
        <f t="shared" ca="1" si="1"/>
        <v>23234554516</v>
      </c>
      <c r="J80" s="150"/>
    </row>
    <row r="81" spans="1:10" s="135" customFormat="1" ht="19.5" customHeight="1">
      <c r="A81" s="144">
        <f ca="1">IF(ROWS($1:68)&gt;COUNT(Dong1),"",OFFSET(TH!C$1,SMALL(Dong1,ROWS($1:68)),))</f>
        <v>43095</v>
      </c>
      <c r="B81" s="144">
        <f ca="1">IF(ROWS($1:68)&gt;COUNT(Dong1),"",OFFSET(TH!E$1,SMALL(Dong1,ROWS($1:68)),))</f>
        <v>43095</v>
      </c>
      <c r="C81" s="145" t="str">
        <f ca="1">IF(ROWS($1:68)&gt;COUNT(Dong1),"",IF(OFFSET(TH!N$1,SMALL(Dong1,ROWS($1:68)),)="1111",OFFSET(TH!D$1,SMALL(Dong1,ROWS($1:68)),),""))</f>
        <v/>
      </c>
      <c r="D81" s="146">
        <f ca="1">IF(ROWS($1:68)&gt;COUNT(Dong1),"",IF(OFFSET(TH!O$1,SMALL(Dong1,ROWS($1:68)),)="1111",OFFSET(TH!D$1,SMALL(Dong1,ROWS($1:68)),),""))</f>
        <v>0</v>
      </c>
      <c r="E81" s="331" t="str">
        <f ca="1">IF(ROWS($1:68)&gt;COUNT(Dong1),"",OFFSET(TH!F$1,SMALL(Dong1,ROWS($1:68)),))</f>
        <v>Phí cấp cont rỗng lạnh</v>
      </c>
      <c r="F81" s="148" t="str">
        <f ca="1">IF(ROWS($1:68)&gt;COUNT(Dong1),"",IF(OFFSET(TH!O$1,SMALL(Dong1,ROWS($1:68)),)="1111",OFFSET(TH!N$1,SMALL(Dong1,ROWS($1:68)),),OFFSET(TH!O$1,SMALL(Dong1,ROWS($1:68)),)))</f>
        <v>641</v>
      </c>
      <c r="G81" s="149">
        <f ca="1">IF(ROWS($1:68)&gt;COUNT(Dong1),"",IF(OFFSET(TH!N$1,SMALL(Dong1,ROWS($1:68)),)="1111",OFFSET(TH!M$1,SMALL(Dong1,ROWS($1:68)),),0))</f>
        <v>0</v>
      </c>
      <c r="H81" s="147">
        <f ca="1">IF(ROWS($1:68)&gt;COUNT(Dong1),"",IF(OFFSET(TH!O$1,SMALL(Dong1,ROWS($1:68)),)="1111",OFFSET(TH!M$1,SMALL(Dong1,ROWS($1:68)),),0))</f>
        <v>4909091</v>
      </c>
      <c r="I81" s="145">
        <f t="shared" ca="1" si="1"/>
        <v>23229645425</v>
      </c>
      <c r="J81" s="150"/>
    </row>
    <row r="82" spans="1:10" s="135" customFormat="1" ht="19.5" customHeight="1">
      <c r="A82" s="144">
        <f ca="1">IF(ROWS($1:69)&gt;COUNT(Dong1),"",OFFSET(TH!C$1,SMALL(Dong1,ROWS($1:69)),))</f>
        <v>43095</v>
      </c>
      <c r="B82" s="144">
        <f ca="1">IF(ROWS($1:69)&gt;COUNT(Dong1),"",OFFSET(TH!E$1,SMALL(Dong1,ROWS($1:69)),))</f>
        <v>43095</v>
      </c>
      <c r="C82" s="145" t="str">
        <f ca="1">IF(ROWS($1:69)&gt;COUNT(Dong1),"",IF(OFFSET(TH!N$1,SMALL(Dong1,ROWS($1:69)),)="1111",OFFSET(TH!D$1,SMALL(Dong1,ROWS($1:69)),),""))</f>
        <v/>
      </c>
      <c r="D82" s="146">
        <f ca="1">IF(ROWS($1:69)&gt;COUNT(Dong1),"",IF(OFFSET(TH!O$1,SMALL(Dong1,ROWS($1:69)),)="1111",OFFSET(TH!D$1,SMALL(Dong1,ROWS($1:69)),),""))</f>
        <v>0</v>
      </c>
      <c r="E82" s="331" t="str">
        <f ca="1">IF(ROWS($1:69)&gt;COUNT(Dong1),"",OFFSET(TH!F$1,SMALL(Dong1,ROWS($1:69)),))</f>
        <v>VAT Phí cấp cont rỗng lạnh</v>
      </c>
      <c r="F82" s="148" t="str">
        <f ca="1">IF(ROWS($1:69)&gt;COUNT(Dong1),"",IF(OFFSET(TH!O$1,SMALL(Dong1,ROWS($1:69)),)="1111",OFFSET(TH!N$1,SMALL(Dong1,ROWS($1:69)),),OFFSET(TH!O$1,SMALL(Dong1,ROWS($1:69)),)))</f>
        <v>1331</v>
      </c>
      <c r="G82" s="149">
        <f ca="1">IF(ROWS($1:69)&gt;COUNT(Dong1),"",IF(OFFSET(TH!N$1,SMALL(Dong1,ROWS($1:69)),)="1111",OFFSET(TH!M$1,SMALL(Dong1,ROWS($1:69)),),0))</f>
        <v>0</v>
      </c>
      <c r="H82" s="147">
        <f ca="1">IF(ROWS($1:69)&gt;COUNT(Dong1),"",IF(OFFSET(TH!O$1,SMALL(Dong1,ROWS($1:69)),)="1111",OFFSET(TH!M$1,SMALL(Dong1,ROWS($1:69)),),0))</f>
        <v>490909</v>
      </c>
      <c r="I82" s="145">
        <f t="shared" ca="1" si="1"/>
        <v>23229154516</v>
      </c>
      <c r="J82" s="150"/>
    </row>
    <row r="83" spans="1:10" s="135" customFormat="1" ht="19.5" customHeight="1">
      <c r="A83" s="144">
        <f ca="1">IF(ROWS($1:70)&gt;COUNT(Dong1),"",OFFSET(TH!C$1,SMALL(Dong1,ROWS($1:70)),))</f>
        <v>43096</v>
      </c>
      <c r="B83" s="144">
        <f ca="1">IF(ROWS($1:70)&gt;COUNT(Dong1),"",OFFSET(TH!E$1,SMALL(Dong1,ROWS($1:70)),))</f>
        <v>43096</v>
      </c>
      <c r="C83" s="145" t="str">
        <f ca="1">IF(ROWS($1:70)&gt;COUNT(Dong1),"",IF(OFFSET(TH!N$1,SMALL(Dong1,ROWS($1:70)),)="1111",OFFSET(TH!D$1,SMALL(Dong1,ROWS($1:70)),),""))</f>
        <v/>
      </c>
      <c r="D83" s="146">
        <f ca="1">IF(ROWS($1:70)&gt;COUNT(Dong1),"",IF(OFFSET(TH!O$1,SMALL(Dong1,ROWS($1:70)),)="1111",OFFSET(TH!D$1,SMALL(Dong1,ROWS($1:70)),),""))</f>
        <v>0</v>
      </c>
      <c r="E83" s="331" t="str">
        <f ca="1">IF(ROWS($1:70)&gt;COUNT(Dong1),"",OFFSET(TH!F$1,SMALL(Dong1,ROWS($1:70)),))</f>
        <v>Phí hạ bãi chờ xuất</v>
      </c>
      <c r="F83" s="148" t="str">
        <f ca="1">IF(ROWS($1:70)&gt;COUNT(Dong1),"",IF(OFFSET(TH!O$1,SMALL(Dong1,ROWS($1:70)),)="1111",OFFSET(TH!N$1,SMALL(Dong1,ROWS($1:70)),),OFFSET(TH!O$1,SMALL(Dong1,ROWS($1:70)),)))</f>
        <v>641</v>
      </c>
      <c r="G83" s="149">
        <f ca="1">IF(ROWS($1:70)&gt;COUNT(Dong1),"",IF(OFFSET(TH!N$1,SMALL(Dong1,ROWS($1:70)),)="1111",OFFSET(TH!M$1,SMALL(Dong1,ROWS($1:70)),),0))</f>
        <v>0</v>
      </c>
      <c r="H83" s="147">
        <f ca="1">IF(ROWS($1:70)&gt;COUNT(Dong1),"",IF(OFFSET(TH!O$1,SMALL(Dong1,ROWS($1:70)),)="1111",OFFSET(TH!M$1,SMALL(Dong1,ROWS($1:70)),),0))</f>
        <v>1581818</v>
      </c>
      <c r="I83" s="145">
        <f t="shared" ca="1" si="1"/>
        <v>23227572698</v>
      </c>
      <c r="J83" s="150"/>
    </row>
    <row r="84" spans="1:10" s="135" customFormat="1" ht="19.5" customHeight="1">
      <c r="A84" s="144">
        <f ca="1">IF(ROWS($1:71)&gt;COUNT(Dong1),"",OFFSET(TH!C$1,SMALL(Dong1,ROWS($1:71)),))</f>
        <v>43096</v>
      </c>
      <c r="B84" s="144">
        <f ca="1">IF(ROWS($1:71)&gt;COUNT(Dong1),"",OFFSET(TH!E$1,SMALL(Dong1,ROWS($1:71)),))</f>
        <v>43096</v>
      </c>
      <c r="C84" s="145" t="str">
        <f ca="1">IF(ROWS($1:71)&gt;COUNT(Dong1),"",IF(OFFSET(TH!N$1,SMALL(Dong1,ROWS($1:71)),)="1111",OFFSET(TH!D$1,SMALL(Dong1,ROWS($1:71)),),""))</f>
        <v/>
      </c>
      <c r="D84" s="146">
        <f ca="1">IF(ROWS($1:71)&gt;COUNT(Dong1),"",IF(OFFSET(TH!O$1,SMALL(Dong1,ROWS($1:71)),)="1111",OFFSET(TH!D$1,SMALL(Dong1,ROWS($1:71)),),""))</f>
        <v>0</v>
      </c>
      <c r="E84" s="331" t="str">
        <f ca="1">IF(ROWS($1:71)&gt;COUNT(Dong1),"",OFFSET(TH!F$1,SMALL(Dong1,ROWS($1:71)),))</f>
        <v>VAT Phí hạ bãi chờ xuất</v>
      </c>
      <c r="F84" s="148" t="str">
        <f ca="1">IF(ROWS($1:71)&gt;COUNT(Dong1),"",IF(OFFSET(TH!O$1,SMALL(Dong1,ROWS($1:71)),)="1111",OFFSET(TH!N$1,SMALL(Dong1,ROWS($1:71)),),OFFSET(TH!O$1,SMALL(Dong1,ROWS($1:71)),)))</f>
        <v>1331</v>
      </c>
      <c r="G84" s="149">
        <f ca="1">IF(ROWS($1:71)&gt;COUNT(Dong1),"",IF(OFFSET(TH!N$1,SMALL(Dong1,ROWS($1:71)),)="1111",OFFSET(TH!M$1,SMALL(Dong1,ROWS($1:71)),),0))</f>
        <v>0</v>
      </c>
      <c r="H84" s="147">
        <f ca="1">IF(ROWS($1:71)&gt;COUNT(Dong1),"",IF(OFFSET(TH!O$1,SMALL(Dong1,ROWS($1:71)),)="1111",OFFSET(TH!M$1,SMALL(Dong1,ROWS($1:71)),),0))</f>
        <v>158182</v>
      </c>
      <c r="I84" s="145">
        <f t="shared" ca="1" si="1"/>
        <v>23227414516</v>
      </c>
      <c r="J84" s="150"/>
    </row>
    <row r="85" spans="1:10" s="135" customFormat="1" ht="19.5" customHeight="1">
      <c r="A85" s="144">
        <f ca="1">IF(ROWS($1:72)&gt;COUNT(Dong1),"",OFFSET(TH!C$1,SMALL(Dong1,ROWS($1:72)),))</f>
        <v>43097</v>
      </c>
      <c r="B85" s="144">
        <f ca="1">IF(ROWS($1:72)&gt;COUNT(Dong1),"",OFFSET(TH!E$1,SMALL(Dong1,ROWS($1:72)),))</f>
        <v>43097</v>
      </c>
      <c r="C85" s="145" t="str">
        <f ca="1">IF(ROWS($1:72)&gt;COUNT(Dong1),"",IF(OFFSET(TH!N$1,SMALL(Dong1,ROWS($1:72)),)="1111",OFFSET(TH!D$1,SMALL(Dong1,ROWS($1:72)),),""))</f>
        <v/>
      </c>
      <c r="D85" s="146">
        <f ca="1">IF(ROWS($1:72)&gt;COUNT(Dong1),"",IF(OFFSET(TH!O$1,SMALL(Dong1,ROWS($1:72)),)="1111",OFFSET(TH!D$1,SMALL(Dong1,ROWS($1:72)),),""))</f>
        <v>0</v>
      </c>
      <c r="E85" s="331" t="str">
        <f ca="1">IF(ROWS($1:72)&gt;COUNT(Dong1),"",OFFSET(TH!F$1,SMALL(Dong1,ROWS($1:72)),))</f>
        <v>Sửa chữa xe 51A - 141.74</v>
      </c>
      <c r="F85" s="148" t="str">
        <f ca="1">IF(ROWS($1:72)&gt;COUNT(Dong1),"",IF(OFFSET(TH!O$1,SMALL(Dong1,ROWS($1:72)),)="1111",OFFSET(TH!N$1,SMALL(Dong1,ROWS($1:72)),),OFFSET(TH!O$1,SMALL(Dong1,ROWS($1:72)),)))</f>
        <v>642</v>
      </c>
      <c r="G85" s="149">
        <f ca="1">IF(ROWS($1:72)&gt;COUNT(Dong1),"",IF(OFFSET(TH!N$1,SMALL(Dong1,ROWS($1:72)),)="1111",OFFSET(TH!M$1,SMALL(Dong1,ROWS($1:72)),),0))</f>
        <v>0</v>
      </c>
      <c r="H85" s="147">
        <f ca="1">IF(ROWS($1:72)&gt;COUNT(Dong1),"",IF(OFFSET(TH!O$1,SMALL(Dong1,ROWS($1:72)),)="1111",OFFSET(TH!M$1,SMALL(Dong1,ROWS($1:72)),),0))</f>
        <v>2670854</v>
      </c>
      <c r="I85" s="145">
        <f t="shared" ca="1" si="1"/>
        <v>23224743662</v>
      </c>
      <c r="J85" s="150"/>
    </row>
    <row r="86" spans="1:10" s="135" customFormat="1" ht="19.5" customHeight="1">
      <c r="A86" s="144">
        <f ca="1">IF(ROWS($1:73)&gt;COUNT(Dong1),"",OFFSET(TH!C$1,SMALL(Dong1,ROWS($1:73)),))</f>
        <v>43097</v>
      </c>
      <c r="B86" s="144">
        <f ca="1">IF(ROWS($1:73)&gt;COUNT(Dong1),"",OFFSET(TH!E$1,SMALL(Dong1,ROWS($1:73)),))</f>
        <v>43097</v>
      </c>
      <c r="C86" s="145" t="str">
        <f ca="1">IF(ROWS($1:73)&gt;COUNT(Dong1),"",IF(OFFSET(TH!N$1,SMALL(Dong1,ROWS($1:73)),)="1111",OFFSET(TH!D$1,SMALL(Dong1,ROWS($1:73)),),""))</f>
        <v/>
      </c>
      <c r="D86" s="146">
        <f ca="1">IF(ROWS($1:73)&gt;COUNT(Dong1),"",IF(OFFSET(TH!O$1,SMALL(Dong1,ROWS($1:73)),)="1111",OFFSET(TH!D$1,SMALL(Dong1,ROWS($1:73)),),""))</f>
        <v>0</v>
      </c>
      <c r="E86" s="331" t="str">
        <f ca="1">IF(ROWS($1:73)&gt;COUNT(Dong1),"",OFFSET(TH!F$1,SMALL(Dong1,ROWS($1:73)),))</f>
        <v>VAT Sửa chữa xe 51A - 141.74</v>
      </c>
      <c r="F86" s="148" t="str">
        <f ca="1">IF(ROWS($1:73)&gt;COUNT(Dong1),"",IF(OFFSET(TH!O$1,SMALL(Dong1,ROWS($1:73)),)="1111",OFFSET(TH!N$1,SMALL(Dong1,ROWS($1:73)),),OFFSET(TH!O$1,SMALL(Dong1,ROWS($1:73)),)))</f>
        <v>1331</v>
      </c>
      <c r="G86" s="149">
        <f ca="1">IF(ROWS($1:73)&gt;COUNT(Dong1),"",IF(OFFSET(TH!N$1,SMALL(Dong1,ROWS($1:73)),)="1111",OFFSET(TH!M$1,SMALL(Dong1,ROWS($1:73)),),0))</f>
        <v>0</v>
      </c>
      <c r="H86" s="147">
        <f ca="1">IF(ROWS($1:73)&gt;COUNT(Dong1),"",IF(OFFSET(TH!O$1,SMALL(Dong1,ROWS($1:73)),)="1111",OFFSET(TH!M$1,SMALL(Dong1,ROWS($1:73)),),0))</f>
        <v>267085</v>
      </c>
      <c r="I86" s="145">
        <f t="shared" ca="1" si="1"/>
        <v>23224476577</v>
      </c>
      <c r="J86" s="150"/>
    </row>
    <row r="87" spans="1:10" s="135" customFormat="1" ht="19.5" customHeight="1">
      <c r="A87" s="144">
        <f ca="1">IF(ROWS($1:74)&gt;COUNT(Dong1),"",OFFSET(TH!C$1,SMALL(Dong1,ROWS($1:74)),))</f>
        <v>43097</v>
      </c>
      <c r="B87" s="144">
        <f ca="1">IF(ROWS($1:74)&gt;COUNT(Dong1),"",OFFSET(TH!E$1,SMALL(Dong1,ROWS($1:74)),))</f>
        <v>43097</v>
      </c>
      <c r="C87" s="145" t="str">
        <f ca="1">IF(ROWS($1:74)&gt;COUNT(Dong1),"",IF(OFFSET(TH!N$1,SMALL(Dong1,ROWS($1:74)),)="1111",OFFSET(TH!D$1,SMALL(Dong1,ROWS($1:74)),),""))</f>
        <v/>
      </c>
      <c r="D87" s="146">
        <f ca="1">IF(ROWS($1:74)&gt;COUNT(Dong1),"",IF(OFFSET(TH!O$1,SMALL(Dong1,ROWS($1:74)),)="1111",OFFSET(TH!D$1,SMALL(Dong1,ROWS($1:74)),),""))</f>
        <v>0</v>
      </c>
      <c r="E87" s="331" t="str">
        <f ca="1">IF(ROWS($1:74)&gt;COUNT(Dong1),"",OFFSET(TH!F$1,SMALL(Dong1,ROWS($1:74)),))</f>
        <v>Phí nâng rỗng lạnh</v>
      </c>
      <c r="F87" s="148" t="str">
        <f ca="1">IF(ROWS($1:74)&gt;COUNT(Dong1),"",IF(OFFSET(TH!O$1,SMALL(Dong1,ROWS($1:74)),)="1111",OFFSET(TH!N$1,SMALL(Dong1,ROWS($1:74)),),OFFSET(TH!O$1,SMALL(Dong1,ROWS($1:74)),)))</f>
        <v>641</v>
      </c>
      <c r="G87" s="149">
        <f ca="1">IF(ROWS($1:74)&gt;COUNT(Dong1),"",IF(OFFSET(TH!N$1,SMALL(Dong1,ROWS($1:74)),)="1111",OFFSET(TH!M$1,SMALL(Dong1,ROWS($1:74)),),0))</f>
        <v>0</v>
      </c>
      <c r="H87" s="147">
        <f ca="1">IF(ROWS($1:74)&gt;COUNT(Dong1),"",IF(OFFSET(TH!O$1,SMALL(Dong1,ROWS($1:74)),)="1111",OFFSET(TH!M$1,SMALL(Dong1,ROWS($1:74)),),0))</f>
        <v>2727273</v>
      </c>
      <c r="I87" s="145">
        <f t="shared" ca="1" si="1"/>
        <v>23221749304</v>
      </c>
      <c r="J87" s="150"/>
    </row>
    <row r="88" spans="1:10" s="135" customFormat="1" ht="19.5" customHeight="1">
      <c r="A88" s="144">
        <f ca="1">IF(ROWS($1:75)&gt;COUNT(Dong1),"",OFFSET(TH!C$1,SMALL(Dong1,ROWS($1:75)),))</f>
        <v>43097</v>
      </c>
      <c r="B88" s="144">
        <f ca="1">IF(ROWS($1:75)&gt;COUNT(Dong1),"",OFFSET(TH!E$1,SMALL(Dong1,ROWS($1:75)),))</f>
        <v>43097</v>
      </c>
      <c r="C88" s="145" t="str">
        <f ca="1">IF(ROWS($1:75)&gt;COUNT(Dong1),"",IF(OFFSET(TH!N$1,SMALL(Dong1,ROWS($1:75)),)="1111",OFFSET(TH!D$1,SMALL(Dong1,ROWS($1:75)),),""))</f>
        <v/>
      </c>
      <c r="D88" s="146">
        <f ca="1">IF(ROWS($1:75)&gt;COUNT(Dong1),"",IF(OFFSET(TH!O$1,SMALL(Dong1,ROWS($1:75)),)="1111",OFFSET(TH!D$1,SMALL(Dong1,ROWS($1:75)),),""))</f>
        <v>0</v>
      </c>
      <c r="E88" s="331" t="str">
        <f ca="1">IF(ROWS($1:75)&gt;COUNT(Dong1),"",OFFSET(TH!F$1,SMALL(Dong1,ROWS($1:75)),))</f>
        <v>VAT Phí nâng rỗng lạnh</v>
      </c>
      <c r="F88" s="148" t="str">
        <f ca="1">IF(ROWS($1:75)&gt;COUNT(Dong1),"",IF(OFFSET(TH!O$1,SMALL(Dong1,ROWS($1:75)),)="1111",OFFSET(TH!N$1,SMALL(Dong1,ROWS($1:75)),),OFFSET(TH!O$1,SMALL(Dong1,ROWS($1:75)),)))</f>
        <v>1331</v>
      </c>
      <c r="G88" s="149">
        <f ca="1">IF(ROWS($1:75)&gt;COUNT(Dong1),"",IF(OFFSET(TH!N$1,SMALL(Dong1,ROWS($1:75)),)="1111",OFFSET(TH!M$1,SMALL(Dong1,ROWS($1:75)),),0))</f>
        <v>0</v>
      </c>
      <c r="H88" s="147">
        <f ca="1">IF(ROWS($1:75)&gt;COUNT(Dong1),"",IF(OFFSET(TH!O$1,SMALL(Dong1,ROWS($1:75)),)="1111",OFFSET(TH!M$1,SMALL(Dong1,ROWS($1:75)),),0))</f>
        <v>272727</v>
      </c>
      <c r="I88" s="145">
        <f t="shared" ca="1" si="1"/>
        <v>23221476577</v>
      </c>
      <c r="J88" s="150"/>
    </row>
    <row r="89" spans="1:10" s="135" customFormat="1" ht="19.5" customHeight="1">
      <c r="A89" s="144">
        <f ca="1">IF(ROWS($1:76)&gt;COUNT(Dong1),"",OFFSET(TH!C$1,SMALL(Dong1,ROWS($1:76)),))</f>
        <v>43097</v>
      </c>
      <c r="B89" s="144">
        <f ca="1">IF(ROWS($1:76)&gt;COUNT(Dong1),"",OFFSET(TH!E$1,SMALL(Dong1,ROWS($1:76)),))</f>
        <v>43097</v>
      </c>
      <c r="C89" s="145" t="str">
        <f ca="1">IF(ROWS($1:76)&gt;COUNT(Dong1),"",IF(OFFSET(TH!N$1,SMALL(Dong1,ROWS($1:76)),)="1111",OFFSET(TH!D$1,SMALL(Dong1,ROWS($1:76)),),""))</f>
        <v/>
      </c>
      <c r="D89" s="146">
        <f ca="1">IF(ROWS($1:76)&gt;COUNT(Dong1),"",IF(OFFSET(TH!O$1,SMALL(Dong1,ROWS($1:76)),)="1111",OFFSET(TH!D$1,SMALL(Dong1,ROWS($1:76)),),""))</f>
        <v>0</v>
      </c>
      <c r="E89" s="331" t="str">
        <f ca="1">IF(ROWS($1:76)&gt;COUNT(Dong1),"",OFFSET(TH!F$1,SMALL(Dong1,ROWS($1:76)),))</f>
        <v>Thanh toán tiền cá cơm NL</v>
      </c>
      <c r="F89" s="148" t="str">
        <f ca="1">IF(ROWS($1:76)&gt;COUNT(Dong1),"",IF(OFFSET(TH!O$1,SMALL(Dong1,ROWS($1:76)),)="1111",OFFSET(TH!N$1,SMALL(Dong1,ROWS($1:76)),),OFFSET(TH!O$1,SMALL(Dong1,ROWS($1:76)),)))</f>
        <v>331</v>
      </c>
      <c r="G89" s="149">
        <f ca="1">IF(ROWS($1:76)&gt;COUNT(Dong1),"",IF(OFFSET(TH!N$1,SMALL(Dong1,ROWS($1:76)),)="1111",OFFSET(TH!M$1,SMALL(Dong1,ROWS($1:76)),),0))</f>
        <v>0</v>
      </c>
      <c r="H89" s="147">
        <f ca="1">IF(ROWS($1:76)&gt;COUNT(Dong1),"",IF(OFFSET(TH!O$1,SMALL(Dong1,ROWS($1:76)),)="1111",OFFSET(TH!M$1,SMALL(Dong1,ROWS($1:76)),),0))</f>
        <v>3259944000</v>
      </c>
      <c r="I89" s="145">
        <f t="shared" ca="1" si="1"/>
        <v>19961532577</v>
      </c>
      <c r="J89" s="150"/>
    </row>
    <row r="90" spans="1:10" s="135" customFormat="1" ht="19.5" customHeight="1">
      <c r="A90" s="144">
        <f ca="1">IF(ROWS($1:77)&gt;COUNT(Dong1),"",OFFSET(TH!C$1,SMALL(Dong1,ROWS($1:77)),))</f>
        <v>43097</v>
      </c>
      <c r="B90" s="144">
        <f ca="1">IF(ROWS($1:77)&gt;COUNT(Dong1),"",OFFSET(TH!E$1,SMALL(Dong1,ROWS($1:77)),))</f>
        <v>43097</v>
      </c>
      <c r="C90" s="145" t="str">
        <f ca="1">IF(ROWS($1:77)&gt;COUNT(Dong1),"",IF(OFFSET(TH!N$1,SMALL(Dong1,ROWS($1:77)),)="1111",OFFSET(TH!D$1,SMALL(Dong1,ROWS($1:77)),),""))</f>
        <v/>
      </c>
      <c r="D90" s="146">
        <f ca="1">IF(ROWS($1:77)&gt;COUNT(Dong1),"",IF(OFFSET(TH!O$1,SMALL(Dong1,ROWS($1:77)),)="1111",OFFSET(TH!D$1,SMALL(Dong1,ROWS($1:77)),),""))</f>
        <v>0</v>
      </c>
      <c r="E90" s="331" t="str">
        <f ca="1">IF(ROWS($1:77)&gt;COUNT(Dong1),"",OFFSET(TH!F$1,SMALL(Dong1,ROWS($1:77)),))</f>
        <v>Phí chuyển tiền</v>
      </c>
      <c r="F90" s="148" t="str">
        <f ca="1">IF(ROWS($1:77)&gt;COUNT(Dong1),"",IF(OFFSET(TH!O$1,SMALL(Dong1,ROWS($1:77)),)="1111",OFFSET(TH!N$1,SMALL(Dong1,ROWS($1:77)),),OFFSET(TH!O$1,SMALL(Dong1,ROWS($1:77)),)))</f>
        <v>642</v>
      </c>
      <c r="G90" s="149">
        <f ca="1">IF(ROWS($1:77)&gt;COUNT(Dong1),"",IF(OFFSET(TH!N$1,SMALL(Dong1,ROWS($1:77)),)="1111",OFFSET(TH!M$1,SMALL(Dong1,ROWS($1:77)),),0))</f>
        <v>0</v>
      </c>
      <c r="H90" s="147">
        <f ca="1">IF(ROWS($1:77)&gt;COUNT(Dong1),"",IF(OFFSET(TH!O$1,SMALL(Dong1,ROWS($1:77)),)="1111",OFFSET(TH!M$1,SMALL(Dong1,ROWS($1:77)),),0))</f>
        <v>2200000</v>
      </c>
      <c r="I90" s="145">
        <f t="shared" ca="1" si="1"/>
        <v>19959332577</v>
      </c>
      <c r="J90" s="150"/>
    </row>
    <row r="91" spans="1:10" s="135" customFormat="1" ht="19.5" customHeight="1">
      <c r="A91" s="144">
        <f ca="1">IF(ROWS($1:78)&gt;COUNT(Dong1),"",OFFSET(TH!C$1,SMALL(Dong1,ROWS($1:78)),))</f>
        <v>43097</v>
      </c>
      <c r="B91" s="144">
        <f ca="1">IF(ROWS($1:78)&gt;COUNT(Dong1),"",OFFSET(TH!E$1,SMALL(Dong1,ROWS($1:78)),))</f>
        <v>43097</v>
      </c>
      <c r="C91" s="145" t="str">
        <f ca="1">IF(ROWS($1:78)&gt;COUNT(Dong1),"",IF(OFFSET(TH!N$1,SMALL(Dong1,ROWS($1:78)),)="1111",OFFSET(TH!D$1,SMALL(Dong1,ROWS($1:78)),),""))</f>
        <v/>
      </c>
      <c r="D91" s="146">
        <f ca="1">IF(ROWS($1:78)&gt;COUNT(Dong1),"",IF(OFFSET(TH!O$1,SMALL(Dong1,ROWS($1:78)),)="1111",OFFSET(TH!D$1,SMALL(Dong1,ROWS($1:78)),),""))</f>
        <v>0</v>
      </c>
      <c r="E91" s="331" t="str">
        <f ca="1">IF(ROWS($1:78)&gt;COUNT(Dong1),"",OFFSET(TH!F$1,SMALL(Dong1,ROWS($1:78)),))</f>
        <v>Thanh toán tiền cá cơm NL</v>
      </c>
      <c r="F91" s="148" t="str">
        <f ca="1">IF(ROWS($1:78)&gt;COUNT(Dong1),"",IF(OFFSET(TH!O$1,SMALL(Dong1,ROWS($1:78)),)="1111",OFFSET(TH!N$1,SMALL(Dong1,ROWS($1:78)),),OFFSET(TH!O$1,SMALL(Dong1,ROWS($1:78)),)))</f>
        <v>331</v>
      </c>
      <c r="G91" s="149">
        <f ca="1">IF(ROWS($1:78)&gt;COUNT(Dong1),"",IF(OFFSET(TH!N$1,SMALL(Dong1,ROWS($1:78)),)="1111",OFFSET(TH!M$1,SMALL(Dong1,ROWS($1:78)),),0))</f>
        <v>0</v>
      </c>
      <c r="H91" s="147">
        <f ca="1">IF(ROWS($1:78)&gt;COUNT(Dong1),"",IF(OFFSET(TH!O$1,SMALL(Dong1,ROWS($1:78)),)="1111",OFFSET(TH!M$1,SMALL(Dong1,ROWS($1:78)),),0))</f>
        <v>609433200</v>
      </c>
      <c r="I91" s="145">
        <f t="shared" ca="1" si="1"/>
        <v>19349899377</v>
      </c>
      <c r="J91" s="150"/>
    </row>
    <row r="92" spans="1:10" s="135" customFormat="1" ht="19.5" customHeight="1">
      <c r="A92" s="144">
        <f ca="1">IF(ROWS($1:79)&gt;COUNT(Dong1),"",OFFSET(TH!C$1,SMALL(Dong1,ROWS($1:79)),))</f>
        <v>43097</v>
      </c>
      <c r="B92" s="144">
        <f ca="1">IF(ROWS($1:79)&gt;COUNT(Dong1),"",OFFSET(TH!E$1,SMALL(Dong1,ROWS($1:79)),))</f>
        <v>43097</v>
      </c>
      <c r="C92" s="145" t="str">
        <f ca="1">IF(ROWS($1:79)&gt;COUNT(Dong1),"",IF(OFFSET(TH!N$1,SMALL(Dong1,ROWS($1:79)),)="1111",OFFSET(TH!D$1,SMALL(Dong1,ROWS($1:79)),),""))</f>
        <v/>
      </c>
      <c r="D92" s="146" t="str">
        <f ca="1">IF(ROWS($1:79)&gt;COUNT(Dong1),"",IF(OFFSET(TH!O$1,SMALL(Dong1,ROWS($1:79)),)="1111",OFFSET(TH!D$1,SMALL(Dong1,ROWS($1:79)),),""))</f>
        <v>CHI</v>
      </c>
      <c r="E92" s="331" t="str">
        <f ca="1">IF(ROWS($1:79)&gt;COUNT(Dong1),"",OFFSET(TH!F$1,SMALL(Dong1,ROWS($1:79)),))</f>
        <v>Nộp tiền mặt vào TK</v>
      </c>
      <c r="F92" s="148" t="str">
        <f ca="1">IF(ROWS($1:79)&gt;COUNT(Dong1),"",IF(OFFSET(TH!O$1,SMALL(Dong1,ROWS($1:79)),)="1111",OFFSET(TH!N$1,SMALL(Dong1,ROWS($1:79)),),OFFSET(TH!O$1,SMALL(Dong1,ROWS($1:79)),)))</f>
        <v>1121</v>
      </c>
      <c r="G92" s="149">
        <f ca="1">IF(ROWS($1:79)&gt;COUNT(Dong1),"",IF(OFFSET(TH!N$1,SMALL(Dong1,ROWS($1:79)),)="1111",OFFSET(TH!M$1,SMALL(Dong1,ROWS($1:79)),),0))</f>
        <v>0</v>
      </c>
      <c r="H92" s="147">
        <f ca="1">IF(ROWS($1:79)&gt;COUNT(Dong1),"",IF(OFFSET(TH!O$1,SMALL(Dong1,ROWS($1:79)),)="1111",OFFSET(TH!M$1,SMALL(Dong1,ROWS($1:79)),),0))</f>
        <v>5580000000</v>
      </c>
      <c r="I92" s="145">
        <f t="shared" ca="1" si="1"/>
        <v>13769899377</v>
      </c>
      <c r="J92" s="150"/>
    </row>
    <row r="93" spans="1:10" s="135" customFormat="1" ht="19.5" customHeight="1">
      <c r="A93" s="144">
        <f ca="1">IF(ROWS($1:80)&gt;COUNT(Dong1),"",OFFSET(TH!C$1,SMALL(Dong1,ROWS($1:80)),))</f>
        <v>43098</v>
      </c>
      <c r="B93" s="144">
        <f ca="1">IF(ROWS($1:80)&gt;COUNT(Dong1),"",OFFSET(TH!E$1,SMALL(Dong1,ROWS($1:80)),))</f>
        <v>43098</v>
      </c>
      <c r="C93" s="145" t="str">
        <f ca="1">IF(ROWS($1:80)&gt;COUNT(Dong1),"",IF(OFFSET(TH!N$1,SMALL(Dong1,ROWS($1:80)),)="1111",OFFSET(TH!D$1,SMALL(Dong1,ROWS($1:80)),),""))</f>
        <v/>
      </c>
      <c r="D93" s="146">
        <f ca="1">IF(ROWS($1:80)&gt;COUNT(Dong1),"",IF(OFFSET(TH!O$1,SMALL(Dong1,ROWS($1:80)),)="1111",OFFSET(TH!D$1,SMALL(Dong1,ROWS($1:80)),),""))</f>
        <v>0</v>
      </c>
      <c r="E93" s="331" t="str">
        <f ca="1">IF(ROWS($1:80)&gt;COUNT(Dong1),"",OFFSET(TH!F$1,SMALL(Dong1,ROWS($1:80)),))</f>
        <v>Phí dịch vụ bảo vệ T12/17</v>
      </c>
      <c r="F93" s="148" t="str">
        <f ca="1">IF(ROWS($1:80)&gt;COUNT(Dong1),"",IF(OFFSET(TH!O$1,SMALL(Dong1,ROWS($1:80)),)="1111",OFFSET(TH!N$1,SMALL(Dong1,ROWS($1:80)),),OFFSET(TH!O$1,SMALL(Dong1,ROWS($1:80)),)))</f>
        <v>642</v>
      </c>
      <c r="G93" s="149">
        <f ca="1">IF(ROWS($1:80)&gt;COUNT(Dong1),"",IF(OFFSET(TH!N$1,SMALL(Dong1,ROWS($1:80)),)="1111",OFFSET(TH!M$1,SMALL(Dong1,ROWS($1:80)),),0))</f>
        <v>0</v>
      </c>
      <c r="H93" s="147">
        <f ca="1">IF(ROWS($1:80)&gt;COUNT(Dong1),"",IF(OFFSET(TH!O$1,SMALL(Dong1,ROWS($1:80)),)="1111",OFFSET(TH!M$1,SMALL(Dong1,ROWS($1:80)),),0))</f>
        <v>11500000</v>
      </c>
      <c r="I93" s="145">
        <f t="shared" ca="1" si="1"/>
        <v>13758399377</v>
      </c>
      <c r="J93" s="150"/>
    </row>
    <row r="94" spans="1:10" s="135" customFormat="1" ht="19.5" customHeight="1">
      <c r="A94" s="144">
        <f ca="1">IF(ROWS($1:81)&gt;COUNT(Dong1),"",OFFSET(TH!C$1,SMALL(Dong1,ROWS($1:81)),))</f>
        <v>43098</v>
      </c>
      <c r="B94" s="144">
        <f ca="1">IF(ROWS($1:81)&gt;COUNT(Dong1),"",OFFSET(TH!E$1,SMALL(Dong1,ROWS($1:81)),))</f>
        <v>43098</v>
      </c>
      <c r="C94" s="145" t="str">
        <f ca="1">IF(ROWS($1:81)&gt;COUNT(Dong1),"",IF(OFFSET(TH!N$1,SMALL(Dong1,ROWS($1:81)),)="1111",OFFSET(TH!D$1,SMALL(Dong1,ROWS($1:81)),),""))</f>
        <v/>
      </c>
      <c r="D94" s="146">
        <f ca="1">IF(ROWS($1:81)&gt;COUNT(Dong1),"",IF(OFFSET(TH!O$1,SMALL(Dong1,ROWS($1:81)),)="1111",OFFSET(TH!D$1,SMALL(Dong1,ROWS($1:81)),),""))</f>
        <v>0</v>
      </c>
      <c r="E94" s="331" t="str">
        <f ca="1">IF(ROWS($1:81)&gt;COUNT(Dong1),"",OFFSET(TH!F$1,SMALL(Dong1,ROWS($1:81)),))</f>
        <v>VAT Phí dịch vụ bảo vệ T12/17</v>
      </c>
      <c r="F94" s="148" t="str">
        <f ca="1">IF(ROWS($1:81)&gt;COUNT(Dong1),"",IF(OFFSET(TH!O$1,SMALL(Dong1,ROWS($1:81)),)="1111",OFFSET(TH!N$1,SMALL(Dong1,ROWS($1:81)),),OFFSET(TH!O$1,SMALL(Dong1,ROWS($1:81)),)))</f>
        <v>1331</v>
      </c>
      <c r="G94" s="149">
        <f ca="1">IF(ROWS($1:81)&gt;COUNT(Dong1),"",IF(OFFSET(TH!N$1,SMALL(Dong1,ROWS($1:81)),)="1111",OFFSET(TH!M$1,SMALL(Dong1,ROWS($1:81)),),0))</f>
        <v>0</v>
      </c>
      <c r="H94" s="147">
        <f ca="1">IF(ROWS($1:81)&gt;COUNT(Dong1),"",IF(OFFSET(TH!O$1,SMALL(Dong1,ROWS($1:81)),)="1111",OFFSET(TH!M$1,SMALL(Dong1,ROWS($1:81)),),0))</f>
        <v>1150000</v>
      </c>
      <c r="I94" s="145">
        <f t="shared" ref="I94:I157" ca="1" si="2">IF(E94&lt;&gt;"",I93+G94-H94,0)</f>
        <v>13757249377</v>
      </c>
      <c r="J94" s="150"/>
    </row>
    <row r="95" spans="1:10" s="135" customFormat="1" ht="19.5" customHeight="1">
      <c r="A95" s="144">
        <f ca="1">IF(ROWS($1:82)&gt;COUNT(Dong1),"",OFFSET(TH!C$1,SMALL(Dong1,ROWS($1:82)),))</f>
        <v>43098</v>
      </c>
      <c r="B95" s="144">
        <f ca="1">IF(ROWS($1:82)&gt;COUNT(Dong1),"",OFFSET(TH!E$1,SMALL(Dong1,ROWS($1:82)),))</f>
        <v>43098</v>
      </c>
      <c r="C95" s="145" t="str">
        <f ca="1">IF(ROWS($1:82)&gt;COUNT(Dong1),"",IF(OFFSET(TH!N$1,SMALL(Dong1,ROWS($1:82)),)="1111",OFFSET(TH!D$1,SMALL(Dong1,ROWS($1:82)),),""))</f>
        <v/>
      </c>
      <c r="D95" s="146">
        <f ca="1">IF(ROWS($1:82)&gt;COUNT(Dong1),"",IF(OFFSET(TH!O$1,SMALL(Dong1,ROWS($1:82)),)="1111",OFFSET(TH!D$1,SMALL(Dong1,ROWS($1:82)),),""))</f>
        <v>0</v>
      </c>
      <c r="E95" s="331" t="str">
        <f ca="1">IF(ROWS($1:82)&gt;COUNT(Dong1),"",OFFSET(TH!F$1,SMALL(Dong1,ROWS($1:82)),))</f>
        <v>Phí hạ bãi chờ xuất</v>
      </c>
      <c r="F95" s="148" t="str">
        <f ca="1">IF(ROWS($1:82)&gt;COUNT(Dong1),"",IF(OFFSET(TH!O$1,SMALL(Dong1,ROWS($1:82)),)="1111",OFFSET(TH!N$1,SMALL(Dong1,ROWS($1:82)),),OFFSET(TH!O$1,SMALL(Dong1,ROWS($1:82)),)))</f>
        <v>641</v>
      </c>
      <c r="G95" s="149">
        <f ca="1">IF(ROWS($1:82)&gt;COUNT(Dong1),"",IF(OFFSET(TH!N$1,SMALL(Dong1,ROWS($1:82)),)="1111",OFFSET(TH!M$1,SMALL(Dong1,ROWS($1:82)),),0))</f>
        <v>0</v>
      </c>
      <c r="H95" s="147">
        <f ca="1">IF(ROWS($1:82)&gt;COUNT(Dong1),"",IF(OFFSET(TH!O$1,SMALL(Dong1,ROWS($1:82)),)="1111",OFFSET(TH!M$1,SMALL(Dong1,ROWS($1:82)),),0))</f>
        <v>636364</v>
      </c>
      <c r="I95" s="145">
        <f t="shared" ca="1" si="2"/>
        <v>13756613013</v>
      </c>
      <c r="J95" s="150"/>
    </row>
    <row r="96" spans="1:10" s="135" customFormat="1" ht="19.5" customHeight="1">
      <c r="A96" s="144">
        <f ca="1">IF(ROWS($1:83)&gt;COUNT(Dong1),"",OFFSET(TH!C$1,SMALL(Dong1,ROWS($1:83)),))</f>
        <v>43098</v>
      </c>
      <c r="B96" s="144">
        <f ca="1">IF(ROWS($1:83)&gt;COUNT(Dong1),"",OFFSET(TH!E$1,SMALL(Dong1,ROWS($1:83)),))</f>
        <v>43098</v>
      </c>
      <c r="C96" s="145" t="str">
        <f ca="1">IF(ROWS($1:83)&gt;COUNT(Dong1),"",IF(OFFSET(TH!N$1,SMALL(Dong1,ROWS($1:83)),)="1111",OFFSET(TH!D$1,SMALL(Dong1,ROWS($1:83)),),""))</f>
        <v/>
      </c>
      <c r="D96" s="146">
        <f ca="1">IF(ROWS($1:83)&gt;COUNT(Dong1),"",IF(OFFSET(TH!O$1,SMALL(Dong1,ROWS($1:83)),)="1111",OFFSET(TH!D$1,SMALL(Dong1,ROWS($1:83)),),""))</f>
        <v>0</v>
      </c>
      <c r="E96" s="331" t="str">
        <f ca="1">IF(ROWS($1:83)&gt;COUNT(Dong1),"",OFFSET(TH!F$1,SMALL(Dong1,ROWS($1:83)),))</f>
        <v>VAT Phí hạ bãi chờ xuất</v>
      </c>
      <c r="F96" s="148" t="str">
        <f ca="1">IF(ROWS($1:83)&gt;COUNT(Dong1),"",IF(OFFSET(TH!O$1,SMALL(Dong1,ROWS($1:83)),)="1111",OFFSET(TH!N$1,SMALL(Dong1,ROWS($1:83)),),OFFSET(TH!O$1,SMALL(Dong1,ROWS($1:83)),)))</f>
        <v>1331</v>
      </c>
      <c r="G96" s="149">
        <f ca="1">IF(ROWS($1:83)&gt;COUNT(Dong1),"",IF(OFFSET(TH!N$1,SMALL(Dong1,ROWS($1:83)),)="1111",OFFSET(TH!M$1,SMALL(Dong1,ROWS($1:83)),),0))</f>
        <v>0</v>
      </c>
      <c r="H96" s="147">
        <f ca="1">IF(ROWS($1:83)&gt;COUNT(Dong1),"",IF(OFFSET(TH!O$1,SMALL(Dong1,ROWS($1:83)),)="1111",OFFSET(TH!M$1,SMALL(Dong1,ROWS($1:83)),),0))</f>
        <v>63636</v>
      </c>
      <c r="I96" s="145">
        <f t="shared" ca="1" si="2"/>
        <v>13756549377</v>
      </c>
      <c r="J96" s="150"/>
    </row>
    <row r="97" spans="1:10" s="135" customFormat="1" ht="19.5" customHeight="1">
      <c r="A97" s="144">
        <f ca="1">IF(ROWS($1:84)&gt;COUNT(Dong1),"",OFFSET(TH!C$1,SMALL(Dong1,ROWS($1:84)),))</f>
        <v>43098</v>
      </c>
      <c r="B97" s="144">
        <f ca="1">IF(ROWS($1:84)&gt;COUNT(Dong1),"",OFFSET(TH!E$1,SMALL(Dong1,ROWS($1:84)),))</f>
        <v>43098</v>
      </c>
      <c r="C97" s="145" t="str">
        <f ca="1">IF(ROWS($1:84)&gt;COUNT(Dong1),"",IF(OFFSET(TH!N$1,SMALL(Dong1,ROWS($1:84)),)="1111",OFFSET(TH!D$1,SMALL(Dong1,ROWS($1:84)),),""))</f>
        <v>GBN</v>
      </c>
      <c r="D97" s="146" t="str">
        <f ca="1">IF(ROWS($1:84)&gt;COUNT(Dong1),"",IF(OFFSET(TH!O$1,SMALL(Dong1,ROWS($1:84)),)="1111",OFFSET(TH!D$1,SMALL(Dong1,ROWS($1:84)),),""))</f>
        <v/>
      </c>
      <c r="E97" s="331" t="str">
        <f ca="1">IF(ROWS($1:84)&gt;COUNT(Dong1),"",OFFSET(TH!F$1,SMALL(Dong1,ROWS($1:84)),))</f>
        <v>Rút tiền gửi NH nhập quỹ TM</v>
      </c>
      <c r="F97" s="148" t="str">
        <f ca="1">IF(ROWS($1:84)&gt;COUNT(Dong1),"",IF(OFFSET(TH!O$1,SMALL(Dong1,ROWS($1:84)),)="1111",OFFSET(TH!N$1,SMALL(Dong1,ROWS($1:84)),),OFFSET(TH!O$1,SMALL(Dong1,ROWS($1:84)),)))</f>
        <v>1121</v>
      </c>
      <c r="G97" s="149">
        <f ca="1">IF(ROWS($1:84)&gt;COUNT(Dong1),"",IF(OFFSET(TH!N$1,SMALL(Dong1,ROWS($1:84)),)="1111",OFFSET(TH!M$1,SMALL(Dong1,ROWS($1:84)),),0))</f>
        <v>599000000</v>
      </c>
      <c r="H97" s="147">
        <f ca="1">IF(ROWS($1:84)&gt;COUNT(Dong1),"",IF(OFFSET(TH!O$1,SMALL(Dong1,ROWS($1:84)),)="1111",OFFSET(TH!M$1,SMALL(Dong1,ROWS($1:84)),),0))</f>
        <v>0</v>
      </c>
      <c r="I97" s="145">
        <f t="shared" ca="1" si="2"/>
        <v>14355549377</v>
      </c>
      <c r="J97" s="150"/>
    </row>
    <row r="98" spans="1:10" s="135" customFormat="1" ht="19.5" customHeight="1">
      <c r="A98" s="144">
        <f ca="1">IF(ROWS($1:85)&gt;COUNT(Dong1),"",OFFSET(TH!C$1,SMALL(Dong1,ROWS($1:85)),))</f>
        <v>43098</v>
      </c>
      <c r="B98" s="144">
        <f ca="1">IF(ROWS($1:85)&gt;COUNT(Dong1),"",OFFSET(TH!E$1,SMALL(Dong1,ROWS($1:85)),))</f>
        <v>43098</v>
      </c>
      <c r="C98" s="145" t="str">
        <f ca="1">IF(ROWS($1:85)&gt;COUNT(Dong1),"",IF(OFFSET(TH!N$1,SMALL(Dong1,ROWS($1:85)),)="1111",OFFSET(TH!D$1,SMALL(Dong1,ROWS($1:85)),),""))</f>
        <v/>
      </c>
      <c r="D98" s="146" t="str">
        <f ca="1">IF(ROWS($1:85)&gt;COUNT(Dong1),"",IF(OFFSET(TH!O$1,SMALL(Dong1,ROWS($1:85)),)="1111",OFFSET(TH!D$1,SMALL(Dong1,ROWS($1:85)),),""))</f>
        <v>CHI</v>
      </c>
      <c r="E98" s="331" t="str">
        <f ca="1">IF(ROWS($1:85)&gt;COUNT(Dong1),"",OFFSET(TH!F$1,SMALL(Dong1,ROWS($1:85)),))</f>
        <v>Nộp tiền mặt vào TK NH</v>
      </c>
      <c r="F98" s="148" t="str">
        <f ca="1">IF(ROWS($1:85)&gt;COUNT(Dong1),"",IF(OFFSET(TH!O$1,SMALL(Dong1,ROWS($1:85)),)="1111",OFFSET(TH!N$1,SMALL(Dong1,ROWS($1:85)),),OFFSET(TH!O$1,SMALL(Dong1,ROWS($1:85)),)))</f>
        <v>1121</v>
      </c>
      <c r="G98" s="149">
        <f ca="1">IF(ROWS($1:85)&gt;COUNT(Dong1),"",IF(OFFSET(TH!N$1,SMALL(Dong1,ROWS($1:85)),)="1111",OFFSET(TH!M$1,SMALL(Dong1,ROWS($1:85)),),0))</f>
        <v>0</v>
      </c>
      <c r="H98" s="147">
        <f ca="1">IF(ROWS($1:85)&gt;COUNT(Dong1),"",IF(OFFSET(TH!O$1,SMALL(Dong1,ROWS($1:85)),)="1111",OFFSET(TH!M$1,SMALL(Dong1,ROWS($1:85)),),0))</f>
        <v>50000000</v>
      </c>
      <c r="I98" s="145">
        <f t="shared" ca="1" si="2"/>
        <v>14305549377</v>
      </c>
      <c r="J98" s="150"/>
    </row>
    <row r="99" spans="1:10" s="135" customFormat="1" ht="19.5" customHeight="1">
      <c r="A99" s="144">
        <f ca="1">IF(ROWS($1:86)&gt;COUNT(Dong1),"",OFFSET(TH!C$1,SMALL(Dong1,ROWS($1:86)),))</f>
        <v>43099</v>
      </c>
      <c r="B99" s="144">
        <f ca="1">IF(ROWS($1:86)&gt;COUNT(Dong1),"",OFFSET(TH!E$1,SMALL(Dong1,ROWS($1:86)),))</f>
        <v>43099</v>
      </c>
      <c r="C99" s="145" t="str">
        <f ca="1">IF(ROWS($1:86)&gt;COUNT(Dong1),"",IF(OFFSET(TH!N$1,SMALL(Dong1,ROWS($1:86)),)="1111",OFFSET(TH!D$1,SMALL(Dong1,ROWS($1:86)),),""))</f>
        <v/>
      </c>
      <c r="D99" s="146">
        <f ca="1">IF(ROWS($1:86)&gt;COUNT(Dong1),"",IF(OFFSET(TH!O$1,SMALL(Dong1,ROWS($1:86)),)="1111",OFFSET(TH!D$1,SMALL(Dong1,ROWS($1:86)),),""))</f>
        <v>0</v>
      </c>
      <c r="E99" s="331" t="str">
        <f ca="1">IF(ROWS($1:86)&gt;COUNT(Dong1),"",OFFSET(TH!F$1,SMALL(Dong1,ROWS($1:86)),))</f>
        <v>Phí hạ bãi chờ xuất</v>
      </c>
      <c r="F99" s="148" t="str">
        <f ca="1">IF(ROWS($1:86)&gt;COUNT(Dong1),"",IF(OFFSET(TH!O$1,SMALL(Dong1,ROWS($1:86)),)="1111",OFFSET(TH!N$1,SMALL(Dong1,ROWS($1:86)),),OFFSET(TH!O$1,SMALL(Dong1,ROWS($1:86)),)))</f>
        <v>641</v>
      </c>
      <c r="G99" s="149">
        <f ca="1">IF(ROWS($1:86)&gt;COUNT(Dong1),"",IF(OFFSET(TH!N$1,SMALL(Dong1,ROWS($1:86)),)="1111",OFFSET(TH!M$1,SMALL(Dong1,ROWS($1:86)),),0))</f>
        <v>0</v>
      </c>
      <c r="H99" s="147">
        <f ca="1">IF(ROWS($1:86)&gt;COUNT(Dong1),"",IF(OFFSET(TH!O$1,SMALL(Dong1,ROWS($1:86)),)="1111",OFFSET(TH!M$1,SMALL(Dong1,ROWS($1:86)),),0))</f>
        <v>2181818</v>
      </c>
      <c r="I99" s="145">
        <f t="shared" ca="1" si="2"/>
        <v>14303367559</v>
      </c>
      <c r="J99" s="150"/>
    </row>
    <row r="100" spans="1:10" s="135" customFormat="1" ht="19.5" customHeight="1">
      <c r="A100" s="144">
        <f ca="1">IF(ROWS($1:87)&gt;COUNT(Dong1),"",OFFSET(TH!C$1,SMALL(Dong1,ROWS($1:87)),))</f>
        <v>43099</v>
      </c>
      <c r="B100" s="144">
        <f ca="1">IF(ROWS($1:87)&gt;COUNT(Dong1),"",OFFSET(TH!E$1,SMALL(Dong1,ROWS($1:87)),))</f>
        <v>43099</v>
      </c>
      <c r="C100" s="145" t="str">
        <f ca="1">IF(ROWS($1:87)&gt;COUNT(Dong1),"",IF(OFFSET(TH!N$1,SMALL(Dong1,ROWS($1:87)),)="1111",OFFSET(TH!D$1,SMALL(Dong1,ROWS($1:87)),),""))</f>
        <v/>
      </c>
      <c r="D100" s="146">
        <f ca="1">IF(ROWS($1:87)&gt;COUNT(Dong1),"",IF(OFFSET(TH!O$1,SMALL(Dong1,ROWS($1:87)),)="1111",OFFSET(TH!D$1,SMALL(Dong1,ROWS($1:87)),),""))</f>
        <v>0</v>
      </c>
      <c r="E100" s="331" t="str">
        <f ca="1">IF(ROWS($1:87)&gt;COUNT(Dong1),"",OFFSET(TH!F$1,SMALL(Dong1,ROWS($1:87)),))</f>
        <v>VAT Phí hạ bãi chờ xuất</v>
      </c>
      <c r="F100" s="148" t="str">
        <f ca="1">IF(ROWS($1:87)&gt;COUNT(Dong1),"",IF(OFFSET(TH!O$1,SMALL(Dong1,ROWS($1:87)),)="1111",OFFSET(TH!N$1,SMALL(Dong1,ROWS($1:87)),),OFFSET(TH!O$1,SMALL(Dong1,ROWS($1:87)),)))</f>
        <v>1331</v>
      </c>
      <c r="G100" s="149">
        <f ca="1">IF(ROWS($1:87)&gt;COUNT(Dong1),"",IF(OFFSET(TH!N$1,SMALL(Dong1,ROWS($1:87)),)="1111",OFFSET(TH!M$1,SMALL(Dong1,ROWS($1:87)),),0))</f>
        <v>0</v>
      </c>
      <c r="H100" s="147">
        <f ca="1">IF(ROWS($1:87)&gt;COUNT(Dong1),"",IF(OFFSET(TH!O$1,SMALL(Dong1,ROWS($1:87)),)="1111",OFFSET(TH!M$1,SMALL(Dong1,ROWS($1:87)),),0))</f>
        <v>218182</v>
      </c>
      <c r="I100" s="145">
        <f t="shared" ca="1" si="2"/>
        <v>14303149377</v>
      </c>
      <c r="J100" s="150"/>
    </row>
    <row r="101" spans="1:10" s="135" customFormat="1" ht="19.5" customHeight="1">
      <c r="A101" s="144">
        <f ca="1">IF(ROWS($1:88)&gt;COUNT(Dong1),"",OFFSET(TH!C$1,SMALL(Dong1,ROWS($1:88)),))</f>
        <v>43099</v>
      </c>
      <c r="B101" s="144">
        <f ca="1">IF(ROWS($1:88)&gt;COUNT(Dong1),"",OFFSET(TH!E$1,SMALL(Dong1,ROWS($1:88)),))</f>
        <v>43099</v>
      </c>
      <c r="C101" s="145" t="str">
        <f ca="1">IF(ROWS($1:88)&gt;COUNT(Dong1),"",IF(OFFSET(TH!N$1,SMALL(Dong1,ROWS($1:88)),)="1111",OFFSET(TH!D$1,SMALL(Dong1,ROWS($1:88)),),""))</f>
        <v/>
      </c>
      <c r="D101" s="146">
        <f ca="1">IF(ROWS($1:88)&gt;COUNT(Dong1),"",IF(OFFSET(TH!O$1,SMALL(Dong1,ROWS($1:88)),)="1111",OFFSET(TH!D$1,SMALL(Dong1,ROWS($1:88)),),""))</f>
        <v>0</v>
      </c>
      <c r="E101" s="331" t="str">
        <f ca="1">IF(ROWS($1:88)&gt;COUNT(Dong1),"",OFFSET(TH!F$1,SMALL(Dong1,ROWS($1:88)),))</f>
        <v>Phí hạ bãi chờ xuất</v>
      </c>
      <c r="F101" s="148" t="str">
        <f ca="1">IF(ROWS($1:88)&gt;COUNT(Dong1),"",IF(OFFSET(TH!O$1,SMALL(Dong1,ROWS($1:88)),)="1111",OFFSET(TH!N$1,SMALL(Dong1,ROWS($1:88)),),OFFSET(TH!O$1,SMALL(Dong1,ROWS($1:88)),)))</f>
        <v>641</v>
      </c>
      <c r="G101" s="149">
        <f ca="1">IF(ROWS($1:88)&gt;COUNT(Dong1),"",IF(OFFSET(TH!N$1,SMALL(Dong1,ROWS($1:88)),)="1111",OFFSET(TH!M$1,SMALL(Dong1,ROWS($1:88)),),0))</f>
        <v>0</v>
      </c>
      <c r="H101" s="147">
        <f ca="1">IF(ROWS($1:88)&gt;COUNT(Dong1),"",IF(OFFSET(TH!O$1,SMALL(Dong1,ROWS($1:88)),)="1111",OFFSET(TH!M$1,SMALL(Dong1,ROWS($1:88)),),0))</f>
        <v>2909091</v>
      </c>
      <c r="I101" s="145">
        <f t="shared" ca="1" si="2"/>
        <v>14300240286</v>
      </c>
      <c r="J101" s="150"/>
    </row>
    <row r="102" spans="1:10" s="135" customFormat="1" ht="19.5" customHeight="1">
      <c r="A102" s="144">
        <f ca="1">IF(ROWS($1:89)&gt;COUNT(Dong1),"",OFFSET(TH!C$1,SMALL(Dong1,ROWS($1:89)),))</f>
        <v>43099</v>
      </c>
      <c r="B102" s="144">
        <f ca="1">IF(ROWS($1:89)&gt;COUNT(Dong1),"",OFFSET(TH!E$1,SMALL(Dong1,ROWS($1:89)),))</f>
        <v>43099</v>
      </c>
      <c r="C102" s="145" t="str">
        <f ca="1">IF(ROWS($1:89)&gt;COUNT(Dong1),"",IF(OFFSET(TH!N$1,SMALL(Dong1,ROWS($1:89)),)="1111",OFFSET(TH!D$1,SMALL(Dong1,ROWS($1:89)),),""))</f>
        <v/>
      </c>
      <c r="D102" s="146">
        <f ca="1">IF(ROWS($1:89)&gt;COUNT(Dong1),"",IF(OFFSET(TH!O$1,SMALL(Dong1,ROWS($1:89)),)="1111",OFFSET(TH!D$1,SMALL(Dong1,ROWS($1:89)),),""))</f>
        <v>0</v>
      </c>
      <c r="E102" s="331" t="str">
        <f ca="1">IF(ROWS($1:89)&gt;COUNT(Dong1),"",OFFSET(TH!F$1,SMALL(Dong1,ROWS($1:89)),))</f>
        <v>VAT Phí hạ bãi chờ xuất</v>
      </c>
      <c r="F102" s="148" t="str">
        <f ca="1">IF(ROWS($1:89)&gt;COUNT(Dong1),"",IF(OFFSET(TH!O$1,SMALL(Dong1,ROWS($1:89)),)="1111",OFFSET(TH!N$1,SMALL(Dong1,ROWS($1:89)),),OFFSET(TH!O$1,SMALL(Dong1,ROWS($1:89)),)))</f>
        <v>1331</v>
      </c>
      <c r="G102" s="149">
        <f ca="1">IF(ROWS($1:89)&gt;COUNT(Dong1),"",IF(OFFSET(TH!N$1,SMALL(Dong1,ROWS($1:89)),)="1111",OFFSET(TH!M$1,SMALL(Dong1,ROWS($1:89)),),0))</f>
        <v>0</v>
      </c>
      <c r="H102" s="147">
        <f ca="1">IF(ROWS($1:89)&gt;COUNT(Dong1),"",IF(OFFSET(TH!O$1,SMALL(Dong1,ROWS($1:89)),)="1111",OFFSET(TH!M$1,SMALL(Dong1,ROWS($1:89)),),0))</f>
        <v>290909</v>
      </c>
      <c r="I102" s="145">
        <f t="shared" ca="1" si="2"/>
        <v>14299949377</v>
      </c>
      <c r="J102" s="150"/>
    </row>
    <row r="103" spans="1:10" s="135" customFormat="1" ht="19.5" customHeight="1">
      <c r="A103" s="144">
        <f ca="1">IF(ROWS($1:90)&gt;COUNT(Dong1),"",OFFSET(TH!C$1,SMALL(Dong1,ROWS($1:90)),))</f>
        <v>43099</v>
      </c>
      <c r="B103" s="144">
        <f ca="1">IF(ROWS($1:90)&gt;COUNT(Dong1),"",OFFSET(TH!E$1,SMALL(Dong1,ROWS($1:90)),))</f>
        <v>43099</v>
      </c>
      <c r="C103" s="145" t="str">
        <f ca="1">IF(ROWS($1:90)&gt;COUNT(Dong1),"",IF(OFFSET(TH!N$1,SMALL(Dong1,ROWS($1:90)),)="1111",OFFSET(TH!D$1,SMALL(Dong1,ROWS($1:90)),),""))</f>
        <v>GBN</v>
      </c>
      <c r="D103" s="146" t="str">
        <f ca="1">IF(ROWS($1:90)&gt;COUNT(Dong1),"",IF(OFFSET(TH!O$1,SMALL(Dong1,ROWS($1:90)),)="1111",OFFSET(TH!D$1,SMALL(Dong1,ROWS($1:90)),),""))</f>
        <v/>
      </c>
      <c r="E103" s="331" t="str">
        <f ca="1">IF(ROWS($1:90)&gt;COUNT(Dong1),"",OFFSET(TH!F$1,SMALL(Dong1,ROWS($1:90)),))</f>
        <v>Rút tiền gửi NH nhập quỹ TM</v>
      </c>
      <c r="F103" s="148" t="str">
        <f ca="1">IF(ROWS($1:90)&gt;COUNT(Dong1),"",IF(OFFSET(TH!O$1,SMALL(Dong1,ROWS($1:90)),)="1111",OFFSET(TH!N$1,SMALL(Dong1,ROWS($1:90)),),OFFSET(TH!O$1,SMALL(Dong1,ROWS($1:90)),)))</f>
        <v>1121</v>
      </c>
      <c r="G103" s="149">
        <f ca="1">IF(ROWS($1:90)&gt;COUNT(Dong1),"",IF(OFFSET(TH!N$1,SMALL(Dong1,ROWS($1:90)),)="1111",OFFSET(TH!M$1,SMALL(Dong1,ROWS($1:90)),),0))</f>
        <v>100000000</v>
      </c>
      <c r="H103" s="147">
        <f ca="1">IF(ROWS($1:90)&gt;COUNT(Dong1),"",IF(OFFSET(TH!O$1,SMALL(Dong1,ROWS($1:90)),)="1111",OFFSET(TH!M$1,SMALL(Dong1,ROWS($1:90)),),0))</f>
        <v>0</v>
      </c>
      <c r="I103" s="145">
        <f t="shared" ca="1" si="2"/>
        <v>14399949377</v>
      </c>
      <c r="J103" s="150"/>
    </row>
    <row r="104" spans="1:10" s="135" customFormat="1" ht="19.5" customHeight="1">
      <c r="A104" s="144">
        <f ca="1">IF(ROWS($1:91)&gt;COUNT(Dong1),"",OFFSET(TH!C$1,SMALL(Dong1,ROWS($1:91)),))</f>
        <v>43099</v>
      </c>
      <c r="B104" s="144">
        <f ca="1">IF(ROWS($1:91)&gt;COUNT(Dong1),"",OFFSET(TH!E$1,SMALL(Dong1,ROWS($1:91)),))</f>
        <v>43099</v>
      </c>
      <c r="C104" s="145" t="str">
        <f ca="1">IF(ROWS($1:91)&gt;COUNT(Dong1),"",IF(OFFSET(TH!N$1,SMALL(Dong1,ROWS($1:91)),)="1111",OFFSET(TH!D$1,SMALL(Dong1,ROWS($1:91)),),""))</f>
        <v>GBN</v>
      </c>
      <c r="D104" s="146" t="str">
        <f ca="1">IF(ROWS($1:91)&gt;COUNT(Dong1),"",IF(OFFSET(TH!O$1,SMALL(Dong1,ROWS($1:91)),)="1111",OFFSET(TH!D$1,SMALL(Dong1,ROWS($1:91)),),""))</f>
        <v/>
      </c>
      <c r="E104" s="331" t="str">
        <f ca="1">IF(ROWS($1:91)&gt;COUNT(Dong1),"",OFFSET(TH!F$1,SMALL(Dong1,ROWS($1:91)),))</f>
        <v>Rút tiền gửi NH nhập quỹ TM</v>
      </c>
      <c r="F104" s="148" t="str">
        <f ca="1">IF(ROWS($1:91)&gt;COUNT(Dong1),"",IF(OFFSET(TH!O$1,SMALL(Dong1,ROWS($1:91)),)="1111",OFFSET(TH!N$1,SMALL(Dong1,ROWS($1:91)),),OFFSET(TH!O$1,SMALL(Dong1,ROWS($1:91)),)))</f>
        <v>1121</v>
      </c>
      <c r="G104" s="149">
        <f ca="1">IF(ROWS($1:91)&gt;COUNT(Dong1),"",IF(OFFSET(TH!N$1,SMALL(Dong1,ROWS($1:91)),)="1111",OFFSET(TH!M$1,SMALL(Dong1,ROWS($1:91)),),0))</f>
        <v>50000000</v>
      </c>
      <c r="H104" s="147">
        <f ca="1">IF(ROWS($1:91)&gt;COUNT(Dong1),"",IF(OFFSET(TH!O$1,SMALL(Dong1,ROWS($1:91)),)="1111",OFFSET(TH!M$1,SMALL(Dong1,ROWS($1:91)),),0))</f>
        <v>0</v>
      </c>
      <c r="I104" s="145">
        <f t="shared" ca="1" si="2"/>
        <v>14449949377</v>
      </c>
      <c r="J104" s="150"/>
    </row>
    <row r="105" spans="1:10" s="135" customFormat="1" ht="19.5" customHeight="1">
      <c r="A105" s="144">
        <f ca="1">IF(ROWS($1:92)&gt;COUNT(Dong1),"",OFFSET(TH!C$1,SMALL(Dong1,ROWS($1:92)),))</f>
        <v>43100</v>
      </c>
      <c r="B105" s="144">
        <f ca="1">IF(ROWS($1:92)&gt;COUNT(Dong1),"",OFFSET(TH!E$1,SMALL(Dong1,ROWS($1:92)),))</f>
        <v>43100</v>
      </c>
      <c r="C105" s="145" t="str">
        <f ca="1">IF(ROWS($1:92)&gt;COUNT(Dong1),"",IF(OFFSET(TH!N$1,SMALL(Dong1,ROWS($1:92)),)="1111",OFFSET(TH!D$1,SMALL(Dong1,ROWS($1:92)),),""))</f>
        <v/>
      </c>
      <c r="D105" s="146">
        <f ca="1">IF(ROWS($1:92)&gt;COUNT(Dong1),"",IF(OFFSET(TH!O$1,SMALL(Dong1,ROWS($1:92)),)="1111",OFFSET(TH!D$1,SMALL(Dong1,ROWS($1:92)),),""))</f>
        <v>0</v>
      </c>
      <c r="E105" s="331" t="str">
        <f ca="1">IF(ROWS($1:92)&gt;COUNT(Dong1),"",OFFSET(TH!F$1,SMALL(Dong1,ROWS($1:92)),))</f>
        <v>Xăng, Dầu DO</v>
      </c>
      <c r="F105" s="148" t="str">
        <f ca="1">IF(ROWS($1:92)&gt;COUNT(Dong1),"",IF(OFFSET(TH!O$1,SMALL(Dong1,ROWS($1:92)),)="1111",OFFSET(TH!N$1,SMALL(Dong1,ROWS($1:92)),),OFFSET(TH!O$1,SMALL(Dong1,ROWS($1:92)),)))</f>
        <v>642</v>
      </c>
      <c r="G105" s="149">
        <f ca="1">IF(ROWS($1:92)&gt;COUNT(Dong1),"",IF(OFFSET(TH!N$1,SMALL(Dong1,ROWS($1:92)),)="1111",OFFSET(TH!M$1,SMALL(Dong1,ROWS($1:92)),),0))</f>
        <v>0</v>
      </c>
      <c r="H105" s="147">
        <f ca="1">IF(ROWS($1:92)&gt;COUNT(Dong1),"",IF(OFFSET(TH!O$1,SMALL(Dong1,ROWS($1:92)),)="1111",OFFSET(TH!M$1,SMALL(Dong1,ROWS($1:92)),),0))</f>
        <v>3047927</v>
      </c>
      <c r="I105" s="145">
        <f t="shared" ca="1" si="2"/>
        <v>14446901450</v>
      </c>
      <c r="J105" s="150"/>
    </row>
    <row r="106" spans="1:10" s="135" customFormat="1" ht="19.5" customHeight="1">
      <c r="A106" s="144">
        <f ca="1">IF(ROWS($1:93)&gt;COUNT(Dong1),"",OFFSET(TH!C$1,SMALL(Dong1,ROWS($1:93)),))</f>
        <v>43100</v>
      </c>
      <c r="B106" s="144">
        <f ca="1">IF(ROWS($1:93)&gt;COUNT(Dong1),"",OFFSET(TH!E$1,SMALL(Dong1,ROWS($1:93)),))</f>
        <v>43100</v>
      </c>
      <c r="C106" s="145" t="str">
        <f ca="1">IF(ROWS($1:93)&gt;COUNT(Dong1),"",IF(OFFSET(TH!N$1,SMALL(Dong1,ROWS($1:93)),)="1111",OFFSET(TH!D$1,SMALL(Dong1,ROWS($1:93)),),""))</f>
        <v/>
      </c>
      <c r="D106" s="146">
        <f ca="1">IF(ROWS($1:93)&gt;COUNT(Dong1),"",IF(OFFSET(TH!O$1,SMALL(Dong1,ROWS($1:93)),)="1111",OFFSET(TH!D$1,SMALL(Dong1,ROWS($1:93)),),""))</f>
        <v>0</v>
      </c>
      <c r="E106" s="331" t="str">
        <f ca="1">IF(ROWS($1:93)&gt;COUNT(Dong1),"",OFFSET(TH!F$1,SMALL(Dong1,ROWS($1:93)),))</f>
        <v>VAT Xăng, Dầu DO</v>
      </c>
      <c r="F106" s="148" t="str">
        <f ca="1">IF(ROWS($1:93)&gt;COUNT(Dong1),"",IF(OFFSET(TH!O$1,SMALL(Dong1,ROWS($1:93)),)="1111",OFFSET(TH!N$1,SMALL(Dong1,ROWS($1:93)),),OFFSET(TH!O$1,SMALL(Dong1,ROWS($1:93)),)))</f>
        <v>1331</v>
      </c>
      <c r="G106" s="149">
        <f ca="1">IF(ROWS($1:93)&gt;COUNT(Dong1),"",IF(OFFSET(TH!N$1,SMALL(Dong1,ROWS($1:93)),)="1111",OFFSET(TH!M$1,SMALL(Dong1,ROWS($1:93)),),0))</f>
        <v>0</v>
      </c>
      <c r="H106" s="147">
        <f ca="1">IF(ROWS($1:93)&gt;COUNT(Dong1),"",IF(OFFSET(TH!O$1,SMALL(Dong1,ROWS($1:93)),)="1111",OFFSET(TH!M$1,SMALL(Dong1,ROWS($1:93)),),0))</f>
        <v>304793</v>
      </c>
      <c r="I106" s="145">
        <f t="shared" ca="1" si="2"/>
        <v>14446596657</v>
      </c>
      <c r="J106" s="150"/>
    </row>
    <row r="107" spans="1:10" s="135" customFormat="1" ht="19.5" customHeight="1">
      <c r="A107" s="144">
        <f ca="1">IF(ROWS($1:94)&gt;COUNT(Dong1),"",OFFSET(TH!C$1,SMALL(Dong1,ROWS($1:94)),))</f>
        <v>43100</v>
      </c>
      <c r="B107" s="144">
        <f ca="1">IF(ROWS($1:94)&gt;COUNT(Dong1),"",OFFSET(TH!E$1,SMALL(Dong1,ROWS($1:94)),))</f>
        <v>43100</v>
      </c>
      <c r="C107" s="145" t="str">
        <f ca="1">IF(ROWS($1:94)&gt;COUNT(Dong1),"",IF(OFFSET(TH!N$1,SMALL(Dong1,ROWS($1:94)),)="1111",OFFSET(TH!D$1,SMALL(Dong1,ROWS($1:94)),),""))</f>
        <v/>
      </c>
      <c r="D107" s="146">
        <f ca="1">IF(ROWS($1:94)&gt;COUNT(Dong1),"",IF(OFFSET(TH!O$1,SMALL(Dong1,ROWS($1:94)),)="1111",OFFSET(TH!D$1,SMALL(Dong1,ROWS($1:94)),),""))</f>
        <v>0</v>
      </c>
      <c r="E107" s="331" t="str">
        <f ca="1">IF(ROWS($1:94)&gt;COUNT(Dong1),"",OFFSET(TH!F$1,SMALL(Dong1,ROWS($1:94)),))</f>
        <v>Phí giao thông</v>
      </c>
      <c r="F107" s="148" t="str">
        <f ca="1">IF(ROWS($1:94)&gt;COUNT(Dong1),"",IF(OFFSET(TH!O$1,SMALL(Dong1,ROWS($1:94)),)="1111",OFFSET(TH!N$1,SMALL(Dong1,ROWS($1:94)),),OFFSET(TH!O$1,SMALL(Dong1,ROWS($1:94)),)))</f>
        <v>642</v>
      </c>
      <c r="G107" s="149">
        <f ca="1">IF(ROWS($1:94)&gt;COUNT(Dong1),"",IF(OFFSET(TH!N$1,SMALL(Dong1,ROWS($1:94)),)="1111",OFFSET(TH!M$1,SMALL(Dong1,ROWS($1:94)),),0))</f>
        <v>0</v>
      </c>
      <c r="H107" s="147">
        <f ca="1">IF(ROWS($1:94)&gt;COUNT(Dong1),"",IF(OFFSET(TH!O$1,SMALL(Dong1,ROWS($1:94)),)="1111",OFFSET(TH!M$1,SMALL(Dong1,ROWS($1:94)),),0))</f>
        <v>1390909</v>
      </c>
      <c r="I107" s="145">
        <f t="shared" ca="1" si="2"/>
        <v>14445205748</v>
      </c>
      <c r="J107" s="150"/>
    </row>
    <row r="108" spans="1:10" s="135" customFormat="1" ht="19.5" customHeight="1">
      <c r="A108" s="144">
        <f ca="1">IF(ROWS($1:95)&gt;COUNT(Dong1),"",OFFSET(TH!C$1,SMALL(Dong1,ROWS($1:95)),))</f>
        <v>43100</v>
      </c>
      <c r="B108" s="144">
        <f ca="1">IF(ROWS($1:95)&gt;COUNT(Dong1),"",OFFSET(TH!E$1,SMALL(Dong1,ROWS($1:95)),))</f>
        <v>43100</v>
      </c>
      <c r="C108" s="145" t="str">
        <f ca="1">IF(ROWS($1:95)&gt;COUNT(Dong1),"",IF(OFFSET(TH!N$1,SMALL(Dong1,ROWS($1:95)),)="1111",OFFSET(TH!D$1,SMALL(Dong1,ROWS($1:95)),),""))</f>
        <v/>
      </c>
      <c r="D108" s="146">
        <f ca="1">IF(ROWS($1:95)&gt;COUNT(Dong1),"",IF(OFFSET(TH!O$1,SMALL(Dong1,ROWS($1:95)),)="1111",OFFSET(TH!D$1,SMALL(Dong1,ROWS($1:95)),),""))</f>
        <v>0</v>
      </c>
      <c r="E108" s="331" t="str">
        <f ca="1">IF(ROWS($1:95)&gt;COUNT(Dong1),"",OFFSET(TH!F$1,SMALL(Dong1,ROWS($1:95)),))</f>
        <v>VAT Phí giao thông</v>
      </c>
      <c r="F108" s="148" t="str">
        <f ca="1">IF(ROWS($1:95)&gt;COUNT(Dong1),"",IF(OFFSET(TH!O$1,SMALL(Dong1,ROWS($1:95)),)="1111",OFFSET(TH!N$1,SMALL(Dong1,ROWS($1:95)),),OFFSET(TH!O$1,SMALL(Dong1,ROWS($1:95)),)))</f>
        <v>1331</v>
      </c>
      <c r="G108" s="149">
        <f ca="1">IF(ROWS($1:95)&gt;COUNT(Dong1),"",IF(OFFSET(TH!N$1,SMALL(Dong1,ROWS($1:95)),)="1111",OFFSET(TH!M$1,SMALL(Dong1,ROWS($1:95)),),0))</f>
        <v>0</v>
      </c>
      <c r="H108" s="147">
        <f ca="1">IF(ROWS($1:95)&gt;COUNT(Dong1),"",IF(OFFSET(TH!O$1,SMALL(Dong1,ROWS($1:95)),)="1111",OFFSET(TH!M$1,SMALL(Dong1,ROWS($1:95)),),0))</f>
        <v>139091</v>
      </c>
      <c r="I108" s="145">
        <f t="shared" ca="1" si="2"/>
        <v>14445066657</v>
      </c>
      <c r="J108" s="150"/>
    </row>
    <row r="109" spans="1:10" s="135" customFormat="1" ht="19.5" customHeight="1">
      <c r="A109" s="144">
        <f ca="1">IF(ROWS($1:96)&gt;COUNT(Dong1),"",OFFSET(TH!C$1,SMALL(Dong1,ROWS($1:96)),))</f>
        <v>43100</v>
      </c>
      <c r="B109" s="144">
        <f ca="1">IF(ROWS($1:96)&gt;COUNT(Dong1),"",OFFSET(TH!E$1,SMALL(Dong1,ROWS($1:96)),))</f>
        <v>43100</v>
      </c>
      <c r="C109" s="145" t="str">
        <f ca="1">IF(ROWS($1:96)&gt;COUNT(Dong1),"",IF(OFFSET(TH!N$1,SMALL(Dong1,ROWS($1:96)),)="1111",OFFSET(TH!D$1,SMALL(Dong1,ROWS($1:96)),),""))</f>
        <v/>
      </c>
      <c r="D109" s="146">
        <f ca="1">IF(ROWS($1:96)&gt;COUNT(Dong1),"",IF(OFFSET(TH!O$1,SMALL(Dong1,ROWS($1:96)),)="1111",OFFSET(TH!D$1,SMALL(Dong1,ROWS($1:96)),),""))</f>
        <v>0</v>
      </c>
      <c r="E109" s="331" t="str">
        <f ca="1">IF(ROWS($1:96)&gt;COUNT(Dong1),"",OFFSET(TH!F$1,SMALL(Dong1,ROWS($1:96)),))</f>
        <v>Thanh toán lương T12/2017</v>
      </c>
      <c r="F109" s="148" t="str">
        <f ca="1">IF(ROWS($1:96)&gt;COUNT(Dong1),"",IF(OFFSET(TH!O$1,SMALL(Dong1,ROWS($1:96)),)="1111",OFFSET(TH!N$1,SMALL(Dong1,ROWS($1:96)),),OFFSET(TH!O$1,SMALL(Dong1,ROWS($1:96)),)))</f>
        <v>3341</v>
      </c>
      <c r="G109" s="149">
        <f ca="1">IF(ROWS($1:96)&gt;COUNT(Dong1),"",IF(OFFSET(TH!N$1,SMALL(Dong1,ROWS($1:96)),)="1111",OFFSET(TH!M$1,SMALL(Dong1,ROWS($1:96)),),0))</f>
        <v>0</v>
      </c>
      <c r="H109" s="147">
        <f ca="1">IF(ROWS($1:96)&gt;COUNT(Dong1),"",IF(OFFSET(TH!O$1,SMALL(Dong1,ROWS($1:96)),)="1111",OFFSET(TH!M$1,SMALL(Dong1,ROWS($1:96)),),0))</f>
        <v>93916565</v>
      </c>
      <c r="I109" s="145">
        <f t="shared" ca="1" si="2"/>
        <v>14351150092</v>
      </c>
      <c r="J109" s="150"/>
    </row>
    <row r="110" spans="1:10" s="135" customFormat="1" ht="19.5" customHeight="1">
      <c r="A110" s="144">
        <f ca="1">IF(ROWS($1:97)&gt;COUNT(Dong1),"",OFFSET(TH!C$1,SMALL(Dong1,ROWS($1:97)),))</f>
        <v>43100</v>
      </c>
      <c r="B110" s="144">
        <f ca="1">IF(ROWS($1:97)&gt;COUNT(Dong1),"",OFFSET(TH!E$1,SMALL(Dong1,ROWS($1:97)),))</f>
        <v>43100</v>
      </c>
      <c r="C110" s="145">
        <f ca="1">IF(ROWS($1:97)&gt;COUNT(Dong1),"",IF(OFFSET(TH!N$1,SMALL(Dong1,ROWS($1:97)),)="1111",OFFSET(TH!D$1,SMALL(Dong1,ROWS($1:97)),),""))</f>
        <v>0</v>
      </c>
      <c r="D110" s="146" t="str">
        <f ca="1">IF(ROWS($1:97)&gt;COUNT(Dong1),"",IF(OFFSET(TH!O$1,SMALL(Dong1,ROWS($1:97)),)="1111",OFFSET(TH!D$1,SMALL(Dong1,ROWS($1:97)),),""))</f>
        <v/>
      </c>
      <c r="E110" s="331" t="str">
        <f ca="1">IF(ROWS($1:97)&gt;COUNT(Dong1),"",OFFSET(TH!F$1,SMALL(Dong1,ROWS($1:97)),))</f>
        <v>Quyết toán tạm ứng mua NL</v>
      </c>
      <c r="F110" s="148" t="str">
        <f ca="1">IF(ROWS($1:97)&gt;COUNT(Dong1),"",IF(OFFSET(TH!O$1,SMALL(Dong1,ROWS($1:97)),)="1111",OFFSET(TH!N$1,SMALL(Dong1,ROWS($1:97)),),OFFSET(TH!O$1,SMALL(Dong1,ROWS($1:97)),)))</f>
        <v>141</v>
      </c>
      <c r="G110" s="149">
        <f ca="1">IF(ROWS($1:97)&gt;COUNT(Dong1),"",IF(OFFSET(TH!N$1,SMALL(Dong1,ROWS($1:97)),)="1111",OFFSET(TH!M$1,SMALL(Dong1,ROWS($1:97)),),0))</f>
        <v>53209300</v>
      </c>
      <c r="H110" s="147">
        <f ca="1">IF(ROWS($1:97)&gt;COUNT(Dong1),"",IF(OFFSET(TH!O$1,SMALL(Dong1,ROWS($1:97)),)="1111",OFFSET(TH!M$1,SMALL(Dong1,ROWS($1:97)),),0))</f>
        <v>0</v>
      </c>
      <c r="I110" s="145">
        <f t="shared" ca="1" si="2"/>
        <v>14404359392</v>
      </c>
      <c r="J110" s="150"/>
    </row>
    <row r="111" spans="1:10" s="135" customFormat="1" ht="19.5" customHeight="1">
      <c r="A111" s="144" t="str">
        <f ca="1">IF(ROWS($1:98)&gt;COUNT(Dong1),"",OFFSET(TH!C$1,SMALL(Dong1,ROWS($1:98)),))</f>
        <v/>
      </c>
      <c r="B111" s="144" t="str">
        <f ca="1">IF(ROWS($1:98)&gt;COUNT(Dong1),"",OFFSET(TH!E$1,SMALL(Dong1,ROWS($1:98)),))</f>
        <v/>
      </c>
      <c r="C111" s="145" t="str">
        <f ca="1">IF(ROWS($1:98)&gt;COUNT(Dong1),"",IF(OFFSET(TH!N$1,SMALL(Dong1,ROWS($1:98)),)="1111",OFFSET(TH!D$1,SMALL(Dong1,ROWS($1:98)),),""))</f>
        <v/>
      </c>
      <c r="D111" s="146" t="str">
        <f ca="1">IF(ROWS($1:98)&gt;COUNT(Dong1),"",IF(OFFSET(TH!O$1,SMALL(Dong1,ROWS($1:98)),)="1111",OFFSET(TH!D$1,SMALL(Dong1,ROWS($1:98)),),""))</f>
        <v/>
      </c>
      <c r="E111" s="331" t="str">
        <f ca="1">IF(ROWS($1:98)&gt;COUNT(Dong1),"",OFFSET(TH!F$1,SMALL(Dong1,ROWS($1:98)),))</f>
        <v/>
      </c>
      <c r="F111" s="148" t="str">
        <f ca="1">IF(ROWS($1:98)&gt;COUNT(Dong1),"",IF(OFFSET(TH!O$1,SMALL(Dong1,ROWS($1:98)),)="1111",OFFSET(TH!N$1,SMALL(Dong1,ROWS($1:98)),),OFFSET(TH!O$1,SMALL(Dong1,ROWS($1:98)),)))</f>
        <v/>
      </c>
      <c r="G111" s="149" t="str">
        <f ca="1">IF(ROWS($1:98)&gt;COUNT(Dong1),"",IF(OFFSET(TH!N$1,SMALL(Dong1,ROWS($1:98)),)="1111",OFFSET(TH!M$1,SMALL(Dong1,ROWS($1:98)),),0))</f>
        <v/>
      </c>
      <c r="H111" s="147" t="str">
        <f ca="1">IF(ROWS($1:98)&gt;COUNT(Dong1),"",IF(OFFSET(TH!O$1,SMALL(Dong1,ROWS($1:98)),)="1111",OFFSET(TH!M$1,SMALL(Dong1,ROWS($1:98)),),0))</f>
        <v/>
      </c>
      <c r="I111" s="145">
        <f t="shared" ca="1" si="2"/>
        <v>0</v>
      </c>
      <c r="J111" s="150"/>
    </row>
    <row r="112" spans="1:10" s="135" customFormat="1" ht="19.5" customHeight="1">
      <c r="A112" s="144" t="str">
        <f ca="1">IF(ROWS($1:99)&gt;COUNT(Dong1),"",OFFSET(TH!C$1,SMALL(Dong1,ROWS($1:99)),))</f>
        <v/>
      </c>
      <c r="B112" s="144" t="str">
        <f ca="1">IF(ROWS($1:99)&gt;COUNT(Dong1),"",OFFSET(TH!E$1,SMALL(Dong1,ROWS($1:99)),))</f>
        <v/>
      </c>
      <c r="C112" s="145" t="str">
        <f ca="1">IF(ROWS($1:99)&gt;COUNT(Dong1),"",IF(OFFSET(TH!N$1,SMALL(Dong1,ROWS($1:99)),)="1111",OFFSET(TH!D$1,SMALL(Dong1,ROWS($1:99)),),""))</f>
        <v/>
      </c>
      <c r="D112" s="146" t="str">
        <f ca="1">IF(ROWS($1:99)&gt;COUNT(Dong1),"",IF(OFFSET(TH!O$1,SMALL(Dong1,ROWS($1:99)),)="1111",OFFSET(TH!D$1,SMALL(Dong1,ROWS($1:99)),),""))</f>
        <v/>
      </c>
      <c r="E112" s="331" t="str">
        <f ca="1">IF(ROWS($1:99)&gt;COUNT(Dong1),"",OFFSET(TH!F$1,SMALL(Dong1,ROWS($1:99)),))</f>
        <v/>
      </c>
      <c r="F112" s="148" t="str">
        <f ca="1">IF(ROWS($1:99)&gt;COUNT(Dong1),"",IF(OFFSET(TH!O$1,SMALL(Dong1,ROWS($1:99)),)="1111",OFFSET(TH!N$1,SMALL(Dong1,ROWS($1:99)),),OFFSET(TH!O$1,SMALL(Dong1,ROWS($1:99)),)))</f>
        <v/>
      </c>
      <c r="G112" s="149" t="str">
        <f ca="1">IF(ROWS($1:99)&gt;COUNT(Dong1),"",IF(OFFSET(TH!N$1,SMALL(Dong1,ROWS($1:99)),)="1111",OFFSET(TH!M$1,SMALL(Dong1,ROWS($1:99)),),0))</f>
        <v/>
      </c>
      <c r="H112" s="147" t="str">
        <f ca="1">IF(ROWS($1:99)&gt;COUNT(Dong1),"",IF(OFFSET(TH!O$1,SMALL(Dong1,ROWS($1:99)),)="1111",OFFSET(TH!M$1,SMALL(Dong1,ROWS($1:99)),),0))</f>
        <v/>
      </c>
      <c r="I112" s="145">
        <f t="shared" ca="1" si="2"/>
        <v>0</v>
      </c>
      <c r="J112" s="150"/>
    </row>
    <row r="113" spans="1:10" s="135" customFormat="1" ht="19.5" customHeight="1">
      <c r="A113" s="144" t="str">
        <f ca="1">IF(ROWS($1:100)&gt;COUNT(Dong1),"",OFFSET(TH!C$1,SMALL(Dong1,ROWS($1:100)),))</f>
        <v/>
      </c>
      <c r="B113" s="144" t="str">
        <f ca="1">IF(ROWS($1:100)&gt;COUNT(Dong1),"",OFFSET(TH!E$1,SMALL(Dong1,ROWS($1:100)),))</f>
        <v/>
      </c>
      <c r="C113" s="145" t="str">
        <f ca="1">IF(ROWS($1:100)&gt;COUNT(Dong1),"",IF(OFFSET(TH!N$1,SMALL(Dong1,ROWS($1:100)),)="1111",OFFSET(TH!D$1,SMALL(Dong1,ROWS($1:100)),),""))</f>
        <v/>
      </c>
      <c r="D113" s="146" t="str">
        <f ca="1">IF(ROWS($1:100)&gt;COUNT(Dong1),"",IF(OFFSET(TH!O$1,SMALL(Dong1,ROWS($1:100)),)="1111",OFFSET(TH!D$1,SMALL(Dong1,ROWS($1:100)),),""))</f>
        <v/>
      </c>
      <c r="E113" s="331" t="str">
        <f ca="1">IF(ROWS($1:100)&gt;COUNT(Dong1),"",OFFSET(TH!F$1,SMALL(Dong1,ROWS($1:100)),))</f>
        <v/>
      </c>
      <c r="F113" s="148" t="str">
        <f ca="1">IF(ROWS($1:100)&gt;COUNT(Dong1),"",IF(OFFSET(TH!O$1,SMALL(Dong1,ROWS($1:100)),)="1111",OFFSET(TH!N$1,SMALL(Dong1,ROWS($1:100)),),OFFSET(TH!O$1,SMALL(Dong1,ROWS($1:100)),)))</f>
        <v/>
      </c>
      <c r="G113" s="149" t="str">
        <f ca="1">IF(ROWS($1:100)&gt;COUNT(Dong1),"",IF(OFFSET(TH!N$1,SMALL(Dong1,ROWS($1:100)),)="1111",OFFSET(TH!M$1,SMALL(Dong1,ROWS($1:100)),),0))</f>
        <v/>
      </c>
      <c r="H113" s="147" t="str">
        <f ca="1">IF(ROWS($1:100)&gt;COUNT(Dong1),"",IF(OFFSET(TH!O$1,SMALL(Dong1,ROWS($1:100)),)="1111",OFFSET(TH!M$1,SMALL(Dong1,ROWS($1:100)),),0))</f>
        <v/>
      </c>
      <c r="I113" s="145">
        <f t="shared" ca="1" si="2"/>
        <v>0</v>
      </c>
      <c r="J113" s="150"/>
    </row>
    <row r="114" spans="1:10" s="135" customFormat="1" ht="19.5" customHeight="1">
      <c r="A114" s="144" t="str">
        <f ca="1">IF(ROWS($1:101)&gt;COUNT(Dong1),"",OFFSET(TH!C$1,SMALL(Dong1,ROWS($1:101)),))</f>
        <v/>
      </c>
      <c r="B114" s="144" t="str">
        <f ca="1">IF(ROWS($1:101)&gt;COUNT(Dong1),"",OFFSET(TH!E$1,SMALL(Dong1,ROWS($1:101)),))</f>
        <v/>
      </c>
      <c r="C114" s="145" t="str">
        <f ca="1">IF(ROWS($1:101)&gt;COUNT(Dong1),"",IF(OFFSET(TH!N$1,SMALL(Dong1,ROWS($1:101)),)="1111",OFFSET(TH!D$1,SMALL(Dong1,ROWS($1:101)),),""))</f>
        <v/>
      </c>
      <c r="D114" s="146" t="str">
        <f ca="1">IF(ROWS($1:101)&gt;COUNT(Dong1),"",IF(OFFSET(TH!O$1,SMALL(Dong1,ROWS($1:101)),)="1111",OFFSET(TH!D$1,SMALL(Dong1,ROWS($1:101)),),""))</f>
        <v/>
      </c>
      <c r="E114" s="331" t="str">
        <f ca="1">IF(ROWS($1:101)&gt;COUNT(Dong1),"",OFFSET(TH!F$1,SMALL(Dong1,ROWS($1:101)),))</f>
        <v/>
      </c>
      <c r="F114" s="148" t="str">
        <f ca="1">IF(ROWS($1:101)&gt;COUNT(Dong1),"",IF(OFFSET(TH!O$1,SMALL(Dong1,ROWS($1:101)),)="1111",OFFSET(TH!N$1,SMALL(Dong1,ROWS($1:101)),),OFFSET(TH!O$1,SMALL(Dong1,ROWS($1:101)),)))</f>
        <v/>
      </c>
      <c r="G114" s="149" t="str">
        <f ca="1">IF(ROWS($1:101)&gt;COUNT(Dong1),"",IF(OFFSET(TH!N$1,SMALL(Dong1,ROWS($1:101)),)="1111",OFFSET(TH!M$1,SMALL(Dong1,ROWS($1:101)),),0))</f>
        <v/>
      </c>
      <c r="H114" s="147" t="str">
        <f ca="1">IF(ROWS($1:101)&gt;COUNT(Dong1),"",IF(OFFSET(TH!O$1,SMALL(Dong1,ROWS($1:101)),)="1111",OFFSET(TH!M$1,SMALL(Dong1,ROWS($1:101)),),0))</f>
        <v/>
      </c>
      <c r="I114" s="145">
        <f t="shared" ca="1" si="2"/>
        <v>0</v>
      </c>
      <c r="J114" s="150"/>
    </row>
    <row r="115" spans="1:10" s="135" customFormat="1" ht="19.5" customHeight="1">
      <c r="A115" s="144" t="str">
        <f ca="1">IF(ROWS($1:102)&gt;COUNT(Dong1),"",OFFSET(TH!C$1,SMALL(Dong1,ROWS($1:102)),))</f>
        <v/>
      </c>
      <c r="B115" s="144" t="str">
        <f ca="1">IF(ROWS($1:102)&gt;COUNT(Dong1),"",OFFSET(TH!E$1,SMALL(Dong1,ROWS($1:102)),))</f>
        <v/>
      </c>
      <c r="C115" s="145" t="str">
        <f ca="1">IF(ROWS($1:102)&gt;COUNT(Dong1),"",IF(OFFSET(TH!N$1,SMALL(Dong1,ROWS($1:102)),)="1111",OFFSET(TH!D$1,SMALL(Dong1,ROWS($1:102)),),""))</f>
        <v/>
      </c>
      <c r="D115" s="146" t="str">
        <f ca="1">IF(ROWS($1:102)&gt;COUNT(Dong1),"",IF(OFFSET(TH!O$1,SMALL(Dong1,ROWS($1:102)),)="1111",OFFSET(TH!D$1,SMALL(Dong1,ROWS($1:102)),),""))</f>
        <v/>
      </c>
      <c r="E115" s="331" t="str">
        <f ca="1">IF(ROWS($1:102)&gt;COUNT(Dong1),"",OFFSET(TH!F$1,SMALL(Dong1,ROWS($1:102)),))</f>
        <v/>
      </c>
      <c r="F115" s="148" t="str">
        <f ca="1">IF(ROWS($1:102)&gt;COUNT(Dong1),"",IF(OFFSET(TH!O$1,SMALL(Dong1,ROWS($1:102)),)="1111",OFFSET(TH!N$1,SMALL(Dong1,ROWS($1:102)),),OFFSET(TH!O$1,SMALL(Dong1,ROWS($1:102)),)))</f>
        <v/>
      </c>
      <c r="G115" s="149" t="str">
        <f ca="1">IF(ROWS($1:102)&gt;COUNT(Dong1),"",IF(OFFSET(TH!N$1,SMALL(Dong1,ROWS($1:102)),)="1111",OFFSET(TH!M$1,SMALL(Dong1,ROWS($1:102)),),0))</f>
        <v/>
      </c>
      <c r="H115" s="147" t="str">
        <f ca="1">IF(ROWS($1:102)&gt;COUNT(Dong1),"",IF(OFFSET(TH!O$1,SMALL(Dong1,ROWS($1:102)),)="1111",OFFSET(TH!M$1,SMALL(Dong1,ROWS($1:102)),),0))</f>
        <v/>
      </c>
      <c r="I115" s="145">
        <f t="shared" ca="1" si="2"/>
        <v>0</v>
      </c>
      <c r="J115" s="150"/>
    </row>
    <row r="116" spans="1:10" s="135" customFormat="1" ht="19.5" customHeight="1">
      <c r="A116" s="144" t="str">
        <f ca="1">IF(ROWS($1:103)&gt;COUNT(Dong1),"",OFFSET(TH!C$1,SMALL(Dong1,ROWS($1:103)),))</f>
        <v/>
      </c>
      <c r="B116" s="144" t="str">
        <f ca="1">IF(ROWS($1:103)&gt;COUNT(Dong1),"",OFFSET(TH!E$1,SMALL(Dong1,ROWS($1:103)),))</f>
        <v/>
      </c>
      <c r="C116" s="145" t="str">
        <f ca="1">IF(ROWS($1:103)&gt;COUNT(Dong1),"",IF(OFFSET(TH!N$1,SMALL(Dong1,ROWS($1:103)),)="1111",OFFSET(TH!D$1,SMALL(Dong1,ROWS($1:103)),),""))</f>
        <v/>
      </c>
      <c r="D116" s="146" t="str">
        <f ca="1">IF(ROWS($1:103)&gt;COUNT(Dong1),"",IF(OFFSET(TH!O$1,SMALL(Dong1,ROWS($1:103)),)="1111",OFFSET(TH!D$1,SMALL(Dong1,ROWS($1:103)),),""))</f>
        <v/>
      </c>
      <c r="E116" s="331" t="str">
        <f ca="1">IF(ROWS($1:103)&gt;COUNT(Dong1),"",OFFSET(TH!F$1,SMALL(Dong1,ROWS($1:103)),))</f>
        <v/>
      </c>
      <c r="F116" s="148" t="str">
        <f ca="1">IF(ROWS($1:103)&gt;COUNT(Dong1),"",IF(OFFSET(TH!O$1,SMALL(Dong1,ROWS($1:103)),)="1111",OFFSET(TH!N$1,SMALL(Dong1,ROWS($1:103)),),OFFSET(TH!O$1,SMALL(Dong1,ROWS($1:103)),)))</f>
        <v/>
      </c>
      <c r="G116" s="149" t="str">
        <f ca="1">IF(ROWS($1:103)&gt;COUNT(Dong1),"",IF(OFFSET(TH!N$1,SMALL(Dong1,ROWS($1:103)),)="1111",OFFSET(TH!M$1,SMALL(Dong1,ROWS($1:103)),),0))</f>
        <v/>
      </c>
      <c r="H116" s="147" t="str">
        <f ca="1">IF(ROWS($1:103)&gt;COUNT(Dong1),"",IF(OFFSET(TH!O$1,SMALL(Dong1,ROWS($1:103)),)="1111",OFFSET(TH!M$1,SMALL(Dong1,ROWS($1:103)),),0))</f>
        <v/>
      </c>
      <c r="I116" s="145">
        <f t="shared" ca="1" si="2"/>
        <v>0</v>
      </c>
      <c r="J116" s="150"/>
    </row>
    <row r="117" spans="1:10" s="135" customFormat="1" ht="19.5" customHeight="1">
      <c r="A117" s="144" t="str">
        <f ca="1">IF(ROWS($1:104)&gt;COUNT(Dong1),"",OFFSET(TH!C$1,SMALL(Dong1,ROWS($1:104)),))</f>
        <v/>
      </c>
      <c r="B117" s="144" t="str">
        <f ca="1">IF(ROWS($1:104)&gt;COUNT(Dong1),"",OFFSET(TH!E$1,SMALL(Dong1,ROWS($1:104)),))</f>
        <v/>
      </c>
      <c r="C117" s="145" t="str">
        <f ca="1">IF(ROWS($1:104)&gt;COUNT(Dong1),"",IF(OFFSET(TH!N$1,SMALL(Dong1,ROWS($1:104)),)="1111",OFFSET(TH!D$1,SMALL(Dong1,ROWS($1:104)),),""))</f>
        <v/>
      </c>
      <c r="D117" s="146" t="str">
        <f ca="1">IF(ROWS($1:104)&gt;COUNT(Dong1),"",IF(OFFSET(TH!O$1,SMALL(Dong1,ROWS($1:104)),)="1111",OFFSET(TH!D$1,SMALL(Dong1,ROWS($1:104)),),""))</f>
        <v/>
      </c>
      <c r="E117" s="331" t="str">
        <f ca="1">IF(ROWS($1:104)&gt;COUNT(Dong1),"",OFFSET(TH!F$1,SMALL(Dong1,ROWS($1:104)),))</f>
        <v/>
      </c>
      <c r="F117" s="148" t="str">
        <f ca="1">IF(ROWS($1:104)&gt;COUNT(Dong1),"",IF(OFFSET(TH!O$1,SMALL(Dong1,ROWS($1:104)),)="1111",OFFSET(TH!N$1,SMALL(Dong1,ROWS($1:104)),),OFFSET(TH!O$1,SMALL(Dong1,ROWS($1:104)),)))</f>
        <v/>
      </c>
      <c r="G117" s="149" t="str">
        <f ca="1">IF(ROWS($1:104)&gt;COUNT(Dong1),"",IF(OFFSET(TH!N$1,SMALL(Dong1,ROWS($1:104)),)="1111",OFFSET(TH!M$1,SMALL(Dong1,ROWS($1:104)),),0))</f>
        <v/>
      </c>
      <c r="H117" s="147" t="str">
        <f ca="1">IF(ROWS($1:104)&gt;COUNT(Dong1),"",IF(OFFSET(TH!O$1,SMALL(Dong1,ROWS($1:104)),)="1111",OFFSET(TH!M$1,SMALL(Dong1,ROWS($1:104)),),0))</f>
        <v/>
      </c>
      <c r="I117" s="145">
        <f t="shared" ca="1" si="2"/>
        <v>0</v>
      </c>
      <c r="J117" s="150"/>
    </row>
    <row r="118" spans="1:10" s="135" customFormat="1" ht="19.5" customHeight="1">
      <c r="A118" s="144" t="str">
        <f ca="1">IF(ROWS($1:105)&gt;COUNT(Dong1),"",OFFSET(TH!C$1,SMALL(Dong1,ROWS($1:105)),))</f>
        <v/>
      </c>
      <c r="B118" s="144" t="str">
        <f ca="1">IF(ROWS($1:105)&gt;COUNT(Dong1),"",OFFSET(TH!E$1,SMALL(Dong1,ROWS($1:105)),))</f>
        <v/>
      </c>
      <c r="C118" s="145" t="str">
        <f ca="1">IF(ROWS($1:105)&gt;COUNT(Dong1),"",IF(OFFSET(TH!N$1,SMALL(Dong1,ROWS($1:105)),)="1111",OFFSET(TH!D$1,SMALL(Dong1,ROWS($1:105)),),""))</f>
        <v/>
      </c>
      <c r="D118" s="146" t="str">
        <f ca="1">IF(ROWS($1:105)&gt;COUNT(Dong1),"",IF(OFFSET(TH!O$1,SMALL(Dong1,ROWS($1:105)),)="1111",OFFSET(TH!D$1,SMALL(Dong1,ROWS($1:105)),),""))</f>
        <v/>
      </c>
      <c r="E118" s="331" t="str">
        <f ca="1">IF(ROWS($1:105)&gt;COUNT(Dong1),"",OFFSET(TH!F$1,SMALL(Dong1,ROWS($1:105)),))</f>
        <v/>
      </c>
      <c r="F118" s="148" t="str">
        <f ca="1">IF(ROWS($1:105)&gt;COUNT(Dong1),"",IF(OFFSET(TH!O$1,SMALL(Dong1,ROWS($1:105)),)="1111",OFFSET(TH!N$1,SMALL(Dong1,ROWS($1:105)),),OFFSET(TH!O$1,SMALL(Dong1,ROWS($1:105)),)))</f>
        <v/>
      </c>
      <c r="G118" s="149" t="str">
        <f ca="1">IF(ROWS($1:105)&gt;COUNT(Dong1),"",IF(OFFSET(TH!N$1,SMALL(Dong1,ROWS($1:105)),)="1111",OFFSET(TH!M$1,SMALL(Dong1,ROWS($1:105)),),0))</f>
        <v/>
      </c>
      <c r="H118" s="147" t="str">
        <f ca="1">IF(ROWS($1:105)&gt;COUNT(Dong1),"",IF(OFFSET(TH!O$1,SMALL(Dong1,ROWS($1:105)),)="1111",OFFSET(TH!M$1,SMALL(Dong1,ROWS($1:105)),),0))</f>
        <v/>
      </c>
      <c r="I118" s="145">
        <f t="shared" ca="1" si="2"/>
        <v>0</v>
      </c>
      <c r="J118" s="150"/>
    </row>
    <row r="119" spans="1:10" s="135" customFormat="1" ht="19.5" customHeight="1">
      <c r="A119" s="144" t="str">
        <f ca="1">IF(ROWS($1:106)&gt;COUNT(Dong1),"",OFFSET(TH!C$1,SMALL(Dong1,ROWS($1:106)),))</f>
        <v/>
      </c>
      <c r="B119" s="144" t="str">
        <f ca="1">IF(ROWS($1:106)&gt;COUNT(Dong1),"",OFFSET(TH!E$1,SMALL(Dong1,ROWS($1:106)),))</f>
        <v/>
      </c>
      <c r="C119" s="145" t="str">
        <f ca="1">IF(ROWS($1:106)&gt;COUNT(Dong1),"",IF(OFFSET(TH!N$1,SMALL(Dong1,ROWS($1:106)),)="1111",OFFSET(TH!D$1,SMALL(Dong1,ROWS($1:106)),),""))</f>
        <v/>
      </c>
      <c r="D119" s="146" t="str">
        <f ca="1">IF(ROWS($1:106)&gt;COUNT(Dong1),"",IF(OFFSET(TH!O$1,SMALL(Dong1,ROWS($1:106)),)="1111",OFFSET(TH!D$1,SMALL(Dong1,ROWS($1:106)),),""))</f>
        <v/>
      </c>
      <c r="E119" s="331" t="str">
        <f ca="1">IF(ROWS($1:106)&gt;COUNT(Dong1),"",OFFSET(TH!F$1,SMALL(Dong1,ROWS($1:106)),))</f>
        <v/>
      </c>
      <c r="F119" s="148" t="str">
        <f ca="1">IF(ROWS($1:106)&gt;COUNT(Dong1),"",IF(OFFSET(TH!O$1,SMALL(Dong1,ROWS($1:106)),)="1111",OFFSET(TH!N$1,SMALL(Dong1,ROWS($1:106)),),OFFSET(TH!O$1,SMALL(Dong1,ROWS($1:106)),)))</f>
        <v/>
      </c>
      <c r="G119" s="149" t="str">
        <f ca="1">IF(ROWS($1:106)&gt;COUNT(Dong1),"",IF(OFFSET(TH!N$1,SMALL(Dong1,ROWS($1:106)),)="1111",OFFSET(TH!M$1,SMALL(Dong1,ROWS($1:106)),),0))</f>
        <v/>
      </c>
      <c r="H119" s="147" t="str">
        <f ca="1">IF(ROWS($1:106)&gt;COUNT(Dong1),"",IF(OFFSET(TH!O$1,SMALL(Dong1,ROWS($1:106)),)="1111",OFFSET(TH!M$1,SMALL(Dong1,ROWS($1:106)),),0))</f>
        <v/>
      </c>
      <c r="I119" s="145">
        <f t="shared" ca="1" si="2"/>
        <v>0</v>
      </c>
      <c r="J119" s="150"/>
    </row>
    <row r="120" spans="1:10" s="135" customFormat="1" ht="19.5" customHeight="1">
      <c r="A120" s="144" t="str">
        <f ca="1">IF(ROWS($1:107)&gt;COUNT(Dong1),"",OFFSET(TH!C$1,SMALL(Dong1,ROWS($1:107)),))</f>
        <v/>
      </c>
      <c r="B120" s="144" t="str">
        <f ca="1">IF(ROWS($1:107)&gt;COUNT(Dong1),"",OFFSET(TH!E$1,SMALL(Dong1,ROWS($1:107)),))</f>
        <v/>
      </c>
      <c r="C120" s="145" t="str">
        <f ca="1">IF(ROWS($1:107)&gt;COUNT(Dong1),"",IF(OFFSET(TH!N$1,SMALL(Dong1,ROWS($1:107)),)="1111",OFFSET(TH!D$1,SMALL(Dong1,ROWS($1:107)),),""))</f>
        <v/>
      </c>
      <c r="D120" s="146" t="str">
        <f ca="1">IF(ROWS($1:107)&gt;COUNT(Dong1),"",IF(OFFSET(TH!O$1,SMALL(Dong1,ROWS($1:107)),)="1111",OFFSET(TH!D$1,SMALL(Dong1,ROWS($1:107)),),""))</f>
        <v/>
      </c>
      <c r="E120" s="331" t="str">
        <f ca="1">IF(ROWS($1:107)&gt;COUNT(Dong1),"",OFFSET(TH!F$1,SMALL(Dong1,ROWS($1:107)),))</f>
        <v/>
      </c>
      <c r="F120" s="148" t="str">
        <f ca="1">IF(ROWS($1:107)&gt;COUNT(Dong1),"",IF(OFFSET(TH!O$1,SMALL(Dong1,ROWS($1:107)),)="1111",OFFSET(TH!N$1,SMALL(Dong1,ROWS($1:107)),),OFFSET(TH!O$1,SMALL(Dong1,ROWS($1:107)),)))</f>
        <v/>
      </c>
      <c r="G120" s="149" t="str">
        <f ca="1">IF(ROWS($1:107)&gt;COUNT(Dong1),"",IF(OFFSET(TH!N$1,SMALL(Dong1,ROWS($1:107)),)="1111",OFFSET(TH!M$1,SMALL(Dong1,ROWS($1:107)),),0))</f>
        <v/>
      </c>
      <c r="H120" s="147" t="str">
        <f ca="1">IF(ROWS($1:107)&gt;COUNT(Dong1),"",IF(OFFSET(TH!O$1,SMALL(Dong1,ROWS($1:107)),)="1111",OFFSET(TH!M$1,SMALL(Dong1,ROWS($1:107)),),0))</f>
        <v/>
      </c>
      <c r="I120" s="145">
        <f t="shared" ca="1" si="2"/>
        <v>0</v>
      </c>
      <c r="J120" s="150"/>
    </row>
    <row r="121" spans="1:10" s="135" customFormat="1" ht="19.5" customHeight="1">
      <c r="A121" s="144" t="str">
        <f ca="1">IF(ROWS($1:108)&gt;COUNT(Dong1),"",OFFSET(TH!C$1,SMALL(Dong1,ROWS($1:108)),))</f>
        <v/>
      </c>
      <c r="B121" s="144" t="str">
        <f ca="1">IF(ROWS($1:108)&gt;COUNT(Dong1),"",OFFSET(TH!E$1,SMALL(Dong1,ROWS($1:108)),))</f>
        <v/>
      </c>
      <c r="C121" s="145" t="str">
        <f ca="1">IF(ROWS($1:108)&gt;COUNT(Dong1),"",IF(OFFSET(TH!N$1,SMALL(Dong1,ROWS($1:108)),)="1111",OFFSET(TH!D$1,SMALL(Dong1,ROWS($1:108)),),""))</f>
        <v/>
      </c>
      <c r="D121" s="146" t="str">
        <f ca="1">IF(ROWS($1:108)&gt;COUNT(Dong1),"",IF(OFFSET(TH!O$1,SMALL(Dong1,ROWS($1:108)),)="1111",OFFSET(TH!D$1,SMALL(Dong1,ROWS($1:108)),),""))</f>
        <v/>
      </c>
      <c r="E121" s="331" t="str">
        <f ca="1">IF(ROWS($1:108)&gt;COUNT(Dong1),"",OFFSET(TH!F$1,SMALL(Dong1,ROWS($1:108)),))</f>
        <v/>
      </c>
      <c r="F121" s="148" t="str">
        <f ca="1">IF(ROWS($1:108)&gt;COUNT(Dong1),"",IF(OFFSET(TH!O$1,SMALL(Dong1,ROWS($1:108)),)="1111",OFFSET(TH!N$1,SMALL(Dong1,ROWS($1:108)),),OFFSET(TH!O$1,SMALL(Dong1,ROWS($1:108)),)))</f>
        <v/>
      </c>
      <c r="G121" s="149" t="str">
        <f ca="1">IF(ROWS($1:108)&gt;COUNT(Dong1),"",IF(OFFSET(TH!N$1,SMALL(Dong1,ROWS($1:108)),)="1111",OFFSET(TH!M$1,SMALL(Dong1,ROWS($1:108)),),0))</f>
        <v/>
      </c>
      <c r="H121" s="147" t="str">
        <f ca="1">IF(ROWS($1:108)&gt;COUNT(Dong1),"",IF(OFFSET(TH!O$1,SMALL(Dong1,ROWS($1:108)),)="1111",OFFSET(TH!M$1,SMALL(Dong1,ROWS($1:108)),),0))</f>
        <v/>
      </c>
      <c r="I121" s="145">
        <f t="shared" ca="1" si="2"/>
        <v>0</v>
      </c>
      <c r="J121" s="150"/>
    </row>
    <row r="122" spans="1:10" s="135" customFormat="1" ht="19.5" customHeight="1">
      <c r="A122" s="144" t="str">
        <f ca="1">IF(ROWS($1:109)&gt;COUNT(Dong1),"",OFFSET(TH!C$1,SMALL(Dong1,ROWS($1:109)),))</f>
        <v/>
      </c>
      <c r="B122" s="144" t="str">
        <f ca="1">IF(ROWS($1:109)&gt;COUNT(Dong1),"",OFFSET(TH!E$1,SMALL(Dong1,ROWS($1:109)),))</f>
        <v/>
      </c>
      <c r="C122" s="145" t="str">
        <f ca="1">IF(ROWS($1:109)&gt;COUNT(Dong1),"",IF(OFFSET(TH!N$1,SMALL(Dong1,ROWS($1:109)),)="1111",OFFSET(TH!D$1,SMALL(Dong1,ROWS($1:109)),),""))</f>
        <v/>
      </c>
      <c r="D122" s="146" t="str">
        <f ca="1">IF(ROWS($1:109)&gt;COUNT(Dong1),"",IF(OFFSET(TH!O$1,SMALL(Dong1,ROWS($1:109)),)="1111",OFFSET(TH!D$1,SMALL(Dong1,ROWS($1:109)),),""))</f>
        <v/>
      </c>
      <c r="E122" s="331" t="str">
        <f ca="1">IF(ROWS($1:109)&gt;COUNT(Dong1),"",OFFSET(TH!F$1,SMALL(Dong1,ROWS($1:109)),))</f>
        <v/>
      </c>
      <c r="F122" s="148" t="str">
        <f ca="1">IF(ROWS($1:109)&gt;COUNT(Dong1),"",IF(OFFSET(TH!O$1,SMALL(Dong1,ROWS($1:109)),)="1111",OFFSET(TH!N$1,SMALL(Dong1,ROWS($1:109)),),OFFSET(TH!O$1,SMALL(Dong1,ROWS($1:109)),)))</f>
        <v/>
      </c>
      <c r="G122" s="149" t="str">
        <f ca="1">IF(ROWS($1:109)&gt;COUNT(Dong1),"",IF(OFFSET(TH!N$1,SMALL(Dong1,ROWS($1:109)),)="1111",OFFSET(TH!M$1,SMALL(Dong1,ROWS($1:109)),),0))</f>
        <v/>
      </c>
      <c r="H122" s="147" t="str">
        <f ca="1">IF(ROWS($1:109)&gt;COUNT(Dong1),"",IF(OFFSET(TH!O$1,SMALL(Dong1,ROWS($1:109)),)="1111",OFFSET(TH!M$1,SMALL(Dong1,ROWS($1:109)),),0))</f>
        <v/>
      </c>
      <c r="I122" s="145">
        <f t="shared" ca="1" si="2"/>
        <v>0</v>
      </c>
      <c r="J122" s="150"/>
    </row>
    <row r="123" spans="1:10" s="135" customFormat="1" ht="19.5" customHeight="1">
      <c r="A123" s="144" t="str">
        <f ca="1">IF(ROWS($1:110)&gt;COUNT(Dong1),"",OFFSET(TH!C$1,SMALL(Dong1,ROWS($1:110)),))</f>
        <v/>
      </c>
      <c r="B123" s="144" t="str">
        <f ca="1">IF(ROWS($1:110)&gt;COUNT(Dong1),"",OFFSET(TH!E$1,SMALL(Dong1,ROWS($1:110)),))</f>
        <v/>
      </c>
      <c r="C123" s="145" t="str">
        <f ca="1">IF(ROWS($1:110)&gt;COUNT(Dong1),"",IF(OFFSET(TH!N$1,SMALL(Dong1,ROWS($1:110)),)="1111",OFFSET(TH!D$1,SMALL(Dong1,ROWS($1:110)),),""))</f>
        <v/>
      </c>
      <c r="D123" s="146" t="str">
        <f ca="1">IF(ROWS($1:110)&gt;COUNT(Dong1),"",IF(OFFSET(TH!O$1,SMALL(Dong1,ROWS($1:110)),)="1111",OFFSET(TH!D$1,SMALL(Dong1,ROWS($1:110)),),""))</f>
        <v/>
      </c>
      <c r="E123" s="331" t="str">
        <f ca="1">IF(ROWS($1:110)&gt;COUNT(Dong1),"",OFFSET(TH!F$1,SMALL(Dong1,ROWS($1:110)),))</f>
        <v/>
      </c>
      <c r="F123" s="148" t="str">
        <f ca="1">IF(ROWS($1:110)&gt;COUNT(Dong1),"",IF(OFFSET(TH!O$1,SMALL(Dong1,ROWS($1:110)),)="1111",OFFSET(TH!N$1,SMALL(Dong1,ROWS($1:110)),),OFFSET(TH!O$1,SMALL(Dong1,ROWS($1:110)),)))</f>
        <v/>
      </c>
      <c r="G123" s="149" t="str">
        <f ca="1">IF(ROWS($1:110)&gt;COUNT(Dong1),"",IF(OFFSET(TH!N$1,SMALL(Dong1,ROWS($1:110)),)="1111",OFFSET(TH!M$1,SMALL(Dong1,ROWS($1:110)),),0))</f>
        <v/>
      </c>
      <c r="H123" s="147" t="str">
        <f ca="1">IF(ROWS($1:110)&gt;COUNT(Dong1),"",IF(OFFSET(TH!O$1,SMALL(Dong1,ROWS($1:110)),)="1111",OFFSET(TH!M$1,SMALL(Dong1,ROWS($1:110)),),0))</f>
        <v/>
      </c>
      <c r="I123" s="145">
        <f t="shared" ca="1" si="2"/>
        <v>0</v>
      </c>
      <c r="J123" s="150"/>
    </row>
    <row r="124" spans="1:10" s="135" customFormat="1" ht="19.5" customHeight="1">
      <c r="A124" s="144" t="str">
        <f ca="1">IF(ROWS($1:111)&gt;COUNT(Dong1),"",OFFSET(TH!C$1,SMALL(Dong1,ROWS($1:111)),))</f>
        <v/>
      </c>
      <c r="B124" s="144" t="str">
        <f ca="1">IF(ROWS($1:111)&gt;COUNT(Dong1),"",OFFSET(TH!E$1,SMALL(Dong1,ROWS($1:111)),))</f>
        <v/>
      </c>
      <c r="C124" s="145" t="str">
        <f ca="1">IF(ROWS($1:111)&gt;COUNT(Dong1),"",IF(OFFSET(TH!N$1,SMALL(Dong1,ROWS($1:111)),)="1111",OFFSET(TH!D$1,SMALL(Dong1,ROWS($1:111)),),""))</f>
        <v/>
      </c>
      <c r="D124" s="146" t="str">
        <f ca="1">IF(ROWS($1:111)&gt;COUNT(Dong1),"",IF(OFFSET(TH!O$1,SMALL(Dong1,ROWS($1:111)),)="1111",OFFSET(TH!D$1,SMALL(Dong1,ROWS($1:111)),),""))</f>
        <v/>
      </c>
      <c r="E124" s="331" t="str">
        <f ca="1">IF(ROWS($1:111)&gt;COUNT(Dong1),"",OFFSET(TH!F$1,SMALL(Dong1,ROWS($1:111)),))</f>
        <v/>
      </c>
      <c r="F124" s="148" t="str">
        <f ca="1">IF(ROWS($1:111)&gt;COUNT(Dong1),"",IF(OFFSET(TH!O$1,SMALL(Dong1,ROWS($1:111)),)="1111",OFFSET(TH!N$1,SMALL(Dong1,ROWS($1:111)),),OFFSET(TH!O$1,SMALL(Dong1,ROWS($1:111)),)))</f>
        <v/>
      </c>
      <c r="G124" s="149" t="str">
        <f ca="1">IF(ROWS($1:111)&gt;COUNT(Dong1),"",IF(OFFSET(TH!N$1,SMALL(Dong1,ROWS($1:111)),)="1111",OFFSET(TH!M$1,SMALL(Dong1,ROWS($1:111)),),0))</f>
        <v/>
      </c>
      <c r="H124" s="147" t="str">
        <f ca="1">IF(ROWS($1:111)&gt;COUNT(Dong1),"",IF(OFFSET(TH!O$1,SMALL(Dong1,ROWS($1:111)),)="1111",OFFSET(TH!M$1,SMALL(Dong1,ROWS($1:111)),),0))</f>
        <v/>
      </c>
      <c r="I124" s="145">
        <f t="shared" ca="1" si="2"/>
        <v>0</v>
      </c>
      <c r="J124" s="150"/>
    </row>
    <row r="125" spans="1:10" s="135" customFormat="1" ht="19.5" customHeight="1">
      <c r="A125" s="144" t="str">
        <f ca="1">IF(ROWS($1:112)&gt;COUNT(Dong1),"",OFFSET(TH!C$1,SMALL(Dong1,ROWS($1:112)),))</f>
        <v/>
      </c>
      <c r="B125" s="144" t="str">
        <f ca="1">IF(ROWS($1:112)&gt;COUNT(Dong1),"",OFFSET(TH!E$1,SMALL(Dong1,ROWS($1:112)),))</f>
        <v/>
      </c>
      <c r="C125" s="145" t="str">
        <f ca="1">IF(ROWS($1:112)&gt;COUNT(Dong1),"",IF(OFFSET(TH!N$1,SMALL(Dong1,ROWS($1:112)),)="1111",OFFSET(TH!D$1,SMALL(Dong1,ROWS($1:112)),),""))</f>
        <v/>
      </c>
      <c r="D125" s="146" t="str">
        <f ca="1">IF(ROWS($1:112)&gt;COUNT(Dong1),"",IF(OFFSET(TH!O$1,SMALL(Dong1,ROWS($1:112)),)="1111",OFFSET(TH!D$1,SMALL(Dong1,ROWS($1:112)),),""))</f>
        <v/>
      </c>
      <c r="E125" s="331" t="str">
        <f ca="1">IF(ROWS($1:112)&gt;COUNT(Dong1),"",OFFSET(TH!F$1,SMALL(Dong1,ROWS($1:112)),))</f>
        <v/>
      </c>
      <c r="F125" s="148" t="str">
        <f ca="1">IF(ROWS($1:112)&gt;COUNT(Dong1),"",IF(OFFSET(TH!O$1,SMALL(Dong1,ROWS($1:112)),)="1111",OFFSET(TH!N$1,SMALL(Dong1,ROWS($1:112)),),OFFSET(TH!O$1,SMALL(Dong1,ROWS($1:112)),)))</f>
        <v/>
      </c>
      <c r="G125" s="149" t="str">
        <f ca="1">IF(ROWS($1:112)&gt;COUNT(Dong1),"",IF(OFFSET(TH!N$1,SMALL(Dong1,ROWS($1:112)),)="1111",OFFSET(TH!M$1,SMALL(Dong1,ROWS($1:112)),),0))</f>
        <v/>
      </c>
      <c r="H125" s="147" t="str">
        <f ca="1">IF(ROWS($1:112)&gt;COUNT(Dong1),"",IF(OFFSET(TH!O$1,SMALL(Dong1,ROWS($1:112)),)="1111",OFFSET(TH!M$1,SMALL(Dong1,ROWS($1:112)),),0))</f>
        <v/>
      </c>
      <c r="I125" s="145">
        <f t="shared" ca="1" si="2"/>
        <v>0</v>
      </c>
      <c r="J125" s="150"/>
    </row>
    <row r="126" spans="1:10" s="135" customFormat="1" ht="19.5" customHeight="1">
      <c r="A126" s="144" t="str">
        <f ca="1">IF(ROWS($1:113)&gt;COUNT(Dong1),"",OFFSET(TH!C$1,SMALL(Dong1,ROWS($1:113)),))</f>
        <v/>
      </c>
      <c r="B126" s="144" t="str">
        <f ca="1">IF(ROWS($1:113)&gt;COUNT(Dong1),"",OFFSET(TH!E$1,SMALL(Dong1,ROWS($1:113)),))</f>
        <v/>
      </c>
      <c r="C126" s="145" t="str">
        <f ca="1">IF(ROWS($1:113)&gt;COUNT(Dong1),"",IF(OFFSET(TH!N$1,SMALL(Dong1,ROWS($1:113)),)="1111",OFFSET(TH!D$1,SMALL(Dong1,ROWS($1:113)),),""))</f>
        <v/>
      </c>
      <c r="D126" s="146" t="str">
        <f ca="1">IF(ROWS($1:113)&gt;COUNT(Dong1),"",IF(OFFSET(TH!O$1,SMALL(Dong1,ROWS($1:113)),)="1111",OFFSET(TH!D$1,SMALL(Dong1,ROWS($1:113)),),""))</f>
        <v/>
      </c>
      <c r="E126" s="331" t="str">
        <f ca="1">IF(ROWS($1:113)&gt;COUNT(Dong1),"",OFFSET(TH!F$1,SMALL(Dong1,ROWS($1:113)),))</f>
        <v/>
      </c>
      <c r="F126" s="148" t="str">
        <f ca="1">IF(ROWS($1:113)&gt;COUNT(Dong1),"",IF(OFFSET(TH!O$1,SMALL(Dong1,ROWS($1:113)),)="1111",OFFSET(TH!N$1,SMALL(Dong1,ROWS($1:113)),),OFFSET(TH!O$1,SMALL(Dong1,ROWS($1:113)),)))</f>
        <v/>
      </c>
      <c r="G126" s="149" t="str">
        <f ca="1">IF(ROWS($1:113)&gt;COUNT(Dong1),"",IF(OFFSET(TH!N$1,SMALL(Dong1,ROWS($1:113)),)="1111",OFFSET(TH!M$1,SMALL(Dong1,ROWS($1:113)),),0))</f>
        <v/>
      </c>
      <c r="H126" s="147" t="str">
        <f ca="1">IF(ROWS($1:113)&gt;COUNT(Dong1),"",IF(OFFSET(TH!O$1,SMALL(Dong1,ROWS($1:113)),)="1111",OFFSET(TH!M$1,SMALL(Dong1,ROWS($1:113)),),0))</f>
        <v/>
      </c>
      <c r="I126" s="145">
        <f t="shared" ca="1" si="2"/>
        <v>0</v>
      </c>
      <c r="J126" s="150"/>
    </row>
    <row r="127" spans="1:10" s="135" customFormat="1" ht="19.5" customHeight="1">
      <c r="A127" s="144" t="str">
        <f ca="1">IF(ROWS($1:114)&gt;COUNT(Dong1),"",OFFSET(TH!C$1,SMALL(Dong1,ROWS($1:114)),))</f>
        <v/>
      </c>
      <c r="B127" s="144" t="str">
        <f ca="1">IF(ROWS($1:114)&gt;COUNT(Dong1),"",OFFSET(TH!E$1,SMALL(Dong1,ROWS($1:114)),))</f>
        <v/>
      </c>
      <c r="C127" s="145" t="str">
        <f ca="1">IF(ROWS($1:114)&gt;COUNT(Dong1),"",IF(OFFSET(TH!N$1,SMALL(Dong1,ROWS($1:114)),)="1111",OFFSET(TH!D$1,SMALL(Dong1,ROWS($1:114)),),""))</f>
        <v/>
      </c>
      <c r="D127" s="146" t="str">
        <f ca="1">IF(ROWS($1:114)&gt;COUNT(Dong1),"",IF(OFFSET(TH!O$1,SMALL(Dong1,ROWS($1:114)),)="1111",OFFSET(TH!D$1,SMALL(Dong1,ROWS($1:114)),),""))</f>
        <v/>
      </c>
      <c r="E127" s="331" t="str">
        <f ca="1">IF(ROWS($1:114)&gt;COUNT(Dong1),"",OFFSET(TH!F$1,SMALL(Dong1,ROWS($1:114)),))</f>
        <v/>
      </c>
      <c r="F127" s="148" t="str">
        <f ca="1">IF(ROWS($1:114)&gt;COUNT(Dong1),"",IF(OFFSET(TH!O$1,SMALL(Dong1,ROWS($1:114)),)="1111",OFFSET(TH!N$1,SMALL(Dong1,ROWS($1:114)),),OFFSET(TH!O$1,SMALL(Dong1,ROWS($1:114)),)))</f>
        <v/>
      </c>
      <c r="G127" s="149" t="str">
        <f ca="1">IF(ROWS($1:114)&gt;COUNT(Dong1),"",IF(OFFSET(TH!N$1,SMALL(Dong1,ROWS($1:114)),)="1111",OFFSET(TH!M$1,SMALL(Dong1,ROWS($1:114)),),0))</f>
        <v/>
      </c>
      <c r="H127" s="147" t="str">
        <f ca="1">IF(ROWS($1:114)&gt;COUNT(Dong1),"",IF(OFFSET(TH!O$1,SMALL(Dong1,ROWS($1:114)),)="1111",OFFSET(TH!M$1,SMALL(Dong1,ROWS($1:114)),),0))</f>
        <v/>
      </c>
      <c r="I127" s="145">
        <f t="shared" ca="1" si="2"/>
        <v>0</v>
      </c>
      <c r="J127" s="150"/>
    </row>
    <row r="128" spans="1:10" s="135" customFormat="1" ht="19.5" customHeight="1">
      <c r="A128" s="144" t="str">
        <f ca="1">IF(ROWS($1:115)&gt;COUNT(Dong1),"",OFFSET(TH!C$1,SMALL(Dong1,ROWS($1:115)),))</f>
        <v/>
      </c>
      <c r="B128" s="144" t="str">
        <f ca="1">IF(ROWS($1:115)&gt;COUNT(Dong1),"",OFFSET(TH!E$1,SMALL(Dong1,ROWS($1:115)),))</f>
        <v/>
      </c>
      <c r="C128" s="145" t="str">
        <f ca="1">IF(ROWS($1:115)&gt;COUNT(Dong1),"",IF(OFFSET(TH!N$1,SMALL(Dong1,ROWS($1:115)),)="1111",OFFSET(TH!D$1,SMALL(Dong1,ROWS($1:115)),),""))</f>
        <v/>
      </c>
      <c r="D128" s="146" t="str">
        <f ca="1">IF(ROWS($1:115)&gt;COUNT(Dong1),"",IF(OFFSET(TH!O$1,SMALL(Dong1,ROWS($1:115)),)="1111",OFFSET(TH!D$1,SMALL(Dong1,ROWS($1:115)),),""))</f>
        <v/>
      </c>
      <c r="E128" s="331" t="str">
        <f ca="1">IF(ROWS($1:115)&gt;COUNT(Dong1),"",OFFSET(TH!F$1,SMALL(Dong1,ROWS($1:115)),))</f>
        <v/>
      </c>
      <c r="F128" s="148" t="str">
        <f ca="1">IF(ROWS($1:115)&gt;COUNT(Dong1),"",IF(OFFSET(TH!O$1,SMALL(Dong1,ROWS($1:115)),)="1111",OFFSET(TH!N$1,SMALL(Dong1,ROWS($1:115)),),OFFSET(TH!O$1,SMALL(Dong1,ROWS($1:115)),)))</f>
        <v/>
      </c>
      <c r="G128" s="149" t="str">
        <f ca="1">IF(ROWS($1:115)&gt;COUNT(Dong1),"",IF(OFFSET(TH!N$1,SMALL(Dong1,ROWS($1:115)),)="1111",OFFSET(TH!M$1,SMALL(Dong1,ROWS($1:115)),),0))</f>
        <v/>
      </c>
      <c r="H128" s="147" t="str">
        <f ca="1">IF(ROWS($1:115)&gt;COUNT(Dong1),"",IF(OFFSET(TH!O$1,SMALL(Dong1,ROWS($1:115)),)="1111",OFFSET(TH!M$1,SMALL(Dong1,ROWS($1:115)),),0))</f>
        <v/>
      </c>
      <c r="I128" s="145">
        <f t="shared" ca="1" si="2"/>
        <v>0</v>
      </c>
      <c r="J128" s="150"/>
    </row>
    <row r="129" spans="1:10" s="135" customFormat="1" ht="19.5" customHeight="1">
      <c r="A129" s="144" t="str">
        <f ca="1">IF(ROWS($1:116)&gt;COUNT(Dong1),"",OFFSET(TH!C$1,SMALL(Dong1,ROWS($1:116)),))</f>
        <v/>
      </c>
      <c r="B129" s="144" t="str">
        <f ca="1">IF(ROWS($1:116)&gt;COUNT(Dong1),"",OFFSET(TH!E$1,SMALL(Dong1,ROWS($1:116)),))</f>
        <v/>
      </c>
      <c r="C129" s="145" t="str">
        <f ca="1">IF(ROWS($1:116)&gt;COUNT(Dong1),"",IF(OFFSET(TH!N$1,SMALL(Dong1,ROWS($1:116)),)="1111",OFFSET(TH!D$1,SMALL(Dong1,ROWS($1:116)),),""))</f>
        <v/>
      </c>
      <c r="D129" s="146" t="str">
        <f ca="1">IF(ROWS($1:116)&gt;COUNT(Dong1),"",IF(OFFSET(TH!O$1,SMALL(Dong1,ROWS($1:116)),)="1111",OFFSET(TH!D$1,SMALL(Dong1,ROWS($1:116)),),""))</f>
        <v/>
      </c>
      <c r="E129" s="331" t="str">
        <f ca="1">IF(ROWS($1:116)&gt;COUNT(Dong1),"",OFFSET(TH!F$1,SMALL(Dong1,ROWS($1:116)),))</f>
        <v/>
      </c>
      <c r="F129" s="148" t="str">
        <f ca="1">IF(ROWS($1:116)&gt;COUNT(Dong1),"",IF(OFFSET(TH!O$1,SMALL(Dong1,ROWS($1:116)),)="1111",OFFSET(TH!N$1,SMALL(Dong1,ROWS($1:116)),),OFFSET(TH!O$1,SMALL(Dong1,ROWS($1:116)),)))</f>
        <v/>
      </c>
      <c r="G129" s="149" t="str">
        <f ca="1">IF(ROWS($1:116)&gt;COUNT(Dong1),"",IF(OFFSET(TH!N$1,SMALL(Dong1,ROWS($1:116)),)="1111",OFFSET(TH!M$1,SMALL(Dong1,ROWS($1:116)),),0))</f>
        <v/>
      </c>
      <c r="H129" s="147" t="str">
        <f ca="1">IF(ROWS($1:116)&gt;COUNT(Dong1),"",IF(OFFSET(TH!O$1,SMALL(Dong1,ROWS($1:116)),)="1111",OFFSET(TH!M$1,SMALL(Dong1,ROWS($1:116)),),0))</f>
        <v/>
      </c>
      <c r="I129" s="145">
        <f t="shared" ca="1" si="2"/>
        <v>0</v>
      </c>
      <c r="J129" s="150"/>
    </row>
    <row r="130" spans="1:10" s="135" customFormat="1" ht="19.5" customHeight="1">
      <c r="A130" s="144" t="str">
        <f ca="1">IF(ROWS($1:117)&gt;COUNT(Dong1),"",OFFSET(TH!C$1,SMALL(Dong1,ROWS($1:117)),))</f>
        <v/>
      </c>
      <c r="B130" s="144" t="str">
        <f ca="1">IF(ROWS($1:117)&gt;COUNT(Dong1),"",OFFSET(TH!E$1,SMALL(Dong1,ROWS($1:117)),))</f>
        <v/>
      </c>
      <c r="C130" s="145" t="str">
        <f ca="1">IF(ROWS($1:117)&gt;COUNT(Dong1),"",IF(OFFSET(TH!N$1,SMALL(Dong1,ROWS($1:117)),)="1111",OFFSET(TH!D$1,SMALL(Dong1,ROWS($1:117)),),""))</f>
        <v/>
      </c>
      <c r="D130" s="146" t="str">
        <f ca="1">IF(ROWS($1:117)&gt;COUNT(Dong1),"",IF(OFFSET(TH!O$1,SMALL(Dong1,ROWS($1:117)),)="1111",OFFSET(TH!D$1,SMALL(Dong1,ROWS($1:117)),),""))</f>
        <v/>
      </c>
      <c r="E130" s="331" t="str">
        <f ca="1">IF(ROWS($1:117)&gt;COUNT(Dong1),"",OFFSET(TH!F$1,SMALL(Dong1,ROWS($1:117)),))</f>
        <v/>
      </c>
      <c r="F130" s="148" t="str">
        <f ca="1">IF(ROWS($1:117)&gt;COUNT(Dong1),"",IF(OFFSET(TH!O$1,SMALL(Dong1,ROWS($1:117)),)="1111",OFFSET(TH!N$1,SMALL(Dong1,ROWS($1:117)),),OFFSET(TH!O$1,SMALL(Dong1,ROWS($1:117)),)))</f>
        <v/>
      </c>
      <c r="G130" s="149" t="str">
        <f ca="1">IF(ROWS($1:117)&gt;COUNT(Dong1),"",IF(OFFSET(TH!N$1,SMALL(Dong1,ROWS($1:117)),)="1111",OFFSET(TH!M$1,SMALL(Dong1,ROWS($1:117)),),0))</f>
        <v/>
      </c>
      <c r="H130" s="147" t="str">
        <f ca="1">IF(ROWS($1:117)&gt;COUNT(Dong1),"",IF(OFFSET(TH!O$1,SMALL(Dong1,ROWS($1:117)),)="1111",OFFSET(TH!M$1,SMALL(Dong1,ROWS($1:117)),),0))</f>
        <v/>
      </c>
      <c r="I130" s="145">
        <f t="shared" ca="1" si="2"/>
        <v>0</v>
      </c>
      <c r="J130" s="150"/>
    </row>
    <row r="131" spans="1:10" s="135" customFormat="1" ht="19.5" customHeight="1">
      <c r="A131" s="144" t="str">
        <f ca="1">IF(ROWS($1:118)&gt;COUNT(Dong1),"",OFFSET(TH!C$1,SMALL(Dong1,ROWS($1:118)),))</f>
        <v/>
      </c>
      <c r="B131" s="144" t="str">
        <f ca="1">IF(ROWS($1:118)&gt;COUNT(Dong1),"",OFFSET(TH!E$1,SMALL(Dong1,ROWS($1:118)),))</f>
        <v/>
      </c>
      <c r="C131" s="145" t="str">
        <f ca="1">IF(ROWS($1:118)&gt;COUNT(Dong1),"",IF(OFFSET(TH!N$1,SMALL(Dong1,ROWS($1:118)),)="1111",OFFSET(TH!D$1,SMALL(Dong1,ROWS($1:118)),),""))</f>
        <v/>
      </c>
      <c r="D131" s="146" t="str">
        <f ca="1">IF(ROWS($1:118)&gt;COUNT(Dong1),"",IF(OFFSET(TH!O$1,SMALL(Dong1,ROWS($1:118)),)="1111",OFFSET(TH!D$1,SMALL(Dong1,ROWS($1:118)),),""))</f>
        <v/>
      </c>
      <c r="E131" s="331" t="str">
        <f ca="1">IF(ROWS($1:118)&gt;COUNT(Dong1),"",OFFSET(TH!F$1,SMALL(Dong1,ROWS($1:118)),))</f>
        <v/>
      </c>
      <c r="F131" s="148" t="str">
        <f ca="1">IF(ROWS($1:118)&gt;COUNT(Dong1),"",IF(OFFSET(TH!O$1,SMALL(Dong1,ROWS($1:118)),)="1111",OFFSET(TH!N$1,SMALL(Dong1,ROWS($1:118)),),OFFSET(TH!O$1,SMALL(Dong1,ROWS($1:118)),)))</f>
        <v/>
      </c>
      <c r="G131" s="149" t="str">
        <f ca="1">IF(ROWS($1:118)&gt;COUNT(Dong1),"",IF(OFFSET(TH!N$1,SMALL(Dong1,ROWS($1:118)),)="1111",OFFSET(TH!M$1,SMALL(Dong1,ROWS($1:118)),),0))</f>
        <v/>
      </c>
      <c r="H131" s="147" t="str">
        <f ca="1">IF(ROWS($1:118)&gt;COUNT(Dong1),"",IF(OFFSET(TH!O$1,SMALL(Dong1,ROWS($1:118)),)="1111",OFFSET(TH!M$1,SMALL(Dong1,ROWS($1:118)),),0))</f>
        <v/>
      </c>
      <c r="I131" s="145">
        <f t="shared" ca="1" si="2"/>
        <v>0</v>
      </c>
      <c r="J131" s="150"/>
    </row>
    <row r="132" spans="1:10" s="135" customFormat="1" ht="19.5" customHeight="1">
      <c r="A132" s="144" t="str">
        <f ca="1">IF(ROWS($1:119)&gt;COUNT(Dong1),"",OFFSET(TH!C$1,SMALL(Dong1,ROWS($1:119)),))</f>
        <v/>
      </c>
      <c r="B132" s="144" t="str">
        <f ca="1">IF(ROWS($1:119)&gt;COUNT(Dong1),"",OFFSET(TH!E$1,SMALL(Dong1,ROWS($1:119)),))</f>
        <v/>
      </c>
      <c r="C132" s="145" t="str">
        <f ca="1">IF(ROWS($1:119)&gt;COUNT(Dong1),"",IF(OFFSET(TH!N$1,SMALL(Dong1,ROWS($1:119)),)="1111",OFFSET(TH!D$1,SMALL(Dong1,ROWS($1:119)),),""))</f>
        <v/>
      </c>
      <c r="D132" s="146" t="str">
        <f ca="1">IF(ROWS($1:119)&gt;COUNT(Dong1),"",IF(OFFSET(TH!O$1,SMALL(Dong1,ROWS($1:119)),)="1111",OFFSET(TH!D$1,SMALL(Dong1,ROWS($1:119)),),""))</f>
        <v/>
      </c>
      <c r="E132" s="331" t="str">
        <f ca="1">IF(ROWS($1:119)&gt;COUNT(Dong1),"",OFFSET(TH!F$1,SMALL(Dong1,ROWS($1:119)),))</f>
        <v/>
      </c>
      <c r="F132" s="148" t="str">
        <f ca="1">IF(ROWS($1:119)&gt;COUNT(Dong1),"",IF(OFFSET(TH!O$1,SMALL(Dong1,ROWS($1:119)),)="1111",OFFSET(TH!N$1,SMALL(Dong1,ROWS($1:119)),),OFFSET(TH!O$1,SMALL(Dong1,ROWS($1:119)),)))</f>
        <v/>
      </c>
      <c r="G132" s="149" t="str">
        <f ca="1">IF(ROWS($1:119)&gt;COUNT(Dong1),"",IF(OFFSET(TH!N$1,SMALL(Dong1,ROWS($1:119)),)="1111",OFFSET(TH!M$1,SMALL(Dong1,ROWS($1:119)),),0))</f>
        <v/>
      </c>
      <c r="H132" s="147" t="str">
        <f ca="1">IF(ROWS($1:119)&gt;COUNT(Dong1),"",IF(OFFSET(TH!O$1,SMALL(Dong1,ROWS($1:119)),)="1111",OFFSET(TH!M$1,SMALL(Dong1,ROWS($1:119)),),0))</f>
        <v/>
      </c>
      <c r="I132" s="145">
        <f t="shared" ca="1" si="2"/>
        <v>0</v>
      </c>
      <c r="J132" s="150"/>
    </row>
    <row r="133" spans="1:10" s="135" customFormat="1" ht="19.5" customHeight="1">
      <c r="A133" s="144" t="str">
        <f ca="1">IF(ROWS($1:120)&gt;COUNT(Dong1),"",OFFSET(TH!C$1,SMALL(Dong1,ROWS($1:120)),))</f>
        <v/>
      </c>
      <c r="B133" s="144" t="str">
        <f ca="1">IF(ROWS($1:120)&gt;COUNT(Dong1),"",OFFSET(TH!E$1,SMALL(Dong1,ROWS($1:120)),))</f>
        <v/>
      </c>
      <c r="C133" s="145" t="str">
        <f ca="1">IF(ROWS($1:120)&gt;COUNT(Dong1),"",IF(OFFSET(TH!N$1,SMALL(Dong1,ROWS($1:120)),)="1111",OFFSET(TH!D$1,SMALL(Dong1,ROWS($1:120)),),""))</f>
        <v/>
      </c>
      <c r="D133" s="146" t="str">
        <f ca="1">IF(ROWS($1:120)&gt;COUNT(Dong1),"",IF(OFFSET(TH!O$1,SMALL(Dong1,ROWS($1:120)),)="1111",OFFSET(TH!D$1,SMALL(Dong1,ROWS($1:120)),),""))</f>
        <v/>
      </c>
      <c r="E133" s="331" t="str">
        <f ca="1">IF(ROWS($1:120)&gt;COUNT(Dong1),"",OFFSET(TH!F$1,SMALL(Dong1,ROWS($1:120)),))</f>
        <v/>
      </c>
      <c r="F133" s="148" t="str">
        <f ca="1">IF(ROWS($1:120)&gt;COUNT(Dong1),"",IF(OFFSET(TH!O$1,SMALL(Dong1,ROWS($1:120)),)="1111",OFFSET(TH!N$1,SMALL(Dong1,ROWS($1:120)),),OFFSET(TH!O$1,SMALL(Dong1,ROWS($1:120)),)))</f>
        <v/>
      </c>
      <c r="G133" s="149" t="str">
        <f ca="1">IF(ROWS($1:120)&gt;COUNT(Dong1),"",IF(OFFSET(TH!N$1,SMALL(Dong1,ROWS($1:120)),)="1111",OFFSET(TH!M$1,SMALL(Dong1,ROWS($1:120)),),0))</f>
        <v/>
      </c>
      <c r="H133" s="147" t="str">
        <f ca="1">IF(ROWS($1:120)&gt;COUNT(Dong1),"",IF(OFFSET(TH!O$1,SMALL(Dong1,ROWS($1:120)),)="1111",OFFSET(TH!M$1,SMALL(Dong1,ROWS($1:120)),),0))</f>
        <v/>
      </c>
      <c r="I133" s="145">
        <f t="shared" ca="1" si="2"/>
        <v>0</v>
      </c>
      <c r="J133" s="150"/>
    </row>
    <row r="134" spans="1:10" s="135" customFormat="1" ht="19.5" customHeight="1">
      <c r="A134" s="144" t="str">
        <f ca="1">IF(ROWS($1:121)&gt;COUNT(Dong1),"",OFFSET(TH!C$1,SMALL(Dong1,ROWS($1:121)),))</f>
        <v/>
      </c>
      <c r="B134" s="144" t="str">
        <f ca="1">IF(ROWS($1:121)&gt;COUNT(Dong1),"",OFFSET(TH!E$1,SMALL(Dong1,ROWS($1:121)),))</f>
        <v/>
      </c>
      <c r="C134" s="145" t="str">
        <f ca="1">IF(ROWS($1:121)&gt;COUNT(Dong1),"",IF(OFFSET(TH!N$1,SMALL(Dong1,ROWS($1:121)),)="1111",OFFSET(TH!D$1,SMALL(Dong1,ROWS($1:121)),),""))</f>
        <v/>
      </c>
      <c r="D134" s="146" t="str">
        <f ca="1">IF(ROWS($1:121)&gt;COUNT(Dong1),"",IF(OFFSET(TH!O$1,SMALL(Dong1,ROWS($1:121)),)="1111",OFFSET(TH!D$1,SMALL(Dong1,ROWS($1:121)),),""))</f>
        <v/>
      </c>
      <c r="E134" s="331" t="str">
        <f ca="1">IF(ROWS($1:121)&gt;COUNT(Dong1),"",OFFSET(TH!F$1,SMALL(Dong1,ROWS($1:121)),))</f>
        <v/>
      </c>
      <c r="F134" s="148" t="str">
        <f ca="1">IF(ROWS($1:121)&gt;COUNT(Dong1),"",IF(OFFSET(TH!O$1,SMALL(Dong1,ROWS($1:121)),)="1111",OFFSET(TH!N$1,SMALL(Dong1,ROWS($1:121)),),OFFSET(TH!O$1,SMALL(Dong1,ROWS($1:121)),)))</f>
        <v/>
      </c>
      <c r="G134" s="149" t="str">
        <f ca="1">IF(ROWS($1:121)&gt;COUNT(Dong1),"",IF(OFFSET(TH!N$1,SMALL(Dong1,ROWS($1:121)),)="1111",OFFSET(TH!M$1,SMALL(Dong1,ROWS($1:121)),),0))</f>
        <v/>
      </c>
      <c r="H134" s="147" t="str">
        <f ca="1">IF(ROWS($1:121)&gt;COUNT(Dong1),"",IF(OFFSET(TH!O$1,SMALL(Dong1,ROWS($1:121)),)="1111",OFFSET(TH!M$1,SMALL(Dong1,ROWS($1:121)),),0))</f>
        <v/>
      </c>
      <c r="I134" s="145">
        <f t="shared" ca="1" si="2"/>
        <v>0</v>
      </c>
      <c r="J134" s="150"/>
    </row>
    <row r="135" spans="1:10" s="135" customFormat="1" ht="19.5" customHeight="1">
      <c r="A135" s="144" t="str">
        <f ca="1">IF(ROWS($1:122)&gt;COUNT(Dong1),"",OFFSET(TH!C$1,SMALL(Dong1,ROWS($1:122)),))</f>
        <v/>
      </c>
      <c r="B135" s="144" t="str">
        <f ca="1">IF(ROWS($1:122)&gt;COUNT(Dong1),"",OFFSET(TH!E$1,SMALL(Dong1,ROWS($1:122)),))</f>
        <v/>
      </c>
      <c r="C135" s="145" t="str">
        <f ca="1">IF(ROWS($1:122)&gt;COUNT(Dong1),"",IF(OFFSET(TH!N$1,SMALL(Dong1,ROWS($1:122)),)="1111",OFFSET(TH!D$1,SMALL(Dong1,ROWS($1:122)),),""))</f>
        <v/>
      </c>
      <c r="D135" s="146" t="str">
        <f ca="1">IF(ROWS($1:122)&gt;COUNT(Dong1),"",IF(OFFSET(TH!O$1,SMALL(Dong1,ROWS($1:122)),)="1111",OFFSET(TH!D$1,SMALL(Dong1,ROWS($1:122)),),""))</f>
        <v/>
      </c>
      <c r="E135" s="331" t="str">
        <f ca="1">IF(ROWS($1:122)&gt;COUNT(Dong1),"",OFFSET(TH!F$1,SMALL(Dong1,ROWS($1:122)),))</f>
        <v/>
      </c>
      <c r="F135" s="148" t="str">
        <f ca="1">IF(ROWS($1:122)&gt;COUNT(Dong1),"",IF(OFFSET(TH!O$1,SMALL(Dong1,ROWS($1:122)),)="1111",OFFSET(TH!N$1,SMALL(Dong1,ROWS($1:122)),),OFFSET(TH!O$1,SMALL(Dong1,ROWS($1:122)),)))</f>
        <v/>
      </c>
      <c r="G135" s="149" t="str">
        <f ca="1">IF(ROWS($1:122)&gt;COUNT(Dong1),"",IF(OFFSET(TH!N$1,SMALL(Dong1,ROWS($1:122)),)="1111",OFFSET(TH!M$1,SMALL(Dong1,ROWS($1:122)),),0))</f>
        <v/>
      </c>
      <c r="H135" s="147" t="str">
        <f ca="1">IF(ROWS($1:122)&gt;COUNT(Dong1),"",IF(OFFSET(TH!O$1,SMALL(Dong1,ROWS($1:122)),)="1111",OFFSET(TH!M$1,SMALL(Dong1,ROWS($1:122)),),0))</f>
        <v/>
      </c>
      <c r="I135" s="145">
        <f t="shared" ca="1" si="2"/>
        <v>0</v>
      </c>
      <c r="J135" s="150"/>
    </row>
    <row r="136" spans="1:10" s="135" customFormat="1" ht="19.5" customHeight="1">
      <c r="A136" s="144" t="str">
        <f ca="1">IF(ROWS($1:123)&gt;COUNT(Dong1),"",OFFSET(TH!C$1,SMALL(Dong1,ROWS($1:123)),))</f>
        <v/>
      </c>
      <c r="B136" s="144" t="str">
        <f ca="1">IF(ROWS($1:123)&gt;COUNT(Dong1),"",OFFSET(TH!E$1,SMALL(Dong1,ROWS($1:123)),))</f>
        <v/>
      </c>
      <c r="C136" s="145" t="str">
        <f ca="1">IF(ROWS($1:123)&gt;COUNT(Dong1),"",IF(OFFSET(TH!N$1,SMALL(Dong1,ROWS($1:123)),)="1111",OFFSET(TH!D$1,SMALL(Dong1,ROWS($1:123)),),""))</f>
        <v/>
      </c>
      <c r="D136" s="146" t="str">
        <f ca="1">IF(ROWS($1:123)&gt;COUNT(Dong1),"",IF(OFFSET(TH!O$1,SMALL(Dong1,ROWS($1:123)),)="1111",OFFSET(TH!D$1,SMALL(Dong1,ROWS($1:123)),),""))</f>
        <v/>
      </c>
      <c r="E136" s="331" t="str">
        <f ca="1">IF(ROWS($1:123)&gt;COUNT(Dong1),"",OFFSET(TH!F$1,SMALL(Dong1,ROWS($1:123)),))</f>
        <v/>
      </c>
      <c r="F136" s="148" t="str">
        <f ca="1">IF(ROWS($1:123)&gt;COUNT(Dong1),"",IF(OFFSET(TH!O$1,SMALL(Dong1,ROWS($1:123)),)="1111",OFFSET(TH!N$1,SMALL(Dong1,ROWS($1:123)),),OFFSET(TH!O$1,SMALL(Dong1,ROWS($1:123)),)))</f>
        <v/>
      </c>
      <c r="G136" s="149" t="str">
        <f ca="1">IF(ROWS($1:123)&gt;COUNT(Dong1),"",IF(OFFSET(TH!N$1,SMALL(Dong1,ROWS($1:123)),)="1111",OFFSET(TH!M$1,SMALL(Dong1,ROWS($1:123)),),0))</f>
        <v/>
      </c>
      <c r="H136" s="147" t="str">
        <f ca="1">IF(ROWS($1:123)&gt;COUNT(Dong1),"",IF(OFFSET(TH!O$1,SMALL(Dong1,ROWS($1:123)),)="1111",OFFSET(TH!M$1,SMALL(Dong1,ROWS($1:123)),),0))</f>
        <v/>
      </c>
      <c r="I136" s="145">
        <f t="shared" ca="1" si="2"/>
        <v>0</v>
      </c>
      <c r="J136" s="150"/>
    </row>
    <row r="137" spans="1:10" s="135" customFormat="1" ht="19.5" customHeight="1">
      <c r="A137" s="144" t="str">
        <f ca="1">IF(ROWS($1:124)&gt;COUNT(Dong1),"",OFFSET(TH!C$1,SMALL(Dong1,ROWS($1:124)),))</f>
        <v/>
      </c>
      <c r="B137" s="144" t="str">
        <f ca="1">IF(ROWS($1:124)&gt;COUNT(Dong1),"",OFFSET(TH!E$1,SMALL(Dong1,ROWS($1:124)),))</f>
        <v/>
      </c>
      <c r="C137" s="145" t="str">
        <f ca="1">IF(ROWS($1:124)&gt;COUNT(Dong1),"",IF(OFFSET(TH!N$1,SMALL(Dong1,ROWS($1:124)),)="1111",OFFSET(TH!D$1,SMALL(Dong1,ROWS($1:124)),),""))</f>
        <v/>
      </c>
      <c r="D137" s="146" t="str">
        <f ca="1">IF(ROWS($1:124)&gt;COUNT(Dong1),"",IF(OFFSET(TH!O$1,SMALL(Dong1,ROWS($1:124)),)="1111",OFFSET(TH!D$1,SMALL(Dong1,ROWS($1:124)),),""))</f>
        <v/>
      </c>
      <c r="E137" s="331" t="str">
        <f ca="1">IF(ROWS($1:124)&gt;COUNT(Dong1),"",OFFSET(TH!F$1,SMALL(Dong1,ROWS($1:124)),))</f>
        <v/>
      </c>
      <c r="F137" s="148" t="str">
        <f ca="1">IF(ROWS($1:124)&gt;COUNT(Dong1),"",IF(OFFSET(TH!O$1,SMALL(Dong1,ROWS($1:124)),)="1111",OFFSET(TH!N$1,SMALL(Dong1,ROWS($1:124)),),OFFSET(TH!O$1,SMALL(Dong1,ROWS($1:124)),)))</f>
        <v/>
      </c>
      <c r="G137" s="149" t="str">
        <f ca="1">IF(ROWS($1:124)&gt;COUNT(Dong1),"",IF(OFFSET(TH!N$1,SMALL(Dong1,ROWS($1:124)),)="1111",OFFSET(TH!M$1,SMALL(Dong1,ROWS($1:124)),),0))</f>
        <v/>
      </c>
      <c r="H137" s="147" t="str">
        <f ca="1">IF(ROWS($1:124)&gt;COUNT(Dong1),"",IF(OFFSET(TH!O$1,SMALL(Dong1,ROWS($1:124)),)="1111",OFFSET(TH!M$1,SMALL(Dong1,ROWS($1:124)),),0))</f>
        <v/>
      </c>
      <c r="I137" s="145">
        <f t="shared" ca="1" si="2"/>
        <v>0</v>
      </c>
      <c r="J137" s="150"/>
    </row>
    <row r="138" spans="1:10" s="135" customFormat="1" ht="19.5" customHeight="1">
      <c r="A138" s="144" t="str">
        <f ca="1">IF(ROWS($1:125)&gt;COUNT(Dong1),"",OFFSET(TH!C$1,SMALL(Dong1,ROWS($1:125)),))</f>
        <v/>
      </c>
      <c r="B138" s="144" t="str">
        <f ca="1">IF(ROWS($1:125)&gt;COUNT(Dong1),"",OFFSET(TH!E$1,SMALL(Dong1,ROWS($1:125)),))</f>
        <v/>
      </c>
      <c r="C138" s="145" t="str">
        <f ca="1">IF(ROWS($1:125)&gt;COUNT(Dong1),"",IF(OFFSET(TH!N$1,SMALL(Dong1,ROWS($1:125)),)="1111",OFFSET(TH!D$1,SMALL(Dong1,ROWS($1:125)),),""))</f>
        <v/>
      </c>
      <c r="D138" s="146" t="str">
        <f ca="1">IF(ROWS($1:125)&gt;COUNT(Dong1),"",IF(OFFSET(TH!O$1,SMALL(Dong1,ROWS($1:125)),)="1111",OFFSET(TH!D$1,SMALL(Dong1,ROWS($1:125)),),""))</f>
        <v/>
      </c>
      <c r="E138" s="331" t="str">
        <f ca="1">IF(ROWS($1:125)&gt;COUNT(Dong1),"",OFFSET(TH!F$1,SMALL(Dong1,ROWS($1:125)),))</f>
        <v/>
      </c>
      <c r="F138" s="148" t="str">
        <f ca="1">IF(ROWS($1:125)&gt;COUNT(Dong1),"",IF(OFFSET(TH!O$1,SMALL(Dong1,ROWS($1:125)),)="1111",OFFSET(TH!N$1,SMALL(Dong1,ROWS($1:125)),),OFFSET(TH!O$1,SMALL(Dong1,ROWS($1:125)),)))</f>
        <v/>
      </c>
      <c r="G138" s="149" t="str">
        <f ca="1">IF(ROWS($1:125)&gt;COUNT(Dong1),"",IF(OFFSET(TH!N$1,SMALL(Dong1,ROWS($1:125)),)="1111",OFFSET(TH!M$1,SMALL(Dong1,ROWS($1:125)),),0))</f>
        <v/>
      </c>
      <c r="H138" s="147" t="str">
        <f ca="1">IF(ROWS($1:125)&gt;COUNT(Dong1),"",IF(OFFSET(TH!O$1,SMALL(Dong1,ROWS($1:125)),)="1111",OFFSET(TH!M$1,SMALL(Dong1,ROWS($1:125)),),0))</f>
        <v/>
      </c>
      <c r="I138" s="145">
        <f t="shared" ca="1" si="2"/>
        <v>0</v>
      </c>
      <c r="J138" s="150"/>
    </row>
    <row r="139" spans="1:10" s="135" customFormat="1" ht="19.5" customHeight="1">
      <c r="A139" s="144" t="str">
        <f ca="1">IF(ROWS($1:126)&gt;COUNT(Dong1),"",OFFSET(TH!C$1,SMALL(Dong1,ROWS($1:126)),))</f>
        <v/>
      </c>
      <c r="B139" s="144" t="str">
        <f ca="1">IF(ROWS($1:126)&gt;COUNT(Dong1),"",OFFSET(TH!E$1,SMALL(Dong1,ROWS($1:126)),))</f>
        <v/>
      </c>
      <c r="C139" s="145" t="str">
        <f ca="1">IF(ROWS($1:126)&gt;COUNT(Dong1),"",IF(OFFSET(TH!N$1,SMALL(Dong1,ROWS($1:126)),)="1111",OFFSET(TH!D$1,SMALL(Dong1,ROWS($1:126)),),""))</f>
        <v/>
      </c>
      <c r="D139" s="146" t="str">
        <f ca="1">IF(ROWS($1:126)&gt;COUNT(Dong1),"",IF(OFFSET(TH!O$1,SMALL(Dong1,ROWS($1:126)),)="1111",OFFSET(TH!D$1,SMALL(Dong1,ROWS($1:126)),),""))</f>
        <v/>
      </c>
      <c r="E139" s="331" t="str">
        <f ca="1">IF(ROWS($1:126)&gt;COUNT(Dong1),"",OFFSET(TH!F$1,SMALL(Dong1,ROWS($1:126)),))</f>
        <v/>
      </c>
      <c r="F139" s="148" t="str">
        <f ca="1">IF(ROWS($1:126)&gt;COUNT(Dong1),"",IF(OFFSET(TH!O$1,SMALL(Dong1,ROWS($1:126)),)="1111",OFFSET(TH!N$1,SMALL(Dong1,ROWS($1:126)),),OFFSET(TH!O$1,SMALL(Dong1,ROWS($1:126)),)))</f>
        <v/>
      </c>
      <c r="G139" s="149" t="str">
        <f ca="1">IF(ROWS($1:126)&gt;COUNT(Dong1),"",IF(OFFSET(TH!N$1,SMALL(Dong1,ROWS($1:126)),)="1111",OFFSET(TH!M$1,SMALL(Dong1,ROWS($1:126)),),0))</f>
        <v/>
      </c>
      <c r="H139" s="147" t="str">
        <f ca="1">IF(ROWS($1:126)&gt;COUNT(Dong1),"",IF(OFFSET(TH!O$1,SMALL(Dong1,ROWS($1:126)),)="1111",OFFSET(TH!M$1,SMALL(Dong1,ROWS($1:126)),),0))</f>
        <v/>
      </c>
      <c r="I139" s="145">
        <f t="shared" ca="1" si="2"/>
        <v>0</v>
      </c>
      <c r="J139" s="150"/>
    </row>
    <row r="140" spans="1:10" s="135" customFormat="1" ht="19.5" customHeight="1">
      <c r="A140" s="144" t="str">
        <f ca="1">IF(ROWS($1:127)&gt;COUNT(Dong1),"",OFFSET(TH!C$1,SMALL(Dong1,ROWS($1:127)),))</f>
        <v/>
      </c>
      <c r="B140" s="144" t="str">
        <f ca="1">IF(ROWS($1:127)&gt;COUNT(Dong1),"",OFFSET(TH!E$1,SMALL(Dong1,ROWS($1:127)),))</f>
        <v/>
      </c>
      <c r="C140" s="145" t="str">
        <f ca="1">IF(ROWS($1:127)&gt;COUNT(Dong1),"",IF(OFFSET(TH!N$1,SMALL(Dong1,ROWS($1:127)),)="1111",OFFSET(TH!D$1,SMALL(Dong1,ROWS($1:127)),),""))</f>
        <v/>
      </c>
      <c r="D140" s="146" t="str">
        <f ca="1">IF(ROWS($1:127)&gt;COUNT(Dong1),"",IF(OFFSET(TH!O$1,SMALL(Dong1,ROWS($1:127)),)="1111",OFFSET(TH!D$1,SMALL(Dong1,ROWS($1:127)),),""))</f>
        <v/>
      </c>
      <c r="E140" s="331" t="str">
        <f ca="1">IF(ROWS($1:127)&gt;COUNT(Dong1),"",OFFSET(TH!F$1,SMALL(Dong1,ROWS($1:127)),))</f>
        <v/>
      </c>
      <c r="F140" s="148" t="str">
        <f ca="1">IF(ROWS($1:127)&gt;COUNT(Dong1),"",IF(OFFSET(TH!O$1,SMALL(Dong1,ROWS($1:127)),)="1111",OFFSET(TH!N$1,SMALL(Dong1,ROWS($1:127)),),OFFSET(TH!O$1,SMALL(Dong1,ROWS($1:127)),)))</f>
        <v/>
      </c>
      <c r="G140" s="149" t="str">
        <f ca="1">IF(ROWS($1:127)&gt;COUNT(Dong1),"",IF(OFFSET(TH!N$1,SMALL(Dong1,ROWS($1:127)),)="1111",OFFSET(TH!M$1,SMALL(Dong1,ROWS($1:127)),),0))</f>
        <v/>
      </c>
      <c r="H140" s="147" t="str">
        <f ca="1">IF(ROWS($1:127)&gt;COUNT(Dong1),"",IF(OFFSET(TH!O$1,SMALL(Dong1,ROWS($1:127)),)="1111",OFFSET(TH!M$1,SMALL(Dong1,ROWS($1:127)),),0))</f>
        <v/>
      </c>
      <c r="I140" s="145">
        <f t="shared" ca="1" si="2"/>
        <v>0</v>
      </c>
      <c r="J140" s="150"/>
    </row>
    <row r="141" spans="1:10" s="135" customFormat="1" ht="19.5" customHeight="1">
      <c r="A141" s="144" t="str">
        <f ca="1">IF(ROWS($1:128)&gt;COUNT(Dong1),"",OFFSET(TH!C$1,SMALL(Dong1,ROWS($1:128)),))</f>
        <v/>
      </c>
      <c r="B141" s="144" t="str">
        <f ca="1">IF(ROWS($1:128)&gt;COUNT(Dong1),"",OFFSET(TH!E$1,SMALL(Dong1,ROWS($1:128)),))</f>
        <v/>
      </c>
      <c r="C141" s="145" t="str">
        <f ca="1">IF(ROWS($1:128)&gt;COUNT(Dong1),"",IF(OFFSET(TH!N$1,SMALL(Dong1,ROWS($1:128)),)="1111",OFFSET(TH!D$1,SMALL(Dong1,ROWS($1:128)),),""))</f>
        <v/>
      </c>
      <c r="D141" s="146" t="str">
        <f ca="1">IF(ROWS($1:128)&gt;COUNT(Dong1),"",IF(OFFSET(TH!O$1,SMALL(Dong1,ROWS($1:128)),)="1111",OFFSET(TH!D$1,SMALL(Dong1,ROWS($1:128)),),""))</f>
        <v/>
      </c>
      <c r="E141" s="331" t="str">
        <f ca="1">IF(ROWS($1:128)&gt;COUNT(Dong1),"",OFFSET(TH!F$1,SMALL(Dong1,ROWS($1:128)),))</f>
        <v/>
      </c>
      <c r="F141" s="148" t="str">
        <f ca="1">IF(ROWS($1:128)&gt;COUNT(Dong1),"",IF(OFFSET(TH!O$1,SMALL(Dong1,ROWS($1:128)),)="1111",OFFSET(TH!N$1,SMALL(Dong1,ROWS($1:128)),),OFFSET(TH!O$1,SMALL(Dong1,ROWS($1:128)),)))</f>
        <v/>
      </c>
      <c r="G141" s="149" t="str">
        <f ca="1">IF(ROWS($1:128)&gt;COUNT(Dong1),"",IF(OFFSET(TH!N$1,SMALL(Dong1,ROWS($1:128)),)="1111",OFFSET(TH!M$1,SMALL(Dong1,ROWS($1:128)),),0))</f>
        <v/>
      </c>
      <c r="H141" s="147" t="str">
        <f ca="1">IF(ROWS($1:128)&gt;COUNT(Dong1),"",IF(OFFSET(TH!O$1,SMALL(Dong1,ROWS($1:128)),)="1111",OFFSET(TH!M$1,SMALL(Dong1,ROWS($1:128)),),0))</f>
        <v/>
      </c>
      <c r="I141" s="145">
        <f t="shared" ca="1" si="2"/>
        <v>0</v>
      </c>
      <c r="J141" s="150"/>
    </row>
    <row r="142" spans="1:10" s="135" customFormat="1" ht="19.5" customHeight="1">
      <c r="A142" s="144" t="str">
        <f ca="1">IF(ROWS($1:129)&gt;COUNT(Dong1),"",OFFSET(TH!C$1,SMALL(Dong1,ROWS($1:129)),))</f>
        <v/>
      </c>
      <c r="B142" s="144" t="str">
        <f ca="1">IF(ROWS($1:129)&gt;COUNT(Dong1),"",OFFSET(TH!E$1,SMALL(Dong1,ROWS($1:129)),))</f>
        <v/>
      </c>
      <c r="C142" s="145" t="str">
        <f ca="1">IF(ROWS($1:129)&gt;COUNT(Dong1),"",IF(OFFSET(TH!N$1,SMALL(Dong1,ROWS($1:129)),)="1111",OFFSET(TH!D$1,SMALL(Dong1,ROWS($1:129)),),""))</f>
        <v/>
      </c>
      <c r="D142" s="146" t="str">
        <f ca="1">IF(ROWS($1:129)&gt;COUNT(Dong1),"",IF(OFFSET(TH!O$1,SMALL(Dong1,ROWS($1:129)),)="1111",OFFSET(TH!D$1,SMALL(Dong1,ROWS($1:129)),),""))</f>
        <v/>
      </c>
      <c r="E142" s="331" t="str">
        <f ca="1">IF(ROWS($1:129)&gt;COUNT(Dong1),"",OFFSET(TH!F$1,SMALL(Dong1,ROWS($1:129)),))</f>
        <v/>
      </c>
      <c r="F142" s="148" t="str">
        <f ca="1">IF(ROWS($1:129)&gt;COUNT(Dong1),"",IF(OFFSET(TH!O$1,SMALL(Dong1,ROWS($1:129)),)="1111",OFFSET(TH!N$1,SMALL(Dong1,ROWS($1:129)),),OFFSET(TH!O$1,SMALL(Dong1,ROWS($1:129)),)))</f>
        <v/>
      </c>
      <c r="G142" s="149" t="str">
        <f ca="1">IF(ROWS($1:129)&gt;COUNT(Dong1),"",IF(OFFSET(TH!N$1,SMALL(Dong1,ROWS($1:129)),)="1111",OFFSET(TH!M$1,SMALL(Dong1,ROWS($1:129)),),0))</f>
        <v/>
      </c>
      <c r="H142" s="147" t="str">
        <f ca="1">IF(ROWS($1:129)&gt;COUNT(Dong1),"",IF(OFFSET(TH!O$1,SMALL(Dong1,ROWS($1:129)),)="1111",OFFSET(TH!M$1,SMALL(Dong1,ROWS($1:129)),),0))</f>
        <v/>
      </c>
      <c r="I142" s="145">
        <f t="shared" ca="1" si="2"/>
        <v>0</v>
      </c>
      <c r="J142" s="150"/>
    </row>
    <row r="143" spans="1:10" s="135" customFormat="1" ht="19.5" customHeight="1">
      <c r="A143" s="144" t="str">
        <f ca="1">IF(ROWS($1:130)&gt;COUNT(Dong1),"",OFFSET(TH!C$1,SMALL(Dong1,ROWS($1:130)),))</f>
        <v/>
      </c>
      <c r="B143" s="144" t="str">
        <f ca="1">IF(ROWS($1:130)&gt;COUNT(Dong1),"",OFFSET(TH!E$1,SMALL(Dong1,ROWS($1:130)),))</f>
        <v/>
      </c>
      <c r="C143" s="145" t="str">
        <f ca="1">IF(ROWS($1:130)&gt;COUNT(Dong1),"",IF(OFFSET(TH!N$1,SMALL(Dong1,ROWS($1:130)),)="1111",OFFSET(TH!D$1,SMALL(Dong1,ROWS($1:130)),),""))</f>
        <v/>
      </c>
      <c r="D143" s="146" t="str">
        <f ca="1">IF(ROWS($1:130)&gt;COUNT(Dong1),"",IF(OFFSET(TH!O$1,SMALL(Dong1,ROWS($1:130)),)="1111",OFFSET(TH!D$1,SMALL(Dong1,ROWS($1:130)),),""))</f>
        <v/>
      </c>
      <c r="E143" s="331" t="str">
        <f ca="1">IF(ROWS($1:130)&gt;COUNT(Dong1),"",OFFSET(TH!F$1,SMALL(Dong1,ROWS($1:130)),))</f>
        <v/>
      </c>
      <c r="F143" s="148" t="str">
        <f ca="1">IF(ROWS($1:130)&gt;COUNT(Dong1),"",IF(OFFSET(TH!O$1,SMALL(Dong1,ROWS($1:130)),)="1111",OFFSET(TH!N$1,SMALL(Dong1,ROWS($1:130)),),OFFSET(TH!O$1,SMALL(Dong1,ROWS($1:130)),)))</f>
        <v/>
      </c>
      <c r="G143" s="149" t="str">
        <f ca="1">IF(ROWS($1:130)&gt;COUNT(Dong1),"",IF(OFFSET(TH!N$1,SMALL(Dong1,ROWS($1:130)),)="1111",OFFSET(TH!M$1,SMALL(Dong1,ROWS($1:130)),),0))</f>
        <v/>
      </c>
      <c r="H143" s="147" t="str">
        <f ca="1">IF(ROWS($1:130)&gt;COUNT(Dong1),"",IF(OFFSET(TH!O$1,SMALL(Dong1,ROWS($1:130)),)="1111",OFFSET(TH!M$1,SMALL(Dong1,ROWS($1:130)),),0))</f>
        <v/>
      </c>
      <c r="I143" s="145">
        <f t="shared" ca="1" si="2"/>
        <v>0</v>
      </c>
      <c r="J143" s="150"/>
    </row>
    <row r="144" spans="1:10" s="135" customFormat="1" ht="19.5" customHeight="1">
      <c r="A144" s="144" t="str">
        <f ca="1">IF(ROWS($1:131)&gt;COUNT(Dong1),"",OFFSET(TH!C$1,SMALL(Dong1,ROWS($1:131)),))</f>
        <v/>
      </c>
      <c r="B144" s="144" t="str">
        <f ca="1">IF(ROWS($1:131)&gt;COUNT(Dong1),"",OFFSET(TH!E$1,SMALL(Dong1,ROWS($1:131)),))</f>
        <v/>
      </c>
      <c r="C144" s="145" t="str">
        <f ca="1">IF(ROWS($1:131)&gt;COUNT(Dong1),"",IF(OFFSET(TH!N$1,SMALL(Dong1,ROWS($1:131)),)="1111",OFFSET(TH!D$1,SMALL(Dong1,ROWS($1:131)),),""))</f>
        <v/>
      </c>
      <c r="D144" s="146" t="str">
        <f ca="1">IF(ROWS($1:131)&gt;COUNT(Dong1),"",IF(OFFSET(TH!O$1,SMALL(Dong1,ROWS($1:131)),)="1111",OFFSET(TH!D$1,SMALL(Dong1,ROWS($1:131)),),""))</f>
        <v/>
      </c>
      <c r="E144" s="331" t="str">
        <f ca="1">IF(ROWS($1:131)&gt;COUNT(Dong1),"",OFFSET(TH!F$1,SMALL(Dong1,ROWS($1:131)),))</f>
        <v/>
      </c>
      <c r="F144" s="148" t="str">
        <f ca="1">IF(ROWS($1:131)&gt;COUNT(Dong1),"",IF(OFFSET(TH!O$1,SMALL(Dong1,ROWS($1:131)),)="1111",OFFSET(TH!N$1,SMALL(Dong1,ROWS($1:131)),),OFFSET(TH!O$1,SMALL(Dong1,ROWS($1:131)),)))</f>
        <v/>
      </c>
      <c r="G144" s="149" t="str">
        <f ca="1">IF(ROWS($1:131)&gt;COUNT(Dong1),"",IF(OFFSET(TH!N$1,SMALL(Dong1,ROWS($1:131)),)="1111",OFFSET(TH!M$1,SMALL(Dong1,ROWS($1:131)),),0))</f>
        <v/>
      </c>
      <c r="H144" s="147" t="str">
        <f ca="1">IF(ROWS($1:131)&gt;COUNT(Dong1),"",IF(OFFSET(TH!O$1,SMALL(Dong1,ROWS($1:131)),)="1111",OFFSET(TH!M$1,SMALL(Dong1,ROWS($1:131)),),0))</f>
        <v/>
      </c>
      <c r="I144" s="145">
        <f t="shared" ca="1" si="2"/>
        <v>0</v>
      </c>
      <c r="J144" s="150"/>
    </row>
    <row r="145" spans="1:10" s="135" customFormat="1" ht="19.5" customHeight="1">
      <c r="A145" s="144" t="str">
        <f ca="1">IF(ROWS($1:132)&gt;COUNT(Dong1),"",OFFSET(TH!C$1,SMALL(Dong1,ROWS($1:132)),))</f>
        <v/>
      </c>
      <c r="B145" s="144" t="str">
        <f ca="1">IF(ROWS($1:132)&gt;COUNT(Dong1),"",OFFSET(TH!E$1,SMALL(Dong1,ROWS($1:132)),))</f>
        <v/>
      </c>
      <c r="C145" s="145" t="str">
        <f ca="1">IF(ROWS($1:132)&gt;COUNT(Dong1),"",IF(OFFSET(TH!N$1,SMALL(Dong1,ROWS($1:132)),)="1111",OFFSET(TH!D$1,SMALL(Dong1,ROWS($1:132)),),""))</f>
        <v/>
      </c>
      <c r="D145" s="146" t="str">
        <f ca="1">IF(ROWS($1:132)&gt;COUNT(Dong1),"",IF(OFFSET(TH!O$1,SMALL(Dong1,ROWS($1:132)),)="1111",OFFSET(TH!D$1,SMALL(Dong1,ROWS($1:132)),),""))</f>
        <v/>
      </c>
      <c r="E145" s="331" t="str">
        <f ca="1">IF(ROWS($1:132)&gt;COUNT(Dong1),"",OFFSET(TH!F$1,SMALL(Dong1,ROWS($1:132)),))</f>
        <v/>
      </c>
      <c r="F145" s="148" t="str">
        <f ca="1">IF(ROWS($1:132)&gt;COUNT(Dong1),"",IF(OFFSET(TH!O$1,SMALL(Dong1,ROWS($1:132)),)="1111",OFFSET(TH!N$1,SMALL(Dong1,ROWS($1:132)),),OFFSET(TH!O$1,SMALL(Dong1,ROWS($1:132)),)))</f>
        <v/>
      </c>
      <c r="G145" s="149" t="str">
        <f ca="1">IF(ROWS($1:132)&gt;COUNT(Dong1),"",IF(OFFSET(TH!N$1,SMALL(Dong1,ROWS($1:132)),)="1111",OFFSET(TH!M$1,SMALL(Dong1,ROWS($1:132)),),0))</f>
        <v/>
      </c>
      <c r="H145" s="147" t="str">
        <f ca="1">IF(ROWS($1:132)&gt;COUNT(Dong1),"",IF(OFFSET(TH!O$1,SMALL(Dong1,ROWS($1:132)),)="1111",OFFSET(TH!M$1,SMALL(Dong1,ROWS($1:132)),),0))</f>
        <v/>
      </c>
      <c r="I145" s="145">
        <f t="shared" ca="1" si="2"/>
        <v>0</v>
      </c>
      <c r="J145" s="150"/>
    </row>
    <row r="146" spans="1:10" s="135" customFormat="1" ht="19.5" customHeight="1">
      <c r="A146" s="144" t="str">
        <f ca="1">IF(ROWS($1:133)&gt;COUNT(Dong1),"",OFFSET(TH!C$1,SMALL(Dong1,ROWS($1:133)),))</f>
        <v/>
      </c>
      <c r="B146" s="144" t="str">
        <f ca="1">IF(ROWS($1:133)&gt;COUNT(Dong1),"",OFFSET(TH!E$1,SMALL(Dong1,ROWS($1:133)),))</f>
        <v/>
      </c>
      <c r="C146" s="145" t="str">
        <f ca="1">IF(ROWS($1:133)&gt;COUNT(Dong1),"",IF(OFFSET(TH!N$1,SMALL(Dong1,ROWS($1:133)),)="1111",OFFSET(TH!D$1,SMALL(Dong1,ROWS($1:133)),),""))</f>
        <v/>
      </c>
      <c r="D146" s="146" t="str">
        <f ca="1">IF(ROWS($1:133)&gt;COUNT(Dong1),"",IF(OFFSET(TH!O$1,SMALL(Dong1,ROWS($1:133)),)="1111",OFFSET(TH!D$1,SMALL(Dong1,ROWS($1:133)),),""))</f>
        <v/>
      </c>
      <c r="E146" s="331" t="str">
        <f ca="1">IF(ROWS($1:133)&gt;COUNT(Dong1),"",OFFSET(TH!F$1,SMALL(Dong1,ROWS($1:133)),))</f>
        <v/>
      </c>
      <c r="F146" s="148" t="str">
        <f ca="1">IF(ROWS($1:133)&gt;COUNT(Dong1),"",IF(OFFSET(TH!O$1,SMALL(Dong1,ROWS($1:133)),)="1111",OFFSET(TH!N$1,SMALL(Dong1,ROWS($1:133)),),OFFSET(TH!O$1,SMALL(Dong1,ROWS($1:133)),)))</f>
        <v/>
      </c>
      <c r="G146" s="149" t="str">
        <f ca="1">IF(ROWS($1:133)&gt;COUNT(Dong1),"",IF(OFFSET(TH!N$1,SMALL(Dong1,ROWS($1:133)),)="1111",OFFSET(TH!M$1,SMALL(Dong1,ROWS($1:133)),),0))</f>
        <v/>
      </c>
      <c r="H146" s="147" t="str">
        <f ca="1">IF(ROWS($1:133)&gt;COUNT(Dong1),"",IF(OFFSET(TH!O$1,SMALL(Dong1,ROWS($1:133)),)="1111",OFFSET(TH!M$1,SMALL(Dong1,ROWS($1:133)),),0))</f>
        <v/>
      </c>
      <c r="I146" s="145">
        <f t="shared" ca="1" si="2"/>
        <v>0</v>
      </c>
      <c r="J146" s="150"/>
    </row>
    <row r="147" spans="1:10" s="135" customFormat="1" ht="19.5" customHeight="1">
      <c r="A147" s="144" t="str">
        <f ca="1">IF(ROWS($1:134)&gt;COUNT(Dong1),"",OFFSET(TH!C$1,SMALL(Dong1,ROWS($1:134)),))</f>
        <v/>
      </c>
      <c r="B147" s="144" t="str">
        <f ca="1">IF(ROWS($1:134)&gt;COUNT(Dong1),"",OFFSET(TH!E$1,SMALL(Dong1,ROWS($1:134)),))</f>
        <v/>
      </c>
      <c r="C147" s="145" t="str">
        <f ca="1">IF(ROWS($1:134)&gt;COUNT(Dong1),"",IF(OFFSET(TH!N$1,SMALL(Dong1,ROWS($1:134)),)="1111",OFFSET(TH!D$1,SMALL(Dong1,ROWS($1:134)),),""))</f>
        <v/>
      </c>
      <c r="D147" s="146" t="str">
        <f ca="1">IF(ROWS($1:134)&gt;COUNT(Dong1),"",IF(OFFSET(TH!O$1,SMALL(Dong1,ROWS($1:134)),)="1111",OFFSET(TH!D$1,SMALL(Dong1,ROWS($1:134)),),""))</f>
        <v/>
      </c>
      <c r="E147" s="331" t="str">
        <f ca="1">IF(ROWS($1:134)&gt;COUNT(Dong1),"",OFFSET(TH!F$1,SMALL(Dong1,ROWS($1:134)),))</f>
        <v/>
      </c>
      <c r="F147" s="148" t="str">
        <f ca="1">IF(ROWS($1:134)&gt;COUNT(Dong1),"",IF(OFFSET(TH!O$1,SMALL(Dong1,ROWS($1:134)),)="1111",OFFSET(TH!N$1,SMALL(Dong1,ROWS($1:134)),),OFFSET(TH!O$1,SMALL(Dong1,ROWS($1:134)),)))</f>
        <v/>
      </c>
      <c r="G147" s="149" t="str">
        <f ca="1">IF(ROWS($1:134)&gt;COUNT(Dong1),"",IF(OFFSET(TH!N$1,SMALL(Dong1,ROWS($1:134)),)="1111",OFFSET(TH!M$1,SMALL(Dong1,ROWS($1:134)),),0))</f>
        <v/>
      </c>
      <c r="H147" s="147" t="str">
        <f ca="1">IF(ROWS($1:134)&gt;COUNT(Dong1),"",IF(OFFSET(TH!O$1,SMALL(Dong1,ROWS($1:134)),)="1111",OFFSET(TH!M$1,SMALL(Dong1,ROWS($1:134)),),0))</f>
        <v/>
      </c>
      <c r="I147" s="145">
        <f t="shared" ca="1" si="2"/>
        <v>0</v>
      </c>
      <c r="J147" s="150"/>
    </row>
    <row r="148" spans="1:10" s="135" customFormat="1" ht="19.5" customHeight="1">
      <c r="A148" s="144" t="str">
        <f ca="1">IF(ROWS($1:135)&gt;COUNT(Dong1),"",OFFSET(TH!C$1,SMALL(Dong1,ROWS($1:135)),))</f>
        <v/>
      </c>
      <c r="B148" s="144" t="str">
        <f ca="1">IF(ROWS($1:135)&gt;COUNT(Dong1),"",OFFSET(TH!E$1,SMALL(Dong1,ROWS($1:135)),))</f>
        <v/>
      </c>
      <c r="C148" s="145" t="str">
        <f ca="1">IF(ROWS($1:135)&gt;COUNT(Dong1),"",IF(OFFSET(TH!N$1,SMALL(Dong1,ROWS($1:135)),)="1111",OFFSET(TH!D$1,SMALL(Dong1,ROWS($1:135)),),""))</f>
        <v/>
      </c>
      <c r="D148" s="146" t="str">
        <f ca="1">IF(ROWS($1:135)&gt;COUNT(Dong1),"",IF(OFFSET(TH!O$1,SMALL(Dong1,ROWS($1:135)),)="1111",OFFSET(TH!D$1,SMALL(Dong1,ROWS($1:135)),),""))</f>
        <v/>
      </c>
      <c r="E148" s="331" t="str">
        <f ca="1">IF(ROWS($1:135)&gt;COUNT(Dong1),"",OFFSET(TH!F$1,SMALL(Dong1,ROWS($1:135)),))</f>
        <v/>
      </c>
      <c r="F148" s="148" t="str">
        <f ca="1">IF(ROWS($1:135)&gt;COUNT(Dong1),"",IF(OFFSET(TH!O$1,SMALL(Dong1,ROWS($1:135)),)="1111",OFFSET(TH!N$1,SMALL(Dong1,ROWS($1:135)),),OFFSET(TH!O$1,SMALL(Dong1,ROWS($1:135)),)))</f>
        <v/>
      </c>
      <c r="G148" s="149" t="str">
        <f ca="1">IF(ROWS($1:135)&gt;COUNT(Dong1),"",IF(OFFSET(TH!N$1,SMALL(Dong1,ROWS($1:135)),)="1111",OFFSET(TH!M$1,SMALL(Dong1,ROWS($1:135)),),0))</f>
        <v/>
      </c>
      <c r="H148" s="147" t="str">
        <f ca="1">IF(ROWS($1:135)&gt;COUNT(Dong1),"",IF(OFFSET(TH!O$1,SMALL(Dong1,ROWS($1:135)),)="1111",OFFSET(TH!M$1,SMALL(Dong1,ROWS($1:135)),),0))</f>
        <v/>
      </c>
      <c r="I148" s="145">
        <f t="shared" ca="1" si="2"/>
        <v>0</v>
      </c>
      <c r="J148" s="150"/>
    </row>
    <row r="149" spans="1:10" s="135" customFormat="1" ht="19.5" customHeight="1">
      <c r="A149" s="144" t="str">
        <f ca="1">IF(ROWS($1:136)&gt;COUNT(Dong1),"",OFFSET(TH!C$1,SMALL(Dong1,ROWS($1:136)),))</f>
        <v/>
      </c>
      <c r="B149" s="144" t="str">
        <f ca="1">IF(ROWS($1:136)&gt;COUNT(Dong1),"",OFFSET(TH!E$1,SMALL(Dong1,ROWS($1:136)),))</f>
        <v/>
      </c>
      <c r="C149" s="145" t="str">
        <f ca="1">IF(ROWS($1:136)&gt;COUNT(Dong1),"",IF(OFFSET(TH!N$1,SMALL(Dong1,ROWS($1:136)),)="1111",OFFSET(TH!D$1,SMALL(Dong1,ROWS($1:136)),),""))</f>
        <v/>
      </c>
      <c r="D149" s="146" t="str">
        <f ca="1">IF(ROWS($1:136)&gt;COUNT(Dong1),"",IF(OFFSET(TH!O$1,SMALL(Dong1,ROWS($1:136)),)="1111",OFFSET(TH!D$1,SMALL(Dong1,ROWS($1:136)),),""))</f>
        <v/>
      </c>
      <c r="E149" s="331" t="str">
        <f ca="1">IF(ROWS($1:136)&gt;COUNT(Dong1),"",OFFSET(TH!F$1,SMALL(Dong1,ROWS($1:136)),))</f>
        <v/>
      </c>
      <c r="F149" s="148" t="str">
        <f ca="1">IF(ROWS($1:136)&gt;COUNT(Dong1),"",IF(OFFSET(TH!O$1,SMALL(Dong1,ROWS($1:136)),)="1111",OFFSET(TH!N$1,SMALL(Dong1,ROWS($1:136)),),OFFSET(TH!O$1,SMALL(Dong1,ROWS($1:136)),)))</f>
        <v/>
      </c>
      <c r="G149" s="149" t="str">
        <f ca="1">IF(ROWS($1:136)&gt;COUNT(Dong1),"",IF(OFFSET(TH!N$1,SMALL(Dong1,ROWS($1:136)),)="1111",OFFSET(TH!M$1,SMALL(Dong1,ROWS($1:136)),),0))</f>
        <v/>
      </c>
      <c r="H149" s="147" t="str">
        <f ca="1">IF(ROWS($1:136)&gt;COUNT(Dong1),"",IF(OFFSET(TH!O$1,SMALL(Dong1,ROWS($1:136)),)="1111",OFFSET(TH!M$1,SMALL(Dong1,ROWS($1:136)),),0))</f>
        <v/>
      </c>
      <c r="I149" s="145">
        <f t="shared" ca="1" si="2"/>
        <v>0</v>
      </c>
      <c r="J149" s="150"/>
    </row>
    <row r="150" spans="1:10" s="135" customFormat="1" ht="19.5" customHeight="1">
      <c r="A150" s="144" t="str">
        <f ca="1">IF(ROWS($1:137)&gt;COUNT(Dong1),"",OFFSET(TH!C$1,SMALL(Dong1,ROWS($1:137)),))</f>
        <v/>
      </c>
      <c r="B150" s="144" t="str">
        <f ca="1">IF(ROWS($1:137)&gt;COUNT(Dong1),"",OFFSET(TH!E$1,SMALL(Dong1,ROWS($1:137)),))</f>
        <v/>
      </c>
      <c r="C150" s="145" t="str">
        <f ca="1">IF(ROWS($1:137)&gt;COUNT(Dong1),"",IF(OFFSET(TH!N$1,SMALL(Dong1,ROWS($1:137)),)="1111",OFFSET(TH!D$1,SMALL(Dong1,ROWS($1:137)),),""))</f>
        <v/>
      </c>
      <c r="D150" s="146" t="str">
        <f ca="1">IF(ROWS($1:137)&gt;COUNT(Dong1),"",IF(OFFSET(TH!O$1,SMALL(Dong1,ROWS($1:137)),)="1111",OFFSET(TH!D$1,SMALL(Dong1,ROWS($1:137)),),""))</f>
        <v/>
      </c>
      <c r="E150" s="331" t="str">
        <f ca="1">IF(ROWS($1:137)&gt;COUNT(Dong1),"",OFFSET(TH!F$1,SMALL(Dong1,ROWS($1:137)),))</f>
        <v/>
      </c>
      <c r="F150" s="148" t="str">
        <f ca="1">IF(ROWS($1:137)&gt;COUNT(Dong1),"",IF(OFFSET(TH!O$1,SMALL(Dong1,ROWS($1:137)),)="1111",OFFSET(TH!N$1,SMALL(Dong1,ROWS($1:137)),),OFFSET(TH!O$1,SMALL(Dong1,ROWS($1:137)),)))</f>
        <v/>
      </c>
      <c r="G150" s="149" t="str">
        <f ca="1">IF(ROWS($1:137)&gt;COUNT(Dong1),"",IF(OFFSET(TH!N$1,SMALL(Dong1,ROWS($1:137)),)="1111",OFFSET(TH!M$1,SMALL(Dong1,ROWS($1:137)),),0))</f>
        <v/>
      </c>
      <c r="H150" s="147" t="str">
        <f ca="1">IF(ROWS($1:137)&gt;COUNT(Dong1),"",IF(OFFSET(TH!O$1,SMALL(Dong1,ROWS($1:137)),)="1111",OFFSET(TH!M$1,SMALL(Dong1,ROWS($1:137)),),0))</f>
        <v/>
      </c>
      <c r="I150" s="145">
        <f t="shared" ca="1" si="2"/>
        <v>0</v>
      </c>
      <c r="J150" s="150"/>
    </row>
    <row r="151" spans="1:10" s="135" customFormat="1" ht="19.5" customHeight="1">
      <c r="A151" s="144" t="str">
        <f ca="1">IF(ROWS($1:138)&gt;COUNT(Dong1),"",OFFSET(TH!C$1,SMALL(Dong1,ROWS($1:138)),))</f>
        <v/>
      </c>
      <c r="B151" s="144" t="str">
        <f ca="1">IF(ROWS($1:138)&gt;COUNT(Dong1),"",OFFSET(TH!E$1,SMALL(Dong1,ROWS($1:138)),))</f>
        <v/>
      </c>
      <c r="C151" s="145" t="str">
        <f ca="1">IF(ROWS($1:138)&gt;COUNT(Dong1),"",IF(OFFSET(TH!N$1,SMALL(Dong1,ROWS($1:138)),)="1111",OFFSET(TH!D$1,SMALL(Dong1,ROWS($1:138)),),""))</f>
        <v/>
      </c>
      <c r="D151" s="146" t="str">
        <f ca="1">IF(ROWS($1:138)&gt;COUNT(Dong1),"",IF(OFFSET(TH!O$1,SMALL(Dong1,ROWS($1:138)),)="1111",OFFSET(TH!D$1,SMALL(Dong1,ROWS($1:138)),),""))</f>
        <v/>
      </c>
      <c r="E151" s="331" t="str">
        <f ca="1">IF(ROWS($1:138)&gt;COUNT(Dong1),"",OFFSET(TH!F$1,SMALL(Dong1,ROWS($1:138)),))</f>
        <v/>
      </c>
      <c r="F151" s="148" t="str">
        <f ca="1">IF(ROWS($1:138)&gt;COUNT(Dong1),"",IF(OFFSET(TH!O$1,SMALL(Dong1,ROWS($1:138)),)="1111",OFFSET(TH!N$1,SMALL(Dong1,ROWS($1:138)),),OFFSET(TH!O$1,SMALL(Dong1,ROWS($1:138)),)))</f>
        <v/>
      </c>
      <c r="G151" s="149" t="str">
        <f ca="1">IF(ROWS($1:138)&gt;COUNT(Dong1),"",IF(OFFSET(TH!N$1,SMALL(Dong1,ROWS($1:138)),)="1111",OFFSET(TH!M$1,SMALL(Dong1,ROWS($1:138)),),0))</f>
        <v/>
      </c>
      <c r="H151" s="147" t="str">
        <f ca="1">IF(ROWS($1:138)&gt;COUNT(Dong1),"",IF(OFFSET(TH!O$1,SMALL(Dong1,ROWS($1:138)),)="1111",OFFSET(TH!M$1,SMALL(Dong1,ROWS($1:138)),),0))</f>
        <v/>
      </c>
      <c r="I151" s="145">
        <f t="shared" ca="1" si="2"/>
        <v>0</v>
      </c>
      <c r="J151" s="150"/>
    </row>
    <row r="152" spans="1:10" s="135" customFormat="1" ht="19.5" customHeight="1">
      <c r="A152" s="144" t="str">
        <f ca="1">IF(ROWS($1:139)&gt;COUNT(Dong1),"",OFFSET(TH!C$1,SMALL(Dong1,ROWS($1:139)),))</f>
        <v/>
      </c>
      <c r="B152" s="144" t="str">
        <f ca="1">IF(ROWS($1:139)&gt;COUNT(Dong1),"",OFFSET(TH!E$1,SMALL(Dong1,ROWS($1:139)),))</f>
        <v/>
      </c>
      <c r="C152" s="145" t="str">
        <f ca="1">IF(ROWS($1:139)&gt;COUNT(Dong1),"",IF(OFFSET(TH!N$1,SMALL(Dong1,ROWS($1:139)),)="1111",OFFSET(TH!D$1,SMALL(Dong1,ROWS($1:139)),),""))</f>
        <v/>
      </c>
      <c r="D152" s="146" t="str">
        <f ca="1">IF(ROWS($1:139)&gt;COUNT(Dong1),"",IF(OFFSET(TH!O$1,SMALL(Dong1,ROWS($1:139)),)="1111",OFFSET(TH!D$1,SMALL(Dong1,ROWS($1:139)),),""))</f>
        <v/>
      </c>
      <c r="E152" s="331" t="str">
        <f ca="1">IF(ROWS($1:139)&gt;COUNT(Dong1),"",OFFSET(TH!F$1,SMALL(Dong1,ROWS($1:139)),))</f>
        <v/>
      </c>
      <c r="F152" s="148" t="str">
        <f ca="1">IF(ROWS($1:139)&gt;COUNT(Dong1),"",IF(OFFSET(TH!O$1,SMALL(Dong1,ROWS($1:139)),)="1111",OFFSET(TH!N$1,SMALL(Dong1,ROWS($1:139)),),OFFSET(TH!O$1,SMALL(Dong1,ROWS($1:139)),)))</f>
        <v/>
      </c>
      <c r="G152" s="149" t="str">
        <f ca="1">IF(ROWS($1:139)&gt;COUNT(Dong1),"",IF(OFFSET(TH!N$1,SMALL(Dong1,ROWS($1:139)),)="1111",OFFSET(TH!M$1,SMALL(Dong1,ROWS($1:139)),),0))</f>
        <v/>
      </c>
      <c r="H152" s="147" t="str">
        <f ca="1">IF(ROWS($1:139)&gt;COUNT(Dong1),"",IF(OFFSET(TH!O$1,SMALL(Dong1,ROWS($1:139)),)="1111",OFFSET(TH!M$1,SMALL(Dong1,ROWS($1:139)),),0))</f>
        <v/>
      </c>
      <c r="I152" s="145">
        <f t="shared" ca="1" si="2"/>
        <v>0</v>
      </c>
      <c r="J152" s="150"/>
    </row>
    <row r="153" spans="1:10" s="135" customFormat="1" ht="19.5" customHeight="1">
      <c r="A153" s="144" t="str">
        <f ca="1">IF(ROWS($1:140)&gt;COUNT(Dong1),"",OFFSET(TH!C$1,SMALL(Dong1,ROWS($1:140)),))</f>
        <v/>
      </c>
      <c r="B153" s="144" t="str">
        <f ca="1">IF(ROWS($1:140)&gt;COUNT(Dong1),"",OFFSET(TH!E$1,SMALL(Dong1,ROWS($1:140)),))</f>
        <v/>
      </c>
      <c r="C153" s="145" t="str">
        <f ca="1">IF(ROWS($1:140)&gt;COUNT(Dong1),"",IF(OFFSET(TH!N$1,SMALL(Dong1,ROWS($1:140)),)="1111",OFFSET(TH!D$1,SMALL(Dong1,ROWS($1:140)),),""))</f>
        <v/>
      </c>
      <c r="D153" s="146" t="str">
        <f ca="1">IF(ROWS($1:140)&gt;COUNT(Dong1),"",IF(OFFSET(TH!O$1,SMALL(Dong1,ROWS($1:140)),)="1111",OFFSET(TH!D$1,SMALL(Dong1,ROWS($1:140)),),""))</f>
        <v/>
      </c>
      <c r="E153" s="331" t="str">
        <f ca="1">IF(ROWS($1:140)&gt;COUNT(Dong1),"",OFFSET(TH!F$1,SMALL(Dong1,ROWS($1:140)),))</f>
        <v/>
      </c>
      <c r="F153" s="148" t="str">
        <f ca="1">IF(ROWS($1:140)&gt;COUNT(Dong1),"",IF(OFFSET(TH!O$1,SMALL(Dong1,ROWS($1:140)),)="1111",OFFSET(TH!N$1,SMALL(Dong1,ROWS($1:140)),),OFFSET(TH!O$1,SMALL(Dong1,ROWS($1:140)),)))</f>
        <v/>
      </c>
      <c r="G153" s="149" t="str">
        <f ca="1">IF(ROWS($1:140)&gt;COUNT(Dong1),"",IF(OFFSET(TH!N$1,SMALL(Dong1,ROWS($1:140)),)="1111",OFFSET(TH!M$1,SMALL(Dong1,ROWS($1:140)),),0))</f>
        <v/>
      </c>
      <c r="H153" s="147" t="str">
        <f ca="1">IF(ROWS($1:140)&gt;COUNT(Dong1),"",IF(OFFSET(TH!O$1,SMALL(Dong1,ROWS($1:140)),)="1111",OFFSET(TH!M$1,SMALL(Dong1,ROWS($1:140)),),0))</f>
        <v/>
      </c>
      <c r="I153" s="145">
        <f t="shared" ca="1" si="2"/>
        <v>0</v>
      </c>
      <c r="J153" s="150"/>
    </row>
    <row r="154" spans="1:10" s="135" customFormat="1" ht="19.5" customHeight="1">
      <c r="A154" s="144" t="str">
        <f ca="1">IF(ROWS($1:141)&gt;COUNT(Dong1),"",OFFSET(TH!C$1,SMALL(Dong1,ROWS($1:141)),))</f>
        <v/>
      </c>
      <c r="B154" s="144" t="str">
        <f ca="1">IF(ROWS($1:141)&gt;COUNT(Dong1),"",OFFSET(TH!E$1,SMALL(Dong1,ROWS($1:141)),))</f>
        <v/>
      </c>
      <c r="C154" s="145" t="str">
        <f ca="1">IF(ROWS($1:141)&gt;COUNT(Dong1),"",IF(OFFSET(TH!N$1,SMALL(Dong1,ROWS($1:141)),)="1111",OFFSET(TH!D$1,SMALL(Dong1,ROWS($1:141)),),""))</f>
        <v/>
      </c>
      <c r="D154" s="146" t="str">
        <f ca="1">IF(ROWS($1:141)&gt;COUNT(Dong1),"",IF(OFFSET(TH!O$1,SMALL(Dong1,ROWS($1:141)),)="1111",OFFSET(TH!D$1,SMALL(Dong1,ROWS($1:141)),),""))</f>
        <v/>
      </c>
      <c r="E154" s="331" t="str">
        <f ca="1">IF(ROWS($1:141)&gt;COUNT(Dong1),"",OFFSET(TH!F$1,SMALL(Dong1,ROWS($1:141)),))</f>
        <v/>
      </c>
      <c r="F154" s="148" t="str">
        <f ca="1">IF(ROWS($1:141)&gt;COUNT(Dong1),"",IF(OFFSET(TH!O$1,SMALL(Dong1,ROWS($1:141)),)="1111",OFFSET(TH!N$1,SMALL(Dong1,ROWS($1:141)),),OFFSET(TH!O$1,SMALL(Dong1,ROWS($1:141)),)))</f>
        <v/>
      </c>
      <c r="G154" s="149" t="str">
        <f ca="1">IF(ROWS($1:141)&gt;COUNT(Dong1),"",IF(OFFSET(TH!N$1,SMALL(Dong1,ROWS($1:141)),)="1111",OFFSET(TH!M$1,SMALL(Dong1,ROWS($1:141)),),0))</f>
        <v/>
      </c>
      <c r="H154" s="147" t="str">
        <f ca="1">IF(ROWS($1:141)&gt;COUNT(Dong1),"",IF(OFFSET(TH!O$1,SMALL(Dong1,ROWS($1:141)),)="1111",OFFSET(TH!M$1,SMALL(Dong1,ROWS($1:141)),),0))</f>
        <v/>
      </c>
      <c r="I154" s="145">
        <f t="shared" ca="1" si="2"/>
        <v>0</v>
      </c>
      <c r="J154" s="150"/>
    </row>
    <row r="155" spans="1:10" s="135" customFormat="1" ht="19.5" customHeight="1">
      <c r="A155" s="144" t="str">
        <f ca="1">IF(ROWS($1:142)&gt;COUNT(Dong1),"",OFFSET(TH!C$1,SMALL(Dong1,ROWS($1:142)),))</f>
        <v/>
      </c>
      <c r="B155" s="144" t="str">
        <f ca="1">IF(ROWS($1:142)&gt;COUNT(Dong1),"",OFFSET(TH!E$1,SMALL(Dong1,ROWS($1:142)),))</f>
        <v/>
      </c>
      <c r="C155" s="145" t="str">
        <f ca="1">IF(ROWS($1:142)&gt;COUNT(Dong1),"",IF(OFFSET(TH!N$1,SMALL(Dong1,ROWS($1:142)),)="1111",OFFSET(TH!D$1,SMALL(Dong1,ROWS($1:142)),),""))</f>
        <v/>
      </c>
      <c r="D155" s="146" t="str">
        <f ca="1">IF(ROWS($1:142)&gt;COUNT(Dong1),"",IF(OFFSET(TH!O$1,SMALL(Dong1,ROWS($1:142)),)="1111",OFFSET(TH!D$1,SMALL(Dong1,ROWS($1:142)),),""))</f>
        <v/>
      </c>
      <c r="E155" s="331" t="str">
        <f ca="1">IF(ROWS($1:142)&gt;COUNT(Dong1),"",OFFSET(TH!F$1,SMALL(Dong1,ROWS($1:142)),))</f>
        <v/>
      </c>
      <c r="F155" s="148" t="str">
        <f ca="1">IF(ROWS($1:142)&gt;COUNT(Dong1),"",IF(OFFSET(TH!O$1,SMALL(Dong1,ROWS($1:142)),)="1111",OFFSET(TH!N$1,SMALL(Dong1,ROWS($1:142)),),OFFSET(TH!O$1,SMALL(Dong1,ROWS($1:142)),)))</f>
        <v/>
      </c>
      <c r="G155" s="149" t="str">
        <f ca="1">IF(ROWS($1:142)&gt;COUNT(Dong1),"",IF(OFFSET(TH!N$1,SMALL(Dong1,ROWS($1:142)),)="1111",OFFSET(TH!M$1,SMALL(Dong1,ROWS($1:142)),),0))</f>
        <v/>
      </c>
      <c r="H155" s="147" t="str">
        <f ca="1">IF(ROWS($1:142)&gt;COUNT(Dong1),"",IF(OFFSET(TH!O$1,SMALL(Dong1,ROWS($1:142)),)="1111",OFFSET(TH!M$1,SMALL(Dong1,ROWS($1:142)),),0))</f>
        <v/>
      </c>
      <c r="I155" s="145">
        <f t="shared" ca="1" si="2"/>
        <v>0</v>
      </c>
      <c r="J155" s="150"/>
    </row>
    <row r="156" spans="1:10" s="135" customFormat="1" ht="19.5" customHeight="1">
      <c r="A156" s="144" t="str">
        <f ca="1">IF(ROWS($1:143)&gt;COUNT(Dong1),"",OFFSET(TH!C$1,SMALL(Dong1,ROWS($1:143)),))</f>
        <v/>
      </c>
      <c r="B156" s="144" t="str">
        <f ca="1">IF(ROWS($1:143)&gt;COUNT(Dong1),"",OFFSET(TH!E$1,SMALL(Dong1,ROWS($1:143)),))</f>
        <v/>
      </c>
      <c r="C156" s="145" t="str">
        <f ca="1">IF(ROWS($1:143)&gt;COUNT(Dong1),"",IF(OFFSET(TH!N$1,SMALL(Dong1,ROWS($1:143)),)="1111",OFFSET(TH!D$1,SMALL(Dong1,ROWS($1:143)),),""))</f>
        <v/>
      </c>
      <c r="D156" s="146" t="str">
        <f ca="1">IF(ROWS($1:143)&gt;COUNT(Dong1),"",IF(OFFSET(TH!O$1,SMALL(Dong1,ROWS($1:143)),)="1111",OFFSET(TH!D$1,SMALL(Dong1,ROWS($1:143)),),""))</f>
        <v/>
      </c>
      <c r="E156" s="331" t="str">
        <f ca="1">IF(ROWS($1:143)&gt;COUNT(Dong1),"",OFFSET(TH!F$1,SMALL(Dong1,ROWS($1:143)),))</f>
        <v/>
      </c>
      <c r="F156" s="148" t="str">
        <f ca="1">IF(ROWS($1:143)&gt;COUNT(Dong1),"",IF(OFFSET(TH!O$1,SMALL(Dong1,ROWS($1:143)),)="1111",OFFSET(TH!N$1,SMALL(Dong1,ROWS($1:143)),),OFFSET(TH!O$1,SMALL(Dong1,ROWS($1:143)),)))</f>
        <v/>
      </c>
      <c r="G156" s="149" t="str">
        <f ca="1">IF(ROWS($1:143)&gt;COUNT(Dong1),"",IF(OFFSET(TH!N$1,SMALL(Dong1,ROWS($1:143)),)="1111",OFFSET(TH!M$1,SMALL(Dong1,ROWS($1:143)),),0))</f>
        <v/>
      </c>
      <c r="H156" s="147" t="str">
        <f ca="1">IF(ROWS($1:143)&gt;COUNT(Dong1),"",IF(OFFSET(TH!O$1,SMALL(Dong1,ROWS($1:143)),)="1111",OFFSET(TH!M$1,SMALL(Dong1,ROWS($1:143)),),0))</f>
        <v/>
      </c>
      <c r="I156" s="145">
        <f t="shared" ca="1" si="2"/>
        <v>0</v>
      </c>
      <c r="J156" s="150"/>
    </row>
    <row r="157" spans="1:10" s="135" customFormat="1" ht="19.5" customHeight="1">
      <c r="A157" s="144" t="str">
        <f ca="1">IF(ROWS($1:144)&gt;COUNT(Dong1),"",OFFSET(TH!C$1,SMALL(Dong1,ROWS($1:144)),))</f>
        <v/>
      </c>
      <c r="B157" s="144" t="str">
        <f ca="1">IF(ROWS($1:144)&gt;COUNT(Dong1),"",OFFSET(TH!E$1,SMALL(Dong1,ROWS($1:144)),))</f>
        <v/>
      </c>
      <c r="C157" s="145" t="str">
        <f ca="1">IF(ROWS($1:144)&gt;COUNT(Dong1),"",IF(OFFSET(TH!N$1,SMALL(Dong1,ROWS($1:144)),)="1111",OFFSET(TH!D$1,SMALL(Dong1,ROWS($1:144)),),""))</f>
        <v/>
      </c>
      <c r="D157" s="146" t="str">
        <f ca="1">IF(ROWS($1:144)&gt;COUNT(Dong1),"",IF(OFFSET(TH!O$1,SMALL(Dong1,ROWS($1:144)),)="1111",OFFSET(TH!D$1,SMALL(Dong1,ROWS($1:144)),),""))</f>
        <v/>
      </c>
      <c r="E157" s="331" t="str">
        <f ca="1">IF(ROWS($1:144)&gt;COUNT(Dong1),"",OFFSET(TH!F$1,SMALL(Dong1,ROWS($1:144)),))</f>
        <v/>
      </c>
      <c r="F157" s="148" t="str">
        <f ca="1">IF(ROWS($1:144)&gt;COUNT(Dong1),"",IF(OFFSET(TH!O$1,SMALL(Dong1,ROWS($1:144)),)="1111",OFFSET(TH!N$1,SMALL(Dong1,ROWS($1:144)),),OFFSET(TH!O$1,SMALL(Dong1,ROWS($1:144)),)))</f>
        <v/>
      </c>
      <c r="G157" s="149" t="str">
        <f ca="1">IF(ROWS($1:144)&gt;COUNT(Dong1),"",IF(OFFSET(TH!N$1,SMALL(Dong1,ROWS($1:144)),)="1111",OFFSET(TH!M$1,SMALL(Dong1,ROWS($1:144)),),0))</f>
        <v/>
      </c>
      <c r="H157" s="147" t="str">
        <f ca="1">IF(ROWS($1:144)&gt;COUNT(Dong1),"",IF(OFFSET(TH!O$1,SMALL(Dong1,ROWS($1:144)),)="1111",OFFSET(TH!M$1,SMALL(Dong1,ROWS($1:144)),),0))</f>
        <v/>
      </c>
      <c r="I157" s="145">
        <f t="shared" ca="1" si="2"/>
        <v>0</v>
      </c>
      <c r="J157" s="150"/>
    </row>
    <row r="158" spans="1:10" s="135" customFormat="1" ht="19.5" customHeight="1">
      <c r="A158" s="144" t="str">
        <f ca="1">IF(ROWS($1:145)&gt;COUNT(Dong1),"",OFFSET(TH!C$1,SMALL(Dong1,ROWS($1:145)),))</f>
        <v/>
      </c>
      <c r="B158" s="144" t="str">
        <f ca="1">IF(ROWS($1:145)&gt;COUNT(Dong1),"",OFFSET(TH!E$1,SMALL(Dong1,ROWS($1:145)),))</f>
        <v/>
      </c>
      <c r="C158" s="145" t="str">
        <f ca="1">IF(ROWS($1:145)&gt;COUNT(Dong1),"",IF(OFFSET(TH!N$1,SMALL(Dong1,ROWS($1:145)),)="1111",OFFSET(TH!D$1,SMALL(Dong1,ROWS($1:145)),),""))</f>
        <v/>
      </c>
      <c r="D158" s="146" t="str">
        <f ca="1">IF(ROWS($1:145)&gt;COUNT(Dong1),"",IF(OFFSET(TH!O$1,SMALL(Dong1,ROWS($1:145)),)="1111",OFFSET(TH!D$1,SMALL(Dong1,ROWS($1:145)),),""))</f>
        <v/>
      </c>
      <c r="E158" s="331" t="str">
        <f ca="1">IF(ROWS($1:145)&gt;COUNT(Dong1),"",OFFSET(TH!F$1,SMALL(Dong1,ROWS($1:145)),))</f>
        <v/>
      </c>
      <c r="F158" s="148" t="str">
        <f ca="1">IF(ROWS($1:145)&gt;COUNT(Dong1),"",IF(OFFSET(TH!O$1,SMALL(Dong1,ROWS($1:145)),)="1111",OFFSET(TH!N$1,SMALL(Dong1,ROWS($1:145)),),OFFSET(TH!O$1,SMALL(Dong1,ROWS($1:145)),)))</f>
        <v/>
      </c>
      <c r="G158" s="149" t="str">
        <f ca="1">IF(ROWS($1:145)&gt;COUNT(Dong1),"",IF(OFFSET(TH!N$1,SMALL(Dong1,ROWS($1:145)),)="1111",OFFSET(TH!M$1,SMALL(Dong1,ROWS($1:145)),),0))</f>
        <v/>
      </c>
      <c r="H158" s="147" t="str">
        <f ca="1">IF(ROWS($1:145)&gt;COUNT(Dong1),"",IF(OFFSET(TH!O$1,SMALL(Dong1,ROWS($1:145)),)="1111",OFFSET(TH!M$1,SMALL(Dong1,ROWS($1:145)),),0))</f>
        <v/>
      </c>
      <c r="I158" s="145">
        <f t="shared" ref="I158:I178" ca="1" si="3">IF(E158&lt;&gt;"",I157+G158-H158,0)</f>
        <v>0</v>
      </c>
      <c r="J158" s="150"/>
    </row>
    <row r="159" spans="1:10" s="135" customFormat="1" ht="19.5" customHeight="1">
      <c r="A159" s="144" t="str">
        <f ca="1">IF(ROWS($1:146)&gt;COUNT(Dong1),"",OFFSET(TH!C$1,SMALL(Dong1,ROWS($1:146)),))</f>
        <v/>
      </c>
      <c r="B159" s="144" t="str">
        <f ca="1">IF(ROWS($1:146)&gt;COUNT(Dong1),"",OFFSET(TH!E$1,SMALL(Dong1,ROWS($1:146)),))</f>
        <v/>
      </c>
      <c r="C159" s="145" t="str">
        <f ca="1">IF(ROWS($1:146)&gt;COUNT(Dong1),"",IF(OFFSET(TH!N$1,SMALL(Dong1,ROWS($1:146)),)="1111",OFFSET(TH!D$1,SMALL(Dong1,ROWS($1:146)),),""))</f>
        <v/>
      </c>
      <c r="D159" s="146" t="str">
        <f ca="1">IF(ROWS($1:146)&gt;COUNT(Dong1),"",IF(OFFSET(TH!O$1,SMALL(Dong1,ROWS($1:146)),)="1111",OFFSET(TH!D$1,SMALL(Dong1,ROWS($1:146)),),""))</f>
        <v/>
      </c>
      <c r="E159" s="331" t="str">
        <f ca="1">IF(ROWS($1:146)&gt;COUNT(Dong1),"",OFFSET(TH!F$1,SMALL(Dong1,ROWS($1:146)),))</f>
        <v/>
      </c>
      <c r="F159" s="148" t="str">
        <f ca="1">IF(ROWS($1:146)&gt;COUNT(Dong1),"",IF(OFFSET(TH!O$1,SMALL(Dong1,ROWS($1:146)),)="1111",OFFSET(TH!N$1,SMALL(Dong1,ROWS($1:146)),),OFFSET(TH!O$1,SMALL(Dong1,ROWS($1:146)),)))</f>
        <v/>
      </c>
      <c r="G159" s="149" t="str">
        <f ca="1">IF(ROWS($1:146)&gt;COUNT(Dong1),"",IF(OFFSET(TH!N$1,SMALL(Dong1,ROWS($1:146)),)="1111",OFFSET(TH!M$1,SMALL(Dong1,ROWS($1:146)),),0))</f>
        <v/>
      </c>
      <c r="H159" s="147" t="str">
        <f ca="1">IF(ROWS($1:146)&gt;COUNT(Dong1),"",IF(OFFSET(TH!O$1,SMALL(Dong1,ROWS($1:146)),)="1111",OFFSET(TH!M$1,SMALL(Dong1,ROWS($1:146)),),0))</f>
        <v/>
      </c>
      <c r="I159" s="145">
        <f t="shared" ca="1" si="3"/>
        <v>0</v>
      </c>
      <c r="J159" s="150"/>
    </row>
    <row r="160" spans="1:10" s="135" customFormat="1" ht="19.5" customHeight="1">
      <c r="A160" s="144" t="str">
        <f ca="1">IF(ROWS($1:147)&gt;COUNT(Dong1),"",OFFSET(TH!C$1,SMALL(Dong1,ROWS($1:147)),))</f>
        <v/>
      </c>
      <c r="B160" s="144" t="str">
        <f ca="1">IF(ROWS($1:147)&gt;COUNT(Dong1),"",OFFSET(TH!E$1,SMALL(Dong1,ROWS($1:147)),))</f>
        <v/>
      </c>
      <c r="C160" s="145" t="str">
        <f ca="1">IF(ROWS($1:147)&gt;COUNT(Dong1),"",IF(OFFSET(TH!N$1,SMALL(Dong1,ROWS($1:147)),)="1111",OFFSET(TH!D$1,SMALL(Dong1,ROWS($1:147)),),""))</f>
        <v/>
      </c>
      <c r="D160" s="146" t="str">
        <f ca="1">IF(ROWS($1:147)&gt;COUNT(Dong1),"",IF(OFFSET(TH!O$1,SMALL(Dong1,ROWS($1:147)),)="1111",OFFSET(TH!D$1,SMALL(Dong1,ROWS($1:147)),),""))</f>
        <v/>
      </c>
      <c r="E160" s="331" t="str">
        <f ca="1">IF(ROWS($1:147)&gt;COUNT(Dong1),"",OFFSET(TH!F$1,SMALL(Dong1,ROWS($1:147)),))</f>
        <v/>
      </c>
      <c r="F160" s="148" t="str">
        <f ca="1">IF(ROWS($1:147)&gt;COUNT(Dong1),"",IF(OFFSET(TH!O$1,SMALL(Dong1,ROWS($1:147)),)="1111",OFFSET(TH!N$1,SMALL(Dong1,ROWS($1:147)),),OFFSET(TH!O$1,SMALL(Dong1,ROWS($1:147)),)))</f>
        <v/>
      </c>
      <c r="G160" s="149" t="str">
        <f ca="1">IF(ROWS($1:147)&gt;COUNT(Dong1),"",IF(OFFSET(TH!N$1,SMALL(Dong1,ROWS($1:147)),)="1111",OFFSET(TH!M$1,SMALL(Dong1,ROWS($1:147)),),0))</f>
        <v/>
      </c>
      <c r="H160" s="147" t="str">
        <f ca="1">IF(ROWS($1:147)&gt;COUNT(Dong1),"",IF(OFFSET(TH!O$1,SMALL(Dong1,ROWS($1:147)),)="1111",OFFSET(TH!M$1,SMALL(Dong1,ROWS($1:147)),),0))</f>
        <v/>
      </c>
      <c r="I160" s="145">
        <f t="shared" ca="1" si="3"/>
        <v>0</v>
      </c>
      <c r="J160" s="150"/>
    </row>
    <row r="161" spans="1:10" s="135" customFormat="1" ht="19.5" customHeight="1">
      <c r="A161" s="144" t="str">
        <f ca="1">IF(ROWS($1:148)&gt;COUNT(Dong1),"",OFFSET(TH!C$1,SMALL(Dong1,ROWS($1:148)),))</f>
        <v/>
      </c>
      <c r="B161" s="144" t="str">
        <f ca="1">IF(ROWS($1:148)&gt;COUNT(Dong1),"",OFFSET(TH!E$1,SMALL(Dong1,ROWS($1:148)),))</f>
        <v/>
      </c>
      <c r="C161" s="145" t="str">
        <f ca="1">IF(ROWS($1:148)&gt;COUNT(Dong1),"",IF(OFFSET(TH!N$1,SMALL(Dong1,ROWS($1:148)),)="1111",OFFSET(TH!D$1,SMALL(Dong1,ROWS($1:148)),),""))</f>
        <v/>
      </c>
      <c r="D161" s="146" t="str">
        <f ca="1">IF(ROWS($1:148)&gt;COUNT(Dong1),"",IF(OFFSET(TH!O$1,SMALL(Dong1,ROWS($1:148)),)="1111",OFFSET(TH!D$1,SMALL(Dong1,ROWS($1:148)),),""))</f>
        <v/>
      </c>
      <c r="E161" s="331" t="str">
        <f ca="1">IF(ROWS($1:148)&gt;COUNT(Dong1),"",OFFSET(TH!F$1,SMALL(Dong1,ROWS($1:148)),))</f>
        <v/>
      </c>
      <c r="F161" s="148" t="str">
        <f ca="1">IF(ROWS($1:148)&gt;COUNT(Dong1),"",IF(OFFSET(TH!O$1,SMALL(Dong1,ROWS($1:148)),)="1111",OFFSET(TH!N$1,SMALL(Dong1,ROWS($1:148)),),OFFSET(TH!O$1,SMALL(Dong1,ROWS($1:148)),)))</f>
        <v/>
      </c>
      <c r="G161" s="149" t="str">
        <f ca="1">IF(ROWS($1:148)&gt;COUNT(Dong1),"",IF(OFFSET(TH!N$1,SMALL(Dong1,ROWS($1:148)),)="1111",OFFSET(TH!M$1,SMALL(Dong1,ROWS($1:148)),),0))</f>
        <v/>
      </c>
      <c r="H161" s="147" t="str">
        <f ca="1">IF(ROWS($1:148)&gt;COUNT(Dong1),"",IF(OFFSET(TH!O$1,SMALL(Dong1,ROWS($1:148)),)="1111",OFFSET(TH!M$1,SMALL(Dong1,ROWS($1:148)),),0))</f>
        <v/>
      </c>
      <c r="I161" s="145">
        <f t="shared" ca="1" si="3"/>
        <v>0</v>
      </c>
      <c r="J161" s="150"/>
    </row>
    <row r="162" spans="1:10" s="135" customFormat="1" ht="19.5" customHeight="1">
      <c r="A162" s="144" t="str">
        <f ca="1">IF(ROWS($1:149)&gt;COUNT(Dong1),"",OFFSET(TH!C$1,SMALL(Dong1,ROWS($1:149)),))</f>
        <v/>
      </c>
      <c r="B162" s="144" t="str">
        <f ca="1">IF(ROWS($1:149)&gt;COUNT(Dong1),"",OFFSET(TH!E$1,SMALL(Dong1,ROWS($1:149)),))</f>
        <v/>
      </c>
      <c r="C162" s="145" t="str">
        <f ca="1">IF(ROWS($1:149)&gt;COUNT(Dong1),"",IF(OFFSET(TH!N$1,SMALL(Dong1,ROWS($1:149)),)="1111",OFFSET(TH!D$1,SMALL(Dong1,ROWS($1:149)),),""))</f>
        <v/>
      </c>
      <c r="D162" s="146" t="str">
        <f ca="1">IF(ROWS($1:149)&gt;COUNT(Dong1),"",IF(OFFSET(TH!O$1,SMALL(Dong1,ROWS($1:149)),)="1111",OFFSET(TH!D$1,SMALL(Dong1,ROWS($1:149)),),""))</f>
        <v/>
      </c>
      <c r="E162" s="331" t="str">
        <f ca="1">IF(ROWS($1:149)&gt;COUNT(Dong1),"",OFFSET(TH!F$1,SMALL(Dong1,ROWS($1:149)),))</f>
        <v/>
      </c>
      <c r="F162" s="148" t="str">
        <f ca="1">IF(ROWS($1:149)&gt;COUNT(Dong1),"",IF(OFFSET(TH!O$1,SMALL(Dong1,ROWS($1:149)),)="1111",OFFSET(TH!N$1,SMALL(Dong1,ROWS($1:149)),),OFFSET(TH!O$1,SMALL(Dong1,ROWS($1:149)),)))</f>
        <v/>
      </c>
      <c r="G162" s="149" t="str">
        <f ca="1">IF(ROWS($1:149)&gt;COUNT(Dong1),"",IF(OFFSET(TH!N$1,SMALL(Dong1,ROWS($1:149)),)="1111",OFFSET(TH!M$1,SMALL(Dong1,ROWS($1:149)),),0))</f>
        <v/>
      </c>
      <c r="H162" s="147" t="str">
        <f ca="1">IF(ROWS($1:149)&gt;COUNT(Dong1),"",IF(OFFSET(TH!O$1,SMALL(Dong1,ROWS($1:149)),)="1111",OFFSET(TH!M$1,SMALL(Dong1,ROWS($1:149)),),0))</f>
        <v/>
      </c>
      <c r="I162" s="145">
        <f t="shared" ca="1" si="3"/>
        <v>0</v>
      </c>
      <c r="J162" s="150"/>
    </row>
    <row r="163" spans="1:10" s="135" customFormat="1" ht="19.5" customHeight="1">
      <c r="A163" s="144" t="str">
        <f ca="1">IF(ROWS($1:150)&gt;COUNT(Dong1),"",OFFSET(TH!C$1,SMALL(Dong1,ROWS($1:150)),))</f>
        <v/>
      </c>
      <c r="B163" s="144" t="str">
        <f ca="1">IF(ROWS($1:150)&gt;COUNT(Dong1),"",OFFSET(TH!E$1,SMALL(Dong1,ROWS($1:150)),))</f>
        <v/>
      </c>
      <c r="C163" s="145" t="str">
        <f ca="1">IF(ROWS($1:150)&gt;COUNT(Dong1),"",IF(OFFSET(TH!N$1,SMALL(Dong1,ROWS($1:150)),)="1111",OFFSET(TH!D$1,SMALL(Dong1,ROWS($1:150)),),""))</f>
        <v/>
      </c>
      <c r="D163" s="146" t="str">
        <f ca="1">IF(ROWS($1:150)&gt;COUNT(Dong1),"",IF(OFFSET(TH!O$1,SMALL(Dong1,ROWS($1:150)),)="1111",OFFSET(TH!D$1,SMALL(Dong1,ROWS($1:150)),),""))</f>
        <v/>
      </c>
      <c r="E163" s="331" t="str">
        <f ca="1">IF(ROWS($1:150)&gt;COUNT(Dong1),"",OFFSET(TH!F$1,SMALL(Dong1,ROWS($1:150)),))</f>
        <v/>
      </c>
      <c r="F163" s="148" t="str">
        <f ca="1">IF(ROWS($1:150)&gt;COUNT(Dong1),"",IF(OFFSET(TH!O$1,SMALL(Dong1,ROWS($1:150)),)="1111",OFFSET(TH!N$1,SMALL(Dong1,ROWS($1:150)),),OFFSET(TH!O$1,SMALL(Dong1,ROWS($1:150)),)))</f>
        <v/>
      </c>
      <c r="G163" s="149" t="str">
        <f ca="1">IF(ROWS($1:150)&gt;COUNT(Dong1),"",IF(OFFSET(TH!N$1,SMALL(Dong1,ROWS($1:150)),)="1111",OFFSET(TH!M$1,SMALL(Dong1,ROWS($1:150)),),0))</f>
        <v/>
      </c>
      <c r="H163" s="147" t="str">
        <f ca="1">IF(ROWS($1:150)&gt;COUNT(Dong1),"",IF(OFFSET(TH!O$1,SMALL(Dong1,ROWS($1:150)),)="1111",OFFSET(TH!M$1,SMALL(Dong1,ROWS($1:150)),),0))</f>
        <v/>
      </c>
      <c r="I163" s="145">
        <f t="shared" ca="1" si="3"/>
        <v>0</v>
      </c>
      <c r="J163" s="150"/>
    </row>
    <row r="164" spans="1:10" s="135" customFormat="1" ht="19.5" customHeight="1">
      <c r="A164" s="144" t="str">
        <f ca="1">IF(ROWS($1:151)&gt;COUNT(Dong1),"",OFFSET(TH!C$1,SMALL(Dong1,ROWS($1:151)),))</f>
        <v/>
      </c>
      <c r="B164" s="144" t="str">
        <f ca="1">IF(ROWS($1:151)&gt;COUNT(Dong1),"",OFFSET(TH!E$1,SMALL(Dong1,ROWS($1:151)),))</f>
        <v/>
      </c>
      <c r="C164" s="145" t="str">
        <f ca="1">IF(ROWS($1:151)&gt;COUNT(Dong1),"",IF(OFFSET(TH!N$1,SMALL(Dong1,ROWS($1:151)),)="1111",OFFSET(TH!D$1,SMALL(Dong1,ROWS($1:151)),),""))</f>
        <v/>
      </c>
      <c r="D164" s="146" t="str">
        <f ca="1">IF(ROWS($1:151)&gt;COUNT(Dong1),"",IF(OFFSET(TH!O$1,SMALL(Dong1,ROWS($1:151)),)="1111",OFFSET(TH!D$1,SMALL(Dong1,ROWS($1:151)),),""))</f>
        <v/>
      </c>
      <c r="E164" s="331" t="str">
        <f ca="1">IF(ROWS($1:151)&gt;COUNT(Dong1),"",OFFSET(TH!F$1,SMALL(Dong1,ROWS($1:151)),))</f>
        <v/>
      </c>
      <c r="F164" s="148" t="str">
        <f ca="1">IF(ROWS($1:151)&gt;COUNT(Dong1),"",IF(OFFSET(TH!O$1,SMALL(Dong1,ROWS($1:151)),)="1111",OFFSET(TH!N$1,SMALL(Dong1,ROWS($1:151)),),OFFSET(TH!O$1,SMALL(Dong1,ROWS($1:151)),)))</f>
        <v/>
      </c>
      <c r="G164" s="149" t="str">
        <f ca="1">IF(ROWS($1:151)&gt;COUNT(Dong1),"",IF(OFFSET(TH!N$1,SMALL(Dong1,ROWS($1:151)),)="1111",OFFSET(TH!M$1,SMALL(Dong1,ROWS($1:151)),),0))</f>
        <v/>
      </c>
      <c r="H164" s="147" t="str">
        <f ca="1">IF(ROWS($1:151)&gt;COUNT(Dong1),"",IF(OFFSET(TH!O$1,SMALL(Dong1,ROWS($1:151)),)="1111",OFFSET(TH!M$1,SMALL(Dong1,ROWS($1:151)),),0))</f>
        <v/>
      </c>
      <c r="I164" s="145">
        <f t="shared" ca="1" si="3"/>
        <v>0</v>
      </c>
      <c r="J164" s="150"/>
    </row>
    <row r="165" spans="1:10" s="135" customFormat="1" ht="19.5" customHeight="1">
      <c r="A165" s="144" t="str">
        <f ca="1">IF(ROWS($1:152)&gt;COUNT(Dong1),"",OFFSET(TH!C$1,SMALL(Dong1,ROWS($1:152)),))</f>
        <v/>
      </c>
      <c r="B165" s="144" t="str">
        <f ca="1">IF(ROWS($1:152)&gt;COUNT(Dong1),"",OFFSET(TH!E$1,SMALL(Dong1,ROWS($1:152)),))</f>
        <v/>
      </c>
      <c r="C165" s="145" t="str">
        <f ca="1">IF(ROWS($1:152)&gt;COUNT(Dong1),"",IF(OFFSET(TH!N$1,SMALL(Dong1,ROWS($1:152)),)="1111",OFFSET(TH!D$1,SMALL(Dong1,ROWS($1:152)),),""))</f>
        <v/>
      </c>
      <c r="D165" s="146" t="str">
        <f ca="1">IF(ROWS($1:152)&gt;COUNT(Dong1),"",IF(OFFSET(TH!O$1,SMALL(Dong1,ROWS($1:152)),)="1111",OFFSET(TH!D$1,SMALL(Dong1,ROWS($1:152)),),""))</f>
        <v/>
      </c>
      <c r="E165" s="331" t="str">
        <f ca="1">IF(ROWS($1:152)&gt;COUNT(Dong1),"",OFFSET(TH!F$1,SMALL(Dong1,ROWS($1:152)),))</f>
        <v/>
      </c>
      <c r="F165" s="148" t="str">
        <f ca="1">IF(ROWS($1:152)&gt;COUNT(Dong1),"",IF(OFFSET(TH!O$1,SMALL(Dong1,ROWS($1:152)),)="1111",OFFSET(TH!N$1,SMALL(Dong1,ROWS($1:152)),),OFFSET(TH!O$1,SMALL(Dong1,ROWS($1:152)),)))</f>
        <v/>
      </c>
      <c r="G165" s="149" t="str">
        <f ca="1">IF(ROWS($1:152)&gt;COUNT(Dong1),"",IF(OFFSET(TH!N$1,SMALL(Dong1,ROWS($1:152)),)="1111",OFFSET(TH!M$1,SMALL(Dong1,ROWS($1:152)),),0))</f>
        <v/>
      </c>
      <c r="H165" s="147" t="str">
        <f ca="1">IF(ROWS($1:152)&gt;COUNT(Dong1),"",IF(OFFSET(TH!O$1,SMALL(Dong1,ROWS($1:152)),)="1111",OFFSET(TH!M$1,SMALL(Dong1,ROWS($1:152)),),0))</f>
        <v/>
      </c>
      <c r="I165" s="145">
        <f t="shared" ca="1" si="3"/>
        <v>0</v>
      </c>
      <c r="J165" s="150"/>
    </row>
    <row r="166" spans="1:10" s="135" customFormat="1" ht="19.5" customHeight="1">
      <c r="A166" s="144" t="str">
        <f ca="1">IF(ROWS($1:153)&gt;COUNT(Dong1),"",OFFSET(TH!C$1,SMALL(Dong1,ROWS($1:153)),))</f>
        <v/>
      </c>
      <c r="B166" s="144" t="str">
        <f ca="1">IF(ROWS($1:153)&gt;COUNT(Dong1),"",OFFSET(TH!E$1,SMALL(Dong1,ROWS($1:153)),))</f>
        <v/>
      </c>
      <c r="C166" s="145" t="str">
        <f ca="1">IF(ROWS($1:153)&gt;COUNT(Dong1),"",IF(OFFSET(TH!N$1,SMALL(Dong1,ROWS($1:153)),)="1111",OFFSET(TH!D$1,SMALL(Dong1,ROWS($1:153)),),""))</f>
        <v/>
      </c>
      <c r="D166" s="146" t="str">
        <f ca="1">IF(ROWS($1:153)&gt;COUNT(Dong1),"",IF(OFFSET(TH!O$1,SMALL(Dong1,ROWS($1:153)),)="1111",OFFSET(TH!D$1,SMALL(Dong1,ROWS($1:153)),),""))</f>
        <v/>
      </c>
      <c r="E166" s="331" t="str">
        <f ca="1">IF(ROWS($1:153)&gt;COUNT(Dong1),"",OFFSET(TH!F$1,SMALL(Dong1,ROWS($1:153)),))</f>
        <v/>
      </c>
      <c r="F166" s="148" t="str">
        <f ca="1">IF(ROWS($1:153)&gt;COUNT(Dong1),"",IF(OFFSET(TH!O$1,SMALL(Dong1,ROWS($1:153)),)="1111",OFFSET(TH!N$1,SMALL(Dong1,ROWS($1:153)),),OFFSET(TH!O$1,SMALL(Dong1,ROWS($1:153)),)))</f>
        <v/>
      </c>
      <c r="G166" s="149" t="str">
        <f ca="1">IF(ROWS($1:153)&gt;COUNT(Dong1),"",IF(OFFSET(TH!N$1,SMALL(Dong1,ROWS($1:153)),)="1111",OFFSET(TH!M$1,SMALL(Dong1,ROWS($1:153)),),0))</f>
        <v/>
      </c>
      <c r="H166" s="147" t="str">
        <f ca="1">IF(ROWS($1:153)&gt;COUNT(Dong1),"",IF(OFFSET(TH!O$1,SMALL(Dong1,ROWS($1:153)),)="1111",OFFSET(TH!M$1,SMALL(Dong1,ROWS($1:153)),),0))</f>
        <v/>
      </c>
      <c r="I166" s="145">
        <f t="shared" ca="1" si="3"/>
        <v>0</v>
      </c>
      <c r="J166" s="150"/>
    </row>
    <row r="167" spans="1:10" s="135" customFormat="1" ht="19.5" customHeight="1">
      <c r="A167" s="144" t="str">
        <f ca="1">IF(ROWS($1:154)&gt;COUNT(Dong1),"",OFFSET(TH!C$1,SMALL(Dong1,ROWS($1:154)),))</f>
        <v/>
      </c>
      <c r="B167" s="144" t="str">
        <f ca="1">IF(ROWS($1:154)&gt;COUNT(Dong1),"",OFFSET(TH!E$1,SMALL(Dong1,ROWS($1:154)),))</f>
        <v/>
      </c>
      <c r="C167" s="145" t="str">
        <f ca="1">IF(ROWS($1:154)&gt;COUNT(Dong1),"",IF(OFFSET(TH!N$1,SMALL(Dong1,ROWS($1:154)),)="1111",OFFSET(TH!D$1,SMALL(Dong1,ROWS($1:154)),),""))</f>
        <v/>
      </c>
      <c r="D167" s="146" t="str">
        <f ca="1">IF(ROWS($1:154)&gt;COUNT(Dong1),"",IF(OFFSET(TH!O$1,SMALL(Dong1,ROWS($1:154)),)="1111",OFFSET(TH!D$1,SMALL(Dong1,ROWS($1:154)),),""))</f>
        <v/>
      </c>
      <c r="E167" s="331" t="str">
        <f ca="1">IF(ROWS($1:154)&gt;COUNT(Dong1),"",OFFSET(TH!F$1,SMALL(Dong1,ROWS($1:154)),))</f>
        <v/>
      </c>
      <c r="F167" s="148" t="str">
        <f ca="1">IF(ROWS($1:154)&gt;COUNT(Dong1),"",IF(OFFSET(TH!O$1,SMALL(Dong1,ROWS($1:154)),)="1111",OFFSET(TH!N$1,SMALL(Dong1,ROWS($1:154)),),OFFSET(TH!O$1,SMALL(Dong1,ROWS($1:154)),)))</f>
        <v/>
      </c>
      <c r="G167" s="149" t="str">
        <f ca="1">IF(ROWS($1:154)&gt;COUNT(Dong1),"",IF(OFFSET(TH!N$1,SMALL(Dong1,ROWS($1:154)),)="1111",OFFSET(TH!M$1,SMALL(Dong1,ROWS($1:154)),),0))</f>
        <v/>
      </c>
      <c r="H167" s="147" t="str">
        <f ca="1">IF(ROWS($1:154)&gt;COUNT(Dong1),"",IF(OFFSET(TH!O$1,SMALL(Dong1,ROWS($1:154)),)="1111",OFFSET(TH!M$1,SMALL(Dong1,ROWS($1:154)),),0))</f>
        <v/>
      </c>
      <c r="I167" s="145">
        <f t="shared" ca="1" si="3"/>
        <v>0</v>
      </c>
      <c r="J167" s="150"/>
    </row>
    <row r="168" spans="1:10" s="135" customFormat="1" ht="19.5" customHeight="1">
      <c r="A168" s="144" t="str">
        <f ca="1">IF(ROWS($1:155)&gt;COUNT(Dong1),"",OFFSET(TH!C$1,SMALL(Dong1,ROWS($1:155)),))</f>
        <v/>
      </c>
      <c r="B168" s="144" t="str">
        <f ca="1">IF(ROWS($1:155)&gt;COUNT(Dong1),"",OFFSET(TH!E$1,SMALL(Dong1,ROWS($1:155)),))</f>
        <v/>
      </c>
      <c r="C168" s="145" t="str">
        <f ca="1">IF(ROWS($1:155)&gt;COUNT(Dong1),"",IF(OFFSET(TH!N$1,SMALL(Dong1,ROWS($1:155)),)="1111",OFFSET(TH!D$1,SMALL(Dong1,ROWS($1:155)),),""))</f>
        <v/>
      </c>
      <c r="D168" s="146" t="str">
        <f ca="1">IF(ROWS($1:155)&gt;COUNT(Dong1),"",IF(OFFSET(TH!O$1,SMALL(Dong1,ROWS($1:155)),)="1111",OFFSET(TH!D$1,SMALL(Dong1,ROWS($1:155)),),""))</f>
        <v/>
      </c>
      <c r="E168" s="331" t="str">
        <f ca="1">IF(ROWS($1:155)&gt;COUNT(Dong1),"",OFFSET(TH!F$1,SMALL(Dong1,ROWS($1:155)),))</f>
        <v/>
      </c>
      <c r="F168" s="148" t="str">
        <f ca="1">IF(ROWS($1:155)&gt;COUNT(Dong1),"",IF(OFFSET(TH!O$1,SMALL(Dong1,ROWS($1:155)),)="1111",OFFSET(TH!N$1,SMALL(Dong1,ROWS($1:155)),),OFFSET(TH!O$1,SMALL(Dong1,ROWS($1:155)),)))</f>
        <v/>
      </c>
      <c r="G168" s="149" t="str">
        <f ca="1">IF(ROWS($1:155)&gt;COUNT(Dong1),"",IF(OFFSET(TH!N$1,SMALL(Dong1,ROWS($1:155)),)="1111",OFFSET(TH!M$1,SMALL(Dong1,ROWS($1:155)),),0))</f>
        <v/>
      </c>
      <c r="H168" s="147" t="str">
        <f ca="1">IF(ROWS($1:155)&gt;COUNT(Dong1),"",IF(OFFSET(TH!O$1,SMALL(Dong1,ROWS($1:155)),)="1111",OFFSET(TH!M$1,SMALL(Dong1,ROWS($1:155)),),0))</f>
        <v/>
      </c>
      <c r="I168" s="145">
        <f t="shared" ca="1" si="3"/>
        <v>0</v>
      </c>
      <c r="J168" s="150"/>
    </row>
    <row r="169" spans="1:10" s="135" customFormat="1" ht="19.5" customHeight="1">
      <c r="A169" s="144" t="str">
        <f ca="1">IF(ROWS($1:156)&gt;COUNT(Dong1),"",OFFSET(TH!C$1,SMALL(Dong1,ROWS($1:156)),))</f>
        <v/>
      </c>
      <c r="B169" s="144" t="str">
        <f ca="1">IF(ROWS($1:156)&gt;COUNT(Dong1),"",OFFSET(TH!E$1,SMALL(Dong1,ROWS($1:156)),))</f>
        <v/>
      </c>
      <c r="C169" s="145" t="str">
        <f ca="1">IF(ROWS($1:156)&gt;COUNT(Dong1),"",IF(OFFSET(TH!N$1,SMALL(Dong1,ROWS($1:156)),)="1111",OFFSET(TH!D$1,SMALL(Dong1,ROWS($1:156)),),""))</f>
        <v/>
      </c>
      <c r="D169" s="146" t="str">
        <f ca="1">IF(ROWS($1:156)&gt;COUNT(Dong1),"",IF(OFFSET(TH!O$1,SMALL(Dong1,ROWS($1:156)),)="1111",OFFSET(TH!D$1,SMALL(Dong1,ROWS($1:156)),),""))</f>
        <v/>
      </c>
      <c r="E169" s="331" t="str">
        <f ca="1">IF(ROWS($1:156)&gt;COUNT(Dong1),"",OFFSET(TH!F$1,SMALL(Dong1,ROWS($1:156)),))</f>
        <v/>
      </c>
      <c r="F169" s="148" t="str">
        <f ca="1">IF(ROWS($1:156)&gt;COUNT(Dong1),"",IF(OFFSET(TH!O$1,SMALL(Dong1,ROWS($1:156)),)="1111",OFFSET(TH!N$1,SMALL(Dong1,ROWS($1:156)),),OFFSET(TH!O$1,SMALL(Dong1,ROWS($1:156)),)))</f>
        <v/>
      </c>
      <c r="G169" s="149" t="str">
        <f ca="1">IF(ROWS($1:156)&gt;COUNT(Dong1),"",IF(OFFSET(TH!N$1,SMALL(Dong1,ROWS($1:156)),)="1111",OFFSET(TH!M$1,SMALL(Dong1,ROWS($1:156)),),0))</f>
        <v/>
      </c>
      <c r="H169" s="147" t="str">
        <f ca="1">IF(ROWS($1:156)&gt;COUNT(Dong1),"",IF(OFFSET(TH!O$1,SMALL(Dong1,ROWS($1:156)),)="1111",OFFSET(TH!M$1,SMALL(Dong1,ROWS($1:156)),),0))</f>
        <v/>
      </c>
      <c r="I169" s="145">
        <f t="shared" ca="1" si="3"/>
        <v>0</v>
      </c>
      <c r="J169" s="150"/>
    </row>
    <row r="170" spans="1:10" s="135" customFormat="1" ht="19.5" customHeight="1">
      <c r="A170" s="144" t="str">
        <f ca="1">IF(ROWS($1:157)&gt;COUNT(Dong1),"",OFFSET(TH!C$1,SMALL(Dong1,ROWS($1:157)),))</f>
        <v/>
      </c>
      <c r="B170" s="144" t="str">
        <f ca="1">IF(ROWS($1:157)&gt;COUNT(Dong1),"",OFFSET(TH!E$1,SMALL(Dong1,ROWS($1:157)),))</f>
        <v/>
      </c>
      <c r="C170" s="145" t="str">
        <f ca="1">IF(ROWS($1:157)&gt;COUNT(Dong1),"",IF(OFFSET(TH!N$1,SMALL(Dong1,ROWS($1:157)),)="1111",OFFSET(TH!D$1,SMALL(Dong1,ROWS($1:157)),),""))</f>
        <v/>
      </c>
      <c r="D170" s="146" t="str">
        <f ca="1">IF(ROWS($1:157)&gt;COUNT(Dong1),"",IF(OFFSET(TH!O$1,SMALL(Dong1,ROWS($1:157)),)="1111",OFFSET(TH!D$1,SMALL(Dong1,ROWS($1:157)),),""))</f>
        <v/>
      </c>
      <c r="E170" s="331" t="str">
        <f ca="1">IF(ROWS($1:157)&gt;COUNT(Dong1),"",OFFSET(TH!F$1,SMALL(Dong1,ROWS($1:157)),))</f>
        <v/>
      </c>
      <c r="F170" s="148" t="str">
        <f ca="1">IF(ROWS($1:157)&gt;COUNT(Dong1),"",IF(OFFSET(TH!O$1,SMALL(Dong1,ROWS($1:157)),)="1111",OFFSET(TH!N$1,SMALL(Dong1,ROWS($1:157)),),OFFSET(TH!O$1,SMALL(Dong1,ROWS($1:157)),)))</f>
        <v/>
      </c>
      <c r="G170" s="149" t="str">
        <f ca="1">IF(ROWS($1:157)&gt;COUNT(Dong1),"",IF(OFFSET(TH!N$1,SMALL(Dong1,ROWS($1:157)),)="1111",OFFSET(TH!M$1,SMALL(Dong1,ROWS($1:157)),),0))</f>
        <v/>
      </c>
      <c r="H170" s="147" t="str">
        <f ca="1">IF(ROWS($1:157)&gt;COUNT(Dong1),"",IF(OFFSET(TH!O$1,SMALL(Dong1,ROWS($1:157)),)="1111",OFFSET(TH!M$1,SMALL(Dong1,ROWS($1:157)),),0))</f>
        <v/>
      </c>
      <c r="I170" s="145">
        <f t="shared" ca="1" si="3"/>
        <v>0</v>
      </c>
      <c r="J170" s="150"/>
    </row>
    <row r="171" spans="1:10" s="135" customFormat="1" ht="19.5" customHeight="1">
      <c r="A171" s="144" t="str">
        <f ca="1">IF(ROWS($1:158)&gt;COUNT(Dong1),"",OFFSET(TH!C$1,SMALL(Dong1,ROWS($1:158)),))</f>
        <v/>
      </c>
      <c r="B171" s="144" t="str">
        <f ca="1">IF(ROWS($1:158)&gt;COUNT(Dong1),"",OFFSET(TH!E$1,SMALL(Dong1,ROWS($1:158)),))</f>
        <v/>
      </c>
      <c r="C171" s="145" t="str">
        <f ca="1">IF(ROWS($1:158)&gt;COUNT(Dong1),"",IF(OFFSET(TH!N$1,SMALL(Dong1,ROWS($1:158)),)="1111",OFFSET(TH!D$1,SMALL(Dong1,ROWS($1:158)),),""))</f>
        <v/>
      </c>
      <c r="D171" s="146" t="str">
        <f ca="1">IF(ROWS($1:158)&gt;COUNT(Dong1),"",IF(OFFSET(TH!O$1,SMALL(Dong1,ROWS($1:158)),)="1111",OFFSET(TH!D$1,SMALL(Dong1,ROWS($1:158)),),""))</f>
        <v/>
      </c>
      <c r="E171" s="331" t="str">
        <f ca="1">IF(ROWS($1:158)&gt;COUNT(Dong1),"",OFFSET(TH!F$1,SMALL(Dong1,ROWS($1:158)),))</f>
        <v/>
      </c>
      <c r="F171" s="148" t="str">
        <f ca="1">IF(ROWS($1:158)&gt;COUNT(Dong1),"",IF(OFFSET(TH!O$1,SMALL(Dong1,ROWS($1:158)),)="1111",OFFSET(TH!N$1,SMALL(Dong1,ROWS($1:158)),),OFFSET(TH!O$1,SMALL(Dong1,ROWS($1:158)),)))</f>
        <v/>
      </c>
      <c r="G171" s="149" t="str">
        <f ca="1">IF(ROWS($1:158)&gt;COUNT(Dong1),"",IF(OFFSET(TH!N$1,SMALL(Dong1,ROWS($1:158)),)="1111",OFFSET(TH!M$1,SMALL(Dong1,ROWS($1:158)),),0))</f>
        <v/>
      </c>
      <c r="H171" s="147" t="str">
        <f ca="1">IF(ROWS($1:158)&gt;COUNT(Dong1),"",IF(OFFSET(TH!O$1,SMALL(Dong1,ROWS($1:158)),)="1111",OFFSET(TH!M$1,SMALL(Dong1,ROWS($1:158)),),0))</f>
        <v/>
      </c>
      <c r="I171" s="145">
        <f t="shared" ca="1" si="3"/>
        <v>0</v>
      </c>
      <c r="J171" s="150"/>
    </row>
    <row r="172" spans="1:10" s="135" customFormat="1" ht="19.5" customHeight="1">
      <c r="A172" s="144" t="str">
        <f ca="1">IF(ROWS($1:159)&gt;COUNT(Dong1),"",OFFSET(TH!C$1,SMALL(Dong1,ROWS($1:159)),))</f>
        <v/>
      </c>
      <c r="B172" s="144" t="str">
        <f ca="1">IF(ROWS($1:159)&gt;COUNT(Dong1),"",OFFSET(TH!E$1,SMALL(Dong1,ROWS($1:159)),))</f>
        <v/>
      </c>
      <c r="C172" s="145" t="str">
        <f ca="1">IF(ROWS($1:159)&gt;COUNT(Dong1),"",IF(OFFSET(TH!N$1,SMALL(Dong1,ROWS($1:159)),)="1111",OFFSET(TH!D$1,SMALL(Dong1,ROWS($1:159)),),""))</f>
        <v/>
      </c>
      <c r="D172" s="146" t="str">
        <f ca="1">IF(ROWS($1:159)&gt;COUNT(Dong1),"",IF(OFFSET(TH!O$1,SMALL(Dong1,ROWS($1:159)),)="1111",OFFSET(TH!D$1,SMALL(Dong1,ROWS($1:159)),),""))</f>
        <v/>
      </c>
      <c r="E172" s="331" t="str">
        <f ca="1">IF(ROWS($1:159)&gt;COUNT(Dong1),"",OFFSET(TH!F$1,SMALL(Dong1,ROWS($1:159)),))</f>
        <v/>
      </c>
      <c r="F172" s="148" t="str">
        <f ca="1">IF(ROWS($1:159)&gt;COUNT(Dong1),"",IF(OFFSET(TH!O$1,SMALL(Dong1,ROWS($1:159)),)="1111",OFFSET(TH!N$1,SMALL(Dong1,ROWS($1:159)),),OFFSET(TH!O$1,SMALL(Dong1,ROWS($1:159)),)))</f>
        <v/>
      </c>
      <c r="G172" s="149" t="str">
        <f ca="1">IF(ROWS($1:159)&gt;COUNT(Dong1),"",IF(OFFSET(TH!N$1,SMALL(Dong1,ROWS($1:159)),)="1111",OFFSET(TH!M$1,SMALL(Dong1,ROWS($1:159)),),0))</f>
        <v/>
      </c>
      <c r="H172" s="147" t="str">
        <f ca="1">IF(ROWS($1:159)&gt;COUNT(Dong1),"",IF(OFFSET(TH!O$1,SMALL(Dong1,ROWS($1:159)),)="1111",OFFSET(TH!M$1,SMALL(Dong1,ROWS($1:159)),),0))</f>
        <v/>
      </c>
      <c r="I172" s="145">
        <f t="shared" ca="1" si="3"/>
        <v>0</v>
      </c>
      <c r="J172" s="150"/>
    </row>
    <row r="173" spans="1:10" s="135" customFormat="1" ht="19.5" customHeight="1">
      <c r="A173" s="144" t="str">
        <f ca="1">IF(ROWS($1:160)&gt;COUNT(Dong1),"",OFFSET(TH!C$1,SMALL(Dong1,ROWS($1:160)),))</f>
        <v/>
      </c>
      <c r="B173" s="144" t="str">
        <f ca="1">IF(ROWS($1:160)&gt;COUNT(Dong1),"",OFFSET(TH!E$1,SMALL(Dong1,ROWS($1:160)),))</f>
        <v/>
      </c>
      <c r="C173" s="145" t="str">
        <f ca="1">IF(ROWS($1:160)&gt;COUNT(Dong1),"",IF(OFFSET(TH!N$1,SMALL(Dong1,ROWS($1:160)),)="1111",OFFSET(TH!D$1,SMALL(Dong1,ROWS($1:160)),),""))</f>
        <v/>
      </c>
      <c r="D173" s="146" t="str">
        <f ca="1">IF(ROWS($1:160)&gt;COUNT(Dong1),"",IF(OFFSET(TH!O$1,SMALL(Dong1,ROWS($1:160)),)="1111",OFFSET(TH!D$1,SMALL(Dong1,ROWS($1:160)),),""))</f>
        <v/>
      </c>
      <c r="E173" s="331" t="str">
        <f ca="1">IF(ROWS($1:160)&gt;COUNT(Dong1),"",OFFSET(TH!F$1,SMALL(Dong1,ROWS($1:160)),))</f>
        <v/>
      </c>
      <c r="F173" s="148" t="str">
        <f ca="1">IF(ROWS($1:160)&gt;COUNT(Dong1),"",IF(OFFSET(TH!O$1,SMALL(Dong1,ROWS($1:160)),)="1111",OFFSET(TH!N$1,SMALL(Dong1,ROWS($1:160)),),OFFSET(TH!O$1,SMALL(Dong1,ROWS($1:160)),)))</f>
        <v/>
      </c>
      <c r="G173" s="149" t="str">
        <f ca="1">IF(ROWS($1:160)&gt;COUNT(Dong1),"",IF(OFFSET(TH!N$1,SMALL(Dong1,ROWS($1:160)),)="1111",OFFSET(TH!M$1,SMALL(Dong1,ROWS($1:160)),),0))</f>
        <v/>
      </c>
      <c r="H173" s="147" t="str">
        <f ca="1">IF(ROWS($1:160)&gt;COUNT(Dong1),"",IF(OFFSET(TH!O$1,SMALL(Dong1,ROWS($1:160)),)="1111",OFFSET(TH!M$1,SMALL(Dong1,ROWS($1:160)),),0))</f>
        <v/>
      </c>
      <c r="I173" s="145">
        <f t="shared" ca="1" si="3"/>
        <v>0</v>
      </c>
      <c r="J173" s="150"/>
    </row>
    <row r="174" spans="1:10" s="135" customFormat="1" ht="19.5" customHeight="1">
      <c r="A174" s="144" t="str">
        <f ca="1">IF(ROWS($1:161)&gt;COUNT(Dong1),"",OFFSET(TH!C$1,SMALL(Dong1,ROWS($1:161)),))</f>
        <v/>
      </c>
      <c r="B174" s="144" t="str">
        <f ca="1">IF(ROWS($1:161)&gt;COUNT(Dong1),"",OFFSET(TH!E$1,SMALL(Dong1,ROWS($1:161)),))</f>
        <v/>
      </c>
      <c r="C174" s="145" t="str">
        <f ca="1">IF(ROWS($1:161)&gt;COUNT(Dong1),"",IF(OFFSET(TH!N$1,SMALL(Dong1,ROWS($1:161)),)="1111",OFFSET(TH!D$1,SMALL(Dong1,ROWS($1:161)),),""))</f>
        <v/>
      </c>
      <c r="D174" s="146" t="str">
        <f ca="1">IF(ROWS($1:161)&gt;COUNT(Dong1),"",IF(OFFSET(TH!O$1,SMALL(Dong1,ROWS($1:161)),)="1111",OFFSET(TH!D$1,SMALL(Dong1,ROWS($1:161)),),""))</f>
        <v/>
      </c>
      <c r="E174" s="331" t="str">
        <f ca="1">IF(ROWS($1:161)&gt;COUNT(Dong1),"",OFFSET(TH!F$1,SMALL(Dong1,ROWS($1:161)),))</f>
        <v/>
      </c>
      <c r="F174" s="148" t="str">
        <f ca="1">IF(ROWS($1:161)&gt;COUNT(Dong1),"",IF(OFFSET(TH!O$1,SMALL(Dong1,ROWS($1:161)),)="1111",OFFSET(TH!N$1,SMALL(Dong1,ROWS($1:161)),),OFFSET(TH!O$1,SMALL(Dong1,ROWS($1:161)),)))</f>
        <v/>
      </c>
      <c r="G174" s="149" t="str">
        <f ca="1">IF(ROWS($1:161)&gt;COUNT(Dong1),"",IF(OFFSET(TH!N$1,SMALL(Dong1,ROWS($1:161)),)="1111",OFFSET(TH!M$1,SMALL(Dong1,ROWS($1:161)),),0))</f>
        <v/>
      </c>
      <c r="H174" s="147" t="str">
        <f ca="1">IF(ROWS($1:161)&gt;COUNT(Dong1),"",IF(OFFSET(TH!O$1,SMALL(Dong1,ROWS($1:161)),)="1111",OFFSET(TH!M$1,SMALL(Dong1,ROWS($1:161)),),0))</f>
        <v/>
      </c>
      <c r="I174" s="145">
        <f t="shared" ca="1" si="3"/>
        <v>0</v>
      </c>
      <c r="J174" s="150"/>
    </row>
    <row r="175" spans="1:10" s="135" customFormat="1" ht="19.5" customHeight="1">
      <c r="A175" s="144" t="str">
        <f ca="1">IF(ROWS($1:162)&gt;COUNT(Dong1),"",OFFSET(TH!C$1,SMALL(Dong1,ROWS($1:162)),))</f>
        <v/>
      </c>
      <c r="B175" s="144" t="str">
        <f ca="1">IF(ROWS($1:162)&gt;COUNT(Dong1),"",OFFSET(TH!E$1,SMALL(Dong1,ROWS($1:162)),))</f>
        <v/>
      </c>
      <c r="C175" s="145" t="str">
        <f ca="1">IF(ROWS($1:162)&gt;COUNT(Dong1),"",IF(OFFSET(TH!N$1,SMALL(Dong1,ROWS($1:162)),)="1111",OFFSET(TH!D$1,SMALL(Dong1,ROWS($1:162)),),""))</f>
        <v/>
      </c>
      <c r="D175" s="146" t="str">
        <f ca="1">IF(ROWS($1:162)&gt;COUNT(Dong1),"",IF(OFFSET(TH!O$1,SMALL(Dong1,ROWS($1:162)),)="1111",OFFSET(TH!D$1,SMALL(Dong1,ROWS($1:162)),),""))</f>
        <v/>
      </c>
      <c r="E175" s="331" t="str">
        <f ca="1">IF(ROWS($1:162)&gt;COUNT(Dong1),"",OFFSET(TH!F$1,SMALL(Dong1,ROWS($1:162)),))</f>
        <v/>
      </c>
      <c r="F175" s="148" t="str">
        <f ca="1">IF(ROWS($1:162)&gt;COUNT(Dong1),"",IF(OFFSET(TH!O$1,SMALL(Dong1,ROWS($1:162)),)="1111",OFFSET(TH!N$1,SMALL(Dong1,ROWS($1:162)),),OFFSET(TH!O$1,SMALL(Dong1,ROWS($1:162)),)))</f>
        <v/>
      </c>
      <c r="G175" s="149" t="str">
        <f ca="1">IF(ROWS($1:162)&gt;COUNT(Dong1),"",IF(OFFSET(TH!N$1,SMALL(Dong1,ROWS($1:162)),)="1111",OFFSET(TH!M$1,SMALL(Dong1,ROWS($1:162)),),0))</f>
        <v/>
      </c>
      <c r="H175" s="147" t="str">
        <f ca="1">IF(ROWS($1:162)&gt;COUNT(Dong1),"",IF(OFFSET(TH!O$1,SMALL(Dong1,ROWS($1:162)),)="1111",OFFSET(TH!M$1,SMALL(Dong1,ROWS($1:162)),),0))</f>
        <v/>
      </c>
      <c r="I175" s="145">
        <f t="shared" ca="1" si="3"/>
        <v>0</v>
      </c>
      <c r="J175" s="150"/>
    </row>
    <row r="176" spans="1:10" s="135" customFormat="1" ht="19.5" customHeight="1">
      <c r="A176" s="144" t="str">
        <f ca="1">IF(ROWS($1:163)&gt;COUNT(Dong1),"",OFFSET(TH!C$1,SMALL(Dong1,ROWS($1:163)),))</f>
        <v/>
      </c>
      <c r="B176" s="144" t="str">
        <f ca="1">IF(ROWS($1:163)&gt;COUNT(Dong1),"",OFFSET(TH!E$1,SMALL(Dong1,ROWS($1:163)),))</f>
        <v/>
      </c>
      <c r="C176" s="145" t="str">
        <f ca="1">IF(ROWS($1:163)&gt;COUNT(Dong1),"",IF(OFFSET(TH!N$1,SMALL(Dong1,ROWS($1:163)),)="1111",OFFSET(TH!D$1,SMALL(Dong1,ROWS($1:163)),),""))</f>
        <v/>
      </c>
      <c r="D176" s="146" t="str">
        <f ca="1">IF(ROWS($1:163)&gt;COUNT(Dong1),"",IF(OFFSET(TH!O$1,SMALL(Dong1,ROWS($1:163)),)="1111",OFFSET(TH!D$1,SMALL(Dong1,ROWS($1:163)),),""))</f>
        <v/>
      </c>
      <c r="E176" s="331" t="str">
        <f ca="1">IF(ROWS($1:163)&gt;COUNT(Dong1),"",OFFSET(TH!F$1,SMALL(Dong1,ROWS($1:163)),))</f>
        <v/>
      </c>
      <c r="F176" s="148" t="str">
        <f ca="1">IF(ROWS($1:163)&gt;COUNT(Dong1),"",IF(OFFSET(TH!O$1,SMALL(Dong1,ROWS($1:163)),)="1111",OFFSET(TH!N$1,SMALL(Dong1,ROWS($1:163)),),OFFSET(TH!O$1,SMALL(Dong1,ROWS($1:163)),)))</f>
        <v/>
      </c>
      <c r="G176" s="149" t="str">
        <f ca="1">IF(ROWS($1:163)&gt;COUNT(Dong1),"",IF(OFFSET(TH!N$1,SMALL(Dong1,ROWS($1:163)),)="1111",OFFSET(TH!M$1,SMALL(Dong1,ROWS($1:163)),),0))</f>
        <v/>
      </c>
      <c r="H176" s="147" t="str">
        <f ca="1">IF(ROWS($1:163)&gt;COUNT(Dong1),"",IF(OFFSET(TH!O$1,SMALL(Dong1,ROWS($1:163)),)="1111",OFFSET(TH!M$1,SMALL(Dong1,ROWS($1:163)),),0))</f>
        <v/>
      </c>
      <c r="I176" s="145">
        <f t="shared" ca="1" si="3"/>
        <v>0</v>
      </c>
      <c r="J176" s="150"/>
    </row>
    <row r="177" spans="1:12" s="135" customFormat="1" ht="19.5" customHeight="1">
      <c r="A177" s="144" t="str">
        <f ca="1">IF(ROWS($1:164)&gt;COUNT(Dong1),"",OFFSET(TH!C$1,SMALL(Dong1,ROWS($1:164)),))</f>
        <v/>
      </c>
      <c r="B177" s="144" t="str">
        <f ca="1">IF(ROWS($1:164)&gt;COUNT(Dong1),"",OFFSET(TH!E$1,SMALL(Dong1,ROWS($1:164)),))</f>
        <v/>
      </c>
      <c r="C177" s="145" t="str">
        <f ca="1">IF(ROWS($1:164)&gt;COUNT(Dong1),"",IF(OFFSET(TH!N$1,SMALL(Dong1,ROWS($1:164)),)="1111",OFFSET(TH!D$1,SMALL(Dong1,ROWS($1:164)),),""))</f>
        <v/>
      </c>
      <c r="D177" s="146" t="str">
        <f ca="1">IF(ROWS($1:164)&gt;COUNT(Dong1),"",IF(OFFSET(TH!O$1,SMALL(Dong1,ROWS($1:164)),)="1111",OFFSET(TH!D$1,SMALL(Dong1,ROWS($1:164)),),""))</f>
        <v/>
      </c>
      <c r="E177" s="331" t="str">
        <f ca="1">IF(ROWS($1:164)&gt;COUNT(Dong1),"",OFFSET(TH!F$1,SMALL(Dong1,ROWS($1:164)),))</f>
        <v/>
      </c>
      <c r="F177" s="148" t="str">
        <f ca="1">IF(ROWS($1:164)&gt;COUNT(Dong1),"",IF(OFFSET(TH!O$1,SMALL(Dong1,ROWS($1:164)),)="1111",OFFSET(TH!N$1,SMALL(Dong1,ROWS($1:164)),),OFFSET(TH!O$1,SMALL(Dong1,ROWS($1:164)),)))</f>
        <v/>
      </c>
      <c r="G177" s="149" t="str">
        <f ca="1">IF(ROWS($1:164)&gt;COUNT(Dong1),"",IF(OFFSET(TH!N$1,SMALL(Dong1,ROWS($1:164)),)="1111",OFFSET(TH!M$1,SMALL(Dong1,ROWS($1:164)),),0))</f>
        <v/>
      </c>
      <c r="H177" s="147" t="str">
        <f ca="1">IF(ROWS($1:164)&gt;COUNT(Dong1),"",IF(OFFSET(TH!O$1,SMALL(Dong1,ROWS($1:164)),)="1111",OFFSET(TH!M$1,SMALL(Dong1,ROWS($1:164)),),0))</f>
        <v/>
      </c>
      <c r="I177" s="145">
        <f t="shared" ca="1" si="3"/>
        <v>0</v>
      </c>
      <c r="J177" s="150"/>
    </row>
    <row r="178" spans="1:12" s="135" customFormat="1" ht="19.5" customHeight="1">
      <c r="A178" s="144" t="str">
        <f ca="1">IF(ROWS($1:165)&gt;COUNT(Dong1),"",OFFSET(TH!C$1,SMALL(Dong1,ROWS($1:165)),))</f>
        <v/>
      </c>
      <c r="B178" s="144" t="str">
        <f ca="1">IF(ROWS($1:165)&gt;COUNT(Dong1),"",OFFSET(TH!E$1,SMALL(Dong1,ROWS($1:165)),))</f>
        <v/>
      </c>
      <c r="C178" s="145" t="str">
        <f ca="1">IF(ROWS($1:165)&gt;COUNT(Dong1),"",IF(OFFSET(TH!N$1,SMALL(Dong1,ROWS($1:165)),)="1111",OFFSET(TH!D$1,SMALL(Dong1,ROWS($1:165)),),""))</f>
        <v/>
      </c>
      <c r="D178" s="146" t="str">
        <f ca="1">IF(ROWS($1:165)&gt;COUNT(Dong1),"",IF(OFFSET(TH!O$1,SMALL(Dong1,ROWS($1:165)),)="1111",OFFSET(TH!D$1,SMALL(Dong1,ROWS($1:165)),),""))</f>
        <v/>
      </c>
      <c r="E178" s="331" t="str">
        <f ca="1">IF(ROWS($1:165)&gt;COUNT(Dong1),"",OFFSET(TH!F$1,SMALL(Dong1,ROWS($1:165)),))</f>
        <v/>
      </c>
      <c r="F178" s="148" t="str">
        <f ca="1">IF(ROWS($1:165)&gt;COUNT(Dong1),"",IF(OFFSET(TH!O$1,SMALL(Dong1,ROWS($1:165)),)="1111",OFFSET(TH!N$1,SMALL(Dong1,ROWS($1:165)),),OFFSET(TH!O$1,SMALL(Dong1,ROWS($1:165)),)))</f>
        <v/>
      </c>
      <c r="G178" s="149" t="str">
        <f ca="1">IF(ROWS($1:165)&gt;COUNT(Dong1),"",IF(OFFSET(TH!N$1,SMALL(Dong1,ROWS($1:165)),)="1111",OFFSET(TH!M$1,SMALL(Dong1,ROWS($1:165)),),0))</f>
        <v/>
      </c>
      <c r="H178" s="147" t="str">
        <f ca="1">IF(ROWS($1:165)&gt;COUNT(Dong1),"",IF(OFFSET(TH!O$1,SMALL(Dong1,ROWS($1:165)),)="1111",OFFSET(TH!M$1,SMALL(Dong1,ROWS($1:165)),),0))</f>
        <v/>
      </c>
      <c r="I178" s="145">
        <f t="shared" ca="1" si="3"/>
        <v>0</v>
      </c>
      <c r="J178" s="150"/>
    </row>
    <row r="179" spans="1:12" s="140" customFormat="1" ht="19.5" customHeight="1">
      <c r="A179" s="151"/>
      <c r="B179" s="151"/>
      <c r="C179" s="151"/>
      <c r="D179" s="151"/>
      <c r="E179" s="151" t="s">
        <v>157</v>
      </c>
      <c r="F179" s="152" t="s">
        <v>21</v>
      </c>
      <c r="G179" s="151">
        <f ca="1">SUM(G14:G178)</f>
        <v>57482209300</v>
      </c>
      <c r="H179" s="151">
        <f ca="1">SUM(H14:H178)</f>
        <v>57360256348</v>
      </c>
      <c r="I179" s="152" t="s">
        <v>21</v>
      </c>
      <c r="J179" s="152" t="s">
        <v>21</v>
      </c>
    </row>
    <row r="180" spans="1:12" s="140" customFormat="1" ht="19.5" customHeight="1">
      <c r="A180" s="153"/>
      <c r="B180" s="153"/>
      <c r="C180" s="153"/>
      <c r="D180" s="153"/>
      <c r="E180" s="153" t="s">
        <v>158</v>
      </c>
      <c r="F180" s="154" t="s">
        <v>21</v>
      </c>
      <c r="G180" s="154" t="s">
        <v>21</v>
      </c>
      <c r="H180" s="154" t="s">
        <v>21</v>
      </c>
      <c r="I180" s="155">
        <f ca="1">I13+G179-H179</f>
        <v>14404359392</v>
      </c>
      <c r="J180" s="154" t="s">
        <v>21</v>
      </c>
    </row>
    <row r="181" spans="1:12" s="135" customFormat="1" ht="15">
      <c r="L181" s="367" t="s">
        <v>247</v>
      </c>
    </row>
    <row r="182" spans="1:12" s="135" customFormat="1" ht="15">
      <c r="A182" s="156" t="s">
        <v>231</v>
      </c>
      <c r="L182" s="367" t="s">
        <v>248</v>
      </c>
    </row>
    <row r="183" spans="1:12" s="135" customFormat="1" ht="15">
      <c r="A183" s="205" t="str">
        <f ca="1">"- Ngày mở sổ: "&amp;DAY($A$14)&amp;"/"&amp;MONTH($A$14)&amp;"/ 2015"</f>
        <v>- Ngày mở sổ: 1/12/ 2015</v>
      </c>
      <c r="L183" s="367" t="s">
        <v>159</v>
      </c>
    </row>
    <row r="184" spans="1:12" s="135" customFormat="1" ht="15">
      <c r="I184" s="291" t="str">
        <f>"Ngày "&amp;IF(OR($L$11=4,$L$11=6,$L$11=9,$L$11=11),"30",IF($L$11=2,"28","31"))&amp;" tháng "&amp;$L$11&amp;"  năm  2016 "</f>
        <v xml:space="preserve">Ngày 31 tháng 12  năm  2016 </v>
      </c>
      <c r="L184" s="367" t="s">
        <v>231</v>
      </c>
    </row>
    <row r="185" spans="1:12" s="157" customFormat="1" ht="14.25">
      <c r="C185" s="157" t="s">
        <v>11</v>
      </c>
      <c r="E185" s="157" t="s">
        <v>12</v>
      </c>
      <c r="I185" s="157" t="s">
        <v>130</v>
      </c>
    </row>
    <row r="186" spans="1:12" s="158" customFormat="1" ht="15">
      <c r="C186" s="158" t="s">
        <v>13</v>
      </c>
      <c r="E186" s="158" t="s">
        <v>13</v>
      </c>
      <c r="I186" s="158" t="s">
        <v>160</v>
      </c>
    </row>
    <row r="187" spans="1:12" s="158" customFormat="1" ht="15"/>
    <row r="188" spans="1:12" s="158" customFormat="1" ht="15"/>
    <row r="189" spans="1:12" s="158" customFormat="1" ht="15"/>
    <row r="190" spans="1:12" s="158" customFormat="1" ht="15"/>
    <row r="191" spans="1:12" s="135" customFormat="1" ht="15"/>
    <row r="192" spans="1:12" s="135" customFormat="1" ht="15"/>
    <row r="193" spans="3:9" s="135" customFormat="1" ht="15.75">
      <c r="C193" s="329" t="s">
        <v>226</v>
      </c>
      <c r="I193" s="330" t="s">
        <v>124</v>
      </c>
    </row>
  </sheetData>
  <autoFilter ref="A12:J180"/>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78">
    <cfRule type="expression" dxfId="5"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27"/>
  <sheetViews>
    <sheetView workbookViewId="0">
      <pane ySplit="27" topLeftCell="A28" activePane="bottomLeft" state="frozen"/>
      <selection activeCell="P41" sqref="P41"/>
      <selection pane="bottomLeft" activeCell="P41" sqref="P41"/>
    </sheetView>
  </sheetViews>
  <sheetFormatPr defaultRowHeight="12.75"/>
  <cols>
    <col min="1" max="1" width="3.7109375" customWidth="1"/>
    <col min="2" max="2" width="5.28515625" customWidth="1"/>
    <col min="3" max="3" width="15.140625" customWidth="1"/>
    <col min="4" max="4" width="16.5703125"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3.140625" customWidth="1"/>
    <col min="15" max="15" width="6.425781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3" ht="13.5" customHeight="1">
      <c r="A1" s="84"/>
      <c r="B1" s="82" t="s">
        <v>178</v>
      </c>
      <c r="C1" s="93"/>
      <c r="D1" s="83"/>
      <c r="E1" s="83"/>
      <c r="F1" s="83"/>
      <c r="G1" s="83"/>
      <c r="H1" s="84"/>
      <c r="I1" s="85"/>
      <c r="J1" s="84"/>
      <c r="K1" s="84"/>
      <c r="L1" s="86" t="str">
        <f>+IF(LEFT($U$4,1)="T","Mẫu số 01 - TT","Mẫu số 02 - TT")</f>
        <v>Mẫu số 02 - TT</v>
      </c>
      <c r="M1" s="84"/>
      <c r="N1" s="87"/>
      <c r="O1" s="87"/>
      <c r="P1" s="88"/>
      <c r="Q1" s="89"/>
      <c r="R1" s="89"/>
      <c r="S1" s="89"/>
      <c r="T1" s="89"/>
      <c r="U1" s="89"/>
      <c r="V1" s="90"/>
      <c r="W1" s="89"/>
    </row>
    <row r="2" spans="1:23" ht="13.5" customHeight="1">
      <c r="A2" s="84"/>
      <c r="B2" s="93" t="s">
        <v>308</v>
      </c>
      <c r="C2" s="93"/>
      <c r="D2" s="83"/>
      <c r="E2" s="83"/>
      <c r="F2" s="83"/>
      <c r="G2" s="83"/>
      <c r="H2" s="85"/>
      <c r="I2" s="85"/>
      <c r="J2" s="84"/>
      <c r="K2" s="84"/>
      <c r="L2" s="94" t="str">
        <f>IF($Q$4&gt;=2015,"(Ban hành theo Thông tư số 200/2014/TT-BTC ","(Ban hành kèm theo QĐ 48/2006/QĐ-BTC")</f>
        <v>(Ban hành kèm theo QĐ 48/2006/QĐ-BTC</v>
      </c>
      <c r="M2" s="84"/>
      <c r="N2" s="95"/>
      <c r="O2" s="95"/>
      <c r="P2" s="88"/>
      <c r="Q2" s="89"/>
      <c r="R2" s="89"/>
      <c r="S2" s="89"/>
      <c r="T2" s="89"/>
      <c r="U2" s="89"/>
      <c r="V2" s="96"/>
      <c r="W2" s="97" t="s">
        <v>125</v>
      </c>
    </row>
    <row r="3" spans="1:23" ht="13.5" customHeight="1" thickBot="1">
      <c r="A3" s="84"/>
      <c r="B3" s="93"/>
      <c r="C3" s="83"/>
      <c r="D3" s="83"/>
      <c r="E3" s="83"/>
      <c r="F3" s="84"/>
      <c r="G3" s="83"/>
      <c r="H3" s="84"/>
      <c r="I3" s="98"/>
      <c r="J3" s="84"/>
      <c r="K3" s="84"/>
      <c r="L3" s="94" t="str">
        <f>IF($Q$4=2015,"Ngày 22/12/2014 của Bộ Tài chính)","ngày 24/09/2006 của Bộ trưởng BTC)")</f>
        <v>ngày 24/09/2006 của Bộ trưởng BTC)</v>
      </c>
      <c r="M3" s="84"/>
      <c r="N3" s="95"/>
      <c r="O3" s="95"/>
      <c r="P3" s="99"/>
      <c r="Q3" s="747"/>
      <c r="R3" s="297"/>
      <c r="S3" s="298" t="s">
        <v>430</v>
      </c>
      <c r="T3" s="297"/>
      <c r="U3" s="298" t="s">
        <v>126</v>
      </c>
      <c r="V3" s="96"/>
      <c r="W3" s="97" t="s">
        <v>126</v>
      </c>
    </row>
    <row r="4" spans="1:23" ht="22.5" thickBot="1">
      <c r="A4" s="84"/>
      <c r="B4" s="93"/>
      <c r="C4" s="83"/>
      <c r="D4" s="83"/>
      <c r="E4" s="83"/>
      <c r="F4" s="84"/>
      <c r="G4" s="100"/>
      <c r="H4" s="101" t="str">
        <f>IF(LEFT($U$4,1)="T","PHIẾU THU","PHIẾU CHI")</f>
        <v>PHIẾU CHI</v>
      </c>
      <c r="I4" s="84"/>
      <c r="J4" s="100"/>
      <c r="K4" s="102"/>
      <c r="L4" s="84"/>
      <c r="M4" s="102"/>
      <c r="N4" s="102"/>
      <c r="O4" s="102"/>
      <c r="P4" s="103"/>
      <c r="Q4" s="748"/>
      <c r="R4" s="104"/>
      <c r="S4" s="201">
        <v>3</v>
      </c>
      <c r="T4" s="104"/>
      <c r="U4" s="749" t="s">
        <v>4</v>
      </c>
      <c r="V4" s="130"/>
      <c r="W4" s="750">
        <v>42</v>
      </c>
    </row>
    <row r="5" spans="1:23" ht="15">
      <c r="A5" s="84"/>
      <c r="B5" s="93"/>
      <c r="C5" s="83"/>
      <c r="D5" s="83"/>
      <c r="E5" s="83"/>
      <c r="F5" s="84"/>
      <c r="G5" s="100"/>
      <c r="H5" s="105" t="str">
        <f>IF(ISNA(VLOOKUP($M$7,TM,3,0)),"","Ngày  "&amp;DAY(VLOOKUP($M$7,TM,3,0))&amp;"  tháng  "&amp;MONTH(VLOOKUP($M$7,TM,3,0))&amp;"  năm  "&amp;YEAR(VLOOKUP($M$7,TM,3,0)))</f>
        <v>Ngày  31  tháng  3  năm  2017</v>
      </c>
      <c r="I5" s="84"/>
      <c r="J5" s="100"/>
      <c r="K5" s="102"/>
      <c r="L5" s="84"/>
      <c r="M5" s="102"/>
      <c r="N5" s="102"/>
      <c r="O5" s="102"/>
      <c r="P5" s="103"/>
      <c r="Q5" s="747"/>
      <c r="R5" s="84"/>
      <c r="S5" s="84"/>
      <c r="T5" s="84"/>
      <c r="U5" s="84"/>
      <c r="V5" s="92"/>
      <c r="W5" s="97"/>
    </row>
    <row r="6" spans="1:23" ht="13.5">
      <c r="A6" s="108"/>
      <c r="B6" s="106"/>
      <c r="C6" s="107"/>
      <c r="D6" s="107"/>
      <c r="E6" s="107"/>
      <c r="F6" s="108"/>
      <c r="G6" s="109"/>
      <c r="H6" s="109"/>
      <c r="I6" s="109"/>
      <c r="J6" s="108"/>
      <c r="K6" s="108"/>
      <c r="L6" s="110" t="str">
        <f>"Quyển số: 0"&amp;$S$4</f>
        <v>Quyển số: 03</v>
      </c>
      <c r="M6" s="108"/>
      <c r="N6" s="108"/>
      <c r="O6" s="111"/>
      <c r="P6" s="112"/>
      <c r="Q6" s="108"/>
      <c r="R6" s="108"/>
      <c r="S6" s="108"/>
      <c r="T6" s="108"/>
      <c r="U6" s="108"/>
      <c r="V6" s="113"/>
      <c r="W6" s="97"/>
    </row>
    <row r="7" spans="1:23" ht="13.5" customHeight="1">
      <c r="A7" s="108"/>
      <c r="B7" s="108"/>
      <c r="C7" s="108"/>
      <c r="D7" s="108"/>
      <c r="E7" s="106"/>
      <c r="F7" s="109"/>
      <c r="G7" s="109"/>
      <c r="H7" s="109"/>
      <c r="I7" s="109"/>
      <c r="J7" s="108"/>
      <c r="K7" s="108"/>
      <c r="L7" s="114" t="str">
        <f>"Số :    "</f>
        <v xml:space="preserve">Số :    </v>
      </c>
      <c r="M7" s="115" t="str">
        <f>$U$4&amp;IF($W$4&gt;=10,$W$4,"0"&amp;$W$4)</f>
        <v>C42</v>
      </c>
      <c r="N7" s="111"/>
      <c r="O7" s="111"/>
      <c r="P7" s="112"/>
      <c r="Q7" s="108"/>
      <c r="R7" s="108"/>
      <c r="S7" s="108"/>
      <c r="T7" s="108"/>
      <c r="U7" s="108"/>
      <c r="V7" s="108"/>
      <c r="W7" s="108"/>
    </row>
    <row r="8" spans="1:23" ht="13.5">
      <c r="A8" s="108"/>
      <c r="B8" s="108"/>
      <c r="C8" s="108"/>
      <c r="D8" s="108"/>
      <c r="E8" s="106"/>
      <c r="F8" s="106"/>
      <c r="G8" s="106"/>
      <c r="H8" s="106"/>
      <c r="I8" s="106"/>
      <c r="J8" s="108"/>
      <c r="K8" s="116"/>
      <c r="L8" s="110" t="s">
        <v>127</v>
      </c>
      <c r="M8" s="117" t="str">
        <f>IF($U$4="T","1111",IF($U$4="C",IF(ISNA(VLOOKUP($M$7,TM,15,0)),"",VLOOKUP($M$7,TM,14,0)),""))</f>
        <v>3383</v>
      </c>
      <c r="N8" s="111"/>
      <c r="O8" s="111"/>
      <c r="P8" s="118"/>
      <c r="Q8" s="108"/>
      <c r="R8" s="108"/>
      <c r="S8" s="108"/>
      <c r="T8" s="108"/>
      <c r="U8" s="108"/>
      <c r="V8" s="108"/>
      <c r="W8" s="108"/>
    </row>
    <row r="9" spans="1:23" ht="13.5">
      <c r="A9" s="108"/>
      <c r="B9" s="108"/>
      <c r="C9" s="108"/>
      <c r="D9" s="108"/>
      <c r="E9" s="106"/>
      <c r="F9" s="106"/>
      <c r="G9" s="106"/>
      <c r="H9" s="106"/>
      <c r="I9" s="106"/>
      <c r="J9" s="108"/>
      <c r="K9" s="116"/>
      <c r="L9" s="114" t="s">
        <v>128</v>
      </c>
      <c r="M9" s="117" t="str">
        <f>IF($U$4="C","1111",IF($U$4="T",IF(ISNA(VLOOKUP($M$7,TM,14,0)),"",VLOOKUP($M$7,TM,15,0)),""))</f>
        <v>1111</v>
      </c>
      <c r="N9" s="111"/>
      <c r="O9" s="111"/>
      <c r="P9" s="118"/>
      <c r="Q9" s="108"/>
      <c r="R9" s="108"/>
      <c r="S9" s="108"/>
      <c r="T9" s="108"/>
      <c r="U9" s="108"/>
      <c r="V9" s="108"/>
      <c r="W9" s="108"/>
    </row>
    <row r="10" spans="1:23" ht="15">
      <c r="A10" s="108"/>
      <c r="B10" s="108"/>
      <c r="C10" s="119" t="str">
        <f>IF($U$4="T","Họ tên người nộp tiền :","Họ và tên người nhận tiền :")&amp;" "&amp;IF(ISNA(VLOOKUP($M$7,TM,8,0)),"",VLOOKUP($M$7,TM,8,0))</f>
        <v>Họ và tên người nhận tiền : Huỳnh Thị Bé Tha</v>
      </c>
      <c r="D10" s="106"/>
      <c r="E10" s="108"/>
      <c r="F10" s="106"/>
      <c r="G10" s="106"/>
      <c r="H10" s="106"/>
      <c r="I10" s="106"/>
      <c r="J10" s="108"/>
      <c r="K10" s="106"/>
      <c r="L10" s="114"/>
      <c r="M10" s="117"/>
      <c r="N10" s="111"/>
      <c r="O10" s="106"/>
      <c r="P10" s="112"/>
      <c r="Q10" s="108"/>
      <c r="R10" s="108"/>
      <c r="S10" s="108"/>
      <c r="T10" s="108"/>
      <c r="U10" s="108"/>
      <c r="V10" s="108"/>
      <c r="W10" s="108"/>
    </row>
    <row r="11" spans="1:23" ht="15">
      <c r="A11" s="84"/>
      <c r="B11" s="84"/>
      <c r="C11" s="119" t="str">
        <f>"Địa chỉ :"</f>
        <v>Địa chỉ :</v>
      </c>
      <c r="D11" s="84"/>
      <c r="E11" s="119"/>
      <c r="F11" s="119"/>
      <c r="G11" s="119"/>
      <c r="H11" s="119"/>
      <c r="I11" s="119"/>
      <c r="J11" s="119"/>
      <c r="K11" s="119"/>
      <c r="L11" s="119"/>
      <c r="M11" s="119"/>
      <c r="N11" s="119"/>
      <c r="O11" s="119"/>
      <c r="P11" s="99"/>
      <c r="Q11" s="84"/>
      <c r="R11" s="84"/>
      <c r="S11" s="84"/>
      <c r="T11" s="84"/>
      <c r="U11" s="84"/>
      <c r="V11" s="84"/>
      <c r="W11" s="84"/>
    </row>
    <row r="12" spans="1:23" ht="15">
      <c r="A12" s="84"/>
      <c r="B12" s="84"/>
      <c r="C12" s="119" t="str">
        <f>IF($U$4="T","Lý do nộp :","Lý do chi :")&amp;" "&amp;IF(ISNA(VLOOKUP($M$7,TM,6,0)),"",VLOOKUP($M$7,TM,6,0))</f>
        <v>Lý do chi : Chi tiền dưỡng sức thai sản</v>
      </c>
      <c r="D12" s="84"/>
      <c r="E12" s="119"/>
      <c r="F12" s="119"/>
      <c r="G12" s="119"/>
      <c r="H12" s="119"/>
      <c r="I12" s="119"/>
      <c r="J12" s="119"/>
      <c r="K12" s="119"/>
      <c r="L12" s="119"/>
      <c r="M12" s="119"/>
      <c r="N12" s="119"/>
      <c r="O12" s="119"/>
      <c r="P12" s="120"/>
      <c r="Q12" s="84"/>
      <c r="R12" s="84"/>
      <c r="S12" s="84"/>
      <c r="T12" s="84"/>
      <c r="U12" s="84"/>
      <c r="V12" s="84"/>
      <c r="W12" s="84"/>
    </row>
    <row r="13" spans="1:23" ht="15">
      <c r="A13" s="84"/>
      <c r="B13" s="84"/>
      <c r="C13" s="84" t="s">
        <v>141</v>
      </c>
      <c r="D13" s="121">
        <f ca="1">SUMIF(TM,$M$7,TH)</f>
        <v>1815000</v>
      </c>
      <c r="E13" s="84" t="s">
        <v>129</v>
      </c>
      <c r="F13" s="121"/>
      <c r="G13" s="121"/>
      <c r="H13" s="84"/>
      <c r="I13" s="84"/>
      <c r="J13" s="84"/>
      <c r="K13" s="84"/>
      <c r="L13" s="84"/>
      <c r="M13" s="84"/>
      <c r="N13" s="84"/>
      <c r="O13" s="84"/>
      <c r="P13" s="84"/>
      <c r="Q13" s="84"/>
      <c r="R13" s="84"/>
      <c r="S13" s="84"/>
      <c r="T13" s="84"/>
      <c r="U13" s="84"/>
      <c r="V13" s="84"/>
      <c r="W13" s="84"/>
    </row>
    <row r="14" spans="1:23" ht="15">
      <c r="A14" s="84"/>
      <c r="B14" s="84"/>
      <c r="C14" s="84" t="e">
        <f ca="1">"Viết bằng chữ: " &amp;[2]!VND('IN-TC'!D13, TRUE)</f>
        <v>#NAME?</v>
      </c>
      <c r="D14" s="84"/>
      <c r="E14" s="84"/>
      <c r="F14" s="84"/>
      <c r="G14" s="84"/>
      <c r="H14" s="84"/>
      <c r="I14" s="84"/>
      <c r="J14" s="84"/>
      <c r="K14" s="84"/>
      <c r="L14" s="84"/>
      <c r="M14" s="84"/>
      <c r="N14" s="84"/>
      <c r="O14" s="84"/>
      <c r="P14" s="99"/>
      <c r="Q14" s="84"/>
      <c r="R14" s="84"/>
      <c r="S14" s="84"/>
      <c r="T14" s="84"/>
      <c r="U14" s="84"/>
      <c r="V14" s="84"/>
      <c r="W14" s="84"/>
    </row>
    <row r="15" spans="1:23" ht="15">
      <c r="A15" s="84"/>
      <c r="B15" s="84"/>
      <c r="C15" s="119" t="str">
        <f>"Kèm theo :     " &amp;IF(OR(ISNA(VLOOKUP($M$7,TM,7,0)),VLOOKUP($M$7,TM,7,0)=""),"                           ",IF(VLOOKUP($M$7,TM,7,0)&lt;&gt;"","    HĐ  "&amp;(VLOOKUP($M$7,TM,7,0)))) &amp; "     chứng từ gốc. "</f>
        <v xml:space="preserve">Kèm theo :         HĐ  GĐN 01     chứng từ gốc. </v>
      </c>
      <c r="D15" s="119"/>
      <c r="E15" s="84"/>
      <c r="F15" s="119"/>
      <c r="G15" s="119"/>
      <c r="H15" s="119"/>
      <c r="I15" s="119"/>
      <c r="J15" s="119"/>
      <c r="K15" s="119"/>
      <c r="L15" s="119"/>
      <c r="M15" s="119"/>
      <c r="N15" s="119"/>
      <c r="O15" s="119"/>
      <c r="P15" s="122"/>
      <c r="Q15" s="84"/>
      <c r="R15" s="84"/>
      <c r="S15" s="84"/>
      <c r="T15" s="84"/>
      <c r="U15" s="84"/>
      <c r="V15" s="84"/>
      <c r="W15" s="84"/>
    </row>
    <row r="16" spans="1:23" ht="15">
      <c r="A16" s="84"/>
      <c r="B16" s="84"/>
      <c r="C16" s="84"/>
      <c r="D16" s="84"/>
      <c r="E16" s="84"/>
      <c r="F16" s="84"/>
      <c r="G16" s="84"/>
      <c r="H16" s="84"/>
      <c r="I16" s="84"/>
      <c r="J16" s="84"/>
      <c r="K16" s="123"/>
      <c r="L16" s="123"/>
      <c r="M16" s="132" t="str">
        <f>H5</f>
        <v>Ngày  31  tháng  3  năm  2017</v>
      </c>
      <c r="N16" s="123"/>
      <c r="O16" s="123"/>
      <c r="P16" s="84"/>
      <c r="Q16" s="84"/>
      <c r="R16" s="84"/>
      <c r="S16" s="84"/>
      <c r="T16" s="84"/>
      <c r="U16" s="84"/>
      <c r="V16" s="84"/>
      <c r="W16" s="84"/>
    </row>
    <row r="17" spans="1:23" ht="15">
      <c r="A17" s="84"/>
      <c r="B17" s="84"/>
      <c r="C17" s="124" t="s">
        <v>130</v>
      </c>
      <c r="D17" s="125"/>
      <c r="E17" s="124" t="s">
        <v>12</v>
      </c>
      <c r="F17" s="125"/>
      <c r="G17" s="125"/>
      <c r="H17" s="124" t="str">
        <f>IF($U$4="C","Thủ quỹ","Người nộp tiền")</f>
        <v>Thủ quỹ</v>
      </c>
      <c r="I17" s="84"/>
      <c r="J17" s="124" t="s">
        <v>131</v>
      </c>
      <c r="K17" s="125"/>
      <c r="L17" s="84"/>
      <c r="M17" s="126" t="str">
        <f>IF($U$4="T","Thủ quỹ","Người nhận tiền")</f>
        <v>Người nhận tiền</v>
      </c>
      <c r="N17" s="127"/>
      <c r="O17" s="127"/>
      <c r="P17" s="84"/>
      <c r="Q17" s="84"/>
      <c r="R17" s="84"/>
      <c r="S17" s="84"/>
      <c r="T17" s="84"/>
      <c r="U17" s="84"/>
      <c r="V17" s="84"/>
      <c r="W17" s="84"/>
    </row>
    <row r="18" spans="1:23" ht="15">
      <c r="A18" s="125"/>
      <c r="B18" s="125"/>
      <c r="C18" s="128" t="s">
        <v>132</v>
      </c>
      <c r="D18" s="84"/>
      <c r="E18" s="128" t="s">
        <v>133</v>
      </c>
      <c r="F18" s="84"/>
      <c r="G18" s="84"/>
      <c r="H18" s="128" t="s">
        <v>133</v>
      </c>
      <c r="I18" s="125"/>
      <c r="J18" s="128" t="s">
        <v>133</v>
      </c>
      <c r="K18" s="84"/>
      <c r="L18" s="125"/>
      <c r="M18" s="128" t="s">
        <v>133</v>
      </c>
      <c r="N18" s="84"/>
      <c r="O18" s="84"/>
      <c r="P18" s="125"/>
      <c r="Q18" s="125"/>
      <c r="R18" s="125"/>
      <c r="S18" s="125"/>
      <c r="T18" s="125"/>
      <c r="U18" s="125"/>
      <c r="V18" s="125"/>
      <c r="W18" s="125"/>
    </row>
    <row r="19" spans="1:23" ht="15">
      <c r="A19" s="84"/>
      <c r="B19" s="84"/>
      <c r="C19" s="84"/>
      <c r="D19" s="84"/>
      <c r="E19" s="84"/>
      <c r="F19" s="84"/>
      <c r="G19" s="84"/>
      <c r="H19" s="84"/>
      <c r="I19" s="84"/>
      <c r="J19" s="84"/>
      <c r="K19" s="84"/>
      <c r="L19" s="84"/>
      <c r="M19" s="84"/>
      <c r="N19" s="84"/>
      <c r="O19" s="84"/>
      <c r="P19" s="84"/>
      <c r="Q19" s="84"/>
      <c r="R19" s="84"/>
      <c r="S19" s="84"/>
      <c r="T19" s="84"/>
      <c r="U19" s="84"/>
      <c r="V19" s="84"/>
      <c r="W19" s="84"/>
    </row>
    <row r="20" spans="1:23" ht="15">
      <c r="A20" s="84"/>
      <c r="B20" s="84"/>
      <c r="C20" s="84"/>
      <c r="D20" s="84"/>
      <c r="E20" s="84"/>
      <c r="F20" s="84"/>
      <c r="G20" s="84"/>
      <c r="H20" s="84"/>
      <c r="I20" s="84"/>
      <c r="J20" s="84"/>
      <c r="K20" s="84"/>
      <c r="L20" s="84"/>
      <c r="M20" s="84"/>
      <c r="N20" s="84"/>
      <c r="O20" s="84"/>
      <c r="P20" s="84"/>
      <c r="Q20" s="84"/>
      <c r="R20" s="84"/>
      <c r="S20" s="84"/>
      <c r="T20" s="84"/>
      <c r="U20" s="84"/>
      <c r="V20" s="84"/>
      <c r="W20" s="84"/>
    </row>
    <row r="21" spans="1:23" ht="15">
      <c r="A21" s="84"/>
      <c r="B21" s="84"/>
      <c r="C21" s="84"/>
      <c r="D21" s="84"/>
      <c r="E21" s="84"/>
      <c r="F21" s="84"/>
      <c r="G21" s="84"/>
      <c r="H21" s="84"/>
      <c r="I21" s="84"/>
      <c r="J21" s="84"/>
      <c r="K21" s="84"/>
      <c r="L21" s="84"/>
      <c r="M21" s="84"/>
      <c r="N21" s="84"/>
      <c r="O21" s="84"/>
      <c r="P21" s="84"/>
      <c r="Q21" s="84"/>
      <c r="R21" s="84"/>
      <c r="S21" s="84"/>
      <c r="T21" s="84"/>
      <c r="U21" s="84"/>
      <c r="V21" s="84"/>
      <c r="W21" s="84"/>
    </row>
    <row r="22" spans="1:23" ht="15">
      <c r="A22" s="84"/>
      <c r="B22" s="84"/>
      <c r="C22" s="84"/>
      <c r="D22" s="84"/>
      <c r="E22" s="84"/>
      <c r="F22" s="84"/>
      <c r="G22" s="84"/>
      <c r="H22" s="84"/>
      <c r="I22" s="84"/>
      <c r="J22" s="84"/>
      <c r="K22" s="84"/>
      <c r="L22" s="84"/>
      <c r="M22" s="84"/>
      <c r="N22" s="84"/>
      <c r="O22" s="84"/>
      <c r="P22" s="84"/>
      <c r="Q22" s="84"/>
      <c r="R22" s="84"/>
      <c r="S22" s="84"/>
      <c r="T22" s="84"/>
      <c r="U22" s="84"/>
      <c r="V22" s="84"/>
      <c r="W22" s="84"/>
    </row>
    <row r="23" spans="1:23" ht="15">
      <c r="A23" s="84"/>
      <c r="B23" s="84"/>
      <c r="C23" s="84"/>
      <c r="D23" s="84"/>
      <c r="E23" s="84"/>
      <c r="F23" s="84"/>
      <c r="G23" s="84"/>
      <c r="H23" s="84"/>
      <c r="I23" s="91"/>
      <c r="J23" s="84"/>
      <c r="K23" s="84"/>
      <c r="L23" s="84"/>
      <c r="M23" s="84"/>
      <c r="N23" s="84"/>
      <c r="O23" s="84"/>
      <c r="P23" s="84"/>
      <c r="Q23" s="84"/>
      <c r="R23" s="84"/>
      <c r="S23" s="84"/>
      <c r="T23" s="84"/>
      <c r="U23" s="84"/>
      <c r="V23" s="84"/>
      <c r="W23" s="84"/>
    </row>
    <row r="24" spans="1:23" ht="15">
      <c r="A24" s="84"/>
      <c r="B24" s="84"/>
      <c r="C24" s="314" t="s">
        <v>124</v>
      </c>
      <c r="D24" s="84"/>
      <c r="E24" s="84"/>
      <c r="F24" s="84"/>
      <c r="G24" s="84"/>
      <c r="H24" s="314" t="str">
        <f>IF($U$4="T","","Phạm Thị Đông")</f>
        <v>Phạm Thị Đông</v>
      </c>
      <c r="I24" s="84"/>
      <c r="J24" s="314" t="s">
        <v>226</v>
      </c>
      <c r="K24" s="84"/>
      <c r="L24" s="84"/>
      <c r="M24" s="314" t="str">
        <f>IF($U$4="C","","Phạm Thị Đông")</f>
        <v/>
      </c>
      <c r="N24" s="84"/>
      <c r="O24" s="84"/>
      <c r="P24" s="84"/>
      <c r="Q24" s="84"/>
      <c r="R24" s="84"/>
      <c r="S24" s="84"/>
      <c r="T24" s="84"/>
      <c r="U24" s="84"/>
      <c r="V24" s="84"/>
      <c r="W24" s="84"/>
    </row>
    <row r="25" spans="1:23" ht="15">
      <c r="A25" s="84"/>
      <c r="B25" s="84" t="s">
        <v>134</v>
      </c>
      <c r="C25" s="84"/>
      <c r="D25" s="84"/>
      <c r="E25" s="84"/>
      <c r="F25" s="84"/>
      <c r="G25" s="84"/>
      <c r="H25" s="84"/>
      <c r="I25" s="84"/>
      <c r="J25" s="84"/>
      <c r="K25" s="84"/>
      <c r="L25" s="84"/>
      <c r="M25" s="84"/>
      <c r="N25" s="84"/>
      <c r="O25" s="84"/>
      <c r="P25" s="84"/>
      <c r="Q25" s="84"/>
      <c r="R25" s="84"/>
      <c r="S25" s="84"/>
      <c r="T25" s="84"/>
      <c r="U25" s="84"/>
      <c r="V25" s="84"/>
      <c r="W25" s="84"/>
    </row>
    <row r="26" spans="1:23" ht="15">
      <c r="A26" s="84"/>
      <c r="B26" s="119"/>
      <c r="C26" s="119" t="s">
        <v>135</v>
      </c>
      <c r="D26" s="119"/>
      <c r="E26" s="119"/>
      <c r="F26" s="119"/>
      <c r="G26" s="119"/>
      <c r="H26" s="119"/>
      <c r="I26" s="119"/>
      <c r="J26" s="119"/>
      <c r="K26" s="119"/>
      <c r="L26" s="119"/>
      <c r="M26" s="119"/>
      <c r="N26" s="119"/>
      <c r="O26" s="119"/>
      <c r="P26" s="84"/>
      <c r="Q26" s="84"/>
      <c r="R26" s="84"/>
      <c r="S26" s="84"/>
      <c r="T26" s="84"/>
      <c r="U26" s="84"/>
      <c r="V26" s="84"/>
      <c r="W26" s="84"/>
    </row>
    <row r="27" spans="1:23" ht="15">
      <c r="A27" s="84"/>
      <c r="B27" s="119"/>
      <c r="C27" s="119" t="s">
        <v>136</v>
      </c>
      <c r="D27" s="119"/>
      <c r="E27" s="119"/>
      <c r="F27" s="119"/>
      <c r="G27" s="119"/>
      <c r="H27" s="119"/>
      <c r="I27" s="119"/>
      <c r="J27" s="119"/>
      <c r="K27" s="119"/>
      <c r="L27" s="119"/>
      <c r="M27" s="119"/>
      <c r="N27" s="119"/>
      <c r="O27" s="119"/>
      <c r="P27" s="84"/>
      <c r="Q27" s="84"/>
      <c r="R27" s="84"/>
      <c r="S27" s="84"/>
      <c r="T27" s="84"/>
      <c r="U27" s="84"/>
      <c r="V27" s="84"/>
      <c r="W27" s="84"/>
    </row>
  </sheetData>
  <dataConsolidate/>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03" right="0.118110236220472" top="0.31496062992126" bottom="0.15748031496063" header="0.31496062992126" footer="0.15748031496063"/>
  <pageSetup paperSize="9" scale="90"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91"/>
  <sheetViews>
    <sheetView topLeftCell="C5" workbookViewId="0">
      <pane ySplit="7" topLeftCell="A12" activePane="bottomLeft" state="frozen"/>
      <selection activeCell="P41" sqref="P41"/>
      <selection pane="bottomLeft" activeCell="M28" sqref="M28"/>
    </sheetView>
  </sheetViews>
  <sheetFormatPr defaultRowHeight="12.75"/>
  <cols>
    <col min="1" max="1" width="7.7109375" customWidth="1"/>
    <col min="2" max="2" width="7.42578125" customWidth="1"/>
    <col min="3" max="3" width="7.7109375" customWidth="1"/>
    <col min="4" max="4" width="40.7109375" customWidth="1"/>
    <col min="5" max="5" width="7.7109375" customWidth="1"/>
    <col min="6" max="6" width="20.28515625" customWidth="1"/>
    <col min="7" max="7" width="16.28515625" customWidth="1"/>
    <col min="8" max="8" width="17.140625" customWidth="1"/>
    <col min="9" max="9" width="6.5703125" customWidth="1"/>
    <col min="10" max="10" width="2.85546875" customWidth="1"/>
    <col min="11" max="11" width="6.28515625" customWidth="1"/>
    <col min="12" max="12" width="3.28515625" customWidth="1"/>
    <col min="13" max="13" width="5.7109375" customWidth="1"/>
    <col min="14" max="14" width="4.85546875" customWidth="1"/>
    <col min="15" max="15" width="8.85546875" customWidth="1"/>
    <col min="16" max="16" width="10.42578125" customWidth="1"/>
    <col min="17" max="17" width="12.140625" customWidth="1"/>
    <col min="18" max="19" width="17.28515625" customWidth="1"/>
  </cols>
  <sheetData>
    <row r="1" spans="1:19" ht="16.5" customHeight="1">
      <c r="A1" s="114" t="s">
        <v>137</v>
      </c>
      <c r="B1" s="163"/>
      <c r="C1" s="164"/>
      <c r="D1" s="162"/>
      <c r="E1" s="162"/>
      <c r="F1" s="332"/>
      <c r="G1" s="334" t="s">
        <v>232</v>
      </c>
      <c r="H1" s="882"/>
      <c r="I1" s="332"/>
      <c r="J1" s="162"/>
      <c r="K1" s="165"/>
      <c r="L1" s="165"/>
      <c r="M1" s="162"/>
      <c r="N1" s="162"/>
      <c r="O1" s="162"/>
      <c r="P1" s="162"/>
      <c r="Q1" s="162"/>
      <c r="R1" s="162"/>
      <c r="S1" s="162"/>
    </row>
    <row r="2" spans="1:19" ht="16.5" customHeight="1">
      <c r="A2" s="336" t="s">
        <v>138</v>
      </c>
      <c r="B2" s="200"/>
      <c r="C2" s="200"/>
      <c r="D2" s="200"/>
      <c r="E2" s="162"/>
      <c r="F2" s="333"/>
      <c r="G2" s="335" t="s">
        <v>233</v>
      </c>
      <c r="H2" s="883"/>
      <c r="I2" s="333"/>
      <c r="J2" s="162"/>
      <c r="K2" s="166"/>
      <c r="L2" s="166"/>
      <c r="M2" s="162"/>
      <c r="N2" s="162"/>
      <c r="O2" s="162"/>
      <c r="P2" s="162"/>
      <c r="Q2" s="162"/>
      <c r="R2" s="162"/>
      <c r="S2" s="162"/>
    </row>
    <row r="3" spans="1:19" ht="16.5" customHeight="1">
      <c r="A3" s="200"/>
      <c r="B3" s="200"/>
      <c r="C3" s="200"/>
      <c r="D3" s="200"/>
      <c r="E3" s="162"/>
      <c r="F3" s="333"/>
      <c r="G3" s="335" t="s">
        <v>234</v>
      </c>
      <c r="H3" s="883"/>
      <c r="I3" s="333"/>
      <c r="J3" s="162"/>
      <c r="K3" s="162"/>
      <c r="L3" s="162"/>
      <c r="M3" s="162"/>
      <c r="N3" s="162"/>
      <c r="O3" s="162"/>
      <c r="P3" s="162"/>
      <c r="Q3" s="162"/>
      <c r="R3" s="162"/>
      <c r="S3" s="162"/>
    </row>
    <row r="4" spans="1:19" ht="19.5" customHeight="1">
      <c r="A4" s="1427" t="s">
        <v>164</v>
      </c>
      <c r="B4" s="1427"/>
      <c r="C4" s="1427"/>
      <c r="D4" s="1427"/>
      <c r="E4" s="1427"/>
      <c r="F4" s="1427"/>
      <c r="G4" s="1427"/>
      <c r="H4" s="1427"/>
      <c r="I4" s="1427"/>
      <c r="J4" s="162"/>
      <c r="K4" s="162"/>
      <c r="L4" s="162"/>
      <c r="M4" s="162"/>
      <c r="N4" s="162"/>
      <c r="O4" s="162"/>
      <c r="P4" s="162"/>
      <c r="Q4" s="162"/>
      <c r="R4" s="162"/>
      <c r="S4" s="162"/>
    </row>
    <row r="5" spans="1:19" ht="15">
      <c r="A5" s="1428" t="str">
        <f>"Nơi mở tài khoản giao dịch: "&amp;IF($M$9="Q11","Ngân Hàng Eximbank Quận 11",IF($M$9="Q4","Ngân Hàng Eximbank Quận 4","Ngân Hàng PV Combank - CN Gia Định"))</f>
        <v>Nơi mở tài khoản giao dịch: Ngân Hàng Eximbank Quận 11</v>
      </c>
      <c r="B5" s="1428"/>
      <c r="C5" s="1428"/>
      <c r="D5" s="1428"/>
      <c r="E5" s="1428"/>
      <c r="F5" s="1428"/>
      <c r="G5" s="1428"/>
      <c r="H5" s="1428"/>
      <c r="I5" s="1428"/>
      <c r="J5" s="162"/>
      <c r="K5" s="162"/>
      <c r="L5" s="162"/>
      <c r="M5" s="162"/>
      <c r="N5" s="162"/>
      <c r="O5" s="162"/>
      <c r="P5" s="162"/>
      <c r="Q5" s="162"/>
      <c r="R5" s="162"/>
      <c r="S5" s="162"/>
    </row>
    <row r="6" spans="1:19" ht="15">
      <c r="A6" s="162"/>
      <c r="B6" s="162"/>
      <c r="C6" s="162"/>
      <c r="D6" s="383" t="s">
        <v>260</v>
      </c>
      <c r="E6" s="1432" t="str">
        <f>IF($H$6="VNĐ",VLOOKUP($M$9,$O$8:$S$12,4,0),VLOOKUP($M$9,$O$8:$S$12,5,0))</f>
        <v>1015 148 5100 9180</v>
      </c>
      <c r="F6" s="1432"/>
      <c r="G6" s="1432"/>
      <c r="H6" s="884" t="s">
        <v>129</v>
      </c>
      <c r="I6" s="384" t="str">
        <f>IF(H6="VNĐ","1121",IF(H6="USD","1122",""))</f>
        <v>1121</v>
      </c>
      <c r="J6" s="162"/>
      <c r="K6" s="162"/>
      <c r="L6" s="162"/>
      <c r="M6" s="162"/>
      <c r="N6" s="162"/>
      <c r="O6" s="1429" t="s">
        <v>587</v>
      </c>
      <c r="P6" s="1429" t="s">
        <v>224</v>
      </c>
      <c r="Q6" s="1429" t="s">
        <v>129</v>
      </c>
      <c r="R6" s="1429" t="s">
        <v>2428</v>
      </c>
      <c r="S6" s="1429" t="s">
        <v>2429</v>
      </c>
    </row>
    <row r="7" spans="1:19" ht="8.25" customHeight="1">
      <c r="A7" s="167"/>
      <c r="B7" s="168"/>
      <c r="C7" s="167"/>
      <c r="D7" s="168"/>
      <c r="E7" s="168"/>
      <c r="F7" s="168"/>
      <c r="G7" s="168"/>
      <c r="H7" s="885"/>
      <c r="I7" s="168"/>
      <c r="J7" s="162"/>
      <c r="K7" s="162"/>
      <c r="L7" s="162"/>
      <c r="M7" s="162"/>
      <c r="N7" s="162"/>
      <c r="O7" s="1429"/>
      <c r="P7" s="1429"/>
      <c r="Q7" s="1429"/>
      <c r="R7" s="1429"/>
      <c r="S7" s="1429"/>
    </row>
    <row r="8" spans="1:19" ht="22.5" customHeight="1" thickBot="1">
      <c r="A8" s="1433" t="s">
        <v>165</v>
      </c>
      <c r="B8" s="1435" t="s">
        <v>1</v>
      </c>
      <c r="C8" s="1436"/>
      <c r="D8" s="1430" t="s">
        <v>0</v>
      </c>
      <c r="E8" s="1437" t="s">
        <v>16</v>
      </c>
      <c r="F8" s="1435" t="s">
        <v>166</v>
      </c>
      <c r="G8" s="1435"/>
      <c r="H8" s="1436"/>
      <c r="I8" s="1430" t="s">
        <v>151</v>
      </c>
      <c r="J8" s="169"/>
      <c r="K8" s="160"/>
      <c r="L8" s="162"/>
      <c r="M8" s="169"/>
      <c r="N8" s="169"/>
      <c r="O8" s="1221" t="s">
        <v>586</v>
      </c>
      <c r="P8" s="1122">
        <v>18.63</v>
      </c>
      <c r="Q8" s="992">
        <v>3051780</v>
      </c>
      <c r="R8" s="381" t="s">
        <v>2423</v>
      </c>
      <c r="S8" s="375" t="s">
        <v>2422</v>
      </c>
    </row>
    <row r="9" spans="1:19" ht="22.5" customHeight="1" thickBot="1">
      <c r="A9" s="1434"/>
      <c r="B9" s="170" t="s">
        <v>17</v>
      </c>
      <c r="C9" s="171" t="s">
        <v>167</v>
      </c>
      <c r="D9" s="1431"/>
      <c r="E9" s="1438"/>
      <c r="F9" s="370" t="s">
        <v>168</v>
      </c>
      <c r="G9" s="172" t="s">
        <v>169</v>
      </c>
      <c r="H9" s="886" t="s">
        <v>170</v>
      </c>
      <c r="I9" s="1431"/>
      <c r="J9" s="169"/>
      <c r="K9" s="715">
        <v>12</v>
      </c>
      <c r="L9" s="162"/>
      <c r="M9" s="716" t="s">
        <v>586</v>
      </c>
      <c r="N9" s="169"/>
      <c r="O9" s="717" t="s">
        <v>585</v>
      </c>
      <c r="P9" s="375">
        <v>25.49</v>
      </c>
      <c r="Q9" s="381">
        <v>2167691</v>
      </c>
      <c r="R9" s="375" t="s">
        <v>2425</v>
      </c>
      <c r="S9" s="375" t="s">
        <v>2424</v>
      </c>
    </row>
    <row r="10" spans="1:19" ht="15">
      <c r="A10" s="173" t="s">
        <v>2</v>
      </c>
      <c r="B10" s="174" t="s">
        <v>3</v>
      </c>
      <c r="C10" s="173" t="s">
        <v>4</v>
      </c>
      <c r="D10" s="174" t="s">
        <v>5</v>
      </c>
      <c r="E10" s="174" t="s">
        <v>6</v>
      </c>
      <c r="F10" s="174">
        <v>1</v>
      </c>
      <c r="G10" s="174">
        <v>2</v>
      </c>
      <c r="H10" s="174">
        <v>3</v>
      </c>
      <c r="I10" s="174" t="s">
        <v>154</v>
      </c>
      <c r="J10" s="175"/>
      <c r="K10" s="175"/>
      <c r="L10" s="162"/>
      <c r="M10" s="175"/>
      <c r="N10" s="175"/>
      <c r="O10" s="717" t="s">
        <v>747</v>
      </c>
      <c r="P10" s="375">
        <v>280.35000000000002</v>
      </c>
      <c r="Q10" s="381">
        <v>4052956</v>
      </c>
      <c r="R10" s="381" t="s">
        <v>2421</v>
      </c>
      <c r="S10" s="375" t="s">
        <v>2420</v>
      </c>
    </row>
    <row r="11" spans="1:19" ht="20.25" customHeight="1">
      <c r="A11" s="176"/>
      <c r="B11" s="177"/>
      <c r="C11" s="176"/>
      <c r="D11" s="178" t="s">
        <v>7</v>
      </c>
      <c r="E11" s="178"/>
      <c r="F11" s="720"/>
      <c r="G11" s="720"/>
      <c r="H11" s="720">
        <f>IF($H$6="USD",VLOOKUP($M$9,$O$8:$S$12,2,0)+SUMIF(_N112,"x",_TH)-SUMIF(_C112,"x",_TH),VLOOKUP($M$9,$O$8:$S$12,3,0)+SUMIF(_N112,"x",TH)-SUMIF(_C112,"x",TH))</f>
        <v>1491667</v>
      </c>
      <c r="I11" s="720"/>
      <c r="J11" s="179"/>
      <c r="K11" s="179"/>
      <c r="L11" s="162"/>
      <c r="M11" s="179"/>
      <c r="N11" s="179"/>
      <c r="O11" s="717" t="s">
        <v>1713</v>
      </c>
      <c r="P11" s="375">
        <v>0</v>
      </c>
      <c r="Q11" s="375">
        <v>0</v>
      </c>
      <c r="R11" s="381" t="s">
        <v>2418</v>
      </c>
      <c r="S11" s="375" t="s">
        <v>2419</v>
      </c>
    </row>
    <row r="12" spans="1:19" ht="20.25" customHeight="1">
      <c r="A12" s="180">
        <f ca="1">IF(ROWS($1:1)&gt;COUNT(Dong2),"",OFFSET(TH!C$1,SMALL(Dong2,ROWS($1:1)),))</f>
        <v>43077</v>
      </c>
      <c r="B12" s="180" t="str">
        <f ca="1">IF(ROWS($1:1)&gt;COUNT(Dong2),"",OFFSET(TH!D$1,SMALL(Dong2,ROWS($1:1)),))</f>
        <v>GBC</v>
      </c>
      <c r="C12" s="180">
        <f ca="1">IF(ROWS($1:1)&gt;COUNT(Dong2),"",OFFSET(TH!E$1,SMALL(Dong2,ROWS($1:1)),))</f>
        <v>43077</v>
      </c>
      <c r="D12" s="337" t="str">
        <f ca="1">IF(ROWS($1:1)&gt;COUNT(Dong2),"",OFFSET(TH!F$1,SMALL(Dong2,ROWS($1:1)),))</f>
        <v>Lãi tiền gửi</v>
      </c>
      <c r="E12" s="180" t="str">
        <f ca="1">IF(ROWS($1:1)&gt;COUNT(Dong2),"",IF(OFFSET(TH!O$1,SMALL(Dong2,ROWS($1:1)),)=$I$6,OFFSET(TH!N$1,SMALL(Dong2,ROWS($1:1)),),OFFSET(TH!O$1,SMALL(Dong2,ROWS($1:1)),)))</f>
        <v>515</v>
      </c>
      <c r="F12" s="891">
        <f ca="1">IF(ROWS($1:1)&gt;COUNT(Dong2),"",IF(AND(IF($M$9="Q11",LEFT(OFFSET(TH!G$1,SMALL(Dong2,ROWS($1:1)),),3)=$M$9,LEFT(OFFSET(TH!G$1,SMALL(Dong2,ROWS($1:1)),),2)=$M$9),OFFSET(TH!N$1,SMALL(Dong2,ROWS($1:1)),)=$I$6),IF($I$6="1121",OFFSET(TH!M$1,SMALL(Dong2,ROWS($1:1)),),OFFSET(TH!K$1,SMALL(Dong2,ROWS($1:1)),)),0))</f>
        <v>21977</v>
      </c>
      <c r="G12" s="891">
        <f ca="1">IF(ROWS($1:1)&gt;COUNT(Dong2),"",IF(AND(IF($M$9="Q11",RIGHT(OFFSET(TH!G$1,SMALL(Dong2,ROWS($1:1)),),3)=$M$9,RIGHT(OFFSET(TH!G$1,SMALL(Dong2,ROWS($1:1)),),2)=$M$9),OFFSET(TH!O$1,SMALL(Dong2,ROWS($1:1)),)=$I$6),IF($I$6="1121",OFFSET(TH!M$1,SMALL(Dong2,ROWS($1:1)),),OFFSET(TH!K$1,SMALL(Dong2,ROWS($1:1)),)),0))</f>
        <v>0</v>
      </c>
      <c r="H12" s="721">
        <f ca="1">IF(A12&lt;&gt;"",H11+F12-G12,0)</f>
        <v>1513644</v>
      </c>
      <c r="I12" s="721"/>
      <c r="J12" s="169"/>
      <c r="K12" s="169"/>
      <c r="L12" s="162"/>
      <c r="M12" s="169"/>
      <c r="N12" s="169"/>
      <c r="O12" s="717" t="s">
        <v>588</v>
      </c>
      <c r="P12" s="375">
        <v>0</v>
      </c>
      <c r="Q12" s="381">
        <v>109992</v>
      </c>
      <c r="R12" s="381" t="s">
        <v>2427</v>
      </c>
      <c r="S12" s="375" t="s">
        <v>2426</v>
      </c>
    </row>
    <row r="13" spans="1:19" ht="20.25" customHeight="1">
      <c r="A13" s="180">
        <f ca="1">IF(ROWS($1:2)&gt;COUNT(Dong2),"",OFFSET(TH!C$1,SMALL(Dong2,ROWS($1:2)),))</f>
        <v>43096</v>
      </c>
      <c r="B13" s="180" t="str">
        <f ca="1">IF(ROWS($1:2)&gt;COUNT(Dong2),"",OFFSET(TH!D$1,SMALL(Dong2,ROWS($1:2)),))</f>
        <v>GBN</v>
      </c>
      <c r="C13" s="180">
        <f ca="1">IF(ROWS($1:2)&gt;COUNT(Dong2),"",OFFSET(TH!E$1,SMALL(Dong2,ROWS($1:2)),))</f>
        <v>43096</v>
      </c>
      <c r="D13" s="337" t="str">
        <f ca="1">IF(ROWS($1:2)&gt;COUNT(Dong2),"",OFFSET(TH!F$1,SMALL(Dong2,ROWS($1:2)),))</f>
        <v>Phí thông báo số dư tự động</v>
      </c>
      <c r="E13" s="180" t="str">
        <f ca="1">IF(ROWS($1:2)&gt;COUNT(Dong2),"",IF(OFFSET(TH!O$1,SMALL(Dong2,ROWS($1:2)),)=$I$6,OFFSET(TH!N$1,SMALL(Dong2,ROWS($1:2)),),OFFSET(TH!O$1,SMALL(Dong2,ROWS($1:2)),)))</f>
        <v>642</v>
      </c>
      <c r="F13" s="891">
        <f ca="1">IF(ROWS($1:2)&gt;COUNT(Dong2),"",IF(AND(IF($M$9="Q11",LEFT(OFFSET(TH!G$1,SMALL(Dong2,ROWS($1:2)),),3)=$M$9,LEFT(OFFSET(TH!G$1,SMALL(Dong2,ROWS($1:2)),),2)=$M$9),OFFSET(TH!N$1,SMALL(Dong2,ROWS($1:2)),)=$I$6),IF($I$6="1121",OFFSET(TH!M$1,SMALL(Dong2,ROWS($1:2)),),OFFSET(TH!K$1,SMALL(Dong2,ROWS($1:2)),)),0))</f>
        <v>0</v>
      </c>
      <c r="G13" s="891">
        <f ca="1">IF(ROWS($1:2)&gt;COUNT(Dong2),"",IF(AND(IF($M$9="Q11",RIGHT(OFFSET(TH!G$1,SMALL(Dong2,ROWS($1:2)),),3)=$M$9,RIGHT(OFFSET(TH!G$1,SMALL(Dong2,ROWS($1:2)),),2)=$M$9),OFFSET(TH!O$1,SMALL(Dong2,ROWS($1:2)),)=$I$6),IF($I$6="1121",OFFSET(TH!M$1,SMALL(Dong2,ROWS($1:2)),),OFFSET(TH!K$1,SMALL(Dong2,ROWS($1:2)),)),0))</f>
        <v>50000</v>
      </c>
      <c r="H13" s="721">
        <f t="shared" ref="H13:H14" ca="1" si="0">IF(A13&lt;&gt;"",H12+F13-G13,0)</f>
        <v>1463644</v>
      </c>
      <c r="I13" s="721"/>
      <c r="J13" s="169"/>
      <c r="K13" s="169"/>
      <c r="L13" s="162"/>
      <c r="M13" s="169"/>
      <c r="N13" s="169"/>
      <c r="O13" s="169"/>
      <c r="P13" s="1222">
        <f>SUM(P8:P12)</f>
        <v>324.47000000000003</v>
      </c>
      <c r="Q13" s="881">
        <f>SUM(Q8:Q12)</f>
        <v>9382419</v>
      </c>
      <c r="R13" s="169"/>
      <c r="S13" s="169"/>
    </row>
    <row r="14" spans="1:19" ht="20.25" customHeight="1">
      <c r="A14" s="180">
        <f ca="1">IF(ROWS($1:3)&gt;COUNT(Dong2),"",OFFSET(TH!C$1,SMALL(Dong2,ROWS($1:3)),))</f>
        <v>43096</v>
      </c>
      <c r="B14" s="180" t="str">
        <f ca="1">IF(ROWS($1:3)&gt;COUNT(Dong2),"",OFFSET(TH!D$1,SMALL(Dong2,ROWS($1:3)),))</f>
        <v>GBN</v>
      </c>
      <c r="C14" s="180">
        <f ca="1">IF(ROWS($1:3)&gt;COUNT(Dong2),"",OFFSET(TH!E$1,SMALL(Dong2,ROWS($1:3)),))</f>
        <v>43096</v>
      </c>
      <c r="D14" s="337" t="str">
        <f ca="1">IF(ROWS($1:3)&gt;COUNT(Dong2),"",OFFSET(TH!F$1,SMALL(Dong2,ROWS($1:3)),))</f>
        <v>VAT Phí thông báo số dư tự động</v>
      </c>
      <c r="E14" s="180" t="str">
        <f ca="1">IF(ROWS($1:3)&gt;COUNT(Dong2),"",IF(OFFSET(TH!O$1,SMALL(Dong2,ROWS($1:3)),)=$I$6,OFFSET(TH!N$1,SMALL(Dong2,ROWS($1:3)),),OFFSET(TH!O$1,SMALL(Dong2,ROWS($1:3)),)))</f>
        <v>1331</v>
      </c>
      <c r="F14" s="891">
        <f ca="1">IF(ROWS($1:3)&gt;COUNT(Dong2),"",IF(AND(IF($M$9="Q11",LEFT(OFFSET(TH!G$1,SMALL(Dong2,ROWS($1:3)),),3)=$M$9,LEFT(OFFSET(TH!G$1,SMALL(Dong2,ROWS($1:3)),),2)=$M$9),OFFSET(TH!N$1,SMALL(Dong2,ROWS($1:3)),)=$I$6),IF($I$6="1121",OFFSET(TH!M$1,SMALL(Dong2,ROWS($1:3)),),OFFSET(TH!K$1,SMALL(Dong2,ROWS($1:3)),)),0))</f>
        <v>0</v>
      </c>
      <c r="G14" s="891">
        <f ca="1">IF(ROWS($1:3)&gt;COUNT(Dong2),"",IF(AND(IF($M$9="Q11",RIGHT(OFFSET(TH!G$1,SMALL(Dong2,ROWS($1:3)),),3)=$M$9,RIGHT(OFFSET(TH!G$1,SMALL(Dong2,ROWS($1:3)),),2)=$M$9),OFFSET(TH!O$1,SMALL(Dong2,ROWS($1:3)),)=$I$6),IF($I$6="1121",OFFSET(TH!M$1,SMALL(Dong2,ROWS($1:3)),),OFFSET(TH!K$1,SMALL(Dong2,ROWS($1:3)),)),0))</f>
        <v>5000</v>
      </c>
      <c r="H14" s="721">
        <f t="shared" ca="1" si="0"/>
        <v>1458644</v>
      </c>
      <c r="I14" s="721"/>
      <c r="J14" s="169"/>
      <c r="K14" s="169"/>
      <c r="L14" s="162"/>
      <c r="M14" s="169"/>
      <c r="N14" s="169"/>
      <c r="O14" s="169"/>
      <c r="P14" s="169"/>
      <c r="Q14" s="169"/>
      <c r="R14" s="169"/>
      <c r="S14" s="169"/>
    </row>
    <row r="15" spans="1:19" ht="20.25" customHeight="1">
      <c r="A15" s="180">
        <f ca="1">IF(ROWS($1:4)&gt;COUNT(Dong2),"",OFFSET(TH!C$1,SMALL(Dong2,ROWS($1:4)),))</f>
        <v>43096</v>
      </c>
      <c r="B15" s="180" t="str">
        <f ca="1">IF(ROWS($1:4)&gt;COUNT(Dong2),"",OFFSET(TH!D$1,SMALL(Dong2,ROWS($1:4)),))</f>
        <v>GBN</v>
      </c>
      <c r="C15" s="180">
        <f ca="1">IF(ROWS($1:4)&gt;COUNT(Dong2),"",OFFSET(TH!E$1,SMALL(Dong2,ROWS($1:4)),))</f>
        <v>43096</v>
      </c>
      <c r="D15" s="337" t="str">
        <f ca="1">IF(ROWS($1:4)&gt;COUNT(Dong2),"",OFFSET(TH!F$1,SMALL(Dong2,ROWS($1:4)),))</f>
        <v>Phí thông báo số dư tự động</v>
      </c>
      <c r="E15" s="180" t="str">
        <f ca="1">IF(ROWS($1:4)&gt;COUNT(Dong2),"",IF(OFFSET(TH!O$1,SMALL(Dong2,ROWS($1:4)),)=$I$6,OFFSET(TH!N$1,SMALL(Dong2,ROWS($1:4)),),OFFSET(TH!O$1,SMALL(Dong2,ROWS($1:4)),)))</f>
        <v>642</v>
      </c>
      <c r="F15" s="891">
        <f ca="1">IF(ROWS($1:4)&gt;COUNT(Dong2),"",IF(AND(IF($M$9="Q11",LEFT(OFFSET(TH!G$1,SMALL(Dong2,ROWS($1:4)),),3)=$M$9,LEFT(OFFSET(TH!G$1,SMALL(Dong2,ROWS($1:4)),),2)=$M$9),OFFSET(TH!N$1,SMALL(Dong2,ROWS($1:4)),)=$I$6),IF($I$6="1121",OFFSET(TH!M$1,SMALL(Dong2,ROWS($1:4)),),OFFSET(TH!K$1,SMALL(Dong2,ROWS($1:4)),)),0))</f>
        <v>0</v>
      </c>
      <c r="G15" s="891">
        <f ca="1">IF(ROWS($1:4)&gt;COUNT(Dong2),"",IF(AND(IF($M$9="Q11",RIGHT(OFFSET(TH!G$1,SMALL(Dong2,ROWS($1:4)),),3)=$M$9,RIGHT(OFFSET(TH!G$1,SMALL(Dong2,ROWS($1:4)),),2)=$M$9),OFFSET(TH!O$1,SMALL(Dong2,ROWS($1:4)),)=$I$6),IF($I$6="1121",OFFSET(TH!M$1,SMALL(Dong2,ROWS($1:4)),),OFFSET(TH!K$1,SMALL(Dong2,ROWS($1:4)),)),0))</f>
        <v>50000</v>
      </c>
      <c r="H15" s="721">
        <f t="shared" ref="H15:H43" ca="1" si="1">IF(A15&lt;&gt;"",H14+F15-G15,0)</f>
        <v>1408644</v>
      </c>
      <c r="I15" s="721"/>
      <c r="J15" s="169"/>
      <c r="K15" s="169"/>
      <c r="L15" s="162"/>
      <c r="M15" s="169"/>
      <c r="N15" s="169"/>
      <c r="O15" s="169"/>
      <c r="P15" s="169"/>
      <c r="Q15" s="169"/>
      <c r="R15" s="169"/>
      <c r="S15" s="169"/>
    </row>
    <row r="16" spans="1:19" ht="20.25" customHeight="1">
      <c r="A16" s="180">
        <f ca="1">IF(ROWS($1:5)&gt;COUNT(Dong2),"",OFFSET(TH!C$1,SMALL(Dong2,ROWS($1:5)),))</f>
        <v>43096</v>
      </c>
      <c r="B16" s="180" t="str">
        <f ca="1">IF(ROWS($1:5)&gt;COUNT(Dong2),"",OFFSET(TH!D$1,SMALL(Dong2,ROWS($1:5)),))</f>
        <v>GBN</v>
      </c>
      <c r="C16" s="180">
        <f ca="1">IF(ROWS($1:5)&gt;COUNT(Dong2),"",OFFSET(TH!E$1,SMALL(Dong2,ROWS($1:5)),))</f>
        <v>43096</v>
      </c>
      <c r="D16" s="337" t="str">
        <f ca="1">IF(ROWS($1:5)&gt;COUNT(Dong2),"",OFFSET(TH!F$1,SMALL(Dong2,ROWS($1:5)),))</f>
        <v>VAT Phí thông báo số dư tự động</v>
      </c>
      <c r="E16" s="180" t="str">
        <f ca="1">IF(ROWS($1:5)&gt;COUNT(Dong2),"",IF(OFFSET(TH!O$1,SMALL(Dong2,ROWS($1:5)),)=$I$6,OFFSET(TH!N$1,SMALL(Dong2,ROWS($1:5)),),OFFSET(TH!O$1,SMALL(Dong2,ROWS($1:5)),)))</f>
        <v>1331</v>
      </c>
      <c r="F16" s="891">
        <f ca="1">IF(ROWS($1:5)&gt;COUNT(Dong2),"",IF(AND(IF($M$9="Q11",LEFT(OFFSET(TH!G$1,SMALL(Dong2,ROWS($1:5)),),3)=$M$9,LEFT(OFFSET(TH!G$1,SMALL(Dong2,ROWS($1:5)),),2)=$M$9),OFFSET(TH!N$1,SMALL(Dong2,ROWS($1:5)),)=$I$6),IF($I$6="1121",OFFSET(TH!M$1,SMALL(Dong2,ROWS($1:5)),),OFFSET(TH!K$1,SMALL(Dong2,ROWS($1:5)),)),0))</f>
        <v>0</v>
      </c>
      <c r="G16" s="891">
        <f ca="1">IF(ROWS($1:5)&gt;COUNT(Dong2),"",IF(AND(IF($M$9="Q11",RIGHT(OFFSET(TH!G$1,SMALL(Dong2,ROWS($1:5)),),3)=$M$9,RIGHT(OFFSET(TH!G$1,SMALL(Dong2,ROWS($1:5)),),2)=$M$9),OFFSET(TH!O$1,SMALL(Dong2,ROWS($1:5)),)=$I$6),IF($I$6="1121",OFFSET(TH!M$1,SMALL(Dong2,ROWS($1:5)),),OFFSET(TH!K$1,SMALL(Dong2,ROWS($1:5)),)),0))</f>
        <v>5000</v>
      </c>
      <c r="H16" s="721">
        <f t="shared" ca="1" si="1"/>
        <v>1403644</v>
      </c>
      <c r="I16" s="721"/>
      <c r="J16" s="169"/>
      <c r="K16" s="169"/>
      <c r="L16" s="162"/>
      <c r="M16" s="169"/>
      <c r="N16" s="169"/>
      <c r="O16" s="169"/>
      <c r="P16" s="169"/>
      <c r="Q16" s="169"/>
      <c r="R16" s="169"/>
      <c r="S16" s="169"/>
    </row>
    <row r="17" spans="1:19" ht="20.25" customHeight="1">
      <c r="A17" s="180">
        <f ca="1">IF(ROWS($1:6)&gt;COUNT(Dong2),"",OFFSET(TH!C$1,SMALL(Dong2,ROWS($1:6)),))</f>
        <v>43096</v>
      </c>
      <c r="B17" s="180" t="str">
        <f ca="1">IF(ROWS($1:6)&gt;COUNT(Dong2),"",OFFSET(TH!D$1,SMALL(Dong2,ROWS($1:6)),))</f>
        <v>GBN</v>
      </c>
      <c r="C17" s="180">
        <f ca="1">IF(ROWS($1:6)&gt;COUNT(Dong2),"",OFFSET(TH!E$1,SMALL(Dong2,ROWS($1:6)),))</f>
        <v>43096</v>
      </c>
      <c r="D17" s="337" t="str">
        <f ca="1">IF(ROWS($1:6)&gt;COUNT(Dong2),"",OFFSET(TH!F$1,SMALL(Dong2,ROWS($1:6)),))</f>
        <v>Phí thông báo số dư tự động</v>
      </c>
      <c r="E17" s="180" t="str">
        <f ca="1">IF(ROWS($1:6)&gt;COUNT(Dong2),"",IF(OFFSET(TH!O$1,SMALL(Dong2,ROWS($1:6)),)=$I$6,OFFSET(TH!N$1,SMALL(Dong2,ROWS($1:6)),),OFFSET(TH!O$1,SMALL(Dong2,ROWS($1:6)),)))</f>
        <v>642</v>
      </c>
      <c r="F17" s="891">
        <f ca="1">IF(ROWS($1:6)&gt;COUNT(Dong2),"",IF(AND(IF($M$9="Q11",LEFT(OFFSET(TH!G$1,SMALL(Dong2,ROWS($1:6)),),3)=$M$9,LEFT(OFFSET(TH!G$1,SMALL(Dong2,ROWS($1:6)),),2)=$M$9),OFFSET(TH!N$1,SMALL(Dong2,ROWS($1:6)),)=$I$6),IF($I$6="1121",OFFSET(TH!M$1,SMALL(Dong2,ROWS($1:6)),),OFFSET(TH!K$1,SMALL(Dong2,ROWS($1:6)),)),0))</f>
        <v>0</v>
      </c>
      <c r="G17" s="891">
        <f ca="1">IF(ROWS($1:6)&gt;COUNT(Dong2),"",IF(AND(IF($M$9="Q11",RIGHT(OFFSET(TH!G$1,SMALL(Dong2,ROWS($1:6)),),3)=$M$9,RIGHT(OFFSET(TH!G$1,SMALL(Dong2,ROWS($1:6)),),2)=$M$9),OFFSET(TH!O$1,SMALL(Dong2,ROWS($1:6)),)=$I$6),IF($I$6="1121",OFFSET(TH!M$1,SMALL(Dong2,ROWS($1:6)),),OFFSET(TH!K$1,SMALL(Dong2,ROWS($1:6)),)),0))</f>
        <v>50000</v>
      </c>
      <c r="H17" s="721">
        <f t="shared" ca="1" si="1"/>
        <v>1353644</v>
      </c>
      <c r="I17" s="721"/>
      <c r="J17" s="169"/>
      <c r="K17" s="169"/>
      <c r="L17" s="162"/>
      <c r="M17" s="169"/>
      <c r="N17" s="169"/>
      <c r="O17" s="169"/>
      <c r="P17" s="169"/>
      <c r="Q17" s="169"/>
      <c r="R17" s="169"/>
      <c r="S17" s="169"/>
    </row>
    <row r="18" spans="1:19" ht="20.25" customHeight="1">
      <c r="A18" s="180">
        <f ca="1">IF(ROWS($1:7)&gt;COUNT(Dong2),"",OFFSET(TH!C$1,SMALL(Dong2,ROWS($1:7)),))</f>
        <v>43096</v>
      </c>
      <c r="B18" s="180" t="str">
        <f ca="1">IF(ROWS($1:7)&gt;COUNT(Dong2),"",OFFSET(TH!D$1,SMALL(Dong2,ROWS($1:7)),))</f>
        <v>GBN</v>
      </c>
      <c r="C18" s="180">
        <f ca="1">IF(ROWS($1:7)&gt;COUNT(Dong2),"",OFFSET(TH!E$1,SMALL(Dong2,ROWS($1:7)),))</f>
        <v>43096</v>
      </c>
      <c r="D18" s="337" t="str">
        <f ca="1">IF(ROWS($1:7)&gt;COUNT(Dong2),"",OFFSET(TH!F$1,SMALL(Dong2,ROWS($1:7)),))</f>
        <v>VAT Phí thông báo số dư tự động</v>
      </c>
      <c r="E18" s="180" t="str">
        <f ca="1">IF(ROWS($1:7)&gt;COUNT(Dong2),"",IF(OFFSET(TH!O$1,SMALL(Dong2,ROWS($1:7)),)=$I$6,OFFSET(TH!N$1,SMALL(Dong2,ROWS($1:7)),),OFFSET(TH!O$1,SMALL(Dong2,ROWS($1:7)),)))</f>
        <v>1331</v>
      </c>
      <c r="F18" s="891">
        <f ca="1">IF(ROWS($1:7)&gt;COUNT(Dong2),"",IF(AND(IF($M$9="Q11",LEFT(OFFSET(TH!G$1,SMALL(Dong2,ROWS($1:7)),),3)=$M$9,LEFT(OFFSET(TH!G$1,SMALL(Dong2,ROWS($1:7)),),2)=$M$9),OFFSET(TH!N$1,SMALL(Dong2,ROWS($1:7)),)=$I$6),IF($I$6="1121",OFFSET(TH!M$1,SMALL(Dong2,ROWS($1:7)),),OFFSET(TH!K$1,SMALL(Dong2,ROWS($1:7)),)),0))</f>
        <v>0</v>
      </c>
      <c r="G18" s="891">
        <f ca="1">IF(ROWS($1:7)&gt;COUNT(Dong2),"",IF(AND(IF($M$9="Q11",RIGHT(OFFSET(TH!G$1,SMALL(Dong2,ROWS($1:7)),),3)=$M$9,RIGHT(OFFSET(TH!G$1,SMALL(Dong2,ROWS($1:7)),),2)=$M$9),OFFSET(TH!O$1,SMALL(Dong2,ROWS($1:7)),)=$I$6),IF($I$6="1121",OFFSET(TH!M$1,SMALL(Dong2,ROWS($1:7)),),OFFSET(TH!K$1,SMALL(Dong2,ROWS($1:7)),)),0))</f>
        <v>5000</v>
      </c>
      <c r="H18" s="721">
        <f t="shared" ca="1" si="1"/>
        <v>1348644</v>
      </c>
      <c r="I18" s="721"/>
      <c r="J18" s="169"/>
      <c r="K18" s="169"/>
      <c r="L18" s="162"/>
      <c r="M18" s="169"/>
      <c r="N18" s="169"/>
      <c r="O18" s="169"/>
      <c r="P18" s="169"/>
      <c r="Q18" s="169"/>
      <c r="R18" s="169"/>
      <c r="S18" s="169"/>
    </row>
    <row r="19" spans="1:19" ht="20.25" customHeight="1">
      <c r="A19" s="180">
        <f ca="1">IF(ROWS($1:8)&gt;COUNT(Dong2),"",OFFSET(TH!C$1,SMALL(Dong2,ROWS($1:8)),))</f>
        <v>43096</v>
      </c>
      <c r="B19" s="180" t="str">
        <f ca="1">IF(ROWS($1:8)&gt;COUNT(Dong2),"",OFFSET(TH!D$1,SMALL(Dong2,ROWS($1:8)),))</f>
        <v>GBN</v>
      </c>
      <c r="C19" s="180">
        <f ca="1">IF(ROWS($1:8)&gt;COUNT(Dong2),"",OFFSET(TH!E$1,SMALL(Dong2,ROWS($1:8)),))</f>
        <v>43096</v>
      </c>
      <c r="D19" s="337" t="str">
        <f ca="1">IF(ROWS($1:8)&gt;COUNT(Dong2),"",OFFSET(TH!F$1,SMALL(Dong2,ROWS($1:8)),))</f>
        <v>Phí thông báo số dư tự động</v>
      </c>
      <c r="E19" s="180" t="str">
        <f ca="1">IF(ROWS($1:8)&gt;COUNT(Dong2),"",IF(OFFSET(TH!O$1,SMALL(Dong2,ROWS($1:8)),)=$I$6,OFFSET(TH!N$1,SMALL(Dong2,ROWS($1:8)),),OFFSET(TH!O$1,SMALL(Dong2,ROWS($1:8)),)))</f>
        <v>642</v>
      </c>
      <c r="F19" s="891">
        <f ca="1">IF(ROWS($1:8)&gt;COUNT(Dong2),"",IF(AND(IF($M$9="Q11",LEFT(OFFSET(TH!G$1,SMALL(Dong2,ROWS($1:8)),),3)=$M$9,LEFT(OFFSET(TH!G$1,SMALL(Dong2,ROWS($1:8)),),2)=$M$9),OFFSET(TH!N$1,SMALL(Dong2,ROWS($1:8)),)=$I$6),IF($I$6="1121",OFFSET(TH!M$1,SMALL(Dong2,ROWS($1:8)),),OFFSET(TH!K$1,SMALL(Dong2,ROWS($1:8)),)),0))</f>
        <v>0</v>
      </c>
      <c r="G19" s="891">
        <f ca="1">IF(ROWS($1:8)&gt;COUNT(Dong2),"",IF(AND(IF($M$9="Q11",RIGHT(OFFSET(TH!G$1,SMALL(Dong2,ROWS($1:8)),),3)=$M$9,RIGHT(OFFSET(TH!G$1,SMALL(Dong2,ROWS($1:8)),),2)=$M$9),OFFSET(TH!O$1,SMALL(Dong2,ROWS($1:8)),)=$I$6),IF($I$6="1121",OFFSET(TH!M$1,SMALL(Dong2,ROWS($1:8)),),OFFSET(TH!K$1,SMALL(Dong2,ROWS($1:8)),)),0))</f>
        <v>50000</v>
      </c>
      <c r="H19" s="721">
        <f t="shared" ca="1" si="1"/>
        <v>1298644</v>
      </c>
      <c r="I19" s="721"/>
      <c r="J19" s="169"/>
      <c r="K19" s="169"/>
      <c r="L19" s="162"/>
      <c r="M19" s="169"/>
      <c r="N19" s="169"/>
      <c r="O19" s="169"/>
      <c r="P19" s="169"/>
      <c r="Q19" s="169"/>
      <c r="R19" s="169"/>
      <c r="S19" s="169"/>
    </row>
    <row r="20" spans="1:19" ht="20.25" customHeight="1">
      <c r="A20" s="180">
        <f ca="1">IF(ROWS($1:9)&gt;COUNT(Dong2),"",OFFSET(TH!C$1,SMALL(Dong2,ROWS($1:9)),))</f>
        <v>43096</v>
      </c>
      <c r="B20" s="180" t="str">
        <f ca="1">IF(ROWS($1:9)&gt;COUNT(Dong2),"",OFFSET(TH!D$1,SMALL(Dong2,ROWS($1:9)),))</f>
        <v>GBN</v>
      </c>
      <c r="C20" s="180">
        <f ca="1">IF(ROWS($1:9)&gt;COUNT(Dong2),"",OFFSET(TH!E$1,SMALL(Dong2,ROWS($1:9)),))</f>
        <v>43096</v>
      </c>
      <c r="D20" s="337" t="str">
        <f ca="1">IF(ROWS($1:9)&gt;COUNT(Dong2),"",OFFSET(TH!F$1,SMALL(Dong2,ROWS($1:9)),))</f>
        <v>VAT Phí thông báo số dư tự động</v>
      </c>
      <c r="E20" s="180" t="str">
        <f ca="1">IF(ROWS($1:9)&gt;COUNT(Dong2),"",IF(OFFSET(TH!O$1,SMALL(Dong2,ROWS($1:9)),)=$I$6,OFFSET(TH!N$1,SMALL(Dong2,ROWS($1:9)),),OFFSET(TH!O$1,SMALL(Dong2,ROWS($1:9)),)))</f>
        <v>1331</v>
      </c>
      <c r="F20" s="891">
        <f ca="1">IF(ROWS($1:9)&gt;COUNT(Dong2),"",IF(AND(IF($M$9="Q11",LEFT(OFFSET(TH!G$1,SMALL(Dong2,ROWS($1:9)),),3)=$M$9,LEFT(OFFSET(TH!G$1,SMALL(Dong2,ROWS($1:9)),),2)=$M$9),OFFSET(TH!N$1,SMALL(Dong2,ROWS($1:9)),)=$I$6),IF($I$6="1121",OFFSET(TH!M$1,SMALL(Dong2,ROWS($1:9)),),OFFSET(TH!K$1,SMALL(Dong2,ROWS($1:9)),)),0))</f>
        <v>0</v>
      </c>
      <c r="G20" s="891">
        <f ca="1">IF(ROWS($1:9)&gt;COUNT(Dong2),"",IF(AND(IF($M$9="Q11",RIGHT(OFFSET(TH!G$1,SMALL(Dong2,ROWS($1:9)),),3)=$M$9,RIGHT(OFFSET(TH!G$1,SMALL(Dong2,ROWS($1:9)),),2)=$M$9),OFFSET(TH!O$1,SMALL(Dong2,ROWS($1:9)),)=$I$6),IF($I$6="1121",OFFSET(TH!M$1,SMALL(Dong2,ROWS($1:9)),),OFFSET(TH!K$1,SMALL(Dong2,ROWS($1:9)),)),0))</f>
        <v>5000</v>
      </c>
      <c r="H20" s="721">
        <f t="shared" ca="1" si="1"/>
        <v>1293644</v>
      </c>
      <c r="I20" s="721"/>
      <c r="J20" s="169"/>
      <c r="K20" s="169"/>
      <c r="L20" s="162"/>
      <c r="M20" s="169"/>
      <c r="N20" s="169"/>
      <c r="O20" s="169"/>
      <c r="P20" s="169"/>
      <c r="Q20" s="169"/>
      <c r="R20" s="169"/>
      <c r="S20" s="169"/>
    </row>
    <row r="21" spans="1:19" ht="20.25" customHeight="1">
      <c r="A21" s="180" t="str">
        <f ca="1">IF(ROWS($1:10)&gt;COUNT(Dong2),"",OFFSET(TH!C$1,SMALL(Dong2,ROWS($1:10)),))</f>
        <v/>
      </c>
      <c r="B21" s="180" t="str">
        <f ca="1">IF(ROWS($1:10)&gt;COUNT(Dong2),"",OFFSET(TH!D$1,SMALL(Dong2,ROWS($1:10)),))</f>
        <v/>
      </c>
      <c r="C21" s="180" t="str">
        <f ca="1">IF(ROWS($1:10)&gt;COUNT(Dong2),"",OFFSET(TH!E$1,SMALL(Dong2,ROWS($1:10)),))</f>
        <v/>
      </c>
      <c r="D21" s="337" t="str">
        <f ca="1">IF(ROWS($1:10)&gt;COUNT(Dong2),"",OFFSET(TH!F$1,SMALL(Dong2,ROWS($1:10)),))</f>
        <v/>
      </c>
      <c r="E21" s="180" t="str">
        <f ca="1">IF(ROWS($1:10)&gt;COUNT(Dong2),"",IF(OFFSET(TH!O$1,SMALL(Dong2,ROWS($1:10)),)=$I$6,OFFSET(TH!N$1,SMALL(Dong2,ROWS($1:10)),),OFFSET(TH!O$1,SMALL(Dong2,ROWS($1:10)),)))</f>
        <v/>
      </c>
      <c r="F21" s="891" t="str">
        <f ca="1">IF(ROWS($1:10)&gt;COUNT(Dong2),"",IF(AND(IF($M$9="Q11",LEFT(OFFSET(TH!G$1,SMALL(Dong2,ROWS($1:10)),),3)=$M$9,LEFT(OFFSET(TH!G$1,SMALL(Dong2,ROWS($1:10)),),2)=$M$9),OFFSET(TH!N$1,SMALL(Dong2,ROWS($1:10)),)=$I$6),IF($I$6="1121",OFFSET(TH!M$1,SMALL(Dong2,ROWS($1:10)),),OFFSET(TH!K$1,SMALL(Dong2,ROWS($1:10)),)),0))</f>
        <v/>
      </c>
      <c r="G21" s="891" t="str">
        <f ca="1">IF(ROWS($1:10)&gt;COUNT(Dong2),"",IF(AND(IF($M$9="Q11",RIGHT(OFFSET(TH!G$1,SMALL(Dong2,ROWS($1:10)),),3)=$M$9,RIGHT(OFFSET(TH!G$1,SMALL(Dong2,ROWS($1:10)),),2)=$M$9),OFFSET(TH!O$1,SMALL(Dong2,ROWS($1:10)),)=$I$6),IF($I$6="1121",OFFSET(TH!M$1,SMALL(Dong2,ROWS($1:10)),),OFFSET(TH!K$1,SMALL(Dong2,ROWS($1:10)),)),0))</f>
        <v/>
      </c>
      <c r="H21" s="721">
        <f t="shared" ca="1" si="1"/>
        <v>0</v>
      </c>
      <c r="I21" s="721"/>
      <c r="J21" s="169"/>
      <c r="K21" s="169"/>
      <c r="L21" s="162"/>
      <c r="M21" s="169"/>
      <c r="N21" s="169"/>
      <c r="O21" s="169"/>
      <c r="P21" s="169"/>
      <c r="Q21" s="169"/>
      <c r="R21" s="169"/>
      <c r="S21" s="169"/>
    </row>
    <row r="22" spans="1:19" ht="20.25" customHeight="1">
      <c r="A22" s="180" t="str">
        <f ca="1">IF(ROWS($1:11)&gt;COUNT(Dong2),"",OFFSET(TH!C$1,SMALL(Dong2,ROWS($1:11)),))</f>
        <v/>
      </c>
      <c r="B22" s="180" t="str">
        <f ca="1">IF(ROWS($1:11)&gt;COUNT(Dong2),"",OFFSET(TH!D$1,SMALL(Dong2,ROWS($1:11)),))</f>
        <v/>
      </c>
      <c r="C22" s="180" t="str">
        <f ca="1">IF(ROWS($1:11)&gt;COUNT(Dong2),"",OFFSET(TH!E$1,SMALL(Dong2,ROWS($1:11)),))</f>
        <v/>
      </c>
      <c r="D22" s="337" t="str">
        <f ca="1">IF(ROWS($1:11)&gt;COUNT(Dong2),"",OFFSET(TH!F$1,SMALL(Dong2,ROWS($1:11)),))</f>
        <v/>
      </c>
      <c r="E22" s="180" t="str">
        <f ca="1">IF(ROWS($1:11)&gt;COUNT(Dong2),"",IF(OFFSET(TH!O$1,SMALL(Dong2,ROWS($1:11)),)=$I$6,OFFSET(TH!N$1,SMALL(Dong2,ROWS($1:11)),),OFFSET(TH!O$1,SMALL(Dong2,ROWS($1:11)),)))</f>
        <v/>
      </c>
      <c r="F22" s="891" t="str">
        <f ca="1">IF(ROWS($1:11)&gt;COUNT(Dong2),"",IF(AND(IF($M$9="Q11",LEFT(OFFSET(TH!G$1,SMALL(Dong2,ROWS($1:11)),),3)=$M$9,LEFT(OFFSET(TH!G$1,SMALL(Dong2,ROWS($1:11)),),2)=$M$9),OFFSET(TH!N$1,SMALL(Dong2,ROWS($1:11)),)=$I$6),IF($I$6="1121",OFFSET(TH!M$1,SMALL(Dong2,ROWS($1:11)),),OFFSET(TH!K$1,SMALL(Dong2,ROWS($1:11)),)),0))</f>
        <v/>
      </c>
      <c r="G22" s="891" t="str">
        <f ca="1">IF(ROWS($1:11)&gt;COUNT(Dong2),"",IF(AND(IF($M$9="Q11",RIGHT(OFFSET(TH!G$1,SMALL(Dong2,ROWS($1:11)),),3)=$M$9,RIGHT(OFFSET(TH!G$1,SMALL(Dong2,ROWS($1:11)),),2)=$M$9),OFFSET(TH!O$1,SMALL(Dong2,ROWS($1:11)),)=$I$6),IF($I$6="1121",OFFSET(TH!M$1,SMALL(Dong2,ROWS($1:11)),),OFFSET(TH!K$1,SMALL(Dong2,ROWS($1:11)),)),0))</f>
        <v/>
      </c>
      <c r="H22" s="721">
        <f t="shared" ca="1" si="1"/>
        <v>0</v>
      </c>
      <c r="I22" s="721"/>
      <c r="J22" s="169"/>
      <c r="K22" s="169"/>
      <c r="L22" s="162"/>
      <c r="M22" s="169"/>
      <c r="N22" s="169"/>
      <c r="O22" s="719"/>
      <c r="P22" s="169"/>
      <c r="Q22" s="169"/>
      <c r="R22" s="169"/>
      <c r="S22" s="169"/>
    </row>
    <row r="23" spans="1:19" ht="20.25" customHeight="1">
      <c r="A23" s="180" t="str">
        <f ca="1">IF(ROWS($1:12)&gt;COUNT(Dong2),"",OFFSET(TH!C$1,SMALL(Dong2,ROWS($1:12)),))</f>
        <v/>
      </c>
      <c r="B23" s="180" t="str">
        <f ca="1">IF(ROWS($1:12)&gt;COUNT(Dong2),"",OFFSET(TH!D$1,SMALL(Dong2,ROWS($1:12)),))</f>
        <v/>
      </c>
      <c r="C23" s="180" t="str">
        <f ca="1">IF(ROWS($1:12)&gt;COUNT(Dong2),"",OFFSET(TH!E$1,SMALL(Dong2,ROWS($1:12)),))</f>
        <v/>
      </c>
      <c r="D23" s="337" t="str">
        <f ca="1">IF(ROWS($1:12)&gt;COUNT(Dong2),"",OFFSET(TH!F$1,SMALL(Dong2,ROWS($1:12)),))</f>
        <v/>
      </c>
      <c r="E23" s="180" t="str">
        <f ca="1">IF(ROWS($1:12)&gt;COUNT(Dong2),"",IF(OFFSET(TH!O$1,SMALL(Dong2,ROWS($1:12)),)=$I$6,OFFSET(TH!N$1,SMALL(Dong2,ROWS($1:12)),),OFFSET(TH!O$1,SMALL(Dong2,ROWS($1:12)),)))</f>
        <v/>
      </c>
      <c r="F23" s="891" t="str">
        <f ca="1">IF(ROWS($1:12)&gt;COUNT(Dong2),"",IF(AND(IF($M$9="Q11",LEFT(OFFSET(TH!G$1,SMALL(Dong2,ROWS($1:12)),),3)=$M$9,LEFT(OFFSET(TH!G$1,SMALL(Dong2,ROWS($1:12)),),2)=$M$9),OFFSET(TH!N$1,SMALL(Dong2,ROWS($1:12)),)=$I$6),IF($I$6="1121",OFFSET(TH!M$1,SMALL(Dong2,ROWS($1:12)),),OFFSET(TH!K$1,SMALL(Dong2,ROWS($1:12)),)),0))</f>
        <v/>
      </c>
      <c r="G23" s="891" t="str">
        <f ca="1">IF(ROWS($1:12)&gt;COUNT(Dong2),"",IF(AND(IF($M$9="Q11",RIGHT(OFFSET(TH!G$1,SMALL(Dong2,ROWS($1:12)),),3)=$M$9,RIGHT(OFFSET(TH!G$1,SMALL(Dong2,ROWS($1:12)),),2)=$M$9),OFFSET(TH!O$1,SMALL(Dong2,ROWS($1:12)),)=$I$6),IF($I$6="1121",OFFSET(TH!M$1,SMALL(Dong2,ROWS($1:12)),),OFFSET(TH!K$1,SMALL(Dong2,ROWS($1:12)),)),0))</f>
        <v/>
      </c>
      <c r="H23" s="721">
        <f t="shared" ca="1" si="1"/>
        <v>0</v>
      </c>
      <c r="I23" s="721"/>
      <c r="J23" s="169"/>
      <c r="K23" s="169"/>
      <c r="L23" s="162"/>
      <c r="M23" s="169"/>
      <c r="N23" s="169"/>
      <c r="O23" s="169"/>
      <c r="P23" s="169"/>
      <c r="Q23" s="169"/>
      <c r="R23" s="169"/>
      <c r="S23" s="169"/>
    </row>
    <row r="24" spans="1:19" ht="20.25" customHeight="1">
      <c r="A24" s="180" t="str">
        <f ca="1">IF(ROWS($1:13)&gt;COUNT(Dong2),"",OFFSET(TH!C$1,SMALL(Dong2,ROWS($1:13)),))</f>
        <v/>
      </c>
      <c r="B24" s="180" t="str">
        <f ca="1">IF(ROWS($1:13)&gt;COUNT(Dong2),"",OFFSET(TH!D$1,SMALL(Dong2,ROWS($1:13)),))</f>
        <v/>
      </c>
      <c r="C24" s="180" t="str">
        <f ca="1">IF(ROWS($1:13)&gt;COUNT(Dong2),"",OFFSET(TH!E$1,SMALL(Dong2,ROWS($1:13)),))</f>
        <v/>
      </c>
      <c r="D24" s="337" t="str">
        <f ca="1">IF(ROWS($1:13)&gt;COUNT(Dong2),"",OFFSET(TH!F$1,SMALL(Dong2,ROWS($1:13)),))</f>
        <v/>
      </c>
      <c r="E24" s="180" t="str">
        <f ca="1">IF(ROWS($1:13)&gt;COUNT(Dong2),"",IF(OFFSET(TH!O$1,SMALL(Dong2,ROWS($1:13)),)=$I$6,OFFSET(TH!N$1,SMALL(Dong2,ROWS($1:13)),),OFFSET(TH!O$1,SMALL(Dong2,ROWS($1:13)),)))</f>
        <v/>
      </c>
      <c r="F24" s="891" t="str">
        <f ca="1">IF(ROWS($1:13)&gt;COUNT(Dong2),"",IF(AND(IF($M$9="Q11",LEFT(OFFSET(TH!G$1,SMALL(Dong2,ROWS($1:13)),),3)=$M$9,LEFT(OFFSET(TH!G$1,SMALL(Dong2,ROWS($1:13)),),2)=$M$9),OFFSET(TH!N$1,SMALL(Dong2,ROWS($1:13)),)=$I$6),IF($I$6="1121",OFFSET(TH!M$1,SMALL(Dong2,ROWS($1:13)),),OFFSET(TH!K$1,SMALL(Dong2,ROWS($1:13)),)),0))</f>
        <v/>
      </c>
      <c r="G24" s="891" t="str">
        <f ca="1">IF(ROWS($1:13)&gt;COUNT(Dong2),"",IF(AND(IF($M$9="Q11",RIGHT(OFFSET(TH!G$1,SMALL(Dong2,ROWS($1:13)),),3)=$M$9,RIGHT(OFFSET(TH!G$1,SMALL(Dong2,ROWS($1:13)),),2)=$M$9),OFFSET(TH!O$1,SMALL(Dong2,ROWS($1:13)),)=$I$6),IF($I$6="1121",OFFSET(TH!M$1,SMALL(Dong2,ROWS($1:13)),),OFFSET(TH!K$1,SMALL(Dong2,ROWS($1:13)),)),0))</f>
        <v/>
      </c>
      <c r="H24" s="721">
        <f t="shared" ca="1" si="1"/>
        <v>0</v>
      </c>
      <c r="I24" s="721"/>
      <c r="J24" s="169"/>
      <c r="K24" s="169"/>
      <c r="L24" s="162"/>
      <c r="M24" s="169"/>
      <c r="N24" s="169"/>
      <c r="O24" s="881"/>
      <c r="P24" s="169"/>
      <c r="Q24" s="169"/>
      <c r="R24" s="169"/>
      <c r="S24" s="169"/>
    </row>
    <row r="25" spans="1:19" ht="20.25" customHeight="1">
      <c r="A25" s="180" t="str">
        <f ca="1">IF(ROWS($1:14)&gt;COUNT(Dong2),"",OFFSET(TH!C$1,SMALL(Dong2,ROWS($1:14)),))</f>
        <v/>
      </c>
      <c r="B25" s="180" t="str">
        <f ca="1">IF(ROWS($1:14)&gt;COUNT(Dong2),"",OFFSET(TH!D$1,SMALL(Dong2,ROWS($1:14)),))</f>
        <v/>
      </c>
      <c r="C25" s="180" t="str">
        <f ca="1">IF(ROWS($1:14)&gt;COUNT(Dong2),"",OFFSET(TH!E$1,SMALL(Dong2,ROWS($1:14)),))</f>
        <v/>
      </c>
      <c r="D25" s="337" t="str">
        <f ca="1">IF(ROWS($1:14)&gt;COUNT(Dong2),"",OFFSET(TH!F$1,SMALL(Dong2,ROWS($1:14)),))</f>
        <v/>
      </c>
      <c r="E25" s="180" t="str">
        <f ca="1">IF(ROWS($1:14)&gt;COUNT(Dong2),"",IF(OFFSET(TH!O$1,SMALL(Dong2,ROWS($1:14)),)=$I$6,OFFSET(TH!N$1,SMALL(Dong2,ROWS($1:14)),),OFFSET(TH!O$1,SMALL(Dong2,ROWS($1:14)),)))</f>
        <v/>
      </c>
      <c r="F25" s="891" t="str">
        <f ca="1">IF(ROWS($1:14)&gt;COUNT(Dong2),"",IF(AND(IF($M$9="Q11",LEFT(OFFSET(TH!G$1,SMALL(Dong2,ROWS($1:14)),),3)=$M$9,LEFT(OFFSET(TH!G$1,SMALL(Dong2,ROWS($1:14)),),2)=$M$9),OFFSET(TH!N$1,SMALL(Dong2,ROWS($1:14)),)=$I$6),IF($I$6="1121",OFFSET(TH!M$1,SMALL(Dong2,ROWS($1:14)),),OFFSET(TH!K$1,SMALL(Dong2,ROWS($1:14)),)),0))</f>
        <v/>
      </c>
      <c r="G25" s="891" t="str">
        <f ca="1">IF(ROWS($1:14)&gt;COUNT(Dong2),"",IF(AND(IF($M$9="Q11",RIGHT(OFFSET(TH!G$1,SMALL(Dong2,ROWS($1:14)),),3)=$M$9,RIGHT(OFFSET(TH!G$1,SMALL(Dong2,ROWS($1:14)),),2)=$M$9),OFFSET(TH!O$1,SMALL(Dong2,ROWS($1:14)),)=$I$6),IF($I$6="1121",OFFSET(TH!M$1,SMALL(Dong2,ROWS($1:14)),),OFFSET(TH!K$1,SMALL(Dong2,ROWS($1:14)),)),0))</f>
        <v/>
      </c>
      <c r="H25" s="721">
        <f t="shared" ca="1" si="1"/>
        <v>0</v>
      </c>
      <c r="I25" s="721"/>
      <c r="J25" s="169"/>
      <c r="K25" s="169"/>
      <c r="L25" s="162"/>
      <c r="M25" s="169"/>
      <c r="N25" s="169"/>
      <c r="O25" s="169"/>
      <c r="P25" s="169"/>
      <c r="Q25" s="169"/>
      <c r="R25" s="169"/>
      <c r="S25" s="169"/>
    </row>
    <row r="26" spans="1:19" ht="20.25" customHeight="1">
      <c r="A26" s="180" t="str">
        <f ca="1">IF(ROWS($1:15)&gt;COUNT(Dong2),"",OFFSET(TH!C$1,SMALL(Dong2,ROWS($1:15)),))</f>
        <v/>
      </c>
      <c r="B26" s="180" t="str">
        <f ca="1">IF(ROWS($1:15)&gt;COUNT(Dong2),"",OFFSET(TH!D$1,SMALL(Dong2,ROWS($1:15)),))</f>
        <v/>
      </c>
      <c r="C26" s="180" t="str">
        <f ca="1">IF(ROWS($1:15)&gt;COUNT(Dong2),"",OFFSET(TH!E$1,SMALL(Dong2,ROWS($1:15)),))</f>
        <v/>
      </c>
      <c r="D26" s="337" t="str">
        <f ca="1">IF(ROWS($1:15)&gt;COUNT(Dong2),"",OFFSET(TH!F$1,SMALL(Dong2,ROWS($1:15)),))</f>
        <v/>
      </c>
      <c r="E26" s="180" t="str">
        <f ca="1">IF(ROWS($1:15)&gt;COUNT(Dong2),"",IF(OFFSET(TH!O$1,SMALL(Dong2,ROWS($1:15)),)=$I$6,OFFSET(TH!N$1,SMALL(Dong2,ROWS($1:15)),),OFFSET(TH!O$1,SMALL(Dong2,ROWS($1:15)),)))</f>
        <v/>
      </c>
      <c r="F26" s="891" t="str">
        <f ca="1">IF(ROWS($1:15)&gt;COUNT(Dong2),"",IF(AND(IF($M$9="Q11",LEFT(OFFSET(TH!G$1,SMALL(Dong2,ROWS($1:15)),),3)=$M$9,LEFT(OFFSET(TH!G$1,SMALL(Dong2,ROWS($1:15)),),2)=$M$9),OFFSET(TH!N$1,SMALL(Dong2,ROWS($1:15)),)=$I$6),IF($I$6="1121",OFFSET(TH!M$1,SMALL(Dong2,ROWS($1:15)),),OFFSET(TH!K$1,SMALL(Dong2,ROWS($1:15)),)),0))</f>
        <v/>
      </c>
      <c r="G26" s="891" t="str">
        <f ca="1">IF(ROWS($1:15)&gt;COUNT(Dong2),"",IF(AND(IF($M$9="Q11",RIGHT(OFFSET(TH!G$1,SMALL(Dong2,ROWS($1:15)),),3)=$M$9,RIGHT(OFFSET(TH!G$1,SMALL(Dong2,ROWS($1:15)),),2)=$M$9),OFFSET(TH!O$1,SMALL(Dong2,ROWS($1:15)),)=$I$6),IF($I$6="1121",OFFSET(TH!M$1,SMALL(Dong2,ROWS($1:15)),),OFFSET(TH!K$1,SMALL(Dong2,ROWS($1:15)),)),0))</f>
        <v/>
      </c>
      <c r="H26" s="721">
        <f t="shared" ca="1" si="1"/>
        <v>0</v>
      </c>
      <c r="I26" s="721"/>
      <c r="J26" s="169"/>
      <c r="K26" s="169"/>
      <c r="L26" s="162"/>
      <c r="M26" s="169"/>
      <c r="N26" s="169"/>
      <c r="O26" s="169"/>
      <c r="P26" s="169"/>
      <c r="Q26" s="169"/>
      <c r="R26" s="169"/>
      <c r="S26" s="169"/>
    </row>
    <row r="27" spans="1:19" ht="20.25" customHeight="1">
      <c r="A27" s="180" t="str">
        <f ca="1">IF(ROWS($1:16)&gt;COUNT(Dong2),"",OFFSET(TH!C$1,SMALL(Dong2,ROWS($1:16)),))</f>
        <v/>
      </c>
      <c r="B27" s="180" t="str">
        <f ca="1">IF(ROWS($1:16)&gt;COUNT(Dong2),"",OFFSET(TH!D$1,SMALL(Dong2,ROWS($1:16)),))</f>
        <v/>
      </c>
      <c r="C27" s="180" t="str">
        <f ca="1">IF(ROWS($1:16)&gt;COUNT(Dong2),"",OFFSET(TH!E$1,SMALL(Dong2,ROWS($1:16)),))</f>
        <v/>
      </c>
      <c r="D27" s="337" t="str">
        <f ca="1">IF(ROWS($1:16)&gt;COUNT(Dong2),"",OFFSET(TH!F$1,SMALL(Dong2,ROWS($1:16)),))</f>
        <v/>
      </c>
      <c r="E27" s="180" t="str">
        <f ca="1">IF(ROWS($1:16)&gt;COUNT(Dong2),"",IF(OFFSET(TH!O$1,SMALL(Dong2,ROWS($1:16)),)=$I$6,OFFSET(TH!N$1,SMALL(Dong2,ROWS($1:16)),),OFFSET(TH!O$1,SMALL(Dong2,ROWS($1:16)),)))</f>
        <v/>
      </c>
      <c r="F27" s="891" t="str">
        <f ca="1">IF(ROWS($1:16)&gt;COUNT(Dong2),"",IF(AND(IF($M$9="Q11",LEFT(OFFSET(TH!G$1,SMALL(Dong2,ROWS($1:16)),),3)=$M$9,LEFT(OFFSET(TH!G$1,SMALL(Dong2,ROWS($1:16)),),2)=$M$9),OFFSET(TH!N$1,SMALL(Dong2,ROWS($1:16)),)=$I$6),IF($I$6="1121",OFFSET(TH!M$1,SMALL(Dong2,ROWS($1:16)),),OFFSET(TH!K$1,SMALL(Dong2,ROWS($1:16)),)),0))</f>
        <v/>
      </c>
      <c r="G27" s="891" t="str">
        <f ca="1">IF(ROWS($1:16)&gt;COUNT(Dong2),"",IF(AND(IF($M$9="Q11",RIGHT(OFFSET(TH!G$1,SMALL(Dong2,ROWS($1:16)),),3)=$M$9,RIGHT(OFFSET(TH!G$1,SMALL(Dong2,ROWS($1:16)),),2)=$M$9),OFFSET(TH!O$1,SMALL(Dong2,ROWS($1:16)),)=$I$6),IF($I$6="1121",OFFSET(TH!M$1,SMALL(Dong2,ROWS($1:16)),),OFFSET(TH!K$1,SMALL(Dong2,ROWS($1:16)),)),0))</f>
        <v/>
      </c>
      <c r="H27" s="721">
        <f t="shared" ca="1" si="1"/>
        <v>0</v>
      </c>
      <c r="I27" s="721"/>
      <c r="J27" s="169"/>
      <c r="K27" s="169"/>
      <c r="L27" s="162"/>
      <c r="M27" s="169"/>
      <c r="N27" s="169"/>
      <c r="O27" s="169"/>
      <c r="P27" s="169"/>
      <c r="Q27" s="169"/>
      <c r="R27" s="169"/>
      <c r="S27" s="169"/>
    </row>
    <row r="28" spans="1:19" ht="20.25" customHeight="1">
      <c r="A28" s="180" t="str">
        <f ca="1">IF(ROWS($1:17)&gt;COUNT(Dong2),"",OFFSET(TH!C$1,SMALL(Dong2,ROWS($1:17)),))</f>
        <v/>
      </c>
      <c r="B28" s="180" t="str">
        <f ca="1">IF(ROWS($1:17)&gt;COUNT(Dong2),"",OFFSET(TH!D$1,SMALL(Dong2,ROWS($1:17)),))</f>
        <v/>
      </c>
      <c r="C28" s="180" t="str">
        <f ca="1">IF(ROWS($1:17)&gt;COUNT(Dong2),"",OFFSET(TH!E$1,SMALL(Dong2,ROWS($1:17)),))</f>
        <v/>
      </c>
      <c r="D28" s="337" t="str">
        <f ca="1">IF(ROWS($1:17)&gt;COUNT(Dong2),"",OFFSET(TH!F$1,SMALL(Dong2,ROWS($1:17)),))</f>
        <v/>
      </c>
      <c r="E28" s="180" t="str">
        <f ca="1">IF(ROWS($1:17)&gt;COUNT(Dong2),"",IF(OFFSET(TH!O$1,SMALL(Dong2,ROWS($1:17)),)=$I$6,OFFSET(TH!N$1,SMALL(Dong2,ROWS($1:17)),),OFFSET(TH!O$1,SMALL(Dong2,ROWS($1:17)),)))</f>
        <v/>
      </c>
      <c r="F28" s="891" t="str">
        <f ca="1">IF(ROWS($1:17)&gt;COUNT(Dong2),"",IF(AND(IF($M$9="Q11",LEFT(OFFSET(TH!G$1,SMALL(Dong2,ROWS($1:17)),),3)=$M$9,LEFT(OFFSET(TH!G$1,SMALL(Dong2,ROWS($1:17)),),2)=$M$9),OFFSET(TH!N$1,SMALL(Dong2,ROWS($1:17)),)=$I$6),IF($I$6="1121",OFFSET(TH!M$1,SMALL(Dong2,ROWS($1:17)),),OFFSET(TH!K$1,SMALL(Dong2,ROWS($1:17)),)),0))</f>
        <v/>
      </c>
      <c r="G28" s="891" t="str">
        <f ca="1">IF(ROWS($1:17)&gt;COUNT(Dong2),"",IF(AND(IF($M$9="Q11",RIGHT(OFFSET(TH!G$1,SMALL(Dong2,ROWS($1:17)),),3)=$M$9,RIGHT(OFFSET(TH!G$1,SMALL(Dong2,ROWS($1:17)),),2)=$M$9),OFFSET(TH!O$1,SMALL(Dong2,ROWS($1:17)),)=$I$6),IF($I$6="1121",OFFSET(TH!M$1,SMALL(Dong2,ROWS($1:17)),),OFFSET(TH!K$1,SMALL(Dong2,ROWS($1:17)),)),0))</f>
        <v/>
      </c>
      <c r="H28" s="721">
        <f t="shared" ca="1" si="1"/>
        <v>0</v>
      </c>
      <c r="I28" s="721"/>
      <c r="J28" s="169"/>
      <c r="K28" s="169"/>
      <c r="L28" s="162"/>
      <c r="M28" s="169"/>
      <c r="N28" s="169"/>
      <c r="O28" s="169"/>
      <c r="P28" s="169"/>
      <c r="Q28" s="169"/>
      <c r="R28" s="169"/>
      <c r="S28" s="169"/>
    </row>
    <row r="29" spans="1:19" ht="20.25" customHeight="1">
      <c r="A29" s="180" t="str">
        <f ca="1">IF(ROWS($1:18)&gt;COUNT(Dong2),"",OFFSET(TH!C$1,SMALL(Dong2,ROWS($1:18)),))</f>
        <v/>
      </c>
      <c r="B29" s="180" t="str">
        <f ca="1">IF(ROWS($1:18)&gt;COUNT(Dong2),"",OFFSET(TH!D$1,SMALL(Dong2,ROWS($1:18)),))</f>
        <v/>
      </c>
      <c r="C29" s="180" t="str">
        <f ca="1">IF(ROWS($1:18)&gt;COUNT(Dong2),"",OFFSET(TH!E$1,SMALL(Dong2,ROWS($1:18)),))</f>
        <v/>
      </c>
      <c r="D29" s="337" t="str">
        <f ca="1">IF(ROWS($1:18)&gt;COUNT(Dong2),"",OFFSET(TH!F$1,SMALL(Dong2,ROWS($1:18)),))</f>
        <v/>
      </c>
      <c r="E29" s="180" t="str">
        <f ca="1">IF(ROWS($1:18)&gt;COUNT(Dong2),"",IF(OFFSET(TH!O$1,SMALL(Dong2,ROWS($1:18)),)=$I$6,OFFSET(TH!N$1,SMALL(Dong2,ROWS($1:18)),),OFFSET(TH!O$1,SMALL(Dong2,ROWS($1:18)),)))</f>
        <v/>
      </c>
      <c r="F29" s="891" t="str">
        <f ca="1">IF(ROWS($1:18)&gt;COUNT(Dong2),"",IF(AND(IF($M$9="Q11",LEFT(OFFSET(TH!G$1,SMALL(Dong2,ROWS($1:18)),),3)=$M$9,LEFT(OFFSET(TH!G$1,SMALL(Dong2,ROWS($1:18)),),2)=$M$9),OFFSET(TH!N$1,SMALL(Dong2,ROWS($1:18)),)=$I$6),IF($I$6="1121",OFFSET(TH!M$1,SMALL(Dong2,ROWS($1:18)),),OFFSET(TH!K$1,SMALL(Dong2,ROWS($1:18)),)),0))</f>
        <v/>
      </c>
      <c r="G29" s="891" t="str">
        <f ca="1">IF(ROWS($1:18)&gt;COUNT(Dong2),"",IF(AND(IF($M$9="Q11",RIGHT(OFFSET(TH!G$1,SMALL(Dong2,ROWS($1:18)),),3)=$M$9,RIGHT(OFFSET(TH!G$1,SMALL(Dong2,ROWS($1:18)),),2)=$M$9),OFFSET(TH!O$1,SMALL(Dong2,ROWS($1:18)),)=$I$6),IF($I$6="1121",OFFSET(TH!M$1,SMALL(Dong2,ROWS($1:18)),),OFFSET(TH!K$1,SMALL(Dong2,ROWS($1:18)),)),0))</f>
        <v/>
      </c>
      <c r="H29" s="721">
        <f t="shared" ca="1" si="1"/>
        <v>0</v>
      </c>
      <c r="I29" s="721"/>
      <c r="J29" s="169"/>
      <c r="K29" s="169"/>
      <c r="L29" s="162"/>
      <c r="M29" s="169"/>
      <c r="N29" s="169"/>
      <c r="O29" s="169"/>
      <c r="P29" s="169"/>
      <c r="Q29" s="169"/>
      <c r="R29" s="169"/>
      <c r="S29" s="169"/>
    </row>
    <row r="30" spans="1:19" ht="20.25" customHeight="1">
      <c r="A30" s="180" t="str">
        <f ca="1">IF(ROWS($1:19)&gt;COUNT(Dong2),"",OFFSET(TH!C$1,SMALL(Dong2,ROWS($1:19)),))</f>
        <v/>
      </c>
      <c r="B30" s="180" t="str">
        <f ca="1">IF(ROWS($1:19)&gt;COUNT(Dong2),"",OFFSET(TH!D$1,SMALL(Dong2,ROWS($1:19)),))</f>
        <v/>
      </c>
      <c r="C30" s="180" t="str">
        <f ca="1">IF(ROWS($1:19)&gt;COUNT(Dong2),"",OFFSET(TH!E$1,SMALL(Dong2,ROWS($1:19)),))</f>
        <v/>
      </c>
      <c r="D30" s="337" t="str">
        <f ca="1">IF(ROWS($1:19)&gt;COUNT(Dong2),"",OFFSET(TH!F$1,SMALL(Dong2,ROWS($1:19)),))</f>
        <v/>
      </c>
      <c r="E30" s="180" t="str">
        <f ca="1">IF(ROWS($1:19)&gt;COUNT(Dong2),"",IF(OFFSET(TH!O$1,SMALL(Dong2,ROWS($1:19)),)=$I$6,OFFSET(TH!N$1,SMALL(Dong2,ROWS($1:19)),),OFFSET(TH!O$1,SMALL(Dong2,ROWS($1:19)),)))</f>
        <v/>
      </c>
      <c r="F30" s="891" t="str">
        <f ca="1">IF(ROWS($1:19)&gt;COUNT(Dong2),"",IF(AND(IF($M$9="Q11",LEFT(OFFSET(TH!G$1,SMALL(Dong2,ROWS($1:19)),),3)=$M$9,LEFT(OFFSET(TH!G$1,SMALL(Dong2,ROWS($1:19)),),2)=$M$9),OFFSET(TH!N$1,SMALL(Dong2,ROWS($1:19)),)=$I$6),IF($I$6="1121",OFFSET(TH!M$1,SMALL(Dong2,ROWS($1:19)),),OFFSET(TH!K$1,SMALL(Dong2,ROWS($1:19)),)),0))</f>
        <v/>
      </c>
      <c r="G30" s="891" t="str">
        <f ca="1">IF(ROWS($1:19)&gt;COUNT(Dong2),"",IF(AND(IF($M$9="Q11",RIGHT(OFFSET(TH!G$1,SMALL(Dong2,ROWS($1:19)),),3)=$M$9,RIGHT(OFFSET(TH!G$1,SMALL(Dong2,ROWS($1:19)),),2)=$M$9),OFFSET(TH!O$1,SMALL(Dong2,ROWS($1:19)),)=$I$6),IF($I$6="1121",OFFSET(TH!M$1,SMALL(Dong2,ROWS($1:19)),),OFFSET(TH!K$1,SMALL(Dong2,ROWS($1:19)),)),0))</f>
        <v/>
      </c>
      <c r="H30" s="721">
        <f t="shared" ca="1" si="1"/>
        <v>0</v>
      </c>
      <c r="I30" s="721"/>
      <c r="J30" s="169"/>
      <c r="K30" s="169"/>
      <c r="L30" s="1086"/>
      <c r="M30" s="169"/>
      <c r="N30" s="169"/>
      <c r="O30" s="169"/>
      <c r="P30" s="169"/>
      <c r="Q30" s="169"/>
      <c r="R30" s="169"/>
      <c r="S30" s="169"/>
    </row>
    <row r="31" spans="1:19" ht="20.25" customHeight="1">
      <c r="A31" s="180" t="str">
        <f ca="1">IF(ROWS($1:20)&gt;COUNT(Dong2),"",OFFSET(TH!C$1,SMALL(Dong2,ROWS($1:20)),))</f>
        <v/>
      </c>
      <c r="B31" s="180" t="str">
        <f ca="1">IF(ROWS($1:20)&gt;COUNT(Dong2),"",OFFSET(TH!D$1,SMALL(Dong2,ROWS($1:20)),))</f>
        <v/>
      </c>
      <c r="C31" s="180" t="str">
        <f ca="1">IF(ROWS($1:20)&gt;COUNT(Dong2),"",OFFSET(TH!E$1,SMALL(Dong2,ROWS($1:20)),))</f>
        <v/>
      </c>
      <c r="D31" s="337" t="str">
        <f ca="1">IF(ROWS($1:20)&gt;COUNT(Dong2),"",OFFSET(TH!F$1,SMALL(Dong2,ROWS($1:20)),))</f>
        <v/>
      </c>
      <c r="E31" s="180" t="str">
        <f ca="1">IF(ROWS($1:20)&gt;COUNT(Dong2),"",IF(OFFSET(TH!O$1,SMALL(Dong2,ROWS($1:20)),)=$I$6,OFFSET(TH!N$1,SMALL(Dong2,ROWS($1:20)),),OFFSET(TH!O$1,SMALL(Dong2,ROWS($1:20)),)))</f>
        <v/>
      </c>
      <c r="F31" s="891" t="str">
        <f ca="1">IF(ROWS($1:20)&gt;COUNT(Dong2),"",IF(AND(IF($M$9="Q11",LEFT(OFFSET(TH!G$1,SMALL(Dong2,ROWS($1:20)),),3)=$M$9,LEFT(OFFSET(TH!G$1,SMALL(Dong2,ROWS($1:20)),),2)=$M$9),OFFSET(TH!N$1,SMALL(Dong2,ROWS($1:20)),)=$I$6),IF($I$6="1121",OFFSET(TH!M$1,SMALL(Dong2,ROWS($1:20)),),OFFSET(TH!K$1,SMALL(Dong2,ROWS($1:20)),)),0))</f>
        <v/>
      </c>
      <c r="G31" s="891" t="str">
        <f ca="1">IF(ROWS($1:20)&gt;COUNT(Dong2),"",IF(AND(IF($M$9="Q11",RIGHT(OFFSET(TH!G$1,SMALL(Dong2,ROWS($1:20)),),3)=$M$9,RIGHT(OFFSET(TH!G$1,SMALL(Dong2,ROWS($1:20)),),2)=$M$9),OFFSET(TH!O$1,SMALL(Dong2,ROWS($1:20)),)=$I$6),IF($I$6="1121",OFFSET(TH!M$1,SMALL(Dong2,ROWS($1:20)),),OFFSET(TH!K$1,SMALL(Dong2,ROWS($1:20)),)),0))</f>
        <v/>
      </c>
      <c r="H31" s="721">
        <f t="shared" ca="1" si="1"/>
        <v>0</v>
      </c>
      <c r="I31" s="721"/>
      <c r="J31" s="169"/>
      <c r="K31" s="169"/>
      <c r="L31" s="162"/>
      <c r="M31" s="169"/>
      <c r="N31" s="169"/>
      <c r="O31" s="169"/>
      <c r="P31" s="169"/>
      <c r="Q31" s="169"/>
      <c r="R31" s="169"/>
      <c r="S31" s="169"/>
    </row>
    <row r="32" spans="1:19" ht="20.25" customHeight="1">
      <c r="A32" s="180" t="str">
        <f ca="1">IF(ROWS($1:21)&gt;COUNT(Dong2),"",OFFSET(TH!C$1,SMALL(Dong2,ROWS($1:21)),))</f>
        <v/>
      </c>
      <c r="B32" s="180" t="str">
        <f ca="1">IF(ROWS($1:21)&gt;COUNT(Dong2),"",OFFSET(TH!D$1,SMALL(Dong2,ROWS($1:21)),))</f>
        <v/>
      </c>
      <c r="C32" s="180" t="str">
        <f ca="1">IF(ROWS($1:21)&gt;COUNT(Dong2),"",OFFSET(TH!E$1,SMALL(Dong2,ROWS($1:21)),))</f>
        <v/>
      </c>
      <c r="D32" s="337" t="str">
        <f ca="1">IF(ROWS($1:21)&gt;COUNT(Dong2),"",OFFSET(TH!F$1,SMALL(Dong2,ROWS($1:21)),))</f>
        <v/>
      </c>
      <c r="E32" s="180" t="str">
        <f ca="1">IF(ROWS($1:21)&gt;COUNT(Dong2),"",IF(OFFSET(TH!O$1,SMALL(Dong2,ROWS($1:21)),)=$I$6,OFFSET(TH!N$1,SMALL(Dong2,ROWS($1:21)),),OFFSET(TH!O$1,SMALL(Dong2,ROWS($1:21)),)))</f>
        <v/>
      </c>
      <c r="F32" s="891" t="str">
        <f ca="1">IF(ROWS($1:21)&gt;COUNT(Dong2),"",IF(AND(IF($M$9="Q11",LEFT(OFFSET(TH!G$1,SMALL(Dong2,ROWS($1:21)),),3)=$M$9,LEFT(OFFSET(TH!G$1,SMALL(Dong2,ROWS($1:21)),),2)=$M$9),OFFSET(TH!N$1,SMALL(Dong2,ROWS($1:21)),)=$I$6),IF($I$6="1121",OFFSET(TH!M$1,SMALL(Dong2,ROWS($1:21)),),OFFSET(TH!K$1,SMALL(Dong2,ROWS($1:21)),)),0))</f>
        <v/>
      </c>
      <c r="G32" s="891" t="str">
        <f ca="1">IF(ROWS($1:21)&gt;COUNT(Dong2),"",IF(AND(IF($M$9="Q11",RIGHT(OFFSET(TH!G$1,SMALL(Dong2,ROWS($1:21)),),3)=$M$9,RIGHT(OFFSET(TH!G$1,SMALL(Dong2,ROWS($1:21)),),2)=$M$9),OFFSET(TH!O$1,SMALL(Dong2,ROWS($1:21)),)=$I$6),IF($I$6="1121",OFFSET(TH!M$1,SMALL(Dong2,ROWS($1:21)),),OFFSET(TH!K$1,SMALL(Dong2,ROWS($1:21)),)),0))</f>
        <v/>
      </c>
      <c r="H32" s="721">
        <f t="shared" ca="1" si="1"/>
        <v>0</v>
      </c>
      <c r="I32" s="721"/>
      <c r="J32" s="169"/>
      <c r="K32" s="169"/>
      <c r="L32" s="162"/>
      <c r="M32" s="169"/>
      <c r="N32" s="169"/>
      <c r="O32" s="169"/>
      <c r="P32" s="169"/>
      <c r="Q32" s="169"/>
      <c r="R32" s="169"/>
      <c r="S32" s="169"/>
    </row>
    <row r="33" spans="1:19" ht="20.25" customHeight="1">
      <c r="A33" s="180" t="str">
        <f ca="1">IF(ROWS($1:22)&gt;COUNT(Dong2),"",OFFSET(TH!C$1,SMALL(Dong2,ROWS($1:22)),))</f>
        <v/>
      </c>
      <c r="B33" s="180" t="str">
        <f ca="1">IF(ROWS($1:22)&gt;COUNT(Dong2),"",OFFSET(TH!D$1,SMALL(Dong2,ROWS($1:22)),))</f>
        <v/>
      </c>
      <c r="C33" s="180" t="str">
        <f ca="1">IF(ROWS($1:22)&gt;COUNT(Dong2),"",OFFSET(TH!E$1,SMALL(Dong2,ROWS($1:22)),))</f>
        <v/>
      </c>
      <c r="D33" s="337" t="str">
        <f ca="1">IF(ROWS($1:22)&gt;COUNT(Dong2),"",OFFSET(TH!F$1,SMALL(Dong2,ROWS($1:22)),))</f>
        <v/>
      </c>
      <c r="E33" s="180" t="str">
        <f ca="1">IF(ROWS($1:22)&gt;COUNT(Dong2),"",IF(OFFSET(TH!O$1,SMALL(Dong2,ROWS($1:22)),)=$I$6,OFFSET(TH!N$1,SMALL(Dong2,ROWS($1:22)),),OFFSET(TH!O$1,SMALL(Dong2,ROWS($1:22)),)))</f>
        <v/>
      </c>
      <c r="F33" s="891" t="str">
        <f ca="1">IF(ROWS($1:22)&gt;COUNT(Dong2),"",IF(AND(IF($M$9="Q11",LEFT(OFFSET(TH!G$1,SMALL(Dong2,ROWS($1:22)),),3)=$M$9,LEFT(OFFSET(TH!G$1,SMALL(Dong2,ROWS($1:22)),),2)=$M$9),OFFSET(TH!N$1,SMALL(Dong2,ROWS($1:22)),)=$I$6),IF($I$6="1121",OFFSET(TH!M$1,SMALL(Dong2,ROWS($1:22)),),OFFSET(TH!K$1,SMALL(Dong2,ROWS($1:22)),)),0))</f>
        <v/>
      </c>
      <c r="G33" s="891" t="str">
        <f ca="1">IF(ROWS($1:22)&gt;COUNT(Dong2),"",IF(AND(IF($M$9="Q11",RIGHT(OFFSET(TH!G$1,SMALL(Dong2,ROWS($1:22)),),3)=$M$9,RIGHT(OFFSET(TH!G$1,SMALL(Dong2,ROWS($1:22)),),2)=$M$9),OFFSET(TH!O$1,SMALL(Dong2,ROWS($1:22)),)=$I$6),IF($I$6="1121",OFFSET(TH!M$1,SMALL(Dong2,ROWS($1:22)),),OFFSET(TH!K$1,SMALL(Dong2,ROWS($1:22)),)),0))</f>
        <v/>
      </c>
      <c r="H33" s="721">
        <f t="shared" ca="1" si="1"/>
        <v>0</v>
      </c>
      <c r="I33" s="721"/>
      <c r="J33" s="169"/>
      <c r="K33" s="169"/>
      <c r="L33" s="162"/>
      <c r="M33" s="169"/>
      <c r="N33" s="169"/>
      <c r="O33" s="169"/>
      <c r="P33" s="169"/>
      <c r="Q33" s="169"/>
      <c r="R33" s="169"/>
      <c r="S33" s="169"/>
    </row>
    <row r="34" spans="1:19" ht="20.25" customHeight="1">
      <c r="A34" s="180" t="str">
        <f ca="1">IF(ROWS($1:23)&gt;COUNT(Dong2),"",OFFSET(TH!C$1,SMALL(Dong2,ROWS($1:23)),))</f>
        <v/>
      </c>
      <c r="B34" s="180" t="str">
        <f ca="1">IF(ROWS($1:23)&gt;COUNT(Dong2),"",OFFSET(TH!D$1,SMALL(Dong2,ROWS($1:23)),))</f>
        <v/>
      </c>
      <c r="C34" s="180" t="str">
        <f ca="1">IF(ROWS($1:23)&gt;COUNT(Dong2),"",OFFSET(TH!E$1,SMALL(Dong2,ROWS($1:23)),))</f>
        <v/>
      </c>
      <c r="D34" s="337" t="str">
        <f ca="1">IF(ROWS($1:23)&gt;COUNT(Dong2),"",OFFSET(TH!F$1,SMALL(Dong2,ROWS($1:23)),))</f>
        <v/>
      </c>
      <c r="E34" s="180" t="str">
        <f ca="1">IF(ROWS($1:23)&gt;COUNT(Dong2),"",IF(OFFSET(TH!O$1,SMALL(Dong2,ROWS($1:23)),)=$I$6,OFFSET(TH!N$1,SMALL(Dong2,ROWS($1:23)),),OFFSET(TH!O$1,SMALL(Dong2,ROWS($1:23)),)))</f>
        <v/>
      </c>
      <c r="F34" s="891" t="str">
        <f ca="1">IF(ROWS($1:23)&gt;COUNT(Dong2),"",IF(AND(IF($M$9="Q11",LEFT(OFFSET(TH!G$1,SMALL(Dong2,ROWS($1:23)),),3)=$M$9,LEFT(OFFSET(TH!G$1,SMALL(Dong2,ROWS($1:23)),),2)=$M$9),OFFSET(TH!N$1,SMALL(Dong2,ROWS($1:23)),)=$I$6),IF($I$6="1121",OFFSET(TH!M$1,SMALL(Dong2,ROWS($1:23)),),OFFSET(TH!K$1,SMALL(Dong2,ROWS($1:23)),)),0))</f>
        <v/>
      </c>
      <c r="G34" s="891" t="str">
        <f ca="1">IF(ROWS($1:23)&gt;COUNT(Dong2),"",IF(AND(IF($M$9="Q11",RIGHT(OFFSET(TH!G$1,SMALL(Dong2,ROWS($1:23)),),3)=$M$9,RIGHT(OFFSET(TH!G$1,SMALL(Dong2,ROWS($1:23)),),2)=$M$9),OFFSET(TH!O$1,SMALL(Dong2,ROWS($1:23)),)=$I$6),IF($I$6="1121",OFFSET(TH!M$1,SMALL(Dong2,ROWS($1:23)),),OFFSET(TH!K$1,SMALL(Dong2,ROWS($1:23)),)),0))</f>
        <v/>
      </c>
      <c r="H34" s="721">
        <f t="shared" ca="1" si="1"/>
        <v>0</v>
      </c>
      <c r="I34" s="721"/>
      <c r="J34" s="169"/>
      <c r="K34" s="169"/>
      <c r="L34" s="162"/>
      <c r="M34" s="169"/>
      <c r="N34" s="169"/>
      <c r="O34" s="169"/>
      <c r="P34" s="169"/>
      <c r="Q34" s="169"/>
      <c r="R34" s="169"/>
      <c r="S34" s="169"/>
    </row>
    <row r="35" spans="1:19" ht="20.25" customHeight="1">
      <c r="A35" s="180" t="str">
        <f ca="1">IF(ROWS($1:24)&gt;COUNT(Dong2),"",OFFSET(TH!C$1,SMALL(Dong2,ROWS($1:24)),))</f>
        <v/>
      </c>
      <c r="B35" s="180" t="str">
        <f ca="1">IF(ROWS($1:24)&gt;COUNT(Dong2),"",OFFSET(TH!D$1,SMALL(Dong2,ROWS($1:24)),))</f>
        <v/>
      </c>
      <c r="C35" s="180" t="str">
        <f ca="1">IF(ROWS($1:24)&gt;COUNT(Dong2),"",OFFSET(TH!E$1,SMALL(Dong2,ROWS($1:24)),))</f>
        <v/>
      </c>
      <c r="D35" s="337" t="str">
        <f ca="1">IF(ROWS($1:24)&gt;COUNT(Dong2),"",OFFSET(TH!F$1,SMALL(Dong2,ROWS($1:24)),))</f>
        <v/>
      </c>
      <c r="E35" s="180" t="str">
        <f ca="1">IF(ROWS($1:24)&gt;COUNT(Dong2),"",IF(OFFSET(TH!O$1,SMALL(Dong2,ROWS($1:24)),)=$I$6,OFFSET(TH!N$1,SMALL(Dong2,ROWS($1:24)),),OFFSET(TH!O$1,SMALL(Dong2,ROWS($1:24)),)))</f>
        <v/>
      </c>
      <c r="F35" s="891" t="str">
        <f ca="1">IF(ROWS($1:24)&gt;COUNT(Dong2),"",IF(AND(IF($M$9="Q11",LEFT(OFFSET(TH!G$1,SMALL(Dong2,ROWS($1:24)),),3)=$M$9,LEFT(OFFSET(TH!G$1,SMALL(Dong2,ROWS($1:24)),),2)=$M$9),OFFSET(TH!N$1,SMALL(Dong2,ROWS($1:24)),)=$I$6),IF($I$6="1121",OFFSET(TH!M$1,SMALL(Dong2,ROWS($1:24)),),OFFSET(TH!K$1,SMALL(Dong2,ROWS($1:24)),)),0))</f>
        <v/>
      </c>
      <c r="G35" s="891" t="str">
        <f ca="1">IF(ROWS($1:24)&gt;COUNT(Dong2),"",IF(AND(IF($M$9="Q11",RIGHT(OFFSET(TH!G$1,SMALL(Dong2,ROWS($1:24)),),3)=$M$9,RIGHT(OFFSET(TH!G$1,SMALL(Dong2,ROWS($1:24)),),2)=$M$9),OFFSET(TH!O$1,SMALL(Dong2,ROWS($1:24)),)=$I$6),IF($I$6="1121",OFFSET(TH!M$1,SMALL(Dong2,ROWS($1:24)),),OFFSET(TH!K$1,SMALL(Dong2,ROWS($1:24)),)),0))</f>
        <v/>
      </c>
      <c r="H35" s="721">
        <f t="shared" ca="1" si="1"/>
        <v>0</v>
      </c>
      <c r="I35" s="721"/>
      <c r="J35" s="169"/>
      <c r="K35" s="169"/>
      <c r="L35" s="162"/>
      <c r="M35" s="169"/>
      <c r="N35" s="169"/>
      <c r="O35" s="169"/>
      <c r="P35" s="169"/>
      <c r="Q35" s="169"/>
      <c r="R35" s="169"/>
      <c r="S35" s="169"/>
    </row>
    <row r="36" spans="1:19" ht="20.25" customHeight="1">
      <c r="A36" s="180" t="str">
        <f ca="1">IF(ROWS($1:25)&gt;COUNT(Dong2),"",OFFSET(TH!C$1,SMALL(Dong2,ROWS($1:25)),))</f>
        <v/>
      </c>
      <c r="B36" s="180" t="str">
        <f ca="1">IF(ROWS($1:25)&gt;COUNT(Dong2),"",OFFSET(TH!D$1,SMALL(Dong2,ROWS($1:25)),))</f>
        <v/>
      </c>
      <c r="C36" s="180" t="str">
        <f ca="1">IF(ROWS($1:25)&gt;COUNT(Dong2),"",OFFSET(TH!E$1,SMALL(Dong2,ROWS($1:25)),))</f>
        <v/>
      </c>
      <c r="D36" s="337" t="str">
        <f ca="1">IF(ROWS($1:25)&gt;COUNT(Dong2),"",OFFSET(TH!F$1,SMALL(Dong2,ROWS($1:25)),))</f>
        <v/>
      </c>
      <c r="E36" s="180" t="str">
        <f ca="1">IF(ROWS($1:25)&gt;COUNT(Dong2),"",IF(OFFSET(TH!O$1,SMALL(Dong2,ROWS($1:25)),)=$I$6,OFFSET(TH!N$1,SMALL(Dong2,ROWS($1:25)),),OFFSET(TH!O$1,SMALL(Dong2,ROWS($1:25)),)))</f>
        <v/>
      </c>
      <c r="F36" s="891" t="str">
        <f ca="1">IF(ROWS($1:25)&gt;COUNT(Dong2),"",IF(AND(IF($M$9="Q11",LEFT(OFFSET(TH!G$1,SMALL(Dong2,ROWS($1:25)),),3)=$M$9,LEFT(OFFSET(TH!G$1,SMALL(Dong2,ROWS($1:25)),),2)=$M$9),OFFSET(TH!N$1,SMALL(Dong2,ROWS($1:25)),)=$I$6),IF($I$6="1121",OFFSET(TH!M$1,SMALL(Dong2,ROWS($1:25)),),OFFSET(TH!K$1,SMALL(Dong2,ROWS($1:25)),)),0))</f>
        <v/>
      </c>
      <c r="G36" s="891" t="str">
        <f ca="1">IF(ROWS($1:25)&gt;COUNT(Dong2),"",IF(AND(IF($M$9="Q11",RIGHT(OFFSET(TH!G$1,SMALL(Dong2,ROWS($1:25)),),3)=$M$9,RIGHT(OFFSET(TH!G$1,SMALL(Dong2,ROWS($1:25)),),2)=$M$9),OFFSET(TH!O$1,SMALL(Dong2,ROWS($1:25)),)=$I$6),IF($I$6="1121",OFFSET(TH!M$1,SMALL(Dong2,ROWS($1:25)),),OFFSET(TH!K$1,SMALL(Dong2,ROWS($1:25)),)),0))</f>
        <v/>
      </c>
      <c r="H36" s="721">
        <f t="shared" ca="1" si="1"/>
        <v>0</v>
      </c>
      <c r="I36" s="721"/>
      <c r="J36" s="169"/>
      <c r="K36" s="169"/>
      <c r="L36" s="162"/>
      <c r="M36" s="169"/>
      <c r="N36" s="169"/>
      <c r="O36" s="169"/>
      <c r="P36" s="169"/>
      <c r="Q36" s="169"/>
      <c r="R36" s="169"/>
      <c r="S36" s="169"/>
    </row>
    <row r="37" spans="1:19" ht="20.25" customHeight="1">
      <c r="A37" s="180" t="str">
        <f ca="1">IF(ROWS($1:26)&gt;COUNT(Dong2),"",OFFSET(TH!C$1,SMALL(Dong2,ROWS($1:26)),))</f>
        <v/>
      </c>
      <c r="B37" s="180" t="str">
        <f ca="1">IF(ROWS($1:26)&gt;COUNT(Dong2),"",OFFSET(TH!D$1,SMALL(Dong2,ROWS($1:26)),))</f>
        <v/>
      </c>
      <c r="C37" s="180" t="str">
        <f ca="1">IF(ROWS($1:26)&gt;COUNT(Dong2),"",OFFSET(TH!E$1,SMALL(Dong2,ROWS($1:26)),))</f>
        <v/>
      </c>
      <c r="D37" s="337" t="str">
        <f ca="1">IF(ROWS($1:26)&gt;COUNT(Dong2),"",OFFSET(TH!F$1,SMALL(Dong2,ROWS($1:26)),))</f>
        <v/>
      </c>
      <c r="E37" s="180" t="str">
        <f ca="1">IF(ROWS($1:26)&gt;COUNT(Dong2),"",IF(OFFSET(TH!O$1,SMALL(Dong2,ROWS($1:26)),)=$I$6,OFFSET(TH!N$1,SMALL(Dong2,ROWS($1:26)),),OFFSET(TH!O$1,SMALL(Dong2,ROWS($1:26)),)))</f>
        <v/>
      </c>
      <c r="F37" s="891" t="str">
        <f ca="1">IF(ROWS($1:26)&gt;COUNT(Dong2),"",IF(AND(IF($M$9="Q11",LEFT(OFFSET(TH!G$1,SMALL(Dong2,ROWS($1:26)),),3)=$M$9,LEFT(OFFSET(TH!G$1,SMALL(Dong2,ROWS($1:26)),),2)=$M$9),OFFSET(TH!N$1,SMALL(Dong2,ROWS($1:26)),)=$I$6),IF($I$6="1121",OFFSET(TH!M$1,SMALL(Dong2,ROWS($1:26)),),OFFSET(TH!K$1,SMALL(Dong2,ROWS($1:26)),)),0))</f>
        <v/>
      </c>
      <c r="G37" s="891" t="str">
        <f ca="1">IF(ROWS($1:26)&gt;COUNT(Dong2),"",IF(AND(IF($M$9="Q11",RIGHT(OFFSET(TH!G$1,SMALL(Dong2,ROWS($1:26)),),3)=$M$9,RIGHT(OFFSET(TH!G$1,SMALL(Dong2,ROWS($1:26)),),2)=$M$9),OFFSET(TH!O$1,SMALL(Dong2,ROWS($1:26)),)=$I$6),IF($I$6="1121",OFFSET(TH!M$1,SMALL(Dong2,ROWS($1:26)),),OFFSET(TH!K$1,SMALL(Dong2,ROWS($1:26)),)),0))</f>
        <v/>
      </c>
      <c r="H37" s="721">
        <f t="shared" ca="1" si="1"/>
        <v>0</v>
      </c>
      <c r="I37" s="721"/>
      <c r="J37" s="169"/>
      <c r="K37" s="169"/>
      <c r="L37" s="162"/>
      <c r="M37" s="169"/>
      <c r="N37" s="169"/>
      <c r="O37" s="169"/>
      <c r="P37" s="169"/>
      <c r="Q37" s="169"/>
      <c r="R37" s="169"/>
      <c r="S37" s="169"/>
    </row>
    <row r="38" spans="1:19" ht="20.25" customHeight="1">
      <c r="A38" s="180" t="str">
        <f ca="1">IF(ROWS($1:27)&gt;COUNT(Dong2),"",OFFSET(TH!C$1,SMALL(Dong2,ROWS($1:27)),))</f>
        <v/>
      </c>
      <c r="B38" s="180" t="str">
        <f ca="1">IF(ROWS($1:27)&gt;COUNT(Dong2),"",OFFSET(TH!D$1,SMALL(Dong2,ROWS($1:27)),))</f>
        <v/>
      </c>
      <c r="C38" s="180" t="str">
        <f ca="1">IF(ROWS($1:27)&gt;COUNT(Dong2),"",OFFSET(TH!E$1,SMALL(Dong2,ROWS($1:27)),))</f>
        <v/>
      </c>
      <c r="D38" s="337" t="str">
        <f ca="1">IF(ROWS($1:27)&gt;COUNT(Dong2),"",OFFSET(TH!F$1,SMALL(Dong2,ROWS($1:27)),))</f>
        <v/>
      </c>
      <c r="E38" s="180" t="str">
        <f ca="1">IF(ROWS($1:27)&gt;COUNT(Dong2),"",IF(OFFSET(TH!O$1,SMALL(Dong2,ROWS($1:27)),)=$I$6,OFFSET(TH!N$1,SMALL(Dong2,ROWS($1:27)),),OFFSET(TH!O$1,SMALL(Dong2,ROWS($1:27)),)))</f>
        <v/>
      </c>
      <c r="F38" s="891" t="str">
        <f ca="1">IF(ROWS($1:27)&gt;COUNT(Dong2),"",IF(AND(IF($M$9="Q11",LEFT(OFFSET(TH!G$1,SMALL(Dong2,ROWS($1:27)),),3)=$M$9,LEFT(OFFSET(TH!G$1,SMALL(Dong2,ROWS($1:27)),),2)=$M$9),OFFSET(TH!N$1,SMALL(Dong2,ROWS($1:27)),)=$I$6),IF($I$6="1121",OFFSET(TH!M$1,SMALL(Dong2,ROWS($1:27)),),OFFSET(TH!K$1,SMALL(Dong2,ROWS($1:27)),)),0))</f>
        <v/>
      </c>
      <c r="G38" s="891" t="str">
        <f ca="1">IF(ROWS($1:27)&gt;COUNT(Dong2),"",IF(AND(IF($M$9="Q11",RIGHT(OFFSET(TH!G$1,SMALL(Dong2,ROWS($1:27)),),3)=$M$9,RIGHT(OFFSET(TH!G$1,SMALL(Dong2,ROWS($1:27)),),2)=$M$9),OFFSET(TH!O$1,SMALL(Dong2,ROWS($1:27)),)=$I$6),IF($I$6="1121",OFFSET(TH!M$1,SMALL(Dong2,ROWS($1:27)),),OFFSET(TH!K$1,SMALL(Dong2,ROWS($1:27)),)),0))</f>
        <v/>
      </c>
      <c r="H38" s="721">
        <f t="shared" ca="1" si="1"/>
        <v>0</v>
      </c>
      <c r="I38" s="721"/>
      <c r="J38" s="169"/>
      <c r="K38" s="169"/>
      <c r="L38" s="162"/>
      <c r="M38" s="169"/>
      <c r="N38" s="169"/>
      <c r="O38" s="169"/>
      <c r="P38" s="169"/>
      <c r="Q38" s="169"/>
      <c r="R38" s="169"/>
      <c r="S38" s="169"/>
    </row>
    <row r="39" spans="1:19" ht="20.25" customHeight="1">
      <c r="A39" s="180" t="str">
        <f ca="1">IF(ROWS($1:28)&gt;COUNT(Dong2),"",OFFSET(TH!C$1,SMALL(Dong2,ROWS($1:28)),))</f>
        <v/>
      </c>
      <c r="B39" s="180" t="str">
        <f ca="1">IF(ROWS($1:28)&gt;COUNT(Dong2),"",OFFSET(TH!D$1,SMALL(Dong2,ROWS($1:28)),))</f>
        <v/>
      </c>
      <c r="C39" s="180" t="str">
        <f ca="1">IF(ROWS($1:28)&gt;COUNT(Dong2),"",OFFSET(TH!E$1,SMALL(Dong2,ROWS($1:28)),))</f>
        <v/>
      </c>
      <c r="D39" s="337" t="str">
        <f ca="1">IF(ROWS($1:28)&gt;COUNT(Dong2),"",OFFSET(TH!F$1,SMALL(Dong2,ROWS($1:28)),))</f>
        <v/>
      </c>
      <c r="E39" s="180" t="str">
        <f ca="1">IF(ROWS($1:28)&gt;COUNT(Dong2),"",IF(OFFSET(TH!O$1,SMALL(Dong2,ROWS($1:28)),)=$I$6,OFFSET(TH!N$1,SMALL(Dong2,ROWS($1:28)),),OFFSET(TH!O$1,SMALL(Dong2,ROWS($1:28)),)))</f>
        <v/>
      </c>
      <c r="F39" s="891" t="str">
        <f ca="1">IF(ROWS($1:28)&gt;COUNT(Dong2),"",IF(AND(IF($M$9="Q11",LEFT(OFFSET(TH!G$1,SMALL(Dong2,ROWS($1:28)),),3)=$M$9,LEFT(OFFSET(TH!G$1,SMALL(Dong2,ROWS($1:28)),),2)=$M$9),OFFSET(TH!N$1,SMALL(Dong2,ROWS($1:28)),)=$I$6),IF($I$6="1121",OFFSET(TH!M$1,SMALL(Dong2,ROWS($1:28)),),OFFSET(TH!K$1,SMALL(Dong2,ROWS($1:28)),)),0))</f>
        <v/>
      </c>
      <c r="G39" s="891" t="str">
        <f ca="1">IF(ROWS($1:28)&gt;COUNT(Dong2),"",IF(AND(IF($M$9="Q11",RIGHT(OFFSET(TH!G$1,SMALL(Dong2,ROWS($1:28)),),3)=$M$9,RIGHT(OFFSET(TH!G$1,SMALL(Dong2,ROWS($1:28)),),2)=$M$9),OFFSET(TH!O$1,SMALL(Dong2,ROWS($1:28)),)=$I$6),IF($I$6="1121",OFFSET(TH!M$1,SMALL(Dong2,ROWS($1:28)),),OFFSET(TH!K$1,SMALL(Dong2,ROWS($1:28)),)),0))</f>
        <v/>
      </c>
      <c r="H39" s="721">
        <f t="shared" ca="1" si="1"/>
        <v>0</v>
      </c>
      <c r="I39" s="721"/>
      <c r="J39" s="169"/>
      <c r="K39" s="169"/>
      <c r="L39" s="162"/>
      <c r="M39" s="169"/>
      <c r="N39" s="169"/>
      <c r="O39" s="169"/>
      <c r="P39" s="169"/>
      <c r="Q39" s="169"/>
      <c r="R39" s="169"/>
      <c r="S39" s="169"/>
    </row>
    <row r="40" spans="1:19" ht="20.25" customHeight="1">
      <c r="A40" s="180" t="str">
        <f ca="1">IF(ROWS($1:29)&gt;COUNT(Dong2),"",OFFSET(TH!C$1,SMALL(Dong2,ROWS($1:29)),))</f>
        <v/>
      </c>
      <c r="B40" s="180" t="str">
        <f ca="1">IF(ROWS($1:29)&gt;COUNT(Dong2),"",OFFSET(TH!D$1,SMALL(Dong2,ROWS($1:29)),))</f>
        <v/>
      </c>
      <c r="C40" s="180" t="str">
        <f ca="1">IF(ROWS($1:29)&gt;COUNT(Dong2),"",OFFSET(TH!E$1,SMALL(Dong2,ROWS($1:29)),))</f>
        <v/>
      </c>
      <c r="D40" s="337" t="str">
        <f ca="1">IF(ROWS($1:29)&gt;COUNT(Dong2),"",OFFSET(TH!F$1,SMALL(Dong2,ROWS($1:29)),))</f>
        <v/>
      </c>
      <c r="E40" s="180" t="str">
        <f ca="1">IF(ROWS($1:29)&gt;COUNT(Dong2),"",IF(OFFSET(TH!O$1,SMALL(Dong2,ROWS($1:29)),)=$I$6,OFFSET(TH!N$1,SMALL(Dong2,ROWS($1:29)),),OFFSET(TH!O$1,SMALL(Dong2,ROWS($1:29)),)))</f>
        <v/>
      </c>
      <c r="F40" s="891" t="str">
        <f ca="1">IF(ROWS($1:29)&gt;COUNT(Dong2),"",IF(AND(IF($M$9="Q11",LEFT(OFFSET(TH!G$1,SMALL(Dong2,ROWS($1:29)),),3)=$M$9,LEFT(OFFSET(TH!G$1,SMALL(Dong2,ROWS($1:29)),),2)=$M$9),OFFSET(TH!N$1,SMALL(Dong2,ROWS($1:29)),)=$I$6),IF($I$6="1121",OFFSET(TH!M$1,SMALL(Dong2,ROWS($1:29)),),OFFSET(TH!K$1,SMALL(Dong2,ROWS($1:29)),)),0))</f>
        <v/>
      </c>
      <c r="G40" s="891" t="str">
        <f ca="1">IF(ROWS($1:29)&gt;COUNT(Dong2),"",IF(AND(IF($M$9="Q11",RIGHT(OFFSET(TH!G$1,SMALL(Dong2,ROWS($1:29)),),3)=$M$9,RIGHT(OFFSET(TH!G$1,SMALL(Dong2,ROWS($1:29)),),2)=$M$9),OFFSET(TH!O$1,SMALL(Dong2,ROWS($1:29)),)=$I$6),IF($I$6="1121",OFFSET(TH!M$1,SMALL(Dong2,ROWS($1:29)),),OFFSET(TH!K$1,SMALL(Dong2,ROWS($1:29)),)),0))</f>
        <v/>
      </c>
      <c r="H40" s="721">
        <f t="shared" ca="1" si="1"/>
        <v>0</v>
      </c>
      <c r="I40" s="721"/>
      <c r="J40" s="169"/>
      <c r="K40" s="169"/>
      <c r="L40" s="169"/>
      <c r="M40" s="169"/>
      <c r="N40" s="169"/>
      <c r="O40" s="169"/>
      <c r="P40" s="169"/>
      <c r="Q40" s="169"/>
      <c r="R40" s="169"/>
      <c r="S40" s="169"/>
    </row>
    <row r="41" spans="1:19" ht="20.25" customHeight="1">
      <c r="A41" s="180" t="str">
        <f ca="1">IF(ROWS($1:30)&gt;COUNT(Dong2),"",OFFSET(TH!C$1,SMALL(Dong2,ROWS($1:30)),))</f>
        <v/>
      </c>
      <c r="B41" s="180" t="str">
        <f ca="1">IF(ROWS($1:30)&gt;COUNT(Dong2),"",OFFSET(TH!D$1,SMALL(Dong2,ROWS($1:30)),))</f>
        <v/>
      </c>
      <c r="C41" s="180" t="str">
        <f ca="1">IF(ROWS($1:30)&gt;COUNT(Dong2),"",OFFSET(TH!E$1,SMALL(Dong2,ROWS($1:30)),))</f>
        <v/>
      </c>
      <c r="D41" s="337" t="str">
        <f ca="1">IF(ROWS($1:30)&gt;COUNT(Dong2),"",OFFSET(TH!F$1,SMALL(Dong2,ROWS($1:30)),))</f>
        <v/>
      </c>
      <c r="E41" s="180" t="str">
        <f ca="1">IF(ROWS($1:30)&gt;COUNT(Dong2),"",IF(OFFSET(TH!O$1,SMALL(Dong2,ROWS($1:30)),)=$I$6,OFFSET(TH!N$1,SMALL(Dong2,ROWS($1:30)),),OFFSET(TH!O$1,SMALL(Dong2,ROWS($1:30)),)))</f>
        <v/>
      </c>
      <c r="F41" s="891" t="str">
        <f ca="1">IF(ROWS($1:30)&gt;COUNT(Dong2),"",IF(AND(IF($M$9="Q11",LEFT(OFFSET(TH!G$1,SMALL(Dong2,ROWS($1:30)),),3)=$M$9,LEFT(OFFSET(TH!G$1,SMALL(Dong2,ROWS($1:30)),),2)=$M$9),OFFSET(TH!N$1,SMALL(Dong2,ROWS($1:30)),)=$I$6),IF($I$6="1121",OFFSET(TH!M$1,SMALL(Dong2,ROWS($1:30)),),OFFSET(TH!K$1,SMALL(Dong2,ROWS($1:30)),)),0))</f>
        <v/>
      </c>
      <c r="G41" s="891" t="str">
        <f ca="1">IF(ROWS($1:30)&gt;COUNT(Dong2),"",IF(AND(IF($M$9="Q11",RIGHT(OFFSET(TH!G$1,SMALL(Dong2,ROWS($1:30)),),3)=$M$9,RIGHT(OFFSET(TH!G$1,SMALL(Dong2,ROWS($1:30)),),2)=$M$9),OFFSET(TH!O$1,SMALL(Dong2,ROWS($1:30)),)=$I$6),IF($I$6="1121",OFFSET(TH!M$1,SMALL(Dong2,ROWS($1:30)),),OFFSET(TH!K$1,SMALL(Dong2,ROWS($1:30)),)),0))</f>
        <v/>
      </c>
      <c r="H41" s="721">
        <f t="shared" ca="1" si="1"/>
        <v>0</v>
      </c>
      <c r="I41" s="721"/>
      <c r="J41" s="169"/>
      <c r="K41" s="169"/>
      <c r="L41" s="169"/>
      <c r="M41" s="169"/>
      <c r="N41" s="169"/>
      <c r="O41" s="169"/>
      <c r="P41" s="169"/>
      <c r="Q41" s="169"/>
      <c r="R41" s="169"/>
      <c r="S41" s="169"/>
    </row>
    <row r="42" spans="1:19" ht="20.25" customHeight="1">
      <c r="A42" s="180" t="str">
        <f ca="1">IF(ROWS($1:31)&gt;COUNT(Dong2),"",OFFSET(TH!C$1,SMALL(Dong2,ROWS($1:31)),))</f>
        <v/>
      </c>
      <c r="B42" s="180" t="str">
        <f ca="1">IF(ROWS($1:31)&gt;COUNT(Dong2),"",OFFSET(TH!D$1,SMALL(Dong2,ROWS($1:31)),))</f>
        <v/>
      </c>
      <c r="C42" s="180" t="str">
        <f ca="1">IF(ROWS($1:31)&gt;COUNT(Dong2),"",OFFSET(TH!E$1,SMALL(Dong2,ROWS($1:31)),))</f>
        <v/>
      </c>
      <c r="D42" s="337" t="str">
        <f ca="1">IF(ROWS($1:31)&gt;COUNT(Dong2),"",OFFSET(TH!F$1,SMALL(Dong2,ROWS($1:31)),))</f>
        <v/>
      </c>
      <c r="E42" s="180" t="str">
        <f ca="1">IF(ROWS($1:31)&gt;COUNT(Dong2),"",IF(OFFSET(TH!O$1,SMALL(Dong2,ROWS($1:31)),)=$I$6,OFFSET(TH!N$1,SMALL(Dong2,ROWS($1:31)),),OFFSET(TH!O$1,SMALL(Dong2,ROWS($1:31)),)))</f>
        <v/>
      </c>
      <c r="F42" s="891" t="str">
        <f ca="1">IF(ROWS($1:31)&gt;COUNT(Dong2),"",IF(AND(IF($M$9="Q11",LEFT(OFFSET(TH!G$1,SMALL(Dong2,ROWS($1:31)),),3)=$M$9,LEFT(OFFSET(TH!G$1,SMALL(Dong2,ROWS($1:31)),),2)=$M$9),OFFSET(TH!N$1,SMALL(Dong2,ROWS($1:31)),)=$I$6),IF($I$6="1121",OFFSET(TH!M$1,SMALL(Dong2,ROWS($1:31)),),OFFSET(TH!K$1,SMALL(Dong2,ROWS($1:31)),)),0))</f>
        <v/>
      </c>
      <c r="G42" s="891" t="str">
        <f ca="1">IF(ROWS($1:31)&gt;COUNT(Dong2),"",IF(AND(IF($M$9="Q11",RIGHT(OFFSET(TH!G$1,SMALL(Dong2,ROWS($1:31)),),3)=$M$9,RIGHT(OFFSET(TH!G$1,SMALL(Dong2,ROWS($1:31)),),2)=$M$9),OFFSET(TH!O$1,SMALL(Dong2,ROWS($1:31)),)=$I$6),IF($I$6="1121",OFFSET(TH!M$1,SMALL(Dong2,ROWS($1:31)),),OFFSET(TH!K$1,SMALL(Dong2,ROWS($1:31)),)),0))</f>
        <v/>
      </c>
      <c r="H42" s="721">
        <f t="shared" ca="1" si="1"/>
        <v>0</v>
      </c>
      <c r="I42" s="721"/>
      <c r="J42" s="169"/>
      <c r="K42" s="169"/>
      <c r="L42" s="169"/>
      <c r="M42" s="169"/>
      <c r="N42" s="169"/>
      <c r="O42" s="169"/>
      <c r="P42" s="169"/>
      <c r="Q42" s="169"/>
      <c r="R42" s="169"/>
      <c r="S42" s="169"/>
    </row>
    <row r="43" spans="1:19" ht="20.25" customHeight="1">
      <c r="A43" s="180" t="str">
        <f ca="1">IF(ROWS($1:32)&gt;COUNT(Dong2),"",OFFSET(TH!C$1,SMALL(Dong2,ROWS($1:32)),))</f>
        <v/>
      </c>
      <c r="B43" s="180" t="str">
        <f ca="1">IF(ROWS($1:32)&gt;COUNT(Dong2),"",OFFSET(TH!D$1,SMALL(Dong2,ROWS($1:32)),))</f>
        <v/>
      </c>
      <c r="C43" s="180" t="str">
        <f ca="1">IF(ROWS($1:32)&gt;COUNT(Dong2),"",OFFSET(TH!E$1,SMALL(Dong2,ROWS($1:32)),))</f>
        <v/>
      </c>
      <c r="D43" s="337" t="str">
        <f ca="1">IF(ROWS($1:32)&gt;COUNT(Dong2),"",OFFSET(TH!F$1,SMALL(Dong2,ROWS($1:32)),))</f>
        <v/>
      </c>
      <c r="E43" s="180" t="str">
        <f ca="1">IF(ROWS($1:32)&gt;COUNT(Dong2),"",IF(OFFSET(TH!O$1,SMALL(Dong2,ROWS($1:32)),)=$I$6,OFFSET(TH!N$1,SMALL(Dong2,ROWS($1:32)),),OFFSET(TH!O$1,SMALL(Dong2,ROWS($1:32)),)))</f>
        <v/>
      </c>
      <c r="F43" s="891" t="str">
        <f ca="1">IF(ROWS($1:32)&gt;COUNT(Dong2),"",IF(AND(IF($M$9="Q11",LEFT(OFFSET(TH!G$1,SMALL(Dong2,ROWS($1:32)),),3)=$M$9,LEFT(OFFSET(TH!G$1,SMALL(Dong2,ROWS($1:32)),),2)=$M$9),OFFSET(TH!N$1,SMALL(Dong2,ROWS($1:32)),)=$I$6),IF($I$6="1121",OFFSET(TH!M$1,SMALL(Dong2,ROWS($1:32)),),OFFSET(TH!K$1,SMALL(Dong2,ROWS($1:32)),)),0))</f>
        <v/>
      </c>
      <c r="G43" s="891" t="str">
        <f ca="1">IF(ROWS($1:32)&gt;COUNT(Dong2),"",IF(AND(IF($M$9="Q11",RIGHT(OFFSET(TH!G$1,SMALL(Dong2,ROWS($1:32)),),3)=$M$9,RIGHT(OFFSET(TH!G$1,SMALL(Dong2,ROWS($1:32)),),2)=$M$9),OFFSET(TH!O$1,SMALL(Dong2,ROWS($1:32)),)=$I$6),IF($I$6="1121",OFFSET(TH!M$1,SMALL(Dong2,ROWS($1:32)),),OFFSET(TH!K$1,SMALL(Dong2,ROWS($1:32)),)),0))</f>
        <v/>
      </c>
      <c r="H43" s="721">
        <f t="shared" ca="1" si="1"/>
        <v>0</v>
      </c>
      <c r="I43" s="721"/>
      <c r="J43" s="169"/>
      <c r="K43" s="169"/>
      <c r="L43" s="169"/>
      <c r="M43" s="169"/>
      <c r="N43" s="169"/>
      <c r="O43" s="169"/>
      <c r="P43" s="169"/>
      <c r="Q43" s="169"/>
      <c r="R43" s="169"/>
      <c r="S43" s="169"/>
    </row>
    <row r="44" spans="1:19" ht="20.25" customHeight="1">
      <c r="A44" s="180" t="str">
        <f ca="1">IF(ROWS($1:33)&gt;COUNT(Dong2),"",OFFSET(TH!C$1,SMALL(Dong2,ROWS($1:33)),))</f>
        <v/>
      </c>
      <c r="B44" s="180" t="str">
        <f ca="1">IF(ROWS($1:33)&gt;COUNT(Dong2),"",OFFSET(TH!D$1,SMALL(Dong2,ROWS($1:33)),))</f>
        <v/>
      </c>
      <c r="C44" s="180" t="str">
        <f ca="1">IF(ROWS($1:33)&gt;COUNT(Dong2),"",OFFSET(TH!E$1,SMALL(Dong2,ROWS($1:33)),))</f>
        <v/>
      </c>
      <c r="D44" s="337" t="str">
        <f ca="1">IF(ROWS($1:33)&gt;COUNT(Dong2),"",OFFSET(TH!F$1,SMALL(Dong2,ROWS($1:33)),))</f>
        <v/>
      </c>
      <c r="E44" s="180" t="str">
        <f ca="1">IF(ROWS($1:33)&gt;COUNT(Dong2),"",IF(OFFSET(TH!O$1,SMALL(Dong2,ROWS($1:33)),)=$I$6,OFFSET(TH!N$1,SMALL(Dong2,ROWS($1:33)),),OFFSET(TH!O$1,SMALL(Dong2,ROWS($1:33)),)))</f>
        <v/>
      </c>
      <c r="F44" s="891" t="str">
        <f ca="1">IF(ROWS($1:33)&gt;COUNT(Dong2),"",IF(AND(IF($M$9="Q11",LEFT(OFFSET(TH!G$1,SMALL(Dong2,ROWS($1:33)),),3)=$M$9,LEFT(OFFSET(TH!G$1,SMALL(Dong2,ROWS($1:33)),),2)=$M$9),OFFSET(TH!N$1,SMALL(Dong2,ROWS($1:33)),)=$I$6),IF($I$6="1121",OFFSET(TH!M$1,SMALL(Dong2,ROWS($1:33)),),OFFSET(TH!K$1,SMALL(Dong2,ROWS($1:33)),)),0))</f>
        <v/>
      </c>
      <c r="G44" s="891" t="str">
        <f ca="1">IF(ROWS($1:33)&gt;COUNT(Dong2),"",IF(AND(IF($M$9="Q11",RIGHT(OFFSET(TH!G$1,SMALL(Dong2,ROWS($1:33)),),3)=$M$9,RIGHT(OFFSET(TH!G$1,SMALL(Dong2,ROWS($1:33)),),2)=$M$9),OFFSET(TH!O$1,SMALL(Dong2,ROWS($1:33)),)=$I$6),IF($I$6="1121",OFFSET(TH!M$1,SMALL(Dong2,ROWS($1:33)),),OFFSET(TH!K$1,SMALL(Dong2,ROWS($1:33)),)),0))</f>
        <v/>
      </c>
      <c r="H44" s="721">
        <f t="shared" ref="H44:H58" ca="1" si="2">IF(A44&lt;&gt;"",H43+F44-G44,0)</f>
        <v>0</v>
      </c>
      <c r="I44" s="721"/>
      <c r="J44" s="169"/>
      <c r="K44" s="169"/>
      <c r="L44" s="169"/>
      <c r="M44" s="169"/>
      <c r="N44" s="169"/>
      <c r="O44" s="169"/>
      <c r="P44" s="169"/>
      <c r="Q44" s="169"/>
      <c r="R44" s="169"/>
      <c r="S44" s="169"/>
    </row>
    <row r="45" spans="1:19" ht="20.25" customHeight="1">
      <c r="A45" s="180" t="str">
        <f ca="1">IF(ROWS($1:34)&gt;COUNT(Dong2),"",OFFSET(TH!C$1,SMALL(Dong2,ROWS($1:34)),))</f>
        <v/>
      </c>
      <c r="B45" s="180" t="str">
        <f ca="1">IF(ROWS($1:34)&gt;COUNT(Dong2),"",OFFSET(TH!D$1,SMALL(Dong2,ROWS($1:34)),))</f>
        <v/>
      </c>
      <c r="C45" s="180" t="str">
        <f ca="1">IF(ROWS($1:34)&gt;COUNT(Dong2),"",OFFSET(TH!E$1,SMALL(Dong2,ROWS($1:34)),))</f>
        <v/>
      </c>
      <c r="D45" s="337" t="str">
        <f ca="1">IF(ROWS($1:34)&gt;COUNT(Dong2),"",OFFSET(TH!F$1,SMALL(Dong2,ROWS($1:34)),))</f>
        <v/>
      </c>
      <c r="E45" s="180" t="str">
        <f ca="1">IF(ROWS($1:34)&gt;COUNT(Dong2),"",IF(OFFSET(TH!O$1,SMALL(Dong2,ROWS($1:34)),)=$I$6,OFFSET(TH!N$1,SMALL(Dong2,ROWS($1:34)),),OFFSET(TH!O$1,SMALL(Dong2,ROWS($1:34)),)))</f>
        <v/>
      </c>
      <c r="F45" s="891" t="str">
        <f ca="1">IF(ROWS($1:34)&gt;COUNT(Dong2),"",IF(AND(IF($M$9="Q11",LEFT(OFFSET(TH!G$1,SMALL(Dong2,ROWS($1:34)),),3)=$M$9,LEFT(OFFSET(TH!G$1,SMALL(Dong2,ROWS($1:34)),),2)=$M$9),OFFSET(TH!N$1,SMALL(Dong2,ROWS($1:34)),)=$I$6),IF($I$6="1121",OFFSET(TH!M$1,SMALL(Dong2,ROWS($1:34)),),OFFSET(TH!K$1,SMALL(Dong2,ROWS($1:34)),)),0))</f>
        <v/>
      </c>
      <c r="G45" s="891" t="str">
        <f ca="1">IF(ROWS($1:34)&gt;COUNT(Dong2),"",IF(AND(IF($M$9="Q11",RIGHT(OFFSET(TH!G$1,SMALL(Dong2,ROWS($1:34)),),3)=$M$9,RIGHT(OFFSET(TH!G$1,SMALL(Dong2,ROWS($1:34)),),2)=$M$9),OFFSET(TH!O$1,SMALL(Dong2,ROWS($1:34)),)=$I$6),IF($I$6="1121",OFFSET(TH!M$1,SMALL(Dong2,ROWS($1:34)),),OFFSET(TH!K$1,SMALL(Dong2,ROWS($1:34)),)),0))</f>
        <v/>
      </c>
      <c r="H45" s="721">
        <f t="shared" ca="1" si="2"/>
        <v>0</v>
      </c>
      <c r="I45" s="721"/>
      <c r="J45" s="169"/>
      <c r="K45" s="169"/>
      <c r="L45" s="169"/>
      <c r="M45" s="169"/>
      <c r="N45" s="169"/>
      <c r="O45" s="169"/>
      <c r="P45" s="169"/>
      <c r="Q45" s="169"/>
      <c r="R45" s="169"/>
      <c r="S45" s="169"/>
    </row>
    <row r="46" spans="1:19" ht="20.25" customHeight="1">
      <c r="A46" s="180" t="str">
        <f ca="1">IF(ROWS($1:35)&gt;COUNT(Dong2),"",OFFSET(TH!C$1,SMALL(Dong2,ROWS($1:35)),))</f>
        <v/>
      </c>
      <c r="B46" s="180" t="str">
        <f ca="1">IF(ROWS($1:35)&gt;COUNT(Dong2),"",OFFSET(TH!D$1,SMALL(Dong2,ROWS($1:35)),))</f>
        <v/>
      </c>
      <c r="C46" s="180" t="str">
        <f ca="1">IF(ROWS($1:35)&gt;COUNT(Dong2),"",OFFSET(TH!E$1,SMALL(Dong2,ROWS($1:35)),))</f>
        <v/>
      </c>
      <c r="D46" s="337" t="str">
        <f ca="1">IF(ROWS($1:35)&gt;COUNT(Dong2),"",OFFSET(TH!F$1,SMALL(Dong2,ROWS($1:35)),))</f>
        <v/>
      </c>
      <c r="E46" s="180" t="str">
        <f ca="1">IF(ROWS($1:35)&gt;COUNT(Dong2),"",IF(OFFSET(TH!O$1,SMALL(Dong2,ROWS($1:35)),)=$I$6,OFFSET(TH!N$1,SMALL(Dong2,ROWS($1:35)),),OFFSET(TH!O$1,SMALL(Dong2,ROWS($1:35)),)))</f>
        <v/>
      </c>
      <c r="F46" s="891" t="str">
        <f ca="1">IF(ROWS($1:35)&gt;COUNT(Dong2),"",IF(AND(IF($M$9="Q11",LEFT(OFFSET(TH!G$1,SMALL(Dong2,ROWS($1:35)),),3)=$M$9,LEFT(OFFSET(TH!G$1,SMALL(Dong2,ROWS($1:35)),),2)=$M$9),OFFSET(TH!N$1,SMALL(Dong2,ROWS($1:35)),)=$I$6),IF($I$6="1121",OFFSET(TH!M$1,SMALL(Dong2,ROWS($1:35)),),OFFSET(TH!K$1,SMALL(Dong2,ROWS($1:35)),)),0))</f>
        <v/>
      </c>
      <c r="G46" s="891" t="str">
        <f ca="1">IF(ROWS($1:35)&gt;COUNT(Dong2),"",IF(AND(IF($M$9="Q11",RIGHT(OFFSET(TH!G$1,SMALL(Dong2,ROWS($1:35)),),3)=$M$9,RIGHT(OFFSET(TH!G$1,SMALL(Dong2,ROWS($1:35)),),2)=$M$9),OFFSET(TH!O$1,SMALL(Dong2,ROWS($1:35)),)=$I$6),IF($I$6="1121",OFFSET(TH!M$1,SMALL(Dong2,ROWS($1:35)),),OFFSET(TH!K$1,SMALL(Dong2,ROWS($1:35)),)),0))</f>
        <v/>
      </c>
      <c r="H46" s="721">
        <f t="shared" ca="1" si="2"/>
        <v>0</v>
      </c>
      <c r="I46" s="721"/>
      <c r="J46" s="169"/>
      <c r="K46" s="169"/>
      <c r="L46" s="169"/>
      <c r="M46" s="169"/>
      <c r="N46" s="169"/>
      <c r="O46" s="169"/>
      <c r="P46" s="169"/>
      <c r="Q46" s="169"/>
      <c r="R46" s="169"/>
      <c r="S46" s="169"/>
    </row>
    <row r="47" spans="1:19" ht="20.25" customHeight="1">
      <c r="A47" s="180" t="str">
        <f ca="1">IF(ROWS($1:36)&gt;COUNT(Dong2),"",OFFSET(TH!C$1,SMALL(Dong2,ROWS($1:36)),))</f>
        <v/>
      </c>
      <c r="B47" s="180" t="str">
        <f ca="1">IF(ROWS($1:36)&gt;COUNT(Dong2),"",OFFSET(TH!D$1,SMALL(Dong2,ROWS($1:36)),))</f>
        <v/>
      </c>
      <c r="C47" s="180" t="str">
        <f ca="1">IF(ROWS($1:36)&gt;COUNT(Dong2),"",OFFSET(TH!E$1,SMALL(Dong2,ROWS($1:36)),))</f>
        <v/>
      </c>
      <c r="D47" s="337" t="str">
        <f ca="1">IF(ROWS($1:36)&gt;COUNT(Dong2),"",OFFSET(TH!F$1,SMALL(Dong2,ROWS($1:36)),))</f>
        <v/>
      </c>
      <c r="E47" s="180" t="str">
        <f ca="1">IF(ROWS($1:36)&gt;COUNT(Dong2),"",IF(OFFSET(TH!O$1,SMALL(Dong2,ROWS($1:36)),)=$I$6,OFFSET(TH!N$1,SMALL(Dong2,ROWS($1:36)),),OFFSET(TH!O$1,SMALL(Dong2,ROWS($1:36)),)))</f>
        <v/>
      </c>
      <c r="F47" s="891" t="str">
        <f ca="1">IF(ROWS($1:36)&gt;COUNT(Dong2),"",IF(AND(IF($M$9="Q11",LEFT(OFFSET(TH!G$1,SMALL(Dong2,ROWS($1:36)),),3)=$M$9,LEFT(OFFSET(TH!G$1,SMALL(Dong2,ROWS($1:36)),),2)=$M$9),OFFSET(TH!N$1,SMALL(Dong2,ROWS($1:36)),)=$I$6),IF($I$6="1121",OFFSET(TH!M$1,SMALL(Dong2,ROWS($1:36)),),OFFSET(TH!K$1,SMALL(Dong2,ROWS($1:36)),)),0))</f>
        <v/>
      </c>
      <c r="G47" s="891" t="str">
        <f ca="1">IF(ROWS($1:36)&gt;COUNT(Dong2),"",IF(AND(IF($M$9="Q11",RIGHT(OFFSET(TH!G$1,SMALL(Dong2,ROWS($1:36)),),3)=$M$9,RIGHT(OFFSET(TH!G$1,SMALL(Dong2,ROWS($1:36)),),2)=$M$9),OFFSET(TH!O$1,SMALL(Dong2,ROWS($1:36)),)=$I$6),IF($I$6="1121",OFFSET(TH!M$1,SMALL(Dong2,ROWS($1:36)),),OFFSET(TH!K$1,SMALL(Dong2,ROWS($1:36)),)),0))</f>
        <v/>
      </c>
      <c r="H47" s="721">
        <f t="shared" ca="1" si="2"/>
        <v>0</v>
      </c>
      <c r="I47" s="721"/>
      <c r="J47" s="169"/>
      <c r="K47" s="169"/>
      <c r="L47" s="169"/>
      <c r="M47" s="169"/>
      <c r="N47" s="169"/>
      <c r="O47" s="169"/>
      <c r="P47" s="169"/>
      <c r="Q47" s="169"/>
      <c r="R47" s="169"/>
      <c r="S47" s="169"/>
    </row>
    <row r="48" spans="1:19" ht="20.25" customHeight="1">
      <c r="A48" s="180" t="str">
        <f ca="1">IF(ROWS($1:37)&gt;COUNT(Dong2),"",OFFSET(TH!C$1,SMALL(Dong2,ROWS($1:37)),))</f>
        <v/>
      </c>
      <c r="B48" s="180" t="str">
        <f ca="1">IF(ROWS($1:37)&gt;COUNT(Dong2),"",OFFSET(TH!D$1,SMALL(Dong2,ROWS($1:37)),))</f>
        <v/>
      </c>
      <c r="C48" s="180" t="str">
        <f ca="1">IF(ROWS($1:37)&gt;COUNT(Dong2),"",OFFSET(TH!E$1,SMALL(Dong2,ROWS($1:37)),))</f>
        <v/>
      </c>
      <c r="D48" s="337" t="str">
        <f ca="1">IF(ROWS($1:37)&gt;COUNT(Dong2),"",OFFSET(TH!F$1,SMALL(Dong2,ROWS($1:37)),))</f>
        <v/>
      </c>
      <c r="E48" s="180" t="str">
        <f ca="1">IF(ROWS($1:37)&gt;COUNT(Dong2),"",IF(OFFSET(TH!O$1,SMALL(Dong2,ROWS($1:37)),)=$I$6,OFFSET(TH!N$1,SMALL(Dong2,ROWS($1:37)),),OFFSET(TH!O$1,SMALL(Dong2,ROWS($1:37)),)))</f>
        <v/>
      </c>
      <c r="F48" s="891" t="str">
        <f ca="1">IF(ROWS($1:37)&gt;COUNT(Dong2),"",IF(AND(IF($M$9="Q11",LEFT(OFFSET(TH!G$1,SMALL(Dong2,ROWS($1:37)),),3)=$M$9,LEFT(OFFSET(TH!G$1,SMALL(Dong2,ROWS($1:37)),),2)=$M$9),OFFSET(TH!N$1,SMALL(Dong2,ROWS($1:37)),)=$I$6),IF($I$6="1121",OFFSET(TH!M$1,SMALL(Dong2,ROWS($1:37)),),OFFSET(TH!K$1,SMALL(Dong2,ROWS($1:37)),)),0))</f>
        <v/>
      </c>
      <c r="G48" s="891" t="str">
        <f ca="1">IF(ROWS($1:37)&gt;COUNT(Dong2),"",IF(AND(IF($M$9="Q11",RIGHT(OFFSET(TH!G$1,SMALL(Dong2,ROWS($1:37)),),3)=$M$9,RIGHT(OFFSET(TH!G$1,SMALL(Dong2,ROWS($1:37)),),2)=$M$9),OFFSET(TH!O$1,SMALL(Dong2,ROWS($1:37)),)=$I$6),IF($I$6="1121",OFFSET(TH!M$1,SMALL(Dong2,ROWS($1:37)),),OFFSET(TH!K$1,SMALL(Dong2,ROWS($1:37)),)),0))</f>
        <v/>
      </c>
      <c r="H48" s="721">
        <f t="shared" ca="1" si="2"/>
        <v>0</v>
      </c>
      <c r="I48" s="721"/>
      <c r="J48" s="169"/>
      <c r="K48" s="169"/>
      <c r="L48" s="169"/>
      <c r="M48" s="169"/>
      <c r="N48" s="169"/>
      <c r="O48" s="169"/>
      <c r="P48" s="169"/>
      <c r="Q48" s="169"/>
      <c r="R48" s="169"/>
      <c r="S48" s="169"/>
    </row>
    <row r="49" spans="1:19" ht="20.25" customHeight="1">
      <c r="A49" s="180" t="str">
        <f ca="1">IF(ROWS($1:38)&gt;COUNT(Dong2),"",OFFSET(TH!C$1,SMALL(Dong2,ROWS($1:38)),))</f>
        <v/>
      </c>
      <c r="B49" s="180" t="str">
        <f ca="1">IF(ROWS($1:38)&gt;COUNT(Dong2),"",OFFSET(TH!D$1,SMALL(Dong2,ROWS($1:38)),))</f>
        <v/>
      </c>
      <c r="C49" s="180" t="str">
        <f ca="1">IF(ROWS($1:38)&gt;COUNT(Dong2),"",OFFSET(TH!E$1,SMALL(Dong2,ROWS($1:38)),))</f>
        <v/>
      </c>
      <c r="D49" s="337" t="str">
        <f ca="1">IF(ROWS($1:38)&gt;COUNT(Dong2),"",OFFSET(TH!F$1,SMALL(Dong2,ROWS($1:38)),))</f>
        <v/>
      </c>
      <c r="E49" s="180" t="str">
        <f ca="1">IF(ROWS($1:38)&gt;COUNT(Dong2),"",IF(OFFSET(TH!O$1,SMALL(Dong2,ROWS($1:38)),)=$I$6,OFFSET(TH!N$1,SMALL(Dong2,ROWS($1:38)),),OFFSET(TH!O$1,SMALL(Dong2,ROWS($1:38)),)))</f>
        <v/>
      </c>
      <c r="F49" s="891" t="str">
        <f ca="1">IF(ROWS($1:38)&gt;COUNT(Dong2),"",IF(AND(IF($M$9="Q11",LEFT(OFFSET(TH!G$1,SMALL(Dong2,ROWS($1:38)),),3)=$M$9,LEFT(OFFSET(TH!G$1,SMALL(Dong2,ROWS($1:38)),),2)=$M$9),OFFSET(TH!N$1,SMALL(Dong2,ROWS($1:38)),)=$I$6),IF($I$6="1121",OFFSET(TH!M$1,SMALL(Dong2,ROWS($1:38)),),OFFSET(TH!K$1,SMALL(Dong2,ROWS($1:38)),)),0))</f>
        <v/>
      </c>
      <c r="G49" s="891" t="str">
        <f ca="1">IF(ROWS($1:38)&gt;COUNT(Dong2),"",IF(AND(IF($M$9="Q11",RIGHT(OFFSET(TH!G$1,SMALL(Dong2,ROWS($1:38)),),3)=$M$9,RIGHT(OFFSET(TH!G$1,SMALL(Dong2,ROWS($1:38)),),2)=$M$9),OFFSET(TH!O$1,SMALL(Dong2,ROWS($1:38)),)=$I$6),IF($I$6="1121",OFFSET(TH!M$1,SMALL(Dong2,ROWS($1:38)),),OFFSET(TH!K$1,SMALL(Dong2,ROWS($1:38)),)),0))</f>
        <v/>
      </c>
      <c r="H49" s="721">
        <f t="shared" ca="1" si="2"/>
        <v>0</v>
      </c>
      <c r="I49" s="721"/>
      <c r="J49" s="169"/>
      <c r="K49" s="169"/>
      <c r="L49" s="169"/>
      <c r="M49" s="169"/>
      <c r="N49" s="169"/>
      <c r="O49" s="169"/>
      <c r="P49" s="169"/>
      <c r="Q49" s="169"/>
      <c r="R49" s="169"/>
      <c r="S49" s="169"/>
    </row>
    <row r="50" spans="1:19" ht="20.25" customHeight="1">
      <c r="A50" s="180" t="str">
        <f ca="1">IF(ROWS($1:39)&gt;COUNT(Dong2),"",OFFSET(TH!C$1,SMALL(Dong2,ROWS($1:39)),))</f>
        <v/>
      </c>
      <c r="B50" s="180" t="str">
        <f ca="1">IF(ROWS($1:39)&gt;COUNT(Dong2),"",OFFSET(TH!D$1,SMALL(Dong2,ROWS($1:39)),))</f>
        <v/>
      </c>
      <c r="C50" s="180" t="str">
        <f ca="1">IF(ROWS($1:39)&gt;COUNT(Dong2),"",OFFSET(TH!E$1,SMALL(Dong2,ROWS($1:39)),))</f>
        <v/>
      </c>
      <c r="D50" s="337" t="str">
        <f ca="1">IF(ROWS($1:39)&gt;COUNT(Dong2),"",OFFSET(TH!F$1,SMALL(Dong2,ROWS($1:39)),))</f>
        <v/>
      </c>
      <c r="E50" s="180" t="str">
        <f ca="1">IF(ROWS($1:39)&gt;COUNT(Dong2),"",IF(OFFSET(TH!O$1,SMALL(Dong2,ROWS($1:39)),)=$I$6,OFFSET(TH!N$1,SMALL(Dong2,ROWS($1:39)),),OFFSET(TH!O$1,SMALL(Dong2,ROWS($1:39)),)))</f>
        <v/>
      </c>
      <c r="F50" s="891" t="str">
        <f ca="1">IF(ROWS($1:39)&gt;COUNT(Dong2),"",IF(AND(IF($M$9="Q11",LEFT(OFFSET(TH!G$1,SMALL(Dong2,ROWS($1:39)),),3)=$M$9,LEFT(OFFSET(TH!G$1,SMALL(Dong2,ROWS($1:39)),),2)=$M$9),OFFSET(TH!N$1,SMALL(Dong2,ROWS($1:39)),)=$I$6),IF($I$6="1121",OFFSET(TH!M$1,SMALL(Dong2,ROWS($1:39)),),OFFSET(TH!K$1,SMALL(Dong2,ROWS($1:39)),)),0))</f>
        <v/>
      </c>
      <c r="G50" s="891" t="str">
        <f ca="1">IF(ROWS($1:39)&gt;COUNT(Dong2),"",IF(AND(IF($M$9="Q11",RIGHT(OFFSET(TH!G$1,SMALL(Dong2,ROWS($1:39)),),3)=$M$9,RIGHT(OFFSET(TH!G$1,SMALL(Dong2,ROWS($1:39)),),2)=$M$9),OFFSET(TH!O$1,SMALL(Dong2,ROWS($1:39)),)=$I$6),IF($I$6="1121",OFFSET(TH!M$1,SMALL(Dong2,ROWS($1:39)),),OFFSET(TH!K$1,SMALL(Dong2,ROWS($1:39)),)),0))</f>
        <v/>
      </c>
      <c r="H50" s="721">
        <f t="shared" ca="1" si="2"/>
        <v>0</v>
      </c>
      <c r="I50" s="721"/>
      <c r="J50" s="169"/>
      <c r="K50" s="169"/>
      <c r="L50" s="169"/>
      <c r="M50" s="169"/>
      <c r="N50" s="169"/>
      <c r="O50" s="169"/>
      <c r="P50" s="169"/>
      <c r="Q50" s="169"/>
      <c r="R50" s="169"/>
      <c r="S50" s="169"/>
    </row>
    <row r="51" spans="1:19" ht="20.25" customHeight="1">
      <c r="A51" s="180" t="str">
        <f ca="1">IF(ROWS($1:40)&gt;COUNT(Dong2),"",OFFSET(TH!C$1,SMALL(Dong2,ROWS($1:40)),))</f>
        <v/>
      </c>
      <c r="B51" s="180" t="str">
        <f ca="1">IF(ROWS($1:40)&gt;COUNT(Dong2),"",OFFSET(TH!D$1,SMALL(Dong2,ROWS($1:40)),))</f>
        <v/>
      </c>
      <c r="C51" s="180" t="str">
        <f ca="1">IF(ROWS($1:40)&gt;COUNT(Dong2),"",OFFSET(TH!E$1,SMALL(Dong2,ROWS($1:40)),))</f>
        <v/>
      </c>
      <c r="D51" s="337" t="str">
        <f ca="1">IF(ROWS($1:40)&gt;COUNT(Dong2),"",OFFSET(TH!F$1,SMALL(Dong2,ROWS($1:40)),))</f>
        <v/>
      </c>
      <c r="E51" s="180" t="str">
        <f ca="1">IF(ROWS($1:40)&gt;COUNT(Dong2),"",IF(OFFSET(TH!O$1,SMALL(Dong2,ROWS($1:40)),)=$I$6,OFFSET(TH!N$1,SMALL(Dong2,ROWS($1:40)),),OFFSET(TH!O$1,SMALL(Dong2,ROWS($1:40)),)))</f>
        <v/>
      </c>
      <c r="F51" s="891" t="str">
        <f ca="1">IF(ROWS($1:40)&gt;COUNT(Dong2),"",IF(AND(IF($M$9="Q11",LEFT(OFFSET(TH!G$1,SMALL(Dong2,ROWS($1:40)),),3)=$M$9,LEFT(OFFSET(TH!G$1,SMALL(Dong2,ROWS($1:40)),),2)=$M$9),OFFSET(TH!N$1,SMALL(Dong2,ROWS($1:40)),)=$I$6),IF($I$6="1121",OFFSET(TH!M$1,SMALL(Dong2,ROWS($1:40)),),OFFSET(TH!K$1,SMALL(Dong2,ROWS($1:40)),)),0))</f>
        <v/>
      </c>
      <c r="G51" s="891" t="str">
        <f ca="1">IF(ROWS($1:40)&gt;COUNT(Dong2),"",IF(AND(IF($M$9="Q11",RIGHT(OFFSET(TH!G$1,SMALL(Dong2,ROWS($1:40)),),3)=$M$9,RIGHT(OFFSET(TH!G$1,SMALL(Dong2,ROWS($1:40)),),2)=$M$9),OFFSET(TH!O$1,SMALL(Dong2,ROWS($1:40)),)=$I$6),IF($I$6="1121",OFFSET(TH!M$1,SMALL(Dong2,ROWS($1:40)),),OFFSET(TH!K$1,SMALL(Dong2,ROWS($1:40)),)),0))</f>
        <v/>
      </c>
      <c r="H51" s="721">
        <f t="shared" ca="1" si="2"/>
        <v>0</v>
      </c>
      <c r="I51" s="721"/>
      <c r="J51" s="169"/>
      <c r="K51" s="169"/>
      <c r="L51" s="169"/>
      <c r="M51" s="169"/>
      <c r="N51" s="169"/>
      <c r="O51" s="169"/>
      <c r="P51" s="169"/>
      <c r="Q51" s="169"/>
      <c r="R51" s="169"/>
      <c r="S51" s="169"/>
    </row>
    <row r="52" spans="1:19" ht="20.25" customHeight="1">
      <c r="A52" s="180" t="str">
        <f ca="1">IF(ROWS($1:41)&gt;COUNT(Dong2),"",OFFSET(TH!C$1,SMALL(Dong2,ROWS($1:41)),))</f>
        <v/>
      </c>
      <c r="B52" s="180" t="str">
        <f ca="1">IF(ROWS($1:41)&gt;COUNT(Dong2),"",OFFSET(TH!D$1,SMALL(Dong2,ROWS($1:41)),))</f>
        <v/>
      </c>
      <c r="C52" s="180" t="str">
        <f ca="1">IF(ROWS($1:41)&gt;COUNT(Dong2),"",OFFSET(TH!E$1,SMALL(Dong2,ROWS($1:41)),))</f>
        <v/>
      </c>
      <c r="D52" s="337" t="str">
        <f ca="1">IF(ROWS($1:41)&gt;COUNT(Dong2),"",OFFSET(TH!F$1,SMALL(Dong2,ROWS($1:41)),))</f>
        <v/>
      </c>
      <c r="E52" s="180" t="str">
        <f ca="1">IF(ROWS($1:41)&gt;COUNT(Dong2),"",IF(OFFSET(TH!O$1,SMALL(Dong2,ROWS($1:41)),)=$I$6,OFFSET(TH!N$1,SMALL(Dong2,ROWS($1:41)),),OFFSET(TH!O$1,SMALL(Dong2,ROWS($1:41)),)))</f>
        <v/>
      </c>
      <c r="F52" s="891" t="str">
        <f ca="1">IF(ROWS($1:41)&gt;COUNT(Dong2),"",IF(AND(IF($M$9="Q11",LEFT(OFFSET(TH!G$1,SMALL(Dong2,ROWS($1:41)),),3)=$M$9,LEFT(OFFSET(TH!G$1,SMALL(Dong2,ROWS($1:41)),),2)=$M$9),OFFSET(TH!N$1,SMALL(Dong2,ROWS($1:41)),)=$I$6),IF($I$6="1121",OFFSET(TH!M$1,SMALL(Dong2,ROWS($1:41)),),OFFSET(TH!K$1,SMALL(Dong2,ROWS($1:41)),)),0))</f>
        <v/>
      </c>
      <c r="G52" s="891" t="str">
        <f ca="1">IF(ROWS($1:41)&gt;COUNT(Dong2),"",IF(AND(IF($M$9="Q11",RIGHT(OFFSET(TH!G$1,SMALL(Dong2,ROWS($1:41)),),3)=$M$9,RIGHT(OFFSET(TH!G$1,SMALL(Dong2,ROWS($1:41)),),2)=$M$9),OFFSET(TH!O$1,SMALL(Dong2,ROWS($1:41)),)=$I$6),IF($I$6="1121",OFFSET(TH!M$1,SMALL(Dong2,ROWS($1:41)),),OFFSET(TH!K$1,SMALL(Dong2,ROWS($1:41)),)),0))</f>
        <v/>
      </c>
      <c r="H52" s="721">
        <f t="shared" ca="1" si="2"/>
        <v>0</v>
      </c>
      <c r="I52" s="721"/>
      <c r="J52" s="169"/>
      <c r="K52" s="169"/>
      <c r="L52" s="169"/>
      <c r="M52" s="169"/>
      <c r="N52" s="169"/>
      <c r="O52" s="169"/>
      <c r="P52" s="169"/>
      <c r="Q52" s="169"/>
      <c r="R52" s="169"/>
      <c r="S52" s="169"/>
    </row>
    <row r="53" spans="1:19" ht="20.25" customHeight="1">
      <c r="A53" s="180" t="str">
        <f ca="1">IF(ROWS($1:42)&gt;COUNT(Dong2),"",OFFSET(TH!C$1,SMALL(Dong2,ROWS($1:42)),))</f>
        <v/>
      </c>
      <c r="B53" s="180" t="str">
        <f ca="1">IF(ROWS($1:42)&gt;COUNT(Dong2),"",OFFSET(TH!D$1,SMALL(Dong2,ROWS($1:42)),))</f>
        <v/>
      </c>
      <c r="C53" s="180" t="str">
        <f ca="1">IF(ROWS($1:42)&gt;COUNT(Dong2),"",OFFSET(TH!E$1,SMALL(Dong2,ROWS($1:42)),))</f>
        <v/>
      </c>
      <c r="D53" s="337" t="str">
        <f ca="1">IF(ROWS($1:42)&gt;COUNT(Dong2),"",OFFSET(TH!F$1,SMALL(Dong2,ROWS($1:42)),))</f>
        <v/>
      </c>
      <c r="E53" s="180" t="str">
        <f ca="1">IF(ROWS($1:42)&gt;COUNT(Dong2),"",IF(OFFSET(TH!O$1,SMALL(Dong2,ROWS($1:42)),)=$I$6,OFFSET(TH!N$1,SMALL(Dong2,ROWS($1:42)),),OFFSET(TH!O$1,SMALL(Dong2,ROWS($1:42)),)))</f>
        <v/>
      </c>
      <c r="F53" s="891" t="str">
        <f ca="1">IF(ROWS($1:42)&gt;COUNT(Dong2),"",IF(AND(IF($M$9="Q11",LEFT(OFFSET(TH!G$1,SMALL(Dong2,ROWS($1:42)),),3)=$M$9,LEFT(OFFSET(TH!G$1,SMALL(Dong2,ROWS($1:42)),),2)=$M$9),OFFSET(TH!N$1,SMALL(Dong2,ROWS($1:42)),)=$I$6),IF($I$6="1121",OFFSET(TH!M$1,SMALL(Dong2,ROWS($1:42)),),OFFSET(TH!K$1,SMALL(Dong2,ROWS($1:42)),)),0))</f>
        <v/>
      </c>
      <c r="G53" s="891" t="str">
        <f ca="1">IF(ROWS($1:42)&gt;COUNT(Dong2),"",IF(AND(IF($M$9="Q11",RIGHT(OFFSET(TH!G$1,SMALL(Dong2,ROWS($1:42)),),3)=$M$9,RIGHT(OFFSET(TH!G$1,SMALL(Dong2,ROWS($1:42)),),2)=$M$9),OFFSET(TH!O$1,SMALL(Dong2,ROWS($1:42)),)=$I$6),IF($I$6="1121",OFFSET(TH!M$1,SMALL(Dong2,ROWS($1:42)),),OFFSET(TH!K$1,SMALL(Dong2,ROWS($1:42)),)),0))</f>
        <v/>
      </c>
      <c r="H53" s="721">
        <f t="shared" ca="1" si="2"/>
        <v>0</v>
      </c>
      <c r="I53" s="721"/>
      <c r="J53" s="169"/>
      <c r="K53" s="169"/>
      <c r="L53" s="169"/>
      <c r="M53" s="169"/>
      <c r="N53" s="169"/>
      <c r="O53" s="169"/>
      <c r="P53" s="169"/>
      <c r="Q53" s="169"/>
      <c r="R53" s="169"/>
      <c r="S53" s="169"/>
    </row>
    <row r="54" spans="1:19" ht="20.25" customHeight="1">
      <c r="A54" s="180" t="str">
        <f ca="1">IF(ROWS($1:43)&gt;COUNT(Dong2),"",OFFSET(TH!C$1,SMALL(Dong2,ROWS($1:43)),))</f>
        <v/>
      </c>
      <c r="B54" s="180" t="str">
        <f ca="1">IF(ROWS($1:43)&gt;COUNT(Dong2),"",OFFSET(TH!D$1,SMALL(Dong2,ROWS($1:43)),))</f>
        <v/>
      </c>
      <c r="C54" s="180" t="str">
        <f ca="1">IF(ROWS($1:43)&gt;COUNT(Dong2),"",OFFSET(TH!E$1,SMALL(Dong2,ROWS($1:43)),))</f>
        <v/>
      </c>
      <c r="D54" s="337" t="str">
        <f ca="1">IF(ROWS($1:43)&gt;COUNT(Dong2),"",OFFSET(TH!F$1,SMALL(Dong2,ROWS($1:43)),))</f>
        <v/>
      </c>
      <c r="E54" s="180" t="str">
        <f ca="1">IF(ROWS($1:43)&gt;COUNT(Dong2),"",IF(OFFSET(TH!O$1,SMALL(Dong2,ROWS($1:43)),)=$I$6,OFFSET(TH!N$1,SMALL(Dong2,ROWS($1:43)),),OFFSET(TH!O$1,SMALL(Dong2,ROWS($1:43)),)))</f>
        <v/>
      </c>
      <c r="F54" s="891" t="str">
        <f ca="1">IF(ROWS($1:43)&gt;COUNT(Dong2),"",IF(AND(IF($M$9="Q11",LEFT(OFFSET(TH!G$1,SMALL(Dong2,ROWS($1:43)),),3)=$M$9,LEFT(OFFSET(TH!G$1,SMALL(Dong2,ROWS($1:43)),),2)=$M$9),OFFSET(TH!N$1,SMALL(Dong2,ROWS($1:43)),)=$I$6),IF($I$6="1121",OFFSET(TH!M$1,SMALL(Dong2,ROWS($1:43)),),OFFSET(TH!K$1,SMALL(Dong2,ROWS($1:43)),)),0))</f>
        <v/>
      </c>
      <c r="G54" s="891" t="str">
        <f ca="1">IF(ROWS($1:43)&gt;COUNT(Dong2),"",IF(AND(IF($M$9="Q11",RIGHT(OFFSET(TH!G$1,SMALL(Dong2,ROWS($1:43)),),3)=$M$9,RIGHT(OFFSET(TH!G$1,SMALL(Dong2,ROWS($1:43)),),2)=$M$9),OFFSET(TH!O$1,SMALL(Dong2,ROWS($1:43)),)=$I$6),IF($I$6="1121",OFFSET(TH!M$1,SMALL(Dong2,ROWS($1:43)),),OFFSET(TH!K$1,SMALL(Dong2,ROWS($1:43)),)),0))</f>
        <v/>
      </c>
      <c r="H54" s="721">
        <f t="shared" ca="1" si="2"/>
        <v>0</v>
      </c>
      <c r="I54" s="721"/>
      <c r="J54" s="169"/>
      <c r="K54" s="169"/>
      <c r="L54" s="169"/>
      <c r="M54" s="169"/>
      <c r="N54" s="169"/>
      <c r="O54" s="169"/>
      <c r="P54" s="169"/>
      <c r="Q54" s="169"/>
      <c r="R54" s="169"/>
      <c r="S54" s="169"/>
    </row>
    <row r="55" spans="1:19" ht="20.25" customHeight="1">
      <c r="A55" s="180" t="str">
        <f ca="1">IF(ROWS($1:44)&gt;COUNT(Dong2),"",OFFSET(TH!C$1,SMALL(Dong2,ROWS($1:44)),))</f>
        <v/>
      </c>
      <c r="B55" s="180" t="str">
        <f ca="1">IF(ROWS($1:44)&gt;COUNT(Dong2),"",OFFSET(TH!D$1,SMALL(Dong2,ROWS($1:44)),))</f>
        <v/>
      </c>
      <c r="C55" s="180" t="str">
        <f ca="1">IF(ROWS($1:44)&gt;COUNT(Dong2),"",OFFSET(TH!E$1,SMALL(Dong2,ROWS($1:44)),))</f>
        <v/>
      </c>
      <c r="D55" s="337" t="str">
        <f ca="1">IF(ROWS($1:44)&gt;COUNT(Dong2),"",OFFSET(TH!F$1,SMALL(Dong2,ROWS($1:44)),))</f>
        <v/>
      </c>
      <c r="E55" s="180" t="str">
        <f ca="1">IF(ROWS($1:44)&gt;COUNT(Dong2),"",IF(OFFSET(TH!O$1,SMALL(Dong2,ROWS($1:44)),)=$I$6,OFFSET(TH!N$1,SMALL(Dong2,ROWS($1:44)),),OFFSET(TH!O$1,SMALL(Dong2,ROWS($1:44)),)))</f>
        <v/>
      </c>
      <c r="F55" s="891" t="str">
        <f ca="1">IF(ROWS($1:44)&gt;COUNT(Dong2),"",IF(AND(IF($M$9="Q11",LEFT(OFFSET(TH!G$1,SMALL(Dong2,ROWS($1:44)),),3)=$M$9,LEFT(OFFSET(TH!G$1,SMALL(Dong2,ROWS($1:44)),),2)=$M$9),OFFSET(TH!N$1,SMALL(Dong2,ROWS($1:44)),)=$I$6),IF($I$6="1121",OFFSET(TH!M$1,SMALL(Dong2,ROWS($1:44)),),OFFSET(TH!K$1,SMALL(Dong2,ROWS($1:44)),)),0))</f>
        <v/>
      </c>
      <c r="G55" s="891" t="str">
        <f ca="1">IF(ROWS($1:44)&gt;COUNT(Dong2),"",IF(AND(IF($M$9="Q11",RIGHT(OFFSET(TH!G$1,SMALL(Dong2,ROWS($1:44)),),3)=$M$9,RIGHT(OFFSET(TH!G$1,SMALL(Dong2,ROWS($1:44)),),2)=$M$9),OFFSET(TH!O$1,SMALL(Dong2,ROWS($1:44)),)=$I$6),IF($I$6="1121",OFFSET(TH!M$1,SMALL(Dong2,ROWS($1:44)),),OFFSET(TH!K$1,SMALL(Dong2,ROWS($1:44)),)),0))</f>
        <v/>
      </c>
      <c r="H55" s="721">
        <f t="shared" ca="1" si="2"/>
        <v>0</v>
      </c>
      <c r="I55" s="721"/>
      <c r="J55" s="169"/>
      <c r="K55" s="169"/>
      <c r="L55" s="169"/>
      <c r="M55" s="169"/>
      <c r="N55" s="169"/>
      <c r="O55" s="169"/>
      <c r="P55" s="169"/>
      <c r="Q55" s="169"/>
      <c r="R55" s="169"/>
      <c r="S55" s="169"/>
    </row>
    <row r="56" spans="1:19" ht="20.25" customHeight="1">
      <c r="A56" s="180" t="str">
        <f ca="1">IF(ROWS($1:45)&gt;COUNT(Dong2),"",OFFSET(TH!C$1,SMALL(Dong2,ROWS($1:45)),))</f>
        <v/>
      </c>
      <c r="B56" s="180" t="str">
        <f ca="1">IF(ROWS($1:45)&gt;COUNT(Dong2),"",OFFSET(TH!D$1,SMALL(Dong2,ROWS($1:45)),))</f>
        <v/>
      </c>
      <c r="C56" s="180" t="str">
        <f ca="1">IF(ROWS($1:45)&gt;COUNT(Dong2),"",OFFSET(TH!E$1,SMALL(Dong2,ROWS($1:45)),))</f>
        <v/>
      </c>
      <c r="D56" s="337" t="str">
        <f ca="1">IF(ROWS($1:45)&gt;COUNT(Dong2),"",OFFSET(TH!F$1,SMALL(Dong2,ROWS($1:45)),))</f>
        <v/>
      </c>
      <c r="E56" s="180" t="str">
        <f ca="1">IF(ROWS($1:45)&gt;COUNT(Dong2),"",IF(OFFSET(TH!O$1,SMALL(Dong2,ROWS($1:45)),)=$I$6,OFFSET(TH!N$1,SMALL(Dong2,ROWS($1:45)),),OFFSET(TH!O$1,SMALL(Dong2,ROWS($1:45)),)))</f>
        <v/>
      </c>
      <c r="F56" s="891" t="str">
        <f ca="1">IF(ROWS($1:45)&gt;COUNT(Dong2),"",IF(AND(IF($M$9="Q11",LEFT(OFFSET(TH!G$1,SMALL(Dong2,ROWS($1:45)),),3)=$M$9,LEFT(OFFSET(TH!G$1,SMALL(Dong2,ROWS($1:45)),),2)=$M$9),OFFSET(TH!N$1,SMALL(Dong2,ROWS($1:45)),)=$I$6),IF($I$6="1121",OFFSET(TH!M$1,SMALL(Dong2,ROWS($1:45)),),OFFSET(TH!K$1,SMALL(Dong2,ROWS($1:45)),)),0))</f>
        <v/>
      </c>
      <c r="G56" s="891" t="str">
        <f ca="1">IF(ROWS($1:45)&gt;COUNT(Dong2),"",IF(AND(IF($M$9="Q11",RIGHT(OFFSET(TH!G$1,SMALL(Dong2,ROWS($1:45)),),3)=$M$9,RIGHT(OFFSET(TH!G$1,SMALL(Dong2,ROWS($1:45)),),2)=$M$9),OFFSET(TH!O$1,SMALL(Dong2,ROWS($1:45)),)=$I$6),IF($I$6="1121",OFFSET(TH!M$1,SMALL(Dong2,ROWS($1:45)),),OFFSET(TH!K$1,SMALL(Dong2,ROWS($1:45)),)),0))</f>
        <v/>
      </c>
      <c r="H56" s="721">
        <f t="shared" ca="1" si="2"/>
        <v>0</v>
      </c>
      <c r="I56" s="721"/>
      <c r="J56" s="169"/>
      <c r="K56" s="169"/>
      <c r="L56" s="169"/>
      <c r="M56" s="169"/>
      <c r="N56" s="169"/>
      <c r="O56" s="169"/>
      <c r="P56" s="169"/>
      <c r="Q56" s="169"/>
      <c r="R56" s="169"/>
      <c r="S56" s="169"/>
    </row>
    <row r="57" spans="1:19" ht="20.25" customHeight="1">
      <c r="A57" s="180" t="str">
        <f ca="1">IF(ROWS($1:46)&gt;COUNT(Dong2),"",OFFSET(TH!C$1,SMALL(Dong2,ROWS($1:46)),))</f>
        <v/>
      </c>
      <c r="B57" s="180" t="str">
        <f ca="1">IF(ROWS($1:46)&gt;COUNT(Dong2),"",OFFSET(TH!D$1,SMALL(Dong2,ROWS($1:46)),))</f>
        <v/>
      </c>
      <c r="C57" s="180" t="str">
        <f ca="1">IF(ROWS($1:46)&gt;COUNT(Dong2),"",OFFSET(TH!E$1,SMALL(Dong2,ROWS($1:46)),))</f>
        <v/>
      </c>
      <c r="D57" s="337" t="str">
        <f ca="1">IF(ROWS($1:46)&gt;COUNT(Dong2),"",OFFSET(TH!F$1,SMALL(Dong2,ROWS($1:46)),))</f>
        <v/>
      </c>
      <c r="E57" s="180" t="str">
        <f ca="1">IF(ROWS($1:46)&gt;COUNT(Dong2),"",IF(OFFSET(TH!O$1,SMALL(Dong2,ROWS($1:46)),)=$I$6,OFFSET(TH!N$1,SMALL(Dong2,ROWS($1:46)),),OFFSET(TH!O$1,SMALL(Dong2,ROWS($1:46)),)))</f>
        <v/>
      </c>
      <c r="F57" s="891" t="str">
        <f ca="1">IF(ROWS($1:46)&gt;COUNT(Dong2),"",IF(AND(IF($M$9="Q11",LEFT(OFFSET(TH!G$1,SMALL(Dong2,ROWS($1:46)),),3)=$M$9,LEFT(OFFSET(TH!G$1,SMALL(Dong2,ROWS($1:46)),),2)=$M$9),OFFSET(TH!N$1,SMALL(Dong2,ROWS($1:46)),)=$I$6),IF($I$6="1121",OFFSET(TH!M$1,SMALL(Dong2,ROWS($1:46)),),OFFSET(TH!K$1,SMALL(Dong2,ROWS($1:46)),)),0))</f>
        <v/>
      </c>
      <c r="G57" s="891" t="str">
        <f ca="1">IF(ROWS($1:46)&gt;COUNT(Dong2),"",IF(AND(IF($M$9="Q11",RIGHT(OFFSET(TH!G$1,SMALL(Dong2,ROWS($1:46)),),3)=$M$9,RIGHT(OFFSET(TH!G$1,SMALL(Dong2,ROWS($1:46)),),2)=$M$9),OFFSET(TH!O$1,SMALL(Dong2,ROWS($1:46)),)=$I$6),IF($I$6="1121",OFFSET(TH!M$1,SMALL(Dong2,ROWS($1:46)),),OFFSET(TH!K$1,SMALL(Dong2,ROWS($1:46)),)),0))</f>
        <v/>
      </c>
      <c r="H57" s="721">
        <f t="shared" ca="1" si="2"/>
        <v>0</v>
      </c>
      <c r="I57" s="721"/>
      <c r="J57" s="169"/>
      <c r="K57" s="169"/>
      <c r="L57" s="169"/>
      <c r="M57" s="169"/>
      <c r="N57" s="169"/>
      <c r="O57" s="169"/>
      <c r="P57" s="169"/>
      <c r="Q57" s="169"/>
      <c r="R57" s="169"/>
      <c r="S57" s="169"/>
    </row>
    <row r="58" spans="1:19" ht="20.25" customHeight="1">
      <c r="A58" s="180" t="str">
        <f ca="1">IF(ROWS($1:47)&gt;COUNT(Dong2),"",OFFSET(TH!C$1,SMALL(Dong2,ROWS($1:47)),))</f>
        <v/>
      </c>
      <c r="B58" s="180" t="str">
        <f ca="1">IF(ROWS($1:47)&gt;COUNT(Dong2),"",OFFSET(TH!D$1,SMALL(Dong2,ROWS($1:47)),))</f>
        <v/>
      </c>
      <c r="C58" s="180" t="str">
        <f ca="1">IF(ROWS($1:47)&gt;COUNT(Dong2),"",OFFSET(TH!E$1,SMALL(Dong2,ROWS($1:47)),))</f>
        <v/>
      </c>
      <c r="D58" s="337" t="str">
        <f ca="1">IF(ROWS($1:47)&gt;COUNT(Dong2),"",OFFSET(TH!F$1,SMALL(Dong2,ROWS($1:47)),))</f>
        <v/>
      </c>
      <c r="E58" s="180" t="str">
        <f ca="1">IF(ROWS($1:47)&gt;COUNT(Dong2),"",IF(OFFSET(TH!O$1,SMALL(Dong2,ROWS($1:47)),)=$I$6,OFFSET(TH!N$1,SMALL(Dong2,ROWS($1:47)),),OFFSET(TH!O$1,SMALL(Dong2,ROWS($1:47)),)))</f>
        <v/>
      </c>
      <c r="F58" s="891" t="str">
        <f ca="1">IF(ROWS($1:47)&gt;COUNT(Dong2),"",IF(AND(IF($M$9="Q11",LEFT(OFFSET(TH!G$1,SMALL(Dong2,ROWS($1:47)),),3)=$M$9,LEFT(OFFSET(TH!G$1,SMALL(Dong2,ROWS($1:47)),),2)=$M$9),OFFSET(TH!N$1,SMALL(Dong2,ROWS($1:47)),)=$I$6),IF($I$6="1121",OFFSET(TH!M$1,SMALL(Dong2,ROWS($1:47)),),OFFSET(TH!K$1,SMALL(Dong2,ROWS($1:47)),)),0))</f>
        <v/>
      </c>
      <c r="G58" s="891" t="str">
        <f ca="1">IF(ROWS($1:47)&gt;COUNT(Dong2),"",IF(AND(IF($M$9="Q11",RIGHT(OFFSET(TH!G$1,SMALL(Dong2,ROWS($1:47)),),3)=$M$9,RIGHT(OFFSET(TH!G$1,SMALL(Dong2,ROWS($1:47)),),2)=$M$9),OFFSET(TH!O$1,SMALL(Dong2,ROWS($1:47)),)=$I$6),IF($I$6="1121",OFFSET(TH!M$1,SMALL(Dong2,ROWS($1:47)),),OFFSET(TH!K$1,SMALL(Dong2,ROWS($1:47)),)),0))</f>
        <v/>
      </c>
      <c r="H58" s="721">
        <f t="shared" ca="1" si="2"/>
        <v>0</v>
      </c>
      <c r="I58" s="721"/>
      <c r="J58" s="169"/>
      <c r="K58" s="169"/>
      <c r="L58" s="169"/>
      <c r="M58" s="169"/>
      <c r="N58" s="169"/>
      <c r="O58" s="169"/>
      <c r="P58" s="169"/>
      <c r="Q58" s="169"/>
      <c r="R58" s="169"/>
      <c r="S58" s="169"/>
    </row>
    <row r="59" spans="1:19" ht="20.25" customHeight="1">
      <c r="A59" s="180" t="str">
        <f ca="1">IF(ROWS($1:48)&gt;COUNT(Dong2),"",OFFSET(TH!C$1,SMALL(Dong2,ROWS($1:48)),))</f>
        <v/>
      </c>
      <c r="B59" s="180" t="str">
        <f ca="1">IF(ROWS($1:48)&gt;COUNT(Dong2),"",OFFSET(TH!D$1,SMALL(Dong2,ROWS($1:48)),))</f>
        <v/>
      </c>
      <c r="C59" s="180" t="str">
        <f ca="1">IF(ROWS($1:48)&gt;COUNT(Dong2),"",OFFSET(TH!E$1,SMALL(Dong2,ROWS($1:48)),))</f>
        <v/>
      </c>
      <c r="D59" s="337" t="str">
        <f ca="1">IF(ROWS($1:48)&gt;COUNT(Dong2),"",OFFSET(TH!F$1,SMALL(Dong2,ROWS($1:48)),))</f>
        <v/>
      </c>
      <c r="E59" s="180" t="str">
        <f ca="1">IF(ROWS($1:48)&gt;COUNT(Dong2),"",IF(OFFSET(TH!O$1,SMALL(Dong2,ROWS($1:48)),)=$I$6,OFFSET(TH!N$1,SMALL(Dong2,ROWS($1:48)),),OFFSET(TH!O$1,SMALL(Dong2,ROWS($1:48)),)))</f>
        <v/>
      </c>
      <c r="F59" s="891" t="str">
        <f ca="1">IF(ROWS($1:48)&gt;COUNT(Dong2),"",IF(AND(IF($M$9="Q11",LEFT(OFFSET(TH!G$1,SMALL(Dong2,ROWS($1:48)),),3)=$M$9,LEFT(OFFSET(TH!G$1,SMALL(Dong2,ROWS($1:48)),),2)=$M$9),OFFSET(TH!N$1,SMALL(Dong2,ROWS($1:48)),)=$I$6),IF($I$6="1121",OFFSET(TH!M$1,SMALL(Dong2,ROWS($1:48)),),OFFSET(TH!K$1,SMALL(Dong2,ROWS($1:48)),)),0))</f>
        <v/>
      </c>
      <c r="G59" s="891" t="str">
        <f ca="1">IF(ROWS($1:48)&gt;COUNT(Dong2),"",IF(AND(IF($M$9="Q11",RIGHT(OFFSET(TH!G$1,SMALL(Dong2,ROWS($1:48)),),3)=$M$9,RIGHT(OFFSET(TH!G$1,SMALL(Dong2,ROWS($1:48)),),2)=$M$9),OFFSET(TH!O$1,SMALL(Dong2,ROWS($1:48)),)=$I$6),IF($I$6="1121",OFFSET(TH!M$1,SMALL(Dong2,ROWS($1:48)),),OFFSET(TH!K$1,SMALL(Dong2,ROWS($1:48)),)),0))</f>
        <v/>
      </c>
      <c r="H59" s="721">
        <f t="shared" ref="H59:H67" ca="1" si="3">IF(A59&lt;&gt;"",H58+F59-G59,0)</f>
        <v>0</v>
      </c>
      <c r="I59" s="721"/>
      <c r="J59" s="169"/>
      <c r="K59" s="169"/>
      <c r="L59" s="169"/>
      <c r="M59" s="169"/>
      <c r="N59" s="169"/>
      <c r="O59" s="169"/>
      <c r="P59" s="169"/>
      <c r="Q59" s="169"/>
      <c r="R59" s="169"/>
      <c r="S59" s="169"/>
    </row>
    <row r="60" spans="1:19" ht="20.25" customHeight="1">
      <c r="A60" s="180" t="str">
        <f ca="1">IF(ROWS($1:49)&gt;COUNT(Dong2),"",OFFSET(TH!C$1,SMALL(Dong2,ROWS($1:49)),))</f>
        <v/>
      </c>
      <c r="B60" s="180" t="str">
        <f ca="1">IF(ROWS($1:49)&gt;COUNT(Dong2),"",OFFSET(TH!D$1,SMALL(Dong2,ROWS($1:49)),))</f>
        <v/>
      </c>
      <c r="C60" s="180" t="str">
        <f ca="1">IF(ROWS($1:49)&gt;COUNT(Dong2),"",OFFSET(TH!E$1,SMALL(Dong2,ROWS($1:49)),))</f>
        <v/>
      </c>
      <c r="D60" s="337" t="str">
        <f ca="1">IF(ROWS($1:49)&gt;COUNT(Dong2),"",OFFSET(TH!F$1,SMALL(Dong2,ROWS($1:49)),))</f>
        <v/>
      </c>
      <c r="E60" s="180" t="str">
        <f ca="1">IF(ROWS($1:49)&gt;COUNT(Dong2),"",IF(OFFSET(TH!O$1,SMALL(Dong2,ROWS($1:49)),)=$I$6,OFFSET(TH!N$1,SMALL(Dong2,ROWS($1:49)),),OFFSET(TH!O$1,SMALL(Dong2,ROWS($1:49)),)))</f>
        <v/>
      </c>
      <c r="F60" s="891" t="str">
        <f ca="1">IF(ROWS($1:49)&gt;COUNT(Dong2),"",IF(AND(IF($M$9="Q11",LEFT(OFFSET(TH!G$1,SMALL(Dong2,ROWS($1:49)),),3)=$M$9,LEFT(OFFSET(TH!G$1,SMALL(Dong2,ROWS($1:49)),),2)=$M$9),OFFSET(TH!N$1,SMALL(Dong2,ROWS($1:49)),)=$I$6),IF($I$6="1121",OFFSET(TH!M$1,SMALL(Dong2,ROWS($1:49)),),OFFSET(TH!K$1,SMALL(Dong2,ROWS($1:49)),)),0))</f>
        <v/>
      </c>
      <c r="G60" s="891" t="str">
        <f ca="1">IF(ROWS($1:49)&gt;COUNT(Dong2),"",IF(AND(IF($M$9="Q11",RIGHT(OFFSET(TH!G$1,SMALL(Dong2,ROWS($1:49)),),3)=$M$9,RIGHT(OFFSET(TH!G$1,SMALL(Dong2,ROWS($1:49)),),2)=$M$9),OFFSET(TH!O$1,SMALL(Dong2,ROWS($1:49)),)=$I$6),IF($I$6="1121",OFFSET(TH!M$1,SMALL(Dong2,ROWS($1:49)),),OFFSET(TH!K$1,SMALL(Dong2,ROWS($1:49)),)),0))</f>
        <v/>
      </c>
      <c r="H60" s="721">
        <f t="shared" ca="1" si="3"/>
        <v>0</v>
      </c>
      <c r="I60" s="721"/>
      <c r="J60" s="169"/>
      <c r="K60" s="169"/>
      <c r="L60" s="169"/>
      <c r="M60" s="169"/>
      <c r="N60" s="169"/>
      <c r="O60" s="169"/>
      <c r="P60" s="169"/>
      <c r="Q60" s="169"/>
      <c r="R60" s="169"/>
      <c r="S60" s="169"/>
    </row>
    <row r="61" spans="1:19" ht="20.25" customHeight="1">
      <c r="A61" s="180" t="str">
        <f ca="1">IF(ROWS($1:50)&gt;COUNT(Dong2),"",OFFSET(TH!C$1,SMALL(Dong2,ROWS($1:50)),))</f>
        <v/>
      </c>
      <c r="B61" s="180" t="str">
        <f ca="1">IF(ROWS($1:50)&gt;COUNT(Dong2),"",OFFSET(TH!D$1,SMALL(Dong2,ROWS($1:50)),))</f>
        <v/>
      </c>
      <c r="C61" s="180" t="str">
        <f ca="1">IF(ROWS($1:50)&gt;COUNT(Dong2),"",OFFSET(TH!E$1,SMALL(Dong2,ROWS($1:50)),))</f>
        <v/>
      </c>
      <c r="D61" s="337" t="str">
        <f ca="1">IF(ROWS($1:50)&gt;COUNT(Dong2),"",OFFSET(TH!F$1,SMALL(Dong2,ROWS($1:50)),))</f>
        <v/>
      </c>
      <c r="E61" s="180" t="str">
        <f ca="1">IF(ROWS($1:50)&gt;COUNT(Dong2),"",IF(OFFSET(TH!O$1,SMALL(Dong2,ROWS($1:50)),)=$I$6,OFFSET(TH!N$1,SMALL(Dong2,ROWS($1:50)),),OFFSET(TH!O$1,SMALL(Dong2,ROWS($1:50)),)))</f>
        <v/>
      </c>
      <c r="F61" s="891" t="str">
        <f ca="1">IF(ROWS($1:50)&gt;COUNT(Dong2),"",IF(AND(IF($M$9="Q11",LEFT(OFFSET(TH!G$1,SMALL(Dong2,ROWS($1:50)),),3)=$M$9,LEFT(OFFSET(TH!G$1,SMALL(Dong2,ROWS($1:50)),),2)=$M$9),OFFSET(TH!N$1,SMALL(Dong2,ROWS($1:50)),)=$I$6),IF($I$6="1121",OFFSET(TH!M$1,SMALL(Dong2,ROWS($1:50)),),OFFSET(TH!K$1,SMALL(Dong2,ROWS($1:50)),)),0))</f>
        <v/>
      </c>
      <c r="G61" s="891" t="str">
        <f ca="1">IF(ROWS($1:50)&gt;COUNT(Dong2),"",IF(AND(IF($M$9="Q11",RIGHT(OFFSET(TH!G$1,SMALL(Dong2,ROWS($1:50)),),3)=$M$9,RIGHT(OFFSET(TH!G$1,SMALL(Dong2,ROWS($1:50)),),2)=$M$9),OFFSET(TH!O$1,SMALL(Dong2,ROWS($1:50)),)=$I$6),IF($I$6="1121",OFFSET(TH!M$1,SMALL(Dong2,ROWS($1:50)),),OFFSET(TH!K$1,SMALL(Dong2,ROWS($1:50)),)),0))</f>
        <v/>
      </c>
      <c r="H61" s="721">
        <f t="shared" ca="1" si="3"/>
        <v>0</v>
      </c>
      <c r="I61" s="721"/>
      <c r="J61" s="169"/>
      <c r="K61" s="169"/>
      <c r="L61" s="169"/>
      <c r="M61" s="169"/>
      <c r="N61" s="169"/>
      <c r="O61" s="169"/>
      <c r="P61" s="169"/>
      <c r="Q61" s="169"/>
      <c r="R61" s="169"/>
      <c r="S61" s="169"/>
    </row>
    <row r="62" spans="1:19" ht="20.25" customHeight="1">
      <c r="A62" s="180" t="str">
        <f ca="1">IF(ROWS($1:51)&gt;COUNT(Dong2),"",OFFSET(TH!C$1,SMALL(Dong2,ROWS($1:51)),))</f>
        <v/>
      </c>
      <c r="B62" s="180" t="str">
        <f ca="1">IF(ROWS($1:51)&gt;COUNT(Dong2),"",OFFSET(TH!D$1,SMALL(Dong2,ROWS($1:51)),))</f>
        <v/>
      </c>
      <c r="C62" s="180" t="str">
        <f ca="1">IF(ROWS($1:51)&gt;COUNT(Dong2),"",OFFSET(TH!E$1,SMALL(Dong2,ROWS($1:51)),))</f>
        <v/>
      </c>
      <c r="D62" s="337" t="str">
        <f ca="1">IF(ROWS($1:51)&gt;COUNT(Dong2),"",OFFSET(TH!F$1,SMALL(Dong2,ROWS($1:51)),))</f>
        <v/>
      </c>
      <c r="E62" s="180" t="str">
        <f ca="1">IF(ROWS($1:51)&gt;COUNT(Dong2),"",IF(OFFSET(TH!O$1,SMALL(Dong2,ROWS($1:51)),)=$I$6,OFFSET(TH!N$1,SMALL(Dong2,ROWS($1:51)),),OFFSET(TH!O$1,SMALL(Dong2,ROWS($1:51)),)))</f>
        <v/>
      </c>
      <c r="F62" s="891" t="str">
        <f ca="1">IF(ROWS($1:51)&gt;COUNT(Dong2),"",IF(AND(IF($M$9="Q11",LEFT(OFFSET(TH!G$1,SMALL(Dong2,ROWS($1:51)),),3)=$M$9,LEFT(OFFSET(TH!G$1,SMALL(Dong2,ROWS($1:51)),),2)=$M$9),OFFSET(TH!N$1,SMALL(Dong2,ROWS($1:51)),)=$I$6),IF($I$6="1121",OFFSET(TH!M$1,SMALL(Dong2,ROWS($1:51)),),OFFSET(TH!K$1,SMALL(Dong2,ROWS($1:51)),)),0))</f>
        <v/>
      </c>
      <c r="G62" s="891" t="str">
        <f ca="1">IF(ROWS($1:51)&gt;COUNT(Dong2),"",IF(AND(IF($M$9="Q11",RIGHT(OFFSET(TH!G$1,SMALL(Dong2,ROWS($1:51)),),3)=$M$9,RIGHT(OFFSET(TH!G$1,SMALL(Dong2,ROWS($1:51)),),2)=$M$9),OFFSET(TH!O$1,SMALL(Dong2,ROWS($1:51)),)=$I$6),IF($I$6="1121",OFFSET(TH!M$1,SMALL(Dong2,ROWS($1:51)),),OFFSET(TH!K$1,SMALL(Dong2,ROWS($1:51)),)),0))</f>
        <v/>
      </c>
      <c r="H62" s="721">
        <f t="shared" ca="1" si="3"/>
        <v>0</v>
      </c>
      <c r="I62" s="721"/>
      <c r="J62" s="169"/>
      <c r="K62" s="169"/>
      <c r="L62" s="169"/>
      <c r="M62" s="169"/>
      <c r="N62" s="169"/>
      <c r="O62" s="169"/>
      <c r="P62" s="169"/>
      <c r="Q62" s="169"/>
      <c r="R62" s="169"/>
      <c r="S62" s="169"/>
    </row>
    <row r="63" spans="1:19" ht="20.25" customHeight="1">
      <c r="A63" s="180" t="str">
        <f ca="1">IF(ROWS($1:52)&gt;COUNT(Dong2),"",OFFSET(TH!C$1,SMALL(Dong2,ROWS($1:52)),))</f>
        <v/>
      </c>
      <c r="B63" s="180" t="str">
        <f ca="1">IF(ROWS($1:52)&gt;COUNT(Dong2),"",OFFSET(TH!D$1,SMALL(Dong2,ROWS($1:52)),))</f>
        <v/>
      </c>
      <c r="C63" s="180" t="str">
        <f ca="1">IF(ROWS($1:52)&gt;COUNT(Dong2),"",OFFSET(TH!E$1,SMALL(Dong2,ROWS($1:52)),))</f>
        <v/>
      </c>
      <c r="D63" s="337" t="str">
        <f ca="1">IF(ROWS($1:52)&gt;COUNT(Dong2),"",OFFSET(TH!F$1,SMALL(Dong2,ROWS($1:52)),))</f>
        <v/>
      </c>
      <c r="E63" s="180" t="str">
        <f ca="1">IF(ROWS($1:52)&gt;COUNT(Dong2),"",IF(OFFSET(TH!O$1,SMALL(Dong2,ROWS($1:52)),)=$I$6,OFFSET(TH!N$1,SMALL(Dong2,ROWS($1:52)),),OFFSET(TH!O$1,SMALL(Dong2,ROWS($1:52)),)))</f>
        <v/>
      </c>
      <c r="F63" s="891" t="str">
        <f ca="1">IF(ROWS($1:52)&gt;COUNT(Dong2),"",IF(AND(IF($M$9="Q11",LEFT(OFFSET(TH!G$1,SMALL(Dong2,ROWS($1:52)),),3)=$M$9,LEFT(OFFSET(TH!G$1,SMALL(Dong2,ROWS($1:52)),),2)=$M$9),OFFSET(TH!N$1,SMALL(Dong2,ROWS($1:52)),)=$I$6),IF($I$6="1121",OFFSET(TH!M$1,SMALL(Dong2,ROWS($1:52)),),OFFSET(TH!K$1,SMALL(Dong2,ROWS($1:52)),)),0))</f>
        <v/>
      </c>
      <c r="G63" s="891" t="str">
        <f ca="1">IF(ROWS($1:52)&gt;COUNT(Dong2),"",IF(AND(IF($M$9="Q11",RIGHT(OFFSET(TH!G$1,SMALL(Dong2,ROWS($1:52)),),3)=$M$9,RIGHT(OFFSET(TH!G$1,SMALL(Dong2,ROWS($1:52)),),2)=$M$9),OFFSET(TH!O$1,SMALL(Dong2,ROWS($1:52)),)=$I$6),IF($I$6="1121",OFFSET(TH!M$1,SMALL(Dong2,ROWS($1:52)),),OFFSET(TH!K$1,SMALL(Dong2,ROWS($1:52)),)),0))</f>
        <v/>
      </c>
      <c r="H63" s="721">
        <f t="shared" ca="1" si="3"/>
        <v>0</v>
      </c>
      <c r="I63" s="721"/>
      <c r="J63" s="169"/>
      <c r="K63" s="169"/>
      <c r="L63" s="169"/>
      <c r="M63" s="169"/>
      <c r="N63" s="169"/>
      <c r="O63" s="169"/>
      <c r="P63" s="169"/>
      <c r="Q63" s="169"/>
      <c r="R63" s="169"/>
      <c r="S63" s="169"/>
    </row>
    <row r="64" spans="1:19" ht="20.25" customHeight="1">
      <c r="A64" s="180" t="str">
        <f ca="1">IF(ROWS($1:53)&gt;COUNT(Dong2),"",OFFSET(TH!C$1,SMALL(Dong2,ROWS($1:53)),))</f>
        <v/>
      </c>
      <c r="B64" s="180" t="str">
        <f ca="1">IF(ROWS($1:53)&gt;COUNT(Dong2),"",OFFSET(TH!D$1,SMALL(Dong2,ROWS($1:53)),))</f>
        <v/>
      </c>
      <c r="C64" s="180" t="str">
        <f ca="1">IF(ROWS($1:53)&gt;COUNT(Dong2),"",OFFSET(TH!E$1,SMALL(Dong2,ROWS($1:53)),))</f>
        <v/>
      </c>
      <c r="D64" s="337" t="str">
        <f ca="1">IF(ROWS($1:53)&gt;COUNT(Dong2),"",OFFSET(TH!F$1,SMALL(Dong2,ROWS($1:53)),))</f>
        <v/>
      </c>
      <c r="E64" s="180" t="str">
        <f ca="1">IF(ROWS($1:53)&gt;COUNT(Dong2),"",IF(OFFSET(TH!O$1,SMALL(Dong2,ROWS($1:53)),)=$I$6,OFFSET(TH!N$1,SMALL(Dong2,ROWS($1:53)),),OFFSET(TH!O$1,SMALL(Dong2,ROWS($1:53)),)))</f>
        <v/>
      </c>
      <c r="F64" s="891" t="str">
        <f ca="1">IF(ROWS($1:53)&gt;COUNT(Dong2),"",IF(AND(IF($M$9="Q11",LEFT(OFFSET(TH!G$1,SMALL(Dong2,ROWS($1:53)),),3)=$M$9,LEFT(OFFSET(TH!G$1,SMALL(Dong2,ROWS($1:53)),),2)=$M$9),OFFSET(TH!N$1,SMALL(Dong2,ROWS($1:53)),)=$I$6),IF($I$6="1121",OFFSET(TH!M$1,SMALL(Dong2,ROWS($1:53)),),OFFSET(TH!K$1,SMALL(Dong2,ROWS($1:53)),)),0))</f>
        <v/>
      </c>
      <c r="G64" s="891" t="str">
        <f ca="1">IF(ROWS($1:53)&gt;COUNT(Dong2),"",IF(AND(IF($M$9="Q11",RIGHT(OFFSET(TH!G$1,SMALL(Dong2,ROWS($1:53)),),3)=$M$9,RIGHT(OFFSET(TH!G$1,SMALL(Dong2,ROWS($1:53)),),2)=$M$9),OFFSET(TH!O$1,SMALL(Dong2,ROWS($1:53)),)=$I$6),IF($I$6="1121",OFFSET(TH!M$1,SMALL(Dong2,ROWS($1:53)),),OFFSET(TH!K$1,SMALL(Dong2,ROWS($1:53)),)),0))</f>
        <v/>
      </c>
      <c r="H64" s="721">
        <f t="shared" ca="1" si="3"/>
        <v>0</v>
      </c>
      <c r="I64" s="721"/>
      <c r="J64" s="169"/>
      <c r="K64" s="169"/>
      <c r="L64" s="169"/>
      <c r="M64" s="169"/>
      <c r="N64" s="169"/>
      <c r="O64" s="169"/>
      <c r="P64" s="169"/>
      <c r="Q64" s="169"/>
      <c r="R64" s="169"/>
      <c r="S64" s="169"/>
    </row>
    <row r="65" spans="1:19" ht="20.25" customHeight="1">
      <c r="A65" s="180" t="str">
        <f ca="1">IF(ROWS($1:54)&gt;COUNT(Dong2),"",OFFSET(TH!C$1,SMALL(Dong2,ROWS($1:54)),))</f>
        <v/>
      </c>
      <c r="B65" s="180" t="str">
        <f ca="1">IF(ROWS($1:54)&gt;COUNT(Dong2),"",OFFSET(TH!D$1,SMALL(Dong2,ROWS($1:54)),))</f>
        <v/>
      </c>
      <c r="C65" s="180" t="str">
        <f ca="1">IF(ROWS($1:54)&gt;COUNT(Dong2),"",OFFSET(TH!E$1,SMALL(Dong2,ROWS($1:54)),))</f>
        <v/>
      </c>
      <c r="D65" s="337" t="str">
        <f ca="1">IF(ROWS($1:54)&gt;COUNT(Dong2),"",OFFSET(TH!F$1,SMALL(Dong2,ROWS($1:54)),))</f>
        <v/>
      </c>
      <c r="E65" s="180" t="str">
        <f ca="1">IF(ROWS($1:54)&gt;COUNT(Dong2),"",IF(OFFSET(TH!O$1,SMALL(Dong2,ROWS($1:54)),)=$I$6,OFFSET(TH!N$1,SMALL(Dong2,ROWS($1:54)),),OFFSET(TH!O$1,SMALL(Dong2,ROWS($1:54)),)))</f>
        <v/>
      </c>
      <c r="F65" s="891" t="str">
        <f ca="1">IF(ROWS($1:54)&gt;COUNT(Dong2),"",IF(AND(IF($M$9="Q11",LEFT(OFFSET(TH!G$1,SMALL(Dong2,ROWS($1:54)),),3)=$M$9,LEFT(OFFSET(TH!G$1,SMALL(Dong2,ROWS($1:54)),),2)=$M$9),OFFSET(TH!N$1,SMALL(Dong2,ROWS($1:54)),)=$I$6),IF($I$6="1121",OFFSET(TH!M$1,SMALL(Dong2,ROWS($1:54)),),OFFSET(TH!K$1,SMALL(Dong2,ROWS($1:54)),)),0))</f>
        <v/>
      </c>
      <c r="G65" s="891" t="str">
        <f ca="1">IF(ROWS($1:54)&gt;COUNT(Dong2),"",IF(AND(IF($M$9="Q11",RIGHT(OFFSET(TH!G$1,SMALL(Dong2,ROWS($1:54)),),3)=$M$9,RIGHT(OFFSET(TH!G$1,SMALL(Dong2,ROWS($1:54)),),2)=$M$9),OFFSET(TH!O$1,SMALL(Dong2,ROWS($1:54)),)=$I$6),IF($I$6="1121",OFFSET(TH!M$1,SMALL(Dong2,ROWS($1:54)),),OFFSET(TH!K$1,SMALL(Dong2,ROWS($1:54)),)),0))</f>
        <v/>
      </c>
      <c r="H65" s="721">
        <f t="shared" ca="1" si="3"/>
        <v>0</v>
      </c>
      <c r="I65" s="721"/>
      <c r="J65" s="169"/>
      <c r="K65" s="169"/>
      <c r="L65" s="169"/>
      <c r="M65" s="169"/>
      <c r="N65" s="169"/>
      <c r="O65" s="169"/>
      <c r="P65" s="169"/>
      <c r="Q65" s="169"/>
      <c r="R65" s="169"/>
      <c r="S65" s="169"/>
    </row>
    <row r="66" spans="1:19" ht="20.25" customHeight="1">
      <c r="A66" s="180" t="str">
        <f ca="1">IF(ROWS($1:55)&gt;COUNT(Dong2),"",OFFSET(TH!C$1,SMALL(Dong2,ROWS($1:55)),))</f>
        <v/>
      </c>
      <c r="B66" s="180" t="str">
        <f ca="1">IF(ROWS($1:55)&gt;COUNT(Dong2),"",OFFSET(TH!D$1,SMALL(Dong2,ROWS($1:55)),))</f>
        <v/>
      </c>
      <c r="C66" s="180" t="str">
        <f ca="1">IF(ROWS($1:55)&gt;COUNT(Dong2),"",OFFSET(TH!E$1,SMALL(Dong2,ROWS($1:55)),))</f>
        <v/>
      </c>
      <c r="D66" s="337" t="str">
        <f ca="1">IF(ROWS($1:55)&gt;COUNT(Dong2),"",OFFSET(TH!F$1,SMALL(Dong2,ROWS($1:55)),))</f>
        <v/>
      </c>
      <c r="E66" s="180" t="str">
        <f ca="1">IF(ROWS($1:55)&gt;COUNT(Dong2),"",IF(OFFSET(TH!O$1,SMALL(Dong2,ROWS($1:55)),)=$I$6,OFFSET(TH!N$1,SMALL(Dong2,ROWS($1:55)),),OFFSET(TH!O$1,SMALL(Dong2,ROWS($1:55)),)))</f>
        <v/>
      </c>
      <c r="F66" s="891" t="str">
        <f ca="1">IF(ROWS($1:55)&gt;COUNT(Dong2),"",IF(AND(IF($M$9="Q11",LEFT(OFFSET(TH!G$1,SMALL(Dong2,ROWS($1:55)),),3)=$M$9,LEFT(OFFSET(TH!G$1,SMALL(Dong2,ROWS($1:55)),),2)=$M$9),OFFSET(TH!N$1,SMALL(Dong2,ROWS($1:55)),)=$I$6),IF($I$6="1121",OFFSET(TH!M$1,SMALL(Dong2,ROWS($1:55)),),OFFSET(TH!K$1,SMALL(Dong2,ROWS($1:55)),)),0))</f>
        <v/>
      </c>
      <c r="G66" s="891" t="str">
        <f ca="1">IF(ROWS($1:55)&gt;COUNT(Dong2),"",IF(AND(IF($M$9="Q11",RIGHT(OFFSET(TH!G$1,SMALL(Dong2,ROWS($1:55)),),3)=$M$9,RIGHT(OFFSET(TH!G$1,SMALL(Dong2,ROWS($1:55)),),2)=$M$9),OFFSET(TH!O$1,SMALL(Dong2,ROWS($1:55)),)=$I$6),IF($I$6="1121",OFFSET(TH!M$1,SMALL(Dong2,ROWS($1:55)),),OFFSET(TH!K$1,SMALL(Dong2,ROWS($1:55)),)),0))</f>
        <v/>
      </c>
      <c r="H66" s="721">
        <f t="shared" ca="1" si="3"/>
        <v>0</v>
      </c>
      <c r="I66" s="721"/>
      <c r="J66" s="169"/>
      <c r="K66" s="169"/>
      <c r="L66" s="169"/>
      <c r="M66" s="169"/>
      <c r="N66" s="169"/>
      <c r="O66" s="169"/>
      <c r="P66" s="169"/>
      <c r="Q66" s="169"/>
      <c r="R66" s="169"/>
      <c r="S66" s="169"/>
    </row>
    <row r="67" spans="1:19" ht="20.25" customHeight="1">
      <c r="A67" s="180" t="str">
        <f ca="1">IF(ROWS($1:56)&gt;COUNT(Dong2),"",OFFSET(TH!C$1,SMALL(Dong2,ROWS($1:56)),))</f>
        <v/>
      </c>
      <c r="B67" s="180" t="str">
        <f ca="1">IF(ROWS($1:56)&gt;COUNT(Dong2),"",OFFSET(TH!D$1,SMALL(Dong2,ROWS($1:56)),))</f>
        <v/>
      </c>
      <c r="C67" s="180" t="str">
        <f ca="1">IF(ROWS($1:56)&gt;COUNT(Dong2),"",OFFSET(TH!E$1,SMALL(Dong2,ROWS($1:56)),))</f>
        <v/>
      </c>
      <c r="D67" s="337" t="str">
        <f ca="1">IF(ROWS($1:56)&gt;COUNT(Dong2),"",OFFSET(TH!F$1,SMALL(Dong2,ROWS($1:56)),))</f>
        <v/>
      </c>
      <c r="E67" s="180" t="str">
        <f ca="1">IF(ROWS($1:56)&gt;COUNT(Dong2),"",IF(OFFSET(TH!O$1,SMALL(Dong2,ROWS($1:56)),)=$I$6,OFFSET(TH!N$1,SMALL(Dong2,ROWS($1:56)),),OFFSET(TH!O$1,SMALL(Dong2,ROWS($1:56)),)))</f>
        <v/>
      </c>
      <c r="F67" s="891" t="str">
        <f ca="1">IF(ROWS($1:56)&gt;COUNT(Dong2),"",IF(AND(IF($M$9="Q11",LEFT(OFFSET(TH!G$1,SMALL(Dong2,ROWS($1:56)),),3)=$M$9,LEFT(OFFSET(TH!G$1,SMALL(Dong2,ROWS($1:56)),),2)=$M$9),OFFSET(TH!N$1,SMALL(Dong2,ROWS($1:56)),)=$I$6),IF($I$6="1121",OFFSET(TH!M$1,SMALL(Dong2,ROWS($1:56)),),OFFSET(TH!K$1,SMALL(Dong2,ROWS($1:56)),)),0))</f>
        <v/>
      </c>
      <c r="G67" s="891" t="str">
        <f ca="1">IF(ROWS($1:56)&gt;COUNT(Dong2),"",IF(AND(IF($M$9="Q11",RIGHT(OFFSET(TH!G$1,SMALL(Dong2,ROWS($1:56)),),3)=$M$9,RIGHT(OFFSET(TH!G$1,SMALL(Dong2,ROWS($1:56)),),2)=$M$9),OFFSET(TH!O$1,SMALL(Dong2,ROWS($1:56)),)=$I$6),IF($I$6="1121",OFFSET(TH!M$1,SMALL(Dong2,ROWS($1:56)),),OFFSET(TH!K$1,SMALL(Dong2,ROWS($1:56)),)),0))</f>
        <v/>
      </c>
      <c r="H67" s="721">
        <f t="shared" ca="1" si="3"/>
        <v>0</v>
      </c>
      <c r="I67" s="721"/>
      <c r="J67" s="169"/>
      <c r="K67" s="169"/>
      <c r="L67" s="169"/>
      <c r="M67" s="169"/>
      <c r="N67" s="169"/>
      <c r="O67" s="169"/>
      <c r="P67" s="169"/>
      <c r="Q67" s="169"/>
      <c r="R67" s="169"/>
      <c r="S67" s="169"/>
    </row>
    <row r="68" spans="1:19" ht="20.25" customHeight="1">
      <c r="A68" s="180" t="str">
        <f ca="1">IF(ROWS($1:57)&gt;COUNT(Dong2),"",OFFSET(TH!C$1,SMALL(Dong2,ROWS($1:57)),))</f>
        <v/>
      </c>
      <c r="B68" s="180" t="str">
        <f ca="1">IF(ROWS($1:57)&gt;COUNT(Dong2),"",OFFSET(TH!D$1,SMALL(Dong2,ROWS($1:57)),))</f>
        <v/>
      </c>
      <c r="C68" s="180" t="str">
        <f ca="1">IF(ROWS($1:57)&gt;COUNT(Dong2),"",OFFSET(TH!E$1,SMALL(Dong2,ROWS($1:57)),))</f>
        <v/>
      </c>
      <c r="D68" s="337" t="str">
        <f ca="1">IF(ROWS($1:57)&gt;COUNT(Dong2),"",OFFSET(TH!F$1,SMALL(Dong2,ROWS($1:57)),))</f>
        <v/>
      </c>
      <c r="E68" s="180" t="str">
        <f ca="1">IF(ROWS($1:57)&gt;COUNT(Dong2),"",IF(OFFSET(TH!O$1,SMALL(Dong2,ROWS($1:57)),)=$I$6,OFFSET(TH!N$1,SMALL(Dong2,ROWS($1:57)),),OFFSET(TH!O$1,SMALL(Dong2,ROWS($1:57)),)))</f>
        <v/>
      </c>
      <c r="F68" s="891" t="str">
        <f ca="1">IF(ROWS($1:57)&gt;COUNT(Dong2),"",IF(AND(IF($M$9="Q11",LEFT(OFFSET(TH!G$1,SMALL(Dong2,ROWS($1:57)),),3)=$M$9,LEFT(OFFSET(TH!G$1,SMALL(Dong2,ROWS($1:57)),),2)=$M$9),OFFSET(TH!N$1,SMALL(Dong2,ROWS($1:57)),)=$I$6),IF($I$6="1121",OFFSET(TH!M$1,SMALL(Dong2,ROWS($1:57)),),OFFSET(TH!K$1,SMALL(Dong2,ROWS($1:57)),)),0))</f>
        <v/>
      </c>
      <c r="G68" s="891" t="str">
        <f ca="1">IF(ROWS($1:57)&gt;COUNT(Dong2),"",IF(AND(IF($M$9="Q11",RIGHT(OFFSET(TH!G$1,SMALL(Dong2,ROWS($1:57)),),3)=$M$9,RIGHT(OFFSET(TH!G$1,SMALL(Dong2,ROWS($1:57)),),2)=$M$9),OFFSET(TH!O$1,SMALL(Dong2,ROWS($1:57)),)=$I$6),IF($I$6="1121",OFFSET(TH!M$1,SMALL(Dong2,ROWS($1:57)),),OFFSET(TH!K$1,SMALL(Dong2,ROWS($1:57)),)),0))</f>
        <v/>
      </c>
      <c r="H68" s="721">
        <f t="shared" ref="H68:H75" ca="1" si="4">IF(A68&lt;&gt;"",H67+F68-G68,0)</f>
        <v>0</v>
      </c>
      <c r="I68" s="721"/>
      <c r="J68" s="169"/>
      <c r="K68" s="169"/>
      <c r="L68" s="169"/>
      <c r="M68" s="169"/>
      <c r="N68" s="169"/>
      <c r="O68" s="169"/>
      <c r="P68" s="169"/>
      <c r="Q68" s="169"/>
      <c r="R68" s="169"/>
      <c r="S68" s="169"/>
    </row>
    <row r="69" spans="1:19" ht="20.25" customHeight="1">
      <c r="A69" s="180" t="str">
        <f ca="1">IF(ROWS($1:58)&gt;COUNT(Dong2),"",OFFSET(TH!C$1,SMALL(Dong2,ROWS($1:58)),))</f>
        <v/>
      </c>
      <c r="B69" s="180" t="str">
        <f ca="1">IF(ROWS($1:58)&gt;COUNT(Dong2),"",OFFSET(TH!D$1,SMALL(Dong2,ROWS($1:58)),))</f>
        <v/>
      </c>
      <c r="C69" s="180" t="str">
        <f ca="1">IF(ROWS($1:58)&gt;COUNT(Dong2),"",OFFSET(TH!E$1,SMALL(Dong2,ROWS($1:58)),))</f>
        <v/>
      </c>
      <c r="D69" s="337" t="str">
        <f ca="1">IF(ROWS($1:58)&gt;COUNT(Dong2),"",OFFSET(TH!F$1,SMALL(Dong2,ROWS($1:58)),))</f>
        <v/>
      </c>
      <c r="E69" s="180" t="str">
        <f ca="1">IF(ROWS($1:58)&gt;COUNT(Dong2),"",IF(OFFSET(TH!O$1,SMALL(Dong2,ROWS($1:58)),)=$I$6,OFFSET(TH!N$1,SMALL(Dong2,ROWS($1:58)),),OFFSET(TH!O$1,SMALL(Dong2,ROWS($1:58)),)))</f>
        <v/>
      </c>
      <c r="F69" s="891" t="str">
        <f ca="1">IF(ROWS($1:58)&gt;COUNT(Dong2),"",IF(AND(IF($M$9="Q11",LEFT(OFFSET(TH!G$1,SMALL(Dong2,ROWS($1:58)),),3)=$M$9,LEFT(OFFSET(TH!G$1,SMALL(Dong2,ROWS($1:58)),),2)=$M$9),OFFSET(TH!N$1,SMALL(Dong2,ROWS($1:58)),)=$I$6),IF($I$6="1121",OFFSET(TH!M$1,SMALL(Dong2,ROWS($1:58)),),OFFSET(TH!K$1,SMALL(Dong2,ROWS($1:58)),)),0))</f>
        <v/>
      </c>
      <c r="G69" s="891" t="str">
        <f ca="1">IF(ROWS($1:58)&gt;COUNT(Dong2),"",IF(AND(IF($M$9="Q11",RIGHT(OFFSET(TH!G$1,SMALL(Dong2,ROWS($1:58)),),3)=$M$9,RIGHT(OFFSET(TH!G$1,SMALL(Dong2,ROWS($1:58)),),2)=$M$9),OFFSET(TH!O$1,SMALL(Dong2,ROWS($1:58)),)=$I$6),IF($I$6="1121",OFFSET(TH!M$1,SMALL(Dong2,ROWS($1:58)),),OFFSET(TH!K$1,SMALL(Dong2,ROWS($1:58)),)),0))</f>
        <v/>
      </c>
      <c r="H69" s="721">
        <f t="shared" ca="1" si="4"/>
        <v>0</v>
      </c>
      <c r="I69" s="721"/>
      <c r="J69" s="169"/>
      <c r="K69" s="169"/>
      <c r="L69" s="169"/>
      <c r="M69" s="169"/>
      <c r="N69" s="169"/>
      <c r="O69" s="169"/>
      <c r="P69" s="169"/>
      <c r="Q69" s="169"/>
      <c r="R69" s="169"/>
      <c r="S69" s="169"/>
    </row>
    <row r="70" spans="1:19" ht="20.25" customHeight="1">
      <c r="A70" s="180" t="str">
        <f ca="1">IF(ROWS($1:59)&gt;COUNT(Dong2),"",OFFSET(TH!C$1,SMALL(Dong2,ROWS($1:59)),))</f>
        <v/>
      </c>
      <c r="B70" s="180" t="str">
        <f ca="1">IF(ROWS($1:59)&gt;COUNT(Dong2),"",OFFSET(TH!D$1,SMALL(Dong2,ROWS($1:59)),))</f>
        <v/>
      </c>
      <c r="C70" s="180" t="str">
        <f ca="1">IF(ROWS($1:59)&gt;COUNT(Dong2),"",OFFSET(TH!E$1,SMALL(Dong2,ROWS($1:59)),))</f>
        <v/>
      </c>
      <c r="D70" s="337" t="str">
        <f ca="1">IF(ROWS($1:59)&gt;COUNT(Dong2),"",OFFSET(TH!F$1,SMALL(Dong2,ROWS($1:59)),))</f>
        <v/>
      </c>
      <c r="E70" s="180" t="str">
        <f ca="1">IF(ROWS($1:59)&gt;COUNT(Dong2),"",IF(OFFSET(TH!O$1,SMALL(Dong2,ROWS($1:59)),)=$I$6,OFFSET(TH!N$1,SMALL(Dong2,ROWS($1:59)),),OFFSET(TH!O$1,SMALL(Dong2,ROWS($1:59)),)))</f>
        <v/>
      </c>
      <c r="F70" s="891" t="str">
        <f ca="1">IF(ROWS($1:59)&gt;COUNT(Dong2),"",IF(AND(IF($M$9="Q11",LEFT(OFFSET(TH!G$1,SMALL(Dong2,ROWS($1:59)),),3)=$M$9,LEFT(OFFSET(TH!G$1,SMALL(Dong2,ROWS($1:59)),),2)=$M$9),OFFSET(TH!N$1,SMALL(Dong2,ROWS($1:59)),)=$I$6),IF($I$6="1121",OFFSET(TH!M$1,SMALL(Dong2,ROWS($1:59)),),OFFSET(TH!K$1,SMALL(Dong2,ROWS($1:59)),)),0))</f>
        <v/>
      </c>
      <c r="G70" s="891" t="str">
        <f ca="1">IF(ROWS($1:59)&gt;COUNT(Dong2),"",IF(AND(IF($M$9="Q11",RIGHT(OFFSET(TH!G$1,SMALL(Dong2,ROWS($1:59)),),3)=$M$9,RIGHT(OFFSET(TH!G$1,SMALL(Dong2,ROWS($1:59)),),2)=$M$9),OFFSET(TH!O$1,SMALL(Dong2,ROWS($1:59)),)=$I$6),IF($I$6="1121",OFFSET(TH!M$1,SMALL(Dong2,ROWS($1:59)),),OFFSET(TH!K$1,SMALL(Dong2,ROWS($1:59)),)),0))</f>
        <v/>
      </c>
      <c r="H70" s="721">
        <f t="shared" ca="1" si="4"/>
        <v>0</v>
      </c>
      <c r="I70" s="721"/>
      <c r="J70" s="169"/>
      <c r="K70" s="169"/>
      <c r="L70" s="169"/>
      <c r="M70" s="169"/>
      <c r="N70" s="169"/>
      <c r="O70" s="169"/>
      <c r="P70" s="169"/>
      <c r="Q70" s="169"/>
      <c r="R70" s="169"/>
      <c r="S70" s="169"/>
    </row>
    <row r="71" spans="1:19" ht="20.25" customHeight="1">
      <c r="A71" s="180" t="str">
        <f ca="1">IF(ROWS($1:60)&gt;COUNT(Dong2),"",OFFSET(TH!C$1,SMALL(Dong2,ROWS($1:60)),))</f>
        <v/>
      </c>
      <c r="B71" s="180" t="str">
        <f ca="1">IF(ROWS($1:60)&gt;COUNT(Dong2),"",OFFSET(TH!D$1,SMALL(Dong2,ROWS($1:60)),))</f>
        <v/>
      </c>
      <c r="C71" s="180" t="str">
        <f ca="1">IF(ROWS($1:60)&gt;COUNT(Dong2),"",OFFSET(TH!E$1,SMALL(Dong2,ROWS($1:60)),))</f>
        <v/>
      </c>
      <c r="D71" s="337" t="str">
        <f ca="1">IF(ROWS($1:60)&gt;COUNT(Dong2),"",OFFSET(TH!F$1,SMALL(Dong2,ROWS($1:60)),))</f>
        <v/>
      </c>
      <c r="E71" s="180" t="str">
        <f ca="1">IF(ROWS($1:60)&gt;COUNT(Dong2),"",IF(OFFSET(TH!O$1,SMALL(Dong2,ROWS($1:60)),)=$I$6,OFFSET(TH!N$1,SMALL(Dong2,ROWS($1:60)),),OFFSET(TH!O$1,SMALL(Dong2,ROWS($1:60)),)))</f>
        <v/>
      </c>
      <c r="F71" s="891" t="str">
        <f ca="1">IF(ROWS($1:60)&gt;COUNT(Dong2),"",IF(AND(IF($M$9="Q11",LEFT(OFFSET(TH!G$1,SMALL(Dong2,ROWS($1:60)),),3)=$M$9,LEFT(OFFSET(TH!G$1,SMALL(Dong2,ROWS($1:60)),),2)=$M$9),OFFSET(TH!N$1,SMALL(Dong2,ROWS($1:60)),)=$I$6),IF($I$6="1121",OFFSET(TH!M$1,SMALL(Dong2,ROWS($1:60)),),OFFSET(TH!K$1,SMALL(Dong2,ROWS($1:60)),)),0))</f>
        <v/>
      </c>
      <c r="G71" s="891" t="str">
        <f ca="1">IF(ROWS($1:60)&gt;COUNT(Dong2),"",IF(AND(IF($M$9="Q11",RIGHT(OFFSET(TH!G$1,SMALL(Dong2,ROWS($1:60)),),3)=$M$9,RIGHT(OFFSET(TH!G$1,SMALL(Dong2,ROWS($1:60)),),2)=$M$9),OFFSET(TH!O$1,SMALL(Dong2,ROWS($1:60)),)=$I$6),IF($I$6="1121",OFFSET(TH!M$1,SMALL(Dong2,ROWS($1:60)),),OFFSET(TH!K$1,SMALL(Dong2,ROWS($1:60)),)),0))</f>
        <v/>
      </c>
      <c r="H71" s="721">
        <f t="shared" ca="1" si="4"/>
        <v>0</v>
      </c>
      <c r="I71" s="721"/>
      <c r="J71" s="169"/>
      <c r="K71" s="169"/>
      <c r="L71" s="169"/>
      <c r="M71" s="169"/>
      <c r="N71" s="169"/>
      <c r="O71" s="169"/>
      <c r="P71" s="169"/>
      <c r="Q71" s="169"/>
      <c r="R71" s="169"/>
      <c r="S71" s="169"/>
    </row>
    <row r="72" spans="1:19" ht="20.25" customHeight="1">
      <c r="A72" s="180" t="str">
        <f ca="1">IF(ROWS($1:61)&gt;COUNT(Dong2),"",OFFSET(TH!C$1,SMALL(Dong2,ROWS($1:61)),))</f>
        <v/>
      </c>
      <c r="B72" s="180" t="str">
        <f ca="1">IF(ROWS($1:61)&gt;COUNT(Dong2),"",OFFSET(TH!D$1,SMALL(Dong2,ROWS($1:61)),))</f>
        <v/>
      </c>
      <c r="C72" s="180" t="str">
        <f ca="1">IF(ROWS($1:61)&gt;COUNT(Dong2),"",OFFSET(TH!E$1,SMALL(Dong2,ROWS($1:61)),))</f>
        <v/>
      </c>
      <c r="D72" s="337" t="str">
        <f ca="1">IF(ROWS($1:61)&gt;COUNT(Dong2),"",OFFSET(TH!F$1,SMALL(Dong2,ROWS($1:61)),))</f>
        <v/>
      </c>
      <c r="E72" s="180" t="str">
        <f ca="1">IF(ROWS($1:61)&gt;COUNT(Dong2),"",IF(OFFSET(TH!O$1,SMALL(Dong2,ROWS($1:61)),)=$I$6,OFFSET(TH!N$1,SMALL(Dong2,ROWS($1:61)),),OFFSET(TH!O$1,SMALL(Dong2,ROWS($1:61)),)))</f>
        <v/>
      </c>
      <c r="F72" s="891" t="str">
        <f ca="1">IF(ROWS($1:61)&gt;COUNT(Dong2),"",IF(AND(IF($M$9="Q11",LEFT(OFFSET(TH!G$1,SMALL(Dong2,ROWS($1:61)),),3)=$M$9,LEFT(OFFSET(TH!G$1,SMALL(Dong2,ROWS($1:61)),),2)=$M$9),OFFSET(TH!N$1,SMALL(Dong2,ROWS($1:61)),)=$I$6),IF($I$6="1121",OFFSET(TH!M$1,SMALL(Dong2,ROWS($1:61)),),OFFSET(TH!K$1,SMALL(Dong2,ROWS($1:61)),)),0))</f>
        <v/>
      </c>
      <c r="G72" s="891" t="str">
        <f ca="1">IF(ROWS($1:61)&gt;COUNT(Dong2),"",IF(AND(IF($M$9="Q11",RIGHT(OFFSET(TH!G$1,SMALL(Dong2,ROWS($1:61)),),3)=$M$9,RIGHT(OFFSET(TH!G$1,SMALL(Dong2,ROWS($1:61)),),2)=$M$9),OFFSET(TH!O$1,SMALL(Dong2,ROWS($1:61)),)=$I$6),IF($I$6="1121",OFFSET(TH!M$1,SMALL(Dong2,ROWS($1:61)),),OFFSET(TH!K$1,SMALL(Dong2,ROWS($1:61)),)),0))</f>
        <v/>
      </c>
      <c r="H72" s="721">
        <f t="shared" ca="1" si="4"/>
        <v>0</v>
      </c>
      <c r="I72" s="721"/>
      <c r="J72" s="169"/>
      <c r="K72" s="169"/>
      <c r="L72" s="169"/>
      <c r="M72" s="169"/>
      <c r="N72" s="169"/>
      <c r="O72" s="169"/>
      <c r="P72" s="169"/>
      <c r="Q72" s="169"/>
      <c r="R72" s="169"/>
      <c r="S72" s="169"/>
    </row>
    <row r="73" spans="1:19" ht="20.25" customHeight="1">
      <c r="A73" s="180" t="str">
        <f ca="1">IF(ROWS($1:62)&gt;COUNT(Dong2),"",OFFSET(TH!C$1,SMALL(Dong2,ROWS($1:62)),))</f>
        <v/>
      </c>
      <c r="B73" s="180" t="str">
        <f ca="1">IF(ROWS($1:62)&gt;COUNT(Dong2),"",OFFSET(TH!D$1,SMALL(Dong2,ROWS($1:62)),))</f>
        <v/>
      </c>
      <c r="C73" s="180" t="str">
        <f ca="1">IF(ROWS($1:62)&gt;COUNT(Dong2),"",OFFSET(TH!E$1,SMALL(Dong2,ROWS($1:62)),))</f>
        <v/>
      </c>
      <c r="D73" s="337" t="str">
        <f ca="1">IF(ROWS($1:62)&gt;COUNT(Dong2),"",OFFSET(TH!F$1,SMALL(Dong2,ROWS($1:62)),))</f>
        <v/>
      </c>
      <c r="E73" s="180" t="str">
        <f ca="1">IF(ROWS($1:62)&gt;COUNT(Dong2),"",IF(OFFSET(TH!O$1,SMALL(Dong2,ROWS($1:62)),)=$I$6,OFFSET(TH!N$1,SMALL(Dong2,ROWS($1:62)),),OFFSET(TH!O$1,SMALL(Dong2,ROWS($1:62)),)))</f>
        <v/>
      </c>
      <c r="F73" s="891" t="str">
        <f ca="1">IF(ROWS($1:62)&gt;COUNT(Dong2),"",IF(AND(IF($M$9="Q11",LEFT(OFFSET(TH!G$1,SMALL(Dong2,ROWS($1:62)),),3)=$M$9,LEFT(OFFSET(TH!G$1,SMALL(Dong2,ROWS($1:62)),),2)=$M$9),OFFSET(TH!N$1,SMALL(Dong2,ROWS($1:62)),)=$I$6),IF($I$6="1121",OFFSET(TH!M$1,SMALL(Dong2,ROWS($1:62)),),OFFSET(TH!K$1,SMALL(Dong2,ROWS($1:62)),)),0))</f>
        <v/>
      </c>
      <c r="G73" s="891" t="str">
        <f ca="1">IF(ROWS($1:62)&gt;COUNT(Dong2),"",IF(AND(IF($M$9="Q11",RIGHT(OFFSET(TH!G$1,SMALL(Dong2,ROWS($1:62)),),3)=$M$9,RIGHT(OFFSET(TH!G$1,SMALL(Dong2,ROWS($1:62)),),2)=$M$9),OFFSET(TH!O$1,SMALL(Dong2,ROWS($1:62)),)=$I$6),IF($I$6="1121",OFFSET(TH!M$1,SMALL(Dong2,ROWS($1:62)),),OFFSET(TH!K$1,SMALL(Dong2,ROWS($1:62)),)),0))</f>
        <v/>
      </c>
      <c r="H73" s="721">
        <f t="shared" ca="1" si="4"/>
        <v>0</v>
      </c>
      <c r="I73" s="721"/>
      <c r="J73" s="169"/>
      <c r="K73" s="169"/>
      <c r="L73" s="169"/>
      <c r="M73" s="169"/>
      <c r="N73" s="169"/>
      <c r="O73" s="169"/>
      <c r="P73" s="169"/>
      <c r="Q73" s="169"/>
      <c r="R73" s="169"/>
      <c r="S73" s="169"/>
    </row>
    <row r="74" spans="1:19" ht="20.25" customHeight="1">
      <c r="A74" s="180" t="str">
        <f ca="1">IF(ROWS($1:63)&gt;COUNT(Dong2),"",OFFSET(TH!C$1,SMALL(Dong2,ROWS($1:63)),))</f>
        <v/>
      </c>
      <c r="B74" s="180" t="str">
        <f ca="1">IF(ROWS($1:63)&gt;COUNT(Dong2),"",OFFSET(TH!D$1,SMALL(Dong2,ROWS($1:63)),))</f>
        <v/>
      </c>
      <c r="C74" s="180" t="str">
        <f ca="1">IF(ROWS($1:63)&gt;COUNT(Dong2),"",OFFSET(TH!E$1,SMALL(Dong2,ROWS($1:63)),))</f>
        <v/>
      </c>
      <c r="D74" s="337" t="str">
        <f ca="1">IF(ROWS($1:63)&gt;COUNT(Dong2),"",OFFSET(TH!F$1,SMALL(Dong2,ROWS($1:63)),))</f>
        <v/>
      </c>
      <c r="E74" s="180" t="str">
        <f ca="1">IF(ROWS($1:63)&gt;COUNT(Dong2),"",IF(OFFSET(TH!O$1,SMALL(Dong2,ROWS($1:63)),)=$I$6,OFFSET(TH!N$1,SMALL(Dong2,ROWS($1:63)),),OFFSET(TH!O$1,SMALL(Dong2,ROWS($1:63)),)))</f>
        <v/>
      </c>
      <c r="F74" s="891" t="str">
        <f ca="1">IF(ROWS($1:63)&gt;COUNT(Dong2),"",IF(AND(IF($M$9="Q11",LEFT(OFFSET(TH!G$1,SMALL(Dong2,ROWS($1:63)),),3)=$M$9,LEFT(OFFSET(TH!G$1,SMALL(Dong2,ROWS($1:63)),),2)=$M$9),OFFSET(TH!N$1,SMALL(Dong2,ROWS($1:63)),)=$I$6),IF($I$6="1121",OFFSET(TH!M$1,SMALL(Dong2,ROWS($1:63)),),OFFSET(TH!K$1,SMALL(Dong2,ROWS($1:63)),)),0))</f>
        <v/>
      </c>
      <c r="G74" s="891" t="str">
        <f ca="1">IF(ROWS($1:63)&gt;COUNT(Dong2),"",IF(AND(IF($M$9="Q11",RIGHT(OFFSET(TH!G$1,SMALL(Dong2,ROWS($1:63)),),3)=$M$9,RIGHT(OFFSET(TH!G$1,SMALL(Dong2,ROWS($1:63)),),2)=$M$9),OFFSET(TH!O$1,SMALL(Dong2,ROWS($1:63)),)=$I$6),IF($I$6="1121",OFFSET(TH!M$1,SMALL(Dong2,ROWS($1:63)),),OFFSET(TH!K$1,SMALL(Dong2,ROWS($1:63)),)),0))</f>
        <v/>
      </c>
      <c r="H74" s="721">
        <f t="shared" ca="1" si="4"/>
        <v>0</v>
      </c>
      <c r="I74" s="721"/>
      <c r="J74" s="169"/>
      <c r="K74" s="169"/>
      <c r="L74" s="169"/>
      <c r="M74" s="169"/>
      <c r="N74" s="169"/>
      <c r="O74" s="169"/>
      <c r="P74" s="169"/>
      <c r="Q74" s="169"/>
      <c r="R74" s="169"/>
      <c r="S74" s="169"/>
    </row>
    <row r="75" spans="1:19" ht="20.25" customHeight="1">
      <c r="A75" s="180" t="str">
        <f ca="1">IF(ROWS($1:64)&gt;COUNT(Dong2),"",OFFSET(TH!C$1,SMALL(Dong2,ROWS($1:64)),))</f>
        <v/>
      </c>
      <c r="B75" s="180" t="str">
        <f ca="1">IF(ROWS($1:64)&gt;COUNT(Dong2),"",OFFSET(TH!D$1,SMALL(Dong2,ROWS($1:64)),))</f>
        <v/>
      </c>
      <c r="C75" s="180" t="str">
        <f ca="1">IF(ROWS($1:64)&gt;COUNT(Dong2),"",OFFSET(TH!E$1,SMALL(Dong2,ROWS($1:64)),))</f>
        <v/>
      </c>
      <c r="D75" s="337" t="str">
        <f ca="1">IF(ROWS($1:64)&gt;COUNT(Dong2),"",OFFSET(TH!F$1,SMALL(Dong2,ROWS($1:64)),))</f>
        <v/>
      </c>
      <c r="E75" s="180" t="str">
        <f ca="1">IF(ROWS($1:64)&gt;COUNT(Dong2),"",IF(OFFSET(TH!O$1,SMALL(Dong2,ROWS($1:64)),)=$I$6,OFFSET(TH!N$1,SMALL(Dong2,ROWS($1:64)),),OFFSET(TH!O$1,SMALL(Dong2,ROWS($1:64)),)))</f>
        <v/>
      </c>
      <c r="F75" s="891" t="str">
        <f ca="1">IF(ROWS($1:64)&gt;COUNT(Dong2),"",IF(AND(IF($M$9="Q11",LEFT(OFFSET(TH!G$1,SMALL(Dong2,ROWS($1:64)),),3)=$M$9,LEFT(OFFSET(TH!G$1,SMALL(Dong2,ROWS($1:64)),),2)=$M$9),OFFSET(TH!N$1,SMALL(Dong2,ROWS($1:64)),)=$I$6),IF($I$6="1121",OFFSET(TH!M$1,SMALL(Dong2,ROWS($1:64)),),OFFSET(TH!K$1,SMALL(Dong2,ROWS($1:64)),)),0))</f>
        <v/>
      </c>
      <c r="G75" s="891" t="str">
        <f ca="1">IF(ROWS($1:64)&gt;COUNT(Dong2),"",IF(AND(IF($M$9="Q11",RIGHT(OFFSET(TH!G$1,SMALL(Dong2,ROWS($1:64)),),3)=$M$9,RIGHT(OFFSET(TH!G$1,SMALL(Dong2,ROWS($1:64)),),2)=$M$9),OFFSET(TH!O$1,SMALL(Dong2,ROWS($1:64)),)=$I$6),IF($I$6="1121",OFFSET(TH!M$1,SMALL(Dong2,ROWS($1:64)),),OFFSET(TH!K$1,SMALL(Dong2,ROWS($1:64)),)),0))</f>
        <v/>
      </c>
      <c r="H75" s="721">
        <f t="shared" ca="1" si="4"/>
        <v>0</v>
      </c>
      <c r="I75" s="721"/>
      <c r="J75" s="169"/>
      <c r="K75" s="169"/>
      <c r="L75" s="169"/>
      <c r="M75" s="169"/>
      <c r="N75" s="169"/>
      <c r="O75" s="169"/>
      <c r="P75" s="169"/>
      <c r="Q75" s="169"/>
      <c r="R75" s="169"/>
      <c r="S75" s="169"/>
    </row>
    <row r="76" spans="1:19" ht="20.25" customHeight="1">
      <c r="A76" s="180"/>
      <c r="B76" s="180"/>
      <c r="C76" s="180"/>
      <c r="D76" s="337"/>
      <c r="E76" s="180"/>
      <c r="F76" s="891"/>
      <c r="G76" s="891"/>
      <c r="H76" s="721"/>
      <c r="I76" s="721"/>
      <c r="J76" s="169"/>
      <c r="K76" s="169"/>
      <c r="L76" s="169"/>
      <c r="M76" s="169"/>
      <c r="N76" s="169"/>
      <c r="O76" s="169"/>
      <c r="P76" s="169"/>
      <c r="Q76" s="169"/>
      <c r="R76" s="169"/>
      <c r="S76" s="169"/>
    </row>
    <row r="77" spans="1:19" ht="20.25" customHeight="1">
      <c r="A77" s="181"/>
      <c r="B77" s="182"/>
      <c r="C77" s="181"/>
      <c r="D77" s="178" t="s">
        <v>157</v>
      </c>
      <c r="E77" s="183"/>
      <c r="F77" s="720">
        <f ca="1">SUM(F12:F76)</f>
        <v>21977</v>
      </c>
      <c r="G77" s="720">
        <f ca="1">SUM(G12:G76)</f>
        <v>220000</v>
      </c>
      <c r="H77" s="720">
        <f ca="1">H11+F77-G77</f>
        <v>1293644</v>
      </c>
      <c r="I77" s="722"/>
      <c r="J77" s="179"/>
      <c r="K77" s="179"/>
      <c r="L77" s="179"/>
      <c r="M77" s="179"/>
      <c r="N77" s="179"/>
      <c r="O77" s="179"/>
      <c r="P77" s="179"/>
      <c r="Q77" s="179"/>
      <c r="R77" s="179"/>
      <c r="S77" s="179"/>
    </row>
    <row r="78" spans="1:19" ht="20.25" customHeight="1">
      <c r="A78" s="181"/>
      <c r="B78" s="182"/>
      <c r="C78" s="181"/>
      <c r="D78" s="178" t="s">
        <v>10</v>
      </c>
      <c r="E78" s="183"/>
      <c r="F78" s="720"/>
      <c r="G78" s="720"/>
      <c r="H78" s="720">
        <f ca="1">H77</f>
        <v>1293644</v>
      </c>
      <c r="I78" s="183"/>
      <c r="J78" s="179"/>
      <c r="K78" s="179"/>
      <c r="L78" s="179"/>
      <c r="M78" s="179"/>
      <c r="N78" s="179"/>
      <c r="O78" s="179"/>
      <c r="P78" s="179"/>
      <c r="Q78" s="179"/>
      <c r="R78" s="179"/>
      <c r="S78" s="179"/>
    </row>
    <row r="79" spans="1:19" ht="22.5" customHeight="1">
      <c r="A79" s="367" t="s">
        <v>231</v>
      </c>
      <c r="B79" s="184"/>
      <c r="C79" s="179"/>
      <c r="D79" s="179"/>
      <c r="E79" s="179"/>
      <c r="F79" s="185"/>
      <c r="G79" s="179"/>
      <c r="H79" s="887"/>
      <c r="I79" s="186"/>
      <c r="J79" s="179"/>
      <c r="K79" s="179"/>
      <c r="L79" s="179"/>
      <c r="M79" s="179"/>
      <c r="N79" s="179"/>
      <c r="O79" s="179"/>
      <c r="P79" s="179"/>
      <c r="Q79" s="179"/>
      <c r="R79" s="179"/>
      <c r="S79" s="179"/>
    </row>
    <row r="80" spans="1:19">
      <c r="A80" s="205" t="str">
        <f ca="1">"- Ngày mở sổ: "&amp;DAY($A$12)&amp;"/"&amp;MONTH($A$12)&amp;"/ 2015"</f>
        <v>- Ngày mở sổ: 8/12/ 2015</v>
      </c>
      <c r="B80" s="187"/>
      <c r="C80" s="179"/>
      <c r="D80" s="179"/>
      <c r="E80" s="179"/>
      <c r="F80" s="185"/>
      <c r="G80" s="179"/>
      <c r="H80" s="887"/>
      <c r="I80" s="186"/>
      <c r="J80" s="179"/>
      <c r="K80" s="179"/>
      <c r="L80" s="179"/>
      <c r="M80" s="179"/>
      <c r="N80" s="179"/>
      <c r="O80" s="179"/>
      <c r="P80" s="179"/>
      <c r="Q80" s="179"/>
      <c r="R80" s="179"/>
      <c r="S80" s="179"/>
    </row>
    <row r="81" spans="1:19">
      <c r="A81" s="188"/>
      <c r="B81" s="189"/>
      <c r="C81" s="190"/>
      <c r="D81" s="179"/>
      <c r="E81" s="179"/>
      <c r="F81" s="185"/>
      <c r="G81" s="291" t="str">
        <f>"Ngày "&amp;IF(OR($K$9=4,$K$9=6,$K$9=9,$K$9=11),"30",IF($K$9=2,"28","31"))&amp;" tháng "&amp;$K$9&amp;"  năm  2016 "</f>
        <v xml:space="preserve">Ngày 31 tháng 12  năm  2016 </v>
      </c>
      <c r="H81" s="887"/>
      <c r="I81" s="179"/>
      <c r="J81" s="179"/>
      <c r="K81" s="179"/>
      <c r="L81" s="179"/>
      <c r="M81" s="179"/>
      <c r="N81" s="179"/>
      <c r="O81" s="179"/>
      <c r="P81" s="179"/>
      <c r="Q81" s="179"/>
      <c r="R81" s="179"/>
      <c r="S81" s="179"/>
    </row>
    <row r="82" spans="1:19" ht="17.25" customHeight="1">
      <c r="A82" s="179"/>
      <c r="B82" s="191" t="s">
        <v>11</v>
      </c>
      <c r="C82" s="179"/>
      <c r="D82" s="191" t="s">
        <v>12</v>
      </c>
      <c r="E82" s="179"/>
      <c r="F82" s="192"/>
      <c r="G82" s="323" t="s">
        <v>130</v>
      </c>
      <c r="H82" s="888"/>
      <c r="I82" s="338"/>
      <c r="J82" s="193"/>
      <c r="K82" s="188"/>
      <c r="L82" s="188"/>
      <c r="M82" s="179"/>
      <c r="N82" s="179"/>
      <c r="O82" s="179"/>
      <c r="P82" s="179"/>
      <c r="Q82" s="179"/>
      <c r="R82" s="179"/>
      <c r="S82" s="179"/>
    </row>
    <row r="83" spans="1:19">
      <c r="A83" s="179"/>
      <c r="B83" s="324" t="s">
        <v>13</v>
      </c>
      <c r="C83" s="179"/>
      <c r="D83" s="194" t="s">
        <v>13</v>
      </c>
      <c r="E83" s="179"/>
      <c r="F83" s="195"/>
      <c r="G83" s="325" t="s">
        <v>160</v>
      </c>
      <c r="H83" s="887"/>
      <c r="I83" s="179"/>
      <c r="J83" s="179"/>
      <c r="K83" s="196"/>
      <c r="L83" s="196"/>
      <c r="M83" s="179"/>
      <c r="N83" s="179"/>
      <c r="O83" s="179"/>
      <c r="P83" s="179"/>
      <c r="Q83" s="179"/>
      <c r="R83" s="179"/>
      <c r="S83" s="179"/>
    </row>
    <row r="84" spans="1:19" ht="15.75">
      <c r="A84" s="198"/>
      <c r="B84" s="199"/>
      <c r="C84" s="198"/>
      <c r="D84" s="197"/>
      <c r="E84" s="197"/>
      <c r="F84" s="197"/>
      <c r="G84" s="197"/>
      <c r="H84" s="631"/>
      <c r="I84" s="197"/>
      <c r="J84" s="197"/>
      <c r="K84" s="197"/>
      <c r="L84" s="197"/>
      <c r="M84" s="197"/>
      <c r="N84" s="197"/>
      <c r="O84" s="197"/>
      <c r="P84" s="197"/>
      <c r="Q84" s="197"/>
      <c r="R84" s="197"/>
      <c r="S84" s="197"/>
    </row>
    <row r="85" spans="1:19" ht="15.75">
      <c r="A85" s="198"/>
      <c r="B85" s="199"/>
      <c r="C85" s="198"/>
      <c r="D85" s="197"/>
      <c r="E85" s="197"/>
      <c r="F85" s="197"/>
      <c r="G85" s="197"/>
      <c r="H85" s="631"/>
      <c r="I85" s="197"/>
      <c r="J85" s="197"/>
      <c r="K85" s="197"/>
      <c r="L85" s="197"/>
      <c r="M85" s="197"/>
      <c r="N85" s="197"/>
      <c r="O85" s="197"/>
      <c r="P85" s="197"/>
      <c r="Q85" s="197"/>
      <c r="R85" s="197"/>
      <c r="S85" s="197"/>
    </row>
    <row r="86" spans="1:19" ht="15.75">
      <c r="A86" s="198"/>
      <c r="B86" s="199"/>
      <c r="C86" s="198"/>
      <c r="D86" s="197"/>
      <c r="E86" s="197"/>
      <c r="F86" s="197"/>
      <c r="G86" s="197"/>
      <c r="H86" s="631"/>
      <c r="I86" s="197"/>
      <c r="J86" s="197"/>
      <c r="K86" s="197"/>
      <c r="L86" s="197"/>
      <c r="M86" s="197"/>
      <c r="N86" s="197"/>
      <c r="O86" s="197"/>
      <c r="P86" s="197"/>
      <c r="Q86" s="197"/>
      <c r="R86" s="197"/>
      <c r="S86" s="197"/>
    </row>
    <row r="87" spans="1:19" ht="15.75">
      <c r="A87" s="198"/>
      <c r="B87" s="199"/>
      <c r="C87" s="198"/>
      <c r="D87" s="197"/>
      <c r="E87" s="197"/>
      <c r="F87" s="197"/>
      <c r="G87" s="197"/>
      <c r="H87" s="631"/>
      <c r="I87" s="197"/>
      <c r="J87" s="197"/>
      <c r="K87" s="197"/>
      <c r="L87" s="197"/>
      <c r="M87" s="197"/>
      <c r="N87" s="197"/>
      <c r="O87" s="197"/>
      <c r="P87" s="197"/>
      <c r="Q87" s="197"/>
      <c r="R87" s="197"/>
      <c r="S87" s="197"/>
    </row>
    <row r="88" spans="1:19" ht="15.75">
      <c r="A88" s="198"/>
      <c r="B88" s="199"/>
      <c r="C88" s="198"/>
      <c r="D88" s="197"/>
      <c r="E88" s="197"/>
      <c r="F88" s="197"/>
      <c r="G88" s="197"/>
      <c r="H88" s="631"/>
      <c r="I88" s="197"/>
      <c r="J88" s="197"/>
      <c r="K88" s="197"/>
      <c r="L88" s="197"/>
      <c r="M88" s="197"/>
      <c r="N88" s="197"/>
      <c r="O88" s="197"/>
      <c r="P88" s="197"/>
      <c r="Q88" s="197"/>
      <c r="R88" s="197"/>
      <c r="S88" s="197"/>
    </row>
    <row r="89" spans="1:19" ht="15.75">
      <c r="A89" s="198"/>
      <c r="B89" s="199"/>
      <c r="C89" s="198"/>
      <c r="D89" s="197"/>
      <c r="E89" s="197"/>
      <c r="F89" s="197"/>
      <c r="G89" s="197"/>
      <c r="H89" s="631"/>
      <c r="I89" s="197"/>
      <c r="J89" s="197"/>
      <c r="K89" s="197"/>
      <c r="L89" s="197"/>
      <c r="M89" s="197"/>
      <c r="N89" s="197"/>
      <c r="O89" s="197"/>
      <c r="P89" s="197"/>
      <c r="Q89" s="197"/>
      <c r="R89" s="197"/>
      <c r="S89" s="197"/>
    </row>
    <row r="90" spans="1:19" ht="15.75">
      <c r="A90" s="198"/>
      <c r="B90" s="327" t="s">
        <v>226</v>
      </c>
      <c r="C90" s="198"/>
      <c r="D90" s="197"/>
      <c r="E90" s="197"/>
      <c r="F90" s="197"/>
      <c r="G90" s="339" t="s">
        <v>124</v>
      </c>
      <c r="H90" s="631"/>
      <c r="I90" s="197"/>
      <c r="J90" s="197"/>
      <c r="K90" s="197"/>
      <c r="L90" s="197"/>
      <c r="M90" s="197"/>
      <c r="N90" s="197"/>
      <c r="O90" s="197"/>
      <c r="P90" s="197"/>
      <c r="Q90" s="197"/>
      <c r="R90" s="197"/>
      <c r="S90" s="197"/>
    </row>
    <row r="91" spans="1:19" ht="15.75">
      <c r="A91" s="198"/>
      <c r="B91" s="199"/>
      <c r="C91" s="198"/>
      <c r="D91" s="197"/>
      <c r="E91" s="197"/>
      <c r="F91" s="197"/>
      <c r="G91" s="197"/>
      <c r="H91" s="631"/>
      <c r="I91" s="197"/>
      <c r="J91" s="197"/>
      <c r="K91" s="197"/>
      <c r="L91" s="197"/>
      <c r="M91" s="197"/>
      <c r="N91" s="197"/>
      <c r="O91" s="197"/>
      <c r="P91" s="197"/>
      <c r="Q91" s="197"/>
      <c r="R91" s="197"/>
      <c r="S91" s="197"/>
    </row>
  </sheetData>
  <autoFilter ref="A10:K80"/>
  <mergeCells count="14">
    <mergeCell ref="A4:I4"/>
    <mergeCell ref="A5:I5"/>
    <mergeCell ref="R6:R7"/>
    <mergeCell ref="S6:S7"/>
    <mergeCell ref="I8:I9"/>
    <mergeCell ref="E6:G6"/>
    <mergeCell ref="A8:A9"/>
    <mergeCell ref="B8:C8"/>
    <mergeCell ref="D8:D9"/>
    <mergeCell ref="E8:E9"/>
    <mergeCell ref="F8:H8"/>
    <mergeCell ref="O6:O7"/>
    <mergeCell ref="P6:P7"/>
    <mergeCell ref="Q6:Q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"Q4,Q11,PV,VP"</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83"/>
  <sheetViews>
    <sheetView showZeros="0" workbookViewId="0">
      <pane ySplit="3" topLeftCell="A7" activePane="bottomLeft" state="frozen"/>
      <selection activeCell="P41" sqref="P41"/>
      <selection pane="bottomLeft" activeCell="H62" sqref="H62:H63"/>
    </sheetView>
  </sheetViews>
  <sheetFormatPr defaultColWidth="8" defaultRowHeight="13.5"/>
  <cols>
    <col min="1" max="1" width="5.5703125" style="208" customWidth="1"/>
    <col min="2" max="2" width="59.140625" style="208" customWidth="1"/>
    <col min="3" max="8" width="16.42578125" style="208" customWidth="1"/>
    <col min="9" max="9" width="0" style="208" hidden="1" customWidth="1"/>
    <col min="10" max="10" width="9.5703125" style="208" bestFit="1" customWidth="1"/>
    <col min="11" max="16384" width="8" style="208"/>
  </cols>
  <sheetData>
    <row r="1" spans="1:9" ht="27" customHeight="1">
      <c r="A1" s="1439" t="s">
        <v>3007</v>
      </c>
      <c r="B1" s="1439"/>
      <c r="C1" s="1439"/>
      <c r="D1" s="1439"/>
      <c r="E1" s="1439"/>
      <c r="F1" s="1439"/>
      <c r="G1" s="1439"/>
      <c r="H1" s="1439"/>
    </row>
    <row r="2" spans="1:9" s="10" customFormat="1" ht="14.25" customHeight="1">
      <c r="A2" s="1442" t="s">
        <v>37</v>
      </c>
      <c r="B2" s="1444" t="s">
        <v>38</v>
      </c>
      <c r="C2" s="1440" t="s">
        <v>39</v>
      </c>
      <c r="D2" s="1441"/>
      <c r="E2" s="1440" t="s">
        <v>40</v>
      </c>
      <c r="F2" s="1441"/>
      <c r="G2" s="1440" t="s">
        <v>44</v>
      </c>
      <c r="H2" s="1441"/>
    </row>
    <row r="3" spans="1:9" s="10" customFormat="1" ht="14.25" customHeight="1">
      <c r="A3" s="1443"/>
      <c r="B3" s="1445"/>
      <c r="C3" s="303" t="s">
        <v>45</v>
      </c>
      <c r="D3" s="303" t="s">
        <v>46</v>
      </c>
      <c r="E3" s="303" t="s">
        <v>45</v>
      </c>
      <c r="F3" s="303" t="s">
        <v>46</v>
      </c>
      <c r="G3" s="303" t="s">
        <v>45</v>
      </c>
      <c r="H3" s="303" t="s">
        <v>46</v>
      </c>
    </row>
    <row r="4" spans="1:9" s="734" customFormat="1" ht="16.5" customHeight="1">
      <c r="A4" s="6">
        <f t="shared" ref="A4:A38" si="0">IF(B4&lt;&gt;"",ROW()-3,"")</f>
        <v>1</v>
      </c>
      <c r="B4" s="892" t="s">
        <v>776</v>
      </c>
      <c r="C4" s="731">
        <v>0</v>
      </c>
      <c r="D4" s="731">
        <v>0</v>
      </c>
      <c r="E4" s="731">
        <f t="array" ref="E4">SUM(IF("331"&amp;B4=KHN&amp;KH,TH))</f>
        <v>149806800</v>
      </c>
      <c r="F4" s="731">
        <f t="array" ref="F4">SUM(IF("331"&amp;B4=KHC&amp;KH,TH))</f>
        <v>149806800</v>
      </c>
      <c r="G4" s="733">
        <f t="shared" ref="G4:G38" si="1">ROUND(MAX(C4+E4-D4-F4,0),2)</f>
        <v>0</v>
      </c>
      <c r="H4" s="733">
        <f t="shared" ref="H4:H38" si="2">ROUND(MAX(D4+F4-C4-E4,0),2)</f>
        <v>0</v>
      </c>
      <c r="I4" s="734" t="str">
        <f>IF(ISNA(VLOOKUP(B4,DSNL,6,0)),"",VLOOKUP(B4,DSNL,6,0))</f>
        <v/>
      </c>
    </row>
    <row r="5" spans="1:9" s="734" customFormat="1" ht="16.5" customHeight="1">
      <c r="A5" s="1175">
        <f t="shared" si="0"/>
        <v>2</v>
      </c>
      <c r="B5" s="732" t="s">
        <v>557</v>
      </c>
      <c r="C5" s="731">
        <v>0</v>
      </c>
      <c r="D5" s="731">
        <v>0</v>
      </c>
      <c r="E5" s="731">
        <f t="array" ref="E5">SUM(IF("331"&amp;B5=KHN&amp;KH,TH))</f>
        <v>19200000</v>
      </c>
      <c r="F5" s="731">
        <f t="array" ref="F5">SUM(IF("331"&amp;B5=KHC&amp;KH,TH))</f>
        <v>29100000</v>
      </c>
      <c r="G5" s="733">
        <f t="shared" si="1"/>
        <v>0</v>
      </c>
      <c r="H5" s="733">
        <f t="shared" si="2"/>
        <v>9900000</v>
      </c>
    </row>
    <row r="6" spans="1:9" s="734" customFormat="1" ht="19.5" customHeight="1">
      <c r="A6" s="1175">
        <f t="shared" si="0"/>
        <v>3</v>
      </c>
      <c r="B6" s="296" t="s">
        <v>803</v>
      </c>
      <c r="C6" s="731">
        <v>0</v>
      </c>
      <c r="D6" s="731">
        <v>0</v>
      </c>
      <c r="E6" s="731">
        <f t="array" ref="E6">SUM(IF("331"&amp;B6=KHN&amp;KH,TH))</f>
        <v>90321000</v>
      </c>
      <c r="F6" s="731">
        <f t="array" ref="F6">SUM(IF("331"&amp;B6=KHC&amp;KH,TH))</f>
        <v>90321000</v>
      </c>
      <c r="G6" s="733">
        <f t="shared" si="1"/>
        <v>0</v>
      </c>
      <c r="H6" s="733">
        <f t="shared" si="2"/>
        <v>0</v>
      </c>
      <c r="I6" s="734" t="str">
        <f>IF(ISNA(VLOOKUP(B6,DSNL,6,0)),"",VLOOKUP(B6,DSNL,6,0))</f>
        <v/>
      </c>
    </row>
    <row r="7" spans="1:9" s="734" customFormat="1" ht="19.5" customHeight="1">
      <c r="A7" s="1175">
        <f t="shared" ref="A7" si="3">IF(B7&lt;&gt;"",ROW()-3,"")</f>
        <v>4</v>
      </c>
      <c r="B7" s="296" t="s">
        <v>2562</v>
      </c>
      <c r="C7" s="731">
        <v>0</v>
      </c>
      <c r="D7" s="731">
        <v>0</v>
      </c>
      <c r="E7" s="731">
        <f t="array" ref="E7">SUM(IF("331"&amp;B7=KHN&amp;KH,TH))</f>
        <v>14400000</v>
      </c>
      <c r="F7" s="731">
        <f t="array" ref="F7">SUM(IF("331"&amp;B7=KHC&amp;KH,TH))</f>
        <v>14400000</v>
      </c>
      <c r="G7" s="733">
        <f t="shared" ref="G7" si="4">ROUND(MAX(C7+E7-D7-F7,0),2)</f>
        <v>0</v>
      </c>
      <c r="H7" s="733">
        <f t="shared" ref="H7" si="5">ROUND(MAX(D7+F7-C7-E7,0),2)</f>
        <v>0</v>
      </c>
      <c r="I7" s="734" t="str">
        <f>IF(ISNA(VLOOKUP(B7,DSNL,6,0)),"",VLOOKUP(B7,DSNL,6,0))</f>
        <v/>
      </c>
    </row>
    <row r="8" spans="1:9" s="734" customFormat="1" ht="19.5" customHeight="1">
      <c r="A8" s="1175">
        <f t="shared" si="0"/>
        <v>5</v>
      </c>
      <c r="B8" s="296" t="s">
        <v>2133</v>
      </c>
      <c r="C8" s="731">
        <v>0</v>
      </c>
      <c r="D8" s="731">
        <v>0</v>
      </c>
      <c r="E8" s="731">
        <f t="array" ref="E8">SUM(IF("331"&amp;B8=KHN&amp;KH,TH))</f>
        <v>48900000</v>
      </c>
      <c r="F8" s="731">
        <f t="array" ref="F8">SUM(IF("331"&amp;B8=KHC&amp;KH,TH))</f>
        <v>48900000</v>
      </c>
      <c r="G8" s="733">
        <f t="shared" si="1"/>
        <v>0</v>
      </c>
      <c r="H8" s="733">
        <f t="shared" si="2"/>
        <v>0</v>
      </c>
      <c r="I8" s="734" t="str">
        <f>IF(ISNA(VLOOKUP(B8,DSNL,6,0)),"",VLOOKUP(B8,DSNL,6,0))</f>
        <v/>
      </c>
    </row>
    <row r="9" spans="1:9" s="734" customFormat="1" ht="16.5" customHeight="1">
      <c r="A9" s="1175">
        <f t="shared" si="0"/>
        <v>6</v>
      </c>
      <c r="B9" s="732" t="s">
        <v>555</v>
      </c>
      <c r="C9" s="731">
        <v>0</v>
      </c>
      <c r="D9" s="731">
        <v>0</v>
      </c>
      <c r="E9" s="731">
        <f t="array" ref="E9">SUM(IF("331"&amp;B9=KHN&amp;KH,TH))</f>
        <v>27192000</v>
      </c>
      <c r="F9" s="731">
        <f t="array" ref="F9">SUM(IF("331"&amp;B9=KHC&amp;KH,TH))</f>
        <v>27192000</v>
      </c>
      <c r="G9" s="733">
        <f t="shared" si="1"/>
        <v>0</v>
      </c>
      <c r="H9" s="733">
        <f t="shared" si="2"/>
        <v>0</v>
      </c>
    </row>
    <row r="10" spans="1:9" s="734" customFormat="1" ht="16.5" customHeight="1">
      <c r="A10" s="1175">
        <f t="shared" si="0"/>
        <v>7</v>
      </c>
      <c r="B10" s="73" t="s">
        <v>740</v>
      </c>
      <c r="C10" s="731">
        <v>0</v>
      </c>
      <c r="D10" s="731">
        <v>75460000</v>
      </c>
      <c r="E10" s="731">
        <f t="array" ref="E10">SUM(IF("331"&amp;B10=KHN&amp;KH,TH))</f>
        <v>238260000</v>
      </c>
      <c r="F10" s="731">
        <f t="array" ref="F10">SUM(IF("331"&amp;B10=KHC&amp;KH,TH))</f>
        <v>235180000</v>
      </c>
      <c r="G10" s="733">
        <f t="shared" si="1"/>
        <v>0</v>
      </c>
      <c r="H10" s="733">
        <f t="shared" si="2"/>
        <v>72380000</v>
      </c>
    </row>
    <row r="11" spans="1:9" s="734" customFormat="1" ht="16.5" customHeight="1">
      <c r="A11" s="1175">
        <f t="shared" si="0"/>
        <v>8</v>
      </c>
      <c r="B11" s="732" t="s">
        <v>558</v>
      </c>
      <c r="C11" s="731">
        <v>0</v>
      </c>
      <c r="D11" s="731">
        <v>176888574</v>
      </c>
      <c r="E11" s="731">
        <f t="array" ref="E11">SUM(IF("331"&amp;B11=KHN&amp;KH,TH))</f>
        <v>630000000</v>
      </c>
      <c r="F11" s="731">
        <f t="array" ref="F11">SUM(IF("331"&amp;B11=KHC&amp;KH,TH))</f>
        <v>585124364</v>
      </c>
      <c r="G11" s="733">
        <f t="shared" si="1"/>
        <v>0</v>
      </c>
      <c r="H11" s="733">
        <f t="shared" si="2"/>
        <v>132012938</v>
      </c>
    </row>
    <row r="12" spans="1:9" s="734" customFormat="1" ht="16.5" customHeight="1">
      <c r="A12" s="1175">
        <f t="shared" si="0"/>
        <v>9</v>
      </c>
      <c r="B12" s="732" t="s">
        <v>559</v>
      </c>
      <c r="C12" s="731">
        <v>0</v>
      </c>
      <c r="D12" s="731">
        <v>62480865</v>
      </c>
      <c r="E12" s="731">
        <f t="array" ref="E12">SUM(IF("331"&amp;B12=KHN&amp;KH,TH))</f>
        <v>0</v>
      </c>
      <c r="F12" s="731">
        <f t="array" ref="F12">SUM(IF("331"&amp;B12=KHC&amp;KH,TH))</f>
        <v>0</v>
      </c>
      <c r="G12" s="733">
        <f t="shared" si="1"/>
        <v>0</v>
      </c>
      <c r="H12" s="733">
        <f t="shared" si="2"/>
        <v>62480865</v>
      </c>
    </row>
    <row r="13" spans="1:9" s="734" customFormat="1" ht="16.5" customHeight="1">
      <c r="A13" s="1175">
        <f t="shared" si="0"/>
        <v>10</v>
      </c>
      <c r="B13" s="296" t="s">
        <v>796</v>
      </c>
      <c r="C13" s="731">
        <v>0</v>
      </c>
      <c r="D13" s="731">
        <v>0</v>
      </c>
      <c r="E13" s="731">
        <f t="array" ref="E13">SUM(IF("331"&amp;B13=KHN&amp;KH,TH))</f>
        <v>940871800</v>
      </c>
      <c r="F13" s="731">
        <f t="array" ref="F13">SUM(IF("331"&amp;B13=KHC&amp;KH,TH))</f>
        <v>940871800</v>
      </c>
      <c r="G13" s="733">
        <f t="shared" si="1"/>
        <v>0</v>
      </c>
      <c r="H13" s="733">
        <f t="shared" si="2"/>
        <v>0</v>
      </c>
      <c r="I13" s="734" t="str">
        <f t="shared" ref="I13:I18" si="6">IF(ISNA(VLOOKUP(B13,DSNL,6,0)),"",VLOOKUP(B13,DSNL,6,0))</f>
        <v/>
      </c>
    </row>
    <row r="14" spans="1:9" s="734" customFormat="1" ht="16.5" customHeight="1">
      <c r="A14" s="1175">
        <f t="shared" si="0"/>
        <v>11</v>
      </c>
      <c r="B14" s="296" t="s">
        <v>797</v>
      </c>
      <c r="C14" s="731">
        <v>0</v>
      </c>
      <c r="D14" s="731">
        <v>0</v>
      </c>
      <c r="E14" s="731">
        <f t="array" ref="E14">SUM(IF("331"&amp;B14=KHN&amp;KH,TH))</f>
        <v>207635450</v>
      </c>
      <c r="F14" s="731">
        <f t="array" ref="F14">SUM(IF("331"&amp;B14=KHC&amp;KH,TH))</f>
        <v>207635450</v>
      </c>
      <c r="G14" s="733">
        <f t="shared" si="1"/>
        <v>0</v>
      </c>
      <c r="H14" s="733">
        <f t="shared" si="2"/>
        <v>0</v>
      </c>
      <c r="I14" s="734" t="str">
        <f t="shared" si="6"/>
        <v/>
      </c>
    </row>
    <row r="15" spans="1:9" s="734" customFormat="1" ht="18.75" customHeight="1">
      <c r="A15" s="1175">
        <f t="shared" si="0"/>
        <v>12</v>
      </c>
      <c r="B15" s="732" t="s">
        <v>1684</v>
      </c>
      <c r="C15" s="731">
        <v>0</v>
      </c>
      <c r="D15" s="731">
        <v>0</v>
      </c>
      <c r="E15" s="731">
        <f t="array" ref="E15">SUM(IF("331"&amp;B15=KHN&amp;KH,TH))</f>
        <v>789253850</v>
      </c>
      <c r="F15" s="731">
        <f t="array" ref="F15">SUM(IF("331"&amp;B15=KHC&amp;KH,TH))</f>
        <v>789253850</v>
      </c>
      <c r="G15" s="733">
        <f t="shared" si="1"/>
        <v>0</v>
      </c>
      <c r="H15" s="733">
        <f t="shared" si="2"/>
        <v>0</v>
      </c>
      <c r="I15" s="734" t="str">
        <f t="shared" si="6"/>
        <v/>
      </c>
    </row>
    <row r="16" spans="1:9" s="734" customFormat="1" ht="16.5" customHeight="1">
      <c r="A16" s="1175">
        <f t="shared" si="0"/>
        <v>13</v>
      </c>
      <c r="B16" s="296" t="s">
        <v>2186</v>
      </c>
      <c r="C16" s="731">
        <v>0</v>
      </c>
      <c r="D16" s="731">
        <v>0</v>
      </c>
      <c r="E16" s="731">
        <f t="array" ref="E16">SUM(IF("331"&amp;B16=KHN&amp;KH,TH))</f>
        <v>177858450</v>
      </c>
      <c r="F16" s="731">
        <f t="array" ref="F16">SUM(IF("331"&amp;B16=KHC&amp;KH,TH))</f>
        <v>177858450</v>
      </c>
      <c r="G16" s="733">
        <f t="shared" si="1"/>
        <v>0</v>
      </c>
      <c r="H16" s="733">
        <f t="shared" si="2"/>
        <v>0</v>
      </c>
      <c r="I16" s="734" t="str">
        <f t="shared" si="6"/>
        <v/>
      </c>
    </row>
    <row r="17" spans="1:9" s="734" customFormat="1" ht="16.5" customHeight="1">
      <c r="A17" s="1175">
        <f t="shared" ref="A17" si="7">IF(B17&lt;&gt;"",ROW()-3,"")</f>
        <v>14</v>
      </c>
      <c r="B17" s="296" t="s">
        <v>2657</v>
      </c>
      <c r="C17" s="731">
        <v>0</v>
      </c>
      <c r="D17" s="731">
        <v>0</v>
      </c>
      <c r="E17" s="731">
        <f t="array" ref="E17">SUM(IF("331"&amp;B17=KHN&amp;KH,TH))</f>
        <v>104600000</v>
      </c>
      <c r="F17" s="731">
        <f t="array" ref="F17">SUM(IF("331"&amp;B17=KHC&amp;KH,TH))</f>
        <v>142700000</v>
      </c>
      <c r="G17" s="733">
        <f t="shared" ref="G17" si="8">ROUND(MAX(C17+E17-D17-F17,0),2)</f>
        <v>0</v>
      </c>
      <c r="H17" s="733">
        <f t="shared" ref="H17" si="9">ROUND(MAX(D17+F17-C17-E17,0),2)</f>
        <v>38100000</v>
      </c>
      <c r="I17" s="734" t="str">
        <f t="shared" si="6"/>
        <v/>
      </c>
    </row>
    <row r="18" spans="1:9" s="10" customFormat="1" ht="16.5" customHeight="1">
      <c r="A18" s="6">
        <f t="shared" si="0"/>
        <v>15</v>
      </c>
      <c r="B18" s="67" t="s">
        <v>798</v>
      </c>
      <c r="C18" s="8">
        <v>0</v>
      </c>
      <c r="D18" s="8">
        <v>21000000</v>
      </c>
      <c r="E18" s="8">
        <f t="array" ref="E18">SUM(IF("331"&amp;B18=KHN&amp;KH,TH))</f>
        <v>21000000</v>
      </c>
      <c r="F18" s="8">
        <f t="array" ref="F18">SUM(IF("331"&amp;B18=KHC&amp;KH,TH))</f>
        <v>0</v>
      </c>
      <c r="G18" s="77">
        <f t="shared" si="1"/>
        <v>0</v>
      </c>
      <c r="H18" s="77">
        <f t="shared" si="2"/>
        <v>0</v>
      </c>
      <c r="I18" s="10" t="str">
        <f t="shared" si="6"/>
        <v/>
      </c>
    </row>
    <row r="19" spans="1:9" s="1099" customFormat="1" ht="16.5" customHeight="1">
      <c r="A19" s="1105">
        <f t="shared" si="0"/>
        <v>16</v>
      </c>
      <c r="B19" s="1174" t="s">
        <v>560</v>
      </c>
      <c r="C19" s="1097">
        <v>0</v>
      </c>
      <c r="D19" s="1097">
        <v>63205400</v>
      </c>
      <c r="E19" s="1097">
        <f t="array" ref="E19">SUM(IF("331"&amp;B19=KHN&amp;KH,TH))</f>
        <v>281916200</v>
      </c>
      <c r="F19" s="1097">
        <f t="array" ref="F19">SUM(IF("331"&amp;B19=KHC&amp;KH,TH))</f>
        <v>437421600</v>
      </c>
      <c r="G19" s="1106">
        <f t="shared" si="1"/>
        <v>0</v>
      </c>
      <c r="H19" s="1106">
        <f t="shared" si="2"/>
        <v>218710800</v>
      </c>
    </row>
    <row r="20" spans="1:9" s="1099" customFormat="1" ht="16.5" customHeight="1">
      <c r="A20" s="1105">
        <f t="shared" si="0"/>
        <v>17</v>
      </c>
      <c r="B20" s="80" t="s">
        <v>754</v>
      </c>
      <c r="C20" s="1097">
        <v>0</v>
      </c>
      <c r="D20" s="1097">
        <v>29738500</v>
      </c>
      <c r="E20" s="1097">
        <f t="array" ref="E20">SUM(IF("331"&amp;B20=KHN&amp;KH,TH))</f>
        <v>72177820</v>
      </c>
      <c r="F20" s="1097">
        <f t="array" ref="F20">SUM(IF("331"&amp;B20=KHC&amp;KH,TH))</f>
        <v>81762120</v>
      </c>
      <c r="G20" s="1106">
        <f t="shared" si="1"/>
        <v>0</v>
      </c>
      <c r="H20" s="1106">
        <f t="shared" si="2"/>
        <v>39322800</v>
      </c>
    </row>
    <row r="21" spans="1:9" s="1099" customFormat="1" ht="16.5" customHeight="1">
      <c r="A21" s="1105">
        <f t="shared" si="0"/>
        <v>18</v>
      </c>
      <c r="B21" s="80" t="s">
        <v>750</v>
      </c>
      <c r="C21" s="1097">
        <v>0</v>
      </c>
      <c r="D21" s="1097">
        <v>29375000</v>
      </c>
      <c r="E21" s="1097">
        <f t="array" ref="E21">SUM(IF("331"&amp;B21=KHN&amp;KH,TH))</f>
        <v>123375004</v>
      </c>
      <c r="F21" s="1097">
        <f t="array" ref="F21">SUM(IF("331"&amp;B21=KHC&amp;KH,TH))</f>
        <v>117500004</v>
      </c>
      <c r="G21" s="1106">
        <f t="shared" si="1"/>
        <v>0</v>
      </c>
      <c r="H21" s="1106">
        <f t="shared" si="2"/>
        <v>23500000</v>
      </c>
      <c r="I21" s="1099" t="str">
        <f>IF(ISNA(VLOOKUP(B21,DSNL,6,0)),"",VLOOKUP(B21,DSNL,6,0))</f>
        <v/>
      </c>
    </row>
    <row r="22" spans="1:9" s="1179" customFormat="1" ht="16.5" customHeight="1">
      <c r="A22" s="1176">
        <f t="shared" si="0"/>
        <v>19</v>
      </c>
      <c r="B22" s="961" t="s">
        <v>749</v>
      </c>
      <c r="C22" s="1177">
        <v>0</v>
      </c>
      <c r="D22" s="1177">
        <v>0</v>
      </c>
      <c r="E22" s="1177">
        <f t="array" ref="E22">SUM(IF("331"&amp;B22=KHN&amp;KH,TH))</f>
        <v>103812651</v>
      </c>
      <c r="F22" s="1177">
        <f t="array" ref="F22">SUM(IF("331"&amp;B22=KHC&amp;KH,TH))</f>
        <v>109041954</v>
      </c>
      <c r="G22" s="1178">
        <f t="shared" si="1"/>
        <v>0</v>
      </c>
      <c r="H22" s="1178">
        <f t="shared" si="2"/>
        <v>5229303</v>
      </c>
      <c r="I22" s="1179" t="str">
        <f>IF(ISNA(VLOOKUP(B22,DSNL,6,0)),"",VLOOKUP(B22,DSNL,6,0))</f>
        <v/>
      </c>
    </row>
    <row r="23" spans="1:9" s="1179" customFormat="1" ht="16.5" customHeight="1">
      <c r="A23" s="1176">
        <f t="shared" si="0"/>
        <v>20</v>
      </c>
      <c r="B23" s="1057" t="s">
        <v>2256</v>
      </c>
      <c r="C23" s="1177">
        <v>0</v>
      </c>
      <c r="D23" s="1177">
        <v>0</v>
      </c>
      <c r="E23" s="1177">
        <f t="array" ref="E23">SUM(IF("331"&amp;B23=KHN&amp;KH,TH))</f>
        <v>11255900</v>
      </c>
      <c r="F23" s="1177">
        <f t="array" ref="F23">SUM(IF("331"&amp;B23=KHC&amp;KH,TH))</f>
        <v>11255900</v>
      </c>
      <c r="G23" s="1178">
        <f t="shared" si="1"/>
        <v>0</v>
      </c>
      <c r="H23" s="1178">
        <f t="shared" si="2"/>
        <v>0</v>
      </c>
      <c r="I23" s="1179" t="str">
        <f>IF(ISNA(VLOOKUP(B23,DSNL,6,0)),"",VLOOKUP(B23,DSNL,6,0))</f>
        <v/>
      </c>
    </row>
    <row r="24" spans="1:9" s="10" customFormat="1" ht="16.5" customHeight="1">
      <c r="A24" s="6">
        <f t="shared" si="0"/>
        <v>21</v>
      </c>
      <c r="B24" s="7" t="s">
        <v>561</v>
      </c>
      <c r="C24" s="731">
        <v>810000</v>
      </c>
      <c r="D24" s="731">
        <v>0</v>
      </c>
      <c r="E24" s="1177">
        <f t="array" ref="E24">SUM(IF("331"&amp;B24=KHN&amp;KH,TH))</f>
        <v>83115000</v>
      </c>
      <c r="F24" s="1177">
        <f t="array" ref="F24">SUM(IF("331"&amp;B24=KHC&amp;KH,TH))</f>
        <v>102150000</v>
      </c>
      <c r="G24" s="77">
        <f t="shared" si="1"/>
        <v>0</v>
      </c>
      <c r="H24" s="77">
        <f t="shared" si="2"/>
        <v>18225000</v>
      </c>
    </row>
    <row r="25" spans="1:9" s="10" customFormat="1" ht="16.5" customHeight="1">
      <c r="A25" s="6">
        <f t="shared" si="0"/>
        <v>22</v>
      </c>
      <c r="B25" s="311" t="s">
        <v>2027</v>
      </c>
      <c r="C25" s="8">
        <v>0</v>
      </c>
      <c r="D25" s="8">
        <v>0</v>
      </c>
      <c r="E25" s="8">
        <f t="array" ref="E25">SUM(IF("331"&amp;B25=KHN&amp;KH,TH))</f>
        <v>2000000</v>
      </c>
      <c r="F25" s="8">
        <f t="array" ref="F25">SUM(IF("331"&amp;B25=KHC&amp;KH,TH))</f>
        <v>2000000</v>
      </c>
      <c r="G25" s="77">
        <f t="shared" si="1"/>
        <v>0</v>
      </c>
      <c r="H25" s="77">
        <f t="shared" si="2"/>
        <v>0</v>
      </c>
      <c r="I25" s="10" t="str">
        <f>IF(ISNA(VLOOKUP(B25,DSNL,6,0)),"",VLOOKUP(B25,DSNL,6,0))</f>
        <v/>
      </c>
    </row>
    <row r="26" spans="1:9" s="10" customFormat="1" ht="16.5" customHeight="1">
      <c r="A26" s="6">
        <f t="shared" si="0"/>
        <v>23</v>
      </c>
      <c r="B26" s="7" t="s">
        <v>562</v>
      </c>
      <c r="C26" s="731">
        <v>0</v>
      </c>
      <c r="D26" s="731">
        <v>62315943</v>
      </c>
      <c r="E26" s="8">
        <f t="array" ref="E26">SUM(IF("331"&amp;B26=KHN&amp;KH,TH))</f>
        <v>156429613</v>
      </c>
      <c r="F26" s="8">
        <f t="array" ref="F26">SUM(IF("331"&amp;B26=KHC&amp;KH,TH))</f>
        <v>246245499</v>
      </c>
      <c r="G26" s="77">
        <f t="shared" si="1"/>
        <v>0</v>
      </c>
      <c r="H26" s="77">
        <f t="shared" si="2"/>
        <v>152131829</v>
      </c>
    </row>
    <row r="27" spans="1:9" s="10" customFormat="1" ht="16.5" customHeight="1">
      <c r="A27" s="6">
        <f t="shared" si="0"/>
        <v>24</v>
      </c>
      <c r="B27" s="7" t="s">
        <v>563</v>
      </c>
      <c r="C27" s="731">
        <v>0</v>
      </c>
      <c r="D27" s="731">
        <v>31261560</v>
      </c>
      <c r="E27" s="8">
        <f t="array" ref="E27">SUM(IF("331"&amp;B27=KHN&amp;KH,TH))</f>
        <v>1069175140</v>
      </c>
      <c r="F27" s="8">
        <f t="array" ref="F27">SUM(IF("331"&amp;B27=KHC&amp;KH,TH))</f>
        <v>1037913580</v>
      </c>
      <c r="G27" s="77">
        <f t="shared" si="1"/>
        <v>0</v>
      </c>
      <c r="H27" s="77">
        <f t="shared" si="2"/>
        <v>0</v>
      </c>
    </row>
    <row r="28" spans="1:9" s="10" customFormat="1" ht="16.5" customHeight="1">
      <c r="A28" s="6">
        <f t="shared" si="0"/>
        <v>25</v>
      </c>
      <c r="B28" s="67" t="s">
        <v>739</v>
      </c>
      <c r="C28" s="731">
        <v>0</v>
      </c>
      <c r="D28" s="731">
        <v>0</v>
      </c>
      <c r="E28" s="8">
        <f t="array" ref="E28">SUM(IF("331"&amp;B28=KHN&amp;KH,TH))</f>
        <v>115068308</v>
      </c>
      <c r="F28" s="8">
        <f t="array" ref="F28">SUM(IF("331"&amp;B28=KHC&amp;KH,TH))</f>
        <v>123345286</v>
      </c>
      <c r="G28" s="77">
        <f t="shared" si="1"/>
        <v>0</v>
      </c>
      <c r="H28" s="77">
        <f t="shared" si="2"/>
        <v>8276978</v>
      </c>
      <c r="I28" s="10" t="str">
        <f>IF(ISNA(VLOOKUP(B28,DSNL,6,0)),"",VLOOKUP(B28,DSNL,6,0))</f>
        <v/>
      </c>
    </row>
    <row r="29" spans="1:9" s="734" customFormat="1" ht="16.5" customHeight="1">
      <c r="A29" s="6">
        <f t="shared" si="0"/>
        <v>26</v>
      </c>
      <c r="B29" s="294" t="s">
        <v>622</v>
      </c>
      <c r="C29" s="731">
        <v>0</v>
      </c>
      <c r="D29" s="731">
        <v>442008071</v>
      </c>
      <c r="E29" s="8">
        <f t="array" ref="E29">SUM(IF("331"&amp;B29=KHN&amp;KH,TH))</f>
        <v>4230000000</v>
      </c>
      <c r="F29" s="8">
        <f t="array" ref="F29">SUM(IF("331"&amp;B29=KHC&amp;KH,TH))</f>
        <v>5704114111</v>
      </c>
      <c r="G29" s="77">
        <f t="shared" si="1"/>
        <v>0</v>
      </c>
      <c r="H29" s="77">
        <f t="shared" si="2"/>
        <v>1916122182</v>
      </c>
      <c r="I29" s="734" t="str">
        <f>IF(ISNA(VLOOKUP(B29,DSNL,6,0)),"",VLOOKUP(B29,DSNL,6,0))</f>
        <v/>
      </c>
    </row>
    <row r="30" spans="1:9" s="10" customFormat="1" ht="16.5" customHeight="1">
      <c r="A30" s="6">
        <f t="shared" si="0"/>
        <v>27</v>
      </c>
      <c r="B30" s="67" t="s">
        <v>755</v>
      </c>
      <c r="C30" s="731">
        <v>0</v>
      </c>
      <c r="D30" s="731">
        <v>23710344</v>
      </c>
      <c r="E30" s="8">
        <f t="array" ref="E30">SUM(IF("331"&amp;B30=KHN&amp;KH,TH))</f>
        <v>338046158</v>
      </c>
      <c r="F30" s="8">
        <f t="array" ref="F30">SUM(IF("331"&amp;B30=KHC&amp;KH,TH))</f>
        <v>447187561</v>
      </c>
      <c r="G30" s="77">
        <f t="shared" si="1"/>
        <v>0</v>
      </c>
      <c r="H30" s="77">
        <f t="shared" si="2"/>
        <v>132851747</v>
      </c>
    </row>
    <row r="31" spans="1:9" s="10" customFormat="1" ht="16.5" customHeight="1">
      <c r="A31" s="6">
        <f t="shared" si="0"/>
        <v>28</v>
      </c>
      <c r="B31" s="67" t="s">
        <v>567</v>
      </c>
      <c r="C31" s="8">
        <v>0</v>
      </c>
      <c r="D31" s="8">
        <v>157080000</v>
      </c>
      <c r="E31" s="8">
        <f t="array" ref="E31">SUM(IF("331"&amp;B31=KHN&amp;KH,TH))</f>
        <v>1057080000</v>
      </c>
      <c r="F31" s="8">
        <f t="array" ref="F31">SUM(IF("331"&amp;B31=KHC&amp;KH,TH))</f>
        <v>1006170000</v>
      </c>
      <c r="G31" s="77">
        <f t="shared" si="1"/>
        <v>0</v>
      </c>
      <c r="H31" s="77">
        <f t="shared" si="2"/>
        <v>106170000</v>
      </c>
      <c r="I31" s="10" t="str">
        <f t="shared" ref="I31:I36" si="10">IF(ISNA(VLOOKUP(B31,DSNL,6,0)),"",VLOOKUP(B31,DSNL,6,0))</f>
        <v/>
      </c>
    </row>
    <row r="32" spans="1:9" s="10" customFormat="1" ht="16.5" customHeight="1">
      <c r="A32" s="6">
        <f t="shared" si="0"/>
        <v>29</v>
      </c>
      <c r="B32" s="294" t="s">
        <v>1450</v>
      </c>
      <c r="C32" s="8">
        <v>0</v>
      </c>
      <c r="D32" s="8">
        <v>0</v>
      </c>
      <c r="E32" s="8">
        <f t="array" ref="E32">SUM(IF("331"&amp;B32=KHN&amp;KH,TH))</f>
        <v>252698754</v>
      </c>
      <c r="F32" s="8">
        <f t="array" ref="F32">SUM(IF("331"&amp;B32=KHC&amp;KH,TH))</f>
        <v>252698754</v>
      </c>
      <c r="G32" s="77">
        <f t="shared" si="1"/>
        <v>0</v>
      </c>
      <c r="H32" s="77">
        <f t="shared" si="2"/>
        <v>0</v>
      </c>
      <c r="I32" s="10" t="str">
        <f t="shared" si="10"/>
        <v/>
      </c>
    </row>
    <row r="33" spans="1:9" s="734" customFormat="1" ht="16.5" customHeight="1">
      <c r="A33" s="6">
        <f t="shared" si="0"/>
        <v>30</v>
      </c>
      <c r="B33" s="294" t="s">
        <v>742</v>
      </c>
      <c r="C33" s="731">
        <v>0</v>
      </c>
      <c r="D33" s="731">
        <v>424563068</v>
      </c>
      <c r="E33" s="8">
        <f t="array" ref="E33">SUM(IF("331"&amp;B33=KHN&amp;KH,TH))</f>
        <v>527413940</v>
      </c>
      <c r="F33" s="8">
        <f t="array" ref="F33">SUM(IF("331"&amp;B33=KHC&amp;KH,TH))</f>
        <v>102850872</v>
      </c>
      <c r="G33" s="77">
        <f t="shared" si="1"/>
        <v>0</v>
      </c>
      <c r="H33" s="77">
        <f t="shared" si="2"/>
        <v>0</v>
      </c>
      <c r="I33" s="734" t="str">
        <f t="shared" si="10"/>
        <v/>
      </c>
    </row>
    <row r="34" spans="1:9" s="10" customFormat="1" ht="16.5" customHeight="1">
      <c r="A34" s="6">
        <f t="shared" si="0"/>
        <v>31</v>
      </c>
      <c r="B34" s="67" t="s">
        <v>794</v>
      </c>
      <c r="C34" s="731">
        <v>0</v>
      </c>
      <c r="D34" s="731">
        <v>108275774</v>
      </c>
      <c r="E34" s="8">
        <f t="array" ref="E34">SUM(IF("331"&amp;B34=KHN&amp;KH,TH))</f>
        <v>108275774</v>
      </c>
      <c r="F34" s="8">
        <f t="array" ref="F34">SUM(IF("331"&amp;B34=KHC&amp;KH,TH))</f>
        <v>0</v>
      </c>
      <c r="G34" s="77">
        <f t="shared" si="1"/>
        <v>0</v>
      </c>
      <c r="H34" s="77">
        <f t="shared" si="2"/>
        <v>0</v>
      </c>
      <c r="I34" s="10" t="str">
        <f t="shared" si="10"/>
        <v/>
      </c>
    </row>
    <row r="35" spans="1:9" s="1099" customFormat="1" ht="16.5" customHeight="1">
      <c r="A35" s="1105">
        <f t="shared" si="0"/>
        <v>32</v>
      </c>
      <c r="B35" s="80" t="s">
        <v>789</v>
      </c>
      <c r="C35" s="1097">
        <v>0</v>
      </c>
      <c r="D35" s="1097">
        <v>0</v>
      </c>
      <c r="E35" s="1097">
        <f t="array" ref="E35">SUM(IF("331"&amp;B35=KHN&amp;KH,TH))</f>
        <v>43195307800</v>
      </c>
      <c r="F35" s="1097">
        <f t="array" ref="F35">SUM(IF("331"&amp;B35=KHC&amp;KH,TH))</f>
        <v>44494778800</v>
      </c>
      <c r="G35" s="1106">
        <f t="shared" si="1"/>
        <v>0</v>
      </c>
      <c r="H35" s="1106">
        <f t="shared" si="2"/>
        <v>1299471000</v>
      </c>
      <c r="I35" s="1099" t="str">
        <f t="shared" si="10"/>
        <v/>
      </c>
    </row>
    <row r="36" spans="1:9" s="1099" customFormat="1" ht="16.5" customHeight="1">
      <c r="A36" s="1105">
        <f t="shared" si="0"/>
        <v>33</v>
      </c>
      <c r="B36" s="80" t="s">
        <v>791</v>
      </c>
      <c r="C36" s="1097">
        <v>0</v>
      </c>
      <c r="D36" s="1097">
        <v>0</v>
      </c>
      <c r="E36" s="1097">
        <f t="array" ref="E36">SUM(IF("331"&amp;B36=KHN&amp;KH,TH))</f>
        <v>16253841000</v>
      </c>
      <c r="F36" s="1097">
        <f t="array" ref="F36">SUM(IF("331"&amp;B36=KHC&amp;KH,TH))</f>
        <v>16253841000</v>
      </c>
      <c r="G36" s="1106">
        <f t="shared" si="1"/>
        <v>0</v>
      </c>
      <c r="H36" s="1106">
        <f t="shared" si="2"/>
        <v>0</v>
      </c>
      <c r="I36" s="1099" t="str">
        <f t="shared" si="10"/>
        <v/>
      </c>
    </row>
    <row r="37" spans="1:9" s="1099" customFormat="1" ht="16.5" customHeight="1">
      <c r="A37" s="1105">
        <f t="shared" si="0"/>
        <v>34</v>
      </c>
      <c r="B37" s="80" t="s">
        <v>623</v>
      </c>
      <c r="C37" s="1097">
        <v>0</v>
      </c>
      <c r="D37" s="1097">
        <v>14868740000</v>
      </c>
      <c r="E37" s="1097">
        <f t="array" ref="E37">SUM(IF("331"&amp;B37=KHN&amp;KH,TH))</f>
        <v>171772045050</v>
      </c>
      <c r="F37" s="1097">
        <f t="array" ref="F37">SUM(IF("331"&amp;B37=KHC&amp;KH,TH))</f>
        <v>156903305050</v>
      </c>
      <c r="G37" s="1106">
        <f t="shared" si="1"/>
        <v>0</v>
      </c>
      <c r="H37" s="1106">
        <f t="shared" si="2"/>
        <v>0</v>
      </c>
    </row>
    <row r="38" spans="1:9" s="1099" customFormat="1" ht="16.5" customHeight="1">
      <c r="A38" s="1105">
        <f t="shared" si="0"/>
        <v>35</v>
      </c>
      <c r="B38" s="1085" t="s">
        <v>2042</v>
      </c>
      <c r="C38" s="1097">
        <v>0</v>
      </c>
      <c r="D38" s="1097">
        <v>0</v>
      </c>
      <c r="E38" s="1097">
        <f t="array" ref="E38">SUM(IF("331"&amp;B38=KHN&amp;KH,TH))</f>
        <v>2480660000</v>
      </c>
      <c r="F38" s="1097">
        <f t="array" ref="F38">SUM(IF("331"&amp;B38=KHC&amp;KH,TH))</f>
        <v>2480660000</v>
      </c>
      <c r="G38" s="1106">
        <f t="shared" si="1"/>
        <v>0</v>
      </c>
      <c r="H38" s="1106">
        <f t="shared" si="2"/>
        <v>0</v>
      </c>
      <c r="I38" s="1099" t="str">
        <f>IF(ISNA(VLOOKUP(B38,DSNL,6,0)),"",VLOOKUP(B38,DSNL,6,0))</f>
        <v/>
      </c>
    </row>
    <row r="39" spans="1:9" s="1099" customFormat="1" ht="16.5" customHeight="1">
      <c r="A39" s="1105">
        <f t="shared" ref="A39" si="11">IF(B39&lt;&gt;"",ROW()-3,"")</f>
        <v>36</v>
      </c>
      <c r="B39" s="1085" t="s">
        <v>2528</v>
      </c>
      <c r="C39" s="1097">
        <v>0</v>
      </c>
      <c r="D39" s="1097">
        <v>0</v>
      </c>
      <c r="E39" s="1097">
        <f t="array" ref="E39">SUM(IF("331"&amp;B39=KHN&amp;KH,TH))</f>
        <v>2862550000</v>
      </c>
      <c r="F39" s="1097">
        <f t="array" ref="F39">SUM(IF("331"&amp;B39=KHC&amp;KH,TH))</f>
        <v>2862550000</v>
      </c>
      <c r="G39" s="1106">
        <f t="shared" ref="G39" si="12">ROUND(MAX(C39+E39-D39-F39,0),2)</f>
        <v>0</v>
      </c>
      <c r="H39" s="1106">
        <f t="shared" ref="H39" si="13">ROUND(MAX(D39+F39-C39-E39,0),2)</f>
        <v>0</v>
      </c>
      <c r="I39" s="1099" t="str">
        <f>IF(ISNA(VLOOKUP(B39,DSNL,6,0)),"",VLOOKUP(B39,DSNL,6,0))</f>
        <v/>
      </c>
    </row>
    <row r="40" spans="1:9" s="1099" customFormat="1" ht="16.5" customHeight="1">
      <c r="A40" s="1105">
        <f t="shared" ref="A40" si="14">IF(B40&lt;&gt;"",ROW()-3,"")</f>
        <v>37</v>
      </c>
      <c r="B40" s="1140" t="s">
        <v>2124</v>
      </c>
      <c r="C40" s="1097">
        <v>0</v>
      </c>
      <c r="D40" s="1097">
        <v>0</v>
      </c>
      <c r="E40" s="1097">
        <f t="array" ref="E40">SUM(IF("331"&amp;B40=KHN&amp;KH,TH))</f>
        <v>340500000</v>
      </c>
      <c r="F40" s="1097">
        <f t="array" ref="F40">SUM(IF("331"&amp;B40=KHC&amp;KH,TH))</f>
        <v>340500000</v>
      </c>
      <c r="G40" s="1106">
        <f t="shared" ref="G40" si="15">ROUND(MAX(C40+E40-D40-F40,0),2)</f>
        <v>0</v>
      </c>
      <c r="H40" s="1106">
        <f t="shared" ref="H40" si="16">ROUND(MAX(D40+F40-C40-E40,0),2)</f>
        <v>0</v>
      </c>
      <c r="I40" s="1099" t="str">
        <f t="shared" ref="I40" si="17">IF(ISNA(VLOOKUP(B40,DSNL,6,0)),"",VLOOKUP(B40,DSNL,6,0))</f>
        <v/>
      </c>
    </row>
    <row r="41" spans="1:9" s="734" customFormat="1" ht="16.5" customHeight="1">
      <c r="A41" s="6">
        <f t="shared" ref="A41:A77" si="18">IF(B41&lt;&gt;"",ROW()-3,"")</f>
        <v>38</v>
      </c>
      <c r="B41" s="76" t="s">
        <v>365</v>
      </c>
      <c r="C41" s="731">
        <v>0</v>
      </c>
      <c r="D41" s="731">
        <v>97105000</v>
      </c>
      <c r="E41" s="731">
        <f t="array" ref="E41">SUM(IF("331"&amp;B41=KHN&amp;KH,TH))</f>
        <v>860729500</v>
      </c>
      <c r="F41" s="731">
        <f t="array" ref="F41">SUM(IF("331"&amp;B41=KHC&amp;KH,TH))</f>
        <v>763624500</v>
      </c>
      <c r="G41" s="733">
        <f t="shared" ref="G41:G53" si="19">ROUND(MAX(C41+E41-D41-F41,0),2)</f>
        <v>0</v>
      </c>
      <c r="H41" s="733">
        <f t="shared" ref="H41:H53" si="20">ROUND(MAX(D41+F41-C41-E41,0),2)</f>
        <v>0</v>
      </c>
      <c r="I41" s="734" t="str">
        <f t="shared" ref="I41:I53" si="21">IF(ISNA(VLOOKUP(B41,DSNL,6,0)),"",VLOOKUP(B41,DSNL,6,0))</f>
        <v>Nhiên</v>
      </c>
    </row>
    <row r="42" spans="1:9" s="734" customFormat="1" ht="16.5" customHeight="1">
      <c r="A42" s="6">
        <f t="shared" si="18"/>
        <v>39</v>
      </c>
      <c r="B42" s="73" t="s">
        <v>369</v>
      </c>
      <c r="C42" s="731">
        <v>0</v>
      </c>
      <c r="D42" s="731">
        <v>1017425000</v>
      </c>
      <c r="E42" s="731">
        <f t="array" ref="E42">SUM(IF("331"&amp;B42=KHN&amp;KH,TH))</f>
        <v>1290855000</v>
      </c>
      <c r="F42" s="731">
        <f t="array" ref="F42">SUM(IF("331"&amp;B42=KHC&amp;KH,TH))</f>
        <v>273430000</v>
      </c>
      <c r="G42" s="733">
        <f t="shared" si="19"/>
        <v>0</v>
      </c>
      <c r="H42" s="733">
        <f t="shared" si="20"/>
        <v>0</v>
      </c>
      <c r="I42" s="734" t="str">
        <f t="shared" si="21"/>
        <v>Hai</v>
      </c>
    </row>
    <row r="43" spans="1:9" s="734" customFormat="1" ht="16.5" customHeight="1">
      <c r="A43" s="6">
        <f t="shared" si="18"/>
        <v>40</v>
      </c>
      <c r="B43" s="735" t="s">
        <v>348</v>
      </c>
      <c r="C43" s="731">
        <v>0</v>
      </c>
      <c r="D43" s="731">
        <v>0</v>
      </c>
      <c r="E43" s="731">
        <f t="array" ref="E43">SUM(IF("331"&amp;B43=KHN&amp;KH,TH))</f>
        <v>3934187000</v>
      </c>
      <c r="F43" s="731">
        <f t="array" ref="F43">SUM(IF("331"&amp;B43=KHC&amp;KH,TH))</f>
        <v>3934187000</v>
      </c>
      <c r="G43" s="733">
        <f t="shared" si="19"/>
        <v>0</v>
      </c>
      <c r="H43" s="733">
        <f t="shared" si="20"/>
        <v>0</v>
      </c>
      <c r="I43" s="734" t="str">
        <f t="shared" si="21"/>
        <v>Hai</v>
      </c>
    </row>
    <row r="44" spans="1:9" s="734" customFormat="1" ht="16.5" customHeight="1">
      <c r="A44" s="6">
        <f t="shared" si="18"/>
        <v>41</v>
      </c>
      <c r="B44" s="735" t="s">
        <v>350</v>
      </c>
      <c r="C44" s="731">
        <v>0</v>
      </c>
      <c r="D44" s="731">
        <v>0</v>
      </c>
      <c r="E44" s="731">
        <f t="array" ref="E44">SUM(IF("331"&amp;B44=KHN&amp;KH,TH))</f>
        <v>5847247000</v>
      </c>
      <c r="F44" s="731">
        <f t="array" ref="F44">SUM(IF("331"&amp;B44=KHC&amp;KH,TH))</f>
        <v>5847247000</v>
      </c>
      <c r="G44" s="733">
        <f t="shared" si="19"/>
        <v>0</v>
      </c>
      <c r="H44" s="733">
        <f t="shared" si="20"/>
        <v>0</v>
      </c>
      <c r="I44" s="734" t="str">
        <f t="shared" si="21"/>
        <v>Hai</v>
      </c>
    </row>
    <row r="45" spans="1:9" s="734" customFormat="1" ht="16.5" customHeight="1">
      <c r="A45" s="6">
        <f t="shared" si="18"/>
        <v>42</v>
      </c>
      <c r="B45" s="73" t="s">
        <v>372</v>
      </c>
      <c r="C45" s="731">
        <v>0</v>
      </c>
      <c r="D45" s="731">
        <v>84295000</v>
      </c>
      <c r="E45" s="731">
        <f t="array" ref="E45">SUM(IF("331"&amp;B45=KHN&amp;KH,TH))</f>
        <v>608233500</v>
      </c>
      <c r="F45" s="731">
        <f t="array" ref="F45">SUM(IF("331"&amp;B45=KHC&amp;KH,TH))</f>
        <v>523938500</v>
      </c>
      <c r="G45" s="733">
        <f t="shared" si="19"/>
        <v>0</v>
      </c>
      <c r="H45" s="733">
        <f t="shared" si="20"/>
        <v>0</v>
      </c>
      <c r="I45" s="734" t="str">
        <f t="shared" si="21"/>
        <v>Hai</v>
      </c>
    </row>
    <row r="46" spans="1:9" s="734" customFormat="1" ht="16.5" customHeight="1">
      <c r="A46" s="6">
        <f t="shared" si="18"/>
        <v>43</v>
      </c>
      <c r="B46" s="73" t="s">
        <v>382</v>
      </c>
      <c r="C46" s="731">
        <v>0</v>
      </c>
      <c r="D46" s="731">
        <v>0</v>
      </c>
      <c r="E46" s="731">
        <f t="array" ref="E46">SUM(IF("331"&amp;B46=KHN&amp;KH,TH))</f>
        <v>900195500</v>
      </c>
      <c r="F46" s="731">
        <f t="array" ref="F46">SUM(IF("331"&amp;B46=KHC&amp;KH,TH))</f>
        <v>900195500</v>
      </c>
      <c r="G46" s="733">
        <f t="shared" si="19"/>
        <v>0</v>
      </c>
      <c r="H46" s="733">
        <f t="shared" si="20"/>
        <v>0</v>
      </c>
      <c r="I46" s="734" t="str">
        <f t="shared" si="21"/>
        <v>Hai</v>
      </c>
    </row>
    <row r="47" spans="1:9" s="734" customFormat="1" ht="16.5" customHeight="1">
      <c r="A47" s="6">
        <f t="shared" si="18"/>
        <v>44</v>
      </c>
      <c r="B47" s="73" t="s">
        <v>374</v>
      </c>
      <c r="C47" s="731">
        <v>0</v>
      </c>
      <c r="D47" s="731">
        <v>979400000</v>
      </c>
      <c r="E47" s="731">
        <f t="array" ref="E47">SUM(IF("331"&amp;B47=KHN&amp;KH,TH))</f>
        <v>1518656500</v>
      </c>
      <c r="F47" s="731">
        <f t="array" ref="F47">SUM(IF("331"&amp;B47=KHC&amp;KH,TH))</f>
        <v>539256500</v>
      </c>
      <c r="G47" s="733">
        <f t="shared" si="19"/>
        <v>0</v>
      </c>
      <c r="H47" s="733">
        <f t="shared" si="20"/>
        <v>0</v>
      </c>
      <c r="I47" s="734" t="str">
        <f t="shared" si="21"/>
        <v>Hai</v>
      </c>
    </row>
    <row r="48" spans="1:9" s="734" customFormat="1" ht="16.5" customHeight="1">
      <c r="A48" s="6">
        <f t="shared" si="18"/>
        <v>45</v>
      </c>
      <c r="B48" s="73" t="s">
        <v>366</v>
      </c>
      <c r="C48" s="731">
        <v>0</v>
      </c>
      <c r="D48" s="731">
        <v>1521812500</v>
      </c>
      <c r="E48" s="731">
        <f t="array" ref="E48">SUM(IF("331"&amp;B48=KHN&amp;KH,TH))</f>
        <v>4315737000</v>
      </c>
      <c r="F48" s="731">
        <f t="array" ref="F48">SUM(IF("331"&amp;B48=KHC&amp;KH,TH))</f>
        <v>2793924500</v>
      </c>
      <c r="G48" s="733">
        <f t="shared" si="19"/>
        <v>0</v>
      </c>
      <c r="H48" s="733">
        <f t="shared" si="20"/>
        <v>0</v>
      </c>
      <c r="I48" s="734" t="str">
        <f t="shared" si="21"/>
        <v>Nhiên</v>
      </c>
    </row>
    <row r="49" spans="1:9" s="734" customFormat="1" ht="16.5" customHeight="1">
      <c r="A49" s="6">
        <f t="shared" si="18"/>
        <v>46</v>
      </c>
      <c r="B49" s="73" t="s">
        <v>405</v>
      </c>
      <c r="C49" s="731">
        <v>0</v>
      </c>
      <c r="D49" s="731">
        <v>0</v>
      </c>
      <c r="E49" s="731">
        <f t="array" ref="E49">SUM(IF("331"&amp;B49=KHN&amp;KH,TH))</f>
        <v>2030991400</v>
      </c>
      <c r="F49" s="731">
        <f t="array" ref="F49">SUM(IF("331"&amp;B49=KHC&amp;KH,TH))</f>
        <v>2030991400</v>
      </c>
      <c r="G49" s="733">
        <f t="shared" si="19"/>
        <v>0</v>
      </c>
      <c r="H49" s="733">
        <f t="shared" si="20"/>
        <v>0</v>
      </c>
      <c r="I49" s="734" t="str">
        <f t="shared" si="21"/>
        <v>Hai</v>
      </c>
    </row>
    <row r="50" spans="1:9" s="734" customFormat="1" ht="16.5" customHeight="1">
      <c r="A50" s="6">
        <f t="shared" si="18"/>
        <v>47</v>
      </c>
      <c r="B50" s="73" t="s">
        <v>408</v>
      </c>
      <c r="C50" s="731">
        <v>0</v>
      </c>
      <c r="D50" s="731">
        <v>0</v>
      </c>
      <c r="E50" s="731">
        <f t="array" ref="E50">SUM(IF("331"&amp;B50=KHN&amp;KH,TH))</f>
        <v>960624800</v>
      </c>
      <c r="F50" s="731">
        <f t="array" ref="F50">SUM(IF("331"&amp;B50=KHC&amp;KH,TH))</f>
        <v>960624800</v>
      </c>
      <c r="G50" s="733">
        <f t="shared" si="19"/>
        <v>0</v>
      </c>
      <c r="H50" s="733">
        <f t="shared" si="20"/>
        <v>0</v>
      </c>
      <c r="I50" s="734" t="str">
        <f t="shared" si="21"/>
        <v>Hai</v>
      </c>
    </row>
    <row r="51" spans="1:9" s="734" customFormat="1" ht="16.5" customHeight="1">
      <c r="A51" s="6">
        <f t="shared" si="18"/>
        <v>48</v>
      </c>
      <c r="B51" s="732" t="s">
        <v>361</v>
      </c>
      <c r="C51" s="731">
        <v>0</v>
      </c>
      <c r="D51" s="731">
        <v>262510000</v>
      </c>
      <c r="E51" s="731">
        <f t="array" ref="E51">SUM(IF("331"&amp;B51=KHN&amp;KH,TH))</f>
        <v>3437565000</v>
      </c>
      <c r="F51" s="731">
        <f t="array" ref="F51">SUM(IF("331"&amp;B51=KHC&amp;KH,TH))</f>
        <v>3175055000</v>
      </c>
      <c r="G51" s="733">
        <f t="shared" si="19"/>
        <v>0</v>
      </c>
      <c r="H51" s="733">
        <f t="shared" si="20"/>
        <v>0</v>
      </c>
      <c r="I51" s="734" t="str">
        <f t="shared" si="21"/>
        <v>Nhiên</v>
      </c>
    </row>
    <row r="52" spans="1:9" s="734" customFormat="1" ht="16.5" customHeight="1">
      <c r="A52" s="6">
        <f t="shared" si="18"/>
        <v>49</v>
      </c>
      <c r="B52" s="732" t="s">
        <v>376</v>
      </c>
      <c r="C52" s="731">
        <v>0</v>
      </c>
      <c r="D52" s="731">
        <v>1486995000</v>
      </c>
      <c r="E52" s="731">
        <f t="array" ref="E52">SUM(IF("331"&amp;B52=KHN&amp;KH,TH))</f>
        <v>1759870000</v>
      </c>
      <c r="F52" s="731">
        <f t="array" ref="F52">SUM(IF("331"&amp;B52=KHC&amp;KH,TH))</f>
        <v>272875000</v>
      </c>
      <c r="G52" s="733">
        <f t="shared" ref="G52" si="22">ROUND(MAX(C52+E52-D52-F52,0),2)</f>
        <v>0</v>
      </c>
      <c r="H52" s="733">
        <f t="shared" ref="H52" si="23">ROUND(MAX(D52+F52-C52-E52,0),2)</f>
        <v>0</v>
      </c>
      <c r="I52" s="734" t="str">
        <f t="shared" ref="I52" si="24">IF(ISNA(VLOOKUP(B52,DSNL,6,0)),"",VLOOKUP(B52,DSNL,6,0))</f>
        <v>Hai</v>
      </c>
    </row>
    <row r="53" spans="1:9" s="734" customFormat="1" ht="16.5" customHeight="1">
      <c r="A53" s="6">
        <f t="shared" si="18"/>
        <v>50</v>
      </c>
      <c r="B53" s="732" t="s">
        <v>404</v>
      </c>
      <c r="C53" s="731">
        <v>0</v>
      </c>
      <c r="D53" s="731">
        <v>0</v>
      </c>
      <c r="E53" s="731">
        <f t="array" ref="E53">SUM(IF("331"&amp;B53=KHN&amp;KH,TH))</f>
        <v>2325201000</v>
      </c>
      <c r="F53" s="731">
        <f t="array" ref="F53">SUM(IF("331"&amp;B53=KHC&amp;KH,TH))</f>
        <v>2325201000</v>
      </c>
      <c r="G53" s="733">
        <f t="shared" si="19"/>
        <v>0</v>
      </c>
      <c r="H53" s="733">
        <f t="shared" si="20"/>
        <v>0</v>
      </c>
      <c r="I53" s="734" t="str">
        <f t="shared" si="21"/>
        <v>Nhiên</v>
      </c>
    </row>
    <row r="54" spans="1:9" s="734" customFormat="1" ht="16.5" customHeight="1">
      <c r="A54" s="6">
        <f t="shared" si="18"/>
        <v>51</v>
      </c>
      <c r="B54" s="732" t="s">
        <v>403</v>
      </c>
      <c r="C54" s="731">
        <v>0</v>
      </c>
      <c r="D54" s="731">
        <v>0</v>
      </c>
      <c r="E54" s="731">
        <f t="array" ref="E54">SUM(IF("331"&amp;B54=KHN&amp;KH,TH))</f>
        <v>930536800</v>
      </c>
      <c r="F54" s="731">
        <f t="array" ref="F54">SUM(IF("331"&amp;B54=KHC&amp;KH,TH))</f>
        <v>930536800</v>
      </c>
      <c r="G54" s="733">
        <f t="shared" ref="G54:G77" si="25">ROUND(MAX(C54+E54-D54-F54,0),2)</f>
        <v>0</v>
      </c>
      <c r="H54" s="733">
        <f t="shared" ref="H54:H77" si="26">ROUND(MAX(D54+F54-C54-E54,0),2)</f>
        <v>0</v>
      </c>
      <c r="I54" s="734" t="str">
        <f t="shared" ref="I54:I66" si="27">IF(ISNA(VLOOKUP(B54,DSNL,6,0)),"",VLOOKUP(B54,DSNL,6,0))</f>
        <v>Nhiên</v>
      </c>
    </row>
    <row r="55" spans="1:9" s="10" customFormat="1" ht="16.5" customHeight="1">
      <c r="A55" s="6">
        <f t="shared" si="18"/>
        <v>52</v>
      </c>
      <c r="B55" s="73" t="s">
        <v>342</v>
      </c>
      <c r="C55" s="731">
        <v>0</v>
      </c>
      <c r="D55" s="731">
        <v>0</v>
      </c>
      <c r="E55" s="731">
        <f t="array" ref="E55">SUM(IF("331"&amp;B55=KHN&amp;KH,TH))</f>
        <v>1053078000</v>
      </c>
      <c r="F55" s="731">
        <f t="array" ref="F55">SUM(IF("331"&amp;B55=KHC&amp;KH,TH))</f>
        <v>1053078000</v>
      </c>
      <c r="G55" s="733">
        <f t="shared" ref="G55:G60" si="28">ROUND(MAX(C55+E55-D55-F55,0),2)</f>
        <v>0</v>
      </c>
      <c r="H55" s="733">
        <f t="shared" ref="H55:H60" si="29">ROUND(MAX(D55+F55-C55-E55,0),2)</f>
        <v>0</v>
      </c>
      <c r="I55" s="734" t="str">
        <f t="shared" si="27"/>
        <v>Nhiên</v>
      </c>
    </row>
    <row r="56" spans="1:9" s="10" customFormat="1" ht="16.5" customHeight="1">
      <c r="A56" s="6">
        <f t="shared" si="18"/>
        <v>53</v>
      </c>
      <c r="B56" s="73" t="s">
        <v>344</v>
      </c>
      <c r="C56" s="731">
        <v>0</v>
      </c>
      <c r="D56" s="731">
        <v>0</v>
      </c>
      <c r="E56" s="731">
        <f t="array" ref="E56">SUM(IF("331"&amp;B56=KHN&amp;KH,TH))</f>
        <v>435225000</v>
      </c>
      <c r="F56" s="731">
        <f t="array" ref="F56">SUM(IF("331"&amp;B56=KHC&amp;KH,TH))</f>
        <v>435225000</v>
      </c>
      <c r="G56" s="733">
        <f t="shared" si="28"/>
        <v>0</v>
      </c>
      <c r="H56" s="733">
        <f t="shared" si="29"/>
        <v>0</v>
      </c>
      <c r="I56" s="734" t="str">
        <f t="shared" si="27"/>
        <v>Nhiên</v>
      </c>
    </row>
    <row r="57" spans="1:9" s="10" customFormat="1" ht="16.5" customHeight="1">
      <c r="A57" s="6">
        <f t="shared" si="18"/>
        <v>54</v>
      </c>
      <c r="B57" s="73" t="s">
        <v>415</v>
      </c>
      <c r="C57" s="731">
        <v>0</v>
      </c>
      <c r="D57" s="731">
        <v>0</v>
      </c>
      <c r="E57" s="731">
        <f t="array" ref="E57">SUM(IF("331"&amp;B57=KHN&amp;KH,TH))</f>
        <v>4162848300</v>
      </c>
      <c r="F57" s="731">
        <f t="array" ref="F57">SUM(IF("331"&amp;B57=KHC&amp;KH,TH))</f>
        <v>4162848300</v>
      </c>
      <c r="G57" s="733">
        <f t="shared" si="28"/>
        <v>0</v>
      </c>
      <c r="H57" s="733">
        <f t="shared" si="29"/>
        <v>0</v>
      </c>
      <c r="I57" s="734" t="str">
        <f t="shared" si="27"/>
        <v>Hai</v>
      </c>
    </row>
    <row r="58" spans="1:9" s="10" customFormat="1" ht="16.5" customHeight="1">
      <c r="A58" s="6">
        <f t="shared" si="18"/>
        <v>55</v>
      </c>
      <c r="B58" s="73" t="s">
        <v>419</v>
      </c>
      <c r="C58" s="731">
        <v>0</v>
      </c>
      <c r="D58" s="731">
        <v>0</v>
      </c>
      <c r="E58" s="731">
        <f t="array" ref="E58">SUM(IF("331"&amp;B58=KHN&amp;KH,TH))</f>
        <v>3105086600</v>
      </c>
      <c r="F58" s="731">
        <f t="array" ref="F58">SUM(IF("331"&amp;B58=KHC&amp;KH,TH))</f>
        <v>3105086600</v>
      </c>
      <c r="G58" s="733">
        <f t="shared" si="28"/>
        <v>0</v>
      </c>
      <c r="H58" s="733">
        <f t="shared" si="29"/>
        <v>0</v>
      </c>
      <c r="I58" s="734" t="str">
        <f t="shared" si="27"/>
        <v>Hai</v>
      </c>
    </row>
    <row r="59" spans="1:9" s="10" customFormat="1" ht="16.5" customHeight="1">
      <c r="A59" s="6">
        <f t="shared" si="18"/>
        <v>56</v>
      </c>
      <c r="B59" s="73" t="s">
        <v>420</v>
      </c>
      <c r="C59" s="731">
        <v>0</v>
      </c>
      <c r="D59" s="731">
        <v>0</v>
      </c>
      <c r="E59" s="731">
        <f t="array" ref="E59">SUM(IF("331"&amp;B59=KHN&amp;KH,TH))</f>
        <v>2441453000</v>
      </c>
      <c r="F59" s="731">
        <f t="array" ref="F59">SUM(IF("331"&amp;B59=KHC&amp;KH,TH))</f>
        <v>2441453000</v>
      </c>
      <c r="G59" s="733">
        <f t="shared" si="28"/>
        <v>0</v>
      </c>
      <c r="H59" s="733">
        <f t="shared" si="29"/>
        <v>0</v>
      </c>
      <c r="I59" s="734" t="str">
        <f t="shared" si="27"/>
        <v>Nhiên</v>
      </c>
    </row>
    <row r="60" spans="1:9" s="10" customFormat="1" ht="16.5" customHeight="1">
      <c r="A60" s="6">
        <f t="shared" si="18"/>
        <v>57</v>
      </c>
      <c r="B60" s="73" t="s">
        <v>422</v>
      </c>
      <c r="C60" s="731">
        <v>0</v>
      </c>
      <c r="D60" s="731">
        <v>0</v>
      </c>
      <c r="E60" s="731">
        <f t="array" ref="E60">SUM(IF("331"&amp;B60=KHN&amp;KH,TH))</f>
        <v>2413295400</v>
      </c>
      <c r="F60" s="731">
        <f t="array" ref="F60">SUM(IF("331"&amp;B60=KHC&amp;KH,TH))</f>
        <v>2413295400</v>
      </c>
      <c r="G60" s="733">
        <f t="shared" si="28"/>
        <v>0</v>
      </c>
      <c r="H60" s="733">
        <f t="shared" si="29"/>
        <v>0</v>
      </c>
      <c r="I60" s="734" t="str">
        <f t="shared" si="27"/>
        <v>Nhiên</v>
      </c>
    </row>
    <row r="61" spans="1:9" s="10" customFormat="1" ht="16.5" customHeight="1">
      <c r="A61" s="6">
        <f t="shared" si="18"/>
        <v>58</v>
      </c>
      <c r="B61" s="73" t="s">
        <v>414</v>
      </c>
      <c r="C61" s="731">
        <v>0</v>
      </c>
      <c r="D61" s="731">
        <v>0</v>
      </c>
      <c r="E61" s="731">
        <f t="array" ref="E61">SUM(IF("331"&amp;B61=KHN&amp;KH,TH))</f>
        <v>3286881400</v>
      </c>
      <c r="F61" s="731">
        <f t="array" ref="F61">SUM(IF("331"&amp;B61=KHC&amp;KH,TH))</f>
        <v>3286881400</v>
      </c>
      <c r="G61" s="733">
        <f t="shared" ref="G61:G66" si="30">ROUND(MAX(C61+E61-D61-F61,0),2)</f>
        <v>0</v>
      </c>
      <c r="H61" s="733">
        <f t="shared" ref="H61:H66" si="31">ROUND(MAX(D61+F61-C61-E61,0),2)</f>
        <v>0</v>
      </c>
      <c r="I61" s="734" t="str">
        <f t="shared" si="27"/>
        <v>Hai</v>
      </c>
    </row>
    <row r="62" spans="1:9" s="10" customFormat="1" ht="16.5" customHeight="1">
      <c r="A62" s="6">
        <f t="shared" si="18"/>
        <v>59</v>
      </c>
      <c r="B62" s="73" t="s">
        <v>768</v>
      </c>
      <c r="C62" s="731">
        <v>0</v>
      </c>
      <c r="D62" s="731">
        <v>0</v>
      </c>
      <c r="E62" s="731">
        <f t="array" ref="E62">SUM(IF("331"&amp;B62=KHN&amp;KH,TH))</f>
        <v>3287099300</v>
      </c>
      <c r="F62" s="731">
        <f t="array" ref="F62">SUM(IF("331"&amp;B62=KHC&amp;KH,TH))</f>
        <v>3287099300</v>
      </c>
      <c r="G62" s="733">
        <f t="shared" si="30"/>
        <v>0</v>
      </c>
      <c r="H62" s="733">
        <f t="shared" si="31"/>
        <v>0</v>
      </c>
      <c r="I62" s="734" t="str">
        <f t="shared" si="27"/>
        <v>Nhiên</v>
      </c>
    </row>
    <row r="63" spans="1:9" s="10" customFormat="1" ht="16.5" customHeight="1">
      <c r="A63" s="6">
        <f t="shared" si="18"/>
        <v>60</v>
      </c>
      <c r="B63" s="73" t="s">
        <v>769</v>
      </c>
      <c r="C63" s="731">
        <v>0</v>
      </c>
      <c r="D63" s="731">
        <v>0</v>
      </c>
      <c r="E63" s="731">
        <f t="array" ref="E63">SUM(IF("331"&amp;B63=KHN&amp;KH,TH))</f>
        <v>3243423000</v>
      </c>
      <c r="F63" s="731">
        <f t="array" ref="F63">SUM(IF("331"&amp;B63=KHC&amp;KH,TH))</f>
        <v>3243423000</v>
      </c>
      <c r="G63" s="733">
        <f t="shared" si="30"/>
        <v>0</v>
      </c>
      <c r="H63" s="733">
        <f t="shared" si="31"/>
        <v>0</v>
      </c>
      <c r="I63" s="734" t="str">
        <f t="shared" si="27"/>
        <v>Nhiên</v>
      </c>
    </row>
    <row r="64" spans="1:9" s="10" customFormat="1" ht="16.5" customHeight="1">
      <c r="A64" s="6">
        <f t="shared" si="18"/>
        <v>61</v>
      </c>
      <c r="B64" s="73" t="s">
        <v>401</v>
      </c>
      <c r="C64" s="731">
        <v>0</v>
      </c>
      <c r="D64" s="731">
        <v>0</v>
      </c>
      <c r="E64" s="731">
        <f t="array" ref="E64">SUM(IF("331"&amp;B64=KHN&amp;KH,TH))</f>
        <v>512635000</v>
      </c>
      <c r="F64" s="731">
        <f t="array" ref="F64">SUM(IF("331"&amp;B64=KHC&amp;KH,TH))</f>
        <v>512635000</v>
      </c>
      <c r="G64" s="733">
        <f t="shared" si="30"/>
        <v>0</v>
      </c>
      <c r="H64" s="733">
        <f t="shared" si="31"/>
        <v>0</v>
      </c>
      <c r="I64" s="734" t="str">
        <f t="shared" si="27"/>
        <v>Nhiên</v>
      </c>
    </row>
    <row r="65" spans="1:9" s="10" customFormat="1" ht="16.5" customHeight="1">
      <c r="A65" s="6">
        <f t="shared" si="18"/>
        <v>62</v>
      </c>
      <c r="B65" s="73" t="s">
        <v>358</v>
      </c>
      <c r="C65" s="731">
        <v>0</v>
      </c>
      <c r="D65" s="731">
        <v>0</v>
      </c>
      <c r="E65" s="731">
        <f t="array" ref="E65">SUM(IF("331"&amp;B65=KHN&amp;KH,TH))</f>
        <v>284410000</v>
      </c>
      <c r="F65" s="731">
        <f t="array" ref="F65">SUM(IF("331"&amp;B65=KHC&amp;KH,TH))</f>
        <v>284410000</v>
      </c>
      <c r="G65" s="733">
        <f t="shared" si="30"/>
        <v>0</v>
      </c>
      <c r="H65" s="733">
        <f t="shared" si="31"/>
        <v>0</v>
      </c>
      <c r="I65" s="734" t="str">
        <f t="shared" si="27"/>
        <v>Hai</v>
      </c>
    </row>
    <row r="66" spans="1:9" s="10" customFormat="1" ht="16.5" customHeight="1">
      <c r="A66" s="6">
        <f t="shared" si="18"/>
        <v>63</v>
      </c>
      <c r="B66" s="73" t="s">
        <v>359</v>
      </c>
      <c r="C66" s="731">
        <v>0</v>
      </c>
      <c r="D66" s="731">
        <v>0</v>
      </c>
      <c r="E66" s="731">
        <f t="array" ref="E66">SUM(IF("331"&amp;B66=KHN&amp;KH,TH))</f>
        <v>277725000</v>
      </c>
      <c r="F66" s="731">
        <f t="array" ref="F66">SUM(IF("331"&amp;B66=KHC&amp;KH,TH))</f>
        <v>277725000</v>
      </c>
      <c r="G66" s="733">
        <f t="shared" si="30"/>
        <v>0</v>
      </c>
      <c r="H66" s="733">
        <f t="shared" si="31"/>
        <v>0</v>
      </c>
      <c r="I66" s="734" t="str">
        <f t="shared" si="27"/>
        <v>Hai</v>
      </c>
    </row>
    <row r="67" spans="1:9" s="10" customFormat="1" ht="16.5" customHeight="1">
      <c r="A67" s="6">
        <f t="shared" si="18"/>
        <v>64</v>
      </c>
      <c r="B67" s="73" t="s">
        <v>1889</v>
      </c>
      <c r="C67" s="731">
        <v>0</v>
      </c>
      <c r="D67" s="731">
        <v>2212425000</v>
      </c>
      <c r="E67" s="731">
        <f t="array" ref="E67">SUM(IF("331"&amp;B67=KHN&amp;KH,TH))</f>
        <v>6676938500</v>
      </c>
      <c r="F67" s="731">
        <f t="array" ref="F67">SUM(IF("331"&amp;B67=KHC&amp;KH,TH))</f>
        <v>4464513500</v>
      </c>
      <c r="G67" s="733">
        <f t="shared" si="25"/>
        <v>0</v>
      </c>
      <c r="H67" s="733">
        <f t="shared" si="26"/>
        <v>0</v>
      </c>
      <c r="I67" s="734"/>
    </row>
    <row r="68" spans="1:9" s="10" customFormat="1" ht="16.5" customHeight="1">
      <c r="A68" s="6">
        <f t="shared" si="18"/>
        <v>65</v>
      </c>
      <c r="B68" s="73" t="s">
        <v>1888</v>
      </c>
      <c r="C68" s="731">
        <v>0</v>
      </c>
      <c r="D68" s="731">
        <v>1194969000</v>
      </c>
      <c r="E68" s="731">
        <f t="array" ref="E68">SUM(IF("331"&amp;B68=KHN&amp;KH,TH))</f>
        <v>2588839000</v>
      </c>
      <c r="F68" s="731">
        <f t="array" ref="F68">SUM(IF("331"&amp;B68=KHC&amp;KH,TH))</f>
        <v>1393870000</v>
      </c>
      <c r="G68" s="733">
        <f t="shared" ref="G68:G75" si="32">ROUND(MAX(C68+E68-D68-F68,0),2)</f>
        <v>0</v>
      </c>
      <c r="H68" s="733">
        <f t="shared" ref="H68:H75" si="33">ROUND(MAX(D68+F68-C68-E68,0),2)</f>
        <v>0</v>
      </c>
      <c r="I68" s="734"/>
    </row>
    <row r="69" spans="1:9" s="10" customFormat="1" ht="16.5" customHeight="1">
      <c r="A69" s="6">
        <f t="shared" si="18"/>
        <v>66</v>
      </c>
      <c r="B69" s="73" t="s">
        <v>1887</v>
      </c>
      <c r="C69" s="731">
        <v>0</v>
      </c>
      <c r="D69" s="731">
        <v>2476771000</v>
      </c>
      <c r="E69" s="731">
        <f t="array" ref="E69">SUM(IF("331"&amp;B69=KHN&amp;KH,TH))</f>
        <v>5078041500</v>
      </c>
      <c r="F69" s="731">
        <f t="array" ref="F69">SUM(IF("331"&amp;B69=KHC&amp;KH,TH))</f>
        <v>2601270500</v>
      </c>
      <c r="G69" s="733">
        <f t="shared" si="32"/>
        <v>0</v>
      </c>
      <c r="H69" s="733">
        <f t="shared" si="33"/>
        <v>0</v>
      </c>
      <c r="I69" s="734"/>
    </row>
    <row r="70" spans="1:9" s="10" customFormat="1" ht="16.5" customHeight="1">
      <c r="A70" s="6">
        <f t="shared" si="18"/>
        <v>67</v>
      </c>
      <c r="B70" s="73" t="s">
        <v>1886</v>
      </c>
      <c r="C70" s="731">
        <v>0</v>
      </c>
      <c r="D70" s="731">
        <v>2654935000</v>
      </c>
      <c r="E70" s="731">
        <f t="array" ref="E70">SUM(IF("331"&amp;B70=KHN&amp;KH,TH))</f>
        <v>12008858000</v>
      </c>
      <c r="F70" s="731">
        <f t="array" ref="F70">SUM(IF("331"&amp;B70=KHC&amp;KH,TH))</f>
        <v>9353923000</v>
      </c>
      <c r="G70" s="733">
        <f t="shared" si="32"/>
        <v>0</v>
      </c>
      <c r="H70" s="733">
        <f t="shared" si="33"/>
        <v>0</v>
      </c>
      <c r="I70" s="734"/>
    </row>
    <row r="71" spans="1:9" s="10" customFormat="1" ht="16.5" customHeight="1">
      <c r="A71" s="6">
        <f t="shared" si="18"/>
        <v>68</v>
      </c>
      <c r="B71" s="73" t="s">
        <v>1882</v>
      </c>
      <c r="C71" s="731">
        <v>0</v>
      </c>
      <c r="D71" s="731">
        <v>2503606000</v>
      </c>
      <c r="E71" s="731">
        <f t="array" ref="E71">SUM(IF("331"&amp;B71=KHN&amp;KH,TH))</f>
        <v>50509787800</v>
      </c>
      <c r="F71" s="731">
        <f t="array" ref="F71">SUM(IF("331"&amp;B71=KHC&amp;KH,TH))</f>
        <v>55045024600</v>
      </c>
      <c r="G71" s="733">
        <f t="shared" si="32"/>
        <v>0</v>
      </c>
      <c r="H71" s="733">
        <f t="shared" si="33"/>
        <v>7038842800</v>
      </c>
      <c r="I71" s="734"/>
    </row>
    <row r="72" spans="1:9" s="10" customFormat="1" ht="16.5" customHeight="1">
      <c r="A72" s="6">
        <f t="shared" si="18"/>
        <v>69</v>
      </c>
      <c r="B72" s="73" t="s">
        <v>1891</v>
      </c>
      <c r="C72" s="731">
        <v>0</v>
      </c>
      <c r="D72" s="731">
        <v>1203745000</v>
      </c>
      <c r="E72" s="731">
        <f t="array" ref="E72">SUM(IF("331"&amp;B72=KHN&amp;KH,TH))</f>
        <v>5452600000</v>
      </c>
      <c r="F72" s="731">
        <f t="array" ref="F72">SUM(IF("331"&amp;B72=KHC&amp;KH,TH))</f>
        <v>4248855000</v>
      </c>
      <c r="G72" s="733">
        <f t="shared" si="32"/>
        <v>0</v>
      </c>
      <c r="H72" s="733">
        <f t="shared" si="33"/>
        <v>0</v>
      </c>
      <c r="I72" s="734"/>
    </row>
    <row r="73" spans="1:9" s="10" customFormat="1" ht="16.5" customHeight="1">
      <c r="A73" s="6">
        <f t="shared" si="18"/>
        <v>70</v>
      </c>
      <c r="B73" s="73" t="s">
        <v>1893</v>
      </c>
      <c r="C73" s="731">
        <v>0</v>
      </c>
      <c r="D73" s="731">
        <v>1453935000</v>
      </c>
      <c r="E73" s="731">
        <f t="array" ref="E73">SUM(IF("331"&amp;B73=KHN&amp;KH,TH))</f>
        <v>4908942500</v>
      </c>
      <c r="F73" s="731">
        <f t="array" ref="F73">SUM(IF("331"&amp;B73=KHC&amp;KH,TH))</f>
        <v>3455007500</v>
      </c>
      <c r="G73" s="733">
        <f t="shared" si="32"/>
        <v>0</v>
      </c>
      <c r="H73" s="733">
        <f t="shared" si="33"/>
        <v>0</v>
      </c>
      <c r="I73" s="734"/>
    </row>
    <row r="74" spans="1:9" s="10" customFormat="1" ht="16.5" customHeight="1">
      <c r="A74" s="6">
        <f t="shared" si="18"/>
        <v>71</v>
      </c>
      <c r="B74" s="73" t="s">
        <v>1890</v>
      </c>
      <c r="C74" s="731">
        <v>0</v>
      </c>
      <c r="D74" s="731">
        <v>0</v>
      </c>
      <c r="E74" s="731">
        <f t="array" ref="E74">SUM(IF("331"&amp;B74=KHN&amp;KH,TH))</f>
        <v>48158117200</v>
      </c>
      <c r="F74" s="731">
        <f t="array" ref="F74">SUM(IF("331"&amp;B74=KHC&amp;KH,TH))</f>
        <v>48158117200</v>
      </c>
      <c r="G74" s="733">
        <f t="shared" si="32"/>
        <v>0</v>
      </c>
      <c r="H74" s="733">
        <f t="shared" si="33"/>
        <v>0</v>
      </c>
      <c r="I74" s="734"/>
    </row>
    <row r="75" spans="1:9" s="10" customFormat="1" ht="16.5" customHeight="1">
      <c r="A75" s="6">
        <f t="shared" si="18"/>
        <v>72</v>
      </c>
      <c r="B75" s="73" t="s">
        <v>1884</v>
      </c>
      <c r="C75" s="731">
        <v>0</v>
      </c>
      <c r="D75" s="731">
        <v>0</v>
      </c>
      <c r="E75" s="731">
        <f t="array" ref="E75">SUM(IF("331"&amp;B75=KHN&amp;KH,TH))</f>
        <v>2422625000</v>
      </c>
      <c r="F75" s="731">
        <f t="array" ref="F75">SUM(IF("331"&amp;B75=KHC&amp;KH,TH))</f>
        <v>2422625000</v>
      </c>
      <c r="G75" s="733">
        <f t="shared" si="32"/>
        <v>0</v>
      </c>
      <c r="H75" s="733">
        <f t="shared" si="33"/>
        <v>0</v>
      </c>
      <c r="I75" s="734"/>
    </row>
    <row r="76" spans="1:9" s="10" customFormat="1" ht="16.5" customHeight="1">
      <c r="A76" s="6">
        <f t="shared" si="18"/>
        <v>73</v>
      </c>
      <c r="B76" s="73" t="s">
        <v>1894</v>
      </c>
      <c r="C76" s="731">
        <v>0</v>
      </c>
      <c r="D76" s="731">
        <v>0</v>
      </c>
      <c r="E76" s="731">
        <f t="array" ref="E76">SUM(IF("331"&amp;B76=KHN&amp;KH,TH))</f>
        <v>1772255000</v>
      </c>
      <c r="F76" s="731">
        <f t="array" ref="F76">SUM(IF("331"&amp;B76=KHC&amp;KH,TH))</f>
        <v>1772255000</v>
      </c>
      <c r="G76" s="733">
        <f t="shared" si="25"/>
        <v>0</v>
      </c>
      <c r="H76" s="733">
        <f t="shared" si="26"/>
        <v>0</v>
      </c>
      <c r="I76" s="734"/>
    </row>
    <row r="77" spans="1:9" s="10" customFormat="1" ht="16.5" customHeight="1">
      <c r="A77" s="6">
        <f t="shared" si="18"/>
        <v>74</v>
      </c>
      <c r="B77" s="73" t="s">
        <v>1892</v>
      </c>
      <c r="C77" s="731">
        <v>0</v>
      </c>
      <c r="D77" s="731">
        <v>0</v>
      </c>
      <c r="E77" s="731">
        <f t="array" ref="E77">SUM(IF("331"&amp;B77=KHN&amp;KH,TH))</f>
        <v>2122218000</v>
      </c>
      <c r="F77" s="731">
        <f t="array" ref="F77">SUM(IF("331"&amp;B77=KHC&amp;KH,TH))</f>
        <v>2122218000</v>
      </c>
      <c r="G77" s="733">
        <f t="shared" si="25"/>
        <v>0</v>
      </c>
      <c r="H77" s="733">
        <f t="shared" si="26"/>
        <v>0</v>
      </c>
      <c r="I77" s="734"/>
    </row>
    <row r="78" spans="1:9" s="10" customFormat="1" ht="16.5" customHeight="1">
      <c r="A78" s="6"/>
      <c r="B78" s="73"/>
      <c r="C78" s="731"/>
      <c r="D78" s="731"/>
      <c r="E78" s="731"/>
      <c r="F78" s="731"/>
      <c r="G78" s="733"/>
      <c r="H78" s="733"/>
      <c r="I78" s="734"/>
    </row>
    <row r="79" spans="1:9" s="14" customFormat="1" ht="14.25" customHeight="1">
      <c r="A79" s="11"/>
      <c r="B79" s="12" t="s">
        <v>41</v>
      </c>
      <c r="C79" s="13">
        <f t="shared" ref="C79:H79" si="34">SUM(C4:C78)</f>
        <v>810000</v>
      </c>
      <c r="D79" s="13">
        <f t="shared" si="34"/>
        <v>35726031599</v>
      </c>
      <c r="E79" s="13">
        <f t="shared" si="34"/>
        <v>445819055962</v>
      </c>
      <c r="F79" s="13">
        <f t="shared" si="34"/>
        <v>421367562605</v>
      </c>
      <c r="G79" s="13">
        <f t="shared" si="34"/>
        <v>0</v>
      </c>
      <c r="H79" s="13">
        <f t="shared" si="34"/>
        <v>11273728242</v>
      </c>
    </row>
    <row r="81" spans="4:8">
      <c r="D81" s="213">
        <f>D79-CDPS!D40-C79</f>
        <v>0</v>
      </c>
      <c r="E81" s="15">
        <f>E79-CDPS!E40</f>
        <v>0</v>
      </c>
      <c r="F81" s="15">
        <f>F79-CDPS!F40</f>
        <v>0</v>
      </c>
      <c r="H81" s="213">
        <f>H79-G79-CDPS!H40</f>
        <v>0</v>
      </c>
    </row>
    <row r="83" spans="4:8">
      <c r="E83" s="213"/>
      <c r="F83" s="213"/>
    </row>
  </sheetData>
  <sortState ref="A5:J37">
    <sortCondition ref="B39:B70"/>
  </sortState>
  <mergeCells count="6">
    <mergeCell ref="A1:H1"/>
    <mergeCell ref="G2:H2"/>
    <mergeCell ref="A2:A3"/>
    <mergeCell ref="B2:B3"/>
    <mergeCell ref="C2:D2"/>
    <mergeCell ref="E2:F2"/>
  </mergeCells>
  <phoneticPr fontId="21" type="noConversion"/>
  <pageMargins left="0.8" right="0.2" top="0.22" bottom="0.06"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57"/>
  <sheetViews>
    <sheetView topLeftCell="A6" workbookViewId="0">
      <pane ySplit="8" topLeftCell="A14" activePane="bottomLeft" state="frozen"/>
      <selection activeCell="P41" sqref="P41"/>
      <selection pane="bottomLeft" activeCell="G25" activeCellId="2" sqref="G23:G24 G28 G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446" t="s">
        <v>49</v>
      </c>
      <c r="I1" s="1446"/>
      <c r="J1" s="1446"/>
    </row>
    <row r="2" spans="1:10" s="3" customFormat="1" ht="14.25" customHeight="1">
      <c r="A2" s="1" t="s">
        <v>15</v>
      </c>
      <c r="B2" s="16"/>
      <c r="C2" s="16"/>
      <c r="G2" s="17"/>
      <c r="H2" s="1447" t="s">
        <v>50</v>
      </c>
      <c r="I2" s="1447"/>
      <c r="J2" s="1447"/>
    </row>
    <row r="3" spans="1:10" s="3" customFormat="1" ht="14.25" customHeight="1">
      <c r="A3" s="4"/>
      <c r="B3" s="16"/>
      <c r="C3" s="16"/>
      <c r="G3" s="17"/>
      <c r="H3" s="1447"/>
      <c r="I3" s="1447"/>
      <c r="J3" s="1447"/>
    </row>
    <row r="4" spans="1:10" s="5" customFormat="1" ht="28.5" customHeight="1">
      <c r="A4" s="1453" t="s">
        <v>28</v>
      </c>
      <c r="B4" s="1453"/>
      <c r="C4" s="1453"/>
      <c r="D4" s="1453"/>
      <c r="E4" s="1453"/>
      <c r="F4" s="1453"/>
      <c r="G4" s="1453"/>
      <c r="H4" s="1453"/>
      <c r="I4" s="1453"/>
      <c r="J4" s="1453"/>
    </row>
    <row r="5" spans="1:10" s="18" customFormat="1" ht="14.25" customHeight="1">
      <c r="E5" s="19" t="s">
        <v>29</v>
      </c>
    </row>
    <row r="6" spans="1:10" s="18" customFormat="1" ht="14.25" customHeight="1">
      <c r="E6" s="19" t="s">
        <v>30</v>
      </c>
    </row>
    <row r="7" spans="1:10" s="18" customFormat="1" ht="14.25" customHeight="1">
      <c r="D7" s="20" t="s">
        <v>48</v>
      </c>
      <c r="E7" s="1448" t="s">
        <v>1886</v>
      </c>
      <c r="F7" s="1448"/>
      <c r="G7" s="1448"/>
      <c r="H7" s="1448"/>
    </row>
    <row r="8" spans="1:10" s="18" customFormat="1" ht="14.25" customHeight="1">
      <c r="E8" s="19" t="s">
        <v>31</v>
      </c>
    </row>
    <row r="9" spans="1:10" s="18" customFormat="1" ht="6.75" customHeight="1">
      <c r="B9" s="19"/>
      <c r="C9" s="1449"/>
      <c r="D9" s="1449"/>
      <c r="E9" s="1449"/>
      <c r="F9" s="1449"/>
      <c r="G9" s="1449"/>
      <c r="H9" s="1449"/>
      <c r="I9" s="1449"/>
      <c r="J9" s="1449"/>
    </row>
    <row r="10" spans="1:10" s="18" customFormat="1" ht="14.25" customHeight="1">
      <c r="A10" s="1418" t="s">
        <v>22</v>
      </c>
      <c r="B10" s="1450" t="s">
        <v>1</v>
      </c>
      <c r="C10" s="1450"/>
      <c r="D10" s="1418" t="s">
        <v>0</v>
      </c>
      <c r="E10" s="1418" t="s">
        <v>16</v>
      </c>
      <c r="F10" s="1418" t="s">
        <v>32</v>
      </c>
      <c r="G10" s="1451" t="s">
        <v>23</v>
      </c>
      <c r="H10" s="1452"/>
      <c r="I10" s="1451" t="s">
        <v>33</v>
      </c>
      <c r="J10" s="1452"/>
    </row>
    <row r="11" spans="1:10" s="18" customFormat="1" ht="24.75" customHeight="1">
      <c r="A11" s="1418"/>
      <c r="B11" s="29" t="s">
        <v>17</v>
      </c>
      <c r="C11" s="29" t="s">
        <v>34</v>
      </c>
      <c r="D11" s="1418"/>
      <c r="E11" s="1418"/>
      <c r="F11" s="1418"/>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75" customHeight="1">
      <c r="A13" s="21"/>
      <c r="B13" s="21"/>
      <c r="C13" s="21"/>
      <c r="D13" s="23" t="s">
        <v>7</v>
      </c>
      <c r="E13" s="21"/>
      <c r="F13" s="24"/>
      <c r="G13" s="24"/>
      <c r="H13" s="24"/>
      <c r="I13" s="70">
        <f>VLOOKUP($E$7,'331'!$B$4:$H$78,2,0)</f>
        <v>0</v>
      </c>
      <c r="J13" s="70">
        <f>VLOOKUP($E$7,'331'!$B$4:$H$78,3,0)</f>
        <v>2654935000</v>
      </c>
    </row>
    <row r="14" spans="1:10" s="18" customFormat="1" ht="18.75" customHeight="1">
      <c r="A14" s="9" t="e">
        <f ca="1">IF(ROWS($1:1)&gt;COUNT(Dong),"",OFFSET(TH!C$1,SMALL(Dong,ROWS($1:1)),))</f>
        <v>#REF!</v>
      </c>
      <c r="B14" s="9" t="e">
        <f ca="1">IF(ROWS($1:1)&gt;COUNT(Dong),"",OFFSET(TH!D$1,SMALL(Dong,ROWS($1:1)),))</f>
        <v>#REF!</v>
      </c>
      <c r="C14" s="9" t="e">
        <f ca="1">IF(ROWS($1:1)&gt;COUNT(Dong),"",OFFSET(TH!E$1,SMALL(Dong,ROWS($1:1)),))</f>
        <v>#REF!</v>
      </c>
      <c r="D14" s="328" t="e">
        <f ca="1">IF(ROWS($1:1)&gt;COUNT(Dong),"",OFFSET(TH!F$1,SMALL(Dong,ROWS($1:1)),))</f>
        <v>#REF!</v>
      </c>
      <c r="E14" s="69" t="e">
        <f ca="1">IF(ROWS($1:1)&gt;COUNT(Dong),"",IF(OFFSET(TH!N$1,SMALL(Dong,ROWS($1:1)),)="331",OFFSET(TH!O$1,SMALL(Dong,ROWS($1:1)),),OFFSET(TH!N$1,SMALL(Dong,ROWS($1:1)),)))</f>
        <v>#REF!</v>
      </c>
      <c r="F14" s="69"/>
      <c r="G14" s="81" t="e">
        <f ca="1">IF(ROWS($1:1)&gt;COUNT(Dong),"",IF(OFFSET(TH!N$1,SMALL(Dong,ROWS($1:1)),)="331",OFFSET(TH!M$1,SMALL(Dong,ROWS($1:1)),),0))</f>
        <v>#REF!</v>
      </c>
      <c r="H14" s="81" t="e">
        <f ca="1">IF(ROWS($1:1)&gt;COUNT(Dong),"",IF(OFFSET(TH!O$1,SMALL(Dong,ROWS($1:1)),)="331",OFFSET(TH!M$1,SMALL(Dong,ROWS($1:1)),),0))</f>
        <v>#REF!</v>
      </c>
      <c r="I14" s="25" t="e">
        <f t="shared" ref="I14:I15" ca="1" si="0">IF(D14&lt;&gt;"",MAX(I13+G14-H14-J13,0),0)</f>
        <v>#REF!</v>
      </c>
      <c r="J14" s="25" t="e">
        <f t="shared" ref="J14:J15" ca="1" si="1">IF(D14&lt;&gt;"",MAX(J13+H14-I13-G14,0),0)</f>
        <v>#REF!</v>
      </c>
    </row>
    <row r="15" spans="1:10" s="18" customFormat="1" ht="18.75" customHeight="1">
      <c r="A15" s="9" t="e">
        <f ca="1">IF(ROWS($1:2)&gt;COUNT(Dong),"",OFFSET(TH!C$1,SMALL(Dong,ROWS($1:2)),))</f>
        <v>#REF!</v>
      </c>
      <c r="B15" s="9" t="e">
        <f ca="1">IF(ROWS($1:2)&gt;COUNT(Dong),"",OFFSET(TH!D$1,SMALL(Dong,ROWS($1:2)),))</f>
        <v>#REF!</v>
      </c>
      <c r="C15" s="9" t="e">
        <f ca="1">IF(ROWS($1:2)&gt;COUNT(Dong),"",OFFSET(TH!E$1,SMALL(Dong,ROWS($1:2)),))</f>
        <v>#REF!</v>
      </c>
      <c r="D15" s="328" t="e">
        <f ca="1">IF(ROWS($1:2)&gt;COUNT(Dong),"",OFFSET(TH!F$1,SMALL(Dong,ROWS($1:2)),))</f>
        <v>#REF!</v>
      </c>
      <c r="E15" s="69" t="e">
        <f ca="1">IF(ROWS($1:2)&gt;COUNT(Dong),"",IF(OFFSET(TH!N$1,SMALL(Dong,ROWS($1:2)),)="331",OFFSET(TH!O$1,SMALL(Dong,ROWS($1:2)),),OFFSET(TH!N$1,SMALL(Dong,ROWS($1:2)),)))</f>
        <v>#REF!</v>
      </c>
      <c r="F15" s="69"/>
      <c r="G15" s="81" t="e">
        <f ca="1">IF(ROWS($1:2)&gt;COUNT(Dong),"",IF(OFFSET(TH!N$1,SMALL(Dong,ROWS($1:2)),)="331",OFFSET(TH!M$1,SMALL(Dong,ROWS($1:2)),),0))</f>
        <v>#REF!</v>
      </c>
      <c r="H15" s="81" t="e">
        <f ca="1">IF(ROWS($1:2)&gt;COUNT(Dong),"",IF(OFFSET(TH!O$1,SMALL(Dong,ROWS($1:2)),)="331",OFFSET(TH!M$1,SMALL(Dong,ROWS($1:2)),),0))</f>
        <v>#REF!</v>
      </c>
      <c r="I15" s="25" t="e">
        <f t="shared" ca="1" si="0"/>
        <v>#REF!</v>
      </c>
      <c r="J15" s="25" t="e">
        <f t="shared" ca="1" si="1"/>
        <v>#REF!</v>
      </c>
    </row>
    <row r="16" spans="1:10" s="18" customFormat="1" ht="18.75" customHeight="1">
      <c r="A16" s="9" t="e">
        <f ca="1">IF(ROWS($1:3)&gt;COUNT(Dong),"",OFFSET(TH!C$1,SMALL(Dong,ROWS($1:3)),))</f>
        <v>#REF!</v>
      </c>
      <c r="B16" s="9" t="e">
        <f ca="1">IF(ROWS($1:3)&gt;COUNT(Dong),"",OFFSET(TH!D$1,SMALL(Dong,ROWS($1:3)),))</f>
        <v>#REF!</v>
      </c>
      <c r="C16" s="9" t="e">
        <f ca="1">IF(ROWS($1:3)&gt;COUNT(Dong),"",OFFSET(TH!E$1,SMALL(Dong,ROWS($1:3)),))</f>
        <v>#REF!</v>
      </c>
      <c r="D16" s="328" t="e">
        <f ca="1">IF(ROWS($1:3)&gt;COUNT(Dong),"",OFFSET(TH!F$1,SMALL(Dong,ROWS($1:3)),))</f>
        <v>#REF!</v>
      </c>
      <c r="E16" s="69" t="e">
        <f ca="1">IF(ROWS($1:3)&gt;COUNT(Dong),"",IF(OFFSET(TH!N$1,SMALL(Dong,ROWS($1:3)),)="331",OFFSET(TH!O$1,SMALL(Dong,ROWS($1:3)),),OFFSET(TH!N$1,SMALL(Dong,ROWS($1:3)),)))</f>
        <v>#REF!</v>
      </c>
      <c r="F16" s="69"/>
      <c r="G16" s="81" t="e">
        <f ca="1">IF(ROWS($1:3)&gt;COUNT(Dong),"",IF(OFFSET(TH!N$1,SMALL(Dong,ROWS($1:3)),)="331",OFFSET(TH!M$1,SMALL(Dong,ROWS($1:3)),),0))</f>
        <v>#REF!</v>
      </c>
      <c r="H16" s="81" t="e">
        <f ca="1">IF(ROWS($1:3)&gt;COUNT(Dong),"",IF(OFFSET(TH!O$1,SMALL(Dong,ROWS($1:3)),)="331",OFFSET(TH!M$1,SMALL(Dong,ROWS($1:3)),),0))</f>
        <v>#REF!</v>
      </c>
      <c r="I16" s="25" t="e">
        <f t="shared" ref="I16:I29" ca="1" si="2">IF(D16&lt;&gt;"",MAX(I15+G16-H16-J15,0),0)</f>
        <v>#REF!</v>
      </c>
      <c r="J16" s="25" t="e">
        <f t="shared" ref="J16:J29" ca="1" si="3">IF(D16&lt;&gt;"",MAX(J15+H16-I15-G16,0),0)</f>
        <v>#REF!</v>
      </c>
    </row>
    <row r="17" spans="1:10" s="18" customFormat="1" ht="18.75" customHeight="1">
      <c r="A17" s="9" t="e">
        <f ca="1">IF(ROWS($1:4)&gt;COUNT(Dong),"",OFFSET(TH!C$1,SMALL(Dong,ROWS($1:4)),))</f>
        <v>#REF!</v>
      </c>
      <c r="B17" s="9" t="e">
        <f ca="1">IF(ROWS($1:4)&gt;COUNT(Dong),"",OFFSET(TH!D$1,SMALL(Dong,ROWS($1:4)),))</f>
        <v>#REF!</v>
      </c>
      <c r="C17" s="9" t="e">
        <f ca="1">IF(ROWS($1:4)&gt;COUNT(Dong),"",OFFSET(TH!E$1,SMALL(Dong,ROWS($1:4)),))</f>
        <v>#REF!</v>
      </c>
      <c r="D17" s="328" t="e">
        <f ca="1">IF(ROWS($1:4)&gt;COUNT(Dong),"",OFFSET(TH!F$1,SMALL(Dong,ROWS($1:4)),))</f>
        <v>#REF!</v>
      </c>
      <c r="E17" s="69" t="e">
        <f ca="1">IF(ROWS($1:4)&gt;COUNT(Dong),"",IF(OFFSET(TH!N$1,SMALL(Dong,ROWS($1:4)),)="331",OFFSET(TH!O$1,SMALL(Dong,ROWS($1:4)),),OFFSET(TH!N$1,SMALL(Dong,ROWS($1:4)),)))</f>
        <v>#REF!</v>
      </c>
      <c r="F17" s="69"/>
      <c r="G17" s="81" t="e">
        <f ca="1">IF(ROWS($1:4)&gt;COUNT(Dong),"",IF(OFFSET(TH!N$1,SMALL(Dong,ROWS($1:4)),)="331",OFFSET(TH!M$1,SMALL(Dong,ROWS($1:4)),),0))</f>
        <v>#REF!</v>
      </c>
      <c r="H17" s="81" t="e">
        <f ca="1">IF(ROWS($1:4)&gt;COUNT(Dong),"",IF(OFFSET(TH!O$1,SMALL(Dong,ROWS($1:4)),)="331",OFFSET(TH!M$1,SMALL(Dong,ROWS($1:4)),),0))</f>
        <v>#REF!</v>
      </c>
      <c r="I17" s="25" t="e">
        <f t="shared" ca="1" si="2"/>
        <v>#REF!</v>
      </c>
      <c r="J17" s="25" t="e">
        <f t="shared" ca="1" si="3"/>
        <v>#REF!</v>
      </c>
    </row>
    <row r="18" spans="1:10" s="18" customFormat="1" ht="18.75" customHeight="1">
      <c r="A18" s="9" t="e">
        <f ca="1">IF(ROWS($1:5)&gt;COUNT(Dong),"",OFFSET(TH!C$1,SMALL(Dong,ROWS($1:5)),))</f>
        <v>#REF!</v>
      </c>
      <c r="B18" s="9" t="e">
        <f ca="1">IF(ROWS($1:5)&gt;COUNT(Dong),"",OFFSET(TH!D$1,SMALL(Dong,ROWS($1:5)),))</f>
        <v>#REF!</v>
      </c>
      <c r="C18" s="9" t="e">
        <f ca="1">IF(ROWS($1:5)&gt;COUNT(Dong),"",OFFSET(TH!E$1,SMALL(Dong,ROWS($1:5)),))</f>
        <v>#REF!</v>
      </c>
      <c r="D18" s="328" t="e">
        <f ca="1">IF(ROWS($1:5)&gt;COUNT(Dong),"",OFFSET(TH!F$1,SMALL(Dong,ROWS($1:5)),))</f>
        <v>#REF!</v>
      </c>
      <c r="E18" s="69" t="e">
        <f ca="1">IF(ROWS($1:5)&gt;COUNT(Dong),"",IF(OFFSET(TH!N$1,SMALL(Dong,ROWS($1:5)),)="331",OFFSET(TH!O$1,SMALL(Dong,ROWS($1:5)),),OFFSET(TH!N$1,SMALL(Dong,ROWS($1:5)),)))</f>
        <v>#REF!</v>
      </c>
      <c r="F18" s="69"/>
      <c r="G18" s="81" t="e">
        <f ca="1">IF(ROWS($1:5)&gt;COUNT(Dong),"",IF(OFFSET(TH!N$1,SMALL(Dong,ROWS($1:5)),)="331",OFFSET(TH!M$1,SMALL(Dong,ROWS($1:5)),),0))</f>
        <v>#REF!</v>
      </c>
      <c r="H18" s="81" t="e">
        <f ca="1">IF(ROWS($1:5)&gt;COUNT(Dong),"",IF(OFFSET(TH!O$1,SMALL(Dong,ROWS($1:5)),)="331",OFFSET(TH!M$1,SMALL(Dong,ROWS($1:5)),),0))</f>
        <v>#REF!</v>
      </c>
      <c r="I18" s="25" t="e">
        <f t="shared" ca="1" si="2"/>
        <v>#REF!</v>
      </c>
      <c r="J18" s="25" t="e">
        <f t="shared" ca="1" si="3"/>
        <v>#REF!</v>
      </c>
    </row>
    <row r="19" spans="1:10" s="18" customFormat="1" ht="18.75" customHeight="1">
      <c r="A19" s="9" t="e">
        <f ca="1">IF(ROWS($1:6)&gt;COUNT(Dong),"",OFFSET(TH!C$1,SMALL(Dong,ROWS($1:6)),))</f>
        <v>#REF!</v>
      </c>
      <c r="B19" s="9" t="e">
        <f ca="1">IF(ROWS($1:6)&gt;COUNT(Dong),"",OFFSET(TH!D$1,SMALL(Dong,ROWS($1:6)),))</f>
        <v>#REF!</v>
      </c>
      <c r="C19" s="9" t="e">
        <f ca="1">IF(ROWS($1:6)&gt;COUNT(Dong),"",OFFSET(TH!E$1,SMALL(Dong,ROWS($1:6)),))</f>
        <v>#REF!</v>
      </c>
      <c r="D19" s="328" t="e">
        <f ca="1">IF(ROWS($1:6)&gt;COUNT(Dong),"",OFFSET(TH!F$1,SMALL(Dong,ROWS($1:6)),))</f>
        <v>#REF!</v>
      </c>
      <c r="E19" s="69" t="e">
        <f ca="1">IF(ROWS($1:6)&gt;COUNT(Dong),"",IF(OFFSET(TH!N$1,SMALL(Dong,ROWS($1:6)),)="331",OFFSET(TH!O$1,SMALL(Dong,ROWS($1:6)),),OFFSET(TH!N$1,SMALL(Dong,ROWS($1:6)),)))</f>
        <v>#REF!</v>
      </c>
      <c r="F19" s="69"/>
      <c r="G19" s="81" t="e">
        <f ca="1">IF(ROWS($1:6)&gt;COUNT(Dong),"",IF(OFFSET(TH!N$1,SMALL(Dong,ROWS($1:6)),)="331",OFFSET(TH!M$1,SMALL(Dong,ROWS($1:6)),),0))</f>
        <v>#REF!</v>
      </c>
      <c r="H19" s="81" t="e">
        <f ca="1">IF(ROWS($1:6)&gt;COUNT(Dong),"",IF(OFFSET(TH!O$1,SMALL(Dong,ROWS($1:6)),)="331",OFFSET(TH!M$1,SMALL(Dong,ROWS($1:6)),),0))</f>
        <v>#REF!</v>
      </c>
      <c r="I19" s="25" t="e">
        <f t="shared" ca="1" si="2"/>
        <v>#REF!</v>
      </c>
      <c r="J19" s="25" t="e">
        <f t="shared" ca="1" si="3"/>
        <v>#REF!</v>
      </c>
    </row>
    <row r="20" spans="1:10" s="18" customFormat="1" ht="18.75" customHeight="1">
      <c r="A20" s="9" t="e">
        <f ca="1">IF(ROWS($1:7)&gt;COUNT(Dong),"",OFFSET(TH!C$1,SMALL(Dong,ROWS($1:7)),))</f>
        <v>#REF!</v>
      </c>
      <c r="B20" s="9" t="e">
        <f ca="1">IF(ROWS($1:7)&gt;COUNT(Dong),"",OFFSET(TH!D$1,SMALL(Dong,ROWS($1:7)),))</f>
        <v>#REF!</v>
      </c>
      <c r="C20" s="9" t="e">
        <f ca="1">IF(ROWS($1:7)&gt;COUNT(Dong),"",OFFSET(TH!E$1,SMALL(Dong,ROWS($1:7)),))</f>
        <v>#REF!</v>
      </c>
      <c r="D20" s="328" t="e">
        <f ca="1">IF(ROWS($1:7)&gt;COUNT(Dong),"",OFFSET(TH!F$1,SMALL(Dong,ROWS($1:7)),))</f>
        <v>#REF!</v>
      </c>
      <c r="E20" s="69" t="e">
        <f ca="1">IF(ROWS($1:7)&gt;COUNT(Dong),"",IF(OFFSET(TH!N$1,SMALL(Dong,ROWS($1:7)),)="331",OFFSET(TH!O$1,SMALL(Dong,ROWS($1:7)),),OFFSET(TH!N$1,SMALL(Dong,ROWS($1:7)),)))</f>
        <v>#REF!</v>
      </c>
      <c r="F20" s="69"/>
      <c r="G20" s="81" t="e">
        <f ca="1">IF(ROWS($1:7)&gt;COUNT(Dong),"",IF(OFFSET(TH!N$1,SMALL(Dong,ROWS($1:7)),)="331",OFFSET(TH!M$1,SMALL(Dong,ROWS($1:7)),),0))</f>
        <v>#REF!</v>
      </c>
      <c r="H20" s="81" t="e">
        <f ca="1">IF(ROWS($1:7)&gt;COUNT(Dong),"",IF(OFFSET(TH!O$1,SMALL(Dong,ROWS($1:7)),)="331",OFFSET(TH!M$1,SMALL(Dong,ROWS($1:7)),),0))</f>
        <v>#REF!</v>
      </c>
      <c r="I20" s="25" t="e">
        <f t="shared" ca="1" si="2"/>
        <v>#REF!</v>
      </c>
      <c r="J20" s="25" t="e">
        <f t="shared" ca="1" si="3"/>
        <v>#REF!</v>
      </c>
    </row>
    <row r="21" spans="1:10" s="18" customFormat="1" ht="18.75" customHeight="1">
      <c r="A21" s="9" t="e">
        <f ca="1">IF(ROWS($1:8)&gt;COUNT(Dong),"",OFFSET(TH!C$1,SMALL(Dong,ROWS($1:8)),))</f>
        <v>#REF!</v>
      </c>
      <c r="B21" s="9" t="e">
        <f ca="1">IF(ROWS($1:8)&gt;COUNT(Dong),"",OFFSET(TH!D$1,SMALL(Dong,ROWS($1:8)),))</f>
        <v>#REF!</v>
      </c>
      <c r="C21" s="9" t="e">
        <f ca="1">IF(ROWS($1:8)&gt;COUNT(Dong),"",OFFSET(TH!E$1,SMALL(Dong,ROWS($1:8)),))</f>
        <v>#REF!</v>
      </c>
      <c r="D21" s="328" t="e">
        <f ca="1">IF(ROWS($1:8)&gt;COUNT(Dong),"",OFFSET(TH!F$1,SMALL(Dong,ROWS($1:8)),))</f>
        <v>#REF!</v>
      </c>
      <c r="E21" s="69" t="e">
        <f ca="1">IF(ROWS($1:8)&gt;COUNT(Dong),"",IF(OFFSET(TH!N$1,SMALL(Dong,ROWS($1:8)),)="331",OFFSET(TH!O$1,SMALL(Dong,ROWS($1:8)),),OFFSET(TH!N$1,SMALL(Dong,ROWS($1:8)),)))</f>
        <v>#REF!</v>
      </c>
      <c r="F21" s="69"/>
      <c r="G21" s="81" t="e">
        <f ca="1">IF(ROWS($1:8)&gt;COUNT(Dong),"",IF(OFFSET(TH!N$1,SMALL(Dong,ROWS($1:8)),)="331",OFFSET(TH!M$1,SMALL(Dong,ROWS($1:8)),),0))</f>
        <v>#REF!</v>
      </c>
      <c r="H21" s="81" t="e">
        <f ca="1">IF(ROWS($1:8)&gt;COUNT(Dong),"",IF(OFFSET(TH!O$1,SMALL(Dong,ROWS($1:8)),)="331",OFFSET(TH!M$1,SMALL(Dong,ROWS($1:8)),),0))</f>
        <v>#REF!</v>
      </c>
      <c r="I21" s="25" t="e">
        <f t="shared" ca="1" si="2"/>
        <v>#REF!</v>
      </c>
      <c r="J21" s="25" t="e">
        <f t="shared" ca="1" si="3"/>
        <v>#REF!</v>
      </c>
    </row>
    <row r="22" spans="1:10" s="18" customFormat="1" ht="18.75" customHeight="1">
      <c r="A22" s="9" t="e">
        <f ca="1">IF(ROWS($1:9)&gt;COUNT(Dong),"",OFFSET(TH!C$1,SMALL(Dong,ROWS($1:9)),))</f>
        <v>#REF!</v>
      </c>
      <c r="B22" s="9" t="e">
        <f ca="1">IF(ROWS($1:9)&gt;COUNT(Dong),"",OFFSET(TH!D$1,SMALL(Dong,ROWS($1:9)),))</f>
        <v>#REF!</v>
      </c>
      <c r="C22" s="9" t="e">
        <f ca="1">IF(ROWS($1:9)&gt;COUNT(Dong),"",OFFSET(TH!E$1,SMALL(Dong,ROWS($1:9)),))</f>
        <v>#REF!</v>
      </c>
      <c r="D22" s="328" t="e">
        <f ca="1">IF(ROWS($1:9)&gt;COUNT(Dong),"",OFFSET(TH!F$1,SMALL(Dong,ROWS($1:9)),))</f>
        <v>#REF!</v>
      </c>
      <c r="E22" s="69" t="e">
        <f ca="1">IF(ROWS($1:9)&gt;COUNT(Dong),"",IF(OFFSET(TH!N$1,SMALL(Dong,ROWS($1:9)),)="331",OFFSET(TH!O$1,SMALL(Dong,ROWS($1:9)),),OFFSET(TH!N$1,SMALL(Dong,ROWS($1:9)),)))</f>
        <v>#REF!</v>
      </c>
      <c r="F22" s="69"/>
      <c r="G22" s="81" t="e">
        <f ca="1">IF(ROWS($1:9)&gt;COUNT(Dong),"",IF(OFFSET(TH!N$1,SMALL(Dong,ROWS($1:9)),)="331",OFFSET(TH!M$1,SMALL(Dong,ROWS($1:9)),),0))</f>
        <v>#REF!</v>
      </c>
      <c r="H22" s="81" t="e">
        <f ca="1">IF(ROWS($1:9)&gt;COUNT(Dong),"",IF(OFFSET(TH!O$1,SMALL(Dong,ROWS($1:9)),)="331",OFFSET(TH!M$1,SMALL(Dong,ROWS($1:9)),),0))</f>
        <v>#REF!</v>
      </c>
      <c r="I22" s="25" t="e">
        <f t="shared" ca="1" si="2"/>
        <v>#REF!</v>
      </c>
      <c r="J22" s="25" t="e">
        <f t="shared" ca="1" si="3"/>
        <v>#REF!</v>
      </c>
    </row>
    <row r="23" spans="1:10" s="18" customFormat="1" ht="18.75" customHeight="1">
      <c r="A23" s="9" t="e">
        <f ca="1">IF(ROWS($1:10)&gt;COUNT(Dong),"",OFFSET(TH!C$1,SMALL(Dong,ROWS($1:10)),))</f>
        <v>#REF!</v>
      </c>
      <c r="B23" s="9" t="e">
        <f ca="1">IF(ROWS($1:10)&gt;COUNT(Dong),"",OFFSET(TH!D$1,SMALL(Dong,ROWS($1:10)),))</f>
        <v>#REF!</v>
      </c>
      <c r="C23" s="9" t="e">
        <f ca="1">IF(ROWS($1:10)&gt;COUNT(Dong),"",OFFSET(TH!E$1,SMALL(Dong,ROWS($1:10)),))</f>
        <v>#REF!</v>
      </c>
      <c r="D23" s="328" t="e">
        <f ca="1">IF(ROWS($1:10)&gt;COUNT(Dong),"",OFFSET(TH!F$1,SMALL(Dong,ROWS($1:10)),))</f>
        <v>#REF!</v>
      </c>
      <c r="E23" s="69" t="e">
        <f ca="1">IF(ROWS($1:10)&gt;COUNT(Dong),"",IF(OFFSET(TH!N$1,SMALL(Dong,ROWS($1:10)),)="331",OFFSET(TH!O$1,SMALL(Dong,ROWS($1:10)),),OFFSET(TH!N$1,SMALL(Dong,ROWS($1:10)),)))</f>
        <v>#REF!</v>
      </c>
      <c r="F23" s="69"/>
      <c r="G23" s="81" t="e">
        <f ca="1">IF(ROWS($1:10)&gt;COUNT(Dong),"",IF(OFFSET(TH!N$1,SMALL(Dong,ROWS($1:10)),)="331",OFFSET(TH!M$1,SMALL(Dong,ROWS($1:10)),),0))</f>
        <v>#REF!</v>
      </c>
      <c r="H23" s="81" t="e">
        <f ca="1">IF(ROWS($1:10)&gt;COUNT(Dong),"",IF(OFFSET(TH!O$1,SMALL(Dong,ROWS($1:10)),)="331",OFFSET(TH!M$1,SMALL(Dong,ROWS($1:10)),),0))</f>
        <v>#REF!</v>
      </c>
      <c r="I23" s="25" t="e">
        <f t="shared" ca="1" si="2"/>
        <v>#REF!</v>
      </c>
      <c r="J23" s="25" t="e">
        <f t="shared" ca="1" si="3"/>
        <v>#REF!</v>
      </c>
    </row>
    <row r="24" spans="1:10" s="18" customFormat="1" ht="18.75" customHeight="1">
      <c r="A24" s="9" t="e">
        <f ca="1">IF(ROWS($1:11)&gt;COUNT(Dong),"",OFFSET(TH!C$1,SMALL(Dong,ROWS($1:11)),))</f>
        <v>#REF!</v>
      </c>
      <c r="B24" s="9" t="e">
        <f ca="1">IF(ROWS($1:11)&gt;COUNT(Dong),"",OFFSET(TH!D$1,SMALL(Dong,ROWS($1:11)),))</f>
        <v>#REF!</v>
      </c>
      <c r="C24" s="9" t="e">
        <f ca="1">IF(ROWS($1:11)&gt;COUNT(Dong),"",OFFSET(TH!E$1,SMALL(Dong,ROWS($1:11)),))</f>
        <v>#REF!</v>
      </c>
      <c r="D24" s="328" t="e">
        <f ca="1">IF(ROWS($1:11)&gt;COUNT(Dong),"",OFFSET(TH!F$1,SMALL(Dong,ROWS($1:11)),))</f>
        <v>#REF!</v>
      </c>
      <c r="E24" s="69" t="e">
        <f ca="1">IF(ROWS($1:11)&gt;COUNT(Dong),"",IF(OFFSET(TH!N$1,SMALL(Dong,ROWS($1:11)),)="331",OFFSET(TH!O$1,SMALL(Dong,ROWS($1:11)),),OFFSET(TH!N$1,SMALL(Dong,ROWS($1:11)),)))</f>
        <v>#REF!</v>
      </c>
      <c r="F24" s="69"/>
      <c r="G24" s="81" t="e">
        <f ca="1">IF(ROWS($1:11)&gt;COUNT(Dong),"",IF(OFFSET(TH!N$1,SMALL(Dong,ROWS($1:11)),)="331",OFFSET(TH!M$1,SMALL(Dong,ROWS($1:11)),),0))</f>
        <v>#REF!</v>
      </c>
      <c r="H24" s="81" t="e">
        <f ca="1">IF(ROWS($1:11)&gt;COUNT(Dong),"",IF(OFFSET(TH!O$1,SMALL(Dong,ROWS($1:11)),)="331",OFFSET(TH!M$1,SMALL(Dong,ROWS($1:11)),),0))</f>
        <v>#REF!</v>
      </c>
      <c r="I24" s="25" t="e">
        <f t="shared" ca="1" si="2"/>
        <v>#REF!</v>
      </c>
      <c r="J24" s="25" t="e">
        <f t="shared" ca="1" si="3"/>
        <v>#REF!</v>
      </c>
    </row>
    <row r="25" spans="1:10" s="18" customFormat="1" ht="18.75" customHeight="1">
      <c r="A25" s="9" t="e">
        <f ca="1">IF(ROWS($1:12)&gt;COUNT(Dong),"",OFFSET(TH!C$1,SMALL(Dong,ROWS($1:12)),))</f>
        <v>#REF!</v>
      </c>
      <c r="B25" s="9" t="e">
        <f ca="1">IF(ROWS($1:12)&gt;COUNT(Dong),"",OFFSET(TH!D$1,SMALL(Dong,ROWS($1:12)),))</f>
        <v>#REF!</v>
      </c>
      <c r="C25" s="9" t="e">
        <f ca="1">IF(ROWS($1:12)&gt;COUNT(Dong),"",OFFSET(TH!E$1,SMALL(Dong,ROWS($1:12)),))</f>
        <v>#REF!</v>
      </c>
      <c r="D25" s="328" t="e">
        <f ca="1">IF(ROWS($1:12)&gt;COUNT(Dong),"",OFFSET(TH!F$1,SMALL(Dong,ROWS($1:12)),))</f>
        <v>#REF!</v>
      </c>
      <c r="E25" s="69" t="e">
        <f ca="1">IF(ROWS($1:12)&gt;COUNT(Dong),"",IF(OFFSET(TH!N$1,SMALL(Dong,ROWS($1:12)),)="331",OFFSET(TH!O$1,SMALL(Dong,ROWS($1:12)),),OFFSET(TH!N$1,SMALL(Dong,ROWS($1:12)),)))</f>
        <v>#REF!</v>
      </c>
      <c r="F25" s="69"/>
      <c r="G25" s="81" t="e">
        <f ca="1">IF(ROWS($1:12)&gt;COUNT(Dong),"",IF(OFFSET(TH!N$1,SMALL(Dong,ROWS($1:12)),)="331",OFFSET(TH!M$1,SMALL(Dong,ROWS($1:12)),),0))</f>
        <v>#REF!</v>
      </c>
      <c r="H25" s="81" t="e">
        <f ca="1">IF(ROWS($1:12)&gt;COUNT(Dong),"",IF(OFFSET(TH!O$1,SMALL(Dong,ROWS($1:12)),)="331",OFFSET(TH!M$1,SMALL(Dong,ROWS($1:12)),),0))</f>
        <v>#REF!</v>
      </c>
      <c r="I25" s="25" t="e">
        <f t="shared" ca="1" si="2"/>
        <v>#REF!</v>
      </c>
      <c r="J25" s="25" t="e">
        <f t="shared" ca="1" si="3"/>
        <v>#REF!</v>
      </c>
    </row>
    <row r="26" spans="1:10" s="18" customFormat="1" ht="18.75" customHeight="1">
      <c r="A26" s="9" t="e">
        <f ca="1">IF(ROWS($1:13)&gt;COUNT(Dong),"",OFFSET(TH!C$1,SMALL(Dong,ROWS($1:13)),))</f>
        <v>#REF!</v>
      </c>
      <c r="B26" s="9" t="e">
        <f ca="1">IF(ROWS($1:13)&gt;COUNT(Dong),"",OFFSET(TH!D$1,SMALL(Dong,ROWS($1:13)),))</f>
        <v>#REF!</v>
      </c>
      <c r="C26" s="9" t="e">
        <f ca="1">IF(ROWS($1:13)&gt;COUNT(Dong),"",OFFSET(TH!E$1,SMALL(Dong,ROWS($1:13)),))</f>
        <v>#REF!</v>
      </c>
      <c r="D26" s="328" t="e">
        <f ca="1">IF(ROWS($1:13)&gt;COUNT(Dong),"",OFFSET(TH!F$1,SMALL(Dong,ROWS($1:13)),))</f>
        <v>#REF!</v>
      </c>
      <c r="E26" s="69" t="e">
        <f ca="1">IF(ROWS($1:13)&gt;COUNT(Dong),"",IF(OFFSET(TH!N$1,SMALL(Dong,ROWS($1:13)),)="331",OFFSET(TH!O$1,SMALL(Dong,ROWS($1:13)),),OFFSET(TH!N$1,SMALL(Dong,ROWS($1:13)),)))</f>
        <v>#REF!</v>
      </c>
      <c r="F26" s="69"/>
      <c r="G26" s="81" t="e">
        <f ca="1">IF(ROWS($1:13)&gt;COUNT(Dong),"",IF(OFFSET(TH!N$1,SMALL(Dong,ROWS($1:13)),)="331",OFFSET(TH!M$1,SMALL(Dong,ROWS($1:13)),),0))</f>
        <v>#REF!</v>
      </c>
      <c r="H26" s="81" t="e">
        <f ca="1">IF(ROWS($1:13)&gt;COUNT(Dong),"",IF(OFFSET(TH!O$1,SMALL(Dong,ROWS($1:13)),)="331",OFFSET(TH!M$1,SMALL(Dong,ROWS($1:13)),),0))</f>
        <v>#REF!</v>
      </c>
      <c r="I26" s="25" t="e">
        <f t="shared" ca="1" si="2"/>
        <v>#REF!</v>
      </c>
      <c r="J26" s="25" t="e">
        <f t="shared" ca="1" si="3"/>
        <v>#REF!</v>
      </c>
    </row>
    <row r="27" spans="1:10" s="18" customFormat="1" ht="18.75" customHeight="1">
      <c r="A27" s="9" t="e">
        <f ca="1">IF(ROWS($1:14)&gt;COUNT(Dong),"",OFFSET(TH!C$1,SMALL(Dong,ROWS($1:14)),))</f>
        <v>#REF!</v>
      </c>
      <c r="B27" s="9" t="e">
        <f ca="1">IF(ROWS($1:14)&gt;COUNT(Dong),"",OFFSET(TH!D$1,SMALL(Dong,ROWS($1:14)),))</f>
        <v>#REF!</v>
      </c>
      <c r="C27" s="9" t="e">
        <f ca="1">IF(ROWS($1:14)&gt;COUNT(Dong),"",OFFSET(TH!E$1,SMALL(Dong,ROWS($1:14)),))</f>
        <v>#REF!</v>
      </c>
      <c r="D27" s="328" t="e">
        <f ca="1">IF(ROWS($1:14)&gt;COUNT(Dong),"",OFFSET(TH!F$1,SMALL(Dong,ROWS($1:14)),))</f>
        <v>#REF!</v>
      </c>
      <c r="E27" s="69" t="e">
        <f ca="1">IF(ROWS($1:14)&gt;COUNT(Dong),"",IF(OFFSET(TH!N$1,SMALL(Dong,ROWS($1:14)),)="331",OFFSET(TH!O$1,SMALL(Dong,ROWS($1:14)),),OFFSET(TH!N$1,SMALL(Dong,ROWS($1:14)),)))</f>
        <v>#REF!</v>
      </c>
      <c r="F27" s="69"/>
      <c r="G27" s="81" t="e">
        <f ca="1">IF(ROWS($1:14)&gt;COUNT(Dong),"",IF(OFFSET(TH!N$1,SMALL(Dong,ROWS($1:14)),)="331",OFFSET(TH!M$1,SMALL(Dong,ROWS($1:14)),),0))</f>
        <v>#REF!</v>
      </c>
      <c r="H27" s="81" t="e">
        <f ca="1">IF(ROWS($1:14)&gt;COUNT(Dong),"",IF(OFFSET(TH!O$1,SMALL(Dong,ROWS($1:14)),)="331",OFFSET(TH!M$1,SMALL(Dong,ROWS($1:14)),),0))</f>
        <v>#REF!</v>
      </c>
      <c r="I27" s="25" t="e">
        <f t="shared" ca="1" si="2"/>
        <v>#REF!</v>
      </c>
      <c r="J27" s="25" t="e">
        <f t="shared" ca="1" si="3"/>
        <v>#REF!</v>
      </c>
    </row>
    <row r="28" spans="1:10" s="18" customFormat="1" ht="18.75" customHeight="1">
      <c r="A28" s="9" t="e">
        <f ca="1">IF(ROWS($1:15)&gt;COUNT(Dong),"",OFFSET(TH!C$1,SMALL(Dong,ROWS($1:15)),))</f>
        <v>#REF!</v>
      </c>
      <c r="B28" s="9" t="e">
        <f ca="1">IF(ROWS($1:15)&gt;COUNT(Dong),"",OFFSET(TH!D$1,SMALL(Dong,ROWS($1:15)),))</f>
        <v>#REF!</v>
      </c>
      <c r="C28" s="9" t="e">
        <f ca="1">IF(ROWS($1:15)&gt;COUNT(Dong),"",OFFSET(TH!E$1,SMALL(Dong,ROWS($1:15)),))</f>
        <v>#REF!</v>
      </c>
      <c r="D28" s="328" t="e">
        <f ca="1">IF(ROWS($1:15)&gt;COUNT(Dong),"",OFFSET(TH!F$1,SMALL(Dong,ROWS($1:15)),))</f>
        <v>#REF!</v>
      </c>
      <c r="E28" s="69" t="e">
        <f ca="1">IF(ROWS($1:15)&gt;COUNT(Dong),"",IF(OFFSET(TH!N$1,SMALL(Dong,ROWS($1:15)),)="331",OFFSET(TH!O$1,SMALL(Dong,ROWS($1:15)),),OFFSET(TH!N$1,SMALL(Dong,ROWS($1:15)),)))</f>
        <v>#REF!</v>
      </c>
      <c r="F28" s="69"/>
      <c r="G28" s="81" t="e">
        <f ca="1">IF(ROWS($1:15)&gt;COUNT(Dong),"",IF(OFFSET(TH!N$1,SMALL(Dong,ROWS($1:15)),)="331",OFFSET(TH!M$1,SMALL(Dong,ROWS($1:15)),),0))</f>
        <v>#REF!</v>
      </c>
      <c r="H28" s="81" t="e">
        <f ca="1">IF(ROWS($1:15)&gt;COUNT(Dong),"",IF(OFFSET(TH!O$1,SMALL(Dong,ROWS($1:15)),)="331",OFFSET(TH!M$1,SMALL(Dong,ROWS($1:15)),),0))</f>
        <v>#REF!</v>
      </c>
      <c r="I28" s="25" t="e">
        <f t="shared" ca="1" si="2"/>
        <v>#REF!</v>
      </c>
      <c r="J28" s="25" t="e">
        <f t="shared" ca="1" si="3"/>
        <v>#REF!</v>
      </c>
    </row>
    <row r="29" spans="1:10" s="18" customFormat="1" ht="18.75" customHeight="1">
      <c r="A29" s="9" t="e">
        <f ca="1">IF(ROWS($1:16)&gt;COUNT(Dong),"",OFFSET(TH!C$1,SMALL(Dong,ROWS($1:16)),))</f>
        <v>#REF!</v>
      </c>
      <c r="B29" s="9" t="e">
        <f ca="1">IF(ROWS($1:16)&gt;COUNT(Dong),"",OFFSET(TH!D$1,SMALL(Dong,ROWS($1:16)),))</f>
        <v>#REF!</v>
      </c>
      <c r="C29" s="9" t="e">
        <f ca="1">IF(ROWS($1:16)&gt;COUNT(Dong),"",OFFSET(TH!E$1,SMALL(Dong,ROWS($1:16)),))</f>
        <v>#REF!</v>
      </c>
      <c r="D29" s="328" t="e">
        <f ca="1">IF(ROWS($1:16)&gt;COUNT(Dong),"",OFFSET(TH!F$1,SMALL(Dong,ROWS($1:16)),))</f>
        <v>#REF!</v>
      </c>
      <c r="E29" s="69" t="e">
        <f ca="1">IF(ROWS($1:16)&gt;COUNT(Dong),"",IF(OFFSET(TH!N$1,SMALL(Dong,ROWS($1:16)),)="331",OFFSET(TH!O$1,SMALL(Dong,ROWS($1:16)),),OFFSET(TH!N$1,SMALL(Dong,ROWS($1:16)),)))</f>
        <v>#REF!</v>
      </c>
      <c r="F29" s="69"/>
      <c r="G29" s="81" t="e">
        <f ca="1">IF(ROWS($1:16)&gt;COUNT(Dong),"",IF(OFFSET(TH!N$1,SMALL(Dong,ROWS($1:16)),)="331",OFFSET(TH!M$1,SMALL(Dong,ROWS($1:16)),),0))</f>
        <v>#REF!</v>
      </c>
      <c r="H29" s="81" t="e">
        <f ca="1">IF(ROWS($1:16)&gt;COUNT(Dong),"",IF(OFFSET(TH!O$1,SMALL(Dong,ROWS($1:16)),)="331",OFFSET(TH!M$1,SMALL(Dong,ROWS($1:16)),),0))</f>
        <v>#REF!</v>
      </c>
      <c r="I29" s="25" t="e">
        <f t="shared" ca="1" si="2"/>
        <v>#REF!</v>
      </c>
      <c r="J29" s="25" t="e">
        <f t="shared" ca="1" si="3"/>
        <v>#REF!</v>
      </c>
    </row>
    <row r="30" spans="1:10" s="18" customFormat="1" ht="18.75" customHeight="1">
      <c r="A30" s="9" t="str">
        <f ca="1">IF(ROWS($1:17)&gt;COUNT(Dong),"",OFFSET(TH!C$1,SMALL(Dong,ROWS($1:17)),))</f>
        <v/>
      </c>
      <c r="B30" s="9" t="str">
        <f ca="1">IF(ROWS($1:17)&gt;COUNT(Dong),"",OFFSET(TH!D$1,SMALL(Dong,ROWS($1:17)),))</f>
        <v/>
      </c>
      <c r="C30" s="9" t="str">
        <f ca="1">IF(ROWS($1:17)&gt;COUNT(Dong),"",OFFSET(TH!E$1,SMALL(Dong,ROWS($1:17)),))</f>
        <v/>
      </c>
      <c r="D30" s="328" t="str">
        <f ca="1">IF(ROWS($1:17)&gt;COUNT(Dong),"",OFFSET(TH!F$1,SMALL(Dong,ROWS($1:17)),))</f>
        <v/>
      </c>
      <c r="E30" s="69" t="str">
        <f ca="1">IF(ROWS($1:17)&gt;COUNT(Dong),"",IF(OFFSET(TH!N$1,SMALL(Dong,ROWS($1:17)),)="331",OFFSET(TH!O$1,SMALL(Dong,ROWS($1:17)),),OFFSET(TH!N$1,SMALL(Dong,ROWS($1:17)),)))</f>
        <v/>
      </c>
      <c r="F30" s="69"/>
      <c r="G30" s="81" t="str">
        <f ca="1">IF(ROWS($1:17)&gt;COUNT(Dong),"",IF(OFFSET(TH!N$1,SMALL(Dong,ROWS($1:17)),)="331",OFFSET(TH!M$1,SMALL(Dong,ROWS($1:17)),),0))</f>
        <v/>
      </c>
      <c r="H30" s="81" t="str">
        <f ca="1">IF(ROWS($1:17)&gt;COUNT(Dong),"",IF(OFFSET(TH!O$1,SMALL(Dong,ROWS($1:17)),)="331",OFFSET(TH!M$1,SMALL(Dong,ROWS($1:17)),),0))</f>
        <v/>
      </c>
      <c r="I30" s="25">
        <f t="shared" ref="I30:I49" ca="1" si="4">IF(D30&lt;&gt;"",MAX(I29+G30-H30-J29,0),0)</f>
        <v>0</v>
      </c>
      <c r="J30" s="25">
        <f t="shared" ref="J30:J49" ca="1" si="5">IF(D30&lt;&gt;"",MAX(J29+H30-I29-G30,0),0)</f>
        <v>0</v>
      </c>
    </row>
    <row r="31" spans="1:10" s="18" customFormat="1" ht="18.75" customHeight="1">
      <c r="A31" s="9" t="str">
        <f ca="1">IF(ROWS($1:18)&gt;COUNT(Dong),"",OFFSET(TH!C$1,SMALL(Dong,ROWS($1:18)),))</f>
        <v/>
      </c>
      <c r="B31" s="9" t="str">
        <f ca="1">IF(ROWS($1:18)&gt;COUNT(Dong),"",OFFSET(TH!D$1,SMALL(Dong,ROWS($1:18)),))</f>
        <v/>
      </c>
      <c r="C31" s="9" t="str">
        <f ca="1">IF(ROWS($1:18)&gt;COUNT(Dong),"",OFFSET(TH!E$1,SMALL(Dong,ROWS($1:18)),))</f>
        <v/>
      </c>
      <c r="D31" s="328" t="str">
        <f ca="1">IF(ROWS($1:18)&gt;COUNT(Dong),"",OFFSET(TH!F$1,SMALL(Dong,ROWS($1:18)),))</f>
        <v/>
      </c>
      <c r="E31" s="69" t="str">
        <f ca="1">IF(ROWS($1:18)&gt;COUNT(Dong),"",IF(OFFSET(TH!N$1,SMALL(Dong,ROWS($1:18)),)="331",OFFSET(TH!O$1,SMALL(Dong,ROWS($1:18)),),OFFSET(TH!N$1,SMALL(Dong,ROWS($1:18)),)))</f>
        <v/>
      </c>
      <c r="F31" s="69"/>
      <c r="G31" s="81" t="str">
        <f ca="1">IF(ROWS($1:18)&gt;COUNT(Dong),"",IF(OFFSET(TH!N$1,SMALL(Dong,ROWS($1:18)),)="331",OFFSET(TH!M$1,SMALL(Dong,ROWS($1:18)),),0))</f>
        <v/>
      </c>
      <c r="H31" s="81" t="str">
        <f ca="1">IF(ROWS($1:18)&gt;COUNT(Dong),"",IF(OFFSET(TH!O$1,SMALL(Dong,ROWS($1:18)),)="331",OFFSET(TH!M$1,SMALL(Dong,ROWS($1:18)),),0))</f>
        <v/>
      </c>
      <c r="I31" s="25">
        <f t="shared" ca="1" si="4"/>
        <v>0</v>
      </c>
      <c r="J31" s="25">
        <f t="shared" ca="1" si="5"/>
        <v>0</v>
      </c>
    </row>
    <row r="32" spans="1:10" s="18" customFormat="1" ht="18.75" customHeight="1">
      <c r="A32" s="9" t="str">
        <f ca="1">IF(ROWS($1:19)&gt;COUNT(Dong),"",OFFSET(TH!C$1,SMALL(Dong,ROWS($1:19)),))</f>
        <v/>
      </c>
      <c r="B32" s="9" t="str">
        <f ca="1">IF(ROWS($1:19)&gt;COUNT(Dong),"",OFFSET(TH!D$1,SMALL(Dong,ROWS($1:19)),))</f>
        <v/>
      </c>
      <c r="C32" s="9" t="str">
        <f ca="1">IF(ROWS($1:19)&gt;COUNT(Dong),"",OFFSET(TH!E$1,SMALL(Dong,ROWS($1:19)),))</f>
        <v/>
      </c>
      <c r="D32" s="328" t="str">
        <f ca="1">IF(ROWS($1:19)&gt;COUNT(Dong),"",OFFSET(TH!F$1,SMALL(Dong,ROWS($1:19)),))</f>
        <v/>
      </c>
      <c r="E32" s="69" t="str">
        <f ca="1">IF(ROWS($1:19)&gt;COUNT(Dong),"",IF(OFFSET(TH!N$1,SMALL(Dong,ROWS($1:19)),)="331",OFFSET(TH!O$1,SMALL(Dong,ROWS($1:19)),),OFFSET(TH!N$1,SMALL(Dong,ROWS($1:19)),)))</f>
        <v/>
      </c>
      <c r="F32" s="69"/>
      <c r="G32" s="81" t="str">
        <f ca="1">IF(ROWS($1:19)&gt;COUNT(Dong),"",IF(OFFSET(TH!N$1,SMALL(Dong,ROWS($1:19)),)="331",OFFSET(TH!M$1,SMALL(Dong,ROWS($1:19)),),0))</f>
        <v/>
      </c>
      <c r="H32" s="81" t="str">
        <f ca="1">IF(ROWS($1:19)&gt;COUNT(Dong),"",IF(OFFSET(TH!O$1,SMALL(Dong,ROWS($1:19)),)="331",OFFSET(TH!M$1,SMALL(Dong,ROWS($1:19)),),0))</f>
        <v/>
      </c>
      <c r="I32" s="25">
        <f t="shared" ca="1" si="4"/>
        <v>0</v>
      </c>
      <c r="J32" s="25">
        <f t="shared" ca="1" si="5"/>
        <v>0</v>
      </c>
    </row>
    <row r="33" spans="1:10" s="18" customFormat="1" ht="18.75" customHeight="1">
      <c r="A33" s="9" t="str">
        <f ca="1">IF(ROWS($1:20)&gt;COUNT(Dong),"",OFFSET(TH!C$1,SMALL(Dong,ROWS($1:20)),))</f>
        <v/>
      </c>
      <c r="B33" s="9" t="str">
        <f ca="1">IF(ROWS($1:20)&gt;COUNT(Dong),"",OFFSET(TH!D$1,SMALL(Dong,ROWS($1:20)),))</f>
        <v/>
      </c>
      <c r="C33" s="9" t="str">
        <f ca="1">IF(ROWS($1:20)&gt;COUNT(Dong),"",OFFSET(TH!E$1,SMALL(Dong,ROWS($1:20)),))</f>
        <v/>
      </c>
      <c r="D33" s="328" t="str">
        <f ca="1">IF(ROWS($1:20)&gt;COUNT(Dong),"",OFFSET(TH!F$1,SMALL(Dong,ROWS($1:20)),))</f>
        <v/>
      </c>
      <c r="E33" s="69" t="str">
        <f ca="1">IF(ROWS($1:20)&gt;COUNT(Dong),"",IF(OFFSET(TH!N$1,SMALL(Dong,ROWS($1:20)),)="331",OFFSET(TH!O$1,SMALL(Dong,ROWS($1:20)),),OFFSET(TH!N$1,SMALL(Dong,ROWS($1:20)),)))</f>
        <v/>
      </c>
      <c r="F33" s="69"/>
      <c r="G33" s="81" t="str">
        <f ca="1">IF(ROWS($1:20)&gt;COUNT(Dong),"",IF(OFFSET(TH!N$1,SMALL(Dong,ROWS($1:20)),)="331",OFFSET(TH!M$1,SMALL(Dong,ROWS($1:20)),),0))</f>
        <v/>
      </c>
      <c r="H33" s="81" t="str">
        <f ca="1">IF(ROWS($1:20)&gt;COUNT(Dong),"",IF(OFFSET(TH!O$1,SMALL(Dong,ROWS($1:20)),)="331",OFFSET(TH!M$1,SMALL(Dong,ROWS($1:20)),),0))</f>
        <v/>
      </c>
      <c r="I33" s="25">
        <f t="shared" ca="1" si="4"/>
        <v>0</v>
      </c>
      <c r="J33" s="25">
        <f t="shared" ca="1" si="5"/>
        <v>0</v>
      </c>
    </row>
    <row r="34" spans="1:10" s="18" customFormat="1" ht="18.75" customHeight="1">
      <c r="A34" s="9" t="str">
        <f ca="1">IF(ROWS($1:21)&gt;COUNT(Dong),"",OFFSET(TH!C$1,SMALL(Dong,ROWS($1:21)),))</f>
        <v/>
      </c>
      <c r="B34" s="9" t="str">
        <f ca="1">IF(ROWS($1:21)&gt;COUNT(Dong),"",OFFSET(TH!D$1,SMALL(Dong,ROWS($1:21)),))</f>
        <v/>
      </c>
      <c r="C34" s="9" t="str">
        <f ca="1">IF(ROWS($1:21)&gt;COUNT(Dong),"",OFFSET(TH!E$1,SMALL(Dong,ROWS($1:21)),))</f>
        <v/>
      </c>
      <c r="D34" s="328" t="str">
        <f ca="1">IF(ROWS($1:21)&gt;COUNT(Dong),"",OFFSET(TH!F$1,SMALL(Dong,ROWS($1:21)),))</f>
        <v/>
      </c>
      <c r="E34" s="69" t="str">
        <f ca="1">IF(ROWS($1:21)&gt;COUNT(Dong),"",IF(OFFSET(TH!N$1,SMALL(Dong,ROWS($1:21)),)="331",OFFSET(TH!O$1,SMALL(Dong,ROWS($1:21)),),OFFSET(TH!N$1,SMALL(Dong,ROWS($1:21)),)))</f>
        <v/>
      </c>
      <c r="F34" s="69"/>
      <c r="G34" s="81" t="str">
        <f ca="1">IF(ROWS($1:21)&gt;COUNT(Dong),"",IF(OFFSET(TH!N$1,SMALL(Dong,ROWS($1:21)),)="331",OFFSET(TH!M$1,SMALL(Dong,ROWS($1:21)),),0))</f>
        <v/>
      </c>
      <c r="H34" s="81" t="str">
        <f ca="1">IF(ROWS($1:21)&gt;COUNT(Dong),"",IF(OFFSET(TH!O$1,SMALL(Dong,ROWS($1:21)),)="331",OFFSET(TH!M$1,SMALL(Dong,ROWS($1:21)),),0))</f>
        <v/>
      </c>
      <c r="I34" s="25">
        <f t="shared" ca="1" si="4"/>
        <v>0</v>
      </c>
      <c r="J34" s="25">
        <f t="shared" ca="1" si="5"/>
        <v>0</v>
      </c>
    </row>
    <row r="35" spans="1:10" s="18" customFormat="1" ht="18.75" customHeight="1">
      <c r="A35" s="9" t="str">
        <f ca="1">IF(ROWS($1:22)&gt;COUNT(Dong),"",OFFSET(TH!C$1,SMALL(Dong,ROWS($1:22)),))</f>
        <v/>
      </c>
      <c r="B35" s="9" t="str">
        <f ca="1">IF(ROWS($1:22)&gt;COUNT(Dong),"",OFFSET(TH!D$1,SMALL(Dong,ROWS($1:22)),))</f>
        <v/>
      </c>
      <c r="C35" s="9" t="str">
        <f ca="1">IF(ROWS($1:22)&gt;COUNT(Dong),"",OFFSET(TH!E$1,SMALL(Dong,ROWS($1:22)),))</f>
        <v/>
      </c>
      <c r="D35" s="328" t="str">
        <f ca="1">IF(ROWS($1:22)&gt;COUNT(Dong),"",OFFSET(TH!F$1,SMALL(Dong,ROWS($1:22)),))</f>
        <v/>
      </c>
      <c r="E35" s="69" t="str">
        <f ca="1">IF(ROWS($1:22)&gt;COUNT(Dong),"",IF(OFFSET(TH!N$1,SMALL(Dong,ROWS($1:22)),)="331",OFFSET(TH!O$1,SMALL(Dong,ROWS($1:22)),),OFFSET(TH!N$1,SMALL(Dong,ROWS($1:22)),)))</f>
        <v/>
      </c>
      <c r="F35" s="69"/>
      <c r="G35" s="81" t="str">
        <f ca="1">IF(ROWS($1:22)&gt;COUNT(Dong),"",IF(OFFSET(TH!N$1,SMALL(Dong,ROWS($1:22)),)="331",OFFSET(TH!M$1,SMALL(Dong,ROWS($1:22)),),0))</f>
        <v/>
      </c>
      <c r="H35" s="81" t="str">
        <f ca="1">IF(ROWS($1:22)&gt;COUNT(Dong),"",IF(OFFSET(TH!O$1,SMALL(Dong,ROWS($1:22)),)="331",OFFSET(TH!M$1,SMALL(Dong,ROWS($1:22)),),0))</f>
        <v/>
      </c>
      <c r="I35" s="25">
        <f t="shared" ca="1" si="4"/>
        <v>0</v>
      </c>
      <c r="J35" s="25">
        <f t="shared" ca="1" si="5"/>
        <v>0</v>
      </c>
    </row>
    <row r="36" spans="1:10" s="18" customFormat="1" ht="18.75" customHeight="1">
      <c r="A36" s="9" t="str">
        <f ca="1">IF(ROWS($1:23)&gt;COUNT(Dong),"",OFFSET(TH!C$1,SMALL(Dong,ROWS($1:23)),))</f>
        <v/>
      </c>
      <c r="B36" s="9" t="str">
        <f ca="1">IF(ROWS($1:23)&gt;COUNT(Dong),"",OFFSET(TH!D$1,SMALL(Dong,ROWS($1:23)),))</f>
        <v/>
      </c>
      <c r="C36" s="9" t="str">
        <f ca="1">IF(ROWS($1:23)&gt;COUNT(Dong),"",OFFSET(TH!E$1,SMALL(Dong,ROWS($1:23)),))</f>
        <v/>
      </c>
      <c r="D36" s="328" t="str">
        <f ca="1">IF(ROWS($1:23)&gt;COUNT(Dong),"",OFFSET(TH!F$1,SMALL(Dong,ROWS($1:23)),))</f>
        <v/>
      </c>
      <c r="E36" s="69" t="str">
        <f ca="1">IF(ROWS($1:23)&gt;COUNT(Dong),"",IF(OFFSET(TH!N$1,SMALL(Dong,ROWS($1:23)),)="331",OFFSET(TH!O$1,SMALL(Dong,ROWS($1:23)),),OFFSET(TH!N$1,SMALL(Dong,ROWS($1:23)),)))</f>
        <v/>
      </c>
      <c r="F36" s="69"/>
      <c r="G36" s="81" t="str">
        <f ca="1">IF(ROWS($1:23)&gt;COUNT(Dong),"",IF(OFFSET(TH!N$1,SMALL(Dong,ROWS($1:23)),)="331",OFFSET(TH!M$1,SMALL(Dong,ROWS($1:23)),),0))</f>
        <v/>
      </c>
      <c r="H36" s="81" t="str">
        <f ca="1">IF(ROWS($1:23)&gt;COUNT(Dong),"",IF(OFFSET(TH!O$1,SMALL(Dong,ROWS($1:23)),)="331",OFFSET(TH!M$1,SMALL(Dong,ROWS($1:23)),),0))</f>
        <v/>
      </c>
      <c r="I36" s="25">
        <f t="shared" ca="1" si="4"/>
        <v>0</v>
      </c>
      <c r="J36" s="25">
        <f t="shared" ca="1" si="5"/>
        <v>0</v>
      </c>
    </row>
    <row r="37" spans="1:10" s="18" customFormat="1" ht="18.75" customHeight="1">
      <c r="A37" s="9" t="str">
        <f ca="1">IF(ROWS($1:24)&gt;COUNT(Dong),"",OFFSET(TH!C$1,SMALL(Dong,ROWS($1:24)),))</f>
        <v/>
      </c>
      <c r="B37" s="9" t="str">
        <f ca="1">IF(ROWS($1:24)&gt;COUNT(Dong),"",OFFSET(TH!D$1,SMALL(Dong,ROWS($1:24)),))</f>
        <v/>
      </c>
      <c r="C37" s="9" t="str">
        <f ca="1">IF(ROWS($1:24)&gt;COUNT(Dong),"",OFFSET(TH!E$1,SMALL(Dong,ROWS($1:24)),))</f>
        <v/>
      </c>
      <c r="D37" s="328" t="str">
        <f ca="1">IF(ROWS($1:24)&gt;COUNT(Dong),"",OFFSET(TH!F$1,SMALL(Dong,ROWS($1:24)),))</f>
        <v/>
      </c>
      <c r="E37" s="69" t="str">
        <f ca="1">IF(ROWS($1:24)&gt;COUNT(Dong),"",IF(OFFSET(TH!N$1,SMALL(Dong,ROWS($1:24)),)="331",OFFSET(TH!O$1,SMALL(Dong,ROWS($1:24)),),OFFSET(TH!N$1,SMALL(Dong,ROWS($1:24)),)))</f>
        <v/>
      </c>
      <c r="F37" s="69"/>
      <c r="G37" s="81" t="str">
        <f ca="1">IF(ROWS($1:24)&gt;COUNT(Dong),"",IF(OFFSET(TH!N$1,SMALL(Dong,ROWS($1:24)),)="331",OFFSET(TH!M$1,SMALL(Dong,ROWS($1:24)),),0))</f>
        <v/>
      </c>
      <c r="H37" s="81" t="str">
        <f ca="1">IF(ROWS($1:24)&gt;COUNT(Dong),"",IF(OFFSET(TH!O$1,SMALL(Dong,ROWS($1:24)),)="331",OFFSET(TH!M$1,SMALL(Dong,ROWS($1:24)),),0))</f>
        <v/>
      </c>
      <c r="I37" s="25">
        <f t="shared" ca="1" si="4"/>
        <v>0</v>
      </c>
      <c r="J37" s="25">
        <f t="shared" ca="1" si="5"/>
        <v>0</v>
      </c>
    </row>
    <row r="38" spans="1:10" s="18" customFormat="1" ht="18.75" customHeight="1">
      <c r="A38" s="9" t="str">
        <f ca="1">IF(ROWS($1:25)&gt;COUNT(Dong),"",OFFSET(TH!C$1,SMALL(Dong,ROWS($1:25)),))</f>
        <v/>
      </c>
      <c r="B38" s="9" t="str">
        <f ca="1">IF(ROWS($1:25)&gt;COUNT(Dong),"",OFFSET(TH!D$1,SMALL(Dong,ROWS($1:25)),))</f>
        <v/>
      </c>
      <c r="C38" s="9" t="str">
        <f ca="1">IF(ROWS($1:25)&gt;COUNT(Dong),"",OFFSET(TH!E$1,SMALL(Dong,ROWS($1:25)),))</f>
        <v/>
      </c>
      <c r="D38" s="328" t="str">
        <f ca="1">IF(ROWS($1:25)&gt;COUNT(Dong),"",OFFSET(TH!F$1,SMALL(Dong,ROWS($1:25)),))</f>
        <v/>
      </c>
      <c r="E38" s="69" t="str">
        <f ca="1">IF(ROWS($1:25)&gt;COUNT(Dong),"",IF(OFFSET(TH!N$1,SMALL(Dong,ROWS($1:25)),)="331",OFFSET(TH!O$1,SMALL(Dong,ROWS($1:25)),),OFFSET(TH!N$1,SMALL(Dong,ROWS($1:25)),)))</f>
        <v/>
      </c>
      <c r="F38" s="69"/>
      <c r="G38" s="81" t="str">
        <f ca="1">IF(ROWS($1:25)&gt;COUNT(Dong),"",IF(OFFSET(TH!N$1,SMALL(Dong,ROWS($1:25)),)="331",OFFSET(TH!M$1,SMALL(Dong,ROWS($1:25)),),0))</f>
        <v/>
      </c>
      <c r="H38" s="81" t="str">
        <f ca="1">IF(ROWS($1:25)&gt;COUNT(Dong),"",IF(OFFSET(TH!O$1,SMALL(Dong,ROWS($1:25)),)="331",OFFSET(TH!M$1,SMALL(Dong,ROWS($1:25)),),0))</f>
        <v/>
      </c>
      <c r="I38" s="25">
        <f t="shared" ca="1" si="4"/>
        <v>0</v>
      </c>
      <c r="J38" s="25">
        <f t="shared" ca="1" si="5"/>
        <v>0</v>
      </c>
    </row>
    <row r="39" spans="1:10" s="18" customFormat="1" ht="18.75" customHeight="1">
      <c r="A39" s="9" t="str">
        <f ca="1">IF(ROWS($1:26)&gt;COUNT(Dong),"",OFFSET(TH!C$1,SMALL(Dong,ROWS($1:26)),))</f>
        <v/>
      </c>
      <c r="B39" s="9" t="str">
        <f ca="1">IF(ROWS($1:26)&gt;COUNT(Dong),"",OFFSET(TH!D$1,SMALL(Dong,ROWS($1:26)),))</f>
        <v/>
      </c>
      <c r="C39" s="9" t="str">
        <f ca="1">IF(ROWS($1:26)&gt;COUNT(Dong),"",OFFSET(TH!E$1,SMALL(Dong,ROWS($1:26)),))</f>
        <v/>
      </c>
      <c r="D39" s="328" t="str">
        <f ca="1">IF(ROWS($1:26)&gt;COUNT(Dong),"",OFFSET(TH!F$1,SMALL(Dong,ROWS($1:26)),))</f>
        <v/>
      </c>
      <c r="E39" s="69" t="str">
        <f ca="1">IF(ROWS($1:26)&gt;COUNT(Dong),"",IF(OFFSET(TH!N$1,SMALL(Dong,ROWS($1:26)),)="331",OFFSET(TH!O$1,SMALL(Dong,ROWS($1:26)),),OFFSET(TH!N$1,SMALL(Dong,ROWS($1:26)),)))</f>
        <v/>
      </c>
      <c r="F39" s="69"/>
      <c r="G39" s="81" t="str">
        <f ca="1">IF(ROWS($1:26)&gt;COUNT(Dong),"",IF(OFFSET(TH!N$1,SMALL(Dong,ROWS($1:26)),)="331",OFFSET(TH!M$1,SMALL(Dong,ROWS($1:26)),),0))</f>
        <v/>
      </c>
      <c r="H39" s="81" t="str">
        <f ca="1">IF(ROWS($1:26)&gt;COUNT(Dong),"",IF(OFFSET(TH!O$1,SMALL(Dong,ROWS($1:26)),)="331",OFFSET(TH!M$1,SMALL(Dong,ROWS($1:26)),),0))</f>
        <v/>
      </c>
      <c r="I39" s="25">
        <f t="shared" ca="1" si="4"/>
        <v>0</v>
      </c>
      <c r="J39" s="25">
        <f t="shared" ca="1" si="5"/>
        <v>0</v>
      </c>
    </row>
    <row r="40" spans="1:10" s="18" customFormat="1" ht="18.75" customHeight="1">
      <c r="A40" s="9" t="str">
        <f ca="1">IF(ROWS($1:27)&gt;COUNT(Dong),"",OFFSET(TH!C$1,SMALL(Dong,ROWS($1:27)),))</f>
        <v/>
      </c>
      <c r="B40" s="9" t="str">
        <f ca="1">IF(ROWS($1:27)&gt;COUNT(Dong),"",OFFSET(TH!D$1,SMALL(Dong,ROWS($1:27)),))</f>
        <v/>
      </c>
      <c r="C40" s="9" t="str">
        <f ca="1">IF(ROWS($1:27)&gt;COUNT(Dong),"",OFFSET(TH!E$1,SMALL(Dong,ROWS($1:27)),))</f>
        <v/>
      </c>
      <c r="D40" s="328" t="str">
        <f ca="1">IF(ROWS($1:27)&gt;COUNT(Dong),"",OFFSET(TH!F$1,SMALL(Dong,ROWS($1:27)),))</f>
        <v/>
      </c>
      <c r="E40" s="69" t="str">
        <f ca="1">IF(ROWS($1:27)&gt;COUNT(Dong),"",IF(OFFSET(TH!N$1,SMALL(Dong,ROWS($1:27)),)="331",OFFSET(TH!O$1,SMALL(Dong,ROWS($1:27)),),OFFSET(TH!N$1,SMALL(Dong,ROWS($1:27)),)))</f>
        <v/>
      </c>
      <c r="F40" s="69"/>
      <c r="G40" s="81" t="str">
        <f ca="1">IF(ROWS($1:27)&gt;COUNT(Dong),"",IF(OFFSET(TH!N$1,SMALL(Dong,ROWS($1:27)),)="331",OFFSET(TH!M$1,SMALL(Dong,ROWS($1:27)),),0))</f>
        <v/>
      </c>
      <c r="H40" s="81" t="str">
        <f ca="1">IF(ROWS($1:27)&gt;COUNT(Dong),"",IF(OFFSET(TH!O$1,SMALL(Dong,ROWS($1:27)),)="331",OFFSET(TH!M$1,SMALL(Dong,ROWS($1:27)),),0))</f>
        <v/>
      </c>
      <c r="I40" s="25">
        <f t="shared" ca="1" si="4"/>
        <v>0</v>
      </c>
      <c r="J40" s="25">
        <f t="shared" ca="1" si="5"/>
        <v>0</v>
      </c>
    </row>
    <row r="41" spans="1:10" s="18" customFormat="1" ht="18.75" customHeight="1">
      <c r="A41" s="9" t="str">
        <f ca="1">IF(ROWS($1:28)&gt;COUNT(Dong),"",OFFSET(TH!C$1,SMALL(Dong,ROWS($1:28)),))</f>
        <v/>
      </c>
      <c r="B41" s="9" t="str">
        <f ca="1">IF(ROWS($1:28)&gt;COUNT(Dong),"",OFFSET(TH!D$1,SMALL(Dong,ROWS($1:28)),))</f>
        <v/>
      </c>
      <c r="C41" s="9" t="str">
        <f ca="1">IF(ROWS($1:28)&gt;COUNT(Dong),"",OFFSET(TH!E$1,SMALL(Dong,ROWS($1:28)),))</f>
        <v/>
      </c>
      <c r="D41" s="328" t="str">
        <f ca="1">IF(ROWS($1:28)&gt;COUNT(Dong),"",OFFSET(TH!F$1,SMALL(Dong,ROWS($1:28)),))</f>
        <v/>
      </c>
      <c r="E41" s="69" t="str">
        <f ca="1">IF(ROWS($1:28)&gt;COUNT(Dong),"",IF(OFFSET(TH!N$1,SMALL(Dong,ROWS($1:28)),)="331",OFFSET(TH!O$1,SMALL(Dong,ROWS($1:28)),),OFFSET(TH!N$1,SMALL(Dong,ROWS($1:28)),)))</f>
        <v/>
      </c>
      <c r="F41" s="69"/>
      <c r="G41" s="81" t="str">
        <f ca="1">IF(ROWS($1:28)&gt;COUNT(Dong),"",IF(OFFSET(TH!N$1,SMALL(Dong,ROWS($1:28)),)="331",OFFSET(TH!M$1,SMALL(Dong,ROWS($1:28)),),0))</f>
        <v/>
      </c>
      <c r="H41" s="81" t="str">
        <f ca="1">IF(ROWS($1:28)&gt;COUNT(Dong),"",IF(OFFSET(TH!O$1,SMALL(Dong,ROWS($1:28)),)="331",OFFSET(TH!M$1,SMALL(Dong,ROWS($1:28)),),0))</f>
        <v/>
      </c>
      <c r="I41" s="25">
        <f t="shared" ca="1" si="4"/>
        <v>0</v>
      </c>
      <c r="J41" s="25">
        <f t="shared" ca="1" si="5"/>
        <v>0</v>
      </c>
    </row>
    <row r="42" spans="1:10" s="18" customFormat="1" ht="18.75" customHeight="1">
      <c r="A42" s="9" t="str">
        <f ca="1">IF(ROWS($1:29)&gt;COUNT(Dong),"",OFFSET(TH!C$1,SMALL(Dong,ROWS($1:29)),))</f>
        <v/>
      </c>
      <c r="B42" s="9" t="str">
        <f ca="1">IF(ROWS($1:29)&gt;COUNT(Dong),"",OFFSET(TH!D$1,SMALL(Dong,ROWS($1:29)),))</f>
        <v/>
      </c>
      <c r="C42" s="9" t="str">
        <f ca="1">IF(ROWS($1:29)&gt;COUNT(Dong),"",OFFSET(TH!E$1,SMALL(Dong,ROWS($1:29)),))</f>
        <v/>
      </c>
      <c r="D42" s="328" t="str">
        <f ca="1">IF(ROWS($1:29)&gt;COUNT(Dong),"",OFFSET(TH!F$1,SMALL(Dong,ROWS($1:29)),))</f>
        <v/>
      </c>
      <c r="E42" s="69" t="str">
        <f ca="1">IF(ROWS($1:29)&gt;COUNT(Dong),"",IF(OFFSET(TH!N$1,SMALL(Dong,ROWS($1:29)),)="331",OFFSET(TH!O$1,SMALL(Dong,ROWS($1:29)),),OFFSET(TH!N$1,SMALL(Dong,ROWS($1:29)),)))</f>
        <v/>
      </c>
      <c r="F42" s="69"/>
      <c r="G42" s="81" t="str">
        <f ca="1">IF(ROWS($1:29)&gt;COUNT(Dong),"",IF(OFFSET(TH!N$1,SMALL(Dong,ROWS($1:29)),)="331",OFFSET(TH!M$1,SMALL(Dong,ROWS($1:29)),),0))</f>
        <v/>
      </c>
      <c r="H42" s="81" t="str">
        <f ca="1">IF(ROWS($1:29)&gt;COUNT(Dong),"",IF(OFFSET(TH!O$1,SMALL(Dong,ROWS($1:29)),)="331",OFFSET(TH!M$1,SMALL(Dong,ROWS($1:29)),),0))</f>
        <v/>
      </c>
      <c r="I42" s="25">
        <f t="shared" ca="1" si="4"/>
        <v>0</v>
      </c>
      <c r="J42" s="25">
        <f t="shared" ca="1" si="5"/>
        <v>0</v>
      </c>
    </row>
    <row r="43" spans="1:10" s="18" customFormat="1" ht="18.75" customHeight="1">
      <c r="A43" s="9" t="str">
        <f ca="1">IF(ROWS($1:30)&gt;COUNT(Dong),"",OFFSET(TH!C$1,SMALL(Dong,ROWS($1:30)),))</f>
        <v/>
      </c>
      <c r="B43" s="9" t="str">
        <f ca="1">IF(ROWS($1:30)&gt;COUNT(Dong),"",OFFSET(TH!D$1,SMALL(Dong,ROWS($1:30)),))</f>
        <v/>
      </c>
      <c r="C43" s="9" t="str">
        <f ca="1">IF(ROWS($1:30)&gt;COUNT(Dong),"",OFFSET(TH!E$1,SMALL(Dong,ROWS($1:30)),))</f>
        <v/>
      </c>
      <c r="D43" s="328" t="str">
        <f ca="1">IF(ROWS($1:30)&gt;COUNT(Dong),"",OFFSET(TH!F$1,SMALL(Dong,ROWS($1:30)),))</f>
        <v/>
      </c>
      <c r="E43" s="69" t="str">
        <f ca="1">IF(ROWS($1:30)&gt;COUNT(Dong),"",IF(OFFSET(TH!N$1,SMALL(Dong,ROWS($1:30)),)="331",OFFSET(TH!O$1,SMALL(Dong,ROWS($1:30)),),OFFSET(TH!N$1,SMALL(Dong,ROWS($1:30)),)))</f>
        <v/>
      </c>
      <c r="F43" s="69"/>
      <c r="G43" s="81" t="str">
        <f ca="1">IF(ROWS($1:30)&gt;COUNT(Dong),"",IF(OFFSET(TH!N$1,SMALL(Dong,ROWS($1:30)),)="331",OFFSET(TH!M$1,SMALL(Dong,ROWS($1:30)),),0))</f>
        <v/>
      </c>
      <c r="H43" s="81" t="str">
        <f ca="1">IF(ROWS($1:30)&gt;COUNT(Dong),"",IF(OFFSET(TH!O$1,SMALL(Dong,ROWS($1:30)),)="331",OFFSET(TH!M$1,SMALL(Dong,ROWS($1:30)),),0))</f>
        <v/>
      </c>
      <c r="I43" s="25">
        <f t="shared" ca="1" si="4"/>
        <v>0</v>
      </c>
      <c r="J43" s="25">
        <f t="shared" ca="1" si="5"/>
        <v>0</v>
      </c>
    </row>
    <row r="44" spans="1:10" s="18" customFormat="1" ht="18.75" customHeight="1">
      <c r="A44" s="9" t="str">
        <f ca="1">IF(ROWS($1:31)&gt;COUNT(Dong),"",OFFSET(TH!C$1,SMALL(Dong,ROWS($1:31)),))</f>
        <v/>
      </c>
      <c r="B44" s="9" t="str">
        <f ca="1">IF(ROWS($1:31)&gt;COUNT(Dong),"",OFFSET(TH!D$1,SMALL(Dong,ROWS($1:31)),))</f>
        <v/>
      </c>
      <c r="C44" s="9" t="str">
        <f ca="1">IF(ROWS($1:31)&gt;COUNT(Dong),"",OFFSET(TH!E$1,SMALL(Dong,ROWS($1:31)),))</f>
        <v/>
      </c>
      <c r="D44" s="328" t="str">
        <f ca="1">IF(ROWS($1:31)&gt;COUNT(Dong),"",OFFSET(TH!F$1,SMALL(Dong,ROWS($1:31)),))</f>
        <v/>
      </c>
      <c r="E44" s="69" t="str">
        <f ca="1">IF(ROWS($1:31)&gt;COUNT(Dong),"",IF(OFFSET(TH!N$1,SMALL(Dong,ROWS($1:31)),)="331",OFFSET(TH!O$1,SMALL(Dong,ROWS($1:31)),),OFFSET(TH!N$1,SMALL(Dong,ROWS($1:31)),)))</f>
        <v/>
      </c>
      <c r="F44" s="69"/>
      <c r="G44" s="81" t="str">
        <f ca="1">IF(ROWS($1:31)&gt;COUNT(Dong),"",IF(OFFSET(TH!N$1,SMALL(Dong,ROWS($1:31)),)="331",OFFSET(TH!M$1,SMALL(Dong,ROWS($1:31)),),0))</f>
        <v/>
      </c>
      <c r="H44" s="81" t="str">
        <f ca="1">IF(ROWS($1:31)&gt;COUNT(Dong),"",IF(OFFSET(TH!O$1,SMALL(Dong,ROWS($1:31)),)="331",OFFSET(TH!M$1,SMALL(Dong,ROWS($1:31)),),0))</f>
        <v/>
      </c>
      <c r="I44" s="25">
        <f t="shared" ca="1" si="4"/>
        <v>0</v>
      </c>
      <c r="J44" s="25">
        <f t="shared" ca="1" si="5"/>
        <v>0</v>
      </c>
    </row>
    <row r="45" spans="1:10" s="18" customFormat="1" ht="18.75" customHeight="1">
      <c r="A45" s="9" t="str">
        <f ca="1">IF(ROWS($1:32)&gt;COUNT(Dong),"",OFFSET(TH!C$1,SMALL(Dong,ROWS($1:32)),))</f>
        <v/>
      </c>
      <c r="B45" s="9" t="str">
        <f ca="1">IF(ROWS($1:32)&gt;COUNT(Dong),"",OFFSET(TH!D$1,SMALL(Dong,ROWS($1:32)),))</f>
        <v/>
      </c>
      <c r="C45" s="9" t="str">
        <f ca="1">IF(ROWS($1:32)&gt;COUNT(Dong),"",OFFSET(TH!E$1,SMALL(Dong,ROWS($1:32)),))</f>
        <v/>
      </c>
      <c r="D45" s="328" t="str">
        <f ca="1">IF(ROWS($1:32)&gt;COUNT(Dong),"",OFFSET(TH!F$1,SMALL(Dong,ROWS($1:32)),))</f>
        <v/>
      </c>
      <c r="E45" s="69" t="str">
        <f ca="1">IF(ROWS($1:32)&gt;COUNT(Dong),"",IF(OFFSET(TH!N$1,SMALL(Dong,ROWS($1:32)),)="331",OFFSET(TH!O$1,SMALL(Dong,ROWS($1:32)),),OFFSET(TH!N$1,SMALL(Dong,ROWS($1:32)),)))</f>
        <v/>
      </c>
      <c r="F45" s="69"/>
      <c r="G45" s="81" t="str">
        <f ca="1">IF(ROWS($1:32)&gt;COUNT(Dong),"",IF(OFFSET(TH!N$1,SMALL(Dong,ROWS($1:32)),)="331",OFFSET(TH!M$1,SMALL(Dong,ROWS($1:32)),),0))</f>
        <v/>
      </c>
      <c r="H45" s="81" t="str">
        <f ca="1">IF(ROWS($1:32)&gt;COUNT(Dong),"",IF(OFFSET(TH!O$1,SMALL(Dong,ROWS($1:32)),)="331",OFFSET(TH!M$1,SMALL(Dong,ROWS($1:32)),),0))</f>
        <v/>
      </c>
      <c r="I45" s="25">
        <f t="shared" ca="1" si="4"/>
        <v>0</v>
      </c>
      <c r="J45" s="25">
        <f t="shared" ca="1" si="5"/>
        <v>0</v>
      </c>
    </row>
    <row r="46" spans="1:10" s="18" customFormat="1" ht="18.75" customHeight="1">
      <c r="A46" s="9" t="str">
        <f ca="1">IF(ROWS($1:33)&gt;COUNT(Dong),"",OFFSET(TH!C$1,SMALL(Dong,ROWS($1:33)),))</f>
        <v/>
      </c>
      <c r="B46" s="9" t="str">
        <f ca="1">IF(ROWS($1:33)&gt;COUNT(Dong),"",OFFSET(TH!D$1,SMALL(Dong,ROWS($1:33)),))</f>
        <v/>
      </c>
      <c r="C46" s="9" t="str">
        <f ca="1">IF(ROWS($1:33)&gt;COUNT(Dong),"",OFFSET(TH!E$1,SMALL(Dong,ROWS($1:33)),))</f>
        <v/>
      </c>
      <c r="D46" s="328" t="str">
        <f ca="1">IF(ROWS($1:33)&gt;COUNT(Dong),"",OFFSET(TH!F$1,SMALL(Dong,ROWS($1:33)),))</f>
        <v/>
      </c>
      <c r="E46" s="69" t="str">
        <f ca="1">IF(ROWS($1:33)&gt;COUNT(Dong),"",IF(OFFSET(TH!N$1,SMALL(Dong,ROWS($1:33)),)="331",OFFSET(TH!O$1,SMALL(Dong,ROWS($1:33)),),OFFSET(TH!N$1,SMALL(Dong,ROWS($1:33)),)))</f>
        <v/>
      </c>
      <c r="F46" s="69"/>
      <c r="G46" s="81" t="str">
        <f ca="1">IF(ROWS($1:33)&gt;COUNT(Dong),"",IF(OFFSET(TH!N$1,SMALL(Dong,ROWS($1:33)),)="331",OFFSET(TH!M$1,SMALL(Dong,ROWS($1:33)),),0))</f>
        <v/>
      </c>
      <c r="H46" s="81" t="str">
        <f ca="1">IF(ROWS($1:33)&gt;COUNT(Dong),"",IF(OFFSET(TH!O$1,SMALL(Dong,ROWS($1:33)),)="331",OFFSET(TH!M$1,SMALL(Dong,ROWS($1:33)),),0))</f>
        <v/>
      </c>
      <c r="I46" s="25">
        <f t="shared" ca="1" si="4"/>
        <v>0</v>
      </c>
      <c r="J46" s="25">
        <f t="shared" ca="1" si="5"/>
        <v>0</v>
      </c>
    </row>
    <row r="47" spans="1:10" s="18" customFormat="1" ht="18.75" customHeight="1">
      <c r="A47" s="9" t="str">
        <f ca="1">IF(ROWS($1:34)&gt;COUNT(Dong),"",OFFSET(TH!C$1,SMALL(Dong,ROWS($1:34)),))</f>
        <v/>
      </c>
      <c r="B47" s="9" t="str">
        <f ca="1">IF(ROWS($1:34)&gt;COUNT(Dong),"",OFFSET(TH!D$1,SMALL(Dong,ROWS($1:34)),))</f>
        <v/>
      </c>
      <c r="C47" s="9" t="str">
        <f ca="1">IF(ROWS($1:34)&gt;COUNT(Dong),"",OFFSET(TH!E$1,SMALL(Dong,ROWS($1:34)),))</f>
        <v/>
      </c>
      <c r="D47" s="328" t="str">
        <f ca="1">IF(ROWS($1:34)&gt;COUNT(Dong),"",OFFSET(TH!F$1,SMALL(Dong,ROWS($1:34)),))</f>
        <v/>
      </c>
      <c r="E47" s="69" t="str">
        <f ca="1">IF(ROWS($1:34)&gt;COUNT(Dong),"",IF(OFFSET(TH!N$1,SMALL(Dong,ROWS($1:34)),)="331",OFFSET(TH!O$1,SMALL(Dong,ROWS($1:34)),),OFFSET(TH!N$1,SMALL(Dong,ROWS($1:34)),)))</f>
        <v/>
      </c>
      <c r="F47" s="69"/>
      <c r="G47" s="81" t="str">
        <f ca="1">IF(ROWS($1:34)&gt;COUNT(Dong),"",IF(OFFSET(TH!N$1,SMALL(Dong,ROWS($1:34)),)="331",OFFSET(TH!M$1,SMALL(Dong,ROWS($1:34)),),0))</f>
        <v/>
      </c>
      <c r="H47" s="81" t="str">
        <f ca="1">IF(ROWS($1:34)&gt;COUNT(Dong),"",IF(OFFSET(TH!O$1,SMALL(Dong,ROWS($1:34)),)="331",OFFSET(TH!M$1,SMALL(Dong,ROWS($1:34)),),0))</f>
        <v/>
      </c>
      <c r="I47" s="25">
        <f t="shared" ca="1" si="4"/>
        <v>0</v>
      </c>
      <c r="J47" s="25">
        <f t="shared" ca="1" si="5"/>
        <v>0</v>
      </c>
    </row>
    <row r="48" spans="1:10" s="18" customFormat="1" ht="18.75" customHeight="1">
      <c r="A48" s="9" t="str">
        <f ca="1">IF(ROWS($1:35)&gt;COUNT(Dong),"",OFFSET(TH!C$1,SMALL(Dong,ROWS($1:35)),))</f>
        <v/>
      </c>
      <c r="B48" s="9" t="str">
        <f ca="1">IF(ROWS($1:35)&gt;COUNT(Dong),"",OFFSET(TH!D$1,SMALL(Dong,ROWS($1:35)),))</f>
        <v/>
      </c>
      <c r="C48" s="9" t="str">
        <f ca="1">IF(ROWS($1:35)&gt;COUNT(Dong),"",OFFSET(TH!E$1,SMALL(Dong,ROWS($1:35)),))</f>
        <v/>
      </c>
      <c r="D48" s="328" t="str">
        <f ca="1">IF(ROWS($1:35)&gt;COUNT(Dong),"",OFFSET(TH!F$1,SMALL(Dong,ROWS($1:35)),))</f>
        <v/>
      </c>
      <c r="E48" s="69" t="str">
        <f ca="1">IF(ROWS($1:35)&gt;COUNT(Dong),"",IF(OFFSET(TH!N$1,SMALL(Dong,ROWS($1:35)),)="331",OFFSET(TH!O$1,SMALL(Dong,ROWS($1:35)),),OFFSET(TH!N$1,SMALL(Dong,ROWS($1:35)),)))</f>
        <v/>
      </c>
      <c r="F48" s="69"/>
      <c r="G48" s="81" t="str">
        <f ca="1">IF(ROWS($1:35)&gt;COUNT(Dong),"",IF(OFFSET(TH!N$1,SMALL(Dong,ROWS($1:35)),)="331",OFFSET(TH!M$1,SMALL(Dong,ROWS($1:35)),),0))</f>
        <v/>
      </c>
      <c r="H48" s="81" t="str">
        <f ca="1">IF(ROWS($1:35)&gt;COUNT(Dong),"",IF(OFFSET(TH!O$1,SMALL(Dong,ROWS($1:35)),)="331",OFFSET(TH!M$1,SMALL(Dong,ROWS($1:35)),),0))</f>
        <v/>
      </c>
      <c r="I48" s="25">
        <f t="shared" ca="1" si="4"/>
        <v>0</v>
      </c>
      <c r="J48" s="25">
        <f t="shared" ca="1" si="5"/>
        <v>0</v>
      </c>
    </row>
    <row r="49" spans="1:11" s="18" customFormat="1" ht="18.75" customHeight="1">
      <c r="A49" s="9" t="str">
        <f ca="1">IF(ROWS($1:36)&gt;COUNT(Dong),"",OFFSET(TH!C$1,SMALL(Dong,ROWS($1:36)),))</f>
        <v/>
      </c>
      <c r="B49" s="9" t="str">
        <f ca="1">IF(ROWS($1:36)&gt;COUNT(Dong),"",OFFSET(TH!D$1,SMALL(Dong,ROWS($1:36)),))</f>
        <v/>
      </c>
      <c r="C49" s="9" t="str">
        <f ca="1">IF(ROWS($1:36)&gt;COUNT(Dong),"",OFFSET(TH!E$1,SMALL(Dong,ROWS($1:36)),))</f>
        <v/>
      </c>
      <c r="D49" s="328" t="str">
        <f ca="1">IF(ROWS($1:36)&gt;COUNT(Dong),"",OFFSET(TH!F$1,SMALL(Dong,ROWS($1:36)),))</f>
        <v/>
      </c>
      <c r="E49" s="69" t="str">
        <f ca="1">IF(ROWS($1:36)&gt;COUNT(Dong),"",IF(OFFSET(TH!N$1,SMALL(Dong,ROWS($1:36)),)="331",OFFSET(TH!O$1,SMALL(Dong,ROWS($1:36)),),OFFSET(TH!N$1,SMALL(Dong,ROWS($1:36)),)))</f>
        <v/>
      </c>
      <c r="F49" s="69"/>
      <c r="G49" s="81" t="str">
        <f ca="1">IF(ROWS($1:36)&gt;COUNT(Dong),"",IF(OFFSET(TH!N$1,SMALL(Dong,ROWS($1:36)),)="331",OFFSET(TH!M$1,SMALL(Dong,ROWS($1:36)),),0))</f>
        <v/>
      </c>
      <c r="H49" s="81" t="str">
        <f ca="1">IF(ROWS($1:36)&gt;COUNT(Dong),"",IF(OFFSET(TH!O$1,SMALL(Dong,ROWS($1:36)),)="331",OFFSET(TH!M$1,SMALL(Dong,ROWS($1:36)),),0))</f>
        <v/>
      </c>
      <c r="I49" s="25">
        <f t="shared" ca="1" si="4"/>
        <v>0</v>
      </c>
      <c r="J49" s="25">
        <f t="shared" ca="1" si="5"/>
        <v>0</v>
      </c>
    </row>
    <row r="50" spans="1:11" s="18" customFormat="1" ht="18.75" customHeight="1">
      <c r="A50" s="24"/>
      <c r="B50" s="21"/>
      <c r="C50" s="26"/>
      <c r="D50" s="23" t="s">
        <v>35</v>
      </c>
      <c r="E50" s="21" t="s">
        <v>21</v>
      </c>
      <c r="F50" s="21" t="s">
        <v>21</v>
      </c>
      <c r="G50" s="1269" t="e">
        <f ca="1">SUM(G14:G49)</f>
        <v>#REF!</v>
      </c>
      <c r="H50" s="1291" t="e">
        <f ca="1">SUM(H14:H49)</f>
        <v>#REF!</v>
      </c>
      <c r="I50" s="27" t="s">
        <v>21</v>
      </c>
      <c r="J50" s="27" t="s">
        <v>21</v>
      </c>
    </row>
    <row r="51" spans="1:11" s="18" customFormat="1" ht="18.75" customHeight="1">
      <c r="A51" s="24"/>
      <c r="B51" s="21"/>
      <c r="C51" s="21"/>
      <c r="D51" s="23" t="s">
        <v>10</v>
      </c>
      <c r="E51" s="21" t="s">
        <v>21</v>
      </c>
      <c r="F51" s="21" t="s">
        <v>21</v>
      </c>
      <c r="G51" s="27" t="s">
        <v>21</v>
      </c>
      <c r="H51" s="27" t="s">
        <v>21</v>
      </c>
      <c r="I51" s="27" t="e">
        <f ca="1">MAX(I13+G50-H50-J13,0)</f>
        <v>#REF!</v>
      </c>
      <c r="J51" s="27" t="e">
        <f ca="1">MAX(J13+H50-G50-I13,0)</f>
        <v>#REF!</v>
      </c>
    </row>
    <row r="52" spans="1:11" s="18" customFormat="1" ht="6" customHeight="1">
      <c r="B52" s="19"/>
      <c r="C52" s="19"/>
      <c r="E52" s="19"/>
    </row>
    <row r="53" spans="1:11" s="18" customFormat="1" ht="14.25" customHeight="1">
      <c r="A53" s="28" t="s">
        <v>230</v>
      </c>
      <c r="B53" s="19"/>
      <c r="C53" s="19"/>
      <c r="E53" s="19"/>
      <c r="K53" s="28" t="s">
        <v>230</v>
      </c>
    </row>
    <row r="54" spans="1:11" s="18" customFormat="1" ht="14.25" customHeight="1">
      <c r="A54" s="28" t="s">
        <v>2025</v>
      </c>
      <c r="B54" s="19"/>
      <c r="C54" s="19"/>
      <c r="E54" s="19"/>
      <c r="K54" s="28" t="s">
        <v>36</v>
      </c>
    </row>
    <row r="55" spans="1:11" s="18" customFormat="1" ht="14.25" customHeight="1">
      <c r="B55" s="19"/>
      <c r="C55" s="19"/>
      <c r="E55" s="1420" t="s">
        <v>2024</v>
      </c>
      <c r="F55" s="1420"/>
      <c r="G55" s="1420"/>
      <c r="H55" s="1420"/>
      <c r="I55" s="1420"/>
      <c r="J55" s="1420"/>
    </row>
    <row r="56" spans="1:11" s="18" customFormat="1" ht="14.25" customHeight="1">
      <c r="C56" s="317" t="s">
        <v>11</v>
      </c>
      <c r="E56" s="1420" t="s">
        <v>12</v>
      </c>
      <c r="F56" s="1420"/>
      <c r="G56" s="1420"/>
      <c r="H56" s="1420"/>
      <c r="I56" s="1420"/>
      <c r="J56" s="1420"/>
    </row>
    <row r="57" spans="1:11" s="18" customFormat="1" ht="14.25" customHeight="1">
      <c r="C57" s="317" t="s">
        <v>13</v>
      </c>
      <c r="E57" s="1420" t="s">
        <v>13</v>
      </c>
      <c r="F57" s="1420"/>
      <c r="G57" s="1420"/>
      <c r="H57" s="1420"/>
      <c r="I57" s="1420"/>
      <c r="J57" s="1420"/>
    </row>
  </sheetData>
  <autoFilter ref="A12:L29"/>
  <sortState ref="A15:K102">
    <sortCondition ref="A15:A102"/>
  </sortState>
  <mergeCells count="15">
    <mergeCell ref="E56:J56"/>
    <mergeCell ref="E57:J57"/>
    <mergeCell ref="A10:A11"/>
    <mergeCell ref="H1:J1"/>
    <mergeCell ref="H2:J3"/>
    <mergeCell ref="E7:H7"/>
    <mergeCell ref="E55:J55"/>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36"/>
  <sheetViews>
    <sheetView workbookViewId="0">
      <pane xSplit="2" ySplit="4" topLeftCell="C18" activePane="bottomRight" state="frozen"/>
      <selection activeCell="P41" sqref="P41"/>
      <selection pane="topRight" activeCell="P41" sqref="P41"/>
      <selection pane="bottomLeft" activeCell="P41" sqref="P41"/>
      <selection pane="bottomRight" activeCell="H34" sqref="H34"/>
    </sheetView>
  </sheetViews>
  <sheetFormatPr defaultColWidth="8" defaultRowHeight="13.5"/>
  <cols>
    <col min="1" max="1" width="4.28515625" style="1298" customWidth="1"/>
    <col min="2" max="2" width="34" style="1298" customWidth="1"/>
    <col min="3" max="3" width="13.140625" style="1191" customWidth="1"/>
    <col min="4" max="4" width="15.28515625" style="1194" customWidth="1"/>
    <col min="5" max="5" width="6.5703125" style="1191" customWidth="1"/>
    <col min="6" max="6" width="7.85546875" style="1310" customWidth="1"/>
    <col min="7" max="7" width="12.7109375" style="1191" customWidth="1"/>
    <col min="8" max="8" width="15.7109375" style="1310" customWidth="1"/>
    <col min="9" max="9" width="15.5703125" style="1191" customWidth="1"/>
    <col min="10" max="10" width="16.5703125" style="1310" customWidth="1"/>
    <col min="11" max="11" width="12.7109375" style="1191" customWidth="1"/>
    <col min="12" max="12" width="17" style="1310" customWidth="1"/>
    <col min="13" max="13" width="6.42578125" style="1191" customWidth="1"/>
    <col min="14" max="14" width="7.7109375" style="1310" customWidth="1"/>
    <col min="15" max="16384" width="8" style="1298"/>
  </cols>
  <sheetData>
    <row r="1" spans="1:14" ht="21" customHeight="1">
      <c r="A1" s="1455" t="s">
        <v>1565</v>
      </c>
      <c r="B1" s="1455"/>
      <c r="C1" s="1455"/>
      <c r="D1" s="1455"/>
      <c r="E1" s="1455"/>
      <c r="F1" s="1455"/>
      <c r="G1" s="1455"/>
      <c r="H1" s="1455"/>
      <c r="I1" s="1455"/>
      <c r="J1" s="1455"/>
      <c r="K1" s="1455"/>
      <c r="L1" s="1455"/>
      <c r="M1" s="1455"/>
      <c r="N1" s="1455"/>
    </row>
    <row r="2" spans="1:14" s="1123" customFormat="1" ht="20.25" customHeight="1">
      <c r="A2" s="1456" t="s">
        <v>37</v>
      </c>
      <c r="B2" s="1454" t="s">
        <v>38</v>
      </c>
      <c r="C2" s="1299" t="s">
        <v>39</v>
      </c>
      <c r="D2" s="1300"/>
      <c r="E2" s="1299"/>
      <c r="F2" s="1301"/>
      <c r="G2" s="1299" t="s">
        <v>40</v>
      </c>
      <c r="H2" s="1301"/>
      <c r="I2" s="1299"/>
      <c r="J2" s="1301"/>
      <c r="K2" s="1299" t="s">
        <v>44</v>
      </c>
      <c r="L2" s="1301"/>
      <c r="M2" s="1299"/>
      <c r="N2" s="1301"/>
    </row>
    <row r="3" spans="1:14" s="1123" customFormat="1" ht="20.25" customHeight="1">
      <c r="A3" s="1456"/>
      <c r="B3" s="1454"/>
      <c r="C3" s="1454" t="s">
        <v>45</v>
      </c>
      <c r="D3" s="1454"/>
      <c r="E3" s="1454" t="s">
        <v>46</v>
      </c>
      <c r="F3" s="1454"/>
      <c r="G3" s="1454" t="s">
        <v>45</v>
      </c>
      <c r="H3" s="1454"/>
      <c r="I3" s="1454" t="s">
        <v>46</v>
      </c>
      <c r="J3" s="1454"/>
      <c r="K3" s="1454" t="s">
        <v>45</v>
      </c>
      <c r="L3" s="1454"/>
      <c r="M3" s="1454" t="s">
        <v>46</v>
      </c>
      <c r="N3" s="1454"/>
    </row>
    <row r="4" spans="1:14" s="1123" customFormat="1" ht="20.25" customHeight="1">
      <c r="A4" s="1456"/>
      <c r="B4" s="1454"/>
      <c r="C4" s="1302" t="s">
        <v>224</v>
      </c>
      <c r="D4" s="638" t="s">
        <v>129</v>
      </c>
      <c r="E4" s="1302" t="s">
        <v>224</v>
      </c>
      <c r="F4" s="1303" t="s">
        <v>129</v>
      </c>
      <c r="G4" s="1302" t="s">
        <v>224</v>
      </c>
      <c r="H4" s="1303" t="s">
        <v>129</v>
      </c>
      <c r="I4" s="1302" t="s">
        <v>224</v>
      </c>
      <c r="J4" s="1303" t="s">
        <v>129</v>
      </c>
      <c r="K4" s="1302" t="s">
        <v>224</v>
      </c>
      <c r="L4" s="1303" t="s">
        <v>129</v>
      </c>
      <c r="M4" s="1302" t="s">
        <v>224</v>
      </c>
      <c r="N4" s="1303" t="s">
        <v>129</v>
      </c>
    </row>
    <row r="5" spans="1:14" s="1123" customFormat="1" ht="18" customHeight="1">
      <c r="A5" s="1121">
        <f t="shared" ref="A5:A12" si="0">IF(B5&lt;&gt;"",ROW()-4,"")</f>
        <v>1</v>
      </c>
      <c r="B5" s="67" t="s">
        <v>751</v>
      </c>
      <c r="C5" s="1304">
        <v>0</v>
      </c>
      <c r="D5" s="381">
        <v>0</v>
      </c>
      <c r="E5" s="1304">
        <v>0</v>
      </c>
      <c r="F5" s="1304">
        <v>0</v>
      </c>
      <c r="G5" s="1304">
        <f t="array" ref="G5">SUM(IF("131"&amp;B5=KHN&amp;KH,_TH))</f>
        <v>0</v>
      </c>
      <c r="H5" s="1305">
        <f t="array" ref="H5">SUM(IF("131"&amp;B5=KHN&amp;KH,TH))</f>
        <v>941663250</v>
      </c>
      <c r="I5" s="1304">
        <f t="array" ref="I5">SUM(IF("131"&amp;B5=KHC&amp;KH,_TH))</f>
        <v>0</v>
      </c>
      <c r="J5" s="1305">
        <f t="array" ref="J5">SUM(IF("131"&amp;B5=KHC&amp;KH,TH))</f>
        <v>941663250</v>
      </c>
      <c r="K5" s="1306">
        <f>ROUND(MAX(C5+G5-E5-I5,0),2)</f>
        <v>0</v>
      </c>
      <c r="L5" s="251">
        <f>ROUND(MAX(D5+H5-F5-J5,0),0)</f>
        <v>0</v>
      </c>
      <c r="M5" s="1306">
        <f>ROUND(MAX(E5+I5-C5-G5,0),2)</f>
        <v>0</v>
      </c>
      <c r="N5" s="251">
        <f>ROUND(MAX(F5+J5-D5-H5,0),0)</f>
        <v>0</v>
      </c>
    </row>
    <row r="6" spans="1:14" s="1123" customFormat="1" ht="18" customHeight="1">
      <c r="A6" s="1121">
        <f t="shared" si="0"/>
        <v>2</v>
      </c>
      <c r="B6" s="311" t="s">
        <v>792</v>
      </c>
      <c r="C6" s="1304">
        <v>0</v>
      </c>
      <c r="D6" s="381">
        <v>0</v>
      </c>
      <c r="E6" s="1304">
        <v>0</v>
      </c>
      <c r="F6" s="1304">
        <v>0</v>
      </c>
      <c r="G6" s="1304">
        <f t="array" ref="G6">SUM(IF("131"&amp;B6=KHN&amp;KH,_TH))</f>
        <v>0</v>
      </c>
      <c r="H6" s="1305">
        <f t="array" ref="H6">SUM(IF("131"&amp;B6=KHN&amp;KH,TH))</f>
        <v>2137356826</v>
      </c>
      <c r="I6" s="1304">
        <f t="array" ref="I6">SUM(IF("131"&amp;B6=KHC&amp;KH,_TH))</f>
        <v>0</v>
      </c>
      <c r="J6" s="1305">
        <f t="array" ref="J6">SUM(IF("131"&amp;B6=KHC&amp;KH,TH))</f>
        <v>2137356826</v>
      </c>
      <c r="K6" s="1306">
        <f>ROUND(MAX(C6+G6-E6-I6,0),2)</f>
        <v>0</v>
      </c>
      <c r="L6" s="251">
        <f>ROUND(MAX(D6+H6-F6-J6,0),0)</f>
        <v>0</v>
      </c>
      <c r="M6" s="1306">
        <f>ROUND(MAX(E6+I6-C6-G6,0),2)</f>
        <v>0</v>
      </c>
      <c r="N6" s="251">
        <f>ROUND(MAX(F6+J6-D6-H6,0),0)</f>
        <v>0</v>
      </c>
    </row>
    <row r="7" spans="1:14" s="1123" customFormat="1" ht="18" customHeight="1">
      <c r="A7" s="1121">
        <f t="shared" si="0"/>
        <v>3</v>
      </c>
      <c r="B7" s="311" t="s">
        <v>805</v>
      </c>
      <c r="C7" s="1304">
        <v>0</v>
      </c>
      <c r="D7" s="381">
        <v>0</v>
      </c>
      <c r="E7" s="1304">
        <v>0</v>
      </c>
      <c r="F7" s="1304">
        <v>0</v>
      </c>
      <c r="G7" s="1304">
        <f t="array" ref="G7">SUM(IF("131"&amp;B7=KHN&amp;KH,_TH))</f>
        <v>0</v>
      </c>
      <c r="H7" s="1305">
        <f t="array" ref="H7">SUM(IF("131"&amp;B7=KHN&amp;KH,TH))</f>
        <v>495493398</v>
      </c>
      <c r="I7" s="1304">
        <f t="array" ref="I7">SUM(IF("131"&amp;B7=KHC&amp;KH,_TH))</f>
        <v>0</v>
      </c>
      <c r="J7" s="1305">
        <f t="array" ref="J7">SUM(IF("131"&amp;B7=KHC&amp;KH,TH))</f>
        <v>495493398</v>
      </c>
      <c r="K7" s="1306">
        <f t="shared" ref="K7" si="1">ROUND(MAX(C7+G7-E7-I7,0),2)</f>
        <v>0</v>
      </c>
      <c r="L7" s="251">
        <f t="shared" ref="L7" si="2">ROUND(MAX(D7+H7-F7-J7,0),0)</f>
        <v>0</v>
      </c>
      <c r="M7" s="1306">
        <f t="shared" ref="M7" si="3">ROUND(MAX(E7+I7-C7-G7,0),2)</f>
        <v>0</v>
      </c>
      <c r="N7" s="251">
        <f t="shared" ref="N7" si="4">ROUND(MAX(F7+J7-D7-H7,0),0)</f>
        <v>0</v>
      </c>
    </row>
    <row r="8" spans="1:14" s="1123" customFormat="1" ht="18" customHeight="1">
      <c r="A8" s="1121">
        <f t="shared" si="0"/>
        <v>4</v>
      </c>
      <c r="B8" s="311" t="s">
        <v>802</v>
      </c>
      <c r="C8" s="1304">
        <v>0</v>
      </c>
      <c r="D8" s="381">
        <v>55196900</v>
      </c>
      <c r="E8" s="1304">
        <v>0</v>
      </c>
      <c r="F8" s="1304">
        <v>0</v>
      </c>
      <c r="G8" s="1304">
        <f t="array" ref="G8">SUM(IF("131"&amp;B8=KHN&amp;KH,_TH))</f>
        <v>0</v>
      </c>
      <c r="H8" s="1305">
        <f t="array" ref="H8">SUM(IF("131"&amp;B8=KHN&amp;KH,TH))</f>
        <v>6592576100</v>
      </c>
      <c r="I8" s="1304">
        <f t="array" ref="I8">SUM(IF("131"&amp;B8=KHC&amp;KH,_TH))</f>
        <v>0</v>
      </c>
      <c r="J8" s="1305">
        <f t="array" ref="J8">SUM(IF("131"&amp;B8=KHC&amp;KH,TH))</f>
        <v>6647773000</v>
      </c>
      <c r="K8" s="1306">
        <f t="shared" ref="K8" si="5">ROUND(MAX(C8+G8-E8-I8,0),2)</f>
        <v>0</v>
      </c>
      <c r="L8" s="251">
        <f t="shared" ref="L8" si="6">ROUND(MAX(D8+H8-F8-J8,0),0)</f>
        <v>0</v>
      </c>
      <c r="M8" s="1306">
        <f t="shared" ref="M8" si="7">ROUND(MAX(E8+I8-C8-G8,0),2)</f>
        <v>0</v>
      </c>
      <c r="N8" s="251">
        <f t="shared" ref="N8" si="8">ROUND(MAX(F8+J8-D8-H8,0),0)</f>
        <v>0</v>
      </c>
    </row>
    <row r="9" spans="1:14" s="1123" customFormat="1" ht="18" customHeight="1">
      <c r="A9" s="1121">
        <f t="shared" si="0"/>
        <v>5</v>
      </c>
      <c r="B9" s="311" t="s">
        <v>1101</v>
      </c>
      <c r="C9" s="1304">
        <v>0</v>
      </c>
      <c r="D9" s="381">
        <v>0</v>
      </c>
      <c r="E9" s="1304">
        <v>0</v>
      </c>
      <c r="F9" s="1304">
        <v>0</v>
      </c>
      <c r="G9" s="1304">
        <f t="array" ref="G9">SUM(IF("131"&amp;B9=KHN&amp;KH,_TH))</f>
        <v>0</v>
      </c>
      <c r="H9" s="1305">
        <f t="array" ref="H9">SUM(IF("131"&amp;B9=KHN&amp;KH,TH))</f>
        <v>3520000</v>
      </c>
      <c r="I9" s="1304">
        <f t="array" ref="I9">SUM(IF("131"&amp;B9=KHC&amp;KH,_TH))</f>
        <v>0</v>
      </c>
      <c r="J9" s="1305">
        <f t="array" ref="J9">SUM(IF("131"&amp;B9=KHC&amp;KH,TH))</f>
        <v>3520000</v>
      </c>
      <c r="K9" s="1306">
        <f t="shared" ref="K9" si="9">ROUND(MAX(C9+G9-E9-I9,0),2)</f>
        <v>0</v>
      </c>
      <c r="L9" s="251">
        <f t="shared" ref="L9" si="10">ROUND(MAX(D9+H9-F9-J9,0),0)</f>
        <v>0</v>
      </c>
      <c r="M9" s="1306">
        <f t="shared" ref="M9" si="11">ROUND(MAX(E9+I9-C9-G9,0),2)</f>
        <v>0</v>
      </c>
      <c r="N9" s="251">
        <f t="shared" ref="N9" si="12">ROUND(MAX(F9+J9-D9-H9,0),0)</f>
        <v>0</v>
      </c>
    </row>
    <row r="10" spans="1:14" s="1123" customFormat="1" ht="18" customHeight="1">
      <c r="A10" s="1121">
        <f t="shared" si="0"/>
        <v>6</v>
      </c>
      <c r="B10" s="311" t="s">
        <v>547</v>
      </c>
      <c r="C10" s="1304">
        <v>39069.42</v>
      </c>
      <c r="D10" s="381">
        <v>874963231</v>
      </c>
      <c r="E10" s="1304">
        <v>0</v>
      </c>
      <c r="F10" s="1304">
        <v>0</v>
      </c>
      <c r="G10" s="1304">
        <f t="array" ref="G10">SUM(IF("131"&amp;B10=KHN&amp;KH,_TH))</f>
        <v>0</v>
      </c>
      <c r="H10" s="1305">
        <f t="array" ref="H10">SUM(IF("131"&amp;B10=KHN&amp;KH,TH))</f>
        <v>0</v>
      </c>
      <c r="I10" s="1304">
        <f t="array" ref="I10">SUM(IF("131"&amp;B10=KHC&amp;KH,_TH))</f>
        <v>0</v>
      </c>
      <c r="J10" s="1305">
        <f t="array" ref="J10">SUM(IF("131"&amp;B10=KHC&amp;KH,TH))</f>
        <v>0</v>
      </c>
      <c r="K10" s="1306">
        <f t="shared" ref="K10" si="13">ROUND(MAX(C10+G10-E10-I10,0),2)</f>
        <v>39069.42</v>
      </c>
      <c r="L10" s="251">
        <f t="shared" ref="L10" si="14">ROUND(MAX(D10+H10-F10-J10,0),0)</f>
        <v>874963231</v>
      </c>
      <c r="M10" s="1306">
        <f t="shared" ref="M10" si="15">ROUND(MAX(E10+I10-C10-G10,0),2)</f>
        <v>0</v>
      </c>
      <c r="N10" s="251">
        <f t="shared" ref="N10" si="16">ROUND(MAX(F10+J10-D10-H10,0),0)</f>
        <v>0</v>
      </c>
    </row>
    <row r="11" spans="1:14" s="1123" customFormat="1" ht="18" customHeight="1">
      <c r="A11" s="1121">
        <f t="shared" si="0"/>
        <v>7</v>
      </c>
      <c r="B11" s="311" t="s">
        <v>545</v>
      </c>
      <c r="C11" s="1304">
        <v>103545</v>
      </c>
      <c r="D11" s="381">
        <v>2233983375</v>
      </c>
      <c r="E11" s="1304">
        <v>0</v>
      </c>
      <c r="F11" s="1304">
        <v>0</v>
      </c>
      <c r="G11" s="1304">
        <f t="array" ref="G11">SUM(IF("131"&amp;B11=KHN&amp;KH,_TH))</f>
        <v>0</v>
      </c>
      <c r="H11" s="1305">
        <f t="array" ref="H11">SUM(IF("131"&amp;B11=KHN&amp;KH,TH))</f>
        <v>0</v>
      </c>
      <c r="I11" s="1304">
        <f t="array" ref="I11">SUM(IF("131"&amp;B11=KHC&amp;KH,_TH))</f>
        <v>40666.74</v>
      </c>
      <c r="J11" s="1305">
        <f t="array" ref="J11">SUM(IF("131"&amp;B11=KHC&amp;KH,TH))</f>
        <v>923198333</v>
      </c>
      <c r="K11" s="1306">
        <f>ROUND(MAX(C11+G11-E11-I11,0),2)</f>
        <v>62878.26</v>
      </c>
      <c r="L11" s="251">
        <f>ROUND(MAX(D11+H11-F11-J11,0),0)</f>
        <v>1310785042</v>
      </c>
      <c r="M11" s="1306">
        <f>ROUND(MAX(E11+I11-C11-G11,0),2)</f>
        <v>0</v>
      </c>
      <c r="N11" s="251">
        <f>ROUND(MAX(F11+J11-D11-H11,0),0)</f>
        <v>0</v>
      </c>
    </row>
    <row r="12" spans="1:14" s="1123" customFormat="1" ht="18" customHeight="1">
      <c r="A12" s="1121">
        <f t="shared" si="0"/>
        <v>8</v>
      </c>
      <c r="B12" s="311" t="s">
        <v>546</v>
      </c>
      <c r="C12" s="1304">
        <v>0</v>
      </c>
      <c r="D12" s="381">
        <v>0</v>
      </c>
      <c r="E12" s="1304">
        <v>0</v>
      </c>
      <c r="F12" s="1304">
        <v>0</v>
      </c>
      <c r="G12" s="1304">
        <f t="array" ref="G12">SUM(IF("131"&amp;B12=KHN&amp;KH,_TH))</f>
        <v>224971</v>
      </c>
      <c r="H12" s="1305">
        <f t="array" ref="H12">SUM(IF("131"&amp;B12=KHN&amp;KH,TH))</f>
        <v>5111947630</v>
      </c>
      <c r="I12" s="1304">
        <f t="array" ref="I12">SUM(IF("131"&amp;B12=KHC&amp;KH,_TH))</f>
        <v>198763</v>
      </c>
      <c r="J12" s="1305">
        <f t="array" ref="J12">SUM(IF("131"&amp;B12=KHC&amp;KH,TH))</f>
        <v>4517550190</v>
      </c>
      <c r="K12" s="1306">
        <f>ROUND(MAX(C12+G12-E12-I12,0),2)</f>
        <v>26208</v>
      </c>
      <c r="L12" s="251">
        <f>ROUND(MAX(D12+H12-F12-J12,0),0)</f>
        <v>594397440</v>
      </c>
      <c r="M12" s="1306">
        <f>ROUND(MAX(E12+I12-C12-G12,0),2)</f>
        <v>0</v>
      </c>
      <c r="N12" s="251">
        <f>ROUND(MAX(F12+J12-D12-H12,0),0)</f>
        <v>0</v>
      </c>
    </row>
    <row r="13" spans="1:14" s="1123" customFormat="1" ht="18" customHeight="1">
      <c r="A13" s="1121">
        <f t="shared" ref="A13:A22" si="17">IF(B13&lt;&gt;"",ROW()-4,"")</f>
        <v>9</v>
      </c>
      <c r="B13" s="1307" t="s">
        <v>544</v>
      </c>
      <c r="C13" s="1304">
        <v>0</v>
      </c>
      <c r="D13" s="381">
        <v>0</v>
      </c>
      <c r="E13" s="1304">
        <v>0</v>
      </c>
      <c r="F13" s="1304">
        <v>0</v>
      </c>
      <c r="G13" s="1304">
        <f t="array" ref="G13">SUM(IF("131"&amp;B13=KHN&amp;KH,_TH))</f>
        <v>37945.600000000006</v>
      </c>
      <c r="H13" s="1305">
        <f t="array" ref="H13">SUM(IF("131"&amp;B13=KHN&amp;KH,TH))</f>
        <v>861365120</v>
      </c>
      <c r="I13" s="1304">
        <f t="array" ref="I13">SUM(IF("131"&amp;B13=KHC&amp;KH,_TH))</f>
        <v>37945.599999999999</v>
      </c>
      <c r="J13" s="1305">
        <f t="array" ref="J13">SUM(IF("131"&amp;B13=KHC&amp;KH,TH))</f>
        <v>861365120</v>
      </c>
      <c r="K13" s="1306">
        <f t="shared" ref="K13" si="18">ROUND(MAX(C13+G13-E13-I13,0),2)</f>
        <v>0</v>
      </c>
      <c r="L13" s="251">
        <f t="shared" ref="L13" si="19">ROUND(MAX(D13+H13-F13-J13,0),0)</f>
        <v>0</v>
      </c>
      <c r="M13" s="1306">
        <f t="shared" ref="M13" si="20">ROUND(MAX(E13+I13-C13-G13,0),2)</f>
        <v>0</v>
      </c>
      <c r="N13" s="251">
        <f t="shared" ref="N13" si="21">ROUND(MAX(F13+J13-D13-H13,0),0)</f>
        <v>0</v>
      </c>
    </row>
    <row r="14" spans="1:14" s="1123" customFormat="1" ht="18" customHeight="1">
      <c r="A14" s="1121">
        <f t="shared" si="17"/>
        <v>10</v>
      </c>
      <c r="B14" s="1307" t="s">
        <v>738</v>
      </c>
      <c r="C14" s="1304">
        <v>0</v>
      </c>
      <c r="D14" s="381">
        <v>0</v>
      </c>
      <c r="E14" s="1304">
        <v>0</v>
      </c>
      <c r="F14" s="1304">
        <v>0</v>
      </c>
      <c r="G14" s="1304">
        <f t="array" ref="G14">SUM(IF("131"&amp;B14=KHN&amp;KH,_TH))</f>
        <v>126240</v>
      </c>
      <c r="H14" s="1305">
        <f t="array" ref="H14">SUM(IF("131"&amp;B14=KHN&amp;KH,TH))</f>
        <v>2866154880</v>
      </c>
      <c r="I14" s="1304">
        <f t="array" ref="I14">SUM(IF("131"&amp;B14=KHC&amp;KH,_TH))</f>
        <v>126240</v>
      </c>
      <c r="J14" s="1305">
        <f t="array" ref="J14">SUM(IF("131"&amp;B14=KHC&amp;KH,TH))</f>
        <v>2866154880</v>
      </c>
      <c r="K14" s="1306">
        <f t="shared" ref="K14:K16" si="22">ROUND(MAX(C14+G14-E14-I14,0),2)</f>
        <v>0</v>
      </c>
      <c r="L14" s="251">
        <f t="shared" ref="L14:L16" si="23">ROUND(MAX(D14+H14-F14-J14,0),0)</f>
        <v>0</v>
      </c>
      <c r="M14" s="1306">
        <f t="shared" ref="M14:M16" si="24">ROUND(MAX(E14+I14-C14-G14,0),2)</f>
        <v>0</v>
      </c>
      <c r="N14" s="251">
        <f t="shared" ref="N14:N16" si="25">ROUND(MAX(F14+J14-D14-H14,0),0)</f>
        <v>0</v>
      </c>
    </row>
    <row r="15" spans="1:14" s="1123" customFormat="1" ht="18" customHeight="1">
      <c r="A15" s="1121">
        <f t="shared" si="17"/>
        <v>11</v>
      </c>
      <c r="B15" s="67" t="s">
        <v>746</v>
      </c>
      <c r="C15" s="1304">
        <v>0</v>
      </c>
      <c r="D15" s="381">
        <v>0</v>
      </c>
      <c r="E15" s="1304">
        <v>0</v>
      </c>
      <c r="F15" s="1304">
        <v>0</v>
      </c>
      <c r="G15" s="1304">
        <f t="array" ref="G15">SUM(IF("131"&amp;B15=KHN&amp;KH,_TH))</f>
        <v>193800</v>
      </c>
      <c r="H15" s="1305">
        <f t="array" ref="H15">SUM(IF("131"&amp;B15=KHN&amp;KH,TH))</f>
        <v>4399260000</v>
      </c>
      <c r="I15" s="1304">
        <f t="array" ref="I15">SUM(IF("131"&amp;B15=KHC&amp;KH,_TH))</f>
        <v>193800</v>
      </c>
      <c r="J15" s="1305">
        <f t="array" ref="J15">SUM(IF("131"&amp;B15=KHC&amp;KH,TH))</f>
        <v>4399260000</v>
      </c>
      <c r="K15" s="1306">
        <f t="shared" si="22"/>
        <v>0</v>
      </c>
      <c r="L15" s="251">
        <f t="shared" si="23"/>
        <v>0</v>
      </c>
      <c r="M15" s="1306">
        <f t="shared" si="24"/>
        <v>0</v>
      </c>
      <c r="N15" s="251">
        <f t="shared" si="25"/>
        <v>0</v>
      </c>
    </row>
    <row r="16" spans="1:14" s="1123" customFormat="1" ht="18" customHeight="1">
      <c r="A16" s="1121">
        <f t="shared" si="17"/>
        <v>12</v>
      </c>
      <c r="B16" s="67" t="s">
        <v>759</v>
      </c>
      <c r="C16" s="1304">
        <v>2375814.16</v>
      </c>
      <c r="D16" s="381">
        <v>53874649390</v>
      </c>
      <c r="E16" s="1304">
        <v>0</v>
      </c>
      <c r="F16" s="1304">
        <v>0</v>
      </c>
      <c r="G16" s="1304">
        <f t="array" ref="G16">SUM(IF("131"&amp;B16=KHN&amp;KH,_TH))</f>
        <v>13544958.499999998</v>
      </c>
      <c r="H16" s="1305">
        <f t="array" ref="H16">SUM(IF("131"&amp;B16=KHN&amp;KH,TH))</f>
        <v>307721853232</v>
      </c>
      <c r="I16" s="1304">
        <f t="array" ref="I16">SUM(IF("131"&amp;B16=KHC&amp;KH,_TH))</f>
        <v>15920772.66</v>
      </c>
      <c r="J16" s="1305">
        <f t="array" ref="J16">SUM(IF("131"&amp;B16=KHC&amp;KH,TH))</f>
        <v>361596502622</v>
      </c>
      <c r="K16" s="1306">
        <f t="shared" si="22"/>
        <v>0</v>
      </c>
      <c r="L16" s="251">
        <f t="shared" si="23"/>
        <v>0</v>
      </c>
      <c r="M16" s="1306">
        <f t="shared" si="24"/>
        <v>0</v>
      </c>
      <c r="N16" s="251">
        <f t="shared" si="25"/>
        <v>0</v>
      </c>
    </row>
    <row r="17" spans="1:14" s="1123" customFormat="1" ht="18" customHeight="1">
      <c r="A17" s="1121">
        <f t="shared" si="17"/>
        <v>13</v>
      </c>
      <c r="B17" s="67" t="s">
        <v>785</v>
      </c>
      <c r="C17" s="1304">
        <v>0</v>
      </c>
      <c r="D17" s="381">
        <v>0</v>
      </c>
      <c r="E17" s="1304">
        <v>0</v>
      </c>
      <c r="F17" s="1304">
        <v>0</v>
      </c>
      <c r="G17" s="1304">
        <f t="array" ref="G17">SUM(IF("131"&amp;B17=KHN&amp;KH,_TH))</f>
        <v>207837.19999999995</v>
      </c>
      <c r="H17" s="1305">
        <f t="array" ref="H17">SUM(IF("131"&amp;B17=KHN&amp;KH,TH))</f>
        <v>4715936440</v>
      </c>
      <c r="I17" s="1304">
        <f t="array" ref="I17">SUM(IF("131"&amp;B17=KHC&amp;KH,_TH))</f>
        <v>109437.2</v>
      </c>
      <c r="J17" s="1305">
        <f t="array" ref="J17">SUM(IF("131"&amp;B17=KHC&amp;KH,TH))</f>
        <v>2484224440</v>
      </c>
      <c r="K17" s="1306">
        <f t="shared" ref="K17" si="26">ROUND(MAX(C17+G17-E17-I17,0),2)</f>
        <v>98400</v>
      </c>
      <c r="L17" s="251">
        <f t="shared" ref="L17" si="27">ROUND(MAX(D17+H17-F17-J17,0),0)</f>
        <v>2231712000</v>
      </c>
      <c r="M17" s="1306">
        <f t="shared" ref="M17" si="28">ROUND(MAX(E17+I17-C17-G17,0),2)</f>
        <v>0</v>
      </c>
      <c r="N17" s="251">
        <f t="shared" ref="N17" si="29">ROUND(MAX(F17+J17-D17-H17,0),0)</f>
        <v>0</v>
      </c>
    </row>
    <row r="18" spans="1:14" s="1123" customFormat="1" ht="18" customHeight="1">
      <c r="A18" s="1121">
        <f t="shared" si="17"/>
        <v>14</v>
      </c>
      <c r="B18" s="311" t="s">
        <v>822</v>
      </c>
      <c r="C18" s="1304">
        <v>0</v>
      </c>
      <c r="D18" s="381">
        <v>0</v>
      </c>
      <c r="E18" s="1304">
        <v>0</v>
      </c>
      <c r="F18" s="1304">
        <v>0</v>
      </c>
      <c r="G18" s="1304">
        <f t="array" ref="G18">SUM(IF("131"&amp;B18=KHN&amp;KH,_TH))</f>
        <v>550055</v>
      </c>
      <c r="H18" s="1305">
        <f t="array" ref="H18">SUM(IF("131"&amp;B18=KHN&amp;KH,TH))</f>
        <v>12483212799</v>
      </c>
      <c r="I18" s="1304">
        <f t="array" ref="I18">SUM(IF("131"&amp;B18=KHC&amp;KH,_TH))</f>
        <v>550055</v>
      </c>
      <c r="J18" s="1305">
        <f t="array" ref="J18">SUM(IF("131"&amp;B18=KHC&amp;KH,TH))</f>
        <v>12483212799</v>
      </c>
      <c r="K18" s="1306">
        <f t="shared" ref="K18" si="30">ROUND(MAX(C18+G18-E18-I18,0),2)</f>
        <v>0</v>
      </c>
      <c r="L18" s="251">
        <f t="shared" ref="L18" si="31">ROUND(MAX(D18+H18-F18-J18,0),0)</f>
        <v>0</v>
      </c>
      <c r="M18" s="1306">
        <f t="shared" ref="M18" si="32">ROUND(MAX(E18+I18-C18-G18,0),2)</f>
        <v>0</v>
      </c>
      <c r="N18" s="251">
        <f t="shared" ref="N18" si="33">ROUND(MAX(F18+J18-D18-H18,0),0)</f>
        <v>0</v>
      </c>
    </row>
    <row r="19" spans="1:14" s="1123" customFormat="1" ht="18" customHeight="1">
      <c r="A19" s="1121">
        <f t="shared" si="17"/>
        <v>15</v>
      </c>
      <c r="B19" s="311" t="s">
        <v>1139</v>
      </c>
      <c r="C19" s="1304">
        <v>0</v>
      </c>
      <c r="D19" s="381">
        <v>0</v>
      </c>
      <c r="E19" s="1304">
        <v>0</v>
      </c>
      <c r="F19" s="1304">
        <v>0</v>
      </c>
      <c r="G19" s="1304">
        <f t="array" ref="G19">SUM(IF("131"&amp;B19=KHN&amp;KH,_TH))</f>
        <v>22336</v>
      </c>
      <c r="H19" s="1305">
        <f t="array" ref="H19">SUM(IF("131"&amp;B19=KHN&amp;KH,TH))</f>
        <v>506931480</v>
      </c>
      <c r="I19" s="1304">
        <f t="array" ref="I19">SUM(IF("131"&amp;B19=KHC&amp;KH,_TH))</f>
        <v>9600</v>
      </c>
      <c r="J19" s="1305">
        <f t="array" ref="J19">SUM(IF("131"&amp;B19=KHC&amp;KH,TH))</f>
        <v>217920000</v>
      </c>
      <c r="K19" s="1306">
        <f t="shared" ref="K19" si="34">ROUND(MAX(C19+G19-E19-I19,0),2)</f>
        <v>12736</v>
      </c>
      <c r="L19" s="251">
        <f t="shared" ref="L19" si="35">ROUND(MAX(D19+H19-F19-J19,0),0)</f>
        <v>289011480</v>
      </c>
      <c r="M19" s="1306">
        <f t="shared" ref="M19" si="36">ROUND(MAX(E19+I19-C19-G19,0),2)</f>
        <v>0</v>
      </c>
      <c r="N19" s="251">
        <f t="shared" ref="N19" si="37">ROUND(MAX(F19+J19-D19-H19,0),0)</f>
        <v>0</v>
      </c>
    </row>
    <row r="20" spans="1:14" s="1123" customFormat="1" ht="18" customHeight="1">
      <c r="A20" s="1121">
        <f t="shared" si="17"/>
        <v>16</v>
      </c>
      <c r="B20" s="311" t="s">
        <v>1387</v>
      </c>
      <c r="C20" s="1304">
        <v>0</v>
      </c>
      <c r="D20" s="381">
        <v>0</v>
      </c>
      <c r="E20" s="1304">
        <v>0</v>
      </c>
      <c r="F20" s="1304">
        <v>0</v>
      </c>
      <c r="G20" s="1304">
        <f t="array" ref="G20">SUM(IF("131"&amp;B20=KHN&amp;KH,_TH))</f>
        <v>59900</v>
      </c>
      <c r="H20" s="1305">
        <f t="array" ref="H20">SUM(IF("131"&amp;B20=KHN&amp;KH,TH))</f>
        <v>1361389000</v>
      </c>
      <c r="I20" s="1304">
        <f t="array" ref="I20">SUM(IF("131"&amp;B20=KHC&amp;KH,_TH))</f>
        <v>59900</v>
      </c>
      <c r="J20" s="1305">
        <f t="array" ref="J20">SUM(IF("131"&amp;B20=KHC&amp;KH,TH))</f>
        <v>1361389000</v>
      </c>
      <c r="K20" s="1306">
        <f t="shared" ref="K20" si="38">ROUND(MAX(C20+G20-E20-I20,0),2)</f>
        <v>0</v>
      </c>
      <c r="L20" s="251">
        <f t="shared" ref="L20" si="39">ROUND(MAX(D20+H20-F20-J20,0),0)</f>
        <v>0</v>
      </c>
      <c r="M20" s="1306">
        <f t="shared" ref="M20" si="40">ROUND(MAX(E20+I20-C20-G20,0),2)</f>
        <v>0</v>
      </c>
      <c r="N20" s="251">
        <f t="shared" ref="N20" si="41">ROUND(MAX(F20+J20-D20-H20,0),0)</f>
        <v>0</v>
      </c>
    </row>
    <row r="21" spans="1:14" s="1123" customFormat="1" ht="18" customHeight="1">
      <c r="A21" s="1121">
        <f t="shared" si="17"/>
        <v>17</v>
      </c>
      <c r="B21" s="311" t="s">
        <v>1403</v>
      </c>
      <c r="C21" s="1304">
        <v>0</v>
      </c>
      <c r="D21" s="381">
        <v>0</v>
      </c>
      <c r="E21" s="1304">
        <v>0</v>
      </c>
      <c r="F21" s="1304">
        <v>0</v>
      </c>
      <c r="G21" s="1304">
        <f t="array" ref="G21">SUM(IF("131"&amp;B21=KHN&amp;KH,_TH))</f>
        <v>52650</v>
      </c>
      <c r="H21" s="1305">
        <f t="array" ref="H21">SUM(IF("131"&amp;B21=KHN&amp;KH,TH))</f>
        <v>1195155000</v>
      </c>
      <c r="I21" s="1304">
        <f t="array" ref="I21">SUM(IF("131"&amp;B21=KHC&amp;KH,_TH))</f>
        <v>52650</v>
      </c>
      <c r="J21" s="1305">
        <f t="array" ref="J21">SUM(IF("131"&amp;B21=KHC&amp;KH,TH))</f>
        <v>1195155000</v>
      </c>
      <c r="K21" s="1306">
        <f t="shared" ref="K21" si="42">ROUND(MAX(C21+G21-E21-I21,0),2)</f>
        <v>0</v>
      </c>
      <c r="L21" s="251">
        <f t="shared" ref="L21" si="43">ROUND(MAX(D21+H21-F21-J21,0),0)</f>
        <v>0</v>
      </c>
      <c r="M21" s="1306">
        <f t="shared" ref="M21" si="44">ROUND(MAX(E21+I21-C21-G21,0),2)</f>
        <v>0</v>
      </c>
      <c r="N21" s="251">
        <f t="shared" ref="N21" si="45">ROUND(MAX(F21+J21-D21-H21,0),0)</f>
        <v>0</v>
      </c>
    </row>
    <row r="22" spans="1:14" s="1123" customFormat="1" ht="18" customHeight="1">
      <c r="A22" s="1121">
        <f t="shared" si="17"/>
        <v>18</v>
      </c>
      <c r="B22" s="311" t="s">
        <v>1548</v>
      </c>
      <c r="C22" s="1304">
        <v>0</v>
      </c>
      <c r="D22" s="381">
        <v>0</v>
      </c>
      <c r="E22" s="1304">
        <v>0</v>
      </c>
      <c r="F22" s="1304">
        <v>0</v>
      </c>
      <c r="G22" s="1304">
        <f t="array" ref="G22">SUM(IF("131"&amp;B22=KHN&amp;KH,_TH))</f>
        <v>127980</v>
      </c>
      <c r="H22" s="1305">
        <f t="array" ref="H22">SUM(IF("131"&amp;B22=KHN&amp;KH,TH))</f>
        <v>2905573200</v>
      </c>
      <c r="I22" s="1304">
        <f t="array" ref="I22">SUM(IF("131"&amp;B22=KHC&amp;KH,_TH))</f>
        <v>127980</v>
      </c>
      <c r="J22" s="1305">
        <f t="array" ref="J22">SUM(IF("131"&amp;B22=KHC&amp;KH,TH))</f>
        <v>2905573200</v>
      </c>
      <c r="K22" s="1306">
        <f t="shared" ref="K22" si="46">ROUND(MAX(C22+G22-E22-I22,0),2)</f>
        <v>0</v>
      </c>
      <c r="L22" s="251">
        <f t="shared" ref="L22" si="47">ROUND(MAX(D22+H22-F22-J22,0),0)</f>
        <v>0</v>
      </c>
      <c r="M22" s="1306">
        <f t="shared" ref="M22" si="48">ROUND(MAX(E22+I22-C22-G22,0),2)</f>
        <v>0</v>
      </c>
      <c r="N22" s="251">
        <f t="shared" ref="N22" si="49">ROUND(MAX(F22+J22-D22-H22,0),0)</f>
        <v>0</v>
      </c>
    </row>
    <row r="23" spans="1:14" s="1123" customFormat="1" ht="18" customHeight="1">
      <c r="A23" s="1121">
        <f t="shared" ref="A23" si="50">IF(B23&lt;&gt;"",ROW()-4,"")</f>
        <v>19</v>
      </c>
      <c r="B23" s="311" t="s">
        <v>1601</v>
      </c>
      <c r="C23" s="1304">
        <v>0</v>
      </c>
      <c r="D23" s="381">
        <v>0</v>
      </c>
      <c r="E23" s="1304">
        <v>0</v>
      </c>
      <c r="F23" s="1304">
        <v>0</v>
      </c>
      <c r="G23" s="1304">
        <f t="array" ref="G23">SUM(IF("131"&amp;B23=KHN&amp;KH,_TH))</f>
        <v>287999</v>
      </c>
      <c r="H23" s="1305">
        <f t="array" ref="H23">SUM(IF("131"&amp;B23=KHN&amp;KH,TH))</f>
        <v>6540896091</v>
      </c>
      <c r="I23" s="1304">
        <f t="array" ref="I23">SUM(IF("131"&amp;B23=KHC&amp;KH,_TH))</f>
        <v>287999</v>
      </c>
      <c r="J23" s="1305">
        <f t="array" ref="J23">SUM(IF("131"&amp;B23=KHC&amp;KH,TH))</f>
        <v>6540896091</v>
      </c>
      <c r="K23" s="1306">
        <f t="shared" ref="K23" si="51">ROUND(MAX(C23+G23-E23-I23,0),2)</f>
        <v>0</v>
      </c>
      <c r="L23" s="251">
        <f t="shared" ref="L23" si="52">ROUND(MAX(D23+H23-F23-J23,0),0)</f>
        <v>0</v>
      </c>
      <c r="M23" s="1306">
        <f t="shared" ref="M23" si="53">ROUND(MAX(E23+I23-C23-G23,0),2)</f>
        <v>0</v>
      </c>
      <c r="N23" s="251">
        <f t="shared" ref="N23" si="54">ROUND(MAX(F23+J23-D23-H23,0),0)</f>
        <v>0</v>
      </c>
    </row>
    <row r="24" spans="1:14" s="1123" customFormat="1" ht="18" customHeight="1">
      <c r="A24" s="1121">
        <f t="shared" ref="A24" si="55">IF(B24&lt;&gt;"",ROW()-4,"")</f>
        <v>20</v>
      </c>
      <c r="B24" s="311" t="s">
        <v>1642</v>
      </c>
      <c r="C24" s="1304">
        <v>0</v>
      </c>
      <c r="D24" s="381">
        <v>0</v>
      </c>
      <c r="E24" s="1304">
        <v>0</v>
      </c>
      <c r="F24" s="1304">
        <v>0</v>
      </c>
      <c r="G24" s="1304">
        <f t="array" ref="G24">SUM(IF("131"&amp;B24=KHN&amp;KH,_TH))</f>
        <v>104850</v>
      </c>
      <c r="H24" s="1305">
        <f t="array" ref="H24">SUM(IF("131"&amp;B24=KHN&amp;KH,TH))</f>
        <v>2379316500</v>
      </c>
      <c r="I24" s="1304">
        <f t="array" ref="I24">SUM(IF("131"&amp;B24=KHC&amp;KH,_TH))</f>
        <v>77250</v>
      </c>
      <c r="J24" s="1305">
        <f t="array" ref="J24">SUM(IF("131"&amp;B24=KHC&amp;KH,TH))</f>
        <v>1753348500</v>
      </c>
      <c r="K24" s="1306">
        <f t="shared" ref="K24" si="56">ROUND(MAX(C24+G24-E24-I24,0),2)</f>
        <v>27600</v>
      </c>
      <c r="L24" s="251">
        <f t="shared" ref="L24" si="57">ROUND(MAX(D24+H24-F24-J24,0),0)</f>
        <v>625968000</v>
      </c>
      <c r="M24" s="1306">
        <f t="shared" ref="M24" si="58">ROUND(MAX(E24+I24-C24-G24,0),2)</f>
        <v>0</v>
      </c>
      <c r="N24" s="251">
        <f t="shared" ref="N24" si="59">ROUND(MAX(F24+J24-D24-H24,0),0)</f>
        <v>0</v>
      </c>
    </row>
    <row r="25" spans="1:14" s="1123" customFormat="1" ht="18" customHeight="1">
      <c r="A25" s="1121">
        <f t="shared" ref="A25" si="60">IF(B25&lt;&gt;"",ROW()-4,"")</f>
        <v>21</v>
      </c>
      <c r="B25" s="294" t="s">
        <v>1677</v>
      </c>
      <c r="C25" s="1304">
        <v>0</v>
      </c>
      <c r="D25" s="381">
        <v>0</v>
      </c>
      <c r="E25" s="1304">
        <v>0</v>
      </c>
      <c r="F25" s="1304">
        <v>0</v>
      </c>
      <c r="G25" s="1304">
        <f t="array" ref="G25">SUM(IF("131"&amp;B25=KHN&amp;KH,_TH))</f>
        <v>64000</v>
      </c>
      <c r="H25" s="1305">
        <f t="array" ref="H25">SUM(IF("131"&amp;B25=KHN&amp;KH,TH))</f>
        <v>1454400000</v>
      </c>
      <c r="I25" s="1304">
        <f t="array" ref="I25">SUM(IF("131"&amp;B25=KHC&amp;KH,_TH))</f>
        <v>64000</v>
      </c>
      <c r="J25" s="1305">
        <f t="array" ref="J25">SUM(IF("131"&amp;B25=KHC&amp;KH,TH))</f>
        <v>1454400000</v>
      </c>
      <c r="K25" s="1306">
        <f t="shared" ref="K25" si="61">ROUND(MAX(C25+G25-E25-I25,0),2)</f>
        <v>0</v>
      </c>
      <c r="L25" s="251">
        <f t="shared" ref="L25" si="62">ROUND(MAX(D25+H25-F25-J25,0),0)</f>
        <v>0</v>
      </c>
      <c r="M25" s="1306">
        <f t="shared" ref="M25" si="63">ROUND(MAX(E25+I25-C25-G25,0),2)</f>
        <v>0</v>
      </c>
      <c r="N25" s="251">
        <f t="shared" ref="N25" si="64">ROUND(MAX(F25+J25-D25-H25,0),0)</f>
        <v>0</v>
      </c>
    </row>
    <row r="26" spans="1:14" s="1123" customFormat="1" ht="18" customHeight="1">
      <c r="A26" s="1121">
        <f t="shared" ref="A26:A31" si="65">IF(B26&lt;&gt;"",ROW()-4,"")</f>
        <v>22</v>
      </c>
      <c r="B26" s="294" t="s">
        <v>1859</v>
      </c>
      <c r="C26" s="1304">
        <v>0</v>
      </c>
      <c r="D26" s="381">
        <v>0</v>
      </c>
      <c r="E26" s="1304">
        <v>0</v>
      </c>
      <c r="F26" s="1304">
        <v>0</v>
      </c>
      <c r="G26" s="1304">
        <f t="array" ref="G26">SUM(IF("131"&amp;B26=KHN&amp;KH,_TH))</f>
        <v>2721572</v>
      </c>
      <c r="H26" s="1305">
        <f t="array" ref="H26">SUM(IF("131"&amp;B26=KHN&amp;KH,TH))</f>
        <v>61751712750</v>
      </c>
      <c r="I26" s="1304">
        <f t="array" ref="I26">SUM(IF("131"&amp;B26=KHC&amp;KH,_TH))</f>
        <v>1932656</v>
      </c>
      <c r="J26" s="1305">
        <f t="array" ref="J26">SUM(IF("131"&amp;B26=KHC&amp;KH,TH))</f>
        <v>43878632726</v>
      </c>
      <c r="K26" s="1306">
        <f t="shared" ref="K26" si="66">ROUND(MAX(C26+G26-E26-I26,0),2)</f>
        <v>788916</v>
      </c>
      <c r="L26" s="251">
        <f t="shared" ref="L26" si="67">ROUND(MAX(D26+H26-F26-J26,0),0)</f>
        <v>17873080024</v>
      </c>
      <c r="M26" s="1306">
        <f t="shared" ref="M26" si="68">ROUND(MAX(E26+I26-C26-G26,0),2)</f>
        <v>0</v>
      </c>
      <c r="N26" s="251">
        <f t="shared" ref="N26" si="69">ROUND(MAX(F26+J26-D26-H26,0),0)</f>
        <v>0</v>
      </c>
    </row>
    <row r="27" spans="1:14" s="1123" customFormat="1" ht="18" customHeight="1">
      <c r="A27" s="1121">
        <f t="shared" si="65"/>
        <v>23</v>
      </c>
      <c r="B27" s="294" t="s">
        <v>1903</v>
      </c>
      <c r="C27" s="1304">
        <v>0</v>
      </c>
      <c r="D27" s="381">
        <v>0</v>
      </c>
      <c r="E27" s="1304">
        <v>0</v>
      </c>
      <c r="F27" s="1304">
        <v>0</v>
      </c>
      <c r="G27" s="1304">
        <f t="array" ref="G27">SUM(IF("131"&amp;B27=KHN&amp;KH,_TH))</f>
        <v>84200</v>
      </c>
      <c r="H27" s="1305">
        <f t="array" ref="H27">SUM(IF("131"&amp;B27=KHN&amp;KH,TH))</f>
        <v>1911340000</v>
      </c>
      <c r="I27" s="1304">
        <f t="array" ref="I27">SUM(IF("131"&amp;B27=KHC&amp;KH,_TH))</f>
        <v>84200</v>
      </c>
      <c r="J27" s="1305">
        <f t="array" ref="J27">SUM(IF("131"&amp;B27=KHC&amp;KH,TH))</f>
        <v>1911340000</v>
      </c>
      <c r="K27" s="1306">
        <f t="shared" ref="K27" si="70">ROUND(MAX(C27+G27-E27-I27,0),2)</f>
        <v>0</v>
      </c>
      <c r="L27" s="251">
        <f t="shared" ref="L27" si="71">ROUND(MAX(D27+H27-F27-J27,0),0)</f>
        <v>0</v>
      </c>
      <c r="M27" s="1306">
        <f t="shared" ref="M27" si="72">ROUND(MAX(E27+I27-C27-G27,0),2)</f>
        <v>0</v>
      </c>
      <c r="N27" s="251">
        <f t="shared" ref="N27" si="73">ROUND(MAX(F27+J27-D27-H27,0),0)</f>
        <v>0</v>
      </c>
    </row>
    <row r="28" spans="1:14" s="1123" customFormat="1" ht="18" customHeight="1">
      <c r="A28" s="1121">
        <f t="shared" si="65"/>
        <v>24</v>
      </c>
      <c r="B28" s="311" t="s">
        <v>2842</v>
      </c>
      <c r="C28" s="1304"/>
      <c r="D28" s="381"/>
      <c r="E28" s="1304"/>
      <c r="F28" s="1304">
        <v>0</v>
      </c>
      <c r="G28" s="1304">
        <f t="array" ref="G28">SUM(IF("131"&amp;B28=KHN&amp;KH,_TH))</f>
        <v>101904</v>
      </c>
      <c r="H28" s="1305">
        <f t="array" ref="H28">SUM(IF("131"&amp;B28=KHN&amp;KH,TH))</f>
        <v>2311182720</v>
      </c>
      <c r="I28" s="1304">
        <f t="array" ref="I28">SUM(IF("131"&amp;B28=KHC&amp;KH,_TH))</f>
        <v>5274.74</v>
      </c>
      <c r="J28" s="1305">
        <f t="array" ref="J28">SUM(IF("131"&amp;B28=KHC&amp;KH,TH))</f>
        <v>119736598</v>
      </c>
      <c r="K28" s="1306">
        <f>ROUND(MAX(C28+G28-E28-I28,0),2)</f>
        <v>96629.26</v>
      </c>
      <c r="L28" s="251">
        <f>ROUND(MAX(D28+H28-F28-J28,0),0)</f>
        <v>2191446122</v>
      </c>
      <c r="M28" s="1306">
        <f t="shared" ref="M28:M29" si="74">ROUND(MAX(E28+I28-C28-G28,0),2)</f>
        <v>0</v>
      </c>
      <c r="N28" s="251">
        <f t="shared" ref="N28:N29" si="75">ROUND(MAX(F28+J28-D28-H28,0),0)</f>
        <v>0</v>
      </c>
    </row>
    <row r="29" spans="1:14" s="1123" customFormat="1" ht="18" customHeight="1">
      <c r="A29" s="1121">
        <f t="shared" si="65"/>
        <v>25</v>
      </c>
      <c r="B29" s="294" t="s">
        <v>2762</v>
      </c>
      <c r="C29" s="1304"/>
      <c r="D29" s="381"/>
      <c r="E29" s="1304"/>
      <c r="F29" s="1304">
        <v>0</v>
      </c>
      <c r="G29" s="1304">
        <f t="array" ref="G29">SUM(IF("131"&amp;B29=KHN&amp;KH,_TH))</f>
        <v>23250</v>
      </c>
      <c r="H29" s="1305">
        <f t="array" ref="H29">SUM(IF("131"&amp;B29=KHN&amp;KH,TH))</f>
        <v>527821500</v>
      </c>
      <c r="I29" s="1304">
        <f t="array" ref="I29">SUM(IF("131"&amp;B29=KHC&amp;KH,_TH))</f>
        <v>23250</v>
      </c>
      <c r="J29" s="1305">
        <f t="array" ref="J29">SUM(IF("131"&amp;B29=KHC&amp;KH,TH))</f>
        <v>527821500</v>
      </c>
      <c r="K29" s="1306">
        <f t="shared" ref="K29" si="76">ROUND(MAX(C29+G29-E29-I29,0),2)</f>
        <v>0</v>
      </c>
      <c r="L29" s="251">
        <f t="shared" ref="L29" si="77">ROUND(MAX(D29+H29-F29-J29,0),0)</f>
        <v>0</v>
      </c>
      <c r="M29" s="1306">
        <f t="shared" si="74"/>
        <v>0</v>
      </c>
      <c r="N29" s="251">
        <f t="shared" si="75"/>
        <v>0</v>
      </c>
    </row>
    <row r="30" spans="1:14" s="1123" customFormat="1" ht="18" customHeight="1">
      <c r="A30" s="1121" t="str">
        <f t="shared" si="65"/>
        <v/>
      </c>
      <c r="B30" s="294"/>
      <c r="C30" s="1304"/>
      <c r="D30" s="381"/>
      <c r="E30" s="1304"/>
      <c r="F30" s="1304"/>
      <c r="G30" s="1304"/>
      <c r="H30" s="1305"/>
      <c r="I30" s="1304"/>
      <c r="J30" s="1305"/>
      <c r="K30" s="1306"/>
      <c r="L30" s="251"/>
      <c r="M30" s="1306"/>
      <c r="N30" s="251"/>
    </row>
    <row r="31" spans="1:14" s="1123" customFormat="1" ht="18" customHeight="1">
      <c r="A31" s="1121" t="str">
        <f t="shared" si="65"/>
        <v/>
      </c>
      <c r="B31" s="311"/>
      <c r="C31" s="1304"/>
      <c r="D31" s="381"/>
      <c r="E31" s="1304"/>
      <c r="F31" s="1304"/>
      <c r="G31" s="1304"/>
      <c r="H31" s="1305"/>
      <c r="I31" s="1304"/>
      <c r="J31" s="1305"/>
      <c r="K31" s="1306"/>
      <c r="L31" s="251"/>
      <c r="M31" s="1306"/>
      <c r="N31" s="251"/>
    </row>
    <row r="32" spans="1:14" ht="18" customHeight="1">
      <c r="A32" s="1188"/>
      <c r="B32" s="1189" t="s">
        <v>41</v>
      </c>
      <c r="C32" s="1308">
        <f t="shared" ref="C32:M32" si="78">SUM(C5:C31)</f>
        <v>2518428.58</v>
      </c>
      <c r="D32" s="1190">
        <f t="shared" si="78"/>
        <v>57038792896</v>
      </c>
      <c r="E32" s="1308">
        <f t="shared" si="78"/>
        <v>0</v>
      </c>
      <c r="F32" s="1309">
        <f t="shared" si="78"/>
        <v>0</v>
      </c>
      <c r="G32" s="1308">
        <f t="shared" si="78"/>
        <v>18536448.299999997</v>
      </c>
      <c r="H32" s="1190">
        <f t="shared" si="78"/>
        <v>431176057916</v>
      </c>
      <c r="I32" s="1308">
        <f t="shared" si="78"/>
        <v>19902439.939999998</v>
      </c>
      <c r="J32" s="1309">
        <f t="shared" si="78"/>
        <v>462223487473</v>
      </c>
      <c r="K32" s="1308">
        <f t="shared" si="78"/>
        <v>1152436.94</v>
      </c>
      <c r="L32" s="1190">
        <f t="shared" si="78"/>
        <v>25991363339</v>
      </c>
      <c r="M32" s="1308">
        <f t="shared" si="78"/>
        <v>0</v>
      </c>
      <c r="N32" s="1309">
        <f>SUM(N5:N31)</f>
        <v>0</v>
      </c>
    </row>
    <row r="34" spans="4:14">
      <c r="D34" s="1194">
        <f>D32-CDPS!C17</f>
        <v>0</v>
      </c>
      <c r="H34" s="1310">
        <f>H32-CDPS!E17</f>
        <v>0</v>
      </c>
      <c r="J34" s="1310">
        <f>J32-CDPS!F17</f>
        <v>0</v>
      </c>
      <c r="N34" s="1310">
        <f>L32-N32-CDPS!G17</f>
        <v>0</v>
      </c>
    </row>
    <row r="36" spans="4:14">
      <c r="I36" s="1310"/>
    </row>
  </sheetData>
  <autoFilter ref="A1:N3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Q38"/>
  <sheetViews>
    <sheetView topLeftCell="B6" zoomScale="90" zoomScaleNormal="90" workbookViewId="0">
      <pane ySplit="11" topLeftCell="A17" activePane="bottomLeft" state="frozen"/>
      <selection activeCell="P41" sqref="P41"/>
      <selection pane="bottomLeft" activeCell="H36" sqref="H36"/>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9.42578125" customWidth="1"/>
    <col min="10" max="10" width="13.85546875" customWidth="1"/>
    <col min="11" max="11" width="18" customWidth="1"/>
    <col min="12" max="12" width="13.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29" customFormat="1" ht="14.25"/>
    <row r="2" spans="1:15" s="662" customFormat="1" ht="16.5" customHeight="1">
      <c r="A2" s="713" t="s">
        <v>306</v>
      </c>
      <c r="B2" s="712"/>
      <c r="C2" s="711"/>
      <c r="D2" s="416"/>
      <c r="E2" s="705"/>
      <c r="G2" s="704"/>
      <c r="H2" s="703"/>
      <c r="I2" s="710"/>
      <c r="J2" s="709"/>
      <c r="K2" s="2"/>
      <c r="L2" s="2"/>
      <c r="M2" s="661" t="s">
        <v>554</v>
      </c>
      <c r="N2" s="2"/>
      <c r="O2" s="2"/>
    </row>
    <row r="3" spans="1:15" s="662" customFormat="1" ht="16.5" customHeight="1">
      <c r="A3" s="1457" t="s">
        <v>553</v>
      </c>
      <c r="B3" s="1457"/>
      <c r="C3" s="1457"/>
      <c r="D3" s="1457"/>
      <c r="E3" s="705"/>
      <c r="G3" s="704"/>
      <c r="H3" s="703"/>
      <c r="I3" s="702"/>
      <c r="J3" s="701"/>
      <c r="K3" s="17"/>
      <c r="L3" s="17"/>
      <c r="M3" s="707" t="s">
        <v>309</v>
      </c>
      <c r="N3" s="17"/>
      <c r="O3" s="17"/>
    </row>
    <row r="4" spans="1:15" s="662" customFormat="1" ht="16.5" customHeight="1">
      <c r="A4" s="708"/>
      <c r="B4" s="708"/>
      <c r="C4" s="708"/>
      <c r="D4" s="708"/>
      <c r="E4" s="705"/>
      <c r="G4" s="704" t="s">
        <v>552</v>
      </c>
      <c r="H4" s="703"/>
      <c r="I4" s="702"/>
      <c r="J4" s="701"/>
      <c r="K4" s="17"/>
      <c r="L4" s="17"/>
      <c r="M4" s="707" t="s">
        <v>310</v>
      </c>
      <c r="N4" s="17"/>
      <c r="O4" s="17"/>
    </row>
    <row r="5" spans="1:15" s="662" customFormat="1" ht="6.75" customHeight="1">
      <c r="A5" s="706"/>
      <c r="B5" s="706"/>
      <c r="C5" s="706"/>
      <c r="E5" s="705"/>
      <c r="G5" s="704"/>
      <c r="H5" s="703"/>
      <c r="I5" s="702"/>
      <c r="J5" s="701"/>
      <c r="K5" s="700"/>
      <c r="L5" s="659"/>
      <c r="M5" s="659"/>
      <c r="N5" s="659"/>
      <c r="O5" s="659"/>
    </row>
    <row r="6" spans="1:15" s="5" customFormat="1" ht="23.25" customHeight="1">
      <c r="A6" s="1458" t="s">
        <v>551</v>
      </c>
      <c r="B6" s="1458"/>
      <c r="C6" s="1458"/>
      <c r="D6" s="1458"/>
      <c r="E6" s="1458"/>
      <c r="F6" s="1458"/>
      <c r="G6" s="1458"/>
      <c r="H6" s="1458"/>
      <c r="I6" s="1458"/>
      <c r="J6" s="1458"/>
      <c r="K6" s="1458"/>
      <c r="L6" s="1458"/>
      <c r="M6" s="1458"/>
      <c r="N6" s="1458"/>
      <c r="O6" s="1458"/>
    </row>
    <row r="7" spans="1:15" s="5" customFormat="1" ht="15">
      <c r="H7" s="660" t="s">
        <v>29</v>
      </c>
    </row>
    <row r="8" spans="1:15" s="5" customFormat="1" ht="15">
      <c r="H8" s="660" t="s">
        <v>550</v>
      </c>
    </row>
    <row r="9" spans="1:15" s="5" customFormat="1" ht="15">
      <c r="G9" s="221" t="s">
        <v>549</v>
      </c>
      <c r="H9" s="1459" t="s">
        <v>751</v>
      </c>
      <c r="I9" s="1459"/>
      <c r="J9" s="1459"/>
    </row>
    <row r="10" spans="1:15" s="5" customFormat="1" ht="15">
      <c r="H10" s="660" t="s">
        <v>241</v>
      </c>
    </row>
    <row r="11" spans="1:15" s="5" customFormat="1" ht="15">
      <c r="A11" s="4"/>
      <c r="B11" s="4"/>
      <c r="C11" s="699"/>
      <c r="D11" s="699"/>
      <c r="E11" s="699"/>
      <c r="F11" s="699"/>
      <c r="G11" s="699"/>
      <c r="H11" s="699"/>
      <c r="I11" s="699"/>
      <c r="J11" s="699"/>
      <c r="K11" s="699"/>
      <c r="L11" s="699"/>
      <c r="M11" s="699"/>
      <c r="N11" s="699"/>
      <c r="O11" s="699"/>
    </row>
    <row r="12" spans="1:15" s="660" customFormat="1" ht="15.75" customHeight="1">
      <c r="A12" s="1460" t="s">
        <v>22</v>
      </c>
      <c r="B12" s="1463" t="s">
        <v>1</v>
      </c>
      <c r="C12" s="1464"/>
      <c r="D12" s="1460" t="s">
        <v>0</v>
      </c>
      <c r="E12" s="1460" t="s">
        <v>16</v>
      </c>
      <c r="F12" s="1460" t="s">
        <v>242</v>
      </c>
      <c r="G12" s="1465" t="s">
        <v>548</v>
      </c>
      <c r="H12" s="1463" t="s">
        <v>23</v>
      </c>
      <c r="I12" s="1468"/>
      <c r="J12" s="1468"/>
      <c r="K12" s="1464"/>
      <c r="L12" s="1463" t="s">
        <v>33</v>
      </c>
      <c r="M12" s="1469"/>
      <c r="N12" s="1469"/>
      <c r="O12" s="1470"/>
    </row>
    <row r="13" spans="1:15" s="660" customFormat="1" ht="15.75" customHeight="1">
      <c r="A13" s="1461"/>
      <c r="B13" s="1471" t="s">
        <v>17</v>
      </c>
      <c r="C13" s="1471" t="s">
        <v>34</v>
      </c>
      <c r="D13" s="1461"/>
      <c r="E13" s="1461"/>
      <c r="F13" s="1461"/>
      <c r="G13" s="1466"/>
      <c r="H13" s="1473" t="s">
        <v>24</v>
      </c>
      <c r="I13" s="1474"/>
      <c r="J13" s="1473" t="s">
        <v>25</v>
      </c>
      <c r="K13" s="1474"/>
      <c r="L13" s="1473" t="s">
        <v>24</v>
      </c>
      <c r="M13" s="1470"/>
      <c r="N13" s="1473" t="s">
        <v>25</v>
      </c>
      <c r="O13" s="1470"/>
    </row>
    <row r="14" spans="1:15" s="660" customFormat="1" ht="27.75" customHeight="1">
      <c r="A14" s="1462"/>
      <c r="B14" s="1472"/>
      <c r="C14" s="1472"/>
      <c r="D14" s="1462"/>
      <c r="E14" s="1462"/>
      <c r="F14" s="1462"/>
      <c r="G14" s="1467"/>
      <c r="H14" s="698" t="s">
        <v>243</v>
      </c>
      <c r="I14" s="696" t="s">
        <v>244</v>
      </c>
      <c r="J14" s="697" t="s">
        <v>243</v>
      </c>
      <c r="K14" s="696" t="s">
        <v>244</v>
      </c>
      <c r="L14" s="695" t="s">
        <v>243</v>
      </c>
      <c r="M14" s="695" t="s">
        <v>244</v>
      </c>
      <c r="N14" s="695" t="s">
        <v>243</v>
      </c>
      <c r="O14" s="695" t="s">
        <v>244</v>
      </c>
    </row>
    <row r="15" spans="1:15" s="660" customFormat="1" ht="15">
      <c r="A15" s="682" t="s">
        <v>2</v>
      </c>
      <c r="B15" s="694" t="s">
        <v>3</v>
      </c>
      <c r="C15" s="682" t="s">
        <v>4</v>
      </c>
      <c r="D15" s="682" t="s">
        <v>5</v>
      </c>
      <c r="E15" s="682" t="s">
        <v>6</v>
      </c>
      <c r="F15" s="682">
        <v>1</v>
      </c>
      <c r="G15" s="682">
        <v>2</v>
      </c>
      <c r="H15" s="682">
        <v>3</v>
      </c>
      <c r="I15" s="682">
        <v>4</v>
      </c>
      <c r="J15" s="682">
        <v>5</v>
      </c>
      <c r="K15" s="682">
        <v>6</v>
      </c>
      <c r="L15" s="682">
        <v>7</v>
      </c>
      <c r="M15" s="682">
        <v>8</v>
      </c>
      <c r="N15" s="682">
        <v>9</v>
      </c>
      <c r="O15" s="682">
        <v>10</v>
      </c>
    </row>
    <row r="16" spans="1:15" s="5" customFormat="1" ht="16.5" customHeight="1">
      <c r="A16" s="684"/>
      <c r="B16" s="684"/>
      <c r="C16" s="684"/>
      <c r="D16" s="683" t="s">
        <v>7</v>
      </c>
      <c r="E16" s="684"/>
      <c r="F16" s="682"/>
      <c r="G16" s="692"/>
      <c r="H16" s="691"/>
      <c r="I16" s="692"/>
      <c r="J16" s="693"/>
      <c r="K16" s="692"/>
      <c r="L16" s="691">
        <f>VLOOKUP($H$9,'131'!$B$5:$F$26,2,0)</f>
        <v>0</v>
      </c>
      <c r="M16" s="690">
        <f>VLOOKUP($H$9,'131'!$B$5:$F$26,3,0)</f>
        <v>0</v>
      </c>
      <c r="N16" s="691">
        <f>VLOOKUP($H$9,'131'!$B$5:$F$26,4,0)</f>
        <v>0</v>
      </c>
      <c r="O16" s="690">
        <f>VLOOKUP($H$9,'131'!$B$5:$F$26,5,0)</f>
        <v>0</v>
      </c>
    </row>
    <row r="17" spans="1:17" s="5" customFormat="1" ht="16.5" customHeight="1">
      <c r="A17" s="203">
        <f t="shared" ref="A17:A30" ca="1" si="0">IF(C17&lt;&gt;"",C17,"")</f>
        <v>42901</v>
      </c>
      <c r="B17" s="207" t="str">
        <f ca="1">IF(ROWS($1:1)&gt;COUNT(Dong14),"",OFFSET(TH!D$1,SMALL(Dong14,ROWS($1:1)),))</f>
        <v>TP/X06</v>
      </c>
      <c r="C17" s="203">
        <f ca="1">IF(ROWS($1:1)&gt;COUNT(Dong14),"",OFFSET(TH!E$1,SMALL(Dong14,ROWS($1:1)),))</f>
        <v>42901</v>
      </c>
      <c r="D17" s="689" t="str">
        <f ca="1">IF(ROWS($1:1)&gt;COUNT(Dong14),"",OFFSET(TH!F$1,SMALL(Dong14,ROWS($1:1)),))</f>
        <v>Phí gia công  khô cá mai</v>
      </c>
      <c r="E17" s="687" t="str">
        <f ca="1">IF(ROWS($1:1)&gt;COUNT(Dong14),"",IF(OFFSET(TH!N$1,SMALL(Dong14,ROWS($1:1)),)="131",OFFSET(TH!O$1,SMALL(Dong14,ROWS($1:1)),),OFFSET(TH!N$1,SMALL(Dong14,ROWS($1:1)),)))</f>
        <v>5112N</v>
      </c>
      <c r="F17" s="687">
        <f ca="1">IF(ROWS($1:1)&gt;COUNT(Dong14),0,OFFSET(TH!L$1,SMALL(Dong14,ROWS($1:1)),))</f>
        <v>0</v>
      </c>
      <c r="G17" s="687"/>
      <c r="H17" s="688">
        <f ca="1">IF(ROWS($1:1)&gt;COUNT(Dong14),0,IF(OFFSET(TH!N$1,SMALL(Dong14,ROWS($1:1)),)="131",OFFSET(TH!K$1,SMALL(Dong14,ROWS($1:1)),),0))</f>
        <v>0</v>
      </c>
      <c r="I17" s="687">
        <f ca="1">IF(ROWS($1:1)&gt;COUNT(Dong14),0,IF(OFFSET(TH!N$1,SMALL(Dong14,ROWS($1:1)),)="131",OFFSET(TH!M$1,SMALL(Dong14,ROWS($1:1)),),0))</f>
        <v>91057500</v>
      </c>
      <c r="J17" s="688">
        <f ca="1">IF(ROWS($1:1)&gt;COUNT(Dong14),0,IF(OFFSET(TH!O$1,SMALL(Dong14,ROWS($1:1)),)="131",OFFSET(TH!K$1,SMALL(Dong14,ROWS($1:1)),),0))</f>
        <v>0</v>
      </c>
      <c r="K17" s="687">
        <f ca="1">IF(ROWS($1:1)&gt;COUNT(Dong14),0,IF(OFFSET(TH!O$1,SMALL(Dong14,ROWS($1:1)),)="131",OFFSET(TH!M$1,SMALL(Dong14,ROWS($1:1)),),0))</f>
        <v>0</v>
      </c>
      <c r="L17" s="686">
        <f ca="1">IF(D17&lt;&gt;"",ROUND(MAX(L16+H17-J17-N16,0),2),0)</f>
        <v>0</v>
      </c>
      <c r="M17" s="685">
        <f ca="1">IF(D17&lt;&gt;"",MAX(M16-O16+I17-K17,0),0)</f>
        <v>91057500</v>
      </c>
      <c r="N17" s="686">
        <f ca="1">IF(D17&lt;&gt;"",ROUND(MAX(N16+J17-H17-L16,0),2),0)</f>
        <v>0</v>
      </c>
      <c r="O17" s="685">
        <f ca="1">IF(D17&lt;&gt;"",MAX(O16-M16+K17-I17,0),0)</f>
        <v>0</v>
      </c>
    </row>
    <row r="18" spans="1:17" s="5" customFormat="1" ht="16.5" customHeight="1">
      <c r="A18" s="203">
        <f t="shared" ca="1" si="0"/>
        <v>42901</v>
      </c>
      <c r="B18" s="207" t="str">
        <f ca="1">IF(ROWS($1:2)&gt;COUNT(Dong14),"",OFFSET(TH!D$1,SMALL(Dong14,ROWS($1:2)),))</f>
        <v>TP/X06</v>
      </c>
      <c r="C18" s="203">
        <f ca="1">IF(ROWS($1:2)&gt;COUNT(Dong14),"",OFFSET(TH!E$1,SMALL(Dong14,ROWS($1:2)),))</f>
        <v>42901</v>
      </c>
      <c r="D18" s="689" t="str">
        <f ca="1">IF(ROWS($1:2)&gt;COUNT(Dong14),"",OFFSET(TH!F$1,SMALL(Dong14,ROWS($1:2)),))</f>
        <v>VAT Phí gia công  khô cá mai</v>
      </c>
      <c r="E18" s="687" t="str">
        <f ca="1">IF(ROWS($1:2)&gt;COUNT(Dong14),"",IF(OFFSET(TH!N$1,SMALL(Dong14,ROWS($1:2)),)="131",OFFSET(TH!O$1,SMALL(Dong14,ROWS($1:2)),),OFFSET(TH!N$1,SMALL(Dong14,ROWS($1:2)),)))</f>
        <v>33311</v>
      </c>
      <c r="F18" s="687">
        <f ca="1">IF(ROWS($1:2)&gt;COUNT(Dong14),0,OFFSET(TH!L$1,SMALL(Dong14,ROWS($1:2)),))</f>
        <v>0</v>
      </c>
      <c r="G18" s="687"/>
      <c r="H18" s="1088">
        <f ca="1">IF(ROWS($1:2)&gt;COUNT(Dong14),0,IF(OFFSET(TH!N$1,SMALL(Dong14,ROWS($1:2)),)="131",OFFSET(TH!K$1,SMALL(Dong14,ROWS($1:2)),),0))</f>
        <v>0</v>
      </c>
      <c r="I18" s="687">
        <f ca="1">IF(ROWS($1:2)&gt;COUNT(Dong14),0,IF(OFFSET(TH!N$1,SMALL(Dong14,ROWS($1:2)),)="131",OFFSET(TH!M$1,SMALL(Dong14,ROWS($1:2)),),0))</f>
        <v>9105750</v>
      </c>
      <c r="J18" s="688">
        <f ca="1">IF(ROWS($1:2)&gt;COUNT(Dong14),0,IF(OFFSET(TH!O$1,SMALL(Dong14,ROWS($1:2)),)="131",OFFSET(TH!K$1,SMALL(Dong14,ROWS($1:2)),),0))</f>
        <v>0</v>
      </c>
      <c r="K18" s="687">
        <f ca="1">IF(ROWS($1:2)&gt;COUNT(Dong14),0,IF(OFFSET(TH!O$1,SMALL(Dong14,ROWS($1:2)),)="131",OFFSET(TH!M$1,SMALL(Dong14,ROWS($1:2)),),0))</f>
        <v>0</v>
      </c>
      <c r="L18" s="686">
        <f t="shared" ref="L18:L30" ca="1" si="1">IF(D18&lt;&gt;"",ROUND(MAX(L17+H18-J18-N17,0),2),0)</f>
        <v>0</v>
      </c>
      <c r="M18" s="685">
        <f t="shared" ref="M18:M30" ca="1" si="2">IF(D18&lt;&gt;"",MAX(M17-O17+I18-K18,0),0)</f>
        <v>100163250</v>
      </c>
      <c r="N18" s="686">
        <f t="shared" ref="N18:N30" ca="1" si="3">IF(D18&lt;&gt;"",ROUND(MAX(N17+J18-H18-L17,0),2),0)</f>
        <v>0</v>
      </c>
      <c r="O18" s="685">
        <f t="shared" ref="O18:O30" ca="1" si="4">IF(D18&lt;&gt;"",MAX(O17-M17+K18-I18,0),0)</f>
        <v>0</v>
      </c>
    </row>
    <row r="19" spans="1:17" s="5" customFormat="1" ht="16.5" customHeight="1">
      <c r="A19" s="203">
        <f t="shared" ca="1" si="0"/>
        <v>43054</v>
      </c>
      <c r="B19" s="207" t="str">
        <f ca="1">IF(ROWS($1:3)&gt;COUNT(Dong14),"",OFFSET(TH!D$1,SMALL(Dong14,ROWS($1:3)),))</f>
        <v>TP/X03</v>
      </c>
      <c r="C19" s="203">
        <f ca="1">IF(ROWS($1:3)&gt;COUNT(Dong14),"",OFFSET(TH!E$1,SMALL(Dong14,ROWS($1:3)),))</f>
        <v>43054</v>
      </c>
      <c r="D19" s="689" t="str">
        <f ca="1">IF(ROWS($1:3)&gt;COUNT(Dong14),"",OFFSET(TH!F$1,SMALL(Dong14,ROWS($1:3)),))</f>
        <v>Khô cá mai tẩm TP</v>
      </c>
      <c r="E19" s="687" t="str">
        <f ca="1">IF(ROWS($1:3)&gt;COUNT(Dong14),"",IF(OFFSET(TH!N$1,SMALL(Dong14,ROWS($1:3)),)="131",OFFSET(TH!O$1,SMALL(Dong14,ROWS($1:3)),),OFFSET(TH!N$1,SMALL(Dong14,ROWS($1:3)),)))</f>
        <v>5112N</v>
      </c>
      <c r="F19" s="687">
        <f ca="1">IF(ROWS($1:3)&gt;COUNT(Dong14),0,OFFSET(TH!L$1,SMALL(Dong14,ROWS($1:3)),))</f>
        <v>0</v>
      </c>
      <c r="G19" s="687"/>
      <c r="H19" s="1132">
        <f ca="1">IF(ROWS($1:3)&gt;COUNT(Dong14),0,IF(OFFSET(TH!N$1,SMALL(Dong14,ROWS($1:3)),)="131",OFFSET(TH!K$1,SMALL(Dong14,ROWS($1:3)),),0))</f>
        <v>0</v>
      </c>
      <c r="I19" s="687">
        <f ca="1">IF(ROWS($1:3)&gt;COUNT(Dong14),0,IF(OFFSET(TH!N$1,SMALL(Dong14,ROWS($1:3)),)="131",OFFSET(TH!M$1,SMALL(Dong14,ROWS($1:3)),),0))</f>
        <v>765000000</v>
      </c>
      <c r="J19" s="688">
        <f ca="1">IF(ROWS($1:3)&gt;COUNT(Dong14),0,IF(OFFSET(TH!O$1,SMALL(Dong14,ROWS($1:3)),)="131",OFFSET(TH!K$1,SMALL(Dong14,ROWS($1:3)),),0))</f>
        <v>0</v>
      </c>
      <c r="K19" s="687">
        <f ca="1">IF(ROWS($1:3)&gt;COUNT(Dong14),0,IF(OFFSET(TH!O$1,SMALL(Dong14,ROWS($1:3)),)="131",OFFSET(TH!M$1,SMALL(Dong14,ROWS($1:3)),),0))</f>
        <v>0</v>
      </c>
      <c r="L19" s="686">
        <f t="shared" ca="1" si="1"/>
        <v>0</v>
      </c>
      <c r="M19" s="685">
        <f t="shared" ca="1" si="2"/>
        <v>865163250</v>
      </c>
      <c r="N19" s="686">
        <f t="shared" ca="1" si="3"/>
        <v>0</v>
      </c>
      <c r="O19" s="685">
        <f t="shared" ca="1" si="4"/>
        <v>0</v>
      </c>
    </row>
    <row r="20" spans="1:17" s="5" customFormat="1" ht="16.5" customHeight="1">
      <c r="A20" s="203">
        <f t="shared" ca="1" si="0"/>
        <v>43054</v>
      </c>
      <c r="B20" s="207" t="str">
        <f ca="1">IF(ROWS($1:4)&gt;COUNT(Dong14),"",OFFSET(TH!D$1,SMALL(Dong14,ROWS($1:4)),))</f>
        <v>TP/X03</v>
      </c>
      <c r="C20" s="203">
        <f ca="1">IF(ROWS($1:4)&gt;COUNT(Dong14),"",OFFSET(TH!E$1,SMALL(Dong14,ROWS($1:4)),))</f>
        <v>43054</v>
      </c>
      <c r="D20" s="689" t="str">
        <f ca="1">IF(ROWS($1:4)&gt;COUNT(Dong14),"",OFFSET(TH!F$1,SMALL(Dong14,ROWS($1:4)),))</f>
        <v>VAT Khô cá mai tẩm nướng TP</v>
      </c>
      <c r="E20" s="687" t="str">
        <f ca="1">IF(ROWS($1:4)&gt;COUNT(Dong14),"",IF(OFFSET(TH!N$1,SMALL(Dong14,ROWS($1:4)),)="131",OFFSET(TH!O$1,SMALL(Dong14,ROWS($1:4)),),OFFSET(TH!N$1,SMALL(Dong14,ROWS($1:4)),)))</f>
        <v>33311</v>
      </c>
      <c r="F20" s="687">
        <f ca="1">IF(ROWS($1:4)&gt;COUNT(Dong14),0,OFFSET(TH!L$1,SMALL(Dong14,ROWS($1:4)),))</f>
        <v>0</v>
      </c>
      <c r="G20" s="687"/>
      <c r="H20" s="1132">
        <f ca="1">IF(ROWS($1:4)&gt;COUNT(Dong14),0,IF(OFFSET(TH!N$1,SMALL(Dong14,ROWS($1:4)),)="131",OFFSET(TH!K$1,SMALL(Dong14,ROWS($1:4)),),0))</f>
        <v>0</v>
      </c>
      <c r="I20" s="687">
        <f ca="1">IF(ROWS($1:4)&gt;COUNT(Dong14),0,IF(OFFSET(TH!N$1,SMALL(Dong14,ROWS($1:4)),)="131",OFFSET(TH!M$1,SMALL(Dong14,ROWS($1:4)),),0))</f>
        <v>76500000</v>
      </c>
      <c r="J20" s="688">
        <f ca="1">IF(ROWS($1:4)&gt;COUNT(Dong14),0,IF(OFFSET(TH!O$1,SMALL(Dong14,ROWS($1:4)),)="131",OFFSET(TH!K$1,SMALL(Dong14,ROWS($1:4)),),0))</f>
        <v>0</v>
      </c>
      <c r="K20" s="687">
        <f ca="1">IF(ROWS($1:4)&gt;COUNT(Dong14),0,IF(OFFSET(TH!O$1,SMALL(Dong14,ROWS($1:4)),)="131",OFFSET(TH!M$1,SMALL(Dong14,ROWS($1:4)),),0))</f>
        <v>0</v>
      </c>
      <c r="L20" s="686">
        <f t="shared" ca="1" si="1"/>
        <v>0</v>
      </c>
      <c r="M20" s="685">
        <f t="shared" ca="1" si="2"/>
        <v>941663250</v>
      </c>
      <c r="N20" s="686">
        <f t="shared" ca="1" si="3"/>
        <v>0</v>
      </c>
      <c r="O20" s="685">
        <f t="shared" ca="1" si="4"/>
        <v>0</v>
      </c>
    </row>
    <row r="21" spans="1:17" s="1104" customFormat="1" ht="16.5" customHeight="1">
      <c r="A21" s="1100">
        <f t="shared" ca="1" si="0"/>
        <v>42902</v>
      </c>
      <c r="B21" s="1101" t="str">
        <f ca="1">IF(ROWS($1:5)&gt;COUNT(Dong14),"",OFFSET(TH!D$1,SMALL(Dong14,ROWS($1:5)),))</f>
        <v>GBC</v>
      </c>
      <c r="C21" s="1100">
        <f ca="1">IF(ROWS($1:5)&gt;COUNT(Dong14),"",OFFSET(TH!E$1,SMALL(Dong14,ROWS($1:5)),))</f>
        <v>42902</v>
      </c>
      <c r="D21" s="1102" t="str">
        <f ca="1">IF(ROWS($1:5)&gt;COUNT(Dong14),"",OFFSET(TH!F$1,SMALL(Dong14,ROWS($1:5)),))</f>
        <v>Thu tiền hàng</v>
      </c>
      <c r="E21" s="1103" t="str">
        <f ca="1">IF(ROWS($1:5)&gt;COUNT(Dong14),"",IF(OFFSET(TH!N$1,SMALL(Dong14,ROWS($1:5)),)="131",OFFSET(TH!O$1,SMALL(Dong14,ROWS($1:5)),),OFFSET(TH!N$1,SMALL(Dong14,ROWS($1:5)),)))</f>
        <v>1121</v>
      </c>
      <c r="F21" s="1103">
        <f ca="1">IF(ROWS($1:5)&gt;COUNT(Dong14),0,OFFSET(TH!L$1,SMALL(Dong14,ROWS($1:5)),))</f>
        <v>0</v>
      </c>
      <c r="G21" s="1103"/>
      <c r="H21" s="1132">
        <f ca="1">IF(ROWS($1:5)&gt;COUNT(Dong14),0,IF(OFFSET(TH!N$1,SMALL(Dong14,ROWS($1:5)),)="131",OFFSET(TH!K$1,SMALL(Dong14,ROWS($1:5)),),0))</f>
        <v>0</v>
      </c>
      <c r="I21" s="1103">
        <f ca="1">IF(ROWS($1:5)&gt;COUNT(Dong14),0,IF(OFFSET(TH!N$1,SMALL(Dong14,ROWS($1:5)),)="131",OFFSET(TH!M$1,SMALL(Dong14,ROWS($1:5)),),0))</f>
        <v>0</v>
      </c>
      <c r="J21" s="1088">
        <f ca="1">IF(ROWS($1:5)&gt;COUNT(Dong14),0,IF(OFFSET(TH!O$1,SMALL(Dong14,ROWS($1:5)),)="131",OFFSET(TH!K$1,SMALL(Dong14,ROWS($1:5)),),0))</f>
        <v>0</v>
      </c>
      <c r="K21" s="1103">
        <f ca="1">IF(ROWS($1:5)&gt;COUNT(Dong14),0,IF(OFFSET(TH!O$1,SMALL(Dong14,ROWS($1:5)),)="131",OFFSET(TH!M$1,SMALL(Dong14,ROWS($1:5)),),0))</f>
        <v>100163250</v>
      </c>
      <c r="L21" s="686">
        <f t="shared" ca="1" si="1"/>
        <v>0</v>
      </c>
      <c r="M21" s="685">
        <f t="shared" ca="1" si="2"/>
        <v>841500000</v>
      </c>
      <c r="N21" s="686">
        <f t="shared" ca="1" si="3"/>
        <v>0</v>
      </c>
      <c r="O21" s="685">
        <f t="shared" ca="1" si="4"/>
        <v>0</v>
      </c>
    </row>
    <row r="22" spans="1:17" s="1104" customFormat="1" ht="16.5" customHeight="1">
      <c r="A22" s="1100">
        <f t="shared" ca="1" si="0"/>
        <v>43054</v>
      </c>
      <c r="B22" s="1101" t="str">
        <f ca="1">IF(ROWS($1:6)&gt;COUNT(Dong14),"",OFFSET(TH!D$1,SMALL(Dong14,ROWS($1:6)),))</f>
        <v>GBC</v>
      </c>
      <c r="C22" s="1100">
        <f ca="1">IF(ROWS($1:6)&gt;COUNT(Dong14),"",OFFSET(TH!E$1,SMALL(Dong14,ROWS($1:6)),))</f>
        <v>43054</v>
      </c>
      <c r="D22" s="1102" t="str">
        <f ca="1">IF(ROWS($1:6)&gt;COUNT(Dong14),"",OFFSET(TH!F$1,SMALL(Dong14,ROWS($1:6)),))</f>
        <v>Thu tiền hàng</v>
      </c>
      <c r="E22" s="1103" t="str">
        <f ca="1">IF(ROWS($1:6)&gt;COUNT(Dong14),"",IF(OFFSET(TH!N$1,SMALL(Dong14,ROWS($1:6)),)="131",OFFSET(TH!O$1,SMALL(Dong14,ROWS($1:6)),),OFFSET(TH!N$1,SMALL(Dong14,ROWS($1:6)),)))</f>
        <v>1121</v>
      </c>
      <c r="F22" s="1103">
        <f ca="1">IF(ROWS($1:6)&gt;COUNT(Dong14),0,OFFSET(TH!L$1,SMALL(Dong14,ROWS($1:6)),))</f>
        <v>0</v>
      </c>
      <c r="G22" s="1103"/>
      <c r="H22" s="1088">
        <f ca="1">IF(ROWS($1:6)&gt;COUNT(Dong14),0,IF(OFFSET(TH!N$1,SMALL(Dong14,ROWS($1:6)),)="131",OFFSET(TH!K$1,SMALL(Dong14,ROWS($1:6)),),0))</f>
        <v>0</v>
      </c>
      <c r="I22" s="1103">
        <f ca="1">IF(ROWS($1:6)&gt;COUNT(Dong14),0,IF(OFFSET(TH!N$1,SMALL(Dong14,ROWS($1:6)),)="131",OFFSET(TH!M$1,SMALL(Dong14,ROWS($1:6)),),0))</f>
        <v>0</v>
      </c>
      <c r="J22" s="1088">
        <f ca="1">IF(ROWS($1:6)&gt;COUNT(Dong14),0,IF(OFFSET(TH!O$1,SMALL(Dong14,ROWS($1:6)),)="131",OFFSET(TH!K$1,SMALL(Dong14,ROWS($1:6)),),0))</f>
        <v>0</v>
      </c>
      <c r="K22" s="1103">
        <f ca="1">IF(ROWS($1:6)&gt;COUNT(Dong14),0,IF(OFFSET(TH!O$1,SMALL(Dong14,ROWS($1:6)),)="131",OFFSET(TH!M$1,SMALL(Dong14,ROWS($1:6)),),0))</f>
        <v>841500000</v>
      </c>
      <c r="L22" s="686">
        <f t="shared" ca="1" si="1"/>
        <v>0</v>
      </c>
      <c r="M22" s="685">
        <f t="shared" ca="1" si="2"/>
        <v>0</v>
      </c>
      <c r="N22" s="686">
        <f t="shared" ca="1" si="3"/>
        <v>0</v>
      </c>
      <c r="O22" s="685">
        <f t="shared" ca="1" si="4"/>
        <v>0</v>
      </c>
    </row>
    <row r="23" spans="1:17" s="1104" customFormat="1" ht="16.5" customHeight="1">
      <c r="A23" s="203" t="str">
        <f t="shared" ca="1" si="0"/>
        <v/>
      </c>
      <c r="B23" s="207" t="str">
        <f ca="1">IF(ROWS($1:7)&gt;COUNT(Dong14),"",OFFSET(TH!D$1,SMALL(Dong14,ROWS($1:7)),))</f>
        <v/>
      </c>
      <c r="C23" s="203" t="str">
        <f ca="1">IF(ROWS($1:7)&gt;COUNT(Dong14),"",OFFSET(TH!E$1,SMALL(Dong14,ROWS($1:7)),))</f>
        <v/>
      </c>
      <c r="D23" s="689" t="str">
        <f ca="1">IF(ROWS($1:7)&gt;COUNT(Dong14),"",OFFSET(TH!F$1,SMALL(Dong14,ROWS($1:7)),))</f>
        <v/>
      </c>
      <c r="E23" s="687" t="str">
        <f ca="1">IF(ROWS($1:7)&gt;COUNT(Dong14),"",IF(OFFSET(TH!N$1,SMALL(Dong14,ROWS($1:7)),)="131",OFFSET(TH!O$1,SMALL(Dong14,ROWS($1:7)),),OFFSET(TH!N$1,SMALL(Dong14,ROWS($1:7)),)))</f>
        <v/>
      </c>
      <c r="F23" s="687">
        <f ca="1">IF(ROWS($1:7)&gt;COUNT(Dong14),0,OFFSET(TH!L$1,SMALL(Dong14,ROWS($1:7)),))</f>
        <v>0</v>
      </c>
      <c r="G23" s="687"/>
      <c r="H23" s="1132">
        <f ca="1">IF(ROWS($1:7)&gt;COUNT(Dong14),0,IF(OFFSET(TH!N$1,SMALL(Dong14,ROWS($1:7)),)="131",OFFSET(TH!K$1,SMALL(Dong14,ROWS($1:7)),),0))</f>
        <v>0</v>
      </c>
      <c r="I23" s="687">
        <f ca="1">IF(ROWS($1:7)&gt;COUNT(Dong14),0,IF(OFFSET(TH!N$1,SMALL(Dong14,ROWS($1:7)),)="131",OFFSET(TH!M$1,SMALL(Dong14,ROWS($1:7)),),0))</f>
        <v>0</v>
      </c>
      <c r="J23" s="688">
        <f ca="1">IF(ROWS($1:7)&gt;COUNT(Dong14),0,IF(OFFSET(TH!O$1,SMALL(Dong14,ROWS($1:7)),)="131",OFFSET(TH!K$1,SMALL(Dong14,ROWS($1:7)),),0))</f>
        <v>0</v>
      </c>
      <c r="K23" s="687">
        <f ca="1">IF(ROWS($1:7)&gt;COUNT(Dong14),0,IF(OFFSET(TH!O$1,SMALL(Dong14,ROWS($1:7)),)="131",OFFSET(TH!M$1,SMALL(Dong14,ROWS($1:7)),),0))</f>
        <v>0</v>
      </c>
      <c r="L23" s="686">
        <f t="shared" ca="1" si="1"/>
        <v>0</v>
      </c>
      <c r="M23" s="685">
        <f t="shared" ca="1" si="2"/>
        <v>0</v>
      </c>
      <c r="N23" s="686">
        <f t="shared" ca="1" si="3"/>
        <v>0</v>
      </c>
      <c r="O23" s="685">
        <f t="shared" ca="1" si="4"/>
        <v>0</v>
      </c>
      <c r="P23" s="5"/>
      <c r="Q23" s="5"/>
    </row>
    <row r="24" spans="1:17" s="1104" customFormat="1" ht="16.5" customHeight="1">
      <c r="A24" s="203" t="str">
        <f t="shared" ca="1" si="0"/>
        <v/>
      </c>
      <c r="B24" s="207" t="str">
        <f ca="1">IF(ROWS($1:8)&gt;COUNT(Dong14),"",OFFSET(TH!D$1,SMALL(Dong14,ROWS($1:8)),))</f>
        <v/>
      </c>
      <c r="C24" s="203" t="str">
        <f ca="1">IF(ROWS($1:8)&gt;COUNT(Dong14),"",OFFSET(TH!E$1,SMALL(Dong14,ROWS($1:8)),))</f>
        <v/>
      </c>
      <c r="D24" s="689" t="str">
        <f ca="1">IF(ROWS($1:8)&gt;COUNT(Dong14),"",OFFSET(TH!F$1,SMALL(Dong14,ROWS($1:8)),))</f>
        <v/>
      </c>
      <c r="E24" s="687" t="str">
        <f ca="1">IF(ROWS($1:8)&gt;COUNT(Dong14),"",IF(OFFSET(TH!N$1,SMALL(Dong14,ROWS($1:8)),)="131",OFFSET(TH!O$1,SMALL(Dong14,ROWS($1:8)),),OFFSET(TH!N$1,SMALL(Dong14,ROWS($1:8)),)))</f>
        <v/>
      </c>
      <c r="F24" s="687">
        <f ca="1">IF(ROWS($1:8)&gt;COUNT(Dong14),0,OFFSET(TH!L$1,SMALL(Dong14,ROWS($1:8)),))</f>
        <v>0</v>
      </c>
      <c r="G24" s="687"/>
      <c r="H24" s="1132">
        <f ca="1">IF(ROWS($1:8)&gt;COUNT(Dong14),0,IF(OFFSET(TH!N$1,SMALL(Dong14,ROWS($1:8)),)="131",OFFSET(TH!K$1,SMALL(Dong14,ROWS($1:8)),),0))</f>
        <v>0</v>
      </c>
      <c r="I24" s="687">
        <f ca="1">IF(ROWS($1:8)&gt;COUNT(Dong14),0,IF(OFFSET(TH!N$1,SMALL(Dong14,ROWS($1:8)),)="131",OFFSET(TH!M$1,SMALL(Dong14,ROWS($1:8)),),0))</f>
        <v>0</v>
      </c>
      <c r="J24" s="688">
        <f ca="1">IF(ROWS($1:8)&gt;COUNT(Dong14),0,IF(OFFSET(TH!O$1,SMALL(Dong14,ROWS($1:8)),)="131",OFFSET(TH!K$1,SMALL(Dong14,ROWS($1:8)),),0))</f>
        <v>0</v>
      </c>
      <c r="K24" s="687">
        <f ca="1">IF(ROWS($1:8)&gt;COUNT(Dong14),0,IF(OFFSET(TH!O$1,SMALL(Dong14,ROWS($1:8)),)="131",OFFSET(TH!M$1,SMALL(Dong14,ROWS($1:8)),),0))</f>
        <v>0</v>
      </c>
      <c r="L24" s="686">
        <f t="shared" ca="1" si="1"/>
        <v>0</v>
      </c>
      <c r="M24" s="685">
        <f t="shared" ca="1" si="2"/>
        <v>0</v>
      </c>
      <c r="N24" s="686">
        <f t="shared" ca="1" si="3"/>
        <v>0</v>
      </c>
      <c r="O24" s="685">
        <f t="shared" ca="1" si="4"/>
        <v>0</v>
      </c>
      <c r="P24" s="5"/>
      <c r="Q24" s="224"/>
    </row>
    <row r="25" spans="1:17" s="1104" customFormat="1" ht="16.5" customHeight="1">
      <c r="A25" s="203" t="str">
        <f t="shared" ca="1" si="0"/>
        <v/>
      </c>
      <c r="B25" s="207" t="str">
        <f ca="1">IF(ROWS($1:9)&gt;COUNT(Dong14),"",OFFSET(TH!D$1,SMALL(Dong14,ROWS($1:9)),))</f>
        <v/>
      </c>
      <c r="C25" s="203" t="str">
        <f ca="1">IF(ROWS($1:9)&gt;COUNT(Dong14),"",OFFSET(TH!E$1,SMALL(Dong14,ROWS($1:9)),))</f>
        <v/>
      </c>
      <c r="D25" s="689" t="str">
        <f ca="1">IF(ROWS($1:9)&gt;COUNT(Dong14),"",OFFSET(TH!F$1,SMALL(Dong14,ROWS($1:9)),))</f>
        <v/>
      </c>
      <c r="E25" s="687" t="str">
        <f ca="1">IF(ROWS($1:9)&gt;COUNT(Dong14),"",IF(OFFSET(TH!N$1,SMALL(Dong14,ROWS($1:9)),)="131",OFFSET(TH!O$1,SMALL(Dong14,ROWS($1:9)),),OFFSET(TH!N$1,SMALL(Dong14,ROWS($1:9)),)))</f>
        <v/>
      </c>
      <c r="F25" s="687">
        <f ca="1">IF(ROWS($1:9)&gt;COUNT(Dong14),0,OFFSET(TH!L$1,SMALL(Dong14,ROWS($1:9)),))</f>
        <v>0</v>
      </c>
      <c r="G25" s="687"/>
      <c r="H25" s="1132">
        <f ca="1">IF(ROWS($1:9)&gt;COUNT(Dong14),0,IF(OFFSET(TH!N$1,SMALL(Dong14,ROWS($1:9)),)="131",OFFSET(TH!K$1,SMALL(Dong14,ROWS($1:9)),),0))</f>
        <v>0</v>
      </c>
      <c r="I25" s="687">
        <f ca="1">IF(ROWS($1:9)&gt;COUNT(Dong14),0,IF(OFFSET(TH!N$1,SMALL(Dong14,ROWS($1:9)),)="131",OFFSET(TH!M$1,SMALL(Dong14,ROWS($1:9)),),0))</f>
        <v>0</v>
      </c>
      <c r="J25" s="688">
        <f ca="1">IF(ROWS($1:9)&gt;COUNT(Dong14),0,IF(OFFSET(TH!O$1,SMALL(Dong14,ROWS($1:9)),)="131",OFFSET(TH!K$1,SMALL(Dong14,ROWS($1:9)),),0))</f>
        <v>0</v>
      </c>
      <c r="K25" s="687">
        <f ca="1">IF(ROWS($1:9)&gt;COUNT(Dong14),0,IF(OFFSET(TH!O$1,SMALL(Dong14,ROWS($1:9)),)="131",OFFSET(TH!M$1,SMALL(Dong14,ROWS($1:9)),),0))</f>
        <v>0</v>
      </c>
      <c r="L25" s="686">
        <f t="shared" ca="1" si="1"/>
        <v>0</v>
      </c>
      <c r="M25" s="685">
        <f t="shared" ca="1" si="2"/>
        <v>0</v>
      </c>
      <c r="N25" s="686">
        <f t="shared" ca="1" si="3"/>
        <v>0</v>
      </c>
      <c r="O25" s="685">
        <f t="shared" ca="1" si="4"/>
        <v>0</v>
      </c>
      <c r="P25" s="5"/>
      <c r="Q25" s="5"/>
    </row>
    <row r="26" spans="1:17" s="1104" customFormat="1" ht="16.5" customHeight="1">
      <c r="A26" s="203" t="str">
        <f t="shared" ca="1" si="0"/>
        <v/>
      </c>
      <c r="B26" s="207" t="str">
        <f ca="1">IF(ROWS($1:10)&gt;COUNT(Dong14),"",OFFSET(TH!D$1,SMALL(Dong14,ROWS($1:10)),))</f>
        <v/>
      </c>
      <c r="C26" s="203" t="str">
        <f ca="1">IF(ROWS($1:10)&gt;COUNT(Dong14),"",OFFSET(TH!E$1,SMALL(Dong14,ROWS($1:10)),))</f>
        <v/>
      </c>
      <c r="D26" s="689" t="str">
        <f ca="1">IF(ROWS($1:10)&gt;COUNT(Dong14),"",OFFSET(TH!F$1,SMALL(Dong14,ROWS($1:10)),))</f>
        <v/>
      </c>
      <c r="E26" s="687" t="str">
        <f ca="1">IF(ROWS($1:10)&gt;COUNT(Dong14),"",IF(OFFSET(TH!N$1,SMALL(Dong14,ROWS($1:10)),)="131",OFFSET(TH!O$1,SMALL(Dong14,ROWS($1:10)),),OFFSET(TH!N$1,SMALL(Dong14,ROWS($1:10)),)))</f>
        <v/>
      </c>
      <c r="F26" s="687">
        <f ca="1">IF(ROWS($1:10)&gt;COUNT(Dong14),0,OFFSET(TH!L$1,SMALL(Dong14,ROWS($1:10)),))</f>
        <v>0</v>
      </c>
      <c r="G26" s="687"/>
      <c r="H26" s="1132">
        <f ca="1">IF(ROWS($1:10)&gt;COUNT(Dong14),0,IF(OFFSET(TH!N$1,SMALL(Dong14,ROWS($1:10)),)="131",OFFSET(TH!K$1,SMALL(Dong14,ROWS($1:10)),),0))</f>
        <v>0</v>
      </c>
      <c r="I26" s="687">
        <f ca="1">IF(ROWS($1:10)&gt;COUNT(Dong14),0,IF(OFFSET(TH!N$1,SMALL(Dong14,ROWS($1:10)),)="131",OFFSET(TH!M$1,SMALL(Dong14,ROWS($1:10)),),0))</f>
        <v>0</v>
      </c>
      <c r="J26" s="688">
        <f ca="1">IF(ROWS($1:10)&gt;COUNT(Dong14),0,IF(OFFSET(TH!O$1,SMALL(Dong14,ROWS($1:10)),)="131",OFFSET(TH!K$1,SMALL(Dong14,ROWS($1:10)),),0))</f>
        <v>0</v>
      </c>
      <c r="K26" s="687">
        <f ca="1">IF(ROWS($1:10)&gt;COUNT(Dong14),0,IF(OFFSET(TH!O$1,SMALL(Dong14,ROWS($1:10)),)="131",OFFSET(TH!M$1,SMALL(Dong14,ROWS($1:10)),),0))</f>
        <v>0</v>
      </c>
      <c r="L26" s="686">
        <f t="shared" ca="1" si="1"/>
        <v>0</v>
      </c>
      <c r="M26" s="685">
        <f t="shared" ca="1" si="2"/>
        <v>0</v>
      </c>
      <c r="N26" s="686">
        <f t="shared" ca="1" si="3"/>
        <v>0</v>
      </c>
      <c r="O26" s="685">
        <f t="shared" ca="1" si="4"/>
        <v>0</v>
      </c>
      <c r="P26" s="5"/>
      <c r="Q26" s="5"/>
    </row>
    <row r="27" spans="1:17" s="1104" customFormat="1" ht="16.5" customHeight="1">
      <c r="A27" s="203" t="str">
        <f t="shared" ca="1" si="0"/>
        <v/>
      </c>
      <c r="B27" s="207" t="str">
        <f ca="1">IF(ROWS($1:11)&gt;COUNT(Dong14),"",OFFSET(TH!D$1,SMALL(Dong14,ROWS($1:11)),))</f>
        <v/>
      </c>
      <c r="C27" s="203" t="str">
        <f ca="1">IF(ROWS($1:11)&gt;COUNT(Dong14),"",OFFSET(TH!E$1,SMALL(Dong14,ROWS($1:11)),))</f>
        <v/>
      </c>
      <c r="D27" s="689" t="str">
        <f ca="1">IF(ROWS($1:11)&gt;COUNT(Dong14),"",OFFSET(TH!F$1,SMALL(Dong14,ROWS($1:11)),))</f>
        <v/>
      </c>
      <c r="E27" s="687" t="str">
        <f ca="1">IF(ROWS($1:11)&gt;COUNT(Dong14),"",IF(OFFSET(TH!N$1,SMALL(Dong14,ROWS($1:11)),)="131",OFFSET(TH!O$1,SMALL(Dong14,ROWS($1:11)),),OFFSET(TH!N$1,SMALL(Dong14,ROWS($1:11)),)))</f>
        <v/>
      </c>
      <c r="F27" s="687">
        <f ca="1">IF(ROWS($1:11)&gt;COUNT(Dong14),0,OFFSET(TH!L$1,SMALL(Dong14,ROWS($1:11)),))</f>
        <v>0</v>
      </c>
      <c r="G27" s="687"/>
      <c r="H27" s="1132">
        <f ca="1">IF(ROWS($1:11)&gt;COUNT(Dong14),0,IF(OFFSET(TH!N$1,SMALL(Dong14,ROWS($1:11)),)="131",OFFSET(TH!K$1,SMALL(Dong14,ROWS($1:11)),),0))</f>
        <v>0</v>
      </c>
      <c r="I27" s="687">
        <f ca="1">IF(ROWS($1:11)&gt;COUNT(Dong14),0,IF(OFFSET(TH!N$1,SMALL(Dong14,ROWS($1:11)),)="131",OFFSET(TH!M$1,SMALL(Dong14,ROWS($1:11)),),0))</f>
        <v>0</v>
      </c>
      <c r="J27" s="688">
        <f ca="1">IF(ROWS($1:11)&gt;COUNT(Dong14),0,IF(OFFSET(TH!O$1,SMALL(Dong14,ROWS($1:11)),)="131",OFFSET(TH!K$1,SMALL(Dong14,ROWS($1:11)),),0))</f>
        <v>0</v>
      </c>
      <c r="K27" s="687">
        <f ca="1">IF(ROWS($1:11)&gt;COUNT(Dong14),0,IF(OFFSET(TH!O$1,SMALL(Dong14,ROWS($1:11)),)="131",OFFSET(TH!M$1,SMALL(Dong14,ROWS($1:11)),),0))</f>
        <v>0</v>
      </c>
      <c r="L27" s="686">
        <f t="shared" ca="1" si="1"/>
        <v>0</v>
      </c>
      <c r="M27" s="685">
        <f t="shared" ca="1" si="2"/>
        <v>0</v>
      </c>
      <c r="N27" s="686">
        <f t="shared" ca="1" si="3"/>
        <v>0</v>
      </c>
      <c r="O27" s="685">
        <f t="shared" ca="1" si="4"/>
        <v>0</v>
      </c>
      <c r="P27" s="5"/>
      <c r="Q27" s="224"/>
    </row>
    <row r="28" spans="1:17" s="5" customFormat="1" ht="16.5" customHeight="1">
      <c r="A28" s="203" t="str">
        <f t="shared" ca="1" si="0"/>
        <v/>
      </c>
      <c r="B28" s="207" t="str">
        <f ca="1">IF(ROWS($1:12)&gt;COUNT(Dong14),"",OFFSET(TH!D$1,SMALL(Dong14,ROWS($1:12)),))</f>
        <v/>
      </c>
      <c r="C28" s="203" t="str">
        <f ca="1">IF(ROWS($1:12)&gt;COUNT(Dong14),"",OFFSET(TH!E$1,SMALL(Dong14,ROWS($1:12)),))</f>
        <v/>
      </c>
      <c r="D28" s="689" t="str">
        <f ca="1">IF(ROWS($1:12)&gt;COUNT(Dong14),"",OFFSET(TH!F$1,SMALL(Dong14,ROWS($1:12)),))</f>
        <v/>
      </c>
      <c r="E28" s="687" t="str">
        <f ca="1">IF(ROWS($1:12)&gt;COUNT(Dong14),"",IF(OFFSET(TH!N$1,SMALL(Dong14,ROWS($1:12)),)="131",OFFSET(TH!O$1,SMALL(Dong14,ROWS($1:12)),),OFFSET(TH!N$1,SMALL(Dong14,ROWS($1:12)),)))</f>
        <v/>
      </c>
      <c r="F28" s="687">
        <f ca="1">IF(ROWS($1:12)&gt;COUNT(Dong14),0,OFFSET(TH!L$1,SMALL(Dong14,ROWS($1:12)),))</f>
        <v>0</v>
      </c>
      <c r="G28" s="687"/>
      <c r="H28" s="1132">
        <f ca="1">IF(ROWS($1:12)&gt;COUNT(Dong14),0,IF(OFFSET(TH!N$1,SMALL(Dong14,ROWS($1:12)),)="131",OFFSET(TH!K$1,SMALL(Dong14,ROWS($1:12)),),0))</f>
        <v>0</v>
      </c>
      <c r="I28" s="687">
        <f ca="1">IF(ROWS($1:12)&gt;COUNT(Dong14),0,IF(OFFSET(TH!N$1,SMALL(Dong14,ROWS($1:12)),)="131",OFFSET(TH!M$1,SMALL(Dong14,ROWS($1:12)),),0))</f>
        <v>0</v>
      </c>
      <c r="J28" s="688">
        <f ca="1">IF(ROWS($1:12)&gt;COUNT(Dong14),0,IF(OFFSET(TH!O$1,SMALL(Dong14,ROWS($1:12)),)="131",OFFSET(TH!K$1,SMALL(Dong14,ROWS($1:12)),),0))</f>
        <v>0</v>
      </c>
      <c r="K28" s="687">
        <f ca="1">IF(ROWS($1:12)&gt;COUNT(Dong14),0,IF(OFFSET(TH!O$1,SMALL(Dong14,ROWS($1:12)),)="131",OFFSET(TH!M$1,SMALL(Dong14,ROWS($1:12)),),0))</f>
        <v>0</v>
      </c>
      <c r="L28" s="686">
        <f t="shared" ca="1" si="1"/>
        <v>0</v>
      </c>
      <c r="M28" s="685">
        <f t="shared" ca="1" si="2"/>
        <v>0</v>
      </c>
      <c r="N28" s="686">
        <f t="shared" ca="1" si="3"/>
        <v>0</v>
      </c>
      <c r="O28" s="685">
        <f t="shared" ca="1" si="4"/>
        <v>0</v>
      </c>
      <c r="Q28" s="224"/>
    </row>
    <row r="29" spans="1:17" s="5" customFormat="1" ht="16.5" customHeight="1">
      <c r="A29" s="203" t="str">
        <f t="shared" ca="1" si="0"/>
        <v/>
      </c>
      <c r="B29" s="207" t="str">
        <f ca="1">IF(ROWS($1:13)&gt;COUNT(Dong14),"",OFFSET(TH!D$1,SMALL(Dong14,ROWS($1:13)),))</f>
        <v/>
      </c>
      <c r="C29" s="203" t="str">
        <f ca="1">IF(ROWS($1:13)&gt;COUNT(Dong14),"",OFFSET(TH!E$1,SMALL(Dong14,ROWS($1:13)),))</f>
        <v/>
      </c>
      <c r="D29" s="689" t="str">
        <f ca="1">IF(ROWS($1:13)&gt;COUNT(Dong14),"",OFFSET(TH!F$1,SMALL(Dong14,ROWS($1:13)),))</f>
        <v/>
      </c>
      <c r="E29" s="687" t="str">
        <f ca="1">IF(ROWS($1:13)&gt;COUNT(Dong14),"",IF(OFFSET(TH!N$1,SMALL(Dong14,ROWS($1:13)),)="131",OFFSET(TH!O$1,SMALL(Dong14,ROWS($1:13)),),OFFSET(TH!N$1,SMALL(Dong14,ROWS($1:13)),)))</f>
        <v/>
      </c>
      <c r="F29" s="687">
        <f ca="1">IF(ROWS($1:13)&gt;COUNT(Dong14),0,OFFSET(TH!L$1,SMALL(Dong14,ROWS($1:13)),))</f>
        <v>0</v>
      </c>
      <c r="G29" s="687"/>
      <c r="H29" s="1132">
        <f ca="1">IF(ROWS($1:13)&gt;COUNT(Dong14),0,IF(OFFSET(TH!N$1,SMALL(Dong14,ROWS($1:13)),)="131",OFFSET(TH!K$1,SMALL(Dong14,ROWS($1:13)),),0))</f>
        <v>0</v>
      </c>
      <c r="I29" s="687">
        <f ca="1">IF(ROWS($1:13)&gt;COUNT(Dong14),0,IF(OFFSET(TH!N$1,SMALL(Dong14,ROWS($1:13)),)="131",OFFSET(TH!M$1,SMALL(Dong14,ROWS($1:13)),),0))</f>
        <v>0</v>
      </c>
      <c r="J29" s="688">
        <f ca="1">IF(ROWS($1:13)&gt;COUNT(Dong14),0,IF(OFFSET(TH!O$1,SMALL(Dong14,ROWS($1:13)),)="131",OFFSET(TH!K$1,SMALL(Dong14,ROWS($1:13)),),0))</f>
        <v>0</v>
      </c>
      <c r="K29" s="687">
        <f ca="1">IF(ROWS($1:13)&gt;COUNT(Dong14),0,IF(OFFSET(TH!O$1,SMALL(Dong14,ROWS($1:13)),)="131",OFFSET(TH!M$1,SMALL(Dong14,ROWS($1:13)),),0))</f>
        <v>0</v>
      </c>
      <c r="L29" s="686">
        <f t="shared" ca="1" si="1"/>
        <v>0</v>
      </c>
      <c r="M29" s="685">
        <f t="shared" ca="1" si="2"/>
        <v>0</v>
      </c>
      <c r="N29" s="686">
        <f t="shared" ca="1" si="3"/>
        <v>0</v>
      </c>
      <c r="O29" s="685">
        <f t="shared" ca="1" si="4"/>
        <v>0</v>
      </c>
    </row>
    <row r="30" spans="1:17" s="5" customFormat="1" ht="16.5" customHeight="1">
      <c r="A30" s="203" t="str">
        <f t="shared" ca="1" si="0"/>
        <v/>
      </c>
      <c r="B30" s="207" t="str">
        <f ca="1">IF(ROWS($1:14)&gt;COUNT(Dong14),"",OFFSET(TH!D$1,SMALL(Dong14,ROWS($1:14)),))</f>
        <v/>
      </c>
      <c r="C30" s="203" t="str">
        <f ca="1">IF(ROWS($1:14)&gt;COUNT(Dong14),"",OFFSET(TH!E$1,SMALL(Dong14,ROWS($1:14)),))</f>
        <v/>
      </c>
      <c r="D30" s="689" t="str">
        <f ca="1">IF(ROWS($1:14)&gt;COUNT(Dong14),"",OFFSET(TH!F$1,SMALL(Dong14,ROWS($1:14)),))</f>
        <v/>
      </c>
      <c r="E30" s="687" t="str">
        <f ca="1">IF(ROWS($1:14)&gt;COUNT(Dong14),"",IF(OFFSET(TH!N$1,SMALL(Dong14,ROWS($1:14)),)="131",OFFSET(TH!O$1,SMALL(Dong14,ROWS($1:14)),),OFFSET(TH!N$1,SMALL(Dong14,ROWS($1:14)),)))</f>
        <v/>
      </c>
      <c r="F30" s="687">
        <f ca="1">IF(ROWS($1:14)&gt;COUNT(Dong14),0,OFFSET(TH!L$1,SMALL(Dong14,ROWS($1:14)),))</f>
        <v>0</v>
      </c>
      <c r="G30" s="687"/>
      <c r="H30" s="1132">
        <f ca="1">IF(ROWS($1:14)&gt;COUNT(Dong14),0,IF(OFFSET(TH!N$1,SMALL(Dong14,ROWS($1:14)),)="131",OFFSET(TH!K$1,SMALL(Dong14,ROWS($1:14)),),0))</f>
        <v>0</v>
      </c>
      <c r="I30" s="687">
        <f ca="1">IF(ROWS($1:14)&gt;COUNT(Dong14),0,IF(OFFSET(TH!N$1,SMALL(Dong14,ROWS($1:14)),)="131",OFFSET(TH!M$1,SMALL(Dong14,ROWS($1:14)),),0))</f>
        <v>0</v>
      </c>
      <c r="J30" s="688">
        <f ca="1">IF(ROWS($1:14)&gt;COUNT(Dong14),0,IF(OFFSET(TH!O$1,SMALL(Dong14,ROWS($1:14)),)="131",OFFSET(TH!K$1,SMALL(Dong14,ROWS($1:14)),),0))</f>
        <v>0</v>
      </c>
      <c r="K30" s="687">
        <f ca="1">IF(ROWS($1:14)&gt;COUNT(Dong14),0,IF(OFFSET(TH!O$1,SMALL(Dong14,ROWS($1:14)),)="131",OFFSET(TH!M$1,SMALL(Dong14,ROWS($1:14)),),0))</f>
        <v>0</v>
      </c>
      <c r="L30" s="686">
        <f t="shared" ca="1" si="1"/>
        <v>0</v>
      </c>
      <c r="M30" s="685">
        <f t="shared" ca="1" si="2"/>
        <v>0</v>
      </c>
      <c r="N30" s="686">
        <f t="shared" ca="1" si="3"/>
        <v>0</v>
      </c>
      <c r="O30" s="685">
        <f t="shared" ca="1" si="4"/>
        <v>0</v>
      </c>
      <c r="Q30" s="224"/>
    </row>
    <row r="31" spans="1:17" s="5" customFormat="1" ht="16.5" customHeight="1">
      <c r="A31" s="1254"/>
      <c r="B31" s="1255"/>
      <c r="C31" s="1254"/>
      <c r="D31" s="1256"/>
      <c r="E31" s="1257"/>
      <c r="F31" s="1257"/>
      <c r="G31" s="1257"/>
      <c r="H31" s="1258"/>
      <c r="I31" s="1257"/>
      <c r="J31" s="1259"/>
      <c r="K31" s="1257"/>
      <c r="L31" s="1260"/>
      <c r="M31" s="1261"/>
      <c r="N31" s="1260"/>
      <c r="O31" s="1261"/>
      <c r="Q31" s="1104"/>
    </row>
    <row r="32" spans="1:17" s="5" customFormat="1" ht="16.5" customHeight="1">
      <c r="A32" s="684"/>
      <c r="B32" s="684"/>
      <c r="C32" s="684"/>
      <c r="D32" s="683" t="s">
        <v>35</v>
      </c>
      <c r="E32" s="682" t="s">
        <v>21</v>
      </c>
      <c r="F32" s="682"/>
      <c r="G32" s="679" t="s">
        <v>21</v>
      </c>
      <c r="H32" s="680">
        <f ca="1">SUM(H17:H30)</f>
        <v>0</v>
      </c>
      <c r="I32" s="680">
        <f ca="1">SUM(I17:I30)</f>
        <v>941663250</v>
      </c>
      <c r="J32" s="680">
        <f ca="1">SUM(J17:J30)</f>
        <v>0</v>
      </c>
      <c r="K32" s="680">
        <f ca="1">SUM(K17:K30)</f>
        <v>941663250</v>
      </c>
      <c r="L32" s="680" t="s">
        <v>21</v>
      </c>
      <c r="M32" s="679" t="s">
        <v>21</v>
      </c>
      <c r="N32" s="679" t="s">
        <v>21</v>
      </c>
      <c r="O32" s="679" t="s">
        <v>21</v>
      </c>
    </row>
    <row r="33" spans="1:15" s="5" customFormat="1" ht="16.5" customHeight="1">
      <c r="A33" s="684"/>
      <c r="B33" s="684"/>
      <c r="C33" s="684"/>
      <c r="D33" s="683" t="s">
        <v>10</v>
      </c>
      <c r="E33" s="682" t="s">
        <v>21</v>
      </c>
      <c r="F33" s="682"/>
      <c r="G33" s="679" t="s">
        <v>21</v>
      </c>
      <c r="H33" s="680" t="s">
        <v>21</v>
      </c>
      <c r="I33" s="679" t="s">
        <v>21</v>
      </c>
      <c r="J33" s="681" t="s">
        <v>21</v>
      </c>
      <c r="K33" s="679" t="s">
        <v>21</v>
      </c>
      <c r="L33" s="680">
        <f ca="1">ROUND(MAX(L16+H32-N16-J32,0),2)</f>
        <v>0</v>
      </c>
      <c r="M33" s="679">
        <f ca="1">ROUND(MAX(M16+I32-O16-K32,0),0)</f>
        <v>0</v>
      </c>
      <c r="N33" s="679">
        <f ca="1">ROUND(MAX(N16+J32-L16-H32,0),2)</f>
        <v>0</v>
      </c>
      <c r="O33" s="679">
        <f ca="1">ROUND(MAX(O16+K32-M16-I32,0),-1)</f>
        <v>0</v>
      </c>
    </row>
    <row r="34" spans="1:15" s="5" customFormat="1" ht="15">
      <c r="A34" s="204" t="s">
        <v>454</v>
      </c>
      <c r="B34" s="4"/>
      <c r="C34" s="4"/>
      <c r="E34" s="4"/>
      <c r="F34" s="660"/>
      <c r="G34" s="676"/>
      <c r="H34" s="678"/>
      <c r="I34" s="676"/>
      <c r="J34" s="223"/>
      <c r="K34" s="676"/>
    </row>
    <row r="35" spans="1:15" s="5" customFormat="1" ht="15">
      <c r="A35" s="204" t="s">
        <v>2025</v>
      </c>
      <c r="B35" s="4"/>
      <c r="C35" s="4"/>
      <c r="E35" s="4"/>
      <c r="F35" s="660"/>
      <c r="G35" s="676"/>
      <c r="H35" s="678"/>
      <c r="I35" s="676"/>
      <c r="J35" s="223"/>
      <c r="K35" s="676"/>
    </row>
    <row r="36" spans="1:15" s="5" customFormat="1" ht="15">
      <c r="A36" s="4"/>
      <c r="B36" s="4"/>
      <c r="C36" s="4"/>
      <c r="E36" s="4"/>
      <c r="F36" s="660"/>
      <c r="G36" s="676"/>
      <c r="H36" s="677"/>
      <c r="I36" s="676"/>
      <c r="J36" s="1414" t="s">
        <v>2024</v>
      </c>
      <c r="K36" s="1414"/>
      <c r="L36" s="1414"/>
      <c r="M36" s="1414"/>
      <c r="N36" s="1414"/>
      <c r="O36" s="1414"/>
    </row>
    <row r="37" spans="1:15" s="5" customFormat="1" ht="15">
      <c r="A37" s="4"/>
      <c r="C37" s="4"/>
      <c r="D37" s="829" t="s">
        <v>11</v>
      </c>
      <c r="E37" s="4"/>
      <c r="F37" s="660"/>
      <c r="G37" s="676"/>
      <c r="H37" s="677"/>
      <c r="I37" s="676"/>
      <c r="J37" s="223"/>
      <c r="K37" s="676"/>
      <c r="L37" s="1414" t="s">
        <v>12</v>
      </c>
      <c r="M37" s="1414"/>
    </row>
    <row r="38" spans="1:15" s="5" customFormat="1" ht="15">
      <c r="A38" s="4"/>
      <c r="C38" s="4"/>
      <c r="D38" s="829" t="s">
        <v>13</v>
      </c>
      <c r="E38" s="4"/>
      <c r="F38" s="660"/>
      <c r="G38" s="676"/>
      <c r="H38" s="677"/>
      <c r="I38" s="676"/>
      <c r="J38" s="223"/>
      <c r="K38" s="676"/>
      <c r="L38" s="1414" t="s">
        <v>13</v>
      </c>
      <c r="M38" s="1414"/>
    </row>
  </sheetData>
  <autoFilter ref="A15:Q38"/>
  <sortState ref="A17:Q43">
    <sortCondition ref="A17:A43"/>
  </sortState>
  <mergeCells count="20">
    <mergeCell ref="J36:O36"/>
    <mergeCell ref="L37:M37"/>
    <mergeCell ref="L38:M38"/>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U140"/>
  <sheetViews>
    <sheetView topLeftCell="A6" workbookViewId="0">
      <pane xSplit="3" ySplit="5" topLeftCell="G50" activePane="bottomRight" state="frozen"/>
      <selection activeCell="P41" sqref="P41"/>
      <selection pane="topRight" activeCell="P41" sqref="P41"/>
      <selection pane="bottomLeft" activeCell="P41" sqref="P41"/>
      <selection pane="bottomRight" activeCell="L34" sqref="L34"/>
    </sheetView>
  </sheetViews>
  <sheetFormatPr defaultRowHeight="12.75"/>
  <cols>
    <col min="1" max="1" width="3.7109375" style="1053" customWidth="1"/>
    <col min="2" max="2" width="3.42578125" style="1053" customWidth="1"/>
    <col min="3" max="3" width="23.5703125" style="1053" customWidth="1"/>
    <col min="4" max="4" width="6.42578125" style="1053" customWidth="1"/>
    <col min="5" max="5" width="9" style="1053" customWidth="1"/>
    <col min="6" max="6" width="12.85546875" style="1053" customWidth="1"/>
    <col min="7" max="7" width="11.85546875" style="1053" customWidth="1"/>
    <col min="8" max="8" width="15.42578125" style="1053" customWidth="1"/>
    <col min="9" max="9" width="11.7109375" style="1053" customWidth="1"/>
    <col min="10" max="10" width="15.42578125" style="1053" customWidth="1"/>
    <col min="11" max="11" width="12" style="1053" customWidth="1"/>
    <col min="12" max="12" width="14.42578125" style="1053" customWidth="1"/>
    <col min="13" max="13" width="4.5703125" style="1053" customWidth="1"/>
    <col min="14" max="14" width="24.140625" style="1053" customWidth="1"/>
    <col min="15" max="15" width="10.5703125" style="1053" customWidth="1"/>
    <col min="16" max="16" width="10.42578125" style="1053" customWidth="1"/>
    <col min="17" max="17" width="22.28515625" style="1053" customWidth="1"/>
    <col min="18" max="18" width="12" style="1053" customWidth="1"/>
    <col min="19" max="19" width="8.140625" style="1053" customWidth="1"/>
    <col min="20" max="16384" width="9.140625" style="1053"/>
  </cols>
  <sheetData>
    <row r="1" spans="1:19" s="662" customFormat="1" ht="14.25" customHeight="1">
      <c r="B1" s="1154" t="s">
        <v>306</v>
      </c>
      <c r="C1" s="1155"/>
      <c r="D1" s="1155"/>
      <c r="E1" s="1155"/>
      <c r="F1" s="416"/>
      <c r="G1" s="416"/>
      <c r="H1" s="1446" t="s">
        <v>307</v>
      </c>
      <c r="I1" s="1446"/>
      <c r="J1" s="1446"/>
      <c r="K1" s="1446"/>
      <c r="L1" s="1446"/>
      <c r="M1" s="1146"/>
      <c r="N1" s="1148"/>
      <c r="O1" s="1144"/>
    </row>
    <row r="2" spans="1:19" s="662" customFormat="1" ht="14.25" customHeight="1">
      <c r="B2" s="1156" t="s">
        <v>308</v>
      </c>
      <c r="C2" s="1147"/>
      <c r="D2" s="1147"/>
      <c r="E2" s="1147"/>
      <c r="F2" s="1147"/>
      <c r="G2" s="1147"/>
      <c r="H2" s="1447" t="s">
        <v>309</v>
      </c>
      <c r="I2" s="1447"/>
      <c r="J2" s="1447"/>
      <c r="K2" s="1447"/>
      <c r="L2" s="1447"/>
      <c r="M2" s="216"/>
      <c r="N2" s="216"/>
      <c r="O2" s="1145"/>
    </row>
    <row r="3" spans="1:19" s="662" customFormat="1" ht="14.25" customHeight="1">
      <c r="B3" s="1147"/>
      <c r="C3" s="1147"/>
      <c r="D3" s="1147"/>
      <c r="E3" s="1147"/>
      <c r="F3" s="1147"/>
      <c r="G3" s="1147"/>
      <c r="H3" s="1486" t="s">
        <v>310</v>
      </c>
      <c r="I3" s="1486"/>
      <c r="J3" s="1486"/>
      <c r="K3" s="1486"/>
      <c r="L3" s="1486"/>
      <c r="M3" s="417"/>
      <c r="N3" s="417"/>
      <c r="O3" s="1145"/>
    </row>
    <row r="4" spans="1:19" s="418" customFormat="1" ht="27.75" customHeight="1">
      <c r="B4" s="1487" t="s">
        <v>311</v>
      </c>
      <c r="C4" s="1487"/>
      <c r="D4" s="1487"/>
      <c r="E4" s="1487"/>
      <c r="F4" s="1487"/>
      <c r="G4" s="1487"/>
      <c r="H4" s="1487"/>
      <c r="I4" s="1487"/>
      <c r="J4" s="1487"/>
      <c r="K4" s="1487"/>
      <c r="L4" s="1487"/>
    </row>
    <row r="5" spans="1:19" s="418" customFormat="1" ht="15">
      <c r="B5" s="1488" t="s">
        <v>312</v>
      </c>
      <c r="C5" s="1488"/>
      <c r="D5" s="1488"/>
      <c r="E5" s="1488"/>
      <c r="F5" s="1488"/>
      <c r="G5" s="1488"/>
      <c r="H5" s="1488"/>
      <c r="I5" s="1488"/>
      <c r="J5" s="1488"/>
      <c r="K5" s="1488"/>
      <c r="L5" s="1488"/>
    </row>
    <row r="6" spans="1:19" s="419" customFormat="1" ht="28.5" customHeight="1">
      <c r="C6" s="1479" t="s">
        <v>3008</v>
      </c>
      <c r="D6" s="1479"/>
      <c r="E6" s="1479"/>
      <c r="F6" s="1479"/>
      <c r="G6" s="1479"/>
      <c r="H6" s="1479"/>
      <c r="I6" s="1479"/>
      <c r="J6" s="1479"/>
      <c r="K6" s="1479"/>
      <c r="L6" s="1479"/>
    </row>
    <row r="7" spans="1:19" s="420" customFormat="1">
      <c r="B7" s="1480" t="s">
        <v>37</v>
      </c>
      <c r="C7" s="1481" t="s">
        <v>313</v>
      </c>
      <c r="D7" s="1482" t="s">
        <v>314</v>
      </c>
      <c r="E7" s="1484" t="s">
        <v>166</v>
      </c>
      <c r="F7" s="1484"/>
      <c r="G7" s="1484"/>
      <c r="H7" s="1484"/>
      <c r="I7" s="1484"/>
      <c r="J7" s="1484"/>
      <c r="K7" s="1484"/>
      <c r="L7" s="1484"/>
      <c r="N7" s="1476" t="s">
        <v>315</v>
      </c>
      <c r="O7" s="1476" t="s">
        <v>316</v>
      </c>
      <c r="P7" s="1476" t="s">
        <v>317</v>
      </c>
      <c r="Q7" s="1476" t="s">
        <v>318</v>
      </c>
      <c r="R7" s="1476" t="s">
        <v>319</v>
      </c>
      <c r="S7" s="1476" t="s">
        <v>320</v>
      </c>
    </row>
    <row r="8" spans="1:19" s="420" customFormat="1" ht="20.25" customHeight="1">
      <c r="B8" s="1480"/>
      <c r="C8" s="1481"/>
      <c r="D8" s="1483"/>
      <c r="E8" s="1484" t="s">
        <v>321</v>
      </c>
      <c r="F8" s="1484"/>
      <c r="G8" s="1485" t="s">
        <v>322</v>
      </c>
      <c r="H8" s="1485"/>
      <c r="I8" s="1485" t="s">
        <v>323</v>
      </c>
      <c r="J8" s="1485"/>
      <c r="K8" s="1485" t="s">
        <v>324</v>
      </c>
      <c r="L8" s="1485"/>
      <c r="N8" s="1477"/>
      <c r="O8" s="1477"/>
      <c r="P8" s="1477"/>
      <c r="Q8" s="1477"/>
      <c r="R8" s="1477"/>
      <c r="S8" s="1477"/>
    </row>
    <row r="9" spans="1:19" s="420" customFormat="1" ht="20.25" customHeight="1">
      <c r="B9" s="1480"/>
      <c r="C9" s="1481"/>
      <c r="D9" s="1150"/>
      <c r="E9" s="1151" t="s">
        <v>325</v>
      </c>
      <c r="F9" s="1151" t="s">
        <v>326</v>
      </c>
      <c r="G9" s="1151" t="s">
        <v>325</v>
      </c>
      <c r="H9" s="1151" t="s">
        <v>326</v>
      </c>
      <c r="I9" s="1151" t="s">
        <v>325</v>
      </c>
      <c r="J9" s="1151" t="s">
        <v>326</v>
      </c>
      <c r="K9" s="1151" t="s">
        <v>325</v>
      </c>
      <c r="L9" s="1151" t="s">
        <v>326</v>
      </c>
      <c r="N9" s="1478"/>
      <c r="O9" s="1478"/>
      <c r="P9" s="1478"/>
      <c r="Q9" s="1478"/>
      <c r="R9" s="1152"/>
      <c r="S9" s="1478"/>
    </row>
    <row r="10" spans="1:19" s="421" customFormat="1">
      <c r="B10" s="1149" t="s">
        <v>2</v>
      </c>
      <c r="C10" s="1150" t="s">
        <v>3</v>
      </c>
      <c r="D10" s="1150"/>
      <c r="E10" s="1151">
        <v>1</v>
      </c>
      <c r="F10" s="1151">
        <v>1</v>
      </c>
      <c r="G10" s="1151">
        <v>2</v>
      </c>
      <c r="H10" s="1151">
        <v>2</v>
      </c>
      <c r="I10" s="1151">
        <v>3</v>
      </c>
      <c r="J10" s="1151">
        <v>3</v>
      </c>
      <c r="K10" s="1151">
        <v>4</v>
      </c>
      <c r="L10" s="1151">
        <v>4</v>
      </c>
      <c r="N10" s="422"/>
      <c r="O10" s="422"/>
      <c r="P10" s="422"/>
      <c r="Q10" s="422"/>
      <c r="R10" s="422"/>
      <c r="S10" s="422"/>
    </row>
    <row r="11" spans="1:19" s="420" customFormat="1" ht="21.75" customHeight="1">
      <c r="A11" s="423" t="str">
        <f>IF(B11&lt;&gt;"","VL","")</f>
        <v>VL</v>
      </c>
      <c r="B11" s="424">
        <f>IF(C11&lt;&gt;"",ROW()-11,"")</f>
        <v>0</v>
      </c>
      <c r="C11" s="425" t="s">
        <v>327</v>
      </c>
      <c r="D11" s="426" t="s">
        <v>328</v>
      </c>
      <c r="E11" s="25">
        <v>500</v>
      </c>
      <c r="F11" s="25">
        <v>16100000</v>
      </c>
      <c r="G11" s="25">
        <f t="array" ref="G11">SUM(IF("1522"&amp;C11=KHN&amp;MH,SL))</f>
        <v>3550</v>
      </c>
      <c r="H11" s="25">
        <f t="array" ref="H11">SUM(IF("1522"&amp;C11=KHN&amp;MH,TH))</f>
        <v>116291818</v>
      </c>
      <c r="I11" s="25">
        <f t="array" ref="I11">SUM(IF("1522"&amp;C11=KHC&amp;MH,SL))</f>
        <v>1650</v>
      </c>
      <c r="J11" s="25">
        <f t="array" ref="J11">SUM(IF("1522"&amp;C11=KHC&amp;MH,TH))</f>
        <v>53130000</v>
      </c>
      <c r="K11" s="25">
        <f t="shared" ref="K11:L20" si="0">E11+G11-I11</f>
        <v>2400</v>
      </c>
      <c r="L11" s="25">
        <f t="shared" si="0"/>
        <v>79261818</v>
      </c>
      <c r="M11" s="423"/>
      <c r="N11" s="427" t="s">
        <v>329</v>
      </c>
      <c r="O11" s="425" t="s">
        <v>330</v>
      </c>
      <c r="P11" s="428">
        <v>330593933</v>
      </c>
      <c r="Q11" s="428" t="s">
        <v>331</v>
      </c>
      <c r="R11" s="428"/>
      <c r="S11" s="428" t="s">
        <v>1899</v>
      </c>
    </row>
    <row r="12" spans="1:19" s="420" customFormat="1" ht="21.75" customHeight="1">
      <c r="A12" s="423" t="str">
        <f t="shared" ref="A12:A47" si="1">IF(B12&lt;&gt;"","VL","")</f>
        <v>VL</v>
      </c>
      <c r="B12" s="424">
        <f t="shared" ref="B12:B24" si="2">IF(C12&lt;&gt;"",ROW()-11,"")</f>
        <v>1</v>
      </c>
      <c r="C12" s="429" t="s">
        <v>333</v>
      </c>
      <c r="D12" s="430" t="s">
        <v>328</v>
      </c>
      <c r="E12" s="25">
        <v>400</v>
      </c>
      <c r="F12" s="25">
        <v>19610800</v>
      </c>
      <c r="G12" s="25">
        <f t="array" ref="G12">SUM(IF("1522"&amp;C12=KHN&amp;MH,SL))</f>
        <v>3000</v>
      </c>
      <c r="H12" s="25">
        <f t="array" ref="H12">SUM(IF("1522"&amp;C12=KHN&amp;MH,TH))</f>
        <v>149424000</v>
      </c>
      <c r="I12" s="25">
        <f t="array" ref="I12">SUM(IF("1522"&amp;C12=KHC&amp;MH,SL))</f>
        <v>1600</v>
      </c>
      <c r="J12" s="25">
        <f t="array" ref="J12">SUM(IF("1522"&amp;C12=KHC&amp;MH,TH))</f>
        <v>79380400</v>
      </c>
      <c r="K12" s="8">
        <f t="shared" si="0"/>
        <v>1800</v>
      </c>
      <c r="L12" s="8">
        <f t="shared" si="0"/>
        <v>89654400</v>
      </c>
      <c r="M12" s="423"/>
      <c r="N12" s="429" t="s">
        <v>334</v>
      </c>
      <c r="O12" s="428" t="s">
        <v>330</v>
      </c>
      <c r="P12" s="428">
        <v>320775664</v>
      </c>
      <c r="Q12" s="428" t="s">
        <v>335</v>
      </c>
      <c r="R12" s="428"/>
      <c r="S12" s="428" t="s">
        <v>1899</v>
      </c>
    </row>
    <row r="13" spans="1:19" s="420" customFormat="1" ht="21.75" customHeight="1">
      <c r="A13" s="423" t="str">
        <f t="shared" si="1"/>
        <v>VL</v>
      </c>
      <c r="B13" s="424">
        <f t="shared" si="2"/>
        <v>2</v>
      </c>
      <c r="C13" s="429" t="s">
        <v>336</v>
      </c>
      <c r="D13" s="430" t="s">
        <v>328</v>
      </c>
      <c r="E13" s="25">
        <v>2100</v>
      </c>
      <c r="F13" s="25">
        <v>33257143</v>
      </c>
      <c r="G13" s="25">
        <f t="array" ref="G13">SUM(IF("1522"&amp;C13=KHN&amp;MH,SL))</f>
        <v>11000</v>
      </c>
      <c r="H13" s="25">
        <f t="array" ref="H13">SUM(IF("1522"&amp;C13=KHN&amp;MH,TH))</f>
        <v>155523807</v>
      </c>
      <c r="I13" s="25">
        <f t="array" ref="I13">SUM(IF("1522"&amp;C13=KHC&amp;MH,SL))</f>
        <v>4500</v>
      </c>
      <c r="J13" s="25">
        <f t="array" ref="J13">SUM(IF("1522"&amp;C13=KHC&amp;MH,TH))</f>
        <v>72800001</v>
      </c>
      <c r="K13" s="8">
        <f t="shared" si="0"/>
        <v>8600</v>
      </c>
      <c r="L13" s="8">
        <f t="shared" si="0"/>
        <v>115980949</v>
      </c>
      <c r="M13" s="423"/>
      <c r="N13" s="429" t="s">
        <v>337</v>
      </c>
      <c r="O13" s="431" t="s">
        <v>330</v>
      </c>
      <c r="P13" s="428">
        <v>320892558</v>
      </c>
      <c r="Q13" s="428" t="s">
        <v>338</v>
      </c>
      <c r="R13" s="428"/>
      <c r="S13" s="428" t="s">
        <v>1899</v>
      </c>
    </row>
    <row r="14" spans="1:19" s="420" customFormat="1" ht="21.75" customHeight="1">
      <c r="A14" s="423" t="str">
        <f t="shared" si="1"/>
        <v>VL</v>
      </c>
      <c r="B14" s="424">
        <f t="shared" si="2"/>
        <v>3</v>
      </c>
      <c r="C14" s="67" t="s">
        <v>804</v>
      </c>
      <c r="D14" s="430" t="s">
        <v>328</v>
      </c>
      <c r="E14" s="25">
        <v>370</v>
      </c>
      <c r="F14" s="25">
        <v>19610000</v>
      </c>
      <c r="G14" s="25">
        <f t="array" ref="G14">SUM(IF("1522"&amp;C14=KHN&amp;MH,SL))</f>
        <v>100</v>
      </c>
      <c r="H14" s="25">
        <f t="array" ref="H14">SUM(IF("1522"&amp;C14=KHN&amp;MH,TH))</f>
        <v>5100000</v>
      </c>
      <c r="I14" s="25">
        <f t="array" ref="I14">SUM(IF("1522"&amp;C14=KHC&amp;MH,SL))</f>
        <v>470</v>
      </c>
      <c r="J14" s="25">
        <f t="array" ref="J14">SUM(IF("1522"&amp;C14=KHC&amp;MH,TH))</f>
        <v>24710000</v>
      </c>
      <c r="K14" s="8">
        <f t="shared" ref="K14" si="3">E14+G14-I14</f>
        <v>0</v>
      </c>
      <c r="L14" s="8">
        <f t="shared" ref="L14" si="4">F14+H14-J14</f>
        <v>0</v>
      </c>
      <c r="M14" s="423"/>
      <c r="N14" s="429" t="s">
        <v>339</v>
      </c>
      <c r="O14" s="431" t="s">
        <v>330</v>
      </c>
      <c r="P14" s="428">
        <v>320892578</v>
      </c>
      <c r="Q14" s="428" t="s">
        <v>340</v>
      </c>
      <c r="R14" s="428"/>
      <c r="S14" s="428" t="s">
        <v>1899</v>
      </c>
    </row>
    <row r="15" spans="1:19" s="420" customFormat="1" ht="21.75" customHeight="1">
      <c r="A15" s="423" t="str">
        <f t="shared" si="1"/>
        <v>VL</v>
      </c>
      <c r="B15" s="424">
        <f t="shared" si="2"/>
        <v>4</v>
      </c>
      <c r="C15" s="429" t="s">
        <v>341</v>
      </c>
      <c r="D15" s="430" t="s">
        <v>328</v>
      </c>
      <c r="E15" s="25">
        <v>2000</v>
      </c>
      <c r="F15" s="25">
        <v>6000000</v>
      </c>
      <c r="G15" s="25">
        <f t="array" ref="G15">SUM(IF("1522"&amp;C15=KHN&amp;MH,SL))</f>
        <v>9000</v>
      </c>
      <c r="H15" s="25">
        <f t="array" ref="H15">SUM(IF("1522"&amp;C15=KHN&amp;MH,TH))</f>
        <v>29100000</v>
      </c>
      <c r="I15" s="25">
        <f t="array" ref="I15">SUM(IF("1522"&amp;C15=KHC&amp;MH,SL))</f>
        <v>6800</v>
      </c>
      <c r="J15" s="25">
        <f t="array" ref="J15">SUM(IF("1522"&amp;C15=KHC&amp;MH,TH))</f>
        <v>21360000</v>
      </c>
      <c r="K15" s="8">
        <f t="shared" si="0"/>
        <v>4200</v>
      </c>
      <c r="L15" s="8">
        <f t="shared" si="0"/>
        <v>13740000</v>
      </c>
      <c r="M15" s="423"/>
      <c r="N15" s="429" t="s">
        <v>342</v>
      </c>
      <c r="O15" s="431" t="s">
        <v>330</v>
      </c>
      <c r="P15" s="428">
        <v>321179471</v>
      </c>
      <c r="Q15" s="428" t="s">
        <v>343</v>
      </c>
      <c r="R15" s="428"/>
      <c r="S15" s="428" t="s">
        <v>1899</v>
      </c>
    </row>
    <row r="16" spans="1:19" s="420" customFormat="1" ht="21.75" customHeight="1">
      <c r="A16" s="423" t="str">
        <f t="shared" si="1"/>
        <v>VL</v>
      </c>
      <c r="B16" s="424">
        <f t="shared" si="2"/>
        <v>5</v>
      </c>
      <c r="C16" s="432" t="s">
        <v>1257</v>
      </c>
      <c r="D16" s="433" t="s">
        <v>328</v>
      </c>
      <c r="E16" s="25">
        <v>5750</v>
      </c>
      <c r="F16" s="25">
        <v>84686000</v>
      </c>
      <c r="G16" s="25">
        <f t="array" ref="G16">SUM(IF("1522"&amp;C16=KHN&amp;MH,SL))</f>
        <v>27000</v>
      </c>
      <c r="H16" s="25">
        <f t="array" ref="H16">SUM(IF("1522"&amp;C16=KHN&amp;MH,TH))</f>
        <v>397656000</v>
      </c>
      <c r="I16" s="25">
        <f t="array" ref="I16">SUM(IF("1522"&amp;C16=KHC&amp;MH,SL))</f>
        <v>24650</v>
      </c>
      <c r="J16" s="25">
        <f t="array" ref="J16">SUM(IF("1522"&amp;C16=KHC&amp;MH,TH))</f>
        <v>363045200</v>
      </c>
      <c r="K16" s="8">
        <f t="shared" si="0"/>
        <v>8100</v>
      </c>
      <c r="L16" s="8">
        <f t="shared" si="0"/>
        <v>119296800</v>
      </c>
      <c r="M16" s="423"/>
      <c r="N16" s="429" t="s">
        <v>344</v>
      </c>
      <c r="O16" s="431" t="s">
        <v>330</v>
      </c>
      <c r="P16" s="428">
        <v>324478047</v>
      </c>
      <c r="Q16" s="428" t="s">
        <v>345</v>
      </c>
      <c r="R16" s="428"/>
      <c r="S16" s="428" t="s">
        <v>1899</v>
      </c>
    </row>
    <row r="17" spans="1:19" s="420" customFormat="1" ht="21.75" customHeight="1">
      <c r="A17" s="423" t="str">
        <f t="shared" si="1"/>
        <v>VL</v>
      </c>
      <c r="B17" s="424">
        <f t="shared" si="2"/>
        <v>6</v>
      </c>
      <c r="C17" s="432" t="s">
        <v>346</v>
      </c>
      <c r="D17" s="434" t="s">
        <v>347</v>
      </c>
      <c r="E17" s="25">
        <v>200</v>
      </c>
      <c r="F17" s="25">
        <v>1600000</v>
      </c>
      <c r="G17" s="25">
        <f t="array" ref="G17">SUM(IF("1522"&amp;C17=KHN&amp;MH,SL))</f>
        <v>3000</v>
      </c>
      <c r="H17" s="25">
        <f t="array" ref="H17">SUM(IF("1522"&amp;C17=KHN&amp;MH,TH))</f>
        <v>24720000</v>
      </c>
      <c r="I17" s="25">
        <f t="array" ref="I17">SUM(IF("1522"&amp;C17=KHC&amp;MH,SL))</f>
        <v>2400</v>
      </c>
      <c r="J17" s="25">
        <f t="array" ref="J17">SUM(IF("1522"&amp;C17=KHC&amp;MH,TH))</f>
        <v>19920000</v>
      </c>
      <c r="K17" s="8">
        <f t="shared" si="0"/>
        <v>800</v>
      </c>
      <c r="L17" s="8">
        <f t="shared" si="0"/>
        <v>6400000</v>
      </c>
      <c r="M17" s="423"/>
      <c r="N17" s="429" t="s">
        <v>348</v>
      </c>
      <c r="O17" s="431" t="s">
        <v>330</v>
      </c>
      <c r="P17" s="428">
        <v>321413712</v>
      </c>
      <c r="Q17" s="428" t="s">
        <v>349</v>
      </c>
      <c r="R17" s="428"/>
      <c r="S17" s="428" t="s">
        <v>332</v>
      </c>
    </row>
    <row r="18" spans="1:19" s="420" customFormat="1" ht="21.75" customHeight="1">
      <c r="A18" s="423" t="str">
        <f t="shared" si="1"/>
        <v>VL</v>
      </c>
      <c r="B18" s="424">
        <f t="shared" si="2"/>
        <v>7</v>
      </c>
      <c r="C18" s="432" t="s">
        <v>351</v>
      </c>
      <c r="D18" s="434" t="s">
        <v>352</v>
      </c>
      <c r="E18" s="25">
        <v>93800</v>
      </c>
      <c r="F18" s="25">
        <v>28140000</v>
      </c>
      <c r="G18" s="25">
        <f t="array" ref="G18">SUM(IF("1522"&amp;C18=KHN&amp;MH,SL))</f>
        <v>0</v>
      </c>
      <c r="H18" s="25">
        <f t="array" ref="H18">SUM(IF("1522"&amp;C18=KHN&amp;MH,TH))</f>
        <v>0</v>
      </c>
      <c r="I18" s="25">
        <f t="array" ref="I18">SUM(IF("1522"&amp;C18=KHC&amp;MH,SL))</f>
        <v>0</v>
      </c>
      <c r="J18" s="25">
        <f t="array" ref="J18">SUM(IF("1522"&amp;C18=KHC&amp;MH,TH))</f>
        <v>0</v>
      </c>
      <c r="K18" s="8">
        <f t="shared" si="0"/>
        <v>93800</v>
      </c>
      <c r="L18" s="8">
        <f t="shared" si="0"/>
        <v>28140000</v>
      </c>
      <c r="M18" s="423"/>
      <c r="N18" s="429" t="s">
        <v>350</v>
      </c>
      <c r="O18" s="425" t="s">
        <v>330</v>
      </c>
      <c r="P18" s="428">
        <v>320744085</v>
      </c>
      <c r="Q18" s="428" t="s">
        <v>335</v>
      </c>
      <c r="R18" s="428"/>
      <c r="S18" s="428" t="s">
        <v>332</v>
      </c>
    </row>
    <row r="19" spans="1:19" s="420" customFormat="1" ht="21.75" customHeight="1">
      <c r="A19" s="423" t="str">
        <f t="shared" si="1"/>
        <v>VL</v>
      </c>
      <c r="B19" s="424">
        <f t="shared" si="2"/>
        <v>8</v>
      </c>
      <c r="C19" s="432" t="s">
        <v>355</v>
      </c>
      <c r="D19" s="434" t="s">
        <v>352</v>
      </c>
      <c r="E19" s="25">
        <v>48700</v>
      </c>
      <c r="F19" s="25">
        <v>19480000</v>
      </c>
      <c r="G19" s="25">
        <f t="array" ref="G19">SUM(IF("1522"&amp;C19=KHN&amp;MH,SL))</f>
        <v>0</v>
      </c>
      <c r="H19" s="25">
        <f t="array" ref="H19">SUM(IF("1522"&amp;C19=KHN&amp;MH,TH))</f>
        <v>0</v>
      </c>
      <c r="I19" s="25">
        <f t="array" ref="I19">SUM(IF("1522"&amp;C19=KHC&amp;MH,SL))</f>
        <v>0</v>
      </c>
      <c r="J19" s="25">
        <f t="array" ref="J19">SUM(IF("1522"&amp;C19=KHC&amp;MH,TH))</f>
        <v>0</v>
      </c>
      <c r="K19" s="8">
        <f t="shared" si="0"/>
        <v>48700</v>
      </c>
      <c r="L19" s="8">
        <f t="shared" si="0"/>
        <v>19480000</v>
      </c>
      <c r="M19" s="423"/>
      <c r="N19" s="429" t="s">
        <v>353</v>
      </c>
      <c r="O19" s="425" t="s">
        <v>330</v>
      </c>
      <c r="P19" s="428">
        <v>320807672</v>
      </c>
      <c r="Q19" s="428" t="s">
        <v>354</v>
      </c>
      <c r="R19" s="428"/>
      <c r="S19" s="428" t="s">
        <v>332</v>
      </c>
    </row>
    <row r="20" spans="1:19" s="1287" customFormat="1" ht="21.75" customHeight="1">
      <c r="A20" s="719" t="str">
        <f t="shared" si="1"/>
        <v>VL</v>
      </c>
      <c r="B20" s="1285">
        <f t="shared" si="2"/>
        <v>9</v>
      </c>
      <c r="C20" s="432" t="s">
        <v>564</v>
      </c>
      <c r="D20" s="434" t="s">
        <v>364</v>
      </c>
      <c r="E20" s="992">
        <v>0</v>
      </c>
      <c r="F20" s="992">
        <v>0</v>
      </c>
      <c r="G20" s="992">
        <f t="array" ref="G20">SUM(IF("1522"&amp;C20=KHN&amp;MH,SL))</f>
        <v>14950</v>
      </c>
      <c r="H20" s="992">
        <f t="array" ref="H20">SUM(IF("1522"&amp;C20=KHN&amp;MH,TH))</f>
        <v>213800000</v>
      </c>
      <c r="I20" s="992">
        <f t="array" ref="I20">SUM(IF("1522"&amp;C20=KHC&amp;MH,SL))</f>
        <v>14950</v>
      </c>
      <c r="J20" s="992">
        <f t="array" ref="J20">SUM(IF("1522"&amp;C20=KHC&amp;MH,TH))</f>
        <v>213800000</v>
      </c>
      <c r="K20" s="381">
        <f t="shared" si="0"/>
        <v>0</v>
      </c>
      <c r="L20" s="381">
        <f t="shared" si="0"/>
        <v>0</v>
      </c>
      <c r="M20" s="719"/>
      <c r="N20" s="432" t="s">
        <v>356</v>
      </c>
      <c r="O20" s="960" t="s">
        <v>330</v>
      </c>
      <c r="P20" s="1286">
        <v>320044169</v>
      </c>
      <c r="Q20" s="1286" t="s">
        <v>357</v>
      </c>
      <c r="R20" s="1286"/>
      <c r="S20" s="428" t="s">
        <v>332</v>
      </c>
    </row>
    <row r="21" spans="1:19" s="420" customFormat="1" ht="21.75" customHeight="1">
      <c r="A21" s="423" t="str">
        <f t="shared" si="1"/>
        <v>VL</v>
      </c>
      <c r="B21" s="424">
        <f t="shared" si="2"/>
        <v>10</v>
      </c>
      <c r="C21" s="432" t="s">
        <v>2173</v>
      </c>
      <c r="D21" s="434" t="s">
        <v>364</v>
      </c>
      <c r="E21" s="25">
        <v>0</v>
      </c>
      <c r="F21" s="25">
        <v>0</v>
      </c>
      <c r="G21" s="25">
        <f t="array" ref="G21">SUM(IF("1522"&amp;C21=KHN&amp;MH,SL))</f>
        <v>185180</v>
      </c>
      <c r="H21" s="25">
        <f t="array" ref="H21">SUM(IF("1522"&amp;C21=KHN&amp;MH,TH))</f>
        <v>37036000</v>
      </c>
      <c r="I21" s="25">
        <f t="array" ref="I21">SUM(IF("1522"&amp;C21=KHC&amp;MH,SL))</f>
        <v>185180</v>
      </c>
      <c r="J21" s="25">
        <f t="array" ref="J21">SUM(IF("1522"&amp;C21=KHC&amp;MH,TH))</f>
        <v>37036000</v>
      </c>
      <c r="K21" s="8">
        <f t="shared" ref="K21" si="5">E21+G21-I21</f>
        <v>0</v>
      </c>
      <c r="L21" s="8">
        <f t="shared" ref="L21" si="6">F21+H21-J21</f>
        <v>0</v>
      </c>
      <c r="M21" s="423"/>
      <c r="N21" s="435" t="s">
        <v>358</v>
      </c>
      <c r="O21" s="425" t="s">
        <v>330</v>
      </c>
      <c r="P21" s="428">
        <v>320881573</v>
      </c>
      <c r="Q21" s="428" t="s">
        <v>354</v>
      </c>
      <c r="R21" s="428"/>
      <c r="S21" s="428" t="s">
        <v>332</v>
      </c>
    </row>
    <row r="22" spans="1:19" s="420" customFormat="1" ht="21.75" customHeight="1">
      <c r="A22" s="423" t="str">
        <f t="shared" si="1"/>
        <v>VL</v>
      </c>
      <c r="B22" s="424">
        <f t="shared" si="2"/>
        <v>11</v>
      </c>
      <c r="C22" s="432" t="s">
        <v>373</v>
      </c>
      <c r="D22" s="434" t="s">
        <v>364</v>
      </c>
      <c r="E22" s="25">
        <v>630</v>
      </c>
      <c r="F22" s="25">
        <v>5985000</v>
      </c>
      <c r="G22" s="25">
        <f t="array" ref="G22">SUM(IF("1522"&amp;C22=KHN&amp;MH,SL))</f>
        <v>320</v>
      </c>
      <c r="H22" s="25">
        <f t="array" ref="H22">SUM(IF("1522"&amp;C22=KHN&amp;MH,TH))</f>
        <v>3696000</v>
      </c>
      <c r="I22" s="25">
        <f t="array" ref="I22">SUM(IF("1522"&amp;C22=KHC&amp;MH,SL))</f>
        <v>630</v>
      </c>
      <c r="J22" s="25">
        <f t="array" ref="J22">SUM(IF("1522"&amp;C22=KHC&amp;MH,TH))</f>
        <v>5985000</v>
      </c>
      <c r="K22" s="8">
        <f t="shared" ref="K22:K47" si="7">E22+G22-I22</f>
        <v>320</v>
      </c>
      <c r="L22" s="8">
        <f t="shared" ref="L22:L47" si="8">F22+H22-J22</f>
        <v>3696000</v>
      </c>
      <c r="M22" s="423"/>
      <c r="N22" s="429" t="s">
        <v>359</v>
      </c>
      <c r="O22" s="425" t="s">
        <v>330</v>
      </c>
      <c r="P22" s="428">
        <v>320876558</v>
      </c>
      <c r="Q22" s="428" t="s">
        <v>360</v>
      </c>
      <c r="R22" s="428"/>
      <c r="S22" s="428" t="s">
        <v>332</v>
      </c>
    </row>
    <row r="23" spans="1:19" s="420" customFormat="1" ht="21.75" customHeight="1">
      <c r="A23" s="423" t="str">
        <f t="shared" si="1"/>
        <v>VL</v>
      </c>
      <c r="B23" s="424">
        <f t="shared" si="2"/>
        <v>12</v>
      </c>
      <c r="C23" s="432" t="s">
        <v>1671</v>
      </c>
      <c r="D23" s="434" t="s">
        <v>364</v>
      </c>
      <c r="E23" s="25">
        <v>0</v>
      </c>
      <c r="F23" s="25">
        <v>0</v>
      </c>
      <c r="G23" s="25">
        <f t="array" ref="G23">SUM(IF("1522"&amp;C23=KHN&amp;MH,SL))</f>
        <v>594</v>
      </c>
      <c r="H23" s="25">
        <f t="array" ref="H23">SUM(IF("1522"&amp;C23=KHN&amp;MH,TH))</f>
        <v>6534000</v>
      </c>
      <c r="I23" s="25">
        <f t="array" ref="I23">SUM(IF("1522"&amp;C23=KHC&amp;MH,SL))</f>
        <v>594</v>
      </c>
      <c r="J23" s="25">
        <f t="array" ref="J23">SUM(IF("1522"&amp;C23=KHC&amp;MH,TH))</f>
        <v>6534000</v>
      </c>
      <c r="K23" s="8">
        <f t="shared" si="7"/>
        <v>0</v>
      </c>
      <c r="L23" s="8">
        <f t="shared" si="8"/>
        <v>0</v>
      </c>
      <c r="M23" s="423"/>
      <c r="N23" s="429" t="s">
        <v>361</v>
      </c>
      <c r="O23" s="431" t="s">
        <v>362</v>
      </c>
      <c r="P23" s="428">
        <v>250746332</v>
      </c>
      <c r="Q23" s="428" t="s">
        <v>363</v>
      </c>
      <c r="R23" s="428"/>
      <c r="S23" s="428" t="s">
        <v>1899</v>
      </c>
    </row>
    <row r="24" spans="1:19" s="420" customFormat="1" ht="21.75" customHeight="1">
      <c r="A24" s="423" t="str">
        <f t="shared" si="1"/>
        <v>VL</v>
      </c>
      <c r="B24" s="424">
        <f t="shared" si="2"/>
        <v>13</v>
      </c>
      <c r="C24" s="432" t="s">
        <v>381</v>
      </c>
      <c r="D24" s="434" t="s">
        <v>364</v>
      </c>
      <c r="E24" s="25">
        <v>1076</v>
      </c>
      <c r="F24" s="25">
        <v>14526000</v>
      </c>
      <c r="G24" s="25">
        <f t="array" ref="G24">SUM(IF("1522"&amp;C24=KHN&amp;MH,SL))</f>
        <v>3911</v>
      </c>
      <c r="H24" s="25">
        <f t="array" ref="H24">SUM(IF("1522"&amp;C24=KHN&amp;MH,TH))</f>
        <v>75584200</v>
      </c>
      <c r="I24" s="25">
        <f t="array" ref="I24">SUM(IF("1522"&amp;C24=KHC&amp;MH,SL))</f>
        <v>4987</v>
      </c>
      <c r="J24" s="25">
        <f t="array" ref="J24">SUM(IF("1522"&amp;C24=KHC&amp;MH,TH))</f>
        <v>90110200</v>
      </c>
      <c r="K24" s="8">
        <f t="shared" si="7"/>
        <v>0</v>
      </c>
      <c r="L24" s="8">
        <f t="shared" si="8"/>
        <v>0</v>
      </c>
      <c r="M24" s="423"/>
      <c r="N24" s="429" t="s">
        <v>365</v>
      </c>
      <c r="O24" s="431" t="s">
        <v>362</v>
      </c>
      <c r="P24" s="428">
        <v>260682094</v>
      </c>
      <c r="Q24" s="428" t="s">
        <v>363</v>
      </c>
      <c r="R24" s="428"/>
      <c r="S24" s="428" t="s">
        <v>1899</v>
      </c>
    </row>
    <row r="25" spans="1:19" s="420" customFormat="1" ht="21.75" customHeight="1">
      <c r="A25" s="423" t="str">
        <f t="shared" si="1"/>
        <v>VL</v>
      </c>
      <c r="B25" s="424">
        <f t="shared" ref="B25:B27" si="9">IF(C25&lt;&gt;"",ROW()-11,"")</f>
        <v>14</v>
      </c>
      <c r="C25" s="432" t="s">
        <v>780</v>
      </c>
      <c r="D25" s="434" t="s">
        <v>364</v>
      </c>
      <c r="E25" s="25">
        <v>1803</v>
      </c>
      <c r="F25" s="25">
        <v>18570900</v>
      </c>
      <c r="G25" s="25">
        <f t="array" ref="G25">SUM(IF("1522"&amp;C25=KHN&amp;MH,SL))</f>
        <v>0</v>
      </c>
      <c r="H25" s="25">
        <f t="array" ref="H25">SUM(IF("1522"&amp;C25=KHN&amp;MH,TH))</f>
        <v>0</v>
      </c>
      <c r="I25" s="25">
        <f t="array" ref="I25">SUM(IF("1522"&amp;C25=KHC&amp;MH,SL))</f>
        <v>1803</v>
      </c>
      <c r="J25" s="25">
        <f t="array" ref="J25">SUM(IF("1522"&amp;C25=KHC&amp;MH,TH))</f>
        <v>18570900</v>
      </c>
      <c r="K25" s="8">
        <f t="shared" si="7"/>
        <v>0</v>
      </c>
      <c r="L25" s="8">
        <f t="shared" si="8"/>
        <v>0</v>
      </c>
      <c r="M25" s="423"/>
      <c r="N25" s="429" t="s">
        <v>366</v>
      </c>
      <c r="O25" s="431" t="s">
        <v>362</v>
      </c>
      <c r="P25" s="428">
        <v>260690910</v>
      </c>
      <c r="Q25" s="428" t="s">
        <v>367</v>
      </c>
      <c r="R25" s="428"/>
      <c r="S25" s="428" t="s">
        <v>1899</v>
      </c>
    </row>
    <row r="26" spans="1:19" s="420" customFormat="1" ht="21.75" customHeight="1">
      <c r="A26" s="423" t="str">
        <f t="shared" si="1"/>
        <v>VL</v>
      </c>
      <c r="B26" s="424">
        <f t="shared" si="9"/>
        <v>15</v>
      </c>
      <c r="C26" s="432" t="s">
        <v>779</v>
      </c>
      <c r="D26" s="434" t="s">
        <v>364</v>
      </c>
      <c r="E26" s="25">
        <v>109</v>
      </c>
      <c r="F26" s="25">
        <v>1471500</v>
      </c>
      <c r="G26" s="25">
        <f t="array" ref="G26">SUM(IF("1522"&amp;C26=KHN&amp;MH,SL))</f>
        <v>0</v>
      </c>
      <c r="H26" s="25">
        <f t="array" ref="H26">SUM(IF("1522"&amp;C26=KHN&amp;MH,TH))</f>
        <v>0</v>
      </c>
      <c r="I26" s="25">
        <f t="array" ref="I26">SUM(IF("1522"&amp;C26=KHC&amp;MH,SL))</f>
        <v>109</v>
      </c>
      <c r="J26" s="25">
        <f t="array" ref="J26">SUM(IF("1522"&amp;C26=KHC&amp;MH,TH))</f>
        <v>1471500</v>
      </c>
      <c r="K26" s="8">
        <f t="shared" si="7"/>
        <v>0</v>
      </c>
      <c r="L26" s="8">
        <f t="shared" si="8"/>
        <v>0</v>
      </c>
      <c r="M26" s="423"/>
      <c r="N26" s="429" t="s">
        <v>369</v>
      </c>
      <c r="O26" s="431" t="s">
        <v>362</v>
      </c>
      <c r="P26" s="428">
        <v>260178873</v>
      </c>
      <c r="Q26" s="428" t="s">
        <v>370</v>
      </c>
      <c r="R26" s="428"/>
      <c r="S26" s="428" t="s">
        <v>332</v>
      </c>
    </row>
    <row r="27" spans="1:19" s="420" customFormat="1" ht="21.75" customHeight="1">
      <c r="A27" s="423" t="str">
        <f t="shared" si="1"/>
        <v>VL</v>
      </c>
      <c r="B27" s="424">
        <f t="shared" si="9"/>
        <v>16</v>
      </c>
      <c r="C27" s="432" t="s">
        <v>1782</v>
      </c>
      <c r="D27" s="434" t="s">
        <v>364</v>
      </c>
      <c r="E27" s="25">
        <v>0</v>
      </c>
      <c r="F27" s="25">
        <v>0</v>
      </c>
      <c r="G27" s="25">
        <f t="array" ref="G27">SUM(IF("1522"&amp;C27=KHN&amp;MH,SL))</f>
        <v>458</v>
      </c>
      <c r="H27" s="25">
        <f t="array" ref="H27">SUM(IF("1522"&amp;C27=KHN&amp;MH,TH))</f>
        <v>6961600</v>
      </c>
      <c r="I27" s="25">
        <f t="array" ref="I27">SUM(IF("1522"&amp;C27=KHC&amp;MH,SL))</f>
        <v>0</v>
      </c>
      <c r="J27" s="25">
        <f t="array" ref="J27">SUM(IF("1522"&amp;C27=KHC&amp;MH,TH))</f>
        <v>0</v>
      </c>
      <c r="K27" s="8">
        <f t="shared" si="7"/>
        <v>458</v>
      </c>
      <c r="L27" s="8">
        <f t="shared" si="8"/>
        <v>6961600</v>
      </c>
      <c r="M27" s="423"/>
      <c r="N27" s="429" t="s">
        <v>372</v>
      </c>
      <c r="O27" s="431" t="s">
        <v>362</v>
      </c>
      <c r="P27" s="428">
        <v>260850613</v>
      </c>
      <c r="Q27" s="428" t="s">
        <v>370</v>
      </c>
      <c r="R27" s="428"/>
      <c r="S27" s="428" t="s">
        <v>332</v>
      </c>
    </row>
    <row r="28" spans="1:19" s="420" customFormat="1" ht="21.75" customHeight="1">
      <c r="A28" s="423" t="str">
        <f t="shared" si="1"/>
        <v>VL</v>
      </c>
      <c r="B28" s="424">
        <f t="shared" ref="B28:B39" si="10">IF(C28&lt;&gt;"",ROW()-11,"")</f>
        <v>17</v>
      </c>
      <c r="C28" s="432" t="s">
        <v>371</v>
      </c>
      <c r="D28" s="434" t="s">
        <v>364</v>
      </c>
      <c r="E28" s="25">
        <v>607</v>
      </c>
      <c r="F28" s="25">
        <v>8194500</v>
      </c>
      <c r="G28" s="25">
        <f t="array" ref="G28">SUM(IF("1522"&amp;C28=KHN&amp;MH,SL))</f>
        <v>8424</v>
      </c>
      <c r="H28" s="25">
        <f t="array" ref="H28">SUM(IF("1522"&amp;C28=KHN&amp;MH,TH))</f>
        <v>120925900</v>
      </c>
      <c r="I28" s="25">
        <f t="array" ref="I28">SUM(IF("1522"&amp;C28=KHC&amp;MH,SL))</f>
        <v>7180</v>
      </c>
      <c r="J28" s="25">
        <f t="array" ref="J28">SUM(IF("1522"&amp;C28=KHC&amp;MH,TH))</f>
        <v>101492000</v>
      </c>
      <c r="K28" s="8">
        <f t="shared" si="7"/>
        <v>1851</v>
      </c>
      <c r="L28" s="8">
        <f t="shared" si="8"/>
        <v>27628400</v>
      </c>
      <c r="M28" s="423"/>
      <c r="N28" s="429" t="s">
        <v>374</v>
      </c>
      <c r="O28" s="431" t="s">
        <v>362</v>
      </c>
      <c r="P28" s="428">
        <v>280853616</v>
      </c>
      <c r="Q28" s="428" t="s">
        <v>370</v>
      </c>
      <c r="R28" s="428"/>
      <c r="S28" s="428" t="s">
        <v>332</v>
      </c>
    </row>
    <row r="29" spans="1:19" s="420" customFormat="1" ht="21.75" customHeight="1">
      <c r="A29" s="423" t="str">
        <f t="shared" si="1"/>
        <v>VL</v>
      </c>
      <c r="B29" s="424">
        <f t="shared" si="10"/>
        <v>18</v>
      </c>
      <c r="C29" s="432" t="s">
        <v>752</v>
      </c>
      <c r="D29" s="434" t="s">
        <v>364</v>
      </c>
      <c r="E29" s="25">
        <v>3427</v>
      </c>
      <c r="F29" s="25">
        <v>35246100</v>
      </c>
      <c r="G29" s="25">
        <f t="array" ref="G29">SUM(IF("1522"&amp;C29=KHN&amp;MH,SL))</f>
        <v>0</v>
      </c>
      <c r="H29" s="25">
        <f t="array" ref="H29">SUM(IF("1522"&amp;C29=KHN&amp;MH,TH))</f>
        <v>0</v>
      </c>
      <c r="I29" s="25">
        <f t="array" ref="I29">SUM(IF("1522"&amp;C29=KHC&amp;MH,SL))</f>
        <v>3427</v>
      </c>
      <c r="J29" s="25">
        <f t="array" ref="J29">SUM(IF("1522"&amp;C29=KHC&amp;MH,TH))</f>
        <v>35246100</v>
      </c>
      <c r="K29" s="8">
        <f t="shared" si="7"/>
        <v>0</v>
      </c>
      <c r="L29" s="8">
        <f t="shared" si="8"/>
        <v>0</v>
      </c>
      <c r="M29" s="423"/>
      <c r="N29" s="429" t="s">
        <v>376</v>
      </c>
      <c r="O29" s="431" t="s">
        <v>362</v>
      </c>
      <c r="P29" s="428">
        <v>261005222</v>
      </c>
      <c r="Q29" s="428" t="s">
        <v>377</v>
      </c>
      <c r="R29" s="428"/>
      <c r="S29" s="428" t="s">
        <v>332</v>
      </c>
    </row>
    <row r="30" spans="1:19" s="420" customFormat="1" ht="21.75" customHeight="1">
      <c r="A30" s="423" t="str">
        <f t="shared" si="1"/>
        <v>VL</v>
      </c>
      <c r="B30" s="424">
        <f t="shared" ref="B30" si="11">IF(C30&lt;&gt;"",ROW()-11,"")</f>
        <v>19</v>
      </c>
      <c r="C30" s="432" t="s">
        <v>2768</v>
      </c>
      <c r="D30" s="434" t="s">
        <v>364</v>
      </c>
      <c r="E30" s="25">
        <v>0</v>
      </c>
      <c r="F30" s="25">
        <v>0</v>
      </c>
      <c r="G30" s="25">
        <f t="array" ref="G30">SUM(IF("1522"&amp;C30=KHN&amp;MH,SL))</f>
        <v>137</v>
      </c>
      <c r="H30" s="25">
        <f t="array" ref="H30">SUM(IF("1522"&amp;C30=KHN&amp;MH,TH))</f>
        <v>1945400</v>
      </c>
      <c r="I30" s="25">
        <f t="array" ref="I30">SUM(IF("1522"&amp;C30=KHC&amp;MH,SL))</f>
        <v>137</v>
      </c>
      <c r="J30" s="25">
        <f t="array" ref="J30">SUM(IF("1522"&amp;C30=KHC&amp;MH,TH))</f>
        <v>1945400</v>
      </c>
      <c r="K30" s="8">
        <f t="shared" si="7"/>
        <v>0</v>
      </c>
      <c r="L30" s="8">
        <f t="shared" si="8"/>
        <v>0</v>
      </c>
      <c r="M30" s="423"/>
      <c r="N30" s="429" t="s">
        <v>378</v>
      </c>
      <c r="O30" s="431" t="s">
        <v>379</v>
      </c>
      <c r="P30" s="428">
        <v>370047763</v>
      </c>
      <c r="Q30" s="428" t="s">
        <v>380</v>
      </c>
      <c r="R30" s="428"/>
      <c r="S30" s="428" t="s">
        <v>332</v>
      </c>
    </row>
    <row r="31" spans="1:19" s="420" customFormat="1" ht="21.75" customHeight="1">
      <c r="A31" s="423" t="str">
        <f t="shared" si="1"/>
        <v>VL</v>
      </c>
      <c r="B31" s="424">
        <f t="shared" ref="B31" si="12">IF(C31&lt;&gt;"",ROW()-11,"")</f>
        <v>20</v>
      </c>
      <c r="C31" s="432" t="s">
        <v>2340</v>
      </c>
      <c r="D31" s="434" t="s">
        <v>364</v>
      </c>
      <c r="E31" s="25">
        <v>0</v>
      </c>
      <c r="F31" s="25">
        <v>0</v>
      </c>
      <c r="G31" s="25">
        <f t="array" ref="G31">SUM(IF("1522"&amp;C31=KHN&amp;MH,SL))</f>
        <v>890</v>
      </c>
      <c r="H31" s="25">
        <f t="array" ref="H31">SUM(IF("1522"&amp;C31=KHN&amp;MH,TH))</f>
        <v>14346400</v>
      </c>
      <c r="I31" s="25">
        <f t="array" ref="I31">SUM(IF("1522"&amp;C31=KHC&amp;MH,SL))</f>
        <v>890</v>
      </c>
      <c r="J31" s="25">
        <f t="array" ref="J31">SUM(IF("1522"&amp;C31=KHC&amp;MH,TH))</f>
        <v>14346400</v>
      </c>
      <c r="K31" s="8">
        <f t="shared" si="7"/>
        <v>0</v>
      </c>
      <c r="L31" s="8">
        <f t="shared" si="8"/>
        <v>0</v>
      </c>
      <c r="M31" s="423"/>
      <c r="N31" s="429" t="s">
        <v>382</v>
      </c>
      <c r="O31" s="431" t="s">
        <v>379</v>
      </c>
      <c r="P31" s="428">
        <v>370054438</v>
      </c>
      <c r="Q31" s="428" t="s">
        <v>380</v>
      </c>
      <c r="R31" s="428"/>
      <c r="S31" s="428" t="s">
        <v>332</v>
      </c>
    </row>
    <row r="32" spans="1:19" s="420" customFormat="1" ht="21.75" customHeight="1">
      <c r="A32" s="423" t="str">
        <f t="shared" si="1"/>
        <v>VL</v>
      </c>
      <c r="B32" s="424">
        <f t="shared" si="10"/>
        <v>21</v>
      </c>
      <c r="C32" s="432" t="s">
        <v>368</v>
      </c>
      <c r="D32" s="434" t="s">
        <v>364</v>
      </c>
      <c r="E32" s="25">
        <v>0</v>
      </c>
      <c r="F32" s="25">
        <v>0</v>
      </c>
      <c r="G32" s="25">
        <f t="array" ref="G32">SUM(IF("1522"&amp;C32=KHN&amp;MH,SL))</f>
        <v>4316</v>
      </c>
      <c r="H32" s="25">
        <f t="array" ref="H32">SUM(IF("1522"&amp;C32=KHN&amp;MH,TH))</f>
        <v>50712200</v>
      </c>
      <c r="I32" s="25">
        <f t="array" ref="I32">SUM(IF("1522"&amp;C32=KHC&amp;MH,SL))</f>
        <v>2689</v>
      </c>
      <c r="J32" s="25">
        <f t="array" ref="J32">SUM(IF("1522"&amp;C32=KHC&amp;MH,TH))</f>
        <v>19799200</v>
      </c>
      <c r="K32" s="8">
        <f t="shared" si="7"/>
        <v>1627</v>
      </c>
      <c r="L32" s="8">
        <f t="shared" si="8"/>
        <v>30913000</v>
      </c>
      <c r="M32" s="423"/>
      <c r="N32" s="429" t="s">
        <v>383</v>
      </c>
      <c r="O32" s="431" t="s">
        <v>379</v>
      </c>
      <c r="P32" s="428">
        <v>370615318</v>
      </c>
      <c r="Q32" s="428" t="s">
        <v>384</v>
      </c>
      <c r="R32" s="428"/>
      <c r="S32" s="428" t="s">
        <v>332</v>
      </c>
    </row>
    <row r="33" spans="1:19" s="420" customFormat="1" ht="21.75" customHeight="1">
      <c r="A33" s="423" t="str">
        <f t="shared" si="1"/>
        <v>VL</v>
      </c>
      <c r="B33" s="424">
        <f t="shared" si="10"/>
        <v>22</v>
      </c>
      <c r="C33" s="432" t="s">
        <v>781</v>
      </c>
      <c r="D33" s="434" t="s">
        <v>364</v>
      </c>
      <c r="E33" s="25">
        <v>1040</v>
      </c>
      <c r="F33" s="25">
        <v>14040000</v>
      </c>
      <c r="G33" s="25">
        <f t="array" ref="G33">SUM(IF("1522"&amp;C33=KHN&amp;MH,SL))</f>
        <v>3558</v>
      </c>
      <c r="H33" s="25">
        <f t="array" ref="H33">SUM(IF("1522"&amp;C33=KHN&amp;MH,TH))</f>
        <v>45987120</v>
      </c>
      <c r="I33" s="25">
        <f t="array" ref="I33">SUM(IF("1522"&amp;C33=KHC&amp;MH,SL))</f>
        <v>4598</v>
      </c>
      <c r="J33" s="25">
        <f t="array" ref="J33">SUM(IF("1522"&amp;C33=KHC&amp;MH,TH))</f>
        <v>60027120</v>
      </c>
      <c r="K33" s="8">
        <f t="shared" si="7"/>
        <v>0</v>
      </c>
      <c r="L33" s="8">
        <f t="shared" si="8"/>
        <v>0</v>
      </c>
      <c r="M33" s="423"/>
      <c r="N33" s="429" t="s">
        <v>385</v>
      </c>
      <c r="O33" s="431" t="s">
        <v>379</v>
      </c>
      <c r="P33" s="428">
        <v>370825748</v>
      </c>
      <c r="Q33" s="428" t="s">
        <v>384</v>
      </c>
      <c r="R33" s="428"/>
      <c r="S33" s="428" t="s">
        <v>332</v>
      </c>
    </row>
    <row r="34" spans="1:19" s="420" customFormat="1" ht="21.75" customHeight="1">
      <c r="A34" s="423" t="str">
        <f t="shared" si="1"/>
        <v>VL</v>
      </c>
      <c r="B34" s="424">
        <f t="shared" si="10"/>
        <v>23</v>
      </c>
      <c r="C34" s="432" t="s">
        <v>2013</v>
      </c>
      <c r="D34" s="434" t="s">
        <v>364</v>
      </c>
      <c r="E34" s="25">
        <v>0</v>
      </c>
      <c r="F34" s="25">
        <v>0</v>
      </c>
      <c r="G34" s="25">
        <f t="array" ref="G34">SUM(IF("1522"&amp;C34=KHN&amp;MH,SL))</f>
        <v>1465</v>
      </c>
      <c r="H34" s="25">
        <f t="array" ref="H34">SUM(IF("1522"&amp;C34=KHN&amp;MH,TH))</f>
        <v>16115000</v>
      </c>
      <c r="I34" s="25">
        <f t="array" ref="I34">SUM(IF("1522"&amp;C34=KHC&amp;MH,SL))</f>
        <v>1465</v>
      </c>
      <c r="J34" s="25">
        <f t="array" ref="J34">SUM(IF("1522"&amp;C34=KHC&amp;MH,TH))</f>
        <v>16115000</v>
      </c>
      <c r="K34" s="8">
        <f t="shared" si="7"/>
        <v>0</v>
      </c>
      <c r="L34" s="8">
        <f t="shared" si="8"/>
        <v>0</v>
      </c>
      <c r="M34" s="423"/>
      <c r="N34" s="429" t="s">
        <v>386</v>
      </c>
      <c r="O34" s="431" t="s">
        <v>379</v>
      </c>
      <c r="P34" s="428">
        <v>370698949</v>
      </c>
      <c r="Q34" s="428" t="s">
        <v>387</v>
      </c>
      <c r="R34" s="428" t="s">
        <v>388</v>
      </c>
      <c r="S34" s="428" t="s">
        <v>332</v>
      </c>
    </row>
    <row r="35" spans="1:19" s="420" customFormat="1" ht="21.75" customHeight="1">
      <c r="A35" s="423" t="str">
        <f t="shared" si="1"/>
        <v>VL</v>
      </c>
      <c r="B35" s="424">
        <f>IF(C35&lt;&gt;"",ROW()-11,"")</f>
        <v>24</v>
      </c>
      <c r="C35" s="432" t="s">
        <v>745</v>
      </c>
      <c r="D35" s="434" t="s">
        <v>364</v>
      </c>
      <c r="E35" s="25">
        <v>0</v>
      </c>
      <c r="F35" s="25">
        <v>0</v>
      </c>
      <c r="G35" s="25">
        <f t="array" ref="G35">SUM(IF("1522"&amp;C35=KHN&amp;MH,SL))</f>
        <v>1440</v>
      </c>
      <c r="H35" s="25">
        <f t="array" ref="H35">SUM(IF("1522"&amp;C35=KHN&amp;MH,TH))</f>
        <v>22896700</v>
      </c>
      <c r="I35" s="25">
        <f t="array" ref="I35">SUM(IF("1522"&amp;C35=KHC&amp;MH,SL))</f>
        <v>1440</v>
      </c>
      <c r="J35" s="25">
        <f t="array" ref="J35">SUM(IF("1522"&amp;C35=KHC&amp;MH,TH))</f>
        <v>22896700</v>
      </c>
      <c r="K35" s="8">
        <f t="shared" si="7"/>
        <v>0</v>
      </c>
      <c r="L35" s="8">
        <f t="shared" si="8"/>
        <v>0</v>
      </c>
      <c r="M35" s="423"/>
      <c r="N35" s="429" t="s">
        <v>389</v>
      </c>
      <c r="O35" s="431" t="s">
        <v>379</v>
      </c>
      <c r="P35" s="428">
        <v>370803567</v>
      </c>
      <c r="Q35" s="428" t="s">
        <v>390</v>
      </c>
      <c r="R35" s="428"/>
      <c r="S35" s="428" t="s">
        <v>332</v>
      </c>
    </row>
    <row r="36" spans="1:19" s="420" customFormat="1" ht="21.75" customHeight="1">
      <c r="A36" s="423" t="str">
        <f t="shared" si="1"/>
        <v>VL</v>
      </c>
      <c r="B36" s="424">
        <f>IF(C36&lt;&gt;"",ROW()-11,"")</f>
        <v>25</v>
      </c>
      <c r="C36" s="432" t="s">
        <v>795</v>
      </c>
      <c r="D36" s="434" t="s">
        <v>364</v>
      </c>
      <c r="E36" s="25">
        <v>1835</v>
      </c>
      <c r="F36" s="25">
        <v>13762500</v>
      </c>
      <c r="G36" s="25">
        <f t="array" ref="G36">SUM(IF("1522"&amp;C36=KHN&amp;MH,SL))</f>
        <v>259657</v>
      </c>
      <c r="H36" s="25">
        <f t="array" ref="H36">SUM(IF("1522"&amp;C36=KHN&amp;MH,TH))</f>
        <v>1923290500</v>
      </c>
      <c r="I36" s="25">
        <f t="array" ref="I36">SUM(IF("1522"&amp;C36=KHC&amp;MH,SL))</f>
        <v>254212</v>
      </c>
      <c r="J36" s="25">
        <f t="array" ref="J36">SUM(IF("1522"&amp;C36=KHC&amp;MH,TH))</f>
        <v>1894101000</v>
      </c>
      <c r="K36" s="8">
        <f t="shared" si="7"/>
        <v>7280</v>
      </c>
      <c r="L36" s="8">
        <f t="shared" si="8"/>
        <v>42952000</v>
      </c>
      <c r="M36" s="423"/>
      <c r="N36" s="429" t="s">
        <v>391</v>
      </c>
      <c r="O36" s="431" t="s">
        <v>379</v>
      </c>
      <c r="P36" s="428">
        <v>370004125</v>
      </c>
      <c r="Q36" s="428" t="s">
        <v>380</v>
      </c>
      <c r="R36" s="428"/>
      <c r="S36" s="428" t="s">
        <v>332</v>
      </c>
    </row>
    <row r="37" spans="1:19" s="420" customFormat="1" ht="21.75" customHeight="1">
      <c r="A37" s="423" t="str">
        <f t="shared" si="1"/>
        <v>VL</v>
      </c>
      <c r="B37" s="424">
        <f>IF(C37&lt;&gt;"",ROW()-11,"")</f>
        <v>26</v>
      </c>
      <c r="C37" s="432" t="s">
        <v>1275</v>
      </c>
      <c r="D37" s="434" t="s">
        <v>364</v>
      </c>
      <c r="E37" s="25">
        <v>0</v>
      </c>
      <c r="F37" s="25">
        <v>0</v>
      </c>
      <c r="G37" s="25">
        <f t="array" ref="G37">SUM(IF("1522"&amp;C37=KHN&amp;MH,SL))</f>
        <v>780</v>
      </c>
      <c r="H37" s="25">
        <f t="array" ref="H37">SUM(IF("1522"&amp;C37=KHN&amp;MH,TH))</f>
        <v>11700000</v>
      </c>
      <c r="I37" s="25">
        <f t="array" ref="I37">SUM(IF("1522"&amp;C37=KHC&amp;MH,SL))</f>
        <v>780</v>
      </c>
      <c r="J37" s="25">
        <f t="array" ref="J37">SUM(IF("1522"&amp;C37=KHC&amp;MH,TH))</f>
        <v>11700000</v>
      </c>
      <c r="K37" s="8">
        <f t="shared" si="7"/>
        <v>0</v>
      </c>
      <c r="L37" s="8">
        <f t="shared" si="8"/>
        <v>0</v>
      </c>
      <c r="M37" s="423"/>
      <c r="N37" s="429" t="s">
        <v>394</v>
      </c>
      <c r="O37" s="431" t="s">
        <v>392</v>
      </c>
      <c r="P37" s="428">
        <v>311704830</v>
      </c>
      <c r="Q37" s="428" t="s">
        <v>395</v>
      </c>
      <c r="R37" s="428"/>
      <c r="S37" s="428" t="s">
        <v>1899</v>
      </c>
    </row>
    <row r="38" spans="1:19" s="420" customFormat="1" ht="21.75" customHeight="1">
      <c r="A38" s="423" t="str">
        <f t="shared" si="1"/>
        <v>VL</v>
      </c>
      <c r="B38" s="424">
        <f>IF(C38&lt;&gt;"",ROW()-11,"")</f>
        <v>27</v>
      </c>
      <c r="C38" s="432" t="s">
        <v>743</v>
      </c>
      <c r="D38" s="434" t="s">
        <v>364</v>
      </c>
      <c r="E38" s="25">
        <v>303</v>
      </c>
      <c r="F38" s="25">
        <v>3939000</v>
      </c>
      <c r="G38" s="25">
        <f t="array" ref="G38">SUM(IF("1522"&amp;C38=KHN&amp;MH,SL))</f>
        <v>415</v>
      </c>
      <c r="H38" s="25">
        <f t="array" ref="H38">SUM(IF("1522"&amp;C38=KHN&amp;MH,TH))</f>
        <v>6225000</v>
      </c>
      <c r="I38" s="25">
        <f t="array" ref="I38">SUM(IF("1522"&amp;C38=KHC&amp;MH,SL))</f>
        <v>718</v>
      </c>
      <c r="J38" s="25">
        <f t="array" ref="J38">SUM(IF("1522"&amp;C38=KHC&amp;MH,TH))</f>
        <v>10164000</v>
      </c>
      <c r="K38" s="8">
        <f t="shared" si="7"/>
        <v>0</v>
      </c>
      <c r="L38" s="8">
        <f t="shared" si="8"/>
        <v>0</v>
      </c>
      <c r="M38" s="423"/>
      <c r="N38" s="429" t="s">
        <v>396</v>
      </c>
      <c r="O38" s="431" t="s">
        <v>392</v>
      </c>
      <c r="P38" s="428">
        <v>311318331</v>
      </c>
      <c r="Q38" s="428" t="s">
        <v>397</v>
      </c>
      <c r="R38" s="428"/>
      <c r="S38" s="428" t="s">
        <v>1899</v>
      </c>
    </row>
    <row r="39" spans="1:19" s="420" customFormat="1" ht="21.75" customHeight="1">
      <c r="A39" s="423" t="str">
        <f t="shared" si="1"/>
        <v>VL</v>
      </c>
      <c r="B39" s="424">
        <f t="shared" si="10"/>
        <v>28</v>
      </c>
      <c r="C39" s="432" t="s">
        <v>744</v>
      </c>
      <c r="D39" s="434" t="s">
        <v>364</v>
      </c>
      <c r="E39" s="25">
        <v>0</v>
      </c>
      <c r="F39" s="25">
        <v>0</v>
      </c>
      <c r="G39" s="25">
        <f t="array" ref="G39">SUM(IF("1522"&amp;C39=KHN&amp;MH,SL))</f>
        <v>52</v>
      </c>
      <c r="H39" s="25">
        <f t="array" ref="H39">SUM(IF("1522"&amp;C39=KHN&amp;MH,TH))</f>
        <v>832000</v>
      </c>
      <c r="I39" s="25">
        <f t="array" ref="I39">SUM(IF("1522"&amp;C39=KHC&amp;MH,SL))</f>
        <v>52</v>
      </c>
      <c r="J39" s="25">
        <f t="array" ref="J39">SUM(IF("1522"&amp;C39=KHC&amp;MH,TH))</f>
        <v>832000</v>
      </c>
      <c r="K39" s="8">
        <f t="shared" si="7"/>
        <v>0</v>
      </c>
      <c r="L39" s="8">
        <f t="shared" si="8"/>
        <v>0</v>
      </c>
      <c r="M39" s="423"/>
      <c r="N39" s="429" t="s">
        <v>398</v>
      </c>
      <c r="O39" s="431" t="s">
        <v>392</v>
      </c>
      <c r="P39" s="428">
        <v>310882191</v>
      </c>
      <c r="Q39" s="428" t="s">
        <v>399</v>
      </c>
      <c r="R39" s="428"/>
      <c r="S39" s="428" t="s">
        <v>1899</v>
      </c>
    </row>
    <row r="40" spans="1:19" s="420" customFormat="1" ht="21.75" customHeight="1">
      <c r="A40" s="423" t="str">
        <f t="shared" si="1"/>
        <v>VL</v>
      </c>
      <c r="B40" s="424">
        <f t="shared" ref="B40:B45" si="13">IF(C40&lt;&gt;"",ROW()-11,"")</f>
        <v>29</v>
      </c>
      <c r="C40" s="432" t="s">
        <v>1276</v>
      </c>
      <c r="D40" s="434" t="s">
        <v>364</v>
      </c>
      <c r="E40" s="25">
        <v>0</v>
      </c>
      <c r="F40" s="25">
        <v>0</v>
      </c>
      <c r="G40" s="25">
        <f t="array" ref="G40">SUM(IF("1522"&amp;C40=KHN&amp;MH,SL))</f>
        <v>102</v>
      </c>
      <c r="H40" s="25">
        <f t="array" ref="H40">SUM(IF("1522"&amp;C40=KHN&amp;MH,TH))</f>
        <v>1530000</v>
      </c>
      <c r="I40" s="25">
        <f t="array" ref="I40">SUM(IF("1522"&amp;C40=KHC&amp;MH,SL))</f>
        <v>102</v>
      </c>
      <c r="J40" s="25">
        <f t="array" ref="J40">SUM(IF("1522"&amp;C40=KHC&amp;MH,TH))</f>
        <v>1530000</v>
      </c>
      <c r="K40" s="8">
        <f t="shared" si="7"/>
        <v>0</v>
      </c>
      <c r="L40" s="8">
        <f t="shared" si="8"/>
        <v>0</v>
      </c>
      <c r="M40" s="423"/>
      <c r="N40" s="429" t="s">
        <v>401</v>
      </c>
      <c r="O40" s="431" t="s">
        <v>392</v>
      </c>
      <c r="P40" s="428">
        <v>310882158</v>
      </c>
      <c r="Q40" s="428" t="s">
        <v>402</v>
      </c>
      <c r="R40" s="428"/>
      <c r="S40" s="428" t="s">
        <v>1899</v>
      </c>
    </row>
    <row r="41" spans="1:19" s="420" customFormat="1" ht="21.75" customHeight="1">
      <c r="A41" s="423" t="str">
        <f t="shared" si="1"/>
        <v>VL</v>
      </c>
      <c r="B41" s="424">
        <f t="shared" si="13"/>
        <v>30</v>
      </c>
      <c r="C41" s="432" t="s">
        <v>1273</v>
      </c>
      <c r="D41" s="434" t="s">
        <v>364</v>
      </c>
      <c r="E41" s="25">
        <v>0</v>
      </c>
      <c r="F41" s="25">
        <v>0</v>
      </c>
      <c r="G41" s="25">
        <f t="array" ref="G41">SUM(IF("1522"&amp;C41=KHN&amp;MH,SL))</f>
        <v>302</v>
      </c>
      <c r="H41" s="25">
        <f t="array" ref="H41">SUM(IF("1522"&amp;C41=KHN&amp;MH,TH))</f>
        <v>3986400</v>
      </c>
      <c r="I41" s="25">
        <f t="array" ref="I41">SUM(IF("1522"&amp;C41=KHC&amp;MH,SL))</f>
        <v>302</v>
      </c>
      <c r="J41" s="25">
        <f t="array" ref="J41">SUM(IF("1522"&amp;C41=KHC&amp;MH,TH))</f>
        <v>3986400</v>
      </c>
      <c r="K41" s="8">
        <f t="shared" si="7"/>
        <v>0</v>
      </c>
      <c r="L41" s="8">
        <f t="shared" si="8"/>
        <v>0</v>
      </c>
      <c r="M41" s="423"/>
      <c r="N41" s="429" t="s">
        <v>403</v>
      </c>
      <c r="O41" s="431" t="s">
        <v>392</v>
      </c>
      <c r="P41" s="428">
        <v>310526150</v>
      </c>
      <c r="Q41" s="428" t="s">
        <v>393</v>
      </c>
      <c r="R41" s="428"/>
      <c r="S41" s="428" t="s">
        <v>1899</v>
      </c>
    </row>
    <row r="42" spans="1:19" s="420" customFormat="1" ht="21.75" customHeight="1">
      <c r="A42" s="423" t="str">
        <f t="shared" si="1"/>
        <v>VL</v>
      </c>
      <c r="B42" s="424">
        <f t="shared" si="13"/>
        <v>31</v>
      </c>
      <c r="C42" s="432" t="s">
        <v>2341</v>
      </c>
      <c r="D42" s="434" t="s">
        <v>364</v>
      </c>
      <c r="E42" s="25">
        <v>0</v>
      </c>
      <c r="F42" s="25">
        <v>0</v>
      </c>
      <c r="G42" s="25">
        <f t="array" ref="G42">SUM(IF("1522"&amp;C42=KHN&amp;MH,SL))</f>
        <v>686</v>
      </c>
      <c r="H42" s="25">
        <f t="array" ref="H42">SUM(IF("1522"&amp;C42=KHN&amp;MH,TH))</f>
        <v>9585200</v>
      </c>
      <c r="I42" s="25">
        <f t="array" ref="I42">SUM(IF("1522"&amp;C42=KHC&amp;MH,SL))</f>
        <v>686</v>
      </c>
      <c r="J42" s="25">
        <f t="array" ref="J42">SUM(IF("1522"&amp;C42=KHC&amp;MH,TH))</f>
        <v>9585200</v>
      </c>
      <c r="K42" s="8">
        <f t="shared" si="7"/>
        <v>0</v>
      </c>
      <c r="L42" s="8">
        <f t="shared" si="8"/>
        <v>0</v>
      </c>
      <c r="M42" s="423"/>
      <c r="N42" s="429" t="s">
        <v>404</v>
      </c>
      <c r="O42" s="431" t="s">
        <v>392</v>
      </c>
      <c r="P42" s="428">
        <v>311514350</v>
      </c>
      <c r="Q42" s="428" t="s">
        <v>395</v>
      </c>
      <c r="R42" s="428"/>
      <c r="S42" s="428" t="s">
        <v>1899</v>
      </c>
    </row>
    <row r="43" spans="1:19" s="420" customFormat="1" ht="21.75" customHeight="1">
      <c r="A43" s="423" t="str">
        <f t="shared" si="1"/>
        <v>VL</v>
      </c>
      <c r="B43" s="424">
        <f t="shared" ref="B43" si="14">IF(C43&lt;&gt;"",ROW()-11,"")</f>
        <v>32</v>
      </c>
      <c r="C43" s="432" t="s">
        <v>2342</v>
      </c>
      <c r="D43" s="434" t="s">
        <v>364</v>
      </c>
      <c r="E43" s="25">
        <v>0</v>
      </c>
      <c r="F43" s="25">
        <v>0</v>
      </c>
      <c r="G43" s="25">
        <f t="array" ref="G43">SUM(IF("1522"&amp;C43=KHN&amp;MH,SL))</f>
        <v>145</v>
      </c>
      <c r="H43" s="25">
        <f t="array" ref="H43">SUM(IF("1522"&amp;C43=KHN&amp;MH,TH))</f>
        <v>2291000</v>
      </c>
      <c r="I43" s="25">
        <f t="array" ref="I43">SUM(IF("1522"&amp;C43=KHC&amp;MH,SL))</f>
        <v>145</v>
      </c>
      <c r="J43" s="25">
        <f t="array" ref="J43">SUM(IF("1522"&amp;C43=KHC&amp;MH,TH))</f>
        <v>2291000</v>
      </c>
      <c r="K43" s="8">
        <f t="shared" si="7"/>
        <v>0</v>
      </c>
      <c r="L43" s="8">
        <f t="shared" si="8"/>
        <v>0</v>
      </c>
      <c r="M43" s="423"/>
      <c r="N43" s="429" t="s">
        <v>405</v>
      </c>
      <c r="O43" s="431" t="s">
        <v>406</v>
      </c>
      <c r="P43" s="428">
        <v>270106056</v>
      </c>
      <c r="Q43" s="428" t="s">
        <v>406</v>
      </c>
      <c r="R43" s="428" t="s">
        <v>407</v>
      </c>
      <c r="S43" s="428" t="s">
        <v>332</v>
      </c>
    </row>
    <row r="44" spans="1:19" s="420" customFormat="1" ht="21.75" customHeight="1">
      <c r="A44" s="423" t="str">
        <f t="shared" si="1"/>
        <v>VL</v>
      </c>
      <c r="B44" s="424">
        <f t="shared" si="13"/>
        <v>33</v>
      </c>
      <c r="C44" s="432" t="s">
        <v>817</v>
      </c>
      <c r="D44" s="434" t="s">
        <v>364</v>
      </c>
      <c r="E44" s="25">
        <v>760</v>
      </c>
      <c r="F44" s="25">
        <v>7772000</v>
      </c>
      <c r="G44" s="25">
        <f t="array" ref="G44">SUM(IF("1522"&amp;C44=KHN&amp;MH,SL))</f>
        <v>2090</v>
      </c>
      <c r="H44" s="25">
        <f t="array" ref="H44">SUM(IF("1522"&amp;C44=KHN&amp;MH,TH))</f>
        <v>27450480</v>
      </c>
      <c r="I44" s="25">
        <f t="array" ref="I44">SUM(IF("1522"&amp;C44=KHC&amp;MH,SL))</f>
        <v>2333</v>
      </c>
      <c r="J44" s="25">
        <f t="array" ref="J44">SUM(IF("1522"&amp;C44=KHC&amp;MH,TH))</f>
        <v>28207580</v>
      </c>
      <c r="K44" s="8">
        <f t="shared" si="7"/>
        <v>517</v>
      </c>
      <c r="L44" s="8">
        <f t="shared" si="8"/>
        <v>7014900</v>
      </c>
      <c r="M44" s="423"/>
      <c r="N44" s="429" t="s">
        <v>408</v>
      </c>
      <c r="O44" s="431" t="s">
        <v>406</v>
      </c>
      <c r="P44" s="428">
        <v>270176684</v>
      </c>
      <c r="Q44" s="428" t="s">
        <v>406</v>
      </c>
      <c r="R44" s="428" t="s">
        <v>409</v>
      </c>
      <c r="S44" s="428" t="s">
        <v>332</v>
      </c>
    </row>
    <row r="45" spans="1:19" s="420" customFormat="1" ht="21.75" customHeight="1">
      <c r="A45" s="423" t="str">
        <f t="shared" si="1"/>
        <v>VL</v>
      </c>
      <c r="B45" s="424">
        <f t="shared" si="13"/>
        <v>34</v>
      </c>
      <c r="C45" s="432" t="s">
        <v>375</v>
      </c>
      <c r="D45" s="434" t="s">
        <v>364</v>
      </c>
      <c r="E45" s="25">
        <v>0</v>
      </c>
      <c r="F45" s="25">
        <v>0</v>
      </c>
      <c r="G45" s="25">
        <f t="array" ref="G45">SUM(IF("1522"&amp;C45=KHN&amp;MH,SL))</f>
        <v>2602</v>
      </c>
      <c r="H45" s="25">
        <f t="array" ref="H45">SUM(IF("1522"&amp;C45=KHN&amp;MH,TH))</f>
        <v>52865400</v>
      </c>
      <c r="I45" s="25">
        <f t="array" ref="I45">SUM(IF("1522"&amp;C45=KHC&amp;MH,SL))</f>
        <v>1148</v>
      </c>
      <c r="J45" s="25">
        <f t="array" ref="J45">SUM(IF("1522"&amp;C45=KHC&amp;MH,TH))</f>
        <v>23304400</v>
      </c>
      <c r="K45" s="8">
        <f t="shared" si="7"/>
        <v>1454</v>
      </c>
      <c r="L45" s="8">
        <f t="shared" si="8"/>
        <v>29561000</v>
      </c>
      <c r="M45" s="423"/>
      <c r="N45" s="429" t="s">
        <v>410</v>
      </c>
      <c r="O45" s="431" t="s">
        <v>406</v>
      </c>
      <c r="P45" s="428">
        <v>270176960</v>
      </c>
      <c r="Q45" s="428" t="s">
        <v>406</v>
      </c>
      <c r="R45" s="428" t="s">
        <v>411</v>
      </c>
      <c r="S45" s="428" t="s">
        <v>332</v>
      </c>
    </row>
    <row r="46" spans="1:19" s="420" customFormat="1" ht="21.75" customHeight="1">
      <c r="A46" s="423" t="str">
        <f>IF(B46&lt;&gt;"","VL","")</f>
        <v>VL</v>
      </c>
      <c r="B46" s="424">
        <f t="shared" ref="B46" si="15">IF(C46&lt;&gt;"",ROW()-11,"")</f>
        <v>35</v>
      </c>
      <c r="C46" s="432" t="s">
        <v>1470</v>
      </c>
      <c r="D46" s="434" t="s">
        <v>364</v>
      </c>
      <c r="E46" s="25">
        <v>0</v>
      </c>
      <c r="F46" s="25">
        <v>0</v>
      </c>
      <c r="G46" s="25">
        <f t="array" ref="G46">SUM(IF("1522"&amp;C46=KHN&amp;MH,SL))</f>
        <v>282</v>
      </c>
      <c r="H46" s="25">
        <f t="array" ref="H46">SUM(IF("1522"&amp;C46=KHN&amp;MH,TH))</f>
        <v>4483800</v>
      </c>
      <c r="I46" s="25">
        <f t="array" ref="I46">SUM(IF("1522"&amp;C46=KHC&amp;MH,SL))</f>
        <v>282</v>
      </c>
      <c r="J46" s="25">
        <f t="array" ref="J46">SUM(IF("1522"&amp;C46=KHC&amp;MH,TH))</f>
        <v>4483800</v>
      </c>
      <c r="K46" s="8">
        <f t="shared" si="7"/>
        <v>0</v>
      </c>
      <c r="L46" s="8">
        <f t="shared" si="8"/>
        <v>0</v>
      </c>
      <c r="M46" s="423"/>
      <c r="N46" s="429" t="s">
        <v>412</v>
      </c>
      <c r="O46" s="431" t="s">
        <v>406</v>
      </c>
      <c r="P46" s="428">
        <v>271181056</v>
      </c>
      <c r="Q46" s="428" t="s">
        <v>406</v>
      </c>
      <c r="R46" s="428"/>
      <c r="S46" s="428" t="s">
        <v>332</v>
      </c>
    </row>
    <row r="47" spans="1:19" s="420" customFormat="1" ht="21.75" customHeight="1">
      <c r="A47" s="423" t="str">
        <f t="shared" si="1"/>
        <v>VL</v>
      </c>
      <c r="B47" s="424">
        <f t="shared" ref="B47" si="16">IF(C47&lt;&gt;"",ROW()-11,"")</f>
        <v>36</v>
      </c>
      <c r="C47" s="432" t="s">
        <v>830</v>
      </c>
      <c r="D47" s="434" t="s">
        <v>364</v>
      </c>
      <c r="E47" s="25">
        <v>0</v>
      </c>
      <c r="F47" s="25">
        <v>0</v>
      </c>
      <c r="G47" s="25">
        <f t="array" ref="G47">SUM(IF("1522"&amp;C47=KHN&amp;MH,SL))</f>
        <v>2994</v>
      </c>
      <c r="H47" s="25">
        <f t="array" ref="H47">SUM(IF("1522"&amp;C47=KHN&amp;MH,TH))</f>
        <v>8241440</v>
      </c>
      <c r="I47" s="25">
        <f t="array" ref="I47">SUM(IF("1522"&amp;C47=KHC&amp;MH,SL))</f>
        <v>1994</v>
      </c>
      <c r="J47" s="25">
        <f t="array" ref="J47">SUM(IF("1522"&amp;C47=KHC&amp;MH,TH))</f>
        <v>5341440</v>
      </c>
      <c r="K47" s="8">
        <f t="shared" si="7"/>
        <v>1000</v>
      </c>
      <c r="L47" s="8">
        <f t="shared" si="8"/>
        <v>2900000</v>
      </c>
      <c r="M47" s="423"/>
      <c r="N47" s="429" t="s">
        <v>414</v>
      </c>
      <c r="O47" s="431" t="s">
        <v>406</v>
      </c>
      <c r="P47" s="428">
        <v>270986506</v>
      </c>
      <c r="Q47" s="428" t="s">
        <v>406</v>
      </c>
      <c r="R47" s="428"/>
      <c r="S47" s="428" t="s">
        <v>332</v>
      </c>
    </row>
    <row r="48" spans="1:19" s="420" customFormat="1" ht="21.75" customHeight="1">
      <c r="A48" s="423"/>
      <c r="B48" s="424"/>
      <c r="C48" s="432"/>
      <c r="D48" s="434"/>
      <c r="E48" s="25"/>
      <c r="F48" s="25"/>
      <c r="G48" s="25"/>
      <c r="H48" s="25"/>
      <c r="I48" s="25"/>
      <c r="J48" s="25"/>
      <c r="K48" s="8"/>
      <c r="L48" s="8"/>
      <c r="M48" s="423"/>
      <c r="N48" s="429" t="s">
        <v>415</v>
      </c>
      <c r="O48" s="431" t="s">
        <v>406</v>
      </c>
      <c r="P48" s="428">
        <v>273042454</v>
      </c>
      <c r="Q48" s="428" t="s">
        <v>416</v>
      </c>
      <c r="R48" s="428" t="s">
        <v>417</v>
      </c>
      <c r="S48" s="428" t="s">
        <v>332</v>
      </c>
    </row>
    <row r="49" spans="1:19" s="420" customFormat="1" ht="21.75" customHeight="1">
      <c r="A49" s="423" t="str">
        <f>IF(B50&lt;&gt;"","NL","")</f>
        <v/>
      </c>
      <c r="B49" s="1149"/>
      <c r="C49" s="437" t="s">
        <v>400</v>
      </c>
      <c r="D49" s="13"/>
      <c r="E49" s="13">
        <f t="shared" ref="E49:L49" si="17">SUM(E11:E48)</f>
        <v>165410</v>
      </c>
      <c r="F49" s="13">
        <f t="shared" si="17"/>
        <v>351991443</v>
      </c>
      <c r="G49" s="13">
        <f t="shared" si="17"/>
        <v>552400</v>
      </c>
      <c r="H49" s="13">
        <f t="shared" si="17"/>
        <v>3546837365</v>
      </c>
      <c r="I49" s="13">
        <f t="shared" si="17"/>
        <v>534903</v>
      </c>
      <c r="J49" s="13">
        <f t="shared" si="17"/>
        <v>3275247941</v>
      </c>
      <c r="K49" s="13">
        <f t="shared" si="17"/>
        <v>182907</v>
      </c>
      <c r="L49" s="13">
        <f t="shared" si="17"/>
        <v>623580867</v>
      </c>
      <c r="M49" s="423"/>
      <c r="N49" s="429" t="s">
        <v>419</v>
      </c>
      <c r="O49" s="431" t="s">
        <v>406</v>
      </c>
      <c r="P49" s="428">
        <v>273249576</v>
      </c>
      <c r="Q49" s="428" t="s">
        <v>406</v>
      </c>
      <c r="R49" s="428"/>
      <c r="S49" s="428" t="s">
        <v>332</v>
      </c>
    </row>
    <row r="50" spans="1:19" s="420" customFormat="1" ht="21.75" customHeight="1">
      <c r="A50" s="423" t="str">
        <f>IF(B50&lt;&gt;"","NL","")</f>
        <v/>
      </c>
      <c r="B50" s="727"/>
      <c r="C50" s="728"/>
      <c r="D50" s="729"/>
      <c r="E50" s="729"/>
      <c r="F50" s="729">
        <f>F49-CDPS!C24</f>
        <v>0</v>
      </c>
      <c r="G50" s="729"/>
      <c r="H50" s="729">
        <f>H49-CDPS!E24</f>
        <v>0</v>
      </c>
      <c r="I50" s="729"/>
      <c r="J50" s="729">
        <f>J49-CDPS!F24</f>
        <v>0</v>
      </c>
      <c r="K50" s="729"/>
      <c r="L50" s="729">
        <f>L49-CDPS!G24</f>
        <v>0</v>
      </c>
      <c r="M50" s="423"/>
      <c r="N50" s="429" t="s">
        <v>420</v>
      </c>
      <c r="O50" s="431" t="s">
        <v>406</v>
      </c>
      <c r="P50" s="428">
        <v>271642418</v>
      </c>
      <c r="Q50" s="428" t="s">
        <v>406</v>
      </c>
      <c r="R50" s="428"/>
      <c r="S50" s="428" t="s">
        <v>1899</v>
      </c>
    </row>
    <row r="51" spans="1:19" s="420" customFormat="1" ht="21.75" customHeight="1">
      <c r="A51" s="423" t="str">
        <f t="shared" ref="A51:A74" si="18">IF(B51&lt;&gt;"","NL","")</f>
        <v>NL</v>
      </c>
      <c r="B51" s="726">
        <f>IF(C51&lt;&gt;"",ROW()-(ROW()-1),"")</f>
        <v>1</v>
      </c>
      <c r="C51" s="425" t="s">
        <v>565</v>
      </c>
      <c r="D51" s="426" t="s">
        <v>328</v>
      </c>
      <c r="E51" s="25">
        <v>0</v>
      </c>
      <c r="F51" s="25">
        <v>0</v>
      </c>
      <c r="G51" s="25">
        <f t="array" ref="G51">SUM(IF("1521"&amp;C51=KHN&amp;MH,SL))</f>
        <v>504596</v>
      </c>
      <c r="H51" s="25">
        <f t="array" ref="H51">SUM(IF("1521"&amp;C51=KHN&amp;MH,TH))</f>
        <v>8764998000</v>
      </c>
      <c r="I51" s="25">
        <f t="array" ref="I51">SUM(IF("1521"&amp;C51=KHC&amp;MH,SL))</f>
        <v>504596</v>
      </c>
      <c r="J51" s="25">
        <f t="array" ref="J51">SUM(IF("1521"&amp;C51=KHC&amp;MH,TH))</f>
        <v>8764998000</v>
      </c>
      <c r="K51" s="25">
        <f t="shared" ref="K51:L51" si="19">E51+G51-I51</f>
        <v>0</v>
      </c>
      <c r="L51" s="25">
        <f t="shared" si="19"/>
        <v>0</v>
      </c>
      <c r="M51" s="423"/>
      <c r="N51" s="435" t="s">
        <v>422</v>
      </c>
      <c r="O51" s="431" t="s">
        <v>406</v>
      </c>
      <c r="P51" s="428">
        <v>273017840</v>
      </c>
      <c r="Q51" s="428" t="s">
        <v>423</v>
      </c>
      <c r="R51" s="428"/>
      <c r="S51" s="428" t="s">
        <v>1899</v>
      </c>
    </row>
    <row r="52" spans="1:19" s="420" customFormat="1" ht="21.75" customHeight="1">
      <c r="A52" s="423" t="str">
        <f t="shared" si="18"/>
        <v>NL</v>
      </c>
      <c r="B52" s="424">
        <f>IF(C52&lt;&gt;"",B51+1,"")</f>
        <v>2</v>
      </c>
      <c r="C52" s="429" t="s">
        <v>566</v>
      </c>
      <c r="D52" s="426" t="s">
        <v>328</v>
      </c>
      <c r="E52" s="25">
        <v>0</v>
      </c>
      <c r="F52" s="25">
        <v>0</v>
      </c>
      <c r="G52" s="25">
        <f t="array" ref="G52">SUM(IF("1521"&amp;C52=KHN&amp;MH,SL))</f>
        <v>1504410</v>
      </c>
      <c r="H52" s="25">
        <f t="array" ref="H52">SUM(IF("1521"&amp;C52=KHN&amp;MH,TH))</f>
        <v>26756287000</v>
      </c>
      <c r="I52" s="25">
        <f t="array" ref="I52">SUM(IF("1521"&amp;C52=KHC&amp;MH,SL))</f>
        <v>1504410</v>
      </c>
      <c r="J52" s="25">
        <f t="array" ref="J52">SUM(IF("1521"&amp;C52=KHC&amp;MH,TH))</f>
        <v>26756287000</v>
      </c>
      <c r="K52" s="8">
        <f t="shared" ref="K52:K68" si="20">E52+G52-I52</f>
        <v>0</v>
      </c>
      <c r="L52" s="8">
        <f t="shared" ref="L52:L68" si="21">F52+H52-J52</f>
        <v>0</v>
      </c>
      <c r="M52" s="423"/>
      <c r="N52" s="429" t="s">
        <v>768</v>
      </c>
      <c r="O52" s="431" t="s">
        <v>406</v>
      </c>
      <c r="P52" s="431">
        <v>260456563</v>
      </c>
      <c r="Q52" s="428" t="s">
        <v>406</v>
      </c>
      <c r="R52" s="428"/>
      <c r="S52" s="428" t="s">
        <v>1899</v>
      </c>
    </row>
    <row r="53" spans="1:19" s="420" customFormat="1" ht="21.75" customHeight="1">
      <c r="A53" s="423" t="str">
        <f t="shared" si="18"/>
        <v>NL</v>
      </c>
      <c r="B53" s="424">
        <f t="shared" ref="B53:B69" si="22">IF(C53&lt;&gt;"",B52+1,"")</f>
        <v>3</v>
      </c>
      <c r="C53" s="429" t="s">
        <v>771</v>
      </c>
      <c r="D53" s="426" t="s">
        <v>328</v>
      </c>
      <c r="E53" s="25">
        <v>0</v>
      </c>
      <c r="F53" s="25">
        <v>0</v>
      </c>
      <c r="G53" s="25">
        <f t="array" ref="G53">SUM(IF("1521"&amp;C53=KHN&amp;MH,SL))</f>
        <v>7366332</v>
      </c>
      <c r="H53" s="25">
        <f t="array" ref="H53">SUM(IF("1521"&amp;C53=KHN&amp;MH,TH))</f>
        <v>132873939800</v>
      </c>
      <c r="I53" s="25">
        <f t="array" ref="I53">SUM(IF("1521"&amp;C53=KHC&amp;MH,SL))</f>
        <v>7366332</v>
      </c>
      <c r="J53" s="25">
        <f t="array" ref="J53">SUM(IF("1521"&amp;C53=KHC&amp;MH,TH))</f>
        <v>132873939800</v>
      </c>
      <c r="K53" s="8">
        <f t="shared" si="20"/>
        <v>0</v>
      </c>
      <c r="L53" s="8">
        <f t="shared" si="21"/>
        <v>0</v>
      </c>
      <c r="M53" s="423"/>
      <c r="N53" s="435" t="s">
        <v>769</v>
      </c>
      <c r="O53" s="431" t="s">
        <v>406</v>
      </c>
      <c r="P53" s="431">
        <v>261183075</v>
      </c>
      <c r="Q53" s="428" t="s">
        <v>406</v>
      </c>
      <c r="R53" s="428"/>
      <c r="S53" s="428" t="s">
        <v>1899</v>
      </c>
    </row>
    <row r="54" spans="1:19" s="420" customFormat="1" ht="21.75" customHeight="1">
      <c r="A54" s="423" t="str">
        <f t="shared" si="18"/>
        <v>NL</v>
      </c>
      <c r="B54" s="424">
        <f t="shared" si="22"/>
        <v>4</v>
      </c>
      <c r="C54" s="429" t="s">
        <v>3000</v>
      </c>
      <c r="D54" s="426" t="s">
        <v>328</v>
      </c>
      <c r="E54" s="25">
        <v>0</v>
      </c>
      <c r="F54" s="25">
        <v>0</v>
      </c>
      <c r="G54" s="25">
        <f t="array" ref="G54">SUM(IF("1521"&amp;C54=KHN&amp;MH,SL))</f>
        <v>132720</v>
      </c>
      <c r="H54" s="25">
        <f t="array" ref="H54">SUM(IF("1521"&amp;C54=KHN&amp;MH,TH))</f>
        <v>2189880000</v>
      </c>
      <c r="I54" s="25">
        <f t="array" ref="I54">SUM(IF("1521"&amp;C54=KHC&amp;MH,SL))</f>
        <v>132720</v>
      </c>
      <c r="J54" s="25">
        <f t="array" ref="J54">SUM(IF("1521"&amp;C54=KHC&amp;MH,TH))</f>
        <v>2189880000</v>
      </c>
      <c r="K54" s="8">
        <f t="shared" si="20"/>
        <v>0</v>
      </c>
      <c r="L54" s="8">
        <f t="shared" si="21"/>
        <v>0</v>
      </c>
      <c r="M54" s="423"/>
      <c r="N54" s="432" t="s">
        <v>766</v>
      </c>
      <c r="O54" s="431" t="s">
        <v>406</v>
      </c>
      <c r="P54" s="434">
        <v>273017843</v>
      </c>
      <c r="Q54" s="381" t="s">
        <v>786</v>
      </c>
      <c r="R54" s="428" t="s">
        <v>787</v>
      </c>
      <c r="S54" s="428" t="s">
        <v>1899</v>
      </c>
    </row>
    <row r="55" spans="1:19" s="420" customFormat="1" ht="21.75" customHeight="1">
      <c r="A55" s="423" t="str">
        <f t="shared" si="18"/>
        <v>NL</v>
      </c>
      <c r="B55" s="424">
        <f t="shared" si="22"/>
        <v>5</v>
      </c>
      <c r="C55" s="67" t="s">
        <v>764</v>
      </c>
      <c r="D55" s="426" t="s">
        <v>328</v>
      </c>
      <c r="E55" s="25">
        <v>0</v>
      </c>
      <c r="F55" s="25">
        <v>0</v>
      </c>
      <c r="G55" s="25">
        <f t="array" ref="G55">SUM(IF("1521"&amp;C55=KHN&amp;MH,SL))</f>
        <v>415352</v>
      </c>
      <c r="H55" s="25">
        <f t="array" ref="H55">SUM(IF("1521"&amp;C55=KHN&amp;MH,TH))</f>
        <v>7748232000</v>
      </c>
      <c r="I55" s="25">
        <f t="array" ref="I55">SUM(IF("1521"&amp;C55=KHC&amp;MH,SL))</f>
        <v>415352</v>
      </c>
      <c r="J55" s="25">
        <f t="array" ref="J55">SUM(IF("1521"&amp;C55=KHC&amp;MH,TH))</f>
        <v>7748232000</v>
      </c>
      <c r="K55" s="8">
        <f t="shared" si="20"/>
        <v>0</v>
      </c>
      <c r="L55" s="8">
        <f t="shared" si="21"/>
        <v>0</v>
      </c>
      <c r="M55" s="423"/>
      <c r="N55" s="432" t="s">
        <v>767</v>
      </c>
      <c r="O55" s="431" t="s">
        <v>406</v>
      </c>
      <c r="P55" s="434">
        <v>190253143</v>
      </c>
      <c r="Q55" s="381" t="s">
        <v>406</v>
      </c>
      <c r="R55" s="428" t="s">
        <v>788</v>
      </c>
      <c r="S55" s="428" t="s">
        <v>1899</v>
      </c>
    </row>
    <row r="56" spans="1:19" s="420" customFormat="1" ht="21.75" customHeight="1">
      <c r="A56" s="423" t="str">
        <f t="shared" si="18"/>
        <v>NL</v>
      </c>
      <c r="B56" s="424">
        <f t="shared" si="22"/>
        <v>6</v>
      </c>
      <c r="C56" s="67" t="s">
        <v>763</v>
      </c>
      <c r="D56" s="426" t="s">
        <v>328</v>
      </c>
      <c r="E56" s="25">
        <v>0</v>
      </c>
      <c r="F56" s="25">
        <v>0</v>
      </c>
      <c r="G56" s="308">
        <f t="array" ref="G56">SUM(IF("1521"&amp;C56=KHN&amp;MH,SL))</f>
        <v>24145</v>
      </c>
      <c r="H56" s="25">
        <f t="array" ref="H56">SUM(IF("1521"&amp;C56=KHN&amp;MH,TH))</f>
        <v>906730000</v>
      </c>
      <c r="I56" s="308">
        <f t="array" ref="I56">SUM(IF("1521"&amp;C56=KHC&amp;MH,SL))</f>
        <v>24145</v>
      </c>
      <c r="J56" s="25">
        <f t="array" ref="J56">SUM(IF("1521"&amp;C56=KHC&amp;MH,TH))</f>
        <v>906730000</v>
      </c>
      <c r="K56" s="8">
        <f t="shared" si="20"/>
        <v>0</v>
      </c>
      <c r="L56" s="8">
        <f t="shared" si="21"/>
        <v>0</v>
      </c>
      <c r="M56" s="423"/>
      <c r="N56" s="432"/>
      <c r="O56" s="434"/>
      <c r="P56" s="381"/>
      <c r="Q56" s="381"/>
      <c r="R56" s="428"/>
      <c r="S56" s="428"/>
    </row>
    <row r="57" spans="1:19" s="420" customFormat="1" ht="21.75" customHeight="1">
      <c r="A57" s="423" t="str">
        <f t="shared" si="18"/>
        <v>NL</v>
      </c>
      <c r="B57" s="424">
        <f t="shared" si="22"/>
        <v>7</v>
      </c>
      <c r="C57" s="67" t="s">
        <v>790</v>
      </c>
      <c r="D57" s="426" t="s">
        <v>328</v>
      </c>
      <c r="E57" s="25">
        <v>0</v>
      </c>
      <c r="F57" s="25">
        <v>0</v>
      </c>
      <c r="G57" s="25">
        <f t="array" ref="G57">SUM(IF("1521"&amp;C57=KHN&amp;MH,SL))</f>
        <v>22877</v>
      </c>
      <c r="H57" s="25">
        <f t="array" ref="H57">SUM(IF("1521"&amp;C57=KHN&amp;MH,TH))</f>
        <v>550906500</v>
      </c>
      <c r="I57" s="25">
        <f t="array" ref="I57">SUM(IF("1521"&amp;C57=KHC&amp;MH,SL))</f>
        <v>22877</v>
      </c>
      <c r="J57" s="25">
        <f t="array" ref="J57">SUM(IF("1521"&amp;C57=KHC&amp;MH,TH))</f>
        <v>550906500</v>
      </c>
      <c r="K57" s="8">
        <f t="shared" si="20"/>
        <v>0</v>
      </c>
      <c r="L57" s="8">
        <f t="shared" si="21"/>
        <v>0</v>
      </c>
      <c r="M57" s="423"/>
      <c r="N57" s="432" t="s">
        <v>1889</v>
      </c>
      <c r="O57" s="434" t="s">
        <v>362</v>
      </c>
      <c r="P57" s="381"/>
      <c r="Q57" s="381" t="s">
        <v>362</v>
      </c>
      <c r="R57" s="428"/>
      <c r="S57" s="428" t="s">
        <v>1899</v>
      </c>
    </row>
    <row r="58" spans="1:19" s="420" customFormat="1" ht="21.75" customHeight="1">
      <c r="A58" s="423" t="str">
        <f t="shared" si="18"/>
        <v>NL</v>
      </c>
      <c r="B58" s="424">
        <f t="shared" si="22"/>
        <v>8</v>
      </c>
      <c r="C58" s="67" t="s">
        <v>1121</v>
      </c>
      <c r="D58" s="426" t="s">
        <v>328</v>
      </c>
      <c r="E58" s="25">
        <v>0</v>
      </c>
      <c r="F58" s="25">
        <v>0</v>
      </c>
      <c r="G58" s="25">
        <f t="array" ref="G58">SUM(IF("1521"&amp;C58=KHN&amp;MH,SL))</f>
        <v>1956</v>
      </c>
      <c r="H58" s="25">
        <f t="array" ref="H58">SUM(IF("1521"&amp;C58=KHN&amp;MH,TH))</f>
        <v>51579000</v>
      </c>
      <c r="I58" s="25">
        <f t="array" ref="I58">SUM(IF("1521"&amp;C58=KHC&amp;MH,SL))</f>
        <v>1956</v>
      </c>
      <c r="J58" s="25">
        <f t="array" ref="J58">SUM(IF("1521"&amp;C58=KHC&amp;MH,TH))</f>
        <v>51579000</v>
      </c>
      <c r="K58" s="8">
        <f t="shared" si="20"/>
        <v>0</v>
      </c>
      <c r="L58" s="8">
        <f t="shared" si="21"/>
        <v>0</v>
      </c>
      <c r="M58" s="423"/>
      <c r="N58" s="432" t="s">
        <v>1891</v>
      </c>
      <c r="O58" s="434" t="s">
        <v>362</v>
      </c>
      <c r="P58" s="381"/>
      <c r="Q58" s="381" t="s">
        <v>362</v>
      </c>
      <c r="R58" s="428"/>
      <c r="S58" s="428" t="s">
        <v>1899</v>
      </c>
    </row>
    <row r="59" spans="1:19" s="420" customFormat="1" ht="21.75" customHeight="1">
      <c r="A59" s="423" t="str">
        <f t="shared" si="18"/>
        <v>NL</v>
      </c>
      <c r="B59" s="424">
        <f t="shared" si="22"/>
        <v>9</v>
      </c>
      <c r="C59" s="67" t="s">
        <v>1120</v>
      </c>
      <c r="D59" s="426" t="s">
        <v>328</v>
      </c>
      <c r="E59" s="25">
        <v>0</v>
      </c>
      <c r="F59" s="25">
        <v>0</v>
      </c>
      <c r="G59" s="25">
        <f t="array" ref="G59">SUM(IF("1521"&amp;C59=KHN&amp;MH,SL))</f>
        <v>1800</v>
      </c>
      <c r="H59" s="25">
        <f t="array" ref="H59">SUM(IF("1521"&amp;C59=KHN&amp;MH,TH))</f>
        <v>57600000</v>
      </c>
      <c r="I59" s="25">
        <f t="array" ref="I59">SUM(IF("1521"&amp;C59=KHC&amp;MH,SL))</f>
        <v>1800</v>
      </c>
      <c r="J59" s="25">
        <f t="array" ref="J59">SUM(IF("1521"&amp;C59=KHC&amp;MH,TH))</f>
        <v>57600000</v>
      </c>
      <c r="K59" s="8">
        <f t="shared" si="20"/>
        <v>0</v>
      </c>
      <c r="L59" s="8">
        <f t="shared" si="21"/>
        <v>0</v>
      </c>
      <c r="M59" s="423"/>
      <c r="N59" s="432" t="s">
        <v>1882</v>
      </c>
      <c r="O59" s="434" t="s">
        <v>362</v>
      </c>
      <c r="P59" s="381"/>
      <c r="Q59" s="381" t="s">
        <v>362</v>
      </c>
      <c r="R59" s="428"/>
      <c r="S59" s="428" t="s">
        <v>1899</v>
      </c>
    </row>
    <row r="60" spans="1:19" s="420" customFormat="1" ht="21.75" customHeight="1">
      <c r="A60" s="423" t="str">
        <f t="shared" si="18"/>
        <v>NL</v>
      </c>
      <c r="B60" s="424">
        <f t="shared" si="22"/>
        <v>10</v>
      </c>
      <c r="C60" s="67" t="s">
        <v>2982</v>
      </c>
      <c r="D60" s="426" t="s">
        <v>328</v>
      </c>
      <c r="E60" s="25">
        <v>0</v>
      </c>
      <c r="F60" s="25">
        <v>0</v>
      </c>
      <c r="G60" s="25">
        <f t="array" ref="G60">SUM(IF("1521"&amp;C60=KHN&amp;MH,SL))</f>
        <v>2020</v>
      </c>
      <c r="H60" s="25">
        <f t="array" ref="H60">SUM(IF("1521"&amp;C60=KHN&amp;MH,TH))</f>
        <v>50500000</v>
      </c>
      <c r="I60" s="25">
        <f t="array" ref="I60">SUM(IF("1521"&amp;C60=KHC&amp;MH,SL))</f>
        <v>2020</v>
      </c>
      <c r="J60" s="25">
        <f t="array" ref="J60">SUM(IF("1521"&amp;C60=KHC&amp;MH,TH))</f>
        <v>50500000</v>
      </c>
      <c r="K60" s="8">
        <f t="shared" si="20"/>
        <v>0</v>
      </c>
      <c r="L60" s="8">
        <f t="shared" si="21"/>
        <v>0</v>
      </c>
      <c r="M60" s="423"/>
      <c r="N60" s="294" t="s">
        <v>1893</v>
      </c>
      <c r="O60" s="381" t="s">
        <v>362</v>
      </c>
      <c r="P60" s="1157"/>
      <c r="Q60" s="381" t="s">
        <v>362</v>
      </c>
      <c r="R60" s="428"/>
      <c r="S60" s="428" t="s">
        <v>1899</v>
      </c>
    </row>
    <row r="61" spans="1:19" s="420" customFormat="1" ht="21.75" customHeight="1">
      <c r="A61" s="423" t="str">
        <f t="shared" si="18"/>
        <v>NL</v>
      </c>
      <c r="B61" s="424">
        <f t="shared" si="22"/>
        <v>11</v>
      </c>
      <c r="C61" s="429" t="s">
        <v>762</v>
      </c>
      <c r="D61" s="426" t="s">
        <v>328</v>
      </c>
      <c r="E61" s="25">
        <v>0</v>
      </c>
      <c r="F61" s="25">
        <v>0</v>
      </c>
      <c r="G61" s="25">
        <f t="array" ref="G61">SUM(IF("1521"&amp;C61=KHN&amp;MH,SL))</f>
        <v>1890</v>
      </c>
      <c r="H61" s="25">
        <f t="array" ref="H61">SUM(IF("1521"&amp;C61=KHN&amp;MH,TH))</f>
        <v>108675000</v>
      </c>
      <c r="I61" s="25">
        <f t="array" ref="I61">SUM(IF("1521"&amp;C61=KHC&amp;MH,SL))</f>
        <v>1890</v>
      </c>
      <c r="J61" s="25">
        <f t="array" ref="J61">SUM(IF("1521"&amp;C61=KHC&amp;MH,TH))</f>
        <v>108675000</v>
      </c>
      <c r="K61" s="8">
        <f t="shared" si="20"/>
        <v>0</v>
      </c>
      <c r="L61" s="8">
        <f t="shared" si="21"/>
        <v>0</v>
      </c>
      <c r="M61" s="423"/>
      <c r="N61" s="294" t="s">
        <v>1888</v>
      </c>
      <c r="O61" s="381" t="s">
        <v>362</v>
      </c>
      <c r="P61" s="1157"/>
      <c r="Q61" s="381" t="s">
        <v>362</v>
      </c>
      <c r="R61" s="428"/>
      <c r="S61" s="428" t="s">
        <v>332</v>
      </c>
    </row>
    <row r="62" spans="1:19" s="420" customFormat="1" ht="21.75" customHeight="1">
      <c r="A62" s="423" t="str">
        <f t="shared" si="18"/>
        <v>NL</v>
      </c>
      <c r="B62" s="424">
        <f t="shared" si="22"/>
        <v>12</v>
      </c>
      <c r="C62" s="429" t="s">
        <v>770</v>
      </c>
      <c r="D62" s="426" t="s">
        <v>328</v>
      </c>
      <c r="E62" s="25">
        <v>0</v>
      </c>
      <c r="F62" s="25">
        <v>0</v>
      </c>
      <c r="G62" s="25">
        <f t="array" ref="G62">SUM(IF("1521"&amp;C62=KHN&amp;MH,SL))</f>
        <v>46750</v>
      </c>
      <c r="H62" s="25">
        <f t="array" ref="H62">SUM(IF("1521"&amp;C62=KHN&amp;MH,TH))</f>
        <v>1168750000</v>
      </c>
      <c r="I62" s="25">
        <f t="array" ref="I62">SUM(IF("1521"&amp;C62=KHC&amp;MH,SL))</f>
        <v>46750</v>
      </c>
      <c r="J62" s="25">
        <f t="array" ref="J62">SUM(IF("1521"&amp;C62=KHC&amp;MH,TH))</f>
        <v>1168750000</v>
      </c>
      <c r="K62" s="8">
        <f t="shared" si="20"/>
        <v>0</v>
      </c>
      <c r="L62" s="8">
        <f t="shared" si="21"/>
        <v>0</v>
      </c>
      <c r="M62" s="423"/>
      <c r="N62" s="294" t="s">
        <v>1887</v>
      </c>
      <c r="O62" s="381" t="s">
        <v>362</v>
      </c>
      <c r="P62" s="1157"/>
      <c r="Q62" s="381" t="s">
        <v>362</v>
      </c>
      <c r="R62" s="428"/>
      <c r="S62" s="428" t="s">
        <v>332</v>
      </c>
    </row>
    <row r="63" spans="1:19" s="420" customFormat="1" ht="21.75" customHeight="1">
      <c r="A63" s="423" t="str">
        <f t="shared" si="18"/>
        <v>NL</v>
      </c>
      <c r="B63" s="424">
        <f t="shared" si="22"/>
        <v>13</v>
      </c>
      <c r="C63" s="429" t="s">
        <v>1911</v>
      </c>
      <c r="D63" s="426" t="s">
        <v>328</v>
      </c>
      <c r="E63" s="25">
        <v>0</v>
      </c>
      <c r="F63" s="25">
        <v>0</v>
      </c>
      <c r="G63" s="25">
        <f t="array" ref="G63">SUM(IF("1521"&amp;C63=KHN&amp;MH,SL))</f>
        <v>12200</v>
      </c>
      <c r="H63" s="25">
        <f t="array" ref="H63">SUM(IF("1521"&amp;C63=KHN&amp;MH,TH))</f>
        <v>366000000</v>
      </c>
      <c r="I63" s="25">
        <f t="array" ref="I63">SUM(IF("1521"&amp;C63=KHC&amp;MH,SL))</f>
        <v>12200</v>
      </c>
      <c r="J63" s="25">
        <f t="array" ref="J63">SUM(IF("1521"&amp;C63=KHC&amp;MH,TH))</f>
        <v>366000000</v>
      </c>
      <c r="K63" s="8">
        <f t="shared" si="20"/>
        <v>0</v>
      </c>
      <c r="L63" s="8">
        <f t="shared" si="21"/>
        <v>0</v>
      </c>
      <c r="M63" s="423"/>
      <c r="N63" s="294" t="s">
        <v>1886</v>
      </c>
      <c r="O63" s="381" t="s">
        <v>362</v>
      </c>
      <c r="P63" s="1157"/>
      <c r="Q63" s="381" t="s">
        <v>362</v>
      </c>
      <c r="R63" s="428"/>
      <c r="S63" s="428" t="s">
        <v>332</v>
      </c>
    </row>
    <row r="64" spans="1:19" s="420" customFormat="1" ht="21.75" customHeight="1">
      <c r="A64" s="423" t="str">
        <f t="shared" si="18"/>
        <v>NL</v>
      </c>
      <c r="B64" s="424">
        <f t="shared" si="22"/>
        <v>14</v>
      </c>
      <c r="C64" s="293" t="s">
        <v>1910</v>
      </c>
      <c r="D64" s="426" t="s">
        <v>328</v>
      </c>
      <c r="E64" s="25">
        <v>0</v>
      </c>
      <c r="F64" s="25">
        <v>0</v>
      </c>
      <c r="G64" s="25">
        <f t="array" ref="G64">SUM(IF("1521"&amp;C64=KHN&amp;MH,SL))</f>
        <v>1800</v>
      </c>
      <c r="H64" s="25">
        <f t="array" ref="H64">SUM(IF("1521"&amp;C64=KHN&amp;MH,TH))</f>
        <v>63000000</v>
      </c>
      <c r="I64" s="25">
        <f t="array" ref="I64">SUM(IF("1521"&amp;C64=KHC&amp;MH,SL))</f>
        <v>1800</v>
      </c>
      <c r="J64" s="25">
        <f t="array" ref="J64">SUM(IF("1521"&amp;C64=KHC&amp;MH,TH))</f>
        <v>63000000</v>
      </c>
      <c r="K64" s="8">
        <f t="shared" si="20"/>
        <v>0</v>
      </c>
      <c r="L64" s="8">
        <f t="shared" si="21"/>
        <v>0</v>
      </c>
      <c r="M64" s="423"/>
      <c r="N64" s="294" t="s">
        <v>1890</v>
      </c>
      <c r="O64" s="434" t="s">
        <v>379</v>
      </c>
      <c r="P64" s="1297" t="s">
        <v>3006</v>
      </c>
      <c r="Q64" s="381"/>
      <c r="R64" s="428"/>
      <c r="S64" s="428"/>
    </row>
    <row r="65" spans="1:20" s="420" customFormat="1" ht="21.75" customHeight="1">
      <c r="A65" s="423" t="str">
        <f t="shared" si="18"/>
        <v>NL</v>
      </c>
      <c r="B65" s="424">
        <f t="shared" si="22"/>
        <v>15</v>
      </c>
      <c r="C65" s="429" t="s">
        <v>765</v>
      </c>
      <c r="D65" s="426" t="s">
        <v>328</v>
      </c>
      <c r="E65" s="25">
        <v>0</v>
      </c>
      <c r="F65" s="25">
        <v>0</v>
      </c>
      <c r="G65" s="25">
        <f t="array" ref="G65">SUM(IF("1521"&amp;C65=KHN&amp;MH,SL))</f>
        <v>7061</v>
      </c>
      <c r="H65" s="25">
        <f t="array" ref="H65">SUM(IF("1521"&amp;C65=KHN&amp;MH,TH))</f>
        <v>1941775000</v>
      </c>
      <c r="I65" s="25">
        <f t="array" ref="I65">SUM(IF("1521"&amp;C65=KHC&amp;MH,SL))</f>
        <v>7061</v>
      </c>
      <c r="J65" s="25">
        <f t="array" ref="J65">SUM(IF("1521"&amp;C65=KHC&amp;MH,TH))</f>
        <v>1941775000</v>
      </c>
      <c r="K65" s="8">
        <f t="shared" si="20"/>
        <v>0</v>
      </c>
      <c r="L65" s="8">
        <f t="shared" si="21"/>
        <v>0</v>
      </c>
      <c r="M65" s="423"/>
      <c r="N65" s="294" t="s">
        <v>1884</v>
      </c>
      <c r="O65" s="381" t="s">
        <v>362</v>
      </c>
      <c r="P65" s="381"/>
      <c r="Q65" s="381"/>
      <c r="R65" s="428"/>
      <c r="S65" s="428"/>
    </row>
    <row r="66" spans="1:20" s="420" customFormat="1" ht="21.75" customHeight="1">
      <c r="A66" s="423" t="str">
        <f t="shared" si="18"/>
        <v>NL</v>
      </c>
      <c r="B66" s="424">
        <f t="shared" si="22"/>
        <v>16</v>
      </c>
      <c r="C66" s="425" t="s">
        <v>1912</v>
      </c>
      <c r="D66" s="426" t="s">
        <v>328</v>
      </c>
      <c r="E66" s="25">
        <v>0</v>
      </c>
      <c r="F66" s="25">
        <v>0</v>
      </c>
      <c r="G66" s="25">
        <f t="array" ref="G66">SUM(IF("1521"&amp;C66=KHN&amp;MH,SL))</f>
        <v>1010</v>
      </c>
      <c r="H66" s="25">
        <f t="array" ref="H66">SUM(IF("1521"&amp;C66=KHN&amp;MH,TH))</f>
        <v>136350000</v>
      </c>
      <c r="I66" s="25">
        <f t="array" ref="I66">SUM(IF("1521"&amp;C66=KHC&amp;MH,SL))</f>
        <v>1010</v>
      </c>
      <c r="J66" s="25">
        <f t="array" ref="J66">SUM(IF("1521"&amp;C66=KHC&amp;MH,TH))</f>
        <v>136350000</v>
      </c>
      <c r="K66" s="8">
        <f t="shared" si="20"/>
        <v>0</v>
      </c>
      <c r="L66" s="8">
        <f t="shared" si="21"/>
        <v>0</v>
      </c>
      <c r="M66" s="423"/>
      <c r="N66" s="294" t="s">
        <v>1885</v>
      </c>
      <c r="O66" s="434" t="s">
        <v>2988</v>
      </c>
      <c r="P66" s="381"/>
      <c r="Q66" s="381"/>
      <c r="R66" s="428"/>
      <c r="S66" s="428"/>
    </row>
    <row r="67" spans="1:20" s="420" customFormat="1" ht="21.75" customHeight="1">
      <c r="A67" s="423" t="str">
        <f t="shared" si="18"/>
        <v>NL</v>
      </c>
      <c r="B67" s="424">
        <f t="shared" si="22"/>
        <v>17</v>
      </c>
      <c r="C67" s="67" t="s">
        <v>2998</v>
      </c>
      <c r="D67" s="426" t="s">
        <v>328</v>
      </c>
      <c r="E67" s="25">
        <v>0</v>
      </c>
      <c r="F67" s="25">
        <v>0</v>
      </c>
      <c r="G67" s="25">
        <f t="array" ref="G67">SUM(IF("1521"&amp;C67=KHN&amp;MH,SL))</f>
        <v>26648</v>
      </c>
      <c r="H67" s="25">
        <f t="array" ref="H67">SUM(IF("1521"&amp;C67=KHN&amp;MH,TH))</f>
        <v>607004500</v>
      </c>
      <c r="I67" s="25">
        <f t="array" ref="I67">SUM(IF("1521"&amp;C67=KHC&amp;MH,SL))</f>
        <v>26648</v>
      </c>
      <c r="J67" s="25">
        <f t="array" ref="J67">SUM(IF("1521"&amp;C67=KHC&amp;MH,TH))</f>
        <v>607004500</v>
      </c>
      <c r="K67" s="8">
        <f t="shared" si="20"/>
        <v>0</v>
      </c>
      <c r="L67" s="8">
        <f t="shared" si="21"/>
        <v>0</v>
      </c>
      <c r="M67" s="423"/>
      <c r="N67" s="294" t="s">
        <v>1894</v>
      </c>
      <c r="O67" s="434"/>
      <c r="P67" s="1157"/>
      <c r="Q67" s="381"/>
      <c r="R67" s="428"/>
      <c r="S67" s="428"/>
    </row>
    <row r="68" spans="1:20" s="420" customFormat="1" ht="21.75" customHeight="1">
      <c r="A68" s="423" t="str">
        <f t="shared" si="18"/>
        <v>NL</v>
      </c>
      <c r="B68" s="424">
        <f t="shared" si="22"/>
        <v>18</v>
      </c>
      <c r="C68" s="429" t="s">
        <v>2999</v>
      </c>
      <c r="D68" s="426" t="s">
        <v>328</v>
      </c>
      <c r="E68" s="25">
        <v>0</v>
      </c>
      <c r="F68" s="25">
        <v>0</v>
      </c>
      <c r="G68" s="25">
        <f t="array" ref="G68">SUM(IF("1521"&amp;C68=KHN&amp;MH,SL))</f>
        <v>4320</v>
      </c>
      <c r="H68" s="25">
        <f t="array" ref="H68">SUM(IF("1521"&amp;C68=KHN&amp;MH,TH))</f>
        <v>172800000</v>
      </c>
      <c r="I68" s="25">
        <f t="array" ref="I68">SUM(IF("1521"&amp;C68=KHC&amp;MH,SL))</f>
        <v>4320</v>
      </c>
      <c r="J68" s="25">
        <f t="array" ref="J68">SUM(IF("1521"&amp;C68=KHC&amp;MH,TH))</f>
        <v>172800000</v>
      </c>
      <c r="K68" s="8">
        <f t="shared" si="20"/>
        <v>0</v>
      </c>
      <c r="L68" s="8">
        <f t="shared" si="21"/>
        <v>0</v>
      </c>
      <c r="M68" s="423"/>
      <c r="N68" s="294" t="s">
        <v>1892</v>
      </c>
      <c r="O68" s="434"/>
      <c r="P68" s="381"/>
      <c r="Q68" s="381"/>
      <c r="R68" s="428"/>
      <c r="S68" s="428"/>
    </row>
    <row r="69" spans="1:20" s="420" customFormat="1" ht="21.75" customHeight="1">
      <c r="A69" s="423" t="str">
        <f t="shared" si="18"/>
        <v>NL</v>
      </c>
      <c r="B69" s="424">
        <f t="shared" si="22"/>
        <v>19</v>
      </c>
      <c r="C69" s="429" t="s">
        <v>3002</v>
      </c>
      <c r="D69" s="426" t="s">
        <v>328</v>
      </c>
      <c r="E69" s="25">
        <v>0</v>
      </c>
      <c r="F69" s="25">
        <v>0</v>
      </c>
      <c r="G69" s="25">
        <f t="array" ref="G69">SUM(IF("1521"&amp;C69=KHN&amp;MH,SL))</f>
        <v>6800</v>
      </c>
      <c r="H69" s="25">
        <f t="array" ref="H69">SUM(IF("1521"&amp;C69=KHN&amp;MH,TH))</f>
        <v>253350000</v>
      </c>
      <c r="I69" s="25">
        <f t="array" ref="I69">SUM(IF("1521"&amp;C69=KHC&amp;MH,SL))</f>
        <v>6800</v>
      </c>
      <c r="J69" s="25">
        <f t="array" ref="J69">SUM(IF("1521"&amp;C69=KHC&amp;MH,TH))</f>
        <v>253350000</v>
      </c>
      <c r="K69" s="8">
        <f t="shared" ref="K69" si="23">E69+G69-I69</f>
        <v>0</v>
      </c>
      <c r="L69" s="8">
        <f t="shared" ref="L69" si="24">F69+H69-J69</f>
        <v>0</v>
      </c>
      <c r="M69" s="423"/>
      <c r="N69" s="294"/>
      <c r="O69" s="434"/>
      <c r="P69" s="381"/>
      <c r="Q69" s="381"/>
      <c r="R69" s="428"/>
      <c r="S69" s="428"/>
    </row>
    <row r="70" spans="1:20" s="420" customFormat="1" ht="21.75" customHeight="1">
      <c r="A70" s="423" t="str">
        <f t="shared" ref="A70:A72" si="25">IF(B70&lt;&gt;"","NL","")</f>
        <v>NL</v>
      </c>
      <c r="B70" s="424">
        <f t="shared" ref="B70:B72" si="26">IF(C70&lt;&gt;"",B69+1,"")</f>
        <v>20</v>
      </c>
      <c r="C70" s="429" t="s">
        <v>3003</v>
      </c>
      <c r="D70" s="426" t="s">
        <v>328</v>
      </c>
      <c r="E70" s="25">
        <v>0</v>
      </c>
      <c r="F70" s="25">
        <v>0</v>
      </c>
      <c r="G70" s="25">
        <f t="array" ref="G70">SUM(IF("1521"&amp;C70=KHN&amp;MH,SL))</f>
        <v>450</v>
      </c>
      <c r="H70" s="25">
        <f t="array" ref="H70">SUM(IF("1521"&amp;C70=KHN&amp;MH,TH))</f>
        <v>27000000</v>
      </c>
      <c r="I70" s="25">
        <f t="array" ref="I70">SUM(IF("1521"&amp;C70=KHC&amp;MH,SL))</f>
        <v>450</v>
      </c>
      <c r="J70" s="25">
        <f t="array" ref="J70">SUM(IF("1521"&amp;C70=KHC&amp;MH,TH))</f>
        <v>27000000</v>
      </c>
      <c r="K70" s="8">
        <f t="shared" ref="K70:K72" si="27">E70+G70-I70</f>
        <v>0</v>
      </c>
      <c r="L70" s="8">
        <f t="shared" ref="L70:L72" si="28">F70+H70-J70</f>
        <v>0</v>
      </c>
      <c r="M70" s="423"/>
      <c r="N70" s="294"/>
      <c r="O70" s="434"/>
      <c r="P70" s="381"/>
      <c r="Q70" s="381"/>
      <c r="R70" s="428"/>
      <c r="S70" s="428"/>
    </row>
    <row r="71" spans="1:20" s="420" customFormat="1" ht="21.75" customHeight="1">
      <c r="A71" s="423" t="str">
        <f t="shared" si="25"/>
        <v>NL</v>
      </c>
      <c r="B71" s="424">
        <f t="shared" si="26"/>
        <v>21</v>
      </c>
      <c r="C71" s="925" t="s">
        <v>3004</v>
      </c>
      <c r="D71" s="426" t="s">
        <v>328</v>
      </c>
      <c r="E71" s="25">
        <v>0</v>
      </c>
      <c r="F71" s="25">
        <v>0</v>
      </c>
      <c r="G71" s="25">
        <f t="array" ref="G71">SUM(IF("1521"&amp;C71=KHN&amp;MH,SL))</f>
        <v>66</v>
      </c>
      <c r="H71" s="25">
        <f t="array" ref="H71">SUM(IF("1521"&amp;C71=KHN&amp;MH,TH))</f>
        <v>16170000</v>
      </c>
      <c r="I71" s="25">
        <f t="array" ref="I71">SUM(IF("1521"&amp;C71=KHC&amp;MH,SL))</f>
        <v>66</v>
      </c>
      <c r="J71" s="25">
        <f t="array" ref="J71">SUM(IF("1521"&amp;C71=KHC&amp;MH,TH))</f>
        <v>16170000</v>
      </c>
      <c r="K71" s="8">
        <f t="shared" si="27"/>
        <v>0</v>
      </c>
      <c r="L71" s="8">
        <f t="shared" si="28"/>
        <v>0</v>
      </c>
      <c r="M71" s="423"/>
      <c r="N71" s="294"/>
      <c r="O71" s="434"/>
      <c r="P71" s="381"/>
      <c r="Q71" s="381"/>
      <c r="R71" s="428"/>
      <c r="S71" s="428"/>
    </row>
    <row r="72" spans="1:20" s="420" customFormat="1" ht="21.75" customHeight="1">
      <c r="A72" s="423" t="str">
        <f t="shared" si="25"/>
        <v>NL</v>
      </c>
      <c r="B72" s="424">
        <f t="shared" si="26"/>
        <v>22</v>
      </c>
      <c r="C72" s="429" t="s">
        <v>3005</v>
      </c>
      <c r="D72" s="426" t="s">
        <v>328</v>
      </c>
      <c r="E72" s="25">
        <v>0</v>
      </c>
      <c r="F72" s="25">
        <v>0</v>
      </c>
      <c r="G72" s="25">
        <f t="array" ref="G72">SUM(IF("1521"&amp;C72=KHN&amp;MH,SL))</f>
        <v>16</v>
      </c>
      <c r="H72" s="25">
        <f t="array" ref="H72">SUM(IF("1521"&amp;C72=KHN&amp;MH,TH))</f>
        <v>400000</v>
      </c>
      <c r="I72" s="25">
        <f t="array" ref="I72">SUM(IF("1521"&amp;C72=KHC&amp;MH,SL))</f>
        <v>16</v>
      </c>
      <c r="J72" s="25">
        <f t="array" ref="J72">SUM(IF("1521"&amp;C72=KHC&amp;MH,TH))</f>
        <v>400000</v>
      </c>
      <c r="K72" s="8">
        <f t="shared" si="27"/>
        <v>0</v>
      </c>
      <c r="L72" s="8">
        <f t="shared" si="28"/>
        <v>0</v>
      </c>
      <c r="M72" s="423"/>
      <c r="N72" s="294"/>
      <c r="O72" s="434"/>
      <c r="P72" s="381"/>
      <c r="Q72" s="381"/>
      <c r="R72" s="428"/>
      <c r="S72" s="428"/>
    </row>
    <row r="73" spans="1:20" s="420" customFormat="1" ht="21.75" customHeight="1">
      <c r="A73" s="423" t="str">
        <f t="shared" si="18"/>
        <v/>
      </c>
      <c r="B73" s="424"/>
      <c r="C73" s="429"/>
      <c r="D73" s="426"/>
      <c r="E73" s="25"/>
      <c r="F73" s="25"/>
      <c r="G73" s="25"/>
      <c r="H73" s="25"/>
      <c r="I73" s="25"/>
      <c r="J73" s="25"/>
      <c r="K73" s="8"/>
      <c r="L73" s="8"/>
      <c r="M73" s="423"/>
      <c r="N73" s="294"/>
      <c r="O73" s="434"/>
      <c r="P73" s="381"/>
      <c r="Q73" s="381"/>
      <c r="R73" s="428"/>
      <c r="S73" s="428"/>
    </row>
    <row r="74" spans="1:20" s="420" customFormat="1" ht="21.75" customHeight="1">
      <c r="A74" s="423" t="str">
        <f t="shared" si="18"/>
        <v/>
      </c>
      <c r="B74" s="1149"/>
      <c r="C74" s="437" t="s">
        <v>413</v>
      </c>
      <c r="D74" s="1149"/>
      <c r="E74" s="13">
        <f t="shared" ref="E74:L74" si="29">SUM(E51:E73)</f>
        <v>0</v>
      </c>
      <c r="F74" s="13">
        <f t="shared" si="29"/>
        <v>0</v>
      </c>
      <c r="G74" s="13">
        <f t="shared" si="29"/>
        <v>10085219</v>
      </c>
      <c r="H74" s="13">
        <f t="shared" si="29"/>
        <v>184811926800</v>
      </c>
      <c r="I74" s="13">
        <f t="shared" si="29"/>
        <v>10085219</v>
      </c>
      <c r="J74" s="13">
        <f t="shared" si="29"/>
        <v>184811926800</v>
      </c>
      <c r="K74" s="13">
        <f t="shared" si="29"/>
        <v>0</v>
      </c>
      <c r="L74" s="13">
        <f t="shared" si="29"/>
        <v>0</v>
      </c>
      <c r="M74" s="423"/>
      <c r="N74" s="294"/>
      <c r="O74" s="434"/>
      <c r="P74" s="381"/>
      <c r="Q74" s="381"/>
      <c r="R74" s="428"/>
      <c r="S74" s="428"/>
    </row>
    <row r="75" spans="1:20" s="420" customFormat="1" ht="21.75" customHeight="1">
      <c r="A75" s="423" t="str">
        <f>IF(B75&lt;&gt;"","TP","")</f>
        <v/>
      </c>
      <c r="B75" s="729"/>
      <c r="C75" s="729"/>
      <c r="D75" s="729"/>
      <c r="E75" s="729"/>
      <c r="F75" s="729">
        <f>F74-CDPS!C23</f>
        <v>0</v>
      </c>
      <c r="G75" s="729"/>
      <c r="H75" s="729">
        <f>H74-CDPS!E23</f>
        <v>0</v>
      </c>
      <c r="I75" s="729"/>
      <c r="J75" s="729">
        <f>J74-CDPS!F23</f>
        <v>0</v>
      </c>
      <c r="K75" s="729"/>
      <c r="L75" s="729">
        <f>L74-CDPS!G23</f>
        <v>0</v>
      </c>
      <c r="M75" s="423"/>
      <c r="N75" s="294"/>
      <c r="O75" s="434"/>
      <c r="P75" s="381"/>
      <c r="Q75" s="381"/>
      <c r="R75" s="428"/>
      <c r="S75" s="428"/>
    </row>
    <row r="76" spans="1:20" s="420" customFormat="1" ht="21.75" customHeight="1">
      <c r="A76" s="423" t="str">
        <f t="shared" ref="A76:A113" si="30">IF(B76&lt;&gt;"","TP","")</f>
        <v>TP</v>
      </c>
      <c r="B76" s="726">
        <v>1</v>
      </c>
      <c r="C76" s="425" t="s">
        <v>1588</v>
      </c>
      <c r="D76" s="439" t="s">
        <v>328</v>
      </c>
      <c r="E76" s="25">
        <v>0</v>
      </c>
      <c r="F76" s="25">
        <v>0</v>
      </c>
      <c r="G76" s="25">
        <f t="array" ref="G76">SUM(IF("155"&amp;C76=KHN&amp;MH,SL))</f>
        <v>82280</v>
      </c>
      <c r="H76" s="25">
        <f t="array" ref="H76">SUM(IF("155"&amp;C76=KHN&amp;MH,TH))</f>
        <v>18000977159</v>
      </c>
      <c r="I76" s="25">
        <f t="array" ref="I76">SUM(IF("155"&amp;C76=KHC&amp;MH,SL))</f>
        <v>76280</v>
      </c>
      <c r="J76" s="25">
        <f t="array" ref="J76">SUM(IF("155"&amp;C76=KHC&amp;MH,TH))</f>
        <v>16715107010</v>
      </c>
      <c r="K76" s="8">
        <f t="shared" ref="K76:K87" si="31">E76+G76-I76</f>
        <v>6000</v>
      </c>
      <c r="L76" s="8">
        <f t="shared" ref="L76:L87" si="32">F76+H76-J76</f>
        <v>1285870149</v>
      </c>
      <c r="M76" s="423"/>
      <c r="N76" s="429" t="s">
        <v>424</v>
      </c>
      <c r="O76" s="429"/>
      <c r="P76" s="429"/>
      <c r="Q76" s="429"/>
      <c r="R76" s="429"/>
      <c r="S76" s="429"/>
    </row>
    <row r="77" spans="1:20" s="420" customFormat="1" ht="21.75" customHeight="1">
      <c r="A77" s="423" t="str">
        <f t="shared" si="30"/>
        <v>TP</v>
      </c>
      <c r="B77" s="726">
        <f>IF(C77&lt;&gt;"",B76+1,"")</f>
        <v>2</v>
      </c>
      <c r="C77" s="429" t="s">
        <v>426</v>
      </c>
      <c r="D77" s="439" t="s">
        <v>328</v>
      </c>
      <c r="E77" s="25">
        <v>0</v>
      </c>
      <c r="F77" s="25">
        <v>0</v>
      </c>
      <c r="G77" s="25">
        <f t="array" ref="G77">SUM(IF("155"&amp;C77=KHN&amp;MH,SL))</f>
        <v>31512</v>
      </c>
      <c r="H77" s="25">
        <f t="array" ref="H77">SUM(IF("155"&amp;C77=KHN&amp;MH,TH))</f>
        <v>6214012766</v>
      </c>
      <c r="I77" s="25">
        <f t="array" ref="I77">SUM(IF("155"&amp;C77=KHC&amp;MH,SL))</f>
        <v>31512</v>
      </c>
      <c r="J77" s="25">
        <f t="array" ref="J77">SUM(IF("155"&amp;C77=KHC&amp;MH,TH))</f>
        <v>6214012766</v>
      </c>
      <c r="K77" s="8">
        <f t="shared" si="31"/>
        <v>0</v>
      </c>
      <c r="L77" s="8">
        <f t="shared" si="32"/>
        <v>0</v>
      </c>
      <c r="N77" s="440"/>
      <c r="O77" s="440"/>
      <c r="P77" s="440"/>
      <c r="Q77" s="1158"/>
      <c r="R77" s="1158"/>
      <c r="S77" s="1158"/>
    </row>
    <row r="78" spans="1:20" s="420" customFormat="1" ht="21.75" customHeight="1">
      <c r="A78" s="423" t="str">
        <f t="shared" si="30"/>
        <v>TP</v>
      </c>
      <c r="B78" s="726">
        <f t="shared" ref="B78:B106" si="33">IF(C78&lt;&gt;"",B77+1,"")</f>
        <v>3</v>
      </c>
      <c r="C78" s="432" t="s">
        <v>1755</v>
      </c>
      <c r="D78" s="439" t="s">
        <v>328</v>
      </c>
      <c r="E78" s="25">
        <v>0</v>
      </c>
      <c r="F78" s="25">
        <v>0</v>
      </c>
      <c r="G78" s="25">
        <f t="array" ref="G78">SUM(IF("155"&amp;C78=KHN&amp;MH,SL))</f>
        <v>9000</v>
      </c>
      <c r="H78" s="25">
        <f t="array" ref="H78">SUM(IF("155"&amp;C78=KHN&amp;MH,TH))</f>
        <v>1621647512</v>
      </c>
      <c r="I78" s="25">
        <f t="array" ref="I78">SUM(IF("155"&amp;C78=KHC&amp;MH,SL))</f>
        <v>9000</v>
      </c>
      <c r="J78" s="25">
        <f t="array" ref="J78">SUM(IF("155"&amp;C78=KHC&amp;MH,TH))</f>
        <v>1621647512</v>
      </c>
      <c r="K78" s="8">
        <f t="shared" si="31"/>
        <v>0</v>
      </c>
      <c r="L78" s="8">
        <f t="shared" si="32"/>
        <v>0</v>
      </c>
      <c r="N78" s="1087"/>
      <c r="O78" s="440"/>
      <c r="P78" s="440"/>
      <c r="Q78" s="429" t="s">
        <v>429</v>
      </c>
      <c r="R78" s="991">
        <v>3.2</v>
      </c>
      <c r="S78" s="8">
        <v>17500</v>
      </c>
    </row>
    <row r="79" spans="1:20" s="420" customFormat="1" ht="21.75" customHeight="1">
      <c r="A79" s="423" t="str">
        <f t="shared" si="30"/>
        <v>TP</v>
      </c>
      <c r="B79" s="726">
        <f t="shared" si="33"/>
        <v>4</v>
      </c>
      <c r="C79" s="960" t="s">
        <v>1620</v>
      </c>
      <c r="D79" s="439" t="s">
        <v>328</v>
      </c>
      <c r="E79" s="25">
        <v>0</v>
      </c>
      <c r="F79" s="25">
        <v>0</v>
      </c>
      <c r="G79" s="25">
        <f t="array" ref="G79">SUM(IF("155"&amp;C79=KHN&amp;MH,SL))</f>
        <v>90</v>
      </c>
      <c r="H79" s="25">
        <f t="array" ref="H79">SUM(IF("155"&amp;C79=KHN&amp;MH,TH))</f>
        <v>27552064</v>
      </c>
      <c r="I79" s="25">
        <f t="array" ref="I79">SUM(IF("155"&amp;C79=KHC&amp;MH,SL))</f>
        <v>90</v>
      </c>
      <c r="J79" s="25">
        <f t="array" ref="J79">SUM(IF("155"&amp;C79=KHC&amp;MH,TH))</f>
        <v>27552064</v>
      </c>
      <c r="K79" s="8">
        <f t="shared" si="31"/>
        <v>0</v>
      </c>
      <c r="L79" s="8">
        <f t="shared" si="32"/>
        <v>0</v>
      </c>
      <c r="N79" s="440"/>
      <c r="O79" s="440"/>
      <c r="P79" s="440"/>
      <c r="Q79" s="429" t="s">
        <v>1584</v>
      </c>
      <c r="R79" s="991">
        <v>11</v>
      </c>
      <c r="S79" s="8">
        <v>17500</v>
      </c>
      <c r="T79" s="440"/>
    </row>
    <row r="80" spans="1:20" s="420" customFormat="1" ht="21.75" customHeight="1">
      <c r="A80" s="423" t="str">
        <f t="shared" si="30"/>
        <v>TP</v>
      </c>
      <c r="B80" s="726">
        <f t="shared" si="33"/>
        <v>5</v>
      </c>
      <c r="C80" s="425" t="s">
        <v>793</v>
      </c>
      <c r="D80" s="439" t="s">
        <v>328</v>
      </c>
      <c r="E80" s="25">
        <v>0</v>
      </c>
      <c r="F80" s="25">
        <v>0</v>
      </c>
      <c r="G80" s="25">
        <f t="array" ref="G80">SUM(IF("155"&amp;C80=KHN&amp;MH,SL))</f>
        <v>47120</v>
      </c>
      <c r="H80" s="25">
        <f t="array" ref="H80">SUM(IF("155"&amp;C80=KHN&amp;MH,TH))</f>
        <v>8012227868</v>
      </c>
      <c r="I80" s="25">
        <f t="array" ref="I80">SUM(IF("155"&amp;C80=KHC&amp;MH,SL))</f>
        <v>47120</v>
      </c>
      <c r="J80" s="25">
        <f t="array" ref="J80">SUM(IF("155"&amp;C80=KHC&amp;MH,TH))</f>
        <v>8012227868</v>
      </c>
      <c r="K80" s="8">
        <f t="shared" si="31"/>
        <v>0</v>
      </c>
      <c r="L80" s="8">
        <f t="shared" si="32"/>
        <v>0</v>
      </c>
      <c r="N80" s="440"/>
      <c r="O80" s="440"/>
      <c r="P80" s="440"/>
      <c r="Q80" s="996" t="s">
        <v>1107</v>
      </c>
      <c r="R80" s="991">
        <v>5.5</v>
      </c>
      <c r="S80" s="8">
        <v>37000</v>
      </c>
      <c r="T80" s="440"/>
    </row>
    <row r="81" spans="1:20" s="420" customFormat="1" ht="21.75" customHeight="1">
      <c r="A81" s="423" t="str">
        <f t="shared" si="30"/>
        <v>TP</v>
      </c>
      <c r="B81" s="726">
        <f t="shared" si="33"/>
        <v>6</v>
      </c>
      <c r="C81" s="432" t="s">
        <v>1621</v>
      </c>
      <c r="D81" s="439" t="s">
        <v>328</v>
      </c>
      <c r="E81" s="25">
        <v>0</v>
      </c>
      <c r="F81" s="25">
        <v>0</v>
      </c>
      <c r="G81" s="25">
        <f t="array" ref="G81">SUM(IF("155"&amp;C81=KHN&amp;MH,SL))</f>
        <v>815</v>
      </c>
      <c r="H81" s="25">
        <f t="array" ref="H81">SUM(IF("155"&amp;C81=KHN&amp;MH,TH))</f>
        <v>121731800</v>
      </c>
      <c r="I81" s="25">
        <f t="array" ref="I81">SUM(IF("155"&amp;C81=KHC&amp;MH,SL))</f>
        <v>815</v>
      </c>
      <c r="J81" s="25">
        <f t="array" ref="J81">SUM(IF("155"&amp;C81=KHC&amp;MH,TH))</f>
        <v>121731800</v>
      </c>
      <c r="K81" s="8">
        <f t="shared" si="31"/>
        <v>0</v>
      </c>
      <c r="L81" s="8">
        <f t="shared" si="32"/>
        <v>0</v>
      </c>
      <c r="N81" s="440"/>
      <c r="O81" s="440"/>
      <c r="P81" s="440"/>
      <c r="Q81" s="996" t="s">
        <v>1588</v>
      </c>
      <c r="R81" s="991">
        <v>11.5</v>
      </c>
      <c r="S81" s="8">
        <v>18200</v>
      </c>
      <c r="T81" s="440"/>
    </row>
    <row r="82" spans="1:20" s="420" customFormat="1" ht="21.75" customHeight="1">
      <c r="A82" s="423" t="str">
        <f t="shared" si="30"/>
        <v>TP</v>
      </c>
      <c r="B82" s="726">
        <f t="shared" si="33"/>
        <v>7</v>
      </c>
      <c r="C82" s="432" t="s">
        <v>2477</v>
      </c>
      <c r="D82" s="439" t="s">
        <v>328</v>
      </c>
      <c r="E82" s="25">
        <v>0</v>
      </c>
      <c r="F82" s="25">
        <v>0</v>
      </c>
      <c r="G82" s="25">
        <f t="array" ref="G82">SUM(IF("155"&amp;C82=KHN&amp;MH,SL))</f>
        <v>650</v>
      </c>
      <c r="H82" s="25">
        <f t="array" ref="H82">SUM(IF("155"&amp;C82=KHN&amp;MH,TH))</f>
        <v>96485059</v>
      </c>
      <c r="I82" s="25">
        <f t="array" ref="I82">SUM(IF("155"&amp;C82=KHC&amp;MH,SL))</f>
        <v>650</v>
      </c>
      <c r="J82" s="25">
        <f t="array" ref="J82">SUM(IF("155"&amp;C82=KHC&amp;MH,TH))</f>
        <v>96485059</v>
      </c>
      <c r="K82" s="8">
        <f t="shared" si="31"/>
        <v>0</v>
      </c>
      <c r="L82" s="8">
        <f t="shared" si="32"/>
        <v>0</v>
      </c>
      <c r="N82" s="440"/>
      <c r="O82" s="440"/>
      <c r="P82" s="440"/>
      <c r="Q82" s="996" t="s">
        <v>426</v>
      </c>
      <c r="R82" s="991">
        <v>10.5</v>
      </c>
      <c r="S82" s="8">
        <v>17000</v>
      </c>
      <c r="T82" s="440"/>
    </row>
    <row r="83" spans="1:20" s="420" customFormat="1" ht="21.75" customHeight="1">
      <c r="A83" s="423" t="str">
        <f t="shared" si="30"/>
        <v>TP</v>
      </c>
      <c r="B83" s="726">
        <f t="shared" si="33"/>
        <v>8</v>
      </c>
      <c r="C83" s="429" t="s">
        <v>421</v>
      </c>
      <c r="D83" s="439" t="s">
        <v>328</v>
      </c>
      <c r="E83" s="25">
        <v>24465.8</v>
      </c>
      <c r="F83" s="25">
        <v>3468509299</v>
      </c>
      <c r="G83" s="25">
        <f t="array" ref="G83">SUM(IF("155"&amp;C83=KHN&amp;MH,SL))</f>
        <v>3110.4000000000015</v>
      </c>
      <c r="H83" s="25">
        <f t="array" ref="H83">SUM(IF("155"&amp;C83=KHN&amp;MH,TH))</f>
        <v>352379996</v>
      </c>
      <c r="I83" s="25">
        <f t="array" ref="I83">SUM(IF("155"&amp;C83=KHC&amp;MH,SL))</f>
        <v>27576.2</v>
      </c>
      <c r="J83" s="25">
        <f t="array" ref="J83">SUM(IF("155"&amp;C83=KHC&amp;MH,TH))</f>
        <v>3820889295</v>
      </c>
      <c r="K83" s="8">
        <f t="shared" si="31"/>
        <v>0</v>
      </c>
      <c r="L83" s="8">
        <f t="shared" si="32"/>
        <v>0</v>
      </c>
      <c r="N83" s="440"/>
      <c r="O83" s="440"/>
      <c r="P83" s="440"/>
      <c r="Q83" s="996" t="s">
        <v>793</v>
      </c>
      <c r="R83" s="991">
        <v>8.6999999999999993</v>
      </c>
      <c r="S83" s="8">
        <v>18500</v>
      </c>
      <c r="T83" s="440"/>
    </row>
    <row r="84" spans="1:20" s="420" customFormat="1" ht="21.75" customHeight="1">
      <c r="A84" s="423" t="str">
        <f t="shared" si="30"/>
        <v>TP</v>
      </c>
      <c r="B84" s="726">
        <f t="shared" si="33"/>
        <v>9</v>
      </c>
      <c r="C84" s="429" t="s">
        <v>429</v>
      </c>
      <c r="D84" s="439" t="s">
        <v>328</v>
      </c>
      <c r="E84" s="25"/>
      <c r="F84" s="25"/>
      <c r="G84" s="25">
        <f t="array" ref="G84">SUM(IF("155"&amp;C84=KHN&amp;MH,SL))</f>
        <v>5751805.8299999973</v>
      </c>
      <c r="H84" s="25">
        <f t="array" ref="H84">SUM(IF("155"&amp;C84=KHN&amp;MH,TH))</f>
        <v>334589829439</v>
      </c>
      <c r="I84" s="25">
        <f t="array" ref="I84">SUM(IF("155"&amp;C84=KHC&amp;MH,SL))</f>
        <v>5751805.8299999991</v>
      </c>
      <c r="J84" s="25">
        <f t="array" ref="J84">SUM(IF("155"&amp;C84=KHC&amp;MH,TH))</f>
        <v>334589829439</v>
      </c>
      <c r="K84" s="8">
        <f t="shared" si="31"/>
        <v>0</v>
      </c>
      <c r="L84" s="8">
        <f t="shared" si="32"/>
        <v>0</v>
      </c>
      <c r="N84" s="440"/>
      <c r="O84" s="440"/>
      <c r="P84" s="440"/>
      <c r="Q84" s="996" t="s">
        <v>2477</v>
      </c>
      <c r="R84" s="991">
        <v>5</v>
      </c>
      <c r="S84" s="8">
        <v>28500</v>
      </c>
      <c r="T84" s="440"/>
    </row>
    <row r="85" spans="1:20" s="420" customFormat="1" ht="21.75" customHeight="1">
      <c r="A85" s="423" t="str">
        <f t="shared" si="30"/>
        <v>TP</v>
      </c>
      <c r="B85" s="726">
        <f t="shared" si="33"/>
        <v>10</v>
      </c>
      <c r="C85" s="429" t="s">
        <v>2399</v>
      </c>
      <c r="D85" s="439" t="s">
        <v>328</v>
      </c>
      <c r="E85" s="25">
        <v>0</v>
      </c>
      <c r="F85" s="25">
        <v>0</v>
      </c>
      <c r="G85" s="25">
        <f t="array" ref="G85">SUM(IF("155"&amp;C85=KHN&amp;MH,SL))</f>
        <v>1461618</v>
      </c>
      <c r="H85" s="25">
        <f t="array" ref="H85">SUM(IF("155"&amp;C85=KHN&amp;MH,TH))</f>
        <v>70247418948</v>
      </c>
      <c r="I85" s="25">
        <f t="array" ref="I85">SUM(IF("155"&amp;C85=KHC&amp;MH,SL))</f>
        <v>1461618</v>
      </c>
      <c r="J85" s="25">
        <f t="array" ref="J85">SUM(IF("155"&amp;C85=KHC&amp;MH,TH))</f>
        <v>70247418948</v>
      </c>
      <c r="K85" s="8">
        <f t="shared" si="31"/>
        <v>0</v>
      </c>
      <c r="L85" s="8">
        <f t="shared" si="32"/>
        <v>0</v>
      </c>
      <c r="N85" s="440"/>
      <c r="Q85" s="996" t="s">
        <v>799</v>
      </c>
      <c r="R85" s="991">
        <v>6</v>
      </c>
      <c r="S85" s="8">
        <v>35000</v>
      </c>
    </row>
    <row r="86" spans="1:20" s="420" customFormat="1" ht="21.75" customHeight="1">
      <c r="A86" s="423" t="str">
        <f t="shared" ref="A86" si="34">IF(B86&lt;&gt;"","TP","")</f>
        <v>TP</v>
      </c>
      <c r="B86" s="726">
        <f t="shared" si="33"/>
        <v>11</v>
      </c>
      <c r="C86" s="425" t="s">
        <v>2387</v>
      </c>
      <c r="D86" s="439" t="s">
        <v>328</v>
      </c>
      <c r="E86" s="25">
        <v>0</v>
      </c>
      <c r="F86" s="25">
        <v>0</v>
      </c>
      <c r="G86" s="25">
        <f t="array" ref="G86">SUM(IF("155"&amp;C86=KHN&amp;MH,SL))</f>
        <v>720</v>
      </c>
      <c r="H86" s="25">
        <f t="array" ref="H86">SUM(IF("155"&amp;C86=KHN&amp;MH,TH))</f>
        <v>176345258</v>
      </c>
      <c r="I86" s="25">
        <f t="array" ref="I86">SUM(IF("155"&amp;C86=KHC&amp;MH,SL))</f>
        <v>720</v>
      </c>
      <c r="J86" s="25">
        <f t="array" ref="J86">SUM(IF("155"&amp;C86=KHC&amp;MH,TH))</f>
        <v>176345258</v>
      </c>
      <c r="K86" s="8">
        <f t="shared" ref="K86" si="35">E86+G86-I86</f>
        <v>0</v>
      </c>
      <c r="L86" s="8">
        <f t="shared" ref="L86" si="36">F86+H86-J86</f>
        <v>0</v>
      </c>
      <c r="N86" s="440"/>
      <c r="Q86" s="996" t="s">
        <v>800</v>
      </c>
      <c r="R86" s="991">
        <v>6</v>
      </c>
      <c r="S86" s="8">
        <v>32000</v>
      </c>
    </row>
    <row r="87" spans="1:20" s="420" customFormat="1" ht="21.75" customHeight="1">
      <c r="A87" s="423" t="str">
        <f t="shared" si="30"/>
        <v>TP</v>
      </c>
      <c r="B87" s="726">
        <f t="shared" si="33"/>
        <v>12</v>
      </c>
      <c r="C87" s="429" t="s">
        <v>418</v>
      </c>
      <c r="D87" s="439" t="s">
        <v>328</v>
      </c>
      <c r="E87" s="25">
        <v>0</v>
      </c>
      <c r="F87" s="25">
        <v>0</v>
      </c>
      <c r="G87" s="25">
        <f t="array" ref="G87">SUM(IF("155"&amp;C87=KHN&amp;MH,SL))</f>
        <v>9314</v>
      </c>
      <c r="H87" s="25">
        <f t="array" ref="H87">SUM(IF("155"&amp;C87=KHN&amp;MH,TH))</f>
        <v>800739959</v>
      </c>
      <c r="I87" s="25">
        <f t="array" ref="I87">SUM(IF("155"&amp;C87=KHC&amp;MH,SL))</f>
        <v>9314</v>
      </c>
      <c r="J87" s="25">
        <f t="array" ref="J87">SUM(IF("155"&amp;C87=KHC&amp;MH,TH))</f>
        <v>800739959</v>
      </c>
      <c r="K87" s="8">
        <f t="shared" si="31"/>
        <v>0</v>
      </c>
      <c r="L87" s="8">
        <f t="shared" si="32"/>
        <v>0</v>
      </c>
      <c r="N87" s="440"/>
      <c r="Q87" s="996" t="s">
        <v>801</v>
      </c>
      <c r="R87" s="991">
        <v>6</v>
      </c>
      <c r="S87" s="8">
        <v>25000</v>
      </c>
    </row>
    <row r="88" spans="1:20" s="420" customFormat="1" ht="21.75" customHeight="1">
      <c r="A88" s="423" t="str">
        <f t="shared" si="30"/>
        <v>TP</v>
      </c>
      <c r="B88" s="726">
        <f t="shared" si="33"/>
        <v>13</v>
      </c>
      <c r="C88" s="960" t="s">
        <v>2949</v>
      </c>
      <c r="D88" s="439" t="s">
        <v>328</v>
      </c>
      <c r="E88" s="25">
        <v>0</v>
      </c>
      <c r="F88" s="25">
        <v>0</v>
      </c>
      <c r="G88" s="25">
        <f t="array" ref="G88">SUM(IF("155"&amp;C88=KHN&amp;MH,SL))</f>
        <v>53088</v>
      </c>
      <c r="H88" s="25">
        <f t="array" ref="H88">SUM(IF("155"&amp;C88=KHN&amp;MH,TH))</f>
        <v>2291270422</v>
      </c>
      <c r="I88" s="25">
        <f t="array" ref="I88">SUM(IF("155"&amp;C88=KHC&amp;MH,SL))</f>
        <v>53088</v>
      </c>
      <c r="J88" s="25">
        <f t="array" ref="J88">SUM(IF("155"&amp;C88=KHC&amp;MH,TH))</f>
        <v>2291270422</v>
      </c>
      <c r="K88" s="8">
        <f t="shared" ref="K88:K89" si="37">E88+G88-I88</f>
        <v>0</v>
      </c>
      <c r="L88" s="8">
        <f t="shared" ref="L88:L89" si="38">F88+H88-J88</f>
        <v>0</v>
      </c>
      <c r="N88" s="440"/>
      <c r="Q88" s="429" t="s">
        <v>1406</v>
      </c>
      <c r="R88" s="1040">
        <v>5</v>
      </c>
      <c r="S88" s="8">
        <v>23000</v>
      </c>
    </row>
    <row r="89" spans="1:20" s="420" customFormat="1" ht="21.75" customHeight="1">
      <c r="A89" s="423" t="str">
        <f t="shared" si="30"/>
        <v>TP</v>
      </c>
      <c r="B89" s="726">
        <f t="shared" si="33"/>
        <v>14</v>
      </c>
      <c r="C89" s="432" t="s">
        <v>1582</v>
      </c>
      <c r="D89" s="439" t="s">
        <v>328</v>
      </c>
      <c r="E89" s="25">
        <v>0</v>
      </c>
      <c r="F89" s="25">
        <v>0</v>
      </c>
      <c r="G89" s="25">
        <f t="array" ref="G89">SUM(IF("155"&amp;C89=KHN&amp;MH,SL))</f>
        <v>1360</v>
      </c>
      <c r="H89" s="25">
        <f t="array" ref="H89">SUM(IF("155"&amp;C89=KHN&amp;MH,TH))</f>
        <v>257316165</v>
      </c>
      <c r="I89" s="25">
        <f t="array" ref="I89">SUM(IF("155"&amp;C89=KHC&amp;MH,SL))</f>
        <v>1360</v>
      </c>
      <c r="J89" s="25">
        <f t="array" ref="J89">SUM(IF("155"&amp;C89=KHC&amp;MH,TH))</f>
        <v>257316165</v>
      </c>
      <c r="K89" s="8">
        <f t="shared" si="37"/>
        <v>0</v>
      </c>
      <c r="L89" s="8">
        <f t="shared" si="38"/>
        <v>0</v>
      </c>
      <c r="N89" s="440"/>
      <c r="Q89" s="429" t="s">
        <v>2387</v>
      </c>
      <c r="R89" s="1040">
        <v>6</v>
      </c>
      <c r="S89" s="8">
        <v>40000</v>
      </c>
    </row>
    <row r="90" spans="1:20" s="420" customFormat="1" ht="21.75" customHeight="1">
      <c r="A90" s="423" t="str">
        <f t="shared" si="30"/>
        <v>TP</v>
      </c>
      <c r="B90" s="726">
        <f t="shared" si="33"/>
        <v>15</v>
      </c>
      <c r="C90" s="429" t="s">
        <v>1406</v>
      </c>
      <c r="D90" s="439" t="s">
        <v>328</v>
      </c>
      <c r="E90" s="25">
        <v>0</v>
      </c>
      <c r="F90" s="25">
        <v>0</v>
      </c>
      <c r="G90" s="25">
        <f t="array" ref="G90">SUM(IF("155"&amp;C90=KHN&amp;MH,SL))</f>
        <v>5329.6</v>
      </c>
      <c r="H90" s="25">
        <f t="array" ref="H90">SUM(IF("155"&amp;C90=KHN&amp;MH,TH))</f>
        <v>626981009</v>
      </c>
      <c r="I90" s="25">
        <f t="array" ref="I90">SUM(IF("155"&amp;C90=KHC&amp;MH,SL))</f>
        <v>5329.6</v>
      </c>
      <c r="J90" s="25">
        <f t="array" ref="J90">SUM(IF("155"&amp;C90=KHC&amp;MH,TH))</f>
        <v>626981009</v>
      </c>
      <c r="K90" s="8">
        <f t="shared" ref="K90:K105" si="39">E90+G90-I90</f>
        <v>0</v>
      </c>
      <c r="L90" s="8">
        <f t="shared" ref="L90:L105" si="40">F90+H90-J90</f>
        <v>0</v>
      </c>
      <c r="N90" s="440"/>
      <c r="Q90" s="960" t="s">
        <v>1256</v>
      </c>
      <c r="R90" s="1040">
        <v>4.8</v>
      </c>
      <c r="S90" s="8">
        <v>28500</v>
      </c>
    </row>
    <row r="91" spans="1:20" s="420" customFormat="1" ht="21.75" customHeight="1">
      <c r="A91" s="423" t="str">
        <f t="shared" si="30"/>
        <v>TP</v>
      </c>
      <c r="B91" s="726">
        <f t="shared" si="33"/>
        <v>16</v>
      </c>
      <c r="C91" s="960" t="s">
        <v>1107</v>
      </c>
      <c r="D91" s="439" t="s">
        <v>328</v>
      </c>
      <c r="E91" s="25">
        <v>0</v>
      </c>
      <c r="F91" s="25">
        <v>0</v>
      </c>
      <c r="G91" s="25">
        <f t="array" ref="G91">SUM(IF("155"&amp;C91=KHN&amp;MH,SL))</f>
        <v>4390</v>
      </c>
      <c r="H91" s="25">
        <f t="array" ref="H91">SUM(IF("155"&amp;C91=KHN&amp;MH,TH))</f>
        <v>930292727</v>
      </c>
      <c r="I91" s="25">
        <f t="array" ref="I91">SUM(IF("155"&amp;C91=KHC&amp;MH,SL))</f>
        <v>4390</v>
      </c>
      <c r="J91" s="25">
        <f t="array" ref="J91">SUM(IF("155"&amp;C91=KHC&amp;MH,TH))</f>
        <v>930292727</v>
      </c>
      <c r="K91" s="8">
        <f t="shared" si="39"/>
        <v>0</v>
      </c>
      <c r="L91" s="8">
        <f t="shared" si="40"/>
        <v>0</v>
      </c>
      <c r="N91" s="440"/>
      <c r="Q91" s="1083" t="s">
        <v>425</v>
      </c>
      <c r="R91" s="991">
        <v>2.2999999999999998</v>
      </c>
      <c r="S91" s="8">
        <v>275000</v>
      </c>
    </row>
    <row r="92" spans="1:20" s="420" customFormat="1" ht="21.75" customHeight="1">
      <c r="A92" s="423" t="str">
        <f t="shared" si="30"/>
        <v>TP</v>
      </c>
      <c r="B92" s="726">
        <f t="shared" si="33"/>
        <v>17</v>
      </c>
      <c r="C92" s="432" t="s">
        <v>1583</v>
      </c>
      <c r="D92" s="439" t="s">
        <v>328</v>
      </c>
      <c r="E92" s="8">
        <v>0</v>
      </c>
      <c r="F92" s="8">
        <v>0</v>
      </c>
      <c r="G92" s="25">
        <f t="array" ref="G92">SUM(IF("155"&amp;C92=KHN&amp;MH,SL))</f>
        <v>420</v>
      </c>
      <c r="H92" s="25">
        <f t="array" ref="H92">SUM(IF("155"&amp;C92=KHN&amp;MH,TH))</f>
        <v>110015343</v>
      </c>
      <c r="I92" s="25">
        <f t="array" ref="I92">SUM(IF("155"&amp;C92=KHC&amp;MH,SL))</f>
        <v>420</v>
      </c>
      <c r="J92" s="25">
        <f t="array" ref="J92">SUM(IF("155"&amp;C92=KHC&amp;MH,TH))</f>
        <v>110015343</v>
      </c>
      <c r="K92" s="8">
        <f t="shared" si="39"/>
        <v>0</v>
      </c>
      <c r="L92" s="8">
        <f t="shared" si="40"/>
        <v>0</v>
      </c>
      <c r="N92" s="440"/>
      <c r="Q92" s="429" t="s">
        <v>1401</v>
      </c>
      <c r="R92" s="991">
        <v>8.5</v>
      </c>
      <c r="S92" s="8">
        <v>25000</v>
      </c>
    </row>
    <row r="93" spans="1:20" s="420" customFormat="1" ht="21.75" customHeight="1">
      <c r="A93" s="423" t="str">
        <f t="shared" si="30"/>
        <v>TP</v>
      </c>
      <c r="B93" s="726">
        <f t="shared" si="33"/>
        <v>18</v>
      </c>
      <c r="C93" s="429" t="s">
        <v>799</v>
      </c>
      <c r="D93" s="439" t="s">
        <v>328</v>
      </c>
      <c r="E93" s="8">
        <v>0</v>
      </c>
      <c r="F93" s="8">
        <v>0</v>
      </c>
      <c r="G93" s="25">
        <f t="array" ref="G93">SUM(IF("155"&amp;C93=KHN&amp;MH,SL))</f>
        <v>326</v>
      </c>
      <c r="H93" s="25">
        <f t="array" ref="H93">SUM(IF("155"&amp;C93=KHN&amp;MH,TH))</f>
        <v>53675748</v>
      </c>
      <c r="I93" s="25">
        <f t="array" ref="I93">SUM(IF("155"&amp;C93=KHC&amp;MH,SL))</f>
        <v>326</v>
      </c>
      <c r="J93" s="25">
        <f t="array" ref="J93">SUM(IF("155"&amp;C93=KHC&amp;MH,TH))</f>
        <v>53675748</v>
      </c>
      <c r="K93" s="8">
        <f t="shared" si="39"/>
        <v>0</v>
      </c>
      <c r="L93" s="8">
        <f t="shared" si="40"/>
        <v>0</v>
      </c>
      <c r="N93" s="440"/>
      <c r="Q93" s="425" t="s">
        <v>1545</v>
      </c>
      <c r="R93" s="991">
        <v>5</v>
      </c>
      <c r="S93" s="8">
        <v>35000</v>
      </c>
    </row>
    <row r="94" spans="1:20" s="420" customFormat="1" ht="21.75" customHeight="1">
      <c r="A94" s="423" t="str">
        <f t="shared" si="30"/>
        <v>TP</v>
      </c>
      <c r="B94" s="726">
        <f t="shared" si="33"/>
        <v>19</v>
      </c>
      <c r="C94" s="429" t="s">
        <v>1401</v>
      </c>
      <c r="D94" s="439" t="s">
        <v>328</v>
      </c>
      <c r="E94" s="8">
        <v>0</v>
      </c>
      <c r="F94" s="8">
        <v>0</v>
      </c>
      <c r="G94" s="25">
        <f t="array" ref="G94">SUM(IF("155"&amp;C94=KHN&amp;MH,SL))</f>
        <v>5500</v>
      </c>
      <c r="H94" s="25">
        <f t="array" ref="H94">SUM(IF("155"&amp;C94=KHN&amp;MH,TH))</f>
        <v>1194071703</v>
      </c>
      <c r="I94" s="25">
        <f t="array" ref="I94">SUM(IF("155"&amp;C94=KHC&amp;MH,SL))</f>
        <v>5500</v>
      </c>
      <c r="J94" s="25">
        <f t="array" ref="J94">SUM(IF("155"&amp;C94=KHC&amp;MH,TH))</f>
        <v>1194071703</v>
      </c>
      <c r="K94" s="8">
        <f t="shared" si="39"/>
        <v>0</v>
      </c>
      <c r="L94" s="8">
        <f t="shared" si="40"/>
        <v>0</v>
      </c>
      <c r="N94" s="440"/>
      <c r="Q94" s="996" t="s">
        <v>1544</v>
      </c>
      <c r="R94" s="991">
        <v>5</v>
      </c>
      <c r="S94" s="8">
        <v>30000</v>
      </c>
    </row>
    <row r="95" spans="1:20" s="420" customFormat="1" ht="21.75" customHeight="1">
      <c r="A95" s="423" t="str">
        <f t="shared" si="30"/>
        <v>TP</v>
      </c>
      <c r="B95" s="726">
        <f t="shared" si="33"/>
        <v>20</v>
      </c>
      <c r="C95" s="429" t="s">
        <v>1544</v>
      </c>
      <c r="D95" s="439" t="s">
        <v>328</v>
      </c>
      <c r="E95" s="8">
        <v>0</v>
      </c>
      <c r="F95" s="8">
        <v>0</v>
      </c>
      <c r="G95" s="25">
        <f t="array" ref="G95">SUM(IF("155"&amp;C95=KHN&amp;MH,SL))</f>
        <v>240</v>
      </c>
      <c r="H95" s="25">
        <f t="array" ref="H95">SUM(IF("155"&amp;C95=KHN&amp;MH,TH))</f>
        <v>36825748</v>
      </c>
      <c r="I95" s="25">
        <f t="array" ref="I95">SUM(IF("155"&amp;C95=KHC&amp;MH,SL))</f>
        <v>240</v>
      </c>
      <c r="J95" s="25">
        <f t="array" ref="J95">SUM(IF("155"&amp;C95=KHC&amp;MH,TH))</f>
        <v>36825748</v>
      </c>
      <c r="K95" s="8">
        <f t="shared" si="39"/>
        <v>0</v>
      </c>
      <c r="L95" s="8">
        <f t="shared" si="40"/>
        <v>0</v>
      </c>
      <c r="N95" s="440"/>
      <c r="Q95" s="996" t="s">
        <v>1547</v>
      </c>
      <c r="R95" s="991">
        <v>5</v>
      </c>
      <c r="S95" s="8">
        <v>30000</v>
      </c>
    </row>
    <row r="96" spans="1:20" s="420" customFormat="1" ht="21.75" customHeight="1">
      <c r="A96" s="423" t="str">
        <f t="shared" si="30"/>
        <v>TP</v>
      </c>
      <c r="B96" s="726">
        <f t="shared" si="33"/>
        <v>21</v>
      </c>
      <c r="C96" s="432" t="s">
        <v>1547</v>
      </c>
      <c r="D96" s="439" t="s">
        <v>328</v>
      </c>
      <c r="E96" s="8">
        <v>0</v>
      </c>
      <c r="F96" s="8">
        <v>0</v>
      </c>
      <c r="G96" s="25">
        <f t="array" ref="G96">SUM(IF("155"&amp;C96=KHN&amp;MH,SL))</f>
        <v>2200</v>
      </c>
      <c r="H96" s="25">
        <f t="array" ref="H96">SUM(IF("155"&amp;C96=KHN&amp;MH,TH))</f>
        <v>337569357</v>
      </c>
      <c r="I96" s="25">
        <f t="array" ref="I96">SUM(IF("155"&amp;C96=KHC&amp;MH,SL))</f>
        <v>2200</v>
      </c>
      <c r="J96" s="25">
        <f t="array" ref="J96">SUM(IF("155"&amp;C96=KHC&amp;MH,TH))</f>
        <v>337569357</v>
      </c>
      <c r="K96" s="8">
        <f t="shared" si="39"/>
        <v>0</v>
      </c>
      <c r="L96" s="8">
        <f t="shared" si="40"/>
        <v>0</v>
      </c>
      <c r="N96" s="440"/>
      <c r="Q96" s="996" t="s">
        <v>1621</v>
      </c>
      <c r="R96" s="991">
        <v>5</v>
      </c>
      <c r="S96" s="8">
        <v>28500</v>
      </c>
    </row>
    <row r="97" spans="1:19" s="420" customFormat="1" ht="21.75" customHeight="1">
      <c r="A97" s="423" t="str">
        <f t="shared" si="30"/>
        <v>TP</v>
      </c>
      <c r="B97" s="726">
        <f t="shared" si="33"/>
        <v>22</v>
      </c>
      <c r="C97" s="429" t="s">
        <v>1545</v>
      </c>
      <c r="D97" s="439" t="s">
        <v>328</v>
      </c>
      <c r="E97" s="8">
        <v>0</v>
      </c>
      <c r="F97" s="8">
        <v>0</v>
      </c>
      <c r="G97" s="25">
        <f t="array" ref="G97">SUM(IF("155"&amp;C97=KHN&amp;MH,SL))</f>
        <v>360</v>
      </c>
      <c r="H97" s="25">
        <f t="array" ref="H97">SUM(IF("155"&amp;C97=KHN&amp;MH,TH))</f>
        <v>65397676</v>
      </c>
      <c r="I97" s="25">
        <f t="array" ref="I97">SUM(IF("155"&amp;C97=KHC&amp;MH,SL))</f>
        <v>360</v>
      </c>
      <c r="J97" s="25">
        <f t="array" ref="J97">SUM(IF("155"&amp;C97=KHC&amp;MH,TH))</f>
        <v>65397676</v>
      </c>
      <c r="K97" s="8">
        <f t="shared" si="39"/>
        <v>0</v>
      </c>
      <c r="L97" s="8">
        <f t="shared" si="40"/>
        <v>0</v>
      </c>
      <c r="N97" s="440"/>
      <c r="Q97" s="996" t="s">
        <v>1620</v>
      </c>
      <c r="R97" s="991">
        <v>5</v>
      </c>
      <c r="S97" s="8">
        <v>60000</v>
      </c>
    </row>
    <row r="98" spans="1:19" s="420" customFormat="1" ht="21.75" customHeight="1">
      <c r="A98" s="423" t="str">
        <f t="shared" si="30"/>
        <v>TP</v>
      </c>
      <c r="B98" s="726">
        <f t="shared" si="33"/>
        <v>23</v>
      </c>
      <c r="C98" s="425" t="s">
        <v>800</v>
      </c>
      <c r="D98" s="439" t="s">
        <v>328</v>
      </c>
      <c r="E98" s="8">
        <v>0</v>
      </c>
      <c r="F98" s="8">
        <v>0</v>
      </c>
      <c r="G98" s="25">
        <f t="array" ref="G98">SUM(IF("155"&amp;C98=KHN&amp;MH,SL))</f>
        <v>300</v>
      </c>
      <c r="H98" s="25">
        <f t="array" ref="H98">SUM(IF("155"&amp;C98=KHN&amp;MH,TH))</f>
        <v>59553074</v>
      </c>
      <c r="I98" s="25">
        <f t="array" ref="I98">SUM(IF("155"&amp;C98=KHC&amp;MH,SL))</f>
        <v>300</v>
      </c>
      <c r="J98" s="25">
        <f t="array" ref="J98">SUM(IF("155"&amp;C98=KHC&amp;MH,TH))</f>
        <v>59553074</v>
      </c>
      <c r="K98" s="8">
        <f t="shared" si="39"/>
        <v>0</v>
      </c>
      <c r="L98" s="8">
        <f t="shared" si="40"/>
        <v>0</v>
      </c>
      <c r="N98" s="440"/>
      <c r="Q98" s="996" t="s">
        <v>1617</v>
      </c>
      <c r="R98" s="991">
        <v>5</v>
      </c>
      <c r="S98" s="8">
        <v>135000</v>
      </c>
    </row>
    <row r="99" spans="1:19" s="420" customFormat="1" ht="21.75" customHeight="1">
      <c r="A99" s="423" t="str">
        <f t="shared" si="30"/>
        <v>TP</v>
      </c>
      <c r="B99" s="726">
        <f t="shared" si="33"/>
        <v>24</v>
      </c>
      <c r="C99" s="960" t="s">
        <v>1618</v>
      </c>
      <c r="D99" s="439" t="s">
        <v>328</v>
      </c>
      <c r="E99" s="8">
        <v>0</v>
      </c>
      <c r="F99" s="8">
        <v>0</v>
      </c>
      <c r="G99" s="25">
        <f t="array" ref="G99">SUM(IF("155"&amp;C99=KHN&amp;MH,SL))</f>
        <v>30</v>
      </c>
      <c r="H99" s="25">
        <f t="array" ref="H99">SUM(IF("155"&amp;C99=KHN&amp;MH,TH))</f>
        <v>16312135</v>
      </c>
      <c r="I99" s="25">
        <f t="array" ref="I99">SUM(IF("155"&amp;C99=KHC&amp;MH,SL))</f>
        <v>30</v>
      </c>
      <c r="J99" s="25">
        <f t="array" ref="J99">SUM(IF("155"&amp;C99=KHC&amp;MH,TH))</f>
        <v>16312135</v>
      </c>
      <c r="K99" s="8">
        <f t="shared" si="39"/>
        <v>0</v>
      </c>
      <c r="L99" s="8">
        <f t="shared" si="40"/>
        <v>0</v>
      </c>
      <c r="N99" s="440"/>
      <c r="P99" s="440"/>
      <c r="Q99" s="996" t="s">
        <v>418</v>
      </c>
      <c r="R99" s="991">
        <v>4.5</v>
      </c>
      <c r="S99" s="8">
        <v>18500</v>
      </c>
    </row>
    <row r="100" spans="1:19" s="420" customFormat="1" ht="21.75" customHeight="1">
      <c r="A100" s="423" t="str">
        <f t="shared" si="30"/>
        <v>TP</v>
      </c>
      <c r="B100" s="726">
        <f t="shared" si="33"/>
        <v>25</v>
      </c>
      <c r="C100" s="425" t="s">
        <v>425</v>
      </c>
      <c r="D100" s="439" t="s">
        <v>328</v>
      </c>
      <c r="E100" s="8">
        <v>0</v>
      </c>
      <c r="F100" s="8">
        <v>0</v>
      </c>
      <c r="G100" s="25">
        <f t="array" ref="G100">SUM(IF("155"&amp;C100=KHN&amp;MH,SL))</f>
        <v>3070</v>
      </c>
      <c r="H100" s="25">
        <f t="array" ref="H100">SUM(IF("155"&amp;C100=KHN&amp;MH,TH))</f>
        <v>1948783714</v>
      </c>
      <c r="I100" s="25">
        <f t="array" ref="I100">SUM(IF("155"&amp;C100=KHC&amp;MH,SL))</f>
        <v>3070</v>
      </c>
      <c r="J100" s="25">
        <f t="array" ref="J100">SUM(IF("155"&amp;C100=KHC&amp;MH,TH))</f>
        <v>1948783714</v>
      </c>
      <c r="K100" s="8">
        <f t="shared" si="39"/>
        <v>0</v>
      </c>
      <c r="L100" s="8">
        <f t="shared" si="40"/>
        <v>0</v>
      </c>
      <c r="N100" s="440"/>
      <c r="Q100" s="996" t="s">
        <v>1618</v>
      </c>
      <c r="R100" s="991">
        <v>2.2000000000000002</v>
      </c>
      <c r="S100" s="8">
        <v>250000</v>
      </c>
    </row>
    <row r="101" spans="1:19" s="420" customFormat="1" ht="21.75" customHeight="1">
      <c r="A101" s="423" t="str">
        <f t="shared" si="30"/>
        <v>TP</v>
      </c>
      <c r="B101" s="726">
        <f t="shared" si="33"/>
        <v>26</v>
      </c>
      <c r="C101" s="960" t="s">
        <v>801</v>
      </c>
      <c r="D101" s="439" t="s">
        <v>328</v>
      </c>
      <c r="E101" s="8">
        <v>0</v>
      </c>
      <c r="F101" s="8">
        <v>0</v>
      </c>
      <c r="G101" s="25">
        <f t="array" ref="G101">SUM(IF("155"&amp;C101=KHN&amp;MH,SL))</f>
        <v>1136.5999999999999</v>
      </c>
      <c r="H101" s="25">
        <f t="array" ref="H101">SUM(IF("155"&amp;C101=KHN&amp;MH,TH))</f>
        <v>176595467</v>
      </c>
      <c r="I101" s="25">
        <f t="array" ref="I101">SUM(IF("155"&amp;C101=KHC&amp;MH,SL))</f>
        <v>486.6</v>
      </c>
      <c r="J101" s="25">
        <f t="array" ref="J101">SUM(IF("155"&amp;C101=KHC&amp;MH,TH))</f>
        <v>75845467</v>
      </c>
      <c r="K101" s="8">
        <f t="shared" si="39"/>
        <v>649.99999999999989</v>
      </c>
      <c r="L101" s="8">
        <f t="shared" si="40"/>
        <v>100750000</v>
      </c>
      <c r="N101" s="440"/>
      <c r="Q101" s="996" t="s">
        <v>1619</v>
      </c>
      <c r="R101" s="991">
        <v>4</v>
      </c>
      <c r="S101" s="8">
        <v>100000</v>
      </c>
    </row>
    <row r="102" spans="1:19" s="420" customFormat="1" ht="21.75" customHeight="1">
      <c r="A102" s="423" t="str">
        <f t="shared" si="30"/>
        <v>TP</v>
      </c>
      <c r="B102" s="726">
        <f t="shared" si="33"/>
        <v>27</v>
      </c>
      <c r="C102" s="960" t="s">
        <v>1617</v>
      </c>
      <c r="D102" s="439" t="s">
        <v>328</v>
      </c>
      <c r="E102" s="8">
        <v>0</v>
      </c>
      <c r="F102" s="8">
        <v>0</v>
      </c>
      <c r="G102" s="25">
        <f t="array" ref="G102">SUM(IF("155"&amp;C102=KHN&amp;MH,SL))</f>
        <v>202</v>
      </c>
      <c r="H102" s="25">
        <f t="array" ref="H102">SUM(IF("155"&amp;C102=KHN&amp;MH,TH))</f>
        <v>137589077</v>
      </c>
      <c r="I102" s="25">
        <f t="array" ref="I102">SUM(IF("155"&amp;C102=KHC&amp;MH,SL))</f>
        <v>202</v>
      </c>
      <c r="J102" s="25">
        <f t="array" ref="J102">SUM(IF("155"&amp;C102=KHC&amp;MH,TH))</f>
        <v>137589077</v>
      </c>
      <c r="K102" s="8">
        <f t="shared" si="39"/>
        <v>0</v>
      </c>
      <c r="L102" s="8">
        <f t="shared" si="40"/>
        <v>0</v>
      </c>
      <c r="N102" s="440"/>
      <c r="Q102" s="996" t="s">
        <v>1582</v>
      </c>
      <c r="R102" s="991">
        <v>5</v>
      </c>
      <c r="S102" s="8">
        <v>37000</v>
      </c>
    </row>
    <row r="103" spans="1:19" s="420" customFormat="1" ht="21.75" customHeight="1">
      <c r="A103" s="423" t="str">
        <f>IF(B103&lt;&gt;"","TP","")</f>
        <v>TP</v>
      </c>
      <c r="B103" s="726">
        <f t="shared" si="33"/>
        <v>28</v>
      </c>
      <c r="C103" s="960" t="s">
        <v>2400</v>
      </c>
      <c r="D103" s="439" t="s">
        <v>328</v>
      </c>
      <c r="E103" s="25">
        <v>0</v>
      </c>
      <c r="F103" s="25">
        <v>0</v>
      </c>
      <c r="G103" s="25">
        <f t="array" ref="G103">SUM(IF("155"&amp;C103=KHN&amp;MH,SL))</f>
        <v>37000</v>
      </c>
      <c r="H103" s="25">
        <f t="array" ref="H103">SUM(IF("155"&amp;C103=KHN&amp;MH,TH))</f>
        <v>7461125940</v>
      </c>
      <c r="I103" s="25">
        <f t="array" ref="I103">SUM(IF("155"&amp;C103=KHC&amp;MH,SL))</f>
        <v>37000</v>
      </c>
      <c r="J103" s="25">
        <f t="array" ref="J103">SUM(IF("155"&amp;C103=KHC&amp;MH,TH))</f>
        <v>7461125940</v>
      </c>
      <c r="K103" s="25">
        <f>E103+G103-I103</f>
        <v>0</v>
      </c>
      <c r="L103" s="25">
        <f>F103+H103-J103</f>
        <v>0</v>
      </c>
      <c r="M103" s="423"/>
      <c r="N103" s="440"/>
      <c r="Q103" s="996" t="s">
        <v>1583</v>
      </c>
      <c r="R103" s="991">
        <v>4.5</v>
      </c>
      <c r="S103" s="8">
        <v>57500</v>
      </c>
    </row>
    <row r="104" spans="1:19" s="420" customFormat="1" ht="21.75" customHeight="1">
      <c r="A104" s="423" t="str">
        <f t="shared" si="30"/>
        <v>TP</v>
      </c>
      <c r="B104" s="726">
        <f t="shared" si="33"/>
        <v>29</v>
      </c>
      <c r="C104" s="960" t="s">
        <v>1584</v>
      </c>
      <c r="D104" s="439" t="s">
        <v>328</v>
      </c>
      <c r="E104" s="8">
        <v>0</v>
      </c>
      <c r="F104" s="8">
        <v>0</v>
      </c>
      <c r="G104" s="25">
        <f t="array" ref="G104">SUM(IF("155"&amp;C104=KHN&amp;MH,SL))</f>
        <v>17320</v>
      </c>
      <c r="H104" s="25">
        <f t="array" ref="H104">SUM(IF("155"&amp;C104=KHN&amp;MH,TH))</f>
        <v>3429674422</v>
      </c>
      <c r="I104" s="25">
        <f t="array" ref="I104">SUM(IF("155"&amp;C104=KHC&amp;MH,SL))</f>
        <v>17320</v>
      </c>
      <c r="J104" s="25">
        <f t="array" ref="J104">SUM(IF("155"&amp;C104=KHC&amp;MH,TH))</f>
        <v>3429674422</v>
      </c>
      <c r="K104" s="8">
        <f t="shared" si="39"/>
        <v>0</v>
      </c>
      <c r="L104" s="8">
        <f t="shared" si="40"/>
        <v>0</v>
      </c>
      <c r="N104" s="440"/>
      <c r="Q104" s="996" t="s">
        <v>1639</v>
      </c>
      <c r="R104" s="991">
        <v>5</v>
      </c>
      <c r="S104" s="8">
        <v>19500</v>
      </c>
    </row>
    <row r="105" spans="1:19" s="420" customFormat="1" ht="21.75" customHeight="1">
      <c r="A105" s="423" t="str">
        <f t="shared" si="30"/>
        <v>TP</v>
      </c>
      <c r="B105" s="726">
        <f t="shared" si="33"/>
        <v>30</v>
      </c>
      <c r="C105" s="960" t="s">
        <v>2531</v>
      </c>
      <c r="D105" s="439" t="s">
        <v>328</v>
      </c>
      <c r="E105" s="8">
        <v>0</v>
      </c>
      <c r="F105" s="8">
        <v>0</v>
      </c>
      <c r="G105" s="25">
        <f t="array" ref="G105">SUM(IF("155"&amp;C105=KHN&amp;MH,SL))</f>
        <v>1210</v>
      </c>
      <c r="H105" s="25">
        <f t="array" ref="H105">SUM(IF("155"&amp;C105=KHN&amp;MH,TH))</f>
        <v>822800000</v>
      </c>
      <c r="I105" s="25">
        <f t="array" ref="I105">SUM(IF("155"&amp;C105=KHC&amp;MH,SL))</f>
        <v>1210</v>
      </c>
      <c r="J105" s="25">
        <f t="array" ref="J105">SUM(IF("155"&amp;C105=KHC&amp;MH,TH))</f>
        <v>822800000</v>
      </c>
      <c r="K105" s="8">
        <f t="shared" si="39"/>
        <v>0</v>
      </c>
      <c r="L105" s="8">
        <f t="shared" si="40"/>
        <v>0</v>
      </c>
      <c r="N105" s="1197"/>
      <c r="Q105" s="996" t="s">
        <v>1755</v>
      </c>
      <c r="R105" s="991">
        <v>9.5</v>
      </c>
      <c r="S105" s="8">
        <v>18500</v>
      </c>
    </row>
    <row r="106" spans="1:19" s="420" customFormat="1" ht="21.75" customHeight="1">
      <c r="A106" s="423" t="str">
        <f t="shared" si="30"/>
        <v>TP</v>
      </c>
      <c r="B106" s="726">
        <f t="shared" si="33"/>
        <v>31</v>
      </c>
      <c r="C106" s="960" t="s">
        <v>2532</v>
      </c>
      <c r="D106" s="439" t="s">
        <v>328</v>
      </c>
      <c r="E106" s="8">
        <v>0</v>
      </c>
      <c r="F106" s="8">
        <v>0</v>
      </c>
      <c r="G106" s="25">
        <f t="array" ref="G106">SUM(IF("155"&amp;C106=KHN&amp;MH,SL))</f>
        <v>1720</v>
      </c>
      <c r="H106" s="25">
        <f t="array" ref="H106">SUM(IF("155"&amp;C106=KHN&amp;MH,TH))</f>
        <v>1178200000</v>
      </c>
      <c r="I106" s="25">
        <f t="array" ref="I106">SUM(IF("155"&amp;C106=KHC&amp;MH,SL))</f>
        <v>1720</v>
      </c>
      <c r="J106" s="25">
        <f t="array" ref="J106">SUM(IF("155"&amp;C106=KHC&amp;MH,TH))</f>
        <v>1178200000</v>
      </c>
      <c r="K106" s="8">
        <f t="shared" ref="K106:K110" si="41">E106+G106-I106</f>
        <v>0</v>
      </c>
      <c r="L106" s="8">
        <f t="shared" ref="L106:L110" si="42">F106+H106-J106</f>
        <v>0</v>
      </c>
      <c r="N106" s="440"/>
      <c r="Q106" s="1031" t="s">
        <v>2399</v>
      </c>
      <c r="R106" s="991">
        <v>2.7</v>
      </c>
      <c r="S106" s="8">
        <v>17700</v>
      </c>
    </row>
    <row r="107" spans="1:19" s="420" customFormat="1" ht="21.75" customHeight="1">
      <c r="A107" s="423" t="str">
        <f t="shared" si="30"/>
        <v>TP</v>
      </c>
      <c r="B107" s="726">
        <f t="shared" ref="B107:B109" si="43">IF(C107&lt;&gt;"",B106+1,"")</f>
        <v>32</v>
      </c>
      <c r="C107" s="960" t="s">
        <v>2533</v>
      </c>
      <c r="D107" s="439" t="s">
        <v>328</v>
      </c>
      <c r="E107" s="8">
        <v>0</v>
      </c>
      <c r="F107" s="8">
        <v>0</v>
      </c>
      <c r="G107" s="25">
        <f t="array" ref="G107">SUM(IF("155"&amp;C107=KHN&amp;MH,SL))</f>
        <v>1010</v>
      </c>
      <c r="H107" s="25">
        <f t="array" ref="H107">SUM(IF("155"&amp;C107=KHN&amp;MH,TH))</f>
        <v>681750000</v>
      </c>
      <c r="I107" s="25">
        <f t="array" ref="I107">SUM(IF("155"&amp;C107=KHC&amp;MH,SL))</f>
        <v>1010</v>
      </c>
      <c r="J107" s="25">
        <f t="array" ref="J107">SUM(IF("155"&amp;C107=KHC&amp;MH,TH))</f>
        <v>681750000</v>
      </c>
      <c r="K107" s="8">
        <f t="shared" si="41"/>
        <v>0</v>
      </c>
      <c r="L107" s="8">
        <f t="shared" si="42"/>
        <v>0</v>
      </c>
      <c r="O107" s="440"/>
      <c r="P107" s="440"/>
      <c r="Q107" s="960" t="s">
        <v>2949</v>
      </c>
      <c r="R107" s="991">
        <v>2.5</v>
      </c>
      <c r="S107" s="8">
        <v>16500</v>
      </c>
    </row>
    <row r="108" spans="1:19" s="420" customFormat="1" ht="21.75" customHeight="1">
      <c r="A108" s="423" t="str">
        <f t="shared" si="30"/>
        <v>TP</v>
      </c>
      <c r="B108" s="726">
        <f t="shared" si="43"/>
        <v>33</v>
      </c>
      <c r="C108" s="960" t="s">
        <v>2534</v>
      </c>
      <c r="D108" s="439" t="s">
        <v>328</v>
      </c>
      <c r="E108" s="8">
        <v>0</v>
      </c>
      <c r="F108" s="8">
        <v>0</v>
      </c>
      <c r="G108" s="25">
        <f t="array" ref="G108">SUM(IF("155"&amp;C108=KHN&amp;MH,SL))</f>
        <v>310</v>
      </c>
      <c r="H108" s="25">
        <f t="array" ref="H108">SUM(IF("155"&amp;C108=KHN&amp;MH,TH))</f>
        <v>179800000</v>
      </c>
      <c r="I108" s="25">
        <f t="array" ref="I108">SUM(IF("155"&amp;C108=KHC&amp;MH,SL))</f>
        <v>310</v>
      </c>
      <c r="J108" s="25">
        <f t="array" ref="J108">SUM(IF("155"&amp;C108=KHC&amp;MH,TH))</f>
        <v>179800000</v>
      </c>
      <c r="K108" s="8">
        <f t="shared" si="41"/>
        <v>0</v>
      </c>
      <c r="L108" s="8">
        <f t="shared" si="42"/>
        <v>0</v>
      </c>
      <c r="Q108" s="1031" t="s">
        <v>2400</v>
      </c>
      <c r="R108" s="991">
        <v>11.5</v>
      </c>
      <c r="S108" s="8">
        <v>16700</v>
      </c>
    </row>
    <row r="109" spans="1:19" s="420" customFormat="1" ht="21.75" customHeight="1">
      <c r="A109" s="423" t="str">
        <f t="shared" si="30"/>
        <v>TP</v>
      </c>
      <c r="B109" s="726">
        <f t="shared" si="43"/>
        <v>34</v>
      </c>
      <c r="C109" s="429" t="s">
        <v>1639</v>
      </c>
      <c r="D109" s="439" t="s">
        <v>328</v>
      </c>
      <c r="E109" s="8">
        <v>0</v>
      </c>
      <c r="F109" s="8">
        <v>0</v>
      </c>
      <c r="G109" s="25">
        <f t="array" ref="G109">SUM(IF("155"&amp;C109=KHN&amp;MH,SL))</f>
        <v>10000</v>
      </c>
      <c r="H109" s="25">
        <f t="array" ref="H109">SUM(IF("155"&amp;C109=KHN&amp;MH,TH))</f>
        <v>1006252360</v>
      </c>
      <c r="I109" s="25">
        <f t="array" ref="I109">SUM(IF("155"&amp;C109=KHC&amp;MH,SL))</f>
        <v>10000</v>
      </c>
      <c r="J109" s="25">
        <f t="array" ref="J109">SUM(IF("155"&amp;C109=KHC&amp;MH,TH))</f>
        <v>1006252360</v>
      </c>
      <c r="K109" s="8">
        <f t="shared" si="41"/>
        <v>0</v>
      </c>
      <c r="L109" s="8">
        <f t="shared" si="42"/>
        <v>0</v>
      </c>
      <c r="Q109" s="429" t="s">
        <v>2401</v>
      </c>
      <c r="R109" s="991">
        <v>11.5</v>
      </c>
      <c r="S109" s="8">
        <v>15400</v>
      </c>
    </row>
    <row r="110" spans="1:19" s="420" customFormat="1" ht="21.75" customHeight="1">
      <c r="A110" s="423" t="str">
        <f t="shared" si="30"/>
        <v>TP</v>
      </c>
      <c r="B110" s="726">
        <f t="shared" ref="B110" si="44">IF(C110&lt;&gt;"",B109+1,"")</f>
        <v>35</v>
      </c>
      <c r="C110" s="1031" t="s">
        <v>2401</v>
      </c>
      <c r="D110" s="439" t="s">
        <v>328</v>
      </c>
      <c r="E110" s="8">
        <v>0</v>
      </c>
      <c r="F110" s="8">
        <v>0</v>
      </c>
      <c r="G110" s="25">
        <f t="array" ref="G110">SUM(IF("155"&amp;C110=KHN&amp;MH,SL))</f>
        <v>8000</v>
      </c>
      <c r="H110" s="25">
        <f t="array" ref="H110">SUM(IF("155"&amp;C110=KHN&amp;MH,TH))</f>
        <v>1460490681</v>
      </c>
      <c r="I110" s="25">
        <f t="array" ref="I110">SUM(IF("155"&amp;C110=KHC&amp;MH,SL))</f>
        <v>8000</v>
      </c>
      <c r="J110" s="25">
        <f t="array" ref="J110">SUM(IF("155"&amp;C110=KHC&amp;MH,TH))</f>
        <v>1460490681</v>
      </c>
      <c r="K110" s="8">
        <f t="shared" si="41"/>
        <v>0</v>
      </c>
      <c r="L110" s="8">
        <f t="shared" si="42"/>
        <v>0</v>
      </c>
      <c r="Q110" s="429" t="s">
        <v>2402</v>
      </c>
      <c r="R110" s="991">
        <v>11</v>
      </c>
      <c r="S110" s="8">
        <v>17000</v>
      </c>
    </row>
    <row r="111" spans="1:19" s="420" customFormat="1" ht="21.75" customHeight="1">
      <c r="A111" s="423" t="str">
        <f t="shared" ref="A111" si="45">IF(B111&lt;&gt;"","TP","")</f>
        <v>TP</v>
      </c>
      <c r="B111" s="726">
        <f t="shared" ref="B111" si="46">IF(C111&lt;&gt;"",B110+1,"")</f>
        <v>36</v>
      </c>
      <c r="C111" s="429" t="s">
        <v>2198</v>
      </c>
      <c r="D111" s="439" t="s">
        <v>328</v>
      </c>
      <c r="E111" s="8">
        <v>0</v>
      </c>
      <c r="F111" s="8">
        <v>0</v>
      </c>
      <c r="G111" s="25">
        <f t="array" ref="G111">SUM(IF("155"&amp;C111=KHN&amp;MH,SL))</f>
        <v>2</v>
      </c>
      <c r="H111" s="25">
        <f t="array" ref="H111">SUM(IF("155"&amp;C111=KHN&amp;MH,TH))</f>
        <v>415260</v>
      </c>
      <c r="I111" s="25">
        <f t="array" ref="I111">SUM(IF("155"&amp;C111=KHC&amp;MH,SL))</f>
        <v>2</v>
      </c>
      <c r="J111" s="25">
        <f t="array" ref="J111">SUM(IF("155"&amp;C111=KHC&amp;MH,TH))</f>
        <v>415260</v>
      </c>
      <c r="K111" s="8">
        <f t="shared" ref="K111" si="47">E111+G111-I111</f>
        <v>0</v>
      </c>
      <c r="L111" s="8">
        <f t="shared" ref="L111" si="48">F111+H111-J111</f>
        <v>0</v>
      </c>
      <c r="Q111" s="1055" t="s">
        <v>2198</v>
      </c>
      <c r="R111" s="991">
        <v>8</v>
      </c>
      <c r="S111" s="8">
        <v>25000</v>
      </c>
    </row>
    <row r="112" spans="1:19" s="420" customFormat="1" ht="21.75" customHeight="1">
      <c r="A112" s="423" t="str">
        <f t="shared" si="30"/>
        <v/>
      </c>
      <c r="B112" s="726"/>
      <c r="C112" s="960"/>
      <c r="D112" s="439"/>
      <c r="E112" s="8"/>
      <c r="F112" s="8"/>
      <c r="G112" s="25"/>
      <c r="H112" s="25"/>
      <c r="I112" s="25"/>
      <c r="J112" s="25"/>
      <c r="K112" s="8"/>
      <c r="L112" s="8"/>
      <c r="Q112" s="72" t="s">
        <v>421</v>
      </c>
      <c r="R112" s="991">
        <v>5</v>
      </c>
      <c r="S112" s="8">
        <v>22000</v>
      </c>
    </row>
    <row r="113" spans="1:21" s="420" customFormat="1" ht="21.75" customHeight="1">
      <c r="A113" s="423" t="str">
        <f t="shared" si="30"/>
        <v/>
      </c>
      <c r="B113" s="1149"/>
      <c r="C113" s="437" t="s">
        <v>427</v>
      </c>
      <c r="D113" s="1149"/>
      <c r="E113" s="13">
        <f t="shared" ref="E113:L113" si="49">SUM(E76:E112)</f>
        <v>24465.8</v>
      </c>
      <c r="F113" s="13">
        <f t="shared" si="49"/>
        <v>3468509299</v>
      </c>
      <c r="G113" s="13">
        <f t="shared" si="49"/>
        <v>7552559.4299999969</v>
      </c>
      <c r="H113" s="13">
        <f t="shared" si="49"/>
        <v>464724105856</v>
      </c>
      <c r="I113" s="13">
        <f t="shared" si="49"/>
        <v>7570375.2299999986</v>
      </c>
      <c r="J113" s="13">
        <f t="shared" si="49"/>
        <v>466805995006</v>
      </c>
      <c r="K113" s="13">
        <f t="shared" si="49"/>
        <v>6650</v>
      </c>
      <c r="L113" s="13">
        <f t="shared" si="49"/>
        <v>1386620149</v>
      </c>
      <c r="Q113" s="429"/>
      <c r="R113" s="991"/>
      <c r="S113" s="8"/>
    </row>
    <row r="114" spans="1:21" s="420" customFormat="1" ht="21.75" customHeight="1">
      <c r="A114" s="423"/>
      <c r="B114" s="729"/>
      <c r="C114" s="729"/>
      <c r="D114" s="729"/>
      <c r="E114" s="729"/>
      <c r="F114" s="729"/>
      <c r="G114" s="729"/>
      <c r="H114" s="729">
        <f>H113-CDPS!E28</f>
        <v>0</v>
      </c>
      <c r="I114" s="729"/>
      <c r="J114" s="729">
        <f>J113-CDPS!F28</f>
        <v>0</v>
      </c>
      <c r="K114" s="729"/>
      <c r="L114" s="729">
        <f>L113-CDPS!G28</f>
        <v>0</v>
      </c>
      <c r="Q114" s="429"/>
      <c r="R114" s="991"/>
      <c r="S114" s="8"/>
    </row>
    <row r="115" spans="1:21" s="420" customFormat="1" ht="21.75" customHeight="1">
      <c r="B115" s="1180"/>
      <c r="C115" s="1180"/>
      <c r="D115" s="1180"/>
      <c r="E115" s="1153"/>
      <c r="F115" s="442"/>
      <c r="G115" s="442"/>
      <c r="H115" s="442"/>
      <c r="I115" s="442"/>
      <c r="J115" s="1475" t="s">
        <v>2177</v>
      </c>
      <c r="K115" s="1475"/>
      <c r="L115" s="1475"/>
      <c r="Q115" s="429"/>
      <c r="R115" s="991"/>
      <c r="S115" s="8"/>
    </row>
    <row r="116" spans="1:21" s="420" customFormat="1" ht="21.75" customHeight="1">
      <c r="C116" s="1153"/>
      <c r="D116" s="1153"/>
      <c r="E116" s="1153"/>
      <c r="I116" s="442"/>
      <c r="J116" s="1475" t="s">
        <v>130</v>
      </c>
      <c r="K116" s="1475"/>
      <c r="L116" s="1475"/>
      <c r="Q116" s="429"/>
      <c r="R116" s="991"/>
      <c r="S116" s="8"/>
    </row>
    <row r="117" spans="1:21" s="420" customFormat="1" ht="21.75" customHeight="1">
      <c r="C117" s="1153" t="s">
        <v>11</v>
      </c>
      <c r="D117" s="1153"/>
      <c r="E117" s="1153"/>
      <c r="F117" s="1475" t="s">
        <v>12</v>
      </c>
      <c r="G117" s="1475"/>
      <c r="H117" s="1475"/>
      <c r="J117" s="1475" t="s">
        <v>160</v>
      </c>
      <c r="K117" s="1475"/>
      <c r="L117" s="1475"/>
      <c r="Q117" s="429"/>
      <c r="R117" s="991"/>
      <c r="S117" s="8"/>
    </row>
    <row r="118" spans="1:21" s="420" customFormat="1" ht="21.75" customHeight="1">
      <c r="C118" s="1153" t="s">
        <v>13</v>
      </c>
      <c r="D118" s="421"/>
      <c r="E118" s="441"/>
      <c r="F118" s="1475" t="s">
        <v>13</v>
      </c>
      <c r="G118" s="1475"/>
      <c r="H118" s="1475"/>
      <c r="I118" s="423"/>
      <c r="J118" s="423"/>
      <c r="K118" s="423"/>
      <c r="L118" s="423"/>
      <c r="N118" s="1053"/>
      <c r="O118" s="1053"/>
      <c r="P118" s="1053"/>
      <c r="Q118" s="429"/>
      <c r="R118" s="991"/>
      <c r="S118" s="8"/>
    </row>
    <row r="119" spans="1:21" s="420" customFormat="1" ht="15.75" customHeight="1">
      <c r="D119" s="421"/>
      <c r="E119" s="441"/>
      <c r="F119" s="441"/>
      <c r="G119" s="423"/>
      <c r="H119" s="423"/>
      <c r="I119" s="423"/>
      <c r="J119" s="423"/>
      <c r="K119" s="423"/>
      <c r="L119" s="423"/>
      <c r="N119" s="1053"/>
      <c r="O119" s="1053"/>
      <c r="P119" s="1053"/>
      <c r="Q119" s="1053"/>
      <c r="R119" s="1053"/>
      <c r="S119" s="1053"/>
      <c r="T119" s="1053"/>
      <c r="U119" s="1053"/>
    </row>
    <row r="120" spans="1:21" s="420" customFormat="1" ht="15.75" customHeight="1">
      <c r="A120" s="1053"/>
      <c r="B120" s="1053"/>
      <c r="D120" s="1053"/>
      <c r="E120" s="1053"/>
      <c r="F120" s="1053"/>
      <c r="G120" s="1053"/>
      <c r="H120" s="1053"/>
      <c r="I120" s="1053"/>
      <c r="J120" s="1053"/>
      <c r="K120" s="1053"/>
      <c r="L120" s="1053"/>
      <c r="N120" s="1053"/>
      <c r="O120" s="1053"/>
      <c r="P120" s="1053"/>
      <c r="Q120" s="1053"/>
      <c r="R120" s="1053"/>
      <c r="S120" s="1053"/>
      <c r="T120" s="1053"/>
      <c r="U120" s="1053"/>
    </row>
    <row r="121" spans="1:21" s="420" customFormat="1" ht="15.75" customHeight="1">
      <c r="A121" s="1053"/>
      <c r="B121" s="1053"/>
      <c r="C121" s="1053"/>
      <c r="D121" s="1053"/>
      <c r="E121" s="1053"/>
      <c r="F121" s="1053"/>
      <c r="G121" s="1053"/>
      <c r="H121" s="1053"/>
      <c r="I121" s="1053"/>
      <c r="J121" s="1053"/>
      <c r="K121" s="1053"/>
      <c r="L121" s="1053"/>
      <c r="N121" s="1053"/>
      <c r="O121" s="1053"/>
      <c r="P121" s="1053"/>
      <c r="Q121" s="1053"/>
      <c r="R121" s="1053"/>
      <c r="S121" s="1053"/>
      <c r="T121" s="1053"/>
      <c r="U121" s="1053"/>
    </row>
    <row r="122" spans="1:21" s="420" customFormat="1" ht="15.75" customHeight="1">
      <c r="A122" s="1053"/>
      <c r="B122" s="1053"/>
      <c r="C122" s="1053"/>
      <c r="D122" s="1053"/>
      <c r="E122" s="1053"/>
      <c r="F122" s="1053"/>
      <c r="G122" s="1053"/>
      <c r="H122" s="1053"/>
      <c r="I122" s="1053"/>
      <c r="J122" s="1053"/>
      <c r="K122" s="1053"/>
      <c r="L122" s="1053"/>
      <c r="N122" s="1053"/>
      <c r="O122" s="1053"/>
      <c r="P122" s="1053"/>
      <c r="Q122" s="1053"/>
      <c r="R122" s="1053"/>
      <c r="S122" s="1053"/>
      <c r="T122" s="1053"/>
      <c r="U122" s="1053"/>
    </row>
    <row r="123" spans="1:21" s="420" customFormat="1" ht="15.75" customHeight="1">
      <c r="A123" s="1053"/>
      <c r="B123" s="1053"/>
      <c r="C123" s="1053"/>
      <c r="D123" s="1053"/>
      <c r="E123" s="1053"/>
      <c r="F123" s="1053"/>
      <c r="G123" s="1053"/>
      <c r="H123" s="1053"/>
      <c r="I123" s="1053"/>
      <c r="J123" s="1053"/>
      <c r="K123" s="1053"/>
      <c r="L123" s="1053"/>
      <c r="N123" s="1053"/>
      <c r="O123" s="1053"/>
      <c r="P123" s="1053"/>
      <c r="Q123" s="1053"/>
      <c r="R123" s="1053"/>
      <c r="S123" s="1053"/>
      <c r="T123" s="1053"/>
      <c r="U123" s="1053"/>
    </row>
    <row r="124" spans="1:21" s="420" customFormat="1" ht="15.75" customHeight="1">
      <c r="A124" s="1053"/>
      <c r="B124" s="1053"/>
      <c r="C124" s="1053"/>
      <c r="D124" s="1053"/>
      <c r="E124" s="1053"/>
      <c r="F124" s="1053"/>
      <c r="G124" s="1053"/>
      <c r="H124" s="1053"/>
      <c r="I124" s="1053"/>
      <c r="J124" s="1053"/>
      <c r="K124" s="1053"/>
      <c r="L124" s="1053"/>
      <c r="N124" s="1053"/>
      <c r="O124" s="1053"/>
      <c r="P124" s="1053"/>
      <c r="Q124" s="1053"/>
      <c r="R124" s="1053"/>
      <c r="S124" s="1053"/>
      <c r="T124" s="1053"/>
      <c r="U124" s="1053"/>
    </row>
    <row r="125" spans="1:21" s="420" customFormat="1" ht="15.75" customHeight="1">
      <c r="A125" s="1053"/>
      <c r="B125" s="1053"/>
      <c r="C125" s="1053"/>
      <c r="D125" s="1053"/>
      <c r="E125" s="1053"/>
      <c r="F125" s="1053"/>
      <c r="G125" s="1053"/>
      <c r="H125" s="1053"/>
      <c r="I125" s="1053"/>
      <c r="J125" s="1053"/>
      <c r="K125" s="1053"/>
      <c r="L125" s="1053"/>
      <c r="N125" s="1053"/>
      <c r="O125" s="1053"/>
      <c r="P125" s="1053"/>
      <c r="Q125" s="1053"/>
      <c r="R125" s="1053"/>
      <c r="S125" s="1053"/>
      <c r="T125" s="1053"/>
      <c r="U125" s="1053"/>
    </row>
    <row r="126" spans="1:21" s="420" customFormat="1" ht="15.75" customHeight="1">
      <c r="A126" s="1053"/>
      <c r="B126" s="1053"/>
      <c r="C126" s="1053"/>
      <c r="D126" s="1053"/>
      <c r="E126" s="1053"/>
      <c r="F126" s="1053"/>
      <c r="G126" s="1053"/>
      <c r="H126" s="1053"/>
      <c r="I126" s="1053"/>
      <c r="J126" s="1053"/>
      <c r="K126" s="1053"/>
      <c r="L126" s="1053"/>
      <c r="N126" s="1053"/>
      <c r="O126" s="1053"/>
      <c r="P126" s="1053"/>
      <c r="Q126" s="1053"/>
      <c r="R126" s="1053"/>
      <c r="S126" s="1053"/>
      <c r="T126" s="1053"/>
      <c r="U126" s="1053"/>
    </row>
    <row r="127" spans="1:21" s="420" customFormat="1" ht="15.75" customHeight="1">
      <c r="A127" s="1053"/>
      <c r="B127" s="1053"/>
      <c r="C127" s="1053"/>
      <c r="D127" s="1053"/>
      <c r="E127" s="1053"/>
      <c r="F127" s="1053"/>
      <c r="G127" s="1053"/>
      <c r="H127" s="1053"/>
      <c r="I127" s="1053"/>
      <c r="J127" s="1053"/>
      <c r="K127" s="1053"/>
      <c r="L127" s="1053"/>
      <c r="N127" s="1053"/>
      <c r="O127" s="1053"/>
      <c r="P127" s="1053"/>
      <c r="Q127" s="1053"/>
      <c r="R127" s="1053"/>
      <c r="S127" s="1053"/>
      <c r="T127" s="1053"/>
      <c r="U127" s="1053"/>
    </row>
    <row r="128" spans="1:21" s="420" customFormat="1" ht="15.75" customHeight="1">
      <c r="A128" s="1053"/>
      <c r="B128" s="1053"/>
      <c r="C128" s="1053"/>
      <c r="D128" s="1053"/>
      <c r="E128" s="1053"/>
      <c r="F128" s="1053"/>
      <c r="G128" s="1053"/>
      <c r="H128" s="1053"/>
      <c r="I128" s="1053"/>
      <c r="J128" s="1053"/>
      <c r="K128" s="1053"/>
      <c r="L128" s="1053"/>
      <c r="N128" s="1053"/>
      <c r="O128" s="1053"/>
      <c r="P128" s="1053"/>
      <c r="Q128" s="1053"/>
      <c r="R128" s="1053"/>
      <c r="S128" s="1053"/>
      <c r="T128" s="1053"/>
      <c r="U128" s="1053"/>
    </row>
    <row r="129" spans="1:21" s="420" customFormat="1" ht="15.75" customHeight="1">
      <c r="A129" s="1053"/>
      <c r="B129" s="1053"/>
      <c r="C129" s="1053"/>
      <c r="D129" s="1053"/>
      <c r="E129" s="1053"/>
      <c r="F129" s="1053"/>
      <c r="G129" s="1053"/>
      <c r="H129" s="1053"/>
      <c r="I129" s="1053"/>
      <c r="J129" s="1053"/>
      <c r="K129" s="1053"/>
      <c r="L129" s="1053"/>
      <c r="N129" s="1053"/>
      <c r="O129" s="1053"/>
      <c r="P129" s="1053"/>
      <c r="Q129" s="1053"/>
      <c r="R129" s="1053"/>
      <c r="S129" s="1053"/>
      <c r="T129" s="1053"/>
      <c r="U129" s="1053"/>
    </row>
    <row r="130" spans="1:21" s="420" customFormat="1">
      <c r="A130" s="1053"/>
      <c r="B130" s="1053"/>
      <c r="C130" s="1053"/>
      <c r="D130" s="1053"/>
      <c r="E130" s="1053"/>
      <c r="F130" s="1053"/>
      <c r="G130" s="1053"/>
      <c r="H130" s="1053"/>
      <c r="I130" s="1053"/>
      <c r="J130" s="1053"/>
      <c r="K130" s="1053"/>
      <c r="L130" s="1053"/>
      <c r="N130" s="1053"/>
      <c r="O130" s="1053"/>
      <c r="P130" s="1053"/>
      <c r="Q130" s="1053"/>
      <c r="R130" s="1053"/>
      <c r="S130" s="1053"/>
      <c r="T130" s="1053"/>
      <c r="U130" s="1053"/>
    </row>
    <row r="131" spans="1:21" s="420" customFormat="1">
      <c r="A131" s="1053"/>
      <c r="B131" s="1053"/>
      <c r="C131" s="1053"/>
      <c r="D131" s="1053"/>
      <c r="E131" s="1053"/>
      <c r="F131" s="1053"/>
      <c r="G131" s="1053"/>
      <c r="H131" s="1053"/>
      <c r="I131" s="1053"/>
      <c r="J131" s="1053"/>
      <c r="K131" s="1053"/>
      <c r="L131" s="1053"/>
      <c r="N131" s="1053"/>
      <c r="O131" s="1053"/>
      <c r="P131" s="1053"/>
      <c r="Q131" s="1053"/>
      <c r="R131" s="1053"/>
      <c r="S131" s="1053"/>
      <c r="T131" s="1053"/>
      <c r="U131" s="1053"/>
    </row>
    <row r="132" spans="1:21" s="420" customFormat="1">
      <c r="A132" s="1053"/>
      <c r="B132" s="1053"/>
      <c r="C132" s="1053"/>
      <c r="D132" s="1053"/>
      <c r="E132" s="1053"/>
      <c r="F132" s="1053"/>
      <c r="G132" s="1053"/>
      <c r="H132" s="1053"/>
      <c r="I132" s="1053"/>
      <c r="J132" s="1053"/>
      <c r="K132" s="1053"/>
      <c r="L132" s="1053"/>
      <c r="N132" s="1053"/>
      <c r="O132" s="1053"/>
      <c r="P132" s="1053"/>
      <c r="Q132" s="1053"/>
      <c r="R132" s="1053"/>
      <c r="S132" s="1053"/>
      <c r="T132" s="1053"/>
      <c r="U132" s="1053"/>
    </row>
    <row r="133" spans="1:21" s="420" customFormat="1">
      <c r="A133" s="1053"/>
      <c r="B133" s="1053"/>
      <c r="C133" s="1053"/>
      <c r="D133" s="1053"/>
      <c r="E133" s="1053"/>
      <c r="F133" s="1053"/>
      <c r="G133" s="1053"/>
      <c r="H133" s="1053"/>
      <c r="I133" s="1053"/>
      <c r="J133" s="1053"/>
      <c r="K133" s="1053"/>
      <c r="L133" s="1053"/>
      <c r="N133" s="1053"/>
      <c r="O133" s="1053"/>
      <c r="P133" s="1053"/>
      <c r="Q133" s="1053"/>
      <c r="R133" s="1053"/>
      <c r="S133" s="1053"/>
      <c r="T133" s="1053"/>
      <c r="U133" s="1053"/>
    </row>
    <row r="134" spans="1:21" s="420" customFormat="1">
      <c r="A134" s="1053"/>
      <c r="B134" s="1053"/>
      <c r="C134" s="1053"/>
      <c r="D134" s="1053"/>
      <c r="E134" s="1053"/>
      <c r="F134" s="1053"/>
      <c r="G134" s="1053"/>
      <c r="H134" s="1053"/>
      <c r="I134" s="1053"/>
      <c r="J134" s="1053"/>
      <c r="K134" s="1053"/>
      <c r="L134" s="1053"/>
      <c r="N134" s="1053"/>
      <c r="O134" s="1053"/>
      <c r="P134" s="1053"/>
      <c r="Q134" s="1053"/>
      <c r="R134" s="1053"/>
      <c r="S134" s="1053"/>
      <c r="T134" s="1053"/>
      <c r="U134" s="1053"/>
    </row>
    <row r="135" spans="1:21" s="420" customFormat="1">
      <c r="A135" s="1053"/>
      <c r="B135" s="1053"/>
      <c r="C135" s="1053"/>
      <c r="D135" s="1053"/>
      <c r="E135" s="1053"/>
      <c r="F135" s="1053"/>
      <c r="G135" s="1053"/>
      <c r="H135" s="1053"/>
      <c r="I135" s="1053"/>
      <c r="J135" s="1053"/>
      <c r="K135" s="1053"/>
      <c r="L135" s="1053"/>
      <c r="N135" s="1053"/>
      <c r="O135" s="1053"/>
      <c r="P135" s="1053"/>
      <c r="Q135" s="1053"/>
      <c r="R135" s="1053"/>
      <c r="S135" s="1053"/>
      <c r="T135" s="1053"/>
      <c r="U135" s="1053"/>
    </row>
    <row r="136" spans="1:21" s="420" customFormat="1">
      <c r="A136" s="1053"/>
      <c r="B136" s="1053"/>
      <c r="C136" s="1053"/>
      <c r="D136" s="1053"/>
      <c r="E136" s="1053"/>
      <c r="F136" s="1053"/>
      <c r="G136" s="1053"/>
      <c r="H136" s="1053"/>
      <c r="I136" s="1053"/>
      <c r="J136" s="1053"/>
      <c r="K136" s="1053"/>
      <c r="L136" s="1053"/>
      <c r="N136" s="1053"/>
      <c r="O136" s="1053"/>
      <c r="P136" s="1053"/>
      <c r="Q136" s="1053"/>
      <c r="R136" s="1053"/>
      <c r="S136" s="1053"/>
      <c r="T136" s="1053"/>
      <c r="U136" s="1053"/>
    </row>
    <row r="137" spans="1:21" s="420" customFormat="1">
      <c r="A137" s="1053"/>
      <c r="B137" s="1053"/>
      <c r="C137" s="1053"/>
      <c r="D137" s="1053"/>
      <c r="E137" s="1053"/>
      <c r="F137" s="1053"/>
      <c r="G137" s="1053"/>
      <c r="H137" s="1053"/>
      <c r="I137" s="1053"/>
      <c r="J137" s="1053"/>
      <c r="K137" s="1053"/>
      <c r="L137" s="1053"/>
      <c r="N137" s="1053"/>
      <c r="O137" s="1053"/>
      <c r="P137" s="1053"/>
      <c r="Q137" s="1053"/>
      <c r="R137" s="1053"/>
      <c r="S137" s="1053"/>
      <c r="T137" s="1053"/>
      <c r="U137" s="1053"/>
    </row>
    <row r="138" spans="1:21" s="420" customFormat="1">
      <c r="A138" s="1053"/>
      <c r="B138" s="1053"/>
      <c r="C138" s="1053"/>
      <c r="D138" s="1053"/>
      <c r="E138" s="1053"/>
      <c r="F138" s="1053"/>
      <c r="G138" s="1053"/>
      <c r="H138" s="1053"/>
      <c r="I138" s="1053"/>
      <c r="J138" s="1053"/>
      <c r="K138" s="1053"/>
      <c r="L138" s="1053"/>
      <c r="N138" s="1053"/>
      <c r="O138" s="1053"/>
      <c r="P138" s="1053"/>
      <c r="Q138" s="1053"/>
      <c r="R138" s="1053"/>
      <c r="S138" s="1053"/>
      <c r="T138" s="1053"/>
      <c r="U138" s="1053"/>
    </row>
    <row r="139" spans="1:21" s="420" customFormat="1">
      <c r="A139" s="1053"/>
      <c r="B139" s="1053"/>
      <c r="C139" s="1053"/>
      <c r="D139" s="1053"/>
      <c r="E139" s="1053"/>
      <c r="F139" s="1053"/>
      <c r="G139" s="1053"/>
      <c r="H139" s="1053"/>
      <c r="I139" s="1053"/>
      <c r="J139" s="1053"/>
      <c r="K139" s="1053"/>
      <c r="L139" s="1053"/>
      <c r="N139" s="1053"/>
      <c r="O139" s="1053"/>
      <c r="P139" s="1053"/>
      <c r="Q139" s="1053"/>
      <c r="R139" s="1053"/>
      <c r="S139" s="1053"/>
      <c r="T139" s="1053"/>
      <c r="U139" s="1053"/>
    </row>
    <row r="140" spans="1:21" s="420" customFormat="1">
      <c r="A140" s="1053"/>
      <c r="B140" s="1053"/>
      <c r="C140" s="1053"/>
      <c r="D140" s="1053"/>
      <c r="E140" s="1053"/>
      <c r="F140" s="1053"/>
      <c r="G140" s="1053"/>
      <c r="H140" s="1053"/>
      <c r="I140" s="1053"/>
      <c r="J140" s="1053"/>
      <c r="K140" s="1053"/>
      <c r="L140" s="1053"/>
      <c r="M140" s="1053"/>
      <c r="N140" s="1053"/>
      <c r="O140" s="1053"/>
      <c r="P140" s="1053"/>
      <c r="Q140" s="1053"/>
      <c r="R140" s="1053"/>
      <c r="S140" s="1053"/>
      <c r="T140" s="1053"/>
      <c r="U140" s="1053"/>
    </row>
  </sheetData>
  <sortState ref="C23:L49">
    <sortCondition ref="C23:C49"/>
  </sortState>
  <mergeCells count="25">
    <mergeCell ref="H1:L1"/>
    <mergeCell ref="H2:L2"/>
    <mergeCell ref="H3:L3"/>
    <mergeCell ref="B4:L4"/>
    <mergeCell ref="B5:L5"/>
    <mergeCell ref="B7:B9"/>
    <mergeCell ref="C7:C9"/>
    <mergeCell ref="D7:D8"/>
    <mergeCell ref="E7:L7"/>
    <mergeCell ref="N7:N9"/>
    <mergeCell ref="E8:F8"/>
    <mergeCell ref="G8:H8"/>
    <mergeCell ref="I8:J8"/>
    <mergeCell ref="K8:L8"/>
    <mergeCell ref="C6:L6"/>
    <mergeCell ref="O7:O9"/>
    <mergeCell ref="P7:P9"/>
    <mergeCell ref="Q7:Q9"/>
    <mergeCell ref="R7:R8"/>
    <mergeCell ref="F118:H118"/>
    <mergeCell ref="F117:H117"/>
    <mergeCell ref="J117:L117"/>
    <mergeCell ref="S7:S9"/>
    <mergeCell ref="J115:L115"/>
    <mergeCell ref="J116:L116"/>
  </mergeCells>
  <dataValidations count="1">
    <dataValidation type="list" allowBlank="1" showInputMessage="1" showErrorMessage="1" sqref="Q92:Q93 C109 C111">
      <formula1>Loai3</formula1>
    </dataValidation>
  </dataValidations>
  <pageMargins left="0.43" right="0" top="0.13" bottom="0" header="0" footer="0"/>
  <pageSetup scale="75"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Q37"/>
  <sheetViews>
    <sheetView topLeftCell="A5" zoomScale="90" workbookViewId="0">
      <pane ySplit="9" topLeftCell="A14" activePane="bottomLeft" state="frozen"/>
      <selection activeCell="P41" sqref="P41"/>
      <selection pane="bottomLeft" activeCell="D28" sqref="D28"/>
    </sheetView>
  </sheetViews>
  <sheetFormatPr defaultColWidth="8.42578125" defaultRowHeight="12.75"/>
  <cols>
    <col min="1" max="1" width="4.28515625" customWidth="1"/>
    <col min="2" max="2" width="8.5703125" customWidth="1"/>
    <col min="3" max="3" width="11" customWidth="1"/>
    <col min="4" max="4" width="62.85546875" customWidth="1"/>
    <col min="5" max="5" width="8" customWidth="1"/>
    <col min="6" max="6" width="8.85546875" customWidth="1"/>
    <col min="7" max="7" width="9" customWidth="1"/>
    <col min="8" max="8" width="14.140625" customWidth="1"/>
    <col min="9" max="9" width="8.85546875" customWidth="1"/>
    <col min="10" max="10" width="14.7109375" customWidth="1"/>
    <col min="11" max="11" width="10.140625" customWidth="1"/>
    <col min="12" max="12" width="15.85546875" customWidth="1"/>
    <col min="13" max="13" width="7.140625" customWidth="1"/>
    <col min="14" max="14" width="2" customWidth="1"/>
    <col min="15" max="15" width="5.5703125" customWidth="1"/>
    <col min="16" max="16" width="4.42578125" customWidth="1"/>
    <col min="17" max="17" width="15.5703125" customWidth="1"/>
  </cols>
  <sheetData>
    <row r="1" spans="1:17" ht="15">
      <c r="A1" s="481" t="s">
        <v>440</v>
      </c>
      <c r="B1" s="482"/>
      <c r="C1" s="482"/>
      <c r="D1" s="482"/>
      <c r="E1" s="482"/>
      <c r="F1" s="482"/>
      <c r="G1" s="482"/>
      <c r="H1" s="482"/>
      <c r="I1" s="482"/>
      <c r="J1" s="482"/>
      <c r="K1" s="482"/>
      <c r="L1" s="482"/>
      <c r="M1" s="482"/>
      <c r="N1" s="482"/>
      <c r="O1" s="483"/>
      <c r="P1" s="482"/>
    </row>
    <row r="2" spans="1:17" ht="16.5" customHeight="1">
      <c r="A2" s="385"/>
      <c r="B2" s="484" t="s">
        <v>306</v>
      </c>
      <c r="C2" s="485"/>
      <c r="D2" s="486"/>
      <c r="E2" s="487"/>
      <c r="F2" s="2"/>
      <c r="G2" s="385"/>
      <c r="H2" s="385"/>
      <c r="I2" s="385"/>
      <c r="J2" s="1489" t="s">
        <v>441</v>
      </c>
      <c r="K2" s="1489"/>
      <c r="L2" s="1489"/>
      <c r="M2" s="1489"/>
      <c r="N2" s="488"/>
      <c r="O2" s="385"/>
      <c r="P2" s="385"/>
    </row>
    <row r="3" spans="1:17" ht="16.5" customHeight="1">
      <c r="A3" s="385"/>
      <c r="B3" s="484" t="s">
        <v>308</v>
      </c>
      <c r="C3" s="484"/>
      <c r="D3" s="484"/>
      <c r="E3" s="489"/>
      <c r="F3" s="484"/>
      <c r="G3" s="385"/>
      <c r="H3" s="385"/>
      <c r="I3" s="385"/>
      <c r="J3" s="1490" t="s">
        <v>50</v>
      </c>
      <c r="K3" s="1490"/>
      <c r="L3" s="1490"/>
      <c r="M3" s="1490"/>
      <c r="N3" s="490"/>
      <c r="O3" s="385"/>
      <c r="P3" s="385"/>
    </row>
    <row r="4" spans="1:17" ht="16.5" customHeight="1">
      <c r="A4" s="385"/>
      <c r="B4" s="484"/>
      <c r="C4" s="484"/>
      <c r="D4" s="484"/>
      <c r="E4" s="489"/>
      <c r="F4" s="484"/>
      <c r="G4" s="385"/>
      <c r="H4" s="385"/>
      <c r="I4" s="385"/>
      <c r="J4" s="1490"/>
      <c r="K4" s="1490"/>
      <c r="L4" s="1490"/>
      <c r="M4" s="1490"/>
      <c r="N4" s="490"/>
      <c r="O4" s="385"/>
      <c r="P4" s="385"/>
    </row>
    <row r="5" spans="1:17" ht="18.75" customHeight="1">
      <c r="A5" s="482"/>
      <c r="B5" s="1491" t="s">
        <v>442</v>
      </c>
      <c r="C5" s="1491"/>
      <c r="D5" s="1491"/>
      <c r="E5" s="1491"/>
      <c r="F5" s="1491"/>
      <c r="G5" s="1491"/>
      <c r="H5" s="1491"/>
      <c r="I5" s="1491"/>
      <c r="J5" s="1491"/>
      <c r="K5" s="1491"/>
      <c r="L5" s="1491"/>
      <c r="M5" s="1491"/>
      <c r="N5" s="491"/>
      <c r="O5" s="482"/>
      <c r="P5" s="482"/>
    </row>
    <row r="6" spans="1:17">
      <c r="A6" s="492"/>
      <c r="B6" s="1492" t="str">
        <f>"Năm: "&amp;YEAR(TH!$C$10)</f>
        <v>Năm: 2017</v>
      </c>
      <c r="C6" s="1492"/>
      <c r="D6" s="1492"/>
      <c r="E6" s="1492"/>
      <c r="F6" s="1492"/>
      <c r="G6" s="1492"/>
      <c r="H6" s="1492"/>
      <c r="I6" s="1492"/>
      <c r="J6" s="1492"/>
      <c r="K6" s="1492"/>
      <c r="L6" s="1492"/>
      <c r="M6" s="1492"/>
      <c r="N6" s="493"/>
      <c r="O6" s="492"/>
      <c r="P6" s="492"/>
    </row>
    <row r="7" spans="1:17" ht="15">
      <c r="A7" s="482"/>
      <c r="B7" s="482"/>
      <c r="C7" s="494"/>
      <c r="D7" s="494"/>
      <c r="E7" s="495"/>
      <c r="F7" s="496" t="s">
        <v>589</v>
      </c>
      <c r="G7" s="714" t="str">
        <f>IF($O$10="VL","1522",IF($O$10="NL","1521",IF($O$10="TP","155","")))</f>
        <v>1522</v>
      </c>
      <c r="H7" s="496" t="s">
        <v>443</v>
      </c>
      <c r="I7" s="494" t="str">
        <f>IF($O$10="NL","Nguyên Liệu",IF($O$10="TP","Thành Phẩm",IF($O$10="VL","Vật Liệu","")))</f>
        <v>Vật Liệu</v>
      </c>
      <c r="J7" s="494"/>
      <c r="K7" s="494"/>
      <c r="L7" s="494"/>
      <c r="M7" s="494"/>
      <c r="N7" s="495"/>
      <c r="O7" s="482"/>
      <c r="P7" s="482"/>
    </row>
    <row r="8" spans="1:17" ht="15">
      <c r="A8" s="482"/>
      <c r="B8" s="495"/>
      <c r="C8" s="494"/>
      <c r="D8" s="494"/>
      <c r="E8" s="495"/>
      <c r="F8" s="495" t="s">
        <v>444</v>
      </c>
      <c r="G8" s="482"/>
      <c r="H8" s="494"/>
      <c r="I8" s="494"/>
      <c r="J8" s="1493" t="s">
        <v>2768</v>
      </c>
      <c r="K8" s="1493"/>
      <c r="L8" s="1493"/>
      <c r="M8" s="494"/>
      <c r="N8" s="494"/>
      <c r="O8" s="482"/>
      <c r="P8" s="482"/>
    </row>
    <row r="9" spans="1:17" ht="15">
      <c r="A9" s="482"/>
      <c r="B9" s="482"/>
      <c r="C9" s="482"/>
      <c r="D9" s="497"/>
      <c r="E9" s="498"/>
      <c r="F9" s="497"/>
      <c r="G9" s="497"/>
      <c r="H9" s="497"/>
      <c r="I9" s="497"/>
      <c r="J9" s="497"/>
      <c r="K9" s="497" t="s">
        <v>147</v>
      </c>
      <c r="L9" s="482"/>
      <c r="M9" s="499"/>
      <c r="N9" s="500"/>
      <c r="O9" s="482"/>
      <c r="P9" s="482"/>
    </row>
    <row r="10" spans="1:17" ht="15.75" customHeight="1">
      <c r="A10" s="1494" t="s">
        <v>37</v>
      </c>
      <c r="B10" s="1495" t="s">
        <v>1</v>
      </c>
      <c r="C10" s="1495"/>
      <c r="D10" s="1496" t="s">
        <v>0</v>
      </c>
      <c r="E10" s="1496" t="s">
        <v>445</v>
      </c>
      <c r="F10" s="1496" t="s">
        <v>434</v>
      </c>
      <c r="G10" s="1498" t="s">
        <v>446</v>
      </c>
      <c r="H10" s="1499"/>
      <c r="I10" s="1498" t="s">
        <v>447</v>
      </c>
      <c r="J10" s="1499"/>
      <c r="K10" s="1498" t="s">
        <v>448</v>
      </c>
      <c r="L10" s="1499"/>
      <c r="M10" s="1496" t="s">
        <v>151</v>
      </c>
      <c r="N10" s="501"/>
      <c r="O10" s="502" t="s">
        <v>449</v>
      </c>
      <c r="P10" s="482"/>
    </row>
    <row r="11" spans="1:17" ht="31.5" customHeight="1">
      <c r="A11" s="1494"/>
      <c r="B11" s="503" t="s">
        <v>17</v>
      </c>
      <c r="C11" s="503" t="s">
        <v>34</v>
      </c>
      <c r="D11" s="1496"/>
      <c r="E11" s="1496"/>
      <c r="F11" s="1496"/>
      <c r="G11" s="503" t="s">
        <v>433</v>
      </c>
      <c r="H11" s="503" t="s">
        <v>435</v>
      </c>
      <c r="I11" s="503" t="s">
        <v>433</v>
      </c>
      <c r="J11" s="503" t="s">
        <v>435</v>
      </c>
      <c r="K11" s="503" t="s">
        <v>433</v>
      </c>
      <c r="L11" s="503" t="s">
        <v>435</v>
      </c>
      <c r="M11" s="1496"/>
      <c r="N11" s="501"/>
      <c r="O11" s="482"/>
      <c r="P11" s="482"/>
    </row>
    <row r="12" spans="1:17" ht="15">
      <c r="A12" s="504"/>
      <c r="B12" s="505" t="s">
        <v>2</v>
      </c>
      <c r="C12" s="506" t="s">
        <v>3</v>
      </c>
      <c r="D12" s="506" t="s">
        <v>4</v>
      </c>
      <c r="E12" s="505" t="s">
        <v>5</v>
      </c>
      <c r="F12" s="505">
        <v>1</v>
      </c>
      <c r="G12" s="505">
        <v>2</v>
      </c>
      <c r="H12" s="505" t="s">
        <v>450</v>
      </c>
      <c r="I12" s="505">
        <v>4</v>
      </c>
      <c r="J12" s="505" t="s">
        <v>451</v>
      </c>
      <c r="K12" s="505">
        <v>6</v>
      </c>
      <c r="L12" s="505" t="s">
        <v>452</v>
      </c>
      <c r="M12" s="505"/>
      <c r="N12" s="507"/>
      <c r="O12" s="495"/>
      <c r="P12" s="495"/>
    </row>
    <row r="13" spans="1:17" ht="15">
      <c r="A13" s="508"/>
      <c r="B13" s="508"/>
      <c r="C13" s="508"/>
      <c r="D13" s="509" t="s">
        <v>172</v>
      </c>
      <c r="E13" s="510"/>
      <c r="F13" s="511" t="e">
        <f>L13/K13</f>
        <v>#DIV/0!</v>
      </c>
      <c r="G13" s="511"/>
      <c r="H13" s="511"/>
      <c r="I13" s="511"/>
      <c r="J13" s="511"/>
      <c r="K13" s="512">
        <f>VLOOKUP($J$8,NXT!$C$11:$L$113,3,0)</f>
        <v>0</v>
      </c>
      <c r="L13" s="512">
        <f>VLOOKUP($J$8,NXT!$C$11:$L$113,4,0)</f>
        <v>0</v>
      </c>
      <c r="M13" s="511"/>
      <c r="N13" s="507"/>
      <c r="O13" s="482"/>
      <c r="P13" s="482"/>
    </row>
    <row r="14" spans="1:17" ht="15">
      <c r="A14" s="465" t="e">
        <f ca="1">IF(B14="","",ROW()-13)</f>
        <v>#REF!</v>
      </c>
      <c r="B14" s="513" t="e">
        <f ca="1">IF(ROWS($1:1)&gt;COUNT(Dong11),"",OFFSET(TH!D$1,SMALL(Dong11,ROWS($1:1)),))</f>
        <v>#REF!</v>
      </c>
      <c r="C14" s="514" t="e">
        <f ca="1">IF(ROWS($1:1)&gt;COUNT(Dong11),"",OFFSET(TH!E$1,SMALL(Dong11,ROWS($1:1)),))</f>
        <v>#REF!</v>
      </c>
      <c r="D14" s="515" t="e">
        <f ca="1">IF(ROWS($1:1)&gt;COUNT(Dong11),"",OFFSET(TH!F$1,SMALL(Dong11,ROWS($1:1)),)&amp;" - "&amp;OFFSET(TH!H$1,SMALL(Dong11,ROWS($1:1)),))</f>
        <v>#REF!</v>
      </c>
      <c r="E14" s="513" t="e">
        <f ca="1">IF(ROWS($1:1)&gt;COUNT(Dong11),"",IF(OFFSET(TH!N$1,SMALL(Dong11,ROWS($1:1)),)=$G$7,OFFSET(TH!O$1,SMALL(Dong11,ROWS($1:1)),),OFFSET(TH!N$1,SMALL(Dong11,ROWS($1:1)),)))</f>
        <v>#REF!</v>
      </c>
      <c r="F14" s="516" t="e">
        <f ca="1">IF(ROWS($1:1)&gt;COUNT(Dong11),0,OFFSET(TH!J$1,SMALL(Dong11,ROWS($1:1)),))</f>
        <v>#REF!</v>
      </c>
      <c r="G14" s="516" t="e">
        <f ca="1">IF(ROWS($1:1)&gt;COUNT(Dong11),0,IF(MID(OFFSET(TH!D$1,SMALL(Dong11,ROWS($1:1)),),4,1)="N",OFFSET(TH!I$1,SMALL(Dong11,ROWS($1:1)),),0))</f>
        <v>#REF!</v>
      </c>
      <c r="H14" s="517" t="e">
        <f ca="1">ROUND(F14*G14,0)</f>
        <v>#REF!</v>
      </c>
      <c r="I14" s="516" t="e">
        <f ca="1">IF(ROWS($1:1)&gt;COUNT(Dong11),0,IF(MID(OFFSET(TH!D$1,SMALL(Dong11,ROWS($1:1)),),4,1)="X",OFFSET(TH!I$1,SMALL(Dong11,ROWS($1:1)),),0))</f>
        <v>#REF!</v>
      </c>
      <c r="J14" s="517" t="e">
        <f ca="1">ROUND(F14*I14,0)</f>
        <v>#REF!</v>
      </c>
      <c r="K14" s="517" t="e">
        <f ca="1">IF(D14&lt;&gt;"",K13+G14-I14,0)</f>
        <v>#REF!</v>
      </c>
      <c r="L14" s="517" t="e">
        <f ca="1">IF(D14&lt;&gt;"",L13+H14-J14,0)</f>
        <v>#REF!</v>
      </c>
      <c r="M14" s="517"/>
      <c r="N14" s="507"/>
      <c r="O14" s="482"/>
      <c r="P14" s="482"/>
      <c r="Q14" s="1168"/>
    </row>
    <row r="15" spans="1:17" ht="15">
      <c r="A15" s="465" t="e">
        <f t="shared" ref="A15" ca="1" si="0">IF(B15="","",A14+1)</f>
        <v>#REF!</v>
      </c>
      <c r="B15" s="513" t="e">
        <f ca="1">IF(ROWS($1:2)&gt;COUNT(Dong11),"",OFFSET(TH!D$1,SMALL(Dong11,ROWS($1:2)),))</f>
        <v>#REF!</v>
      </c>
      <c r="C15" s="514" t="e">
        <f ca="1">IF(ROWS($1:2)&gt;COUNT(Dong11),"",OFFSET(TH!E$1,SMALL(Dong11,ROWS($1:2)),))</f>
        <v>#REF!</v>
      </c>
      <c r="D15" s="515" t="e">
        <f ca="1">IF(ROWS($1:2)&gt;COUNT(Dong11),"",OFFSET(TH!F$1,SMALL(Dong11,ROWS($1:2)),)&amp;" - "&amp;OFFSET(TH!H$1,SMALL(Dong11,ROWS($1:2)),))</f>
        <v>#REF!</v>
      </c>
      <c r="E15" s="513" t="e">
        <f ca="1">IF(ROWS($1:2)&gt;COUNT(Dong11),"",IF(OFFSET(TH!N$1,SMALL(Dong11,ROWS($1:2)),)=$G$7,OFFSET(TH!O$1,SMALL(Dong11,ROWS($1:2)),),OFFSET(TH!N$1,SMALL(Dong11,ROWS($1:2)),)))</f>
        <v>#REF!</v>
      </c>
      <c r="F15" s="516" t="e">
        <f ca="1">IF(ROWS($1:2)&gt;COUNT(Dong11),0,OFFSET(TH!J$1,SMALL(Dong11,ROWS($1:2)),))</f>
        <v>#REF!</v>
      </c>
      <c r="G15" s="516" t="e">
        <f ca="1">IF(ROWS($1:2)&gt;COUNT(Dong11),0,IF(MID(OFFSET(TH!D$1,SMALL(Dong11,ROWS($1:2)),),4,1)="N",OFFSET(TH!I$1,SMALL(Dong11,ROWS($1:2)),),0))</f>
        <v>#REF!</v>
      </c>
      <c r="H15" s="517" t="e">
        <f t="shared" ref="H15" ca="1" si="1">ROUND(F15*G15,0)</f>
        <v>#REF!</v>
      </c>
      <c r="I15" s="516" t="e">
        <f ca="1">IF(ROWS($1:2)&gt;COUNT(Dong11),0,IF(MID(OFFSET(TH!D$1,SMALL(Dong11,ROWS($1:2)),),4,1)="X",OFFSET(TH!I$1,SMALL(Dong11,ROWS($1:2)),),0))</f>
        <v>#REF!</v>
      </c>
      <c r="J15" s="517" t="e">
        <f t="shared" ref="J15" ca="1" si="2">ROUND(F15*I15,0)</f>
        <v>#REF!</v>
      </c>
      <c r="K15" s="517" t="e">
        <f t="shared" ref="K15" ca="1" si="3">IF(D15&lt;&gt;"",K14+G15-I15,0)</f>
        <v>#REF!</v>
      </c>
      <c r="L15" s="517" t="e">
        <f t="shared" ref="L15" ca="1" si="4">IF(D15&lt;&gt;"",L14+H15-J15,0)</f>
        <v>#REF!</v>
      </c>
      <c r="M15" s="517"/>
      <c r="N15" s="507"/>
      <c r="O15" s="482"/>
      <c r="P15" s="482"/>
    </row>
    <row r="16" spans="1:17" ht="15">
      <c r="A16" s="465" t="str">
        <f t="shared" ref="A16:A28" ca="1" si="5">IF(B16="","",A15+1)</f>
        <v/>
      </c>
      <c r="B16" s="513" t="str">
        <f ca="1">IF(ROWS($1:3)&gt;COUNT(Dong11),"",OFFSET(TH!D$1,SMALL(Dong11,ROWS($1:3)),))</f>
        <v/>
      </c>
      <c r="C16" s="514" t="str">
        <f ca="1">IF(ROWS($1:3)&gt;COUNT(Dong11),"",OFFSET(TH!E$1,SMALL(Dong11,ROWS($1:3)),))</f>
        <v/>
      </c>
      <c r="D16" s="515" t="str">
        <f ca="1">IF(ROWS($1:3)&gt;COUNT(Dong11),"",OFFSET(TH!F$1,SMALL(Dong11,ROWS($1:3)),)&amp;" - "&amp;OFFSET(TH!H$1,SMALL(Dong11,ROWS($1:3)),))</f>
        <v/>
      </c>
      <c r="E16" s="513" t="str">
        <f ca="1">IF(ROWS($1:3)&gt;COUNT(Dong11),"",IF(OFFSET(TH!N$1,SMALL(Dong11,ROWS($1:3)),)=$G$7,OFFSET(TH!O$1,SMALL(Dong11,ROWS($1:3)),),OFFSET(TH!N$1,SMALL(Dong11,ROWS($1:3)),)))</f>
        <v/>
      </c>
      <c r="F16" s="516">
        <f ca="1">IF(ROWS($1:3)&gt;COUNT(Dong11),0,OFFSET(TH!J$1,SMALL(Dong11,ROWS($1:3)),))</f>
        <v>0</v>
      </c>
      <c r="G16" s="516">
        <f ca="1">IF(ROWS($1:3)&gt;COUNT(Dong11),0,IF(MID(OFFSET(TH!D$1,SMALL(Dong11,ROWS($1:3)),),4,1)="N",OFFSET(TH!I$1,SMALL(Dong11,ROWS($1:3)),),0))</f>
        <v>0</v>
      </c>
      <c r="H16" s="517">
        <f t="shared" ref="H16:H28" ca="1" si="6">ROUND(F16*G16,0)</f>
        <v>0</v>
      </c>
      <c r="I16" s="516">
        <f ca="1">IF(ROWS($1:3)&gt;COUNT(Dong11),0,IF(MID(OFFSET(TH!D$1,SMALL(Dong11,ROWS($1:3)),),4,1)="X",OFFSET(TH!I$1,SMALL(Dong11,ROWS($1:3)),),0))</f>
        <v>0</v>
      </c>
      <c r="J16" s="517">
        <f t="shared" ref="J16:J28" ca="1" si="7">ROUND(F16*I16,0)</f>
        <v>0</v>
      </c>
      <c r="K16" s="517">
        <f t="shared" ref="K16:K28" ca="1" si="8">IF(D16&lt;&gt;"",K15+G16-I16,0)</f>
        <v>0</v>
      </c>
      <c r="L16" s="517">
        <f t="shared" ref="L16:L28" ca="1" si="9">IF(D16&lt;&gt;"",L15+H16-J16,0)</f>
        <v>0</v>
      </c>
      <c r="M16" s="517"/>
      <c r="N16" s="507"/>
      <c r="O16" s="482"/>
      <c r="P16" s="482"/>
    </row>
    <row r="17" spans="1:17" ht="15">
      <c r="A17" s="465" t="str">
        <f t="shared" ca="1" si="5"/>
        <v/>
      </c>
      <c r="B17" s="513" t="str">
        <f ca="1">IF(ROWS($1:4)&gt;COUNT(Dong11),"",OFFSET(TH!D$1,SMALL(Dong11,ROWS($1:4)),))</f>
        <v/>
      </c>
      <c r="C17" s="514" t="str">
        <f ca="1">IF(ROWS($1:4)&gt;COUNT(Dong11),"",OFFSET(TH!E$1,SMALL(Dong11,ROWS($1:4)),))</f>
        <v/>
      </c>
      <c r="D17" s="515" t="str">
        <f ca="1">IF(ROWS($1:4)&gt;COUNT(Dong11),"",OFFSET(TH!F$1,SMALL(Dong11,ROWS($1:4)),)&amp;" - "&amp;OFFSET(TH!H$1,SMALL(Dong11,ROWS($1:4)),))</f>
        <v/>
      </c>
      <c r="E17" s="513" t="str">
        <f ca="1">IF(ROWS($1:4)&gt;COUNT(Dong11),"",IF(OFFSET(TH!N$1,SMALL(Dong11,ROWS($1:4)),)=$G$7,OFFSET(TH!O$1,SMALL(Dong11,ROWS($1:4)),),OFFSET(TH!N$1,SMALL(Dong11,ROWS($1:4)),)))</f>
        <v/>
      </c>
      <c r="F17" s="516">
        <f ca="1">IF(ROWS($1:4)&gt;COUNT(Dong11),0,OFFSET(TH!J$1,SMALL(Dong11,ROWS($1:4)),))</f>
        <v>0</v>
      </c>
      <c r="G17" s="516">
        <f ca="1">IF(ROWS($1:4)&gt;COUNT(Dong11),0,IF(MID(OFFSET(TH!D$1,SMALL(Dong11,ROWS($1:4)),),4,1)="N",OFFSET(TH!I$1,SMALL(Dong11,ROWS($1:4)),),0))</f>
        <v>0</v>
      </c>
      <c r="H17" s="517">
        <f t="shared" ca="1" si="6"/>
        <v>0</v>
      </c>
      <c r="I17" s="516">
        <f ca="1">IF(ROWS($1:4)&gt;COUNT(Dong11),0,IF(MID(OFFSET(TH!D$1,SMALL(Dong11,ROWS($1:4)),),4,1)="X",OFFSET(TH!I$1,SMALL(Dong11,ROWS($1:4)),),0))</f>
        <v>0</v>
      </c>
      <c r="J17" s="517">
        <f t="shared" ca="1" si="7"/>
        <v>0</v>
      </c>
      <c r="K17" s="517">
        <f t="shared" ca="1" si="8"/>
        <v>0</v>
      </c>
      <c r="L17" s="517">
        <f t="shared" ca="1" si="9"/>
        <v>0</v>
      </c>
      <c r="M17" s="517"/>
      <c r="N17" s="507"/>
      <c r="O17" s="482"/>
      <c r="P17" s="518"/>
      <c r="Q17" s="1290"/>
    </row>
    <row r="18" spans="1:17" ht="15">
      <c r="A18" s="465" t="str">
        <f t="shared" ca="1" si="5"/>
        <v/>
      </c>
      <c r="B18" s="513" t="str">
        <f ca="1">IF(ROWS($1:5)&gt;COUNT(Dong11),"",OFFSET(TH!D$1,SMALL(Dong11,ROWS($1:5)),))</f>
        <v/>
      </c>
      <c r="C18" s="514" t="str">
        <f ca="1">IF(ROWS($1:5)&gt;COUNT(Dong11),"",OFFSET(TH!E$1,SMALL(Dong11,ROWS($1:5)),))</f>
        <v/>
      </c>
      <c r="D18" s="515" t="str">
        <f ca="1">IF(ROWS($1:5)&gt;COUNT(Dong11),"",OFFSET(TH!F$1,SMALL(Dong11,ROWS($1:5)),)&amp;" - "&amp;OFFSET(TH!H$1,SMALL(Dong11,ROWS($1:5)),))</f>
        <v/>
      </c>
      <c r="E18" s="513" t="str">
        <f ca="1">IF(ROWS($1:5)&gt;COUNT(Dong11),"",IF(OFFSET(TH!N$1,SMALL(Dong11,ROWS($1:5)),)=$G$7,OFFSET(TH!O$1,SMALL(Dong11,ROWS($1:5)),),OFFSET(TH!N$1,SMALL(Dong11,ROWS($1:5)),)))</f>
        <v/>
      </c>
      <c r="F18" s="516">
        <f ca="1">IF(ROWS($1:5)&gt;COUNT(Dong11),0,OFFSET(TH!J$1,SMALL(Dong11,ROWS($1:5)),))</f>
        <v>0</v>
      </c>
      <c r="G18" s="516">
        <f ca="1">IF(ROWS($1:5)&gt;COUNT(Dong11),0,IF(MID(OFFSET(TH!D$1,SMALL(Dong11,ROWS($1:5)),),4,1)="N",OFFSET(TH!I$1,SMALL(Dong11,ROWS($1:5)),),0))</f>
        <v>0</v>
      </c>
      <c r="H18" s="517">
        <f t="shared" ca="1" si="6"/>
        <v>0</v>
      </c>
      <c r="I18" s="516">
        <f ca="1">IF(ROWS($1:5)&gt;COUNT(Dong11),0,IF(MID(OFFSET(TH!D$1,SMALL(Dong11,ROWS($1:5)),),4,1)="X",OFFSET(TH!I$1,SMALL(Dong11,ROWS($1:5)),),0))</f>
        <v>0</v>
      </c>
      <c r="J18" s="517">
        <f t="shared" ca="1" si="7"/>
        <v>0</v>
      </c>
      <c r="K18" s="517">
        <f t="shared" ca="1" si="8"/>
        <v>0</v>
      </c>
      <c r="L18" s="517">
        <f t="shared" ca="1" si="9"/>
        <v>0</v>
      </c>
      <c r="M18" s="517"/>
      <c r="N18" s="507"/>
      <c r="O18" s="482"/>
      <c r="P18" s="482"/>
    </row>
    <row r="19" spans="1:17" ht="15">
      <c r="A19" s="465" t="str">
        <f t="shared" ca="1" si="5"/>
        <v/>
      </c>
      <c r="B19" s="513" t="str">
        <f ca="1">IF(ROWS($1:6)&gt;COUNT(Dong11),"",OFFSET(TH!D$1,SMALL(Dong11,ROWS($1:6)),))</f>
        <v/>
      </c>
      <c r="C19" s="514" t="str">
        <f ca="1">IF(ROWS($1:6)&gt;COUNT(Dong11),"",OFFSET(TH!E$1,SMALL(Dong11,ROWS($1:6)),))</f>
        <v/>
      </c>
      <c r="D19" s="515" t="str">
        <f ca="1">IF(ROWS($1:6)&gt;COUNT(Dong11),"",OFFSET(TH!F$1,SMALL(Dong11,ROWS($1:6)),)&amp;" - "&amp;OFFSET(TH!H$1,SMALL(Dong11,ROWS($1:6)),))</f>
        <v/>
      </c>
      <c r="E19" s="513" t="str">
        <f ca="1">IF(ROWS($1:6)&gt;COUNT(Dong11),"",IF(OFFSET(TH!N$1,SMALL(Dong11,ROWS($1:6)),)=$G$7,OFFSET(TH!O$1,SMALL(Dong11,ROWS($1:6)),),OFFSET(TH!N$1,SMALL(Dong11,ROWS($1:6)),)))</f>
        <v/>
      </c>
      <c r="F19" s="516">
        <f ca="1">IF(ROWS($1:6)&gt;COUNT(Dong11),0,OFFSET(TH!J$1,SMALL(Dong11,ROWS($1:6)),))</f>
        <v>0</v>
      </c>
      <c r="G19" s="516">
        <f ca="1">IF(ROWS($1:6)&gt;COUNT(Dong11),0,IF(MID(OFFSET(TH!D$1,SMALL(Dong11,ROWS($1:6)),),4,1)="N",OFFSET(TH!I$1,SMALL(Dong11,ROWS($1:6)),),0))</f>
        <v>0</v>
      </c>
      <c r="H19" s="517">
        <f t="shared" ca="1" si="6"/>
        <v>0</v>
      </c>
      <c r="I19" s="516">
        <f ca="1">IF(ROWS($1:6)&gt;COUNT(Dong11),0,IF(MID(OFFSET(TH!D$1,SMALL(Dong11,ROWS($1:6)),),4,1)="X",OFFSET(TH!I$1,SMALL(Dong11,ROWS($1:6)),),0))</f>
        <v>0</v>
      </c>
      <c r="J19" s="517">
        <f t="shared" ca="1" si="7"/>
        <v>0</v>
      </c>
      <c r="K19" s="517">
        <f t="shared" ca="1" si="8"/>
        <v>0</v>
      </c>
      <c r="L19" s="517">
        <f t="shared" ca="1" si="9"/>
        <v>0</v>
      </c>
      <c r="M19" s="517"/>
      <c r="N19" s="507"/>
      <c r="O19" s="482"/>
      <c r="P19" s="482"/>
    </row>
    <row r="20" spans="1:17" ht="15">
      <c r="A20" s="465" t="str">
        <f t="shared" ca="1" si="5"/>
        <v/>
      </c>
      <c r="B20" s="513" t="str">
        <f ca="1">IF(ROWS($1:7)&gt;COUNT(Dong11),"",OFFSET(TH!D$1,SMALL(Dong11,ROWS($1:7)),))</f>
        <v/>
      </c>
      <c r="C20" s="514" t="str">
        <f ca="1">IF(ROWS($1:7)&gt;COUNT(Dong11),"",OFFSET(TH!E$1,SMALL(Dong11,ROWS($1:7)),))</f>
        <v/>
      </c>
      <c r="D20" s="515" t="str">
        <f ca="1">IF(ROWS($1:7)&gt;COUNT(Dong11),"",OFFSET(TH!F$1,SMALL(Dong11,ROWS($1:7)),)&amp;" - "&amp;OFFSET(TH!H$1,SMALL(Dong11,ROWS($1:7)),))</f>
        <v/>
      </c>
      <c r="E20" s="513" t="str">
        <f ca="1">IF(ROWS($1:7)&gt;COUNT(Dong11),"",IF(OFFSET(TH!N$1,SMALL(Dong11,ROWS($1:7)),)=$G$7,OFFSET(TH!O$1,SMALL(Dong11,ROWS($1:7)),),OFFSET(TH!N$1,SMALL(Dong11,ROWS($1:7)),)))</f>
        <v/>
      </c>
      <c r="F20" s="516">
        <f ca="1">IF(ROWS($1:7)&gt;COUNT(Dong11),0,OFFSET(TH!J$1,SMALL(Dong11,ROWS($1:7)),))</f>
        <v>0</v>
      </c>
      <c r="G20" s="516">
        <f ca="1">IF(ROWS($1:7)&gt;COUNT(Dong11),0,IF(MID(OFFSET(TH!D$1,SMALL(Dong11,ROWS($1:7)),),4,1)="N",OFFSET(TH!I$1,SMALL(Dong11,ROWS($1:7)),),0))</f>
        <v>0</v>
      </c>
      <c r="H20" s="517">
        <f t="shared" ca="1" si="6"/>
        <v>0</v>
      </c>
      <c r="I20" s="516">
        <f ca="1">IF(ROWS($1:7)&gt;COUNT(Dong11),0,IF(MID(OFFSET(TH!D$1,SMALL(Dong11,ROWS($1:7)),),4,1)="X",OFFSET(TH!I$1,SMALL(Dong11,ROWS($1:7)),),0))</f>
        <v>0</v>
      </c>
      <c r="J20" s="517">
        <f t="shared" ca="1" si="7"/>
        <v>0</v>
      </c>
      <c r="K20" s="517">
        <f t="shared" ca="1" si="8"/>
        <v>0</v>
      </c>
      <c r="L20" s="517">
        <f t="shared" ca="1" si="9"/>
        <v>0</v>
      </c>
      <c r="M20" s="517"/>
      <c r="N20" s="507"/>
      <c r="O20" s="482"/>
      <c r="P20" s="482"/>
      <c r="Q20" s="1168"/>
    </row>
    <row r="21" spans="1:17" ht="15">
      <c r="A21" s="465" t="str">
        <f t="shared" ca="1" si="5"/>
        <v/>
      </c>
      <c r="B21" s="513" t="str">
        <f ca="1">IF(ROWS($1:8)&gt;COUNT(Dong11),"",OFFSET(TH!D$1,SMALL(Dong11,ROWS($1:8)),))</f>
        <v/>
      </c>
      <c r="C21" s="514" t="str">
        <f ca="1">IF(ROWS($1:8)&gt;COUNT(Dong11),"",OFFSET(TH!E$1,SMALL(Dong11,ROWS($1:8)),))</f>
        <v/>
      </c>
      <c r="D21" s="515" t="str">
        <f ca="1">IF(ROWS($1:8)&gt;COUNT(Dong11),"",OFFSET(TH!F$1,SMALL(Dong11,ROWS($1:8)),)&amp;" - "&amp;OFFSET(TH!H$1,SMALL(Dong11,ROWS($1:8)),))</f>
        <v/>
      </c>
      <c r="E21" s="513" t="str">
        <f ca="1">IF(ROWS($1:8)&gt;COUNT(Dong11),"",IF(OFFSET(TH!N$1,SMALL(Dong11,ROWS($1:8)),)=$G$7,OFFSET(TH!O$1,SMALL(Dong11,ROWS($1:8)),),OFFSET(TH!N$1,SMALL(Dong11,ROWS($1:8)),)))</f>
        <v/>
      </c>
      <c r="F21" s="516">
        <f ca="1">IF(ROWS($1:8)&gt;COUNT(Dong11),0,OFFSET(TH!J$1,SMALL(Dong11,ROWS($1:8)),))</f>
        <v>0</v>
      </c>
      <c r="G21" s="516">
        <f ca="1">IF(ROWS($1:8)&gt;COUNT(Dong11),0,IF(MID(OFFSET(TH!D$1,SMALL(Dong11,ROWS($1:8)),),4,1)="N",OFFSET(TH!I$1,SMALL(Dong11,ROWS($1:8)),),0))</f>
        <v>0</v>
      </c>
      <c r="H21" s="517">
        <f t="shared" ca="1" si="6"/>
        <v>0</v>
      </c>
      <c r="I21" s="516">
        <f ca="1">IF(ROWS($1:8)&gt;COUNT(Dong11),0,IF(MID(OFFSET(TH!D$1,SMALL(Dong11,ROWS($1:8)),),4,1)="X",OFFSET(TH!I$1,SMALL(Dong11,ROWS($1:8)),),0))</f>
        <v>0</v>
      </c>
      <c r="J21" s="517">
        <f t="shared" ca="1" si="7"/>
        <v>0</v>
      </c>
      <c r="K21" s="517">
        <f t="shared" ca="1" si="8"/>
        <v>0</v>
      </c>
      <c r="L21" s="517">
        <f t="shared" ca="1" si="9"/>
        <v>0</v>
      </c>
      <c r="M21" s="517"/>
      <c r="N21" s="507"/>
      <c r="O21" s="482"/>
      <c r="P21" s="482"/>
    </row>
    <row r="22" spans="1:17" ht="15">
      <c r="A22" s="465" t="str">
        <f t="shared" ca="1" si="5"/>
        <v/>
      </c>
      <c r="B22" s="513" t="str">
        <f ca="1">IF(ROWS($1:9)&gt;COUNT(Dong11),"",OFFSET(TH!D$1,SMALL(Dong11,ROWS($1:9)),))</f>
        <v/>
      </c>
      <c r="C22" s="514" t="str">
        <f ca="1">IF(ROWS($1:9)&gt;COUNT(Dong11),"",OFFSET(TH!E$1,SMALL(Dong11,ROWS($1:9)),))</f>
        <v/>
      </c>
      <c r="D22" s="515" t="str">
        <f ca="1">IF(ROWS($1:9)&gt;COUNT(Dong11),"",OFFSET(TH!F$1,SMALL(Dong11,ROWS($1:9)),)&amp;" - "&amp;OFFSET(TH!H$1,SMALL(Dong11,ROWS($1:9)),))</f>
        <v/>
      </c>
      <c r="E22" s="513" t="str">
        <f ca="1">IF(ROWS($1:9)&gt;COUNT(Dong11),"",IF(OFFSET(TH!N$1,SMALL(Dong11,ROWS($1:9)),)=$G$7,OFFSET(TH!O$1,SMALL(Dong11,ROWS($1:9)),),OFFSET(TH!N$1,SMALL(Dong11,ROWS($1:9)),)))</f>
        <v/>
      </c>
      <c r="F22" s="516">
        <f ca="1">IF(ROWS($1:9)&gt;COUNT(Dong11),0,OFFSET(TH!J$1,SMALL(Dong11,ROWS($1:9)),))</f>
        <v>0</v>
      </c>
      <c r="G22" s="516">
        <f ca="1">IF(ROWS($1:9)&gt;COUNT(Dong11),0,IF(MID(OFFSET(TH!D$1,SMALL(Dong11,ROWS($1:9)),),4,1)="N",OFFSET(TH!I$1,SMALL(Dong11,ROWS($1:9)),),0))</f>
        <v>0</v>
      </c>
      <c r="H22" s="517">
        <f t="shared" ca="1" si="6"/>
        <v>0</v>
      </c>
      <c r="I22" s="516">
        <f ca="1">IF(ROWS($1:9)&gt;COUNT(Dong11),0,IF(MID(OFFSET(TH!D$1,SMALL(Dong11,ROWS($1:9)),),4,1)="X",OFFSET(TH!I$1,SMALL(Dong11,ROWS($1:9)),),0))</f>
        <v>0</v>
      </c>
      <c r="J22" s="517">
        <f t="shared" ca="1" si="7"/>
        <v>0</v>
      </c>
      <c r="K22" s="517">
        <f t="shared" ca="1" si="8"/>
        <v>0</v>
      </c>
      <c r="L22" s="517">
        <f t="shared" ca="1" si="9"/>
        <v>0</v>
      </c>
      <c r="M22" s="517"/>
      <c r="N22" s="507"/>
      <c r="O22" s="482"/>
      <c r="P22" s="482"/>
    </row>
    <row r="23" spans="1:17" ht="15">
      <c r="A23" s="465" t="str">
        <f t="shared" ca="1" si="5"/>
        <v/>
      </c>
      <c r="B23" s="513" t="str">
        <f ca="1">IF(ROWS($1:10)&gt;COUNT(Dong11),"",OFFSET(TH!D$1,SMALL(Dong11,ROWS($1:10)),))</f>
        <v/>
      </c>
      <c r="C23" s="514" t="str">
        <f ca="1">IF(ROWS($1:10)&gt;COUNT(Dong11),"",OFFSET(TH!E$1,SMALL(Dong11,ROWS($1:10)),))</f>
        <v/>
      </c>
      <c r="D23" s="515" t="str">
        <f ca="1">IF(ROWS($1:10)&gt;COUNT(Dong11),"",OFFSET(TH!F$1,SMALL(Dong11,ROWS($1:10)),)&amp;" - "&amp;OFFSET(TH!H$1,SMALL(Dong11,ROWS($1:10)),))</f>
        <v/>
      </c>
      <c r="E23" s="513" t="str">
        <f ca="1">IF(ROWS($1:10)&gt;COUNT(Dong11),"",IF(OFFSET(TH!N$1,SMALL(Dong11,ROWS($1:10)),)=$G$7,OFFSET(TH!O$1,SMALL(Dong11,ROWS($1:10)),),OFFSET(TH!N$1,SMALL(Dong11,ROWS($1:10)),)))</f>
        <v/>
      </c>
      <c r="F23" s="516">
        <f ca="1">IF(ROWS($1:10)&gt;COUNT(Dong11),0,OFFSET(TH!J$1,SMALL(Dong11,ROWS($1:10)),))</f>
        <v>0</v>
      </c>
      <c r="G23" s="516">
        <f ca="1">IF(ROWS($1:10)&gt;COUNT(Dong11),0,IF(MID(OFFSET(TH!D$1,SMALL(Dong11,ROWS($1:10)),),4,1)="N",OFFSET(TH!I$1,SMALL(Dong11,ROWS($1:10)),),0))</f>
        <v>0</v>
      </c>
      <c r="H23" s="517">
        <f t="shared" ca="1" si="6"/>
        <v>0</v>
      </c>
      <c r="I23" s="516">
        <f ca="1">IF(ROWS($1:10)&gt;COUNT(Dong11),0,IF(MID(OFFSET(TH!D$1,SMALL(Dong11,ROWS($1:10)),),4,1)="X",OFFSET(TH!I$1,SMALL(Dong11,ROWS($1:10)),),0))</f>
        <v>0</v>
      </c>
      <c r="J23" s="517">
        <f t="shared" ca="1" si="7"/>
        <v>0</v>
      </c>
      <c r="K23" s="517">
        <f t="shared" ca="1" si="8"/>
        <v>0</v>
      </c>
      <c r="L23" s="517">
        <f t="shared" ca="1" si="9"/>
        <v>0</v>
      </c>
      <c r="M23" s="517"/>
      <c r="N23" s="507"/>
      <c r="O23" s="482"/>
      <c r="P23" s="482"/>
    </row>
    <row r="24" spans="1:17" ht="15">
      <c r="A24" s="465" t="str">
        <f t="shared" ca="1" si="5"/>
        <v/>
      </c>
      <c r="B24" s="513" t="str">
        <f ca="1">IF(ROWS($1:11)&gt;COUNT(Dong11),"",OFFSET(TH!D$1,SMALL(Dong11,ROWS($1:11)),))</f>
        <v/>
      </c>
      <c r="C24" s="514" t="str">
        <f ca="1">IF(ROWS($1:11)&gt;COUNT(Dong11),"",OFFSET(TH!E$1,SMALL(Dong11,ROWS($1:11)),))</f>
        <v/>
      </c>
      <c r="D24" s="515" t="str">
        <f ca="1">IF(ROWS($1:11)&gt;COUNT(Dong11),"",OFFSET(TH!F$1,SMALL(Dong11,ROWS($1:11)),)&amp;" - "&amp;OFFSET(TH!H$1,SMALL(Dong11,ROWS($1:11)),))</f>
        <v/>
      </c>
      <c r="E24" s="513" t="str">
        <f ca="1">IF(ROWS($1:11)&gt;COUNT(Dong11),"",IF(OFFSET(TH!N$1,SMALL(Dong11,ROWS($1:11)),)=$G$7,OFFSET(TH!O$1,SMALL(Dong11,ROWS($1:11)),),OFFSET(TH!N$1,SMALL(Dong11,ROWS($1:11)),)))</f>
        <v/>
      </c>
      <c r="F24" s="516">
        <f ca="1">IF(ROWS($1:11)&gt;COUNT(Dong11),0,OFFSET(TH!J$1,SMALL(Dong11,ROWS($1:11)),))</f>
        <v>0</v>
      </c>
      <c r="G24" s="516">
        <f ca="1">IF(ROWS($1:11)&gt;COUNT(Dong11),0,IF(MID(OFFSET(TH!D$1,SMALL(Dong11,ROWS($1:11)),),4,1)="N",OFFSET(TH!I$1,SMALL(Dong11,ROWS($1:11)),),0))</f>
        <v>0</v>
      </c>
      <c r="H24" s="517">
        <f t="shared" ca="1" si="6"/>
        <v>0</v>
      </c>
      <c r="I24" s="516">
        <f ca="1">IF(ROWS($1:11)&gt;COUNT(Dong11),0,IF(MID(OFFSET(TH!D$1,SMALL(Dong11,ROWS($1:11)),),4,1)="X",OFFSET(TH!I$1,SMALL(Dong11,ROWS($1:11)),),0))</f>
        <v>0</v>
      </c>
      <c r="J24" s="517">
        <f t="shared" ca="1" si="7"/>
        <v>0</v>
      </c>
      <c r="K24" s="517">
        <f t="shared" ca="1" si="8"/>
        <v>0</v>
      </c>
      <c r="L24" s="517">
        <f t="shared" ca="1" si="9"/>
        <v>0</v>
      </c>
      <c r="M24" s="517"/>
      <c r="N24" s="507"/>
      <c r="O24" s="482"/>
      <c r="P24" s="482"/>
    </row>
    <row r="25" spans="1:17" ht="15">
      <c r="A25" s="465" t="str">
        <f t="shared" ca="1" si="5"/>
        <v/>
      </c>
      <c r="B25" s="513" t="str">
        <f ca="1">IF(ROWS($1:12)&gt;COUNT(Dong11),"",OFFSET(TH!D$1,SMALL(Dong11,ROWS($1:12)),))</f>
        <v/>
      </c>
      <c r="C25" s="514" t="str">
        <f ca="1">IF(ROWS($1:12)&gt;COUNT(Dong11),"",OFFSET(TH!E$1,SMALL(Dong11,ROWS($1:12)),))</f>
        <v/>
      </c>
      <c r="D25" s="515" t="str">
        <f ca="1">IF(ROWS($1:12)&gt;COUNT(Dong11),"",OFFSET(TH!F$1,SMALL(Dong11,ROWS($1:12)),)&amp;" - "&amp;OFFSET(TH!H$1,SMALL(Dong11,ROWS($1:12)),))</f>
        <v/>
      </c>
      <c r="E25" s="513" t="str">
        <f ca="1">IF(ROWS($1:12)&gt;COUNT(Dong11),"",IF(OFFSET(TH!N$1,SMALL(Dong11,ROWS($1:12)),)=$G$7,OFFSET(TH!O$1,SMALL(Dong11,ROWS($1:12)),),OFFSET(TH!N$1,SMALL(Dong11,ROWS($1:12)),)))</f>
        <v/>
      </c>
      <c r="F25" s="516">
        <f ca="1">IF(ROWS($1:12)&gt;COUNT(Dong11),0,OFFSET(TH!J$1,SMALL(Dong11,ROWS($1:12)),))</f>
        <v>0</v>
      </c>
      <c r="G25" s="516">
        <f ca="1">IF(ROWS($1:12)&gt;COUNT(Dong11),0,IF(MID(OFFSET(TH!D$1,SMALL(Dong11,ROWS($1:12)),),4,1)="N",OFFSET(TH!I$1,SMALL(Dong11,ROWS($1:12)),),0))</f>
        <v>0</v>
      </c>
      <c r="H25" s="517">
        <f t="shared" ca="1" si="6"/>
        <v>0</v>
      </c>
      <c r="I25" s="516">
        <f ca="1">IF(ROWS($1:12)&gt;COUNT(Dong11),0,IF(MID(OFFSET(TH!D$1,SMALL(Dong11,ROWS($1:12)),),4,1)="X",OFFSET(TH!I$1,SMALL(Dong11,ROWS($1:12)),),0))</f>
        <v>0</v>
      </c>
      <c r="J25" s="517">
        <f t="shared" ca="1" si="7"/>
        <v>0</v>
      </c>
      <c r="K25" s="517">
        <f t="shared" ca="1" si="8"/>
        <v>0</v>
      </c>
      <c r="L25" s="517">
        <f t="shared" ca="1" si="9"/>
        <v>0</v>
      </c>
      <c r="M25" s="517"/>
      <c r="N25" s="507"/>
      <c r="O25" s="482"/>
      <c r="P25" s="482"/>
    </row>
    <row r="26" spans="1:17" ht="15">
      <c r="A26" s="465" t="str">
        <f t="shared" ca="1" si="5"/>
        <v/>
      </c>
      <c r="B26" s="513" t="str">
        <f ca="1">IF(ROWS($1:13)&gt;COUNT(Dong11),"",OFFSET(TH!D$1,SMALL(Dong11,ROWS($1:13)),))</f>
        <v/>
      </c>
      <c r="C26" s="514" t="str">
        <f ca="1">IF(ROWS($1:13)&gt;COUNT(Dong11),"",OFFSET(TH!E$1,SMALL(Dong11,ROWS($1:13)),))</f>
        <v/>
      </c>
      <c r="D26" s="515" t="str">
        <f ca="1">IF(ROWS($1:13)&gt;COUNT(Dong11),"",OFFSET(TH!F$1,SMALL(Dong11,ROWS($1:13)),)&amp;" - "&amp;OFFSET(TH!H$1,SMALL(Dong11,ROWS($1:13)),))</f>
        <v/>
      </c>
      <c r="E26" s="513" t="str">
        <f ca="1">IF(ROWS($1:13)&gt;COUNT(Dong11),"",IF(OFFSET(TH!N$1,SMALL(Dong11,ROWS($1:13)),)=$G$7,OFFSET(TH!O$1,SMALL(Dong11,ROWS($1:13)),),OFFSET(TH!N$1,SMALL(Dong11,ROWS($1:13)),)))</f>
        <v/>
      </c>
      <c r="F26" s="516">
        <f ca="1">IF(ROWS($1:13)&gt;COUNT(Dong11),0,OFFSET(TH!J$1,SMALL(Dong11,ROWS($1:13)),))</f>
        <v>0</v>
      </c>
      <c r="G26" s="516">
        <f ca="1">IF(ROWS($1:13)&gt;COUNT(Dong11),0,IF(MID(OFFSET(TH!D$1,SMALL(Dong11,ROWS($1:13)),),4,1)="N",OFFSET(TH!I$1,SMALL(Dong11,ROWS($1:13)),),0))</f>
        <v>0</v>
      </c>
      <c r="H26" s="517">
        <f t="shared" ca="1" si="6"/>
        <v>0</v>
      </c>
      <c r="I26" s="516">
        <f ca="1">IF(ROWS($1:13)&gt;COUNT(Dong11),0,IF(MID(OFFSET(TH!D$1,SMALL(Dong11,ROWS($1:13)),),4,1)="X",OFFSET(TH!I$1,SMALL(Dong11,ROWS($1:13)),),0))</f>
        <v>0</v>
      </c>
      <c r="J26" s="517">
        <f t="shared" ca="1" si="7"/>
        <v>0</v>
      </c>
      <c r="K26" s="517">
        <f t="shared" ca="1" si="8"/>
        <v>0</v>
      </c>
      <c r="L26" s="517">
        <f t="shared" ca="1" si="9"/>
        <v>0</v>
      </c>
      <c r="M26" s="517"/>
      <c r="N26" s="507"/>
      <c r="O26" s="482"/>
      <c r="P26" s="482"/>
    </row>
    <row r="27" spans="1:17" ht="15">
      <c r="A27" s="465" t="str">
        <f t="shared" ca="1" si="5"/>
        <v/>
      </c>
      <c r="B27" s="513" t="str">
        <f ca="1">IF(ROWS($1:14)&gt;COUNT(Dong11),"",OFFSET(TH!D$1,SMALL(Dong11,ROWS($1:14)),))</f>
        <v/>
      </c>
      <c r="C27" s="514" t="str">
        <f ca="1">IF(ROWS($1:14)&gt;COUNT(Dong11),"",OFFSET(TH!E$1,SMALL(Dong11,ROWS($1:14)),))</f>
        <v/>
      </c>
      <c r="D27" s="515" t="str">
        <f ca="1">IF(ROWS($1:14)&gt;COUNT(Dong11),"",OFFSET(TH!F$1,SMALL(Dong11,ROWS($1:14)),)&amp;" - "&amp;OFFSET(TH!H$1,SMALL(Dong11,ROWS($1:14)),))</f>
        <v/>
      </c>
      <c r="E27" s="513" t="str">
        <f ca="1">IF(ROWS($1:14)&gt;COUNT(Dong11),"",IF(OFFSET(TH!N$1,SMALL(Dong11,ROWS($1:14)),)=$G$7,OFFSET(TH!O$1,SMALL(Dong11,ROWS($1:14)),),OFFSET(TH!N$1,SMALL(Dong11,ROWS($1:14)),)))</f>
        <v/>
      </c>
      <c r="F27" s="516">
        <f ca="1">IF(ROWS($1:14)&gt;COUNT(Dong11),0,OFFSET(TH!J$1,SMALL(Dong11,ROWS($1:14)),))</f>
        <v>0</v>
      </c>
      <c r="G27" s="516">
        <f ca="1">IF(ROWS($1:14)&gt;COUNT(Dong11),0,IF(MID(OFFSET(TH!D$1,SMALL(Dong11,ROWS($1:14)),),4,1)="N",OFFSET(TH!I$1,SMALL(Dong11,ROWS($1:14)),),0))</f>
        <v>0</v>
      </c>
      <c r="H27" s="517">
        <f t="shared" ca="1" si="6"/>
        <v>0</v>
      </c>
      <c r="I27" s="516">
        <f ca="1">IF(ROWS($1:14)&gt;COUNT(Dong11),0,IF(MID(OFFSET(TH!D$1,SMALL(Dong11,ROWS($1:14)),),4,1)="X",OFFSET(TH!I$1,SMALL(Dong11,ROWS($1:14)),),0))</f>
        <v>0</v>
      </c>
      <c r="J27" s="517">
        <f t="shared" ca="1" si="7"/>
        <v>0</v>
      </c>
      <c r="K27" s="517">
        <f t="shared" ca="1" si="8"/>
        <v>0</v>
      </c>
      <c r="L27" s="517">
        <f t="shared" ca="1" si="9"/>
        <v>0</v>
      </c>
      <c r="M27" s="517"/>
      <c r="N27" s="507"/>
      <c r="O27" s="482"/>
      <c r="P27" s="482"/>
    </row>
    <row r="28" spans="1:17" ht="15">
      <c r="A28" s="465" t="str">
        <f t="shared" ca="1" si="5"/>
        <v/>
      </c>
      <c r="B28" s="513" t="str">
        <f ca="1">IF(ROWS($1:15)&gt;COUNT(Dong11),"",OFFSET(TH!D$1,SMALL(Dong11,ROWS($1:15)),))</f>
        <v/>
      </c>
      <c r="C28" s="514" t="str">
        <f ca="1">IF(ROWS($1:15)&gt;COUNT(Dong11),"",OFFSET(TH!E$1,SMALL(Dong11,ROWS($1:15)),))</f>
        <v/>
      </c>
      <c r="D28" s="515" t="str">
        <f ca="1">IF(ROWS($1:15)&gt;COUNT(Dong11),"",OFFSET(TH!F$1,SMALL(Dong11,ROWS($1:15)),)&amp;" - "&amp;OFFSET(TH!H$1,SMALL(Dong11,ROWS($1:15)),))</f>
        <v/>
      </c>
      <c r="E28" s="513" t="str">
        <f ca="1">IF(ROWS($1:15)&gt;COUNT(Dong11),"",IF(OFFSET(TH!N$1,SMALL(Dong11,ROWS($1:15)),)=$G$7,OFFSET(TH!O$1,SMALL(Dong11,ROWS($1:15)),),OFFSET(TH!N$1,SMALL(Dong11,ROWS($1:15)),)))</f>
        <v/>
      </c>
      <c r="F28" s="516">
        <f ca="1">IF(ROWS($1:15)&gt;COUNT(Dong11),0,OFFSET(TH!J$1,SMALL(Dong11,ROWS($1:15)),))</f>
        <v>0</v>
      </c>
      <c r="G28" s="516">
        <f ca="1">IF(ROWS($1:15)&gt;COUNT(Dong11),0,IF(MID(OFFSET(TH!D$1,SMALL(Dong11,ROWS($1:15)),),4,1)="N",OFFSET(TH!I$1,SMALL(Dong11,ROWS($1:15)),),0))</f>
        <v>0</v>
      </c>
      <c r="H28" s="517">
        <f t="shared" ca="1" si="6"/>
        <v>0</v>
      </c>
      <c r="I28" s="516">
        <f ca="1">IF(ROWS($1:15)&gt;COUNT(Dong11),0,IF(MID(OFFSET(TH!D$1,SMALL(Dong11,ROWS($1:15)),),4,1)="X",OFFSET(TH!I$1,SMALL(Dong11,ROWS($1:15)),),0))</f>
        <v>0</v>
      </c>
      <c r="J28" s="517">
        <f t="shared" ca="1" si="7"/>
        <v>0</v>
      </c>
      <c r="K28" s="517">
        <f t="shared" ca="1" si="8"/>
        <v>0</v>
      </c>
      <c r="L28" s="517">
        <f t="shared" ca="1" si="9"/>
        <v>0</v>
      </c>
      <c r="M28" s="517"/>
      <c r="N28" s="507"/>
      <c r="O28" s="482"/>
      <c r="P28" s="482"/>
    </row>
    <row r="29" spans="1:17" ht="15">
      <c r="A29" s="465" t="str">
        <f t="shared" ref="A29:A30" ca="1" si="10">IF(B29="","",A28+1)</f>
        <v/>
      </c>
      <c r="B29" s="513" t="str">
        <f ca="1">IF(ROWS($1:16)&gt;COUNT(Dong11),"",OFFSET(TH!D$1,SMALL(Dong11,ROWS($1:16)),))</f>
        <v/>
      </c>
      <c r="C29" s="514" t="str">
        <f ca="1">IF(ROWS($1:16)&gt;COUNT(Dong11),"",OFFSET(TH!E$1,SMALL(Dong11,ROWS($1:16)),))</f>
        <v/>
      </c>
      <c r="D29" s="515" t="str">
        <f ca="1">IF(ROWS($1:16)&gt;COUNT(Dong11),"",OFFSET(TH!F$1,SMALL(Dong11,ROWS($1:16)),)&amp;" - "&amp;OFFSET(TH!H$1,SMALL(Dong11,ROWS($1:16)),))</f>
        <v/>
      </c>
      <c r="E29" s="513" t="str">
        <f ca="1">IF(ROWS($1:16)&gt;COUNT(Dong11),"",IF(OFFSET(TH!N$1,SMALL(Dong11,ROWS($1:16)),)=$G$7,OFFSET(TH!O$1,SMALL(Dong11,ROWS($1:16)),),OFFSET(TH!N$1,SMALL(Dong11,ROWS($1:16)),)))</f>
        <v/>
      </c>
      <c r="F29" s="516">
        <f ca="1">IF(ROWS($1:16)&gt;COUNT(Dong11),0,OFFSET(TH!J$1,SMALL(Dong11,ROWS($1:16)),))</f>
        <v>0</v>
      </c>
      <c r="G29" s="516">
        <f ca="1">IF(ROWS($1:16)&gt;COUNT(Dong11),0,IF(MID(OFFSET(TH!D$1,SMALL(Dong11,ROWS($1:16)),),4,1)="N",OFFSET(TH!I$1,SMALL(Dong11,ROWS($1:16)),),0))</f>
        <v>0</v>
      </c>
      <c r="H29" s="517">
        <f t="shared" ref="H29:H30" ca="1" si="11">ROUND(F29*G29,0)</f>
        <v>0</v>
      </c>
      <c r="I29" s="516">
        <f ca="1">IF(ROWS($1:16)&gt;COUNT(Dong11),0,IF(MID(OFFSET(TH!D$1,SMALL(Dong11,ROWS($1:16)),),4,1)="X",OFFSET(TH!I$1,SMALL(Dong11,ROWS($1:16)),),0))</f>
        <v>0</v>
      </c>
      <c r="J29" s="517">
        <f t="shared" ref="J29:J30" ca="1" si="12">ROUND(F29*I29,0)</f>
        <v>0</v>
      </c>
      <c r="K29" s="517">
        <f t="shared" ref="K29:K30" ca="1" si="13">IF(D29&lt;&gt;"",K28+G29-I29,0)</f>
        <v>0</v>
      </c>
      <c r="L29" s="517">
        <f t="shared" ref="L29:L30" ca="1" si="14">IF(D29&lt;&gt;"",L28+H29-J29,0)</f>
        <v>0</v>
      </c>
      <c r="M29" s="517"/>
      <c r="N29" s="507"/>
      <c r="O29" s="482"/>
      <c r="P29" s="482"/>
    </row>
    <row r="30" spans="1:17" ht="15">
      <c r="A30" s="465" t="str">
        <f t="shared" ca="1" si="10"/>
        <v/>
      </c>
      <c r="B30" s="513" t="str">
        <f ca="1">IF(ROWS($1:17)&gt;COUNT(Dong11),"",OFFSET(TH!D$1,SMALL(Dong11,ROWS($1:17)),))</f>
        <v/>
      </c>
      <c r="C30" s="514" t="str">
        <f ca="1">IF(ROWS($1:17)&gt;COUNT(Dong11),"",OFFSET(TH!E$1,SMALL(Dong11,ROWS($1:17)),))</f>
        <v/>
      </c>
      <c r="D30" s="515" t="str">
        <f ca="1">IF(ROWS($1:17)&gt;COUNT(Dong11),"",OFFSET(TH!F$1,SMALL(Dong11,ROWS($1:17)),)&amp;" - "&amp;OFFSET(TH!H$1,SMALL(Dong11,ROWS($1:17)),))</f>
        <v/>
      </c>
      <c r="E30" s="513" t="str">
        <f ca="1">IF(ROWS($1:17)&gt;COUNT(Dong11),"",IF(OFFSET(TH!N$1,SMALL(Dong11,ROWS($1:17)),)=$G$7,OFFSET(TH!O$1,SMALL(Dong11,ROWS($1:17)),),OFFSET(TH!N$1,SMALL(Dong11,ROWS($1:17)),)))</f>
        <v/>
      </c>
      <c r="F30" s="516">
        <f ca="1">IF(ROWS($1:17)&gt;COUNT(Dong11),0,OFFSET(TH!J$1,SMALL(Dong11,ROWS($1:17)),))</f>
        <v>0</v>
      </c>
      <c r="G30" s="516">
        <f ca="1">IF(ROWS($1:17)&gt;COUNT(Dong11),0,IF(MID(OFFSET(TH!D$1,SMALL(Dong11,ROWS($1:17)),),4,1)="N",OFFSET(TH!I$1,SMALL(Dong11,ROWS($1:17)),),0))</f>
        <v>0</v>
      </c>
      <c r="H30" s="517">
        <f t="shared" ca="1" si="11"/>
        <v>0</v>
      </c>
      <c r="I30" s="516">
        <f ca="1">IF(ROWS($1:17)&gt;COUNT(Dong11),0,IF(MID(OFFSET(TH!D$1,SMALL(Dong11,ROWS($1:17)),),4,1)="X",OFFSET(TH!I$1,SMALL(Dong11,ROWS($1:17)),),0))</f>
        <v>0</v>
      </c>
      <c r="J30" s="517">
        <f t="shared" ca="1" si="12"/>
        <v>0</v>
      </c>
      <c r="K30" s="517">
        <f t="shared" ca="1" si="13"/>
        <v>0</v>
      </c>
      <c r="L30" s="517">
        <f t="shared" ca="1" si="14"/>
        <v>0</v>
      </c>
      <c r="M30" s="517"/>
      <c r="N30" s="507"/>
      <c r="O30" s="482"/>
      <c r="P30" s="482"/>
    </row>
    <row r="31" spans="1:17" ht="15">
      <c r="A31" s="465"/>
      <c r="B31" s="513"/>
      <c r="C31" s="514"/>
      <c r="D31" s="515"/>
      <c r="E31" s="513"/>
      <c r="F31" s="516"/>
      <c r="G31" s="516"/>
      <c r="H31" s="517"/>
      <c r="I31" s="516"/>
      <c r="J31" s="517"/>
      <c r="K31" s="517"/>
      <c r="L31" s="517"/>
      <c r="M31" s="517"/>
      <c r="N31" s="507"/>
      <c r="O31" s="482"/>
      <c r="P31" s="482"/>
    </row>
    <row r="32" spans="1:17" ht="15">
      <c r="A32" s="519"/>
      <c r="B32" s="519"/>
      <c r="C32" s="519"/>
      <c r="D32" s="519" t="s">
        <v>453</v>
      </c>
      <c r="E32" s="1181" t="s">
        <v>21</v>
      </c>
      <c r="F32" s="1181" t="s">
        <v>21</v>
      </c>
      <c r="G32" s="520" t="e">
        <f ca="1">SUM(G14:G31)</f>
        <v>#REF!</v>
      </c>
      <c r="H32" s="520" t="e">
        <f ca="1">SUM(H14:H31)</f>
        <v>#REF!</v>
      </c>
      <c r="I32" s="520" t="e">
        <f ca="1">SUM(I14:I31)</f>
        <v>#REF!</v>
      </c>
      <c r="J32" s="520" t="e">
        <f ca="1">SUM(J14:J31)</f>
        <v>#REF!</v>
      </c>
      <c r="K32" s="520" t="e">
        <f ca="1">K13+G32-I32</f>
        <v>#REF!</v>
      </c>
      <c r="L32" s="520" t="e">
        <f ca="1">L13+H32-J32</f>
        <v>#REF!</v>
      </c>
      <c r="M32" s="519"/>
      <c r="N32" s="507"/>
      <c r="O32" s="482"/>
      <c r="P32" s="482"/>
    </row>
    <row r="33" spans="1:16" ht="15">
      <c r="A33" s="482"/>
      <c r="B33" s="521" t="s">
        <v>454</v>
      </c>
      <c r="C33" s="482"/>
      <c r="D33" s="482"/>
      <c r="E33" s="495"/>
      <c r="F33" s="482"/>
      <c r="G33" s="518"/>
      <c r="H33" s="482"/>
      <c r="I33" s="482"/>
      <c r="J33" s="482"/>
      <c r="K33" s="482"/>
      <c r="L33" s="482"/>
      <c r="M33" s="482"/>
      <c r="N33" s="507"/>
      <c r="O33" s="482"/>
      <c r="P33" s="482"/>
    </row>
    <row r="34" spans="1:16" ht="15">
      <c r="A34" s="482"/>
      <c r="B34" s="522" t="str">
        <f ca="1">IF(ISERROR(" - Ngày mở sổ: ngày "&amp;DAY(C14)&amp;" tháng "&amp;MONTH(C14)&amp;" năm "&amp;YEAR(C14))," - Ngày mở sổ: ngày 01 tháng  01 năm 2016 "," - Ngày mở sổ: ngày "&amp;DAY(C14)&amp;" tháng "&amp;MONTH(C14)&amp;" năm "&amp;YEAR(C14))</f>
        <v xml:space="preserve"> - Ngày mở sổ: ngày 01 tháng  01 năm 2016 </v>
      </c>
      <c r="C34" s="482"/>
      <c r="D34" s="482"/>
      <c r="E34" s="495"/>
      <c r="F34" s="482"/>
      <c r="G34" s="518"/>
      <c r="H34" s="482"/>
      <c r="I34" s="518"/>
      <c r="J34" s="482"/>
      <c r="K34" s="482"/>
      <c r="L34" s="482"/>
      <c r="M34" s="482"/>
      <c r="N34" s="507"/>
      <c r="O34" s="482"/>
      <c r="P34" s="482"/>
    </row>
    <row r="35" spans="1:16" ht="15">
      <c r="A35" s="482"/>
      <c r="B35" s="494"/>
      <c r="C35" s="494"/>
      <c r="D35" s="494"/>
      <c r="E35" s="495"/>
      <c r="F35" s="494"/>
      <c r="G35" s="523"/>
      <c r="H35" s="495"/>
      <c r="I35" s="524"/>
      <c r="J35" s="1497" t="s">
        <v>428</v>
      </c>
      <c r="K35" s="1497"/>
      <c r="L35" s="1497"/>
      <c r="M35" s="1497"/>
      <c r="N35" s="507"/>
      <c r="O35" s="482"/>
      <c r="P35" s="482"/>
    </row>
    <row r="36" spans="1:16" ht="15">
      <c r="A36" s="482"/>
      <c r="B36" s="482"/>
      <c r="C36" s="494"/>
      <c r="D36" s="831" t="s">
        <v>11</v>
      </c>
      <c r="E36" s="1497" t="s">
        <v>12</v>
      </c>
      <c r="F36" s="1497"/>
      <c r="G36" s="1497"/>
      <c r="H36" s="1497"/>
      <c r="I36" s="1497"/>
      <c r="J36" s="1497" t="s">
        <v>130</v>
      </c>
      <c r="K36" s="1497"/>
      <c r="L36" s="1497"/>
      <c r="M36" s="1497"/>
      <c r="N36" s="507"/>
      <c r="O36" s="482"/>
      <c r="P36" s="482"/>
    </row>
    <row r="37" spans="1:16" ht="15">
      <c r="A37" s="482"/>
      <c r="B37" s="482"/>
      <c r="C37" s="494"/>
      <c r="D37" s="831" t="s">
        <v>13</v>
      </c>
      <c r="E37" s="1497" t="s">
        <v>13</v>
      </c>
      <c r="F37" s="1497"/>
      <c r="G37" s="1497"/>
      <c r="H37" s="1497" t="s">
        <v>160</v>
      </c>
      <c r="I37" s="1497"/>
      <c r="J37" s="1497" t="s">
        <v>160</v>
      </c>
      <c r="K37" s="1497"/>
      <c r="L37" s="1497"/>
      <c r="M37" s="1497"/>
      <c r="N37" s="507"/>
      <c r="O37" s="482"/>
      <c r="P37" s="482"/>
    </row>
  </sheetData>
  <autoFilter ref="A12:Q37"/>
  <mergeCells count="19">
    <mergeCell ref="E37:I37"/>
    <mergeCell ref="J37:M37"/>
    <mergeCell ref="G10:H10"/>
    <mergeCell ref="I10:J10"/>
    <mergeCell ref="K10:L10"/>
    <mergeCell ref="M10:M11"/>
    <mergeCell ref="J35:M35"/>
    <mergeCell ref="E36:I36"/>
    <mergeCell ref="J36:M36"/>
    <mergeCell ref="A10:A11"/>
    <mergeCell ref="B10:C10"/>
    <mergeCell ref="D10:D11"/>
    <mergeCell ref="E10:E11"/>
    <mergeCell ref="F10:F11"/>
    <mergeCell ref="J2:M2"/>
    <mergeCell ref="J3:M4"/>
    <mergeCell ref="B5:M5"/>
    <mergeCell ref="B6:M6"/>
    <mergeCell ref="J8:L8"/>
  </mergeCells>
  <conditionalFormatting sqref="B14:G31 I14:M31">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100"/>
  <sheetViews>
    <sheetView showZeros="0" workbookViewId="0">
      <pane ySplit="4" topLeftCell="A8" activePane="bottomLeft" state="frozen"/>
      <selection activeCell="P41" sqref="P41"/>
      <selection pane="bottomLeft" activeCell="A82" sqref="A82:XFD82"/>
    </sheetView>
  </sheetViews>
  <sheetFormatPr defaultColWidth="8" defaultRowHeight="13.5"/>
  <cols>
    <col min="1" max="1" width="4.28515625" style="208" customWidth="1"/>
    <col min="2" max="2" width="20.42578125" style="208" customWidth="1"/>
    <col min="3" max="3" width="8.7109375" style="208" customWidth="1"/>
    <col min="4" max="4" width="8.7109375" style="208" hidden="1" customWidth="1"/>
    <col min="5" max="5" width="6.28515625" style="208" customWidth="1"/>
    <col min="6" max="6" width="6.5703125" style="208" customWidth="1"/>
    <col min="7" max="7" width="10.85546875" style="890" customWidth="1"/>
    <col min="8" max="8" width="13.7109375" style="208" customWidth="1"/>
    <col min="9" max="9" width="10.85546875" style="890" customWidth="1"/>
    <col min="10" max="10" width="14.5703125" style="208" customWidth="1"/>
    <col min="11" max="11" width="10.85546875" style="890" customWidth="1"/>
    <col min="12" max="12" width="13.7109375" style="208" customWidth="1"/>
    <col min="13" max="13" width="10.85546875" style="208" customWidth="1"/>
    <col min="14" max="14" width="15.28515625" style="208" customWidth="1"/>
    <col min="15" max="15" width="10.85546875" style="890" customWidth="1"/>
    <col min="16" max="16" width="14" style="208" customWidth="1"/>
    <col min="17" max="16384" width="8" style="208"/>
  </cols>
  <sheetData>
    <row r="1" spans="1:16" ht="21.75" customHeight="1">
      <c r="A1" s="1439" t="s">
        <v>1009</v>
      </c>
      <c r="B1" s="1439"/>
      <c r="C1" s="1439"/>
      <c r="D1" s="1439"/>
      <c r="E1" s="1439"/>
      <c r="F1" s="1439"/>
      <c r="G1" s="1439"/>
      <c r="H1" s="1439"/>
      <c r="I1" s="1439"/>
      <c r="J1" s="1439"/>
      <c r="K1" s="1439"/>
      <c r="L1" s="1439"/>
      <c r="M1" s="1439"/>
      <c r="N1" s="1439"/>
      <c r="O1" s="1439"/>
      <c r="P1" s="1439"/>
    </row>
    <row r="2" spans="1:16" s="10" customFormat="1" ht="15.75" customHeight="1">
      <c r="A2" s="1442" t="s">
        <v>37</v>
      </c>
      <c r="B2" s="1444" t="s">
        <v>174</v>
      </c>
      <c r="C2" s="1444" t="s">
        <v>175</v>
      </c>
      <c r="D2" s="1444" t="s">
        <v>177</v>
      </c>
      <c r="E2" s="1500" t="s">
        <v>39</v>
      </c>
      <c r="F2" s="1500"/>
      <c r="G2" s="1500"/>
      <c r="H2" s="1500"/>
      <c r="I2" s="1500" t="s">
        <v>40</v>
      </c>
      <c r="J2" s="1500"/>
      <c r="K2" s="1500"/>
      <c r="L2" s="1500"/>
      <c r="M2" s="1440" t="s">
        <v>44</v>
      </c>
      <c r="N2" s="1501"/>
      <c r="O2" s="1501"/>
      <c r="P2" s="1441"/>
    </row>
    <row r="3" spans="1:16" s="10" customFormat="1" ht="15.75" customHeight="1">
      <c r="A3" s="1443"/>
      <c r="B3" s="1445"/>
      <c r="C3" s="1445"/>
      <c r="D3" s="1445"/>
      <c r="E3" s="1500" t="s">
        <v>45</v>
      </c>
      <c r="F3" s="1500"/>
      <c r="G3" s="1500" t="s">
        <v>46</v>
      </c>
      <c r="H3" s="1500"/>
      <c r="I3" s="1500" t="s">
        <v>45</v>
      </c>
      <c r="J3" s="1500"/>
      <c r="K3" s="1500" t="s">
        <v>46</v>
      </c>
      <c r="L3" s="1500"/>
      <c r="M3" s="1500" t="s">
        <v>45</v>
      </c>
      <c r="N3" s="1500"/>
      <c r="O3" s="1500" t="s">
        <v>46</v>
      </c>
      <c r="P3" s="1500"/>
    </row>
    <row r="4" spans="1:16" s="10" customFormat="1" ht="15.75" customHeight="1">
      <c r="A4" s="1443"/>
      <c r="B4" s="1445"/>
      <c r="C4" s="1445"/>
      <c r="D4" s="1445"/>
      <c r="E4" s="307" t="s">
        <v>224</v>
      </c>
      <c r="F4" s="307" t="s">
        <v>225</v>
      </c>
      <c r="G4" s="889" t="s">
        <v>224</v>
      </c>
      <c r="H4" s="307" t="s">
        <v>225</v>
      </c>
      <c r="I4" s="889" t="s">
        <v>224</v>
      </c>
      <c r="J4" s="307" t="s">
        <v>225</v>
      </c>
      <c r="K4" s="889" t="s">
        <v>224</v>
      </c>
      <c r="L4" s="307" t="s">
        <v>225</v>
      </c>
      <c r="M4" s="307" t="s">
        <v>224</v>
      </c>
      <c r="N4" s="307" t="s">
        <v>225</v>
      </c>
      <c r="O4" s="889" t="s">
        <v>224</v>
      </c>
      <c r="P4" s="307" t="s">
        <v>225</v>
      </c>
    </row>
    <row r="5" spans="1:16" s="10" customFormat="1" ht="18" customHeight="1">
      <c r="A5" s="675">
        <f t="shared" ref="A5:A22" si="0">IF(B5&lt;&gt;"",ROW()-4,"")</f>
        <v>1</v>
      </c>
      <c r="B5" s="1085" t="s">
        <v>757</v>
      </c>
      <c r="C5" s="1136">
        <v>42552</v>
      </c>
      <c r="D5" s="1136">
        <v>0</v>
      </c>
      <c r="E5" s="1097">
        <v>0</v>
      </c>
      <c r="F5" s="1097">
        <v>0</v>
      </c>
      <c r="G5" s="1137">
        <v>43000</v>
      </c>
      <c r="H5" s="1097">
        <v>959330000</v>
      </c>
      <c r="I5" s="1138">
        <f t="array" ref="I5">SUM(IF("341"&amp;B5=LEFT(KHN,3)&amp;KH,_TH))</f>
        <v>43000</v>
      </c>
      <c r="J5" s="1097">
        <f t="array" ref="J5">SUM(IF("341"&amp;B5=LEFT(KHN,3)&amp;KH,TH))</f>
        <v>978250000</v>
      </c>
      <c r="K5" s="1137">
        <f t="array" ref="K5">SUM(IF("341"&amp;B5=LEFT(KHC,3)&amp;KH,_TH))</f>
        <v>0</v>
      </c>
      <c r="L5" s="1097">
        <f t="array" ref="L5">SUM(IF("341"&amp;B5=LEFT(KHC,3)&amp;KH,TH))</f>
        <v>18920000</v>
      </c>
      <c r="M5" s="1139">
        <f t="shared" ref="M5:N10" si="1">ROUND(MAX(E5+I5-G5-K5,0),2)</f>
        <v>0</v>
      </c>
      <c r="N5" s="1139">
        <f t="shared" si="1"/>
        <v>0</v>
      </c>
      <c r="O5" s="1098">
        <f t="shared" ref="O5:P10" si="2">ROUND(MAX(G5+K5-E5-I5,0),2)</f>
        <v>0</v>
      </c>
      <c r="P5" s="1139">
        <f t="shared" si="2"/>
        <v>0</v>
      </c>
    </row>
    <row r="6" spans="1:16" s="10" customFormat="1" ht="18" customHeight="1">
      <c r="A6" s="675">
        <f t="shared" si="0"/>
        <v>2</v>
      </c>
      <c r="B6" s="1085" t="s">
        <v>758</v>
      </c>
      <c r="C6" s="1136">
        <v>42586</v>
      </c>
      <c r="D6" s="1136">
        <v>0</v>
      </c>
      <c r="E6" s="1097">
        <v>0</v>
      </c>
      <c r="F6" s="1097">
        <v>0</v>
      </c>
      <c r="G6" s="1137">
        <v>52300</v>
      </c>
      <c r="H6" s="1097">
        <v>1166028500</v>
      </c>
      <c r="I6" s="1138">
        <f t="array" ref="I6">SUM(IF("341"&amp;B6=LEFT(KHN,3)&amp;KH,_TH))</f>
        <v>52300</v>
      </c>
      <c r="J6" s="1097">
        <f t="array" ref="J6">SUM(IF("341"&amp;B6=LEFT(KHN,3)&amp;KH,TH))</f>
        <v>1190871000</v>
      </c>
      <c r="K6" s="1137">
        <f t="array" ref="K6">SUM(IF("341"&amp;B6=LEFT(KHC,3)&amp;KH,_TH))</f>
        <v>0</v>
      </c>
      <c r="L6" s="1097">
        <f t="array" ref="L6">SUM(IF("341"&amp;B6=LEFT(KHC,3)&amp;KH,TH))</f>
        <v>24842500</v>
      </c>
      <c r="M6" s="1139">
        <f t="shared" si="1"/>
        <v>0</v>
      </c>
      <c r="N6" s="1139">
        <f t="shared" si="1"/>
        <v>0</v>
      </c>
      <c r="O6" s="1098">
        <f t="shared" si="2"/>
        <v>0</v>
      </c>
      <c r="P6" s="1139">
        <f t="shared" si="2"/>
        <v>0</v>
      </c>
    </row>
    <row r="7" spans="1:16" s="10" customFormat="1" ht="18" customHeight="1">
      <c r="A7" s="675">
        <f t="shared" si="0"/>
        <v>3</v>
      </c>
      <c r="B7" s="1085" t="s">
        <v>806</v>
      </c>
      <c r="C7" s="1136">
        <v>42710</v>
      </c>
      <c r="D7" s="1136">
        <v>0</v>
      </c>
      <c r="E7" s="1097">
        <v>0</v>
      </c>
      <c r="F7" s="1097">
        <v>0</v>
      </c>
      <c r="G7" s="1137">
        <v>93000</v>
      </c>
      <c r="H7" s="1097">
        <v>2113425000</v>
      </c>
      <c r="I7" s="1138">
        <f t="array" ref="I7">SUM(IF("341"&amp;B7=LEFT(KHN,3)&amp;KH,_TH))</f>
        <v>93000</v>
      </c>
      <c r="J7" s="1097">
        <f t="array" ref="J7">SUM(IF("341"&amp;B7=LEFT(KHN,3)&amp;KH,TH))</f>
        <v>2113890000</v>
      </c>
      <c r="K7" s="1137">
        <f t="array" ref="K7">SUM(IF("341"&amp;B7=LEFT(KHC,3)&amp;KH,_TH))</f>
        <v>0</v>
      </c>
      <c r="L7" s="1097">
        <f t="array" ref="L7">SUM(IF("341"&amp;B7=LEFT(KHC,3)&amp;KH,TH))</f>
        <v>465000</v>
      </c>
      <c r="M7" s="1139">
        <f t="shared" si="1"/>
        <v>0</v>
      </c>
      <c r="N7" s="1139">
        <f t="shared" si="1"/>
        <v>0</v>
      </c>
      <c r="O7" s="1098">
        <f t="shared" si="2"/>
        <v>0</v>
      </c>
      <c r="P7" s="1139">
        <f t="shared" si="2"/>
        <v>0</v>
      </c>
    </row>
    <row r="8" spans="1:16" s="10" customFormat="1" ht="18" customHeight="1">
      <c r="A8" s="675">
        <f t="shared" si="0"/>
        <v>4</v>
      </c>
      <c r="B8" s="1085" t="s">
        <v>807</v>
      </c>
      <c r="C8" s="1136">
        <v>42718</v>
      </c>
      <c r="D8" s="1136">
        <v>0</v>
      </c>
      <c r="E8" s="1097">
        <v>0</v>
      </c>
      <c r="F8" s="1097">
        <v>0</v>
      </c>
      <c r="G8" s="1137">
        <v>70500</v>
      </c>
      <c r="H8" s="1097">
        <v>1600702500</v>
      </c>
      <c r="I8" s="1138">
        <f t="array" ref="I8">SUM(IF("341"&amp;B8=LEFT(KHN,3)&amp;KH,_TH))</f>
        <v>70500</v>
      </c>
      <c r="J8" s="1097">
        <f t="array" ref="J8">SUM(IF("341"&amp;B8=LEFT(KHN,3)&amp;KH,TH))</f>
        <v>1602465000</v>
      </c>
      <c r="K8" s="1137">
        <f t="array" ref="K8">SUM(IF("341"&amp;B8=LEFT(KHC,3)&amp;KH,_TH))</f>
        <v>0</v>
      </c>
      <c r="L8" s="1097">
        <f t="array" ref="L8">SUM(IF("341"&amp;B8=LEFT(KHC,3)&amp;KH,TH))</f>
        <v>1762500</v>
      </c>
      <c r="M8" s="1139">
        <f t="shared" si="1"/>
        <v>0</v>
      </c>
      <c r="N8" s="1139">
        <f t="shared" si="1"/>
        <v>0</v>
      </c>
      <c r="O8" s="1098">
        <f t="shared" si="2"/>
        <v>0</v>
      </c>
      <c r="P8" s="1139">
        <f t="shared" si="2"/>
        <v>0</v>
      </c>
    </row>
    <row r="9" spans="1:16" s="10" customFormat="1" ht="18" customHeight="1">
      <c r="A9" s="675">
        <f t="shared" si="0"/>
        <v>5</v>
      </c>
      <c r="B9" s="946" t="s">
        <v>927</v>
      </c>
      <c r="C9" s="1136">
        <v>42742</v>
      </c>
      <c r="D9" s="1136">
        <v>0</v>
      </c>
      <c r="E9" s="1097">
        <v>0</v>
      </c>
      <c r="F9" s="1097"/>
      <c r="G9" s="1137"/>
      <c r="H9" s="1097"/>
      <c r="I9" s="1138">
        <f t="array" ref="I9">SUM(IF("341"&amp;B9=LEFT(KHN,3)&amp;KH,_TH))</f>
        <v>43000</v>
      </c>
      <c r="J9" s="1097">
        <f t="array" ref="J9">SUM(IF("341"&amp;B9=LEFT(KHN,3)&amp;KH,TH))</f>
        <v>977390000</v>
      </c>
      <c r="K9" s="1137">
        <f t="array" ref="K9">SUM(IF("341"&amp;B9=LEFT(KHC,3)&amp;KH,_TH))</f>
        <v>43000</v>
      </c>
      <c r="L9" s="1097">
        <f t="array" ref="L9">SUM(IF("341"&amp;B9=LEFT(KHC,3)&amp;KH,TH))</f>
        <v>977390000</v>
      </c>
      <c r="M9" s="1139">
        <f t="shared" si="1"/>
        <v>0</v>
      </c>
      <c r="N9" s="1139">
        <f t="shared" si="1"/>
        <v>0</v>
      </c>
      <c r="O9" s="1098">
        <f t="shared" si="2"/>
        <v>0</v>
      </c>
      <c r="P9" s="1139">
        <f t="shared" si="2"/>
        <v>0</v>
      </c>
    </row>
    <row r="10" spans="1:16" s="10" customFormat="1" ht="18" customHeight="1">
      <c r="A10" s="675">
        <f t="shared" si="0"/>
        <v>6</v>
      </c>
      <c r="B10" s="946" t="s">
        <v>1095</v>
      </c>
      <c r="C10" s="951">
        <v>42775</v>
      </c>
      <c r="D10" s="1136"/>
      <c r="E10" s="1097"/>
      <c r="F10" s="1097"/>
      <c r="G10" s="1137"/>
      <c r="H10" s="1097"/>
      <c r="I10" s="1138">
        <f t="array" ref="I10">SUM(IF("341"&amp;B10=LEFT(KHN,3)&amp;KH,_TH))</f>
        <v>52300</v>
      </c>
      <c r="J10" s="1097">
        <f t="array" ref="J10">SUM(IF("341"&amp;B10=LEFT(KHN,3)&amp;KH,TH))</f>
        <v>1188779000</v>
      </c>
      <c r="K10" s="1137">
        <f t="array" ref="K10">SUM(IF("341"&amp;B10=LEFT(KHC,3)&amp;KH,_TH))</f>
        <v>52300</v>
      </c>
      <c r="L10" s="1097">
        <f t="array" ref="L10">SUM(IF("341"&amp;B10=LEFT(KHC,3)&amp;KH,TH))</f>
        <v>1188779000</v>
      </c>
      <c r="M10" s="1139">
        <f t="shared" si="1"/>
        <v>0</v>
      </c>
      <c r="N10" s="1139">
        <f t="shared" si="1"/>
        <v>0</v>
      </c>
      <c r="O10" s="1098">
        <f t="shared" si="2"/>
        <v>0</v>
      </c>
      <c r="P10" s="1139">
        <f t="shared" si="2"/>
        <v>0</v>
      </c>
    </row>
    <row r="11" spans="1:16" s="1123" customFormat="1" ht="18" customHeight="1">
      <c r="A11" s="675">
        <f t="shared" si="0"/>
        <v>7</v>
      </c>
      <c r="B11" s="73" t="s">
        <v>2406</v>
      </c>
      <c r="C11" s="71">
        <v>42912</v>
      </c>
      <c r="D11" s="1226"/>
      <c r="E11" s="1097"/>
      <c r="F11" s="1214"/>
      <c r="G11" s="1213"/>
      <c r="H11" s="1214"/>
      <c r="I11" s="1227">
        <f t="array" ref="I11">SUM(IF("341"&amp;B11=LEFT(KHN,3)&amp;KH,_TH))</f>
        <v>22200</v>
      </c>
      <c r="J11" s="1214">
        <f t="array" ref="J11">SUM(IF("341"&amp;B11=LEFT(KHN,3)&amp;KH,TH))</f>
        <v>504365500</v>
      </c>
      <c r="K11" s="1213">
        <f t="array" ref="K11">SUM(IF("341"&amp;B11=LEFT(KHC,3)&amp;KH,_TH))</f>
        <v>44000</v>
      </c>
      <c r="L11" s="1214">
        <f t="array" ref="L11">SUM(IF("341"&amp;B11=LEFT(KHC,3)&amp;KH,TH))</f>
        <v>998360000</v>
      </c>
      <c r="M11" s="1228">
        <f t="shared" ref="M11:N15" si="3">ROUND(MAX(E11+I11-G11-K11,0),2)</f>
        <v>0</v>
      </c>
      <c r="N11" s="1228">
        <f t="shared" si="3"/>
        <v>0</v>
      </c>
      <c r="O11" s="1229">
        <f t="shared" ref="O11:P15" si="4">ROUND(MAX(G11+K11-E11-I11,0),2)</f>
        <v>21800</v>
      </c>
      <c r="P11" s="1228">
        <f t="shared" si="4"/>
        <v>493994500</v>
      </c>
    </row>
    <row r="12" spans="1:16" s="1123" customFormat="1" ht="18" customHeight="1">
      <c r="A12" s="675">
        <f t="shared" si="0"/>
        <v>8</v>
      </c>
      <c r="B12" s="73" t="s">
        <v>2913</v>
      </c>
      <c r="C12" s="71">
        <v>42970</v>
      </c>
      <c r="D12" s="1226"/>
      <c r="E12" s="1097"/>
      <c r="F12" s="1214"/>
      <c r="G12" s="1213"/>
      <c r="H12" s="1214"/>
      <c r="I12" s="1227">
        <f t="array" ref="I12">SUM(IF("341"&amp;B12=LEFT(KHN,3)&amp;KH,_TH))</f>
        <v>423960</v>
      </c>
      <c r="J12" s="1214">
        <f t="array" ref="J12">SUM(IF("341"&amp;B12=LEFT(KHN,3)&amp;KH,TH))</f>
        <v>9633219120</v>
      </c>
      <c r="K12" s="1213">
        <f t="array" ref="K12">SUM(IF("341"&amp;B12=LEFT(KHC,3)&amp;KH,_TH))</f>
        <v>423960</v>
      </c>
      <c r="L12" s="1214">
        <f t="array" ref="L12">SUM(IF("341"&amp;B12=LEFT(KHC,3)&amp;KH,TH))</f>
        <v>9633219120</v>
      </c>
      <c r="M12" s="1228">
        <f t="shared" si="3"/>
        <v>0</v>
      </c>
      <c r="N12" s="1228">
        <f t="shared" si="3"/>
        <v>0</v>
      </c>
      <c r="O12" s="1229">
        <f t="shared" si="4"/>
        <v>0</v>
      </c>
      <c r="P12" s="1228">
        <f t="shared" si="4"/>
        <v>0</v>
      </c>
    </row>
    <row r="13" spans="1:16" s="1123" customFormat="1" ht="18" customHeight="1">
      <c r="A13" s="675">
        <f t="shared" si="0"/>
        <v>9</v>
      </c>
      <c r="B13" s="73" t="s">
        <v>2914</v>
      </c>
      <c r="C13" s="71">
        <v>42983</v>
      </c>
      <c r="D13" s="1226"/>
      <c r="E13" s="1097"/>
      <c r="F13" s="1214"/>
      <c r="G13" s="1213"/>
      <c r="H13" s="1214"/>
      <c r="I13" s="1227">
        <f t="array" ref="I13">SUM(IF("341"&amp;B13=LEFT(KHN,3)&amp;KH,_TH))</f>
        <v>416550</v>
      </c>
      <c r="J13" s="1214">
        <f t="array" ref="J13">SUM(IF("341"&amp;B13=LEFT(KHN,3)&amp;KH,TH))</f>
        <v>9464849100</v>
      </c>
      <c r="K13" s="1213">
        <f t="array" ref="K13">SUM(IF("341"&amp;B13=LEFT(KHC,3)&amp;KH,_TH))</f>
        <v>416550</v>
      </c>
      <c r="L13" s="1214">
        <f t="array" ref="L13">SUM(IF("341"&amp;B13=LEFT(KHC,3)&amp;KH,TH))</f>
        <v>9464849100</v>
      </c>
      <c r="M13" s="1228">
        <f t="shared" si="3"/>
        <v>0</v>
      </c>
      <c r="N13" s="1228">
        <f t="shared" si="3"/>
        <v>0</v>
      </c>
      <c r="O13" s="1229">
        <f t="shared" si="4"/>
        <v>0</v>
      </c>
      <c r="P13" s="1228">
        <f t="shared" si="4"/>
        <v>0</v>
      </c>
    </row>
    <row r="14" spans="1:16" s="1123" customFormat="1" ht="18" customHeight="1">
      <c r="A14" s="675">
        <f t="shared" si="0"/>
        <v>10</v>
      </c>
      <c r="B14" s="73" t="s">
        <v>2915</v>
      </c>
      <c r="C14" s="71">
        <v>42970</v>
      </c>
      <c r="D14" s="1226"/>
      <c r="E14" s="1097"/>
      <c r="F14" s="1214"/>
      <c r="G14" s="1213"/>
      <c r="H14" s="1214"/>
      <c r="I14" s="1227">
        <f t="array" ref="I14">SUM(IF("341"&amp;B14=LEFT(KHN,3)&amp;KH,_TH))</f>
        <v>433400</v>
      </c>
      <c r="J14" s="1214">
        <f t="array" ref="J14">SUM(IF("341"&amp;B14=LEFT(KHN,3)&amp;KH,TH))</f>
        <v>9847281400</v>
      </c>
      <c r="K14" s="1213">
        <f t="array" ref="K14">SUM(IF("341"&amp;B14=LEFT(KHC,3)&amp;KH,_TH))</f>
        <v>433400</v>
      </c>
      <c r="L14" s="1214">
        <f t="array" ref="L14">SUM(IF("341"&amp;B14=LEFT(KHC,3)&amp;KH,TH))</f>
        <v>9847281400</v>
      </c>
      <c r="M14" s="1228">
        <f t="shared" si="3"/>
        <v>0</v>
      </c>
      <c r="N14" s="1228">
        <f t="shared" si="3"/>
        <v>0</v>
      </c>
      <c r="O14" s="1229">
        <f t="shared" si="4"/>
        <v>0</v>
      </c>
      <c r="P14" s="1228">
        <f t="shared" si="4"/>
        <v>0</v>
      </c>
    </row>
    <row r="15" spans="1:16" s="1123" customFormat="1" ht="18" customHeight="1">
      <c r="A15" s="675">
        <f t="shared" si="0"/>
        <v>11</v>
      </c>
      <c r="B15" s="73" t="s">
        <v>2413</v>
      </c>
      <c r="C15" s="71">
        <v>43007</v>
      </c>
      <c r="D15" s="1226"/>
      <c r="E15" s="1097"/>
      <c r="F15" s="1214"/>
      <c r="G15" s="1213"/>
      <c r="H15" s="1214"/>
      <c r="I15" s="1227">
        <f t="array" ref="I15">SUM(IF("341"&amp;B15=LEFT(KHN,3)&amp;KH,_TH))</f>
        <v>24720</v>
      </c>
      <c r="J15" s="1214">
        <f t="array" ref="J15">SUM(IF("341"&amp;B15=LEFT(KHN,3)&amp;KH,TH))</f>
        <v>561762000</v>
      </c>
      <c r="K15" s="1213">
        <f t="array" ref="K15">SUM(IF("341"&amp;B15=LEFT(KHC,3)&amp;KH,_TH))</f>
        <v>98840</v>
      </c>
      <c r="L15" s="1214">
        <f t="array" ref="L15">SUM(IF("341"&amp;B15=LEFT(KHC,3)&amp;KH,TH))</f>
        <v>2245348280</v>
      </c>
      <c r="M15" s="1228">
        <f t="shared" si="3"/>
        <v>0</v>
      </c>
      <c r="N15" s="1228">
        <f t="shared" si="3"/>
        <v>0</v>
      </c>
      <c r="O15" s="1229">
        <f t="shared" si="4"/>
        <v>74120</v>
      </c>
      <c r="P15" s="1228">
        <f t="shared" si="4"/>
        <v>1683586280</v>
      </c>
    </row>
    <row r="16" spans="1:16" s="1123" customFormat="1" ht="18" customHeight="1">
      <c r="A16" s="675">
        <f t="shared" si="0"/>
        <v>12</v>
      </c>
      <c r="B16" s="73" t="s">
        <v>2916</v>
      </c>
      <c r="C16" s="71">
        <v>43055</v>
      </c>
      <c r="D16" s="1226"/>
      <c r="E16" s="1097"/>
      <c r="F16" s="1214"/>
      <c r="G16" s="1213"/>
      <c r="H16" s="1214"/>
      <c r="I16" s="1227">
        <f t="array" ref="I16">SUM(IF("341"&amp;B16=LEFT(KHN,3)&amp;KH,_TH))</f>
        <v>0</v>
      </c>
      <c r="J16" s="1214">
        <f t="array" ref="J16">SUM(IF("341"&amp;B16=LEFT(KHN,3)&amp;KH,TH))</f>
        <v>0</v>
      </c>
      <c r="K16" s="1213">
        <f t="array" ref="K16">SUM(IF("341"&amp;B16=LEFT(KHC,3)&amp;KH,_TH))</f>
        <v>534400</v>
      </c>
      <c r="L16" s="1214">
        <f t="array" ref="L16">SUM(IF("341"&amp;B16=LEFT(KHC,3)&amp;KH,TH))</f>
        <v>12133552000</v>
      </c>
      <c r="M16" s="1228">
        <f t="shared" ref="M16:M19" si="5">ROUND(MAX(E16+I16-G16-K16,0),2)</f>
        <v>0</v>
      </c>
      <c r="N16" s="1228">
        <f t="shared" ref="N16:N19" si="6">ROUND(MAX(F16+J16-H16-L16,0),2)</f>
        <v>0</v>
      </c>
      <c r="O16" s="1229">
        <f t="shared" ref="O16:O19" si="7">ROUND(MAX(G16+K16-E16-I16,0),2)</f>
        <v>534400</v>
      </c>
      <c r="P16" s="1228">
        <f t="shared" ref="P16:P19" si="8">ROUND(MAX(H16+L16-F16-J16,0),2)</f>
        <v>12133552000</v>
      </c>
    </row>
    <row r="17" spans="1:16" s="1123" customFormat="1" ht="18" customHeight="1">
      <c r="A17" s="675">
        <f t="shared" si="0"/>
        <v>13</v>
      </c>
      <c r="B17" s="73" t="s">
        <v>2917</v>
      </c>
      <c r="C17" s="71">
        <v>43066</v>
      </c>
      <c r="D17" s="1226"/>
      <c r="E17" s="1097"/>
      <c r="F17" s="1214"/>
      <c r="G17" s="1213"/>
      <c r="H17" s="1214"/>
      <c r="I17" s="1227">
        <f t="array" ref="I17">SUM(IF("341"&amp;B17=LEFT(KHN,3)&amp;KH,_TH))</f>
        <v>0</v>
      </c>
      <c r="J17" s="1214">
        <f t="array" ref="J17">SUM(IF("341"&amp;B17=LEFT(KHN,3)&amp;KH,TH))</f>
        <v>0</v>
      </c>
      <c r="K17" s="1213">
        <f t="array" ref="K17">SUM(IF("341"&amp;B17=LEFT(KHC,3)&amp;KH,_TH))</f>
        <v>368400</v>
      </c>
      <c r="L17" s="1214">
        <f t="array" ref="L17">SUM(IF("341"&amp;B17=LEFT(KHC,3)&amp;KH,TH))</f>
        <v>8369679600</v>
      </c>
      <c r="M17" s="1228">
        <f t="shared" si="5"/>
        <v>0</v>
      </c>
      <c r="N17" s="1228">
        <f t="shared" si="6"/>
        <v>0</v>
      </c>
      <c r="O17" s="1229">
        <f t="shared" si="7"/>
        <v>368400</v>
      </c>
      <c r="P17" s="1228">
        <f t="shared" si="8"/>
        <v>8369679600</v>
      </c>
    </row>
    <row r="18" spans="1:16" s="1123" customFormat="1" ht="18" customHeight="1">
      <c r="A18" s="675">
        <f t="shared" si="0"/>
        <v>14</v>
      </c>
      <c r="B18" s="73" t="s">
        <v>2918</v>
      </c>
      <c r="C18" s="71">
        <v>43069</v>
      </c>
      <c r="D18" s="1226"/>
      <c r="E18" s="1097"/>
      <c r="F18" s="1214"/>
      <c r="G18" s="1213"/>
      <c r="H18" s="1214"/>
      <c r="I18" s="1227">
        <f t="array" ref="I18">SUM(IF("341"&amp;B18=LEFT(KHN,3)&amp;KH,_TH))</f>
        <v>0</v>
      </c>
      <c r="J18" s="1214">
        <f t="array" ref="J18">SUM(IF("341"&amp;B18=LEFT(KHN,3)&amp;KH,TH))</f>
        <v>0</v>
      </c>
      <c r="K18" s="1213">
        <f t="array" ref="K18">SUM(IF("341"&amp;B18=LEFT(KHC,3)&amp;KH,_TH))</f>
        <v>458300</v>
      </c>
      <c r="L18" s="1214">
        <f t="array" ref="L18">SUM(IF("341"&amp;B18=LEFT(KHC,3)&amp;KH,TH))</f>
        <v>10409826200</v>
      </c>
      <c r="M18" s="1228">
        <f t="shared" si="5"/>
        <v>0</v>
      </c>
      <c r="N18" s="1228">
        <f t="shared" si="6"/>
        <v>0</v>
      </c>
      <c r="O18" s="1229">
        <f t="shared" si="7"/>
        <v>458300</v>
      </c>
      <c r="P18" s="1228">
        <f t="shared" si="8"/>
        <v>10409826200</v>
      </c>
    </row>
    <row r="19" spans="1:16" s="1123" customFormat="1" ht="18" customHeight="1">
      <c r="A19" s="675">
        <f t="shared" si="0"/>
        <v>15</v>
      </c>
      <c r="B19" s="73" t="s">
        <v>2806</v>
      </c>
      <c r="C19" s="71">
        <v>43069</v>
      </c>
      <c r="D19" s="1226"/>
      <c r="E19" s="1097"/>
      <c r="F19" s="1214"/>
      <c r="G19" s="1213"/>
      <c r="H19" s="1214"/>
      <c r="I19" s="1227">
        <f t="array" ref="I19">SUM(IF("341"&amp;B19=LEFT(KHN,3)&amp;KH,_TH))</f>
        <v>2000</v>
      </c>
      <c r="J19" s="1214">
        <f t="array" ref="J19">SUM(IF("341"&amp;B19=LEFT(KHN,3)&amp;KH,TH))</f>
        <v>45410000</v>
      </c>
      <c r="K19" s="1213">
        <f t="array" ref="K19">SUM(IF("341"&amp;B19=LEFT(KHC,3)&amp;KH,_TH))</f>
        <v>23890</v>
      </c>
      <c r="L19" s="1214">
        <f t="array" ref="L19">SUM(IF("341"&amp;B19=LEFT(KHC,3)&amp;KH,TH))</f>
        <v>542589680</v>
      </c>
      <c r="M19" s="1228">
        <f t="shared" si="5"/>
        <v>0</v>
      </c>
      <c r="N19" s="1228">
        <f t="shared" si="6"/>
        <v>0</v>
      </c>
      <c r="O19" s="1229">
        <f t="shared" si="7"/>
        <v>21890</v>
      </c>
      <c r="P19" s="1228">
        <f t="shared" si="8"/>
        <v>497179680</v>
      </c>
    </row>
    <row r="20" spans="1:16" s="1123" customFormat="1" ht="18" customHeight="1">
      <c r="A20" s="675">
        <f t="shared" si="0"/>
        <v>16</v>
      </c>
      <c r="B20" s="73" t="s">
        <v>2910</v>
      </c>
      <c r="C20" s="71">
        <v>43077</v>
      </c>
      <c r="D20" s="1226"/>
      <c r="E20" s="1097"/>
      <c r="F20" s="1214"/>
      <c r="G20" s="1213"/>
      <c r="H20" s="1214"/>
      <c r="I20" s="1227">
        <f t="array" ref="I20">SUM(IF("341"&amp;B20=LEFT(KHN,3)&amp;KH,_TH))</f>
        <v>0</v>
      </c>
      <c r="J20" s="1214">
        <f t="array" ref="J20">SUM(IF("341"&amp;B20=LEFT(KHN,3)&amp;KH,TH))</f>
        <v>0</v>
      </c>
      <c r="K20" s="1213">
        <f t="array" ref="K20">SUM(IF("341"&amp;B20=LEFT(KHC,3)&amp;KH,_TH))</f>
        <v>721360</v>
      </c>
      <c r="L20" s="1214">
        <f t="array" ref="L20">SUM(IF("341"&amp;B20=LEFT(KHC,3)&amp;KH,TH))</f>
        <v>16379200160</v>
      </c>
      <c r="M20" s="1228">
        <f t="shared" ref="M20:M22" si="9">ROUND(MAX(E20+I20-G20-K20,0),2)</f>
        <v>0</v>
      </c>
      <c r="N20" s="1228">
        <f t="shared" ref="N20:N22" si="10">ROUND(MAX(F20+J20-H20-L20,0),2)</f>
        <v>0</v>
      </c>
      <c r="O20" s="1229">
        <f t="shared" ref="O20:O22" si="11">ROUND(MAX(G20+K20-E20-I20,0),2)</f>
        <v>721360</v>
      </c>
      <c r="P20" s="1228">
        <f t="shared" ref="P20:P22" si="12">ROUND(MAX(H20+L20-F20-J20,0),2)</f>
        <v>16379200160</v>
      </c>
    </row>
    <row r="21" spans="1:16" s="1123" customFormat="1" ht="18" customHeight="1">
      <c r="A21" s="675">
        <f t="shared" si="0"/>
        <v>17</v>
      </c>
      <c r="B21" s="73" t="s">
        <v>2911</v>
      </c>
      <c r="C21" s="71">
        <v>43087</v>
      </c>
      <c r="D21" s="1226"/>
      <c r="E21" s="1097"/>
      <c r="F21" s="1214"/>
      <c r="G21" s="1213"/>
      <c r="H21" s="1214"/>
      <c r="I21" s="1227">
        <f t="array" ref="I21">SUM(IF("341"&amp;B21=LEFT(KHN,3)&amp;KH,_TH))</f>
        <v>0</v>
      </c>
      <c r="J21" s="1214">
        <f t="array" ref="J21">SUM(IF("341"&amp;B21=LEFT(KHN,3)&amp;KH,TH))</f>
        <v>0</v>
      </c>
      <c r="K21" s="1213">
        <f t="array" ref="K21">SUM(IF("341"&amp;B21=LEFT(KHC,3)&amp;KH,_TH))</f>
        <v>464200</v>
      </c>
      <c r="L21" s="1214">
        <f t="array" ref="L21">SUM(IF("341"&amp;B21=LEFT(KHC,3)&amp;KH,TH))</f>
        <v>10539661000</v>
      </c>
      <c r="M21" s="1228">
        <f t="shared" si="9"/>
        <v>0</v>
      </c>
      <c r="N21" s="1228">
        <f t="shared" si="10"/>
        <v>0</v>
      </c>
      <c r="O21" s="1229">
        <f t="shared" si="11"/>
        <v>464200</v>
      </c>
      <c r="P21" s="1228">
        <f t="shared" si="12"/>
        <v>10539661000</v>
      </c>
    </row>
    <row r="22" spans="1:16" s="1123" customFormat="1" ht="18" customHeight="1">
      <c r="A22" s="675">
        <f t="shared" si="0"/>
        <v>18</v>
      </c>
      <c r="B22" s="73" t="s">
        <v>2912</v>
      </c>
      <c r="C22" s="71">
        <v>43091</v>
      </c>
      <c r="D22" s="1226"/>
      <c r="E22" s="1097"/>
      <c r="F22" s="1214"/>
      <c r="G22" s="1213"/>
      <c r="H22" s="1214"/>
      <c r="I22" s="1227">
        <f t="array" ref="I22">SUM(IF("341"&amp;B22=LEFT(KHN,3)&amp;KH,_TH))</f>
        <v>0</v>
      </c>
      <c r="J22" s="1214">
        <f t="array" ref="J22">SUM(IF("341"&amp;B22=LEFT(KHN,3)&amp;KH,TH))</f>
        <v>0</v>
      </c>
      <c r="K22" s="1213">
        <f t="array" ref="K22">SUM(IF("341"&amp;B22=LEFT(KHC,3)&amp;KH,_TH))</f>
        <v>88350</v>
      </c>
      <c r="L22" s="1214">
        <f t="array" ref="L22">SUM(IF("341"&amp;B22=LEFT(KHC,3)&amp;KH,TH))</f>
        <v>2005986750</v>
      </c>
      <c r="M22" s="1228">
        <f t="shared" si="9"/>
        <v>0</v>
      </c>
      <c r="N22" s="1228">
        <f t="shared" si="10"/>
        <v>0</v>
      </c>
      <c r="O22" s="1229">
        <f t="shared" si="11"/>
        <v>88350</v>
      </c>
      <c r="P22" s="1228">
        <f t="shared" si="12"/>
        <v>2005986750</v>
      </c>
    </row>
    <row r="23" spans="1:16" s="10" customFormat="1" ht="18" customHeight="1">
      <c r="A23" s="675">
        <f t="shared" ref="A23:A33" si="13">IF(B23&lt;&gt;"",ROW()-4,"")</f>
        <v>19</v>
      </c>
      <c r="B23" s="674" t="s">
        <v>756</v>
      </c>
      <c r="C23" s="209">
        <v>42556</v>
      </c>
      <c r="D23" s="209"/>
      <c r="E23" s="1097"/>
      <c r="F23" s="8"/>
      <c r="G23" s="210">
        <v>89000</v>
      </c>
      <c r="H23" s="8">
        <v>1983988000</v>
      </c>
      <c r="I23" s="308">
        <f t="array" ref="I23">SUM(IF("341"&amp;B23=LEFT(KHN,3)&amp;KH,_TH))</f>
        <v>89000</v>
      </c>
      <c r="J23" s="8">
        <f t="array" ref="J23">SUM(IF("341"&amp;B23=LEFT(KHN,3)&amp;KH,TH))</f>
        <v>2002500000</v>
      </c>
      <c r="K23" s="210">
        <f t="array" ref="K23">SUM(IF("341"&amp;B23=LEFT(KHC,3)&amp;KH,_TH))</f>
        <v>0</v>
      </c>
      <c r="L23" s="8">
        <f t="array" ref="L23">SUM(IF("341"&amp;B23=LEFT(KHC,3)&amp;KH,TH))</f>
        <v>18512000</v>
      </c>
      <c r="M23" s="212">
        <f t="shared" ref="M23" si="14">ROUND(MAX(E23+I23-G23-K23,0),2)</f>
        <v>0</v>
      </c>
      <c r="N23" s="212">
        <f t="shared" ref="N23" si="15">ROUND(MAX(F23+J23-H23-L23,0),2)</f>
        <v>0</v>
      </c>
      <c r="O23" s="211">
        <f t="shared" ref="O23" si="16">ROUND(MAX(G23+K23-E23-I23,0),2)</f>
        <v>0</v>
      </c>
      <c r="P23" s="212">
        <f t="shared" ref="P23" si="17">ROUND(MAX(H23+L23-F23-J23,0),2)</f>
        <v>0</v>
      </c>
    </row>
    <row r="24" spans="1:16" s="10" customFormat="1" ht="18" customHeight="1">
      <c r="A24" s="675">
        <f t="shared" si="13"/>
        <v>20</v>
      </c>
      <c r="B24" s="674" t="s">
        <v>760</v>
      </c>
      <c r="C24" s="209">
        <v>42600</v>
      </c>
      <c r="D24" s="209"/>
      <c r="E24" s="1097"/>
      <c r="F24" s="8"/>
      <c r="G24" s="210">
        <v>63000</v>
      </c>
      <c r="H24" s="8">
        <v>1404396000</v>
      </c>
      <c r="I24" s="308">
        <f t="array" ref="I24">SUM(IF("341"&amp;B24=LEFT(KHN,3)&amp;KH,_TH))</f>
        <v>63000</v>
      </c>
      <c r="J24" s="8">
        <f t="array" ref="J24">SUM(IF("341"&amp;B24=LEFT(KHN,3)&amp;KH,TH))</f>
        <v>1430100000</v>
      </c>
      <c r="K24" s="210">
        <f t="array" ref="K24">SUM(IF("341"&amp;B24=LEFT(KHC,3)&amp;KH,_TH))</f>
        <v>0</v>
      </c>
      <c r="L24" s="8">
        <f t="array" ref="L24">SUM(IF("341"&amp;B24=LEFT(KHC,3)&amp;KH,TH))</f>
        <v>25704000</v>
      </c>
      <c r="M24" s="212">
        <f t="shared" ref="M24:M68" si="18">ROUND(MAX(E24+I24-G24-K24,0),2)</f>
        <v>0</v>
      </c>
      <c r="N24" s="212">
        <f t="shared" ref="N24:N68" si="19">ROUND(MAX(F24+J24-H24-L24,0),2)</f>
        <v>0</v>
      </c>
      <c r="O24" s="211">
        <f t="shared" ref="O24:O68" si="20">ROUND(MAX(G24+K24-E24-I24,0),2)</f>
        <v>0</v>
      </c>
      <c r="P24" s="212">
        <f t="shared" ref="P24:P68" si="21">ROUND(MAX(H24+L24-F24-J24,0),2)</f>
        <v>0</v>
      </c>
    </row>
    <row r="25" spans="1:16" s="10" customFormat="1" ht="18" customHeight="1">
      <c r="A25" s="675">
        <f t="shared" si="13"/>
        <v>21</v>
      </c>
      <c r="B25" s="7" t="s">
        <v>761</v>
      </c>
      <c r="C25" s="209">
        <v>42612</v>
      </c>
      <c r="D25" s="209">
        <v>0</v>
      </c>
      <c r="E25" s="1097">
        <v>0</v>
      </c>
      <c r="F25" s="8">
        <v>0</v>
      </c>
      <c r="G25" s="210">
        <v>89500</v>
      </c>
      <c r="H25" s="8">
        <v>1996566000</v>
      </c>
      <c r="I25" s="308">
        <f t="array" ref="I25">SUM(IF("341"&amp;B25=LEFT(KHN,3)&amp;KH,_TH))</f>
        <v>89500</v>
      </c>
      <c r="J25" s="8">
        <f t="array" ref="J25">SUM(IF("341"&amp;B25=LEFT(KHN,3)&amp;KH,TH))</f>
        <v>2031650000</v>
      </c>
      <c r="K25" s="210">
        <f t="array" ref="K25">SUM(IF("341"&amp;B25=LEFT(KHC,3)&amp;KH,_TH))</f>
        <v>0</v>
      </c>
      <c r="L25" s="8">
        <f t="array" ref="L25">SUM(IF("341"&amp;B25=LEFT(KHC,3)&amp;KH,TH))</f>
        <v>35084000</v>
      </c>
      <c r="M25" s="212">
        <f t="shared" si="18"/>
        <v>0</v>
      </c>
      <c r="N25" s="212">
        <f t="shared" si="19"/>
        <v>0</v>
      </c>
      <c r="O25" s="211">
        <f t="shared" si="20"/>
        <v>0</v>
      </c>
      <c r="P25" s="212">
        <f t="shared" si="21"/>
        <v>0</v>
      </c>
    </row>
    <row r="26" spans="1:16" s="10" customFormat="1" ht="18" customHeight="1">
      <c r="A26" s="675">
        <f t="shared" si="13"/>
        <v>22</v>
      </c>
      <c r="B26" s="7" t="s">
        <v>784</v>
      </c>
      <c r="C26" s="209">
        <v>42626</v>
      </c>
      <c r="D26" s="209">
        <v>0</v>
      </c>
      <c r="E26" s="1097">
        <v>0</v>
      </c>
      <c r="F26" s="8">
        <v>0</v>
      </c>
      <c r="G26" s="210">
        <v>88000</v>
      </c>
      <c r="H26" s="8">
        <v>1961960000</v>
      </c>
      <c r="I26" s="308">
        <f t="array" ref="I26">SUM(IF("341"&amp;B26=LEFT(KHN,3)&amp;KH,_TH))</f>
        <v>88000</v>
      </c>
      <c r="J26" s="8">
        <f t="array" ref="J26">SUM(IF("341"&amp;B26=LEFT(KHN,3)&amp;KH,TH))</f>
        <v>1997600000</v>
      </c>
      <c r="K26" s="210">
        <f t="array" ref="K26">SUM(IF("341"&amp;B26=LEFT(KHC,3)&amp;KH,_TH))</f>
        <v>0</v>
      </c>
      <c r="L26" s="8">
        <f t="array" ref="L26">SUM(IF("341"&amp;B26=LEFT(KHC,3)&amp;KH,TH))</f>
        <v>35640000</v>
      </c>
      <c r="M26" s="212">
        <f t="shared" si="18"/>
        <v>0</v>
      </c>
      <c r="N26" s="212">
        <f t="shared" si="19"/>
        <v>0</v>
      </c>
      <c r="O26" s="211">
        <f t="shared" si="20"/>
        <v>0</v>
      </c>
      <c r="P26" s="212">
        <f t="shared" si="21"/>
        <v>0</v>
      </c>
    </row>
    <row r="27" spans="1:16" s="10" customFormat="1" ht="18" customHeight="1">
      <c r="A27" s="675">
        <f t="shared" si="13"/>
        <v>23</v>
      </c>
      <c r="B27" s="7" t="s">
        <v>782</v>
      </c>
      <c r="C27" s="209">
        <v>42649</v>
      </c>
      <c r="D27" s="209">
        <v>0</v>
      </c>
      <c r="E27" s="1097">
        <v>0</v>
      </c>
      <c r="F27" s="8">
        <v>0</v>
      </c>
      <c r="G27" s="210">
        <v>96000</v>
      </c>
      <c r="H27" s="8">
        <v>2140416000</v>
      </c>
      <c r="I27" s="308">
        <f t="array" ref="I27">SUM(IF("341"&amp;B27=LEFT(KHN,3)&amp;KH,_TH))</f>
        <v>96000</v>
      </c>
      <c r="J27" s="8">
        <f t="array" ref="J27">SUM(IF("341"&amp;B27=LEFT(KHN,3)&amp;KH,TH))</f>
        <v>2182080000</v>
      </c>
      <c r="K27" s="210">
        <f t="array" ref="K27">SUM(IF("341"&amp;B27=LEFT(KHC,3)&amp;KH,_TH))</f>
        <v>0</v>
      </c>
      <c r="L27" s="8">
        <f t="array" ref="L27">SUM(IF("341"&amp;B27=LEFT(KHC,3)&amp;KH,TH))</f>
        <v>41664000</v>
      </c>
      <c r="M27" s="212">
        <f t="shared" si="18"/>
        <v>0</v>
      </c>
      <c r="N27" s="212">
        <f t="shared" si="19"/>
        <v>0</v>
      </c>
      <c r="O27" s="211">
        <f t="shared" si="20"/>
        <v>0</v>
      </c>
      <c r="P27" s="212">
        <f t="shared" si="21"/>
        <v>0</v>
      </c>
    </row>
    <row r="28" spans="1:16" s="10" customFormat="1" ht="18" customHeight="1">
      <c r="A28" s="675">
        <f t="shared" si="13"/>
        <v>24</v>
      </c>
      <c r="B28" s="7" t="s">
        <v>783</v>
      </c>
      <c r="C28" s="209">
        <v>42660</v>
      </c>
      <c r="D28" s="209">
        <v>0</v>
      </c>
      <c r="E28" s="1097">
        <v>0</v>
      </c>
      <c r="F28" s="8">
        <v>0</v>
      </c>
      <c r="G28" s="210">
        <v>96000</v>
      </c>
      <c r="H28" s="8">
        <v>2140896000</v>
      </c>
      <c r="I28" s="308">
        <f t="array" ref="I28">SUM(IF("341"&amp;B28=LEFT(KHN,3)&amp;KH,_TH))</f>
        <v>96000</v>
      </c>
      <c r="J28" s="8">
        <f t="array" ref="J28">SUM(IF("341"&amp;B28=LEFT(KHN,3)&amp;KH,TH))</f>
        <v>2181120000</v>
      </c>
      <c r="K28" s="210">
        <f t="array" ref="K28">SUM(IF("341"&amp;B28=LEFT(KHC,3)&amp;KH,_TH))</f>
        <v>0</v>
      </c>
      <c r="L28" s="8">
        <f t="array" ref="L28">SUM(IF("341"&amp;B28=LEFT(KHC,3)&amp;KH,TH))</f>
        <v>40224000</v>
      </c>
      <c r="M28" s="212">
        <f t="shared" si="18"/>
        <v>0</v>
      </c>
      <c r="N28" s="212">
        <f t="shared" si="19"/>
        <v>0</v>
      </c>
      <c r="O28" s="211">
        <f t="shared" si="20"/>
        <v>0</v>
      </c>
      <c r="P28" s="212">
        <f t="shared" si="21"/>
        <v>0</v>
      </c>
    </row>
    <row r="29" spans="1:16" s="10" customFormat="1" ht="18" customHeight="1">
      <c r="A29" s="675">
        <f t="shared" si="13"/>
        <v>25</v>
      </c>
      <c r="B29" s="674" t="s">
        <v>1004</v>
      </c>
      <c r="C29" s="209">
        <v>42684</v>
      </c>
      <c r="D29" s="209"/>
      <c r="E29" s="1097"/>
      <c r="F29" s="8"/>
      <c r="G29" s="210">
        <v>82000</v>
      </c>
      <c r="H29" s="8">
        <v>1829666000</v>
      </c>
      <c r="I29" s="308">
        <f t="array" ref="I29">SUM(IF("341"&amp;B29=LEFT(KHN,3)&amp;KH,_TH))</f>
        <v>82000</v>
      </c>
      <c r="J29" s="8">
        <f t="array" ref="J29">SUM(IF("341"&amp;B29=LEFT(KHN,3)&amp;KH,TH))</f>
        <v>1862220000</v>
      </c>
      <c r="K29" s="210">
        <f t="array" ref="K29">SUM(IF("341"&amp;B29=LEFT(KHC,3)&amp;KH,_TH))</f>
        <v>0</v>
      </c>
      <c r="L29" s="8">
        <f t="array" ref="L29">SUM(IF("341"&amp;B29=LEFT(KHC,3)&amp;KH,TH))</f>
        <v>32554000</v>
      </c>
      <c r="M29" s="212">
        <f t="shared" si="18"/>
        <v>0</v>
      </c>
      <c r="N29" s="212">
        <f t="shared" si="19"/>
        <v>0</v>
      </c>
      <c r="O29" s="211">
        <f t="shared" si="20"/>
        <v>0</v>
      </c>
      <c r="P29" s="212">
        <f t="shared" si="21"/>
        <v>0</v>
      </c>
    </row>
    <row r="30" spans="1:16" s="10" customFormat="1" ht="18" customHeight="1">
      <c r="A30" s="675">
        <f t="shared" si="13"/>
        <v>26</v>
      </c>
      <c r="B30" s="674" t="s">
        <v>1005</v>
      </c>
      <c r="C30" s="209">
        <v>42689</v>
      </c>
      <c r="D30" s="209"/>
      <c r="E30" s="1097"/>
      <c r="F30" s="8"/>
      <c r="G30" s="210">
        <v>89000</v>
      </c>
      <c r="H30" s="8">
        <v>1988705000</v>
      </c>
      <c r="I30" s="308">
        <f t="array" ref="I30">SUM(IF("341"&amp;B30=LEFT(KHN,3)&amp;KH,_TH))</f>
        <v>89000</v>
      </c>
      <c r="J30" s="8">
        <f t="array" ref="J30">SUM(IF("341"&amp;B30=LEFT(KHN,3)&amp;KH,TH))</f>
        <v>2021190000</v>
      </c>
      <c r="K30" s="210">
        <f t="array" ref="K30">SUM(IF("341"&amp;B30=LEFT(KHC,3)&amp;KH,_TH))</f>
        <v>0</v>
      </c>
      <c r="L30" s="8">
        <f t="array" ref="L30">SUM(IF("341"&amp;B30=LEFT(KHC,3)&amp;KH,TH))</f>
        <v>32485000</v>
      </c>
      <c r="M30" s="212">
        <f t="shared" si="18"/>
        <v>0</v>
      </c>
      <c r="N30" s="212">
        <f t="shared" si="19"/>
        <v>0</v>
      </c>
      <c r="O30" s="211">
        <f t="shared" si="20"/>
        <v>0</v>
      </c>
      <c r="P30" s="212">
        <f t="shared" si="21"/>
        <v>0</v>
      </c>
    </row>
    <row r="31" spans="1:16" s="10" customFormat="1" ht="18" customHeight="1">
      <c r="A31" s="675">
        <f t="shared" si="13"/>
        <v>27</v>
      </c>
      <c r="B31" s="7" t="s">
        <v>1006</v>
      </c>
      <c r="C31" s="209">
        <v>42717</v>
      </c>
      <c r="D31" s="209">
        <v>0</v>
      </c>
      <c r="E31" s="1097">
        <v>0</v>
      </c>
      <c r="F31" s="8">
        <v>0</v>
      </c>
      <c r="G31" s="210">
        <v>50400</v>
      </c>
      <c r="H31" s="8">
        <v>1139644800</v>
      </c>
      <c r="I31" s="308">
        <f t="array" ref="I31">SUM(IF("341"&amp;B31=LEFT(KHN,3)&amp;KH,_TH))</f>
        <v>50400</v>
      </c>
      <c r="J31" s="8">
        <f t="array" ref="J31">SUM(IF("341"&amp;B31=LEFT(KHN,3)&amp;KH,TH))</f>
        <v>1139644800</v>
      </c>
      <c r="K31" s="210">
        <f t="array" ref="K31">SUM(IF("341"&amp;B31=LEFT(KHC,3)&amp;KH,_TH))</f>
        <v>0</v>
      </c>
      <c r="L31" s="8">
        <f t="array" ref="L31">SUM(IF("341"&amp;B31=LEFT(KHC,3)&amp;KH,TH))</f>
        <v>0</v>
      </c>
      <c r="M31" s="212">
        <f t="shared" si="18"/>
        <v>0</v>
      </c>
      <c r="N31" s="212">
        <f t="shared" si="19"/>
        <v>0</v>
      </c>
      <c r="O31" s="211">
        <f t="shared" si="20"/>
        <v>0</v>
      </c>
      <c r="P31" s="212">
        <f t="shared" si="21"/>
        <v>0</v>
      </c>
    </row>
    <row r="32" spans="1:16" s="10" customFormat="1" ht="18" customHeight="1">
      <c r="A32" s="675">
        <f t="shared" si="13"/>
        <v>28</v>
      </c>
      <c r="B32" s="7" t="s">
        <v>1007</v>
      </c>
      <c r="C32" s="209">
        <v>42718</v>
      </c>
      <c r="D32" s="209">
        <v>0</v>
      </c>
      <c r="E32" s="1097">
        <v>0</v>
      </c>
      <c r="F32" s="8">
        <v>0</v>
      </c>
      <c r="G32" s="210">
        <v>137000</v>
      </c>
      <c r="H32" s="8">
        <v>3111270000</v>
      </c>
      <c r="I32" s="308">
        <f t="array" ref="I32">SUM(IF("341"&amp;B32=LEFT(KHN,3)&amp;KH,_TH))</f>
        <v>137000</v>
      </c>
      <c r="J32" s="8">
        <f t="array" ref="J32">SUM(IF("341"&amp;B32=LEFT(KHN,3)&amp;KH,TH))</f>
        <v>3111270000</v>
      </c>
      <c r="K32" s="210">
        <f t="array" ref="K32">SUM(IF("341"&amp;B32=LEFT(KHC,3)&amp;KH,_TH))</f>
        <v>0</v>
      </c>
      <c r="L32" s="8">
        <f t="array" ref="L32">SUM(IF("341"&amp;B32=LEFT(KHC,3)&amp;KH,TH))</f>
        <v>0</v>
      </c>
      <c r="M32" s="212">
        <f t="shared" si="18"/>
        <v>0</v>
      </c>
      <c r="N32" s="212">
        <f t="shared" si="19"/>
        <v>0</v>
      </c>
      <c r="O32" s="211">
        <f t="shared" si="20"/>
        <v>0</v>
      </c>
      <c r="P32" s="212">
        <f t="shared" si="21"/>
        <v>0</v>
      </c>
    </row>
    <row r="33" spans="1:16" s="10" customFormat="1" ht="18" customHeight="1">
      <c r="A33" s="675">
        <f t="shared" si="13"/>
        <v>29</v>
      </c>
      <c r="B33" s="7" t="s">
        <v>1008</v>
      </c>
      <c r="C33" s="209">
        <v>42733</v>
      </c>
      <c r="D33" s="209">
        <v>0</v>
      </c>
      <c r="E33" s="1097">
        <v>0</v>
      </c>
      <c r="F33" s="8">
        <v>0</v>
      </c>
      <c r="G33" s="210">
        <v>85000</v>
      </c>
      <c r="H33" s="8">
        <v>1934600000</v>
      </c>
      <c r="I33" s="308">
        <f t="array" ref="I33">SUM(IF("341"&amp;B33=LEFT(KHN,3)&amp;KH,_TH))</f>
        <v>85000</v>
      </c>
      <c r="J33" s="8">
        <f t="array" ref="J33">SUM(IF("341"&amp;B33=LEFT(KHN,3)&amp;KH,TH))</f>
        <v>1934600000</v>
      </c>
      <c r="K33" s="210">
        <f t="array" ref="K33">SUM(IF("341"&amp;B33=LEFT(KHC,3)&amp;KH,_TH))</f>
        <v>0</v>
      </c>
      <c r="L33" s="8">
        <f t="array" ref="L33">SUM(IF("341"&amp;B33=LEFT(KHC,3)&amp;KH,TH))</f>
        <v>0</v>
      </c>
      <c r="M33" s="212">
        <f t="shared" si="18"/>
        <v>0</v>
      </c>
      <c r="N33" s="212">
        <f t="shared" si="19"/>
        <v>0</v>
      </c>
      <c r="O33" s="211">
        <f t="shared" si="20"/>
        <v>0</v>
      </c>
      <c r="P33" s="212">
        <f t="shared" si="21"/>
        <v>0</v>
      </c>
    </row>
    <row r="34" spans="1:16" s="10" customFormat="1" ht="18" customHeight="1">
      <c r="A34" s="675">
        <f t="shared" ref="A34:A42" si="22">IF(B34&lt;&gt;"",ROW()-4,"")</f>
        <v>30</v>
      </c>
      <c r="B34" s="957" t="s">
        <v>1083</v>
      </c>
      <c r="C34" s="209">
        <v>42741</v>
      </c>
      <c r="D34" s="209">
        <v>0</v>
      </c>
      <c r="E34" s="1097">
        <v>0</v>
      </c>
      <c r="F34" s="8">
        <v>0</v>
      </c>
      <c r="G34" s="210">
        <v>0</v>
      </c>
      <c r="H34" s="8">
        <v>0</v>
      </c>
      <c r="I34" s="308">
        <f t="array" ref="I34">SUM(IF("341"&amp;B34=LEFT(KHN,3)&amp;KH,_TH))</f>
        <v>93000</v>
      </c>
      <c r="J34" s="8">
        <f t="array" ref="J34">SUM(IF("341"&amp;B34=LEFT(KHN,3)&amp;KH,TH))</f>
        <v>2113425000</v>
      </c>
      <c r="K34" s="210">
        <f t="array" ref="K34">SUM(IF("341"&amp;B34=LEFT(KHC,3)&amp;KH,_TH))</f>
        <v>93000</v>
      </c>
      <c r="L34" s="8">
        <f t="array" ref="L34">SUM(IF("341"&amp;B34=LEFT(KHC,3)&amp;KH,TH))</f>
        <v>2113425000</v>
      </c>
      <c r="M34" s="212">
        <f t="shared" si="18"/>
        <v>0</v>
      </c>
      <c r="N34" s="212">
        <f t="shared" si="19"/>
        <v>0</v>
      </c>
      <c r="O34" s="211">
        <f t="shared" si="20"/>
        <v>0</v>
      </c>
      <c r="P34" s="212">
        <f t="shared" si="21"/>
        <v>0</v>
      </c>
    </row>
    <row r="35" spans="1:16" s="10" customFormat="1" ht="18" customHeight="1">
      <c r="A35" s="675">
        <f t="shared" si="22"/>
        <v>31</v>
      </c>
      <c r="B35" s="957" t="s">
        <v>2443</v>
      </c>
      <c r="C35" s="209">
        <v>42748</v>
      </c>
      <c r="D35" s="209"/>
      <c r="E35" s="1097">
        <v>0</v>
      </c>
      <c r="F35" s="8">
        <v>0</v>
      </c>
      <c r="G35" s="210">
        <v>0</v>
      </c>
      <c r="H35" s="8">
        <v>0</v>
      </c>
      <c r="I35" s="308">
        <f t="array" ref="I35">SUM(IF("341"&amp;B35=LEFT(KHN,3)&amp;KH,_TH))</f>
        <v>40000</v>
      </c>
      <c r="J35" s="8">
        <f t="array" ref="J35">SUM(IF("341"&amp;B35=LEFT(KHN,3)&amp;KH,TH))</f>
        <v>902200000</v>
      </c>
      <c r="K35" s="210">
        <f t="array" ref="K35">SUM(IF("341"&amp;B35=LEFT(KHC,3)&amp;KH,_TH))</f>
        <v>40000</v>
      </c>
      <c r="L35" s="8">
        <f t="array" ref="L35">SUM(IF("341"&amp;B35=LEFT(KHC,3)&amp;KH,TH))</f>
        <v>902200000</v>
      </c>
      <c r="M35" s="212">
        <f t="shared" si="18"/>
        <v>0</v>
      </c>
      <c r="N35" s="212">
        <f t="shared" si="19"/>
        <v>0</v>
      </c>
      <c r="O35" s="211">
        <f t="shared" si="20"/>
        <v>0</v>
      </c>
      <c r="P35" s="212">
        <f t="shared" si="21"/>
        <v>0</v>
      </c>
    </row>
    <row r="36" spans="1:16" s="10" customFormat="1" ht="18" customHeight="1">
      <c r="A36" s="675">
        <f t="shared" si="22"/>
        <v>32</v>
      </c>
      <c r="B36" s="957" t="s">
        <v>2444</v>
      </c>
      <c r="C36" s="209">
        <v>42751</v>
      </c>
      <c r="D36" s="209"/>
      <c r="E36" s="1097">
        <v>0</v>
      </c>
      <c r="F36" s="8">
        <v>0</v>
      </c>
      <c r="G36" s="210">
        <v>0</v>
      </c>
      <c r="H36" s="8">
        <v>0</v>
      </c>
      <c r="I36" s="308">
        <f t="array" ref="I36">SUM(IF("341"&amp;B36=LEFT(KHN,3)&amp;KH,_TH))</f>
        <v>102600</v>
      </c>
      <c r="J36" s="8">
        <f t="array" ref="J36">SUM(IF("341"&amp;B36=LEFT(KHN,3)&amp;KH,TH))</f>
        <v>2329020000</v>
      </c>
      <c r="K36" s="210">
        <f t="array" ref="K36">SUM(IF("341"&amp;B36=LEFT(KHC,3)&amp;KH,_TH))</f>
        <v>102600</v>
      </c>
      <c r="L36" s="8">
        <f t="array" ref="L36">SUM(IF("341"&amp;B36=LEFT(KHC,3)&amp;KH,TH))</f>
        <v>2329020000</v>
      </c>
      <c r="M36" s="212">
        <f t="shared" si="18"/>
        <v>0</v>
      </c>
      <c r="N36" s="212">
        <f t="shared" si="19"/>
        <v>0</v>
      </c>
      <c r="O36" s="211">
        <f t="shared" si="20"/>
        <v>0</v>
      </c>
      <c r="P36" s="212">
        <f t="shared" si="21"/>
        <v>0</v>
      </c>
    </row>
    <row r="37" spans="1:16" s="1099" customFormat="1" ht="18" customHeight="1">
      <c r="A37" s="1135">
        <f t="shared" si="22"/>
        <v>33</v>
      </c>
      <c r="B37" s="957" t="s">
        <v>2445</v>
      </c>
      <c r="C37" s="209">
        <v>42754</v>
      </c>
      <c r="D37" s="209"/>
      <c r="E37" s="1097">
        <v>0</v>
      </c>
      <c r="F37" s="8">
        <v>0</v>
      </c>
      <c r="G37" s="210">
        <v>0</v>
      </c>
      <c r="H37" s="8">
        <v>0</v>
      </c>
      <c r="I37" s="308">
        <f t="array" ref="I37">SUM(IF("341"&amp;B37=LEFT(KHN,3)&amp;KH,_TH))</f>
        <v>41200</v>
      </c>
      <c r="J37" s="8">
        <f t="array" ref="J37">SUM(IF("341"&amp;B37=LEFT(KHN,3)&amp;KH,TH))</f>
        <v>935240000</v>
      </c>
      <c r="K37" s="210">
        <f t="array" ref="K37">SUM(IF("341"&amp;B37=LEFT(KHC,3)&amp;KH,_TH))</f>
        <v>41200</v>
      </c>
      <c r="L37" s="8">
        <f t="array" ref="L37">SUM(IF("341"&amp;B37=LEFT(KHC,3)&amp;KH,TH))</f>
        <v>935240000</v>
      </c>
      <c r="M37" s="212">
        <f t="shared" si="18"/>
        <v>0</v>
      </c>
      <c r="N37" s="212">
        <f t="shared" si="19"/>
        <v>0</v>
      </c>
      <c r="O37" s="211">
        <f t="shared" si="20"/>
        <v>0</v>
      </c>
      <c r="P37" s="212">
        <f t="shared" si="21"/>
        <v>0</v>
      </c>
    </row>
    <row r="38" spans="1:16" s="10" customFormat="1" ht="18" customHeight="1">
      <c r="A38" s="675">
        <f t="shared" si="22"/>
        <v>34</v>
      </c>
      <c r="B38" s="957" t="s">
        <v>2446</v>
      </c>
      <c r="C38" s="209">
        <v>42754</v>
      </c>
      <c r="D38" s="209">
        <v>0</v>
      </c>
      <c r="E38" s="1097">
        <v>0</v>
      </c>
      <c r="F38" s="8">
        <v>0</v>
      </c>
      <c r="G38" s="210">
        <v>0</v>
      </c>
      <c r="H38" s="8">
        <v>0</v>
      </c>
      <c r="I38" s="308">
        <f t="array" ref="I38">SUM(IF("341"&amp;B38=LEFT(KHN,3)&amp;KH,_TH))</f>
        <v>37584</v>
      </c>
      <c r="J38" s="8">
        <f t="array" ref="J38">SUM(IF("341"&amp;B38=LEFT(KHN,3)&amp;KH,TH))</f>
        <v>853156800</v>
      </c>
      <c r="K38" s="210">
        <f t="array" ref="K38">SUM(IF("341"&amp;B38=LEFT(KHC,3)&amp;KH,_TH))</f>
        <v>37584</v>
      </c>
      <c r="L38" s="8">
        <f t="array" ref="L38">SUM(IF("341"&amp;B38=LEFT(KHC,3)&amp;KH,TH))</f>
        <v>853156800</v>
      </c>
      <c r="M38" s="212">
        <f t="shared" si="18"/>
        <v>0</v>
      </c>
      <c r="N38" s="212">
        <f t="shared" si="19"/>
        <v>0</v>
      </c>
      <c r="O38" s="211">
        <f t="shared" si="20"/>
        <v>0</v>
      </c>
      <c r="P38" s="212">
        <f t="shared" si="21"/>
        <v>0</v>
      </c>
    </row>
    <row r="39" spans="1:16" s="10" customFormat="1" ht="18" customHeight="1">
      <c r="A39" s="675">
        <f t="shared" si="22"/>
        <v>35</v>
      </c>
      <c r="B39" s="957" t="s">
        <v>2447</v>
      </c>
      <c r="C39" s="209">
        <v>42754</v>
      </c>
      <c r="D39" s="209">
        <v>0</v>
      </c>
      <c r="E39" s="1097">
        <v>0</v>
      </c>
      <c r="F39" s="8">
        <v>0</v>
      </c>
      <c r="G39" s="210">
        <v>0</v>
      </c>
      <c r="H39" s="8">
        <v>0</v>
      </c>
      <c r="I39" s="308">
        <f t="array" ref="I39">SUM(IF("341"&amp;B39=LEFT(KHN,3)&amp;KH,_TH))</f>
        <v>51100</v>
      </c>
      <c r="J39" s="8">
        <f t="array" ref="J39">SUM(IF("341"&amp;B39=LEFT(KHN,3)&amp;KH,TH))</f>
        <v>1158794700</v>
      </c>
      <c r="K39" s="210">
        <f t="array" ref="K39">SUM(IF("341"&amp;B39=LEFT(KHC,3)&amp;KH,_TH))</f>
        <v>51100</v>
      </c>
      <c r="L39" s="8">
        <f t="array" ref="L39">SUM(IF("341"&amp;B39=LEFT(KHC,3)&amp;KH,TH))</f>
        <v>1158794700</v>
      </c>
      <c r="M39" s="212">
        <f t="shared" si="18"/>
        <v>0</v>
      </c>
      <c r="N39" s="212">
        <f t="shared" si="19"/>
        <v>0</v>
      </c>
      <c r="O39" s="211">
        <f t="shared" si="20"/>
        <v>0</v>
      </c>
      <c r="P39" s="212">
        <f t="shared" si="21"/>
        <v>0</v>
      </c>
    </row>
    <row r="40" spans="1:16" s="10" customFormat="1" ht="18" customHeight="1">
      <c r="A40" s="675">
        <f t="shared" si="22"/>
        <v>36</v>
      </c>
      <c r="B40" s="962" t="s">
        <v>2448</v>
      </c>
      <c r="C40" s="209">
        <v>42760</v>
      </c>
      <c r="D40" s="209">
        <v>0</v>
      </c>
      <c r="E40" s="1097">
        <v>0</v>
      </c>
      <c r="F40" s="8">
        <v>0</v>
      </c>
      <c r="G40" s="210">
        <v>0</v>
      </c>
      <c r="H40" s="8">
        <v>0</v>
      </c>
      <c r="I40" s="308">
        <f t="array" ref="I40">SUM(IF("341"&amp;B40=LEFT(KHN,3)&amp;KH,_TH))</f>
        <v>68400</v>
      </c>
      <c r="J40" s="8">
        <f t="array" ref="J40">SUM(IF("341"&amp;B40=LEFT(KHN,3)&amp;KH,TH))</f>
        <v>1552680000</v>
      </c>
      <c r="K40" s="210">
        <f t="array" ref="K40">SUM(IF("341"&amp;B40=LEFT(KHC,3)&amp;KH,_TH))</f>
        <v>68400</v>
      </c>
      <c r="L40" s="8">
        <f t="array" ref="L40">SUM(IF("341"&amp;B40=LEFT(KHC,3)&amp;KH,TH))</f>
        <v>1552680000</v>
      </c>
      <c r="M40" s="212">
        <f t="shared" si="18"/>
        <v>0</v>
      </c>
      <c r="N40" s="212">
        <f t="shared" si="19"/>
        <v>0</v>
      </c>
      <c r="O40" s="211">
        <f t="shared" si="20"/>
        <v>0</v>
      </c>
      <c r="P40" s="212">
        <f t="shared" si="21"/>
        <v>0</v>
      </c>
    </row>
    <row r="41" spans="1:16" s="10" customFormat="1" ht="18" customHeight="1">
      <c r="A41" s="675">
        <f t="shared" si="22"/>
        <v>37</v>
      </c>
      <c r="B41" s="67" t="s">
        <v>1081</v>
      </c>
      <c r="C41" s="209">
        <v>42774</v>
      </c>
      <c r="D41" s="209">
        <v>0</v>
      </c>
      <c r="E41" s="1097">
        <v>0</v>
      </c>
      <c r="F41" s="8">
        <v>0</v>
      </c>
      <c r="G41" s="210">
        <v>0</v>
      </c>
      <c r="H41" s="8">
        <v>0</v>
      </c>
      <c r="I41" s="308">
        <f t="array" ref="I41">SUM(IF("341"&amp;B41=LEFT(KHN,3)&amp;KH,_TH))</f>
        <v>63000</v>
      </c>
      <c r="J41" s="8">
        <f t="array" ref="J41">SUM(IF("341"&amp;B41=LEFT(KHN,3)&amp;KH,TH))</f>
        <v>1429785000</v>
      </c>
      <c r="K41" s="210">
        <f t="array" ref="K41">SUM(IF("341"&amp;B41=LEFT(KHC,3)&amp;KH,_TH))</f>
        <v>63000</v>
      </c>
      <c r="L41" s="8">
        <f t="array" ref="L41">SUM(IF("341"&amp;B41=LEFT(KHC,3)&amp;KH,TH))</f>
        <v>1429785000</v>
      </c>
      <c r="M41" s="212">
        <f t="shared" si="18"/>
        <v>0</v>
      </c>
      <c r="N41" s="212">
        <f t="shared" si="19"/>
        <v>0</v>
      </c>
      <c r="O41" s="211">
        <f t="shared" si="20"/>
        <v>0</v>
      </c>
      <c r="P41" s="212">
        <f t="shared" si="21"/>
        <v>0</v>
      </c>
    </row>
    <row r="42" spans="1:16" s="10" customFormat="1" ht="18" customHeight="1">
      <c r="A42" s="675">
        <f t="shared" si="22"/>
        <v>38</v>
      </c>
      <c r="B42" s="67" t="s">
        <v>1082</v>
      </c>
      <c r="C42" s="209">
        <v>42788</v>
      </c>
      <c r="D42" s="209">
        <v>0</v>
      </c>
      <c r="E42" s="1097">
        <v>0</v>
      </c>
      <c r="F42" s="8">
        <v>0</v>
      </c>
      <c r="G42" s="210">
        <v>0</v>
      </c>
      <c r="H42" s="8">
        <v>0</v>
      </c>
      <c r="I42" s="308">
        <f t="array" ref="I42">SUM(IF("341"&amp;B42=LEFT(KHN,3)&amp;KH,_TH))</f>
        <v>83500</v>
      </c>
      <c r="J42" s="8">
        <f t="array" ref="J42">SUM(IF("341"&amp;B42=LEFT(KHN,3)&amp;KH,TH))</f>
        <v>1906305000</v>
      </c>
      <c r="K42" s="210">
        <f t="array" ref="K42">SUM(IF("341"&amp;B42=LEFT(KHC,3)&amp;KH,_TH))</f>
        <v>83500</v>
      </c>
      <c r="L42" s="8">
        <f t="array" ref="L42">SUM(IF("341"&amp;B42=LEFT(KHC,3)&amp;KH,TH))</f>
        <v>1906305000</v>
      </c>
      <c r="M42" s="212">
        <f t="shared" si="18"/>
        <v>0</v>
      </c>
      <c r="N42" s="212">
        <f t="shared" si="19"/>
        <v>0</v>
      </c>
      <c r="O42" s="211">
        <f t="shared" si="20"/>
        <v>0</v>
      </c>
      <c r="P42" s="212">
        <f t="shared" si="21"/>
        <v>0</v>
      </c>
    </row>
    <row r="43" spans="1:16" s="10" customFormat="1" ht="18" customHeight="1">
      <c r="A43" s="675">
        <f>IF(B43&lt;&gt;"",ROW()-4,"")</f>
        <v>39</v>
      </c>
      <c r="B43" s="311" t="s">
        <v>1556</v>
      </c>
      <c r="C43" s="209">
        <v>42797</v>
      </c>
      <c r="D43" s="209"/>
      <c r="E43" s="1097">
        <v>0</v>
      </c>
      <c r="F43" s="8">
        <v>0</v>
      </c>
      <c r="G43" s="210">
        <v>0</v>
      </c>
      <c r="H43" s="8">
        <v>0</v>
      </c>
      <c r="I43" s="308">
        <f t="array" ref="I43">SUM(IF("341"&amp;B43=LEFT(KHN,3)&amp;KH,_TH))</f>
        <v>87500</v>
      </c>
      <c r="J43" s="8">
        <f t="array" ref="J43">SUM(IF("341"&amp;B43=LEFT(KHN,3)&amp;KH,TH))</f>
        <v>1997625000</v>
      </c>
      <c r="K43" s="210">
        <f t="array" ref="K43">SUM(IF("341"&amp;B43=LEFT(KHC,3)&amp;KH,_TH))</f>
        <v>87500</v>
      </c>
      <c r="L43" s="8">
        <f t="array" ref="L43">SUM(IF("341"&amp;B43=LEFT(KHC,3)&amp;KH,TH))</f>
        <v>1997625000</v>
      </c>
      <c r="M43" s="212">
        <f>ROUND(MAX(E43+I43-G43-K43,0),2)</f>
        <v>0</v>
      </c>
      <c r="N43" s="212">
        <f>ROUND(MAX(F43+J43-H43-L43,0),2)</f>
        <v>0</v>
      </c>
      <c r="O43" s="211">
        <f>ROUND(MAX(G43+K43-E43-I43,0),2)</f>
        <v>0</v>
      </c>
      <c r="P43" s="212">
        <f>ROUND(MAX(H43+L43-F43-J43,0),2)</f>
        <v>0</v>
      </c>
    </row>
    <row r="44" spans="1:16" s="10" customFormat="1" ht="18" customHeight="1">
      <c r="A44" s="675">
        <f>IF(B44&lt;&gt;"",ROW()-4,"")</f>
        <v>40</v>
      </c>
      <c r="B44" s="67" t="s">
        <v>2449</v>
      </c>
      <c r="C44" s="209">
        <v>42804</v>
      </c>
      <c r="D44" s="209"/>
      <c r="E44" s="1097">
        <v>0</v>
      </c>
      <c r="F44" s="8">
        <v>0</v>
      </c>
      <c r="G44" s="210">
        <v>0</v>
      </c>
      <c r="H44" s="8">
        <v>0</v>
      </c>
      <c r="I44" s="308">
        <f t="array" ref="I44">SUM(IF("341"&amp;B44=LEFT(KHN,3)&amp;KH,_TH))</f>
        <v>23800</v>
      </c>
      <c r="J44" s="8">
        <f t="array" ref="J44">SUM(IF("341"&amp;B44=LEFT(KHN,3)&amp;KH,TH))</f>
        <v>542402000</v>
      </c>
      <c r="K44" s="210">
        <f t="array" ref="K44">SUM(IF("341"&amp;B44=LEFT(KHC,3)&amp;KH,_TH))</f>
        <v>23800</v>
      </c>
      <c r="L44" s="8">
        <f t="array" ref="L44">SUM(IF("341"&amp;B44=LEFT(KHC,3)&amp;KH,TH))</f>
        <v>542402000</v>
      </c>
      <c r="M44" s="212">
        <f>ROUND(MAX(E44+I44-G44-K44,0),2)</f>
        <v>0</v>
      </c>
      <c r="N44" s="212">
        <f>ROUND(MAX(F44+J44-H44-L44,0),2)</f>
        <v>0</v>
      </c>
      <c r="O44" s="211">
        <f>ROUND(MAX(G44+K44-E44-I44,0),2)</f>
        <v>0</v>
      </c>
      <c r="P44" s="212">
        <f>ROUND(MAX(H44+L44-F44-J44,0),2)</f>
        <v>0</v>
      </c>
    </row>
    <row r="45" spans="1:16" s="10" customFormat="1" ht="18" customHeight="1">
      <c r="A45" s="675">
        <f t="shared" ref="A45:A65" si="23">IF(B45&lt;&gt;"",ROW()-4,"")</f>
        <v>41</v>
      </c>
      <c r="B45" s="67" t="s">
        <v>2450</v>
      </c>
      <c r="C45" s="59">
        <v>42814</v>
      </c>
      <c r="D45" s="209"/>
      <c r="E45" s="1097">
        <v>0</v>
      </c>
      <c r="F45" s="8">
        <v>0</v>
      </c>
      <c r="G45" s="210">
        <v>0</v>
      </c>
      <c r="H45" s="8">
        <v>0</v>
      </c>
      <c r="I45" s="308">
        <f t="array" ref="I45">SUM(IF("341"&amp;B45=LEFT(KHN,3)&amp;KH,_TH))</f>
        <v>33700</v>
      </c>
      <c r="J45" s="8">
        <f t="array" ref="J45">SUM(IF("341"&amp;B45=LEFT(KHN,3)&amp;KH,TH))</f>
        <v>767450100</v>
      </c>
      <c r="K45" s="210">
        <f t="array" ref="K45">SUM(IF("341"&amp;B45=LEFT(KHC,3)&amp;KH,_TH))</f>
        <v>33700</v>
      </c>
      <c r="L45" s="8">
        <f t="array" ref="L45">SUM(IF("341"&amp;B45=LEFT(KHC,3)&amp;KH,TH))</f>
        <v>767450100</v>
      </c>
      <c r="M45" s="212">
        <f t="shared" si="18"/>
        <v>0</v>
      </c>
      <c r="N45" s="212">
        <f t="shared" si="19"/>
        <v>0</v>
      </c>
      <c r="O45" s="211">
        <f t="shared" si="20"/>
        <v>0</v>
      </c>
      <c r="P45" s="212">
        <f t="shared" si="21"/>
        <v>0</v>
      </c>
    </row>
    <row r="46" spans="1:16" s="10" customFormat="1" ht="18" customHeight="1">
      <c r="A46" s="675">
        <f>IF(B46&lt;&gt;"",ROW()-4,"")</f>
        <v>42</v>
      </c>
      <c r="B46" s="962" t="s">
        <v>1558</v>
      </c>
      <c r="C46" s="209">
        <v>42828</v>
      </c>
      <c r="D46" s="209"/>
      <c r="E46" s="1097">
        <v>0</v>
      </c>
      <c r="F46" s="8">
        <v>0</v>
      </c>
      <c r="G46" s="210">
        <v>0</v>
      </c>
      <c r="H46" s="8">
        <v>0</v>
      </c>
      <c r="I46" s="308">
        <f t="array" ref="I46">SUM(IF("341"&amp;B46=LEFT(KHN,3)&amp;KH,_TH))</f>
        <v>96000</v>
      </c>
      <c r="J46" s="8">
        <f t="array" ref="J46">SUM(IF("341"&amp;B46=LEFT(KHN,3)&amp;KH,TH))</f>
        <v>2182176000</v>
      </c>
      <c r="K46" s="210">
        <f t="array" ref="K46">SUM(IF("341"&amp;B46=LEFT(KHC,3)&amp;KH,_TH))</f>
        <v>96000</v>
      </c>
      <c r="L46" s="8">
        <f t="array" ref="L46">SUM(IF("341"&amp;B46=LEFT(KHC,3)&amp;KH,TH))</f>
        <v>2182176000</v>
      </c>
      <c r="M46" s="212">
        <f t="shared" ref="M46:N48" si="24">ROUND(MAX(E46+I46-G46-K46,0),2)</f>
        <v>0</v>
      </c>
      <c r="N46" s="212">
        <f t="shared" si="24"/>
        <v>0</v>
      </c>
      <c r="O46" s="211">
        <f t="shared" ref="O46:P48" si="25">ROUND(MAX(G46+K46-E46-I46,0),2)</f>
        <v>0</v>
      </c>
      <c r="P46" s="212">
        <f t="shared" si="25"/>
        <v>0</v>
      </c>
    </row>
    <row r="47" spans="1:16" s="10" customFormat="1" ht="18" customHeight="1">
      <c r="A47" s="675">
        <f>IF(B47&lt;&gt;"",ROW()-4,"")</f>
        <v>43</v>
      </c>
      <c r="B47" s="67" t="s">
        <v>2462</v>
      </c>
      <c r="C47" s="209">
        <v>42843</v>
      </c>
      <c r="D47" s="209"/>
      <c r="E47" s="1097">
        <v>0</v>
      </c>
      <c r="F47" s="8">
        <v>0</v>
      </c>
      <c r="G47" s="210">
        <v>0</v>
      </c>
      <c r="H47" s="8">
        <v>0</v>
      </c>
      <c r="I47" s="308">
        <f t="array" ref="I47">SUM(IF("341"&amp;B47=LEFT(KHN,3)&amp;KH,_TH))</f>
        <v>110000</v>
      </c>
      <c r="J47" s="8">
        <f t="array" ref="J47">SUM(IF("341"&amp;B47=LEFT(KHN,3)&amp;KH,TH))</f>
        <v>2499241061</v>
      </c>
      <c r="K47" s="210">
        <f t="array" ref="K47">SUM(IF("341"&amp;B47=LEFT(KHC,3)&amp;KH,_TH))</f>
        <v>110000</v>
      </c>
      <c r="L47" s="8">
        <f t="array" ref="L47">SUM(IF("341"&amp;B47=LEFT(KHC,3)&amp;KH,TH))</f>
        <v>2499241061</v>
      </c>
      <c r="M47" s="212">
        <f t="shared" si="24"/>
        <v>0</v>
      </c>
      <c r="N47" s="212">
        <f t="shared" si="24"/>
        <v>0</v>
      </c>
      <c r="O47" s="211">
        <f t="shared" si="25"/>
        <v>0</v>
      </c>
      <c r="P47" s="212">
        <f t="shared" si="25"/>
        <v>0</v>
      </c>
    </row>
    <row r="48" spans="1:16" s="10" customFormat="1" ht="18" customHeight="1">
      <c r="A48" s="675">
        <f>IF(B48&lt;&gt;"",ROW()-4,"")</f>
        <v>44</v>
      </c>
      <c r="B48" s="957" t="s">
        <v>2034</v>
      </c>
      <c r="C48" s="209">
        <v>42845</v>
      </c>
      <c r="D48" s="209"/>
      <c r="E48" s="1097">
        <v>0</v>
      </c>
      <c r="F48" s="8">
        <v>0</v>
      </c>
      <c r="G48" s="210">
        <v>0</v>
      </c>
      <c r="H48" s="8">
        <v>0</v>
      </c>
      <c r="I48" s="308">
        <f t="array" ref="I48">SUM(IF("341"&amp;B48=LEFT(KHN,3)&amp;KH,_TH))</f>
        <v>273000</v>
      </c>
      <c r="J48" s="8">
        <f t="array" ref="J48">SUM(IF("341"&amp;B48=LEFT(KHN,3)&amp;KH,TH))</f>
        <v>6198930000</v>
      </c>
      <c r="K48" s="210">
        <f t="array" ref="K48">SUM(IF("341"&amp;B48=LEFT(KHC,3)&amp;KH,_TH))</f>
        <v>273000</v>
      </c>
      <c r="L48" s="8">
        <f t="array" ref="L48">SUM(IF("341"&amp;B48=LEFT(KHC,3)&amp;KH,TH))</f>
        <v>6198930000</v>
      </c>
      <c r="M48" s="212">
        <f t="shared" si="24"/>
        <v>0</v>
      </c>
      <c r="N48" s="212">
        <f t="shared" si="24"/>
        <v>0</v>
      </c>
      <c r="O48" s="211">
        <f t="shared" si="25"/>
        <v>0</v>
      </c>
      <c r="P48" s="212">
        <f t="shared" si="25"/>
        <v>0</v>
      </c>
    </row>
    <row r="49" spans="1:16" s="10" customFormat="1" ht="18" customHeight="1">
      <c r="A49" s="675">
        <f t="shared" si="23"/>
        <v>45</v>
      </c>
      <c r="B49" s="311" t="s">
        <v>1555</v>
      </c>
      <c r="C49" s="209">
        <v>42851</v>
      </c>
      <c r="D49" s="209"/>
      <c r="E49" s="1097">
        <v>0</v>
      </c>
      <c r="F49" s="8">
        <v>0</v>
      </c>
      <c r="G49" s="210">
        <v>0</v>
      </c>
      <c r="H49" s="8">
        <v>0</v>
      </c>
      <c r="I49" s="308">
        <f t="array" ref="I49">SUM(IF("341"&amp;B49=LEFT(KHN,3)&amp;KH,_TH))</f>
        <v>40000</v>
      </c>
      <c r="J49" s="8">
        <f t="array" ref="J49">SUM(IF("341"&amp;B49=LEFT(KHN,3)&amp;KH,TH))</f>
        <v>908800000</v>
      </c>
      <c r="K49" s="210">
        <f t="array" ref="K49">SUM(IF("341"&amp;B49=LEFT(KHC,3)&amp;KH,_TH))</f>
        <v>40000</v>
      </c>
      <c r="L49" s="8">
        <f t="array" ref="L49">SUM(IF("341"&amp;B49=LEFT(KHC,3)&amp;KH,TH))</f>
        <v>908800000</v>
      </c>
      <c r="M49" s="212">
        <f t="shared" si="18"/>
        <v>0</v>
      </c>
      <c r="N49" s="212">
        <f t="shared" si="19"/>
        <v>0</v>
      </c>
      <c r="O49" s="211">
        <f t="shared" si="20"/>
        <v>0</v>
      </c>
      <c r="P49" s="212">
        <f t="shared" si="21"/>
        <v>0</v>
      </c>
    </row>
    <row r="50" spans="1:16" s="10" customFormat="1" ht="18" customHeight="1">
      <c r="A50" s="675">
        <f>IF(B50&lt;&gt;"",ROW()-4,"")</f>
        <v>46</v>
      </c>
      <c r="B50" s="957" t="s">
        <v>1557</v>
      </c>
      <c r="C50" s="209">
        <v>42852</v>
      </c>
      <c r="D50" s="209"/>
      <c r="E50" s="1097">
        <v>0</v>
      </c>
      <c r="F50" s="8">
        <v>0</v>
      </c>
      <c r="G50" s="210">
        <v>0</v>
      </c>
      <c r="H50" s="8">
        <v>0</v>
      </c>
      <c r="I50" s="308">
        <f t="array" ref="I50">SUM(IF("341"&amp;B50=LEFT(KHN,3)&amp;KH,_TH))</f>
        <v>110000</v>
      </c>
      <c r="J50" s="8">
        <f t="array" ref="J50">SUM(IF("341"&amp;B50=LEFT(KHN,3)&amp;KH,TH))</f>
        <v>2499200000</v>
      </c>
      <c r="K50" s="210">
        <f t="array" ref="K50">SUM(IF("341"&amp;B50=LEFT(KHC,3)&amp;KH,_TH))</f>
        <v>110000</v>
      </c>
      <c r="L50" s="8">
        <f t="array" ref="L50">SUM(IF("341"&amp;B50=LEFT(KHC,3)&amp;KH,TH))</f>
        <v>2499200000</v>
      </c>
      <c r="M50" s="212">
        <f>ROUND(MAX(E50+I50-G50-K50,0),2)</f>
        <v>0</v>
      </c>
      <c r="N50" s="212">
        <f>ROUND(MAX(F50+J50-H50-L50,0),2)</f>
        <v>0</v>
      </c>
      <c r="O50" s="211">
        <f>ROUND(MAX(G50+K50-E50-I50,0),2)</f>
        <v>0</v>
      </c>
      <c r="P50" s="212">
        <f>ROUND(MAX(H50+L50-F50-J50,0),2)</f>
        <v>0</v>
      </c>
    </row>
    <row r="51" spans="1:16" s="10" customFormat="1" ht="18" customHeight="1">
      <c r="A51" s="675">
        <f>IF(B51&lt;&gt;"",ROW()-4,"")</f>
        <v>47</v>
      </c>
      <c r="B51" s="957" t="s">
        <v>1561</v>
      </c>
      <c r="C51" s="209">
        <v>42853</v>
      </c>
      <c r="D51" s="209"/>
      <c r="E51" s="1097">
        <v>0</v>
      </c>
      <c r="F51" s="8">
        <v>0</v>
      </c>
      <c r="G51" s="210">
        <v>0</v>
      </c>
      <c r="H51" s="8">
        <v>0</v>
      </c>
      <c r="I51" s="308">
        <f t="array" ref="I51">SUM(IF("341"&amp;B51=LEFT(KHN,3)&amp;KH,_TH))</f>
        <v>40000</v>
      </c>
      <c r="J51" s="8">
        <f t="array" ref="J51">SUM(IF("341"&amp;B51=LEFT(KHN,3)&amp;KH,TH))</f>
        <v>908800000</v>
      </c>
      <c r="K51" s="210">
        <f t="array" ref="K51">SUM(IF("341"&amp;B51=LEFT(KHC,3)&amp;KH,_TH))</f>
        <v>40000</v>
      </c>
      <c r="L51" s="8">
        <f t="array" ref="L51">SUM(IF("341"&amp;B51=LEFT(KHC,3)&amp;KH,TH))</f>
        <v>908800000</v>
      </c>
      <c r="M51" s="212">
        <f>ROUND(MAX(E51+I51-G51-K51,0),2)</f>
        <v>0</v>
      </c>
      <c r="N51" s="212">
        <f>ROUND(MAX(F51+J51-H51-L51,0),2)</f>
        <v>0</v>
      </c>
      <c r="O51" s="211">
        <f>ROUND(MAX(G51+K51-E51-I51,0),2)</f>
        <v>0</v>
      </c>
      <c r="P51" s="212">
        <f>ROUND(MAX(H51+L51-F51-J51,0),2)</f>
        <v>0</v>
      </c>
    </row>
    <row r="52" spans="1:16" s="10" customFormat="1" ht="18" customHeight="1">
      <c r="A52" s="675">
        <f t="shared" si="23"/>
        <v>48</v>
      </c>
      <c r="B52" s="294" t="s">
        <v>1559</v>
      </c>
      <c r="C52" s="209">
        <v>42863</v>
      </c>
      <c r="D52" s="209"/>
      <c r="E52" s="1097">
        <v>0</v>
      </c>
      <c r="F52" s="8">
        <v>0</v>
      </c>
      <c r="G52" s="210">
        <v>0</v>
      </c>
      <c r="H52" s="8">
        <v>0</v>
      </c>
      <c r="I52" s="308">
        <f t="array" ref="I52">SUM(IF("341"&amp;B52=LEFT(KHN,3)&amp;KH,_TH))</f>
        <v>82000</v>
      </c>
      <c r="J52" s="8">
        <f t="array" ref="J52">SUM(IF("341"&amp;B52=LEFT(KHN,3)&amp;KH,TH))</f>
        <v>1862630000</v>
      </c>
      <c r="K52" s="210">
        <f t="array" ref="K52">SUM(IF("341"&amp;B52=LEFT(KHC,3)&amp;KH,_TH))</f>
        <v>82000</v>
      </c>
      <c r="L52" s="8">
        <f t="array" ref="L52">SUM(IF("341"&amp;B52=LEFT(KHC,3)&amp;KH,TH))</f>
        <v>1862630000</v>
      </c>
      <c r="M52" s="212">
        <f t="shared" si="18"/>
        <v>0</v>
      </c>
      <c r="N52" s="212">
        <f t="shared" si="19"/>
        <v>0</v>
      </c>
      <c r="O52" s="211">
        <f t="shared" si="20"/>
        <v>0</v>
      </c>
      <c r="P52" s="212">
        <f t="shared" si="21"/>
        <v>0</v>
      </c>
    </row>
    <row r="53" spans="1:16" s="10" customFormat="1" ht="18" customHeight="1">
      <c r="A53" s="675">
        <f t="shared" si="23"/>
        <v>49</v>
      </c>
      <c r="B53" s="294" t="s">
        <v>1560</v>
      </c>
      <c r="C53" s="209">
        <v>42867</v>
      </c>
      <c r="D53" s="209"/>
      <c r="E53" s="1097">
        <v>0</v>
      </c>
      <c r="F53" s="8">
        <v>0</v>
      </c>
      <c r="G53" s="210">
        <v>0</v>
      </c>
      <c r="H53" s="8">
        <v>0</v>
      </c>
      <c r="I53" s="308">
        <f t="array" ref="I53">SUM(IF("341"&amp;B53=LEFT(KHN,3)&amp;KH,_TH))</f>
        <v>89000</v>
      </c>
      <c r="J53" s="8">
        <f t="array" ref="J53">SUM(IF("341"&amp;B53=LEFT(KHN,3)&amp;KH,TH))</f>
        <v>2021190000</v>
      </c>
      <c r="K53" s="210">
        <f t="array" ref="K53">SUM(IF("341"&amp;B53=LEFT(KHC,3)&amp;KH,_TH))</f>
        <v>89000</v>
      </c>
      <c r="L53" s="8">
        <f t="array" ref="L53">SUM(IF("341"&amp;B53=LEFT(KHC,3)&amp;KH,TH))</f>
        <v>2021190000</v>
      </c>
      <c r="M53" s="212">
        <f t="shared" si="18"/>
        <v>0</v>
      </c>
      <c r="N53" s="212">
        <f t="shared" si="19"/>
        <v>0</v>
      </c>
      <c r="O53" s="211">
        <f t="shared" si="20"/>
        <v>0</v>
      </c>
      <c r="P53" s="212">
        <f t="shared" si="21"/>
        <v>0</v>
      </c>
    </row>
    <row r="54" spans="1:16" s="10" customFormat="1" ht="18" customHeight="1">
      <c r="A54" s="675">
        <f>IF(B54&lt;&gt;"",ROW()-4,"")</f>
        <v>50</v>
      </c>
      <c r="B54" s="67" t="s">
        <v>2451</v>
      </c>
      <c r="C54" s="209">
        <v>42872</v>
      </c>
      <c r="D54" s="209"/>
      <c r="E54" s="1097">
        <v>0</v>
      </c>
      <c r="F54" s="8">
        <v>0</v>
      </c>
      <c r="G54" s="210">
        <v>0</v>
      </c>
      <c r="H54" s="8">
        <v>0</v>
      </c>
      <c r="I54" s="308">
        <f t="array" ref="I54">SUM(IF("341"&amp;B54=LEFT(KHN,3)&amp;KH,_TH))</f>
        <v>78500</v>
      </c>
      <c r="J54" s="8">
        <f t="array" ref="J54">SUM(IF("341"&amp;B54=LEFT(KHN,3)&amp;KH,TH))</f>
        <v>1781950000</v>
      </c>
      <c r="K54" s="210">
        <f t="array" ref="K54">SUM(IF("341"&amp;B54=LEFT(KHC,3)&amp;KH,_TH))</f>
        <v>78500</v>
      </c>
      <c r="L54" s="8">
        <f t="array" ref="L54">SUM(IF("341"&amp;B54=LEFT(KHC,3)&amp;KH,TH))</f>
        <v>1781950000</v>
      </c>
      <c r="M54" s="212">
        <f>ROUND(MAX(E54+I54-G54-K54,0),2)</f>
        <v>0</v>
      </c>
      <c r="N54" s="212">
        <f>ROUND(MAX(F54+J54-H54-L54,0),2)</f>
        <v>0</v>
      </c>
      <c r="O54" s="211">
        <f>ROUND(MAX(G54+K54-E54-I54,0),2)</f>
        <v>0</v>
      </c>
      <c r="P54" s="212">
        <f>ROUND(MAX(H54+L54-F54-J54,0),2)</f>
        <v>0</v>
      </c>
    </row>
    <row r="55" spans="1:16" s="10" customFormat="1" ht="18" customHeight="1">
      <c r="A55" s="675">
        <f t="shared" si="23"/>
        <v>51</v>
      </c>
      <c r="B55" s="294" t="s">
        <v>2452</v>
      </c>
      <c r="C55" s="209">
        <v>42872</v>
      </c>
      <c r="D55" s="209"/>
      <c r="E55" s="1097">
        <v>0</v>
      </c>
      <c r="F55" s="8">
        <v>0</v>
      </c>
      <c r="G55" s="210">
        <v>0</v>
      </c>
      <c r="H55" s="8">
        <v>0</v>
      </c>
      <c r="I55" s="308">
        <f t="array" ref="I55">SUM(IF("341"&amp;B55=LEFT(KHN,3)&amp;KH,_TH))</f>
        <v>36000</v>
      </c>
      <c r="J55" s="8">
        <f t="array" ref="J55">SUM(IF("341"&amp;B55=LEFT(KHN,3)&amp;KH,TH))</f>
        <v>817200000</v>
      </c>
      <c r="K55" s="210">
        <f t="array" ref="K55">SUM(IF("341"&amp;B55=LEFT(KHC,3)&amp;KH,_TH))</f>
        <v>36000</v>
      </c>
      <c r="L55" s="8">
        <f t="array" ref="L55">SUM(IF("341"&amp;B55=LEFT(KHC,3)&amp;KH,TH))</f>
        <v>817200000</v>
      </c>
      <c r="M55" s="212">
        <f t="shared" si="18"/>
        <v>0</v>
      </c>
      <c r="N55" s="212">
        <f t="shared" si="19"/>
        <v>0</v>
      </c>
      <c r="O55" s="211">
        <f t="shared" si="20"/>
        <v>0</v>
      </c>
      <c r="P55" s="212">
        <f t="shared" si="21"/>
        <v>0</v>
      </c>
    </row>
    <row r="56" spans="1:16" s="10" customFormat="1" ht="18" customHeight="1">
      <c r="A56" s="675">
        <f>IF(B56&lt;&gt;"",ROW()-4,"")</f>
        <v>52</v>
      </c>
      <c r="B56" s="67" t="s">
        <v>2453</v>
      </c>
      <c r="C56" s="767">
        <v>42877</v>
      </c>
      <c r="D56" s="767"/>
      <c r="E56" s="1097">
        <v>0</v>
      </c>
      <c r="F56" s="8">
        <v>0</v>
      </c>
      <c r="G56" s="210">
        <v>0</v>
      </c>
      <c r="H56" s="8">
        <v>0</v>
      </c>
      <c r="I56" s="308">
        <f t="array" ref="I56">SUM(IF("341"&amp;B56=LEFT(KHN,3)&amp;KH,_TH))</f>
        <v>41000</v>
      </c>
      <c r="J56" s="8">
        <f t="array" ref="J56">SUM(IF("341"&amp;B56=LEFT(KHN,3)&amp;KH,TH))</f>
        <v>930450109</v>
      </c>
      <c r="K56" s="210">
        <f t="array" ref="K56">SUM(IF("341"&amp;B56=LEFT(KHC,3)&amp;KH,_TH))</f>
        <v>41000</v>
      </c>
      <c r="L56" s="8">
        <f t="array" ref="L56">SUM(IF("341"&amp;B56=LEFT(KHC,3)&amp;KH,TH))</f>
        <v>930450109</v>
      </c>
      <c r="M56" s="212">
        <f>ROUND(MAX(E56+I56-G56-K56,0),2)</f>
        <v>0</v>
      </c>
      <c r="N56" s="212">
        <f>ROUND(MAX(F56+J56-H56-L56,0),2)</f>
        <v>0</v>
      </c>
      <c r="O56" s="211">
        <f>ROUND(MAX(G56+K56-E56-I56,0),2)</f>
        <v>0</v>
      </c>
      <c r="P56" s="212">
        <f>ROUND(MAX(H56+L56-F56-J56,0),2)</f>
        <v>0</v>
      </c>
    </row>
    <row r="57" spans="1:16" s="10" customFormat="1" ht="18" customHeight="1">
      <c r="A57" s="675">
        <f t="shared" si="23"/>
        <v>53</v>
      </c>
      <c r="B57" s="67" t="s">
        <v>2454</v>
      </c>
      <c r="C57" s="209">
        <v>42880</v>
      </c>
      <c r="D57" s="209"/>
      <c r="E57" s="1097">
        <v>0</v>
      </c>
      <c r="F57" s="8">
        <v>0</v>
      </c>
      <c r="G57" s="210">
        <v>0</v>
      </c>
      <c r="H57" s="8">
        <v>0</v>
      </c>
      <c r="I57" s="308">
        <f t="array" ref="I57">SUM(IF("341"&amp;B57=LEFT(KHN,3)&amp;KH,_TH))</f>
        <v>50000</v>
      </c>
      <c r="J57" s="8">
        <f t="array" ref="J57">SUM(IF("341"&amp;B57=LEFT(KHN,3)&amp;KH,TH))</f>
        <v>1135000000</v>
      </c>
      <c r="K57" s="210">
        <f t="array" ref="K57">SUM(IF("341"&amp;B57=LEFT(KHC,3)&amp;KH,_TH))</f>
        <v>50000</v>
      </c>
      <c r="L57" s="8">
        <f t="array" ref="L57">SUM(IF("341"&amp;B57=LEFT(KHC,3)&amp;KH,TH))</f>
        <v>1135000000</v>
      </c>
      <c r="M57" s="212">
        <f t="shared" si="18"/>
        <v>0</v>
      </c>
      <c r="N57" s="212">
        <f t="shared" si="19"/>
        <v>0</v>
      </c>
      <c r="O57" s="211">
        <f t="shared" si="20"/>
        <v>0</v>
      </c>
      <c r="P57" s="212">
        <f t="shared" si="21"/>
        <v>0</v>
      </c>
    </row>
    <row r="58" spans="1:16" s="10" customFormat="1" ht="18" customHeight="1">
      <c r="A58" s="675">
        <f>IF(B58&lt;&gt;"",ROW()-4,"")</f>
        <v>54</v>
      </c>
      <c r="B58" s="67" t="s">
        <v>1609</v>
      </c>
      <c r="C58" s="209">
        <v>42892</v>
      </c>
      <c r="D58" s="209"/>
      <c r="E58" s="1097">
        <v>0</v>
      </c>
      <c r="F58" s="8">
        <v>0</v>
      </c>
      <c r="G58" s="210">
        <v>0</v>
      </c>
      <c r="H58" s="8">
        <v>0</v>
      </c>
      <c r="I58" s="308">
        <f t="array" ref="I58">SUM(IF("341"&amp;B58=LEFT(KHN,3)&amp;KH,_TH))</f>
        <v>70000</v>
      </c>
      <c r="J58" s="8">
        <f t="array" ref="J58">SUM(IF("341"&amp;B58=LEFT(KHN,3)&amp;KH,TH))</f>
        <v>1589000000</v>
      </c>
      <c r="K58" s="210">
        <f t="array" ref="K58">SUM(IF("341"&amp;B58=LEFT(KHC,3)&amp;KH,_TH))</f>
        <v>70000</v>
      </c>
      <c r="L58" s="8">
        <f t="array" ref="L58">SUM(IF("341"&amp;B58=LEFT(KHC,3)&amp;KH,TH))</f>
        <v>1589000000</v>
      </c>
      <c r="M58" s="212">
        <f>ROUND(MAX(E58+I58-G58-K58,0),2)</f>
        <v>0</v>
      </c>
      <c r="N58" s="212">
        <f>ROUND(MAX(F58+J58-H58-L58,0),2)</f>
        <v>0</v>
      </c>
      <c r="O58" s="211">
        <f>ROUND(MAX(G58+K58-E58-I58,0),2)</f>
        <v>0</v>
      </c>
      <c r="P58" s="212">
        <f>ROUND(MAX(H58+L58-F58-J58,0),2)</f>
        <v>0</v>
      </c>
    </row>
    <row r="59" spans="1:16" s="10" customFormat="1" ht="18" customHeight="1">
      <c r="A59" s="675">
        <f t="shared" si="23"/>
        <v>55</v>
      </c>
      <c r="B59" s="67" t="s">
        <v>2455</v>
      </c>
      <c r="C59" s="209">
        <v>42899</v>
      </c>
      <c r="D59" s="209"/>
      <c r="E59" s="1097">
        <v>0</v>
      </c>
      <c r="F59" s="8">
        <v>0</v>
      </c>
      <c r="G59" s="210">
        <v>0</v>
      </c>
      <c r="H59" s="8">
        <v>0</v>
      </c>
      <c r="I59" s="308">
        <f t="array" ref="I59">SUM(IF("341"&amp;B59=LEFT(KHN,3)&amp;KH,_TH))</f>
        <v>80900</v>
      </c>
      <c r="J59" s="8">
        <f t="array" ref="J59">SUM(IF("341"&amp;B59=LEFT(KHN,3)&amp;KH,TH))</f>
        <v>1836430000</v>
      </c>
      <c r="K59" s="210">
        <f t="array" ref="K59">SUM(IF("341"&amp;B59=LEFT(KHC,3)&amp;KH,_TH))</f>
        <v>80900</v>
      </c>
      <c r="L59" s="8">
        <f t="array" ref="L59">SUM(IF("341"&amp;B59=LEFT(KHC,3)&amp;KH,TH))</f>
        <v>1836430000</v>
      </c>
      <c r="M59" s="212">
        <f t="shared" si="18"/>
        <v>0</v>
      </c>
      <c r="N59" s="212">
        <f t="shared" si="19"/>
        <v>0</v>
      </c>
      <c r="O59" s="211">
        <f t="shared" si="20"/>
        <v>0</v>
      </c>
      <c r="P59" s="212">
        <f t="shared" si="21"/>
        <v>0</v>
      </c>
    </row>
    <row r="60" spans="1:16" s="10" customFormat="1" ht="18" customHeight="1">
      <c r="A60" s="675">
        <f t="shared" si="23"/>
        <v>56</v>
      </c>
      <c r="B60" s="67" t="s">
        <v>2442</v>
      </c>
      <c r="C60" s="209">
        <v>42899</v>
      </c>
      <c r="D60" s="209"/>
      <c r="E60" s="1097">
        <v>0</v>
      </c>
      <c r="F60" s="8">
        <v>0</v>
      </c>
      <c r="G60" s="210">
        <v>0</v>
      </c>
      <c r="H60" s="8">
        <v>0</v>
      </c>
      <c r="I60" s="308">
        <f t="array" ref="I60">SUM(IF("341"&amp;B60=LEFT(KHN,3)&amp;KH,_TH))</f>
        <v>67000</v>
      </c>
      <c r="J60" s="8">
        <f t="array" ref="J60">SUM(IF("341"&amp;B60=LEFT(KHN,3)&amp;KH,TH))</f>
        <v>1520900000</v>
      </c>
      <c r="K60" s="210">
        <f t="array" ref="K60">SUM(IF("341"&amp;B60=LEFT(KHC,3)&amp;KH,_TH))</f>
        <v>67000</v>
      </c>
      <c r="L60" s="8">
        <f t="array" ref="L60">SUM(IF("341"&amp;B60=LEFT(KHC,3)&amp;KH,TH))</f>
        <v>1520900000</v>
      </c>
      <c r="M60" s="212">
        <f t="shared" si="18"/>
        <v>0</v>
      </c>
      <c r="N60" s="212">
        <f t="shared" si="19"/>
        <v>0</v>
      </c>
      <c r="O60" s="211">
        <f t="shared" si="20"/>
        <v>0</v>
      </c>
      <c r="P60" s="212">
        <f t="shared" si="21"/>
        <v>0</v>
      </c>
    </row>
    <row r="61" spans="1:16" s="10" customFormat="1" ht="18" customHeight="1">
      <c r="A61" s="675">
        <f t="shared" si="23"/>
        <v>57</v>
      </c>
      <c r="B61" s="67" t="s">
        <v>2473</v>
      </c>
      <c r="C61" s="209">
        <v>42914</v>
      </c>
      <c r="D61" s="209"/>
      <c r="E61" s="1097">
        <v>0</v>
      </c>
      <c r="F61" s="8">
        <v>0</v>
      </c>
      <c r="G61" s="210">
        <v>0</v>
      </c>
      <c r="H61" s="8">
        <v>0</v>
      </c>
      <c r="I61" s="308">
        <f t="array" ref="I61">SUM(IF("341"&amp;B61=LEFT(KHN,3)&amp;KH,_TH))</f>
        <v>61700</v>
      </c>
      <c r="J61" s="8">
        <f t="array" ref="J61">SUM(IF("341"&amp;B61=LEFT(KHN,3)&amp;KH,TH))</f>
        <v>1401947400</v>
      </c>
      <c r="K61" s="210">
        <f t="array" ref="K61">SUM(IF("341"&amp;B61=LEFT(KHC,3)&amp;KH,_TH))</f>
        <v>61700</v>
      </c>
      <c r="L61" s="8">
        <f t="array" ref="L61">SUM(IF("341"&amp;B61=LEFT(KHC,3)&amp;KH,TH))</f>
        <v>1401947400</v>
      </c>
      <c r="M61" s="212">
        <f t="shared" si="18"/>
        <v>0</v>
      </c>
      <c r="N61" s="212">
        <f t="shared" si="19"/>
        <v>0</v>
      </c>
      <c r="O61" s="211">
        <f t="shared" si="20"/>
        <v>0</v>
      </c>
      <c r="P61" s="212">
        <f t="shared" si="21"/>
        <v>0</v>
      </c>
    </row>
    <row r="62" spans="1:16" s="10" customFormat="1" ht="18" customHeight="1">
      <c r="A62" s="675">
        <f>IF(B62&lt;&gt;"",ROW()-4,"")</f>
        <v>58</v>
      </c>
      <c r="B62" s="67" t="s">
        <v>1725</v>
      </c>
      <c r="C62" s="209">
        <v>42914</v>
      </c>
      <c r="D62" s="209"/>
      <c r="E62" s="1097">
        <v>0</v>
      </c>
      <c r="F62" s="8">
        <v>0</v>
      </c>
      <c r="G62" s="210">
        <v>0</v>
      </c>
      <c r="H62" s="8">
        <v>0</v>
      </c>
      <c r="I62" s="308">
        <f t="array" ref="I62">SUM(IF("341"&amp;B62=LEFT(KHN,3)&amp;KH,_TH))</f>
        <v>84000</v>
      </c>
      <c r="J62" s="8">
        <f t="array" ref="J62">SUM(IF("341"&amp;B62=LEFT(KHN,3)&amp;KH,TH))</f>
        <v>1908648000</v>
      </c>
      <c r="K62" s="210">
        <f t="array" ref="K62">SUM(IF("341"&amp;B62=LEFT(KHC,3)&amp;KH,_TH))</f>
        <v>84000</v>
      </c>
      <c r="L62" s="8">
        <f t="array" ref="L62">SUM(IF("341"&amp;B62=LEFT(KHC,3)&amp;KH,TH))</f>
        <v>1908648000</v>
      </c>
      <c r="M62" s="212">
        <f>ROUND(MAX(E62+I62-G62-K62,0),2)</f>
        <v>0</v>
      </c>
      <c r="N62" s="212">
        <f>ROUND(MAX(F62+J62-H62-L62,0),2)</f>
        <v>0</v>
      </c>
      <c r="O62" s="211">
        <f>ROUND(MAX(G62+K62-E62-I62,0),2)</f>
        <v>0</v>
      </c>
      <c r="P62" s="212">
        <f>ROUND(MAX(H62+L62-F62-J62,0),2)</f>
        <v>0</v>
      </c>
    </row>
    <row r="63" spans="1:16" s="10" customFormat="1" ht="18" customHeight="1">
      <c r="A63" s="675">
        <f t="shared" si="23"/>
        <v>59</v>
      </c>
      <c r="B63" s="67" t="s">
        <v>1781</v>
      </c>
      <c r="C63" s="209">
        <v>42921</v>
      </c>
      <c r="D63" s="209"/>
      <c r="E63" s="1097">
        <v>0</v>
      </c>
      <c r="F63" s="8">
        <v>0</v>
      </c>
      <c r="G63" s="210">
        <v>0</v>
      </c>
      <c r="H63" s="8">
        <v>0</v>
      </c>
      <c r="I63" s="308">
        <f t="array" ref="I63">SUM(IF("341"&amp;B63=LEFT(KHN,3)&amp;KH,_TH))</f>
        <v>92500</v>
      </c>
      <c r="J63" s="8">
        <f t="array" ref="J63">SUM(IF("341"&amp;B63=LEFT(KHN,3)&amp;KH,TH))</f>
        <v>2102710000</v>
      </c>
      <c r="K63" s="210">
        <f t="array" ref="K63">SUM(IF("341"&amp;B63=LEFT(KHC,3)&amp;KH,_TH))</f>
        <v>92500</v>
      </c>
      <c r="L63" s="8">
        <f t="array" ref="L63">SUM(IF("341"&amp;B63=LEFT(KHC,3)&amp;KH,TH))</f>
        <v>2102710000</v>
      </c>
      <c r="M63" s="212">
        <f t="shared" si="18"/>
        <v>0</v>
      </c>
      <c r="N63" s="212">
        <f t="shared" si="19"/>
        <v>0</v>
      </c>
      <c r="O63" s="211">
        <f t="shared" si="20"/>
        <v>0</v>
      </c>
      <c r="P63" s="212">
        <f t="shared" si="21"/>
        <v>0</v>
      </c>
    </row>
    <row r="64" spans="1:16" s="10" customFormat="1" ht="18" customHeight="1">
      <c r="A64" s="675">
        <f t="shared" si="23"/>
        <v>60</v>
      </c>
      <c r="B64" s="67" t="s">
        <v>2460</v>
      </c>
      <c r="C64" s="209">
        <v>42928</v>
      </c>
      <c r="D64" s="209"/>
      <c r="E64" s="1097">
        <v>0</v>
      </c>
      <c r="F64" s="8">
        <v>0</v>
      </c>
      <c r="G64" s="210">
        <v>0</v>
      </c>
      <c r="H64" s="8">
        <v>0</v>
      </c>
      <c r="I64" s="308">
        <f t="array" ref="I64">SUM(IF("341"&amp;B64=LEFT(KHN,3)&amp;KH,_TH))</f>
        <v>60800</v>
      </c>
      <c r="J64" s="8">
        <f t="array" ref="J64">SUM(IF("341"&amp;B64=LEFT(KHN,3)&amp;KH,TH))</f>
        <v>1381680000</v>
      </c>
      <c r="K64" s="210">
        <f t="array" ref="K64">SUM(IF("341"&amp;B64=LEFT(KHC,3)&amp;KH,_TH))</f>
        <v>60800</v>
      </c>
      <c r="L64" s="8">
        <f t="array" ref="L64">SUM(IF("341"&amp;B64=LEFT(KHC,3)&amp;KH,TH))</f>
        <v>1381680000</v>
      </c>
      <c r="M64" s="212">
        <f t="shared" si="18"/>
        <v>0</v>
      </c>
      <c r="N64" s="212">
        <f t="shared" si="19"/>
        <v>0</v>
      </c>
      <c r="O64" s="211">
        <f t="shared" si="20"/>
        <v>0</v>
      </c>
      <c r="P64" s="212">
        <f t="shared" si="21"/>
        <v>0</v>
      </c>
    </row>
    <row r="65" spans="1:16" s="1123" customFormat="1" ht="18" customHeight="1">
      <c r="A65" s="1121">
        <f t="shared" si="23"/>
        <v>61</v>
      </c>
      <c r="B65" s="67" t="s">
        <v>2457</v>
      </c>
      <c r="C65" s="767">
        <v>42944</v>
      </c>
      <c r="D65" s="767"/>
      <c r="E65" s="1097">
        <v>0</v>
      </c>
      <c r="F65" s="8">
        <v>0</v>
      </c>
      <c r="G65" s="210">
        <v>0</v>
      </c>
      <c r="H65" s="8">
        <v>0</v>
      </c>
      <c r="I65" s="308">
        <f t="array" ref="I65">SUM(IF("341"&amp;B65=LEFT(KHN,3)&amp;KH,_TH))</f>
        <v>30200</v>
      </c>
      <c r="J65" s="8">
        <f t="array" ref="J65">SUM(IF("341"&amp;B65=LEFT(KHN,3)&amp;KH,TH))</f>
        <v>686144000</v>
      </c>
      <c r="K65" s="210">
        <f t="array" ref="K65">SUM(IF("341"&amp;B65=LEFT(KHC,3)&amp;KH,_TH))</f>
        <v>30200</v>
      </c>
      <c r="L65" s="8">
        <f t="array" ref="L65">SUM(IF("341"&amp;B65=LEFT(KHC,3)&amp;KH,TH))</f>
        <v>686144000</v>
      </c>
      <c r="M65" s="212">
        <f t="shared" si="18"/>
        <v>0</v>
      </c>
      <c r="N65" s="212">
        <f t="shared" si="19"/>
        <v>0</v>
      </c>
      <c r="O65" s="211">
        <f t="shared" si="20"/>
        <v>0</v>
      </c>
      <c r="P65" s="212">
        <f t="shared" si="21"/>
        <v>0</v>
      </c>
    </row>
    <row r="66" spans="1:16" s="10" customFormat="1" ht="18" customHeight="1">
      <c r="A66" s="675">
        <f>IF(B66&lt;&gt;"",ROW()-4,"")</f>
        <v>62</v>
      </c>
      <c r="B66" s="67" t="s">
        <v>2458</v>
      </c>
      <c r="C66" s="767">
        <v>42944</v>
      </c>
      <c r="D66" s="767"/>
      <c r="E66" s="1097">
        <v>0</v>
      </c>
      <c r="F66" s="8">
        <v>0</v>
      </c>
      <c r="G66" s="210">
        <v>0</v>
      </c>
      <c r="H66" s="8">
        <v>0</v>
      </c>
      <c r="I66" s="308">
        <f t="array" ref="I66">SUM(IF("341"&amp;B66=LEFT(KHN,3)&amp;KH,_TH))</f>
        <v>55200</v>
      </c>
      <c r="J66" s="8">
        <f t="array" ref="J66">SUM(IF("341"&amp;B66=LEFT(KHN,3)&amp;KH,TH))</f>
        <v>1253978400</v>
      </c>
      <c r="K66" s="210">
        <f t="array" ref="K66">SUM(IF("341"&amp;B66=LEFT(KHC,3)&amp;KH,_TH))</f>
        <v>55200</v>
      </c>
      <c r="L66" s="8">
        <f t="array" ref="L66">SUM(IF("341"&amp;B66=LEFT(KHC,3)&amp;KH,TH))</f>
        <v>1253978400</v>
      </c>
      <c r="M66" s="212">
        <f t="shared" si="18"/>
        <v>0</v>
      </c>
      <c r="N66" s="212">
        <f t="shared" si="19"/>
        <v>0</v>
      </c>
      <c r="O66" s="211">
        <f t="shared" si="20"/>
        <v>0</v>
      </c>
      <c r="P66" s="212">
        <f t="shared" si="21"/>
        <v>0</v>
      </c>
    </row>
    <row r="67" spans="1:16" s="10" customFormat="1" ht="18" customHeight="1">
      <c r="A67" s="675">
        <f>IF(B67&lt;&gt;"",ROW()-4,"")</f>
        <v>63</v>
      </c>
      <c r="B67" s="67" t="s">
        <v>1858</v>
      </c>
      <c r="C67" s="767">
        <v>42955</v>
      </c>
      <c r="D67" s="767"/>
      <c r="E67" s="1097">
        <v>0</v>
      </c>
      <c r="F67" s="8">
        <v>0</v>
      </c>
      <c r="G67" s="210">
        <v>0</v>
      </c>
      <c r="H67" s="8">
        <v>0</v>
      </c>
      <c r="I67" s="308">
        <f t="array" ref="I67">SUM(IF("341"&amp;B67=LEFT(KHN,3)&amp;KH,_TH))</f>
        <v>0</v>
      </c>
      <c r="J67" s="8">
        <f t="array" ref="J67">SUM(IF("341"&amp;B67=LEFT(KHN,3)&amp;KH,TH))</f>
        <v>0</v>
      </c>
      <c r="K67" s="210">
        <f t="array" ref="K67">SUM(IF("341"&amp;B67=LEFT(KHC,3)&amp;KH,_TH))</f>
        <v>63000</v>
      </c>
      <c r="L67" s="8">
        <f t="array" ref="L67">SUM(IF("341"&amp;B67=LEFT(KHC,3)&amp;KH,TH))</f>
        <v>1431423000</v>
      </c>
      <c r="M67" s="212">
        <f t="shared" si="18"/>
        <v>0</v>
      </c>
      <c r="N67" s="212">
        <f t="shared" si="19"/>
        <v>0</v>
      </c>
      <c r="O67" s="211">
        <f t="shared" si="20"/>
        <v>63000</v>
      </c>
      <c r="P67" s="212">
        <f t="shared" si="21"/>
        <v>1431423000</v>
      </c>
    </row>
    <row r="68" spans="1:16" s="10" customFormat="1" ht="18" customHeight="1">
      <c r="A68" s="675">
        <f>IF(B68&lt;&gt;"",ROW()-4,"")</f>
        <v>64</v>
      </c>
      <c r="B68" s="67" t="s">
        <v>2028</v>
      </c>
      <c r="C68" s="767">
        <v>42962</v>
      </c>
      <c r="D68" s="767"/>
      <c r="E68" s="1097">
        <v>0</v>
      </c>
      <c r="F68" s="8">
        <v>0</v>
      </c>
      <c r="G68" s="210">
        <v>0</v>
      </c>
      <c r="H68" s="8">
        <v>0</v>
      </c>
      <c r="I68" s="308">
        <f t="array" ref="I68">SUM(IF("341"&amp;B68=LEFT(KHN,3)&amp;KH,_TH))</f>
        <v>0</v>
      </c>
      <c r="J68" s="8">
        <f t="array" ref="J68">SUM(IF("341"&amp;B68=LEFT(KHN,3)&amp;KH,TH))</f>
        <v>0</v>
      </c>
      <c r="K68" s="210">
        <f t="array" ref="K68">SUM(IF("341"&amp;B68=LEFT(KHC,3)&amp;KH,_TH))</f>
        <v>83500</v>
      </c>
      <c r="L68" s="8">
        <f t="array" ref="L68">SUM(IF("341"&amp;B68=LEFT(KHC,3)&amp;KH,TH))</f>
        <v>1896953000</v>
      </c>
      <c r="M68" s="212">
        <f t="shared" si="18"/>
        <v>0</v>
      </c>
      <c r="N68" s="212">
        <f t="shared" si="19"/>
        <v>0</v>
      </c>
      <c r="O68" s="211">
        <f t="shared" si="20"/>
        <v>83500</v>
      </c>
      <c r="P68" s="212">
        <f t="shared" si="21"/>
        <v>1896953000</v>
      </c>
    </row>
    <row r="69" spans="1:16" s="10" customFormat="1" ht="18" customHeight="1">
      <c r="A69" s="675">
        <f>IF(B69&lt;&gt;"",ROW()-4,"")</f>
        <v>65</v>
      </c>
      <c r="B69" s="67" t="s">
        <v>2036</v>
      </c>
      <c r="C69" s="767">
        <v>42964</v>
      </c>
      <c r="D69" s="767"/>
      <c r="E69" s="1097">
        <v>0</v>
      </c>
      <c r="F69" s="8">
        <v>0</v>
      </c>
      <c r="G69" s="210">
        <v>0</v>
      </c>
      <c r="H69" s="8">
        <v>0</v>
      </c>
      <c r="I69" s="308">
        <f t="array" ref="I69">SUM(IF("341"&amp;B69=LEFT(KHN,3)&amp;KH,_TH))</f>
        <v>111150</v>
      </c>
      <c r="J69" s="8">
        <f t="array" ref="J69">SUM(IF("341"&amp;B69=LEFT(KHN,3)&amp;KH,TH))</f>
        <v>2525328000</v>
      </c>
      <c r="K69" s="210">
        <f t="array" ref="K69">SUM(IF("341"&amp;B69=LEFT(KHC,3)&amp;KH,_TH))</f>
        <v>111150</v>
      </c>
      <c r="L69" s="8">
        <f t="array" ref="L69">SUM(IF("341"&amp;B69=LEFT(KHC,3)&amp;KH,TH))</f>
        <v>2525328000</v>
      </c>
      <c r="M69" s="212">
        <f t="shared" ref="M69" si="26">ROUND(MAX(E69+I69-G69-K69,0),2)</f>
        <v>0</v>
      </c>
      <c r="N69" s="212">
        <f t="shared" ref="N69" si="27">ROUND(MAX(F69+J69-H69-L69,0),2)</f>
        <v>0</v>
      </c>
      <c r="O69" s="211">
        <f t="shared" ref="O69" si="28">ROUND(MAX(G69+K69-E69-I69,0),2)</f>
        <v>0</v>
      </c>
      <c r="P69" s="212">
        <f t="shared" ref="P69" si="29">ROUND(MAX(H69+L69-F69-J69,0),2)</f>
        <v>0</v>
      </c>
    </row>
    <row r="70" spans="1:16" s="10" customFormat="1" ht="18" customHeight="1">
      <c r="A70" s="675">
        <f t="shared" ref="A70:A84" si="30">IF(B70&lt;&gt;"",ROW()-4,"")</f>
        <v>66</v>
      </c>
      <c r="B70" s="67" t="s">
        <v>2465</v>
      </c>
      <c r="C70" s="767">
        <v>42971</v>
      </c>
      <c r="D70" s="767"/>
      <c r="E70" s="1097">
        <v>0</v>
      </c>
      <c r="F70" s="8">
        <v>0</v>
      </c>
      <c r="G70" s="210">
        <v>0</v>
      </c>
      <c r="H70" s="8">
        <v>0</v>
      </c>
      <c r="I70" s="308">
        <f t="array" ref="I70">SUM(IF("341"&amp;B70=LEFT(KHN,3)&amp;KH,_TH))</f>
        <v>79990</v>
      </c>
      <c r="J70" s="8">
        <f t="array" ref="J70">SUM(IF("341"&amp;B70=LEFT(KHN,3)&amp;KH,TH))</f>
        <v>1817196339</v>
      </c>
      <c r="K70" s="210">
        <f t="array" ref="K70">SUM(IF("341"&amp;B70=LEFT(KHC,3)&amp;KH,_TH))</f>
        <v>79990</v>
      </c>
      <c r="L70" s="8">
        <f t="array" ref="L70">SUM(IF("341"&amp;B70=LEFT(KHC,3)&amp;KH,TH))</f>
        <v>1817196339</v>
      </c>
      <c r="M70" s="212">
        <f t="shared" ref="M70:M71" si="31">ROUND(MAX(E70+I70-G70-K70,0),2)</f>
        <v>0</v>
      </c>
      <c r="N70" s="212">
        <f t="shared" ref="N70:N71" si="32">ROUND(MAX(F70+J70-H70-L70,0),2)</f>
        <v>0</v>
      </c>
      <c r="O70" s="211">
        <f t="shared" ref="O70:O71" si="33">ROUND(MAX(G70+K70-E70-I70,0),2)</f>
        <v>0</v>
      </c>
      <c r="P70" s="212">
        <f t="shared" ref="P70:P71" si="34">ROUND(MAX(H70+L70-F70-J70,0),2)</f>
        <v>0</v>
      </c>
    </row>
    <row r="71" spans="1:16" s="10" customFormat="1" ht="18" customHeight="1">
      <c r="A71" s="675">
        <f t="shared" si="30"/>
        <v>67</v>
      </c>
      <c r="B71" s="67" t="s">
        <v>2467</v>
      </c>
      <c r="C71" s="767">
        <v>42986</v>
      </c>
      <c r="D71" s="767"/>
      <c r="E71" s="1097">
        <v>0</v>
      </c>
      <c r="F71" s="8">
        <v>0</v>
      </c>
      <c r="G71" s="210">
        <v>0</v>
      </c>
      <c r="H71" s="8">
        <v>0</v>
      </c>
      <c r="I71" s="308">
        <f t="array" ref="I71">SUM(IF("341"&amp;B71=LEFT(KHN,3)&amp;KH,_TH))</f>
        <v>103900</v>
      </c>
      <c r="J71" s="8">
        <f t="array" ref="J71">SUM(IF("341"&amp;B71=LEFT(KHN,3)&amp;KH,TH))</f>
        <v>2358868228</v>
      </c>
      <c r="K71" s="210">
        <f t="array" ref="K71">SUM(IF("341"&amp;B71=LEFT(KHC,3)&amp;KH,_TH))</f>
        <v>103900</v>
      </c>
      <c r="L71" s="8">
        <f t="array" ref="L71">SUM(IF("341"&amp;B71=LEFT(KHC,3)&amp;KH,TH))</f>
        <v>2358868228</v>
      </c>
      <c r="M71" s="212">
        <f t="shared" si="31"/>
        <v>0</v>
      </c>
      <c r="N71" s="212">
        <f t="shared" si="32"/>
        <v>0</v>
      </c>
      <c r="O71" s="211">
        <f t="shared" si="33"/>
        <v>0</v>
      </c>
      <c r="P71" s="212">
        <f t="shared" si="34"/>
        <v>0</v>
      </c>
    </row>
    <row r="72" spans="1:16" s="10" customFormat="1" ht="18" customHeight="1">
      <c r="A72" s="675">
        <f t="shared" si="30"/>
        <v>68</v>
      </c>
      <c r="B72" s="67" t="s">
        <v>2322</v>
      </c>
      <c r="C72" s="767">
        <v>42986</v>
      </c>
      <c r="D72" s="767"/>
      <c r="E72" s="1097">
        <v>0</v>
      </c>
      <c r="F72" s="8">
        <v>0</v>
      </c>
      <c r="G72" s="210">
        <v>0</v>
      </c>
      <c r="H72" s="8">
        <v>0</v>
      </c>
      <c r="I72" s="308">
        <f t="array" ref="I72">SUM(IF("341"&amp;B72=LEFT(KHN,3)&amp;KH,_TH))</f>
        <v>0</v>
      </c>
      <c r="J72" s="8">
        <f t="array" ref="J72">SUM(IF("341"&amp;B72=LEFT(KHN,3)&amp;KH,TH))</f>
        <v>0</v>
      </c>
      <c r="K72" s="210">
        <f t="array" ref="K72">SUM(IF("341"&amp;B72=LEFT(KHC,3)&amp;KH,_TH))</f>
        <v>87500</v>
      </c>
      <c r="L72" s="8">
        <f t="array" ref="L72">SUM(IF("341"&amp;B72=LEFT(KHC,3)&amp;KH,TH))</f>
        <v>1988000000</v>
      </c>
      <c r="M72" s="212">
        <f t="shared" ref="M72:M73" si="35">ROUND(MAX(E72+I72-G72-K72,0),2)</f>
        <v>0</v>
      </c>
      <c r="N72" s="212">
        <f t="shared" ref="N72:N73" si="36">ROUND(MAX(F72+J72-H72-L72,0),2)</f>
        <v>0</v>
      </c>
      <c r="O72" s="211">
        <f t="shared" ref="O72:O73" si="37">ROUND(MAX(G72+K72-E72-I72,0),2)</f>
        <v>87500</v>
      </c>
      <c r="P72" s="212">
        <f t="shared" ref="P72:P73" si="38">ROUND(MAX(H72+L72-F72-J72,0),2)</f>
        <v>1988000000</v>
      </c>
    </row>
    <row r="73" spans="1:16" s="1123" customFormat="1" ht="18" customHeight="1">
      <c r="A73" s="675">
        <f t="shared" si="30"/>
        <v>69</v>
      </c>
      <c r="B73" s="67" t="s">
        <v>2323</v>
      </c>
      <c r="C73" s="767">
        <v>42999</v>
      </c>
      <c r="D73" s="767"/>
      <c r="E73" s="1097">
        <v>0</v>
      </c>
      <c r="F73" s="8">
        <v>0</v>
      </c>
      <c r="G73" s="210">
        <v>0</v>
      </c>
      <c r="H73" s="8">
        <v>0</v>
      </c>
      <c r="I73" s="1122">
        <f t="array" ref="I73">SUM(IF("341"&amp;B73=LEFT(KHN,3)&amp;KH,_TH))</f>
        <v>0</v>
      </c>
      <c r="J73" s="381">
        <f t="array" ref="J73">SUM(IF("341"&amp;B73=LEFT(KHN,3)&amp;KH,TH))</f>
        <v>0</v>
      </c>
      <c r="K73" s="375">
        <f t="array" ref="K73">SUM(IF("341"&amp;B73=LEFT(KHC,3)&amp;KH,_TH))</f>
        <v>95900</v>
      </c>
      <c r="L73" s="381">
        <f t="array" ref="L73">SUM(IF("341"&amp;B73=LEFT(KHC,3)&amp;KH,TH))</f>
        <v>2178848000</v>
      </c>
      <c r="M73" s="1187">
        <f t="shared" si="35"/>
        <v>0</v>
      </c>
      <c r="N73" s="1187">
        <f t="shared" si="36"/>
        <v>0</v>
      </c>
      <c r="O73" s="1166">
        <f t="shared" si="37"/>
        <v>95900</v>
      </c>
      <c r="P73" s="1187">
        <f t="shared" si="38"/>
        <v>2178848000</v>
      </c>
    </row>
    <row r="74" spans="1:16" s="1123" customFormat="1" ht="18" customHeight="1">
      <c r="A74" s="675">
        <f t="shared" si="30"/>
        <v>70</v>
      </c>
      <c r="B74" s="67" t="s">
        <v>2324</v>
      </c>
      <c r="C74" s="767">
        <v>43004</v>
      </c>
      <c r="D74" s="767"/>
      <c r="E74" s="1097">
        <v>0</v>
      </c>
      <c r="F74" s="8">
        <v>0</v>
      </c>
      <c r="G74" s="210">
        <v>0</v>
      </c>
      <c r="H74" s="8">
        <v>0</v>
      </c>
      <c r="I74" s="1122">
        <f t="array" ref="I74">SUM(IF("341"&amp;B74=LEFT(KHN,3)&amp;KH,_TH))</f>
        <v>0</v>
      </c>
      <c r="J74" s="381">
        <f t="array" ref="J74">SUM(IF("341"&amp;B74=LEFT(KHN,3)&amp;KH,TH))</f>
        <v>0</v>
      </c>
      <c r="K74" s="375">
        <f t="array" ref="K74">SUM(IF("341"&amp;B74=LEFT(KHC,3)&amp;KH,_TH))</f>
        <v>89000</v>
      </c>
      <c r="L74" s="381">
        <f t="array" ref="L74">SUM(IF("341"&amp;B74=LEFT(KHC,3)&amp;KH,TH))</f>
        <v>2022525000</v>
      </c>
      <c r="M74" s="1187">
        <f t="shared" ref="M74" si="39">ROUND(MAX(E74+I74-G74-K74,0),2)</f>
        <v>0</v>
      </c>
      <c r="N74" s="1187">
        <f t="shared" ref="N74" si="40">ROUND(MAX(F74+J74-H74-L74,0),2)</f>
        <v>0</v>
      </c>
      <c r="O74" s="1166">
        <f t="shared" ref="O74" si="41">ROUND(MAX(G74+K74-E74-I74,0),2)</f>
        <v>89000</v>
      </c>
      <c r="P74" s="1187">
        <f t="shared" ref="P74" si="42">ROUND(MAX(H74+L74-F74-J74,0),2)</f>
        <v>2022525000</v>
      </c>
    </row>
    <row r="75" spans="1:16" s="1123" customFormat="1" ht="18" customHeight="1">
      <c r="A75" s="675">
        <f t="shared" si="30"/>
        <v>71</v>
      </c>
      <c r="B75" s="294" t="s">
        <v>2468</v>
      </c>
      <c r="C75" s="767">
        <v>43006</v>
      </c>
      <c r="D75" s="767"/>
      <c r="E75" s="1097">
        <v>0</v>
      </c>
      <c r="F75" s="8">
        <v>0</v>
      </c>
      <c r="G75" s="210">
        <v>0</v>
      </c>
      <c r="H75" s="8">
        <v>0</v>
      </c>
      <c r="I75" s="1122">
        <f t="array" ref="I75">SUM(IF("341"&amp;B75=LEFT(KHN,3)&amp;KH,_TH))</f>
        <v>36600</v>
      </c>
      <c r="J75" s="381">
        <f t="array" ref="J75">SUM(IF("341"&amp;B75=LEFT(KHN,3)&amp;KH,TH))</f>
        <v>831552000</v>
      </c>
      <c r="K75" s="375">
        <f t="array" ref="K75">SUM(IF("341"&amp;B75=LEFT(KHC,3)&amp;KH,_TH))</f>
        <v>36600</v>
      </c>
      <c r="L75" s="381">
        <f t="array" ref="L75">SUM(IF("341"&amp;B75=LEFT(KHC,3)&amp;KH,TH))</f>
        <v>831552000</v>
      </c>
      <c r="M75" s="1187">
        <f t="shared" ref="M75:M77" si="43">ROUND(MAX(E75+I75-G75-K75,0),2)</f>
        <v>0</v>
      </c>
      <c r="N75" s="1187">
        <f t="shared" ref="N75:N77" si="44">ROUND(MAX(F75+J75-H75-L75,0),2)</f>
        <v>0</v>
      </c>
      <c r="O75" s="1166">
        <f t="shared" ref="O75:O77" si="45">ROUND(MAX(G75+K75-E75-I75,0),2)</f>
        <v>0</v>
      </c>
      <c r="P75" s="1187">
        <f t="shared" ref="P75:P77" si="46">ROUND(MAX(H75+L75-F75-J75,0),2)</f>
        <v>0</v>
      </c>
    </row>
    <row r="76" spans="1:16" s="1123" customFormat="1" ht="18" customHeight="1">
      <c r="A76" s="675">
        <f t="shared" si="30"/>
        <v>72</v>
      </c>
      <c r="B76" s="294" t="s">
        <v>2471</v>
      </c>
      <c r="C76" s="767">
        <v>43020</v>
      </c>
      <c r="D76" s="767"/>
      <c r="E76" s="1097">
        <v>0</v>
      </c>
      <c r="F76" s="8">
        <v>0</v>
      </c>
      <c r="G76" s="210">
        <v>0</v>
      </c>
      <c r="H76" s="8">
        <v>0</v>
      </c>
      <c r="I76" s="1122">
        <f t="array" ref="I76">SUM(IF("341"&amp;B76=LEFT(KHN,3)&amp;KH,_TH))</f>
        <v>25170</v>
      </c>
      <c r="J76" s="381">
        <f t="array" ref="J76">SUM(IF("341"&amp;B76=LEFT(KHN,3)&amp;KH,TH))</f>
        <v>571862400</v>
      </c>
      <c r="K76" s="375">
        <f t="array" ref="K76">SUM(IF("341"&amp;B76=LEFT(KHC,3)&amp;KH,_TH))</f>
        <v>25170</v>
      </c>
      <c r="L76" s="381">
        <f t="array" ref="L76">SUM(IF("341"&amp;B76=LEFT(KHC,3)&amp;KH,TH))</f>
        <v>571862400</v>
      </c>
      <c r="M76" s="1187">
        <f t="shared" si="43"/>
        <v>0</v>
      </c>
      <c r="N76" s="1187">
        <f t="shared" si="44"/>
        <v>0</v>
      </c>
      <c r="O76" s="1166">
        <f t="shared" si="45"/>
        <v>0</v>
      </c>
      <c r="P76" s="1187">
        <f t="shared" si="46"/>
        <v>0</v>
      </c>
    </row>
    <row r="77" spans="1:16" s="1123" customFormat="1" ht="18" customHeight="1">
      <c r="A77" s="675">
        <f t="shared" si="30"/>
        <v>73</v>
      </c>
      <c r="B77" s="294" t="s">
        <v>2549</v>
      </c>
      <c r="C77" s="767">
        <v>43027</v>
      </c>
      <c r="D77" s="767"/>
      <c r="E77" s="1097">
        <v>0</v>
      </c>
      <c r="F77" s="8">
        <v>0</v>
      </c>
      <c r="G77" s="210">
        <v>0</v>
      </c>
      <c r="H77" s="8">
        <v>0</v>
      </c>
      <c r="I77" s="1122">
        <f t="array" ref="I77">SUM(IF("341"&amp;B77=LEFT(KHN,3)&amp;KH,_TH))</f>
        <v>47300</v>
      </c>
      <c r="J77" s="381">
        <f t="array" ref="J77">SUM(IF("341"&amp;B77=LEFT(KHN,3)&amp;KH,TH))</f>
        <v>1074230300</v>
      </c>
      <c r="K77" s="375">
        <f t="array" ref="K77">SUM(IF("341"&amp;B77=LEFT(KHC,3)&amp;KH,_TH))</f>
        <v>47300</v>
      </c>
      <c r="L77" s="381">
        <f t="array" ref="L77">SUM(IF("341"&amp;B77=LEFT(KHC,3)&amp;KH,TH))</f>
        <v>1074230300</v>
      </c>
      <c r="M77" s="1187">
        <f t="shared" si="43"/>
        <v>0</v>
      </c>
      <c r="N77" s="1187">
        <f t="shared" si="44"/>
        <v>0</v>
      </c>
      <c r="O77" s="1166">
        <f t="shared" si="45"/>
        <v>0</v>
      </c>
      <c r="P77" s="1187">
        <f t="shared" si="46"/>
        <v>0</v>
      </c>
    </row>
    <row r="78" spans="1:16" s="1123" customFormat="1" ht="18" customHeight="1">
      <c r="A78" s="675">
        <f t="shared" si="30"/>
        <v>74</v>
      </c>
      <c r="B78" s="294" t="s">
        <v>2485</v>
      </c>
      <c r="C78" s="767">
        <v>43031</v>
      </c>
      <c r="D78" s="767"/>
      <c r="E78" s="1097">
        <v>0</v>
      </c>
      <c r="F78" s="8">
        <v>0</v>
      </c>
      <c r="G78" s="210">
        <v>0</v>
      </c>
      <c r="H78" s="8">
        <v>0</v>
      </c>
      <c r="I78" s="1122">
        <f t="array" ref="I78">SUM(IF("341"&amp;B78=LEFT(KHN,3)&amp;KH,_TH))</f>
        <v>0</v>
      </c>
      <c r="J78" s="381">
        <f t="array" ref="J78">SUM(IF("341"&amp;B78=LEFT(KHN,3)&amp;KH,TH))</f>
        <v>0</v>
      </c>
      <c r="K78" s="375">
        <f t="array" ref="K78">SUM(IF("341"&amp;B78=LEFT(KHC,3)&amp;KH,_TH))</f>
        <v>182900</v>
      </c>
      <c r="L78" s="381">
        <f t="array" ref="L78">SUM(IF("341"&amp;B78=LEFT(KHC,3)&amp;KH,TH))</f>
        <v>4154207700</v>
      </c>
      <c r="M78" s="1187">
        <f t="shared" ref="M78:M83" si="47">ROUND(MAX(E78+I78-G78-K78,0),2)</f>
        <v>0</v>
      </c>
      <c r="N78" s="1187">
        <f t="shared" ref="N78:N83" si="48">ROUND(MAX(F78+J78-H78-L78,0),2)</f>
        <v>0</v>
      </c>
      <c r="O78" s="1166">
        <f t="shared" ref="O78:O83" si="49">ROUND(MAX(G78+K78-E78-I78,0),2)</f>
        <v>182900</v>
      </c>
      <c r="P78" s="1187">
        <f t="shared" ref="P78:P83" si="50">ROUND(MAX(H78+L78-F78-J78,0),2)</f>
        <v>4154207700</v>
      </c>
    </row>
    <row r="79" spans="1:16" s="1123" customFormat="1" ht="18" customHeight="1">
      <c r="A79" s="675">
        <f t="shared" si="30"/>
        <v>75</v>
      </c>
      <c r="B79" s="294" t="s">
        <v>2551</v>
      </c>
      <c r="C79" s="767">
        <v>43034</v>
      </c>
      <c r="D79" s="767"/>
      <c r="E79" s="1097">
        <v>0</v>
      </c>
      <c r="F79" s="8">
        <v>0</v>
      </c>
      <c r="G79" s="210">
        <v>0</v>
      </c>
      <c r="H79" s="8">
        <v>0</v>
      </c>
      <c r="I79" s="1122">
        <f t="array" ref="I79">SUM(IF("341"&amp;B79=LEFT(KHN,3)&amp;KH,_TH))</f>
        <v>25170</v>
      </c>
      <c r="J79" s="381">
        <f t="array" ref="J79">SUM(IF("341"&amp;B79=LEFT(KHN,3)&amp;KH,TH))</f>
        <v>571610700</v>
      </c>
      <c r="K79" s="375">
        <f t="array" ref="K79">SUM(IF("341"&amp;B79=LEFT(KHC,3)&amp;KH,_TH))</f>
        <v>25170</v>
      </c>
      <c r="L79" s="381">
        <f t="array" ref="L79">SUM(IF("341"&amp;B79=LEFT(KHC,3)&amp;KH,TH))</f>
        <v>571610700</v>
      </c>
      <c r="M79" s="1187">
        <f t="shared" si="47"/>
        <v>0</v>
      </c>
      <c r="N79" s="1187">
        <f t="shared" si="48"/>
        <v>0</v>
      </c>
      <c r="O79" s="1166">
        <f t="shared" si="49"/>
        <v>0</v>
      </c>
      <c r="P79" s="1187">
        <f t="shared" si="50"/>
        <v>0</v>
      </c>
    </row>
    <row r="80" spans="1:16" s="1123" customFormat="1" ht="18" customHeight="1">
      <c r="A80" s="675">
        <f t="shared" si="30"/>
        <v>76</v>
      </c>
      <c r="B80" s="294" t="s">
        <v>2487</v>
      </c>
      <c r="C80" s="767">
        <v>43038</v>
      </c>
      <c r="D80" s="767"/>
      <c r="E80" s="1097">
        <v>0</v>
      </c>
      <c r="F80" s="8">
        <v>0</v>
      </c>
      <c r="G80" s="210">
        <v>0</v>
      </c>
      <c r="H80" s="8">
        <v>0</v>
      </c>
      <c r="I80" s="1122">
        <f t="array" ref="I80">SUM(IF("341"&amp;B80=LEFT(KHN,3)&amp;KH,_TH))</f>
        <v>0</v>
      </c>
      <c r="J80" s="381">
        <f t="array" ref="J80">SUM(IF("341"&amp;B80=LEFT(KHN,3)&amp;KH,TH))</f>
        <v>0</v>
      </c>
      <c r="K80" s="375">
        <f t="array" ref="K80">SUM(IF("341"&amp;B80=LEFT(KHC,3)&amp;KH,_TH))</f>
        <v>189000</v>
      </c>
      <c r="L80" s="381">
        <f t="array" ref="L80">SUM(IF("341"&amp;B80=LEFT(KHC,3)&amp;KH,TH))</f>
        <v>4291812000</v>
      </c>
      <c r="M80" s="1187">
        <f t="shared" si="47"/>
        <v>0</v>
      </c>
      <c r="N80" s="1187">
        <f t="shared" si="48"/>
        <v>0</v>
      </c>
      <c r="O80" s="1166">
        <f t="shared" si="49"/>
        <v>189000</v>
      </c>
      <c r="P80" s="1187">
        <f t="shared" si="50"/>
        <v>4291812000</v>
      </c>
    </row>
    <row r="81" spans="1:16" s="1123" customFormat="1" ht="18" customHeight="1">
      <c r="A81" s="675">
        <f t="shared" si="30"/>
        <v>77</v>
      </c>
      <c r="B81" s="294" t="s">
        <v>2554</v>
      </c>
      <c r="C81" s="767">
        <v>43038</v>
      </c>
      <c r="D81" s="767"/>
      <c r="E81" s="1097">
        <v>0</v>
      </c>
      <c r="F81" s="8">
        <v>0</v>
      </c>
      <c r="G81" s="210">
        <v>0</v>
      </c>
      <c r="H81" s="8">
        <v>0</v>
      </c>
      <c r="I81" s="1122">
        <f t="array" ref="I81">SUM(IF("341"&amp;B81=LEFT(KHN,3)&amp;KH,_TH))</f>
        <v>40100</v>
      </c>
      <c r="J81" s="381">
        <f t="array" ref="J81">SUM(IF("341"&amp;B81=LEFT(KHN,3)&amp;KH,TH))</f>
        <v>910671000</v>
      </c>
      <c r="K81" s="375">
        <f t="array" ref="K81">SUM(IF("341"&amp;B81=LEFT(KHC,3)&amp;KH,_TH))</f>
        <v>40100</v>
      </c>
      <c r="L81" s="381">
        <f t="array" ref="L81">SUM(IF("341"&amp;B81=LEFT(KHC,3)&amp;KH,TH))</f>
        <v>910671000</v>
      </c>
      <c r="M81" s="1187">
        <f t="shared" si="47"/>
        <v>0</v>
      </c>
      <c r="N81" s="1187">
        <f t="shared" si="48"/>
        <v>0</v>
      </c>
      <c r="O81" s="1166">
        <f t="shared" si="49"/>
        <v>0</v>
      </c>
      <c r="P81" s="1187">
        <f t="shared" si="50"/>
        <v>0</v>
      </c>
    </row>
    <row r="82" spans="1:16" s="1123" customFormat="1" ht="18" customHeight="1">
      <c r="A82" s="675">
        <f t="shared" si="30"/>
        <v>78</v>
      </c>
      <c r="B82" s="294" t="s">
        <v>2552</v>
      </c>
      <c r="C82" s="767">
        <v>43042</v>
      </c>
      <c r="D82" s="767"/>
      <c r="E82" s="1097">
        <v>0</v>
      </c>
      <c r="F82" s="8">
        <v>0</v>
      </c>
      <c r="G82" s="210">
        <v>0</v>
      </c>
      <c r="H82" s="8">
        <v>0</v>
      </c>
      <c r="I82" s="1122">
        <f t="array" ref="I82">SUM(IF("341"&amp;B82=LEFT(KHN,3)&amp;KH,_TH))</f>
        <v>68400</v>
      </c>
      <c r="J82" s="381">
        <f t="array" ref="J82">SUM(IF("341"&amp;B82=LEFT(KHN,3)&amp;KH,TH))</f>
        <v>1552816800</v>
      </c>
      <c r="K82" s="375">
        <f t="array" ref="K82">SUM(IF("341"&amp;B82=LEFT(KHC,3)&amp;KH,_TH))</f>
        <v>68400</v>
      </c>
      <c r="L82" s="381">
        <f t="array" ref="L82">SUM(IF("341"&amp;B82=LEFT(KHC,3)&amp;KH,TH))</f>
        <v>1552816800</v>
      </c>
      <c r="M82" s="1187">
        <f t="shared" si="47"/>
        <v>0</v>
      </c>
      <c r="N82" s="1187">
        <f t="shared" si="48"/>
        <v>0</v>
      </c>
      <c r="O82" s="1166">
        <f t="shared" si="49"/>
        <v>0</v>
      </c>
      <c r="P82" s="1187">
        <f t="shared" si="50"/>
        <v>0</v>
      </c>
    </row>
    <row r="83" spans="1:16" s="1123" customFormat="1" ht="18" customHeight="1">
      <c r="A83" s="675">
        <f t="shared" si="30"/>
        <v>79</v>
      </c>
      <c r="B83" s="294" t="s">
        <v>2536</v>
      </c>
      <c r="C83" s="767">
        <v>43045</v>
      </c>
      <c r="D83" s="767"/>
      <c r="E83" s="1097">
        <v>0</v>
      </c>
      <c r="F83" s="8">
        <v>0</v>
      </c>
      <c r="G83" s="210">
        <v>0</v>
      </c>
      <c r="H83" s="8">
        <v>0</v>
      </c>
      <c r="I83" s="1122">
        <f t="array" ref="I83">SUM(IF("341"&amp;B83=LEFT(KHN,3)&amp;KH,_TH))</f>
        <v>0</v>
      </c>
      <c r="J83" s="381">
        <f t="array" ref="J83">SUM(IF("341"&amp;B83=LEFT(KHN,3)&amp;KH,TH))</f>
        <v>0</v>
      </c>
      <c r="K83" s="375">
        <f t="array" ref="K83">SUM(IF("341"&amp;B83=LEFT(KHC,3)&amp;KH,_TH))</f>
        <v>82000</v>
      </c>
      <c r="L83" s="381">
        <f t="array" ref="L83">SUM(IF("341"&amp;B83=LEFT(KHC,3)&amp;KH,TH))</f>
        <v>1861400000</v>
      </c>
      <c r="M83" s="1187">
        <f t="shared" si="47"/>
        <v>0</v>
      </c>
      <c r="N83" s="1187">
        <f t="shared" si="48"/>
        <v>0</v>
      </c>
      <c r="O83" s="1166">
        <f t="shared" si="49"/>
        <v>82000</v>
      </c>
      <c r="P83" s="1187">
        <f t="shared" si="50"/>
        <v>1861400000</v>
      </c>
    </row>
    <row r="84" spans="1:16" s="1123" customFormat="1" ht="18" customHeight="1">
      <c r="A84" s="675">
        <f t="shared" si="30"/>
        <v>80</v>
      </c>
      <c r="B84" s="67" t="s">
        <v>2540</v>
      </c>
      <c r="C84" s="767">
        <v>43053</v>
      </c>
      <c r="D84" s="767"/>
      <c r="E84" s="1097">
        <v>0</v>
      </c>
      <c r="F84" s="8">
        <v>0</v>
      </c>
      <c r="G84" s="210">
        <v>0</v>
      </c>
      <c r="H84" s="8">
        <v>0</v>
      </c>
      <c r="I84" s="1122">
        <f t="array" ref="I84">SUM(IF("341"&amp;B84=LEFT(KHN,3)&amp;KH,_TH))</f>
        <v>0</v>
      </c>
      <c r="J84" s="381">
        <f t="array" ref="J84">SUM(IF("341"&amp;B84=LEFT(KHN,3)&amp;KH,TH))</f>
        <v>0</v>
      </c>
      <c r="K84" s="375">
        <f t="array" ref="K84">SUM(IF("341"&amp;B84=LEFT(KHC,3)&amp;KH,_TH))</f>
        <v>89000</v>
      </c>
      <c r="L84" s="381">
        <f t="array" ref="L84">SUM(IF("341"&amp;B84=LEFT(KHC,3)&amp;KH,TH))</f>
        <v>2020300000</v>
      </c>
      <c r="M84" s="1187">
        <f t="shared" ref="M84" si="51">ROUND(MAX(E84+I84-G84-K84,0),2)</f>
        <v>0</v>
      </c>
      <c r="N84" s="1187">
        <f t="shared" ref="N84" si="52">ROUND(MAX(F84+J84-H84-L84,0),2)</f>
        <v>0</v>
      </c>
      <c r="O84" s="1166">
        <f t="shared" ref="O84" si="53">ROUND(MAX(G84+K84-E84-I84,0),2)</f>
        <v>89000</v>
      </c>
      <c r="P84" s="1187">
        <f t="shared" ref="P84" si="54">ROUND(MAX(H84+L84-F84-J84,0),2)</f>
        <v>2020300000</v>
      </c>
    </row>
    <row r="85" spans="1:16" s="1123" customFormat="1" ht="18" customHeight="1">
      <c r="A85" s="675">
        <f t="shared" ref="A85:A88" si="55">IF(B85&lt;&gt;"",ROW()-4,"")</f>
        <v>81</v>
      </c>
      <c r="B85" s="294" t="s">
        <v>2556</v>
      </c>
      <c r="C85" s="767">
        <v>43053</v>
      </c>
      <c r="D85" s="767"/>
      <c r="E85" s="1097">
        <v>0</v>
      </c>
      <c r="F85" s="8">
        <v>0</v>
      </c>
      <c r="G85" s="210">
        <v>0</v>
      </c>
      <c r="H85" s="8">
        <v>0</v>
      </c>
      <c r="I85" s="1122">
        <f t="array" ref="I85">SUM(IF("341"&amp;B85=LEFT(KHN,3)&amp;KH,_TH))</f>
        <v>192800</v>
      </c>
      <c r="J85" s="381">
        <f t="array" ref="J85">SUM(IF("341"&amp;B85=LEFT(KHN,3)&amp;KH,TH))</f>
        <v>4378488000</v>
      </c>
      <c r="K85" s="375">
        <f t="array" ref="K85">SUM(IF("341"&amp;B85=LEFT(KHC,3)&amp;KH,_TH))</f>
        <v>192800</v>
      </c>
      <c r="L85" s="381">
        <f t="array" ref="L85">SUM(IF("341"&amp;B85=LEFT(KHC,3)&amp;KH,TH))</f>
        <v>4378488000</v>
      </c>
      <c r="M85" s="1187">
        <f t="shared" ref="M85" si="56">ROUND(MAX(E85+I85-G85-K85,0),2)</f>
        <v>0</v>
      </c>
      <c r="N85" s="1187">
        <f t="shared" ref="N85" si="57">ROUND(MAX(F85+J85-H85-L85,0),2)</f>
        <v>0</v>
      </c>
      <c r="O85" s="1166">
        <f t="shared" ref="O85" si="58">ROUND(MAX(G85+K85-E85-I85,0),2)</f>
        <v>0</v>
      </c>
      <c r="P85" s="1187">
        <f t="shared" ref="P85" si="59">ROUND(MAX(H85+L85-F85-J85,0),2)</f>
        <v>0</v>
      </c>
    </row>
    <row r="86" spans="1:16" s="1123" customFormat="1" ht="18" customHeight="1">
      <c r="A86" s="675">
        <f t="shared" si="55"/>
        <v>82</v>
      </c>
      <c r="B86" s="294" t="s">
        <v>2650</v>
      </c>
      <c r="C86" s="767">
        <v>43067</v>
      </c>
      <c r="D86" s="767"/>
      <c r="E86" s="1097">
        <v>0</v>
      </c>
      <c r="F86" s="8">
        <v>0</v>
      </c>
      <c r="G86" s="210">
        <v>0</v>
      </c>
      <c r="H86" s="8">
        <v>0</v>
      </c>
      <c r="I86" s="1122">
        <f t="array" ref="I86">SUM(IF("341"&amp;B86=LEFT(KHN,3)&amp;KH,_TH))</f>
        <v>0</v>
      </c>
      <c r="J86" s="381">
        <f t="array" ref="J86">SUM(IF("341"&amp;B86=LEFT(KHN,3)&amp;KH,TH))</f>
        <v>0</v>
      </c>
      <c r="K86" s="375">
        <f t="array" ref="K86">SUM(IF("341"&amp;B86=LEFT(KHC,3)&amp;KH,_TH))</f>
        <v>70000</v>
      </c>
      <c r="L86" s="381">
        <f t="array" ref="L86">SUM(IF("341"&amp;B86=LEFT(KHC,3)&amp;KH,TH))</f>
        <v>1589490000</v>
      </c>
      <c r="M86" s="1187">
        <f t="shared" ref="M86:M88" si="60">ROUND(MAX(E86+I86-G86-K86,0),2)</f>
        <v>0</v>
      </c>
      <c r="N86" s="1187">
        <f t="shared" ref="N86:N88" si="61">ROUND(MAX(F86+J86-H86-L86,0),2)</f>
        <v>0</v>
      </c>
      <c r="O86" s="1166">
        <f t="shared" ref="O86:O88" si="62">ROUND(MAX(G86+K86-E86-I86,0),2)</f>
        <v>70000</v>
      </c>
      <c r="P86" s="1187">
        <f t="shared" ref="P86:P88" si="63">ROUND(MAX(H86+L86-F86-J86,0),2)</f>
        <v>1589490000</v>
      </c>
    </row>
    <row r="87" spans="1:16" s="1123" customFormat="1" ht="18" customHeight="1">
      <c r="A87" s="675">
        <f t="shared" si="55"/>
        <v>83</v>
      </c>
      <c r="B87" s="67" t="s">
        <v>2707</v>
      </c>
      <c r="C87" s="767">
        <v>43070</v>
      </c>
      <c r="D87" s="767"/>
      <c r="E87" s="1097">
        <v>0</v>
      </c>
      <c r="F87" s="8">
        <v>0</v>
      </c>
      <c r="G87" s="210">
        <v>0</v>
      </c>
      <c r="H87" s="8">
        <v>0</v>
      </c>
      <c r="I87" s="1122">
        <f t="array" ref="I87">SUM(IF("341"&amp;B87=LEFT(KHN,3)&amp;KH,_TH))</f>
        <v>40500</v>
      </c>
      <c r="J87" s="381">
        <f t="array" ref="J87">SUM(IF("341"&amp;B87=LEFT(KHN,3)&amp;KH,TH))</f>
        <v>919755000</v>
      </c>
      <c r="K87" s="375">
        <f t="array" ref="K87">SUM(IF("341"&amp;B87=LEFT(KHC,3)&amp;KH,_TH))</f>
        <v>40500</v>
      </c>
      <c r="L87" s="381">
        <f t="array" ref="L87">SUM(IF("341"&amp;B87=LEFT(KHC,3)&amp;KH,TH))</f>
        <v>919755000</v>
      </c>
      <c r="M87" s="1187">
        <f t="shared" si="60"/>
        <v>0</v>
      </c>
      <c r="N87" s="1187">
        <f t="shared" si="61"/>
        <v>0</v>
      </c>
      <c r="O87" s="1166">
        <f t="shared" si="62"/>
        <v>0</v>
      </c>
      <c r="P87" s="1187">
        <f t="shared" si="63"/>
        <v>0</v>
      </c>
    </row>
    <row r="88" spans="1:16" s="1123" customFormat="1" ht="18" customHeight="1">
      <c r="A88" s="675">
        <f t="shared" si="55"/>
        <v>84</v>
      </c>
      <c r="B88" s="67" t="s">
        <v>2668</v>
      </c>
      <c r="C88" s="767">
        <v>43073</v>
      </c>
      <c r="D88" s="767"/>
      <c r="E88" s="1097">
        <v>0</v>
      </c>
      <c r="F88" s="8">
        <v>0</v>
      </c>
      <c r="G88" s="210">
        <v>0</v>
      </c>
      <c r="H88" s="8">
        <v>0</v>
      </c>
      <c r="I88" s="1122">
        <f t="array" ref="I88">SUM(IF("341"&amp;B88=LEFT(KHN,3)&amp;KH,_TH))</f>
        <v>0</v>
      </c>
      <c r="J88" s="381">
        <f t="array" ref="J88">SUM(IF("341"&amp;B88=LEFT(KHN,3)&amp;KH,TH))</f>
        <v>0</v>
      </c>
      <c r="K88" s="375">
        <f t="array" ref="K88">SUM(IF("341"&amp;B88=LEFT(KHC,3)&amp;KH,_TH))</f>
        <v>67000</v>
      </c>
      <c r="L88" s="381">
        <f t="array" ref="L88">SUM(IF("341"&amp;B88=LEFT(KHC,3)&amp;KH,TH))</f>
        <v>1521235000</v>
      </c>
      <c r="M88" s="1187">
        <f t="shared" si="60"/>
        <v>0</v>
      </c>
      <c r="N88" s="1187">
        <f t="shared" si="61"/>
        <v>0</v>
      </c>
      <c r="O88" s="1166">
        <f t="shared" si="62"/>
        <v>67000</v>
      </c>
      <c r="P88" s="1187">
        <f t="shared" si="63"/>
        <v>1521235000</v>
      </c>
    </row>
    <row r="89" spans="1:16" s="1123" customFormat="1" ht="18" customHeight="1">
      <c r="A89" s="675">
        <f t="shared" ref="A89:A90" si="64">IF(B89&lt;&gt;"",ROW()-4,"")</f>
        <v>85</v>
      </c>
      <c r="B89" s="67" t="s">
        <v>2747</v>
      </c>
      <c r="C89" s="767">
        <v>43082</v>
      </c>
      <c r="D89" s="767"/>
      <c r="E89" s="1097">
        <v>0</v>
      </c>
      <c r="F89" s="8">
        <v>0</v>
      </c>
      <c r="G89" s="210">
        <v>0</v>
      </c>
      <c r="H89" s="8">
        <v>0</v>
      </c>
      <c r="I89" s="1122">
        <f t="array" ref="I89">SUM(IF("341"&amp;B89=LEFT(KHN,3)&amp;KH,_TH))</f>
        <v>40100</v>
      </c>
      <c r="J89" s="381">
        <f t="array" ref="J89">SUM(IF("341"&amp;B89=LEFT(KHN,3)&amp;KH,TH))</f>
        <v>910470500</v>
      </c>
      <c r="K89" s="375">
        <f t="array" ref="K89">SUM(IF("341"&amp;B89=LEFT(KHC,3)&amp;KH,_TH))</f>
        <v>40100</v>
      </c>
      <c r="L89" s="381">
        <f t="array" ref="L89">SUM(IF("341"&amp;B89=LEFT(KHC,3)&amp;KH,TH))</f>
        <v>910470500</v>
      </c>
      <c r="M89" s="1187">
        <f t="shared" ref="M89:M90" si="65">ROUND(MAX(E89+I89-G89-K89,0),2)</f>
        <v>0</v>
      </c>
      <c r="N89" s="1187">
        <f t="shared" ref="N89:N90" si="66">ROUND(MAX(F89+J89-H89-L89,0),2)</f>
        <v>0</v>
      </c>
      <c r="O89" s="1166">
        <f t="shared" ref="O89:O90" si="67">ROUND(MAX(G89+K89-E89-I89,0),2)</f>
        <v>0</v>
      </c>
      <c r="P89" s="1187">
        <f t="shared" ref="P89:P90" si="68">ROUND(MAX(H89+L89-F89-J89,0),2)</f>
        <v>0</v>
      </c>
    </row>
    <row r="90" spans="1:16" s="1123" customFormat="1" ht="18" customHeight="1">
      <c r="A90" s="675">
        <f t="shared" si="64"/>
        <v>86</v>
      </c>
      <c r="B90" s="67" t="s">
        <v>2746</v>
      </c>
      <c r="C90" s="767">
        <v>43082</v>
      </c>
      <c r="D90" s="767"/>
      <c r="E90" s="1097">
        <v>0</v>
      </c>
      <c r="F90" s="8">
        <v>0</v>
      </c>
      <c r="G90" s="210">
        <v>0</v>
      </c>
      <c r="H90" s="8">
        <v>0</v>
      </c>
      <c r="I90" s="1122">
        <f t="array" ref="I90">SUM(IF("341"&amp;B90=LEFT(KHN,3)&amp;KH,_TH))</f>
        <v>0</v>
      </c>
      <c r="J90" s="381">
        <f t="array" ref="J90">SUM(IF("341"&amp;B90=LEFT(KHN,3)&amp;KH,TH))</f>
        <v>0</v>
      </c>
      <c r="K90" s="375">
        <f t="array" ref="K90">SUM(IF("341"&amp;B90=LEFT(KHC,3)&amp;KH,_TH))</f>
        <v>84000</v>
      </c>
      <c r="L90" s="381">
        <f t="array" ref="L90">SUM(IF("341"&amp;B90=LEFT(KHC,3)&amp;KH,TH))</f>
        <v>1907220000</v>
      </c>
      <c r="M90" s="1187">
        <f t="shared" si="65"/>
        <v>0</v>
      </c>
      <c r="N90" s="1187">
        <f t="shared" si="66"/>
        <v>0</v>
      </c>
      <c r="O90" s="1166">
        <f t="shared" si="67"/>
        <v>84000</v>
      </c>
      <c r="P90" s="1187">
        <f t="shared" si="68"/>
        <v>1907220000</v>
      </c>
    </row>
    <row r="91" spans="1:16" s="1123" customFormat="1" ht="18" customHeight="1">
      <c r="A91" s="675">
        <f t="shared" ref="A91:A92" si="69">IF(B91&lt;&gt;"",ROW()-4,"")</f>
        <v>87</v>
      </c>
      <c r="B91" s="67" t="s">
        <v>2771</v>
      </c>
      <c r="C91" s="767">
        <v>43091</v>
      </c>
      <c r="D91" s="767"/>
      <c r="E91" s="1097">
        <v>0</v>
      </c>
      <c r="F91" s="8">
        <v>0</v>
      </c>
      <c r="G91" s="210">
        <v>0</v>
      </c>
      <c r="H91" s="8">
        <v>0</v>
      </c>
      <c r="I91" s="1122">
        <f t="array" ref="I91">SUM(IF("341"&amp;B91=LEFT(KHN,3)&amp;KH,_TH))</f>
        <v>0</v>
      </c>
      <c r="J91" s="381">
        <f t="array" ref="J91">SUM(IF("341"&amp;B91=LEFT(KHN,3)&amp;KH,TH))</f>
        <v>0</v>
      </c>
      <c r="K91" s="375">
        <f t="array" ref="K91">SUM(IF("341"&amp;B91=LEFT(KHC,3)&amp;KH,_TH))</f>
        <v>24890</v>
      </c>
      <c r="L91" s="381">
        <f t="array" ref="L91">SUM(IF("341"&amp;B91=LEFT(KHC,3)&amp;KH,TH))</f>
        <v>565052780</v>
      </c>
      <c r="M91" s="1187">
        <f t="shared" ref="M91:M92" si="70">ROUND(MAX(E91+I91-G91-K91,0),2)</f>
        <v>0</v>
      </c>
      <c r="N91" s="1187">
        <f t="shared" ref="N91:N92" si="71">ROUND(MAX(F91+J91-H91-L91,0),2)</f>
        <v>0</v>
      </c>
      <c r="O91" s="1166">
        <f t="shared" ref="O91:O92" si="72">ROUND(MAX(G91+K91-E91-I91,0),2)</f>
        <v>24890</v>
      </c>
      <c r="P91" s="1187">
        <f t="shared" ref="P91:P92" si="73">ROUND(MAX(H91+L91-F91-J91,0),2)</f>
        <v>565052780</v>
      </c>
    </row>
    <row r="92" spans="1:16" s="1123" customFormat="1" ht="18" customHeight="1">
      <c r="A92" s="675">
        <f t="shared" si="69"/>
        <v>88</v>
      </c>
      <c r="B92" s="67" t="s">
        <v>2769</v>
      </c>
      <c r="C92" s="767">
        <v>43091</v>
      </c>
      <c r="D92" s="767"/>
      <c r="E92" s="1097">
        <v>0</v>
      </c>
      <c r="F92" s="8">
        <v>0</v>
      </c>
      <c r="G92" s="210">
        <v>0</v>
      </c>
      <c r="H92" s="8">
        <v>0</v>
      </c>
      <c r="I92" s="1122">
        <f t="array" ref="I92">SUM(IF("341"&amp;B92=LEFT(KHN,3)&amp;KH,_TH))</f>
        <v>0</v>
      </c>
      <c r="J92" s="381">
        <f t="array" ref="J92">SUM(IF("341"&amp;B92=LEFT(KHN,3)&amp;KH,TH))</f>
        <v>0</v>
      </c>
      <c r="K92" s="375">
        <f t="array" ref="K92">SUM(IF("341"&amp;B92=LEFT(KHC,3)&amp;KH,_TH))</f>
        <v>92500</v>
      </c>
      <c r="L92" s="381">
        <f t="array" ref="L92">SUM(IF("341"&amp;B92=LEFT(KHC,3)&amp;KH,TH))</f>
        <v>2099935000</v>
      </c>
      <c r="M92" s="1187">
        <f t="shared" si="70"/>
        <v>0</v>
      </c>
      <c r="N92" s="1187">
        <f t="shared" si="71"/>
        <v>0</v>
      </c>
      <c r="O92" s="1166">
        <f t="shared" si="72"/>
        <v>92500</v>
      </c>
      <c r="P92" s="1187">
        <f t="shared" si="73"/>
        <v>2099935000</v>
      </c>
    </row>
    <row r="93" spans="1:16" s="1123" customFormat="1" ht="18" customHeight="1">
      <c r="A93" s="675">
        <f>IF(B93&lt;&gt;"",ROW()-4,"")</f>
        <v>89</v>
      </c>
      <c r="B93" s="67" t="s">
        <v>2795</v>
      </c>
      <c r="C93" s="767">
        <v>43097</v>
      </c>
      <c r="D93" s="767"/>
      <c r="E93" s="1097">
        <v>0</v>
      </c>
      <c r="F93" s="8">
        <v>0</v>
      </c>
      <c r="G93" s="210">
        <v>0</v>
      </c>
      <c r="H93" s="8">
        <v>0</v>
      </c>
      <c r="I93" s="1122">
        <f t="array" ref="I93">SUM(IF("341"&amp;B93=LEFT(KHN,3)&amp;KH,_TH))</f>
        <v>0</v>
      </c>
      <c r="J93" s="381">
        <f t="array" ref="J93">SUM(IF("341"&amp;B93=LEFT(KHN,3)&amp;KH,TH))</f>
        <v>0</v>
      </c>
      <c r="K93" s="375">
        <f t="array" ref="K93">SUM(IF("341"&amp;B93=LEFT(KHC,3)&amp;KH,_TH))</f>
        <v>26200</v>
      </c>
      <c r="L93" s="381">
        <f t="array" ref="L93">SUM(IF("341"&amp;B93=LEFT(KHC,3)&amp;KH,TH))</f>
        <v>594740000</v>
      </c>
      <c r="M93" s="1187">
        <f>ROUND(MAX(E93+I93-G93-K93,0),2)</f>
        <v>0</v>
      </c>
      <c r="N93" s="1187">
        <f>ROUND(MAX(F93+J93-H93-L93,0),2)</f>
        <v>0</v>
      </c>
      <c r="O93" s="1166">
        <f>ROUND(MAX(G93+K93-E93-I93,0),2)</f>
        <v>26200</v>
      </c>
      <c r="P93" s="1187">
        <f>ROUND(MAX(H93+L93-F93-J93,0),2)</f>
        <v>594740000</v>
      </c>
    </row>
    <row r="94" spans="1:16" s="1123" customFormat="1" ht="18" customHeight="1">
      <c r="A94" s="675">
        <f t="shared" ref="A94" si="74">IF(B94&lt;&gt;"",ROW()-4,"")</f>
        <v>90</v>
      </c>
      <c r="B94" s="67" t="s">
        <v>2796</v>
      </c>
      <c r="C94" s="767">
        <v>43098</v>
      </c>
      <c r="D94" s="767"/>
      <c r="E94" s="1097">
        <v>0</v>
      </c>
      <c r="F94" s="8">
        <v>0</v>
      </c>
      <c r="G94" s="210">
        <v>0</v>
      </c>
      <c r="H94" s="8">
        <v>0</v>
      </c>
      <c r="I94" s="1122">
        <f t="array" ref="I94">SUM(IF("341"&amp;B94=LEFT(KHN,3)&amp;KH,_TH))</f>
        <v>0</v>
      </c>
      <c r="J94" s="381">
        <f t="array" ref="J94">SUM(IF("341"&amp;B94=LEFT(KHN,3)&amp;KH,TH))</f>
        <v>0</v>
      </c>
      <c r="K94" s="375">
        <f t="array" ref="K94">SUM(IF("341"&amp;B94=LEFT(KHC,3)&amp;KH,_TH))</f>
        <v>93480</v>
      </c>
      <c r="L94" s="381">
        <f t="array" ref="L94">SUM(IF("341"&amp;B94=LEFT(KHC,3)&amp;KH,TH))</f>
        <v>2121996000</v>
      </c>
      <c r="M94" s="1187">
        <f t="shared" ref="M94" si="75">ROUND(MAX(E94+I94-G94-K94,0),2)</f>
        <v>0</v>
      </c>
      <c r="N94" s="1187">
        <f t="shared" ref="N94" si="76">ROUND(MAX(F94+J94-H94-L94,0),2)</f>
        <v>0</v>
      </c>
      <c r="O94" s="1166">
        <f t="shared" ref="O94" si="77">ROUND(MAX(G94+K94-E94-I94,0),2)</f>
        <v>93480</v>
      </c>
      <c r="P94" s="1187">
        <f t="shared" ref="P94" si="78">ROUND(MAX(H94+L94-F94-J94,0),2)</f>
        <v>2121996000</v>
      </c>
    </row>
    <row r="95" spans="1:16" s="1123" customFormat="1" ht="18" customHeight="1">
      <c r="A95" s="1246"/>
      <c r="B95" s="1247"/>
      <c r="C95" s="1248"/>
      <c r="D95" s="1248"/>
      <c r="E95" s="1249"/>
      <c r="F95" s="1250"/>
      <c r="G95" s="1251"/>
      <c r="H95" s="1250"/>
      <c r="I95" s="1251"/>
      <c r="J95" s="1250"/>
      <c r="K95" s="1251"/>
      <c r="L95" s="1250"/>
      <c r="M95" s="1252"/>
      <c r="N95" s="1252"/>
      <c r="O95" s="1253"/>
      <c r="P95" s="1252"/>
    </row>
    <row r="96" spans="1:16" s="1123" customFormat="1" ht="18" customHeight="1">
      <c r="A96" s="1188"/>
      <c r="B96" s="1189" t="s">
        <v>41</v>
      </c>
      <c r="C96" s="1189"/>
      <c r="D96" s="1189"/>
      <c r="E96" s="1195">
        <f t="shared" ref="E96:P96" si="79">SUM(E5:E95)</f>
        <v>0</v>
      </c>
      <c r="F96" s="1190">
        <f t="shared" si="79"/>
        <v>0</v>
      </c>
      <c r="G96" s="1195">
        <f t="shared" si="79"/>
        <v>1223700</v>
      </c>
      <c r="H96" s="1190">
        <f t="shared" si="79"/>
        <v>27471593800</v>
      </c>
      <c r="I96" s="1195">
        <f t="shared" si="79"/>
        <v>5826194</v>
      </c>
      <c r="J96" s="1190">
        <f t="shared" si="79"/>
        <v>132340444757</v>
      </c>
      <c r="K96" s="1195">
        <f t="shared" si="79"/>
        <v>8775184</v>
      </c>
      <c r="L96" s="1190">
        <f t="shared" si="79"/>
        <v>199626654607</v>
      </c>
      <c r="M96" s="1195">
        <f t="shared" si="79"/>
        <v>0</v>
      </c>
      <c r="N96" s="1195">
        <f t="shared" si="79"/>
        <v>0</v>
      </c>
      <c r="O96" s="1195">
        <f t="shared" si="79"/>
        <v>4172690</v>
      </c>
      <c r="P96" s="1190">
        <f t="shared" si="79"/>
        <v>94757803650</v>
      </c>
    </row>
    <row r="97" spans="7:16" s="1191" customFormat="1">
      <c r="G97" s="1192"/>
      <c r="H97" s="1193">
        <f>H96-CDPS!D58</f>
        <v>0</v>
      </c>
      <c r="I97" s="1192"/>
      <c r="J97" s="1193">
        <f>J96-CDPS!E58</f>
        <v>0</v>
      </c>
      <c r="K97" s="1192"/>
      <c r="L97" s="1193">
        <f>L96-CDPS!F58</f>
        <v>0</v>
      </c>
      <c r="O97" s="1192"/>
      <c r="P97" s="1194">
        <f>P96-CDPS!H58</f>
        <v>0</v>
      </c>
    </row>
    <row r="98" spans="7:16" s="1191" customFormat="1">
      <c r="G98" s="1192"/>
      <c r="I98" s="1192"/>
      <c r="J98" s="1193"/>
      <c r="K98" s="1193"/>
      <c r="L98" s="1193"/>
      <c r="O98" s="1192"/>
      <c r="P98" s="1193"/>
    </row>
    <row r="99" spans="7:16" s="1191" customFormat="1">
      <c r="G99" s="1192"/>
      <c r="I99" s="1192"/>
      <c r="K99" s="1192"/>
      <c r="O99" s="1192"/>
    </row>
    <row r="100" spans="7:16" s="1191" customFormat="1">
      <c r="G100" s="1192"/>
      <c r="I100" s="1192"/>
      <c r="J100" s="1193"/>
      <c r="K100" s="1192"/>
      <c r="O100" s="1192"/>
    </row>
  </sheetData>
  <sortState ref="A65:P69">
    <sortCondition ref="C65:C69"/>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30"/>
  <sheetViews>
    <sheetView topLeftCell="A8" workbookViewId="0">
      <pane ySplit="9" topLeftCell="A17" activePane="bottomLeft" state="frozen"/>
      <selection activeCell="P41" sqref="P41"/>
      <selection pane="bottomLeft" activeCell="H19" sqref="H19"/>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11.28515625" customWidth="1"/>
    <col min="12" max="12" width="12.42578125" customWidth="1"/>
    <col min="13" max="13" width="10.85546875" customWidth="1"/>
    <col min="14" max="14" width="14" customWidth="1"/>
  </cols>
  <sheetData>
    <row r="1" spans="1:14" s="215" customFormat="1" ht="16.5" customHeight="1">
      <c r="A1" s="219" t="s">
        <v>14</v>
      </c>
      <c r="B1" s="214"/>
      <c r="C1" s="214"/>
      <c r="H1" s="214"/>
      <c r="I1" s="214"/>
      <c r="J1" s="1446" t="s">
        <v>235</v>
      </c>
      <c r="K1" s="1446"/>
      <c r="L1" s="1446"/>
      <c r="M1" s="1446"/>
      <c r="N1" s="1446"/>
    </row>
    <row r="2" spans="1:14" s="215" customFormat="1" ht="16.5" customHeight="1">
      <c r="A2" s="220" t="s">
        <v>176</v>
      </c>
      <c r="B2" s="318"/>
      <c r="C2" s="318"/>
      <c r="H2" s="216"/>
      <c r="I2" s="216"/>
      <c r="J2" s="1447" t="s">
        <v>236</v>
      </c>
      <c r="K2" s="1447"/>
      <c r="L2" s="1447"/>
      <c r="M2" s="1447"/>
      <c r="N2" s="1447"/>
    </row>
    <row r="3" spans="1:14" s="215" customFormat="1" ht="16.5" customHeight="1">
      <c r="A3" s="318"/>
      <c r="B3" s="318"/>
      <c r="C3" s="318"/>
      <c r="H3" s="216"/>
      <c r="I3" s="216"/>
      <c r="J3" s="1447"/>
      <c r="K3" s="1447"/>
      <c r="L3" s="1447"/>
      <c r="M3" s="1447"/>
      <c r="N3" s="1447"/>
    </row>
    <row r="4" spans="1:14" s="215" customFormat="1" ht="16.5" customHeight="1">
      <c r="A4" s="318"/>
      <c r="B4" s="318"/>
      <c r="C4" s="318"/>
      <c r="H4" s="216"/>
      <c r="I4" s="216"/>
      <c r="J4" s="319"/>
      <c r="K4" s="319"/>
      <c r="L4" s="319"/>
      <c r="M4" s="319"/>
      <c r="N4" s="319"/>
    </row>
    <row r="5" spans="1:14" s="18" customFormat="1" ht="23.25" customHeight="1">
      <c r="A5" s="1458" t="s">
        <v>237</v>
      </c>
      <c r="B5" s="1458"/>
      <c r="C5" s="1458"/>
      <c r="D5" s="1458"/>
      <c r="E5" s="1458"/>
      <c r="F5" s="1458"/>
      <c r="G5" s="1458"/>
      <c r="H5" s="1458"/>
      <c r="I5" s="1458"/>
      <c r="J5" s="1458"/>
      <c r="K5" s="1458"/>
      <c r="L5" s="1458"/>
      <c r="M5" s="1458"/>
      <c r="N5" s="1458"/>
    </row>
    <row r="6" spans="1:14" s="18" customFormat="1">
      <c r="A6" s="1420" t="s">
        <v>238</v>
      </c>
      <c r="B6" s="1420"/>
      <c r="C6" s="1420"/>
      <c r="D6" s="1420"/>
      <c r="E6" s="1420"/>
      <c r="F6" s="1420"/>
      <c r="G6" s="1420"/>
      <c r="H6" s="1420"/>
      <c r="I6" s="1420"/>
      <c r="J6" s="1420"/>
      <c r="K6" s="1420"/>
      <c r="L6" s="1420"/>
      <c r="M6" s="1420"/>
      <c r="N6" s="1420"/>
    </row>
    <row r="7" spans="1:14" s="18" customFormat="1">
      <c r="A7" s="1420" t="s">
        <v>239</v>
      </c>
      <c r="B7" s="1420"/>
      <c r="C7" s="1420"/>
      <c r="D7" s="1420"/>
      <c r="E7" s="1420"/>
      <c r="F7" s="1420"/>
      <c r="G7" s="1420"/>
      <c r="H7" s="1420"/>
      <c r="I7" s="1420"/>
      <c r="J7" s="1420"/>
      <c r="K7" s="1420"/>
      <c r="L7" s="1420"/>
      <c r="M7" s="1420"/>
      <c r="N7" s="1420"/>
    </row>
    <row r="8" spans="1:14" s="18" customFormat="1" ht="15" customHeight="1">
      <c r="A8" s="1420" t="str">
        <f>IF(MID($H$9,4,4)="1015","Đối tượng cho vay: NH Eximbank CN Q11","Đối tượng cho vay: NH Eximbank CN Q4")</f>
        <v>Đối tượng cho vay: NH Eximbank CN Q4</v>
      </c>
      <c r="B8" s="1420"/>
      <c r="C8" s="1420"/>
      <c r="D8" s="1420"/>
      <c r="E8" s="1420"/>
      <c r="F8" s="1420"/>
      <c r="G8" s="1420"/>
      <c r="H8" s="1420"/>
      <c r="I8" s="1420"/>
      <c r="J8" s="1420"/>
      <c r="K8" s="1420"/>
      <c r="L8" s="1420"/>
      <c r="M8" s="1420"/>
      <c r="N8" s="1420"/>
    </row>
    <row r="9" spans="1:14" s="18" customFormat="1">
      <c r="A9" s="317"/>
      <c r="B9" s="317"/>
      <c r="C9" s="317"/>
      <c r="D9" s="317"/>
      <c r="E9" s="317"/>
      <c r="F9" s="317"/>
      <c r="G9" s="20" t="s">
        <v>240</v>
      </c>
      <c r="H9" s="1504" t="s">
        <v>2471</v>
      </c>
      <c r="I9" s="1504"/>
      <c r="J9" s="320" t="str">
        <f>"ngày "&amp; TEXT(VLOOKUP($H$9,'341'!$B$23:$P$84,2,0),"dd/MM/yy")</f>
        <v>ngày 12/10/17</v>
      </c>
      <c r="K9" s="317"/>
      <c r="L9" s="317"/>
      <c r="M9" s="317"/>
      <c r="N9" s="317"/>
    </row>
    <row r="10" spans="1:14" s="18" customFormat="1">
      <c r="A10" s="1420" t="s">
        <v>241</v>
      </c>
      <c r="B10" s="1420"/>
      <c r="C10" s="1420"/>
      <c r="D10" s="1420"/>
      <c r="E10" s="1420"/>
      <c r="F10" s="1420"/>
      <c r="G10" s="1420"/>
      <c r="H10" s="1420"/>
      <c r="I10" s="1420"/>
      <c r="J10" s="1420"/>
      <c r="K10" s="1420"/>
      <c r="L10" s="1420"/>
      <c r="M10" s="1420"/>
      <c r="N10" s="1420"/>
    </row>
    <row r="11" spans="1:14" s="18" customFormat="1">
      <c r="C11" s="1449"/>
      <c r="D11" s="1449"/>
      <c r="E11" s="1449"/>
      <c r="F11" s="1449"/>
      <c r="G11" s="1449"/>
      <c r="H11" s="1449"/>
      <c r="I11" s="1449"/>
      <c r="J11" s="1449"/>
      <c r="K11" s="1449"/>
      <c r="L11" s="1449"/>
      <c r="M11" s="1449"/>
      <c r="N11" s="1449"/>
    </row>
    <row r="12" spans="1:14" s="18" customFormat="1" ht="15.75" customHeight="1">
      <c r="A12" s="1505" t="s">
        <v>22</v>
      </c>
      <c r="B12" s="1451" t="s">
        <v>1</v>
      </c>
      <c r="C12" s="1452"/>
      <c r="D12" s="1505" t="s">
        <v>0</v>
      </c>
      <c r="E12" s="1505" t="s">
        <v>16</v>
      </c>
      <c r="F12" s="1505" t="s">
        <v>242</v>
      </c>
      <c r="G12" s="1451" t="s">
        <v>23</v>
      </c>
      <c r="H12" s="1510"/>
      <c r="I12" s="1510"/>
      <c r="J12" s="1503"/>
      <c r="K12" s="1451" t="s">
        <v>33</v>
      </c>
      <c r="L12" s="1510"/>
      <c r="M12" s="1510"/>
      <c r="N12" s="1503"/>
    </row>
    <row r="13" spans="1:14" s="18" customFormat="1" ht="15.75" customHeight="1">
      <c r="A13" s="1506"/>
      <c r="B13" s="1511" t="s">
        <v>17</v>
      </c>
      <c r="C13" s="1511" t="s">
        <v>34</v>
      </c>
      <c r="D13" s="1506"/>
      <c r="E13" s="1506"/>
      <c r="F13" s="1508"/>
      <c r="G13" s="1502" t="s">
        <v>24</v>
      </c>
      <c r="H13" s="1503"/>
      <c r="I13" s="1502" t="s">
        <v>25</v>
      </c>
      <c r="J13" s="1503"/>
      <c r="K13" s="1502" t="s">
        <v>24</v>
      </c>
      <c r="L13" s="1503"/>
      <c r="M13" s="1502" t="s">
        <v>25</v>
      </c>
      <c r="N13" s="1503"/>
    </row>
    <row r="14" spans="1:14" s="18" customFormat="1" ht="32.25" customHeight="1">
      <c r="A14" s="1507"/>
      <c r="B14" s="1512"/>
      <c r="C14" s="1512"/>
      <c r="D14" s="1507"/>
      <c r="E14" s="1507"/>
      <c r="F14" s="1509"/>
      <c r="G14" s="29" t="s">
        <v>243</v>
      </c>
      <c r="H14" s="29" t="s">
        <v>244</v>
      </c>
      <c r="I14" s="29" t="s">
        <v>243</v>
      </c>
      <c r="J14" s="29" t="s">
        <v>244</v>
      </c>
      <c r="K14" s="29" t="s">
        <v>243</v>
      </c>
      <c r="L14" s="29" t="s">
        <v>244</v>
      </c>
      <c r="M14" s="29" t="s">
        <v>243</v>
      </c>
      <c r="N14" s="29" t="s">
        <v>244</v>
      </c>
    </row>
    <row r="15" spans="1:14" s="317" customFormat="1">
      <c r="A15" s="321" t="s">
        <v>2</v>
      </c>
      <c r="B15" s="322" t="s">
        <v>3</v>
      </c>
      <c r="C15" s="321" t="s">
        <v>4</v>
      </c>
      <c r="D15" s="321" t="s">
        <v>5</v>
      </c>
      <c r="E15" s="321" t="s">
        <v>6</v>
      </c>
      <c r="F15" s="321">
        <v>1</v>
      </c>
      <c r="G15" s="321">
        <v>2</v>
      </c>
      <c r="H15" s="321">
        <v>3</v>
      </c>
      <c r="I15" s="321">
        <v>4</v>
      </c>
      <c r="J15" s="321">
        <v>5</v>
      </c>
      <c r="K15" s="321">
        <v>6</v>
      </c>
      <c r="L15" s="321">
        <v>7</v>
      </c>
      <c r="M15" s="321">
        <v>8</v>
      </c>
      <c r="N15" s="321">
        <v>9</v>
      </c>
    </row>
    <row r="16" spans="1:14" s="18" customFormat="1" ht="19.5" customHeight="1">
      <c r="A16" s="340"/>
      <c r="B16" s="340"/>
      <c r="C16" s="340"/>
      <c r="D16" s="341" t="s">
        <v>7</v>
      </c>
      <c r="E16" s="342"/>
      <c r="F16" s="342"/>
      <c r="G16" s="340"/>
      <c r="H16" s="340"/>
      <c r="I16" s="340"/>
      <c r="J16" s="340"/>
      <c r="K16" s="343">
        <f>VLOOKUP($H$9,'341'!$B$5:$P$95,4,0)</f>
        <v>0</v>
      </c>
      <c r="L16" s="344">
        <f>VLOOKUP($H$9,'341'!$B$5:$P$95,5,0)</f>
        <v>0</v>
      </c>
      <c r="M16" s="343">
        <f>VLOOKUP($H$9,'341'!$B$5:$P$95,6,0)</f>
        <v>0</v>
      </c>
      <c r="N16" s="344">
        <f>VLOOKUP($H$9,'341'!$B$5:$P$95,7,0)</f>
        <v>0</v>
      </c>
    </row>
    <row r="17" spans="1:14" s="18" customFormat="1" ht="19.5" customHeight="1">
      <c r="A17" s="305">
        <f ca="1">IF(ROWS($1:1)&gt;COUNT(Dong4),"",OFFSET(TH!C$1,SMALL(Dong4,ROWS($1:1)),))</f>
        <v>43020</v>
      </c>
      <c r="B17" s="217" t="str">
        <f ca="1">IF(ROWS($1:1)&gt;COUNT(Dong4),"",OFFSET(TH!D$1,SMALL(Dong4,ROWS($1:1)),))</f>
        <v>GBC</v>
      </c>
      <c r="C17" s="217">
        <f ca="1">IF(ROWS($1:1)&gt;COUNT(Dong4),"",OFFSET(TH!E$1,SMALL(Dong4,ROWS($1:1)),))</f>
        <v>43020</v>
      </c>
      <c r="D17" s="345" t="str">
        <f ca="1">IF(ROWS($1:1)&gt;COUNT(Dong4),"",OFFSET(TH!F$1,SMALL(Dong4,ROWS($1:1)),))</f>
        <v>Vay chiết khấu - Tokai 05</v>
      </c>
      <c r="E17" s="217" t="str">
        <f ca="1">IF(ROWS($1:1)&gt;COUNT(Dong4),"",IF(LEFT(OFFSET(TH!O$1,SMALL(Dong4,ROWS($1:1)),),3)="341",OFFSET(TH!N$1,SMALL(Dong4,ROWS($1:1)),),OFFSET(TH!O$1,SMALL(Dong4,ROWS($1:1)),)))</f>
        <v>1122</v>
      </c>
      <c r="F17" s="346"/>
      <c r="G17" s="347">
        <f ca="1">IF(ROWS($1:1)&gt;COUNT(Dong4),"",IF(LEFT(OFFSET(TH!N$1,SMALL(Dong4,ROWS($1:1)),),3)="341",OFFSET(TH!K$1,SMALL(Dong4,ROWS($1:1)),),0))</f>
        <v>0</v>
      </c>
      <c r="H17" s="346">
        <f ca="1">IF(ROWS($1:1)&gt;COUNT(Dong4),"",IF(LEFT(OFFSET(TH!N$1,SMALL(Dong4,ROWS($1:1)),),3)="341",OFFSET(TH!M$1,SMALL(Dong4,ROWS($1:1)),),0))</f>
        <v>0</v>
      </c>
      <c r="I17" s="347">
        <f ca="1">IF(ROWS($1:1)&gt;COUNT(Dong4),"",IF(LEFT(OFFSET(TH!O$1,SMALL(Dong4,ROWS($1:1)),),3)="341",OFFSET(TH!K$1,SMALL(Dong4,ROWS($1:1)),),0))</f>
        <v>21197</v>
      </c>
      <c r="J17" s="346">
        <f ca="1">IF(ROWS($1:1)&gt;COUNT(Dong4),"",IF(LEFT(OFFSET(TH!O$1,SMALL(Dong4,ROWS($1:1)),),3)="341",OFFSET(TH!M$1,SMALL(Dong4,ROWS($1:1)),),0))</f>
        <v>481595840</v>
      </c>
      <c r="K17" s="210">
        <f ca="1">IF(C17&lt;&gt;"",ROUND(MAX(K16+G17-I17-M16,0),2),0)</f>
        <v>0</v>
      </c>
      <c r="L17" s="8">
        <f ca="1">IF(C17&lt;&gt;"",MAX(L16-N16+H17-J17,0),0)</f>
        <v>0</v>
      </c>
      <c r="M17" s="210">
        <f ca="1">IF(C17&lt;&gt;"",ROUND(MAX(M16+I17-G17-K16,0),2),0)</f>
        <v>21197</v>
      </c>
      <c r="N17" s="8">
        <f ca="1">IF(C17&lt;&gt;"",MAX(N16-L16+J17-H17,0),0)</f>
        <v>481595840</v>
      </c>
    </row>
    <row r="18" spans="1:14" s="348" customFormat="1" ht="19.5" customHeight="1">
      <c r="A18" s="305">
        <f ca="1">IF(ROWS($1:2)&gt;COUNT(Dong4),"",OFFSET(TH!C$1,SMALL(Dong4,ROWS($1:2)),))</f>
        <v>43026</v>
      </c>
      <c r="B18" s="217" t="str">
        <f ca="1">IF(ROWS($1:2)&gt;COUNT(Dong4),"",OFFSET(TH!D$1,SMALL(Dong4,ROWS($1:2)),))</f>
        <v>GBN</v>
      </c>
      <c r="C18" s="217">
        <f ca="1">IF(ROWS($1:2)&gt;COUNT(Dong4),"",OFFSET(TH!E$1,SMALL(Dong4,ROWS($1:2)),))</f>
        <v>43026</v>
      </c>
      <c r="D18" s="345" t="str">
        <f ca="1">IF(ROWS($1:2)&gt;COUNT(Dong4),"",OFFSET(TH!F$1,SMALL(Dong4,ROWS($1:2)),))</f>
        <v>Trả gốc vay</v>
      </c>
      <c r="E18" s="217" t="str">
        <f ca="1">IF(ROWS($1:2)&gt;COUNT(Dong4),"",IF(LEFT(OFFSET(TH!O$1,SMALL(Dong4,ROWS($1:2)),),3)="341",OFFSET(TH!N$1,SMALL(Dong4,ROWS($1:2)),),OFFSET(TH!O$1,SMALL(Dong4,ROWS($1:2)),)))</f>
        <v>1122</v>
      </c>
      <c r="F18" s="346"/>
      <c r="G18" s="347">
        <f ca="1">IF(ROWS($1:2)&gt;COUNT(Dong4),"",IF(LEFT(OFFSET(TH!N$1,SMALL(Dong4,ROWS($1:2)),),3)="341",OFFSET(TH!K$1,SMALL(Dong4,ROWS($1:2)),),0))</f>
        <v>25170</v>
      </c>
      <c r="H18" s="346">
        <f ca="1">IF(ROWS($1:2)&gt;COUNT(Dong4),"",IF(LEFT(OFFSET(TH!N$1,SMALL(Dong4,ROWS($1:2)),),3)="341",OFFSET(TH!M$1,SMALL(Dong4,ROWS($1:2)),),0))</f>
        <v>571862400</v>
      </c>
      <c r="I18" s="347">
        <f ca="1">IF(ROWS($1:2)&gt;COUNT(Dong4),"",IF(LEFT(OFFSET(TH!O$1,SMALL(Dong4,ROWS($1:2)),),3)="341",OFFSET(TH!K$1,SMALL(Dong4,ROWS($1:2)),),0))</f>
        <v>0</v>
      </c>
      <c r="J18" s="346">
        <f ca="1">IF(ROWS($1:2)&gt;COUNT(Dong4),"",IF(LEFT(OFFSET(TH!O$1,SMALL(Dong4,ROWS($1:2)),),3)="341",OFFSET(TH!M$1,SMALL(Dong4,ROWS($1:2)),),0))</f>
        <v>0</v>
      </c>
      <c r="K18" s="210">
        <f ca="1">IF(C18&lt;&gt;"",ROUND(MAX(K17+G18-I18-M17,0),2),0)</f>
        <v>3973</v>
      </c>
      <c r="L18" s="8">
        <f ca="1">IF(C18&lt;&gt;"",MAX(L17-N17+H18-J18,0),0)</f>
        <v>90266560</v>
      </c>
      <c r="M18" s="210">
        <f ca="1">IF(C18&lt;&gt;"",ROUND(MAX(M17+I18-G18-K17,0),2),0)</f>
        <v>0</v>
      </c>
      <c r="N18" s="8">
        <f ca="1">IF(C18&lt;&gt;"",MAX(N17-L17+J18-H18,0),0)</f>
        <v>0</v>
      </c>
    </row>
    <row r="19" spans="1:14" s="348" customFormat="1" ht="19.5" customHeight="1">
      <c r="A19" s="305">
        <f ca="1">IF(ROWS($1:3)&gt;COUNT(Dong4),"",OFFSET(TH!C$1,SMALL(Dong4,ROWS($1:3)),))</f>
        <v>43026</v>
      </c>
      <c r="B19" s="217" t="str">
        <f ca="1">IF(ROWS($1:3)&gt;COUNT(Dong4),"",OFFSET(TH!D$1,SMALL(Dong4,ROWS($1:3)),))</f>
        <v>CTGS</v>
      </c>
      <c r="C19" s="217">
        <f ca="1">IF(ROWS($1:3)&gt;COUNT(Dong4),"",OFFSET(TH!E$1,SMALL(Dong4,ROWS($1:3)),))</f>
        <v>43026</v>
      </c>
      <c r="D19" s="345" t="str">
        <f ca="1">IF(ROWS($1:3)&gt;COUNT(Dong4),"",OFFSET(TH!F$1,SMALL(Dong4,ROWS($1:3)),))</f>
        <v>Chênh lệch tỷ giá</v>
      </c>
      <c r="E19" s="217" t="str">
        <f ca="1">IF(ROWS($1:3)&gt;COUNT(Dong4),"",IF(LEFT(OFFSET(TH!O$1,SMALL(Dong4,ROWS($1:3)),),3)="341",OFFSET(TH!N$1,SMALL(Dong4,ROWS($1:3)),),OFFSET(TH!O$1,SMALL(Dong4,ROWS($1:3)),)))</f>
        <v>635</v>
      </c>
      <c r="F19" s="346"/>
      <c r="G19" s="347">
        <f ca="1">IF(ROWS($1:3)&gt;COUNT(Dong4),"",IF(LEFT(OFFSET(TH!N$1,SMALL(Dong4,ROWS($1:3)),),3)="341",OFFSET(TH!K$1,SMALL(Dong4,ROWS($1:3)),),0))</f>
        <v>0</v>
      </c>
      <c r="H19" s="346">
        <f ca="1">IF(ROWS($1:3)&gt;COUNT(Dong4),"",IF(LEFT(OFFSET(TH!N$1,SMALL(Dong4,ROWS($1:3)),),3)="341",OFFSET(TH!M$1,SMALL(Dong4,ROWS($1:3)),),0))</f>
        <v>0</v>
      </c>
      <c r="I19" s="347">
        <f ca="1">IF(ROWS($1:3)&gt;COUNT(Dong4),"",IF(LEFT(OFFSET(TH!O$1,SMALL(Dong4,ROWS($1:3)),),3)="341",OFFSET(TH!K$1,SMALL(Dong4,ROWS($1:3)),),0))</f>
        <v>0</v>
      </c>
      <c r="J19" s="346">
        <f ca="1">IF(ROWS($1:3)&gt;COUNT(Dong4),"",IF(LEFT(OFFSET(TH!O$1,SMALL(Dong4,ROWS($1:3)),),3)="341",OFFSET(TH!M$1,SMALL(Dong4,ROWS($1:3)),),0))</f>
        <v>119190</v>
      </c>
      <c r="K19" s="210">
        <f ca="1">IF(C19&lt;&gt;"",ROUND(MAX(K18+G19-I19-M18,0),2),0)</f>
        <v>3973</v>
      </c>
      <c r="L19" s="8">
        <f ca="1">IF(C19&lt;&gt;"",MAX(L18-N18+H19-J19,0),0)</f>
        <v>90147370</v>
      </c>
      <c r="M19" s="210">
        <f ca="1">IF(C19&lt;&gt;"",ROUND(MAX(M18+I19-G19-K18,0),2),0)</f>
        <v>0</v>
      </c>
      <c r="N19" s="8">
        <f ca="1">IF(C19&lt;&gt;"",MAX(N18-L18+J19-H19,0),0)</f>
        <v>0</v>
      </c>
    </row>
    <row r="20" spans="1:14" s="348" customFormat="1" ht="19.5" customHeight="1">
      <c r="A20" s="305">
        <f ca="1">IF(ROWS($1:4)&gt;COUNT(Dong4),"",OFFSET(TH!C$1,SMALL(Dong4,ROWS($1:4)),))</f>
        <v>43020</v>
      </c>
      <c r="B20" s="217" t="str">
        <f ca="1">IF(ROWS($1:4)&gt;COUNT(Dong4),"",OFFSET(TH!D$1,SMALL(Dong4,ROWS($1:4)),))</f>
        <v>GBN</v>
      </c>
      <c r="C20" s="217">
        <f ca="1">IF(ROWS($1:4)&gt;COUNT(Dong4),"",OFFSET(TH!E$1,SMALL(Dong4,ROWS($1:4)),))</f>
        <v>43020</v>
      </c>
      <c r="D20" s="345" t="str">
        <f ca="1">IF(ROWS($1:4)&gt;COUNT(Dong4),"",OFFSET(TH!F$1,SMALL(Dong4,ROWS($1:4)),))</f>
        <v>Vay chiết khấu - Tokai 05</v>
      </c>
      <c r="E20" s="217" t="str">
        <f ca="1">IF(ROWS($1:4)&gt;COUNT(Dong4),"",IF(LEFT(OFFSET(TH!O$1,SMALL(Dong4,ROWS($1:4)),),3)="341",OFFSET(TH!N$1,SMALL(Dong4,ROWS($1:4)),),OFFSET(TH!O$1,SMALL(Dong4,ROWS($1:4)),)))</f>
        <v>1121</v>
      </c>
      <c r="F20" s="346"/>
      <c r="G20" s="347">
        <f ca="1">IF(ROWS($1:4)&gt;COUNT(Dong4),"",IF(LEFT(OFFSET(TH!N$1,SMALL(Dong4,ROWS($1:4)),),3)="341",OFFSET(TH!K$1,SMALL(Dong4,ROWS($1:4)),),0))</f>
        <v>0</v>
      </c>
      <c r="H20" s="346">
        <f ca="1">IF(ROWS($1:4)&gt;COUNT(Dong4),"",IF(LEFT(OFFSET(TH!N$1,SMALL(Dong4,ROWS($1:4)),),3)="341",OFFSET(TH!M$1,SMALL(Dong4,ROWS($1:4)),),0))</f>
        <v>0</v>
      </c>
      <c r="I20" s="347">
        <f ca="1">IF(ROWS($1:4)&gt;COUNT(Dong4),"",IF(LEFT(OFFSET(TH!O$1,SMALL(Dong4,ROWS($1:4)),),3)="341",OFFSET(TH!K$1,SMALL(Dong4,ROWS($1:4)),),0))</f>
        <v>3973</v>
      </c>
      <c r="J20" s="346">
        <f ca="1">IF(ROWS($1:4)&gt;COUNT(Dong4),"",IF(LEFT(OFFSET(TH!O$1,SMALL(Dong4,ROWS($1:4)),),3)="341",OFFSET(TH!M$1,SMALL(Dong4,ROWS($1:4)),),0))</f>
        <v>90147370</v>
      </c>
      <c r="K20" s="210">
        <f t="shared" ref="K20:K22" ca="1" si="0">IF(C20&lt;&gt;"",ROUND(MAX(K19+G20-I20-M19,0),2),0)</f>
        <v>0</v>
      </c>
      <c r="L20" s="8">
        <f t="shared" ref="L20:L22" ca="1" si="1">IF(C20&lt;&gt;"",MAX(L19-N19+H20-J20,0),0)</f>
        <v>0</v>
      </c>
      <c r="M20" s="210">
        <f t="shared" ref="M20:M22" ca="1" si="2">IF(C20&lt;&gt;"",ROUND(MAX(M19+I20-G20-K19,0),2),0)</f>
        <v>0</v>
      </c>
      <c r="N20" s="8">
        <f t="shared" ref="N20:N22" ca="1" si="3">IF(C20&lt;&gt;"",MAX(N19-L19+J20-H20,0),0)</f>
        <v>0</v>
      </c>
    </row>
    <row r="21" spans="1:14" s="348" customFormat="1" ht="19.5" customHeight="1">
      <c r="A21" s="305" t="str">
        <f ca="1">IF(ROWS($1:5)&gt;COUNT(Dong4),"",OFFSET(TH!C$1,SMALL(Dong4,ROWS($1:5)),))</f>
        <v/>
      </c>
      <c r="B21" s="217" t="str">
        <f ca="1">IF(ROWS($1:5)&gt;COUNT(Dong4),"",OFFSET(TH!D$1,SMALL(Dong4,ROWS($1:5)),))</f>
        <v/>
      </c>
      <c r="C21" s="217" t="str">
        <f ca="1">IF(ROWS($1:5)&gt;COUNT(Dong4),"",OFFSET(TH!E$1,SMALL(Dong4,ROWS($1:5)),))</f>
        <v/>
      </c>
      <c r="D21" s="345" t="str">
        <f ca="1">IF(ROWS($1:5)&gt;COUNT(Dong4),"",OFFSET(TH!F$1,SMALL(Dong4,ROWS($1:5)),))</f>
        <v/>
      </c>
      <c r="E21" s="217" t="str">
        <f ca="1">IF(ROWS($1:5)&gt;COUNT(Dong4),"",IF(LEFT(OFFSET(TH!O$1,SMALL(Dong4,ROWS($1:5)),),3)="341",OFFSET(TH!N$1,SMALL(Dong4,ROWS($1:5)),),OFFSET(TH!O$1,SMALL(Dong4,ROWS($1:5)),)))</f>
        <v/>
      </c>
      <c r="F21" s="346"/>
      <c r="G21" s="347" t="str">
        <f ca="1">IF(ROWS($1:5)&gt;COUNT(Dong4),"",IF(LEFT(OFFSET(TH!N$1,SMALL(Dong4,ROWS($1:5)),),3)="341",OFFSET(TH!K$1,SMALL(Dong4,ROWS($1:5)),),0))</f>
        <v/>
      </c>
      <c r="H21" s="346" t="str">
        <f ca="1">IF(ROWS($1:5)&gt;COUNT(Dong4),"",IF(LEFT(OFFSET(TH!N$1,SMALL(Dong4,ROWS($1:5)),),3)="341",OFFSET(TH!M$1,SMALL(Dong4,ROWS($1:5)),),0))</f>
        <v/>
      </c>
      <c r="I21" s="347" t="str">
        <f ca="1">IF(ROWS($1:5)&gt;COUNT(Dong4),"",IF(LEFT(OFFSET(TH!O$1,SMALL(Dong4,ROWS($1:5)),),3)="341",OFFSET(TH!K$1,SMALL(Dong4,ROWS($1:5)),),0))</f>
        <v/>
      </c>
      <c r="J21" s="346" t="str">
        <f ca="1">IF(ROWS($1:5)&gt;COUNT(Dong4),"",IF(LEFT(OFFSET(TH!O$1,SMALL(Dong4,ROWS($1:5)),),3)="341",OFFSET(TH!M$1,SMALL(Dong4,ROWS($1:5)),),0))</f>
        <v/>
      </c>
      <c r="K21" s="210">
        <f t="shared" ca="1" si="0"/>
        <v>0</v>
      </c>
      <c r="L21" s="8">
        <f t="shared" ca="1" si="1"/>
        <v>0</v>
      </c>
      <c r="M21" s="210">
        <f t="shared" ca="1" si="2"/>
        <v>0</v>
      </c>
      <c r="N21" s="8">
        <f t="shared" ca="1" si="3"/>
        <v>0</v>
      </c>
    </row>
    <row r="22" spans="1:14" s="348" customFormat="1" ht="19.5" customHeight="1">
      <c r="A22" s="305" t="str">
        <f ca="1">IF(ROWS($1:6)&gt;COUNT(Dong4),"",OFFSET(TH!C$1,SMALL(Dong4,ROWS($1:6)),))</f>
        <v/>
      </c>
      <c r="B22" s="217" t="str">
        <f ca="1">IF(ROWS($1:6)&gt;COUNT(Dong4),"",OFFSET(TH!D$1,SMALL(Dong4,ROWS($1:6)),))</f>
        <v/>
      </c>
      <c r="C22" s="217" t="str">
        <f ca="1">IF(ROWS($1:6)&gt;COUNT(Dong4),"",OFFSET(TH!E$1,SMALL(Dong4,ROWS($1:6)),))</f>
        <v/>
      </c>
      <c r="D22" s="345" t="str">
        <f ca="1">IF(ROWS($1:6)&gt;COUNT(Dong4),"",OFFSET(TH!F$1,SMALL(Dong4,ROWS($1:6)),))</f>
        <v/>
      </c>
      <c r="E22" s="217" t="str">
        <f ca="1">IF(ROWS($1:6)&gt;COUNT(Dong4),"",IF(LEFT(OFFSET(TH!O$1,SMALL(Dong4,ROWS($1:6)),),3)="341",OFFSET(TH!N$1,SMALL(Dong4,ROWS($1:6)),),OFFSET(TH!O$1,SMALL(Dong4,ROWS($1:6)),)))</f>
        <v/>
      </c>
      <c r="F22" s="346"/>
      <c r="G22" s="347" t="str">
        <f ca="1">IF(ROWS($1:6)&gt;COUNT(Dong4),"",IF(LEFT(OFFSET(TH!N$1,SMALL(Dong4,ROWS($1:6)),),3)="341",OFFSET(TH!K$1,SMALL(Dong4,ROWS($1:6)),),0))</f>
        <v/>
      </c>
      <c r="H22" s="346" t="str">
        <f ca="1">IF(ROWS($1:6)&gt;COUNT(Dong4),"",IF(LEFT(OFFSET(TH!N$1,SMALL(Dong4,ROWS($1:6)),),3)="341",OFFSET(TH!M$1,SMALL(Dong4,ROWS($1:6)),),0))</f>
        <v/>
      </c>
      <c r="I22" s="347" t="str">
        <f ca="1">IF(ROWS($1:6)&gt;COUNT(Dong4),"",IF(LEFT(OFFSET(TH!O$1,SMALL(Dong4,ROWS($1:6)),),3)="341",OFFSET(TH!K$1,SMALL(Dong4,ROWS($1:6)),),0))</f>
        <v/>
      </c>
      <c r="J22" s="346" t="str">
        <f ca="1">IF(ROWS($1:6)&gt;COUNT(Dong4),"",IF(LEFT(OFFSET(TH!O$1,SMALL(Dong4,ROWS($1:6)),),3)="341",OFFSET(TH!M$1,SMALL(Dong4,ROWS($1:6)),),0))</f>
        <v/>
      </c>
      <c r="K22" s="210">
        <f t="shared" ca="1" si="0"/>
        <v>0</v>
      </c>
      <c r="L22" s="8">
        <f t="shared" ca="1" si="1"/>
        <v>0</v>
      </c>
      <c r="M22" s="210">
        <f t="shared" ca="1" si="2"/>
        <v>0</v>
      </c>
      <c r="N22" s="8">
        <f t="shared" ca="1" si="3"/>
        <v>0</v>
      </c>
    </row>
    <row r="23" spans="1:14" s="18" customFormat="1" ht="19.5" customHeight="1">
      <c r="A23" s="217"/>
      <c r="B23" s="217"/>
      <c r="C23" s="217"/>
      <c r="D23" s="349" t="s">
        <v>35</v>
      </c>
      <c r="E23" s="306" t="s">
        <v>21</v>
      </c>
      <c r="F23" s="306" t="s">
        <v>21</v>
      </c>
      <c r="G23" s="350">
        <f ca="1">SUM(G17:G22)</f>
        <v>25170</v>
      </c>
      <c r="H23" s="843">
        <f ca="1">SUM(H17:H22)</f>
        <v>571862400</v>
      </c>
      <c r="I23" s="350">
        <f ca="1">SUM(I17:I22)</f>
        <v>25170</v>
      </c>
      <c r="J23" s="843">
        <f ca="1">SUM(J17:J22)</f>
        <v>571862400</v>
      </c>
      <c r="K23" s="351" t="s">
        <v>21</v>
      </c>
      <c r="L23" s="351" t="s">
        <v>21</v>
      </c>
      <c r="M23" s="351" t="s">
        <v>21</v>
      </c>
      <c r="N23" s="351" t="s">
        <v>21</v>
      </c>
    </row>
    <row r="24" spans="1:14" s="18" customFormat="1" ht="19.5" customHeight="1">
      <c r="A24" s="352"/>
      <c r="B24" s="352"/>
      <c r="C24" s="352"/>
      <c r="D24" s="353" t="s">
        <v>10</v>
      </c>
      <c r="E24" s="354" t="s">
        <v>21</v>
      </c>
      <c r="F24" s="354" t="s">
        <v>21</v>
      </c>
      <c r="G24" s="354" t="s">
        <v>21</v>
      </c>
      <c r="H24" s="354" t="s">
        <v>21</v>
      </c>
      <c r="I24" s="354" t="s">
        <v>21</v>
      </c>
      <c r="J24" s="354" t="s">
        <v>21</v>
      </c>
      <c r="K24" s="355">
        <f ca="1">MAX(K16+G23-M16-I23,0)</f>
        <v>0</v>
      </c>
      <c r="L24" s="356">
        <f ca="1">MAX(L16+H23-N16-J23,0)</f>
        <v>0</v>
      </c>
      <c r="M24" s="355">
        <f ca="1">MAX(M16+I23-K16-G23,0)</f>
        <v>0</v>
      </c>
      <c r="N24" s="356">
        <f ca="1">MAX(N16+J23-L16-H23,0)</f>
        <v>0</v>
      </c>
    </row>
    <row r="25" spans="1:14" s="18" customFormat="1">
      <c r="E25" s="317"/>
      <c r="F25" s="317"/>
    </row>
    <row r="26" spans="1:14" s="18" customFormat="1">
      <c r="A26" s="218" t="s">
        <v>245</v>
      </c>
      <c r="E26" s="317"/>
      <c r="F26" s="317"/>
    </row>
    <row r="27" spans="1:14" s="18" customFormat="1">
      <c r="A27" s="218" t="e">
        <f>"- Ngày mở sổ: "&amp; TEXT(VLOOKUP($H$9,'341'!$B$23:$P$65,2,0),"dd/MM/yy")</f>
        <v>#N/A</v>
      </c>
      <c r="E27" s="317"/>
      <c r="F27" s="317"/>
    </row>
    <row r="28" spans="1:14" s="18" customFormat="1">
      <c r="E28" s="317"/>
      <c r="F28" s="317"/>
      <c r="L28" s="1134" t="s">
        <v>2096</v>
      </c>
    </row>
    <row r="29" spans="1:14" s="18" customFormat="1">
      <c r="C29" s="317" t="s">
        <v>11</v>
      </c>
      <c r="E29" s="317"/>
      <c r="F29" s="317"/>
      <c r="L29" s="317" t="s">
        <v>12</v>
      </c>
    </row>
    <row r="30" spans="1:14" s="18" customFormat="1">
      <c r="C30" s="317" t="s">
        <v>13</v>
      </c>
      <c r="E30" s="317"/>
      <c r="F30" s="317"/>
      <c r="L30" s="317" t="s">
        <v>13</v>
      </c>
    </row>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4"/>
  <sheetViews>
    <sheetView zoomScale="90" workbookViewId="0">
      <selection activeCell="P41" sqref="P41"/>
    </sheetView>
  </sheetViews>
  <sheetFormatPr defaultRowHeight="15"/>
  <cols>
    <col min="1" max="1" width="7.7109375" style="396" customWidth="1"/>
    <col min="2" max="2" width="7" style="396" customWidth="1"/>
    <col min="3" max="3" width="9.140625" style="396"/>
    <col min="4" max="4" width="25" style="396" customWidth="1"/>
    <col min="5" max="5" width="6.5703125" style="396" customWidth="1"/>
    <col min="6" max="10" width="10" style="396" customWidth="1"/>
    <col min="11" max="11" width="8.7109375" style="396" customWidth="1"/>
    <col min="12" max="12" width="15" style="396" customWidth="1"/>
    <col min="13" max="13" width="10" style="396" customWidth="1"/>
    <col min="14" max="14" width="9.42578125" style="396" customWidth="1"/>
    <col min="15" max="16384" width="9.140625" style="396"/>
  </cols>
  <sheetData>
    <row r="2" spans="1:14">
      <c r="A2" s="395" t="s">
        <v>178</v>
      </c>
      <c r="C2" s="397"/>
      <c r="F2" s="398"/>
      <c r="G2" s="398"/>
      <c r="H2" s="398"/>
      <c r="I2" s="398"/>
      <c r="J2" s="398"/>
      <c r="K2" s="398" t="s">
        <v>294</v>
      </c>
      <c r="L2" s="398"/>
      <c r="M2" s="398"/>
      <c r="N2" s="398"/>
    </row>
    <row r="3" spans="1:14">
      <c r="A3" s="395" t="s">
        <v>180</v>
      </c>
      <c r="C3" s="397"/>
      <c r="F3" s="399"/>
      <c r="G3" s="399"/>
      <c r="H3" s="399"/>
      <c r="I3" s="399"/>
      <c r="J3" s="399"/>
      <c r="K3" s="399" t="s">
        <v>233</v>
      </c>
      <c r="L3" s="399"/>
      <c r="M3" s="399"/>
      <c r="N3" s="399"/>
    </row>
    <row r="4" spans="1:14">
      <c r="F4" s="399"/>
      <c r="G4" s="399"/>
      <c r="H4" s="399"/>
      <c r="I4" s="399"/>
      <c r="J4" s="399"/>
      <c r="K4" s="399" t="s">
        <v>234</v>
      </c>
      <c r="L4" s="399"/>
      <c r="M4" s="399"/>
      <c r="N4" s="399"/>
    </row>
    <row r="5" spans="1:14" s="400" customFormat="1" ht="23.25" customHeight="1">
      <c r="A5" s="1514" t="s">
        <v>295</v>
      </c>
      <c r="B5" s="1514"/>
      <c r="C5" s="1514"/>
      <c r="D5" s="1514"/>
      <c r="E5" s="1514"/>
      <c r="F5" s="1514"/>
      <c r="G5" s="1514"/>
      <c r="H5" s="1514"/>
      <c r="I5" s="1514"/>
      <c r="J5" s="1514"/>
      <c r="K5" s="1514"/>
      <c r="L5" s="1514"/>
      <c r="M5" s="1514"/>
      <c r="N5" s="1514"/>
    </row>
    <row r="6" spans="1:14">
      <c r="A6" s="1515" t="s">
        <v>249</v>
      </c>
      <c r="B6" s="1515" t="s">
        <v>296</v>
      </c>
      <c r="C6" s="1515"/>
      <c r="D6" s="1515"/>
      <c r="E6" s="1515"/>
      <c r="F6" s="1515"/>
      <c r="G6" s="1515"/>
      <c r="H6" s="1515"/>
      <c r="I6" s="1515"/>
      <c r="J6" s="1515"/>
      <c r="K6" s="1515"/>
      <c r="L6" s="1515"/>
      <c r="M6" s="1515"/>
      <c r="N6" s="1515"/>
    </row>
    <row r="7" spans="1:14">
      <c r="C7" s="1516"/>
      <c r="D7" s="1516"/>
      <c r="E7" s="1516"/>
      <c r="F7" s="1516"/>
      <c r="G7" s="1516"/>
      <c r="H7" s="1516"/>
      <c r="I7" s="1516"/>
      <c r="J7" s="1516"/>
      <c r="K7" s="1516"/>
      <c r="L7" s="1516"/>
      <c r="M7" s="1516"/>
      <c r="N7" s="1516"/>
    </row>
    <row r="8" spans="1:14" ht="15.75" customHeight="1">
      <c r="A8" s="1517" t="s">
        <v>22</v>
      </c>
      <c r="B8" s="1518" t="s">
        <v>1</v>
      </c>
      <c r="C8" s="1519"/>
      <c r="D8" s="1517" t="s">
        <v>0</v>
      </c>
      <c r="E8" s="1517" t="s">
        <v>16</v>
      </c>
      <c r="F8" s="1522" t="s">
        <v>23</v>
      </c>
      <c r="G8" s="1522"/>
      <c r="H8" s="1522"/>
      <c r="I8" s="1522"/>
      <c r="J8" s="1522"/>
      <c r="K8" s="1522"/>
      <c r="L8" s="1522" t="s">
        <v>33</v>
      </c>
      <c r="M8" s="1522"/>
      <c r="N8" s="1522"/>
    </row>
    <row r="9" spans="1:14" ht="15.75" customHeight="1">
      <c r="A9" s="1517"/>
      <c r="B9" s="1520"/>
      <c r="C9" s="1521"/>
      <c r="D9" s="1517"/>
      <c r="E9" s="1517"/>
      <c r="F9" s="1522" t="s">
        <v>297</v>
      </c>
      <c r="G9" s="1522"/>
      <c r="H9" s="1522"/>
      <c r="I9" s="1522" t="s">
        <v>298</v>
      </c>
      <c r="J9" s="1522"/>
      <c r="K9" s="1522"/>
      <c r="L9" s="1517" t="s">
        <v>299</v>
      </c>
      <c r="M9" s="1517" t="s">
        <v>300</v>
      </c>
      <c r="N9" s="1517" t="s">
        <v>301</v>
      </c>
    </row>
    <row r="10" spans="1:14" ht="15.75" customHeight="1">
      <c r="A10" s="1517"/>
      <c r="B10" s="1524" t="s">
        <v>17</v>
      </c>
      <c r="C10" s="1524" t="s">
        <v>34</v>
      </c>
      <c r="D10" s="1517"/>
      <c r="E10" s="1517"/>
      <c r="F10" s="1526" t="s">
        <v>299</v>
      </c>
      <c r="G10" s="1526" t="s">
        <v>300</v>
      </c>
      <c r="H10" s="1526" t="s">
        <v>301</v>
      </c>
      <c r="I10" s="1526" t="s">
        <v>299</v>
      </c>
      <c r="J10" s="1526" t="s">
        <v>300</v>
      </c>
      <c r="K10" s="1526" t="s">
        <v>301</v>
      </c>
      <c r="L10" s="1523"/>
      <c r="M10" s="1523"/>
      <c r="N10" s="1523"/>
    </row>
    <row r="11" spans="1:14">
      <c r="A11" s="1517"/>
      <c r="B11" s="1525"/>
      <c r="C11" s="1525"/>
      <c r="D11" s="1517"/>
      <c r="E11" s="1517"/>
      <c r="F11" s="1527"/>
      <c r="G11" s="1527"/>
      <c r="H11" s="1527"/>
      <c r="I11" s="1527"/>
      <c r="J11" s="1527"/>
      <c r="K11" s="1527"/>
      <c r="L11" s="1523"/>
      <c r="M11" s="1523"/>
      <c r="N11" s="1523"/>
    </row>
    <row r="12" spans="1:14" s="399" customFormat="1">
      <c r="A12" s="401" t="s">
        <v>2</v>
      </c>
      <c r="B12" s="402" t="s">
        <v>3</v>
      </c>
      <c r="C12" s="401" t="s">
        <v>4</v>
      </c>
      <c r="D12" s="401" t="s">
        <v>5</v>
      </c>
      <c r="E12" s="401" t="s">
        <v>6</v>
      </c>
      <c r="F12" s="401">
        <v>1</v>
      </c>
      <c r="G12" s="401"/>
      <c r="H12" s="401"/>
      <c r="I12" s="401"/>
      <c r="J12" s="401"/>
      <c r="K12" s="401"/>
      <c r="L12" s="401"/>
      <c r="M12" s="401"/>
      <c r="N12" s="401"/>
    </row>
    <row r="13" spans="1:14">
      <c r="A13" s="403"/>
      <c r="B13" s="403"/>
      <c r="C13" s="403"/>
      <c r="D13" s="404" t="s">
        <v>7</v>
      </c>
      <c r="E13" s="403"/>
      <c r="F13" s="403"/>
      <c r="G13" s="403"/>
      <c r="H13" s="403"/>
      <c r="I13" s="403"/>
      <c r="J13" s="403"/>
      <c r="K13" s="403"/>
      <c r="L13" s="405">
        <f>CDPS!$D$60</f>
        <v>10000000000</v>
      </c>
      <c r="M13" s="403"/>
      <c r="N13" s="403"/>
    </row>
    <row r="14" spans="1:14">
      <c r="A14" s="406"/>
      <c r="B14" s="406"/>
      <c r="C14" s="406"/>
      <c r="D14" s="407" t="s">
        <v>302</v>
      </c>
      <c r="E14" s="406"/>
      <c r="F14" s="406"/>
      <c r="G14" s="406"/>
      <c r="H14" s="406"/>
      <c r="I14" s="406"/>
      <c r="J14" s="406"/>
      <c r="K14" s="406"/>
      <c r="L14" s="406"/>
      <c r="M14" s="406"/>
      <c r="N14" s="406"/>
    </row>
    <row r="15" spans="1:14">
      <c r="A15" s="406"/>
      <c r="B15" s="406"/>
      <c r="C15" s="406"/>
      <c r="D15" s="406"/>
      <c r="E15" s="406"/>
      <c r="F15" s="406"/>
      <c r="G15" s="406"/>
      <c r="H15" s="406"/>
      <c r="I15" s="406"/>
      <c r="J15" s="406"/>
      <c r="K15" s="406"/>
      <c r="L15" s="406"/>
      <c r="M15" s="406"/>
      <c r="N15" s="406"/>
    </row>
    <row r="16" spans="1:14">
      <c r="A16" s="406"/>
      <c r="B16" s="406"/>
      <c r="C16" s="406"/>
      <c r="D16" s="408"/>
      <c r="E16" s="408"/>
      <c r="F16" s="408"/>
      <c r="G16" s="408"/>
      <c r="H16" s="408"/>
      <c r="I16" s="408"/>
      <c r="J16" s="408"/>
      <c r="K16" s="408"/>
      <c r="L16" s="408"/>
      <c r="M16" s="408"/>
      <c r="N16" s="408"/>
    </row>
    <row r="17" spans="1:14">
      <c r="A17" s="406"/>
      <c r="B17" s="406"/>
      <c r="C17" s="406"/>
      <c r="D17" s="409" t="s">
        <v>157</v>
      </c>
      <c r="E17" s="751" t="s">
        <v>21</v>
      </c>
      <c r="F17" s="410"/>
      <c r="G17" s="410"/>
      <c r="H17" s="410"/>
      <c r="I17" s="410"/>
      <c r="J17" s="410"/>
      <c r="K17" s="410"/>
      <c r="L17" s="410"/>
      <c r="M17" s="410"/>
      <c r="N17" s="410"/>
    </row>
    <row r="18" spans="1:14">
      <c r="A18" s="411"/>
      <c r="B18" s="411"/>
      <c r="C18" s="411"/>
      <c r="D18" s="412" t="s">
        <v>10</v>
      </c>
      <c r="E18" s="752" t="s">
        <v>21</v>
      </c>
      <c r="F18" s="411"/>
      <c r="G18" s="411"/>
      <c r="H18" s="411"/>
      <c r="I18" s="411"/>
      <c r="J18" s="411"/>
      <c r="K18" s="411"/>
      <c r="L18" s="413">
        <f>L13+L17</f>
        <v>10000000000</v>
      </c>
      <c r="M18" s="411"/>
      <c r="N18" s="411"/>
    </row>
    <row r="20" spans="1:14">
      <c r="C20" s="414" t="s">
        <v>303</v>
      </c>
    </row>
    <row r="21" spans="1:14">
      <c r="C21" s="414" t="s">
        <v>304</v>
      </c>
    </row>
    <row r="22" spans="1:14">
      <c r="B22" s="415"/>
      <c r="C22" s="415"/>
      <c r="D22" s="415"/>
      <c r="E22" s="1513" t="s">
        <v>305</v>
      </c>
      <c r="F22" s="1513"/>
      <c r="G22" s="1513"/>
      <c r="H22" s="1513"/>
      <c r="I22" s="1513"/>
      <c r="J22" s="1513"/>
      <c r="K22" s="1513"/>
      <c r="L22" s="1513"/>
      <c r="M22" s="1513"/>
      <c r="N22" s="1513"/>
    </row>
    <row r="23" spans="1:14">
      <c r="A23" s="1513" t="s">
        <v>11</v>
      </c>
      <c r="B23" s="1513"/>
      <c r="C23" s="1513"/>
      <c r="D23" s="1513"/>
      <c r="E23" s="1513" t="s">
        <v>12</v>
      </c>
      <c r="F23" s="1513"/>
      <c r="G23" s="1513"/>
      <c r="H23" s="1513"/>
      <c r="I23" s="1513"/>
      <c r="J23" s="1513"/>
      <c r="K23" s="1513"/>
      <c r="L23" s="1513"/>
      <c r="M23" s="1513"/>
      <c r="N23" s="1513"/>
    </row>
    <row r="24" spans="1:14">
      <c r="A24" s="1513" t="s">
        <v>13</v>
      </c>
      <c r="B24" s="1513"/>
      <c r="C24" s="1513"/>
      <c r="D24" s="1513"/>
      <c r="E24" s="1513" t="s">
        <v>13</v>
      </c>
      <c r="F24" s="1513"/>
      <c r="G24" s="1513"/>
      <c r="H24" s="1513"/>
      <c r="I24" s="1513"/>
      <c r="J24" s="1513"/>
      <c r="K24" s="1513"/>
      <c r="L24" s="1513"/>
      <c r="M24" s="1513"/>
      <c r="N24" s="1513"/>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P30"/>
  <sheetViews>
    <sheetView workbookViewId="0">
      <pane ySplit="30" topLeftCell="A31" activePane="bottomLeft" state="frozen"/>
      <selection activeCell="P41" sqref="P41"/>
      <selection pane="bottomLeft" activeCell="D30" sqref="D30"/>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444" customFormat="1" ht="5.25" customHeight="1"/>
    <row r="2" spans="1:16" s="444" customFormat="1" ht="12.75" customHeight="1">
      <c r="A2" s="82" t="s">
        <v>178</v>
      </c>
      <c r="G2" s="97" t="str">
        <f>+IF(LEFT($D$7,1)="N","Mẫu số 01 - VT","Mẫu số 02 - VT")</f>
        <v>Mẫu số 02 - VT</v>
      </c>
    </row>
    <row r="3" spans="1:16" s="444" customFormat="1" ht="12.75" customHeight="1">
      <c r="A3" s="93" t="s">
        <v>308</v>
      </c>
      <c r="G3" s="94" t="s">
        <v>309</v>
      </c>
      <c r="N3" s="97" t="s">
        <v>125</v>
      </c>
      <c r="O3" s="445"/>
    </row>
    <row r="4" spans="1:16" s="444" customFormat="1" ht="11.25" customHeight="1">
      <c r="G4" s="94" t="s">
        <v>234</v>
      </c>
      <c r="J4" s="446" t="s">
        <v>430</v>
      </c>
      <c r="M4" s="447"/>
      <c r="N4" s="97" t="s">
        <v>126</v>
      </c>
      <c r="O4" s="445"/>
    </row>
    <row r="5" spans="1:16" s="444" customFormat="1" ht="18" customHeight="1">
      <c r="D5" s="448" t="str">
        <f>+IF(LEFT($L$5,1)="N","PHIẾU NHẬP KHO","PHIẾU XUẤT KHO")</f>
        <v>PHIẾU NHẬP KHO</v>
      </c>
      <c r="J5" s="449">
        <v>1</v>
      </c>
      <c r="K5" s="450"/>
      <c r="L5" s="451" t="s">
        <v>1078</v>
      </c>
      <c r="M5" s="452"/>
      <c r="N5" s="453">
        <v>1</v>
      </c>
      <c r="O5" s="445"/>
      <c r="P5" s="445"/>
    </row>
    <row r="6" spans="1:16" s="454" customFormat="1" ht="12" customHeight="1">
      <c r="D6" s="455" t="str">
        <f ca="1">"Ngày  " &amp;DAY(IF(ROWS($1:1)&gt;COUNT(Dong10),"",OFFSET(TH!C$1,SMALL(Dong10,ROWS($1:1)),)))&amp;"  tháng  " &amp; MONTH(IF(ROWS($1:1)&gt;COUNT(Dong10),"",OFFSET(TH!C$1,SMALL(Dong10,ROWS($1:1)),)))&amp;"  năm  "&amp;YEAR(IF(ROWS($1:1)&gt;COUNT(Dong10),"",OFFSET(TH!C$1,SMALL(Dong10,ROWS($1:1)),)))</f>
        <v>Ngày  3  tháng  1  năm  2017</v>
      </c>
      <c r="E6" s="456"/>
      <c r="M6" s="457"/>
      <c r="O6" s="458"/>
    </row>
    <row r="7" spans="1:16" s="454" customFormat="1" ht="12" customHeight="1">
      <c r="C7" s="459" t="str">
        <f xml:space="preserve"> "Số:"</f>
        <v>Số:</v>
      </c>
      <c r="D7" s="460" t="str">
        <f xml:space="preserve"> RIGHT($L$5,2)&amp;"/"&amp;LEFT($L$5,1)&amp;IF($N$5&gt;=10,$N$5,"0"&amp;$N$5)</f>
        <v>VL/N01</v>
      </c>
      <c r="G7" s="454" t="str">
        <f ca="1">"Nợ:  "&amp;IF(ROWS($1:1)&gt;COUNT(Dong10),"",OFFSET(TH!N$1,SMALL(Dong10,ROWS($1:1)),))</f>
        <v>Nợ:  1522</v>
      </c>
      <c r="M7" s="457"/>
      <c r="O7" s="458"/>
    </row>
    <row r="8" spans="1:16" s="454" customFormat="1" ht="12" customHeight="1">
      <c r="D8" s="94"/>
      <c r="G8" s="454" t="str">
        <f ca="1">"Có:  "&amp;IF(ROWS($1:1)&gt;COUNT(Dong10),"",OFFSET(TH!O$1,SMALL(Dong10,ROWS($1:1)),))</f>
        <v>Có:  331</v>
      </c>
      <c r="M8" s="457"/>
      <c r="O8" s="461"/>
    </row>
    <row r="9" spans="1:16" s="454" customFormat="1" ht="12" customHeight="1">
      <c r="A9" s="454" t="str">
        <f ca="1">+IF(MID($D$7,4,1)="N","Họ và tên người giao :   ","Họ và tên người nhận hàng :   ")&amp;IF(ROWS($1:1)&gt;COUNT(Dong10),"",OFFSET(TH!H$1,SMALL(Dong10,ROWS($1:1)),)) &amp;IF(MID($D$7,4,1)="N","","                                         Địa chỉ (bộ phận) :     Sản Xuất ")</f>
        <v>Họ và tên người giao :   Cty TNHH Bao Bì Giấy Kim Dung Phát</v>
      </c>
      <c r="M9" s="457"/>
    </row>
    <row r="10" spans="1:16" s="454" customFormat="1" ht="12" customHeight="1">
      <c r="A10" s="454" t="str">
        <f>+IF(LEFT($D$7,1)="N","Theo……………………………………....…………..số………….…………….……ngày……...tháng…......năm……....","Lý do xuất :                                 Xuất dùng ")</f>
        <v xml:space="preserve">Lý do xuất :                                 Xuất dùng </v>
      </c>
    </row>
    <row r="11" spans="1:16" s="454" customFormat="1" ht="12" customHeight="1">
      <c r="A11" s="454" t="str">
        <f>+IF(LEFT($D$7,1)="N","của………………………………………………………………………………………………………………………………....","Xuất tại kho (ngăn lô) :            Công ty TNHH Hải Sản An Lạc                      Địa điểm :  Đức Hòa, Long An.")</f>
        <v>Xuất tại kho (ngăn lô) :            Công ty TNHH Hải Sản An Lạc                      Địa điểm :  Đức Hòa, Long An.</v>
      </c>
    </row>
    <row r="12" spans="1:16" s="454" customFormat="1" ht="12" customHeight="1">
      <c r="A12" s="454" t="str">
        <f>+IF(LEFT("x",1)="N","Nhập tại kho:       Công ty TNHH Hải Sản An Lạc                      Địa điểm:  Đức Hòa, Long An."," ")</f>
        <v xml:space="preserve"> </v>
      </c>
    </row>
    <row r="13" spans="1:16" s="454" customFormat="1" ht="2.25" customHeight="1"/>
    <row r="14" spans="1:16" s="454" customFormat="1" ht="11.25" customHeight="1">
      <c r="A14" s="1528" t="s">
        <v>37</v>
      </c>
      <c r="B14" s="1528" t="s">
        <v>431</v>
      </c>
      <c r="C14" s="1528" t="s">
        <v>432</v>
      </c>
      <c r="D14" s="1528" t="s">
        <v>314</v>
      </c>
      <c r="E14" s="1530" t="s">
        <v>433</v>
      </c>
      <c r="F14" s="1530"/>
      <c r="G14" s="1528" t="s">
        <v>434</v>
      </c>
      <c r="H14" s="1528" t="s">
        <v>435</v>
      </c>
    </row>
    <row r="15" spans="1:16" s="454" customFormat="1" ht="19.5" customHeight="1">
      <c r="A15" s="1529"/>
      <c r="B15" s="1529"/>
      <c r="C15" s="1529"/>
      <c r="D15" s="1529"/>
      <c r="E15" s="462" t="s">
        <v>436</v>
      </c>
      <c r="F15" s="462" t="str">
        <f>IF(LEFT($D$7,1)="N","Thực nhập","Thực xuất")</f>
        <v>Thực xuất</v>
      </c>
      <c r="G15" s="1529"/>
      <c r="H15" s="1529"/>
    </row>
    <row r="16" spans="1:16" s="464" customFormat="1" ht="8.25" customHeight="1">
      <c r="A16" s="463" t="s">
        <v>2</v>
      </c>
      <c r="B16" s="463" t="s">
        <v>3</v>
      </c>
      <c r="C16" s="463" t="s">
        <v>4</v>
      </c>
      <c r="D16" s="463" t="s">
        <v>5</v>
      </c>
      <c r="E16" s="463">
        <v>1</v>
      </c>
      <c r="F16" s="463">
        <v>2</v>
      </c>
      <c r="G16" s="463">
        <v>3</v>
      </c>
      <c r="H16" s="463">
        <v>4</v>
      </c>
    </row>
    <row r="17" spans="1:8" s="454" customFormat="1" ht="12" customHeight="1">
      <c r="A17" s="465">
        <f ca="1">IF(B17="","",ROW()-16)</f>
        <v>1</v>
      </c>
      <c r="B17" s="466" t="str">
        <f ca="1">IF(ROWS($1:1)&gt;COUNT(Dong10),"",OFFSET(TH!F$1,SMALL(Dong10,ROWS($1:1)),))</f>
        <v>Thùng carton 50x29.5x19</v>
      </c>
      <c r="C17" s="467"/>
      <c r="D17" s="468" t="str">
        <f ca="1">IF(ISNA(VLOOKUP(B17,NXT!$C$11:$D$97,2,0)),"",VLOOKUP(B17,NXT!$C$11:$D$97,2,0))</f>
        <v>cái</v>
      </c>
      <c r="E17" s="469"/>
      <c r="F17" s="470">
        <f ca="1">IF(ROWS($1:1)&gt;COUNT(Dong10),"",OFFSET(TH!I$1,SMALL(Dong10,ROWS($1:1)),))</f>
        <v>2026</v>
      </c>
      <c r="G17" s="471">
        <f ca="1">IF(ROWS($1:1)&gt;COUNT(Dong10),"",OFFSET(TH!J$1,SMALL(Dong10,ROWS($1:1)),))</f>
        <v>8500</v>
      </c>
      <c r="H17" s="469">
        <f t="shared" ref="H17:H23" ca="1" si="0">IF(F17&lt;&gt;"",ROUND(F17*G17,0),"")</f>
        <v>17221000</v>
      </c>
    </row>
    <row r="18" spans="1:8" s="454" customFormat="1" ht="12" customHeight="1">
      <c r="A18" s="465">
        <f t="shared" ref="A18:A23" ca="1" si="1">IF(B18="","",A17+1)</f>
        <v>2</v>
      </c>
      <c r="B18" s="466" t="str">
        <f ca="1">IF(ROWS($1:2)&gt;COUNT(Dong10),"",OFFSET(TH!F$1,SMALL(Dong10,ROWS($1:2)),))</f>
        <v>VAT Thùng carton 50x29.5x19</v>
      </c>
      <c r="C18" s="467"/>
      <c r="D18" s="468" t="str">
        <f ca="1">IF(ISNA(VLOOKUP(B18,NXT!$C$11:$D$97,2,0)),"",VLOOKUP(B18,NXT!$C$11:$D$97,2,0))</f>
        <v/>
      </c>
      <c r="E18" s="469"/>
      <c r="F18" s="470">
        <f ca="1">IF(ROWS($1:2)&gt;COUNT(Dong10),"",OFFSET(TH!I$1,SMALL(Dong10,ROWS($1:2)),))</f>
        <v>0</v>
      </c>
      <c r="G18" s="471">
        <f ca="1">IF(ROWS($1:2)&gt;COUNT(Dong10),"",OFFSET(TH!J$1,SMALL(Dong10,ROWS($1:2)),))</f>
        <v>0</v>
      </c>
      <c r="H18" s="469">
        <f t="shared" ca="1" si="0"/>
        <v>0</v>
      </c>
    </row>
    <row r="19" spans="1:8" s="454" customFormat="1" ht="12" customHeight="1">
      <c r="A19" s="465" t="str">
        <f t="shared" ca="1" si="1"/>
        <v/>
      </c>
      <c r="B19" s="466" t="str">
        <f ca="1">IF(ROWS($1:3)&gt;COUNT(Dong10),"",OFFSET(TH!F$1,SMALL(Dong10,ROWS($1:3)),))</f>
        <v/>
      </c>
      <c r="C19" s="467"/>
      <c r="D19" s="468" t="str">
        <f ca="1">IF(ISNA(VLOOKUP(B19,NXT!$C$11:$D$97,2,0)),"",VLOOKUP(B19,NXT!$C$11:$D$97,2,0))</f>
        <v/>
      </c>
      <c r="E19" s="469"/>
      <c r="F19" s="470" t="str">
        <f ca="1">IF(ROWS($1:3)&gt;COUNT(Dong10),"",OFFSET(TH!I$1,SMALL(Dong10,ROWS($1:3)),))</f>
        <v/>
      </c>
      <c r="G19" s="471" t="str">
        <f ca="1">IF(ROWS($1:3)&gt;COUNT(Dong10),"",OFFSET(TH!J$1,SMALL(Dong10,ROWS($1:3)),))</f>
        <v/>
      </c>
      <c r="H19" s="469" t="str">
        <f t="shared" ca="1" si="0"/>
        <v/>
      </c>
    </row>
    <row r="20" spans="1:8" s="454" customFormat="1" ht="12" customHeight="1">
      <c r="A20" s="465" t="str">
        <f t="shared" ca="1" si="1"/>
        <v/>
      </c>
      <c r="B20" s="466" t="str">
        <f ca="1">IF(ROWS($1:4)&gt;COUNT(Dong10),"",OFFSET(TH!F$1,SMALL(Dong10,ROWS($1:4)),))</f>
        <v/>
      </c>
      <c r="C20" s="467"/>
      <c r="D20" s="468" t="str">
        <f ca="1">IF(ISNA(VLOOKUP(B20,NXT!$C$11:$D$97,2,0)),"",VLOOKUP(B20,NXT!$C$11:$D$97,2,0))</f>
        <v/>
      </c>
      <c r="E20" s="469"/>
      <c r="F20" s="470" t="str">
        <f ca="1">IF(ROWS($1:4)&gt;COUNT(Dong10),"",OFFSET(TH!I$1,SMALL(Dong10,ROWS($1:4)),))</f>
        <v/>
      </c>
      <c r="G20" s="471" t="str">
        <f ca="1">IF(ROWS($1:4)&gt;COUNT(Dong10),"",OFFSET(TH!J$1,SMALL(Dong10,ROWS($1:4)),))</f>
        <v/>
      </c>
      <c r="H20" s="469" t="str">
        <f t="shared" ca="1" si="0"/>
        <v/>
      </c>
    </row>
    <row r="21" spans="1:8" s="454" customFormat="1" ht="12" customHeight="1">
      <c r="A21" s="465" t="str">
        <f t="shared" ca="1" si="1"/>
        <v/>
      </c>
      <c r="B21" s="466" t="str">
        <f ca="1">IF(ROWS($1:5)&gt;COUNT(Dong10),"",OFFSET(TH!F$1,SMALL(Dong10,ROWS($1:5)),))</f>
        <v/>
      </c>
      <c r="C21" s="467"/>
      <c r="D21" s="468" t="str">
        <f ca="1">IF(ISNA(VLOOKUP(B21,NXT!$C$11:$D$97,2,0)),"",VLOOKUP(B21,NXT!$C$11:$D$97,2,0))</f>
        <v/>
      </c>
      <c r="E21" s="469"/>
      <c r="F21" s="470" t="str">
        <f ca="1">IF(ROWS($1:5)&gt;COUNT(Dong10),"",OFFSET(TH!I$1,SMALL(Dong10,ROWS($1:5)),))</f>
        <v/>
      </c>
      <c r="G21" s="471" t="str">
        <f ca="1">IF(ROWS($1:5)&gt;COUNT(Dong10),"",OFFSET(TH!J$1,SMALL(Dong10,ROWS($1:5)),))</f>
        <v/>
      </c>
      <c r="H21" s="469" t="str">
        <f t="shared" ca="1" si="0"/>
        <v/>
      </c>
    </row>
    <row r="22" spans="1:8" s="454" customFormat="1" ht="12" customHeight="1">
      <c r="A22" s="465" t="str">
        <f t="shared" ca="1" si="1"/>
        <v/>
      </c>
      <c r="B22" s="466" t="str">
        <f ca="1">IF(ROWS($1:6)&gt;COUNT(Dong10),"",OFFSET(TH!F$1,SMALL(Dong10,ROWS($1:6)),))</f>
        <v/>
      </c>
      <c r="C22" s="467"/>
      <c r="D22" s="468" t="str">
        <f ca="1">IF(ISNA(VLOOKUP(B22,NXT!$C$11:$D$97,2,0)),"",VLOOKUP(B22,NXT!$C$11:$D$97,2,0))</f>
        <v/>
      </c>
      <c r="E22" s="469"/>
      <c r="F22" s="470" t="str">
        <f ca="1">IF(ROWS($1:6)&gt;COUNT(Dong10),"",OFFSET(TH!I$1,SMALL(Dong10,ROWS($1:6)),))</f>
        <v/>
      </c>
      <c r="G22" s="471" t="str">
        <f ca="1">IF(ROWS($1:6)&gt;COUNT(Dong10),"",OFFSET(TH!J$1,SMALL(Dong10,ROWS($1:6)),))</f>
        <v/>
      </c>
      <c r="H22" s="469" t="str">
        <f t="shared" ca="1" si="0"/>
        <v/>
      </c>
    </row>
    <row r="23" spans="1:8" s="454" customFormat="1" ht="12" customHeight="1">
      <c r="A23" s="472" t="str">
        <f t="shared" ca="1" si="1"/>
        <v/>
      </c>
      <c r="B23" s="466" t="str">
        <f ca="1">IF(ROWS($1:7)&gt;COUNT(Dong10),"",OFFSET(TH!F$1,SMALL(Dong10,ROWS($1:7)),))</f>
        <v/>
      </c>
      <c r="C23" s="467"/>
      <c r="D23" s="468" t="str">
        <f ca="1">IF(ISNA(VLOOKUP(B23,NXT!$C$11:$D$97,2,0)),"",VLOOKUP(B23,NXT!$C$11:$D$97,2,0))</f>
        <v/>
      </c>
      <c r="E23" s="469"/>
      <c r="F23" s="470" t="str">
        <f ca="1">IF(ROWS($1:7)&gt;COUNT(Dong10),"",OFFSET(TH!I$1,SMALL(Dong10,ROWS($1:7)),))</f>
        <v/>
      </c>
      <c r="G23" s="471" t="str">
        <f ca="1">IF(ROWS($1:7)&gt;COUNT(Dong10),"",OFFSET(TH!J$1,SMALL(Dong10,ROWS($1:7)),))</f>
        <v/>
      </c>
      <c r="H23" s="473" t="str">
        <f t="shared" ca="1" si="0"/>
        <v/>
      </c>
    </row>
    <row r="24" spans="1:8" s="454" customFormat="1" ht="12" customHeight="1">
      <c r="A24" s="1530" t="s">
        <v>437</v>
      </c>
      <c r="B24" s="1530"/>
      <c r="C24" s="474"/>
      <c r="D24" s="474"/>
      <c r="E24" s="475"/>
      <c r="F24" s="475"/>
      <c r="G24" s="475"/>
      <c r="H24" s="475">
        <f ca="1">SUM(H17:H23)</f>
        <v>17221000</v>
      </c>
    </row>
    <row r="25" spans="1:8" s="454" customFormat="1" ht="3" customHeight="1">
      <c r="A25" s="476"/>
      <c r="B25" s="476"/>
      <c r="C25" s="457"/>
      <c r="D25" s="457"/>
      <c r="E25" s="477"/>
      <c r="F25" s="477"/>
      <c r="G25" s="477"/>
      <c r="H25" s="477"/>
    </row>
    <row r="26" spans="1:8" s="454" customFormat="1" ht="14.25" customHeight="1">
      <c r="A26" s="454" t="e">
        <f ca="1">"Tổng số tiền (viết bằng chữ):  "&amp; [3]!VND(H24, TRUE)</f>
        <v>#NAME?</v>
      </c>
    </row>
    <row r="27" spans="1:8" s="454" customFormat="1" ht="14.25" customHeight="1">
      <c r="A27" s="454" t="str">
        <f>"Số chứng từ gốc kèm theo :  "</f>
        <v xml:space="preserve">Số chứng từ gốc kèm theo :  </v>
      </c>
    </row>
    <row r="28" spans="1:8" s="454" customFormat="1" ht="14.25" customHeight="1">
      <c r="F28" s="105" t="str">
        <f ca="1">+IF(LEFT($D$7,1)="N","                                                          "&amp;D6,"                                                                                           "&amp;D6)</f>
        <v xml:space="preserve">                                                                                           Ngày  3  tháng  1  năm  2017</v>
      </c>
    </row>
    <row r="29" spans="1:8" s="479" customFormat="1" ht="14.25" customHeight="1">
      <c r="A29" s="478" t="s">
        <v>438</v>
      </c>
      <c r="C29" s="480"/>
      <c r="E29" s="480"/>
      <c r="F29" s="480" t="str">
        <f>+IF(LEFT($D$7,1)="N","                                                       Kế toán trưởng","                                          Kế toán trưởng                           Giám đốc")</f>
        <v xml:space="preserve">                                          Kế toán trưởng                           Giám đốc</v>
      </c>
    </row>
    <row r="30" spans="1:8" s="454" customFormat="1" ht="12.75" customHeight="1">
      <c r="A30" s="460" t="s">
        <v>439</v>
      </c>
      <c r="C30" s="105"/>
      <c r="E30" s="105"/>
      <c r="F30" s="105" t="str">
        <f>+IF(LEFT($D$7,1)="N","                                                     (Ký, họ tên)","                (Ký, họ tên)                ")</f>
        <v xml:space="preserve">                (Ký, họ tên)                </v>
      </c>
      <c r="H30" s="460"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P41" sqref="P41"/>
      <selection pane="bottomLeft" activeCell="P41" sqref="P41"/>
    </sheetView>
  </sheetViews>
  <sheetFormatPr defaultRowHeight="14.25"/>
  <cols>
    <col min="1" max="1" width="4.42578125" style="530" customWidth="1"/>
    <col min="2" max="2" width="9.140625" style="530"/>
    <col min="3" max="3" width="9.140625" style="594" customWidth="1"/>
    <col min="4" max="4" width="10.85546875" style="594" customWidth="1"/>
    <col min="5" max="5" width="39.42578125" style="595" customWidth="1"/>
    <col min="6" max="6" width="10.85546875" style="596" customWidth="1"/>
    <col min="7" max="7" width="9" style="597" customWidth="1"/>
    <col min="8" max="8" width="9.5703125" style="597" customWidth="1"/>
    <col min="9" max="9" width="10" style="597" customWidth="1"/>
    <col min="10" max="10" width="8" style="530" customWidth="1"/>
    <col min="11" max="11" width="2.42578125" style="530" customWidth="1"/>
    <col min="12" max="12" width="6.5703125" style="530" customWidth="1"/>
    <col min="13" max="16384" width="9.140625" style="530"/>
  </cols>
  <sheetData>
    <row r="1" spans="1:12" ht="15" customHeight="1">
      <c r="A1" s="525" t="s">
        <v>178</v>
      </c>
      <c r="B1" s="526"/>
      <c r="C1" s="526"/>
      <c r="D1" s="526"/>
      <c r="E1" s="527"/>
      <c r="F1" s="526"/>
      <c r="G1" s="528"/>
      <c r="H1" s="529" t="s">
        <v>455</v>
      </c>
      <c r="I1" s="530"/>
      <c r="J1" s="531"/>
      <c r="K1" s="531"/>
      <c r="L1" s="532"/>
    </row>
    <row r="2" spans="1:12" ht="15" customHeight="1">
      <c r="A2" s="533" t="s">
        <v>308</v>
      </c>
      <c r="B2" s="534"/>
      <c r="C2" s="534"/>
      <c r="D2" s="534"/>
      <c r="E2" s="535"/>
      <c r="F2" s="536"/>
      <c r="G2" s="537"/>
      <c r="H2" s="538" t="s">
        <v>309</v>
      </c>
      <c r="I2" s="530"/>
      <c r="J2" s="531"/>
      <c r="K2" s="531"/>
    </row>
    <row r="3" spans="1:12" ht="15">
      <c r="A3" s="534"/>
      <c r="B3" s="534"/>
      <c r="C3" s="534"/>
      <c r="D3" s="534"/>
      <c r="E3" s="535"/>
      <c r="F3" s="536"/>
      <c r="G3" s="537"/>
      <c r="H3" s="538" t="s">
        <v>234</v>
      </c>
      <c r="I3" s="530"/>
      <c r="J3" s="531"/>
      <c r="K3" s="531"/>
    </row>
    <row r="4" spans="1:12" ht="18.75" customHeight="1">
      <c r="A4" s="539"/>
      <c r="B4" s="539"/>
      <c r="C4" s="539"/>
      <c r="D4" s="539"/>
      <c r="E4" s="540" t="s">
        <v>456</v>
      </c>
      <c r="F4" s="539"/>
      <c r="G4" s="539"/>
      <c r="H4" s="539"/>
      <c r="I4" s="539"/>
      <c r="J4" s="531"/>
      <c r="K4" s="531"/>
    </row>
    <row r="5" spans="1:12" ht="15">
      <c r="A5" s="541"/>
      <c r="B5" s="541"/>
      <c r="C5" s="541"/>
      <c r="D5" s="541"/>
      <c r="E5" s="542" t="str">
        <f ca="1">IF(ISERROR("Ngày lập thẻ: ngày "&amp;DAY(B14)&amp;"/"&amp;MONTH(B14)&amp;"/"&amp;YEAR(B14)),"Ngày lập thẻ: ngày 01/ 01/2016 ","Ngày lập thẻ: ngày "&amp;DAY(B14)&amp;"/"&amp;MONTH(B14)&amp;"/"&amp;YEAR(B14))</f>
        <v xml:space="preserve">Ngày lập thẻ: ngày 01/ 01/2016 </v>
      </c>
      <c r="F5" s="541"/>
      <c r="G5" s="541"/>
      <c r="H5" s="541"/>
      <c r="I5" s="541"/>
      <c r="J5" s="531"/>
      <c r="K5" s="531"/>
    </row>
    <row r="6" spans="1:12" ht="15">
      <c r="A6" s="541"/>
      <c r="B6" s="541"/>
      <c r="C6" s="541"/>
      <c r="D6" s="541"/>
      <c r="E6" s="542" t="s">
        <v>457</v>
      </c>
      <c r="F6" s="541"/>
      <c r="G6" s="541"/>
      <c r="H6" s="541"/>
      <c r="I6" s="541"/>
      <c r="J6" s="531"/>
      <c r="K6" s="531"/>
    </row>
    <row r="7" spans="1:12" ht="15">
      <c r="A7" s="522" t="s">
        <v>458</v>
      </c>
      <c r="B7" s="522"/>
      <c r="C7" s="543"/>
      <c r="D7" s="543"/>
      <c r="E7" s="544" t="s">
        <v>336</v>
      </c>
      <c r="F7" s="536"/>
      <c r="G7" s="545"/>
      <c r="H7" s="545"/>
      <c r="I7" s="545"/>
      <c r="J7" s="531"/>
      <c r="K7" s="531"/>
    </row>
    <row r="8" spans="1:12" ht="15">
      <c r="A8" s="522" t="s">
        <v>459</v>
      </c>
      <c r="B8" s="522"/>
      <c r="C8" s="531" t="str">
        <f>VLOOKUP($E$7,NXT!$C$11:$L$113,2,0)</f>
        <v>kg</v>
      </c>
      <c r="D8" s="522"/>
      <c r="E8" s="544"/>
      <c r="F8" s="536"/>
      <c r="G8" s="545"/>
      <c r="H8" s="545"/>
      <c r="I8" s="545"/>
      <c r="J8" s="531"/>
      <c r="K8" s="531"/>
    </row>
    <row r="9" spans="1:12" ht="15">
      <c r="A9" s="1541" t="s">
        <v>460</v>
      </c>
      <c r="B9" s="1542"/>
      <c r="C9" s="1542"/>
      <c r="D9" s="1542"/>
      <c r="E9" s="544"/>
      <c r="F9" s="536"/>
      <c r="G9" s="545"/>
      <c r="H9" s="545"/>
      <c r="I9" s="545"/>
      <c r="J9" s="546"/>
      <c r="K9" s="546"/>
    </row>
    <row r="10" spans="1:12" ht="19.5" customHeight="1">
      <c r="A10" s="1543" t="s">
        <v>461</v>
      </c>
      <c r="B10" s="1544" t="s">
        <v>462</v>
      </c>
      <c r="C10" s="1546" t="s">
        <v>17</v>
      </c>
      <c r="D10" s="1533"/>
      <c r="E10" s="1547" t="s">
        <v>0</v>
      </c>
      <c r="F10" s="1539" t="s">
        <v>463</v>
      </c>
      <c r="G10" s="1532" t="s">
        <v>433</v>
      </c>
      <c r="H10" s="1532"/>
      <c r="I10" s="1533"/>
      <c r="J10" s="1534" t="s">
        <v>464</v>
      </c>
      <c r="K10" s="547"/>
      <c r="L10" s="548" t="s">
        <v>449</v>
      </c>
    </row>
    <row r="11" spans="1:12" ht="19.5" customHeight="1">
      <c r="A11" s="1543"/>
      <c r="B11" s="1545"/>
      <c r="C11" s="549" t="s">
        <v>446</v>
      </c>
      <c r="D11" s="549" t="s">
        <v>447</v>
      </c>
      <c r="E11" s="1548"/>
      <c r="F11" s="1540"/>
      <c r="G11" s="550" t="s">
        <v>446</v>
      </c>
      <c r="H11" s="550" t="s">
        <v>447</v>
      </c>
      <c r="I11" s="550" t="s">
        <v>448</v>
      </c>
      <c r="J11" s="1535"/>
      <c r="K11" s="547"/>
    </row>
    <row r="12" spans="1:12" ht="15">
      <c r="A12" s="551" t="s">
        <v>2</v>
      </c>
      <c r="B12" s="552" t="s">
        <v>3</v>
      </c>
      <c r="C12" s="553" t="s">
        <v>4</v>
      </c>
      <c r="D12" s="553" t="s">
        <v>5</v>
      </c>
      <c r="E12" s="554" t="s">
        <v>6</v>
      </c>
      <c r="F12" s="552" t="s">
        <v>154</v>
      </c>
      <c r="G12" s="555">
        <v>1</v>
      </c>
      <c r="H12" s="555">
        <v>2</v>
      </c>
      <c r="I12" s="555">
        <v>3</v>
      </c>
      <c r="J12" s="553" t="s">
        <v>155</v>
      </c>
      <c r="K12" s="556"/>
    </row>
    <row r="13" spans="1:12" ht="16.5" customHeight="1">
      <c r="A13" s="557"/>
      <c r="B13" s="558"/>
      <c r="C13" s="559"/>
      <c r="D13" s="559"/>
      <c r="E13" s="560" t="s">
        <v>321</v>
      </c>
      <c r="F13" s="558"/>
      <c r="G13" s="561"/>
      <c r="H13" s="561"/>
      <c r="I13" s="562">
        <f>VLOOKUP($E$7,NXT!$C$11:$L$113,3,0)</f>
        <v>2100</v>
      </c>
      <c r="J13" s="557"/>
      <c r="K13" s="563"/>
    </row>
    <row r="14" spans="1:12" ht="16.5" customHeight="1">
      <c r="A14" s="564" t="e">
        <f ca="1">IF(B14&lt;&gt;"",ROW()-(ROW()-1),"")</f>
        <v>#REF!</v>
      </c>
      <c r="B14" s="565" t="e">
        <f ca="1">IF(ROWS($1:1)&gt;COUNT(Dong12),"",OFFSET(TH!E$1,SMALL(Dong12,ROWS($1:1)),))</f>
        <v>#REF!</v>
      </c>
      <c r="C14" s="658" t="e">
        <f ca="1">IF(ROWS($1:1)&gt;COUNT(Dong12),"",IF(MID(OFFSET(TH!D$1,SMALL(Dong12,ROWS($1:1)),),4,1)="N",OFFSET(TH!D$1,SMALL(Dong12,ROWS($1:1)),),""))</f>
        <v>#REF!</v>
      </c>
      <c r="D14" s="565" t="e">
        <f ca="1">IF(ROWS($1:1)&gt;COUNT(Dong12),"",IF(MID(OFFSET(TH!D$1,SMALL(Dong12,ROWS($1:1)),),4,1)="X",OFFSET(TH!D$1,SMALL(Dong12,ROWS($1:1)),),""))</f>
        <v>#REF!</v>
      </c>
      <c r="E14" s="566" t="e">
        <f ca="1">IF(ROWS($1:1)&gt;COUNT(Dong12),"",OFFSET(TH!F$1,SMALL(Dong12,ROWS($1:1)),)&amp;" - "&amp;OFFSET(TH!H$1,SMALL(Dong12,ROWS($1:1)),))</f>
        <v>#REF!</v>
      </c>
      <c r="F14" s="565" t="e">
        <f ca="1">B14</f>
        <v>#REF!</v>
      </c>
      <c r="G14" s="567" t="e">
        <f ca="1">IF(ROWS($1:1)&gt;COUNT(Dong12),0,IF(MID(OFFSET(TH!D$1,SMALL(Dong12,ROWS($1:1)),),4,1)="N",OFFSET(TH!I$1,SMALL(Dong12,ROWS($1:1)),),0))</f>
        <v>#REF!</v>
      </c>
      <c r="H14" s="567" t="e">
        <f ca="1">IF(ROWS($1:1)&gt;COUNT(Dong12),0,IF(MID(OFFSET(TH!D$1,SMALL(Dong12,ROWS($1:1)),),4,1)="X",OFFSET(TH!I$1,SMALL(Dong12,ROWS($1:1)),),0))</f>
        <v>#REF!</v>
      </c>
      <c r="I14" s="568" t="e">
        <f ca="1">IF(E14&lt;&gt;"",I13+G14-H14,0)</f>
        <v>#REF!</v>
      </c>
      <c r="J14" s="569"/>
      <c r="K14" s="570"/>
    </row>
    <row r="15" spans="1:12" ht="16.5" customHeight="1">
      <c r="A15" s="571" t="e">
        <f ca="1">IF(B15&lt;&gt;"",A14+1,"")</f>
        <v>#REF!</v>
      </c>
      <c r="B15" s="565" t="e">
        <f ca="1">IF(ROWS($1:2)&gt;COUNT(Dong12),"",OFFSET(TH!E$1,SMALL(Dong12,ROWS($1:2)),))</f>
        <v>#REF!</v>
      </c>
      <c r="C15" s="658" t="e">
        <f ca="1">IF(ROWS($1:2)&gt;COUNT(Dong12),"",IF(MID(OFFSET(TH!D$1,SMALL(Dong12,ROWS($1:2)),),4,1)="N",OFFSET(TH!D$1,SMALL(Dong12,ROWS($1:2)),),""))</f>
        <v>#REF!</v>
      </c>
      <c r="D15" s="565" t="e">
        <f ca="1">IF(ROWS($1:2)&gt;COUNT(Dong12),"",IF(MID(OFFSET(TH!D$1,SMALL(Dong12,ROWS($1:2)),),4,1)="X",OFFSET(TH!D$1,SMALL(Dong12,ROWS($1:2)),),""))</f>
        <v>#REF!</v>
      </c>
      <c r="E15" s="566" t="e">
        <f ca="1">IF(ROWS($1:2)&gt;COUNT(Dong12),"",OFFSET(TH!F$1,SMALL(Dong12,ROWS($1:2)),)&amp;" - "&amp;OFFSET(TH!H$1,SMALL(Dong12,ROWS($1:2)),))</f>
        <v>#REF!</v>
      </c>
      <c r="F15" s="565" t="e">
        <f t="shared" ref="F15:F30" ca="1" si="0">B15</f>
        <v>#REF!</v>
      </c>
      <c r="G15" s="567" t="e">
        <f ca="1">IF(ROWS($1:2)&gt;COUNT(Dong12),0,IF(MID(OFFSET(TH!D$1,SMALL(Dong12,ROWS($1:2)),),4,1)="N",OFFSET(TH!I$1,SMALL(Dong12,ROWS($1:2)),),0))</f>
        <v>#REF!</v>
      </c>
      <c r="H15" s="567" t="e">
        <f ca="1">IF(ROWS($1:2)&gt;COUNT(Dong12),0,IF(MID(OFFSET(TH!D$1,SMALL(Dong12,ROWS($1:2)),),4,1)="X",OFFSET(TH!I$1,SMALL(Dong12,ROWS($1:2)),),0))</f>
        <v>#REF!</v>
      </c>
      <c r="I15" s="568" t="e">
        <f t="shared" ref="I15:I30" ca="1" si="1">IF(E15&lt;&gt;"",I14+G15-H15,0)</f>
        <v>#REF!</v>
      </c>
      <c r="J15" s="569"/>
      <c r="K15" s="570"/>
    </row>
    <row r="16" spans="1:12" ht="16.5" customHeight="1">
      <c r="A16" s="571" t="e">
        <f t="shared" ref="A16:A30" ca="1" si="2">IF(B16&lt;&gt;"",A15+1,"")</f>
        <v>#REF!</v>
      </c>
      <c r="B16" s="565" t="e">
        <f ca="1">IF(ROWS($1:3)&gt;COUNT(Dong12),"",OFFSET(TH!E$1,SMALL(Dong12,ROWS($1:3)),))</f>
        <v>#REF!</v>
      </c>
      <c r="C16" s="658" t="e">
        <f ca="1">IF(ROWS($1:3)&gt;COUNT(Dong12),"",IF(MID(OFFSET(TH!D$1,SMALL(Dong12,ROWS($1:3)),),4,1)="N",OFFSET(TH!D$1,SMALL(Dong12,ROWS($1:3)),),""))</f>
        <v>#REF!</v>
      </c>
      <c r="D16" s="565" t="e">
        <f ca="1">IF(ROWS($1:3)&gt;COUNT(Dong12),"",IF(MID(OFFSET(TH!D$1,SMALL(Dong12,ROWS($1:3)),),4,1)="X",OFFSET(TH!D$1,SMALL(Dong12,ROWS($1:3)),),""))</f>
        <v>#REF!</v>
      </c>
      <c r="E16" s="566" t="e">
        <f ca="1">IF(ROWS($1:3)&gt;COUNT(Dong12),"",OFFSET(TH!F$1,SMALL(Dong12,ROWS($1:3)),)&amp;" - "&amp;OFFSET(TH!H$1,SMALL(Dong12,ROWS($1:3)),))</f>
        <v>#REF!</v>
      </c>
      <c r="F16" s="565" t="e">
        <f t="shared" ca="1" si="0"/>
        <v>#REF!</v>
      </c>
      <c r="G16" s="567" t="e">
        <f ca="1">IF(ROWS($1:3)&gt;COUNT(Dong12),0,IF(MID(OFFSET(TH!D$1,SMALL(Dong12,ROWS($1:3)),),4,1)="N",OFFSET(TH!I$1,SMALL(Dong12,ROWS($1:3)),),0))</f>
        <v>#REF!</v>
      </c>
      <c r="H16" s="567" t="e">
        <f ca="1">IF(ROWS($1:3)&gt;COUNT(Dong12),0,IF(MID(OFFSET(TH!D$1,SMALL(Dong12,ROWS($1:3)),),4,1)="X",OFFSET(TH!I$1,SMALL(Dong12,ROWS($1:3)),),0))</f>
        <v>#REF!</v>
      </c>
      <c r="I16" s="568" t="e">
        <f t="shared" ca="1" si="1"/>
        <v>#REF!</v>
      </c>
      <c r="J16" s="569"/>
      <c r="K16" s="570"/>
    </row>
    <row r="17" spans="1:11" ht="16.5" customHeight="1">
      <c r="A17" s="571" t="e">
        <f t="shared" ca="1" si="2"/>
        <v>#REF!</v>
      </c>
      <c r="B17" s="565" t="e">
        <f ca="1">IF(ROWS($1:4)&gt;COUNT(Dong12),"",OFFSET(TH!E$1,SMALL(Dong12,ROWS($1:4)),))</f>
        <v>#REF!</v>
      </c>
      <c r="C17" s="658" t="e">
        <f ca="1">IF(ROWS($1:4)&gt;COUNT(Dong12),"",IF(MID(OFFSET(TH!D$1,SMALL(Dong12,ROWS($1:4)),),4,1)="N",OFFSET(TH!D$1,SMALL(Dong12,ROWS($1:4)),),""))</f>
        <v>#REF!</v>
      </c>
      <c r="D17" s="565" t="e">
        <f ca="1">IF(ROWS($1:4)&gt;COUNT(Dong12),"",IF(MID(OFFSET(TH!D$1,SMALL(Dong12,ROWS($1:4)),),4,1)="X",OFFSET(TH!D$1,SMALL(Dong12,ROWS($1:4)),),""))</f>
        <v>#REF!</v>
      </c>
      <c r="E17" s="566" t="e">
        <f ca="1">IF(ROWS($1:4)&gt;COUNT(Dong12),"",OFFSET(TH!F$1,SMALL(Dong12,ROWS($1:4)),)&amp;" - "&amp;OFFSET(TH!H$1,SMALL(Dong12,ROWS($1:4)),))</f>
        <v>#REF!</v>
      </c>
      <c r="F17" s="565" t="e">
        <f t="shared" ca="1" si="0"/>
        <v>#REF!</v>
      </c>
      <c r="G17" s="567" t="e">
        <f ca="1">IF(ROWS($1:4)&gt;COUNT(Dong12),0,IF(MID(OFFSET(TH!D$1,SMALL(Dong12,ROWS($1:4)),),4,1)="N",OFFSET(TH!I$1,SMALL(Dong12,ROWS($1:4)),),0))</f>
        <v>#REF!</v>
      </c>
      <c r="H17" s="567" t="e">
        <f ca="1">IF(ROWS($1:4)&gt;COUNT(Dong12),0,IF(MID(OFFSET(TH!D$1,SMALL(Dong12,ROWS($1:4)),),4,1)="X",OFFSET(TH!I$1,SMALL(Dong12,ROWS($1:4)),),0))</f>
        <v>#REF!</v>
      </c>
      <c r="I17" s="568" t="e">
        <f t="shared" ca="1" si="1"/>
        <v>#REF!</v>
      </c>
      <c r="J17" s="569"/>
      <c r="K17" s="570"/>
    </row>
    <row r="18" spans="1:11" ht="16.5" customHeight="1">
      <c r="A18" s="571" t="e">
        <f t="shared" ca="1" si="2"/>
        <v>#REF!</v>
      </c>
      <c r="B18" s="565" t="e">
        <f ca="1">IF(ROWS($1:5)&gt;COUNT(Dong12),"",OFFSET(TH!E$1,SMALL(Dong12,ROWS($1:5)),))</f>
        <v>#REF!</v>
      </c>
      <c r="C18" s="658" t="e">
        <f ca="1">IF(ROWS($1:5)&gt;COUNT(Dong12),"",IF(MID(OFFSET(TH!D$1,SMALL(Dong12,ROWS($1:5)),),4,1)="N",OFFSET(TH!D$1,SMALL(Dong12,ROWS($1:5)),),""))</f>
        <v>#REF!</v>
      </c>
      <c r="D18" s="565" t="e">
        <f ca="1">IF(ROWS($1:5)&gt;COUNT(Dong12),"",IF(MID(OFFSET(TH!D$1,SMALL(Dong12,ROWS($1:5)),),4,1)="X",OFFSET(TH!D$1,SMALL(Dong12,ROWS($1:5)),),""))</f>
        <v>#REF!</v>
      </c>
      <c r="E18" s="566" t="e">
        <f ca="1">IF(ROWS($1:5)&gt;COUNT(Dong12),"",OFFSET(TH!F$1,SMALL(Dong12,ROWS($1:5)),)&amp;" - "&amp;OFFSET(TH!H$1,SMALL(Dong12,ROWS($1:5)),))</f>
        <v>#REF!</v>
      </c>
      <c r="F18" s="565" t="e">
        <f t="shared" ca="1" si="0"/>
        <v>#REF!</v>
      </c>
      <c r="G18" s="567" t="e">
        <f ca="1">IF(ROWS($1:5)&gt;COUNT(Dong12),0,IF(MID(OFFSET(TH!D$1,SMALL(Dong12,ROWS($1:5)),),4,1)="N",OFFSET(TH!I$1,SMALL(Dong12,ROWS($1:5)),),0))</f>
        <v>#REF!</v>
      </c>
      <c r="H18" s="567" t="e">
        <f ca="1">IF(ROWS($1:5)&gt;COUNT(Dong12),0,IF(MID(OFFSET(TH!D$1,SMALL(Dong12,ROWS($1:5)),),4,1)="X",OFFSET(TH!I$1,SMALL(Dong12,ROWS($1:5)),),0))</f>
        <v>#REF!</v>
      </c>
      <c r="I18" s="568" t="e">
        <f t="shared" ca="1" si="1"/>
        <v>#REF!</v>
      </c>
      <c r="J18" s="569"/>
      <c r="K18" s="570"/>
    </row>
    <row r="19" spans="1:11" ht="16.5" customHeight="1">
      <c r="A19" s="571" t="e">
        <f t="shared" ca="1" si="2"/>
        <v>#REF!</v>
      </c>
      <c r="B19" s="565" t="e">
        <f ca="1">IF(ROWS($1:6)&gt;COUNT(Dong12),"",OFFSET(TH!E$1,SMALL(Dong12,ROWS($1:6)),))</f>
        <v>#REF!</v>
      </c>
      <c r="C19" s="658" t="e">
        <f ca="1">IF(ROWS($1:6)&gt;COUNT(Dong12),"",IF(MID(OFFSET(TH!D$1,SMALL(Dong12,ROWS($1:6)),),4,1)="N",OFFSET(TH!D$1,SMALL(Dong12,ROWS($1:6)),),""))</f>
        <v>#REF!</v>
      </c>
      <c r="D19" s="565" t="e">
        <f ca="1">IF(ROWS($1:6)&gt;COUNT(Dong12),"",IF(MID(OFFSET(TH!D$1,SMALL(Dong12,ROWS($1:6)),),4,1)="X",OFFSET(TH!D$1,SMALL(Dong12,ROWS($1:6)),),""))</f>
        <v>#REF!</v>
      </c>
      <c r="E19" s="566" t="e">
        <f ca="1">IF(ROWS($1:6)&gt;COUNT(Dong12),"",OFFSET(TH!F$1,SMALL(Dong12,ROWS($1:6)),)&amp;" - "&amp;OFFSET(TH!H$1,SMALL(Dong12,ROWS($1:6)),))</f>
        <v>#REF!</v>
      </c>
      <c r="F19" s="565" t="e">
        <f t="shared" ca="1" si="0"/>
        <v>#REF!</v>
      </c>
      <c r="G19" s="567" t="e">
        <f ca="1">IF(ROWS($1:6)&gt;COUNT(Dong12),0,IF(MID(OFFSET(TH!D$1,SMALL(Dong12,ROWS($1:6)),),4,1)="N",OFFSET(TH!I$1,SMALL(Dong12,ROWS($1:6)),),0))</f>
        <v>#REF!</v>
      </c>
      <c r="H19" s="567" t="e">
        <f ca="1">IF(ROWS($1:6)&gt;COUNT(Dong12),0,IF(MID(OFFSET(TH!D$1,SMALL(Dong12,ROWS($1:6)),),4,1)="X",OFFSET(TH!I$1,SMALL(Dong12,ROWS($1:6)),),0))</f>
        <v>#REF!</v>
      </c>
      <c r="I19" s="568" t="e">
        <f t="shared" ca="1" si="1"/>
        <v>#REF!</v>
      </c>
      <c r="J19" s="569"/>
      <c r="K19" s="570"/>
    </row>
    <row r="20" spans="1:11" ht="16.5" customHeight="1">
      <c r="A20" s="571" t="e">
        <f t="shared" ca="1" si="2"/>
        <v>#REF!</v>
      </c>
      <c r="B20" s="565" t="e">
        <f ca="1">IF(ROWS($1:7)&gt;COUNT(Dong12),"",OFFSET(TH!E$1,SMALL(Dong12,ROWS($1:7)),))</f>
        <v>#REF!</v>
      </c>
      <c r="C20" s="658" t="e">
        <f ca="1">IF(ROWS($1:7)&gt;COUNT(Dong12),"",IF(MID(OFFSET(TH!D$1,SMALL(Dong12,ROWS($1:7)),),4,1)="N",OFFSET(TH!D$1,SMALL(Dong12,ROWS($1:7)),),""))</f>
        <v>#REF!</v>
      </c>
      <c r="D20" s="565" t="e">
        <f ca="1">IF(ROWS($1:7)&gt;COUNT(Dong12),"",IF(MID(OFFSET(TH!D$1,SMALL(Dong12,ROWS($1:7)),),4,1)="X",OFFSET(TH!D$1,SMALL(Dong12,ROWS($1:7)),),""))</f>
        <v>#REF!</v>
      </c>
      <c r="E20" s="566" t="e">
        <f ca="1">IF(ROWS($1:7)&gt;COUNT(Dong12),"",OFFSET(TH!F$1,SMALL(Dong12,ROWS($1:7)),)&amp;" - "&amp;OFFSET(TH!H$1,SMALL(Dong12,ROWS($1:7)),))</f>
        <v>#REF!</v>
      </c>
      <c r="F20" s="565" t="e">
        <f t="shared" ca="1" si="0"/>
        <v>#REF!</v>
      </c>
      <c r="G20" s="567" t="e">
        <f ca="1">IF(ROWS($1:7)&gt;COUNT(Dong12),0,IF(MID(OFFSET(TH!D$1,SMALL(Dong12,ROWS($1:7)),),4,1)="N",OFFSET(TH!I$1,SMALL(Dong12,ROWS($1:7)),),0))</f>
        <v>#REF!</v>
      </c>
      <c r="H20" s="567" t="e">
        <f ca="1">IF(ROWS($1:7)&gt;COUNT(Dong12),0,IF(MID(OFFSET(TH!D$1,SMALL(Dong12,ROWS($1:7)),),4,1)="X",OFFSET(TH!I$1,SMALL(Dong12,ROWS($1:7)),),0))</f>
        <v>#REF!</v>
      </c>
      <c r="I20" s="568" t="e">
        <f t="shared" ca="1" si="1"/>
        <v>#REF!</v>
      </c>
      <c r="J20" s="569"/>
      <c r="K20" s="570"/>
    </row>
    <row r="21" spans="1:11" ht="16.5" customHeight="1">
      <c r="A21" s="571" t="e">
        <f t="shared" ca="1" si="2"/>
        <v>#REF!</v>
      </c>
      <c r="B21" s="565" t="e">
        <f ca="1">IF(ROWS($1:8)&gt;COUNT(Dong12),"",OFFSET(TH!E$1,SMALL(Dong12,ROWS($1:8)),))</f>
        <v>#REF!</v>
      </c>
      <c r="C21" s="658" t="e">
        <f ca="1">IF(ROWS($1:8)&gt;COUNT(Dong12),"",IF(MID(OFFSET(TH!D$1,SMALL(Dong12,ROWS($1:8)),),4,1)="N",OFFSET(TH!D$1,SMALL(Dong12,ROWS($1:8)),),""))</f>
        <v>#REF!</v>
      </c>
      <c r="D21" s="565" t="e">
        <f ca="1">IF(ROWS($1:8)&gt;COUNT(Dong12),"",IF(MID(OFFSET(TH!D$1,SMALL(Dong12,ROWS($1:8)),),4,1)="X",OFFSET(TH!D$1,SMALL(Dong12,ROWS($1:8)),),""))</f>
        <v>#REF!</v>
      </c>
      <c r="E21" s="566" t="e">
        <f ca="1">IF(ROWS($1:8)&gt;COUNT(Dong12),"",OFFSET(TH!F$1,SMALL(Dong12,ROWS($1:8)),)&amp;" - "&amp;OFFSET(TH!H$1,SMALL(Dong12,ROWS($1:8)),))</f>
        <v>#REF!</v>
      </c>
      <c r="F21" s="565" t="e">
        <f t="shared" ca="1" si="0"/>
        <v>#REF!</v>
      </c>
      <c r="G21" s="567" t="e">
        <f ca="1">IF(ROWS($1:8)&gt;COUNT(Dong12),0,IF(MID(OFFSET(TH!D$1,SMALL(Dong12,ROWS($1:8)),),4,1)="N",OFFSET(TH!I$1,SMALL(Dong12,ROWS($1:8)),),0))</f>
        <v>#REF!</v>
      </c>
      <c r="H21" s="567" t="e">
        <f ca="1">IF(ROWS($1:8)&gt;COUNT(Dong12),0,IF(MID(OFFSET(TH!D$1,SMALL(Dong12,ROWS($1:8)),),4,1)="X",OFFSET(TH!I$1,SMALL(Dong12,ROWS($1:8)),),0))</f>
        <v>#REF!</v>
      </c>
      <c r="I21" s="568" t="e">
        <f t="shared" ca="1" si="1"/>
        <v>#REF!</v>
      </c>
      <c r="J21" s="569"/>
      <c r="K21" s="570"/>
    </row>
    <row r="22" spans="1:11" ht="16.5" customHeight="1">
      <c r="A22" s="571" t="e">
        <f t="shared" ca="1" si="2"/>
        <v>#REF!</v>
      </c>
      <c r="B22" s="565" t="e">
        <f ca="1">IF(ROWS($1:9)&gt;COUNT(Dong12),"",OFFSET(TH!E$1,SMALL(Dong12,ROWS($1:9)),))</f>
        <v>#REF!</v>
      </c>
      <c r="C22" s="658" t="e">
        <f ca="1">IF(ROWS($1:9)&gt;COUNT(Dong12),"",IF(MID(OFFSET(TH!D$1,SMALL(Dong12,ROWS($1:9)),),4,1)="N",OFFSET(TH!D$1,SMALL(Dong12,ROWS($1:9)),),""))</f>
        <v>#REF!</v>
      </c>
      <c r="D22" s="565" t="e">
        <f ca="1">IF(ROWS($1:9)&gt;COUNT(Dong12),"",IF(MID(OFFSET(TH!D$1,SMALL(Dong12,ROWS($1:9)),),4,1)="X",OFFSET(TH!D$1,SMALL(Dong12,ROWS($1:9)),),""))</f>
        <v>#REF!</v>
      </c>
      <c r="E22" s="566" t="e">
        <f ca="1">IF(ROWS($1:9)&gt;COUNT(Dong12),"",OFFSET(TH!F$1,SMALL(Dong12,ROWS($1:9)),)&amp;" - "&amp;OFFSET(TH!H$1,SMALL(Dong12,ROWS($1:9)),))</f>
        <v>#REF!</v>
      </c>
      <c r="F22" s="565" t="e">
        <f t="shared" ca="1" si="0"/>
        <v>#REF!</v>
      </c>
      <c r="G22" s="567" t="e">
        <f ca="1">IF(ROWS($1:9)&gt;COUNT(Dong12),0,IF(MID(OFFSET(TH!D$1,SMALL(Dong12,ROWS($1:9)),),4,1)="N",OFFSET(TH!I$1,SMALL(Dong12,ROWS($1:9)),),0))</f>
        <v>#REF!</v>
      </c>
      <c r="H22" s="567" t="e">
        <f ca="1">IF(ROWS($1:9)&gt;COUNT(Dong12),0,IF(MID(OFFSET(TH!D$1,SMALL(Dong12,ROWS($1:9)),),4,1)="X",OFFSET(TH!I$1,SMALL(Dong12,ROWS($1:9)),),0))</f>
        <v>#REF!</v>
      </c>
      <c r="I22" s="568" t="e">
        <f t="shared" ca="1" si="1"/>
        <v>#REF!</v>
      </c>
      <c r="J22" s="569"/>
      <c r="K22" s="570"/>
    </row>
    <row r="23" spans="1:11" ht="16.5" customHeight="1">
      <c r="A23" s="571" t="e">
        <f t="shared" ca="1" si="2"/>
        <v>#REF!</v>
      </c>
      <c r="B23" s="565" t="e">
        <f ca="1">IF(ROWS($1:10)&gt;COUNT(Dong12),"",OFFSET(TH!E$1,SMALL(Dong12,ROWS($1:10)),))</f>
        <v>#REF!</v>
      </c>
      <c r="C23" s="658" t="e">
        <f ca="1">IF(ROWS($1:10)&gt;COUNT(Dong12),"",IF(MID(OFFSET(TH!D$1,SMALL(Dong12,ROWS($1:10)),),4,1)="N",OFFSET(TH!D$1,SMALL(Dong12,ROWS($1:10)),),""))</f>
        <v>#REF!</v>
      </c>
      <c r="D23" s="565" t="e">
        <f ca="1">IF(ROWS($1:10)&gt;COUNT(Dong12),"",IF(MID(OFFSET(TH!D$1,SMALL(Dong12,ROWS($1:10)),),4,1)="X",OFFSET(TH!D$1,SMALL(Dong12,ROWS($1:10)),),""))</f>
        <v>#REF!</v>
      </c>
      <c r="E23" s="566" t="e">
        <f ca="1">IF(ROWS($1:10)&gt;COUNT(Dong12),"",OFFSET(TH!F$1,SMALL(Dong12,ROWS($1:10)),)&amp;" - "&amp;OFFSET(TH!H$1,SMALL(Dong12,ROWS($1:10)),))</f>
        <v>#REF!</v>
      </c>
      <c r="F23" s="565" t="e">
        <f t="shared" ca="1" si="0"/>
        <v>#REF!</v>
      </c>
      <c r="G23" s="567" t="e">
        <f ca="1">IF(ROWS($1:10)&gt;COUNT(Dong12),0,IF(MID(OFFSET(TH!D$1,SMALL(Dong12,ROWS($1:10)),),4,1)="N",OFFSET(TH!I$1,SMALL(Dong12,ROWS($1:10)),),0))</f>
        <v>#REF!</v>
      </c>
      <c r="H23" s="567" t="e">
        <f ca="1">IF(ROWS($1:10)&gt;COUNT(Dong12),0,IF(MID(OFFSET(TH!D$1,SMALL(Dong12,ROWS($1:10)),),4,1)="X",OFFSET(TH!I$1,SMALL(Dong12,ROWS($1:10)),),0))</f>
        <v>#REF!</v>
      </c>
      <c r="I23" s="568" t="e">
        <f t="shared" ca="1" si="1"/>
        <v>#REF!</v>
      </c>
      <c r="J23" s="569"/>
      <c r="K23" s="570"/>
    </row>
    <row r="24" spans="1:11" ht="16.5" customHeight="1">
      <c r="A24" s="571" t="e">
        <f t="shared" ca="1" si="2"/>
        <v>#REF!</v>
      </c>
      <c r="B24" s="565" t="e">
        <f ca="1">IF(ROWS($1:11)&gt;COUNT(Dong12),"",OFFSET(TH!E$1,SMALL(Dong12,ROWS($1:11)),))</f>
        <v>#REF!</v>
      </c>
      <c r="C24" s="658" t="e">
        <f ca="1">IF(ROWS($1:11)&gt;COUNT(Dong12),"",IF(MID(OFFSET(TH!D$1,SMALL(Dong12,ROWS($1:11)),),4,1)="N",OFFSET(TH!D$1,SMALL(Dong12,ROWS($1:11)),),""))</f>
        <v>#REF!</v>
      </c>
      <c r="D24" s="565" t="e">
        <f ca="1">IF(ROWS($1:11)&gt;COUNT(Dong12),"",IF(MID(OFFSET(TH!D$1,SMALL(Dong12,ROWS($1:11)),),4,1)="X",OFFSET(TH!D$1,SMALL(Dong12,ROWS($1:11)),),""))</f>
        <v>#REF!</v>
      </c>
      <c r="E24" s="566" t="e">
        <f ca="1">IF(ROWS($1:11)&gt;COUNT(Dong12),"",OFFSET(TH!F$1,SMALL(Dong12,ROWS($1:11)),)&amp;" - "&amp;OFFSET(TH!H$1,SMALL(Dong12,ROWS($1:11)),))</f>
        <v>#REF!</v>
      </c>
      <c r="F24" s="565" t="e">
        <f t="shared" ca="1" si="0"/>
        <v>#REF!</v>
      </c>
      <c r="G24" s="567" t="e">
        <f ca="1">IF(ROWS($1:11)&gt;COUNT(Dong12),0,IF(MID(OFFSET(TH!D$1,SMALL(Dong12,ROWS($1:11)),),4,1)="N",OFFSET(TH!I$1,SMALL(Dong12,ROWS($1:11)),),0))</f>
        <v>#REF!</v>
      </c>
      <c r="H24" s="567" t="e">
        <f ca="1">IF(ROWS($1:11)&gt;COUNT(Dong12),0,IF(MID(OFFSET(TH!D$1,SMALL(Dong12,ROWS($1:11)),),4,1)="X",OFFSET(TH!I$1,SMALL(Dong12,ROWS($1:11)),),0))</f>
        <v>#REF!</v>
      </c>
      <c r="I24" s="568" t="e">
        <f t="shared" ca="1" si="1"/>
        <v>#REF!</v>
      </c>
      <c r="J24" s="569"/>
      <c r="K24" s="570"/>
    </row>
    <row r="25" spans="1:11" ht="16.5" customHeight="1">
      <c r="A25" s="571" t="e">
        <f t="shared" ca="1" si="2"/>
        <v>#REF!</v>
      </c>
      <c r="B25" s="565" t="e">
        <f ca="1">IF(ROWS($1:12)&gt;COUNT(Dong12),"",OFFSET(TH!E$1,SMALL(Dong12,ROWS($1:12)),))</f>
        <v>#REF!</v>
      </c>
      <c r="C25" s="658" t="e">
        <f ca="1">IF(ROWS($1:12)&gt;COUNT(Dong12),"",IF(MID(OFFSET(TH!D$1,SMALL(Dong12,ROWS($1:12)),),4,1)="N",OFFSET(TH!D$1,SMALL(Dong12,ROWS($1:12)),),""))</f>
        <v>#REF!</v>
      </c>
      <c r="D25" s="565" t="e">
        <f ca="1">IF(ROWS($1:12)&gt;COUNT(Dong12),"",IF(MID(OFFSET(TH!D$1,SMALL(Dong12,ROWS($1:12)),),4,1)="X",OFFSET(TH!D$1,SMALL(Dong12,ROWS($1:12)),),""))</f>
        <v>#REF!</v>
      </c>
      <c r="E25" s="566" t="e">
        <f ca="1">IF(ROWS($1:12)&gt;COUNT(Dong12),"",OFFSET(TH!F$1,SMALL(Dong12,ROWS($1:12)),)&amp;" - "&amp;OFFSET(TH!H$1,SMALL(Dong12,ROWS($1:12)),))</f>
        <v>#REF!</v>
      </c>
      <c r="F25" s="565" t="e">
        <f t="shared" ca="1" si="0"/>
        <v>#REF!</v>
      </c>
      <c r="G25" s="567" t="e">
        <f ca="1">IF(ROWS($1:12)&gt;COUNT(Dong12),0,IF(MID(OFFSET(TH!D$1,SMALL(Dong12,ROWS($1:12)),),4,1)="N",OFFSET(TH!I$1,SMALL(Dong12,ROWS($1:12)),),0))</f>
        <v>#REF!</v>
      </c>
      <c r="H25" s="567" t="e">
        <f ca="1">IF(ROWS($1:12)&gt;COUNT(Dong12),0,IF(MID(OFFSET(TH!D$1,SMALL(Dong12,ROWS($1:12)),),4,1)="X",OFFSET(TH!I$1,SMALL(Dong12,ROWS($1:12)),),0))</f>
        <v>#REF!</v>
      </c>
      <c r="I25" s="568" t="e">
        <f t="shared" ca="1" si="1"/>
        <v>#REF!</v>
      </c>
      <c r="J25" s="569"/>
      <c r="K25" s="570"/>
    </row>
    <row r="26" spans="1:11" ht="16.5" customHeight="1">
      <c r="A26" s="571" t="e">
        <f t="shared" ca="1" si="2"/>
        <v>#REF!</v>
      </c>
      <c r="B26" s="565" t="e">
        <f ca="1">IF(ROWS($1:13)&gt;COUNT(Dong12),"",OFFSET(TH!E$1,SMALL(Dong12,ROWS($1:13)),))</f>
        <v>#REF!</v>
      </c>
      <c r="C26" s="658" t="e">
        <f ca="1">IF(ROWS($1:13)&gt;COUNT(Dong12),"",IF(MID(OFFSET(TH!D$1,SMALL(Dong12,ROWS($1:13)),),4,1)="N",OFFSET(TH!D$1,SMALL(Dong12,ROWS($1:13)),),""))</f>
        <v>#REF!</v>
      </c>
      <c r="D26" s="565" t="e">
        <f ca="1">IF(ROWS($1:13)&gt;COUNT(Dong12),"",IF(MID(OFFSET(TH!D$1,SMALL(Dong12,ROWS($1:13)),),4,1)="X",OFFSET(TH!D$1,SMALL(Dong12,ROWS($1:13)),),""))</f>
        <v>#REF!</v>
      </c>
      <c r="E26" s="566" t="e">
        <f ca="1">IF(ROWS($1:13)&gt;COUNT(Dong12),"",OFFSET(TH!F$1,SMALL(Dong12,ROWS($1:13)),)&amp;" - "&amp;OFFSET(TH!H$1,SMALL(Dong12,ROWS($1:13)),))</f>
        <v>#REF!</v>
      </c>
      <c r="F26" s="565" t="e">
        <f t="shared" ca="1" si="0"/>
        <v>#REF!</v>
      </c>
      <c r="G26" s="567" t="e">
        <f ca="1">IF(ROWS($1:13)&gt;COUNT(Dong12),0,IF(MID(OFFSET(TH!D$1,SMALL(Dong12,ROWS($1:13)),),4,1)="N",OFFSET(TH!I$1,SMALL(Dong12,ROWS($1:13)),),0))</f>
        <v>#REF!</v>
      </c>
      <c r="H26" s="567" t="e">
        <f ca="1">IF(ROWS($1:13)&gt;COUNT(Dong12),0,IF(MID(OFFSET(TH!D$1,SMALL(Dong12,ROWS($1:13)),),4,1)="X",OFFSET(TH!I$1,SMALL(Dong12,ROWS($1:13)),),0))</f>
        <v>#REF!</v>
      </c>
      <c r="I26" s="568" t="e">
        <f t="shared" ca="1" si="1"/>
        <v>#REF!</v>
      </c>
      <c r="J26" s="569"/>
      <c r="K26" s="570"/>
    </row>
    <row r="27" spans="1:11" ht="16.5" customHeight="1">
      <c r="A27" s="571" t="e">
        <f t="shared" ca="1" si="2"/>
        <v>#REF!</v>
      </c>
      <c r="B27" s="565" t="e">
        <f ca="1">IF(ROWS($1:14)&gt;COUNT(Dong12),"",OFFSET(TH!E$1,SMALL(Dong12,ROWS($1:14)),))</f>
        <v>#REF!</v>
      </c>
      <c r="C27" s="658" t="e">
        <f ca="1">IF(ROWS($1:14)&gt;COUNT(Dong12),"",IF(MID(OFFSET(TH!D$1,SMALL(Dong12,ROWS($1:14)),),4,1)="N",OFFSET(TH!D$1,SMALL(Dong12,ROWS($1:14)),),""))</f>
        <v>#REF!</v>
      </c>
      <c r="D27" s="565" t="e">
        <f ca="1">IF(ROWS($1:14)&gt;COUNT(Dong12),"",IF(MID(OFFSET(TH!D$1,SMALL(Dong12,ROWS($1:14)),),4,1)="X",OFFSET(TH!D$1,SMALL(Dong12,ROWS($1:14)),),""))</f>
        <v>#REF!</v>
      </c>
      <c r="E27" s="566" t="e">
        <f ca="1">IF(ROWS($1:14)&gt;COUNT(Dong12),"",OFFSET(TH!F$1,SMALL(Dong12,ROWS($1:14)),)&amp;" - "&amp;OFFSET(TH!H$1,SMALL(Dong12,ROWS($1:14)),))</f>
        <v>#REF!</v>
      </c>
      <c r="F27" s="565" t="e">
        <f t="shared" ca="1" si="0"/>
        <v>#REF!</v>
      </c>
      <c r="G27" s="567" t="e">
        <f ca="1">IF(ROWS($1:14)&gt;COUNT(Dong12),0,IF(MID(OFFSET(TH!D$1,SMALL(Dong12,ROWS($1:14)),),4,1)="N",OFFSET(TH!I$1,SMALL(Dong12,ROWS($1:14)),),0))</f>
        <v>#REF!</v>
      </c>
      <c r="H27" s="567" t="e">
        <f ca="1">IF(ROWS($1:14)&gt;COUNT(Dong12),0,IF(MID(OFFSET(TH!D$1,SMALL(Dong12,ROWS($1:14)),),4,1)="X",OFFSET(TH!I$1,SMALL(Dong12,ROWS($1:14)),),0))</f>
        <v>#REF!</v>
      </c>
      <c r="I27" s="568" t="e">
        <f t="shared" ca="1" si="1"/>
        <v>#REF!</v>
      </c>
      <c r="J27" s="569"/>
      <c r="K27" s="570"/>
    </row>
    <row r="28" spans="1:11" ht="16.5" customHeight="1">
      <c r="A28" s="571" t="e">
        <f t="shared" ca="1" si="2"/>
        <v>#REF!</v>
      </c>
      <c r="B28" s="565" t="e">
        <f ca="1">IF(ROWS($1:15)&gt;COUNT(Dong12),"",OFFSET(TH!E$1,SMALL(Dong12,ROWS($1:15)),))</f>
        <v>#REF!</v>
      </c>
      <c r="C28" s="658" t="e">
        <f ca="1">IF(ROWS($1:15)&gt;COUNT(Dong12),"",IF(MID(OFFSET(TH!D$1,SMALL(Dong12,ROWS($1:15)),),4,1)="N",OFFSET(TH!D$1,SMALL(Dong12,ROWS($1:15)),),""))</f>
        <v>#REF!</v>
      </c>
      <c r="D28" s="565" t="e">
        <f ca="1">IF(ROWS($1:15)&gt;COUNT(Dong12),"",IF(MID(OFFSET(TH!D$1,SMALL(Dong12,ROWS($1:15)),),4,1)="X",OFFSET(TH!D$1,SMALL(Dong12,ROWS($1:15)),),""))</f>
        <v>#REF!</v>
      </c>
      <c r="E28" s="566" t="e">
        <f ca="1">IF(ROWS($1:15)&gt;COUNT(Dong12),"",OFFSET(TH!F$1,SMALL(Dong12,ROWS($1:15)),)&amp;" - "&amp;OFFSET(TH!H$1,SMALL(Dong12,ROWS($1:15)),))</f>
        <v>#REF!</v>
      </c>
      <c r="F28" s="565" t="e">
        <f t="shared" ca="1" si="0"/>
        <v>#REF!</v>
      </c>
      <c r="G28" s="567" t="e">
        <f ca="1">IF(ROWS($1:15)&gt;COUNT(Dong12),0,IF(MID(OFFSET(TH!D$1,SMALL(Dong12,ROWS($1:15)),),4,1)="N",OFFSET(TH!I$1,SMALL(Dong12,ROWS($1:15)),),0))</f>
        <v>#REF!</v>
      </c>
      <c r="H28" s="567" t="e">
        <f ca="1">IF(ROWS($1:15)&gt;COUNT(Dong12),0,IF(MID(OFFSET(TH!D$1,SMALL(Dong12,ROWS($1:15)),),4,1)="X",OFFSET(TH!I$1,SMALL(Dong12,ROWS($1:15)),),0))</f>
        <v>#REF!</v>
      </c>
      <c r="I28" s="568" t="e">
        <f t="shared" ca="1" si="1"/>
        <v>#REF!</v>
      </c>
      <c r="J28" s="569"/>
      <c r="K28" s="570"/>
    </row>
    <row r="29" spans="1:11" ht="16.5" customHeight="1">
      <c r="A29" s="571" t="e">
        <f t="shared" ca="1" si="2"/>
        <v>#REF!</v>
      </c>
      <c r="B29" s="565" t="e">
        <f ca="1">IF(ROWS($1:16)&gt;COUNT(Dong12),"",OFFSET(TH!E$1,SMALL(Dong12,ROWS($1:16)),))</f>
        <v>#REF!</v>
      </c>
      <c r="C29" s="658" t="e">
        <f ca="1">IF(ROWS($1:16)&gt;COUNT(Dong12),"",IF(MID(OFFSET(TH!D$1,SMALL(Dong12,ROWS($1:16)),),4,1)="N",OFFSET(TH!D$1,SMALL(Dong12,ROWS($1:16)),),""))</f>
        <v>#REF!</v>
      </c>
      <c r="D29" s="565" t="e">
        <f ca="1">IF(ROWS($1:16)&gt;COUNT(Dong12),"",IF(MID(OFFSET(TH!D$1,SMALL(Dong12,ROWS($1:16)),),4,1)="X",OFFSET(TH!D$1,SMALL(Dong12,ROWS($1:16)),),""))</f>
        <v>#REF!</v>
      </c>
      <c r="E29" s="566" t="e">
        <f ca="1">IF(ROWS($1:16)&gt;COUNT(Dong12),"",OFFSET(TH!F$1,SMALL(Dong12,ROWS($1:16)),)&amp;" - "&amp;OFFSET(TH!H$1,SMALL(Dong12,ROWS($1:16)),))</f>
        <v>#REF!</v>
      </c>
      <c r="F29" s="565" t="e">
        <f t="shared" ca="1" si="0"/>
        <v>#REF!</v>
      </c>
      <c r="G29" s="567" t="e">
        <f ca="1">IF(ROWS($1:16)&gt;COUNT(Dong12),0,IF(MID(OFFSET(TH!D$1,SMALL(Dong12,ROWS($1:16)),),4,1)="N",OFFSET(TH!I$1,SMALL(Dong12,ROWS($1:16)),),0))</f>
        <v>#REF!</v>
      </c>
      <c r="H29" s="567" t="e">
        <f ca="1">IF(ROWS($1:16)&gt;COUNT(Dong12),0,IF(MID(OFFSET(TH!D$1,SMALL(Dong12,ROWS($1:16)),),4,1)="X",OFFSET(TH!I$1,SMALL(Dong12,ROWS($1:16)),),0))</f>
        <v>#REF!</v>
      </c>
      <c r="I29" s="568" t="e">
        <f t="shared" ca="1" si="1"/>
        <v>#REF!</v>
      </c>
      <c r="J29" s="569"/>
      <c r="K29" s="570"/>
    </row>
    <row r="30" spans="1:11" ht="16.5" customHeight="1">
      <c r="A30" s="571" t="e">
        <f t="shared" ca="1" si="2"/>
        <v>#REF!</v>
      </c>
      <c r="B30" s="565" t="e">
        <f ca="1">IF(ROWS($1:17)&gt;COUNT(Dong12),"",OFFSET(TH!E$1,SMALL(Dong12,ROWS($1:17)),))</f>
        <v>#REF!</v>
      </c>
      <c r="C30" s="658" t="e">
        <f ca="1">IF(ROWS($1:17)&gt;COUNT(Dong12),"",IF(MID(OFFSET(TH!D$1,SMALL(Dong12,ROWS($1:17)),),4,1)="N",OFFSET(TH!D$1,SMALL(Dong12,ROWS($1:17)),),""))</f>
        <v>#REF!</v>
      </c>
      <c r="D30" s="565" t="e">
        <f ca="1">IF(ROWS($1:17)&gt;COUNT(Dong12),"",IF(MID(OFFSET(TH!D$1,SMALL(Dong12,ROWS($1:17)),),4,1)="X",OFFSET(TH!D$1,SMALL(Dong12,ROWS($1:17)),),""))</f>
        <v>#REF!</v>
      </c>
      <c r="E30" s="566" t="e">
        <f ca="1">IF(ROWS($1:17)&gt;COUNT(Dong12),"",OFFSET(TH!F$1,SMALL(Dong12,ROWS($1:17)),)&amp;" - "&amp;OFFSET(TH!H$1,SMALL(Dong12,ROWS($1:17)),))</f>
        <v>#REF!</v>
      </c>
      <c r="F30" s="565" t="e">
        <f t="shared" ca="1" si="0"/>
        <v>#REF!</v>
      </c>
      <c r="G30" s="567" t="e">
        <f ca="1">IF(ROWS($1:17)&gt;COUNT(Dong12),0,IF(MID(OFFSET(TH!D$1,SMALL(Dong12,ROWS($1:17)),),4,1)="N",OFFSET(TH!I$1,SMALL(Dong12,ROWS($1:17)),),0))</f>
        <v>#REF!</v>
      </c>
      <c r="H30" s="567" t="e">
        <f ca="1">IF(ROWS($1:17)&gt;COUNT(Dong12),0,IF(MID(OFFSET(TH!D$1,SMALL(Dong12,ROWS($1:17)),),4,1)="X",OFFSET(TH!I$1,SMALL(Dong12,ROWS($1:17)),),0))</f>
        <v>#REF!</v>
      </c>
      <c r="I30" s="568" t="e">
        <f t="shared" ca="1" si="1"/>
        <v>#REF!</v>
      </c>
      <c r="J30" s="569"/>
      <c r="K30" s="570"/>
    </row>
    <row r="31" spans="1:11" ht="16.5" customHeight="1">
      <c r="A31" s="572" t="str">
        <f>IF(D31&lt;&gt;"",A21+1,"")</f>
        <v/>
      </c>
      <c r="B31" s="573"/>
      <c r="C31" s="574"/>
      <c r="D31" s="574"/>
      <c r="E31" s="575"/>
      <c r="F31" s="573"/>
      <c r="G31" s="576"/>
      <c r="H31" s="576"/>
      <c r="I31" s="576"/>
      <c r="J31" s="577"/>
      <c r="K31" s="570"/>
    </row>
    <row r="32" spans="1:11" ht="16.5" customHeight="1">
      <c r="A32" s="559"/>
      <c r="B32" s="578"/>
      <c r="C32" s="559"/>
      <c r="D32" s="559"/>
      <c r="E32" s="560" t="s">
        <v>465</v>
      </c>
      <c r="F32" s="579" t="s">
        <v>21</v>
      </c>
      <c r="G32" s="580" t="e">
        <f ca="1">SUM(G14:G31)</f>
        <v>#REF!</v>
      </c>
      <c r="H32" s="580" t="e">
        <f ca="1">SUM(H14:H31)</f>
        <v>#REF!</v>
      </c>
      <c r="I32" s="580" t="e">
        <f ca="1">I13+G32-H32</f>
        <v>#REF!</v>
      </c>
      <c r="J32" s="559" t="s">
        <v>21</v>
      </c>
      <c r="K32" s="581"/>
    </row>
    <row r="33" spans="1:11" ht="12.75" customHeight="1">
      <c r="A33" s="582"/>
      <c r="B33" s="536"/>
      <c r="C33" s="582"/>
      <c r="D33" s="582"/>
      <c r="E33" s="544"/>
      <c r="F33" s="536"/>
      <c r="G33" s="545"/>
      <c r="H33" s="545"/>
      <c r="I33" s="545"/>
      <c r="J33" s="531"/>
      <c r="K33" s="531"/>
    </row>
    <row r="34" spans="1:11" ht="15">
      <c r="A34" s="583" t="s">
        <v>466</v>
      </c>
      <c r="B34" s="583"/>
      <c r="C34" s="584"/>
      <c r="D34" s="584"/>
      <c r="E34" s="544"/>
      <c r="F34" s="536"/>
      <c r="G34" s="545"/>
      <c r="H34" s="545"/>
      <c r="I34" s="545"/>
      <c r="J34" s="531"/>
      <c r="K34" s="531"/>
    </row>
    <row r="35" spans="1:11" ht="15">
      <c r="A35" s="1536" t="str">
        <f ca="1">IF(ISERROR(" - Ngày mở sổ: ngày "&amp;DAY(B14)&amp;" tháng "&amp;MONTH(B14)&amp;" năm "&amp;YEAR(B14))," - Ngày mở sổ: ngày 01 tháng  01 năm 2016 "," - Ngày mở sổ: ngày "&amp;DAY(B14)&amp;" tháng "&amp;MONTH(B14)&amp;" năm "&amp;YEAR(B14))</f>
        <v xml:space="preserve"> - Ngày mở sổ: ngày 01 tháng  01 năm 2016 </v>
      </c>
      <c r="B35" s="1537"/>
      <c r="C35" s="1537"/>
      <c r="D35" s="1537"/>
      <c r="E35" s="1537"/>
      <c r="F35" s="536"/>
      <c r="G35" s="545"/>
      <c r="H35" s="545"/>
      <c r="I35" s="545"/>
      <c r="J35" s="531"/>
      <c r="K35" s="531"/>
    </row>
    <row r="36" spans="1:11" ht="15">
      <c r="A36" s="585"/>
      <c r="B36" s="586"/>
      <c r="C36" s="587"/>
      <c r="D36" s="582"/>
      <c r="E36" s="544"/>
      <c r="F36" s="536"/>
      <c r="H36" s="442"/>
      <c r="I36" s="830" t="s">
        <v>428</v>
      </c>
      <c r="J36" s="442"/>
      <c r="K36" s="443"/>
    </row>
    <row r="37" spans="1:11" ht="15" customHeight="1">
      <c r="A37" s="585"/>
      <c r="C37" s="588" t="s">
        <v>467</v>
      </c>
      <c r="D37" s="582"/>
      <c r="E37" s="1538" t="s">
        <v>12</v>
      </c>
      <c r="F37" s="1538"/>
      <c r="G37" s="545"/>
      <c r="I37" s="866" t="s">
        <v>130</v>
      </c>
      <c r="J37" s="534"/>
      <c r="K37" s="585"/>
    </row>
    <row r="38" spans="1:11" ht="15" customHeight="1">
      <c r="A38" s="589"/>
      <c r="C38" s="590" t="s">
        <v>13</v>
      </c>
      <c r="D38" s="591"/>
      <c r="E38" s="1531" t="s">
        <v>13</v>
      </c>
      <c r="F38" s="1531"/>
      <c r="G38" s="545"/>
      <c r="I38" s="867" t="s">
        <v>160</v>
      </c>
      <c r="J38" s="865"/>
      <c r="K38" s="589"/>
    </row>
    <row r="39" spans="1:11" ht="15">
      <c r="A39" s="589"/>
      <c r="C39" s="590"/>
      <c r="D39" s="582"/>
      <c r="E39" s="592"/>
      <c r="F39" s="593"/>
      <c r="G39" s="545"/>
      <c r="H39" s="589"/>
      <c r="I39" s="589"/>
      <c r="J39" s="589"/>
      <c r="K39" s="589"/>
    </row>
    <row r="40" spans="1:11" ht="15">
      <c r="A40" s="589"/>
      <c r="B40" s="590"/>
      <c r="C40" s="589"/>
      <c r="D40" s="582"/>
      <c r="E40" s="592"/>
      <c r="F40" s="593"/>
      <c r="G40" s="545"/>
      <c r="H40" s="589"/>
      <c r="I40" s="589"/>
      <c r="J40" s="589"/>
      <c r="K40" s="589"/>
    </row>
    <row r="41" spans="1:11" ht="15">
      <c r="A41" s="589"/>
      <c r="B41" s="590"/>
      <c r="C41" s="589"/>
      <c r="D41" s="582"/>
      <c r="E41" s="592"/>
      <c r="F41" s="593"/>
      <c r="G41" s="545"/>
      <c r="H41" s="589"/>
      <c r="I41" s="589"/>
      <c r="J41" s="589"/>
      <c r="K41" s="589"/>
    </row>
    <row r="46" spans="1:11" ht="15">
      <c r="C46" s="868" t="s">
        <v>721</v>
      </c>
      <c r="H46" s="864"/>
      <c r="I46" s="863" t="s">
        <v>124</v>
      </c>
      <c r="J46" s="864"/>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W275"/>
  <sheetViews>
    <sheetView workbookViewId="0">
      <pane xSplit="3" ySplit="1" topLeftCell="D232" activePane="bottomRight" state="frozen"/>
      <selection activeCell="P41" sqref="P41"/>
      <selection pane="topRight" activeCell="P41" sqref="P41"/>
      <selection pane="bottomLeft" activeCell="P41" sqref="P41"/>
      <selection pane="bottomRight" activeCell="F240" sqref="F240"/>
    </sheetView>
  </sheetViews>
  <sheetFormatPr defaultColWidth="10.28515625" defaultRowHeight="12.75"/>
  <cols>
    <col min="1" max="1" width="4.7109375" style="1200" customWidth="1"/>
    <col min="2" max="2" width="18.140625" style="1200" customWidth="1"/>
    <col min="3" max="3" width="6.7109375" style="1200" customWidth="1"/>
    <col min="4" max="4" width="11.5703125" style="1200" customWidth="1"/>
    <col min="5" max="5" width="10.5703125" style="1200" customWidth="1"/>
    <col min="6" max="6" width="9.140625" style="1200" customWidth="1"/>
    <col min="7" max="7" width="16.42578125" style="1200" customWidth="1"/>
    <col min="8" max="11" width="13.7109375" style="1200" customWidth="1"/>
    <col min="12" max="12" width="12.5703125" style="1200" customWidth="1"/>
    <col min="13" max="13" width="13.28515625" style="1200" customWidth="1"/>
    <col min="14" max="14" width="16" style="1200" customWidth="1"/>
    <col min="15" max="15" width="10.7109375" style="1200" customWidth="1"/>
    <col min="16" max="16" width="10.5703125" style="1200" customWidth="1"/>
    <col min="17" max="17" width="4.85546875" style="1207" customWidth="1"/>
    <col min="18" max="18" width="22.5703125" style="1200" customWidth="1"/>
    <col min="19" max="19" width="10.140625" style="1200" customWidth="1"/>
    <col min="20" max="20" width="8.7109375" style="1200" customWidth="1"/>
    <col min="21" max="21" width="9.140625" style="1200" customWidth="1"/>
    <col min="22" max="22" width="12.140625" style="1200" customWidth="1"/>
    <col min="23" max="23" width="7.7109375" style="1200" customWidth="1"/>
    <col min="24" max="24" width="11.140625" style="1200" bestFit="1" customWidth="1"/>
    <col min="25" max="25" width="13.85546875" style="1200" customWidth="1"/>
    <col min="26" max="16384" width="10.28515625" style="1200"/>
  </cols>
  <sheetData>
    <row r="1" spans="1:23">
      <c r="A1" s="978"/>
      <c r="B1" s="978">
        <v>1</v>
      </c>
      <c r="C1" s="978">
        <v>2</v>
      </c>
      <c r="D1" s="978">
        <v>3</v>
      </c>
      <c r="E1" s="978">
        <v>4</v>
      </c>
      <c r="F1" s="978">
        <v>5</v>
      </c>
      <c r="G1" s="978">
        <v>6</v>
      </c>
      <c r="H1" s="978">
        <v>8</v>
      </c>
      <c r="I1" s="978">
        <v>7</v>
      </c>
      <c r="J1" s="978">
        <v>9</v>
      </c>
      <c r="K1" s="978">
        <v>10</v>
      </c>
      <c r="L1" s="978">
        <v>11</v>
      </c>
      <c r="M1" s="978">
        <v>12</v>
      </c>
      <c r="N1" s="978">
        <v>13</v>
      </c>
      <c r="O1" s="978">
        <v>14</v>
      </c>
      <c r="P1" s="978">
        <v>15</v>
      </c>
      <c r="Q1" s="1205"/>
      <c r="R1" s="978"/>
      <c r="S1" s="979"/>
      <c r="T1" s="423"/>
      <c r="U1" s="423"/>
      <c r="V1" s="978"/>
      <c r="W1" s="978"/>
    </row>
    <row r="2" spans="1:23" ht="18" customHeight="1">
      <c r="A2" s="980" t="s">
        <v>493</v>
      </c>
      <c r="B2" s="980"/>
      <c r="C2" s="981"/>
      <c r="D2" s="982"/>
      <c r="E2" s="982"/>
      <c r="F2" s="982"/>
      <c r="G2" s="423"/>
      <c r="H2" s="423"/>
      <c r="I2" s="423"/>
      <c r="J2" s="423"/>
      <c r="K2" s="423"/>
      <c r="L2" s="423"/>
      <c r="M2" s="423"/>
      <c r="N2" s="423"/>
      <c r="O2" s="887"/>
      <c r="P2" s="423"/>
      <c r="Q2" s="1205"/>
      <c r="R2" s="423"/>
      <c r="S2" s="984"/>
      <c r="T2" s="423"/>
      <c r="U2" s="423"/>
      <c r="V2" s="978"/>
      <c r="W2" s="978"/>
    </row>
    <row r="3" spans="1:23" ht="18.75" customHeight="1">
      <c r="A3" s="985" t="s">
        <v>2386</v>
      </c>
      <c r="B3" s="985"/>
      <c r="C3" s="985"/>
      <c r="D3" s="985"/>
      <c r="E3" s="985"/>
      <c r="F3" s="985"/>
      <c r="G3" s="985"/>
      <c r="H3" s="985"/>
      <c r="I3" s="985"/>
      <c r="J3" s="985"/>
      <c r="K3" s="985"/>
      <c r="L3" s="985"/>
      <c r="M3" s="985"/>
      <c r="N3" s="985"/>
      <c r="O3" s="985"/>
      <c r="P3" s="985"/>
      <c r="Q3" s="1205"/>
      <c r="R3" s="423"/>
      <c r="S3" s="984"/>
      <c r="T3" s="423"/>
      <c r="U3" s="423"/>
      <c r="V3" s="978"/>
      <c r="W3" s="978"/>
    </row>
    <row r="4" spans="1:23" ht="12.75" customHeight="1">
      <c r="A4" s="986"/>
      <c r="B4" s="986"/>
      <c r="C4" s="987"/>
      <c r="D4" s="986"/>
      <c r="E4" s="986"/>
      <c r="F4" s="986"/>
      <c r="G4" s="986"/>
      <c r="H4" s="986"/>
      <c r="I4" s="986"/>
      <c r="J4" s="986"/>
      <c r="K4" s="986"/>
      <c r="L4" s="986"/>
      <c r="M4" s="986"/>
      <c r="N4" s="986"/>
      <c r="O4" s="988"/>
      <c r="P4" s="986"/>
      <c r="Q4" s="1205"/>
      <c r="R4" s="989"/>
      <c r="S4" s="1549"/>
      <c r="T4" s="1549"/>
      <c r="U4" s="1182"/>
      <c r="V4" s="1549"/>
      <c r="W4" s="1549"/>
    </row>
    <row r="5" spans="1:23" ht="30.75" customHeight="1">
      <c r="A5" s="635" t="s">
        <v>37</v>
      </c>
      <c r="B5" s="635" t="s">
        <v>494</v>
      </c>
      <c r="C5" s="636" t="s">
        <v>495</v>
      </c>
      <c r="D5" s="637" t="s">
        <v>496</v>
      </c>
      <c r="E5" s="637" t="s">
        <v>497</v>
      </c>
      <c r="F5" s="637" t="s">
        <v>498</v>
      </c>
      <c r="G5" s="637" t="s">
        <v>499</v>
      </c>
      <c r="H5" s="637" t="s">
        <v>500</v>
      </c>
      <c r="I5" s="637" t="s">
        <v>501</v>
      </c>
      <c r="J5" s="637" t="s">
        <v>502</v>
      </c>
      <c r="K5" s="638" t="s">
        <v>503</v>
      </c>
      <c r="L5" s="637" t="s">
        <v>504</v>
      </c>
      <c r="M5" s="638" t="s">
        <v>505</v>
      </c>
      <c r="N5" s="637" t="s">
        <v>506</v>
      </c>
      <c r="O5" s="639" t="s">
        <v>497</v>
      </c>
      <c r="P5" s="637" t="s">
        <v>507</v>
      </c>
      <c r="Q5" s="1206"/>
      <c r="R5" s="635" t="s">
        <v>494</v>
      </c>
      <c r="S5" s="637" t="s">
        <v>462</v>
      </c>
      <c r="T5" s="637" t="s">
        <v>325</v>
      </c>
      <c r="U5" s="637" t="s">
        <v>498</v>
      </c>
      <c r="V5" s="637" t="s">
        <v>508</v>
      </c>
      <c r="W5" s="635" t="s">
        <v>508</v>
      </c>
    </row>
    <row r="6" spans="1:23" ht="17.25" customHeight="1">
      <c r="A6" s="726">
        <v>1</v>
      </c>
      <c r="B6" s="429" t="s">
        <v>429</v>
      </c>
      <c r="C6" s="991">
        <v>3</v>
      </c>
      <c r="D6" s="992">
        <v>84448</v>
      </c>
      <c r="E6" s="992"/>
      <c r="F6" s="992">
        <v>17000</v>
      </c>
      <c r="G6" s="25">
        <f t="shared" ref="G6:G15" si="0">(D6+E6)*F6</f>
        <v>1435616000</v>
      </c>
      <c r="H6" s="992"/>
      <c r="I6" s="992"/>
      <c r="J6" s="992"/>
      <c r="K6" s="992"/>
      <c r="L6" s="992">
        <v>15225000</v>
      </c>
      <c r="M6" s="992">
        <v>263900000</v>
      </c>
      <c r="N6" s="25">
        <f t="shared" ref="N6:N15" si="1">G6+I6+H6+J6+L6+K6+M6</f>
        <v>1714741000</v>
      </c>
      <c r="O6" s="381">
        <v>28150</v>
      </c>
      <c r="P6" s="992">
        <f t="shared" ref="P6:P15" si="2">IF(O6&lt;&gt;"",N6/O6,"")</f>
        <v>60914.422735346358</v>
      </c>
      <c r="Q6" s="1204"/>
      <c r="R6" s="640" t="s">
        <v>327</v>
      </c>
      <c r="S6" s="644">
        <v>42740</v>
      </c>
      <c r="T6" s="77">
        <v>150</v>
      </c>
      <c r="U6" s="993">
        <v>32200</v>
      </c>
      <c r="V6" s="25">
        <f>ROUND(T6*U6,0)</f>
        <v>4830000</v>
      </c>
      <c r="W6" s="994"/>
    </row>
    <row r="7" spans="1:23" ht="17.25" customHeight="1">
      <c r="A7" s="726">
        <v>2</v>
      </c>
      <c r="B7" s="429" t="s">
        <v>426</v>
      </c>
      <c r="C7" s="991">
        <f>VLOOKUP(B7,NXT!$Q$78:$S$118,2,0)</f>
        <v>10.5</v>
      </c>
      <c r="D7" s="992">
        <f t="shared" ref="D7:D15" si="3">ROUND(C7*O7,0)</f>
        <v>100800</v>
      </c>
      <c r="E7" s="992"/>
      <c r="F7" s="992">
        <v>17500</v>
      </c>
      <c r="G7" s="25">
        <f t="shared" si="0"/>
        <v>1764000000</v>
      </c>
      <c r="H7" s="381">
        <f t="shared" ref="H7:K15" si="4">IF($D$17&lt;&gt;0,H$17/($D$17+$E$17/5)*($D7+$E7/5),0)</f>
        <v>20517493.905814167</v>
      </c>
      <c r="I7" s="381">
        <f t="shared" si="4"/>
        <v>12178772.141484963</v>
      </c>
      <c r="J7" s="381">
        <f t="shared" si="4"/>
        <v>24202750.690819107</v>
      </c>
      <c r="K7" s="381">
        <f t="shared" si="4"/>
        <v>16265111.444913551</v>
      </c>
      <c r="L7" s="992">
        <f>V15+V16</f>
        <v>89660200</v>
      </c>
      <c r="M7" s="992"/>
      <c r="N7" s="25">
        <f t="shared" si="1"/>
        <v>1926824328.1830318</v>
      </c>
      <c r="O7" s="381">
        <v>9600</v>
      </c>
      <c r="P7" s="992">
        <f t="shared" si="2"/>
        <v>200710.86751906583</v>
      </c>
      <c r="Q7" s="1204"/>
      <c r="R7" s="641" t="s">
        <v>333</v>
      </c>
      <c r="S7" s="644">
        <v>42740</v>
      </c>
      <c r="T7" s="77">
        <v>135</v>
      </c>
      <c r="U7" s="843">
        <v>49027</v>
      </c>
      <c r="V7" s="25">
        <f t="shared" ref="V7:V12" si="5">ROUND(T7*U7,0)</f>
        <v>6618645</v>
      </c>
      <c r="W7" s="995"/>
    </row>
    <row r="8" spans="1:23" ht="17.25" customHeight="1">
      <c r="A8" s="726">
        <v>3</v>
      </c>
      <c r="B8" s="429" t="s">
        <v>1584</v>
      </c>
      <c r="C8" s="991">
        <f>VLOOKUP(B8,NXT!$Q$78:$S$118,2,0)</f>
        <v>11</v>
      </c>
      <c r="D8" s="992">
        <f t="shared" si="3"/>
        <v>24640</v>
      </c>
      <c r="E8" s="992"/>
      <c r="F8" s="992">
        <f>VLOOKUP(B8,NXT!$Q$78:$S$118,3,0)</f>
        <v>17500</v>
      </c>
      <c r="G8" s="25">
        <f t="shared" si="0"/>
        <v>431200000</v>
      </c>
      <c r="H8" s="381">
        <f t="shared" si="4"/>
        <v>5015387.3991990183</v>
      </c>
      <c r="I8" s="381">
        <f t="shared" si="4"/>
        <v>2977033.1901407689</v>
      </c>
      <c r="J8" s="381">
        <f t="shared" si="4"/>
        <v>5916227.9466446703</v>
      </c>
      <c r="K8" s="381">
        <f t="shared" si="4"/>
        <v>3975916.1309788683</v>
      </c>
      <c r="L8" s="992">
        <f>$V$17/($O$8+$O$9)*O8</f>
        <v>6908331.2101910822</v>
      </c>
      <c r="M8" s="992"/>
      <c r="N8" s="25">
        <f t="shared" si="1"/>
        <v>455992895.87715441</v>
      </c>
      <c r="O8" s="381">
        <v>2240</v>
      </c>
      <c r="P8" s="992">
        <f t="shared" si="2"/>
        <v>203568.25708801535</v>
      </c>
      <c r="Q8" s="1204"/>
      <c r="R8" s="641" t="s">
        <v>336</v>
      </c>
      <c r="S8" s="644">
        <v>42740</v>
      </c>
      <c r="T8" s="77">
        <v>420</v>
      </c>
      <c r="U8" s="843">
        <v>15836.734761904761</v>
      </c>
      <c r="V8" s="25">
        <f t="shared" si="5"/>
        <v>6651429</v>
      </c>
      <c r="W8" s="995"/>
    </row>
    <row r="9" spans="1:23" ht="17.25" customHeight="1">
      <c r="A9" s="726">
        <v>4</v>
      </c>
      <c r="B9" s="996" t="s">
        <v>1107</v>
      </c>
      <c r="C9" s="991">
        <f>VLOOKUP(B9,NXT!$Q$78:$S$118,2,0)</f>
        <v>5.5</v>
      </c>
      <c r="D9" s="992">
        <f t="shared" si="3"/>
        <v>13585</v>
      </c>
      <c r="E9" s="992"/>
      <c r="F9" s="992">
        <f>VLOOKUP(B9,NXT!$Q$78:$S$118,3,0)</f>
        <v>37000</v>
      </c>
      <c r="G9" s="25">
        <f t="shared" si="0"/>
        <v>502645000</v>
      </c>
      <c r="H9" s="381">
        <f t="shared" si="4"/>
        <v>2765180.1062548161</v>
      </c>
      <c r="I9" s="381">
        <f t="shared" si="4"/>
        <v>1641355.3525999328</v>
      </c>
      <c r="J9" s="381">
        <f t="shared" si="4"/>
        <v>3261848.8902259679</v>
      </c>
      <c r="K9" s="381">
        <f t="shared" si="4"/>
        <v>2192078.7597137955</v>
      </c>
      <c r="L9" s="992">
        <f>$V$17/($O$8+$O$9)*O9</f>
        <v>7617668.7898089169</v>
      </c>
      <c r="M9" s="992"/>
      <c r="N9" s="25">
        <f t="shared" si="1"/>
        <v>520123131.89860338</v>
      </c>
      <c r="O9" s="381">
        <v>2470</v>
      </c>
      <c r="P9" s="992">
        <f t="shared" si="2"/>
        <v>210576.16676056816</v>
      </c>
      <c r="Q9" s="1204"/>
      <c r="R9" s="641" t="s">
        <v>804</v>
      </c>
      <c r="S9" s="644">
        <v>42740</v>
      </c>
      <c r="T9" s="77">
        <v>40</v>
      </c>
      <c r="U9" s="843">
        <v>53000</v>
      </c>
      <c r="V9" s="25">
        <f t="shared" si="5"/>
        <v>2120000</v>
      </c>
      <c r="W9" s="995"/>
    </row>
    <row r="10" spans="1:23" ht="17.25" customHeight="1">
      <c r="A10" s="726">
        <v>5</v>
      </c>
      <c r="B10" s="996" t="s">
        <v>2400</v>
      </c>
      <c r="C10" s="991">
        <f>VLOOKUP(B10,NXT!$Q$78:$S$118,2,0)</f>
        <v>11.5</v>
      </c>
      <c r="D10" s="992">
        <f t="shared" si="3"/>
        <v>138000</v>
      </c>
      <c r="E10" s="992"/>
      <c r="F10" s="992">
        <f>VLOOKUP(B10,NXT!$Q$78:$S$118,3,0)</f>
        <v>16700</v>
      </c>
      <c r="G10" s="25">
        <f t="shared" si="0"/>
        <v>2304600000</v>
      </c>
      <c r="H10" s="381">
        <f t="shared" si="4"/>
        <v>28089426.180578917</v>
      </c>
      <c r="I10" s="381">
        <f t="shared" si="4"/>
        <v>16673319.003223462</v>
      </c>
      <c r="J10" s="381">
        <f t="shared" si="4"/>
        <v>33134718.207669016</v>
      </c>
      <c r="K10" s="381">
        <f t="shared" si="4"/>
        <v>22267712.097203076</v>
      </c>
      <c r="L10" s="992">
        <f>V18</f>
        <v>12360000</v>
      </c>
      <c r="M10" s="992"/>
      <c r="N10" s="25">
        <f t="shared" si="1"/>
        <v>2417125175.4886742</v>
      </c>
      <c r="O10" s="381">
        <v>12000</v>
      </c>
      <c r="P10" s="992">
        <f t="shared" si="2"/>
        <v>201427.09795738952</v>
      </c>
      <c r="Q10" s="1204"/>
      <c r="R10" s="641" t="s">
        <v>341</v>
      </c>
      <c r="S10" s="644">
        <v>42740</v>
      </c>
      <c r="T10" s="77">
        <v>500</v>
      </c>
      <c r="U10" s="843">
        <v>3000</v>
      </c>
      <c r="V10" s="25">
        <f t="shared" si="5"/>
        <v>1500000</v>
      </c>
      <c r="W10" s="995"/>
    </row>
    <row r="11" spans="1:23" ht="17.25" customHeight="1">
      <c r="A11" s="726">
        <v>7</v>
      </c>
      <c r="B11" s="996" t="s">
        <v>793</v>
      </c>
      <c r="C11" s="991">
        <f>VLOOKUP(B11,NXT!$Q$78:$S$118,2,0)</f>
        <v>8.6999999999999993</v>
      </c>
      <c r="D11" s="992">
        <f t="shared" si="3"/>
        <v>87000</v>
      </c>
      <c r="E11" s="992"/>
      <c r="F11" s="992">
        <f>VLOOKUP(B11,NXT!$Q$78:$S$118,3,0)</f>
        <v>18500</v>
      </c>
      <c r="G11" s="25">
        <f t="shared" si="0"/>
        <v>1609500000</v>
      </c>
      <c r="H11" s="381">
        <f t="shared" si="4"/>
        <v>17708551.287756275</v>
      </c>
      <c r="I11" s="381">
        <f t="shared" si="4"/>
        <v>10511440.241162617</v>
      </c>
      <c r="J11" s="381">
        <f t="shared" si="4"/>
        <v>20889278.870052204</v>
      </c>
      <c r="K11" s="381">
        <f t="shared" si="4"/>
        <v>14038340.235193243</v>
      </c>
      <c r="L11" s="992">
        <f>V19</f>
        <v>14040000</v>
      </c>
      <c r="M11" s="992"/>
      <c r="N11" s="25">
        <f t="shared" si="1"/>
        <v>1686687610.6341641</v>
      </c>
      <c r="O11" s="381">
        <v>10000</v>
      </c>
      <c r="P11" s="992">
        <f t="shared" si="2"/>
        <v>168668.7610634164</v>
      </c>
      <c r="Q11" s="1204"/>
      <c r="R11" s="641" t="s">
        <v>1257</v>
      </c>
      <c r="S11" s="644">
        <v>42740</v>
      </c>
      <c r="T11" s="77">
        <v>1440</v>
      </c>
      <c r="U11" s="843">
        <v>14728</v>
      </c>
      <c r="V11" s="25">
        <f t="shared" si="5"/>
        <v>21208320</v>
      </c>
      <c r="W11" s="995"/>
    </row>
    <row r="12" spans="1:23" ht="17.25" customHeight="1">
      <c r="A12" s="726">
        <v>8</v>
      </c>
      <c r="B12" s="996" t="s">
        <v>2477</v>
      </c>
      <c r="C12" s="991">
        <f>VLOOKUP(B12,NXT!$Q$78:$S$118,2,0)</f>
        <v>5</v>
      </c>
      <c r="D12" s="992">
        <f t="shared" si="3"/>
        <v>1000</v>
      </c>
      <c r="E12" s="992"/>
      <c r="F12" s="992">
        <f>VLOOKUP(B12,NXT!$Q$78:$S$118,3,0)</f>
        <v>28500</v>
      </c>
      <c r="G12" s="25">
        <f t="shared" si="0"/>
        <v>28500000</v>
      </c>
      <c r="H12" s="381">
        <f t="shared" si="4"/>
        <v>203546.56652593421</v>
      </c>
      <c r="I12" s="381">
        <f t="shared" si="4"/>
        <v>120821.15219727145</v>
      </c>
      <c r="J12" s="381">
        <f t="shared" si="4"/>
        <v>240106.65367876098</v>
      </c>
      <c r="K12" s="381">
        <f t="shared" si="4"/>
        <v>161360.2325884281</v>
      </c>
      <c r="L12" s="992">
        <f>$V$20/SUM($O$12:$O$15)*O12</f>
        <v>373904.20531063399</v>
      </c>
      <c r="M12" s="992"/>
      <c r="N12" s="25">
        <f t="shared" si="1"/>
        <v>29599738.810301028</v>
      </c>
      <c r="O12" s="381">
        <v>200</v>
      </c>
      <c r="P12" s="992">
        <f t="shared" si="2"/>
        <v>147998.69405150515</v>
      </c>
      <c r="Q12" s="1204"/>
      <c r="R12" s="641" t="s">
        <v>346</v>
      </c>
      <c r="S12" s="644">
        <v>42740</v>
      </c>
      <c r="T12" s="77">
        <v>200</v>
      </c>
      <c r="U12" s="843">
        <v>8000</v>
      </c>
      <c r="V12" s="25">
        <f t="shared" si="5"/>
        <v>1600000</v>
      </c>
      <c r="W12" s="995"/>
    </row>
    <row r="13" spans="1:23" ht="17.25" customHeight="1">
      <c r="A13" s="726">
        <v>9</v>
      </c>
      <c r="B13" s="996" t="s">
        <v>799</v>
      </c>
      <c r="C13" s="991">
        <f>VLOOKUP(B13,NXT!$Q$78:$S$118,2,0)</f>
        <v>6</v>
      </c>
      <c r="D13" s="992">
        <f t="shared" si="3"/>
        <v>963</v>
      </c>
      <c r="E13" s="992"/>
      <c r="F13" s="992">
        <f>VLOOKUP(B13,NXT!$Q$78:$S$118,3,0)</f>
        <v>35000</v>
      </c>
      <c r="G13" s="25">
        <f t="shared" si="0"/>
        <v>33705000</v>
      </c>
      <c r="H13" s="381">
        <f t="shared" si="4"/>
        <v>196015.34356447464</v>
      </c>
      <c r="I13" s="381">
        <f t="shared" si="4"/>
        <v>116350.76956597241</v>
      </c>
      <c r="J13" s="381">
        <f t="shared" si="4"/>
        <v>231222.70749264682</v>
      </c>
      <c r="K13" s="381">
        <f t="shared" si="4"/>
        <v>155389.90398265625</v>
      </c>
      <c r="L13" s="992">
        <f>$V$20/SUM($O$12:$O$15)*O13</f>
        <v>300058.12476178375</v>
      </c>
      <c r="M13" s="992"/>
      <c r="N13" s="25">
        <f t="shared" si="1"/>
        <v>34704036.849367529</v>
      </c>
      <c r="O13" s="375">
        <v>160.5</v>
      </c>
      <c r="P13" s="992">
        <f t="shared" si="2"/>
        <v>216224.5286564955</v>
      </c>
      <c r="Q13" s="1204"/>
      <c r="R13" s="641"/>
      <c r="S13" s="644"/>
      <c r="T13" s="77"/>
      <c r="U13" s="843"/>
      <c r="V13" s="25"/>
      <c r="W13" s="995"/>
    </row>
    <row r="14" spans="1:23" ht="17.25" customHeight="1">
      <c r="A14" s="726">
        <v>10</v>
      </c>
      <c r="B14" s="996" t="s">
        <v>800</v>
      </c>
      <c r="C14" s="991">
        <f>VLOOKUP(B14,NXT!$Q$78:$S$118,2,0)</f>
        <v>6</v>
      </c>
      <c r="D14" s="992">
        <f t="shared" si="3"/>
        <v>540</v>
      </c>
      <c r="E14" s="992"/>
      <c r="F14" s="992">
        <f>VLOOKUP(B14,NXT!$Q$78:$S$118,3,0)</f>
        <v>32000</v>
      </c>
      <c r="G14" s="25">
        <f t="shared" si="0"/>
        <v>17280000</v>
      </c>
      <c r="H14" s="381">
        <f t="shared" si="4"/>
        <v>109915.14592400446</v>
      </c>
      <c r="I14" s="381">
        <f t="shared" si="4"/>
        <v>65243.422186526586</v>
      </c>
      <c r="J14" s="381">
        <f t="shared" si="4"/>
        <v>129657.59298653093</v>
      </c>
      <c r="K14" s="381">
        <f t="shared" si="4"/>
        <v>87134.52559775117</v>
      </c>
      <c r="L14" s="992">
        <f>$V$20/SUM($O$12:$O$15)*O14</f>
        <v>168256.89238978529</v>
      </c>
      <c r="M14" s="992"/>
      <c r="N14" s="25">
        <f t="shared" si="1"/>
        <v>17840207.579084601</v>
      </c>
      <c r="O14" s="381">
        <v>90</v>
      </c>
      <c r="P14" s="992">
        <f t="shared" si="2"/>
        <v>198224.52865649556</v>
      </c>
      <c r="Q14" s="1204"/>
      <c r="R14" s="1550"/>
      <c r="S14" s="1550"/>
      <c r="T14" s="1550"/>
      <c r="U14" s="1183"/>
      <c r="V14" s="70">
        <f>SUM(V6:V13)</f>
        <v>44528394</v>
      </c>
      <c r="W14" s="70">
        <f>SUM(W6:W13)</f>
        <v>0</v>
      </c>
    </row>
    <row r="15" spans="1:23" ht="17.25" customHeight="1">
      <c r="A15" s="726">
        <v>11</v>
      </c>
      <c r="B15" s="996" t="s">
        <v>801</v>
      </c>
      <c r="C15" s="991">
        <f>VLOOKUP(B15,NXT!$Q$78:$S$118,2,0)</f>
        <v>6</v>
      </c>
      <c r="D15" s="992">
        <f t="shared" si="3"/>
        <v>2020</v>
      </c>
      <c r="E15" s="992"/>
      <c r="F15" s="992">
        <f>VLOOKUP(B15,NXT!$Q$78:$S$118,3,0)</f>
        <v>25000</v>
      </c>
      <c r="G15" s="25">
        <f t="shared" si="0"/>
        <v>50500000</v>
      </c>
      <c r="H15" s="381">
        <f t="shared" si="4"/>
        <v>411164.06438238709</v>
      </c>
      <c r="I15" s="381">
        <f t="shared" si="4"/>
        <v>244058.72743848833</v>
      </c>
      <c r="J15" s="381">
        <f t="shared" si="4"/>
        <v>485015.44043109717</v>
      </c>
      <c r="K15" s="381">
        <f t="shared" si="4"/>
        <v>325947.66982862476</v>
      </c>
      <c r="L15" s="992">
        <f>$V$20/SUM($O$12:$O$15)*O15</f>
        <v>629280.777537797</v>
      </c>
      <c r="M15" s="992"/>
      <c r="N15" s="25">
        <f t="shared" si="1"/>
        <v>52595466.679618396</v>
      </c>
      <c r="O15" s="375">
        <v>336.6</v>
      </c>
      <c r="P15" s="992">
        <f t="shared" si="2"/>
        <v>156255.10005828401</v>
      </c>
      <c r="Q15" s="1204"/>
      <c r="R15" s="432" t="s">
        <v>564</v>
      </c>
      <c r="S15" s="644">
        <v>42745</v>
      </c>
      <c r="T15" s="77">
        <f>2350*2</f>
        <v>4700</v>
      </c>
      <c r="U15" s="77">
        <v>14000</v>
      </c>
      <c r="V15" s="25">
        <f t="shared" ref="V15:V21" si="6">ROUND(T15*U15,0)</f>
        <v>65800000</v>
      </c>
      <c r="W15" s="8"/>
    </row>
    <row r="16" spans="1:23" ht="17.25" customHeight="1">
      <c r="A16" s="726" t="str">
        <f>IF(B16&lt;&gt;"",#REF!+1,"")</f>
        <v/>
      </c>
      <c r="B16" s="996"/>
      <c r="C16" s="991"/>
      <c r="D16" s="992"/>
      <c r="E16" s="992"/>
      <c r="F16" s="992"/>
      <c r="G16" s="25"/>
      <c r="H16" s="992"/>
      <c r="I16" s="992"/>
      <c r="J16" s="992"/>
      <c r="K16" s="992"/>
      <c r="L16" s="992"/>
      <c r="M16" s="992"/>
      <c r="N16" s="25"/>
      <c r="O16" s="381"/>
      <c r="P16" s="992" t="str">
        <f>IF(B16&lt;&gt;"",N16/O16,"")</f>
        <v/>
      </c>
      <c r="Q16" s="1204"/>
      <c r="R16" s="1010" t="s">
        <v>381</v>
      </c>
      <c r="S16" s="644">
        <v>42745</v>
      </c>
      <c r="T16" s="77">
        <f>660+651</f>
        <v>1311</v>
      </c>
      <c r="U16" s="843">
        <v>18200</v>
      </c>
      <c r="V16" s="25">
        <f t="shared" si="6"/>
        <v>23860200</v>
      </c>
      <c r="W16" s="8"/>
    </row>
    <row r="17" spans="1:23" ht="17.25" customHeight="1">
      <c r="A17" s="1003"/>
      <c r="B17" s="1004" t="s">
        <v>509</v>
      </c>
      <c r="C17" s="1005"/>
      <c r="D17" s="804">
        <f>SUM(D7:D16)</f>
        <v>368548</v>
      </c>
      <c r="E17" s="804">
        <f>SUM(E7:E16)</f>
        <v>0</v>
      </c>
      <c r="F17" s="804"/>
      <c r="G17" s="804">
        <f>SUM(G7:G16)</f>
        <v>6741930000</v>
      </c>
      <c r="H17" s="804">
        <v>75016680</v>
      </c>
      <c r="I17" s="804">
        <f>V14</f>
        <v>44528394</v>
      </c>
      <c r="J17" s="804">
        <f>78368100+10122727</f>
        <v>88490827</v>
      </c>
      <c r="K17" s="804">
        <v>59468991</v>
      </c>
      <c r="L17" s="804">
        <f>SUM(L7:L16)</f>
        <v>132057700</v>
      </c>
      <c r="M17" s="804">
        <f>SUM(M6:M16)</f>
        <v>263900000</v>
      </c>
      <c r="N17" s="804">
        <f>SUM(N6:N16)</f>
        <v>8856233592</v>
      </c>
      <c r="O17" s="804">
        <f>SUM(O6:O16)</f>
        <v>65247.1</v>
      </c>
      <c r="P17" s="804"/>
      <c r="Q17" s="1204"/>
      <c r="R17" s="1010" t="s">
        <v>381</v>
      </c>
      <c r="S17" s="644">
        <v>42745</v>
      </c>
      <c r="T17" s="77">
        <v>1076</v>
      </c>
      <c r="U17" s="77">
        <v>13500</v>
      </c>
      <c r="V17" s="25">
        <f t="shared" si="6"/>
        <v>14526000</v>
      </c>
      <c r="W17" s="8"/>
    </row>
    <row r="18" spans="1:23" ht="17.25" customHeight="1">
      <c r="A18" s="1006"/>
      <c r="B18" s="1007"/>
      <c r="C18" s="1008"/>
      <c r="D18" s="985"/>
      <c r="E18" s="985"/>
      <c r="F18" s="985"/>
      <c r="G18" s="985"/>
      <c r="H18" s="985"/>
      <c r="I18" s="985"/>
      <c r="J18" s="985"/>
      <c r="K18" s="985"/>
      <c r="L18" s="985"/>
      <c r="M18" s="985"/>
      <c r="N18" s="985"/>
      <c r="O18" s="985"/>
      <c r="P18" s="985"/>
      <c r="Q18" s="1204"/>
      <c r="R18" s="432" t="s">
        <v>780</v>
      </c>
      <c r="S18" s="644">
        <v>42745</v>
      </c>
      <c r="T18" s="77">
        <v>1200</v>
      </c>
      <c r="U18" s="77">
        <v>10300</v>
      </c>
      <c r="V18" s="25">
        <f t="shared" si="6"/>
        <v>12360000</v>
      </c>
      <c r="W18" s="8"/>
    </row>
    <row r="19" spans="1:23" ht="17.25" customHeight="1">
      <c r="A19" s="1006"/>
      <c r="B19" s="1007"/>
      <c r="C19" s="1008"/>
      <c r="D19" s="985"/>
      <c r="E19" s="985"/>
      <c r="F19" s="985"/>
      <c r="G19" s="985"/>
      <c r="H19" s="985"/>
      <c r="I19" s="985"/>
      <c r="J19" s="985"/>
      <c r="K19" s="985"/>
      <c r="L19" s="985"/>
      <c r="M19" s="985"/>
      <c r="N19" s="985"/>
      <c r="O19" s="985"/>
      <c r="P19" s="985"/>
      <c r="Q19" s="1205"/>
      <c r="R19" s="432" t="s">
        <v>781</v>
      </c>
      <c r="S19" s="644">
        <v>42745</v>
      </c>
      <c r="T19" s="843">
        <v>1040</v>
      </c>
      <c r="U19" s="843">
        <v>13500</v>
      </c>
      <c r="V19" s="25">
        <f t="shared" si="6"/>
        <v>14040000</v>
      </c>
      <c r="W19" s="8"/>
    </row>
    <row r="20" spans="1:23" ht="17.25" customHeight="1">
      <c r="A20" s="1006"/>
      <c r="B20" s="1007"/>
      <c r="C20" s="1008"/>
      <c r="D20" s="985"/>
      <c r="E20" s="985"/>
      <c r="F20" s="985"/>
      <c r="G20" s="1009"/>
      <c r="H20" s="985"/>
      <c r="I20" s="985"/>
      <c r="J20" s="985"/>
      <c r="K20" s="985"/>
      <c r="L20" s="985"/>
      <c r="M20" s="985"/>
      <c r="N20" s="985"/>
      <c r="O20" s="985"/>
      <c r="P20" s="985"/>
      <c r="Q20" s="1205"/>
      <c r="R20" s="432" t="s">
        <v>779</v>
      </c>
      <c r="S20" s="644">
        <v>42745</v>
      </c>
      <c r="T20" s="77">
        <v>109</v>
      </c>
      <c r="U20" s="77">
        <v>13500</v>
      </c>
      <c r="V20" s="25">
        <f t="shared" si="6"/>
        <v>1471500</v>
      </c>
      <c r="W20" s="8"/>
    </row>
    <row r="21" spans="1:23" ht="17.25" customHeight="1">
      <c r="A21" s="978"/>
      <c r="B21" s="978"/>
      <c r="C21" s="978"/>
      <c r="D21" s="978"/>
      <c r="E21" s="978"/>
      <c r="F21" s="978"/>
      <c r="G21" s="989"/>
      <c r="H21" s="989"/>
      <c r="I21" s="1011"/>
      <c r="J21" s="978"/>
      <c r="K21" s="978"/>
      <c r="L21" s="978"/>
      <c r="M21" s="978"/>
      <c r="N21" s="1012"/>
      <c r="O21" s="985"/>
      <c r="P21" s="978"/>
      <c r="Q21" s="1205"/>
      <c r="R21" s="1057"/>
      <c r="S21" s="644"/>
      <c r="T21" s="944"/>
      <c r="U21" s="945"/>
      <c r="V21" s="25">
        <f t="shared" si="6"/>
        <v>0</v>
      </c>
      <c r="W21" s="8"/>
    </row>
    <row r="22" spans="1:23" ht="17.25" customHeight="1">
      <c r="A22" s="980" t="s">
        <v>493</v>
      </c>
      <c r="B22" s="980"/>
      <c r="C22" s="981"/>
      <c r="D22" s="982"/>
      <c r="E22" s="982"/>
      <c r="F22" s="982"/>
      <c r="G22" s="423"/>
      <c r="H22" s="423"/>
      <c r="I22" s="423"/>
      <c r="J22" s="423"/>
      <c r="K22" s="423"/>
      <c r="L22" s="423"/>
      <c r="M22" s="423"/>
      <c r="N22" s="423"/>
      <c r="O22" s="887"/>
      <c r="P22" s="423"/>
      <c r="Q22" s="1205"/>
      <c r="R22" s="1013"/>
      <c r="S22" s="1014"/>
      <c r="T22" s="1015">
        <f>SUM(T15:T21)-T17</f>
        <v>8360</v>
      </c>
      <c r="U22" s="1015"/>
      <c r="V22" s="1015">
        <f>SUM(V15:V21)</f>
        <v>132057700</v>
      </c>
      <c r="W22" s="1016"/>
    </row>
    <row r="23" spans="1:23" ht="17.25" customHeight="1">
      <c r="A23" s="985" t="s">
        <v>2388</v>
      </c>
      <c r="B23" s="985"/>
      <c r="C23" s="985"/>
      <c r="D23" s="985"/>
      <c r="E23" s="985"/>
      <c r="F23" s="985"/>
      <c r="G23" s="985"/>
      <c r="H23" s="985"/>
      <c r="I23" s="985"/>
      <c r="J23" s="985"/>
      <c r="K23" s="985"/>
      <c r="L23" s="985"/>
      <c r="M23" s="985"/>
      <c r="N23" s="985"/>
      <c r="O23" s="985"/>
      <c r="P23" s="985"/>
      <c r="Q23" s="1205"/>
      <c r="R23" s="642"/>
      <c r="S23" s="1017"/>
      <c r="T23" s="1182"/>
      <c r="U23" s="1182"/>
      <c r="V23" s="1018"/>
      <c r="W23" s="978"/>
    </row>
    <row r="24" spans="1:23">
      <c r="A24" s="986"/>
      <c r="B24" s="986"/>
      <c r="C24" s="987"/>
      <c r="D24" s="986"/>
      <c r="E24" s="986"/>
      <c r="F24" s="986"/>
      <c r="G24" s="986"/>
      <c r="H24" s="986"/>
      <c r="I24" s="986"/>
      <c r="J24" s="986"/>
      <c r="K24" s="986"/>
      <c r="L24" s="986"/>
      <c r="M24" s="986"/>
      <c r="N24" s="986"/>
      <c r="O24" s="988"/>
      <c r="P24" s="986"/>
      <c r="Q24" s="1205"/>
      <c r="R24" s="423"/>
      <c r="S24" s="984"/>
      <c r="T24" s="423"/>
      <c r="U24" s="423"/>
      <c r="V24" s="978"/>
      <c r="W24" s="978"/>
    </row>
    <row r="25" spans="1:23" ht="28.5" customHeight="1">
      <c r="A25" s="635" t="s">
        <v>37</v>
      </c>
      <c r="B25" s="635" t="s">
        <v>494</v>
      </c>
      <c r="C25" s="636" t="s">
        <v>495</v>
      </c>
      <c r="D25" s="637" t="s">
        <v>496</v>
      </c>
      <c r="E25" s="637" t="s">
        <v>497</v>
      </c>
      <c r="F25" s="637" t="s">
        <v>498</v>
      </c>
      <c r="G25" s="637" t="s">
        <v>499</v>
      </c>
      <c r="H25" s="637" t="s">
        <v>500</v>
      </c>
      <c r="I25" s="637" t="s">
        <v>501</v>
      </c>
      <c r="J25" s="637" t="s">
        <v>502</v>
      </c>
      <c r="K25" s="638" t="s">
        <v>503</v>
      </c>
      <c r="L25" s="637" t="s">
        <v>504</v>
      </c>
      <c r="M25" s="638" t="s">
        <v>505</v>
      </c>
      <c r="N25" s="637" t="s">
        <v>506</v>
      </c>
      <c r="O25" s="639" t="s">
        <v>497</v>
      </c>
      <c r="P25" s="637" t="s">
        <v>507</v>
      </c>
      <c r="Q25" s="1205"/>
      <c r="R25" s="635" t="s">
        <v>494</v>
      </c>
      <c r="S25" s="637" t="s">
        <v>462</v>
      </c>
      <c r="T25" s="637" t="s">
        <v>325</v>
      </c>
      <c r="U25" s="637" t="s">
        <v>498</v>
      </c>
      <c r="V25" s="637" t="s">
        <v>508</v>
      </c>
      <c r="W25" s="635" t="s">
        <v>508</v>
      </c>
    </row>
    <row r="26" spans="1:23" ht="18" customHeight="1">
      <c r="A26" s="424">
        <v>1</v>
      </c>
      <c r="B26" s="429" t="s">
        <v>429</v>
      </c>
      <c r="C26" s="991">
        <f>VLOOKUP(B26,NXT!$Q$78:$S$118,2,0)</f>
        <v>3.2</v>
      </c>
      <c r="D26" s="375">
        <f>ROUND(C26*O26,0)</f>
        <v>312982</v>
      </c>
      <c r="E26" s="381"/>
      <c r="F26" s="992">
        <f>VLOOKUP(B26,NXT!$Q$78:$S$118,3,0)</f>
        <v>17500</v>
      </c>
      <c r="G26" s="8">
        <f>(D26+E26)*F26</f>
        <v>5477185000</v>
      </c>
      <c r="H26" s="381">
        <f>IF($D$29&lt;&gt;0,H$29/($D$29+$E$29/5)*($D26+$E26/5),0)</f>
        <v>74367674.821774319</v>
      </c>
      <c r="I26" s="381">
        <f>IF($D$29&lt;&gt;0,I$29/$D$29*$D26,0)</f>
        <v>3240000</v>
      </c>
      <c r="J26" s="381">
        <f>IF($D$29&lt;&gt;0,J$29/$D$29*$D26,0)</f>
        <v>35851500</v>
      </c>
      <c r="K26" s="381">
        <f>IF($D$29&lt;&gt;0,K$29/$D$29*$D26,0)</f>
        <v>59468991</v>
      </c>
      <c r="L26" s="381">
        <f>$V$38/$O$29*O26</f>
        <v>62760396.02947332</v>
      </c>
      <c r="M26" s="381"/>
      <c r="N26" s="8">
        <f>SUM(G26:L26)</f>
        <v>5712873561.8512478</v>
      </c>
      <c r="O26" s="381">
        <v>97807</v>
      </c>
      <c r="P26" s="381">
        <f>IF(O26&lt;&gt;"",N26/O26,"")</f>
        <v>58409.659450256608</v>
      </c>
      <c r="Q26" s="1206"/>
      <c r="R26" s="640" t="s">
        <v>327</v>
      </c>
      <c r="S26" s="1047"/>
      <c r="T26" s="1039"/>
      <c r="U26" s="1079"/>
      <c r="V26" s="1062">
        <f t="shared" ref="V26:V32" si="7">ROUND(T26*U26,0)</f>
        <v>0</v>
      </c>
      <c r="W26" s="994"/>
    </row>
    <row r="27" spans="1:23" ht="18" customHeight="1">
      <c r="A27" s="424">
        <v>2</v>
      </c>
      <c r="B27" s="429" t="s">
        <v>429</v>
      </c>
      <c r="C27" s="991">
        <f>VLOOKUP(B27,NXT!$Q$78:$S$118,2,0)</f>
        <v>3.2</v>
      </c>
      <c r="D27" s="381"/>
      <c r="E27" s="381">
        <v>52702</v>
      </c>
      <c r="F27" s="381">
        <v>58500</v>
      </c>
      <c r="G27" s="25">
        <f>(D27+E27)*F27</f>
        <v>3083067000</v>
      </c>
      <c r="H27" s="381">
        <f>IF($D$29&lt;&gt;0,H$29/($D$29+$E$29/5)*($D27+$E27/5),0)</f>
        <v>2504505.1782256807</v>
      </c>
      <c r="I27" s="381"/>
      <c r="J27" s="381"/>
      <c r="K27" s="381"/>
      <c r="L27" s="381">
        <f>$V$38/$O$29*O27</f>
        <v>33817603.97052668</v>
      </c>
      <c r="M27" s="381"/>
      <c r="N27" s="8">
        <f>SUM(G27:L27)</f>
        <v>3119389109.1487522</v>
      </c>
      <c r="O27" s="381">
        <v>52702</v>
      </c>
      <c r="P27" s="381">
        <f>IF(O27&lt;&gt;"",N27/O27,"")</f>
        <v>59189.197926999965</v>
      </c>
      <c r="Q27" s="1206"/>
      <c r="R27" s="641" t="s">
        <v>333</v>
      </c>
      <c r="S27" s="1047"/>
      <c r="T27" s="1039"/>
      <c r="U27" s="1039"/>
      <c r="V27" s="1062">
        <f t="shared" si="7"/>
        <v>0</v>
      </c>
      <c r="W27" s="995"/>
    </row>
    <row r="28" spans="1:23" ht="18" customHeight="1">
      <c r="A28" s="1202" t="str">
        <f>IF(B28&lt;&gt;"",#REF!+1,"")</f>
        <v/>
      </c>
      <c r="B28" s="1019"/>
      <c r="C28" s="1020"/>
      <c r="D28" s="1021"/>
      <c r="E28" s="1021"/>
      <c r="F28" s="1021"/>
      <c r="G28" s="1022"/>
      <c r="H28" s="1023"/>
      <c r="I28" s="1021"/>
      <c r="J28" s="438"/>
      <c r="K28" s="1021"/>
      <c r="L28" s="718"/>
      <c r="M28" s="1021"/>
      <c r="N28" s="1023"/>
      <c r="O28" s="1024"/>
      <c r="P28" s="1021"/>
      <c r="Q28" s="1204"/>
      <c r="R28" s="641" t="s">
        <v>336</v>
      </c>
      <c r="S28" s="1047"/>
      <c r="T28" s="1039"/>
      <c r="U28" s="1043"/>
      <c r="V28" s="1062">
        <f t="shared" si="7"/>
        <v>0</v>
      </c>
      <c r="W28" s="995"/>
    </row>
    <row r="29" spans="1:23" ht="18" customHeight="1">
      <c r="A29" s="1003"/>
      <c r="B29" s="1004" t="s">
        <v>509</v>
      </c>
      <c r="C29" s="1005"/>
      <c r="D29" s="804">
        <f>SUM(D26:D28)</f>
        <v>312982</v>
      </c>
      <c r="E29" s="804">
        <f>SUM(E26:E28)</f>
        <v>52702</v>
      </c>
      <c r="F29" s="804"/>
      <c r="G29" s="804">
        <f>SUM(G26:G28)</f>
        <v>8560252000</v>
      </c>
      <c r="H29" s="804">
        <v>76872180</v>
      </c>
      <c r="I29" s="804">
        <f>V34</f>
        <v>3240000</v>
      </c>
      <c r="J29" s="804">
        <v>35851500</v>
      </c>
      <c r="K29" s="804">
        <v>59468991</v>
      </c>
      <c r="L29" s="804">
        <f>SUM(L26:L28)</f>
        <v>96578000</v>
      </c>
      <c r="M29" s="804">
        <f>ROUND(SUM(M26:M28),0)</f>
        <v>0</v>
      </c>
      <c r="N29" s="804">
        <f>ROUND(SUM(N26:N28),0)</f>
        <v>8832262671</v>
      </c>
      <c r="O29" s="804">
        <f>ROUND(SUM(O26:O28),0)</f>
        <v>150509</v>
      </c>
      <c r="P29" s="804"/>
      <c r="Q29" s="1204"/>
      <c r="R29" s="641" t="s">
        <v>804</v>
      </c>
      <c r="S29" s="1047"/>
      <c r="T29" s="1039"/>
      <c r="U29" s="1039"/>
      <c r="V29" s="1062">
        <f t="shared" si="7"/>
        <v>0</v>
      </c>
      <c r="W29" s="1025"/>
    </row>
    <row r="30" spans="1:23" ht="18" customHeight="1">
      <c r="A30" s="1006"/>
      <c r="B30" s="1007"/>
      <c r="C30" s="1008"/>
      <c r="D30" s="985"/>
      <c r="E30" s="985"/>
      <c r="F30" s="985"/>
      <c r="G30" s="985"/>
      <c r="H30" s="985"/>
      <c r="I30" s="985"/>
      <c r="J30" s="985"/>
      <c r="K30" s="985"/>
      <c r="L30" s="985"/>
      <c r="M30" s="985"/>
      <c r="N30" s="985"/>
      <c r="O30" s="985"/>
      <c r="P30" s="985"/>
      <c r="Q30" s="1204"/>
      <c r="R30" s="641" t="s">
        <v>341</v>
      </c>
      <c r="S30" s="1047">
        <v>42767</v>
      </c>
      <c r="T30" s="77">
        <v>500</v>
      </c>
      <c r="U30" s="843">
        <v>3000</v>
      </c>
      <c r="V30" s="1062">
        <f t="shared" si="7"/>
        <v>1500000</v>
      </c>
      <c r="W30" s="1025"/>
    </row>
    <row r="31" spans="1:23" ht="18" customHeight="1">
      <c r="A31" s="1006"/>
      <c r="B31" s="1007"/>
      <c r="C31" s="1008"/>
      <c r="D31" s="985"/>
      <c r="E31" s="985"/>
      <c r="F31" s="985"/>
      <c r="G31" s="985"/>
      <c r="H31" s="985"/>
      <c r="I31" s="985"/>
      <c r="J31" s="985"/>
      <c r="K31" s="985"/>
      <c r="L31" s="985"/>
      <c r="M31" s="985"/>
      <c r="N31" s="985"/>
      <c r="O31" s="985"/>
      <c r="P31" s="985"/>
      <c r="Q31" s="1204"/>
      <c r="R31" s="641" t="s">
        <v>1257</v>
      </c>
      <c r="S31" s="1047"/>
      <c r="T31" s="1039"/>
      <c r="U31" s="1039"/>
      <c r="V31" s="1062">
        <f t="shared" si="7"/>
        <v>0</v>
      </c>
      <c r="W31" s="1025"/>
    </row>
    <row r="32" spans="1:23" ht="18" customHeight="1">
      <c r="A32" s="1006"/>
      <c r="B32" s="1007"/>
      <c r="C32" s="1008"/>
      <c r="D32" s="985"/>
      <c r="E32" s="985"/>
      <c r="F32" s="985"/>
      <c r="G32" s="985"/>
      <c r="H32" s="985"/>
      <c r="I32" s="985"/>
      <c r="J32" s="985"/>
      <c r="K32" s="985"/>
      <c r="L32" s="985"/>
      <c r="M32" s="985"/>
      <c r="N32" s="985"/>
      <c r="O32" s="985"/>
      <c r="P32" s="985"/>
      <c r="Q32" s="1204"/>
      <c r="R32" s="641" t="s">
        <v>346</v>
      </c>
      <c r="S32" s="1047">
        <v>42767</v>
      </c>
      <c r="T32" s="1039">
        <v>200</v>
      </c>
      <c r="U32" s="1048">
        <v>8700</v>
      </c>
      <c r="V32" s="1062">
        <f t="shared" si="7"/>
        <v>1740000</v>
      </c>
      <c r="W32" s="1025"/>
    </row>
    <row r="33" spans="1:23" ht="18" customHeight="1">
      <c r="A33" s="1006"/>
      <c r="B33" s="1007"/>
      <c r="C33" s="1008"/>
      <c r="D33" s="985"/>
      <c r="E33" s="985"/>
      <c r="F33" s="985"/>
      <c r="G33" s="985"/>
      <c r="H33" s="985"/>
      <c r="I33" s="985"/>
      <c r="J33" s="985"/>
      <c r="K33" s="985"/>
      <c r="L33" s="985"/>
      <c r="M33" s="985"/>
      <c r="N33" s="985"/>
      <c r="O33" s="985"/>
      <c r="P33" s="985"/>
      <c r="Q33" s="1205"/>
      <c r="R33" s="1080"/>
      <c r="S33" s="1047"/>
      <c r="T33" s="1081"/>
      <c r="U33" s="1039"/>
      <c r="V33" s="1081"/>
      <c r="W33" s="1025"/>
    </row>
    <row r="34" spans="1:23" ht="18" customHeight="1">
      <c r="A34" s="1006"/>
      <c r="B34" s="1007"/>
      <c r="C34" s="1008"/>
      <c r="D34" s="985"/>
      <c r="E34" s="985"/>
      <c r="F34" s="985"/>
      <c r="G34" s="985"/>
      <c r="H34" s="985"/>
      <c r="I34" s="985"/>
      <c r="J34" s="985"/>
      <c r="K34" s="985"/>
      <c r="L34" s="985"/>
      <c r="M34" s="985"/>
      <c r="N34" s="985"/>
      <c r="O34" s="985"/>
      <c r="P34" s="985"/>
      <c r="Q34" s="1205"/>
      <c r="R34" s="1066"/>
      <c r="S34" s="1067"/>
      <c r="T34" s="1068"/>
      <c r="U34" s="1069"/>
      <c r="V34" s="1070">
        <f>SUM(V26:V33)</f>
        <v>3240000</v>
      </c>
      <c r="W34" s="1070">
        <f>SUM(W26:W33)</f>
        <v>0</v>
      </c>
    </row>
    <row r="35" spans="1:23" ht="18" customHeight="1">
      <c r="A35" s="1006"/>
      <c r="B35" s="1007"/>
      <c r="C35" s="1008"/>
      <c r="D35" s="985"/>
      <c r="E35" s="985"/>
      <c r="F35" s="985"/>
      <c r="G35" s="985"/>
      <c r="H35" s="985"/>
      <c r="I35" s="985"/>
      <c r="J35" s="985"/>
      <c r="K35" s="985"/>
      <c r="L35" s="985"/>
      <c r="M35" s="985"/>
      <c r="N35" s="985"/>
      <c r="O35" s="985"/>
      <c r="P35" s="985"/>
      <c r="Q35" s="1205"/>
      <c r="R35" s="432" t="s">
        <v>795</v>
      </c>
      <c r="S35" s="1047">
        <v>42781</v>
      </c>
      <c r="T35" s="1043">
        <v>1835</v>
      </c>
      <c r="U35" s="1043">
        <v>7500</v>
      </c>
      <c r="V35" s="1062">
        <f>ROUND(T35*U35,0)</f>
        <v>13762500</v>
      </c>
      <c r="W35" s="994"/>
    </row>
    <row r="36" spans="1:23" ht="18" customHeight="1">
      <c r="A36" s="1006"/>
      <c r="B36" s="1007"/>
      <c r="C36" s="1008"/>
      <c r="D36" s="985"/>
      <c r="E36" s="985"/>
      <c r="F36" s="985"/>
      <c r="G36" s="985"/>
      <c r="H36" s="985"/>
      <c r="I36" s="985"/>
      <c r="J36" s="985"/>
      <c r="K36" s="985"/>
      <c r="L36" s="985"/>
      <c r="M36" s="985"/>
      <c r="N36" s="985"/>
      <c r="O36" s="985"/>
      <c r="P36" s="985"/>
      <c r="Q36" s="1205"/>
      <c r="R36" s="432" t="s">
        <v>795</v>
      </c>
      <c r="S36" s="1047">
        <v>42781</v>
      </c>
      <c r="T36" s="1043">
        <v>9743</v>
      </c>
      <c r="U36" s="1039">
        <v>8500</v>
      </c>
      <c r="V36" s="1062">
        <f t="shared" ref="V36" si="8">ROUND(T36*U36,0)</f>
        <v>82815500</v>
      </c>
      <c r="W36" s="994"/>
    </row>
    <row r="37" spans="1:23" ht="18" customHeight="1">
      <c r="A37" s="1006"/>
      <c r="B37" s="1007"/>
      <c r="C37" s="1008"/>
      <c r="D37" s="985"/>
      <c r="E37" s="985"/>
      <c r="F37" s="985"/>
      <c r="G37" s="985"/>
      <c r="H37" s="985"/>
      <c r="I37" s="985"/>
      <c r="J37" s="985"/>
      <c r="K37" s="985"/>
      <c r="L37" s="985"/>
      <c r="M37" s="985"/>
      <c r="N37" s="985"/>
      <c r="O37" s="985"/>
      <c r="P37" s="985"/>
      <c r="Q37" s="1205"/>
      <c r="R37" s="432"/>
      <c r="S37" s="1047"/>
      <c r="T37" s="1043"/>
      <c r="U37" s="1039"/>
      <c r="V37" s="1062"/>
      <c r="W37" s="994"/>
    </row>
    <row r="38" spans="1:23" ht="18" customHeight="1">
      <c r="A38" s="1006"/>
      <c r="B38" s="1007"/>
      <c r="C38" s="1008"/>
      <c r="D38" s="985"/>
      <c r="E38" s="985"/>
      <c r="F38" s="985"/>
      <c r="G38" s="985"/>
      <c r="H38" s="985"/>
      <c r="I38" s="985"/>
      <c r="J38" s="985"/>
      <c r="K38" s="985"/>
      <c r="L38" s="985"/>
      <c r="M38" s="985"/>
      <c r="N38" s="985"/>
      <c r="O38" s="985"/>
      <c r="P38" s="985"/>
      <c r="Q38" s="1205"/>
      <c r="R38" s="432"/>
      <c r="S38" s="1047"/>
      <c r="T38" s="1043">
        <f>SUM(T35:T37)</f>
        <v>11578</v>
      </c>
      <c r="U38" s="1043"/>
      <c r="V38" s="1043">
        <f>SUM(V35:V37)</f>
        <v>96578000</v>
      </c>
      <c r="W38" s="994"/>
    </row>
    <row r="39" spans="1:23" ht="17.25" customHeight="1">
      <c r="A39" s="980" t="s">
        <v>493</v>
      </c>
      <c r="B39" s="980"/>
      <c r="C39" s="1072"/>
      <c r="D39" s="1073"/>
      <c r="E39" s="1073"/>
      <c r="F39" s="1073"/>
      <c r="G39" s="756"/>
      <c r="H39" s="756"/>
      <c r="I39" s="756"/>
      <c r="J39" s="756"/>
      <c r="K39" s="756"/>
      <c r="L39" s="756"/>
      <c r="M39" s="756"/>
      <c r="N39" s="756"/>
      <c r="O39" s="1074"/>
      <c r="P39" s="756"/>
      <c r="Q39" s="1205"/>
      <c r="R39" s="983"/>
      <c r="S39" s="1030"/>
      <c r="T39" s="1182"/>
      <c r="U39" s="1182"/>
      <c r="V39" s="1182"/>
      <c r="W39" s="974"/>
    </row>
    <row r="40" spans="1:23" ht="17.25" customHeight="1">
      <c r="A40" s="1075" t="s">
        <v>2389</v>
      </c>
      <c r="B40" s="1075"/>
      <c r="C40" s="1075"/>
      <c r="D40" s="1075"/>
      <c r="E40" s="1075"/>
      <c r="F40" s="1075"/>
      <c r="G40" s="1075"/>
      <c r="H40" s="1075"/>
      <c r="I40" s="1075"/>
      <c r="J40" s="1075"/>
      <c r="K40" s="1075"/>
      <c r="L40" s="1075"/>
      <c r="M40" s="1075"/>
      <c r="N40" s="1075"/>
      <c r="O40" s="1075"/>
      <c r="P40" s="1075"/>
      <c r="Q40" s="1205"/>
      <c r="R40" s="642"/>
      <c r="S40" s="1017"/>
      <c r="T40" s="1182"/>
      <c r="U40" s="1182"/>
      <c r="V40" s="1018"/>
      <c r="W40" s="974"/>
    </row>
    <row r="41" spans="1:23">
      <c r="A41" s="1076"/>
      <c r="B41" s="1076"/>
      <c r="C41" s="1077"/>
      <c r="D41" s="1076"/>
      <c r="E41" s="1076"/>
      <c r="F41" s="1076"/>
      <c r="G41" s="1076"/>
      <c r="H41" s="1076"/>
      <c r="I41" s="1076"/>
      <c r="J41" s="1076"/>
      <c r="K41" s="1076"/>
      <c r="L41" s="1076"/>
      <c r="M41" s="1076"/>
      <c r="N41" s="1076"/>
      <c r="O41" s="1078"/>
      <c r="P41" s="1076"/>
      <c r="Q41" s="1206"/>
      <c r="R41" s="642"/>
      <c r="S41" s="1017"/>
      <c r="T41" s="1182"/>
      <c r="U41" s="1182"/>
      <c r="V41" s="1018"/>
      <c r="W41" s="989"/>
    </row>
    <row r="42" spans="1:23" ht="32.25" customHeight="1">
      <c r="A42" s="635" t="s">
        <v>37</v>
      </c>
      <c r="B42" s="635" t="s">
        <v>494</v>
      </c>
      <c r="C42" s="1059" t="s">
        <v>495</v>
      </c>
      <c r="D42" s="790" t="s">
        <v>496</v>
      </c>
      <c r="E42" s="790" t="s">
        <v>497</v>
      </c>
      <c r="F42" s="790" t="s">
        <v>498</v>
      </c>
      <c r="G42" s="790" t="s">
        <v>499</v>
      </c>
      <c r="H42" s="790" t="s">
        <v>500</v>
      </c>
      <c r="I42" s="790" t="s">
        <v>501</v>
      </c>
      <c r="J42" s="790" t="s">
        <v>502</v>
      </c>
      <c r="K42" s="1060" t="s">
        <v>503</v>
      </c>
      <c r="L42" s="790" t="s">
        <v>504</v>
      </c>
      <c r="M42" s="1060" t="s">
        <v>505</v>
      </c>
      <c r="N42" s="790" t="s">
        <v>506</v>
      </c>
      <c r="O42" s="1061" t="s">
        <v>497</v>
      </c>
      <c r="P42" s="790" t="s">
        <v>507</v>
      </c>
      <c r="Q42" s="1206"/>
      <c r="R42" s="635" t="s">
        <v>494</v>
      </c>
      <c r="S42" s="790" t="s">
        <v>462</v>
      </c>
      <c r="T42" s="790" t="s">
        <v>325</v>
      </c>
      <c r="U42" s="790" t="s">
        <v>498</v>
      </c>
      <c r="V42" s="790" t="s">
        <v>508</v>
      </c>
      <c r="W42" s="635" t="s">
        <v>508</v>
      </c>
    </row>
    <row r="43" spans="1:23" s="1201" customFormat="1" ht="16.5" customHeight="1">
      <c r="A43" s="726">
        <v>1</v>
      </c>
      <c r="B43" s="996" t="s">
        <v>429</v>
      </c>
      <c r="C43" s="991">
        <f>VLOOKUP(B43,NXT!$Q$78:$S$118,2,0)</f>
        <v>3.2</v>
      </c>
      <c r="D43" s="381">
        <f t="shared" ref="D43:D48" si="9">ROUND(C43*O43,0)</f>
        <v>324410</v>
      </c>
      <c r="E43" s="1198"/>
      <c r="F43" s="992">
        <v>18500</v>
      </c>
      <c r="G43" s="768">
        <f t="shared" ref="G43:G48" si="10">(D43+E43)*F43</f>
        <v>6001585000</v>
      </c>
      <c r="H43" s="1045"/>
      <c r="I43" s="1198"/>
      <c r="J43" s="1198"/>
      <c r="K43" s="1199"/>
      <c r="L43" s="1045">
        <f>$V$52/($O$43+$O$44)*O43</f>
        <v>66297317.80972115</v>
      </c>
      <c r="M43" s="1199">
        <v>1013780000</v>
      </c>
      <c r="N43" s="768">
        <f>SUM(G43:M43)</f>
        <v>7081662317.809721</v>
      </c>
      <c r="O43" s="1198">
        <v>101378</v>
      </c>
      <c r="P43" s="1045">
        <f t="shared" ref="P43:P48" si="11">IF(O43&lt;&gt;"",N43/O43,"")</f>
        <v>69854.034581563261</v>
      </c>
      <c r="Q43" s="1206"/>
      <c r="R43" s="641" t="s">
        <v>327</v>
      </c>
      <c r="S43" s="1047">
        <v>42796</v>
      </c>
      <c r="T43" s="1039">
        <v>150</v>
      </c>
      <c r="U43" s="1039">
        <v>32200</v>
      </c>
      <c r="V43" s="1062">
        <f t="shared" ref="V43:V49" si="12">ROUND(T43*U43,0)</f>
        <v>4830000</v>
      </c>
      <c r="W43" s="995"/>
    </row>
    <row r="44" spans="1:23" s="1201" customFormat="1" ht="16.5" customHeight="1">
      <c r="A44" s="726">
        <f>IF(B44&lt;&gt;"",A43+1,"")</f>
        <v>2</v>
      </c>
      <c r="B44" s="996" t="s">
        <v>429</v>
      </c>
      <c r="C44" s="991">
        <f>VLOOKUP(B44,NXT!$Q$78:$S$118,2,0)</f>
        <v>3.2</v>
      </c>
      <c r="D44" s="381">
        <f t="shared" si="9"/>
        <v>364365</v>
      </c>
      <c r="E44" s="1198"/>
      <c r="F44" s="992">
        <v>18500</v>
      </c>
      <c r="G44" s="768">
        <f t="shared" si="10"/>
        <v>6740752500</v>
      </c>
      <c r="H44" s="1045">
        <f>IF($D$50&lt;&gt;0,H$50/($D$50+$E$50/5)*($D44+$E44/5),0)</f>
        <v>78231600.345949143</v>
      </c>
      <c r="I44" s="1045">
        <f t="shared" ref="I44:K48" si="13">IF($D$50&lt;&gt;0,I$50/$D$50*$D44,0)</f>
        <v>39883404.212337375</v>
      </c>
      <c r="J44" s="1045">
        <f t="shared" si="13"/>
        <v>49040802.367570966</v>
      </c>
      <c r="K44" s="1045">
        <f t="shared" si="13"/>
        <v>53391530.912958309</v>
      </c>
      <c r="L44" s="1045">
        <f>$V$52/($O$43+$O$44)*O44</f>
        <v>74462682.190278858</v>
      </c>
      <c r="M44" s="1199"/>
      <c r="N44" s="768">
        <f t="shared" ref="N44:N48" si="14">SUM(G44:M44)</f>
        <v>7035762520.0290947</v>
      </c>
      <c r="O44" s="1198">
        <f>61084+52780</f>
        <v>113864</v>
      </c>
      <c r="P44" s="1045">
        <f t="shared" si="11"/>
        <v>61790.930584109941</v>
      </c>
      <c r="Q44" s="1206"/>
      <c r="R44" s="641" t="s">
        <v>333</v>
      </c>
      <c r="S44" s="1047">
        <v>42796</v>
      </c>
      <c r="T44" s="1039">
        <v>130</v>
      </c>
      <c r="U44" s="1039">
        <v>49027</v>
      </c>
      <c r="V44" s="1062">
        <f t="shared" si="12"/>
        <v>6373510</v>
      </c>
      <c r="W44" s="995"/>
    </row>
    <row r="45" spans="1:23" s="1201" customFormat="1" ht="16.5" customHeight="1">
      <c r="A45" s="726">
        <f>IF(B45&lt;&gt;"",A44+1,"")</f>
        <v>3</v>
      </c>
      <c r="B45" s="432" t="s">
        <v>1584</v>
      </c>
      <c r="C45" s="991">
        <f>VLOOKUP(B45,NXT!$Q$78:$S$118,2,0)</f>
        <v>11</v>
      </c>
      <c r="D45" s="381">
        <f t="shared" si="9"/>
        <v>31680</v>
      </c>
      <c r="E45" s="1045"/>
      <c r="F45" s="992">
        <v>16200</v>
      </c>
      <c r="G45" s="768">
        <f t="shared" si="10"/>
        <v>513216000</v>
      </c>
      <c r="H45" s="1045">
        <f>IF($D$50&lt;&gt;0,H$50/($D$50+$E$50/5)*($D45+$E45/5),0)</f>
        <v>6801907.6995860431</v>
      </c>
      <c r="I45" s="1045">
        <f t="shared" si="13"/>
        <v>3467693.7835600236</v>
      </c>
      <c r="J45" s="1045">
        <f t="shared" si="13"/>
        <v>4263890.9308101712</v>
      </c>
      <c r="K45" s="1045">
        <f t="shared" si="13"/>
        <v>4642168.428149024</v>
      </c>
      <c r="L45" s="1045">
        <f>V53</f>
        <v>5985000</v>
      </c>
      <c r="M45" s="1045"/>
      <c r="N45" s="768">
        <f t="shared" si="14"/>
        <v>538376660.84210527</v>
      </c>
      <c r="O45" s="1045">
        <v>2880</v>
      </c>
      <c r="P45" s="1045">
        <f t="shared" si="11"/>
        <v>186936.34057017544</v>
      </c>
      <c r="Q45" s="1204"/>
      <c r="R45" s="641" t="s">
        <v>336</v>
      </c>
      <c r="S45" s="1047">
        <v>42796</v>
      </c>
      <c r="T45" s="77">
        <v>420</v>
      </c>
      <c r="U45" s="843">
        <v>15836.734761904761</v>
      </c>
      <c r="V45" s="1062">
        <f t="shared" si="12"/>
        <v>6651429</v>
      </c>
      <c r="W45" s="995"/>
    </row>
    <row r="46" spans="1:23" s="1201" customFormat="1" ht="16.5" customHeight="1">
      <c r="A46" s="726">
        <f>IF(B46&lt;&gt;"",A45+1,"")</f>
        <v>4</v>
      </c>
      <c r="B46" s="429" t="s">
        <v>1406</v>
      </c>
      <c r="C46" s="991">
        <f>VLOOKUP(B46,NXT!$Q$78:$S$118,2,0)</f>
        <v>5</v>
      </c>
      <c r="D46" s="381">
        <f t="shared" si="9"/>
        <v>6555</v>
      </c>
      <c r="E46" s="1045"/>
      <c r="F46" s="992">
        <v>22100</v>
      </c>
      <c r="G46" s="768">
        <f t="shared" si="10"/>
        <v>144865500</v>
      </c>
      <c r="H46" s="1045">
        <f>IF($D$50&lt;&gt;0,H$50/($D$50+$E$50/5)*($D46+$E46/5),0)</f>
        <v>1407402.3033707864</v>
      </c>
      <c r="I46" s="1045">
        <f t="shared" si="13"/>
        <v>717510.50351123593</v>
      </c>
      <c r="J46" s="1045">
        <f t="shared" si="13"/>
        <v>882253.94733146066</v>
      </c>
      <c r="K46" s="1045">
        <f t="shared" si="13"/>
        <v>960524.43328651681</v>
      </c>
      <c r="L46" s="1045">
        <f>$V$54/SUM($O$46:$O$48)*O46</f>
        <v>1443431.3201496524</v>
      </c>
      <c r="M46" s="1045"/>
      <c r="N46" s="768">
        <f t="shared" si="14"/>
        <v>150276622.50764966</v>
      </c>
      <c r="O46" s="1045">
        <v>1311</v>
      </c>
      <c r="P46" s="1045">
        <f t="shared" si="11"/>
        <v>114627.47712253979</v>
      </c>
      <c r="Q46" s="1204"/>
      <c r="R46" s="641" t="s">
        <v>804</v>
      </c>
      <c r="S46" s="1047">
        <v>42796</v>
      </c>
      <c r="T46" s="77">
        <v>40</v>
      </c>
      <c r="U46" s="843">
        <v>53000</v>
      </c>
      <c r="V46" s="1062">
        <f t="shared" si="12"/>
        <v>2120000</v>
      </c>
      <c r="W46" s="995"/>
    </row>
    <row r="47" spans="1:23" s="1201" customFormat="1" ht="16.5" customHeight="1">
      <c r="A47" s="726">
        <f>IF(B47&lt;&gt;"",A46+1,"")</f>
        <v>5</v>
      </c>
      <c r="B47" s="429" t="s">
        <v>2387</v>
      </c>
      <c r="C47" s="991">
        <f>VLOOKUP(B47,NXT!$Q$78:$S$118,2,0)</f>
        <v>6</v>
      </c>
      <c r="D47" s="381">
        <f t="shared" si="9"/>
        <v>2640</v>
      </c>
      <c r="E47" s="1045"/>
      <c r="F47" s="992">
        <f>VLOOKUP(B47,NXT!$Q$78:$S$118,3,0)</f>
        <v>40000</v>
      </c>
      <c r="G47" s="768">
        <f t="shared" si="10"/>
        <v>105600000</v>
      </c>
      <c r="H47" s="1045">
        <f>IF($D$50&lt;&gt;0,H$50/($D$50+$E$50/5)*($D47+$E47/5),0)</f>
        <v>566825.6416321703</v>
      </c>
      <c r="I47" s="1045">
        <f t="shared" si="13"/>
        <v>288974.4819633353</v>
      </c>
      <c r="J47" s="1045">
        <f t="shared" si="13"/>
        <v>355324.24423418095</v>
      </c>
      <c r="K47" s="1045">
        <f t="shared" si="13"/>
        <v>386847.36901241867</v>
      </c>
      <c r="L47" s="1045">
        <f>$V$54/SUM($O$46:$O$48)*O47</f>
        <v>484446.81988241576</v>
      </c>
      <c r="M47" s="1045"/>
      <c r="N47" s="768">
        <f t="shared" si="14"/>
        <v>107682418.55672452</v>
      </c>
      <c r="O47" s="1045">
        <v>440</v>
      </c>
      <c r="P47" s="1045">
        <f t="shared" si="11"/>
        <v>244732.76944710119</v>
      </c>
      <c r="Q47" s="1204"/>
      <c r="R47" s="641" t="s">
        <v>341</v>
      </c>
      <c r="S47" s="1047">
        <v>42796</v>
      </c>
      <c r="T47" s="77">
        <v>500</v>
      </c>
      <c r="U47" s="843">
        <v>3000</v>
      </c>
      <c r="V47" s="1062">
        <f t="shared" si="12"/>
        <v>1500000</v>
      </c>
      <c r="W47" s="995"/>
    </row>
    <row r="48" spans="1:23" s="1201" customFormat="1" ht="16.5" customHeight="1">
      <c r="A48" s="726">
        <f>IF(B48&lt;&gt;"",A47+1,"")</f>
        <v>6</v>
      </c>
      <c r="B48" s="1055" t="s">
        <v>1621</v>
      </c>
      <c r="C48" s="991">
        <f>VLOOKUP(B48,NXT!$Q$78:$S$118,2,0)</f>
        <v>5</v>
      </c>
      <c r="D48" s="381">
        <f t="shared" si="9"/>
        <v>600</v>
      </c>
      <c r="E48" s="1045"/>
      <c r="F48" s="992">
        <f>VLOOKUP(B48,NXT!$Q$78:$S$118,3,0)</f>
        <v>28500</v>
      </c>
      <c r="G48" s="768">
        <f t="shared" si="10"/>
        <v>17100000</v>
      </c>
      <c r="H48" s="1045">
        <f>IF($D$50&lt;&gt;0,H$50/($D$50+$E$50/5)*($D48+$E48/5),0)</f>
        <v>128824.00946185688</v>
      </c>
      <c r="I48" s="1045">
        <f t="shared" si="13"/>
        <v>65676.018628030753</v>
      </c>
      <c r="J48" s="1045">
        <f t="shared" si="13"/>
        <v>80755.510053222941</v>
      </c>
      <c r="K48" s="1045">
        <f t="shared" si="13"/>
        <v>87919.856593731514</v>
      </c>
      <c r="L48" s="1045">
        <f>$V$54/SUM($O$46:$O$48)*O48</f>
        <v>132121.85996793158</v>
      </c>
      <c r="M48" s="1045"/>
      <c r="N48" s="768">
        <f t="shared" si="14"/>
        <v>17595297.254704773</v>
      </c>
      <c r="O48" s="1045">
        <v>120</v>
      </c>
      <c r="P48" s="1045">
        <f t="shared" si="11"/>
        <v>146627.47712253977</v>
      </c>
      <c r="Q48" s="1204"/>
      <c r="R48" s="641" t="s">
        <v>1257</v>
      </c>
      <c r="S48" s="1047">
        <v>42796</v>
      </c>
      <c r="T48" s="77">
        <v>1440</v>
      </c>
      <c r="U48" s="843">
        <v>14728</v>
      </c>
      <c r="V48" s="1062">
        <f t="shared" si="12"/>
        <v>21208320</v>
      </c>
      <c r="W48" s="995"/>
    </row>
    <row r="49" spans="1:23" s="1201" customFormat="1" ht="16.5" customHeight="1">
      <c r="A49" s="726" t="str">
        <f>IF(B49&lt;&gt;"",#REF!+1,"")</f>
        <v/>
      </c>
      <c r="B49" s="1031"/>
      <c r="C49" s="1040"/>
      <c r="D49" s="1041"/>
      <c r="E49" s="1041"/>
      <c r="F49" s="1041"/>
      <c r="G49" s="1062"/>
      <c r="H49" s="1041"/>
      <c r="I49" s="1041"/>
      <c r="J49" s="1041"/>
      <c r="K49" s="1041"/>
      <c r="L49" s="1041"/>
      <c r="M49" s="1041"/>
      <c r="N49" s="1062"/>
      <c r="O49" s="1045"/>
      <c r="P49" s="1041"/>
      <c r="Q49" s="1204"/>
      <c r="R49" s="641" t="s">
        <v>346</v>
      </c>
      <c r="S49" s="1047">
        <v>42796</v>
      </c>
      <c r="T49" s="1039">
        <v>200</v>
      </c>
      <c r="U49" s="1048">
        <v>8700</v>
      </c>
      <c r="V49" s="1062">
        <f t="shared" si="12"/>
        <v>1740000</v>
      </c>
      <c r="W49" s="995"/>
    </row>
    <row r="50" spans="1:23" s="1201" customFormat="1" ht="16.5" customHeight="1">
      <c r="A50" s="1004"/>
      <c r="B50" s="1004" t="s">
        <v>509</v>
      </c>
      <c r="C50" s="1063"/>
      <c r="D50" s="1046">
        <f>SUM(D44:D49)</f>
        <v>405840</v>
      </c>
      <c r="E50" s="1046">
        <f>SUM(E43:E49)</f>
        <v>0</v>
      </c>
      <c r="F50" s="1046"/>
      <c r="G50" s="1046">
        <f>SUM(G43:G49)</f>
        <v>13523119000</v>
      </c>
      <c r="H50" s="1046">
        <v>87136560</v>
      </c>
      <c r="I50" s="1046">
        <f>V51</f>
        <v>44423259</v>
      </c>
      <c r="J50" s="1046">
        <f>43700300+10922727</f>
        <v>54623027</v>
      </c>
      <c r="K50" s="1046">
        <v>59468991</v>
      </c>
      <c r="L50" s="1046">
        <f>ROUND(SUM(L43:L49),0)</f>
        <v>148805000</v>
      </c>
      <c r="M50" s="1046">
        <f>ROUND(SUM(M43:M49),0)</f>
        <v>1013780000</v>
      </c>
      <c r="N50" s="1046">
        <f>ROUND(SUM(N43:N49),0)</f>
        <v>14931355837</v>
      </c>
      <c r="O50" s="1046">
        <f>ROUND(SUM(O43:O49),0)</f>
        <v>219993</v>
      </c>
      <c r="P50" s="1046"/>
      <c r="Q50" s="1205"/>
      <c r="R50" s="1064"/>
      <c r="S50" s="1047"/>
      <c r="T50" s="1065"/>
      <c r="U50" s="1065"/>
      <c r="V50" s="1065"/>
      <c r="W50" s="1032"/>
    </row>
    <row r="51" spans="1:23" s="1201" customFormat="1" ht="16.5" customHeight="1">
      <c r="A51" s="1006"/>
      <c r="B51" s="1007"/>
      <c r="C51" s="1008"/>
      <c r="D51" s="985"/>
      <c r="E51" s="985"/>
      <c r="F51" s="985"/>
      <c r="G51" s="1009"/>
      <c r="H51" s="985"/>
      <c r="I51" s="985"/>
      <c r="J51" s="985"/>
      <c r="K51" s="985"/>
      <c r="L51" s="985"/>
      <c r="M51" s="985"/>
      <c r="N51" s="643"/>
      <c r="O51" s="985"/>
      <c r="P51" s="985"/>
      <c r="Q51" s="1205"/>
      <c r="R51" s="1066"/>
      <c r="S51" s="1067"/>
      <c r="T51" s="1068"/>
      <c r="U51" s="1069"/>
      <c r="V51" s="1070">
        <f>SUM(V43:V50)</f>
        <v>44423259</v>
      </c>
      <c r="W51" s="1070">
        <f>SUM(W43:W48)</f>
        <v>0</v>
      </c>
    </row>
    <row r="52" spans="1:23" s="1201" customFormat="1" ht="16.5" customHeight="1">
      <c r="A52" s="1006"/>
      <c r="B52" s="1007"/>
      <c r="C52" s="1008"/>
      <c r="D52" s="974"/>
      <c r="E52" s="1030"/>
      <c r="F52" s="974"/>
      <c r="G52" s="1197"/>
      <c r="H52" s="985"/>
      <c r="I52" s="985"/>
      <c r="J52" s="985"/>
      <c r="K52" s="985"/>
      <c r="L52" s="985"/>
      <c r="M52" s="985"/>
      <c r="N52" s="643"/>
      <c r="O52" s="1009"/>
      <c r="P52" s="985"/>
      <c r="Q52" s="1205"/>
      <c r="R52" s="432" t="s">
        <v>795</v>
      </c>
      <c r="S52" s="1047">
        <v>42809</v>
      </c>
      <c r="T52" s="1203">
        <v>16560</v>
      </c>
      <c r="U52" s="1039">
        <v>8500</v>
      </c>
      <c r="V52" s="1062">
        <f>ROUND(T52*U52,0)</f>
        <v>140760000</v>
      </c>
      <c r="W52" s="1062"/>
    </row>
    <row r="53" spans="1:23" s="1201" customFormat="1" ht="16.5" customHeight="1">
      <c r="A53" s="1006"/>
      <c r="B53" s="1007"/>
      <c r="C53" s="1030"/>
      <c r="D53" s="974"/>
      <c r="E53" s="1030"/>
      <c r="F53" s="974"/>
      <c r="G53" s="1197"/>
      <c r="H53" s="985"/>
      <c r="I53" s="985"/>
      <c r="J53" s="985"/>
      <c r="K53" s="985"/>
      <c r="L53" s="985"/>
      <c r="M53" s="985"/>
      <c r="N53" s="643"/>
      <c r="O53" s="985"/>
      <c r="P53" s="985"/>
      <c r="Q53" s="1205"/>
      <c r="R53" s="432" t="s">
        <v>373</v>
      </c>
      <c r="S53" s="1047">
        <v>42809</v>
      </c>
      <c r="T53" s="1043">
        <v>630</v>
      </c>
      <c r="U53" s="1043">
        <v>9500</v>
      </c>
      <c r="V53" s="1062">
        <f t="shared" ref="V53:V55" si="15">ROUND(T53*U53,0)</f>
        <v>5985000</v>
      </c>
      <c r="W53" s="768"/>
    </row>
    <row r="54" spans="1:23" s="1201" customFormat="1" ht="16.5" customHeight="1">
      <c r="A54" s="1006"/>
      <c r="B54" s="1007"/>
      <c r="C54" s="1030"/>
      <c r="D54" s="974"/>
      <c r="E54" s="1030"/>
      <c r="F54" s="974"/>
      <c r="G54" s="1197"/>
      <c r="H54" s="985"/>
      <c r="I54" s="1009"/>
      <c r="J54" s="985"/>
      <c r="K54" s="985"/>
      <c r="L54" s="985"/>
      <c r="M54" s="985"/>
      <c r="N54" s="643"/>
      <c r="O54" s="985"/>
      <c r="P54" s="985"/>
      <c r="Q54" s="1205"/>
      <c r="R54" s="432" t="s">
        <v>780</v>
      </c>
      <c r="S54" s="1047">
        <v>42809</v>
      </c>
      <c r="T54" s="77">
        <v>200</v>
      </c>
      <c r="U54" s="77">
        <v>10300</v>
      </c>
      <c r="V54" s="1062">
        <f t="shared" si="15"/>
        <v>2060000</v>
      </c>
      <c r="W54" s="768"/>
    </row>
    <row r="55" spans="1:23" ht="16.5" customHeight="1">
      <c r="A55" s="989"/>
      <c r="B55" s="1196"/>
      <c r="C55" s="1030"/>
      <c r="D55" s="1197"/>
      <c r="E55" s="1197"/>
      <c r="F55" s="1197"/>
      <c r="G55" s="1197"/>
      <c r="H55" s="974"/>
      <c r="I55" s="974"/>
      <c r="J55" s="974"/>
      <c r="K55" s="974"/>
      <c r="L55" s="974"/>
      <c r="M55" s="974"/>
      <c r="N55" s="643"/>
      <c r="O55" s="974"/>
      <c r="P55" s="974"/>
      <c r="Q55" s="1205"/>
      <c r="R55" s="1048"/>
      <c r="S55" s="1047"/>
      <c r="T55" s="1039"/>
      <c r="U55" s="1039"/>
      <c r="V55" s="1062">
        <f t="shared" si="15"/>
        <v>0</v>
      </c>
      <c r="W55" s="768"/>
    </row>
    <row r="56" spans="1:23" ht="16.5" customHeight="1">
      <c r="A56" s="989"/>
      <c r="B56" s="1196"/>
      <c r="C56" s="1030"/>
      <c r="D56" s="1197"/>
      <c r="E56" s="1197"/>
      <c r="F56" s="1197"/>
      <c r="G56" s="1197"/>
      <c r="H56" s="974"/>
      <c r="I56" s="974"/>
      <c r="J56" s="974"/>
      <c r="K56" s="974"/>
      <c r="L56" s="974"/>
      <c r="M56" s="974"/>
      <c r="N56" s="643"/>
      <c r="O56" s="974"/>
      <c r="P56" s="974"/>
      <c r="Q56" s="1205"/>
      <c r="R56" s="1071"/>
      <c r="S56" s="1047"/>
      <c r="T56" s="1043">
        <f>SUM(T52:T55)</f>
        <v>17390</v>
      </c>
      <c r="U56" s="1043"/>
      <c r="V56" s="1043">
        <f>SUM(V52:V55)</f>
        <v>148805000</v>
      </c>
      <c r="W56" s="768"/>
    </row>
    <row r="57" spans="1:23" ht="16.5" customHeight="1">
      <c r="A57" s="980" t="s">
        <v>493</v>
      </c>
      <c r="B57" s="980"/>
      <c r="C57" s="981"/>
      <c r="D57" s="982"/>
      <c r="E57" s="982"/>
      <c r="F57" s="982"/>
      <c r="G57" s="423"/>
      <c r="H57" s="423"/>
      <c r="I57" s="423"/>
      <c r="J57" s="423"/>
      <c r="K57" s="423"/>
      <c r="L57" s="423"/>
      <c r="M57" s="423"/>
      <c r="N57" s="423"/>
      <c r="O57" s="887"/>
      <c r="P57" s="423"/>
      <c r="Q57" s="1205"/>
      <c r="R57" s="423"/>
      <c r="S57" s="984"/>
      <c r="T57" s="423"/>
      <c r="U57" s="423"/>
      <c r="V57" s="978"/>
      <c r="W57" s="974"/>
    </row>
    <row r="58" spans="1:23" ht="18.75" customHeight="1">
      <c r="A58" s="985" t="s">
        <v>2390</v>
      </c>
      <c r="B58" s="985"/>
      <c r="C58" s="985"/>
      <c r="D58" s="985"/>
      <c r="E58" s="985"/>
      <c r="F58" s="985"/>
      <c r="G58" s="985"/>
      <c r="H58" s="985"/>
      <c r="I58" s="985"/>
      <c r="J58" s="985"/>
      <c r="K58" s="985"/>
      <c r="L58" s="985"/>
      <c r="M58" s="985"/>
      <c r="N58" s="985"/>
      <c r="O58" s="985"/>
      <c r="P58" s="985"/>
      <c r="Q58" s="1205"/>
      <c r="R58" s="423"/>
      <c r="S58" s="984"/>
      <c r="T58" s="423"/>
      <c r="U58" s="423"/>
      <c r="V58" s="978"/>
      <c r="W58" s="978"/>
    </row>
    <row r="59" spans="1:23" ht="8.25" customHeight="1">
      <c r="A59" s="986"/>
      <c r="B59" s="986"/>
      <c r="C59" s="987"/>
      <c r="D59" s="986"/>
      <c r="E59" s="986"/>
      <c r="F59" s="986"/>
      <c r="G59" s="986"/>
      <c r="H59" s="986"/>
      <c r="I59" s="986"/>
      <c r="J59" s="986"/>
      <c r="K59" s="986"/>
      <c r="L59" s="986"/>
      <c r="M59" s="986"/>
      <c r="N59" s="986"/>
      <c r="O59" s="988"/>
      <c r="P59" s="986"/>
      <c r="Q59" s="1205"/>
      <c r="R59" s="423"/>
      <c r="S59" s="984"/>
      <c r="T59" s="423"/>
      <c r="U59" s="423"/>
      <c r="V59" s="978"/>
      <c r="W59" s="978"/>
    </row>
    <row r="60" spans="1:23" ht="36.75" customHeight="1">
      <c r="A60" s="635" t="s">
        <v>37</v>
      </c>
      <c r="B60" s="635" t="s">
        <v>494</v>
      </c>
      <c r="C60" s="636" t="s">
        <v>495</v>
      </c>
      <c r="D60" s="637" t="s">
        <v>496</v>
      </c>
      <c r="E60" s="637" t="s">
        <v>497</v>
      </c>
      <c r="F60" s="637" t="s">
        <v>498</v>
      </c>
      <c r="G60" s="637" t="s">
        <v>499</v>
      </c>
      <c r="H60" s="637" t="s">
        <v>500</v>
      </c>
      <c r="I60" s="637" t="s">
        <v>501</v>
      </c>
      <c r="J60" s="637" t="s">
        <v>502</v>
      </c>
      <c r="K60" s="638" t="s">
        <v>503</v>
      </c>
      <c r="L60" s="637" t="s">
        <v>504</v>
      </c>
      <c r="M60" s="638" t="s">
        <v>505</v>
      </c>
      <c r="N60" s="637" t="s">
        <v>506</v>
      </c>
      <c r="O60" s="639" t="s">
        <v>497</v>
      </c>
      <c r="P60" s="637" t="s">
        <v>507</v>
      </c>
      <c r="Q60" s="1205"/>
      <c r="R60" s="635" t="s">
        <v>494</v>
      </c>
      <c r="S60" s="637" t="s">
        <v>462</v>
      </c>
      <c r="T60" s="637" t="s">
        <v>325</v>
      </c>
      <c r="U60" s="637" t="s">
        <v>498</v>
      </c>
      <c r="V60" s="637" t="s">
        <v>508</v>
      </c>
      <c r="W60" s="635" t="s">
        <v>508</v>
      </c>
    </row>
    <row r="61" spans="1:23" ht="17.25" customHeight="1">
      <c r="A61" s="424">
        <v>1</v>
      </c>
      <c r="B61" s="1031" t="s">
        <v>429</v>
      </c>
      <c r="C61" s="991">
        <f>VLOOKUP(B61,NXT!$Q$78:$S$118,2,0)</f>
        <v>3.2</v>
      </c>
      <c r="D61" s="375">
        <f>ROUND(C61*O61,0)</f>
        <v>337792</v>
      </c>
      <c r="E61" s="381"/>
      <c r="F61" s="992">
        <v>18000</v>
      </c>
      <c r="G61" s="768">
        <f>(D61+E61)*F61</f>
        <v>6080256000</v>
      </c>
      <c r="H61" s="381"/>
      <c r="I61" s="381"/>
      <c r="J61" s="381"/>
      <c r="K61" s="381"/>
      <c r="L61" s="381">
        <f>$V$70/SUM($O$61:$O$63)*O61</f>
        <v>69020000</v>
      </c>
      <c r="M61" s="381">
        <f>1055600000</f>
        <v>1055600000</v>
      </c>
      <c r="N61" s="8">
        <f>ROUND(SUM(G61:M61),0)</f>
        <v>7204876000</v>
      </c>
      <c r="O61" s="381">
        <f>105560</f>
        <v>105560</v>
      </c>
      <c r="P61" s="381">
        <f>IF(O61&lt;&gt;"",N61/O61,"")</f>
        <v>68253.846153846156</v>
      </c>
      <c r="Q61" s="1205"/>
      <c r="R61" s="641" t="s">
        <v>327</v>
      </c>
      <c r="S61" s="1033">
        <v>42826</v>
      </c>
      <c r="T61" s="77">
        <v>150</v>
      </c>
      <c r="U61" s="1039">
        <v>32200</v>
      </c>
      <c r="V61" s="25">
        <f t="shared" ref="V61:V67" si="16">ROUND(T61*U61,0)</f>
        <v>4830000</v>
      </c>
      <c r="W61" s="25"/>
    </row>
    <row r="62" spans="1:23" ht="17.25" customHeight="1">
      <c r="A62" s="424">
        <v>2</v>
      </c>
      <c r="B62" s="1031" t="s">
        <v>429</v>
      </c>
      <c r="C62" s="991">
        <f>VLOOKUP(B62,NXT!$Q$78:$S$118,2,0)</f>
        <v>3.2</v>
      </c>
      <c r="D62" s="375"/>
      <c r="E62" s="381">
        <v>266119</v>
      </c>
      <c r="F62" s="992">
        <f>G62/E62</f>
        <v>62440.976405292371</v>
      </c>
      <c r="G62" s="768">
        <v>16616730200</v>
      </c>
      <c r="H62" s="381">
        <f>IF($D$68&lt;&gt;0,H$68/($D$68+$E$68/5)*($D62+$E62/5),0)</f>
        <v>7879589.6501794551</v>
      </c>
      <c r="I62" s="381">
        <f t="shared" ref="I62:K66" si="17">IF($D$68&lt;&gt;0,I$68/$D$68*$D62,0)</f>
        <v>0</v>
      </c>
      <c r="J62" s="381">
        <f t="shared" si="17"/>
        <v>0</v>
      </c>
      <c r="K62" s="381">
        <f t="shared" si="17"/>
        <v>0</v>
      </c>
      <c r="L62" s="381">
        <f t="shared" ref="L62:L63" si="18">$V$70/SUM($O$61:$O$63)*O62</f>
        <v>174000884.61538461</v>
      </c>
      <c r="M62" s="381"/>
      <c r="N62" s="8">
        <f t="shared" ref="N62:N66" si="19">ROUND(SUM(G62:M62),0)</f>
        <v>16798610674</v>
      </c>
      <c r="O62" s="381">
        <f>E62</f>
        <v>266119</v>
      </c>
      <c r="P62" s="381">
        <f>IF(O62&lt;&gt;"",N62/O62,"")</f>
        <v>63124.431829369569</v>
      </c>
      <c r="Q62" s="1205"/>
      <c r="R62" s="641" t="s">
        <v>333</v>
      </c>
      <c r="S62" s="1033">
        <v>42826</v>
      </c>
      <c r="T62" s="77">
        <v>135</v>
      </c>
      <c r="U62" s="1039">
        <v>49027</v>
      </c>
      <c r="V62" s="25">
        <f t="shared" si="16"/>
        <v>6618645</v>
      </c>
      <c r="W62" s="8"/>
    </row>
    <row r="63" spans="1:23" ht="17.25" customHeight="1">
      <c r="A63" s="424">
        <v>3</v>
      </c>
      <c r="B63" s="1031" t="s">
        <v>429</v>
      </c>
      <c r="C63" s="991">
        <f>VLOOKUP(B63,NXT!$Q$78:$S$118,2,0)</f>
        <v>3.2</v>
      </c>
      <c r="D63" s="375">
        <f>ROUND(C63*O63,0)</f>
        <v>246243</v>
      </c>
      <c r="E63" s="381"/>
      <c r="F63" s="992">
        <v>18500</v>
      </c>
      <c r="G63" s="768">
        <f t="shared" ref="G63:G65" si="20">(D63+E63)*F63</f>
        <v>4555495500</v>
      </c>
      <c r="H63" s="381">
        <f>IF($D$68&lt;&gt;0,H$68/($D$68+$E$68/5)*($D63+$E63/5),0)</f>
        <v>36455378.876163289</v>
      </c>
      <c r="I63" s="381">
        <f t="shared" si="17"/>
        <v>20434091.463472914</v>
      </c>
      <c r="J63" s="381">
        <f t="shared" si="17"/>
        <v>38537072.184702501</v>
      </c>
      <c r="K63" s="381">
        <f t="shared" si="17"/>
        <v>27294797.729779348</v>
      </c>
      <c r="L63" s="381">
        <f t="shared" si="18"/>
        <v>50314115.384615384</v>
      </c>
      <c r="M63" s="381"/>
      <c r="N63" s="8">
        <f t="shared" si="19"/>
        <v>4728530956</v>
      </c>
      <c r="O63" s="381">
        <v>76951</v>
      </c>
      <c r="P63" s="381">
        <f>IF(O63&lt;&gt;"",N63/O63,"")</f>
        <v>61448.596587438762</v>
      </c>
      <c r="Q63" s="1205"/>
      <c r="R63" s="641" t="s">
        <v>336</v>
      </c>
      <c r="S63" s="1033">
        <v>42826</v>
      </c>
      <c r="T63" s="77">
        <v>420</v>
      </c>
      <c r="U63" s="843">
        <v>15836.734761904761</v>
      </c>
      <c r="V63" s="25">
        <f t="shared" si="16"/>
        <v>6651429</v>
      </c>
      <c r="W63" s="8"/>
    </row>
    <row r="64" spans="1:23" ht="17.25" customHeight="1">
      <c r="A64" s="424">
        <v>4</v>
      </c>
      <c r="B64" s="1031" t="s">
        <v>2949</v>
      </c>
      <c r="C64" s="991">
        <f>VLOOKUP(B64,NXT!$Q$78:$S$118,2,0)</f>
        <v>2.5</v>
      </c>
      <c r="D64" s="375">
        <f>ROUND(C64*O64,0)</f>
        <v>132720</v>
      </c>
      <c r="E64" s="381"/>
      <c r="F64" s="992">
        <f>VLOOKUP(B64,NXT!$Q$78:$S$118,3,0)</f>
        <v>16500</v>
      </c>
      <c r="G64" s="768">
        <f t="shared" si="20"/>
        <v>2189880000</v>
      </c>
      <c r="H64" s="381">
        <f>IF($D$68&lt;&gt;0,H$68/($D$68+$E$68/5)*($D64+$E64/5),0)</f>
        <v>19648712.387537479</v>
      </c>
      <c r="I64" s="381">
        <f t="shared" si="17"/>
        <v>11013562.290226018</v>
      </c>
      <c r="J64" s="381">
        <f t="shared" si="17"/>
        <v>20770703.006191913</v>
      </c>
      <c r="K64" s="381">
        <f t="shared" si="17"/>
        <v>14711344.300939783</v>
      </c>
      <c r="L64" s="381">
        <f t="shared" ref="L64:L66" si="21">V71</f>
        <v>35246100</v>
      </c>
      <c r="M64" s="381"/>
      <c r="N64" s="8">
        <f t="shared" si="19"/>
        <v>2291270422</v>
      </c>
      <c r="O64" s="381">
        <v>53088</v>
      </c>
      <c r="P64" s="381">
        <f t="shared" ref="P64" si="22">IF(O64&lt;&gt;"",N64/O64,"")</f>
        <v>43159.855748945149</v>
      </c>
      <c r="Q64" s="1205"/>
      <c r="R64" s="641" t="s">
        <v>804</v>
      </c>
      <c r="S64" s="1033">
        <v>42826</v>
      </c>
      <c r="T64" s="77">
        <v>40</v>
      </c>
      <c r="U64" s="843">
        <v>53000</v>
      </c>
      <c r="V64" s="25">
        <f t="shared" si="16"/>
        <v>2120000</v>
      </c>
      <c r="W64" s="8"/>
    </row>
    <row r="65" spans="1:23" ht="17.25" customHeight="1">
      <c r="A65" s="424">
        <v>5</v>
      </c>
      <c r="B65" s="1031" t="s">
        <v>1588</v>
      </c>
      <c r="C65" s="991">
        <f>VLOOKUP(B65,NXT!$Q$78:$S$118,2,0)</f>
        <v>11.5</v>
      </c>
      <c r="D65" s="375">
        <f>ROUND(C65*O65,0)</f>
        <v>138000</v>
      </c>
      <c r="E65" s="381"/>
      <c r="F65" s="992">
        <f>VLOOKUP(B65,NXT!$Q$78:$S$118,3,0)</f>
        <v>18200</v>
      </c>
      <c r="G65" s="768">
        <f t="shared" si="20"/>
        <v>2511600000</v>
      </c>
      <c r="H65" s="381">
        <f>IF($D$68&lt;&gt;0,H$68/($D$68+$E$68/5)*($D65+$E65/5),0)</f>
        <v>20430397.147982009</v>
      </c>
      <c r="I65" s="381">
        <f t="shared" si="17"/>
        <v>11451714.858734105</v>
      </c>
      <c r="J65" s="381">
        <f t="shared" si="17"/>
        <v>21597023.921447288</v>
      </c>
      <c r="K65" s="381">
        <f t="shared" si="17"/>
        <v>15296605.737866864</v>
      </c>
      <c r="L65" s="381">
        <f t="shared" si="21"/>
        <v>17918000</v>
      </c>
      <c r="M65" s="381"/>
      <c r="N65" s="8">
        <f t="shared" si="19"/>
        <v>2598293742</v>
      </c>
      <c r="O65" s="381">
        <v>12000</v>
      </c>
      <c r="P65" s="381">
        <f t="shared" ref="P65:P66" si="23">IF(O65&lt;&gt;"",N65/O65,"")</f>
        <v>216524.4785</v>
      </c>
      <c r="Q65" s="1206"/>
      <c r="R65" s="641" t="s">
        <v>341</v>
      </c>
      <c r="S65" s="1033">
        <v>42826</v>
      </c>
      <c r="T65" s="77">
        <v>500</v>
      </c>
      <c r="U65" s="843">
        <v>3000</v>
      </c>
      <c r="V65" s="25">
        <f t="shared" si="16"/>
        <v>1500000</v>
      </c>
      <c r="W65" s="8"/>
    </row>
    <row r="66" spans="1:23" ht="17.25" customHeight="1">
      <c r="A66" s="424">
        <v>6</v>
      </c>
      <c r="B66" s="1031" t="s">
        <v>1406</v>
      </c>
      <c r="C66" s="991">
        <f>VLOOKUP(B66,NXT!$Q$78:$S$118,2,0)</f>
        <v>5</v>
      </c>
      <c r="D66" s="375">
        <f>ROUND(C66*O66,0)</f>
        <v>19543</v>
      </c>
      <c r="E66" s="381"/>
      <c r="F66" s="992">
        <f>VLOOKUP(B66,NXT!$Q$78:$S$118,3,0)</f>
        <v>23000</v>
      </c>
      <c r="G66" s="768">
        <f>(D66+E66)*F66</f>
        <v>449489000</v>
      </c>
      <c r="H66" s="381">
        <f>IF($D$68&lt;&gt;0,H$68/($D$68+$E$68/5)*($D66+$E66/5),0)</f>
        <v>2893269.9381377711</v>
      </c>
      <c r="I66" s="381">
        <f t="shared" si="17"/>
        <v>1621745.3875669611</v>
      </c>
      <c r="J66" s="381">
        <f t="shared" si="17"/>
        <v>3058482.8876582924</v>
      </c>
      <c r="K66" s="381">
        <f t="shared" si="17"/>
        <v>2166243.231414001</v>
      </c>
      <c r="L66" s="381">
        <f t="shared" si="21"/>
        <v>4150900</v>
      </c>
      <c r="M66" s="381"/>
      <c r="N66" s="8">
        <f t="shared" si="19"/>
        <v>463379641</v>
      </c>
      <c r="O66" s="381">
        <v>3908.6</v>
      </c>
      <c r="P66" s="381">
        <f t="shared" si="23"/>
        <v>118553.86609016017</v>
      </c>
      <c r="Q66" s="1204"/>
      <c r="R66" s="641" t="s">
        <v>1257</v>
      </c>
      <c r="S66" s="1033">
        <v>42826</v>
      </c>
      <c r="T66" s="77">
        <v>1430</v>
      </c>
      <c r="U66" s="843">
        <v>14728</v>
      </c>
      <c r="V66" s="25">
        <f t="shared" si="16"/>
        <v>21061040</v>
      </c>
      <c r="W66" s="8"/>
    </row>
    <row r="67" spans="1:23" ht="17.25" customHeight="1">
      <c r="A67" s="424"/>
      <c r="B67" s="1031"/>
      <c r="C67" s="991"/>
      <c r="D67" s="375"/>
      <c r="E67" s="381"/>
      <c r="F67" s="992"/>
      <c r="G67" s="768"/>
      <c r="H67" s="381"/>
      <c r="I67" s="381"/>
      <c r="J67" s="381"/>
      <c r="K67" s="381"/>
      <c r="L67" s="381"/>
      <c r="M67" s="381"/>
      <c r="N67" s="8"/>
      <c r="O67" s="381"/>
      <c r="P67" s="381"/>
      <c r="Q67" s="1204"/>
      <c r="R67" s="641" t="s">
        <v>346</v>
      </c>
      <c r="S67" s="1033">
        <v>42826</v>
      </c>
      <c r="T67" s="1039">
        <v>200</v>
      </c>
      <c r="U67" s="1048">
        <v>8700</v>
      </c>
      <c r="V67" s="25">
        <f t="shared" si="16"/>
        <v>1740000</v>
      </c>
      <c r="W67" s="8"/>
    </row>
    <row r="68" spans="1:23" ht="17.25" customHeight="1">
      <c r="A68" s="1003"/>
      <c r="B68" s="1004" t="s">
        <v>509</v>
      </c>
      <c r="C68" s="1005"/>
      <c r="D68" s="804">
        <f>SUM(D62:D67)</f>
        <v>536506</v>
      </c>
      <c r="E68" s="804">
        <f>SUM(E62:E67)</f>
        <v>266119</v>
      </c>
      <c r="F68" s="804"/>
      <c r="G68" s="804">
        <f>SUM(G61:G67)</f>
        <v>32403450700</v>
      </c>
      <c r="H68" s="804">
        <v>87307348</v>
      </c>
      <c r="I68" s="804">
        <f>V69</f>
        <v>44521114</v>
      </c>
      <c r="J68" s="804">
        <f>73895100+10068182</f>
        <v>83963282</v>
      </c>
      <c r="K68" s="804">
        <v>59468991</v>
      </c>
      <c r="L68" s="804">
        <f>ROUND(SUM(L61:L67),0)</f>
        <v>350650000</v>
      </c>
      <c r="M68" s="804">
        <f>ROUND(SUM(M61:M67),0)</f>
        <v>1055600000</v>
      </c>
      <c r="N68" s="804">
        <f>ROUND(SUM(N61:N67),0)</f>
        <v>34084961435</v>
      </c>
      <c r="O68" s="804">
        <f>ROUND(SUM(O61:O67),0)</f>
        <v>517627</v>
      </c>
      <c r="P68" s="804"/>
      <c r="Q68" s="1204"/>
      <c r="R68" s="641"/>
      <c r="S68" s="644"/>
      <c r="T68" s="77"/>
      <c r="U68" s="77"/>
      <c r="V68" s="8"/>
      <c r="W68" s="8"/>
    </row>
    <row r="69" spans="1:23" ht="17.25" customHeight="1">
      <c r="A69" s="978"/>
      <c r="B69" s="978"/>
      <c r="C69" s="978"/>
      <c r="D69" s="978"/>
      <c r="E69" s="978"/>
      <c r="F69" s="978"/>
      <c r="G69" s="978"/>
      <c r="H69" s="978"/>
      <c r="I69" s="978"/>
      <c r="J69" s="978"/>
      <c r="K69" s="978"/>
      <c r="L69" s="978"/>
      <c r="M69" s="978"/>
      <c r="N69" s="978"/>
      <c r="O69" s="978"/>
      <c r="P69" s="978"/>
      <c r="Q69" s="1204"/>
      <c r="R69" s="1026"/>
      <c r="S69" s="1027"/>
      <c r="T69" s="1028"/>
      <c r="U69" s="1035"/>
      <c r="V69" s="70">
        <f>SUM(V61:V68)</f>
        <v>44521114</v>
      </c>
      <c r="W69" s="70">
        <f>SUM(W61:W68)</f>
        <v>0</v>
      </c>
    </row>
    <row r="70" spans="1:23" ht="17.25" customHeight="1">
      <c r="A70" s="978"/>
      <c r="B70" s="978"/>
      <c r="C70" s="978"/>
      <c r="D70" s="1089"/>
      <c r="E70" s="887"/>
      <c r="F70" s="978"/>
      <c r="G70" s="1049"/>
      <c r="H70" s="978"/>
      <c r="I70" s="978"/>
      <c r="J70" s="978"/>
      <c r="K70" s="978"/>
      <c r="L70" s="978"/>
      <c r="M70" s="978"/>
      <c r="N70" s="1034"/>
      <c r="O70" s="978"/>
      <c r="P70" s="978"/>
      <c r="Q70" s="1204"/>
      <c r="R70" s="432" t="s">
        <v>795</v>
      </c>
      <c r="S70" s="1033">
        <v>42826</v>
      </c>
      <c r="T70" s="1203">
        <v>34510</v>
      </c>
      <c r="U70" s="77">
        <v>8500</v>
      </c>
      <c r="V70" s="25">
        <f t="shared" ref="V70:V74" si="24">ROUND(T70*U70,0)</f>
        <v>293335000</v>
      </c>
      <c r="W70" s="8"/>
    </row>
    <row r="71" spans="1:23" ht="17.25" customHeight="1">
      <c r="A71" s="978"/>
      <c r="B71" s="978"/>
      <c r="C71" s="978"/>
      <c r="D71" s="1049"/>
      <c r="E71" s="1049"/>
      <c r="F71" s="1049"/>
      <c r="G71" s="1049"/>
      <c r="H71" s="978"/>
      <c r="I71" s="978"/>
      <c r="J71" s="978"/>
      <c r="K71" s="978"/>
      <c r="L71" s="978"/>
      <c r="M71" s="978"/>
      <c r="N71" s="1034"/>
      <c r="O71" s="978"/>
      <c r="P71" s="978"/>
      <c r="Q71" s="1204"/>
      <c r="R71" s="1048" t="s">
        <v>752</v>
      </c>
      <c r="S71" s="1033">
        <v>42844</v>
      </c>
      <c r="T71" s="1208">
        <v>3427</v>
      </c>
      <c r="U71" s="77">
        <v>10284.82637875693</v>
      </c>
      <c r="V71" s="25">
        <f t="shared" si="24"/>
        <v>35246100</v>
      </c>
      <c r="W71" s="8"/>
    </row>
    <row r="72" spans="1:23" ht="17.25" customHeight="1">
      <c r="A72" s="978"/>
      <c r="B72" s="978"/>
      <c r="C72" s="978"/>
      <c r="D72" s="1089"/>
      <c r="E72" s="978"/>
      <c r="F72" s="978"/>
      <c r="G72" s="978"/>
      <c r="H72" s="978"/>
      <c r="I72" s="978"/>
      <c r="J72" s="978"/>
      <c r="K72" s="978"/>
      <c r="L72" s="978"/>
      <c r="M72" s="978"/>
      <c r="N72" s="1034"/>
      <c r="O72" s="978"/>
      <c r="P72" s="978"/>
      <c r="Q72" s="1204"/>
      <c r="R72" s="432" t="s">
        <v>371</v>
      </c>
      <c r="S72" s="1033">
        <v>42839</v>
      </c>
      <c r="T72" s="77">
        <v>1156</v>
      </c>
      <c r="U72" s="77">
        <v>15500</v>
      </c>
      <c r="V72" s="25">
        <f t="shared" si="24"/>
        <v>17918000</v>
      </c>
      <c r="W72" s="8"/>
    </row>
    <row r="73" spans="1:23" ht="17.25" customHeight="1">
      <c r="A73" s="978"/>
      <c r="B73" s="978"/>
      <c r="C73" s="978"/>
      <c r="D73" s="1089"/>
      <c r="E73" s="978"/>
      <c r="F73" s="978"/>
      <c r="G73" s="978"/>
      <c r="H73" s="978"/>
      <c r="I73" s="978"/>
      <c r="J73" s="978"/>
      <c r="K73" s="978"/>
      <c r="L73" s="978"/>
      <c r="M73" s="978"/>
      <c r="N73" s="1034"/>
      <c r="O73" s="978"/>
      <c r="P73" s="978"/>
      <c r="Q73" s="1204"/>
      <c r="R73" s="432" t="s">
        <v>780</v>
      </c>
      <c r="S73" s="1033">
        <v>42849</v>
      </c>
      <c r="T73" s="77">
        <v>403</v>
      </c>
      <c r="U73" s="77">
        <v>10300</v>
      </c>
      <c r="V73" s="25">
        <f t="shared" si="24"/>
        <v>4150900</v>
      </c>
      <c r="W73" s="8"/>
    </row>
    <row r="74" spans="1:23" ht="17.25" customHeight="1">
      <c r="A74" s="978"/>
      <c r="B74" s="978"/>
      <c r="C74" s="978"/>
      <c r="D74" s="1089"/>
      <c r="E74" s="978"/>
      <c r="F74" s="978"/>
      <c r="G74" s="978"/>
      <c r="H74" s="978"/>
      <c r="I74" s="978"/>
      <c r="J74" s="978"/>
      <c r="K74" s="978"/>
      <c r="L74" s="978"/>
      <c r="M74" s="978"/>
      <c r="N74" s="1034"/>
      <c r="O74" s="978"/>
      <c r="P74" s="978"/>
      <c r="Q74" s="1204"/>
      <c r="R74" s="1010"/>
      <c r="S74" s="1033"/>
      <c r="T74" s="77"/>
      <c r="U74" s="77"/>
      <c r="V74" s="25">
        <f t="shared" si="24"/>
        <v>0</v>
      </c>
      <c r="W74" s="8"/>
    </row>
    <row r="75" spans="1:23" ht="17.25" customHeight="1">
      <c r="A75" s="978"/>
      <c r="B75" s="978"/>
      <c r="C75" s="978"/>
      <c r="D75" s="1089"/>
      <c r="E75" s="978"/>
      <c r="F75" s="978"/>
      <c r="G75" s="978"/>
      <c r="H75" s="978"/>
      <c r="I75" s="978"/>
      <c r="J75" s="978"/>
      <c r="K75" s="978"/>
      <c r="L75" s="978"/>
      <c r="M75" s="978"/>
      <c r="N75" s="1034"/>
      <c r="O75" s="978"/>
      <c r="P75" s="978"/>
      <c r="Q75" s="1204"/>
      <c r="R75" s="1048"/>
      <c r="S75" s="1047"/>
      <c r="T75" s="1043">
        <f>SUM(T70:T74)</f>
        <v>39496</v>
      </c>
      <c r="U75" s="1043"/>
      <c r="V75" s="1043">
        <f>SUM(V70:V74)</f>
        <v>350650000</v>
      </c>
      <c r="W75" s="8"/>
    </row>
    <row r="76" spans="1:23" ht="17.25" customHeight="1">
      <c r="A76" s="980" t="s">
        <v>493</v>
      </c>
      <c r="B76" s="980"/>
      <c r="C76" s="981"/>
      <c r="D76" s="982"/>
      <c r="E76" s="982"/>
      <c r="F76" s="982"/>
      <c r="G76" s="423"/>
      <c r="H76" s="423"/>
      <c r="I76" s="423"/>
      <c r="J76" s="423"/>
      <c r="K76" s="423"/>
      <c r="L76" s="423"/>
      <c r="M76" s="423"/>
      <c r="N76" s="423"/>
      <c r="O76" s="887"/>
      <c r="P76" s="423"/>
      <c r="Q76" s="1205"/>
      <c r="R76" s="423"/>
      <c r="S76" s="984"/>
      <c r="T76" s="423"/>
      <c r="U76" s="423"/>
      <c r="V76" s="978"/>
      <c r="W76" s="978"/>
    </row>
    <row r="77" spans="1:23" ht="17.25" customHeight="1">
      <c r="A77" s="985" t="s">
        <v>2391</v>
      </c>
      <c r="B77" s="985"/>
      <c r="C77" s="985"/>
      <c r="D77" s="985"/>
      <c r="E77" s="985"/>
      <c r="F77" s="985"/>
      <c r="G77" s="985"/>
      <c r="H77" s="985"/>
      <c r="I77" s="985"/>
      <c r="J77" s="985"/>
      <c r="K77" s="985"/>
      <c r="L77" s="985"/>
      <c r="M77" s="985"/>
      <c r="N77" s="985"/>
      <c r="O77" s="985"/>
      <c r="P77" s="985"/>
      <c r="Q77" s="1205"/>
      <c r="R77" s="423"/>
      <c r="S77" s="984"/>
      <c r="T77" s="423"/>
      <c r="U77" s="423"/>
      <c r="V77" s="978"/>
      <c r="W77" s="978"/>
    </row>
    <row r="78" spans="1:23">
      <c r="A78" s="986"/>
      <c r="B78" s="986"/>
      <c r="C78" s="987"/>
      <c r="D78" s="986"/>
      <c r="E78" s="986"/>
      <c r="F78" s="986"/>
      <c r="G78" s="986"/>
      <c r="H78" s="986"/>
      <c r="I78" s="986"/>
      <c r="J78" s="986"/>
      <c r="K78" s="986"/>
      <c r="L78" s="986"/>
      <c r="M78" s="986"/>
      <c r="N78" s="986"/>
      <c r="O78" s="988"/>
      <c r="P78" s="986"/>
      <c r="Q78" s="1205"/>
      <c r="R78" s="423"/>
      <c r="S78" s="984"/>
      <c r="T78" s="423"/>
      <c r="U78" s="423"/>
      <c r="V78" s="978"/>
      <c r="W78" s="978"/>
    </row>
    <row r="79" spans="1:23" ht="31.5" customHeight="1">
      <c r="A79" s="635" t="s">
        <v>37</v>
      </c>
      <c r="B79" s="635" t="s">
        <v>494</v>
      </c>
      <c r="C79" s="636" t="s">
        <v>495</v>
      </c>
      <c r="D79" s="637" t="s">
        <v>496</v>
      </c>
      <c r="E79" s="637" t="s">
        <v>497</v>
      </c>
      <c r="F79" s="637" t="s">
        <v>498</v>
      </c>
      <c r="G79" s="637" t="s">
        <v>499</v>
      </c>
      <c r="H79" s="637" t="s">
        <v>500</v>
      </c>
      <c r="I79" s="637" t="s">
        <v>501</v>
      </c>
      <c r="J79" s="637" t="s">
        <v>502</v>
      </c>
      <c r="K79" s="638" t="s">
        <v>503</v>
      </c>
      <c r="L79" s="637" t="s">
        <v>504</v>
      </c>
      <c r="M79" s="638" t="s">
        <v>505</v>
      </c>
      <c r="N79" s="637" t="s">
        <v>506</v>
      </c>
      <c r="O79" s="639" t="s">
        <v>497</v>
      </c>
      <c r="P79" s="637" t="s">
        <v>507</v>
      </c>
      <c r="Q79" s="1205"/>
      <c r="R79" s="635" t="s">
        <v>494</v>
      </c>
      <c r="S79" s="637" t="s">
        <v>462</v>
      </c>
      <c r="T79" s="637" t="s">
        <v>325</v>
      </c>
      <c r="U79" s="637" t="s">
        <v>498</v>
      </c>
      <c r="V79" s="637" t="s">
        <v>508</v>
      </c>
      <c r="W79" s="635" t="s">
        <v>508</v>
      </c>
    </row>
    <row r="80" spans="1:23" ht="18" customHeight="1">
      <c r="A80" s="726">
        <v>1</v>
      </c>
      <c r="B80" s="1031" t="s">
        <v>429</v>
      </c>
      <c r="C80" s="991">
        <f>VLOOKUP(B80,NXT!$Q$78:$S$118,2,0)</f>
        <v>3.2</v>
      </c>
      <c r="D80" s="375">
        <f t="shared" ref="D80:D87" si="25">ROUND(C80*O80,0)</f>
        <v>1520064</v>
      </c>
      <c r="E80" s="381"/>
      <c r="F80" s="992">
        <v>18500</v>
      </c>
      <c r="G80" s="25">
        <f t="shared" ref="G80:G87" si="26">(D80+E80)*F80</f>
        <v>28121184000</v>
      </c>
      <c r="H80" s="381">
        <f t="shared" ref="H80:H87" si="27">IF($D$89&lt;&gt;0,H$89/($D$89+$E$89/5)*($D80+$E80/5),0)</f>
        <v>80050831.427441403</v>
      </c>
      <c r="I80" s="992">
        <f t="shared" ref="I80:K87" si="28">IF($D$89&lt;&gt;0,I$89/$D$89*$D80,0)</f>
        <v>39993568.770161472</v>
      </c>
      <c r="J80" s="992">
        <f t="shared" si="28"/>
        <v>97386937.466503873</v>
      </c>
      <c r="K80" s="992">
        <f t="shared" si="28"/>
        <v>51815425.019875161</v>
      </c>
      <c r="L80" s="992">
        <f>V89+V90</f>
        <v>313663800</v>
      </c>
      <c r="M80" s="992"/>
      <c r="N80" s="25">
        <f t="shared" ref="N80:N87" si="29">ROUND(SUM(G80:L80),0)</f>
        <v>28704094563</v>
      </c>
      <c r="O80" s="379">
        <v>475020</v>
      </c>
      <c r="P80" s="992">
        <f t="shared" ref="P80:P81" si="30">IF(N80&lt;&gt;0,N80/O80,0)</f>
        <v>60427.12846406467</v>
      </c>
      <c r="Q80" s="1205"/>
      <c r="R80" s="641" t="s">
        <v>327</v>
      </c>
      <c r="S80" s="1033">
        <v>42857</v>
      </c>
      <c r="T80" s="77">
        <v>150</v>
      </c>
      <c r="U80" s="1039">
        <v>32200</v>
      </c>
      <c r="V80" s="25">
        <f>ROUND(T80*U80,0)</f>
        <v>4830000</v>
      </c>
      <c r="W80" s="8"/>
    </row>
    <row r="81" spans="1:23" ht="18" customHeight="1">
      <c r="A81" s="726">
        <f t="shared" ref="A81:A87" si="31">IF(B81&lt;&gt;"",A80+1,"")</f>
        <v>2</v>
      </c>
      <c r="B81" s="429" t="s">
        <v>425</v>
      </c>
      <c r="C81" s="991">
        <f>VLOOKUP(B81,NXT!$Q$78:$S$118,2,0)</f>
        <v>2.2999999999999998</v>
      </c>
      <c r="D81" s="992">
        <f t="shared" si="25"/>
        <v>2300</v>
      </c>
      <c r="E81" s="992"/>
      <c r="F81" s="992">
        <f>VLOOKUP(B81,NXT!$Q$78:$S$118,3,0)</f>
        <v>275000</v>
      </c>
      <c r="G81" s="768">
        <f t="shared" si="26"/>
        <v>632500000</v>
      </c>
      <c r="H81" s="381">
        <f t="shared" si="27"/>
        <v>121124.44757794095</v>
      </c>
      <c r="I81" s="992">
        <f t="shared" si="28"/>
        <v>60514.036363844803</v>
      </c>
      <c r="J81" s="992">
        <f t="shared" si="28"/>
        <v>147355.60882499613</v>
      </c>
      <c r="K81" s="992">
        <f t="shared" si="28"/>
        <v>78401.618317197732</v>
      </c>
      <c r="L81" s="992">
        <f>V91</f>
        <v>1530000</v>
      </c>
      <c r="M81" s="992"/>
      <c r="N81" s="25">
        <f t="shared" si="29"/>
        <v>634437396</v>
      </c>
      <c r="O81" s="379">
        <v>1000</v>
      </c>
      <c r="P81" s="992">
        <f t="shared" si="30"/>
        <v>634437.39599999995</v>
      </c>
      <c r="Q81" s="1206"/>
      <c r="R81" s="641" t="s">
        <v>333</v>
      </c>
      <c r="S81" s="1033">
        <v>42857</v>
      </c>
      <c r="T81" s="77">
        <v>150</v>
      </c>
      <c r="U81" s="843">
        <v>49808.000000000007</v>
      </c>
      <c r="V81" s="25">
        <f>ROUND(T81*U81,0)</f>
        <v>7471200</v>
      </c>
      <c r="W81" s="8"/>
    </row>
    <row r="82" spans="1:23" ht="18" customHeight="1">
      <c r="A82" s="726">
        <f t="shared" si="31"/>
        <v>3</v>
      </c>
      <c r="B82" s="429" t="s">
        <v>1588</v>
      </c>
      <c r="C82" s="991">
        <f>VLOOKUP(B82,NXT!$Q$78:$S$118,2,0)</f>
        <v>11.5</v>
      </c>
      <c r="D82" s="992">
        <f t="shared" si="25"/>
        <v>23000</v>
      </c>
      <c r="E82" s="992"/>
      <c r="F82" s="992">
        <f>VLOOKUP(B82,NXT!$Q$78:$S$118,3,0)</f>
        <v>18200</v>
      </c>
      <c r="G82" s="768">
        <f t="shared" si="26"/>
        <v>418600000</v>
      </c>
      <c r="H82" s="381">
        <f t="shared" si="27"/>
        <v>1211244.4757794095</v>
      </c>
      <c r="I82" s="992">
        <f t="shared" si="28"/>
        <v>605140.36363844795</v>
      </c>
      <c r="J82" s="992">
        <f t="shared" si="28"/>
        <v>1473556.0882499611</v>
      </c>
      <c r="K82" s="992">
        <f t="shared" si="28"/>
        <v>784016.18317197741</v>
      </c>
      <c r="L82" s="992">
        <f>$V$92/($O$82+$O$83)*O82</f>
        <v>3172500</v>
      </c>
      <c r="M82" s="992"/>
      <c r="N82" s="25">
        <f t="shared" si="29"/>
        <v>425846457</v>
      </c>
      <c r="O82" s="379">
        <v>2000</v>
      </c>
      <c r="P82" s="992">
        <f t="shared" ref="P82:P87" si="32">IF(N82&lt;&gt;0,N82/O82,0)</f>
        <v>212923.2285</v>
      </c>
      <c r="Q82" s="1204"/>
      <c r="R82" s="641" t="s">
        <v>336</v>
      </c>
      <c r="S82" s="1033">
        <v>42857</v>
      </c>
      <c r="T82" s="77">
        <v>420</v>
      </c>
      <c r="U82" s="843">
        <v>15836.734761904761</v>
      </c>
      <c r="V82" s="25">
        <f t="shared" ref="V82:V86" si="33">ROUND(T82*U82,0)</f>
        <v>6651429</v>
      </c>
      <c r="W82" s="8"/>
    </row>
    <row r="83" spans="1:23" ht="18" customHeight="1">
      <c r="A83" s="726">
        <f t="shared" si="31"/>
        <v>4</v>
      </c>
      <c r="B83" s="429" t="s">
        <v>793</v>
      </c>
      <c r="C83" s="991">
        <f>VLOOKUP(B83,NXT!$Q$78:$S$118,2,0)</f>
        <v>8.6999999999999993</v>
      </c>
      <c r="D83" s="992">
        <f t="shared" si="25"/>
        <v>52200</v>
      </c>
      <c r="E83" s="992"/>
      <c r="F83" s="992">
        <f>VLOOKUP(B83,NXT!$Q$78:$S$118,3,0)</f>
        <v>18500</v>
      </c>
      <c r="G83" s="768">
        <f t="shared" si="26"/>
        <v>965700000</v>
      </c>
      <c r="H83" s="381">
        <f t="shared" si="27"/>
        <v>2748998.3319863118</v>
      </c>
      <c r="I83" s="992">
        <f t="shared" si="28"/>
        <v>1373405.5209533472</v>
      </c>
      <c r="J83" s="992">
        <f t="shared" si="28"/>
        <v>3344331.6437673033</v>
      </c>
      <c r="K83" s="992">
        <f t="shared" si="28"/>
        <v>1779375.8591990096</v>
      </c>
      <c r="L83" s="992">
        <f>$V$92/($O$82+$O$83)*O83</f>
        <v>9517500</v>
      </c>
      <c r="M83" s="992"/>
      <c r="N83" s="25">
        <f t="shared" si="29"/>
        <v>984463611</v>
      </c>
      <c r="O83" s="379">
        <v>6000</v>
      </c>
      <c r="P83" s="992">
        <f t="shared" si="32"/>
        <v>164077.26850000001</v>
      </c>
      <c r="Q83" s="1204"/>
      <c r="R83" s="641" t="s">
        <v>804</v>
      </c>
      <c r="S83" s="1033">
        <v>42857</v>
      </c>
      <c r="T83" s="77">
        <v>40</v>
      </c>
      <c r="U83" s="843">
        <v>53000</v>
      </c>
      <c r="V83" s="25">
        <f t="shared" si="33"/>
        <v>2120000</v>
      </c>
      <c r="W83" s="8"/>
    </row>
    <row r="84" spans="1:23" ht="18" customHeight="1">
      <c r="A84" s="726">
        <f t="shared" si="31"/>
        <v>5</v>
      </c>
      <c r="B84" s="429" t="s">
        <v>1588</v>
      </c>
      <c r="C84" s="991">
        <f>VLOOKUP(B84,NXT!$Q$78:$S$118,2,0)</f>
        <v>11.5</v>
      </c>
      <c r="D84" s="992">
        <f t="shared" si="25"/>
        <v>46000</v>
      </c>
      <c r="E84" s="992"/>
      <c r="F84" s="992">
        <f>VLOOKUP(B84,NXT!$Q$78:$S$118,3,0)</f>
        <v>18200</v>
      </c>
      <c r="G84" s="768">
        <f t="shared" si="26"/>
        <v>837200000</v>
      </c>
      <c r="H84" s="381">
        <f t="shared" si="27"/>
        <v>2422488.951558819</v>
      </c>
      <c r="I84" s="992">
        <f t="shared" si="28"/>
        <v>1210280.7272768959</v>
      </c>
      <c r="J84" s="992">
        <f t="shared" si="28"/>
        <v>2947112.1764999223</v>
      </c>
      <c r="K84" s="992">
        <f t="shared" si="28"/>
        <v>1568032.3663439548</v>
      </c>
      <c r="L84" s="992">
        <f>V93</f>
        <v>8325000</v>
      </c>
      <c r="M84" s="992"/>
      <c r="N84" s="25">
        <f t="shared" si="29"/>
        <v>853672914</v>
      </c>
      <c r="O84" s="379">
        <v>4000</v>
      </c>
      <c r="P84" s="992">
        <f t="shared" si="32"/>
        <v>213418.2285</v>
      </c>
      <c r="Q84" s="1204"/>
      <c r="R84" s="641" t="s">
        <v>341</v>
      </c>
      <c r="S84" s="1033">
        <v>42857</v>
      </c>
      <c r="T84" s="77">
        <v>600</v>
      </c>
      <c r="U84" s="843">
        <v>3200</v>
      </c>
      <c r="V84" s="25">
        <f t="shared" si="33"/>
        <v>1920000</v>
      </c>
      <c r="W84" s="8"/>
    </row>
    <row r="85" spans="1:23" ht="18" customHeight="1">
      <c r="A85" s="726">
        <f t="shared" si="31"/>
        <v>6</v>
      </c>
      <c r="B85" s="429" t="s">
        <v>426</v>
      </c>
      <c r="C85" s="991">
        <f>VLOOKUP(B85,NXT!$Q$78:$S$118,2,0)</f>
        <v>10.5</v>
      </c>
      <c r="D85" s="992">
        <f t="shared" si="25"/>
        <v>45276</v>
      </c>
      <c r="E85" s="992"/>
      <c r="F85" s="992">
        <v>18500</v>
      </c>
      <c r="G85" s="768">
        <f t="shared" si="26"/>
        <v>837606000</v>
      </c>
      <c r="H85" s="381">
        <f t="shared" si="27"/>
        <v>2384361.0819734149</v>
      </c>
      <c r="I85" s="992">
        <f t="shared" si="28"/>
        <v>1191231.9610475814</v>
      </c>
      <c r="J85" s="992">
        <f t="shared" si="28"/>
        <v>2900727.193548054</v>
      </c>
      <c r="K85" s="992">
        <f t="shared" si="28"/>
        <v>1543352.9004041064</v>
      </c>
      <c r="L85" s="992">
        <f>V94+V95</f>
        <v>40069000</v>
      </c>
      <c r="M85" s="992"/>
      <c r="N85" s="25">
        <f t="shared" si="29"/>
        <v>885694673</v>
      </c>
      <c r="O85" s="379">
        <v>4312</v>
      </c>
      <c r="P85" s="992">
        <f t="shared" si="32"/>
        <v>205402.28965677181</v>
      </c>
      <c r="Q85" s="1204"/>
      <c r="R85" s="641" t="s">
        <v>1257</v>
      </c>
      <c r="S85" s="1033">
        <v>42857</v>
      </c>
      <c r="T85" s="77">
        <v>1440</v>
      </c>
      <c r="U85" s="843">
        <v>14728</v>
      </c>
      <c r="V85" s="25">
        <f t="shared" si="33"/>
        <v>21208320</v>
      </c>
      <c r="W85" s="8"/>
    </row>
    <row r="86" spans="1:23" ht="18" customHeight="1">
      <c r="A86" s="726">
        <f t="shared" si="31"/>
        <v>7</v>
      </c>
      <c r="B86" s="429" t="s">
        <v>1401</v>
      </c>
      <c r="C86" s="991">
        <f>VLOOKUP(B86,NXT!$Q$78:$S$118,2,0)</f>
        <v>8.5</v>
      </c>
      <c r="D86" s="992">
        <f t="shared" si="25"/>
        <v>21250</v>
      </c>
      <c r="E86" s="992"/>
      <c r="F86" s="992">
        <f>VLOOKUP(B86,NXT!$Q$78:$S$118,3,0)</f>
        <v>25000</v>
      </c>
      <c r="G86" s="768">
        <f t="shared" si="26"/>
        <v>531250000</v>
      </c>
      <c r="H86" s="381">
        <f t="shared" si="27"/>
        <v>1119084.5700135848</v>
      </c>
      <c r="I86" s="992">
        <f t="shared" si="28"/>
        <v>559097.07510073995</v>
      </c>
      <c r="J86" s="992">
        <f t="shared" si="28"/>
        <v>1361437.6902309423</v>
      </c>
      <c r="K86" s="992">
        <f t="shared" si="28"/>
        <v>724362.7779306313</v>
      </c>
      <c r="L86" s="992">
        <f>V96</f>
        <v>4483800</v>
      </c>
      <c r="M86" s="992"/>
      <c r="N86" s="25">
        <f t="shared" si="29"/>
        <v>539497782</v>
      </c>
      <c r="O86" s="379">
        <v>2500</v>
      </c>
      <c r="P86" s="992">
        <f t="shared" si="32"/>
        <v>215799.1128</v>
      </c>
      <c r="Q86" s="1204"/>
      <c r="R86" s="641" t="s">
        <v>346</v>
      </c>
      <c r="S86" s="1033">
        <v>42857</v>
      </c>
      <c r="T86" s="1039">
        <v>200</v>
      </c>
      <c r="U86" s="1048">
        <v>8500</v>
      </c>
      <c r="V86" s="25">
        <f t="shared" si="33"/>
        <v>1700000</v>
      </c>
      <c r="W86" s="8"/>
    </row>
    <row r="87" spans="1:23" ht="18" customHeight="1">
      <c r="A87" s="726">
        <f t="shared" si="31"/>
        <v>8</v>
      </c>
      <c r="B87" s="429" t="s">
        <v>1588</v>
      </c>
      <c r="C87" s="991">
        <f>VLOOKUP(B87,NXT!$Q$78:$S$118,2,0)</f>
        <v>11.5</v>
      </c>
      <c r="D87" s="992">
        <f t="shared" si="25"/>
        <v>34500</v>
      </c>
      <c r="E87" s="992"/>
      <c r="F87" s="992">
        <f>VLOOKUP(B87,NXT!$Q$78:$S$118,3,0)</f>
        <v>18200</v>
      </c>
      <c r="G87" s="768">
        <f t="shared" si="26"/>
        <v>627900000</v>
      </c>
      <c r="H87" s="381">
        <f t="shared" si="27"/>
        <v>1816866.7136691143</v>
      </c>
      <c r="I87" s="992">
        <f t="shared" si="28"/>
        <v>907710.54545767198</v>
      </c>
      <c r="J87" s="992">
        <f t="shared" si="28"/>
        <v>2210334.1323749418</v>
      </c>
      <c r="K87" s="992">
        <f t="shared" si="28"/>
        <v>1176024.2747579662</v>
      </c>
      <c r="L87" s="992">
        <f>V97</f>
        <v>3986400</v>
      </c>
      <c r="M87" s="992"/>
      <c r="N87" s="25">
        <f t="shared" si="29"/>
        <v>637997336</v>
      </c>
      <c r="O87" s="379">
        <v>3000</v>
      </c>
      <c r="P87" s="992">
        <f t="shared" si="32"/>
        <v>212665.77866666668</v>
      </c>
      <c r="Q87" s="1204"/>
      <c r="R87" s="25"/>
      <c r="S87" s="644"/>
      <c r="T87" s="77"/>
      <c r="U87" s="77"/>
      <c r="V87" s="8"/>
      <c r="W87" s="8"/>
    </row>
    <row r="88" spans="1:23" ht="18" customHeight="1">
      <c r="A88" s="726"/>
      <c r="B88" s="997"/>
      <c r="C88" s="998"/>
      <c r="D88" s="999"/>
      <c r="E88" s="999"/>
      <c r="F88" s="999"/>
      <c r="G88" s="1000"/>
      <c r="H88" s="1001"/>
      <c r="I88" s="999"/>
      <c r="J88" s="8"/>
      <c r="K88" s="999"/>
      <c r="L88" s="1001"/>
      <c r="M88" s="999"/>
      <c r="N88" s="1023"/>
      <c r="O88" s="999"/>
      <c r="P88" s="992"/>
      <c r="Q88" s="1204"/>
      <c r="R88" s="1026"/>
      <c r="S88" s="1027"/>
      <c r="T88" s="1028"/>
      <c r="U88" s="1035"/>
      <c r="V88" s="804">
        <f>SUM(V80:V87)</f>
        <v>45900949</v>
      </c>
      <c r="W88" s="70">
        <f>SUM(W80:W87)</f>
        <v>0</v>
      </c>
    </row>
    <row r="89" spans="1:23" ht="18" customHeight="1">
      <c r="A89" s="1003"/>
      <c r="B89" s="1004" t="s">
        <v>509</v>
      </c>
      <c r="C89" s="1005"/>
      <c r="D89" s="804">
        <f>SUM(D80:D88)</f>
        <v>1744590</v>
      </c>
      <c r="E89" s="804">
        <f>SUM(E80:E88)</f>
        <v>0</v>
      </c>
      <c r="F89" s="804"/>
      <c r="G89" s="804">
        <f>SUM(G80:G88)</f>
        <v>32971940000</v>
      </c>
      <c r="H89" s="804">
        <v>91875000</v>
      </c>
      <c r="I89" s="804">
        <f>V88</f>
        <v>45900949</v>
      </c>
      <c r="J89" s="804">
        <f>93162700+18609092</f>
        <v>111771792</v>
      </c>
      <c r="K89" s="804">
        <v>59468991</v>
      </c>
      <c r="L89" s="804">
        <f>SUM(L80:L88)</f>
        <v>384748000</v>
      </c>
      <c r="M89" s="804"/>
      <c r="N89" s="804">
        <f>ROUND(SUM(N80:N88),0)</f>
        <v>33665704732</v>
      </c>
      <c r="O89" s="804">
        <f>ROUND(SUM(O80:O88),0)</f>
        <v>497832</v>
      </c>
      <c r="P89" s="804"/>
      <c r="Q89" s="1204"/>
      <c r="R89" s="432" t="s">
        <v>795</v>
      </c>
      <c r="S89" s="1033">
        <v>42858</v>
      </c>
      <c r="T89" s="77">
        <f>26294</f>
        <v>26294</v>
      </c>
      <c r="U89" s="77">
        <v>8500</v>
      </c>
      <c r="V89" s="25">
        <f t="shared" ref="V89:V97" si="34">ROUND(T89*U89,0)</f>
        <v>223499000</v>
      </c>
      <c r="W89" s="25"/>
    </row>
    <row r="90" spans="1:23" ht="18" customHeight="1">
      <c r="A90" s="978"/>
      <c r="B90" s="978"/>
      <c r="C90" s="978"/>
      <c r="D90" s="978"/>
      <c r="E90" s="978"/>
      <c r="F90" s="978"/>
      <c r="G90" s="978"/>
      <c r="H90" s="978"/>
      <c r="I90" s="978"/>
      <c r="J90" s="978"/>
      <c r="K90" s="978"/>
      <c r="L90" s="978"/>
      <c r="M90" s="978"/>
      <c r="N90" s="978"/>
      <c r="O90" s="978"/>
      <c r="P90" s="978"/>
      <c r="Q90" s="1204"/>
      <c r="R90" s="432" t="s">
        <v>795</v>
      </c>
      <c r="S90" s="1033">
        <v>42858</v>
      </c>
      <c r="T90" s="1043">
        <f>2030+8216</f>
        <v>10246</v>
      </c>
      <c r="U90" s="77">
        <v>8800</v>
      </c>
      <c r="V90" s="25">
        <f t="shared" si="34"/>
        <v>90164800</v>
      </c>
      <c r="W90" s="8"/>
    </row>
    <row r="91" spans="1:23" ht="18" customHeight="1">
      <c r="A91" s="978"/>
      <c r="B91" s="978"/>
      <c r="C91" s="978"/>
      <c r="D91" s="978"/>
      <c r="E91" s="978"/>
      <c r="F91" s="978"/>
      <c r="G91" s="978"/>
      <c r="H91" s="978"/>
      <c r="I91" s="978"/>
      <c r="J91" s="978"/>
      <c r="K91" s="978"/>
      <c r="L91" s="978"/>
      <c r="M91" s="978"/>
      <c r="N91" s="978"/>
      <c r="O91" s="978"/>
      <c r="P91" s="978"/>
      <c r="Q91" s="1204"/>
      <c r="R91" s="432" t="s">
        <v>1276</v>
      </c>
      <c r="S91" s="1033">
        <v>42865</v>
      </c>
      <c r="T91" s="843">
        <v>102</v>
      </c>
      <c r="U91" s="843">
        <v>15000</v>
      </c>
      <c r="V91" s="25">
        <f t="shared" si="34"/>
        <v>1530000</v>
      </c>
      <c r="W91" s="8"/>
    </row>
    <row r="92" spans="1:23" ht="18" customHeight="1">
      <c r="A92" s="978"/>
      <c r="B92" s="978"/>
      <c r="C92" s="978"/>
      <c r="D92" s="978"/>
      <c r="E92" s="978"/>
      <c r="F92" s="978"/>
      <c r="G92" s="978"/>
      <c r="H92" s="978"/>
      <c r="I92" s="978"/>
      <c r="J92" s="978"/>
      <c r="K92" s="978"/>
      <c r="L92" s="978"/>
      <c r="M92" s="1036"/>
      <c r="N92" s="1034"/>
      <c r="O92" s="978"/>
      <c r="P92" s="978"/>
      <c r="Q92" s="1204"/>
      <c r="R92" s="432" t="s">
        <v>371</v>
      </c>
      <c r="S92" s="1033">
        <v>42865</v>
      </c>
      <c r="T92" s="843">
        <v>940</v>
      </c>
      <c r="U92" s="843">
        <v>13500</v>
      </c>
      <c r="V92" s="25">
        <f t="shared" si="34"/>
        <v>12690000</v>
      </c>
      <c r="W92" s="8"/>
    </row>
    <row r="93" spans="1:23" ht="18" customHeight="1">
      <c r="A93" s="978"/>
      <c r="B93" s="978"/>
      <c r="C93" s="978"/>
      <c r="D93" s="978"/>
      <c r="E93" s="978"/>
      <c r="F93" s="978"/>
      <c r="G93" s="978"/>
      <c r="H93" s="978"/>
      <c r="I93" s="978"/>
      <c r="J93" s="978"/>
      <c r="K93" s="978"/>
      <c r="L93" s="978"/>
      <c r="M93" s="1036"/>
      <c r="N93" s="423"/>
      <c r="O93" s="978"/>
      <c r="P93" s="978"/>
      <c r="Q93" s="1204"/>
      <c r="R93" s="432" t="s">
        <v>371</v>
      </c>
      <c r="S93" s="1033">
        <v>42868</v>
      </c>
      <c r="T93" s="843">
        <v>450</v>
      </c>
      <c r="U93" s="843">
        <v>18500</v>
      </c>
      <c r="V93" s="25">
        <f t="shared" si="34"/>
        <v>8325000</v>
      </c>
      <c r="W93" s="8"/>
    </row>
    <row r="94" spans="1:23" ht="18" customHeight="1">
      <c r="A94" s="978"/>
      <c r="B94" s="978"/>
      <c r="C94" s="978"/>
      <c r="D94" s="978"/>
      <c r="E94" s="978"/>
      <c r="F94" s="978"/>
      <c r="G94" s="978"/>
      <c r="H94" s="978"/>
      <c r="I94" s="978"/>
      <c r="J94" s="978"/>
      <c r="K94" s="978"/>
      <c r="L94" s="978"/>
      <c r="M94" s="1036"/>
      <c r="N94" s="423"/>
      <c r="O94" s="978"/>
      <c r="P94" s="978"/>
      <c r="Q94" s="1204"/>
      <c r="R94" s="432" t="s">
        <v>564</v>
      </c>
      <c r="S94" s="1033">
        <v>42868</v>
      </c>
      <c r="T94" s="843">
        <v>2250</v>
      </c>
      <c r="U94" s="843">
        <v>14000</v>
      </c>
      <c r="V94" s="25">
        <f t="shared" si="34"/>
        <v>31500000</v>
      </c>
      <c r="W94" s="8"/>
    </row>
    <row r="95" spans="1:23" ht="18" customHeight="1">
      <c r="A95" s="978"/>
      <c r="B95" s="978"/>
      <c r="C95" s="978"/>
      <c r="D95" s="978"/>
      <c r="E95" s="978"/>
      <c r="F95" s="978"/>
      <c r="G95" s="978"/>
      <c r="H95" s="978"/>
      <c r="I95" s="978"/>
      <c r="J95" s="978"/>
      <c r="K95" s="978"/>
      <c r="L95" s="978"/>
      <c r="M95" s="1036"/>
      <c r="N95" s="423"/>
      <c r="O95" s="978"/>
      <c r="P95" s="978"/>
      <c r="Q95" s="1204"/>
      <c r="R95" s="1010" t="s">
        <v>381</v>
      </c>
      <c r="S95" s="1033">
        <v>42868</v>
      </c>
      <c r="T95" s="843">
        <v>410</v>
      </c>
      <c r="U95" s="843">
        <v>20900</v>
      </c>
      <c r="V95" s="25">
        <f t="shared" si="34"/>
        <v>8569000</v>
      </c>
      <c r="W95" s="8"/>
    </row>
    <row r="96" spans="1:23" ht="18" customHeight="1">
      <c r="A96" s="978"/>
      <c r="B96" s="978"/>
      <c r="C96" s="978"/>
      <c r="D96" s="978"/>
      <c r="E96" s="978"/>
      <c r="F96" s="978"/>
      <c r="G96" s="978"/>
      <c r="H96" s="978"/>
      <c r="I96" s="978"/>
      <c r="J96" s="978"/>
      <c r="K96" s="978"/>
      <c r="L96" s="978"/>
      <c r="M96" s="1036"/>
      <c r="N96" s="423"/>
      <c r="O96" s="978"/>
      <c r="P96" s="978"/>
      <c r="Q96" s="1204"/>
      <c r="R96" s="432" t="s">
        <v>1470</v>
      </c>
      <c r="S96" s="1033">
        <v>42875</v>
      </c>
      <c r="T96" s="843">
        <v>282</v>
      </c>
      <c r="U96" s="843">
        <v>15900</v>
      </c>
      <c r="V96" s="25">
        <f t="shared" si="34"/>
        <v>4483800</v>
      </c>
      <c r="W96" s="8"/>
    </row>
    <row r="97" spans="1:23" ht="18" customHeight="1">
      <c r="A97" s="978"/>
      <c r="B97" s="978"/>
      <c r="C97" s="978"/>
      <c r="D97" s="978"/>
      <c r="E97" s="978"/>
      <c r="F97" s="978"/>
      <c r="G97" s="978"/>
      <c r="H97" s="978"/>
      <c r="I97" s="978"/>
      <c r="J97" s="978"/>
      <c r="K97" s="978"/>
      <c r="L97" s="978"/>
      <c r="M97" s="1036"/>
      <c r="N97" s="423"/>
      <c r="O97" s="978"/>
      <c r="P97" s="978"/>
      <c r="Q97" s="1204"/>
      <c r="R97" s="432" t="s">
        <v>1273</v>
      </c>
      <c r="S97" s="1033">
        <v>42875</v>
      </c>
      <c r="T97" s="843">
        <v>302</v>
      </c>
      <c r="U97" s="843">
        <v>13200</v>
      </c>
      <c r="V97" s="25">
        <f t="shared" si="34"/>
        <v>3986400</v>
      </c>
      <c r="W97" s="8"/>
    </row>
    <row r="98" spans="1:23" ht="18" customHeight="1">
      <c r="A98" s="978"/>
      <c r="B98" s="978"/>
      <c r="C98" s="978"/>
      <c r="D98" s="978"/>
      <c r="E98" s="978"/>
      <c r="F98" s="978"/>
      <c r="G98" s="978"/>
      <c r="H98" s="978"/>
      <c r="I98" s="978"/>
      <c r="J98" s="978"/>
      <c r="K98" s="978"/>
      <c r="L98" s="978"/>
      <c r="M98" s="1036"/>
      <c r="N98" s="423"/>
      <c r="O98" s="978"/>
      <c r="P98" s="978"/>
      <c r="Q98" s="1204"/>
      <c r="R98" s="1010"/>
      <c r="S98" s="1033"/>
      <c r="T98" s="77"/>
      <c r="U98" s="77"/>
      <c r="V98" s="25"/>
      <c r="W98" s="8"/>
    </row>
    <row r="99" spans="1:23" ht="18" customHeight="1">
      <c r="A99" s="978"/>
      <c r="B99" s="978"/>
      <c r="C99" s="978"/>
      <c r="D99" s="978"/>
      <c r="E99" s="978"/>
      <c r="F99" s="978"/>
      <c r="G99" s="978"/>
      <c r="H99" s="978"/>
      <c r="I99" s="978"/>
      <c r="J99" s="978"/>
      <c r="K99" s="978"/>
      <c r="L99" s="978"/>
      <c r="M99" s="978"/>
      <c r="N99" s="978"/>
      <c r="O99" s="978"/>
      <c r="P99" s="978"/>
      <c r="Q99" s="1204"/>
      <c r="R99" s="1029"/>
      <c r="S99" s="1033"/>
      <c r="T99" s="25">
        <f>SUM(T89:T98)</f>
        <v>41276</v>
      </c>
      <c r="U99" s="25"/>
      <c r="V99" s="25">
        <f>SUM(V89:V98)</f>
        <v>384748000</v>
      </c>
      <c r="W99" s="8"/>
    </row>
    <row r="100" spans="1:23" ht="15.75" customHeight="1">
      <c r="A100" s="980" t="s">
        <v>493</v>
      </c>
      <c r="B100" s="980"/>
      <c r="C100" s="981"/>
      <c r="D100" s="982"/>
      <c r="E100" s="982"/>
      <c r="F100" s="982"/>
      <c r="G100" s="423"/>
      <c r="H100" s="423"/>
      <c r="I100" s="423"/>
      <c r="J100" s="423"/>
      <c r="K100" s="423"/>
      <c r="L100" s="1119"/>
      <c r="M100" s="423"/>
      <c r="N100" s="423"/>
      <c r="O100" s="887"/>
      <c r="P100" s="423"/>
      <c r="Q100" s="1204"/>
      <c r="R100" s="423"/>
      <c r="S100" s="984"/>
      <c r="T100" s="423"/>
      <c r="U100" s="423"/>
      <c r="V100" s="978"/>
      <c r="W100" s="974"/>
    </row>
    <row r="101" spans="1:23" ht="15.75" customHeight="1">
      <c r="A101" s="985" t="s">
        <v>2392</v>
      </c>
      <c r="B101" s="985"/>
      <c r="C101" s="985"/>
      <c r="D101" s="985"/>
      <c r="E101" s="985"/>
      <c r="F101" s="985"/>
      <c r="G101" s="985"/>
      <c r="H101" s="985"/>
      <c r="I101" s="985"/>
      <c r="J101" s="985"/>
      <c r="K101" s="985"/>
      <c r="L101" s="1120"/>
      <c r="M101" s="985"/>
      <c r="N101" s="985"/>
      <c r="O101" s="985"/>
      <c r="P101" s="985"/>
      <c r="Q101" s="1205"/>
      <c r="R101" s="423"/>
      <c r="S101" s="984"/>
      <c r="T101" s="423"/>
      <c r="U101" s="423"/>
      <c r="V101" s="978"/>
      <c r="W101" s="978"/>
    </row>
    <row r="102" spans="1:23">
      <c r="A102" s="986"/>
      <c r="B102" s="986"/>
      <c r="C102" s="987"/>
      <c r="D102" s="986"/>
      <c r="E102" s="986"/>
      <c r="F102" s="986"/>
      <c r="G102" s="986"/>
      <c r="H102" s="986"/>
      <c r="I102" s="986"/>
      <c r="J102" s="986"/>
      <c r="K102" s="986"/>
      <c r="L102" s="986"/>
      <c r="M102" s="986"/>
      <c r="N102" s="988"/>
      <c r="O102" s="988"/>
      <c r="P102" s="986"/>
      <c r="Q102" s="1205"/>
      <c r="R102" s="423"/>
      <c r="S102" s="984"/>
      <c r="T102" s="423"/>
      <c r="U102" s="423"/>
      <c r="V102" s="978"/>
      <c r="W102" s="978"/>
    </row>
    <row r="103" spans="1:23" ht="32.25" customHeight="1">
      <c r="A103" s="635" t="s">
        <v>37</v>
      </c>
      <c r="B103" s="635" t="s">
        <v>494</v>
      </c>
      <c r="C103" s="636" t="s">
        <v>495</v>
      </c>
      <c r="D103" s="637" t="s">
        <v>496</v>
      </c>
      <c r="E103" s="637" t="s">
        <v>497</v>
      </c>
      <c r="F103" s="637" t="s">
        <v>498</v>
      </c>
      <c r="G103" s="637" t="s">
        <v>499</v>
      </c>
      <c r="H103" s="637" t="s">
        <v>500</v>
      </c>
      <c r="I103" s="637" t="s">
        <v>501</v>
      </c>
      <c r="J103" s="637" t="s">
        <v>502</v>
      </c>
      <c r="K103" s="638" t="s">
        <v>503</v>
      </c>
      <c r="L103" s="637" t="s">
        <v>504</v>
      </c>
      <c r="M103" s="638" t="s">
        <v>505</v>
      </c>
      <c r="N103" s="637" t="s">
        <v>506</v>
      </c>
      <c r="O103" s="639" t="s">
        <v>497</v>
      </c>
      <c r="P103" s="637" t="s">
        <v>507</v>
      </c>
      <c r="Q103" s="1205"/>
      <c r="R103" s="635" t="s">
        <v>494</v>
      </c>
      <c r="S103" s="637" t="s">
        <v>462</v>
      </c>
      <c r="T103" s="637" t="s">
        <v>325</v>
      </c>
      <c r="U103" s="637" t="s">
        <v>498</v>
      </c>
      <c r="V103" s="637" t="s">
        <v>508</v>
      </c>
      <c r="W103" s="635" t="s">
        <v>508</v>
      </c>
    </row>
    <row r="104" spans="1:23" ht="18.75" customHeight="1">
      <c r="A104" s="726">
        <v>1</v>
      </c>
      <c r="B104" s="1031" t="s">
        <v>429</v>
      </c>
      <c r="C104" s="991">
        <f>VLOOKUP(B104,NXT!$Q$78:$S$118,2,0)</f>
        <v>3.2</v>
      </c>
      <c r="D104" s="375">
        <f>ROUND(C104*O104,0)</f>
        <v>60000</v>
      </c>
      <c r="E104" s="992"/>
      <c r="F104" s="992">
        <f>VLOOKUP(B104,NXT!$Q$78:$S$118,3,0)</f>
        <v>17500</v>
      </c>
      <c r="G104" s="8">
        <f t="shared" ref="G104:G128" si="35">(D104+E104)*F104</f>
        <v>1050000000</v>
      </c>
      <c r="H104" s="381"/>
      <c r="I104" s="992"/>
      <c r="J104" s="992"/>
      <c r="K104" s="992"/>
      <c r="L104" s="25">
        <f>$V$113/($O$104+$O$105)*O104</f>
        <v>12695487.241885265</v>
      </c>
      <c r="M104" s="992">
        <v>187500000</v>
      </c>
      <c r="N104" s="25">
        <f>ROUND(SUM(G104:M104),0)</f>
        <v>1250195487</v>
      </c>
      <c r="O104" s="1122">
        <v>18750</v>
      </c>
      <c r="P104" s="992">
        <f t="shared" ref="P104:P129" si="36">IF(N104&lt;&gt;0,N104/O104,0)</f>
        <v>66677.092640000003</v>
      </c>
      <c r="Q104" s="1205"/>
      <c r="R104" s="641" t="s">
        <v>327</v>
      </c>
      <c r="S104" s="1033">
        <v>42887</v>
      </c>
      <c r="T104" s="77">
        <v>150</v>
      </c>
      <c r="U104" s="1039">
        <v>32200</v>
      </c>
      <c r="V104" s="25">
        <f t="shared" ref="V104:V110" si="37">ROUND(T104*U104,0)</f>
        <v>4830000</v>
      </c>
      <c r="W104" s="25"/>
    </row>
    <row r="105" spans="1:23" ht="18.75" customHeight="1">
      <c r="A105" s="726">
        <v>2</v>
      </c>
      <c r="B105" s="1031" t="s">
        <v>429</v>
      </c>
      <c r="C105" s="991">
        <f>VLOOKUP(B105,NXT!$Q$78:$S$118,2,0)</f>
        <v>3.2</v>
      </c>
      <c r="D105" s="992">
        <f t="shared" ref="D105:D129" si="38">ROUND(C105*O105,0)</f>
        <v>360263</v>
      </c>
      <c r="E105" s="1122"/>
      <c r="F105" s="992">
        <v>18500</v>
      </c>
      <c r="G105" s="8">
        <f t="shared" si="35"/>
        <v>6664865500</v>
      </c>
      <c r="H105" s="381">
        <f t="shared" ref="H105:H129" si="39">IF($D$131&lt;&gt;0,H$131/($D$131+$E$131/5)*($D105+$E105/5),0)</f>
        <v>48533322.011052534</v>
      </c>
      <c r="I105" s="992">
        <f t="shared" ref="I105:K129" si="40">IF($D$131&lt;&gt;0,I$131/$D$131*$D105,0)</f>
        <v>38682883.076763034</v>
      </c>
      <c r="J105" s="992">
        <f t="shared" si="40"/>
        <v>56740094.727268182</v>
      </c>
      <c r="K105" s="992">
        <f t="shared" si="40"/>
        <v>35688725.26029335</v>
      </c>
      <c r="L105" s="25">
        <f>$V$113/($O$104+$O$105)*O105</f>
        <v>76228512.758114725</v>
      </c>
      <c r="M105" s="992"/>
      <c r="N105" s="25">
        <f t="shared" ref="N105:N129" si="41">ROUND(SUM(G105:M105),0)</f>
        <v>6920739038</v>
      </c>
      <c r="O105" s="1278">
        <v>112582.1</v>
      </c>
      <c r="P105" s="992">
        <f t="shared" ref="P105:P109" si="42">IF(N105&lt;&gt;0,N105/O105,0)</f>
        <v>61472.818840650507</v>
      </c>
      <c r="Q105" s="1205"/>
      <c r="R105" s="641" t="s">
        <v>333</v>
      </c>
      <c r="S105" s="1033">
        <v>42887</v>
      </c>
      <c r="T105" s="77">
        <v>150</v>
      </c>
      <c r="U105" s="843">
        <v>49808.000000000007</v>
      </c>
      <c r="V105" s="25">
        <f t="shared" si="37"/>
        <v>7471200</v>
      </c>
      <c r="W105" s="8"/>
    </row>
    <row r="106" spans="1:23" ht="18.75" customHeight="1">
      <c r="A106" s="726">
        <v>6</v>
      </c>
      <c r="B106" s="996" t="s">
        <v>1588</v>
      </c>
      <c r="C106" s="991">
        <f>VLOOKUP(B106,NXT!$Q$78:$S$118,2,0)</f>
        <v>11.5</v>
      </c>
      <c r="D106" s="992">
        <f>ROUND(C106*O106,0)</f>
        <v>151800</v>
      </c>
      <c r="E106" s="992"/>
      <c r="F106" s="992">
        <f>VLOOKUP(B106,NXT!$Q$78:$S$118,3,0)</f>
        <v>18200</v>
      </c>
      <c r="G106" s="8">
        <f t="shared" si="35"/>
        <v>2762760000</v>
      </c>
      <c r="H106" s="381">
        <f t="shared" si="39"/>
        <v>20449944.294245522</v>
      </c>
      <c r="I106" s="992">
        <f t="shared" si="40"/>
        <v>16299374.765248245</v>
      </c>
      <c r="J106" s="992">
        <f t="shared" si="40"/>
        <v>23907940.531221107</v>
      </c>
      <c r="K106" s="992">
        <f t="shared" si="40"/>
        <v>15037759.899052998</v>
      </c>
      <c r="L106" s="1288">
        <f>V114</f>
        <v>18103500</v>
      </c>
      <c r="M106" s="992"/>
      <c r="N106" s="25">
        <f t="shared" si="41"/>
        <v>2856558519</v>
      </c>
      <c r="O106" s="381">
        <v>13200</v>
      </c>
      <c r="P106" s="992">
        <f>IF(N106&lt;&gt;0,N106/O106,0)</f>
        <v>216405.9484090909</v>
      </c>
      <c r="Q106" s="1205"/>
      <c r="R106" s="641" t="s">
        <v>336</v>
      </c>
      <c r="S106" s="1033">
        <v>42887</v>
      </c>
      <c r="T106" s="77">
        <v>420</v>
      </c>
      <c r="U106" s="843">
        <v>15836.734761904761</v>
      </c>
      <c r="V106" s="25">
        <f t="shared" si="37"/>
        <v>6651429</v>
      </c>
      <c r="W106" s="8"/>
    </row>
    <row r="107" spans="1:23" ht="18.75" customHeight="1">
      <c r="A107" s="726">
        <v>3</v>
      </c>
      <c r="B107" s="425" t="s">
        <v>1545</v>
      </c>
      <c r="C107" s="991">
        <f>VLOOKUP(B107,NXT!$Q$78:$S$118,2,0)</f>
        <v>5</v>
      </c>
      <c r="D107" s="992">
        <f t="shared" si="38"/>
        <v>1200</v>
      </c>
      <c r="E107" s="992"/>
      <c r="F107" s="992">
        <f>VLOOKUP(B107,NXT!$Q$78:$S$118,3,0)</f>
        <v>35000</v>
      </c>
      <c r="G107" s="8">
        <f t="shared" si="35"/>
        <v>42000000</v>
      </c>
      <c r="H107" s="381">
        <f t="shared" si="39"/>
        <v>161659.63868968794</v>
      </c>
      <c r="I107" s="992">
        <f t="shared" si="40"/>
        <v>128848.81237350391</v>
      </c>
      <c r="J107" s="992">
        <f t="shared" si="40"/>
        <v>188995.57732190599</v>
      </c>
      <c r="K107" s="992">
        <f t="shared" si="40"/>
        <v>118875.57232452962</v>
      </c>
      <c r="L107" s="1288">
        <f>$V$115/SUM($O$107:$O$113)*O107</f>
        <v>227368.42105263157</v>
      </c>
      <c r="M107" s="992"/>
      <c r="N107" s="25">
        <f t="shared" si="41"/>
        <v>42825748</v>
      </c>
      <c r="O107" s="381">
        <v>240</v>
      </c>
      <c r="P107" s="992">
        <f t="shared" si="42"/>
        <v>178440.61666666667</v>
      </c>
      <c r="Q107" s="1205"/>
      <c r="R107" s="641" t="s">
        <v>804</v>
      </c>
      <c r="S107" s="1033">
        <v>42887</v>
      </c>
      <c r="T107" s="77">
        <v>40</v>
      </c>
      <c r="U107" s="843">
        <v>53000</v>
      </c>
      <c r="V107" s="25">
        <f t="shared" si="37"/>
        <v>2120000</v>
      </c>
      <c r="W107" s="8"/>
    </row>
    <row r="108" spans="1:23" ht="18.75" customHeight="1">
      <c r="A108" s="726">
        <v>4</v>
      </c>
      <c r="B108" s="996" t="s">
        <v>793</v>
      </c>
      <c r="C108" s="991">
        <f>VLOOKUP(B108,NXT!$Q$78:$S$118,2,0)</f>
        <v>8.6999999999999993</v>
      </c>
      <c r="D108" s="992">
        <f t="shared" si="38"/>
        <v>2088</v>
      </c>
      <c r="E108" s="992"/>
      <c r="F108" s="992">
        <f>VLOOKUP(B108,NXT!$Q$78:$S$118,3,0)</f>
        <v>18500</v>
      </c>
      <c r="G108" s="8">
        <f t="shared" si="35"/>
        <v>38628000</v>
      </c>
      <c r="H108" s="381">
        <f t="shared" si="39"/>
        <v>281287.77132005699</v>
      </c>
      <c r="I108" s="992">
        <f t="shared" si="40"/>
        <v>224196.93352989681</v>
      </c>
      <c r="J108" s="992">
        <f t="shared" si="40"/>
        <v>328852.3045401164</v>
      </c>
      <c r="K108" s="992">
        <f t="shared" si="40"/>
        <v>206843.49584468154</v>
      </c>
      <c r="L108" s="1288">
        <f t="shared" ref="L108:L113" si="43">$V$115/SUM($O$107:$O$113)*O108</f>
        <v>227368.42105263157</v>
      </c>
      <c r="M108" s="992"/>
      <c r="N108" s="25">
        <f t="shared" si="41"/>
        <v>39896549</v>
      </c>
      <c r="O108" s="381">
        <v>240</v>
      </c>
      <c r="P108" s="992">
        <f t="shared" si="42"/>
        <v>166235.62083333332</v>
      </c>
      <c r="Q108" s="1205"/>
      <c r="R108" s="641" t="s">
        <v>341</v>
      </c>
      <c r="S108" s="1033">
        <v>42887</v>
      </c>
      <c r="T108" s="77">
        <v>600</v>
      </c>
      <c r="U108" s="843">
        <v>3200</v>
      </c>
      <c r="V108" s="25">
        <f t="shared" si="37"/>
        <v>1920000</v>
      </c>
      <c r="W108" s="8"/>
    </row>
    <row r="109" spans="1:23" ht="18.75" customHeight="1">
      <c r="A109" s="726">
        <v>5</v>
      </c>
      <c r="B109" s="996" t="s">
        <v>1544</v>
      </c>
      <c r="C109" s="991">
        <f>VLOOKUP(B109,NXT!$Q$78:$S$118,2,0)</f>
        <v>5</v>
      </c>
      <c r="D109" s="992">
        <f t="shared" si="38"/>
        <v>1200</v>
      </c>
      <c r="E109" s="992"/>
      <c r="F109" s="992">
        <f>VLOOKUP(B109,NXT!$Q$78:$S$118,3,0)</f>
        <v>30000</v>
      </c>
      <c r="G109" s="8">
        <f t="shared" si="35"/>
        <v>36000000</v>
      </c>
      <c r="H109" s="381">
        <f t="shared" si="39"/>
        <v>161659.63868968794</v>
      </c>
      <c r="I109" s="992">
        <f t="shared" si="40"/>
        <v>128848.81237350391</v>
      </c>
      <c r="J109" s="992">
        <f t="shared" si="40"/>
        <v>188995.57732190599</v>
      </c>
      <c r="K109" s="992">
        <f t="shared" si="40"/>
        <v>118875.57232452962</v>
      </c>
      <c r="L109" s="1288">
        <f t="shared" si="43"/>
        <v>227368.42105263157</v>
      </c>
      <c r="M109" s="992"/>
      <c r="N109" s="25">
        <f t="shared" si="41"/>
        <v>36825748</v>
      </c>
      <c r="O109" s="381">
        <v>240</v>
      </c>
      <c r="P109" s="992">
        <f t="shared" si="42"/>
        <v>153440.61666666667</v>
      </c>
      <c r="Q109" s="1205"/>
      <c r="R109" s="641" t="s">
        <v>1257</v>
      </c>
      <c r="S109" s="1033">
        <v>42887</v>
      </c>
      <c r="T109" s="77">
        <v>2700</v>
      </c>
      <c r="U109" s="843">
        <v>14728</v>
      </c>
      <c r="V109" s="25">
        <f t="shared" si="37"/>
        <v>39765600</v>
      </c>
      <c r="W109" s="8"/>
    </row>
    <row r="110" spans="1:23" ht="18.75" customHeight="1">
      <c r="A110" s="726">
        <v>7</v>
      </c>
      <c r="B110" s="996" t="s">
        <v>1547</v>
      </c>
      <c r="C110" s="991">
        <f>VLOOKUP(B110,NXT!$Q$78:$S$118,2,0)</f>
        <v>5</v>
      </c>
      <c r="D110" s="992">
        <f t="shared" si="38"/>
        <v>11000</v>
      </c>
      <c r="E110" s="992"/>
      <c r="F110" s="992">
        <f>VLOOKUP(B110,NXT!$Q$78:$S$118,3,0)</f>
        <v>30000</v>
      </c>
      <c r="G110" s="8">
        <f t="shared" si="35"/>
        <v>330000000</v>
      </c>
      <c r="H110" s="381">
        <f t="shared" si="39"/>
        <v>1481880.0213221393</v>
      </c>
      <c r="I110" s="992">
        <f t="shared" si="40"/>
        <v>1181114.1134237859</v>
      </c>
      <c r="J110" s="992">
        <f t="shared" si="40"/>
        <v>1732459.4587841383</v>
      </c>
      <c r="K110" s="992">
        <f t="shared" si="40"/>
        <v>1089692.7463081882</v>
      </c>
      <c r="L110" s="1288">
        <f t="shared" si="43"/>
        <v>2084210.5263157894</v>
      </c>
      <c r="M110" s="992"/>
      <c r="N110" s="25">
        <f t="shared" si="41"/>
        <v>337569357</v>
      </c>
      <c r="O110" s="381">
        <v>2200</v>
      </c>
      <c r="P110" s="992">
        <f t="shared" si="36"/>
        <v>153440.61681818182</v>
      </c>
      <c r="Q110" s="1205"/>
      <c r="R110" s="641" t="s">
        <v>346</v>
      </c>
      <c r="S110" s="1033">
        <v>42887</v>
      </c>
      <c r="T110" s="1039">
        <v>200</v>
      </c>
      <c r="U110" s="1048">
        <v>8500</v>
      </c>
      <c r="V110" s="25">
        <f t="shared" si="37"/>
        <v>1700000</v>
      </c>
      <c r="W110" s="8"/>
    </row>
    <row r="111" spans="1:23" ht="18.75" customHeight="1">
      <c r="A111" s="726">
        <v>8</v>
      </c>
      <c r="B111" s="432" t="s">
        <v>1582</v>
      </c>
      <c r="C111" s="991">
        <f>VLOOKUP(B111,NXT!$Q$78:$S$118,2,0)</f>
        <v>5</v>
      </c>
      <c r="D111" s="992">
        <f t="shared" si="38"/>
        <v>3300</v>
      </c>
      <c r="E111" s="992"/>
      <c r="F111" s="992">
        <f>VLOOKUP(B111,NXT!$Q$78:$S$118,3,0)</f>
        <v>37000</v>
      </c>
      <c r="G111" s="8">
        <f t="shared" si="35"/>
        <v>122100000</v>
      </c>
      <c r="H111" s="381">
        <f t="shared" si="39"/>
        <v>444564.00639664178</v>
      </c>
      <c r="I111" s="992">
        <f t="shared" si="40"/>
        <v>354334.23402713577</v>
      </c>
      <c r="J111" s="992">
        <f t="shared" si="40"/>
        <v>519737.83763524145</v>
      </c>
      <c r="K111" s="992">
        <f t="shared" si="40"/>
        <v>326907.82389245648</v>
      </c>
      <c r="L111" s="1288">
        <f t="shared" si="43"/>
        <v>625263.15789473685</v>
      </c>
      <c r="M111" s="992"/>
      <c r="N111" s="25">
        <f t="shared" si="41"/>
        <v>124370807</v>
      </c>
      <c r="O111" s="381">
        <v>660</v>
      </c>
      <c r="P111" s="992">
        <f t="shared" si="36"/>
        <v>188440.61666666667</v>
      </c>
      <c r="Q111" s="1205"/>
      <c r="R111" s="429"/>
      <c r="S111" s="644"/>
      <c r="T111" s="77"/>
      <c r="U111" s="77"/>
      <c r="V111" s="25"/>
      <c r="W111" s="8"/>
    </row>
    <row r="112" spans="1:23" ht="18.75" customHeight="1">
      <c r="A112" s="726">
        <v>9</v>
      </c>
      <c r="B112" s="996" t="s">
        <v>1107</v>
      </c>
      <c r="C112" s="991">
        <f>VLOOKUP(B112,NXT!$Q$78:$S$118,2,0)</f>
        <v>5.5</v>
      </c>
      <c r="D112" s="992">
        <f t="shared" si="38"/>
        <v>990</v>
      </c>
      <c r="E112" s="992"/>
      <c r="F112" s="992">
        <f>VLOOKUP(B112,NXT!$Q$78:$S$118,3,0)</f>
        <v>37000</v>
      </c>
      <c r="G112" s="8">
        <f t="shared" si="35"/>
        <v>36630000</v>
      </c>
      <c r="H112" s="381">
        <f t="shared" si="39"/>
        <v>133369.20191899253</v>
      </c>
      <c r="I112" s="992">
        <f t="shared" si="40"/>
        <v>106300.27020814072</v>
      </c>
      <c r="J112" s="992">
        <f t="shared" si="40"/>
        <v>155921.35129057243</v>
      </c>
      <c r="K112" s="992">
        <f t="shared" si="40"/>
        <v>98072.347167736938</v>
      </c>
      <c r="L112" s="1288">
        <f t="shared" si="43"/>
        <v>170526.31578947368</v>
      </c>
      <c r="M112" s="992"/>
      <c r="N112" s="25">
        <f t="shared" si="41"/>
        <v>37294189</v>
      </c>
      <c r="O112" s="381">
        <v>180</v>
      </c>
      <c r="P112" s="992">
        <f t="shared" si="36"/>
        <v>207189.93888888889</v>
      </c>
      <c r="Q112" s="1206"/>
      <c r="R112" s="1026"/>
      <c r="S112" s="1027"/>
      <c r="T112" s="1028"/>
      <c r="U112" s="1035"/>
      <c r="V112" s="804">
        <f>SUM(V104:V111)</f>
        <v>64458229</v>
      </c>
      <c r="W112" s="70">
        <f>SUM(W104:W111)</f>
        <v>0</v>
      </c>
    </row>
    <row r="113" spans="1:23" ht="18.75" customHeight="1">
      <c r="A113" s="726">
        <v>10</v>
      </c>
      <c r="B113" s="996" t="s">
        <v>1583</v>
      </c>
      <c r="C113" s="991">
        <f>VLOOKUP(B113,NXT!$Q$78:$S$118,2,0)</f>
        <v>4.5</v>
      </c>
      <c r="D113" s="992">
        <f t="shared" si="38"/>
        <v>1890</v>
      </c>
      <c r="E113" s="992"/>
      <c r="F113" s="992">
        <f>VLOOKUP(B113,NXT!$Q$78:$S$118,3,0)</f>
        <v>57500</v>
      </c>
      <c r="G113" s="8">
        <f t="shared" si="35"/>
        <v>108675000</v>
      </c>
      <c r="H113" s="381">
        <f t="shared" si="39"/>
        <v>254613.93093625849</v>
      </c>
      <c r="I113" s="992">
        <f t="shared" si="40"/>
        <v>202936.87948826866</v>
      </c>
      <c r="J113" s="992">
        <f t="shared" si="40"/>
        <v>297668.03428200196</v>
      </c>
      <c r="K113" s="992">
        <f t="shared" si="40"/>
        <v>187229.02641113417</v>
      </c>
      <c r="L113" s="1288">
        <f t="shared" si="43"/>
        <v>397894.73684210528</v>
      </c>
      <c r="M113" s="992"/>
      <c r="N113" s="25">
        <f t="shared" si="41"/>
        <v>110015343</v>
      </c>
      <c r="O113" s="381">
        <v>420</v>
      </c>
      <c r="P113" s="992">
        <f t="shared" si="36"/>
        <v>261941.29285714286</v>
      </c>
      <c r="Q113" s="1204"/>
      <c r="R113" s="432" t="s">
        <v>795</v>
      </c>
      <c r="S113" s="1033">
        <v>42887</v>
      </c>
      <c r="T113" s="1203">
        <v>10105</v>
      </c>
      <c r="U113" s="77">
        <v>8800</v>
      </c>
      <c r="V113" s="25">
        <f>ROUND(T113*U113,0)</f>
        <v>88924000</v>
      </c>
      <c r="W113" s="25"/>
    </row>
    <row r="114" spans="1:23" ht="18.75" customHeight="1">
      <c r="A114" s="726">
        <v>11</v>
      </c>
      <c r="B114" s="996" t="s">
        <v>1584</v>
      </c>
      <c r="C114" s="991">
        <f>VLOOKUP(B114,NXT!$Q$78:$S$118,2,0)</f>
        <v>11</v>
      </c>
      <c r="D114" s="992">
        <f t="shared" si="38"/>
        <v>18480</v>
      </c>
      <c r="E114" s="992"/>
      <c r="F114" s="992">
        <f>VLOOKUP(B114,NXT!$Q$78:$S$118,3,0)</f>
        <v>17500</v>
      </c>
      <c r="G114" s="8">
        <f t="shared" si="35"/>
        <v>323400000</v>
      </c>
      <c r="H114" s="381">
        <f t="shared" si="39"/>
        <v>2489558.4358211942</v>
      </c>
      <c r="I114" s="992">
        <f t="shared" si="40"/>
        <v>1984271.7105519602</v>
      </c>
      <c r="J114" s="992">
        <f t="shared" si="40"/>
        <v>2910531.8907573521</v>
      </c>
      <c r="K114" s="992">
        <f t="shared" si="40"/>
        <v>1830683.8137977561</v>
      </c>
      <c r="L114" s="992">
        <f>$V$116/($O$114+$O$115)*O114</f>
        <v>2051608.6956521738</v>
      </c>
      <c r="M114" s="992"/>
      <c r="N114" s="25">
        <f t="shared" si="41"/>
        <v>334666655</v>
      </c>
      <c r="O114" s="381">
        <v>1680</v>
      </c>
      <c r="P114" s="992">
        <f t="shared" si="36"/>
        <v>199206.34226190476</v>
      </c>
      <c r="Q114" s="1204"/>
      <c r="R114" s="432" t="s">
        <v>371</v>
      </c>
      <c r="S114" s="1033">
        <v>42888</v>
      </c>
      <c r="T114" s="843">
        <v>1341</v>
      </c>
      <c r="U114" s="843">
        <v>13500</v>
      </c>
      <c r="V114" s="25">
        <f t="shared" ref="V114:V115" si="44">ROUND(T114*U114,0)</f>
        <v>18103500</v>
      </c>
      <c r="W114" s="25"/>
    </row>
    <row r="115" spans="1:23" ht="18.75" customHeight="1">
      <c r="A115" s="726">
        <v>12</v>
      </c>
      <c r="B115" s="996" t="s">
        <v>425</v>
      </c>
      <c r="C115" s="991">
        <f>VLOOKUP(B115,NXT!$Q$78:$S$118,2,0)</f>
        <v>2.2999999999999998</v>
      </c>
      <c r="D115" s="992">
        <f t="shared" si="38"/>
        <v>4600</v>
      </c>
      <c r="E115" s="992"/>
      <c r="F115" s="992">
        <f>VLOOKUP(B115,NXT!$Q$78:$S$118,3,0)</f>
        <v>275000</v>
      </c>
      <c r="G115" s="8">
        <f t="shared" si="35"/>
        <v>1265000000</v>
      </c>
      <c r="H115" s="381">
        <f t="shared" si="39"/>
        <v>619695.2816438037</v>
      </c>
      <c r="I115" s="992">
        <f t="shared" si="40"/>
        <v>493920.44743176497</v>
      </c>
      <c r="J115" s="992">
        <f t="shared" si="40"/>
        <v>724483.04640063958</v>
      </c>
      <c r="K115" s="992">
        <f t="shared" si="40"/>
        <v>455689.69391069689</v>
      </c>
      <c r="L115" s="992">
        <f>$V$116/($O$114+$O$115)*O115</f>
        <v>2442391.3043478262</v>
      </c>
      <c r="M115" s="992"/>
      <c r="N115" s="25">
        <f t="shared" si="41"/>
        <v>1269736180</v>
      </c>
      <c r="O115" s="381">
        <v>2000</v>
      </c>
      <c r="P115" s="992">
        <f t="shared" si="36"/>
        <v>634868.09</v>
      </c>
      <c r="Q115" s="1204"/>
      <c r="R115" s="432" t="s">
        <v>795</v>
      </c>
      <c r="S115" s="1033">
        <v>42911</v>
      </c>
      <c r="T115" s="77">
        <v>450</v>
      </c>
      <c r="U115" s="77">
        <v>8800</v>
      </c>
      <c r="V115" s="25">
        <f t="shared" si="44"/>
        <v>3960000</v>
      </c>
      <c r="W115" s="8"/>
    </row>
    <row r="116" spans="1:23" ht="18.75" customHeight="1">
      <c r="A116" s="726">
        <v>13</v>
      </c>
      <c r="B116" s="432" t="s">
        <v>426</v>
      </c>
      <c r="C116" s="991">
        <f>VLOOKUP(B116,NXT!$Q$78:$S$118,2,0)</f>
        <v>10.5</v>
      </c>
      <c r="D116" s="992">
        <f t="shared" si="38"/>
        <v>16800</v>
      </c>
      <c r="E116" s="992"/>
      <c r="F116" s="992">
        <f>VLOOKUP(B116,NXT!$Q$78:$S$118,3,0)</f>
        <v>17000</v>
      </c>
      <c r="G116" s="8">
        <f t="shared" si="35"/>
        <v>285600000</v>
      </c>
      <c r="H116" s="381">
        <f t="shared" si="39"/>
        <v>2263234.9416556312</v>
      </c>
      <c r="I116" s="992">
        <f t="shared" si="40"/>
        <v>1803883.3732290547</v>
      </c>
      <c r="J116" s="992">
        <f t="shared" si="40"/>
        <v>2645938.0825066837</v>
      </c>
      <c r="K116" s="992">
        <f t="shared" si="40"/>
        <v>1664258.0125434147</v>
      </c>
      <c r="L116" s="992">
        <f>$V$117+V118</f>
        <v>20763000</v>
      </c>
      <c r="M116" s="992"/>
      <c r="N116" s="25">
        <f t="shared" si="41"/>
        <v>314740314</v>
      </c>
      <c r="O116" s="381">
        <v>1600</v>
      </c>
      <c r="P116" s="992">
        <f t="shared" si="36"/>
        <v>196712.69625000001</v>
      </c>
      <c r="Q116" s="1204"/>
      <c r="R116" s="432" t="s">
        <v>745</v>
      </c>
      <c r="S116" s="1033">
        <v>42911</v>
      </c>
      <c r="T116" s="77">
        <v>321</v>
      </c>
      <c r="U116" s="77">
        <v>14000</v>
      </c>
      <c r="V116" s="25">
        <f t="shared" ref="V116:V120" si="45">ROUND(T116*U116,0)</f>
        <v>4494000</v>
      </c>
      <c r="W116" s="8"/>
    </row>
    <row r="117" spans="1:23" ht="18.75" customHeight="1">
      <c r="A117" s="726">
        <v>14</v>
      </c>
      <c r="B117" s="1284" t="s">
        <v>1639</v>
      </c>
      <c r="C117" s="991">
        <f>VLOOKUP(B117,NXT!$Q$78:$S$118,2,0)</f>
        <v>5</v>
      </c>
      <c r="D117" s="992">
        <f t="shared" si="38"/>
        <v>15000</v>
      </c>
      <c r="E117" s="992"/>
      <c r="F117" s="992">
        <f>VLOOKUP(B117,NXT!$Q$78:$S$118,3,0)</f>
        <v>19500</v>
      </c>
      <c r="G117" s="8">
        <f t="shared" si="35"/>
        <v>292500000</v>
      </c>
      <c r="H117" s="381">
        <f t="shared" si="39"/>
        <v>2020745.483621099</v>
      </c>
      <c r="I117" s="992">
        <f t="shared" si="40"/>
        <v>1610610.1546687989</v>
      </c>
      <c r="J117" s="992">
        <f t="shared" si="40"/>
        <v>2362444.7165238247</v>
      </c>
      <c r="K117" s="992">
        <f t="shared" si="40"/>
        <v>1485944.6540566203</v>
      </c>
      <c r="L117" s="992">
        <f>V119</f>
        <v>6992000</v>
      </c>
      <c r="M117" s="992"/>
      <c r="N117" s="25">
        <f t="shared" si="41"/>
        <v>306971745</v>
      </c>
      <c r="O117" s="381">
        <v>3000</v>
      </c>
      <c r="P117" s="992">
        <f t="shared" si="36"/>
        <v>102323.91499999999</v>
      </c>
      <c r="Q117" s="1204"/>
      <c r="R117" s="73" t="s">
        <v>564</v>
      </c>
      <c r="S117" s="1033">
        <v>42906</v>
      </c>
      <c r="T117" s="77">
        <v>900</v>
      </c>
      <c r="U117" s="77">
        <v>19000</v>
      </c>
      <c r="V117" s="25">
        <f t="shared" si="45"/>
        <v>17100000</v>
      </c>
      <c r="W117" s="8"/>
    </row>
    <row r="118" spans="1:23" ht="18.75" customHeight="1">
      <c r="A118" s="726">
        <v>15</v>
      </c>
      <c r="B118" s="1284" t="s">
        <v>1620</v>
      </c>
      <c r="C118" s="991">
        <f>VLOOKUP(B118,NXT!$Q$78:$S$118,2,0)</f>
        <v>5</v>
      </c>
      <c r="D118" s="992">
        <f t="shared" si="38"/>
        <v>450</v>
      </c>
      <c r="E118" s="992"/>
      <c r="F118" s="992">
        <f>VLOOKUP(B118,NXT!$Q$78:$S$118,3,0)</f>
        <v>60000</v>
      </c>
      <c r="G118" s="8">
        <f t="shared" si="35"/>
        <v>27000000</v>
      </c>
      <c r="H118" s="381">
        <f t="shared" si="39"/>
        <v>60622.364508632971</v>
      </c>
      <c r="I118" s="992">
        <f t="shared" si="40"/>
        <v>48318.304640063965</v>
      </c>
      <c r="J118" s="992">
        <f t="shared" si="40"/>
        <v>70873.341495714747</v>
      </c>
      <c r="K118" s="992">
        <f t="shared" si="40"/>
        <v>44578.339621698608</v>
      </c>
      <c r="L118" s="1288">
        <f>$V$120/SUM($O$118:$O$129)*O118</f>
        <v>327671.58434894163</v>
      </c>
      <c r="M118" s="992"/>
      <c r="N118" s="25">
        <f t="shared" si="41"/>
        <v>27552064</v>
      </c>
      <c r="O118" s="381">
        <v>90</v>
      </c>
      <c r="P118" s="992">
        <f t="shared" ref="P118:P122" si="46">IF(N118&lt;&gt;0,N118/O118,0)</f>
        <v>306134.04444444447</v>
      </c>
      <c r="Q118" s="1204"/>
      <c r="R118" s="1010" t="s">
        <v>381</v>
      </c>
      <c r="S118" s="1033">
        <v>42906</v>
      </c>
      <c r="T118" s="843">
        <v>222</v>
      </c>
      <c r="U118" s="77">
        <v>16500</v>
      </c>
      <c r="V118" s="25">
        <f t="shared" si="45"/>
        <v>3663000</v>
      </c>
      <c r="W118" s="8"/>
    </row>
    <row r="119" spans="1:23" ht="18.75" customHeight="1">
      <c r="A119" s="726">
        <v>16</v>
      </c>
      <c r="B119" s="960" t="s">
        <v>2477</v>
      </c>
      <c r="C119" s="991">
        <f>VLOOKUP(B119,NXT!$Q$78:$S$118,2,0)</f>
        <v>5</v>
      </c>
      <c r="D119" s="992">
        <f t="shared" si="38"/>
        <v>2250</v>
      </c>
      <c r="E119" s="992"/>
      <c r="F119" s="992">
        <f>VLOOKUP(B119,NXT!$Q$78:$S$118,3,0)</f>
        <v>28500</v>
      </c>
      <c r="G119" s="8">
        <f t="shared" si="35"/>
        <v>64125000</v>
      </c>
      <c r="H119" s="381">
        <f t="shared" si="39"/>
        <v>303111.82254316489</v>
      </c>
      <c r="I119" s="992">
        <f t="shared" si="40"/>
        <v>241591.52320031982</v>
      </c>
      <c r="J119" s="992">
        <f t="shared" si="40"/>
        <v>354366.70747857372</v>
      </c>
      <c r="K119" s="992">
        <f t="shared" si="40"/>
        <v>222891.69810849303</v>
      </c>
      <c r="L119" s="1288">
        <f t="shared" ref="L119:L129" si="47">$V$120/SUM($O$118:$O$129)*O119</f>
        <v>1638357.9217447082</v>
      </c>
      <c r="M119" s="992"/>
      <c r="N119" s="25">
        <f t="shared" si="41"/>
        <v>66885320</v>
      </c>
      <c r="O119" s="381">
        <v>450</v>
      </c>
      <c r="P119" s="992">
        <f t="shared" si="46"/>
        <v>148634.04444444444</v>
      </c>
      <c r="Q119" s="1204"/>
      <c r="R119" s="432" t="s">
        <v>745</v>
      </c>
      <c r="S119" s="1033">
        <v>42894</v>
      </c>
      <c r="T119" s="77">
        <v>320</v>
      </c>
      <c r="U119" s="77">
        <v>21850</v>
      </c>
      <c r="V119" s="25">
        <f t="shared" si="45"/>
        <v>6992000</v>
      </c>
      <c r="W119" s="8"/>
    </row>
    <row r="120" spans="1:23" ht="18.75" customHeight="1">
      <c r="A120" s="726">
        <v>17</v>
      </c>
      <c r="B120" s="1284" t="s">
        <v>1621</v>
      </c>
      <c r="C120" s="991">
        <f>VLOOKUP(B120,NXT!$Q$78:$S$118,2,0)</f>
        <v>5</v>
      </c>
      <c r="D120" s="992">
        <f t="shared" si="38"/>
        <v>2875</v>
      </c>
      <c r="E120" s="992"/>
      <c r="F120" s="992">
        <f>VLOOKUP(B120,NXT!$Q$78:$S$118,3,0)</f>
        <v>28500</v>
      </c>
      <c r="G120" s="8">
        <f t="shared" si="35"/>
        <v>81937500</v>
      </c>
      <c r="H120" s="381">
        <f t="shared" si="39"/>
        <v>387309.55102737731</v>
      </c>
      <c r="I120" s="992">
        <f t="shared" si="40"/>
        <v>308700.27964485314</v>
      </c>
      <c r="J120" s="992">
        <f t="shared" si="40"/>
        <v>452801.90400039975</v>
      </c>
      <c r="K120" s="992">
        <f t="shared" si="40"/>
        <v>284806.05869418557</v>
      </c>
      <c r="L120" s="1288">
        <f t="shared" si="47"/>
        <v>2093457.3444515716</v>
      </c>
      <c r="M120" s="992"/>
      <c r="N120" s="25">
        <f t="shared" si="41"/>
        <v>85464575</v>
      </c>
      <c r="O120" s="381">
        <v>575</v>
      </c>
      <c r="P120" s="992">
        <f t="shared" si="46"/>
        <v>148634.04347826086</v>
      </c>
      <c r="Q120" s="1204"/>
      <c r="R120" s="432" t="s">
        <v>368</v>
      </c>
      <c r="S120" s="1033">
        <v>42911</v>
      </c>
      <c r="T120" s="77">
        <v>1419</v>
      </c>
      <c r="U120" s="77">
        <v>6000</v>
      </c>
      <c r="V120" s="25">
        <f t="shared" si="45"/>
        <v>8514000</v>
      </c>
      <c r="W120" s="8"/>
    </row>
    <row r="121" spans="1:23" ht="18.75" customHeight="1">
      <c r="A121" s="726">
        <v>18</v>
      </c>
      <c r="B121" s="996" t="s">
        <v>418</v>
      </c>
      <c r="C121" s="991">
        <f>VLOOKUP(B121,NXT!$Q$78:$S$118,2,0)</f>
        <v>4.5</v>
      </c>
      <c r="D121" s="992">
        <f t="shared" si="38"/>
        <v>1413</v>
      </c>
      <c r="E121" s="992"/>
      <c r="F121" s="992">
        <f>VLOOKUP(B121,NXT!$Q$78:$S$118,3,0)</f>
        <v>18500</v>
      </c>
      <c r="G121" s="8">
        <f t="shared" si="35"/>
        <v>26140500</v>
      </c>
      <c r="H121" s="381">
        <f t="shared" si="39"/>
        <v>190354.22455710755</v>
      </c>
      <c r="I121" s="992">
        <f t="shared" si="40"/>
        <v>151719.47656980084</v>
      </c>
      <c r="J121" s="992">
        <f t="shared" si="40"/>
        <v>222542.2922965443</v>
      </c>
      <c r="K121" s="992">
        <f t="shared" si="40"/>
        <v>139975.98641213364</v>
      </c>
      <c r="L121" s="1288">
        <f t="shared" si="47"/>
        <v>1143209.7498396409</v>
      </c>
      <c r="M121" s="992"/>
      <c r="N121" s="25">
        <f t="shared" si="41"/>
        <v>27988302</v>
      </c>
      <c r="O121" s="381">
        <v>314</v>
      </c>
      <c r="P121" s="992">
        <f t="shared" si="46"/>
        <v>89134.71974522293</v>
      </c>
      <c r="Q121" s="1204"/>
      <c r="R121" s="432"/>
      <c r="S121" s="1033"/>
      <c r="T121" s="77"/>
      <c r="U121" s="77"/>
      <c r="V121" s="25"/>
      <c r="W121" s="8"/>
    </row>
    <row r="122" spans="1:23" ht="18.75" customHeight="1">
      <c r="A122" s="726">
        <v>19</v>
      </c>
      <c r="B122" s="996" t="s">
        <v>1406</v>
      </c>
      <c r="C122" s="991">
        <f>VLOOKUP(B122,NXT!$Q$78:$S$118,2,0)</f>
        <v>5</v>
      </c>
      <c r="D122" s="992">
        <f t="shared" si="38"/>
        <v>550</v>
      </c>
      <c r="E122" s="992"/>
      <c r="F122" s="992">
        <f>VLOOKUP(B122,NXT!$Q$78:$S$118,3,0)</f>
        <v>23000</v>
      </c>
      <c r="G122" s="8">
        <f t="shared" si="35"/>
        <v>12650000</v>
      </c>
      <c r="H122" s="381">
        <f t="shared" si="39"/>
        <v>74094.001066106968</v>
      </c>
      <c r="I122" s="992">
        <f t="shared" si="40"/>
        <v>59055.705671189295</v>
      </c>
      <c r="J122" s="992">
        <f t="shared" si="40"/>
        <v>86622.972939206913</v>
      </c>
      <c r="K122" s="992">
        <f t="shared" si="40"/>
        <v>54484.637315409411</v>
      </c>
      <c r="L122" s="1288">
        <f t="shared" si="47"/>
        <v>400487.49198203976</v>
      </c>
      <c r="M122" s="992"/>
      <c r="N122" s="25">
        <f t="shared" si="41"/>
        <v>13324745</v>
      </c>
      <c r="O122" s="381">
        <v>110</v>
      </c>
      <c r="P122" s="992">
        <f t="shared" si="46"/>
        <v>121134.04545454546</v>
      </c>
      <c r="Q122" s="1204"/>
      <c r="R122" s="432"/>
      <c r="S122" s="1033"/>
      <c r="T122" s="77"/>
      <c r="U122" s="77"/>
      <c r="V122" s="25"/>
      <c r="W122" s="8"/>
    </row>
    <row r="123" spans="1:23" ht="18.75" customHeight="1">
      <c r="A123" s="726">
        <v>20</v>
      </c>
      <c r="B123" s="996" t="s">
        <v>1107</v>
      </c>
      <c r="C123" s="991">
        <f>VLOOKUP(B123,NXT!$Q$78:$S$118,2,0)</f>
        <v>5.5</v>
      </c>
      <c r="D123" s="992">
        <f t="shared" si="38"/>
        <v>660</v>
      </c>
      <c r="E123" s="992"/>
      <c r="F123" s="992">
        <f>VLOOKUP(B123,NXT!$Q$78:$S$118,3,0)</f>
        <v>37000</v>
      </c>
      <c r="G123" s="8">
        <f t="shared" si="35"/>
        <v>24420000</v>
      </c>
      <c r="H123" s="381">
        <f t="shared" si="39"/>
        <v>88912.801279328356</v>
      </c>
      <c r="I123" s="992">
        <f t="shared" si="40"/>
        <v>70866.846805427151</v>
      </c>
      <c r="J123" s="992">
        <f t="shared" si="40"/>
        <v>103947.56752704829</v>
      </c>
      <c r="K123" s="992">
        <f t="shared" si="40"/>
        <v>65381.564778491294</v>
      </c>
      <c r="L123" s="1288">
        <f t="shared" si="47"/>
        <v>436895.44579858886</v>
      </c>
      <c r="M123" s="992"/>
      <c r="N123" s="25">
        <f t="shared" si="41"/>
        <v>25186004</v>
      </c>
      <c r="O123" s="381">
        <v>120</v>
      </c>
      <c r="P123" s="992">
        <f t="shared" si="36"/>
        <v>209883.36666666667</v>
      </c>
      <c r="Q123" s="1204"/>
      <c r="R123" s="432"/>
      <c r="S123" s="1033"/>
      <c r="T123" s="77"/>
      <c r="U123" s="77"/>
      <c r="V123" s="25"/>
      <c r="W123" s="8"/>
    </row>
    <row r="124" spans="1:23" ht="18.75" customHeight="1">
      <c r="A124" s="726">
        <v>21</v>
      </c>
      <c r="B124" s="996" t="s">
        <v>799</v>
      </c>
      <c r="C124" s="991">
        <f>VLOOKUP(B124,NXT!$Q$78:$S$118,2,0)</f>
        <v>6</v>
      </c>
      <c r="D124" s="992">
        <f t="shared" si="38"/>
        <v>993</v>
      </c>
      <c r="E124" s="992"/>
      <c r="F124" s="992">
        <v>18000</v>
      </c>
      <c r="G124" s="8">
        <f t="shared" si="35"/>
        <v>17874000</v>
      </c>
      <c r="H124" s="381">
        <f t="shared" si="39"/>
        <v>133773.35101571676</v>
      </c>
      <c r="I124" s="992">
        <f t="shared" si="40"/>
        <v>106622.39223907448</v>
      </c>
      <c r="J124" s="992">
        <f t="shared" si="40"/>
        <v>156393.84023387721</v>
      </c>
      <c r="K124" s="992">
        <f t="shared" si="40"/>
        <v>98369.536098548269</v>
      </c>
      <c r="L124" s="1288">
        <f t="shared" si="47"/>
        <v>602551.63566388714</v>
      </c>
      <c r="M124" s="992"/>
      <c r="N124" s="25">
        <f t="shared" si="41"/>
        <v>18971711</v>
      </c>
      <c r="O124" s="381">
        <v>165.5</v>
      </c>
      <c r="P124" s="992">
        <f t="shared" ref="P124:P127" si="48">IF(N124&lt;&gt;0,N124/O124,0)</f>
        <v>114632.69486404833</v>
      </c>
      <c r="Q124" s="1204"/>
      <c r="R124" s="432"/>
      <c r="S124" s="1033"/>
      <c r="T124" s="77"/>
      <c r="U124" s="77"/>
      <c r="V124" s="25"/>
      <c r="W124" s="8"/>
    </row>
    <row r="125" spans="1:23" ht="18.75" customHeight="1">
      <c r="A125" s="726">
        <v>22</v>
      </c>
      <c r="B125" s="996" t="s">
        <v>800</v>
      </c>
      <c r="C125" s="991">
        <f>VLOOKUP(B125,NXT!$Q$78:$S$118,2,0)</f>
        <v>6</v>
      </c>
      <c r="D125" s="992">
        <f t="shared" si="38"/>
        <v>1260</v>
      </c>
      <c r="E125" s="992"/>
      <c r="F125" s="992">
        <f>VLOOKUP(B125,NXT!$Q$78:$S$118,3,0)</f>
        <v>32000</v>
      </c>
      <c r="G125" s="8">
        <f t="shared" si="35"/>
        <v>40320000</v>
      </c>
      <c r="H125" s="381">
        <f t="shared" si="39"/>
        <v>169742.62062417233</v>
      </c>
      <c r="I125" s="992">
        <f t="shared" si="40"/>
        <v>135291.2529921791</v>
      </c>
      <c r="J125" s="992">
        <f t="shared" si="40"/>
        <v>198445.35618800129</v>
      </c>
      <c r="K125" s="992">
        <f t="shared" si="40"/>
        <v>124819.35094075611</v>
      </c>
      <c r="L125" s="1288">
        <f t="shared" si="47"/>
        <v>764567.03014753049</v>
      </c>
      <c r="M125" s="992"/>
      <c r="N125" s="25">
        <f t="shared" si="41"/>
        <v>41712866</v>
      </c>
      <c r="O125" s="381">
        <v>210</v>
      </c>
      <c r="P125" s="992">
        <f t="shared" si="48"/>
        <v>198632.69523809524</v>
      </c>
      <c r="Q125" s="1204"/>
      <c r="R125" s="432"/>
      <c r="S125" s="1033"/>
      <c r="T125" s="77"/>
      <c r="U125" s="77"/>
      <c r="V125" s="25"/>
      <c r="W125" s="8"/>
    </row>
    <row r="126" spans="1:23" ht="18.75" customHeight="1">
      <c r="A126" s="726">
        <v>23</v>
      </c>
      <c r="B126" s="996" t="s">
        <v>1618</v>
      </c>
      <c r="C126" s="991">
        <f>VLOOKUP(B126,NXT!$Q$78:$S$118,2,0)</f>
        <v>2.2000000000000002</v>
      </c>
      <c r="D126" s="992">
        <f t="shared" si="38"/>
        <v>66</v>
      </c>
      <c r="E126" s="992"/>
      <c r="F126" s="992">
        <v>245000</v>
      </c>
      <c r="G126" s="8">
        <f t="shared" si="35"/>
        <v>16170000</v>
      </c>
      <c r="H126" s="381">
        <f t="shared" si="39"/>
        <v>8891.280127932836</v>
      </c>
      <c r="I126" s="992">
        <f t="shared" si="40"/>
        <v>7086.6846805427149</v>
      </c>
      <c r="J126" s="992">
        <f t="shared" si="40"/>
        <v>10394.756752704829</v>
      </c>
      <c r="K126" s="992">
        <f t="shared" si="40"/>
        <v>6538.1564778491293</v>
      </c>
      <c r="L126" s="1288">
        <f t="shared" si="47"/>
        <v>109223.86144964721</v>
      </c>
      <c r="M126" s="992"/>
      <c r="N126" s="25">
        <f t="shared" si="41"/>
        <v>16312135</v>
      </c>
      <c r="O126" s="381">
        <v>30</v>
      </c>
      <c r="P126" s="992">
        <f t="shared" si="48"/>
        <v>543737.83333333337</v>
      </c>
      <c r="Q126" s="1204"/>
      <c r="R126" s="432"/>
      <c r="S126" s="1033"/>
      <c r="T126" s="77"/>
      <c r="U126" s="77"/>
      <c r="V126" s="25">
        <f t="shared" ref="V126:V128" si="49">ROUND(T126*U126,0)</f>
        <v>0</v>
      </c>
      <c r="W126" s="8"/>
    </row>
    <row r="127" spans="1:23" ht="18.75" customHeight="1">
      <c r="A127" s="726">
        <v>24</v>
      </c>
      <c r="B127" s="996" t="s">
        <v>425</v>
      </c>
      <c r="C127" s="991">
        <f>VLOOKUP(B127,NXT!$Q$78:$S$118,2,0)</f>
        <v>2.2999999999999998</v>
      </c>
      <c r="D127" s="992">
        <f t="shared" si="38"/>
        <v>161</v>
      </c>
      <c r="E127" s="992"/>
      <c r="F127" s="992">
        <f>VLOOKUP(B127,NXT!$Q$78:$S$118,3,0)</f>
        <v>275000</v>
      </c>
      <c r="G127" s="8">
        <f t="shared" si="35"/>
        <v>44275000</v>
      </c>
      <c r="H127" s="381">
        <f t="shared" si="39"/>
        <v>21689.334857533129</v>
      </c>
      <c r="I127" s="992">
        <f t="shared" si="40"/>
        <v>17287.215660111775</v>
      </c>
      <c r="J127" s="992">
        <f t="shared" si="40"/>
        <v>25356.906624022387</v>
      </c>
      <c r="K127" s="992">
        <f t="shared" si="40"/>
        <v>15949.139286874391</v>
      </c>
      <c r="L127" s="1288">
        <f t="shared" si="47"/>
        <v>254855.6767158435</v>
      </c>
      <c r="M127" s="992"/>
      <c r="N127" s="25">
        <f t="shared" si="41"/>
        <v>44610138</v>
      </c>
      <c r="O127" s="381">
        <v>70</v>
      </c>
      <c r="P127" s="992">
        <f t="shared" si="48"/>
        <v>637287.6857142857</v>
      </c>
      <c r="Q127" s="1204"/>
      <c r="R127" s="73"/>
      <c r="S127" s="1033"/>
      <c r="T127" s="77"/>
      <c r="U127" s="77"/>
      <c r="V127" s="25">
        <f t="shared" ref="V127" si="50">ROUND(T127*U127,0)</f>
        <v>0</v>
      </c>
      <c r="W127" s="8"/>
    </row>
    <row r="128" spans="1:23" ht="18.75" customHeight="1">
      <c r="A128" s="726">
        <v>25</v>
      </c>
      <c r="B128" s="996" t="s">
        <v>2198</v>
      </c>
      <c r="C128" s="991">
        <f>VLOOKUP(B128,NXT!$Q$78:$S$118,2,0)</f>
        <v>8</v>
      </c>
      <c r="D128" s="992">
        <f t="shared" si="38"/>
        <v>16</v>
      </c>
      <c r="E128" s="992"/>
      <c r="F128" s="992">
        <f>VLOOKUP(B128,NXT!$Q$78:$S$118,3,0)</f>
        <v>25000</v>
      </c>
      <c r="G128" s="8">
        <f t="shared" si="35"/>
        <v>400000</v>
      </c>
      <c r="H128" s="381">
        <f t="shared" si="39"/>
        <v>2155.461849195839</v>
      </c>
      <c r="I128" s="992">
        <f t="shared" si="40"/>
        <v>1717.9841649800521</v>
      </c>
      <c r="J128" s="992">
        <f t="shared" si="40"/>
        <v>2519.9410309587465</v>
      </c>
      <c r="K128" s="992">
        <f t="shared" si="40"/>
        <v>1585.0076309937283</v>
      </c>
      <c r="L128" s="1288">
        <f t="shared" si="47"/>
        <v>7281.5907633098141</v>
      </c>
      <c r="M128" s="992"/>
      <c r="N128" s="25">
        <f t="shared" si="41"/>
        <v>415260</v>
      </c>
      <c r="O128" s="381">
        <v>2</v>
      </c>
      <c r="P128" s="992">
        <f t="shared" si="36"/>
        <v>207630</v>
      </c>
      <c r="Q128" s="1204"/>
      <c r="R128" s="73"/>
      <c r="S128" s="1033"/>
      <c r="T128" s="77"/>
      <c r="U128" s="77"/>
      <c r="V128" s="25">
        <f t="shared" si="49"/>
        <v>0</v>
      </c>
      <c r="W128" s="8"/>
    </row>
    <row r="129" spans="1:23" ht="18.75" customHeight="1">
      <c r="A129" s="726">
        <v>26</v>
      </c>
      <c r="B129" s="996" t="s">
        <v>1617</v>
      </c>
      <c r="C129" s="991">
        <f>VLOOKUP(B129,NXT!$Q$78:$S$118,2,0)</f>
        <v>5</v>
      </c>
      <c r="D129" s="992">
        <f t="shared" si="38"/>
        <v>1010</v>
      </c>
      <c r="E129" s="992"/>
      <c r="F129" s="992">
        <f>VLOOKUP(B129,NXT!$Q$78:$S$118,3,0)</f>
        <v>135000</v>
      </c>
      <c r="G129" s="8">
        <f t="shared" ref="G129" si="51">(D129+E129)*F129</f>
        <v>136350000</v>
      </c>
      <c r="H129" s="381">
        <f t="shared" si="39"/>
        <v>136063.52923048733</v>
      </c>
      <c r="I129" s="992">
        <f t="shared" si="40"/>
        <v>108447.75041436579</v>
      </c>
      <c r="J129" s="992">
        <f t="shared" si="40"/>
        <v>159071.27757927089</v>
      </c>
      <c r="K129" s="992">
        <f t="shared" si="40"/>
        <v>100053.6067064791</v>
      </c>
      <c r="L129" s="1288">
        <f t="shared" si="47"/>
        <v>735440.66709429119</v>
      </c>
      <c r="M129" s="992"/>
      <c r="N129" s="25">
        <f t="shared" si="41"/>
        <v>137589077</v>
      </c>
      <c r="O129" s="381">
        <v>202</v>
      </c>
      <c r="P129" s="992">
        <f t="shared" si="36"/>
        <v>681134.04455445544</v>
      </c>
      <c r="Q129" s="1204"/>
      <c r="R129" s="1010"/>
      <c r="S129" s="644"/>
      <c r="T129" s="25">
        <f>SUM(T113:T128)</f>
        <v>15078</v>
      </c>
      <c r="U129" s="25"/>
      <c r="V129" s="25">
        <f>SUM(V113:V128)</f>
        <v>151750500</v>
      </c>
      <c r="W129" s="8"/>
    </row>
    <row r="130" spans="1:23" ht="18.75" customHeight="1">
      <c r="A130" s="726" t="str">
        <f>IF(B130&lt;&gt;"",#REF!+1,"")</f>
        <v/>
      </c>
      <c r="B130" s="997"/>
      <c r="C130" s="998"/>
      <c r="D130" s="999"/>
      <c r="E130" s="999"/>
      <c r="F130" s="999"/>
      <c r="G130" s="1000"/>
      <c r="H130" s="1001"/>
      <c r="I130" s="999"/>
      <c r="J130" s="8"/>
      <c r="K130" s="999"/>
      <c r="L130" s="1001"/>
      <c r="M130" s="999"/>
      <c r="N130" s="25"/>
      <c r="O130" s="1002"/>
      <c r="P130" s="999"/>
      <c r="Q130" s="1204"/>
      <c r="R130" s="983"/>
      <c r="S130" s="1030"/>
      <c r="T130" s="974"/>
      <c r="U130" s="974"/>
      <c r="V130" s="974"/>
      <c r="W130" s="974"/>
    </row>
    <row r="131" spans="1:23" ht="18.75" customHeight="1">
      <c r="A131" s="1003"/>
      <c r="B131" s="1004" t="s">
        <v>509</v>
      </c>
      <c r="C131" s="1005"/>
      <c r="D131" s="804">
        <f>SUM(D105:D130)</f>
        <v>600315</v>
      </c>
      <c r="E131" s="804">
        <f>SUM(E105:E130)</f>
        <v>0</v>
      </c>
      <c r="F131" s="804"/>
      <c r="G131" s="804">
        <f>SUM(G104:G130)</f>
        <v>13849820500</v>
      </c>
      <c r="H131" s="804">
        <v>80872255</v>
      </c>
      <c r="I131" s="804">
        <f>V112</f>
        <v>64458229</v>
      </c>
      <c r="J131" s="804">
        <v>94547400</v>
      </c>
      <c r="K131" s="804">
        <v>59468991</v>
      </c>
      <c r="L131" s="804">
        <f>SUM(L104:L129)</f>
        <v>151750500</v>
      </c>
      <c r="M131" s="804">
        <f>SUM(M104:M129)</f>
        <v>187500000</v>
      </c>
      <c r="N131" s="804">
        <f>ROUND(SUM(N104:N130),0)</f>
        <v>14488417876</v>
      </c>
      <c r="O131" s="804">
        <f>ROUND(SUM(O104:O130),0)</f>
        <v>159331</v>
      </c>
      <c r="P131" s="804"/>
      <c r="Q131" s="1204"/>
      <c r="R131" s="983"/>
      <c r="S131" s="1030"/>
      <c r="T131" s="974"/>
      <c r="U131" s="974"/>
      <c r="V131" s="974"/>
      <c r="W131" s="974"/>
    </row>
    <row r="132" spans="1:23" ht="18.75" customHeight="1">
      <c r="A132" s="1006"/>
      <c r="B132" s="1007"/>
      <c r="C132" s="1008"/>
      <c r="D132" s="985"/>
      <c r="E132" s="985"/>
      <c r="F132" s="985"/>
      <c r="G132" s="985"/>
      <c r="H132" s="985"/>
      <c r="I132" s="985"/>
      <c r="J132" s="985"/>
      <c r="K132" s="985"/>
      <c r="L132" s="985"/>
      <c r="M132" s="985"/>
      <c r="N132" s="985"/>
      <c r="O132" s="985"/>
      <c r="P132" s="985"/>
      <c r="Q132" s="1204"/>
      <c r="R132" s="983"/>
      <c r="S132" s="1030"/>
      <c r="T132" s="974"/>
      <c r="U132" s="974"/>
      <c r="V132" s="974"/>
      <c r="W132" s="974"/>
    </row>
    <row r="133" spans="1:23" ht="18.75" customHeight="1">
      <c r="A133" s="1006"/>
      <c r="B133" s="1007"/>
      <c r="C133" s="1008"/>
      <c r="D133" s="985"/>
      <c r="E133" s="985"/>
      <c r="F133" s="985"/>
      <c r="G133" s="985"/>
      <c r="H133" s="985"/>
      <c r="I133" s="985"/>
      <c r="J133" s="985"/>
      <c r="K133" s="985"/>
      <c r="L133" s="985"/>
      <c r="M133" s="985"/>
      <c r="N133" s="985"/>
      <c r="O133" s="985"/>
      <c r="P133" s="985"/>
      <c r="Q133" s="1204"/>
      <c r="R133" s="983"/>
      <c r="S133" s="1030"/>
      <c r="T133" s="974"/>
      <c r="U133" s="974"/>
      <c r="V133" s="974"/>
      <c r="W133" s="974"/>
    </row>
    <row r="134" spans="1:23" ht="18.75" customHeight="1">
      <c r="A134" s="1006"/>
      <c r="B134" s="1007"/>
      <c r="C134" s="1008"/>
      <c r="D134" s="985"/>
      <c r="E134" s="985"/>
      <c r="F134" s="985"/>
      <c r="G134" s="985"/>
      <c r="H134" s="985"/>
      <c r="I134" s="985"/>
      <c r="J134" s="985"/>
      <c r="K134" s="985"/>
      <c r="L134" s="985"/>
      <c r="M134" s="985"/>
      <c r="N134" s="985"/>
      <c r="O134" s="985"/>
      <c r="P134" s="985"/>
      <c r="Q134" s="1204"/>
      <c r="R134" s="983"/>
      <c r="S134" s="1030"/>
      <c r="T134" s="974"/>
      <c r="U134" s="974"/>
      <c r="V134" s="974"/>
      <c r="W134" s="974"/>
    </row>
    <row r="135" spans="1:23" ht="18.75" customHeight="1">
      <c r="A135" s="978"/>
      <c r="B135" s="978"/>
      <c r="C135" s="978"/>
      <c r="D135" s="978"/>
      <c r="E135" s="978"/>
      <c r="F135" s="978"/>
      <c r="G135" s="978"/>
      <c r="H135" s="978"/>
      <c r="I135" s="978"/>
      <c r="J135" s="978"/>
      <c r="K135" s="978"/>
      <c r="L135" s="978"/>
      <c r="M135" s="978"/>
      <c r="N135" s="978"/>
      <c r="O135" s="1049"/>
      <c r="P135" s="978"/>
      <c r="Q135" s="1204"/>
      <c r="R135" s="983"/>
      <c r="S135" s="1030"/>
      <c r="T135" s="974"/>
      <c r="U135" s="974"/>
      <c r="V135" s="974"/>
      <c r="W135" s="974"/>
    </row>
    <row r="136" spans="1:23" ht="15.75" customHeight="1">
      <c r="A136" s="980" t="s">
        <v>493</v>
      </c>
      <c r="B136" s="980"/>
      <c r="C136" s="1037"/>
      <c r="D136" s="982"/>
      <c r="E136" s="982"/>
      <c r="F136" s="982"/>
      <c r="G136" s="423"/>
      <c r="H136" s="423"/>
      <c r="I136" s="423"/>
      <c r="J136" s="423"/>
      <c r="K136" s="423"/>
      <c r="L136" s="423"/>
      <c r="M136" s="423"/>
      <c r="N136" s="423"/>
      <c r="O136" s="887"/>
      <c r="P136" s="423"/>
      <c r="Q136" s="1204"/>
      <c r="R136" s="983"/>
      <c r="S136" s="1030"/>
      <c r="T136" s="1182"/>
      <c r="U136" s="1182"/>
      <c r="V136" s="974"/>
      <c r="W136" s="974"/>
    </row>
    <row r="137" spans="1:23" ht="15.75" customHeight="1">
      <c r="A137" s="985" t="s">
        <v>2393</v>
      </c>
      <c r="B137" s="985"/>
      <c r="C137" s="985"/>
      <c r="D137" s="985"/>
      <c r="E137" s="985"/>
      <c r="F137" s="985"/>
      <c r="G137" s="985"/>
      <c r="H137" s="985"/>
      <c r="I137" s="985"/>
      <c r="J137" s="985"/>
      <c r="K137" s="985"/>
      <c r="L137" s="985"/>
      <c r="M137" s="985"/>
      <c r="N137" s="985"/>
      <c r="O137" s="1009"/>
      <c r="P137" s="985"/>
      <c r="Q137" s="1204"/>
      <c r="R137" s="423"/>
      <c r="S137" s="984"/>
      <c r="T137" s="423"/>
      <c r="U137" s="423"/>
      <c r="V137" s="978"/>
      <c r="W137" s="978"/>
    </row>
    <row r="138" spans="1:23">
      <c r="A138" s="986"/>
      <c r="B138" s="986"/>
      <c r="C138" s="987"/>
      <c r="D138" s="986"/>
      <c r="E138" s="986"/>
      <c r="F138" s="986"/>
      <c r="G138" s="986"/>
      <c r="H138" s="986"/>
      <c r="I138" s="986"/>
      <c r="J138" s="986"/>
      <c r="K138" s="986"/>
      <c r="L138" s="986"/>
      <c r="M138" s="986"/>
      <c r="N138" s="986"/>
      <c r="O138" s="988"/>
      <c r="P138" s="986"/>
      <c r="Q138" s="1204"/>
      <c r="R138" s="423"/>
      <c r="S138" s="984"/>
      <c r="T138" s="423"/>
      <c r="U138" s="423"/>
      <c r="V138" s="978"/>
      <c r="W138" s="978"/>
    </row>
    <row r="139" spans="1:23" ht="36.75" customHeight="1">
      <c r="A139" s="635" t="s">
        <v>37</v>
      </c>
      <c r="B139" s="635" t="s">
        <v>494</v>
      </c>
      <c r="C139" s="636" t="s">
        <v>495</v>
      </c>
      <c r="D139" s="637" t="s">
        <v>496</v>
      </c>
      <c r="E139" s="637" t="s">
        <v>497</v>
      </c>
      <c r="F139" s="637" t="s">
        <v>498</v>
      </c>
      <c r="G139" s="637" t="s">
        <v>499</v>
      </c>
      <c r="H139" s="637" t="s">
        <v>500</v>
      </c>
      <c r="I139" s="637" t="s">
        <v>501</v>
      </c>
      <c r="J139" s="637" t="s">
        <v>502</v>
      </c>
      <c r="K139" s="638" t="s">
        <v>503</v>
      </c>
      <c r="L139" s="637" t="s">
        <v>504</v>
      </c>
      <c r="M139" s="638" t="s">
        <v>505</v>
      </c>
      <c r="N139" s="637" t="s">
        <v>506</v>
      </c>
      <c r="O139" s="639" t="s">
        <v>497</v>
      </c>
      <c r="P139" s="637" t="s">
        <v>507</v>
      </c>
      <c r="Q139" s="1204"/>
      <c r="R139" s="635" t="s">
        <v>494</v>
      </c>
      <c r="S139" s="637" t="s">
        <v>462</v>
      </c>
      <c r="T139" s="637" t="s">
        <v>325</v>
      </c>
      <c r="U139" s="637" t="s">
        <v>498</v>
      </c>
      <c r="V139" s="637" t="s">
        <v>508</v>
      </c>
      <c r="W139" s="635" t="s">
        <v>508</v>
      </c>
    </row>
    <row r="140" spans="1:23" ht="19.5" customHeight="1">
      <c r="A140" s="726">
        <v>1</v>
      </c>
      <c r="B140" s="1031" t="s">
        <v>429</v>
      </c>
      <c r="C140" s="991">
        <f>VLOOKUP(B140,NXT!$Q$78:$S$118,2,0)</f>
        <v>3.2</v>
      </c>
      <c r="D140" s="992">
        <f>ROUND(C140*O140,0)</f>
        <v>792842</v>
      </c>
      <c r="E140" s="992"/>
      <c r="F140" s="992">
        <v>18500</v>
      </c>
      <c r="G140" s="768">
        <f>(D140+E140)*F140</f>
        <v>14667577000</v>
      </c>
      <c r="H140" s="992">
        <f>IF($D$145&lt;&gt;0,H$145/($D$145+$E$145/5)*($D140+$E140/5),0)</f>
        <v>64884052.278655723</v>
      </c>
      <c r="I140" s="992">
        <f t="shared" ref="I140:K143" si="52">IF($D$145&lt;&gt;0,I$145/$D$145*$D140,0)</f>
        <v>51536567.46838776</v>
      </c>
      <c r="J140" s="992">
        <f t="shared" si="52"/>
        <v>62786598.920148745</v>
      </c>
      <c r="K140" s="992">
        <f t="shared" si="52"/>
        <v>47592504.797073163</v>
      </c>
      <c r="L140" s="25">
        <f>V149</f>
        <v>167728000</v>
      </c>
      <c r="M140" s="992"/>
      <c r="N140" s="25">
        <f>ROUND(SUM(G140:M140),0)</f>
        <v>15062104723</v>
      </c>
      <c r="O140" s="1122">
        <v>247763.1534500001</v>
      </c>
      <c r="P140" s="992">
        <f>IF(N140&lt;&gt;0,N140/O140,0)</f>
        <v>60792.351539227609</v>
      </c>
      <c r="Q140" s="1204"/>
      <c r="R140" s="641" t="s">
        <v>327</v>
      </c>
      <c r="S140" s="1033">
        <v>42917</v>
      </c>
      <c r="T140" s="77">
        <v>150</v>
      </c>
      <c r="U140" s="1039">
        <v>32200</v>
      </c>
      <c r="V140" s="25">
        <f t="shared" ref="V140:V142" si="53">ROUND(T140*U140,0)</f>
        <v>4830000</v>
      </c>
      <c r="W140" s="25"/>
    </row>
    <row r="141" spans="1:23" ht="19.5" customHeight="1">
      <c r="A141" s="726">
        <f>IF(B141&lt;&gt;"",A140+1,"")</f>
        <v>2</v>
      </c>
      <c r="B141" s="1031" t="s">
        <v>2401</v>
      </c>
      <c r="C141" s="991">
        <f>VLOOKUP(B141,NXT!$Q$78:$S$118,2,0)</f>
        <v>11.5</v>
      </c>
      <c r="D141" s="992">
        <f>ROUND(C141*O141,0)</f>
        <v>92000</v>
      </c>
      <c r="E141" s="992"/>
      <c r="F141" s="992">
        <f>VLOOKUP(B141,NXT!$Q$78:$S$118,3,0)</f>
        <v>15400</v>
      </c>
      <c r="G141" s="768">
        <f>(D141+E141)*F141</f>
        <v>1416800000</v>
      </c>
      <c r="H141" s="992">
        <f>IF($D$145&lt;&gt;0,H$145/($D$145+$E$145/5)*($D141+$E141/5),0)</f>
        <v>7529032.0260989284</v>
      </c>
      <c r="I141" s="992">
        <f t="shared" si="52"/>
        <v>5980213.2166203018</v>
      </c>
      <c r="J141" s="992">
        <f t="shared" si="52"/>
        <v>7285647.2041764753</v>
      </c>
      <c r="K141" s="992">
        <f t="shared" si="52"/>
        <v>5522551.0774287069</v>
      </c>
      <c r="L141" s="25">
        <f>$V$150/($O$141+$O$142)*O141</f>
        <v>17373237.410071943</v>
      </c>
      <c r="M141" s="992"/>
      <c r="N141" s="25">
        <f>ROUND(SUM(G141:M141),0)</f>
        <v>1460490681</v>
      </c>
      <c r="O141" s="1122">
        <v>8000</v>
      </c>
      <c r="P141" s="992">
        <f t="shared" ref="P141:P143" si="54">IF(N141&lt;&gt;0,N141/O141,0)</f>
        <v>182561.33512500001</v>
      </c>
      <c r="Q141" s="1205"/>
      <c r="R141" s="641" t="s">
        <v>333</v>
      </c>
      <c r="S141" s="1033">
        <v>42917</v>
      </c>
      <c r="T141" s="77">
        <v>150</v>
      </c>
      <c r="U141" s="843">
        <v>49808.000000000007</v>
      </c>
      <c r="V141" s="25">
        <f t="shared" si="53"/>
        <v>7471200</v>
      </c>
      <c r="W141" s="8"/>
    </row>
    <row r="142" spans="1:23" ht="19.5" customHeight="1">
      <c r="A142" s="726">
        <f>IF(B142&lt;&gt;"",A141+1,"")</f>
        <v>3</v>
      </c>
      <c r="B142" s="1031" t="s">
        <v>1588</v>
      </c>
      <c r="C142" s="991">
        <f>VLOOKUP(B142,NXT!$Q$78:$S$118,2,0)</f>
        <v>11.5</v>
      </c>
      <c r="D142" s="992">
        <f>ROUND(C142*O142,0)</f>
        <v>67850</v>
      </c>
      <c r="E142" s="992"/>
      <c r="F142" s="992">
        <v>18900</v>
      </c>
      <c r="G142" s="768">
        <f>(D142+E142)*F142</f>
        <v>1282365000</v>
      </c>
      <c r="H142" s="992">
        <f>IF($D$145&lt;&gt;0,H$145/($D$145+$E$145/5)*($D142+$E142/5),0)</f>
        <v>5552661.1192479599</v>
      </c>
      <c r="I142" s="992">
        <f t="shared" si="52"/>
        <v>4410407.2472574729</v>
      </c>
      <c r="J142" s="992">
        <f t="shared" si="52"/>
        <v>5373164.8130801506</v>
      </c>
      <c r="K142" s="992">
        <f t="shared" si="52"/>
        <v>4072881.4196036714</v>
      </c>
      <c r="L142" s="25">
        <f>$V$150/($O$141+$O$142)*O142</f>
        <v>12812762.589928057</v>
      </c>
      <c r="M142" s="992"/>
      <c r="N142" s="25">
        <f>ROUND(SUM(G142:M142),0)</f>
        <v>1314586877</v>
      </c>
      <c r="O142" s="1122">
        <v>5900</v>
      </c>
      <c r="P142" s="992">
        <f t="shared" si="54"/>
        <v>222811.33508474578</v>
      </c>
      <c r="Q142" s="1205"/>
      <c r="R142" s="641" t="s">
        <v>336</v>
      </c>
      <c r="S142" s="1033">
        <v>42917</v>
      </c>
      <c r="T142" s="77">
        <v>400</v>
      </c>
      <c r="U142" s="843">
        <v>16476.189999999999</v>
      </c>
      <c r="V142" s="25">
        <f t="shared" si="53"/>
        <v>6590476</v>
      </c>
      <c r="W142" s="8"/>
    </row>
    <row r="143" spans="1:23" ht="19.5" customHeight="1">
      <c r="A143" s="726">
        <f>IF(B143&lt;&gt;"",A142+1,"")</f>
        <v>4</v>
      </c>
      <c r="B143" s="996" t="s">
        <v>1755</v>
      </c>
      <c r="C143" s="991">
        <f>VLOOKUP(B143,NXT!$Q$78:$S$118,2,0)</f>
        <v>9.5</v>
      </c>
      <c r="D143" s="992">
        <f>ROUND(C143*O143,0)</f>
        <v>38000</v>
      </c>
      <c r="E143" s="992"/>
      <c r="F143" s="992">
        <f>VLOOKUP(B143,NXT!$Q$78:$S$118,3,0)</f>
        <v>18500</v>
      </c>
      <c r="G143" s="768">
        <f>(D143+E143)*F143</f>
        <v>703000000</v>
      </c>
      <c r="H143" s="992">
        <f>IF($D$145&lt;&gt;0,H$145/($D$145+$E$145/5)*($D143+$E143/5),0)</f>
        <v>3109817.5759973833</v>
      </c>
      <c r="I143" s="992">
        <f t="shared" si="52"/>
        <v>2470088.0677344725</v>
      </c>
      <c r="J143" s="992">
        <f t="shared" si="52"/>
        <v>3009289.0625946312</v>
      </c>
      <c r="K143" s="992">
        <f t="shared" si="52"/>
        <v>2281053.705894466</v>
      </c>
      <c r="L143" s="25">
        <f>V151</f>
        <v>6534000</v>
      </c>
      <c r="M143" s="992"/>
      <c r="N143" s="25">
        <f>ROUND(SUM(G143:M143),0)</f>
        <v>720404248</v>
      </c>
      <c r="O143" s="1122">
        <v>4000</v>
      </c>
      <c r="P143" s="992">
        <f t="shared" si="54"/>
        <v>180101.06200000001</v>
      </c>
      <c r="Q143" s="1205"/>
      <c r="R143" s="641" t="s">
        <v>804</v>
      </c>
      <c r="S143" s="1033">
        <v>42917</v>
      </c>
      <c r="T143" s="77">
        <v>40</v>
      </c>
      <c r="U143" s="843">
        <v>53000</v>
      </c>
      <c r="V143" s="25">
        <f t="shared" ref="V143:V146" si="55">ROUND(T143*U143,0)</f>
        <v>2120000</v>
      </c>
      <c r="W143" s="8"/>
    </row>
    <row r="144" spans="1:23" ht="19.5" customHeight="1">
      <c r="A144" s="726"/>
      <c r="B144" s="996"/>
      <c r="C144" s="991"/>
      <c r="D144" s="992"/>
      <c r="E144" s="992"/>
      <c r="F144" s="992"/>
      <c r="G144" s="25"/>
      <c r="H144" s="992"/>
      <c r="I144" s="992"/>
      <c r="J144" s="992"/>
      <c r="K144" s="992"/>
      <c r="L144" s="992"/>
      <c r="M144" s="992"/>
      <c r="N144" s="25"/>
      <c r="O144" s="381"/>
      <c r="P144" s="992"/>
      <c r="Q144" s="1205"/>
      <c r="R144" s="641" t="s">
        <v>341</v>
      </c>
      <c r="S144" s="1033">
        <v>42917</v>
      </c>
      <c r="T144" s="77">
        <v>600</v>
      </c>
      <c r="U144" s="843">
        <v>3200</v>
      </c>
      <c r="V144" s="25">
        <f t="shared" si="55"/>
        <v>1920000</v>
      </c>
      <c r="W144" s="8"/>
    </row>
    <row r="145" spans="1:23" ht="19.5" customHeight="1">
      <c r="A145" s="1003"/>
      <c r="B145" s="1004" t="s">
        <v>509</v>
      </c>
      <c r="C145" s="1005"/>
      <c r="D145" s="804">
        <f>SUM(D140:D144)</f>
        <v>990692</v>
      </c>
      <c r="E145" s="804">
        <f>SUM(E141:E144)</f>
        <v>0</v>
      </c>
      <c r="F145" s="804"/>
      <c r="G145" s="804">
        <f>SUM(G140:G144)</f>
        <v>18069742000</v>
      </c>
      <c r="H145" s="804">
        <v>81075563</v>
      </c>
      <c r="I145" s="804">
        <f>V148</f>
        <v>64397276</v>
      </c>
      <c r="J145" s="804">
        <f>78454700</f>
        <v>78454700</v>
      </c>
      <c r="K145" s="804">
        <v>59468991</v>
      </c>
      <c r="L145" s="804">
        <f>ROUND(SUM(L140:L144),0)</f>
        <v>204448000</v>
      </c>
      <c r="M145" s="804">
        <f>ROUND(SUM(M140:M144),0)</f>
        <v>0</v>
      </c>
      <c r="N145" s="804">
        <f>ROUND(SUM(N140:N144),0)</f>
        <v>18557586529</v>
      </c>
      <c r="O145" s="804">
        <f>ROUND(SUM(O140:O144),0)</f>
        <v>265663</v>
      </c>
      <c r="P145" s="804"/>
      <c r="Q145" s="1205"/>
      <c r="R145" s="641" t="s">
        <v>1257</v>
      </c>
      <c r="S145" s="1033">
        <v>42918</v>
      </c>
      <c r="T145" s="77">
        <v>2700</v>
      </c>
      <c r="U145" s="843">
        <v>14728</v>
      </c>
      <c r="V145" s="25">
        <f t="shared" si="55"/>
        <v>39765600</v>
      </c>
      <c r="W145" s="8"/>
    </row>
    <row r="146" spans="1:23" ht="19.5" customHeight="1">
      <c r="A146" s="978"/>
      <c r="B146" s="978"/>
      <c r="C146" s="978"/>
      <c r="D146" s="978"/>
      <c r="E146" s="978"/>
      <c r="F146" s="978"/>
      <c r="G146" s="978"/>
      <c r="H146" s="978"/>
      <c r="I146" s="978"/>
      <c r="J146" s="978"/>
      <c r="K146" s="978"/>
      <c r="L146" s="978"/>
      <c r="M146" s="978"/>
      <c r="N146" s="978"/>
      <c r="O146" s="978"/>
      <c r="P146" s="978"/>
      <c r="Q146" s="1205"/>
      <c r="R146" s="641" t="s">
        <v>346</v>
      </c>
      <c r="S146" s="1033">
        <v>42918</v>
      </c>
      <c r="T146" s="1039">
        <v>200</v>
      </c>
      <c r="U146" s="1048">
        <v>8500</v>
      </c>
      <c r="V146" s="25">
        <f t="shared" si="55"/>
        <v>1700000</v>
      </c>
      <c r="W146" s="8"/>
    </row>
    <row r="147" spans="1:23" ht="19.5" customHeight="1">
      <c r="A147" s="978"/>
      <c r="B147" s="978"/>
      <c r="C147" s="978"/>
      <c r="D147" s="978"/>
      <c r="E147" s="978"/>
      <c r="F147" s="978"/>
      <c r="G147" s="978"/>
      <c r="H147" s="978"/>
      <c r="I147" s="978"/>
      <c r="J147" s="978"/>
      <c r="K147" s="978"/>
      <c r="L147" s="978"/>
      <c r="M147" s="978"/>
      <c r="N147" s="978"/>
      <c r="O147" s="978"/>
      <c r="P147" s="978"/>
      <c r="Q147" s="1205"/>
      <c r="R147" s="429"/>
      <c r="S147" s="644"/>
      <c r="T147" s="77"/>
      <c r="U147" s="77"/>
      <c r="V147" s="8"/>
      <c r="W147" s="8"/>
    </row>
    <row r="148" spans="1:23" ht="19.5" customHeight="1">
      <c r="A148" s="978"/>
      <c r="B148" s="978"/>
      <c r="C148" s="978"/>
      <c r="D148" s="978"/>
      <c r="E148" s="978"/>
      <c r="F148" s="978"/>
      <c r="G148" s="978"/>
      <c r="H148" s="978"/>
      <c r="I148" s="978"/>
      <c r="J148" s="978"/>
      <c r="K148" s="978"/>
      <c r="L148" s="978"/>
      <c r="M148" s="978"/>
      <c r="N148" s="978"/>
      <c r="O148" s="978"/>
      <c r="P148" s="978"/>
      <c r="Q148" s="1205"/>
      <c r="R148" s="1026"/>
      <c r="S148" s="1027"/>
      <c r="T148" s="1028"/>
      <c r="U148" s="1035"/>
      <c r="V148" s="804">
        <f>SUM(V140:V147)</f>
        <v>64397276</v>
      </c>
      <c r="W148" s="70">
        <f>SUM(W140:W147)</f>
        <v>0</v>
      </c>
    </row>
    <row r="149" spans="1:23" ht="19.5" customHeight="1">
      <c r="A149" s="978"/>
      <c r="B149" s="978"/>
      <c r="C149" s="978"/>
      <c r="D149" s="978"/>
      <c r="E149" s="978"/>
      <c r="F149" s="978"/>
      <c r="G149" s="978"/>
      <c r="H149" s="978"/>
      <c r="I149" s="978"/>
      <c r="J149" s="978"/>
      <c r="K149" s="978"/>
      <c r="L149" s="978"/>
      <c r="M149" s="978"/>
      <c r="N149" s="978"/>
      <c r="O149" s="978"/>
      <c r="P149" s="978"/>
      <c r="Q149" s="1206"/>
      <c r="R149" s="432" t="s">
        <v>795</v>
      </c>
      <c r="S149" s="1033">
        <v>42921</v>
      </c>
      <c r="T149" s="1203">
        <v>19060</v>
      </c>
      <c r="U149" s="843">
        <v>8800</v>
      </c>
      <c r="V149" s="8">
        <f t="shared" ref="V149:V151" si="56">ROUND(T149*U149,0)</f>
        <v>167728000</v>
      </c>
      <c r="W149" s="1124"/>
    </row>
    <row r="150" spans="1:23" ht="19.5" customHeight="1">
      <c r="A150" s="978"/>
      <c r="B150" s="978"/>
      <c r="C150" s="978"/>
      <c r="D150" s="978"/>
      <c r="E150" s="978"/>
      <c r="F150" s="978"/>
      <c r="G150" s="978"/>
      <c r="H150" s="978"/>
      <c r="I150" s="978"/>
      <c r="J150" s="978"/>
      <c r="K150" s="978"/>
      <c r="L150" s="978"/>
      <c r="M150" s="978"/>
      <c r="N150" s="978"/>
      <c r="O150" s="978"/>
      <c r="P150" s="978"/>
      <c r="Q150" s="1204"/>
      <c r="R150" s="432" t="s">
        <v>371</v>
      </c>
      <c r="S150" s="1033">
        <v>42921</v>
      </c>
      <c r="T150" s="8">
        <v>2236</v>
      </c>
      <c r="U150" s="843">
        <v>13500</v>
      </c>
      <c r="V150" s="8">
        <f t="shared" si="56"/>
        <v>30186000</v>
      </c>
      <c r="W150" s="8"/>
    </row>
    <row r="151" spans="1:23" ht="19.5" customHeight="1">
      <c r="A151" s="978"/>
      <c r="B151" s="978"/>
      <c r="C151" s="978"/>
      <c r="D151" s="978"/>
      <c r="E151" s="978"/>
      <c r="F151" s="978"/>
      <c r="G151" s="978"/>
      <c r="H151" s="978"/>
      <c r="I151" s="978"/>
      <c r="J151" s="978"/>
      <c r="K151" s="978"/>
      <c r="L151" s="978"/>
      <c r="M151" s="978"/>
      <c r="N151" s="978"/>
      <c r="O151" s="978"/>
      <c r="P151" s="978"/>
      <c r="Q151" s="1204"/>
      <c r="R151" s="432" t="s">
        <v>1671</v>
      </c>
      <c r="S151" s="1033">
        <v>42921</v>
      </c>
      <c r="T151" s="8">
        <v>594</v>
      </c>
      <c r="U151" s="843">
        <v>11000</v>
      </c>
      <c r="V151" s="8">
        <f t="shared" si="56"/>
        <v>6534000</v>
      </c>
      <c r="W151" s="8"/>
    </row>
    <row r="152" spans="1:23" ht="19.5" customHeight="1">
      <c r="A152" s="978"/>
      <c r="B152" s="978"/>
      <c r="C152" s="978"/>
      <c r="D152" s="978"/>
      <c r="E152" s="978"/>
      <c r="F152" s="978"/>
      <c r="G152" s="978"/>
      <c r="H152" s="978"/>
      <c r="I152" s="978"/>
      <c r="J152" s="978"/>
      <c r="K152" s="978"/>
      <c r="L152" s="978"/>
      <c r="M152" s="978"/>
      <c r="N152" s="978"/>
      <c r="O152" s="978"/>
      <c r="P152" s="978"/>
      <c r="Q152" s="1204"/>
      <c r="R152" s="432"/>
      <c r="S152" s="1033"/>
      <c r="T152" s="8"/>
      <c r="U152" s="843"/>
      <c r="V152" s="8"/>
      <c r="W152" s="8"/>
    </row>
    <row r="153" spans="1:23" ht="17.25" customHeight="1">
      <c r="A153" s="980" t="s">
        <v>493</v>
      </c>
      <c r="B153" s="980"/>
      <c r="C153" s="981"/>
      <c r="D153" s="982"/>
      <c r="E153" s="982"/>
      <c r="F153" s="982"/>
      <c r="G153" s="423"/>
      <c r="H153" s="423"/>
      <c r="I153" s="423"/>
      <c r="J153" s="423"/>
      <c r="K153" s="423"/>
      <c r="L153" s="423"/>
      <c r="M153" s="423"/>
      <c r="N153" s="423"/>
      <c r="O153" s="887"/>
      <c r="P153" s="423"/>
      <c r="Q153" s="1204"/>
      <c r="R153" s="423"/>
      <c r="S153" s="984"/>
      <c r="T153" s="423"/>
      <c r="U153" s="423"/>
      <c r="V153" s="978"/>
      <c r="W153" s="978"/>
    </row>
    <row r="154" spans="1:23" ht="17.25" customHeight="1">
      <c r="A154" s="985" t="s">
        <v>2394</v>
      </c>
      <c r="B154" s="985"/>
      <c r="C154" s="985"/>
      <c r="D154" s="985"/>
      <c r="E154" s="985"/>
      <c r="F154" s="985"/>
      <c r="G154" s="985"/>
      <c r="H154" s="985"/>
      <c r="I154" s="985"/>
      <c r="J154" s="985"/>
      <c r="K154" s="985"/>
      <c r="L154" s="985"/>
      <c r="M154" s="985"/>
      <c r="N154" s="985"/>
      <c r="O154" s="985"/>
      <c r="P154" s="985"/>
      <c r="Q154" s="1205"/>
      <c r="R154" s="423"/>
      <c r="S154" s="984"/>
      <c r="T154" s="423"/>
      <c r="U154" s="423"/>
      <c r="V154" s="423"/>
      <c r="W154" s="978"/>
    </row>
    <row r="155" spans="1:23">
      <c r="A155" s="986"/>
      <c r="B155" s="986"/>
      <c r="C155" s="987"/>
      <c r="D155" s="986"/>
      <c r="E155" s="986"/>
      <c r="F155" s="986"/>
      <c r="G155" s="986"/>
      <c r="H155" s="986"/>
      <c r="I155" s="986"/>
      <c r="J155" s="986"/>
      <c r="K155" s="986"/>
      <c r="L155" s="986"/>
      <c r="M155" s="986"/>
      <c r="N155" s="986"/>
      <c r="O155" s="988"/>
      <c r="P155" s="986"/>
      <c r="Q155" s="1205"/>
      <c r="R155" s="423"/>
      <c r="S155" s="984"/>
      <c r="T155" s="423"/>
      <c r="U155" s="423"/>
      <c r="V155" s="978"/>
      <c r="W155" s="978"/>
    </row>
    <row r="156" spans="1:23" ht="34.5" customHeight="1">
      <c r="A156" s="635" t="s">
        <v>37</v>
      </c>
      <c r="B156" s="635" t="s">
        <v>494</v>
      </c>
      <c r="C156" s="636" t="s">
        <v>495</v>
      </c>
      <c r="D156" s="637" t="s">
        <v>496</v>
      </c>
      <c r="E156" s="637" t="s">
        <v>497</v>
      </c>
      <c r="F156" s="637" t="s">
        <v>498</v>
      </c>
      <c r="G156" s="637" t="s">
        <v>499</v>
      </c>
      <c r="H156" s="637" t="s">
        <v>500</v>
      </c>
      <c r="I156" s="637" t="s">
        <v>501</v>
      </c>
      <c r="J156" s="637" t="s">
        <v>502</v>
      </c>
      <c r="K156" s="638" t="s">
        <v>503</v>
      </c>
      <c r="L156" s="637" t="s">
        <v>504</v>
      </c>
      <c r="M156" s="638" t="s">
        <v>505</v>
      </c>
      <c r="N156" s="637" t="s">
        <v>506</v>
      </c>
      <c r="O156" s="639" t="s">
        <v>497</v>
      </c>
      <c r="P156" s="637" t="s">
        <v>507</v>
      </c>
      <c r="Q156" s="1205"/>
      <c r="R156" s="635" t="s">
        <v>494</v>
      </c>
      <c r="S156" s="637" t="s">
        <v>462</v>
      </c>
      <c r="T156" s="637" t="s">
        <v>325</v>
      </c>
      <c r="U156" s="637" t="s">
        <v>498</v>
      </c>
      <c r="V156" s="637" t="s">
        <v>508</v>
      </c>
      <c r="W156" s="635" t="s">
        <v>508</v>
      </c>
    </row>
    <row r="157" spans="1:23" ht="18.75" customHeight="1">
      <c r="A157" s="726">
        <f>IF(B157&lt;&gt;"",ROW()-(ROW()-1),"")</f>
        <v>1</v>
      </c>
      <c r="B157" s="1031" t="s">
        <v>2399</v>
      </c>
      <c r="C157" s="991">
        <f>VLOOKUP(B157,NXT!$Q$78:$S$118,2,0)</f>
        <v>2.7</v>
      </c>
      <c r="D157" s="992"/>
      <c r="E157" s="992">
        <v>105560</v>
      </c>
      <c r="F157" s="992">
        <v>48000</v>
      </c>
      <c r="G157" s="25">
        <f t="shared" ref="G157:G158" si="57">(D157+E157)*F157</f>
        <v>5066880000</v>
      </c>
      <c r="H157" s="992">
        <f>IF($D$163&lt;&gt;0,H$163/($D$163+$E$163/5)*($D157+$E157/5),0)</f>
        <v>6097751.0248331269</v>
      </c>
      <c r="I157" s="992"/>
      <c r="J157" s="992"/>
      <c r="K157" s="992"/>
      <c r="L157" s="25">
        <f>$V$166/($O$157+$O$158)*O157</f>
        <v>71573333.333333343</v>
      </c>
      <c r="M157" s="992"/>
      <c r="N157" s="25">
        <f t="shared" ref="N157:N161" si="58">ROUND(SUM(G157:M157),0)</f>
        <v>5144551084</v>
      </c>
      <c r="O157" s="1122">
        <v>105560</v>
      </c>
      <c r="P157" s="992">
        <f t="shared" ref="P157:P161" si="59">IF(N157&lt;&gt;0,N157/O157,0)</f>
        <v>48735.800341038273</v>
      </c>
      <c r="Q157" s="1205"/>
      <c r="R157" s="641" t="s">
        <v>327</v>
      </c>
      <c r="S157" s="1033">
        <v>42948</v>
      </c>
      <c r="T157" s="77">
        <v>150</v>
      </c>
      <c r="U157" s="1039">
        <v>32200</v>
      </c>
      <c r="V157" s="25">
        <f t="shared" ref="V157:V163" si="60">ROUND(T157*U157,0)</f>
        <v>4830000</v>
      </c>
      <c r="W157" s="25"/>
    </row>
    <row r="158" spans="1:23" ht="18.75" customHeight="1">
      <c r="A158" s="726">
        <f>IF(B158&lt;&gt;"",A157+1,"")</f>
        <v>2</v>
      </c>
      <c r="B158" s="1031" t="s">
        <v>429</v>
      </c>
      <c r="C158" s="991">
        <f>VLOOKUP(B158,NXT!$Q$78:$S$118,2,0)</f>
        <v>3.2</v>
      </c>
      <c r="D158" s="992"/>
      <c r="E158" s="992">
        <v>52780</v>
      </c>
      <c r="F158" s="992">
        <v>56000</v>
      </c>
      <c r="G158" s="25">
        <f t="shared" si="57"/>
        <v>2955680000</v>
      </c>
      <c r="H158" s="992">
        <f>IF($D$163&lt;&gt;0,H$163/($D$163+$E$163/5)*($D158+$E158/5),0)</f>
        <v>3048875.5124165635</v>
      </c>
      <c r="I158" s="992"/>
      <c r="J158" s="992"/>
      <c r="K158" s="992"/>
      <c r="L158" s="25">
        <f>$V$166/($O$157+$O$158)*O158</f>
        <v>35786666.666666672</v>
      </c>
      <c r="M158" s="992"/>
      <c r="N158" s="25">
        <f t="shared" si="58"/>
        <v>2994515542</v>
      </c>
      <c r="O158" s="1122">
        <v>52780</v>
      </c>
      <c r="P158" s="992">
        <f t="shared" si="59"/>
        <v>56735.800341038273</v>
      </c>
      <c r="Q158" s="1205"/>
      <c r="R158" s="641" t="s">
        <v>333</v>
      </c>
      <c r="S158" s="1033">
        <v>42948</v>
      </c>
      <c r="T158" s="77">
        <v>150</v>
      </c>
      <c r="U158" s="843">
        <v>49808.000000000007</v>
      </c>
      <c r="V158" s="25">
        <f t="shared" si="60"/>
        <v>7471200</v>
      </c>
      <c r="W158" s="25"/>
    </row>
    <row r="159" spans="1:23" ht="18.75" customHeight="1">
      <c r="A159" s="726">
        <f t="shared" ref="A159:A161" si="61">IF(B159&lt;&gt;"",A158+1,"")</f>
        <v>3</v>
      </c>
      <c r="B159" s="1055" t="s">
        <v>1588</v>
      </c>
      <c r="C159" s="991">
        <f>VLOOKUP(B159,NXT!$Q$78:$S$118,2,0)</f>
        <v>11.5</v>
      </c>
      <c r="D159" s="992">
        <f>ROUND(C159*O159,0)</f>
        <v>138000</v>
      </c>
      <c r="E159" s="992"/>
      <c r="F159" s="992">
        <f>VLOOKUP(B159,NXT!$Q$78:$S$118,3,0)</f>
        <v>18200</v>
      </c>
      <c r="G159" s="25">
        <f>(D159+E159)*F159</f>
        <v>2511600000</v>
      </c>
      <c r="H159" s="992">
        <f>IF($D$163&lt;&gt;0,H$163/($D$163+$E$163/5)*($D159+$E159/5),0)</f>
        <v>39858357.399913393</v>
      </c>
      <c r="I159" s="381">
        <f t="shared" ref="I159:K161" si="62">IF($D$163&lt;&gt;0,I$163/$D$163*$D159,0)</f>
        <v>37565724.335309058</v>
      </c>
      <c r="J159" s="381">
        <f t="shared" si="62"/>
        <v>53924267.705334462</v>
      </c>
      <c r="K159" s="381">
        <f t="shared" si="62"/>
        <v>34744795.757832348</v>
      </c>
      <c r="L159" s="25">
        <f>V167</f>
        <v>16115000</v>
      </c>
      <c r="M159" s="992"/>
      <c r="N159" s="25">
        <f t="shared" si="58"/>
        <v>2693808145</v>
      </c>
      <c r="O159" s="1122">
        <v>12000</v>
      </c>
      <c r="P159" s="992">
        <f t="shared" si="59"/>
        <v>224484.01208333333</v>
      </c>
      <c r="Q159" s="1205"/>
      <c r="R159" s="641" t="s">
        <v>336</v>
      </c>
      <c r="S159" s="1033">
        <v>42948</v>
      </c>
      <c r="T159" s="77">
        <v>400</v>
      </c>
      <c r="U159" s="843">
        <v>16476.189999999999</v>
      </c>
      <c r="V159" s="25">
        <f t="shared" si="60"/>
        <v>6590476</v>
      </c>
      <c r="W159" s="25"/>
    </row>
    <row r="160" spans="1:23" ht="18.75" customHeight="1">
      <c r="A160" s="726">
        <f t="shared" si="61"/>
        <v>4</v>
      </c>
      <c r="B160" s="1055" t="s">
        <v>793</v>
      </c>
      <c r="C160" s="991">
        <f>VLOOKUP(B160,NXT!$Q$78:$S$118,2,0)</f>
        <v>8.6999999999999993</v>
      </c>
      <c r="D160" s="992">
        <f>ROUND(C160*O160,0)</f>
        <v>52200</v>
      </c>
      <c r="E160" s="992"/>
      <c r="F160" s="992">
        <f>VLOOKUP(B160,NXT!$Q$78:$S$118,3,0)</f>
        <v>18500</v>
      </c>
      <c r="G160" s="25">
        <f>(D160+E160)*F160</f>
        <v>965700000</v>
      </c>
      <c r="H160" s="992">
        <f>IF($D$163&lt;&gt;0,H$163/($D$163+$E$163/5)*($D160+$E160/5),0)</f>
        <v>15076856.929532457</v>
      </c>
      <c r="I160" s="381">
        <f t="shared" si="62"/>
        <v>14209643.552921252</v>
      </c>
      <c r="J160" s="381">
        <f t="shared" si="62"/>
        <v>20397440.392887384</v>
      </c>
      <c r="K160" s="381">
        <f t="shared" si="62"/>
        <v>13142596.656223539</v>
      </c>
      <c r="L160" s="25">
        <f>$V$168/($O$160+$O$161)*O160</f>
        <v>8561700</v>
      </c>
      <c r="M160" s="992"/>
      <c r="N160" s="25">
        <f t="shared" si="58"/>
        <v>1037088238</v>
      </c>
      <c r="O160" s="1122">
        <v>6000</v>
      </c>
      <c r="P160" s="992">
        <f t="shared" si="59"/>
        <v>172848.03966666668</v>
      </c>
      <c r="Q160" s="1205"/>
      <c r="R160" s="641" t="s">
        <v>804</v>
      </c>
      <c r="S160" s="1033">
        <v>42948</v>
      </c>
      <c r="T160" s="77">
        <v>40</v>
      </c>
      <c r="U160" s="843">
        <v>53000</v>
      </c>
      <c r="V160" s="25">
        <f t="shared" si="60"/>
        <v>2120000</v>
      </c>
      <c r="W160" s="25"/>
    </row>
    <row r="161" spans="1:23" ht="18.75" customHeight="1">
      <c r="A161" s="726">
        <f t="shared" si="61"/>
        <v>5</v>
      </c>
      <c r="B161" s="1055" t="s">
        <v>1588</v>
      </c>
      <c r="C161" s="991">
        <f>VLOOKUP(B161,NXT!$Q$78:$S$118,2,0)</f>
        <v>11.5</v>
      </c>
      <c r="D161" s="992">
        <f>ROUND(C161*O161,0)</f>
        <v>46000</v>
      </c>
      <c r="E161" s="992"/>
      <c r="F161" s="992">
        <f>VLOOKUP(B161,NXT!$Q$78:$S$118,3,0)</f>
        <v>18200</v>
      </c>
      <c r="G161" s="25">
        <f>(D161+E161)*F161</f>
        <v>837200000</v>
      </c>
      <c r="H161" s="992">
        <f>IF($D$163&lt;&gt;0,H$163/($D$163+$E$163/5)*($D161+$E161/5),0)</f>
        <v>13286119.133304464</v>
      </c>
      <c r="I161" s="381">
        <f t="shared" si="62"/>
        <v>12521908.111769686</v>
      </c>
      <c r="J161" s="381">
        <f t="shared" si="62"/>
        <v>17974755.901778154</v>
      </c>
      <c r="K161" s="381">
        <f t="shared" si="62"/>
        <v>11581598.585944116</v>
      </c>
      <c r="L161" s="25">
        <f>$V$168/($O$160+$O$161)*O161</f>
        <v>5707800</v>
      </c>
      <c r="M161" s="992"/>
      <c r="N161" s="25">
        <f t="shared" si="58"/>
        <v>898272182</v>
      </c>
      <c r="O161" s="1122">
        <v>4000</v>
      </c>
      <c r="P161" s="992">
        <f t="shared" si="59"/>
        <v>224568.04550000001</v>
      </c>
      <c r="Q161" s="1205"/>
      <c r="R161" s="641" t="s">
        <v>341</v>
      </c>
      <c r="S161" s="1033">
        <v>42948</v>
      </c>
      <c r="T161" s="77">
        <v>600</v>
      </c>
      <c r="U161" s="843">
        <v>3200</v>
      </c>
      <c r="V161" s="25">
        <f t="shared" si="60"/>
        <v>1920000</v>
      </c>
      <c r="W161" s="25"/>
    </row>
    <row r="162" spans="1:23" ht="18.75" customHeight="1">
      <c r="A162" s="726" t="str">
        <f>IF(B162&lt;&gt;"",#REF!+1,"")</f>
        <v/>
      </c>
      <c r="B162" s="997"/>
      <c r="C162" s="991">
        <f>IF(ISNA(VLOOKUP(B162,NXT!$Q$88:$S$98,2,0)),0,VLOOKUP(B162,NXT!$Q$88:$S$98,2,0))</f>
        <v>0</v>
      </c>
      <c r="D162" s="999"/>
      <c r="E162" s="999"/>
      <c r="F162" s="999"/>
      <c r="G162" s="1000"/>
      <c r="H162" s="1001"/>
      <c r="I162" s="999"/>
      <c r="J162" s="8"/>
      <c r="K162" s="999"/>
      <c r="L162" s="1001"/>
      <c r="M162" s="999"/>
      <c r="N162" s="1023"/>
      <c r="O162" s="1002"/>
      <c r="P162" s="999"/>
      <c r="Q162" s="1205"/>
      <c r="R162" s="641" t="s">
        <v>1257</v>
      </c>
      <c r="S162" s="1033">
        <v>42948</v>
      </c>
      <c r="T162" s="77">
        <v>2700</v>
      </c>
      <c r="U162" s="843">
        <v>14728</v>
      </c>
      <c r="V162" s="25">
        <f t="shared" si="60"/>
        <v>39765600</v>
      </c>
      <c r="W162" s="25"/>
    </row>
    <row r="163" spans="1:23" ht="18.75" customHeight="1">
      <c r="A163" s="1004"/>
      <c r="B163" s="1004" t="s">
        <v>509</v>
      </c>
      <c r="C163" s="1005"/>
      <c r="D163" s="804">
        <f>SUM(D159:D162)</f>
        <v>236200</v>
      </c>
      <c r="E163" s="804">
        <f>SUM(E157:E162)</f>
        <v>158340</v>
      </c>
      <c r="F163" s="804"/>
      <c r="G163" s="804">
        <f>SUM(G157:G162)</f>
        <v>12337060000</v>
      </c>
      <c r="H163" s="804">
        <v>77367960</v>
      </c>
      <c r="I163" s="804">
        <f>V165</f>
        <v>64297276</v>
      </c>
      <c r="J163" s="804">
        <f>82410100+9886364</f>
        <v>92296464</v>
      </c>
      <c r="K163" s="804">
        <v>59468991</v>
      </c>
      <c r="L163" s="804">
        <f t="shared" ref="L163:M163" si="63">ROUND(SUM(L157:L162),0)</f>
        <v>137744500</v>
      </c>
      <c r="M163" s="804">
        <f t="shared" si="63"/>
        <v>0</v>
      </c>
      <c r="N163" s="804">
        <f>ROUND(SUM(N157:N162),0)</f>
        <v>12768235191</v>
      </c>
      <c r="O163" s="804">
        <f>ROUND(SUM(O157:O162),0)</f>
        <v>180340</v>
      </c>
      <c r="P163" s="804"/>
      <c r="Q163" s="1205"/>
      <c r="R163" s="641" t="s">
        <v>346</v>
      </c>
      <c r="S163" s="1033">
        <v>42948</v>
      </c>
      <c r="T163" s="1039">
        <v>200</v>
      </c>
      <c r="U163" s="1048">
        <v>8000</v>
      </c>
      <c r="V163" s="25">
        <f t="shared" si="60"/>
        <v>1600000</v>
      </c>
      <c r="W163" s="25"/>
    </row>
    <row r="164" spans="1:23" ht="18.75" customHeight="1">
      <c r="A164" s="978"/>
      <c r="B164" s="978"/>
      <c r="C164" s="978"/>
      <c r="D164" s="978"/>
      <c r="E164" s="978"/>
      <c r="F164" s="978"/>
      <c r="G164" s="978"/>
      <c r="H164" s="978"/>
      <c r="I164" s="978"/>
      <c r="J164" s="978"/>
      <c r="K164" s="978"/>
      <c r="L164" s="978"/>
      <c r="M164" s="978"/>
      <c r="N164" s="978"/>
      <c r="O164" s="978"/>
      <c r="P164" s="978"/>
      <c r="Q164" s="1205"/>
      <c r="R164" s="641"/>
      <c r="S164" s="644"/>
      <c r="T164" s="77"/>
      <c r="U164" s="77"/>
      <c r="V164" s="25"/>
      <c r="W164" s="8"/>
    </row>
    <row r="165" spans="1:23" ht="18.75" customHeight="1">
      <c r="A165" s="978"/>
      <c r="B165" s="978"/>
      <c r="C165" s="978"/>
      <c r="D165" s="978"/>
      <c r="E165" s="978"/>
      <c r="F165" s="978"/>
      <c r="G165" s="978"/>
      <c r="H165" s="978"/>
      <c r="I165" s="978"/>
      <c r="J165" s="978"/>
      <c r="K165" s="978"/>
      <c r="L165" s="978"/>
      <c r="M165" s="978"/>
      <c r="N165" s="978"/>
      <c r="O165" s="978"/>
      <c r="P165" s="978"/>
      <c r="Q165" s="1205"/>
      <c r="R165" s="1026"/>
      <c r="S165" s="1027"/>
      <c r="T165" s="1028"/>
      <c r="U165" s="1035"/>
      <c r="V165" s="70">
        <f>SUM(V157:V164)</f>
        <v>64297276</v>
      </c>
      <c r="W165" s="70">
        <f>SUM(W157:W164)</f>
        <v>0</v>
      </c>
    </row>
    <row r="166" spans="1:23" ht="18.75" customHeight="1">
      <c r="A166" s="978"/>
      <c r="B166" s="978"/>
      <c r="C166" s="978"/>
      <c r="D166" s="978"/>
      <c r="E166" s="978"/>
      <c r="F166" s="978"/>
      <c r="G166" s="978"/>
      <c r="H166" s="978"/>
      <c r="I166" s="978"/>
      <c r="J166" s="978"/>
      <c r="K166" s="978"/>
      <c r="L166" s="978"/>
      <c r="M166" s="978"/>
      <c r="N166" s="1034"/>
      <c r="O166" s="978"/>
      <c r="P166" s="978"/>
      <c r="Q166" s="1205"/>
      <c r="R166" s="432" t="s">
        <v>795</v>
      </c>
      <c r="S166" s="1033">
        <v>42952</v>
      </c>
      <c r="T166" s="8">
        <v>12200</v>
      </c>
      <c r="U166" s="843">
        <v>8800</v>
      </c>
      <c r="V166" s="25">
        <f t="shared" ref="V166:V167" si="64">ROUND(T166*U166,0)</f>
        <v>107360000</v>
      </c>
      <c r="W166" s="8"/>
    </row>
    <row r="167" spans="1:23" ht="18.75" customHeight="1">
      <c r="A167" s="978"/>
      <c r="B167" s="978"/>
      <c r="C167" s="978"/>
      <c r="D167" s="978"/>
      <c r="E167" s="978"/>
      <c r="F167" s="978"/>
      <c r="G167" s="978"/>
      <c r="H167" s="978"/>
      <c r="I167" s="978"/>
      <c r="J167" s="978"/>
      <c r="K167" s="978"/>
      <c r="L167" s="978"/>
      <c r="M167" s="978"/>
      <c r="N167" s="978"/>
      <c r="O167" s="978"/>
      <c r="P167" s="978"/>
      <c r="Q167" s="1206"/>
      <c r="R167" s="432" t="s">
        <v>2013</v>
      </c>
      <c r="S167" s="1033">
        <v>42927</v>
      </c>
      <c r="T167" s="8">
        <v>1465</v>
      </c>
      <c r="U167" s="843">
        <v>11000</v>
      </c>
      <c r="V167" s="25">
        <f t="shared" si="64"/>
        <v>16115000</v>
      </c>
      <c r="W167" s="8"/>
    </row>
    <row r="168" spans="1:23" ht="18.75" customHeight="1">
      <c r="A168" s="978"/>
      <c r="B168" s="978"/>
      <c r="C168" s="978"/>
      <c r="D168" s="978"/>
      <c r="E168" s="978"/>
      <c r="F168" s="978"/>
      <c r="G168" s="978"/>
      <c r="H168" s="978"/>
      <c r="I168" s="1012"/>
      <c r="J168" s="978"/>
      <c r="K168" s="978"/>
      <c r="L168" s="978"/>
      <c r="M168" s="978"/>
      <c r="N168" s="978"/>
      <c r="O168" s="978"/>
      <c r="P168" s="978"/>
      <c r="Q168" s="1206"/>
      <c r="R168" s="432" t="s">
        <v>371</v>
      </c>
      <c r="S168" s="1033">
        <v>42927</v>
      </c>
      <c r="T168" s="8">
        <v>1057</v>
      </c>
      <c r="U168" s="843">
        <v>13500</v>
      </c>
      <c r="V168" s="25">
        <f t="shared" ref="V168" si="65">ROUND(T168*U168,0)</f>
        <v>14269500</v>
      </c>
      <c r="W168" s="8"/>
    </row>
    <row r="169" spans="1:23" ht="18.75" customHeight="1">
      <c r="A169" s="978"/>
      <c r="B169" s="978"/>
      <c r="C169" s="978"/>
      <c r="D169" s="978"/>
      <c r="E169" s="978"/>
      <c r="F169" s="978"/>
      <c r="G169" s="1012"/>
      <c r="H169" s="1012"/>
      <c r="I169" s="1012"/>
      <c r="J169" s="1012"/>
      <c r="K169" s="1012"/>
      <c r="L169" s="1012"/>
      <c r="M169" s="1012"/>
      <c r="N169" s="1012"/>
      <c r="O169" s="978"/>
      <c r="P169" s="978"/>
      <c r="Q169" s="1206"/>
      <c r="R169" s="432"/>
      <c r="S169" s="644"/>
      <c r="T169" s="843"/>
      <c r="U169" s="843"/>
      <c r="V169" s="25"/>
      <c r="W169" s="8"/>
    </row>
    <row r="170" spans="1:23" ht="18.75" customHeight="1">
      <c r="A170" s="978"/>
      <c r="B170" s="978"/>
      <c r="C170" s="978"/>
      <c r="D170" s="978"/>
      <c r="E170" s="978"/>
      <c r="F170" s="978"/>
      <c r="G170" s="978"/>
      <c r="H170" s="978"/>
      <c r="I170" s="978"/>
      <c r="J170" s="978"/>
      <c r="K170" s="978"/>
      <c r="L170" s="978"/>
      <c r="M170" s="978"/>
      <c r="N170" s="978"/>
      <c r="O170" s="978"/>
      <c r="P170" s="978"/>
      <c r="Q170" s="1206"/>
      <c r="R170" s="1010"/>
      <c r="S170" s="644"/>
      <c r="T170" s="25">
        <f>SUM(T166:T169)</f>
        <v>14722</v>
      </c>
      <c r="U170" s="25"/>
      <c r="V170" s="25">
        <f>SUM(V166:V169)</f>
        <v>137744500</v>
      </c>
      <c r="W170" s="8"/>
    </row>
    <row r="171" spans="1:23" ht="20.25" customHeight="1">
      <c r="A171" s="980" t="s">
        <v>493</v>
      </c>
      <c r="B171" s="980"/>
      <c r="C171" s="981"/>
      <c r="D171" s="982"/>
      <c r="E171" s="982"/>
      <c r="F171" s="982"/>
      <c r="G171" s="423"/>
      <c r="H171" s="423"/>
      <c r="I171" s="423"/>
      <c r="J171" s="423"/>
      <c r="K171" s="423"/>
      <c r="L171" s="423"/>
      <c r="M171" s="423"/>
      <c r="N171" s="423"/>
      <c r="O171" s="887"/>
      <c r="P171" s="423"/>
      <c r="Q171" s="1204"/>
      <c r="R171" s="423"/>
      <c r="S171" s="984"/>
      <c r="T171" s="423"/>
      <c r="U171" s="423"/>
      <c r="V171" s="978"/>
      <c r="W171" s="978"/>
    </row>
    <row r="172" spans="1:23" ht="20.25" customHeight="1">
      <c r="A172" s="985" t="s">
        <v>2395</v>
      </c>
      <c r="B172" s="985"/>
      <c r="C172" s="985"/>
      <c r="D172" s="985"/>
      <c r="E172" s="985"/>
      <c r="F172" s="985"/>
      <c r="G172" s="985"/>
      <c r="H172" s="985"/>
      <c r="I172" s="985"/>
      <c r="J172" s="985"/>
      <c r="K172" s="985"/>
      <c r="L172" s="985"/>
      <c r="M172" s="985"/>
      <c r="N172" s="985"/>
      <c r="O172" s="985"/>
      <c r="P172" s="985"/>
      <c r="Q172" s="1204"/>
      <c r="R172" s="423"/>
      <c r="S172" s="984"/>
      <c r="T172" s="423"/>
      <c r="U172" s="423"/>
      <c r="V172" s="978"/>
      <c r="W172" s="978"/>
    </row>
    <row r="173" spans="1:23" ht="14.25" customHeight="1">
      <c r="A173" s="986"/>
      <c r="B173" s="986"/>
      <c r="C173" s="987"/>
      <c r="D173" s="986"/>
      <c r="E173" s="986"/>
      <c r="F173" s="986"/>
      <c r="G173" s="986"/>
      <c r="H173" s="986"/>
      <c r="I173" s="986"/>
      <c r="J173" s="986"/>
      <c r="K173" s="986"/>
      <c r="L173" s="986"/>
      <c r="M173" s="986"/>
      <c r="N173" s="986"/>
      <c r="O173" s="988"/>
      <c r="P173" s="986"/>
      <c r="Q173" s="1204"/>
      <c r="R173" s="423"/>
      <c r="S173" s="984"/>
      <c r="T173" s="423"/>
      <c r="U173" s="423"/>
      <c r="V173" s="978"/>
      <c r="W173" s="978"/>
    </row>
    <row r="174" spans="1:23" ht="40.5" customHeight="1">
      <c r="A174" s="635" t="s">
        <v>37</v>
      </c>
      <c r="B174" s="635" t="s">
        <v>494</v>
      </c>
      <c r="C174" s="636" t="s">
        <v>495</v>
      </c>
      <c r="D174" s="637" t="s">
        <v>496</v>
      </c>
      <c r="E174" s="637" t="s">
        <v>497</v>
      </c>
      <c r="F174" s="637" t="s">
        <v>498</v>
      </c>
      <c r="G174" s="637" t="s">
        <v>499</v>
      </c>
      <c r="H174" s="637" t="s">
        <v>500</v>
      </c>
      <c r="I174" s="637" t="s">
        <v>501</v>
      </c>
      <c r="J174" s="637" t="s">
        <v>502</v>
      </c>
      <c r="K174" s="638" t="s">
        <v>503</v>
      </c>
      <c r="L174" s="637" t="s">
        <v>504</v>
      </c>
      <c r="M174" s="638" t="s">
        <v>505</v>
      </c>
      <c r="N174" s="637" t="s">
        <v>506</v>
      </c>
      <c r="O174" s="639" t="s">
        <v>497</v>
      </c>
      <c r="P174" s="637" t="s">
        <v>507</v>
      </c>
      <c r="Q174" s="1204"/>
      <c r="R174" s="635" t="s">
        <v>494</v>
      </c>
      <c r="S174" s="637" t="s">
        <v>462</v>
      </c>
      <c r="T174" s="637" t="s">
        <v>325</v>
      </c>
      <c r="U174" s="637" t="s">
        <v>498</v>
      </c>
      <c r="V174" s="637" t="s">
        <v>508</v>
      </c>
      <c r="W174" s="635" t="s">
        <v>508</v>
      </c>
    </row>
    <row r="175" spans="1:23" ht="18.75" customHeight="1">
      <c r="A175" s="726">
        <v>1</v>
      </c>
      <c r="B175" s="1031" t="s">
        <v>429</v>
      </c>
      <c r="C175" s="991">
        <f>VLOOKUP(B175,NXT!$Q$78:$S$118,2,0)</f>
        <v>3.2</v>
      </c>
      <c r="D175" s="992"/>
      <c r="E175" s="992">
        <v>371664.83</v>
      </c>
      <c r="F175" s="992">
        <v>53664.547032873677</v>
      </c>
      <c r="G175" s="25">
        <f t="shared" ref="G175:G183" si="66">(D175+E175)*F175</f>
        <v>19945224750</v>
      </c>
      <c r="H175" s="992">
        <f t="shared" ref="H175:H183" si="67">IF($D$185&lt;&gt;0,H$185/($D$185+$E$185/5)*($D175+$E175/5),0)</f>
        <v>4580644.9314734498</v>
      </c>
      <c r="I175" s="992">
        <f t="shared" ref="I175:K183" si="68">IF($D$185&lt;&gt;0,I$185/$D$185*$D175,0)</f>
        <v>0</v>
      </c>
      <c r="J175" s="992">
        <f t="shared" si="68"/>
        <v>0</v>
      </c>
      <c r="K175" s="992">
        <f t="shared" si="68"/>
        <v>0</v>
      </c>
      <c r="L175" s="25">
        <f>SUM($V$184:$V$186)/SUM($O$175:$O$177)*O175</f>
        <v>192558500.82370362</v>
      </c>
      <c r="M175" s="992"/>
      <c r="N175" s="25">
        <f t="shared" ref="N175" si="69">ROUND(SUM(G175:L175),0)</f>
        <v>20142363896</v>
      </c>
      <c r="O175" s="375">
        <v>371664.83</v>
      </c>
      <c r="P175" s="992">
        <f t="shared" ref="P175" si="70">IF(N175&lt;&gt;0,N175/O175,0)</f>
        <v>54194.968880967295</v>
      </c>
      <c r="Q175" s="1204"/>
      <c r="R175" s="641" t="s">
        <v>327</v>
      </c>
      <c r="S175" s="1038">
        <v>42979</v>
      </c>
      <c r="T175" s="1039">
        <v>150</v>
      </c>
      <c r="U175" s="1039">
        <v>32200</v>
      </c>
      <c r="V175" s="25">
        <f t="shared" ref="V175:V181" si="71">ROUND(T175*U175,0)</f>
        <v>4830000</v>
      </c>
      <c r="W175" s="25"/>
    </row>
    <row r="176" spans="1:23" ht="18.75" customHeight="1">
      <c r="A176" s="726">
        <f t="shared" ref="A176:A184" si="72">IF(B176&lt;&gt;"",A175+1,"")</f>
        <v>2</v>
      </c>
      <c r="B176" s="1031" t="s">
        <v>2399</v>
      </c>
      <c r="C176" s="991">
        <f>VLOOKUP(B176,NXT!$Q$78:$S$118,2,0)</f>
        <v>2.7</v>
      </c>
      <c r="D176" s="992">
        <f t="shared" ref="D176:D183" si="73">ROUND(C176*O176,0)</f>
        <v>712530</v>
      </c>
      <c r="E176" s="992"/>
      <c r="F176" s="992">
        <v>16500</v>
      </c>
      <c r="G176" s="25">
        <f t="shared" si="66"/>
        <v>11756745000</v>
      </c>
      <c r="H176" s="992">
        <f t="shared" si="67"/>
        <v>43908471.687014036</v>
      </c>
      <c r="I176" s="992">
        <f t="shared" si="68"/>
        <v>38967499.171363905</v>
      </c>
      <c r="J176" s="992">
        <f t="shared" si="68"/>
        <v>56845091.904709652</v>
      </c>
      <c r="K176" s="992">
        <f t="shared" si="68"/>
        <v>36041309.935927041</v>
      </c>
      <c r="L176" s="25">
        <f>SUM($V$184:$V$186)/SUM($O$175:$O$177)*O176</f>
        <v>136725846.15384614</v>
      </c>
      <c r="M176" s="992"/>
      <c r="N176" s="25">
        <f t="shared" ref="N176:N183" si="74">ROUND(SUM(G176:L176),0)</f>
        <v>12069233219</v>
      </c>
      <c r="O176" s="375">
        <v>263900</v>
      </c>
      <c r="P176" s="992">
        <f t="shared" ref="P176:P183" si="75">IF(N176&lt;&gt;0,N176/O176,0)</f>
        <v>45734.116025009476</v>
      </c>
      <c r="Q176" s="1204"/>
      <c r="R176" s="641" t="s">
        <v>333</v>
      </c>
      <c r="S176" s="1038">
        <v>42979</v>
      </c>
      <c r="T176" s="1039">
        <v>150</v>
      </c>
      <c r="U176" s="843">
        <v>49808.000000000007</v>
      </c>
      <c r="V176" s="25">
        <f t="shared" si="71"/>
        <v>7471200</v>
      </c>
      <c r="W176" s="8"/>
    </row>
    <row r="177" spans="1:23" ht="18.75" customHeight="1">
      <c r="A177" s="726">
        <f t="shared" si="72"/>
        <v>3</v>
      </c>
      <c r="B177" s="1031" t="s">
        <v>429</v>
      </c>
      <c r="C177" s="991">
        <f>VLOOKUP(B177,NXT!$Q$78:$S$118,2,0)</f>
        <v>3.2</v>
      </c>
      <c r="D177" s="992">
        <f t="shared" si="73"/>
        <v>161841</v>
      </c>
      <c r="E177" s="992"/>
      <c r="F177" s="992">
        <v>18000</v>
      </c>
      <c r="G177" s="25">
        <f t="shared" si="66"/>
        <v>2913138000</v>
      </c>
      <c r="H177" s="992">
        <f t="shared" si="67"/>
        <v>9973181.4327790253</v>
      </c>
      <c r="I177" s="992">
        <f t="shared" si="68"/>
        <v>8850910.1839820165</v>
      </c>
      <c r="J177" s="992">
        <f t="shared" si="68"/>
        <v>12911549.715731429</v>
      </c>
      <c r="K177" s="992">
        <f t="shared" si="68"/>
        <v>8186268.1449768683</v>
      </c>
      <c r="L177" s="25">
        <f>SUM($V$184:$V$186)/SUM($O$175:$O$177)*O177</f>
        <v>26202853.022450216</v>
      </c>
      <c r="M177" s="992"/>
      <c r="N177" s="25">
        <f t="shared" si="74"/>
        <v>2979262762</v>
      </c>
      <c r="O177" s="375">
        <v>50575.169999999984</v>
      </c>
      <c r="P177" s="992">
        <f t="shared" si="75"/>
        <v>58907.617354523987</v>
      </c>
      <c r="Q177" s="1204"/>
      <c r="R177" s="641" t="s">
        <v>336</v>
      </c>
      <c r="S177" s="1038">
        <v>42979</v>
      </c>
      <c r="T177" s="77">
        <v>400</v>
      </c>
      <c r="U177" s="843">
        <v>16476.189999999999</v>
      </c>
      <c r="V177" s="25">
        <f t="shared" ref="V177:V178" si="76">ROUND(T177*U177,0)</f>
        <v>6590476</v>
      </c>
      <c r="W177" s="8"/>
    </row>
    <row r="178" spans="1:23" ht="18.75" customHeight="1">
      <c r="A178" s="726">
        <f t="shared" si="72"/>
        <v>4</v>
      </c>
      <c r="B178" s="960" t="s">
        <v>1588</v>
      </c>
      <c r="C178" s="991">
        <f>VLOOKUP(B178,NXT!$Q$78:$S$118,2,0)</f>
        <v>11.5</v>
      </c>
      <c r="D178" s="992">
        <f t="shared" si="73"/>
        <v>60260</v>
      </c>
      <c r="E178" s="992"/>
      <c r="F178" s="992">
        <v>18700</v>
      </c>
      <c r="G178" s="25">
        <f t="shared" si="66"/>
        <v>1126862000</v>
      </c>
      <c r="H178" s="992">
        <f t="shared" si="67"/>
        <v>3713421.8964246642</v>
      </c>
      <c r="I178" s="992">
        <f t="shared" si="68"/>
        <v>3295554.5732339537</v>
      </c>
      <c r="J178" s="992">
        <f t="shared" si="68"/>
        <v>4807496.1590077663</v>
      </c>
      <c r="K178" s="992">
        <f t="shared" si="68"/>
        <v>3048081.2551597315</v>
      </c>
      <c r="L178" s="992">
        <f>$V$187/($O$178+$O$179)*O178</f>
        <v>4927870.666666666</v>
      </c>
      <c r="M178" s="992"/>
      <c r="N178" s="25">
        <f t="shared" si="74"/>
        <v>1146654425</v>
      </c>
      <c r="O178" s="375">
        <v>5240</v>
      </c>
      <c r="P178" s="992">
        <f t="shared" si="75"/>
        <v>218827.18034351146</v>
      </c>
      <c r="Q178" s="1204"/>
      <c r="R178" s="641" t="s">
        <v>804</v>
      </c>
      <c r="S178" s="1038">
        <v>42979</v>
      </c>
      <c r="T178" s="77">
        <v>40</v>
      </c>
      <c r="U178" s="843">
        <v>53000</v>
      </c>
      <c r="V178" s="25">
        <f t="shared" si="76"/>
        <v>2120000</v>
      </c>
      <c r="W178" s="8"/>
    </row>
    <row r="179" spans="1:23" ht="18.75" customHeight="1">
      <c r="A179" s="726">
        <f t="shared" si="72"/>
        <v>5</v>
      </c>
      <c r="B179" s="960" t="s">
        <v>793</v>
      </c>
      <c r="C179" s="991">
        <v>9.5</v>
      </c>
      <c r="D179" s="992">
        <f t="shared" si="73"/>
        <v>64220</v>
      </c>
      <c r="E179" s="992"/>
      <c r="F179" s="992">
        <v>19500</v>
      </c>
      <c r="G179" s="25">
        <f t="shared" si="66"/>
        <v>1252290000</v>
      </c>
      <c r="H179" s="992">
        <f t="shared" si="67"/>
        <v>3957450.2852371712</v>
      </c>
      <c r="I179" s="992">
        <f t="shared" si="68"/>
        <v>3512122.7131278543</v>
      </c>
      <c r="J179" s="992">
        <f t="shared" si="68"/>
        <v>5123421.8939840486</v>
      </c>
      <c r="K179" s="992">
        <f t="shared" si="68"/>
        <v>3248386.6280510779</v>
      </c>
      <c r="L179" s="992">
        <f>$V$187/($O$178+$O$179)*O179</f>
        <v>6357329.333333333</v>
      </c>
      <c r="M179" s="992"/>
      <c r="N179" s="25">
        <f t="shared" si="74"/>
        <v>1274488711</v>
      </c>
      <c r="O179" s="375">
        <v>6760</v>
      </c>
      <c r="P179" s="992">
        <f t="shared" ref="P179:P180" si="77">IF(N179&lt;&gt;0,N179/O179,0)</f>
        <v>188533.83298816567</v>
      </c>
      <c r="Q179" s="1204"/>
      <c r="R179" s="641" t="s">
        <v>341</v>
      </c>
      <c r="S179" s="1038">
        <v>42979</v>
      </c>
      <c r="T179" s="77">
        <v>600</v>
      </c>
      <c r="U179" s="843">
        <v>3200</v>
      </c>
      <c r="V179" s="25">
        <f t="shared" ref="V179:V180" si="78">ROUND(T179*U179,0)</f>
        <v>1920000</v>
      </c>
      <c r="W179" s="8"/>
    </row>
    <row r="180" spans="1:23" ht="18.75" customHeight="1">
      <c r="A180" s="726">
        <f t="shared" si="72"/>
        <v>6</v>
      </c>
      <c r="B180" s="960" t="s">
        <v>1582</v>
      </c>
      <c r="C180" s="991">
        <f>VLOOKUP(B180,NXT!$Q$78:$S$118,2,0)</f>
        <v>5</v>
      </c>
      <c r="D180" s="992">
        <f t="shared" si="73"/>
        <v>3500</v>
      </c>
      <c r="E180" s="992"/>
      <c r="F180" s="992">
        <v>37500</v>
      </c>
      <c r="G180" s="25">
        <f t="shared" si="66"/>
        <v>131250000</v>
      </c>
      <c r="H180" s="992">
        <f t="shared" si="67"/>
        <v>215681.65677873092</v>
      </c>
      <c r="I180" s="992">
        <f t="shared" si="68"/>
        <v>191411.2347547102</v>
      </c>
      <c r="J180" s="992">
        <f t="shared" si="68"/>
        <v>279227.29101439065</v>
      </c>
      <c r="K180" s="992">
        <f t="shared" si="68"/>
        <v>177037.57705043245</v>
      </c>
      <c r="L180" s="25">
        <f>V188</f>
        <v>832000</v>
      </c>
      <c r="M180" s="992"/>
      <c r="N180" s="25">
        <f t="shared" si="74"/>
        <v>132945358</v>
      </c>
      <c r="O180" s="1122">
        <v>700</v>
      </c>
      <c r="P180" s="992">
        <f t="shared" si="77"/>
        <v>189921.94</v>
      </c>
      <c r="Q180" s="1205"/>
      <c r="R180" s="641" t="s">
        <v>1257</v>
      </c>
      <c r="S180" s="1038">
        <v>42979</v>
      </c>
      <c r="T180" s="77">
        <v>2700</v>
      </c>
      <c r="U180" s="843">
        <v>14728</v>
      </c>
      <c r="V180" s="25">
        <f t="shared" si="78"/>
        <v>39765600</v>
      </c>
      <c r="W180" s="8"/>
    </row>
    <row r="181" spans="1:23" ht="18.75" customHeight="1">
      <c r="A181" s="726">
        <f t="shared" si="72"/>
        <v>7</v>
      </c>
      <c r="B181" s="960" t="s">
        <v>1107</v>
      </c>
      <c r="C181" s="991">
        <f>VLOOKUP(B181,NXT!$Q$78:$S$118,2,0)</f>
        <v>5.5</v>
      </c>
      <c r="D181" s="992">
        <f t="shared" si="73"/>
        <v>8910</v>
      </c>
      <c r="E181" s="992"/>
      <c r="F181" s="992">
        <v>38500</v>
      </c>
      <c r="G181" s="25">
        <f t="shared" si="66"/>
        <v>343035000</v>
      </c>
      <c r="H181" s="992">
        <f t="shared" si="67"/>
        <v>549063.87482814072</v>
      </c>
      <c r="I181" s="992">
        <f t="shared" si="68"/>
        <v>487278.31476127653</v>
      </c>
      <c r="J181" s="992">
        <f t="shared" si="68"/>
        <v>710832.90369663457</v>
      </c>
      <c r="K181" s="992">
        <f t="shared" si="68"/>
        <v>450687.08900552947</v>
      </c>
      <c r="L181" s="25">
        <f>SUM($V$189:$V$190)/SUM($O$181:$O$183)*O181</f>
        <v>2456539.65</v>
      </c>
      <c r="M181" s="992"/>
      <c r="N181" s="25">
        <f t="shared" si="74"/>
        <v>347689402</v>
      </c>
      <c r="O181" s="375">
        <v>1620</v>
      </c>
      <c r="P181" s="992">
        <f t="shared" si="75"/>
        <v>214623.08765432099</v>
      </c>
      <c r="Q181" s="1204"/>
      <c r="R181" s="641" t="s">
        <v>346</v>
      </c>
      <c r="S181" s="1038">
        <v>42979</v>
      </c>
      <c r="T181" s="1039">
        <v>200</v>
      </c>
      <c r="U181" s="1048">
        <v>8000</v>
      </c>
      <c r="V181" s="25">
        <f t="shared" si="71"/>
        <v>1600000</v>
      </c>
      <c r="W181" s="8"/>
    </row>
    <row r="182" spans="1:23" ht="18.75" customHeight="1">
      <c r="A182" s="726">
        <f t="shared" si="72"/>
        <v>8</v>
      </c>
      <c r="B182" s="960" t="s">
        <v>1584</v>
      </c>
      <c r="C182" s="991">
        <f>VLOOKUP(B182,NXT!$Q$78:$S$118,2,0)</f>
        <v>11</v>
      </c>
      <c r="D182" s="992">
        <f t="shared" si="73"/>
        <v>20680</v>
      </c>
      <c r="E182" s="992"/>
      <c r="F182" s="992">
        <v>18200</v>
      </c>
      <c r="G182" s="25">
        <f t="shared" si="66"/>
        <v>376376000</v>
      </c>
      <c r="H182" s="992">
        <f t="shared" si="67"/>
        <v>1274370.4749097587</v>
      </c>
      <c r="I182" s="992">
        <f t="shared" si="68"/>
        <v>1130966.9527792591</v>
      </c>
      <c r="J182" s="992">
        <f t="shared" si="68"/>
        <v>1649834.3937650283</v>
      </c>
      <c r="K182" s="992">
        <f t="shared" si="68"/>
        <v>1046039.1695436981</v>
      </c>
      <c r="L182" s="25">
        <f>SUM($V$189:$V$190)/SUM($O$181:$O$183)*O182</f>
        <v>2850799.1</v>
      </c>
      <c r="M182" s="992"/>
      <c r="N182" s="25">
        <f t="shared" si="74"/>
        <v>384328010</v>
      </c>
      <c r="O182" s="1122">
        <v>1880</v>
      </c>
      <c r="P182" s="992">
        <f t="shared" ref="P182" si="79">IF(N182&lt;&gt;0,N182/O182,0)</f>
        <v>204429.79255319148</v>
      </c>
      <c r="Q182" s="1205"/>
      <c r="R182" s="641"/>
      <c r="S182" s="644"/>
      <c r="T182" s="77"/>
      <c r="U182" s="77"/>
      <c r="V182" s="25"/>
      <c r="W182" s="8"/>
    </row>
    <row r="183" spans="1:23" ht="18.75" customHeight="1">
      <c r="A183" s="726">
        <f t="shared" si="72"/>
        <v>9</v>
      </c>
      <c r="B183" s="960" t="s">
        <v>2400</v>
      </c>
      <c r="C183" s="991">
        <f>VLOOKUP(B183,NXT!$Q$78:$S$118,2,0)</f>
        <v>11.5</v>
      </c>
      <c r="D183" s="992">
        <f t="shared" si="73"/>
        <v>143750</v>
      </c>
      <c r="E183" s="992"/>
      <c r="F183" s="992">
        <v>17500</v>
      </c>
      <c r="G183" s="25">
        <f t="shared" si="66"/>
        <v>2515625000</v>
      </c>
      <c r="H183" s="992">
        <f t="shared" si="67"/>
        <v>8858353.7605550196</v>
      </c>
      <c r="I183" s="992">
        <f t="shared" si="68"/>
        <v>7861532.855997026</v>
      </c>
      <c r="J183" s="992">
        <f t="shared" si="68"/>
        <v>11468263.738091046</v>
      </c>
      <c r="K183" s="992">
        <f t="shared" si="68"/>
        <v>7271186.2002856191</v>
      </c>
      <c r="L183" s="25">
        <f>SUM($V$189:$V$190)/SUM($O$181:$O$183)*O183</f>
        <v>18954781.25</v>
      </c>
      <c r="M183" s="992"/>
      <c r="N183" s="25">
        <f t="shared" si="74"/>
        <v>2570039118</v>
      </c>
      <c r="O183" s="1122">
        <v>12500</v>
      </c>
      <c r="P183" s="992">
        <f t="shared" si="75"/>
        <v>205603.12943999999</v>
      </c>
      <c r="Q183" s="1205"/>
      <c r="R183" s="1026"/>
      <c r="S183" s="1027"/>
      <c r="T183" s="1028"/>
      <c r="U183" s="1035"/>
      <c r="V183" s="70">
        <f>SUM(V175:V182)</f>
        <v>64297276</v>
      </c>
      <c r="W183" s="70">
        <f>SUM(W175:W182)</f>
        <v>0</v>
      </c>
    </row>
    <row r="184" spans="1:23" ht="18.75" customHeight="1">
      <c r="A184" s="726" t="str">
        <f t="shared" si="72"/>
        <v/>
      </c>
      <c r="B184" s="997"/>
      <c r="C184" s="998"/>
      <c r="D184" s="999"/>
      <c r="E184" s="999"/>
      <c r="F184" s="999"/>
      <c r="G184" s="1000"/>
      <c r="H184" s="1001"/>
      <c r="I184" s="999"/>
      <c r="J184" s="8"/>
      <c r="K184" s="999"/>
      <c r="L184" s="1001"/>
      <c r="M184" s="999"/>
      <c r="N184" s="1023"/>
      <c r="O184" s="1002"/>
      <c r="P184" s="999"/>
      <c r="Q184" s="1205"/>
      <c r="R184" s="432" t="s">
        <v>795</v>
      </c>
      <c r="S184" s="1038">
        <v>42979</v>
      </c>
      <c r="T184" s="8">
        <v>4779</v>
      </c>
      <c r="U184" s="843">
        <v>8800</v>
      </c>
      <c r="V184" s="25">
        <f t="shared" ref="V184:V191" si="80">ROUND(T184*U184,0)</f>
        <v>42055200</v>
      </c>
      <c r="W184" s="25"/>
    </row>
    <row r="185" spans="1:23" ht="18.75" customHeight="1">
      <c r="A185" s="1004"/>
      <c r="B185" s="1004" t="s">
        <v>509</v>
      </c>
      <c r="C185" s="1005"/>
      <c r="D185" s="804">
        <f>SUM(D176:D184)</f>
        <v>1175691</v>
      </c>
      <c r="E185" s="804">
        <f>SUM(E175:E183)</f>
        <v>371664.83</v>
      </c>
      <c r="F185" s="804"/>
      <c r="G185" s="804">
        <f>SUM(G175:G183)</f>
        <v>40360545750</v>
      </c>
      <c r="H185" s="804">
        <v>77030640</v>
      </c>
      <c r="I185" s="804">
        <f>V183</f>
        <v>64297276</v>
      </c>
      <c r="J185" s="1042">
        <f>83363900+10431818</f>
        <v>93795718</v>
      </c>
      <c r="K185" s="804">
        <v>59468996</v>
      </c>
      <c r="L185" s="804">
        <f>ROUND(SUM(L175:L184),0)</f>
        <v>391866520</v>
      </c>
      <c r="M185" s="804">
        <f>ROUND(SUM(M175:M184),0)</f>
        <v>0</v>
      </c>
      <c r="N185" s="804">
        <f>ROUND(SUM(N175:N184),0)</f>
        <v>41047004901</v>
      </c>
      <c r="O185" s="804">
        <f>ROUND(SUM(O175:O184),0)</f>
        <v>714840</v>
      </c>
      <c r="P185" s="804"/>
      <c r="Q185" s="1205"/>
      <c r="R185" s="432" t="s">
        <v>795</v>
      </c>
      <c r="S185" s="1038">
        <v>42980</v>
      </c>
      <c r="T185" s="8">
        <f>60900-12180</f>
        <v>48720</v>
      </c>
      <c r="U185" s="1039">
        <v>5900</v>
      </c>
      <c r="V185" s="25">
        <f t="shared" si="80"/>
        <v>287448000</v>
      </c>
      <c r="W185" s="8"/>
    </row>
    <row r="186" spans="1:23" ht="18.75" customHeight="1">
      <c r="A186" s="978"/>
      <c r="B186" s="978"/>
      <c r="C186" s="978"/>
      <c r="D186" s="978"/>
      <c r="E186" s="978"/>
      <c r="F186" s="978"/>
      <c r="G186" s="978"/>
      <c r="H186" s="978"/>
      <c r="I186" s="978"/>
      <c r="J186" s="978"/>
      <c r="K186" s="978"/>
      <c r="L186" s="978"/>
      <c r="M186" s="978"/>
      <c r="N186" s="978"/>
      <c r="O186" s="978"/>
      <c r="P186" s="978"/>
      <c r="Q186" s="1205"/>
      <c r="R186" s="902" t="s">
        <v>2173</v>
      </c>
      <c r="S186" s="1038">
        <v>42981</v>
      </c>
      <c r="T186" s="8">
        <v>129920</v>
      </c>
      <c r="U186" s="1039">
        <v>200</v>
      </c>
      <c r="V186" s="25">
        <f t="shared" si="80"/>
        <v>25984000</v>
      </c>
      <c r="W186" s="8"/>
    </row>
    <row r="187" spans="1:23" ht="18.75" customHeight="1">
      <c r="A187" s="978"/>
      <c r="B187" s="978"/>
      <c r="C187" s="978"/>
      <c r="D187" s="978"/>
      <c r="E187" s="978"/>
      <c r="F187" s="978"/>
      <c r="G187" s="978"/>
      <c r="H187" s="978"/>
      <c r="I187" s="978"/>
      <c r="J187" s="978"/>
      <c r="K187" s="978"/>
      <c r="L187" s="978"/>
      <c r="M187" s="978"/>
      <c r="N187" s="978"/>
      <c r="O187" s="978"/>
      <c r="P187" s="978"/>
      <c r="Q187" s="1206"/>
      <c r="R187" s="432" t="s">
        <v>368</v>
      </c>
      <c r="S187" s="1038">
        <v>42983</v>
      </c>
      <c r="T187" s="25">
        <v>1270</v>
      </c>
      <c r="U187" s="1039">
        <v>8885.9842519685044</v>
      </c>
      <c r="V187" s="25">
        <f t="shared" si="80"/>
        <v>11285200</v>
      </c>
      <c r="W187" s="8"/>
    </row>
    <row r="188" spans="1:23" ht="18.75" customHeight="1">
      <c r="A188" s="978"/>
      <c r="B188" s="978"/>
      <c r="C188" s="978"/>
      <c r="D188" s="978"/>
      <c r="E188" s="978"/>
      <c r="F188" s="978"/>
      <c r="G188" s="978"/>
      <c r="H188" s="978"/>
      <c r="I188" s="978"/>
      <c r="J188" s="978"/>
      <c r="K188" s="978"/>
      <c r="L188" s="978"/>
      <c r="M188" s="978"/>
      <c r="N188" s="978"/>
      <c r="O188" s="978"/>
      <c r="P188" s="978"/>
      <c r="Q188" s="1204"/>
      <c r="R188" s="432" t="s">
        <v>744</v>
      </c>
      <c r="S188" s="1038">
        <v>42983</v>
      </c>
      <c r="T188" s="25">
        <v>52</v>
      </c>
      <c r="U188" s="1039">
        <v>16000</v>
      </c>
      <c r="V188" s="25">
        <f t="shared" ref="V188" si="81">ROUND(T188*U188,0)</f>
        <v>832000</v>
      </c>
      <c r="W188" s="8"/>
    </row>
    <row r="189" spans="1:23" ht="18.75" customHeight="1">
      <c r="A189" s="978"/>
      <c r="B189" s="978"/>
      <c r="C189" s="978"/>
      <c r="D189" s="978"/>
      <c r="E189" s="978"/>
      <c r="F189" s="978"/>
      <c r="G189" s="978"/>
      <c r="H189" s="978"/>
      <c r="I189" s="978"/>
      <c r="J189" s="978"/>
      <c r="K189" s="978"/>
      <c r="L189" s="978"/>
      <c r="M189" s="978"/>
      <c r="N189" s="978"/>
      <c r="O189" s="978"/>
      <c r="P189" s="978"/>
      <c r="Q189" s="1204"/>
      <c r="R189" s="432" t="s">
        <v>781</v>
      </c>
      <c r="S189" s="1038">
        <v>42996</v>
      </c>
      <c r="T189" s="25">
        <v>1020</v>
      </c>
      <c r="U189" s="1039">
        <v>14200</v>
      </c>
      <c r="V189" s="25">
        <f t="shared" si="80"/>
        <v>14484000</v>
      </c>
      <c r="W189" s="8"/>
    </row>
    <row r="190" spans="1:23" ht="18.75" customHeight="1">
      <c r="A190" s="978"/>
      <c r="B190" s="978"/>
      <c r="C190" s="978"/>
      <c r="D190" s="978"/>
      <c r="E190" s="978"/>
      <c r="F190" s="978"/>
      <c r="G190" s="978"/>
      <c r="H190" s="978"/>
      <c r="I190" s="978"/>
      <c r="J190" s="978"/>
      <c r="K190" s="978"/>
      <c r="L190" s="978"/>
      <c r="M190" s="978"/>
      <c r="N190" s="978"/>
      <c r="O190" s="978"/>
      <c r="P190" s="978"/>
      <c r="Q190" s="1204"/>
      <c r="R190" s="432" t="s">
        <v>781</v>
      </c>
      <c r="S190" s="1038">
        <v>42996</v>
      </c>
      <c r="T190" s="25">
        <v>626</v>
      </c>
      <c r="U190" s="1039">
        <v>15620</v>
      </c>
      <c r="V190" s="25">
        <f t="shared" si="80"/>
        <v>9778120</v>
      </c>
      <c r="W190" s="8"/>
    </row>
    <row r="191" spans="1:23" ht="18.75" customHeight="1">
      <c r="A191" s="978"/>
      <c r="B191" s="978"/>
      <c r="C191" s="978"/>
      <c r="D191" s="978"/>
      <c r="E191" s="978"/>
      <c r="F191" s="978"/>
      <c r="G191" s="978"/>
      <c r="H191" s="978"/>
      <c r="I191" s="978"/>
      <c r="J191" s="978"/>
      <c r="K191" s="978"/>
      <c r="L191" s="978"/>
      <c r="M191" s="978"/>
      <c r="N191" s="978"/>
      <c r="O191" s="978"/>
      <c r="P191" s="978"/>
      <c r="Q191" s="1204"/>
      <c r="R191" s="902"/>
      <c r="S191" s="1038"/>
      <c r="T191" s="1039"/>
      <c r="U191" s="1039"/>
      <c r="V191" s="25">
        <f t="shared" si="80"/>
        <v>0</v>
      </c>
      <c r="W191" s="8"/>
    </row>
    <row r="192" spans="1:23" ht="18.75" customHeight="1">
      <c r="A192" s="978"/>
      <c r="B192" s="978"/>
      <c r="C192" s="978"/>
      <c r="D192" s="978"/>
      <c r="E192" s="978"/>
      <c r="F192" s="978"/>
      <c r="G192" s="978"/>
      <c r="H192" s="978"/>
      <c r="I192" s="978"/>
      <c r="J192" s="978"/>
      <c r="K192" s="978"/>
      <c r="L192" s="978"/>
      <c r="M192" s="978"/>
      <c r="N192" s="978"/>
      <c r="O192" s="978"/>
      <c r="P192" s="978"/>
      <c r="Q192" s="1204"/>
      <c r="R192" s="902"/>
      <c r="S192" s="1038"/>
      <c r="T192" s="25">
        <f>SUM(T184:T191)</f>
        <v>186387</v>
      </c>
      <c r="U192" s="25"/>
      <c r="V192" s="25">
        <f>SUM(V184:V191)</f>
        <v>391866520</v>
      </c>
      <c r="W192" s="8"/>
    </row>
    <row r="193" spans="1:23" ht="15.75" customHeight="1">
      <c r="A193" s="980" t="s">
        <v>493</v>
      </c>
      <c r="B193" s="980"/>
      <c r="C193" s="981"/>
      <c r="D193" s="982"/>
      <c r="E193" s="982"/>
      <c r="F193" s="982"/>
      <c r="G193" s="423"/>
      <c r="H193" s="423"/>
      <c r="I193" s="423"/>
      <c r="J193" s="423"/>
      <c r="K193" s="423"/>
      <c r="L193" s="423"/>
      <c r="M193" s="423"/>
      <c r="N193" s="423"/>
      <c r="O193" s="887"/>
      <c r="P193" s="423"/>
      <c r="Q193" s="1204"/>
      <c r="R193" s="423"/>
      <c r="S193" s="984"/>
      <c r="T193" s="423"/>
      <c r="U193" s="423"/>
      <c r="V193" s="978"/>
      <c r="W193" s="978"/>
    </row>
    <row r="194" spans="1:23" ht="15.75" customHeight="1">
      <c r="A194" s="985" t="s">
        <v>2396</v>
      </c>
      <c r="B194" s="985"/>
      <c r="C194" s="985"/>
      <c r="D194" s="985"/>
      <c r="E194" s="985"/>
      <c r="F194" s="985"/>
      <c r="G194" s="985"/>
      <c r="H194" s="985"/>
      <c r="I194" s="985"/>
      <c r="J194" s="985"/>
      <c r="K194" s="985"/>
      <c r="L194" s="985"/>
      <c r="M194" s="985"/>
      <c r="N194" s="985"/>
      <c r="O194" s="985"/>
      <c r="P194" s="985"/>
      <c r="Q194" s="1205"/>
      <c r="R194" s="423"/>
      <c r="S194" s="984"/>
      <c r="T194" s="423"/>
      <c r="U194" s="423"/>
      <c r="V194" s="978"/>
      <c r="W194" s="978"/>
    </row>
    <row r="195" spans="1:23" ht="15" customHeight="1">
      <c r="A195" s="986"/>
      <c r="B195" s="986"/>
      <c r="C195" s="987"/>
      <c r="D195" s="986"/>
      <c r="E195" s="986"/>
      <c r="F195" s="986"/>
      <c r="G195" s="986"/>
      <c r="H195" s="986"/>
      <c r="I195" s="986"/>
      <c r="J195" s="986"/>
      <c r="K195" s="986"/>
      <c r="L195" s="986"/>
      <c r="M195" s="986"/>
      <c r="N195" s="986"/>
      <c r="O195" s="988"/>
      <c r="P195" s="986"/>
      <c r="Q195" s="1205"/>
      <c r="R195" s="423"/>
      <c r="S195" s="984"/>
      <c r="T195" s="423"/>
      <c r="U195" s="423"/>
      <c r="V195" s="978"/>
      <c r="W195" s="978"/>
    </row>
    <row r="196" spans="1:23" ht="35.25" customHeight="1">
      <c r="A196" s="635" t="s">
        <v>37</v>
      </c>
      <c r="B196" s="635" t="s">
        <v>494</v>
      </c>
      <c r="C196" s="636" t="s">
        <v>495</v>
      </c>
      <c r="D196" s="637" t="s">
        <v>496</v>
      </c>
      <c r="E196" s="637" t="s">
        <v>497</v>
      </c>
      <c r="F196" s="637" t="s">
        <v>498</v>
      </c>
      <c r="G196" s="637" t="s">
        <v>499</v>
      </c>
      <c r="H196" s="637" t="s">
        <v>500</v>
      </c>
      <c r="I196" s="637" t="s">
        <v>501</v>
      </c>
      <c r="J196" s="637" t="s">
        <v>502</v>
      </c>
      <c r="K196" s="638" t="s">
        <v>503</v>
      </c>
      <c r="L196" s="637" t="s">
        <v>504</v>
      </c>
      <c r="M196" s="638" t="s">
        <v>505</v>
      </c>
      <c r="N196" s="637" t="s">
        <v>506</v>
      </c>
      <c r="O196" s="639" t="s">
        <v>497</v>
      </c>
      <c r="P196" s="637" t="s">
        <v>507</v>
      </c>
      <c r="Q196" s="1205"/>
      <c r="R196" s="635" t="s">
        <v>494</v>
      </c>
      <c r="S196" s="637" t="s">
        <v>462</v>
      </c>
      <c r="T196" s="637" t="s">
        <v>325</v>
      </c>
      <c r="U196" s="637" t="s">
        <v>498</v>
      </c>
      <c r="V196" s="637" t="s">
        <v>508</v>
      </c>
      <c r="W196" s="635" t="s">
        <v>508</v>
      </c>
    </row>
    <row r="197" spans="1:23" ht="19.5" customHeight="1">
      <c r="A197" s="726">
        <f>IF(B197&lt;&gt;"",ROW()-(ROW()-1),"")</f>
        <v>1</v>
      </c>
      <c r="B197" s="903" t="s">
        <v>2399</v>
      </c>
      <c r="C197" s="991">
        <f>VLOOKUP(B197,NXT!$Q$78:$S$118,2,0)</f>
        <v>2.7</v>
      </c>
      <c r="D197" s="992">
        <f>ROUND(C197*O197,0)</f>
        <v>135000</v>
      </c>
      <c r="E197" s="992"/>
      <c r="F197" s="992">
        <f>VLOOKUP(B197,NXT!$Q$78:$S$118,3,0)</f>
        <v>17700</v>
      </c>
      <c r="G197" s="25">
        <f>(D197+E197)*F197</f>
        <v>2389500000</v>
      </c>
      <c r="H197" s="992"/>
      <c r="I197" s="992"/>
      <c r="J197" s="992"/>
      <c r="K197" s="992"/>
      <c r="L197" s="1044">
        <f>SUM($V$206:$V$207)/SUM($O$197:$O$199)*O197</f>
        <v>24681896.350571658</v>
      </c>
      <c r="M197" s="992">
        <v>500000000</v>
      </c>
      <c r="N197" s="25">
        <f>ROUND(SUM(G197:M197),0)</f>
        <v>2914181896</v>
      </c>
      <c r="O197" s="1045">
        <v>50000</v>
      </c>
      <c r="P197" s="992">
        <f t="shared" ref="P197" si="82">IF(N197&lt;&gt;0,N197/O197,0)</f>
        <v>58283.637920000001</v>
      </c>
      <c r="Q197" s="1205"/>
      <c r="R197" s="641" t="s">
        <v>327</v>
      </c>
      <c r="S197" s="1038">
        <v>43009</v>
      </c>
      <c r="T197" s="1039">
        <v>150</v>
      </c>
      <c r="U197" s="1039">
        <v>32200</v>
      </c>
      <c r="V197" s="25">
        <f t="shared" ref="V197:V203" si="83">ROUND(T197*U197,0)</f>
        <v>4830000</v>
      </c>
      <c r="W197" s="25"/>
    </row>
    <row r="198" spans="1:23" ht="19.5" customHeight="1">
      <c r="A198" s="726">
        <f>IF(B198&lt;&gt;"",A197+1,"")</f>
        <v>2</v>
      </c>
      <c r="B198" s="996" t="s">
        <v>429</v>
      </c>
      <c r="C198" s="991">
        <f>VLOOKUP(B198,NXT!$Q$78:$S$118,2,0)</f>
        <v>3.2</v>
      </c>
      <c r="D198" s="992">
        <f>ROUND(C198*O198,0)</f>
        <v>42862</v>
      </c>
      <c r="E198" s="992"/>
      <c r="F198" s="992">
        <v>18500</v>
      </c>
      <c r="G198" s="25">
        <f>(D198+E198)*F198</f>
        <v>792947000</v>
      </c>
      <c r="H198" s="992">
        <f>IF($D$204&lt;&gt;0,H$204/($D$204+$E$204/4)*($D198+$E198/4),0)</f>
        <v>3939029.1837731726</v>
      </c>
      <c r="I198" s="992">
        <f t="shared" ref="I198:K202" si="84">IF($D$204&lt;&gt;0,I$204/$D$204*$D198,0)</f>
        <v>3497112.3057865398</v>
      </c>
      <c r="J198" s="992">
        <f t="shared" si="84"/>
        <v>8526775.4905723352</v>
      </c>
      <c r="K198" s="992">
        <f t="shared" si="84"/>
        <v>2965734.7436885592</v>
      </c>
      <c r="L198" s="1044">
        <f t="shared" ref="L198:L199" si="85">SUM($V$206:$V$207)/SUM($O$197:$O$199)*O198</f>
        <v>6611959.1676655784</v>
      </c>
      <c r="M198" s="992"/>
      <c r="N198" s="25">
        <f t="shared" ref="N198:N202" si="86">ROUND(SUM(G198:M198),0)</f>
        <v>818487611</v>
      </c>
      <c r="O198" s="1045">
        <v>13394.349999999977</v>
      </c>
      <c r="P198" s="992">
        <f>IF(N198&lt;&gt;0,N198/O198,0)</f>
        <v>61106.930235509855</v>
      </c>
      <c r="Q198" s="1205"/>
      <c r="R198" s="641" t="s">
        <v>333</v>
      </c>
      <c r="S198" s="1038">
        <v>43009</v>
      </c>
      <c r="T198" s="1039">
        <v>150</v>
      </c>
      <c r="U198" s="843">
        <v>49808.000000000007</v>
      </c>
      <c r="V198" s="25">
        <f t="shared" si="83"/>
        <v>7471200</v>
      </c>
      <c r="W198" s="8"/>
    </row>
    <row r="199" spans="1:23" ht="19.5" customHeight="1">
      <c r="A199" s="726">
        <f>IF(B199&lt;&gt;"",A198+1,"")</f>
        <v>3</v>
      </c>
      <c r="B199" s="903" t="s">
        <v>2399</v>
      </c>
      <c r="C199" s="991">
        <f>VLOOKUP(B199,NXT!$Q$78:$S$118,2,0)</f>
        <v>2.7</v>
      </c>
      <c r="D199" s="992">
        <f>ROUND(C199*O199,0)</f>
        <v>579231</v>
      </c>
      <c r="E199" s="992"/>
      <c r="F199" s="992">
        <f>VLOOKUP(B199,NXT!$Q$78:$S$118,3,0)</f>
        <v>17700</v>
      </c>
      <c r="G199" s="25">
        <f>(D199+E199)*F199</f>
        <v>10252388700</v>
      </c>
      <c r="H199" s="992">
        <f>IF($D$204&lt;&gt;0,H$204/($D$204+$E$204/4)*($D199+$E199/4),0)</f>
        <v>53231482.738699041</v>
      </c>
      <c r="I199" s="992">
        <f t="shared" si="84"/>
        <v>47259480.612034976</v>
      </c>
      <c r="J199" s="992">
        <f t="shared" si="84"/>
        <v>115229636.83868471</v>
      </c>
      <c r="K199" s="992">
        <f t="shared" si="84"/>
        <v>40078519.465294853</v>
      </c>
      <c r="L199" s="1044">
        <f t="shared" si="85"/>
        <v>105900144.48176277</v>
      </c>
      <c r="M199" s="992"/>
      <c r="N199" s="25">
        <f t="shared" si="86"/>
        <v>10614087964</v>
      </c>
      <c r="O199" s="1045">
        <f>264530-50000</f>
        <v>214530</v>
      </c>
      <c r="P199" s="992">
        <f t="shared" ref="P199" si="87">IF(N199&lt;&gt;0,N199/O199,0)</f>
        <v>49476.007849717986</v>
      </c>
      <c r="Q199" s="1205"/>
      <c r="R199" s="641" t="s">
        <v>336</v>
      </c>
      <c r="S199" s="1038">
        <v>43009</v>
      </c>
      <c r="T199" s="77">
        <v>400</v>
      </c>
      <c r="U199" s="843">
        <v>16476.189999999999</v>
      </c>
      <c r="V199" s="25">
        <f t="shared" si="83"/>
        <v>6590476</v>
      </c>
      <c r="W199" s="8"/>
    </row>
    <row r="200" spans="1:23" ht="19.5" customHeight="1">
      <c r="A200" s="726">
        <f t="shared" ref="A200:A202" si="88">IF(B200&lt;&gt;"",A199+1,"")</f>
        <v>4</v>
      </c>
      <c r="B200" s="996" t="s">
        <v>1584</v>
      </c>
      <c r="C200" s="991">
        <f>VLOOKUP(B200,NXT!$Q$78:$S$118,2,0)</f>
        <v>11</v>
      </c>
      <c r="D200" s="992">
        <f t="shared" ref="D200:D201" si="89">ROUND(C200*O200,0)</f>
        <v>63360</v>
      </c>
      <c r="E200" s="992"/>
      <c r="F200" s="992">
        <f>VLOOKUP(B200,NXT!$Q$78:$S$118,3,0)</f>
        <v>17500</v>
      </c>
      <c r="G200" s="25">
        <f t="shared" ref="G200:G201" si="90">(D200+E200)*F200</f>
        <v>1108800000</v>
      </c>
      <c r="H200" s="992">
        <f>IF($D$204&lt;&gt;0,H$204/($D$204+$E$204/4)*($D200+$E200/4),0)</f>
        <v>5822800.8278631</v>
      </c>
      <c r="I200" s="992">
        <f t="shared" si="84"/>
        <v>5169544.9511136943</v>
      </c>
      <c r="J200" s="992">
        <f t="shared" si="84"/>
        <v>12604556.368873667</v>
      </c>
      <c r="K200" s="992">
        <f t="shared" si="84"/>
        <v>4384045.3865920193</v>
      </c>
      <c r="L200" s="1044">
        <f>V208</f>
        <v>11700000</v>
      </c>
      <c r="M200" s="992"/>
      <c r="N200" s="25">
        <f t="shared" si="86"/>
        <v>1148480948</v>
      </c>
      <c r="O200" s="1045">
        <v>5760</v>
      </c>
      <c r="P200" s="992">
        <f t="shared" ref="P200:P202" si="91">IF(N200&lt;&gt;0,N200/O200,0)</f>
        <v>199389.05347222224</v>
      </c>
      <c r="Q200" s="1205"/>
      <c r="R200" s="641" t="s">
        <v>804</v>
      </c>
      <c r="S200" s="1038">
        <v>43009</v>
      </c>
      <c r="T200" s="77">
        <v>40</v>
      </c>
      <c r="U200" s="843">
        <v>53000</v>
      </c>
      <c r="V200" s="25">
        <f t="shared" si="83"/>
        <v>2120000</v>
      </c>
      <c r="W200" s="8"/>
    </row>
    <row r="201" spans="1:23" ht="19.5" customHeight="1">
      <c r="A201" s="726">
        <f t="shared" si="88"/>
        <v>5</v>
      </c>
      <c r="B201" s="996" t="s">
        <v>793</v>
      </c>
      <c r="C201" s="991">
        <f>VLOOKUP(B201,NXT!$Q$78:$S$118,2,0)</f>
        <v>8.6999999999999993</v>
      </c>
      <c r="D201" s="992">
        <f t="shared" si="89"/>
        <v>52200</v>
      </c>
      <c r="E201" s="992"/>
      <c r="F201" s="992">
        <f>VLOOKUP(B201,NXT!$Q$78:$S$118,3,0)</f>
        <v>18500</v>
      </c>
      <c r="G201" s="25">
        <f t="shared" si="90"/>
        <v>965700000</v>
      </c>
      <c r="H201" s="992">
        <f>IF($D$204&lt;&gt;0,H$204/($D$204+$E$204/4)*($D201+$E201/4),0)</f>
        <v>4797193.8638644861</v>
      </c>
      <c r="I201" s="992">
        <f t="shared" si="84"/>
        <v>4259000.101769805</v>
      </c>
      <c r="J201" s="992">
        <f t="shared" si="84"/>
        <v>10384435.644810691</v>
      </c>
      <c r="K201" s="992">
        <f t="shared" si="84"/>
        <v>3611855.5741809248</v>
      </c>
      <c r="L201" s="1044">
        <f>V209</f>
        <v>10164000</v>
      </c>
      <c r="M201" s="992"/>
      <c r="N201" s="25">
        <f t="shared" si="86"/>
        <v>998916485</v>
      </c>
      <c r="O201" s="1045">
        <v>6000</v>
      </c>
      <c r="P201" s="992">
        <f t="shared" si="91"/>
        <v>166486.08083333334</v>
      </c>
      <c r="Q201" s="1205"/>
      <c r="R201" s="641" t="s">
        <v>341</v>
      </c>
      <c r="S201" s="1038">
        <v>43009</v>
      </c>
      <c r="T201" s="77">
        <v>600</v>
      </c>
      <c r="U201" s="843">
        <v>3200</v>
      </c>
      <c r="V201" s="25">
        <f t="shared" si="83"/>
        <v>1920000</v>
      </c>
      <c r="W201" s="8"/>
    </row>
    <row r="202" spans="1:23" ht="19.5" customHeight="1">
      <c r="A202" s="726">
        <f t="shared" si="88"/>
        <v>6</v>
      </c>
      <c r="B202" s="996" t="s">
        <v>426</v>
      </c>
      <c r="C202" s="991">
        <f>VLOOKUP(B202,NXT!$Q$78:$S$118,2,0)</f>
        <v>10.5</v>
      </c>
      <c r="D202" s="992">
        <f t="shared" ref="D202" si="92">ROUND(C202*O202,0)</f>
        <v>50400</v>
      </c>
      <c r="E202" s="992"/>
      <c r="F202" s="992">
        <f>VLOOKUP(B202,NXT!$Q$78:$S$118,3,0)</f>
        <v>17000</v>
      </c>
      <c r="G202" s="25">
        <f t="shared" ref="G202" si="93">(D202+E202)*F202</f>
        <v>856800000</v>
      </c>
      <c r="H202" s="992">
        <f>IF($D$204&lt;&gt;0,H$204/($D$204+$E$204/4)*($D202+$E202/4),0)</f>
        <v>4631773.3858001931</v>
      </c>
      <c r="I202" s="992">
        <f t="shared" si="84"/>
        <v>4112138.0292949839</v>
      </c>
      <c r="J202" s="992">
        <f t="shared" si="84"/>
        <v>10026351.657058598</v>
      </c>
      <c r="K202" s="992">
        <f t="shared" si="84"/>
        <v>3487308.8302436513</v>
      </c>
      <c r="L202" s="1044">
        <f>V210+V211</f>
        <v>44622000</v>
      </c>
      <c r="M202" s="992"/>
      <c r="N202" s="25">
        <f t="shared" si="86"/>
        <v>923679572</v>
      </c>
      <c r="O202" s="1045">
        <v>4800</v>
      </c>
      <c r="P202" s="992">
        <f t="shared" si="91"/>
        <v>192433.24416666667</v>
      </c>
      <c r="Q202" s="1205"/>
      <c r="R202" s="641" t="s">
        <v>1257</v>
      </c>
      <c r="S202" s="1038">
        <v>43009</v>
      </c>
      <c r="T202" s="77">
        <v>2700</v>
      </c>
      <c r="U202" s="843">
        <v>14728</v>
      </c>
      <c r="V202" s="25">
        <f t="shared" si="83"/>
        <v>39765600</v>
      </c>
      <c r="W202" s="8"/>
    </row>
    <row r="203" spans="1:23" ht="19.5" customHeight="1">
      <c r="A203" s="990"/>
      <c r="B203" s="996"/>
      <c r="C203" s="991"/>
      <c r="D203" s="992"/>
      <c r="E203" s="992"/>
      <c r="F203" s="1041"/>
      <c r="G203" s="25"/>
      <c r="H203" s="992"/>
      <c r="I203" s="992"/>
      <c r="J203" s="992"/>
      <c r="K203" s="992"/>
      <c r="L203" s="1044"/>
      <c r="M203" s="992"/>
      <c r="N203" s="25"/>
      <c r="O203" s="1045"/>
      <c r="P203" s="992"/>
      <c r="Q203" s="1205"/>
      <c r="R203" s="641" t="s">
        <v>346</v>
      </c>
      <c r="S203" s="1038">
        <v>43009</v>
      </c>
      <c r="T203" s="1039">
        <v>200</v>
      </c>
      <c r="U203" s="1048">
        <v>8000</v>
      </c>
      <c r="V203" s="25">
        <f t="shared" si="83"/>
        <v>1600000</v>
      </c>
      <c r="W203" s="8"/>
    </row>
    <row r="204" spans="1:23" ht="19.5" customHeight="1">
      <c r="A204" s="1003"/>
      <c r="B204" s="1004" t="s">
        <v>509</v>
      </c>
      <c r="C204" s="1005"/>
      <c r="D204" s="804">
        <f>SUM(D198:D203)</f>
        <v>788053</v>
      </c>
      <c r="E204" s="804">
        <f>SUM(E197:E203)</f>
        <v>0</v>
      </c>
      <c r="F204" s="804"/>
      <c r="G204" s="804">
        <f>SUM(G197:G203)</f>
        <v>16366135700</v>
      </c>
      <c r="H204" s="804">
        <v>72422280</v>
      </c>
      <c r="I204" s="804">
        <f>V205</f>
        <v>64297276</v>
      </c>
      <c r="J204" s="1046">
        <f>111226300+45545456</f>
        <v>156771756</v>
      </c>
      <c r="K204" s="804">
        <v>54527464</v>
      </c>
      <c r="L204" s="804">
        <f>ROUND(SUM(L197:L203),0)</f>
        <v>203680000</v>
      </c>
      <c r="M204" s="804">
        <f>ROUND(SUM(M197:M203),0)</f>
        <v>500000000</v>
      </c>
      <c r="N204" s="804">
        <f>ROUND(SUM(N197:N203),0)</f>
        <v>17417834476</v>
      </c>
      <c r="O204" s="804">
        <f>ROUND(SUM(O197:O203),0)</f>
        <v>294484</v>
      </c>
      <c r="P204" s="804"/>
      <c r="Q204" s="1205"/>
      <c r="R204" s="25"/>
      <c r="S204" s="644"/>
      <c r="T204" s="77"/>
      <c r="U204" s="77"/>
      <c r="V204" s="8"/>
      <c r="W204" s="8"/>
    </row>
    <row r="205" spans="1:23" ht="19.5" customHeight="1">
      <c r="A205" s="978"/>
      <c r="B205" s="978"/>
      <c r="C205" s="978"/>
      <c r="D205" s="978"/>
      <c r="E205" s="978"/>
      <c r="F205" s="978"/>
      <c r="G205" s="978"/>
      <c r="H205" s="978"/>
      <c r="I205" s="978"/>
      <c r="J205" s="978"/>
      <c r="K205" s="978"/>
      <c r="L205" s="978"/>
      <c r="M205" s="978"/>
      <c r="N205" s="978"/>
      <c r="O205" s="978"/>
      <c r="P205" s="978"/>
      <c r="Q205" s="1205"/>
      <c r="R205" s="1026"/>
      <c r="S205" s="1027"/>
      <c r="T205" s="1028"/>
      <c r="U205" s="1035"/>
      <c r="V205" s="70">
        <f>SUM(V197:V204)</f>
        <v>64297276</v>
      </c>
      <c r="W205" s="70">
        <f>SUM(W197:W204)</f>
        <v>0</v>
      </c>
    </row>
    <row r="206" spans="1:23" ht="19.5" customHeight="1">
      <c r="A206" s="978"/>
      <c r="B206" s="978"/>
      <c r="C206" s="978"/>
      <c r="D206" s="978"/>
      <c r="E206" s="978"/>
      <c r="F206" s="978"/>
      <c r="G206" s="978"/>
      <c r="H206" s="978"/>
      <c r="I206" s="978"/>
      <c r="J206" s="978"/>
      <c r="K206" s="978"/>
      <c r="L206" s="978"/>
      <c r="M206" s="978"/>
      <c r="N206" s="978"/>
      <c r="O206" s="978"/>
      <c r="P206" s="978"/>
      <c r="Q206" s="1205"/>
      <c r="R206" s="902" t="s">
        <v>2173</v>
      </c>
      <c r="S206" s="1038">
        <v>43009</v>
      </c>
      <c r="T206" s="1039">
        <v>55260</v>
      </c>
      <c r="U206" s="1043">
        <v>200</v>
      </c>
      <c r="V206" s="25">
        <f>ROUND(T206*U206,0)</f>
        <v>11052000</v>
      </c>
      <c r="W206" s="25"/>
    </row>
    <row r="207" spans="1:23" ht="19.5" customHeight="1">
      <c r="A207" s="978"/>
      <c r="B207" s="978"/>
      <c r="C207" s="978"/>
      <c r="D207" s="978"/>
      <c r="E207" s="978"/>
      <c r="F207" s="978"/>
      <c r="G207" s="978"/>
      <c r="H207" s="978"/>
      <c r="I207" s="978"/>
      <c r="J207" s="978"/>
      <c r="K207" s="978"/>
      <c r="L207" s="978"/>
      <c r="M207" s="978"/>
      <c r="N207" s="978"/>
      <c r="O207" s="978"/>
      <c r="P207" s="978"/>
      <c r="Q207" s="1206"/>
      <c r="R207" s="432" t="s">
        <v>795</v>
      </c>
      <c r="S207" s="1038">
        <v>43009</v>
      </c>
      <c r="T207" s="1043">
        <v>21380</v>
      </c>
      <c r="U207" s="1039">
        <v>5900</v>
      </c>
      <c r="V207" s="25">
        <f>ROUND(T207*U207,0)</f>
        <v>126142000</v>
      </c>
      <c r="W207" s="25"/>
    </row>
    <row r="208" spans="1:23" ht="19.5" customHeight="1">
      <c r="A208" s="978"/>
      <c r="B208" s="978"/>
      <c r="C208" s="978"/>
      <c r="D208" s="978"/>
      <c r="E208" s="978"/>
      <c r="F208" s="978"/>
      <c r="G208" s="978"/>
      <c r="H208" s="978"/>
      <c r="I208" s="978"/>
      <c r="J208" s="978"/>
      <c r="K208" s="978"/>
      <c r="L208" s="978"/>
      <c r="M208" s="978"/>
      <c r="N208" s="978"/>
      <c r="O208" s="978"/>
      <c r="P208" s="978"/>
      <c r="Q208" s="1204"/>
      <c r="R208" s="902" t="s">
        <v>1275</v>
      </c>
      <c r="S208" s="1038">
        <v>43009</v>
      </c>
      <c r="T208" s="1043">
        <v>780</v>
      </c>
      <c r="U208" s="1043">
        <v>15000</v>
      </c>
      <c r="V208" s="25">
        <f>ROUND(T208*U208,0)</f>
        <v>11700000</v>
      </c>
      <c r="W208" s="25"/>
    </row>
    <row r="209" spans="1:23" ht="19.5" customHeight="1">
      <c r="A209" s="978"/>
      <c r="B209" s="978"/>
      <c r="C209" s="978"/>
      <c r="D209" s="978"/>
      <c r="E209" s="978"/>
      <c r="F209" s="978"/>
      <c r="G209" s="978"/>
      <c r="H209" s="978"/>
      <c r="I209" s="978"/>
      <c r="J209" s="978"/>
      <c r="K209" s="978"/>
      <c r="L209" s="978"/>
      <c r="M209" s="978"/>
      <c r="N209" s="978"/>
      <c r="O209" s="978"/>
      <c r="P209" s="978"/>
      <c r="Q209" s="1204"/>
      <c r="R209" s="902" t="s">
        <v>743</v>
      </c>
      <c r="S209" s="1038">
        <v>43009</v>
      </c>
      <c r="T209" s="1043">
        <v>718</v>
      </c>
      <c r="U209" s="1043">
        <v>14155.988857938719</v>
      </c>
      <c r="V209" s="25">
        <f t="shared" ref="V209:V212" si="94">ROUND(T209*U209,0)</f>
        <v>10164000</v>
      </c>
      <c r="W209" s="25"/>
    </row>
    <row r="210" spans="1:23" ht="19.5" customHeight="1">
      <c r="A210" s="978"/>
      <c r="B210" s="978"/>
      <c r="C210" s="978"/>
      <c r="D210" s="978"/>
      <c r="E210" s="978"/>
      <c r="F210" s="978"/>
      <c r="G210" s="978"/>
      <c r="H210" s="978"/>
      <c r="I210" s="978"/>
      <c r="J210" s="978"/>
      <c r="K210" s="978"/>
      <c r="L210" s="978"/>
      <c r="M210" s="978"/>
      <c r="N210" s="978"/>
      <c r="O210" s="978"/>
      <c r="P210" s="978"/>
      <c r="Q210" s="1204"/>
      <c r="R210" s="1010" t="s">
        <v>564</v>
      </c>
      <c r="S210" s="1038">
        <v>43009</v>
      </c>
      <c r="T210" s="1043">
        <v>2400</v>
      </c>
      <c r="U210" s="1043">
        <v>14000</v>
      </c>
      <c r="V210" s="25">
        <f t="shared" si="94"/>
        <v>33600000</v>
      </c>
      <c r="W210" s="8"/>
    </row>
    <row r="211" spans="1:23" ht="19.5" customHeight="1">
      <c r="A211" s="978"/>
      <c r="B211" s="978"/>
      <c r="C211" s="978"/>
      <c r="D211" s="978"/>
      <c r="E211" s="978"/>
      <c r="F211" s="978"/>
      <c r="G211" s="978"/>
      <c r="H211" s="978"/>
      <c r="I211" s="978"/>
      <c r="J211" s="978"/>
      <c r="K211" s="978"/>
      <c r="L211" s="978"/>
      <c r="M211" s="978"/>
      <c r="N211" s="978"/>
      <c r="O211" s="978"/>
      <c r="P211" s="978"/>
      <c r="Q211" s="1204"/>
      <c r="R211" s="1010" t="s">
        <v>381</v>
      </c>
      <c r="S211" s="1038">
        <v>43009</v>
      </c>
      <c r="T211" s="1043">
        <v>668</v>
      </c>
      <c r="U211" s="1043">
        <v>16500</v>
      </c>
      <c r="V211" s="25">
        <f t="shared" ref="V211" si="95">ROUND(T211*U211,0)</f>
        <v>11022000</v>
      </c>
      <c r="W211" s="8"/>
    </row>
    <row r="212" spans="1:23" ht="19.5" customHeight="1">
      <c r="A212" s="978"/>
      <c r="B212" s="978"/>
      <c r="C212" s="978"/>
      <c r="D212" s="978"/>
      <c r="E212" s="978"/>
      <c r="F212" s="978"/>
      <c r="G212" s="978"/>
      <c r="H212" s="978"/>
      <c r="I212" s="978"/>
      <c r="J212" s="978"/>
      <c r="K212" s="978"/>
      <c r="L212" s="978"/>
      <c r="M212" s="978"/>
      <c r="N212" s="978"/>
      <c r="O212" s="978"/>
      <c r="P212" s="978"/>
      <c r="Q212" s="1204"/>
      <c r="R212" s="1048"/>
      <c r="S212" s="1038"/>
      <c r="T212" s="1043"/>
      <c r="U212" s="1043"/>
      <c r="V212" s="25">
        <f t="shared" si="94"/>
        <v>0</v>
      </c>
      <c r="W212" s="8"/>
    </row>
    <row r="213" spans="1:23" ht="19.5" customHeight="1">
      <c r="A213" s="978"/>
      <c r="B213" s="978"/>
      <c r="C213" s="978"/>
      <c r="D213" s="978"/>
      <c r="E213" s="978"/>
      <c r="F213" s="978"/>
      <c r="G213" s="978"/>
      <c r="H213" s="978"/>
      <c r="I213" s="978"/>
      <c r="J213" s="978"/>
      <c r="K213" s="978"/>
      <c r="L213" s="978"/>
      <c r="M213" s="978"/>
      <c r="N213" s="978"/>
      <c r="O213" s="978"/>
      <c r="P213" s="978"/>
      <c r="Q213" s="1204"/>
      <c r="R213" s="641"/>
      <c r="S213" s="1038"/>
      <c r="T213" s="843"/>
      <c r="U213" s="843"/>
      <c r="V213" s="25">
        <f>SUM(V206:V212)</f>
        <v>203680000</v>
      </c>
      <c r="W213" s="8"/>
    </row>
    <row r="214" spans="1:23" ht="16.5" customHeight="1">
      <c r="A214" s="980" t="s">
        <v>493</v>
      </c>
      <c r="B214" s="980"/>
      <c r="C214" s="981"/>
      <c r="D214" s="982"/>
      <c r="E214" s="982"/>
      <c r="F214" s="982"/>
      <c r="G214" s="423"/>
      <c r="H214" s="423"/>
      <c r="I214" s="423"/>
      <c r="J214" s="423"/>
      <c r="K214" s="423"/>
      <c r="L214" s="423"/>
      <c r="M214" s="423"/>
      <c r="N214" s="423"/>
      <c r="O214" s="887"/>
      <c r="P214" s="423"/>
      <c r="Q214" s="1204"/>
      <c r="R214" s="423"/>
      <c r="S214" s="984"/>
      <c r="T214" s="423"/>
      <c r="U214" s="423"/>
      <c r="V214" s="978"/>
      <c r="W214" s="978"/>
    </row>
    <row r="215" spans="1:23" ht="16.5" customHeight="1">
      <c r="A215" s="985" t="s">
        <v>2397</v>
      </c>
      <c r="B215" s="985"/>
      <c r="C215" s="985"/>
      <c r="D215" s="985"/>
      <c r="E215" s="985"/>
      <c r="F215" s="985"/>
      <c r="G215" s="985"/>
      <c r="H215" s="985"/>
      <c r="I215" s="985"/>
      <c r="J215" s="985"/>
      <c r="K215" s="985"/>
      <c r="L215" s="985"/>
      <c r="M215" s="985"/>
      <c r="N215" s="985"/>
      <c r="O215" s="985"/>
      <c r="P215" s="985"/>
      <c r="Q215" s="1204"/>
      <c r="R215" s="423"/>
      <c r="S215" s="984"/>
      <c r="T215" s="423"/>
      <c r="U215" s="423"/>
      <c r="V215" s="978"/>
      <c r="W215" s="978"/>
    </row>
    <row r="216" spans="1:23" ht="12" customHeight="1">
      <c r="A216" s="986"/>
      <c r="B216" s="986"/>
      <c r="C216" s="987"/>
      <c r="D216" s="986"/>
      <c r="E216" s="986"/>
      <c r="F216" s="986"/>
      <c r="G216" s="986"/>
      <c r="H216" s="986"/>
      <c r="I216" s="986"/>
      <c r="J216" s="986"/>
      <c r="K216" s="986"/>
      <c r="L216" s="986"/>
      <c r="M216" s="986"/>
      <c r="N216" s="986"/>
      <c r="O216" s="988"/>
      <c r="P216" s="986"/>
      <c r="Q216" s="1204"/>
      <c r="R216" s="423"/>
      <c r="S216" s="984"/>
      <c r="T216" s="423"/>
      <c r="U216" s="423"/>
      <c r="V216" s="978"/>
      <c r="W216" s="978"/>
    </row>
    <row r="217" spans="1:23" ht="32.25" customHeight="1">
      <c r="A217" s="635" t="s">
        <v>37</v>
      </c>
      <c r="B217" s="635" t="s">
        <v>494</v>
      </c>
      <c r="C217" s="636" t="s">
        <v>495</v>
      </c>
      <c r="D217" s="637" t="s">
        <v>496</v>
      </c>
      <c r="E217" s="637" t="s">
        <v>497</v>
      </c>
      <c r="F217" s="637" t="s">
        <v>498</v>
      </c>
      <c r="G217" s="637" t="s">
        <v>499</v>
      </c>
      <c r="H217" s="637" t="s">
        <v>500</v>
      </c>
      <c r="I217" s="637" t="s">
        <v>501</v>
      </c>
      <c r="J217" s="637" t="s">
        <v>502</v>
      </c>
      <c r="K217" s="638" t="s">
        <v>503</v>
      </c>
      <c r="L217" s="637" t="s">
        <v>504</v>
      </c>
      <c r="M217" s="638" t="s">
        <v>505</v>
      </c>
      <c r="N217" s="637" t="s">
        <v>506</v>
      </c>
      <c r="O217" s="639" t="s">
        <v>497</v>
      </c>
      <c r="P217" s="637" t="s">
        <v>507</v>
      </c>
      <c r="Q217" s="1204"/>
      <c r="R217" s="635" t="s">
        <v>494</v>
      </c>
      <c r="S217" s="637" t="s">
        <v>462</v>
      </c>
      <c r="T217" s="637" t="s">
        <v>325</v>
      </c>
      <c r="U217" s="637" t="s">
        <v>498</v>
      </c>
      <c r="V217" s="637" t="s">
        <v>508</v>
      </c>
      <c r="W217" s="635" t="s">
        <v>508</v>
      </c>
    </row>
    <row r="218" spans="1:23" ht="19.5" customHeight="1">
      <c r="A218" s="726">
        <v>1</v>
      </c>
      <c r="B218" s="996" t="s">
        <v>429</v>
      </c>
      <c r="C218" s="991">
        <f>VLOOKUP(B218,NXT!$Q$78:$S$118,2,0)</f>
        <v>3.2</v>
      </c>
      <c r="D218" s="381">
        <f t="shared" ref="D218" si="96">ROUND(C218*O218,0)</f>
        <v>135563</v>
      </c>
      <c r="E218" s="381"/>
      <c r="F218" s="992">
        <v>18000</v>
      </c>
      <c r="G218" s="8">
        <f t="shared" ref="G218" si="97">(D218+E218)*F218</f>
        <v>2440134000</v>
      </c>
      <c r="H218" s="381">
        <f t="shared" ref="H218:K224" si="98">IF($D$226&lt;&gt;0,H$226/($D$226+$E$226/4)*($D218+$E218/4),0)</f>
        <v>13200822.271188946</v>
      </c>
      <c r="I218" s="381">
        <f t="shared" si="98"/>
        <v>11430013.051044405</v>
      </c>
      <c r="J218" s="381">
        <f t="shared" si="98"/>
        <v>21448599.685496658</v>
      </c>
      <c r="K218" s="381">
        <f t="shared" si="98"/>
        <v>9939032.037691351</v>
      </c>
      <c r="L218" s="381">
        <f>$V$227/SUM($O$218:$O$219)*O218</f>
        <v>19228610.796293542</v>
      </c>
      <c r="M218" s="381"/>
      <c r="N218" s="8">
        <f t="shared" ref="N218" si="99">ROUND(SUM(G218:M218),0)</f>
        <v>2515381078</v>
      </c>
      <c r="O218" s="381">
        <v>42363.360000000335</v>
      </c>
      <c r="P218" s="381">
        <f t="shared" ref="P218" si="100">IF(N218&lt;&gt;0,N218/O218,0)</f>
        <v>59376.335540900916</v>
      </c>
      <c r="Q218" s="1204"/>
      <c r="R218" s="641" t="s">
        <v>327</v>
      </c>
      <c r="S218" s="1033"/>
      <c r="T218" s="77">
        <v>150</v>
      </c>
      <c r="U218" s="1039">
        <v>32200</v>
      </c>
      <c r="V218" s="25">
        <f>ROUND(T218*U218,0)</f>
        <v>4830000</v>
      </c>
      <c r="W218" s="25"/>
    </row>
    <row r="219" spans="1:23" ht="19.5" customHeight="1">
      <c r="A219" s="726">
        <f t="shared" ref="A219:A224" si="101">IF(B219&lt;&gt;"",A218+1,"")</f>
        <v>2</v>
      </c>
      <c r="B219" s="996" t="s">
        <v>2399</v>
      </c>
      <c r="C219" s="991">
        <f>VLOOKUP(B219,NXT!$Q$78:$S$118,2,0)</f>
        <v>2.7</v>
      </c>
      <c r="D219" s="381">
        <f t="shared" ref="D219:D224" si="102">ROUND(C219*O219,0)</f>
        <v>285012</v>
      </c>
      <c r="E219" s="381"/>
      <c r="F219" s="992">
        <v>18000</v>
      </c>
      <c r="G219" s="8">
        <f t="shared" ref="G219:G224" si="103">(D219+E219)*F219</f>
        <v>5130216000</v>
      </c>
      <c r="H219" s="381">
        <f t="shared" si="98"/>
        <v>27753832.219382163</v>
      </c>
      <c r="I219" s="381">
        <f t="shared" si="98"/>
        <v>24030826.108187836</v>
      </c>
      <c r="J219" s="381">
        <f t="shared" si="98"/>
        <v>45094224.040208414</v>
      </c>
      <c r="K219" s="381">
        <f t="shared" si="98"/>
        <v>20896139.795714814</v>
      </c>
      <c r="L219" s="381">
        <f>$V$227/SUM($O$218:$O$219)*O219</f>
        <v>47913389.203706458</v>
      </c>
      <c r="M219" s="381"/>
      <c r="N219" s="8">
        <f t="shared" ref="N219:N224" si="104">ROUND(SUM(G219:M219),0)</f>
        <v>5295904411</v>
      </c>
      <c r="O219" s="381">
        <v>105560</v>
      </c>
      <c r="P219" s="381">
        <f t="shared" ref="P219:P224" si="105">IF(N219&lt;&gt;0,N219/O219,0)</f>
        <v>50169.613594164453</v>
      </c>
      <c r="Q219" s="1204"/>
      <c r="R219" s="641" t="s">
        <v>333</v>
      </c>
      <c r="S219" s="1033"/>
      <c r="T219" s="77">
        <v>150</v>
      </c>
      <c r="U219" s="843">
        <v>49808.000000000007</v>
      </c>
      <c r="V219" s="25">
        <f t="shared" ref="V219:V224" si="106">ROUND(T219*U219,0)</f>
        <v>7471200</v>
      </c>
      <c r="W219" s="8"/>
    </row>
    <row r="220" spans="1:23" ht="19.5" customHeight="1">
      <c r="A220" s="726">
        <f t="shared" si="101"/>
        <v>3</v>
      </c>
      <c r="B220" s="996" t="s">
        <v>1588</v>
      </c>
      <c r="C220" s="991">
        <f>VLOOKUP(B220,NXT!$Q$78:$S$118,2,0)</f>
        <v>11.5</v>
      </c>
      <c r="D220" s="381">
        <f t="shared" si="102"/>
        <v>92000</v>
      </c>
      <c r="E220" s="381"/>
      <c r="F220" s="992">
        <f>VLOOKUP(B220,NXT!$Q$78:$S$118,3,0)</f>
        <v>18200</v>
      </c>
      <c r="G220" s="8">
        <f t="shared" si="103"/>
        <v>1674400000</v>
      </c>
      <c r="H220" s="381">
        <f t="shared" si="98"/>
        <v>8958754.5934317112</v>
      </c>
      <c r="I220" s="381">
        <f t="shared" si="98"/>
        <v>7756992.6948804995</v>
      </c>
      <c r="J220" s="381">
        <f t="shared" si="98"/>
        <v>14556119.081649804</v>
      </c>
      <c r="K220" s="381">
        <f t="shared" si="98"/>
        <v>6745136.5598843656</v>
      </c>
      <c r="L220" s="381">
        <f>V228</f>
        <v>16767800</v>
      </c>
      <c r="M220" s="381"/>
      <c r="N220" s="8">
        <f t="shared" si="104"/>
        <v>1729184803</v>
      </c>
      <c r="O220" s="381">
        <v>8000</v>
      </c>
      <c r="P220" s="381">
        <f t="shared" si="105"/>
        <v>216148.10037500001</v>
      </c>
      <c r="Q220" s="1205"/>
      <c r="R220" s="641" t="s">
        <v>336</v>
      </c>
      <c r="S220" s="1033"/>
      <c r="T220" s="77">
        <v>400</v>
      </c>
      <c r="U220" s="843">
        <v>16476.189999999999</v>
      </c>
      <c r="V220" s="25">
        <f t="shared" si="106"/>
        <v>6590476</v>
      </c>
      <c r="W220" s="8"/>
    </row>
    <row r="221" spans="1:23" ht="19.5" customHeight="1">
      <c r="A221" s="726">
        <f t="shared" si="101"/>
        <v>4</v>
      </c>
      <c r="B221" s="429" t="s">
        <v>1401</v>
      </c>
      <c r="C221" s="991">
        <f>VLOOKUP(B221,NXT!$Q$78:$S$118,2,0)</f>
        <v>8.5</v>
      </c>
      <c r="D221" s="381">
        <f t="shared" si="102"/>
        <v>25500</v>
      </c>
      <c r="E221" s="381"/>
      <c r="F221" s="992">
        <f>VLOOKUP(B221,NXT!$Q$78:$S$118,3,0)</f>
        <v>25000</v>
      </c>
      <c r="G221" s="8">
        <f t="shared" si="103"/>
        <v>637500000</v>
      </c>
      <c r="H221" s="381">
        <f t="shared" si="98"/>
        <v>2483133.0666577024</v>
      </c>
      <c r="I221" s="381">
        <f t="shared" si="98"/>
        <v>2150036.0186897037</v>
      </c>
      <c r="J221" s="381">
        <f t="shared" si="98"/>
        <v>4034576.4845877173</v>
      </c>
      <c r="K221" s="381">
        <f t="shared" si="98"/>
        <v>1869575.8943157753</v>
      </c>
      <c r="L221" s="381">
        <f>V229</f>
        <v>6536600</v>
      </c>
      <c r="M221" s="381"/>
      <c r="N221" s="8">
        <f t="shared" si="104"/>
        <v>654573921</v>
      </c>
      <c r="O221" s="381">
        <v>3000</v>
      </c>
      <c r="P221" s="381">
        <f t="shared" si="105"/>
        <v>218191.307</v>
      </c>
      <c r="Q221" s="1205"/>
      <c r="R221" s="641" t="s">
        <v>804</v>
      </c>
      <c r="S221" s="1033"/>
      <c r="T221" s="77">
        <v>10</v>
      </c>
      <c r="U221" s="843">
        <v>53000</v>
      </c>
      <c r="V221" s="25">
        <f t="shared" si="106"/>
        <v>530000</v>
      </c>
      <c r="W221" s="8"/>
    </row>
    <row r="222" spans="1:23" ht="19.5" customHeight="1">
      <c r="A222" s="726">
        <f t="shared" si="101"/>
        <v>5</v>
      </c>
      <c r="B222" s="996" t="s">
        <v>2400</v>
      </c>
      <c r="C222" s="991">
        <f>VLOOKUP(B222,NXT!$Q$78:$S$118,2,0)</f>
        <v>11.5</v>
      </c>
      <c r="D222" s="381">
        <f t="shared" si="102"/>
        <v>143750</v>
      </c>
      <c r="E222" s="381"/>
      <c r="F222" s="992">
        <f>VLOOKUP(B222,NXT!$Q$78:$S$118,3,0)</f>
        <v>16700</v>
      </c>
      <c r="G222" s="8">
        <f t="shared" si="103"/>
        <v>2400625000</v>
      </c>
      <c r="H222" s="381">
        <f t="shared" si="98"/>
        <v>13998054.052237049</v>
      </c>
      <c r="I222" s="381">
        <f t="shared" si="98"/>
        <v>12120301.085750781</v>
      </c>
      <c r="J222" s="381">
        <f t="shared" si="98"/>
        <v>22743936.065077819</v>
      </c>
      <c r="K222" s="381">
        <f t="shared" si="98"/>
        <v>10539275.874819322</v>
      </c>
      <c r="L222" s="381">
        <f>V230</f>
        <v>13935080</v>
      </c>
      <c r="M222" s="381"/>
      <c r="N222" s="8">
        <f t="shared" si="104"/>
        <v>2473961647</v>
      </c>
      <c r="O222" s="381">
        <v>12500</v>
      </c>
      <c r="P222" s="381">
        <f t="shared" si="105"/>
        <v>197916.93176000001</v>
      </c>
      <c r="Q222" s="1205"/>
      <c r="R222" s="641" t="s">
        <v>341</v>
      </c>
      <c r="S222" s="1033"/>
      <c r="T222" s="77">
        <v>600</v>
      </c>
      <c r="U222" s="843">
        <v>3200</v>
      </c>
      <c r="V222" s="25">
        <f t="shared" si="106"/>
        <v>1920000</v>
      </c>
      <c r="W222" s="8"/>
    </row>
    <row r="223" spans="1:23" ht="19.5" customHeight="1">
      <c r="A223" s="726">
        <f t="shared" si="101"/>
        <v>6</v>
      </c>
      <c r="B223" s="996" t="s">
        <v>1588</v>
      </c>
      <c r="C223" s="991">
        <f>VLOOKUP(B223,NXT!$Q$78:$S$118,2,0)</f>
        <v>11.5</v>
      </c>
      <c r="D223" s="381">
        <f t="shared" si="102"/>
        <v>11500</v>
      </c>
      <c r="E223" s="381"/>
      <c r="F223" s="992">
        <f>VLOOKUP(B223,NXT!$Q$78:$S$118,3,0)</f>
        <v>18200</v>
      </c>
      <c r="G223" s="8">
        <f t="shared" si="103"/>
        <v>209300000</v>
      </c>
      <c r="H223" s="381">
        <f t="shared" si="98"/>
        <v>1119844.3241789639</v>
      </c>
      <c r="I223" s="381">
        <f t="shared" si="98"/>
        <v>969624.08686006244</v>
      </c>
      <c r="J223" s="381">
        <f t="shared" si="98"/>
        <v>1819514.8852062256</v>
      </c>
      <c r="K223" s="381">
        <f t="shared" si="98"/>
        <v>843142.06998554571</v>
      </c>
      <c r="L223" s="381">
        <f t="shared" ref="L223" si="107">V231</f>
        <v>2291000</v>
      </c>
      <c r="M223" s="381"/>
      <c r="N223" s="8">
        <f t="shared" si="104"/>
        <v>216343125</v>
      </c>
      <c r="O223" s="381">
        <v>1000</v>
      </c>
      <c r="P223" s="381">
        <f t="shared" si="105"/>
        <v>216343.125</v>
      </c>
      <c r="Q223" s="1205"/>
      <c r="R223" s="641" t="s">
        <v>1257</v>
      </c>
      <c r="S223" s="1033"/>
      <c r="T223" s="77">
        <v>2700</v>
      </c>
      <c r="U223" s="843">
        <v>14728</v>
      </c>
      <c r="V223" s="25">
        <f t="shared" si="106"/>
        <v>39765600</v>
      </c>
      <c r="W223" s="8"/>
    </row>
    <row r="224" spans="1:23" ht="19.5" customHeight="1">
      <c r="A224" s="726">
        <f t="shared" si="101"/>
        <v>7</v>
      </c>
      <c r="B224" s="996" t="s">
        <v>426</v>
      </c>
      <c r="C224" s="991">
        <f>VLOOKUP(B224,NXT!$Q$78:$S$118,2,0)</f>
        <v>10.5</v>
      </c>
      <c r="D224" s="381">
        <f t="shared" si="102"/>
        <v>50400</v>
      </c>
      <c r="E224" s="381"/>
      <c r="F224" s="992">
        <f>VLOOKUP(B224,NXT!$Q$78:$S$118,3,0)</f>
        <v>17000</v>
      </c>
      <c r="G224" s="8">
        <f t="shared" si="103"/>
        <v>856800000</v>
      </c>
      <c r="H224" s="381">
        <f t="shared" si="98"/>
        <v>4907839.4729234595</v>
      </c>
      <c r="I224" s="381">
        <f t="shared" si="98"/>
        <v>4249482.9545867089</v>
      </c>
      <c r="J224" s="381">
        <f t="shared" si="98"/>
        <v>7974221.7577733714</v>
      </c>
      <c r="K224" s="381">
        <f t="shared" si="98"/>
        <v>3695161.7675888268</v>
      </c>
      <c r="L224" s="381">
        <f>V232+V233</f>
        <v>48820500</v>
      </c>
      <c r="M224" s="381"/>
      <c r="N224" s="8">
        <f t="shared" si="104"/>
        <v>926447206</v>
      </c>
      <c r="O224" s="381">
        <v>4800</v>
      </c>
      <c r="P224" s="381">
        <f t="shared" si="105"/>
        <v>193009.83458333334</v>
      </c>
      <c r="Q224" s="1205"/>
      <c r="R224" s="641" t="s">
        <v>346</v>
      </c>
      <c r="S224" s="1038"/>
      <c r="T224" s="1039">
        <v>200</v>
      </c>
      <c r="U224" s="1048">
        <v>8000</v>
      </c>
      <c r="V224" s="25">
        <f t="shared" si="106"/>
        <v>1600000</v>
      </c>
      <c r="W224" s="8"/>
    </row>
    <row r="225" spans="1:23" ht="19.5" customHeight="1">
      <c r="A225" s="1202" t="str">
        <f>IF(B225&lt;&gt;"",#REF!+1,"")</f>
        <v/>
      </c>
      <c r="B225" s="1019"/>
      <c r="C225" s="1020"/>
      <c r="D225" s="1021"/>
      <c r="E225" s="1021"/>
      <c r="F225" s="1021"/>
      <c r="G225" s="1022"/>
      <c r="H225" s="1023"/>
      <c r="I225" s="1021"/>
      <c r="J225" s="438"/>
      <c r="K225" s="1021"/>
      <c r="L225" s="1023"/>
      <c r="M225" s="1021"/>
      <c r="N225" s="1023"/>
      <c r="O225" s="1024"/>
      <c r="P225" s="1021"/>
      <c r="Q225" s="1205"/>
      <c r="R225" s="25"/>
      <c r="S225" s="644"/>
      <c r="T225" s="77"/>
      <c r="U225" s="77"/>
      <c r="V225" s="8"/>
      <c r="W225" s="8"/>
    </row>
    <row r="226" spans="1:23" ht="17.25" customHeight="1">
      <c r="A226" s="1003"/>
      <c r="B226" s="1004" t="s">
        <v>509</v>
      </c>
      <c r="C226" s="1005"/>
      <c r="D226" s="804">
        <f>SUM(D218:D225)</f>
        <v>743725</v>
      </c>
      <c r="E226" s="804">
        <f>SUM(E218:E225)</f>
        <v>0</v>
      </c>
      <c r="F226" s="804"/>
      <c r="G226" s="804">
        <f>SUM(G218:G225)</f>
        <v>13348975000</v>
      </c>
      <c r="H226" s="804">
        <v>72422280</v>
      </c>
      <c r="I226" s="804">
        <f>V226</f>
        <v>62707276</v>
      </c>
      <c r="J226" s="804">
        <f>83512100+34159092</f>
        <v>117671192</v>
      </c>
      <c r="K226" s="804">
        <v>54527464</v>
      </c>
      <c r="L226" s="804">
        <f>ROUND(SUM(L218:L225),0)</f>
        <v>155492980</v>
      </c>
      <c r="M226" s="804">
        <f>ROUND(SUM(M218:M225),0)</f>
        <v>0</v>
      </c>
      <c r="N226" s="804">
        <f>ROUND(SUM(N218:N225),0)</f>
        <v>13811796191</v>
      </c>
      <c r="O226" s="804">
        <f>ROUND(SUM(O218:O225),0)</f>
        <v>177223</v>
      </c>
      <c r="P226" s="804"/>
      <c r="Q226" s="1205"/>
      <c r="R226" s="1026"/>
      <c r="S226" s="1027"/>
      <c r="T226" s="1028"/>
      <c r="U226" s="1035"/>
      <c r="V226" s="70">
        <f>SUM(V218:V225)</f>
        <v>62707276</v>
      </c>
      <c r="W226" s="70">
        <f>SUM(W218:W225)</f>
        <v>0</v>
      </c>
    </row>
    <row r="227" spans="1:23" ht="17.25" customHeight="1">
      <c r="A227" s="978"/>
      <c r="B227" s="978"/>
      <c r="C227" s="978"/>
      <c r="D227" s="978"/>
      <c r="E227" s="978"/>
      <c r="F227" s="978"/>
      <c r="G227" s="978"/>
      <c r="H227" s="978"/>
      <c r="I227" s="978"/>
      <c r="J227" s="978"/>
      <c r="K227" s="978"/>
      <c r="L227" s="978"/>
      <c r="M227" s="978"/>
      <c r="N227" s="978"/>
      <c r="O227" s="978"/>
      <c r="P227" s="978"/>
      <c r="Q227" s="1205"/>
      <c r="R227" s="432" t="s">
        <v>795</v>
      </c>
      <c r="S227" s="1038"/>
      <c r="T227" s="1043">
        <v>11380</v>
      </c>
      <c r="U227" s="1039">
        <v>5900</v>
      </c>
      <c r="V227" s="25">
        <f t="shared" ref="V227:V233" si="108">ROUND(T227*U227,0)</f>
        <v>67142000</v>
      </c>
      <c r="W227" s="25"/>
    </row>
    <row r="228" spans="1:23" ht="17.25" customHeight="1">
      <c r="A228" s="978"/>
      <c r="B228" s="978"/>
      <c r="C228" s="978"/>
      <c r="D228" s="978"/>
      <c r="E228" s="978"/>
      <c r="F228" s="978"/>
      <c r="G228" s="978"/>
      <c r="H228" s="978"/>
      <c r="I228" s="978"/>
      <c r="J228" s="978"/>
      <c r="K228" s="978"/>
      <c r="L228" s="978"/>
      <c r="M228" s="978"/>
      <c r="N228" s="978"/>
      <c r="O228" s="978"/>
      <c r="P228" s="978"/>
      <c r="Q228" s="1205"/>
      <c r="R228" s="432" t="s">
        <v>375</v>
      </c>
      <c r="S228" s="1033"/>
      <c r="T228" s="843">
        <v>826</v>
      </c>
      <c r="U228" s="843">
        <v>20300</v>
      </c>
      <c r="V228" s="25">
        <f t="shared" si="108"/>
        <v>16767800</v>
      </c>
      <c r="W228" s="8"/>
    </row>
    <row r="229" spans="1:23" ht="17.25" customHeight="1">
      <c r="A229" s="978"/>
      <c r="B229" s="978"/>
      <c r="C229" s="978"/>
      <c r="D229" s="978"/>
      <c r="E229" s="978"/>
      <c r="F229" s="978"/>
      <c r="G229" s="978"/>
      <c r="H229" s="978"/>
      <c r="I229" s="978"/>
      <c r="J229" s="978"/>
      <c r="K229" s="978"/>
      <c r="L229" s="978"/>
      <c r="M229" s="978"/>
      <c r="N229" s="978"/>
      <c r="O229" s="978"/>
      <c r="P229" s="978"/>
      <c r="Q229" s="1205"/>
      <c r="R229" s="432" t="s">
        <v>375</v>
      </c>
      <c r="S229" s="644"/>
      <c r="T229" s="843">
        <v>322</v>
      </c>
      <c r="U229" s="843">
        <v>20300</v>
      </c>
      <c r="V229" s="25">
        <f t="shared" si="108"/>
        <v>6536600</v>
      </c>
      <c r="W229" s="8"/>
    </row>
    <row r="230" spans="1:23" ht="17.25" customHeight="1">
      <c r="A230" s="978"/>
      <c r="B230" s="978"/>
      <c r="C230" s="978"/>
      <c r="D230" s="978"/>
      <c r="E230" s="978"/>
      <c r="F230" s="978"/>
      <c r="G230" s="978"/>
      <c r="H230" s="978"/>
      <c r="I230" s="978"/>
      <c r="J230" s="978"/>
      <c r="K230" s="978"/>
      <c r="L230" s="978"/>
      <c r="M230" s="978"/>
      <c r="N230" s="978"/>
      <c r="O230" s="978"/>
      <c r="P230" s="978"/>
      <c r="Q230" s="1205"/>
      <c r="R230" s="432" t="s">
        <v>817</v>
      </c>
      <c r="S230" s="644"/>
      <c r="T230" s="843">
        <v>1398</v>
      </c>
      <c r="U230" s="843">
        <v>9967.8683834048643</v>
      </c>
      <c r="V230" s="25">
        <f t="shared" si="108"/>
        <v>13935080</v>
      </c>
      <c r="W230" s="8"/>
    </row>
    <row r="231" spans="1:23" ht="17.25" customHeight="1">
      <c r="A231" s="978"/>
      <c r="B231" s="978"/>
      <c r="C231" s="978"/>
      <c r="D231" s="978"/>
      <c r="E231" s="978"/>
      <c r="F231" s="978"/>
      <c r="G231" s="978"/>
      <c r="H231" s="978"/>
      <c r="I231" s="978"/>
      <c r="J231" s="978"/>
      <c r="K231" s="978"/>
      <c r="L231" s="978"/>
      <c r="M231" s="978"/>
      <c r="N231" s="978"/>
      <c r="O231" s="978"/>
      <c r="P231" s="978"/>
      <c r="Q231" s="1205"/>
      <c r="R231" s="432" t="s">
        <v>2342</v>
      </c>
      <c r="S231" s="644"/>
      <c r="T231" s="843">
        <v>145</v>
      </c>
      <c r="U231" s="843">
        <v>15800</v>
      </c>
      <c r="V231" s="25">
        <f t="shared" si="108"/>
        <v>2291000</v>
      </c>
      <c r="W231" s="8"/>
    </row>
    <row r="232" spans="1:23" ht="17.25" customHeight="1">
      <c r="A232" s="978"/>
      <c r="B232" s="978"/>
      <c r="C232" s="978"/>
      <c r="D232" s="978"/>
      <c r="E232" s="978"/>
      <c r="F232" s="978"/>
      <c r="G232" s="978"/>
      <c r="H232" s="978"/>
      <c r="I232" s="978"/>
      <c r="J232" s="978"/>
      <c r="K232" s="978"/>
      <c r="L232" s="978"/>
      <c r="M232" s="978"/>
      <c r="N232" s="978"/>
      <c r="O232" s="978"/>
      <c r="P232" s="978"/>
      <c r="Q232" s="1205"/>
      <c r="R232" s="1010" t="s">
        <v>564</v>
      </c>
      <c r="S232" s="644"/>
      <c r="T232" s="843">
        <v>2400</v>
      </c>
      <c r="U232" s="843">
        <v>14000</v>
      </c>
      <c r="V232" s="25">
        <f t="shared" si="108"/>
        <v>33600000</v>
      </c>
      <c r="W232" s="8"/>
    </row>
    <row r="233" spans="1:23" ht="17.25" customHeight="1">
      <c r="A233" s="978"/>
      <c r="B233" s="978"/>
      <c r="C233" s="978"/>
      <c r="D233" s="978"/>
      <c r="E233" s="978"/>
      <c r="F233" s="978"/>
      <c r="G233" s="978"/>
      <c r="H233" s="978"/>
      <c r="I233" s="978"/>
      <c r="J233" s="978"/>
      <c r="K233" s="978"/>
      <c r="L233" s="978"/>
      <c r="M233" s="978"/>
      <c r="N233" s="978"/>
      <c r="O233" s="978"/>
      <c r="P233" s="978"/>
      <c r="Q233" s="1205"/>
      <c r="R233" s="1010" t="s">
        <v>381</v>
      </c>
      <c r="S233" s="644"/>
      <c r="T233" s="843">
        <v>695</v>
      </c>
      <c r="U233" s="843">
        <v>21900</v>
      </c>
      <c r="V233" s="25">
        <f t="shared" si="108"/>
        <v>15220500</v>
      </c>
      <c r="W233" s="8"/>
    </row>
    <row r="234" spans="1:23" ht="17.25" customHeight="1">
      <c r="A234" s="978"/>
      <c r="B234" s="978"/>
      <c r="C234" s="978"/>
      <c r="D234" s="978"/>
      <c r="E234" s="978"/>
      <c r="F234" s="978"/>
      <c r="G234" s="978"/>
      <c r="H234" s="978"/>
      <c r="I234" s="978"/>
      <c r="J234" s="978"/>
      <c r="K234" s="978"/>
      <c r="L234" s="978"/>
      <c r="M234" s="978"/>
      <c r="N234" s="978"/>
      <c r="O234" s="978"/>
      <c r="P234" s="978"/>
      <c r="Q234" s="1205"/>
      <c r="R234" s="1010"/>
      <c r="S234" s="644"/>
      <c r="T234" s="843"/>
      <c r="U234" s="843"/>
      <c r="V234" s="1051">
        <f>SUM(V227:V233)</f>
        <v>155492980</v>
      </c>
      <c r="W234" s="8"/>
    </row>
    <row r="235" spans="1:23" ht="17.25" customHeight="1">
      <c r="A235" s="985"/>
      <c r="B235" s="985"/>
      <c r="C235" s="985"/>
      <c r="D235" s="985"/>
      <c r="E235" s="985"/>
      <c r="F235" s="985"/>
      <c r="G235" s="985"/>
      <c r="H235" s="985"/>
      <c r="I235" s="985"/>
      <c r="J235" s="985"/>
      <c r="K235" s="985"/>
      <c r="L235" s="985"/>
      <c r="M235" s="985"/>
      <c r="N235" s="985"/>
      <c r="O235" s="985"/>
      <c r="P235" s="985"/>
      <c r="Q235" s="1204"/>
      <c r="R235" s="423"/>
      <c r="S235" s="984"/>
      <c r="T235" s="423"/>
      <c r="U235" s="423"/>
      <c r="V235" s="978"/>
      <c r="W235" s="978"/>
    </row>
    <row r="236" spans="1:23" ht="15" customHeight="1">
      <c r="A236" s="980" t="s">
        <v>493</v>
      </c>
      <c r="B236" s="980"/>
      <c r="C236" s="981"/>
      <c r="D236" s="982"/>
      <c r="E236" s="982"/>
      <c r="F236" s="982"/>
      <c r="G236" s="423"/>
      <c r="H236" s="423"/>
      <c r="I236" s="423"/>
      <c r="J236" s="423"/>
      <c r="K236" s="423"/>
      <c r="L236" s="423"/>
      <c r="M236" s="423"/>
      <c r="N236" s="423"/>
      <c r="O236" s="887"/>
      <c r="P236" s="423"/>
      <c r="Q236" s="1204"/>
      <c r="R236" s="423"/>
      <c r="S236" s="984"/>
      <c r="T236" s="423"/>
      <c r="U236" s="423"/>
      <c r="V236" s="978"/>
      <c r="W236" s="978"/>
    </row>
    <row r="237" spans="1:23" ht="15.75" customHeight="1">
      <c r="A237" s="985" t="s">
        <v>2398</v>
      </c>
      <c r="B237" s="985"/>
      <c r="C237" s="985"/>
      <c r="D237" s="985"/>
      <c r="E237" s="985"/>
      <c r="F237" s="985"/>
      <c r="G237" s="985"/>
      <c r="H237" s="985"/>
      <c r="I237" s="985"/>
      <c r="J237" s="985"/>
      <c r="K237" s="985"/>
      <c r="L237" s="985"/>
      <c r="M237" s="985"/>
      <c r="N237" s="985"/>
      <c r="O237" s="985"/>
      <c r="P237" s="985"/>
      <c r="Q237" s="1204"/>
      <c r="R237" s="423"/>
      <c r="S237" s="984"/>
      <c r="T237" s="423"/>
      <c r="U237" s="423"/>
      <c r="V237" s="978"/>
      <c r="W237" s="978"/>
    </row>
    <row r="238" spans="1:23" ht="15.75" customHeight="1">
      <c r="A238" s="986"/>
      <c r="B238" s="986"/>
      <c r="C238" s="987"/>
      <c r="D238" s="986"/>
      <c r="E238" s="986"/>
      <c r="F238" s="986"/>
      <c r="G238" s="986"/>
      <c r="H238" s="986"/>
      <c r="I238" s="986"/>
      <c r="J238" s="986"/>
      <c r="K238" s="986"/>
      <c r="L238" s="986"/>
      <c r="M238" s="986"/>
      <c r="N238" s="986"/>
      <c r="O238" s="988"/>
      <c r="P238" s="986"/>
      <c r="Q238" s="1204"/>
      <c r="R238" s="423"/>
      <c r="S238" s="984"/>
      <c r="T238" s="423"/>
      <c r="U238" s="423"/>
      <c r="V238" s="978"/>
      <c r="W238" s="978"/>
    </row>
    <row r="239" spans="1:23" ht="36" customHeight="1">
      <c r="A239" s="635" t="s">
        <v>37</v>
      </c>
      <c r="B239" s="635" t="s">
        <v>494</v>
      </c>
      <c r="C239" s="636" t="s">
        <v>495</v>
      </c>
      <c r="D239" s="637" t="s">
        <v>496</v>
      </c>
      <c r="E239" s="637" t="s">
        <v>497</v>
      </c>
      <c r="F239" s="637" t="s">
        <v>498</v>
      </c>
      <c r="G239" s="637" t="s">
        <v>499</v>
      </c>
      <c r="H239" s="637" t="s">
        <v>500</v>
      </c>
      <c r="I239" s="637" t="s">
        <v>501</v>
      </c>
      <c r="J239" s="637" t="s">
        <v>502</v>
      </c>
      <c r="K239" s="638" t="s">
        <v>503</v>
      </c>
      <c r="L239" s="637" t="s">
        <v>504</v>
      </c>
      <c r="M239" s="638" t="s">
        <v>505</v>
      </c>
      <c r="N239" s="637" t="s">
        <v>506</v>
      </c>
      <c r="O239" s="639" t="s">
        <v>497</v>
      </c>
      <c r="P239" s="637" t="s">
        <v>507</v>
      </c>
      <c r="Q239" s="1204"/>
      <c r="R239" s="635" t="s">
        <v>494</v>
      </c>
      <c r="S239" s="637" t="s">
        <v>462</v>
      </c>
      <c r="T239" s="637" t="s">
        <v>325</v>
      </c>
      <c r="U239" s="637" t="s">
        <v>498</v>
      </c>
      <c r="V239" s="637" t="s">
        <v>508</v>
      </c>
      <c r="W239" s="635" t="s">
        <v>508</v>
      </c>
    </row>
    <row r="240" spans="1:23" ht="18" customHeight="1">
      <c r="A240" s="726">
        <v>1</v>
      </c>
      <c r="B240" s="922" t="s">
        <v>2399</v>
      </c>
      <c r="C240" s="991">
        <f>VLOOKUP(B240,NXT!$Q$78:$S$118,2,0)</f>
        <v>2.7</v>
      </c>
      <c r="D240" s="381">
        <f t="shared" ref="D240:D254" si="109">ROUND(C240*O240,0)</f>
        <v>945319</v>
      </c>
      <c r="E240" s="381"/>
      <c r="F240" s="992">
        <v>17900</v>
      </c>
      <c r="G240" s="8">
        <f t="shared" ref="G240:G254" si="110">(D240+E240)*F240</f>
        <v>16921210100</v>
      </c>
      <c r="H240" s="381">
        <f>IF($D$257&lt;&gt;0,H$257/($D$257+$E$257/4)*($D240+$E240/4),0)</f>
        <v>51513886.617469572</v>
      </c>
      <c r="I240" s="381">
        <f>IF($D$257&lt;&gt;0,I$257/$D$257*$D240,0)</f>
        <v>48003386.939178415</v>
      </c>
      <c r="J240" s="381">
        <f>IF($D$257&lt;&gt;0,J$257/$D$257*$D240,0)</f>
        <v>76996222.02564469</v>
      </c>
      <c r="K240" s="381">
        <f>IF($D$257&lt;&gt;0,K$257/$D$257*$D240,0)</f>
        <v>38906197.70645155</v>
      </c>
      <c r="L240" s="8">
        <f>V249</f>
        <v>159005000</v>
      </c>
      <c r="M240" s="381"/>
      <c r="N240" s="8">
        <f t="shared" ref="N240:N254" si="111">ROUND(SUM(G240:L240),0)</f>
        <v>17295634793</v>
      </c>
      <c r="O240" s="377">
        <v>350118.1</v>
      </c>
      <c r="P240" s="381">
        <f t="shared" ref="P240:P254" si="112">IF(N240&lt;&gt;0,N240/O240,0)</f>
        <v>49399.430629264811</v>
      </c>
      <c r="Q240" s="1205"/>
      <c r="R240" s="641" t="s">
        <v>327</v>
      </c>
      <c r="S240" s="917"/>
      <c r="T240" s="917">
        <v>150</v>
      </c>
      <c r="U240" s="1039">
        <v>32200</v>
      </c>
      <c r="V240" s="25">
        <f t="shared" ref="V240:V244" si="113">ROUND(T240*U240,0)</f>
        <v>4830000</v>
      </c>
      <c r="W240" s="916"/>
    </row>
    <row r="241" spans="1:23" ht="18" customHeight="1">
      <c r="A241" s="726">
        <f t="shared" ref="A241:A255" si="114">IF(B241&lt;&gt;"",A240+1,"")</f>
        <v>2</v>
      </c>
      <c r="B241" s="996" t="s">
        <v>426</v>
      </c>
      <c r="C241" s="991">
        <f>VLOOKUP(B241,NXT!$Q$78:$S$118,2,0)</f>
        <v>10.5</v>
      </c>
      <c r="D241" s="381">
        <f t="shared" si="109"/>
        <v>50400</v>
      </c>
      <c r="E241" s="381"/>
      <c r="F241" s="992">
        <f>VLOOKUP(B241,NXT!$Q$78:$S$118,3,0)</f>
        <v>17000</v>
      </c>
      <c r="G241" s="8">
        <f t="shared" si="110"/>
        <v>856800000</v>
      </c>
      <c r="H241" s="381">
        <f>IF($D$257&lt;&gt;0,H$257/($D$257+$E$257/4)*($D241+$E241/4),0)</f>
        <v>2746480.1675629774</v>
      </c>
      <c r="I241" s="381">
        <f>IF($D$257&lt;&gt;0,I$257/$D$257*$D241,0)</f>
        <v>2559316.6981035946</v>
      </c>
      <c r="J241" s="381">
        <f>IF($D$257&lt;&gt;0,J$257/$D$257*$D241,0)</f>
        <v>4105079.4388904613</v>
      </c>
      <c r="K241" s="381">
        <f>IF($D$257&lt;&gt;0,K$257/$D$257*$D241,0)</f>
        <v>2074296.998584772</v>
      </c>
      <c r="L241" s="8">
        <f>V250+V251</f>
        <v>45449500</v>
      </c>
      <c r="M241" s="381"/>
      <c r="N241" s="8">
        <f t="shared" si="111"/>
        <v>913734673</v>
      </c>
      <c r="O241" s="377">
        <v>4800</v>
      </c>
      <c r="P241" s="381">
        <f t="shared" si="112"/>
        <v>190361.39020833332</v>
      </c>
      <c r="Q241" s="1205"/>
      <c r="R241" s="641" t="s">
        <v>333</v>
      </c>
      <c r="S241" s="644"/>
      <c r="T241" s="843">
        <v>150</v>
      </c>
      <c r="U241" s="843">
        <v>49808.000000000007</v>
      </c>
      <c r="V241" s="25">
        <f t="shared" si="113"/>
        <v>7471200</v>
      </c>
      <c r="W241" s="25"/>
    </row>
    <row r="242" spans="1:23" ht="18" customHeight="1">
      <c r="A242" s="726">
        <f t="shared" si="114"/>
        <v>3</v>
      </c>
      <c r="B242" s="425" t="s">
        <v>1588</v>
      </c>
      <c r="C242" s="991">
        <f>VLOOKUP(B242,NXT!$Q$78:$S$118,2,0)</f>
        <v>11.5</v>
      </c>
      <c r="D242" s="381">
        <f t="shared" si="109"/>
        <v>11500</v>
      </c>
      <c r="E242" s="381"/>
      <c r="F242" s="992">
        <f>VLOOKUP(B242,NXT!$Q$78:$S$118,3,0)</f>
        <v>18200</v>
      </c>
      <c r="G242" s="8">
        <f t="shared" si="110"/>
        <v>209300000</v>
      </c>
      <c r="H242" s="381">
        <f>IF($D$257&lt;&gt;0,H$257/($D$257+$E$257/4)*($D242+$E242/4),0)</f>
        <v>626677.02236060007</v>
      </c>
      <c r="I242" s="381">
        <f>IF($D$257&lt;&gt;0,I$257/$D$257*$D242,0)</f>
        <v>583971.07198792335</v>
      </c>
      <c r="J242" s="381">
        <f>IF($D$257&lt;&gt;0,J$257/$D$257*$D242,0)</f>
        <v>936674.87196905375</v>
      </c>
      <c r="K242" s="381">
        <f>IF($D$257&lt;&gt;0,K$257/$D$257*$D242,0)</f>
        <v>473301.89451835077</v>
      </c>
      <c r="L242" s="8">
        <f>V252</f>
        <v>1742400</v>
      </c>
      <c r="M242" s="381"/>
      <c r="N242" s="8">
        <f t="shared" si="111"/>
        <v>213663025</v>
      </c>
      <c r="O242" s="377">
        <v>1000</v>
      </c>
      <c r="P242" s="381">
        <f t="shared" si="112"/>
        <v>213663.02499999999</v>
      </c>
      <c r="Q242" s="1205"/>
      <c r="R242" s="641" t="s">
        <v>336</v>
      </c>
      <c r="S242" s="644"/>
      <c r="T242" s="77">
        <v>400</v>
      </c>
      <c r="U242" s="843">
        <v>16476.189999999999</v>
      </c>
      <c r="V242" s="25">
        <f t="shared" si="113"/>
        <v>6590476</v>
      </c>
      <c r="W242" s="8"/>
    </row>
    <row r="243" spans="1:23" ht="18" customHeight="1">
      <c r="A243" s="726">
        <f t="shared" si="114"/>
        <v>4</v>
      </c>
      <c r="B243" s="72" t="s">
        <v>1639</v>
      </c>
      <c r="C243" s="991">
        <f>VLOOKUP(B243,NXT!$Q$78:$S$118,2,0)</f>
        <v>5</v>
      </c>
      <c r="D243" s="381">
        <f t="shared" si="109"/>
        <v>5000</v>
      </c>
      <c r="E243" s="381"/>
      <c r="F243" s="992">
        <f>VLOOKUP(B243,NXT!$Q$78:$S$118,3,0)</f>
        <v>19500</v>
      </c>
      <c r="G243" s="8">
        <f t="shared" si="110"/>
        <v>97500000</v>
      </c>
      <c r="H243" s="381">
        <f>IF($D$257&lt;&gt;0,H$257/($D$257+$E$257/4)*($D243+$E243/4),0)</f>
        <v>272468.27059156523</v>
      </c>
      <c r="I243" s="381">
        <f>IF($D$257&lt;&gt;0,I$257/$D$257*$D243,0)</f>
        <v>253900.46608170582</v>
      </c>
      <c r="J243" s="381">
        <f>IF($D$257&lt;&gt;0,J$257/$D$257*$D243,0)</f>
        <v>407249.94433437119</v>
      </c>
      <c r="K243" s="381">
        <f>IF($D$257&lt;&gt;0,K$257/$D$257*$D243,0)</f>
        <v>205783.43239928293</v>
      </c>
      <c r="L243" s="8">
        <f>V253</f>
        <v>1632800</v>
      </c>
      <c r="M243" s="381"/>
      <c r="N243" s="8">
        <f t="shared" si="111"/>
        <v>100272202</v>
      </c>
      <c r="O243" s="377">
        <v>1000</v>
      </c>
      <c r="P243" s="381">
        <f t="shared" si="112"/>
        <v>100272.202</v>
      </c>
      <c r="Q243" s="1205"/>
      <c r="R243" s="641" t="s">
        <v>804</v>
      </c>
      <c r="S243" s="1033"/>
      <c r="T243" s="77">
        <v>100</v>
      </c>
      <c r="U243" s="843">
        <v>51000</v>
      </c>
      <c r="V243" s="25">
        <f t="shared" si="113"/>
        <v>5100000</v>
      </c>
      <c r="W243" s="8"/>
    </row>
    <row r="244" spans="1:23" ht="18" customHeight="1">
      <c r="A244" s="726">
        <f t="shared" si="114"/>
        <v>5</v>
      </c>
      <c r="B244" s="1055" t="s">
        <v>1755</v>
      </c>
      <c r="C244" s="991">
        <f>VLOOKUP(B244,NXT!$Q$78:$S$118,2,0)</f>
        <v>9.5</v>
      </c>
      <c r="D244" s="381">
        <f t="shared" si="109"/>
        <v>9500</v>
      </c>
      <c r="E244" s="381"/>
      <c r="F244" s="992">
        <f>VLOOKUP(B244,NXT!$Q$78:$S$118,3,0)</f>
        <v>18500</v>
      </c>
      <c r="G244" s="8">
        <f t="shared" si="110"/>
        <v>175750000</v>
      </c>
      <c r="H244" s="381">
        <f>IF($D$257&lt;&gt;0,H$257/($D$257+$E$257/4)*($D244+$E244/4),0)</f>
        <v>517689.71412397391</v>
      </c>
      <c r="I244" s="381">
        <f>IF($D$257&lt;&gt;0,I$257/$D$257*$D244,0)</f>
        <v>482410.88555524108</v>
      </c>
      <c r="J244" s="381">
        <f>IF($D$257&lt;&gt;0,J$257/$D$257*$D244,0)</f>
        <v>773774.89423530526</v>
      </c>
      <c r="K244" s="381">
        <f>IF($D$257&lt;&gt;0,K$257/$D$257*$D244,0)</f>
        <v>390988.52155863761</v>
      </c>
      <c r="L244" s="8">
        <f t="shared" ref="L244:L245" si="115">V254</f>
        <v>1945400</v>
      </c>
      <c r="M244" s="381"/>
      <c r="N244" s="8">
        <f t="shared" si="111"/>
        <v>179860264</v>
      </c>
      <c r="O244" s="377">
        <v>1000</v>
      </c>
      <c r="P244" s="381">
        <f t="shared" si="112"/>
        <v>179860.264</v>
      </c>
      <c r="Q244" s="1205"/>
      <c r="R244" s="641" t="s">
        <v>341</v>
      </c>
      <c r="S244" s="1033"/>
      <c r="T244" s="77">
        <v>600</v>
      </c>
      <c r="U244" s="843">
        <v>3200</v>
      </c>
      <c r="V244" s="25">
        <f t="shared" si="113"/>
        <v>1920000</v>
      </c>
      <c r="W244" s="8"/>
    </row>
    <row r="245" spans="1:23" ht="18" customHeight="1">
      <c r="A245" s="726">
        <f t="shared" si="114"/>
        <v>6</v>
      </c>
      <c r="B245" s="72" t="s">
        <v>1584</v>
      </c>
      <c r="C245" s="991">
        <f>VLOOKUP(B245,NXT!$Q$78:$S$118,2,0)</f>
        <v>11</v>
      </c>
      <c r="D245" s="381">
        <f t="shared" si="109"/>
        <v>31680</v>
      </c>
      <c r="E245" s="381"/>
      <c r="F245" s="992">
        <f>VLOOKUP(B245,NXT!$Q$78:$S$118,3,0)</f>
        <v>17500</v>
      </c>
      <c r="G245" s="8">
        <f t="shared" si="110"/>
        <v>554400000</v>
      </c>
      <c r="H245" s="381">
        <f>IF($D$257&lt;&gt;0,H$257/($D$257+$E$257/4)*($D245+$E245/4),0)</f>
        <v>1726358.9624681573</v>
      </c>
      <c r="I245" s="381">
        <f>IF($D$257&lt;&gt;0,I$257/$D$257*$D245,0)</f>
        <v>1608713.3530936881</v>
      </c>
      <c r="J245" s="381">
        <f>IF($D$257&lt;&gt;0,J$257/$D$257*$D245,0)</f>
        <v>2580335.6473025759</v>
      </c>
      <c r="K245" s="381">
        <f>IF($D$257&lt;&gt;0,K$257/$D$257*$D245,0)</f>
        <v>1303843.8276818567</v>
      </c>
      <c r="L245" s="8">
        <f t="shared" si="115"/>
        <v>6210000</v>
      </c>
      <c r="M245" s="381"/>
      <c r="N245" s="8">
        <f t="shared" si="111"/>
        <v>567829252</v>
      </c>
      <c r="O245" s="377">
        <v>2880</v>
      </c>
      <c r="P245" s="381">
        <f t="shared" si="112"/>
        <v>197162.93472222221</v>
      </c>
      <c r="Q245" s="1205"/>
      <c r="R245" s="641" t="s">
        <v>1257</v>
      </c>
      <c r="S245" s="1033"/>
      <c r="T245" s="77">
        <v>2700</v>
      </c>
      <c r="U245" s="843">
        <v>14728</v>
      </c>
      <c r="V245" s="25">
        <f t="shared" ref="V245:V246" si="116">ROUND(T245*U245,0)</f>
        <v>39765600</v>
      </c>
      <c r="W245" s="8"/>
    </row>
    <row r="246" spans="1:23" ht="18" customHeight="1">
      <c r="A246" s="726">
        <f t="shared" si="114"/>
        <v>7</v>
      </c>
      <c r="B246" s="72" t="s">
        <v>2387</v>
      </c>
      <c r="C246" s="991">
        <f>VLOOKUP(B246,NXT!$Q$78:$S$118,2,0)</f>
        <v>6</v>
      </c>
      <c r="D246" s="381">
        <f t="shared" si="109"/>
        <v>1680</v>
      </c>
      <c r="E246" s="381"/>
      <c r="F246" s="992">
        <f>VLOOKUP(B246,NXT!$Q$78:$S$118,3,0)</f>
        <v>40000</v>
      </c>
      <c r="G246" s="8">
        <f t="shared" si="110"/>
        <v>67200000</v>
      </c>
      <c r="H246" s="381">
        <f>IF($D$257&lt;&gt;0,H$257/($D$257+$E$257/4)*($D246+$E246/4),0)</f>
        <v>91549.33891876592</v>
      </c>
      <c r="I246" s="381">
        <f>IF($D$257&lt;&gt;0,I$257/$D$257*$D246,0)</f>
        <v>85310.556603453151</v>
      </c>
      <c r="J246" s="381">
        <f>IF($D$257&lt;&gt;0,J$257/$D$257*$D246,0)</f>
        <v>136835.98129634871</v>
      </c>
      <c r="K246" s="381">
        <f>IF($D$257&lt;&gt;0,K$257/$D$257*$D246,0)</f>
        <v>69143.233286159069</v>
      </c>
      <c r="L246" s="8">
        <f>V256</f>
        <v>1080000</v>
      </c>
      <c r="M246" s="381"/>
      <c r="N246" s="8">
        <f t="shared" si="111"/>
        <v>68662839</v>
      </c>
      <c r="O246" s="377">
        <v>280</v>
      </c>
      <c r="P246" s="381">
        <f t="shared" si="112"/>
        <v>245224.42499999999</v>
      </c>
      <c r="Q246" s="1205"/>
      <c r="R246" s="641" t="s">
        <v>346</v>
      </c>
      <c r="S246" s="1033"/>
      <c r="T246" s="1039">
        <v>200</v>
      </c>
      <c r="U246" s="1048">
        <v>8000</v>
      </c>
      <c r="V246" s="25">
        <f t="shared" si="116"/>
        <v>1600000</v>
      </c>
      <c r="W246" s="8"/>
    </row>
    <row r="247" spans="1:23" ht="18" customHeight="1">
      <c r="A247" s="726">
        <f t="shared" si="114"/>
        <v>8</v>
      </c>
      <c r="B247" s="1055" t="s">
        <v>1621</v>
      </c>
      <c r="C247" s="991">
        <f>VLOOKUP(B247,NXT!$Q$78:$S$118,2,0)</f>
        <v>5</v>
      </c>
      <c r="D247" s="381">
        <f t="shared" si="109"/>
        <v>600</v>
      </c>
      <c r="E247" s="381"/>
      <c r="F247" s="992">
        <f>VLOOKUP(B247,NXT!$Q$78:$S$118,3,0)</f>
        <v>28500</v>
      </c>
      <c r="G247" s="8">
        <f t="shared" si="110"/>
        <v>17100000</v>
      </c>
      <c r="H247" s="381">
        <f>IF($D$257&lt;&gt;0,H$257/($D$257+$E$257/4)*($D247+$E247/4),0)</f>
        <v>32696.192470987826</v>
      </c>
      <c r="I247" s="381">
        <f>IF($D$257&lt;&gt;0,I$257/$D$257*$D247,0)</f>
        <v>30468.055929804697</v>
      </c>
      <c r="J247" s="381">
        <f>IF($D$257&lt;&gt;0,J$257/$D$257*$D247,0)</f>
        <v>48869.993320124544</v>
      </c>
      <c r="K247" s="381">
        <f>IF($D$257&lt;&gt;0,K$257/$D$257*$D247,0)</f>
        <v>24694.011887913952</v>
      </c>
      <c r="L247" s="8">
        <f t="shared" ref="L247:L254" si="117">V257</f>
        <v>1435200</v>
      </c>
      <c r="M247" s="381"/>
      <c r="N247" s="8">
        <f t="shared" si="111"/>
        <v>18671928</v>
      </c>
      <c r="O247" s="377">
        <v>120</v>
      </c>
      <c r="P247" s="381">
        <f t="shared" si="112"/>
        <v>155599.4</v>
      </c>
      <c r="Q247" s="1205"/>
      <c r="R247" s="25"/>
      <c r="S247" s="644"/>
      <c r="T247" s="77"/>
      <c r="U247" s="77"/>
      <c r="V247" s="8"/>
      <c r="W247" s="8"/>
    </row>
    <row r="248" spans="1:23" ht="18" customHeight="1">
      <c r="A248" s="726">
        <f t="shared" si="114"/>
        <v>9</v>
      </c>
      <c r="B248" s="72" t="s">
        <v>1545</v>
      </c>
      <c r="C248" s="991">
        <f>VLOOKUP(B248,NXT!$Q$78:$S$118,2,0)</f>
        <v>5</v>
      </c>
      <c r="D248" s="381">
        <f t="shared" si="109"/>
        <v>600</v>
      </c>
      <c r="E248" s="381"/>
      <c r="F248" s="992">
        <f>VLOOKUP(B248,NXT!$Q$78:$S$118,3,0)</f>
        <v>35000</v>
      </c>
      <c r="G248" s="8">
        <f t="shared" si="110"/>
        <v>21000000</v>
      </c>
      <c r="H248" s="381">
        <f>IF($D$257&lt;&gt;0,H$257/($D$257+$E$257/4)*($D248+$E248/4),0)</f>
        <v>32696.192470987826</v>
      </c>
      <c r="I248" s="381">
        <f>IF($D$257&lt;&gt;0,I$257/$D$257*$D248,0)</f>
        <v>30468.055929804697</v>
      </c>
      <c r="J248" s="381">
        <f>IF($D$257&lt;&gt;0,J$257/$D$257*$D248,0)</f>
        <v>48869.993320124544</v>
      </c>
      <c r="K248" s="381">
        <f>IF($D$257&lt;&gt;0,K$257/$D$257*$D248,0)</f>
        <v>24694.011887913952</v>
      </c>
      <c r="L248" s="8">
        <f t="shared" si="117"/>
        <v>1435200</v>
      </c>
      <c r="M248" s="381"/>
      <c r="N248" s="8">
        <f t="shared" si="111"/>
        <v>22571928</v>
      </c>
      <c r="O248" s="377">
        <v>120</v>
      </c>
      <c r="P248" s="381">
        <f t="shared" si="112"/>
        <v>188099.4</v>
      </c>
      <c r="Q248" s="1205"/>
      <c r="R248" s="1026"/>
      <c r="S248" s="1027"/>
      <c r="T248" s="1028"/>
      <c r="U248" s="1035"/>
      <c r="V248" s="70">
        <f>SUM(V240:V247)</f>
        <v>67277276</v>
      </c>
      <c r="W248" s="70">
        <f>SUM(W241:W247)</f>
        <v>0</v>
      </c>
    </row>
    <row r="249" spans="1:23" ht="18" customHeight="1">
      <c r="A249" s="726">
        <f t="shared" si="114"/>
        <v>10</v>
      </c>
      <c r="B249" s="1055" t="s">
        <v>793</v>
      </c>
      <c r="C249" s="991">
        <f>VLOOKUP(B249,NXT!$Q$78:$S$118,2,0)</f>
        <v>8.6999999999999993</v>
      </c>
      <c r="D249" s="381">
        <f t="shared" si="109"/>
        <v>1044</v>
      </c>
      <c r="E249" s="381"/>
      <c r="F249" s="992">
        <f>VLOOKUP(B249,NXT!$Q$78:$S$118,3,0)</f>
        <v>18500</v>
      </c>
      <c r="G249" s="8">
        <f t="shared" si="110"/>
        <v>19314000</v>
      </c>
      <c r="H249" s="381">
        <f>IF($D$257&lt;&gt;0,H$257/($D$257+$E$257/4)*($D249+$E249/4),0)</f>
        <v>56891.374899518822</v>
      </c>
      <c r="I249" s="381">
        <f>IF($D$257&lt;&gt;0,I$257/$D$257*$D249,0)</f>
        <v>53014.417317860178</v>
      </c>
      <c r="J249" s="381">
        <f>IF($D$257&lt;&gt;0,J$257/$D$257*$D249,0)</f>
        <v>85033.788377016695</v>
      </c>
      <c r="K249" s="381">
        <f>IF($D$257&lt;&gt;0,K$257/$D$257*$D249,0)</f>
        <v>42967.580684970279</v>
      </c>
      <c r="L249" s="8">
        <f t="shared" si="117"/>
        <v>1391040</v>
      </c>
      <c r="M249" s="381"/>
      <c r="N249" s="8">
        <f t="shared" si="111"/>
        <v>20942947</v>
      </c>
      <c r="O249" s="377">
        <v>120</v>
      </c>
      <c r="P249" s="381">
        <f t="shared" si="112"/>
        <v>174524.55833333332</v>
      </c>
      <c r="Q249" s="1205"/>
      <c r="R249" s="432" t="s">
        <v>795</v>
      </c>
      <c r="S249" s="1038"/>
      <c r="T249" s="1043">
        <v>26950</v>
      </c>
      <c r="U249" s="1039">
        <v>5900</v>
      </c>
      <c r="V249" s="25">
        <f t="shared" ref="V249:V265" si="118">ROUND(T249*U249,0)</f>
        <v>159005000</v>
      </c>
      <c r="W249" s="8"/>
    </row>
    <row r="250" spans="1:23" ht="18" customHeight="1">
      <c r="A250" s="726">
        <f t="shared" si="114"/>
        <v>11</v>
      </c>
      <c r="B250" s="72" t="s">
        <v>1639</v>
      </c>
      <c r="C250" s="991">
        <f>VLOOKUP(B250,NXT!$Q$78:$S$118,2,0)</f>
        <v>5</v>
      </c>
      <c r="D250" s="381">
        <f t="shared" si="109"/>
        <v>30000</v>
      </c>
      <c r="E250" s="381"/>
      <c r="F250" s="992">
        <f>VLOOKUP(B250,NXT!$Q$78:$S$118,3,0)</f>
        <v>19500</v>
      </c>
      <c r="G250" s="8">
        <f t="shared" si="110"/>
        <v>585000000</v>
      </c>
      <c r="H250" s="381">
        <f>IF($D$257&lt;&gt;0,H$257/($D$257+$E$257/4)*($D250+$E250/4),0)</f>
        <v>1634809.6235493913</v>
      </c>
      <c r="I250" s="381">
        <f>IF($D$257&lt;&gt;0,I$257/$D$257*$D250,0)</f>
        <v>1523402.796490235</v>
      </c>
      <c r="J250" s="381">
        <f>IF($D$257&lt;&gt;0,J$257/$D$257*$D250,0)</f>
        <v>2443499.666006227</v>
      </c>
      <c r="K250" s="381">
        <f>IF($D$257&lt;&gt;0,K$257/$D$257*$D250,0)</f>
        <v>1234700.5943956976</v>
      </c>
      <c r="L250" s="8">
        <f t="shared" si="117"/>
        <v>7172000</v>
      </c>
      <c r="M250" s="381"/>
      <c r="N250" s="8">
        <f t="shared" si="111"/>
        <v>599008413</v>
      </c>
      <c r="O250" s="377">
        <v>6000</v>
      </c>
      <c r="P250" s="381">
        <f t="shared" si="112"/>
        <v>99834.735499999995</v>
      </c>
      <c r="Q250" s="1205"/>
      <c r="R250" s="1010" t="s">
        <v>564</v>
      </c>
      <c r="S250" s="644"/>
      <c r="T250" s="843">
        <v>2300</v>
      </c>
      <c r="U250" s="843">
        <v>14000</v>
      </c>
      <c r="V250" s="25">
        <f t="shared" si="118"/>
        <v>32200000</v>
      </c>
      <c r="W250" s="8"/>
    </row>
    <row r="251" spans="1:23" ht="18" customHeight="1">
      <c r="A251" s="726">
        <f t="shared" si="114"/>
        <v>12</v>
      </c>
      <c r="B251" s="72" t="s">
        <v>793</v>
      </c>
      <c r="C251" s="991">
        <f>VLOOKUP(B251,NXT!$Q$78:$S$118,2,0)</f>
        <v>8.6999999999999993</v>
      </c>
      <c r="D251" s="381">
        <f t="shared" si="109"/>
        <v>104400</v>
      </c>
      <c r="E251" s="381"/>
      <c r="F251" s="992">
        <f>VLOOKUP(B251,NXT!$Q$78:$S$118,3,0)</f>
        <v>18500</v>
      </c>
      <c r="G251" s="8">
        <f t="shared" si="110"/>
        <v>1931400000</v>
      </c>
      <c r="H251" s="381">
        <f>IF($D$257&lt;&gt;0,H$257/($D$257+$E$257/4)*($D251+$E251/4),0)</f>
        <v>5689137.4899518816</v>
      </c>
      <c r="I251" s="381">
        <f>IF($D$257&lt;&gt;0,I$257/$D$257*$D251,0)</f>
        <v>5301441.7317860173</v>
      </c>
      <c r="J251" s="381">
        <f>IF($D$257&lt;&gt;0,J$257/$D$257*$D251,0)</f>
        <v>8503378.8377016708</v>
      </c>
      <c r="K251" s="381">
        <f>IF($D$257&lt;&gt;0,K$257/$D$257*$D251,0)</f>
        <v>4296758.0684970282</v>
      </c>
      <c r="L251" s="8">
        <f t="shared" si="117"/>
        <v>14553000</v>
      </c>
      <c r="M251" s="381"/>
      <c r="N251" s="8">
        <f t="shared" si="111"/>
        <v>1969743716</v>
      </c>
      <c r="O251" s="377">
        <v>12000</v>
      </c>
      <c r="P251" s="381">
        <f t="shared" si="112"/>
        <v>164145.30966666667</v>
      </c>
      <c r="Q251" s="1205"/>
      <c r="R251" s="1010" t="s">
        <v>381</v>
      </c>
      <c r="S251" s="644"/>
      <c r="T251" s="843">
        <v>605</v>
      </c>
      <c r="U251" s="843">
        <v>21900</v>
      </c>
      <c r="V251" s="25">
        <f t="shared" si="118"/>
        <v>13249500</v>
      </c>
      <c r="W251" s="8"/>
    </row>
    <row r="252" spans="1:23" ht="18" customHeight="1">
      <c r="A252" s="726">
        <f t="shared" si="114"/>
        <v>13</v>
      </c>
      <c r="B252" s="72" t="s">
        <v>418</v>
      </c>
      <c r="C252" s="991">
        <f>VLOOKUP(B252,NXT!$Q$78:$S$118,2,0)</f>
        <v>4.5</v>
      </c>
      <c r="D252" s="381">
        <f t="shared" si="109"/>
        <v>40500</v>
      </c>
      <c r="E252" s="381"/>
      <c r="F252" s="992">
        <f>VLOOKUP(B252,NXT!$Q$78:$S$118,3,0)</f>
        <v>18500</v>
      </c>
      <c r="G252" s="8">
        <f t="shared" si="110"/>
        <v>749250000</v>
      </c>
      <c r="H252" s="381">
        <f>IF($D$257&lt;&gt;0,H$257/($D$257+$E$257/4)*($D252+$E252/4),0)</f>
        <v>2206992.9917916781</v>
      </c>
      <c r="I252" s="381">
        <f>IF($D$257&lt;&gt;0,I$257/$D$257*$D252,0)</f>
        <v>2056593.7752618173</v>
      </c>
      <c r="J252" s="381">
        <f>IF($D$257&lt;&gt;0,J$257/$D$257*$D252,0)</f>
        <v>3298724.5491084065</v>
      </c>
      <c r="K252" s="381">
        <f>IF($D$257&lt;&gt;0,K$257/$D$257*$D252,0)</f>
        <v>1666845.8024341918</v>
      </c>
      <c r="L252" s="8">
        <f t="shared" si="117"/>
        <v>14272500</v>
      </c>
      <c r="M252" s="381"/>
      <c r="N252" s="8">
        <f t="shared" si="111"/>
        <v>772751657</v>
      </c>
      <c r="O252" s="377">
        <v>9000</v>
      </c>
      <c r="P252" s="381">
        <f t="shared" si="112"/>
        <v>85861.295222222223</v>
      </c>
      <c r="Q252" s="1205"/>
      <c r="R252" s="432" t="s">
        <v>2341</v>
      </c>
      <c r="S252" s="644"/>
      <c r="T252" s="843">
        <v>132</v>
      </c>
      <c r="U252" s="843">
        <v>13200</v>
      </c>
      <c r="V252" s="25">
        <f t="shared" si="118"/>
        <v>1742400</v>
      </c>
      <c r="W252" s="8"/>
    </row>
    <row r="253" spans="1:23" ht="18" customHeight="1">
      <c r="A253" s="726">
        <f t="shared" si="114"/>
        <v>14</v>
      </c>
      <c r="B253" s="72" t="s">
        <v>2399</v>
      </c>
      <c r="C253" s="991">
        <f>VLOOKUP(B253,NXT!$Q$78:$S$118,2,0)</f>
        <v>2.7</v>
      </c>
      <c r="D253" s="381">
        <f t="shared" si="109"/>
        <v>8100</v>
      </c>
      <c r="E253" s="381"/>
      <c r="F253" s="992">
        <f>VLOOKUP(B253,NXT!$Q$78:$S$118,3,0)</f>
        <v>17700</v>
      </c>
      <c r="G253" s="8">
        <f t="shared" si="110"/>
        <v>143370000</v>
      </c>
      <c r="H253" s="381">
        <f>IF($D$257&lt;&gt;0,H$257/($D$257+$E$257/4)*($D253+$E253/4),0)</f>
        <v>441398.59835833567</v>
      </c>
      <c r="I253" s="381">
        <f>IF($D$257&lt;&gt;0,I$257/$D$257*$D253,0)</f>
        <v>411318.75505236344</v>
      </c>
      <c r="J253" s="381">
        <f>IF($D$257&lt;&gt;0,J$257/$D$257*$D253,0)</f>
        <v>659744.90982168133</v>
      </c>
      <c r="K253" s="381">
        <f>IF($D$257&lt;&gt;0,K$257/$D$257*$D253,0)</f>
        <v>333369.16048683837</v>
      </c>
      <c r="L253" s="8">
        <f t="shared" si="117"/>
        <v>4718700</v>
      </c>
      <c r="M253" s="381"/>
      <c r="N253" s="8">
        <f t="shared" si="111"/>
        <v>149934531</v>
      </c>
      <c r="O253" s="377">
        <v>3000</v>
      </c>
      <c r="P253" s="381">
        <f t="shared" si="112"/>
        <v>49978.177000000003</v>
      </c>
      <c r="Q253" s="1205"/>
      <c r="R253" s="432" t="s">
        <v>2341</v>
      </c>
      <c r="S253" s="644"/>
      <c r="T253" s="843">
        <v>104</v>
      </c>
      <c r="U253" s="843">
        <v>15700</v>
      </c>
      <c r="V253" s="25">
        <f t="shared" si="118"/>
        <v>1632800</v>
      </c>
      <c r="W253" s="8"/>
    </row>
    <row r="254" spans="1:23" ht="18" customHeight="1">
      <c r="A254" s="726">
        <f t="shared" si="114"/>
        <v>15</v>
      </c>
      <c r="B254" s="72" t="s">
        <v>421</v>
      </c>
      <c r="C254" s="991">
        <f>VLOOKUP(B254,NXT!$Q$78:$S$118,2,0)</f>
        <v>5</v>
      </c>
      <c r="D254" s="381">
        <f t="shared" si="109"/>
        <v>15552</v>
      </c>
      <c r="E254" s="381"/>
      <c r="F254" s="992">
        <f>VLOOKUP(B254,NXT!$Q$78:$S$118,3,0)</f>
        <v>22000</v>
      </c>
      <c r="G254" s="8">
        <f t="shared" si="110"/>
        <v>342144000</v>
      </c>
      <c r="H254" s="381">
        <f>IF($D$257&lt;&gt;0,H$257/($D$257+$E$257/4)*($D254+$E254/4),0)</f>
        <v>847485.30884800444</v>
      </c>
      <c r="I254" s="381">
        <f>IF($D$257&lt;&gt;0,I$257/$D$257*$D254,0)</f>
        <v>789732.00970053778</v>
      </c>
      <c r="J254" s="381">
        <f>IF($D$257&lt;&gt;0,J$257/$D$257*$D254,0)</f>
        <v>1266710.2268576282</v>
      </c>
      <c r="K254" s="381">
        <f>IF($D$257&lt;&gt;0,K$257/$D$257*$D254,0)</f>
        <v>640068.78813472972</v>
      </c>
      <c r="L254" s="8">
        <f t="shared" si="117"/>
        <v>6692000</v>
      </c>
      <c r="M254" s="381"/>
      <c r="N254" s="8">
        <f t="shared" si="111"/>
        <v>352379996</v>
      </c>
      <c r="O254" s="377">
        <v>3110.4000000000015</v>
      </c>
      <c r="P254" s="381">
        <f t="shared" si="112"/>
        <v>113290.89377572011</v>
      </c>
      <c r="Q254" s="1205"/>
      <c r="R254" s="432" t="s">
        <v>2768</v>
      </c>
      <c r="S254" s="644"/>
      <c r="T254" s="843">
        <v>137</v>
      </c>
      <c r="U254" s="843">
        <v>14200</v>
      </c>
      <c r="V254" s="25">
        <f t="shared" ref="V254" si="119">ROUND(T254*U254,0)</f>
        <v>1945400</v>
      </c>
      <c r="W254" s="8"/>
    </row>
    <row r="255" spans="1:23" ht="18" customHeight="1">
      <c r="A255" s="726">
        <f t="shared" si="114"/>
        <v>16</v>
      </c>
      <c r="B255" s="425" t="s">
        <v>1588</v>
      </c>
      <c r="C255" s="991">
        <f>VLOOKUP(B255,NXT!$Q$78:$S$118,2,0)</f>
        <v>11.5</v>
      </c>
      <c r="D255" s="381">
        <f t="shared" ref="D255" si="120">ROUND(C255*O255,0)</f>
        <v>69000</v>
      </c>
      <c r="E255" s="381"/>
      <c r="F255" s="992">
        <f>VLOOKUP(B255,NXT!$Q$78:$S$118,3,0)</f>
        <v>18200</v>
      </c>
      <c r="G255" s="8">
        <f t="shared" ref="G255" si="121">(D255+E255)*F255</f>
        <v>1255800000</v>
      </c>
      <c r="H255" s="381">
        <f>IF($D$257&lt;&gt;0,H$257/($D$257+$E$257/4)*($D255+$E255/4),0)</f>
        <v>3760062.1341636004</v>
      </c>
      <c r="I255" s="381">
        <f>IF($D$257&lt;&gt;0,I$257/$D$257*$D255,0)</f>
        <v>3503826.4319275403</v>
      </c>
      <c r="J255" s="381">
        <f>IF($D$257&lt;&gt;0,J$257/$D$257*$D255,0)</f>
        <v>5620049.2318143221</v>
      </c>
      <c r="K255" s="381">
        <f>IF($D$257&lt;&gt;0,K$257/$D$257*$D255,0)</f>
        <v>2839811.3671101048</v>
      </c>
      <c r="L255" s="8">
        <f t="shared" ref="L255" si="122">V265</f>
        <v>14346400</v>
      </c>
      <c r="M255" s="381"/>
      <c r="N255" s="8">
        <f t="shared" ref="N255" si="123">ROUND(SUM(G255:L255),0)</f>
        <v>1285870149</v>
      </c>
      <c r="O255" s="377">
        <v>6000</v>
      </c>
      <c r="P255" s="381">
        <f t="shared" ref="P255" si="124">IF(N255&lt;&gt;0,N255/O255,0)</f>
        <v>214311.69149999999</v>
      </c>
      <c r="Q255" s="1205"/>
      <c r="R255" s="432" t="s">
        <v>2341</v>
      </c>
      <c r="S255" s="644"/>
      <c r="T255" s="843">
        <v>450</v>
      </c>
      <c r="U255" s="843">
        <v>13800</v>
      </c>
      <c r="V255" s="25">
        <f t="shared" si="118"/>
        <v>6210000</v>
      </c>
      <c r="W255" s="8"/>
    </row>
    <row r="256" spans="1:23" ht="18.75" customHeight="1">
      <c r="A256" s="1050"/>
      <c r="B256" s="923"/>
      <c r="C256" s="1052"/>
      <c r="D256" s="718"/>
      <c r="E256" s="718"/>
      <c r="F256" s="718"/>
      <c r="G256" s="438"/>
      <c r="H256" s="718"/>
      <c r="I256" s="718"/>
      <c r="J256" s="718"/>
      <c r="K256" s="718"/>
      <c r="L256" s="718"/>
      <c r="M256" s="718"/>
      <c r="N256" s="438"/>
      <c r="O256" s="924"/>
      <c r="P256" s="718"/>
      <c r="Q256" s="1205"/>
      <c r="R256" s="432" t="s">
        <v>830</v>
      </c>
      <c r="S256" s="644"/>
      <c r="T256" s="843">
        <v>450</v>
      </c>
      <c r="U256" s="843">
        <v>2400</v>
      </c>
      <c r="V256" s="25">
        <f t="shared" ref="V256:V264" si="125">ROUND(T256*U256,0)</f>
        <v>1080000</v>
      </c>
      <c r="W256" s="8"/>
    </row>
    <row r="257" spans="1:23" ht="18.75" customHeight="1">
      <c r="A257" s="1003"/>
      <c r="B257" s="1004" t="s">
        <v>509</v>
      </c>
      <c r="C257" s="1005"/>
      <c r="D257" s="804">
        <f>SUM(D240:D256)</f>
        <v>1324875</v>
      </c>
      <c r="E257" s="804">
        <f>SUM(E240:E256)</f>
        <v>0</v>
      </c>
      <c r="F257" s="804"/>
      <c r="G257" s="804">
        <f>SUM(G240:G256)</f>
        <v>23946538100</v>
      </c>
      <c r="H257" s="804">
        <v>72197280</v>
      </c>
      <c r="I257" s="804">
        <f>V248</f>
        <v>67277276</v>
      </c>
      <c r="J257" s="804">
        <f>85065600+22845454</f>
        <v>107911054</v>
      </c>
      <c r="K257" s="804">
        <v>54527465</v>
      </c>
      <c r="L257" s="804">
        <f>ROUND(SUM(L240:L256),0)</f>
        <v>283081140</v>
      </c>
      <c r="M257" s="804">
        <f>ROUND(SUM(M240:M256),0)</f>
        <v>0</v>
      </c>
      <c r="N257" s="804">
        <f>ROUND(SUM(N240:N256),0)</f>
        <v>24531532313</v>
      </c>
      <c r="O257" s="804">
        <f>ROUND(SUM(O240:O256),0)</f>
        <v>400549</v>
      </c>
      <c r="P257" s="804"/>
      <c r="R257" s="432" t="s">
        <v>830</v>
      </c>
      <c r="S257" s="644"/>
      <c r="T257" s="843">
        <v>520</v>
      </c>
      <c r="U257" s="843">
        <v>2760</v>
      </c>
      <c r="V257" s="25">
        <f t="shared" si="125"/>
        <v>1435200</v>
      </c>
      <c r="W257" s="8"/>
    </row>
    <row r="258" spans="1:23" ht="18.75" customHeight="1">
      <c r="A258" s="978"/>
      <c r="B258" s="978"/>
      <c r="C258" s="978"/>
      <c r="D258" s="978"/>
      <c r="E258" s="978"/>
      <c r="F258" s="978"/>
      <c r="G258" s="978"/>
      <c r="H258" s="978"/>
      <c r="I258" s="978"/>
      <c r="J258" s="978"/>
      <c r="K258" s="978"/>
      <c r="L258" s="978"/>
      <c r="M258" s="978"/>
      <c r="N258" s="978"/>
      <c r="O258" s="978"/>
      <c r="P258" s="978"/>
      <c r="R258" s="432" t="s">
        <v>830</v>
      </c>
      <c r="S258" s="644"/>
      <c r="T258" s="843">
        <v>520</v>
      </c>
      <c r="U258" s="843">
        <v>2760</v>
      </c>
      <c r="V258" s="25">
        <f t="shared" si="125"/>
        <v>1435200</v>
      </c>
      <c r="W258" s="8"/>
    </row>
    <row r="259" spans="1:23" ht="18.75" customHeight="1">
      <c r="A259" s="978"/>
      <c r="B259" s="978"/>
      <c r="C259" s="978"/>
      <c r="D259" s="978"/>
      <c r="E259" s="978"/>
      <c r="F259" s="978"/>
      <c r="G259" s="978"/>
      <c r="H259" s="978"/>
      <c r="I259" s="978"/>
      <c r="J259" s="978"/>
      <c r="K259" s="978"/>
      <c r="L259" s="887"/>
      <c r="M259" s="978"/>
      <c r="N259" s="978"/>
      <c r="O259" s="978"/>
      <c r="P259" s="978"/>
      <c r="R259" s="432" t="s">
        <v>830</v>
      </c>
      <c r="S259" s="644"/>
      <c r="T259" s="843">
        <v>504</v>
      </c>
      <c r="U259" s="843">
        <v>2760</v>
      </c>
      <c r="V259" s="25">
        <f t="shared" si="125"/>
        <v>1391040</v>
      </c>
      <c r="W259" s="8"/>
    </row>
    <row r="260" spans="1:23" ht="18.75" customHeight="1">
      <c r="A260" s="978"/>
      <c r="B260" s="978"/>
      <c r="C260" s="978"/>
      <c r="D260" s="978"/>
      <c r="E260" s="978"/>
      <c r="F260" s="978"/>
      <c r="G260" s="978"/>
      <c r="H260" s="978"/>
      <c r="I260" s="978"/>
      <c r="J260" s="978"/>
      <c r="K260" s="978"/>
      <c r="L260" s="978"/>
      <c r="M260" s="978"/>
      <c r="N260" s="1012"/>
      <c r="O260" s="978"/>
      <c r="P260" s="978"/>
      <c r="R260" s="432" t="s">
        <v>781</v>
      </c>
      <c r="S260" s="644"/>
      <c r="T260" s="843">
        <v>652</v>
      </c>
      <c r="U260" s="843">
        <v>11000</v>
      </c>
      <c r="V260" s="25">
        <f t="shared" si="125"/>
        <v>7172000</v>
      </c>
      <c r="W260" s="8"/>
    </row>
    <row r="261" spans="1:23" ht="18.75" customHeight="1">
      <c r="A261" s="978"/>
      <c r="B261" s="978"/>
      <c r="C261" s="978"/>
      <c r="D261" s="978"/>
      <c r="E261" s="978"/>
      <c r="F261" s="978"/>
      <c r="G261" s="978"/>
      <c r="H261" s="978"/>
      <c r="I261" s="978"/>
      <c r="J261" s="978"/>
      <c r="K261" s="978"/>
      <c r="L261" s="978"/>
      <c r="M261" s="978"/>
      <c r="N261" s="978"/>
      <c r="O261" s="978"/>
      <c r="P261" s="978"/>
      <c r="R261" s="432" t="s">
        <v>781</v>
      </c>
      <c r="S261" s="644"/>
      <c r="T261" s="843">
        <v>1260</v>
      </c>
      <c r="U261" s="843">
        <v>11550</v>
      </c>
      <c r="V261" s="25">
        <f t="shared" si="125"/>
        <v>14553000</v>
      </c>
      <c r="W261" s="8"/>
    </row>
    <row r="262" spans="1:23" ht="18.75" customHeight="1">
      <c r="A262" s="978"/>
      <c r="B262" s="978"/>
      <c r="C262" s="978"/>
      <c r="D262" s="978"/>
      <c r="E262" s="978"/>
      <c r="F262" s="978"/>
      <c r="G262" s="978"/>
      <c r="H262" s="978"/>
      <c r="I262" s="978"/>
      <c r="J262" s="978"/>
      <c r="K262" s="978"/>
      <c r="L262" s="978"/>
      <c r="M262" s="978"/>
      <c r="N262" s="1012"/>
      <c r="O262" s="978"/>
      <c r="P262" s="978"/>
      <c r="R262" s="432" t="s">
        <v>817</v>
      </c>
      <c r="S262" s="644"/>
      <c r="T262" s="843">
        <v>935</v>
      </c>
      <c r="U262" s="843">
        <v>15264.705882352941</v>
      </c>
      <c r="V262" s="25">
        <f t="shared" si="125"/>
        <v>14272500</v>
      </c>
      <c r="W262" s="8"/>
    </row>
    <row r="263" spans="1:23" ht="18.75" customHeight="1">
      <c r="A263" s="978"/>
      <c r="B263" s="978"/>
      <c r="C263" s="978"/>
      <c r="D263" s="978"/>
      <c r="E263" s="978"/>
      <c r="F263" s="978"/>
      <c r="G263" s="978"/>
      <c r="H263" s="978"/>
      <c r="I263" s="978"/>
      <c r="J263" s="978"/>
      <c r="K263" s="978"/>
      <c r="L263" s="978"/>
      <c r="M263" s="978"/>
      <c r="N263" s="1012"/>
      <c r="O263" s="978"/>
      <c r="P263" s="978"/>
      <c r="R263" s="432" t="s">
        <v>745</v>
      </c>
      <c r="S263" s="644"/>
      <c r="T263" s="843">
        <v>321</v>
      </c>
      <c r="U263" s="843">
        <v>14700</v>
      </c>
      <c r="V263" s="25">
        <f t="shared" si="125"/>
        <v>4718700</v>
      </c>
      <c r="W263" s="8"/>
    </row>
    <row r="264" spans="1:23" ht="18.75" customHeight="1">
      <c r="A264" s="978"/>
      <c r="B264" s="978"/>
      <c r="C264" s="978"/>
      <c r="D264" s="978"/>
      <c r="E264" s="978"/>
      <c r="F264" s="978"/>
      <c r="G264" s="978"/>
      <c r="H264" s="978"/>
      <c r="I264" s="978"/>
      <c r="J264" s="978"/>
      <c r="K264" s="978"/>
      <c r="L264" s="978"/>
      <c r="M264" s="978"/>
      <c r="N264" s="978"/>
      <c r="O264" s="978"/>
      <c r="P264" s="978"/>
      <c r="R264" s="432" t="s">
        <v>745</v>
      </c>
      <c r="S264" s="644"/>
      <c r="T264" s="843">
        <v>478</v>
      </c>
      <c r="U264" s="843">
        <v>14000</v>
      </c>
      <c r="V264" s="25">
        <f t="shared" si="125"/>
        <v>6692000</v>
      </c>
      <c r="W264" s="8"/>
    </row>
    <row r="265" spans="1:23" ht="18.75" customHeight="1">
      <c r="A265" s="978"/>
      <c r="B265" s="978"/>
      <c r="C265" s="978"/>
      <c r="D265" s="978"/>
      <c r="E265" s="978"/>
      <c r="F265" s="978"/>
      <c r="G265" s="978"/>
      <c r="H265" s="978"/>
      <c r="I265" s="978"/>
      <c r="J265" s="978"/>
      <c r="K265" s="978"/>
      <c r="L265" s="978"/>
      <c r="M265" s="978"/>
      <c r="N265" s="978"/>
      <c r="O265" s="978"/>
      <c r="P265" s="978"/>
      <c r="R265" s="641" t="s">
        <v>2340</v>
      </c>
      <c r="S265" s="644"/>
      <c r="T265" s="843">
        <v>890</v>
      </c>
      <c r="U265" s="843">
        <v>16119.550561797752</v>
      </c>
      <c r="V265" s="25">
        <f t="shared" si="118"/>
        <v>14346400</v>
      </c>
      <c r="W265" s="8"/>
    </row>
    <row r="266" spans="1:23" ht="18.75" customHeight="1">
      <c r="A266" s="978"/>
      <c r="B266" s="978"/>
      <c r="C266" s="978"/>
      <c r="D266" s="978"/>
      <c r="E266" s="978"/>
      <c r="F266" s="978"/>
      <c r="G266" s="978"/>
      <c r="H266" s="978"/>
      <c r="I266" s="978"/>
      <c r="J266" s="978"/>
      <c r="K266" s="978"/>
      <c r="L266" s="978"/>
      <c r="M266" s="978"/>
      <c r="N266" s="978"/>
      <c r="O266" s="978"/>
      <c r="P266" s="978"/>
    </row>
    <row r="267" spans="1:23" ht="18.75" customHeight="1"/>
    <row r="268" spans="1:23" ht="13.5" customHeight="1"/>
    <row r="269" spans="1:23" ht="13.5" customHeight="1"/>
    <row r="270" spans="1:23" ht="13.5" customHeight="1"/>
    <row r="272" spans="1:23" ht="13.5" customHeight="1"/>
    <row r="273" ht="13.5" customHeight="1"/>
    <row r="274" ht="13.5" customHeight="1"/>
    <row r="275" ht="13.5" customHeight="1"/>
  </sheetData>
  <sortState ref="B118:B131">
    <sortCondition ref="B118"/>
  </sortState>
  <mergeCells count="3">
    <mergeCell ref="S4:T4"/>
    <mergeCell ref="V4:W4"/>
    <mergeCell ref="R14:T14"/>
  </mergeCells>
  <dataValidations count="2">
    <dataValidation type="list" allowBlank="1" showInputMessage="1" showErrorMessage="1" sqref="R196 R156 R217 R174 R239 R103 R25 R5 R42 R60 R79 R139">
      <formula1>DSTP</formula1>
    </dataValidation>
    <dataValidation type="list" allowBlank="1" showInputMessage="1" showErrorMessage="1" sqref="B221 B81:B88 B107 B199 B197">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J26"/>
  <sheetViews>
    <sheetView zoomScale="90" workbookViewId="0">
      <pane ySplit="10" topLeftCell="A11" activePane="bottomLeft" state="frozen"/>
      <selection activeCell="P41" sqref="P41"/>
      <selection pane="bottomLeft" activeCell="P41" sqref="P41"/>
    </sheetView>
  </sheetViews>
  <sheetFormatPr defaultColWidth="10.28515625" defaultRowHeight="12.75"/>
  <cols>
    <col min="1" max="1" width="40.42578125" style="861" customWidth="1"/>
    <col min="2" max="2" width="15.7109375" style="861" customWidth="1"/>
    <col min="3" max="3" width="16.85546875" style="861" customWidth="1"/>
    <col min="4" max="8" width="15.28515625" style="861" customWidth="1"/>
    <col min="9" max="9" width="10.140625" style="861" customWidth="1"/>
    <col min="10" max="10" width="5.85546875" style="861" customWidth="1"/>
    <col min="11" max="16384" width="10.28515625" style="861"/>
  </cols>
  <sheetData>
    <row r="1" spans="1:10" s="645" customFormat="1" ht="15" customHeight="1">
      <c r="A1" s="848" t="s">
        <v>306</v>
      </c>
      <c r="B1" s="848"/>
      <c r="D1" s="646"/>
      <c r="E1" s="646"/>
      <c r="F1" s="1552" t="s">
        <v>510</v>
      </c>
      <c r="G1" s="1552"/>
      <c r="H1" s="1552"/>
      <c r="I1" s="647"/>
      <c r="J1" s="648"/>
    </row>
    <row r="2" spans="1:10" s="645" customFormat="1" ht="29.25" customHeight="1">
      <c r="A2" s="848" t="s">
        <v>511</v>
      </c>
      <c r="B2" s="848"/>
      <c r="D2" s="649"/>
      <c r="E2" s="649"/>
      <c r="F2" s="1553" t="s">
        <v>143</v>
      </c>
      <c r="G2" s="1553"/>
      <c r="H2" s="1553"/>
      <c r="I2" s="647"/>
      <c r="J2" s="605">
        <v>1</v>
      </c>
    </row>
    <row r="3" spans="1:10" s="645" customFormat="1" ht="15">
      <c r="A3" s="849"/>
      <c r="B3" s="850"/>
      <c r="C3" s="649"/>
      <c r="D3" s="649"/>
      <c r="E3" s="649"/>
      <c r="F3" s="1553"/>
      <c r="G3" s="1553"/>
      <c r="H3" s="1553"/>
      <c r="I3" s="647"/>
    </row>
    <row r="4" spans="1:10" s="852" customFormat="1" ht="17.25" customHeight="1">
      <c r="A4" s="1554" t="s">
        <v>512</v>
      </c>
      <c r="B4" s="1554"/>
      <c r="C4" s="1554"/>
      <c r="D4" s="1554"/>
      <c r="E4" s="1554"/>
      <c r="F4" s="1554"/>
      <c r="G4" s="1554"/>
      <c r="H4" s="1554"/>
      <c r="I4" s="851"/>
    </row>
    <row r="5" spans="1:10" s="853" customFormat="1" ht="17.25" customHeight="1">
      <c r="B5" s="854"/>
      <c r="C5" s="855" t="s">
        <v>430</v>
      </c>
      <c r="D5" s="854" t="str">
        <f>IF($J$2&lt;10,"0"&amp;$J$2&amp;"  năm 2016",$J$2&amp;"  năm 2016")</f>
        <v>01  năm 2016</v>
      </c>
      <c r="E5" s="854"/>
      <c r="F5" s="854"/>
      <c r="G5" s="854"/>
      <c r="H5" s="854"/>
      <c r="I5" s="854"/>
    </row>
    <row r="6" spans="1:10" s="853" customFormat="1" ht="17.25" customHeight="1">
      <c r="B6" s="856"/>
      <c r="C6" s="1555" t="s">
        <v>513</v>
      </c>
      <c r="D6" s="1555"/>
      <c r="E6" s="1556" t="s">
        <v>429</v>
      </c>
      <c r="F6" s="1556"/>
      <c r="H6" s="856"/>
      <c r="I6" s="854"/>
    </row>
    <row r="7" spans="1:10" s="858" customFormat="1" ht="9.75" customHeight="1">
      <c r="A7" s="857"/>
      <c r="B7" s="857"/>
      <c r="C7" s="857"/>
      <c r="D7" s="857"/>
      <c r="E7" s="857"/>
      <c r="F7" s="857"/>
      <c r="G7" s="857"/>
      <c r="H7" s="857"/>
      <c r="I7" s="856"/>
    </row>
    <row r="8" spans="1:10" s="651" customFormat="1" ht="17.25" customHeight="1">
      <c r="A8" s="1557" t="s">
        <v>514</v>
      </c>
      <c r="B8" s="1558" t="s">
        <v>515</v>
      </c>
      <c r="C8" s="1558" t="s">
        <v>516</v>
      </c>
      <c r="D8" s="1558"/>
      <c r="E8" s="1558"/>
      <c r="F8" s="1558"/>
      <c r="G8" s="1558"/>
      <c r="H8" s="1558"/>
      <c r="I8" s="650"/>
    </row>
    <row r="9" spans="1:10" s="654" customFormat="1" ht="28.5">
      <c r="A9" s="1557"/>
      <c r="B9" s="1558"/>
      <c r="C9" s="652" t="s">
        <v>517</v>
      </c>
      <c r="D9" s="652" t="s">
        <v>518</v>
      </c>
      <c r="E9" s="652" t="s">
        <v>519</v>
      </c>
      <c r="F9" s="652" t="s">
        <v>520</v>
      </c>
      <c r="G9" s="652" t="s">
        <v>521</v>
      </c>
      <c r="H9" s="652" t="s">
        <v>522</v>
      </c>
      <c r="I9" s="653"/>
    </row>
    <row r="10" spans="1:10" s="657" customFormat="1" ht="15">
      <c r="A10" s="655" t="s">
        <v>2</v>
      </c>
      <c r="B10" s="656">
        <v>1</v>
      </c>
      <c r="C10" s="656">
        <v>2</v>
      </c>
      <c r="D10" s="656">
        <v>3</v>
      </c>
      <c r="E10" s="656">
        <v>4</v>
      </c>
      <c r="F10" s="656">
        <v>5</v>
      </c>
      <c r="G10" s="656">
        <v>6</v>
      </c>
      <c r="H10" s="656">
        <v>7</v>
      </c>
      <c r="I10" s="647"/>
    </row>
    <row r="11" spans="1:10" s="853" customFormat="1" ht="24.75" customHeight="1">
      <c r="A11" s="859" t="s">
        <v>523</v>
      </c>
      <c r="B11" s="860">
        <f>ROUND(SUM(C11:H11),0)</f>
        <v>0</v>
      </c>
      <c r="C11" s="860">
        <v>0</v>
      </c>
      <c r="D11" s="860">
        <v>0</v>
      </c>
      <c r="E11" s="860">
        <v>0</v>
      </c>
      <c r="F11" s="860">
        <v>0</v>
      </c>
      <c r="G11" s="860">
        <v>0</v>
      </c>
      <c r="H11" s="860">
        <v>0</v>
      </c>
      <c r="I11" s="854"/>
    </row>
    <row r="12" spans="1:10" s="853" customFormat="1" ht="24.75" customHeight="1">
      <c r="A12" s="859" t="s">
        <v>524</v>
      </c>
      <c r="B12" s="860">
        <f ca="1">ROUND(SUM(C12:H12),0)</f>
        <v>1450841000</v>
      </c>
      <c r="C12" s="860">
        <f ca="1">IF(ISNA(VLOOKUP($E6,INDIRECT("DSSP"&amp;$J$2),6,0)),0,VLOOKUP($E6,INDIRECT("DSSP"&amp;$J$2),6,0))</f>
        <v>1435616000</v>
      </c>
      <c r="D12" s="860">
        <f ca="1">IF(ISNA(VLOOKUP($E6,INDIRECT("DSSP"&amp;$J$2),7,0)),0,VLOOKUP($E6,INDIRECT("DSSP"&amp;$J$2),7,0))</f>
        <v>0</v>
      </c>
      <c r="E12" s="860">
        <f ca="1">IF(ISNA(VLOOKUP($E6,INDIRECT("DSSP"&amp;$J$2),8,0)),0,VLOOKUP($E6,INDIRECT("DSSP"&amp;$J$2),8,0))</f>
        <v>0</v>
      </c>
      <c r="F12" s="860">
        <f ca="1">IF(ISNA(VLOOKUP($E6,INDIRECT("DSSP"&amp;$J$2),9,0)),0,VLOOKUP($E6,INDIRECT("DSSP"&amp;$J$2),9,0))</f>
        <v>0</v>
      </c>
      <c r="G12" s="860">
        <f ca="1">IF(ISNA(VLOOKUP($E6,INDIRECT("DSSP"&amp;$J$2),10,0)),0,VLOOKUP($E6,INDIRECT("DSSP"&amp;$J$2),10,0))</f>
        <v>0</v>
      </c>
      <c r="H12" s="860">
        <f ca="1">IF(ISNA(VLOOKUP($E6,INDIRECT("DSSP"&amp;$J$2),11,0)),0,VLOOKUP($E6,INDIRECT("DSSP"&amp;$J$2),11,0))</f>
        <v>15225000</v>
      </c>
      <c r="I12" s="854"/>
    </row>
    <row r="13" spans="1:10" s="853" customFormat="1" ht="24.75" customHeight="1">
      <c r="A13" s="859" t="s">
        <v>525</v>
      </c>
      <c r="B13" s="860">
        <f ca="1">ROUND(IF(ISNA(VLOOKUP($E6,INDIRECT("DSSP"&amp;$J$2),13,0)),0,VLOOKUP($E6,INDIRECT("DSSP"&amp;$J$2),13,0)),0)</f>
        <v>1714741000</v>
      </c>
      <c r="C13" s="860">
        <f t="shared" ref="C13:H13" ca="1" si="0">C12</f>
        <v>1435616000</v>
      </c>
      <c r="D13" s="860">
        <f t="shared" ca="1" si="0"/>
        <v>0</v>
      </c>
      <c r="E13" s="860">
        <f t="shared" ca="1" si="0"/>
        <v>0</v>
      </c>
      <c r="F13" s="860">
        <f t="shared" ca="1" si="0"/>
        <v>0</v>
      </c>
      <c r="G13" s="860">
        <f t="shared" ca="1" si="0"/>
        <v>0</v>
      </c>
      <c r="H13" s="860">
        <f t="shared" ca="1" si="0"/>
        <v>15225000</v>
      </c>
      <c r="I13" s="854"/>
    </row>
    <row r="14" spans="1:10" s="853" customFormat="1" ht="24.75" customHeight="1">
      <c r="A14" s="859" t="s">
        <v>526</v>
      </c>
      <c r="B14" s="860">
        <f ca="1">B12-B13</f>
        <v>-263900000</v>
      </c>
      <c r="C14" s="860">
        <f t="shared" ref="C14:H14" ca="1" si="1">C12-C13</f>
        <v>0</v>
      </c>
      <c r="D14" s="860">
        <f t="shared" ca="1" si="1"/>
        <v>0</v>
      </c>
      <c r="E14" s="860">
        <f t="shared" ca="1" si="1"/>
        <v>0</v>
      </c>
      <c r="F14" s="860">
        <f t="shared" ca="1" si="1"/>
        <v>0</v>
      </c>
      <c r="G14" s="860">
        <f t="shared" ca="1" si="1"/>
        <v>0</v>
      </c>
      <c r="H14" s="860">
        <f t="shared" ca="1" si="1"/>
        <v>0</v>
      </c>
      <c r="I14" s="854"/>
    </row>
    <row r="15" spans="1:10" s="853" customFormat="1" ht="15">
      <c r="B15" s="854"/>
      <c r="C15" s="854"/>
      <c r="D15" s="854"/>
      <c r="E15" s="854"/>
      <c r="F15" s="854"/>
      <c r="G15" s="854"/>
      <c r="H15" s="854"/>
      <c r="I15" s="854"/>
    </row>
    <row r="16" spans="1:10" s="853" customFormat="1" ht="15">
      <c r="B16" s="854"/>
      <c r="C16" s="854"/>
      <c r="D16" s="854"/>
      <c r="E16" s="1551" t="str">
        <f xml:space="preserve"> IF(OR($J$2=1,$J$2=4,$J$2=6,$J$2=9,$J$2=11),"Ngày  30  tháng  "&amp;$J$2&amp;"  năm 2016",IF(OR($J$2=3,$J$2=5,$J$2=7,$J$2=8,$J$2=10,$J$2=12),"Ngày  31  tháng  "&amp;$J$2&amp;"  năm 2016","Ngày  29  tháng  "&amp;$J$2&amp;"  năm 2016"))</f>
        <v>Ngày  30  tháng  1  năm 2016</v>
      </c>
      <c r="F16" s="1551"/>
      <c r="G16" s="1551"/>
      <c r="H16" s="1551"/>
      <c r="I16" s="854"/>
    </row>
    <row r="17" spans="2:9" s="853" customFormat="1" ht="15">
      <c r="B17" s="657" t="s">
        <v>527</v>
      </c>
      <c r="C17" s="854"/>
      <c r="D17" s="854"/>
      <c r="E17" s="1551" t="s">
        <v>12</v>
      </c>
      <c r="F17" s="1551"/>
      <c r="G17" s="1551"/>
      <c r="H17" s="1551"/>
      <c r="I17" s="854"/>
    </row>
    <row r="19" spans="2:9" ht="15">
      <c r="E19" s="862"/>
    </row>
    <row r="26" spans="2:9">
      <c r="B26" s="832" t="s">
        <v>226</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N43"/>
  <sheetViews>
    <sheetView zoomScale="90" zoomScaleNormal="90" workbookViewId="0">
      <selection activeCell="N17" sqref="N17"/>
    </sheetView>
  </sheetViews>
  <sheetFormatPr defaultRowHeight="12.75"/>
  <cols>
    <col min="1" max="1" width="8.85546875" customWidth="1"/>
    <col min="2" max="2" width="23.5703125" customWidth="1"/>
    <col min="3" max="4" width="9.140625" hidden="1" customWidth="1"/>
    <col min="5" max="5" width="25"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62" t="s">
        <v>468</v>
      </c>
      <c r="B1" s="1562"/>
      <c r="C1" s="1562"/>
      <c r="D1" s="1562"/>
      <c r="E1" s="1562"/>
      <c r="F1" s="1562"/>
      <c r="G1" s="1562"/>
      <c r="H1" s="1562"/>
      <c r="I1" s="1562"/>
      <c r="J1" s="1563" t="s">
        <v>469</v>
      </c>
      <c r="K1" s="1564"/>
      <c r="L1" s="598"/>
      <c r="M1" s="598"/>
      <c r="N1" s="599"/>
    </row>
    <row r="2" spans="1:14" ht="15.75">
      <c r="A2" s="1562"/>
      <c r="B2" s="1562"/>
      <c r="C2" s="1562"/>
      <c r="D2" s="1562"/>
      <c r="E2" s="1562"/>
      <c r="F2" s="1562"/>
      <c r="G2" s="1562"/>
      <c r="H2" s="1562"/>
      <c r="I2" s="1562"/>
      <c r="J2" s="1565"/>
      <c r="K2" s="1566"/>
      <c r="L2" s="598"/>
      <c r="M2" s="598"/>
      <c r="N2" s="599"/>
    </row>
    <row r="3" spans="1:14" ht="15.75">
      <c r="A3" s="1562"/>
      <c r="B3" s="1562"/>
      <c r="C3" s="1562"/>
      <c r="D3" s="1562"/>
      <c r="E3" s="1562"/>
      <c r="F3" s="1562"/>
      <c r="G3" s="1562"/>
      <c r="H3" s="1562"/>
      <c r="I3" s="1562"/>
      <c r="J3" s="1565"/>
      <c r="K3" s="1566"/>
      <c r="L3" s="598"/>
      <c r="M3" s="598"/>
      <c r="N3" s="599"/>
    </row>
    <row r="4" spans="1:14" ht="27" customHeight="1">
      <c r="A4" s="1569" t="str">
        <f>"( " &amp; IF(OR($M$11=1,$M$11=4,$M$11=6,$M$11=9,$M$11=11),"Ngày  30  tháng  "&amp;$M$11&amp;"  năm 2017",IF(OR($M$11=3,$M$11=5,$M$11=7,$M$11=8,$M$11=10,$M$11=12),"Ngày  31  tháng  "&amp;$M$11&amp;"  năm 2017","Ngày  29  tháng  "&amp;$M$11&amp;"  năm 2017")) &amp; " ) "</f>
        <v xml:space="preserve">( Ngày  30  tháng  4  năm 2017 ) </v>
      </c>
      <c r="B4" s="1569"/>
      <c r="C4" s="1569"/>
      <c r="D4" s="1569"/>
      <c r="E4" s="1569"/>
      <c r="F4" s="1569"/>
      <c r="G4" s="1569"/>
      <c r="H4" s="1569"/>
      <c r="I4" s="1569"/>
      <c r="J4" s="1567"/>
      <c r="K4" s="1568"/>
      <c r="L4" s="598"/>
      <c r="M4" s="598"/>
      <c r="N4" s="599"/>
    </row>
    <row r="5" spans="1:14" ht="20.25">
      <c r="A5" s="600"/>
      <c r="B5" s="598"/>
      <c r="C5" s="598"/>
      <c r="D5" s="598"/>
      <c r="E5" s="874"/>
      <c r="F5" s="601"/>
      <c r="G5" s="598"/>
      <c r="H5" s="602"/>
      <c r="I5" s="602"/>
      <c r="J5" s="598"/>
      <c r="K5" s="598"/>
      <c r="L5" s="598"/>
      <c r="M5" s="599"/>
      <c r="N5" s="599"/>
    </row>
    <row r="6" spans="1:14" ht="15.75">
      <c r="A6" s="600" t="s">
        <v>470</v>
      </c>
      <c r="B6" s="598"/>
      <c r="C6" s="598"/>
      <c r="D6" s="598"/>
      <c r="E6" s="875"/>
      <c r="F6" s="598"/>
      <c r="G6" s="598" t="s">
        <v>471</v>
      </c>
      <c r="H6" s="602"/>
      <c r="I6" s="602"/>
      <c r="J6" s="598"/>
      <c r="K6" s="598"/>
      <c r="L6" s="598"/>
      <c r="M6" s="599"/>
      <c r="N6" s="599"/>
    </row>
    <row r="7" spans="1:14" ht="15.75">
      <c r="A7" s="600" t="s">
        <v>472</v>
      </c>
      <c r="B7" s="598"/>
      <c r="C7" s="598"/>
      <c r="D7" s="598"/>
      <c r="E7" s="875"/>
      <c r="F7" s="598"/>
      <c r="G7" s="598"/>
      <c r="H7" s="602"/>
      <c r="I7" s="602"/>
      <c r="J7" s="598"/>
      <c r="K7" s="598"/>
      <c r="L7" s="598"/>
      <c r="M7" s="599"/>
      <c r="N7" s="599"/>
    </row>
    <row r="8" spans="1:14" ht="15.75">
      <c r="A8" s="600" t="s">
        <v>473</v>
      </c>
      <c r="B8" s="598"/>
      <c r="C8" s="598"/>
      <c r="D8" s="598"/>
      <c r="E8" s="875"/>
      <c r="F8" s="598"/>
      <c r="G8" s="598"/>
      <c r="H8" s="602"/>
      <c r="I8" s="602"/>
      <c r="J8" s="598"/>
      <c r="K8" s="598"/>
      <c r="L8" s="598"/>
      <c r="M8" s="599"/>
      <c r="N8" s="599"/>
    </row>
    <row r="9" spans="1:14" ht="15.75">
      <c r="A9" s="600" t="s">
        <v>474</v>
      </c>
      <c r="B9" s="598"/>
      <c r="C9" s="598"/>
      <c r="D9" s="598"/>
      <c r="E9" s="875"/>
      <c r="F9" s="598"/>
      <c r="G9" s="598"/>
      <c r="H9" s="602"/>
      <c r="I9" s="602"/>
      <c r="J9" s="598"/>
      <c r="K9" s="598"/>
      <c r="L9" s="598"/>
      <c r="M9" s="599"/>
      <c r="N9" s="599"/>
    </row>
    <row r="10" spans="1:14" ht="16.5" thickBot="1">
      <c r="A10" s="600"/>
      <c r="B10" s="598"/>
      <c r="C10" s="598"/>
      <c r="D10" s="598"/>
      <c r="E10" s="875"/>
      <c r="F10" s="598"/>
      <c r="G10" s="598"/>
      <c r="H10" s="602"/>
      <c r="I10" s="602"/>
      <c r="J10" s="598"/>
      <c r="K10" s="598"/>
      <c r="L10" s="598"/>
      <c r="M10" s="603"/>
      <c r="N10" s="599"/>
    </row>
    <row r="11" spans="1:14" ht="15.75" thickBot="1">
      <c r="A11" s="1570" t="s">
        <v>529</v>
      </c>
      <c r="B11" s="1572" t="s">
        <v>475</v>
      </c>
      <c r="C11" s="1573"/>
      <c r="D11" s="1573"/>
      <c r="E11" s="1573"/>
      <c r="F11" s="1574"/>
      <c r="G11" s="1575" t="s">
        <v>476</v>
      </c>
      <c r="H11" s="1575"/>
      <c r="I11" s="1575"/>
      <c r="J11" s="1575"/>
      <c r="K11" s="1576" t="s">
        <v>151</v>
      </c>
      <c r="L11" s="604"/>
      <c r="M11" s="873">
        <v>4</v>
      </c>
      <c r="N11" s="606"/>
    </row>
    <row r="12" spans="1:14" ht="36" customHeight="1">
      <c r="A12" s="1571"/>
      <c r="B12" s="607" t="s">
        <v>477</v>
      </c>
      <c r="C12" s="607"/>
      <c r="D12" s="607" t="s">
        <v>478</v>
      </c>
      <c r="E12" s="607" t="s">
        <v>479</v>
      </c>
      <c r="F12" s="607" t="s">
        <v>480</v>
      </c>
      <c r="G12" s="607" t="s">
        <v>481</v>
      </c>
      <c r="H12" s="608" t="s">
        <v>433</v>
      </c>
      <c r="I12" s="608" t="s">
        <v>434</v>
      </c>
      <c r="J12" s="607" t="s">
        <v>482</v>
      </c>
      <c r="K12" s="1577"/>
      <c r="L12" s="609"/>
      <c r="M12" s="610"/>
      <c r="N12" s="610"/>
    </row>
    <row r="13" spans="1:14">
      <c r="A13" s="611" t="s">
        <v>171</v>
      </c>
      <c r="B13" s="612">
        <v>2</v>
      </c>
      <c r="C13" s="612"/>
      <c r="D13" s="612"/>
      <c r="E13" s="876">
        <v>3</v>
      </c>
      <c r="F13" s="612">
        <v>4</v>
      </c>
      <c r="G13" s="612">
        <v>5</v>
      </c>
      <c r="H13" s="613" t="s">
        <v>483</v>
      </c>
      <c r="I13" s="613" t="s">
        <v>484</v>
      </c>
      <c r="J13" s="612">
        <v>8</v>
      </c>
      <c r="K13" s="612">
        <v>9</v>
      </c>
      <c r="L13" s="614"/>
      <c r="M13" s="614"/>
      <c r="N13" s="614"/>
    </row>
    <row r="14" spans="1:14" ht="27" customHeight="1">
      <c r="A14" s="203">
        <f ca="1">IF(ROWS($1:1)&gt;COUNT(Dong13),"",OFFSET(TH!E$1,SMALL(Dong13,ROWS($1:1)),))</f>
        <v>42827</v>
      </c>
      <c r="B14" s="206" t="str">
        <f ca="1">IF(ROWS($1:1)&gt;COUNT(Dong13),"",OFFSET(TH!H$1,SMALL(Dong13,ROWS($1:1)),))</f>
        <v>Nguyễn Thị Ngọc Thanh</v>
      </c>
      <c r="C14" s="615" t="str">
        <f ca="1">IF(ISNA(VLOOKUP($B14,DSNL,6,0)),"",VLOOKUP($B14,DSNL,6,0))</f>
        <v>Nhiên</v>
      </c>
      <c r="D14" s="615" t="str">
        <f ca="1">IF(ROWS($1:1)&gt;COUNT(Dong13),"",OFFSET(TH!D$1,SMALL(Dong13,ROWS($1:1)),))</f>
        <v>NL/N01</v>
      </c>
      <c r="E14" s="877" t="str">
        <f t="shared" ref="E14:E30" ca="1" si="0">IF(ISNA(VLOOKUP($B14,DSNL,4,0)),"",VLOOKUP($B14,DSNL,4,0))</f>
        <v>Bình Thuận</v>
      </c>
      <c r="F14" s="616">
        <f t="shared" ref="F14:F30" ca="1" si="1">IF(ISNA(VLOOKUP($B14,DSNL,3,0)),"",VLOOKUP($B14,DSNL,3,0))</f>
        <v>0</v>
      </c>
      <c r="G14" s="617" t="str">
        <f ca="1">IF(ROWS($1:1)&gt;COUNT(Dong13),"",OFFSET(TH!F$1,SMALL(Dong13,ROWS($1:1)),))</f>
        <v>Cá cơm NL</v>
      </c>
      <c r="H14" s="618">
        <f ca="1">IF(ROWS($1:1)&gt;COUNT(Dong13),"",OFFSET(TH!I$1,SMALL(Dong13,ROWS($1:1)),))</f>
        <v>25740</v>
      </c>
      <c r="I14" s="618">
        <f ca="1">IF(ROWS($1:1)&gt;COUNT(Dong13),"",OFFSET(TH!J$1,SMALL(Dong13,ROWS($1:1)),))</f>
        <v>18000</v>
      </c>
      <c r="J14" s="619">
        <f ca="1">IF(B14&lt;&gt;"",H14*I14,0)</f>
        <v>463320000</v>
      </c>
      <c r="K14" s="619"/>
      <c r="L14" s="620"/>
      <c r="M14" s="599"/>
      <c r="N14" s="599"/>
    </row>
    <row r="15" spans="1:14" ht="27" customHeight="1">
      <c r="A15" s="203">
        <f ca="1">IF(ROWS($1:2)&gt;COUNT(Dong13),"",OFFSET(TH!E$1,SMALL(Dong13,ROWS($1:2)),))</f>
        <v>42827</v>
      </c>
      <c r="B15" s="206" t="str">
        <f ca="1">IF(ROWS($1:2)&gt;COUNT(Dong13),"",OFFSET(TH!H$1,SMALL(Dong13,ROWS($1:2)),))</f>
        <v>Hồ Thiên Trang</v>
      </c>
      <c r="C15" s="615">
        <f t="shared" ref="C15:C30" ca="1" si="2">IF(ISNA(VLOOKUP($B15,DSNL,6,0)),"",VLOOKUP($B15,DSNL,6,0))</f>
        <v>0</v>
      </c>
      <c r="D15" s="615" t="str">
        <f ca="1">IF(ROWS($1:2)&gt;COUNT(Dong13),"",OFFSET(TH!D$1,SMALL(Dong13,ROWS($1:2)),))</f>
        <v>NL/N02</v>
      </c>
      <c r="E15" s="877">
        <f t="shared" ca="1" si="0"/>
        <v>0</v>
      </c>
      <c r="F15" s="616" t="str">
        <f t="shared" ca="1" si="1"/>
        <v>142350805</v>
      </c>
      <c r="G15" s="617" t="str">
        <f ca="1">IF(ROWS($1:2)&gt;COUNT(Dong13),"",OFFSET(TH!F$1,SMALL(Dong13,ROWS($1:2)),))</f>
        <v>Cá cơm NL</v>
      </c>
      <c r="H15" s="618">
        <f ca="1">IF(ROWS($1:2)&gt;COUNT(Dong13),"",OFFSET(TH!I$1,SMALL(Dong13,ROWS($1:2)),))</f>
        <v>25630</v>
      </c>
      <c r="I15" s="618">
        <f ca="1">IF(ROWS($1:2)&gt;COUNT(Dong13),"",OFFSET(TH!J$1,SMALL(Dong13,ROWS($1:2)),))</f>
        <v>18000</v>
      </c>
      <c r="J15" s="619">
        <f t="shared" ref="J15:J30" ca="1" si="3">IF(B15&lt;&gt;"",H15*I15,0)</f>
        <v>461340000</v>
      </c>
      <c r="K15" s="621"/>
      <c r="L15" s="620"/>
      <c r="M15" s="599"/>
      <c r="N15" s="599"/>
    </row>
    <row r="16" spans="1:14" ht="27" customHeight="1">
      <c r="A16" s="203">
        <f ca="1">IF(ROWS($1:3)&gt;COUNT(Dong13),"",OFFSET(TH!E$1,SMALL(Dong13,ROWS($1:3)),))</f>
        <v>42827</v>
      </c>
      <c r="B16" s="206" t="str">
        <f ca="1">IF(ROWS($1:3)&gt;COUNT(Dong13),"",OFFSET(TH!H$1,SMALL(Dong13,ROWS($1:3)),))</f>
        <v>Hoàng Thăng Thành</v>
      </c>
      <c r="C16" s="615">
        <f t="shared" ca="1" si="2"/>
        <v>0</v>
      </c>
      <c r="D16" s="615" t="str">
        <f ca="1">IF(ROWS($1:3)&gt;COUNT(Dong13),"",OFFSET(TH!D$1,SMALL(Dong13,ROWS($1:3)),))</f>
        <v>NL/N03</v>
      </c>
      <c r="E16" s="877">
        <f t="shared" ca="1" si="0"/>
        <v>0</v>
      </c>
      <c r="F16" s="616">
        <f t="shared" ca="1" si="1"/>
        <v>0</v>
      </c>
      <c r="G16" s="617" t="str">
        <f ca="1">IF(ROWS($1:3)&gt;COUNT(Dong13),"",OFFSET(TH!F$1,SMALL(Dong13,ROWS($1:3)),))</f>
        <v>Cá cơm NL</v>
      </c>
      <c r="H16" s="618">
        <f ca="1">IF(ROWS($1:3)&gt;COUNT(Dong13),"",OFFSET(TH!I$1,SMALL(Dong13,ROWS($1:3)),))</f>
        <v>25860</v>
      </c>
      <c r="I16" s="618">
        <f ca="1">IF(ROWS($1:3)&gt;COUNT(Dong13),"",OFFSET(TH!J$1,SMALL(Dong13,ROWS($1:3)),))</f>
        <v>18000</v>
      </c>
      <c r="J16" s="619">
        <f t="shared" ca="1" si="3"/>
        <v>465480000</v>
      </c>
      <c r="K16" s="621"/>
      <c r="L16" s="620"/>
      <c r="M16" s="599"/>
      <c r="N16" s="599"/>
    </row>
    <row r="17" spans="1:14" ht="27" customHeight="1">
      <c r="A17" s="203">
        <f ca="1">IF(ROWS($1:4)&gt;COUNT(Dong13),"",OFFSET(TH!E$1,SMALL(Dong13,ROWS($1:4)),))</f>
        <v>42832</v>
      </c>
      <c r="B17" s="206" t="str">
        <f ca="1">IF(ROWS($1:4)&gt;COUNT(Dong13),"",OFFSET(TH!H$1,SMALL(Dong13,ROWS($1:4)),))</f>
        <v>Nguyễn Thị Ngọc Thanh</v>
      </c>
      <c r="C17" s="615" t="str">
        <f t="shared" ca="1" si="2"/>
        <v>Nhiên</v>
      </c>
      <c r="D17" s="615" t="str">
        <f ca="1">IF(ROWS($1:4)&gt;COUNT(Dong13),"",OFFSET(TH!D$1,SMALL(Dong13,ROWS($1:4)),))</f>
        <v>NL/N12</v>
      </c>
      <c r="E17" s="877" t="str">
        <f t="shared" ca="1" si="0"/>
        <v>Bình Thuận</v>
      </c>
      <c r="F17" s="616">
        <f t="shared" ca="1" si="1"/>
        <v>0</v>
      </c>
      <c r="G17" s="617" t="str">
        <f ca="1">IF(ROWS($1:4)&gt;COUNT(Dong13),"",OFFSET(TH!F$1,SMALL(Dong13,ROWS($1:4)),))</f>
        <v>Cá cơm NL</v>
      </c>
      <c r="H17" s="618">
        <f ca="1">IF(ROWS($1:4)&gt;COUNT(Dong13),"",OFFSET(TH!I$1,SMALL(Dong13,ROWS($1:4)),))</f>
        <v>26570</v>
      </c>
      <c r="I17" s="618">
        <f ca="1">IF(ROWS($1:4)&gt;COUNT(Dong13),"",OFFSET(TH!J$1,SMALL(Dong13,ROWS($1:4)),))</f>
        <v>18000</v>
      </c>
      <c r="J17" s="619">
        <f t="shared" ca="1" si="3"/>
        <v>478260000</v>
      </c>
      <c r="K17" s="621"/>
      <c r="L17" s="620"/>
      <c r="M17" s="599"/>
      <c r="N17" s="599"/>
    </row>
    <row r="18" spans="1:14" ht="27" customHeight="1">
      <c r="A18" s="203">
        <f ca="1">IF(ROWS($1:5)&gt;COUNT(Dong13),"",OFFSET(TH!E$1,SMALL(Dong13,ROWS($1:5)),))</f>
        <v>42832</v>
      </c>
      <c r="B18" s="206" t="str">
        <f ca="1">IF(ROWS($1:5)&gt;COUNT(Dong13),"",OFFSET(TH!H$1,SMALL(Dong13,ROWS($1:5)),))</f>
        <v>Long Đức Tâm</v>
      </c>
      <c r="C18" s="615">
        <f t="shared" ca="1" si="2"/>
        <v>0</v>
      </c>
      <c r="D18" s="615" t="str">
        <f ca="1">IF(ROWS($1:5)&gt;COUNT(Dong13),"",OFFSET(TH!D$1,SMALL(Dong13,ROWS($1:5)),))</f>
        <v>NL/N13</v>
      </c>
      <c r="E18" s="877">
        <f t="shared" ca="1" si="0"/>
        <v>0</v>
      </c>
      <c r="F18" s="616">
        <f t="shared" ca="1" si="1"/>
        <v>0</v>
      </c>
      <c r="G18" s="617" t="str">
        <f ca="1">IF(ROWS($1:5)&gt;COUNT(Dong13),"",OFFSET(TH!F$1,SMALL(Dong13,ROWS($1:5)),))</f>
        <v>Cá cơm NL</v>
      </c>
      <c r="H18" s="618">
        <f ca="1">IF(ROWS($1:5)&gt;COUNT(Dong13),"",OFFSET(TH!I$1,SMALL(Dong13,ROWS($1:5)),))</f>
        <v>25631</v>
      </c>
      <c r="I18" s="618">
        <f ca="1">IF(ROWS($1:5)&gt;COUNT(Dong13),"",OFFSET(TH!J$1,SMALL(Dong13,ROWS($1:5)),))</f>
        <v>18000</v>
      </c>
      <c r="J18" s="619">
        <f t="shared" ca="1" si="3"/>
        <v>461358000</v>
      </c>
      <c r="K18" s="621"/>
      <c r="L18" s="620"/>
      <c r="M18" s="599"/>
      <c r="N18" s="599"/>
    </row>
    <row r="19" spans="1:14" ht="27" customHeight="1">
      <c r="A19" s="203">
        <f ca="1">IF(ROWS($1:6)&gt;COUNT(Dong13),"",OFFSET(TH!E$1,SMALL(Dong13,ROWS($1:6)),))</f>
        <v>42832</v>
      </c>
      <c r="B19" s="206" t="str">
        <f ca="1">IF(ROWS($1:6)&gt;COUNT(Dong13),"",OFFSET(TH!H$1,SMALL(Dong13,ROWS($1:6)),))</f>
        <v>Nguyễn Văn Quốc</v>
      </c>
      <c r="C19" s="615" t="str">
        <f t="shared" ca="1" si="2"/>
        <v>Hai</v>
      </c>
      <c r="D19" s="615" t="str">
        <f ca="1">IF(ROWS($1:6)&gt;COUNT(Dong13),"",OFFSET(TH!D$1,SMALL(Dong13,ROWS($1:6)),))</f>
        <v>NL/N14</v>
      </c>
      <c r="E19" s="877" t="str">
        <f t="shared" ca="1" si="0"/>
        <v>Bình Thuận</v>
      </c>
      <c r="F19" s="616">
        <f t="shared" ca="1" si="1"/>
        <v>0</v>
      </c>
      <c r="G19" s="617" t="str">
        <f ca="1">IF(ROWS($1:6)&gt;COUNT(Dong13),"",OFFSET(TH!F$1,SMALL(Dong13,ROWS($1:6)),))</f>
        <v>Cá cơm NL</v>
      </c>
      <c r="H19" s="618">
        <f ca="1">IF(ROWS($1:6)&gt;COUNT(Dong13),"",OFFSET(TH!I$1,SMALL(Dong13,ROWS($1:6)),))</f>
        <v>25740</v>
      </c>
      <c r="I19" s="618">
        <f ca="1">IF(ROWS($1:6)&gt;COUNT(Dong13),"",OFFSET(TH!J$1,SMALL(Dong13,ROWS($1:6)),))</f>
        <v>18000</v>
      </c>
      <c r="J19" s="619">
        <f t="shared" ca="1" si="3"/>
        <v>463320000</v>
      </c>
      <c r="K19" s="621"/>
      <c r="L19" s="620"/>
      <c r="M19" s="599"/>
      <c r="N19" s="599"/>
    </row>
    <row r="20" spans="1:14" ht="31.5" customHeight="1">
      <c r="A20" s="203">
        <f ca="1">IF(ROWS($1:7)&gt;COUNT(Dong13),"",OFFSET(TH!E$1,SMALL(Dong13,ROWS($1:7)),))</f>
        <v>42832</v>
      </c>
      <c r="B20" s="206" t="str">
        <f ca="1">IF(ROWS($1:7)&gt;COUNT(Dong13),"",OFFSET(TH!H$1,SMALL(Dong13,ROWS($1:7)),))</f>
        <v>Trần Thanh Hợi</v>
      </c>
      <c r="C20" s="615" t="str">
        <f t="shared" ca="1" si="2"/>
        <v>Hai</v>
      </c>
      <c r="D20" s="615" t="str">
        <f ca="1">IF(ROWS($1:7)&gt;COUNT(Dong13),"",OFFSET(TH!D$1,SMALL(Dong13,ROWS($1:7)),))</f>
        <v>NL/N15</v>
      </c>
      <c r="E20" s="877" t="str">
        <f t="shared" ca="1" si="0"/>
        <v>Bình Thuận</v>
      </c>
      <c r="F20" s="616">
        <f t="shared" ca="1" si="1"/>
        <v>0</v>
      </c>
      <c r="G20" s="617" t="str">
        <f ca="1">IF(ROWS($1:7)&gt;COUNT(Dong13),"",OFFSET(TH!F$1,SMALL(Dong13,ROWS($1:7)),))</f>
        <v>Cá cơm NL</v>
      </c>
      <c r="H20" s="618">
        <f ca="1">IF(ROWS($1:7)&gt;COUNT(Dong13),"",OFFSET(TH!I$1,SMALL(Dong13,ROWS($1:7)),))</f>
        <v>25980</v>
      </c>
      <c r="I20" s="618">
        <f ca="1">IF(ROWS($1:7)&gt;COUNT(Dong13),"",OFFSET(TH!J$1,SMALL(Dong13,ROWS($1:7)),))</f>
        <v>18000</v>
      </c>
      <c r="J20" s="619">
        <f t="shared" ca="1" si="3"/>
        <v>467640000</v>
      </c>
      <c r="K20" s="621"/>
      <c r="L20" s="620"/>
      <c r="M20" s="599"/>
      <c r="N20" s="599"/>
    </row>
    <row r="21" spans="1:14" ht="27" customHeight="1">
      <c r="A21" s="203">
        <f ca="1">IF(ROWS($1:8)&gt;COUNT(Dong13),"",OFFSET(TH!E$1,SMALL(Dong13,ROWS($1:8)),))</f>
        <v>42832</v>
      </c>
      <c r="B21" s="206" t="str">
        <f ca="1">IF(ROWS($1:8)&gt;COUNT(Dong13),"",OFFSET(TH!H$1,SMALL(Dong13,ROWS($1:8)),))</f>
        <v>Nguyễn Thị Cúc</v>
      </c>
      <c r="C21" s="615" t="str">
        <f t="shared" ca="1" si="2"/>
        <v>Nhiên</v>
      </c>
      <c r="D21" s="615" t="str">
        <f ca="1">IF(ROWS($1:8)&gt;COUNT(Dong13),"",OFFSET(TH!D$1,SMALL(Dong13,ROWS($1:8)),))</f>
        <v>NL/N16</v>
      </c>
      <c r="E21" s="877" t="str">
        <f t="shared" ca="1" si="0"/>
        <v>Bình Thuận</v>
      </c>
      <c r="F21" s="616">
        <f t="shared" ca="1" si="1"/>
        <v>0</v>
      </c>
      <c r="G21" s="617" t="str">
        <f ca="1">IF(ROWS($1:8)&gt;COUNT(Dong13),"",OFFSET(TH!F$1,SMALL(Dong13,ROWS($1:8)),))</f>
        <v>Cá cơm NL</v>
      </c>
      <c r="H21" s="618">
        <f ca="1">IF(ROWS($1:8)&gt;COUNT(Dong13),"",OFFSET(TH!I$1,SMALL(Dong13,ROWS($1:8)),))</f>
        <v>26750</v>
      </c>
      <c r="I21" s="618">
        <f ca="1">IF(ROWS($1:8)&gt;COUNT(Dong13),"",OFFSET(TH!J$1,SMALL(Dong13,ROWS($1:8)),))</f>
        <v>18000</v>
      </c>
      <c r="J21" s="619">
        <f t="shared" ca="1" si="3"/>
        <v>481500000</v>
      </c>
      <c r="K21" s="621"/>
      <c r="L21" s="620"/>
      <c r="M21" s="599"/>
      <c r="N21" s="599"/>
    </row>
    <row r="22" spans="1:14" ht="27" customHeight="1">
      <c r="A22" s="203">
        <f ca="1">IF(ROWS($1:9)&gt;COUNT(Dong13),"",OFFSET(TH!E$1,SMALL(Dong13,ROWS($1:9)),))</f>
        <v>42836</v>
      </c>
      <c r="B22" s="206" t="str">
        <f ca="1">IF(ROWS($1:9)&gt;COUNT(Dong13),"",OFFSET(TH!H$1,SMALL(Dong13,ROWS($1:9)),))</f>
        <v>Nguyễn Minh Tâm</v>
      </c>
      <c r="C22" s="615" t="str">
        <f t="shared" ca="1" si="2"/>
        <v>Nhiên</v>
      </c>
      <c r="D22" s="615" t="str">
        <f ca="1">IF(ROWS($1:9)&gt;COUNT(Dong13),"",OFFSET(TH!D$1,SMALL(Dong13,ROWS($1:9)),))</f>
        <v>NL/N20</v>
      </c>
      <c r="E22" s="877" t="str">
        <f t="shared" ca="1" si="0"/>
        <v>Bình Thuận</v>
      </c>
      <c r="F22" s="616">
        <f t="shared" ca="1" si="1"/>
        <v>0</v>
      </c>
      <c r="G22" s="617" t="str">
        <f ca="1">IF(ROWS($1:9)&gt;COUNT(Dong13),"",OFFSET(TH!F$1,SMALL(Dong13,ROWS($1:9)),))</f>
        <v>Cá cơm NL</v>
      </c>
      <c r="H22" s="618">
        <f ca="1">IF(ROWS($1:9)&gt;COUNT(Dong13),"",OFFSET(TH!I$1,SMALL(Dong13,ROWS($1:9)),))</f>
        <v>25780</v>
      </c>
      <c r="I22" s="618">
        <f ca="1">IF(ROWS($1:9)&gt;COUNT(Dong13),"",OFFSET(TH!J$1,SMALL(Dong13,ROWS($1:9)),))</f>
        <v>18000</v>
      </c>
      <c r="J22" s="619">
        <f t="shared" ca="1" si="3"/>
        <v>464040000</v>
      </c>
      <c r="K22" s="621"/>
      <c r="L22" s="620"/>
      <c r="M22" s="599"/>
      <c r="N22" s="599"/>
    </row>
    <row r="23" spans="1:14" ht="27" customHeight="1">
      <c r="A23" s="203">
        <f ca="1">IF(ROWS($1:10)&gt;COUNT(Dong13),"",OFFSET(TH!E$1,SMALL(Dong13,ROWS($1:10)),))</f>
        <v>42836</v>
      </c>
      <c r="B23" s="206" t="str">
        <f ca="1">IF(ROWS($1:10)&gt;COUNT(Dong13),"",OFFSET(TH!H$1,SMALL(Dong13,ROWS($1:10)),))</f>
        <v>Long Đức Tâm</v>
      </c>
      <c r="C23" s="615">
        <f t="shared" ca="1" si="2"/>
        <v>0</v>
      </c>
      <c r="D23" s="615" t="str">
        <f ca="1">IF(ROWS($1:10)&gt;COUNT(Dong13),"",OFFSET(TH!D$1,SMALL(Dong13,ROWS($1:10)),))</f>
        <v>NL/N21</v>
      </c>
      <c r="E23" s="877">
        <f t="shared" ca="1" si="0"/>
        <v>0</v>
      </c>
      <c r="F23" s="616">
        <f t="shared" ca="1" si="1"/>
        <v>0</v>
      </c>
      <c r="G23" s="617" t="str">
        <f ca="1">IF(ROWS($1:10)&gt;COUNT(Dong13),"",OFFSET(TH!F$1,SMALL(Dong13,ROWS($1:10)),))</f>
        <v>Cá cơm NL</v>
      </c>
      <c r="H23" s="618">
        <f ca="1">IF(ROWS($1:10)&gt;COUNT(Dong13),"",OFFSET(TH!I$1,SMALL(Dong13,ROWS($1:10)),))</f>
        <v>25640</v>
      </c>
      <c r="I23" s="618">
        <f ca="1">IF(ROWS($1:10)&gt;COUNT(Dong13),"",OFFSET(TH!J$1,SMALL(Dong13,ROWS($1:10)),))</f>
        <v>18000</v>
      </c>
      <c r="J23" s="619">
        <f t="shared" ca="1" si="3"/>
        <v>461520000</v>
      </c>
      <c r="K23" s="621"/>
      <c r="L23" s="620"/>
      <c r="M23" s="599"/>
      <c r="N23" s="599"/>
    </row>
    <row r="24" spans="1:14" ht="27" customHeight="1">
      <c r="A24" s="203">
        <f ca="1">IF(ROWS($1:11)&gt;COUNT(Dong13),"",OFFSET(TH!E$1,SMALL(Dong13,ROWS($1:11)),))</f>
        <v>42836</v>
      </c>
      <c r="B24" s="206" t="str">
        <f ca="1">IF(ROWS($1:11)&gt;COUNT(Dong13),"",OFFSET(TH!H$1,SMALL(Dong13,ROWS($1:11)),))</f>
        <v>Trần Thị Bích Vân</v>
      </c>
      <c r="C24" s="615" t="str">
        <f t="shared" ca="1" si="2"/>
        <v>Hai</v>
      </c>
      <c r="D24" s="615" t="str">
        <f ca="1">IF(ROWS($1:11)&gt;COUNT(Dong13),"",OFFSET(TH!D$1,SMALL(Dong13,ROWS($1:11)),))</f>
        <v>NL/N22</v>
      </c>
      <c r="E24" s="877" t="str">
        <f t="shared" ca="1" si="0"/>
        <v>Bình Thuận</v>
      </c>
      <c r="F24" s="616">
        <f t="shared" ca="1" si="1"/>
        <v>0</v>
      </c>
      <c r="G24" s="617" t="str">
        <f ca="1">IF(ROWS($1:11)&gt;COUNT(Dong13),"",OFFSET(TH!F$1,SMALL(Dong13,ROWS($1:11)),))</f>
        <v>Cá cơm NL</v>
      </c>
      <c r="H24" s="618">
        <f ca="1">IF(ROWS($1:11)&gt;COUNT(Dong13),"",OFFSET(TH!I$1,SMALL(Dong13,ROWS($1:11)),))</f>
        <v>26540</v>
      </c>
      <c r="I24" s="618">
        <f ca="1">IF(ROWS($1:11)&gt;COUNT(Dong13),"",OFFSET(TH!J$1,SMALL(Dong13,ROWS($1:11)),))</f>
        <v>18000</v>
      </c>
      <c r="J24" s="619">
        <f t="shared" ca="1" si="3"/>
        <v>477720000</v>
      </c>
      <c r="K24" s="621"/>
      <c r="L24" s="620"/>
      <c r="M24" s="599"/>
      <c r="N24" s="599"/>
    </row>
    <row r="25" spans="1:14" ht="27" customHeight="1">
      <c r="A25" s="203">
        <f ca="1">IF(ROWS($1:12)&gt;COUNT(Dong13),"",OFFSET(TH!E$1,SMALL(Dong13,ROWS($1:12)),))</f>
        <v>42836</v>
      </c>
      <c r="B25" s="206" t="str">
        <f ca="1">IF(ROWS($1:12)&gt;COUNT(Dong13),"",OFFSET(TH!H$1,SMALL(Dong13,ROWS($1:12)),))</f>
        <v>Hồ Thiên Trang</v>
      </c>
      <c r="C25" s="615">
        <f t="shared" ca="1" si="2"/>
        <v>0</v>
      </c>
      <c r="D25" s="615" t="str">
        <f ca="1">IF(ROWS($1:12)&gt;COUNT(Dong13),"",OFFSET(TH!D$1,SMALL(Dong13,ROWS($1:12)),))</f>
        <v>NL/N23</v>
      </c>
      <c r="E25" s="877">
        <f t="shared" ca="1" si="0"/>
        <v>0</v>
      </c>
      <c r="F25" s="616" t="str">
        <f t="shared" ca="1" si="1"/>
        <v>142350805</v>
      </c>
      <c r="G25" s="617" t="str">
        <f ca="1">IF(ROWS($1:12)&gt;COUNT(Dong13),"",OFFSET(TH!F$1,SMALL(Dong13,ROWS($1:12)),))</f>
        <v>Cá cơm NL</v>
      </c>
      <c r="H25" s="618">
        <f ca="1">IF(ROWS($1:12)&gt;COUNT(Dong13),"",OFFSET(TH!I$1,SMALL(Dong13,ROWS($1:12)),))</f>
        <v>25790</v>
      </c>
      <c r="I25" s="618">
        <f ca="1">IF(ROWS($1:12)&gt;COUNT(Dong13),"",OFFSET(TH!J$1,SMALL(Dong13,ROWS($1:12)),))</f>
        <v>18000</v>
      </c>
      <c r="J25" s="619">
        <f t="shared" ca="1" si="3"/>
        <v>464220000</v>
      </c>
      <c r="K25" s="621"/>
      <c r="L25" s="620"/>
      <c r="M25" s="599"/>
      <c r="N25" s="599"/>
    </row>
    <row r="26" spans="1:14" ht="27" customHeight="1">
      <c r="A26" s="203">
        <f ca="1">IF(ROWS($1:13)&gt;COUNT(Dong13),"",OFFSET(TH!E$1,SMALL(Dong13,ROWS($1:13)),))</f>
        <v>42836</v>
      </c>
      <c r="B26" s="206" t="str">
        <f ca="1">IF(ROWS($1:13)&gt;COUNT(Dong13),"",OFFSET(TH!H$1,SMALL(Dong13,ROWS($1:13)),))</f>
        <v>Nguyễn Thị Ngọc Thanh</v>
      </c>
      <c r="C26" s="615" t="str">
        <f t="shared" ca="1" si="2"/>
        <v>Nhiên</v>
      </c>
      <c r="D26" s="615" t="str">
        <f ca="1">IF(ROWS($1:13)&gt;COUNT(Dong13),"",OFFSET(TH!D$1,SMALL(Dong13,ROWS($1:13)),))</f>
        <v>NL/N24</v>
      </c>
      <c r="E26" s="877" t="str">
        <f t="shared" ca="1" si="0"/>
        <v>Bình Thuận</v>
      </c>
      <c r="F26" s="616">
        <f t="shared" ca="1" si="1"/>
        <v>0</v>
      </c>
      <c r="G26" s="617" t="str">
        <f ca="1">IF(ROWS($1:13)&gt;COUNT(Dong13),"",OFFSET(TH!F$1,SMALL(Dong13,ROWS($1:13)),))</f>
        <v>Cá cơm NL</v>
      </c>
      <c r="H26" s="618">
        <f ca="1">IF(ROWS($1:13)&gt;COUNT(Dong13),"",OFFSET(TH!I$1,SMALL(Dong13,ROWS($1:13)),))</f>
        <v>26141</v>
      </c>
      <c r="I26" s="618">
        <f ca="1">IF(ROWS($1:13)&gt;COUNT(Dong13),"",OFFSET(TH!J$1,SMALL(Dong13,ROWS($1:13)),))</f>
        <v>18000</v>
      </c>
      <c r="J26" s="619">
        <f t="shared" ca="1" si="3"/>
        <v>470538000</v>
      </c>
      <c r="K26" s="621"/>
      <c r="L26" s="620"/>
      <c r="M26" s="599"/>
      <c r="N26" s="599"/>
    </row>
    <row r="27" spans="1:14" ht="27" customHeight="1">
      <c r="A27" s="203">
        <f ca="1">IF(ROWS($1:14)&gt;COUNT(Dong13),"",OFFSET(TH!E$1,SMALL(Dong13,ROWS($1:14)),))</f>
        <v>42830</v>
      </c>
      <c r="B27" s="206" t="str">
        <f ca="1">IF(ROWS($1:14)&gt;COUNT(Dong13),"",OFFSET(TH!H$1,SMALL(Dong13,ROWS($1:14)),))</f>
        <v>Hồ Thiên Trang</v>
      </c>
      <c r="C27" s="615">
        <f t="shared" ca="1" si="2"/>
        <v>0</v>
      </c>
      <c r="D27" s="615" t="str">
        <f ca="1">IF(ROWS($1:14)&gt;COUNT(Dong13),"",OFFSET(TH!D$1,SMALL(Dong13,ROWS($1:14)),))</f>
        <v>NL/N07</v>
      </c>
      <c r="E27" s="877">
        <f t="shared" ca="1" si="0"/>
        <v>0</v>
      </c>
      <c r="F27" s="616" t="str">
        <f t="shared" ca="1" si="1"/>
        <v>142350805</v>
      </c>
      <c r="G27" s="617" t="str">
        <f ca="1">IF(ROWS($1:14)&gt;COUNT(Dong13),"",OFFSET(TH!F$1,SMALL(Dong13,ROWS($1:14)),))</f>
        <v>Cá cơm NL</v>
      </c>
      <c r="H27" s="618">
        <f ca="1">IF(ROWS($1:14)&gt;COUNT(Dong13),"",OFFSET(TH!I$1,SMALL(Dong13,ROWS($1:14)),))</f>
        <v>24750</v>
      </c>
      <c r="I27" s="618">
        <f ca="1">IF(ROWS($1:14)&gt;COUNT(Dong13),"",OFFSET(TH!J$1,SMALL(Dong13,ROWS($1:14)),))</f>
        <v>18500</v>
      </c>
      <c r="J27" s="619">
        <f t="shared" ca="1" si="3"/>
        <v>457875000</v>
      </c>
      <c r="K27" s="621"/>
      <c r="L27" s="620"/>
      <c r="M27" s="599"/>
      <c r="N27" s="599"/>
    </row>
    <row r="28" spans="1:14" ht="27" customHeight="1">
      <c r="A28" s="203">
        <f ca="1">IF(ROWS($1:15)&gt;COUNT(Dong13),"",OFFSET(TH!E$1,SMALL(Dong13,ROWS($1:15)),))</f>
        <v>42830</v>
      </c>
      <c r="B28" s="206" t="str">
        <f ca="1">IF(ROWS($1:15)&gt;COUNT(Dong13),"",OFFSET(TH!H$1,SMALL(Dong13,ROWS($1:15)),))</f>
        <v>Long Đức Tâm</v>
      </c>
      <c r="C28" s="615">
        <f t="shared" ca="1" si="2"/>
        <v>0</v>
      </c>
      <c r="D28" s="615" t="str">
        <f ca="1">IF(ROWS($1:15)&gt;COUNT(Dong13),"",OFFSET(TH!D$1,SMALL(Dong13,ROWS($1:15)),))</f>
        <v>NL/N08</v>
      </c>
      <c r="E28" s="877">
        <f t="shared" ca="1" si="0"/>
        <v>0</v>
      </c>
      <c r="F28" s="616">
        <f t="shared" ca="1" si="1"/>
        <v>0</v>
      </c>
      <c r="G28" s="617" t="str">
        <f ca="1">IF(ROWS($1:15)&gt;COUNT(Dong13),"",OFFSET(TH!F$1,SMALL(Dong13,ROWS($1:15)),))</f>
        <v>Cá cơm NL</v>
      </c>
      <c r="H28" s="618">
        <f ca="1">IF(ROWS($1:15)&gt;COUNT(Dong13),"",OFFSET(TH!I$1,SMALL(Dong13,ROWS($1:15)),))</f>
        <v>24760</v>
      </c>
      <c r="I28" s="618">
        <f ca="1">IF(ROWS($1:15)&gt;COUNT(Dong13),"",OFFSET(TH!J$1,SMALL(Dong13,ROWS($1:15)),))</f>
        <v>18500</v>
      </c>
      <c r="J28" s="619">
        <f t="shared" ca="1" si="3"/>
        <v>458060000</v>
      </c>
      <c r="K28" s="621"/>
      <c r="L28" s="620"/>
      <c r="M28" s="599"/>
      <c r="N28" s="599"/>
    </row>
    <row r="29" spans="1:14" ht="27" customHeight="1">
      <c r="A29" s="203">
        <f ca="1">IF(ROWS($1:16)&gt;COUNT(Dong13),"",OFFSET(TH!E$1,SMALL(Dong13,ROWS($1:16)),))</f>
        <v>42830</v>
      </c>
      <c r="B29" s="206" t="str">
        <f ca="1">IF(ROWS($1:16)&gt;COUNT(Dong13),"",OFFSET(TH!H$1,SMALL(Dong13,ROWS($1:16)),))</f>
        <v>Trần Thanh Hợi</v>
      </c>
      <c r="C29" s="615" t="str">
        <f t="shared" ca="1" si="2"/>
        <v>Hai</v>
      </c>
      <c r="D29" s="615" t="str">
        <f ca="1">IF(ROWS($1:16)&gt;COUNT(Dong13),"",OFFSET(TH!D$1,SMALL(Dong13,ROWS($1:16)),))</f>
        <v>NL/N09</v>
      </c>
      <c r="E29" s="877" t="str">
        <f t="shared" ca="1" si="0"/>
        <v>Bình Thuận</v>
      </c>
      <c r="F29" s="616">
        <f t="shared" ca="1" si="1"/>
        <v>0</v>
      </c>
      <c r="G29" s="617" t="str">
        <f ca="1">IF(ROWS($1:16)&gt;COUNT(Dong13),"",OFFSET(TH!F$1,SMALL(Dong13,ROWS($1:16)),))</f>
        <v>Cá cơm NL</v>
      </c>
      <c r="H29" s="618">
        <f ca="1">IF(ROWS($1:16)&gt;COUNT(Dong13),"",OFFSET(TH!I$1,SMALL(Dong13,ROWS($1:16)),))</f>
        <v>24860</v>
      </c>
      <c r="I29" s="618">
        <f ca="1">IF(ROWS($1:16)&gt;COUNT(Dong13),"",OFFSET(TH!J$1,SMALL(Dong13,ROWS($1:16)),))</f>
        <v>18500</v>
      </c>
      <c r="J29" s="619">
        <f t="shared" ca="1" si="3"/>
        <v>459910000</v>
      </c>
      <c r="K29" s="621"/>
      <c r="L29" s="620"/>
      <c r="M29" s="599"/>
      <c r="N29" s="599"/>
    </row>
    <row r="30" spans="1:14" ht="27" customHeight="1">
      <c r="A30" s="203">
        <f ca="1">IF(ROWS($1:17)&gt;COUNT(Dong13),"",OFFSET(TH!E$1,SMALL(Dong13,ROWS($1:17)),))</f>
        <v>42830</v>
      </c>
      <c r="B30" s="206" t="str">
        <f ca="1">IF(ROWS($1:17)&gt;COUNT(Dong13),"",OFFSET(TH!H$1,SMALL(Dong13,ROWS($1:17)),))</f>
        <v>Hồ Thiên Trang</v>
      </c>
      <c r="C30" s="615">
        <f t="shared" ca="1" si="2"/>
        <v>0</v>
      </c>
      <c r="D30" s="615" t="str">
        <f ca="1">IF(ROWS($1:17)&gt;COUNT(Dong13),"",OFFSET(TH!D$1,SMALL(Dong13,ROWS($1:17)),))</f>
        <v>NL/N10</v>
      </c>
      <c r="E30" s="877">
        <f t="shared" ca="1" si="0"/>
        <v>0</v>
      </c>
      <c r="F30" s="616" t="str">
        <f t="shared" ca="1" si="1"/>
        <v>142350805</v>
      </c>
      <c r="G30" s="617" t="str">
        <f ca="1">IF(ROWS($1:17)&gt;COUNT(Dong13),"",OFFSET(TH!F$1,SMALL(Dong13,ROWS($1:17)),))</f>
        <v>Cá cơm NL</v>
      </c>
      <c r="H30" s="618">
        <f ca="1">IF(ROWS($1:17)&gt;COUNT(Dong13),"",OFFSET(TH!I$1,SMALL(Dong13,ROWS($1:17)),))</f>
        <v>24860</v>
      </c>
      <c r="I30" s="618">
        <f ca="1">IF(ROWS($1:17)&gt;COUNT(Dong13),"",OFFSET(TH!J$1,SMALL(Dong13,ROWS($1:17)),))</f>
        <v>18500</v>
      </c>
      <c r="J30" s="619">
        <f t="shared" ca="1" si="3"/>
        <v>459910000</v>
      </c>
      <c r="K30" s="621"/>
      <c r="L30" s="620"/>
      <c r="M30" s="599"/>
      <c r="N30" s="599"/>
    </row>
    <row r="31" spans="1:14" ht="27" customHeight="1">
      <c r="A31" s="203"/>
      <c r="B31" s="206"/>
      <c r="C31" s="615"/>
      <c r="D31" s="615"/>
      <c r="E31" s="877"/>
      <c r="F31" s="616"/>
      <c r="G31" s="617"/>
      <c r="H31" s="618"/>
      <c r="I31" s="618"/>
      <c r="J31" s="619"/>
      <c r="K31" s="621"/>
      <c r="L31" s="620"/>
      <c r="M31" s="599"/>
      <c r="N31" s="599"/>
    </row>
    <row r="32" spans="1:14" ht="28.5" customHeight="1">
      <c r="A32" s="600" t="s">
        <v>485</v>
      </c>
      <c r="B32" s="598"/>
      <c r="C32" s="598"/>
      <c r="D32" s="598"/>
      <c r="E32" s="878">
        <f ca="1">SUM(J14:J31)</f>
        <v>7916011000</v>
      </c>
      <c r="F32" s="622"/>
      <c r="G32" s="598"/>
      <c r="H32" s="602"/>
      <c r="I32" s="602"/>
      <c r="J32" s="623"/>
      <c r="K32" s="598"/>
      <c r="L32" s="598"/>
      <c r="M32" s="599"/>
      <c r="N32" s="624">
        <f ca="1">SUBTOTAL(9,J14:J31)</f>
        <v>7916011000</v>
      </c>
    </row>
    <row r="33" spans="1:14" ht="15.75">
      <c r="A33" s="600"/>
      <c r="B33" s="598"/>
      <c r="C33" s="598"/>
      <c r="D33" s="598"/>
      <c r="E33" s="879"/>
      <c r="F33" s="602"/>
      <c r="G33" s="598"/>
      <c r="H33" s="602"/>
      <c r="I33" s="602"/>
      <c r="J33" s="626" t="str">
        <f xml:space="preserve"> IF(OR($M$11=1,$M$11=4,$M$11=6,$M$11=9,$M$11=11),"Ngày  30  tháng  "&amp;$M$11&amp;"  năm 2017",IF(OR($M$11=3,$M$11=5,$M$11=7,$M$11=8,$M$11=10,$M$11=12),"Ngày  31  tháng  "&amp;$M$11&amp;"  năm 2017","Ngày  29  tháng  "&amp;$M$11&amp;"  năm 2017"))</f>
        <v>Ngày  30  tháng  4  năm 2017</v>
      </c>
      <c r="K33" s="627"/>
      <c r="L33" s="598"/>
      <c r="M33" s="599"/>
      <c r="N33" s="599"/>
    </row>
    <row r="34" spans="1:14" ht="15.75">
      <c r="A34" s="600"/>
      <c r="B34" s="628" t="s">
        <v>486</v>
      </c>
      <c r="C34" s="628"/>
      <c r="D34" s="628"/>
      <c r="E34" s="875"/>
      <c r="F34" s="598"/>
      <c r="G34" s="598"/>
      <c r="H34" s="602"/>
      <c r="I34" s="602"/>
      <c r="J34" s="629" t="s">
        <v>487</v>
      </c>
      <c r="K34" s="598"/>
      <c r="L34" s="598"/>
      <c r="M34" s="599"/>
      <c r="N34" s="599"/>
    </row>
    <row r="35" spans="1:14" ht="15.75">
      <c r="A35" s="600"/>
      <c r="B35" s="630" t="s">
        <v>488</v>
      </c>
      <c r="C35" s="630"/>
      <c r="D35" s="630"/>
      <c r="E35" s="875"/>
      <c r="F35" s="631"/>
      <c r="G35" s="598"/>
      <c r="H35" s="602"/>
      <c r="I35" s="602"/>
      <c r="J35" s="632" t="s">
        <v>489</v>
      </c>
      <c r="K35" s="598"/>
      <c r="L35" s="598"/>
      <c r="M35" s="599"/>
      <c r="N35" s="599"/>
    </row>
    <row r="36" spans="1:14" ht="15.75">
      <c r="A36" s="600"/>
      <c r="B36" s="630"/>
      <c r="C36" s="630"/>
      <c r="D36" s="630"/>
      <c r="E36" s="875"/>
      <c r="F36" s="631"/>
      <c r="G36" s="598"/>
      <c r="H36" s="602"/>
      <c r="I36" s="632"/>
      <c r="J36" s="598"/>
      <c r="K36" s="598"/>
      <c r="L36" s="598"/>
      <c r="M36" s="599"/>
      <c r="N36" s="599"/>
    </row>
    <row r="37" spans="1:14" ht="15.75">
      <c r="A37" s="600"/>
      <c r="B37" s="630"/>
      <c r="C37" s="630"/>
      <c r="D37" s="630"/>
      <c r="E37" s="875"/>
      <c r="F37" s="631"/>
      <c r="G37" s="598"/>
      <c r="H37" s="602"/>
      <c r="I37" s="632"/>
      <c r="J37" s="598"/>
      <c r="K37" s="598"/>
      <c r="L37" s="598"/>
      <c r="M37" s="599"/>
      <c r="N37" s="599"/>
    </row>
    <row r="38" spans="1:14" ht="15.75">
      <c r="A38" s="600"/>
      <c r="B38" s="625"/>
      <c r="C38" s="598"/>
      <c r="D38" s="598"/>
      <c r="E38" s="875"/>
      <c r="F38" s="625"/>
      <c r="G38" s="598"/>
      <c r="H38" s="602"/>
      <c r="I38" s="602"/>
      <c r="J38" s="423"/>
      <c r="K38" s="598"/>
      <c r="L38" s="598"/>
      <c r="M38" s="599"/>
      <c r="N38" s="599"/>
    </row>
    <row r="39" spans="1:14" ht="15.75">
      <c r="A39" s="600"/>
      <c r="B39" s="633"/>
      <c r="C39" s="633"/>
      <c r="D39" s="633"/>
      <c r="E39" s="880"/>
      <c r="F39" s="598"/>
      <c r="G39" s="598"/>
      <c r="H39" s="1559"/>
      <c r="I39" s="1559"/>
      <c r="J39" s="1559"/>
      <c r="K39" s="598"/>
      <c r="L39" s="598"/>
      <c r="M39" s="599"/>
      <c r="N39" s="599"/>
    </row>
    <row r="40" spans="1:14" ht="15.75">
      <c r="A40" s="600"/>
      <c r="B40" s="869" t="s">
        <v>226</v>
      </c>
      <c r="C40" s="872"/>
      <c r="D40" s="598"/>
      <c r="E40" s="875"/>
      <c r="F40" s="598"/>
      <c r="G40" s="598"/>
      <c r="H40" s="602"/>
      <c r="I40" s="602"/>
      <c r="J40" s="870" t="s">
        <v>124</v>
      </c>
      <c r="K40" s="870"/>
      <c r="L40" s="870"/>
      <c r="M40" s="870"/>
      <c r="N40" s="599"/>
    </row>
    <row r="41" spans="1:14" ht="15.75">
      <c r="A41" s="634" t="s">
        <v>490</v>
      </c>
      <c r="B41" s="598"/>
      <c r="C41" s="598"/>
      <c r="D41" s="598"/>
      <c r="E41" s="875"/>
      <c r="F41" s="598"/>
      <c r="G41" s="598"/>
      <c r="H41" s="602"/>
      <c r="I41" s="602"/>
      <c r="J41" s="598"/>
      <c r="K41" s="598"/>
      <c r="L41" s="598"/>
      <c r="M41" s="599"/>
      <c r="N41" s="599"/>
    </row>
    <row r="42" spans="1:14" ht="37.5" customHeight="1">
      <c r="A42" s="1560" t="s">
        <v>491</v>
      </c>
      <c r="B42" s="1561"/>
      <c r="C42" s="1561"/>
      <c r="D42" s="1561"/>
      <c r="E42" s="1561"/>
      <c r="F42" s="1561"/>
      <c r="G42" s="1561"/>
      <c r="H42" s="1561"/>
      <c r="I42" s="1561"/>
      <c r="J42" s="1561"/>
      <c r="K42" s="1561"/>
      <c r="L42" s="598"/>
      <c r="M42" s="599"/>
      <c r="N42" s="599"/>
    </row>
    <row r="43" spans="1:14" ht="45" customHeight="1">
      <c r="A43" s="1560" t="s">
        <v>492</v>
      </c>
      <c r="B43" s="1560"/>
      <c r="C43" s="1560"/>
      <c r="D43" s="1560"/>
      <c r="E43" s="1560"/>
      <c r="F43" s="1560"/>
      <c r="G43" s="1560"/>
      <c r="H43" s="1560"/>
      <c r="I43" s="1560"/>
      <c r="J43" s="1560"/>
      <c r="K43" s="1560"/>
      <c r="L43" s="598"/>
      <c r="M43" s="599"/>
      <c r="N43" s="599"/>
    </row>
  </sheetData>
  <autoFilter ref="A13:N35"/>
  <mergeCells count="10">
    <mergeCell ref="H39:J39"/>
    <mergeCell ref="A42:K42"/>
    <mergeCell ref="A43:K43"/>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80"/>
  <sheetViews>
    <sheetView topLeftCell="A10" workbookViewId="0">
      <pane ySplit="3" topLeftCell="A13" activePane="bottomLeft" state="frozen"/>
      <selection activeCell="P41" sqref="P41"/>
      <selection pane="bottomLeft" activeCell="R27" sqref="R27"/>
    </sheetView>
  </sheetViews>
  <sheetFormatPr defaultRowHeight="12.75"/>
  <cols>
    <col min="1" max="1" width="4.140625" style="754" customWidth="1"/>
    <col min="2" max="2" width="9.140625" style="754" customWidth="1"/>
    <col min="3" max="3" width="9" style="755" customWidth="1"/>
    <col min="4" max="4" width="28.140625" style="754" customWidth="1"/>
    <col min="5" max="5" width="9.140625" style="754" customWidth="1"/>
    <col min="6" max="6" width="9.28515625" style="755" customWidth="1"/>
    <col min="7" max="7" width="9" style="754" customWidth="1"/>
    <col min="8" max="8" width="14.5703125" style="754" customWidth="1"/>
    <col min="9" max="9" width="6" style="754" customWidth="1"/>
    <col min="10" max="10" width="14.140625" style="754" customWidth="1"/>
    <col min="11" max="11" width="14.85546875" style="756" customWidth="1"/>
    <col min="12" max="12" width="14.42578125" style="754" customWidth="1"/>
    <col min="13" max="13" width="5.85546875" style="754" customWidth="1"/>
    <col min="14" max="14" width="7.42578125" style="754" customWidth="1"/>
    <col min="15" max="15" width="11.7109375" style="754" customWidth="1"/>
    <col min="16" max="16" width="4.5703125" style="833" customWidth="1"/>
    <col min="17" max="16384" width="9.140625" style="754"/>
  </cols>
  <sheetData>
    <row r="1" spans="1:16" ht="15" customHeight="1">
      <c r="A1" s="753" t="s">
        <v>624</v>
      </c>
      <c r="M1" s="757"/>
      <c r="N1" s="758" t="s">
        <v>625</v>
      </c>
      <c r="O1" s="757"/>
    </row>
    <row r="2" spans="1:16" ht="15" customHeight="1">
      <c r="A2" s="753" t="s">
        <v>626</v>
      </c>
      <c r="L2" s="756"/>
      <c r="M2" s="756"/>
      <c r="N2" s="759" t="s">
        <v>309</v>
      </c>
      <c r="O2" s="756"/>
    </row>
    <row r="3" spans="1:16" ht="15" customHeight="1">
      <c r="L3" s="756"/>
      <c r="M3" s="756"/>
      <c r="N3" s="759" t="s">
        <v>234</v>
      </c>
      <c r="O3" s="756"/>
    </row>
    <row r="5" spans="1:16" s="760" customFormat="1" ht="24" customHeight="1">
      <c r="A5" s="1578" t="s">
        <v>627</v>
      </c>
      <c r="B5" s="1578"/>
      <c r="C5" s="1578"/>
      <c r="D5" s="1578"/>
      <c r="E5" s="1578"/>
      <c r="F5" s="1578"/>
      <c r="G5" s="1578"/>
      <c r="H5" s="1578"/>
      <c r="I5" s="1578"/>
      <c r="J5" s="1578"/>
      <c r="K5" s="1578"/>
      <c r="L5" s="1578"/>
      <c r="M5" s="1578"/>
      <c r="N5" s="1578"/>
      <c r="O5" s="1578"/>
      <c r="P5" s="834"/>
    </row>
    <row r="6" spans="1:16" s="760" customFormat="1" ht="21" customHeight="1">
      <c r="A6" s="1579" t="s">
        <v>684</v>
      </c>
      <c r="B6" s="1579"/>
      <c r="C6" s="1579"/>
      <c r="D6" s="1579"/>
      <c r="E6" s="1579"/>
      <c r="F6" s="1579"/>
      <c r="G6" s="1579"/>
      <c r="H6" s="1579"/>
      <c r="I6" s="1579"/>
      <c r="J6" s="1579"/>
      <c r="K6" s="1579"/>
      <c r="L6" s="1579"/>
      <c r="M6" s="1579"/>
      <c r="N6" s="1579"/>
      <c r="O6" s="1579"/>
      <c r="P6" s="834"/>
    </row>
    <row r="7" spans="1:16" s="760" customFormat="1" ht="21" customHeight="1">
      <c r="A7" s="1580" t="s">
        <v>692</v>
      </c>
      <c r="B7" s="1580"/>
      <c r="C7" s="1580"/>
      <c r="D7" s="1580"/>
      <c r="E7" s="1580"/>
      <c r="F7" s="1580"/>
      <c r="G7" s="1580"/>
      <c r="H7" s="1580"/>
      <c r="I7" s="1580"/>
      <c r="J7" s="1580"/>
      <c r="K7" s="1580"/>
      <c r="L7" s="1580"/>
      <c r="M7" s="1580"/>
      <c r="N7" s="1580"/>
      <c r="O7" s="1580"/>
      <c r="P7" s="834"/>
    </row>
    <row r="8" spans="1:16">
      <c r="D8" s="755"/>
    </row>
    <row r="9" spans="1:16" s="761" customFormat="1" ht="24" customHeight="1">
      <c r="A9" s="1581" t="s">
        <v>461</v>
      </c>
      <c r="B9" s="1584" t="s">
        <v>628</v>
      </c>
      <c r="C9" s="1585"/>
      <c r="D9" s="1585"/>
      <c r="E9" s="1585"/>
      <c r="F9" s="1585"/>
      <c r="G9" s="1585"/>
      <c r="H9" s="1586"/>
      <c r="I9" s="1584" t="s">
        <v>629</v>
      </c>
      <c r="J9" s="1585"/>
      <c r="K9" s="1585"/>
      <c r="L9" s="1586"/>
      <c r="M9" s="1587" t="s">
        <v>630</v>
      </c>
      <c r="N9" s="1587"/>
      <c r="O9" s="1587"/>
      <c r="P9" s="835"/>
    </row>
    <row r="10" spans="1:16" s="761" customFormat="1" ht="24" customHeight="1">
      <c r="A10" s="1582"/>
      <c r="B10" s="1584" t="s">
        <v>631</v>
      </c>
      <c r="C10" s="1586"/>
      <c r="D10" s="1581" t="s">
        <v>632</v>
      </c>
      <c r="E10" s="1581" t="s">
        <v>633</v>
      </c>
      <c r="F10" s="1581" t="s">
        <v>634</v>
      </c>
      <c r="G10" s="1581" t="s">
        <v>635</v>
      </c>
      <c r="H10" s="1581" t="s">
        <v>636</v>
      </c>
      <c r="I10" s="1584" t="s">
        <v>637</v>
      </c>
      <c r="J10" s="1586"/>
      <c r="K10" s="1588" t="s">
        <v>638</v>
      </c>
      <c r="L10" s="1581" t="s">
        <v>639</v>
      </c>
      <c r="M10" s="1587" t="s">
        <v>631</v>
      </c>
      <c r="N10" s="1587"/>
      <c r="O10" s="1587" t="s">
        <v>640</v>
      </c>
      <c r="P10" s="835"/>
    </row>
    <row r="11" spans="1:16" s="761" customFormat="1" ht="55.5" customHeight="1">
      <c r="A11" s="1583"/>
      <c r="B11" s="762" t="s">
        <v>641</v>
      </c>
      <c r="C11" s="762" t="s">
        <v>462</v>
      </c>
      <c r="D11" s="1583"/>
      <c r="E11" s="1583"/>
      <c r="F11" s="1583"/>
      <c r="G11" s="1583"/>
      <c r="H11" s="1583"/>
      <c r="I11" s="762" t="s">
        <v>642</v>
      </c>
      <c r="J11" s="762" t="s">
        <v>643</v>
      </c>
      <c r="K11" s="1589"/>
      <c r="L11" s="1583"/>
      <c r="M11" s="762" t="s">
        <v>17</v>
      </c>
      <c r="N11" s="762" t="s">
        <v>462</v>
      </c>
      <c r="O11" s="1587"/>
      <c r="P11" s="835"/>
    </row>
    <row r="12" spans="1:16" s="765" customFormat="1" ht="13.5">
      <c r="A12" s="763" t="s">
        <v>2</v>
      </c>
      <c r="B12" s="763" t="s">
        <v>3</v>
      </c>
      <c r="C12" s="763" t="s">
        <v>4</v>
      </c>
      <c r="D12" s="763" t="s">
        <v>5</v>
      </c>
      <c r="E12" s="763" t="s">
        <v>6</v>
      </c>
      <c r="F12" s="763" t="s">
        <v>155</v>
      </c>
      <c r="G12" s="763" t="s">
        <v>644</v>
      </c>
      <c r="H12" s="763">
        <v>1</v>
      </c>
      <c r="I12" s="763">
        <v>2</v>
      </c>
      <c r="J12" s="763">
        <v>3</v>
      </c>
      <c r="K12" s="764"/>
      <c r="L12" s="763">
        <v>4</v>
      </c>
      <c r="M12" s="763" t="s">
        <v>645</v>
      </c>
      <c r="N12" s="763" t="s">
        <v>646</v>
      </c>
      <c r="O12" s="763" t="s">
        <v>647</v>
      </c>
      <c r="P12" s="836"/>
    </row>
    <row r="13" spans="1:16" s="765" customFormat="1" ht="21.75" customHeight="1">
      <c r="A13" s="793" t="s">
        <v>645</v>
      </c>
      <c r="B13" s="794" t="s">
        <v>687</v>
      </c>
      <c r="C13" s="793"/>
      <c r="D13" s="793"/>
      <c r="E13" s="793"/>
      <c r="F13" s="793"/>
      <c r="G13" s="793"/>
      <c r="H13" s="800"/>
      <c r="I13" s="800"/>
      <c r="J13" s="800"/>
      <c r="K13" s="800"/>
      <c r="L13" s="800"/>
      <c r="M13" s="793"/>
      <c r="N13" s="793"/>
      <c r="O13" s="793"/>
      <c r="P13" s="836" t="str">
        <f>IF(D13='THE-TS'!$D$11,"x","")</f>
        <v/>
      </c>
    </row>
    <row r="14" spans="1:16" ht="21.75" customHeight="1">
      <c r="A14" s="792">
        <v>1</v>
      </c>
      <c r="B14" s="805" t="s">
        <v>694</v>
      </c>
      <c r="C14" s="767">
        <v>40543</v>
      </c>
      <c r="D14" s="311" t="s">
        <v>648</v>
      </c>
      <c r="E14" s="641" t="s">
        <v>649</v>
      </c>
      <c r="F14" s="807" t="s">
        <v>717</v>
      </c>
      <c r="G14" s="838" t="s">
        <v>1070</v>
      </c>
      <c r="H14" s="381">
        <v>1101349856</v>
      </c>
      <c r="I14" s="381">
        <v>25</v>
      </c>
      <c r="J14" s="8">
        <v>44053994</v>
      </c>
      <c r="K14" s="8">
        <v>264323964</v>
      </c>
      <c r="L14" s="8">
        <f>K14+J14</f>
        <v>308377958</v>
      </c>
      <c r="M14" s="641"/>
      <c r="N14" s="641"/>
      <c r="O14" s="210"/>
      <c r="P14" s="836" t="str">
        <f>IF(D14='THE-TS'!$D$11,"x","")</f>
        <v>x</v>
      </c>
    </row>
    <row r="15" spans="1:16" ht="21.75" customHeight="1">
      <c r="A15" s="792">
        <v>2</v>
      </c>
      <c r="B15" s="805" t="s">
        <v>695</v>
      </c>
      <c r="C15" s="767">
        <v>40543</v>
      </c>
      <c r="D15" s="311" t="s">
        <v>650</v>
      </c>
      <c r="E15" s="641" t="s">
        <v>649</v>
      </c>
      <c r="F15" s="807" t="s">
        <v>717</v>
      </c>
      <c r="G15" s="838" t="s">
        <v>1071</v>
      </c>
      <c r="H15" s="381">
        <v>1712810212</v>
      </c>
      <c r="I15" s="381">
        <v>5</v>
      </c>
      <c r="J15" s="8"/>
      <c r="K15" s="8">
        <v>1712810212</v>
      </c>
      <c r="L15" s="8">
        <f t="shared" ref="L15:L34" si="0">K15+J15</f>
        <v>1712810212</v>
      </c>
      <c r="M15" s="788"/>
      <c r="N15" s="641"/>
      <c r="O15" s="210"/>
      <c r="P15" s="836" t="str">
        <f>IF(D15='THE-TS'!$D$11,"x","")</f>
        <v/>
      </c>
    </row>
    <row r="16" spans="1:16" ht="21.75" customHeight="1">
      <c r="A16" s="792">
        <v>3</v>
      </c>
      <c r="B16" s="805" t="s">
        <v>696</v>
      </c>
      <c r="C16" s="767">
        <v>40543</v>
      </c>
      <c r="D16" s="311" t="s">
        <v>651</v>
      </c>
      <c r="E16" s="641" t="s">
        <v>649</v>
      </c>
      <c r="F16" s="807" t="s">
        <v>717</v>
      </c>
      <c r="G16" s="838" t="s">
        <v>1072</v>
      </c>
      <c r="H16" s="381">
        <v>4567613580</v>
      </c>
      <c r="I16" s="381">
        <v>25</v>
      </c>
      <c r="J16" s="8">
        <v>182704543</v>
      </c>
      <c r="K16" s="8">
        <v>1096227258</v>
      </c>
      <c r="L16" s="8">
        <f t="shared" si="0"/>
        <v>1278931801</v>
      </c>
      <c r="M16" s="641"/>
      <c r="N16" s="641"/>
      <c r="O16" s="210"/>
      <c r="P16" s="836" t="str">
        <f>IF(D16='THE-TS'!$D$11,"x","")</f>
        <v/>
      </c>
    </row>
    <row r="17" spans="1:16" ht="21.75" customHeight="1">
      <c r="A17" s="792">
        <v>4</v>
      </c>
      <c r="B17" s="806" t="s">
        <v>697</v>
      </c>
      <c r="C17" s="767">
        <v>41425</v>
      </c>
      <c r="D17" s="311" t="s">
        <v>652</v>
      </c>
      <c r="E17" s="641" t="s">
        <v>649</v>
      </c>
      <c r="F17" s="807" t="s">
        <v>712</v>
      </c>
      <c r="G17" s="838" t="s">
        <v>1073</v>
      </c>
      <c r="H17" s="381">
        <v>108970000</v>
      </c>
      <c r="I17" s="801">
        <v>5</v>
      </c>
      <c r="J17" s="8">
        <v>21794000</v>
      </c>
      <c r="K17" s="8">
        <v>78095167</v>
      </c>
      <c r="L17" s="8">
        <f t="shared" ref="L17" si="1">K17+J17</f>
        <v>99889167</v>
      </c>
      <c r="M17" s="641"/>
      <c r="N17" s="641"/>
      <c r="O17" s="210"/>
      <c r="P17" s="836" t="str">
        <f>IF(D17='THE-TS'!$D$11,"x","")</f>
        <v/>
      </c>
    </row>
    <row r="18" spans="1:16" ht="21.75" customHeight="1">
      <c r="A18" s="792">
        <v>5</v>
      </c>
      <c r="B18" s="806" t="s">
        <v>1074</v>
      </c>
      <c r="C18" s="767">
        <v>42551</v>
      </c>
      <c r="D18" s="311" t="s">
        <v>1069</v>
      </c>
      <c r="E18" s="641" t="s">
        <v>649</v>
      </c>
      <c r="F18" s="807" t="s">
        <v>1075</v>
      </c>
      <c r="G18" s="838" t="s">
        <v>1076</v>
      </c>
      <c r="H18" s="381">
        <v>279617893</v>
      </c>
      <c r="I18" s="801">
        <v>10</v>
      </c>
      <c r="J18" s="8">
        <v>27961789</v>
      </c>
      <c r="K18" s="8">
        <v>16311044</v>
      </c>
      <c r="L18" s="8">
        <f t="shared" si="0"/>
        <v>44272833</v>
      </c>
      <c r="M18" s="641"/>
      <c r="N18" s="641"/>
      <c r="O18" s="210"/>
      <c r="P18" s="836" t="str">
        <f>IF(D18='THE-TS'!$D$11,"x","")</f>
        <v/>
      </c>
    </row>
    <row r="19" spans="1:16" s="765" customFormat="1" ht="21.75" customHeight="1">
      <c r="A19" s="791" t="s">
        <v>688</v>
      </c>
      <c r="B19" s="795" t="s">
        <v>689</v>
      </c>
      <c r="C19" s="791"/>
      <c r="D19" s="791"/>
      <c r="E19" s="791"/>
      <c r="F19" s="791"/>
      <c r="G19" s="838"/>
      <c r="H19" s="802"/>
      <c r="I19" s="802"/>
      <c r="J19" s="802"/>
      <c r="K19" s="802"/>
      <c r="L19" s="8"/>
      <c r="M19" s="791"/>
      <c r="N19" s="791"/>
      <c r="O19" s="210"/>
      <c r="P19" s="836" t="str">
        <f>IF(D19='THE-TS'!$D$11,"x","")</f>
        <v/>
      </c>
    </row>
    <row r="20" spans="1:16" ht="21.75" customHeight="1">
      <c r="A20" s="792">
        <v>1</v>
      </c>
      <c r="B20" s="807" t="s">
        <v>701</v>
      </c>
      <c r="C20" s="767">
        <v>40543</v>
      </c>
      <c r="D20" s="311" t="s">
        <v>656</v>
      </c>
      <c r="E20" s="641"/>
      <c r="F20" s="807" t="s">
        <v>717</v>
      </c>
      <c r="G20" s="838" t="str">
        <f t="shared" ref="G20:G34" si="2">RIGHT(B20,5)</f>
        <v>02/10</v>
      </c>
      <c r="H20" s="381">
        <v>210000000</v>
      </c>
      <c r="I20" s="381">
        <v>5</v>
      </c>
      <c r="J20" s="8"/>
      <c r="K20" s="8">
        <v>210000000</v>
      </c>
      <c r="L20" s="8">
        <f t="shared" si="0"/>
        <v>210000000</v>
      </c>
      <c r="M20" s="788"/>
      <c r="N20" s="641"/>
      <c r="O20" s="210"/>
      <c r="P20" s="836" t="str">
        <f>IF(D20='THE-TS'!$D$11,"x","")</f>
        <v/>
      </c>
    </row>
    <row r="21" spans="1:16" ht="21.75" customHeight="1">
      <c r="A21" s="792">
        <v>2</v>
      </c>
      <c r="B21" s="805" t="s">
        <v>702</v>
      </c>
      <c r="C21" s="767">
        <v>40543</v>
      </c>
      <c r="D21" s="311" t="s">
        <v>657</v>
      </c>
      <c r="E21" s="641" t="s">
        <v>649</v>
      </c>
      <c r="F21" s="807" t="s">
        <v>717</v>
      </c>
      <c r="G21" s="838" t="str">
        <f t="shared" si="2"/>
        <v>06/10</v>
      </c>
      <c r="H21" s="381">
        <v>2787898863</v>
      </c>
      <c r="I21" s="381">
        <v>5</v>
      </c>
      <c r="J21" s="8"/>
      <c r="K21" s="8">
        <v>2787898863</v>
      </c>
      <c r="L21" s="8">
        <f t="shared" si="0"/>
        <v>2787898863</v>
      </c>
      <c r="M21" s="788"/>
      <c r="N21" s="641"/>
      <c r="O21" s="210"/>
      <c r="P21" s="836" t="str">
        <f>IF(D21='THE-TS'!$D$11,"x","")</f>
        <v/>
      </c>
    </row>
    <row r="22" spans="1:16" ht="21.75" customHeight="1">
      <c r="A22" s="792">
        <v>3</v>
      </c>
      <c r="B22" s="805" t="s">
        <v>703</v>
      </c>
      <c r="C22" s="767">
        <v>41883</v>
      </c>
      <c r="D22" s="311" t="s">
        <v>658</v>
      </c>
      <c r="E22" s="641"/>
      <c r="F22" s="807" t="s">
        <v>713</v>
      </c>
      <c r="G22" s="838" t="str">
        <f t="shared" si="2"/>
        <v>12/14</v>
      </c>
      <c r="H22" s="381">
        <v>150000000</v>
      </c>
      <c r="I22" s="801">
        <v>3</v>
      </c>
      <c r="J22" s="8">
        <v>37500000</v>
      </c>
      <c r="K22" s="8">
        <v>112500000</v>
      </c>
      <c r="L22" s="8">
        <f t="shared" si="0"/>
        <v>150000000</v>
      </c>
      <c r="M22" s="788"/>
      <c r="N22" s="210"/>
      <c r="O22" s="210"/>
      <c r="P22" s="836" t="str">
        <f>IF(D22='THE-TS'!$D$11,"x","")</f>
        <v/>
      </c>
    </row>
    <row r="23" spans="1:16" ht="21.75" customHeight="1">
      <c r="A23" s="792">
        <v>4</v>
      </c>
      <c r="B23" s="805" t="s">
        <v>704</v>
      </c>
      <c r="C23" s="767">
        <v>41883</v>
      </c>
      <c r="D23" s="311" t="s">
        <v>659</v>
      </c>
      <c r="E23" s="641"/>
      <c r="F23" s="807" t="s">
        <v>713</v>
      </c>
      <c r="G23" s="838" t="str">
        <f t="shared" si="2"/>
        <v>13/14</v>
      </c>
      <c r="H23" s="381">
        <v>80000000</v>
      </c>
      <c r="I23" s="801">
        <v>3</v>
      </c>
      <c r="J23" s="8">
        <v>19999999</v>
      </c>
      <c r="K23" s="8">
        <v>60000001</v>
      </c>
      <c r="L23" s="8">
        <f t="shared" si="0"/>
        <v>80000000</v>
      </c>
      <c r="M23" s="788"/>
      <c r="N23" s="641"/>
      <c r="O23" s="210"/>
      <c r="P23" s="836" t="str">
        <f>IF(D23='THE-TS'!$D$11,"x","")</f>
        <v/>
      </c>
    </row>
    <row r="24" spans="1:16" ht="21.75" customHeight="1">
      <c r="A24" s="792">
        <v>5</v>
      </c>
      <c r="B24" s="805" t="s">
        <v>705</v>
      </c>
      <c r="C24" s="767">
        <v>41890</v>
      </c>
      <c r="D24" s="311" t="s">
        <v>660</v>
      </c>
      <c r="E24" s="641"/>
      <c r="F24" s="807" t="s">
        <v>713</v>
      </c>
      <c r="G24" s="838" t="str">
        <f t="shared" si="2"/>
        <v>14/14</v>
      </c>
      <c r="H24" s="381">
        <v>50000000</v>
      </c>
      <c r="I24" s="801">
        <v>3</v>
      </c>
      <c r="J24" s="8">
        <v>12499999</v>
      </c>
      <c r="K24" s="8">
        <v>37500001</v>
      </c>
      <c r="L24" s="8">
        <f t="shared" si="0"/>
        <v>50000000</v>
      </c>
      <c r="M24" s="788"/>
      <c r="N24" s="641"/>
      <c r="O24" s="210"/>
      <c r="P24" s="836" t="str">
        <f>IF(D24='THE-TS'!$D$11,"x","")</f>
        <v/>
      </c>
    </row>
    <row r="25" spans="1:16" ht="21.75" customHeight="1">
      <c r="A25" s="792">
        <v>6</v>
      </c>
      <c r="B25" s="805" t="s">
        <v>706</v>
      </c>
      <c r="C25" s="767">
        <v>41890</v>
      </c>
      <c r="D25" s="311" t="s">
        <v>661</v>
      </c>
      <c r="E25" s="641"/>
      <c r="F25" s="807" t="s">
        <v>713</v>
      </c>
      <c r="G25" s="838" t="str">
        <f t="shared" si="2"/>
        <v>15/14</v>
      </c>
      <c r="H25" s="381">
        <v>100000000</v>
      </c>
      <c r="I25" s="801">
        <v>5</v>
      </c>
      <c r="J25" s="8">
        <v>20000000</v>
      </c>
      <c r="K25" s="8">
        <v>45000000</v>
      </c>
      <c r="L25" s="8">
        <f t="shared" si="0"/>
        <v>65000000</v>
      </c>
      <c r="M25" s="788"/>
      <c r="N25" s="641"/>
      <c r="O25" s="210"/>
      <c r="P25" s="836" t="str">
        <f>IF(D25='THE-TS'!$D$11,"x","")</f>
        <v/>
      </c>
    </row>
    <row r="26" spans="1:16" ht="21.75" customHeight="1">
      <c r="A26" s="792">
        <v>7</v>
      </c>
      <c r="B26" s="805" t="s">
        <v>707</v>
      </c>
      <c r="C26" s="767">
        <v>41890</v>
      </c>
      <c r="D26" s="311" t="s">
        <v>662</v>
      </c>
      <c r="E26" s="641"/>
      <c r="F26" s="807" t="s">
        <v>713</v>
      </c>
      <c r="G26" s="838" t="str">
        <f t="shared" si="2"/>
        <v>16/14</v>
      </c>
      <c r="H26" s="381">
        <v>100000000</v>
      </c>
      <c r="I26" s="801">
        <v>5</v>
      </c>
      <c r="J26" s="8">
        <v>20000000</v>
      </c>
      <c r="K26" s="8">
        <v>45000000</v>
      </c>
      <c r="L26" s="8">
        <f t="shared" si="0"/>
        <v>65000000</v>
      </c>
      <c r="M26" s="788"/>
      <c r="N26" s="641"/>
      <c r="O26" s="210"/>
      <c r="P26" s="836" t="str">
        <f>IF(D26='THE-TS'!$D$11,"x","")</f>
        <v/>
      </c>
    </row>
    <row r="27" spans="1:16" ht="21.75" customHeight="1">
      <c r="A27" s="792">
        <v>8</v>
      </c>
      <c r="B27" s="805" t="s">
        <v>708</v>
      </c>
      <c r="C27" s="767">
        <v>41890</v>
      </c>
      <c r="D27" s="311" t="s">
        <v>663</v>
      </c>
      <c r="E27" s="641"/>
      <c r="F27" s="807" t="s">
        <v>713</v>
      </c>
      <c r="G27" s="838" t="str">
        <f t="shared" si="2"/>
        <v>17/14</v>
      </c>
      <c r="H27" s="381">
        <v>110000000</v>
      </c>
      <c r="I27" s="801">
        <v>5</v>
      </c>
      <c r="J27" s="8">
        <v>22000000</v>
      </c>
      <c r="K27" s="8">
        <v>49500000</v>
      </c>
      <c r="L27" s="8">
        <f t="shared" si="0"/>
        <v>71500000</v>
      </c>
      <c r="M27" s="788"/>
      <c r="N27" s="641"/>
      <c r="O27" s="210"/>
      <c r="P27" s="836" t="str">
        <f>IF(D27='THE-TS'!$D$11,"x","")</f>
        <v/>
      </c>
    </row>
    <row r="28" spans="1:16" ht="21.75" customHeight="1">
      <c r="A28" s="792">
        <v>8</v>
      </c>
      <c r="B28" s="805" t="s">
        <v>708</v>
      </c>
      <c r="C28" s="767">
        <v>41890</v>
      </c>
      <c r="D28" s="311" t="s">
        <v>663</v>
      </c>
      <c r="E28" s="641"/>
      <c r="F28" s="807" t="s">
        <v>713</v>
      </c>
      <c r="G28" s="838" t="str">
        <f>RIGHT(B28,5)</f>
        <v>17/14</v>
      </c>
      <c r="H28" s="381">
        <v>110000000</v>
      </c>
      <c r="I28" s="801">
        <v>5</v>
      </c>
      <c r="J28" s="8">
        <v>22000000</v>
      </c>
      <c r="K28" s="8">
        <v>49500000</v>
      </c>
      <c r="L28" s="8">
        <f t="shared" si="0"/>
        <v>71500000</v>
      </c>
      <c r="M28" s="788"/>
      <c r="N28" s="641"/>
      <c r="O28" s="210"/>
      <c r="P28" s="836" t="str">
        <f>IF(D28='THE-TS'!$D$11,"x","")</f>
        <v/>
      </c>
    </row>
    <row r="29" spans="1:16" ht="21.75" customHeight="1">
      <c r="A29" s="792">
        <v>8</v>
      </c>
      <c r="B29" s="805" t="s">
        <v>708</v>
      </c>
      <c r="C29" s="767">
        <v>41890</v>
      </c>
      <c r="D29" s="311" t="s">
        <v>663</v>
      </c>
      <c r="E29" s="641"/>
      <c r="F29" s="807" t="s">
        <v>713</v>
      </c>
      <c r="G29" s="838" t="str">
        <f t="shared" ref="G29" si="3">RIGHT(B29,5)</f>
        <v>17/14</v>
      </c>
      <c r="H29" s="381">
        <v>110000000</v>
      </c>
      <c r="I29" s="801">
        <v>5</v>
      </c>
      <c r="J29" s="8">
        <v>22000000</v>
      </c>
      <c r="K29" s="8">
        <v>49500000</v>
      </c>
      <c r="L29" s="8">
        <f t="shared" si="0"/>
        <v>71500000</v>
      </c>
      <c r="M29" s="788"/>
      <c r="N29" s="641"/>
      <c r="O29" s="210"/>
      <c r="P29" s="836" t="str">
        <f>IF(D29='THE-TS'!$D$11,"x","")</f>
        <v/>
      </c>
    </row>
    <row r="30" spans="1:16" ht="21.75" customHeight="1">
      <c r="A30" s="792">
        <v>8</v>
      </c>
      <c r="B30" s="805" t="s">
        <v>2905</v>
      </c>
      <c r="C30" s="767">
        <v>42998</v>
      </c>
      <c r="D30" s="311" t="s">
        <v>2125</v>
      </c>
      <c r="E30" s="641" t="s">
        <v>2907</v>
      </c>
      <c r="F30" s="807" t="s">
        <v>2906</v>
      </c>
      <c r="G30" s="838" t="str">
        <f t="shared" si="2"/>
        <v>01/17</v>
      </c>
      <c r="H30" s="381">
        <v>340350000</v>
      </c>
      <c r="I30" s="801">
        <v>10</v>
      </c>
      <c r="J30" s="8">
        <v>8508750</v>
      </c>
      <c r="K30" s="8"/>
      <c r="L30" s="8">
        <f t="shared" si="0"/>
        <v>8508750</v>
      </c>
      <c r="M30" s="788"/>
      <c r="N30" s="641"/>
      <c r="O30" s="210"/>
      <c r="P30" s="836" t="str">
        <f>IF(D30='THE-TS'!$D$11,"x","")</f>
        <v/>
      </c>
    </row>
    <row r="31" spans="1:16" s="765" customFormat="1" ht="21.75" customHeight="1">
      <c r="A31" s="791" t="s">
        <v>690</v>
      </c>
      <c r="B31" s="795" t="s">
        <v>691</v>
      </c>
      <c r="C31" s="791"/>
      <c r="D31" s="791"/>
      <c r="E31" s="791"/>
      <c r="F31" s="791"/>
      <c r="G31" s="838"/>
      <c r="H31" s="802"/>
      <c r="I31" s="802"/>
      <c r="J31" s="8"/>
      <c r="K31" s="802"/>
      <c r="L31" s="8"/>
      <c r="M31" s="791"/>
      <c r="N31" s="791"/>
      <c r="O31" s="210"/>
      <c r="P31" s="836" t="str">
        <f>IF(D31='THE-TS'!$D$11,"x","")</f>
        <v/>
      </c>
    </row>
    <row r="32" spans="1:16" ht="21.75" customHeight="1">
      <c r="A32" s="792">
        <v>1</v>
      </c>
      <c r="B32" s="807" t="s">
        <v>698</v>
      </c>
      <c r="C32" s="767">
        <v>40543</v>
      </c>
      <c r="D32" s="311" t="s">
        <v>664</v>
      </c>
      <c r="E32" s="641" t="s">
        <v>649</v>
      </c>
      <c r="F32" s="807" t="s">
        <v>717</v>
      </c>
      <c r="G32" s="838" t="str">
        <f t="shared" si="2"/>
        <v>07/10</v>
      </c>
      <c r="H32" s="381">
        <v>2173860839</v>
      </c>
      <c r="I32" s="381">
        <v>5</v>
      </c>
      <c r="J32" s="8"/>
      <c r="K32" s="8">
        <v>2173860839</v>
      </c>
      <c r="L32" s="8">
        <f t="shared" si="0"/>
        <v>2173860839</v>
      </c>
      <c r="M32" s="641"/>
      <c r="N32" s="641"/>
      <c r="O32" s="210"/>
      <c r="P32" s="836" t="str">
        <f>IF(D32='THE-TS'!$D$11,"x","")</f>
        <v/>
      </c>
    </row>
    <row r="33" spans="1:16" ht="21.75" customHeight="1">
      <c r="A33" s="792">
        <v>2</v>
      </c>
      <c r="B33" s="807" t="s">
        <v>699</v>
      </c>
      <c r="C33" s="767">
        <v>40543</v>
      </c>
      <c r="D33" s="311" t="s">
        <v>665</v>
      </c>
      <c r="E33" s="641" t="s">
        <v>649</v>
      </c>
      <c r="F33" s="807" t="s">
        <v>717</v>
      </c>
      <c r="G33" s="838" t="str">
        <f t="shared" si="2"/>
        <v>08/10</v>
      </c>
      <c r="H33" s="381">
        <v>1303180703</v>
      </c>
      <c r="I33" s="381">
        <v>10</v>
      </c>
      <c r="J33" s="8">
        <v>130318070</v>
      </c>
      <c r="K33" s="8">
        <v>781908420</v>
      </c>
      <c r="L33" s="8">
        <f t="shared" si="0"/>
        <v>912226490</v>
      </c>
      <c r="M33" s="641"/>
      <c r="N33" s="641"/>
      <c r="O33" s="210"/>
      <c r="P33" s="836" t="str">
        <f>IF(D33='THE-TS'!$D$11,"x","")</f>
        <v/>
      </c>
    </row>
    <row r="34" spans="1:16" ht="21.75" customHeight="1">
      <c r="A34" s="792">
        <v>3</v>
      </c>
      <c r="B34" s="807" t="s">
        <v>700</v>
      </c>
      <c r="C34" s="767">
        <v>40543</v>
      </c>
      <c r="D34" s="311" t="s">
        <v>666</v>
      </c>
      <c r="E34" s="641" t="s">
        <v>649</v>
      </c>
      <c r="F34" s="807" t="s">
        <v>717</v>
      </c>
      <c r="G34" s="838" t="str">
        <f t="shared" si="2"/>
        <v>09/10</v>
      </c>
      <c r="H34" s="381">
        <v>313876943</v>
      </c>
      <c r="I34" s="381">
        <v>10</v>
      </c>
      <c r="J34" s="8">
        <v>31387694</v>
      </c>
      <c r="K34" s="8">
        <v>188326164</v>
      </c>
      <c r="L34" s="8">
        <f t="shared" si="0"/>
        <v>219713858</v>
      </c>
      <c r="M34" s="641"/>
      <c r="N34" s="641"/>
      <c r="O34" s="210"/>
      <c r="P34" s="836" t="str">
        <f>IF(D34='THE-TS'!$D$11,"x","")</f>
        <v/>
      </c>
    </row>
    <row r="35" spans="1:16" ht="21.75" customHeight="1">
      <c r="A35" s="770"/>
      <c r="B35" s="796"/>
      <c r="C35" s="797"/>
      <c r="D35" s="798"/>
      <c r="E35" s="771"/>
      <c r="F35" s="797"/>
      <c r="G35" s="796"/>
      <c r="H35" s="803"/>
      <c r="I35" s="803"/>
      <c r="J35" s="436"/>
      <c r="K35" s="436"/>
      <c r="L35" s="436"/>
      <c r="M35" s="771"/>
      <c r="N35" s="771"/>
      <c r="O35" s="771"/>
      <c r="P35" s="836" t="str">
        <f>IF(D35='THE-TS'!$D$11,"x","")</f>
        <v/>
      </c>
    </row>
    <row r="36" spans="1:16" s="777" customFormat="1" ht="21.75" customHeight="1">
      <c r="A36" s="774"/>
      <c r="B36" s="775"/>
      <c r="C36" s="774"/>
      <c r="D36" s="774" t="s">
        <v>653</v>
      </c>
      <c r="E36" s="774" t="s">
        <v>21</v>
      </c>
      <c r="F36" s="774" t="s">
        <v>21</v>
      </c>
      <c r="G36" s="774" t="s">
        <v>21</v>
      </c>
      <c r="H36" s="804">
        <f>SUM(H13:H35)</f>
        <v>15709528889</v>
      </c>
      <c r="I36" s="804"/>
      <c r="J36" s="804">
        <f>SUM(J13:J35)</f>
        <v>622728838</v>
      </c>
      <c r="K36" s="804">
        <f>SUM(K13:K35)</f>
        <v>9758261933</v>
      </c>
      <c r="L36" s="804">
        <f>SUM(L13:L35)</f>
        <v>10380990771</v>
      </c>
      <c r="M36" s="774" t="s">
        <v>21</v>
      </c>
      <c r="N36" s="774" t="s">
        <v>21</v>
      </c>
      <c r="O36" s="774" t="s">
        <v>21</v>
      </c>
      <c r="P36" s="836" t="str">
        <f>IF(D36='THE-TS'!$D$11,"x","")</f>
        <v/>
      </c>
    </row>
    <row r="37" spans="1:16" ht="6.75" customHeight="1">
      <c r="A37" s="642"/>
      <c r="B37" s="642"/>
      <c r="C37" s="778"/>
      <c r="D37" s="642"/>
      <c r="E37" s="778"/>
      <c r="F37" s="778"/>
      <c r="G37" s="778"/>
      <c r="H37" s="642"/>
      <c r="I37" s="642"/>
      <c r="J37" s="642"/>
      <c r="K37" s="779"/>
      <c r="L37" s="642"/>
      <c r="M37" s="642"/>
      <c r="N37" s="642"/>
      <c r="O37" s="642"/>
      <c r="P37" s="836" t="str">
        <f>IF(D37='THE-TS'!$D$11,"x","")</f>
        <v/>
      </c>
    </row>
    <row r="38" spans="1:16" ht="13.5" customHeight="1">
      <c r="A38" s="642"/>
      <c r="B38" s="642"/>
      <c r="C38" s="778"/>
      <c r="D38" s="642" t="s">
        <v>654</v>
      </c>
      <c r="E38" s="642"/>
      <c r="F38" s="778"/>
      <c r="G38" s="642"/>
      <c r="H38" s="756"/>
      <c r="I38" s="756"/>
      <c r="J38" s="845"/>
      <c r="L38" s="756"/>
      <c r="M38" s="642"/>
      <c r="N38" s="642"/>
      <c r="O38" s="642"/>
      <c r="P38" s="836" t="str">
        <f>IF(D38='THE-TS'!$D$11,"x","")</f>
        <v/>
      </c>
    </row>
    <row r="39" spans="1:16" ht="13.5" customHeight="1">
      <c r="A39" s="642"/>
      <c r="B39" s="642"/>
      <c r="C39" s="778"/>
      <c r="D39" s="642" t="s">
        <v>685</v>
      </c>
      <c r="E39" s="642"/>
      <c r="F39" s="778"/>
      <c r="G39" s="642"/>
      <c r="H39" s="789"/>
      <c r="I39" s="642"/>
      <c r="J39" s="799"/>
      <c r="K39" s="779"/>
      <c r="L39" s="642"/>
      <c r="M39" s="642"/>
      <c r="N39" s="642"/>
      <c r="O39" s="642"/>
      <c r="P39" s="836" t="str">
        <f>IF(D39='THE-TS'!$D$11,"x","")</f>
        <v/>
      </c>
    </row>
    <row r="40" spans="1:16" ht="13.5" customHeight="1">
      <c r="K40" s="780"/>
      <c r="L40" s="759" t="s">
        <v>686</v>
      </c>
      <c r="P40" s="836" t="str">
        <f>IF(D40='THE-TS'!$D$11,"x","")</f>
        <v/>
      </c>
    </row>
    <row r="41" spans="1:16" ht="13.5" customHeight="1">
      <c r="B41" s="755"/>
      <c r="D41" s="755" t="s">
        <v>11</v>
      </c>
      <c r="F41" s="755" t="s">
        <v>655</v>
      </c>
      <c r="I41" s="781"/>
      <c r="K41" s="778"/>
      <c r="L41" s="778" t="s">
        <v>130</v>
      </c>
      <c r="P41" s="836" t="str">
        <f>IF(D41='THE-TS'!$D$11,"x","")</f>
        <v/>
      </c>
    </row>
    <row r="42" spans="1:16" ht="13.5" customHeight="1">
      <c r="B42" s="755"/>
      <c r="D42" s="755"/>
      <c r="P42" s="836" t="str">
        <f>IF(D42='THE-TS'!$D$11,"x","")</f>
        <v/>
      </c>
    </row>
    <row r="43" spans="1:16" ht="13.5" customHeight="1">
      <c r="H43" s="782"/>
      <c r="J43" s="782"/>
      <c r="L43" s="782"/>
      <c r="P43" s="836" t="str">
        <f>IF(D43='THE-TS'!$D$11,"x","")</f>
        <v/>
      </c>
    </row>
    <row r="44" spans="1:16" ht="13.5" customHeight="1">
      <c r="H44" s="783"/>
      <c r="P44" s="836" t="str">
        <f>IF(D44='THE-TS'!$D$11,"x","")</f>
        <v/>
      </c>
    </row>
    <row r="45" spans="1:16" ht="13.5" customHeight="1">
      <c r="H45" s="783"/>
      <c r="J45" s="782"/>
      <c r="P45" s="836" t="str">
        <f>IF(D45='THE-TS'!$D$11,"x","")</f>
        <v/>
      </c>
    </row>
    <row r="46" spans="1:16" ht="13.5" customHeight="1">
      <c r="H46" s="783"/>
      <c r="P46" s="836" t="str">
        <f>IF(D46='THE-TS'!$D$11,"x","")</f>
        <v/>
      </c>
    </row>
    <row r="47" spans="1:16" ht="13.5" customHeight="1">
      <c r="H47" s="783"/>
      <c r="P47" s="836" t="str">
        <f>IF(D47='THE-TS'!$D$11,"x","")</f>
        <v/>
      </c>
    </row>
    <row r="48" spans="1:16" s="784" customFormat="1" ht="13.5" customHeight="1">
      <c r="C48" s="785"/>
      <c r="D48" s="785" t="s">
        <v>226</v>
      </c>
      <c r="F48" s="785"/>
      <c r="H48" s="786"/>
      <c r="K48" s="787"/>
      <c r="L48" s="784" t="s">
        <v>124</v>
      </c>
      <c r="P48" s="836" t="str">
        <f>IF(D48='THE-TS'!$D$11,"x","")</f>
        <v/>
      </c>
    </row>
    <row r="49" spans="1:16" ht="13.5">
      <c r="P49" s="836" t="str">
        <f>IF(D49='THE-TS'!$D$11,"x","")</f>
        <v/>
      </c>
    </row>
    <row r="50" spans="1:16" ht="13.5" customHeight="1">
      <c r="H50" s="783"/>
      <c r="P50" s="836" t="str">
        <f>IF(D50='THE-TS'!$D$11,"x","")</f>
        <v/>
      </c>
    </row>
    <row r="51" spans="1:16" ht="13.5">
      <c r="P51" s="836" t="str">
        <f>IF(D51='THE-TS'!$D$11,"x","")</f>
        <v/>
      </c>
    </row>
    <row r="52" spans="1:16" ht="13.5">
      <c r="P52" s="836" t="str">
        <f>IF(D52='THE-TS'!$D$11,"x","")</f>
        <v/>
      </c>
    </row>
    <row r="53" spans="1:16" ht="13.5">
      <c r="P53" s="836" t="str">
        <f>IF(D53='THE-TS'!$D$11,"x","")</f>
        <v/>
      </c>
    </row>
    <row r="54" spans="1:16" ht="13.5">
      <c r="A54" s="753" t="s">
        <v>624</v>
      </c>
      <c r="L54" s="757"/>
      <c r="M54" s="757"/>
      <c r="N54" s="758" t="s">
        <v>625</v>
      </c>
      <c r="O54" s="757"/>
      <c r="P54" s="836" t="str">
        <f>IF(D54='THE-TS'!$D$11,"x","")</f>
        <v/>
      </c>
    </row>
    <row r="55" spans="1:16" ht="13.5">
      <c r="A55" s="753" t="s">
        <v>626</v>
      </c>
      <c r="L55" s="756"/>
      <c r="M55" s="756"/>
      <c r="N55" s="759" t="s">
        <v>309</v>
      </c>
      <c r="O55" s="756"/>
      <c r="P55" s="836" t="str">
        <f>IF(D55='THE-TS'!$D$11,"x","")</f>
        <v/>
      </c>
    </row>
    <row r="56" spans="1:16" ht="13.5">
      <c r="L56" s="756"/>
      <c r="M56" s="756"/>
      <c r="N56" s="759" t="s">
        <v>234</v>
      </c>
      <c r="O56" s="756"/>
      <c r="P56" s="836" t="str">
        <f>IF(D56='THE-TS'!$D$11,"x","")</f>
        <v/>
      </c>
    </row>
    <row r="57" spans="1:16" ht="13.5">
      <c r="P57" s="836" t="str">
        <f>IF(D57='THE-TS'!$D$11,"x","")</f>
        <v/>
      </c>
    </row>
    <row r="58" spans="1:16" s="847" customFormat="1" ht="28.5" customHeight="1">
      <c r="A58" s="1578" t="s">
        <v>627</v>
      </c>
      <c r="B58" s="1578"/>
      <c r="C58" s="1578"/>
      <c r="D58" s="1578"/>
      <c r="E58" s="1578"/>
      <c r="F58" s="1578"/>
      <c r="G58" s="1578"/>
      <c r="H58" s="1578"/>
      <c r="I58" s="1578"/>
      <c r="J58" s="1578"/>
      <c r="K58" s="1578"/>
      <c r="L58" s="1578"/>
      <c r="M58" s="1578"/>
      <c r="N58" s="1578"/>
      <c r="O58" s="1578"/>
      <c r="P58" s="846" t="str">
        <f>IF(D58='THE-TS'!$D$11,"x","")</f>
        <v/>
      </c>
    </row>
    <row r="59" spans="1:16" s="760" customFormat="1" ht="19.5" customHeight="1">
      <c r="A59" s="1579" t="s">
        <v>684</v>
      </c>
      <c r="B59" s="1579"/>
      <c r="C59" s="1579"/>
      <c r="D59" s="1579"/>
      <c r="E59" s="1579"/>
      <c r="F59" s="1579"/>
      <c r="G59" s="1579"/>
      <c r="H59" s="1579"/>
      <c r="I59" s="1579"/>
      <c r="J59" s="1579"/>
      <c r="K59" s="1579"/>
      <c r="L59" s="1579"/>
      <c r="M59" s="1579"/>
      <c r="N59" s="1579"/>
      <c r="O59" s="1579"/>
      <c r="P59" s="836" t="str">
        <f>IF(D59='THE-TS'!$D$11,"x","")</f>
        <v/>
      </c>
    </row>
    <row r="60" spans="1:16" s="760" customFormat="1" ht="19.5" customHeight="1">
      <c r="A60" s="1580" t="s">
        <v>693</v>
      </c>
      <c r="B60" s="1580"/>
      <c r="C60" s="1580"/>
      <c r="D60" s="1580"/>
      <c r="E60" s="1580"/>
      <c r="F60" s="1580"/>
      <c r="G60" s="1580"/>
      <c r="H60" s="1580"/>
      <c r="I60" s="1580"/>
      <c r="J60" s="1580"/>
      <c r="K60" s="1580"/>
      <c r="L60" s="1580"/>
      <c r="M60" s="1580"/>
      <c r="N60" s="1580"/>
      <c r="O60" s="1580"/>
      <c r="P60" s="836" t="str">
        <f>IF(D60='THE-TS'!$D$11,"x","")</f>
        <v/>
      </c>
    </row>
    <row r="61" spans="1:16" ht="13.5">
      <c r="D61" s="755"/>
      <c r="P61" s="836" t="str">
        <f>IF(D61='THE-TS'!$D$11,"x","")</f>
        <v/>
      </c>
    </row>
    <row r="62" spans="1:16" s="761" customFormat="1" ht="17.25" customHeight="1">
      <c r="A62" s="1581" t="s">
        <v>461</v>
      </c>
      <c r="B62" s="1584" t="s">
        <v>628</v>
      </c>
      <c r="C62" s="1585"/>
      <c r="D62" s="1585"/>
      <c r="E62" s="1585"/>
      <c r="F62" s="1585"/>
      <c r="G62" s="1585"/>
      <c r="H62" s="1586"/>
      <c r="I62" s="1584" t="s">
        <v>629</v>
      </c>
      <c r="J62" s="1585"/>
      <c r="K62" s="1585"/>
      <c r="L62" s="1586"/>
      <c r="M62" s="1587" t="s">
        <v>630</v>
      </c>
      <c r="N62" s="1587"/>
      <c r="O62" s="1587"/>
      <c r="P62" s="836" t="str">
        <f>IF(D62='THE-TS'!$D$11,"x","")</f>
        <v/>
      </c>
    </row>
    <row r="63" spans="1:16" s="761" customFormat="1" ht="17.25" customHeight="1">
      <c r="A63" s="1582"/>
      <c r="B63" s="1584" t="s">
        <v>631</v>
      </c>
      <c r="C63" s="1586"/>
      <c r="D63" s="1581" t="s">
        <v>632</v>
      </c>
      <c r="E63" s="1581" t="s">
        <v>633</v>
      </c>
      <c r="F63" s="1581" t="s">
        <v>634</v>
      </c>
      <c r="G63" s="1581" t="s">
        <v>635</v>
      </c>
      <c r="H63" s="1581" t="s">
        <v>636</v>
      </c>
      <c r="I63" s="1584" t="s">
        <v>637</v>
      </c>
      <c r="J63" s="1586"/>
      <c r="K63" s="1588" t="s">
        <v>638</v>
      </c>
      <c r="L63" s="1581" t="s">
        <v>639</v>
      </c>
      <c r="M63" s="1587" t="s">
        <v>631</v>
      </c>
      <c r="N63" s="1587"/>
      <c r="O63" s="1587" t="s">
        <v>640</v>
      </c>
      <c r="P63" s="836" t="str">
        <f>IF(D63='THE-TS'!$D$11,"x","")</f>
        <v/>
      </c>
    </row>
    <row r="64" spans="1:16" s="761" customFormat="1" ht="55.5" customHeight="1">
      <c r="A64" s="1583"/>
      <c r="B64" s="762" t="s">
        <v>641</v>
      </c>
      <c r="C64" s="762" t="s">
        <v>462</v>
      </c>
      <c r="D64" s="1583"/>
      <c r="E64" s="1583"/>
      <c r="F64" s="1583"/>
      <c r="G64" s="1583"/>
      <c r="H64" s="1583"/>
      <c r="I64" s="762" t="s">
        <v>642</v>
      </c>
      <c r="J64" s="762" t="s">
        <v>643</v>
      </c>
      <c r="K64" s="1589"/>
      <c r="L64" s="1583"/>
      <c r="M64" s="762" t="s">
        <v>17</v>
      </c>
      <c r="N64" s="762" t="s">
        <v>462</v>
      </c>
      <c r="O64" s="1587"/>
      <c r="P64" s="836" t="str">
        <f>IF(D64='THE-TS'!$D$11,"x","")</f>
        <v/>
      </c>
    </row>
    <row r="65" spans="1:16" s="765" customFormat="1" ht="13.5">
      <c r="A65" s="763" t="s">
        <v>2</v>
      </c>
      <c r="B65" s="763" t="s">
        <v>3</v>
      </c>
      <c r="C65" s="763" t="s">
        <v>4</v>
      </c>
      <c r="D65" s="763" t="s">
        <v>5</v>
      </c>
      <c r="E65" s="763" t="s">
        <v>6</v>
      </c>
      <c r="F65" s="763" t="s">
        <v>155</v>
      </c>
      <c r="G65" s="763" t="s">
        <v>644</v>
      </c>
      <c r="H65" s="763">
        <v>1</v>
      </c>
      <c r="I65" s="763">
        <v>2</v>
      </c>
      <c r="J65" s="763">
        <v>3</v>
      </c>
      <c r="K65" s="764"/>
      <c r="L65" s="763">
        <v>4</v>
      </c>
      <c r="M65" s="763" t="s">
        <v>645</v>
      </c>
      <c r="N65" s="763" t="s">
        <v>646</v>
      </c>
      <c r="O65" s="763" t="s">
        <v>647</v>
      </c>
      <c r="P65" s="836" t="str">
        <f>IF(D65='THE-TS'!$D$11,"x","")</f>
        <v/>
      </c>
    </row>
    <row r="66" spans="1:16" ht="15.75" customHeight="1">
      <c r="A66" s="766">
        <v>1</v>
      </c>
      <c r="B66" s="805" t="s">
        <v>716</v>
      </c>
      <c r="C66" s="767">
        <v>40543</v>
      </c>
      <c r="D66" s="311" t="s">
        <v>667</v>
      </c>
      <c r="E66" s="640"/>
      <c r="F66" s="807" t="s">
        <v>717</v>
      </c>
      <c r="G66" s="838" t="str">
        <f>RIGHT(B66,5)</f>
        <v>10/10</v>
      </c>
      <c r="H66" s="311">
        <v>5405781300</v>
      </c>
      <c r="I66" s="769">
        <v>45</v>
      </c>
      <c r="J66" s="8">
        <v>120128473</v>
      </c>
      <c r="K66" s="768">
        <v>720770838</v>
      </c>
      <c r="L66" s="768">
        <f>K66+J66</f>
        <v>840899311</v>
      </c>
      <c r="M66" s="640"/>
      <c r="N66" s="640"/>
      <c r="O66" s="210"/>
      <c r="P66" s="836" t="str">
        <f>IF(D66='THE-TS'!$D$11,"x","")</f>
        <v/>
      </c>
    </row>
    <row r="67" spans="1:16" ht="15.75" customHeight="1">
      <c r="A67" s="770"/>
      <c r="B67" s="771"/>
      <c r="C67" s="770"/>
      <c r="D67" s="771"/>
      <c r="E67" s="771"/>
      <c r="F67" s="770"/>
      <c r="G67" s="771"/>
      <c r="H67" s="771"/>
      <c r="I67" s="772"/>
      <c r="J67" s="771"/>
      <c r="K67" s="773"/>
      <c r="L67" s="771"/>
      <c r="M67" s="771"/>
      <c r="N67" s="771"/>
      <c r="O67" s="771"/>
      <c r="P67" s="836" t="str">
        <f>IF(D67='THE-TS'!$D$11,"x","")</f>
        <v/>
      </c>
    </row>
    <row r="68" spans="1:16" s="777" customFormat="1" ht="15.75" customHeight="1">
      <c r="A68" s="774"/>
      <c r="B68" s="775"/>
      <c r="C68" s="774"/>
      <c r="D68" s="774" t="s">
        <v>653</v>
      </c>
      <c r="E68" s="775"/>
      <c r="F68" s="774"/>
      <c r="G68" s="775"/>
      <c r="H68" s="776">
        <f>SUM(H66:H67)</f>
        <v>5405781300</v>
      </c>
      <c r="I68" s="776"/>
      <c r="J68" s="776">
        <f>SUM(J66:J67)</f>
        <v>120128473</v>
      </c>
      <c r="K68" s="776">
        <f>SUM(K66:K67)</f>
        <v>720770838</v>
      </c>
      <c r="L68" s="776">
        <f>SUM(L66:L67)</f>
        <v>840899311</v>
      </c>
      <c r="M68" s="775"/>
      <c r="N68" s="775"/>
      <c r="O68" s="775"/>
      <c r="P68" s="836" t="str">
        <f>IF(D68='THE-TS'!$D$11,"x","")</f>
        <v/>
      </c>
    </row>
    <row r="69" spans="1:16" ht="6.75" customHeight="1">
      <c r="A69" s="642"/>
      <c r="B69" s="642"/>
      <c r="C69" s="778"/>
      <c r="D69" s="642"/>
      <c r="E69" s="642"/>
      <c r="F69" s="778"/>
      <c r="G69" s="642"/>
      <c r="H69" s="642"/>
      <c r="I69" s="642"/>
      <c r="J69" s="642"/>
      <c r="K69" s="779"/>
      <c r="L69" s="642"/>
      <c r="M69" s="642"/>
      <c r="N69" s="642"/>
      <c r="O69" s="642"/>
    </row>
    <row r="70" spans="1:16">
      <c r="A70" s="642"/>
      <c r="B70" s="642"/>
      <c r="C70" s="778"/>
      <c r="D70" s="642" t="s">
        <v>654</v>
      </c>
      <c r="E70" s="642"/>
      <c r="F70" s="778"/>
      <c r="G70" s="642"/>
      <c r="H70" s="642"/>
      <c r="I70" s="642"/>
      <c r="J70" s="974"/>
      <c r="K70" s="779"/>
      <c r="L70" s="642"/>
      <c r="M70" s="642"/>
      <c r="N70" s="642"/>
      <c r="O70" s="642"/>
    </row>
    <row r="71" spans="1:16">
      <c r="A71" s="642"/>
      <c r="B71" s="642"/>
      <c r="C71" s="778"/>
      <c r="D71" s="642" t="s">
        <v>685</v>
      </c>
      <c r="E71" s="642"/>
      <c r="F71" s="778"/>
      <c r="G71" s="642"/>
      <c r="I71" s="642"/>
      <c r="J71" s="799"/>
      <c r="K71" s="779"/>
      <c r="L71" s="642"/>
      <c r="M71" s="642"/>
      <c r="N71" s="642"/>
      <c r="O71" s="642"/>
    </row>
    <row r="72" spans="1:16">
      <c r="K72" s="759"/>
      <c r="L72" s="759" t="s">
        <v>686</v>
      </c>
    </row>
    <row r="73" spans="1:16" ht="16.5" customHeight="1">
      <c r="B73" s="755"/>
      <c r="D73" s="755" t="s">
        <v>11</v>
      </c>
      <c r="F73" s="755" t="s">
        <v>655</v>
      </c>
      <c r="I73" s="781"/>
      <c r="K73" s="778"/>
      <c r="L73" s="778" t="s">
        <v>130</v>
      </c>
    </row>
    <row r="76" spans="1:16">
      <c r="L76" s="782"/>
    </row>
    <row r="77" spans="1:16">
      <c r="D77" s="782"/>
    </row>
    <row r="78" spans="1:16">
      <c r="D78" s="756"/>
      <c r="L78" s="782"/>
    </row>
    <row r="79" spans="1:16">
      <c r="D79" s="789"/>
      <c r="L79" s="782"/>
    </row>
    <row r="80" spans="1:16" s="784" customFormat="1" ht="13.5" customHeight="1">
      <c r="C80" s="785"/>
      <c r="D80" s="785" t="s">
        <v>226</v>
      </c>
      <c r="F80" s="785"/>
      <c r="H80" s="786"/>
      <c r="K80" s="787"/>
      <c r="L80" s="784" t="s">
        <v>124</v>
      </c>
      <c r="P80" s="837"/>
    </row>
  </sheetData>
  <mergeCells count="36">
    <mergeCell ref="A62:A64"/>
    <mergeCell ref="B62:H62"/>
    <mergeCell ref="I62:L62"/>
    <mergeCell ref="M62:O62"/>
    <mergeCell ref="B63:C63"/>
    <mergeCell ref="D63:D64"/>
    <mergeCell ref="E63:E64"/>
    <mergeCell ref="M63:N63"/>
    <mergeCell ref="O63:O64"/>
    <mergeCell ref="F63:F64"/>
    <mergeCell ref="G63:G64"/>
    <mergeCell ref="H63:H64"/>
    <mergeCell ref="I63:J63"/>
    <mergeCell ref="K63:K64"/>
    <mergeCell ref="L63:L64"/>
    <mergeCell ref="K10:K11"/>
    <mergeCell ref="L10:L11"/>
    <mergeCell ref="A58:O58"/>
    <mergeCell ref="A59:O59"/>
    <mergeCell ref="A60:O60"/>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K53"/>
  <sheetViews>
    <sheetView topLeftCell="A6" workbookViewId="0">
      <pane ySplit="14" topLeftCell="A20" activePane="bottomLeft" state="frozen"/>
      <selection activeCell="P41" sqref="P41"/>
      <selection pane="bottomLeft" activeCell="D11" sqref="D11"/>
    </sheetView>
  </sheetViews>
  <sheetFormatPr defaultRowHeight="12.75"/>
  <cols>
    <col min="1" max="1" width="5" style="809" customWidth="1"/>
    <col min="2" max="2" width="10.140625" style="809" customWidth="1"/>
    <col min="3" max="3" width="11.5703125" style="809" customWidth="1"/>
    <col min="4" max="4" width="28.7109375" style="809" customWidth="1"/>
    <col min="5" max="5" width="13.28515625" style="809" customWidth="1"/>
    <col min="6" max="6" width="9.140625" style="809"/>
    <col min="7" max="7" width="14" style="809" customWidth="1"/>
    <col min="8" max="8" width="14.7109375" style="809" customWidth="1"/>
    <col min="9" max="10" width="9.140625" style="809"/>
    <col min="11" max="11" width="13.85546875" style="809" customWidth="1"/>
    <col min="12" max="16384" width="9.140625" style="809"/>
  </cols>
  <sheetData>
    <row r="2" spans="1:11">
      <c r="A2" s="825" t="s">
        <v>624</v>
      </c>
      <c r="B2" s="808"/>
      <c r="C2" s="808"/>
      <c r="D2" s="808"/>
      <c r="E2" s="758"/>
      <c r="F2" s="758"/>
      <c r="G2" s="758" t="s">
        <v>668</v>
      </c>
      <c r="H2" s="758"/>
    </row>
    <row r="3" spans="1:11">
      <c r="A3" s="825" t="s">
        <v>626</v>
      </c>
      <c r="B3" s="808"/>
      <c r="C3" s="808"/>
      <c r="D3" s="808"/>
      <c r="E3" s="759"/>
      <c r="F3" s="759"/>
      <c r="G3" s="759" t="s">
        <v>309</v>
      </c>
      <c r="H3" s="759"/>
    </row>
    <row r="4" spans="1:11">
      <c r="A4" s="755"/>
      <c r="B4" s="755"/>
      <c r="C4" s="759"/>
      <c r="D4" s="759"/>
      <c r="E4" s="759"/>
      <c r="F4" s="759"/>
      <c r="G4" s="759" t="s">
        <v>234</v>
      </c>
      <c r="H4" s="759"/>
    </row>
    <row r="5" spans="1:11">
      <c r="A5" s="755"/>
      <c r="B5" s="755"/>
      <c r="C5" s="759"/>
      <c r="D5" s="759"/>
      <c r="E5" s="759"/>
      <c r="F5" s="759"/>
      <c r="G5" s="759"/>
      <c r="H5" s="759"/>
    </row>
    <row r="6" spans="1:11" ht="23.25" customHeight="1" thickBot="1">
      <c r="A6" s="1601" t="s">
        <v>669</v>
      </c>
      <c r="B6" s="1601"/>
      <c r="C6" s="1601"/>
      <c r="D6" s="1601"/>
      <c r="E6" s="1601"/>
      <c r="F6" s="1601"/>
      <c r="G6" s="1601"/>
      <c r="H6" s="1601"/>
    </row>
    <row r="7" spans="1:11" ht="17.25" customHeight="1" thickBot="1">
      <c r="A7" s="1602" t="str">
        <f ca="1" xml:space="preserve"> IF(ROWS($1:1)&gt;COUNT(Dong3),"","Số: "&amp;OFFSET('SO-TS'!$B$1,SMALL(Dong3,ROWS($1:1)),))</f>
        <v>Số: VP 03/10</v>
      </c>
      <c r="B7" s="1602"/>
      <c r="C7" s="1602"/>
      <c r="D7" s="1602"/>
      <c r="E7" s="1602"/>
      <c r="F7" s="1602"/>
      <c r="G7" s="1602"/>
      <c r="H7" s="1602"/>
      <c r="J7" s="826" t="s">
        <v>709</v>
      </c>
      <c r="K7" s="827" t="s">
        <v>2908</v>
      </c>
    </row>
    <row r="8" spans="1:11" ht="17.25" customHeight="1">
      <c r="A8" s="1603" t="str">
        <f ca="1" xml:space="preserve"> IF(ROWS($1:1)&gt;COUNT(Dong3),"","Ngày   "&amp;DAY(OFFSET('SO-TS'!$C$1,SMALL(Dong3,ROWS($1:1)),))&amp;"   tháng   "&amp;MONTH(OFFSET('SO-TS'!$C$1,SMALL(Dong3,ROWS($1:1)),))&amp;"  năm   "&amp;YEAR(OFFSET('SO-TS'!$C$1,SMALL(Dong3,ROWS($1:1)),)))</f>
        <v>Ngày   31   tháng   12  năm   2010</v>
      </c>
      <c r="B8" s="1603"/>
      <c r="C8" s="1603"/>
      <c r="D8" s="1603"/>
      <c r="E8" s="1603"/>
      <c r="F8" s="1603"/>
      <c r="G8" s="1603"/>
      <c r="H8" s="1603"/>
    </row>
    <row r="9" spans="1:11" ht="12" customHeight="1">
      <c r="A9" s="755"/>
      <c r="B9" s="755"/>
      <c r="C9" s="755"/>
      <c r="D9" s="755"/>
      <c r="E9" s="755"/>
      <c r="F9" s="755"/>
      <c r="G9" s="759"/>
      <c r="H9" s="759"/>
    </row>
    <row r="10" spans="1:11" ht="15" customHeight="1">
      <c r="A10" s="754" t="str">
        <f ca="1">"Căn cứ vào biên bản giao nhận TSCĐ "&amp;"  "&amp;A7&amp;"  "&amp;A8</f>
        <v>Căn cứ vào biên bản giao nhận TSCĐ   Số: VP 03/10  Ngày   31   tháng   12  năm   2010</v>
      </c>
      <c r="B10" s="754"/>
      <c r="C10" s="754"/>
      <c r="D10" s="754"/>
      <c r="E10" s="754"/>
      <c r="F10" s="754"/>
      <c r="G10" s="754"/>
      <c r="H10" s="754"/>
    </row>
    <row r="11" spans="1:11" ht="15" customHeight="1">
      <c r="A11" s="754" t="s">
        <v>710</v>
      </c>
      <c r="B11" s="754"/>
      <c r="C11" s="754"/>
      <c r="D11" s="754" t="s">
        <v>648</v>
      </c>
      <c r="E11" s="754" t="str">
        <f ca="1" xml:space="preserve"> IF(ROWS($1:1)&gt;COUNT(Dong3),"","Số hiệu TSCĐ:   "&amp;OFFSET('SO-TS'!$G$1,SMALL(Dong3,ROWS($1:1)),))</f>
        <v>Số hiệu TSCĐ:   03/10</v>
      </c>
      <c r="F11" s="754"/>
      <c r="H11" s="754"/>
    </row>
    <row r="12" spans="1:11" ht="15" customHeight="1">
      <c r="A12" s="754" t="str">
        <f ca="1" xml:space="preserve"> IF(ROWS($1:1)&gt;COUNT(Dong3),"","Nước sản xuất:   "&amp;OFFSET('SO-TS'!$E$1,SMALL(Dong3,ROWS($1:1)),))</f>
        <v>Nước sản xuất:   Việt Nam</v>
      </c>
      <c r="B12" s="754"/>
      <c r="C12" s="754"/>
      <c r="D12" s="754"/>
      <c r="E12" s="754" t="s">
        <v>711</v>
      </c>
      <c r="F12" s="754"/>
      <c r="G12" s="754"/>
      <c r="H12" s="754"/>
    </row>
    <row r="13" spans="1:11" ht="15" customHeight="1">
      <c r="A13" s="754" t="str">
        <f ca="1" xml:space="preserve"> IF(ROWS($1:1)&gt;COUNT(Dong3),"","Bộ phận quản lý sử dụng:  "&amp;IF(LEFT(OFFSET('SO-TS'!$B$1,SMALL(Dong3,ROWS($1:1)),),2)="VP","Văn Phòng","Sản Xuất"))</f>
        <v>Bộ phận quản lý sử dụng:  Văn Phòng</v>
      </c>
      <c r="B13" s="754"/>
      <c r="C13" s="754"/>
      <c r="D13" s="754"/>
      <c r="E13" s="754" t="str">
        <f ca="1" xml:space="preserve"> IF(ROWS($1:1)&gt;COUNT(Dong3),"","Tháng, năm đưa vào sử dụng:    "&amp;OFFSET('SO-TS'!$F$1,SMALL(Dong3,ROWS($1:1)),))</f>
        <v>Tháng, năm đưa vào sử dụng:    01/2011</v>
      </c>
      <c r="F13" s="754"/>
      <c r="G13" s="754"/>
      <c r="H13" s="754"/>
    </row>
    <row r="14" spans="1:11" ht="15" customHeight="1">
      <c r="A14" s="754" t="s">
        <v>670</v>
      </c>
      <c r="B14" s="754"/>
      <c r="C14" s="754"/>
      <c r="D14" s="754"/>
      <c r="E14" s="754"/>
      <c r="F14" s="754"/>
      <c r="G14" s="754"/>
      <c r="H14" s="754"/>
    </row>
    <row r="15" spans="1:11" ht="15" customHeight="1">
      <c r="A15" s="754" t="s">
        <v>719</v>
      </c>
      <c r="B15" s="754"/>
      <c r="C15" s="754"/>
      <c r="D15" s="754"/>
      <c r="E15" s="754"/>
      <c r="F15" s="754"/>
      <c r="G15" s="754"/>
      <c r="H15" s="754"/>
    </row>
    <row r="16" spans="1:11" ht="15" customHeight="1">
      <c r="A16" s="828" t="s">
        <v>718</v>
      </c>
      <c r="B16" s="828"/>
      <c r="C16" s="828"/>
      <c r="D16" s="828"/>
      <c r="E16" s="828"/>
      <c r="F16" s="828"/>
      <c r="G16" s="828"/>
      <c r="H16" s="828"/>
    </row>
    <row r="17" spans="1:8" s="822" customFormat="1" ht="18" customHeight="1">
      <c r="A17" s="1591" t="s">
        <v>149</v>
      </c>
      <c r="B17" s="1592"/>
      <c r="C17" s="1595" t="s">
        <v>671</v>
      </c>
      <c r="D17" s="1596"/>
      <c r="E17" s="1597"/>
      <c r="F17" s="1598" t="s">
        <v>672</v>
      </c>
      <c r="G17" s="1599"/>
      <c r="H17" s="1600"/>
    </row>
    <row r="18" spans="1:8" s="822" customFormat="1" ht="28.5" customHeight="1">
      <c r="A18" s="1593"/>
      <c r="B18" s="1594"/>
      <c r="C18" s="790" t="s">
        <v>673</v>
      </c>
      <c r="D18" s="790" t="s">
        <v>0</v>
      </c>
      <c r="E18" s="790" t="s">
        <v>674</v>
      </c>
      <c r="F18" s="790" t="s">
        <v>675</v>
      </c>
      <c r="G18" s="790" t="s">
        <v>676</v>
      </c>
      <c r="H18" s="790" t="s">
        <v>677</v>
      </c>
    </row>
    <row r="19" spans="1:8" s="824" customFormat="1">
      <c r="A19" s="1604" t="s">
        <v>2</v>
      </c>
      <c r="B19" s="1605"/>
      <c r="C19" s="823" t="s">
        <v>3</v>
      </c>
      <c r="D19" s="823" t="s">
        <v>4</v>
      </c>
      <c r="E19" s="823">
        <v>1</v>
      </c>
      <c r="F19" s="823">
        <v>2</v>
      </c>
      <c r="G19" s="823">
        <v>3</v>
      </c>
      <c r="H19" s="823">
        <v>4</v>
      </c>
    </row>
    <row r="20" spans="1:8" ht="17.25" customHeight="1">
      <c r="A20" s="675">
        <f ca="1">IF(B20&lt;&gt;"",ROW()-19,"")</f>
        <v>1</v>
      </c>
      <c r="B20" s="810" t="str">
        <f ca="1" xml:space="preserve"> IF(ROWS($1:1)&gt;COUNT(Dong3),"",OFFSET('SO-TS'!B$1,SMALL(Dong3,ROWS($1:1)),))</f>
        <v>VP 03/10</v>
      </c>
      <c r="C20" s="810" t="str">
        <f ca="1" xml:space="preserve"> IF(ROWS($1:1)&gt;COUNT(Dong3),"",OFFSET('SO-TS'!F$1,SMALL(Dong3,ROWS($1:1)),))</f>
        <v>01/2011</v>
      </c>
      <c r="D20" s="839" t="str">
        <f ca="1" xml:space="preserve"> IF(ROWS($1:1)&gt;COUNT(Dong3),"",OFFSET('SO-TS'!D$1,SMALL(Dong3,ROWS($1:1)),))</f>
        <v>Nhà làm việc</v>
      </c>
      <c r="E20" s="840">
        <f ca="1" xml:space="preserve"> IF(ROWS($1:1)&gt;COUNT(Dong3),"",OFFSET('SO-TS'!H$1,SMALL(Dong3,ROWS($1:1)),))</f>
        <v>1101349856</v>
      </c>
      <c r="F20" s="841" t="str">
        <f ca="1" xml:space="preserve"> IF(ROWS($1:1)&gt;COUNT(Dong3),"",RIGHT(OFFSET('SO-TS'!F$1,SMALL(Dong3,ROWS($1:1)),),4))</f>
        <v>2011</v>
      </c>
      <c r="G20" s="77">
        <f ca="1">IF(F20="",0,ROUND(IF(OR(ROWS($1:$1)&gt;COUNT(Dong3),(ROW()-19)&gt;OFFSET('SO-TS'!I$1,SMALL(Dong3,ROWS($1:$1)),)),0,IF(VALUE(LEFT(C20,2))&gt;0,$E$30/(OFFSET('SO-TS'!I$1,SMALL(Dong3,ROWS($1:$1)),))/12*(13-VALUE(LEFT(C20,2))),$E$30/(OFFSET('SO-TS'!I$1,SMALL(Dong3,ROWS($1:$1)),)))),0))</f>
        <v>44053994</v>
      </c>
      <c r="H20" s="77">
        <f ca="1">G20</f>
        <v>44053994</v>
      </c>
    </row>
    <row r="21" spans="1:8" ht="17.25" customHeight="1">
      <c r="A21" s="675" t="str">
        <f t="shared" ref="A21:A29" ca="1" si="0">IF(B21&lt;&gt;"",ROW()-19,"")</f>
        <v/>
      </c>
      <c r="B21" s="810" t="str">
        <f ca="1" xml:space="preserve"> IF(ROWS($1:2)&gt;COUNT(Dong3),"",OFFSET('SO-TS'!B$1,SMALL(Dong3,ROWS($1:2)),))</f>
        <v/>
      </c>
      <c r="C21" s="810" t="str">
        <f ca="1" xml:space="preserve"> IF(ROWS($1:2)&gt;COUNT(Dong3),"",OFFSET('SO-TS'!F$1,SMALL(Dong3,ROWS($1:2)),))</f>
        <v/>
      </c>
      <c r="D21" s="839" t="str">
        <f ca="1" xml:space="preserve"> IF(ROWS($1:2)&gt;COUNT(Dong3),"",OFFSET('SO-TS'!D$1,SMALL(Dong3,ROWS($1:2)),))</f>
        <v/>
      </c>
      <c r="E21" s="840" t="str">
        <f ca="1" xml:space="preserve"> IF(ROWS($1:2)&gt;COUNT(Dong3),"",OFFSET('SO-TS'!H$1,SMALL(Dong3,ROWS($1:2)),))</f>
        <v/>
      </c>
      <c r="F21" s="841">
        <f ca="1">IF(OR(F20="",$E$30=H20,(ROW()-19)&gt;OFFSET('SO-TS'!I$1,SMALL(Dong3,ROWS($1:$1)),)+1),"",IF(VALUE(F20)&gt;=VALUE(YEAR(NOW())),"",F20+1))</f>
        <v>2012</v>
      </c>
      <c r="G21" s="77">
        <f ca="1">IF(F21="",0,ROUND(IF(OR(ROWS($1:$1)&gt;COUNT(Dong3),(ROW()-19)&gt;OFFSET('SO-TS'!I$1,SMALL(Dong3,ROWS($1:$1)),)+1),0,IF($E$30-H20&lt;($E$30/(OFFSET('SO-TS'!I$1,SMALL(Dong3,ROWS($1:$1)),))+12),$E$30-H20,$E$30/(OFFSET('SO-TS'!I$1,SMALL(Dong3,ROWS($1:$1)),)))),0))</f>
        <v>44053994</v>
      </c>
      <c r="H21" s="843">
        <f ca="1">IF(G21&lt;&gt;0,H20+G21,0)</f>
        <v>88107988</v>
      </c>
    </row>
    <row r="22" spans="1:8" ht="17.25" customHeight="1">
      <c r="A22" s="675" t="str">
        <f t="shared" ca="1" si="0"/>
        <v/>
      </c>
      <c r="B22" s="810" t="str">
        <f ca="1" xml:space="preserve"> IF(ROWS($1:3)&gt;COUNT(Dong3),"",OFFSET('SO-TS'!B$1,SMALL(Dong3,ROWS($1:3)),))</f>
        <v/>
      </c>
      <c r="C22" s="810" t="str">
        <f ca="1" xml:space="preserve"> IF(ROWS($1:3)&gt;COUNT(Dong3),"",OFFSET('SO-TS'!F$1,SMALL(Dong3,ROWS($1:3)),))</f>
        <v/>
      </c>
      <c r="D22" s="839" t="str">
        <f ca="1" xml:space="preserve"> IF(ROWS($1:3)&gt;COUNT(Dong3),"",OFFSET('SO-TS'!D$1,SMALL(Dong3,ROWS($1:3)),))</f>
        <v/>
      </c>
      <c r="E22" s="840" t="str">
        <f ca="1" xml:space="preserve"> IF(ROWS($1:3)&gt;COUNT(Dong3),"",OFFSET('SO-TS'!H$1,SMALL(Dong3,ROWS($1:3)),))</f>
        <v/>
      </c>
      <c r="F22" s="841">
        <f ca="1">IF(OR(F21="",$E$30=H21,(ROW()-19)&gt;OFFSET('SO-TS'!I$1,SMALL(Dong3,ROWS($1:$1)),)+1),"",IF(VALUE(F21)&gt;=VALUE(YEAR(NOW())),"",F21+1))</f>
        <v>2013</v>
      </c>
      <c r="G22" s="77">
        <f ca="1">IF(F22="",0,ROUND(IF(OR(ROWS($1:$1)&gt;COUNT(Dong3),(ROW()-19)&gt;OFFSET('SO-TS'!I$1,SMALL(Dong3,ROWS($1:$1)),)+1),0,IF($E$30-H21&lt;($E$30/(OFFSET('SO-TS'!I$1,SMALL(Dong3,ROWS($1:$1)),))+12),$E$30-H21,$E$30/(OFFSET('SO-TS'!I$1,SMALL(Dong3,ROWS($1:$1)),)))),0))</f>
        <v>44053994</v>
      </c>
      <c r="H22" s="843">
        <f t="shared" ref="H22:H28" ca="1" si="1">IF(G22&lt;&gt;0,H21+G22,0)</f>
        <v>132161982</v>
      </c>
    </row>
    <row r="23" spans="1:8" ht="17.25" customHeight="1">
      <c r="A23" s="675" t="str">
        <f t="shared" ca="1" si="0"/>
        <v/>
      </c>
      <c r="B23" s="810" t="str">
        <f ca="1" xml:space="preserve"> IF(ROWS($1:4)&gt;COUNT(Dong3),"",OFFSET('SO-TS'!B$1,SMALL(Dong3,ROWS($1:4)),))</f>
        <v/>
      </c>
      <c r="C23" s="810" t="str">
        <f ca="1" xml:space="preserve"> IF(ROWS($1:4)&gt;COUNT(Dong3),"",OFFSET('SO-TS'!F$1,SMALL(Dong3,ROWS($1:4)),))</f>
        <v/>
      </c>
      <c r="D23" s="839" t="str">
        <f ca="1" xml:space="preserve"> IF(ROWS($1:4)&gt;COUNT(Dong3),"",OFFSET('SO-TS'!D$1,SMALL(Dong3,ROWS($1:4)),))</f>
        <v/>
      </c>
      <c r="E23" s="840" t="str">
        <f ca="1" xml:space="preserve"> IF(ROWS($1:4)&gt;COUNT(Dong3),"",OFFSET('SO-TS'!H$1,SMALL(Dong3,ROWS($1:4)),))</f>
        <v/>
      </c>
      <c r="F23" s="841">
        <f ca="1">IF(OR(F22="",$E$30=H22,(ROW()-19)&gt;OFFSET('SO-TS'!I$1,SMALL(Dong3,ROWS($1:$1)),)+1),"",IF(VALUE(F22)&gt;=VALUE(YEAR(NOW())),"",F22+1))</f>
        <v>2014</v>
      </c>
      <c r="G23" s="77">
        <f ca="1">IF(F23="",0,ROUND(IF(OR(ROWS($1:$1)&gt;COUNT(Dong3),(ROW()-19)&gt;OFFSET('SO-TS'!I$1,SMALL(Dong3,ROWS($1:$1)),)+1),0,IF($E$30-H22&lt;($E$30/(OFFSET('SO-TS'!I$1,SMALL(Dong3,ROWS($1:$1)),))+12),$E$30-H22,$E$30/(OFFSET('SO-TS'!I$1,SMALL(Dong3,ROWS($1:$1)),)))),0))</f>
        <v>44053994</v>
      </c>
      <c r="H23" s="843">
        <f t="shared" ca="1" si="1"/>
        <v>176215976</v>
      </c>
    </row>
    <row r="24" spans="1:8" ht="17.25" customHeight="1">
      <c r="A24" s="675" t="str">
        <f t="shared" ca="1" si="0"/>
        <v/>
      </c>
      <c r="B24" s="810" t="str">
        <f ca="1" xml:space="preserve"> IF(ROWS($1:5)&gt;COUNT(Dong3),"",OFFSET('SO-TS'!B$1,SMALL(Dong3,ROWS($1:5)),))</f>
        <v/>
      </c>
      <c r="C24" s="810" t="str">
        <f ca="1" xml:space="preserve"> IF(ROWS($1:5)&gt;COUNT(Dong3),"",OFFSET('SO-TS'!F$1,SMALL(Dong3,ROWS($1:5)),))</f>
        <v/>
      </c>
      <c r="D24" s="839" t="str">
        <f ca="1" xml:space="preserve"> IF(ROWS($1:5)&gt;COUNT(Dong3),"",OFFSET('SO-TS'!D$1,SMALL(Dong3,ROWS($1:5)),))</f>
        <v/>
      </c>
      <c r="E24" s="840" t="str">
        <f ca="1" xml:space="preserve"> IF(ROWS($1:5)&gt;COUNT(Dong3),"",OFFSET('SO-TS'!H$1,SMALL(Dong3,ROWS($1:5)),))</f>
        <v/>
      </c>
      <c r="F24" s="841">
        <f ca="1">IF(OR(F23="",$E$30=H23,(ROW()-19)&gt;OFFSET('SO-TS'!I$1,SMALL(Dong3,ROWS($1:$1)),)+1),"",IF(VALUE(F23)&gt;=VALUE(YEAR(NOW())),"",F23+1))</f>
        <v>2015</v>
      </c>
      <c r="G24" s="77">
        <f ca="1">IF(F24="",0,ROUND(IF(OR(ROWS($1:$1)&gt;COUNT(Dong3),(ROW()-19)&gt;OFFSET('SO-TS'!I$1,SMALL(Dong3,ROWS($1:$1)),)+1),0,IF($E$30-H23&lt;($E$30/(OFFSET('SO-TS'!I$1,SMALL(Dong3,ROWS($1:$1)),))+12),$E$30-H23,$E$30/(OFFSET('SO-TS'!I$1,SMALL(Dong3,ROWS($1:$1)),)))),0))</f>
        <v>44053994</v>
      </c>
      <c r="H24" s="843">
        <f t="shared" ca="1" si="1"/>
        <v>220269970</v>
      </c>
    </row>
    <row r="25" spans="1:8" ht="17.25" customHeight="1">
      <c r="A25" s="675" t="str">
        <f t="shared" ca="1" si="0"/>
        <v/>
      </c>
      <c r="B25" s="810" t="str">
        <f ca="1" xml:space="preserve"> IF(ROWS($1:6)&gt;COUNT(Dong3),"",OFFSET('SO-TS'!B$1,SMALL(Dong3,ROWS($1:6)),))</f>
        <v/>
      </c>
      <c r="C25" s="810" t="str">
        <f ca="1" xml:space="preserve"> IF(ROWS($1:6)&gt;COUNT(Dong3),"",OFFSET('SO-TS'!F$1,SMALL(Dong3,ROWS($1:6)),))</f>
        <v/>
      </c>
      <c r="D25" s="839" t="str">
        <f ca="1" xml:space="preserve"> IF(ROWS($1:6)&gt;COUNT(Dong3),"",OFFSET('SO-TS'!D$1,SMALL(Dong3,ROWS($1:6)),))</f>
        <v/>
      </c>
      <c r="E25" s="840" t="str">
        <f ca="1" xml:space="preserve"> IF(ROWS($1:6)&gt;COUNT(Dong3),"",OFFSET('SO-TS'!H$1,SMALL(Dong3,ROWS($1:6)),))</f>
        <v/>
      </c>
      <c r="F25" s="841">
        <f ca="1">IF(OR(F24="",$E$30=H24,(ROW()-19)&gt;OFFSET('SO-TS'!I$1,SMALL(Dong3,ROWS($1:$1)),)+1),"",IF(VALUE(F24)&gt;=VALUE(YEAR(NOW())),"",F24+1))</f>
        <v>2016</v>
      </c>
      <c r="G25" s="77">
        <f ca="1">IF(F25="",0,ROUND(IF(OR(ROWS($1:$1)&gt;COUNT(Dong3),(ROW()-19)&gt;OFFSET('SO-TS'!I$1,SMALL(Dong3,ROWS($1:$1)),)+1),0,IF($E$30-H24&lt;($E$30/(OFFSET('SO-TS'!I$1,SMALL(Dong3,ROWS($1:$1)),))+12),$E$30-H24,$E$30/(OFFSET('SO-TS'!I$1,SMALL(Dong3,ROWS($1:$1)),)))),0))</f>
        <v>44053994</v>
      </c>
      <c r="H25" s="843">
        <f t="shared" ca="1" si="1"/>
        <v>264323964</v>
      </c>
    </row>
    <row r="26" spans="1:8" ht="17.25" customHeight="1">
      <c r="A26" s="675" t="str">
        <f t="shared" ca="1" si="0"/>
        <v/>
      </c>
      <c r="B26" s="810" t="str">
        <f ca="1" xml:space="preserve"> IF(ROWS($1:7)&gt;COUNT(Dong3),"",OFFSET('SO-TS'!B$1,SMALL(Dong3,ROWS($1:7)),))</f>
        <v/>
      </c>
      <c r="C26" s="810" t="str">
        <f ca="1" xml:space="preserve"> IF(ROWS($1:7)&gt;COUNT(Dong3),"",OFFSET('SO-TS'!F$1,SMALL(Dong3,ROWS($1:7)),))</f>
        <v/>
      </c>
      <c r="D26" s="839" t="str">
        <f ca="1" xml:space="preserve"> IF(ROWS($1:7)&gt;COUNT(Dong3),"",OFFSET('SO-TS'!D$1,SMALL(Dong3,ROWS($1:7)),))</f>
        <v/>
      </c>
      <c r="E26" s="840" t="str">
        <f ca="1" xml:space="preserve"> IF(ROWS($1:7)&gt;COUNT(Dong3),"",OFFSET('SO-TS'!H$1,SMALL(Dong3,ROWS($1:7)),))</f>
        <v/>
      </c>
      <c r="F26" s="841">
        <f ca="1">IF(OR(F25="",$E$30=H25,(ROW()-19)&gt;OFFSET('SO-TS'!I$1,SMALL(Dong3,ROWS($1:$1)),)+1),"",IF(VALUE(F25)&gt;=VALUE(YEAR(NOW())),"",F25+1))</f>
        <v>2017</v>
      </c>
      <c r="G26" s="77">
        <f ca="1">IF(F26="",0,ROUND(IF(OR(ROWS($1:$1)&gt;COUNT(Dong3),(ROW()-19)&gt;OFFSET('SO-TS'!I$1,SMALL(Dong3,ROWS($1:$1)),)+1),0,IF($E$30-H25&lt;($E$30/(OFFSET('SO-TS'!I$1,SMALL(Dong3,ROWS($1:$1)),))+12),$E$30-H25,$E$30/(OFFSET('SO-TS'!I$1,SMALL(Dong3,ROWS($1:$1)),)))),0))</f>
        <v>44053994</v>
      </c>
      <c r="H26" s="843">
        <f t="shared" ca="1" si="1"/>
        <v>308377958</v>
      </c>
    </row>
    <row r="27" spans="1:8" ht="17.25" customHeight="1">
      <c r="A27" s="675" t="str">
        <f t="shared" ca="1" si="0"/>
        <v/>
      </c>
      <c r="B27" s="810" t="str">
        <f ca="1" xml:space="preserve"> IF(ROWS($1:8)&gt;COUNT(Dong3),"",OFFSET('SO-TS'!B$1,SMALL(Dong3,ROWS($1:8)),))</f>
        <v/>
      </c>
      <c r="C27" s="810" t="str">
        <f ca="1" xml:space="preserve"> IF(ROWS($1:8)&gt;COUNT(Dong3),"",OFFSET('SO-TS'!F$1,SMALL(Dong3,ROWS($1:8)),))</f>
        <v/>
      </c>
      <c r="D27" s="839" t="str">
        <f ca="1" xml:space="preserve"> IF(ROWS($1:8)&gt;COUNT(Dong3),"",OFFSET('SO-TS'!D$1,SMALL(Dong3,ROWS($1:8)),))</f>
        <v/>
      </c>
      <c r="E27" s="840" t="str">
        <f ca="1" xml:space="preserve"> IF(ROWS($1:8)&gt;COUNT(Dong3),"",OFFSET('SO-TS'!H$1,SMALL(Dong3,ROWS($1:8)),))</f>
        <v/>
      </c>
      <c r="F27" s="841">
        <f ca="1">IF(OR(F26="",$E$30=H26,(ROW()-19)&gt;OFFSET('SO-TS'!I$1,SMALL(Dong3,ROWS($1:$1)),)+1),"",IF(VALUE(F26)&gt;=VALUE(YEAR(NOW())),"",F26+1))</f>
        <v>2018</v>
      </c>
      <c r="G27" s="77">
        <f ca="1">IF(F27="",0,ROUND(IF(OR(ROWS($1:$1)&gt;COUNT(Dong3),(ROW()-19)&gt;OFFSET('SO-TS'!I$1,SMALL(Dong3,ROWS($1:$1)),)+1),0,IF($E$30-H26&lt;($E$30/(OFFSET('SO-TS'!I$1,SMALL(Dong3,ROWS($1:$1)),))+12),$E$30-H26,$E$30/(OFFSET('SO-TS'!I$1,SMALL(Dong3,ROWS($1:$1)),)))),0))</f>
        <v>44053994</v>
      </c>
      <c r="H27" s="843">
        <f t="shared" ca="1" si="1"/>
        <v>352431952</v>
      </c>
    </row>
    <row r="28" spans="1:8" ht="17.25" customHeight="1">
      <c r="A28" s="675" t="str">
        <f t="shared" ca="1" si="0"/>
        <v/>
      </c>
      <c r="B28" s="810" t="str">
        <f ca="1" xml:space="preserve"> IF(ROWS($1:9)&gt;COUNT(Dong3),"",OFFSET('SO-TS'!B$1,SMALL(Dong3,ROWS($1:9)),))</f>
        <v/>
      </c>
      <c r="C28" s="810" t="str">
        <f ca="1" xml:space="preserve"> IF(ROWS($1:9)&gt;COUNT(Dong3),"",OFFSET('SO-TS'!F$1,SMALL(Dong3,ROWS($1:9)),))</f>
        <v/>
      </c>
      <c r="D28" s="839" t="str">
        <f ca="1" xml:space="preserve"> IF(ROWS($1:9)&gt;COUNT(Dong3),"",OFFSET('SO-TS'!D$1,SMALL(Dong3,ROWS($1:9)),))</f>
        <v/>
      </c>
      <c r="E28" s="840" t="str">
        <f ca="1" xml:space="preserve"> IF(ROWS($1:9)&gt;COUNT(Dong3),"",OFFSET('SO-TS'!H$1,SMALL(Dong3,ROWS($1:9)),))</f>
        <v/>
      </c>
      <c r="F28" s="841" t="str">
        <f ca="1">IF(OR(F27="",$E$30=H27,(ROW()-19)&gt;OFFSET('SO-TS'!I$1,SMALL(Dong3,ROWS($1:$1)),)+1),"",IF(VALUE(F27)&gt;=VALUE(YEAR(NOW())),"",F27+1))</f>
        <v/>
      </c>
      <c r="G28" s="77">
        <f ca="1">IF(F28="",0,ROUND(IF(OR(ROWS($1:$1)&gt;COUNT(Dong3),(ROW()-19)&gt;OFFSET('SO-TS'!I$1,SMALL(Dong3,ROWS($1:$1)),)+1),0,IF($E$30-H27&lt;($E$30/(OFFSET('SO-TS'!I$1,SMALL(Dong3,ROWS($1:$1)),))+12),$E$30-H27,$E$30/(OFFSET('SO-TS'!I$1,SMALL(Dong3,ROWS($1:$1)),)))),0))</f>
        <v>0</v>
      </c>
      <c r="H28" s="843">
        <f t="shared" ca="1" si="1"/>
        <v>0</v>
      </c>
    </row>
    <row r="29" spans="1:8" ht="17.25" customHeight="1">
      <c r="A29" s="675" t="str">
        <f t="shared" si="0"/>
        <v/>
      </c>
      <c r="B29" s="770"/>
      <c r="C29" s="811"/>
      <c r="D29" s="811"/>
      <c r="E29" s="842"/>
      <c r="F29" s="841" t="str">
        <f ca="1">IF(OR(F28="",$E$30=H28,(ROW()-19)&gt;OFFSET('SO-TS'!I$1,SMALL(Dong3,ROWS($1:$1)),)+1),"",IF(VALUE(F28)&gt;=VALUE(YEAR(NOW())),"",F28+1))</f>
        <v/>
      </c>
      <c r="G29" s="842"/>
      <c r="H29" s="842"/>
    </row>
    <row r="30" spans="1:8" ht="17.25" customHeight="1">
      <c r="A30" s="774"/>
      <c r="B30" s="774" t="s">
        <v>678</v>
      </c>
      <c r="C30" s="812"/>
      <c r="D30" s="812"/>
      <c r="E30" s="844">
        <f ca="1">SUM(E20:E29)</f>
        <v>1101349856</v>
      </c>
      <c r="F30" s="812"/>
      <c r="G30" s="844">
        <f ca="1">SUM(G20:G29)</f>
        <v>352431952</v>
      </c>
      <c r="H30" s="844"/>
    </row>
    <row r="31" spans="1:8" ht="17.25" customHeight="1">
      <c r="A31" s="813"/>
      <c r="B31" s="813"/>
      <c r="C31" s="814"/>
      <c r="D31" s="814"/>
      <c r="E31" s="814"/>
      <c r="F31" s="814"/>
      <c r="G31" s="815"/>
      <c r="H31" s="815"/>
    </row>
    <row r="32" spans="1:8" ht="17.25" customHeight="1">
      <c r="A32" s="813"/>
      <c r="B32" s="813"/>
      <c r="C32" s="814"/>
      <c r="D32" s="814"/>
      <c r="E32" s="814"/>
      <c r="F32" s="814"/>
      <c r="G32" s="815"/>
      <c r="H32" s="815"/>
    </row>
    <row r="33" spans="1:8" ht="17.25" customHeight="1">
      <c r="A33" s="1606" t="s">
        <v>679</v>
      </c>
      <c r="B33" s="1606"/>
      <c r="C33" s="1606"/>
      <c r="D33" s="1606"/>
      <c r="E33" s="1606"/>
      <c r="F33" s="1606"/>
      <c r="G33" s="1606"/>
      <c r="H33" s="1606"/>
    </row>
    <row r="34" spans="1:8" ht="27" customHeight="1">
      <c r="A34" s="774" t="s">
        <v>37</v>
      </c>
      <c r="B34" s="1584" t="s">
        <v>680</v>
      </c>
      <c r="C34" s="1586"/>
      <c r="D34" s="812" t="s">
        <v>314</v>
      </c>
      <c r="E34" s="812" t="s">
        <v>681</v>
      </c>
      <c r="F34" s="812" t="s">
        <v>682</v>
      </c>
      <c r="G34" s="815"/>
      <c r="H34" s="815"/>
    </row>
    <row r="35" spans="1:8" ht="17.25" customHeight="1">
      <c r="A35" s="774" t="s">
        <v>2</v>
      </c>
      <c r="B35" s="774" t="s">
        <v>3</v>
      </c>
      <c r="C35" s="812"/>
      <c r="D35" s="812" t="s">
        <v>4</v>
      </c>
      <c r="E35" s="812">
        <v>1</v>
      </c>
      <c r="F35" s="812">
        <v>2</v>
      </c>
      <c r="G35" s="815"/>
      <c r="H35" s="815"/>
    </row>
    <row r="36" spans="1:8" ht="17.25" customHeight="1">
      <c r="A36" s="816"/>
      <c r="B36" s="816"/>
      <c r="C36" s="817"/>
      <c r="D36" s="817"/>
      <c r="E36" s="817"/>
      <c r="F36" s="817"/>
      <c r="G36" s="815"/>
      <c r="H36" s="815"/>
    </row>
    <row r="37" spans="1:8" ht="17.25" customHeight="1">
      <c r="A37" s="818"/>
      <c r="B37" s="818"/>
      <c r="C37" s="819"/>
      <c r="D37" s="819"/>
      <c r="E37" s="819"/>
      <c r="F37" s="819"/>
      <c r="G37" s="815"/>
      <c r="H37" s="815"/>
    </row>
    <row r="38" spans="1:8" ht="17.25" customHeight="1">
      <c r="A38" s="818"/>
      <c r="B38" s="818"/>
      <c r="C38" s="819"/>
      <c r="D38" s="819"/>
      <c r="E38" s="819"/>
      <c r="F38" s="819"/>
      <c r="G38" s="815"/>
      <c r="H38" s="815"/>
    </row>
    <row r="39" spans="1:8" ht="17.25" customHeight="1">
      <c r="A39" s="818"/>
      <c r="B39" s="818"/>
      <c r="C39" s="819"/>
      <c r="D39" s="819"/>
      <c r="E39" s="819"/>
      <c r="F39" s="819"/>
      <c r="G39" s="815"/>
      <c r="H39" s="815"/>
    </row>
    <row r="40" spans="1:8" ht="17.25" customHeight="1">
      <c r="A40" s="820"/>
      <c r="B40" s="820"/>
      <c r="C40" s="821"/>
      <c r="D40" s="821"/>
      <c r="E40" s="821"/>
      <c r="F40" s="821"/>
      <c r="G40" s="815"/>
      <c r="H40" s="815"/>
    </row>
    <row r="41" spans="1:8">
      <c r="A41" s="813"/>
      <c r="B41" s="813"/>
      <c r="C41" s="814"/>
      <c r="D41" s="814"/>
      <c r="E41" s="814"/>
      <c r="F41" s="814"/>
      <c r="G41" s="815"/>
      <c r="H41" s="815"/>
    </row>
    <row r="42" spans="1:8">
      <c r="A42" s="1607" t="str">
        <f ca="1" xml:space="preserve"> IF(ROWS($1:1)&gt;COUNT(Dong3),"","Ghi giảm TSCĐ chứng từ số:  "&amp;OFFSET('SO-TS'!$M$1,SMALL(Dong3,ROWS($1:1)),))</f>
        <v xml:space="preserve">Ghi giảm TSCĐ chứng từ số:  </v>
      </c>
      <c r="B42" s="1607"/>
      <c r="C42" s="1607"/>
      <c r="D42" s="1607"/>
      <c r="E42" s="1607"/>
      <c r="F42" s="1607"/>
      <c r="G42" s="1607"/>
      <c r="H42" s="1607"/>
    </row>
    <row r="43" spans="1:8">
      <c r="A43" s="1607" t="str">
        <f ca="1" xml:space="preserve"> IF(ROWS($1:1)&gt;COUNT(Dong3),"","Lý do giảm:   "&amp;OFFSET('SO-TS'!$O$1,SMALL(Dong3,ROWS($1:1)),))</f>
        <v xml:space="preserve">Lý do giảm:   </v>
      </c>
      <c r="B43" s="1607"/>
      <c r="C43" s="1607"/>
      <c r="D43" s="1607"/>
      <c r="E43" s="1607"/>
      <c r="F43" s="1607"/>
      <c r="G43" s="1607"/>
      <c r="H43" s="1607"/>
    </row>
    <row r="44" spans="1:8">
      <c r="A44" s="785"/>
      <c r="B44" s="785"/>
      <c r="C44" s="780"/>
      <c r="D44" s="780"/>
      <c r="E44" s="1590" t="s">
        <v>720</v>
      </c>
      <c r="F44" s="1590"/>
      <c r="G44" s="1590"/>
      <c r="H44" s="1590"/>
    </row>
    <row r="45" spans="1:8">
      <c r="A45" s="1602" t="s">
        <v>683</v>
      </c>
      <c r="B45" s="1602"/>
      <c r="C45" s="1602" t="s">
        <v>12</v>
      </c>
      <c r="D45" s="1602"/>
      <c r="E45" s="1608" t="s">
        <v>130</v>
      </c>
      <c r="F45" s="1608"/>
      <c r="G45" s="1608"/>
      <c r="H45" s="1608"/>
    </row>
    <row r="46" spans="1:8">
      <c r="A46" s="755"/>
      <c r="B46" s="755"/>
      <c r="C46" s="759"/>
      <c r="D46" s="759"/>
      <c r="E46" s="759"/>
      <c r="F46" s="759"/>
      <c r="G46" s="759"/>
      <c r="H46" s="759"/>
    </row>
    <row r="47" spans="1:8">
      <c r="A47" s="755"/>
      <c r="B47" s="755"/>
      <c r="C47" s="759"/>
      <c r="D47" s="759"/>
      <c r="E47" s="759"/>
      <c r="F47" s="759"/>
      <c r="G47" s="759"/>
      <c r="H47" s="759"/>
    </row>
    <row r="48" spans="1:8">
      <c r="A48" s="755"/>
      <c r="B48" s="755"/>
      <c r="C48" s="759"/>
      <c r="D48" s="759"/>
      <c r="E48" s="759"/>
      <c r="F48" s="759"/>
      <c r="G48" s="759"/>
      <c r="H48" s="759"/>
    </row>
    <row r="49" spans="1:8">
      <c r="A49" s="755"/>
      <c r="B49" s="755"/>
      <c r="C49" s="759"/>
      <c r="D49" s="759"/>
      <c r="E49" s="759"/>
      <c r="F49" s="759"/>
      <c r="G49" s="759"/>
      <c r="H49" s="759"/>
    </row>
    <row r="50" spans="1:8">
      <c r="A50" s="755"/>
      <c r="B50" s="755"/>
      <c r="C50" s="759"/>
      <c r="D50" s="759"/>
      <c r="E50" s="759"/>
      <c r="F50" s="759"/>
      <c r="G50" s="759"/>
      <c r="H50" s="759"/>
    </row>
    <row r="51" spans="1:8">
      <c r="A51" s="755"/>
      <c r="B51" s="755"/>
      <c r="C51" s="759"/>
      <c r="D51" s="759"/>
      <c r="E51" s="759"/>
      <c r="F51" s="759"/>
      <c r="G51" s="759"/>
      <c r="H51" s="759"/>
    </row>
    <row r="52" spans="1:8">
      <c r="A52" s="755"/>
      <c r="B52" s="755"/>
      <c r="C52" s="759"/>
      <c r="D52" s="759"/>
      <c r="E52" s="759"/>
      <c r="F52" s="759"/>
      <c r="G52" s="759"/>
      <c r="H52" s="759"/>
    </row>
    <row r="53" spans="1:8">
      <c r="A53" s="1609" t="s">
        <v>226</v>
      </c>
      <c r="B53" s="1609"/>
      <c r="C53" s="780"/>
      <c r="D53" s="780"/>
      <c r="E53" s="1590" t="s">
        <v>124</v>
      </c>
      <c r="F53" s="1590"/>
      <c r="G53" s="1590"/>
      <c r="H53" s="1590"/>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75</vt:i4>
      </vt:variant>
    </vt:vector>
  </HeadingPairs>
  <TitlesOfParts>
    <vt:vector size="101" baseType="lpstr">
      <vt:lpstr>CDPS</vt:lpstr>
      <vt:lpstr>TH</vt:lpstr>
      <vt:lpstr>SC-I</vt:lpstr>
      <vt:lpstr>SC-II</vt:lpstr>
      <vt:lpstr>SC-III</vt:lpstr>
      <vt:lpstr>SC-IV</vt:lpstr>
      <vt:lpstr>CTTK</vt:lpstr>
      <vt:lpstr>111</vt:lpstr>
      <vt:lpstr>IN-TC</vt:lpstr>
      <vt:lpstr>112</vt:lpstr>
      <vt:lpstr>331</vt:lpstr>
      <vt:lpstr>331-CT</vt:lpstr>
      <vt:lpstr>131</vt:lpstr>
      <vt:lpstr>131-CT</vt:lpstr>
      <vt:lpstr>NXT</vt:lpstr>
      <vt:lpstr>152-CT</vt:lpstr>
      <vt:lpstr>341</vt:lpstr>
      <vt:lpstr>341-CT</vt:lpstr>
      <vt:lpstr>411</vt:lpstr>
      <vt:lpstr>IN-NX</vt:lpstr>
      <vt:lpstr>TK</vt:lpstr>
      <vt:lpstr>BTGT</vt:lpstr>
      <vt:lpstr>THEGT</vt:lpstr>
      <vt:lpstr>BK-NL</vt:lpstr>
      <vt:lpstr>SO-TS</vt:lpstr>
      <vt:lpstr>THE-TS</vt:lpstr>
      <vt:lpstr>_C111</vt:lpstr>
      <vt:lpstr>_C112</vt:lpstr>
      <vt:lpstr>_N111</vt:lpstr>
      <vt:lpstr>_N112</vt:lpstr>
      <vt:lpstr>_TH</vt:lpstr>
      <vt:lpstr>NXT!Bột_ngọt</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CDPS!Print_Area</vt:lpstr>
      <vt:lpstr>CTTK!Print_Area</vt:lpstr>
      <vt:lpstr>'IN-NX'!Print_Area</vt:lpstr>
      <vt:lpstr>'IN-TC'!Print_Area</vt:lpstr>
      <vt:lpstr>NXT!Print_Area</vt:lpstr>
      <vt:lpstr>'SC-IV'!Print_Area</vt:lpstr>
      <vt:lpstr>'SO-TS'!Print_Area</vt:lpstr>
      <vt:lpstr>'THE-TS'!Print_Area</vt:lpstr>
      <vt:lpstr>TK!Print_Area</vt:lpstr>
      <vt:lpstr>'111'!Print_Titles</vt:lpstr>
      <vt:lpstr>'112'!Print_Titles</vt:lpstr>
      <vt:lpstr>'331'!Print_Titles</vt:lpstr>
      <vt:lpstr>'331-CT'!Print_Titles</vt:lpstr>
      <vt:lpstr>'BK-NL'!Print_Titles</vt:lpstr>
      <vt:lpstr>CTTK!Print_Titles</vt:lpstr>
      <vt:lpstr>NXT!Print_Titles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2018-03-28T01:37:07Z</cp:lastPrinted>
  <dcterms:created xsi:type="dcterms:W3CDTF">1996-10-14T23:33:28Z</dcterms:created>
  <dcterms:modified xsi:type="dcterms:W3CDTF">2018-03-29T08:37:31Z</dcterms:modified>
</cp:coreProperties>
</file>